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Users\W.J. Jongejan\Documents\Wordpress media afbeeldingen\"/>
    </mc:Choice>
  </mc:AlternateContent>
  <xr:revisionPtr revIDLastSave="0" documentId="8_{06740B57-6421-4A65-A536-149191D91F9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oktober 2020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508" i="2" l="1"/>
  <c r="F16138" i="2"/>
  <c r="F1078" i="2"/>
  <c r="E1078" i="2"/>
  <c r="D1078" i="2"/>
  <c r="F11535" i="2"/>
  <c r="E11535" i="2"/>
  <c r="D11535" i="2"/>
  <c r="F12334" i="2"/>
  <c r="E12334" i="2"/>
  <c r="D12334" i="2"/>
  <c r="F12357" i="2"/>
  <c r="E12357" i="2"/>
  <c r="D12357" i="2"/>
  <c r="F12356" i="2"/>
  <c r="E12356" i="2"/>
  <c r="D12356" i="2"/>
  <c r="F12355" i="2"/>
  <c r="E12355" i="2"/>
  <c r="D12355" i="2"/>
  <c r="F12354" i="2"/>
  <c r="E12354" i="2"/>
  <c r="D12354" i="2"/>
  <c r="F12353" i="2"/>
  <c r="E12353" i="2"/>
  <c r="D12353" i="2"/>
  <c r="F12352" i="2"/>
  <c r="E12352" i="2"/>
  <c r="D12352" i="2"/>
  <c r="F12351" i="2"/>
  <c r="E12351" i="2"/>
  <c r="D12351" i="2"/>
  <c r="F12350" i="2"/>
  <c r="E12350" i="2"/>
  <c r="D12350" i="2"/>
  <c r="F12349" i="2"/>
  <c r="E12349" i="2"/>
  <c r="D12349" i="2"/>
  <c r="F12348" i="2"/>
  <c r="E12348" i="2"/>
  <c r="D12348" i="2"/>
  <c r="F12347" i="2"/>
  <c r="E12347" i="2"/>
  <c r="D12347" i="2"/>
  <c r="F12346" i="2"/>
  <c r="E12346" i="2"/>
  <c r="D12346" i="2"/>
  <c r="F12345" i="2"/>
  <c r="E12345" i="2"/>
  <c r="D12345" i="2"/>
  <c r="F12344" i="2"/>
  <c r="E12344" i="2"/>
  <c r="D12344" i="2"/>
  <c r="F12343" i="2"/>
  <c r="E12343" i="2"/>
  <c r="D12343" i="2"/>
  <c r="F12342" i="2"/>
  <c r="E12342" i="2"/>
  <c r="D12342" i="2"/>
  <c r="F12341" i="2"/>
  <c r="E12341" i="2"/>
  <c r="D12341" i="2"/>
  <c r="F12340" i="2"/>
  <c r="E12340" i="2"/>
  <c r="D12340" i="2"/>
  <c r="F12339" i="2"/>
  <c r="E12339" i="2"/>
  <c r="D12339" i="2"/>
  <c r="F12338" i="2"/>
  <c r="E12338" i="2"/>
  <c r="D12338" i="2"/>
  <c r="F12337" i="2"/>
  <c r="E12337" i="2"/>
  <c r="D12337" i="2"/>
  <c r="F12336" i="2"/>
  <c r="E12336" i="2"/>
  <c r="D12336" i="2"/>
  <c r="F12335" i="2"/>
  <c r="E12335" i="2"/>
  <c r="D12335" i="2"/>
  <c r="F12358" i="2"/>
  <c r="E12358" i="2"/>
  <c r="D12358" i="2"/>
  <c r="F12374" i="2"/>
  <c r="E12374" i="2"/>
  <c r="D12374" i="2"/>
  <c r="F12373" i="2"/>
  <c r="E12373" i="2"/>
  <c r="D12373" i="2"/>
  <c r="F12372" i="2"/>
  <c r="E12372" i="2"/>
  <c r="D12372" i="2"/>
  <c r="F12371" i="2"/>
  <c r="E12371" i="2"/>
  <c r="D12371" i="2"/>
  <c r="F12370" i="2"/>
  <c r="E12370" i="2"/>
  <c r="D12370" i="2"/>
  <c r="F12369" i="2"/>
  <c r="E12369" i="2"/>
  <c r="D12369" i="2"/>
  <c r="F12368" i="2"/>
  <c r="E12368" i="2"/>
  <c r="D12368" i="2"/>
  <c r="F12367" i="2"/>
  <c r="E12367" i="2"/>
  <c r="D12367" i="2"/>
  <c r="F12366" i="2"/>
  <c r="E12366" i="2"/>
  <c r="D12366" i="2"/>
  <c r="F12365" i="2"/>
  <c r="E12365" i="2"/>
  <c r="D12365" i="2"/>
  <c r="F12364" i="2"/>
  <c r="E12364" i="2"/>
  <c r="D12364" i="2"/>
  <c r="F12363" i="2"/>
  <c r="E12363" i="2"/>
  <c r="D12363" i="2"/>
  <c r="F12362" i="2"/>
  <c r="E12362" i="2"/>
  <c r="D12362" i="2"/>
  <c r="F12361" i="2"/>
  <c r="E12361" i="2"/>
  <c r="D12361" i="2"/>
  <c r="F12359" i="2"/>
  <c r="E12359" i="2"/>
  <c r="D12359" i="2"/>
  <c r="F12360" i="2"/>
  <c r="E12360" i="2"/>
  <c r="D12360" i="2"/>
  <c r="F1461" i="2"/>
  <c r="E1461" i="2"/>
  <c r="D1461" i="2"/>
  <c r="F12376" i="2"/>
  <c r="E12376" i="2"/>
  <c r="D12376" i="2"/>
  <c r="F12383" i="2"/>
  <c r="E12383" i="2"/>
  <c r="D12383" i="2"/>
  <c r="F12382" i="2"/>
  <c r="E12382" i="2"/>
  <c r="D12382" i="2"/>
  <c r="F12381" i="2"/>
  <c r="E12381" i="2"/>
  <c r="D12381" i="2"/>
  <c r="F12380" i="2"/>
  <c r="E12380" i="2"/>
  <c r="D12380" i="2"/>
  <c r="F12379" i="2"/>
  <c r="E12379" i="2"/>
  <c r="D12379" i="2"/>
  <c r="F12378" i="2"/>
  <c r="E12378" i="2"/>
  <c r="D12378" i="2"/>
  <c r="F12377" i="2"/>
  <c r="E12377" i="2"/>
  <c r="D12377" i="2"/>
  <c r="F3455" i="2"/>
  <c r="E3455" i="2"/>
  <c r="D3455" i="2"/>
  <c r="F3454" i="2"/>
  <c r="E3454" i="2"/>
  <c r="D3454" i="2"/>
  <c r="F3453" i="2"/>
  <c r="E3453" i="2"/>
  <c r="D3453" i="2"/>
  <c r="F3452" i="2"/>
  <c r="E3452" i="2"/>
  <c r="D3452" i="2"/>
  <c r="F13924" i="2"/>
  <c r="E13924" i="2"/>
  <c r="D13924" i="2"/>
  <c r="F13930" i="2"/>
  <c r="E13930" i="2"/>
  <c r="D13930" i="2"/>
  <c r="F13929" i="2"/>
  <c r="E13929" i="2"/>
  <c r="D13929" i="2"/>
  <c r="F13928" i="2"/>
  <c r="E13928" i="2"/>
  <c r="D13928" i="2"/>
  <c r="F13927" i="2"/>
  <c r="E13927" i="2"/>
  <c r="D13927" i="2"/>
  <c r="F13926" i="2"/>
  <c r="E13926" i="2"/>
  <c r="D13926" i="2"/>
  <c r="F13925" i="2"/>
  <c r="E13925" i="2"/>
  <c r="D13925" i="2"/>
  <c r="F798" i="2"/>
  <c r="E798" i="2"/>
  <c r="D798" i="2"/>
  <c r="F809" i="2"/>
  <c r="E809" i="2"/>
  <c r="D809" i="2"/>
  <c r="F808" i="2"/>
  <c r="E808" i="2"/>
  <c r="D808" i="2"/>
  <c r="F807" i="2"/>
  <c r="E807" i="2"/>
  <c r="D807" i="2"/>
  <c r="F806" i="2"/>
  <c r="E806" i="2"/>
  <c r="D806" i="2"/>
  <c r="F805" i="2"/>
  <c r="E805" i="2"/>
  <c r="D805" i="2"/>
  <c r="F804" i="2"/>
  <c r="E804" i="2"/>
  <c r="D804" i="2"/>
  <c r="F803" i="2"/>
  <c r="E803" i="2"/>
  <c r="D803" i="2"/>
  <c r="F802" i="2"/>
  <c r="E802" i="2"/>
  <c r="D802" i="2"/>
  <c r="F801" i="2"/>
  <c r="E801" i="2"/>
  <c r="D801" i="2"/>
  <c r="F800" i="2"/>
  <c r="E800" i="2"/>
  <c r="D800" i="2"/>
  <c r="F799" i="2"/>
  <c r="E799" i="2"/>
  <c r="D799" i="2"/>
  <c r="F14225" i="2"/>
  <c r="E14225" i="2"/>
  <c r="D14225" i="2"/>
  <c r="F14248" i="2"/>
  <c r="E14248" i="2"/>
  <c r="D14248" i="2"/>
  <c r="F14247" i="2"/>
  <c r="E14247" i="2"/>
  <c r="D14247" i="2"/>
  <c r="F14246" i="2"/>
  <c r="E14246" i="2"/>
  <c r="D14246" i="2"/>
  <c r="F14245" i="2"/>
  <c r="E14245" i="2"/>
  <c r="D14245" i="2"/>
  <c r="F14244" i="2"/>
  <c r="E14244" i="2"/>
  <c r="D14244" i="2"/>
  <c r="F14243" i="2"/>
  <c r="E14243" i="2"/>
  <c r="D14243" i="2"/>
  <c r="F14242" i="2"/>
  <c r="E14242" i="2"/>
  <c r="D14242" i="2"/>
  <c r="F14241" i="2"/>
  <c r="E14241" i="2"/>
  <c r="D14241" i="2"/>
  <c r="F14240" i="2"/>
  <c r="E14240" i="2"/>
  <c r="D14240" i="2"/>
  <c r="F14239" i="2"/>
  <c r="E14239" i="2"/>
  <c r="D14239" i="2"/>
  <c r="F14238" i="2"/>
  <c r="E14238" i="2"/>
  <c r="D14238" i="2"/>
  <c r="F14237" i="2"/>
  <c r="E14237" i="2"/>
  <c r="D14237" i="2"/>
  <c r="F14236" i="2"/>
  <c r="E14236" i="2"/>
  <c r="D14236" i="2"/>
  <c r="F14235" i="2"/>
  <c r="E14235" i="2"/>
  <c r="D14235" i="2"/>
  <c r="F14234" i="2"/>
  <c r="E14234" i="2"/>
  <c r="D14234" i="2"/>
  <c r="F14233" i="2"/>
  <c r="E14233" i="2"/>
  <c r="D14233" i="2"/>
  <c r="F14232" i="2"/>
  <c r="E14232" i="2"/>
  <c r="D14232" i="2"/>
  <c r="F14231" i="2"/>
  <c r="E14231" i="2"/>
  <c r="D14231" i="2"/>
  <c r="F14230" i="2"/>
  <c r="E14230" i="2"/>
  <c r="D14230" i="2"/>
  <c r="F14229" i="2"/>
  <c r="E14229" i="2"/>
  <c r="D14229" i="2"/>
  <c r="F14228" i="2"/>
  <c r="E14228" i="2"/>
  <c r="D14228" i="2"/>
  <c r="F14227" i="2"/>
  <c r="E14227" i="2"/>
  <c r="D14227" i="2"/>
  <c r="F14226" i="2"/>
  <c r="E14226" i="2"/>
  <c r="D14226" i="2"/>
  <c r="F8193" i="2"/>
  <c r="E8193" i="2"/>
  <c r="D8193" i="2"/>
  <c r="F8439" i="2"/>
  <c r="E8439" i="2"/>
  <c r="D8439" i="2"/>
  <c r="F8438" i="2"/>
  <c r="E8438" i="2"/>
  <c r="D8438" i="2"/>
  <c r="F8437" i="2"/>
  <c r="E8437" i="2"/>
  <c r="D8437" i="2"/>
  <c r="F8436" i="2"/>
  <c r="E8436" i="2"/>
  <c r="D8436" i="2"/>
  <c r="F8435" i="2"/>
  <c r="E8435" i="2"/>
  <c r="D8435" i="2"/>
  <c r="F8434" i="2"/>
  <c r="E8434" i="2"/>
  <c r="D8434" i="2"/>
  <c r="F8433" i="2"/>
  <c r="E8433" i="2"/>
  <c r="D8433" i="2"/>
  <c r="F8432" i="2"/>
  <c r="E8432" i="2"/>
  <c r="D8432" i="2"/>
  <c r="F8431" i="2"/>
  <c r="E8431" i="2"/>
  <c r="D8431" i="2"/>
  <c r="F8430" i="2"/>
  <c r="E8430" i="2"/>
  <c r="D8430" i="2"/>
  <c r="F8429" i="2"/>
  <c r="E8429" i="2"/>
  <c r="D8429" i="2"/>
  <c r="F8428" i="2"/>
  <c r="E8428" i="2"/>
  <c r="D8428" i="2"/>
  <c r="F8427" i="2"/>
  <c r="E8427" i="2"/>
  <c r="D8427" i="2"/>
  <c r="F8426" i="2"/>
  <c r="E8426" i="2"/>
  <c r="D8426" i="2"/>
  <c r="F11336" i="2"/>
  <c r="E11336" i="2"/>
  <c r="D11336" i="2"/>
  <c r="F11335" i="2"/>
  <c r="E11335" i="2"/>
  <c r="D11335" i="2"/>
  <c r="F8101" i="2"/>
  <c r="E8101" i="2"/>
  <c r="D8101" i="2"/>
  <c r="F8109" i="2"/>
  <c r="E8109" i="2"/>
  <c r="D8109" i="2"/>
  <c r="F8108" i="2"/>
  <c r="E8108" i="2"/>
  <c r="D8108" i="2"/>
  <c r="F8107" i="2"/>
  <c r="E8107" i="2"/>
  <c r="D8107" i="2"/>
  <c r="F8106" i="2"/>
  <c r="E8106" i="2"/>
  <c r="D8106" i="2"/>
  <c r="F8105" i="2"/>
  <c r="E8105" i="2"/>
  <c r="D8105" i="2"/>
  <c r="F8104" i="2"/>
  <c r="E8104" i="2"/>
  <c r="D8104" i="2"/>
  <c r="F8103" i="2"/>
  <c r="E8103" i="2"/>
  <c r="D8103" i="2"/>
  <c r="F8102" i="2"/>
  <c r="E8102" i="2"/>
  <c r="D8102" i="2"/>
  <c r="F11450" i="2"/>
  <c r="E11450" i="2"/>
  <c r="D11450" i="2"/>
  <c r="F11454" i="2"/>
  <c r="E11454" i="2"/>
  <c r="D11454" i="2"/>
  <c r="F11455" i="2"/>
  <c r="E11455" i="2"/>
  <c r="D11455" i="2"/>
  <c r="F11453" i="2"/>
  <c r="E11453" i="2"/>
  <c r="D11453" i="2"/>
  <c r="F11452" i="2"/>
  <c r="E11452" i="2"/>
  <c r="D11452" i="2"/>
  <c r="F11451" i="2"/>
  <c r="E11451" i="2"/>
  <c r="D11451" i="2"/>
  <c r="F10659" i="2"/>
  <c r="E10659" i="2"/>
  <c r="D10659" i="2"/>
  <c r="F10667" i="2"/>
  <c r="E10667" i="2"/>
  <c r="D10667" i="2"/>
  <c r="F10666" i="2"/>
  <c r="E10666" i="2"/>
  <c r="D10666" i="2"/>
  <c r="F10665" i="2"/>
  <c r="E10665" i="2"/>
  <c r="D10665" i="2"/>
  <c r="F10664" i="2"/>
  <c r="E10664" i="2"/>
  <c r="D10664" i="2"/>
  <c r="F10663" i="2"/>
  <c r="E10663" i="2"/>
  <c r="D10663" i="2"/>
  <c r="F10662" i="2"/>
  <c r="E10662" i="2"/>
  <c r="D10662" i="2"/>
  <c r="F10661" i="2"/>
  <c r="E10661" i="2"/>
  <c r="D10661" i="2"/>
  <c r="F10660" i="2"/>
  <c r="E10660" i="2"/>
  <c r="D10660" i="2"/>
  <c r="F7685" i="2"/>
  <c r="E7685" i="2"/>
  <c r="D7685" i="2"/>
  <c r="F7673" i="2"/>
  <c r="E7673" i="2"/>
  <c r="D7673" i="2"/>
  <c r="F7676" i="2"/>
  <c r="E7676" i="2"/>
  <c r="D7676" i="2"/>
  <c r="F7675" i="2"/>
  <c r="E7675" i="2"/>
  <c r="D7675" i="2"/>
  <c r="F7674" i="2"/>
  <c r="E7674" i="2"/>
  <c r="D7674" i="2"/>
  <c r="F7677" i="2"/>
  <c r="E7677" i="2"/>
  <c r="D7677" i="2"/>
  <c r="F7684" i="2"/>
  <c r="E7684" i="2"/>
  <c r="D7684" i="2"/>
  <c r="F7683" i="2"/>
  <c r="E7683" i="2"/>
  <c r="D7683" i="2"/>
  <c r="F7682" i="2"/>
  <c r="E7682" i="2"/>
  <c r="D7682" i="2"/>
  <c r="F7681" i="2"/>
  <c r="E7681" i="2"/>
  <c r="D7681" i="2"/>
  <c r="F7680" i="2"/>
  <c r="E7680" i="2"/>
  <c r="D7680" i="2"/>
  <c r="F7679" i="2"/>
  <c r="E7679" i="2"/>
  <c r="D7679" i="2"/>
  <c r="F7678" i="2"/>
  <c r="E7678" i="2"/>
  <c r="D7678" i="2"/>
  <c r="F7657" i="2"/>
  <c r="E7657" i="2"/>
  <c r="D7657" i="2"/>
  <c r="F7672" i="2"/>
  <c r="E7672" i="2"/>
  <c r="D7672" i="2"/>
  <c r="F7671" i="2"/>
  <c r="E7671" i="2"/>
  <c r="D7671" i="2"/>
  <c r="F7670" i="2"/>
  <c r="E7670" i="2"/>
  <c r="D7670" i="2"/>
  <c r="F7669" i="2"/>
  <c r="E7669" i="2"/>
  <c r="D7669" i="2"/>
  <c r="F7668" i="2"/>
  <c r="E7668" i="2"/>
  <c r="D7668" i="2"/>
  <c r="F7667" i="2"/>
  <c r="E7667" i="2"/>
  <c r="D7667" i="2"/>
  <c r="F7666" i="2"/>
  <c r="E7666" i="2"/>
  <c r="D7666" i="2"/>
  <c r="F7665" i="2"/>
  <c r="E7665" i="2"/>
  <c r="D7665" i="2"/>
  <c r="F7664" i="2"/>
  <c r="E7664" i="2"/>
  <c r="D7664" i="2"/>
  <c r="F7663" i="2"/>
  <c r="E7663" i="2"/>
  <c r="D7663" i="2"/>
  <c r="F7662" i="2"/>
  <c r="E7662" i="2"/>
  <c r="D7662" i="2"/>
  <c r="F7661" i="2"/>
  <c r="E7661" i="2"/>
  <c r="D7661" i="2"/>
  <c r="F7660" i="2"/>
  <c r="E7660" i="2"/>
  <c r="D7660" i="2"/>
  <c r="F7659" i="2"/>
  <c r="E7659" i="2"/>
  <c r="D7659" i="2"/>
  <c r="F7658" i="2"/>
  <c r="E7658" i="2"/>
  <c r="D7658" i="2"/>
  <c r="F7656" i="2"/>
  <c r="E7656" i="2"/>
  <c r="D7656" i="2"/>
  <c r="F7653" i="2"/>
  <c r="E7653" i="2"/>
  <c r="D7653" i="2"/>
  <c r="F7655" i="2"/>
  <c r="E7655" i="2"/>
  <c r="D7655" i="2"/>
  <c r="F7654" i="2"/>
  <c r="E7654" i="2"/>
  <c r="D7654" i="2"/>
  <c r="F3817" i="2"/>
  <c r="E3817" i="2"/>
  <c r="D3817" i="2"/>
  <c r="F3816" i="2"/>
  <c r="E3816" i="2"/>
  <c r="D3816" i="2"/>
  <c r="F8224" i="2"/>
  <c r="E8224" i="2"/>
  <c r="D8224" i="2"/>
  <c r="F1057" i="2"/>
  <c r="E1057" i="2"/>
  <c r="D1057" i="2"/>
  <c r="F1062" i="2"/>
  <c r="E1062" i="2"/>
  <c r="D1062" i="2"/>
  <c r="F1061" i="2"/>
  <c r="E1061" i="2"/>
  <c r="D1061" i="2"/>
  <c r="F1060" i="2"/>
  <c r="E1060" i="2"/>
  <c r="D1060" i="2"/>
  <c r="F1059" i="2"/>
  <c r="E1059" i="2"/>
  <c r="D1059" i="2"/>
  <c r="F1058" i="2"/>
  <c r="E1058" i="2"/>
  <c r="D1058" i="2"/>
  <c r="F4522" i="2"/>
  <c r="E4522" i="2"/>
  <c r="D4522" i="2"/>
  <c r="F4529" i="2"/>
  <c r="E4529" i="2"/>
  <c r="D4529" i="2"/>
  <c r="F4528" i="2"/>
  <c r="E4528" i="2"/>
  <c r="D4528" i="2"/>
  <c r="F4527" i="2"/>
  <c r="E4527" i="2"/>
  <c r="D4527" i="2"/>
  <c r="F4526" i="2"/>
  <c r="E4526" i="2"/>
  <c r="D4526" i="2"/>
  <c r="F4525" i="2"/>
  <c r="E4525" i="2"/>
  <c r="D4525" i="2"/>
  <c r="F4524" i="2"/>
  <c r="E4524" i="2"/>
  <c r="D4524" i="2"/>
  <c r="F4523" i="2"/>
  <c r="E4523" i="2"/>
  <c r="D4523" i="2"/>
  <c r="F11350" i="2"/>
  <c r="E11350" i="2"/>
  <c r="D11350" i="2"/>
  <c r="F11353" i="2"/>
  <c r="E11353" i="2"/>
  <c r="D11353" i="2"/>
  <c r="F11352" i="2"/>
  <c r="E11352" i="2"/>
  <c r="D11352" i="2"/>
  <c r="F11351" i="2"/>
  <c r="E11351" i="2"/>
  <c r="D11351" i="2"/>
  <c r="F6940" i="2"/>
  <c r="E6940" i="2"/>
  <c r="D6940" i="2"/>
  <c r="F8455" i="2"/>
  <c r="E8455" i="2"/>
  <c r="D8455" i="2"/>
  <c r="F8457" i="2"/>
  <c r="E8457" i="2"/>
  <c r="D8457" i="2"/>
  <c r="F8456" i="2"/>
  <c r="E8456" i="2"/>
  <c r="D8456" i="2"/>
  <c r="F8217" i="2"/>
  <c r="E8217" i="2"/>
  <c r="D8217" i="2"/>
  <c r="F8216" i="2"/>
  <c r="E8216" i="2"/>
  <c r="D8216" i="2"/>
  <c r="F8215" i="2"/>
  <c r="E8215" i="2"/>
  <c r="D8215" i="2"/>
  <c r="F8214" i="2"/>
  <c r="E8214" i="2"/>
  <c r="D8214" i="2"/>
  <c r="F8213" i="2"/>
  <c r="E8213" i="2"/>
  <c r="D8213" i="2"/>
  <c r="F8212" i="2"/>
  <c r="E8212" i="2"/>
  <c r="D8212" i="2"/>
  <c r="F8211" i="2"/>
  <c r="E8211" i="2"/>
  <c r="D8211" i="2"/>
  <c r="F8210" i="2"/>
  <c r="E8210" i="2"/>
  <c r="D8210" i="2"/>
  <c r="F8209" i="2"/>
  <c r="E8209" i="2"/>
  <c r="D8209" i="2"/>
  <c r="F8208" i="2"/>
  <c r="E8208" i="2"/>
  <c r="D8208" i="2"/>
  <c r="F8207" i="2"/>
  <c r="E8207" i="2"/>
  <c r="D8207" i="2"/>
  <c r="F8206" i="2"/>
  <c r="E8206" i="2"/>
  <c r="D8206" i="2"/>
  <c r="F8205" i="2"/>
  <c r="E8205" i="2"/>
  <c r="D8205" i="2"/>
  <c r="F8204" i="2"/>
  <c r="E8204" i="2"/>
  <c r="D8204" i="2"/>
  <c r="F8203" i="2"/>
  <c r="E8203" i="2"/>
  <c r="D8203" i="2"/>
  <c r="F8202" i="2"/>
  <c r="E8202" i="2"/>
  <c r="D8202" i="2"/>
  <c r="F8201" i="2"/>
  <c r="E8201" i="2"/>
  <c r="D8201" i="2"/>
  <c r="F8200" i="2"/>
  <c r="E8200" i="2"/>
  <c r="D8200" i="2"/>
  <c r="F8199" i="2"/>
  <c r="E8199" i="2"/>
  <c r="D8199" i="2"/>
  <c r="F8198" i="2"/>
  <c r="E8198" i="2"/>
  <c r="D8198" i="2"/>
  <c r="F8197" i="2"/>
  <c r="E8197" i="2"/>
  <c r="D8197" i="2"/>
  <c r="F8196" i="2"/>
  <c r="E8196" i="2"/>
  <c r="D8196" i="2"/>
  <c r="F8194" i="2"/>
  <c r="E8194" i="2"/>
  <c r="D8194" i="2"/>
  <c r="F8195" i="2"/>
  <c r="E8195" i="2"/>
  <c r="D8195" i="2"/>
  <c r="F14297" i="2"/>
  <c r="E14297" i="2"/>
  <c r="D14297" i="2"/>
  <c r="F14302" i="2"/>
  <c r="E14302" i="2"/>
  <c r="D14302" i="2"/>
  <c r="F14301" i="2"/>
  <c r="E14301" i="2"/>
  <c r="D14301" i="2"/>
  <c r="F14300" i="2"/>
  <c r="E14300" i="2"/>
  <c r="D14300" i="2"/>
  <c r="F14299" i="2"/>
  <c r="E14299" i="2"/>
  <c r="D14299" i="2"/>
  <c r="F14298" i="2"/>
  <c r="E14298" i="2"/>
  <c r="D14298" i="2"/>
  <c r="F15066" i="2"/>
  <c r="E15066" i="2"/>
  <c r="D15066" i="2"/>
  <c r="F15074" i="2"/>
  <c r="E15074" i="2"/>
  <c r="D15074" i="2"/>
  <c r="F15073" i="2"/>
  <c r="E15073" i="2"/>
  <c r="D15073" i="2"/>
  <c r="F15072" i="2"/>
  <c r="E15072" i="2"/>
  <c r="D15072" i="2"/>
  <c r="F15070" i="2"/>
  <c r="E15070" i="2"/>
  <c r="D15070" i="2"/>
  <c r="F15071" i="2"/>
  <c r="E15071" i="2"/>
  <c r="D15071" i="2"/>
  <c r="F15069" i="2"/>
  <c r="E15069" i="2"/>
  <c r="D15069" i="2"/>
  <c r="F15068" i="2"/>
  <c r="E15068" i="2"/>
  <c r="D15068" i="2"/>
  <c r="F15067" i="2"/>
  <c r="E15067" i="2"/>
  <c r="D15067" i="2"/>
  <c r="F10700" i="2"/>
  <c r="E10700" i="2"/>
  <c r="D10700" i="2"/>
  <c r="F10699" i="2"/>
  <c r="E10699" i="2"/>
  <c r="D10699" i="2"/>
  <c r="F10698" i="2"/>
  <c r="E10698" i="2"/>
  <c r="D10698" i="2"/>
  <c r="F10697" i="2"/>
  <c r="E10697" i="2"/>
  <c r="D10697" i="2"/>
  <c r="F10696" i="2"/>
  <c r="E10696" i="2"/>
  <c r="D10696" i="2"/>
  <c r="F10695" i="2"/>
  <c r="E10695" i="2"/>
  <c r="D10695" i="2"/>
  <c r="F10694" i="2"/>
  <c r="E10694" i="2"/>
  <c r="D10694" i="2"/>
  <c r="F10693" i="2"/>
  <c r="E10693" i="2"/>
  <c r="D10693" i="2"/>
  <c r="F10668" i="2"/>
  <c r="E10668" i="2"/>
  <c r="D10668" i="2"/>
  <c r="F10692" i="2"/>
  <c r="E10692" i="2"/>
  <c r="D10692" i="2"/>
  <c r="F10691" i="2"/>
  <c r="E10691" i="2"/>
  <c r="D10691" i="2"/>
  <c r="F10690" i="2"/>
  <c r="E10690" i="2"/>
  <c r="D10690" i="2"/>
  <c r="F10689" i="2"/>
  <c r="E10689" i="2"/>
  <c r="D10689" i="2"/>
  <c r="F10688" i="2"/>
  <c r="E10688" i="2"/>
  <c r="D10688" i="2"/>
  <c r="F10687" i="2"/>
  <c r="E10687" i="2"/>
  <c r="D10687" i="2"/>
  <c r="F10686" i="2"/>
  <c r="E10686" i="2"/>
  <c r="D10686" i="2"/>
  <c r="F10685" i="2"/>
  <c r="E10685" i="2"/>
  <c r="D10685" i="2"/>
  <c r="F10684" i="2"/>
  <c r="E10684" i="2"/>
  <c r="D10684" i="2"/>
  <c r="F10683" i="2"/>
  <c r="E10683" i="2"/>
  <c r="D10683" i="2"/>
  <c r="F10682" i="2"/>
  <c r="E10682" i="2"/>
  <c r="D10682" i="2"/>
  <c r="F10681" i="2"/>
  <c r="E10681" i="2"/>
  <c r="D10681" i="2"/>
  <c r="F10680" i="2"/>
  <c r="E10680" i="2"/>
  <c r="D10680" i="2"/>
  <c r="F10679" i="2"/>
  <c r="E10679" i="2"/>
  <c r="D10679" i="2"/>
  <c r="F10678" i="2"/>
  <c r="E10678" i="2"/>
  <c r="D10678" i="2"/>
  <c r="F10677" i="2"/>
  <c r="E10677" i="2"/>
  <c r="D10677" i="2"/>
  <c r="F10676" i="2"/>
  <c r="E10676" i="2"/>
  <c r="D10676" i="2"/>
  <c r="F10675" i="2"/>
  <c r="E10675" i="2"/>
  <c r="D10675" i="2"/>
  <c r="F10674" i="2"/>
  <c r="E10674" i="2"/>
  <c r="D10674" i="2"/>
  <c r="F10673" i="2"/>
  <c r="E10673" i="2"/>
  <c r="D10673" i="2"/>
  <c r="F10672" i="2"/>
  <c r="E10672" i="2"/>
  <c r="D10672" i="2"/>
  <c r="F10671" i="2"/>
  <c r="E10671" i="2"/>
  <c r="D10671" i="2"/>
  <c r="F10670" i="2"/>
  <c r="E10670" i="2"/>
  <c r="D10670" i="2"/>
  <c r="F10669" i="2"/>
  <c r="E10669" i="2"/>
  <c r="D10669" i="2"/>
  <c r="F5539" i="2"/>
  <c r="E5539" i="2"/>
  <c r="D5539" i="2"/>
  <c r="F5538" i="2"/>
  <c r="E5538" i="2"/>
  <c r="D5538" i="2"/>
  <c r="F5537" i="2"/>
  <c r="E5537" i="2"/>
  <c r="D5537" i="2"/>
  <c r="F5536" i="2"/>
  <c r="E5536" i="2"/>
  <c r="D5536" i="2"/>
  <c r="F5535" i="2"/>
  <c r="E5535" i="2"/>
  <c r="D5535" i="2"/>
  <c r="F5534" i="2"/>
  <c r="E5534" i="2"/>
  <c r="D5534" i="2"/>
  <c r="F5533" i="2"/>
  <c r="E5533" i="2"/>
  <c r="D5533" i="2"/>
  <c r="F5532" i="2"/>
  <c r="E5532" i="2"/>
  <c r="D5532" i="2"/>
  <c r="F5531" i="2"/>
  <c r="E5531" i="2"/>
  <c r="D5531" i="2"/>
  <c r="F5530" i="2"/>
  <c r="E5530" i="2"/>
  <c r="D5530" i="2"/>
  <c r="F5529" i="2"/>
  <c r="E5529" i="2"/>
  <c r="D5529" i="2"/>
  <c r="F5528" i="2"/>
  <c r="E5528" i="2"/>
  <c r="D5528" i="2"/>
  <c r="F5527" i="2"/>
  <c r="E5527" i="2"/>
  <c r="D5527" i="2"/>
  <c r="F5526" i="2"/>
  <c r="E5526" i="2"/>
  <c r="D5526" i="2"/>
  <c r="F5524" i="2"/>
  <c r="E5524" i="2"/>
  <c r="D5524" i="2"/>
  <c r="F5525" i="2"/>
  <c r="E5525" i="2"/>
  <c r="D5525" i="2"/>
  <c r="F5523" i="2"/>
  <c r="E5523" i="2"/>
  <c r="D5523" i="2"/>
  <c r="F5522" i="2"/>
  <c r="E5522" i="2"/>
  <c r="D5522" i="2"/>
  <c r="F5521" i="2"/>
  <c r="E5521" i="2"/>
  <c r="D5521" i="2"/>
  <c r="F5520" i="2"/>
  <c r="E5520" i="2"/>
  <c r="D5520" i="2"/>
  <c r="F5519" i="2"/>
  <c r="E5519" i="2"/>
  <c r="D5519" i="2"/>
  <c r="F5518" i="2"/>
  <c r="E5518" i="2"/>
  <c r="D5518" i="2"/>
  <c r="F5517" i="2"/>
  <c r="E5517" i="2"/>
  <c r="D5517" i="2"/>
  <c r="F5516" i="2"/>
  <c r="E5516" i="2"/>
  <c r="D5516" i="2"/>
  <c r="F5515" i="2"/>
  <c r="E5515" i="2"/>
  <c r="D5515" i="2"/>
  <c r="F5514" i="2"/>
  <c r="E5514" i="2"/>
  <c r="D5514" i="2"/>
  <c r="F5511" i="2"/>
  <c r="E5511" i="2"/>
  <c r="D5511" i="2"/>
  <c r="F5513" i="2"/>
  <c r="E5513" i="2"/>
  <c r="D5513" i="2"/>
  <c r="F5512" i="2"/>
  <c r="E5512" i="2"/>
  <c r="D5512" i="2"/>
  <c r="F5510" i="2"/>
  <c r="E5510" i="2"/>
  <c r="D5510" i="2"/>
  <c r="F5509" i="2"/>
  <c r="E5509" i="2"/>
  <c r="D5509" i="2"/>
  <c r="F12931" i="2"/>
  <c r="E12931" i="2"/>
  <c r="D12931" i="2"/>
  <c r="F12930" i="2"/>
  <c r="E12930" i="2"/>
  <c r="D12930" i="2"/>
  <c r="F8225" i="2"/>
  <c r="E8225" i="2"/>
  <c r="D8225" i="2"/>
  <c r="F8227" i="2"/>
  <c r="E8227" i="2"/>
  <c r="D8227" i="2"/>
  <c r="F8226" i="2"/>
  <c r="E8226" i="2"/>
  <c r="D8226" i="2"/>
  <c r="F15234" i="2"/>
  <c r="E15234" i="2"/>
  <c r="D15234" i="2"/>
  <c r="F15241" i="2"/>
  <c r="E15241" i="2"/>
  <c r="D15241" i="2"/>
  <c r="F15240" i="2"/>
  <c r="E15240" i="2"/>
  <c r="D15240" i="2"/>
  <c r="F15239" i="2"/>
  <c r="E15239" i="2"/>
  <c r="D15239" i="2"/>
  <c r="F15238" i="2"/>
  <c r="E15238" i="2"/>
  <c r="D15238" i="2"/>
  <c r="F15237" i="2"/>
  <c r="E15237" i="2"/>
  <c r="D15237" i="2"/>
  <c r="F15236" i="2"/>
  <c r="E15236" i="2"/>
  <c r="D15236" i="2"/>
  <c r="F15235" i="2"/>
  <c r="E15235" i="2"/>
  <c r="D15235" i="2"/>
  <c r="F10701" i="2"/>
  <c r="E10701" i="2"/>
  <c r="D10701" i="2"/>
  <c r="F10717" i="2"/>
  <c r="E10717" i="2"/>
  <c r="D10717" i="2"/>
  <c r="F10716" i="2"/>
  <c r="E10716" i="2"/>
  <c r="D10716" i="2"/>
  <c r="F10715" i="2"/>
  <c r="E10715" i="2"/>
  <c r="D10715" i="2"/>
  <c r="F10714" i="2"/>
  <c r="E10714" i="2"/>
  <c r="D10714" i="2"/>
  <c r="F10713" i="2"/>
  <c r="E10713" i="2"/>
  <c r="D10713" i="2"/>
  <c r="F10712" i="2"/>
  <c r="E10712" i="2"/>
  <c r="D10712" i="2"/>
  <c r="F10711" i="2"/>
  <c r="E10711" i="2"/>
  <c r="D10711" i="2"/>
  <c r="F10710" i="2"/>
  <c r="E10710" i="2"/>
  <c r="D10710" i="2"/>
  <c r="F10709" i="2"/>
  <c r="E10709" i="2"/>
  <c r="D10709" i="2"/>
  <c r="F10708" i="2"/>
  <c r="E10708" i="2"/>
  <c r="D10708" i="2"/>
  <c r="F10707" i="2"/>
  <c r="E10707" i="2"/>
  <c r="D10707" i="2"/>
  <c r="F10706" i="2"/>
  <c r="E10706" i="2"/>
  <c r="D10706" i="2"/>
  <c r="F10705" i="2"/>
  <c r="E10705" i="2"/>
  <c r="D10705" i="2"/>
  <c r="F10704" i="2"/>
  <c r="E10704" i="2"/>
  <c r="D10704" i="2"/>
  <c r="F10703" i="2"/>
  <c r="E10703" i="2"/>
  <c r="D10703" i="2"/>
  <c r="F10702" i="2"/>
  <c r="E10702" i="2"/>
  <c r="D10702" i="2"/>
  <c r="F6180" i="2"/>
  <c r="E6180" i="2"/>
  <c r="D6180" i="2"/>
  <c r="F5377" i="2"/>
  <c r="E5377" i="2"/>
  <c r="D5377" i="2"/>
  <c r="F5395" i="2"/>
  <c r="E5395" i="2"/>
  <c r="D5395" i="2"/>
  <c r="F5394" i="2"/>
  <c r="E5394" i="2"/>
  <c r="D5394" i="2"/>
  <c r="F5393" i="2"/>
  <c r="E5393" i="2"/>
  <c r="D5393" i="2"/>
  <c r="F5392" i="2"/>
  <c r="E5392" i="2"/>
  <c r="D5392" i="2"/>
  <c r="F5391" i="2"/>
  <c r="E5391" i="2"/>
  <c r="D5391" i="2"/>
  <c r="F5390" i="2"/>
  <c r="E5390" i="2"/>
  <c r="D5390" i="2"/>
  <c r="F5389" i="2"/>
  <c r="E5389" i="2"/>
  <c r="D5389" i="2"/>
  <c r="F5388" i="2"/>
  <c r="E5388" i="2"/>
  <c r="D5388" i="2"/>
  <c r="F5387" i="2"/>
  <c r="E5387" i="2"/>
  <c r="D5387" i="2"/>
  <c r="F5386" i="2"/>
  <c r="E5386" i="2"/>
  <c r="D5386" i="2"/>
  <c r="F5385" i="2"/>
  <c r="E5385" i="2"/>
  <c r="D5385" i="2"/>
  <c r="F5384" i="2"/>
  <c r="E5384" i="2"/>
  <c r="D5384" i="2"/>
  <c r="F5383" i="2"/>
  <c r="E5383" i="2"/>
  <c r="D5383" i="2"/>
  <c r="F5382" i="2"/>
  <c r="E5382" i="2"/>
  <c r="D5382" i="2"/>
  <c r="F5381" i="2"/>
  <c r="E5381" i="2"/>
  <c r="D5381" i="2"/>
  <c r="F5380" i="2"/>
  <c r="E5380" i="2"/>
  <c r="D5380" i="2"/>
  <c r="F5379" i="2"/>
  <c r="E5379" i="2"/>
  <c r="D5379" i="2"/>
  <c r="F5378" i="2"/>
  <c r="E5378" i="2"/>
  <c r="D5378" i="2"/>
  <c r="F9682" i="2"/>
  <c r="E9682" i="2"/>
  <c r="D9682" i="2"/>
  <c r="F9689" i="2"/>
  <c r="E9689" i="2"/>
  <c r="D9689" i="2"/>
  <c r="F9688" i="2"/>
  <c r="E9688" i="2"/>
  <c r="D9688" i="2"/>
  <c r="F9687" i="2"/>
  <c r="E9687" i="2"/>
  <c r="D9687" i="2"/>
  <c r="F9686" i="2"/>
  <c r="E9686" i="2"/>
  <c r="D9686" i="2"/>
  <c r="F9685" i="2"/>
  <c r="E9685" i="2"/>
  <c r="D9685" i="2"/>
  <c r="F9684" i="2"/>
  <c r="E9684" i="2"/>
  <c r="D9684" i="2"/>
  <c r="F9683" i="2"/>
  <c r="E9683" i="2"/>
  <c r="D9683" i="2"/>
  <c r="F2844" i="2"/>
  <c r="E2844" i="2"/>
  <c r="D2844" i="2"/>
  <c r="F2849" i="2"/>
  <c r="E2849" i="2"/>
  <c r="D2849" i="2"/>
  <c r="F2848" i="2"/>
  <c r="E2848" i="2"/>
  <c r="D2848" i="2"/>
  <c r="F2847" i="2"/>
  <c r="E2847" i="2"/>
  <c r="D2847" i="2"/>
  <c r="F2846" i="2"/>
  <c r="E2846" i="2"/>
  <c r="D2846" i="2"/>
  <c r="F2845" i="2"/>
  <c r="E2845" i="2"/>
  <c r="D2845" i="2"/>
  <c r="F6583" i="2"/>
  <c r="E6583" i="2"/>
  <c r="D6583" i="2"/>
  <c r="F6588" i="2"/>
  <c r="E6588" i="2"/>
  <c r="D6588" i="2"/>
  <c r="F6587" i="2"/>
  <c r="E6587" i="2"/>
  <c r="D6587" i="2"/>
  <c r="F6586" i="2"/>
  <c r="E6586" i="2"/>
  <c r="D6586" i="2"/>
  <c r="F6585" i="2"/>
  <c r="E6585" i="2"/>
  <c r="D6585" i="2"/>
  <c r="F6584" i="2"/>
  <c r="E6584" i="2"/>
  <c r="D6584" i="2"/>
  <c r="F7567" i="2"/>
  <c r="E7567" i="2"/>
  <c r="D7567" i="2"/>
  <c r="F1079" i="2"/>
  <c r="E1079" i="2"/>
  <c r="D1079" i="2"/>
  <c r="F11759" i="2"/>
  <c r="E11759" i="2"/>
  <c r="D11759" i="2"/>
  <c r="F1106" i="2"/>
  <c r="E1106" i="2"/>
  <c r="D1106" i="2"/>
  <c r="F10718" i="2"/>
  <c r="E10718" i="2"/>
  <c r="D10718" i="2"/>
  <c r="F10729" i="2"/>
  <c r="E10729" i="2"/>
  <c r="D10729" i="2"/>
  <c r="F10728" i="2"/>
  <c r="E10728" i="2"/>
  <c r="D10728" i="2"/>
  <c r="F10727" i="2"/>
  <c r="E10727" i="2"/>
  <c r="D10727" i="2"/>
  <c r="F10726" i="2"/>
  <c r="E10726" i="2"/>
  <c r="D10726" i="2"/>
  <c r="F10725" i="2"/>
  <c r="E10725" i="2"/>
  <c r="D10725" i="2"/>
  <c r="F10724" i="2"/>
  <c r="E10724" i="2"/>
  <c r="D10724" i="2"/>
  <c r="F10723" i="2"/>
  <c r="E10723" i="2"/>
  <c r="D10723" i="2"/>
  <c r="F10722" i="2"/>
  <c r="E10722" i="2"/>
  <c r="D10722" i="2"/>
  <c r="F10721" i="2"/>
  <c r="E10721" i="2"/>
  <c r="D10721" i="2"/>
  <c r="F10720" i="2"/>
  <c r="E10720" i="2"/>
  <c r="D10720" i="2"/>
  <c r="F10719" i="2"/>
  <c r="E10719" i="2"/>
  <c r="D10719" i="2"/>
  <c r="F7715" i="2"/>
  <c r="E7715" i="2"/>
  <c r="D7715" i="2"/>
  <c r="F7706" i="2"/>
  <c r="E7706" i="2"/>
  <c r="D7706" i="2"/>
  <c r="F7705" i="2"/>
  <c r="E7705" i="2"/>
  <c r="D7705" i="2"/>
  <c r="F7704" i="2"/>
  <c r="E7704" i="2"/>
  <c r="D7704" i="2"/>
  <c r="F7703" i="2"/>
  <c r="E7703" i="2"/>
  <c r="D7703" i="2"/>
  <c r="F7702" i="2"/>
  <c r="E7702" i="2"/>
  <c r="D7702" i="2"/>
  <c r="F7701" i="2"/>
  <c r="E7701" i="2"/>
  <c r="D7701" i="2"/>
  <c r="F7700" i="2"/>
  <c r="E7700" i="2"/>
  <c r="D7700" i="2"/>
  <c r="F7699" i="2"/>
  <c r="E7699" i="2"/>
  <c r="D7699" i="2"/>
  <c r="F7698" i="2"/>
  <c r="E7698" i="2"/>
  <c r="D7698" i="2"/>
  <c r="F7697" i="2"/>
  <c r="E7697" i="2"/>
  <c r="D7697" i="2"/>
  <c r="F7696" i="2"/>
  <c r="E7696" i="2"/>
  <c r="D7696" i="2"/>
  <c r="F7695" i="2"/>
  <c r="E7695" i="2"/>
  <c r="D7695" i="2"/>
  <c r="F7694" i="2"/>
  <c r="E7694" i="2"/>
  <c r="D7694" i="2"/>
  <c r="F7693" i="2"/>
  <c r="E7693" i="2"/>
  <c r="D7693" i="2"/>
  <c r="F7692" i="2"/>
  <c r="E7692" i="2"/>
  <c r="D7692" i="2"/>
  <c r="F7691" i="2"/>
  <c r="E7691" i="2"/>
  <c r="D7691" i="2"/>
  <c r="F4608" i="2"/>
  <c r="E4608" i="2"/>
  <c r="D4608" i="2"/>
  <c r="F4609" i="2"/>
  <c r="E4609" i="2"/>
  <c r="D4609" i="2"/>
  <c r="F7714" i="2"/>
  <c r="E7714" i="2"/>
  <c r="D7714" i="2"/>
  <c r="F7713" i="2"/>
  <c r="E7713" i="2"/>
  <c r="D7713" i="2"/>
  <c r="F7712" i="2"/>
  <c r="E7712" i="2"/>
  <c r="D7712" i="2"/>
  <c r="F7711" i="2"/>
  <c r="E7711" i="2"/>
  <c r="D7711" i="2"/>
  <c r="F7710" i="2"/>
  <c r="E7710" i="2"/>
  <c r="D7710" i="2"/>
  <c r="F7709" i="2"/>
  <c r="E7709" i="2"/>
  <c r="D7709" i="2"/>
  <c r="F7708" i="2"/>
  <c r="E7708" i="2"/>
  <c r="D7708" i="2"/>
  <c r="F7707" i="2"/>
  <c r="E7707" i="2"/>
  <c r="D7707" i="2"/>
  <c r="F4188" i="2"/>
  <c r="E4188" i="2"/>
  <c r="D4188" i="2"/>
  <c r="F4187" i="2"/>
  <c r="E4187" i="2"/>
  <c r="D4187" i="2"/>
  <c r="F4186" i="2"/>
  <c r="E4186" i="2"/>
  <c r="D4186" i="2"/>
  <c r="F4185" i="2"/>
  <c r="E4185" i="2"/>
  <c r="D4185" i="2"/>
  <c r="F4184" i="2"/>
  <c r="E4184" i="2"/>
  <c r="D4184" i="2"/>
  <c r="F4183" i="2"/>
  <c r="E4183" i="2"/>
  <c r="D4183" i="2"/>
  <c r="F11364" i="2"/>
  <c r="E11364" i="2"/>
  <c r="D11364" i="2"/>
  <c r="F11363" i="2"/>
  <c r="E11363" i="2"/>
  <c r="D11363" i="2"/>
  <c r="F6602" i="2"/>
  <c r="E6602" i="2"/>
  <c r="D6602" i="2"/>
  <c r="F6601" i="2"/>
  <c r="E6601" i="2"/>
  <c r="D6601" i="2"/>
  <c r="F6599" i="2"/>
  <c r="E6599" i="2"/>
  <c r="D6599" i="2"/>
  <c r="F6600" i="2"/>
  <c r="E6600" i="2"/>
  <c r="D6600" i="2"/>
  <c r="F6598" i="2"/>
  <c r="E6598" i="2"/>
  <c r="D6598" i="2"/>
  <c r="F6597" i="2"/>
  <c r="E6597" i="2"/>
  <c r="D6597" i="2"/>
  <c r="F6596" i="2"/>
  <c r="E6596" i="2"/>
  <c r="D6596" i="2"/>
  <c r="F6595" i="2"/>
  <c r="E6595" i="2"/>
  <c r="D6595" i="2"/>
  <c r="F6594" i="2"/>
  <c r="E6594" i="2"/>
  <c r="D6594" i="2"/>
  <c r="F6592" i="2"/>
  <c r="E6592" i="2"/>
  <c r="D6592" i="2"/>
  <c r="F6593" i="2"/>
  <c r="E6593" i="2"/>
  <c r="D6593" i="2"/>
  <c r="F6591" i="2"/>
  <c r="E6591" i="2"/>
  <c r="D6591" i="2"/>
  <c r="F6590" i="2"/>
  <c r="E6590" i="2"/>
  <c r="D6590" i="2"/>
  <c r="F6589" i="2"/>
  <c r="E6589" i="2"/>
  <c r="D6589" i="2"/>
  <c r="F12153" i="2"/>
  <c r="E12153" i="2"/>
  <c r="D12153" i="2"/>
  <c r="F12157" i="2"/>
  <c r="E12157" i="2"/>
  <c r="D12157" i="2"/>
  <c r="F12156" i="2"/>
  <c r="E12156" i="2"/>
  <c r="D12156" i="2"/>
  <c r="F12155" i="2"/>
  <c r="E12155" i="2"/>
  <c r="D12155" i="2"/>
  <c r="F12154" i="2"/>
  <c r="E12154" i="2"/>
  <c r="D12154" i="2"/>
  <c r="F7717" i="2"/>
  <c r="E7717" i="2"/>
  <c r="D7717" i="2"/>
  <c r="F7732" i="2"/>
  <c r="E7732" i="2"/>
  <c r="D7732" i="2"/>
  <c r="F7731" i="2"/>
  <c r="E7731" i="2"/>
  <c r="D7731" i="2"/>
  <c r="F7730" i="2"/>
  <c r="E7730" i="2"/>
  <c r="D7730" i="2"/>
  <c r="F7729" i="2"/>
  <c r="E7729" i="2"/>
  <c r="D7729" i="2"/>
  <c r="F7728" i="2"/>
  <c r="E7728" i="2"/>
  <c r="D7728" i="2"/>
  <c r="F7727" i="2"/>
  <c r="E7727" i="2"/>
  <c r="D7727" i="2"/>
  <c r="F7726" i="2"/>
  <c r="E7726" i="2"/>
  <c r="D7726" i="2"/>
  <c r="F7725" i="2"/>
  <c r="E7725" i="2"/>
  <c r="D7725" i="2"/>
  <c r="F7724" i="2"/>
  <c r="E7724" i="2"/>
  <c r="D7724" i="2"/>
  <c r="F7723" i="2"/>
  <c r="E7723" i="2"/>
  <c r="D7723" i="2"/>
  <c r="F7722" i="2"/>
  <c r="E7722" i="2"/>
  <c r="D7722" i="2"/>
  <c r="F7721" i="2"/>
  <c r="E7721" i="2"/>
  <c r="D7721" i="2"/>
  <c r="F7720" i="2"/>
  <c r="E7720" i="2"/>
  <c r="D7720" i="2"/>
  <c r="F7719" i="2"/>
  <c r="E7719" i="2"/>
  <c r="D7719" i="2"/>
  <c r="F7718" i="2"/>
  <c r="E7718" i="2"/>
  <c r="D7718" i="2"/>
  <c r="F7716" i="2"/>
  <c r="E7716" i="2"/>
  <c r="D7716" i="2"/>
  <c r="F7690" i="2"/>
  <c r="E7690" i="2"/>
  <c r="D7690" i="2"/>
  <c r="F7689" i="2"/>
  <c r="E7689" i="2"/>
  <c r="D7689" i="2"/>
  <c r="F7688" i="2"/>
  <c r="E7688" i="2"/>
  <c r="D7688" i="2"/>
  <c r="F7687" i="2"/>
  <c r="E7687" i="2"/>
  <c r="D7687" i="2"/>
  <c r="F7686" i="2"/>
  <c r="E7686" i="2"/>
  <c r="D7686" i="2"/>
  <c r="F331" i="2"/>
  <c r="E331" i="2"/>
  <c r="D331" i="2"/>
  <c r="F330" i="2"/>
  <c r="E330" i="2"/>
  <c r="D330" i="2"/>
  <c r="F329" i="2"/>
  <c r="E329" i="2"/>
  <c r="D329" i="2"/>
  <c r="F328" i="2"/>
  <c r="E328" i="2"/>
  <c r="D328" i="2"/>
  <c r="F327" i="2"/>
  <c r="E327" i="2"/>
  <c r="D327" i="2"/>
  <c r="F326" i="2"/>
  <c r="E326" i="2"/>
  <c r="D326" i="2"/>
  <c r="F325" i="2"/>
  <c r="E325" i="2"/>
  <c r="D325" i="2"/>
  <c r="F324" i="2"/>
  <c r="E324" i="2"/>
  <c r="D324" i="2"/>
  <c r="F323" i="2"/>
  <c r="E323" i="2"/>
  <c r="D323" i="2"/>
  <c r="F322" i="2"/>
  <c r="E322" i="2"/>
  <c r="D322" i="2"/>
  <c r="F321" i="2"/>
  <c r="E321" i="2"/>
  <c r="D321" i="2"/>
  <c r="F320" i="2"/>
  <c r="E320" i="2"/>
  <c r="D320" i="2"/>
  <c r="F319" i="2"/>
  <c r="E319" i="2"/>
  <c r="D319" i="2"/>
  <c r="F318" i="2"/>
  <c r="E318" i="2"/>
  <c r="D318" i="2"/>
  <c r="F317" i="2"/>
  <c r="E317" i="2"/>
  <c r="D317" i="2"/>
  <c r="F316" i="2"/>
  <c r="E316" i="2"/>
  <c r="D316" i="2"/>
  <c r="F315" i="2"/>
  <c r="E315" i="2"/>
  <c r="D315" i="2"/>
  <c r="F314" i="2"/>
  <c r="E314" i="2"/>
  <c r="D314" i="2"/>
  <c r="F313" i="2"/>
  <c r="E313" i="2"/>
  <c r="D313" i="2"/>
  <c r="F312" i="2"/>
  <c r="E312" i="2"/>
  <c r="D312" i="2"/>
  <c r="F311" i="2"/>
  <c r="E311" i="2"/>
  <c r="D311" i="2"/>
  <c r="F7736" i="2"/>
  <c r="E7736" i="2"/>
  <c r="D7736" i="2"/>
  <c r="F7739" i="2"/>
  <c r="E7739" i="2"/>
  <c r="D7739" i="2"/>
  <c r="F7738" i="2"/>
  <c r="E7738" i="2"/>
  <c r="D7738" i="2"/>
  <c r="F7737" i="2"/>
  <c r="E7737" i="2"/>
  <c r="D7737" i="2"/>
  <c r="F8733" i="2"/>
  <c r="E8733" i="2"/>
  <c r="D8733" i="2"/>
  <c r="F8732" i="2"/>
  <c r="E8732" i="2"/>
  <c r="D8732" i="2"/>
  <c r="F8731" i="2"/>
  <c r="E8731" i="2"/>
  <c r="D8731" i="2"/>
  <c r="F8730" i="2"/>
  <c r="E8730" i="2"/>
  <c r="D8730" i="2"/>
  <c r="F8729" i="2"/>
  <c r="E8729" i="2"/>
  <c r="D8729" i="2"/>
  <c r="F8728" i="2"/>
  <c r="E8728" i="2"/>
  <c r="D8728" i="2"/>
  <c r="F8727" i="2"/>
  <c r="E8727" i="2"/>
  <c r="D8727" i="2"/>
  <c r="F8726" i="2"/>
  <c r="E8726" i="2"/>
  <c r="D8726" i="2"/>
  <c r="F7733" i="2"/>
  <c r="E7733" i="2"/>
  <c r="D7733" i="2"/>
  <c r="F7735" i="2"/>
  <c r="E7735" i="2"/>
  <c r="D7735" i="2"/>
  <c r="F7734" i="2"/>
  <c r="E7734" i="2"/>
  <c r="D7734" i="2"/>
  <c r="F15382" i="2"/>
  <c r="E15382" i="2"/>
  <c r="D15382" i="2"/>
  <c r="F15381" i="2"/>
  <c r="E15381" i="2"/>
  <c r="D15381" i="2"/>
  <c r="F7755" i="2"/>
  <c r="E7755" i="2"/>
  <c r="D7755" i="2"/>
  <c r="F7756" i="2"/>
  <c r="E7756" i="2"/>
  <c r="D7756" i="2"/>
  <c r="F6941" i="2"/>
  <c r="E6941" i="2"/>
  <c r="D6941" i="2"/>
  <c r="F6942" i="2"/>
  <c r="E6942" i="2"/>
  <c r="D6942" i="2"/>
  <c r="F12492" i="2"/>
  <c r="E12492" i="2"/>
  <c r="D12492" i="2"/>
  <c r="F12508" i="2"/>
  <c r="E12508" i="2"/>
  <c r="D12508" i="2"/>
  <c r="F12507" i="2"/>
  <c r="E12507" i="2"/>
  <c r="D12507" i="2"/>
  <c r="F12506" i="2"/>
  <c r="E12506" i="2"/>
  <c r="D12506" i="2"/>
  <c r="F12505" i="2"/>
  <c r="E12505" i="2"/>
  <c r="D12505" i="2"/>
  <c r="F12504" i="2"/>
  <c r="E12504" i="2"/>
  <c r="D12504" i="2"/>
  <c r="F12503" i="2"/>
  <c r="E12503" i="2"/>
  <c r="D12503" i="2"/>
  <c r="F12502" i="2"/>
  <c r="E12502" i="2"/>
  <c r="D12502" i="2"/>
  <c r="F12501" i="2"/>
  <c r="E12501" i="2"/>
  <c r="D12501" i="2"/>
  <c r="F12500" i="2"/>
  <c r="E12500" i="2"/>
  <c r="D12500" i="2"/>
  <c r="F12499" i="2"/>
  <c r="E12499" i="2"/>
  <c r="D12499" i="2"/>
  <c r="F12498" i="2"/>
  <c r="E12498" i="2"/>
  <c r="D12498" i="2"/>
  <c r="F12497" i="2"/>
  <c r="E12497" i="2"/>
  <c r="D12497" i="2"/>
  <c r="F12496" i="2"/>
  <c r="E12496" i="2"/>
  <c r="D12496" i="2"/>
  <c r="F12495" i="2"/>
  <c r="E12495" i="2"/>
  <c r="D12495" i="2"/>
  <c r="F12494" i="2"/>
  <c r="E12494" i="2"/>
  <c r="D12494" i="2"/>
  <c r="F12493" i="2"/>
  <c r="E12493" i="2"/>
  <c r="D12493" i="2"/>
  <c r="F8458" i="2"/>
  <c r="E8458" i="2"/>
  <c r="D8458" i="2"/>
  <c r="F8460" i="2"/>
  <c r="E8460" i="2"/>
  <c r="D8460" i="2"/>
  <c r="F8459" i="2"/>
  <c r="E8459" i="2"/>
  <c r="D8459" i="2"/>
  <c r="F7758" i="2"/>
  <c r="E7758" i="2"/>
  <c r="D7758" i="2"/>
  <c r="F7772" i="2"/>
  <c r="E7772" i="2"/>
  <c r="D7772" i="2"/>
  <c r="F7771" i="2"/>
  <c r="E7771" i="2"/>
  <c r="D7771" i="2"/>
  <c r="F7770" i="2"/>
  <c r="E7770" i="2"/>
  <c r="D7770" i="2"/>
  <c r="F7769" i="2"/>
  <c r="E7769" i="2"/>
  <c r="D7769" i="2"/>
  <c r="F7768" i="2"/>
  <c r="E7768" i="2"/>
  <c r="D7768" i="2"/>
  <c r="F7767" i="2"/>
  <c r="E7767" i="2"/>
  <c r="D7767" i="2"/>
  <c r="F7766" i="2"/>
  <c r="E7766" i="2"/>
  <c r="D7766" i="2"/>
  <c r="F7765" i="2"/>
  <c r="E7765" i="2"/>
  <c r="D7765" i="2"/>
  <c r="F7764" i="2"/>
  <c r="E7764" i="2"/>
  <c r="D7764" i="2"/>
  <c r="F7763" i="2"/>
  <c r="E7763" i="2"/>
  <c r="D7763" i="2"/>
  <c r="F7762" i="2"/>
  <c r="E7762" i="2"/>
  <c r="D7762" i="2"/>
  <c r="F7761" i="2"/>
  <c r="E7761" i="2"/>
  <c r="D7761" i="2"/>
  <c r="F7760" i="2"/>
  <c r="E7760" i="2"/>
  <c r="D7760" i="2"/>
  <c r="F7759" i="2"/>
  <c r="E7759" i="2"/>
  <c r="D7759" i="2"/>
  <c r="F7757" i="2"/>
  <c r="E7757" i="2"/>
  <c r="D7757" i="2"/>
  <c r="F11368" i="2"/>
  <c r="E11368" i="2"/>
  <c r="D11368" i="2"/>
  <c r="F11367" i="2"/>
  <c r="E11367" i="2"/>
  <c r="D11367" i="2"/>
  <c r="F11366" i="2"/>
  <c r="E11366" i="2"/>
  <c r="D11366" i="2"/>
  <c r="F11365" i="2"/>
  <c r="E11365" i="2"/>
  <c r="D11365" i="2"/>
  <c r="F16375" i="2"/>
  <c r="E16375" i="2"/>
  <c r="D16375" i="2"/>
  <c r="F8229" i="2"/>
  <c r="E8229" i="2"/>
  <c r="D8229" i="2"/>
  <c r="F8234" i="2"/>
  <c r="E8234" i="2"/>
  <c r="D8234" i="2"/>
  <c r="F8237" i="2"/>
  <c r="E8237" i="2"/>
  <c r="D8237" i="2"/>
  <c r="F8236" i="2"/>
  <c r="E8236" i="2"/>
  <c r="D8236" i="2"/>
  <c r="F8235" i="2"/>
  <c r="E8235" i="2"/>
  <c r="D8235" i="2"/>
  <c r="F8233" i="2"/>
  <c r="E8233" i="2"/>
  <c r="D8233" i="2"/>
  <c r="F8232" i="2"/>
  <c r="E8232" i="2"/>
  <c r="D8232" i="2"/>
  <c r="F8231" i="2"/>
  <c r="E8231" i="2"/>
  <c r="D8231" i="2"/>
  <c r="F8230" i="2"/>
  <c r="E8230" i="2"/>
  <c r="D8230" i="2"/>
  <c r="F5709" i="2"/>
  <c r="E5709" i="2"/>
  <c r="D5709" i="2"/>
  <c r="F5711" i="2"/>
  <c r="E5711" i="2"/>
  <c r="D5711" i="2"/>
  <c r="F5710" i="2"/>
  <c r="E5710" i="2"/>
  <c r="D5710" i="2"/>
  <c r="F5708" i="2"/>
  <c r="E5708" i="2"/>
  <c r="D5708" i="2"/>
  <c r="F9159" i="2"/>
  <c r="E9159" i="2"/>
  <c r="D9159" i="2"/>
  <c r="F9162" i="2"/>
  <c r="E9162" i="2"/>
  <c r="D9162" i="2"/>
  <c r="F9161" i="2"/>
  <c r="E9161" i="2"/>
  <c r="D9161" i="2"/>
  <c r="F9160" i="2"/>
  <c r="E9160" i="2"/>
  <c r="D9160" i="2"/>
  <c r="F6918" i="2"/>
  <c r="E6918" i="2"/>
  <c r="D6918" i="2"/>
  <c r="F6917" i="2"/>
  <c r="E6917" i="2"/>
  <c r="D6917" i="2"/>
  <c r="F6916" i="2"/>
  <c r="E6916" i="2"/>
  <c r="D6916" i="2"/>
  <c r="F6915" i="2"/>
  <c r="E6915" i="2"/>
  <c r="D6915" i="2"/>
  <c r="F2894" i="2"/>
  <c r="E2894" i="2"/>
  <c r="D2894" i="2"/>
  <c r="F2907" i="2"/>
  <c r="E2907" i="2"/>
  <c r="D2907" i="2"/>
  <c r="F2906" i="2"/>
  <c r="E2906" i="2"/>
  <c r="D2906" i="2"/>
  <c r="F2905" i="2"/>
  <c r="E2905" i="2"/>
  <c r="D2905" i="2"/>
  <c r="F2904" i="2"/>
  <c r="E2904" i="2"/>
  <c r="D2904" i="2"/>
  <c r="F2903" i="2"/>
  <c r="E2903" i="2"/>
  <c r="D2903" i="2"/>
  <c r="F2902" i="2"/>
  <c r="E2902" i="2"/>
  <c r="D2902" i="2"/>
  <c r="F2901" i="2"/>
  <c r="E2901" i="2"/>
  <c r="D2901" i="2"/>
  <c r="F2900" i="2"/>
  <c r="E2900" i="2"/>
  <c r="D2900" i="2"/>
  <c r="F2899" i="2"/>
  <c r="E2899" i="2"/>
  <c r="D2899" i="2"/>
  <c r="F2898" i="2"/>
  <c r="E2898" i="2"/>
  <c r="D2898" i="2"/>
  <c r="F2897" i="2"/>
  <c r="E2897" i="2"/>
  <c r="D2897" i="2"/>
  <c r="F2896" i="2"/>
  <c r="E2896" i="2"/>
  <c r="D2896" i="2"/>
  <c r="F2895" i="2"/>
  <c r="E2895" i="2"/>
  <c r="D2895" i="2"/>
  <c r="F11416" i="2"/>
  <c r="E11416" i="2"/>
  <c r="D11416" i="2"/>
  <c r="F11415" i="2"/>
  <c r="E11415" i="2"/>
  <c r="D11415" i="2"/>
  <c r="F11414" i="2"/>
  <c r="E11414" i="2"/>
  <c r="D11414" i="2"/>
  <c r="F11413" i="2"/>
  <c r="E11413" i="2"/>
  <c r="D11413" i="2"/>
  <c r="F11412" i="2"/>
  <c r="E11412" i="2"/>
  <c r="D11412" i="2"/>
  <c r="F11411" i="2"/>
  <c r="E11411" i="2"/>
  <c r="D11411" i="2"/>
  <c r="F11410" i="2"/>
  <c r="E11410" i="2"/>
  <c r="D11410" i="2"/>
  <c r="F11409" i="2"/>
  <c r="E11409" i="2"/>
  <c r="D11409" i="2"/>
  <c r="F16237" i="2"/>
  <c r="E16237" i="2"/>
  <c r="D16237" i="2"/>
  <c r="F16236" i="2"/>
  <c r="E16236" i="2"/>
  <c r="D16236" i="2"/>
  <c r="F10909" i="2"/>
  <c r="E10909" i="2"/>
  <c r="D10909" i="2"/>
  <c r="F10910" i="2"/>
  <c r="E10910" i="2"/>
  <c r="D10910" i="2"/>
  <c r="F10908" i="2"/>
  <c r="E10908" i="2"/>
  <c r="D10908" i="2"/>
  <c r="F10907" i="2"/>
  <c r="E10907" i="2"/>
  <c r="D10907" i="2"/>
  <c r="F10906" i="2"/>
  <c r="E10906" i="2"/>
  <c r="D10906" i="2"/>
  <c r="F10905" i="2"/>
  <c r="E10905" i="2"/>
  <c r="D10905" i="2"/>
  <c r="F10904" i="2"/>
  <c r="E10904" i="2"/>
  <c r="D10904" i="2"/>
  <c r="F10903" i="2"/>
  <c r="E10903" i="2"/>
  <c r="D10903" i="2"/>
  <c r="F10902" i="2"/>
  <c r="E10902" i="2"/>
  <c r="D10902" i="2"/>
  <c r="F16384" i="2"/>
  <c r="E16384" i="2"/>
  <c r="D16384" i="2"/>
  <c r="F16383" i="2"/>
  <c r="E16383" i="2"/>
  <c r="D16383" i="2"/>
  <c r="F16382" i="2"/>
  <c r="E16382" i="2"/>
  <c r="D16382" i="2"/>
  <c r="F16381" i="2"/>
  <c r="E16381" i="2"/>
  <c r="D16381" i="2"/>
  <c r="F16380" i="2"/>
  <c r="E16380" i="2"/>
  <c r="D16380" i="2"/>
  <c r="F16379" i="2"/>
  <c r="E16379" i="2"/>
  <c r="D16379" i="2"/>
  <c r="F16378" i="2"/>
  <c r="E16378" i="2"/>
  <c r="D16378" i="2"/>
  <c r="F16377" i="2"/>
  <c r="E16377" i="2"/>
  <c r="D16377" i="2"/>
  <c r="F16376" i="2"/>
  <c r="E16376" i="2"/>
  <c r="D16376" i="2"/>
  <c r="F12509" i="2"/>
  <c r="E12509" i="2"/>
  <c r="D12509" i="2"/>
  <c r="F12511" i="2"/>
  <c r="E12511" i="2"/>
  <c r="D12511" i="2"/>
  <c r="F12510" i="2"/>
  <c r="E12510" i="2"/>
  <c r="D12510" i="2"/>
  <c r="F4398" i="2"/>
  <c r="E4398" i="2"/>
  <c r="D4398" i="2"/>
  <c r="F4401" i="2"/>
  <c r="E4401" i="2"/>
  <c r="D4401" i="2"/>
  <c r="F4400" i="2"/>
  <c r="E4400" i="2"/>
  <c r="D4400" i="2"/>
  <c r="F4399" i="2"/>
  <c r="E4399" i="2"/>
  <c r="D4399" i="2"/>
  <c r="F10734" i="2"/>
  <c r="E10734" i="2"/>
  <c r="D10734" i="2"/>
  <c r="F332" i="2"/>
  <c r="E332" i="2"/>
  <c r="D332" i="2"/>
  <c r="F338" i="2"/>
  <c r="E338" i="2"/>
  <c r="D338" i="2"/>
  <c r="F337" i="2"/>
  <c r="E337" i="2"/>
  <c r="D337" i="2"/>
  <c r="F336" i="2"/>
  <c r="E336" i="2"/>
  <c r="D336" i="2"/>
  <c r="F335" i="2"/>
  <c r="E335" i="2"/>
  <c r="D335" i="2"/>
  <c r="F334" i="2"/>
  <c r="E334" i="2"/>
  <c r="D334" i="2"/>
  <c r="F333" i="2"/>
  <c r="E333" i="2"/>
  <c r="D333" i="2"/>
  <c r="F7773" i="2"/>
  <c r="E7773" i="2"/>
  <c r="D7773" i="2"/>
  <c r="F3818" i="2"/>
  <c r="E3818" i="2"/>
  <c r="D3818" i="2"/>
  <c r="F3832" i="2"/>
  <c r="E3832" i="2"/>
  <c r="D3832" i="2"/>
  <c r="F3831" i="2"/>
  <c r="E3831" i="2"/>
  <c r="D3831" i="2"/>
  <c r="F3830" i="2"/>
  <c r="E3830" i="2"/>
  <c r="D3830" i="2"/>
  <c r="F3829" i="2"/>
  <c r="E3829" i="2"/>
  <c r="D3829" i="2"/>
  <c r="F3828" i="2"/>
  <c r="E3828" i="2"/>
  <c r="D3828" i="2"/>
  <c r="F3827" i="2"/>
  <c r="E3827" i="2"/>
  <c r="D3827" i="2"/>
  <c r="F3826" i="2"/>
  <c r="E3826" i="2"/>
  <c r="D3826" i="2"/>
  <c r="F3825" i="2"/>
  <c r="E3825" i="2"/>
  <c r="D3825" i="2"/>
  <c r="F3824" i="2"/>
  <c r="E3824" i="2"/>
  <c r="D3824" i="2"/>
  <c r="F3823" i="2"/>
  <c r="E3823" i="2"/>
  <c r="D3823" i="2"/>
  <c r="F3822" i="2"/>
  <c r="E3822" i="2"/>
  <c r="D3822" i="2"/>
  <c r="F3821" i="2"/>
  <c r="E3821" i="2"/>
  <c r="D3821" i="2"/>
  <c r="F3820" i="2"/>
  <c r="E3820" i="2"/>
  <c r="D3820" i="2"/>
  <c r="F3819" i="2"/>
  <c r="E3819" i="2"/>
  <c r="D3819" i="2"/>
  <c r="F7740" i="2"/>
  <c r="E7740" i="2"/>
  <c r="D7740" i="2"/>
  <c r="F7741" i="2"/>
  <c r="E7741" i="2"/>
  <c r="D7741" i="2"/>
  <c r="F8478" i="2"/>
  <c r="E8478" i="2"/>
  <c r="D8478" i="2"/>
  <c r="F8477" i="2"/>
  <c r="E8477" i="2"/>
  <c r="D8477" i="2"/>
  <c r="F8476" i="2"/>
  <c r="E8476" i="2"/>
  <c r="D8476" i="2"/>
  <c r="F8475" i="2"/>
  <c r="E8475" i="2"/>
  <c r="D8475" i="2"/>
  <c r="F8474" i="2"/>
  <c r="E8474" i="2"/>
  <c r="D8474" i="2"/>
  <c r="F8473" i="2"/>
  <c r="E8473" i="2"/>
  <c r="D8473" i="2"/>
  <c r="F8472" i="2"/>
  <c r="E8472" i="2"/>
  <c r="D8472" i="2"/>
  <c r="F8471" i="2"/>
  <c r="E8471" i="2"/>
  <c r="D8471" i="2"/>
  <c r="F8470" i="2"/>
  <c r="E8470" i="2"/>
  <c r="D8470" i="2"/>
  <c r="F8469" i="2"/>
  <c r="E8469" i="2"/>
  <c r="D8469" i="2"/>
  <c r="F8468" i="2"/>
  <c r="E8468" i="2"/>
  <c r="D8468" i="2"/>
  <c r="F8467" i="2"/>
  <c r="E8467" i="2"/>
  <c r="D8467" i="2"/>
  <c r="F8466" i="2"/>
  <c r="E8466" i="2"/>
  <c r="D8466" i="2"/>
  <c r="F8465" i="2"/>
  <c r="E8465" i="2"/>
  <c r="D8465" i="2"/>
  <c r="F8243" i="2"/>
  <c r="E8243" i="2"/>
  <c r="D8243" i="2"/>
  <c r="F8245" i="2"/>
  <c r="E8245" i="2"/>
  <c r="D8245" i="2"/>
  <c r="F8244" i="2"/>
  <c r="E8244" i="2"/>
  <c r="D8244" i="2"/>
  <c r="F8242" i="2"/>
  <c r="E8242" i="2"/>
  <c r="D8242" i="2"/>
  <c r="F8241" i="2"/>
  <c r="E8241" i="2"/>
  <c r="D8241" i="2"/>
  <c r="F8240" i="2"/>
  <c r="E8240" i="2"/>
  <c r="D8240" i="2"/>
  <c r="F8239" i="2"/>
  <c r="E8239" i="2"/>
  <c r="D8239" i="2"/>
  <c r="F8238" i="2"/>
  <c r="E8238" i="2"/>
  <c r="D8238" i="2"/>
  <c r="F8734" i="2"/>
  <c r="E8734" i="2"/>
  <c r="D8734" i="2"/>
  <c r="F8736" i="2"/>
  <c r="E8736" i="2"/>
  <c r="D8736" i="2"/>
  <c r="F8735" i="2"/>
  <c r="E8735" i="2"/>
  <c r="D8735" i="2"/>
  <c r="F3720" i="2"/>
  <c r="E3720" i="2"/>
  <c r="D3720" i="2"/>
  <c r="F3743" i="2"/>
  <c r="E3743" i="2"/>
  <c r="D3743" i="2"/>
  <c r="F3742" i="2"/>
  <c r="E3742" i="2"/>
  <c r="D3742" i="2"/>
  <c r="F3741" i="2"/>
  <c r="E3741" i="2"/>
  <c r="D3741" i="2"/>
  <c r="F3740" i="2"/>
  <c r="E3740" i="2"/>
  <c r="D3740" i="2"/>
  <c r="F3739" i="2"/>
  <c r="E3739" i="2"/>
  <c r="D3739" i="2"/>
  <c r="F3738" i="2"/>
  <c r="E3738" i="2"/>
  <c r="D3738" i="2"/>
  <c r="F3737" i="2"/>
  <c r="E3737" i="2"/>
  <c r="D3737" i="2"/>
  <c r="F3736" i="2"/>
  <c r="E3736" i="2"/>
  <c r="D3736" i="2"/>
  <c r="F3735" i="2"/>
  <c r="E3735" i="2"/>
  <c r="D3735" i="2"/>
  <c r="F3734" i="2"/>
  <c r="E3734" i="2"/>
  <c r="D3734" i="2"/>
  <c r="F3733" i="2"/>
  <c r="E3733" i="2"/>
  <c r="D3733" i="2"/>
  <c r="F3732" i="2"/>
  <c r="E3732" i="2"/>
  <c r="D3732" i="2"/>
  <c r="F3731" i="2"/>
  <c r="E3731" i="2"/>
  <c r="D3731" i="2"/>
  <c r="F3730" i="2"/>
  <c r="E3730" i="2"/>
  <c r="D3730" i="2"/>
  <c r="F3729" i="2"/>
  <c r="E3729" i="2"/>
  <c r="D3729" i="2"/>
  <c r="F3728" i="2"/>
  <c r="E3728" i="2"/>
  <c r="D3728" i="2"/>
  <c r="F3727" i="2"/>
  <c r="E3727" i="2"/>
  <c r="D3727" i="2"/>
  <c r="F3726" i="2"/>
  <c r="E3726" i="2"/>
  <c r="D3726" i="2"/>
  <c r="F3725" i="2"/>
  <c r="E3725" i="2"/>
  <c r="D3725" i="2"/>
  <c r="F3724" i="2"/>
  <c r="E3724" i="2"/>
  <c r="D3724" i="2"/>
  <c r="F3723" i="2"/>
  <c r="E3723" i="2"/>
  <c r="D3723" i="2"/>
  <c r="F3722" i="2"/>
  <c r="E3722" i="2"/>
  <c r="D3722" i="2"/>
  <c r="F3721" i="2"/>
  <c r="E3721" i="2"/>
  <c r="D3721" i="2"/>
  <c r="F7742" i="2"/>
  <c r="E7742" i="2"/>
  <c r="D7742" i="2"/>
  <c r="F7754" i="2"/>
  <c r="E7754" i="2"/>
  <c r="D7754" i="2"/>
  <c r="F7753" i="2"/>
  <c r="E7753" i="2"/>
  <c r="D7753" i="2"/>
  <c r="F7752" i="2"/>
  <c r="E7752" i="2"/>
  <c r="D7752" i="2"/>
  <c r="F7751" i="2"/>
  <c r="E7751" i="2"/>
  <c r="D7751" i="2"/>
  <c r="F7750" i="2"/>
  <c r="E7750" i="2"/>
  <c r="D7750" i="2"/>
  <c r="F7749" i="2"/>
  <c r="E7749" i="2"/>
  <c r="D7749" i="2"/>
  <c r="F7748" i="2"/>
  <c r="E7748" i="2"/>
  <c r="D7748" i="2"/>
  <c r="F7747" i="2"/>
  <c r="E7747" i="2"/>
  <c r="D7747" i="2"/>
  <c r="F7746" i="2"/>
  <c r="E7746" i="2"/>
  <c r="D7746" i="2"/>
  <c r="F7745" i="2"/>
  <c r="E7745" i="2"/>
  <c r="D7745" i="2"/>
  <c r="F7744" i="2"/>
  <c r="E7744" i="2"/>
  <c r="D7744" i="2"/>
  <c r="F7743" i="2"/>
  <c r="E7743" i="2"/>
  <c r="D7743" i="2"/>
  <c r="F13340" i="2"/>
  <c r="E13340" i="2"/>
  <c r="D13340" i="2"/>
  <c r="F13339" i="2"/>
  <c r="E13339" i="2"/>
  <c r="D13339" i="2"/>
  <c r="F16400" i="2"/>
  <c r="E16400" i="2"/>
  <c r="D16400" i="2"/>
  <c r="F16399" i="2"/>
  <c r="E16399" i="2"/>
  <c r="D16399" i="2"/>
  <c r="F16398" i="2"/>
  <c r="E16398" i="2"/>
  <c r="D16398" i="2"/>
  <c r="F16397" i="2"/>
  <c r="E16397" i="2"/>
  <c r="D16397" i="2"/>
  <c r="F16396" i="2"/>
  <c r="E16396" i="2"/>
  <c r="D16396" i="2"/>
  <c r="F16395" i="2"/>
  <c r="E16395" i="2"/>
  <c r="D16395" i="2"/>
  <c r="F16394" i="2"/>
  <c r="E16394" i="2"/>
  <c r="D16394" i="2"/>
  <c r="F16393" i="2"/>
  <c r="E16393" i="2"/>
  <c r="D16393" i="2"/>
  <c r="F16392" i="2"/>
  <c r="E16392" i="2"/>
  <c r="D16392" i="2"/>
  <c r="F16391" i="2"/>
  <c r="E16391" i="2"/>
  <c r="D16391" i="2"/>
  <c r="F16390" i="2"/>
  <c r="E16390" i="2"/>
  <c r="D16390" i="2"/>
  <c r="F16389" i="2"/>
  <c r="E16389" i="2"/>
  <c r="D16389" i="2"/>
  <c r="F16388" i="2"/>
  <c r="E16388" i="2"/>
  <c r="D16388" i="2"/>
  <c r="F16387" i="2"/>
  <c r="E16387" i="2"/>
  <c r="D16387" i="2"/>
  <c r="F16386" i="2"/>
  <c r="E16386" i="2"/>
  <c r="D16386" i="2"/>
  <c r="F16385" i="2"/>
  <c r="E16385" i="2"/>
  <c r="D16385" i="2"/>
  <c r="F10746" i="2"/>
  <c r="E10746" i="2"/>
  <c r="D10746" i="2"/>
  <c r="F4455" i="2"/>
  <c r="E4455" i="2"/>
  <c r="D4455" i="2"/>
  <c r="F4459" i="2"/>
  <c r="E4459" i="2"/>
  <c r="D4459" i="2"/>
  <c r="F4458" i="2"/>
  <c r="E4458" i="2"/>
  <c r="D4458" i="2"/>
  <c r="F4457" i="2"/>
  <c r="E4457" i="2"/>
  <c r="D4457" i="2"/>
  <c r="F4456" i="2"/>
  <c r="E4456" i="2"/>
  <c r="D4456" i="2"/>
  <c r="F6103" i="2"/>
  <c r="E6103" i="2"/>
  <c r="D6103" i="2"/>
  <c r="F6102" i="2"/>
  <c r="E6102" i="2"/>
  <c r="D6102" i="2"/>
  <c r="F6101" i="2"/>
  <c r="E6101" i="2"/>
  <c r="D6101" i="2"/>
  <c r="F6100" i="2"/>
  <c r="E6100" i="2"/>
  <c r="D6100" i="2"/>
  <c r="F6099" i="2"/>
  <c r="E6099" i="2"/>
  <c r="D6099" i="2"/>
  <c r="F6098" i="2"/>
  <c r="E6098" i="2"/>
  <c r="D6098" i="2"/>
  <c r="F6097" i="2"/>
  <c r="E6097" i="2"/>
  <c r="D6097" i="2"/>
  <c r="F10747" i="2"/>
  <c r="E10747" i="2"/>
  <c r="D10747" i="2"/>
  <c r="F830" i="2"/>
  <c r="E830" i="2"/>
  <c r="D830" i="2"/>
  <c r="F10748" i="2"/>
  <c r="E10748" i="2"/>
  <c r="D10748" i="2"/>
  <c r="F10752" i="2"/>
  <c r="E10752" i="2"/>
  <c r="D10752" i="2"/>
  <c r="F10751" i="2"/>
  <c r="E10751" i="2"/>
  <c r="D10751" i="2"/>
  <c r="F10750" i="2"/>
  <c r="E10750" i="2"/>
  <c r="D10750" i="2"/>
  <c r="F10749" i="2"/>
  <c r="E10749" i="2"/>
  <c r="D10749" i="2"/>
  <c r="F8482" i="2"/>
  <c r="E8482" i="2"/>
  <c r="D8482" i="2"/>
  <c r="F8481" i="2"/>
  <c r="E8481" i="2"/>
  <c r="D8481" i="2"/>
  <c r="F8480" i="2"/>
  <c r="E8480" i="2"/>
  <c r="D8480" i="2"/>
  <c r="F8479" i="2"/>
  <c r="E8479" i="2"/>
  <c r="D8479" i="2"/>
  <c r="F3744" i="2"/>
  <c r="E3744" i="2"/>
  <c r="D3744" i="2"/>
  <c r="F3755" i="2"/>
  <c r="E3755" i="2"/>
  <c r="D3755" i="2"/>
  <c r="F3754" i="2"/>
  <c r="E3754" i="2"/>
  <c r="D3754" i="2"/>
  <c r="F3753" i="2"/>
  <c r="E3753" i="2"/>
  <c r="D3753" i="2"/>
  <c r="F3752" i="2"/>
  <c r="E3752" i="2"/>
  <c r="D3752" i="2"/>
  <c r="F3751" i="2"/>
  <c r="E3751" i="2"/>
  <c r="D3751" i="2"/>
  <c r="F3750" i="2"/>
  <c r="E3750" i="2"/>
  <c r="D3750" i="2"/>
  <c r="F3749" i="2"/>
  <c r="E3749" i="2"/>
  <c r="D3749" i="2"/>
  <c r="F3748" i="2"/>
  <c r="E3748" i="2"/>
  <c r="D3748" i="2"/>
  <c r="F3747" i="2"/>
  <c r="E3747" i="2"/>
  <c r="D3747" i="2"/>
  <c r="F3746" i="2"/>
  <c r="E3746" i="2"/>
  <c r="D3746" i="2"/>
  <c r="F3745" i="2"/>
  <c r="E3745" i="2"/>
  <c r="D3745" i="2"/>
  <c r="F7791" i="2"/>
  <c r="E7791" i="2"/>
  <c r="D7791" i="2"/>
  <c r="F7790" i="2"/>
  <c r="E7790" i="2"/>
  <c r="D7790" i="2"/>
  <c r="F13274" i="2"/>
  <c r="E13274" i="2"/>
  <c r="D13274" i="2"/>
  <c r="F13276" i="2"/>
  <c r="E13276" i="2"/>
  <c r="D13276" i="2"/>
  <c r="F13275" i="2"/>
  <c r="E13275" i="2"/>
  <c r="D13275" i="2"/>
  <c r="F13410" i="2"/>
  <c r="E13410" i="2"/>
  <c r="D13410" i="2"/>
  <c r="F13411" i="2"/>
  <c r="E13411" i="2"/>
  <c r="D13411" i="2"/>
  <c r="F9427" i="2"/>
  <c r="E9427" i="2"/>
  <c r="D9427" i="2"/>
  <c r="F7776" i="2"/>
  <c r="E7776" i="2"/>
  <c r="D7776" i="2"/>
  <c r="F7777" i="2"/>
  <c r="E7777" i="2"/>
  <c r="D7777" i="2"/>
  <c r="F7100" i="2"/>
  <c r="E7100" i="2"/>
  <c r="D7100" i="2"/>
  <c r="F7107" i="2"/>
  <c r="E7107" i="2"/>
  <c r="D7107" i="2"/>
  <c r="F7106" i="2"/>
  <c r="E7106" i="2"/>
  <c r="D7106" i="2"/>
  <c r="F7105" i="2"/>
  <c r="E7105" i="2"/>
  <c r="D7105" i="2"/>
  <c r="F7104" i="2"/>
  <c r="E7104" i="2"/>
  <c r="D7104" i="2"/>
  <c r="F7103" i="2"/>
  <c r="E7103" i="2"/>
  <c r="D7103" i="2"/>
  <c r="F7102" i="2"/>
  <c r="E7102" i="2"/>
  <c r="D7102" i="2"/>
  <c r="F7101" i="2"/>
  <c r="E7101" i="2"/>
  <c r="D7101" i="2"/>
  <c r="F13155" i="2"/>
  <c r="E13155" i="2"/>
  <c r="D13155" i="2"/>
  <c r="F13157" i="2"/>
  <c r="E13157" i="2"/>
  <c r="D13157" i="2"/>
  <c r="F13156" i="2"/>
  <c r="E13156" i="2"/>
  <c r="D13156" i="2"/>
  <c r="F15276" i="2"/>
  <c r="E15276" i="2"/>
  <c r="D15276" i="2"/>
  <c r="F13462" i="2"/>
  <c r="E13462" i="2"/>
  <c r="D13462" i="2"/>
  <c r="F13461" i="2"/>
  <c r="E13461" i="2"/>
  <c r="D13461" i="2"/>
  <c r="F13460" i="2"/>
  <c r="E13460" i="2"/>
  <c r="D13460" i="2"/>
  <c r="F13459" i="2"/>
  <c r="E13459" i="2"/>
  <c r="D13459" i="2"/>
  <c r="F13458" i="2"/>
  <c r="E13458" i="2"/>
  <c r="D13458" i="2"/>
  <c r="F13457" i="2"/>
  <c r="E13457" i="2"/>
  <c r="D13457" i="2"/>
  <c r="F3478" i="2"/>
  <c r="E3478" i="2"/>
  <c r="D3478" i="2"/>
  <c r="F6859" i="2"/>
  <c r="E6859" i="2"/>
  <c r="D6859" i="2"/>
  <c r="F6866" i="2"/>
  <c r="E6866" i="2"/>
  <c r="D6866" i="2"/>
  <c r="F6865" i="2"/>
  <c r="E6865" i="2"/>
  <c r="D6865" i="2"/>
  <c r="F6864" i="2"/>
  <c r="E6864" i="2"/>
  <c r="D6864" i="2"/>
  <c r="F6863" i="2"/>
  <c r="E6863" i="2"/>
  <c r="D6863" i="2"/>
  <c r="F6862" i="2"/>
  <c r="E6862" i="2"/>
  <c r="D6862" i="2"/>
  <c r="F6861" i="2"/>
  <c r="E6861" i="2"/>
  <c r="D6861" i="2"/>
  <c r="F6860" i="2"/>
  <c r="E6860" i="2"/>
  <c r="D6860" i="2"/>
  <c r="F11665" i="2"/>
  <c r="E11665" i="2"/>
  <c r="D11665" i="2"/>
  <c r="F11675" i="2"/>
  <c r="E11675" i="2"/>
  <c r="D11675" i="2"/>
  <c r="F11674" i="2"/>
  <c r="E11674" i="2"/>
  <c r="D11674" i="2"/>
  <c r="F11673" i="2"/>
  <c r="E11673" i="2"/>
  <c r="D11673" i="2"/>
  <c r="F11672" i="2"/>
  <c r="E11672" i="2"/>
  <c r="D11672" i="2"/>
  <c r="F11671" i="2"/>
  <c r="E11671" i="2"/>
  <c r="D11671" i="2"/>
  <c r="F11670" i="2"/>
  <c r="E11670" i="2"/>
  <c r="D11670" i="2"/>
  <c r="F11669" i="2"/>
  <c r="E11669" i="2"/>
  <c r="D11669" i="2"/>
  <c r="F11668" i="2"/>
  <c r="E11668" i="2"/>
  <c r="D11668" i="2"/>
  <c r="F11667" i="2"/>
  <c r="E11667" i="2"/>
  <c r="D11667" i="2"/>
  <c r="F11666" i="2"/>
  <c r="E11666" i="2"/>
  <c r="D11666" i="2"/>
  <c r="F8737" i="2"/>
  <c r="E8737" i="2"/>
  <c r="D8737" i="2"/>
  <c r="F11417" i="2"/>
  <c r="E11417" i="2"/>
  <c r="D11417" i="2"/>
  <c r="F8489" i="2"/>
  <c r="E8489" i="2"/>
  <c r="D8489" i="2"/>
  <c r="F8488" i="2"/>
  <c r="E8488" i="2"/>
  <c r="D8488" i="2"/>
  <c r="F8487" i="2"/>
  <c r="E8487" i="2"/>
  <c r="D8487" i="2"/>
  <c r="F8486" i="2"/>
  <c r="E8486" i="2"/>
  <c r="D8486" i="2"/>
  <c r="F8485" i="2"/>
  <c r="E8485" i="2"/>
  <c r="D8485" i="2"/>
  <c r="F8484" i="2"/>
  <c r="E8484" i="2"/>
  <c r="D8484" i="2"/>
  <c r="F8483" i="2"/>
  <c r="E8483" i="2"/>
  <c r="D8483" i="2"/>
  <c r="F13167" i="2"/>
  <c r="E13167" i="2"/>
  <c r="D13167" i="2"/>
  <c r="F12848" i="2"/>
  <c r="E12848" i="2"/>
  <c r="D12848" i="2"/>
  <c r="F12847" i="2"/>
  <c r="E12847" i="2"/>
  <c r="D12847" i="2"/>
  <c r="F12846" i="2"/>
  <c r="E12846" i="2"/>
  <c r="D12846" i="2"/>
  <c r="F12845" i="2"/>
  <c r="E12845" i="2"/>
  <c r="D12845" i="2"/>
  <c r="F2921" i="2"/>
  <c r="E2921" i="2"/>
  <c r="D2921" i="2"/>
  <c r="F2927" i="2"/>
  <c r="E2927" i="2"/>
  <c r="D2927" i="2"/>
  <c r="F2926" i="2"/>
  <c r="E2926" i="2"/>
  <c r="D2926" i="2"/>
  <c r="F2925" i="2"/>
  <c r="E2925" i="2"/>
  <c r="D2925" i="2"/>
  <c r="F2924" i="2"/>
  <c r="E2924" i="2"/>
  <c r="D2924" i="2"/>
  <c r="F2923" i="2"/>
  <c r="E2923" i="2"/>
  <c r="D2923" i="2"/>
  <c r="F2922" i="2"/>
  <c r="E2922" i="2"/>
  <c r="D2922" i="2"/>
  <c r="F10757" i="2"/>
  <c r="E10757" i="2"/>
  <c r="D10757" i="2"/>
  <c r="F10756" i="2"/>
  <c r="E10756" i="2"/>
  <c r="D10756" i="2"/>
  <c r="F10755" i="2"/>
  <c r="E10755" i="2"/>
  <c r="D10755" i="2"/>
  <c r="F10754" i="2"/>
  <c r="E10754" i="2"/>
  <c r="D10754" i="2"/>
  <c r="F10753" i="2"/>
  <c r="E10753" i="2"/>
  <c r="D10753" i="2"/>
  <c r="F9344" i="2"/>
  <c r="E9344" i="2"/>
  <c r="D9344" i="2"/>
  <c r="F7784" i="2"/>
  <c r="E7784" i="2"/>
  <c r="D7784" i="2"/>
  <c r="F7775" i="2"/>
  <c r="E7775" i="2"/>
  <c r="D7775" i="2"/>
  <c r="F7774" i="2"/>
  <c r="E7774" i="2"/>
  <c r="D7774" i="2"/>
  <c r="F8738" i="2"/>
  <c r="E8738" i="2"/>
  <c r="D8738" i="2"/>
  <c r="F8745" i="2"/>
  <c r="E8745" i="2"/>
  <c r="D8745" i="2"/>
  <c r="F8744" i="2"/>
  <c r="E8744" i="2"/>
  <c r="D8744" i="2"/>
  <c r="F8743" i="2"/>
  <c r="E8743" i="2"/>
  <c r="D8743" i="2"/>
  <c r="F8742" i="2"/>
  <c r="E8742" i="2"/>
  <c r="D8742" i="2"/>
  <c r="F8741" i="2"/>
  <c r="E8741" i="2"/>
  <c r="D8741" i="2"/>
  <c r="F8740" i="2"/>
  <c r="E8740" i="2"/>
  <c r="D8740" i="2"/>
  <c r="F8739" i="2"/>
  <c r="E8739" i="2"/>
  <c r="D8739" i="2"/>
  <c r="F6627" i="2"/>
  <c r="E6627" i="2"/>
  <c r="D6627" i="2"/>
  <c r="F8464" i="2"/>
  <c r="E8464" i="2"/>
  <c r="D8464" i="2"/>
  <c r="F8463" i="2"/>
  <c r="E8463" i="2"/>
  <c r="D8463" i="2"/>
  <c r="F8462" i="2"/>
  <c r="E8462" i="2"/>
  <c r="D8462" i="2"/>
  <c r="F8461" i="2"/>
  <c r="E8461" i="2"/>
  <c r="D8461" i="2"/>
  <c r="F6943" i="2"/>
  <c r="E6943" i="2"/>
  <c r="D6943" i="2"/>
  <c r="F7783" i="2"/>
  <c r="E7783" i="2"/>
  <c r="D7783" i="2"/>
  <c r="F7782" i="2"/>
  <c r="E7782" i="2"/>
  <c r="D7782" i="2"/>
  <c r="F7781" i="2"/>
  <c r="E7781" i="2"/>
  <c r="D7781" i="2"/>
  <c r="F7780" i="2"/>
  <c r="E7780" i="2"/>
  <c r="D7780" i="2"/>
  <c r="F7779" i="2"/>
  <c r="E7779" i="2"/>
  <c r="D7779" i="2"/>
  <c r="F7778" i="2"/>
  <c r="E7778" i="2"/>
  <c r="D7778" i="2"/>
  <c r="F12158" i="2"/>
  <c r="E12158" i="2"/>
  <c r="D12158" i="2"/>
  <c r="F12161" i="2"/>
  <c r="E12161" i="2"/>
  <c r="D12161" i="2"/>
  <c r="F12160" i="2"/>
  <c r="E12160" i="2"/>
  <c r="D12160" i="2"/>
  <c r="F12159" i="2"/>
  <c r="E12159" i="2"/>
  <c r="D12159" i="2"/>
  <c r="F7785" i="2"/>
  <c r="E7785" i="2"/>
  <c r="D7785" i="2"/>
  <c r="F7789" i="2"/>
  <c r="E7789" i="2"/>
  <c r="D7789" i="2"/>
  <c r="F7788" i="2"/>
  <c r="E7788" i="2"/>
  <c r="D7788" i="2"/>
  <c r="F7787" i="2"/>
  <c r="E7787" i="2"/>
  <c r="D7787" i="2"/>
  <c r="F7786" i="2"/>
  <c r="E7786" i="2"/>
  <c r="D7786" i="2"/>
  <c r="F7792" i="2"/>
  <c r="E7792" i="2"/>
  <c r="D7792" i="2"/>
  <c r="F7796" i="2"/>
  <c r="E7796" i="2"/>
  <c r="D7796" i="2"/>
  <c r="F7795" i="2"/>
  <c r="E7795" i="2"/>
  <c r="D7795" i="2"/>
  <c r="F7794" i="2"/>
  <c r="E7794" i="2"/>
  <c r="D7794" i="2"/>
  <c r="F7793" i="2"/>
  <c r="E7793" i="2"/>
  <c r="D7793" i="2"/>
  <c r="F7549" i="2"/>
  <c r="E7549" i="2"/>
  <c r="D7549" i="2"/>
  <c r="F7550" i="2"/>
  <c r="E7550" i="2"/>
  <c r="D7550" i="2"/>
  <c r="F11418" i="2"/>
  <c r="E11418" i="2"/>
  <c r="D11418" i="2"/>
  <c r="F11419" i="2"/>
  <c r="E11419" i="2"/>
  <c r="D11419" i="2"/>
  <c r="F6181" i="2"/>
  <c r="E6181" i="2"/>
  <c r="D6181" i="2"/>
  <c r="F7113" i="2"/>
  <c r="E7113" i="2"/>
  <c r="D7113" i="2"/>
  <c r="F7112" i="2"/>
  <c r="E7112" i="2"/>
  <c r="D7112" i="2"/>
  <c r="F7111" i="2"/>
  <c r="E7111" i="2"/>
  <c r="D7111" i="2"/>
  <c r="F7110" i="2"/>
  <c r="E7110" i="2"/>
  <c r="D7110" i="2"/>
  <c r="F7109" i="2"/>
  <c r="E7109" i="2"/>
  <c r="D7109" i="2"/>
  <c r="F7108" i="2"/>
  <c r="E7108" i="2"/>
  <c r="D7108" i="2"/>
  <c r="F6630" i="2"/>
  <c r="E6630" i="2"/>
  <c r="D6630" i="2"/>
  <c r="F6629" i="2"/>
  <c r="E6629" i="2"/>
  <c r="D6629" i="2"/>
  <c r="F6628" i="2"/>
  <c r="E6628" i="2"/>
  <c r="D6628" i="2"/>
  <c r="F8491" i="2"/>
  <c r="E8491" i="2"/>
  <c r="D8491" i="2"/>
  <c r="F8490" i="2"/>
  <c r="E8490" i="2"/>
  <c r="D8490" i="2"/>
  <c r="F6626" i="2"/>
  <c r="E6626" i="2"/>
  <c r="D6626" i="2"/>
  <c r="F6624" i="2"/>
  <c r="E6624" i="2"/>
  <c r="D6624" i="2"/>
  <c r="F6625" i="2"/>
  <c r="E6625" i="2"/>
  <c r="D6625" i="2"/>
  <c r="F6623" i="2"/>
  <c r="E6623" i="2"/>
  <c r="D6623" i="2"/>
  <c r="F6622" i="2"/>
  <c r="E6622" i="2"/>
  <c r="D6622" i="2"/>
  <c r="F6621" i="2"/>
  <c r="E6621" i="2"/>
  <c r="D6621" i="2"/>
  <c r="F6620" i="2"/>
  <c r="E6620" i="2"/>
  <c r="D6620" i="2"/>
  <c r="F6619" i="2"/>
  <c r="E6619" i="2"/>
  <c r="D6619" i="2"/>
  <c r="F7798" i="2"/>
  <c r="E7798" i="2"/>
  <c r="D7798" i="2"/>
  <c r="F7802" i="2"/>
  <c r="E7802" i="2"/>
  <c r="D7802" i="2"/>
  <c r="F7801" i="2"/>
  <c r="E7801" i="2"/>
  <c r="D7801" i="2"/>
  <c r="F7800" i="2"/>
  <c r="E7800" i="2"/>
  <c r="D7800" i="2"/>
  <c r="F7799" i="2"/>
  <c r="E7799" i="2"/>
  <c r="D7799" i="2"/>
  <c r="F13161" i="2"/>
  <c r="E13161" i="2"/>
  <c r="D13161" i="2"/>
  <c r="F13166" i="2"/>
  <c r="E13166" i="2"/>
  <c r="D13166" i="2"/>
  <c r="F13165" i="2"/>
  <c r="E13165" i="2"/>
  <c r="D13165" i="2"/>
  <c r="F13164" i="2"/>
  <c r="E13164" i="2"/>
  <c r="D13164" i="2"/>
  <c r="F13163" i="2"/>
  <c r="E13163" i="2"/>
  <c r="D13163" i="2"/>
  <c r="F13162" i="2"/>
  <c r="E13162" i="2"/>
  <c r="D13162" i="2"/>
  <c r="F7803" i="2"/>
  <c r="E7803" i="2"/>
  <c r="D7803" i="2"/>
  <c r="F7804" i="2"/>
  <c r="E7804" i="2"/>
  <c r="D7804" i="2"/>
  <c r="F7797" i="2"/>
  <c r="E7797" i="2"/>
  <c r="D7797" i="2"/>
  <c r="F7805" i="2"/>
  <c r="E7805" i="2"/>
  <c r="D7805" i="2"/>
  <c r="F7808" i="2"/>
  <c r="E7808" i="2"/>
  <c r="D7808" i="2"/>
  <c r="F7807" i="2"/>
  <c r="E7807" i="2"/>
  <c r="D7807" i="2"/>
  <c r="F7806" i="2"/>
  <c r="E7806" i="2"/>
  <c r="D7806" i="2"/>
  <c r="F12844" i="2"/>
  <c r="E12844" i="2"/>
  <c r="D12844" i="2"/>
  <c r="F7128" i="2"/>
  <c r="E7128" i="2"/>
  <c r="D7128" i="2"/>
  <c r="F7137" i="2"/>
  <c r="E7137" i="2"/>
  <c r="D7137" i="2"/>
  <c r="F7136" i="2"/>
  <c r="E7136" i="2"/>
  <c r="D7136" i="2"/>
  <c r="F7135" i="2"/>
  <c r="E7135" i="2"/>
  <c r="D7135" i="2"/>
  <c r="F7134" i="2"/>
  <c r="E7134" i="2"/>
  <c r="D7134" i="2"/>
  <c r="F7133" i="2"/>
  <c r="E7133" i="2"/>
  <c r="D7133" i="2"/>
  <c r="F7132" i="2"/>
  <c r="E7132" i="2"/>
  <c r="D7132" i="2"/>
  <c r="F7131" i="2"/>
  <c r="E7131" i="2"/>
  <c r="D7131" i="2"/>
  <c r="F7130" i="2"/>
  <c r="E7130" i="2"/>
  <c r="D7130" i="2"/>
  <c r="F7129" i="2"/>
  <c r="E7129" i="2"/>
  <c r="D7129" i="2"/>
  <c r="F8027" i="2"/>
  <c r="E8027" i="2"/>
  <c r="D8027" i="2"/>
  <c r="F8033" i="2"/>
  <c r="E8033" i="2"/>
  <c r="D8033" i="2"/>
  <c r="F8032" i="2"/>
  <c r="E8032" i="2"/>
  <c r="D8032" i="2"/>
  <c r="F8031" i="2"/>
  <c r="E8031" i="2"/>
  <c r="D8031" i="2"/>
  <c r="F8030" i="2"/>
  <c r="E8030" i="2"/>
  <c r="D8030" i="2"/>
  <c r="F8029" i="2"/>
  <c r="E8029" i="2"/>
  <c r="D8029" i="2"/>
  <c r="F8028" i="2"/>
  <c r="E8028" i="2"/>
  <c r="D8028" i="2"/>
  <c r="F7809" i="2"/>
  <c r="E7809" i="2"/>
  <c r="D7809" i="2"/>
  <c r="F7828" i="2"/>
  <c r="E7828" i="2"/>
  <c r="D7828" i="2"/>
  <c r="F7827" i="2"/>
  <c r="E7827" i="2"/>
  <c r="D7827" i="2"/>
  <c r="F7826" i="2"/>
  <c r="E7826" i="2"/>
  <c r="D7826" i="2"/>
  <c r="F7825" i="2"/>
  <c r="E7825" i="2"/>
  <c r="D7825" i="2"/>
  <c r="F7824" i="2"/>
  <c r="E7824" i="2"/>
  <c r="D7824" i="2"/>
  <c r="F7823" i="2"/>
  <c r="E7823" i="2"/>
  <c r="D7823" i="2"/>
  <c r="F7822" i="2"/>
  <c r="E7822" i="2"/>
  <c r="D7822" i="2"/>
  <c r="F7821" i="2"/>
  <c r="E7821" i="2"/>
  <c r="D7821" i="2"/>
  <c r="F7820" i="2"/>
  <c r="E7820" i="2"/>
  <c r="D7820" i="2"/>
  <c r="F7819" i="2"/>
  <c r="E7819" i="2"/>
  <c r="D7819" i="2"/>
  <c r="F7818" i="2"/>
  <c r="E7818" i="2"/>
  <c r="D7818" i="2"/>
  <c r="F7817" i="2"/>
  <c r="E7817" i="2"/>
  <c r="D7817" i="2"/>
  <c r="F7816" i="2"/>
  <c r="E7816" i="2"/>
  <c r="D7816" i="2"/>
  <c r="F7815" i="2"/>
  <c r="E7815" i="2"/>
  <c r="D7815" i="2"/>
  <c r="F7814" i="2"/>
  <c r="E7814" i="2"/>
  <c r="D7814" i="2"/>
  <c r="F7813" i="2"/>
  <c r="E7813" i="2"/>
  <c r="D7813" i="2"/>
  <c r="F7812" i="2"/>
  <c r="E7812" i="2"/>
  <c r="D7812" i="2"/>
  <c r="F7811" i="2"/>
  <c r="E7811" i="2"/>
  <c r="D7811" i="2"/>
  <c r="F7810" i="2"/>
  <c r="E7810" i="2"/>
  <c r="D7810" i="2"/>
  <c r="F4356" i="2"/>
  <c r="E4356" i="2"/>
  <c r="D4356" i="2"/>
  <c r="F4357" i="2"/>
  <c r="E4357" i="2"/>
  <c r="D4357" i="2"/>
  <c r="F6104" i="2"/>
  <c r="E6104" i="2"/>
  <c r="D6104" i="2"/>
  <c r="F6120" i="2"/>
  <c r="E6120" i="2"/>
  <c r="D6120" i="2"/>
  <c r="F6119" i="2"/>
  <c r="E6119" i="2"/>
  <c r="D6119" i="2"/>
  <c r="F6118" i="2"/>
  <c r="E6118" i="2"/>
  <c r="D6118" i="2"/>
  <c r="F6117" i="2"/>
  <c r="E6117" i="2"/>
  <c r="D6117" i="2"/>
  <c r="F6116" i="2"/>
  <c r="E6116" i="2"/>
  <c r="D6116" i="2"/>
  <c r="F6115" i="2"/>
  <c r="E6115" i="2"/>
  <c r="D6115" i="2"/>
  <c r="F6114" i="2"/>
  <c r="E6114" i="2"/>
  <c r="D6114" i="2"/>
  <c r="F6113" i="2"/>
  <c r="E6113" i="2"/>
  <c r="D6113" i="2"/>
  <c r="F6112" i="2"/>
  <c r="E6112" i="2"/>
  <c r="D6112" i="2"/>
  <c r="F6111" i="2"/>
  <c r="E6111" i="2"/>
  <c r="D6111" i="2"/>
  <c r="F6110" i="2"/>
  <c r="E6110" i="2"/>
  <c r="D6110" i="2"/>
  <c r="F6109" i="2"/>
  <c r="E6109" i="2"/>
  <c r="D6109" i="2"/>
  <c r="F6108" i="2"/>
  <c r="E6108" i="2"/>
  <c r="D6108" i="2"/>
  <c r="F6107" i="2"/>
  <c r="E6107" i="2"/>
  <c r="D6107" i="2"/>
  <c r="F6106" i="2"/>
  <c r="E6106" i="2"/>
  <c r="D6106" i="2"/>
  <c r="F6105" i="2"/>
  <c r="E6105" i="2"/>
  <c r="D6105" i="2"/>
  <c r="F13306" i="2"/>
  <c r="E13306" i="2"/>
  <c r="D13306" i="2"/>
  <c r="F13305" i="2"/>
  <c r="E13305" i="2"/>
  <c r="D13305" i="2"/>
  <c r="F13304" i="2"/>
  <c r="E13304" i="2"/>
  <c r="D13304" i="2"/>
  <c r="F13347" i="2"/>
  <c r="E13347" i="2"/>
  <c r="D13347" i="2"/>
  <c r="F600" i="2"/>
  <c r="E600" i="2"/>
  <c r="D600" i="2"/>
  <c r="F5740" i="2"/>
  <c r="E5740" i="2"/>
  <c r="D5740" i="2"/>
  <c r="F5739" i="2"/>
  <c r="E5739" i="2"/>
  <c r="D5739" i="2"/>
  <c r="F5738" i="2"/>
  <c r="E5738" i="2"/>
  <c r="D5738" i="2"/>
  <c r="F5737" i="2"/>
  <c r="E5737" i="2"/>
  <c r="D5737" i="2"/>
  <c r="F5736" i="2"/>
  <c r="E5736" i="2"/>
  <c r="D5736" i="2"/>
  <c r="F12278" i="2"/>
  <c r="E12278" i="2"/>
  <c r="D12278" i="2"/>
  <c r="F12279" i="2"/>
  <c r="E12279" i="2"/>
  <c r="D12279" i="2"/>
  <c r="F9602" i="2"/>
  <c r="E9602" i="2"/>
  <c r="D9602" i="2"/>
  <c r="F7829" i="2"/>
  <c r="E7829" i="2"/>
  <c r="D7829" i="2"/>
  <c r="F10819" i="2"/>
  <c r="E10819" i="2"/>
  <c r="D10819" i="2"/>
  <c r="F6867" i="2"/>
  <c r="E6867" i="2"/>
  <c r="D6867" i="2"/>
  <c r="F6881" i="2"/>
  <c r="E6881" i="2"/>
  <c r="D6881" i="2"/>
  <c r="F6880" i="2"/>
  <c r="E6880" i="2"/>
  <c r="D6880" i="2"/>
  <c r="F6879" i="2"/>
  <c r="E6879" i="2"/>
  <c r="D6879" i="2"/>
  <c r="F6878" i="2"/>
  <c r="E6878" i="2"/>
  <c r="D6878" i="2"/>
  <c r="F6877" i="2"/>
  <c r="E6877" i="2"/>
  <c r="D6877" i="2"/>
  <c r="F6876" i="2"/>
  <c r="E6876" i="2"/>
  <c r="D6876" i="2"/>
  <c r="F6874" i="2"/>
  <c r="E6874" i="2"/>
  <c r="D6874" i="2"/>
  <c r="F6875" i="2"/>
  <c r="E6875" i="2"/>
  <c r="D6875" i="2"/>
  <c r="F6873" i="2"/>
  <c r="E6873" i="2"/>
  <c r="D6873" i="2"/>
  <c r="F6872" i="2"/>
  <c r="E6872" i="2"/>
  <c r="D6872" i="2"/>
  <c r="F6871" i="2"/>
  <c r="E6871" i="2"/>
  <c r="D6871" i="2"/>
  <c r="F6870" i="2"/>
  <c r="E6870" i="2"/>
  <c r="D6870" i="2"/>
  <c r="F6869" i="2"/>
  <c r="E6869" i="2"/>
  <c r="D6869" i="2"/>
  <c r="F6868" i="2"/>
  <c r="E6868" i="2"/>
  <c r="D6868" i="2"/>
  <c r="F9356" i="2"/>
  <c r="E9356" i="2"/>
  <c r="D9356" i="2"/>
  <c r="F10818" i="2"/>
  <c r="E10818" i="2"/>
  <c r="D10818" i="2"/>
  <c r="F10817" i="2"/>
  <c r="E10817" i="2"/>
  <c r="D10817" i="2"/>
  <c r="F10816" i="2"/>
  <c r="E10816" i="2"/>
  <c r="D10816" i="2"/>
  <c r="F10815" i="2"/>
  <c r="E10815" i="2"/>
  <c r="D10815" i="2"/>
  <c r="F10814" i="2"/>
  <c r="E10814" i="2"/>
  <c r="D10814" i="2"/>
  <c r="F10813" i="2"/>
  <c r="E10813" i="2"/>
  <c r="D10813" i="2"/>
  <c r="F10812" i="2"/>
  <c r="E10812" i="2"/>
  <c r="D10812" i="2"/>
  <c r="F10811" i="2"/>
  <c r="E10811" i="2"/>
  <c r="D10811" i="2"/>
  <c r="F10810" i="2"/>
  <c r="E10810" i="2"/>
  <c r="D10810" i="2"/>
  <c r="F10809" i="2"/>
  <c r="E10809" i="2"/>
  <c r="D10809" i="2"/>
  <c r="F10808" i="2"/>
  <c r="E10808" i="2"/>
  <c r="D10808" i="2"/>
  <c r="F10807" i="2"/>
  <c r="E10807" i="2"/>
  <c r="D10807" i="2"/>
  <c r="F10806" i="2"/>
  <c r="E10806" i="2"/>
  <c r="D10806" i="2"/>
  <c r="F10805" i="2"/>
  <c r="E10805" i="2"/>
  <c r="D10805" i="2"/>
  <c r="F15890" i="2"/>
  <c r="E15890" i="2"/>
  <c r="D15890" i="2"/>
  <c r="F15900" i="2"/>
  <c r="E15900" i="2"/>
  <c r="D15900" i="2"/>
  <c r="F15899" i="2"/>
  <c r="E15899" i="2"/>
  <c r="D15899" i="2"/>
  <c r="F15898" i="2"/>
  <c r="E15898" i="2"/>
  <c r="D15898" i="2"/>
  <c r="F15897" i="2"/>
  <c r="E15897" i="2"/>
  <c r="D15897" i="2"/>
  <c r="F15896" i="2"/>
  <c r="E15896" i="2"/>
  <c r="D15896" i="2"/>
  <c r="F15895" i="2"/>
  <c r="E15895" i="2"/>
  <c r="D15895" i="2"/>
  <c r="F15894" i="2"/>
  <c r="E15894" i="2"/>
  <c r="D15894" i="2"/>
  <c r="F15893" i="2"/>
  <c r="E15893" i="2"/>
  <c r="D15893" i="2"/>
  <c r="F15892" i="2"/>
  <c r="E15892" i="2"/>
  <c r="D15892" i="2"/>
  <c r="F15891" i="2"/>
  <c r="E15891" i="2"/>
  <c r="D15891" i="2"/>
  <c r="F2957" i="2"/>
  <c r="E2957" i="2"/>
  <c r="D2957" i="2"/>
  <c r="F2966" i="2"/>
  <c r="E2966" i="2"/>
  <c r="D2966" i="2"/>
  <c r="F2965" i="2"/>
  <c r="E2965" i="2"/>
  <c r="D2965" i="2"/>
  <c r="F2964" i="2"/>
  <c r="E2964" i="2"/>
  <c r="D2964" i="2"/>
  <c r="F2963" i="2"/>
  <c r="E2963" i="2"/>
  <c r="D2963" i="2"/>
  <c r="F2962" i="2"/>
  <c r="E2962" i="2"/>
  <c r="D2962" i="2"/>
  <c r="F2961" i="2"/>
  <c r="E2961" i="2"/>
  <c r="D2961" i="2"/>
  <c r="F2960" i="2"/>
  <c r="E2960" i="2"/>
  <c r="D2960" i="2"/>
  <c r="F2959" i="2"/>
  <c r="E2959" i="2"/>
  <c r="D2959" i="2"/>
  <c r="F2958" i="2"/>
  <c r="E2958" i="2"/>
  <c r="D2958" i="2"/>
  <c r="F2956" i="2"/>
  <c r="E2956" i="2"/>
  <c r="D2956" i="2"/>
  <c r="F6636" i="2"/>
  <c r="E6636" i="2"/>
  <c r="D6636" i="2"/>
  <c r="F6646" i="2"/>
  <c r="E6646" i="2"/>
  <c r="D6646" i="2"/>
  <c r="F6645" i="2"/>
  <c r="E6645" i="2"/>
  <c r="D6645" i="2"/>
  <c r="F6644" i="2"/>
  <c r="E6644" i="2"/>
  <c r="D6644" i="2"/>
  <c r="F6643" i="2"/>
  <c r="E6643" i="2"/>
  <c r="D6643" i="2"/>
  <c r="F6642" i="2"/>
  <c r="E6642" i="2"/>
  <c r="D6642" i="2"/>
  <c r="F6641" i="2"/>
  <c r="E6641" i="2"/>
  <c r="D6641" i="2"/>
  <c r="F6640" i="2"/>
  <c r="E6640" i="2"/>
  <c r="D6640" i="2"/>
  <c r="F6639" i="2"/>
  <c r="E6639" i="2"/>
  <c r="D6639" i="2"/>
  <c r="F6638" i="2"/>
  <c r="E6638" i="2"/>
  <c r="D6638" i="2"/>
  <c r="F6637" i="2"/>
  <c r="E6637" i="2"/>
  <c r="D6637" i="2"/>
  <c r="F9428" i="2"/>
  <c r="E9428" i="2"/>
  <c r="D9428" i="2"/>
  <c r="F10915" i="2"/>
  <c r="E10915" i="2"/>
  <c r="D10915" i="2"/>
  <c r="F10914" i="2"/>
  <c r="E10914" i="2"/>
  <c r="D10914" i="2"/>
  <c r="F7561" i="2"/>
  <c r="E7561" i="2"/>
  <c r="D7561" i="2"/>
  <c r="F7560" i="2"/>
  <c r="E7560" i="2"/>
  <c r="D7560" i="2"/>
  <c r="F7559" i="2"/>
  <c r="E7559" i="2"/>
  <c r="D7559" i="2"/>
  <c r="F7558" i="2"/>
  <c r="E7558" i="2"/>
  <c r="D7558" i="2"/>
  <c r="F7557" i="2"/>
  <c r="E7557" i="2"/>
  <c r="D7557" i="2"/>
  <c r="F7556" i="2"/>
  <c r="E7556" i="2"/>
  <c r="D7556" i="2"/>
  <c r="F7555" i="2"/>
  <c r="E7555" i="2"/>
  <c r="D7555" i="2"/>
  <c r="F7554" i="2"/>
  <c r="E7554" i="2"/>
  <c r="D7554" i="2"/>
  <c r="F9253" i="2"/>
  <c r="E9253" i="2"/>
  <c r="D9253" i="2"/>
  <c r="F9252" i="2"/>
  <c r="E9252" i="2"/>
  <c r="D9252" i="2"/>
  <c r="F9251" i="2"/>
  <c r="E9251" i="2"/>
  <c r="D9251" i="2"/>
  <c r="F9250" i="2"/>
  <c r="E9250" i="2"/>
  <c r="D9250" i="2"/>
  <c r="F9249" i="2"/>
  <c r="E9249" i="2"/>
  <c r="D9249" i="2"/>
  <c r="F10820" i="2"/>
  <c r="E10820" i="2"/>
  <c r="D10820" i="2"/>
  <c r="F10831" i="2"/>
  <c r="E10831" i="2"/>
  <c r="D10831" i="2"/>
  <c r="F10830" i="2"/>
  <c r="E10830" i="2"/>
  <c r="D10830" i="2"/>
  <c r="F10829" i="2"/>
  <c r="E10829" i="2"/>
  <c r="D10829" i="2"/>
  <c r="F10828" i="2"/>
  <c r="E10828" i="2"/>
  <c r="D10828" i="2"/>
  <c r="F10827" i="2"/>
  <c r="E10827" i="2"/>
  <c r="D10827" i="2"/>
  <c r="F10826" i="2"/>
  <c r="E10826" i="2"/>
  <c r="D10826" i="2"/>
  <c r="F10825" i="2"/>
  <c r="E10825" i="2"/>
  <c r="D10825" i="2"/>
  <c r="F10824" i="2"/>
  <c r="E10824" i="2"/>
  <c r="D10824" i="2"/>
  <c r="F10823" i="2"/>
  <c r="E10823" i="2"/>
  <c r="D10823" i="2"/>
  <c r="F10822" i="2"/>
  <c r="E10822" i="2"/>
  <c r="D10822" i="2"/>
  <c r="F10821" i="2"/>
  <c r="E10821" i="2"/>
  <c r="D10821" i="2"/>
  <c r="F11440" i="2"/>
  <c r="E11440" i="2"/>
  <c r="D11440" i="2"/>
  <c r="F11445" i="2"/>
  <c r="E11445" i="2"/>
  <c r="D11445" i="2"/>
  <c r="F11444" i="2"/>
  <c r="E11444" i="2"/>
  <c r="D11444" i="2"/>
  <c r="F11443" i="2"/>
  <c r="E11443" i="2"/>
  <c r="D11443" i="2"/>
  <c r="F11442" i="2"/>
  <c r="E11442" i="2"/>
  <c r="D11442" i="2"/>
  <c r="F11441" i="2"/>
  <c r="E11441" i="2"/>
  <c r="D11441" i="2"/>
  <c r="F4472" i="2"/>
  <c r="E4472" i="2"/>
  <c r="D4472" i="2"/>
  <c r="F4471" i="2"/>
  <c r="E4471" i="2"/>
  <c r="D4471" i="2"/>
  <c r="F4470" i="2"/>
  <c r="E4470" i="2"/>
  <c r="D4470" i="2"/>
  <c r="F4469" i="2"/>
  <c r="E4469" i="2"/>
  <c r="D4469" i="2"/>
  <c r="F4468" i="2"/>
  <c r="E4468" i="2"/>
  <c r="D4468" i="2"/>
  <c r="F4467" i="2"/>
  <c r="E4467" i="2"/>
  <c r="D4467" i="2"/>
  <c r="F4466" i="2"/>
  <c r="E4466" i="2"/>
  <c r="D4466" i="2"/>
  <c r="F4465" i="2"/>
  <c r="E4465" i="2"/>
  <c r="D4465" i="2"/>
  <c r="F4464" i="2"/>
  <c r="E4464" i="2"/>
  <c r="D4464" i="2"/>
  <c r="F4463" i="2"/>
  <c r="E4463" i="2"/>
  <c r="D4463" i="2"/>
  <c r="F4462" i="2"/>
  <c r="E4462" i="2"/>
  <c r="D4462" i="2"/>
  <c r="F4461" i="2"/>
  <c r="E4461" i="2"/>
  <c r="D4461" i="2"/>
  <c r="F4460" i="2"/>
  <c r="E4460" i="2"/>
  <c r="D4460" i="2"/>
  <c r="F7878" i="2"/>
  <c r="E7878" i="2"/>
  <c r="D7878" i="2"/>
  <c r="F7877" i="2"/>
  <c r="E7877" i="2"/>
  <c r="D7877" i="2"/>
  <c r="F7876" i="2"/>
  <c r="E7876" i="2"/>
  <c r="D7876" i="2"/>
  <c r="F7875" i="2"/>
  <c r="E7875" i="2"/>
  <c r="D7875" i="2"/>
  <c r="F7874" i="2"/>
  <c r="E7874" i="2"/>
  <c r="D7874" i="2"/>
  <c r="F7873" i="2"/>
  <c r="E7873" i="2"/>
  <c r="D7873" i="2"/>
  <c r="F7872" i="2"/>
  <c r="E7872" i="2"/>
  <c r="D7872" i="2"/>
  <c r="F7871" i="2"/>
  <c r="E7871" i="2"/>
  <c r="D7871" i="2"/>
  <c r="F7870" i="2"/>
  <c r="E7870" i="2"/>
  <c r="D7870" i="2"/>
  <c r="F7869" i="2"/>
  <c r="E7869" i="2"/>
  <c r="D7869" i="2"/>
  <c r="F7868" i="2"/>
  <c r="E7868" i="2"/>
  <c r="D7868" i="2"/>
  <c r="F7867" i="2"/>
  <c r="E7867" i="2"/>
  <c r="D7867" i="2"/>
  <c r="F7866" i="2"/>
  <c r="E7866" i="2"/>
  <c r="D7866" i="2"/>
  <c r="F7859" i="2"/>
  <c r="E7859" i="2"/>
  <c r="D7859" i="2"/>
  <c r="F7865" i="2"/>
  <c r="E7865" i="2"/>
  <c r="D7865" i="2"/>
  <c r="F7864" i="2"/>
  <c r="E7864" i="2"/>
  <c r="D7864" i="2"/>
  <c r="F7863" i="2"/>
  <c r="E7863" i="2"/>
  <c r="D7863" i="2"/>
  <c r="F7862" i="2"/>
  <c r="E7862" i="2"/>
  <c r="D7862" i="2"/>
  <c r="F7861" i="2"/>
  <c r="E7861" i="2"/>
  <c r="D7861" i="2"/>
  <c r="F7860" i="2"/>
  <c r="E7860" i="2"/>
  <c r="D7860" i="2"/>
  <c r="F8492" i="2"/>
  <c r="E8492" i="2"/>
  <c r="D8492" i="2"/>
  <c r="F8515" i="2"/>
  <c r="E8515" i="2"/>
  <c r="D8515" i="2"/>
  <c r="F8514" i="2"/>
  <c r="E8514" i="2"/>
  <c r="D8514" i="2"/>
  <c r="F8513" i="2"/>
  <c r="E8513" i="2"/>
  <c r="D8513" i="2"/>
  <c r="F8512" i="2"/>
  <c r="E8512" i="2"/>
  <c r="D8512" i="2"/>
  <c r="F8511" i="2"/>
  <c r="E8511" i="2"/>
  <c r="D8511" i="2"/>
  <c r="F8510" i="2"/>
  <c r="E8510" i="2"/>
  <c r="D8510" i="2"/>
  <c r="F8509" i="2"/>
  <c r="E8509" i="2"/>
  <c r="D8509" i="2"/>
  <c r="F8508" i="2"/>
  <c r="E8508" i="2"/>
  <c r="D8508" i="2"/>
  <c r="F8507" i="2"/>
  <c r="E8507" i="2"/>
  <c r="D8507" i="2"/>
  <c r="F8506" i="2"/>
  <c r="E8506" i="2"/>
  <c r="D8506" i="2"/>
  <c r="F8505" i="2"/>
  <c r="E8505" i="2"/>
  <c r="D8505" i="2"/>
  <c r="F8504" i="2"/>
  <c r="E8504" i="2"/>
  <c r="D8504" i="2"/>
  <c r="F8503" i="2"/>
  <c r="E8503" i="2"/>
  <c r="D8503" i="2"/>
  <c r="F8502" i="2"/>
  <c r="E8502" i="2"/>
  <c r="D8502" i="2"/>
  <c r="F8501" i="2"/>
  <c r="E8501" i="2"/>
  <c r="D8501" i="2"/>
  <c r="F8500" i="2"/>
  <c r="E8500" i="2"/>
  <c r="D8500" i="2"/>
  <c r="F8499" i="2"/>
  <c r="E8499" i="2"/>
  <c r="D8499" i="2"/>
  <c r="F8498" i="2"/>
  <c r="E8498" i="2"/>
  <c r="D8498" i="2"/>
  <c r="F8497" i="2"/>
  <c r="E8497" i="2"/>
  <c r="D8497" i="2"/>
  <c r="F8496" i="2"/>
  <c r="E8496" i="2"/>
  <c r="D8496" i="2"/>
  <c r="F8495" i="2"/>
  <c r="E8495" i="2"/>
  <c r="D8495" i="2"/>
  <c r="F8494" i="2"/>
  <c r="E8494" i="2"/>
  <c r="D8494" i="2"/>
  <c r="F8493" i="2"/>
  <c r="E8493" i="2"/>
  <c r="D8493" i="2"/>
  <c r="F4540" i="2"/>
  <c r="E4540" i="2"/>
  <c r="D4540" i="2"/>
  <c r="F4539" i="2"/>
  <c r="E4539" i="2"/>
  <c r="D4539" i="2"/>
  <c r="F7858" i="2"/>
  <c r="E7858" i="2"/>
  <c r="D7858" i="2"/>
  <c r="F7857" i="2"/>
  <c r="E7857" i="2"/>
  <c r="D7857" i="2"/>
  <c r="F7856" i="2"/>
  <c r="E7856" i="2"/>
  <c r="D7856" i="2"/>
  <c r="F7855" i="2"/>
  <c r="E7855" i="2"/>
  <c r="D7855" i="2"/>
  <c r="F8746" i="2"/>
  <c r="E8746" i="2"/>
  <c r="D8746" i="2"/>
  <c r="F6648" i="2"/>
  <c r="E6648" i="2"/>
  <c r="D6648" i="2"/>
  <c r="F6647" i="2"/>
  <c r="E6647" i="2"/>
  <c r="D6647" i="2"/>
  <c r="F8034" i="2"/>
  <c r="E8034" i="2"/>
  <c r="D8034" i="2"/>
  <c r="F8040" i="2"/>
  <c r="E8040" i="2"/>
  <c r="D8040" i="2"/>
  <c r="F8039" i="2"/>
  <c r="E8039" i="2"/>
  <c r="D8039" i="2"/>
  <c r="F8038" i="2"/>
  <c r="E8038" i="2"/>
  <c r="D8038" i="2"/>
  <c r="F8037" i="2"/>
  <c r="E8037" i="2"/>
  <c r="D8037" i="2"/>
  <c r="F8036" i="2"/>
  <c r="E8036" i="2"/>
  <c r="D8036" i="2"/>
  <c r="F8035" i="2"/>
  <c r="E8035" i="2"/>
  <c r="D8035" i="2"/>
  <c r="F11420" i="2"/>
  <c r="E11420" i="2"/>
  <c r="D11420" i="2"/>
  <c r="F11429" i="2"/>
  <c r="E11429" i="2"/>
  <c r="D11429" i="2"/>
  <c r="F11428" i="2"/>
  <c r="E11428" i="2"/>
  <c r="D11428" i="2"/>
  <c r="F11427" i="2"/>
  <c r="E11427" i="2"/>
  <c r="D11427" i="2"/>
  <c r="F11426" i="2"/>
  <c r="E11426" i="2"/>
  <c r="D11426" i="2"/>
  <c r="F11425" i="2"/>
  <c r="E11425" i="2"/>
  <c r="D11425" i="2"/>
  <c r="F11424" i="2"/>
  <c r="E11424" i="2"/>
  <c r="D11424" i="2"/>
  <c r="F11423" i="2"/>
  <c r="E11423" i="2"/>
  <c r="D11423" i="2"/>
  <c r="F11422" i="2"/>
  <c r="E11422" i="2"/>
  <c r="D11422" i="2"/>
  <c r="F11421" i="2"/>
  <c r="E11421" i="2"/>
  <c r="D11421" i="2"/>
  <c r="F10832" i="2"/>
  <c r="E10832" i="2"/>
  <c r="D10832" i="2"/>
  <c r="F10837" i="2"/>
  <c r="E10837" i="2"/>
  <c r="D10837" i="2"/>
  <c r="F10836" i="2"/>
  <c r="E10836" i="2"/>
  <c r="D10836" i="2"/>
  <c r="F10835" i="2"/>
  <c r="E10835" i="2"/>
  <c r="D10835" i="2"/>
  <c r="F10834" i="2"/>
  <c r="E10834" i="2"/>
  <c r="D10834" i="2"/>
  <c r="F10833" i="2"/>
  <c r="E10833" i="2"/>
  <c r="D10833" i="2"/>
  <c r="F13688" i="2"/>
  <c r="E13688" i="2"/>
  <c r="D13688" i="2"/>
  <c r="F7854" i="2"/>
  <c r="E7854" i="2"/>
  <c r="D7854" i="2"/>
  <c r="F4402" i="2"/>
  <c r="E4402" i="2"/>
  <c r="D4402" i="2"/>
  <c r="F4403" i="2"/>
  <c r="E4403" i="2"/>
  <c r="D4403" i="2"/>
  <c r="F11970" i="2"/>
  <c r="E11970" i="2"/>
  <c r="D11970" i="2"/>
  <c r="F11972" i="2"/>
  <c r="E11972" i="2"/>
  <c r="D11972" i="2"/>
  <c r="F11971" i="2"/>
  <c r="E11971" i="2"/>
  <c r="D11971" i="2"/>
  <c r="F12191" i="2"/>
  <c r="E12191" i="2"/>
  <c r="D12191" i="2"/>
  <c r="F12190" i="2"/>
  <c r="E12190" i="2"/>
  <c r="D12190" i="2"/>
  <c r="F12189" i="2"/>
  <c r="E12189" i="2"/>
  <c r="D12189" i="2"/>
  <c r="F12188" i="2"/>
  <c r="E12188" i="2"/>
  <c r="D12188" i="2"/>
  <c r="F12187" i="2"/>
  <c r="E12187" i="2"/>
  <c r="D12187" i="2"/>
  <c r="F12186" i="2"/>
  <c r="E12186" i="2"/>
  <c r="D12186" i="2"/>
  <c r="F12185" i="2"/>
  <c r="E12185" i="2"/>
  <c r="D12185" i="2"/>
  <c r="F12184" i="2"/>
  <c r="E12184" i="2"/>
  <c r="D12184" i="2"/>
  <c r="F12183" i="2"/>
  <c r="E12183" i="2"/>
  <c r="D12183" i="2"/>
  <c r="F12182" i="2"/>
  <c r="E12182" i="2"/>
  <c r="D12182" i="2"/>
  <c r="F12181" i="2"/>
  <c r="E12181" i="2"/>
  <c r="D12181" i="2"/>
  <c r="F12180" i="2"/>
  <c r="E12180" i="2"/>
  <c r="D12180" i="2"/>
  <c r="F12179" i="2"/>
  <c r="E12179" i="2"/>
  <c r="D12179" i="2"/>
  <c r="F12178" i="2"/>
  <c r="E12178" i="2"/>
  <c r="D12178" i="2"/>
  <c r="F12177" i="2"/>
  <c r="E12177" i="2"/>
  <c r="D12177" i="2"/>
  <c r="F12176" i="2"/>
  <c r="E12176" i="2"/>
  <c r="D12176" i="2"/>
  <c r="F12175" i="2"/>
  <c r="E12175" i="2"/>
  <c r="D12175" i="2"/>
  <c r="F12174" i="2"/>
  <c r="E12174" i="2"/>
  <c r="D12174" i="2"/>
  <c r="F12173" i="2"/>
  <c r="E12173" i="2"/>
  <c r="D12173" i="2"/>
  <c r="F12172" i="2"/>
  <c r="E12172" i="2"/>
  <c r="D12172" i="2"/>
  <c r="F12171" i="2"/>
  <c r="E12171" i="2"/>
  <c r="D12171" i="2"/>
  <c r="F12170" i="2"/>
  <c r="E12170" i="2"/>
  <c r="D12170" i="2"/>
  <c r="F12169" i="2"/>
  <c r="E12169" i="2"/>
  <c r="D12169" i="2"/>
  <c r="F12168" i="2"/>
  <c r="E12168" i="2"/>
  <c r="D12168" i="2"/>
  <c r="F12167" i="2"/>
  <c r="E12167" i="2"/>
  <c r="D12167" i="2"/>
  <c r="F12166" i="2"/>
  <c r="E12166" i="2"/>
  <c r="D12166" i="2"/>
  <c r="F12165" i="2"/>
  <c r="E12165" i="2"/>
  <c r="D12165" i="2"/>
  <c r="F12164" i="2"/>
  <c r="E12164" i="2"/>
  <c r="D12164" i="2"/>
  <c r="F12163" i="2"/>
  <c r="E12163" i="2"/>
  <c r="D12163" i="2"/>
  <c r="F12162" i="2"/>
  <c r="E12162" i="2"/>
  <c r="D12162" i="2"/>
  <c r="F666" i="2"/>
  <c r="E666" i="2"/>
  <c r="D666" i="2"/>
  <c r="F15969" i="2"/>
  <c r="E15969" i="2"/>
  <c r="D15969" i="2"/>
  <c r="F15991" i="2"/>
  <c r="E15991" i="2"/>
  <c r="D15991" i="2"/>
  <c r="F15990" i="2"/>
  <c r="E15990" i="2"/>
  <c r="D15990" i="2"/>
  <c r="F15989" i="2"/>
  <c r="E15989" i="2"/>
  <c r="D15989" i="2"/>
  <c r="F15988" i="2"/>
  <c r="E15988" i="2"/>
  <c r="D15988" i="2"/>
  <c r="F15987" i="2"/>
  <c r="E15987" i="2"/>
  <c r="D15987" i="2"/>
  <c r="F15986" i="2"/>
  <c r="E15986" i="2"/>
  <c r="D15986" i="2"/>
  <c r="F15985" i="2"/>
  <c r="E15985" i="2"/>
  <c r="D15985" i="2"/>
  <c r="F15984" i="2"/>
  <c r="E15984" i="2"/>
  <c r="D15984" i="2"/>
  <c r="F15983" i="2"/>
  <c r="E15983" i="2"/>
  <c r="D15983" i="2"/>
  <c r="F15982" i="2"/>
  <c r="E15982" i="2"/>
  <c r="D15982" i="2"/>
  <c r="F15981" i="2"/>
  <c r="E15981" i="2"/>
  <c r="D15981" i="2"/>
  <c r="F15980" i="2"/>
  <c r="E15980" i="2"/>
  <c r="D15980" i="2"/>
  <c r="F15979" i="2"/>
  <c r="E15979" i="2"/>
  <c r="D15979" i="2"/>
  <c r="F15978" i="2"/>
  <c r="E15978" i="2"/>
  <c r="D15978" i="2"/>
  <c r="F15977" i="2"/>
  <c r="E15977" i="2"/>
  <c r="D15977" i="2"/>
  <c r="F15976" i="2"/>
  <c r="E15976" i="2"/>
  <c r="D15976" i="2"/>
  <c r="F15975" i="2"/>
  <c r="E15975" i="2"/>
  <c r="D15975" i="2"/>
  <c r="F15974" i="2"/>
  <c r="E15974" i="2"/>
  <c r="D15974" i="2"/>
  <c r="F15973" i="2"/>
  <c r="E15973" i="2"/>
  <c r="D15973" i="2"/>
  <c r="F15972" i="2"/>
  <c r="E15972" i="2"/>
  <c r="D15972" i="2"/>
  <c r="F15971" i="2"/>
  <c r="E15971" i="2"/>
  <c r="D15971" i="2"/>
  <c r="F15970" i="2"/>
  <c r="E15970" i="2"/>
  <c r="D15970" i="2"/>
  <c r="F11914" i="2"/>
  <c r="E11914" i="2"/>
  <c r="D11914" i="2"/>
  <c r="F11913" i="2"/>
  <c r="E11913" i="2"/>
  <c r="D11913" i="2"/>
  <c r="F11912" i="2"/>
  <c r="E11912" i="2"/>
  <c r="D11912" i="2"/>
  <c r="F605" i="2"/>
  <c r="E605" i="2"/>
  <c r="D605" i="2"/>
  <c r="F604" i="2"/>
  <c r="E604" i="2"/>
  <c r="D604" i="2"/>
  <c r="F603" i="2"/>
  <c r="E603" i="2"/>
  <c r="D603" i="2"/>
  <c r="F602" i="2"/>
  <c r="E602" i="2"/>
  <c r="D602" i="2"/>
  <c r="F601" i="2"/>
  <c r="E601" i="2"/>
  <c r="D601" i="2"/>
  <c r="F4358" i="2"/>
  <c r="E4358" i="2"/>
  <c r="D4358" i="2"/>
  <c r="F4362" i="2"/>
  <c r="E4362" i="2"/>
  <c r="D4362" i="2"/>
  <c r="F4361" i="2"/>
  <c r="E4361" i="2"/>
  <c r="D4361" i="2"/>
  <c r="F4360" i="2"/>
  <c r="E4360" i="2"/>
  <c r="D4360" i="2"/>
  <c r="F4359" i="2"/>
  <c r="E4359" i="2"/>
  <c r="D4359" i="2"/>
  <c r="F9178" i="2"/>
  <c r="E9178" i="2"/>
  <c r="D9178" i="2"/>
  <c r="F9177" i="2"/>
  <c r="E9177" i="2"/>
  <c r="D9177" i="2"/>
  <c r="F9176" i="2"/>
  <c r="E9176" i="2"/>
  <c r="D9176" i="2"/>
  <c r="F7552" i="2"/>
  <c r="E7552" i="2"/>
  <c r="D7552" i="2"/>
  <c r="F7551" i="2"/>
  <c r="E7551" i="2"/>
  <c r="D7551" i="2"/>
  <c r="F11676" i="2"/>
  <c r="E11676" i="2"/>
  <c r="D11676" i="2"/>
  <c r="F11679" i="2"/>
  <c r="E11679" i="2"/>
  <c r="D11679" i="2"/>
  <c r="F11678" i="2"/>
  <c r="E11678" i="2"/>
  <c r="D11678" i="2"/>
  <c r="F11677" i="2"/>
  <c r="E11677" i="2"/>
  <c r="D11677" i="2"/>
  <c r="F8246" i="2"/>
  <c r="E8246" i="2"/>
  <c r="D8246" i="2"/>
  <c r="F8041" i="2"/>
  <c r="E8041" i="2"/>
  <c r="D8041" i="2"/>
  <c r="F8056" i="2"/>
  <c r="E8056" i="2"/>
  <c r="D8056" i="2"/>
  <c r="F8055" i="2"/>
  <c r="E8055" i="2"/>
  <c r="D8055" i="2"/>
  <c r="F8054" i="2"/>
  <c r="E8054" i="2"/>
  <c r="D8054" i="2"/>
  <c r="F8053" i="2"/>
  <c r="E8053" i="2"/>
  <c r="D8053" i="2"/>
  <c r="F8052" i="2"/>
  <c r="E8052" i="2"/>
  <c r="D8052" i="2"/>
  <c r="F8051" i="2"/>
  <c r="E8051" i="2"/>
  <c r="D8051" i="2"/>
  <c r="F8050" i="2"/>
  <c r="E8050" i="2"/>
  <c r="D8050" i="2"/>
  <c r="F8049" i="2"/>
  <c r="E8049" i="2"/>
  <c r="D8049" i="2"/>
  <c r="F8048" i="2"/>
  <c r="E8048" i="2"/>
  <c r="D8048" i="2"/>
  <c r="F8047" i="2"/>
  <c r="E8047" i="2"/>
  <c r="D8047" i="2"/>
  <c r="F8046" i="2"/>
  <c r="E8046" i="2"/>
  <c r="D8046" i="2"/>
  <c r="F8045" i="2"/>
  <c r="E8045" i="2"/>
  <c r="D8045" i="2"/>
  <c r="F8044" i="2"/>
  <c r="E8044" i="2"/>
  <c r="D8044" i="2"/>
  <c r="F8043" i="2"/>
  <c r="E8043" i="2"/>
  <c r="D8043" i="2"/>
  <c r="F8042" i="2"/>
  <c r="E8042" i="2"/>
  <c r="D8042" i="2"/>
  <c r="F9280" i="2"/>
  <c r="E9280" i="2"/>
  <c r="D9280" i="2"/>
  <c r="F9279" i="2"/>
  <c r="E9279" i="2"/>
  <c r="D9279" i="2"/>
  <c r="F9278" i="2"/>
  <c r="E9278" i="2"/>
  <c r="D9278" i="2"/>
  <c r="F9277" i="2"/>
  <c r="E9277" i="2"/>
  <c r="D9277" i="2"/>
  <c r="F9276" i="2"/>
  <c r="E9276" i="2"/>
  <c r="D9276" i="2"/>
  <c r="F9275" i="2"/>
  <c r="E9275" i="2"/>
  <c r="D9275" i="2"/>
  <c r="F9274" i="2"/>
  <c r="E9274" i="2"/>
  <c r="D9274" i="2"/>
  <c r="F9273" i="2"/>
  <c r="E9273" i="2"/>
  <c r="D9273" i="2"/>
  <c r="F9272" i="2"/>
  <c r="E9272" i="2"/>
  <c r="D9272" i="2"/>
  <c r="F9271" i="2"/>
  <c r="E9271" i="2"/>
  <c r="D9271" i="2"/>
  <c r="F9270" i="2"/>
  <c r="E9270" i="2"/>
  <c r="D9270" i="2"/>
  <c r="F9269" i="2"/>
  <c r="E9269" i="2"/>
  <c r="D9269" i="2"/>
  <c r="F9268" i="2"/>
  <c r="E9268" i="2"/>
  <c r="D9268" i="2"/>
  <c r="F9267" i="2"/>
  <c r="E9267" i="2"/>
  <c r="D9267" i="2"/>
  <c r="F4473" i="2"/>
  <c r="E4473" i="2"/>
  <c r="D4473" i="2"/>
  <c r="F7879" i="2"/>
  <c r="E7879" i="2"/>
  <c r="D7879" i="2"/>
  <c r="F2967" i="2"/>
  <c r="E2967" i="2"/>
  <c r="D2967" i="2"/>
  <c r="F2990" i="2"/>
  <c r="E2990" i="2"/>
  <c r="D2990" i="2"/>
  <c r="F2989" i="2"/>
  <c r="E2989" i="2"/>
  <c r="D2989" i="2"/>
  <c r="F2988" i="2"/>
  <c r="E2988" i="2"/>
  <c r="D2988" i="2"/>
  <c r="F2987" i="2"/>
  <c r="E2987" i="2"/>
  <c r="D2987" i="2"/>
  <c r="F2986" i="2"/>
  <c r="E2986" i="2"/>
  <c r="D2986" i="2"/>
  <c r="F2985" i="2"/>
  <c r="E2985" i="2"/>
  <c r="D2985" i="2"/>
  <c r="F2984" i="2"/>
  <c r="E2984" i="2"/>
  <c r="D2984" i="2"/>
  <c r="F2983" i="2"/>
  <c r="E2983" i="2"/>
  <c r="D2983" i="2"/>
  <c r="F2982" i="2"/>
  <c r="E2982" i="2"/>
  <c r="D2982" i="2"/>
  <c r="F2981" i="2"/>
  <c r="E2981" i="2"/>
  <c r="D2981" i="2"/>
  <c r="F2980" i="2"/>
  <c r="E2980" i="2"/>
  <c r="D2980" i="2"/>
  <c r="F2979" i="2"/>
  <c r="E2979" i="2"/>
  <c r="D2979" i="2"/>
  <c r="F2978" i="2"/>
  <c r="E2978" i="2"/>
  <c r="D2978" i="2"/>
  <c r="F2977" i="2"/>
  <c r="E2977" i="2"/>
  <c r="D2977" i="2"/>
  <c r="F2976" i="2"/>
  <c r="E2976" i="2"/>
  <c r="D2976" i="2"/>
  <c r="F2975" i="2"/>
  <c r="E2975" i="2"/>
  <c r="D2975" i="2"/>
  <c r="F2974" i="2"/>
  <c r="E2974" i="2"/>
  <c r="D2974" i="2"/>
  <c r="F2973" i="2"/>
  <c r="E2973" i="2"/>
  <c r="D2973" i="2"/>
  <c r="F2972" i="2"/>
  <c r="E2972" i="2"/>
  <c r="D2972" i="2"/>
  <c r="F2971" i="2"/>
  <c r="E2971" i="2"/>
  <c r="D2971" i="2"/>
  <c r="F2970" i="2"/>
  <c r="E2970" i="2"/>
  <c r="D2970" i="2"/>
  <c r="F2969" i="2"/>
  <c r="E2969" i="2"/>
  <c r="D2969" i="2"/>
  <c r="F2968" i="2"/>
  <c r="E2968" i="2"/>
  <c r="D2968" i="2"/>
  <c r="F13168" i="2"/>
  <c r="E13168" i="2"/>
  <c r="D13168" i="2"/>
  <c r="F3756" i="2"/>
  <c r="E3756" i="2"/>
  <c r="D3756" i="2"/>
  <c r="F7143" i="2"/>
  <c r="E7143" i="2"/>
  <c r="D7143" i="2"/>
  <c r="F7142" i="2"/>
  <c r="E7142" i="2"/>
  <c r="D7142" i="2"/>
  <c r="F7141" i="2"/>
  <c r="E7141" i="2"/>
  <c r="D7141" i="2"/>
  <c r="F7140" i="2"/>
  <c r="E7140" i="2"/>
  <c r="D7140" i="2"/>
  <c r="F7139" i="2"/>
  <c r="E7139" i="2"/>
  <c r="D7139" i="2"/>
  <c r="F7138" i="2"/>
  <c r="E7138" i="2"/>
  <c r="D7138" i="2"/>
  <c r="F8228" i="2"/>
  <c r="E8228" i="2"/>
  <c r="D8228" i="2"/>
  <c r="F9293" i="2"/>
  <c r="E9293" i="2"/>
  <c r="D9293" i="2"/>
  <c r="F12765" i="2"/>
  <c r="E12765" i="2"/>
  <c r="D12765" i="2"/>
  <c r="F12766" i="2"/>
  <c r="E12766" i="2"/>
  <c r="D12766" i="2"/>
  <c r="F12446" i="2"/>
  <c r="E12446" i="2"/>
  <c r="D12446" i="2"/>
  <c r="F12445" i="2"/>
  <c r="E12445" i="2"/>
  <c r="D12445" i="2"/>
  <c r="F12444" i="2"/>
  <c r="E12444" i="2"/>
  <c r="D12444" i="2"/>
  <c r="F12443" i="2"/>
  <c r="E12443" i="2"/>
  <c r="D12443" i="2"/>
  <c r="F12442" i="2"/>
  <c r="E12442" i="2"/>
  <c r="D12442" i="2"/>
  <c r="F12441" i="2"/>
  <c r="E12441" i="2"/>
  <c r="D12441" i="2"/>
  <c r="F12440" i="2"/>
  <c r="E12440" i="2"/>
  <c r="D12440" i="2"/>
  <c r="F12439" i="2"/>
  <c r="E12439" i="2"/>
  <c r="D12439" i="2"/>
  <c r="F12438" i="2"/>
  <c r="E12438" i="2"/>
  <c r="D12438" i="2"/>
  <c r="F12437" i="2"/>
  <c r="E12437" i="2"/>
  <c r="D12437" i="2"/>
  <c r="F12436" i="2"/>
  <c r="E12436" i="2"/>
  <c r="D12436" i="2"/>
  <c r="F479" i="2"/>
  <c r="E479" i="2"/>
  <c r="D479" i="2"/>
  <c r="F478" i="2"/>
  <c r="E478" i="2"/>
  <c r="D478" i="2"/>
  <c r="F477" i="2"/>
  <c r="E477" i="2"/>
  <c r="D477" i="2"/>
  <c r="F476" i="2"/>
  <c r="E476" i="2"/>
  <c r="D476" i="2"/>
  <c r="F475" i="2"/>
  <c r="E475" i="2"/>
  <c r="D475" i="2"/>
  <c r="F474" i="2"/>
  <c r="E474" i="2"/>
  <c r="D474" i="2"/>
  <c r="F473" i="2"/>
  <c r="E473" i="2"/>
  <c r="D473" i="2"/>
  <c r="F472" i="2"/>
  <c r="E472" i="2"/>
  <c r="D472" i="2"/>
  <c r="F471" i="2"/>
  <c r="E471" i="2"/>
  <c r="D471" i="2"/>
  <c r="F470" i="2"/>
  <c r="E470" i="2"/>
  <c r="D470" i="2"/>
  <c r="F469" i="2"/>
  <c r="E469" i="2"/>
  <c r="D469" i="2"/>
  <c r="F468" i="2"/>
  <c r="E468" i="2"/>
  <c r="D468" i="2"/>
  <c r="F467" i="2"/>
  <c r="E467" i="2"/>
  <c r="D467" i="2"/>
  <c r="F466" i="2"/>
  <c r="E466" i="2"/>
  <c r="D466" i="2"/>
  <c r="F465" i="2"/>
  <c r="E465" i="2"/>
  <c r="D465" i="2"/>
  <c r="F464" i="2"/>
  <c r="E464" i="2"/>
  <c r="D464" i="2"/>
  <c r="F463" i="2"/>
  <c r="E463" i="2"/>
  <c r="D463" i="2"/>
  <c r="F462" i="2"/>
  <c r="E462" i="2"/>
  <c r="D462" i="2"/>
  <c r="F461" i="2"/>
  <c r="E461" i="2"/>
  <c r="D461" i="2"/>
  <c r="F460" i="2"/>
  <c r="E460" i="2"/>
  <c r="D460" i="2"/>
  <c r="F459" i="2"/>
  <c r="E459" i="2"/>
  <c r="D459" i="2"/>
  <c r="F458" i="2"/>
  <c r="E458" i="2"/>
  <c r="D458" i="2"/>
  <c r="F457" i="2"/>
  <c r="E457" i="2"/>
  <c r="D457" i="2"/>
  <c r="F456" i="2"/>
  <c r="E456" i="2"/>
  <c r="D456" i="2"/>
  <c r="F455" i="2"/>
  <c r="E455" i="2"/>
  <c r="D455" i="2"/>
  <c r="F454" i="2"/>
  <c r="E454" i="2"/>
  <c r="D454" i="2"/>
  <c r="F453" i="2"/>
  <c r="E453" i="2"/>
  <c r="D453" i="2"/>
  <c r="F452" i="2"/>
  <c r="E452" i="2"/>
  <c r="D452" i="2"/>
  <c r="F451" i="2"/>
  <c r="E451" i="2"/>
  <c r="D451" i="2"/>
  <c r="F450" i="2"/>
  <c r="E450" i="2"/>
  <c r="D450" i="2"/>
  <c r="F449" i="2"/>
  <c r="E449" i="2"/>
  <c r="D449" i="2"/>
  <c r="F448" i="2"/>
  <c r="E448" i="2"/>
  <c r="D448" i="2"/>
  <c r="F447" i="2"/>
  <c r="E447" i="2"/>
  <c r="D447" i="2"/>
  <c r="F446" i="2"/>
  <c r="E446" i="2"/>
  <c r="D446" i="2"/>
  <c r="F445" i="2"/>
  <c r="E445" i="2"/>
  <c r="D445" i="2"/>
  <c r="F444" i="2"/>
  <c r="E444" i="2"/>
  <c r="D444" i="2"/>
  <c r="F443" i="2"/>
  <c r="E443" i="2"/>
  <c r="D443" i="2"/>
  <c r="F442" i="2"/>
  <c r="E442" i="2"/>
  <c r="D442" i="2"/>
  <c r="F441" i="2"/>
  <c r="E441" i="2"/>
  <c r="D441" i="2"/>
  <c r="F440" i="2"/>
  <c r="E440" i="2"/>
  <c r="D440" i="2"/>
  <c r="F439" i="2"/>
  <c r="E439" i="2"/>
  <c r="D439" i="2"/>
  <c r="F438" i="2"/>
  <c r="E438" i="2"/>
  <c r="D438" i="2"/>
  <c r="F437" i="2"/>
  <c r="E437" i="2"/>
  <c r="D437" i="2"/>
  <c r="F436" i="2"/>
  <c r="E436" i="2"/>
  <c r="D436" i="2"/>
  <c r="F435" i="2"/>
  <c r="E435" i="2"/>
  <c r="D435" i="2"/>
  <c r="F434" i="2"/>
  <c r="E434" i="2"/>
  <c r="D434" i="2"/>
  <c r="F433" i="2"/>
  <c r="E433" i="2"/>
  <c r="D433" i="2"/>
  <c r="F432" i="2"/>
  <c r="E432" i="2"/>
  <c r="D432" i="2"/>
  <c r="F431" i="2"/>
  <c r="E431" i="2"/>
  <c r="D431" i="2"/>
  <c r="F430" i="2"/>
  <c r="E430" i="2"/>
  <c r="D430" i="2"/>
  <c r="F429" i="2"/>
  <c r="E429" i="2"/>
  <c r="D429" i="2"/>
  <c r="F428" i="2"/>
  <c r="E428" i="2"/>
  <c r="D428" i="2"/>
  <c r="F427" i="2"/>
  <c r="E427" i="2"/>
  <c r="D427" i="2"/>
  <c r="F426" i="2"/>
  <c r="E426" i="2"/>
  <c r="D426" i="2"/>
  <c r="F425" i="2"/>
  <c r="E425" i="2"/>
  <c r="D425" i="2"/>
  <c r="F424" i="2"/>
  <c r="E424" i="2"/>
  <c r="D424" i="2"/>
  <c r="F423" i="2"/>
  <c r="E423" i="2"/>
  <c r="D423" i="2"/>
  <c r="F422" i="2"/>
  <c r="E422" i="2"/>
  <c r="D422" i="2"/>
  <c r="F421" i="2"/>
  <c r="E421" i="2"/>
  <c r="D421" i="2"/>
  <c r="F420" i="2"/>
  <c r="E420" i="2"/>
  <c r="D420" i="2"/>
  <c r="F419" i="2"/>
  <c r="E419" i="2"/>
  <c r="D419" i="2"/>
  <c r="F418" i="2"/>
  <c r="E418" i="2"/>
  <c r="D418" i="2"/>
  <c r="F417" i="2"/>
  <c r="E417" i="2"/>
  <c r="D417" i="2"/>
  <c r="F416" i="2"/>
  <c r="E416" i="2"/>
  <c r="D416" i="2"/>
  <c r="F415" i="2"/>
  <c r="E415" i="2"/>
  <c r="D415" i="2"/>
  <c r="F414" i="2"/>
  <c r="E414" i="2"/>
  <c r="D414" i="2"/>
  <c r="F413" i="2"/>
  <c r="E413" i="2"/>
  <c r="D413" i="2"/>
  <c r="F412" i="2"/>
  <c r="E412" i="2"/>
  <c r="D412" i="2"/>
  <c r="F411" i="2"/>
  <c r="E411" i="2"/>
  <c r="D411" i="2"/>
  <c r="F410" i="2"/>
  <c r="E410" i="2"/>
  <c r="D410" i="2"/>
  <c r="F409" i="2"/>
  <c r="E409" i="2"/>
  <c r="D409" i="2"/>
  <c r="F408" i="2"/>
  <c r="E408" i="2"/>
  <c r="D408" i="2"/>
  <c r="F407" i="2"/>
  <c r="E407" i="2"/>
  <c r="D407" i="2"/>
  <c r="F406" i="2"/>
  <c r="E406" i="2"/>
  <c r="D406" i="2"/>
  <c r="F405" i="2"/>
  <c r="E405" i="2"/>
  <c r="D405" i="2"/>
  <c r="F403" i="2"/>
  <c r="E403" i="2"/>
  <c r="D403" i="2"/>
  <c r="F404" i="2"/>
  <c r="E404" i="2"/>
  <c r="D404" i="2"/>
  <c r="F402" i="2"/>
  <c r="E402" i="2"/>
  <c r="D402" i="2"/>
  <c r="F401" i="2"/>
  <c r="E401" i="2"/>
  <c r="D401" i="2"/>
  <c r="F400" i="2"/>
  <c r="E400" i="2"/>
  <c r="D400" i="2"/>
  <c r="F399" i="2"/>
  <c r="E399" i="2"/>
  <c r="D399" i="2"/>
  <c r="F398" i="2"/>
  <c r="E398" i="2"/>
  <c r="D398" i="2"/>
  <c r="F397" i="2"/>
  <c r="E397" i="2"/>
  <c r="D397" i="2"/>
  <c r="F396" i="2"/>
  <c r="E396" i="2"/>
  <c r="D396" i="2"/>
  <c r="F395" i="2"/>
  <c r="E395" i="2"/>
  <c r="D395" i="2"/>
  <c r="F394" i="2"/>
  <c r="E394" i="2"/>
  <c r="D394" i="2"/>
  <c r="F393" i="2"/>
  <c r="E393" i="2"/>
  <c r="D393" i="2"/>
  <c r="F392" i="2"/>
  <c r="E392" i="2"/>
  <c r="D392" i="2"/>
  <c r="F391" i="2"/>
  <c r="E391" i="2"/>
  <c r="D391" i="2"/>
  <c r="F390" i="2"/>
  <c r="E390" i="2"/>
  <c r="D390" i="2"/>
  <c r="F389" i="2"/>
  <c r="E389" i="2"/>
  <c r="D389" i="2"/>
  <c r="F388" i="2"/>
  <c r="E388" i="2"/>
  <c r="D388" i="2"/>
  <c r="F387" i="2"/>
  <c r="E387" i="2"/>
  <c r="D387" i="2"/>
  <c r="F386" i="2"/>
  <c r="E386" i="2"/>
  <c r="D386" i="2"/>
  <c r="F385" i="2"/>
  <c r="E385" i="2"/>
  <c r="D385" i="2"/>
  <c r="F384" i="2"/>
  <c r="E384" i="2"/>
  <c r="D384" i="2"/>
  <c r="F383" i="2"/>
  <c r="E383" i="2"/>
  <c r="D383" i="2"/>
  <c r="F382" i="2"/>
  <c r="E382" i="2"/>
  <c r="D382" i="2"/>
  <c r="F381" i="2"/>
  <c r="E381" i="2"/>
  <c r="D381" i="2"/>
  <c r="F379" i="2"/>
  <c r="E379" i="2"/>
  <c r="D379" i="2"/>
  <c r="F380" i="2"/>
  <c r="E380" i="2"/>
  <c r="D380" i="2"/>
  <c r="F9261" i="2"/>
  <c r="E9261" i="2"/>
  <c r="D9261" i="2"/>
  <c r="F9260" i="2"/>
  <c r="E9260" i="2"/>
  <c r="D9260" i="2"/>
  <c r="F9259" i="2"/>
  <c r="E9259" i="2"/>
  <c r="D9259" i="2"/>
  <c r="F9258" i="2"/>
  <c r="E9258" i="2"/>
  <c r="D9258" i="2"/>
  <c r="F9257" i="2"/>
  <c r="E9257" i="2"/>
  <c r="D9257" i="2"/>
  <c r="F9256" i="2"/>
  <c r="E9256" i="2"/>
  <c r="D9256" i="2"/>
  <c r="F9255" i="2"/>
  <c r="E9255" i="2"/>
  <c r="D9255" i="2"/>
  <c r="F9254" i="2"/>
  <c r="E9254" i="2"/>
  <c r="D9254" i="2"/>
  <c r="F13310" i="2"/>
  <c r="E13310" i="2"/>
  <c r="D13310" i="2"/>
  <c r="F13309" i="2"/>
  <c r="E13309" i="2"/>
  <c r="D13309" i="2"/>
  <c r="F13308" i="2"/>
  <c r="E13308" i="2"/>
  <c r="D13308" i="2"/>
  <c r="F13307" i="2"/>
  <c r="E13307" i="2"/>
  <c r="D13307" i="2"/>
  <c r="F15277" i="2"/>
  <c r="E15277" i="2"/>
  <c r="D15277" i="2"/>
  <c r="F15278" i="2"/>
  <c r="E15278" i="2"/>
  <c r="D15278" i="2"/>
  <c r="F15383" i="2"/>
  <c r="E15383" i="2"/>
  <c r="D15383" i="2"/>
  <c r="F13579" i="2"/>
  <c r="E13579" i="2"/>
  <c r="D13579" i="2"/>
  <c r="F13588" i="2"/>
  <c r="E13588" i="2"/>
  <c r="D13588" i="2"/>
  <c r="F13587" i="2"/>
  <c r="E13587" i="2"/>
  <c r="D13587" i="2"/>
  <c r="F13586" i="2"/>
  <c r="E13586" i="2"/>
  <c r="D13586" i="2"/>
  <c r="F13585" i="2"/>
  <c r="E13585" i="2"/>
  <c r="D13585" i="2"/>
  <c r="F13584" i="2"/>
  <c r="E13584" i="2"/>
  <c r="D13584" i="2"/>
  <c r="F13583" i="2"/>
  <c r="E13583" i="2"/>
  <c r="D13583" i="2"/>
  <c r="F13582" i="2"/>
  <c r="E13582" i="2"/>
  <c r="D13582" i="2"/>
  <c r="F13581" i="2"/>
  <c r="E13581" i="2"/>
  <c r="D13581" i="2"/>
  <c r="F13580" i="2"/>
  <c r="E13580" i="2"/>
  <c r="D13580" i="2"/>
  <c r="F7880" i="2"/>
  <c r="E7880" i="2"/>
  <c r="D7880" i="2"/>
  <c r="F14304" i="2"/>
  <c r="E14304" i="2"/>
  <c r="D14304" i="2"/>
  <c r="F14303" i="2"/>
  <c r="E14303" i="2"/>
  <c r="D14303" i="2"/>
  <c r="F12849" i="2"/>
  <c r="E12849" i="2"/>
  <c r="D12849" i="2"/>
  <c r="F12850" i="2"/>
  <c r="E12850" i="2"/>
  <c r="D12850" i="2"/>
  <c r="F3757" i="2"/>
  <c r="E3757" i="2"/>
  <c r="D3757" i="2"/>
  <c r="F11746" i="2"/>
  <c r="E11746" i="2"/>
  <c r="D11746" i="2"/>
  <c r="F11745" i="2"/>
  <c r="E11745" i="2"/>
  <c r="D11745" i="2"/>
  <c r="F11744" i="2"/>
  <c r="E11744" i="2"/>
  <c r="D11744" i="2"/>
  <c r="F6123" i="2"/>
  <c r="E6123" i="2"/>
  <c r="D6123" i="2"/>
  <c r="F6122" i="2"/>
  <c r="E6122" i="2"/>
  <c r="D6122" i="2"/>
  <c r="F6121" i="2"/>
  <c r="E6121" i="2"/>
  <c r="D6121" i="2"/>
  <c r="F4474" i="2"/>
  <c r="E4474" i="2"/>
  <c r="D4474" i="2"/>
  <c r="F4475" i="2"/>
  <c r="E4475" i="2"/>
  <c r="D4475" i="2"/>
  <c r="F14450" i="2"/>
  <c r="E14450" i="2"/>
  <c r="D14450" i="2"/>
  <c r="F14451" i="2"/>
  <c r="E14451" i="2"/>
  <c r="D14451" i="2"/>
  <c r="F832" i="2"/>
  <c r="E832" i="2"/>
  <c r="D832" i="2"/>
  <c r="F852" i="2"/>
  <c r="E852" i="2"/>
  <c r="D852" i="2"/>
  <c r="F849" i="2"/>
  <c r="E849" i="2"/>
  <c r="D849" i="2"/>
  <c r="F851" i="2"/>
  <c r="E851" i="2"/>
  <c r="D851" i="2"/>
  <c r="F850" i="2"/>
  <c r="E850" i="2"/>
  <c r="D850" i="2"/>
  <c r="F848" i="2"/>
  <c r="E848" i="2"/>
  <c r="D848" i="2"/>
  <c r="F847" i="2"/>
  <c r="E847" i="2"/>
  <c r="D847" i="2"/>
  <c r="F846" i="2"/>
  <c r="E846" i="2"/>
  <c r="D846" i="2"/>
  <c r="F845" i="2"/>
  <c r="E845" i="2"/>
  <c r="D845" i="2"/>
  <c r="F844" i="2"/>
  <c r="E844" i="2"/>
  <c r="D844" i="2"/>
  <c r="F843" i="2"/>
  <c r="E843" i="2"/>
  <c r="D843" i="2"/>
  <c r="F842" i="2"/>
  <c r="E842" i="2"/>
  <c r="D842" i="2"/>
  <c r="F841" i="2"/>
  <c r="E841" i="2"/>
  <c r="D841" i="2"/>
  <c r="F840" i="2"/>
  <c r="E840" i="2"/>
  <c r="D840" i="2"/>
  <c r="F839" i="2"/>
  <c r="E839" i="2"/>
  <c r="D839" i="2"/>
  <c r="F838" i="2"/>
  <c r="E838" i="2"/>
  <c r="D838" i="2"/>
  <c r="F837" i="2"/>
  <c r="E837" i="2"/>
  <c r="D837" i="2"/>
  <c r="F836" i="2"/>
  <c r="E836" i="2"/>
  <c r="D836" i="2"/>
  <c r="F835" i="2"/>
  <c r="E835" i="2"/>
  <c r="D835" i="2"/>
  <c r="F834" i="2"/>
  <c r="E834" i="2"/>
  <c r="D834" i="2"/>
  <c r="F833" i="2"/>
  <c r="E833" i="2"/>
  <c r="D833" i="2"/>
  <c r="F831" i="2"/>
  <c r="E831" i="2"/>
  <c r="D831" i="2"/>
  <c r="F10853" i="2"/>
  <c r="E10853" i="2"/>
  <c r="D10853" i="2"/>
  <c r="F10859" i="2"/>
  <c r="E10859" i="2"/>
  <c r="D10859" i="2"/>
  <c r="F10861" i="2"/>
  <c r="E10861" i="2"/>
  <c r="D10861" i="2"/>
  <c r="F10860" i="2"/>
  <c r="E10860" i="2"/>
  <c r="D10860" i="2"/>
  <c r="F10858" i="2"/>
  <c r="E10858" i="2"/>
  <c r="D10858" i="2"/>
  <c r="F10857" i="2"/>
  <c r="E10857" i="2"/>
  <c r="D10857" i="2"/>
  <c r="F10856" i="2"/>
  <c r="E10856" i="2"/>
  <c r="D10856" i="2"/>
  <c r="F10855" i="2"/>
  <c r="E10855" i="2"/>
  <c r="D10855" i="2"/>
  <c r="F10854" i="2"/>
  <c r="E10854" i="2"/>
  <c r="D10854" i="2"/>
  <c r="F9310" i="2"/>
  <c r="E9310" i="2"/>
  <c r="D9310" i="2"/>
  <c r="F9309" i="2"/>
  <c r="E9309" i="2"/>
  <c r="D9309" i="2"/>
  <c r="F9308" i="2"/>
  <c r="E9308" i="2"/>
  <c r="D9308" i="2"/>
  <c r="F9306" i="2"/>
  <c r="E9306" i="2"/>
  <c r="D9306" i="2"/>
  <c r="F9307" i="2"/>
  <c r="E9307" i="2"/>
  <c r="D9307" i="2"/>
  <c r="F9305" i="2"/>
  <c r="E9305" i="2"/>
  <c r="D9305" i="2"/>
  <c r="F9304" i="2"/>
  <c r="E9304" i="2"/>
  <c r="D9304" i="2"/>
  <c r="F9303" i="2"/>
  <c r="E9303" i="2"/>
  <c r="D9303" i="2"/>
  <c r="F9302" i="2"/>
  <c r="E9302" i="2"/>
  <c r="D9302" i="2"/>
  <c r="F9301" i="2"/>
  <c r="E9301" i="2"/>
  <c r="D9301" i="2"/>
  <c r="F12638" i="2"/>
  <c r="E12638" i="2"/>
  <c r="D12638" i="2"/>
  <c r="F12637" i="2"/>
  <c r="E12637" i="2"/>
  <c r="D12637" i="2"/>
  <c r="F4482" i="2"/>
  <c r="E4482" i="2"/>
  <c r="D4482" i="2"/>
  <c r="F4481" i="2"/>
  <c r="E4481" i="2"/>
  <c r="D4481" i="2"/>
  <c r="F4480" i="2"/>
  <c r="E4480" i="2"/>
  <c r="D4480" i="2"/>
  <c r="F4479" i="2"/>
  <c r="E4479" i="2"/>
  <c r="D4479" i="2"/>
  <c r="F4478" i="2"/>
  <c r="E4478" i="2"/>
  <c r="D4478" i="2"/>
  <c r="F4477" i="2"/>
  <c r="E4477" i="2"/>
  <c r="D4477" i="2"/>
  <c r="F4476" i="2"/>
  <c r="E4476" i="2"/>
  <c r="D4476" i="2"/>
  <c r="F12584" i="2"/>
  <c r="E12584" i="2"/>
  <c r="D12584" i="2"/>
  <c r="F12588" i="2"/>
  <c r="E12588" i="2"/>
  <c r="D12588" i="2"/>
  <c r="F12587" i="2"/>
  <c r="E12587" i="2"/>
  <c r="D12587" i="2"/>
  <c r="F12586" i="2"/>
  <c r="E12586" i="2"/>
  <c r="D12586" i="2"/>
  <c r="F12585" i="2"/>
  <c r="E12585" i="2"/>
  <c r="D12585" i="2"/>
  <c r="F9375" i="2"/>
  <c r="E9375" i="2"/>
  <c r="D9375" i="2"/>
  <c r="F12952" i="2"/>
  <c r="E12952" i="2"/>
  <c r="D12952" i="2"/>
  <c r="F12955" i="2"/>
  <c r="E12955" i="2"/>
  <c r="D12955" i="2"/>
  <c r="F12954" i="2"/>
  <c r="E12954" i="2"/>
  <c r="D12954" i="2"/>
  <c r="F12953" i="2"/>
  <c r="E12953" i="2"/>
  <c r="D12953" i="2"/>
  <c r="F6304" i="2"/>
  <c r="E6304" i="2"/>
  <c r="D6304" i="2"/>
  <c r="F6303" i="2"/>
  <c r="E6303" i="2"/>
  <c r="D6303" i="2"/>
  <c r="F6302" i="2"/>
  <c r="E6302" i="2"/>
  <c r="D6302" i="2"/>
  <c r="F6301" i="2"/>
  <c r="E6301" i="2"/>
  <c r="D6301" i="2"/>
  <c r="F9311" i="2"/>
  <c r="E9311" i="2"/>
  <c r="D9311" i="2"/>
  <c r="F9314" i="2"/>
  <c r="E9314" i="2"/>
  <c r="D9314" i="2"/>
  <c r="F9313" i="2"/>
  <c r="E9313" i="2"/>
  <c r="D9313" i="2"/>
  <c r="F9312" i="2"/>
  <c r="E9312" i="2"/>
  <c r="D9312" i="2"/>
  <c r="F12280" i="2"/>
  <c r="E12280" i="2"/>
  <c r="D12280" i="2"/>
  <c r="F12281" i="2"/>
  <c r="E12281" i="2"/>
  <c r="D12281" i="2"/>
  <c r="F13946" i="2"/>
  <c r="E13946" i="2"/>
  <c r="D13946" i="2"/>
  <c r="F13955" i="2"/>
  <c r="E13955" i="2"/>
  <c r="D13955" i="2"/>
  <c r="F13954" i="2"/>
  <c r="E13954" i="2"/>
  <c r="D13954" i="2"/>
  <c r="F13953" i="2"/>
  <c r="E13953" i="2"/>
  <c r="D13953" i="2"/>
  <c r="F13952" i="2"/>
  <c r="E13952" i="2"/>
  <c r="D13952" i="2"/>
  <c r="F13951" i="2"/>
  <c r="E13951" i="2"/>
  <c r="D13951" i="2"/>
  <c r="F13950" i="2"/>
  <c r="E13950" i="2"/>
  <c r="D13950" i="2"/>
  <c r="F13949" i="2"/>
  <c r="E13949" i="2"/>
  <c r="D13949" i="2"/>
  <c r="F13948" i="2"/>
  <c r="E13948" i="2"/>
  <c r="D13948" i="2"/>
  <c r="F13947" i="2"/>
  <c r="E13947" i="2"/>
  <c r="D13947" i="2"/>
  <c r="F14621" i="2"/>
  <c r="E14621" i="2"/>
  <c r="D14621" i="2"/>
  <c r="F665" i="2"/>
  <c r="E665" i="2"/>
  <c r="D665" i="2"/>
  <c r="F664" i="2"/>
  <c r="E664" i="2"/>
  <c r="D664" i="2"/>
  <c r="F663" i="2"/>
  <c r="E663" i="2"/>
  <c r="D663" i="2"/>
  <c r="F662" i="2"/>
  <c r="E662" i="2"/>
  <c r="D662" i="2"/>
  <c r="F661" i="2"/>
  <c r="E661" i="2"/>
  <c r="D661" i="2"/>
  <c r="F660" i="2"/>
  <c r="E660" i="2"/>
  <c r="D660" i="2"/>
  <c r="F659" i="2"/>
  <c r="E659" i="2"/>
  <c r="D659" i="2"/>
  <c r="F658" i="2"/>
  <c r="E658" i="2"/>
  <c r="D658" i="2"/>
  <c r="F657" i="2"/>
  <c r="E657" i="2"/>
  <c r="D657" i="2"/>
  <c r="F656" i="2"/>
  <c r="E656" i="2"/>
  <c r="D656" i="2"/>
  <c r="F655" i="2"/>
  <c r="E655" i="2"/>
  <c r="D655" i="2"/>
  <c r="F654" i="2"/>
  <c r="E654" i="2"/>
  <c r="D654" i="2"/>
  <c r="F653" i="2"/>
  <c r="E653" i="2"/>
  <c r="D653" i="2"/>
  <c r="F652" i="2"/>
  <c r="E652" i="2"/>
  <c r="D652" i="2"/>
  <c r="F651" i="2"/>
  <c r="E651" i="2"/>
  <c r="D651" i="2"/>
  <c r="F650" i="2"/>
  <c r="E650" i="2"/>
  <c r="D650" i="2"/>
  <c r="F649" i="2"/>
  <c r="E649" i="2"/>
  <c r="D649" i="2"/>
  <c r="F648" i="2"/>
  <c r="E648" i="2"/>
  <c r="D648" i="2"/>
  <c r="F647" i="2"/>
  <c r="E647" i="2"/>
  <c r="D647" i="2"/>
  <c r="F646" i="2"/>
  <c r="E646" i="2"/>
  <c r="D646" i="2"/>
  <c r="F645" i="2"/>
  <c r="E645" i="2"/>
  <c r="D645" i="2"/>
  <c r="F644" i="2"/>
  <c r="E644" i="2"/>
  <c r="D644" i="2"/>
  <c r="F643" i="2"/>
  <c r="E643" i="2"/>
  <c r="D643" i="2"/>
  <c r="F642" i="2"/>
  <c r="E642" i="2"/>
  <c r="D642" i="2"/>
  <c r="F641" i="2"/>
  <c r="E641" i="2"/>
  <c r="D641" i="2"/>
  <c r="F640" i="2"/>
  <c r="E640" i="2"/>
  <c r="D640" i="2"/>
  <c r="F639" i="2"/>
  <c r="E639" i="2"/>
  <c r="D639" i="2"/>
  <c r="F638" i="2"/>
  <c r="E638" i="2"/>
  <c r="D638" i="2"/>
  <c r="F637" i="2"/>
  <c r="E637" i="2"/>
  <c r="D637" i="2"/>
  <c r="F636" i="2"/>
  <c r="E636" i="2"/>
  <c r="D636" i="2"/>
  <c r="F635" i="2"/>
  <c r="E635" i="2"/>
  <c r="D635" i="2"/>
  <c r="F634" i="2"/>
  <c r="E634" i="2"/>
  <c r="D634" i="2"/>
  <c r="F633" i="2"/>
  <c r="E633" i="2"/>
  <c r="D633" i="2"/>
  <c r="F632" i="2"/>
  <c r="E632" i="2"/>
  <c r="D632" i="2"/>
  <c r="F631" i="2"/>
  <c r="E631" i="2"/>
  <c r="D631" i="2"/>
  <c r="F630" i="2"/>
  <c r="E630" i="2"/>
  <c r="D630" i="2"/>
  <c r="F629" i="2"/>
  <c r="E629" i="2"/>
  <c r="D629" i="2"/>
  <c r="F628" i="2"/>
  <c r="E628" i="2"/>
  <c r="D628" i="2"/>
  <c r="F627" i="2"/>
  <c r="E627" i="2"/>
  <c r="D627" i="2"/>
  <c r="F626" i="2"/>
  <c r="E626" i="2"/>
  <c r="D626" i="2"/>
  <c r="F625" i="2"/>
  <c r="E625" i="2"/>
  <c r="D625" i="2"/>
  <c r="F624" i="2"/>
  <c r="E624" i="2"/>
  <c r="D624" i="2"/>
  <c r="F623" i="2"/>
  <c r="E623" i="2"/>
  <c r="D623" i="2"/>
  <c r="F13377" i="2"/>
  <c r="E13377" i="2"/>
  <c r="D13377" i="2"/>
  <c r="F13376" i="2"/>
  <c r="E13376" i="2"/>
  <c r="D13376" i="2"/>
  <c r="F13375" i="2"/>
  <c r="E13375" i="2"/>
  <c r="D13375" i="2"/>
  <c r="F13374" i="2"/>
  <c r="E13374" i="2"/>
  <c r="D13374" i="2"/>
  <c r="F13373" i="2"/>
  <c r="E13373" i="2"/>
  <c r="D13373" i="2"/>
  <c r="F9315" i="2"/>
  <c r="E9315" i="2"/>
  <c r="D9315" i="2"/>
  <c r="F9319" i="2"/>
  <c r="E9319" i="2"/>
  <c r="D9319" i="2"/>
  <c r="F9318" i="2"/>
  <c r="E9318" i="2"/>
  <c r="D9318" i="2"/>
  <c r="F9317" i="2"/>
  <c r="E9317" i="2"/>
  <c r="D9317" i="2"/>
  <c r="F9316" i="2"/>
  <c r="E9316" i="2"/>
  <c r="D9316" i="2"/>
  <c r="F16172" i="2"/>
  <c r="E16172" i="2"/>
  <c r="D16172" i="2"/>
  <c r="F16171" i="2"/>
  <c r="E16171" i="2"/>
  <c r="D16171" i="2"/>
  <c r="F16170" i="2"/>
  <c r="E16170" i="2"/>
  <c r="D16170" i="2"/>
  <c r="F16169" i="2"/>
  <c r="E16169" i="2"/>
  <c r="D16169" i="2"/>
  <c r="F16168" i="2"/>
  <c r="E16168" i="2"/>
  <c r="D16168" i="2"/>
  <c r="F16167" i="2"/>
  <c r="E16167" i="2"/>
  <c r="D16167" i="2"/>
  <c r="F16166" i="2"/>
  <c r="E16166" i="2"/>
  <c r="D16166" i="2"/>
  <c r="F16165" i="2"/>
  <c r="E16165" i="2"/>
  <c r="D16165" i="2"/>
  <c r="F16164" i="2"/>
  <c r="E16164" i="2"/>
  <c r="D16164" i="2"/>
  <c r="F16163" i="2"/>
  <c r="E16163" i="2"/>
  <c r="D16163" i="2"/>
  <c r="F16162" i="2"/>
  <c r="E16162" i="2"/>
  <c r="D16162" i="2"/>
  <c r="F16161" i="2"/>
  <c r="E16161" i="2"/>
  <c r="D16161" i="2"/>
  <c r="F16160" i="2"/>
  <c r="E16160" i="2"/>
  <c r="D16160" i="2"/>
  <c r="F16159" i="2"/>
  <c r="E16159" i="2"/>
  <c r="D16159" i="2"/>
  <c r="F16158" i="2"/>
  <c r="E16158" i="2"/>
  <c r="D16158" i="2"/>
  <c r="F16157" i="2"/>
  <c r="E16157" i="2"/>
  <c r="D16157" i="2"/>
  <c r="F16156" i="2"/>
  <c r="E16156" i="2"/>
  <c r="D16156" i="2"/>
  <c r="F16155" i="2"/>
  <c r="E16155" i="2"/>
  <c r="D16155" i="2"/>
  <c r="F16154" i="2"/>
  <c r="E16154" i="2"/>
  <c r="D16154" i="2"/>
  <c r="F16153" i="2"/>
  <c r="E16153" i="2"/>
  <c r="D16153" i="2"/>
  <c r="F16152" i="2"/>
  <c r="E16152" i="2"/>
  <c r="D16152" i="2"/>
  <c r="F16151" i="2"/>
  <c r="E16151" i="2"/>
  <c r="D16151" i="2"/>
  <c r="F16150" i="2"/>
  <c r="E16150" i="2"/>
  <c r="D16150" i="2"/>
  <c r="F16149" i="2"/>
  <c r="E16149" i="2"/>
  <c r="D16149" i="2"/>
  <c r="F16148" i="2"/>
  <c r="E16148" i="2"/>
  <c r="D16148" i="2"/>
  <c r="F16147" i="2"/>
  <c r="E16147" i="2"/>
  <c r="D16147" i="2"/>
  <c r="F16146" i="2"/>
  <c r="E16146" i="2"/>
  <c r="D16146" i="2"/>
  <c r="F16145" i="2"/>
  <c r="E16145" i="2"/>
  <c r="D16145" i="2"/>
  <c r="F16144" i="2"/>
  <c r="E16144" i="2"/>
  <c r="D16144" i="2"/>
  <c r="F16143" i="2"/>
  <c r="E16143" i="2"/>
  <c r="D16143" i="2"/>
  <c r="F16142" i="2"/>
  <c r="E16142" i="2"/>
  <c r="D16142" i="2"/>
  <c r="F16141" i="2"/>
  <c r="E16141" i="2"/>
  <c r="D16141" i="2"/>
  <c r="F16140" i="2"/>
  <c r="E16140" i="2"/>
  <c r="D16140" i="2"/>
  <c r="F16139" i="2"/>
  <c r="E16139" i="2"/>
  <c r="D16139" i="2"/>
  <c r="E16138" i="2"/>
  <c r="D16138" i="2"/>
  <c r="F16137" i="2"/>
  <c r="E16137" i="2"/>
  <c r="D16137" i="2"/>
  <c r="F16136" i="2"/>
  <c r="E16136" i="2"/>
  <c r="D16136" i="2"/>
  <c r="F16135" i="2"/>
  <c r="E16135" i="2"/>
  <c r="D16135" i="2"/>
  <c r="F16134" i="2"/>
  <c r="E16134" i="2"/>
  <c r="D16134" i="2"/>
  <c r="F16133" i="2"/>
  <c r="E16133" i="2"/>
  <c r="D16133" i="2"/>
  <c r="F16132" i="2"/>
  <c r="E16132" i="2"/>
  <c r="D16132" i="2"/>
  <c r="F16131" i="2"/>
  <c r="E16131" i="2"/>
  <c r="D16131" i="2"/>
  <c r="F16130" i="2"/>
  <c r="E16130" i="2"/>
  <c r="D16130" i="2"/>
  <c r="F16129" i="2"/>
  <c r="E16129" i="2"/>
  <c r="D16129" i="2"/>
  <c r="F16128" i="2"/>
  <c r="E16128" i="2"/>
  <c r="D16128" i="2"/>
  <c r="F16127" i="2"/>
  <c r="E16127" i="2"/>
  <c r="D16127" i="2"/>
  <c r="F16126" i="2"/>
  <c r="E16126" i="2"/>
  <c r="D16126" i="2"/>
  <c r="F16125" i="2"/>
  <c r="E16125" i="2"/>
  <c r="D16125" i="2"/>
  <c r="F16124" i="2"/>
  <c r="E16124" i="2"/>
  <c r="D16124" i="2"/>
  <c r="F16123" i="2"/>
  <c r="E16123" i="2"/>
  <c r="D16123" i="2"/>
  <c r="F16122" i="2"/>
  <c r="E16122" i="2"/>
  <c r="D16122" i="2"/>
  <c r="F16119" i="2"/>
  <c r="E16119" i="2"/>
  <c r="D16119" i="2"/>
  <c r="F16121" i="2"/>
  <c r="E16121" i="2"/>
  <c r="D16121" i="2"/>
  <c r="F16120" i="2"/>
  <c r="E16120" i="2"/>
  <c r="D16120" i="2"/>
  <c r="F16118" i="2"/>
  <c r="E16118" i="2"/>
  <c r="D16118" i="2"/>
  <c r="F16117" i="2"/>
  <c r="E16117" i="2"/>
  <c r="D16117" i="2"/>
  <c r="F618" i="2"/>
  <c r="E618" i="2"/>
  <c r="D618" i="2"/>
  <c r="F622" i="2"/>
  <c r="E622" i="2"/>
  <c r="D622" i="2"/>
  <c r="F621" i="2"/>
  <c r="E621" i="2"/>
  <c r="D621" i="2"/>
  <c r="F620" i="2"/>
  <c r="E620" i="2"/>
  <c r="D620" i="2"/>
  <c r="F619" i="2"/>
  <c r="E619" i="2"/>
  <c r="D619" i="2"/>
  <c r="F9376" i="2"/>
  <c r="E9376" i="2"/>
  <c r="D9376" i="2"/>
  <c r="F9380" i="2"/>
  <c r="E9380" i="2"/>
  <c r="D9380" i="2"/>
  <c r="F9379" i="2"/>
  <c r="E9379" i="2"/>
  <c r="D9379" i="2"/>
  <c r="F9378" i="2"/>
  <c r="E9378" i="2"/>
  <c r="D9378" i="2"/>
  <c r="F9377" i="2"/>
  <c r="E9377" i="2"/>
  <c r="D9377" i="2"/>
  <c r="F2993" i="2"/>
  <c r="E2993" i="2"/>
  <c r="D2993" i="2"/>
  <c r="F2992" i="2"/>
  <c r="E2992" i="2"/>
  <c r="D2992" i="2"/>
  <c r="F2991" i="2"/>
  <c r="E2991" i="2"/>
  <c r="D2991" i="2"/>
  <c r="F9324" i="2"/>
  <c r="E9324" i="2"/>
  <c r="D9324" i="2"/>
  <c r="F9322" i="2"/>
  <c r="E9322" i="2"/>
  <c r="D9322" i="2"/>
  <c r="F9323" i="2"/>
  <c r="E9323" i="2"/>
  <c r="D9323" i="2"/>
  <c r="F9321" i="2"/>
  <c r="E9321" i="2"/>
  <c r="D9321" i="2"/>
  <c r="F9320" i="2"/>
  <c r="E9320" i="2"/>
  <c r="D9320" i="2"/>
  <c r="F4993" i="2"/>
  <c r="E4993" i="2"/>
  <c r="D4993" i="2"/>
  <c r="F4992" i="2"/>
  <c r="E4992" i="2"/>
  <c r="D4992" i="2"/>
  <c r="F4991" i="2"/>
  <c r="E4991" i="2"/>
  <c r="D4991" i="2"/>
  <c r="F4990" i="2"/>
  <c r="E4990" i="2"/>
  <c r="D4990" i="2"/>
  <c r="F4989" i="2"/>
  <c r="E4989" i="2"/>
  <c r="D4989" i="2"/>
  <c r="F4988" i="2"/>
  <c r="E4988" i="2"/>
  <c r="D4988" i="2"/>
  <c r="F4987" i="2"/>
  <c r="E4987" i="2"/>
  <c r="D4987" i="2"/>
  <c r="F4986" i="2"/>
  <c r="E4986" i="2"/>
  <c r="D4986" i="2"/>
  <c r="F4985" i="2"/>
  <c r="E4985" i="2"/>
  <c r="D4985" i="2"/>
  <c r="F4984" i="2"/>
  <c r="E4984" i="2"/>
  <c r="D4984" i="2"/>
  <c r="F4983" i="2"/>
  <c r="E4983" i="2"/>
  <c r="D4983" i="2"/>
  <c r="F4982" i="2"/>
  <c r="E4982" i="2"/>
  <c r="D4982" i="2"/>
  <c r="F4981" i="2"/>
  <c r="E4981" i="2"/>
  <c r="D4981" i="2"/>
  <c r="F4980" i="2"/>
  <c r="E4980" i="2"/>
  <c r="D4980" i="2"/>
  <c r="F4979" i="2"/>
  <c r="E4979" i="2"/>
  <c r="D4979" i="2"/>
  <c r="F4978" i="2"/>
  <c r="E4978" i="2"/>
  <c r="D4978" i="2"/>
  <c r="F4977" i="2"/>
  <c r="E4977" i="2"/>
  <c r="D4977" i="2"/>
  <c r="F4976" i="2"/>
  <c r="E4976" i="2"/>
  <c r="D4976" i="2"/>
  <c r="F4975" i="2"/>
  <c r="E4975" i="2"/>
  <c r="D4975" i="2"/>
  <c r="F4974" i="2"/>
  <c r="E4974" i="2"/>
  <c r="D4974" i="2"/>
  <c r="F4973" i="2"/>
  <c r="E4973" i="2"/>
  <c r="D4973" i="2"/>
  <c r="F4972" i="2"/>
  <c r="E4972" i="2"/>
  <c r="D4972" i="2"/>
  <c r="F4971" i="2"/>
  <c r="E4971" i="2"/>
  <c r="D4971" i="2"/>
  <c r="F4970" i="2"/>
  <c r="E4970" i="2"/>
  <c r="D4970" i="2"/>
  <c r="F4969" i="2"/>
  <c r="E4969" i="2"/>
  <c r="D4969" i="2"/>
  <c r="F4968" i="2"/>
  <c r="E4968" i="2"/>
  <c r="D4968" i="2"/>
  <c r="F4967" i="2"/>
  <c r="E4967" i="2"/>
  <c r="D4967" i="2"/>
  <c r="F4966" i="2"/>
  <c r="E4966" i="2"/>
  <c r="D4966" i="2"/>
  <c r="F4965" i="2"/>
  <c r="E4965" i="2"/>
  <c r="D4965" i="2"/>
  <c r="F4964" i="2"/>
  <c r="E4964" i="2"/>
  <c r="D4964" i="2"/>
  <c r="F4963" i="2"/>
  <c r="E4963" i="2"/>
  <c r="D4963" i="2"/>
  <c r="F4962" i="2"/>
  <c r="E4962" i="2"/>
  <c r="D4962" i="2"/>
  <c r="F4961" i="2"/>
  <c r="E4961" i="2"/>
  <c r="D4961" i="2"/>
  <c r="F4960" i="2"/>
  <c r="E4960" i="2"/>
  <c r="D4960" i="2"/>
  <c r="F4959" i="2"/>
  <c r="E4959" i="2"/>
  <c r="D4959" i="2"/>
  <c r="F4958" i="2"/>
  <c r="E4958" i="2"/>
  <c r="D4958" i="2"/>
  <c r="F4957" i="2"/>
  <c r="E4957" i="2"/>
  <c r="D4957" i="2"/>
  <c r="F4956" i="2"/>
  <c r="E4956" i="2"/>
  <c r="D4956" i="2"/>
  <c r="F4955" i="2"/>
  <c r="E4955" i="2"/>
  <c r="D4955" i="2"/>
  <c r="F4954" i="2"/>
  <c r="E4954" i="2"/>
  <c r="D4954" i="2"/>
  <c r="F4953" i="2"/>
  <c r="E4953" i="2"/>
  <c r="D4953" i="2"/>
  <c r="F4952" i="2"/>
  <c r="E4952" i="2"/>
  <c r="D4952" i="2"/>
  <c r="F4951" i="2"/>
  <c r="E4951" i="2"/>
  <c r="D4951" i="2"/>
  <c r="F4950" i="2"/>
  <c r="E4950" i="2"/>
  <c r="D4950" i="2"/>
  <c r="F4949" i="2"/>
  <c r="E4949" i="2"/>
  <c r="D4949" i="2"/>
  <c r="F4948" i="2"/>
  <c r="E4948" i="2"/>
  <c r="D4948" i="2"/>
  <c r="F4947" i="2"/>
  <c r="E4947" i="2"/>
  <c r="D4947" i="2"/>
  <c r="F4946" i="2"/>
  <c r="E4946" i="2"/>
  <c r="D4946" i="2"/>
  <c r="F13389" i="2"/>
  <c r="E13389" i="2"/>
  <c r="D13389" i="2"/>
  <c r="F13388" i="2"/>
  <c r="E13388" i="2"/>
  <c r="D13388" i="2"/>
  <c r="F13387" i="2"/>
  <c r="E13387" i="2"/>
  <c r="D13387" i="2"/>
  <c r="F13386" i="2"/>
  <c r="E13386" i="2"/>
  <c r="D13386" i="2"/>
  <c r="F13385" i="2"/>
  <c r="E13385" i="2"/>
  <c r="D13385" i="2"/>
  <c r="F13384" i="2"/>
  <c r="E13384" i="2"/>
  <c r="D13384" i="2"/>
  <c r="F13383" i="2"/>
  <c r="E13383" i="2"/>
  <c r="D13383" i="2"/>
  <c r="F3034" i="2"/>
  <c r="E3034" i="2"/>
  <c r="D3034" i="2"/>
  <c r="F3033" i="2"/>
  <c r="E3033" i="2"/>
  <c r="D3033" i="2"/>
  <c r="F3032" i="2"/>
  <c r="E3032" i="2"/>
  <c r="D3032" i="2"/>
  <c r="F3031" i="2"/>
  <c r="E3031" i="2"/>
  <c r="D3031" i="2"/>
  <c r="F3030" i="2"/>
  <c r="E3030" i="2"/>
  <c r="D3030" i="2"/>
  <c r="F3029" i="2"/>
  <c r="E3029" i="2"/>
  <c r="D3029" i="2"/>
  <c r="F3028" i="2"/>
  <c r="E3028" i="2"/>
  <c r="D3028" i="2"/>
  <c r="F3027" i="2"/>
  <c r="E3027" i="2"/>
  <c r="D3027" i="2"/>
  <c r="F3026" i="2"/>
  <c r="E3026" i="2"/>
  <c r="D3026" i="2"/>
  <c r="F3025" i="2"/>
  <c r="E3025" i="2"/>
  <c r="D3025" i="2"/>
  <c r="F3024" i="2"/>
  <c r="E3024" i="2"/>
  <c r="D3024" i="2"/>
  <c r="F3023" i="2"/>
  <c r="E3023" i="2"/>
  <c r="D3023" i="2"/>
  <c r="F3022" i="2"/>
  <c r="E3022" i="2"/>
  <c r="D3022" i="2"/>
  <c r="F3021" i="2"/>
  <c r="E3021" i="2"/>
  <c r="D3021" i="2"/>
  <c r="F3020" i="2"/>
  <c r="E3020" i="2"/>
  <c r="D3020" i="2"/>
  <c r="F3019" i="2"/>
  <c r="E3019" i="2"/>
  <c r="D3019" i="2"/>
  <c r="F3018" i="2"/>
  <c r="E3018" i="2"/>
  <c r="D3018" i="2"/>
  <c r="F3017" i="2"/>
  <c r="E3017" i="2"/>
  <c r="D3017" i="2"/>
  <c r="F3016" i="2"/>
  <c r="E3016" i="2"/>
  <c r="D3016" i="2"/>
  <c r="F3015" i="2"/>
  <c r="E3015" i="2"/>
  <c r="D3015" i="2"/>
  <c r="F3014" i="2"/>
  <c r="E3014" i="2"/>
  <c r="D3014" i="2"/>
  <c r="F3013" i="2"/>
  <c r="E3013" i="2"/>
  <c r="D3013" i="2"/>
  <c r="F3012" i="2"/>
  <c r="E3012" i="2"/>
  <c r="D3012" i="2"/>
  <c r="F3011" i="2"/>
  <c r="E3011" i="2"/>
  <c r="D3011" i="2"/>
  <c r="F3010" i="2"/>
  <c r="E3010" i="2"/>
  <c r="D3010" i="2"/>
  <c r="F3009" i="2"/>
  <c r="E3009" i="2"/>
  <c r="D3009" i="2"/>
  <c r="F3008" i="2"/>
  <c r="E3008" i="2"/>
  <c r="D3008" i="2"/>
  <c r="F3007" i="2"/>
  <c r="E3007" i="2"/>
  <c r="D3007" i="2"/>
  <c r="F3006" i="2"/>
  <c r="E3006" i="2"/>
  <c r="D3006" i="2"/>
  <c r="F3005" i="2"/>
  <c r="E3005" i="2"/>
  <c r="D3005" i="2"/>
  <c r="F3004" i="2"/>
  <c r="E3004" i="2"/>
  <c r="D3004" i="2"/>
  <c r="F3003" i="2"/>
  <c r="E3003" i="2"/>
  <c r="D3003" i="2"/>
  <c r="F3002" i="2"/>
  <c r="E3002" i="2"/>
  <c r="D3002" i="2"/>
  <c r="F3001" i="2"/>
  <c r="E3001" i="2"/>
  <c r="D3001" i="2"/>
  <c r="F3000" i="2"/>
  <c r="E3000" i="2"/>
  <c r="D3000" i="2"/>
  <c r="F2999" i="2"/>
  <c r="E2999" i="2"/>
  <c r="D2999" i="2"/>
  <c r="F2998" i="2"/>
  <c r="E2998" i="2"/>
  <c r="D2998" i="2"/>
  <c r="F2997" i="2"/>
  <c r="E2997" i="2"/>
  <c r="D2997" i="2"/>
  <c r="F2996" i="2"/>
  <c r="E2996" i="2"/>
  <c r="D2996" i="2"/>
  <c r="F2995" i="2"/>
  <c r="E2995" i="2"/>
  <c r="D2995" i="2"/>
  <c r="F2994" i="2"/>
  <c r="E2994" i="2"/>
  <c r="D2994" i="2"/>
  <c r="F14150" i="2"/>
  <c r="E14150" i="2"/>
  <c r="D14150" i="2"/>
  <c r="F14156" i="2"/>
  <c r="E14156" i="2"/>
  <c r="D14156" i="2"/>
  <c r="F14155" i="2"/>
  <c r="E14155" i="2"/>
  <c r="D14155" i="2"/>
  <c r="F14154" i="2"/>
  <c r="E14154" i="2"/>
  <c r="D14154" i="2"/>
  <c r="F14153" i="2"/>
  <c r="E14153" i="2"/>
  <c r="D14153" i="2"/>
  <c r="F14152" i="2"/>
  <c r="E14152" i="2"/>
  <c r="D14152" i="2"/>
  <c r="F14151" i="2"/>
  <c r="E14151" i="2"/>
  <c r="D14151" i="2"/>
  <c r="F1895" i="2"/>
  <c r="E1895" i="2"/>
  <c r="D1895" i="2"/>
  <c r="F1897" i="2"/>
  <c r="E1897" i="2"/>
  <c r="D1897" i="2"/>
  <c r="F1899" i="2"/>
  <c r="E1899" i="2"/>
  <c r="D1899" i="2"/>
  <c r="F1898" i="2"/>
  <c r="E1898" i="2"/>
  <c r="D1898" i="2"/>
  <c r="F1896" i="2"/>
  <c r="E1896" i="2"/>
  <c r="D1896" i="2"/>
  <c r="F2919" i="2"/>
  <c r="E2919" i="2"/>
  <c r="D2919" i="2"/>
  <c r="F2920" i="2"/>
  <c r="E2920" i="2"/>
  <c r="D2920" i="2"/>
  <c r="F14157" i="2"/>
  <c r="E14157" i="2"/>
  <c r="D14157" i="2"/>
  <c r="F14179" i="2"/>
  <c r="E14179" i="2"/>
  <c r="D14179" i="2"/>
  <c r="F14178" i="2"/>
  <c r="E14178" i="2"/>
  <c r="D14178" i="2"/>
  <c r="F14177" i="2"/>
  <c r="E14177" i="2"/>
  <c r="D14177" i="2"/>
  <c r="F14176" i="2"/>
  <c r="E14176" i="2"/>
  <c r="D14176" i="2"/>
  <c r="F14175" i="2"/>
  <c r="E14175" i="2"/>
  <c r="D14175" i="2"/>
  <c r="F14174" i="2"/>
  <c r="E14174" i="2"/>
  <c r="D14174" i="2"/>
  <c r="F14173" i="2"/>
  <c r="E14173" i="2"/>
  <c r="D14173" i="2"/>
  <c r="F14172" i="2"/>
  <c r="E14172" i="2"/>
  <c r="D14172" i="2"/>
  <c r="F14171" i="2"/>
  <c r="E14171" i="2"/>
  <c r="D14171" i="2"/>
  <c r="F14170" i="2"/>
  <c r="E14170" i="2"/>
  <c r="D14170" i="2"/>
  <c r="F14169" i="2"/>
  <c r="E14169" i="2"/>
  <c r="D14169" i="2"/>
  <c r="F14168" i="2"/>
  <c r="E14168" i="2"/>
  <c r="D14168" i="2"/>
  <c r="F14167" i="2"/>
  <c r="E14167" i="2"/>
  <c r="D14167" i="2"/>
  <c r="F14166" i="2"/>
  <c r="E14166" i="2"/>
  <c r="D14166" i="2"/>
  <c r="F14165" i="2"/>
  <c r="E14165" i="2"/>
  <c r="D14165" i="2"/>
  <c r="F14164" i="2"/>
  <c r="E14164" i="2"/>
  <c r="D14164" i="2"/>
  <c r="F14163" i="2"/>
  <c r="E14163" i="2"/>
  <c r="D14163" i="2"/>
  <c r="F14162" i="2"/>
  <c r="E14162" i="2"/>
  <c r="D14162" i="2"/>
  <c r="F14161" i="2"/>
  <c r="E14161" i="2"/>
  <c r="D14161" i="2"/>
  <c r="F14160" i="2"/>
  <c r="E14160" i="2"/>
  <c r="D14160" i="2"/>
  <c r="F14159" i="2"/>
  <c r="E14159" i="2"/>
  <c r="D14159" i="2"/>
  <c r="F14158" i="2"/>
  <c r="E14158" i="2"/>
  <c r="D14158" i="2"/>
  <c r="F3035" i="2"/>
  <c r="E3035" i="2"/>
  <c r="D3035" i="2"/>
  <c r="F3041" i="2"/>
  <c r="E3041" i="2"/>
  <c r="D3041" i="2"/>
  <c r="F3040" i="2"/>
  <c r="E3040" i="2"/>
  <c r="D3040" i="2"/>
  <c r="F3039" i="2"/>
  <c r="E3039" i="2"/>
  <c r="D3039" i="2"/>
  <c r="F3038" i="2"/>
  <c r="E3038" i="2"/>
  <c r="D3038" i="2"/>
  <c r="F3037" i="2"/>
  <c r="E3037" i="2"/>
  <c r="D3037" i="2"/>
  <c r="F3036" i="2"/>
  <c r="E3036" i="2"/>
  <c r="D3036" i="2"/>
  <c r="F3043" i="2"/>
  <c r="E3043" i="2"/>
  <c r="D3043" i="2"/>
  <c r="F3070" i="2"/>
  <c r="E3070" i="2"/>
  <c r="D3070" i="2"/>
  <c r="F3069" i="2"/>
  <c r="E3069" i="2"/>
  <c r="D3069" i="2"/>
  <c r="F3068" i="2"/>
  <c r="E3068" i="2"/>
  <c r="D3068" i="2"/>
  <c r="F3067" i="2"/>
  <c r="E3067" i="2"/>
  <c r="D3067" i="2"/>
  <c r="F3066" i="2"/>
  <c r="E3066" i="2"/>
  <c r="D3066" i="2"/>
  <c r="F3065" i="2"/>
  <c r="E3065" i="2"/>
  <c r="D3065" i="2"/>
  <c r="F3064" i="2"/>
  <c r="E3064" i="2"/>
  <c r="D3064" i="2"/>
  <c r="F3063" i="2"/>
  <c r="E3063" i="2"/>
  <c r="D3063" i="2"/>
  <c r="F3062" i="2"/>
  <c r="E3062" i="2"/>
  <c r="D3062" i="2"/>
  <c r="F3061" i="2"/>
  <c r="E3061" i="2"/>
  <c r="D3061" i="2"/>
  <c r="F3060" i="2"/>
  <c r="E3060" i="2"/>
  <c r="D3060" i="2"/>
  <c r="F3059" i="2"/>
  <c r="E3059" i="2"/>
  <c r="D3059" i="2"/>
  <c r="F3058" i="2"/>
  <c r="E3058" i="2"/>
  <c r="D3058" i="2"/>
  <c r="F3057" i="2"/>
  <c r="E3057" i="2"/>
  <c r="D3057" i="2"/>
  <c r="F3056" i="2"/>
  <c r="E3056" i="2"/>
  <c r="D3056" i="2"/>
  <c r="F3055" i="2"/>
  <c r="E3055" i="2"/>
  <c r="D3055" i="2"/>
  <c r="F3054" i="2"/>
  <c r="E3054" i="2"/>
  <c r="D3054" i="2"/>
  <c r="F3053" i="2"/>
  <c r="E3053" i="2"/>
  <c r="D3053" i="2"/>
  <c r="F3052" i="2"/>
  <c r="E3052" i="2"/>
  <c r="D3052" i="2"/>
  <c r="F3051" i="2"/>
  <c r="E3051" i="2"/>
  <c r="D3051" i="2"/>
  <c r="F3050" i="2"/>
  <c r="E3050" i="2"/>
  <c r="D3050" i="2"/>
  <c r="F3049" i="2"/>
  <c r="E3049" i="2"/>
  <c r="D3049" i="2"/>
  <c r="F3048" i="2"/>
  <c r="E3048" i="2"/>
  <c r="D3048" i="2"/>
  <c r="F3046" i="2"/>
  <c r="E3046" i="2"/>
  <c r="D3046" i="2"/>
  <c r="F3047" i="2"/>
  <c r="E3047" i="2"/>
  <c r="D3047" i="2"/>
  <c r="F3042" i="2"/>
  <c r="E3042" i="2"/>
  <c r="D3042" i="2"/>
  <c r="F3045" i="2"/>
  <c r="E3045" i="2"/>
  <c r="D3045" i="2"/>
  <c r="F3044" i="2"/>
  <c r="E3044" i="2"/>
  <c r="D3044" i="2"/>
  <c r="F12590" i="2"/>
  <c r="E12590" i="2"/>
  <c r="D12590" i="2"/>
  <c r="F12608" i="2"/>
  <c r="E12608" i="2"/>
  <c r="D12608" i="2"/>
  <c r="F12607" i="2"/>
  <c r="E12607" i="2"/>
  <c r="D12607" i="2"/>
  <c r="F12606" i="2"/>
  <c r="E12606" i="2"/>
  <c r="D12606" i="2"/>
  <c r="F12605" i="2"/>
  <c r="E12605" i="2"/>
  <c r="D12605" i="2"/>
  <c r="F12604" i="2"/>
  <c r="E12604" i="2"/>
  <c r="D12604" i="2"/>
  <c r="F12603" i="2"/>
  <c r="E12603" i="2"/>
  <c r="D12603" i="2"/>
  <c r="F12602" i="2"/>
  <c r="E12602" i="2"/>
  <c r="D12602" i="2"/>
  <c r="F12601" i="2"/>
  <c r="E12601" i="2"/>
  <c r="D12601" i="2"/>
  <c r="F12600" i="2"/>
  <c r="E12600" i="2"/>
  <c r="D12600" i="2"/>
  <c r="F12599" i="2"/>
  <c r="E12599" i="2"/>
  <c r="D12599" i="2"/>
  <c r="F12598" i="2"/>
  <c r="E12598" i="2"/>
  <c r="D12598" i="2"/>
  <c r="F12597" i="2"/>
  <c r="E12597" i="2"/>
  <c r="D12597" i="2"/>
  <c r="F12596" i="2"/>
  <c r="E12596" i="2"/>
  <c r="D12596" i="2"/>
  <c r="F12595" i="2"/>
  <c r="E12595" i="2"/>
  <c r="D12595" i="2"/>
  <c r="F12594" i="2"/>
  <c r="E12594" i="2"/>
  <c r="D12594" i="2"/>
  <c r="F12593" i="2"/>
  <c r="E12593" i="2"/>
  <c r="D12593" i="2"/>
  <c r="F12592" i="2"/>
  <c r="E12592" i="2"/>
  <c r="D12592" i="2"/>
  <c r="F12591" i="2"/>
  <c r="E12591" i="2"/>
  <c r="D12591" i="2"/>
  <c r="F12589" i="2"/>
  <c r="E12589" i="2"/>
  <c r="D12589" i="2"/>
  <c r="F12282" i="2"/>
  <c r="E12282" i="2"/>
  <c r="D12282" i="2"/>
  <c r="F12330" i="2"/>
  <c r="E12330" i="2"/>
  <c r="D12330" i="2"/>
  <c r="F12327" i="2"/>
  <c r="E12327" i="2"/>
  <c r="D12327" i="2"/>
  <c r="F12329" i="2"/>
  <c r="E12329" i="2"/>
  <c r="D12329" i="2"/>
  <c r="F12328" i="2"/>
  <c r="E12328" i="2"/>
  <c r="D12328" i="2"/>
  <c r="F12326" i="2"/>
  <c r="E12326" i="2"/>
  <c r="D12326" i="2"/>
  <c r="F12325" i="2"/>
  <c r="E12325" i="2"/>
  <c r="D12325" i="2"/>
  <c r="F12324" i="2"/>
  <c r="E12324" i="2"/>
  <c r="D12324" i="2"/>
  <c r="F12323" i="2"/>
  <c r="E12323" i="2"/>
  <c r="D12323" i="2"/>
  <c r="F12322" i="2"/>
  <c r="E12322" i="2"/>
  <c r="D12322" i="2"/>
  <c r="F12321" i="2"/>
  <c r="E12321" i="2"/>
  <c r="D12321" i="2"/>
  <c r="F12320" i="2"/>
  <c r="E12320" i="2"/>
  <c r="D12320" i="2"/>
  <c r="F12319" i="2"/>
  <c r="E12319" i="2"/>
  <c r="D12319" i="2"/>
  <c r="F12318" i="2"/>
  <c r="E12318" i="2"/>
  <c r="D12318" i="2"/>
  <c r="F12317" i="2"/>
  <c r="E12317" i="2"/>
  <c r="D12317" i="2"/>
  <c r="F12316" i="2"/>
  <c r="E12316" i="2"/>
  <c r="D12316" i="2"/>
  <c r="F12315" i="2"/>
  <c r="E12315" i="2"/>
  <c r="D12315" i="2"/>
  <c r="F12314" i="2"/>
  <c r="E12314" i="2"/>
  <c r="D12314" i="2"/>
  <c r="F12313" i="2"/>
  <c r="E12313" i="2"/>
  <c r="D12313" i="2"/>
  <c r="F12312" i="2"/>
  <c r="E12312" i="2"/>
  <c r="D12312" i="2"/>
  <c r="F12311" i="2"/>
  <c r="E12311" i="2"/>
  <c r="D12311" i="2"/>
  <c r="F12310" i="2"/>
  <c r="E12310" i="2"/>
  <c r="D12310" i="2"/>
  <c r="F12309" i="2"/>
  <c r="E12309" i="2"/>
  <c r="D12309" i="2"/>
  <c r="F12308" i="2"/>
  <c r="E12308" i="2"/>
  <c r="D12308" i="2"/>
  <c r="F12307" i="2"/>
  <c r="E12307" i="2"/>
  <c r="D12307" i="2"/>
  <c r="F12305" i="2"/>
  <c r="E12305" i="2"/>
  <c r="D12305" i="2"/>
  <c r="F12306" i="2"/>
  <c r="E12306" i="2"/>
  <c r="D12306" i="2"/>
  <c r="F12304" i="2"/>
  <c r="E12304" i="2"/>
  <c r="D12304" i="2"/>
  <c r="F12303" i="2"/>
  <c r="E12303" i="2"/>
  <c r="D12303" i="2"/>
  <c r="F12302" i="2"/>
  <c r="E12302" i="2"/>
  <c r="D12302" i="2"/>
  <c r="F12301" i="2"/>
  <c r="E12301" i="2"/>
  <c r="D12301" i="2"/>
  <c r="F12300" i="2"/>
  <c r="E12300" i="2"/>
  <c r="D12300" i="2"/>
  <c r="F12299" i="2"/>
  <c r="E12299" i="2"/>
  <c r="D12299" i="2"/>
  <c r="F12298" i="2"/>
  <c r="E12298" i="2"/>
  <c r="D12298" i="2"/>
  <c r="F12297" i="2"/>
  <c r="E12297" i="2"/>
  <c r="D12297" i="2"/>
  <c r="F12296" i="2"/>
  <c r="E12296" i="2"/>
  <c r="D12296" i="2"/>
  <c r="F12295" i="2"/>
  <c r="E12295" i="2"/>
  <c r="D12295" i="2"/>
  <c r="F12294" i="2"/>
  <c r="E12294" i="2"/>
  <c r="D12294" i="2"/>
  <c r="F12293" i="2"/>
  <c r="E12293" i="2"/>
  <c r="D12293" i="2"/>
  <c r="F12292" i="2"/>
  <c r="E12292" i="2"/>
  <c r="D12292" i="2"/>
  <c r="F12291" i="2"/>
  <c r="E12291" i="2"/>
  <c r="D12291" i="2"/>
  <c r="F12290" i="2"/>
  <c r="E12290" i="2"/>
  <c r="D12290" i="2"/>
  <c r="F12289" i="2"/>
  <c r="E12289" i="2"/>
  <c r="D12289" i="2"/>
  <c r="F12288" i="2"/>
  <c r="E12288" i="2"/>
  <c r="D12288" i="2"/>
  <c r="F12287" i="2"/>
  <c r="E12287" i="2"/>
  <c r="D12287" i="2"/>
  <c r="F12286" i="2"/>
  <c r="E12286" i="2"/>
  <c r="D12286" i="2"/>
  <c r="F12285" i="2"/>
  <c r="E12285" i="2"/>
  <c r="D12285" i="2"/>
  <c r="F12284" i="2"/>
  <c r="E12284" i="2"/>
  <c r="D12284" i="2"/>
  <c r="F12283" i="2"/>
  <c r="E12283" i="2"/>
  <c r="D12283" i="2"/>
  <c r="F12331" i="2"/>
  <c r="E12331" i="2"/>
  <c r="D12331" i="2"/>
  <c r="F12333" i="2"/>
  <c r="E12333" i="2"/>
  <c r="D12333" i="2"/>
  <c r="F12332" i="2"/>
  <c r="E12332" i="2"/>
  <c r="D12332" i="2"/>
  <c r="F14180" i="2"/>
  <c r="E14180" i="2"/>
  <c r="D14180" i="2"/>
  <c r="F14189" i="2"/>
  <c r="E14189" i="2"/>
  <c r="D14189" i="2"/>
  <c r="F14188" i="2"/>
  <c r="E14188" i="2"/>
  <c r="D14188" i="2"/>
  <c r="F14187" i="2"/>
  <c r="E14187" i="2"/>
  <c r="D14187" i="2"/>
  <c r="F14186" i="2"/>
  <c r="E14186" i="2"/>
  <c r="D14186" i="2"/>
  <c r="F14185" i="2"/>
  <c r="E14185" i="2"/>
  <c r="D14185" i="2"/>
  <c r="F14184" i="2"/>
  <c r="E14184" i="2"/>
  <c r="D14184" i="2"/>
  <c r="F14183" i="2"/>
  <c r="E14183" i="2"/>
  <c r="D14183" i="2"/>
  <c r="F14182" i="2"/>
  <c r="E14182" i="2"/>
  <c r="D14182" i="2"/>
  <c r="F14181" i="2"/>
  <c r="E14181" i="2"/>
  <c r="D14181" i="2"/>
  <c r="F6693" i="2"/>
  <c r="E6693" i="2"/>
  <c r="D6693" i="2"/>
  <c r="F6692" i="2"/>
  <c r="E6692" i="2"/>
  <c r="D6692" i="2"/>
  <c r="F6691" i="2"/>
  <c r="E6691" i="2"/>
  <c r="D6691" i="2"/>
  <c r="F6690" i="2"/>
  <c r="E6690" i="2"/>
  <c r="D6690" i="2"/>
  <c r="F6689" i="2"/>
  <c r="E6689" i="2"/>
  <c r="D6689" i="2"/>
  <c r="F6688" i="2"/>
  <c r="E6688" i="2"/>
  <c r="D6688" i="2"/>
  <c r="F6687" i="2"/>
  <c r="E6687" i="2"/>
  <c r="D6687" i="2"/>
  <c r="F6686" i="2"/>
  <c r="E6686" i="2"/>
  <c r="D6686" i="2"/>
  <c r="F6685" i="2"/>
  <c r="E6685" i="2"/>
  <c r="D6685" i="2"/>
  <c r="F6684" i="2"/>
  <c r="E6684" i="2"/>
  <c r="D6684" i="2"/>
  <c r="F6683" i="2"/>
  <c r="E6683" i="2"/>
  <c r="D6683" i="2"/>
  <c r="F6682" i="2"/>
  <c r="E6682" i="2"/>
  <c r="D6682" i="2"/>
  <c r="F6681" i="2"/>
  <c r="E6681" i="2"/>
  <c r="D6681" i="2"/>
  <c r="F6680" i="2"/>
  <c r="E6680" i="2"/>
  <c r="D6680" i="2"/>
  <c r="F6679" i="2"/>
  <c r="E6679" i="2"/>
  <c r="D6679" i="2"/>
  <c r="F6678" i="2"/>
  <c r="E6678" i="2"/>
  <c r="D6678" i="2"/>
  <c r="F6677" i="2"/>
  <c r="E6677" i="2"/>
  <c r="D6677" i="2"/>
  <c r="F6676" i="2"/>
  <c r="E6676" i="2"/>
  <c r="D6676" i="2"/>
  <c r="F6675" i="2"/>
  <c r="E6675" i="2"/>
  <c r="D6675" i="2"/>
  <c r="F6674" i="2"/>
  <c r="E6674" i="2"/>
  <c r="D6674" i="2"/>
  <c r="F6673" i="2"/>
  <c r="E6673" i="2"/>
  <c r="D6673" i="2"/>
  <c r="F6672" i="2"/>
  <c r="E6672" i="2"/>
  <c r="D6672" i="2"/>
  <c r="F6671" i="2"/>
  <c r="E6671" i="2"/>
  <c r="D6671" i="2"/>
  <c r="F6670" i="2"/>
  <c r="E6670" i="2"/>
  <c r="D6670" i="2"/>
  <c r="F6669" i="2"/>
  <c r="E6669" i="2"/>
  <c r="D6669" i="2"/>
  <c r="F6668" i="2"/>
  <c r="E6668" i="2"/>
  <c r="D6668" i="2"/>
  <c r="F6666" i="2"/>
  <c r="E6666" i="2"/>
  <c r="D6666" i="2"/>
  <c r="F6667" i="2"/>
  <c r="E6667" i="2"/>
  <c r="D6667" i="2"/>
  <c r="F6665" i="2"/>
  <c r="E6665" i="2"/>
  <c r="D6665" i="2"/>
  <c r="F6664" i="2"/>
  <c r="E6664" i="2"/>
  <c r="D6664" i="2"/>
  <c r="F6663" i="2"/>
  <c r="E6663" i="2"/>
  <c r="D6663" i="2"/>
  <c r="F6659" i="2"/>
  <c r="E6659" i="2"/>
  <c r="D6659" i="2"/>
  <c r="F6662" i="2"/>
  <c r="E6662" i="2"/>
  <c r="D6662" i="2"/>
  <c r="F6661" i="2"/>
  <c r="E6661" i="2"/>
  <c r="D6661" i="2"/>
  <c r="F6660" i="2"/>
  <c r="E6660" i="2"/>
  <c r="D6660" i="2"/>
  <c r="F6657" i="2"/>
  <c r="E6657" i="2"/>
  <c r="D6657" i="2"/>
  <c r="F6658" i="2"/>
  <c r="E6658" i="2"/>
  <c r="D6658" i="2"/>
  <c r="F6656" i="2"/>
  <c r="E6656" i="2"/>
  <c r="D6656" i="2"/>
  <c r="F6655" i="2"/>
  <c r="E6655" i="2"/>
  <c r="D6655" i="2"/>
  <c r="F6654" i="2"/>
  <c r="E6654" i="2"/>
  <c r="D6654" i="2"/>
  <c r="F6653" i="2"/>
  <c r="E6653" i="2"/>
  <c r="D6653" i="2"/>
  <c r="F6652" i="2"/>
  <c r="E6652" i="2"/>
  <c r="D6652" i="2"/>
  <c r="F6651" i="2"/>
  <c r="E6651" i="2"/>
  <c r="D6651" i="2"/>
  <c r="F6650" i="2"/>
  <c r="E6650" i="2"/>
  <c r="D6650" i="2"/>
  <c r="F6649" i="2"/>
  <c r="E6649" i="2"/>
  <c r="D6649" i="2"/>
  <c r="F14305" i="2"/>
  <c r="E14305" i="2"/>
  <c r="D14305" i="2"/>
  <c r="F13277" i="2"/>
  <c r="E13277" i="2"/>
  <c r="D13277" i="2"/>
  <c r="F16063" i="2"/>
  <c r="E16063" i="2"/>
  <c r="D16063" i="2"/>
  <c r="F16084" i="2"/>
  <c r="E16084" i="2"/>
  <c r="D16084" i="2"/>
  <c r="F16083" i="2"/>
  <c r="E16083" i="2"/>
  <c r="D16083" i="2"/>
  <c r="F16082" i="2"/>
  <c r="E16082" i="2"/>
  <c r="D16082" i="2"/>
  <c r="F16081" i="2"/>
  <c r="E16081" i="2"/>
  <c r="D16081" i="2"/>
  <c r="F16080" i="2"/>
  <c r="E16080" i="2"/>
  <c r="D16080" i="2"/>
  <c r="F16079" i="2"/>
  <c r="E16079" i="2"/>
  <c r="D16079" i="2"/>
  <c r="F16078" i="2"/>
  <c r="E16078" i="2"/>
  <c r="D16078" i="2"/>
  <c r="F16077" i="2"/>
  <c r="E16077" i="2"/>
  <c r="D16077" i="2"/>
  <c r="F16076" i="2"/>
  <c r="E16076" i="2"/>
  <c r="D16076" i="2"/>
  <c r="F16075" i="2"/>
  <c r="E16075" i="2"/>
  <c r="D16075" i="2"/>
  <c r="F16074" i="2"/>
  <c r="E16074" i="2"/>
  <c r="D16074" i="2"/>
  <c r="F16073" i="2"/>
  <c r="E16073" i="2"/>
  <c r="D16073" i="2"/>
  <c r="F16072" i="2"/>
  <c r="E16072" i="2"/>
  <c r="D16072" i="2"/>
  <c r="F16071" i="2"/>
  <c r="E16071" i="2"/>
  <c r="D16071" i="2"/>
  <c r="F16070" i="2"/>
  <c r="E16070" i="2"/>
  <c r="D16070" i="2"/>
  <c r="F16069" i="2"/>
  <c r="E16069" i="2"/>
  <c r="D16069" i="2"/>
  <c r="F16068" i="2"/>
  <c r="E16068" i="2"/>
  <c r="D16068" i="2"/>
  <c r="F16067" i="2"/>
  <c r="E16067" i="2"/>
  <c r="D16067" i="2"/>
  <c r="F16066" i="2"/>
  <c r="E16066" i="2"/>
  <c r="D16066" i="2"/>
  <c r="F16065" i="2"/>
  <c r="E16065" i="2"/>
  <c r="D16065" i="2"/>
  <c r="F16064" i="2"/>
  <c r="E16064" i="2"/>
  <c r="D16064" i="2"/>
  <c r="F4404" i="2"/>
  <c r="E4404" i="2"/>
  <c r="D4404" i="2"/>
  <c r="F4487" i="2"/>
  <c r="E4487" i="2"/>
  <c r="D4487" i="2"/>
  <c r="F12413" i="2"/>
  <c r="E12413" i="2"/>
  <c r="D12413" i="2"/>
  <c r="F12414" i="2"/>
  <c r="E12414" i="2"/>
  <c r="D12414" i="2"/>
  <c r="F11773" i="2"/>
  <c r="E11773" i="2"/>
  <c r="D11773" i="2"/>
  <c r="F11786" i="2"/>
  <c r="E11786" i="2"/>
  <c r="D11786" i="2"/>
  <c r="F11785" i="2"/>
  <c r="E11785" i="2"/>
  <c r="D11785" i="2"/>
  <c r="F11784" i="2"/>
  <c r="E11784" i="2"/>
  <c r="D11784" i="2"/>
  <c r="F11783" i="2"/>
  <c r="E11783" i="2"/>
  <c r="D11783" i="2"/>
  <c r="F11782" i="2"/>
  <c r="E11782" i="2"/>
  <c r="D11782" i="2"/>
  <c r="F11781" i="2"/>
  <c r="E11781" i="2"/>
  <c r="D11781" i="2"/>
  <c r="F11780" i="2"/>
  <c r="E11780" i="2"/>
  <c r="D11780" i="2"/>
  <c r="F11779" i="2"/>
  <c r="E11779" i="2"/>
  <c r="D11779" i="2"/>
  <c r="F11778" i="2"/>
  <c r="E11778" i="2"/>
  <c r="D11778" i="2"/>
  <c r="F11777" i="2"/>
  <c r="E11777" i="2"/>
  <c r="D11777" i="2"/>
  <c r="F11776" i="2"/>
  <c r="E11776" i="2"/>
  <c r="D11776" i="2"/>
  <c r="F11775" i="2"/>
  <c r="E11775" i="2"/>
  <c r="D11775" i="2"/>
  <c r="F11774" i="2"/>
  <c r="E11774" i="2"/>
  <c r="D11774" i="2"/>
  <c r="F16238" i="2"/>
  <c r="E16238" i="2"/>
  <c r="D16238" i="2"/>
  <c r="F10949" i="2"/>
  <c r="E10949" i="2"/>
  <c r="D10949" i="2"/>
  <c r="F10955" i="2"/>
  <c r="E10955" i="2"/>
  <c r="D10955" i="2"/>
  <c r="F10954" i="2"/>
  <c r="E10954" i="2"/>
  <c r="D10954" i="2"/>
  <c r="F10953" i="2"/>
  <c r="E10953" i="2"/>
  <c r="D10953" i="2"/>
  <c r="F10952" i="2"/>
  <c r="E10952" i="2"/>
  <c r="D10952" i="2"/>
  <c r="F10951" i="2"/>
  <c r="E10951" i="2"/>
  <c r="D10951" i="2"/>
  <c r="F10950" i="2"/>
  <c r="E10950" i="2"/>
  <c r="D10950" i="2"/>
  <c r="F98" i="2"/>
  <c r="E98" i="2"/>
  <c r="D98" i="2"/>
  <c r="F113" i="2"/>
  <c r="E113" i="2"/>
  <c r="D113" i="2"/>
  <c r="F112" i="2"/>
  <c r="E112" i="2"/>
  <c r="D112" i="2"/>
  <c r="F111" i="2"/>
  <c r="E111" i="2"/>
  <c r="D111" i="2"/>
  <c r="F110" i="2"/>
  <c r="E110" i="2"/>
  <c r="D110" i="2"/>
  <c r="F109" i="2"/>
  <c r="E109" i="2"/>
  <c r="D109" i="2"/>
  <c r="F108" i="2"/>
  <c r="E108" i="2"/>
  <c r="D108" i="2"/>
  <c r="F107" i="2"/>
  <c r="E107" i="2"/>
  <c r="D107" i="2"/>
  <c r="F106" i="2"/>
  <c r="E106" i="2"/>
  <c r="D106" i="2"/>
  <c r="F105" i="2"/>
  <c r="E105" i="2"/>
  <c r="D105" i="2"/>
  <c r="F104" i="2"/>
  <c r="E104" i="2"/>
  <c r="D104" i="2"/>
  <c r="F103" i="2"/>
  <c r="E103" i="2"/>
  <c r="D103" i="2"/>
  <c r="F102" i="2"/>
  <c r="E102" i="2"/>
  <c r="D102" i="2"/>
  <c r="F101" i="2"/>
  <c r="E101" i="2"/>
  <c r="D101" i="2"/>
  <c r="F100" i="2"/>
  <c r="E100" i="2"/>
  <c r="D100" i="2"/>
  <c r="F99" i="2"/>
  <c r="E99" i="2"/>
  <c r="D99" i="2"/>
  <c r="F5614" i="2"/>
  <c r="E5614" i="2"/>
  <c r="D5614" i="2"/>
  <c r="F5637" i="2"/>
  <c r="E5637" i="2"/>
  <c r="D5637" i="2"/>
  <c r="F5636" i="2"/>
  <c r="E5636" i="2"/>
  <c r="D5636" i="2"/>
  <c r="F5635" i="2"/>
  <c r="E5635" i="2"/>
  <c r="D5635" i="2"/>
  <c r="F5634" i="2"/>
  <c r="E5634" i="2"/>
  <c r="D5634" i="2"/>
  <c r="F5633" i="2"/>
  <c r="E5633" i="2"/>
  <c r="D5633" i="2"/>
  <c r="F5632" i="2"/>
  <c r="E5632" i="2"/>
  <c r="D5632" i="2"/>
  <c r="F5631" i="2"/>
  <c r="E5631" i="2"/>
  <c r="D5631" i="2"/>
  <c r="F5630" i="2"/>
  <c r="E5630" i="2"/>
  <c r="D5630" i="2"/>
  <c r="F5629" i="2"/>
  <c r="E5629" i="2"/>
  <c r="D5629" i="2"/>
  <c r="F5628" i="2"/>
  <c r="E5628" i="2"/>
  <c r="D5628" i="2"/>
  <c r="F5627" i="2"/>
  <c r="E5627" i="2"/>
  <c r="D5627" i="2"/>
  <c r="F5626" i="2"/>
  <c r="E5626" i="2"/>
  <c r="D5626" i="2"/>
  <c r="F5625" i="2"/>
  <c r="E5625" i="2"/>
  <c r="D5625" i="2"/>
  <c r="F5624" i="2"/>
  <c r="E5624" i="2"/>
  <c r="D5624" i="2"/>
  <c r="F5623" i="2"/>
  <c r="E5623" i="2"/>
  <c r="D5623" i="2"/>
  <c r="F5622" i="2"/>
  <c r="E5622" i="2"/>
  <c r="D5622" i="2"/>
  <c r="F5621" i="2"/>
  <c r="E5621" i="2"/>
  <c r="D5621" i="2"/>
  <c r="F5620" i="2"/>
  <c r="E5620" i="2"/>
  <c r="D5620" i="2"/>
  <c r="F5619" i="2"/>
  <c r="E5619" i="2"/>
  <c r="D5619" i="2"/>
  <c r="F5618" i="2"/>
  <c r="E5618" i="2"/>
  <c r="D5618" i="2"/>
  <c r="F5617" i="2"/>
  <c r="E5617" i="2"/>
  <c r="D5617" i="2"/>
  <c r="F5616" i="2"/>
  <c r="E5616" i="2"/>
  <c r="D5616" i="2"/>
  <c r="F5615" i="2"/>
  <c r="E5615" i="2"/>
  <c r="D5615" i="2"/>
  <c r="F5606" i="2"/>
  <c r="E5606" i="2"/>
  <c r="D5606" i="2"/>
  <c r="F5613" i="2"/>
  <c r="E5613" i="2"/>
  <c r="D5613" i="2"/>
  <c r="F5612" i="2"/>
  <c r="E5612" i="2"/>
  <c r="D5612" i="2"/>
  <c r="F5611" i="2"/>
  <c r="E5611" i="2"/>
  <c r="D5611" i="2"/>
  <c r="F5610" i="2"/>
  <c r="E5610" i="2"/>
  <c r="D5610" i="2"/>
  <c r="F5609" i="2"/>
  <c r="E5609" i="2"/>
  <c r="D5609" i="2"/>
  <c r="F5608" i="2"/>
  <c r="E5608" i="2"/>
  <c r="D5608" i="2"/>
  <c r="F5607" i="2"/>
  <c r="E5607" i="2"/>
  <c r="D5607" i="2"/>
  <c r="F3356" i="2"/>
  <c r="E3356" i="2"/>
  <c r="D3356" i="2"/>
  <c r="F3355" i="2"/>
  <c r="E3355" i="2"/>
  <c r="D3355" i="2"/>
  <c r="F3354" i="2"/>
  <c r="E3354" i="2"/>
  <c r="D3354" i="2"/>
  <c r="F3353" i="2"/>
  <c r="E3353" i="2"/>
  <c r="D3353" i="2"/>
  <c r="F3352" i="2"/>
  <c r="E3352" i="2"/>
  <c r="D3352" i="2"/>
  <c r="F1807" i="2"/>
  <c r="E1807" i="2"/>
  <c r="D1807" i="2"/>
  <c r="F1806" i="2"/>
  <c r="E1806" i="2"/>
  <c r="D1806" i="2"/>
  <c r="F1805" i="2"/>
  <c r="E1805" i="2"/>
  <c r="D1805" i="2"/>
  <c r="F1804" i="2"/>
  <c r="E1804" i="2"/>
  <c r="D1804" i="2"/>
  <c r="F1803" i="2"/>
  <c r="E1803" i="2"/>
  <c r="D1803" i="2"/>
  <c r="F1802" i="2"/>
  <c r="E1802" i="2"/>
  <c r="D1802" i="2"/>
  <c r="F1801" i="2"/>
  <c r="E1801" i="2"/>
  <c r="D1801" i="2"/>
  <c r="F1800" i="2"/>
  <c r="E1800" i="2"/>
  <c r="D1800" i="2"/>
  <c r="F1799" i="2"/>
  <c r="E1799" i="2"/>
  <c r="D1799" i="2"/>
  <c r="F1798" i="2"/>
  <c r="E1798" i="2"/>
  <c r="D1798" i="2"/>
  <c r="F1797" i="2"/>
  <c r="E1797" i="2"/>
  <c r="D1797" i="2"/>
  <c r="F1796" i="2"/>
  <c r="E1796" i="2"/>
  <c r="D1796" i="2"/>
  <c r="F1795" i="2"/>
  <c r="E1795" i="2"/>
  <c r="D1795" i="2"/>
  <c r="F1794" i="2"/>
  <c r="E1794" i="2"/>
  <c r="D1794" i="2"/>
  <c r="F1793" i="2"/>
  <c r="E1793" i="2"/>
  <c r="D1793" i="2"/>
  <c r="F1792" i="2"/>
  <c r="E1792" i="2"/>
  <c r="D1792" i="2"/>
  <c r="F1791" i="2"/>
  <c r="E1791" i="2"/>
  <c r="D1791" i="2"/>
  <c r="F1790" i="2"/>
  <c r="E1790" i="2"/>
  <c r="D1790" i="2"/>
  <c r="F1789" i="2"/>
  <c r="E1789" i="2"/>
  <c r="D1789" i="2"/>
  <c r="F1788" i="2"/>
  <c r="E1788" i="2"/>
  <c r="D1788" i="2"/>
  <c r="F11456" i="2"/>
  <c r="E11456" i="2"/>
  <c r="D11456" i="2"/>
  <c r="F11460" i="2"/>
  <c r="E11460" i="2"/>
  <c r="D11460" i="2"/>
  <c r="F11459" i="2"/>
  <c r="E11459" i="2"/>
  <c r="D11459" i="2"/>
  <c r="F11458" i="2"/>
  <c r="E11458" i="2"/>
  <c r="D11458" i="2"/>
  <c r="F11457" i="2"/>
  <c r="E11457" i="2"/>
  <c r="D11457" i="2"/>
  <c r="F9824" i="2"/>
  <c r="E9824" i="2"/>
  <c r="D9824" i="2"/>
  <c r="F1273" i="2"/>
  <c r="E1273" i="2"/>
  <c r="D1273" i="2"/>
  <c r="F1274" i="2"/>
  <c r="E1274" i="2"/>
  <c r="D1274" i="2"/>
  <c r="F11565" i="2"/>
  <c r="E11565" i="2"/>
  <c r="D11565" i="2"/>
  <c r="F11566" i="2"/>
  <c r="E11566" i="2"/>
  <c r="D11566" i="2"/>
  <c r="F3854" i="2"/>
  <c r="E3854" i="2"/>
  <c r="D3854" i="2"/>
  <c r="F3853" i="2"/>
  <c r="E3853" i="2"/>
  <c r="D3853" i="2"/>
  <c r="F3852" i="2"/>
  <c r="E3852" i="2"/>
  <c r="D3852" i="2"/>
  <c r="F3851" i="2"/>
  <c r="E3851" i="2"/>
  <c r="D3851" i="2"/>
  <c r="F3850" i="2"/>
  <c r="E3850" i="2"/>
  <c r="D3850" i="2"/>
  <c r="F3849" i="2"/>
  <c r="E3849" i="2"/>
  <c r="D3849" i="2"/>
  <c r="F3848" i="2"/>
  <c r="E3848" i="2"/>
  <c r="D3848" i="2"/>
  <c r="F3847" i="2"/>
  <c r="E3847" i="2"/>
  <c r="D3847" i="2"/>
  <c r="F3846" i="2"/>
  <c r="E3846" i="2"/>
  <c r="D3846" i="2"/>
  <c r="F3845" i="2"/>
  <c r="E3845" i="2"/>
  <c r="D3845" i="2"/>
  <c r="F3844" i="2"/>
  <c r="E3844" i="2"/>
  <c r="D3844" i="2"/>
  <c r="F3843" i="2"/>
  <c r="E3843" i="2"/>
  <c r="D3843" i="2"/>
  <c r="F3842" i="2"/>
  <c r="E3842" i="2"/>
  <c r="D3842" i="2"/>
  <c r="F3841" i="2"/>
  <c r="E3841" i="2"/>
  <c r="D3841" i="2"/>
  <c r="F3840" i="2"/>
  <c r="E3840" i="2"/>
  <c r="D3840" i="2"/>
  <c r="F3839" i="2"/>
  <c r="E3839" i="2"/>
  <c r="D3839" i="2"/>
  <c r="F3838" i="2"/>
  <c r="E3838" i="2"/>
  <c r="D3838" i="2"/>
  <c r="F3837" i="2"/>
  <c r="E3837" i="2"/>
  <c r="D3837" i="2"/>
  <c r="F3836" i="2"/>
  <c r="E3836" i="2"/>
  <c r="D3836" i="2"/>
  <c r="F3835" i="2"/>
  <c r="E3835" i="2"/>
  <c r="D3835" i="2"/>
  <c r="F3834" i="2"/>
  <c r="E3834" i="2"/>
  <c r="D3834" i="2"/>
  <c r="F3833" i="2"/>
  <c r="E3833" i="2"/>
  <c r="D3833" i="2"/>
  <c r="F3236" i="2"/>
  <c r="E3236" i="2"/>
  <c r="D3236" i="2"/>
  <c r="F3249" i="2"/>
  <c r="E3249" i="2"/>
  <c r="D3249" i="2"/>
  <c r="F3247" i="2"/>
  <c r="E3247" i="2"/>
  <c r="D3247" i="2"/>
  <c r="F3248" i="2"/>
  <c r="E3248" i="2"/>
  <c r="D3248" i="2"/>
  <c r="F3246" i="2"/>
  <c r="E3246" i="2"/>
  <c r="D3246" i="2"/>
  <c r="F3245" i="2"/>
  <c r="E3245" i="2"/>
  <c r="D3245" i="2"/>
  <c r="F3242" i="2"/>
  <c r="E3242" i="2"/>
  <c r="D3242" i="2"/>
  <c r="F3244" i="2"/>
  <c r="E3244" i="2"/>
  <c r="D3244" i="2"/>
  <c r="F3243" i="2"/>
  <c r="E3243" i="2"/>
  <c r="D3243" i="2"/>
  <c r="F3241" i="2"/>
  <c r="E3241" i="2"/>
  <c r="D3241" i="2"/>
  <c r="F3240" i="2"/>
  <c r="E3240" i="2"/>
  <c r="D3240" i="2"/>
  <c r="F3239" i="2"/>
  <c r="E3239" i="2"/>
  <c r="D3239" i="2"/>
  <c r="F3238" i="2"/>
  <c r="E3238" i="2"/>
  <c r="D3238" i="2"/>
  <c r="F3237" i="2"/>
  <c r="E3237" i="2"/>
  <c r="D3237" i="2"/>
  <c r="F9834" i="2"/>
  <c r="E9834" i="2"/>
  <c r="D9834" i="2"/>
  <c r="F9833" i="2"/>
  <c r="E9833" i="2"/>
  <c r="D9833" i="2"/>
  <c r="F9832" i="2"/>
  <c r="E9832" i="2"/>
  <c r="D9832" i="2"/>
  <c r="F9831" i="2"/>
  <c r="E9831" i="2"/>
  <c r="D9831" i="2"/>
  <c r="F9830" i="2"/>
  <c r="E9830" i="2"/>
  <c r="D9830" i="2"/>
  <c r="F9829" i="2"/>
  <c r="E9829" i="2"/>
  <c r="D9829" i="2"/>
  <c r="F9828" i="2"/>
  <c r="E9828" i="2"/>
  <c r="D9828" i="2"/>
  <c r="F9827" i="2"/>
  <c r="E9827" i="2"/>
  <c r="D9827" i="2"/>
  <c r="F9826" i="2"/>
  <c r="E9826" i="2"/>
  <c r="D9826" i="2"/>
  <c r="F9825" i="2"/>
  <c r="E9825" i="2"/>
  <c r="D9825" i="2"/>
  <c r="F3139" i="2"/>
  <c r="E3139" i="2"/>
  <c r="D3139" i="2"/>
  <c r="F3138" i="2"/>
  <c r="E3138" i="2"/>
  <c r="D3138" i="2"/>
  <c r="F3137" i="2"/>
  <c r="E3137" i="2"/>
  <c r="D3137" i="2"/>
  <c r="F6233" i="2"/>
  <c r="E6233" i="2"/>
  <c r="D6233" i="2"/>
  <c r="F6238" i="2"/>
  <c r="E6238" i="2"/>
  <c r="D6238" i="2"/>
  <c r="F6237" i="2"/>
  <c r="E6237" i="2"/>
  <c r="D6237" i="2"/>
  <c r="F6236" i="2"/>
  <c r="E6236" i="2"/>
  <c r="D6236" i="2"/>
  <c r="F6235" i="2"/>
  <c r="E6235" i="2"/>
  <c r="D6235" i="2"/>
  <c r="F6234" i="2"/>
  <c r="E6234" i="2"/>
  <c r="D6234" i="2"/>
  <c r="F8577" i="2"/>
  <c r="E8577" i="2"/>
  <c r="D8577" i="2"/>
  <c r="F8576" i="2"/>
  <c r="E8576" i="2"/>
  <c r="D8576" i="2"/>
  <c r="F8575" i="2"/>
  <c r="E8575" i="2"/>
  <c r="D8575" i="2"/>
  <c r="F8574" i="2"/>
  <c r="E8574" i="2"/>
  <c r="D8574" i="2"/>
  <c r="F8573" i="2"/>
  <c r="E8573" i="2"/>
  <c r="D8573" i="2"/>
  <c r="F8572" i="2"/>
  <c r="E8572" i="2"/>
  <c r="D8572" i="2"/>
  <c r="F8571" i="2"/>
  <c r="E8571" i="2"/>
  <c r="D8571" i="2"/>
  <c r="F8570" i="2"/>
  <c r="E8570" i="2"/>
  <c r="D8570" i="2"/>
  <c r="F8569" i="2"/>
  <c r="E8569" i="2"/>
  <c r="D8569" i="2"/>
  <c r="F8568" i="2"/>
  <c r="E8568" i="2"/>
  <c r="D8568" i="2"/>
  <c r="F1494" i="2"/>
  <c r="E1494" i="2"/>
  <c r="D1494" i="2"/>
  <c r="F10984" i="2"/>
  <c r="E10984" i="2"/>
  <c r="D10984" i="2"/>
  <c r="F10994" i="2"/>
  <c r="E10994" i="2"/>
  <c r="D10994" i="2"/>
  <c r="F10993" i="2"/>
  <c r="E10993" i="2"/>
  <c r="D10993" i="2"/>
  <c r="F10992" i="2"/>
  <c r="E10992" i="2"/>
  <c r="D10992" i="2"/>
  <c r="F10991" i="2"/>
  <c r="E10991" i="2"/>
  <c r="D10991" i="2"/>
  <c r="F10990" i="2"/>
  <c r="E10990" i="2"/>
  <c r="D10990" i="2"/>
  <c r="F10989" i="2"/>
  <c r="E10989" i="2"/>
  <c r="D10989" i="2"/>
  <c r="F10988" i="2"/>
  <c r="E10988" i="2"/>
  <c r="D10988" i="2"/>
  <c r="F10987" i="2"/>
  <c r="E10987" i="2"/>
  <c r="D10987" i="2"/>
  <c r="F10986" i="2"/>
  <c r="E10986" i="2"/>
  <c r="D10986" i="2"/>
  <c r="F10985" i="2"/>
  <c r="E10985" i="2"/>
  <c r="D10985" i="2"/>
  <c r="F1832" i="2"/>
  <c r="E1832" i="2"/>
  <c r="D1832" i="2"/>
  <c r="F1831" i="2"/>
  <c r="E1831" i="2"/>
  <c r="D1831" i="2"/>
  <c r="F1830" i="2"/>
  <c r="E1830" i="2"/>
  <c r="D1830" i="2"/>
  <c r="F1829" i="2"/>
  <c r="E1829" i="2"/>
  <c r="D1829" i="2"/>
  <c r="F1828" i="2"/>
  <c r="E1828" i="2"/>
  <c r="D1828" i="2"/>
  <c r="F1827" i="2"/>
  <c r="E1827" i="2"/>
  <c r="D1827" i="2"/>
  <c r="F1826" i="2"/>
  <c r="E1826" i="2"/>
  <c r="D1826" i="2"/>
  <c r="F1825" i="2"/>
  <c r="E1825" i="2"/>
  <c r="D1825" i="2"/>
  <c r="F1824" i="2"/>
  <c r="E1824" i="2"/>
  <c r="D1824" i="2"/>
  <c r="F1823" i="2"/>
  <c r="E1823" i="2"/>
  <c r="D1823" i="2"/>
  <c r="F1822" i="2"/>
  <c r="E1822" i="2"/>
  <c r="D1822" i="2"/>
  <c r="F1821" i="2"/>
  <c r="E1821" i="2"/>
  <c r="D1821" i="2"/>
  <c r="F1820" i="2"/>
  <c r="E1820" i="2"/>
  <c r="D1820" i="2"/>
  <c r="F1819" i="2"/>
  <c r="E1819" i="2"/>
  <c r="D1819" i="2"/>
  <c r="F1818" i="2"/>
  <c r="E1818" i="2"/>
  <c r="D1818" i="2"/>
  <c r="F1817" i="2"/>
  <c r="E1817" i="2"/>
  <c r="D1817" i="2"/>
  <c r="F1816" i="2"/>
  <c r="E1816" i="2"/>
  <c r="D1816" i="2"/>
  <c r="F1815" i="2"/>
  <c r="E1815" i="2"/>
  <c r="D1815" i="2"/>
  <c r="F1814" i="2"/>
  <c r="E1814" i="2"/>
  <c r="D1814" i="2"/>
  <c r="F1813" i="2"/>
  <c r="E1813" i="2"/>
  <c r="D1813" i="2"/>
  <c r="F1812" i="2"/>
  <c r="E1812" i="2"/>
  <c r="D1812" i="2"/>
  <c r="F1811" i="2"/>
  <c r="E1811" i="2"/>
  <c r="D1811" i="2"/>
  <c r="F1810" i="2"/>
  <c r="E1810" i="2"/>
  <c r="D1810" i="2"/>
  <c r="F1809" i="2"/>
  <c r="E1809" i="2"/>
  <c r="D1809" i="2"/>
  <c r="F1808" i="2"/>
  <c r="E1808" i="2"/>
  <c r="D1808" i="2"/>
  <c r="F5950" i="2"/>
  <c r="E5950" i="2"/>
  <c r="D5950" i="2"/>
  <c r="F5958" i="2"/>
  <c r="E5958" i="2"/>
  <c r="D5958" i="2"/>
  <c r="F5957" i="2"/>
  <c r="E5957" i="2"/>
  <c r="D5957" i="2"/>
  <c r="F5956" i="2"/>
  <c r="E5956" i="2"/>
  <c r="D5956" i="2"/>
  <c r="F5955" i="2"/>
  <c r="E5955" i="2"/>
  <c r="D5955" i="2"/>
  <c r="F5954" i="2"/>
  <c r="E5954" i="2"/>
  <c r="D5954" i="2"/>
  <c r="F5953" i="2"/>
  <c r="E5953" i="2"/>
  <c r="D5953" i="2"/>
  <c r="F5952" i="2"/>
  <c r="E5952" i="2"/>
  <c r="D5952" i="2"/>
  <c r="F5951" i="2"/>
  <c r="E5951" i="2"/>
  <c r="D5951" i="2"/>
  <c r="F9877" i="2"/>
  <c r="E9877" i="2"/>
  <c r="D9877" i="2"/>
  <c r="F9885" i="2"/>
  <c r="E9885" i="2"/>
  <c r="D9885" i="2"/>
  <c r="F9884" i="2"/>
  <c r="E9884" i="2"/>
  <c r="D9884" i="2"/>
  <c r="F9883" i="2"/>
  <c r="E9883" i="2"/>
  <c r="D9883" i="2"/>
  <c r="F9882" i="2"/>
  <c r="E9882" i="2"/>
  <c r="D9882" i="2"/>
  <c r="F9881" i="2"/>
  <c r="E9881" i="2"/>
  <c r="D9881" i="2"/>
  <c r="F9880" i="2"/>
  <c r="E9880" i="2"/>
  <c r="D9880" i="2"/>
  <c r="F9879" i="2"/>
  <c r="E9879" i="2"/>
  <c r="D9879" i="2"/>
  <c r="F9878" i="2"/>
  <c r="E9878" i="2"/>
  <c r="D9878" i="2"/>
  <c r="F905" i="2"/>
  <c r="E905" i="2"/>
  <c r="D905" i="2"/>
  <c r="F904" i="2"/>
  <c r="E904" i="2"/>
  <c r="D904" i="2"/>
  <c r="F6179" i="2"/>
  <c r="E6179" i="2"/>
  <c r="D6179" i="2"/>
  <c r="F6900" i="2"/>
  <c r="E6900" i="2"/>
  <c r="D6900" i="2"/>
  <c r="F6899" i="2"/>
  <c r="E6899" i="2"/>
  <c r="D6899" i="2"/>
  <c r="F6898" i="2"/>
  <c r="E6898" i="2"/>
  <c r="D6898" i="2"/>
  <c r="F11461" i="2"/>
  <c r="E11461" i="2"/>
  <c r="D11461" i="2"/>
  <c r="F11468" i="2"/>
  <c r="E11468" i="2"/>
  <c r="D11468" i="2"/>
  <c r="F11467" i="2"/>
  <c r="E11467" i="2"/>
  <c r="D11467" i="2"/>
  <c r="F11466" i="2"/>
  <c r="E11466" i="2"/>
  <c r="D11466" i="2"/>
  <c r="F11465" i="2"/>
  <c r="E11465" i="2"/>
  <c r="D11465" i="2"/>
  <c r="F11464" i="2"/>
  <c r="E11464" i="2"/>
  <c r="D11464" i="2"/>
  <c r="F11463" i="2"/>
  <c r="E11463" i="2"/>
  <c r="D11463" i="2"/>
  <c r="F11462" i="2"/>
  <c r="E11462" i="2"/>
  <c r="D11462" i="2"/>
  <c r="F9889" i="2"/>
  <c r="E9889" i="2"/>
  <c r="D9889" i="2"/>
  <c r="F9888" i="2"/>
  <c r="E9888" i="2"/>
  <c r="D9888" i="2"/>
  <c r="F9887" i="2"/>
  <c r="E9887" i="2"/>
  <c r="D9887" i="2"/>
  <c r="F9886" i="2"/>
  <c r="E9886" i="2"/>
  <c r="D9886" i="2"/>
  <c r="F1036" i="2"/>
  <c r="E1036" i="2"/>
  <c r="D1036" i="2"/>
  <c r="F1042" i="2"/>
  <c r="E1042" i="2"/>
  <c r="D1042" i="2"/>
  <c r="F1041" i="2"/>
  <c r="E1041" i="2"/>
  <c r="D1041" i="2"/>
  <c r="F1040" i="2"/>
  <c r="E1040" i="2"/>
  <c r="D1040" i="2"/>
  <c r="F1039" i="2"/>
  <c r="E1039" i="2"/>
  <c r="D1039" i="2"/>
  <c r="F1038" i="2"/>
  <c r="E1038" i="2"/>
  <c r="D1038" i="2"/>
  <c r="F1037" i="2"/>
  <c r="E1037" i="2"/>
  <c r="D1037" i="2"/>
  <c r="F5488" i="2"/>
  <c r="E5488" i="2"/>
  <c r="D5488" i="2"/>
  <c r="F5487" i="2"/>
  <c r="E5487" i="2"/>
  <c r="D5487" i="2"/>
  <c r="F5486" i="2"/>
  <c r="E5486" i="2"/>
  <c r="D5486" i="2"/>
  <c r="F5485" i="2"/>
  <c r="E5485" i="2"/>
  <c r="D5485" i="2"/>
  <c r="F5484" i="2"/>
  <c r="E5484" i="2"/>
  <c r="D5484" i="2"/>
  <c r="F5483" i="2"/>
  <c r="E5483" i="2"/>
  <c r="D5483" i="2"/>
  <c r="F5482" i="2"/>
  <c r="E5482" i="2"/>
  <c r="D5482" i="2"/>
  <c r="F5481" i="2"/>
  <c r="E5481" i="2"/>
  <c r="D5481" i="2"/>
  <c r="F5480" i="2"/>
  <c r="E5480" i="2"/>
  <c r="D5480" i="2"/>
  <c r="F5479" i="2"/>
  <c r="E5479" i="2"/>
  <c r="D5479" i="2"/>
  <c r="F7881" i="2"/>
  <c r="E7881" i="2"/>
  <c r="D7881" i="2"/>
  <c r="F7901" i="2"/>
  <c r="E7901" i="2"/>
  <c r="D7901" i="2"/>
  <c r="F7900" i="2"/>
  <c r="E7900" i="2"/>
  <c r="D7900" i="2"/>
  <c r="F7899" i="2"/>
  <c r="E7899" i="2"/>
  <c r="D7899" i="2"/>
  <c r="F7898" i="2"/>
  <c r="E7898" i="2"/>
  <c r="D7898" i="2"/>
  <c r="F7897" i="2"/>
  <c r="E7897" i="2"/>
  <c r="D7897" i="2"/>
  <c r="F7896" i="2"/>
  <c r="E7896" i="2"/>
  <c r="D7896" i="2"/>
  <c r="F7895" i="2"/>
  <c r="E7895" i="2"/>
  <c r="D7895" i="2"/>
  <c r="F7894" i="2"/>
  <c r="E7894" i="2"/>
  <c r="D7894" i="2"/>
  <c r="F7893" i="2"/>
  <c r="E7893" i="2"/>
  <c r="D7893" i="2"/>
  <c r="F7892" i="2"/>
  <c r="E7892" i="2"/>
  <c r="D7892" i="2"/>
  <c r="F7891" i="2"/>
  <c r="E7891" i="2"/>
  <c r="D7891" i="2"/>
  <c r="F7890" i="2"/>
  <c r="E7890" i="2"/>
  <c r="D7890" i="2"/>
  <c r="F7889" i="2"/>
  <c r="E7889" i="2"/>
  <c r="D7889" i="2"/>
  <c r="F7888" i="2"/>
  <c r="E7888" i="2"/>
  <c r="D7888" i="2"/>
  <c r="F7887" i="2"/>
  <c r="E7887" i="2"/>
  <c r="D7887" i="2"/>
  <c r="F7886" i="2"/>
  <c r="E7886" i="2"/>
  <c r="D7886" i="2"/>
  <c r="F7885" i="2"/>
  <c r="E7885" i="2"/>
  <c r="D7885" i="2"/>
  <c r="F7884" i="2"/>
  <c r="E7884" i="2"/>
  <c r="D7884" i="2"/>
  <c r="F7883" i="2"/>
  <c r="E7883" i="2"/>
  <c r="D7883" i="2"/>
  <c r="F7882" i="2"/>
  <c r="E7882" i="2"/>
  <c r="D7882" i="2"/>
  <c r="F9665" i="2"/>
  <c r="E9665" i="2"/>
  <c r="D9665" i="2"/>
  <c r="F9674" i="2"/>
  <c r="E9674" i="2"/>
  <c r="D9674" i="2"/>
  <c r="F9673" i="2"/>
  <c r="E9673" i="2"/>
  <c r="D9673" i="2"/>
  <c r="F9672" i="2"/>
  <c r="E9672" i="2"/>
  <c r="D9672" i="2"/>
  <c r="F9671" i="2"/>
  <c r="E9671" i="2"/>
  <c r="D9671" i="2"/>
  <c r="F9670" i="2"/>
  <c r="E9670" i="2"/>
  <c r="D9670" i="2"/>
  <c r="F9669" i="2"/>
  <c r="E9669" i="2"/>
  <c r="D9669" i="2"/>
  <c r="F9668" i="2"/>
  <c r="E9668" i="2"/>
  <c r="D9668" i="2"/>
  <c r="F9667" i="2"/>
  <c r="E9667" i="2"/>
  <c r="D9667" i="2"/>
  <c r="F9666" i="2"/>
  <c r="E9666" i="2"/>
  <c r="D9666" i="2"/>
  <c r="F6882" i="2"/>
  <c r="E6882" i="2"/>
  <c r="D6882" i="2"/>
  <c r="F6891" i="2"/>
  <c r="E6891" i="2"/>
  <c r="D6891" i="2"/>
  <c r="F6890" i="2"/>
  <c r="E6890" i="2"/>
  <c r="D6890" i="2"/>
  <c r="F6889" i="2"/>
  <c r="E6889" i="2"/>
  <c r="D6889" i="2"/>
  <c r="F6888" i="2"/>
  <c r="E6888" i="2"/>
  <c r="D6888" i="2"/>
  <c r="F6887" i="2"/>
  <c r="E6887" i="2"/>
  <c r="D6887" i="2"/>
  <c r="F6886" i="2"/>
  <c r="E6886" i="2"/>
  <c r="D6886" i="2"/>
  <c r="F6885" i="2"/>
  <c r="E6885" i="2"/>
  <c r="D6885" i="2"/>
  <c r="F6884" i="2"/>
  <c r="E6884" i="2"/>
  <c r="D6884" i="2"/>
  <c r="F6883" i="2"/>
  <c r="E6883" i="2"/>
  <c r="D6883" i="2"/>
  <c r="F6926" i="2"/>
  <c r="E6926" i="2"/>
  <c r="D6926" i="2"/>
  <c r="F6936" i="2"/>
  <c r="E6936" i="2"/>
  <c r="D6936" i="2"/>
  <c r="F6935" i="2"/>
  <c r="E6935" i="2"/>
  <c r="D6935" i="2"/>
  <c r="F6934" i="2"/>
  <c r="E6934" i="2"/>
  <c r="D6934" i="2"/>
  <c r="F6933" i="2"/>
  <c r="E6933" i="2"/>
  <c r="D6933" i="2"/>
  <c r="F6932" i="2"/>
  <c r="E6932" i="2"/>
  <c r="D6932" i="2"/>
  <c r="F6931" i="2"/>
  <c r="E6931" i="2"/>
  <c r="D6931" i="2"/>
  <c r="F6930" i="2"/>
  <c r="E6930" i="2"/>
  <c r="D6930" i="2"/>
  <c r="F6929" i="2"/>
  <c r="E6929" i="2"/>
  <c r="D6929" i="2"/>
  <c r="F6928" i="2"/>
  <c r="E6928" i="2"/>
  <c r="D6928" i="2"/>
  <c r="F6927" i="2"/>
  <c r="E6927" i="2"/>
  <c r="D6927" i="2"/>
  <c r="F7902" i="2"/>
  <c r="E7902" i="2"/>
  <c r="D7902" i="2"/>
  <c r="F7914" i="2"/>
  <c r="E7914" i="2"/>
  <c r="D7914" i="2"/>
  <c r="F7913" i="2"/>
  <c r="E7913" i="2"/>
  <c r="D7913" i="2"/>
  <c r="F7912" i="2"/>
  <c r="E7912" i="2"/>
  <c r="D7912" i="2"/>
  <c r="F7911" i="2"/>
  <c r="E7911" i="2"/>
  <c r="D7911" i="2"/>
  <c r="F7910" i="2"/>
  <c r="E7910" i="2"/>
  <c r="D7910" i="2"/>
  <c r="F7909" i="2"/>
  <c r="E7909" i="2"/>
  <c r="D7909" i="2"/>
  <c r="F7908" i="2"/>
  <c r="E7908" i="2"/>
  <c r="D7908" i="2"/>
  <c r="F7907" i="2"/>
  <c r="E7907" i="2"/>
  <c r="D7907" i="2"/>
  <c r="F7906" i="2"/>
  <c r="E7906" i="2"/>
  <c r="D7906" i="2"/>
  <c r="F7905" i="2"/>
  <c r="E7905" i="2"/>
  <c r="D7905" i="2"/>
  <c r="F7904" i="2"/>
  <c r="E7904" i="2"/>
  <c r="D7904" i="2"/>
  <c r="F7903" i="2"/>
  <c r="E7903" i="2"/>
  <c r="D7903" i="2"/>
  <c r="F906" i="2"/>
  <c r="E906" i="2"/>
  <c r="D906" i="2"/>
  <c r="F911" i="2"/>
  <c r="E911" i="2"/>
  <c r="D911" i="2"/>
  <c r="F910" i="2"/>
  <c r="E910" i="2"/>
  <c r="D910" i="2"/>
  <c r="F909" i="2"/>
  <c r="E909" i="2"/>
  <c r="D909" i="2"/>
  <c r="F908" i="2"/>
  <c r="E908" i="2"/>
  <c r="D908" i="2"/>
  <c r="F907" i="2"/>
  <c r="E907" i="2"/>
  <c r="D907" i="2"/>
  <c r="F9980" i="2"/>
  <c r="E9980" i="2"/>
  <c r="D9980" i="2"/>
  <c r="F9979" i="2"/>
  <c r="E9979" i="2"/>
  <c r="D9979" i="2"/>
  <c r="F9978" i="2"/>
  <c r="E9978" i="2"/>
  <c r="D9978" i="2"/>
  <c r="F9977" i="2"/>
  <c r="E9977" i="2"/>
  <c r="D9977" i="2"/>
  <c r="F9976" i="2"/>
  <c r="E9976" i="2"/>
  <c r="D9976" i="2"/>
  <c r="F9975" i="2"/>
  <c r="E9975" i="2"/>
  <c r="D9975" i="2"/>
  <c r="F9974" i="2"/>
  <c r="E9974" i="2"/>
  <c r="D9974" i="2"/>
  <c r="F5427" i="2"/>
  <c r="E5427" i="2"/>
  <c r="D5427" i="2"/>
  <c r="F1833" i="2"/>
  <c r="E1833" i="2"/>
  <c r="D1833" i="2"/>
  <c r="F1849" i="2"/>
  <c r="E1849" i="2"/>
  <c r="D1849" i="2"/>
  <c r="F1848" i="2"/>
  <c r="E1848" i="2"/>
  <c r="D1848" i="2"/>
  <c r="F1847" i="2"/>
  <c r="E1847" i="2"/>
  <c r="D1847" i="2"/>
  <c r="F1846" i="2"/>
  <c r="E1846" i="2"/>
  <c r="D1846" i="2"/>
  <c r="F1845" i="2"/>
  <c r="E1845" i="2"/>
  <c r="D1845" i="2"/>
  <c r="F1844" i="2"/>
  <c r="E1844" i="2"/>
  <c r="D1844" i="2"/>
  <c r="F1843" i="2"/>
  <c r="E1843" i="2"/>
  <c r="D1843" i="2"/>
  <c r="F1842" i="2"/>
  <c r="E1842" i="2"/>
  <c r="D1842" i="2"/>
  <c r="F1841" i="2"/>
  <c r="E1841" i="2"/>
  <c r="D1841" i="2"/>
  <c r="F1840" i="2"/>
  <c r="E1840" i="2"/>
  <c r="D1840" i="2"/>
  <c r="F1839" i="2"/>
  <c r="E1839" i="2"/>
  <c r="D1839" i="2"/>
  <c r="F1838" i="2"/>
  <c r="E1838" i="2"/>
  <c r="D1838" i="2"/>
  <c r="F1837" i="2"/>
  <c r="E1837" i="2"/>
  <c r="D1837" i="2"/>
  <c r="F1836" i="2"/>
  <c r="E1836" i="2"/>
  <c r="D1836" i="2"/>
  <c r="F1835" i="2"/>
  <c r="E1835" i="2"/>
  <c r="D1835" i="2"/>
  <c r="F1834" i="2"/>
  <c r="E1834" i="2"/>
  <c r="D1834" i="2"/>
  <c r="F3098" i="2"/>
  <c r="E3098" i="2"/>
  <c r="D3098" i="2"/>
  <c r="F3120" i="2"/>
  <c r="E3120" i="2"/>
  <c r="D3120" i="2"/>
  <c r="F3119" i="2"/>
  <c r="E3119" i="2"/>
  <c r="D3119" i="2"/>
  <c r="F3118" i="2"/>
  <c r="E3118" i="2"/>
  <c r="D3118" i="2"/>
  <c r="F3117" i="2"/>
  <c r="E3117" i="2"/>
  <c r="D3117" i="2"/>
  <c r="F3116" i="2"/>
  <c r="E3116" i="2"/>
  <c r="D3116" i="2"/>
  <c r="F3115" i="2"/>
  <c r="E3115" i="2"/>
  <c r="D3115" i="2"/>
  <c r="F3114" i="2"/>
  <c r="E3114" i="2"/>
  <c r="D3114" i="2"/>
  <c r="F3113" i="2"/>
  <c r="E3113" i="2"/>
  <c r="D3113" i="2"/>
  <c r="F3112" i="2"/>
  <c r="E3112" i="2"/>
  <c r="D3112" i="2"/>
  <c r="F3111" i="2"/>
  <c r="E3111" i="2"/>
  <c r="D3111" i="2"/>
  <c r="F3110" i="2"/>
  <c r="E3110" i="2"/>
  <c r="D3110" i="2"/>
  <c r="F3109" i="2"/>
  <c r="E3109" i="2"/>
  <c r="D3109" i="2"/>
  <c r="F3108" i="2"/>
  <c r="E3108" i="2"/>
  <c r="D3108" i="2"/>
  <c r="F3107" i="2"/>
  <c r="E3107" i="2"/>
  <c r="D3107" i="2"/>
  <c r="F3106" i="2"/>
  <c r="E3106" i="2"/>
  <c r="D3106" i="2"/>
  <c r="F3105" i="2"/>
  <c r="E3105" i="2"/>
  <c r="D3105" i="2"/>
  <c r="F3104" i="2"/>
  <c r="E3104" i="2"/>
  <c r="D3104" i="2"/>
  <c r="F3103" i="2"/>
  <c r="E3103" i="2"/>
  <c r="D3103" i="2"/>
  <c r="F3102" i="2"/>
  <c r="E3102" i="2"/>
  <c r="D3102" i="2"/>
  <c r="F3101" i="2"/>
  <c r="E3101" i="2"/>
  <c r="D3101" i="2"/>
  <c r="F3100" i="2"/>
  <c r="E3100" i="2"/>
  <c r="D3100" i="2"/>
  <c r="F3099" i="2"/>
  <c r="E3099" i="2"/>
  <c r="D3099" i="2"/>
  <c r="F9959" i="2"/>
  <c r="E9959" i="2"/>
  <c r="D9959" i="2"/>
  <c r="F9973" i="2"/>
  <c r="E9973" i="2"/>
  <c r="D9973" i="2"/>
  <c r="F9972" i="2"/>
  <c r="E9972" i="2"/>
  <c r="D9972" i="2"/>
  <c r="F9971" i="2"/>
  <c r="E9971" i="2"/>
  <c r="D9971" i="2"/>
  <c r="F9970" i="2"/>
  <c r="E9970" i="2"/>
  <c r="D9970" i="2"/>
  <c r="F9969" i="2"/>
  <c r="E9969" i="2"/>
  <c r="D9969" i="2"/>
  <c r="F9968" i="2"/>
  <c r="E9968" i="2"/>
  <c r="D9968" i="2"/>
  <c r="F9967" i="2"/>
  <c r="E9967" i="2"/>
  <c r="D9967" i="2"/>
  <c r="F9966" i="2"/>
  <c r="E9966" i="2"/>
  <c r="D9966" i="2"/>
  <c r="F9965" i="2"/>
  <c r="E9965" i="2"/>
  <c r="D9965" i="2"/>
  <c r="F9964" i="2"/>
  <c r="E9964" i="2"/>
  <c r="D9964" i="2"/>
  <c r="F9963" i="2"/>
  <c r="E9963" i="2"/>
  <c r="D9963" i="2"/>
  <c r="F9962" i="2"/>
  <c r="E9962" i="2"/>
  <c r="D9962" i="2"/>
  <c r="F9961" i="2"/>
  <c r="E9961" i="2"/>
  <c r="D9961" i="2"/>
  <c r="F9960" i="2"/>
  <c r="E9960" i="2"/>
  <c r="D9960" i="2"/>
  <c r="F16418" i="2"/>
  <c r="E16418" i="2"/>
  <c r="D16418" i="2"/>
  <c r="F16417" i="2"/>
  <c r="E16417" i="2"/>
  <c r="D16417" i="2"/>
  <c r="F16416" i="2"/>
  <c r="E16416" i="2"/>
  <c r="D16416" i="2"/>
  <c r="F16415" i="2"/>
  <c r="E16415" i="2"/>
  <c r="D16415" i="2"/>
  <c r="F16414" i="2"/>
  <c r="E16414" i="2"/>
  <c r="D16414" i="2"/>
  <c r="F16413" i="2"/>
  <c r="E16413" i="2"/>
  <c r="D16413" i="2"/>
  <c r="F16412" i="2"/>
  <c r="E16412" i="2"/>
  <c r="D16412" i="2"/>
  <c r="F16411" i="2"/>
  <c r="E16411" i="2"/>
  <c r="D16411" i="2"/>
  <c r="F16410" i="2"/>
  <c r="E16410" i="2"/>
  <c r="D16410" i="2"/>
  <c r="F16409" i="2"/>
  <c r="E16409" i="2"/>
  <c r="D16409" i="2"/>
  <c r="F16408" i="2"/>
  <c r="E16408" i="2"/>
  <c r="D16408" i="2"/>
  <c r="F16407" i="2"/>
  <c r="E16407" i="2"/>
  <c r="D16407" i="2"/>
  <c r="F16406" i="2"/>
  <c r="E16406" i="2"/>
  <c r="D16406" i="2"/>
  <c r="F16405" i="2"/>
  <c r="E16405" i="2"/>
  <c r="D16405" i="2"/>
  <c r="F16404" i="2"/>
  <c r="E16404" i="2"/>
  <c r="D16404" i="2"/>
  <c r="F1043" i="2"/>
  <c r="E1043" i="2"/>
  <c r="D1043" i="2"/>
  <c r="F1056" i="2"/>
  <c r="E1056" i="2"/>
  <c r="D1056" i="2"/>
  <c r="F1055" i="2"/>
  <c r="E1055" i="2"/>
  <c r="D1055" i="2"/>
  <c r="F1054" i="2"/>
  <c r="E1054" i="2"/>
  <c r="D1054" i="2"/>
  <c r="F1053" i="2"/>
  <c r="E1053" i="2"/>
  <c r="D1053" i="2"/>
  <c r="F1052" i="2"/>
  <c r="E1052" i="2"/>
  <c r="D1052" i="2"/>
  <c r="F1051" i="2"/>
  <c r="E1051" i="2"/>
  <c r="D1051" i="2"/>
  <c r="F1050" i="2"/>
  <c r="E1050" i="2"/>
  <c r="D1050" i="2"/>
  <c r="F1049" i="2"/>
  <c r="E1049" i="2"/>
  <c r="D1049" i="2"/>
  <c r="F1048" i="2"/>
  <c r="E1048" i="2"/>
  <c r="D1048" i="2"/>
  <c r="F1047" i="2"/>
  <c r="E1047" i="2"/>
  <c r="D1047" i="2"/>
  <c r="F1046" i="2"/>
  <c r="E1046" i="2"/>
  <c r="D1046" i="2"/>
  <c r="F1045" i="2"/>
  <c r="E1045" i="2"/>
  <c r="D1045" i="2"/>
  <c r="F1044" i="2"/>
  <c r="E1044" i="2"/>
  <c r="D1044" i="2"/>
  <c r="F12477" i="2"/>
  <c r="E12477" i="2"/>
  <c r="D12477" i="2"/>
  <c r="F12478" i="2"/>
  <c r="E12478" i="2"/>
  <c r="D12478" i="2"/>
  <c r="F4490" i="2"/>
  <c r="E4490" i="2"/>
  <c r="D4490" i="2"/>
  <c r="F4488" i="2"/>
  <c r="E4488" i="2"/>
  <c r="D4488" i="2"/>
  <c r="F4489" i="2"/>
  <c r="E4489" i="2"/>
  <c r="D4489" i="2"/>
  <c r="F11749" i="2"/>
  <c r="E11749" i="2"/>
  <c r="D11749" i="2"/>
  <c r="F11748" i="2"/>
  <c r="E11748" i="2"/>
  <c r="D11748" i="2"/>
  <c r="F916" i="2"/>
  <c r="E916" i="2"/>
  <c r="D916" i="2"/>
  <c r="F915" i="2"/>
  <c r="E915" i="2"/>
  <c r="D915" i="2"/>
  <c r="F914" i="2"/>
  <c r="E914" i="2"/>
  <c r="D914" i="2"/>
  <c r="F913" i="2"/>
  <c r="E913" i="2"/>
  <c r="D913" i="2"/>
  <c r="F912" i="2"/>
  <c r="E912" i="2"/>
  <c r="D912" i="2"/>
  <c r="F5454" i="2"/>
  <c r="E5454" i="2"/>
  <c r="D5454" i="2"/>
  <c r="F5453" i="2"/>
  <c r="E5453" i="2"/>
  <c r="D5453" i="2"/>
  <c r="F5452" i="2"/>
  <c r="E5452" i="2"/>
  <c r="D5452" i="2"/>
  <c r="F5451" i="2"/>
  <c r="E5451" i="2"/>
  <c r="D5451" i="2"/>
  <c r="F5450" i="2"/>
  <c r="E5450" i="2"/>
  <c r="D5450" i="2"/>
  <c r="F5449" i="2"/>
  <c r="E5449" i="2"/>
  <c r="D5449" i="2"/>
  <c r="F5448" i="2"/>
  <c r="E5448" i="2"/>
  <c r="D5448" i="2"/>
  <c r="F5447" i="2"/>
  <c r="E5447" i="2"/>
  <c r="D5447" i="2"/>
  <c r="F5446" i="2"/>
  <c r="E5446" i="2"/>
  <c r="D5446" i="2"/>
  <c r="F6429" i="2"/>
  <c r="E6429" i="2"/>
  <c r="D6429" i="2"/>
  <c r="F6428" i="2"/>
  <c r="E6428" i="2"/>
  <c r="D6428" i="2"/>
  <c r="F6427" i="2"/>
  <c r="E6427" i="2"/>
  <c r="D6427" i="2"/>
  <c r="F6426" i="2"/>
  <c r="E6426" i="2"/>
  <c r="D6426" i="2"/>
  <c r="F6425" i="2"/>
  <c r="E6425" i="2"/>
  <c r="D6425" i="2"/>
  <c r="F6424" i="2"/>
  <c r="E6424" i="2"/>
  <c r="D6424" i="2"/>
  <c r="F6423" i="2"/>
  <c r="E6423" i="2"/>
  <c r="D6423" i="2"/>
  <c r="F6422" i="2"/>
  <c r="E6422" i="2"/>
  <c r="D6422" i="2"/>
  <c r="F6421" i="2"/>
  <c r="E6421" i="2"/>
  <c r="D6421" i="2"/>
  <c r="F6420" i="2"/>
  <c r="E6420" i="2"/>
  <c r="D6420" i="2"/>
  <c r="F6419" i="2"/>
  <c r="E6419" i="2"/>
  <c r="D6419" i="2"/>
  <c r="F6418" i="2"/>
  <c r="E6418" i="2"/>
  <c r="D6418" i="2"/>
  <c r="F6417" i="2"/>
  <c r="E6417" i="2"/>
  <c r="D6417" i="2"/>
  <c r="F6416" i="2"/>
  <c r="E6416" i="2"/>
  <c r="D6416" i="2"/>
  <c r="F6415" i="2"/>
  <c r="E6415" i="2"/>
  <c r="D6415" i="2"/>
  <c r="F6414" i="2"/>
  <c r="E6414" i="2"/>
  <c r="D6414" i="2"/>
  <c r="F6413" i="2"/>
  <c r="E6413" i="2"/>
  <c r="D6413" i="2"/>
  <c r="F6412" i="2"/>
  <c r="E6412" i="2"/>
  <c r="D6412" i="2"/>
  <c r="F6411" i="2"/>
  <c r="E6411" i="2"/>
  <c r="D6411" i="2"/>
  <c r="F6410" i="2"/>
  <c r="E6410" i="2"/>
  <c r="D6410" i="2"/>
  <c r="F6409" i="2"/>
  <c r="E6409" i="2"/>
  <c r="D6409" i="2"/>
  <c r="F6408" i="2"/>
  <c r="E6408" i="2"/>
  <c r="D6408" i="2"/>
  <c r="F6407" i="2"/>
  <c r="E6407" i="2"/>
  <c r="D6407" i="2"/>
  <c r="F6406" i="2"/>
  <c r="E6406" i="2"/>
  <c r="D6406" i="2"/>
  <c r="F6405" i="2"/>
  <c r="E6405" i="2"/>
  <c r="D6405" i="2"/>
  <c r="F6404" i="2"/>
  <c r="E6404" i="2"/>
  <c r="D6404" i="2"/>
  <c r="F6403" i="2"/>
  <c r="E6403" i="2"/>
  <c r="D6403" i="2"/>
  <c r="F6402" i="2"/>
  <c r="E6402" i="2"/>
  <c r="D6402" i="2"/>
  <c r="F6401" i="2"/>
  <c r="E6401" i="2"/>
  <c r="D6401" i="2"/>
  <c r="F6400" i="2"/>
  <c r="E6400" i="2"/>
  <c r="D6400" i="2"/>
  <c r="F6399" i="2"/>
  <c r="E6399" i="2"/>
  <c r="D6399" i="2"/>
  <c r="F6398" i="2"/>
  <c r="E6398" i="2"/>
  <c r="D6398" i="2"/>
  <c r="F6397" i="2"/>
  <c r="E6397" i="2"/>
  <c r="D6397" i="2"/>
  <c r="F6396" i="2"/>
  <c r="E6396" i="2"/>
  <c r="D6396" i="2"/>
  <c r="F6395" i="2"/>
  <c r="E6395" i="2"/>
  <c r="D6395" i="2"/>
  <c r="F6394" i="2"/>
  <c r="E6394" i="2"/>
  <c r="D6394" i="2"/>
  <c r="F1401" i="2"/>
  <c r="E1401" i="2"/>
  <c r="D1401" i="2"/>
  <c r="F1402" i="2"/>
  <c r="E1402" i="2"/>
  <c r="D1402" i="2"/>
  <c r="F14874" i="2"/>
  <c r="E14874" i="2"/>
  <c r="D14874" i="2"/>
  <c r="F14882" i="2"/>
  <c r="E14882" i="2"/>
  <c r="D14882" i="2"/>
  <c r="F14881" i="2"/>
  <c r="E14881" i="2"/>
  <c r="D14881" i="2"/>
  <c r="F14880" i="2"/>
  <c r="E14880" i="2"/>
  <c r="D14880" i="2"/>
  <c r="F14879" i="2"/>
  <c r="E14879" i="2"/>
  <c r="D14879" i="2"/>
  <c r="F14878" i="2"/>
  <c r="E14878" i="2"/>
  <c r="D14878" i="2"/>
  <c r="F14877" i="2"/>
  <c r="E14877" i="2"/>
  <c r="D14877" i="2"/>
  <c r="F14876" i="2"/>
  <c r="E14876" i="2"/>
  <c r="D14876" i="2"/>
  <c r="F14875" i="2"/>
  <c r="E14875" i="2"/>
  <c r="D14875" i="2"/>
  <c r="F5720" i="2"/>
  <c r="E5720" i="2"/>
  <c r="D5720" i="2"/>
  <c r="F5719" i="2"/>
  <c r="E5719" i="2"/>
  <c r="D5719" i="2"/>
  <c r="F5718" i="2"/>
  <c r="E5718" i="2"/>
  <c r="D5718" i="2"/>
  <c r="F5717" i="2"/>
  <c r="E5717" i="2"/>
  <c r="D5717" i="2"/>
  <c r="F5716" i="2"/>
  <c r="E5716" i="2"/>
  <c r="D5716" i="2"/>
  <c r="F5715" i="2"/>
  <c r="E5715" i="2"/>
  <c r="D5715" i="2"/>
  <c r="F9986" i="2"/>
  <c r="E9986" i="2"/>
  <c r="D9986" i="2"/>
  <c r="F9993" i="2"/>
  <c r="E9993" i="2"/>
  <c r="D9993" i="2"/>
  <c r="F9992" i="2"/>
  <c r="E9992" i="2"/>
  <c r="D9992" i="2"/>
  <c r="F9991" i="2"/>
  <c r="E9991" i="2"/>
  <c r="D9991" i="2"/>
  <c r="F9990" i="2"/>
  <c r="E9990" i="2"/>
  <c r="D9990" i="2"/>
  <c r="F9988" i="2"/>
  <c r="E9988" i="2"/>
  <c r="D9988" i="2"/>
  <c r="F9989" i="2"/>
  <c r="E9989" i="2"/>
  <c r="D9989" i="2"/>
  <c r="F9987" i="2"/>
  <c r="E9987" i="2"/>
  <c r="D9987" i="2"/>
  <c r="F11796" i="2"/>
  <c r="E11796" i="2"/>
  <c r="D11796" i="2"/>
  <c r="F11815" i="2"/>
  <c r="E11815" i="2"/>
  <c r="D11815" i="2"/>
  <c r="F11814" i="2"/>
  <c r="E11814" i="2"/>
  <c r="D11814" i="2"/>
  <c r="F11813" i="2"/>
  <c r="E11813" i="2"/>
  <c r="D11813" i="2"/>
  <c r="F11812" i="2"/>
  <c r="E11812" i="2"/>
  <c r="D11812" i="2"/>
  <c r="F11811" i="2"/>
  <c r="E11811" i="2"/>
  <c r="D11811" i="2"/>
  <c r="F11810" i="2"/>
  <c r="E11810" i="2"/>
  <c r="D11810" i="2"/>
  <c r="F11809" i="2"/>
  <c r="E11809" i="2"/>
  <c r="D11809" i="2"/>
  <c r="F11808" i="2"/>
  <c r="E11808" i="2"/>
  <c r="D11808" i="2"/>
  <c r="F11807" i="2"/>
  <c r="E11807" i="2"/>
  <c r="D11807" i="2"/>
  <c r="F11806" i="2"/>
  <c r="E11806" i="2"/>
  <c r="D11806" i="2"/>
  <c r="F11805" i="2"/>
  <c r="E11805" i="2"/>
  <c r="D11805" i="2"/>
  <c r="F11804" i="2"/>
  <c r="E11804" i="2"/>
  <c r="D11804" i="2"/>
  <c r="F11803" i="2"/>
  <c r="E11803" i="2"/>
  <c r="D11803" i="2"/>
  <c r="F11802" i="2"/>
  <c r="E11802" i="2"/>
  <c r="D11802" i="2"/>
  <c r="F11801" i="2"/>
  <c r="E11801" i="2"/>
  <c r="D11801" i="2"/>
  <c r="F11800" i="2"/>
  <c r="E11800" i="2"/>
  <c r="D11800" i="2"/>
  <c r="F11799" i="2"/>
  <c r="E11799" i="2"/>
  <c r="D11799" i="2"/>
  <c r="F11798" i="2"/>
  <c r="E11798" i="2"/>
  <c r="D11798" i="2"/>
  <c r="F11797" i="2"/>
  <c r="E11797" i="2"/>
  <c r="D11797" i="2"/>
  <c r="F11503" i="2"/>
  <c r="E11503" i="2"/>
  <c r="D11503" i="2"/>
  <c r="F11502" i="2"/>
  <c r="E11502" i="2"/>
  <c r="D11502" i="2"/>
  <c r="F11501" i="2"/>
  <c r="E11501" i="2"/>
  <c r="D11501" i="2"/>
  <c r="F11500" i="2"/>
  <c r="E11500" i="2"/>
  <c r="D11500" i="2"/>
  <c r="F11499" i="2"/>
  <c r="E11499" i="2"/>
  <c r="D11499" i="2"/>
  <c r="F11498" i="2"/>
  <c r="E11498" i="2"/>
  <c r="D11498" i="2"/>
  <c r="F11497" i="2"/>
  <c r="E11497" i="2"/>
  <c r="D11497" i="2"/>
  <c r="F11010" i="2"/>
  <c r="E11010" i="2"/>
  <c r="D11010" i="2"/>
  <c r="F9420" i="2"/>
  <c r="E9420" i="2"/>
  <c r="D9420" i="2"/>
  <c r="F9419" i="2"/>
  <c r="E9419" i="2"/>
  <c r="D9419" i="2"/>
  <c r="F9418" i="2"/>
  <c r="E9418" i="2"/>
  <c r="D9418" i="2"/>
  <c r="F9417" i="2"/>
  <c r="E9417" i="2"/>
  <c r="D9417" i="2"/>
  <c r="F6266" i="2"/>
  <c r="E6266" i="2"/>
  <c r="D6266" i="2"/>
  <c r="F6265" i="2"/>
  <c r="E6265" i="2"/>
  <c r="D6265" i="2"/>
  <c r="F6264" i="2"/>
  <c r="E6264" i="2"/>
  <c r="D6264" i="2"/>
  <c r="F6263" i="2"/>
  <c r="E6263" i="2"/>
  <c r="D6263" i="2"/>
  <c r="F6262" i="2"/>
  <c r="E6262" i="2"/>
  <c r="D6262" i="2"/>
  <c r="F6261" i="2"/>
  <c r="E6261" i="2"/>
  <c r="D6261" i="2"/>
  <c r="F6260" i="2"/>
  <c r="E6260" i="2"/>
  <c r="D6260" i="2"/>
  <c r="F6259" i="2"/>
  <c r="E6259" i="2"/>
  <c r="D6259" i="2"/>
  <c r="F6258" i="2"/>
  <c r="E6258" i="2"/>
  <c r="D6258" i="2"/>
  <c r="F6257" i="2"/>
  <c r="E6257" i="2"/>
  <c r="D6257" i="2"/>
  <c r="F6256" i="2"/>
  <c r="E6256" i="2"/>
  <c r="D6256" i="2"/>
  <c r="F501" i="2"/>
  <c r="E501" i="2"/>
  <c r="D501" i="2"/>
  <c r="F500" i="2"/>
  <c r="E500" i="2"/>
  <c r="D500" i="2"/>
  <c r="F498" i="2"/>
  <c r="E498" i="2"/>
  <c r="D498" i="2"/>
  <c r="F499" i="2"/>
  <c r="E499" i="2"/>
  <c r="D499" i="2"/>
  <c r="F16419" i="2"/>
  <c r="E16419" i="2"/>
  <c r="D16419" i="2"/>
  <c r="F16423" i="2"/>
  <c r="E16423" i="2"/>
  <c r="D16423" i="2"/>
  <c r="F16422" i="2"/>
  <c r="E16422" i="2"/>
  <c r="D16422" i="2"/>
  <c r="F16421" i="2"/>
  <c r="E16421" i="2"/>
  <c r="D16421" i="2"/>
  <c r="F16420" i="2"/>
  <c r="E16420" i="2"/>
  <c r="D16420" i="2"/>
  <c r="F6445" i="2"/>
  <c r="E6445" i="2"/>
  <c r="D6445" i="2"/>
  <c r="F6460" i="2"/>
  <c r="E6460" i="2"/>
  <c r="D6460" i="2"/>
  <c r="F6459" i="2"/>
  <c r="E6459" i="2"/>
  <c r="D6459" i="2"/>
  <c r="F6458" i="2"/>
  <c r="E6458" i="2"/>
  <c r="D6458" i="2"/>
  <c r="F6457" i="2"/>
  <c r="E6457" i="2"/>
  <c r="D6457" i="2"/>
  <c r="F6456" i="2"/>
  <c r="E6456" i="2"/>
  <c r="D6456" i="2"/>
  <c r="F6455" i="2"/>
  <c r="E6455" i="2"/>
  <c r="D6455" i="2"/>
  <c r="F6454" i="2"/>
  <c r="E6454" i="2"/>
  <c r="D6454" i="2"/>
  <c r="F6453" i="2"/>
  <c r="E6453" i="2"/>
  <c r="D6453" i="2"/>
  <c r="F6452" i="2"/>
  <c r="E6452" i="2"/>
  <c r="D6452" i="2"/>
  <c r="F6451" i="2"/>
  <c r="E6451" i="2"/>
  <c r="D6451" i="2"/>
  <c r="F6450" i="2"/>
  <c r="E6450" i="2"/>
  <c r="D6450" i="2"/>
  <c r="F6449" i="2"/>
  <c r="E6449" i="2"/>
  <c r="D6449" i="2"/>
  <c r="F6448" i="2"/>
  <c r="E6448" i="2"/>
  <c r="D6448" i="2"/>
  <c r="F6447" i="2"/>
  <c r="E6447" i="2"/>
  <c r="D6447" i="2"/>
  <c r="F6446" i="2"/>
  <c r="E6446" i="2"/>
  <c r="D6446" i="2"/>
  <c r="F4426" i="2"/>
  <c r="E4426" i="2"/>
  <c r="D4426" i="2"/>
  <c r="F4444" i="2"/>
  <c r="E4444" i="2"/>
  <c r="D4444" i="2"/>
  <c r="F4443" i="2"/>
  <c r="E4443" i="2"/>
  <c r="D4443" i="2"/>
  <c r="F4442" i="2"/>
  <c r="E4442" i="2"/>
  <c r="D4442" i="2"/>
  <c r="F4441" i="2"/>
  <c r="E4441" i="2"/>
  <c r="D4441" i="2"/>
  <c r="F4440" i="2"/>
  <c r="E4440" i="2"/>
  <c r="D4440" i="2"/>
  <c r="F4439" i="2"/>
  <c r="E4439" i="2"/>
  <c r="D4439" i="2"/>
  <c r="F4438" i="2"/>
  <c r="E4438" i="2"/>
  <c r="D4438" i="2"/>
  <c r="F4437" i="2"/>
  <c r="E4437" i="2"/>
  <c r="D4437" i="2"/>
  <c r="F4436" i="2"/>
  <c r="E4436" i="2"/>
  <c r="D4436" i="2"/>
  <c r="F4435" i="2"/>
  <c r="E4435" i="2"/>
  <c r="D4435" i="2"/>
  <c r="F4434" i="2"/>
  <c r="E4434" i="2"/>
  <c r="D4434" i="2"/>
  <c r="F4433" i="2"/>
  <c r="E4433" i="2"/>
  <c r="D4433" i="2"/>
  <c r="F4432" i="2"/>
  <c r="E4432" i="2"/>
  <c r="D4432" i="2"/>
  <c r="F4431" i="2"/>
  <c r="E4431" i="2"/>
  <c r="D4431" i="2"/>
  <c r="F4430" i="2"/>
  <c r="E4430" i="2"/>
  <c r="D4430" i="2"/>
  <c r="F4429" i="2"/>
  <c r="E4429" i="2"/>
  <c r="D4429" i="2"/>
  <c r="F4428" i="2"/>
  <c r="E4428" i="2"/>
  <c r="D4428" i="2"/>
  <c r="F4427" i="2"/>
  <c r="E4427" i="2"/>
  <c r="D4427" i="2"/>
  <c r="F11026" i="2"/>
  <c r="E11026" i="2"/>
  <c r="D11026" i="2"/>
  <c r="F11035" i="2"/>
  <c r="E11035" i="2"/>
  <c r="D11035" i="2"/>
  <c r="F11034" i="2"/>
  <c r="E11034" i="2"/>
  <c r="D11034" i="2"/>
  <c r="F11033" i="2"/>
  <c r="E11033" i="2"/>
  <c r="D11033" i="2"/>
  <c r="F11032" i="2"/>
  <c r="E11032" i="2"/>
  <c r="D11032" i="2"/>
  <c r="F11031" i="2"/>
  <c r="E11031" i="2"/>
  <c r="D11031" i="2"/>
  <c r="F11030" i="2"/>
  <c r="E11030" i="2"/>
  <c r="D11030" i="2"/>
  <c r="F11029" i="2"/>
  <c r="E11029" i="2"/>
  <c r="D11029" i="2"/>
  <c r="F11028" i="2"/>
  <c r="E11028" i="2"/>
  <c r="D11028" i="2"/>
  <c r="F11027" i="2"/>
  <c r="E11027" i="2"/>
  <c r="D11027" i="2"/>
  <c r="F6255" i="2"/>
  <c r="E6255" i="2"/>
  <c r="D6255" i="2"/>
  <c r="F6254" i="2"/>
  <c r="E6254" i="2"/>
  <c r="D6254" i="2"/>
  <c r="F6253" i="2"/>
  <c r="E6253" i="2"/>
  <c r="D6253" i="2"/>
  <c r="F6252" i="2"/>
  <c r="E6252" i="2"/>
  <c r="D6252" i="2"/>
  <c r="F6251" i="2"/>
  <c r="E6251" i="2"/>
  <c r="D6251" i="2"/>
  <c r="F10030" i="2"/>
  <c r="E10030" i="2"/>
  <c r="D10030" i="2"/>
  <c r="F1850" i="2"/>
  <c r="E1850" i="2"/>
  <c r="D1850" i="2"/>
  <c r="F1854" i="2"/>
  <c r="E1854" i="2"/>
  <c r="D1854" i="2"/>
  <c r="F1853" i="2"/>
  <c r="E1853" i="2"/>
  <c r="D1853" i="2"/>
  <c r="F1852" i="2"/>
  <c r="E1852" i="2"/>
  <c r="D1852" i="2"/>
  <c r="F1851" i="2"/>
  <c r="E1851" i="2"/>
  <c r="D1851" i="2"/>
  <c r="F11040" i="2"/>
  <c r="E11040" i="2"/>
  <c r="D11040" i="2"/>
  <c r="F11039" i="2"/>
  <c r="E11039" i="2"/>
  <c r="D11039" i="2"/>
  <c r="F11038" i="2"/>
  <c r="E11038" i="2"/>
  <c r="D11038" i="2"/>
  <c r="F11037" i="2"/>
  <c r="E11037" i="2"/>
  <c r="D11037" i="2"/>
  <c r="F11036" i="2"/>
  <c r="E11036" i="2"/>
  <c r="D11036" i="2"/>
  <c r="F10031" i="2"/>
  <c r="E10031" i="2"/>
  <c r="D10031" i="2"/>
  <c r="F10071" i="2"/>
  <c r="E10071" i="2"/>
  <c r="D10071" i="2"/>
  <c r="F10070" i="2"/>
  <c r="E10070" i="2"/>
  <c r="D10070" i="2"/>
  <c r="F10069" i="2"/>
  <c r="E10069" i="2"/>
  <c r="D10069" i="2"/>
  <c r="F10068" i="2"/>
  <c r="E10068" i="2"/>
  <c r="D10068" i="2"/>
  <c r="F10067" i="2"/>
  <c r="E10067" i="2"/>
  <c r="D10067" i="2"/>
  <c r="F10066" i="2"/>
  <c r="E10066" i="2"/>
  <c r="D10066" i="2"/>
  <c r="F10065" i="2"/>
  <c r="E10065" i="2"/>
  <c r="D10065" i="2"/>
  <c r="F10064" i="2"/>
  <c r="E10064" i="2"/>
  <c r="D10064" i="2"/>
  <c r="F10063" i="2"/>
  <c r="E10063" i="2"/>
  <c r="D10063" i="2"/>
  <c r="F10062" i="2"/>
  <c r="E10062" i="2"/>
  <c r="D10062" i="2"/>
  <c r="F10061" i="2"/>
  <c r="E10061" i="2"/>
  <c r="D10061" i="2"/>
  <c r="F10060" i="2"/>
  <c r="E10060" i="2"/>
  <c r="D10060" i="2"/>
  <c r="F10059" i="2"/>
  <c r="E10059" i="2"/>
  <c r="D10059" i="2"/>
  <c r="F10058" i="2"/>
  <c r="E10058" i="2"/>
  <c r="D10058" i="2"/>
  <c r="F10057" i="2"/>
  <c r="E10057" i="2"/>
  <c r="D10057" i="2"/>
  <c r="F10056" i="2"/>
  <c r="E10056" i="2"/>
  <c r="D10056" i="2"/>
  <c r="F10055" i="2"/>
  <c r="E10055" i="2"/>
  <c r="D10055" i="2"/>
  <c r="F10054" i="2"/>
  <c r="E10054" i="2"/>
  <c r="D10054" i="2"/>
  <c r="F10053" i="2"/>
  <c r="E10053" i="2"/>
  <c r="D10053" i="2"/>
  <c r="F10052" i="2"/>
  <c r="E10052" i="2"/>
  <c r="D10052" i="2"/>
  <c r="F10051" i="2"/>
  <c r="E10051" i="2"/>
  <c r="D10051" i="2"/>
  <c r="F10050" i="2"/>
  <c r="E10050" i="2"/>
  <c r="D10050" i="2"/>
  <c r="F10049" i="2"/>
  <c r="E10049" i="2"/>
  <c r="D10049" i="2"/>
  <c r="F10048" i="2"/>
  <c r="E10048" i="2"/>
  <c r="D10048" i="2"/>
  <c r="F10047" i="2"/>
  <c r="E10047" i="2"/>
  <c r="D10047" i="2"/>
  <c r="F10046" i="2"/>
  <c r="E10046" i="2"/>
  <c r="D10046" i="2"/>
  <c r="F10045" i="2"/>
  <c r="E10045" i="2"/>
  <c r="D10045" i="2"/>
  <c r="F10044" i="2"/>
  <c r="E10044" i="2"/>
  <c r="D10044" i="2"/>
  <c r="F10043" i="2"/>
  <c r="E10043" i="2"/>
  <c r="D10043" i="2"/>
  <c r="F10042" i="2"/>
  <c r="E10042" i="2"/>
  <c r="D10042" i="2"/>
  <c r="F10041" i="2"/>
  <c r="E10041" i="2"/>
  <c r="D10041" i="2"/>
  <c r="F10040" i="2"/>
  <c r="E10040" i="2"/>
  <c r="D10040" i="2"/>
  <c r="F10039" i="2"/>
  <c r="E10039" i="2"/>
  <c r="D10039" i="2"/>
  <c r="F10038" i="2"/>
  <c r="E10038" i="2"/>
  <c r="D10038" i="2"/>
  <c r="F10037" i="2"/>
  <c r="E10037" i="2"/>
  <c r="D10037" i="2"/>
  <c r="F10036" i="2"/>
  <c r="E10036" i="2"/>
  <c r="D10036" i="2"/>
  <c r="F10035" i="2"/>
  <c r="E10035" i="2"/>
  <c r="D10035" i="2"/>
  <c r="F10034" i="2"/>
  <c r="E10034" i="2"/>
  <c r="D10034" i="2"/>
  <c r="F10033" i="2"/>
  <c r="E10033" i="2"/>
  <c r="D10033" i="2"/>
  <c r="F10032" i="2"/>
  <c r="E10032" i="2"/>
  <c r="D10032" i="2"/>
  <c r="F1749" i="2"/>
  <c r="E1749" i="2"/>
  <c r="D1749" i="2"/>
  <c r="F6126" i="2"/>
  <c r="E6126" i="2"/>
  <c r="D6126" i="2"/>
  <c r="F6125" i="2"/>
  <c r="E6125" i="2"/>
  <c r="D6125" i="2"/>
  <c r="F6124" i="2"/>
  <c r="E6124" i="2"/>
  <c r="D6124" i="2"/>
  <c r="F3379" i="2"/>
  <c r="E3379" i="2"/>
  <c r="D3379" i="2"/>
  <c r="F3405" i="2"/>
  <c r="E3405" i="2"/>
  <c r="D3405" i="2"/>
  <c r="F3404" i="2"/>
  <c r="E3404" i="2"/>
  <c r="D3404" i="2"/>
  <c r="F3403" i="2"/>
  <c r="E3403" i="2"/>
  <c r="D3403" i="2"/>
  <c r="F3402" i="2"/>
  <c r="E3402" i="2"/>
  <c r="D3402" i="2"/>
  <c r="F3401" i="2"/>
  <c r="E3401" i="2"/>
  <c r="D3401" i="2"/>
  <c r="F3400" i="2"/>
  <c r="E3400" i="2"/>
  <c r="D3400" i="2"/>
  <c r="F3399" i="2"/>
  <c r="E3399" i="2"/>
  <c r="D3399" i="2"/>
  <c r="F3398" i="2"/>
  <c r="E3398" i="2"/>
  <c r="D3398" i="2"/>
  <c r="F3397" i="2"/>
  <c r="E3397" i="2"/>
  <c r="D3397" i="2"/>
  <c r="F3396" i="2"/>
  <c r="E3396" i="2"/>
  <c r="D3396" i="2"/>
  <c r="F3395" i="2"/>
  <c r="E3395" i="2"/>
  <c r="D3395" i="2"/>
  <c r="F3394" i="2"/>
  <c r="E3394" i="2"/>
  <c r="D3394" i="2"/>
  <c r="F3393" i="2"/>
  <c r="E3393" i="2"/>
  <c r="D3393" i="2"/>
  <c r="F3392" i="2"/>
  <c r="E3392" i="2"/>
  <c r="D3392" i="2"/>
  <c r="F3391" i="2"/>
  <c r="E3391" i="2"/>
  <c r="D3391" i="2"/>
  <c r="F3390" i="2"/>
  <c r="E3390" i="2"/>
  <c r="D3390" i="2"/>
  <c r="F3389" i="2"/>
  <c r="E3389" i="2"/>
  <c r="D3389" i="2"/>
  <c r="F3388" i="2"/>
  <c r="E3388" i="2"/>
  <c r="D3388" i="2"/>
  <c r="F3387" i="2"/>
  <c r="E3387" i="2"/>
  <c r="D3387" i="2"/>
  <c r="F3386" i="2"/>
  <c r="E3386" i="2"/>
  <c r="D3386" i="2"/>
  <c r="F3385" i="2"/>
  <c r="E3385" i="2"/>
  <c r="D3385" i="2"/>
  <c r="F3384" i="2"/>
  <c r="E3384" i="2"/>
  <c r="D3384" i="2"/>
  <c r="F3383" i="2"/>
  <c r="E3383" i="2"/>
  <c r="D3383" i="2"/>
  <c r="F3382" i="2"/>
  <c r="E3382" i="2"/>
  <c r="D3382" i="2"/>
  <c r="F3381" i="2"/>
  <c r="E3381" i="2"/>
  <c r="D3381" i="2"/>
  <c r="F3380" i="2"/>
  <c r="E3380" i="2"/>
  <c r="D3380" i="2"/>
  <c r="F6128" i="2"/>
  <c r="E6128" i="2"/>
  <c r="D6128" i="2"/>
  <c r="F6129" i="2"/>
  <c r="E6129" i="2"/>
  <c r="D6129" i="2"/>
  <c r="F3777" i="2"/>
  <c r="E3777" i="2"/>
  <c r="D3777" i="2"/>
  <c r="F3781" i="2"/>
  <c r="E3781" i="2"/>
  <c r="D3781" i="2"/>
  <c r="F3780" i="2"/>
  <c r="E3780" i="2"/>
  <c r="D3780" i="2"/>
  <c r="F3779" i="2"/>
  <c r="E3779" i="2"/>
  <c r="D3779" i="2"/>
  <c r="F3778" i="2"/>
  <c r="E3778" i="2"/>
  <c r="D3778" i="2"/>
  <c r="F8561" i="2"/>
  <c r="E8561" i="2"/>
  <c r="D8561" i="2"/>
  <c r="F8567" i="2"/>
  <c r="E8567" i="2"/>
  <c r="D8567" i="2"/>
  <c r="F8566" i="2"/>
  <c r="E8566" i="2"/>
  <c r="D8566" i="2"/>
  <c r="F8565" i="2"/>
  <c r="E8565" i="2"/>
  <c r="D8565" i="2"/>
  <c r="F8564" i="2"/>
  <c r="E8564" i="2"/>
  <c r="D8564" i="2"/>
  <c r="F8563" i="2"/>
  <c r="E8563" i="2"/>
  <c r="D8563" i="2"/>
  <c r="F8562" i="2"/>
  <c r="E8562" i="2"/>
  <c r="D8562" i="2"/>
  <c r="F7328" i="2"/>
  <c r="E7328" i="2"/>
  <c r="D7328" i="2"/>
  <c r="F7326" i="2"/>
  <c r="E7326" i="2"/>
  <c r="D7326" i="2"/>
  <c r="F7327" i="2"/>
  <c r="E7327" i="2"/>
  <c r="D7327" i="2"/>
  <c r="F12053" i="2"/>
  <c r="E12053" i="2"/>
  <c r="D12053" i="2"/>
  <c r="F12064" i="2"/>
  <c r="E12064" i="2"/>
  <c r="D12064" i="2"/>
  <c r="F12063" i="2"/>
  <c r="E12063" i="2"/>
  <c r="D12063" i="2"/>
  <c r="F12062" i="2"/>
  <c r="E12062" i="2"/>
  <c r="D12062" i="2"/>
  <c r="F12061" i="2"/>
  <c r="E12061" i="2"/>
  <c r="D12061" i="2"/>
  <c r="F12060" i="2"/>
  <c r="E12060" i="2"/>
  <c r="D12060" i="2"/>
  <c r="F12059" i="2"/>
  <c r="E12059" i="2"/>
  <c r="D12059" i="2"/>
  <c r="F12058" i="2"/>
  <c r="E12058" i="2"/>
  <c r="D12058" i="2"/>
  <c r="F12057" i="2"/>
  <c r="E12057" i="2"/>
  <c r="D12057" i="2"/>
  <c r="F12056" i="2"/>
  <c r="E12056" i="2"/>
  <c r="D12056" i="2"/>
  <c r="F12055" i="2"/>
  <c r="E12055" i="2"/>
  <c r="D12055" i="2"/>
  <c r="F12054" i="2"/>
  <c r="E12054" i="2"/>
  <c r="D12054" i="2"/>
  <c r="F5984" i="2"/>
  <c r="E5984" i="2"/>
  <c r="D5984" i="2"/>
  <c r="F5983" i="2"/>
  <c r="E5983" i="2"/>
  <c r="D5983" i="2"/>
  <c r="F5982" i="2"/>
  <c r="E5982" i="2"/>
  <c r="D5982" i="2"/>
  <c r="F5981" i="2"/>
  <c r="E5981" i="2"/>
  <c r="D5981" i="2"/>
  <c r="F5980" i="2"/>
  <c r="E5980" i="2"/>
  <c r="D5980" i="2"/>
  <c r="F5979" i="2"/>
  <c r="E5979" i="2"/>
  <c r="D5979" i="2"/>
  <c r="F5978" i="2"/>
  <c r="E5978" i="2"/>
  <c r="D5978" i="2"/>
  <c r="F5977" i="2"/>
  <c r="E5977" i="2"/>
  <c r="D5977" i="2"/>
  <c r="F5976" i="2"/>
  <c r="E5976" i="2"/>
  <c r="D5976" i="2"/>
  <c r="F5975" i="2"/>
  <c r="E5975" i="2"/>
  <c r="D5975" i="2"/>
  <c r="F10099" i="2"/>
  <c r="E10099" i="2"/>
  <c r="D10099" i="2"/>
  <c r="F10102" i="2"/>
  <c r="E10102" i="2"/>
  <c r="D10102" i="2"/>
  <c r="F10101" i="2"/>
  <c r="E10101" i="2"/>
  <c r="D10101" i="2"/>
  <c r="F10100" i="2"/>
  <c r="E10100" i="2"/>
  <c r="D10100" i="2"/>
  <c r="F3179" i="2"/>
  <c r="E3179" i="2"/>
  <c r="D3179" i="2"/>
  <c r="F3199" i="2"/>
  <c r="E3199" i="2"/>
  <c r="D3199" i="2"/>
  <c r="F3198" i="2"/>
  <c r="E3198" i="2"/>
  <c r="D3198" i="2"/>
  <c r="F3197" i="2"/>
  <c r="E3197" i="2"/>
  <c r="D3197" i="2"/>
  <c r="F3196" i="2"/>
  <c r="E3196" i="2"/>
  <c r="D3196" i="2"/>
  <c r="F3195" i="2"/>
  <c r="E3195" i="2"/>
  <c r="D3195" i="2"/>
  <c r="F3194" i="2"/>
  <c r="E3194" i="2"/>
  <c r="D3194" i="2"/>
  <c r="F3193" i="2"/>
  <c r="E3193" i="2"/>
  <c r="D3193" i="2"/>
  <c r="F3192" i="2"/>
  <c r="E3192" i="2"/>
  <c r="D3192" i="2"/>
  <c r="F3191" i="2"/>
  <c r="E3191" i="2"/>
  <c r="D3191" i="2"/>
  <c r="F3190" i="2"/>
  <c r="E3190" i="2"/>
  <c r="D3190" i="2"/>
  <c r="F3189" i="2"/>
  <c r="E3189" i="2"/>
  <c r="D3189" i="2"/>
  <c r="F3188" i="2"/>
  <c r="E3188" i="2"/>
  <c r="D3188" i="2"/>
  <c r="F3187" i="2"/>
  <c r="E3187" i="2"/>
  <c r="D3187" i="2"/>
  <c r="F3186" i="2"/>
  <c r="E3186" i="2"/>
  <c r="D3186" i="2"/>
  <c r="F3185" i="2"/>
  <c r="E3185" i="2"/>
  <c r="D3185" i="2"/>
  <c r="F3184" i="2"/>
  <c r="E3184" i="2"/>
  <c r="D3184" i="2"/>
  <c r="F3182" i="2"/>
  <c r="E3182" i="2"/>
  <c r="D3182" i="2"/>
  <c r="F3183" i="2"/>
  <c r="E3183" i="2"/>
  <c r="D3183" i="2"/>
  <c r="F3181" i="2"/>
  <c r="E3181" i="2"/>
  <c r="D3181" i="2"/>
  <c r="F3180" i="2"/>
  <c r="E3180" i="2"/>
  <c r="D3180" i="2"/>
  <c r="F3178" i="2"/>
  <c r="E3178" i="2"/>
  <c r="D3178" i="2"/>
  <c r="F3177" i="2"/>
  <c r="E3177" i="2"/>
  <c r="D3177" i="2"/>
  <c r="F3176" i="2"/>
  <c r="E3176" i="2"/>
  <c r="D3176" i="2"/>
  <c r="F3175" i="2"/>
  <c r="E3175" i="2"/>
  <c r="D3175" i="2"/>
  <c r="F3174" i="2"/>
  <c r="E3174" i="2"/>
  <c r="D3174" i="2"/>
  <c r="F3173" i="2"/>
  <c r="E3173" i="2"/>
  <c r="D3173" i="2"/>
  <c r="F3172" i="2"/>
  <c r="E3172" i="2"/>
  <c r="D3172" i="2"/>
  <c r="F3171" i="2"/>
  <c r="E3171" i="2"/>
  <c r="D3171" i="2"/>
  <c r="F3170" i="2"/>
  <c r="E3170" i="2"/>
  <c r="D3170" i="2"/>
  <c r="F3169" i="2"/>
  <c r="E3169" i="2"/>
  <c r="D3169" i="2"/>
  <c r="F3168" i="2"/>
  <c r="E3168" i="2"/>
  <c r="D3168" i="2"/>
  <c r="F3167" i="2"/>
  <c r="E3167" i="2"/>
  <c r="D3167" i="2"/>
  <c r="F3166" i="2"/>
  <c r="E3166" i="2"/>
  <c r="D3166" i="2"/>
  <c r="F3164" i="2"/>
  <c r="E3164" i="2"/>
  <c r="D3164" i="2"/>
  <c r="F3165" i="2"/>
  <c r="E3165" i="2"/>
  <c r="D3165" i="2"/>
  <c r="F3163" i="2"/>
  <c r="E3163" i="2"/>
  <c r="D3163" i="2"/>
  <c r="F3162" i="2"/>
  <c r="E3162" i="2"/>
  <c r="D3162" i="2"/>
  <c r="F3676" i="2"/>
  <c r="E3676" i="2"/>
  <c r="D3676" i="2"/>
  <c r="F3681" i="2"/>
  <c r="E3681" i="2"/>
  <c r="D3681" i="2"/>
  <c r="F3680" i="2"/>
  <c r="E3680" i="2"/>
  <c r="D3680" i="2"/>
  <c r="F3679" i="2"/>
  <c r="E3679" i="2"/>
  <c r="D3679" i="2"/>
  <c r="F3678" i="2"/>
  <c r="E3678" i="2"/>
  <c r="D3678" i="2"/>
  <c r="F3677" i="2"/>
  <c r="E3677" i="2"/>
  <c r="D3677" i="2"/>
  <c r="F4521" i="2"/>
  <c r="E4521" i="2"/>
  <c r="D4521" i="2"/>
  <c r="F4520" i="2"/>
  <c r="E4520" i="2"/>
  <c r="D4520" i="2"/>
  <c r="F4519" i="2"/>
  <c r="E4519" i="2"/>
  <c r="D4519" i="2"/>
  <c r="F4518" i="2"/>
  <c r="E4518" i="2"/>
  <c r="D4518" i="2"/>
  <c r="F4517" i="2"/>
  <c r="E4517" i="2"/>
  <c r="D4517" i="2"/>
  <c r="F4516" i="2"/>
  <c r="E4516" i="2"/>
  <c r="D4516" i="2"/>
  <c r="F4515" i="2"/>
  <c r="E4515" i="2"/>
  <c r="D4515" i="2"/>
  <c r="F4514" i="2"/>
  <c r="E4514" i="2"/>
  <c r="D4514" i="2"/>
  <c r="F4513" i="2"/>
  <c r="E4513" i="2"/>
  <c r="D4513" i="2"/>
  <c r="F4512" i="2"/>
  <c r="E4512" i="2"/>
  <c r="D4512" i="2"/>
  <c r="F4511" i="2"/>
  <c r="E4511" i="2"/>
  <c r="D4511" i="2"/>
  <c r="F4607" i="2"/>
  <c r="E4607" i="2"/>
  <c r="D4607" i="2"/>
  <c r="F4606" i="2"/>
  <c r="E4606" i="2"/>
  <c r="D4606" i="2"/>
  <c r="F4605" i="2"/>
  <c r="E4605" i="2"/>
  <c r="D4605" i="2"/>
  <c r="F4604" i="2"/>
  <c r="E4604" i="2"/>
  <c r="D4604" i="2"/>
  <c r="F6274" i="2"/>
  <c r="E6274" i="2"/>
  <c r="D6274" i="2"/>
  <c r="F6273" i="2"/>
  <c r="E6273" i="2"/>
  <c r="D6273" i="2"/>
  <c r="F6272" i="2"/>
  <c r="E6272" i="2"/>
  <c r="D6272" i="2"/>
  <c r="F6271" i="2"/>
  <c r="E6271" i="2"/>
  <c r="D6271" i="2"/>
  <c r="F6478" i="2"/>
  <c r="E6478" i="2"/>
  <c r="D6478" i="2"/>
  <c r="F6480" i="2"/>
  <c r="E6480" i="2"/>
  <c r="D6480" i="2"/>
  <c r="F6479" i="2"/>
  <c r="E6479" i="2"/>
  <c r="D6479" i="2"/>
  <c r="F7576" i="2"/>
  <c r="E7576" i="2"/>
  <c r="D7576" i="2"/>
  <c r="F7580" i="2"/>
  <c r="E7580" i="2"/>
  <c r="D7580" i="2"/>
  <c r="F7579" i="2"/>
  <c r="E7579" i="2"/>
  <c r="D7579" i="2"/>
  <c r="F7578" i="2"/>
  <c r="E7578" i="2"/>
  <c r="D7578" i="2"/>
  <c r="F7577" i="2"/>
  <c r="E7577" i="2"/>
  <c r="D7577" i="2"/>
  <c r="F10152" i="2"/>
  <c r="E10152" i="2"/>
  <c r="D10152" i="2"/>
  <c r="F10160" i="2"/>
  <c r="E10160" i="2"/>
  <c r="D10160" i="2"/>
  <c r="F10159" i="2"/>
  <c r="E10159" i="2"/>
  <c r="D10159" i="2"/>
  <c r="F10158" i="2"/>
  <c r="E10158" i="2"/>
  <c r="D10158" i="2"/>
  <c r="F10157" i="2"/>
  <c r="E10157" i="2"/>
  <c r="D10157" i="2"/>
  <c r="F10156" i="2"/>
  <c r="E10156" i="2"/>
  <c r="D10156" i="2"/>
  <c r="F10154" i="2"/>
  <c r="E10154" i="2"/>
  <c r="D10154" i="2"/>
  <c r="F10155" i="2"/>
  <c r="E10155" i="2"/>
  <c r="D10155" i="2"/>
  <c r="F10153" i="2"/>
  <c r="E10153" i="2"/>
  <c r="D10153" i="2"/>
  <c r="F13836" i="2"/>
  <c r="E13836" i="2"/>
  <c r="D13836" i="2"/>
  <c r="F13837" i="2"/>
  <c r="E13837" i="2"/>
  <c r="D13837" i="2"/>
  <c r="F3437" i="2"/>
  <c r="E3437" i="2"/>
  <c r="D3437" i="2"/>
  <c r="F3436" i="2"/>
  <c r="E3436" i="2"/>
  <c r="D3436" i="2"/>
  <c r="F3435" i="2"/>
  <c r="E3435" i="2"/>
  <c r="D3435" i="2"/>
  <c r="F3434" i="2"/>
  <c r="E3434" i="2"/>
  <c r="D3434" i="2"/>
  <c r="F3433" i="2"/>
  <c r="E3433" i="2"/>
  <c r="D3433" i="2"/>
  <c r="F3432" i="2"/>
  <c r="E3432" i="2"/>
  <c r="D3432" i="2"/>
  <c r="F3431" i="2"/>
  <c r="E3431" i="2"/>
  <c r="D3431" i="2"/>
  <c r="F3430" i="2"/>
  <c r="E3430" i="2"/>
  <c r="D3430" i="2"/>
  <c r="F3429" i="2"/>
  <c r="E3429" i="2"/>
  <c r="D3429" i="2"/>
  <c r="F3428" i="2"/>
  <c r="E3428" i="2"/>
  <c r="D3428" i="2"/>
  <c r="F3427" i="2"/>
  <c r="E3427" i="2"/>
  <c r="D3427" i="2"/>
  <c r="F3426" i="2"/>
  <c r="E3426" i="2"/>
  <c r="D3426" i="2"/>
  <c r="F5994" i="2"/>
  <c r="E5994" i="2"/>
  <c r="D5994" i="2"/>
  <c r="F5993" i="2"/>
  <c r="E5993" i="2"/>
  <c r="D5993" i="2"/>
  <c r="F5992" i="2"/>
  <c r="E5992" i="2"/>
  <c r="D5992" i="2"/>
  <c r="F5991" i="2"/>
  <c r="E5991" i="2"/>
  <c r="D5991" i="2"/>
  <c r="F5990" i="2"/>
  <c r="E5990" i="2"/>
  <c r="D5990" i="2"/>
  <c r="F5989" i="2"/>
  <c r="E5989" i="2"/>
  <c r="D5989" i="2"/>
  <c r="F5988" i="2"/>
  <c r="E5988" i="2"/>
  <c r="D5988" i="2"/>
  <c r="F5987" i="2"/>
  <c r="E5987" i="2"/>
  <c r="D5987" i="2"/>
  <c r="F5986" i="2"/>
  <c r="E5986" i="2"/>
  <c r="D5986" i="2"/>
  <c r="F5985" i="2"/>
  <c r="E5985" i="2"/>
  <c r="D5985" i="2"/>
  <c r="F10215" i="2"/>
  <c r="E10215" i="2"/>
  <c r="D10215" i="2"/>
  <c r="F10214" i="2"/>
  <c r="E10214" i="2"/>
  <c r="D10214" i="2"/>
  <c r="F10213" i="2"/>
  <c r="E10213" i="2"/>
  <c r="D10213" i="2"/>
  <c r="F10212" i="2"/>
  <c r="E10212" i="2"/>
  <c r="D10212" i="2"/>
  <c r="F10211" i="2"/>
  <c r="E10211" i="2"/>
  <c r="D10211" i="2"/>
  <c r="F10210" i="2"/>
  <c r="E10210" i="2"/>
  <c r="D10210" i="2"/>
  <c r="F10209" i="2"/>
  <c r="E10209" i="2"/>
  <c r="D10209" i="2"/>
  <c r="F10208" i="2"/>
  <c r="E10208" i="2"/>
  <c r="D10208" i="2"/>
  <c r="F10207" i="2"/>
  <c r="E10207" i="2"/>
  <c r="D10207" i="2"/>
  <c r="F10206" i="2"/>
  <c r="E10206" i="2"/>
  <c r="D10206" i="2"/>
  <c r="F10205" i="2"/>
  <c r="E10205" i="2"/>
  <c r="D10205" i="2"/>
  <c r="F10204" i="2"/>
  <c r="E10204" i="2"/>
  <c r="D10204" i="2"/>
  <c r="F10203" i="2"/>
  <c r="E10203" i="2"/>
  <c r="D10203" i="2"/>
  <c r="F10202" i="2"/>
  <c r="E10202" i="2"/>
  <c r="D10202" i="2"/>
  <c r="F10201" i="2"/>
  <c r="E10201" i="2"/>
  <c r="D10201" i="2"/>
  <c r="F10200" i="2"/>
  <c r="E10200" i="2"/>
  <c r="D10200" i="2"/>
  <c r="F10199" i="2"/>
  <c r="E10199" i="2"/>
  <c r="D10199" i="2"/>
  <c r="F10198" i="2"/>
  <c r="E10198" i="2"/>
  <c r="D10198" i="2"/>
  <c r="F10197" i="2"/>
  <c r="E10197" i="2"/>
  <c r="D10197" i="2"/>
  <c r="F10196" i="2"/>
  <c r="E10196" i="2"/>
  <c r="D10196" i="2"/>
  <c r="F10195" i="2"/>
  <c r="E10195" i="2"/>
  <c r="D10195" i="2"/>
  <c r="F10194" i="2"/>
  <c r="E10194" i="2"/>
  <c r="D10194" i="2"/>
  <c r="F10193" i="2"/>
  <c r="E10193" i="2"/>
  <c r="D10193" i="2"/>
  <c r="F10192" i="2"/>
  <c r="E10192" i="2"/>
  <c r="D10192" i="2"/>
  <c r="F10191" i="2"/>
  <c r="E10191" i="2"/>
  <c r="D10191" i="2"/>
  <c r="F10190" i="2"/>
  <c r="E10190" i="2"/>
  <c r="D10190" i="2"/>
  <c r="F10189" i="2"/>
  <c r="E10189" i="2"/>
  <c r="D10189" i="2"/>
  <c r="F10188" i="2"/>
  <c r="E10188" i="2"/>
  <c r="D10188" i="2"/>
  <c r="F10187" i="2"/>
  <c r="E10187" i="2"/>
  <c r="D10187" i="2"/>
  <c r="F10186" i="2"/>
  <c r="E10186" i="2"/>
  <c r="D10186" i="2"/>
  <c r="F10185" i="2"/>
  <c r="E10185" i="2"/>
  <c r="D10185" i="2"/>
  <c r="F10184" i="2"/>
  <c r="E10184" i="2"/>
  <c r="D10184" i="2"/>
  <c r="F10183" i="2"/>
  <c r="E10183" i="2"/>
  <c r="D10183" i="2"/>
  <c r="F10182" i="2"/>
  <c r="E10182" i="2"/>
  <c r="D10182" i="2"/>
  <c r="F10181" i="2"/>
  <c r="E10181" i="2"/>
  <c r="D10181" i="2"/>
  <c r="F10180" i="2"/>
  <c r="E10180" i="2"/>
  <c r="D10180" i="2"/>
  <c r="F10179" i="2"/>
  <c r="E10179" i="2"/>
  <c r="D10179" i="2"/>
  <c r="F10178" i="2"/>
  <c r="E10178" i="2"/>
  <c r="D10178" i="2"/>
  <c r="F10177" i="2"/>
  <c r="E10177" i="2"/>
  <c r="D10177" i="2"/>
  <c r="F10176" i="2"/>
  <c r="E10176" i="2"/>
  <c r="D10176" i="2"/>
  <c r="F10175" i="2"/>
  <c r="E10175" i="2"/>
  <c r="D10175" i="2"/>
  <c r="F10174" i="2"/>
  <c r="E10174" i="2"/>
  <c r="D10174" i="2"/>
  <c r="F10173" i="2"/>
  <c r="E10173" i="2"/>
  <c r="D10173" i="2"/>
  <c r="F10172" i="2"/>
  <c r="E10172" i="2"/>
  <c r="D10172" i="2"/>
  <c r="F10171" i="2"/>
  <c r="E10171" i="2"/>
  <c r="D10171" i="2"/>
  <c r="F10170" i="2"/>
  <c r="E10170" i="2"/>
  <c r="D10170" i="2"/>
  <c r="F5995" i="2"/>
  <c r="E5995" i="2"/>
  <c r="D5995" i="2"/>
  <c r="F6008" i="2"/>
  <c r="E6008" i="2"/>
  <c r="D6008" i="2"/>
  <c r="F6007" i="2"/>
  <c r="E6007" i="2"/>
  <c r="D6007" i="2"/>
  <c r="F6006" i="2"/>
  <c r="E6006" i="2"/>
  <c r="D6006" i="2"/>
  <c r="F6005" i="2"/>
  <c r="E6005" i="2"/>
  <c r="D6005" i="2"/>
  <c r="F6004" i="2"/>
  <c r="E6004" i="2"/>
  <c r="D6004" i="2"/>
  <c r="F6003" i="2"/>
  <c r="E6003" i="2"/>
  <c r="D6003" i="2"/>
  <c r="F6002" i="2"/>
  <c r="E6002" i="2"/>
  <c r="D6002" i="2"/>
  <c r="F6001" i="2"/>
  <c r="E6001" i="2"/>
  <c r="D6001" i="2"/>
  <c r="F6000" i="2"/>
  <c r="E6000" i="2"/>
  <c r="D6000" i="2"/>
  <c r="F5999" i="2"/>
  <c r="E5999" i="2"/>
  <c r="D5999" i="2"/>
  <c r="F5998" i="2"/>
  <c r="E5998" i="2"/>
  <c r="D5998" i="2"/>
  <c r="F5997" i="2"/>
  <c r="E5997" i="2"/>
  <c r="D5997" i="2"/>
  <c r="F5996" i="2"/>
  <c r="E5996" i="2"/>
  <c r="D5996" i="2"/>
  <c r="F11839" i="2"/>
  <c r="E11839" i="2"/>
  <c r="D11839" i="2"/>
  <c r="F11840" i="2"/>
  <c r="E11840" i="2"/>
  <c r="D11840" i="2"/>
  <c r="F11838" i="2"/>
  <c r="E11838" i="2"/>
  <c r="D11838" i="2"/>
  <c r="F11837" i="2"/>
  <c r="E11837" i="2"/>
  <c r="D11837" i="2"/>
  <c r="F11836" i="2"/>
  <c r="E11836" i="2"/>
  <c r="D11836" i="2"/>
  <c r="F11835" i="2"/>
  <c r="E11835" i="2"/>
  <c r="D11835" i="2"/>
  <c r="F11834" i="2"/>
  <c r="E11834" i="2"/>
  <c r="D11834" i="2"/>
  <c r="F11833" i="2"/>
  <c r="E11833" i="2"/>
  <c r="D11833" i="2"/>
  <c r="F11832" i="2"/>
  <c r="E11832" i="2"/>
  <c r="D11832" i="2"/>
  <c r="F11831" i="2"/>
  <c r="E11831" i="2"/>
  <c r="D11831" i="2"/>
  <c r="F11830" i="2"/>
  <c r="E11830" i="2"/>
  <c r="D11830" i="2"/>
  <c r="F11829" i="2"/>
  <c r="E11829" i="2"/>
  <c r="D11829" i="2"/>
  <c r="F11487" i="2"/>
  <c r="E11487" i="2"/>
  <c r="D11487" i="2"/>
  <c r="F11496" i="2"/>
  <c r="E11496" i="2"/>
  <c r="D11496" i="2"/>
  <c r="F11495" i="2"/>
  <c r="E11495" i="2"/>
  <c r="D11495" i="2"/>
  <c r="F11494" i="2"/>
  <c r="E11494" i="2"/>
  <c r="D11494" i="2"/>
  <c r="F11493" i="2"/>
  <c r="E11493" i="2"/>
  <c r="D11493" i="2"/>
  <c r="F11492" i="2"/>
  <c r="E11492" i="2"/>
  <c r="D11492" i="2"/>
  <c r="F11491" i="2"/>
  <c r="E11491" i="2"/>
  <c r="D11491" i="2"/>
  <c r="F11490" i="2"/>
  <c r="E11490" i="2"/>
  <c r="D11490" i="2"/>
  <c r="F11489" i="2"/>
  <c r="E11489" i="2"/>
  <c r="D11489" i="2"/>
  <c r="F11488" i="2"/>
  <c r="E11488" i="2"/>
  <c r="D11488" i="2"/>
  <c r="F11514" i="2"/>
  <c r="E11514" i="2"/>
  <c r="D11514" i="2"/>
  <c r="F11526" i="2"/>
  <c r="E11526" i="2"/>
  <c r="D11526" i="2"/>
  <c r="F11525" i="2"/>
  <c r="E11525" i="2"/>
  <c r="D11525" i="2"/>
  <c r="F11524" i="2"/>
  <c r="E11524" i="2"/>
  <c r="D11524" i="2"/>
  <c r="F11523" i="2"/>
  <c r="E11523" i="2"/>
  <c r="D11523" i="2"/>
  <c r="F11522" i="2"/>
  <c r="E11522" i="2"/>
  <c r="D11522" i="2"/>
  <c r="F11521" i="2"/>
  <c r="E11521" i="2"/>
  <c r="D11521" i="2"/>
  <c r="F11520" i="2"/>
  <c r="E11520" i="2"/>
  <c r="D11520" i="2"/>
  <c r="F11519" i="2"/>
  <c r="E11519" i="2"/>
  <c r="D11519" i="2"/>
  <c r="F11518" i="2"/>
  <c r="E11518" i="2"/>
  <c r="D11518" i="2"/>
  <c r="F11517" i="2"/>
  <c r="E11517" i="2"/>
  <c r="D11517" i="2"/>
  <c r="F11516" i="2"/>
  <c r="E11516" i="2"/>
  <c r="D11516" i="2"/>
  <c r="F11515" i="2"/>
  <c r="E11515" i="2"/>
  <c r="D11515" i="2"/>
  <c r="F11504" i="2"/>
  <c r="E11504" i="2"/>
  <c r="D11504" i="2"/>
  <c r="F14704" i="2"/>
  <c r="E14704" i="2"/>
  <c r="D14704" i="2"/>
  <c r="F14717" i="2"/>
  <c r="E14717" i="2"/>
  <c r="D14717" i="2"/>
  <c r="F14716" i="2"/>
  <c r="E14716" i="2"/>
  <c r="D14716" i="2"/>
  <c r="F14715" i="2"/>
  <c r="E14715" i="2"/>
  <c r="D14715" i="2"/>
  <c r="F14714" i="2"/>
  <c r="E14714" i="2"/>
  <c r="D14714" i="2"/>
  <c r="F14713" i="2"/>
  <c r="E14713" i="2"/>
  <c r="D14713" i="2"/>
  <c r="F14712" i="2"/>
  <c r="E14712" i="2"/>
  <c r="D14712" i="2"/>
  <c r="F14711" i="2"/>
  <c r="E14711" i="2"/>
  <c r="D14711" i="2"/>
  <c r="F14710" i="2"/>
  <c r="E14710" i="2"/>
  <c r="D14710" i="2"/>
  <c r="F14709" i="2"/>
  <c r="E14709" i="2"/>
  <c r="D14709" i="2"/>
  <c r="F14708" i="2"/>
  <c r="E14708" i="2"/>
  <c r="D14708" i="2"/>
  <c r="F14707" i="2"/>
  <c r="E14707" i="2"/>
  <c r="D14707" i="2"/>
  <c r="F14706" i="2"/>
  <c r="E14706" i="2"/>
  <c r="D14706" i="2"/>
  <c r="F14705" i="2"/>
  <c r="E14705" i="2"/>
  <c r="D14705" i="2"/>
  <c r="F11602" i="2"/>
  <c r="E11602" i="2"/>
  <c r="D11602" i="2"/>
  <c r="F11601" i="2"/>
  <c r="E11601" i="2"/>
  <c r="D11601" i="2"/>
  <c r="F11600" i="2"/>
  <c r="E11600" i="2"/>
  <c r="D11600" i="2"/>
  <c r="F11599" i="2"/>
  <c r="E11599" i="2"/>
  <c r="D11599" i="2"/>
  <c r="F11598" i="2"/>
  <c r="E11598" i="2"/>
  <c r="D11598" i="2"/>
  <c r="F11597" i="2"/>
  <c r="E11597" i="2"/>
  <c r="D11597" i="2"/>
  <c r="F11596" i="2"/>
  <c r="E11596" i="2"/>
  <c r="D11596" i="2"/>
  <c r="F11595" i="2"/>
  <c r="E11595" i="2"/>
  <c r="D11595" i="2"/>
  <c r="F11594" i="2"/>
  <c r="E11594" i="2"/>
  <c r="D11594" i="2"/>
  <c r="F1460" i="2"/>
  <c r="E1460" i="2"/>
  <c r="D1460" i="2"/>
  <c r="F10216" i="2"/>
  <c r="E10216" i="2"/>
  <c r="D10216" i="2"/>
  <c r="F10225" i="2"/>
  <c r="E10225" i="2"/>
  <c r="D10225" i="2"/>
  <c r="F10224" i="2"/>
  <c r="E10224" i="2"/>
  <c r="D10224" i="2"/>
  <c r="F10223" i="2"/>
  <c r="E10223" i="2"/>
  <c r="D10223" i="2"/>
  <c r="F10222" i="2"/>
  <c r="E10222" i="2"/>
  <c r="D10222" i="2"/>
  <c r="F10221" i="2"/>
  <c r="E10221" i="2"/>
  <c r="D10221" i="2"/>
  <c r="F10220" i="2"/>
  <c r="E10220" i="2"/>
  <c r="D10220" i="2"/>
  <c r="F10219" i="2"/>
  <c r="E10219" i="2"/>
  <c r="D10219" i="2"/>
  <c r="F10218" i="2"/>
  <c r="E10218" i="2"/>
  <c r="D10218" i="2"/>
  <c r="F10217" i="2"/>
  <c r="E10217" i="2"/>
  <c r="D10217" i="2"/>
  <c r="F5726" i="2"/>
  <c r="E5726" i="2"/>
  <c r="D5726" i="2"/>
  <c r="F5725" i="2"/>
  <c r="E5725" i="2"/>
  <c r="D5725" i="2"/>
  <c r="F11062" i="2"/>
  <c r="E11062" i="2"/>
  <c r="D11062" i="2"/>
  <c r="F11071" i="2"/>
  <c r="E11071" i="2"/>
  <c r="D11071" i="2"/>
  <c r="F11070" i="2"/>
  <c r="E11070" i="2"/>
  <c r="D11070" i="2"/>
  <c r="F11069" i="2"/>
  <c r="E11069" i="2"/>
  <c r="D11069" i="2"/>
  <c r="F11068" i="2"/>
  <c r="E11068" i="2"/>
  <c r="D11068" i="2"/>
  <c r="F11067" i="2"/>
  <c r="E11067" i="2"/>
  <c r="D11067" i="2"/>
  <c r="F11066" i="2"/>
  <c r="E11066" i="2"/>
  <c r="D11066" i="2"/>
  <c r="F11065" i="2"/>
  <c r="E11065" i="2"/>
  <c r="D11065" i="2"/>
  <c r="F11064" i="2"/>
  <c r="E11064" i="2"/>
  <c r="D11064" i="2"/>
  <c r="F11063" i="2"/>
  <c r="E11063" i="2"/>
  <c r="D11063" i="2"/>
  <c r="F8615" i="2"/>
  <c r="E8615" i="2"/>
  <c r="D8615" i="2"/>
  <c r="F8614" i="2"/>
  <c r="E8614" i="2"/>
  <c r="D8614" i="2"/>
  <c r="F8613" i="2"/>
  <c r="E8613" i="2"/>
  <c r="D8613" i="2"/>
  <c r="F8612" i="2"/>
  <c r="E8612" i="2"/>
  <c r="D8612" i="2"/>
  <c r="F8611" i="2"/>
  <c r="E8611" i="2"/>
  <c r="D8611" i="2"/>
  <c r="F8610" i="2"/>
  <c r="E8610" i="2"/>
  <c r="D8610" i="2"/>
  <c r="F8609" i="2"/>
  <c r="E8609" i="2"/>
  <c r="D8609" i="2"/>
  <c r="F8608" i="2"/>
  <c r="E8608" i="2"/>
  <c r="D8608" i="2"/>
  <c r="F8607" i="2"/>
  <c r="E8607" i="2"/>
  <c r="D8607" i="2"/>
  <c r="F8606" i="2"/>
  <c r="E8606" i="2"/>
  <c r="D8606" i="2"/>
  <c r="F1421" i="2"/>
  <c r="E1421" i="2"/>
  <c r="D1421" i="2"/>
  <c r="F1420" i="2"/>
  <c r="E1420" i="2"/>
  <c r="D1420" i="2"/>
  <c r="F1419" i="2"/>
  <c r="E1419" i="2"/>
  <c r="D1419" i="2"/>
  <c r="F6305" i="2"/>
  <c r="E6305" i="2"/>
  <c r="D6305" i="2"/>
  <c r="F10098" i="2"/>
  <c r="E10098" i="2"/>
  <c r="D10098" i="2"/>
  <c r="F10097" i="2"/>
  <c r="E10097" i="2"/>
  <c r="D10097" i="2"/>
  <c r="F10096" i="2"/>
  <c r="E10096" i="2"/>
  <c r="D10096" i="2"/>
  <c r="F10095" i="2"/>
  <c r="E10095" i="2"/>
  <c r="D10095" i="2"/>
  <c r="F10094" i="2"/>
  <c r="E10094" i="2"/>
  <c r="D10094" i="2"/>
  <c r="F10093" i="2"/>
  <c r="E10093" i="2"/>
  <c r="D10093" i="2"/>
  <c r="F10092" i="2"/>
  <c r="E10092" i="2"/>
  <c r="D10092" i="2"/>
  <c r="F10091" i="2"/>
  <c r="E10091" i="2"/>
  <c r="D10091" i="2"/>
  <c r="F10090" i="2"/>
  <c r="E10090" i="2"/>
  <c r="D10090" i="2"/>
  <c r="F10089" i="2"/>
  <c r="E10089" i="2"/>
  <c r="D10089" i="2"/>
  <c r="F10088" i="2"/>
  <c r="E10088" i="2"/>
  <c r="D10088" i="2"/>
  <c r="F10087" i="2"/>
  <c r="E10087" i="2"/>
  <c r="D10087" i="2"/>
  <c r="F10086" i="2"/>
  <c r="E10086" i="2"/>
  <c r="D10086" i="2"/>
  <c r="F10085" i="2"/>
  <c r="E10085" i="2"/>
  <c r="D10085" i="2"/>
  <c r="F10084" i="2"/>
  <c r="E10084" i="2"/>
  <c r="D10084" i="2"/>
  <c r="F10083" i="2"/>
  <c r="E10083" i="2"/>
  <c r="D10083" i="2"/>
  <c r="F10082" i="2"/>
  <c r="E10082" i="2"/>
  <c r="D10082" i="2"/>
  <c r="F10081" i="2"/>
  <c r="E10081" i="2"/>
  <c r="D10081" i="2"/>
  <c r="F10080" i="2"/>
  <c r="E10080" i="2"/>
  <c r="D10080" i="2"/>
  <c r="F10079" i="2"/>
  <c r="E10079" i="2"/>
  <c r="D10079" i="2"/>
  <c r="F10078" i="2"/>
  <c r="E10078" i="2"/>
  <c r="D10078" i="2"/>
  <c r="F10077" i="2"/>
  <c r="E10077" i="2"/>
  <c r="D10077" i="2"/>
  <c r="F10076" i="2"/>
  <c r="E10076" i="2"/>
  <c r="D10076" i="2"/>
  <c r="F10075" i="2"/>
  <c r="E10075" i="2"/>
  <c r="D10075" i="2"/>
  <c r="F10074" i="2"/>
  <c r="E10074" i="2"/>
  <c r="D10074" i="2"/>
  <c r="F10072" i="2"/>
  <c r="E10072" i="2"/>
  <c r="D10072" i="2"/>
  <c r="F10073" i="2"/>
  <c r="E10073" i="2"/>
  <c r="D10073" i="2"/>
  <c r="F1490" i="2"/>
  <c r="E1490" i="2"/>
  <c r="D1490" i="2"/>
  <c r="F1489" i="2"/>
  <c r="E1489" i="2"/>
  <c r="D1489" i="2"/>
  <c r="F1488" i="2"/>
  <c r="E1488" i="2"/>
  <c r="D1488" i="2"/>
  <c r="F12375" i="2"/>
  <c r="E12375" i="2"/>
  <c r="D12375" i="2"/>
  <c r="F5189" i="2"/>
  <c r="E5189" i="2"/>
  <c r="D5189" i="2"/>
  <c r="F5204" i="2"/>
  <c r="E5204" i="2"/>
  <c r="D5204" i="2"/>
  <c r="F5203" i="2"/>
  <c r="E5203" i="2"/>
  <c r="D5203" i="2"/>
  <c r="F5202" i="2"/>
  <c r="E5202" i="2"/>
  <c r="D5202" i="2"/>
  <c r="F5201" i="2"/>
  <c r="E5201" i="2"/>
  <c r="D5201" i="2"/>
  <c r="F5200" i="2"/>
  <c r="E5200" i="2"/>
  <c r="D5200" i="2"/>
  <c r="F5199" i="2"/>
  <c r="E5199" i="2"/>
  <c r="D5199" i="2"/>
  <c r="F5198" i="2"/>
  <c r="E5198" i="2"/>
  <c r="D5198" i="2"/>
  <c r="F5197" i="2"/>
  <c r="E5197" i="2"/>
  <c r="D5197" i="2"/>
  <c r="F5196" i="2"/>
  <c r="E5196" i="2"/>
  <c r="D5196" i="2"/>
  <c r="F5195" i="2"/>
  <c r="E5195" i="2"/>
  <c r="D5195" i="2"/>
  <c r="F5194" i="2"/>
  <c r="E5194" i="2"/>
  <c r="D5194" i="2"/>
  <c r="F5193" i="2"/>
  <c r="E5193" i="2"/>
  <c r="D5193" i="2"/>
  <c r="F5192" i="2"/>
  <c r="E5192" i="2"/>
  <c r="D5192" i="2"/>
  <c r="F5191" i="2"/>
  <c r="E5191" i="2"/>
  <c r="D5191" i="2"/>
  <c r="F5190" i="2"/>
  <c r="E5190" i="2"/>
  <c r="D5190" i="2"/>
  <c r="F8376" i="2"/>
  <c r="E8376" i="2"/>
  <c r="D8376" i="2"/>
  <c r="F8375" i="2"/>
  <c r="E8375" i="2"/>
  <c r="D8375" i="2"/>
  <c r="F7929" i="2"/>
  <c r="E7929" i="2"/>
  <c r="D7929" i="2"/>
  <c r="F7939" i="2"/>
  <c r="E7939" i="2"/>
  <c r="D7939" i="2"/>
  <c r="F7938" i="2"/>
  <c r="E7938" i="2"/>
  <c r="D7938" i="2"/>
  <c r="F7937" i="2"/>
  <c r="E7937" i="2"/>
  <c r="D7937" i="2"/>
  <c r="F7936" i="2"/>
  <c r="E7936" i="2"/>
  <c r="D7936" i="2"/>
  <c r="F7935" i="2"/>
  <c r="E7935" i="2"/>
  <c r="D7935" i="2"/>
  <c r="F7934" i="2"/>
  <c r="E7934" i="2"/>
  <c r="D7934" i="2"/>
  <c r="F7933" i="2"/>
  <c r="E7933" i="2"/>
  <c r="D7933" i="2"/>
  <c r="F7932" i="2"/>
  <c r="E7932" i="2"/>
  <c r="D7932" i="2"/>
  <c r="F7931" i="2"/>
  <c r="E7931" i="2"/>
  <c r="D7931" i="2"/>
  <c r="F7930" i="2"/>
  <c r="E7930" i="2"/>
  <c r="D7930" i="2"/>
  <c r="F11915" i="2"/>
  <c r="E11915" i="2"/>
  <c r="D11915" i="2"/>
  <c r="F11917" i="2"/>
  <c r="E11917" i="2"/>
  <c r="D11917" i="2"/>
  <c r="F11916" i="2"/>
  <c r="E11916" i="2"/>
  <c r="D11916" i="2"/>
  <c r="F1903" i="2"/>
  <c r="E1903" i="2"/>
  <c r="D1903" i="2"/>
  <c r="F1902" i="2"/>
  <c r="E1902" i="2"/>
  <c r="D1902" i="2"/>
  <c r="F1901" i="2"/>
  <c r="E1901" i="2"/>
  <c r="D1901" i="2"/>
  <c r="F1900" i="2"/>
  <c r="E1900" i="2"/>
  <c r="D1900" i="2"/>
  <c r="F5173" i="2"/>
  <c r="E5173" i="2"/>
  <c r="D5173" i="2"/>
  <c r="F5188" i="2"/>
  <c r="E5188" i="2"/>
  <c r="D5188" i="2"/>
  <c r="F5187" i="2"/>
  <c r="E5187" i="2"/>
  <c r="D5187" i="2"/>
  <c r="F5186" i="2"/>
  <c r="E5186" i="2"/>
  <c r="D5186" i="2"/>
  <c r="F5185" i="2"/>
  <c r="E5185" i="2"/>
  <c r="D5185" i="2"/>
  <c r="F5184" i="2"/>
  <c r="E5184" i="2"/>
  <c r="D5184" i="2"/>
  <c r="F5183" i="2"/>
  <c r="E5183" i="2"/>
  <c r="D5183" i="2"/>
  <c r="F5182" i="2"/>
  <c r="E5182" i="2"/>
  <c r="D5182" i="2"/>
  <c r="F5181" i="2"/>
  <c r="E5181" i="2"/>
  <c r="D5181" i="2"/>
  <c r="F5180" i="2"/>
  <c r="E5180" i="2"/>
  <c r="D5180" i="2"/>
  <c r="F5179" i="2"/>
  <c r="E5179" i="2"/>
  <c r="D5179" i="2"/>
  <c r="F5178" i="2"/>
  <c r="E5178" i="2"/>
  <c r="D5178" i="2"/>
  <c r="F5177" i="2"/>
  <c r="E5177" i="2"/>
  <c r="D5177" i="2"/>
  <c r="F5176" i="2"/>
  <c r="E5176" i="2"/>
  <c r="D5176" i="2"/>
  <c r="F5175" i="2"/>
  <c r="E5175" i="2"/>
  <c r="D5175" i="2"/>
  <c r="F5174" i="2"/>
  <c r="E5174" i="2"/>
  <c r="D5174" i="2"/>
  <c r="F1487" i="2"/>
  <c r="E1487" i="2"/>
  <c r="D1487" i="2"/>
  <c r="F1486" i="2"/>
  <c r="E1486" i="2"/>
  <c r="D1486" i="2"/>
  <c r="F1485" i="2"/>
  <c r="E1485" i="2"/>
  <c r="D1485" i="2"/>
  <c r="F1484" i="2"/>
  <c r="E1484" i="2"/>
  <c r="D1484" i="2"/>
  <c r="F1483" i="2"/>
  <c r="E1483" i="2"/>
  <c r="D1483" i="2"/>
  <c r="F1482" i="2"/>
  <c r="E1482" i="2"/>
  <c r="D1482" i="2"/>
  <c r="F1481" i="2"/>
  <c r="E1481" i="2"/>
  <c r="D1481" i="2"/>
  <c r="F1480" i="2"/>
  <c r="E1480" i="2"/>
  <c r="D1480" i="2"/>
  <c r="F1479" i="2"/>
  <c r="E1479" i="2"/>
  <c r="D1479" i="2"/>
  <c r="F1478" i="2"/>
  <c r="E1478" i="2"/>
  <c r="D1478" i="2"/>
  <c r="F1477" i="2"/>
  <c r="E1477" i="2"/>
  <c r="D1477" i="2"/>
  <c r="F1476" i="2"/>
  <c r="E1476" i="2"/>
  <c r="D1476" i="2"/>
  <c r="F1475" i="2"/>
  <c r="E1475" i="2"/>
  <c r="D1475" i="2"/>
  <c r="F1474" i="2"/>
  <c r="E1474" i="2"/>
  <c r="D1474" i="2"/>
  <c r="F1473" i="2"/>
  <c r="E1473" i="2"/>
  <c r="D1473" i="2"/>
  <c r="F1472" i="2"/>
  <c r="E1472" i="2"/>
  <c r="D1472" i="2"/>
  <c r="F1471" i="2"/>
  <c r="E1471" i="2"/>
  <c r="D1471" i="2"/>
  <c r="F1470" i="2"/>
  <c r="E1470" i="2"/>
  <c r="D1470" i="2"/>
  <c r="F1469" i="2"/>
  <c r="E1469" i="2"/>
  <c r="D1469" i="2"/>
  <c r="F1468" i="2"/>
  <c r="E1468" i="2"/>
  <c r="D1468" i="2"/>
  <c r="F1467" i="2"/>
  <c r="E1467" i="2"/>
  <c r="D1467" i="2"/>
  <c r="F1466" i="2"/>
  <c r="E1466" i="2"/>
  <c r="D1466" i="2"/>
  <c r="F1465" i="2"/>
  <c r="E1465" i="2"/>
  <c r="D1465" i="2"/>
  <c r="F1464" i="2"/>
  <c r="E1464" i="2"/>
  <c r="D1464" i="2"/>
  <c r="F1463" i="2"/>
  <c r="E1463" i="2"/>
  <c r="D1463" i="2"/>
  <c r="F1462" i="2"/>
  <c r="E1462" i="2"/>
  <c r="D1462" i="2"/>
  <c r="F1459" i="2"/>
  <c r="E1459" i="2"/>
  <c r="D1459" i="2"/>
  <c r="F1458" i="2"/>
  <c r="E1458" i="2"/>
  <c r="D1458" i="2"/>
  <c r="F1457" i="2"/>
  <c r="E1457" i="2"/>
  <c r="D1457" i="2"/>
  <c r="F1456" i="2"/>
  <c r="E1456" i="2"/>
  <c r="D1456" i="2"/>
  <c r="F1455" i="2"/>
  <c r="E1455" i="2"/>
  <c r="D1455" i="2"/>
  <c r="F1454" i="2"/>
  <c r="E1454" i="2"/>
  <c r="D1454" i="2"/>
  <c r="F1453" i="2"/>
  <c r="E1453" i="2"/>
  <c r="D1453" i="2"/>
  <c r="F1452" i="2"/>
  <c r="E1452" i="2"/>
  <c r="D1452" i="2"/>
  <c r="F1451" i="2"/>
  <c r="E1451" i="2"/>
  <c r="D1451" i="2"/>
  <c r="F1450" i="2"/>
  <c r="E1450" i="2"/>
  <c r="D1450" i="2"/>
  <c r="F1449" i="2"/>
  <c r="E1449" i="2"/>
  <c r="D1449" i="2"/>
  <c r="F1448" i="2"/>
  <c r="E1448" i="2"/>
  <c r="D1448" i="2"/>
  <c r="F1447" i="2"/>
  <c r="E1447" i="2"/>
  <c r="D1447" i="2"/>
  <c r="F1446" i="2"/>
  <c r="E1446" i="2"/>
  <c r="D1446" i="2"/>
  <c r="F1445" i="2"/>
  <c r="E1445" i="2"/>
  <c r="D1445" i="2"/>
  <c r="F1444" i="2"/>
  <c r="E1444" i="2"/>
  <c r="D1444" i="2"/>
  <c r="F1443" i="2"/>
  <c r="E1443" i="2"/>
  <c r="D1443" i="2"/>
  <c r="F1442" i="2"/>
  <c r="E1442" i="2"/>
  <c r="D1442" i="2"/>
  <c r="F1441" i="2"/>
  <c r="E1441" i="2"/>
  <c r="D1441" i="2"/>
  <c r="F1440" i="2"/>
  <c r="E1440" i="2"/>
  <c r="D1440" i="2"/>
  <c r="F1439" i="2"/>
  <c r="E1439" i="2"/>
  <c r="D1439" i="2"/>
  <c r="F1438" i="2"/>
  <c r="E1438" i="2"/>
  <c r="D1438" i="2"/>
  <c r="F1437" i="2"/>
  <c r="E1437" i="2"/>
  <c r="D1437" i="2"/>
  <c r="F1436" i="2"/>
  <c r="E1436" i="2"/>
  <c r="D1436" i="2"/>
  <c r="F1435" i="2"/>
  <c r="E1435" i="2"/>
  <c r="D1435" i="2"/>
  <c r="F1434" i="2"/>
  <c r="E1434" i="2"/>
  <c r="D1434" i="2"/>
  <c r="F1433" i="2"/>
  <c r="E1433" i="2"/>
  <c r="D1433" i="2"/>
  <c r="F1432" i="2"/>
  <c r="E1432" i="2"/>
  <c r="D1432" i="2"/>
  <c r="F1431" i="2"/>
  <c r="E1431" i="2"/>
  <c r="D1431" i="2"/>
  <c r="F1430" i="2"/>
  <c r="E1430" i="2"/>
  <c r="D1430" i="2"/>
  <c r="F1429" i="2"/>
  <c r="E1429" i="2"/>
  <c r="D1429" i="2"/>
  <c r="F1428" i="2"/>
  <c r="E1428" i="2"/>
  <c r="D1428" i="2"/>
  <c r="F1427" i="2"/>
  <c r="E1427" i="2"/>
  <c r="D1427" i="2"/>
  <c r="F1426" i="2"/>
  <c r="E1426" i="2"/>
  <c r="D1426" i="2"/>
  <c r="F1425" i="2"/>
  <c r="E1425" i="2"/>
  <c r="D1425" i="2"/>
  <c r="F1424" i="2"/>
  <c r="E1424" i="2"/>
  <c r="D1424" i="2"/>
  <c r="F1423" i="2"/>
  <c r="E1423" i="2"/>
  <c r="D1423" i="2"/>
  <c r="F1422" i="2"/>
  <c r="E1422" i="2"/>
  <c r="D1422" i="2"/>
  <c r="F12929" i="2"/>
  <c r="E12929" i="2"/>
  <c r="D12929" i="2"/>
  <c r="F12927" i="2"/>
  <c r="E12927" i="2"/>
  <c r="D12927" i="2"/>
  <c r="F12928" i="2"/>
  <c r="E12928" i="2"/>
  <c r="D12928" i="2"/>
  <c r="F11072" i="2"/>
  <c r="E11072" i="2"/>
  <c r="D11072" i="2"/>
  <c r="F5466" i="2"/>
  <c r="E5466" i="2"/>
  <c r="D5466" i="2"/>
  <c r="F5478" i="2"/>
  <c r="E5478" i="2"/>
  <c r="D5478" i="2"/>
  <c r="F5477" i="2"/>
  <c r="E5477" i="2"/>
  <c r="D5477" i="2"/>
  <c r="F5476" i="2"/>
  <c r="E5476" i="2"/>
  <c r="D5476" i="2"/>
  <c r="F5475" i="2"/>
  <c r="E5475" i="2"/>
  <c r="D5475" i="2"/>
  <c r="F5474" i="2"/>
  <c r="E5474" i="2"/>
  <c r="D5474" i="2"/>
  <c r="F5473" i="2"/>
  <c r="E5473" i="2"/>
  <c r="D5473" i="2"/>
  <c r="F5472" i="2"/>
  <c r="E5472" i="2"/>
  <c r="D5472" i="2"/>
  <c r="F5471" i="2"/>
  <c r="E5471" i="2"/>
  <c r="D5471" i="2"/>
  <c r="F5470" i="2"/>
  <c r="E5470" i="2"/>
  <c r="D5470" i="2"/>
  <c r="F5469" i="2"/>
  <c r="E5469" i="2"/>
  <c r="D5469" i="2"/>
  <c r="F5468" i="2"/>
  <c r="E5468" i="2"/>
  <c r="D5468" i="2"/>
  <c r="F5467" i="2"/>
  <c r="E5467" i="2"/>
  <c r="D5467" i="2"/>
  <c r="F3682" i="2"/>
  <c r="E3682" i="2"/>
  <c r="D3682" i="2"/>
  <c r="F7065" i="2"/>
  <c r="E7065" i="2"/>
  <c r="D7065" i="2"/>
  <c r="F8616" i="2"/>
  <c r="E8616" i="2"/>
  <c r="D8616" i="2"/>
  <c r="F8623" i="2"/>
  <c r="E8623" i="2"/>
  <c r="D8623" i="2"/>
  <c r="F8622" i="2"/>
  <c r="E8622" i="2"/>
  <c r="D8622" i="2"/>
  <c r="F8621" i="2"/>
  <c r="E8621" i="2"/>
  <c r="D8621" i="2"/>
  <c r="F8620" i="2"/>
  <c r="E8620" i="2"/>
  <c r="D8620" i="2"/>
  <c r="F8619" i="2"/>
  <c r="E8619" i="2"/>
  <c r="D8619" i="2"/>
  <c r="F8618" i="2"/>
  <c r="E8618" i="2"/>
  <c r="D8618" i="2"/>
  <c r="F8617" i="2"/>
  <c r="E8617" i="2"/>
  <c r="D8617" i="2"/>
  <c r="F7329" i="2"/>
  <c r="E7329" i="2"/>
  <c r="D7329" i="2"/>
  <c r="F7330" i="2"/>
  <c r="E7330" i="2"/>
  <c r="D7330" i="2"/>
  <c r="F13702" i="2"/>
  <c r="E13702" i="2"/>
  <c r="D13702" i="2"/>
  <c r="F13701" i="2"/>
  <c r="E13701" i="2"/>
  <c r="D13701" i="2"/>
  <c r="F13700" i="2"/>
  <c r="E13700" i="2"/>
  <c r="D13700" i="2"/>
  <c r="F13699" i="2"/>
  <c r="E13699" i="2"/>
  <c r="D13699" i="2"/>
  <c r="F13698" i="2"/>
  <c r="E13698" i="2"/>
  <c r="D13698" i="2"/>
  <c r="F13697" i="2"/>
  <c r="E13697" i="2"/>
  <c r="D13697" i="2"/>
  <c r="F13696" i="2"/>
  <c r="E13696" i="2"/>
  <c r="D13696" i="2"/>
  <c r="F13695" i="2"/>
  <c r="E13695" i="2"/>
  <c r="D13695" i="2"/>
  <c r="F13694" i="2"/>
  <c r="E13694" i="2"/>
  <c r="D13694" i="2"/>
  <c r="F6017" i="2"/>
  <c r="E6017" i="2"/>
  <c r="D6017" i="2"/>
  <c r="F6016" i="2"/>
  <c r="E6016" i="2"/>
  <c r="D6016" i="2"/>
  <c r="F6015" i="2"/>
  <c r="E6015" i="2"/>
  <c r="D6015" i="2"/>
  <c r="F6014" i="2"/>
  <c r="E6014" i="2"/>
  <c r="D6014" i="2"/>
  <c r="F6013" i="2"/>
  <c r="E6013" i="2"/>
  <c r="D6013" i="2"/>
  <c r="F6012" i="2"/>
  <c r="E6012" i="2"/>
  <c r="D6012" i="2"/>
  <c r="F6011" i="2"/>
  <c r="E6011" i="2"/>
  <c r="D6011" i="2"/>
  <c r="F6010" i="2"/>
  <c r="E6010" i="2"/>
  <c r="D6010" i="2"/>
  <c r="F6009" i="2"/>
  <c r="E6009" i="2"/>
  <c r="D6009" i="2"/>
  <c r="F7983" i="2"/>
  <c r="E7983" i="2"/>
  <c r="D7983" i="2"/>
  <c r="F7982" i="2"/>
  <c r="E7982" i="2"/>
  <c r="D7982" i="2"/>
  <c r="F7981" i="2"/>
  <c r="E7981" i="2"/>
  <c r="D7981" i="2"/>
  <c r="F7980" i="2"/>
  <c r="E7980" i="2"/>
  <c r="D7980" i="2"/>
  <c r="F7979" i="2"/>
  <c r="E7979" i="2"/>
  <c r="D7979" i="2"/>
  <c r="F7978" i="2"/>
  <c r="E7978" i="2"/>
  <c r="D7978" i="2"/>
  <c r="F7977" i="2"/>
  <c r="E7977" i="2"/>
  <c r="D7977" i="2"/>
  <c r="F7976" i="2"/>
  <c r="E7976" i="2"/>
  <c r="D7976" i="2"/>
  <c r="F7975" i="2"/>
  <c r="E7975" i="2"/>
  <c r="D7975" i="2"/>
  <c r="F7974" i="2"/>
  <c r="E7974" i="2"/>
  <c r="D7974" i="2"/>
  <c r="F7973" i="2"/>
  <c r="E7973" i="2"/>
  <c r="D7973" i="2"/>
  <c r="F7972" i="2"/>
  <c r="E7972" i="2"/>
  <c r="D7972" i="2"/>
  <c r="F7971" i="2"/>
  <c r="E7971" i="2"/>
  <c r="D7971" i="2"/>
  <c r="F7970" i="2"/>
  <c r="E7970" i="2"/>
  <c r="D7970" i="2"/>
  <c r="F7969" i="2"/>
  <c r="E7969" i="2"/>
  <c r="D7969" i="2"/>
  <c r="F5827" i="2"/>
  <c r="E5827" i="2"/>
  <c r="D5827" i="2"/>
  <c r="F5831" i="2"/>
  <c r="E5831" i="2"/>
  <c r="D5831" i="2"/>
  <c r="F5830" i="2"/>
  <c r="E5830" i="2"/>
  <c r="D5830" i="2"/>
  <c r="F5829" i="2"/>
  <c r="E5829" i="2"/>
  <c r="D5829" i="2"/>
  <c r="F5828" i="2"/>
  <c r="E5828" i="2"/>
  <c r="D5828" i="2"/>
  <c r="F3485" i="2"/>
  <c r="E3485" i="2"/>
  <c r="D3485" i="2"/>
  <c r="F3487" i="2"/>
  <c r="E3487" i="2"/>
  <c r="D3487" i="2"/>
  <c r="F3486" i="2"/>
  <c r="E3486" i="2"/>
  <c r="D3486" i="2"/>
  <c r="F10305" i="2"/>
  <c r="E10305" i="2"/>
  <c r="D10305" i="2"/>
  <c r="F10304" i="2"/>
  <c r="E10304" i="2"/>
  <c r="D10304" i="2"/>
  <c r="F10303" i="2"/>
  <c r="E10303" i="2"/>
  <c r="D10303" i="2"/>
  <c r="F10302" i="2"/>
  <c r="E10302" i="2"/>
  <c r="D10302" i="2"/>
  <c r="F10301" i="2"/>
  <c r="E10301" i="2"/>
  <c r="D10301" i="2"/>
  <c r="F10300" i="2"/>
  <c r="E10300" i="2"/>
  <c r="D10300" i="2"/>
  <c r="F10299" i="2"/>
  <c r="E10299" i="2"/>
  <c r="D10299" i="2"/>
  <c r="F10298" i="2"/>
  <c r="E10298" i="2"/>
  <c r="D10298" i="2"/>
  <c r="F10297" i="2"/>
  <c r="E10297" i="2"/>
  <c r="D10297" i="2"/>
  <c r="F10296" i="2"/>
  <c r="E10296" i="2"/>
  <c r="D10296" i="2"/>
  <c r="F10295" i="2"/>
  <c r="E10295" i="2"/>
  <c r="D10295" i="2"/>
  <c r="F10294" i="2"/>
  <c r="E10294" i="2"/>
  <c r="D10294" i="2"/>
  <c r="F10293" i="2"/>
  <c r="E10293" i="2"/>
  <c r="D10293" i="2"/>
  <c r="F10292" i="2"/>
  <c r="E10292" i="2"/>
  <c r="D10292" i="2"/>
  <c r="F10291" i="2"/>
  <c r="E10291" i="2"/>
  <c r="D10291" i="2"/>
  <c r="F10290" i="2"/>
  <c r="E10290" i="2"/>
  <c r="D10290" i="2"/>
  <c r="F10289" i="2"/>
  <c r="E10289" i="2"/>
  <c r="D10289" i="2"/>
  <c r="F10288" i="2"/>
  <c r="E10288" i="2"/>
  <c r="D10288" i="2"/>
  <c r="F10287" i="2"/>
  <c r="E10287" i="2"/>
  <c r="D10287" i="2"/>
  <c r="F10286" i="2"/>
  <c r="E10286" i="2"/>
  <c r="D10286" i="2"/>
  <c r="F10285" i="2"/>
  <c r="E10285" i="2"/>
  <c r="D10285" i="2"/>
  <c r="F10284" i="2"/>
  <c r="E10284" i="2"/>
  <c r="D10284" i="2"/>
  <c r="F10283" i="2"/>
  <c r="E10283" i="2"/>
  <c r="D10283" i="2"/>
  <c r="F10282" i="2"/>
  <c r="E10282" i="2"/>
  <c r="D10282" i="2"/>
  <c r="F10281" i="2"/>
  <c r="E10281" i="2"/>
  <c r="D10281" i="2"/>
  <c r="F10280" i="2"/>
  <c r="E10280" i="2"/>
  <c r="D10280" i="2"/>
  <c r="F10279" i="2"/>
  <c r="E10279" i="2"/>
  <c r="D10279" i="2"/>
  <c r="F10278" i="2"/>
  <c r="E10278" i="2"/>
  <c r="D10278" i="2"/>
  <c r="F10277" i="2"/>
  <c r="E10277" i="2"/>
  <c r="D10277" i="2"/>
  <c r="F10276" i="2"/>
  <c r="E10276" i="2"/>
  <c r="D10276" i="2"/>
  <c r="F10275" i="2"/>
  <c r="E10275" i="2"/>
  <c r="D10275" i="2"/>
  <c r="F10274" i="2"/>
  <c r="E10274" i="2"/>
  <c r="D10274" i="2"/>
  <c r="F10273" i="2"/>
  <c r="E10273" i="2"/>
  <c r="D10273" i="2"/>
  <c r="F8163" i="2"/>
  <c r="E8163" i="2"/>
  <c r="D8163" i="2"/>
  <c r="F8179" i="2"/>
  <c r="E8179" i="2"/>
  <c r="D8179" i="2"/>
  <c r="F8178" i="2"/>
  <c r="E8178" i="2"/>
  <c r="D8178" i="2"/>
  <c r="F8177" i="2"/>
  <c r="E8177" i="2"/>
  <c r="D8177" i="2"/>
  <c r="F8176" i="2"/>
  <c r="E8176" i="2"/>
  <c r="D8176" i="2"/>
  <c r="F8175" i="2"/>
  <c r="E8175" i="2"/>
  <c r="D8175" i="2"/>
  <c r="F8174" i="2"/>
  <c r="E8174" i="2"/>
  <c r="D8174" i="2"/>
  <c r="F8173" i="2"/>
  <c r="E8173" i="2"/>
  <c r="D8173" i="2"/>
  <c r="F8172" i="2"/>
  <c r="E8172" i="2"/>
  <c r="D8172" i="2"/>
  <c r="F8171" i="2"/>
  <c r="E8171" i="2"/>
  <c r="D8171" i="2"/>
  <c r="F8170" i="2"/>
  <c r="E8170" i="2"/>
  <c r="D8170" i="2"/>
  <c r="F8169" i="2"/>
  <c r="E8169" i="2"/>
  <c r="D8169" i="2"/>
  <c r="F8168" i="2"/>
  <c r="E8168" i="2"/>
  <c r="D8168" i="2"/>
  <c r="F8167" i="2"/>
  <c r="E8167" i="2"/>
  <c r="D8167" i="2"/>
  <c r="F8166" i="2"/>
  <c r="E8166" i="2"/>
  <c r="D8166" i="2"/>
  <c r="F8165" i="2"/>
  <c r="E8165" i="2"/>
  <c r="D8165" i="2"/>
  <c r="F8164" i="2"/>
  <c r="E8164" i="2"/>
  <c r="D8164" i="2"/>
  <c r="F3078" i="2"/>
  <c r="E3078" i="2"/>
  <c r="D3078" i="2"/>
  <c r="F3077" i="2"/>
  <c r="E3077" i="2"/>
  <c r="D3077" i="2"/>
  <c r="F3076" i="2"/>
  <c r="E3076" i="2"/>
  <c r="D3076" i="2"/>
  <c r="F3075" i="2"/>
  <c r="E3075" i="2"/>
  <c r="D3075" i="2"/>
  <c r="F3074" i="2"/>
  <c r="E3074" i="2"/>
  <c r="D3074" i="2"/>
  <c r="F3073" i="2"/>
  <c r="E3073" i="2"/>
  <c r="D3073" i="2"/>
  <c r="F3072" i="2"/>
  <c r="E3072" i="2"/>
  <c r="D3072" i="2"/>
  <c r="F3071" i="2"/>
  <c r="E3071" i="2"/>
  <c r="D3071" i="2"/>
  <c r="F16429" i="2"/>
  <c r="E16429" i="2"/>
  <c r="D16429" i="2"/>
  <c r="F16434" i="2"/>
  <c r="E16434" i="2"/>
  <c r="D16434" i="2"/>
  <c r="F16433" i="2"/>
  <c r="E16433" i="2"/>
  <c r="D16433" i="2"/>
  <c r="F16432" i="2"/>
  <c r="E16432" i="2"/>
  <c r="D16432" i="2"/>
  <c r="F16431" i="2"/>
  <c r="E16431" i="2"/>
  <c r="D16431" i="2"/>
  <c r="F16430" i="2"/>
  <c r="E16430" i="2"/>
  <c r="D16430" i="2"/>
  <c r="F16428" i="2"/>
  <c r="E16428" i="2"/>
  <c r="D16428" i="2"/>
  <c r="F10271" i="2"/>
  <c r="E10271" i="2"/>
  <c r="D10271" i="2"/>
  <c r="F10270" i="2"/>
  <c r="E10270" i="2"/>
  <c r="D10270" i="2"/>
  <c r="F10269" i="2"/>
  <c r="E10269" i="2"/>
  <c r="D10269" i="2"/>
  <c r="F10268" i="2"/>
  <c r="E10268" i="2"/>
  <c r="D10268" i="2"/>
  <c r="F10267" i="2"/>
  <c r="E10267" i="2"/>
  <c r="D10267" i="2"/>
  <c r="F10266" i="2"/>
  <c r="E10266" i="2"/>
  <c r="D10266" i="2"/>
  <c r="F10265" i="2"/>
  <c r="E10265" i="2"/>
  <c r="D10265" i="2"/>
  <c r="F8352" i="2"/>
  <c r="E8352" i="2"/>
  <c r="D8352" i="2"/>
  <c r="F723" i="2"/>
  <c r="E723" i="2"/>
  <c r="D723" i="2"/>
  <c r="F722" i="2"/>
  <c r="E722" i="2"/>
  <c r="D722" i="2"/>
  <c r="F721" i="2"/>
  <c r="E721" i="2"/>
  <c r="D721" i="2"/>
  <c r="F720" i="2"/>
  <c r="E720" i="2"/>
  <c r="D720" i="2"/>
  <c r="F719" i="2"/>
  <c r="E719" i="2"/>
  <c r="D719" i="2"/>
  <c r="F718" i="2"/>
  <c r="E718" i="2"/>
  <c r="D718" i="2"/>
  <c r="F7240" i="2"/>
  <c r="E7240" i="2"/>
  <c r="D7240" i="2"/>
  <c r="F7254" i="2"/>
  <c r="E7254" i="2"/>
  <c r="D7254" i="2"/>
  <c r="F7253" i="2"/>
  <c r="E7253" i="2"/>
  <c r="D7253" i="2"/>
  <c r="F7252" i="2"/>
  <c r="E7252" i="2"/>
  <c r="D7252" i="2"/>
  <c r="F7251" i="2"/>
  <c r="E7251" i="2"/>
  <c r="D7251" i="2"/>
  <c r="F7250" i="2"/>
  <c r="E7250" i="2"/>
  <c r="D7250" i="2"/>
  <c r="F7249" i="2"/>
  <c r="E7249" i="2"/>
  <c r="D7249" i="2"/>
  <c r="F7248" i="2"/>
  <c r="E7248" i="2"/>
  <c r="D7248" i="2"/>
  <c r="F7247" i="2"/>
  <c r="E7247" i="2"/>
  <c r="D7247" i="2"/>
  <c r="F7246" i="2"/>
  <c r="E7246" i="2"/>
  <c r="D7246" i="2"/>
  <c r="F7245" i="2"/>
  <c r="E7245" i="2"/>
  <c r="D7245" i="2"/>
  <c r="F7244" i="2"/>
  <c r="E7244" i="2"/>
  <c r="D7244" i="2"/>
  <c r="F7243" i="2"/>
  <c r="E7243" i="2"/>
  <c r="D7243" i="2"/>
  <c r="F7242" i="2"/>
  <c r="E7242" i="2"/>
  <c r="D7242" i="2"/>
  <c r="F7241" i="2"/>
  <c r="E7241" i="2"/>
  <c r="D7241" i="2"/>
  <c r="F11073" i="2"/>
  <c r="E11073" i="2"/>
  <c r="D11073" i="2"/>
  <c r="F11089" i="2"/>
  <c r="E11089" i="2"/>
  <c r="D11089" i="2"/>
  <c r="F11088" i="2"/>
  <c r="E11088" i="2"/>
  <c r="D11088" i="2"/>
  <c r="F11087" i="2"/>
  <c r="E11087" i="2"/>
  <c r="D11087" i="2"/>
  <c r="F11086" i="2"/>
  <c r="E11086" i="2"/>
  <c r="D11086" i="2"/>
  <c r="F11084" i="2"/>
  <c r="E11084" i="2"/>
  <c r="D11084" i="2"/>
  <c r="F11085" i="2"/>
  <c r="E11085" i="2"/>
  <c r="D11085" i="2"/>
  <c r="F11083" i="2"/>
  <c r="E11083" i="2"/>
  <c r="D11083" i="2"/>
  <c r="F11082" i="2"/>
  <c r="E11082" i="2"/>
  <c r="D11082" i="2"/>
  <c r="F11081" i="2"/>
  <c r="E11081" i="2"/>
  <c r="D11081" i="2"/>
  <c r="F11080" i="2"/>
  <c r="E11080" i="2"/>
  <c r="D11080" i="2"/>
  <c r="F11079" i="2"/>
  <c r="E11079" i="2"/>
  <c r="D11079" i="2"/>
  <c r="F11078" i="2"/>
  <c r="E11078" i="2"/>
  <c r="D11078" i="2"/>
  <c r="F11076" i="2"/>
  <c r="E11076" i="2"/>
  <c r="D11076" i="2"/>
  <c r="F11077" i="2"/>
  <c r="E11077" i="2"/>
  <c r="D11077" i="2"/>
  <c r="F11075" i="2"/>
  <c r="E11075" i="2"/>
  <c r="D11075" i="2"/>
  <c r="F11074" i="2"/>
  <c r="E11074" i="2"/>
  <c r="D11074" i="2"/>
  <c r="F13297" i="2"/>
  <c r="E13297" i="2"/>
  <c r="D13297" i="2"/>
  <c r="F13296" i="2"/>
  <c r="E13296" i="2"/>
  <c r="D13296" i="2"/>
  <c r="F13295" i="2"/>
  <c r="E13295" i="2"/>
  <c r="D13295" i="2"/>
  <c r="F6279" i="2"/>
  <c r="E6279" i="2"/>
  <c r="D6279" i="2"/>
  <c r="F6278" i="2"/>
  <c r="E6278" i="2"/>
  <c r="D6278" i="2"/>
  <c r="F6277" i="2"/>
  <c r="E6277" i="2"/>
  <c r="D6277" i="2"/>
  <c r="F6276" i="2"/>
  <c r="E6276" i="2"/>
  <c r="D6276" i="2"/>
  <c r="F6275" i="2"/>
  <c r="E6275" i="2"/>
  <c r="D6275" i="2"/>
  <c r="F12202" i="2"/>
  <c r="E12202" i="2"/>
  <c r="D12202" i="2"/>
  <c r="F12205" i="2"/>
  <c r="E12205" i="2"/>
  <c r="D12205" i="2"/>
  <c r="F12204" i="2"/>
  <c r="E12204" i="2"/>
  <c r="D12204" i="2"/>
  <c r="F12203" i="2"/>
  <c r="E12203" i="2"/>
  <c r="D12203" i="2"/>
  <c r="F12201" i="2"/>
  <c r="E12201" i="2"/>
  <c r="D12201" i="2"/>
  <c r="F6048" i="2"/>
  <c r="E6048" i="2"/>
  <c r="D6048" i="2"/>
  <c r="F6047" i="2"/>
  <c r="E6047" i="2"/>
  <c r="D6047" i="2"/>
  <c r="F6046" i="2"/>
  <c r="E6046" i="2"/>
  <c r="D6046" i="2"/>
  <c r="F6045" i="2"/>
  <c r="E6045" i="2"/>
  <c r="D6045" i="2"/>
  <c r="F6044" i="2"/>
  <c r="E6044" i="2"/>
  <c r="D6044" i="2"/>
  <c r="F6043" i="2"/>
  <c r="E6043" i="2"/>
  <c r="D6043" i="2"/>
  <c r="F6042" i="2"/>
  <c r="E6042" i="2"/>
  <c r="D6042" i="2"/>
  <c r="F6041" i="2"/>
  <c r="E6041" i="2"/>
  <c r="D6041" i="2"/>
  <c r="F6040" i="2"/>
  <c r="E6040" i="2"/>
  <c r="D6040" i="2"/>
  <c r="F6039" i="2"/>
  <c r="E6039" i="2"/>
  <c r="D6039" i="2"/>
  <c r="F6038" i="2"/>
  <c r="E6038" i="2"/>
  <c r="D6038" i="2"/>
  <c r="F6037" i="2"/>
  <c r="E6037" i="2"/>
  <c r="D6037" i="2"/>
  <c r="F6036" i="2"/>
  <c r="E6036" i="2"/>
  <c r="D6036" i="2"/>
  <c r="F6035" i="2"/>
  <c r="E6035" i="2"/>
  <c r="D6035" i="2"/>
  <c r="F6034" i="2"/>
  <c r="E6034" i="2"/>
  <c r="D6034" i="2"/>
  <c r="F6033" i="2"/>
  <c r="E6033" i="2"/>
  <c r="D6033" i="2"/>
  <c r="F6032" i="2"/>
  <c r="E6032" i="2"/>
  <c r="D6032" i="2"/>
  <c r="F6031" i="2"/>
  <c r="E6031" i="2"/>
  <c r="D6031" i="2"/>
  <c r="F6030" i="2"/>
  <c r="E6030" i="2"/>
  <c r="D6030" i="2"/>
  <c r="F6029" i="2"/>
  <c r="E6029" i="2"/>
  <c r="D6029" i="2"/>
  <c r="F6028" i="2"/>
  <c r="E6028" i="2"/>
  <c r="D6028" i="2"/>
  <c r="F10328" i="2"/>
  <c r="E10328" i="2"/>
  <c r="D10328" i="2"/>
  <c r="F10333" i="2"/>
  <c r="E10333" i="2"/>
  <c r="D10333" i="2"/>
  <c r="F10332" i="2"/>
  <c r="E10332" i="2"/>
  <c r="D10332" i="2"/>
  <c r="F10331" i="2"/>
  <c r="E10331" i="2"/>
  <c r="D10331" i="2"/>
  <c r="F10330" i="2"/>
  <c r="E10330" i="2"/>
  <c r="D10330" i="2"/>
  <c r="F10329" i="2"/>
  <c r="E10329" i="2"/>
  <c r="D10329" i="2"/>
  <c r="F6310" i="2"/>
  <c r="E6310" i="2"/>
  <c r="D6310" i="2"/>
  <c r="F6309" i="2"/>
  <c r="E6309" i="2"/>
  <c r="D6309" i="2"/>
  <c r="F6308" i="2"/>
  <c r="E6308" i="2"/>
  <c r="D6308" i="2"/>
  <c r="F6307" i="2"/>
  <c r="E6307" i="2"/>
  <c r="D6307" i="2"/>
  <c r="F6306" i="2"/>
  <c r="E6306" i="2"/>
  <c r="D6306" i="2"/>
  <c r="F14407" i="2"/>
  <c r="E14407" i="2"/>
  <c r="D14407" i="2"/>
  <c r="F14406" i="2"/>
  <c r="E14406" i="2"/>
  <c r="D14406" i="2"/>
  <c r="F14405" i="2"/>
  <c r="E14405" i="2"/>
  <c r="D14405" i="2"/>
  <c r="F14404" i="2"/>
  <c r="E14404" i="2"/>
  <c r="D14404" i="2"/>
  <c r="F14403" i="2"/>
  <c r="E14403" i="2"/>
  <c r="D14403" i="2"/>
  <c r="F14402" i="2"/>
  <c r="E14402" i="2"/>
  <c r="D14402" i="2"/>
  <c r="F10317" i="2"/>
  <c r="E10317" i="2"/>
  <c r="D10317" i="2"/>
  <c r="F10316" i="2"/>
  <c r="E10316" i="2"/>
  <c r="D10316" i="2"/>
  <c r="F10315" i="2"/>
  <c r="E10315" i="2"/>
  <c r="D10315" i="2"/>
  <c r="F10314" i="2"/>
  <c r="E10314" i="2"/>
  <c r="D10314" i="2"/>
  <c r="F10313" i="2"/>
  <c r="E10313" i="2"/>
  <c r="D10313" i="2"/>
  <c r="F10312" i="2"/>
  <c r="E10312" i="2"/>
  <c r="D10312" i="2"/>
  <c r="F10311" i="2"/>
  <c r="E10311" i="2"/>
  <c r="D10311" i="2"/>
  <c r="F10310" i="2"/>
  <c r="E10310" i="2"/>
  <c r="D10310" i="2"/>
  <c r="F10309" i="2"/>
  <c r="E10309" i="2"/>
  <c r="D10309" i="2"/>
  <c r="F10308" i="2"/>
  <c r="E10308" i="2"/>
  <c r="D10308" i="2"/>
  <c r="F10307" i="2"/>
  <c r="E10307" i="2"/>
  <c r="D10307" i="2"/>
  <c r="F10386" i="2"/>
  <c r="E10386" i="2"/>
  <c r="D10386" i="2"/>
  <c r="F10385" i="2"/>
  <c r="E10385" i="2"/>
  <c r="D10385" i="2"/>
  <c r="F10384" i="2"/>
  <c r="E10384" i="2"/>
  <c r="D10384" i="2"/>
  <c r="F10383" i="2"/>
  <c r="E10383" i="2"/>
  <c r="D10383" i="2"/>
  <c r="F10382" i="2"/>
  <c r="E10382" i="2"/>
  <c r="D10382" i="2"/>
  <c r="F10381" i="2"/>
  <c r="E10381" i="2"/>
  <c r="D10381" i="2"/>
  <c r="F10379" i="2"/>
  <c r="E10379" i="2"/>
  <c r="D10379" i="2"/>
  <c r="F10380" i="2"/>
  <c r="E10380" i="2"/>
  <c r="D10380" i="2"/>
  <c r="F10378" i="2"/>
  <c r="E10378" i="2"/>
  <c r="D10378" i="2"/>
  <c r="F10377" i="2"/>
  <c r="E10377" i="2"/>
  <c r="D10377" i="2"/>
  <c r="F10376" i="2"/>
  <c r="E10376" i="2"/>
  <c r="D10376" i="2"/>
  <c r="F10375" i="2"/>
  <c r="E10375" i="2"/>
  <c r="D10375" i="2"/>
  <c r="F10374" i="2"/>
  <c r="E10374" i="2"/>
  <c r="D10374" i="2"/>
  <c r="F10373" i="2"/>
  <c r="E10373" i="2"/>
  <c r="D10373" i="2"/>
  <c r="F10372" i="2"/>
  <c r="E10372" i="2"/>
  <c r="D10372" i="2"/>
  <c r="F11918" i="2"/>
  <c r="E11918" i="2"/>
  <c r="D11918" i="2"/>
  <c r="F11925" i="2"/>
  <c r="E11925" i="2"/>
  <c r="D11925" i="2"/>
  <c r="F11924" i="2"/>
  <c r="E11924" i="2"/>
  <c r="D11924" i="2"/>
  <c r="F11923" i="2"/>
  <c r="E11923" i="2"/>
  <c r="D11923" i="2"/>
  <c r="F11922" i="2"/>
  <c r="E11922" i="2"/>
  <c r="D11922" i="2"/>
  <c r="F11921" i="2"/>
  <c r="E11921" i="2"/>
  <c r="D11921" i="2"/>
  <c r="F11920" i="2"/>
  <c r="E11920" i="2"/>
  <c r="D11920" i="2"/>
  <c r="F11919" i="2"/>
  <c r="E11919" i="2"/>
  <c r="D11919" i="2"/>
  <c r="F2368" i="2"/>
  <c r="E2368" i="2"/>
  <c r="D2368" i="2"/>
  <c r="F2367" i="2"/>
  <c r="E2367" i="2"/>
  <c r="D2367" i="2"/>
  <c r="F2366" i="2"/>
  <c r="E2366" i="2"/>
  <c r="D2366" i="2"/>
  <c r="F2365" i="2"/>
  <c r="E2365" i="2"/>
  <c r="D2365" i="2"/>
  <c r="F2364" i="2"/>
  <c r="E2364" i="2"/>
  <c r="D2364" i="2"/>
  <c r="F2363" i="2"/>
  <c r="E2363" i="2"/>
  <c r="D2363" i="2"/>
  <c r="F6018" i="2"/>
  <c r="E6018" i="2"/>
  <c r="D6018" i="2"/>
  <c r="F6027" i="2"/>
  <c r="E6027" i="2"/>
  <c r="D6027" i="2"/>
  <c r="F6026" i="2"/>
  <c r="E6026" i="2"/>
  <c r="D6026" i="2"/>
  <c r="F6025" i="2"/>
  <c r="E6025" i="2"/>
  <c r="D6025" i="2"/>
  <c r="F6024" i="2"/>
  <c r="E6024" i="2"/>
  <c r="D6024" i="2"/>
  <c r="F6023" i="2"/>
  <c r="E6023" i="2"/>
  <c r="D6023" i="2"/>
  <c r="F6022" i="2"/>
  <c r="E6022" i="2"/>
  <c r="D6022" i="2"/>
  <c r="F6021" i="2"/>
  <c r="E6021" i="2"/>
  <c r="D6021" i="2"/>
  <c r="F6020" i="2"/>
  <c r="E6020" i="2"/>
  <c r="D6020" i="2"/>
  <c r="F6019" i="2"/>
  <c r="E6019" i="2"/>
  <c r="D6019" i="2"/>
  <c r="F10420" i="2"/>
  <c r="E10420" i="2"/>
  <c r="D10420" i="2"/>
  <c r="F10419" i="2"/>
  <c r="E10419" i="2"/>
  <c r="D10419" i="2"/>
  <c r="F10418" i="2"/>
  <c r="E10418" i="2"/>
  <c r="D10418" i="2"/>
  <c r="F10417" i="2"/>
  <c r="E10417" i="2"/>
  <c r="D10417" i="2"/>
  <c r="F10416" i="2"/>
  <c r="E10416" i="2"/>
  <c r="D10416" i="2"/>
  <c r="F10415" i="2"/>
  <c r="E10415" i="2"/>
  <c r="D10415" i="2"/>
  <c r="F10414" i="2"/>
  <c r="E10414" i="2"/>
  <c r="D10414" i="2"/>
  <c r="F10413" i="2"/>
  <c r="E10413" i="2"/>
  <c r="D10413" i="2"/>
  <c r="F10412" i="2"/>
  <c r="E10412" i="2"/>
  <c r="D10412" i="2"/>
  <c r="F10411" i="2"/>
  <c r="E10411" i="2"/>
  <c r="D10411" i="2"/>
  <c r="F10410" i="2"/>
  <c r="E10410" i="2"/>
  <c r="D10410" i="2"/>
  <c r="F10409" i="2"/>
  <c r="E10409" i="2"/>
  <c r="D10409" i="2"/>
  <c r="F10408" i="2"/>
  <c r="E10408" i="2"/>
  <c r="D10408" i="2"/>
  <c r="F10407" i="2"/>
  <c r="E10407" i="2"/>
  <c r="D10407" i="2"/>
  <c r="F10406" i="2"/>
  <c r="E10406" i="2"/>
  <c r="D10406" i="2"/>
  <c r="F10405" i="2"/>
  <c r="E10405" i="2"/>
  <c r="D10405" i="2"/>
  <c r="F10404" i="2"/>
  <c r="E10404" i="2"/>
  <c r="D10404" i="2"/>
  <c r="F10403" i="2"/>
  <c r="E10403" i="2"/>
  <c r="D10403" i="2"/>
  <c r="F10402" i="2"/>
  <c r="E10402" i="2"/>
  <c r="D10402" i="2"/>
  <c r="F10401" i="2"/>
  <c r="E10401" i="2"/>
  <c r="D10401" i="2"/>
  <c r="F10400" i="2"/>
  <c r="E10400" i="2"/>
  <c r="D10400" i="2"/>
  <c r="F10399" i="2"/>
  <c r="E10399" i="2"/>
  <c r="D10399" i="2"/>
  <c r="F10398" i="2"/>
  <c r="E10398" i="2"/>
  <c r="D10398" i="2"/>
  <c r="F10397" i="2"/>
  <c r="E10397" i="2"/>
  <c r="D10397" i="2"/>
  <c r="F10396" i="2"/>
  <c r="E10396" i="2"/>
  <c r="D10396" i="2"/>
  <c r="F10395" i="2"/>
  <c r="E10395" i="2"/>
  <c r="D10395" i="2"/>
  <c r="F10394" i="2"/>
  <c r="E10394" i="2"/>
  <c r="D10394" i="2"/>
  <c r="F10393" i="2"/>
  <c r="E10393" i="2"/>
  <c r="D10393" i="2"/>
  <c r="F10392" i="2"/>
  <c r="E10392" i="2"/>
  <c r="D10392" i="2"/>
  <c r="F10391" i="2"/>
  <c r="E10391" i="2"/>
  <c r="D10391" i="2"/>
  <c r="F10390" i="2"/>
  <c r="E10390" i="2"/>
  <c r="D10390" i="2"/>
  <c r="F10389" i="2"/>
  <c r="E10389" i="2"/>
  <c r="D10389" i="2"/>
  <c r="F10388" i="2"/>
  <c r="E10388" i="2"/>
  <c r="D10388" i="2"/>
  <c r="F10387" i="2"/>
  <c r="E10387" i="2"/>
  <c r="D10387" i="2"/>
  <c r="F3440" i="2"/>
  <c r="E3440" i="2"/>
  <c r="D3440" i="2"/>
  <c r="F3439" i="2"/>
  <c r="E3439" i="2"/>
  <c r="D3439" i="2"/>
  <c r="F3438" i="2"/>
  <c r="E3438" i="2"/>
  <c r="D3438" i="2"/>
  <c r="F11622" i="2"/>
  <c r="E11622" i="2"/>
  <c r="D11622" i="2"/>
  <c r="F11638" i="2"/>
  <c r="E11638" i="2"/>
  <c r="D11638" i="2"/>
  <c r="F11637" i="2"/>
  <c r="E11637" i="2"/>
  <c r="D11637" i="2"/>
  <c r="F11636" i="2"/>
  <c r="E11636" i="2"/>
  <c r="D11636" i="2"/>
  <c r="F11635" i="2"/>
  <c r="E11635" i="2"/>
  <c r="D11635" i="2"/>
  <c r="F11634" i="2"/>
  <c r="E11634" i="2"/>
  <c r="D11634" i="2"/>
  <c r="F11633" i="2"/>
  <c r="E11633" i="2"/>
  <c r="D11633" i="2"/>
  <c r="F11632" i="2"/>
  <c r="E11632" i="2"/>
  <c r="D11632" i="2"/>
  <c r="F11631" i="2"/>
  <c r="E11631" i="2"/>
  <c r="D11631" i="2"/>
  <c r="F11630" i="2"/>
  <c r="E11630" i="2"/>
  <c r="D11630" i="2"/>
  <c r="F11629" i="2"/>
  <c r="E11629" i="2"/>
  <c r="D11629" i="2"/>
  <c r="F11628" i="2"/>
  <c r="E11628" i="2"/>
  <c r="D11628" i="2"/>
  <c r="F11627" i="2"/>
  <c r="E11627" i="2"/>
  <c r="D11627" i="2"/>
  <c r="F11626" i="2"/>
  <c r="E11626" i="2"/>
  <c r="D11626" i="2"/>
  <c r="F11625" i="2"/>
  <c r="E11625" i="2"/>
  <c r="D11625" i="2"/>
  <c r="F11624" i="2"/>
  <c r="E11624" i="2"/>
  <c r="D11624" i="2"/>
  <c r="F11623" i="2"/>
  <c r="E11623" i="2"/>
  <c r="D11623" i="2"/>
  <c r="F8643" i="2"/>
  <c r="E8643" i="2"/>
  <c r="D8643" i="2"/>
  <c r="F8642" i="2"/>
  <c r="E8642" i="2"/>
  <c r="D8642" i="2"/>
  <c r="F8641" i="2"/>
  <c r="E8641" i="2"/>
  <c r="D8641" i="2"/>
  <c r="F11621" i="2"/>
  <c r="E11621" i="2"/>
  <c r="D11621" i="2"/>
  <c r="F13252" i="2"/>
  <c r="E13252" i="2"/>
  <c r="D13252" i="2"/>
  <c r="F13261" i="2"/>
  <c r="E13261" i="2"/>
  <c r="D13261" i="2"/>
  <c r="F13260" i="2"/>
  <c r="E13260" i="2"/>
  <c r="D13260" i="2"/>
  <c r="F13259" i="2"/>
  <c r="E13259" i="2"/>
  <c r="D13259" i="2"/>
  <c r="F13258" i="2"/>
  <c r="E13258" i="2"/>
  <c r="D13258" i="2"/>
  <c r="F13257" i="2"/>
  <c r="E13257" i="2"/>
  <c r="D13257" i="2"/>
  <c r="F13256" i="2"/>
  <c r="E13256" i="2"/>
  <c r="D13256" i="2"/>
  <c r="F13255" i="2"/>
  <c r="E13255" i="2"/>
  <c r="D13255" i="2"/>
  <c r="F13254" i="2"/>
  <c r="E13254" i="2"/>
  <c r="D13254" i="2"/>
  <c r="F13253" i="2"/>
  <c r="E13253" i="2"/>
  <c r="D13253" i="2"/>
  <c r="F15494" i="2"/>
  <c r="E15494" i="2"/>
  <c r="D15494" i="2"/>
  <c r="F15495" i="2"/>
  <c r="E15495" i="2"/>
  <c r="D15495" i="2"/>
  <c r="F8624" i="2"/>
  <c r="E8624" i="2"/>
  <c r="D8624" i="2"/>
  <c r="F8640" i="2"/>
  <c r="E8640" i="2"/>
  <c r="D8640" i="2"/>
  <c r="F8639" i="2"/>
  <c r="E8639" i="2"/>
  <c r="D8639" i="2"/>
  <c r="F8638" i="2"/>
  <c r="E8638" i="2"/>
  <c r="D8638" i="2"/>
  <c r="F8637" i="2"/>
  <c r="E8637" i="2"/>
  <c r="D8637" i="2"/>
  <c r="F8636" i="2"/>
  <c r="E8636" i="2"/>
  <c r="D8636" i="2"/>
  <c r="F8635" i="2"/>
  <c r="E8635" i="2"/>
  <c r="D8635" i="2"/>
  <c r="F8634" i="2"/>
  <c r="E8634" i="2"/>
  <c r="D8634" i="2"/>
  <c r="F8633" i="2"/>
  <c r="E8633" i="2"/>
  <c r="D8633" i="2"/>
  <c r="F8632" i="2"/>
  <c r="E8632" i="2"/>
  <c r="D8632" i="2"/>
  <c r="F8631" i="2"/>
  <c r="E8631" i="2"/>
  <c r="D8631" i="2"/>
  <c r="F8630" i="2"/>
  <c r="E8630" i="2"/>
  <c r="D8630" i="2"/>
  <c r="F8629" i="2"/>
  <c r="E8629" i="2"/>
  <c r="D8629" i="2"/>
  <c r="F8628" i="2"/>
  <c r="E8628" i="2"/>
  <c r="D8628" i="2"/>
  <c r="F8627" i="2"/>
  <c r="E8627" i="2"/>
  <c r="D8627" i="2"/>
  <c r="F8626" i="2"/>
  <c r="E8626" i="2"/>
  <c r="D8626" i="2"/>
  <c r="F8625" i="2"/>
  <c r="E8625" i="2"/>
  <c r="D8625" i="2"/>
  <c r="F6481" i="2"/>
  <c r="E6481" i="2"/>
  <c r="D6481" i="2"/>
  <c r="F6516" i="2"/>
  <c r="E6516" i="2"/>
  <c r="D6516" i="2"/>
  <c r="F6515" i="2"/>
  <c r="E6515" i="2"/>
  <c r="D6515" i="2"/>
  <c r="F6514" i="2"/>
  <c r="E6514" i="2"/>
  <c r="D6514" i="2"/>
  <c r="F6513" i="2"/>
  <c r="E6513" i="2"/>
  <c r="D6513" i="2"/>
  <c r="F6512" i="2"/>
  <c r="E6512" i="2"/>
  <c r="D6512" i="2"/>
  <c r="F6511" i="2"/>
  <c r="E6511" i="2"/>
  <c r="D6511" i="2"/>
  <c r="F6510" i="2"/>
  <c r="E6510" i="2"/>
  <c r="D6510" i="2"/>
  <c r="F6509" i="2"/>
  <c r="E6509" i="2"/>
  <c r="D6509" i="2"/>
  <c r="F6508" i="2"/>
  <c r="E6508" i="2"/>
  <c r="D6508" i="2"/>
  <c r="F6507" i="2"/>
  <c r="E6507" i="2"/>
  <c r="D6507" i="2"/>
  <c r="F6506" i="2"/>
  <c r="E6506" i="2"/>
  <c r="D6506" i="2"/>
  <c r="F6505" i="2"/>
  <c r="E6505" i="2"/>
  <c r="D6505" i="2"/>
  <c r="F6504" i="2"/>
  <c r="E6504" i="2"/>
  <c r="D6504" i="2"/>
  <c r="F6503" i="2"/>
  <c r="E6503" i="2"/>
  <c r="D6503" i="2"/>
  <c r="F6502" i="2"/>
  <c r="E6502" i="2"/>
  <c r="D6502" i="2"/>
  <c r="F6501" i="2"/>
  <c r="E6501" i="2"/>
  <c r="D6501" i="2"/>
  <c r="F6500" i="2"/>
  <c r="E6500" i="2"/>
  <c r="D6500" i="2"/>
  <c r="F6499" i="2"/>
  <c r="E6499" i="2"/>
  <c r="D6499" i="2"/>
  <c r="F6498" i="2"/>
  <c r="E6498" i="2"/>
  <c r="D6498" i="2"/>
  <c r="F6497" i="2"/>
  <c r="E6497" i="2"/>
  <c r="D6497" i="2"/>
  <c r="F6496" i="2"/>
  <c r="E6496" i="2"/>
  <c r="D6496" i="2"/>
  <c r="F6495" i="2"/>
  <c r="E6495" i="2"/>
  <c r="D6495" i="2"/>
  <c r="F6494" i="2"/>
  <c r="E6494" i="2"/>
  <c r="D6494" i="2"/>
  <c r="F6493" i="2"/>
  <c r="E6493" i="2"/>
  <c r="D6493" i="2"/>
  <c r="F6492" i="2"/>
  <c r="E6492" i="2"/>
  <c r="D6492" i="2"/>
  <c r="F6491" i="2"/>
  <c r="E6491" i="2"/>
  <c r="D6491" i="2"/>
  <c r="F6490" i="2"/>
  <c r="E6490" i="2"/>
  <c r="D6490" i="2"/>
  <c r="F6488" i="2"/>
  <c r="E6488" i="2"/>
  <c r="D6488" i="2"/>
  <c r="F6489" i="2"/>
  <c r="E6489" i="2"/>
  <c r="D6489" i="2"/>
  <c r="F6487" i="2"/>
  <c r="E6487" i="2"/>
  <c r="D6487" i="2"/>
  <c r="F6486" i="2"/>
  <c r="E6486" i="2"/>
  <c r="D6486" i="2"/>
  <c r="F6485" i="2"/>
  <c r="E6485" i="2"/>
  <c r="D6485" i="2"/>
  <c r="F6484" i="2"/>
  <c r="E6484" i="2"/>
  <c r="D6484" i="2"/>
  <c r="F6483" i="2"/>
  <c r="E6483" i="2"/>
  <c r="D6483" i="2"/>
  <c r="F6482" i="2"/>
  <c r="E6482" i="2"/>
  <c r="D6482" i="2"/>
  <c r="F6533" i="2"/>
  <c r="E6533" i="2"/>
  <c r="D6533" i="2"/>
  <c r="F6553" i="2"/>
  <c r="E6553" i="2"/>
  <c r="D6553" i="2"/>
  <c r="F6552" i="2"/>
  <c r="E6552" i="2"/>
  <c r="D6552" i="2"/>
  <c r="F6551" i="2"/>
  <c r="E6551" i="2"/>
  <c r="D6551" i="2"/>
  <c r="F6550" i="2"/>
  <c r="E6550" i="2"/>
  <c r="D6550" i="2"/>
  <c r="F6549" i="2"/>
  <c r="E6549" i="2"/>
  <c r="D6549" i="2"/>
  <c r="F6548" i="2"/>
  <c r="E6548" i="2"/>
  <c r="D6548" i="2"/>
  <c r="F6547" i="2"/>
  <c r="E6547" i="2"/>
  <c r="D6547" i="2"/>
  <c r="F6546" i="2"/>
  <c r="E6546" i="2"/>
  <c r="D6546" i="2"/>
  <c r="F6545" i="2"/>
  <c r="E6545" i="2"/>
  <c r="D6545" i="2"/>
  <c r="F6544" i="2"/>
  <c r="E6544" i="2"/>
  <c r="D6544" i="2"/>
  <c r="F6543" i="2"/>
  <c r="E6543" i="2"/>
  <c r="D6543" i="2"/>
  <c r="F6541" i="2"/>
  <c r="E6541" i="2"/>
  <c r="D6541" i="2"/>
  <c r="F6542" i="2"/>
  <c r="E6542" i="2"/>
  <c r="D6542" i="2"/>
  <c r="F6540" i="2"/>
  <c r="E6540" i="2"/>
  <c r="D6540" i="2"/>
  <c r="F6539" i="2"/>
  <c r="E6539" i="2"/>
  <c r="D6539" i="2"/>
  <c r="F6538" i="2"/>
  <c r="E6538" i="2"/>
  <c r="D6538" i="2"/>
  <c r="F6537" i="2"/>
  <c r="E6537" i="2"/>
  <c r="D6537" i="2"/>
  <c r="F6536" i="2"/>
  <c r="E6536" i="2"/>
  <c r="D6536" i="2"/>
  <c r="F6535" i="2"/>
  <c r="E6535" i="2"/>
  <c r="D6535" i="2"/>
  <c r="F6534" i="2"/>
  <c r="E6534" i="2"/>
  <c r="D6534" i="2"/>
  <c r="F10465" i="2"/>
  <c r="E10465" i="2"/>
  <c r="D10465" i="2"/>
  <c r="F10464" i="2"/>
  <c r="E10464" i="2"/>
  <c r="D10464" i="2"/>
  <c r="F10463" i="2"/>
  <c r="E10463" i="2"/>
  <c r="D10463" i="2"/>
  <c r="F10462" i="2"/>
  <c r="E10462" i="2"/>
  <c r="D10462" i="2"/>
  <c r="F10461" i="2"/>
  <c r="E10461" i="2"/>
  <c r="D10461" i="2"/>
  <c r="F10460" i="2"/>
  <c r="E10460" i="2"/>
  <c r="D10460" i="2"/>
  <c r="F10459" i="2"/>
  <c r="E10459" i="2"/>
  <c r="D10459" i="2"/>
  <c r="F10458" i="2"/>
  <c r="E10458" i="2"/>
  <c r="D10458" i="2"/>
  <c r="F10457" i="2"/>
  <c r="E10457" i="2"/>
  <c r="D10457" i="2"/>
  <c r="F10456" i="2"/>
  <c r="E10456" i="2"/>
  <c r="D10456" i="2"/>
  <c r="F10455" i="2"/>
  <c r="E10455" i="2"/>
  <c r="D10455" i="2"/>
  <c r="F10454" i="2"/>
  <c r="E10454" i="2"/>
  <c r="D10454" i="2"/>
  <c r="F10453" i="2"/>
  <c r="E10453" i="2"/>
  <c r="D10453" i="2"/>
  <c r="F10452" i="2"/>
  <c r="E10452" i="2"/>
  <c r="D10452" i="2"/>
  <c r="F10451" i="2"/>
  <c r="E10451" i="2"/>
  <c r="D10451" i="2"/>
  <c r="F10450" i="2"/>
  <c r="E10450" i="2"/>
  <c r="D10450" i="2"/>
  <c r="F10449" i="2"/>
  <c r="E10449" i="2"/>
  <c r="D10449" i="2"/>
  <c r="F10448" i="2"/>
  <c r="E10448" i="2"/>
  <c r="D10448" i="2"/>
  <c r="F10447" i="2"/>
  <c r="E10447" i="2"/>
  <c r="D10447" i="2"/>
  <c r="F10446" i="2"/>
  <c r="E10446" i="2"/>
  <c r="D10446" i="2"/>
  <c r="F10445" i="2"/>
  <c r="E10445" i="2"/>
  <c r="D10445" i="2"/>
  <c r="F10444" i="2"/>
  <c r="E10444" i="2"/>
  <c r="D10444" i="2"/>
  <c r="F10443" i="2"/>
  <c r="E10443" i="2"/>
  <c r="D10443" i="2"/>
  <c r="F10442" i="2"/>
  <c r="E10442" i="2"/>
  <c r="D10442" i="2"/>
  <c r="F10441" i="2"/>
  <c r="E10441" i="2"/>
  <c r="D10441" i="2"/>
  <c r="F10440" i="2"/>
  <c r="E10440" i="2"/>
  <c r="D10440" i="2"/>
  <c r="F10439" i="2"/>
  <c r="E10439" i="2"/>
  <c r="D10439" i="2"/>
  <c r="F10438" i="2"/>
  <c r="E10438" i="2"/>
  <c r="D10438" i="2"/>
  <c r="F12384" i="2"/>
  <c r="E12384" i="2"/>
  <c r="D12384" i="2"/>
  <c r="F12401" i="2"/>
  <c r="E12401" i="2"/>
  <c r="D12401" i="2"/>
  <c r="F12400" i="2"/>
  <c r="E12400" i="2"/>
  <c r="D12400" i="2"/>
  <c r="F12399" i="2"/>
  <c r="E12399" i="2"/>
  <c r="D12399" i="2"/>
  <c r="F12398" i="2"/>
  <c r="E12398" i="2"/>
  <c r="D12398" i="2"/>
  <c r="F12397" i="2"/>
  <c r="E12397" i="2"/>
  <c r="D12397" i="2"/>
  <c r="F12396" i="2"/>
  <c r="E12396" i="2"/>
  <c r="D12396" i="2"/>
  <c r="F12395" i="2"/>
  <c r="E12395" i="2"/>
  <c r="D12395" i="2"/>
  <c r="F12394" i="2"/>
  <c r="E12394" i="2"/>
  <c r="D12394" i="2"/>
  <c r="F12393" i="2"/>
  <c r="E12393" i="2"/>
  <c r="D12393" i="2"/>
  <c r="F12392" i="2"/>
  <c r="E12392" i="2"/>
  <c r="D12392" i="2"/>
  <c r="F12391" i="2"/>
  <c r="E12391" i="2"/>
  <c r="D12391" i="2"/>
  <c r="F12390" i="2"/>
  <c r="E12390" i="2"/>
  <c r="D12390" i="2"/>
  <c r="F12389" i="2"/>
  <c r="E12389" i="2"/>
  <c r="D12389" i="2"/>
  <c r="F12388" i="2"/>
  <c r="E12388" i="2"/>
  <c r="D12388" i="2"/>
  <c r="F12387" i="2"/>
  <c r="E12387" i="2"/>
  <c r="D12387" i="2"/>
  <c r="F12386" i="2"/>
  <c r="E12386" i="2"/>
  <c r="D12386" i="2"/>
  <c r="F12385" i="2"/>
  <c r="E12385" i="2"/>
  <c r="D12385" i="2"/>
  <c r="F12565" i="2"/>
  <c r="E12565" i="2"/>
  <c r="D12565" i="2"/>
  <c r="F12564" i="2"/>
  <c r="E12564" i="2"/>
  <c r="D12564" i="2"/>
  <c r="F12563" i="2"/>
  <c r="E12563" i="2"/>
  <c r="D12563" i="2"/>
  <c r="F12562" i="2"/>
  <c r="E12562" i="2"/>
  <c r="D12562" i="2"/>
  <c r="F12561" i="2"/>
  <c r="E12561" i="2"/>
  <c r="D12561" i="2"/>
  <c r="F12560" i="2"/>
  <c r="E12560" i="2"/>
  <c r="D12560" i="2"/>
  <c r="F12559" i="2"/>
  <c r="E12559" i="2"/>
  <c r="D12559" i="2"/>
  <c r="F12558" i="2"/>
  <c r="E12558" i="2"/>
  <c r="D12558" i="2"/>
  <c r="F12557" i="2"/>
  <c r="E12557" i="2"/>
  <c r="D12557" i="2"/>
  <c r="F12556" i="2"/>
  <c r="E12556" i="2"/>
  <c r="D12556" i="2"/>
  <c r="F12555" i="2"/>
  <c r="E12555" i="2"/>
  <c r="D12555" i="2"/>
  <c r="F12554" i="2"/>
  <c r="E12554" i="2"/>
  <c r="D12554" i="2"/>
  <c r="F12553" i="2"/>
  <c r="E12553" i="2"/>
  <c r="D12553" i="2"/>
  <c r="F12552" i="2"/>
  <c r="E12552" i="2"/>
  <c r="D12552" i="2"/>
  <c r="F12551" i="2"/>
  <c r="E12551" i="2"/>
  <c r="D12551" i="2"/>
  <c r="F6908" i="2"/>
  <c r="E6908" i="2"/>
  <c r="D6908" i="2"/>
  <c r="F6913" i="2"/>
  <c r="E6913" i="2"/>
  <c r="D6913" i="2"/>
  <c r="F6912" i="2"/>
  <c r="E6912" i="2"/>
  <c r="D6912" i="2"/>
  <c r="F6911" i="2"/>
  <c r="E6911" i="2"/>
  <c r="D6911" i="2"/>
  <c r="F6910" i="2"/>
  <c r="E6910" i="2"/>
  <c r="D6910" i="2"/>
  <c r="F6909" i="2"/>
  <c r="E6909" i="2"/>
  <c r="D6909" i="2"/>
  <c r="F7267" i="2"/>
  <c r="E7267" i="2"/>
  <c r="D7267" i="2"/>
  <c r="F7266" i="2"/>
  <c r="E7266" i="2"/>
  <c r="D7266" i="2"/>
  <c r="F7265" i="2"/>
  <c r="E7265" i="2"/>
  <c r="D7265" i="2"/>
  <c r="F7264" i="2"/>
  <c r="E7264" i="2"/>
  <c r="D7264" i="2"/>
  <c r="F7263" i="2"/>
  <c r="E7263" i="2"/>
  <c r="D7263" i="2"/>
  <c r="F7262" i="2"/>
  <c r="E7262" i="2"/>
  <c r="D7262" i="2"/>
  <c r="F7261" i="2"/>
  <c r="E7261" i="2"/>
  <c r="D7261" i="2"/>
  <c r="F7260" i="2"/>
  <c r="E7260" i="2"/>
  <c r="D7260" i="2"/>
  <c r="F7259" i="2"/>
  <c r="E7259" i="2"/>
  <c r="D7259" i="2"/>
  <c r="F7258" i="2"/>
  <c r="E7258" i="2"/>
  <c r="D7258" i="2"/>
  <c r="F7257" i="2"/>
  <c r="E7257" i="2"/>
  <c r="D7257" i="2"/>
  <c r="F7256" i="2"/>
  <c r="E7256" i="2"/>
  <c r="D7256" i="2"/>
  <c r="F7255" i="2"/>
  <c r="E7255" i="2"/>
  <c r="D7255" i="2"/>
  <c r="F2450" i="2"/>
  <c r="E2450" i="2"/>
  <c r="D2450" i="2"/>
  <c r="F2449" i="2"/>
  <c r="E2449" i="2"/>
  <c r="D2449" i="2"/>
  <c r="F2448" i="2"/>
  <c r="E2448" i="2"/>
  <c r="D2448" i="2"/>
  <c r="F2447" i="2"/>
  <c r="E2447" i="2"/>
  <c r="D2447" i="2"/>
  <c r="F2446" i="2"/>
  <c r="E2446" i="2"/>
  <c r="D2446" i="2"/>
  <c r="F2445" i="2"/>
  <c r="E2445" i="2"/>
  <c r="D2445" i="2"/>
  <c r="F2444" i="2"/>
  <c r="E2444" i="2"/>
  <c r="D2444" i="2"/>
  <c r="F2443" i="2"/>
  <c r="E2443" i="2"/>
  <c r="D2443" i="2"/>
  <c r="F2442" i="2"/>
  <c r="E2442" i="2"/>
  <c r="D2442" i="2"/>
  <c r="F2441" i="2"/>
  <c r="E2441" i="2"/>
  <c r="D2441" i="2"/>
  <c r="F2440" i="2"/>
  <c r="E2440" i="2"/>
  <c r="D2440" i="2"/>
  <c r="F2439" i="2"/>
  <c r="E2439" i="2"/>
  <c r="D2439" i="2"/>
  <c r="F2438" i="2"/>
  <c r="E2438" i="2"/>
  <c r="D2438" i="2"/>
  <c r="F8653" i="2"/>
  <c r="E8653" i="2"/>
  <c r="D8653" i="2"/>
  <c r="F8652" i="2"/>
  <c r="E8652" i="2"/>
  <c r="D8652" i="2"/>
  <c r="F8651" i="2"/>
  <c r="E8651" i="2"/>
  <c r="D8651" i="2"/>
  <c r="F8650" i="2"/>
  <c r="E8650" i="2"/>
  <c r="D8650" i="2"/>
  <c r="F8649" i="2"/>
  <c r="E8649" i="2"/>
  <c r="D8649" i="2"/>
  <c r="F8648" i="2"/>
  <c r="E8648" i="2"/>
  <c r="D8648" i="2"/>
  <c r="F8647" i="2"/>
  <c r="E8647" i="2"/>
  <c r="D8647" i="2"/>
  <c r="F8646" i="2"/>
  <c r="E8646" i="2"/>
  <c r="D8646" i="2"/>
  <c r="F8645" i="2"/>
  <c r="E8645" i="2"/>
  <c r="D8645" i="2"/>
  <c r="F8644" i="2"/>
  <c r="E8644" i="2"/>
  <c r="D8644" i="2"/>
  <c r="F8899" i="2"/>
  <c r="E8899" i="2"/>
  <c r="D8899" i="2"/>
  <c r="F8898" i="2"/>
  <c r="E8898" i="2"/>
  <c r="D8898" i="2"/>
  <c r="F8897" i="2"/>
  <c r="E8897" i="2"/>
  <c r="D8897" i="2"/>
  <c r="F8896" i="2"/>
  <c r="E8896" i="2"/>
  <c r="D8896" i="2"/>
  <c r="F8895" i="2"/>
  <c r="E8895" i="2"/>
  <c r="D8895" i="2"/>
  <c r="F8894" i="2"/>
  <c r="E8894" i="2"/>
  <c r="D8894" i="2"/>
  <c r="F8893" i="2"/>
  <c r="E8893" i="2"/>
  <c r="D8893" i="2"/>
  <c r="F8892" i="2"/>
  <c r="E8892" i="2"/>
  <c r="D8892" i="2"/>
  <c r="F8891" i="2"/>
  <c r="E8891" i="2"/>
  <c r="D8891" i="2"/>
  <c r="F8890" i="2"/>
  <c r="E8890" i="2"/>
  <c r="D8890" i="2"/>
  <c r="F8889" i="2"/>
  <c r="E8889" i="2"/>
  <c r="D8889" i="2"/>
  <c r="F8888" i="2"/>
  <c r="E8888" i="2"/>
  <c r="D8888" i="2"/>
  <c r="F8887" i="2"/>
  <c r="E8887" i="2"/>
  <c r="D8887" i="2"/>
  <c r="F8886" i="2"/>
  <c r="E8886" i="2"/>
  <c r="D8886" i="2"/>
  <c r="F8885" i="2"/>
  <c r="E8885" i="2"/>
  <c r="D8885" i="2"/>
  <c r="F8884" i="2"/>
  <c r="E8884" i="2"/>
  <c r="D8884" i="2"/>
  <c r="F8883" i="2"/>
  <c r="E8883" i="2"/>
  <c r="D8883" i="2"/>
  <c r="F8882" i="2"/>
  <c r="E8882" i="2"/>
  <c r="D8882" i="2"/>
  <c r="F8881" i="2"/>
  <c r="E8881" i="2"/>
  <c r="D8881" i="2"/>
  <c r="F8880" i="2"/>
  <c r="E8880" i="2"/>
  <c r="D8880" i="2"/>
  <c r="F6288" i="2"/>
  <c r="E6288" i="2"/>
  <c r="D6288" i="2"/>
  <c r="F6287" i="2"/>
  <c r="E6287" i="2"/>
  <c r="D6287" i="2"/>
  <c r="F6286" i="2"/>
  <c r="E6286" i="2"/>
  <c r="D6286" i="2"/>
  <c r="F6285" i="2"/>
  <c r="E6285" i="2"/>
  <c r="D6285" i="2"/>
  <c r="F11983" i="2"/>
  <c r="E11983" i="2"/>
  <c r="D11983" i="2"/>
  <c r="F11985" i="2"/>
  <c r="E11985" i="2"/>
  <c r="D11985" i="2"/>
  <c r="F11984" i="2"/>
  <c r="E11984" i="2"/>
  <c r="D11984" i="2"/>
  <c r="F11974" i="2"/>
  <c r="E11974" i="2"/>
  <c r="D11974" i="2"/>
  <c r="F11982" i="2"/>
  <c r="E11982" i="2"/>
  <c r="D11982" i="2"/>
  <c r="F11981" i="2"/>
  <c r="E11981" i="2"/>
  <c r="D11981" i="2"/>
  <c r="F11980" i="2"/>
  <c r="E11980" i="2"/>
  <c r="D11980" i="2"/>
  <c r="F11979" i="2"/>
  <c r="E11979" i="2"/>
  <c r="D11979" i="2"/>
  <c r="F11978" i="2"/>
  <c r="E11978" i="2"/>
  <c r="D11978" i="2"/>
  <c r="F11977" i="2"/>
  <c r="E11977" i="2"/>
  <c r="D11977" i="2"/>
  <c r="F11976" i="2"/>
  <c r="E11976" i="2"/>
  <c r="D11976" i="2"/>
  <c r="F11975" i="2"/>
  <c r="E11975" i="2"/>
  <c r="D11975" i="2"/>
  <c r="F11973" i="2"/>
  <c r="E11973" i="2"/>
  <c r="D11973" i="2"/>
  <c r="F8416" i="2"/>
  <c r="E8416" i="2"/>
  <c r="D8416" i="2"/>
  <c r="F8415" i="2"/>
  <c r="E8415" i="2"/>
  <c r="D8415" i="2"/>
  <c r="F8414" i="2"/>
  <c r="E8414" i="2"/>
  <c r="D8414" i="2"/>
  <c r="F8413" i="2"/>
  <c r="E8413" i="2"/>
  <c r="D8413" i="2"/>
  <c r="F8412" i="2"/>
  <c r="E8412" i="2"/>
  <c r="D8412" i="2"/>
  <c r="F8411" i="2"/>
  <c r="E8411" i="2"/>
  <c r="D8411" i="2"/>
  <c r="F8410" i="2"/>
  <c r="E8410" i="2"/>
  <c r="D8410" i="2"/>
  <c r="F5712" i="2"/>
  <c r="E5712" i="2"/>
  <c r="D5712" i="2"/>
  <c r="F5714" i="2"/>
  <c r="E5714" i="2"/>
  <c r="D5714" i="2"/>
  <c r="F5713" i="2"/>
  <c r="E5713" i="2"/>
  <c r="D5713" i="2"/>
  <c r="F6057" i="2"/>
  <c r="E6057" i="2"/>
  <c r="D6057" i="2"/>
  <c r="F6056" i="2"/>
  <c r="E6056" i="2"/>
  <c r="D6056" i="2"/>
  <c r="F6055" i="2"/>
  <c r="E6055" i="2"/>
  <c r="D6055" i="2"/>
  <c r="F6054" i="2"/>
  <c r="E6054" i="2"/>
  <c r="D6054" i="2"/>
  <c r="F6053" i="2"/>
  <c r="E6053" i="2"/>
  <c r="D6053" i="2"/>
  <c r="F6961" i="2"/>
  <c r="E6961" i="2"/>
  <c r="D6961" i="2"/>
  <c r="F6960" i="2"/>
  <c r="E6960" i="2"/>
  <c r="D6960" i="2"/>
  <c r="F6959" i="2"/>
  <c r="E6959" i="2"/>
  <c r="D6959" i="2"/>
  <c r="F6958" i="2"/>
  <c r="E6958" i="2"/>
  <c r="D6958" i="2"/>
  <c r="F14288" i="2"/>
  <c r="E14288" i="2"/>
  <c r="D14288" i="2"/>
  <c r="F14287" i="2"/>
  <c r="E14287" i="2"/>
  <c r="D14287" i="2"/>
  <c r="F16318" i="2"/>
  <c r="E16318" i="2"/>
  <c r="D16318" i="2"/>
  <c r="F16317" i="2"/>
  <c r="E16317" i="2"/>
  <c r="D16317" i="2"/>
  <c r="F4289" i="2"/>
  <c r="E4289" i="2"/>
  <c r="D4289" i="2"/>
  <c r="F4288" i="2"/>
  <c r="E4288" i="2"/>
  <c r="D4288" i="2"/>
  <c r="F4287" i="2"/>
  <c r="E4287" i="2"/>
  <c r="D4287" i="2"/>
  <c r="F4286" i="2"/>
  <c r="E4286" i="2"/>
  <c r="D4286" i="2"/>
  <c r="F4285" i="2"/>
  <c r="E4285" i="2"/>
  <c r="D4285" i="2"/>
  <c r="F4284" i="2"/>
  <c r="E4284" i="2"/>
  <c r="D4284" i="2"/>
  <c r="F4283" i="2"/>
  <c r="E4283" i="2"/>
  <c r="D4283" i="2"/>
  <c r="F4282" i="2"/>
  <c r="E4282" i="2"/>
  <c r="D4282" i="2"/>
  <c r="F4281" i="2"/>
  <c r="E4281" i="2"/>
  <c r="D4281" i="2"/>
  <c r="F4280" i="2"/>
  <c r="E4280" i="2"/>
  <c r="D4280" i="2"/>
  <c r="F4279" i="2"/>
  <c r="E4279" i="2"/>
  <c r="D4279" i="2"/>
  <c r="F7333" i="2"/>
  <c r="E7333" i="2"/>
  <c r="D7333" i="2"/>
  <c r="F7331" i="2"/>
  <c r="E7331" i="2"/>
  <c r="D7331" i="2"/>
  <c r="F7332" i="2"/>
  <c r="E7332" i="2"/>
  <c r="D7332" i="2"/>
  <c r="F3456" i="2"/>
  <c r="E3456" i="2"/>
  <c r="D3456" i="2"/>
  <c r="F3465" i="2"/>
  <c r="E3465" i="2"/>
  <c r="D3465" i="2"/>
  <c r="F3464" i="2"/>
  <c r="E3464" i="2"/>
  <c r="D3464" i="2"/>
  <c r="F3463" i="2"/>
  <c r="E3463" i="2"/>
  <c r="D3463" i="2"/>
  <c r="F3462" i="2"/>
  <c r="E3462" i="2"/>
  <c r="D3462" i="2"/>
  <c r="F3461" i="2"/>
  <c r="E3461" i="2"/>
  <c r="D3461" i="2"/>
  <c r="F3460" i="2"/>
  <c r="E3460" i="2"/>
  <c r="D3460" i="2"/>
  <c r="F3459" i="2"/>
  <c r="E3459" i="2"/>
  <c r="D3459" i="2"/>
  <c r="F3458" i="2"/>
  <c r="E3458" i="2"/>
  <c r="D3458" i="2"/>
  <c r="F3457" i="2"/>
  <c r="E3457" i="2"/>
  <c r="D3457" i="2"/>
  <c r="F2452" i="2"/>
  <c r="E2452" i="2"/>
  <c r="D2452" i="2"/>
  <c r="F2459" i="2"/>
  <c r="E2459" i="2"/>
  <c r="D2459" i="2"/>
  <c r="F2458" i="2"/>
  <c r="E2458" i="2"/>
  <c r="D2458" i="2"/>
  <c r="F2457" i="2"/>
  <c r="E2457" i="2"/>
  <c r="D2457" i="2"/>
  <c r="F2456" i="2"/>
  <c r="E2456" i="2"/>
  <c r="D2456" i="2"/>
  <c r="F2455" i="2"/>
  <c r="E2455" i="2"/>
  <c r="D2455" i="2"/>
  <c r="F2454" i="2"/>
  <c r="E2454" i="2"/>
  <c r="D2454" i="2"/>
  <c r="F2453" i="2"/>
  <c r="E2453" i="2"/>
  <c r="D2453" i="2"/>
  <c r="F2451" i="2"/>
  <c r="E2451" i="2"/>
  <c r="D2451" i="2"/>
  <c r="F6295" i="2"/>
  <c r="E6295" i="2"/>
  <c r="D6295" i="2"/>
  <c r="F6294" i="2"/>
  <c r="E6294" i="2"/>
  <c r="D6294" i="2"/>
  <c r="F6293" i="2"/>
  <c r="E6293" i="2"/>
  <c r="D6293" i="2"/>
  <c r="F11841" i="2"/>
  <c r="E11841" i="2"/>
  <c r="D11841" i="2"/>
  <c r="F2460" i="2"/>
  <c r="E2460" i="2"/>
  <c r="D2460" i="2"/>
  <c r="F2461" i="2"/>
  <c r="E2461" i="2"/>
  <c r="D2461" i="2"/>
  <c r="F8879" i="2"/>
  <c r="E8879" i="2"/>
  <c r="D8879" i="2"/>
  <c r="F8878" i="2"/>
  <c r="E8878" i="2"/>
  <c r="D8878" i="2"/>
  <c r="F8877" i="2"/>
  <c r="E8877" i="2"/>
  <c r="D8877" i="2"/>
  <c r="F8876" i="2"/>
  <c r="E8876" i="2"/>
  <c r="D8876" i="2"/>
  <c r="F8875" i="2"/>
  <c r="E8875" i="2"/>
  <c r="D8875" i="2"/>
  <c r="F8874" i="2"/>
  <c r="E8874" i="2"/>
  <c r="D8874" i="2"/>
  <c r="F8873" i="2"/>
  <c r="E8873" i="2"/>
  <c r="D8873" i="2"/>
  <c r="F11644" i="2"/>
  <c r="E11644" i="2"/>
  <c r="D11644" i="2"/>
  <c r="F11643" i="2"/>
  <c r="E11643" i="2"/>
  <c r="D11643" i="2"/>
  <c r="F11642" i="2"/>
  <c r="E11642" i="2"/>
  <c r="D11642" i="2"/>
  <c r="F11641" i="2"/>
  <c r="E11641" i="2"/>
  <c r="D11641" i="2"/>
  <c r="F11640" i="2"/>
  <c r="E11640" i="2"/>
  <c r="D11640" i="2"/>
  <c r="F11639" i="2"/>
  <c r="E11639" i="2"/>
  <c r="D11639" i="2"/>
  <c r="F7591" i="2"/>
  <c r="E7591" i="2"/>
  <c r="D7591" i="2"/>
  <c r="F7594" i="2"/>
  <c r="E7594" i="2"/>
  <c r="D7594" i="2"/>
  <c r="F7593" i="2"/>
  <c r="E7593" i="2"/>
  <c r="D7593" i="2"/>
  <c r="F7592" i="2"/>
  <c r="E7592" i="2"/>
  <c r="D7592" i="2"/>
  <c r="F7590" i="2"/>
  <c r="E7590" i="2"/>
  <c r="D7590" i="2"/>
  <c r="F6566" i="2"/>
  <c r="E6566" i="2"/>
  <c r="D6566" i="2"/>
  <c r="F6568" i="2"/>
  <c r="E6568" i="2"/>
  <c r="D6568" i="2"/>
  <c r="F6567" i="2"/>
  <c r="E6567" i="2"/>
  <c r="D6567" i="2"/>
  <c r="F6565" i="2"/>
  <c r="E6565" i="2"/>
  <c r="D6565" i="2"/>
  <c r="F12726" i="2"/>
  <c r="E12726" i="2"/>
  <c r="D12726" i="2"/>
  <c r="F12725" i="2"/>
  <c r="E12725" i="2"/>
  <c r="D12725" i="2"/>
  <c r="F12724" i="2"/>
  <c r="E12724" i="2"/>
  <c r="D12724" i="2"/>
  <c r="F12723" i="2"/>
  <c r="E12723" i="2"/>
  <c r="D12723" i="2"/>
  <c r="F5943" i="2"/>
  <c r="E5943" i="2"/>
  <c r="D5943" i="2"/>
  <c r="F5942" i="2"/>
  <c r="E5942" i="2"/>
  <c r="D5942" i="2"/>
  <c r="F5941" i="2"/>
  <c r="E5941" i="2"/>
  <c r="D5941" i="2"/>
  <c r="F5940" i="2"/>
  <c r="E5940" i="2"/>
  <c r="D5940" i="2"/>
  <c r="F5939" i="2"/>
  <c r="E5939" i="2"/>
  <c r="D5939" i="2"/>
  <c r="F5938" i="2"/>
  <c r="E5938" i="2"/>
  <c r="D5938" i="2"/>
  <c r="F5937" i="2"/>
  <c r="E5937" i="2"/>
  <c r="D5937" i="2"/>
  <c r="F5936" i="2"/>
  <c r="E5936" i="2"/>
  <c r="D5936" i="2"/>
  <c r="F5935" i="2"/>
  <c r="E5935" i="2"/>
  <c r="D5935" i="2"/>
  <c r="F5934" i="2"/>
  <c r="E5934" i="2"/>
  <c r="D5934" i="2"/>
  <c r="F5933" i="2"/>
  <c r="E5933" i="2"/>
  <c r="D5933" i="2"/>
  <c r="F5932" i="2"/>
  <c r="E5932" i="2"/>
  <c r="D5932" i="2"/>
  <c r="F5931" i="2"/>
  <c r="E5931" i="2"/>
  <c r="D5931" i="2"/>
  <c r="F5930" i="2"/>
  <c r="E5930" i="2"/>
  <c r="D5930" i="2"/>
  <c r="F6298" i="2"/>
  <c r="E6298" i="2"/>
  <c r="D6298" i="2"/>
  <c r="F6297" i="2"/>
  <c r="E6297" i="2"/>
  <c r="D6297" i="2"/>
  <c r="F6296" i="2"/>
  <c r="E6296" i="2"/>
  <c r="D6296" i="2"/>
  <c r="F7067" i="2"/>
  <c r="E7067" i="2"/>
  <c r="D7067" i="2"/>
  <c r="F7071" i="2"/>
  <c r="E7071" i="2"/>
  <c r="D7071" i="2"/>
  <c r="F7070" i="2"/>
  <c r="E7070" i="2"/>
  <c r="D7070" i="2"/>
  <c r="F7069" i="2"/>
  <c r="E7069" i="2"/>
  <c r="D7069" i="2"/>
  <c r="F7068" i="2"/>
  <c r="E7068" i="2"/>
  <c r="D7068" i="2"/>
  <c r="F11179" i="2"/>
  <c r="E11179" i="2"/>
  <c r="D11179" i="2"/>
  <c r="F11178" i="2"/>
  <c r="E11178" i="2"/>
  <c r="D11178" i="2"/>
  <c r="F11177" i="2"/>
  <c r="E11177" i="2"/>
  <c r="D11177" i="2"/>
  <c r="F11176" i="2"/>
  <c r="E11176" i="2"/>
  <c r="D11176" i="2"/>
  <c r="F11175" i="2"/>
  <c r="E11175" i="2"/>
  <c r="D11175" i="2"/>
  <c r="F11174" i="2"/>
  <c r="E11174" i="2"/>
  <c r="D11174" i="2"/>
  <c r="F11173" i="2"/>
  <c r="E11173" i="2"/>
  <c r="D11173" i="2"/>
  <c r="F11172" i="2"/>
  <c r="E11172" i="2"/>
  <c r="D11172" i="2"/>
  <c r="F11171" i="2"/>
  <c r="E11171" i="2"/>
  <c r="D11171" i="2"/>
  <c r="F8417" i="2"/>
  <c r="E8417" i="2"/>
  <c r="D8417" i="2"/>
  <c r="F8425" i="2"/>
  <c r="E8425" i="2"/>
  <c r="D8425" i="2"/>
  <c r="F8424" i="2"/>
  <c r="E8424" i="2"/>
  <c r="D8424" i="2"/>
  <c r="F8423" i="2"/>
  <c r="E8423" i="2"/>
  <c r="D8423" i="2"/>
  <c r="F8422" i="2"/>
  <c r="E8422" i="2"/>
  <c r="D8422" i="2"/>
  <c r="F8421" i="2"/>
  <c r="E8421" i="2"/>
  <c r="D8421" i="2"/>
  <c r="F8420" i="2"/>
  <c r="E8420" i="2"/>
  <c r="D8420" i="2"/>
  <c r="F8419" i="2"/>
  <c r="E8419" i="2"/>
  <c r="D8419" i="2"/>
  <c r="F8418" i="2"/>
  <c r="E8418" i="2"/>
  <c r="D8418" i="2"/>
  <c r="F15233" i="2"/>
  <c r="E15233" i="2"/>
  <c r="D15233" i="2"/>
  <c r="F15232" i="2"/>
  <c r="E15232" i="2"/>
  <c r="D15232" i="2"/>
  <c r="F15231" i="2"/>
  <c r="E15231" i="2"/>
  <c r="D15231" i="2"/>
  <c r="F15230" i="2"/>
  <c r="E15230" i="2"/>
  <c r="D15230" i="2"/>
  <c r="F15229" i="2"/>
  <c r="E15229" i="2"/>
  <c r="D15229" i="2"/>
  <c r="F15228" i="2"/>
  <c r="E15228" i="2"/>
  <c r="D15228" i="2"/>
  <c r="F15227" i="2"/>
  <c r="E15227" i="2"/>
  <c r="D15227" i="2"/>
  <c r="F15226" i="2"/>
  <c r="E15226" i="2"/>
  <c r="D15226" i="2"/>
  <c r="F15225" i="2"/>
  <c r="E15225" i="2"/>
  <c r="D15225" i="2"/>
  <c r="F15224" i="2"/>
  <c r="E15224" i="2"/>
  <c r="D15224" i="2"/>
  <c r="F15223" i="2"/>
  <c r="E15223" i="2"/>
  <c r="D15223" i="2"/>
  <c r="F15222" i="2"/>
  <c r="E15222" i="2"/>
  <c r="D15222" i="2"/>
  <c r="F15221" i="2"/>
  <c r="E15221" i="2"/>
  <c r="D15221" i="2"/>
  <c r="F15220" i="2"/>
  <c r="E15220" i="2"/>
  <c r="D15220" i="2"/>
  <c r="F15219" i="2"/>
  <c r="E15219" i="2"/>
  <c r="D15219" i="2"/>
  <c r="F15218" i="2"/>
  <c r="E15218" i="2"/>
  <c r="D15218" i="2"/>
  <c r="F15217" i="2"/>
  <c r="E15217" i="2"/>
  <c r="D15217" i="2"/>
  <c r="F15216" i="2"/>
  <c r="E15216" i="2"/>
  <c r="D15216" i="2"/>
  <c r="F15215" i="2"/>
  <c r="E15215" i="2"/>
  <c r="D15215" i="2"/>
  <c r="F15214" i="2"/>
  <c r="E15214" i="2"/>
  <c r="D15214" i="2"/>
  <c r="F15213" i="2"/>
  <c r="E15213" i="2"/>
  <c r="D15213" i="2"/>
  <c r="F15212" i="2"/>
  <c r="E15212" i="2"/>
  <c r="D15212" i="2"/>
  <c r="F15211" i="2"/>
  <c r="E15211" i="2"/>
  <c r="D15211" i="2"/>
  <c r="F15210" i="2"/>
  <c r="E15210" i="2"/>
  <c r="D15210" i="2"/>
  <c r="F15209" i="2"/>
  <c r="E15209" i="2"/>
  <c r="D15209" i="2"/>
  <c r="F15208" i="2"/>
  <c r="E15208" i="2"/>
  <c r="D15208" i="2"/>
  <c r="F15207" i="2"/>
  <c r="E15207" i="2"/>
  <c r="D15207" i="2"/>
  <c r="F8663" i="2"/>
  <c r="E8663" i="2"/>
  <c r="D8663" i="2"/>
  <c r="F8662" i="2"/>
  <c r="E8662" i="2"/>
  <c r="D8662" i="2"/>
  <c r="F8661" i="2"/>
  <c r="E8661" i="2"/>
  <c r="D8661" i="2"/>
  <c r="F8660" i="2"/>
  <c r="E8660" i="2"/>
  <c r="D8660" i="2"/>
  <c r="F8659" i="2"/>
  <c r="E8659" i="2"/>
  <c r="D8659" i="2"/>
  <c r="F8658" i="2"/>
  <c r="E8658" i="2"/>
  <c r="D8658" i="2"/>
  <c r="F8657" i="2"/>
  <c r="E8657" i="2"/>
  <c r="D8657" i="2"/>
  <c r="F8656" i="2"/>
  <c r="E8656" i="2"/>
  <c r="D8656" i="2"/>
  <c r="F8655" i="2"/>
  <c r="E8655" i="2"/>
  <c r="D8655" i="2"/>
  <c r="F8654" i="2"/>
  <c r="E8654" i="2"/>
  <c r="D8654" i="2"/>
  <c r="F9340" i="2"/>
  <c r="E9340" i="2"/>
  <c r="D9340" i="2"/>
  <c r="F9343" i="2"/>
  <c r="E9343" i="2"/>
  <c r="D9343" i="2"/>
  <c r="F9342" i="2"/>
  <c r="E9342" i="2"/>
  <c r="D9342" i="2"/>
  <c r="F9341" i="2"/>
  <c r="E9341" i="2"/>
  <c r="D9341" i="2"/>
  <c r="F10547" i="2"/>
  <c r="E10547" i="2"/>
  <c r="D10547" i="2"/>
  <c r="F10563" i="2"/>
  <c r="E10563" i="2"/>
  <c r="D10563" i="2"/>
  <c r="F10562" i="2"/>
  <c r="E10562" i="2"/>
  <c r="D10562" i="2"/>
  <c r="F10561" i="2"/>
  <c r="E10561" i="2"/>
  <c r="D10561" i="2"/>
  <c r="F10560" i="2"/>
  <c r="E10560" i="2"/>
  <c r="D10560" i="2"/>
  <c r="F10559" i="2"/>
  <c r="E10559" i="2"/>
  <c r="D10559" i="2"/>
  <c r="F10558" i="2"/>
  <c r="E10558" i="2"/>
  <c r="D10558" i="2"/>
  <c r="F10557" i="2"/>
  <c r="E10557" i="2"/>
  <c r="D10557" i="2"/>
  <c r="F10556" i="2"/>
  <c r="E10556" i="2"/>
  <c r="D10556" i="2"/>
  <c r="F10555" i="2"/>
  <c r="E10555" i="2"/>
  <c r="D10555" i="2"/>
  <c r="F10554" i="2"/>
  <c r="E10554" i="2"/>
  <c r="D10554" i="2"/>
  <c r="F10553" i="2"/>
  <c r="E10553" i="2"/>
  <c r="D10553" i="2"/>
  <c r="F10552" i="2"/>
  <c r="E10552" i="2"/>
  <c r="D10552" i="2"/>
  <c r="F10551" i="2"/>
  <c r="E10551" i="2"/>
  <c r="D10551" i="2"/>
  <c r="F10550" i="2"/>
  <c r="E10550" i="2"/>
  <c r="D10550" i="2"/>
  <c r="F10549" i="2"/>
  <c r="E10549" i="2"/>
  <c r="D10549" i="2"/>
  <c r="F10548" i="2"/>
  <c r="E10548" i="2"/>
  <c r="D10548" i="2"/>
  <c r="F8672" i="2"/>
  <c r="E8672" i="2"/>
  <c r="D8672" i="2"/>
  <c r="F8671" i="2"/>
  <c r="E8671" i="2"/>
  <c r="D8671" i="2"/>
  <c r="F8670" i="2"/>
  <c r="E8670" i="2"/>
  <c r="D8670" i="2"/>
  <c r="F8669" i="2"/>
  <c r="E8669" i="2"/>
  <c r="D8669" i="2"/>
  <c r="F8668" i="2"/>
  <c r="E8668" i="2"/>
  <c r="D8668" i="2"/>
  <c r="F8667" i="2"/>
  <c r="E8667" i="2"/>
  <c r="D8667" i="2"/>
  <c r="F8666" i="2"/>
  <c r="E8666" i="2"/>
  <c r="D8666" i="2"/>
  <c r="F8665" i="2"/>
  <c r="E8665" i="2"/>
  <c r="D8665" i="2"/>
  <c r="F8664" i="2"/>
  <c r="E8664" i="2"/>
  <c r="D8664" i="2"/>
  <c r="F13598" i="2"/>
  <c r="E13598" i="2"/>
  <c r="D13598" i="2"/>
  <c r="F11270" i="2"/>
  <c r="E11270" i="2"/>
  <c r="D11270" i="2"/>
  <c r="F11269" i="2"/>
  <c r="E11269" i="2"/>
  <c r="D11269" i="2"/>
  <c r="F11268" i="2"/>
  <c r="E11268" i="2"/>
  <c r="D11268" i="2"/>
  <c r="F11267" i="2"/>
  <c r="E11267" i="2"/>
  <c r="D11267" i="2"/>
  <c r="F11266" i="2"/>
  <c r="E11266" i="2"/>
  <c r="D11266" i="2"/>
  <c r="F11265" i="2"/>
  <c r="E11265" i="2"/>
  <c r="D11265" i="2"/>
  <c r="F11264" i="2"/>
  <c r="E11264" i="2"/>
  <c r="D11264" i="2"/>
  <c r="F11263" i="2"/>
  <c r="E11263" i="2"/>
  <c r="D11263" i="2"/>
  <c r="F11262" i="2"/>
  <c r="E11262" i="2"/>
  <c r="D11262" i="2"/>
  <c r="F11261" i="2"/>
  <c r="E11261" i="2"/>
  <c r="D11261" i="2"/>
  <c r="F11260" i="2"/>
  <c r="E11260" i="2"/>
  <c r="D11260" i="2"/>
  <c r="F11259" i="2"/>
  <c r="E11259" i="2"/>
  <c r="D11259" i="2"/>
  <c r="F11258" i="2"/>
  <c r="E11258" i="2"/>
  <c r="D11258" i="2"/>
  <c r="F11257" i="2"/>
  <c r="E11257" i="2"/>
  <c r="D11257" i="2"/>
  <c r="F11256" i="2"/>
  <c r="E11256" i="2"/>
  <c r="D11256" i="2"/>
  <c r="F11255" i="2"/>
  <c r="E11255" i="2"/>
  <c r="D11255" i="2"/>
  <c r="F11254" i="2"/>
  <c r="E11254" i="2"/>
  <c r="D11254" i="2"/>
  <c r="F11253" i="2"/>
  <c r="E11253" i="2"/>
  <c r="D11253" i="2"/>
  <c r="F11252" i="2"/>
  <c r="E11252" i="2"/>
  <c r="D11252" i="2"/>
  <c r="F11251" i="2"/>
  <c r="E11251" i="2"/>
  <c r="D11251" i="2"/>
  <c r="F11250" i="2"/>
  <c r="E11250" i="2"/>
  <c r="D11250" i="2"/>
  <c r="F11249" i="2"/>
  <c r="E11249" i="2"/>
  <c r="D11249" i="2"/>
  <c r="F11248" i="2"/>
  <c r="E11248" i="2"/>
  <c r="D11248" i="2"/>
  <c r="F11247" i="2"/>
  <c r="E11247" i="2"/>
  <c r="D11247" i="2"/>
  <c r="F11246" i="2"/>
  <c r="E11246" i="2"/>
  <c r="D11246" i="2"/>
  <c r="F11245" i="2"/>
  <c r="E11245" i="2"/>
  <c r="D11245" i="2"/>
  <c r="F11244" i="2"/>
  <c r="E11244" i="2"/>
  <c r="D11244" i="2"/>
  <c r="F11243" i="2"/>
  <c r="E11243" i="2"/>
  <c r="D11243" i="2"/>
  <c r="F11242" i="2"/>
  <c r="E11242" i="2"/>
  <c r="D11242" i="2"/>
  <c r="F11241" i="2"/>
  <c r="E11241" i="2"/>
  <c r="D11241" i="2"/>
  <c r="F11240" i="2"/>
  <c r="E11240" i="2"/>
  <c r="D11240" i="2"/>
  <c r="F11239" i="2"/>
  <c r="E11239" i="2"/>
  <c r="D11239" i="2"/>
  <c r="F11238" i="2"/>
  <c r="E11238" i="2"/>
  <c r="D11238" i="2"/>
  <c r="F2531" i="2"/>
  <c r="E2531" i="2"/>
  <c r="D2531" i="2"/>
  <c r="F2539" i="2"/>
  <c r="E2539" i="2"/>
  <c r="D2539" i="2"/>
  <c r="F2538" i="2"/>
  <c r="E2538" i="2"/>
  <c r="D2538" i="2"/>
  <c r="F2537" i="2"/>
  <c r="E2537" i="2"/>
  <c r="D2537" i="2"/>
  <c r="F2536" i="2"/>
  <c r="E2536" i="2"/>
  <c r="D2536" i="2"/>
  <c r="F2534" i="2"/>
  <c r="E2534" i="2"/>
  <c r="D2534" i="2"/>
  <c r="F2535" i="2"/>
  <c r="E2535" i="2"/>
  <c r="D2535" i="2"/>
  <c r="F2533" i="2"/>
  <c r="E2533" i="2"/>
  <c r="D2533" i="2"/>
  <c r="F2532" i="2"/>
  <c r="E2532" i="2"/>
  <c r="D2532" i="2"/>
  <c r="F8683" i="2"/>
  <c r="E8683" i="2"/>
  <c r="D8683" i="2"/>
  <c r="F8682" i="2"/>
  <c r="E8682" i="2"/>
  <c r="D8682" i="2"/>
  <c r="F8681" i="2"/>
  <c r="E8681" i="2"/>
  <c r="D8681" i="2"/>
  <c r="F8680" i="2"/>
  <c r="E8680" i="2"/>
  <c r="D8680" i="2"/>
  <c r="F8679" i="2"/>
  <c r="E8679" i="2"/>
  <c r="D8679" i="2"/>
  <c r="F8678" i="2"/>
  <c r="E8678" i="2"/>
  <c r="D8678" i="2"/>
  <c r="F8677" i="2"/>
  <c r="E8677" i="2"/>
  <c r="D8677" i="2"/>
  <c r="F8676" i="2"/>
  <c r="E8676" i="2"/>
  <c r="D8676" i="2"/>
  <c r="F8675" i="2"/>
  <c r="E8675" i="2"/>
  <c r="D8675" i="2"/>
  <c r="F8674" i="2"/>
  <c r="E8674" i="2"/>
  <c r="D8674" i="2"/>
  <c r="F8673" i="2"/>
  <c r="E8673" i="2"/>
  <c r="D8673" i="2"/>
  <c r="F13311" i="2"/>
  <c r="E13311" i="2"/>
  <c r="D13311" i="2"/>
  <c r="F11237" i="2"/>
  <c r="E11237" i="2"/>
  <c r="D11237" i="2"/>
  <c r="F11236" i="2"/>
  <c r="E11236" i="2"/>
  <c r="D11236" i="2"/>
  <c r="F11235" i="2"/>
  <c r="E11235" i="2"/>
  <c r="D11235" i="2"/>
  <c r="F11234" i="2"/>
  <c r="E11234" i="2"/>
  <c r="D11234" i="2"/>
  <c r="F11233" i="2"/>
  <c r="E11233" i="2"/>
  <c r="D11233" i="2"/>
  <c r="F11232" i="2"/>
  <c r="E11232" i="2"/>
  <c r="D11232" i="2"/>
  <c r="F11231" i="2"/>
  <c r="E11231" i="2"/>
  <c r="D11231" i="2"/>
  <c r="F11229" i="2"/>
  <c r="E11229" i="2"/>
  <c r="D11229" i="2"/>
  <c r="F11230" i="2"/>
  <c r="E11230" i="2"/>
  <c r="D11230" i="2"/>
  <c r="F11228" i="2"/>
  <c r="E11228" i="2"/>
  <c r="D11228" i="2"/>
  <c r="F11227" i="2"/>
  <c r="E11227" i="2"/>
  <c r="D11227" i="2"/>
  <c r="F11226" i="2"/>
  <c r="E11226" i="2"/>
  <c r="D11226" i="2"/>
  <c r="F11225" i="2"/>
  <c r="E11225" i="2"/>
  <c r="D11225" i="2"/>
  <c r="F11224" i="2"/>
  <c r="E11224" i="2"/>
  <c r="D11224" i="2"/>
  <c r="F11223" i="2"/>
  <c r="E11223" i="2"/>
  <c r="D11223" i="2"/>
  <c r="F11222" i="2"/>
  <c r="E11222" i="2"/>
  <c r="D11222" i="2"/>
  <c r="F11221" i="2"/>
  <c r="E11221" i="2"/>
  <c r="D11221" i="2"/>
  <c r="F11220" i="2"/>
  <c r="E11220" i="2"/>
  <c r="D11220" i="2"/>
  <c r="F11219" i="2"/>
  <c r="E11219" i="2"/>
  <c r="D11219" i="2"/>
  <c r="F11218" i="2"/>
  <c r="E11218" i="2"/>
  <c r="D11218" i="2"/>
  <c r="F11217" i="2"/>
  <c r="E11217" i="2"/>
  <c r="D11217" i="2"/>
  <c r="F11216" i="2"/>
  <c r="E11216" i="2"/>
  <c r="D11216" i="2"/>
  <c r="F11215" i="2"/>
  <c r="E11215" i="2"/>
  <c r="D11215" i="2"/>
  <c r="F11214" i="2"/>
  <c r="E11214" i="2"/>
  <c r="D11214" i="2"/>
  <c r="F11213" i="2"/>
  <c r="E11213" i="2"/>
  <c r="D11213" i="2"/>
  <c r="F11212" i="2"/>
  <c r="E11212" i="2"/>
  <c r="D11212" i="2"/>
  <c r="F11211" i="2"/>
  <c r="E11211" i="2"/>
  <c r="D11211" i="2"/>
  <c r="F11210" i="2"/>
  <c r="E11210" i="2"/>
  <c r="D11210" i="2"/>
  <c r="F11209" i="2"/>
  <c r="E11209" i="2"/>
  <c r="D11209" i="2"/>
  <c r="F11208" i="2"/>
  <c r="E11208" i="2"/>
  <c r="D11208" i="2"/>
  <c r="F13778" i="2"/>
  <c r="E13778" i="2"/>
  <c r="D13778" i="2"/>
  <c r="F13786" i="2"/>
  <c r="E13786" i="2"/>
  <c r="D13786" i="2"/>
  <c r="F13785" i="2"/>
  <c r="E13785" i="2"/>
  <c r="D13785" i="2"/>
  <c r="F13784" i="2"/>
  <c r="E13784" i="2"/>
  <c r="D13784" i="2"/>
  <c r="F13783" i="2"/>
  <c r="E13783" i="2"/>
  <c r="D13783" i="2"/>
  <c r="F13782" i="2"/>
  <c r="E13782" i="2"/>
  <c r="D13782" i="2"/>
  <c r="F13781" i="2"/>
  <c r="E13781" i="2"/>
  <c r="D13781" i="2"/>
  <c r="F13780" i="2"/>
  <c r="E13780" i="2"/>
  <c r="D13780" i="2"/>
  <c r="F13779" i="2"/>
  <c r="E13779" i="2"/>
  <c r="D13779" i="2"/>
  <c r="F7077" i="2"/>
  <c r="E7077" i="2"/>
  <c r="D7077" i="2"/>
  <c r="F7076" i="2"/>
  <c r="E7076" i="2"/>
  <c r="D7076" i="2"/>
  <c r="F7075" i="2"/>
  <c r="E7075" i="2"/>
  <c r="D7075" i="2"/>
  <c r="F7074" i="2"/>
  <c r="E7074" i="2"/>
  <c r="D7074" i="2"/>
  <c r="F7072" i="2"/>
  <c r="E7072" i="2"/>
  <c r="D7072" i="2"/>
  <c r="F7073" i="2"/>
  <c r="E7073" i="2"/>
  <c r="D7073" i="2"/>
  <c r="F14632" i="2"/>
  <c r="E14632" i="2"/>
  <c r="D14632" i="2"/>
  <c r="F14640" i="2"/>
  <c r="E14640" i="2"/>
  <c r="D14640" i="2"/>
  <c r="F14639" i="2"/>
  <c r="E14639" i="2"/>
  <c r="D14639" i="2"/>
  <c r="F14638" i="2"/>
  <c r="E14638" i="2"/>
  <c r="D14638" i="2"/>
  <c r="F14637" i="2"/>
  <c r="E14637" i="2"/>
  <c r="D14637" i="2"/>
  <c r="F14636" i="2"/>
  <c r="E14636" i="2"/>
  <c r="D14636" i="2"/>
  <c r="F14635" i="2"/>
  <c r="E14635" i="2"/>
  <c r="D14635" i="2"/>
  <c r="F14634" i="2"/>
  <c r="E14634" i="2"/>
  <c r="D14634" i="2"/>
  <c r="F14633" i="2"/>
  <c r="E14633" i="2"/>
  <c r="D14633" i="2"/>
  <c r="F14873" i="2"/>
  <c r="E14873" i="2"/>
  <c r="D14873" i="2"/>
  <c r="F14872" i="2"/>
  <c r="E14872" i="2"/>
  <c r="D14872" i="2"/>
  <c r="F14871" i="2"/>
  <c r="E14871" i="2"/>
  <c r="D14871" i="2"/>
  <c r="F14870" i="2"/>
  <c r="E14870" i="2"/>
  <c r="D14870" i="2"/>
  <c r="F14869" i="2"/>
  <c r="E14869" i="2"/>
  <c r="D14869" i="2"/>
  <c r="F14868" i="2"/>
  <c r="E14868" i="2"/>
  <c r="D14868" i="2"/>
  <c r="F14867" i="2"/>
  <c r="E14867" i="2"/>
  <c r="D14867" i="2"/>
  <c r="F14866" i="2"/>
  <c r="E14866" i="2"/>
  <c r="D14866" i="2"/>
  <c r="F14865" i="2"/>
  <c r="E14865" i="2"/>
  <c r="D14865" i="2"/>
  <c r="F14864" i="2"/>
  <c r="E14864" i="2"/>
  <c r="D14864" i="2"/>
  <c r="F14863" i="2"/>
  <c r="E14863" i="2"/>
  <c r="D14863" i="2"/>
  <c r="F14862" i="2"/>
  <c r="E14862" i="2"/>
  <c r="D14862" i="2"/>
  <c r="F14861" i="2"/>
  <c r="E14861" i="2"/>
  <c r="D14861" i="2"/>
  <c r="F11180" i="2"/>
  <c r="E11180" i="2"/>
  <c r="D11180" i="2"/>
  <c r="F11187" i="2"/>
  <c r="E11187" i="2"/>
  <c r="D11187" i="2"/>
  <c r="F11186" i="2"/>
  <c r="E11186" i="2"/>
  <c r="D11186" i="2"/>
  <c r="F11184" i="2"/>
  <c r="E11184" i="2"/>
  <c r="D11184" i="2"/>
  <c r="F11185" i="2"/>
  <c r="E11185" i="2"/>
  <c r="D11185" i="2"/>
  <c r="F11183" i="2"/>
  <c r="E11183" i="2"/>
  <c r="D11183" i="2"/>
  <c r="F11182" i="2"/>
  <c r="E11182" i="2"/>
  <c r="D11182" i="2"/>
  <c r="F11181" i="2"/>
  <c r="E11181" i="2"/>
  <c r="D11181" i="2"/>
  <c r="F12566" i="2"/>
  <c r="E12566" i="2"/>
  <c r="D12566" i="2"/>
  <c r="F12573" i="2"/>
  <c r="E12573" i="2"/>
  <c r="D12573" i="2"/>
  <c r="F12572" i="2"/>
  <c r="E12572" i="2"/>
  <c r="D12572" i="2"/>
  <c r="F12571" i="2"/>
  <c r="E12571" i="2"/>
  <c r="D12571" i="2"/>
  <c r="F12570" i="2"/>
  <c r="E12570" i="2"/>
  <c r="D12570" i="2"/>
  <c r="F12569" i="2"/>
  <c r="E12569" i="2"/>
  <c r="D12569" i="2"/>
  <c r="F12568" i="2"/>
  <c r="E12568" i="2"/>
  <c r="D12568" i="2"/>
  <c r="F12567" i="2"/>
  <c r="E12567" i="2"/>
  <c r="D12567" i="2"/>
  <c r="F15319" i="2"/>
  <c r="E15319" i="2"/>
  <c r="D15319" i="2"/>
  <c r="F15318" i="2"/>
  <c r="E15318" i="2"/>
  <c r="D15318" i="2"/>
  <c r="F15317" i="2"/>
  <c r="E15317" i="2"/>
  <c r="D15317" i="2"/>
  <c r="F15316" i="2"/>
  <c r="E15316" i="2"/>
  <c r="D15316" i="2"/>
  <c r="F15315" i="2"/>
  <c r="E15315" i="2"/>
  <c r="D15315" i="2"/>
  <c r="F15314" i="2"/>
  <c r="E15314" i="2"/>
  <c r="D15314" i="2"/>
  <c r="F15313" i="2"/>
  <c r="E15313" i="2"/>
  <c r="D15313" i="2"/>
  <c r="F15312" i="2"/>
  <c r="E15312" i="2"/>
  <c r="D15312" i="2"/>
  <c r="F15311" i="2"/>
  <c r="E15311" i="2"/>
  <c r="D15311" i="2"/>
  <c r="F7064" i="2"/>
  <c r="E7064" i="2"/>
  <c r="D7064" i="2"/>
  <c r="F7063" i="2"/>
  <c r="E7063" i="2"/>
  <c r="D7063" i="2"/>
  <c r="F7062" i="2"/>
  <c r="E7062" i="2"/>
  <c r="D7062" i="2"/>
  <c r="F7061" i="2"/>
  <c r="E7061" i="2"/>
  <c r="D7061" i="2"/>
  <c r="F7060" i="2"/>
  <c r="E7060" i="2"/>
  <c r="D7060" i="2"/>
  <c r="F7059" i="2"/>
  <c r="E7059" i="2"/>
  <c r="D7059" i="2"/>
  <c r="F7058" i="2"/>
  <c r="E7058" i="2"/>
  <c r="D7058" i="2"/>
  <c r="F7057" i="2"/>
  <c r="E7057" i="2"/>
  <c r="D7057" i="2"/>
  <c r="F7056" i="2"/>
  <c r="E7056" i="2"/>
  <c r="D7056" i="2"/>
  <c r="F10578" i="2"/>
  <c r="E10578" i="2"/>
  <c r="D10578" i="2"/>
  <c r="F10577" i="2"/>
  <c r="E10577" i="2"/>
  <c r="D10577" i="2"/>
  <c r="F10576" i="2"/>
  <c r="E10576" i="2"/>
  <c r="D10576" i="2"/>
  <c r="F10575" i="2"/>
  <c r="E10575" i="2"/>
  <c r="D10575" i="2"/>
  <c r="F10574" i="2"/>
  <c r="E10574" i="2"/>
  <c r="D10574" i="2"/>
  <c r="F10573" i="2"/>
  <c r="E10573" i="2"/>
  <c r="D10573" i="2"/>
  <c r="F10572" i="2"/>
  <c r="E10572" i="2"/>
  <c r="D10572" i="2"/>
  <c r="F10571" i="2"/>
  <c r="E10571" i="2"/>
  <c r="D10571" i="2"/>
  <c r="F10570" i="2"/>
  <c r="E10570" i="2"/>
  <c r="D10570" i="2"/>
  <c r="F10569" i="2"/>
  <c r="E10569" i="2"/>
  <c r="D10569" i="2"/>
  <c r="F10568" i="2"/>
  <c r="E10568" i="2"/>
  <c r="D10568" i="2"/>
  <c r="F10306" i="2"/>
  <c r="E10306" i="2"/>
  <c r="D10306" i="2"/>
  <c r="F5508" i="2"/>
  <c r="E5508" i="2"/>
  <c r="D5508" i="2"/>
  <c r="F5507" i="2"/>
  <c r="E5507" i="2"/>
  <c r="D5507" i="2"/>
  <c r="F9675" i="2"/>
  <c r="E9675" i="2"/>
  <c r="D9675" i="2"/>
  <c r="F9681" i="2"/>
  <c r="E9681" i="2"/>
  <c r="D9681" i="2"/>
  <c r="F9680" i="2"/>
  <c r="E9680" i="2"/>
  <c r="D9680" i="2"/>
  <c r="F9679" i="2"/>
  <c r="E9679" i="2"/>
  <c r="D9679" i="2"/>
  <c r="F9678" i="2"/>
  <c r="E9678" i="2"/>
  <c r="D9678" i="2"/>
  <c r="F9677" i="2"/>
  <c r="E9677" i="2"/>
  <c r="D9677" i="2"/>
  <c r="F9676" i="2"/>
  <c r="E9676" i="2"/>
  <c r="D9676" i="2"/>
  <c r="F16351" i="2"/>
  <c r="E16351" i="2"/>
  <c r="D16351" i="2"/>
  <c r="F16350" i="2"/>
  <c r="E16350" i="2"/>
  <c r="D16350" i="2"/>
  <c r="F16349" i="2"/>
  <c r="E16349" i="2"/>
  <c r="D16349" i="2"/>
  <c r="F16348" i="2"/>
  <c r="E16348" i="2"/>
  <c r="D16348" i="2"/>
  <c r="F16347" i="2"/>
  <c r="E16347" i="2"/>
  <c r="D16347" i="2"/>
  <c r="F16346" i="2"/>
  <c r="E16346" i="2"/>
  <c r="D16346" i="2"/>
  <c r="F16345" i="2"/>
  <c r="E16345" i="2"/>
  <c r="D16345" i="2"/>
  <c r="F16344" i="2"/>
  <c r="E16344" i="2"/>
  <c r="D16344" i="2"/>
  <c r="F16343" i="2"/>
  <c r="E16343" i="2"/>
  <c r="D16343" i="2"/>
  <c r="F16342" i="2"/>
  <c r="E16342" i="2"/>
  <c r="D16342" i="2"/>
  <c r="F16341" i="2"/>
  <c r="E16341" i="2"/>
  <c r="D16341" i="2"/>
  <c r="F16340" i="2"/>
  <c r="E16340" i="2"/>
  <c r="D16340" i="2"/>
  <c r="F16339" i="2"/>
  <c r="E16339" i="2"/>
  <c r="D16339" i="2"/>
  <c r="F16338" i="2"/>
  <c r="E16338" i="2"/>
  <c r="D16338" i="2"/>
  <c r="F16337" i="2"/>
  <c r="E16337" i="2"/>
  <c r="D16337" i="2"/>
  <c r="F16316" i="2"/>
  <c r="E16316" i="2"/>
  <c r="D16316" i="2"/>
  <c r="F567" i="2"/>
  <c r="E567" i="2"/>
  <c r="D567" i="2"/>
  <c r="F575" i="2"/>
  <c r="E575" i="2"/>
  <c r="D575" i="2"/>
  <c r="F574" i="2"/>
  <c r="E574" i="2"/>
  <c r="D574" i="2"/>
  <c r="F573" i="2"/>
  <c r="E573" i="2"/>
  <c r="D573" i="2"/>
  <c r="F572" i="2"/>
  <c r="E572" i="2"/>
  <c r="D572" i="2"/>
  <c r="F571" i="2"/>
  <c r="E571" i="2"/>
  <c r="D571" i="2"/>
  <c r="F570" i="2"/>
  <c r="E570" i="2"/>
  <c r="D570" i="2"/>
  <c r="F568" i="2"/>
  <c r="E568" i="2"/>
  <c r="D568" i="2"/>
  <c r="F569" i="2"/>
  <c r="E569" i="2"/>
  <c r="D569" i="2"/>
  <c r="F13578" i="2"/>
  <c r="E13578" i="2"/>
  <c r="D13578" i="2"/>
  <c r="F13577" i="2"/>
  <c r="E13577" i="2"/>
  <c r="D13577" i="2"/>
  <c r="F13576" i="2"/>
  <c r="E13576" i="2"/>
  <c r="D13576" i="2"/>
  <c r="F13575" i="2"/>
  <c r="E13575" i="2"/>
  <c r="D13575" i="2"/>
  <c r="F13573" i="2"/>
  <c r="E13573" i="2"/>
  <c r="D13573" i="2"/>
  <c r="F13574" i="2"/>
  <c r="E13574" i="2"/>
  <c r="D13574" i="2"/>
  <c r="F13572" i="2"/>
  <c r="E13572" i="2"/>
  <c r="D13572" i="2"/>
  <c r="F13571" i="2"/>
  <c r="E13571" i="2"/>
  <c r="D13571" i="2"/>
  <c r="F13570" i="2"/>
  <c r="E13570" i="2"/>
  <c r="D13570" i="2"/>
  <c r="F13569" i="2"/>
  <c r="E13569" i="2"/>
  <c r="D13569" i="2"/>
  <c r="F13568" i="2"/>
  <c r="E13568" i="2"/>
  <c r="D13568" i="2"/>
  <c r="F13567" i="2"/>
  <c r="E13567" i="2"/>
  <c r="D13567" i="2"/>
  <c r="F13566" i="2"/>
  <c r="E13566" i="2"/>
  <c r="D13566" i="2"/>
  <c r="F13565" i="2"/>
  <c r="E13565" i="2"/>
  <c r="D13565" i="2"/>
  <c r="F13298" i="2"/>
  <c r="E13298" i="2"/>
  <c r="D13298" i="2"/>
  <c r="F13303" i="2"/>
  <c r="E13303" i="2"/>
  <c r="D13303" i="2"/>
  <c r="F13302" i="2"/>
  <c r="E13302" i="2"/>
  <c r="D13302" i="2"/>
  <c r="F13301" i="2"/>
  <c r="E13301" i="2"/>
  <c r="D13301" i="2"/>
  <c r="F13300" i="2"/>
  <c r="E13300" i="2"/>
  <c r="D13300" i="2"/>
  <c r="F13299" i="2"/>
  <c r="E13299" i="2"/>
  <c r="D13299" i="2"/>
  <c r="F2568" i="2"/>
  <c r="E2568" i="2"/>
  <c r="D2568" i="2"/>
  <c r="F2567" i="2"/>
  <c r="E2567" i="2"/>
  <c r="D2567" i="2"/>
  <c r="F2566" i="2"/>
  <c r="E2566" i="2"/>
  <c r="D2566" i="2"/>
  <c r="F2565" i="2"/>
  <c r="E2565" i="2"/>
  <c r="D2565" i="2"/>
  <c r="F2564" i="2"/>
  <c r="E2564" i="2"/>
  <c r="D2564" i="2"/>
  <c r="F2563" i="2"/>
  <c r="E2563" i="2"/>
  <c r="D2563" i="2"/>
  <c r="F2562" i="2"/>
  <c r="E2562" i="2"/>
  <c r="D2562" i="2"/>
  <c r="F2561" i="2"/>
  <c r="E2561" i="2"/>
  <c r="D2561" i="2"/>
  <c r="F2560" i="2"/>
  <c r="E2560" i="2"/>
  <c r="D2560" i="2"/>
  <c r="F2559" i="2"/>
  <c r="E2559" i="2"/>
  <c r="D2559" i="2"/>
  <c r="F2558" i="2"/>
  <c r="E2558" i="2"/>
  <c r="D2558" i="2"/>
  <c r="F2557" i="2"/>
  <c r="E2557" i="2"/>
  <c r="D2557" i="2"/>
  <c r="F4534" i="2"/>
  <c r="E4534" i="2"/>
  <c r="D4534" i="2"/>
  <c r="F4538" i="2"/>
  <c r="E4538" i="2"/>
  <c r="D4538" i="2"/>
  <c r="F4537" i="2"/>
  <c r="E4537" i="2"/>
  <c r="D4537" i="2"/>
  <c r="F4536" i="2"/>
  <c r="E4536" i="2"/>
  <c r="D4536" i="2"/>
  <c r="F4535" i="2"/>
  <c r="E4535" i="2"/>
  <c r="D4535" i="2"/>
  <c r="F10521" i="2"/>
  <c r="E10521" i="2"/>
  <c r="D10521" i="2"/>
  <c r="F10527" i="2"/>
  <c r="E10527" i="2"/>
  <c r="D10527" i="2"/>
  <c r="F10526" i="2"/>
  <c r="E10526" i="2"/>
  <c r="D10526" i="2"/>
  <c r="F10525" i="2"/>
  <c r="E10525" i="2"/>
  <c r="D10525" i="2"/>
  <c r="F10524" i="2"/>
  <c r="E10524" i="2"/>
  <c r="D10524" i="2"/>
  <c r="F10523" i="2"/>
  <c r="E10523" i="2"/>
  <c r="D10523" i="2"/>
  <c r="F10522" i="2"/>
  <c r="E10522" i="2"/>
  <c r="D10522" i="2"/>
  <c r="F14471" i="2"/>
  <c r="E14471" i="2"/>
  <c r="D14471" i="2"/>
  <c r="F14478" i="2"/>
  <c r="E14478" i="2"/>
  <c r="D14478" i="2"/>
  <c r="F14477" i="2"/>
  <c r="E14477" i="2"/>
  <c r="D14477" i="2"/>
  <c r="F14476" i="2"/>
  <c r="E14476" i="2"/>
  <c r="D14476" i="2"/>
  <c r="F14475" i="2"/>
  <c r="E14475" i="2"/>
  <c r="D14475" i="2"/>
  <c r="F14474" i="2"/>
  <c r="E14474" i="2"/>
  <c r="D14474" i="2"/>
  <c r="F14473" i="2"/>
  <c r="E14473" i="2"/>
  <c r="D14473" i="2"/>
  <c r="F14472" i="2"/>
  <c r="E14472" i="2"/>
  <c r="D14472" i="2"/>
  <c r="F13456" i="2"/>
  <c r="E13456" i="2"/>
  <c r="D13456" i="2"/>
  <c r="F1750" i="2"/>
  <c r="E1750" i="2"/>
  <c r="D1750" i="2"/>
  <c r="F7099" i="2"/>
  <c r="E7099" i="2"/>
  <c r="D7099" i="2"/>
  <c r="F7098" i="2"/>
  <c r="E7098" i="2"/>
  <c r="D7098" i="2"/>
  <c r="F7097" i="2"/>
  <c r="E7097" i="2"/>
  <c r="D7097" i="2"/>
  <c r="F7096" i="2"/>
  <c r="E7096" i="2"/>
  <c r="D7096" i="2"/>
  <c r="F7095" i="2"/>
  <c r="E7095" i="2"/>
  <c r="D7095" i="2"/>
  <c r="F7094" i="2"/>
  <c r="E7094" i="2"/>
  <c r="D7094" i="2"/>
  <c r="F7093" i="2"/>
  <c r="E7093" i="2"/>
  <c r="D7093" i="2"/>
  <c r="F12750" i="2"/>
  <c r="E12750" i="2"/>
  <c r="D12750" i="2"/>
  <c r="F12749" i="2"/>
  <c r="E12749" i="2"/>
  <c r="D12749" i="2"/>
  <c r="F2704" i="2"/>
  <c r="E2704" i="2"/>
  <c r="D2704" i="2"/>
  <c r="F2703" i="2"/>
  <c r="E2703" i="2"/>
  <c r="D2703" i="2"/>
  <c r="F2702" i="2"/>
  <c r="E2702" i="2"/>
  <c r="D2702" i="2"/>
  <c r="F2701" i="2"/>
  <c r="E2701" i="2"/>
  <c r="D2701" i="2"/>
  <c r="F2700" i="2"/>
  <c r="E2700" i="2"/>
  <c r="D2700" i="2"/>
  <c r="F2699" i="2"/>
  <c r="E2699" i="2"/>
  <c r="D2699" i="2"/>
  <c r="F2698" i="2"/>
  <c r="E2698" i="2"/>
  <c r="D2698" i="2"/>
  <c r="F2697" i="2"/>
  <c r="E2697" i="2"/>
  <c r="D2697" i="2"/>
  <c r="F2696" i="2"/>
  <c r="E2696" i="2"/>
  <c r="D2696" i="2"/>
  <c r="F2695" i="2"/>
  <c r="E2695" i="2"/>
  <c r="D2695" i="2"/>
  <c r="F2694" i="2"/>
  <c r="E2694" i="2"/>
  <c r="D2694" i="2"/>
  <c r="F2693" i="2"/>
  <c r="E2693" i="2"/>
  <c r="D2693" i="2"/>
  <c r="F2692" i="2"/>
  <c r="E2692" i="2"/>
  <c r="D2692" i="2"/>
  <c r="F2691" i="2"/>
  <c r="E2691" i="2"/>
  <c r="D2691" i="2"/>
  <c r="F14271" i="2"/>
  <c r="E14271" i="2"/>
  <c r="D14271" i="2"/>
  <c r="F14279" i="2"/>
  <c r="E14279" i="2"/>
  <c r="D14279" i="2"/>
  <c r="F14278" i="2"/>
  <c r="E14278" i="2"/>
  <c r="D14278" i="2"/>
  <c r="F14277" i="2"/>
  <c r="E14277" i="2"/>
  <c r="D14277" i="2"/>
  <c r="F14276" i="2"/>
  <c r="E14276" i="2"/>
  <c r="D14276" i="2"/>
  <c r="F14275" i="2"/>
  <c r="E14275" i="2"/>
  <c r="D14275" i="2"/>
  <c r="F14274" i="2"/>
  <c r="E14274" i="2"/>
  <c r="D14274" i="2"/>
  <c r="F14273" i="2"/>
  <c r="E14273" i="2"/>
  <c r="D14273" i="2"/>
  <c r="F14272" i="2"/>
  <c r="E14272" i="2"/>
  <c r="D14272" i="2"/>
  <c r="F6577" i="2"/>
  <c r="E6577" i="2"/>
  <c r="D6577" i="2"/>
  <c r="F6580" i="2"/>
  <c r="E6580" i="2"/>
  <c r="D6580" i="2"/>
  <c r="F6579" i="2"/>
  <c r="E6579" i="2"/>
  <c r="D6579" i="2"/>
  <c r="F6578" i="2"/>
  <c r="E6578" i="2"/>
  <c r="D6578" i="2"/>
  <c r="F9143" i="2"/>
  <c r="E9143" i="2"/>
  <c r="D9143" i="2"/>
  <c r="F9142" i="2"/>
  <c r="E9142" i="2"/>
  <c r="D9142" i="2"/>
  <c r="F9141" i="2"/>
  <c r="E9141" i="2"/>
  <c r="D9141" i="2"/>
  <c r="F9140" i="2"/>
  <c r="E9140" i="2"/>
  <c r="D9140" i="2"/>
  <c r="F9139" i="2"/>
  <c r="E9139" i="2"/>
  <c r="D9139" i="2"/>
  <c r="F9138" i="2"/>
  <c r="E9138" i="2"/>
  <c r="D9138" i="2"/>
  <c r="F9137" i="2"/>
  <c r="E9137" i="2"/>
  <c r="D9137" i="2"/>
  <c r="F9136" i="2"/>
  <c r="E9136" i="2"/>
  <c r="D9136" i="2"/>
  <c r="F9135" i="2"/>
  <c r="E9135" i="2"/>
  <c r="D9135" i="2"/>
  <c r="F9134" i="2"/>
  <c r="E9134" i="2"/>
  <c r="D9134" i="2"/>
  <c r="F16251" i="2"/>
  <c r="E16251" i="2"/>
  <c r="D16251" i="2"/>
  <c r="F16250" i="2"/>
  <c r="E16250" i="2"/>
  <c r="D16250" i="2"/>
  <c r="F16249" i="2"/>
  <c r="E16249" i="2"/>
  <c r="D16249" i="2"/>
  <c r="F16248" i="2"/>
  <c r="E16248" i="2"/>
  <c r="D16248" i="2"/>
  <c r="F16247" i="2"/>
  <c r="E16247" i="2"/>
  <c r="D16247" i="2"/>
  <c r="F16246" i="2"/>
  <c r="E16246" i="2"/>
  <c r="D16246" i="2"/>
  <c r="F16245" i="2"/>
  <c r="E16245" i="2"/>
  <c r="D16245" i="2"/>
  <c r="F3087" i="2"/>
  <c r="E3087" i="2"/>
  <c r="D3087" i="2"/>
  <c r="F3097" i="2"/>
  <c r="E3097" i="2"/>
  <c r="D3097" i="2"/>
  <c r="F3096" i="2"/>
  <c r="E3096" i="2"/>
  <c r="D3096" i="2"/>
  <c r="F3095" i="2"/>
  <c r="E3095" i="2"/>
  <c r="D3095" i="2"/>
  <c r="F3094" i="2"/>
  <c r="E3094" i="2"/>
  <c r="D3094" i="2"/>
  <c r="F3093" i="2"/>
  <c r="E3093" i="2"/>
  <c r="D3093" i="2"/>
  <c r="F3092" i="2"/>
  <c r="E3092" i="2"/>
  <c r="D3092" i="2"/>
  <c r="F3091" i="2"/>
  <c r="E3091" i="2"/>
  <c r="D3091" i="2"/>
  <c r="F3090" i="2"/>
  <c r="E3090" i="2"/>
  <c r="D3090" i="2"/>
  <c r="F3089" i="2"/>
  <c r="E3089" i="2"/>
  <c r="D3089" i="2"/>
  <c r="F3088" i="2"/>
  <c r="E3088" i="2"/>
  <c r="D3088" i="2"/>
  <c r="F9636" i="2"/>
  <c r="E9636" i="2"/>
  <c r="D9636" i="2"/>
  <c r="F9635" i="2"/>
  <c r="E9635" i="2"/>
  <c r="D9635" i="2"/>
  <c r="F9634" i="2"/>
  <c r="E9634" i="2"/>
  <c r="D9634" i="2"/>
  <c r="F9633" i="2"/>
  <c r="E9633" i="2"/>
  <c r="D9633" i="2"/>
  <c r="F9632" i="2"/>
  <c r="E9632" i="2"/>
  <c r="D9632" i="2"/>
  <c r="F9631" i="2"/>
  <c r="E9631" i="2"/>
  <c r="D9631" i="2"/>
  <c r="F9630" i="2"/>
  <c r="E9630" i="2"/>
  <c r="D9630" i="2"/>
  <c r="F12734" i="2"/>
  <c r="E12734" i="2"/>
  <c r="D12734" i="2"/>
  <c r="F12741" i="2"/>
  <c r="E12741" i="2"/>
  <c r="D12741" i="2"/>
  <c r="F12740" i="2"/>
  <c r="E12740" i="2"/>
  <c r="D12740" i="2"/>
  <c r="F12739" i="2"/>
  <c r="E12739" i="2"/>
  <c r="D12739" i="2"/>
  <c r="F12738" i="2"/>
  <c r="E12738" i="2"/>
  <c r="D12738" i="2"/>
  <c r="F12737" i="2"/>
  <c r="E12737" i="2"/>
  <c r="D12737" i="2"/>
  <c r="F12736" i="2"/>
  <c r="E12736" i="2"/>
  <c r="D12736" i="2"/>
  <c r="F12735" i="2"/>
  <c r="E12735" i="2"/>
  <c r="D12735" i="2"/>
  <c r="F13941" i="2"/>
  <c r="E13941" i="2"/>
  <c r="D13941" i="2"/>
  <c r="F13940" i="2"/>
  <c r="E13940" i="2"/>
  <c r="D13940" i="2"/>
  <c r="F13939" i="2"/>
  <c r="E13939" i="2"/>
  <c r="D13939" i="2"/>
  <c r="F13938" i="2"/>
  <c r="E13938" i="2"/>
  <c r="D13938" i="2"/>
  <c r="F13937" i="2"/>
  <c r="E13937" i="2"/>
  <c r="D13937" i="2"/>
  <c r="F13936" i="2"/>
  <c r="E13936" i="2"/>
  <c r="D13936" i="2"/>
  <c r="F13935" i="2"/>
  <c r="E13935" i="2"/>
  <c r="D13935" i="2"/>
  <c r="F13934" i="2"/>
  <c r="E13934" i="2"/>
  <c r="D13934" i="2"/>
  <c r="F13932" i="2"/>
  <c r="E13932" i="2"/>
  <c r="D13932" i="2"/>
  <c r="F13933" i="2"/>
  <c r="E13933" i="2"/>
  <c r="D13933" i="2"/>
  <c r="F13931" i="2"/>
  <c r="E13931" i="2"/>
  <c r="D13931" i="2"/>
  <c r="F3661" i="2"/>
  <c r="E3661" i="2"/>
  <c r="D3661" i="2"/>
  <c r="F4796" i="2"/>
  <c r="E4796" i="2"/>
  <c r="D4796" i="2"/>
  <c r="F4795" i="2"/>
  <c r="E4795" i="2"/>
  <c r="D4795" i="2"/>
  <c r="F4794" i="2"/>
  <c r="E4794" i="2"/>
  <c r="D4794" i="2"/>
  <c r="F4793" i="2"/>
  <c r="E4793" i="2"/>
  <c r="D4793" i="2"/>
  <c r="F4792" i="2"/>
  <c r="E4792" i="2"/>
  <c r="D4792" i="2"/>
  <c r="F4791" i="2"/>
  <c r="E4791" i="2"/>
  <c r="D4791" i="2"/>
  <c r="F4790" i="2"/>
  <c r="E4790" i="2"/>
  <c r="D4790" i="2"/>
  <c r="F4789" i="2"/>
  <c r="E4789" i="2"/>
  <c r="D4789" i="2"/>
  <c r="F4788" i="2"/>
  <c r="E4788" i="2"/>
  <c r="D4788" i="2"/>
  <c r="F4787" i="2"/>
  <c r="E4787" i="2"/>
  <c r="D4787" i="2"/>
  <c r="F4786" i="2"/>
  <c r="E4786" i="2"/>
  <c r="D4786" i="2"/>
  <c r="F4785" i="2"/>
  <c r="E4785" i="2"/>
  <c r="D4785" i="2"/>
  <c r="F4784" i="2"/>
  <c r="E4784" i="2"/>
  <c r="D4784" i="2"/>
  <c r="F4783" i="2"/>
  <c r="E4783" i="2"/>
  <c r="D4783" i="2"/>
  <c r="F4782" i="2"/>
  <c r="E4782" i="2"/>
  <c r="D4782" i="2"/>
  <c r="F10643" i="2"/>
  <c r="E10643" i="2"/>
  <c r="D10643" i="2"/>
  <c r="F10642" i="2"/>
  <c r="E10642" i="2"/>
  <c r="D10642" i="2"/>
  <c r="F10641" i="2"/>
  <c r="E10641" i="2"/>
  <c r="D10641" i="2"/>
  <c r="F10640" i="2"/>
  <c r="E10640" i="2"/>
  <c r="D10640" i="2"/>
  <c r="F10639" i="2"/>
  <c r="E10639" i="2"/>
  <c r="D10639" i="2"/>
  <c r="F9144" i="2"/>
  <c r="E9144" i="2"/>
  <c r="D9144" i="2"/>
  <c r="F9149" i="2"/>
  <c r="E9149" i="2"/>
  <c r="D9149" i="2"/>
  <c r="F9148" i="2"/>
  <c r="E9148" i="2"/>
  <c r="D9148" i="2"/>
  <c r="F9147" i="2"/>
  <c r="E9147" i="2"/>
  <c r="D9147" i="2"/>
  <c r="F9146" i="2"/>
  <c r="E9146" i="2"/>
  <c r="D9146" i="2"/>
  <c r="F9145" i="2"/>
  <c r="E9145" i="2"/>
  <c r="D9145" i="2"/>
  <c r="F1625" i="2"/>
  <c r="E1625" i="2"/>
  <c r="D1625" i="2"/>
  <c r="F3638" i="2"/>
  <c r="E3638" i="2"/>
  <c r="D3638" i="2"/>
  <c r="F3651" i="2"/>
  <c r="E3651" i="2"/>
  <c r="D3651" i="2"/>
  <c r="F3650" i="2"/>
  <c r="E3650" i="2"/>
  <c r="D3650" i="2"/>
  <c r="F3649" i="2"/>
  <c r="E3649" i="2"/>
  <c r="D3649" i="2"/>
  <c r="F3648" i="2"/>
  <c r="E3648" i="2"/>
  <c r="D3648" i="2"/>
  <c r="F3647" i="2"/>
  <c r="E3647" i="2"/>
  <c r="D3647" i="2"/>
  <c r="F3646" i="2"/>
  <c r="E3646" i="2"/>
  <c r="D3646" i="2"/>
  <c r="F3645" i="2"/>
  <c r="E3645" i="2"/>
  <c r="D3645" i="2"/>
  <c r="F3644" i="2"/>
  <c r="E3644" i="2"/>
  <c r="D3644" i="2"/>
  <c r="F3642" i="2"/>
  <c r="E3642" i="2"/>
  <c r="D3642" i="2"/>
  <c r="F3643" i="2"/>
  <c r="E3643" i="2"/>
  <c r="D3643" i="2"/>
  <c r="F3641" i="2"/>
  <c r="E3641" i="2"/>
  <c r="D3641" i="2"/>
  <c r="F3640" i="2"/>
  <c r="E3640" i="2"/>
  <c r="D3640" i="2"/>
  <c r="F3639" i="2"/>
  <c r="E3639" i="2"/>
  <c r="D3639" i="2"/>
  <c r="F6300" i="2"/>
  <c r="E6300" i="2"/>
  <c r="D6300" i="2"/>
  <c r="F6299" i="2"/>
  <c r="E6299" i="2"/>
  <c r="D6299" i="2"/>
  <c r="F7968" i="2"/>
  <c r="E7968" i="2"/>
  <c r="D7968" i="2"/>
  <c r="F7966" i="2"/>
  <c r="E7966" i="2"/>
  <c r="D7966" i="2"/>
  <c r="F7967" i="2"/>
  <c r="E7967" i="2"/>
  <c r="D7967" i="2"/>
  <c r="F7965" i="2"/>
  <c r="E7965" i="2"/>
  <c r="D7965" i="2"/>
  <c r="F7964" i="2"/>
  <c r="E7964" i="2"/>
  <c r="D7964" i="2"/>
  <c r="F7963" i="2"/>
  <c r="E7963" i="2"/>
  <c r="D7963" i="2"/>
  <c r="F7962" i="2"/>
  <c r="E7962" i="2"/>
  <c r="D7962" i="2"/>
  <c r="F7961" i="2"/>
  <c r="E7961" i="2"/>
  <c r="D7961" i="2"/>
  <c r="F15520" i="2"/>
  <c r="E15520" i="2"/>
  <c r="D15520" i="2"/>
  <c r="F15519" i="2"/>
  <c r="E15519" i="2"/>
  <c r="D15519" i="2"/>
  <c r="F15518" i="2"/>
  <c r="E15518" i="2"/>
  <c r="D15518" i="2"/>
  <c r="F15517" i="2"/>
  <c r="E15517" i="2"/>
  <c r="D15517" i="2"/>
  <c r="F15516" i="2"/>
  <c r="E15516" i="2"/>
  <c r="D15516" i="2"/>
  <c r="F15515" i="2"/>
  <c r="E15515" i="2"/>
  <c r="D15515" i="2"/>
  <c r="F15514" i="2"/>
  <c r="E15514" i="2"/>
  <c r="D15514" i="2"/>
  <c r="F8093" i="2"/>
  <c r="E8093" i="2"/>
  <c r="D8093" i="2"/>
  <c r="F8092" i="2"/>
  <c r="E8092" i="2"/>
  <c r="D8092" i="2"/>
  <c r="F8091" i="2"/>
  <c r="E8091" i="2"/>
  <c r="D8091" i="2"/>
  <c r="F8090" i="2"/>
  <c r="E8090" i="2"/>
  <c r="D8090" i="2"/>
  <c r="F8089" i="2"/>
  <c r="E8089" i="2"/>
  <c r="D8089" i="2"/>
  <c r="F8088" i="2"/>
  <c r="E8088" i="2"/>
  <c r="D8088" i="2"/>
  <c r="F8087" i="2"/>
  <c r="E8087" i="2"/>
  <c r="D8087" i="2"/>
  <c r="F8086" i="2"/>
  <c r="E8086" i="2"/>
  <c r="D8086" i="2"/>
  <c r="F8085" i="2"/>
  <c r="E8085" i="2"/>
  <c r="D8085" i="2"/>
  <c r="F8084" i="2"/>
  <c r="E8084" i="2"/>
  <c r="D8084" i="2"/>
  <c r="F8083" i="2"/>
  <c r="E8083" i="2"/>
  <c r="D8083" i="2"/>
  <c r="F8082" i="2"/>
  <c r="E8082" i="2"/>
  <c r="D8082" i="2"/>
  <c r="F8081" i="2"/>
  <c r="E8081" i="2"/>
  <c r="D8081" i="2"/>
  <c r="F8080" i="2"/>
  <c r="E8080" i="2"/>
  <c r="D8080" i="2"/>
  <c r="F8079" i="2"/>
  <c r="E8079" i="2"/>
  <c r="D8079" i="2"/>
  <c r="F8078" i="2"/>
  <c r="E8078" i="2"/>
  <c r="D8078" i="2"/>
  <c r="F8077" i="2"/>
  <c r="E8077" i="2"/>
  <c r="D8077" i="2"/>
  <c r="F8076" i="2"/>
  <c r="E8076" i="2"/>
  <c r="D8076" i="2"/>
  <c r="F8072" i="2"/>
  <c r="E8072" i="2"/>
  <c r="D8072" i="2"/>
  <c r="F8075" i="2"/>
  <c r="E8075" i="2"/>
  <c r="D8075" i="2"/>
  <c r="F8074" i="2"/>
  <c r="E8074" i="2"/>
  <c r="D8074" i="2"/>
  <c r="F8073" i="2"/>
  <c r="E8073" i="2"/>
  <c r="D8073" i="2"/>
  <c r="F8071" i="2"/>
  <c r="E8071" i="2"/>
  <c r="D8071" i="2"/>
  <c r="F8070" i="2"/>
  <c r="E8070" i="2"/>
  <c r="D8070" i="2"/>
  <c r="F8069" i="2"/>
  <c r="E8069" i="2"/>
  <c r="D8069" i="2"/>
  <c r="F8068" i="2"/>
  <c r="E8068" i="2"/>
  <c r="D8068" i="2"/>
  <c r="F8067" i="2"/>
  <c r="E8067" i="2"/>
  <c r="D8067" i="2"/>
  <c r="F8066" i="2"/>
  <c r="E8066" i="2"/>
  <c r="D8066" i="2"/>
  <c r="F8065" i="2"/>
  <c r="E8065" i="2"/>
  <c r="D8065" i="2"/>
  <c r="F8064" i="2"/>
  <c r="E8064" i="2"/>
  <c r="D8064" i="2"/>
  <c r="F8063" i="2"/>
  <c r="E8063" i="2"/>
  <c r="D8063" i="2"/>
  <c r="F8062" i="2"/>
  <c r="E8062" i="2"/>
  <c r="D8062" i="2"/>
  <c r="F8061" i="2"/>
  <c r="E8061" i="2"/>
  <c r="D8061" i="2"/>
  <c r="F8060" i="2"/>
  <c r="E8060" i="2"/>
  <c r="D8060" i="2"/>
  <c r="F8059" i="2"/>
  <c r="E8059" i="2"/>
  <c r="D8059" i="2"/>
  <c r="F8058" i="2"/>
  <c r="E8058" i="2"/>
  <c r="D8058" i="2"/>
  <c r="F8057" i="2"/>
  <c r="E8057" i="2"/>
  <c r="D8057" i="2"/>
  <c r="F11344" i="2"/>
  <c r="E11344" i="2"/>
  <c r="D11344" i="2"/>
  <c r="F11348" i="2"/>
  <c r="E11348" i="2"/>
  <c r="D11348" i="2"/>
  <c r="F11349" i="2"/>
  <c r="E11349" i="2"/>
  <c r="D11349" i="2"/>
  <c r="F11347" i="2"/>
  <c r="E11347" i="2"/>
  <c r="D11347" i="2"/>
  <c r="F11346" i="2"/>
  <c r="E11346" i="2"/>
  <c r="D11346" i="2"/>
  <c r="F11345" i="2"/>
  <c r="E11345" i="2"/>
  <c r="D11345" i="2"/>
  <c r="F13530" i="2"/>
  <c r="E13530" i="2"/>
  <c r="D13530" i="2"/>
  <c r="F13529" i="2"/>
  <c r="E13529" i="2"/>
  <c r="D13529" i="2"/>
  <c r="F13528" i="2"/>
  <c r="E13528" i="2"/>
  <c r="D13528" i="2"/>
  <c r="F13527" i="2"/>
  <c r="E13527" i="2"/>
  <c r="D13527" i="2"/>
  <c r="F13526" i="2"/>
  <c r="E13526" i="2"/>
  <c r="D13526" i="2"/>
  <c r="F13525" i="2"/>
  <c r="E13525" i="2"/>
  <c r="D13525" i="2"/>
  <c r="F13524" i="2"/>
  <c r="E13524" i="2"/>
  <c r="D13524" i="2"/>
  <c r="F13523" i="2"/>
  <c r="E13523" i="2"/>
  <c r="D13523" i="2"/>
  <c r="F13522" i="2"/>
  <c r="E13522" i="2"/>
  <c r="D13522" i="2"/>
  <c r="F13521" i="2"/>
  <c r="E13521" i="2"/>
  <c r="D13521" i="2"/>
  <c r="F13520" i="2"/>
  <c r="E13520" i="2"/>
  <c r="D13520" i="2"/>
  <c r="F5445" i="2"/>
  <c r="E5445" i="2"/>
  <c r="D5445" i="2"/>
  <c r="F5444" i="2"/>
  <c r="E5444" i="2"/>
  <c r="D5444" i="2"/>
  <c r="F5443" i="2"/>
  <c r="E5443" i="2"/>
  <c r="D5443" i="2"/>
  <c r="F5442" i="2"/>
  <c r="E5442" i="2"/>
  <c r="D5442" i="2"/>
  <c r="F5441" i="2"/>
  <c r="E5441" i="2"/>
  <c r="D5441" i="2"/>
  <c r="F5440" i="2"/>
  <c r="E5440" i="2"/>
  <c r="D5440" i="2"/>
  <c r="F5439" i="2"/>
  <c r="E5439" i="2"/>
  <c r="D5439" i="2"/>
  <c r="F5438" i="2"/>
  <c r="E5438" i="2"/>
  <c r="D5438" i="2"/>
  <c r="F5437" i="2"/>
  <c r="E5437" i="2"/>
  <c r="D5437" i="2"/>
  <c r="F5436" i="2"/>
  <c r="E5436" i="2"/>
  <c r="D5436" i="2"/>
  <c r="F5435" i="2"/>
  <c r="E5435" i="2"/>
  <c r="D5435" i="2"/>
  <c r="F5434" i="2"/>
  <c r="E5434" i="2"/>
  <c r="D5434" i="2"/>
  <c r="F5433" i="2"/>
  <c r="E5433" i="2"/>
  <c r="D5433" i="2"/>
  <c r="F5432" i="2"/>
  <c r="E5432" i="2"/>
  <c r="D5432" i="2"/>
  <c r="F5431" i="2"/>
  <c r="E5431" i="2"/>
  <c r="D5431" i="2"/>
  <c r="F5430" i="2"/>
  <c r="E5430" i="2"/>
  <c r="D5430" i="2"/>
  <c r="F5429" i="2"/>
  <c r="E5429" i="2"/>
  <c r="D5429" i="2"/>
  <c r="F5428" i="2"/>
  <c r="E5428" i="2"/>
  <c r="D5428" i="2"/>
  <c r="F5396" i="2"/>
  <c r="E5396" i="2"/>
  <c r="D5396" i="2"/>
  <c r="F5420" i="2"/>
  <c r="E5420" i="2"/>
  <c r="D5420" i="2"/>
  <c r="F5419" i="2"/>
  <c r="E5419" i="2"/>
  <c r="D5419" i="2"/>
  <c r="F5418" i="2"/>
  <c r="E5418" i="2"/>
  <c r="D5418" i="2"/>
  <c r="F5417" i="2"/>
  <c r="E5417" i="2"/>
  <c r="D5417" i="2"/>
  <c r="F5416" i="2"/>
  <c r="E5416" i="2"/>
  <c r="D5416" i="2"/>
  <c r="F5415" i="2"/>
  <c r="E5415" i="2"/>
  <c r="D5415" i="2"/>
  <c r="F5414" i="2"/>
  <c r="E5414" i="2"/>
  <c r="D5414" i="2"/>
  <c r="F5413" i="2"/>
  <c r="E5413" i="2"/>
  <c r="D5413" i="2"/>
  <c r="F5412" i="2"/>
  <c r="E5412" i="2"/>
  <c r="D5412" i="2"/>
  <c r="F5411" i="2"/>
  <c r="E5411" i="2"/>
  <c r="D5411" i="2"/>
  <c r="F5410" i="2"/>
  <c r="E5410" i="2"/>
  <c r="D5410" i="2"/>
  <c r="F5409" i="2"/>
  <c r="E5409" i="2"/>
  <c r="D5409" i="2"/>
  <c r="F5408" i="2"/>
  <c r="E5408" i="2"/>
  <c r="D5408" i="2"/>
  <c r="F5407" i="2"/>
  <c r="E5407" i="2"/>
  <c r="D5407" i="2"/>
  <c r="F5406" i="2"/>
  <c r="E5406" i="2"/>
  <c r="D5406" i="2"/>
  <c r="F5405" i="2"/>
  <c r="E5405" i="2"/>
  <c r="D5405" i="2"/>
  <c r="F5404" i="2"/>
  <c r="E5404" i="2"/>
  <c r="D5404" i="2"/>
  <c r="F5403" i="2"/>
  <c r="E5403" i="2"/>
  <c r="D5403" i="2"/>
  <c r="F5402" i="2"/>
  <c r="E5402" i="2"/>
  <c r="D5402" i="2"/>
  <c r="F5401" i="2"/>
  <c r="E5401" i="2"/>
  <c r="D5401" i="2"/>
  <c r="F5400" i="2"/>
  <c r="E5400" i="2"/>
  <c r="D5400" i="2"/>
  <c r="F5399" i="2"/>
  <c r="E5399" i="2"/>
  <c r="D5399" i="2"/>
  <c r="F5398" i="2"/>
  <c r="E5398" i="2"/>
  <c r="D5398" i="2"/>
  <c r="F5397" i="2"/>
  <c r="E5397" i="2"/>
  <c r="D5397" i="2"/>
  <c r="F13508" i="2"/>
  <c r="E13508" i="2"/>
  <c r="D13508" i="2"/>
  <c r="F13507" i="2"/>
  <c r="E13507" i="2"/>
  <c r="D13507" i="2"/>
  <c r="F13506" i="2"/>
  <c r="E13506" i="2"/>
  <c r="D13506" i="2"/>
  <c r="F13505" i="2"/>
  <c r="E13505" i="2"/>
  <c r="D13505" i="2"/>
  <c r="F13504" i="2"/>
  <c r="E13504" i="2"/>
  <c r="D13504" i="2"/>
  <c r="F13503" i="2"/>
  <c r="E13503" i="2"/>
  <c r="D13503" i="2"/>
  <c r="F13502" i="2"/>
  <c r="E13502" i="2"/>
  <c r="D13502" i="2"/>
  <c r="F13501" i="2"/>
  <c r="E13501" i="2"/>
  <c r="D13501" i="2"/>
  <c r="F13500" i="2"/>
  <c r="E13500" i="2"/>
  <c r="D13500" i="2"/>
  <c r="F13499" i="2"/>
  <c r="E13499" i="2"/>
  <c r="D13499" i="2"/>
  <c r="F13498" i="2"/>
  <c r="E13498" i="2"/>
  <c r="D13498" i="2"/>
  <c r="F13497" i="2"/>
  <c r="E13497" i="2"/>
  <c r="D13497" i="2"/>
  <c r="F13496" i="2"/>
  <c r="E13496" i="2"/>
  <c r="D13496" i="2"/>
  <c r="F13495" i="2"/>
  <c r="E13495" i="2"/>
  <c r="D13495" i="2"/>
  <c r="F13494" i="2"/>
  <c r="E13494" i="2"/>
  <c r="D13494" i="2"/>
  <c r="F13493" i="2"/>
  <c r="E13493" i="2"/>
  <c r="D13493" i="2"/>
  <c r="F13492" i="2"/>
  <c r="E13492" i="2"/>
  <c r="D13492" i="2"/>
  <c r="F13491" i="2"/>
  <c r="E13491" i="2"/>
  <c r="D13491" i="2"/>
  <c r="F13490" i="2"/>
  <c r="E13490" i="2"/>
  <c r="D13490" i="2"/>
  <c r="F13489" i="2"/>
  <c r="E13489" i="2"/>
  <c r="D13489" i="2"/>
  <c r="F13488" i="2"/>
  <c r="E13488" i="2"/>
  <c r="D13488" i="2"/>
  <c r="F580" i="2"/>
  <c r="E580" i="2"/>
  <c r="D580" i="2"/>
  <c r="F579" i="2"/>
  <c r="E579" i="2"/>
  <c r="D579" i="2"/>
  <c r="F578" i="2"/>
  <c r="E578" i="2"/>
  <c r="D578" i="2"/>
  <c r="F577" i="2"/>
  <c r="E577" i="2"/>
  <c r="D577" i="2"/>
  <c r="F576" i="2"/>
  <c r="E576" i="2"/>
  <c r="D576" i="2"/>
  <c r="F8111" i="2"/>
  <c r="E8111" i="2"/>
  <c r="D8111" i="2"/>
  <c r="F8145" i="2"/>
  <c r="E8145" i="2"/>
  <c r="D8145" i="2"/>
  <c r="F8144" i="2"/>
  <c r="E8144" i="2"/>
  <c r="D8144" i="2"/>
  <c r="F8143" i="2"/>
  <c r="E8143" i="2"/>
  <c r="D8143" i="2"/>
  <c r="F8142" i="2"/>
  <c r="E8142" i="2"/>
  <c r="D8142" i="2"/>
  <c r="F8141" i="2"/>
  <c r="E8141" i="2"/>
  <c r="D8141" i="2"/>
  <c r="F8140" i="2"/>
  <c r="E8140" i="2"/>
  <c r="D8140" i="2"/>
  <c r="F8139" i="2"/>
  <c r="E8139" i="2"/>
  <c r="D8139" i="2"/>
  <c r="F8138" i="2"/>
  <c r="E8138" i="2"/>
  <c r="D8138" i="2"/>
  <c r="F8137" i="2"/>
  <c r="E8137" i="2"/>
  <c r="D8137" i="2"/>
  <c r="F8136" i="2"/>
  <c r="E8136" i="2"/>
  <c r="D8136" i="2"/>
  <c r="F8135" i="2"/>
  <c r="E8135" i="2"/>
  <c r="D8135" i="2"/>
  <c r="F8134" i="2"/>
  <c r="E8134" i="2"/>
  <c r="D8134" i="2"/>
  <c r="F8133" i="2"/>
  <c r="E8133" i="2"/>
  <c r="D8133" i="2"/>
  <c r="F8132" i="2"/>
  <c r="E8132" i="2"/>
  <c r="D8132" i="2"/>
  <c r="F8131" i="2"/>
  <c r="E8131" i="2"/>
  <c r="D8131" i="2"/>
  <c r="F8130" i="2"/>
  <c r="E8130" i="2"/>
  <c r="D8130" i="2"/>
  <c r="F8129" i="2"/>
  <c r="E8129" i="2"/>
  <c r="D8129" i="2"/>
  <c r="F8128" i="2"/>
  <c r="E8128" i="2"/>
  <c r="D8128" i="2"/>
  <c r="F8127" i="2"/>
  <c r="E8127" i="2"/>
  <c r="D8127" i="2"/>
  <c r="F8126" i="2"/>
  <c r="E8126" i="2"/>
  <c r="D8126" i="2"/>
  <c r="F8125" i="2"/>
  <c r="E8125" i="2"/>
  <c r="D8125" i="2"/>
  <c r="F8124" i="2"/>
  <c r="E8124" i="2"/>
  <c r="D8124" i="2"/>
  <c r="F8123" i="2"/>
  <c r="E8123" i="2"/>
  <c r="D8123" i="2"/>
  <c r="F8122" i="2"/>
  <c r="E8122" i="2"/>
  <c r="D8122" i="2"/>
  <c r="F8121" i="2"/>
  <c r="E8121" i="2"/>
  <c r="D8121" i="2"/>
  <c r="F8120" i="2"/>
  <c r="E8120" i="2"/>
  <c r="D8120" i="2"/>
  <c r="F8119" i="2"/>
  <c r="E8119" i="2"/>
  <c r="D8119" i="2"/>
  <c r="F8118" i="2"/>
  <c r="E8118" i="2"/>
  <c r="D8118" i="2"/>
  <c r="F8117" i="2"/>
  <c r="E8117" i="2"/>
  <c r="D8117" i="2"/>
  <c r="F8116" i="2"/>
  <c r="E8116" i="2"/>
  <c r="D8116" i="2"/>
  <c r="F8115" i="2"/>
  <c r="E8115" i="2"/>
  <c r="D8115" i="2"/>
  <c r="F8114" i="2"/>
  <c r="E8114" i="2"/>
  <c r="D8114" i="2"/>
  <c r="F8113" i="2"/>
  <c r="E8113" i="2"/>
  <c r="D8113" i="2"/>
  <c r="F8110" i="2"/>
  <c r="E8110" i="2"/>
  <c r="D8110" i="2"/>
  <c r="F8112" i="2"/>
  <c r="E8112" i="2"/>
  <c r="D8112" i="2"/>
  <c r="F4445" i="2"/>
  <c r="E4445" i="2"/>
  <c r="D4445" i="2"/>
  <c r="F4454" i="2"/>
  <c r="E4454" i="2"/>
  <c r="D4454" i="2"/>
  <c r="F4453" i="2"/>
  <c r="E4453" i="2"/>
  <c r="D4453" i="2"/>
  <c r="F4452" i="2"/>
  <c r="E4452" i="2"/>
  <c r="D4452" i="2"/>
  <c r="F4451" i="2"/>
  <c r="E4451" i="2"/>
  <c r="D4451" i="2"/>
  <c r="F4450" i="2"/>
  <c r="E4450" i="2"/>
  <c r="D4450" i="2"/>
  <c r="F4449" i="2"/>
  <c r="E4449" i="2"/>
  <c r="D4449" i="2"/>
  <c r="F4448" i="2"/>
  <c r="E4448" i="2"/>
  <c r="D4448" i="2"/>
  <c r="F4447" i="2"/>
  <c r="E4447" i="2"/>
  <c r="D4447" i="2"/>
  <c r="F4446" i="2"/>
  <c r="E4446" i="2"/>
  <c r="D4446" i="2"/>
  <c r="F13777" i="2"/>
  <c r="E13777" i="2"/>
  <c r="D13777" i="2"/>
  <c r="F13776" i="2"/>
  <c r="E13776" i="2"/>
  <c r="D13776" i="2"/>
  <c r="F13775" i="2"/>
  <c r="E13775" i="2"/>
  <c r="D13775" i="2"/>
  <c r="F13774" i="2"/>
  <c r="E13774" i="2"/>
  <c r="D13774" i="2"/>
  <c r="F13773" i="2"/>
  <c r="E13773" i="2"/>
  <c r="D13773" i="2"/>
  <c r="F13772" i="2"/>
  <c r="E13772" i="2"/>
  <c r="D13772" i="2"/>
  <c r="F13771" i="2"/>
  <c r="E13771" i="2"/>
  <c r="D13771" i="2"/>
  <c r="F13770" i="2"/>
  <c r="E13770" i="2"/>
  <c r="D13770" i="2"/>
  <c r="F13769" i="2"/>
  <c r="E13769" i="2"/>
  <c r="D13769" i="2"/>
  <c r="F2878" i="2"/>
  <c r="E2878" i="2"/>
  <c r="D2878" i="2"/>
  <c r="F2877" i="2"/>
  <c r="E2877" i="2"/>
  <c r="D2877" i="2"/>
  <c r="F2876" i="2"/>
  <c r="E2876" i="2"/>
  <c r="D2876" i="2"/>
  <c r="F2875" i="2"/>
  <c r="E2875" i="2"/>
  <c r="D2875" i="2"/>
  <c r="F2874" i="2"/>
  <c r="E2874" i="2"/>
  <c r="D2874" i="2"/>
  <c r="F2873" i="2"/>
  <c r="E2873" i="2"/>
  <c r="D2873" i="2"/>
  <c r="F2872" i="2"/>
  <c r="E2872" i="2"/>
  <c r="D2872" i="2"/>
  <c r="F15873" i="2"/>
  <c r="E15873" i="2"/>
  <c r="D15873" i="2"/>
  <c r="F15869" i="2"/>
  <c r="E15869" i="2"/>
  <c r="D15869" i="2"/>
  <c r="F15872" i="2"/>
  <c r="E15872" i="2"/>
  <c r="D15872" i="2"/>
  <c r="F15871" i="2"/>
  <c r="E15871" i="2"/>
  <c r="D15871" i="2"/>
  <c r="F15870" i="2"/>
  <c r="E15870" i="2"/>
  <c r="D15870" i="2"/>
  <c r="F15868" i="2"/>
  <c r="E15868" i="2"/>
  <c r="D15868" i="2"/>
  <c r="F15867" i="2"/>
  <c r="E15867" i="2"/>
  <c r="D15867" i="2"/>
  <c r="F15866" i="2"/>
  <c r="E15866" i="2"/>
  <c r="D15866" i="2"/>
  <c r="F15865" i="2"/>
  <c r="E15865" i="2"/>
  <c r="D15865" i="2"/>
  <c r="F15864" i="2"/>
  <c r="E15864" i="2"/>
  <c r="D15864" i="2"/>
  <c r="F15863" i="2"/>
  <c r="E15863" i="2"/>
  <c r="D15863" i="2"/>
  <c r="F15862" i="2"/>
  <c r="E15862" i="2"/>
  <c r="D15862" i="2"/>
  <c r="F15861" i="2"/>
  <c r="E15861" i="2"/>
  <c r="D15861" i="2"/>
  <c r="F15860" i="2"/>
  <c r="E15860" i="2"/>
  <c r="D15860" i="2"/>
  <c r="F15859" i="2"/>
  <c r="E15859" i="2"/>
  <c r="D15859" i="2"/>
  <c r="F15858" i="2"/>
  <c r="E15858" i="2"/>
  <c r="D15858" i="2"/>
  <c r="F15857" i="2"/>
  <c r="E15857" i="2"/>
  <c r="D15857" i="2"/>
  <c r="F15856" i="2"/>
  <c r="E15856" i="2"/>
  <c r="D15856" i="2"/>
  <c r="F15855" i="2"/>
  <c r="E15855" i="2"/>
  <c r="D15855" i="2"/>
  <c r="F15854" i="2"/>
  <c r="E15854" i="2"/>
  <c r="D15854" i="2"/>
  <c r="F15853" i="2"/>
  <c r="E15853" i="2"/>
  <c r="D15853" i="2"/>
  <c r="F15852" i="2"/>
  <c r="E15852" i="2"/>
  <c r="D15852" i="2"/>
  <c r="F15851" i="2"/>
  <c r="E15851" i="2"/>
  <c r="D15851" i="2"/>
  <c r="F15850" i="2"/>
  <c r="E15850" i="2"/>
  <c r="D15850" i="2"/>
  <c r="F15849" i="2"/>
  <c r="E15849" i="2"/>
  <c r="D15849" i="2"/>
  <c r="F15848" i="2"/>
  <c r="E15848" i="2"/>
  <c r="D15848" i="2"/>
  <c r="F15847" i="2"/>
  <c r="E15847" i="2"/>
  <c r="D15847" i="2"/>
  <c r="F15846" i="2"/>
  <c r="E15846" i="2"/>
  <c r="D15846" i="2"/>
  <c r="F15845" i="2"/>
  <c r="E15845" i="2"/>
  <c r="D15845" i="2"/>
  <c r="F15844" i="2"/>
  <c r="E15844" i="2"/>
  <c r="D15844" i="2"/>
  <c r="F15843" i="2"/>
  <c r="E15843" i="2"/>
  <c r="D15843" i="2"/>
  <c r="F15842" i="2"/>
  <c r="E15842" i="2"/>
  <c r="D15842" i="2"/>
  <c r="F15841" i="2"/>
  <c r="E15841" i="2"/>
  <c r="D15841" i="2"/>
  <c r="F15840" i="2"/>
  <c r="E15840" i="2"/>
  <c r="D15840" i="2"/>
  <c r="F15839" i="2"/>
  <c r="E15839" i="2"/>
  <c r="D15839" i="2"/>
  <c r="F15838" i="2"/>
  <c r="E15838" i="2"/>
  <c r="D15838" i="2"/>
  <c r="F15837" i="2"/>
  <c r="E15837" i="2"/>
  <c r="D15837" i="2"/>
  <c r="F15836" i="2"/>
  <c r="E15836" i="2"/>
  <c r="D15836" i="2"/>
  <c r="F15835" i="2"/>
  <c r="E15835" i="2"/>
  <c r="D15835" i="2"/>
  <c r="F15832" i="2"/>
  <c r="E15832" i="2"/>
  <c r="D15832" i="2"/>
  <c r="F15834" i="2"/>
  <c r="E15834" i="2"/>
  <c r="D15834" i="2"/>
  <c r="F15833" i="2"/>
  <c r="E15833" i="2"/>
  <c r="D15833" i="2"/>
  <c r="F15831" i="2"/>
  <c r="E15831" i="2"/>
  <c r="D15831" i="2"/>
  <c r="F15830" i="2"/>
  <c r="E15830" i="2"/>
  <c r="D15830" i="2"/>
  <c r="F15829" i="2"/>
  <c r="E15829" i="2"/>
  <c r="D15829" i="2"/>
  <c r="F15827" i="2"/>
  <c r="E15827" i="2"/>
  <c r="D15827" i="2"/>
  <c r="F15828" i="2"/>
  <c r="E15828" i="2"/>
  <c r="D15828" i="2"/>
  <c r="F15771" i="2"/>
  <c r="E15771" i="2"/>
  <c r="D15771" i="2"/>
  <c r="F15770" i="2"/>
  <c r="E15770" i="2"/>
  <c r="D15770" i="2"/>
  <c r="F15769" i="2"/>
  <c r="E15769" i="2"/>
  <c r="D15769" i="2"/>
  <c r="F15768" i="2"/>
  <c r="E15768" i="2"/>
  <c r="D15768" i="2"/>
  <c r="F15767" i="2"/>
  <c r="E15767" i="2"/>
  <c r="D15767" i="2"/>
  <c r="F15766" i="2"/>
  <c r="E15766" i="2"/>
  <c r="D15766" i="2"/>
  <c r="F15765" i="2"/>
  <c r="E15765" i="2"/>
  <c r="D15765" i="2"/>
  <c r="F15764" i="2"/>
  <c r="E15764" i="2"/>
  <c r="D15764" i="2"/>
  <c r="F15763" i="2"/>
  <c r="E15763" i="2"/>
  <c r="D15763" i="2"/>
  <c r="F15762" i="2"/>
  <c r="E15762" i="2"/>
  <c r="D15762" i="2"/>
  <c r="F15761" i="2"/>
  <c r="E15761" i="2"/>
  <c r="D15761" i="2"/>
  <c r="F15760" i="2"/>
  <c r="E15760" i="2"/>
  <c r="D15760" i="2"/>
  <c r="F15759" i="2"/>
  <c r="E15759" i="2"/>
  <c r="D15759" i="2"/>
  <c r="F15758" i="2"/>
  <c r="E15758" i="2"/>
  <c r="D15758" i="2"/>
  <c r="F15757" i="2"/>
  <c r="E15757" i="2"/>
  <c r="D15757" i="2"/>
  <c r="F15756" i="2"/>
  <c r="E15756" i="2"/>
  <c r="D15756" i="2"/>
  <c r="F15755" i="2"/>
  <c r="E15755" i="2"/>
  <c r="D15755" i="2"/>
  <c r="F15754" i="2"/>
  <c r="E15754" i="2"/>
  <c r="D15754" i="2"/>
  <c r="F15753" i="2"/>
  <c r="E15753" i="2"/>
  <c r="D15753" i="2"/>
  <c r="F15752" i="2"/>
  <c r="E15752" i="2"/>
  <c r="D15752" i="2"/>
  <c r="F15751" i="2"/>
  <c r="E15751" i="2"/>
  <c r="D15751" i="2"/>
  <c r="F15750" i="2"/>
  <c r="E15750" i="2"/>
  <c r="D15750" i="2"/>
  <c r="F15748" i="2"/>
  <c r="E15748" i="2"/>
  <c r="D15748" i="2"/>
  <c r="F15749" i="2"/>
  <c r="E15749" i="2"/>
  <c r="D15749" i="2"/>
  <c r="F15747" i="2"/>
  <c r="E15747" i="2"/>
  <c r="D15747" i="2"/>
  <c r="F15746" i="2"/>
  <c r="E15746" i="2"/>
  <c r="D15746" i="2"/>
  <c r="F15745" i="2"/>
  <c r="E15745" i="2"/>
  <c r="D15745" i="2"/>
  <c r="F15744" i="2"/>
  <c r="E15744" i="2"/>
  <c r="D15744" i="2"/>
  <c r="F15743" i="2"/>
  <c r="E15743" i="2"/>
  <c r="D15743" i="2"/>
  <c r="F15742" i="2"/>
  <c r="E15742" i="2"/>
  <c r="D15742" i="2"/>
  <c r="F15741" i="2"/>
  <c r="E15741" i="2"/>
  <c r="D15741" i="2"/>
  <c r="F15740" i="2"/>
  <c r="E15740" i="2"/>
  <c r="D15740" i="2"/>
  <c r="F15739" i="2"/>
  <c r="E15739" i="2"/>
  <c r="D15739" i="2"/>
  <c r="F15738" i="2"/>
  <c r="E15738" i="2"/>
  <c r="D15738" i="2"/>
  <c r="F15737" i="2"/>
  <c r="E15737" i="2"/>
  <c r="D15737" i="2"/>
  <c r="F15736" i="2"/>
  <c r="E15736" i="2"/>
  <c r="D15736" i="2"/>
  <c r="F15735" i="2"/>
  <c r="E15735" i="2"/>
  <c r="D15735" i="2"/>
  <c r="F15734" i="2"/>
  <c r="E15734" i="2"/>
  <c r="D15734" i="2"/>
  <c r="F15733" i="2"/>
  <c r="E15733" i="2"/>
  <c r="D15733" i="2"/>
  <c r="F15732" i="2"/>
  <c r="E15732" i="2"/>
  <c r="D15732" i="2"/>
  <c r="F15731" i="2"/>
  <c r="E15731" i="2"/>
  <c r="D15731" i="2"/>
  <c r="F15730" i="2"/>
  <c r="E15730" i="2"/>
  <c r="D15730" i="2"/>
  <c r="F15729" i="2"/>
  <c r="E15729" i="2"/>
  <c r="D15729" i="2"/>
  <c r="F12752" i="2"/>
  <c r="E12752" i="2"/>
  <c r="D12752" i="2"/>
  <c r="F12751" i="2"/>
  <c r="E12751" i="2"/>
  <c r="D12751" i="2"/>
  <c r="F15094" i="2"/>
  <c r="E15094" i="2"/>
  <c r="D15094" i="2"/>
  <c r="F15093" i="2"/>
  <c r="E15093" i="2"/>
  <c r="D15093" i="2"/>
  <c r="F15092" i="2"/>
  <c r="E15092" i="2"/>
  <c r="D15092" i="2"/>
  <c r="F15091" i="2"/>
  <c r="E15091" i="2"/>
  <c r="D15091" i="2"/>
  <c r="F15090" i="2"/>
  <c r="E15090" i="2"/>
  <c r="D15090" i="2"/>
  <c r="F15089" i="2"/>
  <c r="E15089" i="2"/>
  <c r="D15089" i="2"/>
  <c r="F15088" i="2"/>
  <c r="E15088" i="2"/>
  <c r="D15088" i="2"/>
  <c r="F15087" i="2"/>
  <c r="E15087" i="2"/>
  <c r="D15087" i="2"/>
  <c r="F15085" i="2"/>
  <c r="E15085" i="2"/>
  <c r="D15085" i="2"/>
  <c r="F15086" i="2"/>
  <c r="E15086" i="2"/>
  <c r="D15086" i="2"/>
  <c r="F15084" i="2"/>
  <c r="E15084" i="2"/>
  <c r="D15084" i="2"/>
  <c r="F15083" i="2"/>
  <c r="E15083" i="2"/>
  <c r="D15083" i="2"/>
  <c r="F15082" i="2"/>
  <c r="E15082" i="2"/>
  <c r="D15082" i="2"/>
  <c r="F15081" i="2"/>
  <c r="E15081" i="2"/>
  <c r="D15081" i="2"/>
  <c r="F15080" i="2"/>
  <c r="E15080" i="2"/>
  <c r="D15080" i="2"/>
  <c r="F15079" i="2"/>
  <c r="E15079" i="2"/>
  <c r="D15079" i="2"/>
  <c r="F15078" i="2"/>
  <c r="E15078" i="2"/>
  <c r="D15078" i="2"/>
  <c r="F15077" i="2"/>
  <c r="E15077" i="2"/>
  <c r="D15077" i="2"/>
  <c r="F15076" i="2"/>
  <c r="E15076" i="2"/>
  <c r="D15076" i="2"/>
  <c r="F15075" i="2"/>
  <c r="E15075" i="2"/>
  <c r="D15075" i="2"/>
  <c r="F15140" i="2"/>
  <c r="E15140" i="2"/>
  <c r="D15140" i="2"/>
  <c r="F15151" i="2"/>
  <c r="E15151" i="2"/>
  <c r="D15151" i="2"/>
  <c r="F15150" i="2"/>
  <c r="E15150" i="2"/>
  <c r="D15150" i="2"/>
  <c r="F15149" i="2"/>
  <c r="E15149" i="2"/>
  <c r="D15149" i="2"/>
  <c r="F15148" i="2"/>
  <c r="E15148" i="2"/>
  <c r="D15148" i="2"/>
  <c r="F15147" i="2"/>
  <c r="E15147" i="2"/>
  <c r="D15147" i="2"/>
  <c r="F15146" i="2"/>
  <c r="E15146" i="2"/>
  <c r="D15146" i="2"/>
  <c r="F15145" i="2"/>
  <c r="E15145" i="2"/>
  <c r="D15145" i="2"/>
  <c r="F15144" i="2"/>
  <c r="E15144" i="2"/>
  <c r="D15144" i="2"/>
  <c r="F15143" i="2"/>
  <c r="E15143" i="2"/>
  <c r="D15143" i="2"/>
  <c r="F15142" i="2"/>
  <c r="E15142" i="2"/>
  <c r="D15142" i="2"/>
  <c r="F15141" i="2"/>
  <c r="E15141" i="2"/>
  <c r="D15141" i="2"/>
  <c r="F12003" i="2"/>
  <c r="E12003" i="2"/>
  <c r="D12003" i="2"/>
  <c r="F12002" i="2"/>
  <c r="E12002" i="2"/>
  <c r="D12002" i="2"/>
  <c r="F12001" i="2"/>
  <c r="E12001" i="2"/>
  <c r="D12001" i="2"/>
  <c r="F12000" i="2"/>
  <c r="E12000" i="2"/>
  <c r="D12000" i="2"/>
  <c r="F11999" i="2"/>
  <c r="E11999" i="2"/>
  <c r="D11999" i="2"/>
  <c r="F11998" i="2"/>
  <c r="E11998" i="2"/>
  <c r="D11998" i="2"/>
  <c r="F11997" i="2"/>
  <c r="E11997" i="2"/>
  <c r="D11997" i="2"/>
  <c r="F11996" i="2"/>
  <c r="E11996" i="2"/>
  <c r="D11996" i="2"/>
  <c r="F11995" i="2"/>
  <c r="E11995" i="2"/>
  <c r="D11995" i="2"/>
  <c r="F11994" i="2"/>
  <c r="E11994" i="2"/>
  <c r="D11994" i="2"/>
  <c r="F11993" i="2"/>
  <c r="E11993" i="2"/>
  <c r="D11993" i="2"/>
  <c r="F11992" i="2"/>
  <c r="E11992" i="2"/>
  <c r="D11992" i="2"/>
  <c r="F11991" i="2"/>
  <c r="E11991" i="2"/>
  <c r="D11991" i="2"/>
  <c r="F11990" i="2"/>
  <c r="E11990" i="2"/>
  <c r="D11990" i="2"/>
  <c r="F11989" i="2"/>
  <c r="E11989" i="2"/>
  <c r="D11989" i="2"/>
  <c r="F11988" i="2"/>
  <c r="E11988" i="2"/>
  <c r="D11988" i="2"/>
  <c r="F11987" i="2"/>
  <c r="E11987" i="2"/>
  <c r="D11987" i="2"/>
  <c r="F11986" i="2"/>
  <c r="E11986" i="2"/>
  <c r="D11986" i="2"/>
  <c r="F13543" i="2"/>
  <c r="E13543" i="2"/>
  <c r="D13543" i="2"/>
  <c r="F13542" i="2"/>
  <c r="E13542" i="2"/>
  <c r="D13542" i="2"/>
  <c r="F13541" i="2"/>
  <c r="E13541" i="2"/>
  <c r="D13541" i="2"/>
  <c r="F13540" i="2"/>
  <c r="E13540" i="2"/>
  <c r="D13540" i="2"/>
  <c r="F13539" i="2"/>
  <c r="E13539" i="2"/>
  <c r="D13539" i="2"/>
  <c r="F13538" i="2"/>
  <c r="E13538" i="2"/>
  <c r="D13538" i="2"/>
  <c r="F13537" i="2"/>
  <c r="E13537" i="2"/>
  <c r="D13537" i="2"/>
  <c r="F13536" i="2"/>
  <c r="E13536" i="2"/>
  <c r="D13536" i="2"/>
  <c r="F13535" i="2"/>
  <c r="E13535" i="2"/>
  <c r="D13535" i="2"/>
  <c r="F13534" i="2"/>
  <c r="E13534" i="2"/>
  <c r="D13534" i="2"/>
  <c r="F13533" i="2"/>
  <c r="E13533" i="2"/>
  <c r="D13533" i="2"/>
  <c r="F13532" i="2"/>
  <c r="E13532" i="2"/>
  <c r="D13532" i="2"/>
  <c r="F13531" i="2"/>
  <c r="E13531" i="2"/>
  <c r="D13531" i="2"/>
  <c r="F10913" i="2"/>
  <c r="E10913" i="2"/>
  <c r="D10913" i="2"/>
  <c r="F10912" i="2"/>
  <c r="E10912" i="2"/>
  <c r="D10912" i="2"/>
  <c r="F10911" i="2"/>
  <c r="E10911" i="2"/>
  <c r="D10911" i="2"/>
  <c r="F2893" i="2"/>
  <c r="E2893" i="2"/>
  <c r="D2893" i="2"/>
  <c r="F2892" i="2"/>
  <c r="E2892" i="2"/>
  <c r="D2892" i="2"/>
  <c r="F2891" i="2"/>
  <c r="E2891" i="2"/>
  <c r="D2891" i="2"/>
  <c r="F2890" i="2"/>
  <c r="E2890" i="2"/>
  <c r="D2890" i="2"/>
  <c r="F2889" i="2"/>
  <c r="E2889" i="2"/>
  <c r="D2889" i="2"/>
  <c r="F2888" i="2"/>
  <c r="E2888" i="2"/>
  <c r="D2888" i="2"/>
  <c r="F2887" i="2"/>
  <c r="E2887" i="2"/>
  <c r="D2887" i="2"/>
  <c r="F2886" i="2"/>
  <c r="E2886" i="2"/>
  <c r="D2886" i="2"/>
  <c r="F2885" i="2"/>
  <c r="E2885" i="2"/>
  <c r="D2885" i="2"/>
  <c r="F2884" i="2"/>
  <c r="E2884" i="2"/>
  <c r="D2884" i="2"/>
  <c r="F2883" i="2"/>
  <c r="E2883" i="2"/>
  <c r="D2883" i="2"/>
  <c r="F2882" i="2"/>
  <c r="E2882" i="2"/>
  <c r="D2882" i="2"/>
  <c r="F2881" i="2"/>
  <c r="E2881" i="2"/>
  <c r="D2881" i="2"/>
  <c r="F2880" i="2"/>
  <c r="E2880" i="2"/>
  <c r="D2880" i="2"/>
  <c r="F2879" i="2"/>
  <c r="E2879" i="2"/>
  <c r="D2879" i="2"/>
  <c r="F12435" i="2"/>
  <c r="E12435" i="2"/>
  <c r="D12435" i="2"/>
  <c r="F12434" i="2"/>
  <c r="E12434" i="2"/>
  <c r="D12434" i="2"/>
  <c r="F12433" i="2"/>
  <c r="E12433" i="2"/>
  <c r="D12433" i="2"/>
  <c r="F12432" i="2"/>
  <c r="E12432" i="2"/>
  <c r="D12432" i="2"/>
  <c r="F12431" i="2"/>
  <c r="E12431" i="2"/>
  <c r="D12431" i="2"/>
  <c r="F12430" i="2"/>
  <c r="E12430" i="2"/>
  <c r="D12430" i="2"/>
  <c r="F12429" i="2"/>
  <c r="E12429" i="2"/>
  <c r="D12429" i="2"/>
  <c r="F12428" i="2"/>
  <c r="E12428" i="2"/>
  <c r="D12428" i="2"/>
  <c r="F12427" i="2"/>
  <c r="E12427" i="2"/>
  <c r="D12427" i="2"/>
  <c r="F12426" i="2"/>
  <c r="E12426" i="2"/>
  <c r="D12426" i="2"/>
  <c r="F12425" i="2"/>
  <c r="E12425" i="2"/>
  <c r="D12425" i="2"/>
  <c r="F339" i="2"/>
  <c r="E339" i="2"/>
  <c r="D339" i="2"/>
  <c r="F378" i="2"/>
  <c r="E378" i="2"/>
  <c r="D378" i="2"/>
  <c r="F377" i="2"/>
  <c r="E377" i="2"/>
  <c r="D377" i="2"/>
  <c r="F376" i="2"/>
  <c r="E376" i="2"/>
  <c r="D376" i="2"/>
  <c r="F375" i="2"/>
  <c r="E375" i="2"/>
  <c r="D375" i="2"/>
  <c r="F374" i="2"/>
  <c r="E374" i="2"/>
  <c r="D374" i="2"/>
  <c r="F373" i="2"/>
  <c r="E373" i="2"/>
  <c r="D373" i="2"/>
  <c r="F372" i="2"/>
  <c r="E372" i="2"/>
  <c r="D372" i="2"/>
  <c r="F371" i="2"/>
  <c r="E371" i="2"/>
  <c r="D371" i="2"/>
  <c r="F370" i="2"/>
  <c r="E370" i="2"/>
  <c r="D370" i="2"/>
  <c r="F369" i="2"/>
  <c r="E369" i="2"/>
  <c r="D369" i="2"/>
  <c r="F368" i="2"/>
  <c r="E368" i="2"/>
  <c r="D368" i="2"/>
  <c r="F367" i="2"/>
  <c r="E367" i="2"/>
  <c r="D367" i="2"/>
  <c r="F366" i="2"/>
  <c r="E366" i="2"/>
  <c r="D366" i="2"/>
  <c r="F365" i="2"/>
  <c r="E365" i="2"/>
  <c r="D365" i="2"/>
  <c r="F364" i="2"/>
  <c r="E364" i="2"/>
  <c r="D364" i="2"/>
  <c r="F363" i="2"/>
  <c r="E363" i="2"/>
  <c r="D363" i="2"/>
  <c r="F362" i="2"/>
  <c r="E362" i="2"/>
  <c r="D362" i="2"/>
  <c r="F361" i="2"/>
  <c r="E361" i="2"/>
  <c r="D361" i="2"/>
  <c r="F360" i="2"/>
  <c r="E360" i="2"/>
  <c r="D360" i="2"/>
  <c r="F359" i="2"/>
  <c r="E359" i="2"/>
  <c r="D359" i="2"/>
  <c r="F358" i="2"/>
  <c r="E358" i="2"/>
  <c r="D358" i="2"/>
  <c r="F357" i="2"/>
  <c r="E357" i="2"/>
  <c r="D357" i="2"/>
  <c r="F356" i="2"/>
  <c r="E356" i="2"/>
  <c r="D356" i="2"/>
  <c r="F355" i="2"/>
  <c r="E355" i="2"/>
  <c r="D355" i="2"/>
  <c r="F354" i="2"/>
  <c r="E354" i="2"/>
  <c r="D354" i="2"/>
  <c r="F353" i="2"/>
  <c r="E353" i="2"/>
  <c r="D353" i="2"/>
  <c r="F352" i="2"/>
  <c r="E352" i="2"/>
  <c r="D352" i="2"/>
  <c r="F351" i="2"/>
  <c r="E351" i="2"/>
  <c r="D351" i="2"/>
  <c r="F350" i="2"/>
  <c r="E350" i="2"/>
  <c r="D350" i="2"/>
  <c r="F349" i="2"/>
  <c r="E349" i="2"/>
  <c r="D349" i="2"/>
  <c r="F348" i="2"/>
  <c r="E348" i="2"/>
  <c r="D348" i="2"/>
  <c r="F347" i="2"/>
  <c r="E347" i="2"/>
  <c r="D347" i="2"/>
  <c r="F346" i="2"/>
  <c r="E346" i="2"/>
  <c r="D346" i="2"/>
  <c r="F345" i="2"/>
  <c r="E345" i="2"/>
  <c r="D345" i="2"/>
  <c r="F344" i="2"/>
  <c r="E344" i="2"/>
  <c r="D344" i="2"/>
  <c r="F343" i="2"/>
  <c r="E343" i="2"/>
  <c r="D343" i="2"/>
  <c r="F342" i="2"/>
  <c r="E342" i="2"/>
  <c r="D342" i="2"/>
  <c r="F341" i="2"/>
  <c r="E341" i="2"/>
  <c r="D341" i="2"/>
  <c r="F340" i="2"/>
  <c r="E340" i="2"/>
  <c r="D340" i="2"/>
  <c r="F15152" i="2"/>
  <c r="E15152" i="2"/>
  <c r="D15152" i="2"/>
  <c r="F15156" i="2"/>
  <c r="E15156" i="2"/>
  <c r="D15156" i="2"/>
  <c r="F15155" i="2"/>
  <c r="E15155" i="2"/>
  <c r="D15155" i="2"/>
  <c r="F15154" i="2"/>
  <c r="E15154" i="2"/>
  <c r="D15154" i="2"/>
  <c r="F15153" i="2"/>
  <c r="E15153" i="2"/>
  <c r="D15153" i="2"/>
  <c r="F2908" i="2"/>
  <c r="E2908" i="2"/>
  <c r="D2908" i="2"/>
  <c r="F2912" i="2"/>
  <c r="E2912" i="2"/>
  <c r="D2912" i="2"/>
  <c r="F2910" i="2"/>
  <c r="E2910" i="2"/>
  <c r="D2910" i="2"/>
  <c r="F2911" i="2"/>
  <c r="E2911" i="2"/>
  <c r="D2911" i="2"/>
  <c r="F2909" i="2"/>
  <c r="E2909" i="2"/>
  <c r="D2909" i="2"/>
  <c r="F1535" i="2"/>
  <c r="E1535" i="2"/>
  <c r="D1535" i="2"/>
  <c r="F1534" i="2"/>
  <c r="E1534" i="2"/>
  <c r="D1534" i="2"/>
  <c r="F1533" i="2"/>
  <c r="E1533" i="2"/>
  <c r="D1533" i="2"/>
  <c r="F1532" i="2"/>
  <c r="E1532" i="2"/>
  <c r="D1532" i="2"/>
  <c r="F1531" i="2"/>
  <c r="E1531" i="2"/>
  <c r="D1531" i="2"/>
  <c r="F1530" i="2"/>
  <c r="E1530" i="2"/>
  <c r="D1530" i="2"/>
  <c r="F1529" i="2"/>
  <c r="E1529" i="2"/>
  <c r="D1529" i="2"/>
  <c r="F1528" i="2"/>
  <c r="E1528" i="2"/>
  <c r="D1528" i="2"/>
  <c r="F1527" i="2"/>
  <c r="E1527" i="2"/>
  <c r="D1527" i="2"/>
  <c r="F1526" i="2"/>
  <c r="E1526" i="2"/>
  <c r="D1526" i="2"/>
  <c r="F1525" i="2"/>
  <c r="E1525" i="2"/>
  <c r="D1525" i="2"/>
  <c r="F1524" i="2"/>
  <c r="E1524" i="2"/>
  <c r="D1524" i="2"/>
  <c r="F1523" i="2"/>
  <c r="E1523" i="2"/>
  <c r="D1523" i="2"/>
  <c r="F1522" i="2"/>
  <c r="E1522" i="2"/>
  <c r="D1522" i="2"/>
  <c r="F1521" i="2"/>
  <c r="E1521" i="2"/>
  <c r="D1521" i="2"/>
  <c r="F1520" i="2"/>
  <c r="E1520" i="2"/>
  <c r="D1520" i="2"/>
  <c r="F1519" i="2"/>
  <c r="E1519" i="2"/>
  <c r="D1519" i="2"/>
  <c r="F1518" i="2"/>
  <c r="E1518" i="2"/>
  <c r="D1518" i="2"/>
  <c r="F1517" i="2"/>
  <c r="E1517" i="2"/>
  <c r="D1517" i="2"/>
  <c r="F1516" i="2"/>
  <c r="E1516" i="2"/>
  <c r="D1516" i="2"/>
  <c r="F1515" i="2"/>
  <c r="E1515" i="2"/>
  <c r="D1515" i="2"/>
  <c r="F1514" i="2"/>
  <c r="E1514" i="2"/>
  <c r="D1514" i="2"/>
  <c r="F1513" i="2"/>
  <c r="E1513" i="2"/>
  <c r="D1513" i="2"/>
  <c r="F1512" i="2"/>
  <c r="E1512" i="2"/>
  <c r="D1512" i="2"/>
  <c r="F1511" i="2"/>
  <c r="E1511" i="2"/>
  <c r="D1511" i="2"/>
  <c r="F1510" i="2"/>
  <c r="E1510" i="2"/>
  <c r="D1510" i="2"/>
  <c r="F1509" i="2"/>
  <c r="E1509" i="2"/>
  <c r="D1509" i="2"/>
  <c r="F1508" i="2"/>
  <c r="E1508" i="2"/>
  <c r="D1508" i="2"/>
  <c r="F1507" i="2"/>
  <c r="E1507" i="2"/>
  <c r="D1507" i="2"/>
  <c r="F1505" i="2"/>
  <c r="E1505" i="2"/>
  <c r="D1505" i="2"/>
  <c r="F1506" i="2"/>
  <c r="E1506" i="2"/>
  <c r="D1506" i="2"/>
  <c r="F12755" i="2"/>
  <c r="E12755" i="2"/>
  <c r="D12755" i="2"/>
  <c r="F12754" i="2"/>
  <c r="E12754" i="2"/>
  <c r="D12754" i="2"/>
  <c r="F12753" i="2"/>
  <c r="E12753" i="2"/>
  <c r="D12753" i="2"/>
  <c r="F10745" i="2"/>
  <c r="E10745" i="2"/>
  <c r="D10745" i="2"/>
  <c r="F10744" i="2"/>
  <c r="E10744" i="2"/>
  <c r="D10744" i="2"/>
  <c r="F10743" i="2"/>
  <c r="E10743" i="2"/>
  <c r="D10743" i="2"/>
  <c r="F10742" i="2"/>
  <c r="E10742" i="2"/>
  <c r="D10742" i="2"/>
  <c r="F10741" i="2"/>
  <c r="E10741" i="2"/>
  <c r="D10741" i="2"/>
  <c r="F10740" i="2"/>
  <c r="E10740" i="2"/>
  <c r="D10740" i="2"/>
  <c r="F10738" i="2"/>
  <c r="E10738" i="2"/>
  <c r="D10738" i="2"/>
  <c r="F10739" i="2"/>
  <c r="E10739" i="2"/>
  <c r="D10739" i="2"/>
  <c r="F10737" i="2"/>
  <c r="E10737" i="2"/>
  <c r="D10737" i="2"/>
  <c r="F10736" i="2"/>
  <c r="E10736" i="2"/>
  <c r="D10736" i="2"/>
  <c r="F10735" i="2"/>
  <c r="E10735" i="2"/>
  <c r="D10735" i="2"/>
  <c r="F12948" i="2"/>
  <c r="E12948" i="2"/>
  <c r="D12948" i="2"/>
  <c r="F12947" i="2"/>
  <c r="E12947" i="2"/>
  <c r="D12947" i="2"/>
  <c r="F12946" i="2"/>
  <c r="E12946" i="2"/>
  <c r="D12946" i="2"/>
  <c r="F12945" i="2"/>
  <c r="E12945" i="2"/>
  <c r="D12945" i="2"/>
  <c r="F12943" i="2"/>
  <c r="E12943" i="2"/>
  <c r="D12943" i="2"/>
  <c r="F12944" i="2"/>
  <c r="E12944" i="2"/>
  <c r="D12944" i="2"/>
  <c r="F10804" i="2"/>
  <c r="E10804" i="2"/>
  <c r="D10804" i="2"/>
  <c r="F10803" i="2"/>
  <c r="E10803" i="2"/>
  <c r="D10803" i="2"/>
  <c r="F10802" i="2"/>
  <c r="E10802" i="2"/>
  <c r="D10802" i="2"/>
  <c r="F10801" i="2"/>
  <c r="E10801" i="2"/>
  <c r="D10801" i="2"/>
  <c r="F10800" i="2"/>
  <c r="E10800" i="2"/>
  <c r="D10800" i="2"/>
  <c r="F10799" i="2"/>
  <c r="E10799" i="2"/>
  <c r="D10799" i="2"/>
  <c r="F10798" i="2"/>
  <c r="E10798" i="2"/>
  <c r="D10798" i="2"/>
  <c r="F10797" i="2"/>
  <c r="E10797" i="2"/>
  <c r="D10797" i="2"/>
  <c r="F10796" i="2"/>
  <c r="E10796" i="2"/>
  <c r="D10796" i="2"/>
  <c r="F10795" i="2"/>
  <c r="E10795" i="2"/>
  <c r="D10795" i="2"/>
  <c r="F10794" i="2"/>
  <c r="E10794" i="2"/>
  <c r="D10794" i="2"/>
  <c r="F10793" i="2"/>
  <c r="E10793" i="2"/>
  <c r="D10793" i="2"/>
  <c r="F10792" i="2"/>
  <c r="E10792" i="2"/>
  <c r="D10792" i="2"/>
  <c r="F10791" i="2"/>
  <c r="E10791" i="2"/>
  <c r="D10791" i="2"/>
  <c r="F10790" i="2"/>
  <c r="E10790" i="2"/>
  <c r="D10790" i="2"/>
  <c r="F10789" i="2"/>
  <c r="E10789" i="2"/>
  <c r="D10789" i="2"/>
  <c r="F10788" i="2"/>
  <c r="E10788" i="2"/>
  <c r="D10788" i="2"/>
  <c r="F10787" i="2"/>
  <c r="E10787" i="2"/>
  <c r="D10787" i="2"/>
  <c r="F10786" i="2"/>
  <c r="E10786" i="2"/>
  <c r="D10786" i="2"/>
  <c r="F10785" i="2"/>
  <c r="E10785" i="2"/>
  <c r="D10785" i="2"/>
  <c r="F10784" i="2"/>
  <c r="E10784" i="2"/>
  <c r="D10784" i="2"/>
  <c r="F10783" i="2"/>
  <c r="E10783" i="2"/>
  <c r="D10783" i="2"/>
  <c r="F10782" i="2"/>
  <c r="E10782" i="2"/>
  <c r="D10782" i="2"/>
  <c r="F10781" i="2"/>
  <c r="E10781" i="2"/>
  <c r="D10781" i="2"/>
  <c r="F10780" i="2"/>
  <c r="E10780" i="2"/>
  <c r="D10780" i="2"/>
  <c r="F10777" i="2"/>
  <c r="E10777" i="2"/>
  <c r="D10777" i="2"/>
  <c r="F10779" i="2"/>
  <c r="E10779" i="2"/>
  <c r="D10779" i="2"/>
  <c r="F10778" i="2"/>
  <c r="E10778" i="2"/>
  <c r="D10778" i="2"/>
  <c r="F10776" i="2"/>
  <c r="E10776" i="2"/>
  <c r="D10776" i="2"/>
  <c r="F10775" i="2"/>
  <c r="E10775" i="2"/>
  <c r="D10775" i="2"/>
  <c r="F10774" i="2"/>
  <c r="E10774" i="2"/>
  <c r="D10774" i="2"/>
  <c r="F10773" i="2"/>
  <c r="E10773" i="2"/>
  <c r="D10773" i="2"/>
  <c r="F10772" i="2"/>
  <c r="E10772" i="2"/>
  <c r="D10772" i="2"/>
  <c r="F10771" i="2"/>
  <c r="E10771" i="2"/>
  <c r="D10771" i="2"/>
  <c r="F10770" i="2"/>
  <c r="E10770" i="2"/>
  <c r="D10770" i="2"/>
  <c r="F10769" i="2"/>
  <c r="E10769" i="2"/>
  <c r="D10769" i="2"/>
  <c r="F10768" i="2"/>
  <c r="E10768" i="2"/>
  <c r="D10768" i="2"/>
  <c r="F10767" i="2"/>
  <c r="E10767" i="2"/>
  <c r="D10767" i="2"/>
  <c r="F10766" i="2"/>
  <c r="E10766" i="2"/>
  <c r="D10766" i="2"/>
  <c r="F10765" i="2"/>
  <c r="E10765" i="2"/>
  <c r="D10765" i="2"/>
  <c r="F10764" i="2"/>
  <c r="E10764" i="2"/>
  <c r="D10764" i="2"/>
  <c r="F10763" i="2"/>
  <c r="E10763" i="2"/>
  <c r="D10763" i="2"/>
  <c r="F10762" i="2"/>
  <c r="E10762" i="2"/>
  <c r="D10762" i="2"/>
  <c r="F10761" i="2"/>
  <c r="E10761" i="2"/>
  <c r="D10761" i="2"/>
  <c r="F10760" i="2"/>
  <c r="E10760" i="2"/>
  <c r="D10760" i="2"/>
  <c r="F10759" i="2"/>
  <c r="E10759" i="2"/>
  <c r="D10759" i="2"/>
  <c r="F10758" i="2"/>
  <c r="E10758" i="2"/>
  <c r="D10758" i="2"/>
  <c r="F13273" i="2"/>
  <c r="E13273" i="2"/>
  <c r="D13273" i="2"/>
  <c r="F13272" i="2"/>
  <c r="E13272" i="2"/>
  <c r="D13272" i="2"/>
  <c r="F13271" i="2"/>
  <c r="E13271" i="2"/>
  <c r="D13271" i="2"/>
  <c r="F13270" i="2"/>
  <c r="E13270" i="2"/>
  <c r="D13270" i="2"/>
  <c r="F13269" i="2"/>
  <c r="E13269" i="2"/>
  <c r="D13269" i="2"/>
  <c r="F597" i="2"/>
  <c r="E597" i="2"/>
  <c r="D597" i="2"/>
  <c r="F596" i="2"/>
  <c r="E596" i="2"/>
  <c r="D596" i="2"/>
  <c r="F595" i="2"/>
  <c r="E595" i="2"/>
  <c r="D595" i="2"/>
  <c r="F594" i="2"/>
  <c r="E594" i="2"/>
  <c r="D594" i="2"/>
  <c r="F593" i="2"/>
  <c r="E593" i="2"/>
  <c r="D593" i="2"/>
  <c r="F592" i="2"/>
  <c r="E592" i="2"/>
  <c r="D592" i="2"/>
  <c r="F591" i="2"/>
  <c r="E591" i="2"/>
  <c r="D591" i="2"/>
  <c r="F590" i="2"/>
  <c r="E590" i="2"/>
  <c r="D590" i="2"/>
  <c r="F589" i="2"/>
  <c r="E589" i="2"/>
  <c r="D589" i="2"/>
  <c r="F588" i="2"/>
  <c r="E588" i="2"/>
  <c r="D588" i="2"/>
  <c r="F587" i="2"/>
  <c r="E587" i="2"/>
  <c r="D587" i="2"/>
  <c r="F586" i="2"/>
  <c r="E586" i="2"/>
  <c r="D586" i="2"/>
  <c r="F585" i="2"/>
  <c r="E585" i="2"/>
  <c r="D585" i="2"/>
  <c r="F7127" i="2"/>
  <c r="E7127" i="2"/>
  <c r="D7127" i="2"/>
  <c r="F7126" i="2"/>
  <c r="E7126" i="2"/>
  <c r="D7126" i="2"/>
  <c r="F7125" i="2"/>
  <c r="E7125" i="2"/>
  <c r="D7125" i="2"/>
  <c r="F7124" i="2"/>
  <c r="E7124" i="2"/>
  <c r="D7124" i="2"/>
  <c r="F7123" i="2"/>
  <c r="E7123" i="2"/>
  <c r="D7123" i="2"/>
  <c r="F7122" i="2"/>
  <c r="E7122" i="2"/>
  <c r="D7122" i="2"/>
  <c r="F7121" i="2"/>
  <c r="E7121" i="2"/>
  <c r="D7121" i="2"/>
  <c r="F7120" i="2"/>
  <c r="E7120" i="2"/>
  <c r="D7120" i="2"/>
  <c r="F7119" i="2"/>
  <c r="E7119" i="2"/>
  <c r="D7119" i="2"/>
  <c r="F7118" i="2"/>
  <c r="E7118" i="2"/>
  <c r="D7118" i="2"/>
  <c r="F7117" i="2"/>
  <c r="E7117" i="2"/>
  <c r="D7117" i="2"/>
  <c r="F7116" i="2"/>
  <c r="E7116" i="2"/>
  <c r="D7116" i="2"/>
  <c r="F7115" i="2"/>
  <c r="E7115" i="2"/>
  <c r="D7115" i="2"/>
  <c r="F7114" i="2"/>
  <c r="E7114" i="2"/>
  <c r="D7114" i="2"/>
  <c r="F12512" i="2"/>
  <c r="E12512" i="2"/>
  <c r="D12512" i="2"/>
  <c r="F12518" i="2"/>
  <c r="E12518" i="2"/>
  <c r="D12518" i="2"/>
  <c r="F12517" i="2"/>
  <c r="E12517" i="2"/>
  <c r="D12517" i="2"/>
  <c r="F12516" i="2"/>
  <c r="E12516" i="2"/>
  <c r="D12516" i="2"/>
  <c r="F12515" i="2"/>
  <c r="E12515" i="2"/>
  <c r="D12515" i="2"/>
  <c r="F12514" i="2"/>
  <c r="E12514" i="2"/>
  <c r="D12514" i="2"/>
  <c r="F12513" i="2"/>
  <c r="E12513" i="2"/>
  <c r="D12513" i="2"/>
  <c r="F598" i="2"/>
  <c r="E598" i="2"/>
  <c r="D598" i="2"/>
  <c r="F599" i="2"/>
  <c r="E599" i="2"/>
  <c r="D599" i="2"/>
  <c r="F4945" i="2"/>
  <c r="E4945" i="2"/>
  <c r="D4945" i="2"/>
  <c r="F12129" i="2"/>
  <c r="E12129" i="2"/>
  <c r="D12129" i="2"/>
  <c r="F12128" i="2"/>
  <c r="E12128" i="2"/>
  <c r="D12128" i="2"/>
  <c r="F12127" i="2"/>
  <c r="E12127" i="2"/>
  <c r="D12127" i="2"/>
  <c r="F12126" i="2"/>
  <c r="E12126" i="2"/>
  <c r="D12126" i="2"/>
  <c r="F12125" i="2"/>
  <c r="E12125" i="2"/>
  <c r="D12125" i="2"/>
  <c r="F11439" i="2"/>
  <c r="E11439" i="2"/>
  <c r="D11439" i="2"/>
  <c r="F11438" i="2"/>
  <c r="E11438" i="2"/>
  <c r="D11438" i="2"/>
  <c r="F11437" i="2"/>
  <c r="E11437" i="2"/>
  <c r="D11437" i="2"/>
  <c r="F11435" i="2"/>
  <c r="E11435" i="2"/>
  <c r="D11435" i="2"/>
  <c r="F11436" i="2"/>
  <c r="E11436" i="2"/>
  <c r="D11436" i="2"/>
  <c r="F11434" i="2"/>
  <c r="E11434" i="2"/>
  <c r="D11434" i="2"/>
  <c r="F11433" i="2"/>
  <c r="E11433" i="2"/>
  <c r="D11433" i="2"/>
  <c r="F11432" i="2"/>
  <c r="E11432" i="2"/>
  <c r="D11432" i="2"/>
  <c r="F11431" i="2"/>
  <c r="E11431" i="2"/>
  <c r="D11431" i="2"/>
  <c r="F11430" i="2"/>
  <c r="E11430" i="2"/>
  <c r="D11430" i="2"/>
  <c r="F1894" i="2"/>
  <c r="E1894" i="2"/>
  <c r="D1894" i="2"/>
  <c r="F1893" i="2"/>
  <c r="E1893" i="2"/>
  <c r="D1893" i="2"/>
  <c r="F1892" i="2"/>
  <c r="E1892" i="2"/>
  <c r="D1892" i="2"/>
  <c r="F1891" i="2"/>
  <c r="E1891" i="2"/>
  <c r="D1891" i="2"/>
  <c r="F1890" i="2"/>
  <c r="E1890" i="2"/>
  <c r="D1890" i="2"/>
  <c r="F1889" i="2"/>
  <c r="E1889" i="2"/>
  <c r="D1889" i="2"/>
  <c r="F16022" i="2"/>
  <c r="E16022" i="2"/>
  <c r="D16022" i="2"/>
  <c r="F16021" i="2"/>
  <c r="E16021" i="2"/>
  <c r="D16021" i="2"/>
  <c r="F16020" i="2"/>
  <c r="E16020" i="2"/>
  <c r="D16020" i="2"/>
  <c r="F16019" i="2"/>
  <c r="E16019" i="2"/>
  <c r="D16019" i="2"/>
  <c r="F16018" i="2"/>
  <c r="E16018" i="2"/>
  <c r="D16018" i="2"/>
  <c r="F16017" i="2"/>
  <c r="E16017" i="2"/>
  <c r="D16017" i="2"/>
  <c r="F16016" i="2"/>
  <c r="E16016" i="2"/>
  <c r="D16016" i="2"/>
  <c r="F16015" i="2"/>
  <c r="E16015" i="2"/>
  <c r="D16015" i="2"/>
  <c r="F16014" i="2"/>
  <c r="E16014" i="2"/>
  <c r="D16014" i="2"/>
  <c r="F16013" i="2"/>
  <c r="E16013" i="2"/>
  <c r="D16013" i="2"/>
  <c r="F16012" i="2"/>
  <c r="E16012" i="2"/>
  <c r="D16012" i="2"/>
  <c r="F16011" i="2"/>
  <c r="E16011" i="2"/>
  <c r="D16011" i="2"/>
  <c r="F16010" i="2"/>
  <c r="E16010" i="2"/>
  <c r="D16010" i="2"/>
  <c r="F16009" i="2"/>
  <c r="E16009" i="2"/>
  <c r="D16009" i="2"/>
  <c r="F16008" i="2"/>
  <c r="E16008" i="2"/>
  <c r="D16008" i="2"/>
  <c r="F16007" i="2"/>
  <c r="E16007" i="2"/>
  <c r="D16007" i="2"/>
  <c r="F16006" i="2"/>
  <c r="E16006" i="2"/>
  <c r="D16006" i="2"/>
  <c r="F16005" i="2"/>
  <c r="E16005" i="2"/>
  <c r="D16005" i="2"/>
  <c r="F16004" i="2"/>
  <c r="E16004" i="2"/>
  <c r="D16004" i="2"/>
  <c r="F16003" i="2"/>
  <c r="E16003" i="2"/>
  <c r="D16003" i="2"/>
  <c r="F16002" i="2"/>
  <c r="E16002" i="2"/>
  <c r="D16002" i="2"/>
  <c r="F16001" i="2"/>
  <c r="E16001" i="2"/>
  <c r="D16001" i="2"/>
  <c r="F16000" i="2"/>
  <c r="E16000" i="2"/>
  <c r="D16000" i="2"/>
  <c r="F15999" i="2"/>
  <c r="E15999" i="2"/>
  <c r="D15999" i="2"/>
  <c r="F15998" i="2"/>
  <c r="E15998" i="2"/>
  <c r="D15998" i="2"/>
  <c r="F15997" i="2"/>
  <c r="E15997" i="2"/>
  <c r="D15997" i="2"/>
  <c r="F15996" i="2"/>
  <c r="E15996" i="2"/>
  <c r="D15996" i="2"/>
  <c r="F15995" i="2"/>
  <c r="E15995" i="2"/>
  <c r="D15995" i="2"/>
  <c r="F15994" i="2"/>
  <c r="E15994" i="2"/>
  <c r="D15994" i="2"/>
  <c r="F15993" i="2"/>
  <c r="E15993" i="2"/>
  <c r="D15993" i="2"/>
  <c r="F15992" i="2"/>
  <c r="E15992" i="2"/>
  <c r="D15992" i="2"/>
  <c r="F9292" i="2"/>
  <c r="E9292" i="2"/>
  <c r="D9292" i="2"/>
  <c r="F9291" i="2"/>
  <c r="E9291" i="2"/>
  <c r="D9291" i="2"/>
  <c r="F9290" i="2"/>
  <c r="E9290" i="2"/>
  <c r="D9290" i="2"/>
  <c r="F9289" i="2"/>
  <c r="E9289" i="2"/>
  <c r="D9289" i="2"/>
  <c r="F9288" i="2"/>
  <c r="E9288" i="2"/>
  <c r="D9288" i="2"/>
  <c r="F9287" i="2"/>
  <c r="E9287" i="2"/>
  <c r="D9287" i="2"/>
  <c r="F9286" i="2"/>
  <c r="E9286" i="2"/>
  <c r="D9286" i="2"/>
  <c r="F9285" i="2"/>
  <c r="E9285" i="2"/>
  <c r="D9285" i="2"/>
  <c r="F9284" i="2"/>
  <c r="E9284" i="2"/>
  <c r="D9284" i="2"/>
  <c r="F9283" i="2"/>
  <c r="E9283" i="2"/>
  <c r="D9283" i="2"/>
  <c r="F9282" i="2"/>
  <c r="E9282" i="2"/>
  <c r="D9282" i="2"/>
  <c r="F9281" i="2"/>
  <c r="E9281" i="2"/>
  <c r="D9281" i="2"/>
  <c r="F12467" i="2"/>
  <c r="E12467" i="2"/>
  <c r="D12467" i="2"/>
  <c r="F12473" i="2"/>
  <c r="E12473" i="2"/>
  <c r="D12473" i="2"/>
  <c r="F12472" i="2"/>
  <c r="E12472" i="2"/>
  <c r="D12472" i="2"/>
  <c r="F12471" i="2"/>
  <c r="E12471" i="2"/>
  <c r="D12471" i="2"/>
  <c r="F12470" i="2"/>
  <c r="E12470" i="2"/>
  <c r="D12470" i="2"/>
  <c r="F12469" i="2"/>
  <c r="E12469" i="2"/>
  <c r="D12469" i="2"/>
  <c r="F12468" i="2"/>
  <c r="E12468" i="2"/>
  <c r="D12468" i="2"/>
  <c r="F14620" i="2"/>
  <c r="E14620" i="2"/>
  <c r="D14620" i="2"/>
  <c r="F14619" i="2"/>
  <c r="E14619" i="2"/>
  <c r="D14619" i="2"/>
  <c r="F14618" i="2"/>
  <c r="E14618" i="2"/>
  <c r="D14618" i="2"/>
  <c r="F14617" i="2"/>
  <c r="E14617" i="2"/>
  <c r="D14617" i="2"/>
  <c r="F14616" i="2"/>
  <c r="E14616" i="2"/>
  <c r="D14616" i="2"/>
  <c r="F14615" i="2"/>
  <c r="E14615" i="2"/>
  <c r="D14615" i="2"/>
  <c r="F14614" i="2"/>
  <c r="E14614" i="2"/>
  <c r="D14614" i="2"/>
  <c r="F14613" i="2"/>
  <c r="E14613" i="2"/>
  <c r="D14613" i="2"/>
  <c r="F14612" i="2"/>
  <c r="E14612" i="2"/>
  <c r="D14612" i="2"/>
  <c r="F14611" i="2"/>
  <c r="E14611" i="2"/>
  <c r="D14611" i="2"/>
  <c r="F14610" i="2"/>
  <c r="E14610" i="2"/>
  <c r="D14610" i="2"/>
  <c r="F14609" i="2"/>
  <c r="E14609" i="2"/>
  <c r="D14609" i="2"/>
  <c r="F10733" i="2"/>
  <c r="E10733" i="2"/>
  <c r="D10733" i="2"/>
  <c r="F10732" i="2"/>
  <c r="E10732" i="2"/>
  <c r="D10732" i="2"/>
  <c r="F10731" i="2"/>
  <c r="E10731" i="2"/>
  <c r="D10731" i="2"/>
  <c r="F10730" i="2"/>
  <c r="E10730" i="2"/>
  <c r="D10730" i="2"/>
  <c r="F1626" i="2"/>
  <c r="E1626" i="2"/>
  <c r="D1626" i="2"/>
  <c r="F7475" i="2"/>
  <c r="E7475" i="2"/>
  <c r="D7475" i="2"/>
  <c r="F7474" i="2"/>
  <c r="E7474" i="2"/>
  <c r="D7474" i="2"/>
  <c r="F7473" i="2"/>
  <c r="E7473" i="2"/>
  <c r="D7473" i="2"/>
  <c r="F7472" i="2"/>
  <c r="E7472" i="2"/>
  <c r="D7472" i="2"/>
  <c r="F7471" i="2"/>
  <c r="E7471" i="2"/>
  <c r="D7471" i="2"/>
  <c r="F7470" i="2"/>
  <c r="E7470" i="2"/>
  <c r="D7470" i="2"/>
  <c r="F7469" i="2"/>
  <c r="E7469" i="2"/>
  <c r="D7469" i="2"/>
  <c r="F7468" i="2"/>
  <c r="E7468" i="2"/>
  <c r="D7468" i="2"/>
  <c r="F7467" i="2"/>
  <c r="E7467" i="2"/>
  <c r="D7467" i="2"/>
  <c r="F7466" i="2"/>
  <c r="E7466" i="2"/>
  <c r="D7466" i="2"/>
  <c r="F7465" i="2"/>
  <c r="E7465" i="2"/>
  <c r="D7465" i="2"/>
  <c r="F7464" i="2"/>
  <c r="E7464" i="2"/>
  <c r="D7464" i="2"/>
  <c r="F7463" i="2"/>
  <c r="E7463" i="2"/>
  <c r="D7463" i="2"/>
  <c r="F7462" i="2"/>
  <c r="E7462" i="2"/>
  <c r="D7462" i="2"/>
  <c r="F7460" i="2"/>
  <c r="E7460" i="2"/>
  <c r="D7460" i="2"/>
  <c r="F7461" i="2"/>
  <c r="E7461" i="2"/>
  <c r="D7461" i="2"/>
  <c r="F7459" i="2"/>
  <c r="E7459" i="2"/>
  <c r="D7459" i="2"/>
  <c r="F7458" i="2"/>
  <c r="E7458" i="2"/>
  <c r="D7458" i="2"/>
  <c r="F7457" i="2"/>
  <c r="E7457" i="2"/>
  <c r="D7457" i="2"/>
  <c r="F7456" i="2"/>
  <c r="E7456" i="2"/>
  <c r="D7456" i="2"/>
  <c r="F7455" i="2"/>
  <c r="E7455" i="2"/>
  <c r="D7455" i="2"/>
  <c r="F7454" i="2"/>
  <c r="E7454" i="2"/>
  <c r="D7454" i="2"/>
  <c r="F7453" i="2"/>
  <c r="E7453" i="2"/>
  <c r="D7453" i="2"/>
  <c r="F7452" i="2"/>
  <c r="E7452" i="2"/>
  <c r="D7452" i="2"/>
  <c r="F7451" i="2"/>
  <c r="E7451" i="2"/>
  <c r="D7451" i="2"/>
  <c r="F7450" i="2"/>
  <c r="E7450" i="2"/>
  <c r="D7450" i="2"/>
  <c r="F7449" i="2"/>
  <c r="E7449" i="2"/>
  <c r="D7449" i="2"/>
  <c r="F7448" i="2"/>
  <c r="E7448" i="2"/>
  <c r="D7448" i="2"/>
  <c r="F7447" i="2"/>
  <c r="E7447" i="2"/>
  <c r="D7447" i="2"/>
  <c r="F7446" i="2"/>
  <c r="E7446" i="2"/>
  <c r="D7446" i="2"/>
  <c r="F7445" i="2"/>
  <c r="E7445" i="2"/>
  <c r="D7445" i="2"/>
  <c r="F7444" i="2"/>
  <c r="E7444" i="2"/>
  <c r="D7444" i="2"/>
  <c r="F7443" i="2"/>
  <c r="E7443" i="2"/>
  <c r="D7443" i="2"/>
  <c r="F7442" i="2"/>
  <c r="E7442" i="2"/>
  <c r="D7442" i="2"/>
  <c r="F7349" i="2"/>
  <c r="E7349" i="2"/>
  <c r="D7349" i="2"/>
  <c r="F7348" i="2"/>
  <c r="E7348" i="2"/>
  <c r="D7348" i="2"/>
  <c r="F7347" i="2"/>
  <c r="E7347" i="2"/>
  <c r="D7347" i="2"/>
  <c r="F7346" i="2"/>
  <c r="E7346" i="2"/>
  <c r="D7346" i="2"/>
  <c r="F7345" i="2"/>
  <c r="E7345" i="2"/>
  <c r="D7345" i="2"/>
  <c r="F14452" i="2"/>
  <c r="E14452" i="2"/>
  <c r="D14452" i="2"/>
  <c r="F13382" i="2"/>
  <c r="E13382" i="2"/>
  <c r="D13382" i="2"/>
  <c r="F13381" i="2"/>
  <c r="E13381" i="2"/>
  <c r="D13381" i="2"/>
  <c r="F13380" i="2"/>
  <c r="E13380" i="2"/>
  <c r="D13380" i="2"/>
  <c r="F13379" i="2"/>
  <c r="E13379" i="2"/>
  <c r="D13379" i="2"/>
  <c r="F13378" i="2"/>
  <c r="E13378" i="2"/>
  <c r="D13378" i="2"/>
  <c r="F12779" i="2"/>
  <c r="E12779" i="2"/>
  <c r="D12779" i="2"/>
  <c r="F12778" i="2"/>
  <c r="E12778" i="2"/>
  <c r="D12778" i="2"/>
  <c r="F12777" i="2"/>
  <c r="E12777" i="2"/>
  <c r="D12777" i="2"/>
  <c r="F12776" i="2"/>
  <c r="E12776" i="2"/>
  <c r="D12776" i="2"/>
  <c r="F12775" i="2"/>
  <c r="E12775" i="2"/>
  <c r="D12775" i="2"/>
  <c r="F12774" i="2"/>
  <c r="E12774" i="2"/>
  <c r="D12774" i="2"/>
  <c r="F12773" i="2"/>
  <c r="E12773" i="2"/>
  <c r="D12773" i="2"/>
  <c r="F12772" i="2"/>
  <c r="E12772" i="2"/>
  <c r="D12772" i="2"/>
  <c r="F12771" i="2"/>
  <c r="E12771" i="2"/>
  <c r="D12771" i="2"/>
  <c r="F12770" i="2"/>
  <c r="E12770" i="2"/>
  <c r="D12770" i="2"/>
  <c r="F12769" i="2"/>
  <c r="E12769" i="2"/>
  <c r="D12769" i="2"/>
  <c r="F12768" i="2"/>
  <c r="E12768" i="2"/>
  <c r="D12768" i="2"/>
  <c r="F12767" i="2"/>
  <c r="E12767" i="2"/>
  <c r="D12767" i="2"/>
  <c r="F13390" i="2"/>
  <c r="E13390" i="2"/>
  <c r="D13390" i="2"/>
  <c r="F13394" i="2"/>
  <c r="E13394" i="2"/>
  <c r="D13394" i="2"/>
  <c r="F13392" i="2"/>
  <c r="E13392" i="2"/>
  <c r="D13392" i="2"/>
  <c r="F13393" i="2"/>
  <c r="E13393" i="2"/>
  <c r="D13393" i="2"/>
  <c r="F13391" i="2"/>
  <c r="E13391" i="2"/>
  <c r="D13391" i="2"/>
  <c r="F14622" i="2"/>
  <c r="E14622" i="2"/>
  <c r="D14622" i="2"/>
  <c r="F14631" i="2"/>
  <c r="E14631" i="2"/>
  <c r="D14631" i="2"/>
  <c r="F14630" i="2"/>
  <c r="E14630" i="2"/>
  <c r="D14630" i="2"/>
  <c r="F14629" i="2"/>
  <c r="E14629" i="2"/>
  <c r="D14629" i="2"/>
  <c r="F14628" i="2"/>
  <c r="E14628" i="2"/>
  <c r="D14628" i="2"/>
  <c r="F14627" i="2"/>
  <c r="E14627" i="2"/>
  <c r="D14627" i="2"/>
  <c r="F14626" i="2"/>
  <c r="E14626" i="2"/>
  <c r="D14626" i="2"/>
  <c r="F14625" i="2"/>
  <c r="E14625" i="2"/>
  <c r="D14625" i="2"/>
  <c r="F14624" i="2"/>
  <c r="E14624" i="2"/>
  <c r="D14624" i="2"/>
  <c r="F14623" i="2"/>
  <c r="E14623" i="2"/>
  <c r="D14623" i="2"/>
  <c r="F12130" i="2"/>
  <c r="E12130" i="2"/>
  <c r="D12130" i="2"/>
  <c r="F1627" i="2"/>
  <c r="E1627" i="2"/>
  <c r="D1627" i="2"/>
  <c r="F1650" i="2"/>
  <c r="E1650" i="2"/>
  <c r="D1650" i="2"/>
  <c r="F1649" i="2"/>
  <c r="E1649" i="2"/>
  <c r="D1649" i="2"/>
  <c r="F1648" i="2"/>
  <c r="E1648" i="2"/>
  <c r="D1648" i="2"/>
  <c r="F1647" i="2"/>
  <c r="E1647" i="2"/>
  <c r="D1647" i="2"/>
  <c r="F1646" i="2"/>
  <c r="E1646" i="2"/>
  <c r="D1646" i="2"/>
  <c r="F1645" i="2"/>
  <c r="E1645" i="2"/>
  <c r="D1645" i="2"/>
  <c r="F1644" i="2"/>
  <c r="E1644" i="2"/>
  <c r="D1644" i="2"/>
  <c r="F1643" i="2"/>
  <c r="E1643" i="2"/>
  <c r="D1643" i="2"/>
  <c r="F1642" i="2"/>
  <c r="E1642" i="2"/>
  <c r="D1642" i="2"/>
  <c r="F1641" i="2"/>
  <c r="E1641" i="2"/>
  <c r="D1641" i="2"/>
  <c r="F1640" i="2"/>
  <c r="E1640" i="2"/>
  <c r="D1640" i="2"/>
  <c r="F1639" i="2"/>
  <c r="E1639" i="2"/>
  <c r="D1639" i="2"/>
  <c r="F1638" i="2"/>
  <c r="E1638" i="2"/>
  <c r="D1638" i="2"/>
  <c r="F1637" i="2"/>
  <c r="E1637" i="2"/>
  <c r="D1637" i="2"/>
  <c r="F1636" i="2"/>
  <c r="E1636" i="2"/>
  <c r="D1636" i="2"/>
  <c r="F1635" i="2"/>
  <c r="E1635" i="2"/>
  <c r="D1635" i="2"/>
  <c r="F1634" i="2"/>
  <c r="E1634" i="2"/>
  <c r="D1634" i="2"/>
  <c r="F1633" i="2"/>
  <c r="E1633" i="2"/>
  <c r="D1633" i="2"/>
  <c r="F1632" i="2"/>
  <c r="E1632" i="2"/>
  <c r="D1632" i="2"/>
  <c r="F1631" i="2"/>
  <c r="E1631" i="2"/>
  <c r="D1631" i="2"/>
  <c r="F1630" i="2"/>
  <c r="E1630" i="2"/>
  <c r="D1630" i="2"/>
  <c r="F1629" i="2"/>
  <c r="E1629" i="2"/>
  <c r="D1629" i="2"/>
  <c r="F1628" i="2"/>
  <c r="E1628" i="2"/>
  <c r="D1628" i="2"/>
  <c r="F10870" i="2"/>
  <c r="E10870" i="2"/>
  <c r="D10870" i="2"/>
  <c r="F10886" i="2"/>
  <c r="E10886" i="2"/>
  <c r="D10886" i="2"/>
  <c r="F10887" i="2"/>
  <c r="E10887" i="2"/>
  <c r="D10887" i="2"/>
  <c r="F10885" i="2"/>
  <c r="E10885" i="2"/>
  <c r="D10885" i="2"/>
  <c r="F10884" i="2"/>
  <c r="E10884" i="2"/>
  <c r="D10884" i="2"/>
  <c r="F10883" i="2"/>
  <c r="E10883" i="2"/>
  <c r="D10883" i="2"/>
  <c r="F10882" i="2"/>
  <c r="E10882" i="2"/>
  <c r="D10882" i="2"/>
  <c r="F10881" i="2"/>
  <c r="E10881" i="2"/>
  <c r="D10881" i="2"/>
  <c r="F10880" i="2"/>
  <c r="E10880" i="2"/>
  <c r="D10880" i="2"/>
  <c r="F10879" i="2"/>
  <c r="E10879" i="2"/>
  <c r="D10879" i="2"/>
  <c r="F10878" i="2"/>
  <c r="E10878" i="2"/>
  <c r="D10878" i="2"/>
  <c r="F10877" i="2"/>
  <c r="E10877" i="2"/>
  <c r="D10877" i="2"/>
  <c r="F10876" i="2"/>
  <c r="E10876" i="2"/>
  <c r="D10876" i="2"/>
  <c r="F10875" i="2"/>
  <c r="E10875" i="2"/>
  <c r="D10875" i="2"/>
  <c r="F10874" i="2"/>
  <c r="E10874" i="2"/>
  <c r="D10874" i="2"/>
  <c r="F10873" i="2"/>
  <c r="E10873" i="2"/>
  <c r="D10873" i="2"/>
  <c r="F10872" i="2"/>
  <c r="E10872" i="2"/>
  <c r="D10872" i="2"/>
  <c r="F10871" i="2"/>
  <c r="E10871" i="2"/>
  <c r="D10871" i="2"/>
  <c r="F774" i="2"/>
  <c r="E774" i="2"/>
  <c r="D774" i="2"/>
  <c r="F773" i="2"/>
  <c r="E773" i="2"/>
  <c r="D773" i="2"/>
  <c r="F772" i="2"/>
  <c r="E772" i="2"/>
  <c r="D772" i="2"/>
  <c r="F771" i="2"/>
  <c r="E771" i="2"/>
  <c r="D771" i="2"/>
  <c r="F770" i="2"/>
  <c r="E770" i="2"/>
  <c r="D770" i="2"/>
  <c r="F769" i="2"/>
  <c r="E769" i="2"/>
  <c r="D769" i="2"/>
  <c r="F768" i="2"/>
  <c r="E768" i="2"/>
  <c r="D768" i="2"/>
  <c r="F767" i="2"/>
  <c r="E767" i="2"/>
  <c r="D767" i="2"/>
  <c r="F766" i="2"/>
  <c r="E766" i="2"/>
  <c r="D766" i="2"/>
  <c r="F765" i="2"/>
  <c r="E765" i="2"/>
  <c r="D765" i="2"/>
  <c r="F764" i="2"/>
  <c r="E764" i="2"/>
  <c r="D764" i="2"/>
  <c r="F763" i="2"/>
  <c r="E763" i="2"/>
  <c r="D763" i="2"/>
  <c r="F762" i="2"/>
  <c r="E762" i="2"/>
  <c r="D762" i="2"/>
  <c r="F761" i="2"/>
  <c r="E761" i="2"/>
  <c r="D761" i="2"/>
  <c r="F160" i="2"/>
  <c r="E160" i="2"/>
  <c r="D160" i="2"/>
  <c r="F159" i="2"/>
  <c r="E159" i="2"/>
  <c r="D159" i="2"/>
  <c r="F158" i="2"/>
  <c r="E158" i="2"/>
  <c r="D158" i="2"/>
  <c r="F157" i="2"/>
  <c r="E157" i="2"/>
  <c r="D157" i="2"/>
  <c r="F156" i="2"/>
  <c r="E156" i="2"/>
  <c r="D156" i="2"/>
  <c r="F155" i="2"/>
  <c r="E155" i="2"/>
  <c r="D155" i="2"/>
  <c r="F154" i="2"/>
  <c r="E154" i="2"/>
  <c r="D154" i="2"/>
  <c r="F11578" i="2"/>
  <c r="E11578" i="2"/>
  <c r="D11578" i="2"/>
  <c r="F11588" i="2"/>
  <c r="E11588" i="2"/>
  <c r="D11588" i="2"/>
  <c r="F11587" i="2"/>
  <c r="E11587" i="2"/>
  <c r="D11587" i="2"/>
  <c r="F11586" i="2"/>
  <c r="E11586" i="2"/>
  <c r="D11586" i="2"/>
  <c r="F11585" i="2"/>
  <c r="E11585" i="2"/>
  <c r="D11585" i="2"/>
  <c r="F11584" i="2"/>
  <c r="E11584" i="2"/>
  <c r="D11584" i="2"/>
  <c r="F11583" i="2"/>
  <c r="E11583" i="2"/>
  <c r="D11583" i="2"/>
  <c r="F11582" i="2"/>
  <c r="E11582" i="2"/>
  <c r="D11582" i="2"/>
  <c r="F11581" i="2"/>
  <c r="E11581" i="2"/>
  <c r="D11581" i="2"/>
  <c r="F11580" i="2"/>
  <c r="E11580" i="2"/>
  <c r="D11580" i="2"/>
  <c r="F11579" i="2"/>
  <c r="E11579" i="2"/>
  <c r="D11579" i="2"/>
  <c r="F8362" i="2"/>
  <c r="E8362" i="2"/>
  <c r="D8362" i="2"/>
  <c r="F775" i="2"/>
  <c r="E775" i="2"/>
  <c r="D775" i="2"/>
  <c r="F779" i="2"/>
  <c r="E779" i="2"/>
  <c r="D779" i="2"/>
  <c r="F778" i="2"/>
  <c r="E778" i="2"/>
  <c r="D778" i="2"/>
  <c r="F777" i="2"/>
  <c r="E777" i="2"/>
  <c r="D777" i="2"/>
  <c r="F776" i="2"/>
  <c r="E776" i="2"/>
  <c r="D776" i="2"/>
  <c r="F8605" i="2"/>
  <c r="E8605" i="2"/>
  <c r="D8605" i="2"/>
  <c r="F8604" i="2"/>
  <c r="E8604" i="2"/>
  <c r="D8604" i="2"/>
  <c r="F8603" i="2"/>
  <c r="E8603" i="2"/>
  <c r="D8603" i="2"/>
  <c r="F8602" i="2"/>
  <c r="E8602" i="2"/>
  <c r="D8602" i="2"/>
  <c r="F8601" i="2"/>
  <c r="E8601" i="2"/>
  <c r="D8601" i="2"/>
  <c r="F8600" i="2"/>
  <c r="E8600" i="2"/>
  <c r="D8600" i="2"/>
  <c r="F8599" i="2"/>
  <c r="E8599" i="2"/>
  <c r="D8599" i="2"/>
  <c r="F8598" i="2"/>
  <c r="E8598" i="2"/>
  <c r="D8598" i="2"/>
  <c r="F8597" i="2"/>
  <c r="E8597" i="2"/>
  <c r="D8597" i="2"/>
  <c r="F8596" i="2"/>
  <c r="E8596" i="2"/>
  <c r="D8596" i="2"/>
  <c r="F8595" i="2"/>
  <c r="E8595" i="2"/>
  <c r="D8595" i="2"/>
  <c r="F8594" i="2"/>
  <c r="E8594" i="2"/>
  <c r="D8594" i="2"/>
  <c r="F8593" i="2"/>
  <c r="E8593" i="2"/>
  <c r="D8593" i="2"/>
  <c r="F8592" i="2"/>
  <c r="E8592" i="2"/>
  <c r="D8592" i="2"/>
  <c r="F8591" i="2"/>
  <c r="E8591" i="2"/>
  <c r="D8591" i="2"/>
  <c r="F8590" i="2"/>
  <c r="E8590" i="2"/>
  <c r="D8590" i="2"/>
  <c r="F8589" i="2"/>
  <c r="E8589" i="2"/>
  <c r="D8589" i="2"/>
  <c r="F8588" i="2"/>
  <c r="E8588" i="2"/>
  <c r="D8588" i="2"/>
  <c r="F8587" i="2"/>
  <c r="E8587" i="2"/>
  <c r="D8587" i="2"/>
  <c r="F8586" i="2"/>
  <c r="E8586" i="2"/>
  <c r="D8586" i="2"/>
  <c r="F9985" i="2"/>
  <c r="E9985" i="2"/>
  <c r="D9985" i="2"/>
  <c r="F9984" i="2"/>
  <c r="E9984" i="2"/>
  <c r="D9984" i="2"/>
  <c r="F9983" i="2"/>
  <c r="E9983" i="2"/>
  <c r="D9983" i="2"/>
  <c r="F9982" i="2"/>
  <c r="E9982" i="2"/>
  <c r="D9982" i="2"/>
  <c r="F9981" i="2"/>
  <c r="E9981" i="2"/>
  <c r="D9981" i="2"/>
  <c r="F6892" i="2"/>
  <c r="E6892" i="2"/>
  <c r="D6892" i="2"/>
  <c r="F6897" i="2"/>
  <c r="E6897" i="2"/>
  <c r="D6897" i="2"/>
  <c r="F6896" i="2"/>
  <c r="E6896" i="2"/>
  <c r="D6896" i="2"/>
  <c r="F6895" i="2"/>
  <c r="E6895" i="2"/>
  <c r="D6895" i="2"/>
  <c r="F6894" i="2"/>
  <c r="E6894" i="2"/>
  <c r="D6894" i="2"/>
  <c r="F6893" i="2"/>
  <c r="E6893" i="2"/>
  <c r="D6893" i="2"/>
  <c r="F11590" i="2"/>
  <c r="E11590" i="2"/>
  <c r="D11590" i="2"/>
  <c r="F11589" i="2"/>
  <c r="E11589" i="2"/>
  <c r="D11589" i="2"/>
  <c r="F6431" i="2"/>
  <c r="E6431" i="2"/>
  <c r="D6431" i="2"/>
  <c r="F6430" i="2"/>
  <c r="E6430" i="2"/>
  <c r="D6430" i="2"/>
  <c r="F177" i="2"/>
  <c r="E177" i="2"/>
  <c r="D177" i="2"/>
  <c r="F188" i="2"/>
  <c r="E188" i="2"/>
  <c r="D188" i="2"/>
  <c r="F187" i="2"/>
  <c r="E187" i="2"/>
  <c r="D187" i="2"/>
  <c r="F186" i="2"/>
  <c r="E186" i="2"/>
  <c r="D186" i="2"/>
  <c r="F185" i="2"/>
  <c r="E185" i="2"/>
  <c r="D185" i="2"/>
  <c r="F184" i="2"/>
  <c r="E184" i="2"/>
  <c r="D184" i="2"/>
  <c r="F183" i="2"/>
  <c r="E183" i="2"/>
  <c r="D183" i="2"/>
  <c r="F182" i="2"/>
  <c r="E182" i="2"/>
  <c r="D182" i="2"/>
  <c r="F181" i="2"/>
  <c r="E181" i="2"/>
  <c r="D181" i="2"/>
  <c r="F180" i="2"/>
  <c r="E180" i="2"/>
  <c r="D180" i="2"/>
  <c r="F179" i="2"/>
  <c r="E179" i="2"/>
  <c r="D179" i="2"/>
  <c r="F178" i="2"/>
  <c r="E178" i="2"/>
  <c r="D178" i="2"/>
  <c r="F3140" i="2"/>
  <c r="E3140" i="2"/>
  <c r="D3140" i="2"/>
  <c r="F3161" i="2"/>
  <c r="E3161" i="2"/>
  <c r="D3161" i="2"/>
  <c r="F3160" i="2"/>
  <c r="E3160" i="2"/>
  <c r="D3160" i="2"/>
  <c r="F3159" i="2"/>
  <c r="E3159" i="2"/>
  <c r="D3159" i="2"/>
  <c r="F3158" i="2"/>
  <c r="E3158" i="2"/>
  <c r="D3158" i="2"/>
  <c r="F3157" i="2"/>
  <c r="E3157" i="2"/>
  <c r="D3157" i="2"/>
  <c r="F3156" i="2"/>
  <c r="E3156" i="2"/>
  <c r="D3156" i="2"/>
  <c r="F3155" i="2"/>
  <c r="E3155" i="2"/>
  <c r="D3155" i="2"/>
  <c r="F3154" i="2"/>
  <c r="E3154" i="2"/>
  <c r="D3154" i="2"/>
  <c r="F3153" i="2"/>
  <c r="E3153" i="2"/>
  <c r="D3153" i="2"/>
  <c r="F3152" i="2"/>
  <c r="E3152" i="2"/>
  <c r="D3152" i="2"/>
  <c r="F3151" i="2"/>
  <c r="E3151" i="2"/>
  <c r="D3151" i="2"/>
  <c r="F3150" i="2"/>
  <c r="E3150" i="2"/>
  <c r="D3150" i="2"/>
  <c r="F3149" i="2"/>
  <c r="E3149" i="2"/>
  <c r="D3149" i="2"/>
  <c r="F3148" i="2"/>
  <c r="E3148" i="2"/>
  <c r="D3148" i="2"/>
  <c r="F3147" i="2"/>
  <c r="E3147" i="2"/>
  <c r="D3147" i="2"/>
  <c r="F3146" i="2"/>
  <c r="E3146" i="2"/>
  <c r="D3146" i="2"/>
  <c r="F3145" i="2"/>
  <c r="E3145" i="2"/>
  <c r="D3145" i="2"/>
  <c r="F3144" i="2"/>
  <c r="E3144" i="2"/>
  <c r="D3144" i="2"/>
  <c r="F3143" i="2"/>
  <c r="E3143" i="2"/>
  <c r="D3143" i="2"/>
  <c r="F3142" i="2"/>
  <c r="E3142" i="2"/>
  <c r="D3142" i="2"/>
  <c r="F3141" i="2"/>
  <c r="E3141" i="2"/>
  <c r="D3141" i="2"/>
  <c r="F927" i="2"/>
  <c r="E927" i="2"/>
  <c r="D927" i="2"/>
  <c r="F926" i="2"/>
  <c r="E926" i="2"/>
  <c r="D926" i="2"/>
  <c r="F925" i="2"/>
  <c r="E925" i="2"/>
  <c r="D925" i="2"/>
  <c r="F924" i="2"/>
  <c r="E924" i="2"/>
  <c r="D924" i="2"/>
  <c r="F923" i="2"/>
  <c r="E923" i="2"/>
  <c r="D923" i="2"/>
  <c r="F922" i="2"/>
  <c r="E922" i="2"/>
  <c r="D922" i="2"/>
  <c r="F921" i="2"/>
  <c r="E921" i="2"/>
  <c r="D921" i="2"/>
  <c r="F920" i="2"/>
  <c r="E920" i="2"/>
  <c r="D920" i="2"/>
  <c r="F919" i="2"/>
  <c r="E919" i="2"/>
  <c r="D919" i="2"/>
  <c r="F918" i="2"/>
  <c r="E918" i="2"/>
  <c r="D918" i="2"/>
  <c r="F917" i="2"/>
  <c r="E917" i="2"/>
  <c r="D917" i="2"/>
  <c r="F12802" i="2"/>
  <c r="E12802" i="2"/>
  <c r="D12802" i="2"/>
  <c r="F12803" i="2"/>
  <c r="E12803" i="2"/>
  <c r="D12803" i="2"/>
  <c r="F8368" i="2"/>
  <c r="E8368" i="2"/>
  <c r="D8368" i="2"/>
  <c r="F8374" i="2"/>
  <c r="E8374" i="2"/>
  <c r="D8374" i="2"/>
  <c r="F8373" i="2"/>
  <c r="E8373" i="2"/>
  <c r="D8373" i="2"/>
  <c r="F8372" i="2"/>
  <c r="E8372" i="2"/>
  <c r="D8372" i="2"/>
  <c r="F8371" i="2"/>
  <c r="E8371" i="2"/>
  <c r="D8371" i="2"/>
  <c r="F8370" i="2"/>
  <c r="E8370" i="2"/>
  <c r="D8370" i="2"/>
  <c r="F8369" i="2"/>
  <c r="E8369" i="2"/>
  <c r="D8369" i="2"/>
  <c r="F11591" i="2"/>
  <c r="E11591" i="2"/>
  <c r="D11591" i="2"/>
  <c r="F11593" i="2"/>
  <c r="E11593" i="2"/>
  <c r="D11593" i="2"/>
  <c r="F11592" i="2"/>
  <c r="E11592" i="2"/>
  <c r="D11592" i="2"/>
  <c r="F1412" i="2"/>
  <c r="E1412" i="2"/>
  <c r="D1412" i="2"/>
  <c r="F1417" i="2"/>
  <c r="E1417" i="2"/>
  <c r="D1417" i="2"/>
  <c r="F1416" i="2"/>
  <c r="E1416" i="2"/>
  <c r="D1416" i="2"/>
  <c r="F1415" i="2"/>
  <c r="E1415" i="2"/>
  <c r="D1415" i="2"/>
  <c r="F1414" i="2"/>
  <c r="E1414" i="2"/>
  <c r="D1414" i="2"/>
  <c r="F1413" i="2"/>
  <c r="E1413" i="2"/>
  <c r="D1413" i="2"/>
  <c r="F6476" i="2"/>
  <c r="E6476" i="2"/>
  <c r="D6476" i="2"/>
  <c r="F6477" i="2"/>
  <c r="E6477" i="2"/>
  <c r="D6477" i="2"/>
  <c r="F6461" i="2"/>
  <c r="E6461" i="2"/>
  <c r="D6461" i="2"/>
  <c r="F6475" i="2"/>
  <c r="E6475" i="2"/>
  <c r="D6475" i="2"/>
  <c r="F6474" i="2"/>
  <c r="E6474" i="2"/>
  <c r="D6474" i="2"/>
  <c r="F6473" i="2"/>
  <c r="E6473" i="2"/>
  <c r="D6473" i="2"/>
  <c r="F6472" i="2"/>
  <c r="E6472" i="2"/>
  <c r="D6472" i="2"/>
  <c r="F6471" i="2"/>
  <c r="E6471" i="2"/>
  <c r="D6471" i="2"/>
  <c r="F6470" i="2"/>
  <c r="E6470" i="2"/>
  <c r="D6470" i="2"/>
  <c r="F6469" i="2"/>
  <c r="E6469" i="2"/>
  <c r="D6469" i="2"/>
  <c r="F6468" i="2"/>
  <c r="E6468" i="2"/>
  <c r="D6468" i="2"/>
  <c r="F6467" i="2"/>
  <c r="E6467" i="2"/>
  <c r="D6467" i="2"/>
  <c r="F6466" i="2"/>
  <c r="E6466" i="2"/>
  <c r="D6466" i="2"/>
  <c r="F6465" i="2"/>
  <c r="E6465" i="2"/>
  <c r="D6465" i="2"/>
  <c r="F6464" i="2"/>
  <c r="E6464" i="2"/>
  <c r="D6464" i="2"/>
  <c r="F6463" i="2"/>
  <c r="E6463" i="2"/>
  <c r="D6463" i="2"/>
  <c r="F6462" i="2"/>
  <c r="E6462" i="2"/>
  <c r="D6462" i="2"/>
  <c r="F10125" i="2"/>
  <c r="E10125" i="2"/>
  <c r="D10125" i="2"/>
  <c r="F10124" i="2"/>
  <c r="E10124" i="2"/>
  <c r="D10124" i="2"/>
  <c r="F10123" i="2"/>
  <c r="E10123" i="2"/>
  <c r="D10123" i="2"/>
  <c r="F10122" i="2"/>
  <c r="E10122" i="2"/>
  <c r="D10122" i="2"/>
  <c r="F10121" i="2"/>
  <c r="E10121" i="2"/>
  <c r="D10121" i="2"/>
  <c r="F10120" i="2"/>
  <c r="E10120" i="2"/>
  <c r="D10120" i="2"/>
  <c r="F10119" i="2"/>
  <c r="E10119" i="2"/>
  <c r="D10119" i="2"/>
  <c r="F10118" i="2"/>
  <c r="E10118" i="2"/>
  <c r="D10118" i="2"/>
  <c r="F10117" i="2"/>
  <c r="E10117" i="2"/>
  <c r="D10117" i="2"/>
  <c r="F10116" i="2"/>
  <c r="E10116" i="2"/>
  <c r="D10116" i="2"/>
  <c r="F10115" i="2"/>
  <c r="E10115" i="2"/>
  <c r="D10115" i="2"/>
  <c r="F10114" i="2"/>
  <c r="E10114" i="2"/>
  <c r="D10114" i="2"/>
  <c r="F10113" i="2"/>
  <c r="E10113" i="2"/>
  <c r="D10113" i="2"/>
  <c r="F10112" i="2"/>
  <c r="E10112" i="2"/>
  <c r="D10112" i="2"/>
  <c r="F10111" i="2"/>
  <c r="E10111" i="2"/>
  <c r="D10111" i="2"/>
  <c r="F10110" i="2"/>
  <c r="E10110" i="2"/>
  <c r="D10110" i="2"/>
  <c r="F10109" i="2"/>
  <c r="E10109" i="2"/>
  <c r="D10109" i="2"/>
  <c r="F10108" i="2"/>
  <c r="E10108" i="2"/>
  <c r="D10108" i="2"/>
  <c r="F10107" i="2"/>
  <c r="E10107" i="2"/>
  <c r="D10107" i="2"/>
  <c r="F10106" i="2"/>
  <c r="E10106" i="2"/>
  <c r="D10106" i="2"/>
  <c r="F10104" i="2"/>
  <c r="E10104" i="2"/>
  <c r="D10104" i="2"/>
  <c r="F10105" i="2"/>
  <c r="E10105" i="2"/>
  <c r="D10105" i="2"/>
  <c r="F10103" i="2"/>
  <c r="E10103" i="2"/>
  <c r="D10103" i="2"/>
  <c r="F5455" i="2"/>
  <c r="E5455" i="2"/>
  <c r="D5455" i="2"/>
  <c r="F5465" i="2"/>
  <c r="E5465" i="2"/>
  <c r="D5465" i="2"/>
  <c r="F5464" i="2"/>
  <c r="E5464" i="2"/>
  <c r="D5464" i="2"/>
  <c r="F5463" i="2"/>
  <c r="E5463" i="2"/>
  <c r="D5463" i="2"/>
  <c r="F5462" i="2"/>
  <c r="E5462" i="2"/>
  <c r="D5462" i="2"/>
  <c r="F5461" i="2"/>
  <c r="E5461" i="2"/>
  <c r="D5461" i="2"/>
  <c r="F5460" i="2"/>
  <c r="E5460" i="2"/>
  <c r="D5460" i="2"/>
  <c r="F5459" i="2"/>
  <c r="E5459" i="2"/>
  <c r="D5459" i="2"/>
  <c r="F5458" i="2"/>
  <c r="E5458" i="2"/>
  <c r="D5458" i="2"/>
  <c r="F5457" i="2"/>
  <c r="E5457" i="2"/>
  <c r="D5457" i="2"/>
  <c r="F5456" i="2"/>
  <c r="E5456" i="2"/>
  <c r="D5456" i="2"/>
  <c r="F13658" i="2"/>
  <c r="E13658" i="2"/>
  <c r="D13658" i="2"/>
  <c r="F13666" i="2"/>
  <c r="E13666" i="2"/>
  <c r="D13666" i="2"/>
  <c r="F13665" i="2"/>
  <c r="E13665" i="2"/>
  <c r="D13665" i="2"/>
  <c r="F13664" i="2"/>
  <c r="E13664" i="2"/>
  <c r="D13664" i="2"/>
  <c r="F13663" i="2"/>
  <c r="E13663" i="2"/>
  <c r="D13663" i="2"/>
  <c r="F13662" i="2"/>
  <c r="E13662" i="2"/>
  <c r="D13662" i="2"/>
  <c r="F13661" i="2"/>
  <c r="E13661" i="2"/>
  <c r="D13661" i="2"/>
  <c r="F13660" i="2"/>
  <c r="E13660" i="2"/>
  <c r="D13660" i="2"/>
  <c r="F13659" i="2"/>
  <c r="E13659" i="2"/>
  <c r="D13659" i="2"/>
  <c r="F16285" i="2"/>
  <c r="E16285" i="2"/>
  <c r="D16285" i="2"/>
  <c r="F16284" i="2"/>
  <c r="E16284" i="2"/>
  <c r="D16284" i="2"/>
  <c r="F16283" i="2"/>
  <c r="E16283" i="2"/>
  <c r="D16283" i="2"/>
  <c r="F16282" i="2"/>
  <c r="E16282" i="2"/>
  <c r="D16282" i="2"/>
  <c r="F10161" i="2"/>
  <c r="E10161" i="2"/>
  <c r="D10161" i="2"/>
  <c r="F10169" i="2"/>
  <c r="E10169" i="2"/>
  <c r="D10169" i="2"/>
  <c r="F10168" i="2"/>
  <c r="E10168" i="2"/>
  <c r="D10168" i="2"/>
  <c r="F10167" i="2"/>
  <c r="E10167" i="2"/>
  <c r="D10167" i="2"/>
  <c r="F10166" i="2"/>
  <c r="E10166" i="2"/>
  <c r="D10166" i="2"/>
  <c r="F10165" i="2"/>
  <c r="E10165" i="2"/>
  <c r="D10165" i="2"/>
  <c r="F10164" i="2"/>
  <c r="E10164" i="2"/>
  <c r="D10164" i="2"/>
  <c r="F10163" i="2"/>
  <c r="E10163" i="2"/>
  <c r="D10163" i="2"/>
  <c r="F10162" i="2"/>
  <c r="E10162" i="2"/>
  <c r="D10162" i="2"/>
  <c r="F11054" i="2"/>
  <c r="E11054" i="2"/>
  <c r="D11054" i="2"/>
  <c r="F13667" i="2"/>
  <c r="E13667" i="2"/>
  <c r="D13667" i="2"/>
  <c r="F13670" i="2"/>
  <c r="E13670" i="2"/>
  <c r="D13670" i="2"/>
  <c r="F13669" i="2"/>
  <c r="E13669" i="2"/>
  <c r="D13669" i="2"/>
  <c r="F13668" i="2"/>
  <c r="E13668" i="2"/>
  <c r="D13668" i="2"/>
  <c r="F10239" i="2"/>
  <c r="E10239" i="2"/>
  <c r="D10239" i="2"/>
  <c r="F10264" i="2"/>
  <c r="E10264" i="2"/>
  <c r="D10264" i="2"/>
  <c r="F10263" i="2"/>
  <c r="E10263" i="2"/>
  <c r="D10263" i="2"/>
  <c r="F10262" i="2"/>
  <c r="E10262" i="2"/>
  <c r="D10262" i="2"/>
  <c r="F10261" i="2"/>
  <c r="E10261" i="2"/>
  <c r="D10261" i="2"/>
  <c r="F10260" i="2"/>
  <c r="E10260" i="2"/>
  <c r="D10260" i="2"/>
  <c r="F10259" i="2"/>
  <c r="E10259" i="2"/>
  <c r="D10259" i="2"/>
  <c r="F10258" i="2"/>
  <c r="E10258" i="2"/>
  <c r="D10258" i="2"/>
  <c r="F10257" i="2"/>
  <c r="E10257" i="2"/>
  <c r="D10257" i="2"/>
  <c r="F10256" i="2"/>
  <c r="E10256" i="2"/>
  <c r="D10256" i="2"/>
  <c r="F10255" i="2"/>
  <c r="E10255" i="2"/>
  <c r="D10255" i="2"/>
  <c r="F10254" i="2"/>
  <c r="E10254" i="2"/>
  <c r="D10254" i="2"/>
  <c r="F10253" i="2"/>
  <c r="E10253" i="2"/>
  <c r="D10253" i="2"/>
  <c r="F10252" i="2"/>
  <c r="E10252" i="2"/>
  <c r="D10252" i="2"/>
  <c r="F10251" i="2"/>
  <c r="E10251" i="2"/>
  <c r="D10251" i="2"/>
  <c r="F10250" i="2"/>
  <c r="E10250" i="2"/>
  <c r="D10250" i="2"/>
  <c r="F10249" i="2"/>
  <c r="E10249" i="2"/>
  <c r="D10249" i="2"/>
  <c r="F10248" i="2"/>
  <c r="E10248" i="2"/>
  <c r="D10248" i="2"/>
  <c r="F10247" i="2"/>
  <c r="E10247" i="2"/>
  <c r="D10247" i="2"/>
  <c r="F10246" i="2"/>
  <c r="E10246" i="2"/>
  <c r="D10246" i="2"/>
  <c r="F10244" i="2"/>
  <c r="E10244" i="2"/>
  <c r="D10244" i="2"/>
  <c r="F10245" i="2"/>
  <c r="E10245" i="2"/>
  <c r="D10245" i="2"/>
  <c r="F10243" i="2"/>
  <c r="E10243" i="2"/>
  <c r="D10243" i="2"/>
  <c r="F10242" i="2"/>
  <c r="E10242" i="2"/>
  <c r="D10242" i="2"/>
  <c r="F10241" i="2"/>
  <c r="E10241" i="2"/>
  <c r="D10241" i="2"/>
  <c r="F10240" i="2"/>
  <c r="E10240" i="2"/>
  <c r="D10240" i="2"/>
  <c r="F1095" i="2"/>
  <c r="E1095" i="2"/>
  <c r="D1095" i="2"/>
  <c r="F1105" i="2"/>
  <c r="E1105" i="2"/>
  <c r="D1105" i="2"/>
  <c r="F1104" i="2"/>
  <c r="E1104" i="2"/>
  <c r="D1104" i="2"/>
  <c r="F1103" i="2"/>
  <c r="E1103" i="2"/>
  <c r="D1103" i="2"/>
  <c r="F1102" i="2"/>
  <c r="E1102" i="2"/>
  <c r="D1102" i="2"/>
  <c r="F1101" i="2"/>
  <c r="E1101" i="2"/>
  <c r="D1101" i="2"/>
  <c r="F1100" i="2"/>
  <c r="E1100" i="2"/>
  <c r="D1100" i="2"/>
  <c r="F1099" i="2"/>
  <c r="E1099" i="2"/>
  <c r="D1099" i="2"/>
  <c r="F1098" i="2"/>
  <c r="E1098" i="2"/>
  <c r="D1098" i="2"/>
  <c r="F1097" i="2"/>
  <c r="E1097" i="2"/>
  <c r="D1097" i="2"/>
  <c r="F1096" i="2"/>
  <c r="E1096" i="2"/>
  <c r="D1096" i="2"/>
  <c r="F6739" i="2"/>
  <c r="E6739" i="2"/>
  <c r="D6739" i="2"/>
  <c r="F6748" i="2"/>
  <c r="E6748" i="2"/>
  <c r="D6748" i="2"/>
  <c r="F6747" i="2"/>
  <c r="E6747" i="2"/>
  <c r="D6747" i="2"/>
  <c r="F6746" i="2"/>
  <c r="E6746" i="2"/>
  <c r="D6746" i="2"/>
  <c r="F6745" i="2"/>
  <c r="E6745" i="2"/>
  <c r="D6745" i="2"/>
  <c r="F6744" i="2"/>
  <c r="E6744" i="2"/>
  <c r="D6744" i="2"/>
  <c r="F6743" i="2"/>
  <c r="E6743" i="2"/>
  <c r="D6743" i="2"/>
  <c r="F6742" i="2"/>
  <c r="E6742" i="2"/>
  <c r="D6742" i="2"/>
  <c r="F6741" i="2"/>
  <c r="E6741" i="2"/>
  <c r="D6741" i="2"/>
  <c r="F6740" i="2"/>
  <c r="E6740" i="2"/>
  <c r="D6740" i="2"/>
  <c r="F928" i="2"/>
  <c r="E928" i="2"/>
  <c r="D928" i="2"/>
  <c r="F932" i="2"/>
  <c r="E932" i="2"/>
  <c r="D932" i="2"/>
  <c r="F931" i="2"/>
  <c r="E931" i="2"/>
  <c r="D931" i="2"/>
  <c r="F930" i="2"/>
  <c r="E930" i="2"/>
  <c r="D930" i="2"/>
  <c r="F929" i="2"/>
  <c r="E929" i="2"/>
  <c r="D929" i="2"/>
  <c r="F10272" i="2"/>
  <c r="E10272" i="2"/>
  <c r="D10272" i="2"/>
  <c r="F8377" i="2"/>
  <c r="E8377" i="2"/>
  <c r="D8377" i="2"/>
  <c r="F8392" i="2"/>
  <c r="E8392" i="2"/>
  <c r="D8392" i="2"/>
  <c r="F8391" i="2"/>
  <c r="E8391" i="2"/>
  <c r="D8391" i="2"/>
  <c r="F8390" i="2"/>
  <c r="E8390" i="2"/>
  <c r="D8390" i="2"/>
  <c r="F8389" i="2"/>
  <c r="E8389" i="2"/>
  <c r="D8389" i="2"/>
  <c r="F8388" i="2"/>
  <c r="E8388" i="2"/>
  <c r="D8388" i="2"/>
  <c r="F8387" i="2"/>
  <c r="E8387" i="2"/>
  <c r="D8387" i="2"/>
  <c r="F8386" i="2"/>
  <c r="E8386" i="2"/>
  <c r="D8386" i="2"/>
  <c r="F8385" i="2"/>
  <c r="E8385" i="2"/>
  <c r="D8385" i="2"/>
  <c r="F8384" i="2"/>
  <c r="E8384" i="2"/>
  <c r="D8384" i="2"/>
  <c r="F8383" i="2"/>
  <c r="E8383" i="2"/>
  <c r="D8383" i="2"/>
  <c r="F8382" i="2"/>
  <c r="E8382" i="2"/>
  <c r="D8382" i="2"/>
  <c r="F8381" i="2"/>
  <c r="E8381" i="2"/>
  <c r="D8381" i="2"/>
  <c r="F8380" i="2"/>
  <c r="E8380" i="2"/>
  <c r="D8380" i="2"/>
  <c r="F8379" i="2"/>
  <c r="E8379" i="2"/>
  <c r="D8379" i="2"/>
  <c r="F8378" i="2"/>
  <c r="E8378" i="2"/>
  <c r="D8378" i="2"/>
  <c r="F5832" i="2"/>
  <c r="E5832" i="2"/>
  <c r="D5832" i="2"/>
  <c r="F8349" i="2"/>
  <c r="E8349" i="2"/>
  <c r="D8349" i="2"/>
  <c r="F8351" i="2"/>
  <c r="E8351" i="2"/>
  <c r="D8351" i="2"/>
  <c r="F8350" i="2"/>
  <c r="E8350" i="2"/>
  <c r="D8350" i="2"/>
  <c r="F3789" i="2"/>
  <c r="E3789" i="2"/>
  <c r="D3789" i="2"/>
  <c r="F3788" i="2"/>
  <c r="E3788" i="2"/>
  <c r="D3788" i="2"/>
  <c r="F12706" i="2"/>
  <c r="E12706" i="2"/>
  <c r="D12706" i="2"/>
  <c r="F2382" i="2"/>
  <c r="E2382" i="2"/>
  <c r="D2382" i="2"/>
  <c r="F2381" i="2"/>
  <c r="E2381" i="2"/>
  <c r="D2381" i="2"/>
  <c r="F2380" i="2"/>
  <c r="E2380" i="2"/>
  <c r="D2380" i="2"/>
  <c r="F2379" i="2"/>
  <c r="E2379" i="2"/>
  <c r="D2379" i="2"/>
  <c r="F2378" i="2"/>
  <c r="E2378" i="2"/>
  <c r="D2378" i="2"/>
  <c r="F2377" i="2"/>
  <c r="E2377" i="2"/>
  <c r="D2377" i="2"/>
  <c r="F2376" i="2"/>
  <c r="E2376" i="2"/>
  <c r="D2376" i="2"/>
  <c r="F2375" i="2"/>
  <c r="E2375" i="2"/>
  <c r="D2375" i="2"/>
  <c r="F2374" i="2"/>
  <c r="E2374" i="2"/>
  <c r="D2374" i="2"/>
  <c r="F2373" i="2"/>
  <c r="E2373" i="2"/>
  <c r="D2373" i="2"/>
  <c r="F2372" i="2"/>
  <c r="E2372" i="2"/>
  <c r="D2372" i="2"/>
  <c r="F2371" i="2"/>
  <c r="E2371" i="2"/>
  <c r="D2371" i="2"/>
  <c r="F2370" i="2"/>
  <c r="E2370" i="2"/>
  <c r="D2370" i="2"/>
  <c r="F2369" i="2"/>
  <c r="E2369" i="2"/>
  <c r="D2369" i="2"/>
  <c r="F6221" i="2"/>
  <c r="E6221" i="2"/>
  <c r="D6221" i="2"/>
  <c r="F6225" i="2"/>
  <c r="E6225" i="2"/>
  <c r="D6225" i="2"/>
  <c r="F6224" i="2"/>
  <c r="E6224" i="2"/>
  <c r="D6224" i="2"/>
  <c r="F6222" i="2"/>
  <c r="E6222" i="2"/>
  <c r="D6222" i="2"/>
  <c r="F6223" i="2"/>
  <c r="E6223" i="2"/>
  <c r="D6223" i="2"/>
  <c r="F2404" i="2"/>
  <c r="E2404" i="2"/>
  <c r="D2404" i="2"/>
  <c r="F2420" i="2"/>
  <c r="E2420" i="2"/>
  <c r="D2420" i="2"/>
  <c r="F2419" i="2"/>
  <c r="E2419" i="2"/>
  <c r="D2419" i="2"/>
  <c r="F2418" i="2"/>
  <c r="E2418" i="2"/>
  <c r="D2418" i="2"/>
  <c r="F2417" i="2"/>
  <c r="E2417" i="2"/>
  <c r="D2417" i="2"/>
  <c r="F2416" i="2"/>
  <c r="E2416" i="2"/>
  <c r="D2416" i="2"/>
  <c r="F2415" i="2"/>
  <c r="E2415" i="2"/>
  <c r="D2415" i="2"/>
  <c r="F2414" i="2"/>
  <c r="E2414" i="2"/>
  <c r="D2414" i="2"/>
  <c r="F2413" i="2"/>
  <c r="E2413" i="2"/>
  <c r="D2413" i="2"/>
  <c r="F2412" i="2"/>
  <c r="E2412" i="2"/>
  <c r="D2412" i="2"/>
  <c r="F2411" i="2"/>
  <c r="E2411" i="2"/>
  <c r="D2411" i="2"/>
  <c r="F2410" i="2"/>
  <c r="E2410" i="2"/>
  <c r="D2410" i="2"/>
  <c r="F2409" i="2"/>
  <c r="E2409" i="2"/>
  <c r="D2409" i="2"/>
  <c r="F2408" i="2"/>
  <c r="E2408" i="2"/>
  <c r="D2408" i="2"/>
  <c r="F2407" i="2"/>
  <c r="E2407" i="2"/>
  <c r="D2407" i="2"/>
  <c r="F2406" i="2"/>
  <c r="E2406" i="2"/>
  <c r="D2406" i="2"/>
  <c r="F2405" i="2"/>
  <c r="E2405" i="2"/>
  <c r="D2405" i="2"/>
  <c r="F15390" i="2"/>
  <c r="E15390" i="2"/>
  <c r="D15390" i="2"/>
  <c r="F15389" i="2"/>
  <c r="E15389" i="2"/>
  <c r="D15389" i="2"/>
  <c r="F15388" i="2"/>
  <c r="E15388" i="2"/>
  <c r="D15388" i="2"/>
  <c r="F15387" i="2"/>
  <c r="E15387" i="2"/>
  <c r="D15387" i="2"/>
  <c r="F15386" i="2"/>
  <c r="E15386" i="2"/>
  <c r="D15386" i="2"/>
  <c r="F15385" i="2"/>
  <c r="E15385" i="2"/>
  <c r="D15385" i="2"/>
  <c r="F15384" i="2"/>
  <c r="E15384" i="2"/>
  <c r="D15384" i="2"/>
  <c r="F1084" i="2"/>
  <c r="E1084" i="2"/>
  <c r="D1084" i="2"/>
  <c r="F1083" i="2"/>
  <c r="E1083" i="2"/>
  <c r="D1083" i="2"/>
  <c r="F1082" i="2"/>
  <c r="E1082" i="2"/>
  <c r="D1082" i="2"/>
  <c r="F1081" i="2"/>
  <c r="E1081" i="2"/>
  <c r="D1081" i="2"/>
  <c r="F1080" i="2"/>
  <c r="E1080" i="2"/>
  <c r="D1080" i="2"/>
  <c r="F1623" i="2"/>
  <c r="E1623" i="2"/>
  <c r="D1623" i="2"/>
  <c r="F1622" i="2"/>
  <c r="E1622" i="2"/>
  <c r="D1622" i="2"/>
  <c r="F1621" i="2"/>
  <c r="E1621" i="2"/>
  <c r="D1621" i="2"/>
  <c r="F1620" i="2"/>
  <c r="E1620" i="2"/>
  <c r="D1620" i="2"/>
  <c r="F1619" i="2"/>
  <c r="E1619" i="2"/>
  <c r="D1619" i="2"/>
  <c r="F1618" i="2"/>
  <c r="E1618" i="2"/>
  <c r="D1618" i="2"/>
  <c r="F1616" i="2"/>
  <c r="E1616" i="2"/>
  <c r="D1616" i="2"/>
  <c r="F1617" i="2"/>
  <c r="E1617" i="2"/>
  <c r="D1617" i="2"/>
  <c r="F1615" i="2"/>
  <c r="E1615" i="2"/>
  <c r="D1615" i="2"/>
  <c r="F1613" i="2"/>
  <c r="E1613" i="2"/>
  <c r="D1613" i="2"/>
  <c r="F1614" i="2"/>
  <c r="E1614" i="2"/>
  <c r="D1614" i="2"/>
  <c r="F1612" i="2"/>
  <c r="E1612" i="2"/>
  <c r="D1612" i="2"/>
  <c r="F1610" i="2"/>
  <c r="E1610" i="2"/>
  <c r="D1610" i="2"/>
  <c r="F1611" i="2"/>
  <c r="E1611" i="2"/>
  <c r="D1611" i="2"/>
  <c r="F1609" i="2"/>
  <c r="E1609" i="2"/>
  <c r="D1609" i="2"/>
  <c r="F1608" i="2"/>
  <c r="E1608" i="2"/>
  <c r="D1608" i="2"/>
  <c r="F1607" i="2"/>
  <c r="E1607" i="2"/>
  <c r="D1607" i="2"/>
  <c r="F1606" i="2"/>
  <c r="E1606" i="2"/>
  <c r="D1606" i="2"/>
  <c r="F1605" i="2"/>
  <c r="E1605" i="2"/>
  <c r="D1605" i="2"/>
  <c r="F1604" i="2"/>
  <c r="E1604" i="2"/>
  <c r="D1604" i="2"/>
  <c r="F1603" i="2"/>
  <c r="E1603" i="2"/>
  <c r="D1603" i="2"/>
  <c r="F1602" i="2"/>
  <c r="E1602" i="2"/>
  <c r="D1602" i="2"/>
  <c r="F1601" i="2"/>
  <c r="E1601" i="2"/>
  <c r="D1601" i="2"/>
  <c r="F13756" i="2"/>
  <c r="E13756" i="2"/>
  <c r="D13756" i="2"/>
  <c r="F13755" i="2"/>
  <c r="E13755" i="2"/>
  <c r="D13755" i="2"/>
  <c r="F13754" i="2"/>
  <c r="E13754" i="2"/>
  <c r="D13754" i="2"/>
  <c r="F13753" i="2"/>
  <c r="E13753" i="2"/>
  <c r="D13753" i="2"/>
  <c r="F13752" i="2"/>
  <c r="E13752" i="2"/>
  <c r="D13752" i="2"/>
  <c r="F13751" i="2"/>
  <c r="E13751" i="2"/>
  <c r="D13751" i="2"/>
  <c r="F13750" i="2"/>
  <c r="E13750" i="2"/>
  <c r="D13750" i="2"/>
  <c r="F13749" i="2"/>
  <c r="E13749" i="2"/>
  <c r="D13749" i="2"/>
  <c r="F8409" i="2"/>
  <c r="E8409" i="2"/>
  <c r="D8409" i="2"/>
  <c r="F8408" i="2"/>
  <c r="E8408" i="2"/>
  <c r="D8408" i="2"/>
  <c r="F8407" i="2"/>
  <c r="E8407" i="2"/>
  <c r="D8407" i="2"/>
  <c r="F8406" i="2"/>
  <c r="E8406" i="2"/>
  <c r="D8406" i="2"/>
  <c r="F8405" i="2"/>
  <c r="E8405" i="2"/>
  <c r="D8405" i="2"/>
  <c r="F8404" i="2"/>
  <c r="E8404" i="2"/>
  <c r="D8404" i="2"/>
  <c r="F8403" i="2"/>
  <c r="E8403" i="2"/>
  <c r="D8403" i="2"/>
  <c r="F8402" i="2"/>
  <c r="E8402" i="2"/>
  <c r="D8402" i="2"/>
  <c r="F8401" i="2"/>
  <c r="E8401" i="2"/>
  <c r="D8401" i="2"/>
  <c r="F8399" i="2"/>
  <c r="E8399" i="2"/>
  <c r="D8399" i="2"/>
  <c r="F8400" i="2"/>
  <c r="E8400" i="2"/>
  <c r="D8400" i="2"/>
  <c r="F8398" i="2"/>
  <c r="E8398" i="2"/>
  <c r="D8398" i="2"/>
  <c r="F8397" i="2"/>
  <c r="E8397" i="2"/>
  <c r="D8397" i="2"/>
  <c r="F8396" i="2"/>
  <c r="E8396" i="2"/>
  <c r="D8396" i="2"/>
  <c r="F8395" i="2"/>
  <c r="E8395" i="2"/>
  <c r="D8395" i="2"/>
  <c r="F8394" i="2"/>
  <c r="E8394" i="2"/>
  <c r="D8394" i="2"/>
  <c r="F8393" i="2"/>
  <c r="E8393" i="2"/>
  <c r="D8393" i="2"/>
  <c r="F993" i="2"/>
  <c r="E993" i="2"/>
  <c r="D993" i="2"/>
  <c r="F992" i="2"/>
  <c r="E992" i="2"/>
  <c r="D992" i="2"/>
  <c r="F991" i="2"/>
  <c r="E991" i="2"/>
  <c r="D991" i="2"/>
  <c r="F990" i="2"/>
  <c r="E990" i="2"/>
  <c r="D990" i="2"/>
  <c r="F989" i="2"/>
  <c r="E989" i="2"/>
  <c r="D989" i="2"/>
  <c r="F6902" i="2"/>
  <c r="E6902" i="2"/>
  <c r="D6902" i="2"/>
  <c r="F6907" i="2"/>
  <c r="E6907" i="2"/>
  <c r="D6907" i="2"/>
  <c r="F6906" i="2"/>
  <c r="E6906" i="2"/>
  <c r="D6906" i="2"/>
  <c r="F6905" i="2"/>
  <c r="E6905" i="2"/>
  <c r="D6905" i="2"/>
  <c r="F6904" i="2"/>
  <c r="E6904" i="2"/>
  <c r="D6904" i="2"/>
  <c r="F6903" i="2"/>
  <c r="E6903" i="2"/>
  <c r="D6903" i="2"/>
  <c r="F7066" i="2"/>
  <c r="E7066" i="2"/>
  <c r="D7066" i="2"/>
  <c r="F3451" i="2"/>
  <c r="E3451" i="2"/>
  <c r="D3451" i="2"/>
  <c r="F3450" i="2"/>
  <c r="E3450" i="2"/>
  <c r="D3450" i="2"/>
  <c r="F3449" i="2"/>
  <c r="E3449" i="2"/>
  <c r="D3449" i="2"/>
  <c r="F3448" i="2"/>
  <c r="E3448" i="2"/>
  <c r="D3448" i="2"/>
  <c r="F3447" i="2"/>
  <c r="E3447" i="2"/>
  <c r="D3447" i="2"/>
  <c r="F3446" i="2"/>
  <c r="E3446" i="2"/>
  <c r="D3446" i="2"/>
  <c r="F3445" i="2"/>
  <c r="E3445" i="2"/>
  <c r="D3445" i="2"/>
  <c r="F3444" i="2"/>
  <c r="E3444" i="2"/>
  <c r="D3444" i="2"/>
  <c r="F3443" i="2"/>
  <c r="E3443" i="2"/>
  <c r="D3443" i="2"/>
  <c r="F3442" i="2"/>
  <c r="E3442" i="2"/>
  <c r="D3442" i="2"/>
  <c r="F3441" i="2"/>
  <c r="E3441" i="2"/>
  <c r="D3441" i="2"/>
  <c r="F10436" i="2"/>
  <c r="E10436" i="2"/>
  <c r="D10436" i="2"/>
  <c r="F10437" i="2"/>
  <c r="E10437" i="2"/>
  <c r="D10437" i="2"/>
  <c r="F10421" i="2"/>
  <c r="E10421" i="2"/>
  <c r="D10421" i="2"/>
  <c r="F10435" i="2"/>
  <c r="E10435" i="2"/>
  <c r="D10435" i="2"/>
  <c r="F10434" i="2"/>
  <c r="E10434" i="2"/>
  <c r="D10434" i="2"/>
  <c r="F10433" i="2"/>
  <c r="E10433" i="2"/>
  <c r="D10433" i="2"/>
  <c r="F10432" i="2"/>
  <c r="E10432" i="2"/>
  <c r="D10432" i="2"/>
  <c r="F10431" i="2"/>
  <c r="E10431" i="2"/>
  <c r="D10431" i="2"/>
  <c r="F10430" i="2"/>
  <c r="E10430" i="2"/>
  <c r="D10430" i="2"/>
  <c r="F10429" i="2"/>
  <c r="E10429" i="2"/>
  <c r="D10429" i="2"/>
  <c r="F10428" i="2"/>
  <c r="E10428" i="2"/>
  <c r="D10428" i="2"/>
  <c r="F10427" i="2"/>
  <c r="E10427" i="2"/>
  <c r="D10427" i="2"/>
  <c r="F10425" i="2"/>
  <c r="E10425" i="2"/>
  <c r="D10425" i="2"/>
  <c r="F10426" i="2"/>
  <c r="E10426" i="2"/>
  <c r="D10426" i="2"/>
  <c r="F10424" i="2"/>
  <c r="E10424" i="2"/>
  <c r="D10424" i="2"/>
  <c r="F10423" i="2"/>
  <c r="E10423" i="2"/>
  <c r="D10423" i="2"/>
  <c r="F10422" i="2"/>
  <c r="E10422" i="2"/>
  <c r="D10422" i="2"/>
  <c r="F3782" i="2"/>
  <c r="E3782" i="2"/>
  <c r="D3782" i="2"/>
  <c r="F13263" i="2"/>
  <c r="E13263" i="2"/>
  <c r="D13263" i="2"/>
  <c r="F13268" i="2"/>
  <c r="E13268" i="2"/>
  <c r="D13268" i="2"/>
  <c r="F13267" i="2"/>
  <c r="E13267" i="2"/>
  <c r="D13267" i="2"/>
  <c r="F13266" i="2"/>
  <c r="E13266" i="2"/>
  <c r="D13266" i="2"/>
  <c r="F13265" i="2"/>
  <c r="E13265" i="2"/>
  <c r="D13265" i="2"/>
  <c r="F13264" i="2"/>
  <c r="E13264" i="2"/>
  <c r="D13264" i="2"/>
  <c r="F13262" i="2"/>
  <c r="E13262" i="2"/>
  <c r="D13262" i="2"/>
  <c r="F5833" i="2"/>
  <c r="E5833" i="2"/>
  <c r="D5833" i="2"/>
  <c r="F5848" i="2"/>
  <c r="E5848" i="2"/>
  <c r="D5848" i="2"/>
  <c r="F5847" i="2"/>
  <c r="E5847" i="2"/>
  <c r="D5847" i="2"/>
  <c r="F5846" i="2"/>
  <c r="E5846" i="2"/>
  <c r="D5846" i="2"/>
  <c r="F5845" i="2"/>
  <c r="E5845" i="2"/>
  <c r="D5845" i="2"/>
  <c r="F5844" i="2"/>
  <c r="E5844" i="2"/>
  <c r="D5844" i="2"/>
  <c r="F5843" i="2"/>
  <c r="E5843" i="2"/>
  <c r="D5843" i="2"/>
  <c r="F5842" i="2"/>
  <c r="E5842" i="2"/>
  <c r="D5842" i="2"/>
  <c r="F5841" i="2"/>
  <c r="E5841" i="2"/>
  <c r="D5841" i="2"/>
  <c r="F5840" i="2"/>
  <c r="E5840" i="2"/>
  <c r="D5840" i="2"/>
  <c r="F5839" i="2"/>
  <c r="E5839" i="2"/>
  <c r="D5839" i="2"/>
  <c r="F5838" i="2"/>
  <c r="E5838" i="2"/>
  <c r="D5838" i="2"/>
  <c r="F5837" i="2"/>
  <c r="E5837" i="2"/>
  <c r="D5837" i="2"/>
  <c r="F5836" i="2"/>
  <c r="E5836" i="2"/>
  <c r="D5836" i="2"/>
  <c r="F5835" i="2"/>
  <c r="E5835" i="2"/>
  <c r="D5835" i="2"/>
  <c r="F5834" i="2"/>
  <c r="E5834" i="2"/>
  <c r="D5834" i="2"/>
  <c r="F2435" i="2"/>
  <c r="E2435" i="2"/>
  <c r="D2435" i="2"/>
  <c r="F2437" i="2"/>
  <c r="E2437" i="2"/>
  <c r="D2437" i="2"/>
  <c r="F2436" i="2"/>
  <c r="E2436" i="2"/>
  <c r="D2436" i="2"/>
  <c r="F10480" i="2"/>
  <c r="E10480" i="2"/>
  <c r="D10480" i="2"/>
  <c r="F10486" i="2"/>
  <c r="E10486" i="2"/>
  <c r="D10486" i="2"/>
  <c r="F10485" i="2"/>
  <c r="E10485" i="2"/>
  <c r="D10485" i="2"/>
  <c r="F10484" i="2"/>
  <c r="E10484" i="2"/>
  <c r="D10484" i="2"/>
  <c r="F10483" i="2"/>
  <c r="E10483" i="2"/>
  <c r="D10483" i="2"/>
  <c r="F10482" i="2"/>
  <c r="E10482" i="2"/>
  <c r="D10482" i="2"/>
  <c r="F10481" i="2"/>
  <c r="E10481" i="2"/>
  <c r="D10481" i="2"/>
  <c r="F13902" i="2"/>
  <c r="E13902" i="2"/>
  <c r="D13902" i="2"/>
  <c r="F13904" i="2"/>
  <c r="E13904" i="2"/>
  <c r="D13904" i="2"/>
  <c r="F13903" i="2"/>
  <c r="E13903" i="2"/>
  <c r="D13903" i="2"/>
  <c r="F13901" i="2"/>
  <c r="E13901" i="2"/>
  <c r="D13901" i="2"/>
  <c r="F11170" i="2"/>
  <c r="E11170" i="2"/>
  <c r="D11170" i="2"/>
  <c r="F11169" i="2"/>
  <c r="E11169" i="2"/>
  <c r="D11169" i="2"/>
  <c r="F6292" i="2"/>
  <c r="E6292" i="2"/>
  <c r="D6292" i="2"/>
  <c r="F6291" i="2"/>
  <c r="E6291" i="2"/>
  <c r="D6291" i="2"/>
  <c r="F6290" i="2"/>
  <c r="E6290" i="2"/>
  <c r="D6290" i="2"/>
  <c r="F6289" i="2"/>
  <c r="E6289" i="2"/>
  <c r="D6289" i="2"/>
  <c r="F7589" i="2"/>
  <c r="E7589" i="2"/>
  <c r="D7589" i="2"/>
  <c r="F10479" i="2"/>
  <c r="E10479" i="2"/>
  <c r="D10479" i="2"/>
  <c r="F10478" i="2"/>
  <c r="E10478" i="2"/>
  <c r="D10478" i="2"/>
  <c r="F10477" i="2"/>
  <c r="E10477" i="2"/>
  <c r="D10477" i="2"/>
  <c r="F10476" i="2"/>
  <c r="E10476" i="2"/>
  <c r="D10476" i="2"/>
  <c r="F10475" i="2"/>
  <c r="E10475" i="2"/>
  <c r="D10475" i="2"/>
  <c r="F10474" i="2"/>
  <c r="E10474" i="2"/>
  <c r="D10474" i="2"/>
  <c r="F10473" i="2"/>
  <c r="E10473" i="2"/>
  <c r="D10473" i="2"/>
  <c r="F10472" i="2"/>
  <c r="E10472" i="2"/>
  <c r="D10472" i="2"/>
  <c r="F10471" i="2"/>
  <c r="E10471" i="2"/>
  <c r="D10471" i="2"/>
  <c r="F10470" i="2"/>
  <c r="E10470" i="2"/>
  <c r="D10470" i="2"/>
  <c r="F10469" i="2"/>
  <c r="E10469" i="2"/>
  <c r="D10469" i="2"/>
  <c r="F10468" i="2"/>
  <c r="E10468" i="2"/>
  <c r="D10468" i="2"/>
  <c r="F10467" i="2"/>
  <c r="E10467" i="2"/>
  <c r="D10467" i="2"/>
  <c r="F10466" i="2"/>
  <c r="E10466" i="2"/>
  <c r="D10466" i="2"/>
  <c r="F12732" i="2"/>
  <c r="E12732" i="2"/>
  <c r="D12732" i="2"/>
  <c r="F12733" i="2"/>
  <c r="E12733" i="2"/>
  <c r="D12733" i="2"/>
  <c r="F12095" i="2"/>
  <c r="E12095" i="2"/>
  <c r="D12095" i="2"/>
  <c r="F12097" i="2"/>
  <c r="E12097" i="2"/>
  <c r="D12097" i="2"/>
  <c r="F12096" i="2"/>
  <c r="E12096" i="2"/>
  <c r="D12096" i="2"/>
  <c r="F1001" i="2"/>
  <c r="E1001" i="2"/>
  <c r="D1001" i="2"/>
  <c r="F1000" i="2"/>
  <c r="E1000" i="2"/>
  <c r="D1000" i="2"/>
  <c r="F999" i="2"/>
  <c r="E999" i="2"/>
  <c r="D999" i="2"/>
  <c r="F998" i="2"/>
  <c r="E998" i="2"/>
  <c r="D998" i="2"/>
  <c r="F6564" i="2"/>
  <c r="E6564" i="2"/>
  <c r="D6564" i="2"/>
  <c r="F6563" i="2"/>
  <c r="E6563" i="2"/>
  <c r="D6563" i="2"/>
  <c r="F6561" i="2"/>
  <c r="E6561" i="2"/>
  <c r="D6561" i="2"/>
  <c r="F6562" i="2"/>
  <c r="E6562" i="2"/>
  <c r="D6562" i="2"/>
  <c r="F6560" i="2"/>
  <c r="E6560" i="2"/>
  <c r="D6560" i="2"/>
  <c r="F6559" i="2"/>
  <c r="E6559" i="2"/>
  <c r="D6559" i="2"/>
  <c r="F6558" i="2"/>
  <c r="E6558" i="2"/>
  <c r="D6558" i="2"/>
  <c r="F6557" i="2"/>
  <c r="E6557" i="2"/>
  <c r="D6557" i="2"/>
  <c r="F6556" i="2"/>
  <c r="E6556" i="2"/>
  <c r="D6556" i="2"/>
  <c r="F6555" i="2"/>
  <c r="E6555" i="2"/>
  <c r="D6555" i="2"/>
  <c r="F6554" i="2"/>
  <c r="E6554" i="2"/>
  <c r="D6554" i="2"/>
  <c r="F11664" i="2"/>
  <c r="E11664" i="2"/>
  <c r="D11664" i="2"/>
  <c r="F558" i="2"/>
  <c r="E558" i="2"/>
  <c r="D558" i="2"/>
  <c r="F559" i="2"/>
  <c r="E559" i="2"/>
  <c r="D559" i="2"/>
  <c r="F5849" i="2"/>
  <c r="E5849" i="2"/>
  <c r="D5849" i="2"/>
  <c r="F5890" i="2"/>
  <c r="E5890" i="2"/>
  <c r="D5890" i="2"/>
  <c r="F5889" i="2"/>
  <c r="E5889" i="2"/>
  <c r="D5889" i="2"/>
  <c r="F5888" i="2"/>
  <c r="E5888" i="2"/>
  <c r="D5888" i="2"/>
  <c r="F5887" i="2"/>
  <c r="E5887" i="2"/>
  <c r="D5887" i="2"/>
  <c r="F5886" i="2"/>
  <c r="E5886" i="2"/>
  <c r="D5886" i="2"/>
  <c r="F5885" i="2"/>
  <c r="E5885" i="2"/>
  <c r="D5885" i="2"/>
  <c r="F5884" i="2"/>
  <c r="E5884" i="2"/>
  <c r="D5884" i="2"/>
  <c r="F5883" i="2"/>
  <c r="E5883" i="2"/>
  <c r="D5883" i="2"/>
  <c r="F5882" i="2"/>
  <c r="E5882" i="2"/>
  <c r="D5882" i="2"/>
  <c r="F5881" i="2"/>
  <c r="E5881" i="2"/>
  <c r="D5881" i="2"/>
  <c r="F5880" i="2"/>
  <c r="E5880" i="2"/>
  <c r="D5880" i="2"/>
  <c r="F5879" i="2"/>
  <c r="E5879" i="2"/>
  <c r="D5879" i="2"/>
  <c r="F5878" i="2"/>
  <c r="E5878" i="2"/>
  <c r="D5878" i="2"/>
  <c r="F5877" i="2"/>
  <c r="E5877" i="2"/>
  <c r="D5877" i="2"/>
  <c r="F5876" i="2"/>
  <c r="E5876" i="2"/>
  <c r="D5876" i="2"/>
  <c r="F5875" i="2"/>
  <c r="E5875" i="2"/>
  <c r="D5875" i="2"/>
  <c r="F5874" i="2"/>
  <c r="E5874" i="2"/>
  <c r="D5874" i="2"/>
  <c r="F5873" i="2"/>
  <c r="E5873" i="2"/>
  <c r="D5873" i="2"/>
  <c r="F5872" i="2"/>
  <c r="E5872" i="2"/>
  <c r="D5872" i="2"/>
  <c r="F5871" i="2"/>
  <c r="E5871" i="2"/>
  <c r="D5871" i="2"/>
  <c r="F5870" i="2"/>
  <c r="E5870" i="2"/>
  <c r="D5870" i="2"/>
  <c r="F5869" i="2"/>
  <c r="E5869" i="2"/>
  <c r="D5869" i="2"/>
  <c r="F5868" i="2"/>
  <c r="E5868" i="2"/>
  <c r="D5868" i="2"/>
  <c r="F5865" i="2"/>
  <c r="E5865" i="2"/>
  <c r="D5865" i="2"/>
  <c r="F5867" i="2"/>
  <c r="E5867" i="2"/>
  <c r="D5867" i="2"/>
  <c r="F5866" i="2"/>
  <c r="E5866" i="2"/>
  <c r="D5866" i="2"/>
  <c r="F5864" i="2"/>
  <c r="E5864" i="2"/>
  <c r="D5864" i="2"/>
  <c r="F5863" i="2"/>
  <c r="E5863" i="2"/>
  <c r="D5863" i="2"/>
  <c r="F5862" i="2"/>
  <c r="E5862" i="2"/>
  <c r="D5862" i="2"/>
  <c r="F5861" i="2"/>
  <c r="E5861" i="2"/>
  <c r="D5861" i="2"/>
  <c r="F5860" i="2"/>
  <c r="E5860" i="2"/>
  <c r="D5860" i="2"/>
  <c r="F5859" i="2"/>
  <c r="E5859" i="2"/>
  <c r="D5859" i="2"/>
  <c r="F5858" i="2"/>
  <c r="E5858" i="2"/>
  <c r="D5858" i="2"/>
  <c r="F5857" i="2"/>
  <c r="E5857" i="2"/>
  <c r="D5857" i="2"/>
  <c r="F5856" i="2"/>
  <c r="E5856" i="2"/>
  <c r="D5856" i="2"/>
  <c r="F5855" i="2"/>
  <c r="E5855" i="2"/>
  <c r="D5855" i="2"/>
  <c r="F5854" i="2"/>
  <c r="E5854" i="2"/>
  <c r="D5854" i="2"/>
  <c r="F5853" i="2"/>
  <c r="E5853" i="2"/>
  <c r="D5853" i="2"/>
  <c r="F5852" i="2"/>
  <c r="E5852" i="2"/>
  <c r="D5852" i="2"/>
  <c r="F5851" i="2"/>
  <c r="E5851" i="2"/>
  <c r="D5851" i="2"/>
  <c r="F5850" i="2"/>
  <c r="E5850" i="2"/>
  <c r="D5850" i="2"/>
  <c r="F8917" i="2"/>
  <c r="E8917" i="2"/>
  <c r="D8917" i="2"/>
  <c r="F8916" i="2"/>
  <c r="E8916" i="2"/>
  <c r="D8916" i="2"/>
  <c r="F8915" i="2"/>
  <c r="E8915" i="2"/>
  <c r="D8915" i="2"/>
  <c r="F8914" i="2"/>
  <c r="E8914" i="2"/>
  <c r="D8914" i="2"/>
  <c r="F8913" i="2"/>
  <c r="E8913" i="2"/>
  <c r="D8913" i="2"/>
  <c r="F8912" i="2"/>
  <c r="E8912" i="2"/>
  <c r="D8912" i="2"/>
  <c r="F8911" i="2"/>
  <c r="E8911" i="2"/>
  <c r="D8911" i="2"/>
  <c r="F8910" i="2"/>
  <c r="E8910" i="2"/>
  <c r="D8910" i="2"/>
  <c r="F8909" i="2"/>
  <c r="E8909" i="2"/>
  <c r="D8909" i="2"/>
  <c r="F8908" i="2"/>
  <c r="E8908" i="2"/>
  <c r="D8908" i="2"/>
  <c r="F8907" i="2"/>
  <c r="E8907" i="2"/>
  <c r="D8907" i="2"/>
  <c r="F8906" i="2"/>
  <c r="E8906" i="2"/>
  <c r="D8906" i="2"/>
  <c r="F8905" i="2"/>
  <c r="E8905" i="2"/>
  <c r="D8905" i="2"/>
  <c r="F8904" i="2"/>
  <c r="E8904" i="2"/>
  <c r="D8904" i="2"/>
  <c r="F8903" i="2"/>
  <c r="E8903" i="2"/>
  <c r="D8903" i="2"/>
  <c r="F8901" i="2"/>
  <c r="E8901" i="2"/>
  <c r="D8901" i="2"/>
  <c r="F8902" i="2"/>
  <c r="E8902" i="2"/>
  <c r="D8902" i="2"/>
  <c r="F8900" i="2"/>
  <c r="E8900" i="2"/>
  <c r="D8900" i="2"/>
  <c r="F10528" i="2"/>
  <c r="E10528" i="2"/>
  <c r="D10528" i="2"/>
  <c r="F10546" i="2"/>
  <c r="E10546" i="2"/>
  <c r="D10546" i="2"/>
  <c r="F10545" i="2"/>
  <c r="E10545" i="2"/>
  <c r="D10545" i="2"/>
  <c r="F10544" i="2"/>
  <c r="E10544" i="2"/>
  <c r="D10544" i="2"/>
  <c r="F10543" i="2"/>
  <c r="E10543" i="2"/>
  <c r="D10543" i="2"/>
  <c r="F10542" i="2"/>
  <c r="E10542" i="2"/>
  <c r="D10542" i="2"/>
  <c r="F10541" i="2"/>
  <c r="E10541" i="2"/>
  <c r="D10541" i="2"/>
  <c r="F10540" i="2"/>
  <c r="E10540" i="2"/>
  <c r="D10540" i="2"/>
  <c r="F10539" i="2"/>
  <c r="E10539" i="2"/>
  <c r="D10539" i="2"/>
  <c r="F10538" i="2"/>
  <c r="E10538" i="2"/>
  <c r="D10538" i="2"/>
  <c r="F10537" i="2"/>
  <c r="E10537" i="2"/>
  <c r="D10537" i="2"/>
  <c r="F10536" i="2"/>
  <c r="E10536" i="2"/>
  <c r="D10536" i="2"/>
  <c r="F10535" i="2"/>
  <c r="E10535" i="2"/>
  <c r="D10535" i="2"/>
  <c r="F10534" i="2"/>
  <c r="E10534" i="2"/>
  <c r="D10534" i="2"/>
  <c r="F10533" i="2"/>
  <c r="E10533" i="2"/>
  <c r="D10533" i="2"/>
  <c r="F10532" i="2"/>
  <c r="E10532" i="2"/>
  <c r="D10532" i="2"/>
  <c r="F10531" i="2"/>
  <c r="E10531" i="2"/>
  <c r="D10531" i="2"/>
  <c r="F10530" i="2"/>
  <c r="E10530" i="2"/>
  <c r="D10530" i="2"/>
  <c r="F10529" i="2"/>
  <c r="E10529" i="2"/>
  <c r="D10529" i="2"/>
  <c r="F13139" i="2"/>
  <c r="E13139" i="2"/>
  <c r="D13139" i="2"/>
  <c r="F13144" i="2"/>
  <c r="E13144" i="2"/>
  <c r="D13144" i="2"/>
  <c r="F13143" i="2"/>
  <c r="E13143" i="2"/>
  <c r="D13143" i="2"/>
  <c r="F13142" i="2"/>
  <c r="E13142" i="2"/>
  <c r="D13142" i="2"/>
  <c r="F13141" i="2"/>
  <c r="E13141" i="2"/>
  <c r="D13141" i="2"/>
  <c r="F13140" i="2"/>
  <c r="E13140" i="2"/>
  <c r="D13140" i="2"/>
  <c r="F8941" i="2"/>
  <c r="E8941" i="2"/>
  <c r="D8941" i="2"/>
  <c r="F8952" i="2"/>
  <c r="E8952" i="2"/>
  <c r="D8952" i="2"/>
  <c r="F8951" i="2"/>
  <c r="E8951" i="2"/>
  <c r="D8951" i="2"/>
  <c r="F8950" i="2"/>
  <c r="E8950" i="2"/>
  <c r="D8950" i="2"/>
  <c r="F8949" i="2"/>
  <c r="E8949" i="2"/>
  <c r="D8949" i="2"/>
  <c r="F8948" i="2"/>
  <c r="E8948" i="2"/>
  <c r="D8948" i="2"/>
  <c r="F8947" i="2"/>
  <c r="E8947" i="2"/>
  <c r="D8947" i="2"/>
  <c r="F8946" i="2"/>
  <c r="E8946" i="2"/>
  <c r="D8946" i="2"/>
  <c r="F8945" i="2"/>
  <c r="E8945" i="2"/>
  <c r="D8945" i="2"/>
  <c r="F8944" i="2"/>
  <c r="E8944" i="2"/>
  <c r="D8944" i="2"/>
  <c r="F8942" i="2"/>
  <c r="E8942" i="2"/>
  <c r="D8942" i="2"/>
  <c r="F8943" i="2"/>
  <c r="E8943" i="2"/>
  <c r="D8943" i="2"/>
  <c r="F6086" i="2"/>
  <c r="E6086" i="2"/>
  <c r="D6086" i="2"/>
  <c r="F6085" i="2"/>
  <c r="E6085" i="2"/>
  <c r="D6085" i="2"/>
  <c r="F6084" i="2"/>
  <c r="E6084" i="2"/>
  <c r="D6084" i="2"/>
  <c r="F6083" i="2"/>
  <c r="E6083" i="2"/>
  <c r="D6083" i="2"/>
  <c r="F6082" i="2"/>
  <c r="E6082" i="2"/>
  <c r="D6082" i="2"/>
  <c r="F6081" i="2"/>
  <c r="E6081" i="2"/>
  <c r="D6081" i="2"/>
  <c r="F6080" i="2"/>
  <c r="E6080" i="2"/>
  <c r="D6080" i="2"/>
  <c r="F6079" i="2"/>
  <c r="E6079" i="2"/>
  <c r="D6079" i="2"/>
  <c r="F6078" i="2"/>
  <c r="E6078" i="2"/>
  <c r="D6078" i="2"/>
  <c r="F6077" i="2"/>
  <c r="E6077" i="2"/>
  <c r="D6077" i="2"/>
  <c r="F6076" i="2"/>
  <c r="E6076" i="2"/>
  <c r="D6076" i="2"/>
  <c r="F6075" i="2"/>
  <c r="E6075" i="2"/>
  <c r="D6075" i="2"/>
  <c r="F6074" i="2"/>
  <c r="E6074" i="2"/>
  <c r="D6074" i="2"/>
  <c r="F6073" i="2"/>
  <c r="E6073" i="2"/>
  <c r="D6073" i="2"/>
  <c r="F6072" i="2"/>
  <c r="E6072" i="2"/>
  <c r="D6072" i="2"/>
  <c r="F6071" i="2"/>
  <c r="E6071" i="2"/>
  <c r="D6071" i="2"/>
  <c r="F6070" i="2"/>
  <c r="E6070" i="2"/>
  <c r="D6070" i="2"/>
  <c r="F6069" i="2"/>
  <c r="E6069" i="2"/>
  <c r="D6069" i="2"/>
  <c r="F10579" i="2"/>
  <c r="E10579" i="2"/>
  <c r="D10579" i="2"/>
  <c r="F10580" i="2"/>
  <c r="E10580" i="2"/>
  <c r="D10580" i="2"/>
  <c r="F7612" i="2"/>
  <c r="E7612" i="2"/>
  <c r="D7612" i="2"/>
  <c r="F7613" i="2"/>
  <c r="E7613" i="2"/>
  <c r="D7613" i="2"/>
  <c r="F16233" i="2"/>
  <c r="E16233" i="2"/>
  <c r="D16233" i="2"/>
  <c r="F16235" i="2"/>
  <c r="E16235" i="2"/>
  <c r="D16235" i="2"/>
  <c r="F16234" i="2"/>
  <c r="E16234" i="2"/>
  <c r="D16234" i="2"/>
  <c r="F11271" i="2"/>
  <c r="E11271" i="2"/>
  <c r="D11271" i="2"/>
  <c r="F7615" i="2"/>
  <c r="E7615" i="2"/>
  <c r="D7615" i="2"/>
  <c r="F7614" i="2"/>
  <c r="E7614" i="2"/>
  <c r="D7614" i="2"/>
  <c r="F7619" i="2"/>
  <c r="E7619" i="2"/>
  <c r="D7619" i="2"/>
  <c r="F7618" i="2"/>
  <c r="E7618" i="2"/>
  <c r="D7618" i="2"/>
  <c r="F7616" i="2"/>
  <c r="E7616" i="2"/>
  <c r="D7616" i="2"/>
  <c r="F7617" i="2"/>
  <c r="E7617" i="2"/>
  <c r="D7617" i="2"/>
  <c r="F12747" i="2"/>
  <c r="E12747" i="2"/>
  <c r="D12747" i="2"/>
  <c r="F12748" i="2"/>
  <c r="E12748" i="2"/>
  <c r="D12748" i="2"/>
  <c r="F12746" i="2"/>
  <c r="E12746" i="2"/>
  <c r="D12746" i="2"/>
  <c r="F12743" i="2"/>
  <c r="E12743" i="2"/>
  <c r="D12743" i="2"/>
  <c r="F12745" i="2"/>
  <c r="E12745" i="2"/>
  <c r="D12745" i="2"/>
  <c r="F12744" i="2"/>
  <c r="E12744" i="2"/>
  <c r="D12744" i="2"/>
  <c r="F12742" i="2"/>
  <c r="E12742" i="2"/>
  <c r="D12742" i="2"/>
  <c r="F11273" i="2"/>
  <c r="E11273" i="2"/>
  <c r="D11273" i="2"/>
  <c r="F11272" i="2"/>
  <c r="E11272" i="2"/>
  <c r="D11272" i="2"/>
  <c r="F1624" i="2"/>
  <c r="E1624" i="2"/>
  <c r="D1624" i="2"/>
  <c r="F7085" i="2"/>
  <c r="E7085" i="2"/>
  <c r="D7085" i="2"/>
  <c r="F7084" i="2"/>
  <c r="E7084" i="2"/>
  <c r="D7084" i="2"/>
  <c r="F7083" i="2"/>
  <c r="E7083" i="2"/>
  <c r="D7083" i="2"/>
  <c r="F7082" i="2"/>
  <c r="E7082" i="2"/>
  <c r="D7082" i="2"/>
  <c r="F7081" i="2"/>
  <c r="E7081" i="2"/>
  <c r="D7081" i="2"/>
  <c r="F7080" i="2"/>
  <c r="E7080" i="2"/>
  <c r="D7080" i="2"/>
  <c r="F7079" i="2"/>
  <c r="E7079" i="2"/>
  <c r="D7079" i="2"/>
  <c r="F7078" i="2"/>
  <c r="E7078" i="2"/>
  <c r="D7078" i="2"/>
  <c r="F7621" i="2"/>
  <c r="E7621" i="2"/>
  <c r="D7621" i="2"/>
  <c r="F7643" i="2"/>
  <c r="E7643" i="2"/>
  <c r="D7643" i="2"/>
  <c r="F7642" i="2"/>
  <c r="E7642" i="2"/>
  <c r="D7642" i="2"/>
  <c r="F7641" i="2"/>
  <c r="E7641" i="2"/>
  <c r="D7641" i="2"/>
  <c r="F7640" i="2"/>
  <c r="E7640" i="2"/>
  <c r="D7640" i="2"/>
  <c r="F7639" i="2"/>
  <c r="E7639" i="2"/>
  <c r="D7639" i="2"/>
  <c r="F7638" i="2"/>
  <c r="E7638" i="2"/>
  <c r="D7638" i="2"/>
  <c r="F7637" i="2"/>
  <c r="E7637" i="2"/>
  <c r="D7637" i="2"/>
  <c r="F7636" i="2"/>
  <c r="E7636" i="2"/>
  <c r="D7636" i="2"/>
  <c r="F7635" i="2"/>
  <c r="E7635" i="2"/>
  <c r="D7635" i="2"/>
  <c r="F7634" i="2"/>
  <c r="E7634" i="2"/>
  <c r="D7634" i="2"/>
  <c r="F7633" i="2"/>
  <c r="E7633" i="2"/>
  <c r="D7633" i="2"/>
  <c r="F7632" i="2"/>
  <c r="E7632" i="2"/>
  <c r="D7632" i="2"/>
  <c r="F7631" i="2"/>
  <c r="E7631" i="2"/>
  <c r="D7631" i="2"/>
  <c r="F7630" i="2"/>
  <c r="E7630" i="2"/>
  <c r="D7630" i="2"/>
  <c r="F7629" i="2"/>
  <c r="E7629" i="2"/>
  <c r="D7629" i="2"/>
  <c r="F7628" i="2"/>
  <c r="E7628" i="2"/>
  <c r="D7628" i="2"/>
  <c r="F7627" i="2"/>
  <c r="E7627" i="2"/>
  <c r="D7627" i="2"/>
  <c r="F7626" i="2"/>
  <c r="E7626" i="2"/>
  <c r="D7626" i="2"/>
  <c r="F7625" i="2"/>
  <c r="E7625" i="2"/>
  <c r="D7625" i="2"/>
  <c r="F7624" i="2"/>
  <c r="E7624" i="2"/>
  <c r="D7624" i="2"/>
  <c r="F7623" i="2"/>
  <c r="E7623" i="2"/>
  <c r="D7623" i="2"/>
  <c r="F7622" i="2"/>
  <c r="E7622" i="2"/>
  <c r="D7622" i="2"/>
  <c r="F7620" i="2"/>
  <c r="E7620" i="2"/>
  <c r="D7620" i="2"/>
  <c r="F9425" i="2"/>
  <c r="E9425" i="2"/>
  <c r="D9425" i="2"/>
  <c r="F8696" i="2"/>
  <c r="E8696" i="2"/>
  <c r="D8696" i="2"/>
  <c r="F8695" i="2"/>
  <c r="E8695" i="2"/>
  <c r="D8695" i="2"/>
  <c r="F8694" i="2"/>
  <c r="E8694" i="2"/>
  <c r="D8694" i="2"/>
  <c r="F8693" i="2"/>
  <c r="E8693" i="2"/>
  <c r="D8693" i="2"/>
  <c r="F8692" i="2"/>
  <c r="E8692" i="2"/>
  <c r="D8692" i="2"/>
  <c r="F8691" i="2"/>
  <c r="E8691" i="2"/>
  <c r="D8691" i="2"/>
  <c r="F8690" i="2"/>
  <c r="E8690" i="2"/>
  <c r="D8690" i="2"/>
  <c r="F8689" i="2"/>
  <c r="E8689" i="2"/>
  <c r="D8689" i="2"/>
  <c r="F8688" i="2"/>
  <c r="E8688" i="2"/>
  <c r="D8688" i="2"/>
  <c r="F8687" i="2"/>
  <c r="E8687" i="2"/>
  <c r="D8687" i="2"/>
  <c r="F8686" i="2"/>
  <c r="E8686" i="2"/>
  <c r="D8686" i="2"/>
  <c r="F8685" i="2"/>
  <c r="E8685" i="2"/>
  <c r="D8685" i="2"/>
  <c r="F8684" i="2"/>
  <c r="E8684" i="2"/>
  <c r="D8684" i="2"/>
  <c r="F1536" i="2"/>
  <c r="E1536" i="2"/>
  <c r="D1536" i="2"/>
  <c r="F3220" i="2"/>
  <c r="E3220" i="2"/>
  <c r="D3220" i="2"/>
  <c r="F3224" i="2"/>
  <c r="E3224" i="2"/>
  <c r="D3224" i="2"/>
  <c r="F3223" i="2"/>
  <c r="E3223" i="2"/>
  <c r="D3223" i="2"/>
  <c r="F3222" i="2"/>
  <c r="E3222" i="2"/>
  <c r="D3222" i="2"/>
  <c r="F3221" i="2"/>
  <c r="E3221" i="2"/>
  <c r="D3221" i="2"/>
  <c r="F13768" i="2"/>
  <c r="E13768" i="2"/>
  <c r="D13768" i="2"/>
  <c r="F13767" i="2"/>
  <c r="E13767" i="2"/>
  <c r="D13767" i="2"/>
  <c r="F13766" i="2"/>
  <c r="E13766" i="2"/>
  <c r="D13766" i="2"/>
  <c r="F13765" i="2"/>
  <c r="E13765" i="2"/>
  <c r="D13765" i="2"/>
  <c r="F13764" i="2"/>
  <c r="E13764" i="2"/>
  <c r="D13764" i="2"/>
  <c r="F13763" i="2"/>
  <c r="E13763" i="2"/>
  <c r="D13763" i="2"/>
  <c r="F13762" i="2"/>
  <c r="E13762" i="2"/>
  <c r="D13762" i="2"/>
  <c r="F13761" i="2"/>
  <c r="E13761" i="2"/>
  <c r="D13761" i="2"/>
  <c r="F13760" i="2"/>
  <c r="E13760" i="2"/>
  <c r="D13760" i="2"/>
  <c r="F13759" i="2"/>
  <c r="E13759" i="2"/>
  <c r="D13759" i="2"/>
  <c r="F13758" i="2"/>
  <c r="E13758" i="2"/>
  <c r="D13758" i="2"/>
  <c r="F13757" i="2"/>
  <c r="E13757" i="2"/>
  <c r="D13757" i="2"/>
  <c r="F4530" i="2"/>
  <c r="E4530" i="2"/>
  <c r="D4530" i="2"/>
  <c r="F4533" i="2"/>
  <c r="E4533" i="2"/>
  <c r="D4533" i="2"/>
  <c r="F4532" i="2"/>
  <c r="E4532" i="2"/>
  <c r="D4532" i="2"/>
  <c r="F4531" i="2"/>
  <c r="E4531" i="2"/>
  <c r="D4531" i="2"/>
  <c r="F5727" i="2"/>
  <c r="E5727" i="2"/>
  <c r="D5727" i="2"/>
  <c r="F5735" i="2"/>
  <c r="E5735" i="2"/>
  <c r="D5735" i="2"/>
  <c r="F5734" i="2"/>
  <c r="E5734" i="2"/>
  <c r="D5734" i="2"/>
  <c r="F5733" i="2"/>
  <c r="E5733" i="2"/>
  <c r="D5733" i="2"/>
  <c r="F5732" i="2"/>
  <c r="E5732" i="2"/>
  <c r="D5732" i="2"/>
  <c r="F5731" i="2"/>
  <c r="E5731" i="2"/>
  <c r="D5731" i="2"/>
  <c r="F5730" i="2"/>
  <c r="E5730" i="2"/>
  <c r="D5730" i="2"/>
  <c r="F5729" i="2"/>
  <c r="E5729" i="2"/>
  <c r="D5729" i="2"/>
  <c r="F5728" i="2"/>
  <c r="E5728" i="2"/>
  <c r="D5728" i="2"/>
  <c r="F11281" i="2"/>
  <c r="E11281" i="2"/>
  <c r="D11281" i="2"/>
  <c r="F11279" i="2"/>
  <c r="E11279" i="2"/>
  <c r="D11279" i="2"/>
  <c r="F11280" i="2"/>
  <c r="E11280" i="2"/>
  <c r="D11280" i="2"/>
  <c r="F11278" i="2"/>
  <c r="E11278" i="2"/>
  <c r="D11278" i="2"/>
  <c r="F11277" i="2"/>
  <c r="E11277" i="2"/>
  <c r="D11277" i="2"/>
  <c r="F11276" i="2"/>
  <c r="E11276" i="2"/>
  <c r="D11276" i="2"/>
  <c r="F11275" i="2"/>
  <c r="E11275" i="2"/>
  <c r="D11275" i="2"/>
  <c r="F11274" i="2"/>
  <c r="E11274" i="2"/>
  <c r="D11274" i="2"/>
  <c r="F11850" i="2"/>
  <c r="E11850" i="2"/>
  <c r="D11850" i="2"/>
  <c r="F11849" i="2"/>
  <c r="E11849" i="2"/>
  <c r="D11849" i="2"/>
  <c r="F11848" i="2"/>
  <c r="E11848" i="2"/>
  <c r="D11848" i="2"/>
  <c r="F11847" i="2"/>
  <c r="E11847" i="2"/>
  <c r="D11847" i="2"/>
  <c r="F11846" i="2"/>
  <c r="E11846" i="2"/>
  <c r="D11846" i="2"/>
  <c r="F11845" i="2"/>
  <c r="E11845" i="2"/>
  <c r="D11845" i="2"/>
  <c r="F11844" i="2"/>
  <c r="E11844" i="2"/>
  <c r="D11844" i="2"/>
  <c r="F11843" i="2"/>
  <c r="E11843" i="2"/>
  <c r="D11843" i="2"/>
  <c r="F11842" i="2"/>
  <c r="E11842" i="2"/>
  <c r="D11842" i="2"/>
  <c r="F7269" i="2"/>
  <c r="E7269" i="2"/>
  <c r="D7269" i="2"/>
  <c r="F7280" i="2"/>
  <c r="E7280" i="2"/>
  <c r="D7280" i="2"/>
  <c r="F7279" i="2"/>
  <c r="E7279" i="2"/>
  <c r="D7279" i="2"/>
  <c r="F7278" i="2"/>
  <c r="E7278" i="2"/>
  <c r="D7278" i="2"/>
  <c r="F7277" i="2"/>
  <c r="E7277" i="2"/>
  <c r="D7277" i="2"/>
  <c r="F7276" i="2"/>
  <c r="E7276" i="2"/>
  <c r="D7276" i="2"/>
  <c r="F7275" i="2"/>
  <c r="E7275" i="2"/>
  <c r="D7275" i="2"/>
  <c r="F7274" i="2"/>
  <c r="E7274" i="2"/>
  <c r="D7274" i="2"/>
  <c r="F7273" i="2"/>
  <c r="E7273" i="2"/>
  <c r="D7273" i="2"/>
  <c r="F7272" i="2"/>
  <c r="E7272" i="2"/>
  <c r="D7272" i="2"/>
  <c r="F7271" i="2"/>
  <c r="E7271" i="2"/>
  <c r="D7271" i="2"/>
  <c r="F7270" i="2"/>
  <c r="E7270" i="2"/>
  <c r="D7270" i="2"/>
  <c r="F7268" i="2"/>
  <c r="E7268" i="2"/>
  <c r="D7268" i="2"/>
  <c r="F7644" i="2"/>
  <c r="E7644" i="2"/>
  <c r="D7644" i="2"/>
  <c r="F7649" i="2"/>
  <c r="E7649" i="2"/>
  <c r="D7649" i="2"/>
  <c r="F7648" i="2"/>
  <c r="E7648" i="2"/>
  <c r="D7648" i="2"/>
  <c r="F7647" i="2"/>
  <c r="E7647" i="2"/>
  <c r="D7647" i="2"/>
  <c r="F7646" i="2"/>
  <c r="E7646" i="2"/>
  <c r="D7646" i="2"/>
  <c r="F7645" i="2"/>
  <c r="E7645" i="2"/>
  <c r="D7645" i="2"/>
  <c r="F8180" i="2"/>
  <c r="E8180" i="2"/>
  <c r="D8180" i="2"/>
  <c r="F8192" i="2"/>
  <c r="E8192" i="2"/>
  <c r="D8192" i="2"/>
  <c r="F8191" i="2"/>
  <c r="E8191" i="2"/>
  <c r="D8191" i="2"/>
  <c r="F8190" i="2"/>
  <c r="E8190" i="2"/>
  <c r="D8190" i="2"/>
  <c r="F8189" i="2"/>
  <c r="E8189" i="2"/>
  <c r="D8189" i="2"/>
  <c r="F8188" i="2"/>
  <c r="E8188" i="2"/>
  <c r="D8188" i="2"/>
  <c r="F8187" i="2"/>
  <c r="E8187" i="2"/>
  <c r="D8187" i="2"/>
  <c r="F8186" i="2"/>
  <c r="E8186" i="2"/>
  <c r="D8186" i="2"/>
  <c r="F8185" i="2"/>
  <c r="E8185" i="2"/>
  <c r="D8185" i="2"/>
  <c r="F8184" i="2"/>
  <c r="E8184" i="2"/>
  <c r="D8184" i="2"/>
  <c r="F8183" i="2"/>
  <c r="E8183" i="2"/>
  <c r="D8183" i="2"/>
  <c r="F8182" i="2"/>
  <c r="E8182" i="2"/>
  <c r="D8182" i="2"/>
  <c r="F8181" i="2"/>
  <c r="E8181" i="2"/>
  <c r="D8181" i="2"/>
  <c r="F15502" i="2"/>
  <c r="E15502" i="2"/>
  <c r="D15502" i="2"/>
  <c r="F15513" i="2"/>
  <c r="E15513" i="2"/>
  <c r="D15513" i="2"/>
  <c r="F15512" i="2"/>
  <c r="E15512" i="2"/>
  <c r="D15512" i="2"/>
  <c r="F15511" i="2"/>
  <c r="E15511" i="2"/>
  <c r="D15511" i="2"/>
  <c r="F15510" i="2"/>
  <c r="E15510" i="2"/>
  <c r="D15510" i="2"/>
  <c r="F15509" i="2"/>
  <c r="E15509" i="2"/>
  <c r="D15509" i="2"/>
  <c r="F15508" i="2"/>
  <c r="E15508" i="2"/>
  <c r="D15508" i="2"/>
  <c r="F15507" i="2"/>
  <c r="E15507" i="2"/>
  <c r="D15507" i="2"/>
  <c r="F15506" i="2"/>
  <c r="E15506" i="2"/>
  <c r="D15506" i="2"/>
  <c r="F15505" i="2"/>
  <c r="E15505" i="2"/>
  <c r="D15505" i="2"/>
  <c r="F15504" i="2"/>
  <c r="E15504" i="2"/>
  <c r="D15504" i="2"/>
  <c r="F15503" i="2"/>
  <c r="E15503" i="2"/>
  <c r="D15503" i="2"/>
  <c r="F8705" i="2"/>
  <c r="E8705" i="2"/>
  <c r="D8705" i="2"/>
  <c r="F8704" i="2"/>
  <c r="E8704" i="2"/>
  <c r="D8704" i="2"/>
  <c r="F8703" i="2"/>
  <c r="E8703" i="2"/>
  <c r="D8703" i="2"/>
  <c r="F8702" i="2"/>
  <c r="E8702" i="2"/>
  <c r="D8702" i="2"/>
  <c r="F8701" i="2"/>
  <c r="E8701" i="2"/>
  <c r="D8701" i="2"/>
  <c r="F8700" i="2"/>
  <c r="E8700" i="2"/>
  <c r="D8700" i="2"/>
  <c r="F8699" i="2"/>
  <c r="E8699" i="2"/>
  <c r="D8699" i="2"/>
  <c r="F8698" i="2"/>
  <c r="E8698" i="2"/>
  <c r="D8698" i="2"/>
  <c r="F8697" i="2"/>
  <c r="E8697" i="2"/>
  <c r="D8697" i="2"/>
  <c r="F11282" i="2"/>
  <c r="E11282" i="2"/>
  <c r="D11282" i="2"/>
  <c r="F3466" i="2"/>
  <c r="E3466" i="2"/>
  <c r="D3466" i="2"/>
  <c r="F3477" i="2"/>
  <c r="E3477" i="2"/>
  <c r="D3477" i="2"/>
  <c r="F3476" i="2"/>
  <c r="E3476" i="2"/>
  <c r="D3476" i="2"/>
  <c r="F3475" i="2"/>
  <c r="E3475" i="2"/>
  <c r="D3475" i="2"/>
  <c r="F3474" i="2"/>
  <c r="E3474" i="2"/>
  <c r="D3474" i="2"/>
  <c r="F3473" i="2"/>
  <c r="E3473" i="2"/>
  <c r="D3473" i="2"/>
  <c r="F3472" i="2"/>
  <c r="E3472" i="2"/>
  <c r="D3472" i="2"/>
  <c r="F3471" i="2"/>
  <c r="E3471" i="2"/>
  <c r="D3471" i="2"/>
  <c r="F3470" i="2"/>
  <c r="E3470" i="2"/>
  <c r="D3470" i="2"/>
  <c r="F3469" i="2"/>
  <c r="E3469" i="2"/>
  <c r="D3469" i="2"/>
  <c r="F3468" i="2"/>
  <c r="E3468" i="2"/>
  <c r="D3468" i="2"/>
  <c r="F3467" i="2"/>
  <c r="E3467" i="2"/>
  <c r="D3467" i="2"/>
  <c r="F829" i="2"/>
  <c r="E829" i="2"/>
  <c r="D829" i="2"/>
  <c r="F828" i="2"/>
  <c r="E828" i="2"/>
  <c r="D828" i="2"/>
  <c r="F827" i="2"/>
  <c r="E827" i="2"/>
  <c r="D827" i="2"/>
  <c r="F826" i="2"/>
  <c r="E826" i="2"/>
  <c r="D826" i="2"/>
  <c r="F825" i="2"/>
  <c r="E825" i="2"/>
  <c r="D825" i="2"/>
  <c r="F824" i="2"/>
  <c r="E824" i="2"/>
  <c r="D824" i="2"/>
  <c r="F823" i="2"/>
  <c r="E823" i="2"/>
  <c r="D823" i="2"/>
  <c r="F822" i="2"/>
  <c r="E822" i="2"/>
  <c r="D822" i="2"/>
  <c r="F821" i="2"/>
  <c r="E821" i="2"/>
  <c r="D821" i="2"/>
  <c r="F820" i="2"/>
  <c r="E820" i="2"/>
  <c r="D820" i="2"/>
  <c r="F819" i="2"/>
  <c r="E819" i="2"/>
  <c r="D819" i="2"/>
  <c r="F818" i="2"/>
  <c r="E818" i="2"/>
  <c r="D818" i="2"/>
  <c r="F817" i="2"/>
  <c r="E817" i="2"/>
  <c r="D817" i="2"/>
  <c r="F816" i="2"/>
  <c r="E816" i="2"/>
  <c r="D816" i="2"/>
  <c r="F815" i="2"/>
  <c r="E815" i="2"/>
  <c r="D815" i="2"/>
  <c r="F814" i="2"/>
  <c r="E814" i="2"/>
  <c r="D814" i="2"/>
  <c r="F813" i="2"/>
  <c r="E813" i="2"/>
  <c r="D813" i="2"/>
  <c r="F812" i="2"/>
  <c r="E812" i="2"/>
  <c r="D812" i="2"/>
  <c r="F811" i="2"/>
  <c r="E811" i="2"/>
  <c r="D811" i="2"/>
  <c r="F810" i="2"/>
  <c r="E810" i="2"/>
  <c r="D810" i="2"/>
  <c r="F10612" i="2"/>
  <c r="E10612" i="2"/>
  <c r="D10612" i="2"/>
  <c r="F10614" i="2"/>
  <c r="E10614" i="2"/>
  <c r="D10614" i="2"/>
  <c r="F10613" i="2"/>
  <c r="E10613" i="2"/>
  <c r="D10613" i="2"/>
  <c r="F10587" i="2"/>
  <c r="E10587" i="2"/>
  <c r="D10587" i="2"/>
  <c r="F10586" i="2"/>
  <c r="E10586" i="2"/>
  <c r="D10586" i="2"/>
  <c r="F10585" i="2"/>
  <c r="E10585" i="2"/>
  <c r="D10585" i="2"/>
  <c r="F10584" i="2"/>
  <c r="E10584" i="2"/>
  <c r="D10584" i="2"/>
  <c r="F10583" i="2"/>
  <c r="E10583" i="2"/>
  <c r="D10583" i="2"/>
  <c r="F10582" i="2"/>
  <c r="E10582" i="2"/>
  <c r="D10582" i="2"/>
  <c r="F10581" i="2"/>
  <c r="E10581" i="2"/>
  <c r="D10581" i="2"/>
  <c r="F3792" i="2"/>
  <c r="E3792" i="2"/>
  <c r="D3792" i="2"/>
  <c r="F3790" i="2"/>
  <c r="E3790" i="2"/>
  <c r="D3790" i="2"/>
  <c r="F3791" i="2"/>
  <c r="E3791" i="2"/>
  <c r="D3791" i="2"/>
  <c r="F14296" i="2"/>
  <c r="E14296" i="2"/>
  <c r="D14296" i="2"/>
  <c r="F6574" i="2"/>
  <c r="E6574" i="2"/>
  <c r="D6574" i="2"/>
  <c r="F6576" i="2"/>
  <c r="E6576" i="2"/>
  <c r="D6576" i="2"/>
  <c r="F6575" i="2"/>
  <c r="E6575" i="2"/>
  <c r="D6575" i="2"/>
  <c r="F7652" i="2"/>
  <c r="E7652" i="2"/>
  <c r="D7652" i="2"/>
  <c r="F7651" i="2"/>
  <c r="E7651" i="2"/>
  <c r="D7651" i="2"/>
  <c r="F7650" i="2"/>
  <c r="E7650" i="2"/>
  <c r="D7650" i="2"/>
  <c r="F3637" i="2"/>
  <c r="E3637" i="2"/>
  <c r="D3637" i="2"/>
  <c r="F3636" i="2"/>
  <c r="E3636" i="2"/>
  <c r="D3636" i="2"/>
  <c r="F3635" i="2"/>
  <c r="E3635" i="2"/>
  <c r="D3635" i="2"/>
  <c r="F3634" i="2"/>
  <c r="E3634" i="2"/>
  <c r="D3634" i="2"/>
  <c r="F3225" i="2"/>
  <c r="E3225" i="2"/>
  <c r="D3225" i="2"/>
  <c r="F3229" i="2"/>
  <c r="E3229" i="2"/>
  <c r="D3229" i="2"/>
  <c r="F3228" i="2"/>
  <c r="E3228" i="2"/>
  <c r="D3228" i="2"/>
  <c r="F3227" i="2"/>
  <c r="E3227" i="2"/>
  <c r="D3227" i="2"/>
  <c r="F3226" i="2"/>
  <c r="E3226" i="2"/>
  <c r="D3226" i="2"/>
  <c r="F10610" i="2"/>
  <c r="E10610" i="2"/>
  <c r="D10610" i="2"/>
  <c r="F10611" i="2"/>
  <c r="E10611" i="2"/>
  <c r="D10611" i="2"/>
  <c r="F10588" i="2"/>
  <c r="E10588" i="2"/>
  <c r="D10588" i="2"/>
  <c r="F10609" i="2"/>
  <c r="E10609" i="2"/>
  <c r="D10609" i="2"/>
  <c r="F10608" i="2"/>
  <c r="E10608" i="2"/>
  <c r="D10608" i="2"/>
  <c r="F10607" i="2"/>
  <c r="E10607" i="2"/>
  <c r="D10607" i="2"/>
  <c r="F10606" i="2"/>
  <c r="E10606" i="2"/>
  <c r="D10606" i="2"/>
  <c r="F10605" i="2"/>
  <c r="E10605" i="2"/>
  <c r="D10605" i="2"/>
  <c r="F10604" i="2"/>
  <c r="E10604" i="2"/>
  <c r="D10604" i="2"/>
  <c r="F10603" i="2"/>
  <c r="E10603" i="2"/>
  <c r="D10603" i="2"/>
  <c r="F10602" i="2"/>
  <c r="E10602" i="2"/>
  <c r="D10602" i="2"/>
  <c r="F10601" i="2"/>
  <c r="E10601" i="2"/>
  <c r="D10601" i="2"/>
  <c r="F10600" i="2"/>
  <c r="E10600" i="2"/>
  <c r="D10600" i="2"/>
  <c r="F10599" i="2"/>
  <c r="E10599" i="2"/>
  <c r="D10599" i="2"/>
  <c r="F10598" i="2"/>
  <c r="E10598" i="2"/>
  <c r="D10598" i="2"/>
  <c r="F10597" i="2"/>
  <c r="E10597" i="2"/>
  <c r="D10597" i="2"/>
  <c r="F10596" i="2"/>
  <c r="E10596" i="2"/>
  <c r="D10596" i="2"/>
  <c r="F10595" i="2"/>
  <c r="E10595" i="2"/>
  <c r="D10595" i="2"/>
  <c r="F10594" i="2"/>
  <c r="E10594" i="2"/>
  <c r="D10594" i="2"/>
  <c r="F10593" i="2"/>
  <c r="E10593" i="2"/>
  <c r="D10593" i="2"/>
  <c r="F10592" i="2"/>
  <c r="E10592" i="2"/>
  <c r="D10592" i="2"/>
  <c r="F10591" i="2"/>
  <c r="E10591" i="2"/>
  <c r="D10591" i="2"/>
  <c r="F10590" i="2"/>
  <c r="E10590" i="2"/>
  <c r="D10590" i="2"/>
  <c r="F10589" i="2"/>
  <c r="E10589" i="2"/>
  <c r="D10589" i="2"/>
  <c r="F10615" i="2"/>
  <c r="E10615" i="2"/>
  <c r="D10615" i="2"/>
  <c r="F10617" i="2"/>
  <c r="E10617" i="2"/>
  <c r="D10617" i="2"/>
  <c r="F10616" i="2"/>
  <c r="E10616" i="2"/>
  <c r="D10616" i="2"/>
  <c r="F2714" i="2"/>
  <c r="E2714" i="2"/>
  <c r="D2714" i="2"/>
  <c r="F2713" i="2"/>
  <c r="E2713" i="2"/>
  <c r="D2713" i="2"/>
  <c r="F2711" i="2"/>
  <c r="E2711" i="2"/>
  <c r="D2711" i="2"/>
  <c r="F2712" i="2"/>
  <c r="E2712" i="2"/>
  <c r="D2712" i="2"/>
  <c r="F2710" i="2"/>
  <c r="E2710" i="2"/>
  <c r="D2710" i="2"/>
  <c r="F2709" i="2"/>
  <c r="E2709" i="2"/>
  <c r="D2709" i="2"/>
  <c r="F2708" i="2"/>
  <c r="E2708" i="2"/>
  <c r="D2708" i="2"/>
  <c r="F2707" i="2"/>
  <c r="E2707" i="2"/>
  <c r="D2707" i="2"/>
  <c r="F2706" i="2"/>
  <c r="E2706" i="2"/>
  <c r="D2706" i="2"/>
  <c r="F2705" i="2"/>
  <c r="E2705" i="2"/>
  <c r="D2705" i="2"/>
  <c r="F9426" i="2"/>
  <c r="E9426" i="2"/>
  <c r="D9426" i="2"/>
  <c r="F9393" i="2"/>
  <c r="E9393" i="2"/>
  <c r="D9393" i="2"/>
  <c r="F15275" i="2"/>
  <c r="E15275" i="2"/>
  <c r="D15275" i="2"/>
  <c r="F14286" i="2"/>
  <c r="E14286" i="2"/>
  <c r="D14286" i="2"/>
  <c r="F14285" i="2"/>
  <c r="E14285" i="2"/>
  <c r="D14285" i="2"/>
  <c r="F14284" i="2"/>
  <c r="E14284" i="2"/>
  <c r="D14284" i="2"/>
  <c r="F14283" i="2"/>
  <c r="E14283" i="2"/>
  <c r="D14283" i="2"/>
  <c r="F14282" i="2"/>
  <c r="E14282" i="2"/>
  <c r="D14282" i="2"/>
  <c r="F14281" i="2"/>
  <c r="E14281" i="2"/>
  <c r="D14281" i="2"/>
  <c r="F14280" i="2"/>
  <c r="E14280" i="2"/>
  <c r="D14280" i="2"/>
  <c r="F8725" i="2"/>
  <c r="E8725" i="2"/>
  <c r="D8725" i="2"/>
  <c r="F8724" i="2"/>
  <c r="E8724" i="2"/>
  <c r="D8724" i="2"/>
  <c r="F8723" i="2"/>
  <c r="E8723" i="2"/>
  <c r="D8723" i="2"/>
  <c r="F8722" i="2"/>
  <c r="E8722" i="2"/>
  <c r="D8722" i="2"/>
  <c r="F8721" i="2"/>
  <c r="E8721" i="2"/>
  <c r="D8721" i="2"/>
  <c r="F8720" i="2"/>
  <c r="E8720" i="2"/>
  <c r="D8720" i="2"/>
  <c r="F8719" i="2"/>
  <c r="E8719" i="2"/>
  <c r="D8719" i="2"/>
  <c r="F8718" i="2"/>
  <c r="E8718" i="2"/>
  <c r="D8718" i="2"/>
  <c r="F13145" i="2"/>
  <c r="E13145" i="2"/>
  <c r="D13145" i="2"/>
  <c r="F8222" i="2"/>
  <c r="E8222" i="2"/>
  <c r="D8222" i="2"/>
  <c r="F8223" i="2"/>
  <c r="E8223" i="2"/>
  <c r="D8223" i="2"/>
  <c r="F8221" i="2"/>
  <c r="E8221" i="2"/>
  <c r="D8221" i="2"/>
  <c r="F8220" i="2"/>
  <c r="E8220" i="2"/>
  <c r="D8220" i="2"/>
  <c r="F8219" i="2"/>
  <c r="E8219" i="2"/>
  <c r="D8219" i="2"/>
  <c r="F8218" i="2"/>
  <c r="E8218" i="2"/>
  <c r="D8218" i="2"/>
  <c r="F11342" i="2"/>
  <c r="E11342" i="2"/>
  <c r="D11342" i="2"/>
  <c r="F11343" i="2"/>
  <c r="E11343" i="2"/>
  <c r="D11343" i="2"/>
  <c r="F11341" i="2"/>
  <c r="E11341" i="2"/>
  <c r="D11341" i="2"/>
  <c r="F11340" i="2"/>
  <c r="E11340" i="2"/>
  <c r="D11340" i="2"/>
  <c r="F11339" i="2"/>
  <c r="E11339" i="2"/>
  <c r="D11339" i="2"/>
  <c r="F11338" i="2"/>
  <c r="E11338" i="2"/>
  <c r="D11338" i="2"/>
  <c r="F11337" i="2"/>
  <c r="E11337" i="2"/>
  <c r="D11337" i="2"/>
  <c r="F6096" i="2"/>
  <c r="E6096" i="2"/>
  <c r="D6096" i="2"/>
  <c r="F6095" i="2"/>
  <c r="E6095" i="2"/>
  <c r="D6095" i="2"/>
  <c r="F6094" i="2"/>
  <c r="E6094" i="2"/>
  <c r="D6094" i="2"/>
  <c r="F6093" i="2"/>
  <c r="E6093" i="2"/>
  <c r="D6093" i="2"/>
  <c r="F6092" i="2"/>
  <c r="E6092" i="2"/>
  <c r="D6092" i="2"/>
  <c r="F6091" i="2"/>
  <c r="E6091" i="2"/>
  <c r="D6091" i="2"/>
  <c r="F6090" i="2"/>
  <c r="E6090" i="2"/>
  <c r="D6090" i="2"/>
  <c r="F6089" i="2"/>
  <c r="E6089" i="2"/>
  <c r="D6089" i="2"/>
  <c r="F6088" i="2"/>
  <c r="E6088" i="2"/>
  <c r="D6088" i="2"/>
  <c r="F6087" i="2"/>
  <c r="E6087" i="2"/>
  <c r="D6087" i="2"/>
  <c r="F16374" i="2"/>
  <c r="E16374" i="2"/>
  <c r="D16374" i="2"/>
  <c r="F16373" i="2"/>
  <c r="E16373" i="2"/>
  <c r="D16373" i="2"/>
  <c r="F16372" i="2"/>
  <c r="E16372" i="2"/>
  <c r="D16372" i="2"/>
  <c r="F16371" i="2"/>
  <c r="E16371" i="2"/>
  <c r="D16371" i="2"/>
  <c r="F16370" i="2"/>
  <c r="E16370" i="2"/>
  <c r="D16370" i="2"/>
  <c r="F16369" i="2"/>
  <c r="E16369" i="2"/>
  <c r="D16369" i="2"/>
  <c r="F16368" i="2"/>
  <c r="E16368" i="2"/>
  <c r="D16368" i="2"/>
  <c r="F16367" i="2"/>
  <c r="E16367" i="2"/>
  <c r="D16367" i="2"/>
  <c r="F16366" i="2"/>
  <c r="E16366" i="2"/>
  <c r="D16366" i="2"/>
  <c r="F16365" i="2"/>
  <c r="E16365" i="2"/>
  <c r="D16365" i="2"/>
  <c r="F16364" i="2"/>
  <c r="E16364" i="2"/>
  <c r="D16364" i="2"/>
  <c r="F16363" i="2"/>
  <c r="E16363" i="2"/>
  <c r="D16363" i="2"/>
  <c r="F16362" i="2"/>
  <c r="E16362" i="2"/>
  <c r="D16362" i="2"/>
  <c r="F16361" i="2"/>
  <c r="E16361" i="2"/>
  <c r="D16361" i="2"/>
  <c r="F6838" i="2"/>
  <c r="E6838" i="2"/>
  <c r="D6838" i="2"/>
  <c r="F6839" i="2"/>
  <c r="E6839" i="2"/>
  <c r="D6839" i="2"/>
  <c r="F11356" i="2"/>
  <c r="E11356" i="2"/>
  <c r="D11356" i="2"/>
  <c r="F11355" i="2"/>
  <c r="E11355" i="2"/>
  <c r="D11355" i="2"/>
  <c r="F11354" i="2"/>
  <c r="E11354" i="2"/>
  <c r="D11354" i="2"/>
  <c r="F13687" i="2"/>
  <c r="E13687" i="2"/>
  <c r="D13687" i="2"/>
  <c r="F12843" i="2"/>
  <c r="E12843" i="2"/>
  <c r="D12843" i="2"/>
  <c r="F12842" i="2"/>
  <c r="E12842" i="2"/>
  <c r="D12842" i="2"/>
  <c r="F12841" i="2"/>
  <c r="E12841" i="2"/>
  <c r="D12841" i="2"/>
  <c r="F12840" i="2"/>
  <c r="E12840" i="2"/>
  <c r="D12840" i="2"/>
  <c r="F12839" i="2"/>
  <c r="E12839" i="2"/>
  <c r="D12839" i="2"/>
  <c r="F12838" i="2"/>
  <c r="E12838" i="2"/>
  <c r="D12838" i="2"/>
  <c r="F12837" i="2"/>
  <c r="E12837" i="2"/>
  <c r="D12837" i="2"/>
  <c r="F12835" i="2"/>
  <c r="E12835" i="2"/>
  <c r="D12835" i="2"/>
  <c r="F12836" i="2"/>
  <c r="E12836" i="2"/>
  <c r="D12836" i="2"/>
  <c r="F6833" i="2"/>
  <c r="E6833" i="2"/>
  <c r="D6833" i="2"/>
  <c r="F6832" i="2"/>
  <c r="E6832" i="2"/>
  <c r="D6832" i="2"/>
  <c r="F6831" i="2"/>
  <c r="E6831" i="2"/>
  <c r="D6831" i="2"/>
  <c r="F6830" i="2"/>
  <c r="E6830" i="2"/>
  <c r="D6830" i="2"/>
  <c r="F6829" i="2"/>
  <c r="E6829" i="2"/>
  <c r="D6829" i="2"/>
  <c r="F6828" i="2"/>
  <c r="E6828" i="2"/>
  <c r="D6828" i="2"/>
  <c r="F6827" i="2"/>
  <c r="E6827" i="2"/>
  <c r="D6827" i="2"/>
  <c r="F6826" i="2"/>
  <c r="E6826" i="2"/>
  <c r="D6826" i="2"/>
  <c r="F6825" i="2"/>
  <c r="E6825" i="2"/>
  <c r="D6825" i="2"/>
  <c r="F6824" i="2"/>
  <c r="E6824" i="2"/>
  <c r="D6824" i="2"/>
  <c r="F6823" i="2"/>
  <c r="E6823" i="2"/>
  <c r="D6823" i="2"/>
  <c r="F6822" i="2"/>
  <c r="E6822" i="2"/>
  <c r="D6822" i="2"/>
  <c r="F6821" i="2"/>
  <c r="E6821" i="2"/>
  <c r="D6821" i="2"/>
  <c r="F6820" i="2"/>
  <c r="E6820" i="2"/>
  <c r="D6820" i="2"/>
  <c r="F6819" i="2"/>
  <c r="E6819" i="2"/>
  <c r="D6819" i="2"/>
  <c r="F6818" i="2"/>
  <c r="E6818" i="2"/>
  <c r="D6818" i="2"/>
  <c r="F6817" i="2"/>
  <c r="E6817" i="2"/>
  <c r="D6817" i="2"/>
  <c r="F6816" i="2"/>
  <c r="E6816" i="2"/>
  <c r="D6816" i="2"/>
  <c r="F8454" i="2"/>
  <c r="E8454" i="2"/>
  <c r="D8454" i="2"/>
  <c r="F8453" i="2"/>
  <c r="E8453" i="2"/>
  <c r="D8453" i="2"/>
  <c r="F8452" i="2"/>
  <c r="E8452" i="2"/>
  <c r="D8452" i="2"/>
  <c r="F8451" i="2"/>
  <c r="E8451" i="2"/>
  <c r="D8451" i="2"/>
  <c r="F8450" i="2"/>
  <c r="E8450" i="2"/>
  <c r="D8450" i="2"/>
  <c r="F8449" i="2"/>
  <c r="E8449" i="2"/>
  <c r="D8449" i="2"/>
  <c r="F8448" i="2"/>
  <c r="E8448" i="2"/>
  <c r="D8448" i="2"/>
  <c r="F8447" i="2"/>
  <c r="E8447" i="2"/>
  <c r="D8447" i="2"/>
  <c r="F8446" i="2"/>
  <c r="E8446" i="2"/>
  <c r="D8446" i="2"/>
  <c r="F8445" i="2"/>
  <c r="E8445" i="2"/>
  <c r="D8445" i="2"/>
  <c r="F8444" i="2"/>
  <c r="E8444" i="2"/>
  <c r="D8444" i="2"/>
  <c r="F8443" i="2"/>
  <c r="E8443" i="2"/>
  <c r="D8443" i="2"/>
  <c r="F8442" i="2"/>
  <c r="E8442" i="2"/>
  <c r="D8442" i="2"/>
  <c r="F8441" i="2"/>
  <c r="E8441" i="2"/>
  <c r="D8441" i="2"/>
  <c r="F8440" i="2"/>
  <c r="E8440" i="2"/>
  <c r="D8440" i="2"/>
  <c r="F8017" i="2"/>
  <c r="E8017" i="2"/>
  <c r="D8017" i="2"/>
  <c r="F8026" i="2"/>
  <c r="E8026" i="2"/>
  <c r="D8026" i="2"/>
  <c r="F8025" i="2"/>
  <c r="E8025" i="2"/>
  <c r="D8025" i="2"/>
  <c r="F8024" i="2"/>
  <c r="E8024" i="2"/>
  <c r="D8024" i="2"/>
  <c r="F8023" i="2"/>
  <c r="E8023" i="2"/>
  <c r="D8023" i="2"/>
  <c r="F8022" i="2"/>
  <c r="E8022" i="2"/>
  <c r="D8022" i="2"/>
  <c r="F8021" i="2"/>
  <c r="E8021" i="2"/>
  <c r="D8021" i="2"/>
  <c r="F8020" i="2"/>
  <c r="E8020" i="2"/>
  <c r="D8020" i="2"/>
  <c r="F8019" i="2"/>
  <c r="E8019" i="2"/>
  <c r="D8019" i="2"/>
  <c r="F8018" i="2"/>
  <c r="E8018" i="2"/>
  <c r="D8018" i="2"/>
  <c r="F11357" i="2"/>
  <c r="E11357" i="2"/>
  <c r="D11357" i="2"/>
  <c r="F11362" i="2"/>
  <c r="E11362" i="2"/>
  <c r="D11362" i="2"/>
  <c r="F11361" i="2"/>
  <c r="E11361" i="2"/>
  <c r="D11361" i="2"/>
  <c r="F11360" i="2"/>
  <c r="E11360" i="2"/>
  <c r="D11360" i="2"/>
  <c r="F11359" i="2"/>
  <c r="E11359" i="2"/>
  <c r="D11359" i="2"/>
  <c r="F11358" i="2"/>
  <c r="E11358" i="2"/>
  <c r="D11358" i="2"/>
  <c r="F9158" i="2"/>
  <c r="E9158" i="2"/>
  <c r="D9158" i="2"/>
  <c r="F9157" i="2"/>
  <c r="E9157" i="2"/>
  <c r="D9157" i="2"/>
  <c r="F9156" i="2"/>
  <c r="E9156" i="2"/>
  <c r="D9156" i="2"/>
  <c r="F9637" i="2"/>
  <c r="E9637" i="2"/>
  <c r="D9637" i="2"/>
  <c r="F9648" i="2"/>
  <c r="E9648" i="2"/>
  <c r="D9648" i="2"/>
  <c r="F9647" i="2"/>
  <c r="E9647" i="2"/>
  <c r="D9647" i="2"/>
  <c r="F9646" i="2"/>
  <c r="E9646" i="2"/>
  <c r="D9646" i="2"/>
  <c r="F9645" i="2"/>
  <c r="E9645" i="2"/>
  <c r="D9645" i="2"/>
  <c r="F9644" i="2"/>
  <c r="E9644" i="2"/>
  <c r="D9644" i="2"/>
  <c r="F9643" i="2"/>
  <c r="E9643" i="2"/>
  <c r="D9643" i="2"/>
  <c r="F9642" i="2"/>
  <c r="E9642" i="2"/>
  <c r="D9642" i="2"/>
  <c r="F9641" i="2"/>
  <c r="E9641" i="2"/>
  <c r="D9641" i="2"/>
  <c r="F9640" i="2"/>
  <c r="E9640" i="2"/>
  <c r="D9640" i="2"/>
  <c r="F9639" i="2"/>
  <c r="E9639" i="2"/>
  <c r="D9639" i="2"/>
  <c r="F9638" i="2"/>
  <c r="E9638" i="2"/>
  <c r="D9638" i="2"/>
  <c r="F16360" i="2"/>
  <c r="E16360" i="2"/>
  <c r="D16360" i="2"/>
  <c r="F16359" i="2"/>
  <c r="E16359" i="2"/>
  <c r="D16359" i="2"/>
  <c r="F16358" i="2"/>
  <c r="E16358" i="2"/>
  <c r="D16358" i="2"/>
  <c r="F16357" i="2"/>
  <c r="E16357" i="2"/>
  <c r="D16357" i="2"/>
  <c r="F16356" i="2"/>
  <c r="E16356" i="2"/>
  <c r="D16356" i="2"/>
  <c r="F16355" i="2"/>
  <c r="E16355" i="2"/>
  <c r="D16355" i="2"/>
  <c r="F16354" i="2"/>
  <c r="E16354" i="2"/>
  <c r="D16354" i="2"/>
  <c r="F16353" i="2"/>
  <c r="E16353" i="2"/>
  <c r="D16353" i="2"/>
  <c r="F2871" i="2"/>
  <c r="E2871" i="2"/>
  <c r="D2871" i="2"/>
  <c r="F2870" i="2"/>
  <c r="E2870" i="2"/>
  <c r="D2870" i="2"/>
  <c r="F2869" i="2"/>
  <c r="E2869" i="2"/>
  <c r="D2869" i="2"/>
  <c r="F2868" i="2"/>
  <c r="E2868" i="2"/>
  <c r="D2868" i="2"/>
  <c r="F2867" i="2"/>
  <c r="E2867" i="2"/>
  <c r="D2867" i="2"/>
  <c r="F2866" i="2"/>
  <c r="E2866" i="2"/>
  <c r="D2866" i="2"/>
  <c r="F2865" i="2"/>
  <c r="E2865" i="2"/>
  <c r="D2865" i="2"/>
  <c r="F2864" i="2"/>
  <c r="E2864" i="2"/>
  <c r="D2864" i="2"/>
  <c r="F2863" i="2"/>
  <c r="E2863" i="2"/>
  <c r="D2863" i="2"/>
  <c r="F2862" i="2"/>
  <c r="E2862" i="2"/>
  <c r="D2862" i="2"/>
  <c r="F2861" i="2"/>
  <c r="E2861" i="2"/>
  <c r="D2861" i="2"/>
  <c r="F2860" i="2"/>
  <c r="E2860" i="2"/>
  <c r="D2860" i="2"/>
  <c r="F2859" i="2"/>
  <c r="E2859" i="2"/>
  <c r="D2859" i="2"/>
  <c r="F2858" i="2"/>
  <c r="E2858" i="2"/>
  <c r="D2858" i="2"/>
  <c r="F2857" i="2"/>
  <c r="E2857" i="2"/>
  <c r="D2857" i="2"/>
  <c r="F2856" i="2"/>
  <c r="E2856" i="2"/>
  <c r="D2856" i="2"/>
  <c r="F2855" i="2"/>
  <c r="E2855" i="2"/>
  <c r="D2855" i="2"/>
  <c r="F2854" i="2"/>
  <c r="E2854" i="2"/>
  <c r="D2854" i="2"/>
  <c r="F2853" i="2"/>
  <c r="E2853" i="2"/>
  <c r="D2853" i="2"/>
  <c r="F2852" i="2"/>
  <c r="E2852" i="2"/>
  <c r="D2852" i="2"/>
  <c r="F2851" i="2"/>
  <c r="E2851" i="2"/>
  <c r="D2851" i="2"/>
  <c r="F2850" i="2"/>
  <c r="E2850" i="2"/>
  <c r="D2850" i="2"/>
  <c r="F13519" i="2"/>
  <c r="E13519" i="2"/>
  <c r="D13519" i="2"/>
  <c r="F13518" i="2"/>
  <c r="E13518" i="2"/>
  <c r="D13518" i="2"/>
  <c r="F13517" i="2"/>
  <c r="E13517" i="2"/>
  <c r="D13517" i="2"/>
  <c r="F13516" i="2"/>
  <c r="E13516" i="2"/>
  <c r="D13516" i="2"/>
  <c r="F13515" i="2"/>
  <c r="E13515" i="2"/>
  <c r="D13515" i="2"/>
  <c r="F13514" i="2"/>
  <c r="E13514" i="2"/>
  <c r="D13514" i="2"/>
  <c r="F13513" i="2"/>
  <c r="E13513" i="2"/>
  <c r="D13513" i="2"/>
  <c r="F13512" i="2"/>
  <c r="E13512" i="2"/>
  <c r="D13512" i="2"/>
  <c r="F13511" i="2"/>
  <c r="E13511" i="2"/>
  <c r="D13511" i="2"/>
  <c r="F13510" i="2"/>
  <c r="E13510" i="2"/>
  <c r="D13510" i="2"/>
  <c r="F13509" i="2"/>
  <c r="E13509" i="2"/>
  <c r="D13509" i="2"/>
  <c r="F1063" i="2"/>
  <c r="E1063" i="2"/>
  <c r="D1063" i="2"/>
  <c r="F1067" i="2"/>
  <c r="E1067" i="2"/>
  <c r="D1067" i="2"/>
  <c r="F1066" i="2"/>
  <c r="E1066" i="2"/>
  <c r="D1066" i="2"/>
  <c r="F1065" i="2"/>
  <c r="E1065" i="2"/>
  <c r="D1065" i="2"/>
  <c r="F1064" i="2"/>
  <c r="E1064" i="2"/>
  <c r="D1064" i="2"/>
  <c r="F12457" i="2"/>
  <c r="E12457" i="2"/>
  <c r="D12457" i="2"/>
  <c r="F12458" i="2"/>
  <c r="E12458" i="2"/>
  <c r="D12458" i="2"/>
  <c r="F9163" i="2"/>
  <c r="E9163" i="2"/>
  <c r="D9163" i="2"/>
  <c r="F9167" i="2"/>
  <c r="E9167" i="2"/>
  <c r="D9167" i="2"/>
  <c r="F9166" i="2"/>
  <c r="E9166" i="2"/>
  <c r="D9166" i="2"/>
  <c r="F9165" i="2"/>
  <c r="E9165" i="2"/>
  <c r="D9165" i="2"/>
  <c r="F9164" i="2"/>
  <c r="E9164" i="2"/>
  <c r="D9164" i="2"/>
  <c r="F9169" i="2"/>
  <c r="E9169" i="2"/>
  <c r="D9169" i="2"/>
  <c r="F9175" i="2"/>
  <c r="E9175" i="2"/>
  <c r="D9175" i="2"/>
  <c r="F9174" i="2"/>
  <c r="E9174" i="2"/>
  <c r="D9174" i="2"/>
  <c r="F9173" i="2"/>
  <c r="E9173" i="2"/>
  <c r="D9173" i="2"/>
  <c r="F9172" i="2"/>
  <c r="E9172" i="2"/>
  <c r="D9172" i="2"/>
  <c r="F9171" i="2"/>
  <c r="E9171" i="2"/>
  <c r="D9171" i="2"/>
  <c r="F9170" i="2"/>
  <c r="E9170" i="2"/>
  <c r="D9170" i="2"/>
  <c r="F9168" i="2"/>
  <c r="E9168" i="2"/>
  <c r="D9168" i="2"/>
  <c r="F1068" i="2"/>
  <c r="E1068" i="2"/>
  <c r="D1068" i="2"/>
  <c r="F1072" i="2"/>
  <c r="E1072" i="2"/>
  <c r="D1072" i="2"/>
  <c r="F1071" i="2"/>
  <c r="E1071" i="2"/>
  <c r="D1071" i="2"/>
  <c r="F1070" i="2"/>
  <c r="E1070" i="2"/>
  <c r="D1070" i="2"/>
  <c r="F1069" i="2"/>
  <c r="E1069" i="2"/>
  <c r="D1069" i="2"/>
  <c r="F11390" i="2"/>
  <c r="E11390" i="2"/>
  <c r="D11390" i="2"/>
  <c r="F11389" i="2"/>
  <c r="E11389" i="2"/>
  <c r="D11389" i="2"/>
  <c r="F11388" i="2"/>
  <c r="E11388" i="2"/>
  <c r="D11388" i="2"/>
  <c r="F11387" i="2"/>
  <c r="E11387" i="2"/>
  <c r="D11387" i="2"/>
  <c r="F11386" i="2"/>
  <c r="E11386" i="2"/>
  <c r="D11386" i="2"/>
  <c r="F11385" i="2"/>
  <c r="E11385" i="2"/>
  <c r="D11385" i="2"/>
  <c r="F11384" i="2"/>
  <c r="E11384" i="2"/>
  <c r="D11384" i="2"/>
  <c r="F11383" i="2"/>
  <c r="E11383" i="2"/>
  <c r="D11383" i="2"/>
  <c r="F11382" i="2"/>
  <c r="E11382" i="2"/>
  <c r="D11382" i="2"/>
  <c r="F11381" i="2"/>
  <c r="E11381" i="2"/>
  <c r="D11381" i="2"/>
  <c r="F11380" i="2"/>
  <c r="E11380" i="2"/>
  <c r="D11380" i="2"/>
  <c r="F11379" i="2"/>
  <c r="E11379" i="2"/>
  <c r="D11379" i="2"/>
  <c r="F11378" i="2"/>
  <c r="E11378" i="2"/>
  <c r="D11378" i="2"/>
  <c r="F11377" i="2"/>
  <c r="E11377" i="2"/>
  <c r="D11377" i="2"/>
  <c r="F11376" i="2"/>
  <c r="E11376" i="2"/>
  <c r="D11376" i="2"/>
  <c r="F11375" i="2"/>
  <c r="E11375" i="2"/>
  <c r="D11375" i="2"/>
  <c r="F11374" i="2"/>
  <c r="E11374" i="2"/>
  <c r="D11374" i="2"/>
  <c r="F11373" i="2"/>
  <c r="E11373" i="2"/>
  <c r="D11373" i="2"/>
  <c r="F11372" i="2"/>
  <c r="E11372" i="2"/>
  <c r="D11372" i="2"/>
  <c r="F11371" i="2"/>
  <c r="E11371" i="2"/>
  <c r="D11371" i="2"/>
  <c r="F11370" i="2"/>
  <c r="E11370" i="2"/>
  <c r="D11370" i="2"/>
  <c r="F11369" i="2"/>
  <c r="E11369" i="2"/>
  <c r="D11369" i="2"/>
  <c r="F11408" i="2"/>
  <c r="E11408" i="2"/>
  <c r="D11408" i="2"/>
  <c r="F11407" i="2"/>
  <c r="E11407" i="2"/>
  <c r="D11407" i="2"/>
  <c r="F11406" i="2"/>
  <c r="E11406" i="2"/>
  <c r="D11406" i="2"/>
  <c r="F11405" i="2"/>
  <c r="E11405" i="2"/>
  <c r="D11405" i="2"/>
  <c r="F11404" i="2"/>
  <c r="E11404" i="2"/>
  <c r="D11404" i="2"/>
  <c r="F11403" i="2"/>
  <c r="E11403" i="2"/>
  <c r="D11403" i="2"/>
  <c r="F11402" i="2"/>
  <c r="E11402" i="2"/>
  <c r="D11402" i="2"/>
  <c r="F11401" i="2"/>
  <c r="E11401" i="2"/>
  <c r="D11401" i="2"/>
  <c r="F11400" i="2"/>
  <c r="E11400" i="2"/>
  <c r="D11400" i="2"/>
  <c r="F11399" i="2"/>
  <c r="E11399" i="2"/>
  <c r="D11399" i="2"/>
  <c r="F11398" i="2"/>
  <c r="E11398" i="2"/>
  <c r="D11398" i="2"/>
  <c r="F11397" i="2"/>
  <c r="E11397" i="2"/>
  <c r="D11397" i="2"/>
  <c r="F11396" i="2"/>
  <c r="E11396" i="2"/>
  <c r="D11396" i="2"/>
  <c r="F11395" i="2"/>
  <c r="E11395" i="2"/>
  <c r="D11395" i="2"/>
  <c r="F11394" i="2"/>
  <c r="E11394" i="2"/>
  <c r="D11394" i="2"/>
  <c r="F11393" i="2"/>
  <c r="E11393" i="2"/>
  <c r="D11393" i="2"/>
  <c r="F11392" i="2"/>
  <c r="E11392" i="2"/>
  <c r="D11392" i="2"/>
  <c r="F11391" i="2"/>
  <c r="E11391" i="2"/>
  <c r="D11391" i="2"/>
  <c r="F11772" i="2"/>
  <c r="E11772" i="2"/>
  <c r="D11772" i="2"/>
  <c r="F11771" i="2"/>
  <c r="E11771" i="2"/>
  <c r="D11771" i="2"/>
  <c r="F11770" i="2"/>
  <c r="E11770" i="2"/>
  <c r="D11770" i="2"/>
  <c r="F11769" i="2"/>
  <c r="E11769" i="2"/>
  <c r="D11769" i="2"/>
  <c r="F11768" i="2"/>
  <c r="E11768" i="2"/>
  <c r="D11768" i="2"/>
  <c r="F11767" i="2"/>
  <c r="E11767" i="2"/>
  <c r="D11767" i="2"/>
  <c r="F11766" i="2"/>
  <c r="E11766" i="2"/>
  <c r="D11766" i="2"/>
  <c r="F11765" i="2"/>
  <c r="E11765" i="2"/>
  <c r="D11765" i="2"/>
  <c r="F11764" i="2"/>
  <c r="E11764" i="2"/>
  <c r="D11764" i="2"/>
  <c r="F9565" i="2"/>
  <c r="E9565" i="2"/>
  <c r="D9565" i="2"/>
  <c r="F9569" i="2"/>
  <c r="E9569" i="2"/>
  <c r="D9569" i="2"/>
  <c r="F9568" i="2"/>
  <c r="E9568" i="2"/>
  <c r="D9568" i="2"/>
  <c r="F9567" i="2"/>
  <c r="E9567" i="2"/>
  <c r="D9567" i="2"/>
  <c r="F9566" i="2"/>
  <c r="E9566" i="2"/>
  <c r="D9566" i="2"/>
  <c r="F8146" i="2"/>
  <c r="E8146" i="2"/>
  <c r="D8146" i="2"/>
  <c r="F8148" i="2"/>
  <c r="E8148" i="2"/>
  <c r="D8148" i="2"/>
  <c r="F8147" i="2"/>
  <c r="E8147" i="2"/>
  <c r="D8147" i="2"/>
  <c r="F12932" i="2"/>
  <c r="E12932" i="2"/>
  <c r="D12932" i="2"/>
  <c r="F12942" i="2"/>
  <c r="E12942" i="2"/>
  <c r="D12942" i="2"/>
  <c r="F12941" i="2"/>
  <c r="E12941" i="2"/>
  <c r="D12941" i="2"/>
  <c r="F12940" i="2"/>
  <c r="E12940" i="2"/>
  <c r="D12940" i="2"/>
  <c r="F12939" i="2"/>
  <c r="E12939" i="2"/>
  <c r="D12939" i="2"/>
  <c r="F12938" i="2"/>
  <c r="E12938" i="2"/>
  <c r="D12938" i="2"/>
  <c r="F12937" i="2"/>
  <c r="E12937" i="2"/>
  <c r="D12937" i="2"/>
  <c r="F12936" i="2"/>
  <c r="E12936" i="2"/>
  <c r="D12936" i="2"/>
  <c r="F12935" i="2"/>
  <c r="E12935" i="2"/>
  <c r="D12935" i="2"/>
  <c r="F12934" i="2"/>
  <c r="E12934" i="2"/>
  <c r="D12934" i="2"/>
  <c r="F12933" i="2"/>
  <c r="E12933" i="2"/>
  <c r="D12933" i="2"/>
  <c r="F16216" i="2"/>
  <c r="E16216" i="2"/>
  <c r="D16216" i="2"/>
  <c r="F16215" i="2"/>
  <c r="E16215" i="2"/>
  <c r="D16215" i="2"/>
  <c r="F16214" i="2"/>
  <c r="E16214" i="2"/>
  <c r="D16214" i="2"/>
  <c r="F16213" i="2"/>
  <c r="E16213" i="2"/>
  <c r="D16213" i="2"/>
  <c r="F16212" i="2"/>
  <c r="E16212" i="2"/>
  <c r="D16212" i="2"/>
  <c r="F16211" i="2"/>
  <c r="E16211" i="2"/>
  <c r="D16211" i="2"/>
  <c r="F16210" i="2"/>
  <c r="E16210" i="2"/>
  <c r="D16210" i="2"/>
  <c r="F16209" i="2"/>
  <c r="E16209" i="2"/>
  <c r="D16209" i="2"/>
  <c r="F16208" i="2"/>
  <c r="E16208" i="2"/>
  <c r="D16208" i="2"/>
  <c r="F16207" i="2"/>
  <c r="E16207" i="2"/>
  <c r="D16207" i="2"/>
  <c r="F16206" i="2"/>
  <c r="E16206" i="2"/>
  <c r="D16206" i="2"/>
  <c r="F16205" i="2"/>
  <c r="E16205" i="2"/>
  <c r="D16205" i="2"/>
  <c r="F16204" i="2"/>
  <c r="E16204" i="2"/>
  <c r="D16204" i="2"/>
  <c r="F16203" i="2"/>
  <c r="E16203" i="2"/>
  <c r="D16203" i="2"/>
  <c r="F16202" i="2"/>
  <c r="E16202" i="2"/>
  <c r="D16202" i="2"/>
  <c r="F16201" i="2"/>
  <c r="E16201" i="2"/>
  <c r="D16201" i="2"/>
  <c r="F16200" i="2"/>
  <c r="E16200" i="2"/>
  <c r="D16200" i="2"/>
  <c r="F16199" i="2"/>
  <c r="E16199" i="2"/>
  <c r="D16199" i="2"/>
  <c r="F16198" i="2"/>
  <c r="E16198" i="2"/>
  <c r="D16198" i="2"/>
  <c r="F16197" i="2"/>
  <c r="E16197" i="2"/>
  <c r="D16197" i="2"/>
  <c r="F16196" i="2"/>
  <c r="E16196" i="2"/>
  <c r="D16196" i="2"/>
  <c r="F16195" i="2"/>
  <c r="E16195" i="2"/>
  <c r="D16195" i="2"/>
  <c r="F16194" i="2"/>
  <c r="E16194" i="2"/>
  <c r="D16194" i="2"/>
  <c r="F16193" i="2"/>
  <c r="E16193" i="2"/>
  <c r="D16193" i="2"/>
  <c r="F16192" i="2"/>
  <c r="E16192" i="2"/>
  <c r="D16192" i="2"/>
  <c r="F16191" i="2"/>
  <c r="E16191" i="2"/>
  <c r="D16191" i="2"/>
  <c r="F16190" i="2"/>
  <c r="E16190" i="2"/>
  <c r="D16190" i="2"/>
  <c r="F16189" i="2"/>
  <c r="E16189" i="2"/>
  <c r="D16189" i="2"/>
  <c r="F16188" i="2"/>
  <c r="E16188" i="2"/>
  <c r="D16188" i="2"/>
  <c r="F12099" i="2"/>
  <c r="E12099" i="2"/>
  <c r="D12099" i="2"/>
  <c r="F12102" i="2"/>
  <c r="E12102" i="2"/>
  <c r="D12102" i="2"/>
  <c r="F12101" i="2"/>
  <c r="E12101" i="2"/>
  <c r="D12101" i="2"/>
  <c r="F12100" i="2"/>
  <c r="E12100" i="2"/>
  <c r="D12100" i="2"/>
  <c r="F12098" i="2"/>
  <c r="E12098" i="2"/>
  <c r="D12098" i="2"/>
  <c r="F14356" i="2"/>
  <c r="E14356" i="2"/>
  <c r="D14356" i="2"/>
  <c r="F14364" i="2"/>
  <c r="E14364" i="2"/>
  <c r="D14364" i="2"/>
  <c r="F14363" i="2"/>
  <c r="E14363" i="2"/>
  <c r="D14363" i="2"/>
  <c r="F14362" i="2"/>
  <c r="E14362" i="2"/>
  <c r="D14362" i="2"/>
  <c r="F14361" i="2"/>
  <c r="E14361" i="2"/>
  <c r="D14361" i="2"/>
  <c r="F14360" i="2"/>
  <c r="E14360" i="2"/>
  <c r="D14360" i="2"/>
  <c r="F14359" i="2"/>
  <c r="E14359" i="2"/>
  <c r="D14359" i="2"/>
  <c r="F14358" i="2"/>
  <c r="E14358" i="2"/>
  <c r="D14358" i="2"/>
  <c r="F14357" i="2"/>
  <c r="E14357" i="2"/>
  <c r="D14357" i="2"/>
  <c r="F14355" i="2"/>
  <c r="E14355" i="2"/>
  <c r="D14355" i="2"/>
  <c r="F14953" i="2"/>
  <c r="E14953" i="2"/>
  <c r="D14953" i="2"/>
  <c r="F14952" i="2"/>
  <c r="E14952" i="2"/>
  <c r="D14952" i="2"/>
  <c r="F1077" i="2"/>
  <c r="E1077" i="2"/>
  <c r="D1077" i="2"/>
  <c r="F1076" i="2"/>
  <c r="E1076" i="2"/>
  <c r="D1076" i="2"/>
  <c r="F1075" i="2"/>
  <c r="E1075" i="2"/>
  <c r="D1075" i="2"/>
  <c r="F1074" i="2"/>
  <c r="E1074" i="2"/>
  <c r="D1074" i="2"/>
  <c r="F1073" i="2"/>
  <c r="E1073" i="2"/>
  <c r="D1073" i="2"/>
  <c r="F16401" i="2"/>
  <c r="E16401" i="2"/>
  <c r="D16401" i="2"/>
  <c r="F16403" i="2"/>
  <c r="E16403" i="2"/>
  <c r="D16403" i="2"/>
  <c r="F16402" i="2"/>
  <c r="E16402" i="2"/>
  <c r="D16402" i="2"/>
  <c r="F7344" i="2"/>
  <c r="E7344" i="2"/>
  <c r="D7344" i="2"/>
  <c r="F7343" i="2"/>
  <c r="E7343" i="2"/>
  <c r="D7343" i="2"/>
  <c r="F7342" i="2"/>
  <c r="E7342" i="2"/>
  <c r="D7342" i="2"/>
  <c r="F7341" i="2"/>
  <c r="E7341" i="2"/>
  <c r="D7341" i="2"/>
  <c r="F7340" i="2"/>
  <c r="E7340" i="2"/>
  <c r="D7340" i="2"/>
  <c r="F7339" i="2"/>
  <c r="E7339" i="2"/>
  <c r="D7339" i="2"/>
  <c r="F7338" i="2"/>
  <c r="E7338" i="2"/>
  <c r="D7338" i="2"/>
  <c r="F7337" i="2"/>
  <c r="E7337" i="2"/>
  <c r="D7337" i="2"/>
  <c r="F7336" i="2"/>
  <c r="E7336" i="2"/>
  <c r="D7336" i="2"/>
  <c r="F15886" i="2"/>
  <c r="E15886" i="2"/>
  <c r="D15886" i="2"/>
  <c r="F15888" i="2"/>
  <c r="E15888" i="2"/>
  <c r="D15888" i="2"/>
  <c r="F15887" i="2"/>
  <c r="E15887" i="2"/>
  <c r="D15887" i="2"/>
  <c r="F9183" i="2"/>
  <c r="E9183" i="2"/>
  <c r="D9183" i="2"/>
  <c r="F9182" i="2"/>
  <c r="E9182" i="2"/>
  <c r="D9182" i="2"/>
  <c r="F9181" i="2"/>
  <c r="E9181" i="2"/>
  <c r="D9181" i="2"/>
  <c r="F9180" i="2"/>
  <c r="E9180" i="2"/>
  <c r="D9180" i="2"/>
  <c r="F9179" i="2"/>
  <c r="E9179" i="2"/>
  <c r="D9179" i="2"/>
  <c r="F14449" i="2"/>
  <c r="E14449" i="2"/>
  <c r="D14449" i="2"/>
  <c r="F14448" i="2"/>
  <c r="E14448" i="2"/>
  <c r="D14448" i="2"/>
  <c r="F14447" i="2"/>
  <c r="E14447" i="2"/>
  <c r="D14447" i="2"/>
  <c r="F14446" i="2"/>
  <c r="E14446" i="2"/>
  <c r="D14446" i="2"/>
  <c r="F13160" i="2"/>
  <c r="E13160" i="2"/>
  <c r="D13160" i="2"/>
  <c r="F13159" i="2"/>
  <c r="E13159" i="2"/>
  <c r="D13159" i="2"/>
  <c r="F13158" i="2"/>
  <c r="E13158" i="2"/>
  <c r="D13158" i="2"/>
  <c r="F15166" i="2"/>
  <c r="E15166" i="2"/>
  <c r="D15166" i="2"/>
  <c r="F15172" i="2"/>
  <c r="E15172" i="2"/>
  <c r="D15172" i="2"/>
  <c r="F15171" i="2"/>
  <c r="E15171" i="2"/>
  <c r="D15171" i="2"/>
  <c r="F15170" i="2"/>
  <c r="E15170" i="2"/>
  <c r="D15170" i="2"/>
  <c r="F15169" i="2"/>
  <c r="E15169" i="2"/>
  <c r="D15169" i="2"/>
  <c r="F15168" i="2"/>
  <c r="E15168" i="2"/>
  <c r="D15168" i="2"/>
  <c r="F15167" i="2"/>
  <c r="E15167" i="2"/>
  <c r="D15167" i="2"/>
  <c r="F3783" i="2"/>
  <c r="E3783" i="2"/>
  <c r="D3783" i="2"/>
  <c r="F3787" i="2"/>
  <c r="E3787" i="2"/>
  <c r="D3787" i="2"/>
  <c r="F3786" i="2"/>
  <c r="E3786" i="2"/>
  <c r="D3786" i="2"/>
  <c r="F3785" i="2"/>
  <c r="E3785" i="2"/>
  <c r="D3785" i="2"/>
  <c r="F3784" i="2"/>
  <c r="E3784" i="2"/>
  <c r="D3784" i="2"/>
  <c r="F9355" i="2"/>
  <c r="E9355" i="2"/>
  <c r="D9355" i="2"/>
  <c r="F9354" i="2"/>
  <c r="E9354" i="2"/>
  <c r="D9354" i="2"/>
  <c r="F9353" i="2"/>
  <c r="E9353" i="2"/>
  <c r="D9353" i="2"/>
  <c r="F9352" i="2"/>
  <c r="E9352" i="2"/>
  <c r="D9352" i="2"/>
  <c r="F9351" i="2"/>
  <c r="E9351" i="2"/>
  <c r="D9351" i="2"/>
  <c r="F9350" i="2"/>
  <c r="E9350" i="2"/>
  <c r="D9350" i="2"/>
  <c r="F9349" i="2"/>
  <c r="E9349" i="2"/>
  <c r="D9349" i="2"/>
  <c r="F9348" i="2"/>
  <c r="E9348" i="2"/>
  <c r="D9348" i="2"/>
  <c r="F9347" i="2"/>
  <c r="E9347" i="2"/>
  <c r="D9347" i="2"/>
  <c r="F9346" i="2"/>
  <c r="E9346" i="2"/>
  <c r="D9346" i="2"/>
  <c r="F9345" i="2"/>
  <c r="E9345" i="2"/>
  <c r="D9345" i="2"/>
  <c r="F2918" i="2"/>
  <c r="E2918" i="2"/>
  <c r="D2918" i="2"/>
  <c r="F2917" i="2"/>
  <c r="E2917" i="2"/>
  <c r="D2917" i="2"/>
  <c r="F2916" i="2"/>
  <c r="E2916" i="2"/>
  <c r="D2916" i="2"/>
  <c r="F2915" i="2"/>
  <c r="E2915" i="2"/>
  <c r="D2915" i="2"/>
  <c r="F2914" i="2"/>
  <c r="E2914" i="2"/>
  <c r="D2914" i="2"/>
  <c r="F2913" i="2"/>
  <c r="E2913" i="2"/>
  <c r="D2913" i="2"/>
  <c r="F2928" i="2"/>
  <c r="E2928" i="2"/>
  <c r="D2928" i="2"/>
  <c r="F2955" i="2"/>
  <c r="E2955" i="2"/>
  <c r="D2955" i="2"/>
  <c r="F2954" i="2"/>
  <c r="E2954" i="2"/>
  <c r="D2954" i="2"/>
  <c r="F2953" i="2"/>
  <c r="E2953" i="2"/>
  <c r="D2953" i="2"/>
  <c r="F2952" i="2"/>
  <c r="E2952" i="2"/>
  <c r="D2952" i="2"/>
  <c r="F2951" i="2"/>
  <c r="E2951" i="2"/>
  <c r="D2951" i="2"/>
  <c r="F2950" i="2"/>
  <c r="E2950" i="2"/>
  <c r="D2950" i="2"/>
  <c r="F2949" i="2"/>
  <c r="E2949" i="2"/>
  <c r="D2949" i="2"/>
  <c r="F2948" i="2"/>
  <c r="E2948" i="2"/>
  <c r="D2948" i="2"/>
  <c r="F2947" i="2"/>
  <c r="E2947" i="2"/>
  <c r="D2947" i="2"/>
  <c r="F2946" i="2"/>
  <c r="E2946" i="2"/>
  <c r="D2946" i="2"/>
  <c r="F2945" i="2"/>
  <c r="E2945" i="2"/>
  <c r="D2945" i="2"/>
  <c r="F2944" i="2"/>
  <c r="E2944" i="2"/>
  <c r="D2944" i="2"/>
  <c r="F2943" i="2"/>
  <c r="E2943" i="2"/>
  <c r="D2943" i="2"/>
  <c r="F2942" i="2"/>
  <c r="E2942" i="2"/>
  <c r="D2942" i="2"/>
  <c r="F2941" i="2"/>
  <c r="E2941" i="2"/>
  <c r="D2941" i="2"/>
  <c r="F2940" i="2"/>
  <c r="E2940" i="2"/>
  <c r="D2940" i="2"/>
  <c r="F2939" i="2"/>
  <c r="E2939" i="2"/>
  <c r="D2939" i="2"/>
  <c r="F2938" i="2"/>
  <c r="E2938" i="2"/>
  <c r="D2938" i="2"/>
  <c r="F2937" i="2"/>
  <c r="E2937" i="2"/>
  <c r="D2937" i="2"/>
  <c r="F2936" i="2"/>
  <c r="E2936" i="2"/>
  <c r="D2936" i="2"/>
  <c r="F2935" i="2"/>
  <c r="E2935" i="2"/>
  <c r="D2935" i="2"/>
  <c r="F2934" i="2"/>
  <c r="E2934" i="2"/>
  <c r="D2934" i="2"/>
  <c r="F2933" i="2"/>
  <c r="E2933" i="2"/>
  <c r="D2933" i="2"/>
  <c r="F2932" i="2"/>
  <c r="E2932" i="2"/>
  <c r="D2932" i="2"/>
  <c r="F2931" i="2"/>
  <c r="E2931" i="2"/>
  <c r="D2931" i="2"/>
  <c r="F2930" i="2"/>
  <c r="E2930" i="2"/>
  <c r="D2930" i="2"/>
  <c r="F2929" i="2"/>
  <c r="E2929" i="2"/>
  <c r="D2929" i="2"/>
  <c r="F4944" i="2"/>
  <c r="E4944" i="2"/>
  <c r="D4944" i="2"/>
  <c r="F4943" i="2"/>
  <c r="E4943" i="2"/>
  <c r="D4943" i="2"/>
  <c r="F4942" i="2"/>
  <c r="E4942" i="2"/>
  <c r="D4942" i="2"/>
  <c r="F4940" i="2"/>
  <c r="E4940" i="2"/>
  <c r="D4940" i="2"/>
  <c r="F4941" i="2"/>
  <c r="E4941" i="2"/>
  <c r="D4941" i="2"/>
  <c r="F4939" i="2"/>
  <c r="E4939" i="2"/>
  <c r="D4939" i="2"/>
  <c r="F4938" i="2"/>
  <c r="E4938" i="2"/>
  <c r="D4938" i="2"/>
  <c r="F4937" i="2"/>
  <c r="E4937" i="2"/>
  <c r="D4937" i="2"/>
  <c r="F4936" i="2"/>
  <c r="E4936" i="2"/>
  <c r="D4936" i="2"/>
  <c r="F4935" i="2"/>
  <c r="E4935" i="2"/>
  <c r="D4935" i="2"/>
  <c r="F4934" i="2"/>
  <c r="E4934" i="2"/>
  <c r="D4934" i="2"/>
  <c r="F4933" i="2"/>
  <c r="E4933" i="2"/>
  <c r="D4933" i="2"/>
  <c r="F4932" i="2"/>
  <c r="E4932" i="2"/>
  <c r="D4932" i="2"/>
  <c r="F4931" i="2"/>
  <c r="E4931" i="2"/>
  <c r="D4931" i="2"/>
  <c r="F4930" i="2"/>
  <c r="E4930" i="2"/>
  <c r="D4930" i="2"/>
  <c r="F4929" i="2"/>
  <c r="E4929" i="2"/>
  <c r="D4929" i="2"/>
  <c r="F4928" i="2"/>
  <c r="E4928" i="2"/>
  <c r="D4928" i="2"/>
  <c r="F4927" i="2"/>
  <c r="E4927" i="2"/>
  <c r="D4927" i="2"/>
  <c r="F4926" i="2"/>
  <c r="E4926" i="2"/>
  <c r="D4926" i="2"/>
  <c r="F4925" i="2"/>
  <c r="E4925" i="2"/>
  <c r="D4925" i="2"/>
  <c r="F4924" i="2"/>
  <c r="E4924" i="2"/>
  <c r="D4924" i="2"/>
  <c r="F4923" i="2"/>
  <c r="E4923" i="2"/>
  <c r="D4923" i="2"/>
  <c r="F4922" i="2"/>
  <c r="E4922" i="2"/>
  <c r="D4922" i="2"/>
  <c r="F4921" i="2"/>
  <c r="E4921" i="2"/>
  <c r="D4921" i="2"/>
  <c r="F4920" i="2"/>
  <c r="E4920" i="2"/>
  <c r="D4920" i="2"/>
  <c r="F4919" i="2"/>
  <c r="E4919" i="2"/>
  <c r="D4919" i="2"/>
  <c r="F4918" i="2"/>
  <c r="E4918" i="2"/>
  <c r="D4918" i="2"/>
  <c r="F4917" i="2"/>
  <c r="E4917" i="2"/>
  <c r="D4917" i="2"/>
  <c r="F4916" i="2"/>
  <c r="E4916" i="2"/>
  <c r="D4916" i="2"/>
  <c r="F4915" i="2"/>
  <c r="E4915" i="2"/>
  <c r="D4915" i="2"/>
  <c r="F4914" i="2"/>
  <c r="E4914" i="2"/>
  <c r="D4914" i="2"/>
  <c r="F4913" i="2"/>
  <c r="E4913" i="2"/>
  <c r="D4913" i="2"/>
  <c r="F4912" i="2"/>
  <c r="E4912" i="2"/>
  <c r="D4912" i="2"/>
  <c r="F4911" i="2"/>
  <c r="E4911" i="2"/>
  <c r="D4911" i="2"/>
  <c r="F4910" i="2"/>
  <c r="E4910" i="2"/>
  <c r="D4910" i="2"/>
  <c r="F4909" i="2"/>
  <c r="E4909" i="2"/>
  <c r="D4909" i="2"/>
  <c r="F4908" i="2"/>
  <c r="E4908" i="2"/>
  <c r="D4908" i="2"/>
  <c r="F4907" i="2"/>
  <c r="E4907" i="2"/>
  <c r="D4907" i="2"/>
  <c r="F4906" i="2"/>
  <c r="E4906" i="2"/>
  <c r="D4906" i="2"/>
  <c r="F4905" i="2"/>
  <c r="E4905" i="2"/>
  <c r="D4905" i="2"/>
  <c r="F4903" i="2"/>
  <c r="E4903" i="2"/>
  <c r="D4903" i="2"/>
  <c r="F4904" i="2"/>
  <c r="E4904" i="2"/>
  <c r="D4904" i="2"/>
  <c r="F4902" i="2"/>
  <c r="E4902" i="2"/>
  <c r="D4902" i="2"/>
  <c r="F4901" i="2"/>
  <c r="E4901" i="2"/>
  <c r="D4901" i="2"/>
  <c r="F4900" i="2"/>
  <c r="E4900" i="2"/>
  <c r="D4900" i="2"/>
  <c r="F4899" i="2"/>
  <c r="E4899" i="2"/>
  <c r="D4899" i="2"/>
  <c r="F4898" i="2"/>
  <c r="E4898" i="2"/>
  <c r="D4898" i="2"/>
  <c r="F4897" i="2"/>
  <c r="E4897" i="2"/>
  <c r="D4897" i="2"/>
  <c r="F4896" i="2"/>
  <c r="E4896" i="2"/>
  <c r="D4896" i="2"/>
  <c r="F4895" i="2"/>
  <c r="E4895" i="2"/>
  <c r="D4895" i="2"/>
  <c r="F4894" i="2"/>
  <c r="E4894" i="2"/>
  <c r="D4894" i="2"/>
  <c r="F4893" i="2"/>
  <c r="E4893" i="2"/>
  <c r="D4893" i="2"/>
  <c r="F4892" i="2"/>
  <c r="E4892" i="2"/>
  <c r="D4892" i="2"/>
  <c r="F4891" i="2"/>
  <c r="E4891" i="2"/>
  <c r="D4891" i="2"/>
  <c r="F4889" i="2"/>
  <c r="E4889" i="2"/>
  <c r="D4889" i="2"/>
  <c r="F4890" i="2"/>
  <c r="E4890" i="2"/>
  <c r="D4890" i="2"/>
  <c r="F12273" i="2"/>
  <c r="E12273" i="2"/>
  <c r="D12273" i="2"/>
  <c r="F12277" i="2"/>
  <c r="E12277" i="2"/>
  <c r="D12277" i="2"/>
  <c r="F12276" i="2"/>
  <c r="E12276" i="2"/>
  <c r="D12276" i="2"/>
  <c r="F12275" i="2"/>
  <c r="E12275" i="2"/>
  <c r="D12275" i="2"/>
  <c r="F12274" i="2"/>
  <c r="E12274" i="2"/>
  <c r="D12274" i="2"/>
  <c r="F12764" i="2"/>
  <c r="E12764" i="2"/>
  <c r="D12764" i="2"/>
  <c r="F12763" i="2"/>
  <c r="E12763" i="2"/>
  <c r="D12763" i="2"/>
  <c r="F12762" i="2"/>
  <c r="E12762" i="2"/>
  <c r="D12762" i="2"/>
  <c r="F12761" i="2"/>
  <c r="E12761" i="2"/>
  <c r="D12761" i="2"/>
  <c r="F12760" i="2"/>
  <c r="E12760" i="2"/>
  <c r="D12760" i="2"/>
  <c r="F12759" i="2"/>
  <c r="E12759" i="2"/>
  <c r="D12759" i="2"/>
  <c r="F12758" i="2"/>
  <c r="E12758" i="2"/>
  <c r="D12758" i="2"/>
  <c r="F12756" i="2"/>
  <c r="E12756" i="2"/>
  <c r="D12756" i="2"/>
  <c r="F12757" i="2"/>
  <c r="E12757" i="2"/>
  <c r="D12757" i="2"/>
  <c r="F14262" i="2"/>
  <c r="E14262" i="2"/>
  <c r="D14262" i="2"/>
  <c r="F14270" i="2"/>
  <c r="E14270" i="2"/>
  <c r="D14270" i="2"/>
  <c r="F14269" i="2"/>
  <c r="E14269" i="2"/>
  <c r="D14269" i="2"/>
  <c r="F14268" i="2"/>
  <c r="E14268" i="2"/>
  <c r="D14268" i="2"/>
  <c r="F14267" i="2"/>
  <c r="E14267" i="2"/>
  <c r="D14267" i="2"/>
  <c r="F14266" i="2"/>
  <c r="E14266" i="2"/>
  <c r="D14266" i="2"/>
  <c r="F14265" i="2"/>
  <c r="E14265" i="2"/>
  <c r="D14265" i="2"/>
  <c r="F14264" i="2"/>
  <c r="E14264" i="2"/>
  <c r="D14264" i="2"/>
  <c r="F14263" i="2"/>
  <c r="E14263" i="2"/>
  <c r="D14263" i="2"/>
  <c r="F4192" i="2"/>
  <c r="E4192" i="2"/>
  <c r="D4192" i="2"/>
  <c r="F4191" i="2"/>
  <c r="E4191" i="2"/>
  <c r="D4191" i="2"/>
  <c r="F4190" i="2"/>
  <c r="E4190" i="2"/>
  <c r="D4190" i="2"/>
  <c r="F4189" i="2"/>
  <c r="E4189" i="2"/>
  <c r="D4189" i="2"/>
  <c r="F14149" i="2"/>
  <c r="E14149" i="2"/>
  <c r="D14149" i="2"/>
  <c r="F14148" i="2"/>
  <c r="E14148" i="2"/>
  <c r="D14148" i="2"/>
  <c r="F14147" i="2"/>
  <c r="E14147" i="2"/>
  <c r="D14147" i="2"/>
  <c r="F14146" i="2"/>
  <c r="E14146" i="2"/>
  <c r="D14146" i="2"/>
  <c r="F14145" i="2"/>
  <c r="E14145" i="2"/>
  <c r="D14145" i="2"/>
  <c r="F14144" i="2"/>
  <c r="E14144" i="2"/>
  <c r="D14144" i="2"/>
  <c r="F8150" i="2"/>
  <c r="E8150" i="2"/>
  <c r="D8150" i="2"/>
  <c r="F8149" i="2"/>
  <c r="E8149" i="2"/>
  <c r="D8149" i="2"/>
  <c r="F9357" i="2"/>
  <c r="E9357" i="2"/>
  <c r="D9357" i="2"/>
  <c r="F9374" i="2"/>
  <c r="E9374" i="2"/>
  <c r="D9374" i="2"/>
  <c r="F9373" i="2"/>
  <c r="E9373" i="2"/>
  <c r="D9373" i="2"/>
  <c r="F9372" i="2"/>
  <c r="E9372" i="2"/>
  <c r="D9372" i="2"/>
  <c r="F9371" i="2"/>
  <c r="E9371" i="2"/>
  <c r="D9371" i="2"/>
  <c r="F9370" i="2"/>
  <c r="E9370" i="2"/>
  <c r="D9370" i="2"/>
  <c r="F9369" i="2"/>
  <c r="E9369" i="2"/>
  <c r="D9369" i="2"/>
  <c r="F9368" i="2"/>
  <c r="E9368" i="2"/>
  <c r="D9368" i="2"/>
  <c r="F9367" i="2"/>
  <c r="E9367" i="2"/>
  <c r="D9367" i="2"/>
  <c r="F9366" i="2"/>
  <c r="E9366" i="2"/>
  <c r="D9366" i="2"/>
  <c r="F9365" i="2"/>
  <c r="E9365" i="2"/>
  <c r="D9365" i="2"/>
  <c r="F9364" i="2"/>
  <c r="E9364" i="2"/>
  <c r="D9364" i="2"/>
  <c r="F9363" i="2"/>
  <c r="E9363" i="2"/>
  <c r="D9363" i="2"/>
  <c r="F9362" i="2"/>
  <c r="E9362" i="2"/>
  <c r="D9362" i="2"/>
  <c r="F9361" i="2"/>
  <c r="E9361" i="2"/>
  <c r="D9361" i="2"/>
  <c r="F9360" i="2"/>
  <c r="E9360" i="2"/>
  <c r="D9360" i="2"/>
  <c r="F9359" i="2"/>
  <c r="E9359" i="2"/>
  <c r="D9359" i="2"/>
  <c r="F9358" i="2"/>
  <c r="E9358" i="2"/>
  <c r="D9358" i="2"/>
  <c r="F7853" i="2"/>
  <c r="E7853" i="2"/>
  <c r="D7853" i="2"/>
  <c r="F7852" i="2"/>
  <c r="E7852" i="2"/>
  <c r="D7852" i="2"/>
  <c r="F7851" i="2"/>
  <c r="E7851" i="2"/>
  <c r="D7851" i="2"/>
  <c r="F7850" i="2"/>
  <c r="E7850" i="2"/>
  <c r="D7850" i="2"/>
  <c r="F7849" i="2"/>
  <c r="E7849" i="2"/>
  <c r="D7849" i="2"/>
  <c r="F7848" i="2"/>
  <c r="E7848" i="2"/>
  <c r="D7848" i="2"/>
  <c r="F7847" i="2"/>
  <c r="E7847" i="2"/>
  <c r="D7847" i="2"/>
  <c r="F7846" i="2"/>
  <c r="E7846" i="2"/>
  <c r="D7846" i="2"/>
  <c r="F7845" i="2"/>
  <c r="E7845" i="2"/>
  <c r="D7845" i="2"/>
  <c r="F7844" i="2"/>
  <c r="E7844" i="2"/>
  <c r="D7844" i="2"/>
  <c r="F7843" i="2"/>
  <c r="E7843" i="2"/>
  <c r="D7843" i="2"/>
  <c r="F7842" i="2"/>
  <c r="E7842" i="2"/>
  <c r="D7842" i="2"/>
  <c r="F7841" i="2"/>
  <c r="E7841" i="2"/>
  <c r="D7841" i="2"/>
  <c r="F7840" i="2"/>
  <c r="E7840" i="2"/>
  <c r="D7840" i="2"/>
  <c r="F7839" i="2"/>
  <c r="E7839" i="2"/>
  <c r="D7839" i="2"/>
  <c r="F7838" i="2"/>
  <c r="E7838" i="2"/>
  <c r="D7838" i="2"/>
  <c r="F7837" i="2"/>
  <c r="E7837" i="2"/>
  <c r="D7837" i="2"/>
  <c r="F7836" i="2"/>
  <c r="E7836" i="2"/>
  <c r="D7836" i="2"/>
  <c r="F7835" i="2"/>
  <c r="E7835" i="2"/>
  <c r="D7835" i="2"/>
  <c r="F7834" i="2"/>
  <c r="E7834" i="2"/>
  <c r="D7834" i="2"/>
  <c r="F7833" i="2"/>
  <c r="E7833" i="2"/>
  <c r="D7833" i="2"/>
  <c r="F7832" i="2"/>
  <c r="E7832" i="2"/>
  <c r="D7832" i="2"/>
  <c r="F7831" i="2"/>
  <c r="E7831" i="2"/>
  <c r="D7831" i="2"/>
  <c r="F7830" i="2"/>
  <c r="E7830" i="2"/>
  <c r="D7830" i="2"/>
  <c r="F9609" i="2"/>
  <c r="E9609" i="2"/>
  <c r="D9609" i="2"/>
  <c r="F9608" i="2"/>
  <c r="E9608" i="2"/>
  <c r="D9608" i="2"/>
  <c r="F9607" i="2"/>
  <c r="E9607" i="2"/>
  <c r="D9607" i="2"/>
  <c r="F9606" i="2"/>
  <c r="E9606" i="2"/>
  <c r="D9606" i="2"/>
  <c r="F9605" i="2"/>
  <c r="E9605" i="2"/>
  <c r="D9605" i="2"/>
  <c r="F9604" i="2"/>
  <c r="E9604" i="2"/>
  <c r="D9604" i="2"/>
  <c r="F9603" i="2"/>
  <c r="E9603" i="2"/>
  <c r="D9603" i="2"/>
  <c r="F12466" i="2"/>
  <c r="E12466" i="2"/>
  <c r="D12466" i="2"/>
  <c r="F12465" i="2"/>
  <c r="E12465" i="2"/>
  <c r="D12465" i="2"/>
  <c r="F12464" i="2"/>
  <c r="E12464" i="2"/>
  <c r="D12464" i="2"/>
  <c r="F12463" i="2"/>
  <c r="E12463" i="2"/>
  <c r="D12463" i="2"/>
  <c r="F12462" i="2"/>
  <c r="E12462" i="2"/>
  <c r="D12462" i="2"/>
  <c r="F12461" i="2"/>
  <c r="E12461" i="2"/>
  <c r="D12461" i="2"/>
  <c r="F12460" i="2"/>
  <c r="E12460" i="2"/>
  <c r="D12460" i="2"/>
  <c r="F12459" i="2"/>
  <c r="E12459" i="2"/>
  <c r="D12459" i="2"/>
  <c r="F15327" i="2"/>
  <c r="E15327" i="2"/>
  <c r="D15327" i="2"/>
  <c r="F15345" i="2"/>
  <c r="E15345" i="2"/>
  <c r="D15345" i="2"/>
  <c r="F15344" i="2"/>
  <c r="E15344" i="2"/>
  <c r="D15344" i="2"/>
  <c r="F15343" i="2"/>
  <c r="E15343" i="2"/>
  <c r="D15343" i="2"/>
  <c r="F15342" i="2"/>
  <c r="E15342" i="2"/>
  <c r="D15342" i="2"/>
  <c r="F15341" i="2"/>
  <c r="E15341" i="2"/>
  <c r="D15341" i="2"/>
  <c r="F15340" i="2"/>
  <c r="E15340" i="2"/>
  <c r="D15340" i="2"/>
  <c r="F15339" i="2"/>
  <c r="E15339" i="2"/>
  <c r="D15339" i="2"/>
  <c r="F15338" i="2"/>
  <c r="E15338" i="2"/>
  <c r="D15338" i="2"/>
  <c r="F15337" i="2"/>
  <c r="E15337" i="2"/>
  <c r="D15337" i="2"/>
  <c r="F15336" i="2"/>
  <c r="E15336" i="2"/>
  <c r="D15336" i="2"/>
  <c r="F15335" i="2"/>
  <c r="E15335" i="2"/>
  <c r="D15335" i="2"/>
  <c r="F15334" i="2"/>
  <c r="E15334" i="2"/>
  <c r="D15334" i="2"/>
  <c r="F15333" i="2"/>
  <c r="E15333" i="2"/>
  <c r="D15333" i="2"/>
  <c r="F15332" i="2"/>
  <c r="E15332" i="2"/>
  <c r="D15332" i="2"/>
  <c r="F15331" i="2"/>
  <c r="E15331" i="2"/>
  <c r="D15331" i="2"/>
  <c r="F15330" i="2"/>
  <c r="E15330" i="2"/>
  <c r="D15330" i="2"/>
  <c r="F15329" i="2"/>
  <c r="E15329" i="2"/>
  <c r="D15329" i="2"/>
  <c r="F15328" i="2"/>
  <c r="E15328" i="2"/>
  <c r="D15328" i="2"/>
  <c r="F8287" i="2"/>
  <c r="E8287" i="2"/>
  <c r="D8287" i="2"/>
  <c r="F8286" i="2"/>
  <c r="E8286" i="2"/>
  <c r="D8286" i="2"/>
  <c r="F8285" i="2"/>
  <c r="E8285" i="2"/>
  <c r="D8285" i="2"/>
  <c r="F8284" i="2"/>
  <c r="E8284" i="2"/>
  <c r="D8284" i="2"/>
  <c r="F8283" i="2"/>
  <c r="E8283" i="2"/>
  <c r="D8283" i="2"/>
  <c r="F8282" i="2"/>
  <c r="E8282" i="2"/>
  <c r="D8282" i="2"/>
  <c r="F8281" i="2"/>
  <c r="E8281" i="2"/>
  <c r="D8281" i="2"/>
  <c r="F8280" i="2"/>
  <c r="E8280" i="2"/>
  <c r="D8280" i="2"/>
  <c r="F8279" i="2"/>
  <c r="E8279" i="2"/>
  <c r="D8279" i="2"/>
  <c r="F8278" i="2"/>
  <c r="E8278" i="2"/>
  <c r="D8278" i="2"/>
  <c r="F8277" i="2"/>
  <c r="E8277" i="2"/>
  <c r="D8277" i="2"/>
  <c r="F8276" i="2"/>
  <c r="E8276" i="2"/>
  <c r="D8276" i="2"/>
  <c r="F8275" i="2"/>
  <c r="E8275" i="2"/>
  <c r="D8275" i="2"/>
  <c r="F8274" i="2"/>
  <c r="E8274" i="2"/>
  <c r="D8274" i="2"/>
  <c r="F8273" i="2"/>
  <c r="E8273" i="2"/>
  <c r="D8273" i="2"/>
  <c r="F8272" i="2"/>
  <c r="E8272" i="2"/>
  <c r="D8272" i="2"/>
  <c r="F8271" i="2"/>
  <c r="E8271" i="2"/>
  <c r="D8271" i="2"/>
  <c r="F8270" i="2"/>
  <c r="E8270" i="2"/>
  <c r="D8270" i="2"/>
  <c r="F8269" i="2"/>
  <c r="E8269" i="2"/>
  <c r="D8269" i="2"/>
  <c r="F8268" i="2"/>
  <c r="E8268" i="2"/>
  <c r="D8268" i="2"/>
  <c r="F8267" i="2"/>
  <c r="E8267" i="2"/>
  <c r="D8267" i="2"/>
  <c r="F8266" i="2"/>
  <c r="E8266" i="2"/>
  <c r="D8266" i="2"/>
  <c r="F8263" i="2"/>
  <c r="E8263" i="2"/>
  <c r="D8263" i="2"/>
  <c r="F8265" i="2"/>
  <c r="E8265" i="2"/>
  <c r="D8265" i="2"/>
  <c r="F8264" i="2"/>
  <c r="E8264" i="2"/>
  <c r="D8264" i="2"/>
  <c r="F8262" i="2"/>
  <c r="E8262" i="2"/>
  <c r="D8262" i="2"/>
  <c r="F8261" i="2"/>
  <c r="E8261" i="2"/>
  <c r="D8261" i="2"/>
  <c r="F8260" i="2"/>
  <c r="E8260" i="2"/>
  <c r="D8260" i="2"/>
  <c r="F8259" i="2"/>
  <c r="E8259" i="2"/>
  <c r="D8259" i="2"/>
  <c r="F8258" i="2"/>
  <c r="E8258" i="2"/>
  <c r="D8258" i="2"/>
  <c r="F8257" i="2"/>
  <c r="E8257" i="2"/>
  <c r="D8257" i="2"/>
  <c r="F8256" i="2"/>
  <c r="E8256" i="2"/>
  <c r="D8256" i="2"/>
  <c r="F8255" i="2"/>
  <c r="E8255" i="2"/>
  <c r="D8255" i="2"/>
  <c r="F8254" i="2"/>
  <c r="E8254" i="2"/>
  <c r="D8254" i="2"/>
  <c r="F8253" i="2"/>
  <c r="E8253" i="2"/>
  <c r="D8253" i="2"/>
  <c r="F8252" i="2"/>
  <c r="E8252" i="2"/>
  <c r="D8252" i="2"/>
  <c r="F8251" i="2"/>
  <c r="E8251" i="2"/>
  <c r="D8251" i="2"/>
  <c r="F8250" i="2"/>
  <c r="E8250" i="2"/>
  <c r="D8250" i="2"/>
  <c r="F8249" i="2"/>
  <c r="E8249" i="2"/>
  <c r="D8249" i="2"/>
  <c r="F8248" i="2"/>
  <c r="E8248" i="2"/>
  <c r="D8248" i="2"/>
  <c r="F8247" i="2"/>
  <c r="E8247" i="2"/>
  <c r="D8247" i="2"/>
  <c r="F15461" i="2"/>
  <c r="E15461" i="2"/>
  <c r="D15461" i="2"/>
  <c r="F15460" i="2"/>
  <c r="E15460" i="2"/>
  <c r="D15460" i="2"/>
  <c r="F617" i="2"/>
  <c r="E617" i="2"/>
  <c r="D617" i="2"/>
  <c r="F616" i="2"/>
  <c r="E616" i="2"/>
  <c r="D616" i="2"/>
  <c r="F615" i="2"/>
  <c r="E615" i="2"/>
  <c r="D615" i="2"/>
  <c r="F614" i="2"/>
  <c r="E614" i="2"/>
  <c r="D614" i="2"/>
  <c r="F613" i="2"/>
  <c r="E613" i="2"/>
  <c r="D613" i="2"/>
  <c r="F612" i="2"/>
  <c r="E612" i="2"/>
  <c r="D612" i="2"/>
  <c r="F611" i="2"/>
  <c r="E611" i="2"/>
  <c r="D611" i="2"/>
  <c r="F610" i="2"/>
  <c r="E610" i="2"/>
  <c r="D610" i="2"/>
  <c r="F609" i="2"/>
  <c r="E609" i="2"/>
  <c r="D609" i="2"/>
  <c r="F608" i="2"/>
  <c r="E608" i="2"/>
  <c r="D608" i="2"/>
  <c r="F607" i="2"/>
  <c r="E607" i="2"/>
  <c r="D607" i="2"/>
  <c r="F606" i="2"/>
  <c r="E606" i="2"/>
  <c r="D606" i="2"/>
  <c r="F9623" i="2"/>
  <c r="E9623" i="2"/>
  <c r="D9623" i="2"/>
  <c r="F9622" i="2"/>
  <c r="E9622" i="2"/>
  <c r="D9622" i="2"/>
  <c r="F9621" i="2"/>
  <c r="E9621" i="2"/>
  <c r="D9621" i="2"/>
  <c r="F9620" i="2"/>
  <c r="E9620" i="2"/>
  <c r="D9620" i="2"/>
  <c r="F9619" i="2"/>
  <c r="E9619" i="2"/>
  <c r="D9619" i="2"/>
  <c r="F9618" i="2"/>
  <c r="E9618" i="2"/>
  <c r="D9618" i="2"/>
  <c r="F9617" i="2"/>
  <c r="E9617" i="2"/>
  <c r="D9617" i="2"/>
  <c r="F9616" i="2"/>
  <c r="E9616" i="2"/>
  <c r="D9616" i="2"/>
  <c r="F9615" i="2"/>
  <c r="E9615" i="2"/>
  <c r="D9615" i="2"/>
  <c r="F9614" i="2"/>
  <c r="E9614" i="2"/>
  <c r="D9614" i="2"/>
  <c r="F9613" i="2"/>
  <c r="E9613" i="2"/>
  <c r="D9613" i="2"/>
  <c r="F9612" i="2"/>
  <c r="E9612" i="2"/>
  <c r="D9612" i="2"/>
  <c r="F9611" i="2"/>
  <c r="E9611" i="2"/>
  <c r="D9611" i="2"/>
  <c r="F9610" i="2"/>
  <c r="E9610" i="2"/>
  <c r="D9610" i="2"/>
  <c r="F11449" i="2"/>
  <c r="E11449" i="2"/>
  <c r="D11449" i="2"/>
  <c r="F11448" i="2"/>
  <c r="E11448" i="2"/>
  <c r="D11448" i="2"/>
  <c r="F11446" i="2"/>
  <c r="E11446" i="2"/>
  <c r="D11446" i="2"/>
  <c r="F11447" i="2"/>
  <c r="E11447" i="2"/>
  <c r="D11447" i="2"/>
  <c r="F5426" i="2"/>
  <c r="E5426" i="2"/>
  <c r="D5426" i="2"/>
  <c r="F5425" i="2"/>
  <c r="E5425" i="2"/>
  <c r="D5425" i="2"/>
  <c r="F5424" i="2"/>
  <c r="E5424" i="2"/>
  <c r="D5424" i="2"/>
  <c r="F5423" i="2"/>
  <c r="E5423" i="2"/>
  <c r="D5423" i="2"/>
  <c r="F5421" i="2"/>
  <c r="E5421" i="2"/>
  <c r="D5421" i="2"/>
  <c r="F5422" i="2"/>
  <c r="E5422" i="2"/>
  <c r="D5422" i="2"/>
  <c r="F12790" i="2"/>
  <c r="E12790" i="2"/>
  <c r="D12790" i="2"/>
  <c r="F12789" i="2"/>
  <c r="E12789" i="2"/>
  <c r="D12789" i="2"/>
  <c r="F12788" i="2"/>
  <c r="E12788" i="2"/>
  <c r="D12788" i="2"/>
  <c r="F12787" i="2"/>
  <c r="E12787" i="2"/>
  <c r="D12787" i="2"/>
  <c r="F12786" i="2"/>
  <c r="E12786" i="2"/>
  <c r="D12786" i="2"/>
  <c r="F12785" i="2"/>
  <c r="E12785" i="2"/>
  <c r="D12785" i="2"/>
  <c r="F12784" i="2"/>
  <c r="E12784" i="2"/>
  <c r="D12784" i="2"/>
  <c r="F12783" i="2"/>
  <c r="E12783" i="2"/>
  <c r="D12783" i="2"/>
  <c r="F12782" i="2"/>
  <c r="E12782" i="2"/>
  <c r="D12782" i="2"/>
  <c r="F12781" i="2"/>
  <c r="E12781" i="2"/>
  <c r="D12781" i="2"/>
  <c r="F12780" i="2"/>
  <c r="E12780" i="2"/>
  <c r="D12780" i="2"/>
  <c r="F8348" i="2"/>
  <c r="E8348" i="2"/>
  <c r="D8348" i="2"/>
  <c r="F8347" i="2"/>
  <c r="E8347" i="2"/>
  <c r="D8347" i="2"/>
  <c r="F8346" i="2"/>
  <c r="E8346" i="2"/>
  <c r="D8346" i="2"/>
  <c r="F8345" i="2"/>
  <c r="E8345" i="2"/>
  <c r="D8345" i="2"/>
  <c r="F8342" i="2"/>
  <c r="E8342" i="2"/>
  <c r="D8342" i="2"/>
  <c r="F8344" i="2"/>
  <c r="E8344" i="2"/>
  <c r="D8344" i="2"/>
  <c r="F8343" i="2"/>
  <c r="E8343" i="2"/>
  <c r="D8343" i="2"/>
  <c r="F8341" i="2"/>
  <c r="E8341" i="2"/>
  <c r="D8341" i="2"/>
  <c r="F8340" i="2"/>
  <c r="E8340" i="2"/>
  <c r="D8340" i="2"/>
  <c r="F8339" i="2"/>
  <c r="E8339" i="2"/>
  <c r="D8339" i="2"/>
  <c r="F8338" i="2"/>
  <c r="E8338" i="2"/>
  <c r="D8338" i="2"/>
  <c r="F8337" i="2"/>
  <c r="E8337" i="2"/>
  <c r="D8337" i="2"/>
  <c r="F8336" i="2"/>
  <c r="E8336" i="2"/>
  <c r="D8336" i="2"/>
  <c r="F8335" i="2"/>
  <c r="E8335" i="2"/>
  <c r="D8335" i="2"/>
  <c r="F8334" i="2"/>
  <c r="E8334" i="2"/>
  <c r="D8334" i="2"/>
  <c r="F8333" i="2"/>
  <c r="E8333" i="2"/>
  <c r="D8333" i="2"/>
  <c r="F8332" i="2"/>
  <c r="E8332" i="2"/>
  <c r="D8332" i="2"/>
  <c r="F8331" i="2"/>
  <c r="E8331" i="2"/>
  <c r="D8331" i="2"/>
  <c r="F8330" i="2"/>
  <c r="E8330" i="2"/>
  <c r="D8330" i="2"/>
  <c r="F8329" i="2"/>
  <c r="E8329" i="2"/>
  <c r="D8329" i="2"/>
  <c r="F8328" i="2"/>
  <c r="E8328" i="2"/>
  <c r="D8328" i="2"/>
  <c r="F8327" i="2"/>
  <c r="E8327" i="2"/>
  <c r="D8327" i="2"/>
  <c r="F8326" i="2"/>
  <c r="E8326" i="2"/>
  <c r="D8326" i="2"/>
  <c r="F8325" i="2"/>
  <c r="E8325" i="2"/>
  <c r="D8325" i="2"/>
  <c r="F8324" i="2"/>
  <c r="E8324" i="2"/>
  <c r="D8324" i="2"/>
  <c r="F8323" i="2"/>
  <c r="E8323" i="2"/>
  <c r="D8323" i="2"/>
  <c r="F8322" i="2"/>
  <c r="E8322" i="2"/>
  <c r="D8322" i="2"/>
  <c r="F8321" i="2"/>
  <c r="E8321" i="2"/>
  <c r="D8321" i="2"/>
  <c r="F8320" i="2"/>
  <c r="E8320" i="2"/>
  <c r="D8320" i="2"/>
  <c r="F8319" i="2"/>
  <c r="E8319" i="2"/>
  <c r="D8319" i="2"/>
  <c r="F8318" i="2"/>
  <c r="E8318" i="2"/>
  <c r="D8318" i="2"/>
  <c r="F8317" i="2"/>
  <c r="E8317" i="2"/>
  <c r="D8317" i="2"/>
  <c r="F8316" i="2"/>
  <c r="E8316" i="2"/>
  <c r="D8316" i="2"/>
  <c r="F8315" i="2"/>
  <c r="E8315" i="2"/>
  <c r="D8315" i="2"/>
  <c r="F8312" i="2"/>
  <c r="E8312" i="2"/>
  <c r="D8312" i="2"/>
  <c r="F8314" i="2"/>
  <c r="E8314" i="2"/>
  <c r="D8314" i="2"/>
  <c r="F8313" i="2"/>
  <c r="E8313" i="2"/>
  <c r="D8313" i="2"/>
  <c r="F8311" i="2"/>
  <c r="E8311" i="2"/>
  <c r="D8311" i="2"/>
  <c r="F8310" i="2"/>
  <c r="E8310" i="2"/>
  <c r="D8310" i="2"/>
  <c r="F8309" i="2"/>
  <c r="E8309" i="2"/>
  <c r="D8309" i="2"/>
  <c r="F8308" i="2"/>
  <c r="E8308" i="2"/>
  <c r="D8308" i="2"/>
  <c r="F8307" i="2"/>
  <c r="E8307" i="2"/>
  <c r="D8307" i="2"/>
  <c r="F8306" i="2"/>
  <c r="E8306" i="2"/>
  <c r="D8306" i="2"/>
  <c r="F8305" i="2"/>
  <c r="E8305" i="2"/>
  <c r="D8305" i="2"/>
  <c r="F8304" i="2"/>
  <c r="E8304" i="2"/>
  <c r="D8304" i="2"/>
  <c r="F8303" i="2"/>
  <c r="E8303" i="2"/>
  <c r="D8303" i="2"/>
  <c r="F8302" i="2"/>
  <c r="E8302" i="2"/>
  <c r="D8302" i="2"/>
  <c r="F8301" i="2"/>
  <c r="E8301" i="2"/>
  <c r="D8301" i="2"/>
  <c r="F8300" i="2"/>
  <c r="E8300" i="2"/>
  <c r="D8300" i="2"/>
  <c r="F8299" i="2"/>
  <c r="E8299" i="2"/>
  <c r="D8299" i="2"/>
  <c r="F8298" i="2"/>
  <c r="E8298" i="2"/>
  <c r="D8298" i="2"/>
  <c r="F8297" i="2"/>
  <c r="E8297" i="2"/>
  <c r="D8297" i="2"/>
  <c r="F8296" i="2"/>
  <c r="E8296" i="2"/>
  <c r="D8296" i="2"/>
  <c r="F8295" i="2"/>
  <c r="E8295" i="2"/>
  <c r="D8295" i="2"/>
  <c r="F8294" i="2"/>
  <c r="E8294" i="2"/>
  <c r="D8294" i="2"/>
  <c r="F8293" i="2"/>
  <c r="E8293" i="2"/>
  <c r="D8293" i="2"/>
  <c r="F8292" i="2"/>
  <c r="E8292" i="2"/>
  <c r="D8292" i="2"/>
  <c r="F8291" i="2"/>
  <c r="E8291" i="2"/>
  <c r="D8291" i="2"/>
  <c r="F8290" i="2"/>
  <c r="E8290" i="2"/>
  <c r="D8290" i="2"/>
  <c r="F8289" i="2"/>
  <c r="E8289" i="2"/>
  <c r="D8289" i="2"/>
  <c r="F8288" i="2"/>
  <c r="E8288" i="2"/>
  <c r="D8288" i="2"/>
  <c r="F9338" i="2"/>
  <c r="E9338" i="2"/>
  <c r="D9338" i="2"/>
  <c r="F9337" i="2"/>
  <c r="E9337" i="2"/>
  <c r="D9337" i="2"/>
  <c r="F9336" i="2"/>
  <c r="E9336" i="2"/>
  <c r="D9336" i="2"/>
  <c r="F9334" i="2"/>
  <c r="E9334" i="2"/>
  <c r="D9334" i="2"/>
  <c r="F9335" i="2"/>
  <c r="E9335" i="2"/>
  <c r="D9335" i="2"/>
  <c r="F9333" i="2"/>
  <c r="E9333" i="2"/>
  <c r="D9333" i="2"/>
  <c r="F9332" i="2"/>
  <c r="E9332" i="2"/>
  <c r="D9332" i="2"/>
  <c r="F9331" i="2"/>
  <c r="E9331" i="2"/>
  <c r="D9331" i="2"/>
  <c r="F9330" i="2"/>
  <c r="E9330" i="2"/>
  <c r="D9330" i="2"/>
  <c r="F9329" i="2"/>
  <c r="E9329" i="2"/>
  <c r="D9329" i="2"/>
  <c r="F9328" i="2"/>
  <c r="E9328" i="2"/>
  <c r="D9328" i="2"/>
  <c r="F9327" i="2"/>
  <c r="E9327" i="2"/>
  <c r="D9327" i="2"/>
  <c r="F9326" i="2"/>
  <c r="E9326" i="2"/>
  <c r="D9326" i="2"/>
  <c r="F9325" i="2"/>
  <c r="E9325" i="2"/>
  <c r="D9325" i="2"/>
  <c r="F10862" i="2"/>
  <c r="E10862" i="2"/>
  <c r="D10862" i="2"/>
  <c r="F10869" i="2"/>
  <c r="E10869" i="2"/>
  <c r="D10869" i="2"/>
  <c r="F10868" i="2"/>
  <c r="E10868" i="2"/>
  <c r="D10868" i="2"/>
  <c r="F10867" i="2"/>
  <c r="E10867" i="2"/>
  <c r="D10867" i="2"/>
  <c r="F10866" i="2"/>
  <c r="E10866" i="2"/>
  <c r="D10866" i="2"/>
  <c r="F10864" i="2"/>
  <c r="E10864" i="2"/>
  <c r="D10864" i="2"/>
  <c r="F10865" i="2"/>
  <c r="E10865" i="2"/>
  <c r="D10865" i="2"/>
  <c r="F10863" i="2"/>
  <c r="E10863" i="2"/>
  <c r="D10863" i="2"/>
  <c r="F9339" i="2"/>
  <c r="E9339" i="2"/>
  <c r="D9339" i="2"/>
  <c r="F16243" i="2"/>
  <c r="E16243" i="2"/>
  <c r="D16243" i="2"/>
  <c r="F16244" i="2"/>
  <c r="E16244" i="2"/>
  <c r="D16244" i="2"/>
  <c r="F12956" i="2"/>
  <c r="E12956" i="2"/>
  <c r="D12956" i="2"/>
  <c r="F12958" i="2"/>
  <c r="E12958" i="2"/>
  <c r="D12958" i="2"/>
  <c r="F12957" i="2"/>
  <c r="E12957" i="2"/>
  <c r="D12957" i="2"/>
  <c r="F4484" i="2"/>
  <c r="E4484" i="2"/>
  <c r="D4484" i="2"/>
  <c r="F4486" i="2"/>
  <c r="E4486" i="2"/>
  <c r="D4486" i="2"/>
  <c r="F4485" i="2"/>
  <c r="E4485" i="2"/>
  <c r="D4485" i="2"/>
  <c r="F4483" i="2"/>
  <c r="E4483" i="2"/>
  <c r="D4483" i="2"/>
  <c r="F12004" i="2"/>
  <c r="E12004" i="2"/>
  <c r="D12004" i="2"/>
  <c r="F13957" i="2"/>
  <c r="E13957" i="2"/>
  <c r="D13957" i="2"/>
  <c r="F13958" i="2"/>
  <c r="E13958" i="2"/>
  <c r="D13958" i="2"/>
  <c r="F3300" i="2"/>
  <c r="E3300" i="2"/>
  <c r="D3300" i="2"/>
  <c r="F3314" i="2"/>
  <c r="E3314" i="2"/>
  <c r="D3314" i="2"/>
  <c r="F3313" i="2"/>
  <c r="E3313" i="2"/>
  <c r="D3313" i="2"/>
  <c r="F3312" i="2"/>
  <c r="E3312" i="2"/>
  <c r="D3312" i="2"/>
  <c r="F3311" i="2"/>
  <c r="E3311" i="2"/>
  <c r="D3311" i="2"/>
  <c r="F3310" i="2"/>
  <c r="E3310" i="2"/>
  <c r="D3310" i="2"/>
  <c r="F3309" i="2"/>
  <c r="E3309" i="2"/>
  <c r="D3309" i="2"/>
  <c r="F3308" i="2"/>
  <c r="E3308" i="2"/>
  <c r="D3308" i="2"/>
  <c r="F3307" i="2"/>
  <c r="E3307" i="2"/>
  <c r="D3307" i="2"/>
  <c r="F3306" i="2"/>
  <c r="E3306" i="2"/>
  <c r="D3306" i="2"/>
  <c r="F3305" i="2"/>
  <c r="E3305" i="2"/>
  <c r="D3305" i="2"/>
  <c r="F3304" i="2"/>
  <c r="E3304" i="2"/>
  <c r="D3304" i="2"/>
  <c r="F3303" i="2"/>
  <c r="E3303" i="2"/>
  <c r="D3303" i="2"/>
  <c r="F3302" i="2"/>
  <c r="E3302" i="2"/>
  <c r="D3302" i="2"/>
  <c r="F3301" i="2"/>
  <c r="E3301" i="2"/>
  <c r="D3301" i="2"/>
  <c r="F1027" i="2"/>
  <c r="E1027" i="2"/>
  <c r="D1027" i="2"/>
  <c r="F1035" i="2"/>
  <c r="E1035" i="2"/>
  <c r="D1035" i="2"/>
  <c r="F1034" i="2"/>
  <c r="E1034" i="2"/>
  <c r="D1034" i="2"/>
  <c r="F1033" i="2"/>
  <c r="E1033" i="2"/>
  <c r="D1033" i="2"/>
  <c r="F1032" i="2"/>
  <c r="E1032" i="2"/>
  <c r="D1032" i="2"/>
  <c r="F1031" i="2"/>
  <c r="E1031" i="2"/>
  <c r="D1031" i="2"/>
  <c r="F1030" i="2"/>
  <c r="E1030" i="2"/>
  <c r="D1030" i="2"/>
  <c r="F1029" i="2"/>
  <c r="E1029" i="2"/>
  <c r="D1029" i="2"/>
  <c r="F1028" i="2"/>
  <c r="E1028" i="2"/>
  <c r="D1028" i="2"/>
  <c r="F3321" i="2"/>
  <c r="E3321" i="2"/>
  <c r="D3321" i="2"/>
  <c r="F3320" i="2"/>
  <c r="E3320" i="2"/>
  <c r="D3320" i="2"/>
  <c r="F3319" i="2"/>
  <c r="E3319" i="2"/>
  <c r="D3319" i="2"/>
  <c r="F3318" i="2"/>
  <c r="E3318" i="2"/>
  <c r="D3318" i="2"/>
  <c r="F3317" i="2"/>
  <c r="E3317" i="2"/>
  <c r="D3317" i="2"/>
  <c r="F3316" i="2"/>
  <c r="E3316" i="2"/>
  <c r="D3316" i="2"/>
  <c r="F3315" i="2"/>
  <c r="E3315" i="2"/>
  <c r="D3315" i="2"/>
  <c r="F1143" i="2"/>
  <c r="E1143" i="2"/>
  <c r="D1143" i="2"/>
  <c r="F1142" i="2"/>
  <c r="E1142" i="2"/>
  <c r="D1142" i="2"/>
  <c r="F1141" i="2"/>
  <c r="E1141" i="2"/>
  <c r="D1141" i="2"/>
  <c r="F1140" i="2"/>
  <c r="E1140" i="2"/>
  <c r="D1140" i="2"/>
  <c r="F1139" i="2"/>
  <c r="E1139" i="2"/>
  <c r="D1139" i="2"/>
  <c r="F1138" i="2"/>
  <c r="E1138" i="2"/>
  <c r="D1138" i="2"/>
  <c r="F1137" i="2"/>
  <c r="E1137" i="2"/>
  <c r="D1137" i="2"/>
  <c r="F1136" i="2"/>
  <c r="E1136" i="2"/>
  <c r="D1136" i="2"/>
  <c r="F1135" i="2"/>
  <c r="E1135" i="2"/>
  <c r="D1135" i="2"/>
  <c r="F1134" i="2"/>
  <c r="E1134" i="2"/>
  <c r="D1134" i="2"/>
  <c r="F1133" i="2"/>
  <c r="E1133" i="2"/>
  <c r="D1133" i="2"/>
  <c r="F5792" i="2"/>
  <c r="E5792" i="2"/>
  <c r="D5792" i="2"/>
  <c r="F6919" i="2"/>
  <c r="E6919" i="2"/>
  <c r="D6919" i="2"/>
  <c r="F6925" i="2"/>
  <c r="E6925" i="2"/>
  <c r="D6925" i="2"/>
  <c r="F6924" i="2"/>
  <c r="E6924" i="2"/>
  <c r="D6924" i="2"/>
  <c r="F6923" i="2"/>
  <c r="E6923" i="2"/>
  <c r="D6923" i="2"/>
  <c r="F6922" i="2"/>
  <c r="E6922" i="2"/>
  <c r="D6922" i="2"/>
  <c r="F6921" i="2"/>
  <c r="E6921" i="2"/>
  <c r="D6921" i="2"/>
  <c r="F6920" i="2"/>
  <c r="E6920" i="2"/>
  <c r="D6920" i="2"/>
  <c r="F1254" i="2"/>
  <c r="E1254" i="2"/>
  <c r="D1254" i="2"/>
  <c r="F1272" i="2"/>
  <c r="E1272" i="2"/>
  <c r="D1272" i="2"/>
  <c r="F1271" i="2"/>
  <c r="E1271" i="2"/>
  <c r="D1271" i="2"/>
  <c r="F1270" i="2"/>
  <c r="E1270" i="2"/>
  <c r="D1270" i="2"/>
  <c r="F1268" i="2"/>
  <c r="E1268" i="2"/>
  <c r="D1268" i="2"/>
  <c r="F1269" i="2"/>
  <c r="E1269" i="2"/>
  <c r="D1269" i="2"/>
  <c r="F1267" i="2"/>
  <c r="E1267" i="2"/>
  <c r="D1267" i="2"/>
  <c r="F1266" i="2"/>
  <c r="E1266" i="2"/>
  <c r="D1266" i="2"/>
  <c r="F1263" i="2"/>
  <c r="E1263" i="2"/>
  <c r="D1263" i="2"/>
  <c r="F1265" i="2"/>
  <c r="E1265" i="2"/>
  <c r="D1265" i="2"/>
  <c r="F1264" i="2"/>
  <c r="E1264" i="2"/>
  <c r="D1264" i="2"/>
  <c r="F1262" i="2"/>
  <c r="E1262" i="2"/>
  <c r="D1262" i="2"/>
  <c r="F1261" i="2"/>
  <c r="E1261" i="2"/>
  <c r="D1261" i="2"/>
  <c r="F1260" i="2"/>
  <c r="E1260" i="2"/>
  <c r="D1260" i="2"/>
  <c r="F1259" i="2"/>
  <c r="E1259" i="2"/>
  <c r="D1259" i="2"/>
  <c r="F1258" i="2"/>
  <c r="E1258" i="2"/>
  <c r="D1258" i="2"/>
  <c r="F1257" i="2"/>
  <c r="E1257" i="2"/>
  <c r="D1257" i="2"/>
  <c r="F1256" i="2"/>
  <c r="E1256" i="2"/>
  <c r="D1256" i="2"/>
  <c r="F1255" i="2"/>
  <c r="E1255" i="2"/>
  <c r="D1255" i="2"/>
  <c r="F3330" i="2"/>
  <c r="E3330" i="2"/>
  <c r="D3330" i="2"/>
  <c r="F3345" i="2"/>
  <c r="E3345" i="2"/>
  <c r="D3345" i="2"/>
  <c r="F3344" i="2"/>
  <c r="E3344" i="2"/>
  <c r="D3344" i="2"/>
  <c r="F3343" i="2"/>
  <c r="E3343" i="2"/>
  <c r="D3343" i="2"/>
  <c r="F3342" i="2"/>
  <c r="E3342" i="2"/>
  <c r="D3342" i="2"/>
  <c r="F3341" i="2"/>
  <c r="E3341" i="2"/>
  <c r="D3341" i="2"/>
  <c r="F3340" i="2"/>
  <c r="E3340" i="2"/>
  <c r="D3340" i="2"/>
  <c r="F3339" i="2"/>
  <c r="E3339" i="2"/>
  <c r="D3339" i="2"/>
  <c r="F3338" i="2"/>
  <c r="E3338" i="2"/>
  <c r="D3338" i="2"/>
  <c r="F3337" i="2"/>
  <c r="E3337" i="2"/>
  <c r="D3337" i="2"/>
  <c r="F3336" i="2"/>
  <c r="E3336" i="2"/>
  <c r="D3336" i="2"/>
  <c r="F3335" i="2"/>
  <c r="E3335" i="2"/>
  <c r="D3335" i="2"/>
  <c r="F3334" i="2"/>
  <c r="E3334" i="2"/>
  <c r="D3334" i="2"/>
  <c r="F3333" i="2"/>
  <c r="E3333" i="2"/>
  <c r="D3333" i="2"/>
  <c r="F3332" i="2"/>
  <c r="E3332" i="2"/>
  <c r="D3332" i="2"/>
  <c r="F3331" i="2"/>
  <c r="E3331" i="2"/>
  <c r="D3331" i="2"/>
  <c r="F891" i="2"/>
  <c r="E891" i="2"/>
  <c r="D891" i="2"/>
  <c r="F903" i="2"/>
  <c r="E903" i="2"/>
  <c r="D903" i="2"/>
  <c r="F902" i="2"/>
  <c r="E902" i="2"/>
  <c r="D902" i="2"/>
  <c r="F901" i="2"/>
  <c r="E901" i="2"/>
  <c r="D901" i="2"/>
  <c r="F900" i="2"/>
  <c r="E900" i="2"/>
  <c r="D900" i="2"/>
  <c r="F899" i="2"/>
  <c r="E899" i="2"/>
  <c r="D899" i="2"/>
  <c r="F898" i="2"/>
  <c r="E898" i="2"/>
  <c r="D898" i="2"/>
  <c r="F897" i="2"/>
  <c r="E897" i="2"/>
  <c r="D897" i="2"/>
  <c r="F896" i="2"/>
  <c r="E896" i="2"/>
  <c r="D896" i="2"/>
  <c r="F895" i="2"/>
  <c r="E895" i="2"/>
  <c r="D895" i="2"/>
  <c r="F894" i="2"/>
  <c r="E894" i="2"/>
  <c r="D894" i="2"/>
  <c r="F893" i="2"/>
  <c r="E893" i="2"/>
  <c r="D893" i="2"/>
  <c r="F892" i="2"/>
  <c r="E892" i="2"/>
  <c r="D892" i="2"/>
  <c r="F3322" i="2"/>
  <c r="E3322" i="2"/>
  <c r="D3322" i="2"/>
  <c r="F3329" i="2"/>
  <c r="E3329" i="2"/>
  <c r="D3329" i="2"/>
  <c r="F3328" i="2"/>
  <c r="E3328" i="2"/>
  <c r="D3328" i="2"/>
  <c r="F3327" i="2"/>
  <c r="E3327" i="2"/>
  <c r="D3327" i="2"/>
  <c r="F3326" i="2"/>
  <c r="E3326" i="2"/>
  <c r="D3326" i="2"/>
  <c r="F3325" i="2"/>
  <c r="E3325" i="2"/>
  <c r="D3325" i="2"/>
  <c r="F3324" i="2"/>
  <c r="E3324" i="2"/>
  <c r="D3324" i="2"/>
  <c r="F3323" i="2"/>
  <c r="E3323" i="2"/>
  <c r="D3323" i="2"/>
  <c r="F6367" i="2"/>
  <c r="E6367" i="2"/>
  <c r="D6367" i="2"/>
  <c r="F6375" i="2"/>
  <c r="E6375" i="2"/>
  <c r="D6375" i="2"/>
  <c r="F6374" i="2"/>
  <c r="E6374" i="2"/>
  <c r="D6374" i="2"/>
  <c r="F6373" i="2"/>
  <c r="E6373" i="2"/>
  <c r="D6373" i="2"/>
  <c r="F6372" i="2"/>
  <c r="E6372" i="2"/>
  <c r="D6372" i="2"/>
  <c r="F6371" i="2"/>
  <c r="E6371" i="2"/>
  <c r="D6371" i="2"/>
  <c r="F6370" i="2"/>
  <c r="E6370" i="2"/>
  <c r="D6370" i="2"/>
  <c r="F6369" i="2"/>
  <c r="E6369" i="2"/>
  <c r="D6369" i="2"/>
  <c r="F6368" i="2"/>
  <c r="E6368" i="2"/>
  <c r="D6368" i="2"/>
  <c r="F671" i="2"/>
  <c r="E671" i="2"/>
  <c r="D671" i="2"/>
  <c r="F682" i="2"/>
  <c r="E682" i="2"/>
  <c r="D682" i="2"/>
  <c r="F681" i="2"/>
  <c r="E681" i="2"/>
  <c r="D681" i="2"/>
  <c r="F680" i="2"/>
  <c r="E680" i="2"/>
  <c r="D680" i="2"/>
  <c r="F679" i="2"/>
  <c r="E679" i="2"/>
  <c r="D679" i="2"/>
  <c r="F678" i="2"/>
  <c r="E678" i="2"/>
  <c r="D678" i="2"/>
  <c r="F677" i="2"/>
  <c r="E677" i="2"/>
  <c r="D677" i="2"/>
  <c r="F676" i="2"/>
  <c r="E676" i="2"/>
  <c r="D676" i="2"/>
  <c r="F675" i="2"/>
  <c r="E675" i="2"/>
  <c r="D675" i="2"/>
  <c r="F674" i="2"/>
  <c r="E674" i="2"/>
  <c r="D674" i="2"/>
  <c r="F673" i="2"/>
  <c r="E673" i="2"/>
  <c r="D673" i="2"/>
  <c r="F672" i="2"/>
  <c r="E672" i="2"/>
  <c r="D672" i="2"/>
  <c r="F9814" i="2"/>
  <c r="E9814" i="2"/>
  <c r="D9814" i="2"/>
  <c r="F9813" i="2"/>
  <c r="E9813" i="2"/>
  <c r="D9813" i="2"/>
  <c r="F12522" i="2"/>
  <c r="E12522" i="2"/>
  <c r="D12522" i="2"/>
  <c r="F12523" i="2"/>
  <c r="E12523" i="2"/>
  <c r="D12523" i="2"/>
  <c r="F6982" i="2"/>
  <c r="E6982" i="2"/>
  <c r="D6982" i="2"/>
  <c r="F6988" i="2"/>
  <c r="E6988" i="2"/>
  <c r="D6988" i="2"/>
  <c r="F6987" i="2"/>
  <c r="E6987" i="2"/>
  <c r="D6987" i="2"/>
  <c r="F6986" i="2"/>
  <c r="E6986" i="2"/>
  <c r="D6986" i="2"/>
  <c r="F6985" i="2"/>
  <c r="E6985" i="2"/>
  <c r="D6985" i="2"/>
  <c r="F6984" i="2"/>
  <c r="E6984" i="2"/>
  <c r="D6984" i="2"/>
  <c r="F6983" i="2"/>
  <c r="E6983" i="2"/>
  <c r="D6983" i="2"/>
  <c r="F9792" i="2"/>
  <c r="E9792" i="2"/>
  <c r="D9792" i="2"/>
  <c r="F9812" i="2"/>
  <c r="E9812" i="2"/>
  <c r="D9812" i="2"/>
  <c r="F9811" i="2"/>
  <c r="E9811" i="2"/>
  <c r="D9811" i="2"/>
  <c r="F9810" i="2"/>
  <c r="E9810" i="2"/>
  <c r="D9810" i="2"/>
  <c r="F9809" i="2"/>
  <c r="E9809" i="2"/>
  <c r="D9809" i="2"/>
  <c r="F9808" i="2"/>
  <c r="E9808" i="2"/>
  <c r="D9808" i="2"/>
  <c r="F9807" i="2"/>
  <c r="E9807" i="2"/>
  <c r="D9807" i="2"/>
  <c r="F9806" i="2"/>
  <c r="E9806" i="2"/>
  <c r="D9806" i="2"/>
  <c r="F9805" i="2"/>
  <c r="E9805" i="2"/>
  <c r="D9805" i="2"/>
  <c r="F9804" i="2"/>
  <c r="E9804" i="2"/>
  <c r="D9804" i="2"/>
  <c r="F9803" i="2"/>
  <c r="E9803" i="2"/>
  <c r="D9803" i="2"/>
  <c r="F9802" i="2"/>
  <c r="E9802" i="2"/>
  <c r="D9802" i="2"/>
  <c r="F9801" i="2"/>
  <c r="E9801" i="2"/>
  <c r="D9801" i="2"/>
  <c r="F9800" i="2"/>
  <c r="E9800" i="2"/>
  <c r="D9800" i="2"/>
  <c r="F9799" i="2"/>
  <c r="E9799" i="2"/>
  <c r="D9799" i="2"/>
  <c r="F9798" i="2"/>
  <c r="E9798" i="2"/>
  <c r="D9798" i="2"/>
  <c r="F9797" i="2"/>
  <c r="E9797" i="2"/>
  <c r="D9797" i="2"/>
  <c r="F9796" i="2"/>
  <c r="E9796" i="2"/>
  <c r="D9796" i="2"/>
  <c r="F9795" i="2"/>
  <c r="E9795" i="2"/>
  <c r="D9795" i="2"/>
  <c r="F9794" i="2"/>
  <c r="E9794" i="2"/>
  <c r="D9794" i="2"/>
  <c r="F9793" i="2"/>
  <c r="E9793" i="2"/>
  <c r="D9793" i="2"/>
  <c r="F9394" i="2"/>
  <c r="E9394" i="2"/>
  <c r="D9394" i="2"/>
  <c r="F4568" i="2"/>
  <c r="E4568" i="2"/>
  <c r="D4568" i="2"/>
  <c r="F4567" i="2"/>
  <c r="E4567" i="2"/>
  <c r="D4567" i="2"/>
  <c r="F3257" i="2"/>
  <c r="E3257" i="2"/>
  <c r="D3257" i="2"/>
  <c r="F3256" i="2"/>
  <c r="E3256" i="2"/>
  <c r="D3256" i="2"/>
  <c r="F3255" i="2"/>
  <c r="E3255" i="2"/>
  <c r="D3255" i="2"/>
  <c r="F3254" i="2"/>
  <c r="E3254" i="2"/>
  <c r="D3254" i="2"/>
  <c r="F3253" i="2"/>
  <c r="E3253" i="2"/>
  <c r="D3253" i="2"/>
  <c r="F3252" i="2"/>
  <c r="E3252" i="2"/>
  <c r="D3252" i="2"/>
  <c r="F3251" i="2"/>
  <c r="E3251" i="2"/>
  <c r="D3251" i="2"/>
  <c r="F3250" i="2"/>
  <c r="E3250" i="2"/>
  <c r="D3250" i="2"/>
  <c r="F153" i="2"/>
  <c r="E153" i="2"/>
  <c r="D153" i="2"/>
  <c r="F3351" i="2"/>
  <c r="E3351" i="2"/>
  <c r="D3351" i="2"/>
  <c r="F3350" i="2"/>
  <c r="E3350" i="2"/>
  <c r="D3350" i="2"/>
  <c r="F3349" i="2"/>
  <c r="E3349" i="2"/>
  <c r="D3349" i="2"/>
  <c r="F3348" i="2"/>
  <c r="E3348" i="2"/>
  <c r="D3348" i="2"/>
  <c r="F3347" i="2"/>
  <c r="E3347" i="2"/>
  <c r="D3347" i="2"/>
  <c r="F3346" i="2"/>
  <c r="E3346" i="2"/>
  <c r="D3346" i="2"/>
  <c r="F4384" i="2"/>
  <c r="E4384" i="2"/>
  <c r="D4384" i="2"/>
  <c r="F4387" i="2"/>
  <c r="E4387" i="2"/>
  <c r="D4387" i="2"/>
  <c r="F4386" i="2"/>
  <c r="E4386" i="2"/>
  <c r="D4386" i="2"/>
  <c r="F4385" i="2"/>
  <c r="E4385" i="2"/>
  <c r="D4385" i="2"/>
  <c r="F11536" i="2"/>
  <c r="E11536" i="2"/>
  <c r="D11536" i="2"/>
  <c r="F9876" i="2"/>
  <c r="E9876" i="2"/>
  <c r="D9876" i="2"/>
  <c r="F9875" i="2"/>
  <c r="E9875" i="2"/>
  <c r="D9875" i="2"/>
  <c r="F9874" i="2"/>
  <c r="E9874" i="2"/>
  <c r="D9874" i="2"/>
  <c r="F9873" i="2"/>
  <c r="E9873" i="2"/>
  <c r="D9873" i="2"/>
  <c r="F9872" i="2"/>
  <c r="E9872" i="2"/>
  <c r="D9872" i="2"/>
  <c r="F9871" i="2"/>
  <c r="E9871" i="2"/>
  <c r="D9871" i="2"/>
  <c r="F9870" i="2"/>
  <c r="E9870" i="2"/>
  <c r="D9870" i="2"/>
  <c r="F9869" i="2"/>
  <c r="E9869" i="2"/>
  <c r="D9869" i="2"/>
  <c r="F9868" i="2"/>
  <c r="E9868" i="2"/>
  <c r="D9868" i="2"/>
  <c r="F9867" i="2"/>
  <c r="E9867" i="2"/>
  <c r="D9867" i="2"/>
  <c r="F9866" i="2"/>
  <c r="E9866" i="2"/>
  <c r="D9866" i="2"/>
  <c r="F9865" i="2"/>
  <c r="E9865" i="2"/>
  <c r="D9865" i="2"/>
  <c r="F9864" i="2"/>
  <c r="E9864" i="2"/>
  <c r="D9864" i="2"/>
  <c r="F9863" i="2"/>
  <c r="E9863" i="2"/>
  <c r="D9863" i="2"/>
  <c r="F9862" i="2"/>
  <c r="E9862" i="2"/>
  <c r="D9862" i="2"/>
  <c r="F9861" i="2"/>
  <c r="E9861" i="2"/>
  <c r="D9861" i="2"/>
  <c r="F9860" i="2"/>
  <c r="E9860" i="2"/>
  <c r="D9860" i="2"/>
  <c r="F9859" i="2"/>
  <c r="E9859" i="2"/>
  <c r="D9859" i="2"/>
  <c r="F9858" i="2"/>
  <c r="E9858" i="2"/>
  <c r="D9858" i="2"/>
  <c r="F9857" i="2"/>
  <c r="E9857" i="2"/>
  <c r="D9857" i="2"/>
  <c r="F9856" i="2"/>
  <c r="E9856" i="2"/>
  <c r="D9856" i="2"/>
  <c r="F9855" i="2"/>
  <c r="E9855" i="2"/>
  <c r="D9855" i="2"/>
  <c r="F9854" i="2"/>
  <c r="E9854" i="2"/>
  <c r="D9854" i="2"/>
  <c r="F9853" i="2"/>
  <c r="E9853" i="2"/>
  <c r="D9853" i="2"/>
  <c r="F9852" i="2"/>
  <c r="E9852" i="2"/>
  <c r="D9852" i="2"/>
  <c r="F9851" i="2"/>
  <c r="E9851" i="2"/>
  <c r="D9851" i="2"/>
  <c r="F9850" i="2"/>
  <c r="E9850" i="2"/>
  <c r="D9850" i="2"/>
  <c r="F8521" i="2"/>
  <c r="E8521" i="2"/>
  <c r="D8521" i="2"/>
  <c r="F8530" i="2"/>
  <c r="E8530" i="2"/>
  <c r="D8530" i="2"/>
  <c r="F8529" i="2"/>
  <c r="E8529" i="2"/>
  <c r="D8529" i="2"/>
  <c r="F8528" i="2"/>
  <c r="E8528" i="2"/>
  <c r="D8528" i="2"/>
  <c r="F8527" i="2"/>
  <c r="E8527" i="2"/>
  <c r="D8527" i="2"/>
  <c r="F8526" i="2"/>
  <c r="E8526" i="2"/>
  <c r="D8526" i="2"/>
  <c r="F8525" i="2"/>
  <c r="E8525" i="2"/>
  <c r="D8525" i="2"/>
  <c r="F8524" i="2"/>
  <c r="E8524" i="2"/>
  <c r="D8524" i="2"/>
  <c r="F8523" i="2"/>
  <c r="E8523" i="2"/>
  <c r="D8523" i="2"/>
  <c r="F8522" i="2"/>
  <c r="E8522" i="2"/>
  <c r="D8522" i="2"/>
  <c r="F15596" i="2"/>
  <c r="E15596" i="2"/>
  <c r="D15596" i="2"/>
  <c r="F15597" i="2"/>
  <c r="E15597" i="2"/>
  <c r="D15597" i="2"/>
  <c r="F3758" i="2"/>
  <c r="E3758" i="2"/>
  <c r="D3758" i="2"/>
  <c r="F3776" i="2"/>
  <c r="E3776" i="2"/>
  <c r="D3776" i="2"/>
  <c r="F3775" i="2"/>
  <c r="E3775" i="2"/>
  <c r="D3775" i="2"/>
  <c r="F3772" i="2"/>
  <c r="E3772" i="2"/>
  <c r="D3772" i="2"/>
  <c r="F3774" i="2"/>
  <c r="E3774" i="2"/>
  <c r="D3774" i="2"/>
  <c r="F3773" i="2"/>
  <c r="E3773" i="2"/>
  <c r="D3773" i="2"/>
  <c r="F3771" i="2"/>
  <c r="E3771" i="2"/>
  <c r="D3771" i="2"/>
  <c r="F3770" i="2"/>
  <c r="E3770" i="2"/>
  <c r="D3770" i="2"/>
  <c r="F3769" i="2"/>
  <c r="E3769" i="2"/>
  <c r="D3769" i="2"/>
  <c r="F3768" i="2"/>
  <c r="E3768" i="2"/>
  <c r="D3768" i="2"/>
  <c r="F3767" i="2"/>
  <c r="E3767" i="2"/>
  <c r="D3767" i="2"/>
  <c r="F3766" i="2"/>
  <c r="E3766" i="2"/>
  <c r="D3766" i="2"/>
  <c r="F3765" i="2"/>
  <c r="E3765" i="2"/>
  <c r="D3765" i="2"/>
  <c r="F3764" i="2"/>
  <c r="E3764" i="2"/>
  <c r="D3764" i="2"/>
  <c r="F3763" i="2"/>
  <c r="E3763" i="2"/>
  <c r="D3763" i="2"/>
  <c r="F3762" i="2"/>
  <c r="E3762" i="2"/>
  <c r="D3762" i="2"/>
  <c r="F3761" i="2"/>
  <c r="E3761" i="2"/>
  <c r="D3761" i="2"/>
  <c r="F3760" i="2"/>
  <c r="E3760" i="2"/>
  <c r="D3760" i="2"/>
  <c r="F3759" i="2"/>
  <c r="E3759" i="2"/>
  <c r="D3759" i="2"/>
  <c r="F1353" i="2"/>
  <c r="E1353" i="2"/>
  <c r="D1353" i="2"/>
  <c r="F1369" i="2"/>
  <c r="E1369" i="2"/>
  <c r="D1369" i="2"/>
  <c r="F1368" i="2"/>
  <c r="E1368" i="2"/>
  <c r="D1368" i="2"/>
  <c r="F1367" i="2"/>
  <c r="E1367" i="2"/>
  <c r="D1367" i="2"/>
  <c r="F1366" i="2"/>
  <c r="E1366" i="2"/>
  <c r="D1366" i="2"/>
  <c r="F1365" i="2"/>
  <c r="E1365" i="2"/>
  <c r="D1365" i="2"/>
  <c r="F1364" i="2"/>
  <c r="E1364" i="2"/>
  <c r="D1364" i="2"/>
  <c r="F1363" i="2"/>
  <c r="E1363" i="2"/>
  <c r="D1363" i="2"/>
  <c r="F1362" i="2"/>
  <c r="E1362" i="2"/>
  <c r="D1362" i="2"/>
  <c r="F1361" i="2"/>
  <c r="E1361" i="2"/>
  <c r="D1361" i="2"/>
  <c r="F1360" i="2"/>
  <c r="E1360" i="2"/>
  <c r="D1360" i="2"/>
  <c r="F1359" i="2"/>
  <c r="E1359" i="2"/>
  <c r="D1359" i="2"/>
  <c r="F1358" i="2"/>
  <c r="E1358" i="2"/>
  <c r="D1358" i="2"/>
  <c r="F1357" i="2"/>
  <c r="E1357" i="2"/>
  <c r="D1357" i="2"/>
  <c r="F1356" i="2"/>
  <c r="E1356" i="2"/>
  <c r="D1356" i="2"/>
  <c r="F1355" i="2"/>
  <c r="E1355" i="2"/>
  <c r="D1355" i="2"/>
  <c r="F1354" i="2"/>
  <c r="E1354" i="2"/>
  <c r="D1354" i="2"/>
  <c r="F3923" i="2"/>
  <c r="E3923" i="2"/>
  <c r="D3923" i="2"/>
  <c r="F3922" i="2"/>
  <c r="E3922" i="2"/>
  <c r="D3922" i="2"/>
  <c r="F3921" i="2"/>
  <c r="E3921" i="2"/>
  <c r="D3921" i="2"/>
  <c r="F3920" i="2"/>
  <c r="E3920" i="2"/>
  <c r="D3920" i="2"/>
  <c r="F10995" i="2"/>
  <c r="E10995" i="2"/>
  <c r="D10995" i="2"/>
  <c r="F11004" i="2"/>
  <c r="E11004" i="2"/>
  <c r="D11004" i="2"/>
  <c r="F11003" i="2"/>
  <c r="E11003" i="2"/>
  <c r="D11003" i="2"/>
  <c r="F11002" i="2"/>
  <c r="E11002" i="2"/>
  <c r="D11002" i="2"/>
  <c r="F11001" i="2"/>
  <c r="E11001" i="2"/>
  <c r="D11001" i="2"/>
  <c r="F11000" i="2"/>
  <c r="E11000" i="2"/>
  <c r="D11000" i="2"/>
  <c r="F10999" i="2"/>
  <c r="E10999" i="2"/>
  <c r="D10999" i="2"/>
  <c r="F10998" i="2"/>
  <c r="E10998" i="2"/>
  <c r="D10998" i="2"/>
  <c r="F10997" i="2"/>
  <c r="E10997" i="2"/>
  <c r="D10997" i="2"/>
  <c r="F10996" i="2"/>
  <c r="E10996" i="2"/>
  <c r="D10996" i="2"/>
  <c r="F5069" i="2"/>
  <c r="E5069" i="2"/>
  <c r="D5069" i="2"/>
  <c r="F5068" i="2"/>
  <c r="E5068" i="2"/>
  <c r="D5068" i="2"/>
  <c r="F5067" i="2"/>
  <c r="E5067" i="2"/>
  <c r="D5067" i="2"/>
  <c r="F5066" i="2"/>
  <c r="E5066" i="2"/>
  <c r="D5066" i="2"/>
  <c r="F5065" i="2"/>
  <c r="E5065" i="2"/>
  <c r="D5065" i="2"/>
  <c r="F5064" i="2"/>
  <c r="E5064" i="2"/>
  <c r="D5064" i="2"/>
  <c r="F5063" i="2"/>
  <c r="E5063" i="2"/>
  <c r="D5063" i="2"/>
  <c r="F5062" i="2"/>
  <c r="E5062" i="2"/>
  <c r="D5062" i="2"/>
  <c r="F5061" i="2"/>
  <c r="E5061" i="2"/>
  <c r="D5061" i="2"/>
  <c r="F5060" i="2"/>
  <c r="E5060" i="2"/>
  <c r="D5060" i="2"/>
  <c r="F5059" i="2"/>
  <c r="E5059" i="2"/>
  <c r="D5059" i="2"/>
  <c r="F5058" i="2"/>
  <c r="E5058" i="2"/>
  <c r="D5058" i="2"/>
  <c r="F5057" i="2"/>
  <c r="E5057" i="2"/>
  <c r="D5057" i="2"/>
  <c r="F14380" i="2"/>
  <c r="E14380" i="2"/>
  <c r="D14380" i="2"/>
  <c r="F14396" i="2"/>
  <c r="E14396" i="2"/>
  <c r="D14396" i="2"/>
  <c r="F14395" i="2"/>
  <c r="E14395" i="2"/>
  <c r="D14395" i="2"/>
  <c r="F14394" i="2"/>
  <c r="E14394" i="2"/>
  <c r="D14394" i="2"/>
  <c r="F14393" i="2"/>
  <c r="E14393" i="2"/>
  <c r="D14393" i="2"/>
  <c r="F14392" i="2"/>
  <c r="E14392" i="2"/>
  <c r="D14392" i="2"/>
  <c r="F14391" i="2"/>
  <c r="E14391" i="2"/>
  <c r="D14391" i="2"/>
  <c r="F14390" i="2"/>
  <c r="E14390" i="2"/>
  <c r="D14390" i="2"/>
  <c r="F14389" i="2"/>
  <c r="E14389" i="2"/>
  <c r="D14389" i="2"/>
  <c r="F14388" i="2"/>
  <c r="E14388" i="2"/>
  <c r="D14388" i="2"/>
  <c r="F14387" i="2"/>
  <c r="E14387" i="2"/>
  <c r="D14387" i="2"/>
  <c r="F14386" i="2"/>
  <c r="E14386" i="2"/>
  <c r="D14386" i="2"/>
  <c r="F14385" i="2"/>
  <c r="E14385" i="2"/>
  <c r="D14385" i="2"/>
  <c r="F14384" i="2"/>
  <c r="E14384" i="2"/>
  <c r="D14384" i="2"/>
  <c r="F14383" i="2"/>
  <c r="E14383" i="2"/>
  <c r="D14383" i="2"/>
  <c r="F14382" i="2"/>
  <c r="E14382" i="2"/>
  <c r="D14382" i="2"/>
  <c r="F14381" i="2"/>
  <c r="E14381" i="2"/>
  <c r="D14381" i="2"/>
  <c r="F1400" i="2"/>
  <c r="E1400" i="2"/>
  <c r="D1400" i="2"/>
  <c r="F1399" i="2"/>
  <c r="E1399" i="2"/>
  <c r="D1399" i="2"/>
  <c r="F1398" i="2"/>
  <c r="E1398" i="2"/>
  <c r="D1398" i="2"/>
  <c r="F1397" i="2"/>
  <c r="E1397" i="2"/>
  <c r="D1397" i="2"/>
  <c r="F1396" i="2"/>
  <c r="E1396" i="2"/>
  <c r="D1396" i="2"/>
  <c r="F1395" i="2"/>
  <c r="E1395" i="2"/>
  <c r="D1395" i="2"/>
  <c r="F1394" i="2"/>
  <c r="E1394" i="2"/>
  <c r="D1394" i="2"/>
  <c r="F1393" i="2"/>
  <c r="E1393" i="2"/>
  <c r="D1393" i="2"/>
  <c r="F1392" i="2"/>
  <c r="E1392" i="2"/>
  <c r="D1392" i="2"/>
  <c r="F1391" i="2"/>
  <c r="E1391" i="2"/>
  <c r="D1391" i="2"/>
  <c r="F1390" i="2"/>
  <c r="E1390" i="2"/>
  <c r="D1390" i="2"/>
  <c r="F1389" i="2"/>
  <c r="E1389" i="2"/>
  <c r="D1389" i="2"/>
  <c r="F1388" i="2"/>
  <c r="E1388" i="2"/>
  <c r="D1388" i="2"/>
  <c r="F1387" i="2"/>
  <c r="E1387" i="2"/>
  <c r="D1387" i="2"/>
  <c r="F1386" i="2"/>
  <c r="E1386" i="2"/>
  <c r="D1386" i="2"/>
  <c r="F1385" i="2"/>
  <c r="E1385" i="2"/>
  <c r="D1385" i="2"/>
  <c r="F1384" i="2"/>
  <c r="E1384" i="2"/>
  <c r="D1384" i="2"/>
  <c r="F1383" i="2"/>
  <c r="E1383" i="2"/>
  <c r="D1383" i="2"/>
  <c r="F1382" i="2"/>
  <c r="E1382" i="2"/>
  <c r="D1382" i="2"/>
  <c r="F1381" i="2"/>
  <c r="E1381" i="2"/>
  <c r="D1381" i="2"/>
  <c r="F1380" i="2"/>
  <c r="E1380" i="2"/>
  <c r="D1380" i="2"/>
  <c r="F13215" i="2"/>
  <c r="E13215" i="2"/>
  <c r="D13215" i="2"/>
  <c r="F13222" i="2"/>
  <c r="E13222" i="2"/>
  <c r="D13222" i="2"/>
  <c r="F13221" i="2"/>
  <c r="E13221" i="2"/>
  <c r="D13221" i="2"/>
  <c r="F13220" i="2"/>
  <c r="E13220" i="2"/>
  <c r="D13220" i="2"/>
  <c r="F13219" i="2"/>
  <c r="E13219" i="2"/>
  <c r="D13219" i="2"/>
  <c r="F13218" i="2"/>
  <c r="E13218" i="2"/>
  <c r="D13218" i="2"/>
  <c r="F13217" i="2"/>
  <c r="E13217" i="2"/>
  <c r="D13217" i="2"/>
  <c r="F13216" i="2"/>
  <c r="E13216" i="2"/>
  <c r="D13216" i="2"/>
  <c r="F11513" i="2"/>
  <c r="E11513" i="2"/>
  <c r="D11513" i="2"/>
  <c r="F11511" i="2"/>
  <c r="E11511" i="2"/>
  <c r="D11511" i="2"/>
  <c r="F11512" i="2"/>
  <c r="E11512" i="2"/>
  <c r="D11512" i="2"/>
  <c r="F11510" i="2"/>
  <c r="E11510" i="2"/>
  <c r="D11510" i="2"/>
  <c r="F1411" i="2"/>
  <c r="E1411" i="2"/>
  <c r="D1411" i="2"/>
  <c r="F1410" i="2"/>
  <c r="E1410" i="2"/>
  <c r="D1410" i="2"/>
  <c r="F1409" i="2"/>
  <c r="E1409" i="2"/>
  <c r="D1409" i="2"/>
  <c r="F1408" i="2"/>
  <c r="E1408" i="2"/>
  <c r="D1408" i="2"/>
  <c r="F1407" i="2"/>
  <c r="E1407" i="2"/>
  <c r="D1407" i="2"/>
  <c r="F1406" i="2"/>
  <c r="E1406" i="2"/>
  <c r="D1406" i="2"/>
  <c r="F1405" i="2"/>
  <c r="E1405" i="2"/>
  <c r="D1405" i="2"/>
  <c r="F1404" i="2"/>
  <c r="E1404" i="2"/>
  <c r="D1404" i="2"/>
  <c r="F1403" i="2"/>
  <c r="E1403" i="2"/>
  <c r="D1403" i="2"/>
  <c r="F4579" i="2"/>
  <c r="E4579" i="2"/>
  <c r="D4579" i="2"/>
  <c r="F4603" i="2"/>
  <c r="E4603" i="2"/>
  <c r="D4603" i="2"/>
  <c r="F4602" i="2"/>
  <c r="E4602" i="2"/>
  <c r="D4602" i="2"/>
  <c r="F4601" i="2"/>
  <c r="E4601" i="2"/>
  <c r="D4601" i="2"/>
  <c r="F4600" i="2"/>
  <c r="E4600" i="2"/>
  <c r="D4600" i="2"/>
  <c r="F4599" i="2"/>
  <c r="E4599" i="2"/>
  <c r="D4599" i="2"/>
  <c r="F4598" i="2"/>
  <c r="E4598" i="2"/>
  <c r="D4598" i="2"/>
  <c r="F4597" i="2"/>
  <c r="E4597" i="2"/>
  <c r="D4597" i="2"/>
  <c r="F4596" i="2"/>
  <c r="E4596" i="2"/>
  <c r="D4596" i="2"/>
  <c r="F4595" i="2"/>
  <c r="E4595" i="2"/>
  <c r="D4595" i="2"/>
  <c r="F4594" i="2"/>
  <c r="E4594" i="2"/>
  <c r="D4594" i="2"/>
  <c r="F4593" i="2"/>
  <c r="E4593" i="2"/>
  <c r="D4593" i="2"/>
  <c r="F4592" i="2"/>
  <c r="E4592" i="2"/>
  <c r="D4592" i="2"/>
  <c r="F4591" i="2"/>
  <c r="E4591" i="2"/>
  <c r="D4591" i="2"/>
  <c r="F4590" i="2"/>
  <c r="E4590" i="2"/>
  <c r="D4590" i="2"/>
  <c r="F4589" i="2"/>
  <c r="E4589" i="2"/>
  <c r="D4589" i="2"/>
  <c r="F4588" i="2"/>
  <c r="E4588" i="2"/>
  <c r="D4588" i="2"/>
  <c r="F4587" i="2"/>
  <c r="E4587" i="2"/>
  <c r="D4587" i="2"/>
  <c r="F4586" i="2"/>
  <c r="E4586" i="2"/>
  <c r="D4586" i="2"/>
  <c r="F4585" i="2"/>
  <c r="E4585" i="2"/>
  <c r="D4585" i="2"/>
  <c r="F4584" i="2"/>
  <c r="E4584" i="2"/>
  <c r="D4584" i="2"/>
  <c r="F4583" i="2"/>
  <c r="E4583" i="2"/>
  <c r="D4583" i="2"/>
  <c r="F4582" i="2"/>
  <c r="E4582" i="2"/>
  <c r="D4582" i="2"/>
  <c r="F4581" i="2"/>
  <c r="E4581" i="2"/>
  <c r="D4581" i="2"/>
  <c r="F4580" i="2"/>
  <c r="E4580" i="2"/>
  <c r="D4580" i="2"/>
  <c r="F13721" i="2"/>
  <c r="E13721" i="2"/>
  <c r="D13721" i="2"/>
  <c r="F13720" i="2"/>
  <c r="E13720" i="2"/>
  <c r="D13720" i="2"/>
  <c r="F13719" i="2"/>
  <c r="E13719" i="2"/>
  <c r="D13719" i="2"/>
  <c r="F13718" i="2"/>
  <c r="E13718" i="2"/>
  <c r="D13718" i="2"/>
  <c r="F13717" i="2"/>
  <c r="E13717" i="2"/>
  <c r="D13717" i="2"/>
  <c r="F13716" i="2"/>
  <c r="E13716" i="2"/>
  <c r="D13716" i="2"/>
  <c r="F13715" i="2"/>
  <c r="E13715" i="2"/>
  <c r="D13715" i="2"/>
  <c r="F13714" i="2"/>
  <c r="E13714" i="2"/>
  <c r="D13714" i="2"/>
  <c r="F13713" i="2"/>
  <c r="E13713" i="2"/>
  <c r="D13713" i="2"/>
  <c r="F13712" i="2"/>
  <c r="E13712" i="2"/>
  <c r="D13712" i="2"/>
  <c r="F13711" i="2"/>
  <c r="E13711" i="2"/>
  <c r="D13711" i="2"/>
  <c r="F13710" i="2"/>
  <c r="E13710" i="2"/>
  <c r="D13710" i="2"/>
  <c r="F13709" i="2"/>
  <c r="E13709" i="2"/>
  <c r="D13709" i="2"/>
  <c r="F13708" i="2"/>
  <c r="E13708" i="2"/>
  <c r="D13708" i="2"/>
  <c r="F13707" i="2"/>
  <c r="E13707" i="2"/>
  <c r="D13707" i="2"/>
  <c r="F13706" i="2"/>
  <c r="E13706" i="2"/>
  <c r="D13706" i="2"/>
  <c r="F13705" i="2"/>
  <c r="E13705" i="2"/>
  <c r="D13705" i="2"/>
  <c r="F13704" i="2"/>
  <c r="E13704" i="2"/>
  <c r="D13704" i="2"/>
  <c r="F13703" i="2"/>
  <c r="E13703" i="2"/>
  <c r="D13703" i="2"/>
  <c r="F14397" i="2"/>
  <c r="E14397" i="2"/>
  <c r="D14397" i="2"/>
  <c r="F14401" i="2"/>
  <c r="E14401" i="2"/>
  <c r="D14401" i="2"/>
  <c r="F14400" i="2"/>
  <c r="E14400" i="2"/>
  <c r="D14400" i="2"/>
  <c r="F14399" i="2"/>
  <c r="E14399" i="2"/>
  <c r="D14399" i="2"/>
  <c r="F14398" i="2"/>
  <c r="E14398" i="2"/>
  <c r="D14398" i="2"/>
  <c r="F6432" i="2"/>
  <c r="E6432" i="2"/>
  <c r="D6432" i="2"/>
  <c r="F6444" i="2"/>
  <c r="E6444" i="2"/>
  <c r="D6444" i="2"/>
  <c r="F6443" i="2"/>
  <c r="E6443" i="2"/>
  <c r="D6443" i="2"/>
  <c r="F6442" i="2"/>
  <c r="E6442" i="2"/>
  <c r="D6442" i="2"/>
  <c r="F6441" i="2"/>
  <c r="E6441" i="2"/>
  <c r="D6441" i="2"/>
  <c r="F6440" i="2"/>
  <c r="E6440" i="2"/>
  <c r="D6440" i="2"/>
  <c r="F6439" i="2"/>
  <c r="E6439" i="2"/>
  <c r="D6439" i="2"/>
  <c r="F6438" i="2"/>
  <c r="E6438" i="2"/>
  <c r="D6438" i="2"/>
  <c r="F6437" i="2"/>
  <c r="E6437" i="2"/>
  <c r="D6437" i="2"/>
  <c r="F6436" i="2"/>
  <c r="E6436" i="2"/>
  <c r="D6436" i="2"/>
  <c r="F6434" i="2"/>
  <c r="E6434" i="2"/>
  <c r="D6434" i="2"/>
  <c r="F6435" i="2"/>
  <c r="E6435" i="2"/>
  <c r="D6435" i="2"/>
  <c r="F6433" i="2"/>
  <c r="E6433" i="2"/>
  <c r="D6433" i="2"/>
  <c r="F7515" i="2"/>
  <c r="E7515" i="2"/>
  <c r="D7515" i="2"/>
  <c r="F7514" i="2"/>
  <c r="E7514" i="2"/>
  <c r="D7514" i="2"/>
  <c r="F7513" i="2"/>
  <c r="E7513" i="2"/>
  <c r="D7513" i="2"/>
  <c r="F7512" i="2"/>
  <c r="E7512" i="2"/>
  <c r="D7512" i="2"/>
  <c r="F7511" i="2"/>
  <c r="E7511" i="2"/>
  <c r="D7511" i="2"/>
  <c r="F7510" i="2"/>
  <c r="E7510" i="2"/>
  <c r="D7510" i="2"/>
  <c r="F7509" i="2"/>
  <c r="E7509" i="2"/>
  <c r="D7509" i="2"/>
  <c r="F7508" i="2"/>
  <c r="E7508" i="2"/>
  <c r="D7508" i="2"/>
  <c r="F7507" i="2"/>
  <c r="E7507" i="2"/>
  <c r="D7507" i="2"/>
  <c r="F7506" i="2"/>
  <c r="E7506" i="2"/>
  <c r="D7506" i="2"/>
  <c r="F7505" i="2"/>
  <c r="E7505" i="2"/>
  <c r="D7505" i="2"/>
  <c r="F7504" i="2"/>
  <c r="E7504" i="2"/>
  <c r="D7504" i="2"/>
  <c r="F7503" i="2"/>
  <c r="E7503" i="2"/>
  <c r="D7503" i="2"/>
  <c r="F7502" i="2"/>
  <c r="E7502" i="2"/>
  <c r="D7502" i="2"/>
  <c r="F7501" i="2"/>
  <c r="E7501" i="2"/>
  <c r="D7501" i="2"/>
  <c r="F7500" i="2"/>
  <c r="E7500" i="2"/>
  <c r="D7500" i="2"/>
  <c r="F7499" i="2"/>
  <c r="E7499" i="2"/>
  <c r="D7499" i="2"/>
  <c r="F7498" i="2"/>
  <c r="E7498" i="2"/>
  <c r="D7498" i="2"/>
  <c r="F7497" i="2"/>
  <c r="E7497" i="2"/>
  <c r="D7497" i="2"/>
  <c r="F7496" i="2"/>
  <c r="E7496" i="2"/>
  <c r="D7496" i="2"/>
  <c r="F7495" i="2"/>
  <c r="E7495" i="2"/>
  <c r="D7495" i="2"/>
  <c r="F1418" i="2"/>
  <c r="E1418" i="2"/>
  <c r="D1418" i="2"/>
  <c r="F2125" i="2"/>
  <c r="E2125" i="2"/>
  <c r="D2125" i="2"/>
  <c r="F2138" i="2"/>
  <c r="E2138" i="2"/>
  <c r="D2138" i="2"/>
  <c r="F2137" i="2"/>
  <c r="E2137" i="2"/>
  <c r="D2137" i="2"/>
  <c r="F2136" i="2"/>
  <c r="E2136" i="2"/>
  <c r="D2136" i="2"/>
  <c r="F2135" i="2"/>
  <c r="E2135" i="2"/>
  <c r="D2135" i="2"/>
  <c r="F2134" i="2"/>
  <c r="E2134" i="2"/>
  <c r="D2134" i="2"/>
  <c r="F2133" i="2"/>
  <c r="E2133" i="2"/>
  <c r="D2133" i="2"/>
  <c r="F2132" i="2"/>
  <c r="E2132" i="2"/>
  <c r="D2132" i="2"/>
  <c r="F2131" i="2"/>
  <c r="E2131" i="2"/>
  <c r="D2131" i="2"/>
  <c r="F2130" i="2"/>
  <c r="E2130" i="2"/>
  <c r="D2130" i="2"/>
  <c r="F2129" i="2"/>
  <c r="E2129" i="2"/>
  <c r="D2129" i="2"/>
  <c r="F2128" i="2"/>
  <c r="E2128" i="2"/>
  <c r="D2128" i="2"/>
  <c r="F2127" i="2"/>
  <c r="E2127" i="2"/>
  <c r="D2127" i="2"/>
  <c r="F2126" i="2"/>
  <c r="E2126" i="2"/>
  <c r="D2126" i="2"/>
  <c r="F8155" i="2"/>
  <c r="E8155" i="2"/>
  <c r="D8155" i="2"/>
  <c r="F8162" i="2"/>
  <c r="E8162" i="2"/>
  <c r="D8162" i="2"/>
  <c r="F8161" i="2"/>
  <c r="E8161" i="2"/>
  <c r="D8161" i="2"/>
  <c r="F8160" i="2"/>
  <c r="E8160" i="2"/>
  <c r="D8160" i="2"/>
  <c r="F8159" i="2"/>
  <c r="E8159" i="2"/>
  <c r="D8159" i="2"/>
  <c r="F8158" i="2"/>
  <c r="E8158" i="2"/>
  <c r="D8158" i="2"/>
  <c r="F8157" i="2"/>
  <c r="E8157" i="2"/>
  <c r="D8157" i="2"/>
  <c r="F8156" i="2"/>
  <c r="E8156" i="2"/>
  <c r="D8156" i="2"/>
  <c r="F8154" i="2"/>
  <c r="E8154" i="2"/>
  <c r="D8154" i="2"/>
  <c r="F15607" i="2"/>
  <c r="E15607" i="2"/>
  <c r="D15607" i="2"/>
  <c r="F15621" i="2"/>
  <c r="E15621" i="2"/>
  <c r="D15621" i="2"/>
  <c r="F15620" i="2"/>
  <c r="E15620" i="2"/>
  <c r="D15620" i="2"/>
  <c r="F15619" i="2"/>
  <c r="E15619" i="2"/>
  <c r="D15619" i="2"/>
  <c r="F15618" i="2"/>
  <c r="E15618" i="2"/>
  <c r="D15618" i="2"/>
  <c r="F15617" i="2"/>
  <c r="E15617" i="2"/>
  <c r="D15617" i="2"/>
  <c r="F15616" i="2"/>
  <c r="E15616" i="2"/>
  <c r="D15616" i="2"/>
  <c r="F15614" i="2"/>
  <c r="E15614" i="2"/>
  <c r="D15614" i="2"/>
  <c r="F15615" i="2"/>
  <c r="E15615" i="2"/>
  <c r="D15615" i="2"/>
  <c r="F15613" i="2"/>
  <c r="E15613" i="2"/>
  <c r="D15613" i="2"/>
  <c r="F15612" i="2"/>
  <c r="E15612" i="2"/>
  <c r="D15612" i="2"/>
  <c r="F15611" i="2"/>
  <c r="E15611" i="2"/>
  <c r="D15611" i="2"/>
  <c r="F15610" i="2"/>
  <c r="E15610" i="2"/>
  <c r="D15610" i="2"/>
  <c r="F15609" i="2"/>
  <c r="E15609" i="2"/>
  <c r="D15609" i="2"/>
  <c r="F15608" i="2"/>
  <c r="E15608" i="2"/>
  <c r="D15608" i="2"/>
  <c r="F13245" i="2"/>
  <c r="E13245" i="2"/>
  <c r="D13245" i="2"/>
  <c r="F13251" i="2"/>
  <c r="E13251" i="2"/>
  <c r="D13251" i="2"/>
  <c r="F13250" i="2"/>
  <c r="E13250" i="2"/>
  <c r="D13250" i="2"/>
  <c r="F13249" i="2"/>
  <c r="E13249" i="2"/>
  <c r="D13249" i="2"/>
  <c r="F13248" i="2"/>
  <c r="E13248" i="2"/>
  <c r="D13248" i="2"/>
  <c r="F13247" i="2"/>
  <c r="E13247" i="2"/>
  <c r="D13247" i="2"/>
  <c r="F13246" i="2"/>
  <c r="E13246" i="2"/>
  <c r="D13246" i="2"/>
  <c r="F3425" i="2"/>
  <c r="E3425" i="2"/>
  <c r="D3425" i="2"/>
  <c r="F3424" i="2"/>
  <c r="E3424" i="2"/>
  <c r="D3424" i="2"/>
  <c r="F3423" i="2"/>
  <c r="E3423" i="2"/>
  <c r="D3423" i="2"/>
  <c r="F3422" i="2"/>
  <c r="E3422" i="2"/>
  <c r="D3422" i="2"/>
  <c r="F3421" i="2"/>
  <c r="E3421" i="2"/>
  <c r="D3421" i="2"/>
  <c r="F3420" i="2"/>
  <c r="E3420" i="2"/>
  <c r="D3420" i="2"/>
  <c r="F3419" i="2"/>
  <c r="E3419" i="2"/>
  <c r="D3419" i="2"/>
  <c r="F2327" i="2"/>
  <c r="E2327" i="2"/>
  <c r="D2327" i="2"/>
  <c r="F2326" i="2"/>
  <c r="E2326" i="2"/>
  <c r="D2326" i="2"/>
  <c r="F2325" i="2"/>
  <c r="E2325" i="2"/>
  <c r="D2325" i="2"/>
  <c r="F2324" i="2"/>
  <c r="E2324" i="2"/>
  <c r="D2324" i="2"/>
  <c r="F2323" i="2"/>
  <c r="E2323" i="2"/>
  <c r="D2323" i="2"/>
  <c r="F2322" i="2"/>
  <c r="E2322" i="2"/>
  <c r="D2322" i="2"/>
  <c r="F2321" i="2"/>
  <c r="E2321" i="2"/>
  <c r="D2321" i="2"/>
  <c r="F2320" i="2"/>
  <c r="E2320" i="2"/>
  <c r="D2320" i="2"/>
  <c r="F2319" i="2"/>
  <c r="E2319" i="2"/>
  <c r="D2319" i="2"/>
  <c r="F2318" i="2"/>
  <c r="E2318" i="2"/>
  <c r="D2318" i="2"/>
  <c r="F2317" i="2"/>
  <c r="E2317" i="2"/>
  <c r="D2317" i="2"/>
  <c r="F2316" i="2"/>
  <c r="E2316" i="2"/>
  <c r="D2316" i="2"/>
  <c r="F2315" i="2"/>
  <c r="E2315" i="2"/>
  <c r="D2315" i="2"/>
  <c r="F2314" i="2"/>
  <c r="E2314" i="2"/>
  <c r="D2314" i="2"/>
  <c r="F2313" i="2"/>
  <c r="E2313" i="2"/>
  <c r="D2313" i="2"/>
  <c r="F2312" i="2"/>
  <c r="E2312" i="2"/>
  <c r="D2312" i="2"/>
  <c r="F2311" i="2"/>
  <c r="E2311" i="2"/>
  <c r="D2311" i="2"/>
  <c r="F2310" i="2"/>
  <c r="E2310" i="2"/>
  <c r="D2310" i="2"/>
  <c r="F2309" i="2"/>
  <c r="E2309" i="2"/>
  <c r="D2309" i="2"/>
  <c r="F2308" i="2"/>
  <c r="E2308" i="2"/>
  <c r="D2308" i="2"/>
  <c r="F2307" i="2"/>
  <c r="E2307" i="2"/>
  <c r="D2307" i="2"/>
  <c r="F2306" i="2"/>
  <c r="E2306" i="2"/>
  <c r="D2306" i="2"/>
  <c r="F2305" i="2"/>
  <c r="E2305" i="2"/>
  <c r="D2305" i="2"/>
  <c r="F2304" i="2"/>
  <c r="E2304" i="2"/>
  <c r="D2304" i="2"/>
  <c r="F2303" i="2"/>
  <c r="E2303" i="2"/>
  <c r="D2303" i="2"/>
  <c r="F2302" i="2"/>
  <c r="E2302" i="2"/>
  <c r="D2302" i="2"/>
  <c r="F2301" i="2"/>
  <c r="E2301" i="2"/>
  <c r="D2301" i="2"/>
  <c r="F2300" i="2"/>
  <c r="E2300" i="2"/>
  <c r="D2300" i="2"/>
  <c r="F2299" i="2"/>
  <c r="E2299" i="2"/>
  <c r="D2299" i="2"/>
  <c r="F2298" i="2"/>
  <c r="E2298" i="2"/>
  <c r="D2298" i="2"/>
  <c r="F2296" i="2"/>
  <c r="E2296" i="2"/>
  <c r="D2296" i="2"/>
  <c r="F2297" i="2"/>
  <c r="E2297" i="2"/>
  <c r="D2297" i="2"/>
  <c r="F2295" i="2"/>
  <c r="E2295" i="2"/>
  <c r="D2295" i="2"/>
  <c r="F2294" i="2"/>
  <c r="E2294" i="2"/>
  <c r="D2294" i="2"/>
  <c r="F2293" i="2"/>
  <c r="E2293" i="2"/>
  <c r="D2293" i="2"/>
  <c r="F2292" i="2"/>
  <c r="E2292" i="2"/>
  <c r="D2292" i="2"/>
  <c r="F2291" i="2"/>
  <c r="E2291" i="2"/>
  <c r="D2291" i="2"/>
  <c r="F2290" i="2"/>
  <c r="E2290" i="2"/>
  <c r="D2290" i="2"/>
  <c r="F2289" i="2"/>
  <c r="E2289" i="2"/>
  <c r="D2289" i="2"/>
  <c r="F2288" i="2"/>
  <c r="E2288" i="2"/>
  <c r="D2288" i="2"/>
  <c r="F10226" i="2"/>
  <c r="E10226" i="2"/>
  <c r="D10226" i="2"/>
  <c r="F10238" i="2"/>
  <c r="E10238" i="2"/>
  <c r="D10238" i="2"/>
  <c r="F10237" i="2"/>
  <c r="E10237" i="2"/>
  <c r="D10237" i="2"/>
  <c r="F10236" i="2"/>
  <c r="E10236" i="2"/>
  <c r="D10236" i="2"/>
  <c r="F10235" i="2"/>
  <c r="E10235" i="2"/>
  <c r="D10235" i="2"/>
  <c r="F10234" i="2"/>
  <c r="E10234" i="2"/>
  <c r="D10234" i="2"/>
  <c r="F10233" i="2"/>
  <c r="E10233" i="2"/>
  <c r="D10233" i="2"/>
  <c r="F10232" i="2"/>
  <c r="E10232" i="2"/>
  <c r="D10232" i="2"/>
  <c r="F10231" i="2"/>
  <c r="E10231" i="2"/>
  <c r="D10231" i="2"/>
  <c r="F10230" i="2"/>
  <c r="E10230" i="2"/>
  <c r="D10230" i="2"/>
  <c r="F10229" i="2"/>
  <c r="E10229" i="2"/>
  <c r="D10229" i="2"/>
  <c r="F10228" i="2"/>
  <c r="E10228" i="2"/>
  <c r="D10228" i="2"/>
  <c r="F10227" i="2"/>
  <c r="E10227" i="2"/>
  <c r="D10227" i="2"/>
  <c r="F11055" i="2"/>
  <c r="E11055" i="2"/>
  <c r="D11055" i="2"/>
  <c r="F11061" i="2"/>
  <c r="E11061" i="2"/>
  <c r="D11061" i="2"/>
  <c r="F11060" i="2"/>
  <c r="E11060" i="2"/>
  <c r="D11060" i="2"/>
  <c r="F11059" i="2"/>
  <c r="E11059" i="2"/>
  <c r="D11059" i="2"/>
  <c r="F11058" i="2"/>
  <c r="E11058" i="2"/>
  <c r="D11058" i="2"/>
  <c r="F11057" i="2"/>
  <c r="E11057" i="2"/>
  <c r="D11057" i="2"/>
  <c r="F11056" i="2"/>
  <c r="E11056" i="2"/>
  <c r="D11056" i="2"/>
  <c r="F11505" i="2"/>
  <c r="E11505" i="2"/>
  <c r="D11505" i="2"/>
  <c r="F11603" i="2"/>
  <c r="E11603" i="2"/>
  <c r="D11603" i="2"/>
  <c r="F11620" i="2"/>
  <c r="E11620" i="2"/>
  <c r="D11620" i="2"/>
  <c r="F11619" i="2"/>
  <c r="E11619" i="2"/>
  <c r="D11619" i="2"/>
  <c r="F11618" i="2"/>
  <c r="E11618" i="2"/>
  <c r="D11618" i="2"/>
  <c r="F11617" i="2"/>
  <c r="E11617" i="2"/>
  <c r="D11617" i="2"/>
  <c r="F11616" i="2"/>
  <c r="E11616" i="2"/>
  <c r="D11616" i="2"/>
  <c r="F11615" i="2"/>
  <c r="E11615" i="2"/>
  <c r="D11615" i="2"/>
  <c r="F11614" i="2"/>
  <c r="E11614" i="2"/>
  <c r="D11614" i="2"/>
  <c r="F11613" i="2"/>
  <c r="E11613" i="2"/>
  <c r="D11613" i="2"/>
  <c r="F11612" i="2"/>
  <c r="E11612" i="2"/>
  <c r="D11612" i="2"/>
  <c r="F11611" i="2"/>
  <c r="E11611" i="2"/>
  <c r="D11611" i="2"/>
  <c r="F11610" i="2"/>
  <c r="E11610" i="2"/>
  <c r="D11610" i="2"/>
  <c r="F11609" i="2"/>
  <c r="E11609" i="2"/>
  <c r="D11609" i="2"/>
  <c r="F11608" i="2"/>
  <c r="E11608" i="2"/>
  <c r="D11608" i="2"/>
  <c r="F11607" i="2"/>
  <c r="E11607" i="2"/>
  <c r="D11607" i="2"/>
  <c r="F11606" i="2"/>
  <c r="E11606" i="2"/>
  <c r="D11606" i="2"/>
  <c r="F11605" i="2"/>
  <c r="E11605" i="2"/>
  <c r="D11605" i="2"/>
  <c r="F11604" i="2"/>
  <c r="E11604" i="2"/>
  <c r="D11604" i="2"/>
  <c r="F15399" i="2"/>
  <c r="E15399" i="2"/>
  <c r="D15399" i="2"/>
  <c r="F15398" i="2"/>
  <c r="E15398" i="2"/>
  <c r="D15398" i="2"/>
  <c r="F15397" i="2"/>
  <c r="E15397" i="2"/>
  <c r="D15397" i="2"/>
  <c r="F15396" i="2"/>
  <c r="E15396" i="2"/>
  <c r="D15396" i="2"/>
  <c r="F15395" i="2"/>
  <c r="E15395" i="2"/>
  <c r="D15395" i="2"/>
  <c r="F15394" i="2"/>
  <c r="E15394" i="2"/>
  <c r="D15394" i="2"/>
  <c r="F15393" i="2"/>
  <c r="E15393" i="2"/>
  <c r="D15393" i="2"/>
  <c r="F15392" i="2"/>
  <c r="E15392" i="2"/>
  <c r="D15392" i="2"/>
  <c r="F15391" i="2"/>
  <c r="E15391" i="2"/>
  <c r="D15391" i="2"/>
  <c r="F3815" i="2"/>
  <c r="E3815" i="2"/>
  <c r="D3815" i="2"/>
  <c r="F3814" i="2"/>
  <c r="E3814" i="2"/>
  <c r="D3814" i="2"/>
  <c r="F3813" i="2"/>
  <c r="E3813" i="2"/>
  <c r="D3813" i="2"/>
  <c r="F3812" i="2"/>
  <c r="E3812" i="2"/>
  <c r="D3812" i="2"/>
  <c r="F3811" i="2"/>
  <c r="E3811" i="2"/>
  <c r="D3811" i="2"/>
  <c r="F3809" i="2"/>
  <c r="E3809" i="2"/>
  <c r="D3809" i="2"/>
  <c r="F3810" i="2"/>
  <c r="E3810" i="2"/>
  <c r="D3810" i="2"/>
  <c r="F9629" i="2"/>
  <c r="E9629" i="2"/>
  <c r="D9629" i="2"/>
  <c r="F9628" i="2"/>
  <c r="E9628" i="2"/>
  <c r="D9628" i="2"/>
  <c r="F797" i="2"/>
  <c r="E797" i="2"/>
  <c r="D797" i="2"/>
  <c r="F796" i="2"/>
  <c r="E796" i="2"/>
  <c r="D796" i="2"/>
  <c r="F795" i="2"/>
  <c r="E795" i="2"/>
  <c r="D795" i="2"/>
  <c r="F794" i="2"/>
  <c r="E794" i="2"/>
  <c r="D794" i="2"/>
  <c r="F793" i="2"/>
  <c r="E793" i="2"/>
  <c r="D793" i="2"/>
  <c r="F792" i="2"/>
  <c r="E792" i="2"/>
  <c r="D792" i="2"/>
  <c r="F791" i="2"/>
  <c r="E791" i="2"/>
  <c r="D791" i="2"/>
  <c r="F790" i="2"/>
  <c r="E790" i="2"/>
  <c r="D790" i="2"/>
  <c r="F789" i="2"/>
  <c r="E789" i="2"/>
  <c r="D789" i="2"/>
  <c r="F788" i="2"/>
  <c r="E788" i="2"/>
  <c r="D788" i="2"/>
  <c r="F787" i="2"/>
  <c r="E787" i="2"/>
  <c r="D787" i="2"/>
  <c r="F786" i="2"/>
  <c r="E786" i="2"/>
  <c r="D786" i="2"/>
  <c r="F785" i="2"/>
  <c r="E785" i="2"/>
  <c r="D785" i="2"/>
  <c r="F784" i="2"/>
  <c r="E784" i="2"/>
  <c r="D784" i="2"/>
  <c r="F783" i="2"/>
  <c r="E783" i="2"/>
  <c r="D783" i="2"/>
  <c r="F782" i="2"/>
  <c r="E782" i="2"/>
  <c r="D782" i="2"/>
  <c r="F781" i="2"/>
  <c r="E781" i="2"/>
  <c r="D781" i="2"/>
  <c r="F780" i="2"/>
  <c r="E780" i="2"/>
  <c r="D780" i="2"/>
  <c r="F5826" i="2"/>
  <c r="E5826" i="2"/>
  <c r="D5826" i="2"/>
  <c r="F5825" i="2"/>
  <c r="E5825" i="2"/>
  <c r="D5825" i="2"/>
  <c r="F5824" i="2"/>
  <c r="E5824" i="2"/>
  <c r="D5824" i="2"/>
  <c r="F557" i="2"/>
  <c r="E557" i="2"/>
  <c r="D557" i="2"/>
  <c r="F556" i="2"/>
  <c r="E556" i="2"/>
  <c r="D556" i="2"/>
  <c r="F555" i="2"/>
  <c r="E555" i="2"/>
  <c r="D555" i="2"/>
  <c r="F554" i="2"/>
  <c r="E554" i="2"/>
  <c r="D554" i="2"/>
  <c r="F553" i="2"/>
  <c r="E553" i="2"/>
  <c r="D553" i="2"/>
  <c r="F6052" i="2"/>
  <c r="E6052" i="2"/>
  <c r="D6052" i="2"/>
  <c r="F6051" i="2"/>
  <c r="E6051" i="2"/>
  <c r="D6051" i="2"/>
  <c r="F6050" i="2"/>
  <c r="E6050" i="2"/>
  <c r="D6050" i="2"/>
  <c r="F6049" i="2"/>
  <c r="E6049" i="2"/>
  <c r="D6049" i="2"/>
  <c r="F11645" i="2"/>
  <c r="E11645" i="2"/>
  <c r="D11645" i="2"/>
  <c r="F11663" i="2"/>
  <c r="E11663" i="2"/>
  <c r="D11663" i="2"/>
  <c r="F11662" i="2"/>
  <c r="E11662" i="2"/>
  <c r="D11662" i="2"/>
  <c r="F11661" i="2"/>
  <c r="E11661" i="2"/>
  <c r="D11661" i="2"/>
  <c r="F11660" i="2"/>
  <c r="E11660" i="2"/>
  <c r="D11660" i="2"/>
  <c r="F11659" i="2"/>
  <c r="E11659" i="2"/>
  <c r="D11659" i="2"/>
  <c r="F11658" i="2"/>
  <c r="E11658" i="2"/>
  <c r="D11658" i="2"/>
  <c r="F11656" i="2"/>
  <c r="E11656" i="2"/>
  <c r="D11656" i="2"/>
  <c r="F11657" i="2"/>
  <c r="E11657" i="2"/>
  <c r="D11657" i="2"/>
  <c r="F11655" i="2"/>
  <c r="E11655" i="2"/>
  <c r="D11655" i="2"/>
  <c r="F11654" i="2"/>
  <c r="E11654" i="2"/>
  <c r="D11654" i="2"/>
  <c r="F11653" i="2"/>
  <c r="E11653" i="2"/>
  <c r="D11653" i="2"/>
  <c r="F11652" i="2"/>
  <c r="E11652" i="2"/>
  <c r="D11652" i="2"/>
  <c r="F11651" i="2"/>
  <c r="E11651" i="2"/>
  <c r="D11651" i="2"/>
  <c r="F11650" i="2"/>
  <c r="E11650" i="2"/>
  <c r="D11650" i="2"/>
  <c r="F11649" i="2"/>
  <c r="E11649" i="2"/>
  <c r="D11649" i="2"/>
  <c r="F11648" i="2"/>
  <c r="E11648" i="2"/>
  <c r="D11648" i="2"/>
  <c r="F11647" i="2"/>
  <c r="E11647" i="2"/>
  <c r="D11647" i="2"/>
  <c r="F11646" i="2"/>
  <c r="E11646" i="2"/>
  <c r="D11646" i="2"/>
  <c r="F6068" i="2"/>
  <c r="E6068" i="2"/>
  <c r="D6068" i="2"/>
  <c r="F6067" i="2"/>
  <c r="E6067" i="2"/>
  <c r="D6067" i="2"/>
  <c r="F6066" i="2"/>
  <c r="E6066" i="2"/>
  <c r="D6066" i="2"/>
  <c r="F6065" i="2"/>
  <c r="E6065" i="2"/>
  <c r="D6065" i="2"/>
  <c r="F6064" i="2"/>
  <c r="E6064" i="2"/>
  <c r="D6064" i="2"/>
  <c r="F6063" i="2"/>
  <c r="E6063" i="2"/>
  <c r="D6063" i="2"/>
  <c r="F6062" i="2"/>
  <c r="E6062" i="2"/>
  <c r="D6062" i="2"/>
  <c r="F6061" i="2"/>
  <c r="E6061" i="2"/>
  <c r="D6061" i="2"/>
  <c r="F6060" i="2"/>
  <c r="E6060" i="2"/>
  <c r="D6060" i="2"/>
  <c r="F6059" i="2"/>
  <c r="E6059" i="2"/>
  <c r="D6059" i="2"/>
  <c r="F6058" i="2"/>
  <c r="E6058" i="2"/>
  <c r="D6058" i="2"/>
  <c r="F13138" i="2"/>
  <c r="E13138" i="2"/>
  <c r="D13138" i="2"/>
  <c r="F12491" i="2"/>
  <c r="E12491" i="2"/>
  <c r="D12491" i="2"/>
  <c r="F12490" i="2"/>
  <c r="E12490" i="2"/>
  <c r="D12490" i="2"/>
  <c r="F12489" i="2"/>
  <c r="E12489" i="2"/>
  <c r="D12489" i="2"/>
  <c r="F12488" i="2"/>
  <c r="E12488" i="2"/>
  <c r="D12488" i="2"/>
  <c r="F12487" i="2"/>
  <c r="E12487" i="2"/>
  <c r="D12487" i="2"/>
  <c r="F12486" i="2"/>
  <c r="E12486" i="2"/>
  <c r="D12486" i="2"/>
  <c r="F12485" i="2"/>
  <c r="E12485" i="2"/>
  <c r="D12485" i="2"/>
  <c r="F12484" i="2"/>
  <c r="E12484" i="2"/>
  <c r="D12484" i="2"/>
  <c r="F12482" i="2"/>
  <c r="E12482" i="2"/>
  <c r="D12482" i="2"/>
  <c r="F12483" i="2"/>
  <c r="E12483" i="2"/>
  <c r="D12483" i="2"/>
  <c r="F15496" i="2"/>
  <c r="E15496" i="2"/>
  <c r="D15496" i="2"/>
  <c r="F15501" i="2"/>
  <c r="E15501" i="2"/>
  <c r="D15501" i="2"/>
  <c r="F15500" i="2"/>
  <c r="E15500" i="2"/>
  <c r="D15500" i="2"/>
  <c r="F15499" i="2"/>
  <c r="E15499" i="2"/>
  <c r="D15499" i="2"/>
  <c r="F15498" i="2"/>
  <c r="E15498" i="2"/>
  <c r="D15498" i="2"/>
  <c r="F15497" i="2"/>
  <c r="E15497" i="2"/>
  <c r="D15497" i="2"/>
  <c r="F7439" i="2"/>
  <c r="E7439" i="2"/>
  <c r="D7439" i="2"/>
  <c r="F7441" i="2"/>
  <c r="E7441" i="2"/>
  <c r="D7441" i="2"/>
  <c r="F7440" i="2"/>
  <c r="E7440" i="2"/>
  <c r="D7440" i="2"/>
  <c r="F12524" i="2"/>
  <c r="E12524" i="2"/>
  <c r="D12524" i="2"/>
  <c r="F12525" i="2"/>
  <c r="E12525" i="2"/>
  <c r="D12525" i="2"/>
  <c r="F14118" i="2"/>
  <c r="E14118" i="2"/>
  <c r="D14118" i="2"/>
  <c r="F14123" i="2"/>
  <c r="E14123" i="2"/>
  <c r="D14123" i="2"/>
  <c r="F14122" i="2"/>
  <c r="E14122" i="2"/>
  <c r="D14122" i="2"/>
  <c r="F14121" i="2"/>
  <c r="E14121" i="2"/>
  <c r="D14121" i="2"/>
  <c r="F14120" i="2"/>
  <c r="E14120" i="2"/>
  <c r="D14120" i="2"/>
  <c r="F14119" i="2"/>
  <c r="E14119" i="2"/>
  <c r="D14119" i="2"/>
  <c r="F10564" i="2"/>
  <c r="E10564" i="2"/>
  <c r="D10564" i="2"/>
  <c r="F10567" i="2"/>
  <c r="E10567" i="2"/>
  <c r="D10567" i="2"/>
  <c r="F10566" i="2"/>
  <c r="E10566" i="2"/>
  <c r="D10566" i="2"/>
  <c r="F10565" i="2"/>
  <c r="E10565" i="2"/>
  <c r="D10565" i="2"/>
  <c r="F14427" i="2"/>
  <c r="E14427" i="2"/>
  <c r="D14427" i="2"/>
  <c r="F14445" i="2"/>
  <c r="E14445" i="2"/>
  <c r="D14445" i="2"/>
  <c r="F14444" i="2"/>
  <c r="E14444" i="2"/>
  <c r="D14444" i="2"/>
  <c r="F14443" i="2"/>
  <c r="E14443" i="2"/>
  <c r="D14443" i="2"/>
  <c r="F14442" i="2"/>
  <c r="E14442" i="2"/>
  <c r="D14442" i="2"/>
  <c r="F14441" i="2"/>
  <c r="E14441" i="2"/>
  <c r="D14441" i="2"/>
  <c r="F14440" i="2"/>
  <c r="E14440" i="2"/>
  <c r="D14440" i="2"/>
  <c r="F14439" i="2"/>
  <c r="E14439" i="2"/>
  <c r="D14439" i="2"/>
  <c r="F14438" i="2"/>
  <c r="E14438" i="2"/>
  <c r="D14438" i="2"/>
  <c r="F14437" i="2"/>
  <c r="E14437" i="2"/>
  <c r="D14437" i="2"/>
  <c r="F14435" i="2"/>
  <c r="E14435" i="2"/>
  <c r="D14435" i="2"/>
  <c r="F14436" i="2"/>
  <c r="E14436" i="2"/>
  <c r="D14436" i="2"/>
  <c r="F14434" i="2"/>
  <c r="E14434" i="2"/>
  <c r="D14434" i="2"/>
  <c r="F14433" i="2"/>
  <c r="E14433" i="2"/>
  <c r="D14433" i="2"/>
  <c r="F14432" i="2"/>
  <c r="E14432" i="2"/>
  <c r="D14432" i="2"/>
  <c r="F14431" i="2"/>
  <c r="E14431" i="2"/>
  <c r="D14431" i="2"/>
  <c r="F14430" i="2"/>
  <c r="E14430" i="2"/>
  <c r="D14430" i="2"/>
  <c r="F14429" i="2"/>
  <c r="E14429" i="2"/>
  <c r="D14429" i="2"/>
  <c r="F14426" i="2"/>
  <c r="E14426" i="2"/>
  <c r="D14426" i="2"/>
  <c r="F14428" i="2"/>
  <c r="E14428" i="2"/>
  <c r="D14428" i="2"/>
  <c r="F6914" i="2"/>
  <c r="E6914" i="2"/>
  <c r="D6914" i="2"/>
  <c r="F15320" i="2"/>
  <c r="E15320" i="2"/>
  <c r="D15320" i="2"/>
  <c r="F7334" i="2"/>
  <c r="E7334" i="2"/>
  <c r="D7334" i="2"/>
  <c r="F7335" i="2"/>
  <c r="E7335" i="2"/>
  <c r="D7335" i="2"/>
  <c r="F7092" i="2"/>
  <c r="E7092" i="2"/>
  <c r="D7092" i="2"/>
  <c r="F7091" i="2"/>
  <c r="E7091" i="2"/>
  <c r="D7091" i="2"/>
  <c r="F7090" i="2"/>
  <c r="E7090" i="2"/>
  <c r="D7090" i="2"/>
  <c r="F7089" i="2"/>
  <c r="E7089" i="2"/>
  <c r="D7089" i="2"/>
  <c r="F7088" i="2"/>
  <c r="E7088" i="2"/>
  <c r="D7088" i="2"/>
  <c r="F7087" i="2"/>
  <c r="E7087" i="2"/>
  <c r="D7087" i="2"/>
  <c r="F7086" i="2"/>
  <c r="E7086" i="2"/>
  <c r="D7086" i="2"/>
  <c r="F14295" i="2"/>
  <c r="E14295" i="2"/>
  <c r="D14295" i="2"/>
  <c r="F12418" i="2"/>
  <c r="E12418" i="2"/>
  <c r="D12418" i="2"/>
  <c r="F12417" i="2"/>
  <c r="E12417" i="2"/>
  <c r="D12417" i="2"/>
  <c r="F12416" i="2"/>
  <c r="E12416" i="2"/>
  <c r="D12416" i="2"/>
  <c r="F12415" i="2"/>
  <c r="E12415" i="2"/>
  <c r="D12415" i="2"/>
  <c r="F2594" i="2"/>
  <c r="E2594" i="2"/>
  <c r="D2594" i="2"/>
  <c r="F2593" i="2"/>
  <c r="E2593" i="2"/>
  <c r="D2593" i="2"/>
  <c r="F2592" i="2"/>
  <c r="E2592" i="2"/>
  <c r="D2592" i="2"/>
  <c r="F2591" i="2"/>
  <c r="E2591" i="2"/>
  <c r="D2591" i="2"/>
  <c r="F2590" i="2"/>
  <c r="E2590" i="2"/>
  <c r="D2590" i="2"/>
  <c r="F2589" i="2"/>
  <c r="E2589" i="2"/>
  <c r="D2589" i="2"/>
  <c r="F2588" i="2"/>
  <c r="E2588" i="2"/>
  <c r="D2588" i="2"/>
  <c r="F2587" i="2"/>
  <c r="E2587" i="2"/>
  <c r="D2587" i="2"/>
  <c r="F2586" i="2"/>
  <c r="E2586" i="2"/>
  <c r="D2586" i="2"/>
  <c r="F2585" i="2"/>
  <c r="E2585" i="2"/>
  <c r="D2585" i="2"/>
  <c r="F2584" i="2"/>
  <c r="E2584" i="2"/>
  <c r="D2584" i="2"/>
  <c r="F2583" i="2"/>
  <c r="E2583" i="2"/>
  <c r="D2583" i="2"/>
  <c r="F2582" i="2"/>
  <c r="E2582" i="2"/>
  <c r="D2582" i="2"/>
  <c r="F2581" i="2"/>
  <c r="E2581" i="2"/>
  <c r="D2581" i="2"/>
  <c r="F2580" i="2"/>
  <c r="E2580" i="2"/>
  <c r="D2580" i="2"/>
  <c r="F2579" i="2"/>
  <c r="E2579" i="2"/>
  <c r="D2579" i="2"/>
  <c r="F2578" i="2"/>
  <c r="E2578" i="2"/>
  <c r="D2578" i="2"/>
  <c r="F2577" i="2"/>
  <c r="E2577" i="2"/>
  <c r="D2577" i="2"/>
  <c r="F2576" i="2"/>
  <c r="E2576" i="2"/>
  <c r="D2576" i="2"/>
  <c r="F2575" i="2"/>
  <c r="E2575" i="2"/>
  <c r="D2575" i="2"/>
  <c r="F2574" i="2"/>
  <c r="E2574" i="2"/>
  <c r="D2574" i="2"/>
  <c r="F2573" i="2"/>
  <c r="E2573" i="2"/>
  <c r="D2573" i="2"/>
  <c r="F2572" i="2"/>
  <c r="E2572" i="2"/>
  <c r="D2572" i="2"/>
  <c r="F2571" i="2"/>
  <c r="E2571" i="2"/>
  <c r="D2571" i="2"/>
  <c r="F2570" i="2"/>
  <c r="E2570" i="2"/>
  <c r="D2570" i="2"/>
  <c r="F2569" i="2"/>
  <c r="E2569" i="2"/>
  <c r="D2569" i="2"/>
  <c r="F9424" i="2"/>
  <c r="E9424" i="2"/>
  <c r="D9424" i="2"/>
  <c r="F8717" i="2"/>
  <c r="E8717" i="2"/>
  <c r="D8717" i="2"/>
  <c r="F8716" i="2"/>
  <c r="E8716" i="2"/>
  <c r="D8716" i="2"/>
  <c r="F8715" i="2"/>
  <c r="E8715" i="2"/>
  <c r="D8715" i="2"/>
  <c r="F8714" i="2"/>
  <c r="E8714" i="2"/>
  <c r="D8714" i="2"/>
  <c r="F8713" i="2"/>
  <c r="E8713" i="2"/>
  <c r="D8713" i="2"/>
  <c r="F8712" i="2"/>
  <c r="E8712" i="2"/>
  <c r="D8712" i="2"/>
  <c r="F8711" i="2"/>
  <c r="E8711" i="2"/>
  <c r="D8711" i="2"/>
  <c r="F8710" i="2"/>
  <c r="E8710" i="2"/>
  <c r="D8710" i="2"/>
  <c r="F8709" i="2"/>
  <c r="E8709" i="2"/>
  <c r="D8709" i="2"/>
  <c r="F8708" i="2"/>
  <c r="E8708" i="2"/>
  <c r="D8708" i="2"/>
  <c r="F8707" i="2"/>
  <c r="E8707" i="2"/>
  <c r="D8707" i="2"/>
  <c r="F8706" i="2"/>
  <c r="E8706" i="2"/>
  <c r="D8706" i="2"/>
  <c r="F10638" i="2"/>
  <c r="E10638" i="2"/>
  <c r="D10638" i="2"/>
  <c r="F10637" i="2"/>
  <c r="E10637" i="2"/>
  <c r="D10637" i="2"/>
  <c r="F10636" i="2"/>
  <c r="E10636" i="2"/>
  <c r="D10636" i="2"/>
  <c r="F10635" i="2"/>
  <c r="E10635" i="2"/>
  <c r="D10635" i="2"/>
  <c r="F10634" i="2"/>
  <c r="E10634" i="2"/>
  <c r="D10634" i="2"/>
  <c r="F10633" i="2"/>
  <c r="E10633" i="2"/>
  <c r="D10633" i="2"/>
  <c r="F10632" i="2"/>
  <c r="E10632" i="2"/>
  <c r="D10632" i="2"/>
  <c r="F10631" i="2"/>
  <c r="E10631" i="2"/>
  <c r="D10631" i="2"/>
  <c r="F10630" i="2"/>
  <c r="E10630" i="2"/>
  <c r="D10630" i="2"/>
  <c r="F10629" i="2"/>
  <c r="E10629" i="2"/>
  <c r="D10629" i="2"/>
  <c r="F10628" i="2"/>
  <c r="E10628" i="2"/>
  <c r="D10628" i="2"/>
  <c r="F10627" i="2"/>
  <c r="E10627" i="2"/>
  <c r="D10627" i="2"/>
  <c r="F10626" i="2"/>
  <c r="E10626" i="2"/>
  <c r="D10626" i="2"/>
  <c r="F10625" i="2"/>
  <c r="E10625" i="2"/>
  <c r="D10625" i="2"/>
  <c r="F10624" i="2"/>
  <c r="E10624" i="2"/>
  <c r="D10624" i="2"/>
  <c r="F10623" i="2"/>
  <c r="E10623" i="2"/>
  <c r="D10623" i="2"/>
  <c r="F10622" i="2"/>
  <c r="E10622" i="2"/>
  <c r="D10622" i="2"/>
  <c r="F10621" i="2"/>
  <c r="E10621" i="2"/>
  <c r="D10621" i="2"/>
  <c r="F10620" i="2"/>
  <c r="E10620" i="2"/>
  <c r="D10620" i="2"/>
  <c r="F10619" i="2"/>
  <c r="E10619" i="2"/>
  <c r="D10619" i="2"/>
  <c r="F10618" i="2"/>
  <c r="E10618" i="2"/>
  <c r="D10618" i="2"/>
  <c r="F16352" i="2"/>
  <c r="E16352" i="2"/>
  <c r="D16352" i="2"/>
  <c r="F3230" i="2"/>
  <c r="E3230" i="2"/>
  <c r="D3230" i="2"/>
  <c r="F3235" i="2"/>
  <c r="E3235" i="2"/>
  <c r="D3235" i="2"/>
  <c r="F3234" i="2"/>
  <c r="E3234" i="2"/>
  <c r="D3234" i="2"/>
  <c r="F3233" i="2"/>
  <c r="E3233" i="2"/>
  <c r="D3233" i="2"/>
  <c r="F3232" i="2"/>
  <c r="E3232" i="2"/>
  <c r="D3232" i="2"/>
  <c r="F3231" i="2"/>
  <c r="E3231" i="2"/>
  <c r="D3231" i="2"/>
  <c r="F6581" i="2"/>
  <c r="E6581" i="2"/>
  <c r="D6581" i="2"/>
  <c r="F6582" i="2"/>
  <c r="E6582" i="2"/>
  <c r="D6582" i="2"/>
  <c r="F10644" i="2"/>
  <c r="E10644" i="2"/>
  <c r="D10644" i="2"/>
  <c r="F10658" i="2"/>
  <c r="E10658" i="2"/>
  <c r="D10658" i="2"/>
  <c r="F10657" i="2"/>
  <c r="E10657" i="2"/>
  <c r="D10657" i="2"/>
  <c r="F10656" i="2"/>
  <c r="E10656" i="2"/>
  <c r="D10656" i="2"/>
  <c r="F10655" i="2"/>
  <c r="E10655" i="2"/>
  <c r="D10655" i="2"/>
  <c r="F10654" i="2"/>
  <c r="E10654" i="2"/>
  <c r="D10654" i="2"/>
  <c r="F10653" i="2"/>
  <c r="E10653" i="2"/>
  <c r="D10653" i="2"/>
  <c r="F10652" i="2"/>
  <c r="E10652" i="2"/>
  <c r="D10652" i="2"/>
  <c r="F10651" i="2"/>
  <c r="E10651" i="2"/>
  <c r="D10651" i="2"/>
  <c r="F10650" i="2"/>
  <c r="E10650" i="2"/>
  <c r="D10650" i="2"/>
  <c r="F10649" i="2"/>
  <c r="E10649" i="2"/>
  <c r="D10649" i="2"/>
  <c r="F10648" i="2"/>
  <c r="E10648" i="2"/>
  <c r="D10648" i="2"/>
  <c r="F10647" i="2"/>
  <c r="E10647" i="2"/>
  <c r="D10647" i="2"/>
  <c r="F10646" i="2"/>
  <c r="E10646" i="2"/>
  <c r="D10646" i="2"/>
  <c r="F10645" i="2"/>
  <c r="E10645" i="2"/>
  <c r="D10645" i="2"/>
  <c r="F15697" i="2"/>
  <c r="E15697" i="2"/>
  <c r="D15697" i="2"/>
  <c r="F15696" i="2"/>
  <c r="E15696" i="2"/>
  <c r="D15696" i="2"/>
  <c r="F15695" i="2"/>
  <c r="E15695" i="2"/>
  <c r="D15695" i="2"/>
  <c r="F15694" i="2"/>
  <c r="E15694" i="2"/>
  <c r="D15694" i="2"/>
  <c r="F15693" i="2"/>
  <c r="E15693" i="2"/>
  <c r="D15693" i="2"/>
  <c r="F15692" i="2"/>
  <c r="E15692" i="2"/>
  <c r="D15692" i="2"/>
  <c r="F15691" i="2"/>
  <c r="E15691" i="2"/>
  <c r="D15691" i="2"/>
  <c r="F15690" i="2"/>
  <c r="E15690" i="2"/>
  <c r="D15690" i="2"/>
  <c r="F15689" i="2"/>
  <c r="E15689" i="2"/>
  <c r="D15689" i="2"/>
  <c r="F15688" i="2"/>
  <c r="E15688" i="2"/>
  <c r="D15688" i="2"/>
  <c r="F15687" i="2"/>
  <c r="E15687" i="2"/>
  <c r="D15687" i="2"/>
  <c r="F15686" i="2"/>
  <c r="E15686" i="2"/>
  <c r="D15686" i="2"/>
  <c r="F15685" i="2"/>
  <c r="E15685" i="2"/>
  <c r="D15685" i="2"/>
  <c r="F15684" i="2"/>
  <c r="E15684" i="2"/>
  <c r="D15684" i="2"/>
  <c r="F15683" i="2"/>
  <c r="E15683" i="2"/>
  <c r="D15683" i="2"/>
  <c r="F15682" i="2"/>
  <c r="E15682" i="2"/>
  <c r="D15682" i="2"/>
  <c r="F15681" i="2"/>
  <c r="E15681" i="2"/>
  <c r="D15681" i="2"/>
  <c r="F15680" i="2"/>
  <c r="E15680" i="2"/>
  <c r="D15680" i="2"/>
  <c r="F15679" i="2"/>
  <c r="E15679" i="2"/>
  <c r="D15679" i="2"/>
  <c r="F15678" i="2"/>
  <c r="E15678" i="2"/>
  <c r="D15678" i="2"/>
  <c r="F15677" i="2"/>
  <c r="E15677" i="2"/>
  <c r="D15677" i="2"/>
  <c r="F15676" i="2"/>
  <c r="E15676" i="2"/>
  <c r="D15676" i="2"/>
  <c r="F15675" i="2"/>
  <c r="E15675" i="2"/>
  <c r="D15675" i="2"/>
  <c r="F15674" i="2"/>
  <c r="E15674" i="2"/>
  <c r="D15674" i="2"/>
  <c r="F15673" i="2"/>
  <c r="E15673" i="2"/>
  <c r="D15673" i="2"/>
  <c r="F15672" i="2"/>
  <c r="E15672" i="2"/>
  <c r="D15672" i="2"/>
  <c r="F15671" i="2"/>
  <c r="E15671" i="2"/>
  <c r="D15671" i="2"/>
  <c r="F15670" i="2"/>
  <c r="E15670" i="2"/>
  <c r="D15670" i="2"/>
  <c r="F12152" i="2"/>
  <c r="E12152" i="2"/>
  <c r="D12152" i="2"/>
  <c r="F12151" i="2"/>
  <c r="E12151" i="2"/>
  <c r="D12151" i="2"/>
  <c r="F12150" i="2"/>
  <c r="E12150" i="2"/>
  <c r="D12150" i="2"/>
  <c r="F12149" i="2"/>
  <c r="E12149" i="2"/>
  <c r="D12149" i="2"/>
  <c r="F12148" i="2"/>
  <c r="E12148" i="2"/>
  <c r="D12148" i="2"/>
  <c r="F12147" i="2"/>
  <c r="E12147" i="2"/>
  <c r="D12147" i="2"/>
  <c r="F12146" i="2"/>
  <c r="E12146" i="2"/>
  <c r="D12146" i="2"/>
  <c r="F12145" i="2"/>
  <c r="E12145" i="2"/>
  <c r="D12145" i="2"/>
  <c r="F12144" i="2"/>
  <c r="E12144" i="2"/>
  <c r="D12144" i="2"/>
  <c r="F12143" i="2"/>
  <c r="E12143" i="2"/>
  <c r="D12143" i="2"/>
  <c r="F12142" i="2"/>
  <c r="E12142" i="2"/>
  <c r="D12142" i="2"/>
  <c r="F12141" i="2"/>
  <c r="E12141" i="2"/>
  <c r="D12141" i="2"/>
  <c r="F12140" i="2"/>
  <c r="E12140" i="2"/>
  <c r="D12140" i="2"/>
  <c r="F12139" i="2"/>
  <c r="E12139" i="2"/>
  <c r="D12139" i="2"/>
  <c r="F12138" i="2"/>
  <c r="E12138" i="2"/>
  <c r="D12138" i="2"/>
  <c r="F12137" i="2"/>
  <c r="E12137" i="2"/>
  <c r="D12137" i="2"/>
  <c r="F12136" i="2"/>
  <c r="E12136" i="2"/>
  <c r="D12136" i="2"/>
  <c r="F12135" i="2"/>
  <c r="E12135" i="2"/>
  <c r="D12135" i="2"/>
  <c r="F12134" i="2"/>
  <c r="E12134" i="2"/>
  <c r="D12134" i="2"/>
  <c r="F12131" i="2"/>
  <c r="E12131" i="2"/>
  <c r="D12131" i="2"/>
  <c r="F12133" i="2"/>
  <c r="E12133" i="2"/>
  <c r="D12133" i="2"/>
  <c r="F12132" i="2"/>
  <c r="E12132" i="2"/>
  <c r="D12132" i="2"/>
  <c r="F16224" i="2"/>
  <c r="E16224" i="2"/>
  <c r="D16224" i="2"/>
  <c r="F16232" i="2"/>
  <c r="E16232" i="2"/>
  <c r="D16232" i="2"/>
  <c r="F16231" i="2"/>
  <c r="E16231" i="2"/>
  <c r="D16231" i="2"/>
  <c r="F16230" i="2"/>
  <c r="E16230" i="2"/>
  <c r="D16230" i="2"/>
  <c r="F16229" i="2"/>
  <c r="E16229" i="2"/>
  <c r="D16229" i="2"/>
  <c r="F16228" i="2"/>
  <c r="E16228" i="2"/>
  <c r="D16228" i="2"/>
  <c r="F16227" i="2"/>
  <c r="E16227" i="2"/>
  <c r="D16227" i="2"/>
  <c r="F16226" i="2"/>
  <c r="E16226" i="2"/>
  <c r="D16226" i="2"/>
  <c r="F16225" i="2"/>
  <c r="E16225" i="2"/>
  <c r="D16225" i="2"/>
  <c r="F6834" i="2"/>
  <c r="E6834" i="2"/>
  <c r="D6834" i="2"/>
  <c r="F6837" i="2"/>
  <c r="E6837" i="2"/>
  <c r="D6837" i="2"/>
  <c r="F6836" i="2"/>
  <c r="E6836" i="2"/>
  <c r="D6836" i="2"/>
  <c r="F6835" i="2"/>
  <c r="E6835" i="2"/>
  <c r="D6835" i="2"/>
  <c r="F2843" i="2"/>
  <c r="E2843" i="2"/>
  <c r="D2843" i="2"/>
  <c r="F2842" i="2"/>
  <c r="E2842" i="2"/>
  <c r="D2842" i="2"/>
  <c r="F15698" i="2"/>
  <c r="E15698" i="2"/>
  <c r="D15698" i="2"/>
  <c r="F15712" i="2"/>
  <c r="E15712" i="2"/>
  <c r="D15712" i="2"/>
  <c r="F15711" i="2"/>
  <c r="E15711" i="2"/>
  <c r="D15711" i="2"/>
  <c r="F15710" i="2"/>
  <c r="E15710" i="2"/>
  <c r="D15710" i="2"/>
  <c r="F15709" i="2"/>
  <c r="E15709" i="2"/>
  <c r="D15709" i="2"/>
  <c r="F15708" i="2"/>
  <c r="E15708" i="2"/>
  <c r="D15708" i="2"/>
  <c r="F15707" i="2"/>
  <c r="E15707" i="2"/>
  <c r="D15707" i="2"/>
  <c r="F15706" i="2"/>
  <c r="E15706" i="2"/>
  <c r="D15706" i="2"/>
  <c r="F15705" i="2"/>
  <c r="E15705" i="2"/>
  <c r="D15705" i="2"/>
  <c r="F15704" i="2"/>
  <c r="E15704" i="2"/>
  <c r="D15704" i="2"/>
  <c r="F15703" i="2"/>
  <c r="E15703" i="2"/>
  <c r="D15703" i="2"/>
  <c r="F15702" i="2"/>
  <c r="E15702" i="2"/>
  <c r="D15702" i="2"/>
  <c r="F15701" i="2"/>
  <c r="E15701" i="2"/>
  <c r="D15701" i="2"/>
  <c r="F15700" i="2"/>
  <c r="E15700" i="2"/>
  <c r="D15700" i="2"/>
  <c r="F15699" i="2"/>
  <c r="E15699" i="2"/>
  <c r="D15699" i="2"/>
  <c r="F14963" i="2"/>
  <c r="E14963" i="2"/>
  <c r="D14963" i="2"/>
  <c r="F14979" i="2"/>
  <c r="E14979" i="2"/>
  <c r="D14979" i="2"/>
  <c r="F14978" i="2"/>
  <c r="E14978" i="2"/>
  <c r="D14978" i="2"/>
  <c r="F14977" i="2"/>
  <c r="E14977" i="2"/>
  <c r="D14977" i="2"/>
  <c r="F14976" i="2"/>
  <c r="E14976" i="2"/>
  <c r="D14976" i="2"/>
  <c r="F14975" i="2"/>
  <c r="E14975" i="2"/>
  <c r="D14975" i="2"/>
  <c r="F14974" i="2"/>
  <c r="E14974" i="2"/>
  <c r="D14974" i="2"/>
  <c r="F14973" i="2"/>
  <c r="E14973" i="2"/>
  <c r="D14973" i="2"/>
  <c r="F14972" i="2"/>
  <c r="E14972" i="2"/>
  <c r="D14972" i="2"/>
  <c r="F14971" i="2"/>
  <c r="E14971" i="2"/>
  <c r="D14971" i="2"/>
  <c r="F14970" i="2"/>
  <c r="E14970" i="2"/>
  <c r="D14970" i="2"/>
  <c r="F14969" i="2"/>
  <c r="E14969" i="2"/>
  <c r="D14969" i="2"/>
  <c r="F14968" i="2"/>
  <c r="E14968" i="2"/>
  <c r="D14968" i="2"/>
  <c r="F14967" i="2"/>
  <c r="E14967" i="2"/>
  <c r="D14967" i="2"/>
  <c r="F14966" i="2"/>
  <c r="E14966" i="2"/>
  <c r="D14966" i="2"/>
  <c r="F14965" i="2"/>
  <c r="E14965" i="2"/>
  <c r="D14965" i="2"/>
  <c r="F14964" i="2"/>
  <c r="E14964" i="2"/>
  <c r="D14964" i="2"/>
  <c r="F16240" i="2"/>
  <c r="E16240" i="2"/>
  <c r="D16240" i="2"/>
  <c r="F16242" i="2"/>
  <c r="E16242" i="2"/>
  <c r="D16242" i="2"/>
  <c r="F16241" i="2"/>
  <c r="E16241" i="2"/>
  <c r="D16241" i="2"/>
  <c r="F16239" i="2"/>
  <c r="E16239" i="2"/>
  <c r="D16239" i="2"/>
  <c r="F14261" i="2"/>
  <c r="E14261" i="2"/>
  <c r="D14261" i="2"/>
  <c r="F14260" i="2"/>
  <c r="E14260" i="2"/>
  <c r="D14260" i="2"/>
  <c r="F14259" i="2"/>
  <c r="E14259" i="2"/>
  <c r="D14259" i="2"/>
  <c r="F14258" i="2"/>
  <c r="E14258" i="2"/>
  <c r="D14258" i="2"/>
  <c r="F14257" i="2"/>
  <c r="E14257" i="2"/>
  <c r="D14257" i="2"/>
  <c r="F14256" i="2"/>
  <c r="E14256" i="2"/>
  <c r="D14256" i="2"/>
  <c r="F14255" i="2"/>
  <c r="E14255" i="2"/>
  <c r="D14255" i="2"/>
  <c r="F14254" i="2"/>
  <c r="E14254" i="2"/>
  <c r="D14254" i="2"/>
  <c r="F14253" i="2"/>
  <c r="E14253" i="2"/>
  <c r="D14253" i="2"/>
  <c r="F14252" i="2"/>
  <c r="E14252" i="2"/>
  <c r="D14252" i="2"/>
  <c r="F14251" i="2"/>
  <c r="E14251" i="2"/>
  <c r="D14251" i="2"/>
  <c r="F14250" i="2"/>
  <c r="E14250" i="2"/>
  <c r="D14250" i="2"/>
  <c r="F14249" i="2"/>
  <c r="E14249" i="2"/>
  <c r="D14249" i="2"/>
  <c r="F994" i="2"/>
  <c r="E994" i="2"/>
  <c r="D994" i="2"/>
  <c r="F997" i="2"/>
  <c r="E997" i="2"/>
  <c r="D997" i="2"/>
  <c r="F996" i="2"/>
  <c r="E996" i="2"/>
  <c r="D996" i="2"/>
  <c r="F995" i="2"/>
  <c r="E995" i="2"/>
  <c r="D995" i="2"/>
  <c r="F13942" i="2"/>
  <c r="E13942" i="2"/>
  <c r="D13942" i="2"/>
  <c r="F13943" i="2"/>
  <c r="E13943" i="2"/>
  <c r="D13943" i="2"/>
  <c r="F584" i="2"/>
  <c r="E584" i="2"/>
  <c r="D584" i="2"/>
  <c r="F583" i="2"/>
  <c r="E583" i="2"/>
  <c r="D583" i="2"/>
  <c r="F582" i="2"/>
  <c r="E582" i="2"/>
  <c r="D582" i="2"/>
  <c r="F581" i="2"/>
  <c r="E581" i="2"/>
  <c r="D581" i="2"/>
  <c r="F13152" i="2"/>
  <c r="E13152" i="2"/>
  <c r="D13152" i="2"/>
  <c r="F13154" i="2"/>
  <c r="E13154" i="2"/>
  <c r="D13154" i="2"/>
  <c r="F13153" i="2"/>
  <c r="E13153" i="2"/>
  <c r="D13153" i="2"/>
  <c r="F13151" i="2"/>
  <c r="E13151" i="2"/>
  <c r="D13151" i="2"/>
  <c r="F13150" i="2"/>
  <c r="E13150" i="2"/>
  <c r="D13150" i="2"/>
  <c r="F13149" i="2"/>
  <c r="E13149" i="2"/>
  <c r="D13149" i="2"/>
  <c r="F13148" i="2"/>
  <c r="E13148" i="2"/>
  <c r="D13148" i="2"/>
  <c r="F13147" i="2"/>
  <c r="E13147" i="2"/>
  <c r="D13147" i="2"/>
  <c r="F15728" i="2"/>
  <c r="E15728" i="2"/>
  <c r="D15728" i="2"/>
  <c r="F15727" i="2"/>
  <c r="E15727" i="2"/>
  <c r="D15727" i="2"/>
  <c r="F15726" i="2"/>
  <c r="E15726" i="2"/>
  <c r="D15726" i="2"/>
  <c r="F15725" i="2"/>
  <c r="E15725" i="2"/>
  <c r="D15725" i="2"/>
  <c r="F15724" i="2"/>
  <c r="E15724" i="2"/>
  <c r="D15724" i="2"/>
  <c r="F13146" i="2"/>
  <c r="E13146" i="2"/>
  <c r="D13146" i="2"/>
  <c r="F4096" i="2"/>
  <c r="E4096" i="2"/>
  <c r="D4096" i="2"/>
  <c r="F4095" i="2"/>
  <c r="E4095" i="2"/>
  <c r="D4095" i="2"/>
  <c r="F4094" i="2"/>
  <c r="E4094" i="2"/>
  <c r="D4094" i="2"/>
  <c r="F4093" i="2"/>
  <c r="E4093" i="2"/>
  <c r="D4093" i="2"/>
  <c r="F4092" i="2"/>
  <c r="E4092" i="2"/>
  <c r="D4092" i="2"/>
  <c r="F4091" i="2"/>
  <c r="E4091" i="2"/>
  <c r="D4091" i="2"/>
  <c r="F4090" i="2"/>
  <c r="E4090" i="2"/>
  <c r="D4090" i="2"/>
  <c r="F4089" i="2"/>
  <c r="E4089" i="2"/>
  <c r="D4089" i="2"/>
  <c r="F4088" i="2"/>
  <c r="E4088" i="2"/>
  <c r="D4088" i="2"/>
  <c r="F4087" i="2"/>
  <c r="E4087" i="2"/>
  <c r="D4087" i="2"/>
  <c r="F4086" i="2"/>
  <c r="E4086" i="2"/>
  <c r="D4086" i="2"/>
  <c r="F4085" i="2"/>
  <c r="E4085" i="2"/>
  <c r="D4085" i="2"/>
  <c r="F4084" i="2"/>
  <c r="E4084" i="2"/>
  <c r="D4084" i="2"/>
  <c r="F13346" i="2"/>
  <c r="E13346" i="2"/>
  <c r="D13346" i="2"/>
  <c r="F13345" i="2"/>
  <c r="E13345" i="2"/>
  <c r="D13345" i="2"/>
  <c r="F13344" i="2"/>
  <c r="E13344" i="2"/>
  <c r="D13344" i="2"/>
  <c r="F13343" i="2"/>
  <c r="E13343" i="2"/>
  <c r="D13343" i="2"/>
  <c r="F13341" i="2"/>
  <c r="E13341" i="2"/>
  <c r="D13341" i="2"/>
  <c r="F13342" i="2"/>
  <c r="E13342" i="2"/>
  <c r="D13342" i="2"/>
  <c r="F9207" i="2"/>
  <c r="E9207" i="2"/>
  <c r="D9207" i="2"/>
  <c r="F9206" i="2"/>
  <c r="E9206" i="2"/>
  <c r="D9206" i="2"/>
  <c r="F9205" i="2"/>
  <c r="E9205" i="2"/>
  <c r="D9205" i="2"/>
  <c r="F9204" i="2"/>
  <c r="E9204" i="2"/>
  <c r="D9204" i="2"/>
  <c r="F9203" i="2"/>
  <c r="E9203" i="2"/>
  <c r="D9203" i="2"/>
  <c r="F9202" i="2"/>
  <c r="E9202" i="2"/>
  <c r="D9202" i="2"/>
  <c r="F9201" i="2"/>
  <c r="E9201" i="2"/>
  <c r="D9201" i="2"/>
  <c r="F9199" i="2"/>
  <c r="E9199" i="2"/>
  <c r="D9199" i="2"/>
  <c r="F9200" i="2"/>
  <c r="E9200" i="2"/>
  <c r="D9200" i="2"/>
  <c r="F9198" i="2"/>
  <c r="E9198" i="2"/>
  <c r="D9198" i="2"/>
  <c r="F9197" i="2"/>
  <c r="E9197" i="2"/>
  <c r="D9197" i="2"/>
  <c r="F9196" i="2"/>
  <c r="E9196" i="2"/>
  <c r="D9196" i="2"/>
  <c r="F9195" i="2"/>
  <c r="E9195" i="2"/>
  <c r="D9195" i="2"/>
  <c r="F9194" i="2"/>
  <c r="E9194" i="2"/>
  <c r="D9194" i="2"/>
  <c r="F9193" i="2"/>
  <c r="E9193" i="2"/>
  <c r="D9193" i="2"/>
  <c r="F9192" i="2"/>
  <c r="E9192" i="2"/>
  <c r="D9192" i="2"/>
  <c r="F9191" i="2"/>
  <c r="E9191" i="2"/>
  <c r="D9191" i="2"/>
  <c r="F9190" i="2"/>
  <c r="E9190" i="2"/>
  <c r="D9190" i="2"/>
  <c r="F9189" i="2"/>
  <c r="E9189" i="2"/>
  <c r="D9189" i="2"/>
  <c r="F9188" i="2"/>
  <c r="E9188" i="2"/>
  <c r="D9188" i="2"/>
  <c r="F9187" i="2"/>
  <c r="E9187" i="2"/>
  <c r="D9187" i="2"/>
  <c r="F9186" i="2"/>
  <c r="E9186" i="2"/>
  <c r="D9186" i="2"/>
  <c r="F9185" i="2"/>
  <c r="E9185" i="2"/>
  <c r="D9185" i="2"/>
  <c r="F9184" i="2"/>
  <c r="E9184" i="2"/>
  <c r="D9184" i="2"/>
  <c r="F3633" i="2"/>
  <c r="E3633" i="2"/>
  <c r="D3633" i="2"/>
  <c r="F3632" i="2"/>
  <c r="E3632" i="2"/>
  <c r="D3632" i="2"/>
  <c r="F3631" i="2"/>
  <c r="E3631" i="2"/>
  <c r="D3631" i="2"/>
  <c r="F3630" i="2"/>
  <c r="E3630" i="2"/>
  <c r="D3630" i="2"/>
  <c r="F9262" i="2"/>
  <c r="E9262" i="2"/>
  <c r="D9262" i="2"/>
  <c r="F9266" i="2"/>
  <c r="E9266" i="2"/>
  <c r="D9266" i="2"/>
  <c r="F9265" i="2"/>
  <c r="E9265" i="2"/>
  <c r="D9265" i="2"/>
  <c r="F9264" i="2"/>
  <c r="E9264" i="2"/>
  <c r="D9264" i="2"/>
  <c r="F9263" i="2"/>
  <c r="E9263" i="2"/>
  <c r="D9263" i="2"/>
  <c r="F11761" i="2"/>
  <c r="E11761" i="2"/>
  <c r="D11761" i="2"/>
  <c r="F11760" i="2"/>
  <c r="E11760" i="2"/>
  <c r="D11760" i="2"/>
  <c r="F11743" i="2"/>
  <c r="E11743" i="2"/>
  <c r="D11743" i="2"/>
  <c r="F11742" i="2"/>
  <c r="E11742" i="2"/>
  <c r="D11742" i="2"/>
  <c r="F11741" i="2"/>
  <c r="E11741" i="2"/>
  <c r="D11741" i="2"/>
  <c r="F11740" i="2"/>
  <c r="E11740" i="2"/>
  <c r="D11740" i="2"/>
  <c r="F11739" i="2"/>
  <c r="E11739" i="2"/>
  <c r="D11739" i="2"/>
  <c r="F11738" i="2"/>
  <c r="E11738" i="2"/>
  <c r="D11738" i="2"/>
  <c r="F11737" i="2"/>
  <c r="E11737" i="2"/>
  <c r="D11737" i="2"/>
  <c r="F11736" i="2"/>
  <c r="E11736" i="2"/>
  <c r="D11736" i="2"/>
  <c r="F11735" i="2"/>
  <c r="E11735" i="2"/>
  <c r="D11735" i="2"/>
  <c r="F11734" i="2"/>
  <c r="E11734" i="2"/>
  <c r="D11734" i="2"/>
  <c r="F11733" i="2"/>
  <c r="E11733" i="2"/>
  <c r="D11733" i="2"/>
  <c r="F11732" i="2"/>
  <c r="E11732" i="2"/>
  <c r="D11732" i="2"/>
  <c r="F11731" i="2"/>
  <c r="E11731" i="2"/>
  <c r="D11731" i="2"/>
  <c r="F11730" i="2"/>
  <c r="E11730" i="2"/>
  <c r="D11730" i="2"/>
  <c r="F11729" i="2"/>
  <c r="E11729" i="2"/>
  <c r="D11729" i="2"/>
  <c r="F11728" i="2"/>
  <c r="E11728" i="2"/>
  <c r="D11728" i="2"/>
  <c r="F11727" i="2"/>
  <c r="E11727" i="2"/>
  <c r="D11727" i="2"/>
  <c r="F11726" i="2"/>
  <c r="E11726" i="2"/>
  <c r="D11726" i="2"/>
  <c r="F11725" i="2"/>
  <c r="E11725" i="2"/>
  <c r="D11725" i="2"/>
  <c r="F11724" i="2"/>
  <c r="E11724" i="2"/>
  <c r="D11724" i="2"/>
  <c r="F11723" i="2"/>
  <c r="E11723" i="2"/>
  <c r="D11723" i="2"/>
  <c r="F11722" i="2"/>
  <c r="E11722" i="2"/>
  <c r="D11722" i="2"/>
  <c r="F11721" i="2"/>
  <c r="E11721" i="2"/>
  <c r="D11721" i="2"/>
  <c r="F11720" i="2"/>
  <c r="E11720" i="2"/>
  <c r="D11720" i="2"/>
  <c r="F11719" i="2"/>
  <c r="E11719" i="2"/>
  <c r="D11719" i="2"/>
  <c r="F11718" i="2"/>
  <c r="E11718" i="2"/>
  <c r="D11718" i="2"/>
  <c r="F11717" i="2"/>
  <c r="E11717" i="2"/>
  <c r="D11717" i="2"/>
  <c r="F11716" i="2"/>
  <c r="E11716" i="2"/>
  <c r="D11716" i="2"/>
  <c r="F11715" i="2"/>
  <c r="E11715" i="2"/>
  <c r="D11715" i="2"/>
  <c r="F11714" i="2"/>
  <c r="E11714" i="2"/>
  <c r="D11714" i="2"/>
  <c r="F11713" i="2"/>
  <c r="E11713" i="2"/>
  <c r="D11713" i="2"/>
  <c r="F11712" i="2"/>
  <c r="E11712" i="2"/>
  <c r="D11712" i="2"/>
  <c r="F11711" i="2"/>
  <c r="E11711" i="2"/>
  <c r="D11711" i="2"/>
  <c r="F11710" i="2"/>
  <c r="E11710" i="2"/>
  <c r="D11710" i="2"/>
  <c r="F11707" i="2"/>
  <c r="E11707" i="2"/>
  <c r="D11707" i="2"/>
  <c r="F11709" i="2"/>
  <c r="E11709" i="2"/>
  <c r="D11709" i="2"/>
  <c r="F11708" i="2"/>
  <c r="E11708" i="2"/>
  <c r="D11708" i="2"/>
  <c r="F11706" i="2"/>
  <c r="E11706" i="2"/>
  <c r="D11706" i="2"/>
  <c r="F11705" i="2"/>
  <c r="E11705" i="2"/>
  <c r="D11705" i="2"/>
  <c r="F11704" i="2"/>
  <c r="E11704" i="2"/>
  <c r="D11704" i="2"/>
  <c r="F11703" i="2"/>
  <c r="E11703" i="2"/>
  <c r="D11703" i="2"/>
  <c r="F11702" i="2"/>
  <c r="E11702" i="2"/>
  <c r="D11702" i="2"/>
  <c r="F11701" i="2"/>
  <c r="E11701" i="2"/>
  <c r="D11701" i="2"/>
  <c r="F11700" i="2"/>
  <c r="E11700" i="2"/>
  <c r="D11700" i="2"/>
  <c r="F11699" i="2"/>
  <c r="E11699" i="2"/>
  <c r="D11699" i="2"/>
  <c r="F11698" i="2"/>
  <c r="E11698" i="2"/>
  <c r="D11698" i="2"/>
  <c r="F11697" i="2"/>
  <c r="E11697" i="2"/>
  <c r="D11697" i="2"/>
  <c r="F11696" i="2"/>
  <c r="E11696" i="2"/>
  <c r="D11696" i="2"/>
  <c r="F11695" i="2"/>
  <c r="E11695" i="2"/>
  <c r="D11695" i="2"/>
  <c r="F11694" i="2"/>
  <c r="E11694" i="2"/>
  <c r="D11694" i="2"/>
  <c r="F11693" i="2"/>
  <c r="E11693" i="2"/>
  <c r="D11693" i="2"/>
  <c r="F11692" i="2"/>
  <c r="E11692" i="2"/>
  <c r="D11692" i="2"/>
  <c r="F11691" i="2"/>
  <c r="E11691" i="2"/>
  <c r="D11691" i="2"/>
  <c r="F11690" i="2"/>
  <c r="E11690" i="2"/>
  <c r="D11690" i="2"/>
  <c r="F11689" i="2"/>
  <c r="E11689" i="2"/>
  <c r="D11689" i="2"/>
  <c r="F11688" i="2"/>
  <c r="E11688" i="2"/>
  <c r="D11688" i="2"/>
  <c r="F11687" i="2"/>
  <c r="E11687" i="2"/>
  <c r="D11687" i="2"/>
  <c r="F11686" i="2"/>
  <c r="E11686" i="2"/>
  <c r="D11686" i="2"/>
  <c r="F11685" i="2"/>
  <c r="E11685" i="2"/>
  <c r="D11685" i="2"/>
  <c r="F11684" i="2"/>
  <c r="E11684" i="2"/>
  <c r="D11684" i="2"/>
  <c r="F11683" i="2"/>
  <c r="E11683" i="2"/>
  <c r="D11683" i="2"/>
  <c r="F11682" i="2"/>
  <c r="E11682" i="2"/>
  <c r="D11682" i="2"/>
  <c r="F11681" i="2"/>
  <c r="E11681" i="2"/>
  <c r="D11681" i="2"/>
  <c r="F11680" i="2"/>
  <c r="E11680" i="2"/>
  <c r="D11680" i="2"/>
  <c r="F10838" i="2"/>
  <c r="E10838" i="2"/>
  <c r="D10838" i="2"/>
  <c r="F10852" i="2"/>
  <c r="E10852" i="2"/>
  <c r="D10852" i="2"/>
  <c r="F10851" i="2"/>
  <c r="E10851" i="2"/>
  <c r="D10851" i="2"/>
  <c r="F10850" i="2"/>
  <c r="E10850" i="2"/>
  <c r="D10850" i="2"/>
  <c r="F10849" i="2"/>
  <c r="E10849" i="2"/>
  <c r="D10849" i="2"/>
  <c r="F10848" i="2"/>
  <c r="E10848" i="2"/>
  <c r="D10848" i="2"/>
  <c r="F10847" i="2"/>
  <c r="E10847" i="2"/>
  <c r="D10847" i="2"/>
  <c r="F10846" i="2"/>
  <c r="E10846" i="2"/>
  <c r="D10846" i="2"/>
  <c r="F10845" i="2"/>
  <c r="E10845" i="2"/>
  <c r="D10845" i="2"/>
  <c r="F10844" i="2"/>
  <c r="E10844" i="2"/>
  <c r="D10844" i="2"/>
  <c r="F10843" i="2"/>
  <c r="E10843" i="2"/>
  <c r="D10843" i="2"/>
  <c r="F10842" i="2"/>
  <c r="E10842" i="2"/>
  <c r="D10842" i="2"/>
  <c r="F10841" i="2"/>
  <c r="E10841" i="2"/>
  <c r="D10841" i="2"/>
  <c r="F10840" i="2"/>
  <c r="E10840" i="2"/>
  <c r="D10840" i="2"/>
  <c r="F10839" i="2"/>
  <c r="E10839" i="2"/>
  <c r="D10839" i="2"/>
  <c r="F3675" i="2"/>
  <c r="E3675" i="2"/>
  <c r="D3675" i="2"/>
  <c r="F3671" i="2"/>
  <c r="E3671" i="2"/>
  <c r="D3671" i="2"/>
  <c r="F3674" i="2"/>
  <c r="E3674" i="2"/>
  <c r="D3674" i="2"/>
  <c r="F3673" i="2"/>
  <c r="E3673" i="2"/>
  <c r="D3673" i="2"/>
  <c r="F3672" i="2"/>
  <c r="E3672" i="2"/>
  <c r="D3672" i="2"/>
  <c r="F3670" i="2"/>
  <c r="E3670" i="2"/>
  <c r="D3670" i="2"/>
  <c r="F3669" i="2"/>
  <c r="E3669" i="2"/>
  <c r="D3669" i="2"/>
  <c r="F3668" i="2"/>
  <c r="E3668" i="2"/>
  <c r="D3668" i="2"/>
  <c r="F3667" i="2"/>
  <c r="E3667" i="2"/>
  <c r="D3667" i="2"/>
  <c r="F3666" i="2"/>
  <c r="E3666" i="2"/>
  <c r="D3666" i="2"/>
  <c r="F3665" i="2"/>
  <c r="E3665" i="2"/>
  <c r="D3665" i="2"/>
  <c r="F3664" i="2"/>
  <c r="E3664" i="2"/>
  <c r="D3664" i="2"/>
  <c r="F3663" i="2"/>
  <c r="E3663" i="2"/>
  <c r="D3663" i="2"/>
  <c r="F12883" i="2"/>
  <c r="E12883" i="2"/>
  <c r="D12883" i="2"/>
  <c r="F12882" i="2"/>
  <c r="E12882" i="2"/>
  <c r="D12882" i="2"/>
  <c r="F12880" i="2"/>
  <c r="E12880" i="2"/>
  <c r="D12880" i="2"/>
  <c r="F12881" i="2"/>
  <c r="E12881" i="2"/>
  <c r="D12881" i="2"/>
  <c r="F12879" i="2"/>
  <c r="E12879" i="2"/>
  <c r="D12879" i="2"/>
  <c r="F12878" i="2"/>
  <c r="E12878" i="2"/>
  <c r="D12878" i="2"/>
  <c r="F12877" i="2"/>
  <c r="E12877" i="2"/>
  <c r="D12877" i="2"/>
  <c r="F12876" i="2"/>
  <c r="E12876" i="2"/>
  <c r="D12876" i="2"/>
  <c r="F12875" i="2"/>
  <c r="E12875" i="2"/>
  <c r="D12875" i="2"/>
  <c r="F12874" i="2"/>
  <c r="E12874" i="2"/>
  <c r="D12874" i="2"/>
  <c r="F12873" i="2"/>
  <c r="E12873" i="2"/>
  <c r="D12873" i="2"/>
  <c r="F12872" i="2"/>
  <c r="E12872" i="2"/>
  <c r="D12872" i="2"/>
  <c r="F12871" i="2"/>
  <c r="E12871" i="2"/>
  <c r="D12871" i="2"/>
  <c r="F12870" i="2"/>
  <c r="E12870" i="2"/>
  <c r="D12870" i="2"/>
  <c r="F12869" i="2"/>
  <c r="E12869" i="2"/>
  <c r="D12869" i="2"/>
  <c r="F12868" i="2"/>
  <c r="E12868" i="2"/>
  <c r="D12868" i="2"/>
  <c r="F12867" i="2"/>
  <c r="E12867" i="2"/>
  <c r="D12867" i="2"/>
  <c r="F12866" i="2"/>
  <c r="E12866" i="2"/>
  <c r="D12866" i="2"/>
  <c r="F12865" i="2"/>
  <c r="E12865" i="2"/>
  <c r="D12865" i="2"/>
  <c r="F12864" i="2"/>
  <c r="E12864" i="2"/>
  <c r="D12864" i="2"/>
  <c r="F12863" i="2"/>
  <c r="E12863" i="2"/>
  <c r="D12863" i="2"/>
  <c r="F12862" i="2"/>
  <c r="E12862" i="2"/>
  <c r="D12862" i="2"/>
  <c r="F12861" i="2"/>
  <c r="E12861" i="2"/>
  <c r="D12861" i="2"/>
  <c r="F12860" i="2"/>
  <c r="E12860" i="2"/>
  <c r="D12860" i="2"/>
  <c r="F12859" i="2"/>
  <c r="E12859" i="2"/>
  <c r="D12859" i="2"/>
  <c r="F12858" i="2"/>
  <c r="E12858" i="2"/>
  <c r="D12858" i="2"/>
  <c r="F12857" i="2"/>
  <c r="E12857" i="2"/>
  <c r="D12857" i="2"/>
  <c r="F12856" i="2"/>
  <c r="E12856" i="2"/>
  <c r="D12856" i="2"/>
  <c r="F12855" i="2"/>
  <c r="E12855" i="2"/>
  <c r="D12855" i="2"/>
  <c r="F12854" i="2"/>
  <c r="E12854" i="2"/>
  <c r="D12854" i="2"/>
  <c r="F12852" i="2"/>
  <c r="E12852" i="2"/>
  <c r="D12852" i="2"/>
  <c r="F12853" i="2"/>
  <c r="E12853" i="2"/>
  <c r="D12853" i="2"/>
  <c r="F12851" i="2"/>
  <c r="E12851" i="2"/>
  <c r="D12851" i="2"/>
  <c r="F3662" i="2"/>
  <c r="E3662" i="2"/>
  <c r="D3662" i="2"/>
  <c r="F13956" i="2"/>
  <c r="E13956" i="2"/>
  <c r="D13956" i="2"/>
  <c r="F13395" i="2"/>
  <c r="E13395" i="2"/>
  <c r="D13395" i="2"/>
  <c r="F13401" i="2"/>
  <c r="E13401" i="2"/>
  <c r="D13401" i="2"/>
  <c r="F13400" i="2"/>
  <c r="E13400" i="2"/>
  <c r="D13400" i="2"/>
  <c r="F13399" i="2"/>
  <c r="E13399" i="2"/>
  <c r="D13399" i="2"/>
  <c r="F13398" i="2"/>
  <c r="E13398" i="2"/>
  <c r="D13398" i="2"/>
  <c r="F13397" i="2"/>
  <c r="E13397" i="2"/>
  <c r="D13397" i="2"/>
  <c r="F13396" i="2"/>
  <c r="E13396" i="2"/>
  <c r="D13396" i="2"/>
  <c r="F9381" i="2"/>
  <c r="E9381" i="2"/>
  <c r="D9381" i="2"/>
  <c r="F9386" i="2"/>
  <c r="E9386" i="2"/>
  <c r="D9386" i="2"/>
  <c r="F9385" i="2"/>
  <c r="E9385" i="2"/>
  <c r="D9385" i="2"/>
  <c r="F9384" i="2"/>
  <c r="E9384" i="2"/>
  <c r="D9384" i="2"/>
  <c r="F9383" i="2"/>
  <c r="E9383" i="2"/>
  <c r="D9383" i="2"/>
  <c r="F9382" i="2"/>
  <c r="E9382" i="2"/>
  <c r="D9382" i="2"/>
  <c r="F9726" i="2"/>
  <c r="E9726" i="2"/>
  <c r="D9726" i="2"/>
  <c r="F9735" i="2"/>
  <c r="E9735" i="2"/>
  <c r="D9735" i="2"/>
  <c r="F9734" i="2"/>
  <c r="E9734" i="2"/>
  <c r="D9734" i="2"/>
  <c r="F9733" i="2"/>
  <c r="E9733" i="2"/>
  <c r="D9733" i="2"/>
  <c r="F9732" i="2"/>
  <c r="E9732" i="2"/>
  <c r="D9732" i="2"/>
  <c r="F9731" i="2"/>
  <c r="E9731" i="2"/>
  <c r="D9731" i="2"/>
  <c r="F9730" i="2"/>
  <c r="E9730" i="2"/>
  <c r="D9730" i="2"/>
  <c r="F9729" i="2"/>
  <c r="E9729" i="2"/>
  <c r="D9729" i="2"/>
  <c r="F9728" i="2"/>
  <c r="E9728" i="2"/>
  <c r="D9728" i="2"/>
  <c r="F9727" i="2"/>
  <c r="E9727" i="2"/>
  <c r="D9727" i="2"/>
  <c r="F9708" i="2"/>
  <c r="E9708" i="2"/>
  <c r="D9708" i="2"/>
  <c r="F9725" i="2"/>
  <c r="E9725" i="2"/>
  <c r="D9725" i="2"/>
  <c r="F9724" i="2"/>
  <c r="E9724" i="2"/>
  <c r="D9724" i="2"/>
  <c r="F9723" i="2"/>
  <c r="E9723" i="2"/>
  <c r="D9723" i="2"/>
  <c r="F9722" i="2"/>
  <c r="E9722" i="2"/>
  <c r="D9722" i="2"/>
  <c r="F9721" i="2"/>
  <c r="E9721" i="2"/>
  <c r="D9721" i="2"/>
  <c r="F9720" i="2"/>
  <c r="E9720" i="2"/>
  <c r="D9720" i="2"/>
  <c r="F9719" i="2"/>
  <c r="E9719" i="2"/>
  <c r="D9719" i="2"/>
  <c r="F9718" i="2"/>
  <c r="E9718" i="2"/>
  <c r="D9718" i="2"/>
  <c r="F9717" i="2"/>
  <c r="E9717" i="2"/>
  <c r="D9717" i="2"/>
  <c r="F9716" i="2"/>
  <c r="E9716" i="2"/>
  <c r="D9716" i="2"/>
  <c r="F9715" i="2"/>
  <c r="E9715" i="2"/>
  <c r="D9715" i="2"/>
  <c r="F9714" i="2"/>
  <c r="E9714" i="2"/>
  <c r="D9714" i="2"/>
  <c r="F9713" i="2"/>
  <c r="E9713" i="2"/>
  <c r="D9713" i="2"/>
  <c r="F9712" i="2"/>
  <c r="E9712" i="2"/>
  <c r="D9712" i="2"/>
  <c r="F9711" i="2"/>
  <c r="E9711" i="2"/>
  <c r="D9711" i="2"/>
  <c r="F9710" i="2"/>
  <c r="E9710" i="2"/>
  <c r="D9710" i="2"/>
  <c r="F9709" i="2"/>
  <c r="E9709" i="2"/>
  <c r="D9709" i="2"/>
  <c r="F853" i="2"/>
  <c r="E853" i="2"/>
  <c r="D853" i="2"/>
  <c r="F861" i="2"/>
  <c r="E861" i="2"/>
  <c r="D861" i="2"/>
  <c r="F860" i="2"/>
  <c r="E860" i="2"/>
  <c r="D860" i="2"/>
  <c r="F859" i="2"/>
  <c r="E859" i="2"/>
  <c r="D859" i="2"/>
  <c r="F858" i="2"/>
  <c r="E858" i="2"/>
  <c r="D858" i="2"/>
  <c r="F857" i="2"/>
  <c r="E857" i="2"/>
  <c r="D857" i="2"/>
  <c r="F856" i="2"/>
  <c r="E856" i="2"/>
  <c r="D856" i="2"/>
  <c r="F855" i="2"/>
  <c r="E855" i="2"/>
  <c r="D855" i="2"/>
  <c r="F854" i="2"/>
  <c r="E854" i="2"/>
  <c r="D854" i="2"/>
  <c r="F6226" i="2"/>
  <c r="E6226" i="2"/>
  <c r="D6226" i="2"/>
  <c r="F667" i="2"/>
  <c r="E667" i="2"/>
  <c r="D667" i="2"/>
  <c r="F670" i="2"/>
  <c r="E670" i="2"/>
  <c r="D670" i="2"/>
  <c r="F669" i="2"/>
  <c r="E669" i="2"/>
  <c r="D669" i="2"/>
  <c r="F668" i="2"/>
  <c r="E668" i="2"/>
  <c r="D668" i="2"/>
  <c r="F9704" i="2"/>
  <c r="E9704" i="2"/>
  <c r="D9704" i="2"/>
  <c r="F9707" i="2"/>
  <c r="E9707" i="2"/>
  <c r="D9707" i="2"/>
  <c r="F9706" i="2"/>
  <c r="E9706" i="2"/>
  <c r="D9706" i="2"/>
  <c r="F9705" i="2"/>
  <c r="E9705" i="2"/>
  <c r="D9705" i="2"/>
  <c r="F16424" i="2"/>
  <c r="E16424" i="2"/>
  <c r="D16424" i="2"/>
  <c r="F16427" i="2"/>
  <c r="E16427" i="2"/>
  <c r="D16427" i="2"/>
  <c r="F16426" i="2"/>
  <c r="E16426" i="2"/>
  <c r="D16426" i="2"/>
  <c r="F16425" i="2"/>
  <c r="E16425" i="2"/>
  <c r="D16425" i="2"/>
  <c r="F15280" i="2"/>
  <c r="E15280" i="2"/>
  <c r="D15280" i="2"/>
  <c r="F15283" i="2"/>
  <c r="E15283" i="2"/>
  <c r="D15283" i="2"/>
  <c r="F15282" i="2"/>
  <c r="E15282" i="2"/>
  <c r="D15282" i="2"/>
  <c r="F15281" i="2"/>
  <c r="E15281" i="2"/>
  <c r="D15281" i="2"/>
  <c r="F15279" i="2"/>
  <c r="E15279" i="2"/>
  <c r="D15279" i="2"/>
  <c r="F4569" i="2"/>
  <c r="E4569" i="2"/>
  <c r="D4569" i="2"/>
  <c r="F4578" i="2"/>
  <c r="E4578" i="2"/>
  <c r="D4578" i="2"/>
  <c r="F4577" i="2"/>
  <c r="E4577" i="2"/>
  <c r="D4577" i="2"/>
  <c r="F4576" i="2"/>
  <c r="E4576" i="2"/>
  <c r="D4576" i="2"/>
  <c r="F4575" i="2"/>
  <c r="E4575" i="2"/>
  <c r="D4575" i="2"/>
  <c r="F4574" i="2"/>
  <c r="E4574" i="2"/>
  <c r="D4574" i="2"/>
  <c r="F4573" i="2"/>
  <c r="E4573" i="2"/>
  <c r="D4573" i="2"/>
  <c r="F4572" i="2"/>
  <c r="E4572" i="2"/>
  <c r="D4572" i="2"/>
  <c r="F4571" i="2"/>
  <c r="E4571" i="2"/>
  <c r="D4571" i="2"/>
  <c r="F4570" i="2"/>
  <c r="E4570" i="2"/>
  <c r="D4570" i="2"/>
  <c r="F9736" i="2"/>
  <c r="E9736" i="2"/>
  <c r="D9736" i="2"/>
  <c r="F9756" i="2"/>
  <c r="E9756" i="2"/>
  <c r="D9756" i="2"/>
  <c r="F9755" i="2"/>
  <c r="E9755" i="2"/>
  <c r="D9755" i="2"/>
  <c r="F9754" i="2"/>
  <c r="E9754" i="2"/>
  <c r="D9754" i="2"/>
  <c r="F9753" i="2"/>
  <c r="E9753" i="2"/>
  <c r="D9753" i="2"/>
  <c r="F9752" i="2"/>
  <c r="E9752" i="2"/>
  <c r="D9752" i="2"/>
  <c r="F9751" i="2"/>
  <c r="E9751" i="2"/>
  <c r="D9751" i="2"/>
  <c r="F9750" i="2"/>
  <c r="E9750" i="2"/>
  <c r="D9750" i="2"/>
  <c r="F9749" i="2"/>
  <c r="E9749" i="2"/>
  <c r="D9749" i="2"/>
  <c r="F9748" i="2"/>
  <c r="E9748" i="2"/>
  <c r="D9748" i="2"/>
  <c r="F9747" i="2"/>
  <c r="E9747" i="2"/>
  <c r="D9747" i="2"/>
  <c r="F9746" i="2"/>
  <c r="E9746" i="2"/>
  <c r="D9746" i="2"/>
  <c r="F9745" i="2"/>
  <c r="E9745" i="2"/>
  <c r="D9745" i="2"/>
  <c r="F9744" i="2"/>
  <c r="E9744" i="2"/>
  <c r="D9744" i="2"/>
  <c r="F9743" i="2"/>
  <c r="E9743" i="2"/>
  <c r="D9743" i="2"/>
  <c r="F9742" i="2"/>
  <c r="E9742" i="2"/>
  <c r="D9742" i="2"/>
  <c r="F9741" i="2"/>
  <c r="E9741" i="2"/>
  <c r="D9741" i="2"/>
  <c r="F9740" i="2"/>
  <c r="E9740" i="2"/>
  <c r="D9740" i="2"/>
  <c r="F9739" i="2"/>
  <c r="E9739" i="2"/>
  <c r="D9739" i="2"/>
  <c r="F9738" i="2"/>
  <c r="E9738" i="2"/>
  <c r="D9738" i="2"/>
  <c r="F9737" i="2"/>
  <c r="E9737" i="2"/>
  <c r="D9737" i="2"/>
  <c r="F12005" i="2"/>
  <c r="E12005" i="2"/>
  <c r="D12005" i="2"/>
  <c r="F12009" i="2"/>
  <c r="E12009" i="2"/>
  <c r="D12009" i="2"/>
  <c r="F12008" i="2"/>
  <c r="E12008" i="2"/>
  <c r="D12008" i="2"/>
  <c r="F12007" i="2"/>
  <c r="E12007" i="2"/>
  <c r="D12007" i="2"/>
  <c r="F12006" i="2"/>
  <c r="E12006" i="2"/>
  <c r="D12006" i="2"/>
  <c r="F1751" i="2"/>
  <c r="E1751" i="2"/>
  <c r="D1751" i="2"/>
  <c r="F1764" i="2"/>
  <c r="E1764" i="2"/>
  <c r="D1764" i="2"/>
  <c r="F1763" i="2"/>
  <c r="E1763" i="2"/>
  <c r="D1763" i="2"/>
  <c r="F1762" i="2"/>
  <c r="E1762" i="2"/>
  <c r="D1762" i="2"/>
  <c r="F1761" i="2"/>
  <c r="E1761" i="2"/>
  <c r="D1761" i="2"/>
  <c r="F1760" i="2"/>
  <c r="E1760" i="2"/>
  <c r="D1760" i="2"/>
  <c r="F1759" i="2"/>
  <c r="E1759" i="2"/>
  <c r="D1759" i="2"/>
  <c r="F1758" i="2"/>
  <c r="E1758" i="2"/>
  <c r="D1758" i="2"/>
  <c r="F1757" i="2"/>
  <c r="E1757" i="2"/>
  <c r="D1757" i="2"/>
  <c r="F1756" i="2"/>
  <c r="E1756" i="2"/>
  <c r="D1756" i="2"/>
  <c r="F1755" i="2"/>
  <c r="E1755" i="2"/>
  <c r="D1755" i="2"/>
  <c r="F1754" i="2"/>
  <c r="E1754" i="2"/>
  <c r="D1754" i="2"/>
  <c r="F1753" i="2"/>
  <c r="E1753" i="2"/>
  <c r="D1753" i="2"/>
  <c r="F1752" i="2"/>
  <c r="E1752" i="2"/>
  <c r="D1752" i="2"/>
  <c r="F11469" i="2"/>
  <c r="E11469" i="2"/>
  <c r="D11469" i="2"/>
  <c r="F11484" i="2"/>
  <c r="E11484" i="2"/>
  <c r="D11484" i="2"/>
  <c r="F11483" i="2"/>
  <c r="E11483" i="2"/>
  <c r="D11483" i="2"/>
  <c r="F11482" i="2"/>
  <c r="E11482" i="2"/>
  <c r="D11482" i="2"/>
  <c r="F11481" i="2"/>
  <c r="E11481" i="2"/>
  <c r="D11481" i="2"/>
  <c r="F11480" i="2"/>
  <c r="E11480" i="2"/>
  <c r="D11480" i="2"/>
  <c r="F11479" i="2"/>
  <c r="E11479" i="2"/>
  <c r="D11479" i="2"/>
  <c r="F11478" i="2"/>
  <c r="E11478" i="2"/>
  <c r="D11478" i="2"/>
  <c r="F11477" i="2"/>
  <c r="E11477" i="2"/>
  <c r="D11477" i="2"/>
  <c r="F11476" i="2"/>
  <c r="E11476" i="2"/>
  <c r="D11476" i="2"/>
  <c r="F11475" i="2"/>
  <c r="E11475" i="2"/>
  <c r="D11475" i="2"/>
  <c r="F11474" i="2"/>
  <c r="E11474" i="2"/>
  <c r="D11474" i="2"/>
  <c r="F11473" i="2"/>
  <c r="E11473" i="2"/>
  <c r="D11473" i="2"/>
  <c r="F11472" i="2"/>
  <c r="E11472" i="2"/>
  <c r="D11472" i="2"/>
  <c r="F11471" i="2"/>
  <c r="E11471" i="2"/>
  <c r="D11471" i="2"/>
  <c r="F11470" i="2"/>
  <c r="E11470" i="2"/>
  <c r="D11470" i="2"/>
  <c r="F3793" i="2"/>
  <c r="E3793" i="2"/>
  <c r="D3793" i="2"/>
  <c r="F3802" i="2"/>
  <c r="E3802" i="2"/>
  <c r="D3802" i="2"/>
  <c r="F3801" i="2"/>
  <c r="E3801" i="2"/>
  <c r="D3801" i="2"/>
  <c r="F3800" i="2"/>
  <c r="E3800" i="2"/>
  <c r="D3800" i="2"/>
  <c r="F3799" i="2"/>
  <c r="E3799" i="2"/>
  <c r="D3799" i="2"/>
  <c r="F3798" i="2"/>
  <c r="E3798" i="2"/>
  <c r="D3798" i="2"/>
  <c r="F3797" i="2"/>
  <c r="E3797" i="2"/>
  <c r="D3797" i="2"/>
  <c r="F3796" i="2"/>
  <c r="E3796" i="2"/>
  <c r="D3796" i="2"/>
  <c r="F3795" i="2"/>
  <c r="E3795" i="2"/>
  <c r="D3795" i="2"/>
  <c r="F3794" i="2"/>
  <c r="E3794" i="2"/>
  <c r="D3794" i="2"/>
  <c r="F13552" i="2"/>
  <c r="E13552" i="2"/>
  <c r="D13552" i="2"/>
  <c r="F13551" i="2"/>
  <c r="E13551" i="2"/>
  <c r="D13551" i="2"/>
  <c r="F13550" i="2"/>
  <c r="E13550" i="2"/>
  <c r="D13550" i="2"/>
  <c r="F13549" i="2"/>
  <c r="E13549" i="2"/>
  <c r="D13549" i="2"/>
  <c r="F13548" i="2"/>
  <c r="E13548" i="2"/>
  <c r="D13548" i="2"/>
  <c r="F13547" i="2"/>
  <c r="E13547" i="2"/>
  <c r="D13547" i="2"/>
  <c r="F13546" i="2"/>
  <c r="E13546" i="2"/>
  <c r="D13546" i="2"/>
  <c r="F13545" i="2"/>
  <c r="E13545" i="2"/>
  <c r="D13545" i="2"/>
  <c r="F13544" i="2"/>
  <c r="E13544" i="2"/>
  <c r="D13544" i="2"/>
  <c r="F10888" i="2"/>
  <c r="E10888" i="2"/>
  <c r="D10888" i="2"/>
  <c r="F10901" i="2"/>
  <c r="E10901" i="2"/>
  <c r="D10901" i="2"/>
  <c r="F10900" i="2"/>
  <c r="E10900" i="2"/>
  <c r="D10900" i="2"/>
  <c r="F10899" i="2"/>
  <c r="E10899" i="2"/>
  <c r="D10899" i="2"/>
  <c r="F10898" i="2"/>
  <c r="E10898" i="2"/>
  <c r="D10898" i="2"/>
  <c r="F10897" i="2"/>
  <c r="E10897" i="2"/>
  <c r="D10897" i="2"/>
  <c r="F10896" i="2"/>
  <c r="E10896" i="2"/>
  <c r="D10896" i="2"/>
  <c r="F10895" i="2"/>
  <c r="E10895" i="2"/>
  <c r="D10895" i="2"/>
  <c r="F10894" i="2"/>
  <c r="E10894" i="2"/>
  <c r="D10894" i="2"/>
  <c r="F10893" i="2"/>
  <c r="E10893" i="2"/>
  <c r="D10893" i="2"/>
  <c r="F10892" i="2"/>
  <c r="E10892" i="2"/>
  <c r="D10892" i="2"/>
  <c r="F10891" i="2"/>
  <c r="E10891" i="2"/>
  <c r="D10891" i="2"/>
  <c r="F10890" i="2"/>
  <c r="E10890" i="2"/>
  <c r="D10890" i="2"/>
  <c r="F10889" i="2"/>
  <c r="E10889" i="2"/>
  <c r="D10889" i="2"/>
  <c r="F1918" i="2"/>
  <c r="E1918" i="2"/>
  <c r="D1918" i="2"/>
  <c r="F1925" i="2"/>
  <c r="E1925" i="2"/>
  <c r="D1925" i="2"/>
  <c r="F1924" i="2"/>
  <c r="E1924" i="2"/>
  <c r="D1924" i="2"/>
  <c r="F1923" i="2"/>
  <c r="E1923" i="2"/>
  <c r="D1923" i="2"/>
  <c r="F1922" i="2"/>
  <c r="E1922" i="2"/>
  <c r="D1922" i="2"/>
  <c r="F1921" i="2"/>
  <c r="E1921" i="2"/>
  <c r="D1921" i="2"/>
  <c r="F1920" i="2"/>
  <c r="E1920" i="2"/>
  <c r="D1920" i="2"/>
  <c r="F1919" i="2"/>
  <c r="E1919" i="2"/>
  <c r="D1919" i="2"/>
  <c r="F9761" i="2"/>
  <c r="E9761" i="2"/>
  <c r="D9761" i="2"/>
  <c r="F9774" i="2"/>
  <c r="E9774" i="2"/>
  <c r="D9774" i="2"/>
  <c r="F9773" i="2"/>
  <c r="E9773" i="2"/>
  <c r="D9773" i="2"/>
  <c r="F9772" i="2"/>
  <c r="E9772" i="2"/>
  <c r="D9772" i="2"/>
  <c r="F9771" i="2"/>
  <c r="E9771" i="2"/>
  <c r="D9771" i="2"/>
  <c r="F9770" i="2"/>
  <c r="E9770" i="2"/>
  <c r="D9770" i="2"/>
  <c r="F9769" i="2"/>
  <c r="E9769" i="2"/>
  <c r="D9769" i="2"/>
  <c r="F9768" i="2"/>
  <c r="E9768" i="2"/>
  <c r="D9768" i="2"/>
  <c r="F9767" i="2"/>
  <c r="E9767" i="2"/>
  <c r="D9767" i="2"/>
  <c r="F9766" i="2"/>
  <c r="E9766" i="2"/>
  <c r="D9766" i="2"/>
  <c r="F9765" i="2"/>
  <c r="E9765" i="2"/>
  <c r="D9765" i="2"/>
  <c r="F9764" i="2"/>
  <c r="E9764" i="2"/>
  <c r="D9764" i="2"/>
  <c r="F9763" i="2"/>
  <c r="E9763" i="2"/>
  <c r="D9763" i="2"/>
  <c r="F9762" i="2"/>
  <c r="E9762" i="2"/>
  <c r="D9762" i="2"/>
  <c r="F9758" i="2"/>
  <c r="E9758" i="2"/>
  <c r="D9758" i="2"/>
  <c r="F9760" i="2"/>
  <c r="E9760" i="2"/>
  <c r="D9760" i="2"/>
  <c r="F9759" i="2"/>
  <c r="E9759" i="2"/>
  <c r="D9759" i="2"/>
  <c r="F11506" i="2"/>
  <c r="E11506" i="2"/>
  <c r="D11506" i="2"/>
  <c r="F11509" i="2"/>
  <c r="E11509" i="2"/>
  <c r="D11509" i="2"/>
  <c r="F11508" i="2"/>
  <c r="E11508" i="2"/>
  <c r="D11508" i="2"/>
  <c r="F11507" i="2"/>
  <c r="E11507" i="2"/>
  <c r="D11507" i="2"/>
  <c r="F6361" i="2"/>
  <c r="E6361" i="2"/>
  <c r="D6361" i="2"/>
  <c r="F6366" i="2"/>
  <c r="E6366" i="2"/>
  <c r="D6366" i="2"/>
  <c r="F6365" i="2"/>
  <c r="E6365" i="2"/>
  <c r="D6365" i="2"/>
  <c r="F6364" i="2"/>
  <c r="E6364" i="2"/>
  <c r="D6364" i="2"/>
  <c r="F6363" i="2"/>
  <c r="E6363" i="2"/>
  <c r="D6363" i="2"/>
  <c r="F6362" i="2"/>
  <c r="E6362" i="2"/>
  <c r="D6362" i="2"/>
  <c r="F12010" i="2"/>
  <c r="E12010" i="2"/>
  <c r="D12010" i="2"/>
  <c r="F12020" i="2"/>
  <c r="E12020" i="2"/>
  <c r="D12020" i="2"/>
  <c r="F12019" i="2"/>
  <c r="E12019" i="2"/>
  <c r="D12019" i="2"/>
  <c r="F12018" i="2"/>
  <c r="E12018" i="2"/>
  <c r="D12018" i="2"/>
  <c r="F12017" i="2"/>
  <c r="E12017" i="2"/>
  <c r="D12017" i="2"/>
  <c r="F12016" i="2"/>
  <c r="E12016" i="2"/>
  <c r="D12016" i="2"/>
  <c r="F12015" i="2"/>
  <c r="E12015" i="2"/>
  <c r="D12015" i="2"/>
  <c r="F12014" i="2"/>
  <c r="E12014" i="2"/>
  <c r="D12014" i="2"/>
  <c r="F12013" i="2"/>
  <c r="E12013" i="2"/>
  <c r="D12013" i="2"/>
  <c r="F12012" i="2"/>
  <c r="E12012" i="2"/>
  <c r="D12012" i="2"/>
  <c r="F12011" i="2"/>
  <c r="E12011" i="2"/>
  <c r="D12011" i="2"/>
  <c r="F9690" i="2"/>
  <c r="E9690" i="2"/>
  <c r="D9690" i="2"/>
  <c r="F9703" i="2"/>
  <c r="E9703" i="2"/>
  <c r="D9703" i="2"/>
  <c r="F9702" i="2"/>
  <c r="E9702" i="2"/>
  <c r="D9702" i="2"/>
  <c r="F9701" i="2"/>
  <c r="E9701" i="2"/>
  <c r="D9701" i="2"/>
  <c r="F9700" i="2"/>
  <c r="E9700" i="2"/>
  <c r="D9700" i="2"/>
  <c r="F9699" i="2"/>
  <c r="E9699" i="2"/>
  <c r="D9699" i="2"/>
  <c r="F9698" i="2"/>
  <c r="E9698" i="2"/>
  <c r="D9698" i="2"/>
  <c r="F9697" i="2"/>
  <c r="E9697" i="2"/>
  <c r="D9697" i="2"/>
  <c r="F9696" i="2"/>
  <c r="E9696" i="2"/>
  <c r="D9696" i="2"/>
  <c r="F9694" i="2"/>
  <c r="E9694" i="2"/>
  <c r="D9694" i="2"/>
  <c r="F9695" i="2"/>
  <c r="E9695" i="2"/>
  <c r="D9695" i="2"/>
  <c r="F9693" i="2"/>
  <c r="E9693" i="2"/>
  <c r="D9693" i="2"/>
  <c r="F9692" i="2"/>
  <c r="E9692" i="2"/>
  <c r="D9692" i="2"/>
  <c r="F9691" i="2"/>
  <c r="E9691" i="2"/>
  <c r="D9691" i="2"/>
  <c r="F13722" i="2"/>
  <c r="E13722" i="2"/>
  <c r="D13722" i="2"/>
  <c r="F13737" i="2"/>
  <c r="E13737" i="2"/>
  <c r="D13737" i="2"/>
  <c r="F13736" i="2"/>
  <c r="E13736" i="2"/>
  <c r="D13736" i="2"/>
  <c r="F13735" i="2"/>
  <c r="E13735" i="2"/>
  <c r="D13735" i="2"/>
  <c r="F13734" i="2"/>
  <c r="E13734" i="2"/>
  <c r="D13734" i="2"/>
  <c r="F13733" i="2"/>
  <c r="E13733" i="2"/>
  <c r="D13733" i="2"/>
  <c r="F13732" i="2"/>
  <c r="E13732" i="2"/>
  <c r="D13732" i="2"/>
  <c r="F13731" i="2"/>
  <c r="E13731" i="2"/>
  <c r="D13731" i="2"/>
  <c r="F13730" i="2"/>
  <c r="E13730" i="2"/>
  <c r="D13730" i="2"/>
  <c r="F13729" i="2"/>
  <c r="E13729" i="2"/>
  <c r="D13729" i="2"/>
  <c r="F13728" i="2"/>
  <c r="E13728" i="2"/>
  <c r="D13728" i="2"/>
  <c r="F13727" i="2"/>
  <c r="E13727" i="2"/>
  <c r="D13727" i="2"/>
  <c r="F13726" i="2"/>
  <c r="E13726" i="2"/>
  <c r="D13726" i="2"/>
  <c r="F13725" i="2"/>
  <c r="E13725" i="2"/>
  <c r="D13725" i="2"/>
  <c r="F13724" i="2"/>
  <c r="E13724" i="2"/>
  <c r="D13724" i="2"/>
  <c r="F13723" i="2"/>
  <c r="E13723" i="2"/>
  <c r="D13723" i="2"/>
  <c r="F15521" i="2"/>
  <c r="E15521" i="2"/>
  <c r="D15521" i="2"/>
  <c r="F15560" i="2"/>
  <c r="E15560" i="2"/>
  <c r="D15560" i="2"/>
  <c r="F15559" i="2"/>
  <c r="E15559" i="2"/>
  <c r="D15559" i="2"/>
  <c r="F15558" i="2"/>
  <c r="E15558" i="2"/>
  <c r="D15558" i="2"/>
  <c r="F15557" i="2"/>
  <c r="E15557" i="2"/>
  <c r="D15557" i="2"/>
  <c r="F15556" i="2"/>
  <c r="E15556" i="2"/>
  <c r="D15556" i="2"/>
  <c r="F15555" i="2"/>
  <c r="E15555" i="2"/>
  <c r="D15555" i="2"/>
  <c r="F15554" i="2"/>
  <c r="E15554" i="2"/>
  <c r="D15554" i="2"/>
  <c r="F15553" i="2"/>
  <c r="E15553" i="2"/>
  <c r="D15553" i="2"/>
  <c r="F15552" i="2"/>
  <c r="E15552" i="2"/>
  <c r="D15552" i="2"/>
  <c r="F15551" i="2"/>
  <c r="E15551" i="2"/>
  <c r="D15551" i="2"/>
  <c r="F15550" i="2"/>
  <c r="E15550" i="2"/>
  <c r="D15550" i="2"/>
  <c r="F15549" i="2"/>
  <c r="E15549" i="2"/>
  <c r="D15549" i="2"/>
  <c r="F15548" i="2"/>
  <c r="E15548" i="2"/>
  <c r="D15548" i="2"/>
  <c r="F15547" i="2"/>
  <c r="E15547" i="2"/>
  <c r="D15547" i="2"/>
  <c r="F15546" i="2"/>
  <c r="E15546" i="2"/>
  <c r="D15546" i="2"/>
  <c r="F15545" i="2"/>
  <c r="E15545" i="2"/>
  <c r="D15545" i="2"/>
  <c r="F15544" i="2"/>
  <c r="E15544" i="2"/>
  <c r="D15544" i="2"/>
  <c r="F15541" i="2"/>
  <c r="E15541" i="2"/>
  <c r="D15541" i="2"/>
  <c r="F15543" i="2"/>
  <c r="E15543" i="2"/>
  <c r="D15543" i="2"/>
  <c r="F15542" i="2"/>
  <c r="E15542" i="2"/>
  <c r="D15542" i="2"/>
  <c r="F15540" i="2"/>
  <c r="E15540" i="2"/>
  <c r="D15540" i="2"/>
  <c r="F15539" i="2"/>
  <c r="E15539" i="2"/>
  <c r="D15539" i="2"/>
  <c r="F15538" i="2"/>
  <c r="E15538" i="2"/>
  <c r="D15538" i="2"/>
  <c r="F15537" i="2"/>
  <c r="E15537" i="2"/>
  <c r="D15537" i="2"/>
  <c r="F15536" i="2"/>
  <c r="E15536" i="2"/>
  <c r="D15536" i="2"/>
  <c r="F15535" i="2"/>
  <c r="E15535" i="2"/>
  <c r="D15535" i="2"/>
  <c r="F15534" i="2"/>
  <c r="E15534" i="2"/>
  <c r="D15534" i="2"/>
  <c r="F15533" i="2"/>
  <c r="E15533" i="2"/>
  <c r="D15533" i="2"/>
  <c r="F15532" i="2"/>
  <c r="E15532" i="2"/>
  <c r="D15532" i="2"/>
  <c r="F15531" i="2"/>
  <c r="E15531" i="2"/>
  <c r="D15531" i="2"/>
  <c r="F15530" i="2"/>
  <c r="E15530" i="2"/>
  <c r="D15530" i="2"/>
  <c r="F15529" i="2"/>
  <c r="E15529" i="2"/>
  <c r="D15529" i="2"/>
  <c r="F15528" i="2"/>
  <c r="E15528" i="2"/>
  <c r="D15528" i="2"/>
  <c r="F15527" i="2"/>
  <c r="E15527" i="2"/>
  <c r="D15527" i="2"/>
  <c r="F15526" i="2"/>
  <c r="E15526" i="2"/>
  <c r="D15526" i="2"/>
  <c r="F15525" i="2"/>
  <c r="E15525" i="2"/>
  <c r="D15525" i="2"/>
  <c r="F15524" i="2"/>
  <c r="E15524" i="2"/>
  <c r="D15524" i="2"/>
  <c r="F15523" i="2"/>
  <c r="E15523" i="2"/>
  <c r="D15523" i="2"/>
  <c r="F15522" i="2"/>
  <c r="E15522" i="2"/>
  <c r="D15522" i="2"/>
  <c r="F16252" i="2"/>
  <c r="E16252" i="2"/>
  <c r="D16252" i="2"/>
  <c r="F16263" i="2"/>
  <c r="E16263" i="2"/>
  <c r="D16263" i="2"/>
  <c r="F16262" i="2"/>
  <c r="E16262" i="2"/>
  <c r="D16262" i="2"/>
  <c r="F16261" i="2"/>
  <c r="E16261" i="2"/>
  <c r="D16261" i="2"/>
  <c r="F16260" i="2"/>
  <c r="E16260" i="2"/>
  <c r="D16260" i="2"/>
  <c r="F16259" i="2"/>
  <c r="E16259" i="2"/>
  <c r="D16259" i="2"/>
  <c r="F16258" i="2"/>
  <c r="E16258" i="2"/>
  <c r="D16258" i="2"/>
  <c r="F16257" i="2"/>
  <c r="E16257" i="2"/>
  <c r="D16257" i="2"/>
  <c r="F16256" i="2"/>
  <c r="E16256" i="2"/>
  <c r="D16256" i="2"/>
  <c r="F16255" i="2"/>
  <c r="E16255" i="2"/>
  <c r="D16255" i="2"/>
  <c r="F16254" i="2"/>
  <c r="E16254" i="2"/>
  <c r="D16254" i="2"/>
  <c r="F16253" i="2"/>
  <c r="E16253" i="2"/>
  <c r="D16253" i="2"/>
  <c r="F15321" i="2"/>
  <c r="E15321" i="2"/>
  <c r="D15321" i="2"/>
  <c r="F15326" i="2"/>
  <c r="E15326" i="2"/>
  <c r="D15326" i="2"/>
  <c r="F15325" i="2"/>
  <c r="E15325" i="2"/>
  <c r="D15325" i="2"/>
  <c r="F15324" i="2"/>
  <c r="E15324" i="2"/>
  <c r="D15324" i="2"/>
  <c r="F15323" i="2"/>
  <c r="E15323" i="2"/>
  <c r="D15323" i="2"/>
  <c r="F15322" i="2"/>
  <c r="E15322" i="2"/>
  <c r="D15322" i="2"/>
  <c r="F1131" i="2"/>
  <c r="E1131" i="2"/>
  <c r="D1131" i="2"/>
  <c r="F1132" i="2"/>
  <c r="E1132" i="2"/>
  <c r="D1132" i="2"/>
  <c r="F1229" i="2"/>
  <c r="E1229" i="2"/>
  <c r="D1229" i="2"/>
  <c r="F1236" i="2"/>
  <c r="E1236" i="2"/>
  <c r="D1236" i="2"/>
  <c r="F1235" i="2"/>
  <c r="E1235" i="2"/>
  <c r="D1235" i="2"/>
  <c r="F1234" i="2"/>
  <c r="E1234" i="2"/>
  <c r="D1234" i="2"/>
  <c r="F1233" i="2"/>
  <c r="E1233" i="2"/>
  <c r="D1233" i="2"/>
  <c r="F1232" i="2"/>
  <c r="E1232" i="2"/>
  <c r="D1232" i="2"/>
  <c r="F1231" i="2"/>
  <c r="E1231" i="2"/>
  <c r="D1231" i="2"/>
  <c r="F1230" i="2"/>
  <c r="E1230" i="2"/>
  <c r="D1230" i="2"/>
  <c r="F10916" i="2"/>
  <c r="E10916" i="2"/>
  <c r="D10916" i="2"/>
  <c r="F10924" i="2"/>
  <c r="E10924" i="2"/>
  <c r="D10924" i="2"/>
  <c r="F10923" i="2"/>
  <c r="E10923" i="2"/>
  <c r="D10923" i="2"/>
  <c r="F10922" i="2"/>
  <c r="E10922" i="2"/>
  <c r="D10922" i="2"/>
  <c r="F10921" i="2"/>
  <c r="E10921" i="2"/>
  <c r="D10921" i="2"/>
  <c r="F10920" i="2"/>
  <c r="E10920" i="2"/>
  <c r="D10920" i="2"/>
  <c r="F10919" i="2"/>
  <c r="E10919" i="2"/>
  <c r="D10919" i="2"/>
  <c r="F10918" i="2"/>
  <c r="E10918" i="2"/>
  <c r="D10918" i="2"/>
  <c r="F10917" i="2"/>
  <c r="E10917" i="2"/>
  <c r="D10917" i="2"/>
  <c r="F4560" i="2"/>
  <c r="E4560" i="2"/>
  <c r="D4560" i="2"/>
  <c r="F4566" i="2"/>
  <c r="E4566" i="2"/>
  <c r="D4566" i="2"/>
  <c r="F4565" i="2"/>
  <c r="E4565" i="2"/>
  <c r="D4565" i="2"/>
  <c r="F4564" i="2"/>
  <c r="E4564" i="2"/>
  <c r="D4564" i="2"/>
  <c r="F4563" i="2"/>
  <c r="E4563" i="2"/>
  <c r="D4563" i="2"/>
  <c r="F4562" i="2"/>
  <c r="E4562" i="2"/>
  <c r="D4562" i="2"/>
  <c r="F4561" i="2"/>
  <c r="E4561" i="2"/>
  <c r="D4561" i="2"/>
  <c r="F9757" i="2"/>
  <c r="E9757" i="2"/>
  <c r="D9757" i="2"/>
  <c r="F1237" i="2"/>
  <c r="E1237" i="2"/>
  <c r="D1237" i="2"/>
  <c r="F1238" i="2"/>
  <c r="E1238" i="2"/>
  <c r="D1238" i="2"/>
  <c r="F3479" i="2"/>
  <c r="E3479" i="2"/>
  <c r="D3479" i="2"/>
  <c r="F12206" i="2"/>
  <c r="E12206" i="2"/>
  <c r="D12206" i="2"/>
  <c r="F12219" i="2"/>
  <c r="E12219" i="2"/>
  <c r="D12219" i="2"/>
  <c r="F12218" i="2"/>
  <c r="E12218" i="2"/>
  <c r="D12218" i="2"/>
  <c r="F12217" i="2"/>
  <c r="E12217" i="2"/>
  <c r="D12217" i="2"/>
  <c r="F12216" i="2"/>
  <c r="E12216" i="2"/>
  <c r="D12216" i="2"/>
  <c r="F12215" i="2"/>
  <c r="E12215" i="2"/>
  <c r="D12215" i="2"/>
  <c r="F12214" i="2"/>
  <c r="E12214" i="2"/>
  <c r="D12214" i="2"/>
  <c r="F12213" i="2"/>
  <c r="E12213" i="2"/>
  <c r="D12213" i="2"/>
  <c r="F12212" i="2"/>
  <c r="E12212" i="2"/>
  <c r="D12212" i="2"/>
  <c r="F12211" i="2"/>
  <c r="E12211" i="2"/>
  <c r="D12211" i="2"/>
  <c r="F12210" i="2"/>
  <c r="E12210" i="2"/>
  <c r="D12210" i="2"/>
  <c r="F12209" i="2"/>
  <c r="E12209" i="2"/>
  <c r="D12209" i="2"/>
  <c r="F12208" i="2"/>
  <c r="E12208" i="2"/>
  <c r="D12208" i="2"/>
  <c r="F12207" i="2"/>
  <c r="E12207" i="2"/>
  <c r="D12207" i="2"/>
  <c r="F70" i="2"/>
  <c r="E70" i="2"/>
  <c r="D70" i="2"/>
  <c r="F83" i="2"/>
  <c r="E83" i="2"/>
  <c r="D83" i="2"/>
  <c r="F82" i="2"/>
  <c r="E82" i="2"/>
  <c r="D82" i="2"/>
  <c r="F81" i="2"/>
  <c r="E81" i="2"/>
  <c r="D81" i="2"/>
  <c r="F80" i="2"/>
  <c r="E80" i="2"/>
  <c r="D80" i="2"/>
  <c r="F79" i="2"/>
  <c r="E79" i="2"/>
  <c r="D79" i="2"/>
  <c r="F78" i="2"/>
  <c r="E78" i="2"/>
  <c r="D78" i="2"/>
  <c r="F77" i="2"/>
  <c r="E77" i="2"/>
  <c r="D77" i="2"/>
  <c r="F76" i="2"/>
  <c r="E76" i="2"/>
  <c r="D76" i="2"/>
  <c r="F75" i="2"/>
  <c r="E75" i="2"/>
  <c r="D75" i="2"/>
  <c r="F74" i="2"/>
  <c r="E74" i="2"/>
  <c r="D74" i="2"/>
  <c r="F73" i="2"/>
  <c r="E73" i="2"/>
  <c r="D73" i="2"/>
  <c r="F72" i="2"/>
  <c r="E72" i="2"/>
  <c r="D72" i="2"/>
  <c r="F71" i="2"/>
  <c r="E71" i="2"/>
  <c r="D71" i="2"/>
  <c r="F13180" i="2"/>
  <c r="E13180" i="2"/>
  <c r="D13180" i="2"/>
  <c r="F13181" i="2"/>
  <c r="E13181" i="2"/>
  <c r="D13181" i="2"/>
  <c r="F8361" i="2"/>
  <c r="E8361" i="2"/>
  <c r="D8361" i="2"/>
  <c r="F8360" i="2"/>
  <c r="E8360" i="2"/>
  <c r="D8360" i="2"/>
  <c r="F8359" i="2"/>
  <c r="E8359" i="2"/>
  <c r="D8359" i="2"/>
  <c r="F8358" i="2"/>
  <c r="E8358" i="2"/>
  <c r="D8358" i="2"/>
  <c r="F8357" i="2"/>
  <c r="E8357" i="2"/>
  <c r="D8357" i="2"/>
  <c r="F8356" i="2"/>
  <c r="E8356" i="2"/>
  <c r="D8356" i="2"/>
  <c r="F8355" i="2"/>
  <c r="E8355" i="2"/>
  <c r="D8355" i="2"/>
  <c r="F8354" i="2"/>
  <c r="E8354" i="2"/>
  <c r="D8354" i="2"/>
  <c r="F8353" i="2"/>
  <c r="E8353" i="2"/>
  <c r="D8353" i="2"/>
  <c r="F13858" i="2"/>
  <c r="E13858" i="2"/>
  <c r="D13858" i="2"/>
  <c r="F13877" i="2"/>
  <c r="E13877" i="2"/>
  <c r="D13877" i="2"/>
  <c r="F13876" i="2"/>
  <c r="E13876" i="2"/>
  <c r="D13876" i="2"/>
  <c r="F13874" i="2"/>
  <c r="E13874" i="2"/>
  <c r="D13874" i="2"/>
  <c r="F13875" i="2"/>
  <c r="E13875" i="2"/>
  <c r="D13875" i="2"/>
  <c r="F13873" i="2"/>
  <c r="E13873" i="2"/>
  <c r="D13873" i="2"/>
  <c r="F13872" i="2"/>
  <c r="E13872" i="2"/>
  <c r="D13872" i="2"/>
  <c r="F13869" i="2"/>
  <c r="E13869" i="2"/>
  <c r="D13869" i="2"/>
  <c r="F13871" i="2"/>
  <c r="E13871" i="2"/>
  <c r="D13871" i="2"/>
  <c r="F13870" i="2"/>
  <c r="E13870" i="2"/>
  <c r="D13870" i="2"/>
  <c r="F13868" i="2"/>
  <c r="E13868" i="2"/>
  <c r="D13868" i="2"/>
  <c r="F13867" i="2"/>
  <c r="E13867" i="2"/>
  <c r="D13867" i="2"/>
  <c r="F13866" i="2"/>
  <c r="E13866" i="2"/>
  <c r="D13866" i="2"/>
  <c r="F13865" i="2"/>
  <c r="E13865" i="2"/>
  <c r="D13865" i="2"/>
  <c r="F13864" i="2"/>
  <c r="E13864" i="2"/>
  <c r="D13864" i="2"/>
  <c r="F13863" i="2"/>
  <c r="E13863" i="2"/>
  <c r="D13863" i="2"/>
  <c r="F13862" i="2"/>
  <c r="E13862" i="2"/>
  <c r="D13862" i="2"/>
  <c r="F13861" i="2"/>
  <c r="E13861" i="2"/>
  <c r="D13861" i="2"/>
  <c r="F13860" i="2"/>
  <c r="E13860" i="2"/>
  <c r="D13860" i="2"/>
  <c r="F13859" i="2"/>
  <c r="E13859" i="2"/>
  <c r="D13859" i="2"/>
  <c r="F4994" i="2"/>
  <c r="E4994" i="2"/>
  <c r="D4994" i="2"/>
  <c r="F5018" i="2"/>
  <c r="E5018" i="2"/>
  <c r="D5018" i="2"/>
  <c r="F5017" i="2"/>
  <c r="E5017" i="2"/>
  <c r="D5017" i="2"/>
  <c r="F5016" i="2"/>
  <c r="E5016" i="2"/>
  <c r="D5016" i="2"/>
  <c r="F5015" i="2"/>
  <c r="E5015" i="2"/>
  <c r="D5015" i="2"/>
  <c r="F5014" i="2"/>
  <c r="E5014" i="2"/>
  <c r="D5014" i="2"/>
  <c r="F5013" i="2"/>
  <c r="E5013" i="2"/>
  <c r="D5013" i="2"/>
  <c r="F5012" i="2"/>
  <c r="E5012" i="2"/>
  <c r="D5012" i="2"/>
  <c r="F5011" i="2"/>
  <c r="E5011" i="2"/>
  <c r="D5011" i="2"/>
  <c r="F5010" i="2"/>
  <c r="E5010" i="2"/>
  <c r="D5010" i="2"/>
  <c r="F5009" i="2"/>
  <c r="E5009" i="2"/>
  <c r="D5009" i="2"/>
  <c r="F5008" i="2"/>
  <c r="E5008" i="2"/>
  <c r="D5008" i="2"/>
  <c r="F5007" i="2"/>
  <c r="E5007" i="2"/>
  <c r="D5007" i="2"/>
  <c r="F5006" i="2"/>
  <c r="E5006" i="2"/>
  <c r="D5006" i="2"/>
  <c r="F5005" i="2"/>
  <c r="E5005" i="2"/>
  <c r="D5005" i="2"/>
  <c r="F5004" i="2"/>
  <c r="E5004" i="2"/>
  <c r="D5004" i="2"/>
  <c r="F5003" i="2"/>
  <c r="E5003" i="2"/>
  <c r="D5003" i="2"/>
  <c r="F5002" i="2"/>
  <c r="E5002" i="2"/>
  <c r="D5002" i="2"/>
  <c r="F5001" i="2"/>
  <c r="E5001" i="2"/>
  <c r="D5001" i="2"/>
  <c r="F5000" i="2"/>
  <c r="E5000" i="2"/>
  <c r="D5000" i="2"/>
  <c r="F4999" i="2"/>
  <c r="E4999" i="2"/>
  <c r="D4999" i="2"/>
  <c r="F4998" i="2"/>
  <c r="E4998" i="2"/>
  <c r="D4998" i="2"/>
  <c r="F4997" i="2"/>
  <c r="E4997" i="2"/>
  <c r="D4997" i="2"/>
  <c r="F4996" i="2"/>
  <c r="E4996" i="2"/>
  <c r="D4996" i="2"/>
  <c r="F4995" i="2"/>
  <c r="E4995" i="2"/>
  <c r="D4995" i="2"/>
  <c r="F6970" i="2"/>
  <c r="E6970" i="2"/>
  <c r="D6970" i="2"/>
  <c r="F6977" i="2"/>
  <c r="E6977" i="2"/>
  <c r="D6977" i="2"/>
  <c r="F6976" i="2"/>
  <c r="E6976" i="2"/>
  <c r="D6976" i="2"/>
  <c r="F6975" i="2"/>
  <c r="E6975" i="2"/>
  <c r="D6975" i="2"/>
  <c r="F6974" i="2"/>
  <c r="E6974" i="2"/>
  <c r="D6974" i="2"/>
  <c r="F6973" i="2"/>
  <c r="E6973" i="2"/>
  <c r="D6973" i="2"/>
  <c r="F6972" i="2"/>
  <c r="E6972" i="2"/>
  <c r="D6972" i="2"/>
  <c r="F6971" i="2"/>
  <c r="E6971" i="2"/>
  <c r="D6971" i="2"/>
  <c r="F6969" i="2"/>
  <c r="E6969" i="2"/>
  <c r="D6969" i="2"/>
  <c r="F13178" i="2"/>
  <c r="E13178" i="2"/>
  <c r="D13178" i="2"/>
  <c r="F13179" i="2"/>
  <c r="E13179" i="2"/>
  <c r="D13179" i="2"/>
  <c r="F12474" i="2"/>
  <c r="E12474" i="2"/>
  <c r="D12474" i="2"/>
  <c r="F12476" i="2"/>
  <c r="E12476" i="2"/>
  <c r="D12476" i="2"/>
  <c r="F12475" i="2"/>
  <c r="E12475" i="2"/>
  <c r="D12475" i="2"/>
  <c r="F754" i="2"/>
  <c r="E754" i="2"/>
  <c r="D754" i="2"/>
  <c r="F760" i="2"/>
  <c r="E760" i="2"/>
  <c r="D760" i="2"/>
  <c r="F759" i="2"/>
  <c r="E759" i="2"/>
  <c r="D759" i="2"/>
  <c r="F758" i="2"/>
  <c r="E758" i="2"/>
  <c r="D758" i="2"/>
  <c r="F757" i="2"/>
  <c r="E757" i="2"/>
  <c r="D757" i="2"/>
  <c r="F756" i="2"/>
  <c r="E756" i="2"/>
  <c r="D756" i="2"/>
  <c r="F755" i="2"/>
  <c r="E755" i="2"/>
  <c r="D755" i="2"/>
  <c r="F12419" i="2"/>
  <c r="E12419" i="2"/>
  <c r="D12419" i="2"/>
  <c r="F12420" i="2"/>
  <c r="E12420" i="2"/>
  <c r="D12420" i="2"/>
  <c r="F69" i="2"/>
  <c r="E69" i="2"/>
  <c r="D69" i="2"/>
  <c r="F68" i="2"/>
  <c r="E68" i="2"/>
  <c r="D68" i="2"/>
  <c r="F67" i="2"/>
  <c r="E67" i="2"/>
  <c r="D67" i="2"/>
  <c r="F66" i="2"/>
  <c r="E66" i="2"/>
  <c r="D66" i="2"/>
  <c r="F65" i="2"/>
  <c r="E65" i="2"/>
  <c r="D65" i="2"/>
  <c r="F64" i="2"/>
  <c r="E64" i="2"/>
  <c r="D64" i="2"/>
  <c r="F63" i="2"/>
  <c r="E63" i="2"/>
  <c r="D63" i="2"/>
  <c r="F62" i="2"/>
  <c r="E62" i="2"/>
  <c r="D62" i="2"/>
  <c r="F61" i="2"/>
  <c r="E61" i="2"/>
  <c r="D61" i="2"/>
  <c r="F60" i="2"/>
  <c r="E60" i="2"/>
  <c r="D60" i="2"/>
  <c r="F59" i="2"/>
  <c r="E59" i="2"/>
  <c r="D59" i="2"/>
  <c r="F58" i="2"/>
  <c r="E58" i="2"/>
  <c r="D58" i="2"/>
  <c r="F57" i="2"/>
  <c r="E57" i="2"/>
  <c r="D57" i="2"/>
  <c r="F56" i="2"/>
  <c r="E56" i="2"/>
  <c r="D56" i="2"/>
  <c r="F55" i="2"/>
  <c r="E55" i="2"/>
  <c r="D55" i="2"/>
  <c r="F38" i="2"/>
  <c r="E38" i="2"/>
  <c r="D38" i="2"/>
  <c r="F54" i="2"/>
  <c r="E54" i="2"/>
  <c r="D54" i="2"/>
  <c r="F53" i="2"/>
  <c r="E53" i="2"/>
  <c r="D53" i="2"/>
  <c r="F52" i="2"/>
  <c r="E52" i="2"/>
  <c r="D52" i="2"/>
  <c r="F51" i="2"/>
  <c r="E51" i="2"/>
  <c r="D51" i="2"/>
  <c r="F50" i="2"/>
  <c r="E50" i="2"/>
  <c r="D50" i="2"/>
  <c r="F49" i="2"/>
  <c r="E49" i="2"/>
  <c r="D49" i="2"/>
  <c r="F48" i="2"/>
  <c r="E48" i="2"/>
  <c r="D48" i="2"/>
  <c r="F47" i="2"/>
  <c r="E47" i="2"/>
  <c r="D47" i="2"/>
  <c r="F46" i="2"/>
  <c r="E46" i="2"/>
  <c r="D46" i="2"/>
  <c r="F45" i="2"/>
  <c r="E45" i="2"/>
  <c r="D45" i="2"/>
  <c r="F44" i="2"/>
  <c r="E44" i="2"/>
  <c r="D44" i="2"/>
  <c r="F43" i="2"/>
  <c r="E43" i="2"/>
  <c r="D43" i="2"/>
  <c r="F42" i="2"/>
  <c r="E42" i="2"/>
  <c r="D42" i="2"/>
  <c r="F41" i="2"/>
  <c r="E41" i="2"/>
  <c r="D41" i="2"/>
  <c r="F40" i="2"/>
  <c r="E40" i="2"/>
  <c r="D40" i="2"/>
  <c r="F39" i="2"/>
  <c r="E39" i="2"/>
  <c r="D39" i="2"/>
  <c r="F13463" i="2"/>
  <c r="E13463" i="2"/>
  <c r="D13463" i="2"/>
  <c r="F13189" i="2"/>
  <c r="E13189" i="2"/>
  <c r="D13189" i="2"/>
  <c r="F13206" i="2"/>
  <c r="E13206" i="2"/>
  <c r="D13206" i="2"/>
  <c r="F13205" i="2"/>
  <c r="E13205" i="2"/>
  <c r="D13205" i="2"/>
  <c r="F13204" i="2"/>
  <c r="E13204" i="2"/>
  <c r="D13204" i="2"/>
  <c r="F13203" i="2"/>
  <c r="E13203" i="2"/>
  <c r="D13203" i="2"/>
  <c r="F13202" i="2"/>
  <c r="E13202" i="2"/>
  <c r="D13202" i="2"/>
  <c r="F13201" i="2"/>
  <c r="E13201" i="2"/>
  <c r="D13201" i="2"/>
  <c r="F13200" i="2"/>
  <c r="E13200" i="2"/>
  <c r="D13200" i="2"/>
  <c r="F13199" i="2"/>
  <c r="E13199" i="2"/>
  <c r="D13199" i="2"/>
  <c r="F13198" i="2"/>
  <c r="E13198" i="2"/>
  <c r="D13198" i="2"/>
  <c r="F13197" i="2"/>
  <c r="E13197" i="2"/>
  <c r="D13197" i="2"/>
  <c r="F13196" i="2"/>
  <c r="E13196" i="2"/>
  <c r="D13196" i="2"/>
  <c r="F13195" i="2"/>
  <c r="E13195" i="2"/>
  <c r="D13195" i="2"/>
  <c r="F13194" i="2"/>
  <c r="E13194" i="2"/>
  <c r="D13194" i="2"/>
  <c r="F13193" i="2"/>
  <c r="E13193" i="2"/>
  <c r="D13193" i="2"/>
  <c r="F13192" i="2"/>
  <c r="E13192" i="2"/>
  <c r="D13192" i="2"/>
  <c r="F13191" i="2"/>
  <c r="E13191" i="2"/>
  <c r="D13191" i="2"/>
  <c r="F13190" i="2"/>
  <c r="E13190" i="2"/>
  <c r="D13190" i="2"/>
  <c r="F15439" i="2"/>
  <c r="E15439" i="2"/>
  <c r="D15439" i="2"/>
  <c r="F15438" i="2"/>
  <c r="E15438" i="2"/>
  <c r="D15438" i="2"/>
  <c r="F1239" i="2"/>
  <c r="E1239" i="2"/>
  <c r="D1239" i="2"/>
  <c r="F1253" i="2"/>
  <c r="E1253" i="2"/>
  <c r="D1253" i="2"/>
  <c r="F1252" i="2"/>
  <c r="E1252" i="2"/>
  <c r="D1252" i="2"/>
  <c r="F1251" i="2"/>
  <c r="E1251" i="2"/>
  <c r="D1251" i="2"/>
  <c r="F1250" i="2"/>
  <c r="E1250" i="2"/>
  <c r="D1250" i="2"/>
  <c r="F1249" i="2"/>
  <c r="E1249" i="2"/>
  <c r="D1249" i="2"/>
  <c r="F1248" i="2"/>
  <c r="E1248" i="2"/>
  <c r="D1248" i="2"/>
  <c r="F1247" i="2"/>
  <c r="E1247" i="2"/>
  <c r="D1247" i="2"/>
  <c r="F1246" i="2"/>
  <c r="E1246" i="2"/>
  <c r="D1246" i="2"/>
  <c r="F1245" i="2"/>
  <c r="E1245" i="2"/>
  <c r="D1245" i="2"/>
  <c r="F1244" i="2"/>
  <c r="E1244" i="2"/>
  <c r="D1244" i="2"/>
  <c r="F1243" i="2"/>
  <c r="E1243" i="2"/>
  <c r="D1243" i="2"/>
  <c r="F1242" i="2"/>
  <c r="E1242" i="2"/>
  <c r="D1242" i="2"/>
  <c r="F1241" i="2"/>
  <c r="E1241" i="2"/>
  <c r="D1241" i="2"/>
  <c r="F1240" i="2"/>
  <c r="E1240" i="2"/>
  <c r="D1240" i="2"/>
  <c r="F10925" i="2"/>
  <c r="E10925" i="2"/>
  <c r="D10925" i="2"/>
  <c r="F10939" i="2"/>
  <c r="E10939" i="2"/>
  <c r="D10939" i="2"/>
  <c r="F10938" i="2"/>
  <c r="E10938" i="2"/>
  <c r="D10938" i="2"/>
  <c r="F10937" i="2"/>
  <c r="E10937" i="2"/>
  <c r="D10937" i="2"/>
  <c r="F10936" i="2"/>
  <c r="E10936" i="2"/>
  <c r="D10936" i="2"/>
  <c r="F10935" i="2"/>
  <c r="E10935" i="2"/>
  <c r="D10935" i="2"/>
  <c r="F10934" i="2"/>
  <c r="E10934" i="2"/>
  <c r="D10934" i="2"/>
  <c r="F10933" i="2"/>
  <c r="E10933" i="2"/>
  <c r="D10933" i="2"/>
  <c r="F10932" i="2"/>
  <c r="E10932" i="2"/>
  <c r="D10932" i="2"/>
  <c r="F10931" i="2"/>
  <c r="E10931" i="2"/>
  <c r="D10931" i="2"/>
  <c r="F10930" i="2"/>
  <c r="E10930" i="2"/>
  <c r="D10930" i="2"/>
  <c r="F10929" i="2"/>
  <c r="E10929" i="2"/>
  <c r="D10929" i="2"/>
  <c r="F10928" i="2"/>
  <c r="E10928" i="2"/>
  <c r="D10928" i="2"/>
  <c r="F10927" i="2"/>
  <c r="E10927" i="2"/>
  <c r="D10927" i="2"/>
  <c r="F10926" i="2"/>
  <c r="E10926" i="2"/>
  <c r="D10926" i="2"/>
  <c r="F14453" i="2"/>
  <c r="E14453" i="2"/>
  <c r="D14453" i="2"/>
  <c r="F14463" i="2"/>
  <c r="E14463" i="2"/>
  <c r="D14463" i="2"/>
  <c r="F14462" i="2"/>
  <c r="E14462" i="2"/>
  <c r="D14462" i="2"/>
  <c r="F14461" i="2"/>
  <c r="E14461" i="2"/>
  <c r="D14461" i="2"/>
  <c r="F14460" i="2"/>
  <c r="E14460" i="2"/>
  <c r="D14460" i="2"/>
  <c r="F14459" i="2"/>
  <c r="E14459" i="2"/>
  <c r="D14459" i="2"/>
  <c r="F14458" i="2"/>
  <c r="E14458" i="2"/>
  <c r="D14458" i="2"/>
  <c r="F14457" i="2"/>
  <c r="E14457" i="2"/>
  <c r="D14457" i="2"/>
  <c r="F14456" i="2"/>
  <c r="E14456" i="2"/>
  <c r="D14456" i="2"/>
  <c r="F14455" i="2"/>
  <c r="E14455" i="2"/>
  <c r="D14455" i="2"/>
  <c r="F14454" i="2"/>
  <c r="E14454" i="2"/>
  <c r="D14454" i="2"/>
  <c r="F4368" i="2"/>
  <c r="E4368" i="2"/>
  <c r="D4368" i="2"/>
  <c r="F4372" i="2"/>
  <c r="E4372" i="2"/>
  <c r="D4372" i="2"/>
  <c r="F4371" i="2"/>
  <c r="E4371" i="2"/>
  <c r="D4371" i="2"/>
  <c r="F4370" i="2"/>
  <c r="E4370" i="2"/>
  <c r="D4370" i="2"/>
  <c r="F4369" i="2"/>
  <c r="E4369" i="2"/>
  <c r="D4369" i="2"/>
  <c r="F9775" i="2"/>
  <c r="E9775" i="2"/>
  <c r="D9775" i="2"/>
  <c r="F9786" i="2"/>
  <c r="E9786" i="2"/>
  <c r="D9786" i="2"/>
  <c r="F9785" i="2"/>
  <c r="E9785" i="2"/>
  <c r="D9785" i="2"/>
  <c r="F9784" i="2"/>
  <c r="E9784" i="2"/>
  <c r="D9784" i="2"/>
  <c r="F9783" i="2"/>
  <c r="E9783" i="2"/>
  <c r="D9783" i="2"/>
  <c r="F9782" i="2"/>
  <c r="E9782" i="2"/>
  <c r="D9782" i="2"/>
  <c r="F9781" i="2"/>
  <c r="E9781" i="2"/>
  <c r="D9781" i="2"/>
  <c r="F9780" i="2"/>
  <c r="E9780" i="2"/>
  <c r="D9780" i="2"/>
  <c r="F9779" i="2"/>
  <c r="E9779" i="2"/>
  <c r="D9779" i="2"/>
  <c r="F9778" i="2"/>
  <c r="E9778" i="2"/>
  <c r="D9778" i="2"/>
  <c r="F9777" i="2"/>
  <c r="E9777" i="2"/>
  <c r="D9777" i="2"/>
  <c r="F9776" i="2"/>
  <c r="E9776" i="2"/>
  <c r="D9776" i="2"/>
  <c r="F6220" i="2"/>
  <c r="E6220" i="2"/>
  <c r="D6220" i="2"/>
  <c r="F3863" i="2"/>
  <c r="E3863" i="2"/>
  <c r="D3863" i="2"/>
  <c r="F3886" i="2"/>
  <c r="E3886" i="2"/>
  <c r="D3886" i="2"/>
  <c r="F3885" i="2"/>
  <c r="E3885" i="2"/>
  <c r="D3885" i="2"/>
  <c r="F3884" i="2"/>
  <c r="E3884" i="2"/>
  <c r="D3884" i="2"/>
  <c r="F3883" i="2"/>
  <c r="E3883" i="2"/>
  <c r="D3883" i="2"/>
  <c r="F3882" i="2"/>
  <c r="E3882" i="2"/>
  <c r="D3882" i="2"/>
  <c r="F3881" i="2"/>
  <c r="E3881" i="2"/>
  <c r="D3881" i="2"/>
  <c r="F3880" i="2"/>
  <c r="E3880" i="2"/>
  <c r="D3880" i="2"/>
  <c r="F3879" i="2"/>
  <c r="E3879" i="2"/>
  <c r="D3879" i="2"/>
  <c r="F3878" i="2"/>
  <c r="E3878" i="2"/>
  <c r="D3878" i="2"/>
  <c r="F3877" i="2"/>
  <c r="E3877" i="2"/>
  <c r="D3877" i="2"/>
  <c r="F3876" i="2"/>
  <c r="E3876" i="2"/>
  <c r="D3876" i="2"/>
  <c r="F3875" i="2"/>
  <c r="E3875" i="2"/>
  <c r="D3875" i="2"/>
  <c r="F3874" i="2"/>
  <c r="E3874" i="2"/>
  <c r="D3874" i="2"/>
  <c r="F3873" i="2"/>
  <c r="E3873" i="2"/>
  <c r="D3873" i="2"/>
  <c r="F3872" i="2"/>
  <c r="E3872" i="2"/>
  <c r="D3872" i="2"/>
  <c r="F3871" i="2"/>
  <c r="E3871" i="2"/>
  <c r="D3871" i="2"/>
  <c r="F3870" i="2"/>
  <c r="E3870" i="2"/>
  <c r="D3870" i="2"/>
  <c r="F3869" i="2"/>
  <c r="E3869" i="2"/>
  <c r="D3869" i="2"/>
  <c r="F3868" i="2"/>
  <c r="E3868" i="2"/>
  <c r="D3868" i="2"/>
  <c r="F3867" i="2"/>
  <c r="E3867" i="2"/>
  <c r="D3867" i="2"/>
  <c r="F3866" i="2"/>
  <c r="E3866" i="2"/>
  <c r="D3866" i="2"/>
  <c r="F3865" i="2"/>
  <c r="E3865" i="2"/>
  <c r="D3865" i="2"/>
  <c r="F3864" i="2"/>
  <c r="E3864" i="2"/>
  <c r="D3864" i="2"/>
  <c r="F84" i="2"/>
  <c r="E84" i="2"/>
  <c r="D84" i="2"/>
  <c r="F97" i="2"/>
  <c r="E97" i="2"/>
  <c r="D97" i="2"/>
  <c r="F96" i="2"/>
  <c r="E96" i="2"/>
  <c r="D96" i="2"/>
  <c r="F95" i="2"/>
  <c r="E95" i="2"/>
  <c r="D95" i="2"/>
  <c r="F94" i="2"/>
  <c r="E94" i="2"/>
  <c r="D94" i="2"/>
  <c r="F93" i="2"/>
  <c r="E93" i="2"/>
  <c r="D93" i="2"/>
  <c r="F92" i="2"/>
  <c r="E92" i="2"/>
  <c r="D92" i="2"/>
  <c r="F91" i="2"/>
  <c r="E91" i="2"/>
  <c r="D91" i="2"/>
  <c r="F90" i="2"/>
  <c r="E90" i="2"/>
  <c r="D90" i="2"/>
  <c r="F89" i="2"/>
  <c r="E89" i="2"/>
  <c r="D89" i="2"/>
  <c r="F88" i="2"/>
  <c r="E88" i="2"/>
  <c r="D88" i="2"/>
  <c r="F87" i="2"/>
  <c r="E87" i="2"/>
  <c r="D87" i="2"/>
  <c r="F86" i="2"/>
  <c r="E86" i="2"/>
  <c r="D86" i="2"/>
  <c r="F85" i="2"/>
  <c r="E85" i="2"/>
  <c r="D85" i="2"/>
  <c r="F3855" i="2"/>
  <c r="E3855" i="2"/>
  <c r="D3855" i="2"/>
  <c r="F3862" i="2"/>
  <c r="E3862" i="2"/>
  <c r="D3862" i="2"/>
  <c r="F3861" i="2"/>
  <c r="E3861" i="2"/>
  <c r="D3861" i="2"/>
  <c r="F3860" i="2"/>
  <c r="E3860" i="2"/>
  <c r="D3860" i="2"/>
  <c r="F3859" i="2"/>
  <c r="E3859" i="2"/>
  <c r="D3859" i="2"/>
  <c r="F3858" i="2"/>
  <c r="E3858" i="2"/>
  <c r="D3858" i="2"/>
  <c r="F3857" i="2"/>
  <c r="E3857" i="2"/>
  <c r="D3857" i="2"/>
  <c r="F3856" i="2"/>
  <c r="E3856" i="2"/>
  <c r="D3856" i="2"/>
  <c r="F8099" i="2"/>
  <c r="E8099" i="2"/>
  <c r="D8099" i="2"/>
  <c r="F8100" i="2"/>
  <c r="E8100" i="2"/>
  <c r="D8100" i="2"/>
  <c r="F1765" i="2"/>
  <c r="E1765" i="2"/>
  <c r="D1765" i="2"/>
  <c r="F1787" i="2"/>
  <c r="E1787" i="2"/>
  <c r="D1787" i="2"/>
  <c r="F1786" i="2"/>
  <c r="E1786" i="2"/>
  <c r="D1786" i="2"/>
  <c r="F1785" i="2"/>
  <c r="E1785" i="2"/>
  <c r="D1785" i="2"/>
  <c r="F1784" i="2"/>
  <c r="E1784" i="2"/>
  <c r="D1784" i="2"/>
  <c r="F1783" i="2"/>
  <c r="E1783" i="2"/>
  <c r="D1783" i="2"/>
  <c r="F1782" i="2"/>
  <c r="E1782" i="2"/>
  <c r="D1782" i="2"/>
  <c r="F1781" i="2"/>
  <c r="E1781" i="2"/>
  <c r="D1781" i="2"/>
  <c r="F1780" i="2"/>
  <c r="E1780" i="2"/>
  <c r="D1780" i="2"/>
  <c r="F1779" i="2"/>
  <c r="E1779" i="2"/>
  <c r="D1779" i="2"/>
  <c r="F1778" i="2"/>
  <c r="E1778" i="2"/>
  <c r="D1778" i="2"/>
  <c r="F1777" i="2"/>
  <c r="E1777" i="2"/>
  <c r="D1777" i="2"/>
  <c r="F1776" i="2"/>
  <c r="E1776" i="2"/>
  <c r="D1776" i="2"/>
  <c r="F1775" i="2"/>
  <c r="E1775" i="2"/>
  <c r="D1775" i="2"/>
  <c r="F1774" i="2"/>
  <c r="E1774" i="2"/>
  <c r="D1774" i="2"/>
  <c r="F1773" i="2"/>
  <c r="E1773" i="2"/>
  <c r="D1773" i="2"/>
  <c r="F1772" i="2"/>
  <c r="E1772" i="2"/>
  <c r="D1772" i="2"/>
  <c r="F1771" i="2"/>
  <c r="E1771" i="2"/>
  <c r="D1771" i="2"/>
  <c r="F1770" i="2"/>
  <c r="E1770" i="2"/>
  <c r="D1770" i="2"/>
  <c r="F1769" i="2"/>
  <c r="E1769" i="2"/>
  <c r="D1769" i="2"/>
  <c r="F1768" i="2"/>
  <c r="E1768" i="2"/>
  <c r="D1768" i="2"/>
  <c r="F1767" i="2"/>
  <c r="E1767" i="2"/>
  <c r="D1767" i="2"/>
  <c r="F1766" i="2"/>
  <c r="E1766" i="2"/>
  <c r="D1766" i="2"/>
  <c r="F12801" i="2"/>
  <c r="E12801" i="2"/>
  <c r="D12801" i="2"/>
  <c r="F12800" i="2"/>
  <c r="E12800" i="2"/>
  <c r="D12800" i="2"/>
  <c r="F12799" i="2"/>
  <c r="E12799" i="2"/>
  <c r="D12799" i="2"/>
  <c r="F12798" i="2"/>
  <c r="E12798" i="2"/>
  <c r="D12798" i="2"/>
  <c r="F12797" i="2"/>
  <c r="E12797" i="2"/>
  <c r="D12797" i="2"/>
  <c r="F12796" i="2"/>
  <c r="E12796" i="2"/>
  <c r="D12796" i="2"/>
  <c r="F12795" i="2"/>
  <c r="E12795" i="2"/>
  <c r="D12795" i="2"/>
  <c r="F12794" i="2"/>
  <c r="E12794" i="2"/>
  <c r="D12794" i="2"/>
  <c r="F12793" i="2"/>
  <c r="E12793" i="2"/>
  <c r="D12793" i="2"/>
  <c r="F12792" i="2"/>
  <c r="E12792" i="2"/>
  <c r="D12792" i="2"/>
  <c r="F12791" i="2"/>
  <c r="E12791" i="2"/>
  <c r="D12791" i="2"/>
  <c r="F7323" i="2"/>
  <c r="E7323" i="2"/>
  <c r="D7323" i="2"/>
  <c r="F7322" i="2"/>
  <c r="E7322" i="2"/>
  <c r="D7322" i="2"/>
  <c r="F7320" i="2"/>
  <c r="E7320" i="2"/>
  <c r="D7320" i="2"/>
  <c r="F7321" i="2"/>
  <c r="E7321" i="2"/>
  <c r="D7321" i="2"/>
  <c r="F7534" i="2"/>
  <c r="E7534" i="2"/>
  <c r="D7534" i="2"/>
  <c r="F7533" i="2"/>
  <c r="E7533" i="2"/>
  <c r="D7533" i="2"/>
  <c r="F11747" i="2"/>
  <c r="E11747" i="2"/>
  <c r="D11747" i="2"/>
  <c r="F6981" i="2"/>
  <c r="E6981" i="2"/>
  <c r="D6981" i="2"/>
  <c r="F6980" i="2"/>
  <c r="E6980" i="2"/>
  <c r="D6980" i="2"/>
  <c r="F6979" i="2"/>
  <c r="E6979" i="2"/>
  <c r="D6979" i="2"/>
  <c r="F6978" i="2"/>
  <c r="E6978" i="2"/>
  <c r="D6978" i="2"/>
  <c r="F6377" i="2"/>
  <c r="E6377" i="2"/>
  <c r="D6377" i="2"/>
  <c r="F6380" i="2"/>
  <c r="E6380" i="2"/>
  <c r="D6380" i="2"/>
  <c r="F6379" i="2"/>
  <c r="E6379" i="2"/>
  <c r="D6379" i="2"/>
  <c r="F6378" i="2"/>
  <c r="E6378" i="2"/>
  <c r="D6378" i="2"/>
  <c r="F6376" i="2"/>
  <c r="E6376" i="2"/>
  <c r="D6376" i="2"/>
  <c r="F13010" i="2"/>
  <c r="E13010" i="2"/>
  <c r="D13010" i="2"/>
  <c r="F13030" i="2"/>
  <c r="E13030" i="2"/>
  <c r="D13030" i="2"/>
  <c r="F13029" i="2"/>
  <c r="E13029" i="2"/>
  <c r="D13029" i="2"/>
  <c r="F13028" i="2"/>
  <c r="E13028" i="2"/>
  <c r="D13028" i="2"/>
  <c r="F13027" i="2"/>
  <c r="E13027" i="2"/>
  <c r="D13027" i="2"/>
  <c r="F13026" i="2"/>
  <c r="E13026" i="2"/>
  <c r="D13026" i="2"/>
  <c r="F13025" i="2"/>
  <c r="E13025" i="2"/>
  <c r="D13025" i="2"/>
  <c r="F13024" i="2"/>
  <c r="E13024" i="2"/>
  <c r="D13024" i="2"/>
  <c r="F13023" i="2"/>
  <c r="E13023" i="2"/>
  <c r="D13023" i="2"/>
  <c r="F13022" i="2"/>
  <c r="E13022" i="2"/>
  <c r="D13022" i="2"/>
  <c r="F13021" i="2"/>
  <c r="E13021" i="2"/>
  <c r="D13021" i="2"/>
  <c r="F13020" i="2"/>
  <c r="E13020" i="2"/>
  <c r="D13020" i="2"/>
  <c r="F13019" i="2"/>
  <c r="E13019" i="2"/>
  <c r="D13019" i="2"/>
  <c r="F13018" i="2"/>
  <c r="E13018" i="2"/>
  <c r="D13018" i="2"/>
  <c r="F13017" i="2"/>
  <c r="E13017" i="2"/>
  <c r="D13017" i="2"/>
  <c r="F13016" i="2"/>
  <c r="E13016" i="2"/>
  <c r="D13016" i="2"/>
  <c r="F13015" i="2"/>
  <c r="E13015" i="2"/>
  <c r="D13015" i="2"/>
  <c r="F13014" i="2"/>
  <c r="E13014" i="2"/>
  <c r="D13014" i="2"/>
  <c r="F13013" i="2"/>
  <c r="E13013" i="2"/>
  <c r="D13013" i="2"/>
  <c r="F13012" i="2"/>
  <c r="E13012" i="2"/>
  <c r="D13012" i="2"/>
  <c r="F13011" i="2"/>
  <c r="E13011" i="2"/>
  <c r="D13011" i="2"/>
  <c r="F12651" i="2"/>
  <c r="E12651" i="2"/>
  <c r="D12651" i="2"/>
  <c r="F12663" i="2"/>
  <c r="E12663" i="2"/>
  <c r="D12663" i="2"/>
  <c r="F12662" i="2"/>
  <c r="E12662" i="2"/>
  <c r="D12662" i="2"/>
  <c r="F12661" i="2"/>
  <c r="E12661" i="2"/>
  <c r="D12661" i="2"/>
  <c r="F12660" i="2"/>
  <c r="E12660" i="2"/>
  <c r="D12660" i="2"/>
  <c r="F12659" i="2"/>
  <c r="E12659" i="2"/>
  <c r="D12659" i="2"/>
  <c r="F12658" i="2"/>
  <c r="E12658" i="2"/>
  <c r="D12658" i="2"/>
  <c r="F12657" i="2"/>
  <c r="E12657" i="2"/>
  <c r="D12657" i="2"/>
  <c r="F12656" i="2"/>
  <c r="E12656" i="2"/>
  <c r="D12656" i="2"/>
  <c r="F12655" i="2"/>
  <c r="E12655" i="2"/>
  <c r="D12655" i="2"/>
  <c r="F12654" i="2"/>
  <c r="E12654" i="2"/>
  <c r="D12654" i="2"/>
  <c r="F12653" i="2"/>
  <c r="E12653" i="2"/>
  <c r="D12653" i="2"/>
  <c r="F12652" i="2"/>
  <c r="E12652" i="2"/>
  <c r="D12652" i="2"/>
  <c r="F9787" i="2"/>
  <c r="E9787" i="2"/>
  <c r="D9787" i="2"/>
  <c r="F9791" i="2"/>
  <c r="E9791" i="2"/>
  <c r="D9791" i="2"/>
  <c r="F9789" i="2"/>
  <c r="E9789" i="2"/>
  <c r="D9789" i="2"/>
  <c r="F9790" i="2"/>
  <c r="E9790" i="2"/>
  <c r="D9790" i="2"/>
  <c r="F9788" i="2"/>
  <c r="E9788" i="2"/>
  <c r="D9788" i="2"/>
  <c r="F7553" i="2"/>
  <c r="E7553" i="2"/>
  <c r="D7553" i="2"/>
  <c r="F5583" i="2"/>
  <c r="E5583" i="2"/>
  <c r="D5583" i="2"/>
  <c r="F5582" i="2"/>
  <c r="E5582" i="2"/>
  <c r="D5582" i="2"/>
  <c r="F5581" i="2"/>
  <c r="E5581" i="2"/>
  <c r="D5581" i="2"/>
  <c r="F5580" i="2"/>
  <c r="E5580" i="2"/>
  <c r="D5580" i="2"/>
  <c r="F5579" i="2"/>
  <c r="E5579" i="2"/>
  <c r="D5579" i="2"/>
  <c r="F5578" i="2"/>
  <c r="E5578" i="2"/>
  <c r="D5578" i="2"/>
  <c r="F5577" i="2"/>
  <c r="E5577" i="2"/>
  <c r="D5577" i="2"/>
  <c r="F5576" i="2"/>
  <c r="E5576" i="2"/>
  <c r="D5576" i="2"/>
  <c r="F5575" i="2"/>
  <c r="E5575" i="2"/>
  <c r="D5575" i="2"/>
  <c r="F5574" i="2"/>
  <c r="E5574" i="2"/>
  <c r="D5574" i="2"/>
  <c r="F5573" i="2"/>
  <c r="E5573" i="2"/>
  <c r="D5573" i="2"/>
  <c r="F5572" i="2"/>
  <c r="E5572" i="2"/>
  <c r="D5572" i="2"/>
  <c r="F11534" i="2"/>
  <c r="E11534" i="2"/>
  <c r="D11534" i="2"/>
  <c r="F11533" i="2"/>
  <c r="E11533" i="2"/>
  <c r="D11533" i="2"/>
  <c r="F11532" i="2"/>
  <c r="E11532" i="2"/>
  <c r="D11532" i="2"/>
  <c r="F11531" i="2"/>
  <c r="E11531" i="2"/>
  <c r="D11531" i="2"/>
  <c r="F11530" i="2"/>
  <c r="E11530" i="2"/>
  <c r="D11530" i="2"/>
  <c r="F11529" i="2"/>
  <c r="E11529" i="2"/>
  <c r="D11529" i="2"/>
  <c r="F11528" i="2"/>
  <c r="E11528" i="2"/>
  <c r="D11528" i="2"/>
  <c r="F11527" i="2"/>
  <c r="E11527" i="2"/>
  <c r="D11527" i="2"/>
  <c r="F14365" i="2"/>
  <c r="E14365" i="2"/>
  <c r="D14365" i="2"/>
  <c r="F14379" i="2"/>
  <c r="E14379" i="2"/>
  <c r="D14379" i="2"/>
  <c r="F14378" i="2"/>
  <c r="E14378" i="2"/>
  <c r="D14378" i="2"/>
  <c r="F14377" i="2"/>
  <c r="E14377" i="2"/>
  <c r="D14377" i="2"/>
  <c r="F14376" i="2"/>
  <c r="E14376" i="2"/>
  <c r="D14376" i="2"/>
  <c r="F14375" i="2"/>
  <c r="E14375" i="2"/>
  <c r="D14375" i="2"/>
  <c r="F14374" i="2"/>
  <c r="E14374" i="2"/>
  <c r="D14374" i="2"/>
  <c r="F14373" i="2"/>
  <c r="E14373" i="2"/>
  <c r="D14373" i="2"/>
  <c r="F14372" i="2"/>
  <c r="E14372" i="2"/>
  <c r="D14372" i="2"/>
  <c r="F14370" i="2"/>
  <c r="E14370" i="2"/>
  <c r="D14370" i="2"/>
  <c r="F14371" i="2"/>
  <c r="E14371" i="2"/>
  <c r="D14371" i="2"/>
  <c r="F14368" i="2"/>
  <c r="E14368" i="2"/>
  <c r="D14368" i="2"/>
  <c r="F14369" i="2"/>
  <c r="E14369" i="2"/>
  <c r="D14369" i="2"/>
  <c r="F14366" i="2"/>
  <c r="E14366" i="2"/>
  <c r="D14366" i="2"/>
  <c r="F14367" i="2"/>
  <c r="E14367" i="2"/>
  <c r="D14367" i="2"/>
  <c r="F10940" i="2"/>
  <c r="E10940" i="2"/>
  <c r="D10940" i="2"/>
  <c r="F10948" i="2"/>
  <c r="E10948" i="2"/>
  <c r="D10948" i="2"/>
  <c r="F10947" i="2"/>
  <c r="E10947" i="2"/>
  <c r="D10947" i="2"/>
  <c r="F10946" i="2"/>
  <c r="E10946" i="2"/>
  <c r="D10946" i="2"/>
  <c r="F10945" i="2"/>
  <c r="E10945" i="2"/>
  <c r="D10945" i="2"/>
  <c r="F10944" i="2"/>
  <c r="E10944" i="2"/>
  <c r="D10944" i="2"/>
  <c r="F10943" i="2"/>
  <c r="E10943" i="2"/>
  <c r="D10943" i="2"/>
  <c r="F10941" i="2"/>
  <c r="E10941" i="2"/>
  <c r="D10941" i="2"/>
  <c r="F10942" i="2"/>
  <c r="E10942" i="2"/>
  <c r="D10942" i="2"/>
  <c r="F11787" i="2"/>
  <c r="E11787" i="2"/>
  <c r="D11787" i="2"/>
  <c r="F11795" i="2"/>
  <c r="E11795" i="2"/>
  <c r="D11795" i="2"/>
  <c r="F11794" i="2"/>
  <c r="E11794" i="2"/>
  <c r="D11794" i="2"/>
  <c r="F11793" i="2"/>
  <c r="E11793" i="2"/>
  <c r="D11793" i="2"/>
  <c r="F11792" i="2"/>
  <c r="E11792" i="2"/>
  <c r="D11792" i="2"/>
  <c r="F11791" i="2"/>
  <c r="E11791" i="2"/>
  <c r="D11791" i="2"/>
  <c r="F11790" i="2"/>
  <c r="E11790" i="2"/>
  <c r="D11790" i="2"/>
  <c r="F11789" i="2"/>
  <c r="E11789" i="2"/>
  <c r="D11789" i="2"/>
  <c r="F11788" i="2"/>
  <c r="E11788" i="2"/>
  <c r="D11788" i="2"/>
  <c r="F12649" i="2"/>
  <c r="E12649" i="2"/>
  <c r="D12649" i="2"/>
  <c r="F12650" i="2"/>
  <c r="E12650" i="2"/>
  <c r="D12650" i="2"/>
  <c r="F5777" i="2"/>
  <c r="E5777" i="2"/>
  <c r="D5777" i="2"/>
  <c r="F5791" i="2"/>
  <c r="E5791" i="2"/>
  <c r="D5791" i="2"/>
  <c r="F5790" i="2"/>
  <c r="E5790" i="2"/>
  <c r="D5790" i="2"/>
  <c r="F5789" i="2"/>
  <c r="E5789" i="2"/>
  <c r="D5789" i="2"/>
  <c r="F5788" i="2"/>
  <c r="E5788" i="2"/>
  <c r="D5788" i="2"/>
  <c r="F5787" i="2"/>
  <c r="E5787" i="2"/>
  <c r="D5787" i="2"/>
  <c r="F5786" i="2"/>
  <c r="E5786" i="2"/>
  <c r="D5786" i="2"/>
  <c r="F5785" i="2"/>
  <c r="E5785" i="2"/>
  <c r="D5785" i="2"/>
  <c r="F5784" i="2"/>
  <c r="E5784" i="2"/>
  <c r="D5784" i="2"/>
  <c r="F5783" i="2"/>
  <c r="E5783" i="2"/>
  <c r="D5783" i="2"/>
  <c r="F5782" i="2"/>
  <c r="E5782" i="2"/>
  <c r="D5782" i="2"/>
  <c r="F5781" i="2"/>
  <c r="E5781" i="2"/>
  <c r="D5781" i="2"/>
  <c r="F5780" i="2"/>
  <c r="E5780" i="2"/>
  <c r="D5780" i="2"/>
  <c r="F5779" i="2"/>
  <c r="E5779" i="2"/>
  <c r="D5779" i="2"/>
  <c r="F5778" i="2"/>
  <c r="E5778" i="2"/>
  <c r="D5778" i="2"/>
  <c r="F6219" i="2"/>
  <c r="E6219" i="2"/>
  <c r="D6219" i="2"/>
  <c r="F6218" i="2"/>
  <c r="E6218" i="2"/>
  <c r="D6218" i="2"/>
  <c r="F6217" i="2"/>
  <c r="E6217" i="2"/>
  <c r="D6217" i="2"/>
  <c r="F6216" i="2"/>
  <c r="E6216" i="2"/>
  <c r="D6216" i="2"/>
  <c r="F6215" i="2"/>
  <c r="E6215" i="2"/>
  <c r="D6215" i="2"/>
  <c r="F6214" i="2"/>
  <c r="E6214" i="2"/>
  <c r="D6214" i="2"/>
  <c r="F6213" i="2"/>
  <c r="E6213" i="2"/>
  <c r="D6213" i="2"/>
  <c r="F6212" i="2"/>
  <c r="E6212" i="2"/>
  <c r="D6212" i="2"/>
  <c r="F6211" i="2"/>
  <c r="E6211" i="2"/>
  <c r="D6211" i="2"/>
  <c r="F6210" i="2"/>
  <c r="E6210" i="2"/>
  <c r="D6210" i="2"/>
  <c r="F9815" i="2"/>
  <c r="E9815" i="2"/>
  <c r="D9815" i="2"/>
  <c r="F9823" i="2"/>
  <c r="E9823" i="2"/>
  <c r="D9823" i="2"/>
  <c r="F9822" i="2"/>
  <c r="E9822" i="2"/>
  <c r="D9822" i="2"/>
  <c r="F9821" i="2"/>
  <c r="E9821" i="2"/>
  <c r="D9821" i="2"/>
  <c r="F9820" i="2"/>
  <c r="E9820" i="2"/>
  <c r="D9820" i="2"/>
  <c r="F9819" i="2"/>
  <c r="E9819" i="2"/>
  <c r="D9819" i="2"/>
  <c r="F9818" i="2"/>
  <c r="E9818" i="2"/>
  <c r="D9818" i="2"/>
  <c r="F9817" i="2"/>
  <c r="E9817" i="2"/>
  <c r="D9817" i="2"/>
  <c r="F9816" i="2"/>
  <c r="E9816" i="2"/>
  <c r="D9816" i="2"/>
  <c r="F15568" i="2"/>
  <c r="E15568" i="2"/>
  <c r="D15568" i="2"/>
  <c r="F15578" i="2"/>
  <c r="E15578" i="2"/>
  <c r="D15578" i="2"/>
  <c r="F15577" i="2"/>
  <c r="E15577" i="2"/>
  <c r="D15577" i="2"/>
  <c r="F15576" i="2"/>
  <c r="E15576" i="2"/>
  <c r="D15576" i="2"/>
  <c r="F15575" i="2"/>
  <c r="E15575" i="2"/>
  <c r="D15575" i="2"/>
  <c r="F15574" i="2"/>
  <c r="E15574" i="2"/>
  <c r="D15574" i="2"/>
  <c r="F15573" i="2"/>
  <c r="E15573" i="2"/>
  <c r="D15573" i="2"/>
  <c r="F15572" i="2"/>
  <c r="E15572" i="2"/>
  <c r="D15572" i="2"/>
  <c r="F15571" i="2"/>
  <c r="E15571" i="2"/>
  <c r="D15571" i="2"/>
  <c r="F15570" i="2"/>
  <c r="E15570" i="2"/>
  <c r="D15570" i="2"/>
  <c r="F15569" i="2"/>
  <c r="E15569" i="2"/>
  <c r="D15569" i="2"/>
  <c r="F9429" i="2"/>
  <c r="E9429" i="2"/>
  <c r="D9429" i="2"/>
  <c r="F9452" i="2"/>
  <c r="E9452" i="2"/>
  <c r="D9452" i="2"/>
  <c r="F9451" i="2"/>
  <c r="E9451" i="2"/>
  <c r="D9451" i="2"/>
  <c r="F9450" i="2"/>
  <c r="E9450" i="2"/>
  <c r="D9450" i="2"/>
  <c r="F9449" i="2"/>
  <c r="E9449" i="2"/>
  <c r="D9449" i="2"/>
  <c r="F9448" i="2"/>
  <c r="E9448" i="2"/>
  <c r="D9448" i="2"/>
  <c r="F9447" i="2"/>
  <c r="E9447" i="2"/>
  <c r="D9447" i="2"/>
  <c r="F9446" i="2"/>
  <c r="E9446" i="2"/>
  <c r="D9446" i="2"/>
  <c r="F9445" i="2"/>
  <c r="E9445" i="2"/>
  <c r="D9445" i="2"/>
  <c r="F9444" i="2"/>
  <c r="E9444" i="2"/>
  <c r="D9444" i="2"/>
  <c r="F9443" i="2"/>
  <c r="E9443" i="2"/>
  <c r="D9443" i="2"/>
  <c r="F9442" i="2"/>
  <c r="E9442" i="2"/>
  <c r="D9442" i="2"/>
  <c r="F9441" i="2"/>
  <c r="E9441" i="2"/>
  <c r="D9441" i="2"/>
  <c r="F9440" i="2"/>
  <c r="E9440" i="2"/>
  <c r="D9440" i="2"/>
  <c r="F9439" i="2"/>
  <c r="E9439" i="2"/>
  <c r="D9439" i="2"/>
  <c r="F9438" i="2"/>
  <c r="E9438" i="2"/>
  <c r="D9438" i="2"/>
  <c r="F9437" i="2"/>
  <c r="E9437" i="2"/>
  <c r="D9437" i="2"/>
  <c r="F9436" i="2"/>
  <c r="E9436" i="2"/>
  <c r="D9436" i="2"/>
  <c r="F9435" i="2"/>
  <c r="E9435" i="2"/>
  <c r="D9435" i="2"/>
  <c r="F9434" i="2"/>
  <c r="E9434" i="2"/>
  <c r="D9434" i="2"/>
  <c r="F9433" i="2"/>
  <c r="E9433" i="2"/>
  <c r="D9433" i="2"/>
  <c r="F9432" i="2"/>
  <c r="E9432" i="2"/>
  <c r="D9432" i="2"/>
  <c r="F9431" i="2"/>
  <c r="E9431" i="2"/>
  <c r="D9431" i="2"/>
  <c r="F9430" i="2"/>
  <c r="E9430" i="2"/>
  <c r="D9430" i="2"/>
  <c r="F5566" i="2"/>
  <c r="E5566" i="2"/>
  <c r="D5566" i="2"/>
  <c r="F5571" i="2"/>
  <c r="E5571" i="2"/>
  <c r="D5571" i="2"/>
  <c r="F5570" i="2"/>
  <c r="E5570" i="2"/>
  <c r="D5570" i="2"/>
  <c r="F5569" i="2"/>
  <c r="E5569" i="2"/>
  <c r="D5569" i="2"/>
  <c r="F5568" i="2"/>
  <c r="E5568" i="2"/>
  <c r="D5568" i="2"/>
  <c r="F5567" i="2"/>
  <c r="E5567" i="2"/>
  <c r="D5567" i="2"/>
  <c r="F6127" i="2"/>
  <c r="E6127" i="2"/>
  <c r="D6127" i="2"/>
  <c r="F15440" i="2"/>
  <c r="E15440" i="2"/>
  <c r="D15440" i="2"/>
  <c r="F15444" i="2"/>
  <c r="E15444" i="2"/>
  <c r="D15444" i="2"/>
  <c r="F15443" i="2"/>
  <c r="E15443" i="2"/>
  <c r="D15443" i="2"/>
  <c r="F15442" i="2"/>
  <c r="E15442" i="2"/>
  <c r="D15442" i="2"/>
  <c r="F15441" i="2"/>
  <c r="E15441" i="2"/>
  <c r="D15441" i="2"/>
  <c r="F15157" i="2"/>
  <c r="E15157" i="2"/>
  <c r="D15157" i="2"/>
  <c r="F15165" i="2"/>
  <c r="E15165" i="2"/>
  <c r="D15165" i="2"/>
  <c r="F15164" i="2"/>
  <c r="E15164" i="2"/>
  <c r="D15164" i="2"/>
  <c r="F15163" i="2"/>
  <c r="E15163" i="2"/>
  <c r="D15163" i="2"/>
  <c r="F15162" i="2"/>
  <c r="E15162" i="2"/>
  <c r="D15162" i="2"/>
  <c r="F15161" i="2"/>
  <c r="E15161" i="2"/>
  <c r="D15161" i="2"/>
  <c r="F15160" i="2"/>
  <c r="E15160" i="2"/>
  <c r="D15160" i="2"/>
  <c r="F15159" i="2"/>
  <c r="E15159" i="2"/>
  <c r="D15159" i="2"/>
  <c r="F15158" i="2"/>
  <c r="E15158" i="2"/>
  <c r="D15158" i="2"/>
  <c r="F13005" i="2"/>
  <c r="E13005" i="2"/>
  <c r="D13005" i="2"/>
  <c r="F13004" i="2"/>
  <c r="E13004" i="2"/>
  <c r="D13004" i="2"/>
  <c r="F13003" i="2"/>
  <c r="E13003" i="2"/>
  <c r="D13003" i="2"/>
  <c r="F13002" i="2"/>
  <c r="E13002" i="2"/>
  <c r="D13002" i="2"/>
  <c r="F13001" i="2"/>
  <c r="E13001" i="2"/>
  <c r="D13001" i="2"/>
  <c r="F13000" i="2"/>
  <c r="E13000" i="2"/>
  <c r="D13000" i="2"/>
  <c r="F12999" i="2"/>
  <c r="E12999" i="2"/>
  <c r="D12999" i="2"/>
  <c r="F12998" i="2"/>
  <c r="E12998" i="2"/>
  <c r="D12998" i="2"/>
  <c r="F12997" i="2"/>
  <c r="E12997" i="2"/>
  <c r="D12997" i="2"/>
  <c r="F12996" i="2"/>
  <c r="E12996" i="2"/>
  <c r="D12996" i="2"/>
  <c r="F12995" i="2"/>
  <c r="E12995" i="2"/>
  <c r="D12995" i="2"/>
  <c r="F12994" i="2"/>
  <c r="E12994" i="2"/>
  <c r="D12994" i="2"/>
  <c r="F12993" i="2"/>
  <c r="E12993" i="2"/>
  <c r="D12993" i="2"/>
  <c r="F12992" i="2"/>
  <c r="E12992" i="2"/>
  <c r="D12992" i="2"/>
  <c r="F152" i="2"/>
  <c r="E152" i="2"/>
  <c r="D152" i="2"/>
  <c r="F151" i="2"/>
  <c r="E151" i="2"/>
  <c r="D151" i="2"/>
  <c r="F150" i="2"/>
  <c r="E150" i="2"/>
  <c r="D150" i="2"/>
  <c r="F149" i="2"/>
  <c r="E149" i="2"/>
  <c r="D149" i="2"/>
  <c r="F148" i="2"/>
  <c r="E148" i="2"/>
  <c r="D148" i="2"/>
  <c r="F147" i="2"/>
  <c r="E147" i="2"/>
  <c r="D147" i="2"/>
  <c r="F146" i="2"/>
  <c r="E146" i="2"/>
  <c r="D146" i="2"/>
  <c r="F145" i="2"/>
  <c r="E145" i="2"/>
  <c r="D145" i="2"/>
  <c r="F144" i="2"/>
  <c r="E144" i="2"/>
  <c r="D144" i="2"/>
  <c r="F143" i="2"/>
  <c r="E143" i="2"/>
  <c r="D143" i="2"/>
  <c r="F142" i="2"/>
  <c r="E142" i="2"/>
  <c r="D142" i="2"/>
  <c r="F141" i="2"/>
  <c r="E141" i="2"/>
  <c r="D141" i="2"/>
  <c r="F140" i="2"/>
  <c r="E140" i="2"/>
  <c r="D140" i="2"/>
  <c r="F139" i="2"/>
  <c r="E139" i="2"/>
  <c r="D139" i="2"/>
  <c r="F138" i="2"/>
  <c r="E138" i="2"/>
  <c r="D138" i="2"/>
  <c r="F137" i="2"/>
  <c r="E137" i="2"/>
  <c r="D137" i="2"/>
  <c r="F136" i="2"/>
  <c r="E136" i="2"/>
  <c r="D136" i="2"/>
  <c r="F135" i="2"/>
  <c r="E135" i="2"/>
  <c r="D135" i="2"/>
  <c r="F134" i="2"/>
  <c r="E134" i="2"/>
  <c r="D134" i="2"/>
  <c r="F133" i="2"/>
  <c r="E133" i="2"/>
  <c r="D133" i="2"/>
  <c r="F132" i="2"/>
  <c r="E132" i="2"/>
  <c r="D132" i="2"/>
  <c r="F131" i="2"/>
  <c r="E131" i="2"/>
  <c r="D131" i="2"/>
  <c r="F130" i="2"/>
  <c r="E130" i="2"/>
  <c r="D130" i="2"/>
  <c r="F129" i="2"/>
  <c r="E129" i="2"/>
  <c r="D129" i="2"/>
  <c r="F128" i="2"/>
  <c r="E128" i="2"/>
  <c r="D128" i="2"/>
  <c r="F127" i="2"/>
  <c r="E127" i="2"/>
  <c r="D127" i="2"/>
  <c r="F126" i="2"/>
  <c r="E126" i="2"/>
  <c r="D126" i="2"/>
  <c r="F124" i="2"/>
  <c r="E124" i="2"/>
  <c r="D124" i="2"/>
  <c r="F125" i="2"/>
  <c r="E125" i="2"/>
  <c r="D125" i="2"/>
  <c r="F123" i="2"/>
  <c r="E123" i="2"/>
  <c r="D123" i="2"/>
  <c r="F122" i="2"/>
  <c r="E122" i="2"/>
  <c r="D122" i="2"/>
  <c r="F121" i="2"/>
  <c r="E121" i="2"/>
  <c r="D121" i="2"/>
  <c r="F120" i="2"/>
  <c r="E120" i="2"/>
  <c r="D120" i="2"/>
  <c r="F119" i="2"/>
  <c r="E119" i="2"/>
  <c r="D119" i="2"/>
  <c r="F117" i="2"/>
  <c r="E117" i="2"/>
  <c r="D117" i="2"/>
  <c r="F118" i="2"/>
  <c r="E118" i="2"/>
  <c r="D118" i="2"/>
  <c r="F116" i="2"/>
  <c r="E116" i="2"/>
  <c r="D116" i="2"/>
  <c r="F115" i="2"/>
  <c r="E115" i="2"/>
  <c r="D115" i="2"/>
  <c r="F114" i="2"/>
  <c r="E114" i="2"/>
  <c r="D114" i="2"/>
  <c r="F13803" i="2"/>
  <c r="E13803" i="2"/>
  <c r="D13803" i="2"/>
  <c r="F13802" i="2"/>
  <c r="E13802" i="2"/>
  <c r="D13802" i="2"/>
  <c r="F13801" i="2"/>
  <c r="E13801" i="2"/>
  <c r="D13801" i="2"/>
  <c r="F13800" i="2"/>
  <c r="E13800" i="2"/>
  <c r="D13800" i="2"/>
  <c r="F13799" i="2"/>
  <c r="E13799" i="2"/>
  <c r="D13799" i="2"/>
  <c r="F13798" i="2"/>
  <c r="E13798" i="2"/>
  <c r="D13798" i="2"/>
  <c r="F13797" i="2"/>
  <c r="E13797" i="2"/>
  <c r="D13797" i="2"/>
  <c r="F13796" i="2"/>
  <c r="E13796" i="2"/>
  <c r="D13796" i="2"/>
  <c r="F13795" i="2"/>
  <c r="E13795" i="2"/>
  <c r="D13795" i="2"/>
  <c r="F12421" i="2"/>
  <c r="E12421" i="2"/>
  <c r="D12421" i="2"/>
  <c r="F12424" i="2"/>
  <c r="E12424" i="2"/>
  <c r="D12424" i="2"/>
  <c r="F12423" i="2"/>
  <c r="E12423" i="2"/>
  <c r="D12423" i="2"/>
  <c r="F12422" i="2"/>
  <c r="E12422" i="2"/>
  <c r="D12422" i="2"/>
  <c r="F13966" i="2"/>
  <c r="E13966" i="2"/>
  <c r="D13966" i="2"/>
  <c r="F13965" i="2"/>
  <c r="E13965" i="2"/>
  <c r="D13965" i="2"/>
  <c r="F13964" i="2"/>
  <c r="E13964" i="2"/>
  <c r="D13964" i="2"/>
  <c r="F13963" i="2"/>
  <c r="E13963" i="2"/>
  <c r="D13963" i="2"/>
  <c r="F13962" i="2"/>
  <c r="E13962" i="2"/>
  <c r="D13962" i="2"/>
  <c r="F13961" i="2"/>
  <c r="E13961" i="2"/>
  <c r="D13961" i="2"/>
  <c r="F13960" i="2"/>
  <c r="E13960" i="2"/>
  <c r="D13960" i="2"/>
  <c r="F13959" i="2"/>
  <c r="E13959" i="2"/>
  <c r="D13959" i="2"/>
  <c r="F7350" i="2"/>
  <c r="E7350" i="2"/>
  <c r="D7350" i="2"/>
  <c r="F7366" i="2"/>
  <c r="E7366" i="2"/>
  <c r="D7366" i="2"/>
  <c r="F7365" i="2"/>
  <c r="E7365" i="2"/>
  <c r="D7365" i="2"/>
  <c r="F7364" i="2"/>
  <c r="E7364" i="2"/>
  <c r="D7364" i="2"/>
  <c r="F7363" i="2"/>
  <c r="E7363" i="2"/>
  <c r="D7363" i="2"/>
  <c r="F7362" i="2"/>
  <c r="E7362" i="2"/>
  <c r="D7362" i="2"/>
  <c r="F7361" i="2"/>
  <c r="E7361" i="2"/>
  <c r="D7361" i="2"/>
  <c r="F7360" i="2"/>
  <c r="E7360" i="2"/>
  <c r="D7360" i="2"/>
  <c r="F7359" i="2"/>
  <c r="E7359" i="2"/>
  <c r="D7359" i="2"/>
  <c r="F7358" i="2"/>
  <c r="E7358" i="2"/>
  <c r="D7358" i="2"/>
  <c r="F7357" i="2"/>
  <c r="E7357" i="2"/>
  <c r="D7357" i="2"/>
  <c r="F7356" i="2"/>
  <c r="E7356" i="2"/>
  <c r="D7356" i="2"/>
  <c r="F7355" i="2"/>
  <c r="E7355" i="2"/>
  <c r="D7355" i="2"/>
  <c r="F7354" i="2"/>
  <c r="E7354" i="2"/>
  <c r="D7354" i="2"/>
  <c r="F7353" i="2"/>
  <c r="E7353" i="2"/>
  <c r="D7353" i="2"/>
  <c r="F7352" i="2"/>
  <c r="E7352" i="2"/>
  <c r="D7352" i="2"/>
  <c r="F7351" i="2"/>
  <c r="E7351" i="2"/>
  <c r="D7351" i="2"/>
  <c r="F13007" i="2"/>
  <c r="E13007" i="2"/>
  <c r="D13007" i="2"/>
  <c r="F13009" i="2"/>
  <c r="E13009" i="2"/>
  <c r="D13009" i="2"/>
  <c r="F13008" i="2"/>
  <c r="E13008" i="2"/>
  <c r="D13008" i="2"/>
  <c r="F13006" i="2"/>
  <c r="E13006" i="2"/>
  <c r="D13006" i="2"/>
  <c r="F7476" i="2"/>
  <c r="E7476" i="2"/>
  <c r="D7476" i="2"/>
  <c r="F7481" i="2"/>
  <c r="E7481" i="2"/>
  <c r="D7481" i="2"/>
  <c r="F7480" i="2"/>
  <c r="E7480" i="2"/>
  <c r="D7480" i="2"/>
  <c r="F7479" i="2"/>
  <c r="E7479" i="2"/>
  <c r="D7479" i="2"/>
  <c r="F7478" i="2"/>
  <c r="E7478" i="2"/>
  <c r="D7478" i="2"/>
  <c r="F7477" i="2"/>
  <c r="E7477" i="2"/>
  <c r="D7477" i="2"/>
  <c r="F14956" i="2"/>
  <c r="E14956" i="2"/>
  <c r="D14956" i="2"/>
  <c r="F14962" i="2"/>
  <c r="E14962" i="2"/>
  <c r="D14962" i="2"/>
  <c r="F14961" i="2"/>
  <c r="E14961" i="2"/>
  <c r="D14961" i="2"/>
  <c r="F14960" i="2"/>
  <c r="E14960" i="2"/>
  <c r="D14960" i="2"/>
  <c r="F14959" i="2"/>
  <c r="E14959" i="2"/>
  <c r="D14959" i="2"/>
  <c r="F14958" i="2"/>
  <c r="E14958" i="2"/>
  <c r="D14958" i="2"/>
  <c r="F14957" i="2"/>
  <c r="E14957" i="2"/>
  <c r="D14957" i="2"/>
  <c r="F7568" i="2"/>
  <c r="E7568" i="2"/>
  <c r="D7568" i="2"/>
  <c r="F7574" i="2"/>
  <c r="E7574" i="2"/>
  <c r="D7574" i="2"/>
  <c r="F7573" i="2"/>
  <c r="E7573" i="2"/>
  <c r="D7573" i="2"/>
  <c r="F7572" i="2"/>
  <c r="E7572" i="2"/>
  <c r="D7572" i="2"/>
  <c r="F7571" i="2"/>
  <c r="E7571" i="2"/>
  <c r="D7571" i="2"/>
  <c r="F7570" i="2"/>
  <c r="E7570" i="2"/>
  <c r="D7570" i="2"/>
  <c r="F7569" i="2"/>
  <c r="E7569" i="2"/>
  <c r="D7569" i="2"/>
  <c r="F3297" i="2"/>
  <c r="E3297" i="2"/>
  <c r="D3297" i="2"/>
  <c r="F3299" i="2"/>
  <c r="E3299" i="2"/>
  <c r="D3299" i="2"/>
  <c r="F3298" i="2"/>
  <c r="E3298" i="2"/>
  <c r="D3298" i="2"/>
  <c r="F12983" i="2"/>
  <c r="E12983" i="2"/>
  <c r="D12983" i="2"/>
  <c r="F12991" i="2"/>
  <c r="E12991" i="2"/>
  <c r="D12991" i="2"/>
  <c r="F12990" i="2"/>
  <c r="E12990" i="2"/>
  <c r="D12990" i="2"/>
  <c r="F12989" i="2"/>
  <c r="E12989" i="2"/>
  <c r="D12989" i="2"/>
  <c r="F12988" i="2"/>
  <c r="E12988" i="2"/>
  <c r="D12988" i="2"/>
  <c r="F12987" i="2"/>
  <c r="E12987" i="2"/>
  <c r="D12987" i="2"/>
  <c r="F12986" i="2"/>
  <c r="E12986" i="2"/>
  <c r="D12986" i="2"/>
  <c r="F12985" i="2"/>
  <c r="E12985" i="2"/>
  <c r="D12985" i="2"/>
  <c r="F12984" i="2"/>
  <c r="E12984" i="2"/>
  <c r="D12984" i="2"/>
  <c r="F12982" i="2"/>
  <c r="E12982" i="2"/>
  <c r="D12982" i="2"/>
  <c r="F12889" i="2"/>
  <c r="E12889" i="2"/>
  <c r="D12889" i="2"/>
  <c r="F12888" i="2"/>
  <c r="E12888" i="2"/>
  <c r="D12888" i="2"/>
  <c r="F12887" i="2"/>
  <c r="E12887" i="2"/>
  <c r="D12887" i="2"/>
  <c r="F12886" i="2"/>
  <c r="E12886" i="2"/>
  <c r="D12886" i="2"/>
  <c r="F12885" i="2"/>
  <c r="E12885" i="2"/>
  <c r="D12885" i="2"/>
  <c r="F6944" i="2"/>
  <c r="E6944" i="2"/>
  <c r="D6944" i="2"/>
  <c r="F6957" i="2"/>
  <c r="E6957" i="2"/>
  <c r="D6957" i="2"/>
  <c r="F6955" i="2"/>
  <c r="E6955" i="2"/>
  <c r="D6955" i="2"/>
  <c r="F6956" i="2"/>
  <c r="E6956" i="2"/>
  <c r="D6956" i="2"/>
  <c r="F6954" i="2"/>
  <c r="E6954" i="2"/>
  <c r="D6954" i="2"/>
  <c r="F6953" i="2"/>
  <c r="E6953" i="2"/>
  <c r="D6953" i="2"/>
  <c r="F6950" i="2"/>
  <c r="E6950" i="2"/>
  <c r="D6950" i="2"/>
  <c r="F6952" i="2"/>
  <c r="E6952" i="2"/>
  <c r="D6952" i="2"/>
  <c r="F6951" i="2"/>
  <c r="E6951" i="2"/>
  <c r="D6951" i="2"/>
  <c r="F6949" i="2"/>
  <c r="E6949" i="2"/>
  <c r="D6949" i="2"/>
  <c r="F6948" i="2"/>
  <c r="E6948" i="2"/>
  <c r="D6948" i="2"/>
  <c r="F6947" i="2"/>
  <c r="E6947" i="2"/>
  <c r="D6947" i="2"/>
  <c r="F6946" i="2"/>
  <c r="E6946" i="2"/>
  <c r="D6946" i="2"/>
  <c r="F6945" i="2"/>
  <c r="E6945" i="2"/>
  <c r="D6945" i="2"/>
  <c r="F3289" i="2"/>
  <c r="E3289" i="2"/>
  <c r="D3289" i="2"/>
  <c r="F3296" i="2"/>
  <c r="E3296" i="2"/>
  <c r="D3296" i="2"/>
  <c r="F3295" i="2"/>
  <c r="E3295" i="2"/>
  <c r="D3295" i="2"/>
  <c r="F3294" i="2"/>
  <c r="E3294" i="2"/>
  <c r="D3294" i="2"/>
  <c r="F3293" i="2"/>
  <c r="E3293" i="2"/>
  <c r="D3293" i="2"/>
  <c r="F3292" i="2"/>
  <c r="E3292" i="2"/>
  <c r="D3292" i="2"/>
  <c r="F3291" i="2"/>
  <c r="E3291" i="2"/>
  <c r="D3291" i="2"/>
  <c r="F3290" i="2"/>
  <c r="E3290" i="2"/>
  <c r="D3290" i="2"/>
  <c r="F3288" i="2"/>
  <c r="E3288" i="2"/>
  <c r="D3288" i="2"/>
  <c r="F9469" i="2"/>
  <c r="E9469" i="2"/>
  <c r="D9469" i="2"/>
  <c r="F9468" i="2"/>
  <c r="E9468" i="2"/>
  <c r="D9468" i="2"/>
  <c r="F9467" i="2"/>
  <c r="E9467" i="2"/>
  <c r="D9467" i="2"/>
  <c r="F9466" i="2"/>
  <c r="E9466" i="2"/>
  <c r="D9466" i="2"/>
  <c r="F9465" i="2"/>
  <c r="E9465" i="2"/>
  <c r="D9465" i="2"/>
  <c r="F9464" i="2"/>
  <c r="E9464" i="2"/>
  <c r="D9464" i="2"/>
  <c r="F9463" i="2"/>
  <c r="E9463" i="2"/>
  <c r="D9463" i="2"/>
  <c r="F9462" i="2"/>
  <c r="E9462" i="2"/>
  <c r="D9462" i="2"/>
  <c r="F9461" i="2"/>
  <c r="E9461" i="2"/>
  <c r="D9461" i="2"/>
  <c r="F9460" i="2"/>
  <c r="E9460" i="2"/>
  <c r="D9460" i="2"/>
  <c r="F9459" i="2"/>
  <c r="E9459" i="2"/>
  <c r="D9459" i="2"/>
  <c r="F9458" i="2"/>
  <c r="E9458" i="2"/>
  <c r="D9458" i="2"/>
  <c r="F9457" i="2"/>
  <c r="E9457" i="2"/>
  <c r="D9457" i="2"/>
  <c r="F9456" i="2"/>
  <c r="E9456" i="2"/>
  <c r="D9456" i="2"/>
  <c r="F9455" i="2"/>
  <c r="E9455" i="2"/>
  <c r="D9455" i="2"/>
  <c r="F9454" i="2"/>
  <c r="E9454" i="2"/>
  <c r="D9454" i="2"/>
  <c r="F9453" i="2"/>
  <c r="E9453" i="2"/>
  <c r="D9453" i="2"/>
  <c r="F6703" i="2"/>
  <c r="E6703" i="2"/>
  <c r="D6703" i="2"/>
  <c r="F6731" i="2"/>
  <c r="E6731" i="2"/>
  <c r="D6731" i="2"/>
  <c r="F6730" i="2"/>
  <c r="E6730" i="2"/>
  <c r="D6730" i="2"/>
  <c r="F6729" i="2"/>
  <c r="E6729" i="2"/>
  <c r="D6729" i="2"/>
  <c r="F6728" i="2"/>
  <c r="E6728" i="2"/>
  <c r="D6728" i="2"/>
  <c r="F6727" i="2"/>
  <c r="E6727" i="2"/>
  <c r="D6727" i="2"/>
  <c r="F6726" i="2"/>
  <c r="E6726" i="2"/>
  <c r="D6726" i="2"/>
  <c r="F6725" i="2"/>
  <c r="E6725" i="2"/>
  <c r="D6725" i="2"/>
  <c r="F6724" i="2"/>
  <c r="E6724" i="2"/>
  <c r="D6724" i="2"/>
  <c r="F6723" i="2"/>
  <c r="E6723" i="2"/>
  <c r="D6723" i="2"/>
  <c r="F6722" i="2"/>
  <c r="E6722" i="2"/>
  <c r="D6722" i="2"/>
  <c r="F6721" i="2"/>
  <c r="E6721" i="2"/>
  <c r="D6721" i="2"/>
  <c r="F6720" i="2"/>
  <c r="E6720" i="2"/>
  <c r="D6720" i="2"/>
  <c r="F6719" i="2"/>
  <c r="E6719" i="2"/>
  <c r="D6719" i="2"/>
  <c r="F6718" i="2"/>
  <c r="E6718" i="2"/>
  <c r="D6718" i="2"/>
  <c r="F6717" i="2"/>
  <c r="E6717" i="2"/>
  <c r="D6717" i="2"/>
  <c r="F6716" i="2"/>
  <c r="E6716" i="2"/>
  <c r="D6716" i="2"/>
  <c r="F6715" i="2"/>
  <c r="E6715" i="2"/>
  <c r="D6715" i="2"/>
  <c r="F6714" i="2"/>
  <c r="E6714" i="2"/>
  <c r="D6714" i="2"/>
  <c r="F6713" i="2"/>
  <c r="E6713" i="2"/>
  <c r="D6713" i="2"/>
  <c r="F6712" i="2"/>
  <c r="E6712" i="2"/>
  <c r="D6712" i="2"/>
  <c r="F6711" i="2"/>
  <c r="E6711" i="2"/>
  <c r="D6711" i="2"/>
  <c r="F6710" i="2"/>
  <c r="E6710" i="2"/>
  <c r="D6710" i="2"/>
  <c r="F6709" i="2"/>
  <c r="E6709" i="2"/>
  <c r="D6709" i="2"/>
  <c r="F6708" i="2"/>
  <c r="E6708" i="2"/>
  <c r="D6708" i="2"/>
  <c r="F6707" i="2"/>
  <c r="E6707" i="2"/>
  <c r="D6707" i="2"/>
  <c r="F6706" i="2"/>
  <c r="E6706" i="2"/>
  <c r="D6706" i="2"/>
  <c r="F6705" i="2"/>
  <c r="E6705" i="2"/>
  <c r="D6705" i="2"/>
  <c r="F6704" i="2"/>
  <c r="E6704" i="2"/>
  <c r="D6704" i="2"/>
  <c r="F3278" i="2"/>
  <c r="E3278" i="2"/>
  <c r="D3278" i="2"/>
  <c r="F3287" i="2"/>
  <c r="E3287" i="2"/>
  <c r="D3287" i="2"/>
  <c r="F3286" i="2"/>
  <c r="E3286" i="2"/>
  <c r="D3286" i="2"/>
  <c r="F3285" i="2"/>
  <c r="E3285" i="2"/>
  <c r="D3285" i="2"/>
  <c r="F3284" i="2"/>
  <c r="E3284" i="2"/>
  <c r="D3284" i="2"/>
  <c r="F3283" i="2"/>
  <c r="E3283" i="2"/>
  <c r="D3283" i="2"/>
  <c r="F3282" i="2"/>
  <c r="E3282" i="2"/>
  <c r="D3282" i="2"/>
  <c r="F3281" i="2"/>
  <c r="E3281" i="2"/>
  <c r="D3281" i="2"/>
  <c r="F3280" i="2"/>
  <c r="E3280" i="2"/>
  <c r="D3280" i="2"/>
  <c r="F3279" i="2"/>
  <c r="E3279" i="2"/>
  <c r="D3279" i="2"/>
  <c r="F14808" i="2"/>
  <c r="E14808" i="2"/>
  <c r="D14808" i="2"/>
  <c r="F14825" i="2"/>
  <c r="E14825" i="2"/>
  <c r="D14825" i="2"/>
  <c r="F14824" i="2"/>
  <c r="E14824" i="2"/>
  <c r="D14824" i="2"/>
  <c r="F14823" i="2"/>
  <c r="E14823" i="2"/>
  <c r="D14823" i="2"/>
  <c r="F14822" i="2"/>
  <c r="E14822" i="2"/>
  <c r="D14822" i="2"/>
  <c r="F14821" i="2"/>
  <c r="E14821" i="2"/>
  <c r="D14821" i="2"/>
  <c r="F14820" i="2"/>
  <c r="E14820" i="2"/>
  <c r="D14820" i="2"/>
  <c r="F14819" i="2"/>
  <c r="E14819" i="2"/>
  <c r="D14819" i="2"/>
  <c r="F14818" i="2"/>
  <c r="E14818" i="2"/>
  <c r="D14818" i="2"/>
  <c r="F14817" i="2"/>
  <c r="E14817" i="2"/>
  <c r="D14817" i="2"/>
  <c r="F14816" i="2"/>
  <c r="E14816" i="2"/>
  <c r="D14816" i="2"/>
  <c r="F14815" i="2"/>
  <c r="E14815" i="2"/>
  <c r="D14815" i="2"/>
  <c r="F14814" i="2"/>
  <c r="E14814" i="2"/>
  <c r="D14814" i="2"/>
  <c r="F14813" i="2"/>
  <c r="E14813" i="2"/>
  <c r="D14813" i="2"/>
  <c r="F14812" i="2"/>
  <c r="E14812" i="2"/>
  <c r="D14812" i="2"/>
  <c r="F14811" i="2"/>
  <c r="E14811" i="2"/>
  <c r="D14811" i="2"/>
  <c r="F14810" i="2"/>
  <c r="E14810" i="2"/>
  <c r="D14810" i="2"/>
  <c r="F14809" i="2"/>
  <c r="E14809" i="2"/>
  <c r="D14809" i="2"/>
  <c r="F13607" i="2"/>
  <c r="E13607" i="2"/>
  <c r="D13607" i="2"/>
  <c r="F13628" i="2"/>
  <c r="E13628" i="2"/>
  <c r="D13628" i="2"/>
  <c r="F13627" i="2"/>
  <c r="E13627" i="2"/>
  <c r="D13627" i="2"/>
  <c r="F13626" i="2"/>
  <c r="E13626" i="2"/>
  <c r="D13626" i="2"/>
  <c r="F13625" i="2"/>
  <c r="E13625" i="2"/>
  <c r="D13625" i="2"/>
  <c r="F13624" i="2"/>
  <c r="E13624" i="2"/>
  <c r="D13624" i="2"/>
  <c r="F13623" i="2"/>
  <c r="E13623" i="2"/>
  <c r="D13623" i="2"/>
  <c r="F13622" i="2"/>
  <c r="E13622" i="2"/>
  <c r="D13622" i="2"/>
  <c r="F13621" i="2"/>
  <c r="E13621" i="2"/>
  <c r="D13621" i="2"/>
  <c r="F13620" i="2"/>
  <c r="E13620" i="2"/>
  <c r="D13620" i="2"/>
  <c r="F13619" i="2"/>
  <c r="E13619" i="2"/>
  <c r="D13619" i="2"/>
  <c r="F13618" i="2"/>
  <c r="E13618" i="2"/>
  <c r="D13618" i="2"/>
  <c r="F13617" i="2"/>
  <c r="E13617" i="2"/>
  <c r="D13617" i="2"/>
  <c r="F13616" i="2"/>
  <c r="E13616" i="2"/>
  <c r="D13616" i="2"/>
  <c r="F13615" i="2"/>
  <c r="E13615" i="2"/>
  <c r="D13615" i="2"/>
  <c r="F13614" i="2"/>
  <c r="E13614" i="2"/>
  <c r="D13614" i="2"/>
  <c r="F13613" i="2"/>
  <c r="E13613" i="2"/>
  <c r="D13613" i="2"/>
  <c r="F13612" i="2"/>
  <c r="E13612" i="2"/>
  <c r="D13612" i="2"/>
  <c r="F13611" i="2"/>
  <c r="E13611" i="2"/>
  <c r="D13611" i="2"/>
  <c r="F13610" i="2"/>
  <c r="E13610" i="2"/>
  <c r="D13610" i="2"/>
  <c r="F13609" i="2"/>
  <c r="E13609" i="2"/>
  <c r="D13609" i="2"/>
  <c r="F13608" i="2"/>
  <c r="E13608" i="2"/>
  <c r="D13608" i="2"/>
  <c r="F11557" i="2"/>
  <c r="E11557" i="2"/>
  <c r="D11557" i="2"/>
  <c r="F11564" i="2"/>
  <c r="E11564" i="2"/>
  <c r="D11564" i="2"/>
  <c r="F11563" i="2"/>
  <c r="E11563" i="2"/>
  <c r="D11563" i="2"/>
  <c r="F11562" i="2"/>
  <c r="E11562" i="2"/>
  <c r="D11562" i="2"/>
  <c r="F11561" i="2"/>
  <c r="E11561" i="2"/>
  <c r="D11561" i="2"/>
  <c r="F11560" i="2"/>
  <c r="E11560" i="2"/>
  <c r="D11560" i="2"/>
  <c r="F11559" i="2"/>
  <c r="E11559" i="2"/>
  <c r="D11559" i="2"/>
  <c r="F11558" i="2"/>
  <c r="E11558" i="2"/>
  <c r="D11558" i="2"/>
  <c r="F13599" i="2"/>
  <c r="E13599" i="2"/>
  <c r="D13599" i="2"/>
  <c r="F13606" i="2"/>
  <c r="E13606" i="2"/>
  <c r="D13606" i="2"/>
  <c r="F13605" i="2"/>
  <c r="E13605" i="2"/>
  <c r="D13605" i="2"/>
  <c r="F13604" i="2"/>
  <c r="E13604" i="2"/>
  <c r="D13604" i="2"/>
  <c r="F13603" i="2"/>
  <c r="E13603" i="2"/>
  <c r="D13603" i="2"/>
  <c r="F13602" i="2"/>
  <c r="E13602" i="2"/>
  <c r="D13602" i="2"/>
  <c r="F13601" i="2"/>
  <c r="E13601" i="2"/>
  <c r="D13601" i="2"/>
  <c r="F13600" i="2"/>
  <c r="E13600" i="2"/>
  <c r="D13600" i="2"/>
  <c r="F14826" i="2"/>
  <c r="E14826" i="2"/>
  <c r="D14826" i="2"/>
  <c r="F14827" i="2"/>
  <c r="E14827" i="2"/>
  <c r="D14827" i="2"/>
  <c r="F1917" i="2"/>
  <c r="E1917" i="2"/>
  <c r="D1917" i="2"/>
  <c r="F1916" i="2"/>
  <c r="E1916" i="2"/>
  <c r="D1916" i="2"/>
  <c r="F1915" i="2"/>
  <c r="E1915" i="2"/>
  <c r="D1915" i="2"/>
  <c r="F1914" i="2"/>
  <c r="E1914" i="2"/>
  <c r="D1914" i="2"/>
  <c r="F1913" i="2"/>
  <c r="E1913" i="2"/>
  <c r="D1913" i="2"/>
  <c r="F1912" i="2"/>
  <c r="E1912" i="2"/>
  <c r="D1912" i="2"/>
  <c r="F1911" i="2"/>
  <c r="E1911" i="2"/>
  <c r="D1911" i="2"/>
  <c r="F15595" i="2"/>
  <c r="E15595" i="2"/>
  <c r="D15595" i="2"/>
  <c r="F15594" i="2"/>
  <c r="E15594" i="2"/>
  <c r="D15594" i="2"/>
  <c r="F15593" i="2"/>
  <c r="E15593" i="2"/>
  <c r="D15593" i="2"/>
  <c r="F15591" i="2"/>
  <c r="E15591" i="2"/>
  <c r="D15591" i="2"/>
  <c r="F15592" i="2"/>
  <c r="E15592" i="2"/>
  <c r="D15592" i="2"/>
  <c r="F15590" i="2"/>
  <c r="E15590" i="2"/>
  <c r="D15590" i="2"/>
  <c r="F15589" i="2"/>
  <c r="E15589" i="2"/>
  <c r="D15589" i="2"/>
  <c r="F15588" i="2"/>
  <c r="E15588" i="2"/>
  <c r="D15588" i="2"/>
  <c r="F15587" i="2"/>
  <c r="E15587" i="2"/>
  <c r="D15587" i="2"/>
  <c r="F15586" i="2"/>
  <c r="E15586" i="2"/>
  <c r="D15586" i="2"/>
  <c r="F15585" i="2"/>
  <c r="E15585" i="2"/>
  <c r="D15585" i="2"/>
  <c r="F15584" i="2"/>
  <c r="E15584" i="2"/>
  <c r="D15584" i="2"/>
  <c r="F15583" i="2"/>
  <c r="E15583" i="2"/>
  <c r="D15583" i="2"/>
  <c r="F15582" i="2"/>
  <c r="E15582" i="2"/>
  <c r="D15582" i="2"/>
  <c r="F15581" i="2"/>
  <c r="E15581" i="2"/>
  <c r="D15581" i="2"/>
  <c r="F15580" i="2"/>
  <c r="E15580" i="2"/>
  <c r="D15580" i="2"/>
  <c r="F15579" i="2"/>
  <c r="E15579" i="2"/>
  <c r="D15579" i="2"/>
  <c r="F8747" i="2"/>
  <c r="E8747" i="2"/>
  <c r="D8747" i="2"/>
  <c r="F8764" i="2"/>
  <c r="E8764" i="2"/>
  <c r="D8764" i="2"/>
  <c r="F8763" i="2"/>
  <c r="E8763" i="2"/>
  <c r="D8763" i="2"/>
  <c r="F8762" i="2"/>
  <c r="E8762" i="2"/>
  <c r="D8762" i="2"/>
  <c r="F8761" i="2"/>
  <c r="E8761" i="2"/>
  <c r="D8761" i="2"/>
  <c r="F8760" i="2"/>
  <c r="E8760" i="2"/>
  <c r="D8760" i="2"/>
  <c r="F8759" i="2"/>
  <c r="E8759" i="2"/>
  <c r="D8759" i="2"/>
  <c r="F8758" i="2"/>
  <c r="E8758" i="2"/>
  <c r="D8758" i="2"/>
  <c r="F8757" i="2"/>
  <c r="E8757" i="2"/>
  <c r="D8757" i="2"/>
  <c r="F8756" i="2"/>
  <c r="E8756" i="2"/>
  <c r="D8756" i="2"/>
  <c r="F8755" i="2"/>
  <c r="E8755" i="2"/>
  <c r="D8755" i="2"/>
  <c r="F8754" i="2"/>
  <c r="E8754" i="2"/>
  <c r="D8754" i="2"/>
  <c r="F8753" i="2"/>
  <c r="E8753" i="2"/>
  <c r="D8753" i="2"/>
  <c r="F8752" i="2"/>
  <c r="E8752" i="2"/>
  <c r="D8752" i="2"/>
  <c r="F8751" i="2"/>
  <c r="E8751" i="2"/>
  <c r="D8751" i="2"/>
  <c r="F8750" i="2"/>
  <c r="E8750" i="2"/>
  <c r="D8750" i="2"/>
  <c r="F8749" i="2"/>
  <c r="E8749" i="2"/>
  <c r="D8749" i="2"/>
  <c r="F8748" i="2"/>
  <c r="E8748" i="2"/>
  <c r="D8748" i="2"/>
  <c r="F13409" i="2"/>
  <c r="E13409" i="2"/>
  <c r="D13409" i="2"/>
  <c r="F13408" i="2"/>
  <c r="E13408" i="2"/>
  <c r="D13408" i="2"/>
  <c r="F13407" i="2"/>
  <c r="E13407" i="2"/>
  <c r="D13407" i="2"/>
  <c r="F13406" i="2"/>
  <c r="E13406" i="2"/>
  <c r="D13406" i="2"/>
  <c r="F13405" i="2"/>
  <c r="E13405" i="2"/>
  <c r="D13405" i="2"/>
  <c r="F13404" i="2"/>
  <c r="E13404" i="2"/>
  <c r="D13404" i="2"/>
  <c r="F13403" i="2"/>
  <c r="E13403" i="2"/>
  <c r="D13403" i="2"/>
  <c r="F13402" i="2"/>
  <c r="E13402" i="2"/>
  <c r="D13402" i="2"/>
  <c r="F5584" i="2"/>
  <c r="E5584" i="2"/>
  <c r="D5584" i="2"/>
  <c r="F5605" i="2"/>
  <c r="E5605" i="2"/>
  <c r="D5605" i="2"/>
  <c r="F5604" i="2"/>
  <c r="E5604" i="2"/>
  <c r="D5604" i="2"/>
  <c r="F5603" i="2"/>
  <c r="E5603" i="2"/>
  <c r="D5603" i="2"/>
  <c r="F5602" i="2"/>
  <c r="E5602" i="2"/>
  <c r="D5602" i="2"/>
  <c r="F5601" i="2"/>
  <c r="E5601" i="2"/>
  <c r="D5601" i="2"/>
  <c r="F5600" i="2"/>
  <c r="E5600" i="2"/>
  <c r="D5600" i="2"/>
  <c r="F5599" i="2"/>
  <c r="E5599" i="2"/>
  <c r="D5599" i="2"/>
  <c r="F5598" i="2"/>
  <c r="E5598" i="2"/>
  <c r="D5598" i="2"/>
  <c r="F5597" i="2"/>
  <c r="E5597" i="2"/>
  <c r="D5597" i="2"/>
  <c r="F5596" i="2"/>
  <c r="E5596" i="2"/>
  <c r="D5596" i="2"/>
  <c r="F5595" i="2"/>
  <c r="E5595" i="2"/>
  <c r="D5595" i="2"/>
  <c r="F5594" i="2"/>
  <c r="E5594" i="2"/>
  <c r="D5594" i="2"/>
  <c r="F5593" i="2"/>
  <c r="E5593" i="2"/>
  <c r="D5593" i="2"/>
  <c r="F5592" i="2"/>
  <c r="E5592" i="2"/>
  <c r="D5592" i="2"/>
  <c r="F5591" i="2"/>
  <c r="E5591" i="2"/>
  <c r="D5591" i="2"/>
  <c r="F5590" i="2"/>
  <c r="E5590" i="2"/>
  <c r="D5590" i="2"/>
  <c r="F5589" i="2"/>
  <c r="E5589" i="2"/>
  <c r="D5589" i="2"/>
  <c r="F5588" i="2"/>
  <c r="E5588" i="2"/>
  <c r="D5588" i="2"/>
  <c r="F5587" i="2"/>
  <c r="E5587" i="2"/>
  <c r="D5587" i="2"/>
  <c r="F5585" i="2"/>
  <c r="E5585" i="2"/>
  <c r="D5585" i="2"/>
  <c r="F5586" i="2"/>
  <c r="E5586" i="2"/>
  <c r="D5586" i="2"/>
  <c r="F15274" i="2"/>
  <c r="E15274" i="2"/>
  <c r="D15274" i="2"/>
  <c r="F15273" i="2"/>
  <c r="E15273" i="2"/>
  <c r="D15273" i="2"/>
  <c r="F15272" i="2"/>
  <c r="E15272" i="2"/>
  <c r="D15272" i="2"/>
  <c r="F15271" i="2"/>
  <c r="E15271" i="2"/>
  <c r="D15271" i="2"/>
  <c r="F15270" i="2"/>
  <c r="E15270" i="2"/>
  <c r="D15270" i="2"/>
  <c r="F15269" i="2"/>
  <c r="E15269" i="2"/>
  <c r="D15269" i="2"/>
  <c r="F15268" i="2"/>
  <c r="E15268" i="2"/>
  <c r="D15268" i="2"/>
  <c r="F15267" i="2"/>
  <c r="E15267" i="2"/>
  <c r="D15267" i="2"/>
  <c r="F15266" i="2"/>
  <c r="E15266" i="2"/>
  <c r="D15266" i="2"/>
  <c r="F15265" i="2"/>
  <c r="E15265" i="2"/>
  <c r="D15265" i="2"/>
  <c r="F15264" i="2"/>
  <c r="E15264" i="2"/>
  <c r="D15264" i="2"/>
  <c r="F15263" i="2"/>
  <c r="E15263" i="2"/>
  <c r="D15263" i="2"/>
  <c r="F15262" i="2"/>
  <c r="E15262" i="2"/>
  <c r="D15262" i="2"/>
  <c r="F15261" i="2"/>
  <c r="E15261" i="2"/>
  <c r="D15261" i="2"/>
  <c r="F15260" i="2"/>
  <c r="E15260" i="2"/>
  <c r="D15260" i="2"/>
  <c r="F15258" i="2"/>
  <c r="E15258" i="2"/>
  <c r="D15258" i="2"/>
  <c r="F15259" i="2"/>
  <c r="E15259" i="2"/>
  <c r="D15259" i="2"/>
  <c r="F15257" i="2"/>
  <c r="E15257" i="2"/>
  <c r="D15257" i="2"/>
  <c r="F15256" i="2"/>
  <c r="E15256" i="2"/>
  <c r="D15256" i="2"/>
  <c r="F15255" i="2"/>
  <c r="E15255" i="2"/>
  <c r="D15255" i="2"/>
  <c r="F15254" i="2"/>
  <c r="E15254" i="2"/>
  <c r="D15254" i="2"/>
  <c r="F15253" i="2"/>
  <c r="E15253" i="2"/>
  <c r="D15253" i="2"/>
  <c r="F15252" i="2"/>
  <c r="E15252" i="2"/>
  <c r="D15252" i="2"/>
  <c r="F15251" i="2"/>
  <c r="E15251" i="2"/>
  <c r="D15251" i="2"/>
  <c r="F15250" i="2"/>
  <c r="E15250" i="2"/>
  <c r="D15250" i="2"/>
  <c r="F15249" i="2"/>
  <c r="E15249" i="2"/>
  <c r="D15249" i="2"/>
  <c r="F15248" i="2"/>
  <c r="E15248" i="2"/>
  <c r="D15248" i="2"/>
  <c r="F15245" i="2"/>
  <c r="E15245" i="2"/>
  <c r="D15245" i="2"/>
  <c r="F15247" i="2"/>
  <c r="E15247" i="2"/>
  <c r="D15247" i="2"/>
  <c r="F15246" i="2"/>
  <c r="E15246" i="2"/>
  <c r="D15246" i="2"/>
  <c r="F15244" i="2"/>
  <c r="E15244" i="2"/>
  <c r="D15244" i="2"/>
  <c r="F15243" i="2"/>
  <c r="E15243" i="2"/>
  <c r="D15243" i="2"/>
  <c r="F15242" i="2"/>
  <c r="E15242" i="2"/>
  <c r="D15242" i="2"/>
  <c r="F890" i="2"/>
  <c r="E890" i="2"/>
  <c r="D890" i="2"/>
  <c r="F889" i="2"/>
  <c r="E889" i="2"/>
  <c r="D889" i="2"/>
  <c r="F888" i="2"/>
  <c r="E888" i="2"/>
  <c r="D888" i="2"/>
  <c r="F887" i="2"/>
  <c r="E887" i="2"/>
  <c r="D887" i="2"/>
  <c r="F886" i="2"/>
  <c r="E886" i="2"/>
  <c r="D886" i="2"/>
  <c r="F885" i="2"/>
  <c r="E885" i="2"/>
  <c r="D885" i="2"/>
  <c r="F884" i="2"/>
  <c r="E884" i="2"/>
  <c r="D884" i="2"/>
  <c r="F883" i="2"/>
  <c r="E883" i="2"/>
  <c r="D883" i="2"/>
  <c r="F882" i="2"/>
  <c r="E882" i="2"/>
  <c r="D882" i="2"/>
  <c r="F881" i="2"/>
  <c r="E881" i="2"/>
  <c r="D881" i="2"/>
  <c r="F880" i="2"/>
  <c r="E880" i="2"/>
  <c r="D880" i="2"/>
  <c r="F879" i="2"/>
  <c r="E879" i="2"/>
  <c r="D879" i="2"/>
  <c r="F878" i="2"/>
  <c r="E878" i="2"/>
  <c r="D878" i="2"/>
  <c r="F877" i="2"/>
  <c r="E877" i="2"/>
  <c r="D877" i="2"/>
  <c r="F876" i="2"/>
  <c r="E876" i="2"/>
  <c r="D876" i="2"/>
  <c r="F875" i="2"/>
  <c r="E875" i="2"/>
  <c r="D875" i="2"/>
  <c r="F874" i="2"/>
  <c r="E874" i="2"/>
  <c r="D874" i="2"/>
  <c r="F873" i="2"/>
  <c r="E873" i="2"/>
  <c r="D873" i="2"/>
  <c r="F872" i="2"/>
  <c r="E872" i="2"/>
  <c r="D872" i="2"/>
  <c r="F871" i="2"/>
  <c r="E871" i="2"/>
  <c r="D871" i="2"/>
  <c r="F870" i="2"/>
  <c r="E870" i="2"/>
  <c r="D870" i="2"/>
  <c r="F869" i="2"/>
  <c r="E869" i="2"/>
  <c r="D869" i="2"/>
  <c r="F868" i="2"/>
  <c r="E868" i="2"/>
  <c r="D868" i="2"/>
  <c r="F867" i="2"/>
  <c r="E867" i="2"/>
  <c r="D867" i="2"/>
  <c r="F866" i="2"/>
  <c r="E866" i="2"/>
  <c r="D866" i="2"/>
  <c r="F865" i="2"/>
  <c r="E865" i="2"/>
  <c r="D865" i="2"/>
  <c r="F13629" i="2"/>
  <c r="E13629" i="2"/>
  <c r="D13629" i="2"/>
  <c r="F13634" i="2"/>
  <c r="E13634" i="2"/>
  <c r="D13634" i="2"/>
  <c r="F13633" i="2"/>
  <c r="E13633" i="2"/>
  <c r="D13633" i="2"/>
  <c r="F13632" i="2"/>
  <c r="E13632" i="2"/>
  <c r="D13632" i="2"/>
  <c r="F13631" i="2"/>
  <c r="E13631" i="2"/>
  <c r="D13631" i="2"/>
  <c r="F13630" i="2"/>
  <c r="E13630" i="2"/>
  <c r="D13630" i="2"/>
  <c r="F15184" i="2"/>
  <c r="E15184" i="2"/>
  <c r="D15184" i="2"/>
  <c r="F15206" i="2"/>
  <c r="E15206" i="2"/>
  <c r="D15206" i="2"/>
  <c r="F15205" i="2"/>
  <c r="E15205" i="2"/>
  <c r="D15205" i="2"/>
  <c r="F15204" i="2"/>
  <c r="E15204" i="2"/>
  <c r="D15204" i="2"/>
  <c r="F15203" i="2"/>
  <c r="E15203" i="2"/>
  <c r="D15203" i="2"/>
  <c r="F15202" i="2"/>
  <c r="E15202" i="2"/>
  <c r="D15202" i="2"/>
  <c r="F15201" i="2"/>
  <c r="E15201" i="2"/>
  <c r="D15201" i="2"/>
  <c r="F15200" i="2"/>
  <c r="E15200" i="2"/>
  <c r="D15200" i="2"/>
  <c r="F15199" i="2"/>
  <c r="E15199" i="2"/>
  <c r="D15199" i="2"/>
  <c r="F15198" i="2"/>
  <c r="E15198" i="2"/>
  <c r="D15198" i="2"/>
  <c r="F15197" i="2"/>
  <c r="E15197" i="2"/>
  <c r="D15197" i="2"/>
  <c r="F15196" i="2"/>
  <c r="E15196" i="2"/>
  <c r="D15196" i="2"/>
  <c r="F15195" i="2"/>
  <c r="E15195" i="2"/>
  <c r="D15195" i="2"/>
  <c r="F15194" i="2"/>
  <c r="E15194" i="2"/>
  <c r="D15194" i="2"/>
  <c r="F15193" i="2"/>
  <c r="E15193" i="2"/>
  <c r="D15193" i="2"/>
  <c r="F15192" i="2"/>
  <c r="E15192" i="2"/>
  <c r="D15192" i="2"/>
  <c r="F15191" i="2"/>
  <c r="E15191" i="2"/>
  <c r="D15191" i="2"/>
  <c r="F15190" i="2"/>
  <c r="E15190" i="2"/>
  <c r="D15190" i="2"/>
  <c r="F15189" i="2"/>
  <c r="E15189" i="2"/>
  <c r="D15189" i="2"/>
  <c r="F15188" i="2"/>
  <c r="E15188" i="2"/>
  <c r="D15188" i="2"/>
  <c r="F15187" i="2"/>
  <c r="E15187" i="2"/>
  <c r="D15187" i="2"/>
  <c r="F15186" i="2"/>
  <c r="E15186" i="2"/>
  <c r="D15186" i="2"/>
  <c r="F15185" i="2"/>
  <c r="E15185" i="2"/>
  <c r="D15185" i="2"/>
  <c r="F4373" i="2"/>
  <c r="E4373" i="2"/>
  <c r="D4373" i="2"/>
  <c r="F4382" i="2"/>
  <c r="E4382" i="2"/>
  <c r="D4382" i="2"/>
  <c r="F4381" i="2"/>
  <c r="E4381" i="2"/>
  <c r="D4381" i="2"/>
  <c r="F4380" i="2"/>
  <c r="E4380" i="2"/>
  <c r="D4380" i="2"/>
  <c r="F4379" i="2"/>
  <c r="E4379" i="2"/>
  <c r="D4379" i="2"/>
  <c r="F4378" i="2"/>
  <c r="E4378" i="2"/>
  <c r="D4378" i="2"/>
  <c r="F4377" i="2"/>
  <c r="E4377" i="2"/>
  <c r="D4377" i="2"/>
  <c r="F4376" i="2"/>
  <c r="E4376" i="2"/>
  <c r="D4376" i="2"/>
  <c r="F4375" i="2"/>
  <c r="E4375" i="2"/>
  <c r="D4375" i="2"/>
  <c r="F4374" i="2"/>
  <c r="E4374" i="2"/>
  <c r="D4374" i="2"/>
  <c r="F16267" i="2"/>
  <c r="E16267" i="2"/>
  <c r="D16267" i="2"/>
  <c r="F16266" i="2"/>
  <c r="E16266" i="2"/>
  <c r="D16266" i="2"/>
  <c r="F16265" i="2"/>
  <c r="E16265" i="2"/>
  <c r="D16265" i="2"/>
  <c r="F16264" i="2"/>
  <c r="E16264" i="2"/>
  <c r="D16264" i="2"/>
  <c r="F13464" i="2"/>
  <c r="E13464" i="2"/>
  <c r="D13464" i="2"/>
  <c r="F13467" i="2"/>
  <c r="E13467" i="2"/>
  <c r="D13467" i="2"/>
  <c r="F13466" i="2"/>
  <c r="E13466" i="2"/>
  <c r="D13466" i="2"/>
  <c r="F13465" i="2"/>
  <c r="E13465" i="2"/>
  <c r="D13465" i="2"/>
  <c r="F6702" i="2"/>
  <c r="E6702" i="2"/>
  <c r="D6702" i="2"/>
  <c r="F6701" i="2"/>
  <c r="E6701" i="2"/>
  <c r="D6701" i="2"/>
  <c r="F6700" i="2"/>
  <c r="E6700" i="2"/>
  <c r="D6700" i="2"/>
  <c r="F6699" i="2"/>
  <c r="E6699" i="2"/>
  <c r="D6699" i="2"/>
  <c r="F6698" i="2"/>
  <c r="E6698" i="2"/>
  <c r="D6698" i="2"/>
  <c r="F6697" i="2"/>
  <c r="E6697" i="2"/>
  <c r="D6697" i="2"/>
  <c r="F6696" i="2"/>
  <c r="E6696" i="2"/>
  <c r="D6696" i="2"/>
  <c r="F6695" i="2"/>
  <c r="E6695" i="2"/>
  <c r="D6695" i="2"/>
  <c r="F6694" i="2"/>
  <c r="E6694" i="2"/>
  <c r="D6694" i="2"/>
  <c r="F6230" i="2"/>
  <c r="E6230" i="2"/>
  <c r="D6230" i="2"/>
  <c r="F6229" i="2"/>
  <c r="E6229" i="2"/>
  <c r="D6229" i="2"/>
  <c r="F6228" i="2"/>
  <c r="E6228" i="2"/>
  <c r="D6228" i="2"/>
  <c r="F6227" i="2"/>
  <c r="E6227" i="2"/>
  <c r="D6227" i="2"/>
  <c r="F12884" i="2"/>
  <c r="E12884" i="2"/>
  <c r="D12884" i="2"/>
  <c r="F1144" i="2"/>
  <c r="E1144" i="2"/>
  <c r="D1144" i="2"/>
  <c r="F1148" i="2"/>
  <c r="E1148" i="2"/>
  <c r="D1148" i="2"/>
  <c r="F1147" i="2"/>
  <c r="E1147" i="2"/>
  <c r="D1147" i="2"/>
  <c r="F1146" i="2"/>
  <c r="E1146" i="2"/>
  <c r="D1146" i="2"/>
  <c r="F1145" i="2"/>
  <c r="E1145" i="2"/>
  <c r="D1145" i="2"/>
  <c r="F1938" i="2"/>
  <c r="E1938" i="2"/>
  <c r="D1938" i="2"/>
  <c r="F1943" i="2"/>
  <c r="E1943" i="2"/>
  <c r="D1943" i="2"/>
  <c r="F1942" i="2"/>
  <c r="E1942" i="2"/>
  <c r="D1942" i="2"/>
  <c r="F1941" i="2"/>
  <c r="E1941" i="2"/>
  <c r="D1941" i="2"/>
  <c r="F1940" i="2"/>
  <c r="E1940" i="2"/>
  <c r="D1940" i="2"/>
  <c r="F1939" i="2"/>
  <c r="E1939" i="2"/>
  <c r="D1939" i="2"/>
  <c r="F13967" i="2"/>
  <c r="E13967" i="2"/>
  <c r="D13967" i="2"/>
  <c r="F13975" i="2"/>
  <c r="E13975" i="2"/>
  <c r="D13975" i="2"/>
  <c r="F13974" i="2"/>
  <c r="E13974" i="2"/>
  <c r="D13974" i="2"/>
  <c r="F13973" i="2"/>
  <c r="E13973" i="2"/>
  <c r="D13973" i="2"/>
  <c r="F13972" i="2"/>
  <c r="E13972" i="2"/>
  <c r="D13972" i="2"/>
  <c r="F13971" i="2"/>
  <c r="E13971" i="2"/>
  <c r="D13971" i="2"/>
  <c r="F13970" i="2"/>
  <c r="E13970" i="2"/>
  <c r="D13970" i="2"/>
  <c r="F13969" i="2"/>
  <c r="E13969" i="2"/>
  <c r="D13969" i="2"/>
  <c r="F13968" i="2"/>
  <c r="E13968" i="2"/>
  <c r="D13968" i="2"/>
  <c r="F12403" i="2"/>
  <c r="E12403" i="2"/>
  <c r="D12403" i="2"/>
  <c r="F12412" i="2"/>
  <c r="E12412" i="2"/>
  <c r="D12412" i="2"/>
  <c r="F12411" i="2"/>
  <c r="E12411" i="2"/>
  <c r="D12411" i="2"/>
  <c r="F12410" i="2"/>
  <c r="E12410" i="2"/>
  <c r="D12410" i="2"/>
  <c r="F12409" i="2"/>
  <c r="E12409" i="2"/>
  <c r="D12409" i="2"/>
  <c r="F12408" i="2"/>
  <c r="E12408" i="2"/>
  <c r="D12408" i="2"/>
  <c r="F12407" i="2"/>
  <c r="E12407" i="2"/>
  <c r="D12407" i="2"/>
  <c r="F12406" i="2"/>
  <c r="E12406" i="2"/>
  <c r="D12406" i="2"/>
  <c r="F12405" i="2"/>
  <c r="E12405" i="2"/>
  <c r="D12405" i="2"/>
  <c r="F12404" i="2"/>
  <c r="E12404" i="2"/>
  <c r="D12404" i="2"/>
  <c r="F12402" i="2"/>
  <c r="E12402" i="2"/>
  <c r="D12402" i="2"/>
  <c r="F13182" i="2"/>
  <c r="E13182" i="2"/>
  <c r="D13182" i="2"/>
  <c r="F13188" i="2"/>
  <c r="E13188" i="2"/>
  <c r="D13188" i="2"/>
  <c r="F13187" i="2"/>
  <c r="E13187" i="2"/>
  <c r="D13187" i="2"/>
  <c r="F13186" i="2"/>
  <c r="E13186" i="2"/>
  <c r="D13186" i="2"/>
  <c r="F13185" i="2"/>
  <c r="E13185" i="2"/>
  <c r="D13185" i="2"/>
  <c r="F13184" i="2"/>
  <c r="E13184" i="2"/>
  <c r="D13184" i="2"/>
  <c r="F13183" i="2"/>
  <c r="E13183" i="2"/>
  <c r="D13183" i="2"/>
  <c r="F1937" i="2"/>
  <c r="E1937" i="2"/>
  <c r="D1937" i="2"/>
  <c r="F1936" i="2"/>
  <c r="E1936" i="2"/>
  <c r="D1936" i="2"/>
  <c r="F1935" i="2"/>
  <c r="E1935" i="2"/>
  <c r="D1935" i="2"/>
  <c r="F1934" i="2"/>
  <c r="E1934" i="2"/>
  <c r="D1934" i="2"/>
  <c r="F1933" i="2"/>
  <c r="E1933" i="2"/>
  <c r="D1933" i="2"/>
  <c r="F1932" i="2"/>
  <c r="E1932" i="2"/>
  <c r="D1932" i="2"/>
  <c r="F1931" i="2"/>
  <c r="E1931" i="2"/>
  <c r="D1931" i="2"/>
  <c r="F1930" i="2"/>
  <c r="E1930" i="2"/>
  <c r="D1930" i="2"/>
  <c r="F1929" i="2"/>
  <c r="E1929" i="2"/>
  <c r="D1929" i="2"/>
  <c r="F1928" i="2"/>
  <c r="E1928" i="2"/>
  <c r="D1928" i="2"/>
  <c r="F1927" i="2"/>
  <c r="E1927" i="2"/>
  <c r="D1927" i="2"/>
  <c r="F1926" i="2"/>
  <c r="E1926" i="2"/>
  <c r="D1926" i="2"/>
  <c r="F11537" i="2"/>
  <c r="E11537" i="2"/>
  <c r="D11537" i="2"/>
  <c r="F11556" i="2"/>
  <c r="E11556" i="2"/>
  <c r="D11556" i="2"/>
  <c r="F11555" i="2"/>
  <c r="E11555" i="2"/>
  <c r="D11555" i="2"/>
  <c r="F11554" i="2"/>
  <c r="E11554" i="2"/>
  <c r="D11554" i="2"/>
  <c r="F11553" i="2"/>
  <c r="E11553" i="2"/>
  <c r="D11553" i="2"/>
  <c r="F11552" i="2"/>
  <c r="E11552" i="2"/>
  <c r="D11552" i="2"/>
  <c r="F11551" i="2"/>
  <c r="E11551" i="2"/>
  <c r="D11551" i="2"/>
  <c r="F11550" i="2"/>
  <c r="E11550" i="2"/>
  <c r="D11550" i="2"/>
  <c r="F11549" i="2"/>
  <c r="E11549" i="2"/>
  <c r="D11549" i="2"/>
  <c r="F11548" i="2"/>
  <c r="E11548" i="2"/>
  <c r="D11548" i="2"/>
  <c r="F11547" i="2"/>
  <c r="E11547" i="2"/>
  <c r="D11547" i="2"/>
  <c r="F11546" i="2"/>
  <c r="E11546" i="2"/>
  <c r="D11546" i="2"/>
  <c r="F11545" i="2"/>
  <c r="E11545" i="2"/>
  <c r="D11545" i="2"/>
  <c r="F11544" i="2"/>
  <c r="E11544" i="2"/>
  <c r="D11544" i="2"/>
  <c r="F11543" i="2"/>
  <c r="E11543" i="2"/>
  <c r="D11543" i="2"/>
  <c r="F11542" i="2"/>
  <c r="E11542" i="2"/>
  <c r="D11542" i="2"/>
  <c r="F11541" i="2"/>
  <c r="E11541" i="2"/>
  <c r="D11541" i="2"/>
  <c r="F11540" i="2"/>
  <c r="E11540" i="2"/>
  <c r="D11540" i="2"/>
  <c r="F11539" i="2"/>
  <c r="E11539" i="2"/>
  <c r="D11539" i="2"/>
  <c r="F11538" i="2"/>
  <c r="E11538" i="2"/>
  <c r="D11538" i="2"/>
  <c r="F5944" i="2"/>
  <c r="E5944" i="2"/>
  <c r="D5944" i="2"/>
  <c r="F5949" i="2"/>
  <c r="E5949" i="2"/>
  <c r="D5949" i="2"/>
  <c r="F5948" i="2"/>
  <c r="E5948" i="2"/>
  <c r="D5948" i="2"/>
  <c r="F5947" i="2"/>
  <c r="E5947" i="2"/>
  <c r="D5947" i="2"/>
  <c r="F5946" i="2"/>
  <c r="E5946" i="2"/>
  <c r="D5946" i="2"/>
  <c r="F5945" i="2"/>
  <c r="E5945" i="2"/>
  <c r="D5945" i="2"/>
  <c r="F15355" i="2"/>
  <c r="E15355" i="2"/>
  <c r="D15355" i="2"/>
  <c r="F15354" i="2"/>
  <c r="E15354" i="2"/>
  <c r="D15354" i="2"/>
  <c r="F15353" i="2"/>
  <c r="E15353" i="2"/>
  <c r="D15353" i="2"/>
  <c r="F15352" i="2"/>
  <c r="E15352" i="2"/>
  <c r="D15352" i="2"/>
  <c r="F15351" i="2"/>
  <c r="E15351" i="2"/>
  <c r="D15351" i="2"/>
  <c r="F15350" i="2"/>
  <c r="E15350" i="2"/>
  <c r="D15350" i="2"/>
  <c r="F15349" i="2"/>
  <c r="E15349" i="2"/>
  <c r="D15349" i="2"/>
  <c r="F15348" i="2"/>
  <c r="E15348" i="2"/>
  <c r="D15348" i="2"/>
  <c r="F15347" i="2"/>
  <c r="E15347" i="2"/>
  <c r="D15347" i="2"/>
  <c r="F15346" i="2"/>
  <c r="E15346" i="2"/>
  <c r="D15346" i="2"/>
  <c r="F4383" i="2"/>
  <c r="E4383" i="2"/>
  <c r="D4383" i="2"/>
  <c r="F724" i="2"/>
  <c r="E724" i="2"/>
  <c r="D724" i="2"/>
  <c r="F743" i="2"/>
  <c r="E743" i="2"/>
  <c r="D743" i="2"/>
  <c r="F742" i="2"/>
  <c r="E742" i="2"/>
  <c r="D742" i="2"/>
  <c r="F741" i="2"/>
  <c r="E741" i="2"/>
  <c r="D741" i="2"/>
  <c r="F740" i="2"/>
  <c r="E740" i="2"/>
  <c r="D740" i="2"/>
  <c r="F739" i="2"/>
  <c r="E739" i="2"/>
  <c r="D739" i="2"/>
  <c r="F738" i="2"/>
  <c r="E738" i="2"/>
  <c r="D738" i="2"/>
  <c r="F737" i="2"/>
  <c r="E737" i="2"/>
  <c r="D737" i="2"/>
  <c r="F736" i="2"/>
  <c r="E736" i="2"/>
  <c r="D736" i="2"/>
  <c r="F735" i="2"/>
  <c r="E735" i="2"/>
  <c r="D735" i="2"/>
  <c r="F734" i="2"/>
  <c r="E734" i="2"/>
  <c r="D734" i="2"/>
  <c r="F733" i="2"/>
  <c r="E733" i="2"/>
  <c r="D733" i="2"/>
  <c r="F732" i="2"/>
  <c r="E732" i="2"/>
  <c r="D732" i="2"/>
  <c r="F731" i="2"/>
  <c r="E731" i="2"/>
  <c r="D731" i="2"/>
  <c r="F730" i="2"/>
  <c r="E730" i="2"/>
  <c r="D730" i="2"/>
  <c r="F729" i="2"/>
  <c r="E729" i="2"/>
  <c r="D729" i="2"/>
  <c r="F728" i="2"/>
  <c r="E728" i="2"/>
  <c r="D728" i="2"/>
  <c r="F727" i="2"/>
  <c r="E727" i="2"/>
  <c r="D727" i="2"/>
  <c r="F726" i="2"/>
  <c r="E726" i="2"/>
  <c r="D726" i="2"/>
  <c r="F725" i="2"/>
  <c r="E725" i="2"/>
  <c r="D725" i="2"/>
  <c r="F7575" i="2"/>
  <c r="E7575" i="2"/>
  <c r="D7575" i="2"/>
  <c r="F10956" i="2"/>
  <c r="E10956" i="2"/>
  <c r="D10956" i="2"/>
  <c r="F10970" i="2"/>
  <c r="E10970" i="2"/>
  <c r="D10970" i="2"/>
  <c r="F10969" i="2"/>
  <c r="E10969" i="2"/>
  <c r="D10969" i="2"/>
  <c r="F10968" i="2"/>
  <c r="E10968" i="2"/>
  <c r="D10968" i="2"/>
  <c r="F10967" i="2"/>
  <c r="E10967" i="2"/>
  <c r="D10967" i="2"/>
  <c r="F10966" i="2"/>
  <c r="E10966" i="2"/>
  <c r="D10966" i="2"/>
  <c r="F10965" i="2"/>
  <c r="E10965" i="2"/>
  <c r="D10965" i="2"/>
  <c r="F10964" i="2"/>
  <c r="E10964" i="2"/>
  <c r="D10964" i="2"/>
  <c r="F10963" i="2"/>
  <c r="E10963" i="2"/>
  <c r="D10963" i="2"/>
  <c r="F10962" i="2"/>
  <c r="E10962" i="2"/>
  <c r="D10962" i="2"/>
  <c r="F10961" i="2"/>
  <c r="E10961" i="2"/>
  <c r="D10961" i="2"/>
  <c r="F10960" i="2"/>
  <c r="E10960" i="2"/>
  <c r="D10960" i="2"/>
  <c r="F10959" i="2"/>
  <c r="E10959" i="2"/>
  <c r="D10959" i="2"/>
  <c r="F10958" i="2"/>
  <c r="E10958" i="2"/>
  <c r="D10958" i="2"/>
  <c r="F10957" i="2"/>
  <c r="E10957" i="2"/>
  <c r="D10957" i="2"/>
  <c r="F6965" i="2"/>
  <c r="E6965" i="2"/>
  <c r="D6965" i="2"/>
  <c r="F6968" i="2"/>
  <c r="E6968" i="2"/>
  <c r="D6968" i="2"/>
  <c r="F6967" i="2"/>
  <c r="E6967" i="2"/>
  <c r="D6967" i="2"/>
  <c r="F6966" i="2"/>
  <c r="E6966" i="2"/>
  <c r="D6966" i="2"/>
  <c r="F15361" i="2"/>
  <c r="E15361" i="2"/>
  <c r="D15361" i="2"/>
  <c r="F15360" i="2"/>
  <c r="E15360" i="2"/>
  <c r="D15360" i="2"/>
  <c r="F15359" i="2"/>
  <c r="E15359" i="2"/>
  <c r="D15359" i="2"/>
  <c r="F15358" i="2"/>
  <c r="E15358" i="2"/>
  <c r="D15358" i="2"/>
  <c r="F15356" i="2"/>
  <c r="E15356" i="2"/>
  <c r="D15356" i="2"/>
  <c r="F15357" i="2"/>
  <c r="E15357" i="2"/>
  <c r="D15357" i="2"/>
  <c r="F487" i="2"/>
  <c r="E487" i="2"/>
  <c r="D487" i="2"/>
  <c r="F485" i="2"/>
  <c r="E485" i="2"/>
  <c r="D485" i="2"/>
  <c r="F486" i="2"/>
  <c r="E486" i="2"/>
  <c r="D486" i="2"/>
  <c r="F7325" i="2"/>
  <c r="E7325" i="2"/>
  <c r="D7325" i="2"/>
  <c r="F7324" i="2"/>
  <c r="E7324" i="2"/>
  <c r="D7324" i="2"/>
  <c r="F4425" i="2"/>
  <c r="E4425" i="2"/>
  <c r="D4425" i="2"/>
  <c r="F4424" i="2"/>
  <c r="E4424" i="2"/>
  <c r="D4424" i="2"/>
  <c r="F4423" i="2"/>
  <c r="E4423" i="2"/>
  <c r="D4423" i="2"/>
  <c r="F4422" i="2"/>
  <c r="E4422" i="2"/>
  <c r="D4422" i="2"/>
  <c r="F4421" i="2"/>
  <c r="E4421" i="2"/>
  <c r="D4421" i="2"/>
  <c r="F4420" i="2"/>
  <c r="E4420" i="2"/>
  <c r="D4420" i="2"/>
  <c r="F4419" i="2"/>
  <c r="E4419" i="2"/>
  <c r="D4419" i="2"/>
  <c r="F4418" i="2"/>
  <c r="E4418" i="2"/>
  <c r="D4418" i="2"/>
  <c r="F4417" i="2"/>
  <c r="E4417" i="2"/>
  <c r="D4417" i="2"/>
  <c r="F4416" i="2"/>
  <c r="E4416" i="2"/>
  <c r="D4416" i="2"/>
  <c r="F4415" i="2"/>
  <c r="E4415" i="2"/>
  <c r="D4415" i="2"/>
  <c r="F4414" i="2"/>
  <c r="E4414" i="2"/>
  <c r="D4414" i="2"/>
  <c r="F4413" i="2"/>
  <c r="E4413" i="2"/>
  <c r="D4413" i="2"/>
  <c r="F4412" i="2"/>
  <c r="E4412" i="2"/>
  <c r="D4412" i="2"/>
  <c r="F4411" i="2"/>
  <c r="E4411" i="2"/>
  <c r="D4411" i="2"/>
  <c r="F4410" i="2"/>
  <c r="E4410" i="2"/>
  <c r="D4410" i="2"/>
  <c r="F4409" i="2"/>
  <c r="E4409" i="2"/>
  <c r="D4409" i="2"/>
  <c r="F4408" i="2"/>
  <c r="E4408" i="2"/>
  <c r="D4408" i="2"/>
  <c r="F4406" i="2"/>
  <c r="E4406" i="2"/>
  <c r="D4406" i="2"/>
  <c r="F4407" i="2"/>
  <c r="E4407" i="2"/>
  <c r="D4407" i="2"/>
  <c r="F4405" i="2"/>
  <c r="E4405" i="2"/>
  <c r="D4405" i="2"/>
  <c r="F3361" i="2"/>
  <c r="E3361" i="2"/>
  <c r="D3361" i="2"/>
  <c r="F3365" i="2"/>
  <c r="E3365" i="2"/>
  <c r="D3365" i="2"/>
  <c r="F3364" i="2"/>
  <c r="E3364" i="2"/>
  <c r="D3364" i="2"/>
  <c r="F3363" i="2"/>
  <c r="E3363" i="2"/>
  <c r="D3363" i="2"/>
  <c r="F3362" i="2"/>
  <c r="E3362" i="2"/>
  <c r="D3362" i="2"/>
  <c r="F10971" i="2"/>
  <c r="E10971" i="2"/>
  <c r="D10971" i="2"/>
  <c r="F10983" i="2"/>
  <c r="E10983" i="2"/>
  <c r="D10983" i="2"/>
  <c r="F10982" i="2"/>
  <c r="E10982" i="2"/>
  <c r="D10982" i="2"/>
  <c r="F10981" i="2"/>
  <c r="E10981" i="2"/>
  <c r="D10981" i="2"/>
  <c r="F10980" i="2"/>
  <c r="E10980" i="2"/>
  <c r="D10980" i="2"/>
  <c r="F10979" i="2"/>
  <c r="E10979" i="2"/>
  <c r="D10979" i="2"/>
  <c r="F10978" i="2"/>
  <c r="E10978" i="2"/>
  <c r="D10978" i="2"/>
  <c r="F10977" i="2"/>
  <c r="E10977" i="2"/>
  <c r="D10977" i="2"/>
  <c r="F10976" i="2"/>
  <c r="E10976" i="2"/>
  <c r="D10976" i="2"/>
  <c r="F10975" i="2"/>
  <c r="E10975" i="2"/>
  <c r="D10975" i="2"/>
  <c r="F10974" i="2"/>
  <c r="E10974" i="2"/>
  <c r="D10974" i="2"/>
  <c r="F10973" i="2"/>
  <c r="E10973" i="2"/>
  <c r="D10973" i="2"/>
  <c r="F10972" i="2"/>
  <c r="E10972" i="2"/>
  <c r="D10972" i="2"/>
  <c r="F3358" i="2"/>
  <c r="E3358" i="2"/>
  <c r="D3358" i="2"/>
  <c r="F3360" i="2"/>
  <c r="E3360" i="2"/>
  <c r="D3360" i="2"/>
  <c r="F3359" i="2"/>
  <c r="E3359" i="2"/>
  <c r="D3359" i="2"/>
  <c r="F3357" i="2"/>
  <c r="E3357" i="2"/>
  <c r="D3357" i="2"/>
  <c r="F14465" i="2"/>
  <c r="E14465" i="2"/>
  <c r="D14465" i="2"/>
  <c r="F14467" i="2"/>
  <c r="E14467" i="2"/>
  <c r="D14467" i="2"/>
  <c r="F14466" i="2"/>
  <c r="E14466" i="2"/>
  <c r="D14466" i="2"/>
  <c r="F8151" i="2"/>
  <c r="E8151" i="2"/>
  <c r="D8151" i="2"/>
  <c r="F8153" i="2"/>
  <c r="E8153" i="2"/>
  <c r="D8153" i="2"/>
  <c r="F8152" i="2"/>
  <c r="E8152" i="2"/>
  <c r="D8152" i="2"/>
  <c r="F8531" i="2"/>
  <c r="E8531" i="2"/>
  <c r="D8531" i="2"/>
  <c r="F8543" i="2"/>
  <c r="E8543" i="2"/>
  <c r="D8543" i="2"/>
  <c r="F8542" i="2"/>
  <c r="E8542" i="2"/>
  <c r="D8542" i="2"/>
  <c r="F8541" i="2"/>
  <c r="E8541" i="2"/>
  <c r="D8541" i="2"/>
  <c r="F8540" i="2"/>
  <c r="E8540" i="2"/>
  <c r="D8540" i="2"/>
  <c r="F8539" i="2"/>
  <c r="E8539" i="2"/>
  <c r="D8539" i="2"/>
  <c r="F8538" i="2"/>
  <c r="E8538" i="2"/>
  <c r="D8538" i="2"/>
  <c r="F8537" i="2"/>
  <c r="E8537" i="2"/>
  <c r="D8537" i="2"/>
  <c r="F8536" i="2"/>
  <c r="E8536" i="2"/>
  <c r="D8536" i="2"/>
  <c r="F8535" i="2"/>
  <c r="E8535" i="2"/>
  <c r="D8535" i="2"/>
  <c r="F8534" i="2"/>
  <c r="E8534" i="2"/>
  <c r="D8534" i="2"/>
  <c r="F8533" i="2"/>
  <c r="E8533" i="2"/>
  <c r="D8533" i="2"/>
  <c r="F8532" i="2"/>
  <c r="E8532" i="2"/>
  <c r="D8532" i="2"/>
  <c r="F3805" i="2"/>
  <c r="E3805" i="2"/>
  <c r="D3805" i="2"/>
  <c r="F3804" i="2"/>
  <c r="E3804" i="2"/>
  <c r="D3804" i="2"/>
  <c r="F3803" i="2"/>
  <c r="E3803" i="2"/>
  <c r="D3803" i="2"/>
  <c r="F484" i="2"/>
  <c r="E484" i="2"/>
  <c r="D484" i="2"/>
  <c r="F483" i="2"/>
  <c r="E483" i="2"/>
  <c r="D483" i="2"/>
  <c r="F482" i="2"/>
  <c r="E482" i="2"/>
  <c r="D482" i="2"/>
  <c r="F481" i="2"/>
  <c r="E481" i="2"/>
  <c r="D481" i="2"/>
  <c r="F480" i="2"/>
  <c r="E480" i="2"/>
  <c r="D480" i="2"/>
  <c r="F14289" i="2"/>
  <c r="E14289" i="2"/>
  <c r="D14289" i="2"/>
  <c r="F14294" i="2"/>
  <c r="E14294" i="2"/>
  <c r="D14294" i="2"/>
  <c r="F14293" i="2"/>
  <c r="E14293" i="2"/>
  <c r="D14293" i="2"/>
  <c r="F14292" i="2"/>
  <c r="E14292" i="2"/>
  <c r="D14292" i="2"/>
  <c r="F14291" i="2"/>
  <c r="E14291" i="2"/>
  <c r="D14291" i="2"/>
  <c r="F14290" i="2"/>
  <c r="E14290" i="2"/>
  <c r="D14290" i="2"/>
  <c r="F1701" i="2"/>
  <c r="E1701" i="2"/>
  <c r="D1701" i="2"/>
  <c r="F1703" i="2"/>
  <c r="E1703" i="2"/>
  <c r="D1703" i="2"/>
  <c r="F1702" i="2"/>
  <c r="E1702" i="2"/>
  <c r="D1702" i="2"/>
  <c r="F3808" i="2"/>
  <c r="E3808" i="2"/>
  <c r="D3808" i="2"/>
  <c r="F3807" i="2"/>
  <c r="E3807" i="2"/>
  <c r="D3807" i="2"/>
  <c r="F3806" i="2"/>
  <c r="E3806" i="2"/>
  <c r="D3806" i="2"/>
  <c r="F13986" i="2"/>
  <c r="E13986" i="2"/>
  <c r="D13986" i="2"/>
  <c r="F13995" i="2"/>
  <c r="E13995" i="2"/>
  <c r="D13995" i="2"/>
  <c r="F13994" i="2"/>
  <c r="E13994" i="2"/>
  <c r="D13994" i="2"/>
  <c r="F13993" i="2"/>
  <c r="E13993" i="2"/>
  <c r="D13993" i="2"/>
  <c r="F13992" i="2"/>
  <c r="E13992" i="2"/>
  <c r="D13992" i="2"/>
  <c r="F13991" i="2"/>
  <c r="E13991" i="2"/>
  <c r="D13991" i="2"/>
  <c r="F13990" i="2"/>
  <c r="E13990" i="2"/>
  <c r="D13990" i="2"/>
  <c r="F13989" i="2"/>
  <c r="E13989" i="2"/>
  <c r="D13989" i="2"/>
  <c r="F13988" i="2"/>
  <c r="E13988" i="2"/>
  <c r="D13988" i="2"/>
  <c r="F13987" i="2"/>
  <c r="E13987" i="2"/>
  <c r="D13987" i="2"/>
  <c r="F11577" i="2"/>
  <c r="E11577" i="2"/>
  <c r="D11577" i="2"/>
  <c r="F11576" i="2"/>
  <c r="E11576" i="2"/>
  <c r="D11576" i="2"/>
  <c r="F11575" i="2"/>
  <c r="E11575" i="2"/>
  <c r="D11575" i="2"/>
  <c r="F11574" i="2"/>
  <c r="E11574" i="2"/>
  <c r="D11574" i="2"/>
  <c r="F11573" i="2"/>
  <c r="E11573" i="2"/>
  <c r="D11573" i="2"/>
  <c r="F11572" i="2"/>
  <c r="E11572" i="2"/>
  <c r="D11572" i="2"/>
  <c r="F11571" i="2"/>
  <c r="E11571" i="2"/>
  <c r="D11571" i="2"/>
  <c r="F11570" i="2"/>
  <c r="E11570" i="2"/>
  <c r="D11570" i="2"/>
  <c r="F11569" i="2"/>
  <c r="E11569" i="2"/>
  <c r="D11569" i="2"/>
  <c r="F11568" i="2"/>
  <c r="E11568" i="2"/>
  <c r="D11568" i="2"/>
  <c r="F11567" i="2"/>
  <c r="E11567" i="2"/>
  <c r="D11567" i="2"/>
  <c r="F14989" i="2"/>
  <c r="E14989" i="2"/>
  <c r="D14989" i="2"/>
  <c r="F15000" i="2"/>
  <c r="E15000" i="2"/>
  <c r="D15000" i="2"/>
  <c r="F14999" i="2"/>
  <c r="E14999" i="2"/>
  <c r="D14999" i="2"/>
  <c r="F14998" i="2"/>
  <c r="E14998" i="2"/>
  <c r="D14998" i="2"/>
  <c r="F14994" i="2"/>
  <c r="E14994" i="2"/>
  <c r="D14994" i="2"/>
  <c r="F14997" i="2"/>
  <c r="E14997" i="2"/>
  <c r="D14997" i="2"/>
  <c r="F14996" i="2"/>
  <c r="E14996" i="2"/>
  <c r="D14996" i="2"/>
  <c r="F14995" i="2"/>
  <c r="E14995" i="2"/>
  <c r="D14995" i="2"/>
  <c r="F14993" i="2"/>
  <c r="E14993" i="2"/>
  <c r="D14993" i="2"/>
  <c r="F14992" i="2"/>
  <c r="E14992" i="2"/>
  <c r="D14992" i="2"/>
  <c r="F14991" i="2"/>
  <c r="E14991" i="2"/>
  <c r="D14991" i="2"/>
  <c r="F14990" i="2"/>
  <c r="E14990" i="2"/>
  <c r="D14990" i="2"/>
  <c r="F7004" i="2"/>
  <c r="E7004" i="2"/>
  <c r="D7004" i="2"/>
  <c r="F7003" i="2"/>
  <c r="E7003" i="2"/>
  <c r="D7003" i="2"/>
  <c r="F7002" i="2"/>
  <c r="E7002" i="2"/>
  <c r="D7002" i="2"/>
  <c r="F7001" i="2"/>
  <c r="E7001" i="2"/>
  <c r="D7001" i="2"/>
  <c r="F7000" i="2"/>
  <c r="E7000" i="2"/>
  <c r="D7000" i="2"/>
  <c r="F6999" i="2"/>
  <c r="E6999" i="2"/>
  <c r="D6999" i="2"/>
  <c r="F6998" i="2"/>
  <c r="E6998" i="2"/>
  <c r="D6998" i="2"/>
  <c r="F6997" i="2"/>
  <c r="E6997" i="2"/>
  <c r="D6997" i="2"/>
  <c r="F13976" i="2"/>
  <c r="E13976" i="2"/>
  <c r="D13976" i="2"/>
  <c r="F13985" i="2"/>
  <c r="E13985" i="2"/>
  <c r="D13985" i="2"/>
  <c r="F13984" i="2"/>
  <c r="E13984" i="2"/>
  <c r="D13984" i="2"/>
  <c r="F13983" i="2"/>
  <c r="E13983" i="2"/>
  <c r="D13983" i="2"/>
  <c r="F13982" i="2"/>
  <c r="E13982" i="2"/>
  <c r="D13982" i="2"/>
  <c r="F13981" i="2"/>
  <c r="E13981" i="2"/>
  <c r="D13981" i="2"/>
  <c r="F13980" i="2"/>
  <c r="E13980" i="2"/>
  <c r="D13980" i="2"/>
  <c r="F13979" i="2"/>
  <c r="E13979" i="2"/>
  <c r="D13979" i="2"/>
  <c r="F13978" i="2"/>
  <c r="E13978" i="2"/>
  <c r="D13978" i="2"/>
  <c r="F13977" i="2"/>
  <c r="E13977" i="2"/>
  <c r="D13977" i="2"/>
  <c r="F12908" i="2"/>
  <c r="E12908" i="2"/>
  <c r="D12908" i="2"/>
  <c r="F12907" i="2"/>
  <c r="E12907" i="2"/>
  <c r="D12907" i="2"/>
  <c r="F12906" i="2"/>
  <c r="E12906" i="2"/>
  <c r="D12906" i="2"/>
  <c r="F12905" i="2"/>
  <c r="E12905" i="2"/>
  <c r="D12905" i="2"/>
  <c r="F12904" i="2"/>
  <c r="E12904" i="2"/>
  <c r="D12904" i="2"/>
  <c r="F12903" i="2"/>
  <c r="E12903" i="2"/>
  <c r="D12903" i="2"/>
  <c r="F12902" i="2"/>
  <c r="E12902" i="2"/>
  <c r="D12902" i="2"/>
  <c r="F12901" i="2"/>
  <c r="E12901" i="2"/>
  <c r="D12901" i="2"/>
  <c r="F12900" i="2"/>
  <c r="E12900" i="2"/>
  <c r="D12900" i="2"/>
  <c r="F12899" i="2"/>
  <c r="E12899" i="2"/>
  <c r="D12899" i="2"/>
  <c r="F12898" i="2"/>
  <c r="E12898" i="2"/>
  <c r="D12898" i="2"/>
  <c r="F12897" i="2"/>
  <c r="E12897" i="2"/>
  <c r="D12897" i="2"/>
  <c r="F12896" i="2"/>
  <c r="E12896" i="2"/>
  <c r="D12896" i="2"/>
  <c r="F12895" i="2"/>
  <c r="E12895" i="2"/>
  <c r="D12895" i="2"/>
  <c r="F12894" i="2"/>
  <c r="E12894" i="2"/>
  <c r="D12894" i="2"/>
  <c r="F15424" i="2"/>
  <c r="E15424" i="2"/>
  <c r="D15424" i="2"/>
  <c r="F15423" i="2"/>
  <c r="E15423" i="2"/>
  <c r="D15423" i="2"/>
  <c r="F15422" i="2"/>
  <c r="E15422" i="2"/>
  <c r="D15422" i="2"/>
  <c r="F15421" i="2"/>
  <c r="E15421" i="2"/>
  <c r="D15421" i="2"/>
  <c r="F15420" i="2"/>
  <c r="E15420" i="2"/>
  <c r="D15420" i="2"/>
  <c r="F15419" i="2"/>
  <c r="E15419" i="2"/>
  <c r="D15419" i="2"/>
  <c r="F15418" i="2"/>
  <c r="E15418" i="2"/>
  <c r="D15418" i="2"/>
  <c r="F15417" i="2"/>
  <c r="E15417" i="2"/>
  <c r="D15417" i="2"/>
  <c r="F15416" i="2"/>
  <c r="E15416" i="2"/>
  <c r="D15416" i="2"/>
  <c r="F15415" i="2"/>
  <c r="E15415" i="2"/>
  <c r="D15415" i="2"/>
  <c r="F15414" i="2"/>
  <c r="E15414" i="2"/>
  <c r="D15414" i="2"/>
  <c r="F4558" i="2"/>
  <c r="E4558" i="2"/>
  <c r="D4558" i="2"/>
  <c r="F4559" i="2"/>
  <c r="E4559" i="2"/>
  <c r="D4559" i="2"/>
  <c r="F1565" i="2"/>
  <c r="E1565" i="2"/>
  <c r="D1565" i="2"/>
  <c r="F1564" i="2"/>
  <c r="E1564" i="2"/>
  <c r="D1564" i="2"/>
  <c r="F1563" i="2"/>
  <c r="E1563" i="2"/>
  <c r="D1563" i="2"/>
  <c r="F1562" i="2"/>
  <c r="E1562" i="2"/>
  <c r="D1562" i="2"/>
  <c r="F1561" i="2"/>
  <c r="E1561" i="2"/>
  <c r="D1561" i="2"/>
  <c r="F1560" i="2"/>
  <c r="E1560" i="2"/>
  <c r="D1560" i="2"/>
  <c r="F1559" i="2"/>
  <c r="E1559" i="2"/>
  <c r="D1559" i="2"/>
  <c r="F1558" i="2"/>
  <c r="E1558" i="2"/>
  <c r="D1558" i="2"/>
  <c r="F1557" i="2"/>
  <c r="E1557" i="2"/>
  <c r="D1557" i="2"/>
  <c r="F1556" i="2"/>
  <c r="E1556" i="2"/>
  <c r="D1556" i="2"/>
  <c r="F1555" i="2"/>
  <c r="E1555" i="2"/>
  <c r="D1555" i="2"/>
  <c r="F1554" i="2"/>
  <c r="E1554" i="2"/>
  <c r="D1554" i="2"/>
  <c r="F1553" i="2"/>
  <c r="E1553" i="2"/>
  <c r="D1553" i="2"/>
  <c r="F1552" i="2"/>
  <c r="E1552" i="2"/>
  <c r="D1552" i="2"/>
  <c r="F1551" i="2"/>
  <c r="E1551" i="2"/>
  <c r="D1551" i="2"/>
  <c r="F1550" i="2"/>
  <c r="E1550" i="2"/>
  <c r="D1550" i="2"/>
  <c r="F1549" i="2"/>
  <c r="E1549" i="2"/>
  <c r="D1549" i="2"/>
  <c r="F1548" i="2"/>
  <c r="E1548" i="2"/>
  <c r="D1548" i="2"/>
  <c r="F1547" i="2"/>
  <c r="E1547" i="2"/>
  <c r="D1547" i="2"/>
  <c r="F1546" i="2"/>
  <c r="E1546" i="2"/>
  <c r="D1546" i="2"/>
  <c r="F1545" i="2"/>
  <c r="E1545" i="2"/>
  <c r="D1545" i="2"/>
  <c r="F1544" i="2"/>
  <c r="E1544" i="2"/>
  <c r="D1544" i="2"/>
  <c r="F1543" i="2"/>
  <c r="E1543" i="2"/>
  <c r="D1543" i="2"/>
  <c r="F1542" i="2"/>
  <c r="E1542" i="2"/>
  <c r="D1542" i="2"/>
  <c r="F1541" i="2"/>
  <c r="E1541" i="2"/>
  <c r="D1541" i="2"/>
  <c r="F1540" i="2"/>
  <c r="E1540" i="2"/>
  <c r="D1540" i="2"/>
  <c r="F1539" i="2"/>
  <c r="E1539" i="2"/>
  <c r="D1539" i="2"/>
  <c r="F1537" i="2"/>
  <c r="E1537" i="2"/>
  <c r="D1537" i="2"/>
  <c r="F1538" i="2"/>
  <c r="E1538" i="2"/>
  <c r="D1538" i="2"/>
  <c r="F695" i="2"/>
  <c r="E695" i="2"/>
  <c r="D695" i="2"/>
  <c r="F705" i="2"/>
  <c r="E705" i="2"/>
  <c r="D705" i="2"/>
  <c r="F704" i="2"/>
  <c r="E704" i="2"/>
  <c r="D704" i="2"/>
  <c r="F703" i="2"/>
  <c r="E703" i="2"/>
  <c r="D703" i="2"/>
  <c r="F702" i="2"/>
  <c r="E702" i="2"/>
  <c r="D702" i="2"/>
  <c r="F701" i="2"/>
  <c r="E701" i="2"/>
  <c r="D701" i="2"/>
  <c r="F700" i="2"/>
  <c r="E700" i="2"/>
  <c r="D700" i="2"/>
  <c r="F699" i="2"/>
  <c r="E699" i="2"/>
  <c r="D699" i="2"/>
  <c r="F698" i="2"/>
  <c r="E698" i="2"/>
  <c r="D698" i="2"/>
  <c r="F697" i="2"/>
  <c r="E697" i="2"/>
  <c r="D697" i="2"/>
  <c r="F696" i="2"/>
  <c r="E696" i="2"/>
  <c r="D696" i="2"/>
  <c r="F13036" i="2"/>
  <c r="E13036" i="2"/>
  <c r="D13036" i="2"/>
  <c r="F13035" i="2"/>
  <c r="E13035" i="2"/>
  <c r="D13035" i="2"/>
  <c r="F13034" i="2"/>
  <c r="E13034" i="2"/>
  <c r="D13034" i="2"/>
  <c r="F13033" i="2"/>
  <c r="E13033" i="2"/>
  <c r="D13033" i="2"/>
  <c r="F13032" i="2"/>
  <c r="E13032" i="2"/>
  <c r="D13032" i="2"/>
  <c r="F13031" i="2"/>
  <c r="E13031" i="2"/>
  <c r="D13031" i="2"/>
  <c r="F13886" i="2"/>
  <c r="E13886" i="2"/>
  <c r="D13886" i="2"/>
  <c r="F13885" i="2"/>
  <c r="E13885" i="2"/>
  <c r="D13885" i="2"/>
  <c r="F13884" i="2"/>
  <c r="E13884" i="2"/>
  <c r="D13884" i="2"/>
  <c r="F13883" i="2"/>
  <c r="E13883" i="2"/>
  <c r="D13883" i="2"/>
  <c r="F13882" i="2"/>
  <c r="E13882" i="2"/>
  <c r="D13882" i="2"/>
  <c r="F13881" i="2"/>
  <c r="E13881" i="2"/>
  <c r="D13881" i="2"/>
  <c r="F13880" i="2"/>
  <c r="E13880" i="2"/>
  <c r="D13880" i="2"/>
  <c r="F13879" i="2"/>
  <c r="E13879" i="2"/>
  <c r="D13879" i="2"/>
  <c r="F13878" i="2"/>
  <c r="E13878" i="2"/>
  <c r="D13878" i="2"/>
  <c r="F9835" i="2"/>
  <c r="E9835" i="2"/>
  <c r="D9835" i="2"/>
  <c r="F9849" i="2"/>
  <c r="E9849" i="2"/>
  <c r="D9849" i="2"/>
  <c r="F9848" i="2"/>
  <c r="E9848" i="2"/>
  <c r="D9848" i="2"/>
  <c r="F9847" i="2"/>
  <c r="E9847" i="2"/>
  <c r="D9847" i="2"/>
  <c r="F9846" i="2"/>
  <c r="E9846" i="2"/>
  <c r="D9846" i="2"/>
  <c r="F9845" i="2"/>
  <c r="E9845" i="2"/>
  <c r="D9845" i="2"/>
  <c r="F9844" i="2"/>
  <c r="E9844" i="2"/>
  <c r="D9844" i="2"/>
  <c r="F9843" i="2"/>
  <c r="E9843" i="2"/>
  <c r="D9843" i="2"/>
  <c r="F9842" i="2"/>
  <c r="E9842" i="2"/>
  <c r="D9842" i="2"/>
  <c r="F9841" i="2"/>
  <c r="E9841" i="2"/>
  <c r="D9841" i="2"/>
  <c r="F9840" i="2"/>
  <c r="E9840" i="2"/>
  <c r="D9840" i="2"/>
  <c r="F9839" i="2"/>
  <c r="E9839" i="2"/>
  <c r="D9839" i="2"/>
  <c r="F9838" i="2"/>
  <c r="E9838" i="2"/>
  <c r="D9838" i="2"/>
  <c r="F9837" i="2"/>
  <c r="E9837" i="2"/>
  <c r="D9837" i="2"/>
  <c r="F9836" i="2"/>
  <c r="E9836" i="2"/>
  <c r="D9836" i="2"/>
  <c r="F6209" i="2"/>
  <c r="E6209" i="2"/>
  <c r="D6209" i="2"/>
  <c r="F6962" i="2"/>
  <c r="E6962" i="2"/>
  <c r="D6962" i="2"/>
  <c r="F6964" i="2"/>
  <c r="E6964" i="2"/>
  <c r="D6964" i="2"/>
  <c r="F6963" i="2"/>
  <c r="E6963" i="2"/>
  <c r="D6963" i="2"/>
  <c r="F15445" i="2"/>
  <c r="E15445" i="2"/>
  <c r="D15445" i="2"/>
  <c r="F15450" i="2"/>
  <c r="E15450" i="2"/>
  <c r="D15450" i="2"/>
  <c r="F15449" i="2"/>
  <c r="E15449" i="2"/>
  <c r="D15449" i="2"/>
  <c r="F15448" i="2"/>
  <c r="E15448" i="2"/>
  <c r="D15448" i="2"/>
  <c r="F15447" i="2"/>
  <c r="E15447" i="2"/>
  <c r="D15447" i="2"/>
  <c r="F15446" i="2"/>
  <c r="E15446" i="2"/>
  <c r="D15446" i="2"/>
  <c r="F13057" i="2"/>
  <c r="E13057" i="2"/>
  <c r="D13057" i="2"/>
  <c r="F13056" i="2"/>
  <c r="E13056" i="2"/>
  <c r="D13056" i="2"/>
  <c r="F13055" i="2"/>
  <c r="E13055" i="2"/>
  <c r="D13055" i="2"/>
  <c r="F13054" i="2"/>
  <c r="E13054" i="2"/>
  <c r="D13054" i="2"/>
  <c r="F13053" i="2"/>
  <c r="E13053" i="2"/>
  <c r="D13053" i="2"/>
  <c r="F13052" i="2"/>
  <c r="E13052" i="2"/>
  <c r="D13052" i="2"/>
  <c r="F13051" i="2"/>
  <c r="E13051" i="2"/>
  <c r="D13051" i="2"/>
  <c r="F13050" i="2"/>
  <c r="E13050" i="2"/>
  <c r="D13050" i="2"/>
  <c r="F13049" i="2"/>
  <c r="E13049" i="2"/>
  <c r="D13049" i="2"/>
  <c r="F13048" i="2"/>
  <c r="E13048" i="2"/>
  <c r="D13048" i="2"/>
  <c r="F13047" i="2"/>
  <c r="E13047" i="2"/>
  <c r="D13047" i="2"/>
  <c r="F13046" i="2"/>
  <c r="E13046" i="2"/>
  <c r="D13046" i="2"/>
  <c r="F13045" i="2"/>
  <c r="E13045" i="2"/>
  <c r="D13045" i="2"/>
  <c r="F13044" i="2"/>
  <c r="E13044" i="2"/>
  <c r="D13044" i="2"/>
  <c r="F13043" i="2"/>
  <c r="E13043" i="2"/>
  <c r="D13043" i="2"/>
  <c r="F13042" i="2"/>
  <c r="E13042" i="2"/>
  <c r="D13042" i="2"/>
  <c r="F13041" i="2"/>
  <c r="E13041" i="2"/>
  <c r="D13041" i="2"/>
  <c r="F13040" i="2"/>
  <c r="E13040" i="2"/>
  <c r="D13040" i="2"/>
  <c r="F13039" i="2"/>
  <c r="E13039" i="2"/>
  <c r="D13039" i="2"/>
  <c r="F13038" i="2"/>
  <c r="E13038" i="2"/>
  <c r="D13038" i="2"/>
  <c r="F13037" i="2"/>
  <c r="E13037" i="2"/>
  <c r="D13037" i="2"/>
  <c r="F753" i="2"/>
  <c r="E753" i="2"/>
  <c r="D753" i="2"/>
  <c r="F752" i="2"/>
  <c r="E752" i="2"/>
  <c r="D752" i="2"/>
  <c r="F751" i="2"/>
  <c r="E751" i="2"/>
  <c r="D751" i="2"/>
  <c r="F750" i="2"/>
  <c r="E750" i="2"/>
  <c r="D750" i="2"/>
  <c r="F749" i="2"/>
  <c r="E749" i="2"/>
  <c r="D749" i="2"/>
  <c r="F748" i="2"/>
  <c r="E748" i="2"/>
  <c r="D748" i="2"/>
  <c r="F747" i="2"/>
  <c r="E747" i="2"/>
  <c r="D747" i="2"/>
  <c r="F746" i="2"/>
  <c r="E746" i="2"/>
  <c r="D746" i="2"/>
  <c r="F745" i="2"/>
  <c r="E745" i="2"/>
  <c r="D745" i="2"/>
  <c r="F744" i="2"/>
  <c r="E744" i="2"/>
  <c r="D744" i="2"/>
  <c r="F5056" i="2"/>
  <c r="E5056" i="2"/>
  <c r="D5056" i="2"/>
  <c r="F5055" i="2"/>
  <c r="E5055" i="2"/>
  <c r="D5055" i="2"/>
  <c r="F5054" i="2"/>
  <c r="E5054" i="2"/>
  <c r="D5054" i="2"/>
  <c r="F5053" i="2"/>
  <c r="E5053" i="2"/>
  <c r="D5053" i="2"/>
  <c r="F5052" i="2"/>
  <c r="E5052" i="2"/>
  <c r="D5052" i="2"/>
  <c r="F14656" i="2"/>
  <c r="E14656" i="2"/>
  <c r="D14656" i="2"/>
  <c r="F14655" i="2"/>
  <c r="E14655" i="2"/>
  <c r="D14655" i="2"/>
  <c r="F14654" i="2"/>
  <c r="E14654" i="2"/>
  <c r="D14654" i="2"/>
  <c r="F14653" i="2"/>
  <c r="E14653" i="2"/>
  <c r="D14653" i="2"/>
  <c r="F14652" i="2"/>
  <c r="E14652" i="2"/>
  <c r="D14652" i="2"/>
  <c r="F14651" i="2"/>
  <c r="E14651" i="2"/>
  <c r="D14651" i="2"/>
  <c r="F14649" i="2"/>
  <c r="E14649" i="2"/>
  <c r="D14649" i="2"/>
  <c r="F14650" i="2"/>
  <c r="E14650" i="2"/>
  <c r="D14650" i="2"/>
  <c r="F14648" i="2"/>
  <c r="E14648" i="2"/>
  <c r="D14648" i="2"/>
  <c r="F14647" i="2"/>
  <c r="E14647" i="2"/>
  <c r="D14647" i="2"/>
  <c r="F12893" i="2"/>
  <c r="E12893" i="2"/>
  <c r="D12893" i="2"/>
  <c r="F12892" i="2"/>
  <c r="E12892" i="2"/>
  <c r="D12892" i="2"/>
  <c r="F4557" i="2"/>
  <c r="E4557" i="2"/>
  <c r="D4557" i="2"/>
  <c r="F4556" i="2"/>
  <c r="E4556" i="2"/>
  <c r="D4556" i="2"/>
  <c r="F4555" i="2"/>
  <c r="E4555" i="2"/>
  <c r="D4555" i="2"/>
  <c r="F4554" i="2"/>
  <c r="E4554" i="2"/>
  <c r="D4554" i="2"/>
  <c r="F4553" i="2"/>
  <c r="E4553" i="2"/>
  <c r="D4553" i="2"/>
  <c r="F4552" i="2"/>
  <c r="E4552" i="2"/>
  <c r="D4552" i="2"/>
  <c r="F4551" i="2"/>
  <c r="E4551" i="2"/>
  <c r="D4551" i="2"/>
  <c r="F4550" i="2"/>
  <c r="E4550" i="2"/>
  <c r="D4550" i="2"/>
  <c r="F4549" i="2"/>
  <c r="E4549" i="2"/>
  <c r="D4549" i="2"/>
  <c r="F4548" i="2"/>
  <c r="E4548" i="2"/>
  <c r="D4548" i="2"/>
  <c r="F4547" i="2"/>
  <c r="E4547" i="2"/>
  <c r="D4547" i="2"/>
  <c r="F4546" i="2"/>
  <c r="E4546" i="2"/>
  <c r="D4546" i="2"/>
  <c r="F4545" i="2"/>
  <c r="E4545" i="2"/>
  <c r="D4545" i="2"/>
  <c r="F4544" i="2"/>
  <c r="E4544" i="2"/>
  <c r="D4544" i="2"/>
  <c r="F4543" i="2"/>
  <c r="E4543" i="2"/>
  <c r="D4543" i="2"/>
  <c r="F4542" i="2"/>
  <c r="E4542" i="2"/>
  <c r="D4542" i="2"/>
  <c r="F4541" i="2"/>
  <c r="E4541" i="2"/>
  <c r="D4541" i="2"/>
  <c r="F3136" i="2"/>
  <c r="E3136" i="2"/>
  <c r="D3136" i="2"/>
  <c r="F3135" i="2"/>
  <c r="E3135" i="2"/>
  <c r="D3135" i="2"/>
  <c r="F3134" i="2"/>
  <c r="E3134" i="2"/>
  <c r="D3134" i="2"/>
  <c r="F3133" i="2"/>
  <c r="E3133" i="2"/>
  <c r="D3133" i="2"/>
  <c r="F3132" i="2"/>
  <c r="E3132" i="2"/>
  <c r="D3132" i="2"/>
  <c r="F3131" i="2"/>
  <c r="E3131" i="2"/>
  <c r="D3131" i="2"/>
  <c r="F3130" i="2"/>
  <c r="E3130" i="2"/>
  <c r="D3130" i="2"/>
  <c r="F3129" i="2"/>
  <c r="E3129" i="2"/>
  <c r="D3129" i="2"/>
  <c r="F3128" i="2"/>
  <c r="E3128" i="2"/>
  <c r="D3128" i="2"/>
  <c r="F3127" i="2"/>
  <c r="E3127" i="2"/>
  <c r="D3127" i="2"/>
  <c r="F3126" i="2"/>
  <c r="E3126" i="2"/>
  <c r="D3126" i="2"/>
  <c r="F3125" i="2"/>
  <c r="E3125" i="2"/>
  <c r="D3125" i="2"/>
  <c r="F3124" i="2"/>
  <c r="E3124" i="2"/>
  <c r="D3124" i="2"/>
  <c r="F3123" i="2"/>
  <c r="E3123" i="2"/>
  <c r="D3123" i="2"/>
  <c r="F3122" i="2"/>
  <c r="E3122" i="2"/>
  <c r="D3122" i="2"/>
  <c r="F3121" i="2"/>
  <c r="E3121" i="2"/>
  <c r="D3121" i="2"/>
  <c r="F14828" i="2"/>
  <c r="E14828" i="2"/>
  <c r="D14828" i="2"/>
  <c r="F14829" i="2"/>
  <c r="E14829" i="2"/>
  <c r="D14829" i="2"/>
  <c r="F6231" i="2"/>
  <c r="E6231" i="2"/>
  <c r="D6231" i="2"/>
  <c r="F6232" i="2"/>
  <c r="E6232" i="2"/>
  <c r="D6232" i="2"/>
  <c r="F13447" i="2"/>
  <c r="E13447" i="2"/>
  <c r="D13447" i="2"/>
  <c r="F13455" i="2"/>
  <c r="E13455" i="2"/>
  <c r="D13455" i="2"/>
  <c r="F13454" i="2"/>
  <c r="E13454" i="2"/>
  <c r="D13454" i="2"/>
  <c r="F13453" i="2"/>
  <c r="E13453" i="2"/>
  <c r="D13453" i="2"/>
  <c r="F13452" i="2"/>
  <c r="E13452" i="2"/>
  <c r="D13452" i="2"/>
  <c r="F13450" i="2"/>
  <c r="E13450" i="2"/>
  <c r="D13450" i="2"/>
  <c r="F13451" i="2"/>
  <c r="E13451" i="2"/>
  <c r="D13451" i="2"/>
  <c r="F13449" i="2"/>
  <c r="E13449" i="2"/>
  <c r="D13449" i="2"/>
  <c r="F13448" i="2"/>
  <c r="E13448" i="2"/>
  <c r="D13448" i="2"/>
  <c r="F8520" i="2"/>
  <c r="E8520" i="2"/>
  <c r="D8520" i="2"/>
  <c r="F8519" i="2"/>
  <c r="E8519" i="2"/>
  <c r="D8519" i="2"/>
  <c r="F8518" i="2"/>
  <c r="E8518" i="2"/>
  <c r="D8518" i="2"/>
  <c r="F8517" i="2"/>
  <c r="E8517" i="2"/>
  <c r="D8517" i="2"/>
  <c r="F8516" i="2"/>
  <c r="E8516" i="2"/>
  <c r="D8516" i="2"/>
  <c r="F683" i="2"/>
  <c r="E683" i="2"/>
  <c r="D683" i="2"/>
  <c r="F694" i="2"/>
  <c r="E694" i="2"/>
  <c r="D694" i="2"/>
  <c r="F693" i="2"/>
  <c r="E693" i="2"/>
  <c r="D693" i="2"/>
  <c r="F692" i="2"/>
  <c r="E692" i="2"/>
  <c r="D692" i="2"/>
  <c r="F691" i="2"/>
  <c r="E691" i="2"/>
  <c r="D691" i="2"/>
  <c r="F690" i="2"/>
  <c r="E690" i="2"/>
  <c r="D690" i="2"/>
  <c r="F689" i="2"/>
  <c r="E689" i="2"/>
  <c r="D689" i="2"/>
  <c r="F688" i="2"/>
  <c r="E688" i="2"/>
  <c r="D688" i="2"/>
  <c r="F687" i="2"/>
  <c r="E687" i="2"/>
  <c r="D687" i="2"/>
  <c r="F686" i="2"/>
  <c r="E686" i="2"/>
  <c r="D686" i="2"/>
  <c r="F685" i="2"/>
  <c r="E685" i="2"/>
  <c r="D685" i="2"/>
  <c r="F684" i="2"/>
  <c r="E684" i="2"/>
  <c r="D684" i="2"/>
  <c r="F1723" i="2"/>
  <c r="E1723" i="2"/>
  <c r="D1723" i="2"/>
  <c r="F1721" i="2"/>
  <c r="E1721" i="2"/>
  <c r="D1721" i="2"/>
  <c r="F1722" i="2"/>
  <c r="E1722" i="2"/>
  <c r="D1722" i="2"/>
  <c r="F1720" i="2"/>
  <c r="E1720" i="2"/>
  <c r="D1720" i="2"/>
  <c r="F1719" i="2"/>
  <c r="E1719" i="2"/>
  <c r="D1719" i="2"/>
  <c r="F1716" i="2"/>
  <c r="E1716" i="2"/>
  <c r="D1716" i="2"/>
  <c r="F1718" i="2"/>
  <c r="E1718" i="2"/>
  <c r="D1718" i="2"/>
  <c r="F1717" i="2"/>
  <c r="E1717" i="2"/>
  <c r="D1717" i="2"/>
  <c r="F1715" i="2"/>
  <c r="E1715" i="2"/>
  <c r="D1715" i="2"/>
  <c r="F1714" i="2"/>
  <c r="E1714" i="2"/>
  <c r="D1714" i="2"/>
  <c r="F1713" i="2"/>
  <c r="E1713" i="2"/>
  <c r="D1713" i="2"/>
  <c r="F1712" i="2"/>
  <c r="E1712" i="2"/>
  <c r="D1712" i="2"/>
  <c r="F1711" i="2"/>
  <c r="E1711" i="2"/>
  <c r="D1711" i="2"/>
  <c r="F1710" i="2"/>
  <c r="E1710" i="2"/>
  <c r="D1710" i="2"/>
  <c r="F1708" i="2"/>
  <c r="E1708" i="2"/>
  <c r="D1708" i="2"/>
  <c r="F1709" i="2"/>
  <c r="E1709" i="2"/>
  <c r="D1709" i="2"/>
  <c r="F1705" i="2"/>
  <c r="E1705" i="2"/>
  <c r="D1705" i="2"/>
  <c r="F1707" i="2"/>
  <c r="E1707" i="2"/>
  <c r="D1707" i="2"/>
  <c r="F1706" i="2"/>
  <c r="E1706" i="2"/>
  <c r="D1706" i="2"/>
  <c r="F1704" i="2"/>
  <c r="E1704" i="2"/>
  <c r="D1704" i="2"/>
  <c r="F13279" i="2"/>
  <c r="E13279" i="2"/>
  <c r="D13279" i="2"/>
  <c r="F13278" i="2"/>
  <c r="E13278" i="2"/>
  <c r="D13278" i="2"/>
  <c r="F7482" i="2"/>
  <c r="E7482" i="2"/>
  <c r="D7482" i="2"/>
  <c r="F7485" i="2"/>
  <c r="E7485" i="2"/>
  <c r="D7485" i="2"/>
  <c r="F7486" i="2"/>
  <c r="E7486" i="2"/>
  <c r="D7486" i="2"/>
  <c r="F7484" i="2"/>
  <c r="E7484" i="2"/>
  <c r="D7484" i="2"/>
  <c r="F7483" i="2"/>
  <c r="E7483" i="2"/>
  <c r="D7483" i="2"/>
  <c r="F5019" i="2"/>
  <c r="E5019" i="2"/>
  <c r="D5019" i="2"/>
  <c r="F5051" i="2"/>
  <c r="E5051" i="2"/>
  <c r="D5051" i="2"/>
  <c r="F5050" i="2"/>
  <c r="E5050" i="2"/>
  <c r="D5050" i="2"/>
  <c r="F5049" i="2"/>
  <c r="E5049" i="2"/>
  <c r="D5049" i="2"/>
  <c r="F5048" i="2"/>
  <c r="E5048" i="2"/>
  <c r="D5048" i="2"/>
  <c r="F5047" i="2"/>
  <c r="E5047" i="2"/>
  <c r="D5047" i="2"/>
  <c r="F5046" i="2"/>
  <c r="E5046" i="2"/>
  <c r="D5046" i="2"/>
  <c r="F5045" i="2"/>
  <c r="E5045" i="2"/>
  <c r="D5045" i="2"/>
  <c r="F5044" i="2"/>
  <c r="E5044" i="2"/>
  <c r="D5044" i="2"/>
  <c r="F5043" i="2"/>
  <c r="E5043" i="2"/>
  <c r="D5043" i="2"/>
  <c r="F5042" i="2"/>
  <c r="E5042" i="2"/>
  <c r="D5042" i="2"/>
  <c r="F5041" i="2"/>
  <c r="E5041" i="2"/>
  <c r="D5041" i="2"/>
  <c r="F5040" i="2"/>
  <c r="E5040" i="2"/>
  <c r="D5040" i="2"/>
  <c r="F5039" i="2"/>
  <c r="E5039" i="2"/>
  <c r="D5039" i="2"/>
  <c r="F5038" i="2"/>
  <c r="E5038" i="2"/>
  <c r="D5038" i="2"/>
  <c r="F5037" i="2"/>
  <c r="E5037" i="2"/>
  <c r="D5037" i="2"/>
  <c r="F5036" i="2"/>
  <c r="E5036" i="2"/>
  <c r="D5036" i="2"/>
  <c r="F5035" i="2"/>
  <c r="E5035" i="2"/>
  <c r="D5035" i="2"/>
  <c r="F5034" i="2"/>
  <c r="E5034" i="2"/>
  <c r="D5034" i="2"/>
  <c r="F5033" i="2"/>
  <c r="E5033" i="2"/>
  <c r="D5033" i="2"/>
  <c r="F5032" i="2"/>
  <c r="E5032" i="2"/>
  <c r="D5032" i="2"/>
  <c r="F5031" i="2"/>
  <c r="E5031" i="2"/>
  <c r="D5031" i="2"/>
  <c r="F5030" i="2"/>
  <c r="E5030" i="2"/>
  <c r="D5030" i="2"/>
  <c r="F5029" i="2"/>
  <c r="E5029" i="2"/>
  <c r="D5029" i="2"/>
  <c r="F5028" i="2"/>
  <c r="E5028" i="2"/>
  <c r="D5028" i="2"/>
  <c r="F5027" i="2"/>
  <c r="E5027" i="2"/>
  <c r="D5027" i="2"/>
  <c r="F5026" i="2"/>
  <c r="E5026" i="2"/>
  <c r="D5026" i="2"/>
  <c r="F5025" i="2"/>
  <c r="E5025" i="2"/>
  <c r="D5025" i="2"/>
  <c r="F5024" i="2"/>
  <c r="E5024" i="2"/>
  <c r="D5024" i="2"/>
  <c r="F5023" i="2"/>
  <c r="E5023" i="2"/>
  <c r="D5023" i="2"/>
  <c r="F5022" i="2"/>
  <c r="E5022" i="2"/>
  <c r="D5022" i="2"/>
  <c r="F5021" i="2"/>
  <c r="E5021" i="2"/>
  <c r="D5021" i="2"/>
  <c r="F5020" i="2"/>
  <c r="E5020" i="2"/>
  <c r="D5020" i="2"/>
  <c r="F15400" i="2"/>
  <c r="E15400" i="2"/>
  <c r="D15400" i="2"/>
  <c r="F15413" i="2"/>
  <c r="E15413" i="2"/>
  <c r="D15413" i="2"/>
  <c r="F15412" i="2"/>
  <c r="E15412" i="2"/>
  <c r="D15412" i="2"/>
  <c r="F15411" i="2"/>
  <c r="E15411" i="2"/>
  <c r="D15411" i="2"/>
  <c r="F15410" i="2"/>
  <c r="E15410" i="2"/>
  <c r="D15410" i="2"/>
  <c r="F15409" i="2"/>
  <c r="E15409" i="2"/>
  <c r="D15409" i="2"/>
  <c r="F15408" i="2"/>
  <c r="E15408" i="2"/>
  <c r="D15408" i="2"/>
  <c r="F15407" i="2"/>
  <c r="E15407" i="2"/>
  <c r="D15407" i="2"/>
  <c r="F15406" i="2"/>
  <c r="E15406" i="2"/>
  <c r="D15406" i="2"/>
  <c r="F15405" i="2"/>
  <c r="E15405" i="2"/>
  <c r="D15405" i="2"/>
  <c r="F15404" i="2"/>
  <c r="E15404" i="2"/>
  <c r="D15404" i="2"/>
  <c r="F15403" i="2"/>
  <c r="E15403" i="2"/>
  <c r="D15403" i="2"/>
  <c r="F15402" i="2"/>
  <c r="E15402" i="2"/>
  <c r="D15402" i="2"/>
  <c r="F15401" i="2"/>
  <c r="E15401" i="2"/>
  <c r="D15401" i="2"/>
  <c r="F1352" i="2"/>
  <c r="E1352" i="2"/>
  <c r="D1352" i="2"/>
  <c r="F1351" i="2"/>
  <c r="E1351" i="2"/>
  <c r="D1351" i="2"/>
  <c r="F1350" i="2"/>
  <c r="E1350" i="2"/>
  <c r="D1350" i="2"/>
  <c r="F1349" i="2"/>
  <c r="E1349" i="2"/>
  <c r="D1349" i="2"/>
  <c r="F1348" i="2"/>
  <c r="E1348" i="2"/>
  <c r="D1348" i="2"/>
  <c r="F1347" i="2"/>
  <c r="E1347" i="2"/>
  <c r="D1347" i="2"/>
  <c r="F1346" i="2"/>
  <c r="E1346" i="2"/>
  <c r="D1346" i="2"/>
  <c r="F1345" i="2"/>
  <c r="E1345" i="2"/>
  <c r="D1345" i="2"/>
  <c r="F1344" i="2"/>
  <c r="E1344" i="2"/>
  <c r="D1344" i="2"/>
  <c r="F1343" i="2"/>
  <c r="E1343" i="2"/>
  <c r="D1343" i="2"/>
  <c r="F1342" i="2"/>
  <c r="E1342" i="2"/>
  <c r="D1342" i="2"/>
  <c r="F1341" i="2"/>
  <c r="E1341" i="2"/>
  <c r="D1341" i="2"/>
  <c r="F1340" i="2"/>
  <c r="E1340" i="2"/>
  <c r="D1340" i="2"/>
  <c r="F1339" i="2"/>
  <c r="E1339" i="2"/>
  <c r="D1339" i="2"/>
  <c r="F1338" i="2"/>
  <c r="E1338" i="2"/>
  <c r="D1338" i="2"/>
  <c r="F1337" i="2"/>
  <c r="E1337" i="2"/>
  <c r="D1337" i="2"/>
  <c r="F1336" i="2"/>
  <c r="E1336" i="2"/>
  <c r="D1336" i="2"/>
  <c r="F1335" i="2"/>
  <c r="E1335" i="2"/>
  <c r="D1335" i="2"/>
  <c r="F1334" i="2"/>
  <c r="E1334" i="2"/>
  <c r="D1334" i="2"/>
  <c r="F1333" i="2"/>
  <c r="E1333" i="2"/>
  <c r="D1333" i="2"/>
  <c r="F1332" i="2"/>
  <c r="E1332" i="2"/>
  <c r="D1332" i="2"/>
  <c r="F1331" i="2"/>
  <c r="E1331" i="2"/>
  <c r="D1331" i="2"/>
  <c r="F1330" i="2"/>
  <c r="E1330" i="2"/>
  <c r="D1330" i="2"/>
  <c r="F1329" i="2"/>
  <c r="E1329" i="2"/>
  <c r="D1329" i="2"/>
  <c r="F1328" i="2"/>
  <c r="E1328" i="2"/>
  <c r="D1328" i="2"/>
  <c r="F1327" i="2"/>
  <c r="E1327" i="2"/>
  <c r="D1327" i="2"/>
  <c r="F1326" i="2"/>
  <c r="E1326" i="2"/>
  <c r="D1326" i="2"/>
  <c r="F1325" i="2"/>
  <c r="E1325" i="2"/>
  <c r="D1325" i="2"/>
  <c r="F1324" i="2"/>
  <c r="E1324" i="2"/>
  <c r="D1324" i="2"/>
  <c r="F1323" i="2"/>
  <c r="E1323" i="2"/>
  <c r="D1323" i="2"/>
  <c r="F1322" i="2"/>
  <c r="E1322" i="2"/>
  <c r="D1322" i="2"/>
  <c r="F1321" i="2"/>
  <c r="E1321" i="2"/>
  <c r="D1321" i="2"/>
  <c r="F1320" i="2"/>
  <c r="E1320" i="2"/>
  <c r="D1320" i="2"/>
  <c r="F1319" i="2"/>
  <c r="E1319" i="2"/>
  <c r="D1319" i="2"/>
  <c r="F1318" i="2"/>
  <c r="E1318" i="2"/>
  <c r="D1318" i="2"/>
  <c r="F1317" i="2"/>
  <c r="E1317" i="2"/>
  <c r="D1317" i="2"/>
  <c r="F1316" i="2"/>
  <c r="E1316" i="2"/>
  <c r="D1316" i="2"/>
  <c r="F1315" i="2"/>
  <c r="E1315" i="2"/>
  <c r="D1315" i="2"/>
  <c r="F1314" i="2"/>
  <c r="E1314" i="2"/>
  <c r="D1314" i="2"/>
  <c r="F1313" i="2"/>
  <c r="E1313" i="2"/>
  <c r="D1313" i="2"/>
  <c r="F1311" i="2"/>
  <c r="E1311" i="2"/>
  <c r="D1311" i="2"/>
  <c r="F1312" i="2"/>
  <c r="E1312" i="2"/>
  <c r="D1312" i="2"/>
  <c r="F1310" i="2"/>
  <c r="E1310" i="2"/>
  <c r="D1310" i="2"/>
  <c r="F1309" i="2"/>
  <c r="E1309" i="2"/>
  <c r="D1309" i="2"/>
  <c r="F1308" i="2"/>
  <c r="E1308" i="2"/>
  <c r="D1308" i="2"/>
  <c r="F1307" i="2"/>
  <c r="E1307" i="2"/>
  <c r="D1307" i="2"/>
  <c r="F1306" i="2"/>
  <c r="E1306" i="2"/>
  <c r="D1306" i="2"/>
  <c r="F1305" i="2"/>
  <c r="E1305" i="2"/>
  <c r="D1305" i="2"/>
  <c r="F1304" i="2"/>
  <c r="E1304" i="2"/>
  <c r="D1304" i="2"/>
  <c r="F1303" i="2"/>
  <c r="E1303" i="2"/>
  <c r="D1303" i="2"/>
  <c r="F1302" i="2"/>
  <c r="E1302" i="2"/>
  <c r="D1302" i="2"/>
  <c r="F1301" i="2"/>
  <c r="E1301" i="2"/>
  <c r="D1301" i="2"/>
  <c r="F1300" i="2"/>
  <c r="E1300" i="2"/>
  <c r="D1300" i="2"/>
  <c r="F1299" i="2"/>
  <c r="E1299" i="2"/>
  <c r="D1299" i="2"/>
  <c r="F1298" i="2"/>
  <c r="E1298" i="2"/>
  <c r="D1298" i="2"/>
  <c r="F1297" i="2"/>
  <c r="E1297" i="2"/>
  <c r="D1297" i="2"/>
  <c r="F1296" i="2"/>
  <c r="E1296" i="2"/>
  <c r="D1296" i="2"/>
  <c r="F1295" i="2"/>
  <c r="E1295" i="2"/>
  <c r="D1295" i="2"/>
  <c r="F1294" i="2"/>
  <c r="E1294" i="2"/>
  <c r="D1294" i="2"/>
  <c r="F1292" i="2"/>
  <c r="E1292" i="2"/>
  <c r="D1292" i="2"/>
  <c r="F1293" i="2"/>
  <c r="E1293" i="2"/>
  <c r="D1293" i="2"/>
  <c r="F1291" i="2"/>
  <c r="E1291" i="2"/>
  <c r="D1291" i="2"/>
  <c r="F1290" i="2"/>
  <c r="E1290" i="2"/>
  <c r="D1290" i="2"/>
  <c r="F1289" i="2"/>
  <c r="E1289" i="2"/>
  <c r="D1289" i="2"/>
  <c r="F1288" i="2"/>
  <c r="E1288" i="2"/>
  <c r="D1288" i="2"/>
  <c r="F1287" i="2"/>
  <c r="E1287" i="2"/>
  <c r="D1287" i="2"/>
  <c r="F1286" i="2"/>
  <c r="E1286" i="2"/>
  <c r="D1286" i="2"/>
  <c r="F1285" i="2"/>
  <c r="E1285" i="2"/>
  <c r="D1285" i="2"/>
  <c r="F1284" i="2"/>
  <c r="E1284" i="2"/>
  <c r="D1284" i="2"/>
  <c r="F1283" i="2"/>
  <c r="E1283" i="2"/>
  <c r="D1283" i="2"/>
  <c r="F1282" i="2"/>
  <c r="E1282" i="2"/>
  <c r="D1282" i="2"/>
  <c r="F1281" i="2"/>
  <c r="E1281" i="2"/>
  <c r="D1281" i="2"/>
  <c r="F1280" i="2"/>
  <c r="E1280" i="2"/>
  <c r="D1280" i="2"/>
  <c r="F1279" i="2"/>
  <c r="E1279" i="2"/>
  <c r="D1279" i="2"/>
  <c r="F1278" i="2"/>
  <c r="E1278" i="2"/>
  <c r="D1278" i="2"/>
  <c r="F1277" i="2"/>
  <c r="E1277" i="2"/>
  <c r="D1277" i="2"/>
  <c r="F1276" i="2"/>
  <c r="E1276" i="2"/>
  <c r="D1276" i="2"/>
  <c r="F1275" i="2"/>
  <c r="E1275" i="2"/>
  <c r="D1275" i="2"/>
  <c r="F8765" i="2"/>
  <c r="E8765" i="2"/>
  <c r="D8765" i="2"/>
  <c r="F8813" i="2"/>
  <c r="E8813" i="2"/>
  <c r="D8813" i="2"/>
  <c r="F8812" i="2"/>
  <c r="E8812" i="2"/>
  <c r="D8812" i="2"/>
  <c r="F8811" i="2"/>
  <c r="E8811" i="2"/>
  <c r="D8811" i="2"/>
  <c r="F8810" i="2"/>
  <c r="E8810" i="2"/>
  <c r="D8810" i="2"/>
  <c r="F8809" i="2"/>
  <c r="E8809" i="2"/>
  <c r="D8809" i="2"/>
  <c r="F8808" i="2"/>
  <c r="E8808" i="2"/>
  <c r="D8808" i="2"/>
  <c r="F8807" i="2"/>
  <c r="E8807" i="2"/>
  <c r="D8807" i="2"/>
  <c r="F8806" i="2"/>
  <c r="E8806" i="2"/>
  <c r="D8806" i="2"/>
  <c r="F8805" i="2"/>
  <c r="E8805" i="2"/>
  <c r="D8805" i="2"/>
  <c r="F8804" i="2"/>
  <c r="E8804" i="2"/>
  <c r="D8804" i="2"/>
  <c r="F8803" i="2"/>
  <c r="E8803" i="2"/>
  <c r="D8803" i="2"/>
  <c r="F8802" i="2"/>
  <c r="E8802" i="2"/>
  <c r="D8802" i="2"/>
  <c r="F8801" i="2"/>
  <c r="E8801" i="2"/>
  <c r="D8801" i="2"/>
  <c r="F8800" i="2"/>
  <c r="E8800" i="2"/>
  <c r="D8800" i="2"/>
  <c r="F8799" i="2"/>
  <c r="E8799" i="2"/>
  <c r="D8799" i="2"/>
  <c r="F8798" i="2"/>
  <c r="E8798" i="2"/>
  <c r="D8798" i="2"/>
  <c r="F8797" i="2"/>
  <c r="E8797" i="2"/>
  <c r="D8797" i="2"/>
  <c r="F8796" i="2"/>
  <c r="E8796" i="2"/>
  <c r="D8796" i="2"/>
  <c r="F8795" i="2"/>
  <c r="E8795" i="2"/>
  <c r="D8795" i="2"/>
  <c r="F8794" i="2"/>
  <c r="E8794" i="2"/>
  <c r="D8794" i="2"/>
  <c r="F8793" i="2"/>
  <c r="E8793" i="2"/>
  <c r="D8793" i="2"/>
  <c r="F8792" i="2"/>
  <c r="E8792" i="2"/>
  <c r="D8792" i="2"/>
  <c r="F8791" i="2"/>
  <c r="E8791" i="2"/>
  <c r="D8791" i="2"/>
  <c r="F8790" i="2"/>
  <c r="E8790" i="2"/>
  <c r="D8790" i="2"/>
  <c r="F8789" i="2"/>
  <c r="E8789" i="2"/>
  <c r="D8789" i="2"/>
  <c r="F8788" i="2"/>
  <c r="E8788" i="2"/>
  <c r="D8788" i="2"/>
  <c r="F8787" i="2"/>
  <c r="E8787" i="2"/>
  <c r="D8787" i="2"/>
  <c r="F8786" i="2"/>
  <c r="E8786" i="2"/>
  <c r="D8786" i="2"/>
  <c r="F8785" i="2"/>
  <c r="E8785" i="2"/>
  <c r="D8785" i="2"/>
  <c r="F8784" i="2"/>
  <c r="E8784" i="2"/>
  <c r="D8784" i="2"/>
  <c r="F8783" i="2"/>
  <c r="E8783" i="2"/>
  <c r="D8783" i="2"/>
  <c r="F8782" i="2"/>
  <c r="E8782" i="2"/>
  <c r="D8782" i="2"/>
  <c r="F8781" i="2"/>
  <c r="E8781" i="2"/>
  <c r="D8781" i="2"/>
  <c r="F8780" i="2"/>
  <c r="E8780" i="2"/>
  <c r="D8780" i="2"/>
  <c r="F8779" i="2"/>
  <c r="E8779" i="2"/>
  <c r="D8779" i="2"/>
  <c r="F8778" i="2"/>
  <c r="E8778" i="2"/>
  <c r="D8778" i="2"/>
  <c r="F8777" i="2"/>
  <c r="E8777" i="2"/>
  <c r="D8777" i="2"/>
  <c r="F8776" i="2"/>
  <c r="E8776" i="2"/>
  <c r="D8776" i="2"/>
  <c r="F8775" i="2"/>
  <c r="E8775" i="2"/>
  <c r="D8775" i="2"/>
  <c r="F8774" i="2"/>
  <c r="E8774" i="2"/>
  <c r="D8774" i="2"/>
  <c r="F8773" i="2"/>
  <c r="E8773" i="2"/>
  <c r="D8773" i="2"/>
  <c r="F8772" i="2"/>
  <c r="E8772" i="2"/>
  <c r="D8772" i="2"/>
  <c r="F8771" i="2"/>
  <c r="E8771" i="2"/>
  <c r="D8771" i="2"/>
  <c r="F8770" i="2"/>
  <c r="E8770" i="2"/>
  <c r="D8770" i="2"/>
  <c r="F8769" i="2"/>
  <c r="E8769" i="2"/>
  <c r="D8769" i="2"/>
  <c r="F8768" i="2"/>
  <c r="E8768" i="2"/>
  <c r="D8768" i="2"/>
  <c r="F8767" i="2"/>
  <c r="E8767" i="2"/>
  <c r="D8767" i="2"/>
  <c r="F8766" i="2"/>
  <c r="E8766" i="2"/>
  <c r="D8766" i="2"/>
  <c r="F12664" i="2"/>
  <c r="E12664" i="2"/>
  <c r="D12664" i="2"/>
  <c r="F1699" i="2"/>
  <c r="E1699" i="2"/>
  <c r="D1699" i="2"/>
  <c r="F1700" i="2"/>
  <c r="E1700" i="2"/>
  <c r="D1700" i="2"/>
  <c r="F6250" i="2"/>
  <c r="E6250" i="2"/>
  <c r="D6250" i="2"/>
  <c r="F6249" i="2"/>
  <c r="E6249" i="2"/>
  <c r="D6249" i="2"/>
  <c r="F6248" i="2"/>
  <c r="E6248" i="2"/>
  <c r="D6248" i="2"/>
  <c r="F6247" i="2"/>
  <c r="E6247" i="2"/>
  <c r="D6247" i="2"/>
  <c r="F6246" i="2"/>
  <c r="E6246" i="2"/>
  <c r="D6246" i="2"/>
  <c r="F6245" i="2"/>
  <c r="E6245" i="2"/>
  <c r="D6245" i="2"/>
  <c r="F6244" i="2"/>
  <c r="E6244" i="2"/>
  <c r="D6244" i="2"/>
  <c r="F6243" i="2"/>
  <c r="E6243" i="2"/>
  <c r="D6243" i="2"/>
  <c r="F6242" i="2"/>
  <c r="E6242" i="2"/>
  <c r="D6242" i="2"/>
  <c r="F6241" i="2"/>
  <c r="E6241" i="2"/>
  <c r="D6241" i="2"/>
  <c r="F6240" i="2"/>
  <c r="E6240" i="2"/>
  <c r="D6240" i="2"/>
  <c r="F6239" i="2"/>
  <c r="E6239" i="2"/>
  <c r="D6239" i="2"/>
  <c r="F9490" i="2"/>
  <c r="E9490" i="2"/>
  <c r="D9490" i="2"/>
  <c r="F9489" i="2"/>
  <c r="E9489" i="2"/>
  <c r="D9489" i="2"/>
  <c r="F9488" i="2"/>
  <c r="E9488" i="2"/>
  <c r="D9488" i="2"/>
  <c r="F9487" i="2"/>
  <c r="E9487" i="2"/>
  <c r="D9487" i="2"/>
  <c r="F9486" i="2"/>
  <c r="E9486" i="2"/>
  <c r="D9486" i="2"/>
  <c r="F9485" i="2"/>
  <c r="E9485" i="2"/>
  <c r="D9485" i="2"/>
  <c r="F9484" i="2"/>
  <c r="E9484" i="2"/>
  <c r="D9484" i="2"/>
  <c r="F9483" i="2"/>
  <c r="E9483" i="2"/>
  <c r="D9483" i="2"/>
  <c r="F9482" i="2"/>
  <c r="E9482" i="2"/>
  <c r="D9482" i="2"/>
  <c r="F9481" i="2"/>
  <c r="E9481" i="2"/>
  <c r="D9481" i="2"/>
  <c r="F9480" i="2"/>
  <c r="E9480" i="2"/>
  <c r="D9480" i="2"/>
  <c r="F9479" i="2"/>
  <c r="E9479" i="2"/>
  <c r="D9479" i="2"/>
  <c r="F9478" i="2"/>
  <c r="E9478" i="2"/>
  <c r="D9478" i="2"/>
  <c r="F9477" i="2"/>
  <c r="E9477" i="2"/>
  <c r="D9477" i="2"/>
  <c r="F9476" i="2"/>
  <c r="E9476" i="2"/>
  <c r="D9476" i="2"/>
  <c r="F9475" i="2"/>
  <c r="E9475" i="2"/>
  <c r="D9475" i="2"/>
  <c r="F9474" i="2"/>
  <c r="E9474" i="2"/>
  <c r="D9474" i="2"/>
  <c r="F9471" i="2"/>
  <c r="E9471" i="2"/>
  <c r="D9471" i="2"/>
  <c r="F9473" i="2"/>
  <c r="E9473" i="2"/>
  <c r="D9473" i="2"/>
  <c r="F9472" i="2"/>
  <c r="E9472" i="2"/>
  <c r="D9472" i="2"/>
  <c r="F9470" i="2"/>
  <c r="E9470" i="2"/>
  <c r="D9470" i="2"/>
  <c r="F4388" i="2"/>
  <c r="E4388" i="2"/>
  <c r="D4388" i="2"/>
  <c r="F4391" i="2"/>
  <c r="E4391" i="2"/>
  <c r="D4391" i="2"/>
  <c r="F4390" i="2"/>
  <c r="E4390" i="2"/>
  <c r="D4390" i="2"/>
  <c r="F4389" i="2"/>
  <c r="E4389" i="2"/>
  <c r="D4389" i="2"/>
  <c r="F13652" i="2"/>
  <c r="E13652" i="2"/>
  <c r="D13652" i="2"/>
  <c r="F13651" i="2"/>
  <c r="E13651" i="2"/>
  <c r="D13651" i="2"/>
  <c r="F13650" i="2"/>
  <c r="E13650" i="2"/>
  <c r="D13650" i="2"/>
  <c r="F13649" i="2"/>
  <c r="E13649" i="2"/>
  <c r="D13649" i="2"/>
  <c r="F13648" i="2"/>
  <c r="E13648" i="2"/>
  <c r="D13648" i="2"/>
  <c r="F13647" i="2"/>
  <c r="E13647" i="2"/>
  <c r="D13647" i="2"/>
  <c r="F13646" i="2"/>
  <c r="E13646" i="2"/>
  <c r="D13646" i="2"/>
  <c r="F13645" i="2"/>
  <c r="E13645" i="2"/>
  <c r="D13645" i="2"/>
  <c r="F13644" i="2"/>
  <c r="E13644" i="2"/>
  <c r="D13644" i="2"/>
  <c r="F13639" i="2"/>
  <c r="E13639" i="2"/>
  <c r="D13639" i="2"/>
  <c r="F13643" i="2"/>
  <c r="E13643" i="2"/>
  <c r="D13643" i="2"/>
  <c r="F13642" i="2"/>
  <c r="E13642" i="2"/>
  <c r="D13642" i="2"/>
  <c r="F13641" i="2"/>
  <c r="E13641" i="2"/>
  <c r="D13641" i="2"/>
  <c r="F13640" i="2"/>
  <c r="E13640" i="2"/>
  <c r="D13640" i="2"/>
  <c r="F1370" i="2"/>
  <c r="E1370" i="2"/>
  <c r="D1370" i="2"/>
  <c r="F1371" i="2"/>
  <c r="E1371" i="2"/>
  <c r="D1371" i="2"/>
  <c r="F1372" i="2"/>
  <c r="E1372" i="2"/>
  <c r="D1372" i="2"/>
  <c r="F13996" i="2"/>
  <c r="E13996" i="2"/>
  <c r="D13996" i="2"/>
  <c r="F14031" i="2"/>
  <c r="E14031" i="2"/>
  <c r="D14031" i="2"/>
  <c r="F14030" i="2"/>
  <c r="E14030" i="2"/>
  <c r="D14030" i="2"/>
  <c r="F14029" i="2"/>
  <c r="E14029" i="2"/>
  <c r="D14029" i="2"/>
  <c r="F14028" i="2"/>
  <c r="E14028" i="2"/>
  <c r="D14028" i="2"/>
  <c r="F14027" i="2"/>
  <c r="E14027" i="2"/>
  <c r="D14027" i="2"/>
  <c r="F14026" i="2"/>
  <c r="E14026" i="2"/>
  <c r="D14026" i="2"/>
  <c r="F14025" i="2"/>
  <c r="E14025" i="2"/>
  <c r="D14025" i="2"/>
  <c r="F14023" i="2"/>
  <c r="E14023" i="2"/>
  <c r="D14023" i="2"/>
  <c r="F14024" i="2"/>
  <c r="E14024" i="2"/>
  <c r="D14024" i="2"/>
  <c r="F14022" i="2"/>
  <c r="E14022" i="2"/>
  <c r="D14022" i="2"/>
  <c r="F14021" i="2"/>
  <c r="E14021" i="2"/>
  <c r="D14021" i="2"/>
  <c r="F14018" i="2"/>
  <c r="E14018" i="2"/>
  <c r="D14018" i="2"/>
  <c r="F14020" i="2"/>
  <c r="E14020" i="2"/>
  <c r="D14020" i="2"/>
  <c r="F14019" i="2"/>
  <c r="E14019" i="2"/>
  <c r="D14019" i="2"/>
  <c r="F14017" i="2"/>
  <c r="E14017" i="2"/>
  <c r="D14017" i="2"/>
  <c r="F14016" i="2"/>
  <c r="E14016" i="2"/>
  <c r="D14016" i="2"/>
  <c r="F14015" i="2"/>
  <c r="E14015" i="2"/>
  <c r="D14015" i="2"/>
  <c r="F14014" i="2"/>
  <c r="E14014" i="2"/>
  <c r="D14014" i="2"/>
  <c r="F14013" i="2"/>
  <c r="E14013" i="2"/>
  <c r="D14013" i="2"/>
  <c r="F14012" i="2"/>
  <c r="E14012" i="2"/>
  <c r="D14012" i="2"/>
  <c r="F14010" i="2"/>
  <c r="E14010" i="2"/>
  <c r="D14010" i="2"/>
  <c r="F14011" i="2"/>
  <c r="E14011" i="2"/>
  <c r="D14011" i="2"/>
  <c r="F14007" i="2"/>
  <c r="E14007" i="2"/>
  <c r="D14007" i="2"/>
  <c r="F14009" i="2"/>
  <c r="E14009" i="2"/>
  <c r="D14009" i="2"/>
  <c r="F14008" i="2"/>
  <c r="E14008" i="2"/>
  <c r="D14008" i="2"/>
  <c r="F14006" i="2"/>
  <c r="E14006" i="2"/>
  <c r="D14006" i="2"/>
  <c r="F14005" i="2"/>
  <c r="E14005" i="2"/>
  <c r="D14005" i="2"/>
  <c r="F14004" i="2"/>
  <c r="E14004" i="2"/>
  <c r="D14004" i="2"/>
  <c r="F14003" i="2"/>
  <c r="E14003" i="2"/>
  <c r="D14003" i="2"/>
  <c r="F14002" i="2"/>
  <c r="E14002" i="2"/>
  <c r="D14002" i="2"/>
  <c r="F14001" i="2"/>
  <c r="E14001" i="2"/>
  <c r="D14001" i="2"/>
  <c r="F14000" i="2"/>
  <c r="E14000" i="2"/>
  <c r="D14000" i="2"/>
  <c r="F13999" i="2"/>
  <c r="E13999" i="2"/>
  <c r="D13999" i="2"/>
  <c r="F13998" i="2"/>
  <c r="E13998" i="2"/>
  <c r="D13998" i="2"/>
  <c r="F13997" i="2"/>
  <c r="E13997" i="2"/>
  <c r="D13997" i="2"/>
  <c r="F12021" i="2"/>
  <c r="E12021" i="2"/>
  <c r="D12021" i="2"/>
  <c r="F12032" i="2"/>
  <c r="E12032" i="2"/>
  <c r="D12032" i="2"/>
  <c r="F12031" i="2"/>
  <c r="E12031" i="2"/>
  <c r="D12031" i="2"/>
  <c r="F12030" i="2"/>
  <c r="E12030" i="2"/>
  <c r="D12030" i="2"/>
  <c r="F12029" i="2"/>
  <c r="E12029" i="2"/>
  <c r="D12029" i="2"/>
  <c r="F12028" i="2"/>
  <c r="E12028" i="2"/>
  <c r="D12028" i="2"/>
  <c r="F12027" i="2"/>
  <c r="E12027" i="2"/>
  <c r="D12027" i="2"/>
  <c r="F12026" i="2"/>
  <c r="E12026" i="2"/>
  <c r="D12026" i="2"/>
  <c r="F12025" i="2"/>
  <c r="E12025" i="2"/>
  <c r="D12025" i="2"/>
  <c r="F12024" i="2"/>
  <c r="E12024" i="2"/>
  <c r="D12024" i="2"/>
  <c r="F12023" i="2"/>
  <c r="E12023" i="2"/>
  <c r="D12023" i="2"/>
  <c r="F12022" i="2"/>
  <c r="E12022" i="2"/>
  <c r="D12022" i="2"/>
  <c r="F5109" i="2"/>
  <c r="E5109" i="2"/>
  <c r="D5109" i="2"/>
  <c r="F5108" i="2"/>
  <c r="E5108" i="2"/>
  <c r="D5108" i="2"/>
  <c r="F5107" i="2"/>
  <c r="E5107" i="2"/>
  <c r="D5107" i="2"/>
  <c r="F5106" i="2"/>
  <c r="E5106" i="2"/>
  <c r="D5106" i="2"/>
  <c r="F5105" i="2"/>
  <c r="E5105" i="2"/>
  <c r="D5105" i="2"/>
  <c r="F5104" i="2"/>
  <c r="E5104" i="2"/>
  <c r="D5104" i="2"/>
  <c r="F5103" i="2"/>
  <c r="E5103" i="2"/>
  <c r="D5103" i="2"/>
  <c r="F5102" i="2"/>
  <c r="E5102" i="2"/>
  <c r="D5102" i="2"/>
  <c r="F5101" i="2"/>
  <c r="E5101" i="2"/>
  <c r="D5101" i="2"/>
  <c r="F5100" i="2"/>
  <c r="E5100" i="2"/>
  <c r="D5100" i="2"/>
  <c r="F5099" i="2"/>
  <c r="E5099" i="2"/>
  <c r="D5099" i="2"/>
  <c r="F5098" i="2"/>
  <c r="E5098" i="2"/>
  <c r="D5098" i="2"/>
  <c r="F5097" i="2"/>
  <c r="E5097" i="2"/>
  <c r="D5097" i="2"/>
  <c r="F5096" i="2"/>
  <c r="E5096" i="2"/>
  <c r="D5096" i="2"/>
  <c r="F5095" i="2"/>
  <c r="E5095" i="2"/>
  <c r="D5095" i="2"/>
  <c r="F5094" i="2"/>
  <c r="E5094" i="2"/>
  <c r="D5094" i="2"/>
  <c r="F5093" i="2"/>
  <c r="E5093" i="2"/>
  <c r="D5093" i="2"/>
  <c r="F5092" i="2"/>
  <c r="E5092" i="2"/>
  <c r="D5092" i="2"/>
  <c r="F5091" i="2"/>
  <c r="E5091" i="2"/>
  <c r="D5091" i="2"/>
  <c r="F5090" i="2"/>
  <c r="E5090" i="2"/>
  <c r="D5090" i="2"/>
  <c r="F5089" i="2"/>
  <c r="E5089" i="2"/>
  <c r="D5089" i="2"/>
  <c r="F5088" i="2"/>
  <c r="E5088" i="2"/>
  <c r="D5088" i="2"/>
  <c r="F5087" i="2"/>
  <c r="E5087" i="2"/>
  <c r="D5087" i="2"/>
  <c r="F5086" i="2"/>
  <c r="E5086" i="2"/>
  <c r="D5086" i="2"/>
  <c r="F5085" i="2"/>
  <c r="E5085" i="2"/>
  <c r="D5085" i="2"/>
  <c r="F5084" i="2"/>
  <c r="E5084" i="2"/>
  <c r="D5084" i="2"/>
  <c r="F5083" i="2"/>
  <c r="E5083" i="2"/>
  <c r="D5083" i="2"/>
  <c r="F5082" i="2"/>
  <c r="E5082" i="2"/>
  <c r="D5082" i="2"/>
  <c r="F5081" i="2"/>
  <c r="E5081" i="2"/>
  <c r="D5081" i="2"/>
  <c r="F5080" i="2"/>
  <c r="E5080" i="2"/>
  <c r="D5080" i="2"/>
  <c r="F5079" i="2"/>
  <c r="E5079" i="2"/>
  <c r="D5079" i="2"/>
  <c r="F5078" i="2"/>
  <c r="E5078" i="2"/>
  <c r="D5078" i="2"/>
  <c r="F5077" i="2"/>
  <c r="E5077" i="2"/>
  <c r="D5077" i="2"/>
  <c r="F5076" i="2"/>
  <c r="E5076" i="2"/>
  <c r="D5076" i="2"/>
  <c r="F5075" i="2"/>
  <c r="E5075" i="2"/>
  <c r="D5075" i="2"/>
  <c r="F5074" i="2"/>
  <c r="E5074" i="2"/>
  <c r="D5074" i="2"/>
  <c r="F5073" i="2"/>
  <c r="E5073" i="2"/>
  <c r="D5073" i="2"/>
  <c r="F5072" i="2"/>
  <c r="E5072" i="2"/>
  <c r="D5072" i="2"/>
  <c r="F5071" i="2"/>
  <c r="E5071" i="2"/>
  <c r="D5071" i="2"/>
  <c r="F5070" i="2"/>
  <c r="E5070" i="2"/>
  <c r="D5070" i="2"/>
  <c r="F176" i="2"/>
  <c r="E176" i="2"/>
  <c r="D176" i="2"/>
  <c r="F175" i="2"/>
  <c r="E175" i="2"/>
  <c r="D175" i="2"/>
  <c r="F174" i="2"/>
  <c r="E174" i="2"/>
  <c r="D174" i="2"/>
  <c r="F173" i="2"/>
  <c r="E173" i="2"/>
  <c r="D173" i="2"/>
  <c r="F172" i="2"/>
  <c r="E172" i="2"/>
  <c r="D172" i="2"/>
  <c r="F171" i="2"/>
  <c r="E171" i="2"/>
  <c r="D171" i="2"/>
  <c r="F170" i="2"/>
  <c r="E170" i="2"/>
  <c r="D170" i="2"/>
  <c r="F169" i="2"/>
  <c r="E169" i="2"/>
  <c r="D169" i="2"/>
  <c r="F168" i="2"/>
  <c r="E168" i="2"/>
  <c r="D168" i="2"/>
  <c r="F167" i="2"/>
  <c r="E167" i="2"/>
  <c r="D167" i="2"/>
  <c r="F166" i="2"/>
  <c r="E166" i="2"/>
  <c r="D166" i="2"/>
  <c r="F165" i="2"/>
  <c r="E165" i="2"/>
  <c r="D165" i="2"/>
  <c r="F164" i="2"/>
  <c r="E164" i="2"/>
  <c r="D164" i="2"/>
  <c r="F163" i="2"/>
  <c r="E163" i="2"/>
  <c r="D163" i="2"/>
  <c r="F162" i="2"/>
  <c r="E162" i="2"/>
  <c r="D162" i="2"/>
  <c r="F161" i="2"/>
  <c r="E161" i="2"/>
  <c r="D161" i="2"/>
  <c r="F8578" i="2"/>
  <c r="E8578" i="2"/>
  <c r="D8578" i="2"/>
  <c r="F8585" i="2"/>
  <c r="E8585" i="2"/>
  <c r="D8585" i="2"/>
  <c r="F8584" i="2"/>
  <c r="E8584" i="2"/>
  <c r="D8584" i="2"/>
  <c r="F8583" i="2"/>
  <c r="E8583" i="2"/>
  <c r="D8583" i="2"/>
  <c r="F8582" i="2"/>
  <c r="E8582" i="2"/>
  <c r="D8582" i="2"/>
  <c r="F8581" i="2"/>
  <c r="E8581" i="2"/>
  <c r="D8581" i="2"/>
  <c r="F8580" i="2"/>
  <c r="E8580" i="2"/>
  <c r="D8580" i="2"/>
  <c r="F8579" i="2"/>
  <c r="E8579" i="2"/>
  <c r="D8579" i="2"/>
  <c r="F13059" i="2"/>
  <c r="E13059" i="2"/>
  <c r="D13059" i="2"/>
  <c r="F13058" i="2"/>
  <c r="E13058" i="2"/>
  <c r="D13058" i="2"/>
  <c r="F14324" i="2"/>
  <c r="E14324" i="2"/>
  <c r="D14324" i="2"/>
  <c r="F14326" i="2"/>
  <c r="E14326" i="2"/>
  <c r="D14326" i="2"/>
  <c r="F14327" i="2"/>
  <c r="E14327" i="2"/>
  <c r="D14327" i="2"/>
  <c r="F14325" i="2"/>
  <c r="E14325" i="2"/>
  <c r="D14325" i="2"/>
  <c r="F5110" i="2"/>
  <c r="E5110" i="2"/>
  <c r="D5110" i="2"/>
  <c r="F5124" i="2"/>
  <c r="E5124" i="2"/>
  <c r="D5124" i="2"/>
  <c r="F5123" i="2"/>
  <c r="E5123" i="2"/>
  <c r="D5123" i="2"/>
  <c r="F5122" i="2"/>
  <c r="E5122" i="2"/>
  <c r="D5122" i="2"/>
  <c r="F5121" i="2"/>
  <c r="E5121" i="2"/>
  <c r="D5121" i="2"/>
  <c r="F5120" i="2"/>
  <c r="E5120" i="2"/>
  <c r="D5120" i="2"/>
  <c r="F5119" i="2"/>
  <c r="E5119" i="2"/>
  <c r="D5119" i="2"/>
  <c r="F5118" i="2"/>
  <c r="E5118" i="2"/>
  <c r="D5118" i="2"/>
  <c r="F5117" i="2"/>
  <c r="E5117" i="2"/>
  <c r="D5117" i="2"/>
  <c r="F5116" i="2"/>
  <c r="E5116" i="2"/>
  <c r="D5116" i="2"/>
  <c r="F5115" i="2"/>
  <c r="E5115" i="2"/>
  <c r="D5115" i="2"/>
  <c r="F5114" i="2"/>
  <c r="E5114" i="2"/>
  <c r="D5114" i="2"/>
  <c r="F5113" i="2"/>
  <c r="E5113" i="2"/>
  <c r="D5113" i="2"/>
  <c r="F5112" i="2"/>
  <c r="E5112" i="2"/>
  <c r="D5112" i="2"/>
  <c r="F5111" i="2"/>
  <c r="E5111" i="2"/>
  <c r="D5111" i="2"/>
  <c r="F13808" i="2"/>
  <c r="E13808" i="2"/>
  <c r="D13808" i="2"/>
  <c r="F13807" i="2"/>
  <c r="E13807" i="2"/>
  <c r="D13807" i="2"/>
  <c r="F13806" i="2"/>
  <c r="E13806" i="2"/>
  <c r="D13806" i="2"/>
  <c r="F13805" i="2"/>
  <c r="E13805" i="2"/>
  <c r="D13805" i="2"/>
  <c r="F13804" i="2"/>
  <c r="E13804" i="2"/>
  <c r="D13804" i="2"/>
  <c r="F6130" i="2"/>
  <c r="E6130" i="2"/>
  <c r="D6130" i="2"/>
  <c r="F6157" i="2"/>
  <c r="E6157" i="2"/>
  <c r="D6157" i="2"/>
  <c r="F6156" i="2"/>
  <c r="E6156" i="2"/>
  <c r="D6156" i="2"/>
  <c r="F6155" i="2"/>
  <c r="E6155" i="2"/>
  <c r="D6155" i="2"/>
  <c r="F6154" i="2"/>
  <c r="E6154" i="2"/>
  <c r="D6154" i="2"/>
  <c r="F6153" i="2"/>
  <c r="E6153" i="2"/>
  <c r="D6153" i="2"/>
  <c r="F6152" i="2"/>
  <c r="E6152" i="2"/>
  <c r="D6152" i="2"/>
  <c r="F6151" i="2"/>
  <c r="E6151" i="2"/>
  <c r="D6151" i="2"/>
  <c r="F6150" i="2"/>
  <c r="E6150" i="2"/>
  <c r="D6150" i="2"/>
  <c r="F6149" i="2"/>
  <c r="E6149" i="2"/>
  <c r="D6149" i="2"/>
  <c r="F6148" i="2"/>
  <c r="E6148" i="2"/>
  <c r="D6148" i="2"/>
  <c r="F6147" i="2"/>
  <c r="E6147" i="2"/>
  <c r="D6147" i="2"/>
  <c r="F6146" i="2"/>
  <c r="E6146" i="2"/>
  <c r="D6146" i="2"/>
  <c r="F6145" i="2"/>
  <c r="E6145" i="2"/>
  <c r="D6145" i="2"/>
  <c r="F6144" i="2"/>
  <c r="E6144" i="2"/>
  <c r="D6144" i="2"/>
  <c r="F6143" i="2"/>
  <c r="E6143" i="2"/>
  <c r="D6143" i="2"/>
  <c r="F6142" i="2"/>
  <c r="E6142" i="2"/>
  <c r="D6142" i="2"/>
  <c r="F6141" i="2"/>
  <c r="E6141" i="2"/>
  <c r="D6141" i="2"/>
  <c r="F6140" i="2"/>
  <c r="E6140" i="2"/>
  <c r="D6140" i="2"/>
  <c r="F6139" i="2"/>
  <c r="E6139" i="2"/>
  <c r="D6139" i="2"/>
  <c r="F6138" i="2"/>
  <c r="E6138" i="2"/>
  <c r="D6138" i="2"/>
  <c r="F6137" i="2"/>
  <c r="E6137" i="2"/>
  <c r="D6137" i="2"/>
  <c r="F6136" i="2"/>
  <c r="E6136" i="2"/>
  <c r="D6136" i="2"/>
  <c r="F6135" i="2"/>
  <c r="E6135" i="2"/>
  <c r="D6135" i="2"/>
  <c r="F6134" i="2"/>
  <c r="E6134" i="2"/>
  <c r="D6134" i="2"/>
  <c r="F6133" i="2"/>
  <c r="E6133" i="2"/>
  <c r="D6133" i="2"/>
  <c r="F6132" i="2"/>
  <c r="E6132" i="2"/>
  <c r="D6132" i="2"/>
  <c r="F6131" i="2"/>
  <c r="E6131" i="2"/>
  <c r="D6131" i="2"/>
  <c r="F13835" i="2"/>
  <c r="E13835" i="2"/>
  <c r="D13835" i="2"/>
  <c r="F13834" i="2"/>
  <c r="E13834" i="2"/>
  <c r="D13834" i="2"/>
  <c r="F13833" i="2"/>
  <c r="E13833" i="2"/>
  <c r="D13833" i="2"/>
  <c r="F13832" i="2"/>
  <c r="E13832" i="2"/>
  <c r="D13832" i="2"/>
  <c r="F13831" i="2"/>
  <c r="E13831" i="2"/>
  <c r="D13831" i="2"/>
  <c r="F13830" i="2"/>
  <c r="E13830" i="2"/>
  <c r="D13830" i="2"/>
  <c r="F13829" i="2"/>
  <c r="E13829" i="2"/>
  <c r="D13829" i="2"/>
  <c r="F13828" i="2"/>
  <c r="E13828" i="2"/>
  <c r="D13828" i="2"/>
  <c r="F13827" i="2"/>
  <c r="E13827" i="2"/>
  <c r="D13827" i="2"/>
  <c r="F13826" i="2"/>
  <c r="E13826" i="2"/>
  <c r="D13826" i="2"/>
  <c r="F13825" i="2"/>
  <c r="E13825" i="2"/>
  <c r="D13825" i="2"/>
  <c r="F13824" i="2"/>
  <c r="E13824" i="2"/>
  <c r="D13824" i="2"/>
  <c r="F13823" i="2"/>
  <c r="E13823" i="2"/>
  <c r="D13823" i="2"/>
  <c r="F13822" i="2"/>
  <c r="E13822" i="2"/>
  <c r="D13822" i="2"/>
  <c r="F13809" i="2"/>
  <c r="E13809" i="2"/>
  <c r="D13809" i="2"/>
  <c r="F13821" i="2"/>
  <c r="E13821" i="2"/>
  <c r="D13821" i="2"/>
  <c r="F13820" i="2"/>
  <c r="E13820" i="2"/>
  <c r="D13820" i="2"/>
  <c r="F13819" i="2"/>
  <c r="E13819" i="2"/>
  <c r="D13819" i="2"/>
  <c r="F13818" i="2"/>
  <c r="E13818" i="2"/>
  <c r="D13818" i="2"/>
  <c r="F13817" i="2"/>
  <c r="E13817" i="2"/>
  <c r="D13817" i="2"/>
  <c r="F13816" i="2"/>
  <c r="E13816" i="2"/>
  <c r="D13816" i="2"/>
  <c r="F13815" i="2"/>
  <c r="E13815" i="2"/>
  <c r="D13815" i="2"/>
  <c r="F13814" i="2"/>
  <c r="E13814" i="2"/>
  <c r="D13814" i="2"/>
  <c r="F13813" i="2"/>
  <c r="E13813" i="2"/>
  <c r="D13813" i="2"/>
  <c r="F13812" i="2"/>
  <c r="E13812" i="2"/>
  <c r="D13812" i="2"/>
  <c r="F13811" i="2"/>
  <c r="E13811" i="2"/>
  <c r="D13811" i="2"/>
  <c r="F13810" i="2"/>
  <c r="E13810" i="2"/>
  <c r="D13810" i="2"/>
  <c r="F7010" i="2"/>
  <c r="E7010" i="2"/>
  <c r="D7010" i="2"/>
  <c r="F7009" i="2"/>
  <c r="E7009" i="2"/>
  <c r="D7009" i="2"/>
  <c r="F7008" i="2"/>
  <c r="E7008" i="2"/>
  <c r="D7008" i="2"/>
  <c r="F7007" i="2"/>
  <c r="E7007" i="2"/>
  <c r="D7007" i="2"/>
  <c r="F7006" i="2"/>
  <c r="E7006" i="2"/>
  <c r="D7006" i="2"/>
  <c r="F7005" i="2"/>
  <c r="E7005" i="2"/>
  <c r="D7005" i="2"/>
  <c r="F9650" i="2"/>
  <c r="E9650" i="2"/>
  <c r="D9650" i="2"/>
  <c r="F9664" i="2"/>
  <c r="E9664" i="2"/>
  <c r="D9664" i="2"/>
  <c r="F9663" i="2"/>
  <c r="E9663" i="2"/>
  <c r="D9663" i="2"/>
  <c r="F9662" i="2"/>
  <c r="E9662" i="2"/>
  <c r="D9662" i="2"/>
  <c r="F9661" i="2"/>
  <c r="E9661" i="2"/>
  <c r="D9661" i="2"/>
  <c r="F9660" i="2"/>
  <c r="E9660" i="2"/>
  <c r="D9660" i="2"/>
  <c r="F9659" i="2"/>
  <c r="E9659" i="2"/>
  <c r="D9659" i="2"/>
  <c r="F9658" i="2"/>
  <c r="E9658" i="2"/>
  <c r="D9658" i="2"/>
  <c r="F9657" i="2"/>
  <c r="E9657" i="2"/>
  <c r="D9657" i="2"/>
  <c r="F9656" i="2"/>
  <c r="E9656" i="2"/>
  <c r="D9656" i="2"/>
  <c r="F9655" i="2"/>
  <c r="E9655" i="2"/>
  <c r="D9655" i="2"/>
  <c r="F9654" i="2"/>
  <c r="E9654" i="2"/>
  <c r="D9654" i="2"/>
  <c r="F9653" i="2"/>
  <c r="E9653" i="2"/>
  <c r="D9653" i="2"/>
  <c r="F9652" i="2"/>
  <c r="E9652" i="2"/>
  <c r="D9652" i="2"/>
  <c r="F9651" i="2"/>
  <c r="E9651" i="2"/>
  <c r="D9651" i="2"/>
  <c r="F3896" i="2"/>
  <c r="E3896" i="2"/>
  <c r="D3896" i="2"/>
  <c r="F3919" i="2"/>
  <c r="E3919" i="2"/>
  <c r="D3919" i="2"/>
  <c r="F3918" i="2"/>
  <c r="E3918" i="2"/>
  <c r="D3918" i="2"/>
  <c r="F3917" i="2"/>
  <c r="E3917" i="2"/>
  <c r="D3917" i="2"/>
  <c r="F3916" i="2"/>
  <c r="E3916" i="2"/>
  <c r="D3916" i="2"/>
  <c r="F3915" i="2"/>
  <c r="E3915" i="2"/>
  <c r="D3915" i="2"/>
  <c r="F3914" i="2"/>
  <c r="E3914" i="2"/>
  <c r="D3914" i="2"/>
  <c r="F3913" i="2"/>
  <c r="E3913" i="2"/>
  <c r="D3913" i="2"/>
  <c r="F3912" i="2"/>
  <c r="E3912" i="2"/>
  <c r="D3912" i="2"/>
  <c r="F3911" i="2"/>
  <c r="E3911" i="2"/>
  <c r="D3911" i="2"/>
  <c r="F3910" i="2"/>
  <c r="E3910" i="2"/>
  <c r="D3910" i="2"/>
  <c r="F3909" i="2"/>
  <c r="E3909" i="2"/>
  <c r="D3909" i="2"/>
  <c r="F3908" i="2"/>
  <c r="E3908" i="2"/>
  <c r="D3908" i="2"/>
  <c r="F3907" i="2"/>
  <c r="E3907" i="2"/>
  <c r="D3907" i="2"/>
  <c r="F3906" i="2"/>
  <c r="E3906" i="2"/>
  <c r="D3906" i="2"/>
  <c r="F3905" i="2"/>
  <c r="E3905" i="2"/>
  <c r="D3905" i="2"/>
  <c r="F3904" i="2"/>
  <c r="E3904" i="2"/>
  <c r="D3904" i="2"/>
  <c r="F3903" i="2"/>
  <c r="E3903" i="2"/>
  <c r="D3903" i="2"/>
  <c r="F3902" i="2"/>
  <c r="E3902" i="2"/>
  <c r="D3902" i="2"/>
  <c r="F3901" i="2"/>
  <c r="E3901" i="2"/>
  <c r="D3901" i="2"/>
  <c r="F3900" i="2"/>
  <c r="E3900" i="2"/>
  <c r="D3900" i="2"/>
  <c r="F3899" i="2"/>
  <c r="E3899" i="2"/>
  <c r="D3899" i="2"/>
  <c r="F3898" i="2"/>
  <c r="E3898" i="2"/>
  <c r="D3898" i="2"/>
  <c r="F3897" i="2"/>
  <c r="E3897" i="2"/>
  <c r="D3897" i="2"/>
  <c r="F15367" i="2"/>
  <c r="E15367" i="2"/>
  <c r="D15367" i="2"/>
  <c r="F15366" i="2"/>
  <c r="E15366" i="2"/>
  <c r="D15366" i="2"/>
  <c r="F15365" i="2"/>
  <c r="E15365" i="2"/>
  <c r="D15365" i="2"/>
  <c r="F15364" i="2"/>
  <c r="E15364" i="2"/>
  <c r="D15364" i="2"/>
  <c r="F15363" i="2"/>
  <c r="E15363" i="2"/>
  <c r="D15363" i="2"/>
  <c r="F15362" i="2"/>
  <c r="E15362" i="2"/>
  <c r="D15362" i="2"/>
  <c r="F14646" i="2"/>
  <c r="E14646" i="2"/>
  <c r="D14646" i="2"/>
  <c r="F14645" i="2"/>
  <c r="E14645" i="2"/>
  <c r="D14645" i="2"/>
  <c r="F14644" i="2"/>
  <c r="E14644" i="2"/>
  <c r="D14644" i="2"/>
  <c r="F14643" i="2"/>
  <c r="E14643" i="2"/>
  <c r="D14643" i="2"/>
  <c r="F14642" i="2"/>
  <c r="E14642" i="2"/>
  <c r="D14642" i="2"/>
  <c r="F14641" i="2"/>
  <c r="E14641" i="2"/>
  <c r="D14641" i="2"/>
  <c r="F9914" i="2"/>
  <c r="E9914" i="2"/>
  <c r="D9914" i="2"/>
  <c r="F9913" i="2"/>
  <c r="E9913" i="2"/>
  <c r="D9913" i="2"/>
  <c r="F9912" i="2"/>
  <c r="E9912" i="2"/>
  <c r="D9912" i="2"/>
  <c r="F9910" i="2"/>
  <c r="E9910" i="2"/>
  <c r="D9910" i="2"/>
  <c r="F9911" i="2"/>
  <c r="E9911" i="2"/>
  <c r="D9911" i="2"/>
  <c r="F9909" i="2"/>
  <c r="E9909" i="2"/>
  <c r="D9909" i="2"/>
  <c r="F9908" i="2"/>
  <c r="E9908" i="2"/>
  <c r="D9908" i="2"/>
  <c r="F9905" i="2"/>
  <c r="E9905" i="2"/>
  <c r="D9905" i="2"/>
  <c r="F9907" i="2"/>
  <c r="E9907" i="2"/>
  <c r="D9907" i="2"/>
  <c r="F9906" i="2"/>
  <c r="E9906" i="2"/>
  <c r="D9906" i="2"/>
  <c r="F9904" i="2"/>
  <c r="E9904" i="2"/>
  <c r="D9904" i="2"/>
  <c r="F9903" i="2"/>
  <c r="E9903" i="2"/>
  <c r="D9903" i="2"/>
  <c r="F9902" i="2"/>
  <c r="E9902" i="2"/>
  <c r="D9902" i="2"/>
  <c r="F9901" i="2"/>
  <c r="E9901" i="2"/>
  <c r="D9901" i="2"/>
  <c r="F9899" i="2"/>
  <c r="E9899" i="2"/>
  <c r="D9899" i="2"/>
  <c r="F9900" i="2"/>
  <c r="E9900" i="2"/>
  <c r="D9900" i="2"/>
  <c r="F9896" i="2"/>
  <c r="E9896" i="2"/>
  <c r="D9896" i="2"/>
  <c r="F9898" i="2"/>
  <c r="E9898" i="2"/>
  <c r="D9898" i="2"/>
  <c r="F9897" i="2"/>
  <c r="E9897" i="2"/>
  <c r="D9897" i="2"/>
  <c r="F9895" i="2"/>
  <c r="E9895" i="2"/>
  <c r="D9895" i="2"/>
  <c r="F9894" i="2"/>
  <c r="E9894" i="2"/>
  <c r="D9894" i="2"/>
  <c r="F9893" i="2"/>
  <c r="E9893" i="2"/>
  <c r="D9893" i="2"/>
  <c r="F9892" i="2"/>
  <c r="E9892" i="2"/>
  <c r="D9892" i="2"/>
  <c r="F9891" i="2"/>
  <c r="E9891" i="2"/>
  <c r="D9891" i="2"/>
  <c r="F9890" i="2"/>
  <c r="E9890" i="2"/>
  <c r="D9890" i="2"/>
  <c r="F9958" i="2"/>
  <c r="E9958" i="2"/>
  <c r="D9958" i="2"/>
  <c r="F9957" i="2"/>
  <c r="E9957" i="2"/>
  <c r="D9957" i="2"/>
  <c r="F9956" i="2"/>
  <c r="E9956" i="2"/>
  <c r="D9956" i="2"/>
  <c r="F9955" i="2"/>
  <c r="E9955" i="2"/>
  <c r="D9955" i="2"/>
  <c r="F9954" i="2"/>
  <c r="E9954" i="2"/>
  <c r="D9954" i="2"/>
  <c r="F9953" i="2"/>
  <c r="E9953" i="2"/>
  <c r="D9953" i="2"/>
  <c r="F1373" i="2"/>
  <c r="E1373" i="2"/>
  <c r="D1373" i="2"/>
  <c r="F1379" i="2"/>
  <c r="E1379" i="2"/>
  <c r="D1379" i="2"/>
  <c r="F1378" i="2"/>
  <c r="E1378" i="2"/>
  <c r="D1378" i="2"/>
  <c r="F1377" i="2"/>
  <c r="E1377" i="2"/>
  <c r="D1377" i="2"/>
  <c r="F1376" i="2"/>
  <c r="E1376" i="2"/>
  <c r="D1376" i="2"/>
  <c r="F1375" i="2"/>
  <c r="E1375" i="2"/>
  <c r="D1375" i="2"/>
  <c r="F1374" i="2"/>
  <c r="E1374" i="2"/>
  <c r="D1374" i="2"/>
  <c r="F12648" i="2"/>
  <c r="E12648" i="2"/>
  <c r="D12648" i="2"/>
  <c r="F12647" i="2"/>
  <c r="E12647" i="2"/>
  <c r="D12647" i="2"/>
  <c r="F12646" i="2"/>
  <c r="E12646" i="2"/>
  <c r="D12646" i="2"/>
  <c r="F12645" i="2"/>
  <c r="E12645" i="2"/>
  <c r="D12645" i="2"/>
  <c r="F12644" i="2"/>
  <c r="E12644" i="2"/>
  <c r="D12644" i="2"/>
  <c r="F12643" i="2"/>
  <c r="E12643" i="2"/>
  <c r="D12643" i="2"/>
  <c r="F12642" i="2"/>
  <c r="E12642" i="2"/>
  <c r="D12642" i="2"/>
  <c r="F12641" i="2"/>
  <c r="E12641" i="2"/>
  <c r="D12641" i="2"/>
  <c r="F12639" i="2"/>
  <c r="E12639" i="2"/>
  <c r="D12639" i="2"/>
  <c r="F12640" i="2"/>
  <c r="E12640" i="2"/>
  <c r="D12640" i="2"/>
  <c r="F9915" i="2"/>
  <c r="E9915" i="2"/>
  <c r="D9915" i="2"/>
  <c r="F9952" i="2"/>
  <c r="E9952" i="2"/>
  <c r="D9952" i="2"/>
  <c r="F9951" i="2"/>
  <c r="E9951" i="2"/>
  <c r="D9951" i="2"/>
  <c r="F9950" i="2"/>
  <c r="E9950" i="2"/>
  <c r="D9950" i="2"/>
  <c r="F9949" i="2"/>
  <c r="E9949" i="2"/>
  <c r="D9949" i="2"/>
  <c r="F9948" i="2"/>
  <c r="E9948" i="2"/>
  <c r="D9948" i="2"/>
  <c r="F9947" i="2"/>
  <c r="E9947" i="2"/>
  <c r="D9947" i="2"/>
  <c r="F9946" i="2"/>
  <c r="E9946" i="2"/>
  <c r="D9946" i="2"/>
  <c r="F9945" i="2"/>
  <c r="E9945" i="2"/>
  <c r="D9945" i="2"/>
  <c r="F9944" i="2"/>
  <c r="E9944" i="2"/>
  <c r="D9944" i="2"/>
  <c r="F9943" i="2"/>
  <c r="E9943" i="2"/>
  <c r="D9943" i="2"/>
  <c r="F9942" i="2"/>
  <c r="E9942" i="2"/>
  <c r="D9942" i="2"/>
  <c r="F9941" i="2"/>
  <c r="E9941" i="2"/>
  <c r="D9941" i="2"/>
  <c r="F9940" i="2"/>
  <c r="E9940" i="2"/>
  <c r="D9940" i="2"/>
  <c r="F9939" i="2"/>
  <c r="E9939" i="2"/>
  <c r="D9939" i="2"/>
  <c r="F9938" i="2"/>
  <c r="E9938" i="2"/>
  <c r="D9938" i="2"/>
  <c r="F9937" i="2"/>
  <c r="E9937" i="2"/>
  <c r="D9937" i="2"/>
  <c r="F9936" i="2"/>
  <c r="E9936" i="2"/>
  <c r="D9936" i="2"/>
  <c r="F9935" i="2"/>
  <c r="E9935" i="2"/>
  <c r="D9935" i="2"/>
  <c r="F9934" i="2"/>
  <c r="E9934" i="2"/>
  <c r="D9934" i="2"/>
  <c r="F9933" i="2"/>
  <c r="E9933" i="2"/>
  <c r="D9933" i="2"/>
  <c r="F9932" i="2"/>
  <c r="E9932" i="2"/>
  <c r="D9932" i="2"/>
  <c r="F9931" i="2"/>
  <c r="E9931" i="2"/>
  <c r="D9931" i="2"/>
  <c r="F9930" i="2"/>
  <c r="E9930" i="2"/>
  <c r="D9930" i="2"/>
  <c r="F9929" i="2"/>
  <c r="E9929" i="2"/>
  <c r="D9929" i="2"/>
  <c r="F9928" i="2"/>
  <c r="E9928" i="2"/>
  <c r="D9928" i="2"/>
  <c r="F9927" i="2"/>
  <c r="E9927" i="2"/>
  <c r="D9927" i="2"/>
  <c r="F9926" i="2"/>
  <c r="E9926" i="2"/>
  <c r="D9926" i="2"/>
  <c r="F9925" i="2"/>
  <c r="E9925" i="2"/>
  <c r="D9925" i="2"/>
  <c r="F9924" i="2"/>
  <c r="E9924" i="2"/>
  <c r="D9924" i="2"/>
  <c r="F9923" i="2"/>
  <c r="E9923" i="2"/>
  <c r="D9923" i="2"/>
  <c r="F9922" i="2"/>
  <c r="E9922" i="2"/>
  <c r="D9922" i="2"/>
  <c r="F9921" i="2"/>
  <c r="E9921" i="2"/>
  <c r="D9921" i="2"/>
  <c r="F9920" i="2"/>
  <c r="E9920" i="2"/>
  <c r="D9920" i="2"/>
  <c r="F9919" i="2"/>
  <c r="E9919" i="2"/>
  <c r="D9919" i="2"/>
  <c r="F9918" i="2"/>
  <c r="E9918" i="2"/>
  <c r="D9918" i="2"/>
  <c r="F9917" i="2"/>
  <c r="E9917" i="2"/>
  <c r="D9917" i="2"/>
  <c r="F9916" i="2"/>
  <c r="E9916" i="2"/>
  <c r="D9916" i="2"/>
  <c r="F12912" i="2"/>
  <c r="E12912" i="2"/>
  <c r="D12912" i="2"/>
  <c r="F12911" i="2"/>
  <c r="E12911" i="2"/>
  <c r="D12911" i="2"/>
  <c r="F12909" i="2"/>
  <c r="E12909" i="2"/>
  <c r="D12909" i="2"/>
  <c r="F12910" i="2"/>
  <c r="E12910" i="2"/>
  <c r="D12910" i="2"/>
  <c r="F6732" i="2"/>
  <c r="E6732" i="2"/>
  <c r="D6732" i="2"/>
  <c r="F6738" i="2"/>
  <c r="E6738" i="2"/>
  <c r="D6738" i="2"/>
  <c r="F6737" i="2"/>
  <c r="E6737" i="2"/>
  <c r="D6737" i="2"/>
  <c r="F6736" i="2"/>
  <c r="E6736" i="2"/>
  <c r="D6736" i="2"/>
  <c r="F6735" i="2"/>
  <c r="E6735" i="2"/>
  <c r="D6735" i="2"/>
  <c r="F6734" i="2"/>
  <c r="E6734" i="2"/>
  <c r="D6734" i="2"/>
  <c r="F6733" i="2"/>
  <c r="E6733" i="2"/>
  <c r="D6733" i="2"/>
  <c r="F12678" i="2"/>
  <c r="E12678" i="2"/>
  <c r="D12678" i="2"/>
  <c r="F12677" i="2"/>
  <c r="E12677" i="2"/>
  <c r="D12677" i="2"/>
  <c r="F12676" i="2"/>
  <c r="E12676" i="2"/>
  <c r="D12676" i="2"/>
  <c r="F12675" i="2"/>
  <c r="E12675" i="2"/>
  <c r="D12675" i="2"/>
  <c r="F12674" i="2"/>
  <c r="E12674" i="2"/>
  <c r="D12674" i="2"/>
  <c r="F12673" i="2"/>
  <c r="E12673" i="2"/>
  <c r="D12673" i="2"/>
  <c r="F12672" i="2"/>
  <c r="E12672" i="2"/>
  <c r="D12672" i="2"/>
  <c r="F12671" i="2"/>
  <c r="E12671" i="2"/>
  <c r="D12671" i="2"/>
  <c r="F12670" i="2"/>
  <c r="E12670" i="2"/>
  <c r="D12670" i="2"/>
  <c r="F12669" i="2"/>
  <c r="E12669" i="2"/>
  <c r="D12669" i="2"/>
  <c r="F12668" i="2"/>
  <c r="E12668" i="2"/>
  <c r="D12668" i="2"/>
  <c r="F12667" i="2"/>
  <c r="E12667" i="2"/>
  <c r="D12667" i="2"/>
  <c r="F12666" i="2"/>
  <c r="E12666" i="2"/>
  <c r="D12666" i="2"/>
  <c r="F12665" i="2"/>
  <c r="E12665" i="2"/>
  <c r="D12665" i="2"/>
  <c r="F5125" i="2"/>
  <c r="E5125" i="2"/>
  <c r="D5125" i="2"/>
  <c r="F5150" i="2"/>
  <c r="E5150" i="2"/>
  <c r="D5150" i="2"/>
  <c r="F5149" i="2"/>
  <c r="E5149" i="2"/>
  <c r="D5149" i="2"/>
  <c r="F5148" i="2"/>
  <c r="E5148" i="2"/>
  <c r="D5148" i="2"/>
  <c r="F5147" i="2"/>
  <c r="E5147" i="2"/>
  <c r="D5147" i="2"/>
  <c r="F5146" i="2"/>
  <c r="E5146" i="2"/>
  <c r="D5146" i="2"/>
  <c r="F5145" i="2"/>
  <c r="E5145" i="2"/>
  <c r="D5145" i="2"/>
  <c r="F5144" i="2"/>
  <c r="E5144" i="2"/>
  <c r="D5144" i="2"/>
  <c r="F5143" i="2"/>
  <c r="E5143" i="2"/>
  <c r="D5143" i="2"/>
  <c r="F5142" i="2"/>
  <c r="E5142" i="2"/>
  <c r="D5142" i="2"/>
  <c r="F5141" i="2"/>
  <c r="E5141" i="2"/>
  <c r="D5141" i="2"/>
  <c r="F5140" i="2"/>
  <c r="E5140" i="2"/>
  <c r="D5140" i="2"/>
  <c r="F5139" i="2"/>
  <c r="E5139" i="2"/>
  <c r="D5139" i="2"/>
  <c r="F5138" i="2"/>
  <c r="E5138" i="2"/>
  <c r="D5138" i="2"/>
  <c r="F5137" i="2"/>
  <c r="E5137" i="2"/>
  <c r="D5137" i="2"/>
  <c r="F5136" i="2"/>
  <c r="E5136" i="2"/>
  <c r="D5136" i="2"/>
  <c r="F5135" i="2"/>
  <c r="E5135" i="2"/>
  <c r="D5135" i="2"/>
  <c r="F5134" i="2"/>
  <c r="E5134" i="2"/>
  <c r="D5134" i="2"/>
  <c r="F5133" i="2"/>
  <c r="E5133" i="2"/>
  <c r="D5133" i="2"/>
  <c r="F5132" i="2"/>
  <c r="E5132" i="2"/>
  <c r="D5132" i="2"/>
  <c r="F5131" i="2"/>
  <c r="E5131" i="2"/>
  <c r="D5131" i="2"/>
  <c r="F5130" i="2"/>
  <c r="E5130" i="2"/>
  <c r="D5130" i="2"/>
  <c r="F5129" i="2"/>
  <c r="E5129" i="2"/>
  <c r="D5129" i="2"/>
  <c r="F5128" i="2"/>
  <c r="E5128" i="2"/>
  <c r="D5128" i="2"/>
  <c r="F5127" i="2"/>
  <c r="E5127" i="2"/>
  <c r="D5127" i="2"/>
  <c r="F5126" i="2"/>
  <c r="E5126" i="2"/>
  <c r="D5126" i="2"/>
  <c r="F6381" i="2"/>
  <c r="E6381" i="2"/>
  <c r="D6381" i="2"/>
  <c r="F6393" i="2"/>
  <c r="E6393" i="2"/>
  <c r="D6393" i="2"/>
  <c r="F6392" i="2"/>
  <c r="E6392" i="2"/>
  <c r="D6392" i="2"/>
  <c r="F6391" i="2"/>
  <c r="E6391" i="2"/>
  <c r="D6391" i="2"/>
  <c r="F6390" i="2"/>
  <c r="E6390" i="2"/>
  <c r="D6390" i="2"/>
  <c r="F6389" i="2"/>
  <c r="E6389" i="2"/>
  <c r="D6389" i="2"/>
  <c r="F6388" i="2"/>
  <c r="E6388" i="2"/>
  <c r="D6388" i="2"/>
  <c r="F6387" i="2"/>
  <c r="E6387" i="2"/>
  <c r="D6387" i="2"/>
  <c r="F6386" i="2"/>
  <c r="E6386" i="2"/>
  <c r="D6386" i="2"/>
  <c r="F6384" i="2"/>
  <c r="E6384" i="2"/>
  <c r="D6384" i="2"/>
  <c r="F6385" i="2"/>
  <c r="E6385" i="2"/>
  <c r="D6385" i="2"/>
  <c r="F6383" i="2"/>
  <c r="E6383" i="2"/>
  <c r="D6383" i="2"/>
  <c r="F6382" i="2"/>
  <c r="E6382" i="2"/>
  <c r="D6382" i="2"/>
  <c r="F7033" i="2"/>
  <c r="E7033" i="2"/>
  <c r="D7033" i="2"/>
  <c r="F7032" i="2"/>
  <c r="E7032" i="2"/>
  <c r="D7032" i="2"/>
  <c r="F7031" i="2"/>
  <c r="E7031" i="2"/>
  <c r="D7031" i="2"/>
  <c r="F1748" i="2"/>
  <c r="E1748" i="2"/>
  <c r="D1748" i="2"/>
  <c r="F1747" i="2"/>
  <c r="E1747" i="2"/>
  <c r="D1747" i="2"/>
  <c r="F1746" i="2"/>
  <c r="E1746" i="2"/>
  <c r="D1746" i="2"/>
  <c r="F1745" i="2"/>
  <c r="E1745" i="2"/>
  <c r="D1745" i="2"/>
  <c r="F1744" i="2"/>
  <c r="E1744" i="2"/>
  <c r="D1744" i="2"/>
  <c r="F1743" i="2"/>
  <c r="E1743" i="2"/>
  <c r="D1743" i="2"/>
  <c r="F1742" i="2"/>
  <c r="E1742" i="2"/>
  <c r="D1742" i="2"/>
  <c r="F1740" i="2"/>
  <c r="E1740" i="2"/>
  <c r="D1740" i="2"/>
  <c r="F1741" i="2"/>
  <c r="E1741" i="2"/>
  <c r="D1741" i="2"/>
  <c r="F1739" i="2"/>
  <c r="E1739" i="2"/>
  <c r="D1739" i="2"/>
  <c r="F1736" i="2"/>
  <c r="E1736" i="2"/>
  <c r="D1736" i="2"/>
  <c r="F1738" i="2"/>
  <c r="E1738" i="2"/>
  <c r="D1738" i="2"/>
  <c r="F1737" i="2"/>
  <c r="E1737" i="2"/>
  <c r="D1737" i="2"/>
  <c r="F1735" i="2"/>
  <c r="E1735" i="2"/>
  <c r="D1735" i="2"/>
  <c r="F1733" i="2"/>
  <c r="E1733" i="2"/>
  <c r="D1733" i="2"/>
  <c r="F1734" i="2"/>
  <c r="E1734" i="2"/>
  <c r="D1734" i="2"/>
  <c r="F1730" i="2"/>
  <c r="E1730" i="2"/>
  <c r="D1730" i="2"/>
  <c r="F1732" i="2"/>
  <c r="E1732" i="2"/>
  <c r="D1732" i="2"/>
  <c r="F1731" i="2"/>
  <c r="E1731" i="2"/>
  <c r="D1731" i="2"/>
  <c r="F1729" i="2"/>
  <c r="E1729" i="2"/>
  <c r="D1729" i="2"/>
  <c r="F1728" i="2"/>
  <c r="E1728" i="2"/>
  <c r="D1728" i="2"/>
  <c r="F1727" i="2"/>
  <c r="E1727" i="2"/>
  <c r="D1727" i="2"/>
  <c r="F1726" i="2"/>
  <c r="E1726" i="2"/>
  <c r="D1726" i="2"/>
  <c r="F1725" i="2"/>
  <c r="E1725" i="2"/>
  <c r="D1725" i="2"/>
  <c r="F1724" i="2"/>
  <c r="E1724" i="2"/>
  <c r="D1724" i="2"/>
  <c r="F5721" i="2"/>
  <c r="E5721" i="2"/>
  <c r="D5721" i="2"/>
  <c r="F6901" i="2"/>
  <c r="E6901" i="2"/>
  <c r="D6901" i="2"/>
  <c r="F2036" i="2"/>
  <c r="E2036" i="2"/>
  <c r="D2036" i="2"/>
  <c r="F2035" i="2"/>
  <c r="E2035" i="2"/>
  <c r="D2035" i="2"/>
  <c r="F2034" i="2"/>
  <c r="E2034" i="2"/>
  <c r="D2034" i="2"/>
  <c r="F2033" i="2"/>
  <c r="E2033" i="2"/>
  <c r="D2033" i="2"/>
  <c r="F2032" i="2"/>
  <c r="E2032" i="2"/>
  <c r="D2032" i="2"/>
  <c r="F2031" i="2"/>
  <c r="E2031" i="2"/>
  <c r="D2031" i="2"/>
  <c r="F2030" i="2"/>
  <c r="E2030" i="2"/>
  <c r="D2030" i="2"/>
  <c r="F2029" i="2"/>
  <c r="E2029" i="2"/>
  <c r="D2029" i="2"/>
  <c r="F2028" i="2"/>
  <c r="E2028" i="2"/>
  <c r="D2028" i="2"/>
  <c r="F2027" i="2"/>
  <c r="E2027" i="2"/>
  <c r="D2027" i="2"/>
  <c r="F2026" i="2"/>
  <c r="E2026" i="2"/>
  <c r="D2026" i="2"/>
  <c r="F2025" i="2"/>
  <c r="E2025" i="2"/>
  <c r="D2025" i="2"/>
  <c r="F2024" i="2"/>
  <c r="E2024" i="2"/>
  <c r="D2024" i="2"/>
  <c r="F2023" i="2"/>
  <c r="E2023" i="2"/>
  <c r="D2023" i="2"/>
  <c r="F2022" i="2"/>
  <c r="E2022" i="2"/>
  <c r="D2022" i="2"/>
  <c r="F2020" i="2"/>
  <c r="E2020" i="2"/>
  <c r="D2020" i="2"/>
  <c r="F2021" i="2"/>
  <c r="E2021" i="2"/>
  <c r="D2021" i="2"/>
  <c r="F2019" i="2"/>
  <c r="E2019" i="2"/>
  <c r="D2019" i="2"/>
  <c r="F2018" i="2"/>
  <c r="E2018" i="2"/>
  <c r="D2018" i="2"/>
  <c r="F2017" i="2"/>
  <c r="E2017" i="2"/>
  <c r="D2017" i="2"/>
  <c r="F2016" i="2"/>
  <c r="E2016" i="2"/>
  <c r="D2016" i="2"/>
  <c r="F2015" i="2"/>
  <c r="E2015" i="2"/>
  <c r="D2015" i="2"/>
  <c r="F2014" i="2"/>
  <c r="E2014" i="2"/>
  <c r="D2014" i="2"/>
  <c r="F2013" i="2"/>
  <c r="E2013" i="2"/>
  <c r="D2013" i="2"/>
  <c r="F2012" i="2"/>
  <c r="E2012" i="2"/>
  <c r="D2012" i="2"/>
  <c r="F2011" i="2"/>
  <c r="E2011" i="2"/>
  <c r="D2011" i="2"/>
  <c r="F2010" i="2"/>
  <c r="E2010" i="2"/>
  <c r="D2010" i="2"/>
  <c r="F2009" i="2"/>
  <c r="E2009" i="2"/>
  <c r="D2009" i="2"/>
  <c r="F12631" i="2"/>
  <c r="E12631" i="2"/>
  <c r="D12631" i="2"/>
  <c r="F12636" i="2"/>
  <c r="E12636" i="2"/>
  <c r="D12636" i="2"/>
  <c r="F12635" i="2"/>
  <c r="E12635" i="2"/>
  <c r="D12635" i="2"/>
  <c r="F12634" i="2"/>
  <c r="E12634" i="2"/>
  <c r="D12634" i="2"/>
  <c r="F12633" i="2"/>
  <c r="E12633" i="2"/>
  <c r="D12633" i="2"/>
  <c r="F12632" i="2"/>
  <c r="E12632" i="2"/>
  <c r="D12632" i="2"/>
  <c r="F7041" i="2"/>
  <c r="E7041" i="2"/>
  <c r="D7041" i="2"/>
  <c r="F7040" i="2"/>
  <c r="E7040" i="2"/>
  <c r="D7040" i="2"/>
  <c r="F7039" i="2"/>
  <c r="E7039" i="2"/>
  <c r="D7039" i="2"/>
  <c r="F7038" i="2"/>
  <c r="E7038" i="2"/>
  <c r="D7038" i="2"/>
  <c r="F7037" i="2"/>
  <c r="E7037" i="2"/>
  <c r="D7037" i="2"/>
  <c r="F7036" i="2"/>
  <c r="E7036" i="2"/>
  <c r="D7036" i="2"/>
  <c r="F7035" i="2"/>
  <c r="E7035" i="2"/>
  <c r="D7035" i="2"/>
  <c r="F7034" i="2"/>
  <c r="E7034" i="2"/>
  <c r="D7034" i="2"/>
  <c r="F5661" i="2"/>
  <c r="E5661" i="2"/>
  <c r="D5661" i="2"/>
  <c r="F5660" i="2"/>
  <c r="E5660" i="2"/>
  <c r="D5660" i="2"/>
  <c r="F5659" i="2"/>
  <c r="E5659" i="2"/>
  <c r="D5659" i="2"/>
  <c r="F5658" i="2"/>
  <c r="E5658" i="2"/>
  <c r="D5658" i="2"/>
  <c r="F5657" i="2"/>
  <c r="E5657" i="2"/>
  <c r="D5657" i="2"/>
  <c r="F5656" i="2"/>
  <c r="E5656" i="2"/>
  <c r="D5656" i="2"/>
  <c r="F5655" i="2"/>
  <c r="E5655" i="2"/>
  <c r="D5655" i="2"/>
  <c r="F5654" i="2"/>
  <c r="E5654" i="2"/>
  <c r="D5654" i="2"/>
  <c r="F5653" i="2"/>
  <c r="E5653" i="2"/>
  <c r="D5653" i="2"/>
  <c r="F5652" i="2"/>
  <c r="E5652" i="2"/>
  <c r="D5652" i="2"/>
  <c r="F5651" i="2"/>
  <c r="E5651" i="2"/>
  <c r="D5651" i="2"/>
  <c r="F5650" i="2"/>
  <c r="E5650" i="2"/>
  <c r="D5650" i="2"/>
  <c r="F5649" i="2"/>
  <c r="E5649" i="2"/>
  <c r="D5649" i="2"/>
  <c r="F5648" i="2"/>
  <c r="E5648" i="2"/>
  <c r="D5648" i="2"/>
  <c r="F5646" i="2"/>
  <c r="E5646" i="2"/>
  <c r="D5646" i="2"/>
  <c r="F5647" i="2"/>
  <c r="E5647" i="2"/>
  <c r="D5647" i="2"/>
  <c r="F5645" i="2"/>
  <c r="E5645" i="2"/>
  <c r="D5645" i="2"/>
  <c r="F5644" i="2"/>
  <c r="E5644" i="2"/>
  <c r="D5644" i="2"/>
  <c r="F5643" i="2"/>
  <c r="E5643" i="2"/>
  <c r="D5643" i="2"/>
  <c r="F5642" i="2"/>
  <c r="E5642" i="2"/>
  <c r="D5642" i="2"/>
  <c r="F5641" i="2"/>
  <c r="E5641" i="2"/>
  <c r="D5641" i="2"/>
  <c r="F5640" i="2"/>
  <c r="E5640" i="2"/>
  <c r="D5640" i="2"/>
  <c r="F5639" i="2"/>
  <c r="E5639" i="2"/>
  <c r="D5639" i="2"/>
  <c r="F5638" i="2"/>
  <c r="E5638" i="2"/>
  <c r="D5638" i="2"/>
  <c r="F864" i="2"/>
  <c r="E864" i="2"/>
  <c r="D864" i="2"/>
  <c r="F863" i="2"/>
  <c r="E863" i="2"/>
  <c r="D863" i="2"/>
  <c r="F862" i="2"/>
  <c r="E862" i="2"/>
  <c r="D862" i="2"/>
  <c r="F7030" i="2"/>
  <c r="E7030" i="2"/>
  <c r="D7030" i="2"/>
  <c r="F7029" i="2"/>
  <c r="E7029" i="2"/>
  <c r="D7029" i="2"/>
  <c r="F7028" i="2"/>
  <c r="E7028" i="2"/>
  <c r="D7028" i="2"/>
  <c r="F7027" i="2"/>
  <c r="E7027" i="2"/>
  <c r="D7027" i="2"/>
  <c r="F7026" i="2"/>
  <c r="E7026" i="2"/>
  <c r="D7026" i="2"/>
  <c r="F7025" i="2"/>
  <c r="E7025" i="2"/>
  <c r="D7025" i="2"/>
  <c r="F7024" i="2"/>
  <c r="E7024" i="2"/>
  <c r="D7024" i="2"/>
  <c r="F7023" i="2"/>
  <c r="E7023" i="2"/>
  <c r="D7023" i="2"/>
  <c r="F7022" i="2"/>
  <c r="E7022" i="2"/>
  <c r="D7022" i="2"/>
  <c r="F7021" i="2"/>
  <c r="E7021" i="2"/>
  <c r="D7021" i="2"/>
  <c r="F7020" i="2"/>
  <c r="E7020" i="2"/>
  <c r="D7020" i="2"/>
  <c r="F7019" i="2"/>
  <c r="E7019" i="2"/>
  <c r="D7019" i="2"/>
  <c r="F7018" i="2"/>
  <c r="E7018" i="2"/>
  <c r="D7018" i="2"/>
  <c r="F7017" i="2"/>
  <c r="E7017" i="2"/>
  <c r="D7017" i="2"/>
  <c r="F7016" i="2"/>
  <c r="E7016" i="2"/>
  <c r="D7016" i="2"/>
  <c r="F7015" i="2"/>
  <c r="E7015" i="2"/>
  <c r="D7015" i="2"/>
  <c r="F7014" i="2"/>
  <c r="E7014" i="2"/>
  <c r="D7014" i="2"/>
  <c r="F7013" i="2"/>
  <c r="E7013" i="2"/>
  <c r="D7013" i="2"/>
  <c r="F7012" i="2"/>
  <c r="E7012" i="2"/>
  <c r="D7012" i="2"/>
  <c r="F7011" i="2"/>
  <c r="E7011" i="2"/>
  <c r="D7011" i="2"/>
  <c r="F3652" i="2"/>
  <c r="E3652" i="2"/>
  <c r="D3652" i="2"/>
  <c r="F3660" i="2"/>
  <c r="E3660" i="2"/>
  <c r="D3660" i="2"/>
  <c r="F3659" i="2"/>
  <c r="E3659" i="2"/>
  <c r="D3659" i="2"/>
  <c r="F3658" i="2"/>
  <c r="E3658" i="2"/>
  <c r="D3658" i="2"/>
  <c r="F3657" i="2"/>
  <c r="E3657" i="2"/>
  <c r="D3657" i="2"/>
  <c r="F3656" i="2"/>
  <c r="E3656" i="2"/>
  <c r="D3656" i="2"/>
  <c r="F3655" i="2"/>
  <c r="E3655" i="2"/>
  <c r="D3655" i="2"/>
  <c r="F3654" i="2"/>
  <c r="E3654" i="2"/>
  <c r="D3654" i="2"/>
  <c r="F3653" i="2"/>
  <c r="E3653" i="2"/>
  <c r="D3653" i="2"/>
  <c r="F7391" i="2"/>
  <c r="E7391" i="2"/>
  <c r="D7391" i="2"/>
  <c r="F7390" i="2"/>
  <c r="E7390" i="2"/>
  <c r="D7390" i="2"/>
  <c r="F7389" i="2"/>
  <c r="E7389" i="2"/>
  <c r="D7389" i="2"/>
  <c r="F7388" i="2"/>
  <c r="E7388" i="2"/>
  <c r="D7388" i="2"/>
  <c r="F7387" i="2"/>
  <c r="E7387" i="2"/>
  <c r="D7387" i="2"/>
  <c r="F7386" i="2"/>
  <c r="E7386" i="2"/>
  <c r="D7386" i="2"/>
  <c r="F7385" i="2"/>
  <c r="E7385" i="2"/>
  <c r="D7385" i="2"/>
  <c r="F7384" i="2"/>
  <c r="E7384" i="2"/>
  <c r="D7384" i="2"/>
  <c r="F7383" i="2"/>
  <c r="E7383" i="2"/>
  <c r="D7383" i="2"/>
  <c r="F7382" i="2"/>
  <c r="E7382" i="2"/>
  <c r="D7382" i="2"/>
  <c r="F7381" i="2"/>
  <c r="E7381" i="2"/>
  <c r="D7381" i="2"/>
  <c r="F7380" i="2"/>
  <c r="E7380" i="2"/>
  <c r="D7380" i="2"/>
  <c r="F7379" i="2"/>
  <c r="E7379" i="2"/>
  <c r="D7379" i="2"/>
  <c r="F7378" i="2"/>
  <c r="E7378" i="2"/>
  <c r="D7378" i="2"/>
  <c r="F7377" i="2"/>
  <c r="E7377" i="2"/>
  <c r="D7377" i="2"/>
  <c r="F7376" i="2"/>
  <c r="E7376" i="2"/>
  <c r="D7376" i="2"/>
  <c r="F7375" i="2"/>
  <c r="E7375" i="2"/>
  <c r="D7375" i="2"/>
  <c r="F7374" i="2"/>
  <c r="E7374" i="2"/>
  <c r="D7374" i="2"/>
  <c r="F7373" i="2"/>
  <c r="E7373" i="2"/>
  <c r="D7373" i="2"/>
  <c r="F7372" i="2"/>
  <c r="E7372" i="2"/>
  <c r="D7372" i="2"/>
  <c r="F7371" i="2"/>
  <c r="E7371" i="2"/>
  <c r="D7371" i="2"/>
  <c r="F7370" i="2"/>
  <c r="E7370" i="2"/>
  <c r="D7370" i="2"/>
  <c r="F7369" i="2"/>
  <c r="E7369" i="2"/>
  <c r="D7369" i="2"/>
  <c r="F7368" i="2"/>
  <c r="E7368" i="2"/>
  <c r="D7368" i="2"/>
  <c r="F7367" i="2"/>
  <c r="E7367" i="2"/>
  <c r="D7367" i="2"/>
  <c r="F1571" i="2"/>
  <c r="E1571" i="2"/>
  <c r="D1571" i="2"/>
  <c r="F1570" i="2"/>
  <c r="E1570" i="2"/>
  <c r="D1570" i="2"/>
  <c r="F1568" i="2"/>
  <c r="E1568" i="2"/>
  <c r="D1568" i="2"/>
  <c r="F1569" i="2"/>
  <c r="E1569" i="2"/>
  <c r="D1569" i="2"/>
  <c r="F1566" i="2"/>
  <c r="E1566" i="2"/>
  <c r="D1566" i="2"/>
  <c r="F1567" i="2"/>
  <c r="E1567" i="2"/>
  <c r="D1567" i="2"/>
  <c r="F3965" i="2"/>
  <c r="E3965" i="2"/>
  <c r="D3965" i="2"/>
  <c r="F3964" i="2"/>
  <c r="E3964" i="2"/>
  <c r="D3964" i="2"/>
  <c r="F3963" i="2"/>
  <c r="E3963" i="2"/>
  <c r="D3963" i="2"/>
  <c r="F3962" i="2"/>
  <c r="E3962" i="2"/>
  <c r="D3962" i="2"/>
  <c r="F3961" i="2"/>
  <c r="E3961" i="2"/>
  <c r="D3961" i="2"/>
  <c r="F3959" i="2"/>
  <c r="E3959" i="2"/>
  <c r="D3959" i="2"/>
  <c r="F3960" i="2"/>
  <c r="E3960" i="2"/>
  <c r="D3960" i="2"/>
  <c r="F3958" i="2"/>
  <c r="E3958" i="2"/>
  <c r="D3958" i="2"/>
  <c r="F3957" i="2"/>
  <c r="E3957" i="2"/>
  <c r="D3957" i="2"/>
  <c r="F3954" i="2"/>
  <c r="E3954" i="2"/>
  <c r="D3954" i="2"/>
  <c r="F3956" i="2"/>
  <c r="E3956" i="2"/>
  <c r="D3956" i="2"/>
  <c r="F3955" i="2"/>
  <c r="E3955" i="2"/>
  <c r="D3955" i="2"/>
  <c r="F3953" i="2"/>
  <c r="E3953" i="2"/>
  <c r="D3953" i="2"/>
  <c r="F3952" i="2"/>
  <c r="E3952" i="2"/>
  <c r="D3952" i="2"/>
  <c r="F3951" i="2"/>
  <c r="E3951" i="2"/>
  <c r="D3951" i="2"/>
  <c r="F3950" i="2"/>
  <c r="E3950" i="2"/>
  <c r="D3950" i="2"/>
  <c r="F3949" i="2"/>
  <c r="E3949" i="2"/>
  <c r="D3949" i="2"/>
  <c r="F3947" i="2"/>
  <c r="E3947" i="2"/>
  <c r="D3947" i="2"/>
  <c r="F3948" i="2"/>
  <c r="E3948" i="2"/>
  <c r="D3948" i="2"/>
  <c r="F3944" i="2"/>
  <c r="E3944" i="2"/>
  <c r="D3944" i="2"/>
  <c r="F3946" i="2"/>
  <c r="E3946" i="2"/>
  <c r="D3946" i="2"/>
  <c r="F3945" i="2"/>
  <c r="E3945" i="2"/>
  <c r="D3945" i="2"/>
  <c r="F3943" i="2"/>
  <c r="E3943" i="2"/>
  <c r="D3943" i="2"/>
  <c r="F3942" i="2"/>
  <c r="E3942" i="2"/>
  <c r="D3942" i="2"/>
  <c r="F3941" i="2"/>
  <c r="E3941" i="2"/>
  <c r="D3941" i="2"/>
  <c r="F3940" i="2"/>
  <c r="E3940" i="2"/>
  <c r="D3940" i="2"/>
  <c r="F3939" i="2"/>
  <c r="E3939" i="2"/>
  <c r="D3939" i="2"/>
  <c r="F3938" i="2"/>
  <c r="E3938" i="2"/>
  <c r="D3938" i="2"/>
  <c r="F3937" i="2"/>
  <c r="E3937" i="2"/>
  <c r="D3937" i="2"/>
  <c r="F3936" i="2"/>
  <c r="E3936" i="2"/>
  <c r="D3936" i="2"/>
  <c r="F3935" i="2"/>
  <c r="E3935" i="2"/>
  <c r="D3935" i="2"/>
  <c r="F3934" i="2"/>
  <c r="E3934" i="2"/>
  <c r="D3934" i="2"/>
  <c r="F3933" i="2"/>
  <c r="E3933" i="2"/>
  <c r="D3933" i="2"/>
  <c r="F3932" i="2"/>
  <c r="E3932" i="2"/>
  <c r="D3932" i="2"/>
  <c r="F3931" i="2"/>
  <c r="E3931" i="2"/>
  <c r="D3931" i="2"/>
  <c r="F3930" i="2"/>
  <c r="E3930" i="2"/>
  <c r="D3930" i="2"/>
  <c r="F3929" i="2"/>
  <c r="E3929" i="2"/>
  <c r="D3929" i="2"/>
  <c r="F3928" i="2"/>
  <c r="E3928" i="2"/>
  <c r="D3928" i="2"/>
  <c r="F3927" i="2"/>
  <c r="E3927" i="2"/>
  <c r="D3927" i="2"/>
  <c r="F3926" i="2"/>
  <c r="E3926" i="2"/>
  <c r="D3926" i="2"/>
  <c r="F3925" i="2"/>
  <c r="E3925" i="2"/>
  <c r="D3925" i="2"/>
  <c r="F3924" i="2"/>
  <c r="E3924" i="2"/>
  <c r="D3924" i="2"/>
  <c r="F1992" i="2"/>
  <c r="E1992" i="2"/>
  <c r="D1992" i="2"/>
  <c r="F2008" i="2"/>
  <c r="E2008" i="2"/>
  <c r="D2008" i="2"/>
  <c r="F2007" i="2"/>
  <c r="E2007" i="2"/>
  <c r="D2007" i="2"/>
  <c r="F2006" i="2"/>
  <c r="E2006" i="2"/>
  <c r="D2006" i="2"/>
  <c r="F2005" i="2"/>
  <c r="E2005" i="2"/>
  <c r="D2005" i="2"/>
  <c r="F2004" i="2"/>
  <c r="E2004" i="2"/>
  <c r="D2004" i="2"/>
  <c r="F2003" i="2"/>
  <c r="E2003" i="2"/>
  <c r="D2003" i="2"/>
  <c r="F2002" i="2"/>
  <c r="E2002" i="2"/>
  <c r="D2002" i="2"/>
  <c r="F2001" i="2"/>
  <c r="E2001" i="2"/>
  <c r="D2001" i="2"/>
  <c r="F2000" i="2"/>
  <c r="E2000" i="2"/>
  <c r="D2000" i="2"/>
  <c r="F1999" i="2"/>
  <c r="E1999" i="2"/>
  <c r="D1999" i="2"/>
  <c r="F1998" i="2"/>
  <c r="E1998" i="2"/>
  <c r="D1998" i="2"/>
  <c r="F1997" i="2"/>
  <c r="E1997" i="2"/>
  <c r="D1997" i="2"/>
  <c r="F1996" i="2"/>
  <c r="E1996" i="2"/>
  <c r="D1996" i="2"/>
  <c r="F1995" i="2"/>
  <c r="E1995" i="2"/>
  <c r="D1995" i="2"/>
  <c r="F1993" i="2"/>
  <c r="E1993" i="2"/>
  <c r="D1993" i="2"/>
  <c r="F1994" i="2"/>
  <c r="E1994" i="2"/>
  <c r="D1994" i="2"/>
  <c r="F12609" i="2"/>
  <c r="E12609" i="2"/>
  <c r="D12609" i="2"/>
  <c r="F12630" i="2"/>
  <c r="E12630" i="2"/>
  <c r="D12630" i="2"/>
  <c r="F12629" i="2"/>
  <c r="E12629" i="2"/>
  <c r="D12629" i="2"/>
  <c r="F12628" i="2"/>
  <c r="E12628" i="2"/>
  <c r="D12628" i="2"/>
  <c r="F12627" i="2"/>
  <c r="E12627" i="2"/>
  <c r="D12627" i="2"/>
  <c r="F12626" i="2"/>
  <c r="E12626" i="2"/>
  <c r="D12626" i="2"/>
  <c r="F12625" i="2"/>
  <c r="E12625" i="2"/>
  <c r="D12625" i="2"/>
  <c r="F12624" i="2"/>
  <c r="E12624" i="2"/>
  <c r="D12624" i="2"/>
  <c r="F12623" i="2"/>
  <c r="E12623" i="2"/>
  <c r="D12623" i="2"/>
  <c r="F12622" i="2"/>
  <c r="E12622" i="2"/>
  <c r="D12622" i="2"/>
  <c r="F12620" i="2"/>
  <c r="E12620" i="2"/>
  <c r="D12620" i="2"/>
  <c r="F12621" i="2"/>
  <c r="E12621" i="2"/>
  <c r="D12621" i="2"/>
  <c r="F12619" i="2"/>
  <c r="E12619" i="2"/>
  <c r="D12619" i="2"/>
  <c r="F12618" i="2"/>
  <c r="E12618" i="2"/>
  <c r="D12618" i="2"/>
  <c r="F12617" i="2"/>
  <c r="E12617" i="2"/>
  <c r="D12617" i="2"/>
  <c r="F12616" i="2"/>
  <c r="E12616" i="2"/>
  <c r="D12616" i="2"/>
  <c r="F12615" i="2"/>
  <c r="E12615" i="2"/>
  <c r="D12615" i="2"/>
  <c r="F12614" i="2"/>
  <c r="E12614" i="2"/>
  <c r="D12614" i="2"/>
  <c r="F12613" i="2"/>
  <c r="E12613" i="2"/>
  <c r="D12613" i="2"/>
  <c r="F12612" i="2"/>
  <c r="E12612" i="2"/>
  <c r="D12612" i="2"/>
  <c r="F12611" i="2"/>
  <c r="E12611" i="2"/>
  <c r="D12611" i="2"/>
  <c r="F12610" i="2"/>
  <c r="E12610" i="2"/>
  <c r="D12610" i="2"/>
  <c r="F13281" i="2"/>
  <c r="E13281" i="2"/>
  <c r="D13281" i="2"/>
  <c r="F13287" i="2"/>
  <c r="E13287" i="2"/>
  <c r="D13287" i="2"/>
  <c r="F13286" i="2"/>
  <c r="E13286" i="2"/>
  <c r="D13286" i="2"/>
  <c r="F13285" i="2"/>
  <c r="E13285" i="2"/>
  <c r="D13285" i="2"/>
  <c r="F13284" i="2"/>
  <c r="E13284" i="2"/>
  <c r="D13284" i="2"/>
  <c r="F13283" i="2"/>
  <c r="E13283" i="2"/>
  <c r="D13283" i="2"/>
  <c r="F13282" i="2"/>
  <c r="E13282" i="2"/>
  <c r="D13282" i="2"/>
  <c r="F13280" i="2"/>
  <c r="E13280" i="2"/>
  <c r="D13280" i="2"/>
  <c r="F1948" i="2"/>
  <c r="E1948" i="2"/>
  <c r="D1948" i="2"/>
  <c r="F1991" i="2"/>
  <c r="E1991" i="2"/>
  <c r="D1991" i="2"/>
  <c r="F1990" i="2"/>
  <c r="E1990" i="2"/>
  <c r="D1990" i="2"/>
  <c r="F1989" i="2"/>
  <c r="E1989" i="2"/>
  <c r="D1989" i="2"/>
  <c r="F1988" i="2"/>
  <c r="E1988" i="2"/>
  <c r="D1988" i="2"/>
  <c r="F1987" i="2"/>
  <c r="E1987" i="2"/>
  <c r="D1987" i="2"/>
  <c r="F1986" i="2"/>
  <c r="E1986" i="2"/>
  <c r="D1986" i="2"/>
  <c r="F1985" i="2"/>
  <c r="E1985" i="2"/>
  <c r="D1985" i="2"/>
  <c r="F1984" i="2"/>
  <c r="E1984" i="2"/>
  <c r="D1984" i="2"/>
  <c r="F1983" i="2"/>
  <c r="E1983" i="2"/>
  <c r="D1983" i="2"/>
  <c r="F1982" i="2"/>
  <c r="E1982" i="2"/>
  <c r="D1982" i="2"/>
  <c r="F1981" i="2"/>
  <c r="E1981" i="2"/>
  <c r="D1981" i="2"/>
  <c r="F1980" i="2"/>
  <c r="E1980" i="2"/>
  <c r="D1980" i="2"/>
  <c r="F1979" i="2"/>
  <c r="E1979" i="2"/>
  <c r="D1979" i="2"/>
  <c r="F1978" i="2"/>
  <c r="E1978" i="2"/>
  <c r="D1978" i="2"/>
  <c r="F1977" i="2"/>
  <c r="E1977" i="2"/>
  <c r="D1977" i="2"/>
  <c r="F1976" i="2"/>
  <c r="E1976" i="2"/>
  <c r="D1976" i="2"/>
  <c r="F1975" i="2"/>
  <c r="E1975" i="2"/>
  <c r="D1975" i="2"/>
  <c r="F1974" i="2"/>
  <c r="E1974" i="2"/>
  <c r="D1974" i="2"/>
  <c r="F1973" i="2"/>
  <c r="E1973" i="2"/>
  <c r="D1973" i="2"/>
  <c r="F1972" i="2"/>
  <c r="E1972" i="2"/>
  <c r="D1972" i="2"/>
  <c r="F1971" i="2"/>
  <c r="E1971" i="2"/>
  <c r="D1971" i="2"/>
  <c r="F1970" i="2"/>
  <c r="E1970" i="2"/>
  <c r="D1970" i="2"/>
  <c r="F1969" i="2"/>
  <c r="E1969" i="2"/>
  <c r="D1969" i="2"/>
  <c r="F1968" i="2"/>
  <c r="E1968" i="2"/>
  <c r="D1968" i="2"/>
  <c r="F1967" i="2"/>
  <c r="E1967" i="2"/>
  <c r="D1967" i="2"/>
  <c r="F1966" i="2"/>
  <c r="E1966" i="2"/>
  <c r="D1966" i="2"/>
  <c r="F1965" i="2"/>
  <c r="E1965" i="2"/>
  <c r="D1965" i="2"/>
  <c r="F1964" i="2"/>
  <c r="E1964" i="2"/>
  <c r="D1964" i="2"/>
  <c r="F1963" i="2"/>
  <c r="E1963" i="2"/>
  <c r="D1963" i="2"/>
  <c r="F1962" i="2"/>
  <c r="E1962" i="2"/>
  <c r="D1962" i="2"/>
  <c r="F1961" i="2"/>
  <c r="E1961" i="2"/>
  <c r="D1961" i="2"/>
  <c r="F1960" i="2"/>
  <c r="E1960" i="2"/>
  <c r="D1960" i="2"/>
  <c r="F1959" i="2"/>
  <c r="E1959" i="2"/>
  <c r="D1959" i="2"/>
  <c r="F1958" i="2"/>
  <c r="E1958" i="2"/>
  <c r="D1958" i="2"/>
  <c r="F1957" i="2"/>
  <c r="E1957" i="2"/>
  <c r="D1957" i="2"/>
  <c r="F1956" i="2"/>
  <c r="E1956" i="2"/>
  <c r="D1956" i="2"/>
  <c r="F1955" i="2"/>
  <c r="E1955" i="2"/>
  <c r="D1955" i="2"/>
  <c r="F1954" i="2"/>
  <c r="E1954" i="2"/>
  <c r="D1954" i="2"/>
  <c r="F1953" i="2"/>
  <c r="E1953" i="2"/>
  <c r="D1953" i="2"/>
  <c r="F1952" i="2"/>
  <c r="E1952" i="2"/>
  <c r="D1952" i="2"/>
  <c r="F1951" i="2"/>
  <c r="E1951" i="2"/>
  <c r="D1951" i="2"/>
  <c r="F1950" i="2"/>
  <c r="E1950" i="2"/>
  <c r="D1950" i="2"/>
  <c r="F1949" i="2"/>
  <c r="E1949" i="2"/>
  <c r="D1949" i="2"/>
  <c r="F5662" i="2"/>
  <c r="E5662" i="2"/>
  <c r="D5662" i="2"/>
  <c r="F5679" i="2"/>
  <c r="E5679" i="2"/>
  <c r="D5679" i="2"/>
  <c r="F5678" i="2"/>
  <c r="E5678" i="2"/>
  <c r="D5678" i="2"/>
  <c r="F5677" i="2"/>
  <c r="E5677" i="2"/>
  <c r="D5677" i="2"/>
  <c r="F5676" i="2"/>
  <c r="E5676" i="2"/>
  <c r="D5676" i="2"/>
  <c r="F5675" i="2"/>
  <c r="E5675" i="2"/>
  <c r="D5675" i="2"/>
  <c r="F5674" i="2"/>
  <c r="E5674" i="2"/>
  <c r="D5674" i="2"/>
  <c r="F5673" i="2"/>
  <c r="E5673" i="2"/>
  <c r="D5673" i="2"/>
  <c r="F5672" i="2"/>
  <c r="E5672" i="2"/>
  <c r="D5672" i="2"/>
  <c r="F5671" i="2"/>
  <c r="E5671" i="2"/>
  <c r="D5671" i="2"/>
  <c r="F5670" i="2"/>
  <c r="E5670" i="2"/>
  <c r="D5670" i="2"/>
  <c r="F5669" i="2"/>
  <c r="E5669" i="2"/>
  <c r="D5669" i="2"/>
  <c r="F5668" i="2"/>
  <c r="E5668" i="2"/>
  <c r="D5668" i="2"/>
  <c r="F5667" i="2"/>
  <c r="E5667" i="2"/>
  <c r="D5667" i="2"/>
  <c r="F5666" i="2"/>
  <c r="E5666" i="2"/>
  <c r="D5666" i="2"/>
  <c r="F5665" i="2"/>
  <c r="E5665" i="2"/>
  <c r="D5665" i="2"/>
  <c r="F5664" i="2"/>
  <c r="E5664" i="2"/>
  <c r="D5664" i="2"/>
  <c r="F5663" i="2"/>
  <c r="E5663" i="2"/>
  <c r="D5663" i="2"/>
  <c r="F521" i="2"/>
  <c r="E521" i="2"/>
  <c r="D521" i="2"/>
  <c r="F520" i="2"/>
  <c r="E520" i="2"/>
  <c r="D520" i="2"/>
  <c r="F14830" i="2"/>
  <c r="E14830" i="2"/>
  <c r="D14830" i="2"/>
  <c r="F14841" i="2"/>
  <c r="E14841" i="2"/>
  <c r="D14841" i="2"/>
  <c r="F14840" i="2"/>
  <c r="E14840" i="2"/>
  <c r="D14840" i="2"/>
  <c r="F14839" i="2"/>
  <c r="E14839" i="2"/>
  <c r="D14839" i="2"/>
  <c r="F14838" i="2"/>
  <c r="E14838" i="2"/>
  <c r="D14838" i="2"/>
  <c r="F14837" i="2"/>
  <c r="E14837" i="2"/>
  <c r="D14837" i="2"/>
  <c r="F14836" i="2"/>
  <c r="E14836" i="2"/>
  <c r="D14836" i="2"/>
  <c r="F14835" i="2"/>
  <c r="E14835" i="2"/>
  <c r="D14835" i="2"/>
  <c r="F14834" i="2"/>
  <c r="E14834" i="2"/>
  <c r="D14834" i="2"/>
  <c r="F14833" i="2"/>
  <c r="E14833" i="2"/>
  <c r="D14833" i="2"/>
  <c r="F14832" i="2"/>
  <c r="E14832" i="2"/>
  <c r="D14832" i="2"/>
  <c r="F14831" i="2"/>
  <c r="E14831" i="2"/>
  <c r="D14831" i="2"/>
  <c r="F5151" i="2"/>
  <c r="E5151" i="2"/>
  <c r="D5151" i="2"/>
  <c r="F5172" i="2"/>
  <c r="E5172" i="2"/>
  <c r="D5172" i="2"/>
  <c r="F5171" i="2"/>
  <c r="E5171" i="2"/>
  <c r="D5171" i="2"/>
  <c r="F5170" i="2"/>
  <c r="E5170" i="2"/>
  <c r="D5170" i="2"/>
  <c r="F5169" i="2"/>
  <c r="E5169" i="2"/>
  <c r="D5169" i="2"/>
  <c r="F5168" i="2"/>
  <c r="E5168" i="2"/>
  <c r="D5168" i="2"/>
  <c r="F5167" i="2"/>
  <c r="E5167" i="2"/>
  <c r="D5167" i="2"/>
  <c r="F5165" i="2"/>
  <c r="E5165" i="2"/>
  <c r="D5165" i="2"/>
  <c r="F5166" i="2"/>
  <c r="E5166" i="2"/>
  <c r="D5166" i="2"/>
  <c r="F5164" i="2"/>
  <c r="E5164" i="2"/>
  <c r="D5164" i="2"/>
  <c r="F5163" i="2"/>
  <c r="E5163" i="2"/>
  <c r="D5163" i="2"/>
  <c r="F5162" i="2"/>
  <c r="E5162" i="2"/>
  <c r="D5162" i="2"/>
  <c r="F5161" i="2"/>
  <c r="E5161" i="2"/>
  <c r="D5161" i="2"/>
  <c r="F5160" i="2"/>
  <c r="E5160" i="2"/>
  <c r="D5160" i="2"/>
  <c r="F5159" i="2"/>
  <c r="E5159" i="2"/>
  <c r="D5159" i="2"/>
  <c r="F5158" i="2"/>
  <c r="E5158" i="2"/>
  <c r="D5158" i="2"/>
  <c r="F5157" i="2"/>
  <c r="E5157" i="2"/>
  <c r="D5157" i="2"/>
  <c r="F5155" i="2"/>
  <c r="E5155" i="2"/>
  <c r="D5155" i="2"/>
  <c r="F5156" i="2"/>
  <c r="E5156" i="2"/>
  <c r="D5156" i="2"/>
  <c r="F5154" i="2"/>
  <c r="E5154" i="2"/>
  <c r="D5154" i="2"/>
  <c r="F5153" i="2"/>
  <c r="E5153" i="2"/>
  <c r="D5153" i="2"/>
  <c r="F5152" i="2"/>
  <c r="E5152" i="2"/>
  <c r="D5152" i="2"/>
  <c r="F11485" i="2"/>
  <c r="E11485" i="2"/>
  <c r="D11485" i="2"/>
  <c r="F11486" i="2"/>
  <c r="E11486" i="2"/>
  <c r="D11486" i="2"/>
  <c r="F15606" i="2"/>
  <c r="E15606" i="2"/>
  <c r="D15606" i="2"/>
  <c r="F15605" i="2"/>
  <c r="E15605" i="2"/>
  <c r="D15605" i="2"/>
  <c r="F15604" i="2"/>
  <c r="E15604" i="2"/>
  <c r="D15604" i="2"/>
  <c r="F15603" i="2"/>
  <c r="E15603" i="2"/>
  <c r="D15603" i="2"/>
  <c r="F15602" i="2"/>
  <c r="E15602" i="2"/>
  <c r="D15602" i="2"/>
  <c r="F15601" i="2"/>
  <c r="E15601" i="2"/>
  <c r="D15601" i="2"/>
  <c r="F15600" i="2"/>
  <c r="E15600" i="2"/>
  <c r="D15600" i="2"/>
  <c r="F15599" i="2"/>
  <c r="E15599" i="2"/>
  <c r="D15599" i="2"/>
  <c r="F15598" i="2"/>
  <c r="E15598" i="2"/>
  <c r="D15598" i="2"/>
  <c r="F9625" i="2"/>
  <c r="E9625" i="2"/>
  <c r="D9625" i="2"/>
  <c r="F9624" i="2"/>
  <c r="E9624" i="2"/>
  <c r="D9624" i="2"/>
  <c r="F8367" i="2"/>
  <c r="E8367" i="2"/>
  <c r="D8367" i="2"/>
  <c r="F8366" i="2"/>
  <c r="E8366" i="2"/>
  <c r="D8366" i="2"/>
  <c r="F8365" i="2"/>
  <c r="E8365" i="2"/>
  <c r="D8365" i="2"/>
  <c r="F8364" i="2"/>
  <c r="E8364" i="2"/>
  <c r="D8364" i="2"/>
  <c r="F8363" i="2"/>
  <c r="E8363" i="2"/>
  <c r="D8363" i="2"/>
  <c r="F1094" i="2"/>
  <c r="E1094" i="2"/>
  <c r="D1094" i="2"/>
  <c r="F1093" i="2"/>
  <c r="E1093" i="2"/>
  <c r="D1093" i="2"/>
  <c r="F1092" i="2"/>
  <c r="E1092" i="2"/>
  <c r="D1092" i="2"/>
  <c r="F1091" i="2"/>
  <c r="E1091" i="2"/>
  <c r="D1091" i="2"/>
  <c r="F1090" i="2"/>
  <c r="E1090" i="2"/>
  <c r="D1090" i="2"/>
  <c r="F1089" i="2"/>
  <c r="E1089" i="2"/>
  <c r="D1089" i="2"/>
  <c r="F1088" i="2"/>
  <c r="E1088" i="2"/>
  <c r="D1088" i="2"/>
  <c r="F1087" i="2"/>
  <c r="E1087" i="2"/>
  <c r="D1087" i="2"/>
  <c r="F1086" i="2"/>
  <c r="E1086" i="2"/>
  <c r="D1086" i="2"/>
  <c r="F1085" i="2"/>
  <c r="E1085" i="2"/>
  <c r="D1085" i="2"/>
  <c r="F3966" i="2"/>
  <c r="E3966" i="2"/>
  <c r="D3966" i="2"/>
  <c r="F3970" i="2"/>
  <c r="E3970" i="2"/>
  <c r="D3970" i="2"/>
  <c r="F3969" i="2"/>
  <c r="E3969" i="2"/>
  <c r="D3969" i="2"/>
  <c r="F3968" i="2"/>
  <c r="E3968" i="2"/>
  <c r="D3968" i="2"/>
  <c r="F3967" i="2"/>
  <c r="E3967" i="2"/>
  <c r="D3967" i="2"/>
  <c r="F14464" i="2"/>
  <c r="E14464" i="2"/>
  <c r="D14464" i="2"/>
  <c r="F11751" i="2"/>
  <c r="E11751" i="2"/>
  <c r="D11751" i="2"/>
  <c r="F11750" i="2"/>
  <c r="E11750" i="2"/>
  <c r="D11750" i="2"/>
  <c r="F519" i="2"/>
  <c r="E519" i="2"/>
  <c r="D519" i="2"/>
  <c r="F518" i="2"/>
  <c r="E518" i="2"/>
  <c r="D518" i="2"/>
  <c r="F517" i="2"/>
  <c r="E517" i="2"/>
  <c r="D517" i="2"/>
  <c r="F516" i="2"/>
  <c r="E516" i="2"/>
  <c r="D516" i="2"/>
  <c r="F515" i="2"/>
  <c r="E515" i="2"/>
  <c r="D515" i="2"/>
  <c r="F514" i="2"/>
  <c r="E514" i="2"/>
  <c r="D514" i="2"/>
  <c r="F513" i="2"/>
  <c r="E513" i="2"/>
  <c r="D513" i="2"/>
  <c r="F512" i="2"/>
  <c r="E512" i="2"/>
  <c r="D512" i="2"/>
  <c r="F511" i="2"/>
  <c r="E511" i="2"/>
  <c r="D511" i="2"/>
  <c r="F510" i="2"/>
  <c r="E510" i="2"/>
  <c r="D510" i="2"/>
  <c r="F509" i="2"/>
  <c r="E509" i="2"/>
  <c r="D509" i="2"/>
  <c r="F508" i="2"/>
  <c r="E508" i="2"/>
  <c r="D508" i="2"/>
  <c r="F507" i="2"/>
  <c r="E507" i="2"/>
  <c r="D507" i="2"/>
  <c r="F506" i="2"/>
  <c r="E506" i="2"/>
  <c r="D506" i="2"/>
  <c r="F505" i="2"/>
  <c r="E505" i="2"/>
  <c r="D505" i="2"/>
  <c r="F504" i="2"/>
  <c r="E504" i="2"/>
  <c r="D504" i="2"/>
  <c r="F503" i="2"/>
  <c r="E503" i="2"/>
  <c r="D503" i="2"/>
  <c r="F502" i="2"/>
  <c r="E502" i="2"/>
  <c r="D502" i="2"/>
  <c r="F12914" i="2"/>
  <c r="E12914" i="2"/>
  <c r="D12914" i="2"/>
  <c r="F12913" i="2"/>
  <c r="E12913" i="2"/>
  <c r="D12913" i="2"/>
  <c r="F11005" i="2"/>
  <c r="E11005" i="2"/>
  <c r="D11005" i="2"/>
  <c r="F11009" i="2"/>
  <c r="E11009" i="2"/>
  <c r="D11009" i="2"/>
  <c r="F11008" i="2"/>
  <c r="E11008" i="2"/>
  <c r="D11008" i="2"/>
  <c r="F11007" i="2"/>
  <c r="E11007" i="2"/>
  <c r="D11007" i="2"/>
  <c r="F11006" i="2"/>
  <c r="E11006" i="2"/>
  <c r="D11006" i="2"/>
  <c r="F1944" i="2"/>
  <c r="E1944" i="2"/>
  <c r="D1944" i="2"/>
  <c r="F1947" i="2"/>
  <c r="E1947" i="2"/>
  <c r="D1947" i="2"/>
  <c r="F1946" i="2"/>
  <c r="E1946" i="2"/>
  <c r="D1946" i="2"/>
  <c r="F1945" i="2"/>
  <c r="E1945" i="2"/>
  <c r="D1945" i="2"/>
  <c r="F12039" i="2"/>
  <c r="E12039" i="2"/>
  <c r="D12039" i="2"/>
  <c r="F12042" i="2"/>
  <c r="E12042" i="2"/>
  <c r="D12042" i="2"/>
  <c r="F12041" i="2"/>
  <c r="E12041" i="2"/>
  <c r="D12041" i="2"/>
  <c r="F12040" i="2"/>
  <c r="E12040" i="2"/>
  <c r="D12040" i="2"/>
  <c r="F12038" i="2"/>
  <c r="E12038" i="2"/>
  <c r="D12038" i="2"/>
  <c r="F12037" i="2"/>
  <c r="E12037" i="2"/>
  <c r="D12037" i="2"/>
  <c r="F12036" i="2"/>
  <c r="E12036" i="2"/>
  <c r="D12036" i="2"/>
  <c r="F12035" i="2"/>
  <c r="E12035" i="2"/>
  <c r="D12035" i="2"/>
  <c r="F12034" i="2"/>
  <c r="E12034" i="2"/>
  <c r="D12034" i="2"/>
  <c r="F12033" i="2"/>
  <c r="E12033" i="2"/>
  <c r="D12033" i="2"/>
  <c r="F3480" i="2"/>
  <c r="E3480" i="2"/>
  <c r="D3480" i="2"/>
  <c r="F3484" i="2"/>
  <c r="E3484" i="2"/>
  <c r="D3484" i="2"/>
  <c r="F3483" i="2"/>
  <c r="E3483" i="2"/>
  <c r="D3483" i="2"/>
  <c r="F3482" i="2"/>
  <c r="E3482" i="2"/>
  <c r="D3482" i="2"/>
  <c r="F3481" i="2"/>
  <c r="E3481" i="2"/>
  <c r="D3481" i="2"/>
  <c r="F13553" i="2"/>
  <c r="E13553" i="2"/>
  <c r="D13553" i="2"/>
  <c r="F13564" i="2"/>
  <c r="E13564" i="2"/>
  <c r="D13564" i="2"/>
  <c r="F13563" i="2"/>
  <c r="E13563" i="2"/>
  <c r="D13563" i="2"/>
  <c r="F13562" i="2"/>
  <c r="E13562" i="2"/>
  <c r="D13562" i="2"/>
  <c r="F13561" i="2"/>
  <c r="E13561" i="2"/>
  <c r="D13561" i="2"/>
  <c r="F13560" i="2"/>
  <c r="E13560" i="2"/>
  <c r="D13560" i="2"/>
  <c r="F13559" i="2"/>
  <c r="E13559" i="2"/>
  <c r="D13559" i="2"/>
  <c r="F13558" i="2"/>
  <c r="E13558" i="2"/>
  <c r="D13558" i="2"/>
  <c r="F13557" i="2"/>
  <c r="E13557" i="2"/>
  <c r="D13557" i="2"/>
  <c r="F13556" i="2"/>
  <c r="E13556" i="2"/>
  <c r="D13556" i="2"/>
  <c r="F13555" i="2"/>
  <c r="E13555" i="2"/>
  <c r="D13555" i="2"/>
  <c r="F13554" i="2"/>
  <c r="E13554" i="2"/>
  <c r="D13554" i="2"/>
  <c r="F5540" i="2"/>
  <c r="E5540" i="2"/>
  <c r="D5540" i="2"/>
  <c r="F5541" i="2"/>
  <c r="E5541" i="2"/>
  <c r="D5541" i="2"/>
  <c r="F4253" i="2"/>
  <c r="E4253" i="2"/>
  <c r="D4253" i="2"/>
  <c r="F4265" i="2"/>
  <c r="E4265" i="2"/>
  <c r="D4265" i="2"/>
  <c r="F4264" i="2"/>
  <c r="E4264" i="2"/>
  <c r="D4264" i="2"/>
  <c r="F4263" i="2"/>
  <c r="E4263" i="2"/>
  <c r="D4263" i="2"/>
  <c r="F4262" i="2"/>
  <c r="E4262" i="2"/>
  <c r="D4262" i="2"/>
  <c r="F4261" i="2"/>
  <c r="E4261" i="2"/>
  <c r="D4261" i="2"/>
  <c r="F4260" i="2"/>
  <c r="E4260" i="2"/>
  <c r="D4260" i="2"/>
  <c r="F4259" i="2"/>
  <c r="E4259" i="2"/>
  <c r="D4259" i="2"/>
  <c r="F4258" i="2"/>
  <c r="E4258" i="2"/>
  <c r="D4258" i="2"/>
  <c r="F4257" i="2"/>
  <c r="E4257" i="2"/>
  <c r="D4257" i="2"/>
  <c r="F4256" i="2"/>
  <c r="E4256" i="2"/>
  <c r="D4256" i="2"/>
  <c r="F4255" i="2"/>
  <c r="E4255" i="2"/>
  <c r="D4255" i="2"/>
  <c r="F4254" i="2"/>
  <c r="E4254" i="2"/>
  <c r="D4254" i="2"/>
  <c r="F14657" i="2"/>
  <c r="E14657" i="2"/>
  <c r="D14657" i="2"/>
  <c r="F14680" i="2"/>
  <c r="E14680" i="2"/>
  <c r="D14680" i="2"/>
  <c r="F14679" i="2"/>
  <c r="E14679" i="2"/>
  <c r="D14679" i="2"/>
  <c r="F14678" i="2"/>
  <c r="E14678" i="2"/>
  <c r="D14678" i="2"/>
  <c r="F14677" i="2"/>
  <c r="E14677" i="2"/>
  <c r="D14677" i="2"/>
  <c r="F14676" i="2"/>
  <c r="E14676" i="2"/>
  <c r="D14676" i="2"/>
  <c r="F14675" i="2"/>
  <c r="E14675" i="2"/>
  <c r="D14675" i="2"/>
  <c r="F14674" i="2"/>
  <c r="E14674" i="2"/>
  <c r="D14674" i="2"/>
  <c r="F14673" i="2"/>
  <c r="E14673" i="2"/>
  <c r="D14673" i="2"/>
  <c r="F14672" i="2"/>
  <c r="E14672" i="2"/>
  <c r="D14672" i="2"/>
  <c r="F14671" i="2"/>
  <c r="E14671" i="2"/>
  <c r="D14671" i="2"/>
  <c r="F14670" i="2"/>
  <c r="E14670" i="2"/>
  <c r="D14670" i="2"/>
  <c r="F14669" i="2"/>
  <c r="E14669" i="2"/>
  <c r="D14669" i="2"/>
  <c r="F14668" i="2"/>
  <c r="E14668" i="2"/>
  <c r="D14668" i="2"/>
  <c r="F14667" i="2"/>
  <c r="E14667" i="2"/>
  <c r="D14667" i="2"/>
  <c r="F14666" i="2"/>
  <c r="E14666" i="2"/>
  <c r="D14666" i="2"/>
  <c r="F14665" i="2"/>
  <c r="E14665" i="2"/>
  <c r="D14665" i="2"/>
  <c r="F14664" i="2"/>
  <c r="E14664" i="2"/>
  <c r="D14664" i="2"/>
  <c r="F14663" i="2"/>
  <c r="E14663" i="2"/>
  <c r="D14663" i="2"/>
  <c r="F14662" i="2"/>
  <c r="E14662" i="2"/>
  <c r="D14662" i="2"/>
  <c r="F14660" i="2"/>
  <c r="E14660" i="2"/>
  <c r="D14660" i="2"/>
  <c r="F14661" i="2"/>
  <c r="E14661" i="2"/>
  <c r="D14661" i="2"/>
  <c r="F14659" i="2"/>
  <c r="E14659" i="2"/>
  <c r="D14659" i="2"/>
  <c r="F14658" i="2"/>
  <c r="E14658" i="2"/>
  <c r="D14658" i="2"/>
  <c r="F5974" i="2"/>
  <c r="E5974" i="2"/>
  <c r="D5974" i="2"/>
  <c r="F5973" i="2"/>
  <c r="E5973" i="2"/>
  <c r="D5973" i="2"/>
  <c r="F5972" i="2"/>
  <c r="E5972" i="2"/>
  <c r="D5972" i="2"/>
  <c r="F5971" i="2"/>
  <c r="E5971" i="2"/>
  <c r="D5971" i="2"/>
  <c r="F5970" i="2"/>
  <c r="E5970" i="2"/>
  <c r="D5970" i="2"/>
  <c r="F5969" i="2"/>
  <c r="E5969" i="2"/>
  <c r="D5969" i="2"/>
  <c r="F5968" i="2"/>
  <c r="E5968" i="2"/>
  <c r="D5968" i="2"/>
  <c r="F5967" i="2"/>
  <c r="E5967" i="2"/>
  <c r="D5967" i="2"/>
  <c r="F5966" i="2"/>
  <c r="E5966" i="2"/>
  <c r="D5966" i="2"/>
  <c r="F5965" i="2"/>
  <c r="E5965" i="2"/>
  <c r="D5965" i="2"/>
  <c r="F5964" i="2"/>
  <c r="E5964" i="2"/>
  <c r="D5964" i="2"/>
  <c r="F5963" i="2"/>
  <c r="E5963" i="2"/>
  <c r="D5963" i="2"/>
  <c r="F5962" i="2"/>
  <c r="E5962" i="2"/>
  <c r="D5962" i="2"/>
  <c r="F5961" i="2"/>
  <c r="E5961" i="2"/>
  <c r="D5961" i="2"/>
  <c r="F5960" i="2"/>
  <c r="E5960" i="2"/>
  <c r="D5960" i="2"/>
  <c r="F5959" i="2"/>
  <c r="E5959" i="2"/>
  <c r="D5959" i="2"/>
  <c r="F8094" i="2"/>
  <c r="E8094" i="2"/>
  <c r="D8094" i="2"/>
  <c r="F8098" i="2"/>
  <c r="E8098" i="2"/>
  <c r="D8098" i="2"/>
  <c r="F8097" i="2"/>
  <c r="E8097" i="2"/>
  <c r="D8097" i="2"/>
  <c r="F8096" i="2"/>
  <c r="E8096" i="2"/>
  <c r="D8096" i="2"/>
  <c r="F8095" i="2"/>
  <c r="E8095" i="2"/>
  <c r="D8095" i="2"/>
  <c r="F12890" i="2"/>
  <c r="E12890" i="2"/>
  <c r="D12890" i="2"/>
  <c r="F12891" i="2"/>
  <c r="E12891" i="2"/>
  <c r="D12891" i="2"/>
  <c r="F15567" i="2"/>
  <c r="E15567" i="2"/>
  <c r="D15567" i="2"/>
  <c r="F15566" i="2"/>
  <c r="E15566" i="2"/>
  <c r="D15566" i="2"/>
  <c r="F15565" i="2"/>
  <c r="E15565" i="2"/>
  <c r="D15565" i="2"/>
  <c r="F15564" i="2"/>
  <c r="E15564" i="2"/>
  <c r="D15564" i="2"/>
  <c r="F15563" i="2"/>
  <c r="E15563" i="2"/>
  <c r="D15563" i="2"/>
  <c r="F15562" i="2"/>
  <c r="E15562" i="2"/>
  <c r="D15562" i="2"/>
  <c r="F15561" i="2"/>
  <c r="E15561" i="2"/>
  <c r="D15561" i="2"/>
  <c r="F12915" i="2"/>
  <c r="E12915" i="2"/>
  <c r="D12915" i="2"/>
  <c r="F9994" i="2"/>
  <c r="E9994" i="2"/>
  <c r="D9994" i="2"/>
  <c r="F10016" i="2"/>
  <c r="E10016" i="2"/>
  <c r="D10016" i="2"/>
  <c r="F10015" i="2"/>
  <c r="E10015" i="2"/>
  <c r="D10015" i="2"/>
  <c r="F10014" i="2"/>
  <c r="E10014" i="2"/>
  <c r="D10014" i="2"/>
  <c r="F10013" i="2"/>
  <c r="E10013" i="2"/>
  <c r="D10013" i="2"/>
  <c r="F10012" i="2"/>
  <c r="E10012" i="2"/>
  <c r="D10012" i="2"/>
  <c r="F10011" i="2"/>
  <c r="E10011" i="2"/>
  <c r="D10011" i="2"/>
  <c r="F10010" i="2"/>
  <c r="E10010" i="2"/>
  <c r="D10010" i="2"/>
  <c r="F10009" i="2"/>
  <c r="E10009" i="2"/>
  <c r="D10009" i="2"/>
  <c r="F10008" i="2"/>
  <c r="E10008" i="2"/>
  <c r="D10008" i="2"/>
  <c r="F10007" i="2"/>
  <c r="E10007" i="2"/>
  <c r="D10007" i="2"/>
  <c r="F10006" i="2"/>
  <c r="E10006" i="2"/>
  <c r="D10006" i="2"/>
  <c r="F10005" i="2"/>
  <c r="E10005" i="2"/>
  <c r="D10005" i="2"/>
  <c r="F10004" i="2"/>
  <c r="E10004" i="2"/>
  <c r="D10004" i="2"/>
  <c r="F10003" i="2"/>
  <c r="E10003" i="2"/>
  <c r="D10003" i="2"/>
  <c r="F10002" i="2"/>
  <c r="E10002" i="2"/>
  <c r="D10002" i="2"/>
  <c r="F10001" i="2"/>
  <c r="E10001" i="2"/>
  <c r="D10001" i="2"/>
  <c r="F10000" i="2"/>
  <c r="E10000" i="2"/>
  <c r="D10000" i="2"/>
  <c r="F9999" i="2"/>
  <c r="E9999" i="2"/>
  <c r="D9999" i="2"/>
  <c r="F9998" i="2"/>
  <c r="E9998" i="2"/>
  <c r="D9998" i="2"/>
  <c r="F9997" i="2"/>
  <c r="E9997" i="2"/>
  <c r="D9997" i="2"/>
  <c r="F9996" i="2"/>
  <c r="E9996" i="2"/>
  <c r="D9996" i="2"/>
  <c r="F9995" i="2"/>
  <c r="E9995" i="2"/>
  <c r="D9995" i="2"/>
  <c r="F14032" i="2"/>
  <c r="E14032" i="2"/>
  <c r="D14032" i="2"/>
  <c r="F14053" i="2"/>
  <c r="E14053" i="2"/>
  <c r="D14053" i="2"/>
  <c r="F14051" i="2"/>
  <c r="E14051" i="2"/>
  <c r="D14051" i="2"/>
  <c r="F14052" i="2"/>
  <c r="E14052" i="2"/>
  <c r="D14052" i="2"/>
  <c r="F14050" i="2"/>
  <c r="E14050" i="2"/>
  <c r="D14050" i="2"/>
  <c r="F14049" i="2"/>
  <c r="E14049" i="2"/>
  <c r="D14049" i="2"/>
  <c r="F14046" i="2"/>
  <c r="E14046" i="2"/>
  <c r="D14046" i="2"/>
  <c r="F14048" i="2"/>
  <c r="E14048" i="2"/>
  <c r="D14048" i="2"/>
  <c r="F14047" i="2"/>
  <c r="E14047" i="2"/>
  <c r="D14047" i="2"/>
  <c r="F14045" i="2"/>
  <c r="E14045" i="2"/>
  <c r="D14045" i="2"/>
  <c r="F14044" i="2"/>
  <c r="E14044" i="2"/>
  <c r="D14044" i="2"/>
  <c r="F14043" i="2"/>
  <c r="E14043" i="2"/>
  <c r="D14043" i="2"/>
  <c r="F14042" i="2"/>
  <c r="E14042" i="2"/>
  <c r="D14042" i="2"/>
  <c r="F14041" i="2"/>
  <c r="E14041" i="2"/>
  <c r="D14041" i="2"/>
  <c r="F14040" i="2"/>
  <c r="E14040" i="2"/>
  <c r="D14040" i="2"/>
  <c r="F14038" i="2"/>
  <c r="E14038" i="2"/>
  <c r="D14038" i="2"/>
  <c r="F14039" i="2"/>
  <c r="E14039" i="2"/>
  <c r="D14039" i="2"/>
  <c r="F14035" i="2"/>
  <c r="E14035" i="2"/>
  <c r="D14035" i="2"/>
  <c r="F14037" i="2"/>
  <c r="E14037" i="2"/>
  <c r="D14037" i="2"/>
  <c r="F14036" i="2"/>
  <c r="E14036" i="2"/>
  <c r="D14036" i="2"/>
  <c r="F14034" i="2"/>
  <c r="E14034" i="2"/>
  <c r="D14034" i="2"/>
  <c r="F14033" i="2"/>
  <c r="E14033" i="2"/>
  <c r="D14033" i="2"/>
  <c r="F16173" i="2"/>
  <c r="E16173" i="2"/>
  <c r="D16173" i="2"/>
  <c r="F16187" i="2"/>
  <c r="E16187" i="2"/>
  <c r="D16187" i="2"/>
  <c r="F16186" i="2"/>
  <c r="E16186" i="2"/>
  <c r="D16186" i="2"/>
  <c r="F16185" i="2"/>
  <c r="E16185" i="2"/>
  <c r="D16185" i="2"/>
  <c r="F16184" i="2"/>
  <c r="E16184" i="2"/>
  <c r="D16184" i="2"/>
  <c r="F16183" i="2"/>
  <c r="E16183" i="2"/>
  <c r="D16183" i="2"/>
  <c r="F16182" i="2"/>
  <c r="E16182" i="2"/>
  <c r="D16182" i="2"/>
  <c r="F16181" i="2"/>
  <c r="E16181" i="2"/>
  <c r="D16181" i="2"/>
  <c r="F16180" i="2"/>
  <c r="E16180" i="2"/>
  <c r="D16180" i="2"/>
  <c r="F16179" i="2"/>
  <c r="E16179" i="2"/>
  <c r="D16179" i="2"/>
  <c r="F16178" i="2"/>
  <c r="E16178" i="2"/>
  <c r="D16178" i="2"/>
  <c r="F16177" i="2"/>
  <c r="E16177" i="2"/>
  <c r="D16177" i="2"/>
  <c r="F16176" i="2"/>
  <c r="E16176" i="2"/>
  <c r="D16176" i="2"/>
  <c r="F16175" i="2"/>
  <c r="E16175" i="2"/>
  <c r="D16175" i="2"/>
  <c r="F16174" i="2"/>
  <c r="E16174" i="2"/>
  <c r="D16174" i="2"/>
  <c r="F12043" i="2"/>
  <c r="E12043" i="2"/>
  <c r="D12043" i="2"/>
  <c r="F12052" i="2"/>
  <c r="E12052" i="2"/>
  <c r="D12052" i="2"/>
  <c r="F12051" i="2"/>
  <c r="E12051" i="2"/>
  <c r="D12051" i="2"/>
  <c r="F12050" i="2"/>
  <c r="E12050" i="2"/>
  <c r="D12050" i="2"/>
  <c r="F12049" i="2"/>
  <c r="E12049" i="2"/>
  <c r="D12049" i="2"/>
  <c r="F12048" i="2"/>
  <c r="E12048" i="2"/>
  <c r="D12048" i="2"/>
  <c r="F12047" i="2"/>
  <c r="E12047" i="2"/>
  <c r="D12047" i="2"/>
  <c r="F12046" i="2"/>
  <c r="E12046" i="2"/>
  <c r="D12046" i="2"/>
  <c r="F12045" i="2"/>
  <c r="E12045" i="2"/>
  <c r="D12045" i="2"/>
  <c r="F12044" i="2"/>
  <c r="E12044" i="2"/>
  <c r="D12044" i="2"/>
  <c r="F13294" i="2"/>
  <c r="E13294" i="2"/>
  <c r="D13294" i="2"/>
  <c r="F13293" i="2"/>
  <c r="E13293" i="2"/>
  <c r="D13293" i="2"/>
  <c r="F13292" i="2"/>
  <c r="E13292" i="2"/>
  <c r="D13292" i="2"/>
  <c r="F13291" i="2"/>
  <c r="E13291" i="2"/>
  <c r="D13291" i="2"/>
  <c r="F13290" i="2"/>
  <c r="E13290" i="2"/>
  <c r="D13290" i="2"/>
  <c r="F13288" i="2"/>
  <c r="E13288" i="2"/>
  <c r="D13288" i="2"/>
  <c r="F13289" i="2"/>
  <c r="E13289" i="2"/>
  <c r="D13289" i="2"/>
  <c r="F15455" i="2"/>
  <c r="E15455" i="2"/>
  <c r="D15455" i="2"/>
  <c r="F15454" i="2"/>
  <c r="E15454" i="2"/>
  <c r="D15454" i="2"/>
  <c r="F15453" i="2"/>
  <c r="E15453" i="2"/>
  <c r="D15453" i="2"/>
  <c r="F15452" i="2"/>
  <c r="E15452" i="2"/>
  <c r="D15452" i="2"/>
  <c r="F15451" i="2"/>
  <c r="E15451" i="2"/>
  <c r="D15451" i="2"/>
  <c r="F706" i="2"/>
  <c r="E706" i="2"/>
  <c r="D706" i="2"/>
  <c r="F717" i="2"/>
  <c r="E717" i="2"/>
  <c r="D717" i="2"/>
  <c r="F716" i="2"/>
  <c r="E716" i="2"/>
  <c r="D716" i="2"/>
  <c r="F715" i="2"/>
  <c r="E715" i="2"/>
  <c r="D715" i="2"/>
  <c r="F714" i="2"/>
  <c r="E714" i="2"/>
  <c r="D714" i="2"/>
  <c r="F713" i="2"/>
  <c r="E713" i="2"/>
  <c r="D713" i="2"/>
  <c r="F712" i="2"/>
  <c r="E712" i="2"/>
  <c r="D712" i="2"/>
  <c r="F711" i="2"/>
  <c r="E711" i="2"/>
  <c r="D711" i="2"/>
  <c r="F710" i="2"/>
  <c r="E710" i="2"/>
  <c r="D710" i="2"/>
  <c r="F709" i="2"/>
  <c r="E709" i="2"/>
  <c r="D709" i="2"/>
  <c r="F708" i="2"/>
  <c r="E708" i="2"/>
  <c r="D708" i="2"/>
  <c r="F707" i="2"/>
  <c r="E707" i="2"/>
  <c r="D707" i="2"/>
  <c r="F2051" i="2"/>
  <c r="E2051" i="2"/>
  <c r="D2051" i="2"/>
  <c r="F2062" i="2"/>
  <c r="E2062" i="2"/>
  <c r="D2062" i="2"/>
  <c r="F2061" i="2"/>
  <c r="E2061" i="2"/>
  <c r="D2061" i="2"/>
  <c r="F2060" i="2"/>
  <c r="E2060" i="2"/>
  <c r="D2060" i="2"/>
  <c r="F2059" i="2"/>
  <c r="E2059" i="2"/>
  <c r="D2059" i="2"/>
  <c r="F2058" i="2"/>
  <c r="E2058" i="2"/>
  <c r="D2058" i="2"/>
  <c r="F2057" i="2"/>
  <c r="E2057" i="2"/>
  <c r="D2057" i="2"/>
  <c r="F2056" i="2"/>
  <c r="E2056" i="2"/>
  <c r="D2056" i="2"/>
  <c r="F2055" i="2"/>
  <c r="E2055" i="2"/>
  <c r="D2055" i="2"/>
  <c r="F2054" i="2"/>
  <c r="E2054" i="2"/>
  <c r="D2054" i="2"/>
  <c r="F2053" i="2"/>
  <c r="E2053" i="2"/>
  <c r="D2053" i="2"/>
  <c r="F2052" i="2"/>
  <c r="E2052" i="2"/>
  <c r="D2052" i="2"/>
  <c r="F13589" i="2"/>
  <c r="E13589" i="2"/>
  <c r="D13589" i="2"/>
  <c r="F13597" i="2"/>
  <c r="E13597" i="2"/>
  <c r="D13597" i="2"/>
  <c r="F13596" i="2"/>
  <c r="E13596" i="2"/>
  <c r="D13596" i="2"/>
  <c r="F13595" i="2"/>
  <c r="E13595" i="2"/>
  <c r="D13595" i="2"/>
  <c r="F13594" i="2"/>
  <c r="E13594" i="2"/>
  <c r="D13594" i="2"/>
  <c r="F13593" i="2"/>
  <c r="E13593" i="2"/>
  <c r="D13593" i="2"/>
  <c r="F13592" i="2"/>
  <c r="E13592" i="2"/>
  <c r="D13592" i="2"/>
  <c r="F13591" i="2"/>
  <c r="E13591" i="2"/>
  <c r="D13591" i="2"/>
  <c r="F13590" i="2"/>
  <c r="E13590" i="2"/>
  <c r="D13590" i="2"/>
  <c r="F15459" i="2"/>
  <c r="E15459" i="2"/>
  <c r="D15459" i="2"/>
  <c r="F15458" i="2"/>
  <c r="E15458" i="2"/>
  <c r="D15458" i="2"/>
  <c r="F15457" i="2"/>
  <c r="E15457" i="2"/>
  <c r="D15457" i="2"/>
  <c r="F15456" i="2"/>
  <c r="E15456" i="2"/>
  <c r="D15456" i="2"/>
  <c r="F7562" i="2"/>
  <c r="E7562" i="2"/>
  <c r="D7562" i="2"/>
  <c r="F7566" i="2"/>
  <c r="E7566" i="2"/>
  <c r="D7566" i="2"/>
  <c r="F7565" i="2"/>
  <c r="E7565" i="2"/>
  <c r="D7565" i="2"/>
  <c r="F7564" i="2"/>
  <c r="E7564" i="2"/>
  <c r="D7564" i="2"/>
  <c r="F7563" i="2"/>
  <c r="E7563" i="2"/>
  <c r="D7563" i="2"/>
  <c r="F9395" i="2"/>
  <c r="E9395" i="2"/>
  <c r="D9395" i="2"/>
  <c r="F9416" i="2"/>
  <c r="E9416" i="2"/>
  <c r="D9416" i="2"/>
  <c r="F9415" i="2"/>
  <c r="E9415" i="2"/>
  <c r="D9415" i="2"/>
  <c r="F9414" i="2"/>
  <c r="E9414" i="2"/>
  <c r="D9414" i="2"/>
  <c r="F9413" i="2"/>
  <c r="E9413" i="2"/>
  <c r="D9413" i="2"/>
  <c r="F9412" i="2"/>
  <c r="E9412" i="2"/>
  <c r="D9412" i="2"/>
  <c r="F9411" i="2"/>
  <c r="E9411" i="2"/>
  <c r="D9411" i="2"/>
  <c r="F9410" i="2"/>
  <c r="E9410" i="2"/>
  <c r="D9410" i="2"/>
  <c r="F9409" i="2"/>
  <c r="E9409" i="2"/>
  <c r="D9409" i="2"/>
  <c r="F9408" i="2"/>
  <c r="E9408" i="2"/>
  <c r="D9408" i="2"/>
  <c r="F9407" i="2"/>
  <c r="E9407" i="2"/>
  <c r="D9407" i="2"/>
  <c r="F9406" i="2"/>
  <c r="E9406" i="2"/>
  <c r="D9406" i="2"/>
  <c r="F9405" i="2"/>
  <c r="E9405" i="2"/>
  <c r="D9405" i="2"/>
  <c r="F9404" i="2"/>
  <c r="E9404" i="2"/>
  <c r="D9404" i="2"/>
  <c r="F9403" i="2"/>
  <c r="E9403" i="2"/>
  <c r="D9403" i="2"/>
  <c r="F9402" i="2"/>
  <c r="E9402" i="2"/>
  <c r="D9402" i="2"/>
  <c r="F9401" i="2"/>
  <c r="E9401" i="2"/>
  <c r="D9401" i="2"/>
  <c r="F9399" i="2"/>
  <c r="E9399" i="2"/>
  <c r="D9399" i="2"/>
  <c r="F9400" i="2"/>
  <c r="E9400" i="2"/>
  <c r="D9400" i="2"/>
  <c r="F9398" i="2"/>
  <c r="E9398" i="2"/>
  <c r="D9398" i="2"/>
  <c r="F9397" i="2"/>
  <c r="E9397" i="2"/>
  <c r="D9397" i="2"/>
  <c r="F9396" i="2"/>
  <c r="E9396" i="2"/>
  <c r="D9396" i="2"/>
  <c r="F2064" i="2"/>
  <c r="E2064" i="2"/>
  <c r="D2064" i="2"/>
  <c r="F2078" i="2"/>
  <c r="E2078" i="2"/>
  <c r="D2078" i="2"/>
  <c r="F2077" i="2"/>
  <c r="E2077" i="2"/>
  <c r="D2077" i="2"/>
  <c r="F2076" i="2"/>
  <c r="E2076" i="2"/>
  <c r="D2076" i="2"/>
  <c r="F2075" i="2"/>
  <c r="E2075" i="2"/>
  <c r="D2075" i="2"/>
  <c r="F2074" i="2"/>
  <c r="E2074" i="2"/>
  <c r="D2074" i="2"/>
  <c r="F2073" i="2"/>
  <c r="E2073" i="2"/>
  <c r="D2073" i="2"/>
  <c r="F2072" i="2"/>
  <c r="E2072" i="2"/>
  <c r="D2072" i="2"/>
  <c r="F2071" i="2"/>
  <c r="E2071" i="2"/>
  <c r="D2071" i="2"/>
  <c r="F2070" i="2"/>
  <c r="E2070" i="2"/>
  <c r="D2070" i="2"/>
  <c r="F2069" i="2"/>
  <c r="E2069" i="2"/>
  <c r="D2069" i="2"/>
  <c r="F2068" i="2"/>
  <c r="E2068" i="2"/>
  <c r="D2068" i="2"/>
  <c r="F2067" i="2"/>
  <c r="E2067" i="2"/>
  <c r="D2067" i="2"/>
  <c r="F2066" i="2"/>
  <c r="E2066" i="2"/>
  <c r="D2066" i="2"/>
  <c r="F2065" i="2"/>
  <c r="E2065" i="2"/>
  <c r="D2065" i="2"/>
  <c r="F2063" i="2"/>
  <c r="E2063" i="2"/>
  <c r="D2063" i="2"/>
  <c r="F16280" i="2"/>
  <c r="E16280" i="2"/>
  <c r="D16280" i="2"/>
  <c r="F16281" i="2"/>
  <c r="E16281" i="2"/>
  <c r="D16281" i="2"/>
  <c r="F16279" i="2"/>
  <c r="E16279" i="2"/>
  <c r="D16279" i="2"/>
  <c r="F16278" i="2"/>
  <c r="E16278" i="2"/>
  <c r="D16278" i="2"/>
  <c r="F16277" i="2"/>
  <c r="E16277" i="2"/>
  <c r="D16277" i="2"/>
  <c r="F16276" i="2"/>
  <c r="E16276" i="2"/>
  <c r="D16276" i="2"/>
  <c r="F16275" i="2"/>
  <c r="E16275" i="2"/>
  <c r="D16275" i="2"/>
  <c r="F16274" i="2"/>
  <c r="E16274" i="2"/>
  <c r="D16274" i="2"/>
  <c r="F16273" i="2"/>
  <c r="E16273" i="2"/>
  <c r="D16273" i="2"/>
  <c r="F16272" i="2"/>
  <c r="E16272" i="2"/>
  <c r="D16272" i="2"/>
  <c r="F16271" i="2"/>
  <c r="E16271" i="2"/>
  <c r="D16271" i="2"/>
  <c r="F16270" i="2"/>
  <c r="E16270" i="2"/>
  <c r="D16270" i="2"/>
  <c r="F16269" i="2"/>
  <c r="E16269" i="2"/>
  <c r="D16269" i="2"/>
  <c r="F16268" i="2"/>
  <c r="E16268" i="2"/>
  <c r="D16268" i="2"/>
  <c r="F2083" i="2"/>
  <c r="E2083" i="2"/>
  <c r="D2083" i="2"/>
  <c r="F2094" i="2"/>
  <c r="E2094" i="2"/>
  <c r="D2094" i="2"/>
  <c r="F2093" i="2"/>
  <c r="E2093" i="2"/>
  <c r="D2093" i="2"/>
  <c r="F2092" i="2"/>
  <c r="E2092" i="2"/>
  <c r="D2092" i="2"/>
  <c r="F2091" i="2"/>
  <c r="E2091" i="2"/>
  <c r="D2091" i="2"/>
  <c r="F2090" i="2"/>
  <c r="E2090" i="2"/>
  <c r="D2090" i="2"/>
  <c r="F2089" i="2"/>
  <c r="E2089" i="2"/>
  <c r="D2089" i="2"/>
  <c r="F2088" i="2"/>
  <c r="E2088" i="2"/>
  <c r="D2088" i="2"/>
  <c r="F2087" i="2"/>
  <c r="E2087" i="2"/>
  <c r="D2087" i="2"/>
  <c r="F2086" i="2"/>
  <c r="E2086" i="2"/>
  <c r="D2086" i="2"/>
  <c r="F2085" i="2"/>
  <c r="E2085" i="2"/>
  <c r="D2085" i="2"/>
  <c r="F2084" i="2"/>
  <c r="E2084" i="2"/>
  <c r="D2084" i="2"/>
  <c r="F2082" i="2"/>
  <c r="E2082" i="2"/>
  <c r="D2082" i="2"/>
  <c r="F1228" i="2"/>
  <c r="E1228" i="2"/>
  <c r="D1228" i="2"/>
  <c r="F1227" i="2"/>
  <c r="E1227" i="2"/>
  <c r="D1227" i="2"/>
  <c r="F1226" i="2"/>
  <c r="E1226" i="2"/>
  <c r="D1226" i="2"/>
  <c r="F1225" i="2"/>
  <c r="E1225" i="2"/>
  <c r="D1225" i="2"/>
  <c r="F1224" i="2"/>
  <c r="E1224" i="2"/>
  <c r="D1224" i="2"/>
  <c r="F1223" i="2"/>
  <c r="E1223" i="2"/>
  <c r="D1223" i="2"/>
  <c r="F1222" i="2"/>
  <c r="E1222" i="2"/>
  <c r="D1222" i="2"/>
  <c r="F1221" i="2"/>
  <c r="E1221" i="2"/>
  <c r="D1221" i="2"/>
  <c r="F1220" i="2"/>
  <c r="E1220" i="2"/>
  <c r="D1220" i="2"/>
  <c r="F1219" i="2"/>
  <c r="E1219" i="2"/>
  <c r="D1219" i="2"/>
  <c r="F1218" i="2"/>
  <c r="E1218" i="2"/>
  <c r="D1218" i="2"/>
  <c r="F1217" i="2"/>
  <c r="E1217" i="2"/>
  <c r="D1217" i="2"/>
  <c r="F1216" i="2"/>
  <c r="E1216" i="2"/>
  <c r="D1216" i="2"/>
  <c r="F1215" i="2"/>
  <c r="E1215" i="2"/>
  <c r="D1215" i="2"/>
  <c r="F1214" i="2"/>
  <c r="E1214" i="2"/>
  <c r="D1214" i="2"/>
  <c r="F1213" i="2"/>
  <c r="E1213" i="2"/>
  <c r="D1213" i="2"/>
  <c r="F1212" i="2"/>
  <c r="E1212" i="2"/>
  <c r="D1212" i="2"/>
  <c r="F1211" i="2"/>
  <c r="E1211" i="2"/>
  <c r="D1211" i="2"/>
  <c r="F1210" i="2"/>
  <c r="E1210" i="2"/>
  <c r="D1210" i="2"/>
  <c r="F1209" i="2"/>
  <c r="E1209" i="2"/>
  <c r="D1209" i="2"/>
  <c r="F1208" i="2"/>
  <c r="E1208" i="2"/>
  <c r="D1208" i="2"/>
  <c r="F1207" i="2"/>
  <c r="E1207" i="2"/>
  <c r="D1207" i="2"/>
  <c r="F1206" i="2"/>
  <c r="E1206" i="2"/>
  <c r="D1206" i="2"/>
  <c r="F1205" i="2"/>
  <c r="E1205" i="2"/>
  <c r="D1205" i="2"/>
  <c r="F1572" i="2"/>
  <c r="E1572" i="2"/>
  <c r="D1572" i="2"/>
  <c r="F1593" i="2"/>
  <c r="E1593" i="2"/>
  <c r="D1593" i="2"/>
  <c r="F1591" i="2"/>
  <c r="E1591" i="2"/>
  <c r="D1591" i="2"/>
  <c r="F1592" i="2"/>
  <c r="E1592" i="2"/>
  <c r="D1592" i="2"/>
  <c r="F1590" i="2"/>
  <c r="E1590" i="2"/>
  <c r="D1590" i="2"/>
  <c r="F1589" i="2"/>
  <c r="E1589" i="2"/>
  <c r="D1589" i="2"/>
  <c r="F1586" i="2"/>
  <c r="E1586" i="2"/>
  <c r="D1586" i="2"/>
  <c r="F1588" i="2"/>
  <c r="E1588" i="2"/>
  <c r="D1588" i="2"/>
  <c r="F1587" i="2"/>
  <c r="E1587" i="2"/>
  <c r="D1587" i="2"/>
  <c r="F1585" i="2"/>
  <c r="E1585" i="2"/>
  <c r="D1585" i="2"/>
  <c r="F1584" i="2"/>
  <c r="E1584" i="2"/>
  <c r="D1584" i="2"/>
  <c r="F1583" i="2"/>
  <c r="E1583" i="2"/>
  <c r="D1583" i="2"/>
  <c r="F1582" i="2"/>
  <c r="E1582" i="2"/>
  <c r="D1582" i="2"/>
  <c r="F1581" i="2"/>
  <c r="E1581" i="2"/>
  <c r="D1581" i="2"/>
  <c r="F1580" i="2"/>
  <c r="E1580" i="2"/>
  <c r="D1580" i="2"/>
  <c r="F1578" i="2"/>
  <c r="E1578" i="2"/>
  <c r="D1578" i="2"/>
  <c r="F1579" i="2"/>
  <c r="E1579" i="2"/>
  <c r="D1579" i="2"/>
  <c r="F1574" i="2"/>
  <c r="E1574" i="2"/>
  <c r="D1574" i="2"/>
  <c r="F1577" i="2"/>
  <c r="E1577" i="2"/>
  <c r="D1577" i="2"/>
  <c r="F1576" i="2"/>
  <c r="E1576" i="2"/>
  <c r="D1576" i="2"/>
  <c r="F1575" i="2"/>
  <c r="E1575" i="2"/>
  <c r="D1575" i="2"/>
  <c r="F1573" i="2"/>
  <c r="E1573" i="2"/>
  <c r="D1573" i="2"/>
  <c r="F11011" i="2"/>
  <c r="E11011" i="2"/>
  <c r="D11011" i="2"/>
  <c r="F11025" i="2"/>
  <c r="E11025" i="2"/>
  <c r="D11025" i="2"/>
  <c r="F11024" i="2"/>
  <c r="E11024" i="2"/>
  <c r="D11024" i="2"/>
  <c r="F11023" i="2"/>
  <c r="E11023" i="2"/>
  <c r="D11023" i="2"/>
  <c r="F11022" i="2"/>
  <c r="E11022" i="2"/>
  <c r="D11022" i="2"/>
  <c r="F11021" i="2"/>
  <c r="E11021" i="2"/>
  <c r="D11021" i="2"/>
  <c r="F11020" i="2"/>
  <c r="E11020" i="2"/>
  <c r="D11020" i="2"/>
  <c r="F11019" i="2"/>
  <c r="E11019" i="2"/>
  <c r="D11019" i="2"/>
  <c r="F11018" i="2"/>
  <c r="E11018" i="2"/>
  <c r="D11018" i="2"/>
  <c r="F11017" i="2"/>
  <c r="E11017" i="2"/>
  <c r="D11017" i="2"/>
  <c r="F11016" i="2"/>
  <c r="E11016" i="2"/>
  <c r="D11016" i="2"/>
  <c r="F11015" i="2"/>
  <c r="E11015" i="2"/>
  <c r="D11015" i="2"/>
  <c r="F11014" i="2"/>
  <c r="E11014" i="2"/>
  <c r="D11014" i="2"/>
  <c r="F11013" i="2"/>
  <c r="E11013" i="2"/>
  <c r="D11013" i="2"/>
  <c r="F11012" i="2"/>
  <c r="E11012" i="2"/>
  <c r="D11012" i="2"/>
  <c r="F14054" i="2"/>
  <c r="E14054" i="2"/>
  <c r="D14054" i="2"/>
  <c r="F14063" i="2"/>
  <c r="E14063" i="2"/>
  <c r="D14063" i="2"/>
  <c r="F14062" i="2"/>
  <c r="E14062" i="2"/>
  <c r="D14062" i="2"/>
  <c r="F14061" i="2"/>
  <c r="E14061" i="2"/>
  <c r="D14061" i="2"/>
  <c r="F14060" i="2"/>
  <c r="E14060" i="2"/>
  <c r="D14060" i="2"/>
  <c r="F14059" i="2"/>
  <c r="E14059" i="2"/>
  <c r="D14059" i="2"/>
  <c r="F14058" i="2"/>
  <c r="E14058" i="2"/>
  <c r="D14058" i="2"/>
  <c r="F14057" i="2"/>
  <c r="E14057" i="2"/>
  <c r="D14057" i="2"/>
  <c r="F14056" i="2"/>
  <c r="E14056" i="2"/>
  <c r="D14056" i="2"/>
  <c r="F14055" i="2"/>
  <c r="E14055" i="2"/>
  <c r="D14055" i="2"/>
  <c r="F13115" i="2"/>
  <c r="E13115" i="2"/>
  <c r="D13115" i="2"/>
  <c r="F13114" i="2"/>
  <c r="E13114" i="2"/>
  <c r="D13114" i="2"/>
  <c r="F13113" i="2"/>
  <c r="E13113" i="2"/>
  <c r="D13113" i="2"/>
  <c r="F13112" i="2"/>
  <c r="E13112" i="2"/>
  <c r="D13112" i="2"/>
  <c r="F13111" i="2"/>
  <c r="E13111" i="2"/>
  <c r="D13111" i="2"/>
  <c r="F13110" i="2"/>
  <c r="E13110" i="2"/>
  <c r="D13110" i="2"/>
  <c r="F13109" i="2"/>
  <c r="E13109" i="2"/>
  <c r="D13109" i="2"/>
  <c r="F13108" i="2"/>
  <c r="E13108" i="2"/>
  <c r="D13108" i="2"/>
  <c r="F13107" i="2"/>
  <c r="E13107" i="2"/>
  <c r="D13107" i="2"/>
  <c r="F13106" i="2"/>
  <c r="E13106" i="2"/>
  <c r="D13106" i="2"/>
  <c r="F13105" i="2"/>
  <c r="E13105" i="2"/>
  <c r="D13105" i="2"/>
  <c r="F13104" i="2"/>
  <c r="E13104" i="2"/>
  <c r="D13104" i="2"/>
  <c r="F13103" i="2"/>
  <c r="E13103" i="2"/>
  <c r="D13103" i="2"/>
  <c r="F13102" i="2"/>
  <c r="E13102" i="2"/>
  <c r="D13102" i="2"/>
  <c r="F13101" i="2"/>
  <c r="E13101" i="2"/>
  <c r="D13101" i="2"/>
  <c r="F13100" i="2"/>
  <c r="E13100" i="2"/>
  <c r="D13100" i="2"/>
  <c r="F13099" i="2"/>
  <c r="E13099" i="2"/>
  <c r="D13099" i="2"/>
  <c r="F13098" i="2"/>
  <c r="E13098" i="2"/>
  <c r="D13098" i="2"/>
  <c r="F13097" i="2"/>
  <c r="E13097" i="2"/>
  <c r="D13097" i="2"/>
  <c r="F13096" i="2"/>
  <c r="E13096" i="2"/>
  <c r="D13096" i="2"/>
  <c r="F13095" i="2"/>
  <c r="E13095" i="2"/>
  <c r="D13095" i="2"/>
  <c r="F13094" i="2"/>
  <c r="E13094" i="2"/>
  <c r="D13094" i="2"/>
  <c r="F13093" i="2"/>
  <c r="E13093" i="2"/>
  <c r="D13093" i="2"/>
  <c r="F13092" i="2"/>
  <c r="E13092" i="2"/>
  <c r="D13092" i="2"/>
  <c r="F13091" i="2"/>
  <c r="E13091" i="2"/>
  <c r="D13091" i="2"/>
  <c r="F13090" i="2"/>
  <c r="E13090" i="2"/>
  <c r="D13090" i="2"/>
  <c r="F13089" i="2"/>
  <c r="E13089" i="2"/>
  <c r="D13089" i="2"/>
  <c r="F13088" i="2"/>
  <c r="E13088" i="2"/>
  <c r="D13088" i="2"/>
  <c r="F13087" i="2"/>
  <c r="E13087" i="2"/>
  <c r="D13087" i="2"/>
  <c r="F13086" i="2"/>
  <c r="E13086" i="2"/>
  <c r="D13086" i="2"/>
  <c r="F13085" i="2"/>
  <c r="E13085" i="2"/>
  <c r="D13085" i="2"/>
  <c r="F13084" i="2"/>
  <c r="E13084" i="2"/>
  <c r="D13084" i="2"/>
  <c r="F13082" i="2"/>
  <c r="E13082" i="2"/>
  <c r="D13082" i="2"/>
  <c r="F13083" i="2"/>
  <c r="E13083" i="2"/>
  <c r="D13083" i="2"/>
  <c r="F13081" i="2"/>
  <c r="E13081" i="2"/>
  <c r="D13081" i="2"/>
  <c r="F13080" i="2"/>
  <c r="E13080" i="2"/>
  <c r="D13080" i="2"/>
  <c r="F13079" i="2"/>
  <c r="E13079" i="2"/>
  <c r="D13079" i="2"/>
  <c r="F13078" i="2"/>
  <c r="E13078" i="2"/>
  <c r="D13078" i="2"/>
  <c r="F13077" i="2"/>
  <c r="E13077" i="2"/>
  <c r="D13077" i="2"/>
  <c r="F13076" i="2"/>
  <c r="E13076" i="2"/>
  <c r="D13076" i="2"/>
  <c r="F13075" i="2"/>
  <c r="E13075" i="2"/>
  <c r="D13075" i="2"/>
  <c r="F13074" i="2"/>
  <c r="E13074" i="2"/>
  <c r="D13074" i="2"/>
  <c r="F13073" i="2"/>
  <c r="E13073" i="2"/>
  <c r="D13073" i="2"/>
  <c r="F13072" i="2"/>
  <c r="E13072" i="2"/>
  <c r="D13072" i="2"/>
  <c r="F13071" i="2"/>
  <c r="E13071" i="2"/>
  <c r="D13071" i="2"/>
  <c r="F13070" i="2"/>
  <c r="E13070" i="2"/>
  <c r="D13070" i="2"/>
  <c r="F13069" i="2"/>
  <c r="E13069" i="2"/>
  <c r="D13069" i="2"/>
  <c r="F13068" i="2"/>
  <c r="E13068" i="2"/>
  <c r="D13068" i="2"/>
  <c r="F13067" i="2"/>
  <c r="E13067" i="2"/>
  <c r="D13067" i="2"/>
  <c r="F13066" i="2"/>
  <c r="E13066" i="2"/>
  <c r="D13066" i="2"/>
  <c r="F13065" i="2"/>
  <c r="E13065" i="2"/>
  <c r="D13065" i="2"/>
  <c r="F13064" i="2"/>
  <c r="E13064" i="2"/>
  <c r="D13064" i="2"/>
  <c r="F13062" i="2"/>
  <c r="E13062" i="2"/>
  <c r="D13062" i="2"/>
  <c r="F13063" i="2"/>
  <c r="E13063" i="2"/>
  <c r="D13063" i="2"/>
  <c r="F13061" i="2"/>
  <c r="E13061" i="2"/>
  <c r="D13061" i="2"/>
  <c r="F13060" i="2"/>
  <c r="E13060" i="2"/>
  <c r="D13060" i="2"/>
  <c r="F2050" i="2"/>
  <c r="E2050" i="2"/>
  <c r="D2050" i="2"/>
  <c r="F2049" i="2"/>
  <c r="E2049" i="2"/>
  <c r="D2049" i="2"/>
  <c r="F2048" i="2"/>
  <c r="E2048" i="2"/>
  <c r="D2048" i="2"/>
  <c r="F2047" i="2"/>
  <c r="E2047" i="2"/>
  <c r="D2047" i="2"/>
  <c r="F2046" i="2"/>
  <c r="E2046" i="2"/>
  <c r="D2046" i="2"/>
  <c r="F2045" i="2"/>
  <c r="E2045" i="2"/>
  <c r="D2045" i="2"/>
  <c r="F2044" i="2"/>
  <c r="E2044" i="2"/>
  <c r="D2044" i="2"/>
  <c r="F2043" i="2"/>
  <c r="E2043" i="2"/>
  <c r="D2043" i="2"/>
  <c r="F2042" i="2"/>
  <c r="E2042" i="2"/>
  <c r="D2042" i="2"/>
  <c r="F2041" i="2"/>
  <c r="E2041" i="2"/>
  <c r="D2041" i="2"/>
  <c r="F2040" i="2"/>
  <c r="E2040" i="2"/>
  <c r="D2040" i="2"/>
  <c r="F2039" i="2"/>
  <c r="E2039" i="2"/>
  <c r="D2039" i="2"/>
  <c r="F2038" i="2"/>
  <c r="E2038" i="2"/>
  <c r="D2038" i="2"/>
  <c r="F2037" i="2"/>
  <c r="E2037" i="2"/>
  <c r="D2037" i="2"/>
  <c r="F15174" i="2"/>
  <c r="E15174" i="2"/>
  <c r="D15174" i="2"/>
  <c r="F15183" i="2"/>
  <c r="E15183" i="2"/>
  <c r="D15183" i="2"/>
  <c r="F15182" i="2"/>
  <c r="E15182" i="2"/>
  <c r="D15182" i="2"/>
  <c r="F15181" i="2"/>
  <c r="E15181" i="2"/>
  <c r="D15181" i="2"/>
  <c r="F15179" i="2"/>
  <c r="E15179" i="2"/>
  <c r="D15179" i="2"/>
  <c r="F15180" i="2"/>
  <c r="E15180" i="2"/>
  <c r="D15180" i="2"/>
  <c r="F15178" i="2"/>
  <c r="E15178" i="2"/>
  <c r="D15178" i="2"/>
  <c r="F15177" i="2"/>
  <c r="E15177" i="2"/>
  <c r="D15177" i="2"/>
  <c r="F15176" i="2"/>
  <c r="E15176" i="2"/>
  <c r="D15176" i="2"/>
  <c r="F15175" i="2"/>
  <c r="E15175" i="2"/>
  <c r="D15175" i="2"/>
  <c r="F15173" i="2"/>
  <c r="E15173" i="2"/>
  <c r="D15173" i="2"/>
  <c r="F7042" i="2"/>
  <c r="E7042" i="2"/>
  <c r="D7042" i="2"/>
  <c r="F7049" i="2"/>
  <c r="E7049" i="2"/>
  <c r="D7049" i="2"/>
  <c r="F7048" i="2"/>
  <c r="E7048" i="2"/>
  <c r="D7048" i="2"/>
  <c r="F7047" i="2"/>
  <c r="E7047" i="2"/>
  <c r="D7047" i="2"/>
  <c r="F7046" i="2"/>
  <c r="E7046" i="2"/>
  <c r="D7046" i="2"/>
  <c r="F7045" i="2"/>
  <c r="E7045" i="2"/>
  <c r="D7045" i="2"/>
  <c r="F7044" i="2"/>
  <c r="E7044" i="2"/>
  <c r="D7044" i="2"/>
  <c r="F7043" i="2"/>
  <c r="E7043" i="2"/>
  <c r="D7043" i="2"/>
  <c r="F2124" i="2"/>
  <c r="E2124" i="2"/>
  <c r="D2124" i="2"/>
  <c r="F2123" i="2"/>
  <c r="E2123" i="2"/>
  <c r="D2123" i="2"/>
  <c r="F2122" i="2"/>
  <c r="E2122" i="2"/>
  <c r="D2122" i="2"/>
  <c r="F2121" i="2"/>
  <c r="E2121" i="2"/>
  <c r="D2121" i="2"/>
  <c r="F2120" i="2"/>
  <c r="E2120" i="2"/>
  <c r="D2120" i="2"/>
  <c r="F2119" i="2"/>
  <c r="E2119" i="2"/>
  <c r="D2119" i="2"/>
  <c r="F2118" i="2"/>
  <c r="E2118" i="2"/>
  <c r="D2118" i="2"/>
  <c r="F2117" i="2"/>
  <c r="E2117" i="2"/>
  <c r="D2117" i="2"/>
  <c r="F2116" i="2"/>
  <c r="E2116" i="2"/>
  <c r="D2116" i="2"/>
  <c r="F2115" i="2"/>
  <c r="E2115" i="2"/>
  <c r="D2115" i="2"/>
  <c r="F2114" i="2"/>
  <c r="E2114" i="2"/>
  <c r="D2114" i="2"/>
  <c r="F2113" i="2"/>
  <c r="E2113" i="2"/>
  <c r="D2113" i="2"/>
  <c r="F2112" i="2"/>
  <c r="E2112" i="2"/>
  <c r="D2112" i="2"/>
  <c r="F2111" i="2"/>
  <c r="E2111" i="2"/>
  <c r="D2111" i="2"/>
  <c r="F2110" i="2"/>
  <c r="E2110" i="2"/>
  <c r="D2110" i="2"/>
  <c r="F13235" i="2"/>
  <c r="E13235" i="2"/>
  <c r="D13235" i="2"/>
  <c r="F13234" i="2"/>
  <c r="E13234" i="2"/>
  <c r="D13234" i="2"/>
  <c r="F13233" i="2"/>
  <c r="E13233" i="2"/>
  <c r="D13233" i="2"/>
  <c r="F13232" i="2"/>
  <c r="E13232" i="2"/>
  <c r="D13232" i="2"/>
  <c r="F13231" i="2"/>
  <c r="E13231" i="2"/>
  <c r="D13231" i="2"/>
  <c r="F13230" i="2"/>
  <c r="E13230" i="2"/>
  <c r="D13230" i="2"/>
  <c r="F13229" i="2"/>
  <c r="E13229" i="2"/>
  <c r="D13229" i="2"/>
  <c r="F13228" i="2"/>
  <c r="E13228" i="2"/>
  <c r="D13228" i="2"/>
  <c r="F13227" i="2"/>
  <c r="E13227" i="2"/>
  <c r="D13227" i="2"/>
  <c r="F13226" i="2"/>
  <c r="E13226" i="2"/>
  <c r="D13226" i="2"/>
  <c r="F13225" i="2"/>
  <c r="E13225" i="2"/>
  <c r="D13225" i="2"/>
  <c r="F13224" i="2"/>
  <c r="E13224" i="2"/>
  <c r="D13224" i="2"/>
  <c r="F13223" i="2"/>
  <c r="E13223" i="2"/>
  <c r="D13223" i="2"/>
  <c r="F2109" i="2"/>
  <c r="E2109" i="2"/>
  <c r="D2109" i="2"/>
  <c r="F2108" i="2"/>
  <c r="E2108" i="2"/>
  <c r="D2108" i="2"/>
  <c r="F2107" i="2"/>
  <c r="E2107" i="2"/>
  <c r="D2107" i="2"/>
  <c r="F2106" i="2"/>
  <c r="E2106" i="2"/>
  <c r="D2106" i="2"/>
  <c r="F2105" i="2"/>
  <c r="E2105" i="2"/>
  <c r="D2105" i="2"/>
  <c r="F2104" i="2"/>
  <c r="E2104" i="2"/>
  <c r="D2104" i="2"/>
  <c r="F2103" i="2"/>
  <c r="E2103" i="2"/>
  <c r="D2103" i="2"/>
  <c r="F2102" i="2"/>
  <c r="E2102" i="2"/>
  <c r="D2102" i="2"/>
  <c r="F2101" i="2"/>
  <c r="E2101" i="2"/>
  <c r="D2101" i="2"/>
  <c r="F2100" i="2"/>
  <c r="E2100" i="2"/>
  <c r="D2100" i="2"/>
  <c r="F10017" i="2"/>
  <c r="E10017" i="2"/>
  <c r="D10017" i="2"/>
  <c r="F10029" i="2"/>
  <c r="E10029" i="2"/>
  <c r="D10029" i="2"/>
  <c r="F10028" i="2"/>
  <c r="E10028" i="2"/>
  <c r="D10028" i="2"/>
  <c r="F10027" i="2"/>
  <c r="E10027" i="2"/>
  <c r="D10027" i="2"/>
  <c r="F10026" i="2"/>
  <c r="E10026" i="2"/>
  <c r="D10026" i="2"/>
  <c r="F10025" i="2"/>
  <c r="E10025" i="2"/>
  <c r="D10025" i="2"/>
  <c r="F10024" i="2"/>
  <c r="E10024" i="2"/>
  <c r="D10024" i="2"/>
  <c r="F10023" i="2"/>
  <c r="E10023" i="2"/>
  <c r="D10023" i="2"/>
  <c r="F10022" i="2"/>
  <c r="E10022" i="2"/>
  <c r="D10022" i="2"/>
  <c r="F10021" i="2"/>
  <c r="E10021" i="2"/>
  <c r="D10021" i="2"/>
  <c r="F10020" i="2"/>
  <c r="E10020" i="2"/>
  <c r="D10020" i="2"/>
  <c r="F10019" i="2"/>
  <c r="E10019" i="2"/>
  <c r="D10019" i="2"/>
  <c r="F10018" i="2"/>
  <c r="E10018" i="2"/>
  <c r="D10018" i="2"/>
  <c r="F2079" i="2"/>
  <c r="E2079" i="2"/>
  <c r="D2079" i="2"/>
  <c r="F2080" i="2"/>
  <c r="E2080" i="2"/>
  <c r="D2080" i="2"/>
  <c r="F2081" i="2"/>
  <c r="E2081" i="2"/>
  <c r="D2081" i="2"/>
  <c r="F13887" i="2"/>
  <c r="E13887" i="2"/>
  <c r="D13887" i="2"/>
  <c r="F13891" i="2"/>
  <c r="E13891" i="2"/>
  <c r="D13891" i="2"/>
  <c r="F13890" i="2"/>
  <c r="E13890" i="2"/>
  <c r="D13890" i="2"/>
  <c r="F13889" i="2"/>
  <c r="E13889" i="2"/>
  <c r="D13889" i="2"/>
  <c r="F13888" i="2"/>
  <c r="E13888" i="2"/>
  <c r="D13888" i="2"/>
  <c r="F12688" i="2"/>
  <c r="E12688" i="2"/>
  <c r="D12688" i="2"/>
  <c r="F12698" i="2"/>
  <c r="E12698" i="2"/>
  <c r="D12698" i="2"/>
  <c r="F12697" i="2"/>
  <c r="E12697" i="2"/>
  <c r="D12697" i="2"/>
  <c r="F12696" i="2"/>
  <c r="E12696" i="2"/>
  <c r="D12696" i="2"/>
  <c r="F12695" i="2"/>
  <c r="E12695" i="2"/>
  <c r="D12695" i="2"/>
  <c r="F12694" i="2"/>
  <c r="E12694" i="2"/>
  <c r="D12694" i="2"/>
  <c r="F12693" i="2"/>
  <c r="E12693" i="2"/>
  <c r="D12693" i="2"/>
  <c r="F12692" i="2"/>
  <c r="E12692" i="2"/>
  <c r="D12692" i="2"/>
  <c r="F12691" i="2"/>
  <c r="E12691" i="2"/>
  <c r="D12691" i="2"/>
  <c r="F12690" i="2"/>
  <c r="E12690" i="2"/>
  <c r="D12690" i="2"/>
  <c r="F12689" i="2"/>
  <c r="E12689" i="2"/>
  <c r="D12689" i="2"/>
  <c r="F14684" i="2"/>
  <c r="E14684" i="2"/>
  <c r="D14684" i="2"/>
  <c r="F14683" i="2"/>
  <c r="E14683" i="2"/>
  <c r="D14683" i="2"/>
  <c r="F14682" i="2"/>
  <c r="E14682" i="2"/>
  <c r="D14682" i="2"/>
  <c r="F14681" i="2"/>
  <c r="E14681" i="2"/>
  <c r="D14681" i="2"/>
  <c r="F3989" i="2"/>
  <c r="E3989" i="2"/>
  <c r="D3989" i="2"/>
  <c r="F3999" i="2"/>
  <c r="E3999" i="2"/>
  <c r="D3999" i="2"/>
  <c r="F3998" i="2"/>
  <c r="E3998" i="2"/>
  <c r="D3998" i="2"/>
  <c r="F3997" i="2"/>
  <c r="E3997" i="2"/>
  <c r="D3997" i="2"/>
  <c r="F3996" i="2"/>
  <c r="E3996" i="2"/>
  <c r="D3996" i="2"/>
  <c r="F3995" i="2"/>
  <c r="E3995" i="2"/>
  <c r="D3995" i="2"/>
  <c r="F3994" i="2"/>
  <c r="E3994" i="2"/>
  <c r="D3994" i="2"/>
  <c r="F3993" i="2"/>
  <c r="E3993" i="2"/>
  <c r="D3993" i="2"/>
  <c r="F3992" i="2"/>
  <c r="E3992" i="2"/>
  <c r="D3992" i="2"/>
  <c r="F3991" i="2"/>
  <c r="E3991" i="2"/>
  <c r="D3991" i="2"/>
  <c r="F3990" i="2"/>
  <c r="E3990" i="2"/>
  <c r="D3990" i="2"/>
  <c r="F14685" i="2"/>
  <c r="E14685" i="2"/>
  <c r="D14685" i="2"/>
  <c r="F14703" i="2"/>
  <c r="E14703" i="2"/>
  <c r="D14703" i="2"/>
  <c r="F14702" i="2"/>
  <c r="E14702" i="2"/>
  <c r="D14702" i="2"/>
  <c r="F14701" i="2"/>
  <c r="E14701" i="2"/>
  <c r="D14701" i="2"/>
  <c r="F14700" i="2"/>
  <c r="E14700" i="2"/>
  <c r="D14700" i="2"/>
  <c r="F14699" i="2"/>
  <c r="E14699" i="2"/>
  <c r="D14699" i="2"/>
  <c r="F14698" i="2"/>
  <c r="E14698" i="2"/>
  <c r="D14698" i="2"/>
  <c r="F14697" i="2"/>
  <c r="E14697" i="2"/>
  <c r="D14697" i="2"/>
  <c r="F14696" i="2"/>
  <c r="E14696" i="2"/>
  <c r="D14696" i="2"/>
  <c r="F14695" i="2"/>
  <c r="E14695" i="2"/>
  <c r="D14695" i="2"/>
  <c r="F14694" i="2"/>
  <c r="E14694" i="2"/>
  <c r="D14694" i="2"/>
  <c r="F14693" i="2"/>
  <c r="E14693" i="2"/>
  <c r="D14693" i="2"/>
  <c r="F14692" i="2"/>
  <c r="E14692" i="2"/>
  <c r="D14692" i="2"/>
  <c r="F14691" i="2"/>
  <c r="E14691" i="2"/>
  <c r="D14691" i="2"/>
  <c r="F14690" i="2"/>
  <c r="E14690" i="2"/>
  <c r="D14690" i="2"/>
  <c r="F14689" i="2"/>
  <c r="E14689" i="2"/>
  <c r="D14689" i="2"/>
  <c r="F14688" i="2"/>
  <c r="E14688" i="2"/>
  <c r="D14688" i="2"/>
  <c r="F14687" i="2"/>
  <c r="E14687" i="2"/>
  <c r="D14687" i="2"/>
  <c r="F14686" i="2"/>
  <c r="E14686" i="2"/>
  <c r="D14686" i="2"/>
  <c r="F6159" i="2"/>
  <c r="E6159" i="2"/>
  <c r="D6159" i="2"/>
  <c r="F6178" i="2"/>
  <c r="E6178" i="2"/>
  <c r="D6178" i="2"/>
  <c r="F6177" i="2"/>
  <c r="E6177" i="2"/>
  <c r="D6177" i="2"/>
  <c r="F6176" i="2"/>
  <c r="E6176" i="2"/>
  <c r="D6176" i="2"/>
  <c r="F6175" i="2"/>
  <c r="E6175" i="2"/>
  <c r="D6175" i="2"/>
  <c r="F6174" i="2"/>
  <c r="E6174" i="2"/>
  <c r="D6174" i="2"/>
  <c r="F6173" i="2"/>
  <c r="E6173" i="2"/>
  <c r="D6173" i="2"/>
  <c r="F6172" i="2"/>
  <c r="E6172" i="2"/>
  <c r="D6172" i="2"/>
  <c r="F6171" i="2"/>
  <c r="E6171" i="2"/>
  <c r="D6171" i="2"/>
  <c r="F6170" i="2"/>
  <c r="E6170" i="2"/>
  <c r="D6170" i="2"/>
  <c r="F6169" i="2"/>
  <c r="E6169" i="2"/>
  <c r="D6169" i="2"/>
  <c r="F6168" i="2"/>
  <c r="E6168" i="2"/>
  <c r="D6168" i="2"/>
  <c r="F6167" i="2"/>
  <c r="E6167" i="2"/>
  <c r="D6167" i="2"/>
  <c r="F6166" i="2"/>
  <c r="E6166" i="2"/>
  <c r="D6166" i="2"/>
  <c r="F6165" i="2"/>
  <c r="E6165" i="2"/>
  <c r="D6165" i="2"/>
  <c r="F6164" i="2"/>
  <c r="E6164" i="2"/>
  <c r="D6164" i="2"/>
  <c r="F6163" i="2"/>
  <c r="E6163" i="2"/>
  <c r="D6163" i="2"/>
  <c r="F6162" i="2"/>
  <c r="E6162" i="2"/>
  <c r="D6162" i="2"/>
  <c r="F6161" i="2"/>
  <c r="E6161" i="2"/>
  <c r="D6161" i="2"/>
  <c r="F6160" i="2"/>
  <c r="E6160" i="2"/>
  <c r="D6160" i="2"/>
  <c r="F6158" i="2"/>
  <c r="E6158" i="2"/>
  <c r="D6158" i="2"/>
  <c r="F3378" i="2"/>
  <c r="E3378" i="2"/>
  <c r="D3378" i="2"/>
  <c r="F3377" i="2"/>
  <c r="E3377" i="2"/>
  <c r="D3377" i="2"/>
  <c r="F3376" i="2"/>
  <c r="E3376" i="2"/>
  <c r="D3376" i="2"/>
  <c r="F3375" i="2"/>
  <c r="E3375" i="2"/>
  <c r="D3375" i="2"/>
  <c r="F3374" i="2"/>
  <c r="E3374" i="2"/>
  <c r="D3374" i="2"/>
  <c r="F3373" i="2"/>
  <c r="E3373" i="2"/>
  <c r="D3373" i="2"/>
  <c r="F3372" i="2"/>
  <c r="E3372" i="2"/>
  <c r="D3372" i="2"/>
  <c r="F3371" i="2"/>
  <c r="E3371" i="2"/>
  <c r="D3371" i="2"/>
  <c r="F3369" i="2"/>
  <c r="E3369" i="2"/>
  <c r="D3369" i="2"/>
  <c r="F3370" i="2"/>
  <c r="E3370" i="2"/>
  <c r="D3370" i="2"/>
  <c r="F3368" i="2"/>
  <c r="E3368" i="2"/>
  <c r="D3368" i="2"/>
  <c r="F3367" i="2"/>
  <c r="E3367" i="2"/>
  <c r="D3367" i="2"/>
  <c r="F3366" i="2"/>
  <c r="E3366" i="2"/>
  <c r="D3366" i="2"/>
  <c r="F14323" i="2"/>
  <c r="E14323" i="2"/>
  <c r="D14323" i="2"/>
  <c r="F14322" i="2"/>
  <c r="E14322" i="2"/>
  <c r="D14322" i="2"/>
  <c r="F14321" i="2"/>
  <c r="E14321" i="2"/>
  <c r="D14321" i="2"/>
  <c r="F14320" i="2"/>
  <c r="E14320" i="2"/>
  <c r="D14320" i="2"/>
  <c r="F14319" i="2"/>
  <c r="E14319" i="2"/>
  <c r="D14319" i="2"/>
  <c r="F14318" i="2"/>
  <c r="E14318" i="2"/>
  <c r="D14318" i="2"/>
  <c r="F14317" i="2"/>
  <c r="E14317" i="2"/>
  <c r="D14317" i="2"/>
  <c r="F14316" i="2"/>
  <c r="E14316" i="2"/>
  <c r="D14316" i="2"/>
  <c r="F14315" i="2"/>
  <c r="E14315" i="2"/>
  <c r="D14315" i="2"/>
  <c r="F14314" i="2"/>
  <c r="E14314" i="2"/>
  <c r="D14314" i="2"/>
  <c r="F14313" i="2"/>
  <c r="E14313" i="2"/>
  <c r="D14313" i="2"/>
  <c r="F14312" i="2"/>
  <c r="E14312" i="2"/>
  <c r="D14312" i="2"/>
  <c r="F14311" i="2"/>
  <c r="E14311" i="2"/>
  <c r="D14311" i="2"/>
  <c r="F14310" i="2"/>
  <c r="E14310" i="2"/>
  <c r="D14310" i="2"/>
  <c r="F14309" i="2"/>
  <c r="E14309" i="2"/>
  <c r="D14309" i="2"/>
  <c r="F14307" i="2"/>
  <c r="E14307" i="2"/>
  <c r="D14307" i="2"/>
  <c r="F14308" i="2"/>
  <c r="E14308" i="2"/>
  <c r="D14308" i="2"/>
  <c r="F14306" i="2"/>
  <c r="E14306" i="2"/>
  <c r="D14306" i="2"/>
  <c r="F4392" i="2"/>
  <c r="E4392" i="2"/>
  <c r="D4392" i="2"/>
  <c r="F4397" i="2"/>
  <c r="E4397" i="2"/>
  <c r="D4397" i="2"/>
  <c r="F4396" i="2"/>
  <c r="E4396" i="2"/>
  <c r="D4396" i="2"/>
  <c r="F4395" i="2"/>
  <c r="E4395" i="2"/>
  <c r="D4395" i="2"/>
  <c r="F4394" i="2"/>
  <c r="E4394" i="2"/>
  <c r="D4394" i="2"/>
  <c r="F4393" i="2"/>
  <c r="E4393" i="2"/>
  <c r="D4393" i="2"/>
  <c r="F2177" i="2"/>
  <c r="E2177" i="2"/>
  <c r="D2177" i="2"/>
  <c r="F2176" i="2"/>
  <c r="E2176" i="2"/>
  <c r="D2176" i="2"/>
  <c r="F2175" i="2"/>
  <c r="E2175" i="2"/>
  <c r="D2175" i="2"/>
  <c r="F2174" i="2"/>
  <c r="E2174" i="2"/>
  <c r="D2174" i="2"/>
  <c r="F2173" i="2"/>
  <c r="E2173" i="2"/>
  <c r="D2173" i="2"/>
  <c r="F2172" i="2"/>
  <c r="E2172" i="2"/>
  <c r="D2172" i="2"/>
  <c r="F2171" i="2"/>
  <c r="E2171" i="2"/>
  <c r="D2171" i="2"/>
  <c r="F2170" i="2"/>
  <c r="E2170" i="2"/>
  <c r="D2170" i="2"/>
  <c r="F2169" i="2"/>
  <c r="E2169" i="2"/>
  <c r="D2169" i="2"/>
  <c r="F2168" i="2"/>
  <c r="E2168" i="2"/>
  <c r="D2168" i="2"/>
  <c r="F2167" i="2"/>
  <c r="E2167" i="2"/>
  <c r="D2167" i="2"/>
  <c r="F2166" i="2"/>
  <c r="E2166" i="2"/>
  <c r="D2166" i="2"/>
  <c r="F2165" i="2"/>
  <c r="E2165" i="2"/>
  <c r="D2165" i="2"/>
  <c r="F2164" i="2"/>
  <c r="E2164" i="2"/>
  <c r="D2164" i="2"/>
  <c r="F12805" i="2"/>
  <c r="E12805" i="2"/>
  <c r="D12805" i="2"/>
  <c r="F12812" i="2"/>
  <c r="E12812" i="2"/>
  <c r="D12812" i="2"/>
  <c r="F12811" i="2"/>
  <c r="E12811" i="2"/>
  <c r="D12811" i="2"/>
  <c r="F12810" i="2"/>
  <c r="E12810" i="2"/>
  <c r="D12810" i="2"/>
  <c r="F12809" i="2"/>
  <c r="E12809" i="2"/>
  <c r="D12809" i="2"/>
  <c r="F12808" i="2"/>
  <c r="E12808" i="2"/>
  <c r="D12808" i="2"/>
  <c r="F12807" i="2"/>
  <c r="E12807" i="2"/>
  <c r="D12807" i="2"/>
  <c r="F12806" i="2"/>
  <c r="E12806" i="2"/>
  <c r="D12806" i="2"/>
  <c r="F12804" i="2"/>
  <c r="E12804" i="2"/>
  <c r="D12804" i="2"/>
  <c r="F1495" i="2"/>
  <c r="E1495" i="2"/>
  <c r="D1495" i="2"/>
  <c r="F1504" i="2"/>
  <c r="E1504" i="2"/>
  <c r="D1504" i="2"/>
  <c r="F1503" i="2"/>
  <c r="E1503" i="2"/>
  <c r="D1503" i="2"/>
  <c r="F1502" i="2"/>
  <c r="E1502" i="2"/>
  <c r="D1502" i="2"/>
  <c r="F1501" i="2"/>
  <c r="E1501" i="2"/>
  <c r="D1501" i="2"/>
  <c r="F1500" i="2"/>
  <c r="E1500" i="2"/>
  <c r="D1500" i="2"/>
  <c r="F1499" i="2"/>
  <c r="E1499" i="2"/>
  <c r="D1499" i="2"/>
  <c r="F1498" i="2"/>
  <c r="E1498" i="2"/>
  <c r="D1498" i="2"/>
  <c r="F1497" i="2"/>
  <c r="E1497" i="2"/>
  <c r="D1497" i="2"/>
  <c r="F1496" i="2"/>
  <c r="E1496" i="2"/>
  <c r="D1496" i="2"/>
  <c r="F1594" i="2"/>
  <c r="E1594" i="2"/>
  <c r="D1594" i="2"/>
  <c r="F1600" i="2"/>
  <c r="E1600" i="2"/>
  <c r="D1600" i="2"/>
  <c r="F1599" i="2"/>
  <c r="E1599" i="2"/>
  <c r="D1599" i="2"/>
  <c r="F1598" i="2"/>
  <c r="E1598" i="2"/>
  <c r="D1598" i="2"/>
  <c r="F1597" i="2"/>
  <c r="E1597" i="2"/>
  <c r="D1597" i="2"/>
  <c r="F1596" i="2"/>
  <c r="E1596" i="2"/>
  <c r="D1596" i="2"/>
  <c r="F1595" i="2"/>
  <c r="E1595" i="2"/>
  <c r="D1595" i="2"/>
  <c r="F8838" i="2"/>
  <c r="E8838" i="2"/>
  <c r="D8838" i="2"/>
  <c r="F8837" i="2"/>
  <c r="E8837" i="2"/>
  <c r="D8837" i="2"/>
  <c r="F8836" i="2"/>
  <c r="E8836" i="2"/>
  <c r="D8836" i="2"/>
  <c r="F8835" i="2"/>
  <c r="E8835" i="2"/>
  <c r="D8835" i="2"/>
  <c r="F8834" i="2"/>
  <c r="E8834" i="2"/>
  <c r="D8834" i="2"/>
  <c r="F8833" i="2"/>
  <c r="E8833" i="2"/>
  <c r="D8833" i="2"/>
  <c r="F8832" i="2"/>
  <c r="E8832" i="2"/>
  <c r="D8832" i="2"/>
  <c r="F8831" i="2"/>
  <c r="E8831" i="2"/>
  <c r="D8831" i="2"/>
  <c r="F8830" i="2"/>
  <c r="E8830" i="2"/>
  <c r="D8830" i="2"/>
  <c r="F8828" i="2"/>
  <c r="E8828" i="2"/>
  <c r="D8828" i="2"/>
  <c r="F8829" i="2"/>
  <c r="E8829" i="2"/>
  <c r="D8829" i="2"/>
  <c r="F12094" i="2"/>
  <c r="E12094" i="2"/>
  <c r="D12094" i="2"/>
  <c r="F12093" i="2"/>
  <c r="E12093" i="2"/>
  <c r="D12093" i="2"/>
  <c r="F12092" i="2"/>
  <c r="E12092" i="2"/>
  <c r="D12092" i="2"/>
  <c r="F12091" i="2"/>
  <c r="E12091" i="2"/>
  <c r="D12091" i="2"/>
  <c r="F12090" i="2"/>
  <c r="E12090" i="2"/>
  <c r="D12090" i="2"/>
  <c r="F12089" i="2"/>
  <c r="E12089" i="2"/>
  <c r="D12089" i="2"/>
  <c r="F12088" i="2"/>
  <c r="E12088" i="2"/>
  <c r="D12088" i="2"/>
  <c r="F12087" i="2"/>
  <c r="E12087" i="2"/>
  <c r="D12087" i="2"/>
  <c r="F12086" i="2"/>
  <c r="E12086" i="2"/>
  <c r="D12086" i="2"/>
  <c r="F12085" i="2"/>
  <c r="E12085" i="2"/>
  <c r="D12085" i="2"/>
  <c r="F12084" i="2"/>
  <c r="E12084" i="2"/>
  <c r="D12084" i="2"/>
  <c r="F12083" i="2"/>
  <c r="E12083" i="2"/>
  <c r="D12083" i="2"/>
  <c r="F12082" i="2"/>
  <c r="E12082" i="2"/>
  <c r="D12082" i="2"/>
  <c r="F12081" i="2"/>
  <c r="E12081" i="2"/>
  <c r="D12081" i="2"/>
  <c r="F12080" i="2"/>
  <c r="E12080" i="2"/>
  <c r="D12080" i="2"/>
  <c r="F12079" i="2"/>
  <c r="E12079" i="2"/>
  <c r="D12079" i="2"/>
  <c r="F12078" i="2"/>
  <c r="E12078" i="2"/>
  <c r="D12078" i="2"/>
  <c r="F12077" i="2"/>
  <c r="E12077" i="2"/>
  <c r="D12077" i="2"/>
  <c r="F12076" i="2"/>
  <c r="E12076" i="2"/>
  <c r="D12076" i="2"/>
  <c r="F12075" i="2"/>
  <c r="E12075" i="2"/>
  <c r="D12075" i="2"/>
  <c r="F12074" i="2"/>
  <c r="E12074" i="2"/>
  <c r="D12074" i="2"/>
  <c r="F12073" i="2"/>
  <c r="E12073" i="2"/>
  <c r="D12073" i="2"/>
  <c r="F12072" i="2"/>
  <c r="E12072" i="2"/>
  <c r="D12072" i="2"/>
  <c r="F12071" i="2"/>
  <c r="E12071" i="2"/>
  <c r="D12071" i="2"/>
  <c r="F12070" i="2"/>
  <c r="E12070" i="2"/>
  <c r="D12070" i="2"/>
  <c r="F12069" i="2"/>
  <c r="E12069" i="2"/>
  <c r="D12069" i="2"/>
  <c r="F12068" i="2"/>
  <c r="E12068" i="2"/>
  <c r="D12068" i="2"/>
  <c r="F12067" i="2"/>
  <c r="E12067" i="2"/>
  <c r="D12067" i="2"/>
  <c r="F12066" i="2"/>
  <c r="E12066" i="2"/>
  <c r="D12066" i="2"/>
  <c r="F12065" i="2"/>
  <c r="E12065" i="2"/>
  <c r="D12065" i="2"/>
  <c r="F3258" i="2"/>
  <c r="E3258" i="2"/>
  <c r="D3258" i="2"/>
  <c r="F3277" i="2"/>
  <c r="E3277" i="2"/>
  <c r="D3277" i="2"/>
  <c r="F3276" i="2"/>
  <c r="E3276" i="2"/>
  <c r="D3276" i="2"/>
  <c r="F3275" i="2"/>
  <c r="E3275" i="2"/>
  <c r="D3275" i="2"/>
  <c r="F3274" i="2"/>
  <c r="E3274" i="2"/>
  <c r="D3274" i="2"/>
  <c r="F3273" i="2"/>
  <c r="E3273" i="2"/>
  <c r="D3273" i="2"/>
  <c r="F3272" i="2"/>
  <c r="E3272" i="2"/>
  <c r="D3272" i="2"/>
  <c r="F3271" i="2"/>
  <c r="E3271" i="2"/>
  <c r="D3271" i="2"/>
  <c r="F3270" i="2"/>
  <c r="E3270" i="2"/>
  <c r="D3270" i="2"/>
  <c r="F3269" i="2"/>
  <c r="E3269" i="2"/>
  <c r="D3269" i="2"/>
  <c r="F3268" i="2"/>
  <c r="E3268" i="2"/>
  <c r="D3268" i="2"/>
  <c r="F3267" i="2"/>
  <c r="E3267" i="2"/>
  <c r="D3267" i="2"/>
  <c r="F3266" i="2"/>
  <c r="E3266" i="2"/>
  <c r="D3266" i="2"/>
  <c r="F3265" i="2"/>
  <c r="E3265" i="2"/>
  <c r="D3265" i="2"/>
  <c r="F3264" i="2"/>
  <c r="E3264" i="2"/>
  <c r="D3264" i="2"/>
  <c r="F3263" i="2"/>
  <c r="E3263" i="2"/>
  <c r="D3263" i="2"/>
  <c r="F3262" i="2"/>
  <c r="E3262" i="2"/>
  <c r="D3262" i="2"/>
  <c r="F3261" i="2"/>
  <c r="E3261" i="2"/>
  <c r="D3261" i="2"/>
  <c r="F3260" i="2"/>
  <c r="E3260" i="2"/>
  <c r="D3260" i="2"/>
  <c r="F3259" i="2"/>
  <c r="E3259" i="2"/>
  <c r="D3259" i="2"/>
  <c r="F6267" i="2"/>
  <c r="E6267" i="2"/>
  <c r="D6267" i="2"/>
  <c r="F6268" i="2"/>
  <c r="E6268" i="2"/>
  <c r="D6268" i="2"/>
  <c r="F3406" i="2"/>
  <c r="E3406" i="2"/>
  <c r="D3406" i="2"/>
  <c r="F3418" i="2"/>
  <c r="E3418" i="2"/>
  <c r="D3418" i="2"/>
  <c r="F3417" i="2"/>
  <c r="E3417" i="2"/>
  <c r="D3417" i="2"/>
  <c r="F3416" i="2"/>
  <c r="E3416" i="2"/>
  <c r="D3416" i="2"/>
  <c r="F3415" i="2"/>
  <c r="E3415" i="2"/>
  <c r="D3415" i="2"/>
  <c r="F3414" i="2"/>
  <c r="E3414" i="2"/>
  <c r="D3414" i="2"/>
  <c r="F3413" i="2"/>
  <c r="E3413" i="2"/>
  <c r="D3413" i="2"/>
  <c r="F3412" i="2"/>
  <c r="E3412" i="2"/>
  <c r="D3412" i="2"/>
  <c r="F3411" i="2"/>
  <c r="E3411" i="2"/>
  <c r="D3411" i="2"/>
  <c r="F3410" i="2"/>
  <c r="E3410" i="2"/>
  <c r="D3410" i="2"/>
  <c r="F3409" i="2"/>
  <c r="E3409" i="2"/>
  <c r="D3409" i="2"/>
  <c r="F3408" i="2"/>
  <c r="E3408" i="2"/>
  <c r="D3408" i="2"/>
  <c r="F3407" i="2"/>
  <c r="E3407" i="2"/>
  <c r="D3407" i="2"/>
  <c r="F14064" i="2"/>
  <c r="E14064" i="2"/>
  <c r="D14064" i="2"/>
  <c r="F14078" i="2"/>
  <c r="E14078" i="2"/>
  <c r="D14078" i="2"/>
  <c r="F14077" i="2"/>
  <c r="E14077" i="2"/>
  <c r="D14077" i="2"/>
  <c r="F14076" i="2"/>
  <c r="E14076" i="2"/>
  <c r="D14076" i="2"/>
  <c r="F14075" i="2"/>
  <c r="E14075" i="2"/>
  <c r="D14075" i="2"/>
  <c r="F14074" i="2"/>
  <c r="E14074" i="2"/>
  <c r="D14074" i="2"/>
  <c r="F14073" i="2"/>
  <c r="E14073" i="2"/>
  <c r="D14073" i="2"/>
  <c r="F14072" i="2"/>
  <c r="E14072" i="2"/>
  <c r="D14072" i="2"/>
  <c r="F14071" i="2"/>
  <c r="E14071" i="2"/>
  <c r="D14071" i="2"/>
  <c r="F14070" i="2"/>
  <c r="E14070" i="2"/>
  <c r="D14070" i="2"/>
  <c r="F14069" i="2"/>
  <c r="E14069" i="2"/>
  <c r="D14069" i="2"/>
  <c r="F14068" i="2"/>
  <c r="E14068" i="2"/>
  <c r="D14068" i="2"/>
  <c r="F14067" i="2"/>
  <c r="E14067" i="2"/>
  <c r="D14067" i="2"/>
  <c r="F14066" i="2"/>
  <c r="E14066" i="2"/>
  <c r="D14066" i="2"/>
  <c r="F14065" i="2"/>
  <c r="E14065" i="2"/>
  <c r="D14065" i="2"/>
  <c r="F13116" i="2"/>
  <c r="E13116" i="2"/>
  <c r="D13116" i="2"/>
  <c r="F13137" i="2"/>
  <c r="E13137" i="2"/>
  <c r="D13137" i="2"/>
  <c r="F13136" i="2"/>
  <c r="E13136" i="2"/>
  <c r="D13136" i="2"/>
  <c r="F13135" i="2"/>
  <c r="E13135" i="2"/>
  <c r="D13135" i="2"/>
  <c r="F13134" i="2"/>
  <c r="E13134" i="2"/>
  <c r="D13134" i="2"/>
  <c r="F13133" i="2"/>
  <c r="E13133" i="2"/>
  <c r="D13133" i="2"/>
  <c r="F13132" i="2"/>
  <c r="E13132" i="2"/>
  <c r="D13132" i="2"/>
  <c r="F13131" i="2"/>
  <c r="E13131" i="2"/>
  <c r="D13131" i="2"/>
  <c r="F13130" i="2"/>
  <c r="E13130" i="2"/>
  <c r="D13130" i="2"/>
  <c r="F13129" i="2"/>
  <c r="E13129" i="2"/>
  <c r="D13129" i="2"/>
  <c r="F13128" i="2"/>
  <c r="E13128" i="2"/>
  <c r="D13128" i="2"/>
  <c r="F13127" i="2"/>
  <c r="E13127" i="2"/>
  <c r="D13127" i="2"/>
  <c r="F13126" i="2"/>
  <c r="E13126" i="2"/>
  <c r="D13126" i="2"/>
  <c r="F13125" i="2"/>
  <c r="E13125" i="2"/>
  <c r="D13125" i="2"/>
  <c r="F13124" i="2"/>
  <c r="E13124" i="2"/>
  <c r="D13124" i="2"/>
  <c r="F13123" i="2"/>
  <c r="E13123" i="2"/>
  <c r="D13123" i="2"/>
  <c r="F13122" i="2"/>
  <c r="E13122" i="2"/>
  <c r="D13122" i="2"/>
  <c r="F13121" i="2"/>
  <c r="E13121" i="2"/>
  <c r="D13121" i="2"/>
  <c r="F13120" i="2"/>
  <c r="E13120" i="2"/>
  <c r="D13120" i="2"/>
  <c r="F13118" i="2"/>
  <c r="E13118" i="2"/>
  <c r="D13118" i="2"/>
  <c r="F13119" i="2"/>
  <c r="E13119" i="2"/>
  <c r="D13119" i="2"/>
  <c r="F13117" i="2"/>
  <c r="E13117" i="2"/>
  <c r="D13117" i="2"/>
  <c r="F9627" i="2"/>
  <c r="E9627" i="2"/>
  <c r="D9627" i="2"/>
  <c r="F9626" i="2"/>
  <c r="E9626" i="2"/>
  <c r="D9626" i="2"/>
  <c r="F2139" i="2"/>
  <c r="E2139" i="2"/>
  <c r="D2139" i="2"/>
  <c r="F2163" i="2"/>
  <c r="E2163" i="2"/>
  <c r="D2163" i="2"/>
  <c r="F2162" i="2"/>
  <c r="E2162" i="2"/>
  <c r="D2162" i="2"/>
  <c r="F2161" i="2"/>
  <c r="E2161" i="2"/>
  <c r="D2161" i="2"/>
  <c r="F2160" i="2"/>
  <c r="E2160" i="2"/>
  <c r="D2160" i="2"/>
  <c r="F2159" i="2"/>
  <c r="E2159" i="2"/>
  <c r="D2159" i="2"/>
  <c r="F2158" i="2"/>
  <c r="E2158" i="2"/>
  <c r="D2158" i="2"/>
  <c r="F2157" i="2"/>
  <c r="E2157" i="2"/>
  <c r="D2157" i="2"/>
  <c r="F2156" i="2"/>
  <c r="E2156" i="2"/>
  <c r="D2156" i="2"/>
  <c r="F2155" i="2"/>
  <c r="E2155" i="2"/>
  <c r="D2155" i="2"/>
  <c r="F2154" i="2"/>
  <c r="E2154" i="2"/>
  <c r="D2154" i="2"/>
  <c r="F2153" i="2"/>
  <c r="E2153" i="2"/>
  <c r="D2153" i="2"/>
  <c r="F2152" i="2"/>
  <c r="E2152" i="2"/>
  <c r="D2152" i="2"/>
  <c r="F2151" i="2"/>
  <c r="E2151" i="2"/>
  <c r="D2151" i="2"/>
  <c r="F2150" i="2"/>
  <c r="E2150" i="2"/>
  <c r="D2150" i="2"/>
  <c r="F2149" i="2"/>
  <c r="E2149" i="2"/>
  <c r="D2149" i="2"/>
  <c r="F2148" i="2"/>
  <c r="E2148" i="2"/>
  <c r="D2148" i="2"/>
  <c r="F2147" i="2"/>
  <c r="E2147" i="2"/>
  <c r="D2147" i="2"/>
  <c r="F2146" i="2"/>
  <c r="E2146" i="2"/>
  <c r="D2146" i="2"/>
  <c r="F2144" i="2"/>
  <c r="E2144" i="2"/>
  <c r="D2144" i="2"/>
  <c r="F2145" i="2"/>
  <c r="E2145" i="2"/>
  <c r="D2145" i="2"/>
  <c r="F2143" i="2"/>
  <c r="E2143" i="2"/>
  <c r="D2143" i="2"/>
  <c r="F2142" i="2"/>
  <c r="E2142" i="2"/>
  <c r="D2142" i="2"/>
  <c r="F2141" i="2"/>
  <c r="E2141" i="2"/>
  <c r="D2141" i="2"/>
  <c r="F2140" i="2"/>
  <c r="E2140" i="2"/>
  <c r="D2140" i="2"/>
  <c r="F5741" i="2"/>
  <c r="E5741" i="2"/>
  <c r="D5741" i="2"/>
  <c r="F5776" i="2"/>
  <c r="E5776" i="2"/>
  <c r="D5776" i="2"/>
  <c r="F5775" i="2"/>
  <c r="E5775" i="2"/>
  <c r="D5775" i="2"/>
  <c r="F5774" i="2"/>
  <c r="E5774" i="2"/>
  <c r="D5774" i="2"/>
  <c r="F5773" i="2"/>
  <c r="E5773" i="2"/>
  <c r="D5773" i="2"/>
  <c r="F5772" i="2"/>
  <c r="E5772" i="2"/>
  <c r="D5772" i="2"/>
  <c r="F5771" i="2"/>
  <c r="E5771" i="2"/>
  <c r="D5771" i="2"/>
  <c r="F5770" i="2"/>
  <c r="E5770" i="2"/>
  <c r="D5770" i="2"/>
  <c r="F5769" i="2"/>
  <c r="E5769" i="2"/>
  <c r="D5769" i="2"/>
  <c r="F5768" i="2"/>
  <c r="E5768" i="2"/>
  <c r="D5768" i="2"/>
  <c r="F5767" i="2"/>
  <c r="E5767" i="2"/>
  <c r="D5767" i="2"/>
  <c r="F5766" i="2"/>
  <c r="E5766" i="2"/>
  <c r="D5766" i="2"/>
  <c r="F5765" i="2"/>
  <c r="E5765" i="2"/>
  <c r="D5765" i="2"/>
  <c r="F5764" i="2"/>
  <c r="E5764" i="2"/>
  <c r="D5764" i="2"/>
  <c r="F5763" i="2"/>
  <c r="E5763" i="2"/>
  <c r="D5763" i="2"/>
  <c r="F5762" i="2"/>
  <c r="E5762" i="2"/>
  <c r="D5762" i="2"/>
  <c r="F5761" i="2"/>
  <c r="E5761" i="2"/>
  <c r="D5761" i="2"/>
  <c r="F5760" i="2"/>
  <c r="E5760" i="2"/>
  <c r="D5760" i="2"/>
  <c r="F5759" i="2"/>
  <c r="E5759" i="2"/>
  <c r="D5759" i="2"/>
  <c r="F5758" i="2"/>
  <c r="E5758" i="2"/>
  <c r="D5758" i="2"/>
  <c r="F5757" i="2"/>
  <c r="E5757" i="2"/>
  <c r="D5757" i="2"/>
  <c r="F5756" i="2"/>
  <c r="E5756" i="2"/>
  <c r="D5756" i="2"/>
  <c r="F5755" i="2"/>
  <c r="E5755" i="2"/>
  <c r="D5755" i="2"/>
  <c r="F5754" i="2"/>
  <c r="E5754" i="2"/>
  <c r="D5754" i="2"/>
  <c r="F5753" i="2"/>
  <c r="E5753" i="2"/>
  <c r="D5753" i="2"/>
  <c r="F5752" i="2"/>
  <c r="E5752" i="2"/>
  <c r="D5752" i="2"/>
  <c r="F5751" i="2"/>
  <c r="E5751" i="2"/>
  <c r="D5751" i="2"/>
  <c r="F5750" i="2"/>
  <c r="E5750" i="2"/>
  <c r="D5750" i="2"/>
  <c r="F5749" i="2"/>
  <c r="E5749" i="2"/>
  <c r="D5749" i="2"/>
  <c r="F5748" i="2"/>
  <c r="E5748" i="2"/>
  <c r="D5748" i="2"/>
  <c r="F5747" i="2"/>
  <c r="E5747" i="2"/>
  <c r="D5747" i="2"/>
  <c r="F5746" i="2"/>
  <c r="E5746" i="2"/>
  <c r="D5746" i="2"/>
  <c r="F5745" i="2"/>
  <c r="E5745" i="2"/>
  <c r="D5745" i="2"/>
  <c r="F5744" i="2"/>
  <c r="E5744" i="2"/>
  <c r="D5744" i="2"/>
  <c r="F5743" i="2"/>
  <c r="E5743" i="2"/>
  <c r="D5743" i="2"/>
  <c r="F5742" i="2"/>
  <c r="E5742" i="2"/>
  <c r="D5742" i="2"/>
  <c r="F5506" i="2"/>
  <c r="E5506" i="2"/>
  <c r="D5506" i="2"/>
  <c r="F5505" i="2"/>
  <c r="E5505" i="2"/>
  <c r="D5505" i="2"/>
  <c r="F5504" i="2"/>
  <c r="E5504" i="2"/>
  <c r="D5504" i="2"/>
  <c r="F5503" i="2"/>
  <c r="E5503" i="2"/>
  <c r="D5503" i="2"/>
  <c r="F5502" i="2"/>
  <c r="E5502" i="2"/>
  <c r="D5502" i="2"/>
  <c r="F5501" i="2"/>
  <c r="E5501" i="2"/>
  <c r="D5501" i="2"/>
  <c r="F5500" i="2"/>
  <c r="E5500" i="2"/>
  <c r="D5500" i="2"/>
  <c r="F5499" i="2"/>
  <c r="E5499" i="2"/>
  <c r="D5499" i="2"/>
  <c r="F5498" i="2"/>
  <c r="E5498" i="2"/>
  <c r="D5498" i="2"/>
  <c r="F5497" i="2"/>
  <c r="E5497" i="2"/>
  <c r="D5497" i="2"/>
  <c r="F5496" i="2"/>
  <c r="E5496" i="2"/>
  <c r="D5496" i="2"/>
  <c r="F5495" i="2"/>
  <c r="E5495" i="2"/>
  <c r="D5495" i="2"/>
  <c r="F5494" i="2"/>
  <c r="E5494" i="2"/>
  <c r="D5494" i="2"/>
  <c r="F5493" i="2"/>
  <c r="E5493" i="2"/>
  <c r="D5493" i="2"/>
  <c r="F5492" i="2"/>
  <c r="E5492" i="2"/>
  <c r="D5492" i="2"/>
  <c r="F5491" i="2"/>
  <c r="E5491" i="2"/>
  <c r="D5491" i="2"/>
  <c r="F5490" i="2"/>
  <c r="E5490" i="2"/>
  <c r="D5490" i="2"/>
  <c r="F5489" i="2"/>
  <c r="E5489" i="2"/>
  <c r="D5489" i="2"/>
  <c r="F2209" i="2"/>
  <c r="E2209" i="2"/>
  <c r="D2209" i="2"/>
  <c r="F2244" i="2"/>
  <c r="E2244" i="2"/>
  <c r="D2244" i="2"/>
  <c r="F2243" i="2"/>
  <c r="E2243" i="2"/>
  <c r="D2243" i="2"/>
  <c r="F2242" i="2"/>
  <c r="E2242" i="2"/>
  <c r="D2242" i="2"/>
  <c r="F2241" i="2"/>
  <c r="E2241" i="2"/>
  <c r="D2241" i="2"/>
  <c r="F2240" i="2"/>
  <c r="E2240" i="2"/>
  <c r="D2240" i="2"/>
  <c r="F2239" i="2"/>
  <c r="E2239" i="2"/>
  <c r="D2239" i="2"/>
  <c r="F2238" i="2"/>
  <c r="E2238" i="2"/>
  <c r="D2238" i="2"/>
  <c r="F2237" i="2"/>
  <c r="E2237" i="2"/>
  <c r="D2237" i="2"/>
  <c r="F2236" i="2"/>
  <c r="E2236" i="2"/>
  <c r="D2236" i="2"/>
  <c r="F2235" i="2"/>
  <c r="E2235" i="2"/>
  <c r="D2235" i="2"/>
  <c r="F2234" i="2"/>
  <c r="E2234" i="2"/>
  <c r="D2234" i="2"/>
  <c r="F2233" i="2"/>
  <c r="E2233" i="2"/>
  <c r="D2233" i="2"/>
  <c r="F2232" i="2"/>
  <c r="E2232" i="2"/>
  <c r="D2232" i="2"/>
  <c r="F2231" i="2"/>
  <c r="E2231" i="2"/>
  <c r="D2231" i="2"/>
  <c r="F2230" i="2"/>
  <c r="E2230" i="2"/>
  <c r="D2230" i="2"/>
  <c r="F2229" i="2"/>
  <c r="E2229" i="2"/>
  <c r="D2229" i="2"/>
  <c r="F2228" i="2"/>
  <c r="E2228" i="2"/>
  <c r="D2228" i="2"/>
  <c r="F2227" i="2"/>
  <c r="E2227" i="2"/>
  <c r="D2227" i="2"/>
  <c r="F2226" i="2"/>
  <c r="E2226" i="2"/>
  <c r="D2226" i="2"/>
  <c r="F2225" i="2"/>
  <c r="E2225" i="2"/>
  <c r="D2225" i="2"/>
  <c r="F2224" i="2"/>
  <c r="E2224" i="2"/>
  <c r="D2224" i="2"/>
  <c r="F2223" i="2"/>
  <c r="E2223" i="2"/>
  <c r="D2223" i="2"/>
  <c r="F2222" i="2"/>
  <c r="E2222" i="2"/>
  <c r="D2222" i="2"/>
  <c r="F2221" i="2"/>
  <c r="E2221" i="2"/>
  <c r="D2221" i="2"/>
  <c r="F2220" i="2"/>
  <c r="E2220" i="2"/>
  <c r="D2220" i="2"/>
  <c r="F2219" i="2"/>
  <c r="E2219" i="2"/>
  <c r="D2219" i="2"/>
  <c r="F2218" i="2"/>
  <c r="E2218" i="2"/>
  <c r="D2218" i="2"/>
  <c r="F2217" i="2"/>
  <c r="E2217" i="2"/>
  <c r="D2217" i="2"/>
  <c r="F2216" i="2"/>
  <c r="E2216" i="2"/>
  <c r="D2216" i="2"/>
  <c r="F2215" i="2"/>
  <c r="E2215" i="2"/>
  <c r="D2215" i="2"/>
  <c r="F2214" i="2"/>
  <c r="E2214" i="2"/>
  <c r="D2214" i="2"/>
  <c r="F2213" i="2"/>
  <c r="E2213" i="2"/>
  <c r="D2213" i="2"/>
  <c r="F2212" i="2"/>
  <c r="E2212" i="2"/>
  <c r="D2212" i="2"/>
  <c r="F2211" i="2"/>
  <c r="E2211" i="2"/>
  <c r="D2211" i="2"/>
  <c r="F2210" i="2"/>
  <c r="E2210" i="2"/>
  <c r="D2210" i="2"/>
  <c r="F2208" i="2"/>
  <c r="E2208" i="2"/>
  <c r="D2208" i="2"/>
  <c r="F2207" i="2"/>
  <c r="E2207" i="2"/>
  <c r="D2207" i="2"/>
  <c r="F2206" i="2"/>
  <c r="E2206" i="2"/>
  <c r="D2206" i="2"/>
  <c r="F2205" i="2"/>
  <c r="E2205" i="2"/>
  <c r="D2205" i="2"/>
  <c r="F2204" i="2"/>
  <c r="E2204" i="2"/>
  <c r="D2204" i="2"/>
  <c r="F2203" i="2"/>
  <c r="E2203" i="2"/>
  <c r="D2203" i="2"/>
  <c r="F2202" i="2"/>
  <c r="E2202" i="2"/>
  <c r="D2202" i="2"/>
  <c r="F2201" i="2"/>
  <c r="E2201" i="2"/>
  <c r="D2201" i="2"/>
  <c r="F2200" i="2"/>
  <c r="E2200" i="2"/>
  <c r="D2200" i="2"/>
  <c r="F2199" i="2"/>
  <c r="E2199" i="2"/>
  <c r="D2199" i="2"/>
  <c r="F2198" i="2"/>
  <c r="E2198" i="2"/>
  <c r="D2198" i="2"/>
  <c r="F2197" i="2"/>
  <c r="E2197" i="2"/>
  <c r="D2197" i="2"/>
  <c r="F2196" i="2"/>
  <c r="E2196" i="2"/>
  <c r="D2196" i="2"/>
  <c r="F2195" i="2"/>
  <c r="E2195" i="2"/>
  <c r="D2195" i="2"/>
  <c r="F2194" i="2"/>
  <c r="E2194" i="2"/>
  <c r="D2194" i="2"/>
  <c r="F2193" i="2"/>
  <c r="E2193" i="2"/>
  <c r="D2193" i="2"/>
  <c r="F2192" i="2"/>
  <c r="E2192" i="2"/>
  <c r="D2192" i="2"/>
  <c r="F2191" i="2"/>
  <c r="E2191" i="2"/>
  <c r="D2191" i="2"/>
  <c r="F2190" i="2"/>
  <c r="E2190" i="2"/>
  <c r="D2190" i="2"/>
  <c r="F2189" i="2"/>
  <c r="E2189" i="2"/>
  <c r="D2189" i="2"/>
  <c r="F2188" i="2"/>
  <c r="E2188" i="2"/>
  <c r="D2188" i="2"/>
  <c r="F2187" i="2"/>
  <c r="E2187" i="2"/>
  <c r="D2187" i="2"/>
  <c r="F2186" i="2"/>
  <c r="E2186" i="2"/>
  <c r="D2186" i="2"/>
  <c r="F2185" i="2"/>
  <c r="E2185" i="2"/>
  <c r="D2185" i="2"/>
  <c r="F2184" i="2"/>
  <c r="E2184" i="2"/>
  <c r="D2184" i="2"/>
  <c r="F2183" i="2"/>
  <c r="E2183" i="2"/>
  <c r="D2183" i="2"/>
  <c r="F2182" i="2"/>
  <c r="E2182" i="2"/>
  <c r="D2182" i="2"/>
  <c r="F2181" i="2"/>
  <c r="E2181" i="2"/>
  <c r="D2181" i="2"/>
  <c r="F2180" i="2" l="1"/>
  <c r="E2180" i="2"/>
  <c r="D2180" i="2"/>
  <c r="F2179" i="2"/>
  <c r="E2179" i="2"/>
  <c r="D2179" i="2"/>
  <c r="F2178" i="2"/>
  <c r="E2178" i="2"/>
  <c r="D2178" i="2"/>
  <c r="F12687" i="2"/>
  <c r="E12687" i="2"/>
  <c r="D12687" i="2"/>
  <c r="F12686" i="2"/>
  <c r="E12686" i="2"/>
  <c r="D12686" i="2"/>
  <c r="F12685" i="2"/>
  <c r="E12685" i="2"/>
  <c r="D12685" i="2"/>
  <c r="F12684" i="2"/>
  <c r="E12684" i="2"/>
  <c r="D12684" i="2"/>
  <c r="F12683" i="2"/>
  <c r="E12683" i="2"/>
  <c r="D12683" i="2"/>
  <c r="F12682" i="2"/>
  <c r="E12682" i="2"/>
  <c r="D12682" i="2"/>
  <c r="F12681" i="2"/>
  <c r="E12681" i="2"/>
  <c r="D12681" i="2"/>
  <c r="F12679" i="2"/>
  <c r="E12679" i="2"/>
  <c r="D12679" i="2"/>
  <c r="F12680" i="2"/>
  <c r="E12680" i="2"/>
  <c r="D12680" i="2"/>
  <c r="F11816" i="2"/>
  <c r="E11816" i="2"/>
  <c r="D11816" i="2"/>
  <c r="F11828" i="2"/>
  <c r="E11828" i="2"/>
  <c r="D11828" i="2"/>
  <c r="F11827" i="2"/>
  <c r="E11827" i="2"/>
  <c r="D11827" i="2"/>
  <c r="F11826" i="2"/>
  <c r="E11826" i="2"/>
  <c r="D11826" i="2"/>
  <c r="F11825" i="2"/>
  <c r="E11825" i="2"/>
  <c r="D11825" i="2"/>
  <c r="F11824" i="2"/>
  <c r="E11824" i="2"/>
  <c r="D11824" i="2"/>
  <c r="F11823" i="2"/>
  <c r="E11823" i="2"/>
  <c r="D11823" i="2"/>
  <c r="F11822" i="2"/>
  <c r="E11822" i="2"/>
  <c r="D11822" i="2"/>
  <c r="F11821" i="2"/>
  <c r="E11821" i="2"/>
  <c r="D11821" i="2"/>
  <c r="F11820" i="2"/>
  <c r="E11820" i="2"/>
  <c r="D11820" i="2"/>
  <c r="F11819" i="2"/>
  <c r="E11819" i="2"/>
  <c r="D11819" i="2"/>
  <c r="F11818" i="2"/>
  <c r="E11818" i="2"/>
  <c r="D11818" i="2"/>
  <c r="F11817" i="2"/>
  <c r="E11817" i="2"/>
  <c r="D11817" i="2"/>
  <c r="F14842" i="2"/>
  <c r="E14842" i="2"/>
  <c r="D14842" i="2"/>
  <c r="F14860" i="2"/>
  <c r="E14860" i="2"/>
  <c r="D14860" i="2"/>
  <c r="F14859" i="2"/>
  <c r="E14859" i="2"/>
  <c r="D14859" i="2"/>
  <c r="F14858" i="2"/>
  <c r="E14858" i="2"/>
  <c r="D14858" i="2"/>
  <c r="F14857" i="2"/>
  <c r="E14857" i="2"/>
  <c r="D14857" i="2"/>
  <c r="F14856" i="2"/>
  <c r="E14856" i="2"/>
  <c r="D14856" i="2"/>
  <c r="F14855" i="2"/>
  <c r="E14855" i="2"/>
  <c r="D14855" i="2"/>
  <c r="F14854" i="2"/>
  <c r="E14854" i="2"/>
  <c r="D14854" i="2"/>
  <c r="F14853" i="2"/>
  <c r="E14853" i="2"/>
  <c r="D14853" i="2"/>
  <c r="F14852" i="2"/>
  <c r="E14852" i="2"/>
  <c r="D14852" i="2"/>
  <c r="F14851" i="2"/>
  <c r="E14851" i="2"/>
  <c r="D14851" i="2"/>
  <c r="F14850" i="2"/>
  <c r="E14850" i="2"/>
  <c r="D14850" i="2"/>
  <c r="F14849" i="2"/>
  <c r="E14849" i="2"/>
  <c r="D14849" i="2"/>
  <c r="F14848" i="2"/>
  <c r="E14848" i="2"/>
  <c r="D14848" i="2"/>
  <c r="F14847" i="2"/>
  <c r="E14847" i="2"/>
  <c r="D14847" i="2"/>
  <c r="F14846" i="2"/>
  <c r="E14846" i="2"/>
  <c r="D14846" i="2"/>
  <c r="F14845" i="2"/>
  <c r="E14845" i="2"/>
  <c r="D14845" i="2"/>
  <c r="F14844" i="2"/>
  <c r="E14844" i="2"/>
  <c r="D14844" i="2"/>
  <c r="F14843" i="2"/>
  <c r="E14843" i="2"/>
  <c r="D14843" i="2"/>
  <c r="F12192" i="2"/>
  <c r="E12192" i="2"/>
  <c r="D12192" i="2"/>
  <c r="F12200" i="2"/>
  <c r="E12200" i="2"/>
  <c r="D12200" i="2"/>
  <c r="F12199" i="2"/>
  <c r="E12199" i="2"/>
  <c r="D12199" i="2"/>
  <c r="F12198" i="2"/>
  <c r="E12198" i="2"/>
  <c r="D12198" i="2"/>
  <c r="F12197" i="2"/>
  <c r="E12197" i="2"/>
  <c r="D12197" i="2"/>
  <c r="F12196" i="2"/>
  <c r="E12196" i="2"/>
  <c r="D12196" i="2"/>
  <c r="F12195" i="2"/>
  <c r="E12195" i="2"/>
  <c r="D12195" i="2"/>
  <c r="F12194" i="2"/>
  <c r="E12194" i="2"/>
  <c r="D12194" i="2"/>
  <c r="F12193" i="2"/>
  <c r="E12193" i="2"/>
  <c r="D12193" i="2"/>
  <c r="F12926" i="2"/>
  <c r="E12926" i="2"/>
  <c r="D12926" i="2"/>
  <c r="F12925" i="2"/>
  <c r="E12925" i="2"/>
  <c r="D12925" i="2"/>
  <c r="F12924" i="2"/>
  <c r="E12924" i="2"/>
  <c r="D12924" i="2"/>
  <c r="F12923" i="2"/>
  <c r="E12923" i="2"/>
  <c r="D12923" i="2"/>
  <c r="F12922" i="2"/>
  <c r="E12922" i="2"/>
  <c r="D12922" i="2"/>
  <c r="F12921" i="2"/>
  <c r="E12921" i="2"/>
  <c r="D12921" i="2"/>
  <c r="F12920" i="2"/>
  <c r="E12920" i="2"/>
  <c r="D12920" i="2"/>
  <c r="F12919" i="2"/>
  <c r="E12919" i="2"/>
  <c r="D12919" i="2"/>
  <c r="F12918" i="2"/>
  <c r="E12918" i="2"/>
  <c r="D12918" i="2"/>
  <c r="F12917" i="2"/>
  <c r="E12917" i="2"/>
  <c r="D12917" i="2"/>
  <c r="F12916" i="2"/>
  <c r="E12916" i="2"/>
  <c r="D12916" i="2"/>
  <c r="F7516" i="2"/>
  <c r="E7516" i="2"/>
  <c r="D7516" i="2"/>
  <c r="F7532" i="2"/>
  <c r="E7532" i="2"/>
  <c r="D7532" i="2"/>
  <c r="F7531" i="2"/>
  <c r="E7531" i="2"/>
  <c r="D7531" i="2"/>
  <c r="F7530" i="2"/>
  <c r="E7530" i="2"/>
  <c r="D7530" i="2"/>
  <c r="F7529" i="2"/>
  <c r="E7529" i="2"/>
  <c r="D7529" i="2"/>
  <c r="F7528" i="2"/>
  <c r="E7528" i="2"/>
  <c r="D7528" i="2"/>
  <c r="F7527" i="2"/>
  <c r="E7527" i="2"/>
  <c r="D7527" i="2"/>
  <c r="F7526" i="2"/>
  <c r="E7526" i="2"/>
  <c r="D7526" i="2"/>
  <c r="F7524" i="2"/>
  <c r="E7524" i="2"/>
  <c r="D7524" i="2"/>
  <c r="F7525" i="2"/>
  <c r="E7525" i="2"/>
  <c r="D7525" i="2"/>
  <c r="F7523" i="2"/>
  <c r="E7523" i="2"/>
  <c r="D7523" i="2"/>
  <c r="F7522" i="2"/>
  <c r="E7522" i="2"/>
  <c r="D7522" i="2"/>
  <c r="F7521" i="2"/>
  <c r="E7521" i="2"/>
  <c r="D7521" i="2"/>
  <c r="F7520" i="2"/>
  <c r="E7520" i="2"/>
  <c r="D7520" i="2"/>
  <c r="F7519" i="2"/>
  <c r="E7519" i="2"/>
  <c r="D7519" i="2"/>
  <c r="F7518" i="2"/>
  <c r="E7518" i="2"/>
  <c r="D7518" i="2"/>
  <c r="F7517" i="2"/>
  <c r="E7517" i="2"/>
  <c r="D7517" i="2"/>
  <c r="F8821" i="2"/>
  <c r="E8821" i="2"/>
  <c r="D8821" i="2"/>
  <c r="F8820" i="2"/>
  <c r="E8820" i="2"/>
  <c r="D8820" i="2"/>
  <c r="F8819" i="2"/>
  <c r="E8819" i="2"/>
  <c r="D8819" i="2"/>
  <c r="F8818" i="2"/>
  <c r="E8818" i="2"/>
  <c r="D8818" i="2"/>
  <c r="F8817" i="2"/>
  <c r="E8817" i="2"/>
  <c r="D8817" i="2"/>
  <c r="F8816" i="2"/>
  <c r="E8816" i="2"/>
  <c r="D8816" i="2"/>
  <c r="F8815" i="2"/>
  <c r="E8815" i="2"/>
  <c r="D8815" i="2"/>
  <c r="F8814" i="2"/>
  <c r="E8814" i="2"/>
  <c r="D8814" i="2"/>
  <c r="F497" i="2"/>
  <c r="E497" i="2"/>
  <c r="D497" i="2"/>
  <c r="F496" i="2"/>
  <c r="E496" i="2"/>
  <c r="D496" i="2"/>
  <c r="F495" i="2"/>
  <c r="E495" i="2"/>
  <c r="D495" i="2"/>
  <c r="F494" i="2"/>
  <c r="E494" i="2"/>
  <c r="D494" i="2"/>
  <c r="F493" i="2"/>
  <c r="E493" i="2"/>
  <c r="D493" i="2"/>
  <c r="F492" i="2"/>
  <c r="E492" i="2"/>
  <c r="D492" i="2"/>
  <c r="F491" i="2"/>
  <c r="E491" i="2"/>
  <c r="D491" i="2"/>
  <c r="F490" i="2"/>
  <c r="E490" i="2"/>
  <c r="D490" i="2"/>
  <c r="F488" i="2"/>
  <c r="E488" i="2"/>
  <c r="D488" i="2"/>
  <c r="F489" i="2"/>
  <c r="E489" i="2"/>
  <c r="D489" i="2"/>
  <c r="F11041" i="2"/>
  <c r="E11041" i="2"/>
  <c r="D11041" i="2"/>
  <c r="F11053" i="2"/>
  <c r="E11053" i="2"/>
  <c r="D11053" i="2"/>
  <c r="F11052" i="2"/>
  <c r="E11052" i="2"/>
  <c r="D11052" i="2"/>
  <c r="F11051" i="2"/>
  <c r="E11051" i="2"/>
  <c r="D11051" i="2"/>
  <c r="F11050" i="2"/>
  <c r="E11050" i="2"/>
  <c r="D11050" i="2"/>
  <c r="F11049" i="2"/>
  <c r="E11049" i="2"/>
  <c r="D11049" i="2"/>
  <c r="F11048" i="2"/>
  <c r="E11048" i="2"/>
  <c r="D11048" i="2"/>
  <c r="F11047" i="2"/>
  <c r="E11047" i="2"/>
  <c r="D11047" i="2"/>
  <c r="F11046" i="2"/>
  <c r="E11046" i="2"/>
  <c r="D11046" i="2"/>
  <c r="F11045" i="2"/>
  <c r="E11045" i="2"/>
  <c r="D11045" i="2"/>
  <c r="F11044" i="2"/>
  <c r="E11044" i="2"/>
  <c r="D11044" i="2"/>
  <c r="F11043" i="2"/>
  <c r="E11043" i="2"/>
  <c r="D11043" i="2"/>
  <c r="F11042" i="2"/>
  <c r="E11042" i="2"/>
  <c r="D11042" i="2"/>
  <c r="F13209" i="2"/>
  <c r="E13209" i="2"/>
  <c r="D13209" i="2"/>
  <c r="F13207" i="2"/>
  <c r="E13207" i="2"/>
  <c r="D13207" i="2"/>
  <c r="F13208" i="2"/>
  <c r="E13208" i="2"/>
  <c r="D13208" i="2"/>
  <c r="F12820" i="2"/>
  <c r="E12820" i="2"/>
  <c r="D12820" i="2"/>
  <c r="F12819" i="2"/>
  <c r="E12819" i="2"/>
  <c r="D12819" i="2"/>
  <c r="F12818" i="2"/>
  <c r="E12818" i="2"/>
  <c r="D12818" i="2"/>
  <c r="F12817" i="2"/>
  <c r="E12817" i="2"/>
  <c r="D12817" i="2"/>
  <c r="F12816" i="2"/>
  <c r="E12816" i="2"/>
  <c r="D12816" i="2"/>
  <c r="F12815" i="2"/>
  <c r="E12815" i="2"/>
  <c r="D12815" i="2"/>
  <c r="F12814" i="2"/>
  <c r="E12814" i="2"/>
  <c r="D12814" i="2"/>
  <c r="F12813" i="2"/>
  <c r="E12813" i="2"/>
  <c r="D12813" i="2"/>
  <c r="F7487" i="2"/>
  <c r="E7487" i="2"/>
  <c r="D7487" i="2"/>
  <c r="F7494" i="2"/>
  <c r="E7494" i="2"/>
  <c r="D7494" i="2"/>
  <c r="F7493" i="2"/>
  <c r="E7493" i="2"/>
  <c r="D7493" i="2"/>
  <c r="F7492" i="2"/>
  <c r="E7492" i="2"/>
  <c r="D7492" i="2"/>
  <c r="F7491" i="2"/>
  <c r="E7491" i="2"/>
  <c r="D7491" i="2"/>
  <c r="F7490" i="2"/>
  <c r="E7490" i="2"/>
  <c r="D7490" i="2"/>
  <c r="F7489" i="2"/>
  <c r="E7489" i="2"/>
  <c r="D7489" i="2"/>
  <c r="F7488" i="2"/>
  <c r="E7488" i="2"/>
  <c r="D7488" i="2"/>
  <c r="F5793" i="2"/>
  <c r="E5793" i="2"/>
  <c r="D5793" i="2"/>
  <c r="F5823" i="2"/>
  <c r="E5823" i="2"/>
  <c r="D5823" i="2"/>
  <c r="F5822" i="2"/>
  <c r="E5822" i="2"/>
  <c r="D5822" i="2"/>
  <c r="F5821" i="2"/>
  <c r="E5821" i="2"/>
  <c r="D5821" i="2"/>
  <c r="F5820" i="2"/>
  <c r="E5820" i="2"/>
  <c r="D5820" i="2"/>
  <c r="F5819" i="2"/>
  <c r="E5819" i="2"/>
  <c r="D5819" i="2"/>
  <c r="F5818" i="2"/>
  <c r="E5818" i="2"/>
  <c r="D5818" i="2"/>
  <c r="F5817" i="2"/>
  <c r="E5817" i="2"/>
  <c r="D5817" i="2"/>
  <c r="F5816" i="2"/>
  <c r="E5816" i="2"/>
  <c r="D5816" i="2"/>
  <c r="F5815" i="2"/>
  <c r="E5815" i="2"/>
  <c r="D5815" i="2"/>
  <c r="F5814" i="2"/>
  <c r="E5814" i="2"/>
  <c r="D5814" i="2"/>
  <c r="F5813" i="2"/>
  <c r="E5813" i="2"/>
  <c r="D5813" i="2"/>
  <c r="F5812" i="2"/>
  <c r="E5812" i="2"/>
  <c r="D5812" i="2"/>
  <c r="F5811" i="2"/>
  <c r="E5811" i="2"/>
  <c r="D5811" i="2"/>
  <c r="F5810" i="2"/>
  <c r="E5810" i="2"/>
  <c r="D5810" i="2"/>
  <c r="F5809" i="2"/>
  <c r="E5809" i="2"/>
  <c r="D5809" i="2"/>
  <c r="F5808" i="2"/>
  <c r="E5808" i="2"/>
  <c r="D5808" i="2"/>
  <c r="F5807" i="2"/>
  <c r="E5807" i="2"/>
  <c r="D5807" i="2"/>
  <c r="F5806" i="2"/>
  <c r="E5806" i="2"/>
  <c r="D5806" i="2"/>
  <c r="F5805" i="2"/>
  <c r="E5805" i="2"/>
  <c r="D5805" i="2"/>
  <c r="F5804" i="2"/>
  <c r="E5804" i="2"/>
  <c r="D5804" i="2"/>
  <c r="F5803" i="2"/>
  <c r="E5803" i="2"/>
  <c r="D5803" i="2"/>
  <c r="F5802" i="2"/>
  <c r="E5802" i="2"/>
  <c r="D5802" i="2"/>
  <c r="F5801" i="2"/>
  <c r="E5801" i="2"/>
  <c r="D5801" i="2"/>
  <c r="F5799" i="2"/>
  <c r="E5799" i="2"/>
  <c r="D5799" i="2"/>
  <c r="F5800" i="2"/>
  <c r="E5800" i="2"/>
  <c r="D5800" i="2"/>
  <c r="F5798" i="2"/>
  <c r="E5798" i="2"/>
  <c r="D5798" i="2"/>
  <c r="F5797" i="2"/>
  <c r="E5797" i="2"/>
  <c r="D5797" i="2"/>
  <c r="F5796" i="2"/>
  <c r="E5796" i="2"/>
  <c r="D5796" i="2"/>
  <c r="F5795" i="2"/>
  <c r="E5795" i="2"/>
  <c r="D5795" i="2"/>
  <c r="F5794" i="2"/>
  <c r="E5794" i="2"/>
  <c r="D5794" i="2"/>
  <c r="F13214" i="2"/>
  <c r="E13214" i="2"/>
  <c r="D13214" i="2"/>
  <c r="F13213" i="2"/>
  <c r="E13213" i="2"/>
  <c r="D13213" i="2"/>
  <c r="F13212" i="2"/>
  <c r="E13212" i="2"/>
  <c r="D13212" i="2"/>
  <c r="F13210" i="2"/>
  <c r="E13210" i="2"/>
  <c r="D13210" i="2"/>
  <c r="F13211" i="2"/>
  <c r="E13211" i="2"/>
  <c r="D13211" i="2"/>
  <c r="F13446" i="2"/>
  <c r="E13446" i="2"/>
  <c r="D13446" i="2"/>
  <c r="F13445" i="2"/>
  <c r="E13445" i="2"/>
  <c r="D13445" i="2"/>
  <c r="F13444" i="2"/>
  <c r="E13444" i="2"/>
  <c r="D13444" i="2"/>
  <c r="F13443" i="2"/>
  <c r="E13443" i="2"/>
  <c r="D13443" i="2"/>
  <c r="F13442" i="2"/>
  <c r="E13442" i="2"/>
  <c r="D13442" i="2"/>
  <c r="F13441" i="2"/>
  <c r="E13441" i="2"/>
  <c r="D13441" i="2"/>
  <c r="F13440" i="2"/>
  <c r="E13440" i="2"/>
  <c r="D13440" i="2"/>
  <c r="F13439" i="2"/>
  <c r="E13439" i="2"/>
  <c r="D13439" i="2"/>
  <c r="F13438" i="2"/>
  <c r="E13438" i="2"/>
  <c r="D13438" i="2"/>
  <c r="F13436" i="2"/>
  <c r="E13436" i="2"/>
  <c r="D13436" i="2"/>
  <c r="F13437" i="2"/>
  <c r="E13437" i="2"/>
  <c r="D13437" i="2"/>
  <c r="F13435" i="2"/>
  <c r="E13435" i="2"/>
  <c r="D13435" i="2"/>
  <c r="F13434" i="2"/>
  <c r="E13434" i="2"/>
  <c r="D13434" i="2"/>
  <c r="F13433" i="2"/>
  <c r="E13433" i="2"/>
  <c r="D13433" i="2"/>
  <c r="F13432" i="2"/>
  <c r="E13432" i="2"/>
  <c r="D13432" i="2"/>
  <c r="F13431" i="2"/>
  <c r="E13431" i="2"/>
  <c r="D13431" i="2"/>
  <c r="F13430" i="2"/>
  <c r="E13430" i="2"/>
  <c r="D13430" i="2"/>
  <c r="F13429" i="2"/>
  <c r="E13429" i="2"/>
  <c r="D13429" i="2"/>
  <c r="F13428" i="2"/>
  <c r="E13428" i="2"/>
  <c r="D13428" i="2"/>
  <c r="F13427" i="2"/>
  <c r="E13427" i="2"/>
  <c r="D13427" i="2"/>
  <c r="F13426" i="2"/>
  <c r="E13426" i="2"/>
  <c r="D13426" i="2"/>
  <c r="F13425" i="2"/>
  <c r="E13425" i="2"/>
  <c r="D13425" i="2"/>
  <c r="F13424" i="2"/>
  <c r="E13424" i="2"/>
  <c r="D13424" i="2"/>
  <c r="F13423" i="2"/>
  <c r="E13423" i="2"/>
  <c r="D13423" i="2"/>
  <c r="F13422" i="2"/>
  <c r="E13422" i="2"/>
  <c r="D13422" i="2"/>
  <c r="F13421" i="2"/>
  <c r="E13421" i="2"/>
  <c r="D13421" i="2"/>
  <c r="F13420" i="2"/>
  <c r="E13420" i="2"/>
  <c r="D13420" i="2"/>
  <c r="F13419" i="2"/>
  <c r="E13419" i="2"/>
  <c r="D13419" i="2"/>
  <c r="F13417" i="2"/>
  <c r="E13417" i="2"/>
  <c r="D13417" i="2"/>
  <c r="F13418" i="2"/>
  <c r="E13418" i="2"/>
  <c r="D13418" i="2"/>
  <c r="F13416" i="2"/>
  <c r="E13416" i="2"/>
  <c r="D13416" i="2"/>
  <c r="F13415" i="2"/>
  <c r="E13415" i="2"/>
  <c r="D13415" i="2"/>
  <c r="F13414" i="2"/>
  <c r="E13414" i="2"/>
  <c r="D13414" i="2"/>
  <c r="F13413" i="2"/>
  <c r="E13413" i="2"/>
  <c r="D13413" i="2"/>
  <c r="F13412" i="2"/>
  <c r="E13412" i="2"/>
  <c r="D13412" i="2"/>
  <c r="F7166" i="2"/>
  <c r="E7166" i="2"/>
  <c r="D7166" i="2"/>
  <c r="F7197" i="2"/>
  <c r="E7197" i="2"/>
  <c r="D7197" i="2"/>
  <c r="F7196" i="2"/>
  <c r="E7196" i="2"/>
  <c r="D7196" i="2"/>
  <c r="F7195" i="2"/>
  <c r="E7195" i="2"/>
  <c r="D7195" i="2"/>
  <c r="F7194" i="2"/>
  <c r="E7194" i="2"/>
  <c r="D7194" i="2"/>
  <c r="F7193" i="2"/>
  <c r="E7193" i="2"/>
  <c r="D7193" i="2"/>
  <c r="F7192" i="2"/>
  <c r="E7192" i="2"/>
  <c r="D7192" i="2"/>
  <c r="F7191" i="2"/>
  <c r="E7191" i="2"/>
  <c r="D7191" i="2"/>
  <c r="F7190" i="2"/>
  <c r="E7190" i="2"/>
  <c r="D7190" i="2"/>
  <c r="F7189" i="2"/>
  <c r="E7189" i="2"/>
  <c r="D7189" i="2"/>
  <c r="F7188" i="2"/>
  <c r="E7188" i="2"/>
  <c r="D7188" i="2"/>
  <c r="F7187" i="2"/>
  <c r="E7187" i="2"/>
  <c r="D7187" i="2"/>
  <c r="F7186" i="2"/>
  <c r="E7186" i="2"/>
  <c r="D7186" i="2"/>
  <c r="F7185" i="2"/>
  <c r="E7185" i="2"/>
  <c r="D7185" i="2"/>
  <c r="F7184" i="2"/>
  <c r="E7184" i="2"/>
  <c r="D7184" i="2"/>
  <c r="F7183" i="2"/>
  <c r="E7183" i="2"/>
  <c r="D7183" i="2"/>
  <c r="F7182" i="2"/>
  <c r="E7182" i="2"/>
  <c r="D7182" i="2"/>
  <c r="F7181" i="2"/>
  <c r="E7181" i="2"/>
  <c r="D7181" i="2"/>
  <c r="F7180" i="2"/>
  <c r="E7180" i="2"/>
  <c r="D7180" i="2"/>
  <c r="F7179" i="2"/>
  <c r="E7179" i="2"/>
  <c r="D7179" i="2"/>
  <c r="F7178" i="2"/>
  <c r="E7178" i="2"/>
  <c r="D7178" i="2"/>
  <c r="F7177" i="2"/>
  <c r="E7177" i="2"/>
  <c r="D7177" i="2"/>
  <c r="F7176" i="2"/>
  <c r="E7176" i="2"/>
  <c r="D7176" i="2"/>
  <c r="F7175" i="2"/>
  <c r="E7175" i="2"/>
  <c r="D7175" i="2"/>
  <c r="F7174" i="2"/>
  <c r="E7174" i="2"/>
  <c r="D7174" i="2"/>
  <c r="F7173" i="2"/>
  <c r="E7173" i="2"/>
  <c r="D7173" i="2"/>
  <c r="F7172" i="2"/>
  <c r="E7172" i="2"/>
  <c r="D7172" i="2"/>
  <c r="F7171" i="2"/>
  <c r="E7171" i="2"/>
  <c r="D7171" i="2"/>
  <c r="F7170" i="2"/>
  <c r="E7170" i="2"/>
  <c r="D7170" i="2"/>
  <c r="F7169" i="2"/>
  <c r="E7169" i="2"/>
  <c r="D7169" i="2"/>
  <c r="F7168" i="2"/>
  <c r="E7168" i="2"/>
  <c r="D7168" i="2"/>
  <c r="F7167" i="2"/>
  <c r="E7167" i="2"/>
  <c r="D7167" i="2"/>
  <c r="F2270" i="2"/>
  <c r="E2270" i="2"/>
  <c r="D2270" i="2"/>
  <c r="F2286" i="2"/>
  <c r="E2286" i="2"/>
  <c r="D2286" i="2"/>
  <c r="F2285" i="2"/>
  <c r="E2285" i="2"/>
  <c r="D2285" i="2"/>
  <c r="F2284" i="2"/>
  <c r="E2284" i="2"/>
  <c r="D2284" i="2"/>
  <c r="F2283" i="2"/>
  <c r="E2283" i="2"/>
  <c r="D2283" i="2"/>
  <c r="F2282" i="2"/>
  <c r="E2282" i="2"/>
  <c r="D2282" i="2"/>
  <c r="F2281" i="2"/>
  <c r="E2281" i="2"/>
  <c r="D2281" i="2"/>
  <c r="F2280" i="2"/>
  <c r="E2280" i="2"/>
  <c r="D2280" i="2"/>
  <c r="F2279" i="2"/>
  <c r="E2279" i="2"/>
  <c r="D2279" i="2"/>
  <c r="F2278" i="2"/>
  <c r="E2278" i="2"/>
  <c r="D2278" i="2"/>
  <c r="F2277" i="2"/>
  <c r="E2277" i="2"/>
  <c r="D2277" i="2"/>
  <c r="F2276" i="2"/>
  <c r="E2276" i="2"/>
  <c r="D2276" i="2"/>
  <c r="F2275" i="2"/>
  <c r="E2275" i="2"/>
  <c r="D2275" i="2"/>
  <c r="F2274" i="2"/>
  <c r="E2274" i="2"/>
  <c r="D2274" i="2"/>
  <c r="F2273" i="2"/>
  <c r="E2273" i="2"/>
  <c r="D2273" i="2"/>
  <c r="F2272" i="2"/>
  <c r="E2272" i="2"/>
  <c r="D2272" i="2"/>
  <c r="F2271" i="2"/>
  <c r="E2271" i="2"/>
  <c r="D2271" i="2"/>
  <c r="F9423" i="2"/>
  <c r="E9423" i="2"/>
  <c r="D9423" i="2"/>
  <c r="F9422" i="2"/>
  <c r="E9422" i="2"/>
  <c r="D9422" i="2"/>
  <c r="F9421" i="2"/>
  <c r="E9421" i="2"/>
  <c r="D9421" i="2"/>
  <c r="F9387" i="2"/>
  <c r="E9387" i="2"/>
  <c r="D9387" i="2"/>
  <c r="F9392" i="2"/>
  <c r="E9392" i="2"/>
  <c r="D9392" i="2"/>
  <c r="F9391" i="2"/>
  <c r="E9391" i="2"/>
  <c r="D9391" i="2"/>
  <c r="F9390" i="2"/>
  <c r="E9390" i="2"/>
  <c r="D9390" i="2"/>
  <c r="F9389" i="2"/>
  <c r="E9389" i="2"/>
  <c r="D9389" i="2"/>
  <c r="F9388" i="2"/>
  <c r="E9388" i="2"/>
  <c r="D9388" i="2"/>
  <c r="F2245" i="2"/>
  <c r="E2245" i="2"/>
  <c r="D2245" i="2"/>
  <c r="F2269" i="2"/>
  <c r="E2269" i="2"/>
  <c r="D2269" i="2"/>
  <c r="F2268" i="2"/>
  <c r="E2268" i="2"/>
  <c r="D2268" i="2"/>
  <c r="F2267" i="2"/>
  <c r="E2267" i="2"/>
  <c r="D2267" i="2"/>
  <c r="F2266" i="2"/>
  <c r="E2266" i="2"/>
  <c r="D2266" i="2"/>
  <c r="F2265" i="2"/>
  <c r="E2265" i="2"/>
  <c r="D2265" i="2"/>
  <c r="F2264" i="2"/>
  <c r="E2264" i="2"/>
  <c r="D2264" i="2"/>
  <c r="F2263" i="2"/>
  <c r="E2263" i="2"/>
  <c r="D2263" i="2"/>
  <c r="F2262" i="2"/>
  <c r="E2262" i="2"/>
  <c r="D2262" i="2"/>
  <c r="F2261" i="2"/>
  <c r="E2261" i="2"/>
  <c r="D2261" i="2"/>
  <c r="F2260" i="2"/>
  <c r="E2260" i="2"/>
  <c r="D2260" i="2"/>
  <c r="F2259" i="2"/>
  <c r="E2259" i="2"/>
  <c r="D2259" i="2"/>
  <c r="F2258" i="2"/>
  <c r="E2258" i="2"/>
  <c r="D2258" i="2"/>
  <c r="F2257" i="2"/>
  <c r="E2257" i="2"/>
  <c r="D2257" i="2"/>
  <c r="F2256" i="2"/>
  <c r="E2256" i="2"/>
  <c r="D2256" i="2"/>
  <c r="F2255" i="2"/>
  <c r="E2255" i="2"/>
  <c r="D2255" i="2"/>
  <c r="F2254" i="2"/>
  <c r="E2254" i="2"/>
  <c r="D2254" i="2"/>
  <c r="F2253" i="2"/>
  <c r="E2253" i="2"/>
  <c r="D2253" i="2"/>
  <c r="F2252" i="2"/>
  <c r="E2252" i="2"/>
  <c r="D2252" i="2"/>
  <c r="F2251" i="2"/>
  <c r="E2251" i="2"/>
  <c r="D2251" i="2"/>
  <c r="F2250" i="2"/>
  <c r="E2250" i="2"/>
  <c r="D2250" i="2"/>
  <c r="F2249" i="2"/>
  <c r="E2249" i="2"/>
  <c r="D2249" i="2"/>
  <c r="F2248" i="2"/>
  <c r="E2248" i="2"/>
  <c r="D2248" i="2"/>
  <c r="F2247" i="2"/>
  <c r="E2247" i="2"/>
  <c r="D2247" i="2"/>
  <c r="F2246" i="2"/>
  <c r="E2246" i="2"/>
  <c r="D2246" i="2"/>
  <c r="F6270" i="2"/>
  <c r="E6270" i="2"/>
  <c r="D6270" i="2"/>
  <c r="F6269" i="2"/>
  <c r="E6269" i="2"/>
  <c r="D6269" i="2"/>
  <c r="F8544" i="2"/>
  <c r="E8544" i="2"/>
  <c r="D8544" i="2"/>
  <c r="F8560" i="2"/>
  <c r="E8560" i="2"/>
  <c r="D8560" i="2"/>
  <c r="F8559" i="2"/>
  <c r="E8559" i="2"/>
  <c r="D8559" i="2"/>
  <c r="F8558" i="2"/>
  <c r="E8558" i="2"/>
  <c r="D8558" i="2"/>
  <c r="F8557" i="2"/>
  <c r="E8557" i="2"/>
  <c r="D8557" i="2"/>
  <c r="F8556" i="2"/>
  <c r="E8556" i="2"/>
  <c r="D8556" i="2"/>
  <c r="F8555" i="2"/>
  <c r="E8555" i="2"/>
  <c r="D8555" i="2"/>
  <c r="F8554" i="2"/>
  <c r="E8554" i="2"/>
  <c r="D8554" i="2"/>
  <c r="F8553" i="2"/>
  <c r="E8553" i="2"/>
  <c r="D8553" i="2"/>
  <c r="F8552" i="2"/>
  <c r="E8552" i="2"/>
  <c r="D8552" i="2"/>
  <c r="F8551" i="2"/>
  <c r="E8551" i="2"/>
  <c r="D8551" i="2"/>
  <c r="F8550" i="2"/>
  <c r="E8550" i="2"/>
  <c r="D8550" i="2"/>
  <c r="F8549" i="2"/>
  <c r="E8549" i="2"/>
  <c r="D8549" i="2"/>
  <c r="F8548" i="2"/>
  <c r="E8548" i="2"/>
  <c r="D8548" i="2"/>
  <c r="F8547" i="2"/>
  <c r="E8547" i="2"/>
  <c r="D8547" i="2"/>
  <c r="F8546" i="2"/>
  <c r="E8546" i="2"/>
  <c r="D8546" i="2"/>
  <c r="F8545" i="2"/>
  <c r="E8545" i="2"/>
  <c r="D8545" i="2"/>
  <c r="F12699" i="2"/>
  <c r="E12699" i="2"/>
  <c r="D12699" i="2"/>
  <c r="F12705" i="2"/>
  <c r="E12705" i="2"/>
  <c r="D12705" i="2"/>
  <c r="F12704" i="2"/>
  <c r="E12704" i="2"/>
  <c r="D12704" i="2"/>
  <c r="F12703" i="2"/>
  <c r="E12703" i="2"/>
  <c r="D12703" i="2"/>
  <c r="F12702" i="2"/>
  <c r="E12702" i="2"/>
  <c r="D12702" i="2"/>
  <c r="F12701" i="2"/>
  <c r="E12701" i="2"/>
  <c r="D12701" i="2"/>
  <c r="F12700" i="2"/>
  <c r="E12700" i="2"/>
  <c r="D12700" i="2"/>
  <c r="F2287" i="2"/>
  <c r="E2287" i="2"/>
  <c r="D2287" i="2"/>
  <c r="F12959" i="2"/>
  <c r="E12959" i="2"/>
  <c r="D12959" i="2"/>
  <c r="F12981" i="2"/>
  <c r="E12981" i="2"/>
  <c r="D12981" i="2"/>
  <c r="F12980" i="2"/>
  <c r="E12980" i="2"/>
  <c r="D12980" i="2"/>
  <c r="F12979" i="2"/>
  <c r="E12979" i="2"/>
  <c r="D12979" i="2"/>
  <c r="F12978" i="2"/>
  <c r="E12978" i="2"/>
  <c r="D12978" i="2"/>
  <c r="F12977" i="2"/>
  <c r="E12977" i="2"/>
  <c r="D12977" i="2"/>
  <c r="F12976" i="2"/>
  <c r="E12976" i="2"/>
  <c r="D12976" i="2"/>
  <c r="F12975" i="2"/>
  <c r="E12975" i="2"/>
  <c r="D12975" i="2"/>
  <c r="F12974" i="2"/>
  <c r="E12974" i="2"/>
  <c r="D12974" i="2"/>
  <c r="F12973" i="2"/>
  <c r="E12973" i="2"/>
  <c r="D12973" i="2"/>
  <c r="F12972" i="2"/>
  <c r="E12972" i="2"/>
  <c r="D12972" i="2"/>
  <c r="F12971" i="2"/>
  <c r="E12971" i="2"/>
  <c r="D12971" i="2"/>
  <c r="F12970" i="2"/>
  <c r="E12970" i="2"/>
  <c r="D12970" i="2"/>
  <c r="F12969" i="2"/>
  <c r="E12969" i="2"/>
  <c r="D12969" i="2"/>
  <c r="F12968" i="2"/>
  <c r="E12968" i="2"/>
  <c r="D12968" i="2"/>
  <c r="F12967" i="2"/>
  <c r="E12967" i="2"/>
  <c r="D12967" i="2"/>
  <c r="F12966" i="2"/>
  <c r="E12966" i="2"/>
  <c r="D12966" i="2"/>
  <c r="F12965" i="2"/>
  <c r="E12965" i="2"/>
  <c r="D12965" i="2"/>
  <c r="F12964" i="2"/>
  <c r="E12964" i="2"/>
  <c r="D12964" i="2"/>
  <c r="F12963" i="2"/>
  <c r="E12963" i="2"/>
  <c r="D12963" i="2"/>
  <c r="F12961" i="2"/>
  <c r="E12961" i="2"/>
  <c r="D12961" i="2"/>
  <c r="F12962" i="2"/>
  <c r="E12962" i="2"/>
  <c r="D12962" i="2"/>
  <c r="F12960" i="2"/>
  <c r="E12960" i="2"/>
  <c r="D12960" i="2"/>
  <c r="F13487" i="2"/>
  <c r="E13487" i="2"/>
  <c r="D13487" i="2"/>
  <c r="F13486" i="2"/>
  <c r="E13486" i="2"/>
  <c r="D13486" i="2"/>
  <c r="F13485" i="2"/>
  <c r="E13485" i="2"/>
  <c r="D13485" i="2"/>
  <c r="F13484" i="2"/>
  <c r="E13484" i="2"/>
  <c r="D13484" i="2"/>
  <c r="F13483" i="2"/>
  <c r="E13483" i="2"/>
  <c r="D13483" i="2"/>
  <c r="F13482" i="2"/>
  <c r="E13482" i="2"/>
  <c r="D13482" i="2"/>
  <c r="F13481" i="2"/>
  <c r="E13481" i="2"/>
  <c r="D13481" i="2"/>
  <c r="F13480" i="2"/>
  <c r="E13480" i="2"/>
  <c r="D13480" i="2"/>
  <c r="F13479" i="2"/>
  <c r="E13479" i="2"/>
  <c r="D13479" i="2"/>
  <c r="F13478" i="2"/>
  <c r="E13478" i="2"/>
  <c r="D13478" i="2"/>
  <c r="F13477" i="2"/>
  <c r="E13477" i="2"/>
  <c r="D13477" i="2"/>
  <c r="F13476" i="2"/>
  <c r="E13476" i="2"/>
  <c r="D13476" i="2"/>
  <c r="F13475" i="2"/>
  <c r="E13475" i="2"/>
  <c r="D13475" i="2"/>
  <c r="F13474" i="2"/>
  <c r="E13474" i="2"/>
  <c r="D13474" i="2"/>
  <c r="F13473" i="2"/>
  <c r="E13473" i="2"/>
  <c r="D13473" i="2"/>
  <c r="F13472" i="2"/>
  <c r="E13472" i="2"/>
  <c r="D13472" i="2"/>
  <c r="F13470" i="2"/>
  <c r="E13470" i="2"/>
  <c r="D13470" i="2"/>
  <c r="F13471" i="2"/>
  <c r="E13471" i="2"/>
  <c r="D13471" i="2"/>
  <c r="F13469" i="2"/>
  <c r="E13469" i="2"/>
  <c r="D13469" i="2"/>
  <c r="F13468" i="2"/>
  <c r="E13468" i="2"/>
  <c r="D13468" i="2"/>
  <c r="F10151" i="2"/>
  <c r="E10151" i="2"/>
  <c r="D10151" i="2"/>
  <c r="F10150" i="2"/>
  <c r="E10150" i="2"/>
  <c r="D10150" i="2"/>
  <c r="F10149" i="2"/>
  <c r="E10149" i="2"/>
  <c r="D10149" i="2"/>
  <c r="F10148" i="2"/>
  <c r="E10148" i="2"/>
  <c r="D10148" i="2"/>
  <c r="F10147" i="2"/>
  <c r="E10147" i="2"/>
  <c r="D10147" i="2"/>
  <c r="F10146" i="2"/>
  <c r="E10146" i="2"/>
  <c r="D10146" i="2"/>
  <c r="F10145" i="2"/>
  <c r="E10145" i="2"/>
  <c r="D10145" i="2"/>
  <c r="F10144" i="2"/>
  <c r="E10144" i="2"/>
  <c r="D10144" i="2"/>
  <c r="F10143" i="2"/>
  <c r="E10143" i="2"/>
  <c r="D10143" i="2"/>
  <c r="F10142" i="2"/>
  <c r="E10142" i="2"/>
  <c r="D10142" i="2"/>
  <c r="F10141" i="2"/>
  <c r="E10141" i="2"/>
  <c r="D10141" i="2"/>
  <c r="F10140" i="2"/>
  <c r="E10140" i="2"/>
  <c r="D10140" i="2"/>
  <c r="F10139" i="2"/>
  <c r="E10139" i="2"/>
  <c r="D10139" i="2"/>
  <c r="F10138" i="2"/>
  <c r="E10138" i="2"/>
  <c r="D10138" i="2"/>
  <c r="F10137" i="2"/>
  <c r="E10137" i="2"/>
  <c r="D10137" i="2"/>
  <c r="F10136" i="2"/>
  <c r="E10136" i="2"/>
  <c r="D10136" i="2"/>
  <c r="F10135" i="2"/>
  <c r="E10135" i="2"/>
  <c r="D10135" i="2"/>
  <c r="F10134" i="2"/>
  <c r="E10134" i="2"/>
  <c r="D10134" i="2"/>
  <c r="F10133" i="2"/>
  <c r="E10133" i="2"/>
  <c r="D10133" i="2"/>
  <c r="F10132" i="2"/>
  <c r="E10132" i="2"/>
  <c r="D10132" i="2"/>
  <c r="F10131" i="2"/>
  <c r="E10131" i="2"/>
  <c r="D10131" i="2"/>
  <c r="F10130" i="2"/>
  <c r="E10130" i="2"/>
  <c r="D10130" i="2"/>
  <c r="F10129" i="2"/>
  <c r="E10129" i="2"/>
  <c r="D10129" i="2"/>
  <c r="F10128" i="2"/>
  <c r="E10128" i="2"/>
  <c r="D10128" i="2"/>
  <c r="F10127" i="2"/>
  <c r="E10127" i="2"/>
  <c r="D10127" i="2"/>
  <c r="F10126" i="2"/>
  <c r="E10126" i="2"/>
  <c r="D10126" i="2"/>
  <c r="F2095" i="2"/>
  <c r="E2095" i="2"/>
  <c r="D2095" i="2"/>
  <c r="F2099" i="2"/>
  <c r="E2099" i="2"/>
  <c r="D2099" i="2"/>
  <c r="F2098" i="2"/>
  <c r="E2098" i="2"/>
  <c r="D2098" i="2"/>
  <c r="F2097" i="2"/>
  <c r="E2097" i="2"/>
  <c r="D2097" i="2"/>
  <c r="F2096" i="2"/>
  <c r="E2096" i="2"/>
  <c r="D2096" i="2"/>
  <c r="F13236" i="2"/>
  <c r="E13236" i="2"/>
  <c r="D13236" i="2"/>
  <c r="F13244" i="2"/>
  <c r="E13244" i="2"/>
  <c r="D13244" i="2"/>
  <c r="F13243" i="2"/>
  <c r="E13243" i="2"/>
  <c r="D13243" i="2"/>
  <c r="F13242" i="2"/>
  <c r="E13242" i="2"/>
  <c r="D13242" i="2"/>
  <c r="F13241" i="2"/>
  <c r="E13241" i="2"/>
  <c r="D13241" i="2"/>
  <c r="F13240" i="2"/>
  <c r="E13240" i="2"/>
  <c r="D13240" i="2"/>
  <c r="F13239" i="2"/>
  <c r="E13239" i="2"/>
  <c r="D13239" i="2"/>
  <c r="F13238" i="2"/>
  <c r="E13238" i="2"/>
  <c r="D13238" i="2"/>
  <c r="F13237" i="2"/>
  <c r="E13237" i="2"/>
  <c r="D13237" i="2"/>
  <c r="F540" i="2"/>
  <c r="E540" i="2"/>
  <c r="D540" i="2"/>
  <c r="F539" i="2"/>
  <c r="E539" i="2"/>
  <c r="D539" i="2"/>
  <c r="F538" i="2"/>
  <c r="E538" i="2"/>
  <c r="D538" i="2"/>
  <c r="F537" i="2"/>
  <c r="E537" i="2"/>
  <c r="D537" i="2"/>
  <c r="F536" i="2"/>
  <c r="E536" i="2"/>
  <c r="D536" i="2"/>
  <c r="F535" i="2"/>
  <c r="E535" i="2"/>
  <c r="D535" i="2"/>
  <c r="F534" i="2"/>
  <c r="E534" i="2"/>
  <c r="D534" i="2"/>
  <c r="F533" i="2"/>
  <c r="E533" i="2"/>
  <c r="D533" i="2"/>
  <c r="F532" i="2"/>
  <c r="E532" i="2"/>
  <c r="D532" i="2"/>
  <c r="F531" i="2"/>
  <c r="E531" i="2"/>
  <c r="D531" i="2"/>
  <c r="F530" i="2"/>
  <c r="E530" i="2"/>
  <c r="D530" i="2"/>
  <c r="F529" i="2"/>
  <c r="E529" i="2"/>
  <c r="D529" i="2"/>
  <c r="F528" i="2"/>
  <c r="E528" i="2"/>
  <c r="D528" i="2"/>
  <c r="F527" i="2"/>
  <c r="E527" i="2"/>
  <c r="D527" i="2"/>
  <c r="F7535" i="2"/>
  <c r="E7535" i="2"/>
  <c r="D7535" i="2"/>
  <c r="F7548" i="2"/>
  <c r="E7548" i="2"/>
  <c r="D7548" i="2"/>
  <c r="F7547" i="2"/>
  <c r="E7547" i="2"/>
  <c r="D7547" i="2"/>
  <c r="F7546" i="2"/>
  <c r="E7546" i="2"/>
  <c r="D7546" i="2"/>
  <c r="F7545" i="2"/>
  <c r="E7545" i="2"/>
  <c r="D7545" i="2"/>
  <c r="F7544" i="2"/>
  <c r="E7544" i="2"/>
  <c r="D7544" i="2"/>
  <c r="F7543" i="2"/>
  <c r="E7543" i="2"/>
  <c r="D7543" i="2"/>
  <c r="F7542" i="2"/>
  <c r="E7542" i="2"/>
  <c r="D7542" i="2"/>
  <c r="F7541" i="2"/>
  <c r="E7541" i="2"/>
  <c r="D7541" i="2"/>
  <c r="F7540" i="2"/>
  <c r="E7540" i="2"/>
  <c r="D7540" i="2"/>
  <c r="F7539" i="2"/>
  <c r="E7539" i="2"/>
  <c r="D7539" i="2"/>
  <c r="F7538" i="2"/>
  <c r="E7538" i="2"/>
  <c r="D7538" i="2"/>
  <c r="F7537" i="2"/>
  <c r="E7537" i="2"/>
  <c r="D7537" i="2"/>
  <c r="F7536" i="2"/>
  <c r="E7536" i="2"/>
  <c r="D7536" i="2"/>
  <c r="F9520" i="2"/>
  <c r="E9520" i="2"/>
  <c r="D9520" i="2"/>
  <c r="F9519" i="2"/>
  <c r="E9519" i="2"/>
  <c r="D9519" i="2"/>
  <c r="F9518" i="2"/>
  <c r="E9518" i="2"/>
  <c r="D9518" i="2"/>
  <c r="F9517" i="2"/>
  <c r="E9517" i="2"/>
  <c r="D9517" i="2"/>
  <c r="F9516" i="2"/>
  <c r="E9516" i="2"/>
  <c r="D9516" i="2"/>
  <c r="F9515" i="2"/>
  <c r="E9515" i="2"/>
  <c r="D9515" i="2"/>
  <c r="F9514" i="2"/>
  <c r="E9514" i="2"/>
  <c r="D9514" i="2"/>
  <c r="F9513" i="2"/>
  <c r="E9513" i="2"/>
  <c r="D9513" i="2"/>
  <c r="F9512" i="2"/>
  <c r="E9512" i="2"/>
  <c r="D9512" i="2"/>
  <c r="F9511" i="2"/>
  <c r="E9511" i="2"/>
  <c r="D9511" i="2"/>
  <c r="F9510" i="2"/>
  <c r="E9510" i="2"/>
  <c r="D9510" i="2"/>
  <c r="F9509" i="2"/>
  <c r="E9509" i="2"/>
  <c r="D9509" i="2"/>
  <c r="F9508" i="2"/>
  <c r="E9508" i="2"/>
  <c r="D9508" i="2"/>
  <c r="F9507" i="2"/>
  <c r="E9507" i="2"/>
  <c r="D9507" i="2"/>
  <c r="F9506" i="2"/>
  <c r="E9506" i="2"/>
  <c r="D9506" i="2"/>
  <c r="F9505" i="2"/>
  <c r="E9505" i="2"/>
  <c r="D9505" i="2"/>
  <c r="F9504" i="2"/>
  <c r="E9504" i="2"/>
  <c r="D9504" i="2"/>
  <c r="F9503" i="2"/>
  <c r="E9503" i="2"/>
  <c r="D9503" i="2"/>
  <c r="F9502" i="2"/>
  <c r="E9502" i="2"/>
  <c r="D9502" i="2"/>
  <c r="F9501" i="2"/>
  <c r="E9501" i="2"/>
  <c r="D9501" i="2"/>
  <c r="F9500" i="2"/>
  <c r="E9500" i="2"/>
  <c r="D9500" i="2"/>
  <c r="F9499" i="2"/>
  <c r="E9499" i="2"/>
  <c r="D9499" i="2"/>
  <c r="F9496" i="2"/>
  <c r="E9496" i="2"/>
  <c r="D9496" i="2"/>
  <c r="F9498" i="2"/>
  <c r="E9498" i="2"/>
  <c r="D9498" i="2"/>
  <c r="F9497" i="2"/>
  <c r="E9497" i="2"/>
  <c r="D9497" i="2"/>
  <c r="F9494" i="2"/>
  <c r="E9494" i="2"/>
  <c r="D9494" i="2"/>
  <c r="F9495" i="2"/>
  <c r="E9495" i="2"/>
  <c r="D9495" i="2"/>
  <c r="F14346" i="2"/>
  <c r="E14346" i="2"/>
  <c r="D14346" i="2"/>
  <c r="F14345" i="2"/>
  <c r="E14345" i="2"/>
  <c r="D14345" i="2"/>
  <c r="F14344" i="2"/>
  <c r="E14344" i="2"/>
  <c r="D14344" i="2"/>
  <c r="F14343" i="2"/>
  <c r="E14343" i="2"/>
  <c r="D14343" i="2"/>
  <c r="F14342" i="2"/>
  <c r="E14342" i="2"/>
  <c r="D14342" i="2"/>
  <c r="F14341" i="2"/>
  <c r="E14341" i="2"/>
  <c r="D14341" i="2"/>
  <c r="F14340" i="2"/>
  <c r="E14340" i="2"/>
  <c r="D14340" i="2"/>
  <c r="F14339" i="2"/>
  <c r="E14339" i="2"/>
  <c r="D14339" i="2"/>
  <c r="F14338" i="2"/>
  <c r="E14338" i="2"/>
  <c r="D14338" i="2"/>
  <c r="F14337" i="2"/>
  <c r="E14337" i="2"/>
  <c r="D14337" i="2"/>
  <c r="F14336" i="2"/>
  <c r="E14336" i="2"/>
  <c r="D14336" i="2"/>
  <c r="F14335" i="2"/>
  <c r="E14335" i="2"/>
  <c r="D14335" i="2"/>
  <c r="F14334" i="2"/>
  <c r="E14334" i="2"/>
  <c r="D14334" i="2"/>
  <c r="F14333" i="2"/>
  <c r="E14333" i="2"/>
  <c r="D14333" i="2"/>
  <c r="F14332" i="2"/>
  <c r="E14332" i="2"/>
  <c r="D14332" i="2"/>
  <c r="F14331" i="2"/>
  <c r="E14331" i="2"/>
  <c r="D14331" i="2"/>
  <c r="F14330" i="2"/>
  <c r="E14330" i="2"/>
  <c r="D14330" i="2"/>
  <c r="F14328" i="2"/>
  <c r="E14328" i="2"/>
  <c r="D14328" i="2"/>
  <c r="F14329" i="2"/>
  <c r="E14329" i="2"/>
  <c r="D14329" i="2"/>
  <c r="F15437" i="2"/>
  <c r="E15437" i="2"/>
  <c r="D15437" i="2"/>
  <c r="F15436" i="2"/>
  <c r="E15436" i="2"/>
  <c r="D15436" i="2"/>
  <c r="F15435" i="2"/>
  <c r="E15435" i="2"/>
  <c r="D15435" i="2"/>
  <c r="F15434" i="2"/>
  <c r="E15434" i="2"/>
  <c r="D15434" i="2"/>
  <c r="F15433" i="2"/>
  <c r="E15433" i="2"/>
  <c r="D15433" i="2"/>
  <c r="F15432" i="2"/>
  <c r="E15432" i="2"/>
  <c r="D15432" i="2"/>
  <c r="F15431" i="2"/>
  <c r="E15431" i="2"/>
  <c r="D15431" i="2"/>
  <c r="F15430" i="2"/>
  <c r="E15430" i="2"/>
  <c r="D15430" i="2"/>
  <c r="F15429" i="2"/>
  <c r="E15429" i="2"/>
  <c r="D15429" i="2"/>
  <c r="F15428" i="2"/>
  <c r="E15428" i="2"/>
  <c r="D15428" i="2"/>
  <c r="F15427" i="2"/>
  <c r="E15427" i="2"/>
  <c r="D15427" i="2"/>
  <c r="F15426" i="2"/>
  <c r="E15426" i="2"/>
  <c r="D15426" i="2"/>
  <c r="F15425" i="2"/>
  <c r="E15425" i="2"/>
  <c r="D15425" i="2"/>
  <c r="F7055" i="2"/>
  <c r="E7055" i="2"/>
  <c r="D7055" i="2"/>
  <c r="F7054" i="2"/>
  <c r="E7054" i="2"/>
  <c r="D7054" i="2"/>
  <c r="F7053" i="2"/>
  <c r="E7053" i="2"/>
  <c r="D7053" i="2"/>
  <c r="F7052" i="2"/>
  <c r="E7052" i="2"/>
  <c r="D7052" i="2"/>
  <c r="F5724" i="2"/>
  <c r="E5724" i="2"/>
  <c r="D5724" i="2"/>
  <c r="F5722" i="2"/>
  <c r="E5722" i="2"/>
  <c r="D5722" i="2"/>
  <c r="F5723" i="2"/>
  <c r="E5723" i="2"/>
  <c r="D5723" i="2"/>
  <c r="F13738" i="2"/>
  <c r="E13738" i="2"/>
  <c r="D13738" i="2"/>
  <c r="F13748" i="2"/>
  <c r="E13748" i="2"/>
  <c r="D13748" i="2"/>
  <c r="F13747" i="2"/>
  <c r="E13747" i="2"/>
  <c r="D13747" i="2"/>
  <c r="F13746" i="2"/>
  <c r="E13746" i="2"/>
  <c r="D13746" i="2"/>
  <c r="F13745" i="2"/>
  <c r="E13745" i="2"/>
  <c r="D13745" i="2"/>
  <c r="F13744" i="2"/>
  <c r="E13744" i="2"/>
  <c r="D13744" i="2"/>
  <c r="F13743" i="2"/>
  <c r="E13743" i="2"/>
  <c r="D13743" i="2"/>
  <c r="F13742" i="2"/>
  <c r="E13742" i="2"/>
  <c r="D13742" i="2"/>
  <c r="F13741" i="2"/>
  <c r="E13741" i="2"/>
  <c r="D13741" i="2"/>
  <c r="F13740" i="2"/>
  <c r="E13740" i="2"/>
  <c r="D13740" i="2"/>
  <c r="F13739" i="2"/>
  <c r="E13739" i="2"/>
  <c r="D13739" i="2"/>
  <c r="F13638" i="2"/>
  <c r="E13638" i="2"/>
  <c r="D13638" i="2"/>
  <c r="F13637" i="2"/>
  <c r="E13637" i="2"/>
  <c r="D13637" i="2"/>
  <c r="F13636" i="2"/>
  <c r="E13636" i="2"/>
  <c r="D13636" i="2"/>
  <c r="F13635" i="2"/>
  <c r="E13635" i="2"/>
  <c r="D13635" i="2"/>
  <c r="F8822" i="2"/>
  <c r="E8822" i="2"/>
  <c r="D8822" i="2"/>
  <c r="F8827" i="2"/>
  <c r="E8827" i="2"/>
  <c r="D8827" i="2"/>
  <c r="F8826" i="2"/>
  <c r="E8826" i="2"/>
  <c r="D8826" i="2"/>
  <c r="F8825" i="2"/>
  <c r="E8825" i="2"/>
  <c r="D8825" i="2"/>
  <c r="F8824" i="2"/>
  <c r="E8824" i="2"/>
  <c r="D8824" i="2"/>
  <c r="F8823" i="2"/>
  <c r="E8823" i="2"/>
  <c r="D8823" i="2"/>
  <c r="F15463" i="2"/>
  <c r="E15463" i="2"/>
  <c r="D15463" i="2"/>
  <c r="F15471" i="2"/>
  <c r="E15471" i="2"/>
  <c r="D15471" i="2"/>
  <c r="F15470" i="2"/>
  <c r="E15470" i="2"/>
  <c r="D15470" i="2"/>
  <c r="F15469" i="2"/>
  <c r="E15469" i="2"/>
  <c r="D15469" i="2"/>
  <c r="F15468" i="2"/>
  <c r="E15468" i="2"/>
  <c r="D15468" i="2"/>
  <c r="F15467" i="2"/>
  <c r="E15467" i="2"/>
  <c r="D15467" i="2"/>
  <c r="F15466" i="2"/>
  <c r="E15466" i="2"/>
  <c r="D15466" i="2"/>
  <c r="F15465" i="2"/>
  <c r="E15465" i="2"/>
  <c r="D15465" i="2"/>
  <c r="F15464" i="2"/>
  <c r="E15464" i="2"/>
  <c r="D15464" i="2"/>
  <c r="F15462" i="2"/>
  <c r="E15462" i="2"/>
  <c r="D15462" i="2"/>
  <c r="F526" i="2"/>
  <c r="E526" i="2"/>
  <c r="D526" i="2"/>
  <c r="F525" i="2"/>
  <c r="E525" i="2"/>
  <c r="D525" i="2"/>
  <c r="F524" i="2"/>
  <c r="E524" i="2"/>
  <c r="D524" i="2"/>
  <c r="F523" i="2"/>
  <c r="E523" i="2"/>
  <c r="D523" i="2"/>
  <c r="F522" i="2"/>
  <c r="E522" i="2"/>
  <c r="D522" i="2"/>
  <c r="F13794" i="2"/>
  <c r="E13794" i="2"/>
  <c r="D13794" i="2"/>
  <c r="F13793" i="2"/>
  <c r="E13793" i="2"/>
  <c r="D13793" i="2"/>
  <c r="F13792" i="2"/>
  <c r="E13792" i="2"/>
  <c r="D13792" i="2"/>
  <c r="F13791" i="2"/>
  <c r="E13791" i="2"/>
  <c r="D13791" i="2"/>
  <c r="F13790" i="2"/>
  <c r="E13790" i="2"/>
  <c r="D13790" i="2"/>
  <c r="F13789" i="2"/>
  <c r="E13789" i="2"/>
  <c r="D13789" i="2"/>
  <c r="F13788" i="2"/>
  <c r="E13788" i="2"/>
  <c r="D13788" i="2"/>
  <c r="F13787" i="2"/>
  <c r="E13787" i="2"/>
  <c r="D13787" i="2"/>
  <c r="F13657" i="2"/>
  <c r="E13657" i="2"/>
  <c r="D13657" i="2"/>
  <c r="F13656" i="2"/>
  <c r="E13656" i="2"/>
  <c r="D13656" i="2"/>
  <c r="F13655" i="2"/>
  <c r="E13655" i="2"/>
  <c r="D13655" i="2"/>
  <c r="F13654" i="2"/>
  <c r="E13654" i="2"/>
  <c r="D13654" i="2"/>
  <c r="F13653" i="2"/>
  <c r="E13653" i="2"/>
  <c r="D13653" i="2"/>
  <c r="F7051" i="2"/>
  <c r="E7051" i="2"/>
  <c r="D7051" i="2"/>
  <c r="F7050" i="2"/>
  <c r="E7050" i="2"/>
  <c r="D7050" i="2"/>
  <c r="F7406" i="2"/>
  <c r="E7406" i="2"/>
  <c r="D7406" i="2"/>
  <c r="F7405" i="2"/>
  <c r="E7405" i="2"/>
  <c r="D7405" i="2"/>
  <c r="F7404" i="2"/>
  <c r="E7404" i="2"/>
  <c r="D7404" i="2"/>
  <c r="F7403" i="2"/>
  <c r="E7403" i="2"/>
  <c r="D7403" i="2"/>
  <c r="F7402" i="2"/>
  <c r="E7402" i="2"/>
  <c r="D7402" i="2"/>
  <c r="F7401" i="2"/>
  <c r="E7401" i="2"/>
  <c r="D7401" i="2"/>
  <c r="F7400" i="2"/>
  <c r="E7400" i="2"/>
  <c r="D7400" i="2"/>
  <c r="F7399" i="2"/>
  <c r="E7399" i="2"/>
  <c r="D7399" i="2"/>
  <c r="F7398" i="2"/>
  <c r="E7398" i="2"/>
  <c r="D7398" i="2"/>
  <c r="F7397" i="2"/>
  <c r="E7397" i="2"/>
  <c r="D7397" i="2"/>
  <c r="F7396" i="2"/>
  <c r="E7396" i="2"/>
  <c r="D7396" i="2"/>
  <c r="F7395" i="2"/>
  <c r="E7395" i="2"/>
  <c r="D7395" i="2"/>
  <c r="F7394" i="2"/>
  <c r="E7394" i="2"/>
  <c r="D7394" i="2"/>
  <c r="F7393" i="2"/>
  <c r="E7393" i="2"/>
  <c r="D7393" i="2"/>
  <c r="F7392" i="2"/>
  <c r="E7392" i="2"/>
  <c r="D7392" i="2"/>
  <c r="F5225" i="2"/>
  <c r="E5225" i="2"/>
  <c r="D5225" i="2"/>
  <c r="F5224" i="2"/>
  <c r="E5224" i="2"/>
  <c r="D5224" i="2"/>
  <c r="F5223" i="2"/>
  <c r="E5223" i="2"/>
  <c r="D5223" i="2"/>
  <c r="F5222" i="2"/>
  <c r="E5222" i="2"/>
  <c r="D5222" i="2"/>
  <c r="F5221" i="2"/>
  <c r="E5221" i="2"/>
  <c r="D5221" i="2"/>
  <c r="F5220" i="2"/>
  <c r="E5220" i="2"/>
  <c r="D5220" i="2"/>
  <c r="F5219" i="2"/>
  <c r="E5219" i="2"/>
  <c r="D5219" i="2"/>
  <c r="F5218" i="2"/>
  <c r="E5218" i="2"/>
  <c r="D5218" i="2"/>
  <c r="F5217" i="2"/>
  <c r="E5217" i="2"/>
  <c r="D5217" i="2"/>
  <c r="F5216" i="2"/>
  <c r="E5216" i="2"/>
  <c r="D5216" i="2"/>
  <c r="F5215" i="2"/>
  <c r="E5215" i="2"/>
  <c r="D5215" i="2"/>
  <c r="F5214" i="2"/>
  <c r="E5214" i="2"/>
  <c r="D5214" i="2"/>
  <c r="F5213" i="2"/>
  <c r="E5213" i="2"/>
  <c r="D5213" i="2"/>
  <c r="F5212" i="2"/>
  <c r="E5212" i="2"/>
  <c r="D5212" i="2"/>
  <c r="F5211" i="2"/>
  <c r="E5211" i="2"/>
  <c r="D5211" i="2"/>
  <c r="F5210" i="2"/>
  <c r="E5210" i="2"/>
  <c r="D5210" i="2"/>
  <c r="F5209" i="2"/>
  <c r="E5209" i="2"/>
  <c r="D5209" i="2"/>
  <c r="F5208" i="2"/>
  <c r="E5208" i="2"/>
  <c r="D5208" i="2"/>
  <c r="F5207" i="2"/>
  <c r="E5207" i="2"/>
  <c r="D5207" i="2"/>
  <c r="F5206" i="2"/>
  <c r="E5206" i="2"/>
  <c r="D5206" i="2"/>
  <c r="F5205" i="2"/>
  <c r="E5205" i="2"/>
  <c r="D5205" i="2"/>
  <c r="F4645" i="2"/>
  <c r="E4645" i="2"/>
  <c r="D4645" i="2"/>
  <c r="F4644" i="2"/>
  <c r="E4644" i="2"/>
  <c r="D4644" i="2"/>
  <c r="F4643" i="2"/>
  <c r="E4643" i="2"/>
  <c r="D4643" i="2"/>
  <c r="F4642" i="2"/>
  <c r="E4642" i="2"/>
  <c r="D4642" i="2"/>
  <c r="F4641" i="2"/>
  <c r="E4641" i="2"/>
  <c r="D4641" i="2"/>
  <c r="F4640" i="2"/>
  <c r="E4640" i="2"/>
  <c r="D4640" i="2"/>
  <c r="F4639" i="2"/>
  <c r="E4639" i="2"/>
  <c r="D4639" i="2"/>
  <c r="F4638" i="2"/>
  <c r="E4638" i="2"/>
  <c r="D4638" i="2"/>
  <c r="F4637" i="2"/>
  <c r="E4637" i="2"/>
  <c r="D4637" i="2"/>
  <c r="F4636" i="2"/>
  <c r="E4636" i="2"/>
  <c r="D4636" i="2"/>
  <c r="F4635" i="2"/>
  <c r="E4635" i="2"/>
  <c r="D4635" i="2"/>
  <c r="F4634" i="2"/>
  <c r="E4634" i="2"/>
  <c r="D4634" i="2"/>
  <c r="F4633" i="2"/>
  <c r="E4633" i="2"/>
  <c r="D4633" i="2"/>
  <c r="F4632" i="2"/>
  <c r="E4632" i="2"/>
  <c r="D4632" i="2"/>
  <c r="F4631" i="2"/>
  <c r="E4631" i="2"/>
  <c r="D4631" i="2"/>
  <c r="F4630" i="2"/>
  <c r="E4630" i="2"/>
  <c r="D4630" i="2"/>
  <c r="F4629" i="2"/>
  <c r="E4629" i="2"/>
  <c r="D4629" i="2"/>
  <c r="F4628" i="2"/>
  <c r="E4628" i="2"/>
  <c r="D4628" i="2"/>
  <c r="F4627" i="2"/>
  <c r="E4627" i="2"/>
  <c r="D4627" i="2"/>
  <c r="F4626" i="2"/>
  <c r="E4626" i="2"/>
  <c r="D4626" i="2"/>
  <c r="F4625" i="2"/>
  <c r="E4625" i="2"/>
  <c r="D4625" i="2"/>
  <c r="F4624" i="2"/>
  <c r="E4624" i="2"/>
  <c r="D4624" i="2"/>
  <c r="F4623" i="2"/>
  <c r="E4623" i="2"/>
  <c r="D4623" i="2"/>
  <c r="F4622" i="2"/>
  <c r="E4622" i="2"/>
  <c r="D4622" i="2"/>
  <c r="F4621" i="2"/>
  <c r="E4621" i="2"/>
  <c r="D4621" i="2"/>
  <c r="F4620" i="2"/>
  <c r="E4620" i="2"/>
  <c r="D4620" i="2"/>
  <c r="F4619" i="2"/>
  <c r="E4619" i="2"/>
  <c r="D4619" i="2"/>
  <c r="F4618" i="2"/>
  <c r="E4618" i="2"/>
  <c r="D4618" i="2"/>
  <c r="F4617" i="2"/>
  <c r="E4617" i="2"/>
  <c r="D4617" i="2"/>
  <c r="F4616" i="2"/>
  <c r="E4616" i="2"/>
  <c r="D4616" i="2"/>
  <c r="F4615" i="2"/>
  <c r="E4615" i="2"/>
  <c r="D4615" i="2"/>
  <c r="F4614" i="2"/>
  <c r="E4614" i="2"/>
  <c r="D4614" i="2"/>
  <c r="F4613" i="2"/>
  <c r="E4613" i="2"/>
  <c r="D4613" i="2"/>
  <c r="F4612" i="2"/>
  <c r="E4612" i="2"/>
  <c r="D4612" i="2"/>
  <c r="F4611" i="2"/>
  <c r="E4611" i="2"/>
  <c r="D4611" i="2"/>
  <c r="F4610" i="2"/>
  <c r="E4610" i="2"/>
  <c r="D4610" i="2"/>
  <c r="F7407" i="2"/>
  <c r="E7407" i="2"/>
  <c r="D7407" i="2"/>
  <c r="F7417" i="2"/>
  <c r="E7417" i="2"/>
  <c r="D7417" i="2"/>
  <c r="F7416" i="2"/>
  <c r="E7416" i="2"/>
  <c r="D7416" i="2"/>
  <c r="F7415" i="2"/>
  <c r="E7415" i="2"/>
  <c r="D7415" i="2"/>
  <c r="F7414" i="2"/>
  <c r="E7414" i="2"/>
  <c r="D7414" i="2"/>
  <c r="F7413" i="2"/>
  <c r="E7413" i="2"/>
  <c r="D7413" i="2"/>
  <c r="F7412" i="2"/>
  <c r="E7412" i="2"/>
  <c r="D7412" i="2"/>
  <c r="F7411" i="2"/>
  <c r="E7411" i="2"/>
  <c r="D7411" i="2"/>
  <c r="F7410" i="2"/>
  <c r="E7410" i="2"/>
  <c r="D7410" i="2"/>
  <c r="F7409" i="2"/>
  <c r="E7409" i="2"/>
  <c r="D7409" i="2"/>
  <c r="F7408" i="2"/>
  <c r="E7408" i="2"/>
  <c r="D7408" i="2"/>
  <c r="F11762" i="2"/>
  <c r="E11762" i="2"/>
  <c r="D11762" i="2"/>
  <c r="F11763" i="2"/>
  <c r="E11763" i="2"/>
  <c r="D11763" i="2"/>
  <c r="F9521" i="2"/>
  <c r="E9521" i="2"/>
  <c r="D9521" i="2"/>
  <c r="F9533" i="2"/>
  <c r="E9533" i="2"/>
  <c r="D9533" i="2"/>
  <c r="F9532" i="2"/>
  <c r="E9532" i="2"/>
  <c r="D9532" i="2"/>
  <c r="F9531" i="2"/>
  <c r="E9531" i="2"/>
  <c r="D9531" i="2"/>
  <c r="F9530" i="2"/>
  <c r="E9530" i="2"/>
  <c r="D9530" i="2"/>
  <c r="F9529" i="2"/>
  <c r="E9529" i="2"/>
  <c r="D9529" i="2"/>
  <c r="F9528" i="2"/>
  <c r="E9528" i="2"/>
  <c r="D9528" i="2"/>
  <c r="F9527" i="2"/>
  <c r="E9527" i="2"/>
  <c r="D9527" i="2"/>
  <c r="F9526" i="2"/>
  <c r="E9526" i="2"/>
  <c r="D9526" i="2"/>
  <c r="F9525" i="2"/>
  <c r="E9525" i="2"/>
  <c r="D9525" i="2"/>
  <c r="F9524" i="2"/>
  <c r="E9524" i="2"/>
  <c r="D9524" i="2"/>
  <c r="F9523" i="2"/>
  <c r="E9523" i="2"/>
  <c r="D9523" i="2"/>
  <c r="F9522" i="2"/>
  <c r="E9522" i="2"/>
  <c r="D9522" i="2"/>
  <c r="F15373" i="2"/>
  <c r="E15373" i="2"/>
  <c r="D15373" i="2"/>
  <c r="F15372" i="2"/>
  <c r="E15372" i="2"/>
  <c r="D15372" i="2"/>
  <c r="F15371" i="2"/>
  <c r="E15371" i="2"/>
  <c r="D15371" i="2"/>
  <c r="F15370" i="2"/>
  <c r="E15370" i="2"/>
  <c r="D15370" i="2"/>
  <c r="F15368" i="2"/>
  <c r="E15368" i="2"/>
  <c r="D15368" i="2"/>
  <c r="F15369" i="2"/>
  <c r="E15369" i="2"/>
  <c r="D15369" i="2"/>
  <c r="F3988" i="2"/>
  <c r="E3988" i="2"/>
  <c r="D3988" i="2"/>
  <c r="F3987" i="2"/>
  <c r="E3987" i="2"/>
  <c r="D3987" i="2"/>
  <c r="F3986" i="2"/>
  <c r="E3986" i="2"/>
  <c r="D3986" i="2"/>
  <c r="F3985" i="2"/>
  <c r="E3985" i="2"/>
  <c r="D3985" i="2"/>
  <c r="F3984" i="2"/>
  <c r="E3984" i="2"/>
  <c r="D3984" i="2"/>
  <c r="F3983" i="2"/>
  <c r="E3983" i="2"/>
  <c r="D3983" i="2"/>
  <c r="F3982" i="2"/>
  <c r="E3982" i="2"/>
  <c r="D3982" i="2"/>
  <c r="F3981" i="2"/>
  <c r="E3981" i="2"/>
  <c r="D3981" i="2"/>
  <c r="F3980" i="2"/>
  <c r="E3980" i="2"/>
  <c r="D3980" i="2"/>
  <c r="F3979" i="2"/>
  <c r="E3979" i="2"/>
  <c r="D3979" i="2"/>
  <c r="F3978" i="2"/>
  <c r="E3978" i="2"/>
  <c r="D3978" i="2"/>
  <c r="F3977" i="2"/>
  <c r="E3977" i="2"/>
  <c r="D3977" i="2"/>
  <c r="F3976" i="2"/>
  <c r="E3976" i="2"/>
  <c r="D3976" i="2"/>
  <c r="F3975" i="2"/>
  <c r="E3975" i="2"/>
  <c r="D3975" i="2"/>
  <c r="F3974" i="2"/>
  <c r="E3974" i="2"/>
  <c r="D3974" i="2"/>
  <c r="F3973" i="2"/>
  <c r="E3973" i="2"/>
  <c r="D3973" i="2"/>
  <c r="F3972" i="2"/>
  <c r="E3972" i="2"/>
  <c r="D3972" i="2"/>
  <c r="F3971" i="2"/>
  <c r="E3971" i="2"/>
  <c r="D3971" i="2"/>
  <c r="F12519" i="2"/>
  <c r="E12519" i="2"/>
  <c r="D12519" i="2"/>
  <c r="F12521" i="2"/>
  <c r="E12521" i="2"/>
  <c r="D12521" i="2"/>
  <c r="F12520" i="2"/>
  <c r="E12520" i="2"/>
  <c r="D12520" i="2"/>
  <c r="F7915" i="2"/>
  <c r="E7915" i="2"/>
  <c r="D7915" i="2"/>
  <c r="F7928" i="2"/>
  <c r="E7928" i="2"/>
  <c r="D7928" i="2"/>
  <c r="F7927" i="2"/>
  <c r="E7927" i="2"/>
  <c r="D7927" i="2"/>
  <c r="F7926" i="2"/>
  <c r="E7926" i="2"/>
  <c r="D7926" i="2"/>
  <c r="F7925" i="2"/>
  <c r="E7925" i="2"/>
  <c r="D7925" i="2"/>
  <c r="F7924" i="2"/>
  <c r="E7924" i="2"/>
  <c r="D7924" i="2"/>
  <c r="F7923" i="2"/>
  <c r="E7923" i="2"/>
  <c r="D7923" i="2"/>
  <c r="F7922" i="2"/>
  <c r="E7922" i="2"/>
  <c r="D7922" i="2"/>
  <c r="F7921" i="2"/>
  <c r="E7921" i="2"/>
  <c r="D7921" i="2"/>
  <c r="F7920" i="2"/>
  <c r="E7920" i="2"/>
  <c r="D7920" i="2"/>
  <c r="F7919" i="2"/>
  <c r="E7919" i="2"/>
  <c r="D7919" i="2"/>
  <c r="F7918" i="2"/>
  <c r="E7918" i="2"/>
  <c r="D7918" i="2"/>
  <c r="F7916" i="2"/>
  <c r="E7916" i="2"/>
  <c r="D7916" i="2"/>
  <c r="F7917" i="2"/>
  <c r="E7917" i="2"/>
  <c r="D7917" i="2"/>
  <c r="F2350" i="2"/>
  <c r="E2350" i="2"/>
  <c r="D2350" i="2"/>
  <c r="F2362" i="2"/>
  <c r="E2362" i="2"/>
  <c r="D2362" i="2"/>
  <c r="F2361" i="2"/>
  <c r="E2361" i="2"/>
  <c r="D2361" i="2"/>
  <c r="F2360" i="2"/>
  <c r="E2360" i="2"/>
  <c r="D2360" i="2"/>
  <c r="F2359" i="2"/>
  <c r="E2359" i="2"/>
  <c r="D2359" i="2"/>
  <c r="F2358" i="2"/>
  <c r="E2358" i="2"/>
  <c r="D2358" i="2"/>
  <c r="F2357" i="2"/>
  <c r="E2357" i="2"/>
  <c r="D2357" i="2"/>
  <c r="F2356" i="2"/>
  <c r="E2356" i="2"/>
  <c r="D2356" i="2"/>
  <c r="F2355" i="2"/>
  <c r="E2355" i="2"/>
  <c r="D2355" i="2"/>
  <c r="F2354" i="2"/>
  <c r="E2354" i="2"/>
  <c r="D2354" i="2"/>
  <c r="F2353" i="2"/>
  <c r="E2353" i="2"/>
  <c r="D2353" i="2"/>
  <c r="F2352" i="2"/>
  <c r="E2352" i="2"/>
  <c r="D2352" i="2"/>
  <c r="F2351" i="2"/>
  <c r="E2351" i="2"/>
  <c r="D2351" i="2"/>
  <c r="F7198" i="2"/>
  <c r="E7198" i="2"/>
  <c r="D7198" i="2"/>
  <c r="F7239" i="2"/>
  <c r="E7239" i="2"/>
  <c r="D7239" i="2"/>
  <c r="F7238" i="2"/>
  <c r="E7238" i="2"/>
  <c r="D7238" i="2"/>
  <c r="F7237" i="2"/>
  <c r="E7237" i="2"/>
  <c r="D7237" i="2"/>
  <c r="F7236" i="2"/>
  <c r="E7236" i="2"/>
  <c r="D7236" i="2"/>
  <c r="F7235" i="2"/>
  <c r="E7235" i="2"/>
  <c r="D7235" i="2"/>
  <c r="F7234" i="2"/>
  <c r="E7234" i="2"/>
  <c r="D7234" i="2"/>
  <c r="F7233" i="2"/>
  <c r="E7233" i="2"/>
  <c r="D7233" i="2"/>
  <c r="F7232" i="2"/>
  <c r="E7232" i="2"/>
  <c r="D7232" i="2"/>
  <c r="F7231" i="2"/>
  <c r="E7231" i="2"/>
  <c r="D7231" i="2"/>
  <c r="F7230" i="2"/>
  <c r="E7230" i="2"/>
  <c r="D7230" i="2"/>
  <c r="F7229" i="2"/>
  <c r="E7229" i="2"/>
  <c r="D7229" i="2"/>
  <c r="F7228" i="2"/>
  <c r="E7228" i="2"/>
  <c r="D7228" i="2"/>
  <c r="F7227" i="2"/>
  <c r="E7227" i="2"/>
  <c r="D7227" i="2"/>
  <c r="F7226" i="2"/>
  <c r="E7226" i="2"/>
  <c r="D7226" i="2"/>
  <c r="F7225" i="2"/>
  <c r="E7225" i="2"/>
  <c r="D7225" i="2"/>
  <c r="F7224" i="2"/>
  <c r="E7224" i="2"/>
  <c r="D7224" i="2"/>
  <c r="F7223" i="2"/>
  <c r="E7223" i="2"/>
  <c r="D7223" i="2"/>
  <c r="F7222" i="2"/>
  <c r="E7222" i="2"/>
  <c r="D7222" i="2"/>
  <c r="F7221" i="2"/>
  <c r="E7221" i="2"/>
  <c r="D7221" i="2"/>
  <c r="F7220" i="2"/>
  <c r="E7220" i="2"/>
  <c r="D7220" i="2"/>
  <c r="F7219" i="2"/>
  <c r="E7219" i="2"/>
  <c r="D7219" i="2"/>
  <c r="F7218" i="2"/>
  <c r="E7218" i="2"/>
  <c r="D7218" i="2"/>
  <c r="F7217" i="2"/>
  <c r="E7217" i="2"/>
  <c r="D7217" i="2"/>
  <c r="F7216" i="2"/>
  <c r="E7216" i="2"/>
  <c r="D7216" i="2"/>
  <c r="F7215" i="2"/>
  <c r="E7215" i="2"/>
  <c r="D7215" i="2"/>
  <c r="F7214" i="2"/>
  <c r="E7214" i="2"/>
  <c r="D7214" i="2"/>
  <c r="F7213" i="2"/>
  <c r="E7213" i="2"/>
  <c r="D7213" i="2"/>
  <c r="F7212" i="2"/>
  <c r="E7212" i="2"/>
  <c r="D7212" i="2"/>
  <c r="F7211" i="2"/>
  <c r="E7211" i="2"/>
  <c r="D7211" i="2"/>
  <c r="F7210" i="2"/>
  <c r="E7210" i="2"/>
  <c r="D7210" i="2"/>
  <c r="F7209" i="2"/>
  <c r="E7209" i="2"/>
  <c r="D7209" i="2"/>
  <c r="F7208" i="2"/>
  <c r="E7208" i="2"/>
  <c r="D7208" i="2"/>
  <c r="F7207" i="2"/>
  <c r="E7207" i="2"/>
  <c r="D7207" i="2"/>
  <c r="F7206" i="2"/>
  <c r="E7206" i="2"/>
  <c r="D7206" i="2"/>
  <c r="F7205" i="2"/>
  <c r="E7205" i="2"/>
  <c r="D7205" i="2"/>
  <c r="F7204" i="2"/>
  <c r="E7204" i="2"/>
  <c r="D7204" i="2"/>
  <c r="F7203" i="2"/>
  <c r="E7203" i="2"/>
  <c r="D7203" i="2"/>
  <c r="F7202" i="2"/>
  <c r="E7202" i="2"/>
  <c r="D7202" i="2"/>
  <c r="F7201" i="2"/>
  <c r="E7201" i="2"/>
  <c r="D7201" i="2"/>
  <c r="F7200" i="2"/>
  <c r="E7200" i="2"/>
  <c r="D7200" i="2"/>
  <c r="F7199" i="2"/>
  <c r="E7199" i="2"/>
  <c r="D7199" i="2"/>
  <c r="F12550" i="2"/>
  <c r="E12550" i="2"/>
  <c r="D12550" i="2"/>
  <c r="F12549" i="2"/>
  <c r="E12549" i="2"/>
  <c r="D12549" i="2"/>
  <c r="F12548" i="2"/>
  <c r="E12548" i="2"/>
  <c r="D12548" i="2"/>
  <c r="F12547" i="2"/>
  <c r="E12547" i="2"/>
  <c r="D12547" i="2"/>
  <c r="F12546" i="2"/>
  <c r="E12546" i="2"/>
  <c r="D12546" i="2"/>
  <c r="F12545" i="2"/>
  <c r="E12545" i="2"/>
  <c r="D12545" i="2"/>
  <c r="F12544" i="2"/>
  <c r="E12544" i="2"/>
  <c r="D12544" i="2"/>
  <c r="F12543" i="2"/>
  <c r="E12543" i="2"/>
  <c r="D12543" i="2"/>
  <c r="F12542" i="2"/>
  <c r="E12542" i="2"/>
  <c r="D12542" i="2"/>
  <c r="F12541" i="2"/>
  <c r="E12541" i="2"/>
  <c r="D12541" i="2"/>
  <c r="F12540" i="2"/>
  <c r="E12540" i="2"/>
  <c r="D12540" i="2"/>
  <c r="F12539" i="2"/>
  <c r="E12539" i="2"/>
  <c r="D12539" i="2"/>
  <c r="F12538" i="2"/>
  <c r="E12538" i="2"/>
  <c r="D12538" i="2"/>
  <c r="F12537" i="2"/>
  <c r="E12537" i="2"/>
  <c r="D12537" i="2"/>
  <c r="F12536" i="2"/>
  <c r="E12536" i="2"/>
  <c r="D12536" i="2"/>
  <c r="F12535" i="2"/>
  <c r="E12535" i="2"/>
  <c r="D12535" i="2"/>
  <c r="F12534" i="2"/>
  <c r="E12534" i="2"/>
  <c r="D12534" i="2"/>
  <c r="F12533" i="2"/>
  <c r="E12533" i="2"/>
  <c r="D12533" i="2"/>
  <c r="F12532" i="2"/>
  <c r="E12532" i="2"/>
  <c r="D12532" i="2"/>
  <c r="F12531" i="2"/>
  <c r="E12531" i="2"/>
  <c r="D12531" i="2"/>
  <c r="F12530" i="2"/>
  <c r="E12530" i="2"/>
  <c r="D12530" i="2"/>
  <c r="F12529" i="2"/>
  <c r="E12529" i="2"/>
  <c r="D12529" i="2"/>
  <c r="F12528" i="2"/>
  <c r="E12528" i="2"/>
  <c r="D12528" i="2"/>
  <c r="F12527" i="2"/>
  <c r="E12527" i="2"/>
  <c r="D12527" i="2"/>
  <c r="F12526" i="2"/>
  <c r="E12526" i="2"/>
  <c r="D12526" i="2"/>
  <c r="F13900" i="2"/>
  <c r="E13900" i="2"/>
  <c r="D13900" i="2"/>
  <c r="F13899" i="2"/>
  <c r="E13899" i="2"/>
  <c r="D13899" i="2"/>
  <c r="F13898" i="2"/>
  <c r="E13898" i="2"/>
  <c r="D13898" i="2"/>
  <c r="F13897" i="2"/>
  <c r="E13897" i="2"/>
  <c r="D13897" i="2"/>
  <c r="F13896" i="2"/>
  <c r="E13896" i="2"/>
  <c r="D13896" i="2"/>
  <c r="F13895" i="2"/>
  <c r="E13895" i="2"/>
  <c r="D13895" i="2"/>
  <c r="F13894" i="2"/>
  <c r="E13894" i="2"/>
  <c r="D13894" i="2"/>
  <c r="F13893" i="2"/>
  <c r="E13893" i="2"/>
  <c r="D13893" i="2"/>
  <c r="F13892" i="2"/>
  <c r="E13892" i="2"/>
  <c r="D13892" i="2"/>
  <c r="F3887" i="2"/>
  <c r="E3887" i="2"/>
  <c r="D3887" i="2"/>
  <c r="F3895" i="2"/>
  <c r="E3895" i="2"/>
  <c r="D3895" i="2"/>
  <c r="F3894" i="2"/>
  <c r="E3894" i="2"/>
  <c r="D3894" i="2"/>
  <c r="F3893" i="2"/>
  <c r="E3893" i="2"/>
  <c r="D3893" i="2"/>
  <c r="F3892" i="2"/>
  <c r="E3892" i="2"/>
  <c r="D3892" i="2"/>
  <c r="F3891" i="2"/>
  <c r="E3891" i="2"/>
  <c r="D3891" i="2"/>
  <c r="F3890" i="2"/>
  <c r="E3890" i="2"/>
  <c r="D3890" i="2"/>
  <c r="F3889" i="2"/>
  <c r="E3889" i="2"/>
  <c r="D3889" i="2"/>
  <c r="F3888" i="2"/>
  <c r="E3888" i="2"/>
  <c r="D3888" i="2"/>
  <c r="F15139" i="2"/>
  <c r="E15139" i="2"/>
  <c r="D15139" i="2"/>
  <c r="F15138" i="2"/>
  <c r="E15138" i="2"/>
  <c r="D15138" i="2"/>
  <c r="F15137" i="2"/>
  <c r="E15137" i="2"/>
  <c r="D15137" i="2"/>
  <c r="F15136" i="2"/>
  <c r="E15136" i="2"/>
  <c r="D15136" i="2"/>
  <c r="F15135" i="2"/>
  <c r="E15135" i="2"/>
  <c r="D15135" i="2"/>
  <c r="F15134" i="2"/>
  <c r="E15134" i="2"/>
  <c r="D15134" i="2"/>
  <c r="F15133" i="2"/>
  <c r="E15133" i="2"/>
  <c r="D15133" i="2"/>
  <c r="F15132" i="2"/>
  <c r="E15132" i="2"/>
  <c r="D15132" i="2"/>
  <c r="F15131" i="2"/>
  <c r="E15131" i="2"/>
  <c r="D15131" i="2"/>
  <c r="F15130" i="2"/>
  <c r="E15130" i="2"/>
  <c r="D15130" i="2"/>
  <c r="F15129" i="2"/>
  <c r="E15129" i="2"/>
  <c r="D15129" i="2"/>
  <c r="F15128" i="2"/>
  <c r="E15128" i="2"/>
  <c r="D15128" i="2"/>
  <c r="F15127" i="2"/>
  <c r="E15127" i="2"/>
  <c r="D15127" i="2"/>
  <c r="F15126" i="2"/>
  <c r="E15126" i="2"/>
  <c r="D15126" i="2"/>
  <c r="F15125" i="2"/>
  <c r="E15125" i="2"/>
  <c r="D15125" i="2"/>
  <c r="F15124" i="2"/>
  <c r="E15124" i="2"/>
  <c r="D15124" i="2"/>
  <c r="F15123" i="2"/>
  <c r="E15123" i="2"/>
  <c r="D15123" i="2"/>
  <c r="F15122" i="2"/>
  <c r="E15122" i="2"/>
  <c r="D15122" i="2"/>
  <c r="F15121" i="2"/>
  <c r="E15121" i="2"/>
  <c r="D15121" i="2"/>
  <c r="F15120" i="2"/>
  <c r="E15120" i="2"/>
  <c r="D15120" i="2"/>
  <c r="F15119" i="2"/>
  <c r="E15119" i="2"/>
  <c r="D15119" i="2"/>
  <c r="F15118" i="2"/>
  <c r="E15118" i="2"/>
  <c r="D15118" i="2"/>
  <c r="F15117" i="2"/>
  <c r="E15117" i="2"/>
  <c r="D15117" i="2"/>
  <c r="F15116" i="2"/>
  <c r="E15116" i="2"/>
  <c r="D15116" i="2"/>
  <c r="F15115" i="2"/>
  <c r="E15115" i="2"/>
  <c r="D15115" i="2"/>
  <c r="F15114" i="2"/>
  <c r="E15114" i="2"/>
  <c r="D15114" i="2"/>
  <c r="F15113" i="2"/>
  <c r="E15113" i="2"/>
  <c r="D15113" i="2"/>
  <c r="F15112" i="2"/>
  <c r="E15112" i="2"/>
  <c r="D15112" i="2"/>
  <c r="F15111" i="2"/>
  <c r="E15111" i="2"/>
  <c r="D15111" i="2"/>
  <c r="F15110" i="2"/>
  <c r="E15110" i="2"/>
  <c r="D15110" i="2"/>
  <c r="F15109" i="2"/>
  <c r="E15109" i="2"/>
  <c r="D15109" i="2"/>
  <c r="F15108" i="2"/>
  <c r="E15108" i="2"/>
  <c r="D15108" i="2"/>
  <c r="F15107" i="2"/>
  <c r="E15107" i="2"/>
  <c r="D15107" i="2"/>
  <c r="F15106" i="2"/>
  <c r="E15106" i="2"/>
  <c r="D15106" i="2"/>
  <c r="F15105" i="2"/>
  <c r="E15105" i="2"/>
  <c r="D15105" i="2"/>
  <c r="F15104" i="2"/>
  <c r="E15104" i="2"/>
  <c r="D15104" i="2"/>
  <c r="F15103" i="2"/>
  <c r="E15103" i="2"/>
  <c r="D15103" i="2"/>
  <c r="F15102" i="2"/>
  <c r="E15102" i="2"/>
  <c r="D15102" i="2"/>
  <c r="F15101" i="2"/>
  <c r="E15101" i="2"/>
  <c r="D15101" i="2"/>
  <c r="F15100" i="2"/>
  <c r="E15100" i="2"/>
  <c r="D15100" i="2"/>
  <c r="F15099" i="2"/>
  <c r="E15099" i="2"/>
  <c r="D15099" i="2"/>
  <c r="F15098" i="2"/>
  <c r="E15098" i="2"/>
  <c r="D15098" i="2"/>
  <c r="F15097" i="2"/>
  <c r="E15097" i="2"/>
  <c r="D15097" i="2"/>
  <c r="F15096" i="2"/>
  <c r="E15096" i="2"/>
  <c r="D15096" i="2"/>
  <c r="F15095" i="2"/>
  <c r="E15095" i="2"/>
  <c r="D15095" i="2"/>
  <c r="F14980" i="2"/>
  <c r="E14980" i="2"/>
  <c r="D14980" i="2"/>
  <c r="F14988" i="2"/>
  <c r="E14988" i="2"/>
  <c r="D14988" i="2"/>
  <c r="F14987" i="2"/>
  <c r="E14987" i="2"/>
  <c r="D14987" i="2"/>
  <c r="F14986" i="2"/>
  <c r="E14986" i="2"/>
  <c r="D14986" i="2"/>
  <c r="F14985" i="2"/>
  <c r="E14985" i="2"/>
  <c r="D14985" i="2"/>
  <c r="F14984" i="2"/>
  <c r="E14984" i="2"/>
  <c r="D14984" i="2"/>
  <c r="F14983" i="2"/>
  <c r="E14983" i="2"/>
  <c r="D14983" i="2"/>
  <c r="F14982" i="2"/>
  <c r="E14982" i="2"/>
  <c r="D14982" i="2"/>
  <c r="F14981" i="2"/>
  <c r="E14981" i="2"/>
  <c r="D14981" i="2"/>
  <c r="F12716" i="2"/>
  <c r="E12716" i="2"/>
  <c r="D12716" i="2"/>
  <c r="F12722" i="2"/>
  <c r="E12722" i="2"/>
  <c r="D12722" i="2"/>
  <c r="F12721" i="2"/>
  <c r="E12721" i="2"/>
  <c r="D12721" i="2"/>
  <c r="F12720" i="2"/>
  <c r="E12720" i="2"/>
  <c r="D12720" i="2"/>
  <c r="F12719" i="2"/>
  <c r="E12719" i="2"/>
  <c r="D12719" i="2"/>
  <c r="F12718" i="2"/>
  <c r="E12718" i="2"/>
  <c r="D12718" i="2"/>
  <c r="F12717" i="2"/>
  <c r="E12717" i="2"/>
  <c r="D12717" i="2"/>
  <c r="F8871" i="2"/>
  <c r="E8871" i="2"/>
  <c r="D8871" i="2"/>
  <c r="F8870" i="2"/>
  <c r="E8870" i="2"/>
  <c r="D8870" i="2"/>
  <c r="F8869" i="2"/>
  <c r="E8869" i="2"/>
  <c r="D8869" i="2"/>
  <c r="F8868" i="2"/>
  <c r="E8868" i="2"/>
  <c r="D8868" i="2"/>
  <c r="F8867" i="2"/>
  <c r="E8867" i="2"/>
  <c r="D8867" i="2"/>
  <c r="F8866" i="2"/>
  <c r="E8866" i="2"/>
  <c r="D8866" i="2"/>
  <c r="F8865" i="2"/>
  <c r="E8865" i="2"/>
  <c r="D8865" i="2"/>
  <c r="F8864" i="2"/>
  <c r="E8864" i="2"/>
  <c r="D8864" i="2"/>
  <c r="F8863" i="2"/>
  <c r="E8863" i="2"/>
  <c r="D8863" i="2"/>
  <c r="F8862" i="2"/>
  <c r="E8862" i="2"/>
  <c r="D8862" i="2"/>
  <c r="F8861" i="2"/>
  <c r="E8861" i="2"/>
  <c r="D8861" i="2"/>
  <c r="F8860" i="2"/>
  <c r="E8860" i="2"/>
  <c r="D8860" i="2"/>
  <c r="F8859" i="2"/>
  <c r="E8859" i="2"/>
  <c r="D8859" i="2"/>
  <c r="F8858" i="2"/>
  <c r="E8858" i="2"/>
  <c r="D8858" i="2"/>
  <c r="F8857" i="2"/>
  <c r="E8857" i="2"/>
  <c r="D8857" i="2"/>
  <c r="F8856" i="2"/>
  <c r="E8856" i="2"/>
  <c r="D8856" i="2"/>
  <c r="F8855" i="2"/>
  <c r="E8855" i="2"/>
  <c r="D8855" i="2"/>
  <c r="F8854" i="2"/>
  <c r="E8854" i="2"/>
  <c r="D8854" i="2"/>
  <c r="F8853" i="2"/>
  <c r="E8853" i="2"/>
  <c r="D8853" i="2"/>
  <c r="F8852" i="2"/>
  <c r="E8852" i="2"/>
  <c r="D8852" i="2"/>
  <c r="F8851" i="2"/>
  <c r="E8851" i="2"/>
  <c r="D8851" i="2"/>
  <c r="F8850" i="2"/>
  <c r="E8850" i="2"/>
  <c r="D8850" i="2"/>
  <c r="F8849" i="2"/>
  <c r="E8849" i="2"/>
  <c r="D8849" i="2"/>
  <c r="F8848" i="2"/>
  <c r="E8848" i="2"/>
  <c r="D8848" i="2"/>
  <c r="F8847" i="2"/>
  <c r="E8847" i="2"/>
  <c r="D8847" i="2"/>
  <c r="F8846" i="2"/>
  <c r="E8846" i="2"/>
  <c r="D8846" i="2"/>
  <c r="F8845" i="2"/>
  <c r="E8845" i="2"/>
  <c r="D8845" i="2"/>
  <c r="F8844" i="2"/>
  <c r="E8844" i="2"/>
  <c r="D8844" i="2"/>
  <c r="F8843" i="2"/>
  <c r="E8843" i="2"/>
  <c r="D8843" i="2"/>
  <c r="F8842" i="2"/>
  <c r="E8842" i="2"/>
  <c r="D8842" i="2"/>
  <c r="F8841" i="2"/>
  <c r="E8841" i="2"/>
  <c r="D8841" i="2"/>
  <c r="F8840" i="2"/>
  <c r="E8840" i="2"/>
  <c r="D8840" i="2"/>
  <c r="F8839" i="2"/>
  <c r="E8839" i="2"/>
  <c r="D8839" i="2"/>
  <c r="F11753" i="2"/>
  <c r="E11753" i="2"/>
  <c r="D11753" i="2"/>
  <c r="F11758" i="2"/>
  <c r="E11758" i="2"/>
  <c r="D11758" i="2"/>
  <c r="F11757" i="2"/>
  <c r="E11757" i="2"/>
  <c r="D11757" i="2"/>
  <c r="F11756" i="2"/>
  <c r="E11756" i="2"/>
  <c r="D11756" i="2"/>
  <c r="F11755" i="2"/>
  <c r="E11755" i="2"/>
  <c r="D11755" i="2"/>
  <c r="F11754" i="2"/>
  <c r="E11754" i="2"/>
  <c r="D11754" i="2"/>
  <c r="F11752" i="2"/>
  <c r="E11752" i="2"/>
  <c r="D11752" i="2"/>
  <c r="F10318" i="2"/>
  <c r="E10318" i="2"/>
  <c r="D10318" i="2"/>
  <c r="F10327" i="2"/>
  <c r="E10327" i="2"/>
  <c r="D10327" i="2"/>
  <c r="F10326" i="2"/>
  <c r="E10326" i="2"/>
  <c r="D10326" i="2"/>
  <c r="F10325" i="2"/>
  <c r="E10325" i="2"/>
  <c r="D10325" i="2"/>
  <c r="F10324" i="2"/>
  <c r="E10324" i="2"/>
  <c r="D10324" i="2"/>
  <c r="F10323" i="2"/>
  <c r="E10323" i="2"/>
  <c r="D10323" i="2"/>
  <c r="F10322" i="2"/>
  <c r="E10322" i="2"/>
  <c r="D10322" i="2"/>
  <c r="F10321" i="2"/>
  <c r="E10321" i="2"/>
  <c r="D10321" i="2"/>
  <c r="F10320" i="2"/>
  <c r="E10320" i="2"/>
  <c r="D10320" i="2"/>
  <c r="F10319" i="2"/>
  <c r="E10319" i="2"/>
  <c r="D10319" i="2"/>
  <c r="F6996" i="2"/>
  <c r="E6996" i="2"/>
  <c r="D6996" i="2"/>
  <c r="F6995" i="2"/>
  <c r="E6995" i="2"/>
  <c r="D6995" i="2"/>
  <c r="F6994" i="2"/>
  <c r="E6994" i="2"/>
  <c r="D6994" i="2"/>
  <c r="F6993" i="2"/>
  <c r="E6993" i="2"/>
  <c r="D6993" i="2"/>
  <c r="F6992" i="2"/>
  <c r="E6992" i="2"/>
  <c r="D6992" i="2"/>
  <c r="F6991" i="2"/>
  <c r="E6991" i="2"/>
  <c r="D6991" i="2"/>
  <c r="F6990" i="2"/>
  <c r="E6990" i="2"/>
  <c r="D6990" i="2"/>
  <c r="F6989" i="2"/>
  <c r="E6989" i="2"/>
  <c r="D6989" i="2"/>
  <c r="F15634" i="2"/>
  <c r="E15634" i="2"/>
  <c r="D15634" i="2"/>
  <c r="F15633" i="2"/>
  <c r="E15633" i="2"/>
  <c r="D15633" i="2"/>
  <c r="F15632" i="2"/>
  <c r="E15632" i="2"/>
  <c r="D15632" i="2"/>
  <c r="F15631" i="2"/>
  <c r="E15631" i="2"/>
  <c r="D15631" i="2"/>
  <c r="F15630" i="2"/>
  <c r="E15630" i="2"/>
  <c r="D15630" i="2"/>
  <c r="F15629" i="2"/>
  <c r="E15629" i="2"/>
  <c r="D15629" i="2"/>
  <c r="F15628" i="2"/>
  <c r="E15628" i="2"/>
  <c r="D15628" i="2"/>
  <c r="F15627" i="2"/>
  <c r="E15627" i="2"/>
  <c r="D15627" i="2"/>
  <c r="F15626" i="2"/>
  <c r="E15626" i="2"/>
  <c r="D15626" i="2"/>
  <c r="F15625" i="2"/>
  <c r="E15625" i="2"/>
  <c r="D15625" i="2"/>
  <c r="F15624" i="2"/>
  <c r="E15624" i="2"/>
  <c r="D15624" i="2"/>
  <c r="F15623" i="2"/>
  <c r="E15623" i="2"/>
  <c r="D15623" i="2"/>
  <c r="F15622" i="2"/>
  <c r="E15622" i="2"/>
  <c r="D15622" i="2"/>
  <c r="F5542" i="2"/>
  <c r="E5542" i="2"/>
  <c r="D5542" i="2"/>
  <c r="F5565" i="2"/>
  <c r="E5565" i="2"/>
  <c r="D5565" i="2"/>
  <c r="F5564" i="2"/>
  <c r="E5564" i="2"/>
  <c r="D5564" i="2"/>
  <c r="F5563" i="2"/>
  <c r="E5563" i="2"/>
  <c r="D5563" i="2"/>
  <c r="F5562" i="2"/>
  <c r="E5562" i="2"/>
  <c r="D5562" i="2"/>
  <c r="F5561" i="2"/>
  <c r="E5561" i="2"/>
  <c r="D5561" i="2"/>
  <c r="F5560" i="2"/>
  <c r="E5560" i="2"/>
  <c r="D5560" i="2"/>
  <c r="F5559" i="2"/>
  <c r="E5559" i="2"/>
  <c r="D5559" i="2"/>
  <c r="F5558" i="2"/>
  <c r="E5558" i="2"/>
  <c r="D5558" i="2"/>
  <c r="F5557" i="2"/>
  <c r="E5557" i="2"/>
  <c r="D5557" i="2"/>
  <c r="F5556" i="2"/>
  <c r="E5556" i="2"/>
  <c r="D5556" i="2"/>
  <c r="F5555" i="2"/>
  <c r="E5555" i="2"/>
  <c r="D5555" i="2"/>
  <c r="F5554" i="2"/>
  <c r="E5554" i="2"/>
  <c r="D5554" i="2"/>
  <c r="F5553" i="2"/>
  <c r="E5553" i="2"/>
  <c r="D5553" i="2"/>
  <c r="F5552" i="2"/>
  <c r="E5552" i="2"/>
  <c r="D5552" i="2"/>
  <c r="F5551" i="2"/>
  <c r="E5551" i="2"/>
  <c r="D5551" i="2"/>
  <c r="F5550" i="2"/>
  <c r="E5550" i="2"/>
  <c r="D5550" i="2"/>
  <c r="F5549" i="2"/>
  <c r="E5549" i="2"/>
  <c r="D5549" i="2"/>
  <c r="F5548" i="2"/>
  <c r="E5548" i="2"/>
  <c r="D5548" i="2"/>
  <c r="F5547" i="2"/>
  <c r="E5547" i="2"/>
  <c r="D5547" i="2"/>
  <c r="F5546" i="2"/>
  <c r="E5546" i="2"/>
  <c r="D5546" i="2"/>
  <c r="F5543" i="2"/>
  <c r="E5543" i="2"/>
  <c r="D5543" i="2"/>
  <c r="F5545" i="2"/>
  <c r="E5545" i="2"/>
  <c r="D5545" i="2"/>
  <c r="F5544" i="2"/>
  <c r="E5544" i="2"/>
  <c r="D5544" i="2"/>
  <c r="F5680" i="2"/>
  <c r="E5680" i="2"/>
  <c r="D5680" i="2"/>
  <c r="F5707" i="2"/>
  <c r="E5707" i="2"/>
  <c r="D5707" i="2"/>
  <c r="F5706" i="2"/>
  <c r="E5706" i="2"/>
  <c r="D5706" i="2"/>
  <c r="F5705" i="2"/>
  <c r="E5705" i="2"/>
  <c r="D5705" i="2"/>
  <c r="F5704" i="2"/>
  <c r="E5704" i="2"/>
  <c r="D5704" i="2"/>
  <c r="F5703" i="2"/>
  <c r="E5703" i="2"/>
  <c r="D5703" i="2"/>
  <c r="F5702" i="2"/>
  <c r="E5702" i="2"/>
  <c r="D5702" i="2"/>
  <c r="F5701" i="2"/>
  <c r="E5701" i="2"/>
  <c r="D5701" i="2"/>
  <c r="F5700" i="2"/>
  <c r="E5700" i="2"/>
  <c r="D5700" i="2"/>
  <c r="F5699" i="2"/>
  <c r="E5699" i="2"/>
  <c r="D5699" i="2"/>
  <c r="F5698" i="2"/>
  <c r="E5698" i="2"/>
  <c r="D5698" i="2"/>
  <c r="F5697" i="2"/>
  <c r="E5697" i="2"/>
  <c r="D5697" i="2"/>
  <c r="F5696" i="2"/>
  <c r="E5696" i="2"/>
  <c r="D5696" i="2"/>
  <c r="F5695" i="2"/>
  <c r="E5695" i="2"/>
  <c r="D5695" i="2"/>
  <c r="F5694" i="2"/>
  <c r="E5694" i="2"/>
  <c r="D5694" i="2"/>
  <c r="F5693" i="2"/>
  <c r="E5693" i="2"/>
  <c r="D5693" i="2"/>
  <c r="F5692" i="2"/>
  <c r="E5692" i="2"/>
  <c r="D5692" i="2"/>
  <c r="F5691" i="2"/>
  <c r="E5691" i="2"/>
  <c r="D5691" i="2"/>
  <c r="F5690" i="2"/>
  <c r="E5690" i="2"/>
  <c r="D5690" i="2"/>
  <c r="F5689" i="2"/>
  <c r="E5689" i="2"/>
  <c r="D5689" i="2"/>
  <c r="F5688" i="2"/>
  <c r="E5688" i="2"/>
  <c r="D5688" i="2"/>
  <c r="F5687" i="2"/>
  <c r="E5687" i="2"/>
  <c r="D5687" i="2"/>
  <c r="F5686" i="2"/>
  <c r="E5686" i="2"/>
  <c r="D5686" i="2"/>
  <c r="F5685" i="2"/>
  <c r="E5685" i="2"/>
  <c r="D5685" i="2"/>
  <c r="F5684" i="2"/>
  <c r="E5684" i="2"/>
  <c r="D5684" i="2"/>
  <c r="F5683" i="2"/>
  <c r="E5683" i="2"/>
  <c r="D5683" i="2"/>
  <c r="F5682" i="2"/>
  <c r="E5682" i="2"/>
  <c r="D5682" i="2"/>
  <c r="F5681" i="2"/>
  <c r="E5681" i="2"/>
  <c r="D5681" i="2"/>
  <c r="F9491" i="2"/>
  <c r="E9491" i="2"/>
  <c r="D9491" i="2"/>
  <c r="F9493" i="2"/>
  <c r="E9493" i="2"/>
  <c r="D9493" i="2"/>
  <c r="F9492" i="2"/>
  <c r="E9492" i="2"/>
  <c r="D9492" i="2"/>
  <c r="F7438" i="2"/>
  <c r="E7438" i="2"/>
  <c r="D7438" i="2"/>
  <c r="F7437" i="2"/>
  <c r="E7437" i="2"/>
  <c r="D7437" i="2"/>
  <c r="F7436" i="2"/>
  <c r="E7436" i="2"/>
  <c r="D7436" i="2"/>
  <c r="F7435" i="2"/>
  <c r="E7435" i="2"/>
  <c r="D7435" i="2"/>
  <c r="F7434" i="2"/>
  <c r="E7434" i="2"/>
  <c r="D7434" i="2"/>
  <c r="F7433" i="2"/>
  <c r="E7433" i="2"/>
  <c r="D7433" i="2"/>
  <c r="F7432" i="2"/>
  <c r="E7432" i="2"/>
  <c r="D7432" i="2"/>
  <c r="F7431" i="2"/>
  <c r="E7431" i="2"/>
  <c r="D7431" i="2"/>
  <c r="F7430" i="2"/>
  <c r="E7430" i="2"/>
  <c r="D7430" i="2"/>
  <c r="F7429" i="2"/>
  <c r="E7429" i="2"/>
  <c r="D7429" i="2"/>
  <c r="F7428" i="2"/>
  <c r="E7428" i="2"/>
  <c r="D7428" i="2"/>
  <c r="F7427" i="2"/>
  <c r="E7427" i="2"/>
  <c r="D7427" i="2"/>
  <c r="F7426" i="2"/>
  <c r="E7426" i="2"/>
  <c r="D7426" i="2"/>
  <c r="F7425" i="2"/>
  <c r="E7425" i="2"/>
  <c r="D7425" i="2"/>
  <c r="F7424" i="2"/>
  <c r="E7424" i="2"/>
  <c r="D7424" i="2"/>
  <c r="F7423" i="2"/>
  <c r="E7423" i="2"/>
  <c r="D7423" i="2"/>
  <c r="F7422" i="2"/>
  <c r="E7422" i="2"/>
  <c r="D7422" i="2"/>
  <c r="F7421" i="2"/>
  <c r="E7421" i="2"/>
  <c r="D7421" i="2"/>
  <c r="F7420" i="2"/>
  <c r="E7420" i="2"/>
  <c r="D7420" i="2"/>
  <c r="F7419" i="2"/>
  <c r="E7419" i="2"/>
  <c r="D7419" i="2"/>
  <c r="F7418" i="2"/>
  <c r="E7418" i="2"/>
  <c r="D7418" i="2"/>
  <c r="F2396" i="2"/>
  <c r="E2396" i="2"/>
  <c r="D2396" i="2"/>
  <c r="F2403" i="2"/>
  <c r="E2403" i="2"/>
  <c r="D2403" i="2"/>
  <c r="F2402" i="2"/>
  <c r="E2402" i="2"/>
  <c r="D2402" i="2"/>
  <c r="F2401" i="2"/>
  <c r="E2401" i="2"/>
  <c r="D2401" i="2"/>
  <c r="F2400" i="2"/>
  <c r="E2400" i="2"/>
  <c r="D2400" i="2"/>
  <c r="F2399" i="2"/>
  <c r="E2399" i="2"/>
  <c r="D2399" i="2"/>
  <c r="F2398" i="2"/>
  <c r="E2398" i="2"/>
  <c r="D2398" i="2"/>
  <c r="F2397" i="2"/>
  <c r="E2397" i="2"/>
  <c r="D2397" i="2"/>
  <c r="F14096" i="2"/>
  <c r="E14096" i="2"/>
  <c r="D14096" i="2"/>
  <c r="F14095" i="2"/>
  <c r="E14095" i="2"/>
  <c r="D14095" i="2"/>
  <c r="F14094" i="2"/>
  <c r="E14094" i="2"/>
  <c r="D14094" i="2"/>
  <c r="F14093" i="2"/>
  <c r="E14093" i="2"/>
  <c r="D14093" i="2"/>
  <c r="F14092" i="2"/>
  <c r="E14092" i="2"/>
  <c r="D14092" i="2"/>
  <c r="F14091" i="2"/>
  <c r="E14091" i="2"/>
  <c r="D14091" i="2"/>
  <c r="F14090" i="2"/>
  <c r="E14090" i="2"/>
  <c r="D14090" i="2"/>
  <c r="F14089" i="2"/>
  <c r="E14089" i="2"/>
  <c r="D14089" i="2"/>
  <c r="F14088" i="2"/>
  <c r="E14088" i="2"/>
  <c r="D14088" i="2"/>
  <c r="F14087" i="2"/>
  <c r="E14087" i="2"/>
  <c r="D14087" i="2"/>
  <c r="F14086" i="2"/>
  <c r="E14086" i="2"/>
  <c r="D14086" i="2"/>
  <c r="F14085" i="2"/>
  <c r="E14085" i="2"/>
  <c r="D14085" i="2"/>
  <c r="F14084" i="2"/>
  <c r="E14084" i="2"/>
  <c r="D14084" i="2"/>
  <c r="F14083" i="2"/>
  <c r="E14083" i="2"/>
  <c r="D14083" i="2"/>
  <c r="F14082" i="2"/>
  <c r="E14082" i="2"/>
  <c r="D14082" i="2"/>
  <c r="F14081" i="2"/>
  <c r="E14081" i="2"/>
  <c r="D14081" i="2"/>
  <c r="F14080" i="2"/>
  <c r="E14080" i="2"/>
  <c r="D14080" i="2"/>
  <c r="F14079" i="2"/>
  <c r="E14079" i="2"/>
  <c r="D14079" i="2"/>
  <c r="F3488" i="2"/>
  <c r="E3488" i="2"/>
  <c r="D3488" i="2"/>
  <c r="F3511" i="2"/>
  <c r="E3511" i="2"/>
  <c r="D3511" i="2"/>
  <c r="F3510" i="2"/>
  <c r="E3510" i="2"/>
  <c r="D3510" i="2"/>
  <c r="F3509" i="2"/>
  <c r="E3509" i="2"/>
  <c r="D3509" i="2"/>
  <c r="F3508" i="2"/>
  <c r="E3508" i="2"/>
  <c r="D3508" i="2"/>
  <c r="F3507" i="2"/>
  <c r="E3507" i="2"/>
  <c r="D3507" i="2"/>
  <c r="F3506" i="2"/>
  <c r="E3506" i="2"/>
  <c r="D3506" i="2"/>
  <c r="F3505" i="2"/>
  <c r="E3505" i="2"/>
  <c r="D3505" i="2"/>
  <c r="F3504" i="2"/>
  <c r="E3504" i="2"/>
  <c r="D3504" i="2"/>
  <c r="F3503" i="2"/>
  <c r="E3503" i="2"/>
  <c r="D3503" i="2"/>
  <c r="F3502" i="2"/>
  <c r="E3502" i="2"/>
  <c r="D3502" i="2"/>
  <c r="F3501" i="2"/>
  <c r="E3501" i="2"/>
  <c r="D3501" i="2"/>
  <c r="F3500" i="2"/>
  <c r="E3500" i="2"/>
  <c r="D3500" i="2"/>
  <c r="F3499" i="2"/>
  <c r="E3499" i="2"/>
  <c r="D3499" i="2"/>
  <c r="F3498" i="2"/>
  <c r="E3498" i="2"/>
  <c r="D3498" i="2"/>
  <c r="F3497" i="2"/>
  <c r="E3497" i="2"/>
  <c r="D3497" i="2"/>
  <c r="F3496" i="2"/>
  <c r="E3496" i="2"/>
  <c r="D3496" i="2"/>
  <c r="F3495" i="2"/>
  <c r="E3495" i="2"/>
  <c r="D3495" i="2"/>
  <c r="F3494" i="2"/>
  <c r="E3494" i="2"/>
  <c r="D3494" i="2"/>
  <c r="F3493" i="2"/>
  <c r="E3493" i="2"/>
  <c r="D3493" i="2"/>
  <c r="F3492" i="2"/>
  <c r="E3492" i="2"/>
  <c r="D3492" i="2"/>
  <c r="F3491" i="2"/>
  <c r="E3491" i="2"/>
  <c r="D3491" i="2"/>
  <c r="F3490" i="2"/>
  <c r="E3490" i="2"/>
  <c r="D3490" i="2"/>
  <c r="F3489" i="2"/>
  <c r="E3489" i="2"/>
  <c r="D3489" i="2"/>
  <c r="F12481" i="2"/>
  <c r="E12481" i="2"/>
  <c r="D12481" i="2"/>
  <c r="F12480" i="2"/>
  <c r="E12480" i="2"/>
  <c r="D12480" i="2"/>
  <c r="F12479" i="2"/>
  <c r="E12479" i="2"/>
  <c r="D12479" i="2"/>
  <c r="F6749" i="2"/>
  <c r="E6749" i="2"/>
  <c r="D6749" i="2"/>
  <c r="F6778" i="2"/>
  <c r="E6778" i="2"/>
  <c r="D6778" i="2"/>
  <c r="F6777" i="2"/>
  <c r="E6777" i="2"/>
  <c r="D6777" i="2"/>
  <c r="F6776" i="2"/>
  <c r="E6776" i="2"/>
  <c r="D6776" i="2"/>
  <c r="F6773" i="2"/>
  <c r="E6773" i="2"/>
  <c r="D6773" i="2"/>
  <c r="F6775" i="2"/>
  <c r="E6775" i="2"/>
  <c r="D6775" i="2"/>
  <c r="F6774" i="2"/>
  <c r="E6774" i="2"/>
  <c r="D6774" i="2"/>
  <c r="F6772" i="2"/>
  <c r="E6772" i="2"/>
  <c r="D6772" i="2"/>
  <c r="F6771" i="2"/>
  <c r="E6771" i="2"/>
  <c r="D6771" i="2"/>
  <c r="F6770" i="2"/>
  <c r="E6770" i="2"/>
  <c r="D6770" i="2"/>
  <c r="F6769" i="2"/>
  <c r="E6769" i="2"/>
  <c r="D6769" i="2"/>
  <c r="F6768" i="2"/>
  <c r="E6768" i="2"/>
  <c r="D6768" i="2"/>
  <c r="F6767" i="2"/>
  <c r="E6767" i="2"/>
  <c r="D6767" i="2"/>
  <c r="F6766" i="2"/>
  <c r="E6766" i="2"/>
  <c r="D6766" i="2"/>
  <c r="F6765" i="2"/>
  <c r="E6765" i="2"/>
  <c r="D6765" i="2"/>
  <c r="F6764" i="2"/>
  <c r="E6764" i="2"/>
  <c r="D6764" i="2"/>
  <c r="F6763" i="2"/>
  <c r="E6763" i="2"/>
  <c r="D6763" i="2"/>
  <c r="F6762" i="2"/>
  <c r="E6762" i="2"/>
  <c r="D6762" i="2"/>
  <c r="F6761" i="2"/>
  <c r="E6761" i="2"/>
  <c r="D6761" i="2"/>
  <c r="F6760" i="2"/>
  <c r="E6760" i="2"/>
  <c r="D6760" i="2"/>
  <c r="F6759" i="2"/>
  <c r="E6759" i="2"/>
  <c r="D6759" i="2"/>
  <c r="F6758" i="2"/>
  <c r="E6758" i="2"/>
  <c r="D6758" i="2"/>
  <c r="F6757" i="2"/>
  <c r="E6757" i="2"/>
  <c r="D6757" i="2"/>
  <c r="F6756" i="2"/>
  <c r="E6756" i="2"/>
  <c r="D6756" i="2"/>
  <c r="F6755" i="2"/>
  <c r="E6755" i="2"/>
  <c r="D6755" i="2"/>
  <c r="F6754" i="2"/>
  <c r="E6754" i="2"/>
  <c r="D6754" i="2"/>
  <c r="F6753" i="2"/>
  <c r="E6753" i="2"/>
  <c r="D6753" i="2"/>
  <c r="F6752" i="2"/>
  <c r="E6752" i="2"/>
  <c r="D6752" i="2"/>
  <c r="F6751" i="2"/>
  <c r="E6751" i="2"/>
  <c r="D6751" i="2"/>
  <c r="F6750" i="2"/>
  <c r="E6750" i="2"/>
  <c r="D6750" i="2"/>
  <c r="F14470" i="2"/>
  <c r="E14470" i="2"/>
  <c r="D14470" i="2"/>
  <c r="F14469" i="2"/>
  <c r="E14469" i="2"/>
  <c r="D14469" i="2"/>
  <c r="F14468" i="2"/>
  <c r="E14468" i="2"/>
  <c r="D14468" i="2"/>
  <c r="F1698" i="2"/>
  <c r="E1698" i="2"/>
  <c r="D1698" i="2"/>
  <c r="F1697" i="2"/>
  <c r="E1697" i="2"/>
  <c r="D1697" i="2"/>
  <c r="F1696" i="2"/>
  <c r="E1696" i="2"/>
  <c r="D1696" i="2"/>
  <c r="F1695" i="2"/>
  <c r="E1695" i="2"/>
  <c r="D1695" i="2"/>
  <c r="F1694" i="2"/>
  <c r="E1694" i="2"/>
  <c r="D1694" i="2"/>
  <c r="F1693" i="2"/>
  <c r="E1693" i="2"/>
  <c r="D1693" i="2"/>
  <c r="F1692" i="2"/>
  <c r="E1692" i="2"/>
  <c r="D1692" i="2"/>
  <c r="F1691" i="2"/>
  <c r="E1691" i="2"/>
  <c r="D1691" i="2"/>
  <c r="F1690" i="2"/>
  <c r="E1690" i="2"/>
  <c r="D1690" i="2"/>
  <c r="F1689" i="2"/>
  <c r="E1689" i="2"/>
  <c r="D1689" i="2"/>
  <c r="F1688" i="2"/>
  <c r="E1688" i="2"/>
  <c r="D1688" i="2"/>
  <c r="F1686" i="2"/>
  <c r="E1686" i="2"/>
  <c r="D1686" i="2"/>
  <c r="F1687" i="2"/>
  <c r="E1687" i="2"/>
  <c r="D1687" i="2"/>
  <c r="F1685" i="2"/>
  <c r="E1685" i="2"/>
  <c r="D1685" i="2"/>
  <c r="F1684" i="2"/>
  <c r="E1684" i="2"/>
  <c r="D1684" i="2"/>
  <c r="F1681" i="2"/>
  <c r="E1681" i="2"/>
  <c r="D1681" i="2"/>
  <c r="F1683" i="2"/>
  <c r="E1683" i="2"/>
  <c r="D1683" i="2"/>
  <c r="F1682" i="2"/>
  <c r="E1682" i="2"/>
  <c r="D1682" i="2"/>
  <c r="F1680" i="2"/>
  <c r="E1680" i="2"/>
  <c r="D1680" i="2"/>
  <c r="F1679" i="2"/>
  <c r="E1679" i="2"/>
  <c r="D1679" i="2"/>
  <c r="F1678" i="2"/>
  <c r="E1678" i="2"/>
  <c r="D1678" i="2"/>
  <c r="F1677" i="2"/>
  <c r="E1677" i="2"/>
  <c r="D1677" i="2"/>
  <c r="F1676" i="2"/>
  <c r="E1676" i="2"/>
  <c r="D1676" i="2"/>
  <c r="F1675" i="2"/>
  <c r="E1675" i="2"/>
  <c r="D1675" i="2"/>
  <c r="F1673" i="2"/>
  <c r="E1673" i="2"/>
  <c r="D1673" i="2"/>
  <c r="F1674" i="2"/>
  <c r="E1674" i="2"/>
  <c r="D1674" i="2"/>
  <c r="F1670" i="2"/>
  <c r="E1670" i="2"/>
  <c r="D1670" i="2"/>
  <c r="F1672" i="2"/>
  <c r="E1672" i="2"/>
  <c r="D1672" i="2"/>
  <c r="F1671" i="2"/>
  <c r="E1671" i="2"/>
  <c r="D1671" i="2"/>
  <c r="F1669" i="2"/>
  <c r="E1669" i="2"/>
  <c r="D1669" i="2"/>
  <c r="F1667" i="2"/>
  <c r="E1667" i="2"/>
  <c r="D1667" i="2"/>
  <c r="F1668" i="2"/>
  <c r="E1668" i="2"/>
  <c r="D1668" i="2"/>
  <c r="F1666" i="2"/>
  <c r="E1666" i="2"/>
  <c r="D1666" i="2"/>
  <c r="F1665" i="2"/>
  <c r="E1665" i="2"/>
  <c r="D1665" i="2"/>
  <c r="F1664" i="2"/>
  <c r="E1664" i="2"/>
  <c r="D1664" i="2"/>
  <c r="F1663" i="2"/>
  <c r="E1663" i="2"/>
  <c r="D1663" i="2"/>
  <c r="F1662" i="2"/>
  <c r="E1662" i="2"/>
  <c r="D1662" i="2"/>
  <c r="F1661" i="2"/>
  <c r="E1661" i="2"/>
  <c r="D1661" i="2"/>
  <c r="F1660" i="2"/>
  <c r="E1660" i="2"/>
  <c r="D1660" i="2"/>
  <c r="F1659" i="2"/>
  <c r="E1659" i="2"/>
  <c r="D1659" i="2"/>
  <c r="F1658" i="2"/>
  <c r="E1658" i="2"/>
  <c r="D1658" i="2"/>
  <c r="F1657" i="2"/>
  <c r="E1657" i="2"/>
  <c r="D1657" i="2"/>
  <c r="F1656" i="2"/>
  <c r="E1656" i="2"/>
  <c r="D1656" i="2"/>
  <c r="F1654" i="2"/>
  <c r="E1654" i="2"/>
  <c r="D1654" i="2"/>
  <c r="F1655" i="2"/>
  <c r="E1655" i="2"/>
  <c r="D1655" i="2"/>
  <c r="F1653" i="2"/>
  <c r="E1653" i="2"/>
  <c r="D1653" i="2"/>
  <c r="F1652" i="2"/>
  <c r="E1652" i="2"/>
  <c r="D1652" i="2"/>
  <c r="F1651" i="2"/>
  <c r="E1651" i="2"/>
  <c r="D1651" i="2"/>
  <c r="F2421" i="2"/>
  <c r="E2421" i="2"/>
  <c r="D2421" i="2"/>
  <c r="F2434" i="2"/>
  <c r="E2434" i="2"/>
  <c r="D2434" i="2"/>
  <c r="F2433" i="2"/>
  <c r="E2433" i="2"/>
  <c r="D2433" i="2"/>
  <c r="F2432" i="2"/>
  <c r="E2432" i="2"/>
  <c r="D2432" i="2"/>
  <c r="F2431" i="2"/>
  <c r="E2431" i="2"/>
  <c r="D2431" i="2"/>
  <c r="F2430" i="2"/>
  <c r="E2430" i="2"/>
  <c r="D2430" i="2"/>
  <c r="F2429" i="2"/>
  <c r="E2429" i="2"/>
  <c r="D2429" i="2"/>
  <c r="F2428" i="2"/>
  <c r="E2428" i="2"/>
  <c r="D2428" i="2"/>
  <c r="F2427" i="2"/>
  <c r="E2427" i="2"/>
  <c r="D2427" i="2"/>
  <c r="F2426" i="2"/>
  <c r="E2426" i="2"/>
  <c r="D2426" i="2"/>
  <c r="F2425" i="2"/>
  <c r="E2425" i="2"/>
  <c r="D2425" i="2"/>
  <c r="F2424" i="2"/>
  <c r="E2424" i="2"/>
  <c r="D2424" i="2"/>
  <c r="F2423" i="2"/>
  <c r="E2423" i="2"/>
  <c r="D2423" i="2"/>
  <c r="F2422" i="2"/>
  <c r="E2422" i="2"/>
  <c r="D2422" i="2"/>
  <c r="F10371" i="2"/>
  <c r="E10371" i="2"/>
  <c r="D10371" i="2"/>
  <c r="F10370" i="2"/>
  <c r="E10370" i="2"/>
  <c r="D10370" i="2"/>
  <c r="F10369" i="2"/>
  <c r="E10369" i="2"/>
  <c r="D10369" i="2"/>
  <c r="F10368" i="2"/>
  <c r="E10368" i="2"/>
  <c r="D10368" i="2"/>
  <c r="F10367" i="2"/>
  <c r="E10367" i="2"/>
  <c r="D10367" i="2"/>
  <c r="F10366" i="2"/>
  <c r="E10366" i="2"/>
  <c r="D10366" i="2"/>
  <c r="F10365" i="2"/>
  <c r="E10365" i="2"/>
  <c r="D10365" i="2"/>
  <c r="F10364" i="2"/>
  <c r="E10364" i="2"/>
  <c r="D10364" i="2"/>
  <c r="F10363" i="2"/>
  <c r="E10363" i="2"/>
  <c r="D10363" i="2"/>
  <c r="F10362" i="2"/>
  <c r="E10362" i="2"/>
  <c r="D10362" i="2"/>
  <c r="F10361" i="2"/>
  <c r="E10361" i="2"/>
  <c r="D10361" i="2"/>
  <c r="F10360" i="2"/>
  <c r="E10360" i="2"/>
  <c r="D10360" i="2"/>
  <c r="F10359" i="2"/>
  <c r="E10359" i="2"/>
  <c r="D10359" i="2"/>
  <c r="F10358" i="2"/>
  <c r="E10358" i="2"/>
  <c r="D10358" i="2"/>
  <c r="F10357" i="2"/>
  <c r="E10357" i="2"/>
  <c r="D10357" i="2"/>
  <c r="F10356" i="2"/>
  <c r="E10356" i="2"/>
  <c r="D10356" i="2"/>
  <c r="F10355" i="2"/>
  <c r="E10355" i="2"/>
  <c r="D10355" i="2"/>
  <c r="F10354" i="2"/>
  <c r="E10354" i="2"/>
  <c r="D10354" i="2"/>
  <c r="F10353" i="2"/>
  <c r="E10353" i="2"/>
  <c r="D10353" i="2"/>
  <c r="F10352" i="2"/>
  <c r="E10352" i="2"/>
  <c r="D10352" i="2"/>
  <c r="F10351" i="2"/>
  <c r="E10351" i="2"/>
  <c r="D10351" i="2"/>
  <c r="F10350" i="2"/>
  <c r="E10350" i="2"/>
  <c r="D10350" i="2"/>
  <c r="F10349" i="2"/>
  <c r="E10349" i="2"/>
  <c r="D10349" i="2"/>
  <c r="F10348" i="2"/>
  <c r="E10348" i="2"/>
  <c r="D10348" i="2"/>
  <c r="F10347" i="2"/>
  <c r="E10347" i="2"/>
  <c r="D10347" i="2"/>
  <c r="F10346" i="2"/>
  <c r="E10346" i="2"/>
  <c r="D10346" i="2"/>
  <c r="F10345" i="2"/>
  <c r="E10345" i="2"/>
  <c r="D10345" i="2"/>
  <c r="F10344" i="2"/>
  <c r="E10344" i="2"/>
  <c r="D10344" i="2"/>
  <c r="F10342" i="2"/>
  <c r="E10342" i="2"/>
  <c r="D10342" i="2"/>
  <c r="F10343" i="2"/>
  <c r="E10343" i="2"/>
  <c r="D10343" i="2"/>
  <c r="F10340" i="2"/>
  <c r="E10340" i="2"/>
  <c r="D10340" i="2"/>
  <c r="F10341" i="2"/>
  <c r="E10341" i="2"/>
  <c r="D10341" i="2"/>
  <c r="F10339" i="2"/>
  <c r="E10339" i="2"/>
  <c r="D10339" i="2"/>
  <c r="F10338" i="2"/>
  <c r="E10338" i="2"/>
  <c r="D10338" i="2"/>
  <c r="F10337" i="2"/>
  <c r="E10337" i="2"/>
  <c r="D10337" i="2"/>
  <c r="F10336" i="2"/>
  <c r="E10336" i="2"/>
  <c r="D10336" i="2"/>
  <c r="F10335" i="2"/>
  <c r="E10335" i="2"/>
  <c r="D10335" i="2"/>
  <c r="F10334" i="2"/>
  <c r="E10334" i="2"/>
  <c r="D10334" i="2"/>
  <c r="F546" i="2"/>
  <c r="E546" i="2"/>
  <c r="D546" i="2"/>
  <c r="F552" i="2"/>
  <c r="E552" i="2"/>
  <c r="D552" i="2"/>
  <c r="F551" i="2"/>
  <c r="E551" i="2"/>
  <c r="D551" i="2"/>
  <c r="F550" i="2"/>
  <c r="E550" i="2"/>
  <c r="D550" i="2"/>
  <c r="F547" i="2"/>
  <c r="E547" i="2"/>
  <c r="D547" i="2"/>
  <c r="F549" i="2"/>
  <c r="E549" i="2"/>
  <c r="D549" i="2"/>
  <c r="F548" i="2"/>
  <c r="E548" i="2"/>
  <c r="D548" i="2"/>
  <c r="F12707" i="2"/>
  <c r="E12707" i="2"/>
  <c r="D12707" i="2"/>
  <c r="F12715" i="2"/>
  <c r="E12715" i="2"/>
  <c r="D12715" i="2"/>
  <c r="F12714" i="2"/>
  <c r="E12714" i="2"/>
  <c r="D12714" i="2"/>
  <c r="F12713" i="2"/>
  <c r="E12713" i="2"/>
  <c r="D12713" i="2"/>
  <c r="F12712" i="2"/>
  <c r="E12712" i="2"/>
  <c r="D12712" i="2"/>
  <c r="F12711" i="2"/>
  <c r="E12711" i="2"/>
  <c r="D12711" i="2"/>
  <c r="F12710" i="2"/>
  <c r="E12710" i="2"/>
  <c r="D12710" i="2"/>
  <c r="F12709" i="2"/>
  <c r="E12709" i="2"/>
  <c r="D12709" i="2"/>
  <c r="F12708" i="2"/>
  <c r="E12708" i="2"/>
  <c r="D12708" i="2"/>
  <c r="F6517" i="2"/>
  <c r="E6517" i="2"/>
  <c r="D6517" i="2"/>
  <c r="F6532" i="2"/>
  <c r="E6532" i="2"/>
  <c r="D6532" i="2"/>
  <c r="F6531" i="2"/>
  <c r="E6531" i="2"/>
  <c r="D6531" i="2"/>
  <c r="F6530" i="2"/>
  <c r="E6530" i="2"/>
  <c r="D6530" i="2"/>
  <c r="F6529" i="2"/>
  <c r="E6529" i="2"/>
  <c r="D6529" i="2"/>
  <c r="F6528" i="2"/>
  <c r="E6528" i="2"/>
  <c r="D6528" i="2"/>
  <c r="F6527" i="2"/>
  <c r="E6527" i="2"/>
  <c r="D6527" i="2"/>
  <c r="F6526" i="2"/>
  <c r="E6526" i="2"/>
  <c r="D6526" i="2"/>
  <c r="F6525" i="2"/>
  <c r="E6525" i="2"/>
  <c r="D6525" i="2"/>
  <c r="F6524" i="2"/>
  <c r="E6524" i="2"/>
  <c r="D6524" i="2"/>
  <c r="F6523" i="2"/>
  <c r="E6523" i="2"/>
  <c r="D6523" i="2"/>
  <c r="F6522" i="2"/>
  <c r="E6522" i="2"/>
  <c r="D6522" i="2"/>
  <c r="F6521" i="2"/>
  <c r="E6521" i="2"/>
  <c r="D6521" i="2"/>
  <c r="F6520" i="2"/>
  <c r="E6520" i="2"/>
  <c r="D6520" i="2"/>
  <c r="F6519" i="2"/>
  <c r="E6519" i="2"/>
  <c r="D6519" i="2"/>
  <c r="F6518" i="2"/>
  <c r="E6518" i="2"/>
  <c r="D6518" i="2"/>
  <c r="F1491" i="2"/>
  <c r="E1491" i="2"/>
  <c r="D1491" i="2"/>
  <c r="F1493" i="2"/>
  <c r="E1493" i="2"/>
  <c r="D1493" i="2"/>
  <c r="F1492" i="2"/>
  <c r="E1492" i="2"/>
  <c r="D1492" i="2"/>
  <c r="F6280" i="2"/>
  <c r="E6280" i="2"/>
  <c r="D6280" i="2"/>
  <c r="F6282" i="2"/>
  <c r="E6282" i="2"/>
  <c r="D6282" i="2"/>
  <c r="F6281" i="2"/>
  <c r="E6281" i="2"/>
  <c r="D6281" i="2"/>
  <c r="F1107" i="2"/>
  <c r="E1107" i="2"/>
  <c r="D1107" i="2"/>
  <c r="F1130" i="2"/>
  <c r="E1130" i="2"/>
  <c r="D1130" i="2"/>
  <c r="F1129" i="2"/>
  <c r="E1129" i="2"/>
  <c r="D1129" i="2"/>
  <c r="F1128" i="2"/>
  <c r="E1128" i="2"/>
  <c r="D1128" i="2"/>
  <c r="F1127" i="2"/>
  <c r="E1127" i="2"/>
  <c r="D1127" i="2"/>
  <c r="F1126" i="2"/>
  <c r="E1126" i="2"/>
  <c r="D1126" i="2"/>
  <c r="F1125" i="2"/>
  <c r="E1125" i="2"/>
  <c r="D1125" i="2"/>
  <c r="F1124" i="2"/>
  <c r="E1124" i="2"/>
  <c r="D1124" i="2"/>
  <c r="F1123" i="2"/>
  <c r="E1123" i="2"/>
  <c r="D1123" i="2"/>
  <c r="F1122" i="2"/>
  <c r="E1122" i="2"/>
  <c r="D1122" i="2"/>
  <c r="F1121" i="2"/>
  <c r="E1121" i="2"/>
  <c r="D1121" i="2"/>
  <c r="F1120" i="2"/>
  <c r="E1120" i="2"/>
  <c r="D1120" i="2"/>
  <c r="F1119" i="2"/>
  <c r="E1119" i="2"/>
  <c r="D1119" i="2"/>
  <c r="F1118" i="2"/>
  <c r="E1118" i="2"/>
  <c r="D1118" i="2"/>
  <c r="F1117" i="2"/>
  <c r="E1117" i="2"/>
  <c r="D1117" i="2"/>
  <c r="F1116" i="2"/>
  <c r="E1116" i="2"/>
  <c r="D1116" i="2"/>
  <c r="F1115" i="2"/>
  <c r="E1115" i="2"/>
  <c r="D1115" i="2"/>
  <c r="F1114" i="2"/>
  <c r="E1114" i="2"/>
  <c r="D1114" i="2"/>
  <c r="F1113" i="2"/>
  <c r="E1113" i="2"/>
  <c r="D1113" i="2"/>
  <c r="F1112" i="2"/>
  <c r="E1112" i="2"/>
  <c r="D1112" i="2"/>
  <c r="F1111" i="2"/>
  <c r="E1111" i="2"/>
  <c r="D1111" i="2"/>
  <c r="F1110" i="2"/>
  <c r="E1110" i="2"/>
  <c r="D1110" i="2"/>
  <c r="F1109" i="2"/>
  <c r="E1109" i="2"/>
  <c r="D1109" i="2"/>
  <c r="F1108" i="2"/>
  <c r="E1108" i="2"/>
  <c r="D1108" i="2"/>
  <c r="F7950" i="2"/>
  <c r="E7950" i="2"/>
  <c r="D7950" i="2"/>
  <c r="F7949" i="2"/>
  <c r="E7949" i="2"/>
  <c r="D7949" i="2"/>
  <c r="F7948" i="2"/>
  <c r="E7948" i="2"/>
  <c r="D7948" i="2"/>
  <c r="F7947" i="2"/>
  <c r="E7947" i="2"/>
  <c r="D7947" i="2"/>
  <c r="F7946" i="2"/>
  <c r="E7946" i="2"/>
  <c r="D7946" i="2"/>
  <c r="F7945" i="2"/>
  <c r="E7945" i="2"/>
  <c r="D7945" i="2"/>
  <c r="F7944" i="2"/>
  <c r="E7944" i="2"/>
  <c r="D7944" i="2"/>
  <c r="F7943" i="2"/>
  <c r="E7943" i="2"/>
  <c r="D7943" i="2"/>
  <c r="F7942" i="2"/>
  <c r="E7942" i="2"/>
  <c r="D7942" i="2"/>
  <c r="F7941" i="2"/>
  <c r="E7941" i="2"/>
  <c r="D7941" i="2"/>
  <c r="F7940" i="2"/>
  <c r="E7940" i="2"/>
  <c r="D7940" i="2"/>
  <c r="F933" i="2"/>
  <c r="E933" i="2"/>
  <c r="D933" i="2"/>
  <c r="F988" i="2"/>
  <c r="E988" i="2"/>
  <c r="D988" i="2"/>
  <c r="F987" i="2"/>
  <c r="E987" i="2"/>
  <c r="D987" i="2"/>
  <c r="F986" i="2"/>
  <c r="E986" i="2"/>
  <c r="D986" i="2"/>
  <c r="F985" i="2"/>
  <c r="E985" i="2"/>
  <c r="D985" i="2"/>
  <c r="F984" i="2"/>
  <c r="E984" i="2"/>
  <c r="D984" i="2"/>
  <c r="F983" i="2"/>
  <c r="E983" i="2"/>
  <c r="D983" i="2"/>
  <c r="F982" i="2"/>
  <c r="E982" i="2"/>
  <c r="D982" i="2"/>
  <c r="F981" i="2"/>
  <c r="E981" i="2"/>
  <c r="D981" i="2"/>
  <c r="F980" i="2"/>
  <c r="E980" i="2"/>
  <c r="D980" i="2"/>
  <c r="F979" i="2"/>
  <c r="E979" i="2"/>
  <c r="D979" i="2"/>
  <c r="F978" i="2"/>
  <c r="E978" i="2"/>
  <c r="D978" i="2"/>
  <c r="F977" i="2"/>
  <c r="E977" i="2"/>
  <c r="D977" i="2"/>
  <c r="F976" i="2"/>
  <c r="E976" i="2"/>
  <c r="D976" i="2"/>
  <c r="F975" i="2"/>
  <c r="E975" i="2"/>
  <c r="D975" i="2"/>
  <c r="F974" i="2"/>
  <c r="E974" i="2"/>
  <c r="D974" i="2"/>
  <c r="F973" i="2"/>
  <c r="E973" i="2"/>
  <c r="D973" i="2"/>
  <c r="F972" i="2"/>
  <c r="E972" i="2"/>
  <c r="D972" i="2"/>
  <c r="F971" i="2"/>
  <c r="E971" i="2"/>
  <c r="D971" i="2"/>
  <c r="F970" i="2"/>
  <c r="E970" i="2"/>
  <c r="D970" i="2"/>
  <c r="F969" i="2"/>
  <c r="E969" i="2"/>
  <c r="D969" i="2"/>
  <c r="F968" i="2"/>
  <c r="E968" i="2"/>
  <c r="D968" i="2"/>
  <c r="F967" i="2"/>
  <c r="E967" i="2"/>
  <c r="D967" i="2"/>
  <c r="F966" i="2"/>
  <c r="E966" i="2"/>
  <c r="D966" i="2"/>
  <c r="F965" i="2"/>
  <c r="E965" i="2"/>
  <c r="D965" i="2"/>
  <c r="F964" i="2"/>
  <c r="E964" i="2"/>
  <c r="D964" i="2"/>
  <c r="F963" i="2"/>
  <c r="E963" i="2"/>
  <c r="D963" i="2"/>
  <c r="F962" i="2"/>
  <c r="E962" i="2"/>
  <c r="D962" i="2"/>
  <c r="F961" i="2"/>
  <c r="E961" i="2"/>
  <c r="D961" i="2"/>
  <c r="F960" i="2"/>
  <c r="E960" i="2"/>
  <c r="D960" i="2"/>
  <c r="F959" i="2"/>
  <c r="E959" i="2"/>
  <c r="D959" i="2"/>
  <c r="F958" i="2"/>
  <c r="E958" i="2"/>
  <c r="D958" i="2"/>
  <c r="F957" i="2"/>
  <c r="E957" i="2"/>
  <c r="D957" i="2"/>
  <c r="F956" i="2"/>
  <c r="E956" i="2"/>
  <c r="D956" i="2"/>
  <c r="F955" i="2"/>
  <c r="E955" i="2"/>
  <c r="D955" i="2"/>
  <c r="F954" i="2"/>
  <c r="E954" i="2"/>
  <c r="D954" i="2"/>
  <c r="F953" i="2"/>
  <c r="E953" i="2"/>
  <c r="D953" i="2"/>
  <c r="F952" i="2"/>
  <c r="E952" i="2"/>
  <c r="D952" i="2"/>
  <c r="F951" i="2"/>
  <c r="E951" i="2"/>
  <c r="D951" i="2"/>
  <c r="F950" i="2"/>
  <c r="E950" i="2"/>
  <c r="D950" i="2"/>
  <c r="F949" i="2"/>
  <c r="E949" i="2"/>
  <c r="D949" i="2"/>
  <c r="F948" i="2"/>
  <c r="E948" i="2"/>
  <c r="D948" i="2"/>
  <c r="F947" i="2"/>
  <c r="E947" i="2"/>
  <c r="D947" i="2"/>
  <c r="F946" i="2"/>
  <c r="E946" i="2"/>
  <c r="D946" i="2"/>
  <c r="F944" i="2"/>
  <c r="E944" i="2"/>
  <c r="D944" i="2"/>
  <c r="F945" i="2"/>
  <c r="E945" i="2"/>
  <c r="D945" i="2"/>
  <c r="F943" i="2"/>
  <c r="E943" i="2"/>
  <c r="D943" i="2"/>
  <c r="F942" i="2"/>
  <c r="E942" i="2"/>
  <c r="D942" i="2"/>
  <c r="F941" i="2"/>
  <c r="E941" i="2"/>
  <c r="D941" i="2"/>
  <c r="F940" i="2"/>
  <c r="E940" i="2"/>
  <c r="D940" i="2"/>
  <c r="F939" i="2"/>
  <c r="E939" i="2"/>
  <c r="D939" i="2"/>
  <c r="F938" i="2"/>
  <c r="E938" i="2"/>
  <c r="D938" i="2"/>
  <c r="F937" i="2"/>
  <c r="E937" i="2"/>
  <c r="D937" i="2"/>
  <c r="F936" i="2"/>
  <c r="E936" i="2"/>
  <c r="D936" i="2"/>
  <c r="F935" i="2"/>
  <c r="E935" i="2"/>
  <c r="D935" i="2"/>
  <c r="F934" i="2"/>
  <c r="E934" i="2"/>
  <c r="D934" i="2"/>
  <c r="F14097" i="2"/>
  <c r="E14097" i="2"/>
  <c r="D14097" i="2"/>
  <c r="F14117" i="2"/>
  <c r="E14117" i="2"/>
  <c r="D14117" i="2"/>
  <c r="F14116" i="2"/>
  <c r="E14116" i="2"/>
  <c r="D14116" i="2"/>
  <c r="F14115" i="2"/>
  <c r="E14115" i="2"/>
  <c r="D14115" i="2"/>
  <c r="F14114" i="2"/>
  <c r="E14114" i="2"/>
  <c r="D14114" i="2"/>
  <c r="F14113" i="2"/>
  <c r="E14113" i="2"/>
  <c r="D14113" i="2"/>
  <c r="F14112" i="2"/>
  <c r="E14112" i="2"/>
  <c r="D14112" i="2"/>
  <c r="F14111" i="2"/>
  <c r="E14111" i="2"/>
  <c r="D14111" i="2"/>
  <c r="F14110" i="2"/>
  <c r="E14110" i="2"/>
  <c r="D14110" i="2"/>
  <c r="F14109" i="2"/>
  <c r="E14109" i="2"/>
  <c r="D14109" i="2"/>
  <c r="F14108" i="2"/>
  <c r="E14108" i="2"/>
  <c r="D14108" i="2"/>
  <c r="F14107" i="2"/>
  <c r="E14107" i="2"/>
  <c r="D14107" i="2"/>
  <c r="F14106" i="2"/>
  <c r="E14106" i="2"/>
  <c r="D14106" i="2"/>
  <c r="F14105" i="2"/>
  <c r="E14105" i="2"/>
  <c r="D14105" i="2"/>
  <c r="F14104" i="2"/>
  <c r="E14104" i="2"/>
  <c r="D14104" i="2"/>
  <c r="F14103" i="2"/>
  <c r="E14103" i="2"/>
  <c r="D14103" i="2"/>
  <c r="F14102" i="2"/>
  <c r="E14102" i="2"/>
  <c r="D14102" i="2"/>
  <c r="F14101" i="2"/>
  <c r="E14101" i="2"/>
  <c r="D14101" i="2"/>
  <c r="F14100" i="2"/>
  <c r="E14100" i="2"/>
  <c r="D14100" i="2"/>
  <c r="F14099" i="2"/>
  <c r="E14099" i="2"/>
  <c r="D14099" i="2"/>
  <c r="F14098" i="2"/>
  <c r="E14098" i="2"/>
  <c r="D14098" i="2"/>
  <c r="F3512" i="2"/>
  <c r="E3512" i="2"/>
  <c r="D3512" i="2"/>
  <c r="F3548" i="2"/>
  <c r="E3548" i="2"/>
  <c r="D3548" i="2"/>
  <c r="F3547" i="2"/>
  <c r="E3547" i="2"/>
  <c r="D3547" i="2"/>
  <c r="F3546" i="2"/>
  <c r="E3546" i="2"/>
  <c r="D3546" i="2"/>
  <c r="F3545" i="2"/>
  <c r="E3545" i="2"/>
  <c r="D3545" i="2"/>
  <c r="F3544" i="2"/>
  <c r="E3544" i="2"/>
  <c r="D3544" i="2"/>
  <c r="F3543" i="2"/>
  <c r="E3543" i="2"/>
  <c r="D3543" i="2"/>
  <c r="F3542" i="2"/>
  <c r="E3542" i="2"/>
  <c r="D3542" i="2"/>
  <c r="F3541" i="2"/>
  <c r="E3541" i="2"/>
  <c r="D3541" i="2"/>
  <c r="F3540" i="2"/>
  <c r="E3540" i="2"/>
  <c r="D3540" i="2"/>
  <c r="F3539" i="2"/>
  <c r="E3539" i="2"/>
  <c r="D3539" i="2"/>
  <c r="F3538" i="2"/>
  <c r="E3538" i="2"/>
  <c r="D3538" i="2"/>
  <c r="F3537" i="2"/>
  <c r="E3537" i="2"/>
  <c r="D3537" i="2"/>
  <c r="F3536" i="2"/>
  <c r="E3536" i="2"/>
  <c r="D3536" i="2"/>
  <c r="F3535" i="2"/>
  <c r="E3535" i="2"/>
  <c r="D3535" i="2"/>
  <c r="F3534" i="2"/>
  <c r="E3534" i="2"/>
  <c r="D3534" i="2"/>
  <c r="F3533" i="2"/>
  <c r="E3533" i="2"/>
  <c r="D3533" i="2"/>
  <c r="F3532" i="2"/>
  <c r="E3532" i="2"/>
  <c r="D3532" i="2"/>
  <c r="F3531" i="2"/>
  <c r="E3531" i="2"/>
  <c r="D3531" i="2"/>
  <c r="F3530" i="2"/>
  <c r="E3530" i="2"/>
  <c r="D3530" i="2"/>
  <c r="F3529" i="2"/>
  <c r="E3529" i="2"/>
  <c r="D3529" i="2"/>
  <c r="F3528" i="2"/>
  <c r="E3528" i="2"/>
  <c r="D3528" i="2"/>
  <c r="F3527" i="2"/>
  <c r="E3527" i="2"/>
  <c r="D3527" i="2"/>
  <c r="F3526" i="2"/>
  <c r="E3526" i="2"/>
  <c r="D3526" i="2"/>
  <c r="F3525" i="2"/>
  <c r="E3525" i="2"/>
  <c r="D3525" i="2"/>
  <c r="F3524" i="2"/>
  <c r="E3524" i="2"/>
  <c r="D3524" i="2"/>
  <c r="F3522" i="2"/>
  <c r="E3522" i="2"/>
  <c r="D3522" i="2"/>
  <c r="F3523" i="2"/>
  <c r="E3523" i="2"/>
  <c r="D3523" i="2"/>
  <c r="F3520" i="2"/>
  <c r="E3520" i="2"/>
  <c r="D3520" i="2"/>
  <c r="F3521" i="2"/>
  <c r="E3521" i="2"/>
  <c r="D3521" i="2"/>
  <c r="F3519" i="2"/>
  <c r="E3519" i="2"/>
  <c r="D3519" i="2"/>
  <c r="F3518" i="2"/>
  <c r="E3518" i="2"/>
  <c r="D3518" i="2"/>
  <c r="F3517" i="2"/>
  <c r="E3517" i="2"/>
  <c r="D3517" i="2"/>
  <c r="F3514" i="2"/>
  <c r="E3514" i="2"/>
  <c r="D3514" i="2"/>
  <c r="F3516" i="2"/>
  <c r="E3516" i="2"/>
  <c r="D3516" i="2"/>
  <c r="F3515" i="2"/>
  <c r="E3515" i="2"/>
  <c r="D3515" i="2"/>
  <c r="F3513" i="2"/>
  <c r="E3513" i="2"/>
  <c r="D3513" i="2"/>
  <c r="F13905" i="2"/>
  <c r="E13905" i="2"/>
  <c r="D13905" i="2"/>
  <c r="F13923" i="2"/>
  <c r="E13923" i="2"/>
  <c r="D13923" i="2"/>
  <c r="F13922" i="2"/>
  <c r="E13922" i="2"/>
  <c r="D13922" i="2"/>
  <c r="F13921" i="2"/>
  <c r="E13921" i="2"/>
  <c r="D13921" i="2"/>
  <c r="F13920" i="2"/>
  <c r="E13920" i="2"/>
  <c r="D13920" i="2"/>
  <c r="F13919" i="2"/>
  <c r="E13919" i="2"/>
  <c r="D13919" i="2"/>
  <c r="F13918" i="2"/>
  <c r="E13918" i="2"/>
  <c r="D13918" i="2"/>
  <c r="F13917" i="2"/>
  <c r="E13917" i="2"/>
  <c r="D13917" i="2"/>
  <c r="F13916" i="2"/>
  <c r="E13916" i="2"/>
  <c r="D13916" i="2"/>
  <c r="F13915" i="2"/>
  <c r="E13915" i="2"/>
  <c r="D13915" i="2"/>
  <c r="F13914" i="2"/>
  <c r="E13914" i="2"/>
  <c r="D13914" i="2"/>
  <c r="F13913" i="2"/>
  <c r="E13913" i="2"/>
  <c r="D13913" i="2"/>
  <c r="F13912" i="2"/>
  <c r="E13912" i="2"/>
  <c r="D13912" i="2"/>
  <c r="F13911" i="2"/>
  <c r="E13911" i="2"/>
  <c r="D13911" i="2"/>
  <c r="F13910" i="2"/>
  <c r="E13910" i="2"/>
  <c r="D13910" i="2"/>
  <c r="F13909" i="2"/>
  <c r="E13909" i="2"/>
  <c r="D13909" i="2"/>
  <c r="F13908" i="2"/>
  <c r="E13908" i="2"/>
  <c r="D13908" i="2"/>
  <c r="F13907" i="2"/>
  <c r="E13907" i="2"/>
  <c r="D13907" i="2"/>
  <c r="F13906" i="2"/>
  <c r="E13906" i="2"/>
  <c r="D13906" i="2"/>
  <c r="F12731" i="2"/>
  <c r="E12731" i="2"/>
  <c r="D12731" i="2"/>
  <c r="F12730" i="2"/>
  <c r="E12730" i="2"/>
  <c r="D12730" i="2"/>
  <c r="F12729" i="2"/>
  <c r="E12729" i="2"/>
  <c r="D12729" i="2"/>
  <c r="F12727" i="2"/>
  <c r="E12727" i="2"/>
  <c r="D12727" i="2"/>
  <c r="F12728" i="2"/>
  <c r="E12728" i="2"/>
  <c r="D12728" i="2"/>
  <c r="F6284" i="2"/>
  <c r="E6284" i="2"/>
  <c r="D6284" i="2"/>
  <c r="F6283" i="2"/>
  <c r="E6283" i="2"/>
  <c r="D6283" i="2"/>
  <c r="F8872" i="2"/>
  <c r="E8872" i="2"/>
  <c r="D8872" i="2"/>
  <c r="F37" i="2"/>
  <c r="E37" i="2"/>
  <c r="D37" i="2"/>
  <c r="F36" i="2"/>
  <c r="E36" i="2"/>
  <c r="D36" i="2"/>
  <c r="F35" i="2"/>
  <c r="E35" i="2"/>
  <c r="D35" i="2"/>
  <c r="F34" i="2"/>
  <c r="E34" i="2"/>
  <c r="D34" i="2"/>
  <c r="F33" i="2"/>
  <c r="E33" i="2"/>
  <c r="D33" i="2"/>
  <c r="F32" i="2"/>
  <c r="E32" i="2"/>
  <c r="D32" i="2"/>
  <c r="F31" i="2"/>
  <c r="E31" i="2"/>
  <c r="D31" i="2"/>
  <c r="F30" i="2"/>
  <c r="E30" i="2"/>
  <c r="D30" i="2"/>
  <c r="F29" i="2"/>
  <c r="E29" i="2"/>
  <c r="D29" i="2"/>
  <c r="F28" i="2"/>
  <c r="E28" i="2"/>
  <c r="D28" i="2"/>
  <c r="F27" i="2"/>
  <c r="E27" i="2"/>
  <c r="D27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F20" i="2"/>
  <c r="E20" i="2"/>
  <c r="D20" i="2"/>
  <c r="F19" i="2"/>
  <c r="E19" i="2"/>
  <c r="D19" i="2"/>
  <c r="F18" i="2"/>
  <c r="E18" i="2"/>
  <c r="D18" i="2"/>
  <c r="F17" i="2"/>
  <c r="E17" i="2"/>
  <c r="D17" i="2"/>
  <c r="F16" i="2"/>
  <c r="E16" i="2"/>
  <c r="D16" i="2"/>
  <c r="F15" i="2"/>
  <c r="E15" i="2"/>
  <c r="D15" i="2"/>
  <c r="F14" i="2"/>
  <c r="E14" i="2"/>
  <c r="D14" i="2"/>
  <c r="F13" i="2"/>
  <c r="E13" i="2"/>
  <c r="D13" i="2"/>
  <c r="F12" i="2"/>
  <c r="E12" i="2"/>
  <c r="D12" i="2"/>
  <c r="F11" i="2"/>
  <c r="E11" i="2"/>
  <c r="D11" i="2"/>
  <c r="F10" i="2"/>
  <c r="E10" i="2"/>
  <c r="D10" i="2"/>
  <c r="F9" i="2"/>
  <c r="E9" i="2"/>
  <c r="D9" i="2"/>
  <c r="F8" i="2"/>
  <c r="E8" i="2"/>
  <c r="D8" i="2"/>
  <c r="F6" i="2"/>
  <c r="E6" i="2"/>
  <c r="D6" i="2"/>
  <c r="F7" i="2"/>
  <c r="E7" i="2"/>
  <c r="D7" i="2"/>
  <c r="F5" i="2"/>
  <c r="E5" i="2"/>
  <c r="D5" i="2"/>
  <c r="F4" i="2"/>
  <c r="E4" i="2"/>
  <c r="D4" i="2"/>
  <c r="F3" i="2"/>
  <c r="E3" i="2"/>
  <c r="D3" i="2"/>
  <c r="F2" i="2"/>
  <c r="E2" i="2"/>
  <c r="D2" i="2"/>
  <c r="F13686" i="2"/>
  <c r="E13686" i="2"/>
  <c r="D13686" i="2"/>
  <c r="F13685" i="2"/>
  <c r="E13685" i="2"/>
  <c r="D13685" i="2"/>
  <c r="F13684" i="2"/>
  <c r="E13684" i="2"/>
  <c r="D13684" i="2"/>
  <c r="F13683" i="2"/>
  <c r="E13683" i="2"/>
  <c r="D13683" i="2"/>
  <c r="F13682" i="2"/>
  <c r="E13682" i="2"/>
  <c r="D13682" i="2"/>
  <c r="F13681" i="2"/>
  <c r="E13681" i="2"/>
  <c r="D13681" i="2"/>
  <c r="F13680" i="2"/>
  <c r="E13680" i="2"/>
  <c r="D13680" i="2"/>
  <c r="F13679" i="2"/>
  <c r="E13679" i="2"/>
  <c r="D13679" i="2"/>
  <c r="F13678" i="2"/>
  <c r="E13678" i="2"/>
  <c r="D13678" i="2"/>
  <c r="F13677" i="2"/>
  <c r="E13677" i="2"/>
  <c r="D13677" i="2"/>
  <c r="F13676" i="2"/>
  <c r="E13676" i="2"/>
  <c r="D13676" i="2"/>
  <c r="F13675" i="2"/>
  <c r="E13675" i="2"/>
  <c r="D13675" i="2"/>
  <c r="F13674" i="2"/>
  <c r="E13674" i="2"/>
  <c r="D13674" i="2"/>
  <c r="F13673" i="2"/>
  <c r="E13673" i="2"/>
  <c r="D13673" i="2"/>
  <c r="F13672" i="2"/>
  <c r="E13672" i="2"/>
  <c r="D13672" i="2"/>
  <c r="F13671" i="2"/>
  <c r="E13671" i="2"/>
  <c r="D13671" i="2"/>
  <c r="F11168" i="2"/>
  <c r="E11168" i="2"/>
  <c r="D11168" i="2"/>
  <c r="F11167" i="2"/>
  <c r="E11167" i="2"/>
  <c r="D11167" i="2"/>
  <c r="F11166" i="2"/>
  <c r="E11166" i="2"/>
  <c r="D11166" i="2"/>
  <c r="F11165" i="2"/>
  <c r="E11165" i="2"/>
  <c r="D11165" i="2"/>
  <c r="F11164" i="2"/>
  <c r="E11164" i="2"/>
  <c r="D11164" i="2"/>
  <c r="F11163" i="2"/>
  <c r="E11163" i="2"/>
  <c r="D11163" i="2"/>
  <c r="F11162" i="2"/>
  <c r="E11162" i="2"/>
  <c r="D11162" i="2"/>
  <c r="F11161" i="2"/>
  <c r="E11161" i="2"/>
  <c r="D11161" i="2"/>
  <c r="F11160" i="2"/>
  <c r="E11160" i="2"/>
  <c r="D11160" i="2"/>
  <c r="F11159" i="2"/>
  <c r="E11159" i="2"/>
  <c r="D11159" i="2"/>
  <c r="F11158" i="2"/>
  <c r="E11158" i="2"/>
  <c r="D11158" i="2"/>
  <c r="F11157" i="2"/>
  <c r="E11157" i="2"/>
  <c r="D11157" i="2"/>
  <c r="F11156" i="2"/>
  <c r="E11156" i="2"/>
  <c r="D11156" i="2"/>
  <c r="F11155" i="2"/>
  <c r="E11155" i="2"/>
  <c r="D11155" i="2"/>
  <c r="F11154" i="2"/>
  <c r="E11154" i="2"/>
  <c r="D11154" i="2"/>
  <c r="F11153" i="2"/>
  <c r="E11153" i="2"/>
  <c r="D11153" i="2"/>
  <c r="F11152" i="2"/>
  <c r="E11152" i="2"/>
  <c r="D11152" i="2"/>
  <c r="F11151" i="2"/>
  <c r="E11151" i="2"/>
  <c r="D11151" i="2"/>
  <c r="F11150" i="2"/>
  <c r="E11150" i="2"/>
  <c r="D11150" i="2"/>
  <c r="F11147" i="2"/>
  <c r="E11147" i="2"/>
  <c r="D11147" i="2"/>
  <c r="F11149" i="2"/>
  <c r="E11149" i="2"/>
  <c r="D11149" i="2"/>
  <c r="F11148" i="2"/>
  <c r="E11148" i="2"/>
  <c r="D11148" i="2"/>
  <c r="F11146" i="2"/>
  <c r="E11146" i="2"/>
  <c r="D11146" i="2"/>
  <c r="F11145" i="2"/>
  <c r="E11145" i="2"/>
  <c r="D11145" i="2"/>
  <c r="F11144" i="2"/>
  <c r="E11144" i="2"/>
  <c r="D11144" i="2"/>
  <c r="F11143" i="2"/>
  <c r="E11143" i="2"/>
  <c r="D11143" i="2"/>
  <c r="F11142" i="2"/>
  <c r="E11142" i="2"/>
  <c r="D11142" i="2"/>
  <c r="F11141" i="2"/>
  <c r="E11141" i="2"/>
  <c r="D11141" i="2"/>
  <c r="F11140" i="2"/>
  <c r="E11140" i="2"/>
  <c r="D11140" i="2"/>
  <c r="F11139" i="2"/>
  <c r="E11139" i="2"/>
  <c r="D11139" i="2"/>
  <c r="F11138" i="2"/>
  <c r="E11138" i="2"/>
  <c r="D11138" i="2"/>
  <c r="F11137" i="2"/>
  <c r="E11137" i="2"/>
  <c r="D11137" i="2"/>
  <c r="F11136" i="2"/>
  <c r="E11136" i="2"/>
  <c r="D11136" i="2"/>
  <c r="F11135" i="2"/>
  <c r="E11135" i="2"/>
  <c r="D11135" i="2"/>
  <c r="F11134" i="2"/>
  <c r="E11134" i="2"/>
  <c r="D11134" i="2"/>
  <c r="F11133" i="2"/>
  <c r="E11133" i="2"/>
  <c r="D11133" i="2"/>
  <c r="F11132" i="2"/>
  <c r="E11132" i="2"/>
  <c r="D11132" i="2"/>
  <c r="F11131" i="2"/>
  <c r="E11131" i="2"/>
  <c r="D11131" i="2"/>
  <c r="F11130" i="2"/>
  <c r="E11130" i="2"/>
  <c r="D11130" i="2"/>
  <c r="F11129" i="2"/>
  <c r="E11129" i="2"/>
  <c r="D11129" i="2"/>
  <c r="F11128" i="2"/>
  <c r="E11128" i="2"/>
  <c r="D11128" i="2"/>
  <c r="F11127" i="2"/>
  <c r="E11127" i="2"/>
  <c r="D11127" i="2"/>
  <c r="F11126" i="2"/>
  <c r="E11126" i="2"/>
  <c r="D11126" i="2"/>
  <c r="F11125" i="2"/>
  <c r="E11125" i="2"/>
  <c r="D11125" i="2"/>
  <c r="F11124" i="2"/>
  <c r="E11124" i="2"/>
  <c r="D11124" i="2"/>
  <c r="F11123" i="2"/>
  <c r="E11123" i="2"/>
  <c r="D11123" i="2"/>
  <c r="F11122" i="2"/>
  <c r="E11122" i="2"/>
  <c r="D11122" i="2"/>
  <c r="F11121" i="2"/>
  <c r="E11121" i="2"/>
  <c r="D11121" i="2"/>
  <c r="F11120" i="2"/>
  <c r="E11120" i="2"/>
  <c r="D11120" i="2"/>
  <c r="F11119" i="2"/>
  <c r="E11119" i="2"/>
  <c r="D11119" i="2"/>
  <c r="F11118" i="2"/>
  <c r="E11118" i="2"/>
  <c r="D11118" i="2"/>
  <c r="F11117" i="2"/>
  <c r="E11117" i="2"/>
  <c r="D11117" i="2"/>
  <c r="F11116" i="2"/>
  <c r="E11116" i="2"/>
  <c r="D11116" i="2"/>
  <c r="F11115" i="2"/>
  <c r="E11115" i="2"/>
  <c r="D11115" i="2"/>
  <c r="F11114" i="2"/>
  <c r="E11114" i="2"/>
  <c r="D11114" i="2"/>
  <c r="F11113" i="2"/>
  <c r="E11113" i="2"/>
  <c r="D11113" i="2"/>
  <c r="F11112" i="2"/>
  <c r="E11112" i="2"/>
  <c r="D11112" i="2"/>
  <c r="F11111" i="2"/>
  <c r="E11111" i="2"/>
  <c r="D11111" i="2"/>
  <c r="F11110" i="2"/>
  <c r="E11110" i="2"/>
  <c r="D11110" i="2"/>
  <c r="F11109" i="2"/>
  <c r="E11109" i="2"/>
  <c r="D11109" i="2"/>
  <c r="F11108" i="2"/>
  <c r="E11108" i="2"/>
  <c r="D11108" i="2"/>
  <c r="F11107" i="2"/>
  <c r="E11107" i="2"/>
  <c r="D11107" i="2"/>
  <c r="F11106" i="2"/>
  <c r="E11106" i="2"/>
  <c r="D11106" i="2"/>
  <c r="F11105" i="2"/>
  <c r="E11105" i="2"/>
  <c r="D11105" i="2"/>
  <c r="F11104" i="2"/>
  <c r="E11104" i="2"/>
  <c r="D11104" i="2"/>
  <c r="F11103" i="2"/>
  <c r="E11103" i="2"/>
  <c r="D11103" i="2"/>
  <c r="F11102" i="2"/>
  <c r="E11102" i="2"/>
  <c r="D11102" i="2"/>
  <c r="F11101" i="2"/>
  <c r="E11101" i="2"/>
  <c r="D11101" i="2"/>
  <c r="F11100" i="2"/>
  <c r="E11100" i="2"/>
  <c r="D11100" i="2"/>
  <c r="F11099" i="2"/>
  <c r="E11099" i="2"/>
  <c r="D11099" i="2"/>
  <c r="F11098" i="2"/>
  <c r="E11098" i="2"/>
  <c r="D11098" i="2"/>
  <c r="F11097" i="2"/>
  <c r="E11097" i="2"/>
  <c r="D11097" i="2"/>
  <c r="F11096" i="2"/>
  <c r="E11096" i="2"/>
  <c r="D11096" i="2"/>
  <c r="F11095" i="2"/>
  <c r="E11095" i="2"/>
  <c r="D11095" i="2"/>
  <c r="F11094" i="2"/>
  <c r="E11094" i="2"/>
  <c r="D11094" i="2"/>
  <c r="F11093" i="2"/>
  <c r="E11093" i="2"/>
  <c r="D11093" i="2"/>
  <c r="F11092" i="2"/>
  <c r="E11092" i="2"/>
  <c r="D11092" i="2"/>
  <c r="F11091" i="2"/>
  <c r="E11091" i="2"/>
  <c r="D11091" i="2"/>
  <c r="F11090" i="2"/>
  <c r="E11090" i="2"/>
  <c r="D11090" i="2"/>
  <c r="F6319" i="2"/>
  <c r="E6319" i="2"/>
  <c r="D6319" i="2"/>
  <c r="F6318" i="2"/>
  <c r="E6318" i="2"/>
  <c r="D6318" i="2"/>
  <c r="F6317" i="2"/>
  <c r="E6317" i="2"/>
  <c r="D6317" i="2"/>
  <c r="F6316" i="2"/>
  <c r="E6316" i="2"/>
  <c r="D6316" i="2"/>
  <c r="F6315" i="2"/>
  <c r="E6315" i="2"/>
  <c r="D6315" i="2"/>
  <c r="F6314" i="2"/>
  <c r="E6314" i="2"/>
  <c r="D6314" i="2"/>
  <c r="F6313" i="2"/>
  <c r="E6313" i="2"/>
  <c r="D6313" i="2"/>
  <c r="F6312" i="2"/>
  <c r="E6312" i="2"/>
  <c r="D6312" i="2"/>
  <c r="F6311" i="2"/>
  <c r="E6311" i="2"/>
  <c r="D6311" i="2"/>
  <c r="F4040" i="2"/>
  <c r="E4040" i="2"/>
  <c r="D4040" i="2"/>
  <c r="F4039" i="2"/>
  <c r="E4039" i="2"/>
  <c r="D4039" i="2"/>
  <c r="F4038" i="2"/>
  <c r="E4038" i="2"/>
  <c r="D4038" i="2"/>
  <c r="F4037" i="2"/>
  <c r="E4037" i="2"/>
  <c r="D4037" i="2"/>
  <c r="F4036" i="2"/>
  <c r="E4036" i="2"/>
  <c r="D4036" i="2"/>
  <c r="F4035" i="2"/>
  <c r="E4035" i="2"/>
  <c r="D4035" i="2"/>
  <c r="F4034" i="2"/>
  <c r="E4034" i="2"/>
  <c r="D4034" i="2"/>
  <c r="F4033" i="2"/>
  <c r="E4033" i="2"/>
  <c r="D4033" i="2"/>
  <c r="F4032" i="2"/>
  <c r="E4032" i="2"/>
  <c r="D4032" i="2"/>
  <c r="F4031" i="2"/>
  <c r="E4031" i="2"/>
  <c r="D4031" i="2"/>
  <c r="F4030" i="2"/>
  <c r="E4030" i="2"/>
  <c r="D4030" i="2"/>
  <c r="F4029" i="2"/>
  <c r="E4029" i="2"/>
  <c r="D4029" i="2"/>
  <c r="F4028" i="2"/>
  <c r="E4028" i="2"/>
  <c r="D4028" i="2"/>
  <c r="F4027" i="2"/>
  <c r="E4027" i="2"/>
  <c r="D4027" i="2"/>
  <c r="F4026" i="2"/>
  <c r="E4026" i="2"/>
  <c r="D4026" i="2"/>
  <c r="F4025" i="2"/>
  <c r="E4025" i="2"/>
  <c r="D4025" i="2"/>
  <c r="F4024" i="2"/>
  <c r="E4024" i="2"/>
  <c r="D4024" i="2"/>
  <c r="F4023" i="2"/>
  <c r="E4023" i="2"/>
  <c r="D4023" i="2"/>
  <c r="F4022" i="2"/>
  <c r="E4022" i="2"/>
  <c r="D4022" i="2"/>
  <c r="F4021" i="2"/>
  <c r="E4021" i="2"/>
  <c r="D4021" i="2"/>
  <c r="F4020" i="2"/>
  <c r="E4020" i="2"/>
  <c r="D4020" i="2"/>
  <c r="F4019" i="2"/>
  <c r="E4019" i="2"/>
  <c r="D4019" i="2"/>
  <c r="F4018" i="2"/>
  <c r="E4018" i="2"/>
  <c r="D4018" i="2"/>
  <c r="F4017" i="2"/>
  <c r="E4017" i="2"/>
  <c r="D4017" i="2"/>
  <c r="F4016" i="2"/>
  <c r="E4016" i="2"/>
  <c r="D4016" i="2"/>
  <c r="F4015" i="2"/>
  <c r="E4015" i="2"/>
  <c r="D4015" i="2"/>
  <c r="F4014" i="2"/>
  <c r="E4014" i="2"/>
  <c r="D4014" i="2"/>
  <c r="F4013" i="2"/>
  <c r="E4013" i="2"/>
  <c r="D4013" i="2"/>
  <c r="F4012" i="2"/>
  <c r="E4012" i="2"/>
  <c r="D4012" i="2"/>
  <c r="F4011" i="2"/>
  <c r="E4011" i="2"/>
  <c r="D4011" i="2"/>
  <c r="F4010" i="2"/>
  <c r="E4010" i="2"/>
  <c r="D4010" i="2"/>
  <c r="F4009" i="2"/>
  <c r="E4009" i="2"/>
  <c r="D4009" i="2"/>
  <c r="F4007" i="2"/>
  <c r="E4007" i="2"/>
  <c r="D4007" i="2"/>
  <c r="F4008" i="2"/>
  <c r="E4008" i="2"/>
  <c r="D4008" i="2"/>
  <c r="F4006" i="2"/>
  <c r="E4006" i="2"/>
  <c r="D4006" i="2"/>
  <c r="F4005" i="2"/>
  <c r="E4005" i="2"/>
  <c r="D4005" i="2"/>
  <c r="F4004" i="2"/>
  <c r="E4004" i="2"/>
  <c r="D4004" i="2"/>
  <c r="F4003" i="2"/>
  <c r="E4003" i="2"/>
  <c r="D4003" i="2"/>
  <c r="F4002" i="2"/>
  <c r="E4002" i="2"/>
  <c r="D4002" i="2"/>
  <c r="F4001" i="2"/>
  <c r="E4001" i="2"/>
  <c r="D4001" i="2"/>
  <c r="F4000" i="2"/>
  <c r="E4000" i="2"/>
  <c r="D4000" i="2"/>
  <c r="F7951" i="2"/>
  <c r="E7951" i="2"/>
  <c r="D7951" i="2"/>
  <c r="F7960" i="2"/>
  <c r="E7960" i="2"/>
  <c r="D7960" i="2"/>
  <c r="F7959" i="2"/>
  <c r="E7959" i="2"/>
  <c r="D7959" i="2"/>
  <c r="F7958" i="2"/>
  <c r="E7958" i="2"/>
  <c r="D7958" i="2"/>
  <c r="F7957" i="2"/>
  <c r="E7957" i="2"/>
  <c r="D7957" i="2"/>
  <c r="F7956" i="2"/>
  <c r="E7956" i="2"/>
  <c r="D7956" i="2"/>
  <c r="F7955" i="2"/>
  <c r="E7955" i="2"/>
  <c r="D7955" i="2"/>
  <c r="F7954" i="2"/>
  <c r="E7954" i="2"/>
  <c r="D7954" i="2"/>
  <c r="F7953" i="2"/>
  <c r="E7953" i="2"/>
  <c r="D7953" i="2"/>
  <c r="F7952" i="2"/>
  <c r="E7952" i="2"/>
  <c r="D7952" i="2"/>
  <c r="F3086" i="2"/>
  <c r="E3086" i="2"/>
  <c r="D3086" i="2"/>
  <c r="F3085" i="2"/>
  <c r="E3085" i="2"/>
  <c r="D3085" i="2"/>
  <c r="F3083" i="2"/>
  <c r="E3083" i="2"/>
  <c r="D3083" i="2"/>
  <c r="F3084" i="2"/>
  <c r="E3084" i="2"/>
  <c r="D3084" i="2"/>
  <c r="F3082" i="2"/>
  <c r="E3082" i="2"/>
  <c r="D3082" i="2"/>
  <c r="F3081" i="2"/>
  <c r="E3081" i="2"/>
  <c r="D3081" i="2"/>
  <c r="F3080" i="2"/>
  <c r="E3080" i="2"/>
  <c r="D3080" i="2"/>
  <c r="F3079" i="2"/>
  <c r="E3079" i="2"/>
  <c r="D3079" i="2"/>
  <c r="F10520" i="2"/>
  <c r="E10520" i="2"/>
  <c r="D10520" i="2"/>
  <c r="F10519" i="2"/>
  <c r="E10519" i="2"/>
  <c r="D10519" i="2"/>
  <c r="F10518" i="2"/>
  <c r="E10518" i="2"/>
  <c r="D10518" i="2"/>
  <c r="F10517" i="2"/>
  <c r="E10517" i="2"/>
  <c r="D10517" i="2"/>
  <c r="F10516" i="2"/>
  <c r="E10516" i="2"/>
  <c r="D10516" i="2"/>
  <c r="F10515" i="2"/>
  <c r="E10515" i="2"/>
  <c r="D10515" i="2"/>
  <c r="F10514" i="2"/>
  <c r="E10514" i="2"/>
  <c r="D10514" i="2"/>
  <c r="F10513" i="2"/>
  <c r="E10513" i="2"/>
  <c r="D10513" i="2"/>
  <c r="F10512" i="2"/>
  <c r="E10512" i="2"/>
  <c r="D10512" i="2"/>
  <c r="F10511" i="2"/>
  <c r="E10511" i="2"/>
  <c r="D10511" i="2"/>
  <c r="F10510" i="2"/>
  <c r="E10510" i="2"/>
  <c r="D10510" i="2"/>
  <c r="F10509" i="2"/>
  <c r="E10509" i="2"/>
  <c r="D10509" i="2"/>
  <c r="F10508" i="2"/>
  <c r="E10508" i="2"/>
  <c r="D10508" i="2"/>
  <c r="F10507" i="2"/>
  <c r="E10507" i="2"/>
  <c r="D10507" i="2"/>
  <c r="F10506" i="2"/>
  <c r="E10506" i="2"/>
  <c r="D10506" i="2"/>
  <c r="F10505" i="2"/>
  <c r="E10505" i="2"/>
  <c r="D10505" i="2"/>
  <c r="F10504" i="2"/>
  <c r="E10504" i="2"/>
  <c r="D10504" i="2"/>
  <c r="F10503" i="2"/>
  <c r="E10503" i="2"/>
  <c r="D10503" i="2"/>
  <c r="F10502" i="2"/>
  <c r="E10502" i="2"/>
  <c r="D10502" i="2"/>
  <c r="F10501" i="2"/>
  <c r="E10501" i="2"/>
  <c r="D10501" i="2"/>
  <c r="F10500" i="2"/>
  <c r="E10500" i="2"/>
  <c r="D10500" i="2"/>
  <c r="F10499" i="2"/>
  <c r="E10499" i="2"/>
  <c r="D10499" i="2"/>
  <c r="F10498" i="2"/>
  <c r="E10498" i="2"/>
  <c r="D10498" i="2"/>
  <c r="F10497" i="2"/>
  <c r="E10497" i="2"/>
  <c r="D10497" i="2"/>
  <c r="F10496" i="2"/>
  <c r="E10496" i="2"/>
  <c r="D10496" i="2"/>
  <c r="F10495" i="2"/>
  <c r="E10495" i="2"/>
  <c r="D10495" i="2"/>
  <c r="F10494" i="2"/>
  <c r="E10494" i="2"/>
  <c r="D10494" i="2"/>
  <c r="F10493" i="2"/>
  <c r="E10493" i="2"/>
  <c r="D10493" i="2"/>
  <c r="F10492" i="2"/>
  <c r="E10492" i="2"/>
  <c r="D10492" i="2"/>
  <c r="F10491" i="2"/>
  <c r="E10491" i="2"/>
  <c r="D10491" i="2"/>
  <c r="F10490" i="2"/>
  <c r="E10490" i="2"/>
  <c r="D10490" i="2"/>
  <c r="F10489" i="2"/>
  <c r="E10489" i="2"/>
  <c r="D10489" i="2"/>
  <c r="F10488" i="2"/>
  <c r="E10488" i="2"/>
  <c r="D10488" i="2"/>
  <c r="F10487" i="2"/>
  <c r="E10487" i="2"/>
  <c r="D10487" i="2"/>
  <c r="F15380" i="2"/>
  <c r="E15380" i="2"/>
  <c r="D15380" i="2"/>
  <c r="F15379" i="2"/>
  <c r="E15379" i="2"/>
  <c r="D15379" i="2"/>
  <c r="F15378" i="2"/>
  <c r="E15378" i="2"/>
  <c r="D15378" i="2"/>
  <c r="F15376" i="2"/>
  <c r="E15376" i="2"/>
  <c r="D15376" i="2"/>
  <c r="F15377" i="2"/>
  <c r="E15377" i="2"/>
  <c r="D15377" i="2"/>
  <c r="F15375" i="2"/>
  <c r="E15375" i="2"/>
  <c r="D15375" i="2"/>
  <c r="F15374" i="2"/>
  <c r="E15374" i="2"/>
  <c r="D15374" i="2"/>
  <c r="F15669" i="2"/>
  <c r="E15669" i="2"/>
  <c r="D15669" i="2"/>
  <c r="F15668" i="2"/>
  <c r="E15668" i="2"/>
  <c r="D15668" i="2"/>
  <c r="F15667" i="2"/>
  <c r="E15667" i="2"/>
  <c r="D15667" i="2"/>
  <c r="F15666" i="2"/>
  <c r="E15666" i="2"/>
  <c r="D15666" i="2"/>
  <c r="F15665" i="2"/>
  <c r="E15665" i="2"/>
  <c r="D15665" i="2"/>
  <c r="F15664" i="2"/>
  <c r="E15664" i="2"/>
  <c r="D15664" i="2"/>
  <c r="F15663" i="2"/>
  <c r="E15663" i="2"/>
  <c r="D15663" i="2"/>
  <c r="F15662" i="2"/>
  <c r="E15662" i="2"/>
  <c r="D15662" i="2"/>
  <c r="F15661" i="2"/>
  <c r="E15661" i="2"/>
  <c r="D15661" i="2"/>
  <c r="F15660" i="2"/>
  <c r="E15660" i="2"/>
  <c r="D15660" i="2"/>
  <c r="F15659" i="2"/>
  <c r="E15659" i="2"/>
  <c r="D15659" i="2"/>
  <c r="F15658" i="2"/>
  <c r="E15658" i="2"/>
  <c r="D15658" i="2"/>
  <c r="F15657" i="2"/>
  <c r="E15657" i="2"/>
  <c r="D15657" i="2"/>
  <c r="F15656" i="2"/>
  <c r="E15656" i="2"/>
  <c r="D15656" i="2"/>
  <c r="F15655" i="2"/>
  <c r="E15655" i="2"/>
  <c r="D15655" i="2"/>
  <c r="F15653" i="2"/>
  <c r="E15653" i="2"/>
  <c r="D15653" i="2"/>
  <c r="F15654" i="2"/>
  <c r="E15654" i="2"/>
  <c r="D15654" i="2"/>
  <c r="F15652" i="2"/>
  <c r="E15652" i="2"/>
  <c r="D15652" i="2"/>
  <c r="F15651" i="2"/>
  <c r="E15651" i="2"/>
  <c r="D15651" i="2"/>
  <c r="F15650" i="2"/>
  <c r="E15650" i="2"/>
  <c r="D15650" i="2"/>
  <c r="F15649" i="2"/>
  <c r="E15649" i="2"/>
  <c r="D15649" i="2"/>
  <c r="F15648" i="2"/>
  <c r="E15648" i="2"/>
  <c r="D15648" i="2"/>
  <c r="F15647" i="2"/>
  <c r="E15647" i="2"/>
  <c r="D15647" i="2"/>
  <c r="F15646" i="2"/>
  <c r="E15646" i="2"/>
  <c r="D15646" i="2"/>
  <c r="F15645" i="2"/>
  <c r="E15645" i="2"/>
  <c r="D15645" i="2"/>
  <c r="F15644" i="2"/>
  <c r="E15644" i="2"/>
  <c r="D15644" i="2"/>
  <c r="F15643" i="2"/>
  <c r="E15643" i="2"/>
  <c r="D15643" i="2"/>
  <c r="F15642" i="2"/>
  <c r="E15642" i="2"/>
  <c r="D15642" i="2"/>
  <c r="F15641" i="2"/>
  <c r="E15641" i="2"/>
  <c r="D15641" i="2"/>
  <c r="F15640" i="2"/>
  <c r="E15640" i="2"/>
  <c r="D15640" i="2"/>
  <c r="F15639" i="2"/>
  <c r="E15639" i="2"/>
  <c r="D15639" i="2"/>
  <c r="F15638" i="2"/>
  <c r="E15638" i="2"/>
  <c r="D15638" i="2"/>
  <c r="F15637" i="2"/>
  <c r="E15637" i="2"/>
  <c r="D15637" i="2"/>
  <c r="F15636" i="2"/>
  <c r="E15636" i="2"/>
  <c r="D15636" i="2"/>
  <c r="F15635" i="2"/>
  <c r="E15635" i="2"/>
  <c r="D15635" i="2"/>
  <c r="F15493" i="2"/>
  <c r="E15493" i="2"/>
  <c r="D15493" i="2"/>
  <c r="F15492" i="2"/>
  <c r="E15492" i="2"/>
  <c r="D15492" i="2"/>
  <c r="F15491" i="2"/>
  <c r="E15491" i="2"/>
  <c r="D15491" i="2"/>
  <c r="F15490" i="2"/>
  <c r="E15490" i="2"/>
  <c r="D15490" i="2"/>
  <c r="F15489" i="2"/>
  <c r="E15489" i="2"/>
  <c r="D15489" i="2"/>
  <c r="F15488" i="2"/>
  <c r="E15488" i="2"/>
  <c r="D15488" i="2"/>
  <c r="F15487" i="2"/>
  <c r="E15487" i="2"/>
  <c r="D15487" i="2"/>
  <c r="F15486" i="2"/>
  <c r="E15486" i="2"/>
  <c r="D15486" i="2"/>
  <c r="F15485" i="2"/>
  <c r="E15485" i="2"/>
  <c r="D15485" i="2"/>
  <c r="F15484" i="2"/>
  <c r="E15484" i="2"/>
  <c r="D15484" i="2"/>
  <c r="F15483" i="2"/>
  <c r="E15483" i="2"/>
  <c r="D15483" i="2"/>
  <c r="F15482" i="2"/>
  <c r="E15482" i="2"/>
  <c r="D15482" i="2"/>
  <c r="F15481" i="2"/>
  <c r="E15481" i="2"/>
  <c r="D15481" i="2"/>
  <c r="F15480" i="2"/>
  <c r="E15480" i="2"/>
  <c r="D15480" i="2"/>
  <c r="F15479" i="2"/>
  <c r="E15479" i="2"/>
  <c r="D15479" i="2"/>
  <c r="F15478" i="2"/>
  <c r="E15478" i="2"/>
  <c r="D15478" i="2"/>
  <c r="F15477" i="2"/>
  <c r="E15477" i="2"/>
  <c r="D15477" i="2"/>
  <c r="F15476" i="2"/>
  <c r="E15476" i="2"/>
  <c r="D15476" i="2"/>
  <c r="F15475" i="2"/>
  <c r="E15475" i="2"/>
  <c r="D15475" i="2"/>
  <c r="F15474" i="2"/>
  <c r="E15474" i="2"/>
  <c r="D15474" i="2"/>
  <c r="F15472" i="2"/>
  <c r="E15472" i="2"/>
  <c r="D15472" i="2"/>
  <c r="F15473" i="2"/>
  <c r="E15473" i="2"/>
  <c r="D15473" i="2"/>
  <c r="F4781" i="2"/>
  <c r="E4781" i="2"/>
  <c r="D4781" i="2"/>
  <c r="F4780" i="2"/>
  <c r="E4780" i="2"/>
  <c r="D4780" i="2"/>
  <c r="F4779" i="2"/>
  <c r="E4779" i="2"/>
  <c r="D4779" i="2"/>
  <c r="F4778" i="2"/>
  <c r="E4778" i="2"/>
  <c r="D4778" i="2"/>
  <c r="F4777" i="2"/>
  <c r="E4777" i="2"/>
  <c r="D4777" i="2"/>
  <c r="F4776" i="2"/>
  <c r="E4776" i="2"/>
  <c r="D4776" i="2"/>
  <c r="F4775" i="2"/>
  <c r="E4775" i="2"/>
  <c r="D4775" i="2"/>
  <c r="F4774" i="2"/>
  <c r="E4774" i="2"/>
  <c r="D4774" i="2"/>
  <c r="F4773" i="2"/>
  <c r="E4773" i="2"/>
  <c r="D4773" i="2"/>
  <c r="F4772" i="2"/>
  <c r="E4772" i="2"/>
  <c r="D4772" i="2"/>
  <c r="F4771" i="2"/>
  <c r="E4771" i="2"/>
  <c r="D4771" i="2"/>
  <c r="F4770" i="2"/>
  <c r="E4770" i="2"/>
  <c r="D4770" i="2"/>
  <c r="F4769" i="2"/>
  <c r="E4769" i="2"/>
  <c r="D4769" i="2"/>
  <c r="F4768" i="2"/>
  <c r="E4768" i="2"/>
  <c r="D4768" i="2"/>
  <c r="F4767" i="2"/>
  <c r="E4767" i="2"/>
  <c r="D4767" i="2"/>
  <c r="F4766" i="2"/>
  <c r="E4766" i="2"/>
  <c r="D4766" i="2"/>
  <c r="F4765" i="2"/>
  <c r="E4765" i="2"/>
  <c r="D4765" i="2"/>
  <c r="F4764" i="2"/>
  <c r="E4764" i="2"/>
  <c r="D4764" i="2"/>
  <c r="F4763" i="2"/>
  <c r="E4763" i="2"/>
  <c r="D4763" i="2"/>
  <c r="F4762" i="2"/>
  <c r="E4762" i="2"/>
  <c r="D4762" i="2"/>
  <c r="F4761" i="2"/>
  <c r="E4761" i="2"/>
  <c r="D4761" i="2"/>
  <c r="F4760" i="2"/>
  <c r="E4760" i="2"/>
  <c r="D4760" i="2"/>
  <c r="F4759" i="2"/>
  <c r="E4759" i="2"/>
  <c r="D4759" i="2"/>
  <c r="F4758" i="2"/>
  <c r="E4758" i="2"/>
  <c r="D4758" i="2"/>
  <c r="F4757" i="2"/>
  <c r="E4757" i="2"/>
  <c r="D4757" i="2"/>
  <c r="F4756" i="2"/>
  <c r="E4756" i="2"/>
  <c r="D4756" i="2"/>
  <c r="F4755" i="2"/>
  <c r="E4755" i="2"/>
  <c r="D4755" i="2"/>
  <c r="F4754" i="2"/>
  <c r="E4754" i="2"/>
  <c r="D4754" i="2"/>
  <c r="F4753" i="2"/>
  <c r="E4753" i="2"/>
  <c r="D4753" i="2"/>
  <c r="F4752" i="2"/>
  <c r="E4752" i="2"/>
  <c r="D4752" i="2"/>
  <c r="F4751" i="2"/>
  <c r="E4751" i="2"/>
  <c r="D4751" i="2"/>
  <c r="F4750" i="2"/>
  <c r="E4750" i="2"/>
  <c r="D4750" i="2"/>
  <c r="F4749" i="2"/>
  <c r="E4749" i="2"/>
  <c r="D4749" i="2"/>
  <c r="F4748" i="2"/>
  <c r="E4748" i="2"/>
  <c r="D4748" i="2"/>
  <c r="F4747" i="2"/>
  <c r="E4747" i="2"/>
  <c r="D4747" i="2"/>
  <c r="F4746" i="2"/>
  <c r="E4746" i="2"/>
  <c r="D4746" i="2"/>
  <c r="F4745" i="2"/>
  <c r="E4745" i="2"/>
  <c r="D4745" i="2"/>
  <c r="F4744" i="2"/>
  <c r="E4744" i="2"/>
  <c r="D4744" i="2"/>
  <c r="F4743" i="2"/>
  <c r="E4743" i="2"/>
  <c r="D4743" i="2"/>
  <c r="F4742" i="2"/>
  <c r="E4742" i="2"/>
  <c r="D4742" i="2"/>
  <c r="F4741" i="2"/>
  <c r="E4741" i="2"/>
  <c r="D4741" i="2"/>
  <c r="F4740" i="2"/>
  <c r="E4740" i="2"/>
  <c r="D4740" i="2"/>
  <c r="F4739" i="2"/>
  <c r="E4739" i="2"/>
  <c r="D4739" i="2"/>
  <c r="F4738" i="2"/>
  <c r="E4738" i="2"/>
  <c r="D4738" i="2"/>
  <c r="F4737" i="2"/>
  <c r="E4737" i="2"/>
  <c r="D4737" i="2"/>
  <c r="F4736" i="2"/>
  <c r="E4736" i="2"/>
  <c r="D4736" i="2"/>
  <c r="F4735" i="2"/>
  <c r="E4735" i="2"/>
  <c r="D4735" i="2"/>
  <c r="F4734" i="2"/>
  <c r="E4734" i="2"/>
  <c r="D4734" i="2"/>
  <c r="F4733" i="2"/>
  <c r="E4733" i="2"/>
  <c r="D4733" i="2"/>
  <c r="F4732" i="2"/>
  <c r="E4732" i="2"/>
  <c r="D4732" i="2"/>
  <c r="F4731" i="2"/>
  <c r="E4731" i="2"/>
  <c r="D4731" i="2"/>
  <c r="F4730" i="2"/>
  <c r="E4730" i="2"/>
  <c r="D4730" i="2"/>
  <c r="F4729" i="2"/>
  <c r="E4729" i="2"/>
  <c r="D4729" i="2"/>
  <c r="F4728" i="2"/>
  <c r="E4728" i="2"/>
  <c r="D4728" i="2"/>
  <c r="F4727" i="2"/>
  <c r="E4727" i="2"/>
  <c r="D4727" i="2"/>
  <c r="F4726" i="2"/>
  <c r="E4726" i="2"/>
  <c r="D4726" i="2"/>
  <c r="F4725" i="2"/>
  <c r="E4725" i="2"/>
  <c r="D4725" i="2"/>
  <c r="F4724" i="2"/>
  <c r="E4724" i="2"/>
  <c r="D4724" i="2"/>
  <c r="F4723" i="2"/>
  <c r="E4723" i="2"/>
  <c r="D4723" i="2"/>
  <c r="F4722" i="2"/>
  <c r="E4722" i="2"/>
  <c r="D4722" i="2"/>
  <c r="F4721" i="2"/>
  <c r="E4721" i="2"/>
  <c r="D4721" i="2"/>
  <c r="F4720" i="2"/>
  <c r="E4720" i="2"/>
  <c r="D4720" i="2"/>
  <c r="F4719" i="2"/>
  <c r="E4719" i="2"/>
  <c r="D4719" i="2"/>
  <c r="F4718" i="2"/>
  <c r="E4718" i="2"/>
  <c r="D4718" i="2"/>
  <c r="F4717" i="2"/>
  <c r="E4717" i="2"/>
  <c r="D4717" i="2"/>
  <c r="F4716" i="2"/>
  <c r="E4716" i="2"/>
  <c r="D4716" i="2"/>
  <c r="F4715" i="2"/>
  <c r="E4715" i="2"/>
  <c r="D4715" i="2"/>
  <c r="F4714" i="2"/>
  <c r="E4714" i="2"/>
  <c r="D4714" i="2"/>
  <c r="F4713" i="2"/>
  <c r="E4713" i="2"/>
  <c r="D4713" i="2"/>
  <c r="F4712" i="2"/>
  <c r="E4712" i="2"/>
  <c r="D4712" i="2"/>
  <c r="F4711" i="2"/>
  <c r="E4711" i="2"/>
  <c r="D4711" i="2"/>
  <c r="F4710" i="2"/>
  <c r="E4710" i="2"/>
  <c r="D4710" i="2"/>
  <c r="F4709" i="2"/>
  <c r="E4709" i="2"/>
  <c r="D4709" i="2"/>
  <c r="F4708" i="2"/>
  <c r="E4708" i="2"/>
  <c r="D4708" i="2"/>
  <c r="F4707" i="2"/>
  <c r="E4707" i="2"/>
  <c r="D4707" i="2"/>
  <c r="F4706" i="2"/>
  <c r="E4706" i="2"/>
  <c r="D4706" i="2"/>
  <c r="F4705" i="2"/>
  <c r="E4705" i="2"/>
  <c r="D4705" i="2"/>
  <c r="F4704" i="2"/>
  <c r="E4704" i="2"/>
  <c r="D4704" i="2"/>
  <c r="F4703" i="2"/>
  <c r="E4703" i="2"/>
  <c r="D4703" i="2"/>
  <c r="F4702" i="2"/>
  <c r="E4702" i="2"/>
  <c r="D4702" i="2"/>
  <c r="F4701" i="2"/>
  <c r="E4701" i="2"/>
  <c r="D4701" i="2"/>
  <c r="F4700" i="2"/>
  <c r="E4700" i="2"/>
  <c r="D4700" i="2"/>
  <c r="F4699" i="2"/>
  <c r="E4699" i="2"/>
  <c r="D4699" i="2"/>
  <c r="F4698" i="2"/>
  <c r="E4698" i="2"/>
  <c r="D4698" i="2"/>
  <c r="F4697" i="2"/>
  <c r="E4697" i="2"/>
  <c r="D4697" i="2"/>
  <c r="F4696" i="2"/>
  <c r="E4696" i="2"/>
  <c r="D4696" i="2"/>
  <c r="F4695" i="2"/>
  <c r="E4695" i="2"/>
  <c r="D4695" i="2"/>
  <c r="F4694" i="2"/>
  <c r="E4694" i="2"/>
  <c r="D4694" i="2"/>
  <c r="F4693" i="2"/>
  <c r="E4693" i="2"/>
  <c r="D4693" i="2"/>
  <c r="F4692" i="2"/>
  <c r="E4692" i="2"/>
  <c r="D4692" i="2"/>
  <c r="F4691" i="2"/>
  <c r="E4691" i="2"/>
  <c r="D4691" i="2"/>
  <c r="F4690" i="2"/>
  <c r="E4690" i="2"/>
  <c r="D4690" i="2"/>
  <c r="F4689" i="2"/>
  <c r="E4689" i="2"/>
  <c r="D4689" i="2"/>
  <c r="F4688" i="2"/>
  <c r="E4688" i="2"/>
  <c r="D4688" i="2"/>
  <c r="F4687" i="2"/>
  <c r="E4687" i="2"/>
  <c r="D4687" i="2"/>
  <c r="F4686" i="2"/>
  <c r="E4686" i="2"/>
  <c r="D4686" i="2"/>
  <c r="F4685" i="2"/>
  <c r="E4685" i="2"/>
  <c r="D4685" i="2"/>
  <c r="F4684" i="2"/>
  <c r="E4684" i="2"/>
  <c r="D4684" i="2"/>
  <c r="F4683" i="2"/>
  <c r="E4683" i="2"/>
  <c r="D4683" i="2"/>
  <c r="F4682" i="2"/>
  <c r="E4682" i="2"/>
  <c r="D4682" i="2"/>
  <c r="F4680" i="2"/>
  <c r="E4680" i="2"/>
  <c r="D4680" i="2"/>
  <c r="F4681" i="2"/>
  <c r="E4681" i="2"/>
  <c r="D4681" i="2"/>
  <c r="F4679" i="2"/>
  <c r="E4679" i="2"/>
  <c r="D4679" i="2"/>
  <c r="F4678" i="2"/>
  <c r="E4678" i="2"/>
  <c r="D4678" i="2"/>
  <c r="F4677" i="2"/>
  <c r="E4677" i="2"/>
  <c r="D4677" i="2"/>
  <c r="F4676" i="2"/>
  <c r="E4676" i="2"/>
  <c r="D4676" i="2"/>
  <c r="F4675" i="2"/>
  <c r="E4675" i="2"/>
  <c r="D4675" i="2"/>
  <c r="F4674" i="2"/>
  <c r="E4674" i="2"/>
  <c r="D4674" i="2"/>
  <c r="F4673" i="2"/>
  <c r="E4673" i="2"/>
  <c r="D4673" i="2"/>
  <c r="F4672" i="2"/>
  <c r="E4672" i="2"/>
  <c r="D4672" i="2"/>
  <c r="F4671" i="2"/>
  <c r="E4671" i="2"/>
  <c r="D4671" i="2"/>
  <c r="F4670" i="2"/>
  <c r="E4670" i="2"/>
  <c r="D4670" i="2"/>
  <c r="F4669" i="2"/>
  <c r="E4669" i="2"/>
  <c r="D4669" i="2"/>
  <c r="F4668" i="2"/>
  <c r="E4668" i="2"/>
  <c r="D4668" i="2"/>
  <c r="F4667" i="2"/>
  <c r="E4667" i="2"/>
  <c r="D4667" i="2"/>
  <c r="F4666" i="2"/>
  <c r="E4666" i="2"/>
  <c r="D4666" i="2"/>
  <c r="F4665" i="2"/>
  <c r="E4665" i="2"/>
  <c r="D4665" i="2"/>
  <c r="F4664" i="2"/>
  <c r="E4664" i="2"/>
  <c r="D4664" i="2"/>
  <c r="F4661" i="2"/>
  <c r="E4661" i="2"/>
  <c r="D4661" i="2"/>
  <c r="F4663" i="2"/>
  <c r="E4663" i="2"/>
  <c r="D4663" i="2"/>
  <c r="F4662" i="2"/>
  <c r="E4662" i="2"/>
  <c r="D4662" i="2"/>
  <c r="F4660" i="2"/>
  <c r="E4660" i="2"/>
  <c r="D4660" i="2"/>
  <c r="F4659" i="2"/>
  <c r="E4659" i="2"/>
  <c r="D4659" i="2"/>
  <c r="F4658" i="2"/>
  <c r="E4658" i="2"/>
  <c r="D4658" i="2"/>
  <c r="F4657" i="2"/>
  <c r="E4657" i="2"/>
  <c r="D4657" i="2"/>
  <c r="F4656" i="2"/>
  <c r="E4656" i="2"/>
  <c r="D4656" i="2"/>
  <c r="F4655" i="2"/>
  <c r="E4655" i="2"/>
  <c r="D4655" i="2"/>
  <c r="F4654" i="2"/>
  <c r="E4654" i="2"/>
  <c r="D4654" i="2"/>
  <c r="F4653" i="2"/>
  <c r="E4653" i="2"/>
  <c r="D4653" i="2"/>
  <c r="F4652" i="2"/>
  <c r="E4652" i="2"/>
  <c r="D4652" i="2"/>
  <c r="F4651" i="2"/>
  <c r="E4651" i="2"/>
  <c r="D4651" i="2"/>
  <c r="F4648" i="2"/>
  <c r="E4648" i="2"/>
  <c r="D4648" i="2"/>
  <c r="F4650" i="2"/>
  <c r="E4650" i="2"/>
  <c r="D4650" i="2"/>
  <c r="F4649" i="2"/>
  <c r="E4649" i="2"/>
  <c r="D4649" i="2"/>
  <c r="F4646" i="2"/>
  <c r="E4646" i="2"/>
  <c r="D4646" i="2"/>
  <c r="F4647" i="2"/>
  <c r="E4647" i="2"/>
  <c r="D4647" i="2"/>
  <c r="F7581" i="2"/>
  <c r="E7581" i="2"/>
  <c r="D7581" i="2"/>
  <c r="F7588" i="2"/>
  <c r="E7588" i="2"/>
  <c r="D7588" i="2"/>
  <c r="F7587" i="2"/>
  <c r="E7587" i="2"/>
  <c r="D7587" i="2"/>
  <c r="F7586" i="2"/>
  <c r="E7586" i="2"/>
  <c r="D7586" i="2"/>
  <c r="F7585" i="2"/>
  <c r="E7585" i="2"/>
  <c r="D7585" i="2"/>
  <c r="F7584" i="2"/>
  <c r="E7584" i="2"/>
  <c r="D7584" i="2"/>
  <c r="F7583" i="2"/>
  <c r="E7583" i="2"/>
  <c r="D7583" i="2"/>
  <c r="F7582" i="2"/>
  <c r="E7582" i="2"/>
  <c r="D7582" i="2"/>
  <c r="F249" i="2"/>
  <c r="E249" i="2"/>
  <c r="D249" i="2"/>
  <c r="F248" i="2"/>
  <c r="E248" i="2"/>
  <c r="D248" i="2"/>
  <c r="F247" i="2"/>
  <c r="E247" i="2"/>
  <c r="D247" i="2"/>
  <c r="F246" i="2"/>
  <c r="E246" i="2"/>
  <c r="D246" i="2"/>
  <c r="F245" i="2"/>
  <c r="E245" i="2"/>
  <c r="D245" i="2"/>
  <c r="F244" i="2"/>
  <c r="E244" i="2"/>
  <c r="D244" i="2"/>
  <c r="F243" i="2"/>
  <c r="E243" i="2"/>
  <c r="D243" i="2"/>
  <c r="F242" i="2"/>
  <c r="E242" i="2"/>
  <c r="D242" i="2"/>
  <c r="F241" i="2"/>
  <c r="E241" i="2"/>
  <c r="D241" i="2"/>
  <c r="F240" i="2"/>
  <c r="E240" i="2"/>
  <c r="D240" i="2"/>
  <c r="F239" i="2"/>
  <c r="E239" i="2"/>
  <c r="D239" i="2"/>
  <c r="F238" i="2"/>
  <c r="E238" i="2"/>
  <c r="D238" i="2"/>
  <c r="F237" i="2"/>
  <c r="E237" i="2"/>
  <c r="D237" i="2"/>
  <c r="F236" i="2"/>
  <c r="E236" i="2"/>
  <c r="D236" i="2"/>
  <c r="F235" i="2"/>
  <c r="E235" i="2"/>
  <c r="D235" i="2"/>
  <c r="F234" i="2"/>
  <c r="E234" i="2"/>
  <c r="D234" i="2"/>
  <c r="F233" i="2"/>
  <c r="E233" i="2"/>
  <c r="D233" i="2"/>
  <c r="F2383" i="2"/>
  <c r="E2383" i="2"/>
  <c r="D2383" i="2"/>
  <c r="F2395" i="2"/>
  <c r="E2395" i="2"/>
  <c r="D2395" i="2"/>
  <c r="F2394" i="2"/>
  <c r="E2394" i="2"/>
  <c r="D2394" i="2"/>
  <c r="F2393" i="2"/>
  <c r="E2393" i="2"/>
  <c r="D2393" i="2"/>
  <c r="F2392" i="2"/>
  <c r="E2392" i="2"/>
  <c r="D2392" i="2"/>
  <c r="F2391" i="2"/>
  <c r="E2391" i="2"/>
  <c r="D2391" i="2"/>
  <c r="F2390" i="2"/>
  <c r="E2390" i="2"/>
  <c r="D2390" i="2"/>
  <c r="F2389" i="2"/>
  <c r="E2389" i="2"/>
  <c r="D2389" i="2"/>
  <c r="F2388" i="2"/>
  <c r="E2388" i="2"/>
  <c r="D2388" i="2"/>
  <c r="F2387" i="2"/>
  <c r="E2387" i="2"/>
  <c r="D2387" i="2"/>
  <c r="F2386" i="2"/>
  <c r="E2386" i="2"/>
  <c r="D2386" i="2"/>
  <c r="F2385" i="2"/>
  <c r="E2385" i="2"/>
  <c r="D2385" i="2"/>
  <c r="F2384" i="2"/>
  <c r="E2384" i="2"/>
  <c r="D2384" i="2"/>
  <c r="F13857" i="2"/>
  <c r="E13857" i="2"/>
  <c r="D13857" i="2"/>
  <c r="F13856" i="2"/>
  <c r="E13856" i="2"/>
  <c r="D13856" i="2"/>
  <c r="F13855" i="2"/>
  <c r="E13855" i="2"/>
  <c r="D13855" i="2"/>
  <c r="F13853" i="2"/>
  <c r="E13853" i="2"/>
  <c r="D13853" i="2"/>
  <c r="F13854" i="2"/>
  <c r="E13854" i="2"/>
  <c r="D13854" i="2"/>
  <c r="F566" i="2"/>
  <c r="E566" i="2"/>
  <c r="D566" i="2"/>
  <c r="F565" i="2"/>
  <c r="E565" i="2"/>
  <c r="D565" i="2"/>
  <c r="F564" i="2"/>
  <c r="E564" i="2"/>
  <c r="D564" i="2"/>
  <c r="F563" i="2"/>
  <c r="E563" i="2"/>
  <c r="D563" i="2"/>
  <c r="F562" i="2"/>
  <c r="E562" i="2"/>
  <c r="D562" i="2"/>
  <c r="F561" i="2"/>
  <c r="E561" i="2"/>
  <c r="D561" i="2"/>
  <c r="F560" i="2"/>
  <c r="E560" i="2"/>
  <c r="D560" i="2"/>
  <c r="F1149" i="2"/>
  <c r="E1149" i="2"/>
  <c r="D1149" i="2"/>
  <c r="F1191" i="2"/>
  <c r="E1191" i="2"/>
  <c r="D1191" i="2"/>
  <c r="F1190" i="2"/>
  <c r="E1190" i="2"/>
  <c r="D1190" i="2"/>
  <c r="F1189" i="2"/>
  <c r="E1189" i="2"/>
  <c r="D1189" i="2"/>
  <c r="F1188" i="2"/>
  <c r="E1188" i="2"/>
  <c r="D1188" i="2"/>
  <c r="F1187" i="2"/>
  <c r="E1187" i="2"/>
  <c r="D1187" i="2"/>
  <c r="F1186" i="2"/>
  <c r="E1186" i="2"/>
  <c r="D1186" i="2"/>
  <c r="F1185" i="2"/>
  <c r="E1185" i="2"/>
  <c r="D1185" i="2"/>
  <c r="F1184" i="2"/>
  <c r="E1184" i="2"/>
  <c r="D1184" i="2"/>
  <c r="F1183" i="2"/>
  <c r="E1183" i="2"/>
  <c r="D1183" i="2"/>
  <c r="F1182" i="2"/>
  <c r="E1182" i="2"/>
  <c r="D1182" i="2"/>
  <c r="F1181" i="2"/>
  <c r="E1181" i="2"/>
  <c r="D1181" i="2"/>
  <c r="F1180" i="2"/>
  <c r="E1180" i="2"/>
  <c r="D1180" i="2"/>
  <c r="F1179" i="2"/>
  <c r="E1179" i="2"/>
  <c r="D1179" i="2"/>
  <c r="F1178" i="2"/>
  <c r="E1178" i="2"/>
  <c r="D1178" i="2"/>
  <c r="F1177" i="2"/>
  <c r="E1177" i="2"/>
  <c r="D1177" i="2"/>
  <c r="F1176" i="2"/>
  <c r="E1176" i="2"/>
  <c r="D1176" i="2"/>
  <c r="F1175" i="2"/>
  <c r="E1175" i="2"/>
  <c r="D1175" i="2"/>
  <c r="F1174" i="2"/>
  <c r="E1174" i="2"/>
  <c r="D1174" i="2"/>
  <c r="F1173" i="2"/>
  <c r="E1173" i="2"/>
  <c r="D1173" i="2"/>
  <c r="F1172" i="2"/>
  <c r="E1172" i="2"/>
  <c r="D1172" i="2"/>
  <c r="F1171" i="2"/>
  <c r="E1171" i="2"/>
  <c r="D1171" i="2"/>
  <c r="F1170" i="2"/>
  <c r="E1170" i="2"/>
  <c r="D1170" i="2"/>
  <c r="F1169" i="2"/>
  <c r="E1169" i="2"/>
  <c r="D1169" i="2"/>
  <c r="F1168" i="2"/>
  <c r="E1168" i="2"/>
  <c r="D1168" i="2"/>
  <c r="F1167" i="2"/>
  <c r="E1167" i="2"/>
  <c r="D1167" i="2"/>
  <c r="F1166" i="2"/>
  <c r="E1166" i="2"/>
  <c r="D1166" i="2"/>
  <c r="F1165" i="2"/>
  <c r="E1165" i="2"/>
  <c r="D1165" i="2"/>
  <c r="F1164" i="2"/>
  <c r="E1164" i="2"/>
  <c r="D1164" i="2"/>
  <c r="F1163" i="2"/>
  <c r="E1163" i="2"/>
  <c r="D1163" i="2"/>
  <c r="F1162" i="2"/>
  <c r="E1162" i="2"/>
  <c r="D1162" i="2"/>
  <c r="F1161" i="2"/>
  <c r="E1161" i="2"/>
  <c r="D1161" i="2"/>
  <c r="F1159" i="2"/>
  <c r="E1159" i="2"/>
  <c r="D1159" i="2"/>
  <c r="F1160" i="2"/>
  <c r="E1160" i="2"/>
  <c r="D1160" i="2"/>
  <c r="F1157" i="2"/>
  <c r="E1157" i="2"/>
  <c r="D1157" i="2"/>
  <c r="F1158" i="2"/>
  <c r="E1158" i="2"/>
  <c r="D1158" i="2"/>
  <c r="F1155" i="2"/>
  <c r="E1155" i="2"/>
  <c r="D1155" i="2"/>
  <c r="F1156" i="2"/>
  <c r="E1156" i="2"/>
  <c r="D1156" i="2"/>
  <c r="F1153" i="2"/>
  <c r="E1153" i="2"/>
  <c r="D1153" i="2"/>
  <c r="F1154" i="2"/>
  <c r="E1154" i="2"/>
  <c r="D1154" i="2"/>
  <c r="F1151" i="2"/>
  <c r="E1151" i="2"/>
  <c r="D1151" i="2"/>
  <c r="F1152" i="2"/>
  <c r="E1152" i="2"/>
  <c r="D1152" i="2"/>
  <c r="F1150" i="2"/>
  <c r="E1150" i="2"/>
  <c r="D1150" i="2"/>
  <c r="F16336" i="2"/>
  <c r="E16336" i="2"/>
  <c r="D16336" i="2"/>
  <c r="F16335" i="2"/>
  <c r="E16335" i="2"/>
  <c r="D16335" i="2"/>
  <c r="F16334" i="2"/>
  <c r="E16334" i="2"/>
  <c r="D16334" i="2"/>
  <c r="F16333" i="2"/>
  <c r="E16333" i="2"/>
  <c r="D16333" i="2"/>
  <c r="F16332" i="2"/>
  <c r="E16332" i="2"/>
  <c r="D16332" i="2"/>
  <c r="F16331" i="2"/>
  <c r="E16331" i="2"/>
  <c r="D16331" i="2"/>
  <c r="F16330" i="2"/>
  <c r="E16330" i="2"/>
  <c r="D16330" i="2"/>
  <c r="F16329" i="2"/>
  <c r="E16329" i="2"/>
  <c r="D16329" i="2"/>
  <c r="F16328" i="2"/>
  <c r="E16328" i="2"/>
  <c r="D16328" i="2"/>
  <c r="F16327" i="2"/>
  <c r="E16327" i="2"/>
  <c r="D16327" i="2"/>
  <c r="F16326" i="2"/>
  <c r="E16326" i="2"/>
  <c r="D16326" i="2"/>
  <c r="F16325" i="2"/>
  <c r="E16325" i="2"/>
  <c r="D16325" i="2"/>
  <c r="F16324" i="2"/>
  <c r="E16324" i="2"/>
  <c r="D16324" i="2"/>
  <c r="F16323" i="2"/>
  <c r="E16323" i="2"/>
  <c r="D16323" i="2"/>
  <c r="F16322" i="2"/>
  <c r="E16322" i="2"/>
  <c r="D16322" i="2"/>
  <c r="F16321" i="2"/>
  <c r="E16321" i="2"/>
  <c r="D16321" i="2"/>
  <c r="F16320" i="2"/>
  <c r="E16320" i="2"/>
  <c r="D16320" i="2"/>
  <c r="F16319" i="2"/>
  <c r="E16319" i="2"/>
  <c r="D16319" i="2"/>
  <c r="F15030" i="2"/>
  <c r="E15030" i="2"/>
  <c r="D15030" i="2"/>
  <c r="F15029" i="2"/>
  <c r="E15029" i="2"/>
  <c r="D15029" i="2"/>
  <c r="F15028" i="2"/>
  <c r="E15028" i="2"/>
  <c r="D15028" i="2"/>
  <c r="F15027" i="2"/>
  <c r="E15027" i="2"/>
  <c r="D15027" i="2"/>
  <c r="F15026" i="2"/>
  <c r="E15026" i="2"/>
  <c r="D15026" i="2"/>
  <c r="F15025" i="2"/>
  <c r="E15025" i="2"/>
  <c r="D15025" i="2"/>
  <c r="F15024" i="2"/>
  <c r="E15024" i="2"/>
  <c r="D15024" i="2"/>
  <c r="F15023" i="2"/>
  <c r="E15023" i="2"/>
  <c r="D15023" i="2"/>
  <c r="F15022" i="2"/>
  <c r="E15022" i="2"/>
  <c r="D15022" i="2"/>
  <c r="F15021" i="2"/>
  <c r="E15021" i="2"/>
  <c r="D15021" i="2"/>
  <c r="F15020" i="2"/>
  <c r="E15020" i="2"/>
  <c r="D15020" i="2"/>
  <c r="F15019" i="2"/>
  <c r="E15019" i="2"/>
  <c r="D15019" i="2"/>
  <c r="F15018" i="2"/>
  <c r="E15018" i="2"/>
  <c r="D15018" i="2"/>
  <c r="F15017" i="2"/>
  <c r="E15017" i="2"/>
  <c r="D15017" i="2"/>
  <c r="F15016" i="2"/>
  <c r="E15016" i="2"/>
  <c r="D15016" i="2"/>
  <c r="F15015" i="2"/>
  <c r="E15015" i="2"/>
  <c r="D15015" i="2"/>
  <c r="F15014" i="2"/>
  <c r="E15014" i="2"/>
  <c r="D15014" i="2"/>
  <c r="F15013" i="2"/>
  <c r="E15013" i="2"/>
  <c r="D15013" i="2"/>
  <c r="F15012" i="2"/>
  <c r="E15012" i="2"/>
  <c r="D15012" i="2"/>
  <c r="F15011" i="2"/>
  <c r="E15011" i="2"/>
  <c r="D15011" i="2"/>
  <c r="F15010" i="2"/>
  <c r="E15010" i="2"/>
  <c r="D15010" i="2"/>
  <c r="F15009" i="2"/>
  <c r="E15009" i="2"/>
  <c r="D15009" i="2"/>
  <c r="F15008" i="2"/>
  <c r="E15008" i="2"/>
  <c r="D15008" i="2"/>
  <c r="F15007" i="2"/>
  <c r="E15007" i="2"/>
  <c r="D15007" i="2"/>
  <c r="F15006" i="2"/>
  <c r="E15006" i="2"/>
  <c r="D15006" i="2"/>
  <c r="F15005" i="2"/>
  <c r="E15005" i="2"/>
  <c r="D15005" i="2"/>
  <c r="F15004" i="2"/>
  <c r="E15004" i="2"/>
  <c r="D15004" i="2"/>
  <c r="F15003" i="2"/>
  <c r="E15003" i="2"/>
  <c r="D15003" i="2"/>
  <c r="F15002" i="2"/>
  <c r="E15002" i="2"/>
  <c r="D15002" i="2"/>
  <c r="F15001" i="2"/>
  <c r="E15001" i="2"/>
  <c r="D15001" i="2"/>
  <c r="F14224" i="2"/>
  <c r="E14224" i="2"/>
  <c r="D14224" i="2"/>
  <c r="F6797" i="2"/>
  <c r="E6797" i="2"/>
  <c r="D6797" i="2"/>
  <c r="F6796" i="2"/>
  <c r="E6796" i="2"/>
  <c r="D6796" i="2"/>
  <c r="F6795" i="2"/>
  <c r="E6795" i="2"/>
  <c r="D6795" i="2"/>
  <c r="F6794" i="2"/>
  <c r="E6794" i="2"/>
  <c r="D6794" i="2"/>
  <c r="F6793" i="2"/>
  <c r="E6793" i="2"/>
  <c r="D6793" i="2"/>
  <c r="F6792" i="2"/>
  <c r="E6792" i="2"/>
  <c r="D6792" i="2"/>
  <c r="F6791" i="2"/>
  <c r="E6791" i="2"/>
  <c r="D6791" i="2"/>
  <c r="F6790" i="2"/>
  <c r="E6790" i="2"/>
  <c r="D6790" i="2"/>
  <c r="F6789" i="2"/>
  <c r="E6789" i="2"/>
  <c r="D6789" i="2"/>
  <c r="F6788" i="2"/>
  <c r="E6788" i="2"/>
  <c r="D6788" i="2"/>
  <c r="F6787" i="2"/>
  <c r="E6787" i="2"/>
  <c r="D6787" i="2"/>
  <c r="F6786" i="2"/>
  <c r="E6786" i="2"/>
  <c r="D6786" i="2"/>
  <c r="F6785" i="2"/>
  <c r="E6785" i="2"/>
  <c r="D6785" i="2"/>
  <c r="F6784" i="2"/>
  <c r="E6784" i="2"/>
  <c r="D6784" i="2"/>
  <c r="F6783" i="2"/>
  <c r="E6783" i="2"/>
  <c r="D6783" i="2"/>
  <c r="F6782" i="2"/>
  <c r="E6782" i="2"/>
  <c r="D6782" i="2"/>
  <c r="F6781" i="2"/>
  <c r="E6781" i="2"/>
  <c r="D6781" i="2"/>
  <c r="F6780" i="2"/>
  <c r="E6780" i="2"/>
  <c r="D6780" i="2"/>
  <c r="F6779" i="2"/>
  <c r="E6779" i="2"/>
  <c r="D6779" i="2"/>
  <c r="F545" i="2"/>
  <c r="E545" i="2"/>
  <c r="D545" i="2"/>
  <c r="F544" i="2"/>
  <c r="E544" i="2"/>
  <c r="D544" i="2"/>
  <c r="F543" i="2"/>
  <c r="E543" i="2"/>
  <c r="D543" i="2"/>
  <c r="F542" i="2"/>
  <c r="E542" i="2"/>
  <c r="D542" i="2"/>
  <c r="F541" i="2"/>
  <c r="E541" i="2"/>
  <c r="D541" i="2"/>
  <c r="F12834" i="2"/>
  <c r="E12834" i="2"/>
  <c r="D12834" i="2"/>
  <c r="F12833" i="2"/>
  <c r="E12833" i="2"/>
  <c r="D12833" i="2"/>
  <c r="F12832" i="2"/>
  <c r="E12832" i="2"/>
  <c r="D12832" i="2"/>
  <c r="F12831" i="2"/>
  <c r="E12831" i="2"/>
  <c r="D12831" i="2"/>
  <c r="F12830" i="2"/>
  <c r="E12830" i="2"/>
  <c r="D12830" i="2"/>
  <c r="F12829" i="2"/>
  <c r="E12829" i="2"/>
  <c r="D12829" i="2"/>
  <c r="F12828" i="2"/>
  <c r="E12828" i="2"/>
  <c r="D12828" i="2"/>
  <c r="F12827" i="2"/>
  <c r="E12827" i="2"/>
  <c r="D12827" i="2"/>
  <c r="F12826" i="2"/>
  <c r="E12826" i="2"/>
  <c r="D12826" i="2"/>
  <c r="F12825" i="2"/>
  <c r="E12825" i="2"/>
  <c r="D12825" i="2"/>
  <c r="F12824" i="2"/>
  <c r="E12824" i="2"/>
  <c r="D12824" i="2"/>
  <c r="F12823" i="2"/>
  <c r="E12823" i="2"/>
  <c r="D12823" i="2"/>
  <c r="F12821" i="2"/>
  <c r="E12821" i="2"/>
  <c r="D12821" i="2"/>
  <c r="F12822" i="2"/>
  <c r="E12822" i="2"/>
  <c r="D12822" i="2"/>
  <c r="F2477" i="2"/>
  <c r="E2477" i="2"/>
  <c r="D2477" i="2"/>
  <c r="F2476" i="2"/>
  <c r="E2476" i="2"/>
  <c r="D2476" i="2"/>
  <c r="F2475" i="2"/>
  <c r="E2475" i="2"/>
  <c r="D2475" i="2"/>
  <c r="F2474" i="2"/>
  <c r="E2474" i="2"/>
  <c r="D2474" i="2"/>
  <c r="F2473" i="2"/>
  <c r="E2473" i="2"/>
  <c r="D2473" i="2"/>
  <c r="F2471" i="2"/>
  <c r="E2471" i="2"/>
  <c r="D2471" i="2"/>
  <c r="F2472" i="2"/>
  <c r="E2472" i="2"/>
  <c r="D2472" i="2"/>
  <c r="F2470" i="2"/>
  <c r="E2470" i="2"/>
  <c r="D2470" i="2"/>
  <c r="F2469" i="2"/>
  <c r="E2469" i="2"/>
  <c r="D2469" i="2"/>
  <c r="F2468" i="2"/>
  <c r="E2468" i="2"/>
  <c r="D2468" i="2"/>
  <c r="F2467" i="2"/>
  <c r="E2467" i="2"/>
  <c r="D2467" i="2"/>
  <c r="F2466" i="2"/>
  <c r="E2466" i="2"/>
  <c r="D2466" i="2"/>
  <c r="F2465" i="2"/>
  <c r="E2465" i="2"/>
  <c r="D2465" i="2"/>
  <c r="F2464" i="2"/>
  <c r="E2464" i="2"/>
  <c r="D2464" i="2"/>
  <c r="F2463" i="2"/>
  <c r="E2463" i="2"/>
  <c r="D2463" i="2"/>
  <c r="F2462" i="2"/>
  <c r="E2462" i="2"/>
  <c r="D2462" i="2"/>
  <c r="F5929" i="2"/>
  <c r="E5929" i="2"/>
  <c r="D5929" i="2"/>
  <c r="F5928" i="2"/>
  <c r="E5928" i="2"/>
  <c r="D5928" i="2"/>
  <c r="F5927" i="2"/>
  <c r="E5927" i="2"/>
  <c r="D5927" i="2"/>
  <c r="F5926" i="2"/>
  <c r="E5926" i="2"/>
  <c r="D5926" i="2"/>
  <c r="F5925" i="2"/>
  <c r="E5925" i="2"/>
  <c r="D5925" i="2"/>
  <c r="F5924" i="2"/>
  <c r="E5924" i="2"/>
  <c r="D5924" i="2"/>
  <c r="F5923" i="2"/>
  <c r="E5923" i="2"/>
  <c r="D5923" i="2"/>
  <c r="F5922" i="2"/>
  <c r="E5922" i="2"/>
  <c r="D5922" i="2"/>
  <c r="F5921" i="2"/>
  <c r="E5921" i="2"/>
  <c r="D5921" i="2"/>
  <c r="F5920" i="2"/>
  <c r="E5920" i="2"/>
  <c r="D5920" i="2"/>
  <c r="F5919" i="2"/>
  <c r="E5919" i="2"/>
  <c r="D5919" i="2"/>
  <c r="F5918" i="2"/>
  <c r="E5918" i="2"/>
  <c r="D5918" i="2"/>
  <c r="F5917" i="2"/>
  <c r="E5917" i="2"/>
  <c r="D5917" i="2"/>
  <c r="F5916" i="2"/>
  <c r="E5916" i="2"/>
  <c r="D5916" i="2"/>
  <c r="F5915" i="2"/>
  <c r="E5915" i="2"/>
  <c r="D5915" i="2"/>
  <c r="F5914" i="2"/>
  <c r="E5914" i="2"/>
  <c r="D5914" i="2"/>
  <c r="F5913" i="2"/>
  <c r="E5913" i="2"/>
  <c r="D5913" i="2"/>
  <c r="F5912" i="2"/>
  <c r="E5912" i="2"/>
  <c r="D5912" i="2"/>
  <c r="F5911" i="2"/>
  <c r="E5911" i="2"/>
  <c r="D5911" i="2"/>
  <c r="F5910" i="2"/>
  <c r="E5910" i="2"/>
  <c r="D5910" i="2"/>
  <c r="F5909" i="2"/>
  <c r="E5909" i="2"/>
  <c r="D5909" i="2"/>
  <c r="F5908" i="2"/>
  <c r="E5908" i="2"/>
  <c r="D5908" i="2"/>
  <c r="F5907" i="2"/>
  <c r="E5907" i="2"/>
  <c r="D5907" i="2"/>
  <c r="F5906" i="2"/>
  <c r="E5906" i="2"/>
  <c r="D5906" i="2"/>
  <c r="F5905" i="2"/>
  <c r="E5905" i="2"/>
  <c r="D5905" i="2"/>
  <c r="F5904" i="2"/>
  <c r="E5904" i="2"/>
  <c r="D5904" i="2"/>
  <c r="F5903" i="2"/>
  <c r="E5903" i="2"/>
  <c r="D5903" i="2"/>
  <c r="F5901" i="2"/>
  <c r="E5901" i="2"/>
  <c r="D5901" i="2"/>
  <c r="F5902" i="2"/>
  <c r="E5902" i="2"/>
  <c r="D5902" i="2"/>
  <c r="F5900" i="2"/>
  <c r="E5900" i="2"/>
  <c r="D5900" i="2"/>
  <c r="F5899" i="2"/>
  <c r="E5899" i="2"/>
  <c r="D5899" i="2"/>
  <c r="F5898" i="2"/>
  <c r="E5898" i="2"/>
  <c r="D5898" i="2"/>
  <c r="F5897" i="2"/>
  <c r="E5897" i="2"/>
  <c r="D5897" i="2"/>
  <c r="F5896" i="2"/>
  <c r="E5896" i="2"/>
  <c r="D5896" i="2"/>
  <c r="F5895" i="2"/>
  <c r="E5895" i="2"/>
  <c r="D5895" i="2"/>
  <c r="F5894" i="2"/>
  <c r="E5894" i="2"/>
  <c r="D5894" i="2"/>
  <c r="F5893" i="2"/>
  <c r="E5893" i="2"/>
  <c r="D5893" i="2"/>
  <c r="F5891" i="2"/>
  <c r="E5891" i="2"/>
  <c r="D5891" i="2"/>
  <c r="F5892" i="2"/>
  <c r="E5892" i="2"/>
  <c r="D5892" i="2"/>
  <c r="F12456" i="2"/>
  <c r="E12456" i="2"/>
  <c r="D12456" i="2"/>
  <c r="F12455" i="2"/>
  <c r="E12455" i="2"/>
  <c r="D12455" i="2"/>
  <c r="F12454" i="2"/>
  <c r="E12454" i="2"/>
  <c r="D12454" i="2"/>
  <c r="F12452" i="2"/>
  <c r="E12452" i="2"/>
  <c r="D12452" i="2"/>
  <c r="F12453" i="2"/>
  <c r="E12453" i="2"/>
  <c r="D12453" i="2"/>
  <c r="F12451" i="2"/>
  <c r="E12451" i="2"/>
  <c r="D12451" i="2"/>
  <c r="F12450" i="2"/>
  <c r="E12450" i="2"/>
  <c r="D12450" i="2"/>
  <c r="F12449" i="2"/>
  <c r="E12449" i="2"/>
  <c r="D12449" i="2"/>
  <c r="F12448" i="2"/>
  <c r="E12448" i="2"/>
  <c r="D12448" i="2"/>
  <c r="F12447" i="2"/>
  <c r="E12447" i="2"/>
  <c r="D12447" i="2"/>
  <c r="F14425" i="2"/>
  <c r="E14425" i="2"/>
  <c r="D14425" i="2"/>
  <c r="F14424" i="2"/>
  <c r="E14424" i="2"/>
  <c r="D14424" i="2"/>
  <c r="F14423" i="2"/>
  <c r="E14423" i="2"/>
  <c r="D14423" i="2"/>
  <c r="F14422" i="2"/>
  <c r="E14422" i="2"/>
  <c r="D14422" i="2"/>
  <c r="F14421" i="2"/>
  <c r="E14421" i="2"/>
  <c r="D14421" i="2"/>
  <c r="F14420" i="2"/>
  <c r="E14420" i="2"/>
  <c r="D14420" i="2"/>
  <c r="F14419" i="2"/>
  <c r="E14419" i="2"/>
  <c r="D14419" i="2"/>
  <c r="F14418" i="2"/>
  <c r="E14418" i="2"/>
  <c r="D14418" i="2"/>
  <c r="F14416" i="2"/>
  <c r="E14416" i="2"/>
  <c r="D14416" i="2"/>
  <c r="F14417" i="2"/>
  <c r="E14417" i="2"/>
  <c r="D14417" i="2"/>
  <c r="F14415" i="2"/>
  <c r="E14415" i="2"/>
  <c r="D14415" i="2"/>
  <c r="F14414" i="2"/>
  <c r="E14414" i="2"/>
  <c r="D14414" i="2"/>
  <c r="F14413" i="2"/>
  <c r="E14413" i="2"/>
  <c r="D14413" i="2"/>
  <c r="F14412" i="2"/>
  <c r="E14412" i="2"/>
  <c r="D14412" i="2"/>
  <c r="F14411" i="2"/>
  <c r="E14411" i="2"/>
  <c r="D14411" i="2"/>
  <c r="F14410" i="2"/>
  <c r="E14410" i="2"/>
  <c r="D14410" i="2"/>
  <c r="F14409" i="2"/>
  <c r="E14409" i="2"/>
  <c r="D14409" i="2"/>
  <c r="F14408" i="2"/>
  <c r="E14408" i="2"/>
  <c r="D14408" i="2"/>
  <c r="F4278" i="2"/>
  <c r="E4278" i="2"/>
  <c r="D4278" i="2"/>
  <c r="F4277" i="2"/>
  <c r="E4277" i="2"/>
  <c r="D4277" i="2"/>
  <c r="F4276" i="2"/>
  <c r="E4276" i="2"/>
  <c r="D4276" i="2"/>
  <c r="F4275" i="2"/>
  <c r="E4275" i="2"/>
  <c r="D4275" i="2"/>
  <c r="F4274" i="2"/>
  <c r="E4274" i="2"/>
  <c r="D4274" i="2"/>
  <c r="F4273" i="2"/>
  <c r="E4273" i="2"/>
  <c r="D4273" i="2"/>
  <c r="F4272" i="2"/>
  <c r="E4272" i="2"/>
  <c r="D4272" i="2"/>
  <c r="F4271" i="2"/>
  <c r="E4271" i="2"/>
  <c r="D4271" i="2"/>
  <c r="F4270" i="2"/>
  <c r="E4270" i="2"/>
  <c r="D4270" i="2"/>
  <c r="F4269" i="2"/>
  <c r="E4269" i="2"/>
  <c r="D4269" i="2"/>
  <c r="F4268" i="2"/>
  <c r="E4268" i="2"/>
  <c r="D4268" i="2"/>
  <c r="F4267" i="2"/>
  <c r="E4267" i="2"/>
  <c r="D4267" i="2"/>
  <c r="F4266" i="2"/>
  <c r="E4266" i="2"/>
  <c r="D4266" i="2"/>
  <c r="F4349" i="2"/>
  <c r="E4349" i="2"/>
  <c r="D4349" i="2"/>
  <c r="F4348" i="2"/>
  <c r="E4348" i="2"/>
  <c r="D4348" i="2"/>
  <c r="F4347" i="2"/>
  <c r="E4347" i="2"/>
  <c r="D4347" i="2"/>
  <c r="F4346" i="2"/>
  <c r="E4346" i="2"/>
  <c r="D4346" i="2"/>
  <c r="F4345" i="2"/>
  <c r="E4345" i="2"/>
  <c r="D4345" i="2"/>
  <c r="F4344" i="2"/>
  <c r="E4344" i="2"/>
  <c r="D4344" i="2"/>
  <c r="F4343" i="2"/>
  <c r="E4343" i="2"/>
  <c r="D4343" i="2"/>
  <c r="F4342" i="2"/>
  <c r="E4342" i="2"/>
  <c r="D4342" i="2"/>
  <c r="F4341" i="2"/>
  <c r="E4341" i="2"/>
  <c r="D4341" i="2"/>
  <c r="F4340" i="2"/>
  <c r="E4340" i="2"/>
  <c r="D4340" i="2"/>
  <c r="F4339" i="2"/>
  <c r="E4339" i="2"/>
  <c r="D4339" i="2"/>
  <c r="F4338" i="2"/>
  <c r="E4338" i="2"/>
  <c r="D4338" i="2"/>
  <c r="F4337" i="2"/>
  <c r="E4337" i="2"/>
  <c r="D4337" i="2"/>
  <c r="F4336" i="2"/>
  <c r="E4336" i="2"/>
  <c r="D4336" i="2"/>
  <c r="F4335" i="2"/>
  <c r="E4335" i="2"/>
  <c r="D4335" i="2"/>
  <c r="F4334" i="2"/>
  <c r="E4334" i="2"/>
  <c r="D4334" i="2"/>
  <c r="F4333" i="2"/>
  <c r="E4333" i="2"/>
  <c r="D4333" i="2"/>
  <c r="F4332" i="2"/>
  <c r="E4332" i="2"/>
  <c r="D4332" i="2"/>
  <c r="F4331" i="2"/>
  <c r="E4331" i="2"/>
  <c r="D4331" i="2"/>
  <c r="F4330" i="2"/>
  <c r="E4330" i="2"/>
  <c r="D4330" i="2"/>
  <c r="F4329" i="2"/>
  <c r="E4329" i="2"/>
  <c r="D4329" i="2"/>
  <c r="F4328" i="2"/>
  <c r="E4328" i="2"/>
  <c r="D4328" i="2"/>
  <c r="F4327" i="2"/>
  <c r="E4327" i="2"/>
  <c r="D4327" i="2"/>
  <c r="F4326" i="2"/>
  <c r="E4326" i="2"/>
  <c r="D4326" i="2"/>
  <c r="F4325" i="2"/>
  <c r="E4325" i="2"/>
  <c r="D4325" i="2"/>
  <c r="F4324" i="2"/>
  <c r="E4324" i="2"/>
  <c r="D4324" i="2"/>
  <c r="F4323" i="2"/>
  <c r="E4323" i="2"/>
  <c r="D4323" i="2"/>
  <c r="F4322" i="2"/>
  <c r="E4322" i="2"/>
  <c r="D4322" i="2"/>
  <c r="F4321" i="2"/>
  <c r="E4321" i="2"/>
  <c r="D4321" i="2"/>
  <c r="F4320" i="2"/>
  <c r="E4320" i="2"/>
  <c r="D4320" i="2"/>
  <c r="F4319" i="2"/>
  <c r="E4319" i="2"/>
  <c r="D4319" i="2"/>
  <c r="F4318" i="2"/>
  <c r="E4318" i="2"/>
  <c r="D4318" i="2"/>
  <c r="F4317" i="2"/>
  <c r="E4317" i="2"/>
  <c r="D4317" i="2"/>
  <c r="F4316" i="2"/>
  <c r="E4316" i="2"/>
  <c r="D4316" i="2"/>
  <c r="F4315" i="2"/>
  <c r="E4315" i="2"/>
  <c r="D4315" i="2"/>
  <c r="F4314" i="2"/>
  <c r="E4314" i="2"/>
  <c r="D4314" i="2"/>
  <c r="F4313" i="2"/>
  <c r="E4313" i="2"/>
  <c r="D4313" i="2"/>
  <c r="F4312" i="2"/>
  <c r="E4312" i="2"/>
  <c r="D4312" i="2"/>
  <c r="F4311" i="2"/>
  <c r="E4311" i="2"/>
  <c r="D4311" i="2"/>
  <c r="F4310" i="2"/>
  <c r="E4310" i="2"/>
  <c r="D4310" i="2"/>
  <c r="F4309" i="2"/>
  <c r="E4309" i="2"/>
  <c r="D4309" i="2"/>
  <c r="F4308" i="2"/>
  <c r="E4308" i="2"/>
  <c r="D4308" i="2"/>
  <c r="F4307" i="2"/>
  <c r="E4307" i="2"/>
  <c r="D4307" i="2"/>
  <c r="F4306" i="2"/>
  <c r="E4306" i="2"/>
  <c r="D4306" i="2"/>
  <c r="F4305" i="2"/>
  <c r="E4305" i="2"/>
  <c r="D4305" i="2"/>
  <c r="F4304" i="2"/>
  <c r="E4304" i="2"/>
  <c r="D4304" i="2"/>
  <c r="F4303" i="2"/>
  <c r="E4303" i="2"/>
  <c r="D4303" i="2"/>
  <c r="F4302" i="2"/>
  <c r="E4302" i="2"/>
  <c r="D4302" i="2"/>
  <c r="F4301" i="2"/>
  <c r="E4301" i="2"/>
  <c r="D4301" i="2"/>
  <c r="F4300" i="2"/>
  <c r="E4300" i="2"/>
  <c r="D4300" i="2"/>
  <c r="F4299" i="2"/>
  <c r="E4299" i="2"/>
  <c r="D4299" i="2"/>
  <c r="F4298" i="2"/>
  <c r="E4298" i="2"/>
  <c r="D4298" i="2"/>
  <c r="F4297" i="2"/>
  <c r="E4297" i="2"/>
  <c r="D4297" i="2"/>
  <c r="F4296" i="2"/>
  <c r="E4296" i="2"/>
  <c r="D4296" i="2"/>
  <c r="F4295" i="2"/>
  <c r="E4295" i="2"/>
  <c r="D4295" i="2"/>
  <c r="F4293" i="2"/>
  <c r="E4293" i="2"/>
  <c r="D4293" i="2"/>
  <c r="F4294" i="2"/>
  <c r="E4294" i="2"/>
  <c r="D4294" i="2"/>
  <c r="F4292" i="2"/>
  <c r="E4292" i="2"/>
  <c r="D4292" i="2"/>
  <c r="F4291" i="2"/>
  <c r="E4291" i="2"/>
  <c r="D4291" i="2"/>
  <c r="F4290" i="2"/>
  <c r="E4290" i="2"/>
  <c r="D4290" i="2"/>
  <c r="F2505" i="2"/>
  <c r="E2505" i="2"/>
  <c r="D2505" i="2"/>
  <c r="F2504" i="2"/>
  <c r="E2504" i="2"/>
  <c r="D2504" i="2"/>
  <c r="F2503" i="2"/>
  <c r="E2503" i="2"/>
  <c r="D2503" i="2"/>
  <c r="F2502" i="2"/>
  <c r="E2502" i="2"/>
  <c r="D2502" i="2"/>
  <c r="F2501" i="2"/>
  <c r="E2501" i="2"/>
  <c r="D2501" i="2"/>
  <c r="F2500" i="2"/>
  <c r="E2500" i="2"/>
  <c r="D2500" i="2"/>
  <c r="F2499" i="2"/>
  <c r="E2499" i="2"/>
  <c r="D2499" i="2"/>
  <c r="F2498" i="2"/>
  <c r="E2498" i="2"/>
  <c r="D2498" i="2"/>
  <c r="F2497" i="2"/>
  <c r="E2497" i="2"/>
  <c r="D2497" i="2"/>
  <c r="F2496" i="2"/>
  <c r="E2496" i="2"/>
  <c r="D2496" i="2"/>
  <c r="F2495" i="2"/>
  <c r="E2495" i="2"/>
  <c r="D2495" i="2"/>
  <c r="F2494" i="2"/>
  <c r="E2494" i="2"/>
  <c r="D2494" i="2"/>
  <c r="F2493" i="2"/>
  <c r="E2493" i="2"/>
  <c r="D2493" i="2"/>
  <c r="F2492" i="2"/>
  <c r="E2492" i="2"/>
  <c r="D2492" i="2"/>
  <c r="F2491" i="2"/>
  <c r="E2491" i="2"/>
  <c r="D2491" i="2"/>
  <c r="F2490" i="2"/>
  <c r="E2490" i="2"/>
  <c r="D2490" i="2"/>
  <c r="F2489" i="2"/>
  <c r="E2489" i="2"/>
  <c r="D2489" i="2"/>
  <c r="F2488" i="2"/>
  <c r="E2488" i="2"/>
  <c r="D2488" i="2"/>
  <c r="F2487" i="2"/>
  <c r="E2487" i="2"/>
  <c r="D2487" i="2"/>
  <c r="F2486" i="2"/>
  <c r="E2486" i="2"/>
  <c r="D2486" i="2"/>
  <c r="F2485" i="2"/>
  <c r="E2485" i="2"/>
  <c r="D2485" i="2"/>
  <c r="F2484" i="2"/>
  <c r="E2484" i="2"/>
  <c r="D2484" i="2"/>
  <c r="F2483" i="2"/>
  <c r="E2483" i="2"/>
  <c r="D2483" i="2"/>
  <c r="F2482" i="2"/>
  <c r="E2482" i="2"/>
  <c r="D2482" i="2"/>
  <c r="F2481" i="2"/>
  <c r="E2481" i="2"/>
  <c r="D2481" i="2"/>
  <c r="F2480" i="2"/>
  <c r="E2480" i="2"/>
  <c r="D2480" i="2"/>
  <c r="F2479" i="2"/>
  <c r="E2479" i="2"/>
  <c r="D2479" i="2"/>
  <c r="F2478" i="2"/>
  <c r="E2478" i="2"/>
  <c r="D2478" i="2"/>
  <c r="F4510" i="2"/>
  <c r="E4510" i="2"/>
  <c r="D4510" i="2"/>
  <c r="F4509" i="2"/>
  <c r="E4509" i="2"/>
  <c r="D4509" i="2"/>
  <c r="F4508" i="2"/>
  <c r="E4508" i="2"/>
  <c r="D4508" i="2"/>
  <c r="F4507" i="2"/>
  <c r="E4507" i="2"/>
  <c r="D4507" i="2"/>
  <c r="F4506" i="2"/>
  <c r="E4506" i="2"/>
  <c r="D4506" i="2"/>
  <c r="F4505" i="2"/>
  <c r="E4505" i="2"/>
  <c r="D4505" i="2"/>
  <c r="F4504" i="2"/>
  <c r="E4504" i="2"/>
  <c r="D4504" i="2"/>
  <c r="F4503" i="2"/>
  <c r="E4503" i="2"/>
  <c r="D4503" i="2"/>
  <c r="F4502" i="2"/>
  <c r="E4502" i="2"/>
  <c r="D4502" i="2"/>
  <c r="F4501" i="2"/>
  <c r="E4501" i="2"/>
  <c r="D4501" i="2"/>
  <c r="F4500" i="2"/>
  <c r="E4500" i="2"/>
  <c r="D4500" i="2"/>
  <c r="F4498" i="2"/>
  <c r="E4498" i="2"/>
  <c r="D4498" i="2"/>
  <c r="F4499" i="2"/>
  <c r="E4499" i="2"/>
  <c r="D4499" i="2"/>
  <c r="F4497" i="2"/>
  <c r="E4497" i="2"/>
  <c r="D4497" i="2"/>
  <c r="F4496" i="2"/>
  <c r="E4496" i="2"/>
  <c r="D4496" i="2"/>
  <c r="F4495" i="2"/>
  <c r="E4495" i="2"/>
  <c r="D4495" i="2"/>
  <c r="F4494" i="2"/>
  <c r="E4494" i="2"/>
  <c r="D4494" i="2"/>
  <c r="F4493" i="2"/>
  <c r="E4493" i="2"/>
  <c r="D4493" i="2"/>
  <c r="F4492" i="2"/>
  <c r="E4492" i="2"/>
  <c r="D4492" i="2"/>
  <c r="F4491" i="2"/>
  <c r="E4491" i="2"/>
  <c r="D4491" i="2"/>
  <c r="F8940" i="2"/>
  <c r="E8940" i="2"/>
  <c r="D8940" i="2"/>
  <c r="F8939" i="2"/>
  <c r="E8939" i="2"/>
  <c r="D8939" i="2"/>
  <c r="F8938" i="2"/>
  <c r="E8938" i="2"/>
  <c r="D8938" i="2"/>
  <c r="F8937" i="2"/>
  <c r="E8937" i="2"/>
  <c r="D8937" i="2"/>
  <c r="F8936" i="2"/>
  <c r="E8936" i="2"/>
  <c r="D8936" i="2"/>
  <c r="F8935" i="2"/>
  <c r="E8935" i="2"/>
  <c r="D8935" i="2"/>
  <c r="F8934" i="2"/>
  <c r="E8934" i="2"/>
  <c r="D8934" i="2"/>
  <c r="F8933" i="2"/>
  <c r="E8933" i="2"/>
  <c r="D8933" i="2"/>
  <c r="F8932" i="2"/>
  <c r="E8932" i="2"/>
  <c r="D8932" i="2"/>
  <c r="F8931" i="2"/>
  <c r="E8931" i="2"/>
  <c r="D8931" i="2"/>
  <c r="F8930" i="2"/>
  <c r="E8930" i="2"/>
  <c r="D8930" i="2"/>
  <c r="F8929" i="2"/>
  <c r="E8929" i="2"/>
  <c r="D8929" i="2"/>
  <c r="F8928" i="2"/>
  <c r="E8928" i="2"/>
  <c r="D8928" i="2"/>
  <c r="F8927" i="2"/>
  <c r="E8927" i="2"/>
  <c r="D8927" i="2"/>
  <c r="F8926" i="2"/>
  <c r="E8926" i="2"/>
  <c r="D8926" i="2"/>
  <c r="F8925" i="2"/>
  <c r="E8925" i="2"/>
  <c r="D8925" i="2"/>
  <c r="F8924" i="2"/>
  <c r="E8924" i="2"/>
  <c r="D8924" i="2"/>
  <c r="F2514" i="2"/>
  <c r="E2514" i="2"/>
  <c r="D2514" i="2"/>
  <c r="F2530" i="2"/>
  <c r="E2530" i="2"/>
  <c r="D2530" i="2"/>
  <c r="F2529" i="2"/>
  <c r="E2529" i="2"/>
  <c r="D2529" i="2"/>
  <c r="F2528" i="2"/>
  <c r="E2528" i="2"/>
  <c r="D2528" i="2"/>
  <c r="F2527" i="2"/>
  <c r="E2527" i="2"/>
  <c r="D2527" i="2"/>
  <c r="F2526" i="2"/>
  <c r="E2526" i="2"/>
  <c r="D2526" i="2"/>
  <c r="F2525" i="2"/>
  <c r="E2525" i="2"/>
  <c r="D2525" i="2"/>
  <c r="F2524" i="2"/>
  <c r="E2524" i="2"/>
  <c r="D2524" i="2"/>
  <c r="F2523" i="2"/>
  <c r="E2523" i="2"/>
  <c r="D2523" i="2"/>
  <c r="F2522" i="2"/>
  <c r="E2522" i="2"/>
  <c r="D2522" i="2"/>
  <c r="F2520" i="2"/>
  <c r="E2520" i="2"/>
  <c r="D2520" i="2"/>
  <c r="F2521" i="2"/>
  <c r="E2521" i="2"/>
  <c r="D2521" i="2"/>
  <c r="F2519" i="2"/>
  <c r="E2519" i="2"/>
  <c r="D2519" i="2"/>
  <c r="F2518" i="2"/>
  <c r="E2518" i="2"/>
  <c r="D2518" i="2"/>
  <c r="F2517" i="2"/>
  <c r="E2517" i="2"/>
  <c r="D2517" i="2"/>
  <c r="F2516" i="2"/>
  <c r="E2516" i="2"/>
  <c r="D2516" i="2"/>
  <c r="F2515" i="2"/>
  <c r="E2515" i="2"/>
  <c r="D2515" i="2"/>
  <c r="F2506" i="2"/>
  <c r="E2506" i="2"/>
  <c r="D2506" i="2"/>
  <c r="F2513" i="2"/>
  <c r="E2513" i="2"/>
  <c r="D2513" i="2"/>
  <c r="F2512" i="2"/>
  <c r="E2512" i="2"/>
  <c r="D2512" i="2"/>
  <c r="F2511" i="2"/>
  <c r="E2511" i="2"/>
  <c r="D2511" i="2"/>
  <c r="F2510" i="2"/>
  <c r="E2510" i="2"/>
  <c r="D2510" i="2"/>
  <c r="F2509" i="2"/>
  <c r="E2509" i="2"/>
  <c r="D2509" i="2"/>
  <c r="F2508" i="2"/>
  <c r="E2508" i="2"/>
  <c r="D2508" i="2"/>
  <c r="F2507" i="2"/>
  <c r="E2507" i="2"/>
  <c r="D2507" i="2"/>
  <c r="F232" i="2"/>
  <c r="E232" i="2"/>
  <c r="D232" i="2"/>
  <c r="F231" i="2"/>
  <c r="E231" i="2"/>
  <c r="D231" i="2"/>
  <c r="F230" i="2"/>
  <c r="E230" i="2"/>
  <c r="D230" i="2"/>
  <c r="F229" i="2"/>
  <c r="E229" i="2"/>
  <c r="D229" i="2"/>
  <c r="F228" i="2"/>
  <c r="E228" i="2"/>
  <c r="D228" i="2"/>
  <c r="F227" i="2"/>
  <c r="E227" i="2"/>
  <c r="D227" i="2"/>
  <c r="F226" i="2"/>
  <c r="E226" i="2"/>
  <c r="D226" i="2"/>
  <c r="F225" i="2"/>
  <c r="E225" i="2"/>
  <c r="D225" i="2"/>
  <c r="F224" i="2"/>
  <c r="E224" i="2"/>
  <c r="D224" i="2"/>
  <c r="F223" i="2"/>
  <c r="E223" i="2"/>
  <c r="D223" i="2"/>
  <c r="F222" i="2"/>
  <c r="E222" i="2"/>
  <c r="D222" i="2"/>
  <c r="F221" i="2"/>
  <c r="E221" i="2"/>
  <c r="D221" i="2"/>
  <c r="F220" i="2"/>
  <c r="E220" i="2"/>
  <c r="D220" i="2"/>
  <c r="F219" i="2"/>
  <c r="E219" i="2"/>
  <c r="D219" i="2"/>
  <c r="F218" i="2"/>
  <c r="E218" i="2"/>
  <c r="D218" i="2"/>
  <c r="F217" i="2"/>
  <c r="E217" i="2"/>
  <c r="D217" i="2"/>
  <c r="F216" i="2"/>
  <c r="E216" i="2"/>
  <c r="D216" i="2"/>
  <c r="F215" i="2"/>
  <c r="E215" i="2"/>
  <c r="D215" i="2"/>
  <c r="F214" i="2"/>
  <c r="E214" i="2"/>
  <c r="D214" i="2"/>
  <c r="F213" i="2"/>
  <c r="E213" i="2"/>
  <c r="D213" i="2"/>
  <c r="F212" i="2"/>
  <c r="E212" i="2"/>
  <c r="D212" i="2"/>
  <c r="F211" i="2"/>
  <c r="E211" i="2"/>
  <c r="D211" i="2"/>
  <c r="F210" i="2"/>
  <c r="E210" i="2"/>
  <c r="D210" i="2"/>
  <c r="F209" i="2"/>
  <c r="E209" i="2"/>
  <c r="D209" i="2"/>
  <c r="F208" i="2"/>
  <c r="E208" i="2"/>
  <c r="D208" i="2"/>
  <c r="F207" i="2"/>
  <c r="E207" i="2"/>
  <c r="D207" i="2"/>
  <c r="F206" i="2"/>
  <c r="E206" i="2"/>
  <c r="D206" i="2"/>
  <c r="F205" i="2"/>
  <c r="E205" i="2"/>
  <c r="D205" i="2"/>
  <c r="F204" i="2"/>
  <c r="E204" i="2"/>
  <c r="D204" i="2"/>
  <c r="F203" i="2"/>
  <c r="E203" i="2"/>
  <c r="D203" i="2"/>
  <c r="F202" i="2"/>
  <c r="E202" i="2"/>
  <c r="D202" i="2"/>
  <c r="F201" i="2"/>
  <c r="E201" i="2"/>
  <c r="D201" i="2"/>
  <c r="F200" i="2"/>
  <c r="E200" i="2"/>
  <c r="D200" i="2"/>
  <c r="F199" i="2"/>
  <c r="E199" i="2"/>
  <c r="D199" i="2"/>
  <c r="F198" i="2"/>
  <c r="E198" i="2"/>
  <c r="D198" i="2"/>
  <c r="F197" i="2"/>
  <c r="E197" i="2"/>
  <c r="D197" i="2"/>
  <c r="F196" i="2"/>
  <c r="E196" i="2"/>
  <c r="D196" i="2"/>
  <c r="F195" i="2"/>
  <c r="E195" i="2"/>
  <c r="D195" i="2"/>
  <c r="F194" i="2"/>
  <c r="E194" i="2"/>
  <c r="D194" i="2"/>
  <c r="F193" i="2"/>
  <c r="E193" i="2"/>
  <c r="D193" i="2"/>
  <c r="F192" i="2"/>
  <c r="E192" i="2"/>
  <c r="D192" i="2"/>
  <c r="F191" i="2"/>
  <c r="E191" i="2"/>
  <c r="D191" i="2"/>
  <c r="F190" i="2"/>
  <c r="E190" i="2"/>
  <c r="D190" i="2"/>
  <c r="F189" i="2"/>
  <c r="E189" i="2"/>
  <c r="D189" i="2"/>
  <c r="F16304" i="2"/>
  <c r="E16304" i="2"/>
  <c r="D16304" i="2"/>
  <c r="F16303" i="2"/>
  <c r="E16303" i="2"/>
  <c r="D16303" i="2"/>
  <c r="F16302" i="2"/>
  <c r="E16302" i="2"/>
  <c r="D16302" i="2"/>
  <c r="F16301" i="2"/>
  <c r="E16301" i="2"/>
  <c r="D16301" i="2"/>
  <c r="F16300" i="2"/>
  <c r="E16300" i="2"/>
  <c r="D16300" i="2"/>
  <c r="F16299" i="2"/>
  <c r="E16299" i="2"/>
  <c r="D16299" i="2"/>
  <c r="F16298" i="2"/>
  <c r="E16298" i="2"/>
  <c r="D16298" i="2"/>
  <c r="F16297" i="2"/>
  <c r="E16297" i="2"/>
  <c r="D16297" i="2"/>
  <c r="F16296" i="2"/>
  <c r="E16296" i="2"/>
  <c r="D16296" i="2"/>
  <c r="F16295" i="2"/>
  <c r="E16295" i="2"/>
  <c r="D16295" i="2"/>
  <c r="F16294" i="2"/>
  <c r="E16294" i="2"/>
  <c r="D16294" i="2"/>
  <c r="F16293" i="2"/>
  <c r="E16293" i="2"/>
  <c r="D16293" i="2"/>
  <c r="F16292" i="2"/>
  <c r="E16292" i="2"/>
  <c r="D16292" i="2"/>
  <c r="F16291" i="2"/>
  <c r="E16291" i="2"/>
  <c r="D16291" i="2"/>
  <c r="F16290" i="2"/>
  <c r="E16290" i="2"/>
  <c r="D16290" i="2"/>
  <c r="F16289" i="2"/>
  <c r="E16289" i="2"/>
  <c r="D16289" i="2"/>
  <c r="F16288" i="2"/>
  <c r="E16288" i="2"/>
  <c r="D16288" i="2"/>
  <c r="F16287" i="2"/>
  <c r="E16287" i="2"/>
  <c r="D16287" i="2"/>
  <c r="F16286" i="2"/>
  <c r="E16286" i="2"/>
  <c r="D16286" i="2"/>
  <c r="F269" i="2"/>
  <c r="E269" i="2"/>
  <c r="D269" i="2"/>
  <c r="F268" i="2"/>
  <c r="E268" i="2"/>
  <c r="D268" i="2"/>
  <c r="F267" i="2"/>
  <c r="E267" i="2"/>
  <c r="D267" i="2"/>
  <c r="F266" i="2"/>
  <c r="E266" i="2"/>
  <c r="D266" i="2"/>
  <c r="F265" i="2"/>
  <c r="E265" i="2"/>
  <c r="D265" i="2"/>
  <c r="F264" i="2"/>
  <c r="E264" i="2"/>
  <c r="D264" i="2"/>
  <c r="F263" i="2"/>
  <c r="E263" i="2"/>
  <c r="D263" i="2"/>
  <c r="F262" i="2"/>
  <c r="E262" i="2"/>
  <c r="D262" i="2"/>
  <c r="F261" i="2"/>
  <c r="E261" i="2"/>
  <c r="D261" i="2"/>
  <c r="F260" i="2"/>
  <c r="E260" i="2"/>
  <c r="D260" i="2"/>
  <c r="F259" i="2"/>
  <c r="E259" i="2"/>
  <c r="D259" i="2"/>
  <c r="F258" i="2"/>
  <c r="E258" i="2"/>
  <c r="D258" i="2"/>
  <c r="F257" i="2"/>
  <c r="E257" i="2"/>
  <c r="D257" i="2"/>
  <c r="F256" i="2"/>
  <c r="E256" i="2"/>
  <c r="D256" i="2"/>
  <c r="F255" i="2"/>
  <c r="E255" i="2"/>
  <c r="D255" i="2"/>
  <c r="F254" i="2"/>
  <c r="E254" i="2"/>
  <c r="D254" i="2"/>
  <c r="F253" i="2"/>
  <c r="E253" i="2"/>
  <c r="D253" i="2"/>
  <c r="F252" i="2"/>
  <c r="E252" i="2"/>
  <c r="D252" i="2"/>
  <c r="F251" i="2"/>
  <c r="E251" i="2"/>
  <c r="D251" i="2"/>
  <c r="F250" i="2"/>
  <c r="E250" i="2"/>
  <c r="D250" i="2"/>
  <c r="F8923" i="2"/>
  <c r="E8923" i="2"/>
  <c r="D8923" i="2"/>
  <c r="F8922" i="2"/>
  <c r="E8922" i="2"/>
  <c r="D8922" i="2"/>
  <c r="F8921" i="2"/>
  <c r="E8921" i="2"/>
  <c r="D8921" i="2"/>
  <c r="F8920" i="2"/>
  <c r="E8920" i="2"/>
  <c r="D8920" i="2"/>
  <c r="F8919" i="2"/>
  <c r="E8919" i="2"/>
  <c r="D8919" i="2"/>
  <c r="F8918" i="2"/>
  <c r="E8918" i="2"/>
  <c r="D8918" i="2"/>
  <c r="F11188" i="2"/>
  <c r="E11188" i="2"/>
  <c r="D11188" i="2"/>
  <c r="F11207" i="2"/>
  <c r="E11207" i="2"/>
  <c r="D11207" i="2"/>
  <c r="F11206" i="2"/>
  <c r="E11206" i="2"/>
  <c r="D11206" i="2"/>
  <c r="F11205" i="2"/>
  <c r="E11205" i="2"/>
  <c r="D11205" i="2"/>
  <c r="F11204" i="2"/>
  <c r="E11204" i="2"/>
  <c r="D11204" i="2"/>
  <c r="F11203" i="2"/>
  <c r="E11203" i="2"/>
  <c r="D11203" i="2"/>
  <c r="F11202" i="2"/>
  <c r="E11202" i="2"/>
  <c r="D11202" i="2"/>
  <c r="F11201" i="2"/>
  <c r="E11201" i="2"/>
  <c r="D11201" i="2"/>
  <c r="F11200" i="2"/>
  <c r="E11200" i="2"/>
  <c r="D11200" i="2"/>
  <c r="F11199" i="2"/>
  <c r="E11199" i="2"/>
  <c r="D11199" i="2"/>
  <c r="F11198" i="2"/>
  <c r="E11198" i="2"/>
  <c r="D11198" i="2"/>
  <c r="F11197" i="2"/>
  <c r="E11197" i="2"/>
  <c r="D11197" i="2"/>
  <c r="F11196" i="2"/>
  <c r="E11196" i="2"/>
  <c r="D11196" i="2"/>
  <c r="F11195" i="2"/>
  <c r="E11195" i="2"/>
  <c r="D11195" i="2"/>
  <c r="F11194" i="2"/>
  <c r="E11194" i="2"/>
  <c r="D11194" i="2"/>
  <c r="F11193" i="2"/>
  <c r="E11193" i="2"/>
  <c r="D11193" i="2"/>
  <c r="F11192" i="2"/>
  <c r="E11192" i="2"/>
  <c r="D11192" i="2"/>
  <c r="F11191" i="2"/>
  <c r="E11191" i="2"/>
  <c r="D11191" i="2"/>
  <c r="F11189" i="2"/>
  <c r="E11189" i="2"/>
  <c r="D11189" i="2"/>
  <c r="F11190" i="2"/>
  <c r="E11190" i="2"/>
  <c r="D11190" i="2"/>
  <c r="F6360" i="2"/>
  <c r="E6360" i="2"/>
  <c r="D6360" i="2"/>
  <c r="F6359" i="2"/>
  <c r="E6359" i="2"/>
  <c r="D6359" i="2"/>
  <c r="F6358" i="2"/>
  <c r="E6358" i="2"/>
  <c r="D6358" i="2"/>
  <c r="F6357" i="2"/>
  <c r="E6357" i="2"/>
  <c r="D6357" i="2"/>
  <c r="F6356" i="2"/>
  <c r="E6356" i="2"/>
  <c r="D6356" i="2"/>
  <c r="F6355" i="2"/>
  <c r="E6355" i="2"/>
  <c r="D6355" i="2"/>
  <c r="F6354" i="2"/>
  <c r="E6354" i="2"/>
  <c r="D6354" i="2"/>
  <c r="F6353" i="2"/>
  <c r="E6353" i="2"/>
  <c r="D6353" i="2"/>
  <c r="F6352" i="2"/>
  <c r="E6352" i="2"/>
  <c r="D6352" i="2"/>
  <c r="F6351" i="2"/>
  <c r="E6351" i="2"/>
  <c r="D6351" i="2"/>
  <c r="F6350" i="2"/>
  <c r="E6350" i="2"/>
  <c r="D6350" i="2"/>
  <c r="F6349" i="2"/>
  <c r="E6349" i="2"/>
  <c r="D6349" i="2"/>
  <c r="F6348" i="2"/>
  <c r="E6348" i="2"/>
  <c r="D6348" i="2"/>
  <c r="F6347" i="2"/>
  <c r="E6347" i="2"/>
  <c r="D6347" i="2"/>
  <c r="F6346" i="2"/>
  <c r="E6346" i="2"/>
  <c r="D6346" i="2"/>
  <c r="F6345" i="2"/>
  <c r="E6345" i="2"/>
  <c r="D6345" i="2"/>
  <c r="F6344" i="2"/>
  <c r="E6344" i="2"/>
  <c r="D6344" i="2"/>
  <c r="F6343" i="2"/>
  <c r="E6343" i="2"/>
  <c r="D6343" i="2"/>
  <c r="F6342" i="2"/>
  <c r="E6342" i="2"/>
  <c r="D6342" i="2"/>
  <c r="F6341" i="2"/>
  <c r="E6341" i="2"/>
  <c r="D6341" i="2"/>
  <c r="F6340" i="2"/>
  <c r="E6340" i="2"/>
  <c r="D6340" i="2"/>
  <c r="F6339" i="2"/>
  <c r="E6339" i="2"/>
  <c r="D6339" i="2"/>
  <c r="F6338" i="2"/>
  <c r="E6338" i="2"/>
  <c r="D6338" i="2"/>
  <c r="F6337" i="2"/>
  <c r="E6337" i="2"/>
  <c r="D6337" i="2"/>
  <c r="F6336" i="2"/>
  <c r="E6336" i="2"/>
  <c r="D6336" i="2"/>
  <c r="F6335" i="2"/>
  <c r="E6335" i="2"/>
  <c r="D6335" i="2"/>
  <c r="F6334" i="2"/>
  <c r="E6334" i="2"/>
  <c r="D6334" i="2"/>
  <c r="F6333" i="2"/>
  <c r="E6333" i="2"/>
  <c r="D6333" i="2"/>
  <c r="F6332" i="2"/>
  <c r="E6332" i="2"/>
  <c r="D6332" i="2"/>
  <c r="F6331" i="2"/>
  <c r="E6331" i="2"/>
  <c r="D6331" i="2"/>
  <c r="F6330" i="2"/>
  <c r="E6330" i="2"/>
  <c r="D6330" i="2"/>
  <c r="F6328" i="2"/>
  <c r="E6328" i="2"/>
  <c r="D6328" i="2"/>
  <c r="F6329" i="2"/>
  <c r="E6329" i="2"/>
  <c r="D6329" i="2"/>
  <c r="F6327" i="2"/>
  <c r="E6327" i="2"/>
  <c r="D6327" i="2"/>
  <c r="F6326" i="2"/>
  <c r="E6326" i="2"/>
  <c r="D6326" i="2"/>
  <c r="F6325" i="2"/>
  <c r="E6325" i="2"/>
  <c r="D6325" i="2"/>
  <c r="F6324" i="2"/>
  <c r="E6324" i="2"/>
  <c r="D6324" i="2"/>
  <c r="F6323" i="2"/>
  <c r="E6323" i="2"/>
  <c r="D6323" i="2"/>
  <c r="F6322" i="2"/>
  <c r="E6322" i="2"/>
  <c r="D6322" i="2"/>
  <c r="F6321" i="2"/>
  <c r="E6321" i="2"/>
  <c r="D6321" i="2"/>
  <c r="F6320" i="2"/>
  <c r="E6320" i="2"/>
  <c r="D6320" i="2"/>
  <c r="F9564" i="2"/>
  <c r="E9564" i="2"/>
  <c r="D9564" i="2"/>
  <c r="F9563" i="2"/>
  <c r="E9563" i="2"/>
  <c r="D9563" i="2"/>
  <c r="F9562" i="2"/>
  <c r="E9562" i="2"/>
  <c r="D9562" i="2"/>
  <c r="F9560" i="2"/>
  <c r="E9560" i="2"/>
  <c r="D9560" i="2"/>
  <c r="F9561" i="2"/>
  <c r="E9561" i="2"/>
  <c r="D9561" i="2"/>
  <c r="F9559" i="2"/>
  <c r="E9559" i="2"/>
  <c r="D9559" i="2"/>
  <c r="F9558" i="2"/>
  <c r="E9558" i="2"/>
  <c r="D9558" i="2"/>
  <c r="F9557" i="2"/>
  <c r="E9557" i="2"/>
  <c r="D9557" i="2"/>
  <c r="F9556" i="2"/>
  <c r="E9556" i="2"/>
  <c r="D9556" i="2"/>
  <c r="F9555" i="2"/>
  <c r="E9555" i="2"/>
  <c r="D9555" i="2"/>
  <c r="F9554" i="2"/>
  <c r="E9554" i="2"/>
  <c r="D9554" i="2"/>
  <c r="F9553" i="2"/>
  <c r="E9553" i="2"/>
  <c r="D9553" i="2"/>
  <c r="F9551" i="2"/>
  <c r="E9551" i="2"/>
  <c r="D9551" i="2"/>
  <c r="F9552" i="2"/>
  <c r="E9552" i="2"/>
  <c r="D9552" i="2"/>
  <c r="F9550" i="2"/>
  <c r="E9550" i="2"/>
  <c r="D9550" i="2"/>
  <c r="F9549" i="2"/>
  <c r="E9549" i="2"/>
  <c r="D9549" i="2"/>
  <c r="F9548" i="2"/>
  <c r="E9548" i="2"/>
  <c r="D9548" i="2"/>
  <c r="F9547" i="2"/>
  <c r="E9547" i="2"/>
  <c r="D9547" i="2"/>
  <c r="F9546" i="2"/>
  <c r="E9546" i="2"/>
  <c r="D9546" i="2"/>
  <c r="F9545" i="2"/>
  <c r="E9545" i="2"/>
  <c r="D9545" i="2"/>
  <c r="F9544" i="2"/>
  <c r="E9544" i="2"/>
  <c r="D9544" i="2"/>
  <c r="F9543" i="2"/>
  <c r="E9543" i="2"/>
  <c r="D9543" i="2"/>
  <c r="F9542" i="2"/>
  <c r="E9542" i="2"/>
  <c r="D9542" i="2"/>
  <c r="F9541" i="2"/>
  <c r="E9541" i="2"/>
  <c r="D9541" i="2"/>
  <c r="F9540" i="2"/>
  <c r="E9540" i="2"/>
  <c r="D9540" i="2"/>
  <c r="F9539" i="2"/>
  <c r="E9539" i="2"/>
  <c r="D9539" i="2"/>
  <c r="F9538" i="2"/>
  <c r="E9538" i="2"/>
  <c r="D9538" i="2"/>
  <c r="F9537" i="2"/>
  <c r="E9537" i="2"/>
  <c r="D9537" i="2"/>
  <c r="F9536" i="2"/>
  <c r="E9536" i="2"/>
  <c r="D9536" i="2"/>
  <c r="F9535" i="2"/>
  <c r="E9535" i="2"/>
  <c r="D9535" i="2"/>
  <c r="F9534" i="2"/>
  <c r="E9534" i="2"/>
  <c r="D9534" i="2"/>
  <c r="F7596" i="2"/>
  <c r="E7596" i="2"/>
  <c r="D7596" i="2"/>
  <c r="F7611" i="2"/>
  <c r="E7611" i="2"/>
  <c r="D7611" i="2"/>
  <c r="F7610" i="2"/>
  <c r="E7610" i="2"/>
  <c r="D7610" i="2"/>
  <c r="F7609" i="2"/>
  <c r="E7609" i="2"/>
  <c r="D7609" i="2"/>
  <c r="F7608" i="2"/>
  <c r="E7608" i="2"/>
  <c r="D7608" i="2"/>
  <c r="F7607" i="2"/>
  <c r="E7607" i="2"/>
  <c r="D7607" i="2"/>
  <c r="F7606" i="2"/>
  <c r="E7606" i="2"/>
  <c r="D7606" i="2"/>
  <c r="F7605" i="2"/>
  <c r="E7605" i="2"/>
  <c r="D7605" i="2"/>
  <c r="F7604" i="2"/>
  <c r="E7604" i="2"/>
  <c r="D7604" i="2"/>
  <c r="F7603" i="2"/>
  <c r="E7603" i="2"/>
  <c r="D7603" i="2"/>
  <c r="F7600" i="2"/>
  <c r="E7600" i="2"/>
  <c r="D7600" i="2"/>
  <c r="F7602" i="2"/>
  <c r="E7602" i="2"/>
  <c r="D7602" i="2"/>
  <c r="F7601" i="2"/>
  <c r="E7601" i="2"/>
  <c r="D7601" i="2"/>
  <c r="F7599" i="2"/>
  <c r="E7599" i="2"/>
  <c r="D7599" i="2"/>
  <c r="F7598" i="2"/>
  <c r="E7598" i="2"/>
  <c r="D7598" i="2"/>
  <c r="F7597" i="2"/>
  <c r="E7597" i="2"/>
  <c r="D7597" i="2"/>
  <c r="F7595" i="2"/>
  <c r="E7595" i="2"/>
  <c r="D7595" i="2"/>
  <c r="F3555" i="2"/>
  <c r="E3555" i="2"/>
  <c r="D3555" i="2"/>
  <c r="F3554" i="2"/>
  <c r="E3554" i="2"/>
  <c r="D3554" i="2"/>
  <c r="F3553" i="2"/>
  <c r="E3553" i="2"/>
  <c r="D3553" i="2"/>
  <c r="F3552" i="2"/>
  <c r="E3552" i="2"/>
  <c r="D3552" i="2"/>
  <c r="F3551" i="2"/>
  <c r="E3551" i="2"/>
  <c r="D3551" i="2"/>
  <c r="F3550" i="2"/>
  <c r="E3550" i="2"/>
  <c r="D3550" i="2"/>
  <c r="F3549" i="2"/>
  <c r="E3549" i="2"/>
  <c r="D3549" i="2"/>
  <c r="F13838" i="2"/>
  <c r="E13838" i="2"/>
  <c r="D13838" i="2"/>
  <c r="F13852" i="2"/>
  <c r="E13852" i="2"/>
  <c r="D13852" i="2"/>
  <c r="F13851" i="2"/>
  <c r="E13851" i="2"/>
  <c r="D13851" i="2"/>
  <c r="F13850" i="2"/>
  <c r="E13850" i="2"/>
  <c r="D13850" i="2"/>
  <c r="F13849" i="2"/>
  <c r="E13849" i="2"/>
  <c r="D13849" i="2"/>
  <c r="F13848" i="2"/>
  <c r="E13848" i="2"/>
  <c r="D13848" i="2"/>
  <c r="F13847" i="2"/>
  <c r="E13847" i="2"/>
  <c r="D13847" i="2"/>
  <c r="F13846" i="2"/>
  <c r="E13846" i="2"/>
  <c r="D13846" i="2"/>
  <c r="F13845" i="2"/>
  <c r="E13845" i="2"/>
  <c r="D13845" i="2"/>
  <c r="F13844" i="2"/>
  <c r="E13844" i="2"/>
  <c r="D13844" i="2"/>
  <c r="F13843" i="2"/>
  <c r="E13843" i="2"/>
  <c r="D13843" i="2"/>
  <c r="F13842" i="2"/>
  <c r="E13842" i="2"/>
  <c r="D13842" i="2"/>
  <c r="F13841" i="2"/>
  <c r="E13841" i="2"/>
  <c r="D13841" i="2"/>
  <c r="F13840" i="2"/>
  <c r="E13840" i="2"/>
  <c r="D13840" i="2"/>
  <c r="F13839" i="2"/>
  <c r="E13839" i="2"/>
  <c r="D13839" i="2"/>
  <c r="F6632" i="2"/>
  <c r="E6632" i="2"/>
  <c r="D6632" i="2"/>
  <c r="F6635" i="2"/>
  <c r="E6635" i="2"/>
  <c r="D6635" i="2"/>
  <c r="F6634" i="2"/>
  <c r="E6634" i="2"/>
  <c r="D6634" i="2"/>
  <c r="F6633" i="2"/>
  <c r="E6633" i="2"/>
  <c r="D6633" i="2"/>
  <c r="F6631" i="2"/>
  <c r="E6631" i="2"/>
  <c r="D6631" i="2"/>
  <c r="F3200" i="2"/>
  <c r="E3200" i="2"/>
  <c r="D3200" i="2"/>
  <c r="F3219" i="2"/>
  <c r="E3219" i="2"/>
  <c r="D3219" i="2"/>
  <c r="F3218" i="2"/>
  <c r="E3218" i="2"/>
  <c r="D3218" i="2"/>
  <c r="F3217" i="2"/>
  <c r="E3217" i="2"/>
  <c r="D3217" i="2"/>
  <c r="F3216" i="2"/>
  <c r="E3216" i="2"/>
  <c r="D3216" i="2"/>
  <c r="F3215" i="2"/>
  <c r="E3215" i="2"/>
  <c r="D3215" i="2"/>
  <c r="F3214" i="2"/>
  <c r="E3214" i="2"/>
  <c r="D3214" i="2"/>
  <c r="F3213" i="2"/>
  <c r="E3213" i="2"/>
  <c r="D3213" i="2"/>
  <c r="F3212" i="2"/>
  <c r="E3212" i="2"/>
  <c r="D3212" i="2"/>
  <c r="F3211" i="2"/>
  <c r="E3211" i="2"/>
  <c r="D3211" i="2"/>
  <c r="F3210" i="2"/>
  <c r="E3210" i="2"/>
  <c r="D3210" i="2"/>
  <c r="F3209" i="2"/>
  <c r="E3209" i="2"/>
  <c r="D3209" i="2"/>
  <c r="F3208" i="2"/>
  <c r="E3208" i="2"/>
  <c r="D3208" i="2"/>
  <c r="F3207" i="2"/>
  <c r="E3207" i="2"/>
  <c r="D3207" i="2"/>
  <c r="F3206" i="2"/>
  <c r="E3206" i="2"/>
  <c r="D3206" i="2"/>
  <c r="F3205" i="2"/>
  <c r="E3205" i="2"/>
  <c r="D3205" i="2"/>
  <c r="F3204" i="2"/>
  <c r="E3204" i="2"/>
  <c r="D3204" i="2"/>
  <c r="F3203" i="2"/>
  <c r="E3203" i="2"/>
  <c r="D3203" i="2"/>
  <c r="F3202" i="2"/>
  <c r="E3202" i="2"/>
  <c r="D3202" i="2"/>
  <c r="F3201" i="2"/>
  <c r="E3201" i="2"/>
  <c r="D3201" i="2"/>
  <c r="F9085" i="2"/>
  <c r="E9085" i="2"/>
  <c r="D9085" i="2"/>
  <c r="F9084" i="2"/>
  <c r="E9084" i="2"/>
  <c r="D9084" i="2"/>
  <c r="F9083" i="2"/>
  <c r="E9083" i="2"/>
  <c r="D9083" i="2"/>
  <c r="F9082" i="2"/>
  <c r="E9082" i="2"/>
  <c r="D9082" i="2"/>
  <c r="F9081" i="2"/>
  <c r="E9081" i="2"/>
  <c r="D9081" i="2"/>
  <c r="F9080" i="2"/>
  <c r="E9080" i="2"/>
  <c r="D9080" i="2"/>
  <c r="F9079" i="2"/>
  <c r="E9079" i="2"/>
  <c r="D9079" i="2"/>
  <c r="F9078" i="2"/>
  <c r="E9078" i="2"/>
  <c r="D9078" i="2"/>
  <c r="F9077" i="2"/>
  <c r="E9077" i="2"/>
  <c r="D9077" i="2"/>
  <c r="F9076" i="2"/>
  <c r="E9076" i="2"/>
  <c r="D9076" i="2"/>
  <c r="F9075" i="2"/>
  <c r="E9075" i="2"/>
  <c r="D9075" i="2"/>
  <c r="F9074" i="2"/>
  <c r="E9074" i="2"/>
  <c r="D9074" i="2"/>
  <c r="F9073" i="2"/>
  <c r="E9073" i="2"/>
  <c r="D9073" i="2"/>
  <c r="F9072" i="2"/>
  <c r="E9072" i="2"/>
  <c r="D9072" i="2"/>
  <c r="F9071" i="2"/>
  <c r="E9071" i="2"/>
  <c r="D9071" i="2"/>
  <c r="F9070" i="2"/>
  <c r="E9070" i="2"/>
  <c r="D9070" i="2"/>
  <c r="F9069" i="2"/>
  <c r="E9069" i="2"/>
  <c r="D9069" i="2"/>
  <c r="F9068" i="2"/>
  <c r="E9068" i="2"/>
  <c r="D9068" i="2"/>
  <c r="F9067" i="2"/>
  <c r="E9067" i="2"/>
  <c r="D9067" i="2"/>
  <c r="F9066" i="2"/>
  <c r="E9066" i="2"/>
  <c r="D9066" i="2"/>
  <c r="F9065" i="2"/>
  <c r="E9065" i="2"/>
  <c r="D9065" i="2"/>
  <c r="F2349" i="2"/>
  <c r="E2349" i="2"/>
  <c r="D2349" i="2"/>
  <c r="F2348" i="2"/>
  <c r="E2348" i="2"/>
  <c r="D2348" i="2"/>
  <c r="F2347" i="2"/>
  <c r="E2347" i="2"/>
  <c r="D2347" i="2"/>
  <c r="F2346" i="2"/>
  <c r="E2346" i="2"/>
  <c r="D2346" i="2"/>
  <c r="F2345" i="2"/>
  <c r="E2345" i="2"/>
  <c r="D2345" i="2"/>
  <c r="F2344" i="2"/>
  <c r="E2344" i="2"/>
  <c r="D2344" i="2"/>
  <c r="F2343" i="2"/>
  <c r="E2343" i="2"/>
  <c r="D2343" i="2"/>
  <c r="F2342" i="2"/>
  <c r="E2342" i="2"/>
  <c r="D2342" i="2"/>
  <c r="F2341" i="2"/>
  <c r="E2341" i="2"/>
  <c r="D2341" i="2"/>
  <c r="F2340" i="2"/>
  <c r="E2340" i="2"/>
  <c r="D2340" i="2"/>
  <c r="F2339" i="2"/>
  <c r="E2339" i="2"/>
  <c r="D2339" i="2"/>
  <c r="F2338" i="2"/>
  <c r="E2338" i="2"/>
  <c r="D2338" i="2"/>
  <c r="F2337" i="2"/>
  <c r="E2337" i="2"/>
  <c r="D2337" i="2"/>
  <c r="F2336" i="2"/>
  <c r="E2336" i="2"/>
  <c r="D2336" i="2"/>
  <c r="F2335" i="2"/>
  <c r="E2335" i="2"/>
  <c r="D2335" i="2"/>
  <c r="F2334" i="2"/>
  <c r="E2334" i="2"/>
  <c r="D2334" i="2"/>
  <c r="F2333" i="2"/>
  <c r="E2333" i="2"/>
  <c r="D2333" i="2"/>
  <c r="F2332" i="2"/>
  <c r="E2332" i="2"/>
  <c r="D2332" i="2"/>
  <c r="F2331" i="2"/>
  <c r="E2331" i="2"/>
  <c r="D2331" i="2"/>
  <c r="F2330" i="2"/>
  <c r="E2330" i="2"/>
  <c r="D2330" i="2"/>
  <c r="F2329" i="2"/>
  <c r="E2329" i="2"/>
  <c r="D2329" i="2"/>
  <c r="F2328" i="2"/>
  <c r="E2328" i="2"/>
  <c r="D2328" i="2"/>
  <c r="F6815" i="2"/>
  <c r="E6815" i="2"/>
  <c r="D6815" i="2"/>
  <c r="F6814" i="2"/>
  <c r="E6814" i="2"/>
  <c r="D6814" i="2"/>
  <c r="F6812" i="2"/>
  <c r="E6812" i="2"/>
  <c r="D6812" i="2"/>
  <c r="F6813" i="2"/>
  <c r="E6813" i="2"/>
  <c r="D6813" i="2"/>
  <c r="F6811" i="2"/>
  <c r="E6811" i="2"/>
  <c r="D6811" i="2"/>
  <c r="F6810" i="2"/>
  <c r="E6810" i="2"/>
  <c r="D6810" i="2"/>
  <c r="F6809" i="2"/>
  <c r="E6809" i="2"/>
  <c r="D6809" i="2"/>
  <c r="F6808" i="2"/>
  <c r="E6808" i="2"/>
  <c r="D6808" i="2"/>
  <c r="F6807" i="2"/>
  <c r="E6807" i="2"/>
  <c r="D6807" i="2"/>
  <c r="F6806" i="2"/>
  <c r="E6806" i="2"/>
  <c r="D6806" i="2"/>
  <c r="F6805" i="2"/>
  <c r="E6805" i="2"/>
  <c r="D6805" i="2"/>
  <c r="F6804" i="2"/>
  <c r="E6804" i="2"/>
  <c r="D6804" i="2"/>
  <c r="F6803" i="2"/>
  <c r="E6803" i="2"/>
  <c r="D6803" i="2"/>
  <c r="F6802" i="2"/>
  <c r="E6802" i="2"/>
  <c r="D6802" i="2"/>
  <c r="F6801" i="2"/>
  <c r="E6801" i="2"/>
  <c r="D6801" i="2"/>
  <c r="F6800" i="2"/>
  <c r="E6800" i="2"/>
  <c r="D6800" i="2"/>
  <c r="F6799" i="2"/>
  <c r="E6799" i="2"/>
  <c r="D6799" i="2"/>
  <c r="F6798" i="2"/>
  <c r="E6798" i="2"/>
  <c r="D6798" i="2"/>
  <c r="F2540" i="2"/>
  <c r="E2540" i="2"/>
  <c r="D2540" i="2"/>
  <c r="F2556" i="2"/>
  <c r="E2556" i="2"/>
  <c r="D2556" i="2"/>
  <c r="F2555" i="2"/>
  <c r="E2555" i="2"/>
  <c r="D2555" i="2"/>
  <c r="F2554" i="2"/>
  <c r="E2554" i="2"/>
  <c r="D2554" i="2"/>
  <c r="F2553" i="2"/>
  <c r="E2553" i="2"/>
  <c r="D2553" i="2"/>
  <c r="F2552" i="2"/>
  <c r="E2552" i="2"/>
  <c r="D2552" i="2"/>
  <c r="F2551" i="2"/>
  <c r="E2551" i="2"/>
  <c r="D2551" i="2"/>
  <c r="F2550" i="2"/>
  <c r="E2550" i="2"/>
  <c r="D2550" i="2"/>
  <c r="F2549" i="2"/>
  <c r="E2549" i="2"/>
  <c r="D2549" i="2"/>
  <c r="F2548" i="2"/>
  <c r="E2548" i="2"/>
  <c r="D2548" i="2"/>
  <c r="F2547" i="2"/>
  <c r="E2547" i="2"/>
  <c r="D2547" i="2"/>
  <c r="F2546" i="2"/>
  <c r="E2546" i="2"/>
  <c r="D2546" i="2"/>
  <c r="F2545" i="2"/>
  <c r="E2545" i="2"/>
  <c r="D2545" i="2"/>
  <c r="F2544" i="2"/>
  <c r="E2544" i="2"/>
  <c r="D2544" i="2"/>
  <c r="F2543" i="2"/>
  <c r="E2543" i="2"/>
  <c r="D2543" i="2"/>
  <c r="F2542" i="2"/>
  <c r="E2542" i="2"/>
  <c r="D2542" i="2"/>
  <c r="F2541" i="2"/>
  <c r="E2541" i="2"/>
  <c r="D2541" i="2"/>
  <c r="F9064" i="2"/>
  <c r="E9064" i="2"/>
  <c r="D9064" i="2"/>
  <c r="F9063" i="2"/>
  <c r="E9063" i="2"/>
  <c r="D9063" i="2"/>
  <c r="F9062" i="2"/>
  <c r="E9062" i="2"/>
  <c r="D9062" i="2"/>
  <c r="F9061" i="2"/>
  <c r="E9061" i="2"/>
  <c r="D9061" i="2"/>
  <c r="F9060" i="2"/>
  <c r="E9060" i="2"/>
  <c r="D9060" i="2"/>
  <c r="F9059" i="2"/>
  <c r="E9059" i="2"/>
  <c r="D9059" i="2"/>
  <c r="F9058" i="2"/>
  <c r="E9058" i="2"/>
  <c r="D9058" i="2"/>
  <c r="F9057" i="2"/>
  <c r="E9057" i="2"/>
  <c r="D9057" i="2"/>
  <c r="F9056" i="2"/>
  <c r="E9056" i="2"/>
  <c r="D9056" i="2"/>
  <c r="F9055" i="2"/>
  <c r="E9055" i="2"/>
  <c r="D9055" i="2"/>
  <c r="F9054" i="2"/>
  <c r="E9054" i="2"/>
  <c r="D9054" i="2"/>
  <c r="F9053" i="2"/>
  <c r="E9053" i="2"/>
  <c r="D9053" i="2"/>
  <c r="F9052" i="2"/>
  <c r="E9052" i="2"/>
  <c r="D9052" i="2"/>
  <c r="F9051" i="2"/>
  <c r="E9051" i="2"/>
  <c r="D9051" i="2"/>
  <c r="F9050" i="2"/>
  <c r="E9050" i="2"/>
  <c r="D9050" i="2"/>
  <c r="F9049" i="2"/>
  <c r="E9049" i="2"/>
  <c r="D9049" i="2"/>
  <c r="F9048" i="2"/>
  <c r="E9048" i="2"/>
  <c r="D9048" i="2"/>
  <c r="F9047" i="2"/>
  <c r="E9047" i="2"/>
  <c r="D9047" i="2"/>
  <c r="F9046" i="2"/>
  <c r="E9046" i="2"/>
  <c r="D9046" i="2"/>
  <c r="F9045" i="2"/>
  <c r="E9045" i="2"/>
  <c r="D9045" i="2"/>
  <c r="F9044" i="2"/>
  <c r="E9044" i="2"/>
  <c r="D9044" i="2"/>
  <c r="F9043" i="2"/>
  <c r="E9043" i="2"/>
  <c r="D9043" i="2"/>
  <c r="F9042" i="2"/>
  <c r="E9042" i="2"/>
  <c r="D9042" i="2"/>
  <c r="F9041" i="2"/>
  <c r="E9041" i="2"/>
  <c r="D9041" i="2"/>
  <c r="F9040" i="2"/>
  <c r="E9040" i="2"/>
  <c r="D9040" i="2"/>
  <c r="F9039" i="2"/>
  <c r="E9039" i="2"/>
  <c r="D9039" i="2"/>
  <c r="F9038" i="2"/>
  <c r="E9038" i="2"/>
  <c r="D9038" i="2"/>
  <c r="F9037" i="2"/>
  <c r="E9037" i="2"/>
  <c r="D9037" i="2"/>
  <c r="F9036" i="2"/>
  <c r="E9036" i="2"/>
  <c r="D9036" i="2"/>
  <c r="F9034" i="2"/>
  <c r="E9034" i="2"/>
  <c r="D9034" i="2"/>
  <c r="F9035" i="2"/>
  <c r="E9035" i="2"/>
  <c r="D9035" i="2"/>
  <c r="F9033" i="2"/>
  <c r="E9033" i="2"/>
  <c r="D9033" i="2"/>
  <c r="F9032" i="2"/>
  <c r="E9032" i="2"/>
  <c r="D9032" i="2"/>
  <c r="F9031" i="2"/>
  <c r="E9031" i="2"/>
  <c r="D9031" i="2"/>
  <c r="F9030" i="2"/>
  <c r="E9030" i="2"/>
  <c r="D9030" i="2"/>
  <c r="F9029" i="2"/>
  <c r="E9029" i="2"/>
  <c r="D9029" i="2"/>
  <c r="F9028" i="2"/>
  <c r="E9028" i="2"/>
  <c r="D9028" i="2"/>
  <c r="F9027" i="2"/>
  <c r="E9027" i="2"/>
  <c r="D9027" i="2"/>
  <c r="F9026" i="2"/>
  <c r="E9026" i="2"/>
  <c r="D9026" i="2"/>
  <c r="F9025" i="2"/>
  <c r="E9025" i="2"/>
  <c r="D9025" i="2"/>
  <c r="F9024" i="2"/>
  <c r="E9024" i="2"/>
  <c r="D9024" i="2"/>
  <c r="F9022" i="2"/>
  <c r="E9022" i="2"/>
  <c r="D9022" i="2"/>
  <c r="F9023" i="2"/>
  <c r="E9023" i="2"/>
  <c r="D9023" i="2"/>
  <c r="F9021" i="2"/>
  <c r="E9021" i="2"/>
  <c r="D9021" i="2"/>
  <c r="F9120" i="2"/>
  <c r="E9120" i="2"/>
  <c r="D9120" i="2"/>
  <c r="F9119" i="2"/>
  <c r="E9119" i="2"/>
  <c r="D9119" i="2"/>
  <c r="F9118" i="2"/>
  <c r="E9118" i="2"/>
  <c r="D9118" i="2"/>
  <c r="F9117" i="2"/>
  <c r="E9117" i="2"/>
  <c r="D9117" i="2"/>
  <c r="F9116" i="2"/>
  <c r="E9116" i="2"/>
  <c r="D9116" i="2"/>
  <c r="F9115" i="2"/>
  <c r="E9115" i="2"/>
  <c r="D9115" i="2"/>
  <c r="F9114" i="2"/>
  <c r="E9114" i="2"/>
  <c r="D9114" i="2"/>
  <c r="F9113" i="2"/>
  <c r="E9113" i="2"/>
  <c r="D9113" i="2"/>
  <c r="F9112" i="2"/>
  <c r="E9112" i="2"/>
  <c r="D9112" i="2"/>
  <c r="F9111" i="2"/>
  <c r="E9111" i="2"/>
  <c r="D9111" i="2"/>
  <c r="F9110" i="2"/>
  <c r="E9110" i="2"/>
  <c r="D9110" i="2"/>
  <c r="F9109" i="2"/>
  <c r="E9109" i="2"/>
  <c r="D9109" i="2"/>
  <c r="F9108" i="2"/>
  <c r="E9108" i="2"/>
  <c r="D9108" i="2"/>
  <c r="F9107" i="2"/>
  <c r="E9107" i="2"/>
  <c r="D9107" i="2"/>
  <c r="F9106" i="2"/>
  <c r="E9106" i="2"/>
  <c r="D9106" i="2"/>
  <c r="F9104" i="2"/>
  <c r="E9104" i="2"/>
  <c r="D9104" i="2"/>
  <c r="F9105" i="2"/>
  <c r="E9105" i="2"/>
  <c r="D9105" i="2"/>
  <c r="F9103" i="2"/>
  <c r="E9103" i="2"/>
  <c r="D9103" i="2"/>
  <c r="F9102" i="2"/>
  <c r="E9102" i="2"/>
  <c r="D9102" i="2"/>
  <c r="F9101" i="2"/>
  <c r="E9101" i="2"/>
  <c r="D9101" i="2"/>
  <c r="F9100" i="2"/>
  <c r="E9100" i="2"/>
  <c r="D9100" i="2"/>
  <c r="F9099" i="2"/>
  <c r="E9099" i="2"/>
  <c r="D9099" i="2"/>
  <c r="F9098" i="2"/>
  <c r="E9098" i="2"/>
  <c r="D9098" i="2"/>
  <c r="F9097" i="2"/>
  <c r="E9097" i="2"/>
  <c r="D9097" i="2"/>
  <c r="F9096" i="2"/>
  <c r="E9096" i="2"/>
  <c r="D9096" i="2"/>
  <c r="F9095" i="2"/>
  <c r="E9095" i="2"/>
  <c r="D9095" i="2"/>
  <c r="F9094" i="2"/>
  <c r="E9094" i="2"/>
  <c r="D9094" i="2"/>
  <c r="F9093" i="2"/>
  <c r="E9093" i="2"/>
  <c r="D9093" i="2"/>
  <c r="F9092" i="2"/>
  <c r="E9092" i="2"/>
  <c r="D9092" i="2"/>
  <c r="F9090" i="2"/>
  <c r="E9090" i="2"/>
  <c r="D9090" i="2"/>
  <c r="F9091" i="2"/>
  <c r="E9091" i="2"/>
  <c r="D9091" i="2"/>
  <c r="F9089" i="2"/>
  <c r="E9089" i="2"/>
  <c r="D9089" i="2"/>
  <c r="F9088" i="2"/>
  <c r="E9088" i="2"/>
  <c r="D9088" i="2"/>
  <c r="F9087" i="2"/>
  <c r="E9087" i="2"/>
  <c r="D9087" i="2"/>
  <c r="F9086" i="2"/>
  <c r="E9086" i="2"/>
  <c r="D9086" i="2"/>
  <c r="F8992" i="2"/>
  <c r="E8992" i="2"/>
  <c r="D8992" i="2"/>
  <c r="F8991" i="2"/>
  <c r="E8991" i="2"/>
  <c r="D8991" i="2"/>
  <c r="F8990" i="2"/>
  <c r="E8990" i="2"/>
  <c r="D8990" i="2"/>
  <c r="F8989" i="2"/>
  <c r="E8989" i="2"/>
  <c r="D8989" i="2"/>
  <c r="F8988" i="2"/>
  <c r="E8988" i="2"/>
  <c r="D8988" i="2"/>
  <c r="F8985" i="2"/>
  <c r="E8985" i="2"/>
  <c r="D8985" i="2"/>
  <c r="F8987" i="2"/>
  <c r="E8987" i="2"/>
  <c r="D8987" i="2"/>
  <c r="F8986" i="2"/>
  <c r="E8986" i="2"/>
  <c r="D8986" i="2"/>
  <c r="F8984" i="2"/>
  <c r="E8984" i="2"/>
  <c r="D8984" i="2"/>
  <c r="F8983" i="2"/>
  <c r="E8983" i="2"/>
  <c r="D8983" i="2"/>
  <c r="F8982" i="2"/>
  <c r="E8982" i="2"/>
  <c r="D8982" i="2"/>
  <c r="F8981" i="2"/>
  <c r="E8981" i="2"/>
  <c r="D8981" i="2"/>
  <c r="F8980" i="2"/>
  <c r="E8980" i="2"/>
  <c r="D8980" i="2"/>
  <c r="F8979" i="2"/>
  <c r="E8979" i="2"/>
  <c r="D8979" i="2"/>
  <c r="F8978" i="2"/>
  <c r="E8978" i="2"/>
  <c r="D8978" i="2"/>
  <c r="F8977" i="2"/>
  <c r="E8977" i="2"/>
  <c r="D8977" i="2"/>
  <c r="F8976" i="2"/>
  <c r="E8976" i="2"/>
  <c r="D8976" i="2"/>
  <c r="F8975" i="2"/>
  <c r="E8975" i="2"/>
  <c r="D8975" i="2"/>
  <c r="F8974" i="2"/>
  <c r="E8974" i="2"/>
  <c r="D8974" i="2"/>
  <c r="F8973" i="2"/>
  <c r="E8973" i="2"/>
  <c r="D8973" i="2"/>
  <c r="F8972" i="2"/>
  <c r="E8972" i="2"/>
  <c r="D8972" i="2"/>
  <c r="F8970" i="2"/>
  <c r="E8970" i="2"/>
  <c r="D8970" i="2"/>
  <c r="F8971" i="2"/>
  <c r="E8971" i="2"/>
  <c r="D8971" i="2"/>
  <c r="F8969" i="2"/>
  <c r="E8969" i="2"/>
  <c r="D8969" i="2"/>
  <c r="F8968" i="2"/>
  <c r="E8968" i="2"/>
  <c r="D8968" i="2"/>
  <c r="F8967" i="2"/>
  <c r="E8967" i="2"/>
  <c r="D8967" i="2"/>
  <c r="F8966" i="2"/>
  <c r="E8966" i="2"/>
  <c r="D8966" i="2"/>
  <c r="F8965" i="2"/>
  <c r="E8965" i="2"/>
  <c r="D8965" i="2"/>
  <c r="F6573" i="2"/>
  <c r="E6573" i="2"/>
  <c r="D6573" i="2"/>
  <c r="F6572" i="2"/>
  <c r="E6572" i="2"/>
  <c r="D6572" i="2"/>
  <c r="F6571" i="2"/>
  <c r="E6571" i="2"/>
  <c r="D6571" i="2"/>
  <c r="F6569" i="2"/>
  <c r="E6569" i="2"/>
  <c r="D6569" i="2"/>
  <c r="F6570" i="2"/>
  <c r="E6570" i="2"/>
  <c r="D6570" i="2"/>
  <c r="F8964" i="2"/>
  <c r="E8964" i="2"/>
  <c r="D8964" i="2"/>
  <c r="F8963" i="2"/>
  <c r="E8963" i="2"/>
  <c r="D8963" i="2"/>
  <c r="F8962" i="2"/>
  <c r="E8962" i="2"/>
  <c r="D8962" i="2"/>
  <c r="F8961" i="2"/>
  <c r="E8961" i="2"/>
  <c r="D8961" i="2"/>
  <c r="F8960" i="2"/>
  <c r="E8960" i="2"/>
  <c r="D8960" i="2"/>
  <c r="F8959" i="2"/>
  <c r="E8959" i="2"/>
  <c r="D8959" i="2"/>
  <c r="F8958" i="2"/>
  <c r="E8958" i="2"/>
  <c r="D8958" i="2"/>
  <c r="F8957" i="2"/>
  <c r="E8957" i="2"/>
  <c r="D8957" i="2"/>
  <c r="F8956" i="2"/>
  <c r="E8956" i="2"/>
  <c r="D8956" i="2"/>
  <c r="F8955" i="2"/>
  <c r="E8955" i="2"/>
  <c r="D8955" i="2"/>
  <c r="F8954" i="2"/>
  <c r="E8954" i="2"/>
  <c r="D8954" i="2"/>
  <c r="F8953" i="2"/>
  <c r="E8953" i="2"/>
  <c r="D8953" i="2"/>
  <c r="F6939" i="2"/>
  <c r="E6939" i="2"/>
  <c r="D6939" i="2"/>
  <c r="F6938" i="2"/>
  <c r="E6938" i="2"/>
  <c r="D6938" i="2"/>
  <c r="F6937" i="2"/>
  <c r="E6937" i="2"/>
  <c r="D6937" i="2"/>
  <c r="F9020" i="2"/>
  <c r="E9020" i="2"/>
  <c r="D9020" i="2"/>
  <c r="F9019" i="2"/>
  <c r="E9019" i="2"/>
  <c r="D9019" i="2"/>
  <c r="F9018" i="2"/>
  <c r="E9018" i="2"/>
  <c r="D9018" i="2"/>
  <c r="F9017" i="2"/>
  <c r="E9017" i="2"/>
  <c r="D9017" i="2"/>
  <c r="F9016" i="2"/>
  <c r="E9016" i="2"/>
  <c r="D9016" i="2"/>
  <c r="F9015" i="2"/>
  <c r="E9015" i="2"/>
  <c r="D9015" i="2"/>
  <c r="F9014" i="2"/>
  <c r="E9014" i="2"/>
  <c r="D9014" i="2"/>
  <c r="F9013" i="2"/>
  <c r="E9013" i="2"/>
  <c r="D9013" i="2"/>
  <c r="F9012" i="2"/>
  <c r="E9012" i="2"/>
  <c r="D9012" i="2"/>
  <c r="F9011" i="2"/>
  <c r="E9011" i="2"/>
  <c r="D9011" i="2"/>
  <c r="F9009" i="2"/>
  <c r="E9009" i="2"/>
  <c r="D9009" i="2"/>
  <c r="F9010" i="2"/>
  <c r="E9010" i="2"/>
  <c r="D9010" i="2"/>
  <c r="F9008" i="2"/>
  <c r="E9008" i="2"/>
  <c r="D9008" i="2"/>
  <c r="F9007" i="2"/>
  <c r="E9007" i="2"/>
  <c r="D9007" i="2"/>
  <c r="F9006" i="2"/>
  <c r="E9006" i="2"/>
  <c r="D9006" i="2"/>
  <c r="F9005" i="2"/>
  <c r="E9005" i="2"/>
  <c r="D9005" i="2"/>
  <c r="F9004" i="2"/>
  <c r="E9004" i="2"/>
  <c r="D9004" i="2"/>
  <c r="F9003" i="2"/>
  <c r="E9003" i="2"/>
  <c r="D9003" i="2"/>
  <c r="F9002" i="2"/>
  <c r="E9002" i="2"/>
  <c r="D9002" i="2"/>
  <c r="F9001" i="2"/>
  <c r="E9001" i="2"/>
  <c r="D9001" i="2"/>
  <c r="F8999" i="2"/>
  <c r="E8999" i="2"/>
  <c r="D8999" i="2"/>
  <c r="F9000" i="2"/>
  <c r="E9000" i="2"/>
  <c r="D9000" i="2"/>
  <c r="F8998" i="2"/>
  <c r="E8998" i="2"/>
  <c r="D8998" i="2"/>
  <c r="F8997" i="2"/>
  <c r="E8997" i="2"/>
  <c r="D8997" i="2"/>
  <c r="F8996" i="2"/>
  <c r="E8996" i="2"/>
  <c r="D8996" i="2"/>
  <c r="F8995" i="2"/>
  <c r="E8995" i="2"/>
  <c r="D8995" i="2"/>
  <c r="F8994" i="2"/>
  <c r="E8994" i="2"/>
  <c r="D8994" i="2"/>
  <c r="F8993" i="2"/>
  <c r="E8993" i="2"/>
  <c r="D8993" i="2"/>
  <c r="F8016" i="2"/>
  <c r="E8016" i="2"/>
  <c r="D8016" i="2"/>
  <c r="F8015" i="2"/>
  <c r="E8015" i="2"/>
  <c r="D8015" i="2"/>
  <c r="F8014" i="2"/>
  <c r="E8014" i="2"/>
  <c r="D8014" i="2"/>
  <c r="F8013" i="2"/>
  <c r="E8013" i="2"/>
  <c r="D8013" i="2"/>
  <c r="F8012" i="2"/>
  <c r="E8012" i="2"/>
  <c r="D8012" i="2"/>
  <c r="F8011" i="2"/>
  <c r="E8011" i="2"/>
  <c r="D8011" i="2"/>
  <c r="F8010" i="2"/>
  <c r="E8010" i="2"/>
  <c r="D8010" i="2"/>
  <c r="F8008" i="2"/>
  <c r="E8008" i="2"/>
  <c r="D8008" i="2"/>
  <c r="F8009" i="2"/>
  <c r="E8009" i="2"/>
  <c r="D8009" i="2"/>
  <c r="F8007" i="2"/>
  <c r="E8007" i="2"/>
  <c r="D8007" i="2"/>
  <c r="F8006" i="2"/>
  <c r="E8006" i="2"/>
  <c r="D8006" i="2"/>
  <c r="F8005" i="2"/>
  <c r="E8005" i="2"/>
  <c r="D8005" i="2"/>
  <c r="F8004" i="2"/>
  <c r="E8004" i="2"/>
  <c r="D8004" i="2"/>
  <c r="F8003" i="2"/>
  <c r="E8003" i="2"/>
  <c r="D8003" i="2"/>
  <c r="F8002" i="2"/>
  <c r="E8002" i="2"/>
  <c r="D8002" i="2"/>
  <c r="F8001" i="2"/>
  <c r="E8001" i="2"/>
  <c r="D8001" i="2"/>
  <c r="F8000" i="2"/>
  <c r="E8000" i="2"/>
  <c r="D8000" i="2"/>
  <c r="F7999" i="2"/>
  <c r="E7999" i="2"/>
  <c r="D7999" i="2"/>
  <c r="F7998" i="2"/>
  <c r="E7998" i="2"/>
  <c r="D7998" i="2"/>
  <c r="F7997" i="2"/>
  <c r="E7997" i="2"/>
  <c r="D7997" i="2"/>
  <c r="F7996" i="2"/>
  <c r="E7996" i="2"/>
  <c r="D7996" i="2"/>
  <c r="F7995" i="2"/>
  <c r="E7995" i="2"/>
  <c r="D7995" i="2"/>
  <c r="F7994" i="2"/>
  <c r="E7994" i="2"/>
  <c r="D7994" i="2"/>
  <c r="F7993" i="2"/>
  <c r="E7993" i="2"/>
  <c r="D7993" i="2"/>
  <c r="F7992" i="2"/>
  <c r="E7992" i="2"/>
  <c r="D7992" i="2"/>
  <c r="F7991" i="2"/>
  <c r="E7991" i="2"/>
  <c r="D7991" i="2"/>
  <c r="F7990" i="2"/>
  <c r="E7990" i="2"/>
  <c r="D7990" i="2"/>
  <c r="F7988" i="2"/>
  <c r="E7988" i="2"/>
  <c r="D7988" i="2"/>
  <c r="F7989" i="2"/>
  <c r="E7989" i="2"/>
  <c r="D7989" i="2"/>
  <c r="F7987" i="2"/>
  <c r="E7987" i="2"/>
  <c r="D7987" i="2"/>
  <c r="F7986" i="2"/>
  <c r="E7986" i="2"/>
  <c r="D7986" i="2"/>
  <c r="F7985" i="2"/>
  <c r="E7985" i="2"/>
  <c r="D7985" i="2"/>
  <c r="F7984" i="2"/>
  <c r="E7984" i="2"/>
  <c r="D7984" i="2"/>
  <c r="F16315" i="2"/>
  <c r="E16315" i="2"/>
  <c r="D16315" i="2"/>
  <c r="F16314" i="2"/>
  <c r="E16314" i="2"/>
  <c r="D16314" i="2"/>
  <c r="F16313" i="2"/>
  <c r="E16313" i="2"/>
  <c r="D16313" i="2"/>
  <c r="F16312" i="2"/>
  <c r="E16312" i="2"/>
  <c r="D16312" i="2"/>
  <c r="F16311" i="2"/>
  <c r="E16311" i="2"/>
  <c r="D16311" i="2"/>
  <c r="F16310" i="2"/>
  <c r="E16310" i="2"/>
  <c r="D16310" i="2"/>
  <c r="F16309" i="2"/>
  <c r="E16309" i="2"/>
  <c r="D16309" i="2"/>
  <c r="F16308" i="2"/>
  <c r="E16308" i="2"/>
  <c r="D16308" i="2"/>
  <c r="F16307" i="2"/>
  <c r="E16307" i="2"/>
  <c r="D16307" i="2"/>
  <c r="F16306" i="2"/>
  <c r="E16306" i="2"/>
  <c r="D16306" i="2"/>
  <c r="F16305" i="2"/>
  <c r="E16305" i="2"/>
  <c r="D16305" i="2"/>
  <c r="F9122" i="2"/>
  <c r="E9122" i="2"/>
  <c r="D9122" i="2"/>
  <c r="F9124" i="2"/>
  <c r="E9124" i="2"/>
  <c r="D9124" i="2"/>
  <c r="F9123" i="2"/>
  <c r="E9123" i="2"/>
  <c r="D9123" i="2"/>
  <c r="F9121" i="2"/>
  <c r="E9121" i="2"/>
  <c r="D9121" i="2"/>
  <c r="F2618" i="2"/>
  <c r="E2618" i="2"/>
  <c r="D2618" i="2"/>
  <c r="F2690" i="2"/>
  <c r="E2690" i="2"/>
  <c r="D2690" i="2"/>
  <c r="F2689" i="2"/>
  <c r="E2689" i="2"/>
  <c r="D2689" i="2"/>
  <c r="F2688" i="2"/>
  <c r="E2688" i="2"/>
  <c r="D2688" i="2"/>
  <c r="F2687" i="2"/>
  <c r="E2687" i="2"/>
  <c r="D2687" i="2"/>
  <c r="F2686" i="2"/>
  <c r="E2686" i="2"/>
  <c r="D2686" i="2"/>
  <c r="F2685" i="2"/>
  <c r="E2685" i="2"/>
  <c r="D2685" i="2"/>
  <c r="F2684" i="2"/>
  <c r="E2684" i="2"/>
  <c r="D2684" i="2"/>
  <c r="F2683" i="2"/>
  <c r="E2683" i="2"/>
  <c r="D2683" i="2"/>
  <c r="F2682" i="2"/>
  <c r="E2682" i="2"/>
  <c r="D2682" i="2"/>
  <c r="F2681" i="2"/>
  <c r="E2681" i="2"/>
  <c r="D2681" i="2"/>
  <c r="F2680" i="2"/>
  <c r="E2680" i="2"/>
  <c r="D2680" i="2"/>
  <c r="F2679" i="2"/>
  <c r="E2679" i="2"/>
  <c r="D2679" i="2"/>
  <c r="F2678" i="2"/>
  <c r="E2678" i="2"/>
  <c r="D2678" i="2"/>
  <c r="F2677" i="2"/>
  <c r="E2677" i="2"/>
  <c r="D2677" i="2"/>
  <c r="F2676" i="2"/>
  <c r="E2676" i="2"/>
  <c r="D2676" i="2"/>
  <c r="F2675" i="2"/>
  <c r="E2675" i="2"/>
  <c r="D2675" i="2"/>
  <c r="F2674" i="2"/>
  <c r="E2674" i="2"/>
  <c r="D2674" i="2"/>
  <c r="F2673" i="2"/>
  <c r="E2673" i="2"/>
  <c r="D2673" i="2"/>
  <c r="F2672" i="2"/>
  <c r="E2672" i="2"/>
  <c r="D2672" i="2"/>
  <c r="F2671" i="2"/>
  <c r="E2671" i="2"/>
  <c r="D2671" i="2"/>
  <c r="F2670" i="2"/>
  <c r="E2670" i="2"/>
  <c r="D2670" i="2"/>
  <c r="F2669" i="2"/>
  <c r="E2669" i="2"/>
  <c r="D2669" i="2"/>
  <c r="F2668" i="2"/>
  <c r="E2668" i="2"/>
  <c r="D2668" i="2"/>
  <c r="F2667" i="2"/>
  <c r="E2667" i="2"/>
  <c r="D2667" i="2"/>
  <c r="F2666" i="2"/>
  <c r="E2666" i="2"/>
  <c r="D2666" i="2"/>
  <c r="F2665" i="2"/>
  <c r="E2665" i="2"/>
  <c r="D2665" i="2"/>
  <c r="F2664" i="2"/>
  <c r="E2664" i="2"/>
  <c r="D2664" i="2"/>
  <c r="F2663" i="2"/>
  <c r="E2663" i="2"/>
  <c r="D2663" i="2"/>
  <c r="F2662" i="2"/>
  <c r="E2662" i="2"/>
  <c r="D2662" i="2"/>
  <c r="F2661" i="2"/>
  <c r="E2661" i="2"/>
  <c r="D2661" i="2"/>
  <c r="F2660" i="2"/>
  <c r="E2660" i="2"/>
  <c r="D2660" i="2"/>
  <c r="F2659" i="2"/>
  <c r="E2659" i="2"/>
  <c r="D2659" i="2"/>
  <c r="F2658" i="2"/>
  <c r="E2658" i="2"/>
  <c r="D2658" i="2"/>
  <c r="F2657" i="2"/>
  <c r="E2657" i="2"/>
  <c r="D2657" i="2"/>
  <c r="F2656" i="2"/>
  <c r="E2656" i="2"/>
  <c r="D2656" i="2"/>
  <c r="F2655" i="2"/>
  <c r="E2655" i="2"/>
  <c r="D2655" i="2"/>
  <c r="F2654" i="2"/>
  <c r="E2654" i="2"/>
  <c r="D2654" i="2"/>
  <c r="F2653" i="2"/>
  <c r="E2653" i="2"/>
  <c r="D2653" i="2"/>
  <c r="F2652" i="2"/>
  <c r="E2652" i="2"/>
  <c r="D2652" i="2"/>
  <c r="F2651" i="2"/>
  <c r="E2651" i="2"/>
  <c r="D2651" i="2"/>
  <c r="F2650" i="2"/>
  <c r="E2650" i="2"/>
  <c r="D2650" i="2"/>
  <c r="F2649" i="2"/>
  <c r="E2649" i="2"/>
  <c r="D2649" i="2"/>
  <c r="F2648" i="2"/>
  <c r="E2648" i="2"/>
  <c r="D2648" i="2"/>
  <c r="F2647" i="2"/>
  <c r="E2647" i="2"/>
  <c r="D2647" i="2"/>
  <c r="F2645" i="2"/>
  <c r="E2645" i="2"/>
  <c r="D2645" i="2"/>
  <c r="F2646" i="2"/>
  <c r="E2646" i="2"/>
  <c r="D2646" i="2"/>
  <c r="F2644" i="2"/>
  <c r="E2644" i="2"/>
  <c r="D2644" i="2"/>
  <c r="F2643" i="2"/>
  <c r="E2643" i="2"/>
  <c r="D2643" i="2"/>
  <c r="F2642" i="2"/>
  <c r="E2642" i="2"/>
  <c r="D2642" i="2"/>
  <c r="F2641" i="2"/>
  <c r="E2641" i="2"/>
  <c r="D2641" i="2"/>
  <c r="F2640" i="2"/>
  <c r="E2640" i="2"/>
  <c r="D2640" i="2"/>
  <c r="F2639" i="2"/>
  <c r="E2639" i="2"/>
  <c r="D2639" i="2"/>
  <c r="F2638" i="2"/>
  <c r="E2638" i="2"/>
  <c r="D2638" i="2"/>
  <c r="F2637" i="2"/>
  <c r="E2637" i="2"/>
  <c r="D2637" i="2"/>
  <c r="F2636" i="2"/>
  <c r="E2636" i="2"/>
  <c r="D2636" i="2"/>
  <c r="F2635" i="2"/>
  <c r="E2635" i="2"/>
  <c r="D2635" i="2"/>
  <c r="F2634" i="2"/>
  <c r="E2634" i="2"/>
  <c r="D2634" i="2"/>
  <c r="F2633" i="2"/>
  <c r="E2633" i="2"/>
  <c r="D2633" i="2"/>
  <c r="F2631" i="2"/>
  <c r="E2631" i="2"/>
  <c r="D2631" i="2"/>
  <c r="F2632" i="2"/>
  <c r="E2632" i="2"/>
  <c r="D2632" i="2"/>
  <c r="F2630" i="2"/>
  <c r="E2630" i="2"/>
  <c r="D2630" i="2"/>
  <c r="F2629" i="2"/>
  <c r="E2629" i="2"/>
  <c r="D2629" i="2"/>
  <c r="F2628" i="2"/>
  <c r="E2628" i="2"/>
  <c r="D2628" i="2"/>
  <c r="F2627" i="2"/>
  <c r="E2627" i="2"/>
  <c r="D2627" i="2"/>
  <c r="F2626" i="2"/>
  <c r="E2626" i="2"/>
  <c r="D2626" i="2"/>
  <c r="F2625" i="2"/>
  <c r="E2625" i="2"/>
  <c r="D2625" i="2"/>
  <c r="F2624" i="2"/>
  <c r="E2624" i="2"/>
  <c r="D2624" i="2"/>
  <c r="F2623" i="2"/>
  <c r="E2623" i="2"/>
  <c r="D2623" i="2"/>
  <c r="F2622" i="2"/>
  <c r="E2622" i="2"/>
  <c r="D2622" i="2"/>
  <c r="F2621" i="2"/>
  <c r="E2621" i="2"/>
  <c r="D2621" i="2"/>
  <c r="F2620" i="2"/>
  <c r="E2620" i="2"/>
  <c r="D2620" i="2"/>
  <c r="F2619" i="2"/>
  <c r="E2619" i="2"/>
  <c r="D2619" i="2"/>
  <c r="F2617" i="2"/>
  <c r="E2617" i="2"/>
  <c r="D2617" i="2"/>
  <c r="F1204" i="2"/>
  <c r="E1204" i="2"/>
  <c r="D1204" i="2"/>
  <c r="F1203" i="2"/>
  <c r="E1203" i="2"/>
  <c r="D1203" i="2"/>
  <c r="F1202" i="2"/>
  <c r="E1202" i="2"/>
  <c r="D1202" i="2"/>
  <c r="F1201" i="2"/>
  <c r="E1201" i="2"/>
  <c r="D1201" i="2"/>
  <c r="F1200" i="2"/>
  <c r="E1200" i="2"/>
  <c r="D1200" i="2"/>
  <c r="F1199" i="2"/>
  <c r="E1199" i="2"/>
  <c r="D1199" i="2"/>
  <c r="F1198" i="2"/>
  <c r="E1198" i="2"/>
  <c r="D1198" i="2"/>
  <c r="F1197" i="2"/>
  <c r="E1197" i="2"/>
  <c r="D1197" i="2"/>
  <c r="F1196" i="2"/>
  <c r="E1196" i="2"/>
  <c r="D1196" i="2"/>
  <c r="F1195" i="2"/>
  <c r="E1195" i="2"/>
  <c r="D1195" i="2"/>
  <c r="F1194" i="2"/>
  <c r="E1194" i="2"/>
  <c r="D1194" i="2"/>
  <c r="F1193" i="2"/>
  <c r="E1193" i="2"/>
  <c r="D1193" i="2"/>
  <c r="F1192" i="2"/>
  <c r="E1192" i="2"/>
  <c r="D1192" i="2"/>
  <c r="F14526" i="2"/>
  <c r="E14526" i="2"/>
  <c r="D14526" i="2"/>
  <c r="F14525" i="2"/>
  <c r="E14525" i="2"/>
  <c r="D14525" i="2"/>
  <c r="F14524" i="2"/>
  <c r="E14524" i="2"/>
  <c r="D14524" i="2"/>
  <c r="F14523" i="2"/>
  <c r="E14523" i="2"/>
  <c r="D14523" i="2"/>
  <c r="F14522" i="2"/>
  <c r="E14522" i="2"/>
  <c r="D14522" i="2"/>
  <c r="F14521" i="2"/>
  <c r="E14521" i="2"/>
  <c r="D14521" i="2"/>
  <c r="F14520" i="2"/>
  <c r="E14520" i="2"/>
  <c r="D14520" i="2"/>
  <c r="F14519" i="2"/>
  <c r="E14519" i="2"/>
  <c r="D14519" i="2"/>
  <c r="F14518" i="2"/>
  <c r="E14518" i="2"/>
  <c r="D14518" i="2"/>
  <c r="F14517" i="2"/>
  <c r="E14517" i="2"/>
  <c r="D14517" i="2"/>
  <c r="F14516" i="2"/>
  <c r="E14516" i="2"/>
  <c r="D14516" i="2"/>
  <c r="F14515" i="2"/>
  <c r="E14515" i="2"/>
  <c r="D14515" i="2"/>
  <c r="F14514" i="2"/>
  <c r="E14514" i="2"/>
  <c r="D14514" i="2"/>
  <c r="F14513" i="2"/>
  <c r="E14513" i="2"/>
  <c r="D14513" i="2"/>
  <c r="F14512" i="2"/>
  <c r="E14512" i="2"/>
  <c r="D14512" i="2"/>
  <c r="F14511" i="2"/>
  <c r="E14511" i="2"/>
  <c r="D14511" i="2"/>
  <c r="F14510" i="2"/>
  <c r="E14510" i="2"/>
  <c r="D14510" i="2"/>
  <c r="F14509" i="2"/>
  <c r="E14509" i="2"/>
  <c r="D14509" i="2"/>
  <c r="F14508" i="2"/>
  <c r="D14508" i="2"/>
  <c r="F14507" i="2"/>
  <c r="E14507" i="2"/>
  <c r="D14507" i="2"/>
  <c r="F14506" i="2"/>
  <c r="E14506" i="2"/>
  <c r="D14506" i="2"/>
  <c r="F14505" i="2"/>
  <c r="E14505" i="2"/>
  <c r="D14505" i="2"/>
  <c r="F14504" i="2"/>
  <c r="E14504" i="2"/>
  <c r="D14504" i="2"/>
  <c r="F14503" i="2"/>
  <c r="E14503" i="2"/>
  <c r="D14503" i="2"/>
  <c r="F14502" i="2"/>
  <c r="E14502" i="2"/>
  <c r="D14502" i="2"/>
  <c r="F14501" i="2"/>
  <c r="E14501" i="2"/>
  <c r="D14501" i="2"/>
  <c r="F14500" i="2"/>
  <c r="E14500" i="2"/>
  <c r="D14500" i="2"/>
  <c r="F14499" i="2"/>
  <c r="E14499" i="2"/>
  <c r="D14499" i="2"/>
  <c r="F14498" i="2"/>
  <c r="E14498" i="2"/>
  <c r="D14498" i="2"/>
  <c r="F14497" i="2"/>
  <c r="E14497" i="2"/>
  <c r="D14497" i="2"/>
  <c r="F14496" i="2"/>
  <c r="E14496" i="2"/>
  <c r="D14496" i="2"/>
  <c r="F14495" i="2"/>
  <c r="E14495" i="2"/>
  <c r="D14495" i="2"/>
  <c r="F14494" i="2"/>
  <c r="E14494" i="2"/>
  <c r="D14494" i="2"/>
  <c r="F14493" i="2"/>
  <c r="E14493" i="2"/>
  <c r="D14493" i="2"/>
  <c r="F2616" i="2"/>
  <c r="E2616" i="2"/>
  <c r="D2616" i="2"/>
  <c r="F2615" i="2"/>
  <c r="E2615" i="2"/>
  <c r="D2615" i="2"/>
  <c r="F2614" i="2"/>
  <c r="E2614" i="2"/>
  <c r="D2614" i="2"/>
  <c r="F2613" i="2"/>
  <c r="E2613" i="2"/>
  <c r="D2613" i="2"/>
  <c r="F2612" i="2"/>
  <c r="E2612" i="2"/>
  <c r="D2612" i="2"/>
  <c r="F2611" i="2"/>
  <c r="E2611" i="2"/>
  <c r="D2611" i="2"/>
  <c r="F2610" i="2"/>
  <c r="E2610" i="2"/>
  <c r="D2610" i="2"/>
  <c r="F2609" i="2"/>
  <c r="E2609" i="2"/>
  <c r="D2609" i="2"/>
  <c r="F2608" i="2"/>
  <c r="E2608" i="2"/>
  <c r="D2608" i="2"/>
  <c r="F2607" i="2"/>
  <c r="E2607" i="2"/>
  <c r="D2607" i="2"/>
  <c r="F2606" i="2"/>
  <c r="E2606" i="2"/>
  <c r="D2606" i="2"/>
  <c r="F2605" i="2"/>
  <c r="E2605" i="2"/>
  <c r="D2605" i="2"/>
  <c r="F2604" i="2"/>
  <c r="E2604" i="2"/>
  <c r="D2604" i="2"/>
  <c r="F2603" i="2"/>
  <c r="E2603" i="2"/>
  <c r="D2603" i="2"/>
  <c r="F2602" i="2"/>
  <c r="E2602" i="2"/>
  <c r="D2602" i="2"/>
  <c r="F2601" i="2"/>
  <c r="E2601" i="2"/>
  <c r="D2601" i="2"/>
  <c r="F2600" i="2"/>
  <c r="E2600" i="2"/>
  <c r="D2600" i="2"/>
  <c r="F2599" i="2"/>
  <c r="E2599" i="2"/>
  <c r="D2599" i="2"/>
  <c r="F2598" i="2"/>
  <c r="E2598" i="2"/>
  <c r="D2598" i="2"/>
  <c r="F2597" i="2"/>
  <c r="E2597" i="2"/>
  <c r="D2597" i="2"/>
  <c r="F2596" i="2"/>
  <c r="E2596" i="2"/>
  <c r="D2596" i="2"/>
  <c r="F2595" i="2"/>
  <c r="E2595" i="2"/>
  <c r="D2595" i="2"/>
  <c r="F4182" i="2"/>
  <c r="E4182" i="2"/>
  <c r="D4182" i="2"/>
  <c r="F4181" i="2"/>
  <c r="E4181" i="2"/>
  <c r="D4181" i="2"/>
  <c r="F4180" i="2"/>
  <c r="E4180" i="2"/>
  <c r="D4180" i="2"/>
  <c r="F4179" i="2"/>
  <c r="E4179" i="2"/>
  <c r="D4179" i="2"/>
  <c r="F4178" i="2"/>
  <c r="E4178" i="2"/>
  <c r="D4178" i="2"/>
  <c r="F4177" i="2"/>
  <c r="E4177" i="2"/>
  <c r="D4177" i="2"/>
  <c r="F4176" i="2"/>
  <c r="E4176" i="2"/>
  <c r="D4176" i="2"/>
  <c r="F4175" i="2"/>
  <c r="E4175" i="2"/>
  <c r="D4175" i="2"/>
  <c r="F4174" i="2"/>
  <c r="E4174" i="2"/>
  <c r="D4174" i="2"/>
  <c r="F4173" i="2"/>
  <c r="E4173" i="2"/>
  <c r="D4173" i="2"/>
  <c r="F4172" i="2"/>
  <c r="E4172" i="2"/>
  <c r="D4172" i="2"/>
  <c r="F4171" i="2"/>
  <c r="E4171" i="2"/>
  <c r="D4171" i="2"/>
  <c r="F4170" i="2"/>
  <c r="E4170" i="2"/>
  <c r="D4170" i="2"/>
  <c r="F4169" i="2"/>
  <c r="E4169" i="2"/>
  <c r="D4169" i="2"/>
  <c r="F4168" i="2"/>
  <c r="E4168" i="2"/>
  <c r="D4168" i="2"/>
  <c r="F4167" i="2"/>
  <c r="E4167" i="2"/>
  <c r="D4167" i="2"/>
  <c r="F4166" i="2"/>
  <c r="E4166" i="2"/>
  <c r="D4166" i="2"/>
  <c r="F4165" i="2"/>
  <c r="E4165" i="2"/>
  <c r="D4165" i="2"/>
  <c r="F4164" i="2"/>
  <c r="E4164" i="2"/>
  <c r="D4164" i="2"/>
  <c r="F4163" i="2"/>
  <c r="E4163" i="2"/>
  <c r="D4163" i="2"/>
  <c r="F4162" i="2"/>
  <c r="E4162" i="2"/>
  <c r="D4162" i="2"/>
  <c r="F4161" i="2"/>
  <c r="E4161" i="2"/>
  <c r="D4161" i="2"/>
  <c r="F4160" i="2"/>
  <c r="E4160" i="2"/>
  <c r="D4160" i="2"/>
  <c r="F4159" i="2"/>
  <c r="E4159" i="2"/>
  <c r="D4159" i="2"/>
  <c r="F4158" i="2"/>
  <c r="E4158" i="2"/>
  <c r="D4158" i="2"/>
  <c r="F4157" i="2"/>
  <c r="E4157" i="2"/>
  <c r="D4157" i="2"/>
  <c r="F4156" i="2"/>
  <c r="E4156" i="2"/>
  <c r="D4156" i="2"/>
  <c r="F4155" i="2"/>
  <c r="E4155" i="2"/>
  <c r="D4155" i="2"/>
  <c r="F4154" i="2"/>
  <c r="E4154" i="2"/>
  <c r="D4154" i="2"/>
  <c r="F4153" i="2"/>
  <c r="E4153" i="2"/>
  <c r="D4153" i="2"/>
  <c r="F4152" i="2"/>
  <c r="E4152" i="2"/>
  <c r="D4152" i="2"/>
  <c r="F4151" i="2"/>
  <c r="E4151" i="2"/>
  <c r="D4151" i="2"/>
  <c r="F4150" i="2"/>
  <c r="E4150" i="2"/>
  <c r="D4150" i="2"/>
  <c r="F4149" i="2"/>
  <c r="E4149" i="2"/>
  <c r="D4149" i="2"/>
  <c r="F4148" i="2"/>
  <c r="E4148" i="2"/>
  <c r="D4148" i="2"/>
  <c r="F4147" i="2"/>
  <c r="E4147" i="2"/>
  <c r="D4147" i="2"/>
  <c r="F4146" i="2"/>
  <c r="E4146" i="2"/>
  <c r="D4146" i="2"/>
  <c r="F4145" i="2"/>
  <c r="E4145" i="2"/>
  <c r="D4145" i="2"/>
  <c r="F4144" i="2"/>
  <c r="E4144" i="2"/>
  <c r="D4144" i="2"/>
  <c r="F4143" i="2"/>
  <c r="E4143" i="2"/>
  <c r="D4143" i="2"/>
  <c r="F4142" i="2"/>
  <c r="E4142" i="2"/>
  <c r="D4142" i="2"/>
  <c r="F4141" i="2"/>
  <c r="E4141" i="2"/>
  <c r="D4141" i="2"/>
  <c r="F4140" i="2"/>
  <c r="E4140" i="2"/>
  <c r="D4140" i="2"/>
  <c r="F4139" i="2"/>
  <c r="E4139" i="2"/>
  <c r="D4139" i="2"/>
  <c r="F4138" i="2"/>
  <c r="E4138" i="2"/>
  <c r="D4138" i="2"/>
  <c r="F4137" i="2"/>
  <c r="E4137" i="2"/>
  <c r="D4137" i="2"/>
  <c r="F4136" i="2"/>
  <c r="E4136" i="2"/>
  <c r="D4136" i="2"/>
  <c r="F4135" i="2"/>
  <c r="E4135" i="2"/>
  <c r="D4135" i="2"/>
  <c r="F4134" i="2"/>
  <c r="E4134" i="2"/>
  <c r="D4134" i="2"/>
  <c r="F4133" i="2"/>
  <c r="E4133" i="2"/>
  <c r="D4133" i="2"/>
  <c r="F4132" i="2"/>
  <c r="E4132" i="2"/>
  <c r="D4132" i="2"/>
  <c r="F4131" i="2"/>
  <c r="E4131" i="2"/>
  <c r="D4131" i="2"/>
  <c r="F4130" i="2"/>
  <c r="E4130" i="2"/>
  <c r="D4130" i="2"/>
  <c r="F4125" i="2"/>
  <c r="E4125" i="2"/>
  <c r="D4125" i="2"/>
  <c r="F4129" i="2"/>
  <c r="E4129" i="2"/>
  <c r="D4129" i="2"/>
  <c r="F4128" i="2"/>
  <c r="E4128" i="2"/>
  <c r="D4128" i="2"/>
  <c r="F4127" i="2"/>
  <c r="E4127" i="2"/>
  <c r="D4127" i="2"/>
  <c r="F4126" i="2"/>
  <c r="E4126" i="2"/>
  <c r="D4126" i="2"/>
  <c r="F4124" i="2"/>
  <c r="E4124" i="2"/>
  <c r="D4124" i="2"/>
  <c r="F16435" i="2"/>
  <c r="E16435" i="2"/>
  <c r="D16435" i="2"/>
  <c r="F16456" i="2"/>
  <c r="E16456" i="2"/>
  <c r="D16456" i="2"/>
  <c r="F16455" i="2"/>
  <c r="E16455" i="2"/>
  <c r="D16455" i="2"/>
  <c r="F16454" i="2"/>
  <c r="E16454" i="2"/>
  <c r="D16454" i="2"/>
  <c r="F16453" i="2"/>
  <c r="E16453" i="2"/>
  <c r="D16453" i="2"/>
  <c r="F16452" i="2"/>
  <c r="E16452" i="2"/>
  <c r="D16452" i="2"/>
  <c r="F16451" i="2"/>
  <c r="E16451" i="2"/>
  <c r="D16451" i="2"/>
  <c r="F16450" i="2"/>
  <c r="E16450" i="2"/>
  <c r="D16450" i="2"/>
  <c r="F16449" i="2"/>
  <c r="E16449" i="2"/>
  <c r="D16449" i="2"/>
  <c r="F16448" i="2"/>
  <c r="E16448" i="2"/>
  <c r="D16448" i="2"/>
  <c r="F16447" i="2"/>
  <c r="E16447" i="2"/>
  <c r="D16447" i="2"/>
  <c r="F16446" i="2"/>
  <c r="E16446" i="2"/>
  <c r="D16446" i="2"/>
  <c r="F16445" i="2"/>
  <c r="E16445" i="2"/>
  <c r="D16445" i="2"/>
  <c r="F16444" i="2"/>
  <c r="E16444" i="2"/>
  <c r="D16444" i="2"/>
  <c r="F16443" i="2"/>
  <c r="E16443" i="2"/>
  <c r="D16443" i="2"/>
  <c r="F16442" i="2"/>
  <c r="E16442" i="2"/>
  <c r="D16442" i="2"/>
  <c r="F16441" i="2"/>
  <c r="E16441" i="2"/>
  <c r="D16441" i="2"/>
  <c r="F16440" i="2"/>
  <c r="E16440" i="2"/>
  <c r="D16440" i="2"/>
  <c r="F16439" i="2"/>
  <c r="E16439" i="2"/>
  <c r="D16439" i="2"/>
  <c r="F16438" i="2"/>
  <c r="E16438" i="2"/>
  <c r="D16438" i="2"/>
  <c r="F16436" i="2"/>
  <c r="E16436" i="2"/>
  <c r="D16436" i="2"/>
  <c r="F16437" i="2"/>
  <c r="E16437" i="2"/>
  <c r="D16437" i="2"/>
  <c r="F11334" i="2"/>
  <c r="E11334" i="2"/>
  <c r="D11334" i="2"/>
  <c r="F11333" i="2"/>
  <c r="E11333" i="2"/>
  <c r="D11333" i="2"/>
  <c r="F11332" i="2"/>
  <c r="E11332" i="2"/>
  <c r="D11332" i="2"/>
  <c r="F11331" i="2"/>
  <c r="E11331" i="2"/>
  <c r="D11331" i="2"/>
  <c r="F11330" i="2"/>
  <c r="E11330" i="2"/>
  <c r="D11330" i="2"/>
  <c r="F11329" i="2"/>
  <c r="E11329" i="2"/>
  <c r="D11329" i="2"/>
  <c r="F11328" i="2"/>
  <c r="E11328" i="2"/>
  <c r="D11328" i="2"/>
  <c r="F11327" i="2"/>
  <c r="E11327" i="2"/>
  <c r="D11327" i="2"/>
  <c r="F11326" i="2"/>
  <c r="E11326" i="2"/>
  <c r="D11326" i="2"/>
  <c r="F11325" i="2"/>
  <c r="E11325" i="2"/>
  <c r="D11325" i="2"/>
  <c r="F11322" i="2"/>
  <c r="E11322" i="2"/>
  <c r="D11322" i="2"/>
  <c r="F11324" i="2"/>
  <c r="E11324" i="2"/>
  <c r="D11324" i="2"/>
  <c r="F11323" i="2"/>
  <c r="E11323" i="2"/>
  <c r="D11323" i="2"/>
  <c r="F11321" i="2"/>
  <c r="E11321" i="2"/>
  <c r="D11321" i="2"/>
  <c r="F11320" i="2"/>
  <c r="E11320" i="2"/>
  <c r="D11320" i="2"/>
  <c r="F11319" i="2"/>
  <c r="E11319" i="2"/>
  <c r="D11319" i="2"/>
  <c r="F11318" i="2"/>
  <c r="E11318" i="2"/>
  <c r="D11318" i="2"/>
  <c r="F11317" i="2"/>
  <c r="E11317" i="2"/>
  <c r="D11317" i="2"/>
  <c r="F11316" i="2"/>
  <c r="E11316" i="2"/>
  <c r="D11316" i="2"/>
  <c r="F11315" i="2"/>
  <c r="E11315" i="2"/>
  <c r="D11315" i="2"/>
  <c r="F11314" i="2"/>
  <c r="E11314" i="2"/>
  <c r="D11314" i="2"/>
  <c r="F11313" i="2"/>
  <c r="E11313" i="2"/>
  <c r="D11313" i="2"/>
  <c r="F11312" i="2"/>
  <c r="E11312" i="2"/>
  <c r="D11312" i="2"/>
  <c r="F11311" i="2"/>
  <c r="E11311" i="2"/>
  <c r="D11311" i="2"/>
  <c r="F11310" i="2"/>
  <c r="E11310" i="2"/>
  <c r="D11310" i="2"/>
  <c r="F11309" i="2"/>
  <c r="E11309" i="2"/>
  <c r="D11309" i="2"/>
  <c r="F11308" i="2"/>
  <c r="E11308" i="2"/>
  <c r="D11308" i="2"/>
  <c r="F11307" i="2"/>
  <c r="E11307" i="2"/>
  <c r="D11307" i="2"/>
  <c r="F11306" i="2"/>
  <c r="E11306" i="2"/>
  <c r="D11306" i="2"/>
  <c r="F11305" i="2"/>
  <c r="E11305" i="2"/>
  <c r="D11305" i="2"/>
  <c r="F11304" i="2"/>
  <c r="E11304" i="2"/>
  <c r="D11304" i="2"/>
  <c r="F11303" i="2"/>
  <c r="E11303" i="2"/>
  <c r="D11303" i="2"/>
  <c r="F11302" i="2"/>
  <c r="E11302" i="2"/>
  <c r="D11302" i="2"/>
  <c r="F11301" i="2"/>
  <c r="E11301" i="2"/>
  <c r="D11301" i="2"/>
  <c r="F11300" i="2"/>
  <c r="E11300" i="2"/>
  <c r="D11300" i="2"/>
  <c r="F11299" i="2"/>
  <c r="E11299" i="2"/>
  <c r="D11299" i="2"/>
  <c r="F11298" i="2"/>
  <c r="E11298" i="2"/>
  <c r="D11298" i="2"/>
  <c r="F11297" i="2"/>
  <c r="E11297" i="2"/>
  <c r="D11297" i="2"/>
  <c r="F11296" i="2"/>
  <c r="E11296" i="2"/>
  <c r="D11296" i="2"/>
  <c r="F11295" i="2"/>
  <c r="E11295" i="2"/>
  <c r="D11295" i="2"/>
  <c r="F11294" i="2"/>
  <c r="E11294" i="2"/>
  <c r="D11294" i="2"/>
  <c r="F11293" i="2"/>
  <c r="E11293" i="2"/>
  <c r="D11293" i="2"/>
  <c r="F11292" i="2"/>
  <c r="E11292" i="2"/>
  <c r="D11292" i="2"/>
  <c r="F11291" i="2"/>
  <c r="E11291" i="2"/>
  <c r="D11291" i="2"/>
  <c r="F11289" i="2"/>
  <c r="E11289" i="2"/>
  <c r="D11289" i="2"/>
  <c r="F11290" i="2"/>
  <c r="E11290" i="2"/>
  <c r="D11290" i="2"/>
  <c r="F11288" i="2"/>
  <c r="E11288" i="2"/>
  <c r="D11288" i="2"/>
  <c r="F11287" i="2"/>
  <c r="E11287" i="2"/>
  <c r="D11287" i="2"/>
  <c r="F11286" i="2"/>
  <c r="E11286" i="2"/>
  <c r="D11286" i="2"/>
  <c r="F11285" i="2"/>
  <c r="E11285" i="2"/>
  <c r="D11285" i="2"/>
  <c r="F11284" i="2"/>
  <c r="E11284" i="2"/>
  <c r="D11284" i="2"/>
  <c r="F11283" i="2"/>
  <c r="E11283" i="2"/>
  <c r="D11283" i="2"/>
  <c r="F14143" i="2"/>
  <c r="E14143" i="2"/>
  <c r="D14143" i="2"/>
  <c r="F14142" i="2"/>
  <c r="E14142" i="2"/>
  <c r="D14142" i="2"/>
  <c r="F14141" i="2"/>
  <c r="E14141" i="2"/>
  <c r="D14141" i="2"/>
  <c r="F14140" i="2"/>
  <c r="E14140" i="2"/>
  <c r="D14140" i="2"/>
  <c r="F14139" i="2"/>
  <c r="E14139" i="2"/>
  <c r="D14139" i="2"/>
  <c r="F14138" i="2"/>
  <c r="E14138" i="2"/>
  <c r="D14138" i="2"/>
  <c r="F14137" i="2"/>
  <c r="E14137" i="2"/>
  <c r="D14137" i="2"/>
  <c r="F14136" i="2"/>
  <c r="E14136" i="2"/>
  <c r="D14136" i="2"/>
  <c r="F14135" i="2"/>
  <c r="E14135" i="2"/>
  <c r="D14135" i="2"/>
  <c r="F14134" i="2"/>
  <c r="E14134" i="2"/>
  <c r="D14134" i="2"/>
  <c r="F14133" i="2"/>
  <c r="E14133" i="2"/>
  <c r="D14133" i="2"/>
  <c r="F14132" i="2"/>
  <c r="E14132" i="2"/>
  <c r="D14132" i="2"/>
  <c r="F14131" i="2"/>
  <c r="E14131" i="2"/>
  <c r="D14131" i="2"/>
  <c r="F14130" i="2"/>
  <c r="E14130" i="2"/>
  <c r="D14130" i="2"/>
  <c r="F14129" i="2"/>
  <c r="E14129" i="2"/>
  <c r="D14129" i="2"/>
  <c r="F14128" i="2"/>
  <c r="E14128" i="2"/>
  <c r="D14128" i="2"/>
  <c r="F14127" i="2"/>
  <c r="E14127" i="2"/>
  <c r="D14127" i="2"/>
  <c r="F14126" i="2"/>
  <c r="E14126" i="2"/>
  <c r="D14126" i="2"/>
  <c r="F14125" i="2"/>
  <c r="E14125" i="2"/>
  <c r="D14125" i="2"/>
  <c r="F14124" i="2"/>
  <c r="E14124" i="2"/>
  <c r="D14124" i="2"/>
  <c r="F6208" i="2"/>
  <c r="E6208" i="2"/>
  <c r="D6208" i="2"/>
  <c r="F6207" i="2"/>
  <c r="E6207" i="2"/>
  <c r="D6207" i="2"/>
  <c r="F6206" i="2"/>
  <c r="E6206" i="2"/>
  <c r="D6206" i="2"/>
  <c r="F6205" i="2"/>
  <c r="E6205" i="2"/>
  <c r="D6205" i="2"/>
  <c r="F6204" i="2"/>
  <c r="E6204" i="2"/>
  <c r="D6204" i="2"/>
  <c r="F6203" i="2"/>
  <c r="E6203" i="2"/>
  <c r="D6203" i="2"/>
  <c r="F6202" i="2"/>
  <c r="E6202" i="2"/>
  <c r="D6202" i="2"/>
  <c r="F6201" i="2"/>
  <c r="E6201" i="2"/>
  <c r="D6201" i="2"/>
  <c r="F6200" i="2"/>
  <c r="E6200" i="2"/>
  <c r="D6200" i="2"/>
  <c r="F6199" i="2"/>
  <c r="E6199" i="2"/>
  <c r="D6199" i="2"/>
  <c r="F6198" i="2"/>
  <c r="E6198" i="2"/>
  <c r="D6198" i="2"/>
  <c r="F6197" i="2"/>
  <c r="E6197" i="2"/>
  <c r="D6197" i="2"/>
  <c r="F6196" i="2"/>
  <c r="E6196" i="2"/>
  <c r="D6196" i="2"/>
  <c r="F6195" i="2"/>
  <c r="E6195" i="2"/>
  <c r="D6195" i="2"/>
  <c r="F6194" i="2"/>
  <c r="E6194" i="2"/>
  <c r="D6194" i="2"/>
  <c r="F6193" i="2"/>
  <c r="E6193" i="2"/>
  <c r="D6193" i="2"/>
  <c r="F6192" i="2"/>
  <c r="E6192" i="2"/>
  <c r="D6192" i="2"/>
  <c r="F6191" i="2"/>
  <c r="E6191" i="2"/>
  <c r="D6191" i="2"/>
  <c r="F6190" i="2"/>
  <c r="E6190" i="2"/>
  <c r="D6190" i="2"/>
  <c r="F6188" i="2"/>
  <c r="E6188" i="2"/>
  <c r="D6188" i="2"/>
  <c r="F6189" i="2"/>
  <c r="E6189" i="2"/>
  <c r="D6189" i="2"/>
  <c r="F6187" i="2"/>
  <c r="E6187" i="2"/>
  <c r="D6187" i="2"/>
  <c r="F6186" i="2"/>
  <c r="E6186" i="2"/>
  <c r="D6186" i="2"/>
  <c r="F6185" i="2"/>
  <c r="E6185" i="2"/>
  <c r="D6185" i="2"/>
  <c r="F6184" i="2"/>
  <c r="E6184" i="2"/>
  <c r="D6184" i="2"/>
  <c r="F6183" i="2"/>
  <c r="E6183" i="2"/>
  <c r="D6183" i="2"/>
  <c r="F6182" i="2"/>
  <c r="E6182" i="2"/>
  <c r="D6182" i="2"/>
  <c r="F14492" i="2"/>
  <c r="E14492" i="2"/>
  <c r="D14492" i="2"/>
  <c r="F14491" i="2"/>
  <c r="E14491" i="2"/>
  <c r="D14491" i="2"/>
  <c r="F14490" i="2"/>
  <c r="E14490" i="2"/>
  <c r="D14490" i="2"/>
  <c r="F14489" i="2"/>
  <c r="E14489" i="2"/>
  <c r="D14489" i="2"/>
  <c r="F14488" i="2"/>
  <c r="E14488" i="2"/>
  <c r="D14488" i="2"/>
  <c r="F14487" i="2"/>
  <c r="E14487" i="2"/>
  <c r="D14487" i="2"/>
  <c r="F14486" i="2"/>
  <c r="E14486" i="2"/>
  <c r="D14486" i="2"/>
  <c r="F14485" i="2"/>
  <c r="E14485" i="2"/>
  <c r="D14485" i="2"/>
  <c r="F14484" i="2"/>
  <c r="E14484" i="2"/>
  <c r="D14484" i="2"/>
  <c r="F14483" i="2"/>
  <c r="E14483" i="2"/>
  <c r="D14483" i="2"/>
  <c r="F14482" i="2"/>
  <c r="E14482" i="2"/>
  <c r="D14482" i="2"/>
  <c r="F14481" i="2"/>
  <c r="E14481" i="2"/>
  <c r="D14481" i="2"/>
  <c r="F14480" i="2"/>
  <c r="E14480" i="2"/>
  <c r="D14480" i="2"/>
  <c r="F14479" i="2"/>
  <c r="E14479" i="2"/>
  <c r="D14479" i="2"/>
  <c r="F4083" i="2"/>
  <c r="E4083" i="2"/>
  <c r="D4083" i="2"/>
  <c r="F4082" i="2"/>
  <c r="E4082" i="2"/>
  <c r="D4082" i="2"/>
  <c r="F4081" i="2"/>
  <c r="E4081" i="2"/>
  <c r="D4081" i="2"/>
  <c r="F4080" i="2"/>
  <c r="E4080" i="2"/>
  <c r="D4080" i="2"/>
  <c r="F4079" i="2"/>
  <c r="E4079" i="2"/>
  <c r="D4079" i="2"/>
  <c r="F4078" i="2"/>
  <c r="E4078" i="2"/>
  <c r="D4078" i="2"/>
  <c r="F4077" i="2"/>
  <c r="E4077" i="2"/>
  <c r="D4077" i="2"/>
  <c r="F4076" i="2"/>
  <c r="E4076" i="2"/>
  <c r="D4076" i="2"/>
  <c r="F4075" i="2"/>
  <c r="E4075" i="2"/>
  <c r="D4075" i="2"/>
  <c r="F4074" i="2"/>
  <c r="E4074" i="2"/>
  <c r="D4074" i="2"/>
  <c r="F4073" i="2"/>
  <c r="E4073" i="2"/>
  <c r="D4073" i="2"/>
  <c r="F4072" i="2"/>
  <c r="E4072" i="2"/>
  <c r="D4072" i="2"/>
  <c r="F4071" i="2"/>
  <c r="E4071" i="2"/>
  <c r="D4071" i="2"/>
  <c r="F4070" i="2"/>
  <c r="E4070" i="2"/>
  <c r="D4070" i="2"/>
  <c r="F4069" i="2"/>
  <c r="E4069" i="2"/>
  <c r="D4069" i="2"/>
  <c r="F4068" i="2"/>
  <c r="E4068" i="2"/>
  <c r="D4068" i="2"/>
  <c r="F4067" i="2"/>
  <c r="E4067" i="2"/>
  <c r="D4067" i="2"/>
  <c r="F4066" i="2"/>
  <c r="E4066" i="2"/>
  <c r="D4066" i="2"/>
  <c r="F4065" i="2"/>
  <c r="E4065" i="2"/>
  <c r="D4065" i="2"/>
  <c r="F4064" i="2"/>
  <c r="E4064" i="2"/>
  <c r="D4064" i="2"/>
  <c r="F4063" i="2"/>
  <c r="E4063" i="2"/>
  <c r="D4063" i="2"/>
  <c r="F4062" i="2"/>
  <c r="E4062" i="2"/>
  <c r="D4062" i="2"/>
  <c r="F4061" i="2"/>
  <c r="E4061" i="2"/>
  <c r="D4061" i="2"/>
  <c r="F4060" i="2"/>
  <c r="E4060" i="2"/>
  <c r="D4060" i="2"/>
  <c r="F4059" i="2"/>
  <c r="E4059" i="2"/>
  <c r="D4059" i="2"/>
  <c r="F4058" i="2"/>
  <c r="E4058" i="2"/>
  <c r="D4058" i="2"/>
  <c r="F4057" i="2"/>
  <c r="E4057" i="2"/>
  <c r="D4057" i="2"/>
  <c r="F4056" i="2"/>
  <c r="E4056" i="2"/>
  <c r="D4056" i="2"/>
  <c r="F4055" i="2"/>
  <c r="E4055" i="2"/>
  <c r="D4055" i="2"/>
  <c r="F4054" i="2"/>
  <c r="E4054" i="2"/>
  <c r="D4054" i="2"/>
  <c r="F4053" i="2"/>
  <c r="E4053" i="2"/>
  <c r="D4053" i="2"/>
  <c r="F4052" i="2"/>
  <c r="E4052" i="2"/>
  <c r="D4052" i="2"/>
  <c r="F4051" i="2"/>
  <c r="E4051" i="2"/>
  <c r="D4051" i="2"/>
  <c r="F4050" i="2"/>
  <c r="E4050" i="2"/>
  <c r="D4050" i="2"/>
  <c r="F4049" i="2"/>
  <c r="E4049" i="2"/>
  <c r="D4049" i="2"/>
  <c r="F4048" i="2"/>
  <c r="E4048" i="2"/>
  <c r="D4048" i="2"/>
  <c r="F4047" i="2"/>
  <c r="E4047" i="2"/>
  <c r="D4047" i="2"/>
  <c r="F4046" i="2"/>
  <c r="E4046" i="2"/>
  <c r="D4046" i="2"/>
  <c r="F4045" i="2"/>
  <c r="E4045" i="2"/>
  <c r="D4045" i="2"/>
  <c r="F4044" i="2"/>
  <c r="E4044" i="2"/>
  <c r="D4044" i="2"/>
  <c r="F4042" i="2"/>
  <c r="E4042" i="2"/>
  <c r="D4042" i="2"/>
  <c r="F4043" i="2"/>
  <c r="E4043" i="2"/>
  <c r="D4043" i="2"/>
  <c r="F4041" i="2"/>
  <c r="E4041" i="2"/>
  <c r="D4041" i="2"/>
  <c r="F5304" i="2"/>
  <c r="E5304" i="2"/>
  <c r="D5304" i="2"/>
  <c r="F5303" i="2"/>
  <c r="E5303" i="2"/>
  <c r="D5303" i="2"/>
  <c r="F5302" i="2"/>
  <c r="E5302" i="2"/>
  <c r="D5302" i="2"/>
  <c r="F5301" i="2"/>
  <c r="E5301" i="2"/>
  <c r="D5301" i="2"/>
  <c r="F5300" i="2"/>
  <c r="E5300" i="2"/>
  <c r="D5300" i="2"/>
  <c r="F5299" i="2"/>
  <c r="E5299" i="2"/>
  <c r="D5299" i="2"/>
  <c r="F5298" i="2"/>
  <c r="E5298" i="2"/>
  <c r="D5298" i="2"/>
  <c r="F5297" i="2"/>
  <c r="E5297" i="2"/>
  <c r="D5297" i="2"/>
  <c r="F5296" i="2"/>
  <c r="E5296" i="2"/>
  <c r="D5296" i="2"/>
  <c r="F5295" i="2"/>
  <c r="E5295" i="2"/>
  <c r="D5295" i="2"/>
  <c r="F5294" i="2"/>
  <c r="E5294" i="2"/>
  <c r="D5294" i="2"/>
  <c r="F5293" i="2"/>
  <c r="E5293" i="2"/>
  <c r="D5293" i="2"/>
  <c r="F5292" i="2"/>
  <c r="E5292" i="2"/>
  <c r="D5292" i="2"/>
  <c r="F5291" i="2"/>
  <c r="E5291" i="2"/>
  <c r="D5291" i="2"/>
  <c r="F5290" i="2"/>
  <c r="E5290" i="2"/>
  <c r="D5290" i="2"/>
  <c r="F5289" i="2"/>
  <c r="E5289" i="2"/>
  <c r="D5289" i="2"/>
  <c r="F5288" i="2"/>
  <c r="E5288" i="2"/>
  <c r="D5288" i="2"/>
  <c r="F5287" i="2"/>
  <c r="E5287" i="2"/>
  <c r="D5287" i="2"/>
  <c r="F5286" i="2"/>
  <c r="E5286" i="2"/>
  <c r="D5286" i="2"/>
  <c r="F5285" i="2"/>
  <c r="E5285" i="2"/>
  <c r="D5285" i="2"/>
  <c r="F5284" i="2"/>
  <c r="E5284" i="2"/>
  <c r="D5284" i="2"/>
  <c r="F5283" i="2"/>
  <c r="E5283" i="2"/>
  <c r="D5283" i="2"/>
  <c r="F5282" i="2"/>
  <c r="E5282" i="2"/>
  <c r="D5282" i="2"/>
  <c r="F5281" i="2"/>
  <c r="E5281" i="2"/>
  <c r="D5281" i="2"/>
  <c r="F5280" i="2"/>
  <c r="E5280" i="2"/>
  <c r="D5280" i="2"/>
  <c r="F5279" i="2"/>
  <c r="E5279" i="2"/>
  <c r="D5279" i="2"/>
  <c r="F5278" i="2"/>
  <c r="E5278" i="2"/>
  <c r="D5278" i="2"/>
  <c r="F5277" i="2"/>
  <c r="E5277" i="2"/>
  <c r="D5277" i="2"/>
  <c r="F5276" i="2"/>
  <c r="E5276" i="2"/>
  <c r="D5276" i="2"/>
  <c r="F5275" i="2"/>
  <c r="E5275" i="2"/>
  <c r="D5275" i="2"/>
  <c r="F5274" i="2"/>
  <c r="E5274" i="2"/>
  <c r="D5274" i="2"/>
  <c r="F5273" i="2"/>
  <c r="E5273" i="2"/>
  <c r="D5273" i="2"/>
  <c r="F5272" i="2"/>
  <c r="E5272" i="2"/>
  <c r="D5272" i="2"/>
  <c r="F5271" i="2"/>
  <c r="E5271" i="2"/>
  <c r="D5271" i="2"/>
  <c r="F5270" i="2"/>
  <c r="E5270" i="2"/>
  <c r="D5270" i="2"/>
  <c r="F5269" i="2"/>
  <c r="E5269" i="2"/>
  <c r="D5269" i="2"/>
  <c r="F5268" i="2"/>
  <c r="E5268" i="2"/>
  <c r="D5268" i="2"/>
  <c r="F5267" i="2"/>
  <c r="E5267" i="2"/>
  <c r="D5267" i="2"/>
  <c r="F5266" i="2"/>
  <c r="E5266" i="2"/>
  <c r="D5266" i="2"/>
  <c r="F5265" i="2"/>
  <c r="E5265" i="2"/>
  <c r="D5265" i="2"/>
  <c r="F5264" i="2"/>
  <c r="E5264" i="2"/>
  <c r="D5264" i="2"/>
  <c r="F5263" i="2"/>
  <c r="E5263" i="2"/>
  <c r="D5263" i="2"/>
  <c r="F5262" i="2"/>
  <c r="E5262" i="2"/>
  <c r="D5262" i="2"/>
  <c r="F5261" i="2"/>
  <c r="E5261" i="2"/>
  <c r="D5261" i="2"/>
  <c r="F5260" i="2"/>
  <c r="E5260" i="2"/>
  <c r="D5260" i="2"/>
  <c r="F5259" i="2"/>
  <c r="E5259" i="2"/>
  <c r="D5259" i="2"/>
  <c r="F5258" i="2"/>
  <c r="E5258" i="2"/>
  <c r="D5258" i="2"/>
  <c r="F5257" i="2"/>
  <c r="E5257" i="2"/>
  <c r="D5257" i="2"/>
  <c r="F5256" i="2"/>
  <c r="E5256" i="2"/>
  <c r="D5256" i="2"/>
  <c r="F5255" i="2"/>
  <c r="E5255" i="2"/>
  <c r="D5255" i="2"/>
  <c r="F5254" i="2"/>
  <c r="E5254" i="2"/>
  <c r="D5254" i="2"/>
  <c r="F5253" i="2"/>
  <c r="E5253" i="2"/>
  <c r="D5253" i="2"/>
  <c r="F5252" i="2"/>
  <c r="E5252" i="2"/>
  <c r="D5252" i="2"/>
  <c r="F5251" i="2"/>
  <c r="E5251" i="2"/>
  <c r="D5251" i="2"/>
  <c r="F5250" i="2"/>
  <c r="E5250" i="2"/>
  <c r="D5250" i="2"/>
  <c r="F5249" i="2"/>
  <c r="E5249" i="2"/>
  <c r="D5249" i="2"/>
  <c r="F5248" i="2"/>
  <c r="E5248" i="2"/>
  <c r="D5248" i="2"/>
  <c r="F5247" i="2"/>
  <c r="E5247" i="2"/>
  <c r="D5247" i="2"/>
  <c r="F5246" i="2"/>
  <c r="E5246" i="2"/>
  <c r="D5246" i="2"/>
  <c r="F5245" i="2"/>
  <c r="E5245" i="2"/>
  <c r="D5245" i="2"/>
  <c r="F5244" i="2"/>
  <c r="E5244" i="2"/>
  <c r="D5244" i="2"/>
  <c r="F5243" i="2"/>
  <c r="E5243" i="2"/>
  <c r="D5243" i="2"/>
  <c r="F5242" i="2"/>
  <c r="E5242" i="2"/>
  <c r="D5242" i="2"/>
  <c r="F5241" i="2"/>
  <c r="E5241" i="2"/>
  <c r="D5241" i="2"/>
  <c r="F5240" i="2"/>
  <c r="E5240" i="2"/>
  <c r="D5240" i="2"/>
  <c r="F5238" i="2"/>
  <c r="E5238" i="2"/>
  <c r="D5238" i="2"/>
  <c r="F5239" i="2"/>
  <c r="E5239" i="2"/>
  <c r="D5239" i="2"/>
  <c r="F5237" i="2"/>
  <c r="E5237" i="2"/>
  <c r="D5237" i="2"/>
  <c r="F5236" i="2"/>
  <c r="E5236" i="2"/>
  <c r="D5236" i="2"/>
  <c r="F5235" i="2"/>
  <c r="E5235" i="2"/>
  <c r="D5235" i="2"/>
  <c r="F5234" i="2"/>
  <c r="E5234" i="2"/>
  <c r="D5234" i="2"/>
  <c r="F5233" i="2"/>
  <c r="E5233" i="2"/>
  <c r="D5233" i="2"/>
  <c r="F5232" i="2"/>
  <c r="E5232" i="2"/>
  <c r="D5232" i="2"/>
  <c r="F5231" i="2"/>
  <c r="E5231" i="2"/>
  <c r="D5231" i="2"/>
  <c r="F5230" i="2"/>
  <c r="E5230" i="2"/>
  <c r="D5230" i="2"/>
  <c r="F5229" i="2"/>
  <c r="E5229" i="2"/>
  <c r="D5229" i="2"/>
  <c r="F5228" i="2"/>
  <c r="E5228" i="2"/>
  <c r="D5228" i="2"/>
  <c r="F5227" i="2"/>
  <c r="E5227" i="2"/>
  <c r="D5227" i="2"/>
  <c r="F5226" i="2"/>
  <c r="E5226" i="2"/>
  <c r="D5226" i="2"/>
  <c r="F3683" i="2"/>
  <c r="E3683" i="2"/>
  <c r="D3683" i="2"/>
  <c r="F3719" i="2"/>
  <c r="E3719" i="2"/>
  <c r="D3719" i="2"/>
  <c r="F3718" i="2"/>
  <c r="E3718" i="2"/>
  <c r="D3718" i="2"/>
  <c r="F3717" i="2"/>
  <c r="E3717" i="2"/>
  <c r="D3717" i="2"/>
  <c r="F3716" i="2"/>
  <c r="E3716" i="2"/>
  <c r="D3716" i="2"/>
  <c r="F3715" i="2"/>
  <c r="E3715" i="2"/>
  <c r="D3715" i="2"/>
  <c r="F3714" i="2"/>
  <c r="E3714" i="2"/>
  <c r="D3714" i="2"/>
  <c r="F3713" i="2"/>
  <c r="E3713" i="2"/>
  <c r="D3713" i="2"/>
  <c r="F3712" i="2"/>
  <c r="E3712" i="2"/>
  <c r="D3712" i="2"/>
  <c r="F3711" i="2"/>
  <c r="E3711" i="2"/>
  <c r="D3711" i="2"/>
  <c r="F3710" i="2"/>
  <c r="E3710" i="2"/>
  <c r="D3710" i="2"/>
  <c r="F3709" i="2"/>
  <c r="E3709" i="2"/>
  <c r="D3709" i="2"/>
  <c r="F3708" i="2"/>
  <c r="E3708" i="2"/>
  <c r="D3708" i="2"/>
  <c r="F3707" i="2"/>
  <c r="E3707" i="2"/>
  <c r="D3707" i="2"/>
  <c r="F3706" i="2"/>
  <c r="E3706" i="2"/>
  <c r="D3706" i="2"/>
  <c r="F3705" i="2"/>
  <c r="E3705" i="2"/>
  <c r="D3705" i="2"/>
  <c r="F3704" i="2"/>
  <c r="E3704" i="2"/>
  <c r="D3704" i="2"/>
  <c r="F3703" i="2"/>
  <c r="E3703" i="2"/>
  <c r="D3703" i="2"/>
  <c r="F3702" i="2"/>
  <c r="E3702" i="2"/>
  <c r="D3702" i="2"/>
  <c r="F3701" i="2"/>
  <c r="E3701" i="2"/>
  <c r="D3701" i="2"/>
  <c r="F3700" i="2"/>
  <c r="E3700" i="2"/>
  <c r="D3700" i="2"/>
  <c r="F3699" i="2"/>
  <c r="E3699" i="2"/>
  <c r="D3699" i="2"/>
  <c r="F3698" i="2"/>
  <c r="E3698" i="2"/>
  <c r="D3698" i="2"/>
  <c r="F3697" i="2"/>
  <c r="E3697" i="2"/>
  <c r="D3697" i="2"/>
  <c r="F3696" i="2"/>
  <c r="E3696" i="2"/>
  <c r="D3696" i="2"/>
  <c r="F3695" i="2"/>
  <c r="E3695" i="2"/>
  <c r="D3695" i="2"/>
  <c r="F3694" i="2"/>
  <c r="E3694" i="2"/>
  <c r="D3694" i="2"/>
  <c r="F3693" i="2"/>
  <c r="E3693" i="2"/>
  <c r="D3693" i="2"/>
  <c r="F3692" i="2"/>
  <c r="E3692" i="2"/>
  <c r="D3692" i="2"/>
  <c r="F3691" i="2"/>
  <c r="E3691" i="2"/>
  <c r="D3691" i="2"/>
  <c r="F3689" i="2"/>
  <c r="E3689" i="2"/>
  <c r="D3689" i="2"/>
  <c r="F3690" i="2"/>
  <c r="E3690" i="2"/>
  <c r="D3690" i="2"/>
  <c r="F3688" i="2"/>
  <c r="E3688" i="2"/>
  <c r="D3688" i="2"/>
  <c r="F3687" i="2"/>
  <c r="E3687" i="2"/>
  <c r="D3687" i="2"/>
  <c r="F3686" i="2"/>
  <c r="E3686" i="2"/>
  <c r="D3686" i="2"/>
  <c r="F3685" i="2"/>
  <c r="E3685" i="2"/>
  <c r="D3685" i="2"/>
  <c r="F3684" i="2"/>
  <c r="E3684" i="2"/>
  <c r="D3684" i="2"/>
  <c r="F14562" i="2"/>
  <c r="E14562" i="2"/>
  <c r="D14562" i="2"/>
  <c r="F14561" i="2"/>
  <c r="E14561" i="2"/>
  <c r="D14561" i="2"/>
  <c r="F14560" i="2"/>
  <c r="E14560" i="2"/>
  <c r="D14560" i="2"/>
  <c r="F14559" i="2"/>
  <c r="E14559" i="2"/>
  <c r="D14559" i="2"/>
  <c r="F14558" i="2"/>
  <c r="E14558" i="2"/>
  <c r="D14558" i="2"/>
  <c r="F14557" i="2"/>
  <c r="E14557" i="2"/>
  <c r="D14557" i="2"/>
  <c r="F14556" i="2"/>
  <c r="E14556" i="2"/>
  <c r="D14556" i="2"/>
  <c r="F14555" i="2"/>
  <c r="E14555" i="2"/>
  <c r="D14555" i="2"/>
  <c r="F14554" i="2"/>
  <c r="E14554" i="2"/>
  <c r="D14554" i="2"/>
  <c r="F14553" i="2"/>
  <c r="E14553" i="2"/>
  <c r="D14553" i="2"/>
  <c r="F14552" i="2"/>
  <c r="E14552" i="2"/>
  <c r="D14552" i="2"/>
  <c r="F14551" i="2"/>
  <c r="E14551" i="2"/>
  <c r="D14551" i="2"/>
  <c r="F14550" i="2"/>
  <c r="E14550" i="2"/>
  <c r="D14550" i="2"/>
  <c r="F14549" i="2"/>
  <c r="E14549" i="2"/>
  <c r="D14549" i="2"/>
  <c r="F14548" i="2"/>
  <c r="E14548" i="2"/>
  <c r="D14548" i="2"/>
  <c r="F14547" i="2"/>
  <c r="E14547" i="2"/>
  <c r="D14547" i="2"/>
  <c r="F14546" i="2"/>
  <c r="E14546" i="2"/>
  <c r="D14546" i="2"/>
  <c r="F14545" i="2"/>
  <c r="E14545" i="2"/>
  <c r="D14545" i="2"/>
  <c r="F14544" i="2"/>
  <c r="E14544" i="2"/>
  <c r="D14544" i="2"/>
  <c r="F14543" i="2"/>
  <c r="E14543" i="2"/>
  <c r="D14543" i="2"/>
  <c r="F14542" i="2"/>
  <c r="E14542" i="2"/>
  <c r="D14542" i="2"/>
  <c r="F14541" i="2"/>
  <c r="E14541" i="2"/>
  <c r="D14541" i="2"/>
  <c r="F14540" i="2"/>
  <c r="E14540" i="2"/>
  <c r="D14540" i="2"/>
  <c r="F14539" i="2"/>
  <c r="E14539" i="2"/>
  <c r="D14539" i="2"/>
  <c r="F14538" i="2"/>
  <c r="E14538" i="2"/>
  <c r="D14538" i="2"/>
  <c r="F14537" i="2"/>
  <c r="E14537" i="2"/>
  <c r="D14537" i="2"/>
  <c r="F14536" i="2"/>
  <c r="E14536" i="2"/>
  <c r="D14536" i="2"/>
  <c r="F14535" i="2"/>
  <c r="E14535" i="2"/>
  <c r="D14535" i="2"/>
  <c r="F14534" i="2"/>
  <c r="E14534" i="2"/>
  <c r="D14534" i="2"/>
  <c r="F14533" i="2"/>
  <c r="E14533" i="2"/>
  <c r="D14533" i="2"/>
  <c r="F14532" i="2"/>
  <c r="E14532" i="2"/>
  <c r="D14532" i="2"/>
  <c r="F14531" i="2"/>
  <c r="E14531" i="2"/>
  <c r="D14531" i="2"/>
  <c r="F14530" i="2"/>
  <c r="E14530" i="2"/>
  <c r="D14530" i="2"/>
  <c r="F14529" i="2"/>
  <c r="E14529" i="2"/>
  <c r="D14529" i="2"/>
  <c r="F14528" i="2"/>
  <c r="E14528" i="2"/>
  <c r="D14528" i="2"/>
  <c r="F14527" i="2"/>
  <c r="E14527" i="2"/>
  <c r="D14527" i="2"/>
  <c r="F5376" i="2"/>
  <c r="E5376" i="2"/>
  <c r="D5376" i="2"/>
  <c r="F5375" i="2"/>
  <c r="E5375" i="2"/>
  <c r="D5375" i="2"/>
  <c r="F5374" i="2"/>
  <c r="E5374" i="2"/>
  <c r="D5374" i="2"/>
  <c r="F5373" i="2"/>
  <c r="E5373" i="2"/>
  <c r="D5373" i="2"/>
  <c r="F5372" i="2"/>
  <c r="E5372" i="2"/>
  <c r="D5372" i="2"/>
  <c r="F5371" i="2"/>
  <c r="E5371" i="2"/>
  <c r="D5371" i="2"/>
  <c r="F5370" i="2"/>
  <c r="E5370" i="2"/>
  <c r="D5370" i="2"/>
  <c r="F5369" i="2"/>
  <c r="E5369" i="2"/>
  <c r="D5369" i="2"/>
  <c r="F5368" i="2"/>
  <c r="E5368" i="2"/>
  <c r="D5368" i="2"/>
  <c r="F5367" i="2"/>
  <c r="E5367" i="2"/>
  <c r="D5367" i="2"/>
  <c r="F5366" i="2"/>
  <c r="E5366" i="2"/>
  <c r="D5366" i="2"/>
  <c r="F5365" i="2"/>
  <c r="E5365" i="2"/>
  <c r="D5365" i="2"/>
  <c r="F5364" i="2"/>
  <c r="E5364" i="2"/>
  <c r="D5364" i="2"/>
  <c r="F5363" i="2"/>
  <c r="E5363" i="2"/>
  <c r="D5363" i="2"/>
  <c r="F5362" i="2"/>
  <c r="E5362" i="2"/>
  <c r="D5362" i="2"/>
  <c r="F5361" i="2"/>
  <c r="E5361" i="2"/>
  <c r="D5361" i="2"/>
  <c r="F5360" i="2"/>
  <c r="E5360" i="2"/>
  <c r="D5360" i="2"/>
  <c r="F5359" i="2"/>
  <c r="E5359" i="2"/>
  <c r="D5359" i="2"/>
  <c r="F5358" i="2"/>
  <c r="E5358" i="2"/>
  <c r="D5358" i="2"/>
  <c r="F5357" i="2"/>
  <c r="E5357" i="2"/>
  <c r="D5357" i="2"/>
  <c r="F5356" i="2"/>
  <c r="E5356" i="2"/>
  <c r="D5356" i="2"/>
  <c r="F5355" i="2"/>
  <c r="E5355" i="2"/>
  <c r="D5355" i="2"/>
  <c r="F5354" i="2"/>
  <c r="E5354" i="2"/>
  <c r="D5354" i="2"/>
  <c r="F5353" i="2"/>
  <c r="E5353" i="2"/>
  <c r="D5353" i="2"/>
  <c r="F5352" i="2"/>
  <c r="E5352" i="2"/>
  <c r="D5352" i="2"/>
  <c r="F5351" i="2"/>
  <c r="E5351" i="2"/>
  <c r="D5351" i="2"/>
  <c r="F5350" i="2"/>
  <c r="E5350" i="2"/>
  <c r="D5350" i="2"/>
  <c r="F5349" i="2"/>
  <c r="E5349" i="2"/>
  <c r="D5349" i="2"/>
  <c r="F5348" i="2"/>
  <c r="E5348" i="2"/>
  <c r="D5348" i="2"/>
  <c r="F5347" i="2"/>
  <c r="E5347" i="2"/>
  <c r="D5347" i="2"/>
  <c r="F5346" i="2"/>
  <c r="E5346" i="2"/>
  <c r="D5346" i="2"/>
  <c r="F5345" i="2"/>
  <c r="E5345" i="2"/>
  <c r="D5345" i="2"/>
  <c r="F5344" i="2"/>
  <c r="E5344" i="2"/>
  <c r="D5344" i="2"/>
  <c r="F5343" i="2"/>
  <c r="E5343" i="2"/>
  <c r="D5343" i="2"/>
  <c r="F5342" i="2"/>
  <c r="E5342" i="2"/>
  <c r="D5342" i="2"/>
  <c r="F5341" i="2"/>
  <c r="E5341" i="2"/>
  <c r="D5341" i="2"/>
  <c r="F5340" i="2"/>
  <c r="E5340" i="2"/>
  <c r="D5340" i="2"/>
  <c r="F5339" i="2"/>
  <c r="E5339" i="2"/>
  <c r="D5339" i="2"/>
  <c r="F5338" i="2"/>
  <c r="E5338" i="2"/>
  <c r="D5338" i="2"/>
  <c r="F5337" i="2"/>
  <c r="E5337" i="2"/>
  <c r="D5337" i="2"/>
  <c r="F5336" i="2"/>
  <c r="E5336" i="2"/>
  <c r="D5336" i="2"/>
  <c r="F5335" i="2"/>
  <c r="E5335" i="2"/>
  <c r="D5335" i="2"/>
  <c r="F5334" i="2"/>
  <c r="E5334" i="2"/>
  <c r="D5334" i="2"/>
  <c r="F5333" i="2"/>
  <c r="E5333" i="2"/>
  <c r="D5333" i="2"/>
  <c r="F5332" i="2"/>
  <c r="E5332" i="2"/>
  <c r="D5332" i="2"/>
  <c r="F5331" i="2"/>
  <c r="E5331" i="2"/>
  <c r="D5331" i="2"/>
  <c r="F5330" i="2"/>
  <c r="E5330" i="2"/>
  <c r="D5330" i="2"/>
  <c r="F5329" i="2"/>
  <c r="E5329" i="2"/>
  <c r="D5329" i="2"/>
  <c r="F5328" i="2"/>
  <c r="E5328" i="2"/>
  <c r="D5328" i="2"/>
  <c r="F5327" i="2"/>
  <c r="E5327" i="2"/>
  <c r="D5327" i="2"/>
  <c r="F5326" i="2"/>
  <c r="E5326" i="2"/>
  <c r="D5326" i="2"/>
  <c r="F5325" i="2"/>
  <c r="E5325" i="2"/>
  <c r="D5325" i="2"/>
  <c r="F5324" i="2"/>
  <c r="E5324" i="2"/>
  <c r="D5324" i="2"/>
  <c r="F5323" i="2"/>
  <c r="E5323" i="2"/>
  <c r="D5323" i="2"/>
  <c r="F5322" i="2"/>
  <c r="E5322" i="2"/>
  <c r="D5322" i="2"/>
  <c r="F5321" i="2"/>
  <c r="E5321" i="2"/>
  <c r="D5321" i="2"/>
  <c r="F5320" i="2"/>
  <c r="E5320" i="2"/>
  <c r="D5320" i="2"/>
  <c r="F5319" i="2"/>
  <c r="E5319" i="2"/>
  <c r="D5319" i="2"/>
  <c r="F5318" i="2"/>
  <c r="E5318" i="2"/>
  <c r="D5318" i="2"/>
  <c r="F5317" i="2"/>
  <c r="E5317" i="2"/>
  <c r="D5317" i="2"/>
  <c r="F5316" i="2"/>
  <c r="E5316" i="2"/>
  <c r="D5316" i="2"/>
  <c r="F5315" i="2"/>
  <c r="E5315" i="2"/>
  <c r="D5315" i="2"/>
  <c r="F5314" i="2"/>
  <c r="E5314" i="2"/>
  <c r="D5314" i="2"/>
  <c r="F5313" i="2"/>
  <c r="E5313" i="2"/>
  <c r="D5313" i="2"/>
  <c r="F5312" i="2"/>
  <c r="E5312" i="2"/>
  <c r="D5312" i="2"/>
  <c r="F5311" i="2"/>
  <c r="E5311" i="2"/>
  <c r="D5311" i="2"/>
  <c r="F5310" i="2"/>
  <c r="E5310" i="2"/>
  <c r="D5310" i="2"/>
  <c r="F5309" i="2"/>
  <c r="E5309" i="2"/>
  <c r="D5309" i="2"/>
  <c r="F5308" i="2"/>
  <c r="E5308" i="2"/>
  <c r="D5308" i="2"/>
  <c r="F5307" i="2"/>
  <c r="E5307" i="2"/>
  <c r="D5307" i="2"/>
  <c r="F5306" i="2"/>
  <c r="E5306" i="2"/>
  <c r="D5306" i="2"/>
  <c r="F5305" i="2"/>
  <c r="E5305" i="2"/>
  <c r="D5305" i="2"/>
  <c r="F2796" i="2"/>
  <c r="E2796" i="2"/>
  <c r="D2796" i="2"/>
  <c r="F2795" i="2"/>
  <c r="E2795" i="2"/>
  <c r="D2795" i="2"/>
  <c r="F2794" i="2"/>
  <c r="E2794" i="2"/>
  <c r="D2794" i="2"/>
  <c r="F2793" i="2"/>
  <c r="E2793" i="2"/>
  <c r="D2793" i="2"/>
  <c r="F2792" i="2"/>
  <c r="E2792" i="2"/>
  <c r="D2792" i="2"/>
  <c r="F2791" i="2"/>
  <c r="E2791" i="2"/>
  <c r="D2791" i="2"/>
  <c r="F2790" i="2"/>
  <c r="E2790" i="2"/>
  <c r="D2790" i="2"/>
  <c r="F2789" i="2"/>
  <c r="E2789" i="2"/>
  <c r="D2789" i="2"/>
  <c r="F2788" i="2"/>
  <c r="E2788" i="2"/>
  <c r="D2788" i="2"/>
  <c r="F2787" i="2"/>
  <c r="E2787" i="2"/>
  <c r="D2787" i="2"/>
  <c r="F2786" i="2"/>
  <c r="E2786" i="2"/>
  <c r="D2786" i="2"/>
  <c r="F2785" i="2"/>
  <c r="E2785" i="2"/>
  <c r="D2785" i="2"/>
  <c r="F2784" i="2"/>
  <c r="E2784" i="2"/>
  <c r="D2784" i="2"/>
  <c r="F2783" i="2"/>
  <c r="E2783" i="2"/>
  <c r="D2783" i="2"/>
  <c r="F2782" i="2"/>
  <c r="E2782" i="2"/>
  <c r="D2782" i="2"/>
  <c r="F2781" i="2"/>
  <c r="E2781" i="2"/>
  <c r="D2781" i="2"/>
  <c r="F2780" i="2"/>
  <c r="E2780" i="2"/>
  <c r="D2780" i="2"/>
  <c r="F2779" i="2"/>
  <c r="E2779" i="2"/>
  <c r="D2779" i="2"/>
  <c r="F2778" i="2"/>
  <c r="E2778" i="2"/>
  <c r="D2778" i="2"/>
  <c r="F2777" i="2"/>
  <c r="E2777" i="2"/>
  <c r="D2777" i="2"/>
  <c r="F2776" i="2"/>
  <c r="E2776" i="2"/>
  <c r="D2776" i="2"/>
  <c r="F2775" i="2"/>
  <c r="E2775" i="2"/>
  <c r="D2775" i="2"/>
  <c r="F2774" i="2"/>
  <c r="E2774" i="2"/>
  <c r="D2774" i="2"/>
  <c r="F2773" i="2"/>
  <c r="E2773" i="2"/>
  <c r="D2773" i="2"/>
  <c r="F2772" i="2"/>
  <c r="E2772" i="2"/>
  <c r="D2772" i="2"/>
  <c r="F2771" i="2"/>
  <c r="E2771" i="2"/>
  <c r="D2771" i="2"/>
  <c r="F2770" i="2"/>
  <c r="E2770" i="2"/>
  <c r="D2770" i="2"/>
  <c r="F2769" i="2"/>
  <c r="E2769" i="2"/>
  <c r="D2769" i="2"/>
  <c r="F2768" i="2"/>
  <c r="E2768" i="2"/>
  <c r="D2768" i="2"/>
  <c r="F2767" i="2"/>
  <c r="E2767" i="2"/>
  <c r="D2767" i="2"/>
  <c r="F2766" i="2"/>
  <c r="E2766" i="2"/>
  <c r="D2766" i="2"/>
  <c r="F2765" i="2"/>
  <c r="E2765" i="2"/>
  <c r="D2765" i="2"/>
  <c r="F2764" i="2"/>
  <c r="E2764" i="2"/>
  <c r="D2764" i="2"/>
  <c r="F2763" i="2"/>
  <c r="E2763" i="2"/>
  <c r="D2763" i="2"/>
  <c r="F2762" i="2"/>
  <c r="E2762" i="2"/>
  <c r="D2762" i="2"/>
  <c r="F2761" i="2"/>
  <c r="E2761" i="2"/>
  <c r="D2761" i="2"/>
  <c r="F2760" i="2"/>
  <c r="E2760" i="2"/>
  <c r="D2760" i="2"/>
  <c r="F2759" i="2"/>
  <c r="E2759" i="2"/>
  <c r="D2759" i="2"/>
  <c r="F2758" i="2"/>
  <c r="E2758" i="2"/>
  <c r="D2758" i="2"/>
  <c r="F2757" i="2"/>
  <c r="E2757" i="2"/>
  <c r="D2757" i="2"/>
  <c r="F2756" i="2"/>
  <c r="E2756" i="2"/>
  <c r="D2756" i="2"/>
  <c r="F2755" i="2"/>
  <c r="E2755" i="2"/>
  <c r="D2755" i="2"/>
  <c r="F2754" i="2"/>
  <c r="E2754" i="2"/>
  <c r="D2754" i="2"/>
  <c r="F2753" i="2"/>
  <c r="E2753" i="2"/>
  <c r="D2753" i="2"/>
  <c r="F2752" i="2"/>
  <c r="E2752" i="2"/>
  <c r="D2752" i="2"/>
  <c r="F2751" i="2"/>
  <c r="E2751" i="2"/>
  <c r="D2751" i="2"/>
  <c r="F2749" i="2"/>
  <c r="E2749" i="2"/>
  <c r="D2749" i="2"/>
  <c r="F2750" i="2"/>
  <c r="E2750" i="2"/>
  <c r="D2750" i="2"/>
  <c r="F2748" i="2"/>
  <c r="E2748" i="2"/>
  <c r="D2748" i="2"/>
  <c r="F2747" i="2"/>
  <c r="E2747" i="2"/>
  <c r="D2747" i="2"/>
  <c r="F2746" i="2"/>
  <c r="E2746" i="2"/>
  <c r="D2746" i="2"/>
  <c r="F2745" i="2"/>
  <c r="E2745" i="2"/>
  <c r="D2745" i="2"/>
  <c r="F2744" i="2"/>
  <c r="E2744" i="2"/>
  <c r="D2744" i="2"/>
  <c r="F2743" i="2"/>
  <c r="E2743" i="2"/>
  <c r="D2743" i="2"/>
  <c r="F2742" i="2"/>
  <c r="E2742" i="2"/>
  <c r="D2742" i="2"/>
  <c r="F2741" i="2"/>
  <c r="E2741" i="2"/>
  <c r="D2741" i="2"/>
  <c r="F2740" i="2"/>
  <c r="E2740" i="2"/>
  <c r="D2740" i="2"/>
  <c r="F2739" i="2"/>
  <c r="E2739" i="2"/>
  <c r="D2739" i="2"/>
  <c r="F2738" i="2"/>
  <c r="E2738" i="2"/>
  <c r="D2738" i="2"/>
  <c r="F2736" i="2"/>
  <c r="E2736" i="2"/>
  <c r="D2736" i="2"/>
  <c r="F2737" i="2"/>
  <c r="E2737" i="2"/>
  <c r="D2737" i="2"/>
  <c r="F2735" i="2"/>
  <c r="E2735" i="2"/>
  <c r="D2735" i="2"/>
  <c r="F2734" i="2"/>
  <c r="E2734" i="2"/>
  <c r="D2734" i="2"/>
  <c r="F2733" i="2"/>
  <c r="E2733" i="2"/>
  <c r="D2733" i="2"/>
  <c r="F2732" i="2"/>
  <c r="E2732" i="2"/>
  <c r="D2732" i="2"/>
  <c r="F2731" i="2"/>
  <c r="E2731" i="2"/>
  <c r="D2731" i="2"/>
  <c r="F2730" i="2"/>
  <c r="E2730" i="2"/>
  <c r="D2730" i="2"/>
  <c r="F2729" i="2"/>
  <c r="E2729" i="2"/>
  <c r="D2729" i="2"/>
  <c r="F2728" i="2"/>
  <c r="E2728" i="2"/>
  <c r="D2728" i="2"/>
  <c r="F2727" i="2"/>
  <c r="E2727" i="2"/>
  <c r="D2727" i="2"/>
  <c r="F2726" i="2"/>
  <c r="E2726" i="2"/>
  <c r="D2726" i="2"/>
  <c r="F2725" i="2"/>
  <c r="E2725" i="2"/>
  <c r="D2725" i="2"/>
  <c r="F2724" i="2"/>
  <c r="E2724" i="2"/>
  <c r="D2724" i="2"/>
  <c r="F2723" i="2"/>
  <c r="E2723" i="2"/>
  <c r="D2723" i="2"/>
  <c r="F2722" i="2"/>
  <c r="E2722" i="2"/>
  <c r="D2722" i="2"/>
  <c r="F2721" i="2"/>
  <c r="E2721" i="2"/>
  <c r="D2721" i="2"/>
  <c r="F2720" i="2"/>
  <c r="E2720" i="2"/>
  <c r="D2720" i="2"/>
  <c r="F2719" i="2"/>
  <c r="E2719" i="2"/>
  <c r="D2719" i="2"/>
  <c r="F2718" i="2"/>
  <c r="E2718" i="2"/>
  <c r="D2718" i="2"/>
  <c r="F2717" i="2"/>
  <c r="E2717" i="2"/>
  <c r="D2717" i="2"/>
  <c r="F2716" i="2"/>
  <c r="E2716" i="2"/>
  <c r="D2716" i="2"/>
  <c r="F2715" i="2"/>
  <c r="E2715" i="2"/>
  <c r="D2715" i="2"/>
  <c r="F13338" i="2"/>
  <c r="E13338" i="2"/>
  <c r="D13338" i="2"/>
  <c r="F13336" i="2"/>
  <c r="E13336" i="2"/>
  <c r="D13336" i="2"/>
  <c r="F13337" i="2"/>
  <c r="E13337" i="2"/>
  <c r="D13337" i="2"/>
  <c r="F13335" i="2"/>
  <c r="E13335" i="2"/>
  <c r="D13335" i="2"/>
  <c r="F13334" i="2"/>
  <c r="E13334" i="2"/>
  <c r="D13334" i="2"/>
  <c r="F13332" i="2"/>
  <c r="E13332" i="2"/>
  <c r="D13332" i="2"/>
  <c r="F13333" i="2"/>
  <c r="E13333" i="2"/>
  <c r="D13333" i="2"/>
  <c r="F13331" i="2"/>
  <c r="E13331" i="2"/>
  <c r="D13331" i="2"/>
  <c r="F13330" i="2"/>
  <c r="E13330" i="2"/>
  <c r="D13330" i="2"/>
  <c r="F13327" i="2"/>
  <c r="E13327" i="2"/>
  <c r="D13327" i="2"/>
  <c r="F13329" i="2"/>
  <c r="E13329" i="2"/>
  <c r="D13329" i="2"/>
  <c r="F13328" i="2"/>
  <c r="E13328" i="2"/>
  <c r="D13328" i="2"/>
  <c r="F13326" i="2"/>
  <c r="E13326" i="2"/>
  <c r="D13326" i="2"/>
  <c r="F13325" i="2"/>
  <c r="E13325" i="2"/>
  <c r="D13325" i="2"/>
  <c r="F13324" i="2"/>
  <c r="E13324" i="2"/>
  <c r="D13324" i="2"/>
  <c r="F13323" i="2"/>
  <c r="E13323" i="2"/>
  <c r="D13323" i="2"/>
  <c r="F13322" i="2"/>
  <c r="E13322" i="2"/>
  <c r="D13322" i="2"/>
  <c r="F13321" i="2"/>
  <c r="E13321" i="2"/>
  <c r="D13321" i="2"/>
  <c r="F13320" i="2"/>
  <c r="E13320" i="2"/>
  <c r="D13320" i="2"/>
  <c r="F13319" i="2"/>
  <c r="E13319" i="2"/>
  <c r="D13319" i="2"/>
  <c r="F13318" i="2"/>
  <c r="E13318" i="2"/>
  <c r="D13318" i="2"/>
  <c r="F13317" i="2"/>
  <c r="E13317" i="2"/>
  <c r="D13317" i="2"/>
  <c r="F13316" i="2"/>
  <c r="E13316" i="2"/>
  <c r="D13316" i="2"/>
  <c r="F7319" i="2"/>
  <c r="E7319" i="2"/>
  <c r="D7319" i="2"/>
  <c r="F7318" i="2"/>
  <c r="E7318" i="2"/>
  <c r="D7318" i="2"/>
  <c r="F7317" i="2"/>
  <c r="E7317" i="2"/>
  <c r="D7317" i="2"/>
  <c r="F7316" i="2"/>
  <c r="E7316" i="2"/>
  <c r="D7316" i="2"/>
  <c r="F7315" i="2"/>
  <c r="E7315" i="2"/>
  <c r="D7315" i="2"/>
  <c r="F7314" i="2"/>
  <c r="E7314" i="2"/>
  <c r="D7314" i="2"/>
  <c r="F7313" i="2"/>
  <c r="E7313" i="2"/>
  <c r="D7313" i="2"/>
  <c r="F7312" i="2"/>
  <c r="E7312" i="2"/>
  <c r="D7312" i="2"/>
  <c r="F7311" i="2"/>
  <c r="E7311" i="2"/>
  <c r="D7311" i="2"/>
  <c r="F7310" i="2"/>
  <c r="E7310" i="2"/>
  <c r="D7310" i="2"/>
  <c r="F7309" i="2"/>
  <c r="E7309" i="2"/>
  <c r="D7309" i="2"/>
  <c r="F7308" i="2"/>
  <c r="E7308" i="2"/>
  <c r="D7308" i="2"/>
  <c r="F7307" i="2"/>
  <c r="E7307" i="2"/>
  <c r="D7307" i="2"/>
  <c r="F7306" i="2"/>
  <c r="E7306" i="2"/>
  <c r="D7306" i="2"/>
  <c r="F7305" i="2"/>
  <c r="E7305" i="2"/>
  <c r="D7305" i="2"/>
  <c r="F7304" i="2"/>
  <c r="E7304" i="2"/>
  <c r="D7304" i="2"/>
  <c r="F7303" i="2"/>
  <c r="E7303" i="2"/>
  <c r="D7303" i="2"/>
  <c r="F7302" i="2"/>
  <c r="E7302" i="2"/>
  <c r="D7302" i="2"/>
  <c r="F7301" i="2"/>
  <c r="E7301" i="2"/>
  <c r="D7301" i="2"/>
  <c r="F7300" i="2"/>
  <c r="E7300" i="2"/>
  <c r="D7300" i="2"/>
  <c r="F7299" i="2"/>
  <c r="E7299" i="2"/>
  <c r="D7299" i="2"/>
  <c r="F7298" i="2"/>
  <c r="E7298" i="2"/>
  <c r="D7298" i="2"/>
  <c r="F7297" i="2"/>
  <c r="E7297" i="2"/>
  <c r="D7297" i="2"/>
  <c r="F7296" i="2"/>
  <c r="E7296" i="2"/>
  <c r="D7296" i="2"/>
  <c r="F7295" i="2"/>
  <c r="E7295" i="2"/>
  <c r="D7295" i="2"/>
  <c r="F7294" i="2"/>
  <c r="E7294" i="2"/>
  <c r="D7294" i="2"/>
  <c r="F7293" i="2"/>
  <c r="E7293" i="2"/>
  <c r="D7293" i="2"/>
  <c r="F7292" i="2"/>
  <c r="E7292" i="2"/>
  <c r="D7292" i="2"/>
  <c r="F7291" i="2"/>
  <c r="E7291" i="2"/>
  <c r="D7291" i="2"/>
  <c r="F7290" i="2"/>
  <c r="E7290" i="2"/>
  <c r="D7290" i="2"/>
  <c r="F7289" i="2"/>
  <c r="E7289" i="2"/>
  <c r="D7289" i="2"/>
  <c r="F7288" i="2"/>
  <c r="E7288" i="2"/>
  <c r="D7288" i="2"/>
  <c r="F7287" i="2"/>
  <c r="E7287" i="2"/>
  <c r="D7287" i="2"/>
  <c r="F7285" i="2"/>
  <c r="E7285" i="2"/>
  <c r="D7285" i="2"/>
  <c r="F7286" i="2"/>
  <c r="E7286" i="2"/>
  <c r="D7286" i="2"/>
  <c r="F7284" i="2"/>
  <c r="E7284" i="2"/>
  <c r="D7284" i="2"/>
  <c r="F7283" i="2"/>
  <c r="E7283" i="2"/>
  <c r="D7283" i="2"/>
  <c r="F7282" i="2"/>
  <c r="E7282" i="2"/>
  <c r="D7282" i="2"/>
  <c r="F7281" i="2"/>
  <c r="E7281" i="2"/>
  <c r="D7281" i="2"/>
  <c r="F11927" i="2"/>
  <c r="E11927" i="2"/>
  <c r="D11927" i="2"/>
  <c r="F11969" i="2"/>
  <c r="E11969" i="2"/>
  <c r="D11969" i="2"/>
  <c r="F11968" i="2"/>
  <c r="E11968" i="2"/>
  <c r="D11968" i="2"/>
  <c r="F11967" i="2"/>
  <c r="E11967" i="2"/>
  <c r="D11967" i="2"/>
  <c r="F11966" i="2"/>
  <c r="E11966" i="2"/>
  <c r="D11966" i="2"/>
  <c r="F11965" i="2"/>
  <c r="E11965" i="2"/>
  <c r="D11965" i="2"/>
  <c r="F11964" i="2"/>
  <c r="E11964" i="2"/>
  <c r="D11964" i="2"/>
  <c r="F11963" i="2"/>
  <c r="E11963" i="2"/>
  <c r="D11963" i="2"/>
  <c r="F11962" i="2"/>
  <c r="E11962" i="2"/>
  <c r="D11962" i="2"/>
  <c r="F11961" i="2"/>
  <c r="E11961" i="2"/>
  <c r="D11961" i="2"/>
  <c r="F11960" i="2"/>
  <c r="E11960" i="2"/>
  <c r="D11960" i="2"/>
  <c r="F11959" i="2"/>
  <c r="E11959" i="2"/>
  <c r="D11959" i="2"/>
  <c r="F11958" i="2"/>
  <c r="E11958" i="2"/>
  <c r="D11958" i="2"/>
  <c r="F11957" i="2"/>
  <c r="E11957" i="2"/>
  <c r="D11957" i="2"/>
  <c r="F11955" i="2"/>
  <c r="E11955" i="2"/>
  <c r="D11955" i="2"/>
  <c r="F11956" i="2"/>
  <c r="E11956" i="2"/>
  <c r="D11956" i="2"/>
  <c r="F11954" i="2"/>
  <c r="E11954" i="2"/>
  <c r="D11954" i="2"/>
  <c r="F11953" i="2"/>
  <c r="E11953" i="2"/>
  <c r="D11953" i="2"/>
  <c r="F11952" i="2"/>
  <c r="E11952" i="2"/>
  <c r="D11952" i="2"/>
  <c r="F11951" i="2"/>
  <c r="E11951" i="2"/>
  <c r="D11951" i="2"/>
  <c r="F11950" i="2"/>
  <c r="E11950" i="2"/>
  <c r="D11950" i="2"/>
  <c r="F11949" i="2"/>
  <c r="E11949" i="2"/>
  <c r="D11949" i="2"/>
  <c r="F11948" i="2"/>
  <c r="E11948" i="2"/>
  <c r="D11948" i="2"/>
  <c r="F11947" i="2"/>
  <c r="E11947" i="2"/>
  <c r="D11947" i="2"/>
  <c r="F11946" i="2"/>
  <c r="E11946" i="2"/>
  <c r="D11946" i="2"/>
  <c r="F11945" i="2"/>
  <c r="E11945" i="2"/>
  <c r="D11945" i="2"/>
  <c r="F11944" i="2"/>
  <c r="E11944" i="2"/>
  <c r="D11944" i="2"/>
  <c r="F11943" i="2"/>
  <c r="E11943" i="2"/>
  <c r="D11943" i="2"/>
  <c r="F11942" i="2"/>
  <c r="E11942" i="2"/>
  <c r="D11942" i="2"/>
  <c r="F11941" i="2"/>
  <c r="E11941" i="2"/>
  <c r="D11941" i="2"/>
  <c r="F11940" i="2"/>
  <c r="E11940" i="2"/>
  <c r="D11940" i="2"/>
  <c r="F11939" i="2"/>
  <c r="E11939" i="2"/>
  <c r="D11939" i="2"/>
  <c r="F11938" i="2"/>
  <c r="E11938" i="2"/>
  <c r="D11938" i="2"/>
  <c r="F11937" i="2"/>
  <c r="E11937" i="2"/>
  <c r="D11937" i="2"/>
  <c r="F11936" i="2"/>
  <c r="E11936" i="2"/>
  <c r="D11936" i="2"/>
  <c r="F11935" i="2"/>
  <c r="E11935" i="2"/>
  <c r="D11935" i="2"/>
  <c r="F11934" i="2"/>
  <c r="E11934" i="2"/>
  <c r="D11934" i="2"/>
  <c r="F11933" i="2"/>
  <c r="E11933" i="2"/>
  <c r="D11933" i="2"/>
  <c r="F11932" i="2"/>
  <c r="E11932" i="2"/>
  <c r="D11932" i="2"/>
  <c r="F11931" i="2"/>
  <c r="E11931" i="2"/>
  <c r="D11931" i="2"/>
  <c r="F11930" i="2"/>
  <c r="E11930" i="2"/>
  <c r="D11930" i="2"/>
  <c r="F11929" i="2"/>
  <c r="E11929" i="2"/>
  <c r="D11929" i="2"/>
  <c r="F11928" i="2"/>
  <c r="E11928" i="2"/>
  <c r="D11928" i="2"/>
  <c r="F11926" i="2"/>
  <c r="E11926" i="2"/>
  <c r="D11926" i="2"/>
  <c r="F3629" i="2"/>
  <c r="E3629" i="2"/>
  <c r="D3629" i="2"/>
  <c r="F3628" i="2"/>
  <c r="E3628" i="2"/>
  <c r="D3628" i="2"/>
  <c r="F3627" i="2"/>
  <c r="E3627" i="2"/>
  <c r="D3627" i="2"/>
  <c r="F3626" i="2"/>
  <c r="E3626" i="2"/>
  <c r="D3626" i="2"/>
  <c r="F3625" i="2"/>
  <c r="E3625" i="2"/>
  <c r="D3625" i="2"/>
  <c r="F3624" i="2"/>
  <c r="E3624" i="2"/>
  <c r="D3624" i="2"/>
  <c r="F3623" i="2"/>
  <c r="E3623" i="2"/>
  <c r="D3623" i="2"/>
  <c r="F3622" i="2"/>
  <c r="E3622" i="2"/>
  <c r="D3622" i="2"/>
  <c r="F3621" i="2"/>
  <c r="E3621" i="2"/>
  <c r="D3621" i="2"/>
  <c r="F3620" i="2"/>
  <c r="E3620" i="2"/>
  <c r="D3620" i="2"/>
  <c r="F3619" i="2"/>
  <c r="E3619" i="2"/>
  <c r="D3619" i="2"/>
  <c r="F3618" i="2"/>
  <c r="E3618" i="2"/>
  <c r="D3618" i="2"/>
  <c r="F3617" i="2"/>
  <c r="E3617" i="2"/>
  <c r="D3617" i="2"/>
  <c r="F3616" i="2"/>
  <c r="E3616" i="2"/>
  <c r="D3616" i="2"/>
  <c r="F3615" i="2"/>
  <c r="E3615" i="2"/>
  <c r="D3615" i="2"/>
  <c r="F3614" i="2"/>
  <c r="E3614" i="2"/>
  <c r="D3614" i="2"/>
  <c r="F3613" i="2"/>
  <c r="E3613" i="2"/>
  <c r="D3613" i="2"/>
  <c r="F3612" i="2"/>
  <c r="E3612" i="2"/>
  <c r="D3612" i="2"/>
  <c r="F3611" i="2"/>
  <c r="E3611" i="2"/>
  <c r="D3611" i="2"/>
  <c r="F3610" i="2"/>
  <c r="E3610" i="2"/>
  <c r="D3610" i="2"/>
  <c r="F3609" i="2"/>
  <c r="E3609" i="2"/>
  <c r="D3609" i="2"/>
  <c r="F3608" i="2"/>
  <c r="E3608" i="2"/>
  <c r="D3608" i="2"/>
  <c r="F3607" i="2"/>
  <c r="E3607" i="2"/>
  <c r="D3607" i="2"/>
  <c r="F3606" i="2"/>
  <c r="E3606" i="2"/>
  <c r="D3606" i="2"/>
  <c r="F3605" i="2"/>
  <c r="E3605" i="2"/>
  <c r="D3605" i="2"/>
  <c r="F3604" i="2"/>
  <c r="E3604" i="2"/>
  <c r="D3604" i="2"/>
  <c r="F3603" i="2"/>
  <c r="E3603" i="2"/>
  <c r="D3603" i="2"/>
  <c r="F3602" i="2"/>
  <c r="E3602" i="2"/>
  <c r="D3602" i="2"/>
  <c r="F3601" i="2"/>
  <c r="E3601" i="2"/>
  <c r="D3601" i="2"/>
  <c r="F3600" i="2"/>
  <c r="E3600" i="2"/>
  <c r="D3600" i="2"/>
  <c r="F3599" i="2"/>
  <c r="E3599" i="2"/>
  <c r="D3599" i="2"/>
  <c r="F3598" i="2"/>
  <c r="E3598" i="2"/>
  <c r="D3598" i="2"/>
  <c r="F3597" i="2"/>
  <c r="E3597" i="2"/>
  <c r="D3597" i="2"/>
  <c r="F3596" i="2"/>
  <c r="E3596" i="2"/>
  <c r="D3596" i="2"/>
  <c r="F3595" i="2"/>
  <c r="E3595" i="2"/>
  <c r="D3595" i="2"/>
  <c r="F3594" i="2"/>
  <c r="E3594" i="2"/>
  <c r="D3594" i="2"/>
  <c r="F3593" i="2"/>
  <c r="E3593" i="2"/>
  <c r="D3593" i="2"/>
  <c r="F3591" i="2"/>
  <c r="E3591" i="2"/>
  <c r="D3591" i="2"/>
  <c r="F3592" i="2"/>
  <c r="E3592" i="2"/>
  <c r="D3592" i="2"/>
  <c r="F3590" i="2"/>
  <c r="E3590" i="2"/>
  <c r="D3590" i="2"/>
  <c r="F3589" i="2"/>
  <c r="E3589" i="2"/>
  <c r="D3589" i="2"/>
  <c r="F3588" i="2"/>
  <c r="E3588" i="2"/>
  <c r="D3588" i="2"/>
  <c r="F3587" i="2"/>
  <c r="E3587" i="2"/>
  <c r="D3587" i="2"/>
  <c r="F3586" i="2"/>
  <c r="E3586" i="2"/>
  <c r="D3586" i="2"/>
  <c r="F3585" i="2"/>
  <c r="E3585" i="2"/>
  <c r="D3585" i="2"/>
  <c r="F3584" i="2"/>
  <c r="E3584" i="2"/>
  <c r="D3584" i="2"/>
  <c r="F3583" i="2"/>
  <c r="E3583" i="2"/>
  <c r="D3583" i="2"/>
  <c r="F3582" i="2"/>
  <c r="E3582" i="2"/>
  <c r="D3582" i="2"/>
  <c r="F3581" i="2"/>
  <c r="E3581" i="2"/>
  <c r="D3581" i="2"/>
  <c r="F3580" i="2"/>
  <c r="E3580" i="2"/>
  <c r="D3580" i="2"/>
  <c r="F3579" i="2"/>
  <c r="E3579" i="2"/>
  <c r="D3579" i="2"/>
  <c r="F3578" i="2"/>
  <c r="E3578" i="2"/>
  <c r="D3578" i="2"/>
  <c r="F3577" i="2"/>
  <c r="E3577" i="2"/>
  <c r="D3577" i="2"/>
  <c r="F3576" i="2"/>
  <c r="E3576" i="2"/>
  <c r="D3576" i="2"/>
  <c r="F3575" i="2"/>
  <c r="E3575" i="2"/>
  <c r="D3575" i="2"/>
  <c r="F3574" i="2"/>
  <c r="E3574" i="2"/>
  <c r="D3574" i="2"/>
  <c r="F3573" i="2"/>
  <c r="E3573" i="2"/>
  <c r="D3573" i="2"/>
  <c r="F3572" i="2"/>
  <c r="E3572" i="2"/>
  <c r="D3572" i="2"/>
  <c r="F3571" i="2"/>
  <c r="E3571" i="2"/>
  <c r="D3571" i="2"/>
  <c r="F3570" i="2"/>
  <c r="E3570" i="2"/>
  <c r="D3570" i="2"/>
  <c r="F3569" i="2"/>
  <c r="E3569" i="2"/>
  <c r="D3569" i="2"/>
  <c r="F3568" i="2"/>
  <c r="E3568" i="2"/>
  <c r="D3568" i="2"/>
  <c r="F3567" i="2"/>
  <c r="E3567" i="2"/>
  <c r="D3567" i="2"/>
  <c r="F3566" i="2"/>
  <c r="E3566" i="2"/>
  <c r="D3566" i="2"/>
  <c r="F3565" i="2"/>
  <c r="E3565" i="2"/>
  <c r="D3565" i="2"/>
  <c r="F3564" i="2"/>
  <c r="E3564" i="2"/>
  <c r="D3564" i="2"/>
  <c r="F3563" i="2"/>
  <c r="E3563" i="2"/>
  <c r="D3563" i="2"/>
  <c r="F3562" i="2"/>
  <c r="E3562" i="2"/>
  <c r="D3562" i="2"/>
  <c r="F3561" i="2"/>
  <c r="E3561" i="2"/>
  <c r="D3561" i="2"/>
  <c r="F3560" i="2"/>
  <c r="E3560" i="2"/>
  <c r="D3560" i="2"/>
  <c r="F3559" i="2"/>
  <c r="E3559" i="2"/>
  <c r="D3559" i="2"/>
  <c r="F3558" i="2"/>
  <c r="E3558" i="2"/>
  <c r="D3558" i="2"/>
  <c r="F3557" i="2"/>
  <c r="E3557" i="2"/>
  <c r="D3557" i="2"/>
  <c r="F3556" i="2"/>
  <c r="E3556" i="2"/>
  <c r="D3556" i="2"/>
  <c r="F2841" i="2"/>
  <c r="E2841" i="2"/>
  <c r="D2841" i="2"/>
  <c r="F2840" i="2"/>
  <c r="E2840" i="2"/>
  <c r="D2840" i="2"/>
  <c r="F2839" i="2"/>
  <c r="E2839" i="2"/>
  <c r="D2839" i="2"/>
  <c r="F2838" i="2"/>
  <c r="E2838" i="2"/>
  <c r="D2838" i="2"/>
  <c r="F2837" i="2"/>
  <c r="E2837" i="2"/>
  <c r="D2837" i="2"/>
  <c r="F2836" i="2"/>
  <c r="E2836" i="2"/>
  <c r="D2836" i="2"/>
  <c r="F2835" i="2"/>
  <c r="E2835" i="2"/>
  <c r="D2835" i="2"/>
  <c r="F2834" i="2"/>
  <c r="E2834" i="2"/>
  <c r="D2834" i="2"/>
  <c r="F2833" i="2"/>
  <c r="E2833" i="2"/>
  <c r="D2833" i="2"/>
  <c r="F2832" i="2"/>
  <c r="E2832" i="2"/>
  <c r="D2832" i="2"/>
  <c r="F2831" i="2"/>
  <c r="E2831" i="2"/>
  <c r="D2831" i="2"/>
  <c r="F2830" i="2"/>
  <c r="E2830" i="2"/>
  <c r="D2830" i="2"/>
  <c r="F2829" i="2"/>
  <c r="E2829" i="2"/>
  <c r="D2829" i="2"/>
  <c r="F2828" i="2"/>
  <c r="E2828" i="2"/>
  <c r="D2828" i="2"/>
  <c r="F2827" i="2"/>
  <c r="E2827" i="2"/>
  <c r="D2827" i="2"/>
  <c r="F2826" i="2"/>
  <c r="E2826" i="2"/>
  <c r="D2826" i="2"/>
  <c r="F2825" i="2"/>
  <c r="E2825" i="2"/>
  <c r="D2825" i="2"/>
  <c r="F2824" i="2"/>
  <c r="E2824" i="2"/>
  <c r="D2824" i="2"/>
  <c r="F2823" i="2"/>
  <c r="E2823" i="2"/>
  <c r="D2823" i="2"/>
  <c r="F2822" i="2"/>
  <c r="E2822" i="2"/>
  <c r="D2822" i="2"/>
  <c r="F2821" i="2"/>
  <c r="E2821" i="2"/>
  <c r="D2821" i="2"/>
  <c r="F2820" i="2"/>
  <c r="E2820" i="2"/>
  <c r="D2820" i="2"/>
  <c r="F2819" i="2"/>
  <c r="E2819" i="2"/>
  <c r="D2819" i="2"/>
  <c r="F2818" i="2"/>
  <c r="E2818" i="2"/>
  <c r="D2818" i="2"/>
  <c r="F2817" i="2"/>
  <c r="E2817" i="2"/>
  <c r="D2817" i="2"/>
  <c r="F2816" i="2"/>
  <c r="E2816" i="2"/>
  <c r="D2816" i="2"/>
  <c r="F2815" i="2"/>
  <c r="E2815" i="2"/>
  <c r="D2815" i="2"/>
  <c r="F2814" i="2"/>
  <c r="E2814" i="2"/>
  <c r="D2814" i="2"/>
  <c r="F2813" i="2"/>
  <c r="E2813" i="2"/>
  <c r="D2813" i="2"/>
  <c r="F2812" i="2"/>
  <c r="E2812" i="2"/>
  <c r="D2812" i="2"/>
  <c r="F2811" i="2"/>
  <c r="E2811" i="2"/>
  <c r="D2811" i="2"/>
  <c r="F2810" i="2"/>
  <c r="E2810" i="2"/>
  <c r="D2810" i="2"/>
  <c r="F2809" i="2"/>
  <c r="E2809" i="2"/>
  <c r="D2809" i="2"/>
  <c r="F2808" i="2"/>
  <c r="E2808" i="2"/>
  <c r="D2808" i="2"/>
  <c r="F2807" i="2"/>
  <c r="E2807" i="2"/>
  <c r="D2807" i="2"/>
  <c r="F2805" i="2"/>
  <c r="E2805" i="2"/>
  <c r="D2805" i="2"/>
  <c r="F2806" i="2"/>
  <c r="E2806" i="2"/>
  <c r="D2806" i="2"/>
  <c r="F2804" i="2"/>
  <c r="E2804" i="2"/>
  <c r="D2804" i="2"/>
  <c r="F2803" i="2"/>
  <c r="E2803" i="2"/>
  <c r="D2803" i="2"/>
  <c r="F2802" i="2"/>
  <c r="E2802" i="2"/>
  <c r="D2802" i="2"/>
  <c r="F2801" i="2"/>
  <c r="E2801" i="2"/>
  <c r="D2801" i="2"/>
  <c r="F2800" i="2"/>
  <c r="E2800" i="2"/>
  <c r="D2800" i="2"/>
  <c r="F2799" i="2"/>
  <c r="E2799" i="2"/>
  <c r="D2799" i="2"/>
  <c r="F2798" i="2"/>
  <c r="E2798" i="2"/>
  <c r="D2798" i="2"/>
  <c r="F2797" i="2"/>
  <c r="E2797" i="2"/>
  <c r="D2797" i="2"/>
  <c r="F14354" i="2"/>
  <c r="E14354" i="2"/>
  <c r="D14354" i="2"/>
  <c r="F14353" i="2"/>
  <c r="E14353" i="2"/>
  <c r="D14353" i="2"/>
  <c r="F14352" i="2"/>
  <c r="E14352" i="2"/>
  <c r="D14352" i="2"/>
  <c r="F14351" i="2"/>
  <c r="E14351" i="2"/>
  <c r="D14351" i="2"/>
  <c r="F14350" i="2"/>
  <c r="E14350" i="2"/>
  <c r="D14350" i="2"/>
  <c r="F14349" i="2"/>
  <c r="E14349" i="2"/>
  <c r="D14349" i="2"/>
  <c r="F14348" i="2"/>
  <c r="E14348" i="2"/>
  <c r="D14348" i="2"/>
  <c r="F14347" i="2"/>
  <c r="E14347" i="2"/>
  <c r="D14347" i="2"/>
  <c r="F14951" i="2"/>
  <c r="E14951" i="2"/>
  <c r="D14951" i="2"/>
  <c r="F14950" i="2"/>
  <c r="E14950" i="2"/>
  <c r="D14950" i="2"/>
  <c r="F14949" i="2"/>
  <c r="E14949" i="2"/>
  <c r="D14949" i="2"/>
  <c r="F14948" i="2"/>
  <c r="E14948" i="2"/>
  <c r="D14948" i="2"/>
  <c r="F14947" i="2"/>
  <c r="E14947" i="2"/>
  <c r="D14947" i="2"/>
  <c r="F14946" i="2"/>
  <c r="E14946" i="2"/>
  <c r="D14946" i="2"/>
  <c r="F14945" i="2"/>
  <c r="E14945" i="2"/>
  <c r="D14945" i="2"/>
  <c r="F14944" i="2"/>
  <c r="E14944" i="2"/>
  <c r="D14944" i="2"/>
  <c r="F14943" i="2"/>
  <c r="E14943" i="2"/>
  <c r="D14943" i="2"/>
  <c r="F14942" i="2"/>
  <c r="E14942" i="2"/>
  <c r="D14942" i="2"/>
  <c r="F14941" i="2"/>
  <c r="E14941" i="2"/>
  <c r="D14941" i="2"/>
  <c r="F14940" i="2"/>
  <c r="E14940" i="2"/>
  <c r="D14940" i="2"/>
  <c r="F14939" i="2"/>
  <c r="E14939" i="2"/>
  <c r="D14939" i="2"/>
  <c r="F14938" i="2"/>
  <c r="E14938" i="2"/>
  <c r="D14938" i="2"/>
  <c r="F14937" i="2"/>
  <c r="E14937" i="2"/>
  <c r="D14937" i="2"/>
  <c r="F14936" i="2"/>
  <c r="E14936" i="2"/>
  <c r="D14936" i="2"/>
  <c r="F14935" i="2"/>
  <c r="E14935" i="2"/>
  <c r="D14935" i="2"/>
  <c r="F14934" i="2"/>
  <c r="E14934" i="2"/>
  <c r="D14934" i="2"/>
  <c r="F14933" i="2"/>
  <c r="E14933" i="2"/>
  <c r="D14933" i="2"/>
  <c r="F14932" i="2"/>
  <c r="E14932" i="2"/>
  <c r="D14932" i="2"/>
  <c r="F14931" i="2"/>
  <c r="E14931" i="2"/>
  <c r="D14931" i="2"/>
  <c r="F14930" i="2"/>
  <c r="E14930" i="2"/>
  <c r="D14930" i="2"/>
  <c r="F14929" i="2"/>
  <c r="E14929" i="2"/>
  <c r="D14929" i="2"/>
  <c r="F14928" i="2"/>
  <c r="E14928" i="2"/>
  <c r="D14928" i="2"/>
  <c r="F14927" i="2"/>
  <c r="E14927" i="2"/>
  <c r="D14927" i="2"/>
  <c r="F14926" i="2"/>
  <c r="E14926" i="2"/>
  <c r="D14926" i="2"/>
  <c r="F14925" i="2"/>
  <c r="E14925" i="2"/>
  <c r="D14925" i="2"/>
  <c r="F14924" i="2"/>
  <c r="E14924" i="2"/>
  <c r="D14924" i="2"/>
  <c r="F14923" i="2"/>
  <c r="E14923" i="2"/>
  <c r="D14923" i="2"/>
  <c r="F14922" i="2"/>
  <c r="E14922" i="2"/>
  <c r="D14922" i="2"/>
  <c r="F14921" i="2"/>
  <c r="E14921" i="2"/>
  <c r="D14921" i="2"/>
  <c r="F14920" i="2"/>
  <c r="E14920" i="2"/>
  <c r="D14920" i="2"/>
  <c r="F14919" i="2"/>
  <c r="E14919" i="2"/>
  <c r="D14919" i="2"/>
  <c r="F14918" i="2"/>
  <c r="E14918" i="2"/>
  <c r="D14918" i="2"/>
  <c r="F14917" i="2"/>
  <c r="E14917" i="2"/>
  <c r="D14917" i="2"/>
  <c r="F14916" i="2"/>
  <c r="E14916" i="2"/>
  <c r="D14916" i="2"/>
  <c r="F14915" i="2"/>
  <c r="E14915" i="2"/>
  <c r="D14915" i="2"/>
  <c r="F14914" i="2"/>
  <c r="E14914" i="2"/>
  <c r="D14914" i="2"/>
  <c r="F14913" i="2"/>
  <c r="E14913" i="2"/>
  <c r="D14913" i="2"/>
  <c r="F14912" i="2"/>
  <c r="E14912" i="2"/>
  <c r="D14912" i="2"/>
  <c r="F14911" i="2"/>
  <c r="E14911" i="2"/>
  <c r="D14911" i="2"/>
  <c r="F14910" i="2"/>
  <c r="E14910" i="2"/>
  <c r="D14910" i="2"/>
  <c r="F14909" i="2"/>
  <c r="E14909" i="2"/>
  <c r="D14909" i="2"/>
  <c r="F14908" i="2"/>
  <c r="E14908" i="2"/>
  <c r="D14908" i="2"/>
  <c r="F14907" i="2"/>
  <c r="E14907" i="2"/>
  <c r="D14907" i="2"/>
  <c r="F14906" i="2"/>
  <c r="E14906" i="2"/>
  <c r="D14906" i="2"/>
  <c r="F14905" i="2"/>
  <c r="E14905" i="2"/>
  <c r="D14905" i="2"/>
  <c r="F14903" i="2"/>
  <c r="E14903" i="2"/>
  <c r="D14903" i="2"/>
  <c r="F14904" i="2"/>
  <c r="E14904" i="2"/>
  <c r="D14904" i="2"/>
  <c r="F14902" i="2"/>
  <c r="E14902" i="2"/>
  <c r="D14902" i="2"/>
  <c r="F14901" i="2"/>
  <c r="E14901" i="2"/>
  <c r="D14901" i="2"/>
  <c r="F14900" i="2"/>
  <c r="E14900" i="2"/>
  <c r="D14900" i="2"/>
  <c r="F14899" i="2"/>
  <c r="E14899" i="2"/>
  <c r="D14899" i="2"/>
  <c r="F14898" i="2"/>
  <c r="E14898" i="2"/>
  <c r="D14898" i="2"/>
  <c r="F14897" i="2"/>
  <c r="E14897" i="2"/>
  <c r="D14897" i="2"/>
  <c r="F14896" i="2"/>
  <c r="E14896" i="2"/>
  <c r="D14896" i="2"/>
  <c r="F14895" i="2"/>
  <c r="E14895" i="2"/>
  <c r="D14895" i="2"/>
  <c r="F14894" i="2"/>
  <c r="E14894" i="2"/>
  <c r="D14894" i="2"/>
  <c r="F14893" i="2"/>
  <c r="E14893" i="2"/>
  <c r="D14893" i="2"/>
  <c r="F14892" i="2"/>
  <c r="E14892" i="2"/>
  <c r="D14892" i="2"/>
  <c r="F14891" i="2"/>
  <c r="E14891" i="2"/>
  <c r="D14891" i="2"/>
  <c r="F14890" i="2"/>
  <c r="E14890" i="2"/>
  <c r="D14890" i="2"/>
  <c r="F14889" i="2"/>
  <c r="E14889" i="2"/>
  <c r="D14889" i="2"/>
  <c r="F14888" i="2"/>
  <c r="E14888" i="2"/>
  <c r="D14888" i="2"/>
  <c r="F14887" i="2"/>
  <c r="E14887" i="2"/>
  <c r="D14887" i="2"/>
  <c r="F14886" i="2"/>
  <c r="E14886" i="2"/>
  <c r="D14886" i="2"/>
  <c r="F14885" i="2"/>
  <c r="E14885" i="2"/>
  <c r="D14885" i="2"/>
  <c r="F14884" i="2"/>
  <c r="E14884" i="2"/>
  <c r="D14884" i="2"/>
  <c r="F14883" i="2"/>
  <c r="E14883" i="2"/>
  <c r="D14883" i="2"/>
  <c r="F4097" i="2"/>
  <c r="E4097" i="2"/>
  <c r="D4097" i="2"/>
  <c r="F4123" i="2"/>
  <c r="E4123" i="2"/>
  <c r="D4123" i="2"/>
  <c r="F4122" i="2"/>
  <c r="E4122" i="2"/>
  <c r="D4122" i="2"/>
  <c r="F4121" i="2"/>
  <c r="E4121" i="2"/>
  <c r="D4121" i="2"/>
  <c r="F4120" i="2"/>
  <c r="E4120" i="2"/>
  <c r="D4120" i="2"/>
  <c r="F4119" i="2"/>
  <c r="E4119" i="2"/>
  <c r="D4119" i="2"/>
  <c r="F4118" i="2"/>
  <c r="E4118" i="2"/>
  <c r="D4118" i="2"/>
  <c r="F4117" i="2"/>
  <c r="E4117" i="2"/>
  <c r="D4117" i="2"/>
  <c r="F4116" i="2"/>
  <c r="E4116" i="2"/>
  <c r="D4116" i="2"/>
  <c r="F4115" i="2"/>
  <c r="E4115" i="2"/>
  <c r="D4115" i="2"/>
  <c r="F4114" i="2"/>
  <c r="E4114" i="2"/>
  <c r="D4114" i="2"/>
  <c r="F4113" i="2"/>
  <c r="E4113" i="2"/>
  <c r="D4113" i="2"/>
  <c r="F4112" i="2"/>
  <c r="E4112" i="2"/>
  <c r="D4112" i="2"/>
  <c r="F4111" i="2"/>
  <c r="E4111" i="2"/>
  <c r="D4111" i="2"/>
  <c r="F4110" i="2"/>
  <c r="E4110" i="2"/>
  <c r="D4110" i="2"/>
  <c r="F4109" i="2"/>
  <c r="E4109" i="2"/>
  <c r="D4109" i="2"/>
  <c r="F4108" i="2"/>
  <c r="E4108" i="2"/>
  <c r="D4108" i="2"/>
  <c r="F4107" i="2"/>
  <c r="E4107" i="2"/>
  <c r="D4107" i="2"/>
  <c r="F4106" i="2"/>
  <c r="E4106" i="2"/>
  <c r="D4106" i="2"/>
  <c r="F4105" i="2"/>
  <c r="E4105" i="2"/>
  <c r="D4105" i="2"/>
  <c r="F4104" i="2"/>
  <c r="E4104" i="2"/>
  <c r="D4104" i="2"/>
  <c r="F4103" i="2"/>
  <c r="E4103" i="2"/>
  <c r="D4103" i="2"/>
  <c r="F4102" i="2"/>
  <c r="E4102" i="2"/>
  <c r="D4102" i="2"/>
  <c r="F4101" i="2"/>
  <c r="E4101" i="2"/>
  <c r="D4101" i="2"/>
  <c r="F4100" i="2"/>
  <c r="E4100" i="2"/>
  <c r="D4100" i="2"/>
  <c r="F4099" i="2"/>
  <c r="E4099" i="2"/>
  <c r="D4099" i="2"/>
  <c r="F4098" i="2"/>
  <c r="E4098" i="2"/>
  <c r="D4098" i="2"/>
  <c r="F4851" i="2"/>
  <c r="E4851" i="2"/>
  <c r="D4851" i="2"/>
  <c r="F4850" i="2"/>
  <c r="E4850" i="2"/>
  <c r="D4850" i="2"/>
  <c r="F4849" i="2"/>
  <c r="E4849" i="2"/>
  <c r="D4849" i="2"/>
  <c r="F4848" i="2"/>
  <c r="E4848" i="2"/>
  <c r="D4848" i="2"/>
  <c r="F4847" i="2"/>
  <c r="E4847" i="2"/>
  <c r="D4847" i="2"/>
  <c r="F4846" i="2"/>
  <c r="E4846" i="2"/>
  <c r="D4846" i="2"/>
  <c r="F4845" i="2"/>
  <c r="E4845" i="2"/>
  <c r="D4845" i="2"/>
  <c r="F4844" i="2"/>
  <c r="E4844" i="2"/>
  <c r="D4844" i="2"/>
  <c r="F4843" i="2"/>
  <c r="E4843" i="2"/>
  <c r="D4843" i="2"/>
  <c r="F4842" i="2"/>
  <c r="E4842" i="2"/>
  <c r="D4842" i="2"/>
  <c r="F4841" i="2"/>
  <c r="E4841" i="2"/>
  <c r="D4841" i="2"/>
  <c r="F4840" i="2"/>
  <c r="E4840" i="2"/>
  <c r="D4840" i="2"/>
  <c r="F4839" i="2"/>
  <c r="E4839" i="2"/>
  <c r="D4839" i="2"/>
  <c r="F4838" i="2"/>
  <c r="E4838" i="2"/>
  <c r="D4838" i="2"/>
  <c r="F4837" i="2"/>
  <c r="E4837" i="2"/>
  <c r="D4837" i="2"/>
  <c r="F4836" i="2"/>
  <c r="E4836" i="2"/>
  <c r="D4836" i="2"/>
  <c r="F4835" i="2"/>
  <c r="E4835" i="2"/>
  <c r="D4835" i="2"/>
  <c r="F4834" i="2"/>
  <c r="E4834" i="2"/>
  <c r="D4834" i="2"/>
  <c r="F4833" i="2"/>
  <c r="E4833" i="2"/>
  <c r="D4833" i="2"/>
  <c r="F4832" i="2"/>
  <c r="E4832" i="2"/>
  <c r="D4832" i="2"/>
  <c r="F4831" i="2"/>
  <c r="E4831" i="2"/>
  <c r="D4831" i="2"/>
  <c r="F4830" i="2"/>
  <c r="E4830" i="2"/>
  <c r="D4830" i="2"/>
  <c r="F4829" i="2"/>
  <c r="E4829" i="2"/>
  <c r="D4829" i="2"/>
  <c r="F4828" i="2"/>
  <c r="E4828" i="2"/>
  <c r="D4828" i="2"/>
  <c r="F4827" i="2"/>
  <c r="E4827" i="2"/>
  <c r="D4827" i="2"/>
  <c r="F4826" i="2"/>
  <c r="E4826" i="2"/>
  <c r="D4826" i="2"/>
  <c r="F4825" i="2"/>
  <c r="E4825" i="2"/>
  <c r="D4825" i="2"/>
  <c r="F4824" i="2"/>
  <c r="E4824" i="2"/>
  <c r="D4824" i="2"/>
  <c r="F4823" i="2"/>
  <c r="E4823" i="2"/>
  <c r="D4823" i="2"/>
  <c r="F4822" i="2"/>
  <c r="E4822" i="2"/>
  <c r="D4822" i="2"/>
  <c r="F4821" i="2"/>
  <c r="E4821" i="2"/>
  <c r="D4821" i="2"/>
  <c r="F4820" i="2"/>
  <c r="E4820" i="2"/>
  <c r="D4820" i="2"/>
  <c r="F4819" i="2"/>
  <c r="E4819" i="2"/>
  <c r="D4819" i="2"/>
  <c r="F4818" i="2"/>
  <c r="E4818" i="2"/>
  <c r="D4818" i="2"/>
  <c r="F4817" i="2"/>
  <c r="E4817" i="2"/>
  <c r="D4817" i="2"/>
  <c r="F4816" i="2"/>
  <c r="E4816" i="2"/>
  <c r="D4816" i="2"/>
  <c r="F4815" i="2"/>
  <c r="E4815" i="2"/>
  <c r="D4815" i="2"/>
  <c r="F4814" i="2"/>
  <c r="E4814" i="2"/>
  <c r="D4814" i="2"/>
  <c r="F4813" i="2"/>
  <c r="E4813" i="2"/>
  <c r="D4813" i="2"/>
  <c r="F4812" i="2"/>
  <c r="E4812" i="2"/>
  <c r="D4812" i="2"/>
  <c r="F4811" i="2"/>
  <c r="E4811" i="2"/>
  <c r="D4811" i="2"/>
  <c r="F4810" i="2"/>
  <c r="E4810" i="2"/>
  <c r="D4810" i="2"/>
  <c r="F4809" i="2"/>
  <c r="E4809" i="2"/>
  <c r="D4809" i="2"/>
  <c r="F4808" i="2"/>
  <c r="E4808" i="2"/>
  <c r="D4808" i="2"/>
  <c r="F4807" i="2"/>
  <c r="E4807" i="2"/>
  <c r="D4807" i="2"/>
  <c r="F4806" i="2"/>
  <c r="E4806" i="2"/>
  <c r="D4806" i="2"/>
  <c r="F4805" i="2"/>
  <c r="E4805" i="2"/>
  <c r="D4805" i="2"/>
  <c r="F4804" i="2"/>
  <c r="E4804" i="2"/>
  <c r="D4804" i="2"/>
  <c r="F4803" i="2"/>
  <c r="E4803" i="2"/>
  <c r="D4803" i="2"/>
  <c r="F4802" i="2"/>
  <c r="E4802" i="2"/>
  <c r="D4802" i="2"/>
  <c r="F4801" i="2"/>
  <c r="E4801" i="2"/>
  <c r="D4801" i="2"/>
  <c r="F4800" i="2"/>
  <c r="E4800" i="2"/>
  <c r="D4800" i="2"/>
  <c r="F4799" i="2"/>
  <c r="E4799" i="2"/>
  <c r="D4799" i="2"/>
  <c r="F4798" i="2"/>
  <c r="E4798" i="2"/>
  <c r="D4798" i="2"/>
  <c r="F4797" i="2"/>
  <c r="E4797" i="2"/>
  <c r="D4797" i="2"/>
  <c r="F310" i="2"/>
  <c r="E310" i="2"/>
  <c r="D310" i="2"/>
  <c r="F309" i="2"/>
  <c r="E309" i="2"/>
  <c r="D309" i="2"/>
  <c r="F308" i="2"/>
  <c r="E308" i="2"/>
  <c r="D308" i="2"/>
  <c r="F307" i="2"/>
  <c r="E307" i="2"/>
  <c r="D307" i="2"/>
  <c r="F306" i="2"/>
  <c r="E306" i="2"/>
  <c r="D306" i="2"/>
  <c r="F305" i="2"/>
  <c r="E305" i="2"/>
  <c r="D305" i="2"/>
  <c r="F304" i="2"/>
  <c r="E304" i="2"/>
  <c r="D304" i="2"/>
  <c r="F303" i="2"/>
  <c r="E303" i="2"/>
  <c r="D303" i="2"/>
  <c r="F302" i="2"/>
  <c r="E302" i="2"/>
  <c r="D302" i="2"/>
  <c r="F301" i="2"/>
  <c r="E301" i="2"/>
  <c r="D301" i="2"/>
  <c r="F300" i="2"/>
  <c r="E300" i="2"/>
  <c r="D300" i="2"/>
  <c r="F299" i="2"/>
  <c r="E299" i="2"/>
  <c r="D299" i="2"/>
  <c r="F298" i="2"/>
  <c r="E298" i="2"/>
  <c r="D298" i="2"/>
  <c r="F297" i="2"/>
  <c r="E297" i="2"/>
  <c r="D297" i="2"/>
  <c r="F296" i="2"/>
  <c r="E296" i="2"/>
  <c r="D296" i="2"/>
  <c r="F295" i="2"/>
  <c r="E295" i="2"/>
  <c r="D295" i="2"/>
  <c r="F294" i="2"/>
  <c r="E294" i="2"/>
  <c r="D294" i="2"/>
  <c r="F293" i="2"/>
  <c r="E293" i="2"/>
  <c r="D293" i="2"/>
  <c r="F292" i="2"/>
  <c r="E292" i="2"/>
  <c r="D292" i="2"/>
  <c r="F291" i="2"/>
  <c r="E291" i="2"/>
  <c r="D291" i="2"/>
  <c r="F290" i="2"/>
  <c r="E290" i="2"/>
  <c r="D290" i="2"/>
  <c r="F289" i="2"/>
  <c r="E289" i="2"/>
  <c r="D289" i="2"/>
  <c r="F288" i="2"/>
  <c r="E288" i="2"/>
  <c r="D288" i="2"/>
  <c r="F287" i="2"/>
  <c r="E287" i="2"/>
  <c r="D287" i="2"/>
  <c r="F286" i="2"/>
  <c r="E286" i="2"/>
  <c r="D286" i="2"/>
  <c r="F285" i="2"/>
  <c r="E285" i="2"/>
  <c r="D285" i="2"/>
  <c r="F284" i="2"/>
  <c r="E284" i="2"/>
  <c r="D284" i="2"/>
  <c r="F283" i="2"/>
  <c r="E283" i="2"/>
  <c r="D283" i="2"/>
  <c r="F282" i="2"/>
  <c r="E282" i="2"/>
  <c r="D282" i="2"/>
  <c r="F281" i="2"/>
  <c r="E281" i="2"/>
  <c r="D281" i="2"/>
  <c r="F280" i="2"/>
  <c r="E280" i="2"/>
  <c r="D280" i="2"/>
  <c r="F279" i="2"/>
  <c r="E279" i="2"/>
  <c r="D279" i="2"/>
  <c r="F278" i="2"/>
  <c r="E278" i="2"/>
  <c r="D278" i="2"/>
  <c r="F277" i="2"/>
  <c r="E277" i="2"/>
  <c r="D277" i="2"/>
  <c r="F276" i="2"/>
  <c r="E276" i="2"/>
  <c r="D276" i="2"/>
  <c r="F275" i="2"/>
  <c r="E275" i="2"/>
  <c r="D275" i="2"/>
  <c r="F274" i="2"/>
  <c r="E274" i="2"/>
  <c r="D274" i="2"/>
  <c r="F273" i="2"/>
  <c r="E273" i="2"/>
  <c r="D273" i="2"/>
  <c r="F272" i="2"/>
  <c r="E272" i="2"/>
  <c r="D272" i="2"/>
  <c r="F271" i="2"/>
  <c r="E271" i="2"/>
  <c r="D271" i="2"/>
  <c r="F270" i="2"/>
  <c r="E270" i="2"/>
  <c r="D270" i="2"/>
  <c r="F11857" i="2"/>
  <c r="E11857" i="2"/>
  <c r="D11857" i="2"/>
  <c r="F11856" i="2"/>
  <c r="E11856" i="2"/>
  <c r="D11856" i="2"/>
  <c r="F11855" i="2"/>
  <c r="E11855" i="2"/>
  <c r="D11855" i="2"/>
  <c r="F11854" i="2"/>
  <c r="E11854" i="2"/>
  <c r="D11854" i="2"/>
  <c r="F11853" i="2"/>
  <c r="E11853" i="2"/>
  <c r="D11853" i="2"/>
  <c r="F11851" i="2"/>
  <c r="E11851" i="2"/>
  <c r="D11851" i="2"/>
  <c r="F11852" i="2"/>
  <c r="E11852" i="2"/>
  <c r="D11852" i="2"/>
  <c r="F13315" i="2"/>
  <c r="E13315" i="2"/>
  <c r="D13315" i="2"/>
  <c r="F13314" i="2"/>
  <c r="E13314" i="2"/>
  <c r="D13314" i="2"/>
  <c r="F13312" i="2"/>
  <c r="E13312" i="2"/>
  <c r="D13312" i="2"/>
  <c r="F13313" i="2"/>
  <c r="E13313" i="2"/>
  <c r="D13313" i="2"/>
  <c r="F4887" i="2"/>
  <c r="E4887" i="2"/>
  <c r="D4887" i="2"/>
  <c r="F4888" i="2"/>
  <c r="E4888" i="2"/>
  <c r="D4888" i="2"/>
  <c r="F4886" i="2"/>
  <c r="E4886" i="2"/>
  <c r="D4886" i="2"/>
  <c r="F4885" i="2"/>
  <c r="E4885" i="2"/>
  <c r="D4885" i="2"/>
  <c r="F4884" i="2"/>
  <c r="E4884" i="2"/>
  <c r="D4884" i="2"/>
  <c r="F4883" i="2"/>
  <c r="E4883" i="2"/>
  <c r="D4883" i="2"/>
  <c r="F4882" i="2"/>
  <c r="E4882" i="2"/>
  <c r="D4882" i="2"/>
  <c r="F4881" i="2"/>
  <c r="E4881" i="2"/>
  <c r="D4881" i="2"/>
  <c r="F4880" i="2"/>
  <c r="E4880" i="2"/>
  <c r="D4880" i="2"/>
  <c r="F4879" i="2"/>
  <c r="E4879" i="2"/>
  <c r="D4879" i="2"/>
  <c r="F4878" i="2"/>
  <c r="E4878" i="2"/>
  <c r="D4878" i="2"/>
  <c r="F4877" i="2"/>
  <c r="E4877" i="2"/>
  <c r="D4877" i="2"/>
  <c r="F4876" i="2"/>
  <c r="E4876" i="2"/>
  <c r="D4876" i="2"/>
  <c r="F4875" i="2"/>
  <c r="E4875" i="2"/>
  <c r="D4875" i="2"/>
  <c r="F4874" i="2"/>
  <c r="E4874" i="2"/>
  <c r="D4874" i="2"/>
  <c r="F4873" i="2"/>
  <c r="E4873" i="2"/>
  <c r="D4873" i="2"/>
  <c r="F4872" i="2"/>
  <c r="E4872" i="2"/>
  <c r="D4872" i="2"/>
  <c r="F4871" i="2"/>
  <c r="E4871" i="2"/>
  <c r="D4871" i="2"/>
  <c r="F4870" i="2"/>
  <c r="E4870" i="2"/>
  <c r="D4870" i="2"/>
  <c r="F4869" i="2"/>
  <c r="E4869" i="2"/>
  <c r="D4869" i="2"/>
  <c r="F4868" i="2"/>
  <c r="E4868" i="2"/>
  <c r="D4868" i="2"/>
  <c r="F4867" i="2"/>
  <c r="E4867" i="2"/>
  <c r="D4867" i="2"/>
  <c r="F4866" i="2"/>
  <c r="E4866" i="2"/>
  <c r="D4866" i="2"/>
  <c r="F4865" i="2"/>
  <c r="E4865" i="2"/>
  <c r="D4865" i="2"/>
  <c r="F4864" i="2"/>
  <c r="E4864" i="2"/>
  <c r="D4864" i="2"/>
  <c r="F4863" i="2"/>
  <c r="E4863" i="2"/>
  <c r="D4863" i="2"/>
  <c r="F4862" i="2"/>
  <c r="E4862" i="2"/>
  <c r="D4862" i="2"/>
  <c r="F4861" i="2"/>
  <c r="E4861" i="2"/>
  <c r="D4861" i="2"/>
  <c r="F4860" i="2"/>
  <c r="E4860" i="2"/>
  <c r="D4860" i="2"/>
  <c r="F4859" i="2"/>
  <c r="E4859" i="2"/>
  <c r="D4859" i="2"/>
  <c r="F4858" i="2"/>
  <c r="E4858" i="2"/>
  <c r="D4858" i="2"/>
  <c r="F4857" i="2"/>
  <c r="E4857" i="2"/>
  <c r="D4857" i="2"/>
  <c r="F4856" i="2"/>
  <c r="E4856" i="2"/>
  <c r="D4856" i="2"/>
  <c r="F4855" i="2"/>
  <c r="E4855" i="2"/>
  <c r="D4855" i="2"/>
  <c r="F4854" i="2"/>
  <c r="E4854" i="2"/>
  <c r="D4854" i="2"/>
  <c r="F4853" i="2"/>
  <c r="E4853" i="2"/>
  <c r="D4853" i="2"/>
  <c r="F4852" i="2"/>
  <c r="E4852" i="2"/>
  <c r="D4852" i="2"/>
  <c r="F9155" i="2"/>
  <c r="E9155" i="2"/>
  <c r="D9155" i="2"/>
  <c r="F9154" i="2"/>
  <c r="E9154" i="2"/>
  <c r="D9154" i="2"/>
  <c r="F9153" i="2"/>
  <c r="E9153" i="2"/>
  <c r="D9153" i="2"/>
  <c r="F9152" i="2"/>
  <c r="E9152" i="2"/>
  <c r="D9152" i="2"/>
  <c r="F9151" i="2"/>
  <c r="E9151" i="2"/>
  <c r="D9151" i="2"/>
  <c r="F9150" i="2"/>
  <c r="E9150" i="2"/>
  <c r="D9150" i="2"/>
  <c r="F15723" i="2"/>
  <c r="E15723" i="2"/>
  <c r="D15723" i="2"/>
  <c r="F15722" i="2"/>
  <c r="E15722" i="2"/>
  <c r="D15722" i="2"/>
  <c r="F15721" i="2"/>
  <c r="E15721" i="2"/>
  <c r="D15721" i="2"/>
  <c r="F15720" i="2"/>
  <c r="E15720" i="2"/>
  <c r="D15720" i="2"/>
  <c r="F15719" i="2"/>
  <c r="E15719" i="2"/>
  <c r="D15719" i="2"/>
  <c r="F15718" i="2"/>
  <c r="E15718" i="2"/>
  <c r="D15718" i="2"/>
  <c r="F15717" i="2"/>
  <c r="E15717" i="2"/>
  <c r="D15717" i="2"/>
  <c r="F15716" i="2"/>
  <c r="E15716" i="2"/>
  <c r="D15716" i="2"/>
  <c r="F15715" i="2"/>
  <c r="E15715" i="2"/>
  <c r="D15715" i="2"/>
  <c r="F15714" i="2"/>
  <c r="E15714" i="2"/>
  <c r="D15714" i="2"/>
  <c r="F15713" i="2"/>
  <c r="E15713" i="2"/>
  <c r="D15713" i="2"/>
  <c r="F15065" i="2"/>
  <c r="E15065" i="2"/>
  <c r="D15065" i="2"/>
  <c r="F15063" i="2"/>
  <c r="E15063" i="2"/>
  <c r="D15063" i="2"/>
  <c r="F15064" i="2"/>
  <c r="E15064" i="2"/>
  <c r="D15064" i="2"/>
  <c r="F15062" i="2"/>
  <c r="E15062" i="2"/>
  <c r="D15062" i="2"/>
  <c r="F15061" i="2"/>
  <c r="E15061" i="2"/>
  <c r="D15061" i="2"/>
  <c r="F15060" i="2"/>
  <c r="E15060" i="2"/>
  <c r="D15060" i="2"/>
  <c r="F15059" i="2"/>
  <c r="E15059" i="2"/>
  <c r="D15059" i="2"/>
  <c r="F15058" i="2"/>
  <c r="E15058" i="2"/>
  <c r="D15058" i="2"/>
  <c r="F15057" i="2"/>
  <c r="E15057" i="2"/>
  <c r="D15057" i="2"/>
  <c r="F15056" i="2"/>
  <c r="E15056" i="2"/>
  <c r="D15056" i="2"/>
  <c r="F15055" i="2"/>
  <c r="E15055" i="2"/>
  <c r="D15055" i="2"/>
  <c r="F15054" i="2"/>
  <c r="E15054" i="2"/>
  <c r="D15054" i="2"/>
  <c r="F15053" i="2"/>
  <c r="E15053" i="2"/>
  <c r="D15053" i="2"/>
  <c r="F15052" i="2"/>
  <c r="E15052" i="2"/>
  <c r="D15052" i="2"/>
  <c r="F15051" i="2"/>
  <c r="E15051" i="2"/>
  <c r="D15051" i="2"/>
  <c r="F15050" i="2"/>
  <c r="E15050" i="2"/>
  <c r="D15050" i="2"/>
  <c r="F15049" i="2"/>
  <c r="E15049" i="2"/>
  <c r="D15049" i="2"/>
  <c r="F15048" i="2"/>
  <c r="E15048" i="2"/>
  <c r="D15048" i="2"/>
  <c r="F15047" i="2"/>
  <c r="E15047" i="2"/>
  <c r="D15047" i="2"/>
  <c r="F15046" i="2"/>
  <c r="E15046" i="2"/>
  <c r="D15046" i="2"/>
  <c r="F15045" i="2"/>
  <c r="E15045" i="2"/>
  <c r="D15045" i="2"/>
  <c r="F15044" i="2"/>
  <c r="E15044" i="2"/>
  <c r="D15044" i="2"/>
  <c r="F15043" i="2"/>
  <c r="E15043" i="2"/>
  <c r="D15043" i="2"/>
  <c r="F15042" i="2"/>
  <c r="E15042" i="2"/>
  <c r="D15042" i="2"/>
  <c r="F15041" i="2"/>
  <c r="E15041" i="2"/>
  <c r="D15041" i="2"/>
  <c r="F15040" i="2"/>
  <c r="E15040" i="2"/>
  <c r="D15040" i="2"/>
  <c r="F15039" i="2"/>
  <c r="E15039" i="2"/>
  <c r="D15039" i="2"/>
  <c r="F15038" i="2"/>
  <c r="E15038" i="2"/>
  <c r="D15038" i="2"/>
  <c r="F15037" i="2"/>
  <c r="E15037" i="2"/>
  <c r="D15037" i="2"/>
  <c r="F15036" i="2"/>
  <c r="E15036" i="2"/>
  <c r="D15036" i="2"/>
  <c r="F15035" i="2"/>
  <c r="E15035" i="2"/>
  <c r="D15035" i="2"/>
  <c r="F15034" i="2"/>
  <c r="E15034" i="2"/>
  <c r="D15034" i="2"/>
  <c r="F15033" i="2"/>
  <c r="E15033" i="2"/>
  <c r="D15033" i="2"/>
  <c r="F15032" i="2"/>
  <c r="E15032" i="2"/>
  <c r="D15032" i="2"/>
  <c r="F15031" i="2"/>
  <c r="E15031" i="2"/>
  <c r="D15031" i="2"/>
  <c r="F1871" i="2"/>
  <c r="E1871" i="2"/>
  <c r="D1871" i="2"/>
  <c r="F1870" i="2"/>
  <c r="E1870" i="2"/>
  <c r="D1870" i="2"/>
  <c r="F1869" i="2"/>
  <c r="E1869" i="2"/>
  <c r="D1869" i="2"/>
  <c r="F1868" i="2"/>
  <c r="E1868" i="2"/>
  <c r="D1868" i="2"/>
  <c r="F1867" i="2"/>
  <c r="E1867" i="2"/>
  <c r="D1867" i="2"/>
  <c r="F1866" i="2"/>
  <c r="E1866" i="2"/>
  <c r="D1866" i="2"/>
  <c r="F1865" i="2"/>
  <c r="E1865" i="2"/>
  <c r="D1865" i="2"/>
  <c r="F1864" i="2"/>
  <c r="E1864" i="2"/>
  <c r="D1864" i="2"/>
  <c r="F1863" i="2"/>
  <c r="E1863" i="2"/>
  <c r="D1863" i="2"/>
  <c r="F1862" i="2"/>
  <c r="E1862" i="2"/>
  <c r="D1862" i="2"/>
  <c r="F1861" i="2"/>
  <c r="E1861" i="2"/>
  <c r="D1861" i="2"/>
  <c r="F1860" i="2"/>
  <c r="E1860" i="2"/>
  <c r="D1860" i="2"/>
  <c r="F1859" i="2"/>
  <c r="E1859" i="2"/>
  <c r="D1859" i="2"/>
  <c r="F1858" i="2"/>
  <c r="E1858" i="2"/>
  <c r="D1858" i="2"/>
  <c r="F1857" i="2"/>
  <c r="E1857" i="2"/>
  <c r="D1857" i="2"/>
  <c r="F1856" i="2"/>
  <c r="E1856" i="2"/>
  <c r="D1856" i="2"/>
  <c r="F1855" i="2"/>
  <c r="E1855" i="2"/>
  <c r="D1855" i="2"/>
  <c r="F13944" i="2"/>
  <c r="E13944" i="2"/>
  <c r="D13944" i="2"/>
  <c r="F13945" i="2"/>
  <c r="E13945" i="2"/>
  <c r="D13945" i="2"/>
  <c r="F15826" i="2"/>
  <c r="E15826" i="2"/>
  <c r="D15826" i="2"/>
  <c r="F15825" i="2"/>
  <c r="E15825" i="2"/>
  <c r="D15825" i="2"/>
  <c r="F15824" i="2"/>
  <c r="E15824" i="2"/>
  <c r="D15824" i="2"/>
  <c r="F15823" i="2"/>
  <c r="E15823" i="2"/>
  <c r="D15823" i="2"/>
  <c r="F15822" i="2"/>
  <c r="E15822" i="2"/>
  <c r="D15822" i="2"/>
  <c r="F15821" i="2"/>
  <c r="E15821" i="2"/>
  <c r="D15821" i="2"/>
  <c r="F15820" i="2"/>
  <c r="E15820" i="2"/>
  <c r="D15820" i="2"/>
  <c r="F15819" i="2"/>
  <c r="E15819" i="2"/>
  <c r="D15819" i="2"/>
  <c r="F15818" i="2"/>
  <c r="E15818" i="2"/>
  <c r="D15818" i="2"/>
  <c r="F15817" i="2"/>
  <c r="E15817" i="2"/>
  <c r="D15817" i="2"/>
  <c r="F15816" i="2"/>
  <c r="E15816" i="2"/>
  <c r="D15816" i="2"/>
  <c r="F15815" i="2"/>
  <c r="E15815" i="2"/>
  <c r="D15815" i="2"/>
  <c r="F15814" i="2"/>
  <c r="E15814" i="2"/>
  <c r="D15814" i="2"/>
  <c r="F15813" i="2"/>
  <c r="E15813" i="2"/>
  <c r="D15813" i="2"/>
  <c r="F15812" i="2"/>
  <c r="E15812" i="2"/>
  <c r="D15812" i="2"/>
  <c r="F15811" i="2"/>
  <c r="E15811" i="2"/>
  <c r="D15811" i="2"/>
  <c r="F15810" i="2"/>
  <c r="E15810" i="2"/>
  <c r="D15810" i="2"/>
  <c r="F15809" i="2"/>
  <c r="E15809" i="2"/>
  <c r="D15809" i="2"/>
  <c r="F15808" i="2"/>
  <c r="E15808" i="2"/>
  <c r="D15808" i="2"/>
  <c r="F15807" i="2"/>
  <c r="E15807" i="2"/>
  <c r="D15807" i="2"/>
  <c r="F15806" i="2"/>
  <c r="E15806" i="2"/>
  <c r="D15806" i="2"/>
  <c r="F15805" i="2"/>
  <c r="E15805" i="2"/>
  <c r="D15805" i="2"/>
  <c r="F15804" i="2"/>
  <c r="E15804" i="2"/>
  <c r="D15804" i="2"/>
  <c r="F15803" i="2"/>
  <c r="E15803" i="2"/>
  <c r="D15803" i="2"/>
  <c r="F15802" i="2"/>
  <c r="E15802" i="2"/>
  <c r="D15802" i="2"/>
  <c r="F15801" i="2"/>
  <c r="E15801" i="2"/>
  <c r="D15801" i="2"/>
  <c r="F15800" i="2"/>
  <c r="E15800" i="2"/>
  <c r="D15800" i="2"/>
  <c r="F15799" i="2"/>
  <c r="E15799" i="2"/>
  <c r="D15799" i="2"/>
  <c r="F15798" i="2"/>
  <c r="E15798" i="2"/>
  <c r="D15798" i="2"/>
  <c r="F15797" i="2"/>
  <c r="E15797" i="2"/>
  <c r="D15797" i="2"/>
  <c r="F15796" i="2"/>
  <c r="E15796" i="2"/>
  <c r="D15796" i="2"/>
  <c r="F15795" i="2"/>
  <c r="E15795" i="2"/>
  <c r="D15795" i="2"/>
  <c r="F15794" i="2"/>
  <c r="E15794" i="2"/>
  <c r="D15794" i="2"/>
  <c r="F15793" i="2"/>
  <c r="E15793" i="2"/>
  <c r="D15793" i="2"/>
  <c r="F15792" i="2"/>
  <c r="E15792" i="2"/>
  <c r="D15792" i="2"/>
  <c r="F15790" i="2"/>
  <c r="E15790" i="2"/>
  <c r="D15790" i="2"/>
  <c r="F15791" i="2"/>
  <c r="E15791" i="2"/>
  <c r="D15791" i="2"/>
  <c r="F15789" i="2"/>
  <c r="E15789" i="2"/>
  <c r="D15789" i="2"/>
  <c r="F15788" i="2"/>
  <c r="E15788" i="2"/>
  <c r="D15788" i="2"/>
  <c r="F15787" i="2"/>
  <c r="E15787" i="2"/>
  <c r="D15787" i="2"/>
  <c r="F15786" i="2"/>
  <c r="E15786" i="2"/>
  <c r="D15786" i="2"/>
  <c r="F15785" i="2"/>
  <c r="E15785" i="2"/>
  <c r="D15785" i="2"/>
  <c r="F15784" i="2"/>
  <c r="E15784" i="2"/>
  <c r="D15784" i="2"/>
  <c r="F15783" i="2"/>
  <c r="E15783" i="2"/>
  <c r="D15783" i="2"/>
  <c r="F15782" i="2"/>
  <c r="E15782" i="2"/>
  <c r="D15782" i="2"/>
  <c r="F15781" i="2"/>
  <c r="E15781" i="2"/>
  <c r="D15781" i="2"/>
  <c r="F15780" i="2"/>
  <c r="E15780" i="2"/>
  <c r="D15780" i="2"/>
  <c r="F15779" i="2"/>
  <c r="E15779" i="2"/>
  <c r="D15779" i="2"/>
  <c r="F15774" i="2"/>
  <c r="E15774" i="2"/>
  <c r="D15774" i="2"/>
  <c r="F15778" i="2"/>
  <c r="E15778" i="2"/>
  <c r="D15778" i="2"/>
  <c r="F15777" i="2"/>
  <c r="E15777" i="2"/>
  <c r="D15777" i="2"/>
  <c r="F15776" i="2"/>
  <c r="E15776" i="2"/>
  <c r="D15776" i="2"/>
  <c r="F15775" i="2"/>
  <c r="E15775" i="2"/>
  <c r="D15775" i="2"/>
  <c r="F15773" i="2"/>
  <c r="E15773" i="2"/>
  <c r="D15773" i="2"/>
  <c r="F15772" i="2"/>
  <c r="E15772" i="2"/>
  <c r="D15772" i="2"/>
  <c r="F6840" i="2"/>
  <c r="E6840" i="2"/>
  <c r="D6840" i="2"/>
  <c r="F6858" i="2"/>
  <c r="E6858" i="2"/>
  <c r="D6858" i="2"/>
  <c r="F6857" i="2"/>
  <c r="E6857" i="2"/>
  <c r="D6857" i="2"/>
  <c r="F6856" i="2"/>
  <c r="E6856" i="2"/>
  <c r="D6856" i="2"/>
  <c r="F6855" i="2"/>
  <c r="E6855" i="2"/>
  <c r="D6855" i="2"/>
  <c r="F6854" i="2"/>
  <c r="E6854" i="2"/>
  <c r="D6854" i="2"/>
  <c r="F6853" i="2"/>
  <c r="E6853" i="2"/>
  <c r="D6853" i="2"/>
  <c r="F6852" i="2"/>
  <c r="E6852" i="2"/>
  <c r="D6852" i="2"/>
  <c r="F6851" i="2"/>
  <c r="E6851" i="2"/>
  <c r="D6851" i="2"/>
  <c r="F6850" i="2"/>
  <c r="E6850" i="2"/>
  <c r="D6850" i="2"/>
  <c r="F6849" i="2"/>
  <c r="E6849" i="2"/>
  <c r="D6849" i="2"/>
  <c r="F6848" i="2"/>
  <c r="E6848" i="2"/>
  <c r="D6848" i="2"/>
  <c r="F6847" i="2"/>
  <c r="E6847" i="2"/>
  <c r="D6847" i="2"/>
  <c r="F6846" i="2"/>
  <c r="E6846" i="2"/>
  <c r="D6846" i="2"/>
  <c r="F6845" i="2"/>
  <c r="E6845" i="2"/>
  <c r="D6845" i="2"/>
  <c r="F6844" i="2"/>
  <c r="E6844" i="2"/>
  <c r="D6844" i="2"/>
  <c r="F6843" i="2"/>
  <c r="E6843" i="2"/>
  <c r="D6843" i="2"/>
  <c r="F6842" i="2"/>
  <c r="E6842" i="2"/>
  <c r="D6842" i="2"/>
  <c r="F6841" i="2"/>
  <c r="E6841" i="2"/>
  <c r="D6841" i="2"/>
  <c r="F15287" i="2"/>
  <c r="E15287" i="2"/>
  <c r="D15287" i="2"/>
  <c r="F15286" i="2"/>
  <c r="E15286" i="2"/>
  <c r="D15286" i="2"/>
  <c r="F15285" i="2"/>
  <c r="E15285" i="2"/>
  <c r="D15285" i="2"/>
  <c r="F15284" i="2"/>
  <c r="E15284" i="2"/>
  <c r="D15284" i="2"/>
  <c r="F15874" i="2"/>
  <c r="E15874" i="2"/>
  <c r="D15874" i="2"/>
  <c r="F15885" i="2"/>
  <c r="E15885" i="2"/>
  <c r="D15885" i="2"/>
  <c r="F15884" i="2"/>
  <c r="E15884" i="2"/>
  <c r="D15884" i="2"/>
  <c r="F15883" i="2"/>
  <c r="E15883" i="2"/>
  <c r="D15883" i="2"/>
  <c r="F15882" i="2"/>
  <c r="E15882" i="2"/>
  <c r="D15882" i="2"/>
  <c r="F15881" i="2"/>
  <c r="E15881" i="2"/>
  <c r="D15881" i="2"/>
  <c r="F15880" i="2"/>
  <c r="E15880" i="2"/>
  <c r="D15880" i="2"/>
  <c r="F15879" i="2"/>
  <c r="E15879" i="2"/>
  <c r="D15879" i="2"/>
  <c r="F15878" i="2"/>
  <c r="E15878" i="2"/>
  <c r="D15878" i="2"/>
  <c r="F15877" i="2"/>
  <c r="E15877" i="2"/>
  <c r="D15877" i="2"/>
  <c r="F15876" i="2"/>
  <c r="E15876" i="2"/>
  <c r="D15876" i="2"/>
  <c r="F15875" i="2"/>
  <c r="E15875" i="2"/>
  <c r="D15875" i="2"/>
  <c r="F15289" i="2"/>
  <c r="E15289" i="2"/>
  <c r="D15289" i="2"/>
  <c r="F15288" i="2"/>
  <c r="E15288" i="2"/>
  <c r="D15288" i="2"/>
  <c r="F14591" i="2"/>
  <c r="E14591" i="2"/>
  <c r="D14591" i="2"/>
  <c r="F14590" i="2"/>
  <c r="E14590" i="2"/>
  <c r="D14590" i="2"/>
  <c r="F14589" i="2"/>
  <c r="E14589" i="2"/>
  <c r="D14589" i="2"/>
  <c r="F14588" i="2"/>
  <c r="E14588" i="2"/>
  <c r="D14588" i="2"/>
  <c r="F14587" i="2"/>
  <c r="E14587" i="2"/>
  <c r="D14587" i="2"/>
  <c r="F14586" i="2"/>
  <c r="E14586" i="2"/>
  <c r="D14586" i="2"/>
  <c r="F14585" i="2"/>
  <c r="E14585" i="2"/>
  <c r="D14585" i="2"/>
  <c r="F14584" i="2"/>
  <c r="E14584" i="2"/>
  <c r="D14584" i="2"/>
  <c r="F14583" i="2"/>
  <c r="E14583" i="2"/>
  <c r="D14583" i="2"/>
  <c r="F14582" i="2"/>
  <c r="E14582" i="2"/>
  <c r="D14582" i="2"/>
  <c r="F14581" i="2"/>
  <c r="E14581" i="2"/>
  <c r="D14581" i="2"/>
  <c r="F14580" i="2"/>
  <c r="E14580" i="2"/>
  <c r="D14580" i="2"/>
  <c r="F14579" i="2"/>
  <c r="E14579" i="2"/>
  <c r="D14579" i="2"/>
  <c r="F14578" i="2"/>
  <c r="E14578" i="2"/>
  <c r="D14578" i="2"/>
  <c r="F14577" i="2"/>
  <c r="E14577" i="2"/>
  <c r="D14577" i="2"/>
  <c r="F14576" i="2"/>
  <c r="E14576" i="2"/>
  <c r="D14576" i="2"/>
  <c r="F14575" i="2"/>
  <c r="E14575" i="2"/>
  <c r="D14575" i="2"/>
  <c r="F14574" i="2"/>
  <c r="E14574" i="2"/>
  <c r="D14574" i="2"/>
  <c r="F14573" i="2"/>
  <c r="E14573" i="2"/>
  <c r="D14573" i="2"/>
  <c r="F14572" i="2"/>
  <c r="E14572" i="2"/>
  <c r="D14572" i="2"/>
  <c r="F14571" i="2"/>
  <c r="E14571" i="2"/>
  <c r="D14571" i="2"/>
  <c r="F14570" i="2"/>
  <c r="E14570" i="2"/>
  <c r="D14570" i="2"/>
  <c r="F14569" i="2"/>
  <c r="E14569" i="2"/>
  <c r="D14569" i="2"/>
  <c r="F14568" i="2"/>
  <c r="E14568" i="2"/>
  <c r="D14568" i="2"/>
  <c r="F14567" i="2"/>
  <c r="E14567" i="2"/>
  <c r="D14567" i="2"/>
  <c r="F14566" i="2"/>
  <c r="E14566" i="2"/>
  <c r="D14566" i="2"/>
  <c r="F14565" i="2"/>
  <c r="E14565" i="2"/>
  <c r="D14565" i="2"/>
  <c r="F14564" i="2"/>
  <c r="E14564" i="2"/>
  <c r="D14564" i="2"/>
  <c r="F14563" i="2"/>
  <c r="E14563" i="2"/>
  <c r="D14563" i="2"/>
  <c r="F9601" i="2"/>
  <c r="E9601" i="2"/>
  <c r="D9601" i="2"/>
  <c r="F9600" i="2"/>
  <c r="E9600" i="2"/>
  <c r="D9600" i="2"/>
  <c r="F9599" i="2"/>
  <c r="E9599" i="2"/>
  <c r="D9599" i="2"/>
  <c r="F9598" i="2"/>
  <c r="E9598" i="2"/>
  <c r="D9598" i="2"/>
  <c r="F9597" i="2"/>
  <c r="E9597" i="2"/>
  <c r="D9597" i="2"/>
  <c r="F9596" i="2"/>
  <c r="E9596" i="2"/>
  <c r="D9596" i="2"/>
  <c r="F9595" i="2"/>
  <c r="E9595" i="2"/>
  <c r="D9595" i="2"/>
  <c r="F9594" i="2"/>
  <c r="E9594" i="2"/>
  <c r="D9594" i="2"/>
  <c r="F9593" i="2"/>
  <c r="E9593" i="2"/>
  <c r="D9593" i="2"/>
  <c r="F9592" i="2"/>
  <c r="E9592" i="2"/>
  <c r="D9592" i="2"/>
  <c r="F9591" i="2"/>
  <c r="E9591" i="2"/>
  <c r="D9591" i="2"/>
  <c r="F9590" i="2"/>
  <c r="E9590" i="2"/>
  <c r="D9590" i="2"/>
  <c r="F9589" i="2"/>
  <c r="E9589" i="2"/>
  <c r="D9589" i="2"/>
  <c r="F9586" i="2"/>
  <c r="E9586" i="2"/>
  <c r="D9586" i="2"/>
  <c r="F9588" i="2"/>
  <c r="E9588" i="2"/>
  <c r="D9588" i="2"/>
  <c r="F9587" i="2"/>
  <c r="E9587" i="2"/>
  <c r="D9587" i="2"/>
  <c r="F9585" i="2"/>
  <c r="E9585" i="2"/>
  <c r="D9585" i="2"/>
  <c r="F9584" i="2"/>
  <c r="E9584" i="2"/>
  <c r="D9584" i="2"/>
  <c r="F9583" i="2"/>
  <c r="E9583" i="2"/>
  <c r="D9583" i="2"/>
  <c r="F9582" i="2"/>
  <c r="E9582" i="2"/>
  <c r="D9582" i="2"/>
  <c r="F9581" i="2"/>
  <c r="E9581" i="2"/>
  <c r="D9581" i="2"/>
  <c r="F9580" i="2"/>
  <c r="E9580" i="2"/>
  <c r="D9580" i="2"/>
  <c r="F9579" i="2"/>
  <c r="E9579" i="2"/>
  <c r="D9579" i="2"/>
  <c r="F9578" i="2"/>
  <c r="E9578" i="2"/>
  <c r="D9578" i="2"/>
  <c r="F9577" i="2"/>
  <c r="E9577" i="2"/>
  <c r="D9577" i="2"/>
  <c r="F9576" i="2"/>
  <c r="E9576" i="2"/>
  <c r="D9576" i="2"/>
  <c r="F9575" i="2"/>
  <c r="E9575" i="2"/>
  <c r="D9575" i="2"/>
  <c r="F9574" i="2"/>
  <c r="E9574" i="2"/>
  <c r="D9574" i="2"/>
  <c r="F9573" i="2"/>
  <c r="E9573" i="2"/>
  <c r="D9573" i="2"/>
  <c r="F9572" i="2"/>
  <c r="E9572" i="2"/>
  <c r="D9572" i="2"/>
  <c r="F9570" i="2"/>
  <c r="E9570" i="2"/>
  <c r="D9570" i="2"/>
  <c r="F9571" i="2"/>
  <c r="E9571" i="2"/>
  <c r="D9571" i="2"/>
  <c r="F12574" i="2"/>
  <c r="E12574" i="2"/>
  <c r="D12574" i="2"/>
  <c r="F12583" i="2"/>
  <c r="E12583" i="2"/>
  <c r="D12583" i="2"/>
  <c r="F12582" i="2"/>
  <c r="E12582" i="2"/>
  <c r="D12582" i="2"/>
  <c r="F12581" i="2"/>
  <c r="E12581" i="2"/>
  <c r="D12581" i="2"/>
  <c r="F12580" i="2"/>
  <c r="E12580" i="2"/>
  <c r="D12580" i="2"/>
  <c r="F12579" i="2"/>
  <c r="E12579" i="2"/>
  <c r="D12579" i="2"/>
  <c r="F12578" i="2"/>
  <c r="E12578" i="2"/>
  <c r="D12578" i="2"/>
  <c r="F12577" i="2"/>
  <c r="E12577" i="2"/>
  <c r="D12577" i="2"/>
  <c r="F12576" i="2"/>
  <c r="E12576" i="2"/>
  <c r="D12576" i="2"/>
  <c r="F12575" i="2"/>
  <c r="E12575" i="2"/>
  <c r="D12575" i="2"/>
  <c r="F9125" i="2"/>
  <c r="E9125" i="2"/>
  <c r="D9125" i="2"/>
  <c r="F9133" i="2"/>
  <c r="E9133" i="2"/>
  <c r="D9133" i="2"/>
  <c r="F9132" i="2"/>
  <c r="E9132" i="2"/>
  <c r="D9132" i="2"/>
  <c r="F9131" i="2"/>
  <c r="E9131" i="2"/>
  <c r="D9131" i="2"/>
  <c r="F9130" i="2"/>
  <c r="E9130" i="2"/>
  <c r="D9130" i="2"/>
  <c r="F9129" i="2"/>
  <c r="E9129" i="2"/>
  <c r="D9129" i="2"/>
  <c r="F9128" i="2"/>
  <c r="E9128" i="2"/>
  <c r="D9128" i="2"/>
  <c r="F9126" i="2"/>
  <c r="E9126" i="2"/>
  <c r="D9126" i="2"/>
  <c r="F9127" i="2"/>
  <c r="E9127" i="2"/>
  <c r="D9127" i="2"/>
  <c r="F4355" i="2"/>
  <c r="E4355" i="2"/>
  <c r="D4355" i="2"/>
  <c r="F4354" i="2"/>
  <c r="E4354" i="2"/>
  <c r="D4354" i="2"/>
  <c r="F4353" i="2"/>
  <c r="E4353" i="2"/>
  <c r="D4353" i="2"/>
  <c r="F4352" i="2"/>
  <c r="E4352" i="2"/>
  <c r="D4352" i="2"/>
  <c r="F4351" i="2"/>
  <c r="E4351" i="2"/>
  <c r="D4351" i="2"/>
  <c r="F4350" i="2"/>
  <c r="E4350" i="2"/>
  <c r="D4350" i="2"/>
  <c r="F6618" i="2"/>
  <c r="E6618" i="2"/>
  <c r="D6618" i="2"/>
  <c r="F6617" i="2"/>
  <c r="E6617" i="2"/>
  <c r="D6617" i="2"/>
  <c r="F6616" i="2"/>
  <c r="E6616" i="2"/>
  <c r="D6616" i="2"/>
  <c r="F6615" i="2"/>
  <c r="E6615" i="2"/>
  <c r="D6615" i="2"/>
  <c r="F6614" i="2"/>
  <c r="E6614" i="2"/>
  <c r="D6614" i="2"/>
  <c r="F6613" i="2"/>
  <c r="E6613" i="2"/>
  <c r="D6613" i="2"/>
  <c r="F6612" i="2"/>
  <c r="E6612" i="2"/>
  <c r="D6612" i="2"/>
  <c r="F6611" i="2"/>
  <c r="E6611" i="2"/>
  <c r="D6611" i="2"/>
  <c r="F6610" i="2"/>
  <c r="E6610" i="2"/>
  <c r="D6610" i="2"/>
  <c r="F6609" i="2"/>
  <c r="E6609" i="2"/>
  <c r="D6609" i="2"/>
  <c r="F6608" i="2"/>
  <c r="E6608" i="2"/>
  <c r="D6608" i="2"/>
  <c r="F6607" i="2"/>
  <c r="E6607" i="2"/>
  <c r="D6607" i="2"/>
  <c r="F6606" i="2"/>
  <c r="E6606" i="2"/>
  <c r="D6606" i="2"/>
  <c r="F6605" i="2"/>
  <c r="E6605" i="2"/>
  <c r="D6605" i="2"/>
  <c r="F6604" i="2"/>
  <c r="E6604" i="2"/>
  <c r="D6604" i="2"/>
  <c r="F6603" i="2"/>
  <c r="E6603" i="2"/>
  <c r="D6603" i="2"/>
  <c r="F12103" i="2"/>
  <c r="E12103" i="2"/>
  <c r="D12103" i="2"/>
  <c r="F12106" i="2"/>
  <c r="E12106" i="2"/>
  <c r="D12106" i="2"/>
  <c r="F12105" i="2"/>
  <c r="E12105" i="2"/>
  <c r="D12105" i="2"/>
  <c r="F12104" i="2"/>
  <c r="E12104" i="2"/>
  <c r="D12104" i="2"/>
  <c r="F11909" i="2"/>
  <c r="E11909" i="2"/>
  <c r="D11909" i="2"/>
  <c r="F11911" i="2"/>
  <c r="E11911" i="2"/>
  <c r="D11911" i="2"/>
  <c r="F11910" i="2"/>
  <c r="E11910" i="2"/>
  <c r="D11910" i="2"/>
  <c r="F11908" i="2"/>
  <c r="E11908" i="2"/>
  <c r="D11908" i="2"/>
  <c r="F11907" i="2"/>
  <c r="E11907" i="2"/>
  <c r="D11907" i="2"/>
  <c r="F11906" i="2"/>
  <c r="E11906" i="2"/>
  <c r="D11906" i="2"/>
  <c r="F11905" i="2"/>
  <c r="E11905" i="2"/>
  <c r="D11905" i="2"/>
  <c r="F11904" i="2"/>
  <c r="E11904" i="2"/>
  <c r="D11904" i="2"/>
  <c r="F11903" i="2"/>
  <c r="E11903" i="2"/>
  <c r="D11903" i="2"/>
  <c r="F11902" i="2"/>
  <c r="E11902" i="2"/>
  <c r="D11902" i="2"/>
  <c r="F11901" i="2"/>
  <c r="E11901" i="2"/>
  <c r="D11901" i="2"/>
  <c r="F11900" i="2"/>
  <c r="E11900" i="2"/>
  <c r="D11900" i="2"/>
  <c r="F11899" i="2"/>
  <c r="E11899" i="2"/>
  <c r="D11899" i="2"/>
  <c r="F11898" i="2"/>
  <c r="E11898" i="2"/>
  <c r="D11898" i="2"/>
  <c r="F11897" i="2"/>
  <c r="E11897" i="2"/>
  <c r="D11897" i="2"/>
  <c r="F11896" i="2"/>
  <c r="E11896" i="2"/>
  <c r="D11896" i="2"/>
  <c r="F11895" i="2"/>
  <c r="E11895" i="2"/>
  <c r="D11895" i="2"/>
  <c r="F11894" i="2"/>
  <c r="E11894" i="2"/>
  <c r="D11894" i="2"/>
  <c r="F11893" i="2"/>
  <c r="E11893" i="2"/>
  <c r="D11893" i="2"/>
  <c r="F11892" i="2"/>
  <c r="E11892" i="2"/>
  <c r="D11892" i="2"/>
  <c r="F11891" i="2"/>
  <c r="E11891" i="2"/>
  <c r="D11891" i="2"/>
  <c r="F11890" i="2"/>
  <c r="E11890" i="2"/>
  <c r="D11890" i="2"/>
  <c r="F11889" i="2"/>
  <c r="E11889" i="2"/>
  <c r="D11889" i="2"/>
  <c r="F11888" i="2"/>
  <c r="E11888" i="2"/>
  <c r="D11888" i="2"/>
  <c r="F11887" i="2"/>
  <c r="E11887" i="2"/>
  <c r="D11887" i="2"/>
  <c r="F11886" i="2"/>
  <c r="E11886" i="2"/>
  <c r="D11886" i="2"/>
  <c r="F11885" i="2"/>
  <c r="E11885" i="2"/>
  <c r="D11885" i="2"/>
  <c r="F11884" i="2"/>
  <c r="E11884" i="2"/>
  <c r="D11884" i="2"/>
  <c r="F11883" i="2"/>
  <c r="E11883" i="2"/>
  <c r="D11883" i="2"/>
  <c r="F11881" i="2"/>
  <c r="E11881" i="2"/>
  <c r="D11881" i="2"/>
  <c r="F11882" i="2"/>
  <c r="E11882" i="2"/>
  <c r="D11882" i="2"/>
  <c r="F11880" i="2"/>
  <c r="E11880" i="2"/>
  <c r="D11880" i="2"/>
  <c r="F11879" i="2"/>
  <c r="E11879" i="2"/>
  <c r="D11879" i="2"/>
  <c r="F11878" i="2"/>
  <c r="E11878" i="2"/>
  <c r="D11878" i="2"/>
  <c r="F11877" i="2"/>
  <c r="E11877" i="2"/>
  <c r="D11877" i="2"/>
  <c r="F11876" i="2"/>
  <c r="E11876" i="2"/>
  <c r="D11876" i="2"/>
  <c r="F11875" i="2"/>
  <c r="E11875" i="2"/>
  <c r="D11875" i="2"/>
  <c r="F11874" i="2"/>
  <c r="E11874" i="2"/>
  <c r="D11874" i="2"/>
  <c r="F11873" i="2"/>
  <c r="E11873" i="2"/>
  <c r="D11873" i="2"/>
  <c r="F11872" i="2"/>
  <c r="E11872" i="2"/>
  <c r="D11872" i="2"/>
  <c r="F11871" i="2"/>
  <c r="E11871" i="2"/>
  <c r="D11871" i="2"/>
  <c r="F11870" i="2"/>
  <c r="E11870" i="2"/>
  <c r="D11870" i="2"/>
  <c r="F11869" i="2"/>
  <c r="E11869" i="2"/>
  <c r="D11869" i="2"/>
  <c r="F11868" i="2"/>
  <c r="E11868" i="2"/>
  <c r="D11868" i="2"/>
  <c r="F11867" i="2"/>
  <c r="E11867" i="2"/>
  <c r="D11867" i="2"/>
  <c r="F11866" i="2"/>
  <c r="E11866" i="2"/>
  <c r="D11866" i="2"/>
  <c r="F11865" i="2"/>
  <c r="E11865" i="2"/>
  <c r="D11865" i="2"/>
  <c r="F11864" i="2"/>
  <c r="E11864" i="2"/>
  <c r="D11864" i="2"/>
  <c r="F11863" i="2"/>
  <c r="E11863" i="2"/>
  <c r="D11863" i="2"/>
  <c r="F11862" i="2"/>
  <c r="E11862" i="2"/>
  <c r="D11862" i="2"/>
  <c r="F11860" i="2"/>
  <c r="E11860" i="2"/>
  <c r="D11860" i="2"/>
  <c r="F11861" i="2"/>
  <c r="E11861" i="2"/>
  <c r="D11861" i="2"/>
  <c r="F11859" i="2"/>
  <c r="E11859" i="2"/>
  <c r="D11859" i="2"/>
  <c r="F11858" i="2"/>
  <c r="E11858" i="2"/>
  <c r="D11858" i="2"/>
  <c r="F9649" i="2"/>
  <c r="E9649" i="2"/>
  <c r="D9649" i="2"/>
  <c r="F9248" i="2"/>
  <c r="E9248" i="2"/>
  <c r="D9248" i="2"/>
  <c r="F9247" i="2"/>
  <c r="E9247" i="2"/>
  <c r="D9247" i="2"/>
  <c r="F9246" i="2"/>
  <c r="E9246" i="2"/>
  <c r="D9246" i="2"/>
  <c r="F9245" i="2"/>
  <c r="E9245" i="2"/>
  <c r="D9245" i="2"/>
  <c r="F9244" i="2"/>
  <c r="E9244" i="2"/>
  <c r="D9244" i="2"/>
  <c r="F9243" i="2"/>
  <c r="E9243" i="2"/>
  <c r="D9243" i="2"/>
  <c r="F9242" i="2"/>
  <c r="E9242" i="2"/>
  <c r="D9242" i="2"/>
  <c r="F9239" i="2"/>
  <c r="E9239" i="2"/>
  <c r="D9239" i="2"/>
  <c r="F9241" i="2"/>
  <c r="E9241" i="2"/>
  <c r="D9241" i="2"/>
  <c r="F9240" i="2"/>
  <c r="E9240" i="2"/>
  <c r="D9240" i="2"/>
  <c r="F9238" i="2"/>
  <c r="E9238" i="2"/>
  <c r="D9238" i="2"/>
  <c r="F9237" i="2"/>
  <c r="E9237" i="2"/>
  <c r="D9237" i="2"/>
  <c r="F9236" i="2"/>
  <c r="E9236" i="2"/>
  <c r="D9236" i="2"/>
  <c r="F9235" i="2"/>
  <c r="E9235" i="2"/>
  <c r="D9235" i="2"/>
  <c r="F9234" i="2"/>
  <c r="E9234" i="2"/>
  <c r="D9234" i="2"/>
  <c r="F9233" i="2"/>
  <c r="E9233" i="2"/>
  <c r="D9233" i="2"/>
  <c r="F9232" i="2"/>
  <c r="E9232" i="2"/>
  <c r="D9232" i="2"/>
  <c r="F9231" i="2"/>
  <c r="E9231" i="2"/>
  <c r="D9231" i="2"/>
  <c r="F9230" i="2"/>
  <c r="E9230" i="2"/>
  <c r="D9230" i="2"/>
  <c r="F9229" i="2"/>
  <c r="E9229" i="2"/>
  <c r="D9229" i="2"/>
  <c r="F9228" i="2"/>
  <c r="E9228" i="2"/>
  <c r="D9228" i="2"/>
  <c r="F9227" i="2"/>
  <c r="E9227" i="2"/>
  <c r="D9227" i="2"/>
  <c r="F9226" i="2"/>
  <c r="E9226" i="2"/>
  <c r="D9226" i="2"/>
  <c r="F9225" i="2"/>
  <c r="E9225" i="2"/>
  <c r="D9225" i="2"/>
  <c r="F9224" i="2"/>
  <c r="E9224" i="2"/>
  <c r="D9224" i="2"/>
  <c r="F9223" i="2"/>
  <c r="E9223" i="2"/>
  <c r="D9223" i="2"/>
  <c r="F9222" i="2"/>
  <c r="E9222" i="2"/>
  <c r="D9222" i="2"/>
  <c r="F9221" i="2"/>
  <c r="E9221" i="2"/>
  <c r="D9221" i="2"/>
  <c r="F9220" i="2"/>
  <c r="E9220" i="2"/>
  <c r="D9220" i="2"/>
  <c r="F9219" i="2"/>
  <c r="E9219" i="2"/>
  <c r="D9219" i="2"/>
  <c r="F9218" i="2"/>
  <c r="E9218" i="2"/>
  <c r="D9218" i="2"/>
  <c r="F9217" i="2"/>
  <c r="E9217" i="2"/>
  <c r="D9217" i="2"/>
  <c r="F9216" i="2"/>
  <c r="E9216" i="2"/>
  <c r="D9216" i="2"/>
  <c r="F9215" i="2"/>
  <c r="E9215" i="2"/>
  <c r="D9215" i="2"/>
  <c r="F9214" i="2"/>
  <c r="E9214" i="2"/>
  <c r="D9214" i="2"/>
  <c r="F9213" i="2"/>
  <c r="E9213" i="2"/>
  <c r="D9213" i="2"/>
  <c r="F9212" i="2"/>
  <c r="E9212" i="2"/>
  <c r="D9212" i="2"/>
  <c r="F9211" i="2"/>
  <c r="E9211" i="2"/>
  <c r="D9211" i="2"/>
  <c r="F9209" i="2"/>
  <c r="E9209" i="2"/>
  <c r="D9209" i="2"/>
  <c r="F9210" i="2"/>
  <c r="E9210" i="2"/>
  <c r="D9210" i="2"/>
  <c r="F9208" i="2"/>
  <c r="E9208" i="2"/>
  <c r="D9208" i="2"/>
  <c r="F14592" i="2"/>
  <c r="E14592" i="2"/>
  <c r="D14592" i="2"/>
  <c r="F14608" i="2"/>
  <c r="E14608" i="2"/>
  <c r="D14608" i="2"/>
  <c r="F14607" i="2"/>
  <c r="E14607" i="2"/>
  <c r="D14607" i="2"/>
  <c r="F14606" i="2"/>
  <c r="E14606" i="2"/>
  <c r="D14606" i="2"/>
  <c r="F14605" i="2"/>
  <c r="E14605" i="2"/>
  <c r="D14605" i="2"/>
  <c r="F14604" i="2"/>
  <c r="E14604" i="2"/>
  <c r="D14604" i="2"/>
  <c r="F14603" i="2"/>
  <c r="E14603" i="2"/>
  <c r="D14603" i="2"/>
  <c r="F14602" i="2"/>
  <c r="E14602" i="2"/>
  <c r="D14602" i="2"/>
  <c r="F14601" i="2"/>
  <c r="E14601" i="2"/>
  <c r="D14601" i="2"/>
  <c r="F14600" i="2"/>
  <c r="E14600" i="2"/>
  <c r="D14600" i="2"/>
  <c r="F14599" i="2"/>
  <c r="E14599" i="2"/>
  <c r="D14599" i="2"/>
  <c r="F14598" i="2"/>
  <c r="E14598" i="2"/>
  <c r="D14598" i="2"/>
  <c r="F14597" i="2"/>
  <c r="E14597" i="2"/>
  <c r="D14597" i="2"/>
  <c r="F14595" i="2"/>
  <c r="E14595" i="2"/>
  <c r="D14595" i="2"/>
  <c r="F14596" i="2"/>
  <c r="E14596" i="2"/>
  <c r="D14596" i="2"/>
  <c r="F14593" i="2"/>
  <c r="E14593" i="2"/>
  <c r="D14593" i="2"/>
  <c r="F14594" i="2"/>
  <c r="E14594" i="2"/>
  <c r="D14594" i="2"/>
  <c r="F12272" i="2"/>
  <c r="E12272" i="2"/>
  <c r="D12272" i="2"/>
  <c r="F12271" i="2"/>
  <c r="E12271" i="2"/>
  <c r="D12271" i="2"/>
  <c r="F12270" i="2"/>
  <c r="E12270" i="2"/>
  <c r="D12270" i="2"/>
  <c r="F12269" i="2"/>
  <c r="E12269" i="2"/>
  <c r="D12269" i="2"/>
  <c r="F12268" i="2"/>
  <c r="E12268" i="2"/>
  <c r="D12268" i="2"/>
  <c r="F12267" i="2"/>
  <c r="E12267" i="2"/>
  <c r="D12267" i="2"/>
  <c r="F12266" i="2"/>
  <c r="E12266" i="2"/>
  <c r="D12266" i="2"/>
  <c r="F12265" i="2"/>
  <c r="E12265" i="2"/>
  <c r="D12265" i="2"/>
  <c r="F12264" i="2"/>
  <c r="E12264" i="2"/>
  <c r="D12264" i="2"/>
  <c r="F12263" i="2"/>
  <c r="E12263" i="2"/>
  <c r="D12263" i="2"/>
  <c r="F12262" i="2"/>
  <c r="E12262" i="2"/>
  <c r="D12262" i="2"/>
  <c r="F12261" i="2"/>
  <c r="E12261" i="2"/>
  <c r="D12261" i="2"/>
  <c r="F12260" i="2"/>
  <c r="E12260" i="2"/>
  <c r="D12260" i="2"/>
  <c r="F12259" i="2"/>
  <c r="E12259" i="2"/>
  <c r="D12259" i="2"/>
  <c r="F12258" i="2"/>
  <c r="E12258" i="2"/>
  <c r="D12258" i="2"/>
  <c r="F12257" i="2"/>
  <c r="E12257" i="2"/>
  <c r="D12257" i="2"/>
  <c r="F12256" i="2"/>
  <c r="E12256" i="2"/>
  <c r="D12256" i="2"/>
  <c r="F12255" i="2"/>
  <c r="E12255" i="2"/>
  <c r="D12255" i="2"/>
  <c r="F12254" i="2"/>
  <c r="E12254" i="2"/>
  <c r="D12254" i="2"/>
  <c r="F12253" i="2"/>
  <c r="E12253" i="2"/>
  <c r="D12253" i="2"/>
  <c r="F12251" i="2"/>
  <c r="E12251" i="2"/>
  <c r="D12251" i="2"/>
  <c r="F12252" i="2"/>
  <c r="E12252" i="2"/>
  <c r="D12252" i="2"/>
  <c r="F12250" i="2"/>
  <c r="E12250" i="2"/>
  <c r="D12250" i="2"/>
  <c r="F12248" i="2"/>
  <c r="E12248" i="2"/>
  <c r="D12248" i="2"/>
  <c r="F12249" i="2"/>
  <c r="E12249" i="2"/>
  <c r="D12249" i="2"/>
  <c r="F12247" i="2"/>
  <c r="E12247" i="2"/>
  <c r="D12247" i="2"/>
  <c r="F12246" i="2"/>
  <c r="E12246" i="2"/>
  <c r="D12246" i="2"/>
  <c r="F12245" i="2"/>
  <c r="E12245" i="2"/>
  <c r="D12245" i="2"/>
  <c r="F12244" i="2"/>
  <c r="E12244" i="2"/>
  <c r="D12244" i="2"/>
  <c r="F12243" i="2"/>
  <c r="E12243" i="2"/>
  <c r="D12243" i="2"/>
  <c r="F12242" i="2"/>
  <c r="E12242" i="2"/>
  <c r="D12242" i="2"/>
  <c r="F12241" i="2"/>
  <c r="E12241" i="2"/>
  <c r="D12241" i="2"/>
  <c r="F12240" i="2"/>
  <c r="E12240" i="2"/>
  <c r="D12240" i="2"/>
  <c r="F12239" i="2"/>
  <c r="E12239" i="2"/>
  <c r="D12239" i="2"/>
  <c r="F12238" i="2"/>
  <c r="E12238" i="2"/>
  <c r="D12238" i="2"/>
  <c r="F12237" i="2"/>
  <c r="E12237" i="2"/>
  <c r="D12237" i="2"/>
  <c r="F12236" i="2"/>
  <c r="E12236" i="2"/>
  <c r="D12236" i="2"/>
  <c r="F12235" i="2"/>
  <c r="E12235" i="2"/>
  <c r="D12235" i="2"/>
  <c r="F12234" i="2"/>
  <c r="E12234" i="2"/>
  <c r="D12234" i="2"/>
  <c r="F12233" i="2"/>
  <c r="E12233" i="2"/>
  <c r="D12233" i="2"/>
  <c r="F12232" i="2"/>
  <c r="E12232" i="2"/>
  <c r="D12232" i="2"/>
  <c r="F12231" i="2"/>
  <c r="E12231" i="2"/>
  <c r="D12231" i="2"/>
  <c r="F12230" i="2"/>
  <c r="E12230" i="2"/>
  <c r="D12230" i="2"/>
  <c r="F12229" i="2"/>
  <c r="E12229" i="2"/>
  <c r="D12229" i="2"/>
  <c r="F12228" i="2"/>
  <c r="E12228" i="2"/>
  <c r="D12228" i="2"/>
  <c r="F12226" i="2"/>
  <c r="E12226" i="2"/>
  <c r="D12226" i="2"/>
  <c r="F12227" i="2"/>
  <c r="E12227" i="2"/>
  <c r="D12227" i="2"/>
  <c r="F12225" i="2"/>
  <c r="E12225" i="2"/>
  <c r="D12225" i="2"/>
  <c r="F12224" i="2"/>
  <c r="E12224" i="2"/>
  <c r="D12224" i="2"/>
  <c r="F12223" i="2"/>
  <c r="E12223" i="2"/>
  <c r="D12223" i="2"/>
  <c r="F12222" i="2"/>
  <c r="E12222" i="2"/>
  <c r="D12222" i="2"/>
  <c r="F12221" i="2"/>
  <c r="E12221" i="2"/>
  <c r="D12221" i="2"/>
  <c r="F12220" i="2"/>
  <c r="E12220" i="2"/>
  <c r="D12220" i="2"/>
  <c r="F15889" i="2"/>
  <c r="E15889" i="2"/>
  <c r="D15889" i="2"/>
  <c r="F12124" i="2"/>
  <c r="E12124" i="2"/>
  <c r="D12124" i="2"/>
  <c r="F12123" i="2"/>
  <c r="E12123" i="2"/>
  <c r="D12123" i="2"/>
  <c r="F12122" i="2"/>
  <c r="E12122" i="2"/>
  <c r="D12122" i="2"/>
  <c r="F12121" i="2"/>
  <c r="E12121" i="2"/>
  <c r="D12121" i="2"/>
  <c r="F12120" i="2"/>
  <c r="E12120" i="2"/>
  <c r="D12120" i="2"/>
  <c r="F12119" i="2"/>
  <c r="E12119" i="2"/>
  <c r="D12119" i="2"/>
  <c r="F12118" i="2"/>
  <c r="E12118" i="2"/>
  <c r="D12118" i="2"/>
  <c r="F12117" i="2"/>
  <c r="E12117" i="2"/>
  <c r="D12117" i="2"/>
  <c r="F12116" i="2"/>
  <c r="E12116" i="2"/>
  <c r="D12116" i="2"/>
  <c r="F12115" i="2"/>
  <c r="E12115" i="2"/>
  <c r="D12115" i="2"/>
  <c r="F12114" i="2"/>
  <c r="E12114" i="2"/>
  <c r="D12114" i="2"/>
  <c r="F12113" i="2"/>
  <c r="E12113" i="2"/>
  <c r="D12113" i="2"/>
  <c r="F12112" i="2"/>
  <c r="E12112" i="2"/>
  <c r="D12112" i="2"/>
  <c r="F12111" i="2"/>
  <c r="E12111" i="2"/>
  <c r="D12111" i="2"/>
  <c r="F12109" i="2"/>
  <c r="E12109" i="2"/>
  <c r="D12109" i="2"/>
  <c r="F12110" i="2"/>
  <c r="E12110" i="2"/>
  <c r="D12110" i="2"/>
  <c r="F12108" i="2"/>
  <c r="E12108" i="2"/>
  <c r="D12108" i="2"/>
  <c r="F12107" i="2"/>
  <c r="E12107" i="2"/>
  <c r="D12107" i="2"/>
  <c r="F13177" i="2"/>
  <c r="E13177" i="2"/>
  <c r="D13177" i="2"/>
  <c r="F13175" i="2"/>
  <c r="E13175" i="2"/>
  <c r="D13175" i="2"/>
  <c r="F13176" i="2"/>
  <c r="E13176" i="2"/>
  <c r="D13176" i="2"/>
  <c r="F13174" i="2"/>
  <c r="E13174" i="2"/>
  <c r="D13174" i="2"/>
  <c r="F13173" i="2"/>
  <c r="E13173" i="2"/>
  <c r="D13173" i="2"/>
  <c r="F13172" i="2"/>
  <c r="E13172" i="2"/>
  <c r="D13172" i="2"/>
  <c r="F13171" i="2"/>
  <c r="E13171" i="2"/>
  <c r="D13171" i="2"/>
  <c r="F13169" i="2"/>
  <c r="E13169" i="2"/>
  <c r="D13169" i="2"/>
  <c r="F13170" i="2"/>
  <c r="E13170" i="2"/>
  <c r="D13170" i="2"/>
  <c r="F15968" i="2"/>
  <c r="E15968" i="2"/>
  <c r="D15968" i="2"/>
  <c r="F15967" i="2"/>
  <c r="E15967" i="2"/>
  <c r="D15967" i="2"/>
  <c r="F15966" i="2"/>
  <c r="E15966" i="2"/>
  <c r="D15966" i="2"/>
  <c r="F15965" i="2"/>
  <c r="E15965" i="2"/>
  <c r="D15965" i="2"/>
  <c r="F15964" i="2"/>
  <c r="E15964" i="2"/>
  <c r="D15964" i="2"/>
  <c r="F15963" i="2"/>
  <c r="E15963" i="2"/>
  <c r="D15963" i="2"/>
  <c r="F15962" i="2"/>
  <c r="E15962" i="2"/>
  <c r="D15962" i="2"/>
  <c r="F15961" i="2"/>
  <c r="E15961" i="2"/>
  <c r="D15961" i="2"/>
  <c r="F15960" i="2"/>
  <c r="E15960" i="2"/>
  <c r="D15960" i="2"/>
  <c r="F15959" i="2"/>
  <c r="E15959" i="2"/>
  <c r="D15959" i="2"/>
  <c r="F15958" i="2"/>
  <c r="E15958" i="2"/>
  <c r="D15958" i="2"/>
  <c r="F15957" i="2"/>
  <c r="E15957" i="2"/>
  <c r="D15957" i="2"/>
  <c r="F15956" i="2"/>
  <c r="E15956" i="2"/>
  <c r="D15956" i="2"/>
  <c r="F15955" i="2"/>
  <c r="E15955" i="2"/>
  <c r="D15955" i="2"/>
  <c r="F15954" i="2"/>
  <c r="E15954" i="2"/>
  <c r="D15954" i="2"/>
  <c r="F15953" i="2"/>
  <c r="E15953" i="2"/>
  <c r="D15953" i="2"/>
  <c r="F15952" i="2"/>
  <c r="E15952" i="2"/>
  <c r="D15952" i="2"/>
  <c r="F15951" i="2"/>
  <c r="E15951" i="2"/>
  <c r="D15951" i="2"/>
  <c r="F15950" i="2"/>
  <c r="E15950" i="2"/>
  <c r="D15950" i="2"/>
  <c r="F15949" i="2"/>
  <c r="E15949" i="2"/>
  <c r="D15949" i="2"/>
  <c r="F15948" i="2"/>
  <c r="E15948" i="2"/>
  <c r="D15948" i="2"/>
  <c r="F15947" i="2"/>
  <c r="E15947" i="2"/>
  <c r="D15947" i="2"/>
  <c r="F15946" i="2"/>
  <c r="E15946" i="2"/>
  <c r="D15946" i="2"/>
  <c r="F15945" i="2"/>
  <c r="E15945" i="2"/>
  <c r="D15945" i="2"/>
  <c r="F15944" i="2"/>
  <c r="E15944" i="2"/>
  <c r="D15944" i="2"/>
  <c r="F15943" i="2"/>
  <c r="E15943" i="2"/>
  <c r="D15943" i="2"/>
  <c r="F15942" i="2"/>
  <c r="E15942" i="2"/>
  <c r="D15942" i="2"/>
  <c r="F15941" i="2"/>
  <c r="E15941" i="2"/>
  <c r="D15941" i="2"/>
  <c r="F15940" i="2"/>
  <c r="E15940" i="2"/>
  <c r="D15940" i="2"/>
  <c r="F15939" i="2"/>
  <c r="E15939" i="2"/>
  <c r="D15939" i="2"/>
  <c r="F15938" i="2"/>
  <c r="E15938" i="2"/>
  <c r="D15938" i="2"/>
  <c r="F15937" i="2"/>
  <c r="E15937" i="2"/>
  <c r="D15937" i="2"/>
  <c r="F15936" i="2"/>
  <c r="E15936" i="2"/>
  <c r="D15936" i="2"/>
  <c r="F15935" i="2"/>
  <c r="E15935" i="2"/>
  <c r="D15935" i="2"/>
  <c r="F15934" i="2"/>
  <c r="E15934" i="2"/>
  <c r="D15934" i="2"/>
  <c r="F15933" i="2"/>
  <c r="E15933" i="2"/>
  <c r="D15933" i="2"/>
  <c r="F15932" i="2"/>
  <c r="E15932" i="2"/>
  <c r="D15932" i="2"/>
  <c r="F15931" i="2"/>
  <c r="E15931" i="2"/>
  <c r="D15931" i="2"/>
  <c r="F15930" i="2"/>
  <c r="E15930" i="2"/>
  <c r="D15930" i="2"/>
  <c r="F15929" i="2"/>
  <c r="E15929" i="2"/>
  <c r="D15929" i="2"/>
  <c r="F15928" i="2"/>
  <c r="E15928" i="2"/>
  <c r="D15928" i="2"/>
  <c r="F15926" i="2"/>
  <c r="E15926" i="2"/>
  <c r="D15926" i="2"/>
  <c r="F15927" i="2"/>
  <c r="E15927" i="2"/>
  <c r="D15927" i="2"/>
  <c r="F15925" i="2"/>
  <c r="E15925" i="2"/>
  <c r="D15925" i="2"/>
  <c r="F15924" i="2"/>
  <c r="E15924" i="2"/>
  <c r="D15924" i="2"/>
  <c r="F15923" i="2"/>
  <c r="E15923" i="2"/>
  <c r="D15923" i="2"/>
  <c r="F15922" i="2"/>
  <c r="E15922" i="2"/>
  <c r="D15922" i="2"/>
  <c r="F15921" i="2"/>
  <c r="E15921" i="2"/>
  <c r="D15921" i="2"/>
  <c r="F15920" i="2"/>
  <c r="E15920" i="2"/>
  <c r="D15920" i="2"/>
  <c r="F15919" i="2"/>
  <c r="E15919" i="2"/>
  <c r="D15919" i="2"/>
  <c r="F15918" i="2"/>
  <c r="E15918" i="2"/>
  <c r="D15918" i="2"/>
  <c r="F15917" i="2"/>
  <c r="E15917" i="2"/>
  <c r="D15917" i="2"/>
  <c r="F15916" i="2"/>
  <c r="E15916" i="2"/>
  <c r="D15916" i="2"/>
  <c r="F15915" i="2"/>
  <c r="E15915" i="2"/>
  <c r="D15915" i="2"/>
  <c r="F15914" i="2"/>
  <c r="E15914" i="2"/>
  <c r="D15914" i="2"/>
  <c r="F15913" i="2"/>
  <c r="E15913" i="2"/>
  <c r="D15913" i="2"/>
  <c r="F15912" i="2"/>
  <c r="E15912" i="2"/>
  <c r="D15912" i="2"/>
  <c r="F15911" i="2"/>
  <c r="E15911" i="2"/>
  <c r="D15911" i="2"/>
  <c r="F15910" i="2"/>
  <c r="E15910" i="2"/>
  <c r="D15910" i="2"/>
  <c r="F15909" i="2"/>
  <c r="E15909" i="2"/>
  <c r="D15909" i="2"/>
  <c r="F15908" i="2"/>
  <c r="E15908" i="2"/>
  <c r="D15908" i="2"/>
  <c r="F15907" i="2"/>
  <c r="E15907" i="2"/>
  <c r="D15907" i="2"/>
  <c r="F15906" i="2"/>
  <c r="E15906" i="2"/>
  <c r="D15906" i="2"/>
  <c r="F15905" i="2"/>
  <c r="E15905" i="2"/>
  <c r="D15905" i="2"/>
  <c r="F15904" i="2"/>
  <c r="E15904" i="2"/>
  <c r="D15904" i="2"/>
  <c r="F15903" i="2"/>
  <c r="E15903" i="2"/>
  <c r="D15903" i="2"/>
  <c r="F15902" i="2"/>
  <c r="E15902" i="2"/>
  <c r="D15902" i="2"/>
  <c r="F15901" i="2"/>
  <c r="E15901" i="2"/>
  <c r="D15901" i="2"/>
  <c r="F13693" i="2"/>
  <c r="E13693" i="2"/>
  <c r="D13693" i="2"/>
  <c r="F13692" i="2"/>
  <c r="E13692" i="2"/>
  <c r="D13692" i="2"/>
  <c r="F13691" i="2"/>
  <c r="E13691" i="2"/>
  <c r="D13691" i="2"/>
  <c r="F13689" i="2"/>
  <c r="E13689" i="2"/>
  <c r="D13689" i="2"/>
  <c r="F13690" i="2"/>
  <c r="E13690" i="2"/>
  <c r="D13690" i="2"/>
  <c r="F1888" i="2"/>
  <c r="E1888" i="2"/>
  <c r="D1888" i="2"/>
  <c r="F1887" i="2"/>
  <c r="E1887" i="2"/>
  <c r="D1887" i="2"/>
  <c r="F1886" i="2"/>
  <c r="E1886" i="2"/>
  <c r="D1886" i="2"/>
  <c r="F1885" i="2"/>
  <c r="E1885" i="2"/>
  <c r="D1885" i="2"/>
  <c r="F1884" i="2"/>
  <c r="E1884" i="2"/>
  <c r="D1884" i="2"/>
  <c r="F1883" i="2"/>
  <c r="E1883" i="2"/>
  <c r="D1883" i="2"/>
  <c r="F1881" i="2"/>
  <c r="E1881" i="2"/>
  <c r="D1881" i="2"/>
  <c r="F1882" i="2"/>
  <c r="E1882" i="2"/>
  <c r="D1882" i="2"/>
  <c r="F1880" i="2"/>
  <c r="E1880" i="2"/>
  <c r="D1880" i="2"/>
  <c r="F1879" i="2"/>
  <c r="E1879" i="2"/>
  <c r="D1879" i="2"/>
  <c r="F1878" i="2"/>
  <c r="E1878" i="2"/>
  <c r="D1878" i="2"/>
  <c r="F1877" i="2"/>
  <c r="E1877" i="2"/>
  <c r="D1877" i="2"/>
  <c r="F1876" i="2"/>
  <c r="E1876" i="2"/>
  <c r="D1876" i="2"/>
  <c r="F1875" i="2"/>
  <c r="E1875" i="2"/>
  <c r="D1875" i="2"/>
  <c r="F1874" i="2"/>
  <c r="E1874" i="2"/>
  <c r="D1874" i="2"/>
  <c r="F1873" i="2"/>
  <c r="E1873" i="2"/>
  <c r="D1873" i="2"/>
  <c r="F1872" i="2"/>
  <c r="E1872" i="2"/>
  <c r="D1872" i="2"/>
  <c r="F4367" i="2"/>
  <c r="E4367" i="2"/>
  <c r="D4367" i="2"/>
  <c r="F4366" i="2"/>
  <c r="E4366" i="2"/>
  <c r="D4366" i="2"/>
  <c r="F4365" i="2"/>
  <c r="E4365" i="2"/>
  <c r="D4365" i="2"/>
  <c r="F4364" i="2"/>
  <c r="E4364" i="2"/>
  <c r="D4364" i="2"/>
  <c r="F4363" i="2"/>
  <c r="E4363" i="2"/>
  <c r="D4363" i="2"/>
  <c r="F16045" i="2"/>
  <c r="E16045" i="2"/>
  <c r="D16045" i="2"/>
  <c r="F16044" i="2"/>
  <c r="E16044" i="2"/>
  <c r="D16044" i="2"/>
  <c r="F16043" i="2"/>
  <c r="E16043" i="2"/>
  <c r="D16043" i="2"/>
  <c r="F16042" i="2"/>
  <c r="E16042" i="2"/>
  <c r="D16042" i="2"/>
  <c r="F16041" i="2"/>
  <c r="E16041" i="2"/>
  <c r="D16041" i="2"/>
  <c r="F16040" i="2"/>
  <c r="E16040" i="2"/>
  <c r="D16040" i="2"/>
  <c r="F16039" i="2"/>
  <c r="E16039" i="2"/>
  <c r="D16039" i="2"/>
  <c r="F16038" i="2"/>
  <c r="E16038" i="2"/>
  <c r="D16038" i="2"/>
  <c r="F16037" i="2"/>
  <c r="E16037" i="2"/>
  <c r="D16037" i="2"/>
  <c r="F16036" i="2"/>
  <c r="E16036" i="2"/>
  <c r="D16036" i="2"/>
  <c r="F16035" i="2"/>
  <c r="E16035" i="2"/>
  <c r="D16035" i="2"/>
  <c r="F16033" i="2"/>
  <c r="E16033" i="2"/>
  <c r="D16033" i="2"/>
  <c r="F16034" i="2"/>
  <c r="E16034" i="2"/>
  <c r="D16034" i="2"/>
  <c r="F16032" i="2"/>
  <c r="E16032" i="2"/>
  <c r="D16032" i="2"/>
  <c r="F16031" i="2"/>
  <c r="E16031" i="2"/>
  <c r="D16031" i="2"/>
  <c r="F16030" i="2"/>
  <c r="E16030" i="2"/>
  <c r="D16030" i="2"/>
  <c r="F16029" i="2"/>
  <c r="E16029" i="2"/>
  <c r="D16029" i="2"/>
  <c r="F16028" i="2"/>
  <c r="E16028" i="2"/>
  <c r="D16028" i="2"/>
  <c r="F16027" i="2"/>
  <c r="E16027" i="2"/>
  <c r="D16027" i="2"/>
  <c r="F16026" i="2"/>
  <c r="E16026" i="2"/>
  <c r="D16026" i="2"/>
  <c r="F16025" i="2"/>
  <c r="E16025" i="2"/>
  <c r="D16025" i="2"/>
  <c r="F16023" i="2"/>
  <c r="E16023" i="2"/>
  <c r="D16023" i="2"/>
  <c r="F16024" i="2"/>
  <c r="E16024" i="2"/>
  <c r="D16024" i="2"/>
  <c r="F12951" i="2"/>
  <c r="E12951" i="2"/>
  <c r="D12951" i="2"/>
  <c r="F12949" i="2"/>
  <c r="E12949" i="2"/>
  <c r="D12949" i="2"/>
  <c r="F12950" i="2"/>
  <c r="E12950" i="2"/>
  <c r="D12950" i="2"/>
  <c r="F9300" i="2"/>
  <c r="E9300" i="2"/>
  <c r="D9300" i="2"/>
  <c r="F9299" i="2"/>
  <c r="E9299" i="2"/>
  <c r="D9299" i="2"/>
  <c r="F9298" i="2"/>
  <c r="E9298" i="2"/>
  <c r="D9298" i="2"/>
  <c r="F9297" i="2"/>
  <c r="E9297" i="2"/>
  <c r="D9297" i="2"/>
  <c r="F9296" i="2"/>
  <c r="E9296" i="2"/>
  <c r="D9296" i="2"/>
  <c r="F9294" i="2"/>
  <c r="E9294" i="2"/>
  <c r="D9294" i="2"/>
  <c r="F9295" i="2"/>
  <c r="E9295" i="2"/>
  <c r="D9295" i="2"/>
  <c r="F1910" i="2"/>
  <c r="E1910" i="2"/>
  <c r="D1910" i="2"/>
  <c r="F1909" i="2"/>
  <c r="E1909" i="2"/>
  <c r="D1909" i="2"/>
  <c r="F1908" i="2"/>
  <c r="E1908" i="2"/>
  <c r="D1908" i="2"/>
  <c r="F1907" i="2"/>
  <c r="E1907" i="2"/>
  <c r="D1907" i="2"/>
  <c r="F1906" i="2"/>
  <c r="E1906" i="2"/>
  <c r="D1906" i="2"/>
  <c r="F1905" i="2"/>
  <c r="E1905" i="2"/>
  <c r="D1905" i="2"/>
  <c r="F1904" i="2"/>
  <c r="E1904" i="2"/>
  <c r="D1904" i="2"/>
  <c r="F13372" i="2"/>
  <c r="E13372" i="2"/>
  <c r="D13372" i="2"/>
  <c r="F13371" i="2"/>
  <c r="E13371" i="2"/>
  <c r="D13371" i="2"/>
  <c r="F13370" i="2"/>
  <c r="E13370" i="2"/>
  <c r="D13370" i="2"/>
  <c r="F13369" i="2"/>
  <c r="E13369" i="2"/>
  <c r="D13369" i="2"/>
  <c r="F13368" i="2"/>
  <c r="E13368" i="2"/>
  <c r="D13368" i="2"/>
  <c r="F13367" i="2"/>
  <c r="E13367" i="2"/>
  <c r="D13367" i="2"/>
  <c r="F13366" i="2"/>
  <c r="E13366" i="2"/>
  <c r="D13366" i="2"/>
  <c r="F13363" i="2"/>
  <c r="E13363" i="2"/>
  <c r="D13363" i="2"/>
  <c r="F13365" i="2"/>
  <c r="E13365" i="2"/>
  <c r="D13365" i="2"/>
  <c r="F13364" i="2"/>
  <c r="E13364" i="2"/>
  <c r="D13364" i="2"/>
  <c r="F13362" i="2"/>
  <c r="E13362" i="2"/>
  <c r="D13362" i="2"/>
  <c r="F13361" i="2"/>
  <c r="E13361" i="2"/>
  <c r="D13361" i="2"/>
  <c r="F13360" i="2"/>
  <c r="E13360" i="2"/>
  <c r="D13360" i="2"/>
  <c r="F13359" i="2"/>
  <c r="E13359" i="2"/>
  <c r="D13359" i="2"/>
  <c r="F13358" i="2"/>
  <c r="E13358" i="2"/>
  <c r="D13358" i="2"/>
  <c r="F13357" i="2"/>
  <c r="E13357" i="2"/>
  <c r="D13357" i="2"/>
  <c r="F13356" i="2"/>
  <c r="E13356" i="2"/>
  <c r="D13356" i="2"/>
  <c r="F13355" i="2"/>
  <c r="E13355" i="2"/>
  <c r="D13355" i="2"/>
  <c r="F13354" i="2"/>
  <c r="E13354" i="2"/>
  <c r="D13354" i="2"/>
  <c r="F13353" i="2"/>
  <c r="E13353" i="2"/>
  <c r="D13353" i="2"/>
  <c r="F13352" i="2"/>
  <c r="E13352" i="2"/>
  <c r="D13352" i="2"/>
  <c r="F13351" i="2"/>
  <c r="E13351" i="2"/>
  <c r="D13351" i="2"/>
  <c r="F13350" i="2"/>
  <c r="E13350" i="2"/>
  <c r="D13350" i="2"/>
  <c r="F13348" i="2"/>
  <c r="E13348" i="2"/>
  <c r="D13348" i="2"/>
  <c r="F13349" i="2"/>
  <c r="E13349" i="2"/>
  <c r="D13349" i="2"/>
  <c r="F16223" i="2"/>
  <c r="E16223" i="2"/>
  <c r="D16223" i="2"/>
  <c r="F16222" i="2"/>
  <c r="E16222" i="2"/>
  <c r="D16222" i="2"/>
  <c r="F16220" i="2"/>
  <c r="E16220" i="2"/>
  <c r="D16220" i="2"/>
  <c r="F16221" i="2"/>
  <c r="E16221" i="2"/>
  <c r="D16221" i="2"/>
  <c r="F16219" i="2"/>
  <c r="E16219" i="2"/>
  <c r="D16219" i="2"/>
  <c r="F16218" i="2"/>
  <c r="E16218" i="2"/>
  <c r="D16218" i="2"/>
  <c r="F16217" i="2"/>
  <c r="E16217" i="2"/>
  <c r="D16217" i="2"/>
  <c r="F16046" i="2"/>
  <c r="E16046" i="2"/>
  <c r="D16046" i="2"/>
  <c r="F16062" i="2"/>
  <c r="E16062" i="2"/>
  <c r="D16062" i="2"/>
  <c r="F16061" i="2"/>
  <c r="E16061" i="2"/>
  <c r="D16061" i="2"/>
  <c r="F16060" i="2"/>
  <c r="E16060" i="2"/>
  <c r="D16060" i="2"/>
  <c r="F16059" i="2"/>
  <c r="E16059" i="2"/>
  <c r="D16059" i="2"/>
  <c r="F16058" i="2"/>
  <c r="E16058" i="2"/>
  <c r="D16058" i="2"/>
  <c r="F16057" i="2"/>
  <c r="E16057" i="2"/>
  <c r="D16057" i="2"/>
  <c r="F16056" i="2"/>
  <c r="E16056" i="2"/>
  <c r="D16056" i="2"/>
  <c r="F16055" i="2"/>
  <c r="E16055" i="2"/>
  <c r="D16055" i="2"/>
  <c r="F16054" i="2"/>
  <c r="E16054" i="2"/>
  <c r="D16054" i="2"/>
  <c r="F16053" i="2"/>
  <c r="E16053" i="2"/>
  <c r="D16053" i="2"/>
  <c r="F16052" i="2"/>
  <c r="E16052" i="2"/>
  <c r="D16052" i="2"/>
  <c r="F16051" i="2"/>
  <c r="E16051" i="2"/>
  <c r="D16051" i="2"/>
  <c r="F16050" i="2"/>
  <c r="E16050" i="2"/>
  <c r="D16050" i="2"/>
  <c r="F16049" i="2"/>
  <c r="E16049" i="2"/>
  <c r="D16049" i="2"/>
  <c r="F16048" i="2"/>
  <c r="E16048" i="2"/>
  <c r="D16048" i="2"/>
  <c r="F16047" i="2"/>
  <c r="E16047" i="2"/>
  <c r="D16047" i="2"/>
  <c r="F7165" i="2"/>
  <c r="E7165" i="2"/>
  <c r="D7165" i="2"/>
  <c r="F7164" i="2"/>
  <c r="E7164" i="2"/>
  <c r="D7164" i="2"/>
  <c r="F7163" i="2"/>
  <c r="E7163" i="2"/>
  <c r="D7163" i="2"/>
  <c r="F7162" i="2"/>
  <c r="E7162" i="2"/>
  <c r="D7162" i="2"/>
  <c r="F7161" i="2"/>
  <c r="E7161" i="2"/>
  <c r="D7161" i="2"/>
  <c r="F7160" i="2"/>
  <c r="E7160" i="2"/>
  <c r="D7160" i="2"/>
  <c r="F7159" i="2"/>
  <c r="E7159" i="2"/>
  <c r="D7159" i="2"/>
  <c r="F7158" i="2"/>
  <c r="E7158" i="2"/>
  <c r="D7158" i="2"/>
  <c r="F7157" i="2"/>
  <c r="E7157" i="2"/>
  <c r="D7157" i="2"/>
  <c r="F7156" i="2"/>
  <c r="E7156" i="2"/>
  <c r="D7156" i="2"/>
  <c r="F7155" i="2"/>
  <c r="E7155" i="2"/>
  <c r="D7155" i="2"/>
  <c r="F7154" i="2"/>
  <c r="E7154" i="2"/>
  <c r="D7154" i="2"/>
  <c r="F7153" i="2"/>
  <c r="E7153" i="2"/>
  <c r="D7153" i="2"/>
  <c r="F7152" i="2"/>
  <c r="E7152" i="2"/>
  <c r="D7152" i="2"/>
  <c r="F7151" i="2"/>
  <c r="E7151" i="2"/>
  <c r="D7151" i="2"/>
  <c r="F7150" i="2"/>
  <c r="E7150" i="2"/>
  <c r="D7150" i="2"/>
  <c r="F7149" i="2"/>
  <c r="E7149" i="2"/>
  <c r="D7149" i="2"/>
  <c r="F7148" i="2"/>
  <c r="E7148" i="2"/>
  <c r="D7148" i="2"/>
  <c r="F7146" i="2"/>
  <c r="E7146" i="2"/>
  <c r="D7146" i="2"/>
  <c r="F7147" i="2"/>
  <c r="E7147" i="2"/>
  <c r="D7147" i="2"/>
  <c r="F7145" i="2"/>
  <c r="E7145" i="2"/>
  <c r="D7145" i="2"/>
  <c r="F7144" i="2"/>
  <c r="E7144" i="2"/>
  <c r="D7144" i="2"/>
  <c r="F14807" i="2"/>
  <c r="E14807" i="2"/>
  <c r="D14807" i="2"/>
  <c r="F14806" i="2"/>
  <c r="E14806" i="2"/>
  <c r="D14806" i="2"/>
  <c r="F14805" i="2"/>
  <c r="E14805" i="2"/>
  <c r="D14805" i="2"/>
  <c r="F14804" i="2"/>
  <c r="E14804" i="2"/>
  <c r="D14804" i="2"/>
  <c r="F14803" i="2"/>
  <c r="E14803" i="2"/>
  <c r="D14803" i="2"/>
  <c r="F14802" i="2"/>
  <c r="E14802" i="2"/>
  <c r="D14802" i="2"/>
  <c r="F14801" i="2"/>
  <c r="E14801" i="2"/>
  <c r="D14801" i="2"/>
  <c r="F14800" i="2"/>
  <c r="E14800" i="2"/>
  <c r="D14800" i="2"/>
  <c r="F14799" i="2"/>
  <c r="E14799" i="2"/>
  <c r="D14799" i="2"/>
  <c r="F14798" i="2"/>
  <c r="E14798" i="2"/>
  <c r="D14798" i="2"/>
  <c r="F14797" i="2"/>
  <c r="E14797" i="2"/>
  <c r="D14797" i="2"/>
  <c r="F14796" i="2"/>
  <c r="E14796" i="2"/>
  <c r="D14796" i="2"/>
  <c r="F14795" i="2"/>
  <c r="E14795" i="2"/>
  <c r="D14795" i="2"/>
  <c r="F14794" i="2"/>
  <c r="E14794" i="2"/>
  <c r="D14794" i="2"/>
  <c r="F14793" i="2"/>
  <c r="E14793" i="2"/>
  <c r="D14793" i="2"/>
  <c r="F14792" i="2"/>
  <c r="E14792" i="2"/>
  <c r="D14792" i="2"/>
  <c r="F14791" i="2"/>
  <c r="E14791" i="2"/>
  <c r="D14791" i="2"/>
  <c r="F14790" i="2"/>
  <c r="E14790" i="2"/>
  <c r="D14790" i="2"/>
  <c r="F14789" i="2"/>
  <c r="E14789" i="2"/>
  <c r="D14789" i="2"/>
  <c r="F14788" i="2"/>
  <c r="E14788" i="2"/>
  <c r="D14788" i="2"/>
  <c r="F14787" i="2"/>
  <c r="E14787" i="2"/>
  <c r="D14787" i="2"/>
  <c r="F14786" i="2"/>
  <c r="E14786" i="2"/>
  <c r="D14786" i="2"/>
  <c r="F14785" i="2"/>
  <c r="E14785" i="2"/>
  <c r="D14785" i="2"/>
  <c r="F14784" i="2"/>
  <c r="E14784" i="2"/>
  <c r="D14784" i="2"/>
  <c r="F14783" i="2"/>
  <c r="E14783" i="2"/>
  <c r="D14783" i="2"/>
  <c r="F14782" i="2"/>
  <c r="E14782" i="2"/>
  <c r="D14782" i="2"/>
  <c r="F14780" i="2"/>
  <c r="E14780" i="2"/>
  <c r="D14780" i="2"/>
  <c r="F14781" i="2"/>
  <c r="E14781" i="2"/>
  <c r="D14781" i="2"/>
  <c r="F14779" i="2"/>
  <c r="E14779" i="2"/>
  <c r="D14779" i="2"/>
  <c r="F14778" i="2"/>
  <c r="E14778" i="2"/>
  <c r="D14778" i="2"/>
  <c r="F14777" i="2"/>
  <c r="E14777" i="2"/>
  <c r="D14777" i="2"/>
  <c r="F14776" i="2"/>
  <c r="E14776" i="2"/>
  <c r="D14776" i="2"/>
  <c r="F14775" i="2"/>
  <c r="E14775" i="2"/>
  <c r="D14775" i="2"/>
  <c r="F14774" i="2"/>
  <c r="E14774" i="2"/>
  <c r="D14774" i="2"/>
  <c r="F14773" i="2"/>
  <c r="E14773" i="2"/>
  <c r="D14773" i="2"/>
  <c r="F14771" i="2"/>
  <c r="E14771" i="2"/>
  <c r="D14771" i="2"/>
  <c r="F14772" i="2"/>
  <c r="E14772" i="2"/>
  <c r="D14772" i="2"/>
  <c r="F14770" i="2"/>
  <c r="E14770" i="2"/>
  <c r="D14770" i="2"/>
  <c r="F14769" i="2"/>
  <c r="E14769" i="2"/>
  <c r="D14769" i="2"/>
  <c r="F14768" i="2"/>
  <c r="E14768" i="2"/>
  <c r="D14768" i="2"/>
  <c r="F14767" i="2"/>
  <c r="E14767" i="2"/>
  <c r="D14767" i="2"/>
  <c r="F14766" i="2"/>
  <c r="E14766" i="2"/>
  <c r="D14766" i="2"/>
  <c r="F14765" i="2"/>
  <c r="E14765" i="2"/>
  <c r="D14765" i="2"/>
  <c r="F14764" i="2"/>
  <c r="E14764" i="2"/>
  <c r="D14764" i="2"/>
  <c r="F14763" i="2"/>
  <c r="E14763" i="2"/>
  <c r="D14763" i="2"/>
  <c r="F14762" i="2"/>
  <c r="E14762" i="2"/>
  <c r="D14762" i="2"/>
  <c r="F14761" i="2"/>
  <c r="E14761" i="2"/>
  <c r="D14761" i="2"/>
  <c r="F14760" i="2"/>
  <c r="E14760" i="2"/>
  <c r="D14760" i="2"/>
  <c r="F14759" i="2"/>
  <c r="E14759" i="2"/>
  <c r="D14759" i="2"/>
  <c r="F14758" i="2"/>
  <c r="E14758" i="2"/>
  <c r="D14758" i="2"/>
  <c r="F14757" i="2"/>
  <c r="E14757" i="2"/>
  <c r="D14757" i="2"/>
  <c r="F14756" i="2"/>
  <c r="E14756" i="2"/>
  <c r="D14756" i="2"/>
  <c r="F14755" i="2"/>
  <c r="E14755" i="2"/>
  <c r="D14755" i="2"/>
  <c r="F14754" i="2"/>
  <c r="E14754" i="2"/>
  <c r="D14754" i="2"/>
  <c r="F14753" i="2"/>
  <c r="E14753" i="2"/>
  <c r="D14753" i="2"/>
  <c r="F14752" i="2"/>
  <c r="E14752" i="2"/>
  <c r="D14752" i="2"/>
  <c r="F14751" i="2"/>
  <c r="E14751" i="2"/>
  <c r="D14751" i="2"/>
  <c r="F14749" i="2"/>
  <c r="E14749" i="2"/>
  <c r="D14749" i="2"/>
  <c r="F14750" i="2"/>
  <c r="E14750" i="2"/>
  <c r="D14750" i="2"/>
  <c r="F14748" i="2"/>
  <c r="E14748" i="2"/>
  <c r="D14748" i="2"/>
  <c r="F14747" i="2"/>
  <c r="E14747" i="2"/>
  <c r="D14747" i="2"/>
  <c r="F14746" i="2"/>
  <c r="E14746" i="2"/>
  <c r="D14746" i="2"/>
  <c r="F14745" i="2"/>
  <c r="E14745" i="2"/>
  <c r="D14745" i="2"/>
  <c r="F14744" i="2"/>
  <c r="E14744" i="2"/>
  <c r="D14744" i="2"/>
  <c r="F14743" i="2"/>
  <c r="E14743" i="2"/>
  <c r="D14743" i="2"/>
  <c r="F14742" i="2"/>
  <c r="E14742" i="2"/>
  <c r="D14742" i="2"/>
  <c r="F14741" i="2"/>
  <c r="E14741" i="2"/>
  <c r="D14741" i="2"/>
  <c r="F14740" i="2"/>
  <c r="E14740" i="2"/>
  <c r="D14740" i="2"/>
  <c r="F14739" i="2"/>
  <c r="E14739" i="2"/>
  <c r="D14739" i="2"/>
  <c r="F14738" i="2"/>
  <c r="E14738" i="2"/>
  <c r="D14738" i="2"/>
  <c r="F14737" i="2"/>
  <c r="E14737" i="2"/>
  <c r="D14737" i="2"/>
  <c r="F14736" i="2"/>
  <c r="E14736" i="2"/>
  <c r="D14736" i="2"/>
  <c r="F14735" i="2"/>
  <c r="E14735" i="2"/>
  <c r="D14735" i="2"/>
  <c r="F14734" i="2"/>
  <c r="E14734" i="2"/>
  <c r="D14734" i="2"/>
  <c r="F14733" i="2"/>
  <c r="E14733" i="2"/>
  <c r="D14733" i="2"/>
  <c r="F14732" i="2"/>
  <c r="E14732" i="2"/>
  <c r="D14732" i="2"/>
  <c r="F14731" i="2"/>
  <c r="E14731" i="2"/>
  <c r="D14731" i="2"/>
  <c r="F14730" i="2"/>
  <c r="E14730" i="2"/>
  <c r="D14730" i="2"/>
  <c r="F14729" i="2"/>
  <c r="E14729" i="2"/>
  <c r="D14729" i="2"/>
  <c r="F14728" i="2"/>
  <c r="E14728" i="2"/>
  <c r="D14728" i="2"/>
  <c r="F14727" i="2"/>
  <c r="E14727" i="2"/>
  <c r="D14727" i="2"/>
  <c r="F14726" i="2"/>
  <c r="E14726" i="2"/>
  <c r="D14726" i="2"/>
  <c r="F14725" i="2"/>
  <c r="E14725" i="2"/>
  <c r="D14725" i="2"/>
  <c r="F14724" i="2"/>
  <c r="E14724" i="2"/>
  <c r="D14724" i="2"/>
  <c r="F14723" i="2"/>
  <c r="E14723" i="2"/>
  <c r="D14723" i="2"/>
  <c r="F14722" i="2"/>
  <c r="E14722" i="2"/>
  <c r="D14722" i="2"/>
  <c r="F14721" i="2"/>
  <c r="E14721" i="2"/>
  <c r="D14721" i="2"/>
  <c r="F14720" i="2"/>
  <c r="E14720" i="2"/>
  <c r="D14720" i="2"/>
  <c r="F14719" i="2"/>
  <c r="E14719" i="2"/>
  <c r="D14719" i="2"/>
  <c r="F14718" i="2"/>
  <c r="E14718" i="2"/>
  <c r="D14718" i="2"/>
  <c r="F15306" i="2"/>
  <c r="E15306" i="2"/>
  <c r="D15306" i="2"/>
  <c r="F15305" i="2"/>
  <c r="E15305" i="2"/>
  <c r="D15305" i="2"/>
  <c r="F15304" i="2"/>
  <c r="E15304" i="2"/>
  <c r="D15304" i="2"/>
  <c r="F15303" i="2"/>
  <c r="E15303" i="2"/>
  <c r="D15303" i="2"/>
  <c r="F15302" i="2"/>
  <c r="E15302" i="2"/>
  <c r="D15302" i="2"/>
  <c r="F15301" i="2"/>
  <c r="E15301" i="2"/>
  <c r="D15301" i="2"/>
  <c r="F15300" i="2"/>
  <c r="E15300" i="2"/>
  <c r="D15300" i="2"/>
  <c r="F15299" i="2"/>
  <c r="E15299" i="2"/>
  <c r="D15299" i="2"/>
  <c r="F15298" i="2"/>
  <c r="E15298" i="2"/>
  <c r="D15298" i="2"/>
  <c r="F15297" i="2"/>
  <c r="E15297" i="2"/>
  <c r="D15297" i="2"/>
  <c r="F15296" i="2"/>
  <c r="E15296" i="2"/>
  <c r="D15296" i="2"/>
  <c r="F15295" i="2"/>
  <c r="E15295" i="2"/>
  <c r="D15295" i="2"/>
  <c r="F15294" i="2"/>
  <c r="E15294" i="2"/>
  <c r="D15294" i="2"/>
  <c r="F15293" i="2"/>
  <c r="E15293" i="2"/>
  <c r="D15293" i="2"/>
  <c r="F15292" i="2"/>
  <c r="E15292" i="2"/>
  <c r="D15292" i="2"/>
  <c r="F15291" i="2"/>
  <c r="E15291" i="2"/>
  <c r="D15291" i="2"/>
  <c r="F15290" i="2"/>
  <c r="E15290" i="2"/>
  <c r="D15290" i="2"/>
  <c r="F14954" i="2"/>
  <c r="E14954" i="2"/>
  <c r="D14954" i="2"/>
  <c r="F14955" i="2"/>
  <c r="E14955" i="2"/>
  <c r="D14955" i="2"/>
  <c r="F15310" i="2"/>
  <c r="E15310" i="2"/>
  <c r="D15310" i="2"/>
  <c r="F15309" i="2"/>
  <c r="E15309" i="2"/>
  <c r="D15309" i="2"/>
  <c r="F15308" i="2"/>
  <c r="E15308" i="2"/>
  <c r="D15308" i="2"/>
  <c r="F15307" i="2"/>
  <c r="E15307" i="2"/>
  <c r="D15307" i="2"/>
  <c r="F4193" i="2"/>
  <c r="E4193" i="2"/>
  <c r="D4193" i="2"/>
  <c r="F4252" i="2"/>
  <c r="E4252" i="2"/>
  <c r="D4252" i="2"/>
  <c r="F4251" i="2"/>
  <c r="E4251" i="2"/>
  <c r="D4251" i="2"/>
  <c r="F4250" i="2"/>
  <c r="E4250" i="2"/>
  <c r="D4250" i="2"/>
  <c r="F4249" i="2"/>
  <c r="E4249" i="2"/>
  <c r="D4249" i="2"/>
  <c r="F4248" i="2"/>
  <c r="E4248" i="2"/>
  <c r="D4248" i="2"/>
  <c r="F4247" i="2"/>
  <c r="E4247" i="2"/>
  <c r="D4247" i="2"/>
  <c r="F4246" i="2"/>
  <c r="E4246" i="2"/>
  <c r="D4246" i="2"/>
  <c r="F4245" i="2"/>
  <c r="E4245" i="2"/>
  <c r="D4245" i="2"/>
  <c r="F4244" i="2"/>
  <c r="E4244" i="2"/>
  <c r="D4244" i="2"/>
  <c r="F4243" i="2"/>
  <c r="E4243" i="2"/>
  <c r="D4243" i="2"/>
  <c r="F4242" i="2"/>
  <c r="E4242" i="2"/>
  <c r="D4242" i="2"/>
  <c r="F4241" i="2"/>
  <c r="E4241" i="2"/>
  <c r="D4241" i="2"/>
  <c r="F4240" i="2"/>
  <c r="E4240" i="2"/>
  <c r="D4240" i="2"/>
  <c r="F4239" i="2"/>
  <c r="E4239" i="2"/>
  <c r="D4239" i="2"/>
  <c r="F4238" i="2"/>
  <c r="E4238" i="2"/>
  <c r="D4238" i="2"/>
  <c r="F4237" i="2"/>
  <c r="E4237" i="2"/>
  <c r="D4237" i="2"/>
  <c r="F4236" i="2"/>
  <c r="E4236" i="2"/>
  <c r="D4236" i="2"/>
  <c r="F4235" i="2"/>
  <c r="E4235" i="2"/>
  <c r="D4235" i="2"/>
  <c r="F4234" i="2"/>
  <c r="E4234" i="2"/>
  <c r="D4234" i="2"/>
  <c r="F4233" i="2"/>
  <c r="E4233" i="2"/>
  <c r="D4233" i="2"/>
  <c r="F4232" i="2"/>
  <c r="E4232" i="2"/>
  <c r="D4232" i="2"/>
  <c r="F4231" i="2"/>
  <c r="E4231" i="2"/>
  <c r="D4231" i="2"/>
  <c r="F4230" i="2"/>
  <c r="E4230" i="2"/>
  <c r="D4230" i="2"/>
  <c r="F4229" i="2"/>
  <c r="E4229" i="2"/>
  <c r="D4229" i="2"/>
  <c r="F4228" i="2"/>
  <c r="E4228" i="2"/>
  <c r="D4228" i="2"/>
  <c r="F4227" i="2"/>
  <c r="E4227" i="2"/>
  <c r="D4227" i="2"/>
  <c r="F4226" i="2"/>
  <c r="E4226" i="2"/>
  <c r="D4226" i="2"/>
  <c r="F4225" i="2"/>
  <c r="E4225" i="2"/>
  <c r="D4225" i="2"/>
  <c r="F4224" i="2"/>
  <c r="E4224" i="2"/>
  <c r="D4224" i="2"/>
  <c r="F4223" i="2"/>
  <c r="E4223" i="2"/>
  <c r="D4223" i="2"/>
  <c r="F4222" i="2"/>
  <c r="E4222" i="2"/>
  <c r="D4222" i="2"/>
  <c r="F4221" i="2"/>
  <c r="E4221" i="2"/>
  <c r="D4221" i="2"/>
  <c r="F4220" i="2"/>
  <c r="E4220" i="2"/>
  <c r="D4220" i="2"/>
  <c r="F4219" i="2"/>
  <c r="E4219" i="2"/>
  <c r="D4219" i="2"/>
  <c r="F4218" i="2"/>
  <c r="E4218" i="2"/>
  <c r="D4218" i="2"/>
  <c r="F4217" i="2"/>
  <c r="E4217" i="2"/>
  <c r="D4217" i="2"/>
  <c r="F4216" i="2"/>
  <c r="E4216" i="2"/>
  <c r="D4216" i="2"/>
  <c r="F4215" i="2"/>
  <c r="E4215" i="2"/>
  <c r="D4215" i="2"/>
  <c r="F4214" i="2"/>
  <c r="E4214" i="2"/>
  <c r="D4214" i="2"/>
  <c r="F4213" i="2"/>
  <c r="E4213" i="2"/>
  <c r="D4213" i="2"/>
  <c r="F4212" i="2"/>
  <c r="E4212" i="2"/>
  <c r="D4212" i="2"/>
  <c r="F4211" i="2"/>
  <c r="E4211" i="2"/>
  <c r="D4211" i="2"/>
  <c r="F4210" i="2"/>
  <c r="E4210" i="2"/>
  <c r="D4210" i="2"/>
  <c r="F4209" i="2"/>
  <c r="E4209" i="2"/>
  <c r="D4209" i="2"/>
  <c r="F4207" i="2"/>
  <c r="E4207" i="2"/>
  <c r="D4207" i="2"/>
  <c r="F4208" i="2"/>
  <c r="E4208" i="2"/>
  <c r="D4208" i="2"/>
  <c r="F4206" i="2"/>
  <c r="E4206" i="2"/>
  <c r="D4206" i="2"/>
  <c r="F4205" i="2"/>
  <c r="E4205" i="2"/>
  <c r="D4205" i="2"/>
  <c r="F4204" i="2"/>
  <c r="E4204" i="2"/>
  <c r="D4204" i="2"/>
  <c r="F4203" i="2"/>
  <c r="E4203" i="2"/>
  <c r="D4203" i="2"/>
  <c r="F4202" i="2"/>
  <c r="E4202" i="2"/>
  <c r="D4202" i="2"/>
  <c r="F4201" i="2"/>
  <c r="E4201" i="2"/>
  <c r="D4201" i="2"/>
  <c r="F4200" i="2"/>
  <c r="E4200" i="2"/>
  <c r="D4200" i="2"/>
  <c r="F4199" i="2"/>
  <c r="E4199" i="2"/>
  <c r="D4199" i="2"/>
  <c r="F4198" i="2"/>
  <c r="E4198" i="2"/>
  <c r="D4198" i="2"/>
  <c r="F4195" i="2"/>
  <c r="E4195" i="2"/>
  <c r="D4195" i="2"/>
  <c r="F4197" i="2"/>
  <c r="E4197" i="2"/>
  <c r="D4197" i="2"/>
  <c r="F4196" i="2"/>
  <c r="E4196" i="2"/>
  <c r="D4196" i="2"/>
  <c r="F4194" i="2"/>
  <c r="E4194" i="2"/>
  <c r="D4194" i="2"/>
  <c r="F14223" i="2"/>
  <c r="E14223" i="2"/>
  <c r="D14223" i="2"/>
  <c r="F14222" i="2"/>
  <c r="E14222" i="2"/>
  <c r="D14222" i="2"/>
  <c r="F14221" i="2"/>
  <c r="E14221" i="2"/>
  <c r="D14221" i="2"/>
  <c r="F14220" i="2"/>
  <c r="E14220" i="2"/>
  <c r="D14220" i="2"/>
  <c r="F14219" i="2"/>
  <c r="E14219" i="2"/>
  <c r="D14219" i="2"/>
  <c r="F14218" i="2"/>
  <c r="E14218" i="2"/>
  <c r="D14218" i="2"/>
  <c r="F14217" i="2"/>
  <c r="E14217" i="2"/>
  <c r="D14217" i="2"/>
  <c r="F14216" i="2"/>
  <c r="E14216" i="2"/>
  <c r="D14216" i="2"/>
  <c r="F14215" i="2"/>
  <c r="E14215" i="2"/>
  <c r="D14215" i="2"/>
  <c r="F14214" i="2"/>
  <c r="E14214" i="2"/>
  <c r="D14214" i="2"/>
  <c r="F14213" i="2"/>
  <c r="E14213" i="2"/>
  <c r="D14213" i="2"/>
  <c r="F14212" i="2"/>
  <c r="E14212" i="2"/>
  <c r="D14212" i="2"/>
  <c r="F14211" i="2"/>
  <c r="E14211" i="2"/>
  <c r="D14211" i="2"/>
  <c r="F14210" i="2"/>
  <c r="E14210" i="2"/>
  <c r="D14210" i="2"/>
  <c r="F14209" i="2"/>
  <c r="E14209" i="2"/>
  <c r="D14209" i="2"/>
  <c r="F14208" i="2"/>
  <c r="E14208" i="2"/>
  <c r="D14208" i="2"/>
  <c r="F14207" i="2"/>
  <c r="E14207" i="2"/>
  <c r="D14207" i="2"/>
  <c r="F14206" i="2"/>
  <c r="E14206" i="2"/>
  <c r="D14206" i="2"/>
  <c r="F14205" i="2"/>
  <c r="E14205" i="2"/>
  <c r="D14205" i="2"/>
  <c r="F14204" i="2"/>
  <c r="E14204" i="2"/>
  <c r="D14204" i="2"/>
  <c r="F14203" i="2"/>
  <c r="E14203" i="2"/>
  <c r="D14203" i="2"/>
  <c r="F14202" i="2"/>
  <c r="E14202" i="2"/>
  <c r="D14202" i="2"/>
  <c r="F14201" i="2"/>
  <c r="E14201" i="2"/>
  <c r="D14201" i="2"/>
  <c r="F14198" i="2"/>
  <c r="E14198" i="2"/>
  <c r="D14198" i="2"/>
  <c r="F14200" i="2"/>
  <c r="E14200" i="2"/>
  <c r="D14200" i="2"/>
  <c r="F14199" i="2"/>
  <c r="E14199" i="2"/>
  <c r="D14199" i="2"/>
  <c r="F14197" i="2"/>
  <c r="E14197" i="2"/>
  <c r="D14197" i="2"/>
  <c r="F14196" i="2"/>
  <c r="E14196" i="2"/>
  <c r="D14196" i="2"/>
  <c r="F14195" i="2"/>
  <c r="E14195" i="2"/>
  <c r="D14195" i="2"/>
  <c r="F14194" i="2"/>
  <c r="E14194" i="2"/>
  <c r="D14194" i="2"/>
  <c r="F14193" i="2"/>
  <c r="E14193" i="2"/>
  <c r="D14193" i="2"/>
  <c r="F14192" i="2"/>
  <c r="E14192" i="2"/>
  <c r="D14192" i="2"/>
  <c r="F14191" i="2"/>
  <c r="E14191" i="2"/>
  <c r="D14191" i="2"/>
  <c r="F14190" i="2"/>
  <c r="E14190" i="2"/>
  <c r="D14190" i="2"/>
  <c r="F1026" i="2"/>
  <c r="E1026" i="2"/>
  <c r="D1026" i="2"/>
  <c r="F1025" i="2"/>
  <c r="E1025" i="2"/>
  <c r="D1025" i="2"/>
  <c r="F1024" i="2"/>
  <c r="E1024" i="2"/>
  <c r="D1024" i="2"/>
  <c r="F1023" i="2"/>
  <c r="E1023" i="2"/>
  <c r="D1023" i="2"/>
  <c r="F1022" i="2"/>
  <c r="E1022" i="2"/>
  <c r="D1022" i="2"/>
  <c r="F1021" i="2"/>
  <c r="E1021" i="2"/>
  <c r="D1021" i="2"/>
  <c r="F1020" i="2"/>
  <c r="E1020" i="2"/>
  <c r="D1020" i="2"/>
  <c r="F1019" i="2"/>
  <c r="E1019" i="2"/>
  <c r="D1019" i="2"/>
  <c r="F1018" i="2"/>
  <c r="E1018" i="2"/>
  <c r="D1018" i="2"/>
  <c r="F1017" i="2"/>
  <c r="E1017" i="2"/>
  <c r="D1017" i="2"/>
  <c r="F1016" i="2"/>
  <c r="E1016" i="2"/>
  <c r="D1016" i="2"/>
  <c r="F1015" i="2"/>
  <c r="E1015" i="2"/>
  <c r="D1015" i="2"/>
  <c r="F1014" i="2"/>
  <c r="E1014" i="2"/>
  <c r="D1014" i="2"/>
  <c r="F1013" i="2"/>
  <c r="E1013" i="2"/>
  <c r="D1013" i="2"/>
  <c r="F1012" i="2"/>
  <c r="E1012" i="2"/>
  <c r="D1012" i="2"/>
  <c r="F1011" i="2"/>
  <c r="E1011" i="2"/>
  <c r="D1011" i="2"/>
  <c r="F1010" i="2"/>
  <c r="E1010" i="2"/>
  <c r="D1010" i="2"/>
  <c r="F1009" i="2"/>
  <c r="E1009" i="2"/>
  <c r="D1009" i="2"/>
  <c r="F1007" i="2"/>
  <c r="E1007" i="2"/>
  <c r="D1007" i="2"/>
  <c r="F1008" i="2"/>
  <c r="E1008" i="2"/>
  <c r="D1008" i="2"/>
  <c r="F1006" i="2"/>
  <c r="E1006" i="2"/>
  <c r="D1006" i="2"/>
  <c r="F1005" i="2"/>
  <c r="E1005" i="2"/>
  <c r="D1005" i="2"/>
  <c r="F1004" i="2"/>
  <c r="E1004" i="2"/>
  <c r="D1004" i="2"/>
  <c r="F1003" i="2"/>
  <c r="E1003" i="2"/>
  <c r="D1003" i="2"/>
  <c r="F1002" i="2"/>
  <c r="E1002" i="2"/>
  <c r="D1002" i="2"/>
  <c r="F16116" i="2"/>
  <c r="E16116" i="2"/>
  <c r="D16116" i="2"/>
  <c r="F16115" i="2"/>
  <c r="E16115" i="2"/>
  <c r="D16115" i="2"/>
  <c r="F16114" i="2"/>
  <c r="E16114" i="2"/>
  <c r="D16114" i="2"/>
  <c r="F16113" i="2"/>
  <c r="E16113" i="2"/>
  <c r="D16113" i="2"/>
  <c r="F16112" i="2"/>
  <c r="E16112" i="2"/>
  <c r="D16112" i="2"/>
  <c r="F16111" i="2"/>
  <c r="E16111" i="2"/>
  <c r="D16111" i="2"/>
  <c r="F16110" i="2"/>
  <c r="E16110" i="2"/>
  <c r="D16110" i="2"/>
  <c r="F16109" i="2"/>
  <c r="E16109" i="2"/>
  <c r="D16109" i="2"/>
  <c r="F16108" i="2"/>
  <c r="E16108" i="2"/>
  <c r="D16108" i="2"/>
  <c r="F16107" i="2"/>
  <c r="E16107" i="2"/>
  <c r="D16107" i="2"/>
  <c r="F16106" i="2"/>
  <c r="E16106" i="2"/>
  <c r="D16106" i="2"/>
  <c r="F16105" i="2"/>
  <c r="E16105" i="2"/>
  <c r="D16105" i="2"/>
  <c r="F16104" i="2"/>
  <c r="E16104" i="2"/>
  <c r="D16104" i="2"/>
  <c r="F16103" i="2"/>
  <c r="E16103" i="2"/>
  <c r="D16103" i="2"/>
  <c r="F16102" i="2"/>
  <c r="E16102" i="2"/>
  <c r="D16102" i="2"/>
  <c r="F16101" i="2"/>
  <c r="E16101" i="2"/>
  <c r="D16101" i="2"/>
  <c r="F16100" i="2"/>
  <c r="E16100" i="2"/>
  <c r="D16100" i="2"/>
  <c r="F16099" i="2"/>
  <c r="E16099" i="2"/>
  <c r="D16099" i="2"/>
  <c r="F16098" i="2"/>
  <c r="E16098" i="2"/>
  <c r="D16098" i="2"/>
  <c r="F16097" i="2"/>
  <c r="E16097" i="2"/>
  <c r="D16097" i="2"/>
  <c r="F16096" i="2"/>
  <c r="E16096" i="2"/>
  <c r="D16096" i="2"/>
  <c r="F16095" i="2"/>
  <c r="E16095" i="2"/>
  <c r="D16095" i="2"/>
  <c r="F16094" i="2"/>
  <c r="E16094" i="2"/>
  <c r="D16094" i="2"/>
  <c r="F16093" i="2"/>
  <c r="E16093" i="2"/>
  <c r="D16093" i="2"/>
  <c r="F16092" i="2"/>
  <c r="E16092" i="2"/>
  <c r="D16092" i="2"/>
  <c r="F16091" i="2"/>
  <c r="E16091" i="2"/>
  <c r="D16091" i="2"/>
  <c r="F16090" i="2"/>
  <c r="E16090" i="2"/>
  <c r="D16090" i="2"/>
  <c r="F16089" i="2"/>
  <c r="E16089" i="2"/>
  <c r="D16089" i="2"/>
  <c r="F16088" i="2"/>
  <c r="E16088" i="2"/>
  <c r="D16088" i="2"/>
  <c r="F16085" i="2"/>
  <c r="E16085" i="2"/>
  <c r="D16085" i="2"/>
  <c r="F16087" i="2"/>
  <c r="E16087" i="2"/>
  <c r="D16087" i="2"/>
  <c r="F16086" i="2"/>
  <c r="E16086" i="2"/>
  <c r="D16086" i="2"/>
</calcChain>
</file>

<file path=xl/sharedStrings.xml><?xml version="1.0" encoding="utf-8"?>
<sst xmlns="http://schemas.openxmlformats.org/spreadsheetml/2006/main" count="49369" uniqueCount="2791">
  <si>
    <t>Startdatum</t>
  </si>
  <si>
    <t>Einddatum</t>
  </si>
  <si>
    <t>Onderzoek</t>
  </si>
  <si>
    <t>Knowledge spillovers, absorptive capacity and the Dutch CIS</t>
  </si>
  <si>
    <t>Vrije Universiteit Amsterdam_School of Business and Economics</t>
  </si>
  <si>
    <t>ABR_BACKBONE</t>
  </si>
  <si>
    <t>ABR_Regio</t>
  </si>
  <si>
    <t>ABR</t>
  </si>
  <si>
    <t>BAANKENMERKENBUS</t>
  </si>
  <si>
    <t>BAANSLEUTELSINT</t>
  </si>
  <si>
    <t>BAANSOMMENTAB</t>
  </si>
  <si>
    <t>BAANVTVBUS</t>
  </si>
  <si>
    <t>BEBUS</t>
  </si>
  <si>
    <t>CIS</t>
  </si>
  <si>
    <t>GBAADRESOBJECTBUS</t>
  </si>
  <si>
    <t>GBAHUISHOUDENSBUS</t>
  </si>
  <si>
    <t>GBAMIGRATIEBUS</t>
  </si>
  <si>
    <t>GBAPERSOONTAB</t>
  </si>
  <si>
    <t>GBASCHEIDINGENMASSATAB</t>
  </si>
  <si>
    <t>GEMEENTESTPLTAB</t>
  </si>
  <si>
    <t>GEMSTPLBUS</t>
  </si>
  <si>
    <t>GEMWIJKSTPLTAB</t>
  </si>
  <si>
    <t>HOOGSTEOPLTAB</t>
  </si>
  <si>
    <t>Inward_FATS</t>
  </si>
  <si>
    <t>NIETVSLGWBTAB</t>
  </si>
  <si>
    <t>OPLNIV</t>
  </si>
  <si>
    <t>PARTNERBUS</t>
  </si>
  <si>
    <t>POLISIKOBUS</t>
  </si>
  <si>
    <t>PS_COMMERCIELEDIENSTEN</t>
  </si>
  <si>
    <t>PS_DETAILHANDEL</t>
  </si>
  <si>
    <t>PS_INDUSTRIE</t>
  </si>
  <si>
    <t>SFGO</t>
  </si>
  <si>
    <t>SSB_BANEN</t>
  </si>
  <si>
    <t>SSB_ZELFST</t>
  </si>
  <si>
    <t>VSLGWBTAB</t>
  </si>
  <si>
    <t>ZELFSTANDIGENMNDBEDRAGBUS</t>
  </si>
  <si>
    <t>ZELFSTANDIGENTAB</t>
  </si>
  <si>
    <t>Early warning wijken</t>
  </si>
  <si>
    <t>Atlas voor Gemeenten BV</t>
  </si>
  <si>
    <t>AOTOTPERSOONBUS</t>
  </si>
  <si>
    <t>AOTOTUITKERINGATAB</t>
  </si>
  <si>
    <t>AOTOTUITKERINGTAB</t>
  </si>
  <si>
    <t>ARBBUITLANDBUS</t>
  </si>
  <si>
    <t>BIJSTANDPERSOONBUS</t>
  </si>
  <si>
    <t>EBBNW</t>
  </si>
  <si>
    <t>EBB</t>
  </si>
  <si>
    <t>GBAADRESBUS</t>
  </si>
  <si>
    <t>GWUBUS</t>
  </si>
  <si>
    <t>IVM</t>
  </si>
  <si>
    <t>Maatwerk\VSLPOSTCODE6BUS201806V1</t>
  </si>
  <si>
    <t>ONDERWIJSDEELNEMERSTAB</t>
  </si>
  <si>
    <t>RIO</t>
  </si>
  <si>
    <t>SPOLISBUS</t>
  </si>
  <si>
    <t>Veiligheidsmonitor</t>
  </si>
  <si>
    <t>VSLCOORDTAB</t>
  </si>
  <si>
    <t>VSLPOSTCODEBUS</t>
  </si>
  <si>
    <t>WUSUITKERING1ATAB</t>
  </si>
  <si>
    <t>WWPERSOONBUS</t>
  </si>
  <si>
    <t>Publicatie bestand EBB 2002</t>
  </si>
  <si>
    <t>Universiteit Maastricht_School of Business and Economics_Researchcentrum Onderwijs en Arbeidmarkt</t>
  </si>
  <si>
    <t>AOWJAARBEDRAGTAB</t>
  </si>
  <si>
    <t>BETAB</t>
  </si>
  <si>
    <t>DIPLOMAHOTAB</t>
  </si>
  <si>
    <t>DIPLOMAMBOTAB</t>
  </si>
  <si>
    <t>EBBOND</t>
  </si>
  <si>
    <t>EXAMVOTAB</t>
  </si>
  <si>
    <t>GBABURGERLIJKESTAATBUS</t>
  </si>
  <si>
    <t>INPATAB</t>
  </si>
  <si>
    <t>NBO</t>
  </si>
  <si>
    <t>NEA</t>
  </si>
  <si>
    <t>ONDERWIJSINSCHRTAB</t>
  </si>
  <si>
    <t>PENSOVJAARBEDRAGTAB</t>
  </si>
  <si>
    <t>POLISBUS</t>
  </si>
  <si>
    <t>SECMBUS</t>
  </si>
  <si>
    <t>SECMSBIBUS</t>
  </si>
  <si>
    <t>WOON-WERK</t>
  </si>
  <si>
    <t>Income, health and work across the life cycle II</t>
  </si>
  <si>
    <t>Erasmus Universiteit Rotterdam_Erasmus School of Economics</t>
  </si>
  <si>
    <t>ANWJAARBEDRAGTAB</t>
  </si>
  <si>
    <t>ANWPERSOONBUS</t>
  </si>
  <si>
    <t>AOTOTJAARBEDRAGTAB</t>
  </si>
  <si>
    <t>AO</t>
  </si>
  <si>
    <t>AOWPERSOONBUS</t>
  </si>
  <si>
    <t>BIJSTANDJAARBEDRAGTAB</t>
  </si>
  <si>
    <t>DOODOORZTAB</t>
  </si>
  <si>
    <t>DO</t>
  </si>
  <si>
    <t>GBA_OK</t>
  </si>
  <si>
    <t>GBAADRESGEBEURTENISBUS</t>
  </si>
  <si>
    <t>GBANATIONALITEITBUS</t>
  </si>
  <si>
    <t>GBAOVERLIJDENTAB</t>
  </si>
  <si>
    <t>Geboorteplaats</t>
  </si>
  <si>
    <t>GECON</t>
  </si>
  <si>
    <t>KINDOUDERTAB</t>
  </si>
  <si>
    <t>LMR_BASIS</t>
  </si>
  <si>
    <t>MEDICIJNTAB</t>
  </si>
  <si>
    <t>MICANWPERSOONBUS</t>
  </si>
  <si>
    <t>MICAOWPERSOONBUS</t>
  </si>
  <si>
    <t>OVARBEIDBUS</t>
  </si>
  <si>
    <t>OVUITKJAARBEDRAGTAB</t>
  </si>
  <si>
    <t>OVUITKPERSOONBUS</t>
  </si>
  <si>
    <t>PENSOVPERSOONBUS</t>
  </si>
  <si>
    <t>PGGM</t>
  </si>
  <si>
    <t>POLS_BASIS</t>
  </si>
  <si>
    <t>POLS_GEZOND</t>
  </si>
  <si>
    <t>RESTUITKPERSOONMNDBEDRAGBUS</t>
  </si>
  <si>
    <t>SSB_ABW</t>
  </si>
  <si>
    <t>SSB_AO</t>
  </si>
  <si>
    <t>SSB_ARBBUIT</t>
  </si>
  <si>
    <t>SSB_IOAWZ</t>
  </si>
  <si>
    <t>SSB_OARB</t>
  </si>
  <si>
    <t>SSB_OUITK</t>
  </si>
  <si>
    <t>SSB_PERS</t>
  </si>
  <si>
    <t>SSB_UITKBUIT</t>
  </si>
  <si>
    <t>SSB_WW</t>
  </si>
  <si>
    <t>UITKBUITLANDBUS</t>
  </si>
  <si>
    <t>WGPERSOONMNDBEDRAGBUS</t>
  </si>
  <si>
    <t>WWJAARBEDRAGTAB</t>
  </si>
  <si>
    <t>ZWPERSOONMNDBEDRAGBUS</t>
  </si>
  <si>
    <t>Niet-natuurlijke doden</t>
  </si>
  <si>
    <t>VeiligheidNL</t>
  </si>
  <si>
    <t>NND</t>
  </si>
  <si>
    <t>SEC</t>
  </si>
  <si>
    <t>The co-evolution of industrial dynamics and urban growth</t>
  </si>
  <si>
    <t>University Bergamo, Department of Management, Economics and Quantitative Methods</t>
  </si>
  <si>
    <t>Letsellastenmodel</t>
  </si>
  <si>
    <t>CAKZMV</t>
  </si>
  <si>
    <t>CAKZZV</t>
  </si>
  <si>
    <t>GEBWLZTAB</t>
  </si>
  <si>
    <t>LBZBASISTAB</t>
  </si>
  <si>
    <t>LMR_DIAGN</t>
  </si>
  <si>
    <t>LMR_VERRICHT</t>
  </si>
  <si>
    <t>WMOBUS</t>
  </si>
  <si>
    <t>WMOTAB</t>
  </si>
  <si>
    <t>ZORGMVTAB</t>
  </si>
  <si>
    <t>ZORGZVTAB</t>
  </si>
  <si>
    <t>Ruimtelijke en Sociale Dynamiek en Buurteffecten</t>
  </si>
  <si>
    <t>Universiteit van Amsterdam_Faculteit der Maatschappij- en Gedragswetenschappen</t>
  </si>
  <si>
    <t>BAGPLUS</t>
  </si>
  <si>
    <t>Brinadressen</t>
  </si>
  <si>
    <t>BRINWPOWECTAB</t>
  </si>
  <si>
    <t>EIGENDOMTAB</t>
  </si>
  <si>
    <t>EIGENDOMWOZBAGTAB</t>
  </si>
  <si>
    <t>EIGENDOMWOZTAB</t>
  </si>
  <si>
    <t>GBA_IMMDATUM</t>
  </si>
  <si>
    <t>HKSTAB</t>
  </si>
  <si>
    <t>HKS</t>
  </si>
  <si>
    <t>INHATAB</t>
  </si>
  <si>
    <t>INSCHRWPOTAB</t>
  </si>
  <si>
    <t>INTEGRAAL HUISHOUDENS INKOMEN</t>
  </si>
  <si>
    <t>INTEGRAAL PERSOONLIJK INKOMEN</t>
  </si>
  <si>
    <t>INTEGRAAL_VERMOGENSBESTAND</t>
  </si>
  <si>
    <t>LEVCYCLWOONNIETWOONBUS</t>
  </si>
  <si>
    <t>MAATWERK\TERUGKEER\KLEINEAANVULLINGTERUGKEERANA</t>
  </si>
  <si>
    <t>MAATWERK\TERUGKEER\TERUGKEERHIS</t>
  </si>
  <si>
    <t>MAATWERK\TERUGKEER\TERUGKEERHUURKOOPHIS</t>
  </si>
  <si>
    <t>MIGMOTIEFBUS</t>
  </si>
  <si>
    <t>MON</t>
  </si>
  <si>
    <t>OVIN</t>
  </si>
  <si>
    <t>SCHTAB</t>
  </si>
  <si>
    <t>TERUGKEERSTEDGEM</t>
  </si>
  <si>
    <t>VEHTAB</t>
  </si>
  <si>
    <t>VIB</t>
  </si>
  <si>
    <t>VRLMIGMOTBUS</t>
  </si>
  <si>
    <t>VSLVIERKANTTAB</t>
  </si>
  <si>
    <t>WRGPLUS</t>
  </si>
  <si>
    <t>Hongerwinter</t>
  </si>
  <si>
    <t>Nederlands Interdisciplinair Demografisch Instituut</t>
  </si>
  <si>
    <t>GEBWMOTAB</t>
  </si>
  <si>
    <t>GEBZZVTAB</t>
  </si>
  <si>
    <t>ZVWKOSTENTAB</t>
  </si>
  <si>
    <t>ZVWZORGKOSTENTAB</t>
  </si>
  <si>
    <t>Pendelafstanden</t>
  </si>
  <si>
    <t>IPO</t>
  </si>
  <si>
    <t>WWUITKERINGINT</t>
  </si>
  <si>
    <t>Veranderingen functioneren na zorg ouderen</t>
  </si>
  <si>
    <t>Vrije Universiteit Medisch Centrum_Longitudinal Aging Study Amsterdam</t>
  </si>
  <si>
    <t>LMR_GBA_UNICITEIT_PJ</t>
  </si>
  <si>
    <t>LMR_GBA_UNICITEIT</t>
  </si>
  <si>
    <t>Hart- en vaatziekten in Nederland: Incidentie en prognose</t>
  </si>
  <si>
    <t>Universitair Medisch Centrum Utrecht_Julius Centrum</t>
  </si>
  <si>
    <t>LBZDIAGNOSENTAB</t>
  </si>
  <si>
    <t>LMR_GBA_UNICITEIT_COMPLEET</t>
  </si>
  <si>
    <t>Centrale eindtoets</t>
  </si>
  <si>
    <t>Centraal Instituut voor Toetsontwikkeling, Afdeling Psychometrie en Onderzoek</t>
  </si>
  <si>
    <t>CITOTAB</t>
  </si>
  <si>
    <t>VO_LEERL</t>
  </si>
  <si>
    <t>Doodsoorzaken voor infectieziekten onderzoek</t>
  </si>
  <si>
    <t>Rijksinstituut voor Volksgezondheid en Milieu</t>
  </si>
  <si>
    <t>Prevend</t>
  </si>
  <si>
    <t>Universitair Medisch Centrum Groningen</t>
  </si>
  <si>
    <t>Economic consequences of migration</t>
  </si>
  <si>
    <t>ASIELCOHORT</t>
  </si>
  <si>
    <t>Bedrijfsopleidingen</t>
  </si>
  <si>
    <t>GEMSTPLAATSBUS</t>
  </si>
  <si>
    <t>PATENTAANVRAGEN</t>
  </si>
  <si>
    <t>Risicovereveningsmodel</t>
  </si>
  <si>
    <t>Erasmus Universiteit Rotterdam_Erasmus School of Health Policy &amp; Management</t>
  </si>
  <si>
    <t>GEMON</t>
  </si>
  <si>
    <t>NIVELKOPPEL</t>
  </si>
  <si>
    <t>Inkomen, Vermogen en Oudedagsvoorzieningen van Nederlandse Huishoudens</t>
  </si>
  <si>
    <t>CentERdata Instituut voor Dataverzameling en Onderzoek</t>
  </si>
  <si>
    <t>7102fulldata_liss_randomCBKV1</t>
  </si>
  <si>
    <t>AOW_AANSPRAKEN_TOTAAL</t>
  </si>
  <si>
    <t>AOW_UITKERINGEN</t>
  </si>
  <si>
    <t>LISS_KOPPEL</t>
  </si>
  <si>
    <t>LISS</t>
  </si>
  <si>
    <t>PAS</t>
  </si>
  <si>
    <t>PENSIOENAANSPRAKEN</t>
  </si>
  <si>
    <t>PENSIOENDEELNEMINGEN</t>
  </si>
  <si>
    <t>An empirical and applied general equilibrium analysis</t>
  </si>
  <si>
    <t>Universiteit Leiden_faculteit rechten</t>
  </si>
  <si>
    <t>IPO_VERMOGEN</t>
  </si>
  <si>
    <t>NFO</t>
  </si>
  <si>
    <t>SFKO</t>
  </si>
  <si>
    <t>The attractors of Dutch Cities</t>
  </si>
  <si>
    <t>BESTAANDEKOOPWONINGEN</t>
  </si>
  <si>
    <t>RINADRESRUGNRRELATIEBUS</t>
  </si>
  <si>
    <t>Interaction between innovation and firm dynamics</t>
  </si>
  <si>
    <t>8316VpbAanvulling3VariabelenInnovatiebox</t>
  </si>
  <si>
    <t>BDK</t>
  </si>
  <si>
    <t>ICTBEDRIJVEN</t>
  </si>
  <si>
    <t>IHG</t>
  </si>
  <si>
    <t>INVESTERINGEN</t>
  </si>
  <si>
    <t>KoppelingenFiNrAangegevenenEnBedrijfseenheden_versl</t>
  </si>
  <si>
    <t>KoppelingenFiNrAangegevenenEnFiNrsAangevers_versl</t>
  </si>
  <si>
    <t>Outward_FATS</t>
  </si>
  <si>
    <t>POLISHOOFBAANBUS</t>
  </si>
  <si>
    <t>PS_AUTOHANDEL</t>
  </si>
  <si>
    <t>PS_BOUWNIJVERHEID</t>
  </si>
  <si>
    <t>PS_DELFSTOFFENWINNING</t>
  </si>
  <si>
    <t>PS_DIENSTVERLENINGLANDBOUW</t>
  </si>
  <si>
    <t>PS_ENERGIE</t>
  </si>
  <si>
    <t>PS_ENERGIEWATER</t>
  </si>
  <si>
    <t>PS_GEZONDHEIDSWELZIJNSZORG</t>
  </si>
  <si>
    <t>PS_GROOTHANDEL</t>
  </si>
  <si>
    <t>PS_MILIEUDIENSTVERLENING</t>
  </si>
  <si>
    <t>PS_SOCIALEWERKVOORZIENING</t>
  </si>
  <si>
    <t>PS_SPEURONTWIKKELING</t>
  </si>
  <si>
    <t>PS_TRANSPORT</t>
  </si>
  <si>
    <t>PS_WATERAFVAL</t>
  </si>
  <si>
    <t>RTD</t>
  </si>
  <si>
    <t>SPOLISHOOFBAANBUS</t>
  </si>
  <si>
    <t>VpbAanvulling3VariabelenInnovatiebox2015dd20200821_versl</t>
  </si>
  <si>
    <t>VpbAanvulling3VariabelenInnovatiebox2016dd20200821_versl</t>
  </si>
  <si>
    <t>MEGA follow-up studie</t>
  </si>
  <si>
    <t>Universitair Medisch Centrum Leiden</t>
  </si>
  <si>
    <t>Energy Efficiency in the Housing Market</t>
  </si>
  <si>
    <t>Tilburg University_ School of Economics and Management</t>
  </si>
  <si>
    <t>ENERGIEVERBRUIKTAB</t>
  </si>
  <si>
    <t>ENERGIEVERBRUIK</t>
  </si>
  <si>
    <t>HUURENQUETE</t>
  </si>
  <si>
    <t>Urban consumers</t>
  </si>
  <si>
    <t>BUDGETONDERZOEK</t>
  </si>
  <si>
    <t>Retirement readiness</t>
  </si>
  <si>
    <t>Tilburg University_School of Economics and Management_NETSPAR</t>
  </si>
  <si>
    <t>ANW</t>
  </si>
  <si>
    <t>BAANPRSJAARBEDRAGTAB</t>
  </si>
  <si>
    <t>GBAVERBINTENISPARTNERBUS</t>
  </si>
  <si>
    <t>INDICAWBZTAB</t>
  </si>
  <si>
    <t>INPBEIDTAB</t>
  </si>
  <si>
    <t>PERSOONINKBEIDTAB</t>
  </si>
  <si>
    <t>PINKZELFST</t>
  </si>
  <si>
    <t>POLISIKPBUS</t>
  </si>
  <si>
    <t>Socioeconomic status and health</t>
  </si>
  <si>
    <t>Universiteit Utrecht_Utrecht Faculteit Recht Economie Bestuur en Organisatie_School of Economics</t>
  </si>
  <si>
    <t>AKT</t>
  </si>
  <si>
    <t>SHARE\WAVE1</t>
  </si>
  <si>
    <t>SHARE\WAVE2</t>
  </si>
  <si>
    <t>SHARE\WAVE3</t>
  </si>
  <si>
    <t>SHARE\WAVE4</t>
  </si>
  <si>
    <t>SHARE\WAVE5</t>
  </si>
  <si>
    <t>SHARE\WAVE6</t>
  </si>
  <si>
    <t>SHARE\WAVE7</t>
  </si>
  <si>
    <t>SHARE\WAVEX</t>
  </si>
  <si>
    <t>SHAREnl_koppeltabel</t>
  </si>
  <si>
    <t>Milieugerelateerde sterfte</t>
  </si>
  <si>
    <t>DGGBAPERSOONTAB</t>
  </si>
  <si>
    <t>MAATWERK\7267TABELRIVM2013TABV1</t>
  </si>
  <si>
    <t>MAATWERK\7267TABELRIVM2016TABV1</t>
  </si>
  <si>
    <t>MAATWERK\7267TABELRIVM2018TABV1</t>
  </si>
  <si>
    <t>MAATWERK\7267TABELRIVMOUD2007TABV1</t>
  </si>
  <si>
    <t>MAATWERK\7267TABELRIVMOUD2010TABV1</t>
  </si>
  <si>
    <t>MAATWERK\7267TABELRIVMOUD2013TABV1</t>
  </si>
  <si>
    <t>PRNL</t>
  </si>
  <si>
    <t>Beheer van de IADB database binnen de CBS RA omgeving</t>
  </si>
  <si>
    <t>Rijksuniversiteit Groningen_Faculteit Science and Engineering</t>
  </si>
  <si>
    <t>IADB</t>
  </si>
  <si>
    <t>Neighbourhood effects, neighbourhood change and segregation</t>
  </si>
  <si>
    <t>Technische Universiteit Delft_Faculteit Bouwkunde_ Urbanism</t>
  </si>
  <si>
    <t>BRINTAB</t>
  </si>
  <si>
    <t>GBAMIGRATIEGEBEURTENISBUS</t>
  </si>
  <si>
    <t>HALTTAB</t>
  </si>
  <si>
    <t>OBJECTWONINGTAB</t>
  </si>
  <si>
    <t>SECMBEURSMNDBEDRAGBUS</t>
  </si>
  <si>
    <t>SECMBIJSTMNDBEDRAGBUS</t>
  </si>
  <si>
    <t>SECMDTFBUS</t>
  </si>
  <si>
    <t>SECMOVACTMNDBEDRAGBUS</t>
  </si>
  <si>
    <t>SECMPENSIOENMNDBEDRAGBUS</t>
  </si>
  <si>
    <t>SECMSOCVOORZOVMNDBEDRAGBUS</t>
  </si>
  <si>
    <t>SECMWERKLMNDBEDRAGBUS</t>
  </si>
  <si>
    <t>SECMWERKNDGAMNDBEDRAGBUS</t>
  </si>
  <si>
    <t>SECMZIEKTEAOMNDBEDRAGBUS</t>
  </si>
  <si>
    <t>SECMZLFMNDBEDRAGBUS</t>
  </si>
  <si>
    <t>STUDERENDENBUS</t>
  </si>
  <si>
    <t>Volkstelling</t>
  </si>
  <si>
    <t>VRLOBJECTWOONMUTTAB</t>
  </si>
  <si>
    <t>VSVTAB</t>
  </si>
  <si>
    <t>WONINGTAB</t>
  </si>
  <si>
    <t>WOONRUIMTEEIGENDOMTAB</t>
  </si>
  <si>
    <t>WOONRUIMTESOORTBUS</t>
  </si>
  <si>
    <t>WOON</t>
  </si>
  <si>
    <t>Verhuizingen en IVM</t>
  </si>
  <si>
    <t>Monitor Stapeling</t>
  </si>
  <si>
    <t>Ministerie van Sociale Zaken en Werkgelegenheid, Directie Financieel-Economische Zaken</t>
  </si>
  <si>
    <t>MAATWERK\stapelingsmonitor</t>
  </si>
  <si>
    <t>MAATWERK-stapelingsmonitor</t>
  </si>
  <si>
    <t>stapelingsmonitor</t>
  </si>
  <si>
    <t>Prestaties Nederlandse Ziekenhuizen</t>
  </si>
  <si>
    <t>Ziektelast per sector/beroep/branche</t>
  </si>
  <si>
    <t>EWLBUS</t>
  </si>
  <si>
    <t>LINHNIVEL</t>
  </si>
  <si>
    <t>Innovatie en innovatiepolitiek</t>
  </si>
  <si>
    <t>UM_SBE_United Nations University, Economic Research Institute on Innovation and Technology</t>
  </si>
  <si>
    <t>Arbeidsmarktdynamiek</t>
  </si>
  <si>
    <t>Rijksuniversiteit Groningen_Faculteit Ruimtelijke Wetenschappen</t>
  </si>
  <si>
    <t>ADRESGWBTAB</t>
  </si>
  <si>
    <t>HFDBAANBUS</t>
  </si>
  <si>
    <t>HO_GESLAAGDEN</t>
  </si>
  <si>
    <t>HO</t>
  </si>
  <si>
    <t>KOPPELTABELIKVIDBAANRUGIDTAB</t>
  </si>
  <si>
    <t>MBO_DEELNEMERS</t>
  </si>
  <si>
    <t>MBO_GESLAAGDEN</t>
  </si>
  <si>
    <t>NBAANSLEUTELSTAB</t>
  </si>
  <si>
    <t>VO_EXAM</t>
  </si>
  <si>
    <t>WEA</t>
  </si>
  <si>
    <t>De economische crisis en de flexibiliteit in de Nederlandse koopwoningmarkt</t>
  </si>
  <si>
    <t>KOPPELBAANSLEUTELSTAB</t>
  </si>
  <si>
    <t>POLISLONGBAANTAB</t>
  </si>
  <si>
    <t>SPOLISLONGBAANTAB</t>
  </si>
  <si>
    <t>Enquete Beroepsbevolking</t>
  </si>
  <si>
    <t>Nederlands Kanker Instituut Antoni van Leeuwenhoek Ziekenhuis</t>
  </si>
  <si>
    <t>Regionale en stedelijke economische ontwikkeling</t>
  </si>
  <si>
    <t>Niet natuurlijke doden voor derden</t>
  </si>
  <si>
    <t>Kwetsbare groepen - Secundaire bestandsanalyse</t>
  </si>
  <si>
    <t>Ministerie van Sociale Zaken en Werkgelegenheid, Inspectie, Directie Werk en inkomen</t>
  </si>
  <si>
    <t>ABW</t>
  </si>
  <si>
    <t>BIJSTANDUITKERINGTAB</t>
  </si>
  <si>
    <t>BUS</t>
  </si>
  <si>
    <t>MOSA</t>
  </si>
  <si>
    <t>SRG</t>
  </si>
  <si>
    <t>SRGVOORZIENINGPWETTAB</t>
  </si>
  <si>
    <t>SRGVOORZIENINGTAB</t>
  </si>
  <si>
    <t>VRLBIJSTANDUITKERINGTAB</t>
  </si>
  <si>
    <t>Work health</t>
  </si>
  <si>
    <t>Open innovation, networks and firm performance</t>
  </si>
  <si>
    <t>Universiteit Maastricht_School of Business and Economics</t>
  </si>
  <si>
    <t>Loopbaanmonitor 2013-2016</t>
  </si>
  <si>
    <t>Negative home equity and labor mobility</t>
  </si>
  <si>
    <t>University of Colorado, Leeds School of Business</t>
  </si>
  <si>
    <t>WBO</t>
  </si>
  <si>
    <t>Effecten van premiedifferentiatie arbeidsongeschiktheid</t>
  </si>
  <si>
    <t>AOTOTMNDBEDRAGBUS</t>
  </si>
  <si>
    <t>WWMNDBEDRAGBUS</t>
  </si>
  <si>
    <t>Doodsoorzaken veteranen</t>
  </si>
  <si>
    <t>Verhuisstromen Stadsregio-gemeenten, Almere, Haarlem, Kennemerland en IJmond</t>
  </si>
  <si>
    <t>Gemeente Amsterdam, Dienst Onderzoek, Informatie en Statistiek</t>
  </si>
  <si>
    <t>MAATWERK\7550adamverhkans20152016</t>
  </si>
  <si>
    <t>MAATWERK\ENERGIEVERBRUIKTABexclwoningt</t>
  </si>
  <si>
    <t>ONDERWIJSPERSONEELTAB</t>
  </si>
  <si>
    <t>VRLGBAGEBOORTEGEMEENTETAB</t>
  </si>
  <si>
    <t>Cijfers over doodsoorzaken</t>
  </si>
  <si>
    <t>Leeftijdbov</t>
  </si>
  <si>
    <t>Achieving energy efficiency in the Dutch housing stock</t>
  </si>
  <si>
    <t>Gemeentelijke informatiekaart integratie</t>
  </si>
  <si>
    <t>ABF Research</t>
  </si>
  <si>
    <t>CWITAB</t>
  </si>
  <si>
    <t>UITSTROOMOMTAB</t>
  </si>
  <si>
    <t>UITSTROOMRECHTERTAB</t>
  </si>
  <si>
    <t>VERDTAB</t>
  </si>
  <si>
    <t>WANBZVWTAB</t>
  </si>
  <si>
    <t>WSNPBUS</t>
  </si>
  <si>
    <t>WSNPTAB</t>
  </si>
  <si>
    <t>Stapelingsmonitor Amsterdam</t>
  </si>
  <si>
    <t>INDICWLZTAB</t>
  </si>
  <si>
    <t>INSCHRWECTAB</t>
  </si>
  <si>
    <t>JBBUS</t>
  </si>
  <si>
    <t>JGDBESCHERMBUS</t>
  </si>
  <si>
    <t>JGDHULPBUS</t>
  </si>
  <si>
    <t>JGDRECLASBUS</t>
  </si>
  <si>
    <t>JRBUS</t>
  </si>
  <si>
    <t>JZPLUSTAB</t>
  </si>
  <si>
    <t>SLOTAB</t>
  </si>
  <si>
    <t>VRLAOTOTUITKERINGTAB</t>
  </si>
  <si>
    <t>VRLGBAADRESOBJECTBUS</t>
  </si>
  <si>
    <t>VRLGBAHUISHOUDENSBUS</t>
  </si>
  <si>
    <t>VRLGBAMIGRATIEBUS</t>
  </si>
  <si>
    <t>VRLGBAPERSOONTAB</t>
  </si>
  <si>
    <t>WLZZINTAB</t>
  </si>
  <si>
    <t>Income shocks and crime</t>
  </si>
  <si>
    <t>FAILONTSLAGTAB</t>
  </si>
  <si>
    <t>KOPPELPERSOONHUISHOUDEN</t>
  </si>
  <si>
    <t>UWVONTSLAGTAB</t>
  </si>
  <si>
    <t>VERDEIND</t>
  </si>
  <si>
    <t>VERSLIN</t>
  </si>
  <si>
    <t>VERSLUIT</t>
  </si>
  <si>
    <t>Monitor werk en onderwijs in Amsterdam</t>
  </si>
  <si>
    <t>Universiteit van Amsterdam_Faculteit FEB_Top Institute for Evidence Based Education Research (TIER)</t>
  </si>
  <si>
    <t>ANWMNDBEDRAGBUS</t>
  </si>
  <si>
    <t>AOWMNDBEDRAGBUS</t>
  </si>
  <si>
    <t>ARBBUITLANDMNDBEDRAGBUS</t>
  </si>
  <si>
    <t>BAANPRSMNDBEDRAGBUS</t>
  </si>
  <si>
    <t>BIJSTANDMNDBEDRAGBUS</t>
  </si>
  <si>
    <t>BIJSTANDPERSOONMNDBEDRAGBUS</t>
  </si>
  <si>
    <t>BRINHOTAB</t>
  </si>
  <si>
    <t>DIPLOMAVAVOTAB</t>
  </si>
  <si>
    <t>EXAMENCIJFERS_VO</t>
  </si>
  <si>
    <t>EXAMVOVAKTAB</t>
  </si>
  <si>
    <t>HDIPLOMAREGTAB</t>
  </si>
  <si>
    <t>HO_DEELNEMERS</t>
  </si>
  <si>
    <t>OVARBEIDMNDBEDRAGBUS</t>
  </si>
  <si>
    <t>OVUITKMNDBEDRAGBUS</t>
  </si>
  <si>
    <t>PENSOVMNDBEDRAGBUS</t>
  </si>
  <si>
    <t>PIAAC</t>
  </si>
  <si>
    <t>STUDIEBEURSMNDBEDRAGBUS</t>
  </si>
  <si>
    <t>UITKBUITLANDMNDBEDRAGBUS</t>
  </si>
  <si>
    <t>VRLWUSPERSOONBUS</t>
  </si>
  <si>
    <t>VRLWUSUITKERING1ATAB</t>
  </si>
  <si>
    <t>WWPERSOONMNDBEDRAGBUS</t>
  </si>
  <si>
    <t>Lid van de club: georganiseerd sporten en veranderende verbondenheid</t>
  </si>
  <si>
    <t>Universiteit Utrecht_Faculteit Geowetenschappen</t>
  </si>
  <si>
    <t>Aanpassingen Arbeidsmarkt</t>
  </si>
  <si>
    <t>Centraal Planbureau</t>
  </si>
  <si>
    <t>INTSO</t>
  </si>
  <si>
    <t>WUS_DT</t>
  </si>
  <si>
    <t>Financiële buffers en kwetsbaarheden Nederlandse huishoudens en hun implicaties</t>
  </si>
  <si>
    <t>DNB, Div. Econ beleid&amp;onderz., Div. Financiële stabiliteit, afd. Strategie vd  Div. Toezicht beleid</t>
  </si>
  <si>
    <t>7647_LLD16Q4_koppelbestand_ar0007_WOONCBKV2</t>
  </si>
  <si>
    <t>7647_LLD17Q4_koppelbestand_ar0007_WOONCBKV2</t>
  </si>
  <si>
    <t>AOWUITKERING1ATAB</t>
  </si>
  <si>
    <t>DHS_KOPPEL</t>
  </si>
  <si>
    <t>DHSDATA</t>
  </si>
  <si>
    <t>GBASAMENWONERSBUS</t>
  </si>
  <si>
    <t>GBAVERBINTENISSENMASSATAB</t>
  </si>
  <si>
    <t>HERWWTAB</t>
  </si>
  <si>
    <t>LLD_31DEC2016_DNB_V2</t>
  </si>
  <si>
    <t>LLD_31DEC2016_DNBCBKV1</t>
  </si>
  <si>
    <t>LLD_31DEC2016_exBANKID</t>
  </si>
  <si>
    <t>LLD16Q4_koppelbestand_ar0007_DNBCBKV1</t>
  </si>
  <si>
    <t>VRKTAB</t>
  </si>
  <si>
    <t>Grondprijzen en bereikbaarheid van banen en voorzieningen</t>
  </si>
  <si>
    <t>Technische Universiteit Eindhoven_Department Built Environment</t>
  </si>
  <si>
    <t>ODIN</t>
  </si>
  <si>
    <t>OVG</t>
  </si>
  <si>
    <t>SWL_regio</t>
  </si>
  <si>
    <t>Monitor Aansluiting Onderwijs-Jeugdhulp</t>
  </si>
  <si>
    <t>Nederlands Jeugd Instituut, Vakgroep kwaliteit, beleid en monitoring</t>
  </si>
  <si>
    <t>JHBUS</t>
  </si>
  <si>
    <t>PROVJZTAB</t>
  </si>
  <si>
    <t>SRGPERSOONBUS</t>
  </si>
  <si>
    <t>SRGPERSOONPWETBUS</t>
  </si>
  <si>
    <t>Healthy Urban Living</t>
  </si>
  <si>
    <t>pc4oadsted</t>
  </si>
  <si>
    <t>Kansrijk Onderwijsbeleid</t>
  </si>
  <si>
    <t>7663_EXAMENCIJFERS_VO2006_2008-2012</t>
  </si>
  <si>
    <t>8420cool1_alle_12_bestandenCBKV1 a</t>
  </si>
  <si>
    <t>8420cool2_alle_12_bestandenCBKV1</t>
  </si>
  <si>
    <t>COOL_BO</t>
  </si>
  <si>
    <t>COOL1BIGFIVE</t>
  </si>
  <si>
    <t>COOL2BIGFIVE</t>
  </si>
  <si>
    <t>COOL5-18NWO</t>
  </si>
  <si>
    <t>HDIPLOMAHBOTAB</t>
  </si>
  <si>
    <t>HDIPLOMAWOTAB</t>
  </si>
  <si>
    <t>Kinderopvang</t>
  </si>
  <si>
    <t>MAATWERK\COOLNSCCT</t>
  </si>
  <si>
    <t>NIETGBANATIONALITEITBUS</t>
  </si>
  <si>
    <t>NIETGBAPERSOONTAB</t>
  </si>
  <si>
    <t>PWETSRGVOORZIENINGTAB</t>
  </si>
  <si>
    <t>SLVO</t>
  </si>
  <si>
    <t>SMVO</t>
  </si>
  <si>
    <t>VOCL</t>
  </si>
  <si>
    <t>Basismonitor Onderwijs NPRZ</t>
  </si>
  <si>
    <t>Gemeente Rotterdam, Dienstencentrum Onderzoek en Business Intelligence</t>
  </si>
  <si>
    <t>7665_schoolverzuimCBKV1</t>
  </si>
  <si>
    <t>7665Schoolverzuim2016-2017CBKV1</t>
  </si>
  <si>
    <t>BIJSTANDUITKERINGINT</t>
  </si>
  <si>
    <t>BJZAWBZTAB</t>
  </si>
  <si>
    <t>BRINCODES</t>
  </si>
  <si>
    <t>EERSTEDIPLOMAHOTAB</t>
  </si>
  <si>
    <t>GEDETINEERDENTAB</t>
  </si>
  <si>
    <t>Declining transaction prices in the Dutch housing market</t>
  </si>
  <si>
    <t>VTVPERSOONTAB</t>
  </si>
  <si>
    <t>Provinciale Arbeidsmarktmonitor</t>
  </si>
  <si>
    <t>Economisch Technologisch Instituut Limburg</t>
  </si>
  <si>
    <t>NIETGBAVERBLIJFBUS</t>
  </si>
  <si>
    <t>OORLVERZETPERSOONMNDBEDRAGBUS</t>
  </si>
  <si>
    <t>PENSOVPERSOONMNDBEDRAGBUS</t>
  </si>
  <si>
    <t>Regionale arbeidsmarktanalyse Rotterdam</t>
  </si>
  <si>
    <t>VRLAOTOTUITKERINGINT</t>
  </si>
  <si>
    <t>The Social Returns To Mental Health Care: Evidence from a Dutch Payment Reform</t>
  </si>
  <si>
    <t>GGZDBCDIAGNOSETAB</t>
  </si>
  <si>
    <t>GGZDBCGELEVERDZORGPROFIELTAB</t>
  </si>
  <si>
    <t>GGZDBCTRAJECTENTAB</t>
  </si>
  <si>
    <t>Successful treatment of breast cancer and the long-run impact on labour market productivity</t>
  </si>
  <si>
    <t>NVS</t>
  </si>
  <si>
    <t>Economic Decisions of Couples</t>
  </si>
  <si>
    <t>Melbourne University</t>
  </si>
  <si>
    <t>Adoptiekinderen</t>
  </si>
  <si>
    <t>Schoolloopbanen van leerlingen in Nederland</t>
  </si>
  <si>
    <t>Overall monitor sociaal domein</t>
  </si>
  <si>
    <t>Sociaal en Cultureel Planbureau</t>
  </si>
  <si>
    <t>190925SCPDoelgroepensociaaldomein2020</t>
  </si>
  <si>
    <t>ANWUITKERING1ATAB</t>
  </si>
  <si>
    <t>GRBSTAB</t>
  </si>
  <si>
    <t>MAATWERK\SCPSOCIAALDOMEIN</t>
  </si>
  <si>
    <t>MICAOTOTPERSOONBUS</t>
  </si>
  <si>
    <t>MICBIJSTANDPERSOONBUS</t>
  </si>
  <si>
    <t>PWETSRGPERSOONBUS</t>
  </si>
  <si>
    <t>SDI</t>
  </si>
  <si>
    <t>WMOGEB2016TABV1</t>
  </si>
  <si>
    <t>WSW</t>
  </si>
  <si>
    <t>ZVWWVPTAB</t>
  </si>
  <si>
    <t>Arbeidsmarktmonitor</t>
  </si>
  <si>
    <t>ZB Planbureau en Bibliotheek van Zeeland</t>
  </si>
  <si>
    <t>GBANATGEWIJZIGDENMASSABUS</t>
  </si>
  <si>
    <t>Spill-over effects of government policies</t>
  </si>
  <si>
    <t>8369In_Suriname_geboren_personen_20150101</t>
  </si>
  <si>
    <t>MAATWERK\7696\7696Geboorteplaatsen20190426CBKV1</t>
  </si>
  <si>
    <t>MAATWERK\7696\7696maatwerkAO</t>
  </si>
  <si>
    <t>MAATWERK\7696\7696maatwerkMEDICIJNTABjjjjV1</t>
  </si>
  <si>
    <t>MAATWERK\7696\7696maatwerkWIA</t>
  </si>
  <si>
    <t>Indicaties en gebruik van langdurige zorg</t>
  </si>
  <si>
    <t>NABIJHEIDDETAILHTAB</t>
  </si>
  <si>
    <t>NABIJHEIDZORGTAB</t>
  </si>
  <si>
    <t>PGBAWBZTAB</t>
  </si>
  <si>
    <t>Onderzoek huurmarkt</t>
  </si>
  <si>
    <t>Young offenders of domestic sex trafficking</t>
  </si>
  <si>
    <t>Bureau Nationaal Rapporteur Mensenhandel en Seksueel Geweld tegen Kinderen</t>
  </si>
  <si>
    <t>7710DatasetOMHKSRvdKCBKV1</t>
  </si>
  <si>
    <t>InstroomOM_delicten</t>
  </si>
  <si>
    <t>INSTROOMOMTAB</t>
  </si>
  <si>
    <t>Structurele veranderingen op de arbeidsmarkt</t>
  </si>
  <si>
    <t>VRLGBAOVERLIJDENTAB</t>
  </si>
  <si>
    <t>Prevalenties en trends (kernindicatoren) sporten en bewegen</t>
  </si>
  <si>
    <t>GECONLSM</t>
  </si>
  <si>
    <t>Monitor nazorg ex-gedetineerden</t>
  </si>
  <si>
    <t>Wetenschappelijk Onderzoeks- en DocumentatieCentrum</t>
  </si>
  <si>
    <t>Concurrentiepositie van regio's en arbeidsmarktmobiliteit</t>
  </si>
  <si>
    <t>Planbureau voor de Leefomgeving_Ruimtelijk Planbureau</t>
  </si>
  <si>
    <t>RDWNPACTTAB</t>
  </si>
  <si>
    <t>Ecohealth</t>
  </si>
  <si>
    <t>maatwerk\7750\MW_ZZP_starters</t>
  </si>
  <si>
    <t>maatwerk\7750\MW_ZZP_stoppers</t>
  </si>
  <si>
    <t>Herijking Cijfers</t>
  </si>
  <si>
    <t>Nationaal Instituut voor Budgetvoorlichting</t>
  </si>
  <si>
    <t>7751OutputKledingWebscrapersNibud2020</t>
  </si>
  <si>
    <t>7751OutputTransactiedataNibud2020</t>
  </si>
  <si>
    <t>CPI</t>
  </si>
  <si>
    <t>SPR project Non-specific effects of vaccination</t>
  </si>
  <si>
    <t>Uitlezen EBB ten behoeve van monitoring en evaluatie WWZ</t>
  </si>
  <si>
    <t>Dedipop</t>
  </si>
  <si>
    <t>LINH-CLIËNTEN</t>
  </si>
  <si>
    <t>LINH-EPISODE</t>
  </si>
  <si>
    <t>LINH-VERRICHTINGEN</t>
  </si>
  <si>
    <t>Routinematige kengetallen gezondheid en zorg</t>
  </si>
  <si>
    <t>776520200630MaatwerkRIVMPerinataleSterfte2000-2018UpdateCBKV1</t>
  </si>
  <si>
    <t>7765GEBWMOGEBWLZRIVMv1</t>
  </si>
  <si>
    <t>7765MaatwerkRIVMPerinataleSterfte2000-2018</t>
  </si>
  <si>
    <t>MAATWERK\VWSMAATWERK\GBA</t>
  </si>
  <si>
    <t>MAATWERK_VWSMAATWERK_D3_JEUDZORG</t>
  </si>
  <si>
    <t>MAATWERK_VWSMAATWERK_D4_MEDICIJNEN</t>
  </si>
  <si>
    <t>MAATWERK_VWSMAATWERK_D5_DBC_GGZ_MSZ</t>
  </si>
  <si>
    <t>MSZGELEVERDZORGPROFIELTAB</t>
  </si>
  <si>
    <t>MSZOVERIGEZORGPRODUCTENTAB</t>
  </si>
  <si>
    <t>MSZSUBTRAJECTENTAB</t>
  </si>
  <si>
    <t>VWSMAATWERK_A1_GBA</t>
  </si>
  <si>
    <t>VWSMAATWERK_D3_JEUDZORG</t>
  </si>
  <si>
    <t>VWSMAATWERK_D4_MEDICIJNEN</t>
  </si>
  <si>
    <t>VWSMAATWERK_D5_DBC_GGZ_MSZ</t>
  </si>
  <si>
    <t>ELIMS</t>
  </si>
  <si>
    <t>GBAVERWEDUWDENMASSABUS</t>
  </si>
  <si>
    <t>maatwerk\zorgmvagb</t>
  </si>
  <si>
    <t>Woonoorden van Molukkers</t>
  </si>
  <si>
    <t>7772_rinpersoon_rinpersoonkern_ipi_2014V2</t>
  </si>
  <si>
    <t>7771_IndonesieV1</t>
  </si>
  <si>
    <t>Verwerken en melden van signalen mbt inkomsten uit dienstverband</t>
  </si>
  <si>
    <t>BDS</t>
  </si>
  <si>
    <t>BFS</t>
  </si>
  <si>
    <t>BIJSTANDVORDERINGTAB</t>
  </si>
  <si>
    <t>Flexible Combinations of Work and Retirement</t>
  </si>
  <si>
    <t>Gezondheidseffecten van de wijkenaanpak</t>
  </si>
  <si>
    <t>Migratieanalyse voor gemeenten</t>
  </si>
  <si>
    <t>Companen</t>
  </si>
  <si>
    <t>Service Direct Data Access (DDA)</t>
  </si>
  <si>
    <t>PS_Zorgpraktijken</t>
  </si>
  <si>
    <t>VAVO_DEELNAME</t>
  </si>
  <si>
    <t>VAVO-DIPL</t>
  </si>
  <si>
    <t>PS_HANDELSBEMIDDELING</t>
  </si>
  <si>
    <t>CWI</t>
  </si>
  <si>
    <t>EDUCATIE_DEELNAME</t>
  </si>
  <si>
    <t>BTW</t>
  </si>
  <si>
    <t>Beschrijvende studie naar de evaluatie van de Sociale Agenda Limburg</t>
  </si>
  <si>
    <t>Universiteit Maastricht_Faculty of Health, Medicine and Life Sciences</t>
  </si>
  <si>
    <t>Financiële dynamiek in het bedrijfsleven</t>
  </si>
  <si>
    <t>MAATWERK\8358SFGO</t>
  </si>
  <si>
    <t>MAATWERK\8358SFKO_versl</t>
  </si>
  <si>
    <t>Kans op werk</t>
  </si>
  <si>
    <t>Panteia, Branches en data, Strategisch onderzoek, Bedrijfslevenbeleid, Arbeidsmarkt en onderwijs</t>
  </si>
  <si>
    <t>ebbetil</t>
  </si>
  <si>
    <t>Geslaagd in de stad 2</t>
  </si>
  <si>
    <t>BIGTAB</t>
  </si>
  <si>
    <t>De staat van het onderwijs</t>
  </si>
  <si>
    <t>Ministerie van Onderwijs Cultuur en Wetenschappen, Inspectie van het Onderwijs, Directie Kennis</t>
  </si>
  <si>
    <t>afstandJJJJCBKV1</t>
  </si>
  <si>
    <t>analyse_bestand_atc4</t>
  </si>
  <si>
    <t>BRINCOORD</t>
  </si>
  <si>
    <t>EWL</t>
  </si>
  <si>
    <t>MAATWERK\ASIELCOHORT</t>
  </si>
  <si>
    <t>MAATWERK\Verwachte_Onderwijsscores_Leerjaar</t>
  </si>
  <si>
    <t>Verwachte_Onderwijsscores_Leerjaar</t>
  </si>
  <si>
    <t>Verdiepende studie integratie</t>
  </si>
  <si>
    <t>SIM</t>
  </si>
  <si>
    <t>Voedsel vergiftiging, Salmonella en colon kanker, een epidemiologische studie</t>
  </si>
  <si>
    <t>Apollo (Samenstelling en huisvesting van studenten en recent afgestudeerden)</t>
  </si>
  <si>
    <t>Monitoring en Evaluatie Adolescentenstrafrecht</t>
  </si>
  <si>
    <t>DEELCERTIFICATENVAVOTAB</t>
  </si>
  <si>
    <t>Ondersteuning woondossier BZK</t>
  </si>
  <si>
    <t>7844ht2014_20180524CBKV1</t>
  </si>
  <si>
    <t>7844ht2015_20190520CBKV1</t>
  </si>
  <si>
    <t>7844ht2016_20200123CBKV1</t>
  </si>
  <si>
    <t>7844ht2017_20200123CBKV1</t>
  </si>
  <si>
    <t>7844huur_beschikking_2014_20180524CBKV1</t>
  </si>
  <si>
    <t>7844huur_beschikking_2015_20190520CBKV1</t>
  </si>
  <si>
    <t>7844huur_beschikking_2016_20200123CBKV1</t>
  </si>
  <si>
    <t>7844huur_beschikking_2017_20200123CBKV1</t>
  </si>
  <si>
    <t>7844huur_betrokkenen_2014_20180524CBKV1</t>
  </si>
  <si>
    <t>7844huur_betrokkenen_2015_20190520CBKV1</t>
  </si>
  <si>
    <t>7844huur_betrokkenen_2016_20200123CBKV1</t>
  </si>
  <si>
    <t>7844huur_betrokkenen_2017_20200123CBKV1</t>
  </si>
  <si>
    <t>844BZKLIGPLAATSENper20170101obvX20170508CBKV1</t>
  </si>
  <si>
    <t>HHINKOMENWOON</t>
  </si>
  <si>
    <t>KENHUURCN</t>
  </si>
  <si>
    <t>MAATWERK\HHINKOMENWOON</t>
  </si>
  <si>
    <t>MAATWERK\HUURTOESLAG2018\7844huurtoeslag_beschikking_2018_20190520CBKV1</t>
  </si>
  <si>
    <t>MAATWERK\HUURTOESLAG2018\7844huurtoeslag_betrokkenen_2018_20190520CBKV1</t>
  </si>
  <si>
    <t>MAATWERK\HUURTOESLAG2018\7844huurtoeslag2018_20190520CBKV1</t>
  </si>
  <si>
    <t>Reikwijdte van agglomeratie-effecten in Nederland</t>
  </si>
  <si>
    <t>Evaluatie scholingsaftrek</t>
  </si>
  <si>
    <t>7854_SelectieInt2006</t>
  </si>
  <si>
    <t>7854_MicrodataIPSIntegraal2009-2013</t>
  </si>
  <si>
    <t>SMAP</t>
  </si>
  <si>
    <t>De invloed van asielzoekerscentra op het geluk van omwonenden</t>
  </si>
  <si>
    <t>Erasmus Universiteit_Erasmus School of Economics_Erasmus Happiness Economics Research Organisation</t>
  </si>
  <si>
    <t>SOCSAMWELZIJN</t>
  </si>
  <si>
    <t>De economische impact van huizenprijsschokken op zelfstandige ondernemers</t>
  </si>
  <si>
    <t>KOPPELTABELZELFSTANDIGEN</t>
  </si>
  <si>
    <t>Financial and health risks: household decisions and government interventions</t>
  </si>
  <si>
    <t>MAATWERK\7860gebwlz_inclagb2015CBKV1</t>
  </si>
  <si>
    <t>MAATWERK\7860gebwlz_inclagb2016CBKV1</t>
  </si>
  <si>
    <t>MAATWERK\7860gebwlz_inclagb2017CBKV1</t>
  </si>
  <si>
    <t>MAATWERK\VWSMAATWERK\ZORGINK</t>
  </si>
  <si>
    <t>MAATWERK\VWSMAATWERK\ZORGUITG</t>
  </si>
  <si>
    <t>MAATWERK_VWSMAATWERK_E3_EIGEN_BIJDRAGES</t>
  </si>
  <si>
    <t>MAATWERK_VWSMAATWERK_F1_ZORGINK</t>
  </si>
  <si>
    <t>VWSMAATWERK_E3_EIGEN_BIJDRAGES</t>
  </si>
  <si>
    <t>VWSMAATWERK_F1_ZORGINK</t>
  </si>
  <si>
    <t>VWSMAATWERK_ZORGUITG</t>
  </si>
  <si>
    <t>ECB Collateral Eligibility and Bank Risk-Taking</t>
  </si>
  <si>
    <t>Erasmus Universiteit Rotterdam_Erasmus School of Economics_Econometrisch Instituut</t>
  </si>
  <si>
    <t>Van Netwerk naar Werk - Networks and Social Benefits</t>
  </si>
  <si>
    <t>Universiteit Utrecht_Faculteit Sociale Wetenschappen</t>
  </si>
  <si>
    <t>SING</t>
  </si>
  <si>
    <t>Determinanten duurzame inzetbaarheid op basis van koppeling NEA-SSB</t>
  </si>
  <si>
    <t>TNO Kwaliteit van Leven</t>
  </si>
  <si>
    <t>NEA_TNO</t>
  </si>
  <si>
    <t>Patronen op de onderwijs- en arbeidsmarkt - OTIB</t>
  </si>
  <si>
    <t>KBA Nijmegen</t>
  </si>
  <si>
    <t>DOELGROEPREGISTER</t>
  </si>
  <si>
    <t>Vermogens en schulden van Nederlandse huishoudens</t>
  </si>
  <si>
    <t>Afname van kraamzorg in Nederland naar medische en niet-medische factoren en in relatie tot zorggebruik door moeder en kind</t>
  </si>
  <si>
    <t>Universitair Medisch Centrum Erasmus Rotterdam_Instituut Maatschappelijke Gezondheidszorg</t>
  </si>
  <si>
    <t>Relatie tussen kanker en zwangerschap</t>
  </si>
  <si>
    <t>Academisch Medisch Centrum Amsterdam (AMC)</t>
  </si>
  <si>
    <t>Analyses Klantenquête Inspectie SZW</t>
  </si>
  <si>
    <t>DOELGROEPENREGISTER</t>
  </si>
  <si>
    <t>MAATWERK\DOELGROEPENREGISTER</t>
  </si>
  <si>
    <t>SRGREINTEGRATIEPOSITIEBUS</t>
  </si>
  <si>
    <t>Measuring financial protection in health</t>
  </si>
  <si>
    <t>Universiteit Maastricht_School of Science and Engineering_TIER</t>
  </si>
  <si>
    <t>Housing, Health and inequality</t>
  </si>
  <si>
    <t>University of Chicago, Department of Economics</t>
  </si>
  <si>
    <t>HUURTOESLAG</t>
  </si>
  <si>
    <t>Stichting Wetenschappelijk Onderzoek Verkeersveiligheid</t>
  </si>
  <si>
    <t>Criminaliteitscijfers in gebieden met en zonder asielzoekerscentrum</t>
  </si>
  <si>
    <t>Slachtoffer en dadermonitor seksueel geweld tegen kinderen</t>
  </si>
  <si>
    <t>7897analysebestandDadermonitorsMensenhandelSeksueelGeweldTegenKinderen</t>
  </si>
  <si>
    <t>7897CRI_DSCbestand_2015_versleuteld</t>
  </si>
  <si>
    <t>7897CRI_DSCbestand_2015</t>
  </si>
  <si>
    <t>7897CRI_DSCbestand_2016_versleuteld</t>
  </si>
  <si>
    <t>7897CRI_DSCbestand_2016</t>
  </si>
  <si>
    <t>7897CRI_DSCbestand_2017_versleuteld</t>
  </si>
  <si>
    <t>7897CRI_DSCbestand_2017</t>
  </si>
  <si>
    <t>7897CRI_DSCbestand_2018_versleuteld</t>
  </si>
  <si>
    <t>7897CRI_DSCbestand_2018</t>
  </si>
  <si>
    <t>7897CRI_DSCbestand_2019_versleuteld</t>
  </si>
  <si>
    <t>7897CRI_DSCbestand_2019</t>
  </si>
  <si>
    <t>7897HALT2015CBKV1</t>
  </si>
  <si>
    <t>7897HALT2016CBKV1</t>
  </si>
  <si>
    <t>7897HALT2017CBKV1</t>
  </si>
  <si>
    <t>7897HALT2018CBKV1</t>
  </si>
  <si>
    <t>7897HALT2019CBKV1</t>
  </si>
  <si>
    <t>7897InstroomOM_delicten</t>
  </si>
  <si>
    <t>7897SLOAANG2015EIND_TYPE1V4</t>
  </si>
  <si>
    <t>7897SLOAANG2016EIND_TYPE1V3</t>
  </si>
  <si>
    <t>7897SLOAANG2017EIND_TYPE1V3</t>
  </si>
  <si>
    <t>7897SLOAANG2018EIND_TYPE1V2</t>
  </si>
  <si>
    <t>7897SLOAANG2019EIND_TYPE1V1</t>
  </si>
  <si>
    <t>7897UitstroomOM_delicten</t>
  </si>
  <si>
    <t>AMHK_2017_ADVIEZEN</t>
  </si>
  <si>
    <t>AMHK_2017_MELDINGEN</t>
  </si>
  <si>
    <t>AMHK_2017_ONDERZOEKEN</t>
  </si>
  <si>
    <t>MAATWERK\AMHK_2018_ADVIEZEN</t>
  </si>
  <si>
    <t>MAATWERK\AMHK_2018_MELDINGEN</t>
  </si>
  <si>
    <t>MAATWERK\AMHK_2018_ONDERZOEKEN</t>
  </si>
  <si>
    <t>MAATWERK\AMHK_ADVIEZEN</t>
  </si>
  <si>
    <t>MAATWERK\AMHK_MELDINGEN</t>
  </si>
  <si>
    <t>MAATWERK\AMHK_ONDERZOEKEN</t>
  </si>
  <si>
    <t>200910TabellensetVooDeNR_extraVraagMH.xlsx</t>
  </si>
  <si>
    <t>Acquired heart disease in adults with congenital heart disease</t>
  </si>
  <si>
    <t>Influenzavaccinatie onder 60+ers en sterfte</t>
  </si>
  <si>
    <t>Financiële regelingen en arbeidsmarktgedrag</t>
  </si>
  <si>
    <t>7907SZO_Arbeidsmarktgedrag_IBPV_2015_2018CBKV1</t>
  </si>
  <si>
    <t>7907SZO_DGA_Arbeidsmarktgedrag_2015-2018CBKV1</t>
  </si>
  <si>
    <t>7907szo_dga2007_2014_CBKV1</t>
  </si>
  <si>
    <t>7907szo_IBPV2007_2014_CBKV1</t>
  </si>
  <si>
    <t>7907IIVS2007-2014</t>
  </si>
  <si>
    <t>Monitor Beschikbaarheid en Betaalbaarheid van het Wonen (Monitor BBW)</t>
  </si>
  <si>
    <t>Evaluatie SIB werk na detentie</t>
  </si>
  <si>
    <t>7916_201709_CBS_JustID_met_SKN_BICBKV1</t>
  </si>
  <si>
    <t>Kerndicatoren Onderwijs en Arbeidsmarkt</t>
  </si>
  <si>
    <t>EBBFAMILIETAB</t>
  </si>
  <si>
    <t>EXTERNESURVEY\ONDERWIJSPERSONEELSGEGEVENS</t>
  </si>
  <si>
    <t>EXTERNESURVEY_ONDERWIJSPERSONEELSGEGEVENS</t>
  </si>
  <si>
    <t>GBASTANDBEVOLKINGTAB</t>
  </si>
  <si>
    <t>Kernindicatoren Ongelijkheid, Armoede, Inkomen en Vermogen</t>
  </si>
  <si>
    <t>IOWUITKERING1ATAB</t>
  </si>
  <si>
    <t>Onderwijs</t>
  </si>
  <si>
    <t>MAATWERK\161031_Gewichtenregeling</t>
  </si>
  <si>
    <t>Identifying best practices in care trajectories of community-dwelling persons with dementia (BESIDE)</t>
  </si>
  <si>
    <t>Vrije Universiteit Amsterdam_Medisch Centrum_EMGO Instituut voor naar gezondheid en zorg_afdeling So</t>
  </si>
  <si>
    <t>School and Study Choice: Matching and Returns</t>
  </si>
  <si>
    <t>EXAMVOVAKINT</t>
  </si>
  <si>
    <t>MAATWERK\7930_geboortedatum</t>
  </si>
  <si>
    <t>Cardiovascular death after hypertensive pregnancy</t>
  </si>
  <si>
    <t>Vrije Universiteit Amsterdam Medisch Centrum (VUMC)</t>
  </si>
  <si>
    <t>7932_PerinedExportCBSrefCBKV2</t>
  </si>
  <si>
    <t>Palliative Perfomance Scale (PPS)</t>
  </si>
  <si>
    <t>Perspectief Wajongers onder de Participatiewet</t>
  </si>
  <si>
    <t>SEO Economisch Onderzoek</t>
  </si>
  <si>
    <t>MAATWERK\NWAJ</t>
  </si>
  <si>
    <t>Networked Mobility</t>
  </si>
  <si>
    <t>Centrum voor Wiskunde en Informatica</t>
  </si>
  <si>
    <t>Gezondheid in steden</t>
  </si>
  <si>
    <t>Planbureau voor de Leefomgeving_Milieu en NatuurPlanbureau</t>
  </si>
  <si>
    <t>MAATWERK\7953Acquisitionsv2_versl</t>
  </si>
  <si>
    <t>MAATWERK\EZKRVO\NVP</t>
  </si>
  <si>
    <t>MAATWERK\EZKRVONVP</t>
  </si>
  <si>
    <t>Jaarlijkse meting taal en rekenen 2016</t>
  </si>
  <si>
    <t>Evaluatie Participatiewet</t>
  </si>
  <si>
    <t>MAATWERK\STANDPLAATSEN</t>
  </si>
  <si>
    <t>SIRAGPERSOONBUS</t>
  </si>
  <si>
    <t>UWVTRAPERSAGGTAB</t>
  </si>
  <si>
    <t>Welfare reforms and criminal behaviour</t>
  </si>
  <si>
    <t>7961incidenten</t>
  </si>
  <si>
    <t>Het aantal zelfdodingen in Nederland: waarom stijgt het?</t>
  </si>
  <si>
    <t>113 Zelfmoordpreventie</t>
  </si>
  <si>
    <t>MICWWPERSOONBUS</t>
  </si>
  <si>
    <t>Inventarisatie verstoringen</t>
  </si>
  <si>
    <t>OBW</t>
  </si>
  <si>
    <t>Herziening gewichtenregeling primair onderwijs</t>
  </si>
  <si>
    <t>Ministerie van Onderwijs Cultuur en Wetenschappen, DUO, Afdeling Informatieproducten</t>
  </si>
  <si>
    <t>The distribution of the causes of death among patients treated for hepato-pancreatobiliary malignancies</t>
  </si>
  <si>
    <t>Universitair Medisch Centrum Erasmus Rotterdam</t>
  </si>
  <si>
    <t>Effects of technical change on jobs/skills</t>
  </si>
  <si>
    <t>Dynamiek inkomen en werkgelegenheid Nederland</t>
  </si>
  <si>
    <t>MAATWERK\7996  EBBWRKLEIDINGJJJJ.sav</t>
  </si>
  <si>
    <t>7996EBBBNPJJJJ</t>
  </si>
  <si>
    <t>Jongeren Not in Employment, Education or Training (NEET) gedurende de school-naar-werk transitie in Nederland</t>
  </si>
  <si>
    <t>NABIJHEIDKINDOPVTAB</t>
  </si>
  <si>
    <t>Analyse BUIG-Budgetten</t>
  </si>
  <si>
    <t>APE Significant Groep</t>
  </si>
  <si>
    <t>Evaluatie en voorspelling autokeuze- en mobiliteitsgedrag</t>
  </si>
  <si>
    <t>Inkomensongelijkheid en de impact van (bezuinigingen op) sociale zekerheid</t>
  </si>
  <si>
    <t>Brown University, Department of Economics</t>
  </si>
  <si>
    <t>PRODCOM</t>
  </si>
  <si>
    <t>Asielzoekers in onderwijs</t>
  </si>
  <si>
    <t>Juridische routes</t>
  </si>
  <si>
    <t>CBS sector DVO</t>
  </si>
  <si>
    <t>8017JUROUT18_WODC_Voorlopig</t>
  </si>
  <si>
    <t>MAATWERK\8017JUROUT18_WODC_DEF</t>
  </si>
  <si>
    <t>8017JUROUT18_WODC_DEF_v1</t>
  </si>
  <si>
    <t>Inkomensongelijkheid en sociale mobiliteit</t>
  </si>
  <si>
    <t>Zorgkosten in vroege ontwikkeling naar perinatale uitkomsten en armoede</t>
  </si>
  <si>
    <t>Monitor Overlijdensverklaringen</t>
  </si>
  <si>
    <t>DOODOORZ2018_GemeenteOverlijden</t>
  </si>
  <si>
    <t>GEMOVL</t>
  </si>
  <si>
    <t>8043_Doo_gemeenteOverlijden_periode_2011-2015_CBKV1</t>
  </si>
  <si>
    <t>Arbeidsmarktpositie afgestudeerden</t>
  </si>
  <si>
    <t>Decompositie Consumptie</t>
  </si>
  <si>
    <t>CBS/UvA Project Sociale ongelijkheid en veranderingen in levenslopen</t>
  </si>
  <si>
    <t>CBS sector SES</t>
  </si>
  <si>
    <t>8061afstand_pc6_tot_vo2011_max20km_v2CBKV1_versl</t>
  </si>
  <si>
    <t>MAATWERK\NCO\NCOACHTERGRONDSTABIEL</t>
  </si>
  <si>
    <t>MAATWERK\NCO\NCOPORUG</t>
  </si>
  <si>
    <t>MAATWERK\NCO\NCOPOUITRUG</t>
  </si>
  <si>
    <t>MAATWERK\NCO\NCOPO</t>
  </si>
  <si>
    <t>MAATWERK\NCO\NCOVORUG</t>
  </si>
  <si>
    <t>MAATWERK\NCO\NCOVO</t>
  </si>
  <si>
    <t>NCOACHTERGRONDSTABIEL</t>
  </si>
  <si>
    <t>NCOACHTERGRONDVARIABEL</t>
  </si>
  <si>
    <t>NCOBRINPO</t>
  </si>
  <si>
    <t>NCOBRINVO</t>
  </si>
  <si>
    <t>NCOHBO</t>
  </si>
  <si>
    <t>NCOMBO</t>
  </si>
  <si>
    <t>NCOPORUG</t>
  </si>
  <si>
    <t>NCOPOUITRUG</t>
  </si>
  <si>
    <t>NCOPO</t>
  </si>
  <si>
    <t>NCOSO</t>
  </si>
  <si>
    <t>NCOVAVO</t>
  </si>
  <si>
    <t>NCOVORUG</t>
  </si>
  <si>
    <t>NCOVO</t>
  </si>
  <si>
    <t>NCOWO</t>
  </si>
  <si>
    <t>Analyse van gegevens van rechtspraak</t>
  </si>
  <si>
    <t>FAILLISSEMENTEN</t>
  </si>
  <si>
    <t>Intergenerationele personen</t>
  </si>
  <si>
    <t>UWVTRAAGGTAB</t>
  </si>
  <si>
    <t>Grip op uitval van werknemers</t>
  </si>
  <si>
    <t>TNO Kwaliteit van Leven, Arbeid</t>
  </si>
  <si>
    <t>TNO_KOPPELSTREAM</t>
  </si>
  <si>
    <t>Income and Wealth Inequality in the Netherlands: The Impact of Aggregate Policies</t>
  </si>
  <si>
    <t>LSM</t>
  </si>
  <si>
    <t>Impact of vitality and job tasks on retirement</t>
  </si>
  <si>
    <t>Koplopers en volgers</t>
  </si>
  <si>
    <t>faill2020week</t>
  </si>
  <si>
    <t>Radicalisering en betrokkenheid bij terrorisme</t>
  </si>
  <si>
    <t>Nederlands Studiecentrum Criminaliteit en Rechtshandhaving</t>
  </si>
  <si>
    <t>8070OnderzoekNSCRCBKV1</t>
  </si>
  <si>
    <t>8070VERD</t>
  </si>
  <si>
    <t>Family ties that bind</t>
  </si>
  <si>
    <t>NKPS_maindata_wave1_0405CBKV2</t>
  </si>
  <si>
    <t>nkps_wave4_v1_02015CBKV1</t>
  </si>
  <si>
    <t>The Life-cycle Effects of Childbearing on Mothers' Market Behavior and Economic</t>
  </si>
  <si>
    <t>HongKong Baptist University, Economics Department</t>
  </si>
  <si>
    <t>8079Kinderopvang_2010CBKV1</t>
  </si>
  <si>
    <t>8079Kinderopvang_2011CBKV1</t>
  </si>
  <si>
    <t>8079Kinderopvang_2012CBKV1</t>
  </si>
  <si>
    <t>8079Kinderopvang_2013CBKV1</t>
  </si>
  <si>
    <t>8079Kinderopvang_2014CBKV1</t>
  </si>
  <si>
    <t>8079Kinderopvang_2015CBKV1</t>
  </si>
  <si>
    <t>8079Kinderopvang_2016CBKV1</t>
  </si>
  <si>
    <t>8079Kinderopvang_2017CBKV1</t>
  </si>
  <si>
    <t>8079Kinderopvang_2018CBKV1</t>
  </si>
  <si>
    <t>8079Kinderopvang_2019CBKV1</t>
  </si>
  <si>
    <t>8079Kinderopvang_2020CBKV1</t>
  </si>
  <si>
    <t>EUSILC</t>
  </si>
  <si>
    <t>8079Kinderopvang_2009CBKV1</t>
  </si>
  <si>
    <t>Employer incentives in disability insurance</t>
  </si>
  <si>
    <t>Harvard Medical School</t>
  </si>
  <si>
    <t>Housing prices</t>
  </si>
  <si>
    <t>Op weg naar een systeem om kwaliteit van palliatieve zorg inzichtelijk te maken</t>
  </si>
  <si>
    <t>Nederlands Instituut voor Onderzoek v/d Gezondheidszorg</t>
  </si>
  <si>
    <t>Kansengelijkheid in onderwijs</t>
  </si>
  <si>
    <t>Doodsoorzaken</t>
  </si>
  <si>
    <t>VKDTAB</t>
  </si>
  <si>
    <t>Integrale bekostiging Geboortezorg</t>
  </si>
  <si>
    <t>GBALEVENDGEBORENENMASSATAB</t>
  </si>
  <si>
    <t>VWSMAATWERK_A2_GBA_DOODSOORZAKEN</t>
  </si>
  <si>
    <t>VWSMAATWERK_B1_SOCIAALECONKENMERKEN</t>
  </si>
  <si>
    <t>VWSMAATWERK_C1_INKOMENVERMOGEN</t>
  </si>
  <si>
    <t>VWSMAATWERK_D1_ZVWKOSTEN</t>
  </si>
  <si>
    <t>VWSMAATWERK_E1_WANBETALERS</t>
  </si>
  <si>
    <t>PCOS Leefstijlprogramma</t>
  </si>
  <si>
    <t>8101_MissendeMoeders</t>
  </si>
  <si>
    <t>8101_Geboortedatum</t>
  </si>
  <si>
    <t>Intergenerational persistence of earnings among natives and immigrants</t>
  </si>
  <si>
    <t>University of Birmingham, Department of Economics</t>
  </si>
  <si>
    <t>The causal relation between labor market outcomes and crime</t>
  </si>
  <si>
    <t>University of Gothenburg Department of Economics</t>
  </si>
  <si>
    <t>8112VERDACHTEN</t>
  </si>
  <si>
    <t>MAATWERK\INCIDENTEN</t>
  </si>
  <si>
    <t>MAATWERK\SLACHTOFFERS</t>
  </si>
  <si>
    <t>VMR</t>
  </si>
  <si>
    <t>Does migration background matter of improving bilateral trade?</t>
  </si>
  <si>
    <t>Het effect van ouderbetrokkenheid via een app op huiswerkgedrag en leerprestaties</t>
  </si>
  <si>
    <t>Onderzoek naar de effecten van de onderzoeksubsidie Individuele Plaatsing en Steun (IPS) van UWV</t>
  </si>
  <si>
    <t>Uitvoeringsinstituut Werknemersverzekeringen, Dir. Strategie, beleid, kenniscentrum, Kenniscentrum</t>
  </si>
  <si>
    <t>Van jeugd naar volwassenheid, de participatie van kwetsbare groepen jongeren</t>
  </si>
  <si>
    <t>Gemeentelijk Sociaal Domein</t>
  </si>
  <si>
    <t>VWSMAATWERK_D2_AWBZ_WMO_WLZ</t>
  </si>
  <si>
    <t>Striving in the womb: a study on the mechanisms behind in-utero malnutrition and late-life health outcomes.</t>
  </si>
  <si>
    <t>Pennsylvania State University</t>
  </si>
  <si>
    <t>Marijuana ban on Southern Dutch municipalities</t>
  </si>
  <si>
    <t>Tohoku University Graduate School of Economics and Management</t>
  </si>
  <si>
    <t>Human Capital Development in the Netherlands</t>
  </si>
  <si>
    <t>Prevalentie van diverse ziekten bij transgender patiënten</t>
  </si>
  <si>
    <t>Intergenerationele armoede</t>
  </si>
  <si>
    <t>Multiagent modellering goederenlogistiek</t>
  </si>
  <si>
    <t>Technische Universiteit Delft</t>
  </si>
  <si>
    <t>XML</t>
  </si>
  <si>
    <t>Broken homes and crime</t>
  </si>
  <si>
    <t>Innovatieprogramma Sociaal Domein</t>
  </si>
  <si>
    <t>SHNTAB</t>
  </si>
  <si>
    <t>Monitoring en evaluatie van interventies in het kader van Bridge</t>
  </si>
  <si>
    <t>Gezondheid (ex) gedetineerden</t>
  </si>
  <si>
    <t>8171JUSTID2014CBKV1</t>
  </si>
  <si>
    <t>8171JUSTID2015CBKV3</t>
  </si>
  <si>
    <t>MAATWERK\8171\8171VERSLIN2014CBKV1</t>
  </si>
  <si>
    <t>MAATWERK\8171\8171VERSLIN2015CBKV1</t>
  </si>
  <si>
    <t>MAATWERK\8171\8171VERSLPOPDEC2014CBKV1</t>
  </si>
  <si>
    <t>MAATWERK\8171\8171VERSLPOPDEC2015CBKV1</t>
  </si>
  <si>
    <t>MAATWERK\8171\8171VERSLPOPSEP2014CBKV1</t>
  </si>
  <si>
    <t>MAATWERK\8171\8171VERSLPOPSEP2015CBKV1</t>
  </si>
  <si>
    <t>MAATWERK\8171\8171VERSLUIT2014CBKV1</t>
  </si>
  <si>
    <t>MAATWERK\8171\8171VERSLUIT2015CBKV1</t>
  </si>
  <si>
    <t>Koppeling Nivel-Lifelines</t>
  </si>
  <si>
    <t>LIFELINES_KOPPEL</t>
  </si>
  <si>
    <t>In een baan, uit de problemen?</t>
  </si>
  <si>
    <t>Op weg naar integrale zorg</t>
  </si>
  <si>
    <t>Universiteit Maastricht_Fac Health, Medicine and Life Sciences_Health Services Research (HSR)</t>
  </si>
  <si>
    <t>Ethnic difference in cardiovascular diseases. The HELIUS study</t>
  </si>
  <si>
    <t>HELIUS</t>
  </si>
  <si>
    <t>Zorg in de laatste levensfase</t>
  </si>
  <si>
    <t>MAATWERK\Maatwerkbestand_8194_gnm_ovl_2015</t>
  </si>
  <si>
    <t>Impact of PCV10 on (pneumococcal)pneumonia hospitalizations</t>
  </si>
  <si>
    <t>Life After Release: Understanding effects of imprisonment on the further life-course</t>
  </si>
  <si>
    <t>Schoolprestaties van dove en slechthorende kinderen</t>
  </si>
  <si>
    <t>Universiteit Leiden_Sociale Wetenschappen</t>
  </si>
  <si>
    <t>Compleetheid van de NKR</t>
  </si>
  <si>
    <t>Integraal Kankercentrum Nederland</t>
  </si>
  <si>
    <t>Zorg voor mensen met multimorbiditeit</t>
  </si>
  <si>
    <t>Resultaten HBO instroom in WO en arbeidsmarktsituatie</t>
  </si>
  <si>
    <t>Vrije Universiteit Amsterdam_Faculteit Gedrags en Bewegingswetenschap_Center for Learning Analytics</t>
  </si>
  <si>
    <t>Dynamic Urban Environmental Exposures on Depression and Suicide (NEEDS)</t>
  </si>
  <si>
    <t>NDS</t>
  </si>
  <si>
    <t>Bijstand op maat</t>
  </si>
  <si>
    <t>Residential Sorting and Amenities</t>
  </si>
  <si>
    <t>New York University, Department of Economics</t>
  </si>
  <si>
    <t>Big data analyse - kanker en werk</t>
  </si>
  <si>
    <t>The impact of comobidity on Parkinson-Disease related hospitalization</t>
  </si>
  <si>
    <t>Universitair Medisch Centrum Radboud Nijmegen</t>
  </si>
  <si>
    <t>Empirische analyse cybersecurity bedrijven</t>
  </si>
  <si>
    <t>MAATWERK\8236data10wpenmeer_DSC2</t>
  </si>
  <si>
    <t>MAATWERK\8236data2tot10wp_DSC2</t>
  </si>
  <si>
    <t>Evaluatie Besluit Bijstand Zelfstandigen</t>
  </si>
  <si>
    <t>Arbeidsmarktpositie allochtonen ten zuiden Sahara</t>
  </si>
  <si>
    <t>Universiteit Amsterdam_Faculteit FMG_Amsterdam Institute for Social Sience Research</t>
  </si>
  <si>
    <t>EUROlinkCAT</t>
  </si>
  <si>
    <t>Universitair Medisch Centrum Groningen_Eurocat</t>
  </si>
  <si>
    <t>8246BurgerlijkeStaatMoeders</t>
  </si>
  <si>
    <t>Financiële routes</t>
  </si>
  <si>
    <t>MAATWERK\DNB_hosted</t>
  </si>
  <si>
    <t>Socio-economic differences in health, labor force participation and mortality: past, present, future</t>
  </si>
  <si>
    <t>Deelname aan hoger onderwijs en studieloopbanen</t>
  </si>
  <si>
    <t>ResearchNed</t>
  </si>
  <si>
    <t>DDC - Stromen</t>
  </si>
  <si>
    <t>Vernieuwing eigen risico model</t>
  </si>
  <si>
    <t>MAATWERK\VER</t>
  </si>
  <si>
    <t>MAATWERK\VWSMAATWERK\INKOMENVERMOGEN</t>
  </si>
  <si>
    <t>MAATWERK\VWSMAATWERK\MEDICIJNEN</t>
  </si>
  <si>
    <t>MAATWERK\VWSMAATWERK\SOCIAALECONKENMERKEN</t>
  </si>
  <si>
    <t>MAATWERK\VWSMAATWERK\ZVWKOSTEN</t>
  </si>
  <si>
    <t>MAATWERK_VWSMAATWERK_C1_INKOMENVERMOGEN</t>
  </si>
  <si>
    <t>Labour market dynamics, routine workers and technological change</t>
  </si>
  <si>
    <t>Rijksuniversiteit Groningen_Faculteit Economie en Bedrijfskunde</t>
  </si>
  <si>
    <t>De invloed van de school op de ontwikkeling van burgerschapscompetenties van jongeren, en de invloed hiervan op hun latere deelname aan de samenleving</t>
  </si>
  <si>
    <t>Rijksuniversiteit Groningen_Faculteit Gedrags en Maatschappijwetenschappen_GION</t>
  </si>
  <si>
    <t>Globalisering en ongelijkheid</t>
  </si>
  <si>
    <t>Staat van de Jeugd</t>
  </si>
  <si>
    <t>GBASTERFTENMASSATAB</t>
  </si>
  <si>
    <t>Household decisions over the life-cycle: Finances, Education, and Care</t>
  </si>
  <si>
    <t>Universität Bonn, Bonn Graduate School in Economics (BGSE)</t>
  </si>
  <si>
    <t>8266DOB_output_v2</t>
  </si>
  <si>
    <t>Incidentie van plotse dood bij sporters</t>
  </si>
  <si>
    <t>Uitzendmonitor 2018</t>
  </si>
  <si>
    <t>VRLGBAADRESBUITENLANDBUS</t>
  </si>
  <si>
    <t>Besparingseffect verbeterd VKO</t>
  </si>
  <si>
    <t>Nederlandse Organisatie voor toegepast-natuurwetenschappelijk onderzoek</t>
  </si>
  <si>
    <t>Maatwerk\8280_steekproefpopulatie_update_def_TNOincleneco</t>
  </si>
  <si>
    <t>MAATWERK\8280populatieupdatemeetdatassbV2CBK</t>
  </si>
  <si>
    <t>Maatwerk\8280PostdigitaalCBKV1</t>
  </si>
  <si>
    <t>Maatwerk\8280-steekproefpopulatie_update_def_tlvGCNU</t>
  </si>
  <si>
    <t>Maatwerk\8280-steekproefpopulatie_update_def_TNOincleneco_tlvGC</t>
  </si>
  <si>
    <t>MAATWERK\8280steekproefpopulatiedefTNOincleneco</t>
  </si>
  <si>
    <t>MAATWERK\ecn_analyse_2018_TNO</t>
  </si>
  <si>
    <t>Maatwerk\8280_steekproefpopulatie_update_def_TNOexeneco</t>
  </si>
  <si>
    <t>Re-integratie in BOLD cities</t>
  </si>
  <si>
    <t>Externe validatie van drie voorspellende modellen voor het risico op hart- en vaatziekten in de eerste lijn in Nederland.</t>
  </si>
  <si>
    <t>Armoede in Kaart 2018</t>
  </si>
  <si>
    <t>8203SELECTIE</t>
  </si>
  <si>
    <t>8283_Selectie_2016</t>
  </si>
  <si>
    <t>8283_Selectie_2017</t>
  </si>
  <si>
    <t>MAATWERK\ARMOEDE\8283_Selectie_2016</t>
  </si>
  <si>
    <t>The influence of socioeconomic status on out-of-hospital cardiac arrest</t>
  </si>
  <si>
    <t>Ziektelast van infectieziekten door ziekenhuisopnames</t>
  </si>
  <si>
    <t>URBAN TOOLS Next</t>
  </si>
  <si>
    <t>RIJBEWIJZEN</t>
  </si>
  <si>
    <t>Transities in arbeid van kwetsbare groepen</t>
  </si>
  <si>
    <t>Teacher discretion in tracking assessments</t>
  </si>
  <si>
    <t>Tilburg University_School of Economics and Management_Econometrics and Operations Research</t>
  </si>
  <si>
    <t>8289_groepWPO2015_versl</t>
  </si>
  <si>
    <t>Budgettaire gevolgen van immigratie in Nederland</t>
  </si>
  <si>
    <t>Universiteit van Amsterdam_Faculteit Economie en Bedrijfskunde</t>
  </si>
  <si>
    <t>Migrant legal STATUS diversity and diversity dynamics in CITIES</t>
  </si>
  <si>
    <t>Hoofd- Halskanker</t>
  </si>
  <si>
    <t>Voorzieningengebruik Asielmigranten</t>
  </si>
  <si>
    <t>Ontwikkeling arbeidsparticipatie</t>
  </si>
  <si>
    <t>Onderzoek op AiMark data</t>
  </si>
  <si>
    <t>Goethe Universität Frankfurt, Chair of Finance and Economics</t>
  </si>
  <si>
    <t>Segregation in the Netherlands</t>
  </si>
  <si>
    <t>Joint Research Centre</t>
  </si>
  <si>
    <t>Wat is de relatie tussen het hebben van schulden en uitgaven aan zorg</t>
  </si>
  <si>
    <t>MAATWERK\8304wanbetalers 2010-2016</t>
  </si>
  <si>
    <t>MAATWERK\LASD</t>
  </si>
  <si>
    <t>MAATWERK\VWSMAATWERK\AWBZ_WMO_WLZ</t>
  </si>
  <si>
    <t>MAATWERK\VWSMAATWERK\AWBZ</t>
  </si>
  <si>
    <t>The burden of (drug-)drug-gene interactions within the Lifelines Cohort population as part of the PharmLines Initiative.</t>
  </si>
  <si>
    <t>Opiaatgebruik in NL</t>
  </si>
  <si>
    <t>8306analyse_bestand_N07BC_srt</t>
  </si>
  <si>
    <t>MAATWERK\8306_analyse_bestand_atc5_2017_srt</t>
  </si>
  <si>
    <t>MAATWERK\8306analyseatc5JJJJsrt</t>
  </si>
  <si>
    <t>8306analyse_bestand_N02A_srt</t>
  </si>
  <si>
    <t>The effects of study finance on students' educational outcomes and consequences for</t>
  </si>
  <si>
    <t>Onderwijs-arbeidsmarktstromen van de chemiesector</t>
  </si>
  <si>
    <t>Dialogic Innovatie &amp; Interactie</t>
  </si>
  <si>
    <t>DDC Onderwijs: Onderwijspersoneel</t>
  </si>
  <si>
    <t>MAATWERK\8312_1-181107OWP_InlezenSPSS_Freq</t>
  </si>
  <si>
    <t>MAATWERK\8312_2-181106Polis_SelectieInOWP</t>
  </si>
  <si>
    <t>Arbeidsmarktstudies internationale werknemers</t>
  </si>
  <si>
    <t>Decisio</t>
  </si>
  <si>
    <t>AKWUITKERING1ATAB</t>
  </si>
  <si>
    <t>AKWUITKERING1BTAB</t>
  </si>
  <si>
    <t>Adverse health effects of financial distress and financial effects of health shocks: the moderating role of family firms</t>
  </si>
  <si>
    <t>NLSTAB</t>
  </si>
  <si>
    <t>Direct measurement of Respiratory Syncytial Virus (RSV) healthcare burden in young children</t>
  </si>
  <si>
    <t>Arbeidsmarktontwikkelingen en inkomensverdeling</t>
  </si>
  <si>
    <t>CBS sector SAL</t>
  </si>
  <si>
    <t>MAATWERK\ANALYSEBESTAND_2011MU_NOREV</t>
  </si>
  <si>
    <t>MAATWERK\ANALYSEBESTAND_MU</t>
  </si>
  <si>
    <t>ANALYSEBESTAND_2017_MU</t>
  </si>
  <si>
    <t>Determinants and Outcomes of high-performing firms</t>
  </si>
  <si>
    <t>CBS sector EBD</t>
  </si>
  <si>
    <t>MAATWERK\GROEICATEGORIE</t>
  </si>
  <si>
    <t>8330tw_ap_lonen_ps_bl_20082017</t>
  </si>
  <si>
    <t>Hervorming vroegpensioen in Nederland</t>
  </si>
  <si>
    <t>Voorstudie effectmeting inburgering</t>
  </si>
  <si>
    <t>Op zoek naar vertrouwen: begrijpen en verbeteren van jeugd/politie interacties in hedendaagse ‘superdiverse’ samenlevingen.</t>
  </si>
  <si>
    <t>Erasmus Universiteit Rotterdam_Erasmus School of Social and Behavioural Sciences</t>
  </si>
  <si>
    <t>MZJ_ANALYSE_2015</t>
  </si>
  <si>
    <t>Gezondheid omwonenden agrarische percelen</t>
  </si>
  <si>
    <t>Universiteit Utrecht_Faculteit Diergeneeskunde_Institute for Risk Assessment Sciences</t>
  </si>
  <si>
    <t>Arbeidsmarktmonitor - CA-ICT</t>
  </si>
  <si>
    <t>UWVONTAANVTAB</t>
  </si>
  <si>
    <t>Health Inequality in the Netherlands</t>
  </si>
  <si>
    <t>London School of Economics, Economics Department</t>
  </si>
  <si>
    <t>MAATWERK\8340Vrijwillig_eigen_risico_plus_UZOVI_2011-2017</t>
  </si>
  <si>
    <t>Kansrijk beleid voor risicogroepen</t>
  </si>
  <si>
    <t>Skill Relatedness in Cities and Firms</t>
  </si>
  <si>
    <t>De predictieve validiteit van het Actuarieel Risicotaxatie Instrument voor Jeugdbescherming</t>
  </si>
  <si>
    <t>De relatie tussen individuele, sociale en omgevingsfactoren en kwetsbaarheid van potentiële ouders</t>
  </si>
  <si>
    <t>De voorspellende waarde van toetsen en schooladviezen op korte en lange termijn</t>
  </si>
  <si>
    <t>Optimale vermogensopbouw</t>
  </si>
  <si>
    <t>Evaluatie Wettelijk Minimum Jeugdloon (WMJL)</t>
  </si>
  <si>
    <t>Financieringsvraagstukken bedrijfsleven</t>
  </si>
  <si>
    <t>Monitoring gezondheid Verstandelijke beperkten</t>
  </si>
  <si>
    <t>8359LVB populatie</t>
  </si>
  <si>
    <t>Effectiviteit energielabels woningen</t>
  </si>
  <si>
    <t>OBJECTENERGIELABELSTAB</t>
  </si>
  <si>
    <t>In kaart brengen van lokaal gebruik van zorg (medisch en in het sociaal domein)</t>
  </si>
  <si>
    <t>Insuring Lost Calories: Long-Term Political Consequences of Exposure to the Dutch Famine</t>
  </si>
  <si>
    <t>University of Oxford, Department of Politics &amp; International Relations</t>
  </si>
  <si>
    <t>Buitenlandse vermogens en de inkeerregeling</t>
  </si>
  <si>
    <t>MAATWERK\8366IBTABCBKV1</t>
  </si>
  <si>
    <t>Population Health Management,Gezond en Gelukkig Den Haag</t>
  </si>
  <si>
    <t>MAATWERK\VWSMAATWERK\GBA_DOODSOORZAKEN</t>
  </si>
  <si>
    <t>NABIJHEIDHORECATAB</t>
  </si>
  <si>
    <t>Kansarme groepen op de arbeidsmarkt</t>
  </si>
  <si>
    <t>190119_Eindbestand_fase2_plus_secm</t>
  </si>
  <si>
    <t>190204 Eindbestand_fase3</t>
  </si>
  <si>
    <t>190322 Eindbestand_fase4</t>
  </si>
  <si>
    <t>191114_Verrijkt_onderzoeksbestand</t>
  </si>
  <si>
    <t>8370_191030Medicijnen</t>
  </si>
  <si>
    <t>MAATWERK\8370\191030 Medicijnen</t>
  </si>
  <si>
    <t>Maatwerkbestand4Limburg_fase1</t>
  </si>
  <si>
    <t>181203_Eindbestand_4Limburg_ROA_180148_fase2</t>
  </si>
  <si>
    <t>Toegankelijkheid Engelstalig Hoger onderwijs</t>
  </si>
  <si>
    <t>MAATWERK\8371EERSTEMASTERWO_versl</t>
  </si>
  <si>
    <t>MAATWERK\8371UC</t>
  </si>
  <si>
    <t>Testproject NCO</t>
  </si>
  <si>
    <t>MAATWERK\NCO\NCOACHTERGRONDVARIABEL</t>
  </si>
  <si>
    <t>MAATWERK\NCO\NCOPODEF</t>
  </si>
  <si>
    <t>Regionale analyses gecombineerd Justitie, Jeugd, Sociaal Domein</t>
  </si>
  <si>
    <t>C6Volg</t>
  </si>
  <si>
    <t>Inkomensongelijkheid over generaties</t>
  </si>
  <si>
    <t>Risico- en beschermende factoren in de kindertijd en vroege adolescentie voor (het al dan niet ontwikkelen van) een delinquente carrière met high impact delicten later in de adolescentie</t>
  </si>
  <si>
    <t>JONG_ANALYSE_2015</t>
  </si>
  <si>
    <t>VERD</t>
  </si>
  <si>
    <t>Comparative Advantage in the Netherlands</t>
  </si>
  <si>
    <t>Embedded transitions: critical changes in individual and organizational lives and equity in society</t>
  </si>
  <si>
    <t>Rijksuniversiteit Groningen_Faculteit Gedrags- en Maatschappijwetenschappen</t>
  </si>
  <si>
    <t>VRLGBABURGERLIJKESTAATBUS</t>
  </si>
  <si>
    <t>Straf met Zorg</t>
  </si>
  <si>
    <t>Openbaar Ministerie, Parket Generaal, Fact Factory</t>
  </si>
  <si>
    <t>8382_200810EindbestandReferentieMonitorMultiproblematiek</t>
  </si>
  <si>
    <t>MAATWERK\8382_181203EindbestandOMSmZ</t>
  </si>
  <si>
    <t>MAATWERK8382_181203EindbestandOMSmZ</t>
  </si>
  <si>
    <t>MAATWERK8382_190419EindbestandreferentieOMSmZ</t>
  </si>
  <si>
    <t>8382_200806EindbestandOMMonitorMultiproblematiek</t>
  </si>
  <si>
    <t>Heritability of twinning in the Netherlands</t>
  </si>
  <si>
    <t>Vrije Universiteit Amsterdam_Faculteit Gedrags- en Bewegingswetenschappen</t>
  </si>
  <si>
    <t>NTR_KOPPEL</t>
  </si>
  <si>
    <t>Kansen op de arbeidsmarkt na veroordeling</t>
  </si>
  <si>
    <t>Universiteit Hasselt</t>
  </si>
  <si>
    <t>MAATWERK\8385MaatwerkUitstroomOM</t>
  </si>
  <si>
    <t>MAATWERK\8385MaatwerkUitstroomRechter</t>
  </si>
  <si>
    <t>Onderzoek regionale verschillen in onderwijsuitkomsten</t>
  </si>
  <si>
    <t>Doelmatigheid en doeltreffendheid sociale zekerheid</t>
  </si>
  <si>
    <t>Algemene Rekenkamer</t>
  </si>
  <si>
    <t>ODF pilot VU_NTR: A genome-wide association study of health care costs</t>
  </si>
  <si>
    <t>Evalueren van de sex-specifieke associatie tussen (risicofactoren voor) diastolische dysfunctie en pijn op de borst en mortaliteit</t>
  </si>
  <si>
    <t>Universitair Medisch Centrum Utrecht</t>
  </si>
  <si>
    <t>The transitional dynamics of cultural integration</t>
  </si>
  <si>
    <t>Hervormingen in de Nederlandse markt voor de langdurige zorg: De waarde van meer keuze schatten</t>
  </si>
  <si>
    <t>Vrije Universiteit Amsterdam_School of Business and Economics_Tinbergen Instituut</t>
  </si>
  <si>
    <t>Flexibiliteit van het Nederlands onderwijssysteem</t>
  </si>
  <si>
    <t>Sociale ongelijkheid in Nederland</t>
  </si>
  <si>
    <t>Sex disparities in the prescription of statins and their associations with lipid parameters: the Pharmlines Initiative</t>
  </si>
  <si>
    <t>Patientvoorkeur ziekenhuis</t>
  </si>
  <si>
    <t>JPIAMR NeWIS</t>
  </si>
  <si>
    <t>Tweede werkkring beeldend kunstenaars</t>
  </si>
  <si>
    <t>Pyrrhula Research Consultants BV</t>
  </si>
  <si>
    <t>Keuzemomenten in de Beroepskolom</t>
  </si>
  <si>
    <t>Kohnstamm Instituut BV</t>
  </si>
  <si>
    <t>SVO</t>
  </si>
  <si>
    <t>Organizations, occupations, and inequality</t>
  </si>
  <si>
    <t>ECB policy and dutch households</t>
  </si>
  <si>
    <t>Actualisering verkeersmodel Almere</t>
  </si>
  <si>
    <t>Goudappel Coffeng BV</t>
  </si>
  <si>
    <t>8424_7190212_OViN_met_extra_persoons_verplaatsings_kenmerken</t>
  </si>
  <si>
    <t>8424_181218OViNverplaatsingenEnPersonenZonderVerplaatsing</t>
  </si>
  <si>
    <t>WERCREA</t>
  </si>
  <si>
    <t>Universiteit Amsterdam_Faculteit Rechten_Amsterdam Institute for Advanced Labour Studies</t>
  </si>
  <si>
    <t>Analyse producentenprijsontwikkelingen</t>
  </si>
  <si>
    <t>8429PPI_data_DNB_20200605</t>
  </si>
  <si>
    <t>MAATWERK\8429dienstenprijzen</t>
  </si>
  <si>
    <t>8429PPI_data_DNB</t>
  </si>
  <si>
    <t>The effects of rising contractual flexibility on the dynamics of hiring practices, wages and real outcomes:</t>
  </si>
  <si>
    <t>The effect and prevalence of crime prevention measures: Shutter adoption in the Netherlands</t>
  </si>
  <si>
    <t>Digitale vaardigheden en de arbeidsmarkt</t>
  </si>
  <si>
    <t>Cohortstudie statushouders (vervolg)</t>
  </si>
  <si>
    <t>843508-200909VerrijkingSurveySyriers</t>
  </si>
  <si>
    <t>ASIELCOHORTCorrectie Nationaliteit</t>
  </si>
  <si>
    <t>MAATWERK\ASIELCOHORT\8435_06g-190201 Correctie Nationaliteit</t>
  </si>
  <si>
    <t>NSN</t>
  </si>
  <si>
    <t>843508-200717VerrijkingSurveySyriers.sav</t>
  </si>
  <si>
    <t>Drug Utilization Study</t>
  </si>
  <si>
    <t>Long-term developmental outcome after early childhood sepsis and meningitis</t>
  </si>
  <si>
    <t>Koppelonderzoek ernstig verkeersgewonden</t>
  </si>
  <si>
    <t>Management, innovatie en productiviteit</t>
  </si>
  <si>
    <t>8440wms_gekoppeld_bestand</t>
  </si>
  <si>
    <t>Lagged Duration Dependent Survival Analysis on the Same-Sex Partnership Formation and Dissolution</t>
  </si>
  <si>
    <t>New Public Financing Models, Innovative or Ineffective?</t>
  </si>
  <si>
    <t>Bern University of Applied Sciences, School of Social Work</t>
  </si>
  <si>
    <t>Bij elkaar brengen van vergunninghouders en werkgevers in Den Haag</t>
  </si>
  <si>
    <t>Regioplan</t>
  </si>
  <si>
    <t>Effect of antibiotic treatment on acute COPD exacerbations treated with oral corticosteroids</t>
  </si>
  <si>
    <t>Samenhang tussen uitkeringsbeslissingen, werk en medische consumptie</t>
  </si>
  <si>
    <t>A Data-Driven Approach to Improving Asylum-Seeker Integration Outcomes</t>
  </si>
  <si>
    <t>Stanford University, Immigration Policy lab</t>
  </si>
  <si>
    <t>MAATWERK/ASIELCOHORT/190301Asielcohort_IPL</t>
  </si>
  <si>
    <t>ASIELCOHORT190618Asielcohort_IPL</t>
  </si>
  <si>
    <t>Vervoersarmoede in arbeidsmarktperspectief</t>
  </si>
  <si>
    <t>Pension funding, housing wealth and macroeconomic demand</t>
  </si>
  <si>
    <t>Prenatal exposure to the Dutch famine and risk for dementia</t>
  </si>
  <si>
    <t>Mea culpa: De complexiteit van financiële problematiek onder reclasseringscliënten</t>
  </si>
  <si>
    <t>HogeschoolUtrecht, Lectoraat Werken in Justitieel Kader</t>
  </si>
  <si>
    <t>Veranderingen aan de vraagzijde van de arbeidsmarkt</t>
  </si>
  <si>
    <t>8546glv3615_inkloonkvoordeel</t>
  </si>
  <si>
    <t>GVCIS</t>
  </si>
  <si>
    <t>8455glv3615_inkloonkvoordeel_20200309CBKV1</t>
  </si>
  <si>
    <t>Temporospatial analysis of MND in the Netherlands</t>
  </si>
  <si>
    <t>MAATWERK\8457\analyse_bestand_N07XX02_JJJJ_srt</t>
  </si>
  <si>
    <t>The Impact of a University: Evidence from Admissions Lotteries, and Implications for Higher Education in Europe</t>
  </si>
  <si>
    <t>UniSurrey, Economics</t>
  </si>
  <si>
    <t>DEELTIJDFACTORBAANBUS</t>
  </si>
  <si>
    <t>Erf- en Schenkbelasting</t>
  </si>
  <si>
    <t>English-taught Bachelor Programmes in Higher Education: Matters of Consequences</t>
  </si>
  <si>
    <t>Cursusdeelname</t>
  </si>
  <si>
    <t>MAATWERK\REGISTERINFO20112017ARBEIDSBELEMMERDEN</t>
  </si>
  <si>
    <t>Meer huiselijk geweld in criminele families?</t>
  </si>
  <si>
    <t>MAATWERK\8462 PersonenHG incidenten en activiteitenCBKV1</t>
  </si>
  <si>
    <t>MAATWERK\8462HG incidenten en activiteitenCBKV1</t>
  </si>
  <si>
    <t>MAATWERK\8462HG zelfstandige activiteitenCBKV1</t>
  </si>
  <si>
    <t>MAATWERK\8462PersonenHG zelfstandige activiteitenCBKV1</t>
  </si>
  <si>
    <t>Financiële positie van huishoudens tijdens de levensloop</t>
  </si>
  <si>
    <t>Economisch Instituut voor de Bouw</t>
  </si>
  <si>
    <t>Dementieregister</t>
  </si>
  <si>
    <t>Onderzoek Werkclub</t>
  </si>
  <si>
    <t>Maatschappelijke kosten en baten van reclasseren</t>
  </si>
  <si>
    <t>Hogeschool Saxion, Academie Bestuur, Recht &amp; Ruimte, Lectoraat Waarde van Reclasseren</t>
  </si>
  <si>
    <t>Integrate Onderzoek</t>
  </si>
  <si>
    <t>Re-designing public pension schemes to address heterogeneity in longevity</t>
  </si>
  <si>
    <t>UniSydney, University New South Wales Business School Centre in Population Ageing Research</t>
  </si>
  <si>
    <t>Terugbetaling Studiefinanciering</t>
  </si>
  <si>
    <t>8622_2_20_Schulden_ExStudenten_J2011_2019CBKV1</t>
  </si>
  <si>
    <t>8622DUO_CBS_2_19_j2011_j2015CBKV1_versl</t>
  </si>
  <si>
    <t>8622DUO_CBS_2_19_j2016_j2019CBKV1_versl</t>
  </si>
  <si>
    <t>STUDIESCHULD</t>
  </si>
  <si>
    <t>De ontwikkelingen in de sport 2020-2021</t>
  </si>
  <si>
    <t>Mulier Instituut</t>
  </si>
  <si>
    <t>VTO</t>
  </si>
  <si>
    <t>The effect of variation in curative treatments of esophageal and gastric cancer on progression free and cause-specific survival</t>
  </si>
  <si>
    <t>Nationaal Cohortonderzoek Onderwijs</t>
  </si>
  <si>
    <t>CBS sector SQS</t>
  </si>
  <si>
    <t>8068TOETSONDERDELEN2015tm2017_versl</t>
  </si>
  <si>
    <t>ACHTERGRONDSTABIELDEF</t>
  </si>
  <si>
    <t>ACHTERGRONDVARIABEL</t>
  </si>
  <si>
    <t>BRINDEF</t>
  </si>
  <si>
    <t>HAVOEXAMENVAKDEF</t>
  </si>
  <si>
    <t>HODEF</t>
  </si>
  <si>
    <t>MBODEF</t>
  </si>
  <si>
    <t>PODEF</t>
  </si>
  <si>
    <t>SODEF</t>
  </si>
  <si>
    <t>VAVODEF</t>
  </si>
  <si>
    <t>VMBOEXAMENVAKDEF</t>
  </si>
  <si>
    <t>VODEF</t>
  </si>
  <si>
    <t>VWOEXAMENVAKDEF</t>
  </si>
  <si>
    <t>WPOADVIESHERZ</t>
  </si>
  <si>
    <t>Telephone triage and follow-up in out-of-hours primary care: comparing trajectories for patients with high and low socioeconomic status</t>
  </si>
  <si>
    <t>Economische (on)zelfstandigheid vrouwen</t>
  </si>
  <si>
    <t>ARBEIDSAANBODPANEL</t>
  </si>
  <si>
    <t>TBO</t>
  </si>
  <si>
    <t>Policy Lab Project</t>
  </si>
  <si>
    <t>PGBWLZWMOJWTAB</t>
  </si>
  <si>
    <t>Gezondheidsonderzoek</t>
  </si>
  <si>
    <t>Staat van 'Decent work': bestaanszekerheidsrisico's aan de onderkant van de arbeidsmarkt</t>
  </si>
  <si>
    <t>MLKLASSEBUS</t>
  </si>
  <si>
    <t>ZEA</t>
  </si>
  <si>
    <t>Exploring clonal haematopoiesis and dynamics in (unexplained) anaemia of the elderly.</t>
  </si>
  <si>
    <t>Bijstandverdeelmodel 2020-2022</t>
  </si>
  <si>
    <t>BIJSTANDPERSOONJAARBEDRAGTAB</t>
  </si>
  <si>
    <t>MAATWERK_STANDPLAATSEN</t>
  </si>
  <si>
    <t>STANDPLAATSEN</t>
  </si>
  <si>
    <t>Maag-, darm- en leverkanker</t>
  </si>
  <si>
    <t>Internationalisering in Brainportregio</t>
  </si>
  <si>
    <t>CBS sector DBD</t>
  </si>
  <si>
    <t>MAATWERK\8499</t>
  </si>
  <si>
    <t>Techniekdocenten</t>
  </si>
  <si>
    <t>Hoogbegaafden</t>
  </si>
  <si>
    <t>Burgerschapscompetenties op VO-scholen</t>
  </si>
  <si>
    <t>Transgenderonderzoeken</t>
  </si>
  <si>
    <t>The Power of the Dutch Pill</t>
  </si>
  <si>
    <t>OnderzoekGezinsvorming</t>
  </si>
  <si>
    <t>Tijdreeks_1987-1995_id</t>
  </si>
  <si>
    <t>Onderzoek instroom en prestaties van studenten uit kwetsbare gezinnen op de EUR</t>
  </si>
  <si>
    <t>Rotterdams Instituut voor Sociaal-Wetenschappelijk BeleidsOnderzoek</t>
  </si>
  <si>
    <t>HARMONIzation and integrative analysis of regional, national and international Cohorts on primary Sjögren’s</t>
  </si>
  <si>
    <t>Het tijdsinterval tussen binnenkomst in Nederland en risico op psychose onder migranten</t>
  </si>
  <si>
    <t>MAATWERK\8517N05A_M</t>
  </si>
  <si>
    <t>Vroegtijdige aanpak van participatierisico’s onder jongeren Screening en vroegtijdige interventie</t>
  </si>
  <si>
    <t>Success of Individuals and Firms in the Netherlands</t>
  </si>
  <si>
    <t>Gezondheidsstatus Maastricht Heuvelland</t>
  </si>
  <si>
    <t>Monitoring sociale stijgers in NPRZ - Rotterdam</t>
  </si>
  <si>
    <t>Vitality Data Centre (VDC) project</t>
  </si>
  <si>
    <t>MAATWERK\OViN_WoonPC6</t>
  </si>
  <si>
    <t>Validatie van risicostratificatie tool ACG</t>
  </si>
  <si>
    <t>Migratie uit de Randstad: update 2020</t>
  </si>
  <si>
    <t>Rigo Research en Ontwikkeling</t>
  </si>
  <si>
    <t>Woonbeleid gemeenten en regio's</t>
  </si>
  <si>
    <t>Beleidsmonitoring en -onderzoek voor onderwijs en jeugd</t>
  </si>
  <si>
    <t>WW-risicoprofielen van zelfstandigen</t>
  </si>
  <si>
    <t>Kinderen van PIAAC-respondenten</t>
  </si>
  <si>
    <t>Ontwikkeling SBIR-deelpopulaties op outcome-indicatoren</t>
  </si>
  <si>
    <t>0-190812_Voorbereiding_SBIR_totaal_versl_A</t>
  </si>
  <si>
    <t>Leiden versoberingen in arbeidsongeschiktheidsregelingen tot meer werk?</t>
  </si>
  <si>
    <t>Achtergronden van regionale variatie in criminaliteit onder Turkse en Marokkaanse Nederlanders</t>
  </si>
  <si>
    <t>SHELTER; housing and housing finances</t>
  </si>
  <si>
    <t>DHS</t>
  </si>
  <si>
    <t>De mobiliteit van leraren</t>
  </si>
  <si>
    <t>Kinderen tweede generatie</t>
  </si>
  <si>
    <t>CBS sector SLO</t>
  </si>
  <si>
    <t>MAATWERK\WONINGMARKTPOSITIE20180101ANAV1</t>
  </si>
  <si>
    <t>MAATWERK\WONINGMARKTPOSITIE20170101ANAV1</t>
  </si>
  <si>
    <t>Deelname bevolkingsonderzoek baarmoederhalskanker</t>
  </si>
  <si>
    <t>8549Erasmus_MC_BVO_2014_2018_V1_DEF</t>
  </si>
  <si>
    <t>Kansrijke Start</t>
  </si>
  <si>
    <t>ILA_Basisbestand</t>
  </si>
  <si>
    <t>MAATWERK\ILA\Indicaties CIZ (LVG en VG)</t>
  </si>
  <si>
    <t>City Deal - vervolg</t>
  </si>
  <si>
    <t>8165Pleeglocaties</t>
  </si>
  <si>
    <t>8553200629LFO_drugslabs2015-2019</t>
  </si>
  <si>
    <t>8553200721UpdateAnalysebestandCDDrugs2015-2019</t>
  </si>
  <si>
    <t>855320200422CityDeal_HennepCBKV1</t>
  </si>
  <si>
    <t>8553BasisBestandBestuurderVerSti2017CBKV1</t>
  </si>
  <si>
    <t>8553BasisBestandBestuurderVerSti2018CBKV1</t>
  </si>
  <si>
    <t>8553BasisBestandBestuurderVerSti2019CBKV1</t>
  </si>
  <si>
    <t>8553BasisBestandVerSti2017CBKV1</t>
  </si>
  <si>
    <t>8553BasisBestandVerSti2018CBKV1</t>
  </si>
  <si>
    <t>8553BasisBestandVerSti2019CBKV1</t>
  </si>
  <si>
    <t>8553Citydeals2016CBKV2</t>
  </si>
  <si>
    <t>8553Citydeals2017CBKV2</t>
  </si>
  <si>
    <t>8553Citydeals2018CBKV2</t>
  </si>
  <si>
    <t>8553Citydeals2019CBKV2</t>
  </si>
  <si>
    <t>8553FIU_Totaal_excl567_AANGEPAST</t>
  </si>
  <si>
    <t>8553HennepIJsselland</t>
  </si>
  <si>
    <t>8553LifeEventsVoorbewerking</t>
  </si>
  <si>
    <t>HALT</t>
  </si>
  <si>
    <t>LOGIESINVENT</t>
  </si>
  <si>
    <t>MAATWERK\8165ABR</t>
  </si>
  <si>
    <t>MAATWERK\8165RDW</t>
  </si>
  <si>
    <t>MAATWERK\8553BKW1995-2018V1</t>
  </si>
  <si>
    <t>MAATWERK\CDD\190916UpdateAnalysebestandCDDrugs</t>
  </si>
  <si>
    <t>MAATWERK\CDD\AnalysebestandPk</t>
  </si>
  <si>
    <t>MAATWERK\EIGWONINGVRD2012-2017</t>
  </si>
  <si>
    <t>MAATWERK\IISWOZ</t>
  </si>
  <si>
    <t>NABIJHEIDVERKEERTAB</t>
  </si>
  <si>
    <t>UitstroomOM_delicten</t>
  </si>
  <si>
    <t>Visueel in beeld</t>
  </si>
  <si>
    <t>ZVWZZGTAB</t>
  </si>
  <si>
    <t>Bijstandsverdeelmodel Den Haag</t>
  </si>
  <si>
    <t>Gemeente Den Haag, Sociale zaken en Werkgelegenheidsprojecten, Team Onderzoek</t>
  </si>
  <si>
    <t>Arbeid en Scheiding</t>
  </si>
  <si>
    <t>Relatie non-Hodgkin lymfoom en (chronische) Q-koorts</t>
  </si>
  <si>
    <t>8560RAQkoorts20200325</t>
  </si>
  <si>
    <t>8560RAQkoorts20200519</t>
  </si>
  <si>
    <t>Leerlingvolgsysteem NCO</t>
  </si>
  <si>
    <t>Kwetsbaarheidsanalyse AFV-hypotheken</t>
  </si>
  <si>
    <t>AFM, Autoriteit Financiële Markten, team Risicoanalyse</t>
  </si>
  <si>
    <t>LLD_31DEC2016_DNB_CBKV2_DUMMYx</t>
  </si>
  <si>
    <t>Onderzoek participatiewet Rekenkamer Den Haag</t>
  </si>
  <si>
    <t>Rekenkamer Gemeente Den Haag</t>
  </si>
  <si>
    <t>8570Haags_Rekenkamer_jongerenbuitenbeeld</t>
  </si>
  <si>
    <t>MAATWERK\8570Haags_Rekenkamer</t>
  </si>
  <si>
    <t>The historical evolution of housing wealth and its distribution</t>
  </si>
  <si>
    <t>Universität Bonn, Institute for Macroeconomics and Econometrics (IME)</t>
  </si>
  <si>
    <t>SEP</t>
  </si>
  <si>
    <t>Onderzoeken of huishoudomvang en volgorde in het huishouden imvloed hebben op schoolprestaties</t>
  </si>
  <si>
    <t>The effect of mergers on market power: large scale evidence from the Netherlands</t>
  </si>
  <si>
    <t>Geschiktheid en clustering woningvoorraad voor gemeenten</t>
  </si>
  <si>
    <t>Informatiebehoefte corporatiesector</t>
  </si>
  <si>
    <t>Explica</t>
  </si>
  <si>
    <t>MoNUMENT (MigraNts'  Use of MEdication in the NeTherlands)</t>
  </si>
  <si>
    <t>Langetermijneffect onderzoek interventies voor kindermishandeling en predictieve validiteit LIJ voor toekomstige zorgwekkende opgroei- en opvoedingssituaties</t>
  </si>
  <si>
    <t>Verhuizingen naar inkomen</t>
  </si>
  <si>
    <t>Gemeente Den Haag, Stedelijke Ontwikkeling, Team Onderzoek</t>
  </si>
  <si>
    <t>MAATWERK\8585PersInDenHaag_20162017</t>
  </si>
  <si>
    <t>MAATWERK\8585PersInDenHaag_20172018</t>
  </si>
  <si>
    <t>Voorspellen behoefte voorzieningen Amsterdam</t>
  </si>
  <si>
    <t>Amsterdam Health &amp; Technology Institute (AHTI)</t>
  </si>
  <si>
    <t>Risico op veneuze en arteriële trombo-embolie in Nederland: redenen van ontstaan en behandelingsmogelijkheden</t>
  </si>
  <si>
    <t>MAATWERK\8587analyse_bestand_B01A_2018_srt</t>
  </si>
  <si>
    <t>MAATWERK\8587analyse_bestand_B01A_JJJJ_srt</t>
  </si>
  <si>
    <t>The effect of educational failure on mental health</t>
  </si>
  <si>
    <t>Research into the "Rotterdam Effect" in the UK-Netherlands trade</t>
  </si>
  <si>
    <t>National Institute of Economic and Social Research</t>
  </si>
  <si>
    <t>MAATWERK\NIESR_imports</t>
  </si>
  <si>
    <t>NIESR_confidentiality</t>
  </si>
  <si>
    <t>MAATWERK\NIESR_exports</t>
  </si>
  <si>
    <t>Projectplan trends en cijfers: tabellen niet westerse migratieachtergrond</t>
  </si>
  <si>
    <t>Ministerie van Binnenlandse Zaken en Koninkrijksrelaties DGOO/IFHR, Beleidsinformatie</t>
  </si>
  <si>
    <t>Functie en rol van uitzenden en positie uitzendwerkers</t>
  </si>
  <si>
    <t>Leerlingen in Limburg</t>
  </si>
  <si>
    <t>PIPPI-study</t>
  </si>
  <si>
    <t>Stapeling van schulden. Financiële kwetsbaarheid van starters op de woningmarkt</t>
  </si>
  <si>
    <t>Trends in de mobiliteit tussen opleidingstypes en sectoren</t>
  </si>
  <si>
    <t>Werkbeleving en personeelsbeleid in Zorg en Welzijn</t>
  </si>
  <si>
    <t>FCB Onderzoek</t>
  </si>
  <si>
    <t>AZWWGE</t>
  </si>
  <si>
    <t>AZWWNE</t>
  </si>
  <si>
    <t>Onderwijsstromen</t>
  </si>
  <si>
    <t>Social class and health inequalities – does capital make the difference?</t>
  </si>
  <si>
    <t>Geographical accessibility and educational choices</t>
  </si>
  <si>
    <t>Eerstelijnszorg en sociaal domein</t>
  </si>
  <si>
    <t>Taxes, Transfers, and Labor Supply in the Netherlands</t>
  </si>
  <si>
    <t>INT2008R</t>
  </si>
  <si>
    <t>INT</t>
  </si>
  <si>
    <t>Beschrijving en segmentering Wajongpopulatie</t>
  </si>
  <si>
    <t>Stichting voor Economisch Onderzoek Rotterdam BV</t>
  </si>
  <si>
    <t>Doelgroepenanalyse Laaggeletterden</t>
  </si>
  <si>
    <t>Effectmeting ZonMW Vakkundig aan het werk</t>
  </si>
  <si>
    <t>Epsilon Research</t>
  </si>
  <si>
    <t>Thuiswonende ouderen</t>
  </si>
  <si>
    <t>8610_202002251_lth</t>
  </si>
  <si>
    <t>8610_20200916_lth</t>
  </si>
  <si>
    <t>20200623_lth</t>
  </si>
  <si>
    <t>Gene-environment interplay in education: the impact of school quality and tracking</t>
  </si>
  <si>
    <t>Universiteit Utrecht</t>
  </si>
  <si>
    <t>Hoogst behaalde scholing na vroeggeboorte en/of groeivertraging</t>
  </si>
  <si>
    <t>Omzet- en werkgelegenheidsontwikkeling watersportbranche</t>
  </si>
  <si>
    <t>DRT_BEID</t>
  </si>
  <si>
    <t>Beleidsdoorlichting Studiefinanciering</t>
  </si>
  <si>
    <t>The relation between mental health and labour market participation of Syrian refugees</t>
  </si>
  <si>
    <t>Radboud Universiteit Nijmegen_Faculteit Management Wetenschappen</t>
  </si>
  <si>
    <t>Sociale normen omtrent deeltijdwerk van vrouwen</t>
  </si>
  <si>
    <t>Monitor Duurzame Inzetbaarheid ICT'ers</t>
  </si>
  <si>
    <t>Differentiatie in het  hoger onderwijs</t>
  </si>
  <si>
    <t>Regionale tekorten aan huisartsassistenten</t>
  </si>
  <si>
    <t>ScaleUp Dashboard</t>
  </si>
  <si>
    <t>Erasmus Universiteit Rotterdam_Rotterdam School of Management</t>
  </si>
  <si>
    <t>8628ece_kvk_beid_koppeling_versl</t>
  </si>
  <si>
    <t>ECE_micromateriaal.csv</t>
  </si>
  <si>
    <t>ECE_micromateriaal_20201001</t>
  </si>
  <si>
    <t>ECE_micromateriaal_minimaal10vte.csv</t>
  </si>
  <si>
    <t>ECE_micromateriaal_Topsector.csv</t>
  </si>
  <si>
    <t>ECE_micromateriaal_Topsector_10vte.csv</t>
  </si>
  <si>
    <t>ECE_micromateriaal_Topsector_20201001</t>
  </si>
  <si>
    <t>Effectiviteit van pertuzumab in de neoadjuvante behandeling van HER2-positief mammacarcinoom in een landelijk cohort.</t>
  </si>
  <si>
    <t>Het BEC-Cohort</t>
  </si>
  <si>
    <t>ADDITION; institutionalisering en mortaliteit bij Alzheimer</t>
  </si>
  <si>
    <t>Regionale analyse toeristische druk</t>
  </si>
  <si>
    <t>NBTC Holland Marketing</t>
  </si>
  <si>
    <t>LOGIESEXPLPROV</t>
  </si>
  <si>
    <t>LOGIESEXPLTG</t>
  </si>
  <si>
    <t>MAATWERK\8635Logies_NBTC_KoppeltabelCBKV2_versl</t>
  </si>
  <si>
    <t>Gebruik en niet-gebruik voorzieningen sociaal domein</t>
  </si>
  <si>
    <t>Inkomensalternatieven zzp-ers'</t>
  </si>
  <si>
    <t>MAATWERK\ZZP_inkomen</t>
  </si>
  <si>
    <t>Stapeling van regelingen en zorggebruik</t>
  </si>
  <si>
    <t>No more tulips in Moscow? How Dutch companies respond to sanctions in</t>
  </si>
  <si>
    <t>Studenten Medicijnen</t>
  </si>
  <si>
    <t>GEOPART</t>
  </si>
  <si>
    <t>Talent behouden en aantrekken</t>
  </si>
  <si>
    <t>Kennispunt Twente</t>
  </si>
  <si>
    <t>Arbeidsmigranten Zuid-Holland</t>
  </si>
  <si>
    <t>Toegang en verwijzingen in de jeugdzorg</t>
  </si>
  <si>
    <t>Verslavingsdiagnoses, middelengebruik en zorgconsumptie bij BIG-geregistreerde zorgverleners</t>
  </si>
  <si>
    <t>Suicidal acts in the Dutch context</t>
  </si>
  <si>
    <t>Tilburg University_Tilburg School of Social and Behavioral Sciences_Dept. Sociologie</t>
  </si>
  <si>
    <t>Studie- en locatiekeuze in het hoger onderwijs: focus op Zeeland</t>
  </si>
  <si>
    <t>Evaluatie bijstandsexperimenten</t>
  </si>
  <si>
    <t>Slachtoffer en dadermonitor Mensenhandel</t>
  </si>
  <si>
    <t>8658InstroomOM_delicten</t>
  </si>
  <si>
    <t>8658UitstroomOM_delicten</t>
  </si>
  <si>
    <t>8658AnalysebestandDadermonitorsMensenhandelSeksueelGeweldTegenKinderen</t>
  </si>
  <si>
    <t>De effecten van geslacht en gender op hulpzoekgedrag voor veelvoorkomende klachten</t>
  </si>
  <si>
    <t>Zij-instromers uit financiele sector</t>
  </si>
  <si>
    <t>Verdiepende analyses arbeidsmarktfraude: werknemers en werkgevers</t>
  </si>
  <si>
    <t>The Urban-Rural Divide in Political Attitudes</t>
  </si>
  <si>
    <t>CV_SLI</t>
  </si>
  <si>
    <t>NKO</t>
  </si>
  <si>
    <t>Pilotstudie alleenstaande minderjarige vreemdelingen (amv's)</t>
  </si>
  <si>
    <t>8663INDAsielaanvragenamv2014-2019</t>
  </si>
  <si>
    <t>8663INDVergunningenamv2013-2014</t>
  </si>
  <si>
    <t>8663MicrodatamoduleamvCBKV1</t>
  </si>
  <si>
    <t>8663Nidosvoogdij2014-2019</t>
  </si>
  <si>
    <t>Cities of Migration</t>
  </si>
  <si>
    <t>The Determinants of Child Mental Health and Wellbeing</t>
  </si>
  <si>
    <t>University of Princeton's Center for Health and Wellbeing</t>
  </si>
  <si>
    <t>8666analyse_bestand_atc4_2007</t>
  </si>
  <si>
    <t>8666analyse_bestand_atc4_2008</t>
  </si>
  <si>
    <t>8666analyse_bestand_atc4_2009</t>
  </si>
  <si>
    <t>8666analyse_bestand_atc4_2010</t>
  </si>
  <si>
    <t>8666analyse_bestand_atc4_2011</t>
  </si>
  <si>
    <t>8666analyse_bestand_atc4_2012</t>
  </si>
  <si>
    <t>8666analyse_bestand_atc4_2013</t>
  </si>
  <si>
    <t>8666analyse_bestand_atc4_2014</t>
  </si>
  <si>
    <t>8666analyse_bestand_atc4_2015</t>
  </si>
  <si>
    <t>8666analyse_bestand_atc4_2016</t>
  </si>
  <si>
    <t>8666analyse_bestand_atc4_2017</t>
  </si>
  <si>
    <t>8666analyse_bestand_atc4_2018</t>
  </si>
  <si>
    <t>8666analyse_bestand_atc4_2006</t>
  </si>
  <si>
    <t>De match tussen leidinggevende en medewerker in de publieke sector</t>
  </si>
  <si>
    <t>POMOStromenopdeArbeidsmarkt_Gediplomeerden</t>
  </si>
  <si>
    <t>POMOStromenopdeArbeidsmarkt_Instroom</t>
  </si>
  <si>
    <t>POMOStromenopdeArbeidsmarkt_Uitstroom</t>
  </si>
  <si>
    <t>POMOVerrijkingEindbestand_compleet</t>
  </si>
  <si>
    <t>Jongeren inclusief</t>
  </si>
  <si>
    <t>8684Studieschuld2018CBKV1</t>
  </si>
  <si>
    <t>Bonus income and household savings</t>
  </si>
  <si>
    <t>University of Toronto Department of Economics</t>
  </si>
  <si>
    <t>CCO</t>
  </si>
  <si>
    <t>MAATWERK\RDWmotorvoertuigenpark</t>
  </si>
  <si>
    <t>RDWmotorvoertuigenpark</t>
  </si>
  <si>
    <t>Regionale duurzaamheidmonitoring</t>
  </si>
  <si>
    <t>Het Pon</t>
  </si>
  <si>
    <t>WOZ</t>
  </si>
  <si>
    <t>Effect of conjugate vaccination on incidence, pathogen and serotype/serogroup distribution, and clinical outcomes of bacterial meningitis in the Netherlands</t>
  </si>
  <si>
    <t>Universitair Medisch Centrum_Afdeling Neurologie</t>
  </si>
  <si>
    <t>Zorgkloof</t>
  </si>
  <si>
    <t>Onderwijsverschillen</t>
  </si>
  <si>
    <t>Preventieve healthcheck</t>
  </si>
  <si>
    <t>LeadHealth</t>
  </si>
  <si>
    <t>Financien en criminaliteit</t>
  </si>
  <si>
    <t>Onderzoek en monitoring KNAP'RZ</t>
  </si>
  <si>
    <t>The Demography of Immigration and Crime</t>
  </si>
  <si>
    <t>The different costs and benefits of motherhood</t>
  </si>
  <si>
    <t>Deloitte State of the State: Ziekenhuisopnames</t>
  </si>
  <si>
    <t>Deloitte Consulting B.V. afdeling Analytics &amp; Information Management</t>
  </si>
  <si>
    <t>SUWI-Monitor</t>
  </si>
  <si>
    <t>Talentmonitor</t>
  </si>
  <si>
    <t>Deloitte State of the State: Risico's voor ZZP'ers</t>
  </si>
  <si>
    <t>Test NCO-databestand</t>
  </si>
  <si>
    <t>Nationaal Regieorgaan Onderwijsonderzoek (NRO-NWO)</t>
  </si>
  <si>
    <t>Voorschrijfgedrag van psychofaramca voor de behandeling van affectieve stoornissen</t>
  </si>
  <si>
    <t>Uitkomsten van Aortadissectie</t>
  </si>
  <si>
    <t>Deloitte State of the State: Schuldproblematiek</t>
  </si>
  <si>
    <t>Branche Monitoren</t>
  </si>
  <si>
    <t>870620200421Panteia_microdata</t>
  </si>
  <si>
    <t>Resources and performance of business ventures</t>
  </si>
  <si>
    <t>University of Bath, School of Management</t>
  </si>
  <si>
    <t>Energiegebruik voor en na het aanbrengen van energiebesparende maatregelen</t>
  </si>
  <si>
    <t>868220200515woonlasten_energiedata_ssb_inax_verhuiz</t>
  </si>
  <si>
    <t>8682enquete_resultaten_ssbCBKV1</t>
  </si>
  <si>
    <t>8682resultaten_verbruiken_NEF_ssbCBKV1</t>
  </si>
  <si>
    <t>8682woonlasten_energiedata_ssb20200402</t>
  </si>
  <si>
    <t>NEF8682CBKV1</t>
  </si>
  <si>
    <t>20064513EffectNEFV2_ssbCBKV1</t>
  </si>
  <si>
    <t>Postponement of death until symbolically meaningful occasions: The Christmas Spirit Study</t>
  </si>
  <si>
    <t>Effecten van individuele en intergenerationele levensgebeurtenissen op crimineel gedrag</t>
  </si>
  <si>
    <t>Het causale effect van een geneeskundeopleiding op psychische gezondheid</t>
  </si>
  <si>
    <t>Verkenning inschatting energetische uitgangssituatie woningen met CBS</t>
  </si>
  <si>
    <t>TNO Energy and Comfort Systems</t>
  </si>
  <si>
    <t>8717verrijkingWoON2018woning</t>
  </si>
  <si>
    <t>8717verrijkingWoON2018woning_deel2</t>
  </si>
  <si>
    <t>8717energiemodule2018V2</t>
  </si>
  <si>
    <t>Naar een Gezonde Generatie Onderzoek naar aangeboren afwijkingen in Limburg</t>
  </si>
  <si>
    <t>Onderwijs &amp; Arbeidsmarkt</t>
  </si>
  <si>
    <t>872020200421ABF_microdata</t>
  </si>
  <si>
    <t>8720ABF_microdata_2020Q1</t>
  </si>
  <si>
    <t>8720ABF20200326</t>
  </si>
  <si>
    <t>MAATWERK\7110AZWWNE_201905_maatwerk ABF</t>
  </si>
  <si>
    <t>Total Body Scan and Impact on Medical Spending</t>
  </si>
  <si>
    <t>Understanding Wealth and Income Inequality: Evidence from Career Changes</t>
  </si>
  <si>
    <t>University of Leicester Business School</t>
  </si>
  <si>
    <t>De  betekenis van becijferen bij examens in het VO</t>
  </si>
  <si>
    <t>Firms Going Digital: Evidence and Policy Implications</t>
  </si>
  <si>
    <t>Leibniz-Zentrum für Europäische Wirtschaftsforschung GmbH</t>
  </si>
  <si>
    <t>8723_FGD - ICT_2016_2017 CIS_2016_selected</t>
  </si>
  <si>
    <t>The unequal distribution of socioeconomic status and health among neighborhoods</t>
  </si>
  <si>
    <t>Single parents’ labour market position and the interplay between re-partnering and migration</t>
  </si>
  <si>
    <t>Evaluatie loting scholen</t>
  </si>
  <si>
    <t>Arbeidsmarkteffecten WMZZ</t>
  </si>
  <si>
    <t>Energy transition in the built environment: economic behaviour, smart technologies, fuel poverty</t>
  </si>
  <si>
    <t>Ministerie van Economische Zaken en Klimaat, Rijksdienst voor Ondernemend Nederland, Concernstaf</t>
  </si>
  <si>
    <t>Familiestructuur en de uitkomsten van kinderen</t>
  </si>
  <si>
    <t>Katholieke Universiteit Leuven</t>
  </si>
  <si>
    <t>Cumulative Incidence, Survival and Role of Immunosuppression in Metastatic Cutaneous Squamous Cell Carcinoma</t>
  </si>
  <si>
    <t>MultipliCity – Mapping the changes in the functional organisation of cities by analysing individuals’ activity space</t>
  </si>
  <si>
    <t>Sociale Staat van Nederland (SSN)</t>
  </si>
  <si>
    <t>8738_20200403Selectie2017</t>
  </si>
  <si>
    <t>De rol van sociaal kapitaal in de arbeidsmarktongelijkheid tussen mensen met- en zonder migratieachtergrond.</t>
  </si>
  <si>
    <t>CILS_WAVE1_TRACKDATA</t>
  </si>
  <si>
    <t>CILS_WAVE1</t>
  </si>
  <si>
    <t>CILS_WAVE2_TRACKDATA</t>
  </si>
  <si>
    <t>CILS_WAVE2</t>
  </si>
  <si>
    <t>CILS_WAVE3_TRACKDATA</t>
  </si>
  <si>
    <t>CILS_WAVE3</t>
  </si>
  <si>
    <t>CILS_WAVE4</t>
  </si>
  <si>
    <t>CILS_WAVE5</t>
  </si>
  <si>
    <t>CILS_WAVE6</t>
  </si>
  <si>
    <t>CILS_WAVE7</t>
  </si>
  <si>
    <t>CILS_KOPPEL</t>
  </si>
  <si>
    <t>Study supporting the evaluation of the European Globalisation Adjustment Fund</t>
  </si>
  <si>
    <t>Maatschappelijk inclusieve energietransitie</t>
  </si>
  <si>
    <t>Slachtofferimpact Cybercrime</t>
  </si>
  <si>
    <t>Open Universiteit</t>
  </si>
  <si>
    <t>DVC</t>
  </si>
  <si>
    <t>Bepalen van voorwaarden aan winstuitkering in de zorg</t>
  </si>
  <si>
    <t>PS_Zorgpraktijkenrevisie</t>
  </si>
  <si>
    <t>De relaties tussen zwangerschap, arbeids of uitkeringsituatie en ziekte.</t>
  </si>
  <si>
    <t>Ziekte en mortaliteit bij mensen met luchtweginfecties: redenen en risico's</t>
  </si>
  <si>
    <t>Analyses onderbouwing economische maatregelen agv Corona</t>
  </si>
  <si>
    <t>Monitor "Vitaminen, mineralen en paracetamol uit het pakket"</t>
  </si>
  <si>
    <t>Agro-nutri prijsmonitor</t>
  </si>
  <si>
    <t>Stichting Wageningen Research - Wageningen Economic Research</t>
  </si>
  <si>
    <t>875520200424PPI_data_LEI_microdata</t>
  </si>
  <si>
    <t>Monitor Palliatieve zorg</t>
  </si>
  <si>
    <t>Nederlandse Zorgautoriteit_Economisch Medisch Bureau</t>
  </si>
  <si>
    <t>Cardiotoxicity and second cancer risk after treatment for aggressive B-cell non-Hodgkin lymphoma (CRYSTAL cohort study)</t>
  </si>
  <si>
    <t>The influence of industry-related air pollution on dispensed medicine for chronic diseases</t>
  </si>
  <si>
    <t>Smart Start pilot gemeente Tilburg</t>
  </si>
  <si>
    <t>Growing rich: A comparison of the height-wage premium in Netherlands and Switzerland</t>
  </si>
  <si>
    <t>Radboud Universiteit Nijmegen</t>
  </si>
  <si>
    <t>8763EUSILC_2017_height_weight_v2</t>
  </si>
  <si>
    <t>Job Loss and Wealth</t>
  </si>
  <si>
    <t>Woonsituatie migranten</t>
  </si>
  <si>
    <t>Interactions in crime between immigrants and natives</t>
  </si>
  <si>
    <t>reisgedrag naar sector</t>
  </si>
  <si>
    <t>Ministerie van Infrastructuur en Waterstaat_Kennisinstituut voor Mobiliteitsbeleid</t>
  </si>
  <si>
    <t>8772OVIN_KiM</t>
  </si>
  <si>
    <t>Impact verkorten maximale uitzendduur</t>
  </si>
  <si>
    <t>Lerende evaluatie ‘Ontwikkelprogramma Participatiewet’ Pijnacker-Nootdorp</t>
  </si>
  <si>
    <t>The impact of the COVID-19 pandemic on the Dutch labour force</t>
  </si>
  <si>
    <t>Arbeidsmarkteffecten corona</t>
  </si>
  <si>
    <t>Utrechtse werkbeweging</t>
  </si>
  <si>
    <t>878220200528BIJSTANDCOHORTUTRECHT2016</t>
  </si>
  <si>
    <t>Trap je knap</t>
  </si>
  <si>
    <t>Inzicht in zorgconsumptie en doodsoorzaken bij hepatitis C patiënten met en zonder verslavingsdiagnose</t>
  </si>
  <si>
    <t>8786analyse_bestand_aanvulling_atc5_2014_srt</t>
  </si>
  <si>
    <t>8786analyse_bestand_aanvulling_atc5_2015_srt</t>
  </si>
  <si>
    <t>8786analyse_bestand_aanvulling_atc5_2016_srt</t>
  </si>
  <si>
    <t>8786analyse_bestand_aanvulling_atc5_2017_srt</t>
  </si>
  <si>
    <t>8786analyse_bestand_aanvulling_atc5_2018_srt</t>
  </si>
  <si>
    <t>8786analyse_bestand_atc5</t>
  </si>
  <si>
    <t>aanvullend_analyse_bestand_atc5</t>
  </si>
  <si>
    <t>8786analyse_bestand_aanvulling_atc5_2013_srt</t>
  </si>
  <si>
    <t>Onderzoek kenmerken architecten fase 3</t>
  </si>
  <si>
    <t>ArchitectenbestandAtelierRijksbouwmeester</t>
  </si>
  <si>
    <t>IJkingsfactoren t.b.v veldwerk</t>
  </si>
  <si>
    <t>8788ZELFSTGKMOATAB_GS</t>
  </si>
  <si>
    <t>Herziening van het toeslagenstelsel</t>
  </si>
  <si>
    <t>Benchmark Werkelijk Verbruik Utiliteit</t>
  </si>
  <si>
    <t>8792retail_ssb_metvboid_EML_gevalideerdCBKV2</t>
  </si>
  <si>
    <t>8792retail_ssb_metvboid_EML_gevalideerdCBKV1</t>
  </si>
  <si>
    <t>Noodzaak structurele middelen jeugdzorg</t>
  </si>
  <si>
    <t>Andersson Elffers Felix (AEF)</t>
  </si>
  <si>
    <t>Ontwikkeling van een Job-Exposure-Matrix in Nederland: de rol van werkomstandigheden op gezondheid (bijvoorbeeld) hart en vaat ziekten bij het verkrijgen of verliezen van werk</t>
  </si>
  <si>
    <t>(Borstkanker)sterfte naar verschillende wijze van detectie</t>
  </si>
  <si>
    <t>Gezondheidsverkenning Groningen</t>
  </si>
  <si>
    <t>Analyse instroom/uitstroom/doorstroom Wmo/Wlz</t>
  </si>
  <si>
    <t>Gemeente Den Haag, Onderwijs, Cultuur en Welzijn, Team Onderzoek</t>
  </si>
  <si>
    <t>Gezonde School</t>
  </si>
  <si>
    <t>Evaluatie STiP regeling Den Haag</t>
  </si>
  <si>
    <t>Invloed BCG vaccinatie op risico en verloop van COVID-19</t>
  </si>
  <si>
    <t>Monitor Ouderenhuisvesting</t>
  </si>
  <si>
    <t>Pension contributions (voortzetting van project 7458)</t>
  </si>
  <si>
    <t>MAATWERK\CollectieveData</t>
  </si>
  <si>
    <t>7458_IPO-2011-I56-toevoegingvoorCPBCBKV1</t>
  </si>
  <si>
    <t>DJI cohortstudie gedetineerden</t>
  </si>
  <si>
    <t>Dienst Justitiële Inrichtingen, Afdeling Beleid, Cluster Analyse</t>
  </si>
  <si>
    <t>Analysebestand DJI cohort schoon</t>
  </si>
  <si>
    <t>Armoedemonitor</t>
  </si>
  <si>
    <t>8805_Armoederegelingen_DataFryslanCBKV1</t>
  </si>
  <si>
    <t>8805_200110OnderzoeksbestandArmoedemonitor_herzien</t>
  </si>
  <si>
    <t>Effectiviteit re-integratiedienstverlening WW naar migratieachtergrond</t>
  </si>
  <si>
    <t>Verhuisstromen in Friesland</t>
  </si>
  <si>
    <t>Fries Sociaal Planbureau</t>
  </si>
  <si>
    <t>Verschil in Nederland 2019</t>
  </si>
  <si>
    <t>Onderzoek stille reserve vakdocenten vo</t>
  </si>
  <si>
    <t>CAOP</t>
  </si>
  <si>
    <t>vergelijking op economische indicatoren voor de metaalbewerking en de technische installatiebranche waarmee</t>
  </si>
  <si>
    <t>Bureau Bartels B.V.</t>
  </si>
  <si>
    <t>COVID-19 verspreidingsrisico analyse met Artificial Intelligence en Agent-Based Modelling</t>
  </si>
  <si>
    <t>Vrije Universiteit Amsterdam</t>
  </si>
  <si>
    <t>Monitor Jeugdcriminaliteit</t>
  </si>
  <si>
    <t>8814MaatwerkbestandMJC</t>
  </si>
  <si>
    <t>Segregatie en onderwijsuitkomsten</t>
  </si>
  <si>
    <t>Gelijke Kansen in Leiden op de kaart</t>
  </si>
  <si>
    <t>Clean policy and R&amp;D</t>
  </si>
  <si>
    <t>School of Management</t>
  </si>
  <si>
    <t>MILKBED</t>
  </si>
  <si>
    <t>Systematic Income Risk</t>
  </si>
  <si>
    <t>Financiële positie van huishoudens met een persoon met een beperking</t>
  </si>
  <si>
    <t>8825SZW_personen_met_beperking_2015</t>
  </si>
  <si>
    <t>Ontwikkeling arbeidsmarktindicatoren hoger onderwijs</t>
  </si>
  <si>
    <t>Stichting Studiekeuze123</t>
  </si>
  <si>
    <t>Nederlandse investeringen in ontwikkelingslanden</t>
  </si>
  <si>
    <t>Gevolgen coronacrisis voor arbeidsmigranten in land- en tuinbouw</t>
  </si>
  <si>
    <t>VRLGBANATIONALITEITBUS</t>
  </si>
  <si>
    <t>Aansluiting onderwijs arbeidsmarkt</t>
  </si>
  <si>
    <t>Landelijk Personenautoparkmodel</t>
  </si>
  <si>
    <t>Significance</t>
  </si>
  <si>
    <t>8835_park_extra_varCBKV1</t>
  </si>
  <si>
    <t>VERKEERSPRESTATIETAB</t>
  </si>
  <si>
    <t>Vindplaatsen verborgen armen</t>
  </si>
  <si>
    <t>Kenmerken personen doelgroepregister</t>
  </si>
  <si>
    <t>Ex ante analyse impact gebiedsgerichte aanpak leefbaarheid &amp; veiligheid</t>
  </si>
  <si>
    <t>SpringCo BV</t>
  </si>
  <si>
    <t>Smart Start pilot gemeente Goirle</t>
  </si>
  <si>
    <t>Does the lack of collateral prevent the creation and growth of small businesses?</t>
  </si>
  <si>
    <t>Een onverwachte valse start op de arbeidsmarkt</t>
  </si>
  <si>
    <t>Betaalruimte van Almeerse huishoudens in beeld brengen</t>
  </si>
  <si>
    <t>Gemeente Almere, afdeling Bestuursadvies en ondersteuning, team Onderzoek en Statistiek</t>
  </si>
  <si>
    <t>Globalization and Electoral Outcomes in Western</t>
  </si>
  <si>
    <t>University Zurich_Department of Economics</t>
  </si>
  <si>
    <t>(20 jaar) Zeeuwse Jeugdmonitor</t>
  </si>
  <si>
    <t>Beoordelingsinstrument terugverdientijd ambulante hande</t>
  </si>
  <si>
    <t>Beleggen voor  vermogensopbouw</t>
  </si>
  <si>
    <t>AFM, Autoriteit Financiële Markten, team Consumentengedrag</t>
  </si>
  <si>
    <t>Wegvallen eindtoets PO</t>
  </si>
  <si>
    <t>Verdeelmodel aantallen beschut werk</t>
  </si>
  <si>
    <t>Evaluatie Toegepast Onderzoek Organisaties (TO2)</t>
  </si>
  <si>
    <t>MAATWERK\WBSO2008</t>
  </si>
  <si>
    <t>MAATWERK\WBSO2009</t>
  </si>
  <si>
    <t>MAATWERK\WBSO2010</t>
  </si>
  <si>
    <t>MAATWERK\WBSO2011</t>
  </si>
  <si>
    <t>MAATWERK\WBSO2012</t>
  </si>
  <si>
    <t>MAATWERK\WBSO2013</t>
  </si>
  <si>
    <t>MAATWERK\WBSO2015</t>
  </si>
  <si>
    <t>MAATWERK\WBSO2016</t>
  </si>
  <si>
    <t>MAATWERK\WBSO2017</t>
  </si>
  <si>
    <t>MAATWERK\WBSO2018</t>
  </si>
  <si>
    <t>Beloningen onderwijs tov markt</t>
  </si>
  <si>
    <t>MicroDyn-project (FP6-028868 t.b.v. WIIW)</t>
  </si>
  <si>
    <t>Rijksuniversiteit Groningen</t>
  </si>
  <si>
    <t>Concor-project</t>
  </si>
  <si>
    <t>Firm performance and employee mobility</t>
  </si>
  <si>
    <t>Verschillen in buurtwelstand en SES in ZW-NED.</t>
  </si>
  <si>
    <t>EIB-ARBEIDSMARKTMODEL: Kwantificatie stromen bouwarbeidsmarkt - ww</t>
  </si>
  <si>
    <t>WW</t>
  </si>
  <si>
    <t>Verw. werkl.duur voor met werkloosheid bedreigde WW-gerecht.</t>
  </si>
  <si>
    <t>Beschrijving en prognoses arbeidsmarkt sectoren zorg en welzijn</t>
  </si>
  <si>
    <t>BIGBUS</t>
  </si>
  <si>
    <t>Innovation, Standardization and Regulation</t>
  </si>
  <si>
    <t>Technical University of Berlin</t>
  </si>
  <si>
    <t>Public health burden of pneumonia in the Netherlands - Indiv</t>
  </si>
  <si>
    <t>Financiële buffers en kwetsbaarheden Nederlandse huishoudens</t>
  </si>
  <si>
    <t>Kentallen gezondheid en zorggebruik</t>
  </si>
  <si>
    <t>Athero express</t>
  </si>
  <si>
    <t>Return to sender: Ethical behaviour, social class, and envelopes</t>
  </si>
  <si>
    <t>DCIS and hormonal treatment</t>
  </si>
  <si>
    <t>Field Experiment on Audit Rules with an Application to Long-Term Care</t>
  </si>
  <si>
    <t>Long term morbidity and mortality after thrombotic diseases</t>
  </si>
  <si>
    <t>URBAN40: Effecten van de wijkenaanpak</t>
  </si>
  <si>
    <t>Embodied technical change: Implications for sustainability</t>
  </si>
  <si>
    <t>High growth firms and job creation (DWB project)</t>
  </si>
  <si>
    <t>Aston University Birmingham</t>
  </si>
  <si>
    <t>The effect of criminal behavior on educational outcomes</t>
  </si>
  <si>
    <t>Innovatie MKB Levensmiddelenindustrie</t>
  </si>
  <si>
    <t>Wageningen University_Wageningen Economic Research</t>
  </si>
  <si>
    <t>Entrepreneurial success and failure</t>
  </si>
  <si>
    <t>Suitability of the house, wealth and long term care use/expenditures</t>
  </si>
  <si>
    <t>Groei Nederlandse MKB</t>
  </si>
  <si>
    <t>Project eenmeting fraude</t>
  </si>
  <si>
    <t>DWB_The Evaluation of the Effectiveness of the ALMP  for Young Unemployed People</t>
  </si>
  <si>
    <t>VSUP Novo Mesto, Faculty of Business and Management Sciences</t>
  </si>
  <si>
    <t>Lange-termijneffecten private werkervaringsplaats</t>
  </si>
  <si>
    <t>Tilburg University_Law School_ReflecT</t>
  </si>
  <si>
    <t>Onderwijs- en arbeidsmarktcarrière van leerlingen techniek</t>
  </si>
  <si>
    <t>Determinanten van jeugdwerkloosheid in NL tijdens de recessie</t>
  </si>
  <si>
    <t>Onderzoek marktopnamecapaciteit Alphen aan den Rijn</t>
  </si>
  <si>
    <t>De economische en sociale participatie van asielmigranten: een cohortonderzoek</t>
  </si>
  <si>
    <t>WODC_Asielmigranten9599_N91841</t>
  </si>
  <si>
    <t>Succesfactoren kennismigratie</t>
  </si>
  <si>
    <t>Leefbaarometer</t>
  </si>
  <si>
    <t>Onderwijs: Overgangen en aansluitingen</t>
  </si>
  <si>
    <t>Huizenprijzen en werkloosheidsduur</t>
  </si>
  <si>
    <t>Data Zorg op de Kaart en Wijkdashboard</t>
  </si>
  <si>
    <t>TNO Dutch Centre for Health Assets</t>
  </si>
  <si>
    <t>Inter-sectoral comovements of regional employment growth</t>
  </si>
  <si>
    <t>De invloed van sociale en fysische buurtkenmerken op de gezondheid van de buurtbewoners</t>
  </si>
  <si>
    <t>Optimaliseren van de systemische behandeling van HER2-positief mammacarcinoom</t>
  </si>
  <si>
    <t>Cohortonderzoek schoolloopbaan jongeren uit Rotterdam</t>
  </si>
  <si>
    <t>Verwey-Jonker Instituut</t>
  </si>
  <si>
    <t>MAATWERK\7793</t>
  </si>
  <si>
    <t>Economische aspecten sportaccommodaties - brancherapport accommodaties</t>
  </si>
  <si>
    <t>Explzwemsport</t>
  </si>
  <si>
    <t>The effect of automation on workers</t>
  </si>
  <si>
    <t>Economische kansen van cybersecurity</t>
  </si>
  <si>
    <t>Factsheet geletterdheid naar Stadsdeel gemeente Amsterdam</t>
  </si>
  <si>
    <t>Selecting indicators to measure energy poverty</t>
  </si>
  <si>
    <t>Trinomics Consulting</t>
  </si>
  <si>
    <t>Aangiftebereidheid van burgers</t>
  </si>
  <si>
    <t>Patterns from work to retirement</t>
  </si>
  <si>
    <t>Impact of TNO</t>
  </si>
  <si>
    <t>Association statin use after diagnosis and survival in colon cancer patients</t>
  </si>
  <si>
    <t>Passend deelonderzoek secundaire analyses</t>
  </si>
  <si>
    <t>WTOS (Wet tegemoetkoming onderwijsbijdrage en schoolkosten)</t>
  </si>
  <si>
    <t>Long term morbidity and health care consumption in childhood cancer survivors: the DCOG LATER national linkage study</t>
  </si>
  <si>
    <t>Dark number VOG</t>
  </si>
  <si>
    <t>Effectiviteit werking LKS en LDP</t>
  </si>
  <si>
    <t>APE Public Economics bv</t>
  </si>
  <si>
    <t>UWVTRAAGGTABULT</t>
  </si>
  <si>
    <t>Linkage IADB en Lifelines data</t>
  </si>
  <si>
    <t>Verlofregelingen</t>
  </si>
  <si>
    <t>Georganiseerde misdaad (intergenerationele aspecten)</t>
  </si>
  <si>
    <t>Vrije Universiteit Amsterdam_Faculteit der Rechtsgeleerdheid</t>
  </si>
  <si>
    <t>LWW_EU</t>
  </si>
  <si>
    <t>MBO Schoolverlaters 2016</t>
  </si>
  <si>
    <t>Stichting Samenwerking Beroepsonderwijs en Bedrijfsleven, team ABD</t>
  </si>
  <si>
    <t>Cohortstudie statushouders</t>
  </si>
  <si>
    <t>8167_01180717 Koppeling met Survey_unicode</t>
  </si>
  <si>
    <t>8167_01180830 Koppeling met Survey_utf8</t>
  </si>
  <si>
    <t>8167_statushouders_nsn2017_cbs_utf8_CBKV1</t>
  </si>
  <si>
    <t>8167Asielcohorten_SCP Survey</t>
  </si>
  <si>
    <t>8167_01180717 Koppeling met Survey_cp1252</t>
  </si>
  <si>
    <t>Meetinstrument bijstandsduur jongeren gemeente Rotterdam</t>
  </si>
  <si>
    <t>Substitutie in de ouderenzorg</t>
  </si>
  <si>
    <t>De Succesvoorspeller</t>
  </si>
  <si>
    <t>Hartzorg bij vrouwen die voor borstkanker worden of zijn behandeld</t>
  </si>
  <si>
    <t>Educational choices and health outcomes</t>
  </si>
  <si>
    <t>Entrepreneurial trajectories of young migrants in the Netherlands</t>
  </si>
  <si>
    <t>Het gebruik van beschermd wonen onder de Wmo</t>
  </si>
  <si>
    <t>MAATWERK\8333_GOvoorCBSCBKV1V12016</t>
  </si>
  <si>
    <t>Leefbaarheid Den Haag</t>
  </si>
  <si>
    <t>Onderzoeksbestand leefbaarheid netjes</t>
  </si>
  <si>
    <t>Policy lab Rotterdam</t>
  </si>
  <si>
    <t>Cross border mobility of EU self employed</t>
  </si>
  <si>
    <t>MAATWERK\8368ehb18018BUIT2014_2017CBKV1</t>
  </si>
  <si>
    <t>MAATWERK\8368ehb18018BUIT2014_2017stap2CBKV1</t>
  </si>
  <si>
    <t>MAATWERK\8368ehb18018NED2014_2017CBKV1</t>
  </si>
  <si>
    <t>MAATWERK\8368ehb18018NED2014_2017stap2CBKV1</t>
  </si>
  <si>
    <t>Prevalentieschatting Huiselijk Geweld en Kindermishandeling</t>
  </si>
  <si>
    <t>Moord en Doodslag in Nederland: Risicofactoren die gerelateerd zijn aan dodelijk geweld</t>
  </si>
  <si>
    <t>Universiteit Leiden_Institute of Security and Global Affaires</t>
  </si>
  <si>
    <t>Onderzoek woninginbraken Almere</t>
  </si>
  <si>
    <t>MAATWERK\VERDACHTEN</t>
  </si>
  <si>
    <t>8398VERDACHTEN</t>
  </si>
  <si>
    <t>Schoolverzuim</t>
  </si>
  <si>
    <t>Monitor Bedrijventerreinen Zuid-Holland, Noord-Holland en Flevoland</t>
  </si>
  <si>
    <t>Stichting Tympaan Instituut</t>
  </si>
  <si>
    <t>MAATWERK_LEEGSTANDMONITOR</t>
  </si>
  <si>
    <t>MAATWERK_LEEGSTAND</t>
  </si>
  <si>
    <t>Patiënten met complexe neurologische aandoeningen in de langdurige zorg: een prevalentiestudie op basis van big data</t>
  </si>
  <si>
    <t>OII</t>
  </si>
  <si>
    <t>WMO voorspelmodel</t>
  </si>
  <si>
    <t>Overgang PO-VO: wie weet het beter, de docent of de Centrale eindtoets</t>
  </si>
  <si>
    <t>NABIJHEIDGROENVOORZTAB</t>
  </si>
  <si>
    <t>NABIJHEIDONDERWIJSTAB</t>
  </si>
  <si>
    <t>Bankslapers in beeld</t>
  </si>
  <si>
    <t>Scheidslijnen voortgezet onderwijs</t>
  </si>
  <si>
    <t>Relating biomarkers to psychological and organizational members' mental health phenotypes</t>
  </si>
  <si>
    <t>WBSO doelgroepenanalyse</t>
  </si>
  <si>
    <t>MAATWERK\WBSO2004</t>
  </si>
  <si>
    <t>MAATWERK\WBSO2005</t>
  </si>
  <si>
    <t>MAATWERK\WBSO2006</t>
  </si>
  <si>
    <t>MAATWERK\WBSO2007</t>
  </si>
  <si>
    <t>WBSO2014</t>
  </si>
  <si>
    <t>Study on Methodology to Measure the Returns on Investment from Integrated Social Assistance Schemes (VT/2018/020) - case study NL</t>
  </si>
  <si>
    <t>ECORYS</t>
  </si>
  <si>
    <t>Genome-wide association study on income</t>
  </si>
  <si>
    <t>De gemengde stad</t>
  </si>
  <si>
    <t>Rekenkamer Metropool Amsterdam</t>
  </si>
  <si>
    <t>Evaluatie WWZ</t>
  </si>
  <si>
    <t>Invloed van migratieachtergrond WW-gerechtigden op netto-effectiviteit van dienstverlening UWV</t>
  </si>
  <si>
    <t>Leeftijdssegregatie in Nederland</t>
  </si>
  <si>
    <t>Eindevaluatie van het RIF</t>
  </si>
  <si>
    <t>Arbeidsmarktmonitor voor personeel in het hbo 2020</t>
  </si>
  <si>
    <t>Monitor economische betekenis van internationale organisaties</t>
  </si>
  <si>
    <t>Woonbehoefte WLZ</t>
  </si>
  <si>
    <t>Schademeldingen in Groningen</t>
  </si>
  <si>
    <t>Gezondheidsproblemen mensen met een lage SES</t>
  </si>
  <si>
    <t>Loopbaankeuzes en uitstroomkansen zorgsector</t>
  </si>
  <si>
    <t>Duurzame banen voor jongeren met psychische kwetsbaarheden: inzicht in effectieve jobcoaching</t>
  </si>
  <si>
    <t>Trimbos Instituut</t>
  </si>
  <si>
    <t>Economische ordening Amsterdamse toeristensector</t>
  </si>
  <si>
    <t>Kwetsbaarheid door de coronacrisis</t>
  </si>
  <si>
    <t>Weglek- of inverdieneffecten vanuit de WW, WIA, en de Ziektewet richting de toeslagenwet of de bijstand.</t>
  </si>
  <si>
    <t>Hybride Docent</t>
  </si>
  <si>
    <t>Woonruimte delen</t>
  </si>
  <si>
    <t>Monitor MKB-actieplan</t>
  </si>
  <si>
    <t>PS_ONROERENDGOED</t>
  </si>
  <si>
    <t>Impacts of peer effects on primary and secondary school performance</t>
  </si>
  <si>
    <t>8757GBAKINDERENVANDETWEEDEGENERATIE</t>
  </si>
  <si>
    <t>Inkomenspositie BBL-studenten</t>
  </si>
  <si>
    <t>Duurzame Inzetbaarheid Uitzendkrachten</t>
  </si>
  <si>
    <t>Evaluatie van penitentiaire arbeid</t>
  </si>
  <si>
    <t>Bureau Beke</t>
  </si>
  <si>
    <t>Jeugd_BVH</t>
  </si>
  <si>
    <t>Brede verkenning toegevoegde waarde ruimtevaart voor Nederland</t>
  </si>
  <si>
    <t>Onderzoek naar de betaalbaarheid van sociale huurwoningen van ProWonen</t>
  </si>
  <si>
    <t>Atrivé, Team Onderzoek</t>
  </si>
  <si>
    <t>Onderzoek 'Onderzoeks- en innovatie-ecosystemen'</t>
  </si>
  <si>
    <t>Innovation Dynamics</t>
  </si>
  <si>
    <t>Org. Capabillities and the Make or Buy Decision  R&amp;D</t>
  </si>
  <si>
    <t>Tilburg University</t>
  </si>
  <si>
    <t>Innovation, firm survival and growth</t>
  </si>
  <si>
    <t>Respiratoire mortaliteit Vlagtwedde Vlaardingen cohort</t>
  </si>
  <si>
    <t>Data visverwerkende industrie</t>
  </si>
  <si>
    <t>Balkan-onderzoek</t>
  </si>
  <si>
    <t>Invloed WWB op Bijstandlasten</t>
  </si>
  <si>
    <t>BUS_TRANS</t>
  </si>
  <si>
    <t>WIW</t>
  </si>
  <si>
    <t>Zorgbalans</t>
  </si>
  <si>
    <t>Trends en ontwikkelingen op de arbeidsmarkt van de TI</t>
  </si>
  <si>
    <t>Radboud Universiteit Nijmegen_Instituut voor Toegepaste Sociologie</t>
  </si>
  <si>
    <t>VO</t>
  </si>
  <si>
    <t>Vergrijzing en beperkingen</t>
  </si>
  <si>
    <t>Permanente beroepsbevolkingsstatistiek (EBB)</t>
  </si>
  <si>
    <t>Permanente Inkomensstatistiek (RIO)</t>
  </si>
  <si>
    <t>Evaluatie armoedemetingen</t>
  </si>
  <si>
    <t>Healthy ageing: geographic distance between parents and their adult children</t>
  </si>
  <si>
    <t>Childhood cancer survivors</t>
  </si>
  <si>
    <t>Dynamiek in geefgedrag</t>
  </si>
  <si>
    <t>Vrije Universiteit Amsterdam_Faculteit Sociale Wetenschappen</t>
  </si>
  <si>
    <t>Transities uitzendkrachten</t>
  </si>
  <si>
    <t>WUS</t>
  </si>
  <si>
    <t>ESS-net (Eurostat)</t>
  </si>
  <si>
    <t>Verdiepingsstudie WEA</t>
  </si>
  <si>
    <t>Influence of contextual conditions and migration on healthy</t>
  </si>
  <si>
    <t>Evaluatie van de WBSO</t>
  </si>
  <si>
    <t>Panteia_EIM</t>
  </si>
  <si>
    <t>Geslaagd in de stad</t>
  </si>
  <si>
    <t>Business models for Open Innovation</t>
  </si>
  <si>
    <t>CIS-regio</t>
  </si>
  <si>
    <t>Testosterone and the gender earnings gap</t>
  </si>
  <si>
    <t>Intelligence, education and health</t>
  </si>
  <si>
    <t>The Effect of HALT on Early School Leaving and Attaining a Starter Qualification</t>
  </si>
  <si>
    <t>Causes and consequences of rising life expectancy in the Netherlands</t>
  </si>
  <si>
    <t>Pension expectations</t>
  </si>
  <si>
    <t>Kernindicatoren op buurtniveau</t>
  </si>
  <si>
    <t>AUS</t>
  </si>
  <si>
    <t>Arbeidsmarkt ouderen</t>
  </si>
  <si>
    <t>BEONTTAB</t>
  </si>
  <si>
    <t>COLLONTTAB</t>
  </si>
  <si>
    <t>FAILONTTAB</t>
  </si>
  <si>
    <t>De Vernieuwingsimpuls</t>
  </si>
  <si>
    <t>Bevolkingskrimp en leefbaarheid</t>
  </si>
  <si>
    <t>Arbeidsmarktonderzoek</t>
  </si>
  <si>
    <t>The Dynamics of Social Assistance Benefit Receipt</t>
  </si>
  <si>
    <t>University of Oxford (UK)_Department of Economics</t>
  </si>
  <si>
    <t>Kosten van Verweduwing</t>
  </si>
  <si>
    <t>Huiselijk geweld</t>
  </si>
  <si>
    <t>Geslachtsspecifieke sterfte in kinderen</t>
  </si>
  <si>
    <t>Causal effect of a distance on propensity to work from home</t>
  </si>
  <si>
    <t>Unemployment after breast cancer</t>
  </si>
  <si>
    <t>Naar nationale veiligheidsindices</t>
  </si>
  <si>
    <t>Woningmarktanalyse</t>
  </si>
  <si>
    <t>Wie krijgt het profijt van het overheidsbeleid? Casus kinderopvang in Nederland</t>
  </si>
  <si>
    <t>Universiteit van Antwerpen</t>
  </si>
  <si>
    <t>Labour Mobility and Industry evolution</t>
  </si>
  <si>
    <t>Marktwerking op regionaal niveau</t>
  </si>
  <si>
    <t>ESS LAIT</t>
  </si>
  <si>
    <t>De representativiteit van het Lifelines cohort</t>
  </si>
  <si>
    <t>Retirement behavior and pension plan choices of Dutch Employees</t>
  </si>
  <si>
    <t>Selectieve migratie en onstaan gezondsheidsachterstand</t>
  </si>
  <si>
    <t>Modelling rainfall related damage in urban environments</t>
  </si>
  <si>
    <t>Verdeelmodel Participatiewet</t>
  </si>
  <si>
    <t>Jeugdzorgcliënten</t>
  </si>
  <si>
    <t>Verhuisanalyse gemeente Hollands Kroon</t>
  </si>
  <si>
    <t>ZorgAtlas 2013</t>
  </si>
  <si>
    <t>Invloed sociale veiligheid op gezondheid</t>
  </si>
  <si>
    <t>CAO-Koppeling aan NEA</t>
  </si>
  <si>
    <t>Analyse verhuisbewegingen Regio Alkmaar</t>
  </si>
  <si>
    <t>Woonvoorkeuren van internationale migranten</t>
  </si>
  <si>
    <t>Stapelingsmonitor en Monitor langdurige zorg</t>
  </si>
  <si>
    <t>Voorspellers van hulpafname en cliëntprofielen Slachtofferhulp Nederland</t>
  </si>
  <si>
    <t>Demografische/epidemiologische dynamiek van medicijngebruikers in Noord-Nederlan</t>
  </si>
  <si>
    <t>Evaluatie Rijksvaccinatieprogramma</t>
  </si>
  <si>
    <t>De onderkant van de arbeidsmarkt in 2020</t>
  </si>
  <si>
    <t>Het belang van clusters en netwerken voor de concurrentiepositie</t>
  </si>
  <si>
    <t>Vluchtelingenwerk Integratiebarometer 2014</t>
  </si>
  <si>
    <t>Uitvoering van de WW en WWB voor jongeren (18-27 jaar)</t>
  </si>
  <si>
    <t>Universiteit Maastricht</t>
  </si>
  <si>
    <t>Gezondheid en LeefOmstandigheden van de Bevolking van Eindhoven en omstreken</t>
  </si>
  <si>
    <t>Etnisch gerelateerde verschillen in de straftoemeting</t>
  </si>
  <si>
    <t>Sociale uitsluiting bij kinderen, armoede en internetgebruik</t>
  </si>
  <si>
    <t>Sociale werkvoorziening - Arbeidsomstandigheden van gedetacheerden</t>
  </si>
  <si>
    <t>Oorzaken &amp; achtergronden trends in recidivecijfers</t>
  </si>
  <si>
    <t>Waar komen leerlingen die praktijkonderwijs hebben gevolgd terecht?</t>
  </si>
  <si>
    <t>Sociale scheidslijnen in Nederland</t>
  </si>
  <si>
    <t>Koopkrachtontwikkeling van postactieven</t>
  </si>
  <si>
    <t>A comparison of physical activity, comorbidity and quality of life between OA pa</t>
  </si>
  <si>
    <t>Betaalbaarheid in de regio Rotterdam</t>
  </si>
  <si>
    <t>Effectonderzoek Startgroepen voor peuters</t>
  </si>
  <si>
    <t>Universiteit Twente_Behavioural, Management and Social Science</t>
  </si>
  <si>
    <t>Regional wage curve in the EU member states (DWB)</t>
  </si>
  <si>
    <t>University of Warsaw_faculty of economic sciences</t>
  </si>
  <si>
    <t>Innovation Award Research Impact: Measuring and Promoting Innovation</t>
  </si>
  <si>
    <t>COOL 5-18 oplevering 2014</t>
  </si>
  <si>
    <t>COOL 5-18basisbestanden</t>
  </si>
  <si>
    <t>Hervorming vermogensbelasting / box 3</t>
  </si>
  <si>
    <t>Buitenlandse seizoensarbeiders</t>
  </si>
  <si>
    <t>Lastendrukmodel</t>
  </si>
  <si>
    <t>De omvang van de flexibele schil in de sector metaal</t>
  </si>
  <si>
    <t>Woningbehoefteonderzoek Groningen-Assen</t>
  </si>
  <si>
    <t>Secundaire analyses Veiligheidsmonitor</t>
  </si>
  <si>
    <t>DSP-groep</t>
  </si>
  <si>
    <t>Innovativiteit topsectoren Zuid-Holland</t>
  </si>
  <si>
    <t>Energieonderzoek Centrum Nederland</t>
  </si>
  <si>
    <t>Typering ZZP´ers</t>
  </si>
  <si>
    <t>Investments in wind energy in the Netherlands</t>
  </si>
  <si>
    <t>Verschil theoretische en werkelijke energiebesparing in woningen</t>
  </si>
  <si>
    <t>Duurzaamheid schuldhulpverlening</t>
  </si>
  <si>
    <t>Ontwikkeling van de vraag naar en gebruik van logopedie</t>
  </si>
  <si>
    <t>Second opinion vernieuwde verdeelmodel voor de WWB</t>
  </si>
  <si>
    <t>Evaluatie Innovatiebox</t>
  </si>
  <si>
    <t>MAATWERK\topsectoren</t>
  </si>
  <si>
    <t>7731_Innovatiebox_VPB_NettoenVoortbrengingskosten</t>
  </si>
  <si>
    <t>Ouderenmishandeling</t>
  </si>
  <si>
    <t>Verkenning Woonzorgwijzer fase 1</t>
  </si>
  <si>
    <t>Determinants of prolonged work participation</t>
  </si>
  <si>
    <t>Ik start smart</t>
  </si>
  <si>
    <t>STUDIEBEURSJAARBEDRAGTAB</t>
  </si>
  <si>
    <t>Gevolgen belastinghervorming voor de detailhandel</t>
  </si>
  <si>
    <t>Sociaal-demografische kenmerken van jongeren die overlijden door zelfdoding</t>
  </si>
  <si>
    <t>Intra- en intergemeentelijke verhuizingen binnen de regio Noordoost Groningen</t>
  </si>
  <si>
    <t>Sociale Staat van Nederland 2015</t>
  </si>
  <si>
    <t>Braindrain Noord-Brabant (update)</t>
  </si>
  <si>
    <t>IVA Onderwijs</t>
  </si>
  <si>
    <t>Armoede en laaggeletterdheid</t>
  </si>
  <si>
    <t>Expertisecentrum beroepsonderwijs</t>
  </si>
  <si>
    <t>Adoption: Young offenders and school drop-outs</t>
  </si>
  <si>
    <t>Woningbehoefteonderzoek Kaag en Braassem</t>
  </si>
  <si>
    <t>Natuurlijk Kapitaal</t>
  </si>
  <si>
    <t>CBS sector ENR</t>
  </si>
  <si>
    <t>Segregatie in Nederland?</t>
  </si>
  <si>
    <t>COOL 5-18 oplevering 2015</t>
  </si>
  <si>
    <t>Kern- en performancedata nieuwe bedrijfstypen mkb</t>
  </si>
  <si>
    <t>Voortgang Vraag Aanbod Analyse Monitor: vernieuwing en uitbreiding</t>
  </si>
  <si>
    <t>Armoederaming</t>
  </si>
  <si>
    <t>Jeugdzorg regio Zuid-Oost Noord Brabant (ZOB)</t>
  </si>
  <si>
    <t>Sterfte aan hepatitis B en C</t>
  </si>
  <si>
    <t>Waaraan zijn Rotterdamse daklozen overleden in de periode 2000-2011?</t>
  </si>
  <si>
    <t>Kapitaalmarktanalyse voor innovatief mkb Noordvleugel</t>
  </si>
  <si>
    <t>Koppeling data Financieringsmonitor aan financiële statistieken</t>
  </si>
  <si>
    <t>Emancipatie in crisistijd</t>
  </si>
  <si>
    <t>Stromen analyse</t>
  </si>
  <si>
    <t>Wageningen University</t>
  </si>
  <si>
    <t>Duurzame inzetbaarheid van werknemers met een lage sociaaleconomische status</t>
  </si>
  <si>
    <t>Doorrekening gebruikelijkloonregeling</t>
  </si>
  <si>
    <t>Analyse leerlingstromen in het mbo in Amsterdam</t>
  </si>
  <si>
    <t>Monitoring en Evaluatie Jongeren op Gezond Gewicht (JOGG)</t>
  </si>
  <si>
    <t>HSMR</t>
  </si>
  <si>
    <t>Verschuivingen op de Nederlandse arbeidsmarkt</t>
  </si>
  <si>
    <t>VRLSRGPERSONENTAB</t>
  </si>
  <si>
    <t>SKION LATER tweede tumoren project vergelijkende survival</t>
  </si>
  <si>
    <t>Transities sociaaleconomische status (ex-)gedetineerden</t>
  </si>
  <si>
    <t>Modaal inkomen</t>
  </si>
  <si>
    <t>Meten is weten</t>
  </si>
  <si>
    <t>Ateno</t>
  </si>
  <si>
    <t>Lagged Duration Dependent Survival Analysis on the Same-Sex Partnership Formatio</t>
  </si>
  <si>
    <t>De invloed van borstsparende behandeling versus mastectomie op overleving van borstkanker</t>
  </si>
  <si>
    <t>Evaluatie MIT regeling</t>
  </si>
  <si>
    <t>MAATWERK\WBSO2014</t>
  </si>
  <si>
    <t>Overheadkosten van ziekenhuizen</t>
  </si>
  <si>
    <t>Verkenning van de Mogelijkheden voor het Gebruik van Sociaaleconomische Status als Basis van de Bekostiging van het Leerwegondersteunend Onderwijs en het Praktijkonderwijs</t>
  </si>
  <si>
    <t>Jonge werkenden</t>
  </si>
  <si>
    <t>Cultural and creative industries in pheripheral areas</t>
  </si>
  <si>
    <t>Bijstandsduur van Syrische en Eritrese vluchtelingen</t>
  </si>
  <si>
    <t>Ex post analyse verlaagd btw tarief arbeidsintensieve diensten</t>
  </si>
  <si>
    <t>Werkloosheid en baankansen van personen met en zonder startkwalificatie</t>
  </si>
  <si>
    <t>De marginale waarde van zorg in Nederland</t>
  </si>
  <si>
    <t>Onderzoek naar prijzen in Caribisch Nederland</t>
  </si>
  <si>
    <t>CPICN</t>
  </si>
  <si>
    <t>Loonverschillen markt en overheid</t>
  </si>
  <si>
    <t>Inkomenspositie ouderen</t>
  </si>
  <si>
    <t>30% regeling expats</t>
  </si>
  <si>
    <t>Professionals in de Maatschappelijke ondersteuning</t>
  </si>
  <si>
    <t>Verschillen in sportdeelname tussen steden</t>
  </si>
  <si>
    <t>Onderzoek profielen/zorgtrajecten cliënten</t>
  </si>
  <si>
    <t>Sectoranalyse croho-onderdeel onderwijs</t>
  </si>
  <si>
    <t>Nationale Prevalentiestudie Mishandeling van kinderen en huiselijk geweld (NPM2017)</t>
  </si>
  <si>
    <t>Effectiviteit van landbouwsteunmaatregelen</t>
  </si>
  <si>
    <t>Berenschot_Beleidsonderzoek en evaluatie Agroregelingen</t>
  </si>
  <si>
    <t>LANDBOUWTELLINGEN</t>
  </si>
  <si>
    <t>LBT</t>
  </si>
  <si>
    <t>Intergenerationele Overdracht in Georganiseerde Misdaad</t>
  </si>
  <si>
    <t>8073NSCReindbestanddaders</t>
  </si>
  <si>
    <t>8073NSCReindbestandreferentiepopulatie</t>
  </si>
  <si>
    <t>MAATWERK\8073180305NSCReindbestanddaders</t>
  </si>
  <si>
    <t>MAATWERK\8073NSCReindbestandreferentiepopulatie</t>
  </si>
  <si>
    <t>Bunching analyse huurtoeslag</t>
  </si>
  <si>
    <t>MAATWERK\8074beliHTKTZTV12011-2016</t>
  </si>
  <si>
    <t>MAATWERK\8074beliHTKTZTV12016-2017</t>
  </si>
  <si>
    <t>MAATWERK\IIVS</t>
  </si>
  <si>
    <t>Onderzoek verplaatsingsgedrag ouderen/mobiliteitsbeperkten</t>
  </si>
  <si>
    <t>Vestigingsgedrag en arbeidsmarktprestaties vluchtelingen</t>
  </si>
  <si>
    <t>Sterfte binnen 90 dagen na colonoscopie</t>
  </si>
  <si>
    <t>Energielabels onderwijs en gezondheid</t>
  </si>
  <si>
    <t>MAATWERK\KANTOOR_2016CBKV1</t>
  </si>
  <si>
    <t>RESTAURANTS_2016CBKV1</t>
  </si>
  <si>
    <t>Innovatie naar regio</t>
  </si>
  <si>
    <t>Rathenau Instituut</t>
  </si>
  <si>
    <t>Arbeidsmarkt technische functies</t>
  </si>
  <si>
    <t>Analyse lerarentekort en woningmarkt</t>
  </si>
  <si>
    <t>8115_KvKnrsZorgKinderopvang_versl</t>
  </si>
  <si>
    <t>Tijdelijke regeling leermiddelen MBO</t>
  </si>
  <si>
    <t>Evaluatie REmigratiewet</t>
  </si>
  <si>
    <t>Matching jongeren met arbeidsbeperkingen</t>
  </si>
  <si>
    <t>How Does Delayed Retirement Affect Health and Well-Being?</t>
  </si>
  <si>
    <t>Boston College, Center for Retirement Research</t>
  </si>
  <si>
    <t>Analyse subgroepen met niet-westerse migratieachtergrond</t>
  </si>
  <si>
    <t>Longitudinaal onderzoek groei en overleving van bedrijven</t>
  </si>
  <si>
    <t>LHBT-Monitor 2018</t>
  </si>
  <si>
    <t>De economische impact van arbeidsmigranten</t>
  </si>
  <si>
    <t>ISD Effectmeting</t>
  </si>
  <si>
    <t>Globalization and Integration</t>
  </si>
  <si>
    <t>Kansenongelijkheid: de Zaanse situatie</t>
  </si>
  <si>
    <t>Gemeente Zaanstad, Afdeling Auditing en Onderzoek, Team Onderzoek en Statistiek</t>
  </si>
  <si>
    <t>Gezondheid en participatie</t>
  </si>
  <si>
    <t>Wajong</t>
  </si>
  <si>
    <t>Project data analyse Oproepwerk</t>
  </si>
  <si>
    <t>MAATWERK\FLEXWERK</t>
  </si>
  <si>
    <t>Verhuizingen Den Haag</t>
  </si>
  <si>
    <t>8298PersInDenHaag20152016</t>
  </si>
  <si>
    <t>maatwerk\8298PersInDenHaag</t>
  </si>
  <si>
    <t>180209_Adressen_CIDCBKV1</t>
  </si>
  <si>
    <t>Arbeidsmarktonderzoek Schiphol 2016</t>
  </si>
  <si>
    <t>In- en uitstroom hbo-personeel</t>
  </si>
  <si>
    <t>MAATWERK\POLISJJJJCAO0625</t>
  </si>
  <si>
    <t>The associations of entering or leaving employment on mental and physical health:</t>
  </si>
  <si>
    <t>Onderzoek in- en uitstroom BW en MO</t>
  </si>
  <si>
    <t>Onderzoek expats/internationals in Den Haag en de regio Haaglanden</t>
  </si>
  <si>
    <t>Inkomens en betaalbaarheid</t>
  </si>
  <si>
    <t>Onderzoek ziekteverzuimduur</t>
  </si>
  <si>
    <t>Toekomst van Werk</t>
  </si>
  <si>
    <t>IBO Licht verstandelijk beperkten (LVB)</t>
  </si>
  <si>
    <t>Ministerie van Volksgezondheid Welzijn &amp; Sport, Directie MEVA, Afdeling Algemeen Economisch Beleid</t>
  </si>
  <si>
    <t>ILALongitudinale analyses LVB</t>
  </si>
  <si>
    <t>MAATWERK\ILA\Indicaties AO</t>
  </si>
  <si>
    <t>MAATWERK\ILA\Indicaties WSW</t>
  </si>
  <si>
    <t>MAATWERK\ILA\Longitudinale analyses NL</t>
  </si>
  <si>
    <t>Onderhoud AVI/SES risicoverevening</t>
  </si>
  <si>
    <t>Leefbaarometer 2018</t>
  </si>
  <si>
    <t>NABIJHEIDCULTUURTAB</t>
  </si>
  <si>
    <t>Analyse uitstroom gezinshuizen</t>
  </si>
  <si>
    <t>Risicoprofielen slachtoffers ouderenmishandeling</t>
  </si>
  <si>
    <t>Beleidsevaluatie NFIA</t>
  </si>
  <si>
    <t>8545NFIA_maatwerkbestand2008-2018_versl.sav</t>
  </si>
  <si>
    <t>8545extra_variabelen</t>
  </si>
  <si>
    <t>Sociaaleconomische gegevens tbv de verkeersmodellen van Rijkswaterstaat</t>
  </si>
  <si>
    <t>Onderzoek gemeentefonds onderdeel sociaal domein</t>
  </si>
  <si>
    <t>Functionerende markten</t>
  </si>
  <si>
    <t>Soc. backgr., educ. attainment &amp; labour market  integration</t>
  </si>
  <si>
    <t>Venture capital and innovation strategies</t>
  </si>
  <si>
    <t>Ziekteverzuim: prikkels en selectie</t>
  </si>
  <si>
    <t>PROTON-studie</t>
  </si>
  <si>
    <t>Vergrijzing en zorgkosten</t>
  </si>
  <si>
    <t>Psychiatrische aandoeningen in de GGZ en de oorzaak spec. st</t>
  </si>
  <si>
    <t>Integratie en huwelijken</t>
  </si>
  <si>
    <t>Vaststellen lange termijn schade borstkanker</t>
  </si>
  <si>
    <t>Transition from juvenile to adult criminal careers</t>
  </si>
  <si>
    <t>NEA en inkomen</t>
  </si>
  <si>
    <t>Niet-gebruik inkomensondersteunende maatregelen</t>
  </si>
  <si>
    <t>Transities in de huurmarkt</t>
  </si>
  <si>
    <t>Arbeidsomstandigheden en Mortaliteit</t>
  </si>
  <si>
    <t>Variatie in Levensloop Zorguitgaven</t>
  </si>
  <si>
    <t>VRLHUWELIJKSGESCHIEDENISBUS</t>
  </si>
  <si>
    <t>Migrant Diversity and Regional Disparity in Europe</t>
  </si>
  <si>
    <t>Alleenstaande ouders in de bijstand</t>
  </si>
  <si>
    <t>Sociale staat van het platteland</t>
  </si>
  <si>
    <t>POLS_SLI</t>
  </si>
  <si>
    <t>Het effect van inkomensschokken op het arbeidsaanbod</t>
  </si>
  <si>
    <t>EBB-REB</t>
  </si>
  <si>
    <t>Zorggebruik en mortaliteit bij reumatoide artritis</t>
  </si>
  <si>
    <t>Effectiviteit van Reintegratie in Relatie tot de regionale Arbeidsmarkt</t>
  </si>
  <si>
    <t>Wisselwerking tussen eerste- en tweedelijns zorg</t>
  </si>
  <si>
    <t>Sterfte en heropname na ziekenhuisopname</t>
  </si>
  <si>
    <t>Doodsoorzaken donoren</t>
  </si>
  <si>
    <t>De sociaaleconomische situatie van langdurig flexibele werknemers</t>
  </si>
  <si>
    <t>GIANTT</t>
  </si>
  <si>
    <t>Lange-termijneffecten van re-integratieondersteuning</t>
  </si>
  <si>
    <t>UWV_SIR</t>
  </si>
  <si>
    <t>Borstkanker sterfte</t>
  </si>
  <si>
    <t>Bedrijvendynamiek in Regio's en Clusters</t>
  </si>
  <si>
    <t>CBS sector EBH</t>
  </si>
  <si>
    <t>Inkomens- en vermogensposities van 65+’ers</t>
  </si>
  <si>
    <t>Firm Exit and Financial Constraints</t>
  </si>
  <si>
    <t>University of Lausanne Département d'écononnétrie et d'économie</t>
  </si>
  <si>
    <t>Hermes AIS (voor commerciële partijen)</t>
  </si>
  <si>
    <t>Vergelijking berekend en werkelijk energiegebruik gebouwen</t>
  </si>
  <si>
    <t>Veranderende huizenprijzen en spaargedrag</t>
  </si>
  <si>
    <t>Keuzemodellen van het Landelijk Model Systeem</t>
  </si>
  <si>
    <t>A Different Place for Different People? - Conditional neighbourhood effects on</t>
  </si>
  <si>
    <t>Luck or skill?</t>
  </si>
  <si>
    <t>University Admission Lotteries (DWB project until 1-3-2014)</t>
  </si>
  <si>
    <t>University of Essex (UK)</t>
  </si>
  <si>
    <t>Cause of Death among atherosclerotic patients</t>
  </si>
  <si>
    <t>Retirement</t>
  </si>
  <si>
    <t>Labor market outcomes</t>
  </si>
  <si>
    <t>CWI_NWW</t>
  </si>
  <si>
    <t>Wetenschap en arbeidsmarkt</t>
  </si>
  <si>
    <t>VIB-plus</t>
  </si>
  <si>
    <t>Adoption and Medication</t>
  </si>
  <si>
    <t>Employee mobility and organizational change</t>
  </si>
  <si>
    <t>Foreign Direct Investment and Entrepreneurship</t>
  </si>
  <si>
    <t>ABR_PAB</t>
  </si>
  <si>
    <t>Quality of care for ethnic minority patients with colorectal cancer in NL</t>
  </si>
  <si>
    <t>Determinanten van onderwijstransities</t>
  </si>
  <si>
    <t>7537diversmaatwerkexamencijfers</t>
  </si>
  <si>
    <t>Onderzoeksplan Programma EU-Arbeidsmigranten</t>
  </si>
  <si>
    <t>Cumulatie van decentrale voorzieningen en maatregelen</t>
  </si>
  <si>
    <t>Gemeente Utrecht, Afdeling Onderzoek</t>
  </si>
  <si>
    <t>Sociaal-ruimtelijke rechtvaardiging van de woningmarkt</t>
  </si>
  <si>
    <t>Rondkomen en gestandaardiseerd inkomen</t>
  </si>
  <si>
    <t>Arbeidsmarkt sector zorg en welzijn</t>
  </si>
  <si>
    <t>Prismant BV Onderzoeksafdeling</t>
  </si>
  <si>
    <t>Zorg, behandelingen en zorgkosten in de laatste 6 maanden van het leven</t>
  </si>
  <si>
    <t>Autobezit en autogebruik</t>
  </si>
  <si>
    <t>Verschillen jongens en meisjes in mbo en ho</t>
  </si>
  <si>
    <t>École Polytechnique Fédérale de Lausanne</t>
  </si>
  <si>
    <t>Beweeg- en sportgedrag bij chronische aandoeningen/beperkingen</t>
  </si>
  <si>
    <t>Verdeelsleutel inleenverbanden</t>
  </si>
  <si>
    <t>VRLNIKPBUS</t>
  </si>
  <si>
    <t>Ongelijkheid Metropoolregio Amsterdam (MRA)</t>
  </si>
  <si>
    <t>Productiestructuur bouwnijverheid</t>
  </si>
  <si>
    <t>The value of Energy-Efficiency in Dutch social housing</t>
  </si>
  <si>
    <t>SES in patients with hidradenitis suppurativa</t>
  </si>
  <si>
    <t>Methylfenidaat-/Risperidongebruik en schoolprestaties</t>
  </si>
  <si>
    <t>Chinese University of Hong Kong</t>
  </si>
  <si>
    <t>Gebruik Natuur en gezondheid</t>
  </si>
  <si>
    <t>Wageningen University_Wageningen Environmental Research</t>
  </si>
  <si>
    <t>Landelijke Monitor Populatiemanagement</t>
  </si>
  <si>
    <t>Omkering financiering kinderopvang</t>
  </si>
  <si>
    <t>Verschillen in schoolprestaties: rol van aanleg en woonomgeving</t>
  </si>
  <si>
    <t>Financiële beslissingen van huishoudens</t>
  </si>
  <si>
    <t>Dotterproject</t>
  </si>
  <si>
    <t>Differentiatie inschrijftarief huisartsen</t>
  </si>
  <si>
    <t>Onderzoek XML-Wegvervoer</t>
  </si>
  <si>
    <t>CBS sector SVV</t>
  </si>
  <si>
    <t>Bunching at Kink Points in the Dutch Tax System</t>
  </si>
  <si>
    <t>Universität Hohenheim Stuttgart</t>
  </si>
  <si>
    <t>Effect wetwijzigingen WW</t>
  </si>
  <si>
    <t>MKB investeringen in DGGF landen</t>
  </si>
  <si>
    <t>Levenslang leren en sectorale mobiliteit</t>
  </si>
  <si>
    <t>Inkomen en vermogen gedurende de pensioenperiode</t>
  </si>
  <si>
    <t>Gebruik van psychofarmaca onder etnische minderheden</t>
  </si>
  <si>
    <t>Inkomens- en vermogensontwikkeling middenklasse</t>
  </si>
  <si>
    <t>Sterfte onder Molukkers in Nederland</t>
  </si>
  <si>
    <t>Aard en omvang van huiselijk geweld, met name huiselijk geweld onder allochtonen</t>
  </si>
  <si>
    <t>Migratiediversiteit</t>
  </si>
  <si>
    <t>Sociaal-economische positie van Rotterdamse groepen</t>
  </si>
  <si>
    <t>Project BMKB</t>
  </si>
  <si>
    <t>Thermometer WSW</t>
  </si>
  <si>
    <t>Evaluatie Qredits</t>
  </si>
  <si>
    <t>De eerste lijn maakt het verschil. Zorglandschap en zorggebruik in een veranderende eerste lijn</t>
  </si>
  <si>
    <t>Sociaal-economisch brandrisico</t>
  </si>
  <si>
    <t>Veiligheidsregio Rotterdam-Rijnmond, Afdeling Onderzoek en Analyse</t>
  </si>
  <si>
    <t>WW-gebruik EU-migranten</t>
  </si>
  <si>
    <t>Armoederapport 2016</t>
  </si>
  <si>
    <t>The influence of school on the development of civic and citizenship competences</t>
  </si>
  <si>
    <t>Universiteit van Amsterdam</t>
  </si>
  <si>
    <t>Reumazorg in Nederland: Kengetallen en ontwikkeling</t>
  </si>
  <si>
    <t>De transitie van vmbo-basis naar mbo</t>
  </si>
  <si>
    <t>Profijt van de Overheid</t>
  </si>
  <si>
    <t>HJLKTAB</t>
  </si>
  <si>
    <t>Fysieke activiteitsniveau van borstkankerpatiënten, een vergelijking met de Nede</t>
  </si>
  <si>
    <t>Senioren en mensen met beperkingen op de woningmarkt</t>
  </si>
  <si>
    <t>Volatiliteit van inkomens en vermogens</t>
  </si>
  <si>
    <t>Afrondingsfase doorontwikkeling multiniveauverdeelmodel</t>
  </si>
  <si>
    <t>Chinese bedrijven en investeringen in Nederland</t>
  </si>
  <si>
    <t>Universiteit Leiden_Asia Centres_Faculteit Humanities</t>
  </si>
  <si>
    <t>Dynamiek van huurders</t>
  </si>
  <si>
    <t>Langer doorwerken met arbeidsbeperkingen</t>
  </si>
  <si>
    <t>Monitor Investeren in de toekomst</t>
  </si>
  <si>
    <t>Ruimtelijke structuur van Nederland: netwerken van socio-economische interacties</t>
  </si>
  <si>
    <t>University of Singapore, Humanities, Arts and Social Sciences</t>
  </si>
  <si>
    <t>Ongewenste effecten van de kostendelersnorm</t>
  </si>
  <si>
    <t>Werkende armen</t>
  </si>
  <si>
    <t>Trends in labour participation rate of older citizens with and without chronic health conditions</t>
  </si>
  <si>
    <t>Toegankelijkheid van het hoger beroepsonderwijs</t>
  </si>
  <si>
    <t>Langere termijn effecten IkStartSmart/IkgroeiSmart</t>
  </si>
  <si>
    <t>Arm-rijk verschillen in perinatale sterfte</t>
  </si>
  <si>
    <t>Ramingsmodel ANW</t>
  </si>
  <si>
    <t>Arbeidsmarktanalyse logistiek</t>
  </si>
  <si>
    <t>Optimalisering van de maatregel WerkLoont</t>
  </si>
  <si>
    <t>Individuele effect van het bivalente HPV vaccin</t>
  </si>
  <si>
    <t>Bedrijfskarakteristieken en instituties op kapitaalstructuur Nederlandse bedrijven</t>
  </si>
  <si>
    <t>Flexwerken en voorkeur eigenwoningbezit</t>
  </si>
  <si>
    <t>Risicofactoren van uitval en switchgedrag van de mbo-instroom in het hbo</t>
  </si>
  <si>
    <t>Regionale exportbelemmeringen voor Nederlandse bedrijven</t>
  </si>
  <si>
    <t>Aansluiting onderwijs-arbeidsmarkt in de chemiesector</t>
  </si>
  <si>
    <t>Overleving van therapie-gerelateerde gastrointestinale maligniteiten</t>
  </si>
  <si>
    <t>Productivity developments in Dutch and US Hospitals: A cross-national comparison</t>
  </si>
  <si>
    <t>Aangifte van slachtofferschap: politieregistraties vs slachtofferenquêtes</t>
  </si>
  <si>
    <t>ASTRID</t>
  </si>
  <si>
    <t>Universiteit Twente_Engineering Technology</t>
  </si>
  <si>
    <t>Kansen voor jongeren</t>
  </si>
  <si>
    <t>FRESHER H2020</t>
  </si>
  <si>
    <t>Institute National de la Santé et de la Recherche Médicinale</t>
  </si>
  <si>
    <t>Evaluatie ESB-regeling</t>
  </si>
  <si>
    <t>Nulmeting monitor Kennis-As Limburg</t>
  </si>
  <si>
    <t>Technopolis</t>
  </si>
  <si>
    <t>Labor market mobility and its connection with social networks</t>
  </si>
  <si>
    <t>Kansengelijkheid</t>
  </si>
  <si>
    <t>Neighborhood &amp; Costs (NeCo) - Neighborhood Characteristics on Health Care Costs</t>
  </si>
  <si>
    <t>7974APE_RVO_NNNN_BAS_2008CBKV1</t>
  </si>
  <si>
    <t>Kamerbewoning in Den Haag - herhalingsonderzoek</t>
  </si>
  <si>
    <t>Vervolgonderzoek LTV</t>
  </si>
  <si>
    <t>Omvang multiprobleemgezinnen op gemeenteniveau 2012-2014</t>
  </si>
  <si>
    <t>Sportdeelname en accommodatiegebruik in Limburg 2016</t>
  </si>
  <si>
    <t>Analyses IBO WIA</t>
  </si>
  <si>
    <t>Sociale Veerkracht</t>
  </si>
  <si>
    <t>Tilburg University_School of Economics and Management_Telos</t>
  </si>
  <si>
    <t>Evaluatie Fiscale Ondernemersregelingen</t>
  </si>
  <si>
    <t>Verdeelmodel participatiewet</t>
  </si>
  <si>
    <t>Leefbaarometer 2016</t>
  </si>
  <si>
    <t>Socio economic determinants as predictors of prolonged work participation until retirement</t>
  </si>
  <si>
    <t>Praktijkvariatie in de zorg</t>
  </si>
  <si>
    <t>Effectiviteit re-integratie gemeente Stichtse Vecht</t>
  </si>
  <si>
    <t>Actualisatie woonzorgwijzer</t>
  </si>
  <si>
    <t>Kosten en opbrengsten terugbrengen AOW-leeftijd naar 65 jaar</t>
  </si>
  <si>
    <t>Evaluatie SBIR regeling</t>
  </si>
  <si>
    <t>Bijstandsverdeelmodel 2018</t>
  </si>
  <si>
    <t>Sleutelmomenten jonge kind</t>
  </si>
  <si>
    <t>8046COOLGroep25KOHNSTAMM20101207CBKBasisbestandV1</t>
  </si>
  <si>
    <t>cool1gr2longitudinaalvoorCBS</t>
  </si>
  <si>
    <t>cool2gr2voorCBS</t>
  </si>
  <si>
    <t>cool3gr2voorCBS</t>
  </si>
  <si>
    <t>8046COOL258RinPBepalen201302CBKV1</t>
  </si>
  <si>
    <t>Experimenten voortijdig schoolverlaten</t>
  </si>
  <si>
    <t>City Rhythm</t>
  </si>
  <si>
    <t>Technische Universiteit Delft_Faculteit Techniek, Bestuur en Management</t>
  </si>
  <si>
    <t>Keuzevrijheid bij pensionering</t>
  </si>
  <si>
    <t>Evaluatie Energieregelingen</t>
  </si>
  <si>
    <t>8072_Data_innovatieregelingen_versl</t>
  </si>
  <si>
    <t>Diversiteit, aanmeldproces en studiesucces van studenten UU</t>
  </si>
  <si>
    <t>Berekening maat voor zwaarte schoolpopulatie t.b.v. de beoordeling van onderwijsresultaten PO</t>
  </si>
  <si>
    <t>Arbeidsmarkt LawFinance</t>
  </si>
  <si>
    <t>Kengetallen Factsheet MBO</t>
  </si>
  <si>
    <t>Transition between temporary contract or self-employment and permanent contract.</t>
  </si>
  <si>
    <t>Bergbeklimmers - Extreme stapelaars</t>
  </si>
  <si>
    <t>Toegankelijkheid van het Hoger Onderwijs: Over leenangst en selectie</t>
  </si>
  <si>
    <t>Predicting Obstetric and Offspring complications among Women with PCOS</t>
  </si>
  <si>
    <t>De Sociale Staat van Nederland</t>
  </si>
  <si>
    <t>Woonsituatie van kinderen na beëindiging van de uithuisplaatsing</t>
  </si>
  <si>
    <t>Evaluatie EU Landbouwsubsidies</t>
  </si>
  <si>
    <t>LSB</t>
  </si>
  <si>
    <t>Impact van gepromoveerden</t>
  </si>
  <si>
    <t>GPE</t>
  </si>
  <si>
    <t>Beleidsevaluatie ETS</t>
  </si>
  <si>
    <t>Seizoensinvloeden op mortaliteit van patienten met leukemie of solide tumoren</t>
  </si>
  <si>
    <t>Cliënten sociaal domein en zorggebruik</t>
  </si>
  <si>
    <t>Centrum Beleidsadviserend Onderzoek B.V.</t>
  </si>
  <si>
    <t>Firms, employees and the Dutch labor market</t>
  </si>
  <si>
    <t>Vaststellen bijstandsbudgetten 2018</t>
  </si>
  <si>
    <t>Competition and the labor share of income</t>
  </si>
  <si>
    <t>Opleidingsmonitor Flexbranche 2017</t>
  </si>
  <si>
    <t>Langer zelfstandig wonen</t>
  </si>
  <si>
    <t>Afstroom, schoolwisselingen en gebruik bovenschoolse voorzieningen</t>
  </si>
  <si>
    <t>READ URBAN</t>
  </si>
  <si>
    <t>Universiteit Leiden_Faculteit W&amp;N_The Leiden Institute of Advanced Computer Science</t>
  </si>
  <si>
    <t>Sterfte aan cardiovasculaire aandoeningen na bestraling voor Longkanker</t>
  </si>
  <si>
    <t>Demografie en woningmarkt</t>
  </si>
  <si>
    <t>Beroepen en opleidingen verpleegkundigen en verzorgenden</t>
  </si>
  <si>
    <t>Sociaal-economische doelgroepen/inkomensgroepen Limburg</t>
  </si>
  <si>
    <t>Het voorspellen van zelfredzaamheid</t>
  </si>
  <si>
    <t>GGD Hart voor Brabant Team Onderzoek</t>
  </si>
  <si>
    <t>8150_final_adults2012and2016CBKV1</t>
  </si>
  <si>
    <t>Duurzaam leren</t>
  </si>
  <si>
    <t>Mortaliteit in het Vlagtwedde/Vlaardingen cohort</t>
  </si>
  <si>
    <t>City Deal Drugs</t>
  </si>
  <si>
    <t>MAATWERK\CDD\RDW_park_tbv_zoo</t>
  </si>
  <si>
    <t>City Deal Financiele stromen en vastgoed</t>
  </si>
  <si>
    <t>MAATWERK\CDF\ABRMAATWERK</t>
  </si>
  <si>
    <t>Jeugdstelsel Rotterdam</t>
  </si>
  <si>
    <t>Entreetoets</t>
  </si>
  <si>
    <t>Estimating spatio-temporal urban demand profiles to support local energy transition</t>
  </si>
  <si>
    <t>Locatus</t>
  </si>
  <si>
    <t>De financiële haalbaarheid van binnenstedelijk bouwen</t>
  </si>
  <si>
    <t>Planbureau voor de Leefomgeving</t>
  </si>
  <si>
    <t>Effectiviteit wijkaanpak jongerenparticipatie Den Haag</t>
  </si>
  <si>
    <t>Het voorspellen van woonbehoeftes - Machine Learning</t>
  </si>
  <si>
    <t>The default American lifestyle tested in the Netherlands</t>
  </si>
  <si>
    <t>PoC CBS SURFSara</t>
  </si>
  <si>
    <t>SHOWCASE20170101ANAV1</t>
  </si>
  <si>
    <t>Evaluatie Innovatiekrediet 2012-2017</t>
  </si>
  <si>
    <t>EZKRVOInnovatiekrediet</t>
  </si>
  <si>
    <t>MAATWERK\EZKRVO\Innovatiekrediet</t>
  </si>
  <si>
    <t>Field of study choice in secondary school</t>
  </si>
  <si>
    <t>Armoedemonitor gemeente Eindhoven</t>
  </si>
  <si>
    <t>MAATWERK\Inkomenseindh</t>
  </si>
  <si>
    <t>Dynamiek in buurten Eigen Haard</t>
  </si>
  <si>
    <t>Herijking armoedegrens 2017-2018</t>
  </si>
  <si>
    <t>Schattingen omvang huiselijk geweld en kindermishandeling</t>
  </si>
  <si>
    <t>Intraval</t>
  </si>
  <si>
    <t>Voorspelmodel baanduur</t>
  </si>
  <si>
    <t>BAT datalab: MKB typologie</t>
  </si>
  <si>
    <t>Succesvol zelfstandig uit de WW II</t>
  </si>
  <si>
    <t>Personal Experience and Political Trust</t>
  </si>
  <si>
    <t>Mbo werkgeversonderzoek 2017</t>
  </si>
  <si>
    <t>MAATWERK\MWO</t>
  </si>
  <si>
    <t>Beleidsinformatie maatschappelijke profielen</t>
  </si>
  <si>
    <t>Verhuisbewegingen van kansarme en kansrijke groepen in krimp- en anticipeerregio's in Noord-Nederland</t>
  </si>
  <si>
    <t>Stichting CMO STAMM Groningen Drenthe, Team Onderzoek</t>
  </si>
  <si>
    <t>Kwalitatief woningbehoeftenonderzoek middensegment huur Nijmegen</t>
  </si>
  <si>
    <t>WOON_VERHUISMODULE</t>
  </si>
  <si>
    <t>Factsheet Speciaal Basisonderwijs</t>
  </si>
  <si>
    <t>Bijstandsverdeelmodel 2019</t>
  </si>
  <si>
    <t>Leerlingen met Syndroom van Down in passend onderwijs</t>
  </si>
  <si>
    <t>Evaluatie Valorisatieprogramma</t>
  </si>
  <si>
    <t>Arbeidssatisfactie bij stijgende pensioenleeftijd</t>
  </si>
  <si>
    <t>NHG</t>
  </si>
  <si>
    <t>Oorzaak en omvang van de schuldenproblematiek onder mensen met een bijstandsuitkering</t>
  </si>
  <si>
    <t>Wet tegemoetkomingen loondomein</t>
  </si>
  <si>
    <t>Zwangere onderwijsdeelnemers in het mbo</t>
  </si>
  <si>
    <t>8258MBO</t>
  </si>
  <si>
    <t>MAATWERK\8258MBO</t>
  </si>
  <si>
    <t>Armoede in Almere- op basis CBS data</t>
  </si>
  <si>
    <t>European University Institute Florence</t>
  </si>
  <si>
    <t>Woningmarktonderzoek Midden-Limburg</t>
  </si>
  <si>
    <t>Woonlastenonderzoek Drentse woningcorporaties</t>
  </si>
  <si>
    <t>Migratiemechanisme en migratie-effecten</t>
  </si>
  <si>
    <t>Uurlonen werknemers</t>
  </si>
  <si>
    <t>Toegankelijkheid en selectie aan de UvA</t>
  </si>
  <si>
    <t>Career profiles of the self-employed in the Netherlands</t>
  </si>
  <si>
    <t>Optimaliseren van de systemische behandeling van triple negatieve borstkanker</t>
  </si>
  <si>
    <t>Economische relaties tussen toplocaties REOS</t>
  </si>
  <si>
    <t>Rienstra Beleidsonderzoek en Beleidsadvies BV</t>
  </si>
  <si>
    <t>Structural reforms in The Netherlands 2013-2018</t>
  </si>
  <si>
    <t>Annual Report of European SMEs 2017/2018 - European Commission DG Growth. Special chapter on internationalisation</t>
  </si>
  <si>
    <t>London Economics</t>
  </si>
  <si>
    <t>Evaluatie WBSO/RDA</t>
  </si>
  <si>
    <t>Evaluatie Vroegefasefinanciering</t>
  </si>
  <si>
    <t>KplusV organisatieadvies BV</t>
  </si>
  <si>
    <t>EZKRVOVroegefasefinanciering</t>
  </si>
  <si>
    <t>Vaststellen bijstandsbudgetten 2019</t>
  </si>
  <si>
    <t>Het analyseren van de voorkeuren van Nederlanders voor het pensioen</t>
  </si>
  <si>
    <t>Onderzoek bestedingseffect kindregelingen</t>
  </si>
  <si>
    <t>Fiscale stromen BFIs</t>
  </si>
  <si>
    <t>Evaluatie wet op eindtoetsing</t>
  </si>
  <si>
    <t>Een beter bestaan</t>
  </si>
  <si>
    <t>Evaluatie Seed Capital-regeling, Groeifaciliteit &amp; Dutch Venture Initiative</t>
  </si>
  <si>
    <t>MAATWERK\EZKRVODVI</t>
  </si>
  <si>
    <t>MAATWERK\EZKRVOSEED Capital</t>
  </si>
  <si>
    <t>Achtergronden Schuldhulpverlening</t>
  </si>
  <si>
    <t>Onderzoek campagne Energiealarm</t>
  </si>
  <si>
    <t>Woonbond Kennis en Adviescentrum (WKA)</t>
  </si>
  <si>
    <t>Advanced Glycation Endproducts in Depression and Anxiety</t>
  </si>
  <si>
    <t>Lerarentekort</t>
  </si>
  <si>
    <t>COOL 5-18 Oplevering 2019</t>
  </si>
  <si>
    <t>Sociaal culturele Kaart</t>
  </si>
  <si>
    <t>Update Woonzorgwijzer</t>
  </si>
  <si>
    <t>Stichting In Fact</t>
  </si>
  <si>
    <t>ODF pilot TUD_OTB: Effects of spatial contextual characteristics at multiple scales on personal income for the full population of the Netherlands</t>
  </si>
  <si>
    <t>Ontwikkelingen arbeidsmarkt medisch domein</t>
  </si>
  <si>
    <t>Vernieuwing Incidentenstatistiek</t>
  </si>
  <si>
    <t>Instituut Fysieke Veiligheid</t>
  </si>
  <si>
    <t>maatwerk\8400incident</t>
  </si>
  <si>
    <t>maatwerk\8400inzet_eenheid</t>
  </si>
  <si>
    <t>maatwerk\8400inzet_karakteristiek</t>
  </si>
  <si>
    <t>maatwerk\8400kladblok</t>
  </si>
  <si>
    <t>maatwerk\8400melding</t>
  </si>
  <si>
    <t>maatwerk\8400status_hist</t>
  </si>
  <si>
    <t>The effects of a restorative justice program on educational outcomes and recidivism of juvenile offenders</t>
  </si>
  <si>
    <t>Monitor Statushouders</t>
  </si>
  <si>
    <t>Amoedemonitor Zaanstad 2017</t>
  </si>
  <si>
    <t>Verdieping Strategische Intelligentie Doelgroepen met CBS microdata</t>
  </si>
  <si>
    <t>Beleidsevaluatie Garantstelling Landbouw</t>
  </si>
  <si>
    <t>MAATWERK\GL_LBT</t>
  </si>
  <si>
    <t>Werk en geluk</t>
  </si>
  <si>
    <t>The associations of entering or leaving employment on mental and physical health:  fixed-effects regression analysis among older workers</t>
  </si>
  <si>
    <t>Werken en wonen in de kop van Noord Holland</t>
  </si>
  <si>
    <t>Wetenschappelijke Raad voor het Regeringsbeleid</t>
  </si>
  <si>
    <t>Effect verhoging AOW-leeftijd</t>
  </si>
  <si>
    <t>Neighborhood predictors of  immigration and social mobility</t>
  </si>
  <si>
    <t>Columbia University, Department of Psychology</t>
  </si>
  <si>
    <t>Smart start pilot Regio Brabant  'Kinderen Wonen Thuis'</t>
  </si>
  <si>
    <t>Energie Transitie gemeente Utrecht</t>
  </si>
  <si>
    <t>MAATWERK\Datakamp</t>
  </si>
  <si>
    <t>Evaluatie fiscale eigenwoningregeling</t>
  </si>
  <si>
    <t>MAATWERK\8489Sel_Meta_maatwerk_deel_1</t>
  </si>
  <si>
    <t>Evaluatie Wet Taaleis</t>
  </si>
  <si>
    <t>Evaluatie banenafspraak</t>
  </si>
  <si>
    <t>Panteia_Research voor Beleid</t>
  </si>
  <si>
    <t>Huishoudens in Nederland: Aantallen en kenmerken wat betreft hun financiële situatie</t>
  </si>
  <si>
    <t>Gevolgen eigen bijdragen systematiek</t>
  </si>
  <si>
    <t>8510_M3_EBWLZ_LEVERINGSVORM_peildatum_2016</t>
  </si>
  <si>
    <t>MAATWERK\8510_A1_GBA_2016_v3.1</t>
  </si>
  <si>
    <t>MAATWERK\8510_C1_inkomen_vermogen_2016_v3.1</t>
  </si>
  <si>
    <t>MAATWERK\8510_D1_ZG_ZVWKOSTEN_2016_v2.2</t>
  </si>
  <si>
    <t>MAATWERK\8510_D2_ZG_gebWMO_gebPGB_2016_v2.2</t>
  </si>
  <si>
    <t>MAATWERK\8510_M2_wijkverpleging_naar_zorgvorm_2016</t>
  </si>
  <si>
    <t>MAATWERK\8510_M4_EB_EIGEN_BIJDRAGES_peildatum_2016</t>
  </si>
  <si>
    <t>8510_M1_indicWlz_naar_ZZP_2016</t>
  </si>
  <si>
    <t>Inventarisatie Gymnasium/VWO afstroom: Amsterdam, Rotterdam en landelijk.</t>
  </si>
  <si>
    <t>Doelgroepenanalyse en customer journeys rechtsbijstand</t>
  </si>
  <si>
    <t>Migmot_onderzoeksbestand</t>
  </si>
  <si>
    <t>Schatten van buurt- en wijkprevalenties van gezondheidsdeterminanten in Noord-Brabant</t>
  </si>
  <si>
    <t>GGD West-Brabant Team Onderzoek</t>
  </si>
  <si>
    <t>Woningmarktonderzoek regio Noord-Veluwe</t>
  </si>
  <si>
    <t>Onderzoek VCMB</t>
  </si>
  <si>
    <t>Inverdieneffecten lagere AOW leeftijd</t>
  </si>
  <si>
    <t>SP, Wetenschappelijk Bureau</t>
  </si>
  <si>
    <t>AOTOTPERSOONMNDBEDRAGBUS</t>
  </si>
  <si>
    <t>Staat van mainport Rotterdam</t>
  </si>
  <si>
    <t xml:space="preserve">MinIW, Inspectie Leefomgeving en Transport, Informatieproducten en programmeren, Innovatie- en Data </t>
  </si>
  <si>
    <t>Relatie beroepen en sectoren naar opleidingsniveau</t>
  </si>
  <si>
    <t>Markt Monitor B.V.</t>
  </si>
  <si>
    <t>Oorzaken achterstand van WW-gerechtigden met een niet-westerse migratieachtergrond</t>
  </si>
  <si>
    <t>Effectmeting LIV</t>
  </si>
  <si>
    <t>MAATWERK\8546glv3615_inkloonkvoordeel_20190329101125CBKV1</t>
  </si>
  <si>
    <t>Secundaire Analyse 2019, Passend Onderwijs</t>
  </si>
  <si>
    <t>Smart Start pilot Gilze en Rijen</t>
  </si>
  <si>
    <t>Ervaren discriminatie 2019</t>
  </si>
  <si>
    <t>DDC-onderzoek cleantech</t>
  </si>
  <si>
    <t>8564_cleantech_abr_drt</t>
  </si>
  <si>
    <t xml:space="preserve"> Woningmarktopgave Krimpregio’s</t>
  </si>
  <si>
    <t>Verhuisbewegingen onderwijsdeelnemers</t>
  </si>
  <si>
    <t>Onderzoek vergoedingentabel bij energielabelsprongen</t>
  </si>
  <si>
    <t>Evaluatie Eurostars, Eureka Clusters en JTIs</t>
  </si>
  <si>
    <t>Inzicht in onderwijsstromen</t>
  </si>
  <si>
    <t>De Argumentenfabriek</t>
  </si>
  <si>
    <t>Zorggebruik personen met LVB</t>
  </si>
  <si>
    <t>Equalis Strategy &amp; Modelling BV</t>
  </si>
  <si>
    <t>8644NZR_client_2015-2017</t>
  </si>
  <si>
    <t>8644NZR_episode_2015-2017</t>
  </si>
  <si>
    <t>8644NZR_praktijk_2015-2017</t>
  </si>
  <si>
    <t>MAATWERK\Indicaties AO 2010-2014</t>
  </si>
  <si>
    <t>MAATWERK\Indicaties CIZ (LVG en VG) 2009-2016</t>
  </si>
  <si>
    <t>MAATWERK\Indicaties WSW 2000-2014</t>
  </si>
  <si>
    <t>Beloning specialisten bij het Rijk</t>
  </si>
  <si>
    <t>Armoedemonitor Den Haag</t>
  </si>
  <si>
    <t>8649_200225 Armoedemonitor NL</t>
  </si>
  <si>
    <t>8649_200208 Armoedemonitor NL</t>
  </si>
  <si>
    <t>Onderzoek POMO</t>
  </si>
  <si>
    <t>Kenmerken van bedrijven waar medewerkers huurtoeslag, zorgtoeslag en kindgebonden budget ontvangen</t>
  </si>
  <si>
    <t>Dubbele Kinderbijslag Intensieve Zorg</t>
  </si>
  <si>
    <t>Evaluatie van de Garantie Ondernemingsfinanciering (GO)</t>
  </si>
  <si>
    <t>FINMON</t>
  </si>
  <si>
    <t>Waarde van Cultuur</t>
  </si>
  <si>
    <t>Demografische ontwikkelingen</t>
  </si>
  <si>
    <t>Economische zelfstandigheid</t>
  </si>
  <si>
    <t>Kansrijk Armoede</t>
  </si>
  <si>
    <t>Innovatie en Transitie</t>
  </si>
  <si>
    <t>ICT en Complexe Waardensystemen (ICWAS)</t>
  </si>
  <si>
    <t>Future of Industry: regional perspectives</t>
  </si>
  <si>
    <t>TNO Bouw en Ondergrond</t>
  </si>
  <si>
    <t>Erasmus Global Offshoring Strategies Research</t>
  </si>
  <si>
    <t>Formele bescherming van innovaties</t>
  </si>
  <si>
    <t>Impact of breast cancer</t>
  </si>
  <si>
    <t>Physical Indicators 2009</t>
  </si>
  <si>
    <t>FEZ-analyses</t>
  </si>
  <si>
    <t>CWI_BEMIDDELING</t>
  </si>
  <si>
    <t>CWI_VERWIJZINGEN</t>
  </si>
  <si>
    <t>EBBVR</t>
  </si>
  <si>
    <t>PMU</t>
  </si>
  <si>
    <t>UWV_ACBWSW</t>
  </si>
  <si>
    <t>UWV_AG</t>
  </si>
  <si>
    <t>UWV_HSBNUL</t>
  </si>
  <si>
    <t>UWV_MIR</t>
  </si>
  <si>
    <t>UWV_SLAP</t>
  </si>
  <si>
    <t>UWV_TRAJECTEN</t>
  </si>
  <si>
    <t>UWV_WERKBEDRIJVEN-CONTACTEN</t>
  </si>
  <si>
    <t>UWV_WERKBEDRIJVEN-NWW</t>
  </si>
  <si>
    <t>UWV_WW-TRAJECTEN</t>
  </si>
  <si>
    <t>WIA</t>
  </si>
  <si>
    <t>Wage Structure, Raises and Mobility in the Netherlands</t>
  </si>
  <si>
    <t>Levensloop</t>
  </si>
  <si>
    <t>De ontwikkeling van inkomen, huizenbezit en vermogen (GAK)</t>
  </si>
  <si>
    <t>Innovatie en productiviteit</t>
  </si>
  <si>
    <t>Heterogeneous firms in Dutch trade (Internat. verwevenheid Ned. bedrijven)</t>
  </si>
  <si>
    <t>ABR_GPSKADER</t>
  </si>
  <si>
    <t>ABR_HABR</t>
  </si>
  <si>
    <t>Agglomeratie-effecten</t>
  </si>
  <si>
    <t>LSO</t>
  </si>
  <si>
    <t>Arbeidsongeschiktheid</t>
  </si>
  <si>
    <t>GBA_PARTNERS</t>
  </si>
  <si>
    <t>Baanomvang Vrouwen</t>
  </si>
  <si>
    <t>Dynamiek in de WW</t>
  </si>
  <si>
    <t>Innovation, HRM and turnover</t>
  </si>
  <si>
    <t>Dynamiek en Onderkant Arbeidsmarkt</t>
  </si>
  <si>
    <t>PROVIDI</t>
  </si>
  <si>
    <t>Vergelijking EBB-REB</t>
  </si>
  <si>
    <t>Etnische verschillen in Zorggebruik</t>
  </si>
  <si>
    <t>Vroege selectie in het voortgezet onderwijs</t>
  </si>
  <si>
    <t>Regionale arbeidsmarktdynamiek</t>
  </si>
  <si>
    <t>Incidentie en mortaliteit van acute en chron. pancreatitis</t>
  </si>
  <si>
    <t>De interactie tussen gezondheid en soc-econ positie en arbeidsmarktparticipatie</t>
  </si>
  <si>
    <t>Vrije Universiteit Amsterdam_School of Business and Economics_Netspar</t>
  </si>
  <si>
    <t>Healthy ageing and costs of healthcare use</t>
  </si>
  <si>
    <t>Nelson</t>
  </si>
  <si>
    <t>Verdeling uterusextirpatie</t>
  </si>
  <si>
    <t>Academisch Medisch Centrum Amsterdam_Afdeling Klinische Epidemiologie, Biostatistiek &amp; Bioinformatic</t>
  </si>
  <si>
    <t>House price risk in the Netherlands</t>
  </si>
  <si>
    <t>Spawning</t>
  </si>
  <si>
    <t>Dependencies in survival rates of couples and redistribution</t>
  </si>
  <si>
    <t>Overgewicht en Ziekteverzuim</t>
  </si>
  <si>
    <t>Startkwalificatie, voortijdig schoolverlaten en defensie</t>
  </si>
  <si>
    <t>DepreMI</t>
  </si>
  <si>
    <t>Walking the Innovation Tight-rope</t>
  </si>
  <si>
    <t>Employment, innovation and welfare</t>
  </si>
  <si>
    <t>The Diffusion of Energylabels in the Housing Market</t>
  </si>
  <si>
    <t>The Wealth distributions and Macroeconomics</t>
  </si>
  <si>
    <t>Univerity Yale_Department of Economics</t>
  </si>
  <si>
    <t>Veranderingen in functioneren na zorg bij ouderen</t>
  </si>
  <si>
    <t>Effect premiegroepen WW</t>
  </si>
  <si>
    <t>Uitstroom WW en WWB</t>
  </si>
  <si>
    <t>Interetnische attituden in etnisch gemengde  buurten</t>
  </si>
  <si>
    <t>LAS</t>
  </si>
  <si>
    <t>Firm survival and  location</t>
  </si>
  <si>
    <t>PrO  Loopbanen III</t>
  </si>
  <si>
    <t>Clientstromen in de SUWI-keten en meten effect van re-integr</t>
  </si>
  <si>
    <t>APO Arbeidsmarkt Prognoses Overijssel</t>
  </si>
  <si>
    <t>EURO-GBD-SE</t>
  </si>
  <si>
    <t>Neighbourhood Deprivation, Exit, and Voice: Searching for Me</t>
  </si>
  <si>
    <t>Overlevingskansen van snelgroeiende bedrijven</t>
  </si>
  <si>
    <t>Beloningsverschillen publieke en private sector</t>
  </si>
  <si>
    <t>Does Growth Hormone Replacement Therapy</t>
  </si>
  <si>
    <t>Effect of same-sex marriage laws on different-sex</t>
  </si>
  <si>
    <t>University Sherbrooke</t>
  </si>
  <si>
    <t>Long term follow-up of the Dutch bypass oral anticoagulants</t>
  </si>
  <si>
    <t>Gezondheid en schoolcarriere</t>
  </si>
  <si>
    <t>Arbeidsmarktinformatiesysteem</t>
  </si>
  <si>
    <t>MAATWERK\7110_output_ABF</t>
  </si>
  <si>
    <t>RAVTAB</t>
  </si>
  <si>
    <t>Future of Industry - Sector Scan</t>
  </si>
  <si>
    <t>TNO Inro</t>
  </si>
  <si>
    <t>SES en de verschillen in ziekte en sterfte</t>
  </si>
  <si>
    <t>Effectiviteit inzet CVRM in huisartsenpraktijk</t>
  </si>
  <si>
    <t>Analyse indicatoren schoolgewicht: Onderzoek naar de voorspellende waarde</t>
  </si>
  <si>
    <t>Inkomenseffecten van de overgang van BU naar Wtcg</t>
  </si>
  <si>
    <t>Arbeidsmarktmonitor ECABO 2010</t>
  </si>
  <si>
    <t>Prognosis of Clostridium difficile infected patients</t>
  </si>
  <si>
    <t>Determinanten van werkloosheid</t>
  </si>
  <si>
    <t>Waarom werken vrouwen niet?</t>
  </si>
  <si>
    <t>Innovation in the agrofood sector</t>
  </si>
  <si>
    <t>Eurohope</t>
  </si>
  <si>
    <t>Examining trends in affiliation to Islam and mosque attendance</t>
  </si>
  <si>
    <t>Achtergrondkenmerken fraudeonderzoeken</t>
  </si>
  <si>
    <t>Nationaal Prevalentie Onderzoek 2009</t>
  </si>
  <si>
    <t>Onderzoeksinstituut IVO</t>
  </si>
  <si>
    <t>SOA bij etnische groepen in Nederland</t>
  </si>
  <si>
    <t>Sociale netwerken, thuiszorg- en mantelzorggebruik bij allochtonen</t>
  </si>
  <si>
    <t>AMC follow-up onderzoek inzake premature artherosclerose (PAS)</t>
  </si>
  <si>
    <t>Energielabels en werkelijk energiegebruik</t>
  </si>
  <si>
    <t>Het effect van arbeidsmarktinstituties op de allocatie</t>
  </si>
  <si>
    <t>Epidemiological research on the relationship between the wor</t>
  </si>
  <si>
    <t>Academisch Ziekenhuis Maastricht_Epidemiologie</t>
  </si>
  <si>
    <t>Arbeidsmarkttrajecten van Uitkeringsgerechtigden</t>
  </si>
  <si>
    <t>Co-Development of ICT services by SMEs</t>
  </si>
  <si>
    <t>Technische Universiteit Eindhoven_Eindhoven Centre for Innovation</t>
  </si>
  <si>
    <t>Meervoudig productief</t>
  </si>
  <si>
    <t>Inkomens van ondernemers</t>
  </si>
  <si>
    <t>Self-employment as Pathway to Retirement in the Netherlands:</t>
  </si>
  <si>
    <t>Beloningsmaatregelen onderwijs</t>
  </si>
  <si>
    <t>OJO, Onderzoek Jeugd en Opgroeien (Samenwerking met CBS)</t>
  </si>
  <si>
    <t>Internationale migratie en lokale woningmarkt</t>
  </si>
  <si>
    <t>7205_111104Migmot_CRV2010V1</t>
  </si>
  <si>
    <t>Price responsiveness of different groups</t>
  </si>
  <si>
    <t>Fraude onderzoek</t>
  </si>
  <si>
    <t>Ontwikkeling besparingsgetallen voor energiebesparende maatregelen</t>
  </si>
  <si>
    <t>Werken als zefstandige vanuit een arbeidsbeperking en WW</t>
  </si>
  <si>
    <t>Van MBO naar arbeidsmarkt - aansluiting en rendement</t>
  </si>
  <si>
    <t>Aan de slag als zzp'er?</t>
  </si>
  <si>
    <t>Mobiliteit agrofoodclusters</t>
  </si>
  <si>
    <t>Onderzoek kostenstructuur per sector</t>
  </si>
  <si>
    <t>Impact assessments of participation in EUREKA</t>
  </si>
  <si>
    <t>Jaarrapport Integratie 2011</t>
  </si>
  <si>
    <t>Update verdringingseffecten MOE-landers</t>
  </si>
  <si>
    <t>Zorgatlas 2011</t>
  </si>
  <si>
    <t>Slachtofferonderzoek cybercrime</t>
  </si>
  <si>
    <t>DVS - Schatten keuzemodellen LMS</t>
  </si>
  <si>
    <t>COOL 5-18 oplevering 2011</t>
  </si>
  <si>
    <t>Geleidelijke pensionering</t>
  </si>
  <si>
    <t>Belemmeringen in productiviteit zakelijke dienstverlening</t>
  </si>
  <si>
    <t>Wat zijn de locatiepatronen van creatieve industrieën</t>
  </si>
  <si>
    <t>Woonsituatie en arbeidsaanbod</t>
  </si>
  <si>
    <t>Schumpeter I versus II project</t>
  </si>
  <si>
    <t>Zijn er inkomsten of niet</t>
  </si>
  <si>
    <t>Actuaristabel zittend wsw-bestand</t>
  </si>
  <si>
    <t>Investeringen MKB sectoren</t>
  </si>
  <si>
    <t>Recht doen aan superdiversiteit</t>
  </si>
  <si>
    <t>Labor Market Behavior Dutch Employees in Retirement</t>
  </si>
  <si>
    <t>Evaluatie Lerarenbeurs</t>
  </si>
  <si>
    <t>Doodsoorzaken niet-geopereerde vrouwen met mammacacrinoom</t>
  </si>
  <si>
    <t>Is hartfrequentie geassocieerd met mortaliteit in patienten</t>
  </si>
  <si>
    <t>Mortaliteit na cardiochirurgie in Nederland</t>
  </si>
  <si>
    <t>PrO IV: de zesde positie van de leerlingen met een PrO-beschikking</t>
  </si>
  <si>
    <t>Quality of life and time to death</t>
  </si>
  <si>
    <t>Snelgroeiende bedrijven</t>
  </si>
  <si>
    <t>Analyses voor bijdrage aan Jaarrapport Integratie (Samenwerking met CBS)</t>
  </si>
  <si>
    <t>Werken met een chronische longaandoening</t>
  </si>
  <si>
    <t>Extra risico om te sterven voor cancer survivors</t>
  </si>
  <si>
    <t>Evaluatie Wet participatieplaatsen</t>
  </si>
  <si>
    <t>Regionale Arbeidsmarktdata</t>
  </si>
  <si>
    <t>Financieringsgegevens MKB</t>
  </si>
  <si>
    <t>Bloedtransfusies</t>
  </si>
  <si>
    <t>Arbeidsmigratie</t>
  </si>
  <si>
    <t>Gewezen zelfstandigen</t>
  </si>
  <si>
    <t>Evaluatie REA regeling</t>
  </si>
  <si>
    <t>Evaluatie Deeltijd-WW</t>
  </si>
  <si>
    <t>Eerstelijns Psychologen</t>
  </si>
  <si>
    <t>EBB SBC-SOI</t>
  </si>
  <si>
    <t>Trendrapport Bewegen en Gezondheid</t>
  </si>
  <si>
    <t>Concurrentie op bedrijfstakniveau</t>
  </si>
  <si>
    <t>Nyenrode Business Universiteit</t>
  </si>
  <si>
    <t>Aannemen eerste personeelslid</t>
  </si>
  <si>
    <t>Regionale data vergrijzing en ondernemerschap</t>
  </si>
  <si>
    <t>Binden van ICT-medewerkers</t>
  </si>
  <si>
    <t>Bedrijfsontwikkeling etnische ondernemers</t>
  </si>
  <si>
    <t>CPI onderzoek 2012</t>
  </si>
  <si>
    <t>Tijdelijk Huisverbod</t>
  </si>
  <si>
    <t>Participatie-effect van de heffingskorting ICK</t>
  </si>
  <si>
    <t>Arbeidsrisico's buitenlanders</t>
  </si>
  <si>
    <t>Actieve ondernemingen en vestigingen</t>
  </si>
  <si>
    <t>Inkomen van ondernemers</t>
  </si>
  <si>
    <t>Studiebeurzen</t>
  </si>
  <si>
    <t>Voorspelbaar winstgevende verzekerden</t>
  </si>
  <si>
    <t>Kosten en baten van internationalisering in het HO</t>
  </si>
  <si>
    <t>Diabetes Screening Trial</t>
  </si>
  <si>
    <t>Doodsoorzaken veneuze trombose</t>
  </si>
  <si>
    <t>Loopbaanmonitor Onderwijs</t>
  </si>
  <si>
    <t>Discriminatie op de arbeidsmarkt</t>
  </si>
  <si>
    <t>Energiegebruik warmte en vervolg reële EPC</t>
  </si>
  <si>
    <t>Beloning van Ambtenaren</t>
  </si>
  <si>
    <t>Werk en Inkomen - programma Handhaving</t>
  </si>
  <si>
    <t>Doorstroom van excellente leerlingen</t>
  </si>
  <si>
    <t>LBOINNO (DWB project)</t>
  </si>
  <si>
    <t>Université de Caen Basse Normandie</t>
  </si>
  <si>
    <t>DINOCCA (DWB project)</t>
  </si>
  <si>
    <t>University of Zagreb_Economics and Business</t>
  </si>
  <si>
    <t>Follow-up GENDER studie</t>
  </si>
  <si>
    <t>Zorg zonder verblijf</t>
  </si>
  <si>
    <t>Gecombineerd onderzoek naar financieringsgegevens en aandelen van bepaalde groei</t>
  </si>
  <si>
    <t>COOL 5-18 oplevering 2012</t>
  </si>
  <si>
    <t>Smoking among migrants</t>
  </si>
  <si>
    <t>Universität Bielefeld</t>
  </si>
  <si>
    <t>Overlijden na een beroerte op jonge leeftijd</t>
  </si>
  <si>
    <t>Team start-ups</t>
  </si>
  <si>
    <t>Topsectoren</t>
  </si>
  <si>
    <t>Effectiviteit re-integratiemaatregelen Gemeente Den Haag</t>
  </si>
  <si>
    <t>In-/uitstroom technisch personeel</t>
  </si>
  <si>
    <t>Evaluatie Innovatiekrediet en Uitdagerskrediet voor EL&amp;I</t>
  </si>
  <si>
    <t>Mobiliteit van technici</t>
  </si>
  <si>
    <t>Prestaties en loopbanen van zorgleerlingen in Nederland</t>
  </si>
  <si>
    <t>Offshoring and firm performance in the Netherlands</t>
  </si>
  <si>
    <t>Werkgelegenheidseffecten diverse NL F-35 scenario’s</t>
  </si>
  <si>
    <t>Effect deelname ESF-trajecten op strafrechtelijke recidive</t>
  </si>
  <si>
    <t>Provider profiling using routine administrative hospital data versus clinical da</t>
  </si>
  <si>
    <t>Resultatenrekeningen MKB-sectoren</t>
  </si>
  <si>
    <t>Kenniscentra Nederland</t>
  </si>
  <si>
    <t>De kosten en baten van bewegen tijdens het werk</t>
  </si>
  <si>
    <t>Onderwijspersoneel MBO</t>
  </si>
  <si>
    <t>Onderzoek volgsysteem effecten inburgering op participatie</t>
  </si>
  <si>
    <t>7429_121210effecten_inburgering</t>
  </si>
  <si>
    <t>Bovenwettelijke cao-aanvullingen</t>
  </si>
  <si>
    <t>Investeringsrekening 2010</t>
  </si>
  <si>
    <t>Woongedrag en zorggebruik ouderen met CAK-gegevens</t>
  </si>
  <si>
    <t>Vertrouwen in de politie: Trends en verklaringen</t>
  </si>
  <si>
    <t>Flexbarometer</t>
  </si>
  <si>
    <t>Evaluatie ouderschapsplan, eerste bevindingen</t>
  </si>
  <si>
    <t>Effecten van Het Nieuwe Werken op congestie</t>
  </si>
  <si>
    <t>Responding to demands of environmental impact reduction: the moderating role of</t>
  </si>
  <si>
    <t>Recente ontwikkelingen in het zorggebruik</t>
  </si>
  <si>
    <t>De invloed van sociale zekerheidsbijdragen en belastingen op lonen en participatie</t>
  </si>
  <si>
    <t>Onderzoek sportdeelname mensen met een handicap 2013</t>
  </si>
  <si>
    <t>Overlijden na chronische hepatitis B en C</t>
  </si>
  <si>
    <t>R&amp;D uitgaven in NL van Nederlandse en buitenlandse bedrijven</t>
  </si>
  <si>
    <t>Institute for Prospective Technological Studies</t>
  </si>
  <si>
    <t>Sectoranalyse</t>
  </si>
  <si>
    <t>De effectiviteit van de ISD (Maatregel Inrichting Stelselmatige Daders)</t>
  </si>
  <si>
    <t>Jaarrapport Integratie 2013</t>
  </si>
  <si>
    <t>MKB en Topsectoren</t>
  </si>
  <si>
    <t>Starters Leiden</t>
  </si>
  <si>
    <t>Evaluatie Innovatie en R&amp;D</t>
  </si>
  <si>
    <t>CPI-onderzoek 2013</t>
  </si>
  <si>
    <t>7499CPI</t>
  </si>
  <si>
    <t>Financieringsmonitor</t>
  </si>
  <si>
    <t>Do microbleeds predict stroke in Alzheimer's disease? (MISTRAL)</t>
  </si>
  <si>
    <t>KPI's Controlegroep Programma Groeiversneller</t>
  </si>
  <si>
    <t>Trendanalyse van ernstige arbeidsongevallen 2013</t>
  </si>
  <si>
    <t>Outcomemonitor Wijkenaanpak</t>
  </si>
  <si>
    <t>Evaluatie EUREKA / Eurostars 2008-2012</t>
  </si>
  <si>
    <t>Omvang en structuur van het MKB</t>
  </si>
  <si>
    <t>Labor market for Accountants in the Netherlands</t>
  </si>
  <si>
    <t>Kwantitatieve gegevens effecten uitsluiting derde pijler pensioen van vermogens</t>
  </si>
  <si>
    <t>Maatschappelijke effecten voor gezinnen met kinderen</t>
  </si>
  <si>
    <t>Het succes van werkhervatting als zelfstandige vanuit de WW</t>
  </si>
  <si>
    <t>Sociaal-economische segregatie in het basisonderwijs</t>
  </si>
  <si>
    <t>Monitor vrouwelijk en etnisch ondernemerschap</t>
  </si>
  <si>
    <t>Arbeidsmarktanalyse Veiligheid &amp; Justitie</t>
  </si>
  <si>
    <t>Cao's van de toekomst</t>
  </si>
  <si>
    <t>Snelle groeiers</t>
  </si>
  <si>
    <t>Branches en data</t>
  </si>
  <si>
    <t>Strategisch onderzoek</t>
  </si>
  <si>
    <t>Bedrijfslevenbeleid</t>
  </si>
  <si>
    <t>Panteia</t>
  </si>
  <si>
    <t>Toeslagregelingen</t>
  </si>
  <si>
    <t>De aantrekkingskracht van diversiteit in het management</t>
  </si>
  <si>
    <t>Analyse uitkeringsafhankelijkheid</t>
  </si>
  <si>
    <t>Nationaal Programma op Rotterdam-Zuid</t>
  </si>
  <si>
    <t>Onderzoek naar auteursrechtrelevante sectoren</t>
  </si>
  <si>
    <t>Work-to-Retirement Trajectories in a Changing Institutional Environment (DWB)</t>
  </si>
  <si>
    <t>University of Tampere, Department of Social Sciences and Humanities</t>
  </si>
  <si>
    <t>Kansen instromende allochtone jongeren in MBO BBL</t>
  </si>
  <si>
    <t>Depressie en angst na een hartaanval en relatie met cadiale prognose</t>
  </si>
  <si>
    <t>Arbeidsmigratie en verschuivingen op de Nederlandse arbeidsmarkt</t>
  </si>
  <si>
    <t>Verdeelmodel Participatiebudget</t>
  </si>
  <si>
    <t>Adults with low or no qualifications in lifelong learning: a Dutch study (DWB)</t>
  </si>
  <si>
    <t>University of Edinburgh</t>
  </si>
  <si>
    <t>Verhuisgedrag van Autochtone Nederlanders</t>
  </si>
  <si>
    <t>Onderzoek naar taalniveau en afhakers huwelijks- en gezinsmigranten</t>
  </si>
  <si>
    <t>CPI-onderzoek 2014</t>
  </si>
  <si>
    <t>Rapportage Sport 2014</t>
  </si>
  <si>
    <t>Interact project (DWB project)</t>
  </si>
  <si>
    <t>Verhuisbewegingen Wonen Noord Limburg</t>
  </si>
  <si>
    <t>Armoedebeleving en uitkeringen</t>
  </si>
  <si>
    <t>De arbeidsmobiliteit tussen grootteklassen</t>
  </si>
  <si>
    <t>Omvang en effecten van bedrijfsoverdracht vs. bedrijfsbeëindiging</t>
  </si>
  <si>
    <t>Inkomens van ondernemers 2014</t>
  </si>
  <si>
    <t>Kans op werk voor MBO'ers in de zorg, welzijn  en sport</t>
  </si>
  <si>
    <t>Waardering van secundaire arbeidsvoorwaarden</t>
  </si>
  <si>
    <t>Niet-gebruik van de AIO in 2011</t>
  </si>
  <si>
    <t>Sociale Verzekeringsbank, Centrum voor Raming, Onderzoek &amp; Statistiek</t>
  </si>
  <si>
    <t>DIVERSE arbeidsmarktonderzoek</t>
  </si>
  <si>
    <t>Jeugdzorg regio Zuid Oost Utrecht (ZOU)</t>
  </si>
  <si>
    <t>Ruimtelijke economische opgave van het provinciaal bestuur</t>
  </si>
  <si>
    <t>Kansrijke beroepen</t>
  </si>
  <si>
    <t>Mismatch van Voortijdig Schoolverlaters op de Arbeidsmarkt</t>
  </si>
  <si>
    <t>Inkomenseffecten brutering bijstand</t>
  </si>
  <si>
    <t>House Prices and the External Effects of Conventional and Renewable Electricity</t>
  </si>
  <si>
    <t>Evaluatie giftenaftrek</t>
  </si>
  <si>
    <t>BAT datalab: Vouchers</t>
  </si>
  <si>
    <t>Regionale duurzaamheidsmonitor</t>
  </si>
  <si>
    <t>Demografische ontwikkeling Waddengebied</t>
  </si>
  <si>
    <t>Re-intergratie vanuit het perspectief van de werkgever</t>
  </si>
  <si>
    <t>Monitoring progress towards universal health coverage: new evidence on financial protection in health systems in Europe.</t>
  </si>
  <si>
    <t>Barcelona Office for Health Sytems Strenghtening</t>
  </si>
  <si>
    <t>Bestandsnaam</t>
  </si>
  <si>
    <t>Instelling</t>
  </si>
  <si>
    <t>Projectnr.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</si>
</sst>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-m\-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/>
    <xf numFmtId="164" fontId="0" fillId="0" borderId="0" xfId="0" applyNumberFormat="1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5973"/>
  <sheetViews>
    <sheetView tabSelected="1" workbookViewId="0">
      <pane ySplit="1" topLeftCell="A5674" activePane="bottomLeft" state="frozen"/>
      <selection pane="bottomLeft" activeCell="A5680" sqref="A5680:F5707"/>
    </sheetView>
  </sheetViews>
  <sheetFormatPr defaultRowHeight="15" x14ac:dyDescent="0.25"/>
  <cols>
    <col min="1" max="1" width="77.28515625" style="1" customWidth="1"/>
    <col min="2" max="2" width="70" style="1" customWidth="1"/>
    <col min="3" max="3" width="33.5703125" style="1" customWidth="1"/>
    <col min="4" max="4" width="15.5703125" style="3" customWidth="1"/>
    <col min="5" max="5" width="10.85546875" style="1" bestFit="1" customWidth="1"/>
    <col min="6" max="6" width="10.5703125" style="1" bestFit="1" customWidth="1"/>
    <col min="7" max="16384" width="9.140625" style="1"/>
  </cols>
  <sheetData>
    <row r="1" spans="1:6" x14ac:dyDescent="0.25">
      <c r="A1" s="4" t="s">
        <v>2789</v>
      </c>
      <c r="B1" s="4" t="s">
        <v>2</v>
      </c>
      <c r="C1" s="4" t="s">
        <v>2788</v>
      </c>
      <c r="D1" s="5" t="s">
        <v>2790</v>
      </c>
      <c r="E1" s="4" t="s">
        <v>0</v>
      </c>
      <c r="F1" s="4" t="s">
        <v>1</v>
      </c>
    </row>
    <row r="2" spans="1:6" x14ac:dyDescent="0.25">
      <c r="A2" s="1" t="s">
        <v>774</v>
      </c>
      <c r="B2" s="1" t="s">
        <v>773</v>
      </c>
      <c r="C2" s="1" t="s">
        <v>39</v>
      </c>
      <c r="D2" s="3">
        <f t="shared" ref="D2:D37" si="0">VALUE("7970")</f>
        <v>7970</v>
      </c>
      <c r="E2" s="2">
        <f t="shared" ref="E2:E37" si="1">DATEVALUE("1-12-2016")</f>
        <v>42705</v>
      </c>
      <c r="F2" s="2">
        <f t="shared" ref="F2:F37" si="2">DATEVALUE("31-12-2024")</f>
        <v>45657</v>
      </c>
    </row>
    <row r="3" spans="1:6" x14ac:dyDescent="0.25">
      <c r="A3" s="1" t="s">
        <v>774</v>
      </c>
      <c r="B3" s="1" t="s">
        <v>773</v>
      </c>
      <c r="C3" s="1" t="s">
        <v>8</v>
      </c>
      <c r="D3" s="3">
        <f t="shared" si="0"/>
        <v>7970</v>
      </c>
      <c r="E3" s="2">
        <f t="shared" si="1"/>
        <v>42705</v>
      </c>
      <c r="F3" s="2">
        <f t="shared" si="2"/>
        <v>45657</v>
      </c>
    </row>
    <row r="4" spans="1:6" x14ac:dyDescent="0.25">
      <c r="A4" s="1" t="s">
        <v>774</v>
      </c>
      <c r="B4" s="1" t="s">
        <v>773</v>
      </c>
      <c r="C4" s="1" t="s">
        <v>61</v>
      </c>
      <c r="D4" s="3">
        <f t="shared" si="0"/>
        <v>7970</v>
      </c>
      <c r="E4" s="2">
        <f t="shared" si="1"/>
        <v>42705</v>
      </c>
      <c r="F4" s="2">
        <f t="shared" si="2"/>
        <v>45657</v>
      </c>
    </row>
    <row r="5" spans="1:6" x14ac:dyDescent="0.25">
      <c r="A5" s="1" t="s">
        <v>774</v>
      </c>
      <c r="B5" s="1" t="s">
        <v>773</v>
      </c>
      <c r="C5" s="1" t="s">
        <v>43</v>
      </c>
      <c r="D5" s="3">
        <f t="shared" si="0"/>
        <v>7970</v>
      </c>
      <c r="E5" s="2">
        <f t="shared" si="1"/>
        <v>42705</v>
      </c>
      <c r="F5" s="2">
        <f t="shared" si="2"/>
        <v>45657</v>
      </c>
    </row>
    <row r="6" spans="1:6" x14ac:dyDescent="0.25">
      <c r="A6" s="1" t="s">
        <v>774</v>
      </c>
      <c r="B6" s="1" t="s">
        <v>773</v>
      </c>
      <c r="C6" s="1" t="s">
        <v>85</v>
      </c>
      <c r="D6" s="3">
        <f t="shared" si="0"/>
        <v>7970</v>
      </c>
      <c r="E6" s="2">
        <f t="shared" si="1"/>
        <v>42705</v>
      </c>
      <c r="F6" s="2">
        <f t="shared" si="2"/>
        <v>45657</v>
      </c>
    </row>
    <row r="7" spans="1:6" x14ac:dyDescent="0.25">
      <c r="A7" s="1" t="s">
        <v>774</v>
      </c>
      <c r="B7" s="1" t="s">
        <v>773</v>
      </c>
      <c r="C7" s="1" t="s">
        <v>84</v>
      </c>
      <c r="D7" s="3">
        <f t="shared" si="0"/>
        <v>7970</v>
      </c>
      <c r="E7" s="2">
        <f t="shared" si="1"/>
        <v>42705</v>
      </c>
      <c r="F7" s="2">
        <f t="shared" si="2"/>
        <v>45657</v>
      </c>
    </row>
    <row r="8" spans="1:6" x14ac:dyDescent="0.25">
      <c r="A8" s="1" t="s">
        <v>774</v>
      </c>
      <c r="B8" s="1" t="s">
        <v>773</v>
      </c>
      <c r="C8" s="1" t="s">
        <v>65</v>
      </c>
      <c r="D8" s="3">
        <f t="shared" si="0"/>
        <v>7970</v>
      </c>
      <c r="E8" s="2">
        <f t="shared" si="1"/>
        <v>42705</v>
      </c>
      <c r="F8" s="2">
        <f t="shared" si="2"/>
        <v>45657</v>
      </c>
    </row>
    <row r="9" spans="1:6" x14ac:dyDescent="0.25">
      <c r="A9" s="1" t="s">
        <v>774</v>
      </c>
      <c r="B9" s="1" t="s">
        <v>773</v>
      </c>
      <c r="C9" s="1" t="s">
        <v>14</v>
      </c>
      <c r="D9" s="3">
        <f t="shared" si="0"/>
        <v>7970</v>
      </c>
      <c r="E9" s="2">
        <f t="shared" si="1"/>
        <v>42705</v>
      </c>
      <c r="F9" s="2">
        <f t="shared" si="2"/>
        <v>45657</v>
      </c>
    </row>
    <row r="10" spans="1:6" x14ac:dyDescent="0.25">
      <c r="A10" s="1" t="s">
        <v>774</v>
      </c>
      <c r="B10" s="1" t="s">
        <v>773</v>
      </c>
      <c r="C10" s="1" t="s">
        <v>66</v>
      </c>
      <c r="D10" s="3">
        <f t="shared" si="0"/>
        <v>7970</v>
      </c>
      <c r="E10" s="2">
        <f t="shared" si="1"/>
        <v>42705</v>
      </c>
      <c r="F10" s="2">
        <f t="shared" si="2"/>
        <v>45657</v>
      </c>
    </row>
    <row r="11" spans="1:6" x14ac:dyDescent="0.25">
      <c r="A11" s="1" t="s">
        <v>774</v>
      </c>
      <c r="B11" s="1" t="s">
        <v>773</v>
      </c>
      <c r="C11" s="1" t="s">
        <v>15</v>
      </c>
      <c r="D11" s="3">
        <f t="shared" si="0"/>
        <v>7970</v>
      </c>
      <c r="E11" s="2">
        <f t="shared" si="1"/>
        <v>42705</v>
      </c>
      <c r="F11" s="2">
        <f t="shared" si="2"/>
        <v>45657</v>
      </c>
    </row>
    <row r="12" spans="1:6" x14ac:dyDescent="0.25">
      <c r="A12" s="1" t="s">
        <v>774</v>
      </c>
      <c r="B12" s="1" t="s">
        <v>773</v>
      </c>
      <c r="C12" s="1" t="s">
        <v>89</v>
      </c>
      <c r="D12" s="3">
        <f t="shared" si="0"/>
        <v>7970</v>
      </c>
      <c r="E12" s="2">
        <f t="shared" si="1"/>
        <v>42705</v>
      </c>
      <c r="F12" s="2">
        <f t="shared" si="2"/>
        <v>45657</v>
      </c>
    </row>
    <row r="13" spans="1:6" x14ac:dyDescent="0.25">
      <c r="A13" s="1" t="s">
        <v>774</v>
      </c>
      <c r="B13" s="1" t="s">
        <v>773</v>
      </c>
      <c r="C13" s="1" t="s">
        <v>17</v>
      </c>
      <c r="D13" s="3">
        <f t="shared" si="0"/>
        <v>7970</v>
      </c>
      <c r="E13" s="2">
        <f t="shared" si="1"/>
        <v>42705</v>
      </c>
      <c r="F13" s="2">
        <f t="shared" si="2"/>
        <v>45657</v>
      </c>
    </row>
    <row r="14" spans="1:6" x14ac:dyDescent="0.25">
      <c r="A14" s="1" t="s">
        <v>774</v>
      </c>
      <c r="B14" s="1" t="s">
        <v>773</v>
      </c>
      <c r="C14" s="1" t="s">
        <v>22</v>
      </c>
      <c r="D14" s="3">
        <f t="shared" si="0"/>
        <v>7970</v>
      </c>
      <c r="E14" s="2">
        <f t="shared" si="1"/>
        <v>42705</v>
      </c>
      <c r="F14" s="2">
        <f t="shared" si="2"/>
        <v>45657</v>
      </c>
    </row>
    <row r="15" spans="1:6" x14ac:dyDescent="0.25">
      <c r="A15" s="1" t="s">
        <v>774</v>
      </c>
      <c r="B15" s="1" t="s">
        <v>773</v>
      </c>
      <c r="C15" s="1" t="s">
        <v>146</v>
      </c>
      <c r="D15" s="3">
        <f t="shared" si="0"/>
        <v>7970</v>
      </c>
      <c r="E15" s="2">
        <f t="shared" si="1"/>
        <v>42705</v>
      </c>
      <c r="F15" s="2">
        <f t="shared" si="2"/>
        <v>45657</v>
      </c>
    </row>
    <row r="16" spans="1:6" x14ac:dyDescent="0.25">
      <c r="A16" s="1" t="s">
        <v>774</v>
      </c>
      <c r="B16" s="1" t="s">
        <v>773</v>
      </c>
      <c r="C16" s="1" t="s">
        <v>67</v>
      </c>
      <c r="D16" s="3">
        <f t="shared" si="0"/>
        <v>7970</v>
      </c>
      <c r="E16" s="2">
        <f t="shared" si="1"/>
        <v>42705</v>
      </c>
      <c r="F16" s="2">
        <f t="shared" si="2"/>
        <v>45657</v>
      </c>
    </row>
    <row r="17" spans="1:6" x14ac:dyDescent="0.25">
      <c r="A17" s="1" t="s">
        <v>774</v>
      </c>
      <c r="B17" s="1" t="s">
        <v>773</v>
      </c>
      <c r="C17" s="1" t="s">
        <v>384</v>
      </c>
      <c r="D17" s="3">
        <f t="shared" si="0"/>
        <v>7970</v>
      </c>
      <c r="E17" s="2">
        <f t="shared" si="1"/>
        <v>42705</v>
      </c>
      <c r="F17" s="2">
        <f t="shared" si="2"/>
        <v>45657</v>
      </c>
    </row>
    <row r="18" spans="1:6" x14ac:dyDescent="0.25">
      <c r="A18" s="1" t="s">
        <v>774</v>
      </c>
      <c r="B18" s="1" t="s">
        <v>773</v>
      </c>
      <c r="C18" s="1" t="s">
        <v>148</v>
      </c>
      <c r="D18" s="3">
        <f t="shared" si="0"/>
        <v>7970</v>
      </c>
      <c r="E18" s="2">
        <f t="shared" si="1"/>
        <v>42705</v>
      </c>
      <c r="F18" s="2">
        <f t="shared" si="2"/>
        <v>45657</v>
      </c>
    </row>
    <row r="19" spans="1:6" x14ac:dyDescent="0.25">
      <c r="A19" s="1" t="s">
        <v>774</v>
      </c>
      <c r="B19" s="1" t="s">
        <v>773</v>
      </c>
      <c r="C19" s="1" t="s">
        <v>149</v>
      </c>
      <c r="D19" s="3">
        <f t="shared" si="0"/>
        <v>7970</v>
      </c>
      <c r="E19" s="2">
        <f t="shared" si="1"/>
        <v>42705</v>
      </c>
      <c r="F19" s="2">
        <f t="shared" si="2"/>
        <v>45657</v>
      </c>
    </row>
    <row r="20" spans="1:6" x14ac:dyDescent="0.25">
      <c r="A20" s="1" t="s">
        <v>774</v>
      </c>
      <c r="B20" s="1" t="s">
        <v>773</v>
      </c>
      <c r="C20" s="1" t="s">
        <v>387</v>
      </c>
      <c r="D20" s="3">
        <f t="shared" si="0"/>
        <v>7970</v>
      </c>
      <c r="E20" s="2">
        <f t="shared" si="1"/>
        <v>42705</v>
      </c>
      <c r="F20" s="2">
        <f t="shared" si="2"/>
        <v>45657</v>
      </c>
    </row>
    <row r="21" spans="1:6" x14ac:dyDescent="0.25">
      <c r="A21" s="1" t="s">
        <v>774</v>
      </c>
      <c r="B21" s="1" t="s">
        <v>773</v>
      </c>
      <c r="C21" s="1" t="s">
        <v>390</v>
      </c>
      <c r="D21" s="3">
        <f t="shared" si="0"/>
        <v>7970</v>
      </c>
      <c r="E21" s="2">
        <f t="shared" si="1"/>
        <v>42705</v>
      </c>
      <c r="F21" s="2">
        <f t="shared" si="2"/>
        <v>45657</v>
      </c>
    </row>
    <row r="22" spans="1:6" x14ac:dyDescent="0.25">
      <c r="A22" s="1" t="s">
        <v>774</v>
      </c>
      <c r="B22" s="1" t="s">
        <v>773</v>
      </c>
      <c r="C22" s="1" t="s">
        <v>371</v>
      </c>
      <c r="D22" s="3">
        <f t="shared" si="0"/>
        <v>7970</v>
      </c>
      <c r="E22" s="2">
        <f t="shared" si="1"/>
        <v>42705</v>
      </c>
      <c r="F22" s="2">
        <f t="shared" si="2"/>
        <v>45657</v>
      </c>
    </row>
    <row r="23" spans="1:6" x14ac:dyDescent="0.25">
      <c r="A23" s="1" t="s">
        <v>774</v>
      </c>
      <c r="B23" s="1" t="s">
        <v>773</v>
      </c>
      <c r="C23" s="1" t="s">
        <v>514</v>
      </c>
      <c r="D23" s="3">
        <f t="shared" si="0"/>
        <v>7970</v>
      </c>
      <c r="E23" s="2">
        <f t="shared" si="1"/>
        <v>42705</v>
      </c>
      <c r="F23" s="2">
        <f t="shared" si="2"/>
        <v>45657</v>
      </c>
    </row>
    <row r="24" spans="1:6" x14ac:dyDescent="0.25">
      <c r="A24" s="1" t="s">
        <v>774</v>
      </c>
      <c r="B24" s="1" t="s">
        <v>773</v>
      </c>
      <c r="C24" s="1" t="s">
        <v>515</v>
      </c>
      <c r="D24" s="3">
        <f t="shared" si="0"/>
        <v>7970</v>
      </c>
      <c r="E24" s="2">
        <f t="shared" si="1"/>
        <v>42705</v>
      </c>
      <c r="F24" s="2">
        <f t="shared" si="2"/>
        <v>45657</v>
      </c>
    </row>
    <row r="25" spans="1:6" x14ac:dyDescent="0.25">
      <c r="A25" s="1" t="s">
        <v>774</v>
      </c>
      <c r="B25" s="1" t="s">
        <v>773</v>
      </c>
      <c r="C25" s="1" t="s">
        <v>775</v>
      </c>
      <c r="D25" s="3">
        <f t="shared" si="0"/>
        <v>7970</v>
      </c>
      <c r="E25" s="2">
        <f t="shared" si="1"/>
        <v>42705</v>
      </c>
      <c r="F25" s="2">
        <f t="shared" si="2"/>
        <v>45657</v>
      </c>
    </row>
    <row r="26" spans="1:6" x14ac:dyDescent="0.25">
      <c r="A26" s="1" t="s">
        <v>774</v>
      </c>
      <c r="B26" s="1" t="s">
        <v>773</v>
      </c>
      <c r="C26" s="1" t="s">
        <v>120</v>
      </c>
      <c r="D26" s="3">
        <f t="shared" si="0"/>
        <v>7970</v>
      </c>
      <c r="E26" s="2">
        <f t="shared" si="1"/>
        <v>42705</v>
      </c>
      <c r="F26" s="2">
        <f t="shared" si="2"/>
        <v>45657</v>
      </c>
    </row>
    <row r="27" spans="1:6" x14ac:dyDescent="0.25">
      <c r="A27" s="1" t="s">
        <v>774</v>
      </c>
      <c r="B27" s="1" t="s">
        <v>773</v>
      </c>
      <c r="C27" s="1" t="s">
        <v>50</v>
      </c>
      <c r="D27" s="3">
        <f t="shared" si="0"/>
        <v>7970</v>
      </c>
      <c r="E27" s="2">
        <f t="shared" si="1"/>
        <v>42705</v>
      </c>
      <c r="F27" s="2">
        <f t="shared" si="2"/>
        <v>45657</v>
      </c>
    </row>
    <row r="28" spans="1:6" x14ac:dyDescent="0.25">
      <c r="A28" s="1" t="s">
        <v>774</v>
      </c>
      <c r="B28" s="1" t="s">
        <v>773</v>
      </c>
      <c r="C28" s="1" t="s">
        <v>72</v>
      </c>
      <c r="D28" s="3">
        <f t="shared" si="0"/>
        <v>7970</v>
      </c>
      <c r="E28" s="2">
        <f t="shared" si="1"/>
        <v>42705</v>
      </c>
      <c r="F28" s="2">
        <f t="shared" si="2"/>
        <v>45657</v>
      </c>
    </row>
    <row r="29" spans="1:6" x14ac:dyDescent="0.25">
      <c r="A29" s="1" t="s">
        <v>774</v>
      </c>
      <c r="B29" s="1" t="s">
        <v>773</v>
      </c>
      <c r="C29" s="1" t="s">
        <v>457</v>
      </c>
      <c r="D29" s="3">
        <f t="shared" si="0"/>
        <v>7970</v>
      </c>
      <c r="E29" s="2">
        <f t="shared" si="1"/>
        <v>42705</v>
      </c>
      <c r="F29" s="2">
        <f t="shared" si="2"/>
        <v>45657</v>
      </c>
    </row>
    <row r="30" spans="1:6" x14ac:dyDescent="0.25">
      <c r="A30" s="1" t="s">
        <v>774</v>
      </c>
      <c r="B30" s="1" t="s">
        <v>773</v>
      </c>
      <c r="C30" s="1" t="s">
        <v>52</v>
      </c>
      <c r="D30" s="3">
        <f t="shared" si="0"/>
        <v>7970</v>
      </c>
      <c r="E30" s="2">
        <f t="shared" si="1"/>
        <v>42705</v>
      </c>
      <c r="F30" s="2">
        <f t="shared" si="2"/>
        <v>45657</v>
      </c>
    </row>
    <row r="31" spans="1:6" x14ac:dyDescent="0.25">
      <c r="A31" s="1" t="s">
        <v>774</v>
      </c>
      <c r="B31" s="1" t="s">
        <v>773</v>
      </c>
      <c r="C31" s="1" t="s">
        <v>303</v>
      </c>
      <c r="D31" s="3">
        <f t="shared" si="0"/>
        <v>7970</v>
      </c>
      <c r="E31" s="2">
        <f t="shared" si="1"/>
        <v>42705</v>
      </c>
      <c r="F31" s="2">
        <f t="shared" si="2"/>
        <v>45657</v>
      </c>
    </row>
    <row r="32" spans="1:6" x14ac:dyDescent="0.25">
      <c r="A32" s="1" t="s">
        <v>774</v>
      </c>
      <c r="B32" s="1" t="s">
        <v>773</v>
      </c>
      <c r="C32" s="1" t="s">
        <v>160</v>
      </c>
      <c r="D32" s="3">
        <f t="shared" si="0"/>
        <v>7970</v>
      </c>
      <c r="E32" s="2">
        <f t="shared" si="1"/>
        <v>42705</v>
      </c>
      <c r="F32" s="2">
        <f t="shared" si="2"/>
        <v>45657</v>
      </c>
    </row>
    <row r="33" spans="1:6" x14ac:dyDescent="0.25">
      <c r="A33" s="1" t="s">
        <v>774</v>
      </c>
      <c r="B33" s="1" t="s">
        <v>773</v>
      </c>
      <c r="C33" s="1" t="s">
        <v>34</v>
      </c>
      <c r="D33" s="3">
        <f t="shared" si="0"/>
        <v>7970</v>
      </c>
      <c r="E33" s="2">
        <f t="shared" si="1"/>
        <v>42705</v>
      </c>
      <c r="F33" s="2">
        <f t="shared" si="2"/>
        <v>45657</v>
      </c>
    </row>
    <row r="34" spans="1:6" x14ac:dyDescent="0.25">
      <c r="A34" s="1" t="s">
        <v>774</v>
      </c>
      <c r="B34" s="1" t="s">
        <v>773</v>
      </c>
      <c r="C34" s="1" t="s">
        <v>55</v>
      </c>
      <c r="D34" s="3">
        <f t="shared" si="0"/>
        <v>7970</v>
      </c>
      <c r="E34" s="2">
        <f t="shared" si="1"/>
        <v>42705</v>
      </c>
      <c r="F34" s="2">
        <f t="shared" si="2"/>
        <v>45657</v>
      </c>
    </row>
    <row r="35" spans="1:6" x14ac:dyDescent="0.25">
      <c r="A35" s="1" t="s">
        <v>774</v>
      </c>
      <c r="B35" s="1" t="s">
        <v>773</v>
      </c>
      <c r="C35" s="1" t="s">
        <v>381</v>
      </c>
      <c r="D35" s="3">
        <f t="shared" si="0"/>
        <v>7970</v>
      </c>
      <c r="E35" s="2">
        <f t="shared" si="1"/>
        <v>42705</v>
      </c>
      <c r="F35" s="2">
        <f t="shared" si="2"/>
        <v>45657</v>
      </c>
    </row>
    <row r="36" spans="1:6" x14ac:dyDescent="0.25">
      <c r="A36" s="1" t="s">
        <v>774</v>
      </c>
      <c r="B36" s="1" t="s">
        <v>773</v>
      </c>
      <c r="C36" s="1" t="s">
        <v>57</v>
      </c>
      <c r="D36" s="3">
        <f t="shared" si="0"/>
        <v>7970</v>
      </c>
      <c r="E36" s="2">
        <f t="shared" si="1"/>
        <v>42705</v>
      </c>
      <c r="F36" s="2">
        <f t="shared" si="2"/>
        <v>45657</v>
      </c>
    </row>
    <row r="37" spans="1:6" x14ac:dyDescent="0.25">
      <c r="A37" s="1" t="s">
        <v>774</v>
      </c>
      <c r="B37" s="1" t="s">
        <v>773</v>
      </c>
      <c r="C37" s="1" t="s">
        <v>170</v>
      </c>
      <c r="D37" s="3">
        <f t="shared" si="0"/>
        <v>7970</v>
      </c>
      <c r="E37" s="2">
        <f t="shared" si="1"/>
        <v>42705</v>
      </c>
      <c r="F37" s="2">
        <f t="shared" si="2"/>
        <v>45657</v>
      </c>
    </row>
    <row r="38" spans="1:6" x14ac:dyDescent="0.25">
      <c r="A38" s="1" t="s">
        <v>374</v>
      </c>
      <c r="B38" s="1" t="s">
        <v>1606</v>
      </c>
      <c r="C38" s="1" t="s">
        <v>1607</v>
      </c>
      <c r="D38" s="3">
        <f t="shared" ref="D38:D54" si="3">VALUE("8788")</f>
        <v>8788</v>
      </c>
      <c r="E38" s="2">
        <f t="shared" ref="E38:E54" si="4">DATEVALUE("1-8-2020")</f>
        <v>44044</v>
      </c>
      <c r="F38" s="2">
        <f t="shared" ref="F38:F54" si="5">DATEVALUE("31-7-2021")</f>
        <v>44408</v>
      </c>
    </row>
    <row r="39" spans="1:6" x14ac:dyDescent="0.25">
      <c r="A39" s="1" t="s">
        <v>374</v>
      </c>
      <c r="B39" s="1" t="s">
        <v>1606</v>
      </c>
      <c r="C39" s="1" t="s">
        <v>44</v>
      </c>
      <c r="D39" s="3">
        <f t="shared" si="3"/>
        <v>8788</v>
      </c>
      <c r="E39" s="2">
        <f t="shared" si="4"/>
        <v>44044</v>
      </c>
      <c r="F39" s="2">
        <f t="shared" si="5"/>
        <v>44408</v>
      </c>
    </row>
    <row r="40" spans="1:6" x14ac:dyDescent="0.25">
      <c r="A40" s="1" t="s">
        <v>374</v>
      </c>
      <c r="B40" s="1" t="s">
        <v>1606</v>
      </c>
      <c r="C40" s="1" t="s">
        <v>140</v>
      </c>
      <c r="D40" s="3">
        <f t="shared" si="3"/>
        <v>8788</v>
      </c>
      <c r="E40" s="2">
        <f t="shared" si="4"/>
        <v>44044</v>
      </c>
      <c r="F40" s="2">
        <f t="shared" si="5"/>
        <v>44408</v>
      </c>
    </row>
    <row r="41" spans="1:6" x14ac:dyDescent="0.25">
      <c r="A41" s="1" t="s">
        <v>374</v>
      </c>
      <c r="B41" s="1" t="s">
        <v>1606</v>
      </c>
      <c r="C41" s="1" t="s">
        <v>14</v>
      </c>
      <c r="D41" s="3">
        <f t="shared" si="3"/>
        <v>8788</v>
      </c>
      <c r="E41" s="2">
        <f t="shared" si="4"/>
        <v>44044</v>
      </c>
      <c r="F41" s="2">
        <f t="shared" si="5"/>
        <v>44408</v>
      </c>
    </row>
    <row r="42" spans="1:6" x14ac:dyDescent="0.25">
      <c r="A42" s="1" t="s">
        <v>374</v>
      </c>
      <c r="B42" s="1" t="s">
        <v>1606</v>
      </c>
      <c r="C42" s="1" t="s">
        <v>15</v>
      </c>
      <c r="D42" s="3">
        <f t="shared" si="3"/>
        <v>8788</v>
      </c>
      <c r="E42" s="2">
        <f t="shared" si="4"/>
        <v>44044</v>
      </c>
      <c r="F42" s="2">
        <f t="shared" si="5"/>
        <v>44408</v>
      </c>
    </row>
    <row r="43" spans="1:6" x14ac:dyDescent="0.25">
      <c r="A43" s="1" t="s">
        <v>374</v>
      </c>
      <c r="B43" s="1" t="s">
        <v>1606</v>
      </c>
      <c r="C43" s="1" t="s">
        <v>17</v>
      </c>
      <c r="D43" s="3">
        <f t="shared" si="3"/>
        <v>8788</v>
      </c>
      <c r="E43" s="2">
        <f t="shared" si="4"/>
        <v>44044</v>
      </c>
      <c r="F43" s="2">
        <f t="shared" si="5"/>
        <v>44408</v>
      </c>
    </row>
    <row r="44" spans="1:6" x14ac:dyDescent="0.25">
      <c r="A44" s="1" t="s">
        <v>374</v>
      </c>
      <c r="B44" s="1" t="s">
        <v>1606</v>
      </c>
      <c r="C44" s="1" t="s">
        <v>22</v>
      </c>
      <c r="D44" s="3">
        <f t="shared" si="3"/>
        <v>8788</v>
      </c>
      <c r="E44" s="2">
        <f t="shared" si="4"/>
        <v>44044</v>
      </c>
      <c r="F44" s="2">
        <f t="shared" si="5"/>
        <v>44408</v>
      </c>
    </row>
    <row r="45" spans="1:6" x14ac:dyDescent="0.25">
      <c r="A45" s="1" t="s">
        <v>374</v>
      </c>
      <c r="B45" s="1" t="s">
        <v>1606</v>
      </c>
      <c r="C45" s="1" t="s">
        <v>146</v>
      </c>
      <c r="D45" s="3">
        <f t="shared" si="3"/>
        <v>8788</v>
      </c>
      <c r="E45" s="2">
        <f t="shared" si="4"/>
        <v>44044</v>
      </c>
      <c r="F45" s="2">
        <f t="shared" si="5"/>
        <v>44408</v>
      </c>
    </row>
    <row r="46" spans="1:6" x14ac:dyDescent="0.25">
      <c r="A46" s="1" t="s">
        <v>374</v>
      </c>
      <c r="B46" s="1" t="s">
        <v>1606</v>
      </c>
      <c r="C46" s="1" t="s">
        <v>67</v>
      </c>
      <c r="D46" s="3">
        <f t="shared" si="3"/>
        <v>8788</v>
      </c>
      <c r="E46" s="2">
        <f t="shared" si="4"/>
        <v>44044</v>
      </c>
      <c r="F46" s="2">
        <f t="shared" si="5"/>
        <v>44408</v>
      </c>
    </row>
    <row r="47" spans="1:6" x14ac:dyDescent="0.25">
      <c r="A47" s="1" t="s">
        <v>374</v>
      </c>
      <c r="B47" s="1" t="s">
        <v>1606</v>
      </c>
      <c r="C47" s="1" t="s">
        <v>24</v>
      </c>
      <c r="D47" s="3">
        <f t="shared" si="3"/>
        <v>8788</v>
      </c>
      <c r="E47" s="2">
        <f t="shared" si="4"/>
        <v>44044</v>
      </c>
      <c r="F47" s="2">
        <f t="shared" si="5"/>
        <v>44408</v>
      </c>
    </row>
    <row r="48" spans="1:6" x14ac:dyDescent="0.25">
      <c r="A48" s="1" t="s">
        <v>374</v>
      </c>
      <c r="B48" s="1" t="s">
        <v>1606</v>
      </c>
      <c r="C48" s="1" t="s">
        <v>73</v>
      </c>
      <c r="D48" s="3">
        <f t="shared" si="3"/>
        <v>8788</v>
      </c>
      <c r="E48" s="2">
        <f t="shared" si="4"/>
        <v>44044</v>
      </c>
      <c r="F48" s="2">
        <f t="shared" si="5"/>
        <v>44408</v>
      </c>
    </row>
    <row r="49" spans="1:6" x14ac:dyDescent="0.25">
      <c r="A49" s="1" t="s">
        <v>374</v>
      </c>
      <c r="B49" s="1" t="s">
        <v>1606</v>
      </c>
      <c r="C49" s="1" t="s">
        <v>52</v>
      </c>
      <c r="D49" s="3">
        <f t="shared" si="3"/>
        <v>8788</v>
      </c>
      <c r="E49" s="2">
        <f t="shared" si="4"/>
        <v>44044</v>
      </c>
      <c r="F49" s="2">
        <f t="shared" si="5"/>
        <v>44408</v>
      </c>
    </row>
    <row r="50" spans="1:6" x14ac:dyDescent="0.25">
      <c r="A50" s="1" t="s">
        <v>374</v>
      </c>
      <c r="B50" s="1" t="s">
        <v>1606</v>
      </c>
      <c r="C50" s="1" t="s">
        <v>241</v>
      </c>
      <c r="D50" s="3">
        <f t="shared" si="3"/>
        <v>8788</v>
      </c>
      <c r="E50" s="2">
        <f t="shared" si="4"/>
        <v>44044</v>
      </c>
      <c r="F50" s="2">
        <f t="shared" si="5"/>
        <v>44408</v>
      </c>
    </row>
    <row r="51" spans="1:6" x14ac:dyDescent="0.25">
      <c r="A51" s="1" t="s">
        <v>374</v>
      </c>
      <c r="B51" s="1" t="s">
        <v>1606</v>
      </c>
      <c r="C51" s="1" t="s">
        <v>303</v>
      </c>
      <c r="D51" s="3">
        <f t="shared" si="3"/>
        <v>8788</v>
      </c>
      <c r="E51" s="2">
        <f t="shared" si="4"/>
        <v>44044</v>
      </c>
      <c r="F51" s="2">
        <f t="shared" si="5"/>
        <v>44408</v>
      </c>
    </row>
    <row r="52" spans="1:6" x14ac:dyDescent="0.25">
      <c r="A52" s="1" t="s">
        <v>374</v>
      </c>
      <c r="B52" s="1" t="s">
        <v>1606</v>
      </c>
      <c r="C52" s="1" t="s">
        <v>34</v>
      </c>
      <c r="D52" s="3">
        <f t="shared" si="3"/>
        <v>8788</v>
      </c>
      <c r="E52" s="2">
        <f t="shared" si="4"/>
        <v>44044</v>
      </c>
      <c r="F52" s="2">
        <f t="shared" si="5"/>
        <v>44408</v>
      </c>
    </row>
    <row r="53" spans="1:6" x14ac:dyDescent="0.25">
      <c r="A53" s="1" t="s">
        <v>374</v>
      </c>
      <c r="B53" s="1" t="s">
        <v>1606</v>
      </c>
      <c r="C53" s="1" t="s">
        <v>55</v>
      </c>
      <c r="D53" s="3">
        <f t="shared" si="3"/>
        <v>8788</v>
      </c>
      <c r="E53" s="2">
        <f t="shared" si="4"/>
        <v>44044</v>
      </c>
      <c r="F53" s="2">
        <f t="shared" si="5"/>
        <v>44408</v>
      </c>
    </row>
    <row r="54" spans="1:6" x14ac:dyDescent="0.25">
      <c r="A54" s="1" t="s">
        <v>374</v>
      </c>
      <c r="B54" s="1" t="s">
        <v>1606</v>
      </c>
      <c r="C54" s="1" t="s">
        <v>35</v>
      </c>
      <c r="D54" s="3">
        <f t="shared" si="3"/>
        <v>8788</v>
      </c>
      <c r="E54" s="2">
        <f t="shared" si="4"/>
        <v>44044</v>
      </c>
      <c r="F54" s="2">
        <f t="shared" si="5"/>
        <v>44408</v>
      </c>
    </row>
    <row r="55" spans="1:6" x14ac:dyDescent="0.25">
      <c r="A55" s="1" t="s">
        <v>374</v>
      </c>
      <c r="B55" s="1" t="s">
        <v>1608</v>
      </c>
      <c r="C55" s="1" t="s">
        <v>140</v>
      </c>
      <c r="D55" s="3">
        <f t="shared" ref="D55:D69" si="6">VALUE("8790")</f>
        <v>8790</v>
      </c>
      <c r="E55" s="2">
        <f t="shared" ref="E55:E83" si="7">DATEVALUE("1-7-2020")</f>
        <v>44013</v>
      </c>
      <c r="F55" s="2">
        <f t="shared" ref="F55:F69" si="8">DATEVALUE("31-12-2020")</f>
        <v>44196</v>
      </c>
    </row>
    <row r="56" spans="1:6" x14ac:dyDescent="0.25">
      <c r="A56" s="1" t="s">
        <v>374</v>
      </c>
      <c r="B56" s="1" t="s">
        <v>1608</v>
      </c>
      <c r="C56" s="1" t="s">
        <v>141</v>
      </c>
      <c r="D56" s="3">
        <f t="shared" si="6"/>
        <v>8790</v>
      </c>
      <c r="E56" s="2">
        <f t="shared" si="7"/>
        <v>44013</v>
      </c>
      <c r="F56" s="2">
        <f t="shared" si="8"/>
        <v>44196</v>
      </c>
    </row>
    <row r="57" spans="1:6" x14ac:dyDescent="0.25">
      <c r="A57" s="1" t="s">
        <v>374</v>
      </c>
      <c r="B57" s="1" t="s">
        <v>1608</v>
      </c>
      <c r="C57" s="1" t="s">
        <v>14</v>
      </c>
      <c r="D57" s="3">
        <f t="shared" si="6"/>
        <v>8790</v>
      </c>
      <c r="E57" s="2">
        <f t="shared" si="7"/>
        <v>44013</v>
      </c>
      <c r="F57" s="2">
        <f t="shared" si="8"/>
        <v>44196</v>
      </c>
    </row>
    <row r="58" spans="1:6" x14ac:dyDescent="0.25">
      <c r="A58" s="1" t="s">
        <v>374</v>
      </c>
      <c r="B58" s="1" t="s">
        <v>1608</v>
      </c>
      <c r="C58" s="1" t="s">
        <v>15</v>
      </c>
      <c r="D58" s="3">
        <f t="shared" si="6"/>
        <v>8790</v>
      </c>
      <c r="E58" s="2">
        <f t="shared" si="7"/>
        <v>44013</v>
      </c>
      <c r="F58" s="2">
        <f t="shared" si="8"/>
        <v>44196</v>
      </c>
    </row>
    <row r="59" spans="1:6" x14ac:dyDescent="0.25">
      <c r="A59" s="1" t="s">
        <v>374</v>
      </c>
      <c r="B59" s="1" t="s">
        <v>1608</v>
      </c>
      <c r="C59" s="1" t="s">
        <v>17</v>
      </c>
      <c r="D59" s="3">
        <f t="shared" si="6"/>
        <v>8790</v>
      </c>
      <c r="E59" s="2">
        <f t="shared" si="7"/>
        <v>44013</v>
      </c>
      <c r="F59" s="2">
        <f t="shared" si="8"/>
        <v>44196</v>
      </c>
    </row>
    <row r="60" spans="1:6" x14ac:dyDescent="0.25">
      <c r="A60" s="1" t="s">
        <v>374</v>
      </c>
      <c r="B60" s="1" t="s">
        <v>1608</v>
      </c>
      <c r="C60" s="1" t="s">
        <v>146</v>
      </c>
      <c r="D60" s="3">
        <f t="shared" si="6"/>
        <v>8790</v>
      </c>
      <c r="E60" s="2">
        <f t="shared" si="7"/>
        <v>44013</v>
      </c>
      <c r="F60" s="2">
        <f t="shared" si="8"/>
        <v>44196</v>
      </c>
    </row>
    <row r="61" spans="1:6" x14ac:dyDescent="0.25">
      <c r="A61" s="1" t="s">
        <v>374</v>
      </c>
      <c r="B61" s="1" t="s">
        <v>1608</v>
      </c>
      <c r="C61" s="1" t="s">
        <v>67</v>
      </c>
      <c r="D61" s="3">
        <f t="shared" si="6"/>
        <v>8790</v>
      </c>
      <c r="E61" s="2">
        <f t="shared" si="7"/>
        <v>44013</v>
      </c>
      <c r="F61" s="2">
        <f t="shared" si="8"/>
        <v>44196</v>
      </c>
    </row>
    <row r="62" spans="1:6" x14ac:dyDescent="0.25">
      <c r="A62" s="1" t="s">
        <v>374</v>
      </c>
      <c r="B62" s="1" t="s">
        <v>1608</v>
      </c>
      <c r="C62" s="1" t="s">
        <v>472</v>
      </c>
      <c r="D62" s="3">
        <f t="shared" si="6"/>
        <v>8790</v>
      </c>
      <c r="E62" s="2">
        <f t="shared" si="7"/>
        <v>44013</v>
      </c>
      <c r="F62" s="2">
        <f t="shared" si="8"/>
        <v>44196</v>
      </c>
    </row>
    <row r="63" spans="1:6" x14ac:dyDescent="0.25">
      <c r="A63" s="1" t="s">
        <v>374</v>
      </c>
      <c r="B63" s="1" t="s">
        <v>1608</v>
      </c>
      <c r="C63" s="1" t="s">
        <v>92</v>
      </c>
      <c r="D63" s="3">
        <f t="shared" si="6"/>
        <v>8790</v>
      </c>
      <c r="E63" s="2">
        <f t="shared" si="7"/>
        <v>44013</v>
      </c>
      <c r="F63" s="2">
        <f t="shared" si="8"/>
        <v>44196</v>
      </c>
    </row>
    <row r="64" spans="1:6" x14ac:dyDescent="0.25">
      <c r="A64" s="1" t="s">
        <v>374</v>
      </c>
      <c r="B64" s="1" t="s">
        <v>1608</v>
      </c>
      <c r="C64" s="1" t="s">
        <v>24</v>
      </c>
      <c r="D64" s="3">
        <f t="shared" si="6"/>
        <v>8790</v>
      </c>
      <c r="E64" s="2">
        <f t="shared" si="7"/>
        <v>44013</v>
      </c>
      <c r="F64" s="2">
        <f t="shared" si="8"/>
        <v>44196</v>
      </c>
    </row>
    <row r="65" spans="1:6" x14ac:dyDescent="0.25">
      <c r="A65" s="1" t="s">
        <v>374</v>
      </c>
      <c r="B65" s="1" t="s">
        <v>1608</v>
      </c>
      <c r="C65" s="1" t="s">
        <v>26</v>
      </c>
      <c r="D65" s="3">
        <f t="shared" si="6"/>
        <v>8790</v>
      </c>
      <c r="E65" s="2">
        <f t="shared" si="7"/>
        <v>44013</v>
      </c>
      <c r="F65" s="2">
        <f t="shared" si="8"/>
        <v>44196</v>
      </c>
    </row>
    <row r="66" spans="1:6" x14ac:dyDescent="0.25">
      <c r="A66" s="1" t="s">
        <v>374</v>
      </c>
      <c r="B66" s="1" t="s">
        <v>1608</v>
      </c>
      <c r="C66" s="1" t="s">
        <v>73</v>
      </c>
      <c r="D66" s="3">
        <f t="shared" si="6"/>
        <v>8790</v>
      </c>
      <c r="E66" s="2">
        <f t="shared" si="7"/>
        <v>44013</v>
      </c>
      <c r="F66" s="2">
        <f t="shared" si="8"/>
        <v>44196</v>
      </c>
    </row>
    <row r="67" spans="1:6" x14ac:dyDescent="0.25">
      <c r="A67" s="1" t="s">
        <v>374</v>
      </c>
      <c r="B67" s="1" t="s">
        <v>1608</v>
      </c>
      <c r="C67" s="1" t="s">
        <v>295</v>
      </c>
      <c r="D67" s="3">
        <f t="shared" si="6"/>
        <v>8790</v>
      </c>
      <c r="E67" s="2">
        <f t="shared" si="7"/>
        <v>44013</v>
      </c>
      <c r="F67" s="2">
        <f t="shared" si="8"/>
        <v>44196</v>
      </c>
    </row>
    <row r="68" spans="1:6" x14ac:dyDescent="0.25">
      <c r="A68" s="1" t="s">
        <v>374</v>
      </c>
      <c r="B68" s="1" t="s">
        <v>1608</v>
      </c>
      <c r="C68" s="1" t="s">
        <v>160</v>
      </c>
      <c r="D68" s="3">
        <f t="shared" si="6"/>
        <v>8790</v>
      </c>
      <c r="E68" s="2">
        <f t="shared" si="7"/>
        <v>44013</v>
      </c>
      <c r="F68" s="2">
        <f t="shared" si="8"/>
        <v>44196</v>
      </c>
    </row>
    <row r="69" spans="1:6" x14ac:dyDescent="0.25">
      <c r="A69" s="1" t="s">
        <v>374</v>
      </c>
      <c r="B69" s="1" t="s">
        <v>1608</v>
      </c>
      <c r="C69" s="1" t="s">
        <v>34</v>
      </c>
      <c r="D69" s="3">
        <f t="shared" si="6"/>
        <v>8790</v>
      </c>
      <c r="E69" s="2">
        <f t="shared" si="7"/>
        <v>44013</v>
      </c>
      <c r="F69" s="2">
        <f t="shared" si="8"/>
        <v>44196</v>
      </c>
    </row>
    <row r="70" spans="1:6" x14ac:dyDescent="0.25">
      <c r="A70" s="1" t="s">
        <v>374</v>
      </c>
      <c r="B70" s="1" t="s">
        <v>1622</v>
      </c>
      <c r="C70" s="1" t="s">
        <v>140</v>
      </c>
      <c r="D70" s="3">
        <f t="shared" ref="D70:D83" si="9">VALUE("8800")</f>
        <v>8800</v>
      </c>
      <c r="E70" s="2">
        <f t="shared" si="7"/>
        <v>44013</v>
      </c>
      <c r="F70" s="2">
        <f t="shared" ref="F70:F83" si="10">DATEVALUE("30-6-2021")</f>
        <v>44377</v>
      </c>
    </row>
    <row r="71" spans="1:6" x14ac:dyDescent="0.25">
      <c r="A71" s="1" t="s">
        <v>374</v>
      </c>
      <c r="B71" s="1" t="s">
        <v>1622</v>
      </c>
      <c r="C71" s="1" t="s">
        <v>141</v>
      </c>
      <c r="D71" s="3">
        <f t="shared" si="9"/>
        <v>8800</v>
      </c>
      <c r="E71" s="2">
        <f t="shared" si="7"/>
        <v>44013</v>
      </c>
      <c r="F71" s="2">
        <f t="shared" si="10"/>
        <v>44377</v>
      </c>
    </row>
    <row r="72" spans="1:6" x14ac:dyDescent="0.25">
      <c r="A72" s="1" t="s">
        <v>374</v>
      </c>
      <c r="B72" s="1" t="s">
        <v>1622</v>
      </c>
      <c r="C72" s="1" t="s">
        <v>14</v>
      </c>
      <c r="D72" s="3">
        <f t="shared" si="9"/>
        <v>8800</v>
      </c>
      <c r="E72" s="2">
        <f t="shared" si="7"/>
        <v>44013</v>
      </c>
      <c r="F72" s="2">
        <f t="shared" si="10"/>
        <v>44377</v>
      </c>
    </row>
    <row r="73" spans="1:6" x14ac:dyDescent="0.25">
      <c r="A73" s="1" t="s">
        <v>374</v>
      </c>
      <c r="B73" s="1" t="s">
        <v>1622</v>
      </c>
      <c r="C73" s="1" t="s">
        <v>15</v>
      </c>
      <c r="D73" s="3">
        <f t="shared" si="9"/>
        <v>8800</v>
      </c>
      <c r="E73" s="2">
        <f t="shared" si="7"/>
        <v>44013</v>
      </c>
      <c r="F73" s="2">
        <f t="shared" si="10"/>
        <v>44377</v>
      </c>
    </row>
    <row r="74" spans="1:6" x14ac:dyDescent="0.25">
      <c r="A74" s="1" t="s">
        <v>374</v>
      </c>
      <c r="B74" s="1" t="s">
        <v>1622</v>
      </c>
      <c r="C74" s="1" t="s">
        <v>17</v>
      </c>
      <c r="D74" s="3">
        <f t="shared" si="9"/>
        <v>8800</v>
      </c>
      <c r="E74" s="2">
        <f t="shared" si="7"/>
        <v>44013</v>
      </c>
      <c r="F74" s="2">
        <f t="shared" si="10"/>
        <v>44377</v>
      </c>
    </row>
    <row r="75" spans="1:6" x14ac:dyDescent="0.25">
      <c r="A75" s="1" t="s">
        <v>374</v>
      </c>
      <c r="B75" s="1" t="s">
        <v>1622</v>
      </c>
      <c r="C75" s="1" t="s">
        <v>91</v>
      </c>
      <c r="D75" s="3">
        <f t="shared" si="9"/>
        <v>8800</v>
      </c>
      <c r="E75" s="2">
        <f t="shared" si="7"/>
        <v>44013</v>
      </c>
      <c r="F75" s="2">
        <f t="shared" si="10"/>
        <v>44377</v>
      </c>
    </row>
    <row r="76" spans="1:6" x14ac:dyDescent="0.25">
      <c r="A76" s="1" t="s">
        <v>374</v>
      </c>
      <c r="B76" s="1" t="s">
        <v>1622</v>
      </c>
      <c r="C76" s="1" t="s">
        <v>383</v>
      </c>
      <c r="D76" s="3">
        <f t="shared" si="9"/>
        <v>8800</v>
      </c>
      <c r="E76" s="2">
        <f t="shared" si="7"/>
        <v>44013</v>
      </c>
      <c r="F76" s="2">
        <f t="shared" si="10"/>
        <v>44377</v>
      </c>
    </row>
    <row r="77" spans="1:6" x14ac:dyDescent="0.25">
      <c r="A77" s="1" t="s">
        <v>374</v>
      </c>
      <c r="B77" s="1" t="s">
        <v>1622</v>
      </c>
      <c r="C77" s="1" t="s">
        <v>151</v>
      </c>
      <c r="D77" s="3">
        <f t="shared" si="9"/>
        <v>8800</v>
      </c>
      <c r="E77" s="2">
        <f t="shared" si="7"/>
        <v>44013</v>
      </c>
      <c r="F77" s="2">
        <f t="shared" si="10"/>
        <v>44377</v>
      </c>
    </row>
    <row r="78" spans="1:6" x14ac:dyDescent="0.25">
      <c r="A78" s="1" t="s">
        <v>374</v>
      </c>
      <c r="B78" s="1" t="s">
        <v>1622</v>
      </c>
      <c r="C78" s="1" t="s">
        <v>531</v>
      </c>
      <c r="D78" s="3">
        <f t="shared" si="9"/>
        <v>8800</v>
      </c>
      <c r="E78" s="2">
        <f t="shared" si="7"/>
        <v>44013</v>
      </c>
      <c r="F78" s="2">
        <f t="shared" si="10"/>
        <v>44377</v>
      </c>
    </row>
    <row r="79" spans="1:6" x14ac:dyDescent="0.25">
      <c r="A79" s="1" t="s">
        <v>374</v>
      </c>
      <c r="B79" s="1" t="s">
        <v>1622</v>
      </c>
      <c r="C79" s="1" t="s">
        <v>532</v>
      </c>
      <c r="D79" s="3">
        <f t="shared" si="9"/>
        <v>8800</v>
      </c>
      <c r="E79" s="2">
        <f t="shared" si="7"/>
        <v>44013</v>
      </c>
      <c r="F79" s="2">
        <f t="shared" si="10"/>
        <v>44377</v>
      </c>
    </row>
    <row r="80" spans="1:6" x14ac:dyDescent="0.25">
      <c r="A80" s="1" t="s">
        <v>374</v>
      </c>
      <c r="B80" s="1" t="s">
        <v>1622</v>
      </c>
      <c r="C80" s="1" t="s">
        <v>24</v>
      </c>
      <c r="D80" s="3">
        <f t="shared" si="9"/>
        <v>8800</v>
      </c>
      <c r="E80" s="2">
        <f t="shared" si="7"/>
        <v>44013</v>
      </c>
      <c r="F80" s="2">
        <f t="shared" si="10"/>
        <v>44377</v>
      </c>
    </row>
    <row r="81" spans="1:6" x14ac:dyDescent="0.25">
      <c r="A81" s="1" t="s">
        <v>374</v>
      </c>
      <c r="B81" s="1" t="s">
        <v>1622</v>
      </c>
      <c r="C81" s="1" t="s">
        <v>34</v>
      </c>
      <c r="D81" s="3">
        <f t="shared" si="9"/>
        <v>8800</v>
      </c>
      <c r="E81" s="2">
        <f t="shared" si="7"/>
        <v>44013</v>
      </c>
      <c r="F81" s="2">
        <f t="shared" si="10"/>
        <v>44377</v>
      </c>
    </row>
    <row r="82" spans="1:6" x14ac:dyDescent="0.25">
      <c r="A82" s="1" t="s">
        <v>374</v>
      </c>
      <c r="B82" s="1" t="s">
        <v>1622</v>
      </c>
      <c r="C82" s="1" t="s">
        <v>131</v>
      </c>
      <c r="D82" s="3">
        <f t="shared" si="9"/>
        <v>8800</v>
      </c>
      <c r="E82" s="2">
        <f t="shared" si="7"/>
        <v>44013</v>
      </c>
      <c r="F82" s="2">
        <f t="shared" si="10"/>
        <v>44377</v>
      </c>
    </row>
    <row r="83" spans="1:6" x14ac:dyDescent="0.25">
      <c r="A83" s="1" t="s">
        <v>374</v>
      </c>
      <c r="B83" s="1" t="s">
        <v>1622</v>
      </c>
      <c r="C83" s="1" t="s">
        <v>520</v>
      </c>
      <c r="D83" s="3">
        <f t="shared" si="9"/>
        <v>8800</v>
      </c>
      <c r="E83" s="2">
        <f t="shared" si="7"/>
        <v>44013</v>
      </c>
      <c r="F83" s="2">
        <f t="shared" si="10"/>
        <v>44377</v>
      </c>
    </row>
    <row r="84" spans="1:6" x14ac:dyDescent="0.25">
      <c r="A84" s="1" t="s">
        <v>374</v>
      </c>
      <c r="B84" s="1" t="s">
        <v>1583</v>
      </c>
      <c r="C84" s="1" t="s">
        <v>140</v>
      </c>
      <c r="D84" s="3">
        <f t="shared" ref="D84:D97" si="11">VALUE("8766")</f>
        <v>8766</v>
      </c>
      <c r="E84" s="2">
        <f t="shared" ref="E84:E97" si="12">DATEVALUE("1-5-2020")</f>
        <v>43952</v>
      </c>
      <c r="F84" s="2">
        <f t="shared" ref="F84:F97" si="13">DATEVALUE("31-12-2020")</f>
        <v>44196</v>
      </c>
    </row>
    <row r="85" spans="1:6" x14ac:dyDescent="0.25">
      <c r="A85" s="1" t="s">
        <v>374</v>
      </c>
      <c r="B85" s="1" t="s">
        <v>1583</v>
      </c>
      <c r="C85" s="1" t="s">
        <v>141</v>
      </c>
      <c r="D85" s="3">
        <f t="shared" si="11"/>
        <v>8766</v>
      </c>
      <c r="E85" s="2">
        <f t="shared" si="12"/>
        <v>43952</v>
      </c>
      <c r="F85" s="2">
        <f t="shared" si="13"/>
        <v>44196</v>
      </c>
    </row>
    <row r="86" spans="1:6" x14ac:dyDescent="0.25">
      <c r="A86" s="1" t="s">
        <v>374</v>
      </c>
      <c r="B86" s="1" t="s">
        <v>1583</v>
      </c>
      <c r="C86" s="1" t="s">
        <v>14</v>
      </c>
      <c r="D86" s="3">
        <f t="shared" si="11"/>
        <v>8766</v>
      </c>
      <c r="E86" s="2">
        <f t="shared" si="12"/>
        <v>43952</v>
      </c>
      <c r="F86" s="2">
        <f t="shared" si="13"/>
        <v>44196</v>
      </c>
    </row>
    <row r="87" spans="1:6" x14ac:dyDescent="0.25">
      <c r="A87" s="1" t="s">
        <v>374</v>
      </c>
      <c r="B87" s="1" t="s">
        <v>1583</v>
      </c>
      <c r="C87" s="1" t="s">
        <v>15</v>
      </c>
      <c r="D87" s="3">
        <f t="shared" si="11"/>
        <v>8766</v>
      </c>
      <c r="E87" s="2">
        <f t="shared" si="12"/>
        <v>43952</v>
      </c>
      <c r="F87" s="2">
        <f t="shared" si="13"/>
        <v>44196</v>
      </c>
    </row>
    <row r="88" spans="1:6" x14ac:dyDescent="0.25">
      <c r="A88" s="1" t="s">
        <v>374</v>
      </c>
      <c r="B88" s="1" t="s">
        <v>1583</v>
      </c>
      <c r="C88" s="1" t="s">
        <v>16</v>
      </c>
      <c r="D88" s="3">
        <f t="shared" si="11"/>
        <v>8766</v>
      </c>
      <c r="E88" s="2">
        <f t="shared" si="12"/>
        <v>43952</v>
      </c>
      <c r="F88" s="2">
        <f t="shared" si="13"/>
        <v>44196</v>
      </c>
    </row>
    <row r="89" spans="1:6" x14ac:dyDescent="0.25">
      <c r="A89" s="1" t="s">
        <v>374</v>
      </c>
      <c r="B89" s="1" t="s">
        <v>1583</v>
      </c>
      <c r="C89" s="1" t="s">
        <v>17</v>
      </c>
      <c r="D89" s="3">
        <f t="shared" si="11"/>
        <v>8766</v>
      </c>
      <c r="E89" s="2">
        <f t="shared" si="12"/>
        <v>43952</v>
      </c>
      <c r="F89" s="2">
        <f t="shared" si="13"/>
        <v>44196</v>
      </c>
    </row>
    <row r="90" spans="1:6" x14ac:dyDescent="0.25">
      <c r="A90" s="1" t="s">
        <v>374</v>
      </c>
      <c r="B90" s="1" t="s">
        <v>1583</v>
      </c>
      <c r="C90" s="1" t="s">
        <v>250</v>
      </c>
      <c r="D90" s="3">
        <f t="shared" si="11"/>
        <v>8766</v>
      </c>
      <c r="E90" s="2">
        <f t="shared" si="12"/>
        <v>43952</v>
      </c>
      <c r="F90" s="2">
        <f t="shared" si="13"/>
        <v>44196</v>
      </c>
    </row>
    <row r="91" spans="1:6" x14ac:dyDescent="0.25">
      <c r="A91" s="1" t="s">
        <v>374</v>
      </c>
      <c r="B91" s="1" t="s">
        <v>1583</v>
      </c>
      <c r="C91" s="1" t="s">
        <v>146</v>
      </c>
      <c r="D91" s="3">
        <f t="shared" si="11"/>
        <v>8766</v>
      </c>
      <c r="E91" s="2">
        <f t="shared" si="12"/>
        <v>43952</v>
      </c>
      <c r="F91" s="2">
        <f t="shared" si="13"/>
        <v>44196</v>
      </c>
    </row>
    <row r="92" spans="1:6" x14ac:dyDescent="0.25">
      <c r="A92" s="1" t="s">
        <v>374</v>
      </c>
      <c r="B92" s="1" t="s">
        <v>1583</v>
      </c>
      <c r="C92" s="1" t="s">
        <v>67</v>
      </c>
      <c r="D92" s="3">
        <f t="shared" si="11"/>
        <v>8766</v>
      </c>
      <c r="E92" s="2">
        <f t="shared" si="12"/>
        <v>43952</v>
      </c>
      <c r="F92" s="2">
        <f t="shared" si="13"/>
        <v>44196</v>
      </c>
    </row>
    <row r="93" spans="1:6" x14ac:dyDescent="0.25">
      <c r="A93" s="1" t="s">
        <v>374</v>
      </c>
      <c r="B93" s="1" t="s">
        <v>1583</v>
      </c>
      <c r="C93" s="1" t="s">
        <v>151</v>
      </c>
      <c r="D93" s="3">
        <f t="shared" si="11"/>
        <v>8766</v>
      </c>
      <c r="E93" s="2">
        <f t="shared" si="12"/>
        <v>43952</v>
      </c>
      <c r="F93" s="2">
        <f t="shared" si="13"/>
        <v>44196</v>
      </c>
    </row>
    <row r="94" spans="1:6" x14ac:dyDescent="0.25">
      <c r="A94" s="1" t="s">
        <v>374</v>
      </c>
      <c r="B94" s="1" t="s">
        <v>1583</v>
      </c>
      <c r="C94" s="1" t="s">
        <v>155</v>
      </c>
      <c r="D94" s="3">
        <f t="shared" si="11"/>
        <v>8766</v>
      </c>
      <c r="E94" s="2">
        <f t="shared" si="12"/>
        <v>43952</v>
      </c>
      <c r="F94" s="2">
        <f t="shared" si="13"/>
        <v>44196</v>
      </c>
    </row>
    <row r="95" spans="1:6" x14ac:dyDescent="0.25">
      <c r="A95" s="1" t="s">
        <v>374</v>
      </c>
      <c r="B95" s="1" t="s">
        <v>1583</v>
      </c>
      <c r="C95" s="1" t="s">
        <v>24</v>
      </c>
      <c r="D95" s="3">
        <f t="shared" si="11"/>
        <v>8766</v>
      </c>
      <c r="E95" s="2">
        <f t="shared" si="12"/>
        <v>43952</v>
      </c>
      <c r="F95" s="2">
        <f t="shared" si="13"/>
        <v>44196</v>
      </c>
    </row>
    <row r="96" spans="1:6" x14ac:dyDescent="0.25">
      <c r="A96" s="1" t="s">
        <v>374</v>
      </c>
      <c r="B96" s="1" t="s">
        <v>1583</v>
      </c>
      <c r="C96" s="1" t="s">
        <v>162</v>
      </c>
      <c r="D96" s="3">
        <f t="shared" si="11"/>
        <v>8766</v>
      </c>
      <c r="E96" s="2">
        <f t="shared" si="12"/>
        <v>43952</v>
      </c>
      <c r="F96" s="2">
        <f t="shared" si="13"/>
        <v>44196</v>
      </c>
    </row>
    <row r="97" spans="1:6" x14ac:dyDescent="0.25">
      <c r="A97" s="1" t="s">
        <v>374</v>
      </c>
      <c r="B97" s="1" t="s">
        <v>1583</v>
      </c>
      <c r="C97" s="1" t="s">
        <v>34</v>
      </c>
      <c r="D97" s="3">
        <f t="shared" si="11"/>
        <v>8766</v>
      </c>
      <c r="E97" s="2">
        <f t="shared" si="12"/>
        <v>43952</v>
      </c>
      <c r="F97" s="2">
        <f t="shared" si="13"/>
        <v>44196</v>
      </c>
    </row>
    <row r="98" spans="1:6" x14ac:dyDescent="0.25">
      <c r="A98" s="1" t="s">
        <v>374</v>
      </c>
      <c r="B98" s="1" t="s">
        <v>2491</v>
      </c>
      <c r="C98" s="1" t="s">
        <v>14</v>
      </c>
      <c r="D98" s="3">
        <f t="shared" ref="D98:D113" si="14">VALUE("8708")</f>
        <v>8708</v>
      </c>
      <c r="E98" s="2">
        <f t="shared" ref="E98:E129" si="15">DATEVALUE("1-3-2020")</f>
        <v>43891</v>
      </c>
      <c r="F98" s="2">
        <f t="shared" ref="F98:F113" si="16">DATEVALUE("30-4-2020")</f>
        <v>43951</v>
      </c>
    </row>
    <row r="99" spans="1:6" x14ac:dyDescent="0.25">
      <c r="A99" s="1" t="s">
        <v>374</v>
      </c>
      <c r="B99" s="1" t="s">
        <v>2491</v>
      </c>
      <c r="C99" s="1" t="s">
        <v>15</v>
      </c>
      <c r="D99" s="3">
        <f t="shared" si="14"/>
        <v>8708</v>
      </c>
      <c r="E99" s="2">
        <f t="shared" si="15"/>
        <v>43891</v>
      </c>
      <c r="F99" s="2">
        <f t="shared" si="16"/>
        <v>43951</v>
      </c>
    </row>
    <row r="100" spans="1:6" x14ac:dyDescent="0.25">
      <c r="A100" s="1" t="s">
        <v>374</v>
      </c>
      <c r="B100" s="1" t="s">
        <v>2491</v>
      </c>
      <c r="C100" s="1" t="s">
        <v>17</v>
      </c>
      <c r="D100" s="3">
        <f t="shared" si="14"/>
        <v>8708</v>
      </c>
      <c r="E100" s="2">
        <f t="shared" si="15"/>
        <v>43891</v>
      </c>
      <c r="F100" s="2">
        <f t="shared" si="16"/>
        <v>43951</v>
      </c>
    </row>
    <row r="101" spans="1:6" x14ac:dyDescent="0.25">
      <c r="A101" s="1" t="s">
        <v>374</v>
      </c>
      <c r="B101" s="1" t="s">
        <v>2491</v>
      </c>
      <c r="C101" s="1" t="s">
        <v>127</v>
      </c>
      <c r="D101" s="3">
        <f t="shared" si="14"/>
        <v>8708</v>
      </c>
      <c r="E101" s="2">
        <f t="shared" si="15"/>
        <v>43891</v>
      </c>
      <c r="F101" s="2">
        <f t="shared" si="16"/>
        <v>43951</v>
      </c>
    </row>
    <row r="102" spans="1:6" x14ac:dyDescent="0.25">
      <c r="A102" s="1" t="s">
        <v>374</v>
      </c>
      <c r="B102" s="1" t="s">
        <v>2491</v>
      </c>
      <c r="C102" s="1" t="s">
        <v>22</v>
      </c>
      <c r="D102" s="3">
        <f t="shared" si="14"/>
        <v>8708</v>
      </c>
      <c r="E102" s="2">
        <f t="shared" si="15"/>
        <v>43891</v>
      </c>
      <c r="F102" s="2">
        <f t="shared" si="16"/>
        <v>43951</v>
      </c>
    </row>
    <row r="103" spans="1:6" x14ac:dyDescent="0.25">
      <c r="A103" s="1" t="s">
        <v>374</v>
      </c>
      <c r="B103" s="1" t="s">
        <v>2491</v>
      </c>
      <c r="C103" s="1" t="s">
        <v>67</v>
      </c>
      <c r="D103" s="3">
        <f t="shared" si="14"/>
        <v>8708</v>
      </c>
      <c r="E103" s="2">
        <f t="shared" si="15"/>
        <v>43891</v>
      </c>
      <c r="F103" s="2">
        <f t="shared" si="16"/>
        <v>43951</v>
      </c>
    </row>
    <row r="104" spans="1:6" x14ac:dyDescent="0.25">
      <c r="A104" s="1" t="s">
        <v>374</v>
      </c>
      <c r="B104" s="1" t="s">
        <v>2491</v>
      </c>
      <c r="C104" s="1" t="s">
        <v>24</v>
      </c>
      <c r="D104" s="3">
        <f t="shared" si="14"/>
        <v>8708</v>
      </c>
      <c r="E104" s="2">
        <f t="shared" si="15"/>
        <v>43891</v>
      </c>
      <c r="F104" s="2">
        <f t="shared" si="16"/>
        <v>43951</v>
      </c>
    </row>
    <row r="105" spans="1:6" x14ac:dyDescent="0.25">
      <c r="A105" s="1" t="s">
        <v>374</v>
      </c>
      <c r="B105" s="1" t="s">
        <v>2491</v>
      </c>
      <c r="C105" s="1" t="s">
        <v>73</v>
      </c>
      <c r="D105" s="3">
        <f t="shared" si="14"/>
        <v>8708</v>
      </c>
      <c r="E105" s="2">
        <f t="shared" si="15"/>
        <v>43891</v>
      </c>
      <c r="F105" s="2">
        <f t="shared" si="16"/>
        <v>43951</v>
      </c>
    </row>
    <row r="106" spans="1:6" x14ac:dyDescent="0.25">
      <c r="A106" s="1" t="s">
        <v>374</v>
      </c>
      <c r="B106" s="1" t="s">
        <v>2491</v>
      </c>
      <c r="C106" s="1" t="s">
        <v>295</v>
      </c>
      <c r="D106" s="3">
        <f t="shared" si="14"/>
        <v>8708</v>
      </c>
      <c r="E106" s="2">
        <f t="shared" si="15"/>
        <v>43891</v>
      </c>
      <c r="F106" s="2">
        <f t="shared" si="16"/>
        <v>43951</v>
      </c>
    </row>
    <row r="107" spans="1:6" x14ac:dyDescent="0.25">
      <c r="A107" s="1" t="s">
        <v>374</v>
      </c>
      <c r="B107" s="1" t="s">
        <v>2491</v>
      </c>
      <c r="C107" s="1" t="s">
        <v>52</v>
      </c>
      <c r="D107" s="3">
        <f t="shared" si="14"/>
        <v>8708</v>
      </c>
      <c r="E107" s="2">
        <f t="shared" si="15"/>
        <v>43891</v>
      </c>
      <c r="F107" s="2">
        <f t="shared" si="16"/>
        <v>43951</v>
      </c>
    </row>
    <row r="108" spans="1:6" x14ac:dyDescent="0.25">
      <c r="A108" s="1" t="s">
        <v>374</v>
      </c>
      <c r="B108" s="1" t="s">
        <v>2491</v>
      </c>
      <c r="C108" s="1" t="s">
        <v>378</v>
      </c>
      <c r="D108" s="3">
        <f t="shared" si="14"/>
        <v>8708</v>
      </c>
      <c r="E108" s="2">
        <f t="shared" si="15"/>
        <v>43891</v>
      </c>
      <c r="F108" s="2">
        <f t="shared" si="16"/>
        <v>43951</v>
      </c>
    </row>
    <row r="109" spans="1:6" x14ac:dyDescent="0.25">
      <c r="A109" s="1" t="s">
        <v>374</v>
      </c>
      <c r="B109" s="1" t="s">
        <v>2491</v>
      </c>
      <c r="C109" s="1" t="s">
        <v>34</v>
      </c>
      <c r="D109" s="3">
        <f t="shared" si="14"/>
        <v>8708</v>
      </c>
      <c r="E109" s="2">
        <f t="shared" si="15"/>
        <v>43891</v>
      </c>
      <c r="F109" s="2">
        <f t="shared" si="16"/>
        <v>43951</v>
      </c>
    </row>
    <row r="110" spans="1:6" x14ac:dyDescent="0.25">
      <c r="A110" s="1" t="s">
        <v>374</v>
      </c>
      <c r="B110" s="1" t="s">
        <v>2491</v>
      </c>
      <c r="C110" s="1" t="s">
        <v>379</v>
      </c>
      <c r="D110" s="3">
        <f t="shared" si="14"/>
        <v>8708</v>
      </c>
      <c r="E110" s="2">
        <f t="shared" si="15"/>
        <v>43891</v>
      </c>
      <c r="F110" s="2">
        <f t="shared" si="16"/>
        <v>43951</v>
      </c>
    </row>
    <row r="111" spans="1:6" x14ac:dyDescent="0.25">
      <c r="A111" s="1" t="s">
        <v>374</v>
      </c>
      <c r="B111" s="1" t="s">
        <v>2491</v>
      </c>
      <c r="C111" s="1" t="s">
        <v>380</v>
      </c>
      <c r="D111" s="3">
        <f t="shared" si="14"/>
        <v>8708</v>
      </c>
      <c r="E111" s="2">
        <f t="shared" si="15"/>
        <v>43891</v>
      </c>
      <c r="F111" s="2">
        <f t="shared" si="16"/>
        <v>43951</v>
      </c>
    </row>
    <row r="112" spans="1:6" x14ac:dyDescent="0.25">
      <c r="A112" s="1" t="s">
        <v>374</v>
      </c>
      <c r="B112" s="1" t="s">
        <v>2491</v>
      </c>
      <c r="C112" s="1" t="s">
        <v>381</v>
      </c>
      <c r="D112" s="3">
        <f t="shared" si="14"/>
        <v>8708</v>
      </c>
      <c r="E112" s="2">
        <f t="shared" si="15"/>
        <v>43891</v>
      </c>
      <c r="F112" s="2">
        <f t="shared" si="16"/>
        <v>43951</v>
      </c>
    </row>
    <row r="113" spans="1:6" x14ac:dyDescent="0.25">
      <c r="A113" s="1" t="s">
        <v>374</v>
      </c>
      <c r="B113" s="1" t="s">
        <v>2491</v>
      </c>
      <c r="C113" s="1" t="s">
        <v>170</v>
      </c>
      <c r="D113" s="3">
        <f t="shared" si="14"/>
        <v>8708</v>
      </c>
      <c r="E113" s="2">
        <f t="shared" si="15"/>
        <v>43891</v>
      </c>
      <c r="F113" s="2">
        <f t="shared" si="16"/>
        <v>43951</v>
      </c>
    </row>
    <row r="114" spans="1:6" x14ac:dyDescent="0.25">
      <c r="A114" s="1" t="s">
        <v>374</v>
      </c>
      <c r="B114" s="1" t="s">
        <v>1524</v>
      </c>
      <c r="C114" s="1" t="s">
        <v>1525</v>
      </c>
      <c r="D114" s="3">
        <f t="shared" ref="D114:D152" si="17">VALUE("8720")</f>
        <v>8720</v>
      </c>
      <c r="E114" s="2">
        <f t="shared" si="15"/>
        <v>43891</v>
      </c>
      <c r="F114" s="2">
        <f t="shared" ref="F114:F152" si="18">DATEVALUE("28-2-2021")</f>
        <v>44255</v>
      </c>
    </row>
    <row r="115" spans="1:6" x14ac:dyDescent="0.25">
      <c r="A115" s="1" t="s">
        <v>374</v>
      </c>
      <c r="B115" s="1" t="s">
        <v>1524</v>
      </c>
      <c r="C115" s="1" t="s">
        <v>1526</v>
      </c>
      <c r="D115" s="3">
        <f t="shared" si="17"/>
        <v>8720</v>
      </c>
      <c r="E115" s="2">
        <f t="shared" si="15"/>
        <v>43891</v>
      </c>
      <c r="F115" s="2">
        <f t="shared" si="18"/>
        <v>44255</v>
      </c>
    </row>
    <row r="116" spans="1:6" x14ac:dyDescent="0.25">
      <c r="A116" s="1" t="s">
        <v>374</v>
      </c>
      <c r="B116" s="1" t="s">
        <v>1524</v>
      </c>
      <c r="C116" s="1" t="s">
        <v>1527</v>
      </c>
      <c r="D116" s="3">
        <f t="shared" si="17"/>
        <v>8720</v>
      </c>
      <c r="E116" s="2">
        <f t="shared" si="15"/>
        <v>43891</v>
      </c>
      <c r="F116" s="2">
        <f t="shared" si="18"/>
        <v>44255</v>
      </c>
    </row>
    <row r="117" spans="1:6" x14ac:dyDescent="0.25">
      <c r="A117" s="1" t="s">
        <v>374</v>
      </c>
      <c r="B117" s="1" t="s">
        <v>1524</v>
      </c>
      <c r="C117" s="1" t="s">
        <v>7</v>
      </c>
      <c r="D117" s="3">
        <f t="shared" si="17"/>
        <v>8720</v>
      </c>
      <c r="E117" s="2">
        <f t="shared" si="15"/>
        <v>43891</v>
      </c>
      <c r="F117" s="2">
        <f t="shared" si="18"/>
        <v>44255</v>
      </c>
    </row>
    <row r="118" spans="1:6" x14ac:dyDescent="0.25">
      <c r="A118" s="1" t="s">
        <v>374</v>
      </c>
      <c r="B118" s="1" t="s">
        <v>1524</v>
      </c>
      <c r="C118" s="1" t="s">
        <v>6</v>
      </c>
      <c r="D118" s="3">
        <f t="shared" si="17"/>
        <v>8720</v>
      </c>
      <c r="E118" s="2">
        <f t="shared" si="15"/>
        <v>43891</v>
      </c>
      <c r="F118" s="2">
        <f t="shared" si="18"/>
        <v>44255</v>
      </c>
    </row>
    <row r="119" spans="1:6" x14ac:dyDescent="0.25">
      <c r="A119" s="1" t="s">
        <v>374</v>
      </c>
      <c r="B119" s="1" t="s">
        <v>1524</v>
      </c>
      <c r="C119" s="1" t="s">
        <v>42</v>
      </c>
      <c r="D119" s="3">
        <f t="shared" si="17"/>
        <v>8720</v>
      </c>
      <c r="E119" s="2">
        <f t="shared" si="15"/>
        <v>43891</v>
      </c>
      <c r="F119" s="2">
        <f t="shared" si="18"/>
        <v>44255</v>
      </c>
    </row>
    <row r="120" spans="1:6" x14ac:dyDescent="0.25">
      <c r="A120" s="1" t="s">
        <v>374</v>
      </c>
      <c r="B120" s="1" t="s">
        <v>1524</v>
      </c>
      <c r="C120" s="1" t="s">
        <v>61</v>
      </c>
      <c r="D120" s="3">
        <f t="shared" si="17"/>
        <v>8720</v>
      </c>
      <c r="E120" s="2">
        <f t="shared" si="15"/>
        <v>43891</v>
      </c>
      <c r="F120" s="2">
        <f t="shared" si="18"/>
        <v>44255</v>
      </c>
    </row>
    <row r="121" spans="1:6" x14ac:dyDescent="0.25">
      <c r="A121" s="1" t="s">
        <v>374</v>
      </c>
      <c r="B121" s="1" t="s">
        <v>1524</v>
      </c>
      <c r="C121" s="1" t="s">
        <v>62</v>
      </c>
      <c r="D121" s="3">
        <f t="shared" si="17"/>
        <v>8720</v>
      </c>
      <c r="E121" s="2">
        <f t="shared" si="15"/>
        <v>43891</v>
      </c>
      <c r="F121" s="2">
        <f t="shared" si="18"/>
        <v>44255</v>
      </c>
    </row>
    <row r="122" spans="1:6" x14ac:dyDescent="0.25">
      <c r="A122" s="1" t="s">
        <v>374</v>
      </c>
      <c r="B122" s="1" t="s">
        <v>1524</v>
      </c>
      <c r="C122" s="1" t="s">
        <v>63</v>
      </c>
      <c r="D122" s="3">
        <f t="shared" si="17"/>
        <v>8720</v>
      </c>
      <c r="E122" s="2">
        <f t="shared" si="15"/>
        <v>43891</v>
      </c>
      <c r="F122" s="2">
        <f t="shared" si="18"/>
        <v>44255</v>
      </c>
    </row>
    <row r="123" spans="1:6" x14ac:dyDescent="0.25">
      <c r="A123" s="1" t="s">
        <v>374</v>
      </c>
      <c r="B123" s="1" t="s">
        <v>1524</v>
      </c>
      <c r="C123" s="1" t="s">
        <v>1397</v>
      </c>
      <c r="D123" s="3">
        <f t="shared" si="17"/>
        <v>8720</v>
      </c>
      <c r="E123" s="2">
        <f t="shared" si="15"/>
        <v>43891</v>
      </c>
      <c r="F123" s="2">
        <f t="shared" si="18"/>
        <v>44255</v>
      </c>
    </row>
    <row r="124" spans="1:6" x14ac:dyDescent="0.25">
      <c r="A124" s="1" t="s">
        <v>374</v>
      </c>
      <c r="B124" s="1" t="s">
        <v>1524</v>
      </c>
      <c r="C124" s="1" t="s">
        <v>45</v>
      </c>
      <c r="D124" s="3">
        <f t="shared" si="17"/>
        <v>8720</v>
      </c>
      <c r="E124" s="2">
        <f t="shared" si="15"/>
        <v>43891</v>
      </c>
      <c r="F124" s="2">
        <f t="shared" si="18"/>
        <v>44255</v>
      </c>
    </row>
    <row r="125" spans="1:6" x14ac:dyDescent="0.25">
      <c r="A125" s="1" t="s">
        <v>374</v>
      </c>
      <c r="B125" s="1" t="s">
        <v>1524</v>
      </c>
      <c r="C125" s="1" t="s">
        <v>44</v>
      </c>
      <c r="D125" s="3">
        <f t="shared" si="17"/>
        <v>8720</v>
      </c>
      <c r="E125" s="2">
        <f t="shared" si="15"/>
        <v>43891</v>
      </c>
      <c r="F125" s="2">
        <f t="shared" si="18"/>
        <v>44255</v>
      </c>
    </row>
    <row r="126" spans="1:6" x14ac:dyDescent="0.25">
      <c r="A126" s="1" t="s">
        <v>374</v>
      </c>
      <c r="B126" s="1" t="s">
        <v>1524</v>
      </c>
      <c r="C126" s="1" t="s">
        <v>65</v>
      </c>
      <c r="D126" s="3">
        <f t="shared" si="17"/>
        <v>8720</v>
      </c>
      <c r="E126" s="2">
        <f t="shared" si="15"/>
        <v>43891</v>
      </c>
      <c r="F126" s="2">
        <f t="shared" si="18"/>
        <v>44255</v>
      </c>
    </row>
    <row r="127" spans="1:6" x14ac:dyDescent="0.25">
      <c r="A127" s="1" t="s">
        <v>374</v>
      </c>
      <c r="B127" s="1" t="s">
        <v>1524</v>
      </c>
      <c r="C127" s="1" t="s">
        <v>14</v>
      </c>
      <c r="D127" s="3">
        <f t="shared" si="17"/>
        <v>8720</v>
      </c>
      <c r="E127" s="2">
        <f t="shared" si="15"/>
        <v>43891</v>
      </c>
      <c r="F127" s="2">
        <f t="shared" si="18"/>
        <v>44255</v>
      </c>
    </row>
    <row r="128" spans="1:6" x14ac:dyDescent="0.25">
      <c r="A128" s="1" t="s">
        <v>374</v>
      </c>
      <c r="B128" s="1" t="s">
        <v>1524</v>
      </c>
      <c r="C128" s="1" t="s">
        <v>88</v>
      </c>
      <c r="D128" s="3">
        <f t="shared" si="17"/>
        <v>8720</v>
      </c>
      <c r="E128" s="2">
        <f t="shared" si="15"/>
        <v>43891</v>
      </c>
      <c r="F128" s="2">
        <f t="shared" si="18"/>
        <v>44255</v>
      </c>
    </row>
    <row r="129" spans="1:6" x14ac:dyDescent="0.25">
      <c r="A129" s="1" t="s">
        <v>374</v>
      </c>
      <c r="B129" s="1" t="s">
        <v>1524</v>
      </c>
      <c r="C129" s="1" t="s">
        <v>17</v>
      </c>
      <c r="D129" s="3">
        <f t="shared" si="17"/>
        <v>8720</v>
      </c>
      <c r="E129" s="2">
        <f t="shared" si="15"/>
        <v>43891</v>
      </c>
      <c r="F129" s="2">
        <f t="shared" si="18"/>
        <v>44255</v>
      </c>
    </row>
    <row r="130" spans="1:6" x14ac:dyDescent="0.25">
      <c r="A130" s="1" t="s">
        <v>374</v>
      </c>
      <c r="B130" s="1" t="s">
        <v>1524</v>
      </c>
      <c r="C130" s="1" t="s">
        <v>19</v>
      </c>
      <c r="D130" s="3">
        <f t="shared" si="17"/>
        <v>8720</v>
      </c>
      <c r="E130" s="2">
        <f t="shared" ref="E130:E152" si="19">DATEVALUE("1-3-2020")</f>
        <v>43891</v>
      </c>
      <c r="F130" s="2">
        <f t="shared" si="18"/>
        <v>44255</v>
      </c>
    </row>
    <row r="131" spans="1:6" x14ac:dyDescent="0.25">
      <c r="A131" s="1" t="s">
        <v>374</v>
      </c>
      <c r="B131" s="1" t="s">
        <v>1524</v>
      </c>
      <c r="C131" s="1" t="s">
        <v>193</v>
      </c>
      <c r="D131" s="3">
        <f t="shared" si="17"/>
        <v>8720</v>
      </c>
      <c r="E131" s="2">
        <f t="shared" si="19"/>
        <v>43891</v>
      </c>
      <c r="F131" s="2">
        <f t="shared" si="18"/>
        <v>44255</v>
      </c>
    </row>
    <row r="132" spans="1:6" x14ac:dyDescent="0.25">
      <c r="A132" s="1" t="s">
        <v>374</v>
      </c>
      <c r="B132" s="1" t="s">
        <v>1524</v>
      </c>
      <c r="C132" s="1" t="s">
        <v>20</v>
      </c>
      <c r="D132" s="3">
        <f t="shared" si="17"/>
        <v>8720</v>
      </c>
      <c r="E132" s="2">
        <f t="shared" si="19"/>
        <v>43891</v>
      </c>
      <c r="F132" s="2">
        <f t="shared" si="18"/>
        <v>44255</v>
      </c>
    </row>
    <row r="133" spans="1:6" x14ac:dyDescent="0.25">
      <c r="A133" s="1" t="s">
        <v>374</v>
      </c>
      <c r="B133" s="1" t="s">
        <v>1524</v>
      </c>
      <c r="C133" s="1" t="s">
        <v>22</v>
      </c>
      <c r="D133" s="3">
        <f t="shared" si="17"/>
        <v>8720</v>
      </c>
      <c r="E133" s="2">
        <f t="shared" si="19"/>
        <v>43891</v>
      </c>
      <c r="F133" s="2">
        <f t="shared" si="18"/>
        <v>44255</v>
      </c>
    </row>
    <row r="134" spans="1:6" x14ac:dyDescent="0.25">
      <c r="A134" s="1" t="s">
        <v>374</v>
      </c>
      <c r="B134" s="1" t="s">
        <v>1524</v>
      </c>
      <c r="C134" s="1" t="s">
        <v>67</v>
      </c>
      <c r="D134" s="3">
        <f t="shared" si="17"/>
        <v>8720</v>
      </c>
      <c r="E134" s="2">
        <f t="shared" si="19"/>
        <v>43891</v>
      </c>
      <c r="F134" s="2">
        <f t="shared" si="18"/>
        <v>44255</v>
      </c>
    </row>
    <row r="135" spans="1:6" x14ac:dyDescent="0.25">
      <c r="A135" s="1" t="s">
        <v>374</v>
      </c>
      <c r="B135" s="1" t="s">
        <v>1524</v>
      </c>
      <c r="C135" s="1" t="s">
        <v>400</v>
      </c>
      <c r="D135" s="3">
        <f t="shared" si="17"/>
        <v>8720</v>
      </c>
      <c r="E135" s="2">
        <f t="shared" si="19"/>
        <v>43891</v>
      </c>
      <c r="F135" s="2">
        <f t="shared" si="18"/>
        <v>44255</v>
      </c>
    </row>
    <row r="136" spans="1:6" x14ac:dyDescent="0.25">
      <c r="A136" s="1" t="s">
        <v>374</v>
      </c>
      <c r="B136" s="1" t="s">
        <v>1524</v>
      </c>
      <c r="C136" s="1" t="s">
        <v>654</v>
      </c>
      <c r="D136" s="3">
        <f t="shared" si="17"/>
        <v>8720</v>
      </c>
      <c r="E136" s="2">
        <f t="shared" si="19"/>
        <v>43891</v>
      </c>
      <c r="F136" s="2">
        <f t="shared" si="18"/>
        <v>44255</v>
      </c>
    </row>
    <row r="137" spans="1:6" x14ac:dyDescent="0.25">
      <c r="A137" s="1" t="s">
        <v>374</v>
      </c>
      <c r="B137" s="1" t="s">
        <v>1524</v>
      </c>
      <c r="C137" s="1" t="s">
        <v>1528</v>
      </c>
      <c r="D137" s="3">
        <f t="shared" si="17"/>
        <v>8720</v>
      </c>
      <c r="E137" s="2">
        <f t="shared" si="19"/>
        <v>43891</v>
      </c>
      <c r="F137" s="2">
        <f t="shared" si="18"/>
        <v>44255</v>
      </c>
    </row>
    <row r="138" spans="1:6" x14ac:dyDescent="0.25">
      <c r="A138" s="1" t="s">
        <v>374</v>
      </c>
      <c r="B138" s="1" t="s">
        <v>1524</v>
      </c>
      <c r="C138" s="1" t="s">
        <v>69</v>
      </c>
      <c r="D138" s="3">
        <f t="shared" si="17"/>
        <v>8720</v>
      </c>
      <c r="E138" s="2">
        <f t="shared" si="19"/>
        <v>43891</v>
      </c>
      <c r="F138" s="2">
        <f t="shared" si="18"/>
        <v>44255</v>
      </c>
    </row>
    <row r="139" spans="1:6" x14ac:dyDescent="0.25">
      <c r="A139" s="1" t="s">
        <v>374</v>
      </c>
      <c r="B139" s="1" t="s">
        <v>1524</v>
      </c>
      <c r="C139" s="1" t="s">
        <v>474</v>
      </c>
      <c r="D139" s="3">
        <f t="shared" si="17"/>
        <v>8720</v>
      </c>
      <c r="E139" s="2">
        <f t="shared" si="19"/>
        <v>43891</v>
      </c>
      <c r="F139" s="2">
        <f t="shared" si="18"/>
        <v>44255</v>
      </c>
    </row>
    <row r="140" spans="1:6" x14ac:dyDescent="0.25">
      <c r="A140" s="1" t="s">
        <v>374</v>
      </c>
      <c r="B140" s="1" t="s">
        <v>1524</v>
      </c>
      <c r="C140" s="1" t="s">
        <v>475</v>
      </c>
      <c r="D140" s="3">
        <f t="shared" si="17"/>
        <v>8720</v>
      </c>
      <c r="E140" s="2">
        <f t="shared" si="19"/>
        <v>43891</v>
      </c>
      <c r="F140" s="2">
        <f t="shared" si="18"/>
        <v>44255</v>
      </c>
    </row>
    <row r="141" spans="1:6" x14ac:dyDescent="0.25">
      <c r="A141" s="1" t="s">
        <v>374</v>
      </c>
      <c r="B141" s="1" t="s">
        <v>1524</v>
      </c>
      <c r="C141" s="1" t="s">
        <v>24</v>
      </c>
      <c r="D141" s="3">
        <f t="shared" si="17"/>
        <v>8720</v>
      </c>
      <c r="E141" s="2">
        <f t="shared" si="19"/>
        <v>43891</v>
      </c>
      <c r="F141" s="2">
        <f t="shared" si="18"/>
        <v>44255</v>
      </c>
    </row>
    <row r="142" spans="1:6" x14ac:dyDescent="0.25">
      <c r="A142" s="1" t="s">
        <v>374</v>
      </c>
      <c r="B142" s="1" t="s">
        <v>1524</v>
      </c>
      <c r="C142" s="1" t="s">
        <v>50</v>
      </c>
      <c r="D142" s="3">
        <f t="shared" si="17"/>
        <v>8720</v>
      </c>
      <c r="E142" s="2">
        <f t="shared" si="19"/>
        <v>43891</v>
      </c>
      <c r="F142" s="2">
        <f t="shared" si="18"/>
        <v>44255</v>
      </c>
    </row>
    <row r="143" spans="1:6" x14ac:dyDescent="0.25">
      <c r="A143" s="1" t="s">
        <v>374</v>
      </c>
      <c r="B143" s="1" t="s">
        <v>1524</v>
      </c>
      <c r="C143" s="1" t="s">
        <v>70</v>
      </c>
      <c r="D143" s="3">
        <f t="shared" si="17"/>
        <v>8720</v>
      </c>
      <c r="E143" s="2">
        <f t="shared" si="19"/>
        <v>43891</v>
      </c>
      <c r="F143" s="2">
        <f t="shared" si="18"/>
        <v>44255</v>
      </c>
    </row>
    <row r="144" spans="1:6" x14ac:dyDescent="0.25">
      <c r="A144" s="1" t="s">
        <v>374</v>
      </c>
      <c r="B144" s="1" t="s">
        <v>1524</v>
      </c>
      <c r="C144" s="1" t="s">
        <v>368</v>
      </c>
      <c r="D144" s="3">
        <f t="shared" si="17"/>
        <v>8720</v>
      </c>
      <c r="E144" s="2">
        <f t="shared" si="19"/>
        <v>43891</v>
      </c>
      <c r="F144" s="2">
        <f t="shared" si="18"/>
        <v>44255</v>
      </c>
    </row>
    <row r="145" spans="1:6" x14ac:dyDescent="0.25">
      <c r="A145" s="1" t="s">
        <v>374</v>
      </c>
      <c r="B145" s="1" t="s">
        <v>1524</v>
      </c>
      <c r="C145" s="1" t="s">
        <v>97</v>
      </c>
      <c r="D145" s="3">
        <f t="shared" si="17"/>
        <v>8720</v>
      </c>
      <c r="E145" s="2">
        <f t="shared" si="19"/>
        <v>43891</v>
      </c>
      <c r="F145" s="2">
        <f t="shared" si="18"/>
        <v>44255</v>
      </c>
    </row>
    <row r="146" spans="1:6" x14ac:dyDescent="0.25">
      <c r="A146" s="1" t="s">
        <v>374</v>
      </c>
      <c r="B146" s="1" t="s">
        <v>1524</v>
      </c>
      <c r="C146" s="1" t="s">
        <v>73</v>
      </c>
      <c r="D146" s="3">
        <f t="shared" si="17"/>
        <v>8720</v>
      </c>
      <c r="E146" s="2">
        <f t="shared" si="19"/>
        <v>43891</v>
      </c>
      <c r="F146" s="2">
        <f t="shared" si="18"/>
        <v>44255</v>
      </c>
    </row>
    <row r="147" spans="1:6" x14ac:dyDescent="0.25">
      <c r="A147" s="1" t="s">
        <v>374</v>
      </c>
      <c r="B147" s="1" t="s">
        <v>1524</v>
      </c>
      <c r="C147" s="1" t="s">
        <v>295</v>
      </c>
      <c r="D147" s="3">
        <f t="shared" si="17"/>
        <v>8720</v>
      </c>
      <c r="E147" s="2">
        <f t="shared" si="19"/>
        <v>43891</v>
      </c>
      <c r="F147" s="2">
        <f t="shared" si="18"/>
        <v>44255</v>
      </c>
    </row>
    <row r="148" spans="1:6" x14ac:dyDescent="0.25">
      <c r="A148" s="1" t="s">
        <v>374</v>
      </c>
      <c r="B148" s="1" t="s">
        <v>1524</v>
      </c>
      <c r="C148" s="1" t="s">
        <v>52</v>
      </c>
      <c r="D148" s="3">
        <f t="shared" si="17"/>
        <v>8720</v>
      </c>
      <c r="E148" s="2">
        <f t="shared" si="19"/>
        <v>43891</v>
      </c>
      <c r="F148" s="2">
        <f t="shared" si="18"/>
        <v>44255</v>
      </c>
    </row>
    <row r="149" spans="1:6" x14ac:dyDescent="0.25">
      <c r="A149" s="1" t="s">
        <v>374</v>
      </c>
      <c r="B149" s="1" t="s">
        <v>1524</v>
      </c>
      <c r="C149" s="1" t="s">
        <v>241</v>
      </c>
      <c r="D149" s="3">
        <f t="shared" si="17"/>
        <v>8720</v>
      </c>
      <c r="E149" s="2">
        <f t="shared" si="19"/>
        <v>43891</v>
      </c>
      <c r="F149" s="2">
        <f t="shared" si="18"/>
        <v>44255</v>
      </c>
    </row>
    <row r="150" spans="1:6" x14ac:dyDescent="0.25">
      <c r="A150" s="1" t="s">
        <v>374</v>
      </c>
      <c r="B150" s="1" t="s">
        <v>1524</v>
      </c>
      <c r="C150" s="1" t="s">
        <v>338</v>
      </c>
      <c r="D150" s="3">
        <f t="shared" si="17"/>
        <v>8720</v>
      </c>
      <c r="E150" s="2">
        <f t="shared" si="19"/>
        <v>43891</v>
      </c>
      <c r="F150" s="2">
        <f t="shared" si="18"/>
        <v>44255</v>
      </c>
    </row>
    <row r="151" spans="1:6" x14ac:dyDescent="0.25">
      <c r="A151" s="1" t="s">
        <v>374</v>
      </c>
      <c r="B151" s="1" t="s">
        <v>1524</v>
      </c>
      <c r="C151" s="1" t="s">
        <v>34</v>
      </c>
      <c r="D151" s="3">
        <f t="shared" si="17"/>
        <v>8720</v>
      </c>
      <c r="E151" s="2">
        <f t="shared" si="19"/>
        <v>43891</v>
      </c>
      <c r="F151" s="2">
        <f t="shared" si="18"/>
        <v>44255</v>
      </c>
    </row>
    <row r="152" spans="1:6" x14ac:dyDescent="0.25">
      <c r="A152" s="1" t="s">
        <v>374</v>
      </c>
      <c r="B152" s="1" t="s">
        <v>1524</v>
      </c>
      <c r="C152" s="1" t="s">
        <v>36</v>
      </c>
      <c r="D152" s="3">
        <f t="shared" si="17"/>
        <v>8720</v>
      </c>
      <c r="E152" s="2">
        <f t="shared" si="19"/>
        <v>43891</v>
      </c>
      <c r="F152" s="2">
        <f t="shared" si="18"/>
        <v>44255</v>
      </c>
    </row>
    <row r="153" spans="1:6" x14ac:dyDescent="0.25">
      <c r="A153" s="1" t="s">
        <v>374</v>
      </c>
      <c r="B153" s="1" t="s">
        <v>1825</v>
      </c>
      <c r="C153" s="1" t="s">
        <v>1473</v>
      </c>
      <c r="D153" s="3">
        <f>VALUE("8667")</f>
        <v>8667</v>
      </c>
      <c r="E153" s="2">
        <f>DATEVALUE("1-1-2020")</f>
        <v>43831</v>
      </c>
      <c r="F153" s="2">
        <f>DATEVALUE("31-7-2020")</f>
        <v>44043</v>
      </c>
    </row>
    <row r="154" spans="1:6" x14ac:dyDescent="0.25">
      <c r="A154" s="1" t="s">
        <v>374</v>
      </c>
      <c r="B154" s="1" t="s">
        <v>2099</v>
      </c>
      <c r="C154" s="1" t="s">
        <v>14</v>
      </c>
      <c r="D154" s="3">
        <f t="shared" ref="D154:D160" si="20">VALUE("8565")</f>
        <v>8565</v>
      </c>
      <c r="E154" s="2">
        <f t="shared" ref="E154:E160" si="21">DATEVALUE("1-7-2019")</f>
        <v>43647</v>
      </c>
      <c r="F154" s="2">
        <f t="shared" ref="F154:F160" si="22">DATEVALUE("30-11-2019")</f>
        <v>43799</v>
      </c>
    </row>
    <row r="155" spans="1:6" x14ac:dyDescent="0.25">
      <c r="A155" s="1" t="s">
        <v>374</v>
      </c>
      <c r="B155" s="1" t="s">
        <v>2099</v>
      </c>
      <c r="C155" s="1" t="s">
        <v>15</v>
      </c>
      <c r="D155" s="3">
        <f t="shared" si="20"/>
        <v>8565</v>
      </c>
      <c r="E155" s="2">
        <f t="shared" si="21"/>
        <v>43647</v>
      </c>
      <c r="F155" s="2">
        <f t="shared" si="22"/>
        <v>43799</v>
      </c>
    </row>
    <row r="156" spans="1:6" x14ac:dyDescent="0.25">
      <c r="A156" s="1" t="s">
        <v>374</v>
      </c>
      <c r="B156" s="1" t="s">
        <v>2099</v>
      </c>
      <c r="C156" s="1" t="s">
        <v>17</v>
      </c>
      <c r="D156" s="3">
        <f t="shared" si="20"/>
        <v>8565</v>
      </c>
      <c r="E156" s="2">
        <f t="shared" si="21"/>
        <v>43647</v>
      </c>
      <c r="F156" s="2">
        <f t="shared" si="22"/>
        <v>43799</v>
      </c>
    </row>
    <row r="157" spans="1:6" x14ac:dyDescent="0.25">
      <c r="A157" s="1" t="s">
        <v>374</v>
      </c>
      <c r="B157" s="1" t="s">
        <v>2099</v>
      </c>
      <c r="C157" s="1" t="s">
        <v>146</v>
      </c>
      <c r="D157" s="3">
        <f t="shared" si="20"/>
        <v>8565</v>
      </c>
      <c r="E157" s="2">
        <f t="shared" si="21"/>
        <v>43647</v>
      </c>
      <c r="F157" s="2">
        <f t="shared" si="22"/>
        <v>43799</v>
      </c>
    </row>
    <row r="158" spans="1:6" x14ac:dyDescent="0.25">
      <c r="A158" s="1" t="s">
        <v>374</v>
      </c>
      <c r="B158" s="1" t="s">
        <v>2099</v>
      </c>
      <c r="C158" s="1" t="s">
        <v>67</v>
      </c>
      <c r="D158" s="3">
        <f t="shared" si="20"/>
        <v>8565</v>
      </c>
      <c r="E158" s="2">
        <f t="shared" si="21"/>
        <v>43647</v>
      </c>
      <c r="F158" s="2">
        <f t="shared" si="22"/>
        <v>43799</v>
      </c>
    </row>
    <row r="159" spans="1:6" x14ac:dyDescent="0.25">
      <c r="A159" s="1" t="s">
        <v>374</v>
      </c>
      <c r="B159" s="1" t="s">
        <v>2099</v>
      </c>
      <c r="C159" s="1" t="s">
        <v>24</v>
      </c>
      <c r="D159" s="3">
        <f t="shared" si="20"/>
        <v>8565</v>
      </c>
      <c r="E159" s="2">
        <f t="shared" si="21"/>
        <v>43647</v>
      </c>
      <c r="F159" s="2">
        <f t="shared" si="22"/>
        <v>43799</v>
      </c>
    </row>
    <row r="160" spans="1:6" x14ac:dyDescent="0.25">
      <c r="A160" s="1" t="s">
        <v>374</v>
      </c>
      <c r="B160" s="1" t="s">
        <v>2099</v>
      </c>
      <c r="C160" s="1" t="s">
        <v>34</v>
      </c>
      <c r="D160" s="3">
        <f t="shared" si="20"/>
        <v>8565</v>
      </c>
      <c r="E160" s="2">
        <f t="shared" si="21"/>
        <v>43647</v>
      </c>
      <c r="F160" s="2">
        <f t="shared" si="22"/>
        <v>43799</v>
      </c>
    </row>
    <row r="161" spans="1:6" x14ac:dyDescent="0.25">
      <c r="A161" s="1" t="s">
        <v>374</v>
      </c>
      <c r="B161" s="1" t="s">
        <v>1276</v>
      </c>
      <c r="C161" s="1" t="s">
        <v>140</v>
      </c>
      <c r="D161" s="3">
        <f t="shared" ref="D161:D176" si="23">VALUE("8530")</f>
        <v>8530</v>
      </c>
      <c r="E161" s="2">
        <f t="shared" ref="E161:E176" si="24">DATEVALUE("1-6-2019")</f>
        <v>43617</v>
      </c>
      <c r="F161" s="2">
        <f t="shared" ref="F161:F176" si="25">DATEVALUE("31-12-2024")</f>
        <v>45657</v>
      </c>
    </row>
    <row r="162" spans="1:6" x14ac:dyDescent="0.25">
      <c r="A162" s="1" t="s">
        <v>374</v>
      </c>
      <c r="B162" s="1" t="s">
        <v>1276</v>
      </c>
      <c r="C162" s="1" t="s">
        <v>141</v>
      </c>
      <c r="D162" s="3">
        <f t="shared" si="23"/>
        <v>8530</v>
      </c>
      <c r="E162" s="2">
        <f t="shared" si="24"/>
        <v>43617</v>
      </c>
      <c r="F162" s="2">
        <f t="shared" si="25"/>
        <v>45657</v>
      </c>
    </row>
    <row r="163" spans="1:6" x14ac:dyDescent="0.25">
      <c r="A163" s="1" t="s">
        <v>374</v>
      </c>
      <c r="B163" s="1" t="s">
        <v>1276</v>
      </c>
      <c r="C163" s="1" t="s">
        <v>14</v>
      </c>
      <c r="D163" s="3">
        <f t="shared" si="23"/>
        <v>8530</v>
      </c>
      <c r="E163" s="2">
        <f t="shared" si="24"/>
        <v>43617</v>
      </c>
      <c r="F163" s="2">
        <f t="shared" si="25"/>
        <v>45657</v>
      </c>
    </row>
    <row r="164" spans="1:6" x14ac:dyDescent="0.25">
      <c r="A164" s="1" t="s">
        <v>374</v>
      </c>
      <c r="B164" s="1" t="s">
        <v>1276</v>
      </c>
      <c r="C164" s="1" t="s">
        <v>15</v>
      </c>
      <c r="D164" s="3">
        <f t="shared" si="23"/>
        <v>8530</v>
      </c>
      <c r="E164" s="2">
        <f t="shared" si="24"/>
        <v>43617</v>
      </c>
      <c r="F164" s="2">
        <f t="shared" si="25"/>
        <v>45657</v>
      </c>
    </row>
    <row r="165" spans="1:6" x14ac:dyDescent="0.25">
      <c r="A165" s="1" t="s">
        <v>374</v>
      </c>
      <c r="B165" s="1" t="s">
        <v>1276</v>
      </c>
      <c r="C165" s="1" t="s">
        <v>89</v>
      </c>
      <c r="D165" s="3">
        <f t="shared" si="23"/>
        <v>8530</v>
      </c>
      <c r="E165" s="2">
        <f t="shared" si="24"/>
        <v>43617</v>
      </c>
      <c r="F165" s="2">
        <f t="shared" si="25"/>
        <v>45657</v>
      </c>
    </row>
    <row r="166" spans="1:6" x14ac:dyDescent="0.25">
      <c r="A166" s="1" t="s">
        <v>374</v>
      </c>
      <c r="B166" s="1" t="s">
        <v>1276</v>
      </c>
      <c r="C166" s="1" t="s">
        <v>17</v>
      </c>
      <c r="D166" s="3">
        <f t="shared" si="23"/>
        <v>8530</v>
      </c>
      <c r="E166" s="2">
        <f t="shared" si="24"/>
        <v>43617</v>
      </c>
      <c r="F166" s="2">
        <f t="shared" si="25"/>
        <v>45657</v>
      </c>
    </row>
    <row r="167" spans="1:6" x14ac:dyDescent="0.25">
      <c r="A167" s="1" t="s">
        <v>374</v>
      </c>
      <c r="B167" s="1" t="s">
        <v>1276</v>
      </c>
      <c r="C167" s="1" t="s">
        <v>639</v>
      </c>
      <c r="D167" s="3">
        <f t="shared" si="23"/>
        <v>8530</v>
      </c>
      <c r="E167" s="2">
        <f t="shared" si="24"/>
        <v>43617</v>
      </c>
      <c r="F167" s="2">
        <f t="shared" si="25"/>
        <v>45657</v>
      </c>
    </row>
    <row r="168" spans="1:6" x14ac:dyDescent="0.25">
      <c r="A168" s="1" t="s">
        <v>374</v>
      </c>
      <c r="B168" s="1" t="s">
        <v>1276</v>
      </c>
      <c r="C168" s="1" t="s">
        <v>22</v>
      </c>
      <c r="D168" s="3">
        <f t="shared" si="23"/>
        <v>8530</v>
      </c>
      <c r="E168" s="2">
        <f t="shared" si="24"/>
        <v>43617</v>
      </c>
      <c r="F168" s="2">
        <f t="shared" si="25"/>
        <v>45657</v>
      </c>
    </row>
    <row r="169" spans="1:6" x14ac:dyDescent="0.25">
      <c r="A169" s="1" t="s">
        <v>374</v>
      </c>
      <c r="B169" s="1" t="s">
        <v>1276</v>
      </c>
      <c r="C169" s="1" t="s">
        <v>250</v>
      </c>
      <c r="D169" s="3">
        <f t="shared" si="23"/>
        <v>8530</v>
      </c>
      <c r="E169" s="2">
        <f t="shared" si="24"/>
        <v>43617</v>
      </c>
      <c r="F169" s="2">
        <f t="shared" si="25"/>
        <v>45657</v>
      </c>
    </row>
    <row r="170" spans="1:6" x14ac:dyDescent="0.25">
      <c r="A170" s="1" t="s">
        <v>374</v>
      </c>
      <c r="B170" s="1" t="s">
        <v>1276</v>
      </c>
      <c r="C170" s="1" t="s">
        <v>146</v>
      </c>
      <c r="D170" s="3">
        <f t="shared" si="23"/>
        <v>8530</v>
      </c>
      <c r="E170" s="2">
        <f t="shared" si="24"/>
        <v>43617</v>
      </c>
      <c r="F170" s="2">
        <f t="shared" si="25"/>
        <v>45657</v>
      </c>
    </row>
    <row r="171" spans="1:6" x14ac:dyDescent="0.25">
      <c r="A171" s="1" t="s">
        <v>374</v>
      </c>
      <c r="B171" s="1" t="s">
        <v>1276</v>
      </c>
      <c r="C171" s="1" t="s">
        <v>67</v>
      </c>
      <c r="D171" s="3">
        <f t="shared" si="23"/>
        <v>8530</v>
      </c>
      <c r="E171" s="2">
        <f t="shared" si="24"/>
        <v>43617</v>
      </c>
      <c r="F171" s="2">
        <f t="shared" si="25"/>
        <v>45657</v>
      </c>
    </row>
    <row r="172" spans="1:6" x14ac:dyDescent="0.25">
      <c r="A172" s="1" t="s">
        <v>374</v>
      </c>
      <c r="B172" s="1" t="s">
        <v>1276</v>
      </c>
      <c r="C172" s="1" t="s">
        <v>151</v>
      </c>
      <c r="D172" s="3">
        <f t="shared" si="23"/>
        <v>8530</v>
      </c>
      <c r="E172" s="2">
        <f t="shared" si="24"/>
        <v>43617</v>
      </c>
      <c r="F172" s="2">
        <f t="shared" si="25"/>
        <v>45657</v>
      </c>
    </row>
    <row r="173" spans="1:6" x14ac:dyDescent="0.25">
      <c r="A173" s="1" t="s">
        <v>374</v>
      </c>
      <c r="B173" s="1" t="s">
        <v>1276</v>
      </c>
      <c r="C173" s="1" t="s">
        <v>641</v>
      </c>
      <c r="D173" s="3">
        <f t="shared" si="23"/>
        <v>8530</v>
      </c>
      <c r="E173" s="2">
        <f t="shared" si="24"/>
        <v>43617</v>
      </c>
      <c r="F173" s="2">
        <f t="shared" si="25"/>
        <v>45657</v>
      </c>
    </row>
    <row r="174" spans="1:6" x14ac:dyDescent="0.25">
      <c r="A174" s="1" t="s">
        <v>374</v>
      </c>
      <c r="B174" s="1" t="s">
        <v>1276</v>
      </c>
      <c r="C174" s="1" t="s">
        <v>24</v>
      </c>
      <c r="D174" s="3">
        <f t="shared" si="23"/>
        <v>8530</v>
      </c>
      <c r="E174" s="2">
        <f t="shared" si="24"/>
        <v>43617</v>
      </c>
      <c r="F174" s="2">
        <f t="shared" si="25"/>
        <v>45657</v>
      </c>
    </row>
    <row r="175" spans="1:6" x14ac:dyDescent="0.25">
      <c r="A175" s="1" t="s">
        <v>374</v>
      </c>
      <c r="B175" s="1" t="s">
        <v>1276</v>
      </c>
      <c r="C175" s="1" t="s">
        <v>303</v>
      </c>
      <c r="D175" s="3">
        <f t="shared" si="23"/>
        <v>8530</v>
      </c>
      <c r="E175" s="2">
        <f t="shared" si="24"/>
        <v>43617</v>
      </c>
      <c r="F175" s="2">
        <f t="shared" si="25"/>
        <v>45657</v>
      </c>
    </row>
    <row r="176" spans="1:6" x14ac:dyDescent="0.25">
      <c r="A176" s="1" t="s">
        <v>374</v>
      </c>
      <c r="B176" s="1" t="s">
        <v>1276</v>
      </c>
      <c r="C176" s="1" t="s">
        <v>34</v>
      </c>
      <c r="D176" s="3">
        <f t="shared" si="23"/>
        <v>8530</v>
      </c>
      <c r="E176" s="2">
        <f t="shared" si="24"/>
        <v>43617</v>
      </c>
      <c r="F176" s="2">
        <f t="shared" si="25"/>
        <v>45657</v>
      </c>
    </row>
    <row r="177" spans="1:6" x14ac:dyDescent="0.25">
      <c r="A177" s="1" t="s">
        <v>374</v>
      </c>
      <c r="B177" s="1" t="s">
        <v>2082</v>
      </c>
      <c r="C177" s="1" t="s">
        <v>142</v>
      </c>
      <c r="D177" s="3">
        <f t="shared" ref="D177:D188" si="26">VALUE("8380")</f>
        <v>8380</v>
      </c>
      <c r="E177" s="2">
        <f t="shared" ref="E177:E188" si="27">DATEVALUE("1-10-2018")</f>
        <v>43374</v>
      </c>
      <c r="F177" s="2">
        <f t="shared" ref="F177:F188" si="28">DATEVALUE("30-9-2019")</f>
        <v>43738</v>
      </c>
    </row>
    <row r="178" spans="1:6" x14ac:dyDescent="0.25">
      <c r="A178" s="1" t="s">
        <v>374</v>
      </c>
      <c r="B178" s="1" t="s">
        <v>2082</v>
      </c>
      <c r="C178" s="1" t="s">
        <v>14</v>
      </c>
      <c r="D178" s="3">
        <f t="shared" si="26"/>
        <v>8380</v>
      </c>
      <c r="E178" s="2">
        <f t="shared" si="27"/>
        <v>43374</v>
      </c>
      <c r="F178" s="2">
        <f t="shared" si="28"/>
        <v>43738</v>
      </c>
    </row>
    <row r="179" spans="1:6" x14ac:dyDescent="0.25">
      <c r="A179" s="1" t="s">
        <v>374</v>
      </c>
      <c r="B179" s="1" t="s">
        <v>2082</v>
      </c>
      <c r="C179" s="1" t="s">
        <v>15</v>
      </c>
      <c r="D179" s="3">
        <f t="shared" si="26"/>
        <v>8380</v>
      </c>
      <c r="E179" s="2">
        <f t="shared" si="27"/>
        <v>43374</v>
      </c>
      <c r="F179" s="2">
        <f t="shared" si="28"/>
        <v>43738</v>
      </c>
    </row>
    <row r="180" spans="1:6" x14ac:dyDescent="0.25">
      <c r="A180" s="1" t="s">
        <v>374</v>
      </c>
      <c r="B180" s="1" t="s">
        <v>2082</v>
      </c>
      <c r="C180" s="1" t="s">
        <v>17</v>
      </c>
      <c r="D180" s="3">
        <f t="shared" si="26"/>
        <v>8380</v>
      </c>
      <c r="E180" s="2">
        <f t="shared" si="27"/>
        <v>43374</v>
      </c>
      <c r="F180" s="2">
        <f t="shared" si="28"/>
        <v>43738</v>
      </c>
    </row>
    <row r="181" spans="1:6" x14ac:dyDescent="0.25">
      <c r="A181" s="1" t="s">
        <v>374</v>
      </c>
      <c r="B181" s="1" t="s">
        <v>2082</v>
      </c>
      <c r="C181" s="1" t="s">
        <v>22</v>
      </c>
      <c r="D181" s="3">
        <f t="shared" si="26"/>
        <v>8380</v>
      </c>
      <c r="E181" s="2">
        <f t="shared" si="27"/>
        <v>43374</v>
      </c>
      <c r="F181" s="2">
        <f t="shared" si="28"/>
        <v>43738</v>
      </c>
    </row>
    <row r="182" spans="1:6" x14ac:dyDescent="0.25">
      <c r="A182" s="1" t="s">
        <v>374</v>
      </c>
      <c r="B182" s="1" t="s">
        <v>2082</v>
      </c>
      <c r="C182" s="1" t="s">
        <v>146</v>
      </c>
      <c r="D182" s="3">
        <f t="shared" si="26"/>
        <v>8380</v>
      </c>
      <c r="E182" s="2">
        <f t="shared" si="27"/>
        <v>43374</v>
      </c>
      <c r="F182" s="2">
        <f t="shared" si="28"/>
        <v>43738</v>
      </c>
    </row>
    <row r="183" spans="1:6" x14ac:dyDescent="0.25">
      <c r="A183" s="1" t="s">
        <v>374</v>
      </c>
      <c r="B183" s="1" t="s">
        <v>2082</v>
      </c>
      <c r="C183" s="1" t="s">
        <v>67</v>
      </c>
      <c r="D183" s="3">
        <f t="shared" si="26"/>
        <v>8380</v>
      </c>
      <c r="E183" s="2">
        <f t="shared" si="27"/>
        <v>43374</v>
      </c>
      <c r="F183" s="2">
        <f t="shared" si="28"/>
        <v>43738</v>
      </c>
    </row>
    <row r="184" spans="1:6" x14ac:dyDescent="0.25">
      <c r="A184" s="1" t="s">
        <v>374</v>
      </c>
      <c r="B184" s="1" t="s">
        <v>2082</v>
      </c>
      <c r="C184" s="1" t="s">
        <v>151</v>
      </c>
      <c r="D184" s="3">
        <f t="shared" si="26"/>
        <v>8380</v>
      </c>
      <c r="E184" s="2">
        <f t="shared" si="27"/>
        <v>43374</v>
      </c>
      <c r="F184" s="2">
        <f t="shared" si="28"/>
        <v>43738</v>
      </c>
    </row>
    <row r="185" spans="1:6" x14ac:dyDescent="0.25">
      <c r="A185" s="1" t="s">
        <v>374</v>
      </c>
      <c r="B185" s="1" t="s">
        <v>2082</v>
      </c>
      <c r="C185" s="1" t="s">
        <v>24</v>
      </c>
      <c r="D185" s="3">
        <f t="shared" si="26"/>
        <v>8380</v>
      </c>
      <c r="E185" s="2">
        <f t="shared" si="27"/>
        <v>43374</v>
      </c>
      <c r="F185" s="2">
        <f t="shared" si="28"/>
        <v>43738</v>
      </c>
    </row>
    <row r="186" spans="1:6" x14ac:dyDescent="0.25">
      <c r="A186" s="1" t="s">
        <v>374</v>
      </c>
      <c r="B186" s="1" t="s">
        <v>2082</v>
      </c>
      <c r="C186" s="1" t="s">
        <v>70</v>
      </c>
      <c r="D186" s="3">
        <f t="shared" si="26"/>
        <v>8380</v>
      </c>
      <c r="E186" s="2">
        <f t="shared" si="27"/>
        <v>43374</v>
      </c>
      <c r="F186" s="2">
        <f t="shared" si="28"/>
        <v>43738</v>
      </c>
    </row>
    <row r="187" spans="1:6" x14ac:dyDescent="0.25">
      <c r="A187" s="1" t="s">
        <v>374</v>
      </c>
      <c r="B187" s="1" t="s">
        <v>2082</v>
      </c>
      <c r="C187" s="1" t="s">
        <v>160</v>
      </c>
      <c r="D187" s="3">
        <f t="shared" si="26"/>
        <v>8380</v>
      </c>
      <c r="E187" s="2">
        <f t="shared" si="27"/>
        <v>43374</v>
      </c>
      <c r="F187" s="2">
        <f t="shared" si="28"/>
        <v>43738</v>
      </c>
    </row>
    <row r="188" spans="1:6" x14ac:dyDescent="0.25">
      <c r="A188" s="1" t="s">
        <v>374</v>
      </c>
      <c r="B188" s="1" t="s">
        <v>2082</v>
      </c>
      <c r="C188" s="1" t="s">
        <v>34</v>
      </c>
      <c r="D188" s="3">
        <f t="shared" si="26"/>
        <v>8380</v>
      </c>
      <c r="E188" s="2">
        <f t="shared" si="27"/>
        <v>43374</v>
      </c>
      <c r="F188" s="2">
        <f t="shared" si="28"/>
        <v>43738</v>
      </c>
    </row>
    <row r="189" spans="1:6" x14ac:dyDescent="0.25">
      <c r="A189" s="1" t="s">
        <v>374</v>
      </c>
      <c r="B189" s="1" t="s">
        <v>625</v>
      </c>
      <c r="C189" s="1" t="s">
        <v>626</v>
      </c>
      <c r="D189" s="3">
        <f t="shared" ref="D189:D232" si="29">VALUE("7844")</f>
        <v>7844</v>
      </c>
      <c r="E189" s="2">
        <f t="shared" ref="E189:E220" si="30">DATEVALUE("1-7-2016")</f>
        <v>42552</v>
      </c>
      <c r="F189" s="2">
        <f t="shared" ref="F189:F220" si="31">DATEVALUE("31-12-2024")</f>
        <v>45657</v>
      </c>
    </row>
    <row r="190" spans="1:6" x14ac:dyDescent="0.25">
      <c r="A190" s="1" t="s">
        <v>374</v>
      </c>
      <c r="B190" s="1" t="s">
        <v>625</v>
      </c>
      <c r="C190" s="1" t="s">
        <v>627</v>
      </c>
      <c r="D190" s="3">
        <f t="shared" si="29"/>
        <v>7844</v>
      </c>
      <c r="E190" s="2">
        <f t="shared" si="30"/>
        <v>42552</v>
      </c>
      <c r="F190" s="2">
        <f t="shared" si="31"/>
        <v>45657</v>
      </c>
    </row>
    <row r="191" spans="1:6" x14ac:dyDescent="0.25">
      <c r="A191" s="1" t="s">
        <v>374</v>
      </c>
      <c r="B191" s="1" t="s">
        <v>625</v>
      </c>
      <c r="C191" s="1" t="s">
        <v>628</v>
      </c>
      <c r="D191" s="3">
        <f t="shared" si="29"/>
        <v>7844</v>
      </c>
      <c r="E191" s="2">
        <f t="shared" si="30"/>
        <v>42552</v>
      </c>
      <c r="F191" s="2">
        <f t="shared" si="31"/>
        <v>45657</v>
      </c>
    </row>
    <row r="192" spans="1:6" x14ac:dyDescent="0.25">
      <c r="A192" s="1" t="s">
        <v>374</v>
      </c>
      <c r="B192" s="1" t="s">
        <v>625</v>
      </c>
      <c r="C192" s="1" t="s">
        <v>629</v>
      </c>
      <c r="D192" s="3">
        <f t="shared" si="29"/>
        <v>7844</v>
      </c>
      <c r="E192" s="2">
        <f t="shared" si="30"/>
        <v>42552</v>
      </c>
      <c r="F192" s="2">
        <f t="shared" si="31"/>
        <v>45657</v>
      </c>
    </row>
    <row r="193" spans="1:6" x14ac:dyDescent="0.25">
      <c r="A193" s="1" t="s">
        <v>374</v>
      </c>
      <c r="B193" s="1" t="s">
        <v>625</v>
      </c>
      <c r="C193" s="1" t="s">
        <v>630</v>
      </c>
      <c r="D193" s="3">
        <f t="shared" si="29"/>
        <v>7844</v>
      </c>
      <c r="E193" s="2">
        <f t="shared" si="30"/>
        <v>42552</v>
      </c>
      <c r="F193" s="2">
        <f t="shared" si="31"/>
        <v>45657</v>
      </c>
    </row>
    <row r="194" spans="1:6" x14ac:dyDescent="0.25">
      <c r="A194" s="1" t="s">
        <v>374</v>
      </c>
      <c r="B194" s="1" t="s">
        <v>625</v>
      </c>
      <c r="C194" s="1" t="s">
        <v>631</v>
      </c>
      <c r="D194" s="3">
        <f t="shared" si="29"/>
        <v>7844</v>
      </c>
      <c r="E194" s="2">
        <f t="shared" si="30"/>
        <v>42552</v>
      </c>
      <c r="F194" s="2">
        <f t="shared" si="31"/>
        <v>45657</v>
      </c>
    </row>
    <row r="195" spans="1:6" x14ac:dyDescent="0.25">
      <c r="A195" s="1" t="s">
        <v>374</v>
      </c>
      <c r="B195" s="1" t="s">
        <v>625</v>
      </c>
      <c r="C195" s="1" t="s">
        <v>632</v>
      </c>
      <c r="D195" s="3">
        <f t="shared" si="29"/>
        <v>7844</v>
      </c>
      <c r="E195" s="2">
        <f t="shared" si="30"/>
        <v>42552</v>
      </c>
      <c r="F195" s="2">
        <f t="shared" si="31"/>
        <v>45657</v>
      </c>
    </row>
    <row r="196" spans="1:6" x14ac:dyDescent="0.25">
      <c r="A196" s="1" t="s">
        <v>374</v>
      </c>
      <c r="B196" s="1" t="s">
        <v>625</v>
      </c>
      <c r="C196" s="1" t="s">
        <v>633</v>
      </c>
      <c r="D196" s="3">
        <f t="shared" si="29"/>
        <v>7844</v>
      </c>
      <c r="E196" s="2">
        <f t="shared" si="30"/>
        <v>42552</v>
      </c>
      <c r="F196" s="2">
        <f t="shared" si="31"/>
        <v>45657</v>
      </c>
    </row>
    <row r="197" spans="1:6" x14ac:dyDescent="0.25">
      <c r="A197" s="1" t="s">
        <v>374</v>
      </c>
      <c r="B197" s="1" t="s">
        <v>625</v>
      </c>
      <c r="C197" s="1" t="s">
        <v>634</v>
      </c>
      <c r="D197" s="3">
        <f t="shared" si="29"/>
        <v>7844</v>
      </c>
      <c r="E197" s="2">
        <f t="shared" si="30"/>
        <v>42552</v>
      </c>
      <c r="F197" s="2">
        <f t="shared" si="31"/>
        <v>45657</v>
      </c>
    </row>
    <row r="198" spans="1:6" x14ac:dyDescent="0.25">
      <c r="A198" s="1" t="s">
        <v>374</v>
      </c>
      <c r="B198" s="1" t="s">
        <v>625</v>
      </c>
      <c r="C198" s="1" t="s">
        <v>635</v>
      </c>
      <c r="D198" s="3">
        <f t="shared" si="29"/>
        <v>7844</v>
      </c>
      <c r="E198" s="2">
        <f t="shared" si="30"/>
        <v>42552</v>
      </c>
      <c r="F198" s="2">
        <f t="shared" si="31"/>
        <v>45657</v>
      </c>
    </row>
    <row r="199" spans="1:6" x14ac:dyDescent="0.25">
      <c r="A199" s="1" t="s">
        <v>374</v>
      </c>
      <c r="B199" s="1" t="s">
        <v>625</v>
      </c>
      <c r="C199" s="1" t="s">
        <v>636</v>
      </c>
      <c r="D199" s="3">
        <f t="shared" si="29"/>
        <v>7844</v>
      </c>
      <c r="E199" s="2">
        <f t="shared" si="30"/>
        <v>42552</v>
      </c>
      <c r="F199" s="2">
        <f t="shared" si="31"/>
        <v>45657</v>
      </c>
    </row>
    <row r="200" spans="1:6" x14ac:dyDescent="0.25">
      <c r="A200" s="1" t="s">
        <v>374</v>
      </c>
      <c r="B200" s="1" t="s">
        <v>625</v>
      </c>
      <c r="C200" s="1" t="s">
        <v>637</v>
      </c>
      <c r="D200" s="3">
        <f t="shared" si="29"/>
        <v>7844</v>
      </c>
      <c r="E200" s="2">
        <f t="shared" si="30"/>
        <v>42552</v>
      </c>
      <c r="F200" s="2">
        <f t="shared" si="31"/>
        <v>45657</v>
      </c>
    </row>
    <row r="201" spans="1:6" x14ac:dyDescent="0.25">
      <c r="A201" s="1" t="s">
        <v>374</v>
      </c>
      <c r="B201" s="1" t="s">
        <v>625</v>
      </c>
      <c r="C201" s="1" t="s">
        <v>638</v>
      </c>
      <c r="D201" s="3">
        <f t="shared" si="29"/>
        <v>7844</v>
      </c>
      <c r="E201" s="2">
        <f t="shared" si="30"/>
        <v>42552</v>
      </c>
      <c r="F201" s="2">
        <f t="shared" si="31"/>
        <v>45657</v>
      </c>
    </row>
    <row r="202" spans="1:6" x14ac:dyDescent="0.25">
      <c r="A202" s="1" t="s">
        <v>374</v>
      </c>
      <c r="B202" s="1" t="s">
        <v>625</v>
      </c>
      <c r="C202" s="1" t="s">
        <v>140</v>
      </c>
      <c r="D202" s="3">
        <f t="shared" si="29"/>
        <v>7844</v>
      </c>
      <c r="E202" s="2">
        <f t="shared" si="30"/>
        <v>42552</v>
      </c>
      <c r="F202" s="2">
        <f t="shared" si="31"/>
        <v>45657</v>
      </c>
    </row>
    <row r="203" spans="1:6" x14ac:dyDescent="0.25">
      <c r="A203" s="1" t="s">
        <v>374</v>
      </c>
      <c r="B203" s="1" t="s">
        <v>625</v>
      </c>
      <c r="C203" s="1" t="s">
        <v>141</v>
      </c>
      <c r="D203" s="3">
        <f t="shared" si="29"/>
        <v>7844</v>
      </c>
      <c r="E203" s="2">
        <f t="shared" si="30"/>
        <v>42552</v>
      </c>
      <c r="F203" s="2">
        <f t="shared" si="31"/>
        <v>45657</v>
      </c>
    </row>
    <row r="204" spans="1:6" x14ac:dyDescent="0.25">
      <c r="A204" s="1" t="s">
        <v>374</v>
      </c>
      <c r="B204" s="1" t="s">
        <v>625</v>
      </c>
      <c r="C204" s="1" t="s">
        <v>248</v>
      </c>
      <c r="D204" s="3">
        <f t="shared" si="29"/>
        <v>7844</v>
      </c>
      <c r="E204" s="2">
        <f t="shared" si="30"/>
        <v>42552</v>
      </c>
      <c r="F204" s="2">
        <f t="shared" si="31"/>
        <v>45657</v>
      </c>
    </row>
    <row r="205" spans="1:6" x14ac:dyDescent="0.25">
      <c r="A205" s="1" t="s">
        <v>374</v>
      </c>
      <c r="B205" s="1" t="s">
        <v>625</v>
      </c>
      <c r="C205" s="1" t="s">
        <v>14</v>
      </c>
      <c r="D205" s="3">
        <f t="shared" si="29"/>
        <v>7844</v>
      </c>
      <c r="E205" s="2">
        <f t="shared" si="30"/>
        <v>42552</v>
      </c>
      <c r="F205" s="2">
        <f t="shared" si="31"/>
        <v>45657</v>
      </c>
    </row>
    <row r="206" spans="1:6" x14ac:dyDescent="0.25">
      <c r="A206" s="1" t="s">
        <v>374</v>
      </c>
      <c r="B206" s="1" t="s">
        <v>625</v>
      </c>
      <c r="C206" s="1" t="s">
        <v>15</v>
      </c>
      <c r="D206" s="3">
        <f t="shared" si="29"/>
        <v>7844</v>
      </c>
      <c r="E206" s="2">
        <f t="shared" si="30"/>
        <v>42552</v>
      </c>
      <c r="F206" s="2">
        <f t="shared" si="31"/>
        <v>45657</v>
      </c>
    </row>
    <row r="207" spans="1:6" x14ac:dyDescent="0.25">
      <c r="A207" s="1" t="s">
        <v>374</v>
      </c>
      <c r="B207" s="1" t="s">
        <v>625</v>
      </c>
      <c r="C207" s="1" t="s">
        <v>16</v>
      </c>
      <c r="D207" s="3">
        <f t="shared" si="29"/>
        <v>7844</v>
      </c>
      <c r="E207" s="2">
        <f t="shared" si="30"/>
        <v>42552</v>
      </c>
      <c r="F207" s="2">
        <f t="shared" si="31"/>
        <v>45657</v>
      </c>
    </row>
    <row r="208" spans="1:6" x14ac:dyDescent="0.25">
      <c r="A208" s="1" t="s">
        <v>374</v>
      </c>
      <c r="B208" s="1" t="s">
        <v>625</v>
      </c>
      <c r="C208" s="1" t="s">
        <v>17</v>
      </c>
      <c r="D208" s="3">
        <f t="shared" si="29"/>
        <v>7844</v>
      </c>
      <c r="E208" s="2">
        <f t="shared" si="30"/>
        <v>42552</v>
      </c>
      <c r="F208" s="2">
        <f t="shared" si="31"/>
        <v>45657</v>
      </c>
    </row>
    <row r="209" spans="1:6" x14ac:dyDescent="0.25">
      <c r="A209" s="1" t="s">
        <v>374</v>
      </c>
      <c r="B209" s="1" t="s">
        <v>625</v>
      </c>
      <c r="C209" s="1" t="s">
        <v>639</v>
      </c>
      <c r="D209" s="3">
        <f t="shared" si="29"/>
        <v>7844</v>
      </c>
      <c r="E209" s="2">
        <f t="shared" si="30"/>
        <v>42552</v>
      </c>
      <c r="F209" s="2">
        <f t="shared" si="31"/>
        <v>45657</v>
      </c>
    </row>
    <row r="210" spans="1:6" x14ac:dyDescent="0.25">
      <c r="A210" s="1" t="s">
        <v>374</v>
      </c>
      <c r="B210" s="1" t="s">
        <v>625</v>
      </c>
      <c r="C210" s="1" t="s">
        <v>22</v>
      </c>
      <c r="D210" s="3">
        <f t="shared" si="29"/>
        <v>7844</v>
      </c>
      <c r="E210" s="2">
        <f t="shared" si="30"/>
        <v>42552</v>
      </c>
      <c r="F210" s="2">
        <f t="shared" si="31"/>
        <v>45657</v>
      </c>
    </row>
    <row r="211" spans="1:6" x14ac:dyDescent="0.25">
      <c r="A211" s="1" t="s">
        <v>374</v>
      </c>
      <c r="B211" s="1" t="s">
        <v>625</v>
      </c>
      <c r="C211" s="1" t="s">
        <v>250</v>
      </c>
      <c r="D211" s="3">
        <f t="shared" si="29"/>
        <v>7844</v>
      </c>
      <c r="E211" s="2">
        <f t="shared" si="30"/>
        <v>42552</v>
      </c>
      <c r="F211" s="2">
        <f t="shared" si="31"/>
        <v>45657</v>
      </c>
    </row>
    <row r="212" spans="1:6" x14ac:dyDescent="0.25">
      <c r="A212" s="1" t="s">
        <v>374</v>
      </c>
      <c r="B212" s="1" t="s">
        <v>625</v>
      </c>
      <c r="C212" s="1" t="s">
        <v>146</v>
      </c>
      <c r="D212" s="3">
        <f t="shared" si="29"/>
        <v>7844</v>
      </c>
      <c r="E212" s="2">
        <f t="shared" si="30"/>
        <v>42552</v>
      </c>
      <c r="F212" s="2">
        <f t="shared" si="31"/>
        <v>45657</v>
      </c>
    </row>
    <row r="213" spans="1:6" x14ac:dyDescent="0.25">
      <c r="A213" s="1" t="s">
        <v>374</v>
      </c>
      <c r="B213" s="1" t="s">
        <v>625</v>
      </c>
      <c r="C213" s="1" t="s">
        <v>67</v>
      </c>
      <c r="D213" s="3">
        <f t="shared" si="29"/>
        <v>7844</v>
      </c>
      <c r="E213" s="2">
        <f t="shared" si="30"/>
        <v>42552</v>
      </c>
      <c r="F213" s="2">
        <f t="shared" si="31"/>
        <v>45657</v>
      </c>
    </row>
    <row r="214" spans="1:6" x14ac:dyDescent="0.25">
      <c r="A214" s="1" t="s">
        <v>374</v>
      </c>
      <c r="B214" s="1" t="s">
        <v>625</v>
      </c>
      <c r="C214" s="1" t="s">
        <v>148</v>
      </c>
      <c r="D214" s="3">
        <f t="shared" si="29"/>
        <v>7844</v>
      </c>
      <c r="E214" s="2">
        <f t="shared" si="30"/>
        <v>42552</v>
      </c>
      <c r="F214" s="2">
        <f t="shared" si="31"/>
        <v>45657</v>
      </c>
    </row>
    <row r="215" spans="1:6" x14ac:dyDescent="0.25">
      <c r="A215" s="1" t="s">
        <v>374</v>
      </c>
      <c r="B215" s="1" t="s">
        <v>625</v>
      </c>
      <c r="C215" s="1" t="s">
        <v>149</v>
      </c>
      <c r="D215" s="3">
        <f t="shared" si="29"/>
        <v>7844</v>
      </c>
      <c r="E215" s="2">
        <f t="shared" si="30"/>
        <v>42552</v>
      </c>
      <c r="F215" s="2">
        <f t="shared" si="31"/>
        <v>45657</v>
      </c>
    </row>
    <row r="216" spans="1:6" x14ac:dyDescent="0.25">
      <c r="A216" s="1" t="s">
        <v>374</v>
      </c>
      <c r="B216" s="1" t="s">
        <v>625</v>
      </c>
      <c r="C216" s="1" t="s">
        <v>640</v>
      </c>
      <c r="D216" s="3">
        <f t="shared" si="29"/>
        <v>7844</v>
      </c>
      <c r="E216" s="2">
        <f t="shared" si="30"/>
        <v>42552</v>
      </c>
      <c r="F216" s="2">
        <f t="shared" si="31"/>
        <v>45657</v>
      </c>
    </row>
    <row r="217" spans="1:6" x14ac:dyDescent="0.25">
      <c r="A217" s="1" t="s">
        <v>374</v>
      </c>
      <c r="B217" s="1" t="s">
        <v>625</v>
      </c>
      <c r="C217" s="1" t="s">
        <v>92</v>
      </c>
      <c r="D217" s="3">
        <f t="shared" si="29"/>
        <v>7844</v>
      </c>
      <c r="E217" s="2">
        <f t="shared" si="30"/>
        <v>42552</v>
      </c>
      <c r="F217" s="2">
        <f t="shared" si="31"/>
        <v>45657</v>
      </c>
    </row>
    <row r="218" spans="1:6" x14ac:dyDescent="0.25">
      <c r="A218" s="1" t="s">
        <v>374</v>
      </c>
      <c r="B218" s="1" t="s">
        <v>625</v>
      </c>
      <c r="C218" s="1" t="s">
        <v>151</v>
      </c>
      <c r="D218" s="3">
        <f t="shared" si="29"/>
        <v>7844</v>
      </c>
      <c r="E218" s="2">
        <f t="shared" si="30"/>
        <v>42552</v>
      </c>
      <c r="F218" s="2">
        <f t="shared" si="31"/>
        <v>45657</v>
      </c>
    </row>
    <row r="219" spans="1:6" x14ac:dyDescent="0.25">
      <c r="A219" s="1" t="s">
        <v>374</v>
      </c>
      <c r="B219" s="1" t="s">
        <v>625</v>
      </c>
      <c r="C219" s="1" t="s">
        <v>641</v>
      </c>
      <c r="D219" s="3">
        <f t="shared" si="29"/>
        <v>7844</v>
      </c>
      <c r="E219" s="2">
        <f t="shared" si="30"/>
        <v>42552</v>
      </c>
      <c r="F219" s="2">
        <f t="shared" si="31"/>
        <v>45657</v>
      </c>
    </row>
    <row r="220" spans="1:6" x14ac:dyDescent="0.25">
      <c r="A220" s="1" t="s">
        <v>374</v>
      </c>
      <c r="B220" s="1" t="s">
        <v>625</v>
      </c>
      <c r="C220" s="1" t="s">
        <v>642</v>
      </c>
      <c r="D220" s="3">
        <f t="shared" si="29"/>
        <v>7844</v>
      </c>
      <c r="E220" s="2">
        <f t="shared" si="30"/>
        <v>42552</v>
      </c>
      <c r="F220" s="2">
        <f t="shared" si="31"/>
        <v>45657</v>
      </c>
    </row>
    <row r="221" spans="1:6" x14ac:dyDescent="0.25">
      <c r="A221" s="1" t="s">
        <v>374</v>
      </c>
      <c r="B221" s="1" t="s">
        <v>625</v>
      </c>
      <c r="C221" s="1" t="s">
        <v>643</v>
      </c>
      <c r="D221" s="3">
        <f t="shared" si="29"/>
        <v>7844</v>
      </c>
      <c r="E221" s="2">
        <f t="shared" ref="E221:E249" si="32">DATEVALUE("1-7-2016")</f>
        <v>42552</v>
      </c>
      <c r="F221" s="2">
        <f t="shared" ref="F221:F252" si="33">DATEVALUE("31-12-2024")</f>
        <v>45657</v>
      </c>
    </row>
    <row r="222" spans="1:6" x14ac:dyDescent="0.25">
      <c r="A222" s="1" t="s">
        <v>374</v>
      </c>
      <c r="B222" s="1" t="s">
        <v>625</v>
      </c>
      <c r="C222" s="1" t="s">
        <v>644</v>
      </c>
      <c r="D222" s="3">
        <f t="shared" si="29"/>
        <v>7844</v>
      </c>
      <c r="E222" s="2">
        <f t="shared" si="32"/>
        <v>42552</v>
      </c>
      <c r="F222" s="2">
        <f t="shared" si="33"/>
        <v>45657</v>
      </c>
    </row>
    <row r="223" spans="1:6" x14ac:dyDescent="0.25">
      <c r="A223" s="1" t="s">
        <v>374</v>
      </c>
      <c r="B223" s="1" t="s">
        <v>625</v>
      </c>
      <c r="C223" s="1" t="s">
        <v>24</v>
      </c>
      <c r="D223" s="3">
        <f t="shared" si="29"/>
        <v>7844</v>
      </c>
      <c r="E223" s="2">
        <f t="shared" si="32"/>
        <v>42552</v>
      </c>
      <c r="F223" s="2">
        <f t="shared" si="33"/>
        <v>45657</v>
      </c>
    </row>
    <row r="224" spans="1:6" x14ac:dyDescent="0.25">
      <c r="A224" s="1" t="s">
        <v>374</v>
      </c>
      <c r="B224" s="1" t="s">
        <v>625</v>
      </c>
      <c r="C224" s="1" t="s">
        <v>73</v>
      </c>
      <c r="D224" s="3">
        <f t="shared" si="29"/>
        <v>7844</v>
      </c>
      <c r="E224" s="2">
        <f t="shared" si="32"/>
        <v>42552</v>
      </c>
      <c r="F224" s="2">
        <f t="shared" si="33"/>
        <v>45657</v>
      </c>
    </row>
    <row r="225" spans="1:6" x14ac:dyDescent="0.25">
      <c r="A225" s="1" t="s">
        <v>374</v>
      </c>
      <c r="B225" s="1" t="s">
        <v>625</v>
      </c>
      <c r="C225" s="1" t="s">
        <v>295</v>
      </c>
      <c r="D225" s="3">
        <f t="shared" si="29"/>
        <v>7844</v>
      </c>
      <c r="E225" s="2">
        <f t="shared" si="32"/>
        <v>42552</v>
      </c>
      <c r="F225" s="2">
        <f t="shared" si="33"/>
        <v>45657</v>
      </c>
    </row>
    <row r="226" spans="1:6" x14ac:dyDescent="0.25">
      <c r="A226" s="1" t="s">
        <v>374</v>
      </c>
      <c r="B226" s="1" t="s">
        <v>625</v>
      </c>
      <c r="C226" s="1" t="s">
        <v>303</v>
      </c>
      <c r="D226" s="3">
        <f t="shared" si="29"/>
        <v>7844</v>
      </c>
      <c r="E226" s="2">
        <f t="shared" si="32"/>
        <v>42552</v>
      </c>
      <c r="F226" s="2">
        <f t="shared" si="33"/>
        <v>45657</v>
      </c>
    </row>
    <row r="227" spans="1:6" x14ac:dyDescent="0.25">
      <c r="A227" s="1" t="s">
        <v>374</v>
      </c>
      <c r="B227" s="1" t="s">
        <v>625</v>
      </c>
      <c r="C227" s="1" t="s">
        <v>160</v>
      </c>
      <c r="D227" s="3">
        <f t="shared" si="29"/>
        <v>7844</v>
      </c>
      <c r="E227" s="2">
        <f t="shared" si="32"/>
        <v>42552</v>
      </c>
      <c r="F227" s="2">
        <f t="shared" si="33"/>
        <v>45657</v>
      </c>
    </row>
    <row r="228" spans="1:6" x14ac:dyDescent="0.25">
      <c r="A228" s="1" t="s">
        <v>374</v>
      </c>
      <c r="B228" s="1" t="s">
        <v>625</v>
      </c>
      <c r="C228" s="1" t="s">
        <v>393</v>
      </c>
      <c r="D228" s="3">
        <f t="shared" si="29"/>
        <v>7844</v>
      </c>
      <c r="E228" s="2">
        <f t="shared" si="32"/>
        <v>42552</v>
      </c>
      <c r="F228" s="2">
        <f t="shared" si="33"/>
        <v>45657</v>
      </c>
    </row>
    <row r="229" spans="1:6" x14ac:dyDescent="0.25">
      <c r="A229" s="1" t="s">
        <v>374</v>
      </c>
      <c r="B229" s="1" t="s">
        <v>625</v>
      </c>
      <c r="C229" s="1" t="s">
        <v>394</v>
      </c>
      <c r="D229" s="3">
        <f t="shared" si="29"/>
        <v>7844</v>
      </c>
      <c r="E229" s="2">
        <f t="shared" si="32"/>
        <v>42552</v>
      </c>
      <c r="F229" s="2">
        <f t="shared" si="33"/>
        <v>45657</v>
      </c>
    </row>
    <row r="230" spans="1:6" x14ac:dyDescent="0.25">
      <c r="A230" s="1" t="s">
        <v>374</v>
      </c>
      <c r="B230" s="1" t="s">
        <v>625</v>
      </c>
      <c r="C230" s="1" t="s">
        <v>396</v>
      </c>
      <c r="D230" s="3">
        <f t="shared" si="29"/>
        <v>7844</v>
      </c>
      <c r="E230" s="2">
        <f t="shared" si="32"/>
        <v>42552</v>
      </c>
      <c r="F230" s="2">
        <f t="shared" si="33"/>
        <v>45657</v>
      </c>
    </row>
    <row r="231" spans="1:6" x14ac:dyDescent="0.25">
      <c r="A231" s="1" t="s">
        <v>374</v>
      </c>
      <c r="B231" s="1" t="s">
        <v>625</v>
      </c>
      <c r="C231" s="1" t="s">
        <v>34</v>
      </c>
      <c r="D231" s="3">
        <f t="shared" si="29"/>
        <v>7844</v>
      </c>
      <c r="E231" s="2">
        <f t="shared" si="32"/>
        <v>42552</v>
      </c>
      <c r="F231" s="2">
        <f t="shared" si="33"/>
        <v>45657</v>
      </c>
    </row>
    <row r="232" spans="1:6" x14ac:dyDescent="0.25">
      <c r="A232" s="1" t="s">
        <v>374</v>
      </c>
      <c r="B232" s="1" t="s">
        <v>625</v>
      </c>
      <c r="C232" s="1" t="s">
        <v>310</v>
      </c>
      <c r="D232" s="3">
        <f t="shared" si="29"/>
        <v>7844</v>
      </c>
      <c r="E232" s="2">
        <f t="shared" si="32"/>
        <v>42552</v>
      </c>
      <c r="F232" s="2">
        <f t="shared" si="33"/>
        <v>45657</v>
      </c>
    </row>
    <row r="233" spans="1:6" x14ac:dyDescent="0.25">
      <c r="A233" s="1" t="s">
        <v>374</v>
      </c>
      <c r="B233" s="1" t="s">
        <v>735</v>
      </c>
      <c r="C233" s="1" t="s">
        <v>140</v>
      </c>
      <c r="D233" s="3">
        <f t="shared" ref="D233:D249" si="34">VALUE("7915")</f>
        <v>7915</v>
      </c>
      <c r="E233" s="2">
        <f t="shared" si="32"/>
        <v>42552</v>
      </c>
      <c r="F233" s="2">
        <f t="shared" si="33"/>
        <v>45657</v>
      </c>
    </row>
    <row r="234" spans="1:6" x14ac:dyDescent="0.25">
      <c r="A234" s="1" t="s">
        <v>374</v>
      </c>
      <c r="B234" s="1" t="s">
        <v>735</v>
      </c>
      <c r="C234" s="1" t="s">
        <v>141</v>
      </c>
      <c r="D234" s="3">
        <f t="shared" si="34"/>
        <v>7915</v>
      </c>
      <c r="E234" s="2">
        <f t="shared" si="32"/>
        <v>42552</v>
      </c>
      <c r="F234" s="2">
        <f t="shared" si="33"/>
        <v>45657</v>
      </c>
    </row>
    <row r="235" spans="1:6" x14ac:dyDescent="0.25">
      <c r="A235" s="1" t="s">
        <v>374</v>
      </c>
      <c r="B235" s="1" t="s">
        <v>735</v>
      </c>
      <c r="C235" s="1" t="s">
        <v>248</v>
      </c>
      <c r="D235" s="3">
        <f t="shared" si="34"/>
        <v>7915</v>
      </c>
      <c r="E235" s="2">
        <f t="shared" si="32"/>
        <v>42552</v>
      </c>
      <c r="F235" s="2">
        <f t="shared" si="33"/>
        <v>45657</v>
      </c>
    </row>
    <row r="236" spans="1:6" x14ac:dyDescent="0.25">
      <c r="A236" s="1" t="s">
        <v>374</v>
      </c>
      <c r="B236" s="1" t="s">
        <v>735</v>
      </c>
      <c r="C236" s="1" t="s">
        <v>14</v>
      </c>
      <c r="D236" s="3">
        <f t="shared" si="34"/>
        <v>7915</v>
      </c>
      <c r="E236" s="2">
        <f t="shared" si="32"/>
        <v>42552</v>
      </c>
      <c r="F236" s="2">
        <f t="shared" si="33"/>
        <v>45657</v>
      </c>
    </row>
    <row r="237" spans="1:6" x14ac:dyDescent="0.25">
      <c r="A237" s="1" t="s">
        <v>374</v>
      </c>
      <c r="B237" s="1" t="s">
        <v>735</v>
      </c>
      <c r="C237" s="1" t="s">
        <v>15</v>
      </c>
      <c r="D237" s="3">
        <f t="shared" si="34"/>
        <v>7915</v>
      </c>
      <c r="E237" s="2">
        <f t="shared" si="32"/>
        <v>42552</v>
      </c>
      <c r="F237" s="2">
        <f t="shared" si="33"/>
        <v>45657</v>
      </c>
    </row>
    <row r="238" spans="1:6" x14ac:dyDescent="0.25">
      <c r="A238" s="1" t="s">
        <v>374</v>
      </c>
      <c r="B238" s="1" t="s">
        <v>735</v>
      </c>
      <c r="C238" s="1" t="s">
        <v>17</v>
      </c>
      <c r="D238" s="3">
        <f t="shared" si="34"/>
        <v>7915</v>
      </c>
      <c r="E238" s="2">
        <f t="shared" si="32"/>
        <v>42552</v>
      </c>
      <c r="F238" s="2">
        <f t="shared" si="33"/>
        <v>45657</v>
      </c>
    </row>
    <row r="239" spans="1:6" x14ac:dyDescent="0.25">
      <c r="A239" s="1" t="s">
        <v>374</v>
      </c>
      <c r="B239" s="1" t="s">
        <v>735</v>
      </c>
      <c r="C239" s="1" t="s">
        <v>250</v>
      </c>
      <c r="D239" s="3">
        <f t="shared" si="34"/>
        <v>7915</v>
      </c>
      <c r="E239" s="2">
        <f t="shared" si="32"/>
        <v>42552</v>
      </c>
      <c r="F239" s="2">
        <f t="shared" si="33"/>
        <v>45657</v>
      </c>
    </row>
    <row r="240" spans="1:6" x14ac:dyDescent="0.25">
      <c r="A240" s="1" t="s">
        <v>374</v>
      </c>
      <c r="B240" s="1" t="s">
        <v>735</v>
      </c>
      <c r="C240" s="1" t="s">
        <v>146</v>
      </c>
      <c r="D240" s="3">
        <f t="shared" si="34"/>
        <v>7915</v>
      </c>
      <c r="E240" s="2">
        <f t="shared" si="32"/>
        <v>42552</v>
      </c>
      <c r="F240" s="2">
        <f t="shared" si="33"/>
        <v>45657</v>
      </c>
    </row>
    <row r="241" spans="1:6" x14ac:dyDescent="0.25">
      <c r="A241" s="1" t="s">
        <v>374</v>
      </c>
      <c r="B241" s="1" t="s">
        <v>735</v>
      </c>
      <c r="C241" s="1" t="s">
        <v>67</v>
      </c>
      <c r="D241" s="3">
        <f t="shared" si="34"/>
        <v>7915</v>
      </c>
      <c r="E241" s="2">
        <f t="shared" si="32"/>
        <v>42552</v>
      </c>
      <c r="F241" s="2">
        <f t="shared" si="33"/>
        <v>45657</v>
      </c>
    </row>
    <row r="242" spans="1:6" x14ac:dyDescent="0.25">
      <c r="A242" s="1" t="s">
        <v>374</v>
      </c>
      <c r="B242" s="1" t="s">
        <v>735</v>
      </c>
      <c r="C242" s="1" t="s">
        <v>148</v>
      </c>
      <c r="D242" s="3">
        <f t="shared" si="34"/>
        <v>7915</v>
      </c>
      <c r="E242" s="2">
        <f t="shared" si="32"/>
        <v>42552</v>
      </c>
      <c r="F242" s="2">
        <f t="shared" si="33"/>
        <v>45657</v>
      </c>
    </row>
    <row r="243" spans="1:6" x14ac:dyDescent="0.25">
      <c r="A243" s="1" t="s">
        <v>374</v>
      </c>
      <c r="B243" s="1" t="s">
        <v>735</v>
      </c>
      <c r="C243" s="1" t="s">
        <v>149</v>
      </c>
      <c r="D243" s="3">
        <f t="shared" si="34"/>
        <v>7915</v>
      </c>
      <c r="E243" s="2">
        <f t="shared" si="32"/>
        <v>42552</v>
      </c>
      <c r="F243" s="2">
        <f t="shared" si="33"/>
        <v>45657</v>
      </c>
    </row>
    <row r="244" spans="1:6" x14ac:dyDescent="0.25">
      <c r="A244" s="1" t="s">
        <v>374</v>
      </c>
      <c r="B244" s="1" t="s">
        <v>735</v>
      </c>
      <c r="C244" s="1" t="s">
        <v>150</v>
      </c>
      <c r="D244" s="3">
        <f t="shared" si="34"/>
        <v>7915</v>
      </c>
      <c r="E244" s="2">
        <f t="shared" si="32"/>
        <v>42552</v>
      </c>
      <c r="F244" s="2">
        <f t="shared" si="33"/>
        <v>45657</v>
      </c>
    </row>
    <row r="245" spans="1:6" x14ac:dyDescent="0.25">
      <c r="A245" s="1" t="s">
        <v>374</v>
      </c>
      <c r="B245" s="1" t="s">
        <v>735</v>
      </c>
      <c r="C245" s="1" t="s">
        <v>151</v>
      </c>
      <c r="D245" s="3">
        <f t="shared" si="34"/>
        <v>7915</v>
      </c>
      <c r="E245" s="2">
        <f t="shared" si="32"/>
        <v>42552</v>
      </c>
      <c r="F245" s="2">
        <f t="shared" si="33"/>
        <v>45657</v>
      </c>
    </row>
    <row r="246" spans="1:6" x14ac:dyDescent="0.25">
      <c r="A246" s="1" t="s">
        <v>374</v>
      </c>
      <c r="B246" s="1" t="s">
        <v>735</v>
      </c>
      <c r="C246" s="1" t="s">
        <v>641</v>
      </c>
      <c r="D246" s="3">
        <f t="shared" si="34"/>
        <v>7915</v>
      </c>
      <c r="E246" s="2">
        <f t="shared" si="32"/>
        <v>42552</v>
      </c>
      <c r="F246" s="2">
        <f t="shared" si="33"/>
        <v>45657</v>
      </c>
    </row>
    <row r="247" spans="1:6" x14ac:dyDescent="0.25">
      <c r="A247" s="1" t="s">
        <v>374</v>
      </c>
      <c r="B247" s="1" t="s">
        <v>735</v>
      </c>
      <c r="C247" s="1" t="s">
        <v>24</v>
      </c>
      <c r="D247" s="3">
        <f t="shared" si="34"/>
        <v>7915</v>
      </c>
      <c r="E247" s="2">
        <f t="shared" si="32"/>
        <v>42552</v>
      </c>
      <c r="F247" s="2">
        <f t="shared" si="33"/>
        <v>45657</v>
      </c>
    </row>
    <row r="248" spans="1:6" x14ac:dyDescent="0.25">
      <c r="A248" s="1" t="s">
        <v>374</v>
      </c>
      <c r="B248" s="1" t="s">
        <v>735</v>
      </c>
      <c r="C248" s="1" t="s">
        <v>160</v>
      </c>
      <c r="D248" s="3">
        <f t="shared" si="34"/>
        <v>7915</v>
      </c>
      <c r="E248" s="2">
        <f t="shared" si="32"/>
        <v>42552</v>
      </c>
      <c r="F248" s="2">
        <f t="shared" si="33"/>
        <v>45657</v>
      </c>
    </row>
    <row r="249" spans="1:6" x14ac:dyDescent="0.25">
      <c r="A249" s="1" t="s">
        <v>374</v>
      </c>
      <c r="B249" s="1" t="s">
        <v>735</v>
      </c>
      <c r="C249" s="1" t="s">
        <v>34</v>
      </c>
      <c r="D249" s="3">
        <f t="shared" si="34"/>
        <v>7915</v>
      </c>
      <c r="E249" s="2">
        <f t="shared" si="32"/>
        <v>42552</v>
      </c>
      <c r="F249" s="2">
        <f t="shared" si="33"/>
        <v>45657</v>
      </c>
    </row>
    <row r="250" spans="1:6" x14ac:dyDescent="0.25">
      <c r="A250" s="1" t="s">
        <v>374</v>
      </c>
      <c r="B250" s="1" t="s">
        <v>622</v>
      </c>
      <c r="C250" s="1" t="s">
        <v>62</v>
      </c>
      <c r="D250" s="3">
        <f t="shared" ref="D250:D269" si="35">VALUE("7841")</f>
        <v>7841</v>
      </c>
      <c r="E250" s="2">
        <f t="shared" ref="E250:E269" si="36">DATEVALUE("1-3-2016")</f>
        <v>42430</v>
      </c>
      <c r="F250" s="2">
        <f t="shared" si="33"/>
        <v>45657</v>
      </c>
    </row>
    <row r="251" spans="1:6" x14ac:dyDescent="0.25">
      <c r="A251" s="1" t="s">
        <v>374</v>
      </c>
      <c r="B251" s="1" t="s">
        <v>622</v>
      </c>
      <c r="C251" s="1" t="s">
        <v>140</v>
      </c>
      <c r="D251" s="3">
        <f t="shared" si="35"/>
        <v>7841</v>
      </c>
      <c r="E251" s="2">
        <f t="shared" si="36"/>
        <v>42430</v>
      </c>
      <c r="F251" s="2">
        <f t="shared" si="33"/>
        <v>45657</v>
      </c>
    </row>
    <row r="252" spans="1:6" x14ac:dyDescent="0.25">
      <c r="A252" s="1" t="s">
        <v>374</v>
      </c>
      <c r="B252" s="1" t="s">
        <v>622</v>
      </c>
      <c r="C252" s="1" t="s">
        <v>87</v>
      </c>
      <c r="D252" s="3">
        <f t="shared" si="35"/>
        <v>7841</v>
      </c>
      <c r="E252" s="2">
        <f t="shared" si="36"/>
        <v>42430</v>
      </c>
      <c r="F252" s="2">
        <f t="shared" si="33"/>
        <v>45657</v>
      </c>
    </row>
    <row r="253" spans="1:6" x14ac:dyDescent="0.25">
      <c r="A253" s="1" t="s">
        <v>374</v>
      </c>
      <c r="B253" s="1" t="s">
        <v>622</v>
      </c>
      <c r="C253" s="1" t="s">
        <v>14</v>
      </c>
      <c r="D253" s="3">
        <f t="shared" si="35"/>
        <v>7841</v>
      </c>
      <c r="E253" s="2">
        <f t="shared" si="36"/>
        <v>42430</v>
      </c>
      <c r="F253" s="2">
        <f t="shared" ref="F253:F284" si="37">DATEVALUE("31-12-2024")</f>
        <v>45657</v>
      </c>
    </row>
    <row r="254" spans="1:6" x14ac:dyDescent="0.25">
      <c r="A254" s="1" t="s">
        <v>374</v>
      </c>
      <c r="B254" s="1" t="s">
        <v>622</v>
      </c>
      <c r="C254" s="1" t="s">
        <v>15</v>
      </c>
      <c r="D254" s="3">
        <f t="shared" si="35"/>
        <v>7841</v>
      </c>
      <c r="E254" s="2">
        <f t="shared" si="36"/>
        <v>42430</v>
      </c>
      <c r="F254" s="2">
        <f t="shared" si="37"/>
        <v>45657</v>
      </c>
    </row>
    <row r="255" spans="1:6" x14ac:dyDescent="0.25">
      <c r="A255" s="1" t="s">
        <v>374</v>
      </c>
      <c r="B255" s="1" t="s">
        <v>622</v>
      </c>
      <c r="C255" s="1" t="s">
        <v>88</v>
      </c>
      <c r="D255" s="3">
        <f t="shared" si="35"/>
        <v>7841</v>
      </c>
      <c r="E255" s="2">
        <f t="shared" si="36"/>
        <v>42430</v>
      </c>
      <c r="F255" s="2">
        <f t="shared" si="37"/>
        <v>45657</v>
      </c>
    </row>
    <row r="256" spans="1:6" x14ac:dyDescent="0.25">
      <c r="A256" s="1" t="s">
        <v>374</v>
      </c>
      <c r="B256" s="1" t="s">
        <v>622</v>
      </c>
      <c r="C256" s="1" t="s">
        <v>17</v>
      </c>
      <c r="D256" s="3">
        <f t="shared" si="35"/>
        <v>7841</v>
      </c>
      <c r="E256" s="2">
        <f t="shared" si="36"/>
        <v>42430</v>
      </c>
      <c r="F256" s="2">
        <f t="shared" si="37"/>
        <v>45657</v>
      </c>
    </row>
    <row r="257" spans="1:6" x14ac:dyDescent="0.25">
      <c r="A257" s="1" t="s">
        <v>374</v>
      </c>
      <c r="B257" s="1" t="s">
        <v>622</v>
      </c>
      <c r="C257" s="1" t="s">
        <v>146</v>
      </c>
      <c r="D257" s="3">
        <f t="shared" si="35"/>
        <v>7841</v>
      </c>
      <c r="E257" s="2">
        <f t="shared" si="36"/>
        <v>42430</v>
      </c>
      <c r="F257" s="2">
        <f t="shared" si="37"/>
        <v>45657</v>
      </c>
    </row>
    <row r="258" spans="1:6" x14ac:dyDescent="0.25">
      <c r="A258" s="1" t="s">
        <v>374</v>
      </c>
      <c r="B258" s="1" t="s">
        <v>622</v>
      </c>
      <c r="C258" s="1" t="s">
        <v>148</v>
      </c>
      <c r="D258" s="3">
        <f t="shared" si="35"/>
        <v>7841</v>
      </c>
      <c r="E258" s="2">
        <f t="shared" si="36"/>
        <v>42430</v>
      </c>
      <c r="F258" s="2">
        <f t="shared" si="37"/>
        <v>45657</v>
      </c>
    </row>
    <row r="259" spans="1:6" x14ac:dyDescent="0.25">
      <c r="A259" s="1" t="s">
        <v>374</v>
      </c>
      <c r="B259" s="1" t="s">
        <v>622</v>
      </c>
      <c r="C259" s="1" t="s">
        <v>172</v>
      </c>
      <c r="D259" s="3">
        <f t="shared" si="35"/>
        <v>7841</v>
      </c>
      <c r="E259" s="2">
        <f t="shared" si="36"/>
        <v>42430</v>
      </c>
      <c r="F259" s="2">
        <f t="shared" si="37"/>
        <v>45657</v>
      </c>
    </row>
    <row r="260" spans="1:6" x14ac:dyDescent="0.25">
      <c r="A260" s="1" t="s">
        <v>374</v>
      </c>
      <c r="B260" s="1" t="s">
        <v>622</v>
      </c>
      <c r="C260" s="1" t="s">
        <v>92</v>
      </c>
      <c r="D260" s="3">
        <f t="shared" si="35"/>
        <v>7841</v>
      </c>
      <c r="E260" s="2">
        <f t="shared" si="36"/>
        <v>42430</v>
      </c>
      <c r="F260" s="2">
        <f t="shared" si="37"/>
        <v>45657</v>
      </c>
    </row>
    <row r="261" spans="1:6" x14ac:dyDescent="0.25">
      <c r="A261" s="1" t="s">
        <v>374</v>
      </c>
      <c r="B261" s="1" t="s">
        <v>622</v>
      </c>
      <c r="C261" s="1" t="s">
        <v>151</v>
      </c>
      <c r="D261" s="3">
        <f t="shared" si="35"/>
        <v>7841</v>
      </c>
      <c r="E261" s="2">
        <f t="shared" si="36"/>
        <v>42430</v>
      </c>
      <c r="F261" s="2">
        <f t="shared" si="37"/>
        <v>45657</v>
      </c>
    </row>
    <row r="262" spans="1:6" x14ac:dyDescent="0.25">
      <c r="A262" s="1" t="s">
        <v>374</v>
      </c>
      <c r="B262" s="1" t="s">
        <v>622</v>
      </c>
      <c r="C262" s="1" t="s">
        <v>474</v>
      </c>
      <c r="D262" s="3">
        <f t="shared" si="35"/>
        <v>7841</v>
      </c>
      <c r="E262" s="2">
        <f t="shared" si="36"/>
        <v>42430</v>
      </c>
      <c r="F262" s="2">
        <f t="shared" si="37"/>
        <v>45657</v>
      </c>
    </row>
    <row r="263" spans="1:6" x14ac:dyDescent="0.25">
      <c r="A263" s="1" t="s">
        <v>374</v>
      </c>
      <c r="B263" s="1" t="s">
        <v>622</v>
      </c>
      <c r="C263" s="1" t="s">
        <v>475</v>
      </c>
      <c r="D263" s="3">
        <f t="shared" si="35"/>
        <v>7841</v>
      </c>
      <c r="E263" s="2">
        <f t="shared" si="36"/>
        <v>42430</v>
      </c>
      <c r="F263" s="2">
        <f t="shared" si="37"/>
        <v>45657</v>
      </c>
    </row>
    <row r="264" spans="1:6" x14ac:dyDescent="0.25">
      <c r="A264" s="1" t="s">
        <v>374</v>
      </c>
      <c r="B264" s="1" t="s">
        <v>622</v>
      </c>
      <c r="C264" s="1" t="s">
        <v>493</v>
      </c>
      <c r="D264" s="3">
        <f t="shared" si="35"/>
        <v>7841</v>
      </c>
      <c r="E264" s="2">
        <f t="shared" si="36"/>
        <v>42430</v>
      </c>
      <c r="F264" s="2">
        <f t="shared" si="37"/>
        <v>45657</v>
      </c>
    </row>
    <row r="265" spans="1:6" x14ac:dyDescent="0.25">
      <c r="A265" s="1" t="s">
        <v>374</v>
      </c>
      <c r="B265" s="1" t="s">
        <v>622</v>
      </c>
      <c r="C265" s="1" t="s">
        <v>24</v>
      </c>
      <c r="D265" s="3">
        <f t="shared" si="35"/>
        <v>7841</v>
      </c>
      <c r="E265" s="2">
        <f t="shared" si="36"/>
        <v>42430</v>
      </c>
      <c r="F265" s="2">
        <f t="shared" si="37"/>
        <v>45657</v>
      </c>
    </row>
    <row r="266" spans="1:6" x14ac:dyDescent="0.25">
      <c r="A266" s="1" t="s">
        <v>374</v>
      </c>
      <c r="B266" s="1" t="s">
        <v>622</v>
      </c>
      <c r="C266" s="1" t="s">
        <v>50</v>
      </c>
      <c r="D266" s="3">
        <f t="shared" si="35"/>
        <v>7841</v>
      </c>
      <c r="E266" s="2">
        <f t="shared" si="36"/>
        <v>42430</v>
      </c>
      <c r="F266" s="2">
        <f t="shared" si="37"/>
        <v>45657</v>
      </c>
    </row>
    <row r="267" spans="1:6" x14ac:dyDescent="0.25">
      <c r="A267" s="1" t="s">
        <v>374</v>
      </c>
      <c r="B267" s="1" t="s">
        <v>622</v>
      </c>
      <c r="C267" s="1" t="s">
        <v>70</v>
      </c>
      <c r="D267" s="3">
        <f t="shared" si="35"/>
        <v>7841</v>
      </c>
      <c r="E267" s="2">
        <f t="shared" si="36"/>
        <v>42430</v>
      </c>
      <c r="F267" s="2">
        <f t="shared" si="37"/>
        <v>45657</v>
      </c>
    </row>
    <row r="268" spans="1:6" x14ac:dyDescent="0.25">
      <c r="A268" s="1" t="s">
        <v>374</v>
      </c>
      <c r="B268" s="1" t="s">
        <v>622</v>
      </c>
      <c r="C268" s="1" t="s">
        <v>293</v>
      </c>
      <c r="D268" s="3">
        <f t="shared" si="35"/>
        <v>7841</v>
      </c>
      <c r="E268" s="2">
        <f t="shared" si="36"/>
        <v>42430</v>
      </c>
      <c r="F268" s="2">
        <f t="shared" si="37"/>
        <v>45657</v>
      </c>
    </row>
    <row r="269" spans="1:6" x14ac:dyDescent="0.25">
      <c r="A269" s="1" t="s">
        <v>374</v>
      </c>
      <c r="B269" s="1" t="s">
        <v>622</v>
      </c>
      <c r="C269" s="1" t="s">
        <v>34</v>
      </c>
      <c r="D269" s="3">
        <f t="shared" si="35"/>
        <v>7841</v>
      </c>
      <c r="E269" s="2">
        <f t="shared" si="36"/>
        <v>42430</v>
      </c>
      <c r="F269" s="2">
        <f t="shared" si="37"/>
        <v>45657</v>
      </c>
    </row>
    <row r="270" spans="1:6" x14ac:dyDescent="0.25">
      <c r="A270" s="1" t="s">
        <v>374</v>
      </c>
      <c r="B270" s="1" t="s">
        <v>373</v>
      </c>
      <c r="C270" s="1" t="s">
        <v>325</v>
      </c>
      <c r="D270" s="3">
        <f t="shared" ref="D270:D310" si="38">VALUE("7588")</f>
        <v>7588</v>
      </c>
      <c r="E270" s="2">
        <f t="shared" ref="E270:E310" si="39">DATEVALUE("1-7-2014")</f>
        <v>41821</v>
      </c>
      <c r="F270" s="2">
        <f t="shared" si="37"/>
        <v>45657</v>
      </c>
    </row>
    <row r="271" spans="1:6" x14ac:dyDescent="0.25">
      <c r="A271" s="1" t="s">
        <v>374</v>
      </c>
      <c r="B271" s="1" t="s">
        <v>373</v>
      </c>
      <c r="C271" s="1" t="s">
        <v>39</v>
      </c>
      <c r="D271" s="3">
        <f t="shared" si="38"/>
        <v>7588</v>
      </c>
      <c r="E271" s="2">
        <f t="shared" si="39"/>
        <v>41821</v>
      </c>
      <c r="F271" s="2">
        <f t="shared" si="37"/>
        <v>45657</v>
      </c>
    </row>
    <row r="272" spans="1:6" x14ac:dyDescent="0.25">
      <c r="A272" s="1" t="s">
        <v>374</v>
      </c>
      <c r="B272" s="1" t="s">
        <v>373</v>
      </c>
      <c r="C272" s="1" t="s">
        <v>42</v>
      </c>
      <c r="D272" s="3">
        <f t="shared" si="38"/>
        <v>7588</v>
      </c>
      <c r="E272" s="2">
        <f t="shared" si="39"/>
        <v>41821</v>
      </c>
      <c r="F272" s="2">
        <f t="shared" si="37"/>
        <v>45657</v>
      </c>
    </row>
    <row r="273" spans="1:6" x14ac:dyDescent="0.25">
      <c r="A273" s="1" t="s">
        <v>374</v>
      </c>
      <c r="B273" s="1" t="s">
        <v>373</v>
      </c>
      <c r="C273" s="1" t="s">
        <v>8</v>
      </c>
      <c r="D273" s="3">
        <f t="shared" si="38"/>
        <v>7588</v>
      </c>
      <c r="E273" s="2">
        <f t="shared" si="39"/>
        <v>41821</v>
      </c>
      <c r="F273" s="2">
        <f t="shared" si="37"/>
        <v>45657</v>
      </c>
    </row>
    <row r="274" spans="1:6" x14ac:dyDescent="0.25">
      <c r="A274" s="1" t="s">
        <v>374</v>
      </c>
      <c r="B274" s="1" t="s">
        <v>373</v>
      </c>
      <c r="C274" s="1" t="s">
        <v>10</v>
      </c>
      <c r="D274" s="3">
        <f t="shared" si="38"/>
        <v>7588</v>
      </c>
      <c r="E274" s="2">
        <f t="shared" si="39"/>
        <v>41821</v>
      </c>
      <c r="F274" s="2">
        <f t="shared" si="37"/>
        <v>45657</v>
      </c>
    </row>
    <row r="275" spans="1:6" x14ac:dyDescent="0.25">
      <c r="A275" s="1" t="s">
        <v>374</v>
      </c>
      <c r="B275" s="1" t="s">
        <v>373</v>
      </c>
      <c r="C275" s="1" t="s">
        <v>43</v>
      </c>
      <c r="D275" s="3">
        <f t="shared" si="38"/>
        <v>7588</v>
      </c>
      <c r="E275" s="2">
        <f t="shared" si="39"/>
        <v>41821</v>
      </c>
      <c r="F275" s="2">
        <f t="shared" si="37"/>
        <v>45657</v>
      </c>
    </row>
    <row r="276" spans="1:6" x14ac:dyDescent="0.25">
      <c r="A276" s="1" t="s">
        <v>374</v>
      </c>
      <c r="B276" s="1" t="s">
        <v>373</v>
      </c>
      <c r="C276" s="1" t="s">
        <v>375</v>
      </c>
      <c r="D276" s="3">
        <f t="shared" si="38"/>
        <v>7588</v>
      </c>
      <c r="E276" s="2">
        <f t="shared" si="39"/>
        <v>41821</v>
      </c>
      <c r="F276" s="2">
        <f t="shared" si="37"/>
        <v>45657</v>
      </c>
    </row>
    <row r="277" spans="1:6" x14ac:dyDescent="0.25">
      <c r="A277" s="1" t="s">
        <v>374</v>
      </c>
      <c r="B277" s="1" t="s">
        <v>373</v>
      </c>
      <c r="C277" s="1" t="s">
        <v>140</v>
      </c>
      <c r="D277" s="3">
        <f t="shared" si="38"/>
        <v>7588</v>
      </c>
      <c r="E277" s="2">
        <f t="shared" si="39"/>
        <v>41821</v>
      </c>
      <c r="F277" s="2">
        <f t="shared" si="37"/>
        <v>45657</v>
      </c>
    </row>
    <row r="278" spans="1:6" x14ac:dyDescent="0.25">
      <c r="A278" s="1" t="s">
        <v>374</v>
      </c>
      <c r="B278" s="1" t="s">
        <v>373</v>
      </c>
      <c r="C278" s="1" t="s">
        <v>141</v>
      </c>
      <c r="D278" s="3">
        <f t="shared" si="38"/>
        <v>7588</v>
      </c>
      <c r="E278" s="2">
        <f t="shared" si="39"/>
        <v>41821</v>
      </c>
      <c r="F278" s="2">
        <f t="shared" si="37"/>
        <v>45657</v>
      </c>
    </row>
    <row r="279" spans="1:6" x14ac:dyDescent="0.25">
      <c r="A279" s="1" t="s">
        <v>374</v>
      </c>
      <c r="B279" s="1" t="s">
        <v>373</v>
      </c>
      <c r="C279" s="1" t="s">
        <v>142</v>
      </c>
      <c r="D279" s="3">
        <f t="shared" si="38"/>
        <v>7588</v>
      </c>
      <c r="E279" s="2">
        <f t="shared" si="39"/>
        <v>41821</v>
      </c>
      <c r="F279" s="2">
        <f t="shared" si="37"/>
        <v>45657</v>
      </c>
    </row>
    <row r="280" spans="1:6" x14ac:dyDescent="0.25">
      <c r="A280" s="1" t="s">
        <v>374</v>
      </c>
      <c r="B280" s="1" t="s">
        <v>373</v>
      </c>
      <c r="C280" s="1" t="s">
        <v>46</v>
      </c>
      <c r="D280" s="3">
        <f t="shared" si="38"/>
        <v>7588</v>
      </c>
      <c r="E280" s="2">
        <f t="shared" si="39"/>
        <v>41821</v>
      </c>
      <c r="F280" s="2">
        <f t="shared" si="37"/>
        <v>45657</v>
      </c>
    </row>
    <row r="281" spans="1:6" x14ac:dyDescent="0.25">
      <c r="A281" s="1" t="s">
        <v>374</v>
      </c>
      <c r="B281" s="1" t="s">
        <v>373</v>
      </c>
      <c r="C281" s="1" t="s">
        <v>14</v>
      </c>
      <c r="D281" s="3">
        <f t="shared" si="38"/>
        <v>7588</v>
      </c>
      <c r="E281" s="2">
        <f t="shared" si="39"/>
        <v>41821</v>
      </c>
      <c r="F281" s="2">
        <f t="shared" si="37"/>
        <v>45657</v>
      </c>
    </row>
    <row r="282" spans="1:6" x14ac:dyDescent="0.25">
      <c r="A282" s="1" t="s">
        <v>374</v>
      </c>
      <c r="B282" s="1" t="s">
        <v>373</v>
      </c>
      <c r="C282" s="1" t="s">
        <v>15</v>
      </c>
      <c r="D282" s="3">
        <f t="shared" si="38"/>
        <v>7588</v>
      </c>
      <c r="E282" s="2">
        <f t="shared" si="39"/>
        <v>41821</v>
      </c>
      <c r="F282" s="2">
        <f t="shared" si="37"/>
        <v>45657</v>
      </c>
    </row>
    <row r="283" spans="1:6" x14ac:dyDescent="0.25">
      <c r="A283" s="1" t="s">
        <v>374</v>
      </c>
      <c r="B283" s="1" t="s">
        <v>373</v>
      </c>
      <c r="C283" s="1" t="s">
        <v>89</v>
      </c>
      <c r="D283" s="3">
        <f t="shared" si="38"/>
        <v>7588</v>
      </c>
      <c r="E283" s="2">
        <f t="shared" si="39"/>
        <v>41821</v>
      </c>
      <c r="F283" s="2">
        <f t="shared" si="37"/>
        <v>45657</v>
      </c>
    </row>
    <row r="284" spans="1:6" x14ac:dyDescent="0.25">
      <c r="A284" s="1" t="s">
        <v>374</v>
      </c>
      <c r="B284" s="1" t="s">
        <v>373</v>
      </c>
      <c r="C284" s="1" t="s">
        <v>17</v>
      </c>
      <c r="D284" s="3">
        <f t="shared" si="38"/>
        <v>7588</v>
      </c>
      <c r="E284" s="2">
        <f t="shared" si="39"/>
        <v>41821</v>
      </c>
      <c r="F284" s="2">
        <f t="shared" si="37"/>
        <v>45657</v>
      </c>
    </row>
    <row r="285" spans="1:6" x14ac:dyDescent="0.25">
      <c r="A285" s="1" t="s">
        <v>374</v>
      </c>
      <c r="B285" s="1" t="s">
        <v>373</v>
      </c>
      <c r="C285" s="1" t="s">
        <v>47</v>
      </c>
      <c r="D285" s="3">
        <f t="shared" si="38"/>
        <v>7588</v>
      </c>
      <c r="E285" s="2">
        <f t="shared" si="39"/>
        <v>41821</v>
      </c>
      <c r="F285" s="2">
        <f t="shared" ref="F285:F310" si="40">DATEVALUE("31-12-2024")</f>
        <v>45657</v>
      </c>
    </row>
    <row r="286" spans="1:6" x14ac:dyDescent="0.25">
      <c r="A286" s="1" t="s">
        <v>374</v>
      </c>
      <c r="B286" s="1" t="s">
        <v>373</v>
      </c>
      <c r="C286" s="1" t="s">
        <v>291</v>
      </c>
      <c r="D286" s="3">
        <f t="shared" si="38"/>
        <v>7588</v>
      </c>
      <c r="E286" s="2">
        <f t="shared" si="39"/>
        <v>41821</v>
      </c>
      <c r="F286" s="2">
        <f t="shared" si="40"/>
        <v>45657</v>
      </c>
    </row>
    <row r="287" spans="1:6" x14ac:dyDescent="0.25">
      <c r="A287" s="1" t="s">
        <v>374</v>
      </c>
      <c r="B287" s="1" t="s">
        <v>373</v>
      </c>
      <c r="C287" s="1" t="s">
        <v>22</v>
      </c>
      <c r="D287" s="3">
        <f t="shared" si="38"/>
        <v>7588</v>
      </c>
      <c r="E287" s="2">
        <f t="shared" si="39"/>
        <v>41821</v>
      </c>
      <c r="F287" s="2">
        <f t="shared" si="40"/>
        <v>45657</v>
      </c>
    </row>
    <row r="288" spans="1:6" x14ac:dyDescent="0.25">
      <c r="A288" s="1" t="s">
        <v>374</v>
      </c>
      <c r="B288" s="1" t="s">
        <v>373</v>
      </c>
      <c r="C288" s="1" t="s">
        <v>258</v>
      </c>
      <c r="D288" s="3">
        <f t="shared" si="38"/>
        <v>7588</v>
      </c>
      <c r="E288" s="2">
        <f t="shared" si="39"/>
        <v>41821</v>
      </c>
      <c r="F288" s="2">
        <f t="shared" si="40"/>
        <v>45657</v>
      </c>
    </row>
    <row r="289" spans="1:6" x14ac:dyDescent="0.25">
      <c r="A289" s="1" t="s">
        <v>374</v>
      </c>
      <c r="B289" s="1" t="s">
        <v>373</v>
      </c>
      <c r="C289" s="1" t="s">
        <v>146</v>
      </c>
      <c r="D289" s="3">
        <f t="shared" si="38"/>
        <v>7588</v>
      </c>
      <c r="E289" s="2">
        <f t="shared" si="39"/>
        <v>41821</v>
      </c>
      <c r="F289" s="2">
        <f t="shared" si="40"/>
        <v>45657</v>
      </c>
    </row>
    <row r="290" spans="1:6" x14ac:dyDescent="0.25">
      <c r="A290" s="1" t="s">
        <v>374</v>
      </c>
      <c r="B290" s="1" t="s">
        <v>373</v>
      </c>
      <c r="C290" s="1" t="s">
        <v>147</v>
      </c>
      <c r="D290" s="3">
        <f t="shared" si="38"/>
        <v>7588</v>
      </c>
      <c r="E290" s="2">
        <f t="shared" si="39"/>
        <v>41821</v>
      </c>
      <c r="F290" s="2">
        <f t="shared" si="40"/>
        <v>45657</v>
      </c>
    </row>
    <row r="291" spans="1:6" x14ac:dyDescent="0.25">
      <c r="A291" s="1" t="s">
        <v>374</v>
      </c>
      <c r="B291" s="1" t="s">
        <v>373</v>
      </c>
      <c r="C291" s="1" t="s">
        <v>148</v>
      </c>
      <c r="D291" s="3">
        <f t="shared" si="38"/>
        <v>7588</v>
      </c>
      <c r="E291" s="2">
        <f t="shared" si="39"/>
        <v>41821</v>
      </c>
      <c r="F291" s="2">
        <f t="shared" si="40"/>
        <v>45657</v>
      </c>
    </row>
    <row r="292" spans="1:6" x14ac:dyDescent="0.25">
      <c r="A292" s="1" t="s">
        <v>374</v>
      </c>
      <c r="B292" s="1" t="s">
        <v>373</v>
      </c>
      <c r="C292" s="1" t="s">
        <v>94</v>
      </c>
      <c r="D292" s="3">
        <f t="shared" si="38"/>
        <v>7588</v>
      </c>
      <c r="E292" s="2">
        <f t="shared" si="39"/>
        <v>41821</v>
      </c>
      <c r="F292" s="2">
        <f t="shared" si="40"/>
        <v>45657</v>
      </c>
    </row>
    <row r="293" spans="1:6" x14ac:dyDescent="0.25">
      <c r="A293" s="1" t="s">
        <v>374</v>
      </c>
      <c r="B293" s="1" t="s">
        <v>373</v>
      </c>
      <c r="C293" s="1" t="s">
        <v>155</v>
      </c>
      <c r="D293" s="3">
        <f t="shared" si="38"/>
        <v>7588</v>
      </c>
      <c r="E293" s="2">
        <f t="shared" si="39"/>
        <v>41821</v>
      </c>
      <c r="F293" s="2">
        <f t="shared" si="40"/>
        <v>45657</v>
      </c>
    </row>
    <row r="294" spans="1:6" x14ac:dyDescent="0.25">
      <c r="A294" s="1" t="s">
        <v>374</v>
      </c>
      <c r="B294" s="1" t="s">
        <v>373</v>
      </c>
      <c r="C294" s="1" t="s">
        <v>24</v>
      </c>
      <c r="D294" s="3">
        <f t="shared" si="38"/>
        <v>7588</v>
      </c>
      <c r="E294" s="2">
        <f t="shared" si="39"/>
        <v>41821</v>
      </c>
      <c r="F294" s="2">
        <f t="shared" si="40"/>
        <v>45657</v>
      </c>
    </row>
    <row r="295" spans="1:6" x14ac:dyDescent="0.25">
      <c r="A295" s="1" t="s">
        <v>374</v>
      </c>
      <c r="B295" s="1" t="s">
        <v>373</v>
      </c>
      <c r="C295" s="1" t="s">
        <v>50</v>
      </c>
      <c r="D295" s="3">
        <f t="shared" si="38"/>
        <v>7588</v>
      </c>
      <c r="E295" s="2">
        <f t="shared" si="39"/>
        <v>41821</v>
      </c>
      <c r="F295" s="2">
        <f t="shared" si="40"/>
        <v>45657</v>
      </c>
    </row>
    <row r="296" spans="1:6" x14ac:dyDescent="0.25">
      <c r="A296" s="1" t="s">
        <v>374</v>
      </c>
      <c r="B296" s="1" t="s">
        <v>373</v>
      </c>
      <c r="C296" s="1" t="s">
        <v>70</v>
      </c>
      <c r="D296" s="3">
        <f t="shared" si="38"/>
        <v>7588</v>
      </c>
      <c r="E296" s="2">
        <f t="shared" si="39"/>
        <v>41821</v>
      </c>
      <c r="F296" s="2">
        <f t="shared" si="40"/>
        <v>45657</v>
      </c>
    </row>
    <row r="297" spans="1:6" x14ac:dyDescent="0.25">
      <c r="A297" s="1" t="s">
        <v>374</v>
      </c>
      <c r="B297" s="1" t="s">
        <v>373</v>
      </c>
      <c r="C297" s="1" t="s">
        <v>97</v>
      </c>
      <c r="D297" s="3">
        <f t="shared" si="38"/>
        <v>7588</v>
      </c>
      <c r="E297" s="2">
        <f t="shared" si="39"/>
        <v>41821</v>
      </c>
      <c r="F297" s="2">
        <f t="shared" si="40"/>
        <v>45657</v>
      </c>
    </row>
    <row r="298" spans="1:6" x14ac:dyDescent="0.25">
      <c r="A298" s="1" t="s">
        <v>374</v>
      </c>
      <c r="B298" s="1" t="s">
        <v>373</v>
      </c>
      <c r="C298" s="1" t="s">
        <v>73</v>
      </c>
      <c r="D298" s="3">
        <f t="shared" si="38"/>
        <v>7588</v>
      </c>
      <c r="E298" s="2">
        <f t="shared" si="39"/>
        <v>41821</v>
      </c>
      <c r="F298" s="2">
        <f t="shared" si="40"/>
        <v>45657</v>
      </c>
    </row>
    <row r="299" spans="1:6" x14ac:dyDescent="0.25">
      <c r="A299" s="1" t="s">
        <v>374</v>
      </c>
      <c r="B299" s="1" t="s">
        <v>373</v>
      </c>
      <c r="C299" s="1" t="s">
        <v>303</v>
      </c>
      <c r="D299" s="3">
        <f t="shared" si="38"/>
        <v>7588</v>
      </c>
      <c r="E299" s="2">
        <f t="shared" si="39"/>
        <v>41821</v>
      </c>
      <c r="F299" s="2">
        <f t="shared" si="40"/>
        <v>45657</v>
      </c>
    </row>
    <row r="300" spans="1:6" x14ac:dyDescent="0.25">
      <c r="A300" s="1" t="s">
        <v>374</v>
      </c>
      <c r="B300" s="1" t="s">
        <v>373</v>
      </c>
      <c r="C300" s="1" t="s">
        <v>376</v>
      </c>
      <c r="D300" s="3">
        <f t="shared" si="38"/>
        <v>7588</v>
      </c>
      <c r="E300" s="2">
        <f t="shared" si="39"/>
        <v>41821</v>
      </c>
      <c r="F300" s="2">
        <f t="shared" si="40"/>
        <v>45657</v>
      </c>
    </row>
    <row r="301" spans="1:6" x14ac:dyDescent="0.25">
      <c r="A301" s="1" t="s">
        <v>374</v>
      </c>
      <c r="B301" s="1" t="s">
        <v>373</v>
      </c>
      <c r="C301" s="1" t="s">
        <v>377</v>
      </c>
      <c r="D301" s="3">
        <f t="shared" si="38"/>
        <v>7588</v>
      </c>
      <c r="E301" s="2">
        <f t="shared" si="39"/>
        <v>41821</v>
      </c>
      <c r="F301" s="2">
        <f t="shared" si="40"/>
        <v>45657</v>
      </c>
    </row>
    <row r="302" spans="1:6" x14ac:dyDescent="0.25">
      <c r="A302" s="1" t="s">
        <v>374</v>
      </c>
      <c r="B302" s="1" t="s">
        <v>373</v>
      </c>
      <c r="C302" s="1" t="s">
        <v>378</v>
      </c>
      <c r="D302" s="3">
        <f t="shared" si="38"/>
        <v>7588</v>
      </c>
      <c r="E302" s="2">
        <f t="shared" si="39"/>
        <v>41821</v>
      </c>
      <c r="F302" s="2">
        <f t="shared" si="40"/>
        <v>45657</v>
      </c>
    </row>
    <row r="303" spans="1:6" x14ac:dyDescent="0.25">
      <c r="A303" s="1" t="s">
        <v>374</v>
      </c>
      <c r="B303" s="1" t="s">
        <v>373</v>
      </c>
      <c r="C303" s="1" t="s">
        <v>162</v>
      </c>
      <c r="D303" s="3">
        <f t="shared" si="38"/>
        <v>7588</v>
      </c>
      <c r="E303" s="2">
        <f t="shared" si="39"/>
        <v>41821</v>
      </c>
      <c r="F303" s="2">
        <f t="shared" si="40"/>
        <v>45657</v>
      </c>
    </row>
    <row r="304" spans="1:6" x14ac:dyDescent="0.25">
      <c r="A304" s="1" t="s">
        <v>374</v>
      </c>
      <c r="B304" s="1" t="s">
        <v>373</v>
      </c>
      <c r="C304" s="1" t="s">
        <v>34</v>
      </c>
      <c r="D304" s="3">
        <f t="shared" si="38"/>
        <v>7588</v>
      </c>
      <c r="E304" s="2">
        <f t="shared" si="39"/>
        <v>41821</v>
      </c>
      <c r="F304" s="2">
        <f t="shared" si="40"/>
        <v>45657</v>
      </c>
    </row>
    <row r="305" spans="1:6" x14ac:dyDescent="0.25">
      <c r="A305" s="1" t="s">
        <v>374</v>
      </c>
      <c r="B305" s="1" t="s">
        <v>373</v>
      </c>
      <c r="C305" s="1" t="s">
        <v>306</v>
      </c>
      <c r="D305" s="3">
        <f t="shared" si="38"/>
        <v>7588</v>
      </c>
      <c r="E305" s="2">
        <f t="shared" si="39"/>
        <v>41821</v>
      </c>
      <c r="F305" s="2">
        <f t="shared" si="40"/>
        <v>45657</v>
      </c>
    </row>
    <row r="306" spans="1:6" x14ac:dyDescent="0.25">
      <c r="A306" s="1" t="s">
        <v>374</v>
      </c>
      <c r="B306" s="1" t="s">
        <v>373</v>
      </c>
      <c r="C306" s="1" t="s">
        <v>379</v>
      </c>
      <c r="D306" s="3">
        <f t="shared" si="38"/>
        <v>7588</v>
      </c>
      <c r="E306" s="2">
        <f t="shared" si="39"/>
        <v>41821</v>
      </c>
      <c r="F306" s="2">
        <f t="shared" si="40"/>
        <v>45657</v>
      </c>
    </row>
    <row r="307" spans="1:6" x14ac:dyDescent="0.25">
      <c r="A307" s="1" t="s">
        <v>374</v>
      </c>
      <c r="B307" s="1" t="s">
        <v>373</v>
      </c>
      <c r="C307" s="1" t="s">
        <v>308</v>
      </c>
      <c r="D307" s="3">
        <f t="shared" si="38"/>
        <v>7588</v>
      </c>
      <c r="E307" s="2">
        <f t="shared" si="39"/>
        <v>41821</v>
      </c>
      <c r="F307" s="2">
        <f t="shared" si="40"/>
        <v>45657</v>
      </c>
    </row>
    <row r="308" spans="1:6" x14ac:dyDescent="0.25">
      <c r="A308" s="1" t="s">
        <v>374</v>
      </c>
      <c r="B308" s="1" t="s">
        <v>373</v>
      </c>
      <c r="C308" s="1" t="s">
        <v>380</v>
      </c>
      <c r="D308" s="3">
        <f t="shared" si="38"/>
        <v>7588</v>
      </c>
      <c r="E308" s="2">
        <f t="shared" si="39"/>
        <v>41821</v>
      </c>
      <c r="F308" s="2">
        <f t="shared" si="40"/>
        <v>45657</v>
      </c>
    </row>
    <row r="309" spans="1:6" x14ac:dyDescent="0.25">
      <c r="A309" s="1" t="s">
        <v>374</v>
      </c>
      <c r="B309" s="1" t="s">
        <v>373</v>
      </c>
      <c r="C309" s="1" t="s">
        <v>381</v>
      </c>
      <c r="D309" s="3">
        <f t="shared" si="38"/>
        <v>7588</v>
      </c>
      <c r="E309" s="2">
        <f t="shared" si="39"/>
        <v>41821</v>
      </c>
      <c r="F309" s="2">
        <f t="shared" si="40"/>
        <v>45657</v>
      </c>
    </row>
    <row r="310" spans="1:6" x14ac:dyDescent="0.25">
      <c r="A310" s="1" t="s">
        <v>374</v>
      </c>
      <c r="B310" s="1" t="s">
        <v>373</v>
      </c>
      <c r="C310" s="1" t="s">
        <v>36</v>
      </c>
      <c r="D310" s="3">
        <f t="shared" si="38"/>
        <v>7588</v>
      </c>
      <c r="E310" s="2">
        <f t="shared" si="39"/>
        <v>41821</v>
      </c>
      <c r="F310" s="2">
        <f t="shared" si="40"/>
        <v>45657</v>
      </c>
    </row>
    <row r="311" spans="1:6" x14ac:dyDescent="0.25">
      <c r="A311" s="1" t="s">
        <v>374</v>
      </c>
      <c r="B311" s="1" t="s">
        <v>2731</v>
      </c>
      <c r="C311" s="1" t="s">
        <v>325</v>
      </c>
      <c r="D311" s="3">
        <f t="shared" ref="D311:D331" si="41">VALUE("7515")</f>
        <v>7515</v>
      </c>
      <c r="E311" s="2">
        <f t="shared" ref="E311:E331" si="42">DATEVALUE("1-7-2013")</f>
        <v>41456</v>
      </c>
      <c r="F311" s="2">
        <f t="shared" ref="F311:F331" si="43">DATEVALUE("30-11-2013")</f>
        <v>41608</v>
      </c>
    </row>
    <row r="312" spans="1:6" x14ac:dyDescent="0.25">
      <c r="A312" s="1" t="s">
        <v>374</v>
      </c>
      <c r="B312" s="1" t="s">
        <v>2731</v>
      </c>
      <c r="C312" s="1" t="s">
        <v>39</v>
      </c>
      <c r="D312" s="3">
        <f t="shared" si="41"/>
        <v>7515</v>
      </c>
      <c r="E312" s="2">
        <f t="shared" si="42"/>
        <v>41456</v>
      </c>
      <c r="F312" s="2">
        <f t="shared" si="43"/>
        <v>41608</v>
      </c>
    </row>
    <row r="313" spans="1:6" x14ac:dyDescent="0.25">
      <c r="A313" s="1" t="s">
        <v>374</v>
      </c>
      <c r="B313" s="1" t="s">
        <v>2731</v>
      </c>
      <c r="C313" s="1" t="s">
        <v>42</v>
      </c>
      <c r="D313" s="3">
        <f t="shared" si="41"/>
        <v>7515</v>
      </c>
      <c r="E313" s="2">
        <f t="shared" si="42"/>
        <v>41456</v>
      </c>
      <c r="F313" s="2">
        <f t="shared" si="43"/>
        <v>41608</v>
      </c>
    </row>
    <row r="314" spans="1:6" x14ac:dyDescent="0.25">
      <c r="A314" s="1" t="s">
        <v>374</v>
      </c>
      <c r="B314" s="1" t="s">
        <v>2731</v>
      </c>
      <c r="C314" s="1" t="s">
        <v>409</v>
      </c>
      <c r="D314" s="3">
        <f t="shared" si="41"/>
        <v>7515</v>
      </c>
      <c r="E314" s="2">
        <f t="shared" si="42"/>
        <v>41456</v>
      </c>
      <c r="F314" s="2">
        <f t="shared" si="43"/>
        <v>41608</v>
      </c>
    </row>
    <row r="315" spans="1:6" x14ac:dyDescent="0.25">
      <c r="A315" s="1" t="s">
        <v>374</v>
      </c>
      <c r="B315" s="1" t="s">
        <v>2731</v>
      </c>
      <c r="C315" s="1" t="s">
        <v>8</v>
      </c>
      <c r="D315" s="3">
        <f t="shared" si="41"/>
        <v>7515</v>
      </c>
      <c r="E315" s="2">
        <f t="shared" si="42"/>
        <v>41456</v>
      </c>
      <c r="F315" s="2">
        <f t="shared" si="43"/>
        <v>41608</v>
      </c>
    </row>
    <row r="316" spans="1:6" x14ac:dyDescent="0.25">
      <c r="A316" s="1" t="s">
        <v>374</v>
      </c>
      <c r="B316" s="1" t="s">
        <v>2731</v>
      </c>
      <c r="C316" s="1" t="s">
        <v>410</v>
      </c>
      <c r="D316" s="3">
        <f t="shared" si="41"/>
        <v>7515</v>
      </c>
      <c r="E316" s="2">
        <f t="shared" si="42"/>
        <v>41456</v>
      </c>
      <c r="F316" s="2">
        <f t="shared" si="43"/>
        <v>41608</v>
      </c>
    </row>
    <row r="317" spans="1:6" x14ac:dyDescent="0.25">
      <c r="A317" s="1" t="s">
        <v>374</v>
      </c>
      <c r="B317" s="1" t="s">
        <v>2731</v>
      </c>
      <c r="C317" s="1" t="s">
        <v>43</v>
      </c>
      <c r="D317" s="3">
        <f t="shared" si="41"/>
        <v>7515</v>
      </c>
      <c r="E317" s="2">
        <f t="shared" si="42"/>
        <v>41456</v>
      </c>
      <c r="F317" s="2">
        <f t="shared" si="43"/>
        <v>41608</v>
      </c>
    </row>
    <row r="318" spans="1:6" x14ac:dyDescent="0.25">
      <c r="A318" s="1" t="s">
        <v>374</v>
      </c>
      <c r="B318" s="1" t="s">
        <v>2731</v>
      </c>
      <c r="C318" s="1" t="s">
        <v>2149</v>
      </c>
      <c r="D318" s="3">
        <f t="shared" si="41"/>
        <v>7515</v>
      </c>
      <c r="E318" s="2">
        <f t="shared" si="42"/>
        <v>41456</v>
      </c>
      <c r="F318" s="2">
        <f t="shared" si="43"/>
        <v>41608</v>
      </c>
    </row>
    <row r="319" spans="1:6" x14ac:dyDescent="0.25">
      <c r="A319" s="1" t="s">
        <v>374</v>
      </c>
      <c r="B319" s="1" t="s">
        <v>2731</v>
      </c>
      <c r="C319" s="1" t="s">
        <v>375</v>
      </c>
      <c r="D319" s="3">
        <f t="shared" si="41"/>
        <v>7515</v>
      </c>
      <c r="E319" s="2">
        <f t="shared" si="42"/>
        <v>41456</v>
      </c>
      <c r="F319" s="2">
        <f t="shared" si="43"/>
        <v>41608</v>
      </c>
    </row>
    <row r="320" spans="1:6" x14ac:dyDescent="0.25">
      <c r="A320" s="1" t="s">
        <v>374</v>
      </c>
      <c r="B320" s="1" t="s">
        <v>2731</v>
      </c>
      <c r="C320" s="1" t="s">
        <v>46</v>
      </c>
      <c r="D320" s="3">
        <f t="shared" si="41"/>
        <v>7515</v>
      </c>
      <c r="E320" s="2">
        <f t="shared" si="42"/>
        <v>41456</v>
      </c>
      <c r="F320" s="2">
        <f t="shared" si="43"/>
        <v>41608</v>
      </c>
    </row>
    <row r="321" spans="1:6" x14ac:dyDescent="0.25">
      <c r="A321" s="1" t="s">
        <v>374</v>
      </c>
      <c r="B321" s="1" t="s">
        <v>2731</v>
      </c>
      <c r="C321" s="1" t="s">
        <v>87</v>
      </c>
      <c r="D321" s="3">
        <f t="shared" si="41"/>
        <v>7515</v>
      </c>
      <c r="E321" s="2">
        <f t="shared" si="42"/>
        <v>41456</v>
      </c>
      <c r="F321" s="2">
        <f t="shared" si="43"/>
        <v>41608</v>
      </c>
    </row>
    <row r="322" spans="1:6" x14ac:dyDescent="0.25">
      <c r="A322" s="1" t="s">
        <v>374</v>
      </c>
      <c r="B322" s="1" t="s">
        <v>2731</v>
      </c>
      <c r="C322" s="1" t="s">
        <v>15</v>
      </c>
      <c r="D322" s="3">
        <f t="shared" si="41"/>
        <v>7515</v>
      </c>
      <c r="E322" s="2">
        <f t="shared" si="42"/>
        <v>41456</v>
      </c>
      <c r="F322" s="2">
        <f t="shared" si="43"/>
        <v>41608</v>
      </c>
    </row>
    <row r="323" spans="1:6" x14ac:dyDescent="0.25">
      <c r="A323" s="1" t="s">
        <v>374</v>
      </c>
      <c r="B323" s="1" t="s">
        <v>2731</v>
      </c>
      <c r="C323" s="1" t="s">
        <v>17</v>
      </c>
      <c r="D323" s="3">
        <f t="shared" si="41"/>
        <v>7515</v>
      </c>
      <c r="E323" s="2">
        <f t="shared" si="42"/>
        <v>41456</v>
      </c>
      <c r="F323" s="2">
        <f t="shared" si="43"/>
        <v>41608</v>
      </c>
    </row>
    <row r="324" spans="1:6" x14ac:dyDescent="0.25">
      <c r="A324" s="1" t="s">
        <v>374</v>
      </c>
      <c r="B324" s="1" t="s">
        <v>2731</v>
      </c>
      <c r="C324" s="1" t="s">
        <v>97</v>
      </c>
      <c r="D324" s="3">
        <f t="shared" si="41"/>
        <v>7515</v>
      </c>
      <c r="E324" s="2">
        <f t="shared" si="42"/>
        <v>41456</v>
      </c>
      <c r="F324" s="2">
        <f t="shared" si="43"/>
        <v>41608</v>
      </c>
    </row>
    <row r="325" spans="1:6" x14ac:dyDescent="0.25">
      <c r="A325" s="1" t="s">
        <v>374</v>
      </c>
      <c r="B325" s="1" t="s">
        <v>2731</v>
      </c>
      <c r="C325" s="1" t="s">
        <v>419</v>
      </c>
      <c r="D325" s="3">
        <f t="shared" si="41"/>
        <v>7515</v>
      </c>
      <c r="E325" s="2">
        <f t="shared" si="42"/>
        <v>41456</v>
      </c>
      <c r="F325" s="2">
        <f t="shared" si="43"/>
        <v>41608</v>
      </c>
    </row>
    <row r="326" spans="1:6" x14ac:dyDescent="0.25">
      <c r="A326" s="1" t="s">
        <v>374</v>
      </c>
      <c r="B326" s="1" t="s">
        <v>2731</v>
      </c>
      <c r="C326" s="1" t="s">
        <v>262</v>
      </c>
      <c r="D326" s="3">
        <f t="shared" si="41"/>
        <v>7515</v>
      </c>
      <c r="E326" s="2">
        <f t="shared" si="42"/>
        <v>41456</v>
      </c>
      <c r="F326" s="2">
        <f t="shared" si="43"/>
        <v>41608</v>
      </c>
    </row>
    <row r="327" spans="1:6" x14ac:dyDescent="0.25">
      <c r="A327" s="1" t="s">
        <v>374</v>
      </c>
      <c r="B327" s="1" t="s">
        <v>2731</v>
      </c>
      <c r="C327" s="1" t="s">
        <v>216</v>
      </c>
      <c r="D327" s="3">
        <f t="shared" si="41"/>
        <v>7515</v>
      </c>
      <c r="E327" s="2">
        <f t="shared" si="42"/>
        <v>41456</v>
      </c>
      <c r="F327" s="2">
        <f t="shared" si="43"/>
        <v>41608</v>
      </c>
    </row>
    <row r="328" spans="1:6" x14ac:dyDescent="0.25">
      <c r="A328" s="1" t="s">
        <v>374</v>
      </c>
      <c r="B328" s="1" t="s">
        <v>2731</v>
      </c>
      <c r="C328" s="1" t="s">
        <v>51</v>
      </c>
      <c r="D328" s="3">
        <f t="shared" si="41"/>
        <v>7515</v>
      </c>
      <c r="E328" s="2">
        <f t="shared" si="42"/>
        <v>41456</v>
      </c>
      <c r="F328" s="2">
        <f t="shared" si="43"/>
        <v>41608</v>
      </c>
    </row>
    <row r="329" spans="1:6" x14ac:dyDescent="0.25">
      <c r="A329" s="1" t="s">
        <v>374</v>
      </c>
      <c r="B329" s="1" t="s">
        <v>2731</v>
      </c>
      <c r="C329" s="1" t="s">
        <v>57</v>
      </c>
      <c r="D329" s="3">
        <f t="shared" si="41"/>
        <v>7515</v>
      </c>
      <c r="E329" s="2">
        <f t="shared" si="42"/>
        <v>41456</v>
      </c>
      <c r="F329" s="2">
        <f t="shared" si="43"/>
        <v>41608</v>
      </c>
    </row>
    <row r="330" spans="1:6" x14ac:dyDescent="0.25">
      <c r="A330" s="1" t="s">
        <v>374</v>
      </c>
      <c r="B330" s="1" t="s">
        <v>2731</v>
      </c>
      <c r="C330" s="1" t="s">
        <v>35</v>
      </c>
      <c r="D330" s="3">
        <f t="shared" si="41"/>
        <v>7515</v>
      </c>
      <c r="E330" s="2">
        <f t="shared" si="42"/>
        <v>41456</v>
      </c>
      <c r="F330" s="2">
        <f t="shared" si="43"/>
        <v>41608</v>
      </c>
    </row>
    <row r="331" spans="1:6" x14ac:dyDescent="0.25">
      <c r="A331" s="1" t="s">
        <v>374</v>
      </c>
      <c r="B331" s="1" t="s">
        <v>2731</v>
      </c>
      <c r="C331" s="1" t="s">
        <v>36</v>
      </c>
      <c r="D331" s="3">
        <f t="shared" si="41"/>
        <v>7515</v>
      </c>
      <c r="E331" s="2">
        <f t="shared" si="42"/>
        <v>41456</v>
      </c>
      <c r="F331" s="2">
        <f t="shared" si="43"/>
        <v>41608</v>
      </c>
    </row>
    <row r="332" spans="1:6" x14ac:dyDescent="0.25">
      <c r="A332" s="1" t="s">
        <v>374</v>
      </c>
      <c r="B332" s="1" t="s">
        <v>2707</v>
      </c>
      <c r="C332" s="1" t="s">
        <v>46</v>
      </c>
      <c r="D332" s="3">
        <f t="shared" ref="D332:D338" si="44">VALUE("7440")</f>
        <v>7440</v>
      </c>
      <c r="E332" s="2">
        <f t="shared" ref="E332:E338" si="45">DATEVALUE("1-4-2013")</f>
        <v>41365</v>
      </c>
      <c r="F332" s="2">
        <f t="shared" ref="F332:F338" si="46">DATEVALUE("30-4-2014")</f>
        <v>41759</v>
      </c>
    </row>
    <row r="333" spans="1:6" x14ac:dyDescent="0.25">
      <c r="A333" s="1" t="s">
        <v>374</v>
      </c>
      <c r="B333" s="1" t="s">
        <v>2707</v>
      </c>
      <c r="C333" s="1" t="s">
        <v>15</v>
      </c>
      <c r="D333" s="3">
        <f t="shared" si="44"/>
        <v>7440</v>
      </c>
      <c r="E333" s="2">
        <f t="shared" si="45"/>
        <v>41365</v>
      </c>
      <c r="F333" s="2">
        <f t="shared" si="46"/>
        <v>41759</v>
      </c>
    </row>
    <row r="334" spans="1:6" x14ac:dyDescent="0.25">
      <c r="A334" s="1" t="s">
        <v>374</v>
      </c>
      <c r="B334" s="1" t="s">
        <v>2707</v>
      </c>
      <c r="C334" s="1" t="s">
        <v>89</v>
      </c>
      <c r="D334" s="3">
        <f t="shared" si="44"/>
        <v>7440</v>
      </c>
      <c r="E334" s="2">
        <f t="shared" si="45"/>
        <v>41365</v>
      </c>
      <c r="F334" s="2">
        <f t="shared" si="46"/>
        <v>41759</v>
      </c>
    </row>
    <row r="335" spans="1:6" x14ac:dyDescent="0.25">
      <c r="A335" s="1" t="s">
        <v>374</v>
      </c>
      <c r="B335" s="1" t="s">
        <v>2707</v>
      </c>
      <c r="C335" s="1" t="s">
        <v>17</v>
      </c>
      <c r="D335" s="3">
        <f t="shared" si="44"/>
        <v>7440</v>
      </c>
      <c r="E335" s="2">
        <f t="shared" si="45"/>
        <v>41365</v>
      </c>
      <c r="F335" s="2">
        <f t="shared" si="46"/>
        <v>41759</v>
      </c>
    </row>
    <row r="336" spans="1:6" x14ac:dyDescent="0.25">
      <c r="A336" s="1" t="s">
        <v>374</v>
      </c>
      <c r="B336" s="1" t="s">
        <v>2707</v>
      </c>
      <c r="C336" s="1" t="s">
        <v>310</v>
      </c>
      <c r="D336" s="3">
        <f t="shared" si="44"/>
        <v>7440</v>
      </c>
      <c r="E336" s="2">
        <f t="shared" si="45"/>
        <v>41365</v>
      </c>
      <c r="F336" s="2">
        <f t="shared" si="46"/>
        <v>41759</v>
      </c>
    </row>
    <row r="337" spans="1:6" x14ac:dyDescent="0.25">
      <c r="A337" s="1" t="s">
        <v>374</v>
      </c>
      <c r="B337" s="1" t="s">
        <v>2707</v>
      </c>
      <c r="C337" s="1" t="s">
        <v>133</v>
      </c>
      <c r="D337" s="3">
        <f t="shared" si="44"/>
        <v>7440</v>
      </c>
      <c r="E337" s="2">
        <f t="shared" si="45"/>
        <v>41365</v>
      </c>
      <c r="F337" s="2">
        <f t="shared" si="46"/>
        <v>41759</v>
      </c>
    </row>
    <row r="338" spans="1:6" x14ac:dyDescent="0.25">
      <c r="A338" s="1" t="s">
        <v>374</v>
      </c>
      <c r="B338" s="1" t="s">
        <v>2707</v>
      </c>
      <c r="C338" s="1" t="s">
        <v>134</v>
      </c>
      <c r="D338" s="3">
        <f t="shared" si="44"/>
        <v>7440</v>
      </c>
      <c r="E338" s="2">
        <f t="shared" si="45"/>
        <v>41365</v>
      </c>
      <c r="F338" s="2">
        <f t="shared" si="46"/>
        <v>41759</v>
      </c>
    </row>
    <row r="339" spans="1:6" x14ac:dyDescent="0.25">
      <c r="A339" s="1" t="s">
        <v>374</v>
      </c>
      <c r="B339" s="1" t="s">
        <v>2138</v>
      </c>
      <c r="C339" s="1" t="s">
        <v>7</v>
      </c>
      <c r="D339" s="3">
        <f t="shared" ref="D339:D378" si="47">VALUE("7405")</f>
        <v>7405</v>
      </c>
      <c r="E339" s="2">
        <f t="shared" ref="E339:E378" si="48">DATEVALUE("1-9-2012")</f>
        <v>41153</v>
      </c>
      <c r="F339" s="2">
        <f t="shared" ref="F339:F378" si="49">DATEVALUE("29-2-2020")</f>
        <v>43890</v>
      </c>
    </row>
    <row r="340" spans="1:6" x14ac:dyDescent="0.25">
      <c r="A340" s="1" t="s">
        <v>374</v>
      </c>
      <c r="B340" s="1" t="s">
        <v>2138</v>
      </c>
      <c r="C340" s="1" t="s">
        <v>78</v>
      </c>
      <c r="D340" s="3">
        <f t="shared" si="47"/>
        <v>7405</v>
      </c>
      <c r="E340" s="2">
        <f t="shared" si="48"/>
        <v>41153</v>
      </c>
      <c r="F340" s="2">
        <f t="shared" si="49"/>
        <v>43890</v>
      </c>
    </row>
    <row r="341" spans="1:6" x14ac:dyDescent="0.25">
      <c r="A341" s="1" t="s">
        <v>374</v>
      </c>
      <c r="B341" s="1" t="s">
        <v>2138</v>
      </c>
      <c r="C341" s="1" t="s">
        <v>79</v>
      </c>
      <c r="D341" s="3">
        <f t="shared" si="47"/>
        <v>7405</v>
      </c>
      <c r="E341" s="2">
        <f t="shared" si="48"/>
        <v>41153</v>
      </c>
      <c r="F341" s="2">
        <f t="shared" si="49"/>
        <v>43890</v>
      </c>
    </row>
    <row r="342" spans="1:6" x14ac:dyDescent="0.25">
      <c r="A342" s="1" t="s">
        <v>374</v>
      </c>
      <c r="B342" s="1" t="s">
        <v>2138</v>
      </c>
      <c r="C342" s="1" t="s">
        <v>80</v>
      </c>
      <c r="D342" s="3">
        <f t="shared" si="47"/>
        <v>7405</v>
      </c>
      <c r="E342" s="2">
        <f t="shared" si="48"/>
        <v>41153</v>
      </c>
      <c r="F342" s="2">
        <f t="shared" si="49"/>
        <v>43890</v>
      </c>
    </row>
    <row r="343" spans="1:6" x14ac:dyDescent="0.25">
      <c r="A343" s="1" t="s">
        <v>374</v>
      </c>
      <c r="B343" s="1" t="s">
        <v>2138</v>
      </c>
      <c r="C343" s="1" t="s">
        <v>39</v>
      </c>
      <c r="D343" s="3">
        <f t="shared" si="47"/>
        <v>7405</v>
      </c>
      <c r="E343" s="2">
        <f t="shared" si="48"/>
        <v>41153</v>
      </c>
      <c r="F343" s="2">
        <f t="shared" si="49"/>
        <v>43890</v>
      </c>
    </row>
    <row r="344" spans="1:6" x14ac:dyDescent="0.25">
      <c r="A344" s="1" t="s">
        <v>374</v>
      </c>
      <c r="B344" s="1" t="s">
        <v>2138</v>
      </c>
      <c r="C344" s="1" t="s">
        <v>42</v>
      </c>
      <c r="D344" s="3">
        <f t="shared" si="47"/>
        <v>7405</v>
      </c>
      <c r="E344" s="2">
        <f t="shared" si="48"/>
        <v>41153</v>
      </c>
      <c r="F344" s="2">
        <f t="shared" si="49"/>
        <v>43890</v>
      </c>
    </row>
    <row r="345" spans="1:6" x14ac:dyDescent="0.25">
      <c r="A345" s="1" t="s">
        <v>374</v>
      </c>
      <c r="B345" s="1" t="s">
        <v>2138</v>
      </c>
      <c r="C345" s="1" t="s">
        <v>8</v>
      </c>
      <c r="D345" s="3">
        <f t="shared" si="47"/>
        <v>7405</v>
      </c>
      <c r="E345" s="2">
        <f t="shared" si="48"/>
        <v>41153</v>
      </c>
      <c r="F345" s="2">
        <f t="shared" si="49"/>
        <v>43890</v>
      </c>
    </row>
    <row r="346" spans="1:6" x14ac:dyDescent="0.25">
      <c r="A346" s="1" t="s">
        <v>374</v>
      </c>
      <c r="B346" s="1" t="s">
        <v>2138</v>
      </c>
      <c r="C346" s="1" t="s">
        <v>10</v>
      </c>
      <c r="D346" s="3">
        <f t="shared" si="47"/>
        <v>7405</v>
      </c>
      <c r="E346" s="2">
        <f t="shared" si="48"/>
        <v>41153</v>
      </c>
      <c r="F346" s="2">
        <f t="shared" si="49"/>
        <v>43890</v>
      </c>
    </row>
    <row r="347" spans="1:6" x14ac:dyDescent="0.25">
      <c r="A347" s="1" t="s">
        <v>374</v>
      </c>
      <c r="B347" s="1" t="s">
        <v>2138</v>
      </c>
      <c r="C347" s="1" t="s">
        <v>11</v>
      </c>
      <c r="D347" s="3">
        <f t="shared" si="47"/>
        <v>7405</v>
      </c>
      <c r="E347" s="2">
        <f t="shared" si="48"/>
        <v>41153</v>
      </c>
      <c r="F347" s="2">
        <f t="shared" si="49"/>
        <v>43890</v>
      </c>
    </row>
    <row r="348" spans="1:6" x14ac:dyDescent="0.25">
      <c r="A348" s="1" t="s">
        <v>374</v>
      </c>
      <c r="B348" s="1" t="s">
        <v>2138</v>
      </c>
      <c r="C348" s="1" t="s">
        <v>12</v>
      </c>
      <c r="D348" s="3">
        <f t="shared" si="47"/>
        <v>7405</v>
      </c>
      <c r="E348" s="2">
        <f t="shared" si="48"/>
        <v>41153</v>
      </c>
      <c r="F348" s="2">
        <f t="shared" si="49"/>
        <v>43890</v>
      </c>
    </row>
    <row r="349" spans="1:6" x14ac:dyDescent="0.25">
      <c r="A349" s="1" t="s">
        <v>374</v>
      </c>
      <c r="B349" s="1" t="s">
        <v>2138</v>
      </c>
      <c r="C349" s="1" t="s">
        <v>83</v>
      </c>
      <c r="D349" s="3">
        <f t="shared" si="47"/>
        <v>7405</v>
      </c>
      <c r="E349" s="2">
        <f t="shared" si="48"/>
        <v>41153</v>
      </c>
      <c r="F349" s="2">
        <f t="shared" si="49"/>
        <v>43890</v>
      </c>
    </row>
    <row r="350" spans="1:6" x14ac:dyDescent="0.25">
      <c r="A350" s="1" t="s">
        <v>374</v>
      </c>
      <c r="B350" s="1" t="s">
        <v>2138</v>
      </c>
      <c r="C350" s="1" t="s">
        <v>43</v>
      </c>
      <c r="D350" s="3">
        <f t="shared" si="47"/>
        <v>7405</v>
      </c>
      <c r="E350" s="2">
        <f t="shared" si="48"/>
        <v>41153</v>
      </c>
      <c r="F350" s="2">
        <f t="shared" si="49"/>
        <v>43890</v>
      </c>
    </row>
    <row r="351" spans="1:6" x14ac:dyDescent="0.25">
      <c r="A351" s="1" t="s">
        <v>374</v>
      </c>
      <c r="B351" s="1" t="s">
        <v>2138</v>
      </c>
      <c r="C351" s="1" t="s">
        <v>46</v>
      </c>
      <c r="D351" s="3">
        <f t="shared" si="47"/>
        <v>7405</v>
      </c>
      <c r="E351" s="2">
        <f t="shared" si="48"/>
        <v>41153</v>
      </c>
      <c r="F351" s="2">
        <f t="shared" si="49"/>
        <v>43890</v>
      </c>
    </row>
    <row r="352" spans="1:6" x14ac:dyDescent="0.25">
      <c r="A352" s="1" t="s">
        <v>374</v>
      </c>
      <c r="B352" s="1" t="s">
        <v>2138</v>
      </c>
      <c r="C352" s="1" t="s">
        <v>66</v>
      </c>
      <c r="D352" s="3">
        <f t="shared" si="47"/>
        <v>7405</v>
      </c>
      <c r="E352" s="2">
        <f t="shared" si="48"/>
        <v>41153</v>
      </c>
      <c r="F352" s="2">
        <f t="shared" si="49"/>
        <v>43890</v>
      </c>
    </row>
    <row r="353" spans="1:6" x14ac:dyDescent="0.25">
      <c r="A353" s="1" t="s">
        <v>374</v>
      </c>
      <c r="B353" s="1" t="s">
        <v>2138</v>
      </c>
      <c r="C353" s="1" t="s">
        <v>16</v>
      </c>
      <c r="D353" s="3">
        <f t="shared" si="47"/>
        <v>7405</v>
      </c>
      <c r="E353" s="2">
        <f t="shared" si="48"/>
        <v>41153</v>
      </c>
      <c r="F353" s="2">
        <f t="shared" si="49"/>
        <v>43890</v>
      </c>
    </row>
    <row r="354" spans="1:6" x14ac:dyDescent="0.25">
      <c r="A354" s="1" t="s">
        <v>374</v>
      </c>
      <c r="B354" s="1" t="s">
        <v>2138</v>
      </c>
      <c r="C354" s="1" t="s">
        <v>88</v>
      </c>
      <c r="D354" s="3">
        <f t="shared" si="47"/>
        <v>7405</v>
      </c>
      <c r="E354" s="2">
        <f t="shared" si="48"/>
        <v>41153</v>
      </c>
      <c r="F354" s="2">
        <f t="shared" si="49"/>
        <v>43890</v>
      </c>
    </row>
    <row r="355" spans="1:6" x14ac:dyDescent="0.25">
      <c r="A355" s="1" t="s">
        <v>374</v>
      </c>
      <c r="B355" s="1" t="s">
        <v>2138</v>
      </c>
      <c r="C355" s="1" t="s">
        <v>89</v>
      </c>
      <c r="D355" s="3">
        <f t="shared" si="47"/>
        <v>7405</v>
      </c>
      <c r="E355" s="2">
        <f t="shared" si="48"/>
        <v>41153</v>
      </c>
      <c r="F355" s="2">
        <f t="shared" si="49"/>
        <v>43890</v>
      </c>
    </row>
    <row r="356" spans="1:6" x14ac:dyDescent="0.25">
      <c r="A356" s="1" t="s">
        <v>374</v>
      </c>
      <c r="B356" s="1" t="s">
        <v>2138</v>
      </c>
      <c r="C356" s="1" t="s">
        <v>17</v>
      </c>
      <c r="D356" s="3">
        <f t="shared" si="47"/>
        <v>7405</v>
      </c>
      <c r="E356" s="2">
        <f t="shared" si="48"/>
        <v>41153</v>
      </c>
      <c r="F356" s="2">
        <f t="shared" si="49"/>
        <v>43890</v>
      </c>
    </row>
    <row r="357" spans="1:6" x14ac:dyDescent="0.25">
      <c r="A357" s="1" t="s">
        <v>374</v>
      </c>
      <c r="B357" s="1" t="s">
        <v>2138</v>
      </c>
      <c r="C357" s="1" t="s">
        <v>193</v>
      </c>
      <c r="D357" s="3">
        <f t="shared" si="47"/>
        <v>7405</v>
      </c>
      <c r="E357" s="2">
        <f t="shared" si="48"/>
        <v>41153</v>
      </c>
      <c r="F357" s="2">
        <f t="shared" si="49"/>
        <v>43890</v>
      </c>
    </row>
    <row r="358" spans="1:6" x14ac:dyDescent="0.25">
      <c r="A358" s="1" t="s">
        <v>374</v>
      </c>
      <c r="B358" s="1" t="s">
        <v>2138</v>
      </c>
      <c r="C358" s="1" t="s">
        <v>20</v>
      </c>
      <c r="D358" s="3">
        <f t="shared" si="47"/>
        <v>7405</v>
      </c>
      <c r="E358" s="2">
        <f t="shared" si="48"/>
        <v>41153</v>
      </c>
      <c r="F358" s="2">
        <f t="shared" si="49"/>
        <v>43890</v>
      </c>
    </row>
    <row r="359" spans="1:6" x14ac:dyDescent="0.25">
      <c r="A359" s="1" t="s">
        <v>374</v>
      </c>
      <c r="B359" s="1" t="s">
        <v>2138</v>
      </c>
      <c r="C359" s="1" t="s">
        <v>418</v>
      </c>
      <c r="D359" s="3">
        <f t="shared" si="47"/>
        <v>7405</v>
      </c>
      <c r="E359" s="2">
        <f t="shared" si="48"/>
        <v>41153</v>
      </c>
      <c r="F359" s="2">
        <f t="shared" si="49"/>
        <v>43890</v>
      </c>
    </row>
    <row r="360" spans="1:6" x14ac:dyDescent="0.25">
      <c r="A360" s="1" t="s">
        <v>374</v>
      </c>
      <c r="B360" s="1" t="s">
        <v>2138</v>
      </c>
      <c r="C360" s="1" t="s">
        <v>327</v>
      </c>
      <c r="D360" s="3">
        <f t="shared" si="47"/>
        <v>7405</v>
      </c>
      <c r="E360" s="2">
        <f t="shared" si="48"/>
        <v>41153</v>
      </c>
      <c r="F360" s="2">
        <f t="shared" si="49"/>
        <v>43890</v>
      </c>
    </row>
    <row r="361" spans="1:6" x14ac:dyDescent="0.25">
      <c r="A361" s="1" t="s">
        <v>374</v>
      </c>
      <c r="B361" s="1" t="s">
        <v>2138</v>
      </c>
      <c r="C361" s="1" t="s">
        <v>22</v>
      </c>
      <c r="D361" s="3">
        <f t="shared" si="47"/>
        <v>7405</v>
      </c>
      <c r="E361" s="2">
        <f t="shared" si="48"/>
        <v>41153</v>
      </c>
      <c r="F361" s="2">
        <f t="shared" si="49"/>
        <v>43890</v>
      </c>
    </row>
    <row r="362" spans="1:6" x14ac:dyDescent="0.25">
      <c r="A362" s="1" t="s">
        <v>374</v>
      </c>
      <c r="B362" s="1" t="s">
        <v>2138</v>
      </c>
      <c r="C362" s="1" t="s">
        <v>330</v>
      </c>
      <c r="D362" s="3">
        <f t="shared" si="47"/>
        <v>7405</v>
      </c>
      <c r="E362" s="2">
        <f t="shared" si="48"/>
        <v>41153</v>
      </c>
      <c r="F362" s="2">
        <f t="shared" si="49"/>
        <v>43890</v>
      </c>
    </row>
    <row r="363" spans="1:6" x14ac:dyDescent="0.25">
      <c r="A363" s="1" t="s">
        <v>374</v>
      </c>
      <c r="B363" s="1" t="s">
        <v>2138</v>
      </c>
      <c r="C363" s="1" t="s">
        <v>331</v>
      </c>
      <c r="D363" s="3">
        <f t="shared" si="47"/>
        <v>7405</v>
      </c>
      <c r="E363" s="2">
        <f t="shared" si="48"/>
        <v>41153</v>
      </c>
      <c r="F363" s="2">
        <f t="shared" si="49"/>
        <v>43890</v>
      </c>
    </row>
    <row r="364" spans="1:6" x14ac:dyDescent="0.25">
      <c r="A364" s="1" t="s">
        <v>374</v>
      </c>
      <c r="B364" s="1" t="s">
        <v>2138</v>
      </c>
      <c r="C364" s="1" t="s">
        <v>97</v>
      </c>
      <c r="D364" s="3">
        <f t="shared" si="47"/>
        <v>7405</v>
      </c>
      <c r="E364" s="2">
        <f t="shared" si="48"/>
        <v>41153</v>
      </c>
      <c r="F364" s="2">
        <f t="shared" si="49"/>
        <v>43890</v>
      </c>
    </row>
    <row r="365" spans="1:6" x14ac:dyDescent="0.25">
      <c r="A365" s="1" t="s">
        <v>374</v>
      </c>
      <c r="B365" s="1" t="s">
        <v>2138</v>
      </c>
      <c r="C365" s="1" t="s">
        <v>98</v>
      </c>
      <c r="D365" s="3">
        <f t="shared" si="47"/>
        <v>7405</v>
      </c>
      <c r="E365" s="2">
        <f t="shared" si="48"/>
        <v>41153</v>
      </c>
      <c r="F365" s="2">
        <f t="shared" si="49"/>
        <v>43890</v>
      </c>
    </row>
    <row r="366" spans="1:6" x14ac:dyDescent="0.25">
      <c r="A366" s="1" t="s">
        <v>374</v>
      </c>
      <c r="B366" s="1" t="s">
        <v>2138</v>
      </c>
      <c r="C366" s="1" t="s">
        <v>99</v>
      </c>
      <c r="D366" s="3">
        <f t="shared" si="47"/>
        <v>7405</v>
      </c>
      <c r="E366" s="2">
        <f t="shared" si="48"/>
        <v>41153</v>
      </c>
      <c r="F366" s="2">
        <f t="shared" si="49"/>
        <v>43890</v>
      </c>
    </row>
    <row r="367" spans="1:6" x14ac:dyDescent="0.25">
      <c r="A367" s="1" t="s">
        <v>374</v>
      </c>
      <c r="B367" s="1" t="s">
        <v>2138</v>
      </c>
      <c r="C367" s="1" t="s">
        <v>71</v>
      </c>
      <c r="D367" s="3">
        <f t="shared" si="47"/>
        <v>7405</v>
      </c>
      <c r="E367" s="2">
        <f t="shared" si="48"/>
        <v>41153</v>
      </c>
      <c r="F367" s="2">
        <f t="shared" si="49"/>
        <v>43890</v>
      </c>
    </row>
    <row r="368" spans="1:6" x14ac:dyDescent="0.25">
      <c r="A368" s="1" t="s">
        <v>374</v>
      </c>
      <c r="B368" s="1" t="s">
        <v>2138</v>
      </c>
      <c r="C368" s="1" t="s">
        <v>100</v>
      </c>
      <c r="D368" s="3">
        <f t="shared" si="47"/>
        <v>7405</v>
      </c>
      <c r="E368" s="2">
        <f t="shared" si="48"/>
        <v>41153</v>
      </c>
      <c r="F368" s="2">
        <f t="shared" si="49"/>
        <v>43890</v>
      </c>
    </row>
    <row r="369" spans="1:6" x14ac:dyDescent="0.25">
      <c r="A369" s="1" t="s">
        <v>374</v>
      </c>
      <c r="B369" s="1" t="s">
        <v>2138</v>
      </c>
      <c r="C369" s="1" t="s">
        <v>104</v>
      </c>
      <c r="D369" s="3">
        <f t="shared" si="47"/>
        <v>7405</v>
      </c>
      <c r="E369" s="2">
        <f t="shared" si="48"/>
        <v>41153</v>
      </c>
      <c r="F369" s="2">
        <f t="shared" si="49"/>
        <v>43890</v>
      </c>
    </row>
    <row r="370" spans="1:6" x14ac:dyDescent="0.25">
      <c r="A370" s="1" t="s">
        <v>374</v>
      </c>
      <c r="B370" s="1" t="s">
        <v>2138</v>
      </c>
      <c r="C370" s="1" t="s">
        <v>33</v>
      </c>
      <c r="D370" s="3">
        <f t="shared" si="47"/>
        <v>7405</v>
      </c>
      <c r="E370" s="2">
        <f t="shared" si="48"/>
        <v>41153</v>
      </c>
      <c r="F370" s="2">
        <f t="shared" si="49"/>
        <v>43890</v>
      </c>
    </row>
    <row r="371" spans="1:6" x14ac:dyDescent="0.25">
      <c r="A371" s="1" t="s">
        <v>374</v>
      </c>
      <c r="B371" s="1" t="s">
        <v>2138</v>
      </c>
      <c r="C371" s="1" t="s">
        <v>114</v>
      </c>
      <c r="D371" s="3">
        <f t="shared" si="47"/>
        <v>7405</v>
      </c>
      <c r="E371" s="2">
        <f t="shared" si="48"/>
        <v>41153</v>
      </c>
      <c r="F371" s="2">
        <f t="shared" si="49"/>
        <v>43890</v>
      </c>
    </row>
    <row r="372" spans="1:6" x14ac:dyDescent="0.25">
      <c r="A372" s="1" t="s">
        <v>374</v>
      </c>
      <c r="B372" s="1" t="s">
        <v>2138</v>
      </c>
      <c r="C372" s="1" t="s">
        <v>333</v>
      </c>
      <c r="D372" s="3">
        <f t="shared" si="47"/>
        <v>7405</v>
      </c>
      <c r="E372" s="2">
        <f t="shared" si="48"/>
        <v>41153</v>
      </c>
      <c r="F372" s="2">
        <f t="shared" si="49"/>
        <v>43890</v>
      </c>
    </row>
    <row r="373" spans="1:6" x14ac:dyDescent="0.25">
      <c r="A373" s="1" t="s">
        <v>374</v>
      </c>
      <c r="B373" s="1" t="s">
        <v>2138</v>
      </c>
      <c r="C373" s="1" t="s">
        <v>185</v>
      </c>
      <c r="D373" s="3">
        <f t="shared" si="47"/>
        <v>7405</v>
      </c>
      <c r="E373" s="2">
        <f t="shared" si="48"/>
        <v>41153</v>
      </c>
      <c r="F373" s="2">
        <f t="shared" si="49"/>
        <v>43890</v>
      </c>
    </row>
    <row r="374" spans="1:6" x14ac:dyDescent="0.25">
      <c r="A374" s="1" t="s">
        <v>374</v>
      </c>
      <c r="B374" s="1" t="s">
        <v>2138</v>
      </c>
      <c r="C374" s="1" t="s">
        <v>115</v>
      </c>
      <c r="D374" s="3">
        <f t="shared" si="47"/>
        <v>7405</v>
      </c>
      <c r="E374" s="2">
        <f t="shared" si="48"/>
        <v>41153</v>
      </c>
      <c r="F374" s="2">
        <f t="shared" si="49"/>
        <v>43890</v>
      </c>
    </row>
    <row r="375" spans="1:6" x14ac:dyDescent="0.25">
      <c r="A375" s="1" t="s">
        <v>374</v>
      </c>
      <c r="B375" s="1" t="s">
        <v>2138</v>
      </c>
      <c r="C375" s="1" t="s">
        <v>116</v>
      </c>
      <c r="D375" s="3">
        <f t="shared" si="47"/>
        <v>7405</v>
      </c>
      <c r="E375" s="2">
        <f t="shared" si="48"/>
        <v>41153</v>
      </c>
      <c r="F375" s="2">
        <f t="shared" si="49"/>
        <v>43890</v>
      </c>
    </row>
    <row r="376" spans="1:6" x14ac:dyDescent="0.25">
      <c r="A376" s="1" t="s">
        <v>374</v>
      </c>
      <c r="B376" s="1" t="s">
        <v>2138</v>
      </c>
      <c r="C376" s="1" t="s">
        <v>57</v>
      </c>
      <c r="D376" s="3">
        <f t="shared" si="47"/>
        <v>7405</v>
      </c>
      <c r="E376" s="2">
        <f t="shared" si="48"/>
        <v>41153</v>
      </c>
      <c r="F376" s="2">
        <f t="shared" si="49"/>
        <v>43890</v>
      </c>
    </row>
    <row r="377" spans="1:6" x14ac:dyDescent="0.25">
      <c r="A377" s="1" t="s">
        <v>374</v>
      </c>
      <c r="B377" s="1" t="s">
        <v>2138</v>
      </c>
      <c r="C377" s="1" t="s">
        <v>36</v>
      </c>
      <c r="D377" s="3">
        <f t="shared" si="47"/>
        <v>7405</v>
      </c>
      <c r="E377" s="2">
        <f t="shared" si="48"/>
        <v>41153</v>
      </c>
      <c r="F377" s="2">
        <f t="shared" si="49"/>
        <v>43890</v>
      </c>
    </row>
    <row r="378" spans="1:6" x14ac:dyDescent="0.25">
      <c r="A378" s="1" t="s">
        <v>374</v>
      </c>
      <c r="B378" s="1" t="s">
        <v>2138</v>
      </c>
      <c r="C378" s="1" t="s">
        <v>117</v>
      </c>
      <c r="D378" s="3">
        <f t="shared" si="47"/>
        <v>7405</v>
      </c>
      <c r="E378" s="2">
        <f t="shared" si="48"/>
        <v>41153</v>
      </c>
      <c r="F378" s="2">
        <f t="shared" si="49"/>
        <v>43890</v>
      </c>
    </row>
    <row r="379" spans="1:6" x14ac:dyDescent="0.25">
      <c r="A379" s="1" t="s">
        <v>374</v>
      </c>
      <c r="B379" s="1" t="s">
        <v>2572</v>
      </c>
      <c r="C379" s="1" t="s">
        <v>7</v>
      </c>
      <c r="D379" s="3">
        <f t="shared" ref="D379:D410" si="50">VALUE("7110")</f>
        <v>7110</v>
      </c>
      <c r="E379" s="2">
        <f t="shared" ref="E379:E410" si="51">DATEVALUE("1-12-2010")</f>
        <v>40513</v>
      </c>
      <c r="F379" s="2">
        <f t="shared" ref="F379:F410" si="52">DATEVALUE("31-3-2020")</f>
        <v>43921</v>
      </c>
    </row>
    <row r="380" spans="1:6" x14ac:dyDescent="0.25">
      <c r="A380" s="1" t="s">
        <v>374</v>
      </c>
      <c r="B380" s="1" t="s">
        <v>2572</v>
      </c>
      <c r="C380" s="1" t="s">
        <v>6</v>
      </c>
      <c r="D380" s="3">
        <f t="shared" si="50"/>
        <v>7110</v>
      </c>
      <c r="E380" s="2">
        <f t="shared" si="51"/>
        <v>40513</v>
      </c>
      <c r="F380" s="2">
        <f t="shared" si="52"/>
        <v>43921</v>
      </c>
    </row>
    <row r="381" spans="1:6" x14ac:dyDescent="0.25">
      <c r="A381" s="1" t="s">
        <v>374</v>
      </c>
      <c r="B381" s="1" t="s">
        <v>2572</v>
      </c>
      <c r="C381" s="1" t="s">
        <v>78</v>
      </c>
      <c r="D381" s="3">
        <f t="shared" si="50"/>
        <v>7110</v>
      </c>
      <c r="E381" s="2">
        <f t="shared" si="51"/>
        <v>40513</v>
      </c>
      <c r="F381" s="2">
        <f t="shared" si="52"/>
        <v>43921</v>
      </c>
    </row>
    <row r="382" spans="1:6" x14ac:dyDescent="0.25">
      <c r="A382" s="1" t="s">
        <v>374</v>
      </c>
      <c r="B382" s="1" t="s">
        <v>2572</v>
      </c>
      <c r="C382" s="1" t="s">
        <v>79</v>
      </c>
      <c r="D382" s="3">
        <f t="shared" si="50"/>
        <v>7110</v>
      </c>
      <c r="E382" s="2">
        <f t="shared" si="51"/>
        <v>40513</v>
      </c>
      <c r="F382" s="2">
        <f t="shared" si="52"/>
        <v>43921</v>
      </c>
    </row>
    <row r="383" spans="1:6" x14ac:dyDescent="0.25">
      <c r="A383" s="1" t="s">
        <v>374</v>
      </c>
      <c r="B383" s="1" t="s">
        <v>2572</v>
      </c>
      <c r="C383" s="1" t="s">
        <v>80</v>
      </c>
      <c r="D383" s="3">
        <f t="shared" si="50"/>
        <v>7110</v>
      </c>
      <c r="E383" s="2">
        <f t="shared" si="51"/>
        <v>40513</v>
      </c>
      <c r="F383" s="2">
        <f t="shared" si="52"/>
        <v>43921</v>
      </c>
    </row>
    <row r="384" spans="1:6" x14ac:dyDescent="0.25">
      <c r="A384" s="1" t="s">
        <v>374</v>
      </c>
      <c r="B384" s="1" t="s">
        <v>2572</v>
      </c>
      <c r="C384" s="1" t="s">
        <v>39</v>
      </c>
      <c r="D384" s="3">
        <f t="shared" si="50"/>
        <v>7110</v>
      </c>
      <c r="E384" s="2">
        <f t="shared" si="51"/>
        <v>40513</v>
      </c>
      <c r="F384" s="2">
        <f t="shared" si="52"/>
        <v>43921</v>
      </c>
    </row>
    <row r="385" spans="1:6" x14ac:dyDescent="0.25">
      <c r="A385" s="1" t="s">
        <v>374</v>
      </c>
      <c r="B385" s="1" t="s">
        <v>2572</v>
      </c>
      <c r="C385" s="1" t="s">
        <v>60</v>
      </c>
      <c r="D385" s="3">
        <f t="shared" si="50"/>
        <v>7110</v>
      </c>
      <c r="E385" s="2">
        <f t="shared" si="51"/>
        <v>40513</v>
      </c>
      <c r="F385" s="2">
        <f t="shared" si="52"/>
        <v>43921</v>
      </c>
    </row>
    <row r="386" spans="1:6" x14ac:dyDescent="0.25">
      <c r="A386" s="1" t="s">
        <v>374</v>
      </c>
      <c r="B386" s="1" t="s">
        <v>2572</v>
      </c>
      <c r="C386" s="1" t="s">
        <v>82</v>
      </c>
      <c r="D386" s="3">
        <f t="shared" si="50"/>
        <v>7110</v>
      </c>
      <c r="E386" s="2">
        <f t="shared" si="51"/>
        <v>40513</v>
      </c>
      <c r="F386" s="2">
        <f t="shared" si="52"/>
        <v>43921</v>
      </c>
    </row>
    <row r="387" spans="1:6" x14ac:dyDescent="0.25">
      <c r="A387" s="1" t="s">
        <v>374</v>
      </c>
      <c r="B387" s="1" t="s">
        <v>2572</v>
      </c>
      <c r="C387" s="1" t="s">
        <v>42</v>
      </c>
      <c r="D387" s="3">
        <f t="shared" si="50"/>
        <v>7110</v>
      </c>
      <c r="E387" s="2">
        <f t="shared" si="51"/>
        <v>40513</v>
      </c>
      <c r="F387" s="2">
        <f t="shared" si="52"/>
        <v>43921</v>
      </c>
    </row>
    <row r="388" spans="1:6" x14ac:dyDescent="0.25">
      <c r="A388" s="1" t="s">
        <v>374</v>
      </c>
      <c r="B388" s="1" t="s">
        <v>2572</v>
      </c>
      <c r="C388" s="1" t="s">
        <v>1376</v>
      </c>
      <c r="D388" s="3">
        <f t="shared" si="50"/>
        <v>7110</v>
      </c>
      <c r="E388" s="2">
        <f t="shared" si="51"/>
        <v>40513</v>
      </c>
      <c r="F388" s="2">
        <f t="shared" si="52"/>
        <v>43921</v>
      </c>
    </row>
    <row r="389" spans="1:6" x14ac:dyDescent="0.25">
      <c r="A389" s="1" t="s">
        <v>374</v>
      </c>
      <c r="B389" s="1" t="s">
        <v>2572</v>
      </c>
      <c r="C389" s="1" t="s">
        <v>8</v>
      </c>
      <c r="D389" s="3">
        <f t="shared" si="50"/>
        <v>7110</v>
      </c>
      <c r="E389" s="2">
        <f t="shared" si="51"/>
        <v>40513</v>
      </c>
      <c r="F389" s="2">
        <f t="shared" si="52"/>
        <v>43921</v>
      </c>
    </row>
    <row r="390" spans="1:6" x14ac:dyDescent="0.25">
      <c r="A390" s="1" t="s">
        <v>374</v>
      </c>
      <c r="B390" s="1" t="s">
        <v>2572</v>
      </c>
      <c r="C390" s="1" t="s">
        <v>9</v>
      </c>
      <c r="D390" s="3">
        <f t="shared" si="50"/>
        <v>7110</v>
      </c>
      <c r="E390" s="2">
        <f t="shared" si="51"/>
        <v>40513</v>
      </c>
      <c r="F390" s="2">
        <f t="shared" si="52"/>
        <v>43921</v>
      </c>
    </row>
    <row r="391" spans="1:6" x14ac:dyDescent="0.25">
      <c r="A391" s="1" t="s">
        <v>374</v>
      </c>
      <c r="B391" s="1" t="s">
        <v>2572</v>
      </c>
      <c r="C391" s="1" t="s">
        <v>10</v>
      </c>
      <c r="D391" s="3">
        <f t="shared" si="50"/>
        <v>7110</v>
      </c>
      <c r="E391" s="2">
        <f t="shared" si="51"/>
        <v>40513</v>
      </c>
      <c r="F391" s="2">
        <f t="shared" si="52"/>
        <v>43921</v>
      </c>
    </row>
    <row r="392" spans="1:6" x14ac:dyDescent="0.25">
      <c r="A392" s="1" t="s">
        <v>374</v>
      </c>
      <c r="B392" s="1" t="s">
        <v>2572</v>
      </c>
      <c r="C392" s="1" t="s">
        <v>11</v>
      </c>
      <c r="D392" s="3">
        <f t="shared" si="50"/>
        <v>7110</v>
      </c>
      <c r="E392" s="2">
        <f t="shared" si="51"/>
        <v>40513</v>
      </c>
      <c r="F392" s="2">
        <f t="shared" si="52"/>
        <v>43921</v>
      </c>
    </row>
    <row r="393" spans="1:6" x14ac:dyDescent="0.25">
      <c r="A393" s="1" t="s">
        <v>374</v>
      </c>
      <c r="B393" s="1" t="s">
        <v>2572</v>
      </c>
      <c r="C393" s="1" t="s">
        <v>12</v>
      </c>
      <c r="D393" s="3">
        <f t="shared" si="50"/>
        <v>7110</v>
      </c>
      <c r="E393" s="2">
        <f t="shared" si="51"/>
        <v>40513</v>
      </c>
      <c r="F393" s="2">
        <f t="shared" si="52"/>
        <v>43921</v>
      </c>
    </row>
    <row r="394" spans="1:6" x14ac:dyDescent="0.25">
      <c r="A394" s="1" t="s">
        <v>374</v>
      </c>
      <c r="B394" s="1" t="s">
        <v>2572</v>
      </c>
      <c r="C394" s="1" t="s">
        <v>61</v>
      </c>
      <c r="D394" s="3">
        <f t="shared" si="50"/>
        <v>7110</v>
      </c>
      <c r="E394" s="2">
        <f t="shared" si="51"/>
        <v>40513</v>
      </c>
      <c r="F394" s="2">
        <f t="shared" si="52"/>
        <v>43921</v>
      </c>
    </row>
    <row r="395" spans="1:6" x14ac:dyDescent="0.25">
      <c r="A395" s="1" t="s">
        <v>374</v>
      </c>
      <c r="B395" s="1" t="s">
        <v>2572</v>
      </c>
      <c r="C395" s="1" t="s">
        <v>83</v>
      </c>
      <c r="D395" s="3">
        <f t="shared" si="50"/>
        <v>7110</v>
      </c>
      <c r="E395" s="2">
        <f t="shared" si="51"/>
        <v>40513</v>
      </c>
      <c r="F395" s="2">
        <f t="shared" si="52"/>
        <v>43921</v>
      </c>
    </row>
    <row r="396" spans="1:6" x14ac:dyDescent="0.25">
      <c r="A396" s="1" t="s">
        <v>374</v>
      </c>
      <c r="B396" s="1" t="s">
        <v>2572</v>
      </c>
      <c r="C396" s="1" t="s">
        <v>43</v>
      </c>
      <c r="D396" s="3">
        <f t="shared" si="50"/>
        <v>7110</v>
      </c>
      <c r="E396" s="2">
        <f t="shared" si="51"/>
        <v>40513</v>
      </c>
      <c r="F396" s="2">
        <f t="shared" si="52"/>
        <v>43921</v>
      </c>
    </row>
    <row r="397" spans="1:6" x14ac:dyDescent="0.25">
      <c r="A397" s="1" t="s">
        <v>374</v>
      </c>
      <c r="B397" s="1" t="s">
        <v>2572</v>
      </c>
      <c r="C397" s="1" t="s">
        <v>289</v>
      </c>
      <c r="D397" s="3">
        <f t="shared" si="50"/>
        <v>7110</v>
      </c>
      <c r="E397" s="2">
        <f t="shared" si="51"/>
        <v>40513</v>
      </c>
      <c r="F397" s="2">
        <f t="shared" si="52"/>
        <v>43921</v>
      </c>
    </row>
    <row r="398" spans="1:6" x14ac:dyDescent="0.25">
      <c r="A398" s="1" t="s">
        <v>374</v>
      </c>
      <c r="B398" s="1" t="s">
        <v>2572</v>
      </c>
      <c r="C398" s="1" t="s">
        <v>375</v>
      </c>
      <c r="D398" s="3">
        <f t="shared" si="50"/>
        <v>7110</v>
      </c>
      <c r="E398" s="2">
        <f t="shared" si="51"/>
        <v>40513</v>
      </c>
      <c r="F398" s="2">
        <f t="shared" si="52"/>
        <v>43921</v>
      </c>
    </row>
    <row r="399" spans="1:6" x14ac:dyDescent="0.25">
      <c r="A399" s="1" t="s">
        <v>374</v>
      </c>
      <c r="B399" s="1" t="s">
        <v>2572</v>
      </c>
      <c r="C399" s="1" t="s">
        <v>62</v>
      </c>
      <c r="D399" s="3">
        <f t="shared" si="50"/>
        <v>7110</v>
      </c>
      <c r="E399" s="2">
        <f t="shared" si="51"/>
        <v>40513</v>
      </c>
      <c r="F399" s="2">
        <f t="shared" si="52"/>
        <v>43921</v>
      </c>
    </row>
    <row r="400" spans="1:6" x14ac:dyDescent="0.25">
      <c r="A400" s="1" t="s">
        <v>374</v>
      </c>
      <c r="B400" s="1" t="s">
        <v>2572</v>
      </c>
      <c r="C400" s="1" t="s">
        <v>63</v>
      </c>
      <c r="D400" s="3">
        <f t="shared" si="50"/>
        <v>7110</v>
      </c>
      <c r="E400" s="2">
        <f t="shared" si="51"/>
        <v>40513</v>
      </c>
      <c r="F400" s="2">
        <f t="shared" si="52"/>
        <v>43921</v>
      </c>
    </row>
    <row r="401" spans="1:6" x14ac:dyDescent="0.25">
      <c r="A401" s="1" t="s">
        <v>374</v>
      </c>
      <c r="B401" s="1" t="s">
        <v>2572</v>
      </c>
      <c r="C401" s="1" t="s">
        <v>414</v>
      </c>
      <c r="D401" s="3">
        <f t="shared" si="50"/>
        <v>7110</v>
      </c>
      <c r="E401" s="2">
        <f t="shared" si="51"/>
        <v>40513</v>
      </c>
      <c r="F401" s="2">
        <f t="shared" si="52"/>
        <v>43921</v>
      </c>
    </row>
    <row r="402" spans="1:6" x14ac:dyDescent="0.25">
      <c r="A402" s="1" t="s">
        <v>374</v>
      </c>
      <c r="B402" s="1" t="s">
        <v>2572</v>
      </c>
      <c r="C402" s="1" t="s">
        <v>1397</v>
      </c>
      <c r="D402" s="3">
        <f t="shared" si="50"/>
        <v>7110</v>
      </c>
      <c r="E402" s="2">
        <f t="shared" si="51"/>
        <v>40513</v>
      </c>
      <c r="F402" s="2">
        <f t="shared" si="52"/>
        <v>43921</v>
      </c>
    </row>
    <row r="403" spans="1:6" x14ac:dyDescent="0.25">
      <c r="A403" s="1" t="s">
        <v>374</v>
      </c>
      <c r="B403" s="1" t="s">
        <v>2572</v>
      </c>
      <c r="C403" s="1" t="s">
        <v>45</v>
      </c>
      <c r="D403" s="3">
        <f t="shared" si="50"/>
        <v>7110</v>
      </c>
      <c r="E403" s="2">
        <f t="shared" si="51"/>
        <v>40513</v>
      </c>
      <c r="F403" s="2">
        <f t="shared" si="52"/>
        <v>43921</v>
      </c>
    </row>
    <row r="404" spans="1:6" x14ac:dyDescent="0.25">
      <c r="A404" s="1" t="s">
        <v>374</v>
      </c>
      <c r="B404" s="1" t="s">
        <v>2572</v>
      </c>
      <c r="C404" s="1" t="s">
        <v>44</v>
      </c>
      <c r="D404" s="3">
        <f t="shared" si="50"/>
        <v>7110</v>
      </c>
      <c r="E404" s="2">
        <f t="shared" si="51"/>
        <v>40513</v>
      </c>
      <c r="F404" s="2">
        <f t="shared" si="52"/>
        <v>43921</v>
      </c>
    </row>
    <row r="405" spans="1:6" x14ac:dyDescent="0.25">
      <c r="A405" s="1" t="s">
        <v>374</v>
      </c>
      <c r="B405" s="1" t="s">
        <v>2572</v>
      </c>
      <c r="C405" s="1" t="s">
        <v>65</v>
      </c>
      <c r="D405" s="3">
        <f t="shared" si="50"/>
        <v>7110</v>
      </c>
      <c r="E405" s="2">
        <f t="shared" si="51"/>
        <v>40513</v>
      </c>
      <c r="F405" s="2">
        <f t="shared" si="52"/>
        <v>43921</v>
      </c>
    </row>
    <row r="406" spans="1:6" x14ac:dyDescent="0.25">
      <c r="A406" s="1" t="s">
        <v>374</v>
      </c>
      <c r="B406" s="1" t="s">
        <v>2572</v>
      </c>
      <c r="C406" s="1" t="s">
        <v>46</v>
      </c>
      <c r="D406" s="3">
        <f t="shared" si="50"/>
        <v>7110</v>
      </c>
      <c r="E406" s="2">
        <f t="shared" si="51"/>
        <v>40513</v>
      </c>
      <c r="F406" s="2">
        <f t="shared" si="52"/>
        <v>43921</v>
      </c>
    </row>
    <row r="407" spans="1:6" x14ac:dyDescent="0.25">
      <c r="A407" s="1" t="s">
        <v>374</v>
      </c>
      <c r="B407" s="1" t="s">
        <v>2572</v>
      </c>
      <c r="C407" s="1" t="s">
        <v>14</v>
      </c>
      <c r="D407" s="3">
        <f t="shared" si="50"/>
        <v>7110</v>
      </c>
      <c r="E407" s="2">
        <f t="shared" si="51"/>
        <v>40513</v>
      </c>
      <c r="F407" s="2">
        <f t="shared" si="52"/>
        <v>43921</v>
      </c>
    </row>
    <row r="408" spans="1:6" x14ac:dyDescent="0.25">
      <c r="A408" s="1" t="s">
        <v>374</v>
      </c>
      <c r="B408" s="1" t="s">
        <v>2572</v>
      </c>
      <c r="C408" s="1" t="s">
        <v>66</v>
      </c>
      <c r="D408" s="3">
        <f t="shared" si="50"/>
        <v>7110</v>
      </c>
      <c r="E408" s="2">
        <f t="shared" si="51"/>
        <v>40513</v>
      </c>
      <c r="F408" s="2">
        <f t="shared" si="52"/>
        <v>43921</v>
      </c>
    </row>
    <row r="409" spans="1:6" x14ac:dyDescent="0.25">
      <c r="A409" s="1" t="s">
        <v>374</v>
      </c>
      <c r="B409" s="1" t="s">
        <v>2572</v>
      </c>
      <c r="C409" s="1" t="s">
        <v>16</v>
      </c>
      <c r="D409" s="3">
        <f t="shared" si="50"/>
        <v>7110</v>
      </c>
      <c r="E409" s="2">
        <f t="shared" si="51"/>
        <v>40513</v>
      </c>
      <c r="F409" s="2">
        <f t="shared" si="52"/>
        <v>43921</v>
      </c>
    </row>
    <row r="410" spans="1:6" x14ac:dyDescent="0.25">
      <c r="A410" s="1" t="s">
        <v>374</v>
      </c>
      <c r="B410" s="1" t="s">
        <v>2572</v>
      </c>
      <c r="C410" s="1" t="s">
        <v>88</v>
      </c>
      <c r="D410" s="3">
        <f t="shared" si="50"/>
        <v>7110</v>
      </c>
      <c r="E410" s="2">
        <f t="shared" si="51"/>
        <v>40513</v>
      </c>
      <c r="F410" s="2">
        <f t="shared" si="52"/>
        <v>43921</v>
      </c>
    </row>
    <row r="411" spans="1:6" x14ac:dyDescent="0.25">
      <c r="A411" s="1" t="s">
        <v>374</v>
      </c>
      <c r="B411" s="1" t="s">
        <v>2572</v>
      </c>
      <c r="C411" s="1" t="s">
        <v>89</v>
      </c>
      <c r="D411" s="3">
        <f t="shared" ref="D411:D442" si="53">VALUE("7110")</f>
        <v>7110</v>
      </c>
      <c r="E411" s="2">
        <f t="shared" ref="E411:E442" si="54">DATEVALUE("1-12-2010")</f>
        <v>40513</v>
      </c>
      <c r="F411" s="2">
        <f t="shared" ref="F411:F442" si="55">DATEVALUE("31-3-2020")</f>
        <v>43921</v>
      </c>
    </row>
    <row r="412" spans="1:6" x14ac:dyDescent="0.25">
      <c r="A412" s="1" t="s">
        <v>374</v>
      </c>
      <c r="B412" s="1" t="s">
        <v>2572</v>
      </c>
      <c r="C412" s="1" t="s">
        <v>17</v>
      </c>
      <c r="D412" s="3">
        <f t="shared" si="53"/>
        <v>7110</v>
      </c>
      <c r="E412" s="2">
        <f t="shared" si="54"/>
        <v>40513</v>
      </c>
      <c r="F412" s="2">
        <f t="shared" si="55"/>
        <v>43921</v>
      </c>
    </row>
    <row r="413" spans="1:6" x14ac:dyDescent="0.25">
      <c r="A413" s="1" t="s">
        <v>374</v>
      </c>
      <c r="B413" s="1" t="s">
        <v>2572</v>
      </c>
      <c r="C413" s="1" t="s">
        <v>19</v>
      </c>
      <c r="D413" s="3">
        <f t="shared" si="53"/>
        <v>7110</v>
      </c>
      <c r="E413" s="2">
        <f t="shared" si="54"/>
        <v>40513</v>
      </c>
      <c r="F413" s="2">
        <f t="shared" si="55"/>
        <v>43921</v>
      </c>
    </row>
    <row r="414" spans="1:6" x14ac:dyDescent="0.25">
      <c r="A414" s="1" t="s">
        <v>374</v>
      </c>
      <c r="B414" s="1" t="s">
        <v>2572</v>
      </c>
      <c r="C414" s="1" t="s">
        <v>193</v>
      </c>
      <c r="D414" s="3">
        <f t="shared" si="53"/>
        <v>7110</v>
      </c>
      <c r="E414" s="2">
        <f t="shared" si="54"/>
        <v>40513</v>
      </c>
      <c r="F414" s="2">
        <f t="shared" si="55"/>
        <v>43921</v>
      </c>
    </row>
    <row r="415" spans="1:6" x14ac:dyDescent="0.25">
      <c r="A415" s="1" t="s">
        <v>374</v>
      </c>
      <c r="B415" s="1" t="s">
        <v>2572</v>
      </c>
      <c r="C415" s="1" t="s">
        <v>20</v>
      </c>
      <c r="D415" s="3">
        <f t="shared" si="53"/>
        <v>7110</v>
      </c>
      <c r="E415" s="2">
        <f t="shared" si="54"/>
        <v>40513</v>
      </c>
      <c r="F415" s="2">
        <f t="shared" si="55"/>
        <v>43921</v>
      </c>
    </row>
    <row r="416" spans="1:6" x14ac:dyDescent="0.25">
      <c r="A416" s="1" t="s">
        <v>374</v>
      </c>
      <c r="B416" s="1" t="s">
        <v>2572</v>
      </c>
      <c r="C416" s="1" t="s">
        <v>21</v>
      </c>
      <c r="D416" s="3">
        <f t="shared" si="53"/>
        <v>7110</v>
      </c>
      <c r="E416" s="2">
        <f t="shared" si="54"/>
        <v>40513</v>
      </c>
      <c r="F416" s="2">
        <f t="shared" si="55"/>
        <v>43921</v>
      </c>
    </row>
    <row r="417" spans="1:6" x14ac:dyDescent="0.25">
      <c r="A417" s="1" t="s">
        <v>374</v>
      </c>
      <c r="B417" s="1" t="s">
        <v>2572</v>
      </c>
      <c r="C417" s="1" t="s">
        <v>470</v>
      </c>
      <c r="D417" s="3">
        <f t="shared" si="53"/>
        <v>7110</v>
      </c>
      <c r="E417" s="2">
        <f t="shared" si="54"/>
        <v>40513</v>
      </c>
      <c r="F417" s="2">
        <f t="shared" si="55"/>
        <v>43921</v>
      </c>
    </row>
    <row r="418" spans="1:6" x14ac:dyDescent="0.25">
      <c r="A418" s="1" t="s">
        <v>374</v>
      </c>
      <c r="B418" s="1" t="s">
        <v>2572</v>
      </c>
      <c r="C418" s="1" t="s">
        <v>417</v>
      </c>
      <c r="D418" s="3">
        <f t="shared" si="53"/>
        <v>7110</v>
      </c>
      <c r="E418" s="2">
        <f t="shared" si="54"/>
        <v>40513</v>
      </c>
      <c r="F418" s="2">
        <f t="shared" si="55"/>
        <v>43921</v>
      </c>
    </row>
    <row r="419" spans="1:6" x14ac:dyDescent="0.25">
      <c r="A419" s="1" t="s">
        <v>374</v>
      </c>
      <c r="B419" s="1" t="s">
        <v>2572</v>
      </c>
      <c r="C419" s="1" t="s">
        <v>471</v>
      </c>
      <c r="D419" s="3">
        <f t="shared" si="53"/>
        <v>7110</v>
      </c>
      <c r="E419" s="2">
        <f t="shared" si="54"/>
        <v>40513</v>
      </c>
      <c r="F419" s="2">
        <f t="shared" si="55"/>
        <v>43921</v>
      </c>
    </row>
    <row r="420" spans="1:6" x14ac:dyDescent="0.25">
      <c r="A420" s="1" t="s">
        <v>374</v>
      </c>
      <c r="B420" s="1" t="s">
        <v>2572</v>
      </c>
      <c r="C420" s="1" t="s">
        <v>326</v>
      </c>
      <c r="D420" s="3">
        <f t="shared" si="53"/>
        <v>7110</v>
      </c>
      <c r="E420" s="2">
        <f t="shared" si="54"/>
        <v>40513</v>
      </c>
      <c r="F420" s="2">
        <f t="shared" si="55"/>
        <v>43921</v>
      </c>
    </row>
    <row r="421" spans="1:6" x14ac:dyDescent="0.25">
      <c r="A421" s="1" t="s">
        <v>374</v>
      </c>
      <c r="B421" s="1" t="s">
        <v>2572</v>
      </c>
      <c r="C421" s="1" t="s">
        <v>418</v>
      </c>
      <c r="D421" s="3">
        <f t="shared" si="53"/>
        <v>7110</v>
      </c>
      <c r="E421" s="2">
        <f t="shared" si="54"/>
        <v>40513</v>
      </c>
      <c r="F421" s="2">
        <f t="shared" si="55"/>
        <v>43921</v>
      </c>
    </row>
    <row r="422" spans="1:6" x14ac:dyDescent="0.25">
      <c r="A422" s="1" t="s">
        <v>374</v>
      </c>
      <c r="B422" s="1" t="s">
        <v>2572</v>
      </c>
      <c r="C422" s="1" t="s">
        <v>327</v>
      </c>
      <c r="D422" s="3">
        <f t="shared" si="53"/>
        <v>7110</v>
      </c>
      <c r="E422" s="2">
        <f t="shared" si="54"/>
        <v>40513</v>
      </c>
      <c r="F422" s="2">
        <f t="shared" si="55"/>
        <v>43921</v>
      </c>
    </row>
    <row r="423" spans="1:6" x14ac:dyDescent="0.25">
      <c r="A423" s="1" t="s">
        <v>374</v>
      </c>
      <c r="B423" s="1" t="s">
        <v>2572</v>
      </c>
      <c r="C423" s="1" t="s">
        <v>22</v>
      </c>
      <c r="D423" s="3">
        <f t="shared" si="53"/>
        <v>7110</v>
      </c>
      <c r="E423" s="2">
        <f t="shared" si="54"/>
        <v>40513</v>
      </c>
      <c r="F423" s="2">
        <f t="shared" si="55"/>
        <v>43921</v>
      </c>
    </row>
    <row r="424" spans="1:6" x14ac:dyDescent="0.25">
      <c r="A424" s="1" t="s">
        <v>374</v>
      </c>
      <c r="B424" s="1" t="s">
        <v>2572</v>
      </c>
      <c r="C424" s="1" t="s">
        <v>146</v>
      </c>
      <c r="D424" s="3">
        <f t="shared" si="53"/>
        <v>7110</v>
      </c>
      <c r="E424" s="2">
        <f t="shared" si="54"/>
        <v>40513</v>
      </c>
      <c r="F424" s="2">
        <f t="shared" si="55"/>
        <v>43921</v>
      </c>
    </row>
    <row r="425" spans="1:6" x14ac:dyDescent="0.25">
      <c r="A425" s="1" t="s">
        <v>374</v>
      </c>
      <c r="B425" s="1" t="s">
        <v>2572</v>
      </c>
      <c r="C425" s="1" t="s">
        <v>67</v>
      </c>
      <c r="D425" s="3">
        <f t="shared" si="53"/>
        <v>7110</v>
      </c>
      <c r="E425" s="2">
        <f t="shared" si="54"/>
        <v>40513</v>
      </c>
      <c r="F425" s="2">
        <f t="shared" si="55"/>
        <v>43921</v>
      </c>
    </row>
    <row r="426" spans="1:6" x14ac:dyDescent="0.25">
      <c r="A426" s="1" t="s">
        <v>374</v>
      </c>
      <c r="B426" s="1" t="s">
        <v>2572</v>
      </c>
      <c r="C426" s="1" t="s">
        <v>148</v>
      </c>
      <c r="D426" s="3">
        <f t="shared" si="53"/>
        <v>7110</v>
      </c>
      <c r="E426" s="2">
        <f t="shared" si="54"/>
        <v>40513</v>
      </c>
      <c r="F426" s="2">
        <f t="shared" si="55"/>
        <v>43921</v>
      </c>
    </row>
    <row r="427" spans="1:6" x14ac:dyDescent="0.25">
      <c r="A427" s="1" t="s">
        <v>374</v>
      </c>
      <c r="B427" s="1" t="s">
        <v>2572</v>
      </c>
      <c r="C427" s="1" t="s">
        <v>149</v>
      </c>
      <c r="D427" s="3">
        <f t="shared" si="53"/>
        <v>7110</v>
      </c>
      <c r="E427" s="2">
        <f t="shared" si="54"/>
        <v>40513</v>
      </c>
      <c r="F427" s="2">
        <f t="shared" si="55"/>
        <v>43921</v>
      </c>
    </row>
    <row r="428" spans="1:6" x14ac:dyDescent="0.25">
      <c r="A428" s="1" t="s">
        <v>374</v>
      </c>
      <c r="B428" s="1" t="s">
        <v>2572</v>
      </c>
      <c r="C428" s="1" t="s">
        <v>336</v>
      </c>
      <c r="D428" s="3">
        <f t="shared" si="53"/>
        <v>7110</v>
      </c>
      <c r="E428" s="2">
        <f t="shared" si="54"/>
        <v>40513</v>
      </c>
      <c r="F428" s="2">
        <f t="shared" si="55"/>
        <v>43921</v>
      </c>
    </row>
    <row r="429" spans="1:6" x14ac:dyDescent="0.25">
      <c r="A429" s="1" t="s">
        <v>374</v>
      </c>
      <c r="B429" s="1" t="s">
        <v>2572</v>
      </c>
      <c r="C429" s="1" t="s">
        <v>329</v>
      </c>
      <c r="D429" s="3">
        <f t="shared" si="53"/>
        <v>7110</v>
      </c>
      <c r="E429" s="2">
        <f t="shared" si="54"/>
        <v>40513</v>
      </c>
      <c r="F429" s="2">
        <f t="shared" si="55"/>
        <v>43921</v>
      </c>
    </row>
    <row r="430" spans="1:6" x14ac:dyDescent="0.25">
      <c r="A430" s="1" t="s">
        <v>374</v>
      </c>
      <c r="B430" s="1" t="s">
        <v>2572</v>
      </c>
      <c r="C430" s="1" t="s">
        <v>654</v>
      </c>
      <c r="D430" s="3">
        <f t="shared" si="53"/>
        <v>7110</v>
      </c>
      <c r="E430" s="2">
        <f t="shared" si="54"/>
        <v>40513</v>
      </c>
      <c r="F430" s="2">
        <f t="shared" si="55"/>
        <v>43921</v>
      </c>
    </row>
    <row r="431" spans="1:6" x14ac:dyDescent="0.25">
      <c r="A431" s="1" t="s">
        <v>374</v>
      </c>
      <c r="B431" s="1" t="s">
        <v>2572</v>
      </c>
      <c r="C431" s="1" t="s">
        <v>2573</v>
      </c>
      <c r="D431" s="3">
        <f t="shared" si="53"/>
        <v>7110</v>
      </c>
      <c r="E431" s="2">
        <f t="shared" si="54"/>
        <v>40513</v>
      </c>
      <c r="F431" s="2">
        <f t="shared" si="55"/>
        <v>43921</v>
      </c>
    </row>
    <row r="432" spans="1:6" x14ac:dyDescent="0.25">
      <c r="A432" s="1" t="s">
        <v>374</v>
      </c>
      <c r="B432" s="1" t="s">
        <v>2572</v>
      </c>
      <c r="C432" s="1" t="s">
        <v>1528</v>
      </c>
      <c r="D432" s="3">
        <f t="shared" si="53"/>
        <v>7110</v>
      </c>
      <c r="E432" s="2">
        <f t="shared" si="54"/>
        <v>40513</v>
      </c>
      <c r="F432" s="2">
        <f t="shared" si="55"/>
        <v>43921</v>
      </c>
    </row>
    <row r="433" spans="1:6" x14ac:dyDescent="0.25">
      <c r="A433" s="1" t="s">
        <v>374</v>
      </c>
      <c r="B433" s="1" t="s">
        <v>2572</v>
      </c>
      <c r="C433" s="1" t="s">
        <v>330</v>
      </c>
      <c r="D433" s="3">
        <f t="shared" si="53"/>
        <v>7110</v>
      </c>
      <c r="E433" s="2">
        <f t="shared" si="54"/>
        <v>40513</v>
      </c>
      <c r="F433" s="2">
        <f t="shared" si="55"/>
        <v>43921</v>
      </c>
    </row>
    <row r="434" spans="1:6" x14ac:dyDescent="0.25">
      <c r="A434" s="1" t="s">
        <v>374</v>
      </c>
      <c r="B434" s="1" t="s">
        <v>2572</v>
      </c>
      <c r="C434" s="1" t="s">
        <v>331</v>
      </c>
      <c r="D434" s="3">
        <f t="shared" si="53"/>
        <v>7110</v>
      </c>
      <c r="E434" s="2">
        <f t="shared" si="54"/>
        <v>40513</v>
      </c>
      <c r="F434" s="2">
        <f t="shared" si="55"/>
        <v>43921</v>
      </c>
    </row>
    <row r="435" spans="1:6" x14ac:dyDescent="0.25">
      <c r="A435" s="1" t="s">
        <v>374</v>
      </c>
      <c r="B435" s="1" t="s">
        <v>2572</v>
      </c>
      <c r="C435" s="1" t="s">
        <v>95</v>
      </c>
      <c r="D435" s="3">
        <f t="shared" si="53"/>
        <v>7110</v>
      </c>
      <c r="E435" s="2">
        <f t="shared" si="54"/>
        <v>40513</v>
      </c>
      <c r="F435" s="2">
        <f t="shared" si="55"/>
        <v>43921</v>
      </c>
    </row>
    <row r="436" spans="1:6" x14ac:dyDescent="0.25">
      <c r="A436" s="1" t="s">
        <v>374</v>
      </c>
      <c r="B436" s="1" t="s">
        <v>2572</v>
      </c>
      <c r="C436" s="1" t="s">
        <v>332</v>
      </c>
      <c r="D436" s="3">
        <f t="shared" si="53"/>
        <v>7110</v>
      </c>
      <c r="E436" s="2">
        <f t="shared" si="54"/>
        <v>40513</v>
      </c>
      <c r="F436" s="2">
        <f t="shared" si="55"/>
        <v>43921</v>
      </c>
    </row>
    <row r="437" spans="1:6" x14ac:dyDescent="0.25">
      <c r="A437" s="1" t="s">
        <v>374</v>
      </c>
      <c r="B437" s="1" t="s">
        <v>2572</v>
      </c>
      <c r="C437" s="1" t="s">
        <v>69</v>
      </c>
      <c r="D437" s="3">
        <f t="shared" si="53"/>
        <v>7110</v>
      </c>
      <c r="E437" s="2">
        <f t="shared" si="54"/>
        <v>40513</v>
      </c>
      <c r="F437" s="2">
        <f t="shared" si="55"/>
        <v>43921</v>
      </c>
    </row>
    <row r="438" spans="1:6" x14ac:dyDescent="0.25">
      <c r="A438" s="1" t="s">
        <v>374</v>
      </c>
      <c r="B438" s="1" t="s">
        <v>2572</v>
      </c>
      <c r="C438" s="1" t="s">
        <v>474</v>
      </c>
      <c r="D438" s="3">
        <f t="shared" si="53"/>
        <v>7110</v>
      </c>
      <c r="E438" s="2">
        <f t="shared" si="54"/>
        <v>40513</v>
      </c>
      <c r="F438" s="2">
        <f t="shared" si="55"/>
        <v>43921</v>
      </c>
    </row>
    <row r="439" spans="1:6" x14ac:dyDescent="0.25">
      <c r="A439" s="1" t="s">
        <v>374</v>
      </c>
      <c r="B439" s="1" t="s">
        <v>2572</v>
      </c>
      <c r="C439" s="1" t="s">
        <v>475</v>
      </c>
      <c r="D439" s="3">
        <f t="shared" si="53"/>
        <v>7110</v>
      </c>
      <c r="E439" s="2">
        <f t="shared" si="54"/>
        <v>40513</v>
      </c>
      <c r="F439" s="2">
        <f t="shared" si="55"/>
        <v>43921</v>
      </c>
    </row>
    <row r="440" spans="1:6" x14ac:dyDescent="0.25">
      <c r="A440" s="1" t="s">
        <v>374</v>
      </c>
      <c r="B440" s="1" t="s">
        <v>2572</v>
      </c>
      <c r="C440" s="1" t="s">
        <v>24</v>
      </c>
      <c r="D440" s="3">
        <f t="shared" si="53"/>
        <v>7110</v>
      </c>
      <c r="E440" s="2">
        <f t="shared" si="54"/>
        <v>40513</v>
      </c>
      <c r="F440" s="2">
        <f t="shared" si="55"/>
        <v>43921</v>
      </c>
    </row>
    <row r="441" spans="1:6" x14ac:dyDescent="0.25">
      <c r="A441" s="1" t="s">
        <v>374</v>
      </c>
      <c r="B441" s="1" t="s">
        <v>2572</v>
      </c>
      <c r="C441" s="1" t="s">
        <v>50</v>
      </c>
      <c r="D441" s="3">
        <f t="shared" si="53"/>
        <v>7110</v>
      </c>
      <c r="E441" s="2">
        <f t="shared" si="54"/>
        <v>40513</v>
      </c>
      <c r="F441" s="2">
        <f t="shared" si="55"/>
        <v>43921</v>
      </c>
    </row>
    <row r="442" spans="1:6" x14ac:dyDescent="0.25">
      <c r="A442" s="1" t="s">
        <v>374</v>
      </c>
      <c r="B442" s="1" t="s">
        <v>2572</v>
      </c>
      <c r="C442" s="1" t="s">
        <v>70</v>
      </c>
      <c r="D442" s="3">
        <f t="shared" si="53"/>
        <v>7110</v>
      </c>
      <c r="E442" s="2">
        <f t="shared" si="54"/>
        <v>40513</v>
      </c>
      <c r="F442" s="2">
        <f t="shared" si="55"/>
        <v>43921</v>
      </c>
    </row>
    <row r="443" spans="1:6" x14ac:dyDescent="0.25">
      <c r="A443" s="1" t="s">
        <v>374</v>
      </c>
      <c r="B443" s="1" t="s">
        <v>2572</v>
      </c>
      <c r="C443" s="1" t="s">
        <v>97</v>
      </c>
      <c r="D443" s="3">
        <f t="shared" ref="D443:D479" si="56">VALUE("7110")</f>
        <v>7110</v>
      </c>
      <c r="E443" s="2">
        <f t="shared" ref="E443:E479" si="57">DATEVALUE("1-12-2010")</f>
        <v>40513</v>
      </c>
      <c r="F443" s="2">
        <f t="shared" ref="F443:F479" si="58">DATEVALUE("31-3-2020")</f>
        <v>43921</v>
      </c>
    </row>
    <row r="444" spans="1:6" x14ac:dyDescent="0.25">
      <c r="A444" s="1" t="s">
        <v>374</v>
      </c>
      <c r="B444" s="1" t="s">
        <v>2572</v>
      </c>
      <c r="C444" s="1" t="s">
        <v>98</v>
      </c>
      <c r="D444" s="3">
        <f t="shared" si="56"/>
        <v>7110</v>
      </c>
      <c r="E444" s="2">
        <f t="shared" si="57"/>
        <v>40513</v>
      </c>
      <c r="F444" s="2">
        <f t="shared" si="58"/>
        <v>43921</v>
      </c>
    </row>
    <row r="445" spans="1:6" x14ac:dyDescent="0.25">
      <c r="A445" s="1" t="s">
        <v>374</v>
      </c>
      <c r="B445" s="1" t="s">
        <v>2572</v>
      </c>
      <c r="C445" s="1" t="s">
        <v>99</v>
      </c>
      <c r="D445" s="3">
        <f t="shared" si="56"/>
        <v>7110</v>
      </c>
      <c r="E445" s="2">
        <f t="shared" si="57"/>
        <v>40513</v>
      </c>
      <c r="F445" s="2">
        <f t="shared" si="58"/>
        <v>43921</v>
      </c>
    </row>
    <row r="446" spans="1:6" x14ac:dyDescent="0.25">
      <c r="A446" s="1" t="s">
        <v>374</v>
      </c>
      <c r="B446" s="1" t="s">
        <v>2572</v>
      </c>
      <c r="C446" s="1" t="s">
        <v>71</v>
      </c>
      <c r="D446" s="3">
        <f t="shared" si="56"/>
        <v>7110</v>
      </c>
      <c r="E446" s="2">
        <f t="shared" si="57"/>
        <v>40513</v>
      </c>
      <c r="F446" s="2">
        <f t="shared" si="58"/>
        <v>43921</v>
      </c>
    </row>
    <row r="447" spans="1:6" x14ac:dyDescent="0.25">
      <c r="A447" s="1" t="s">
        <v>374</v>
      </c>
      <c r="B447" s="1" t="s">
        <v>2572</v>
      </c>
      <c r="C447" s="1" t="s">
        <v>100</v>
      </c>
      <c r="D447" s="3">
        <f t="shared" si="56"/>
        <v>7110</v>
      </c>
      <c r="E447" s="2">
        <f t="shared" si="57"/>
        <v>40513</v>
      </c>
      <c r="F447" s="2">
        <f t="shared" si="58"/>
        <v>43921</v>
      </c>
    </row>
    <row r="448" spans="1:6" x14ac:dyDescent="0.25">
      <c r="A448" s="1" t="s">
        <v>374</v>
      </c>
      <c r="B448" s="1" t="s">
        <v>2572</v>
      </c>
      <c r="C448" s="1" t="s">
        <v>72</v>
      </c>
      <c r="D448" s="3">
        <f t="shared" si="56"/>
        <v>7110</v>
      </c>
      <c r="E448" s="2">
        <f t="shared" si="57"/>
        <v>40513</v>
      </c>
      <c r="F448" s="2">
        <f t="shared" si="58"/>
        <v>43921</v>
      </c>
    </row>
    <row r="449" spans="1:6" x14ac:dyDescent="0.25">
      <c r="A449" s="1" t="s">
        <v>374</v>
      </c>
      <c r="B449" s="1" t="s">
        <v>2572</v>
      </c>
      <c r="C449" s="1" t="s">
        <v>337</v>
      </c>
      <c r="D449" s="3">
        <f t="shared" si="56"/>
        <v>7110</v>
      </c>
      <c r="E449" s="2">
        <f t="shared" si="57"/>
        <v>40513</v>
      </c>
      <c r="F449" s="2">
        <f t="shared" si="58"/>
        <v>43921</v>
      </c>
    </row>
    <row r="450" spans="1:6" x14ac:dyDescent="0.25">
      <c r="A450" s="1" t="s">
        <v>374</v>
      </c>
      <c r="B450" s="1" t="s">
        <v>2572</v>
      </c>
      <c r="C450" s="1" t="s">
        <v>28</v>
      </c>
      <c r="D450" s="3">
        <f t="shared" si="56"/>
        <v>7110</v>
      </c>
      <c r="E450" s="2">
        <f t="shared" si="57"/>
        <v>40513</v>
      </c>
      <c r="F450" s="2">
        <f t="shared" si="58"/>
        <v>43921</v>
      </c>
    </row>
    <row r="451" spans="1:6" x14ac:dyDescent="0.25">
      <c r="A451" s="1" t="s">
        <v>374</v>
      </c>
      <c r="B451" s="1" t="s">
        <v>2572</v>
      </c>
      <c r="C451" s="1" t="s">
        <v>2574</v>
      </c>
      <c r="D451" s="3">
        <f t="shared" si="56"/>
        <v>7110</v>
      </c>
      <c r="E451" s="2">
        <f t="shared" si="57"/>
        <v>40513</v>
      </c>
      <c r="F451" s="2">
        <f t="shared" si="58"/>
        <v>43921</v>
      </c>
    </row>
    <row r="452" spans="1:6" x14ac:dyDescent="0.25">
      <c r="A452" s="1" t="s">
        <v>374</v>
      </c>
      <c r="B452" s="1" t="s">
        <v>2572</v>
      </c>
      <c r="C452" s="1" t="s">
        <v>104</v>
      </c>
      <c r="D452" s="3">
        <f t="shared" si="56"/>
        <v>7110</v>
      </c>
      <c r="E452" s="2">
        <f t="shared" si="57"/>
        <v>40513</v>
      </c>
      <c r="F452" s="2">
        <f t="shared" si="58"/>
        <v>43921</v>
      </c>
    </row>
    <row r="453" spans="1:6" x14ac:dyDescent="0.25">
      <c r="A453" s="1" t="s">
        <v>374</v>
      </c>
      <c r="B453" s="1" t="s">
        <v>2572</v>
      </c>
      <c r="C453" s="1" t="s">
        <v>73</v>
      </c>
      <c r="D453" s="3">
        <f t="shared" si="56"/>
        <v>7110</v>
      </c>
      <c r="E453" s="2">
        <f t="shared" si="57"/>
        <v>40513</v>
      </c>
      <c r="F453" s="2">
        <f t="shared" si="58"/>
        <v>43921</v>
      </c>
    </row>
    <row r="454" spans="1:6" x14ac:dyDescent="0.25">
      <c r="A454" s="1" t="s">
        <v>374</v>
      </c>
      <c r="B454" s="1" t="s">
        <v>2572</v>
      </c>
      <c r="C454" s="1" t="s">
        <v>295</v>
      </c>
      <c r="D454" s="3">
        <f t="shared" si="56"/>
        <v>7110</v>
      </c>
      <c r="E454" s="2">
        <f t="shared" si="57"/>
        <v>40513</v>
      </c>
      <c r="F454" s="2">
        <f t="shared" si="58"/>
        <v>43921</v>
      </c>
    </row>
    <row r="455" spans="1:6" x14ac:dyDescent="0.25">
      <c r="A455" s="1" t="s">
        <v>374</v>
      </c>
      <c r="B455" s="1" t="s">
        <v>2572</v>
      </c>
      <c r="C455" s="1" t="s">
        <v>52</v>
      </c>
      <c r="D455" s="3">
        <f t="shared" si="56"/>
        <v>7110</v>
      </c>
      <c r="E455" s="2">
        <f t="shared" si="57"/>
        <v>40513</v>
      </c>
      <c r="F455" s="2">
        <f t="shared" si="58"/>
        <v>43921</v>
      </c>
    </row>
    <row r="456" spans="1:6" x14ac:dyDescent="0.25">
      <c r="A456" s="1" t="s">
        <v>374</v>
      </c>
      <c r="B456" s="1" t="s">
        <v>2572</v>
      </c>
      <c r="C456" s="1" t="s">
        <v>338</v>
      </c>
      <c r="D456" s="3">
        <f t="shared" si="56"/>
        <v>7110</v>
      </c>
      <c r="E456" s="2">
        <f t="shared" si="57"/>
        <v>40513</v>
      </c>
      <c r="F456" s="2">
        <f t="shared" si="58"/>
        <v>43921</v>
      </c>
    </row>
    <row r="457" spans="1:6" x14ac:dyDescent="0.25">
      <c r="A457" s="1" t="s">
        <v>374</v>
      </c>
      <c r="B457" s="1" t="s">
        <v>2572</v>
      </c>
      <c r="C457" s="1" t="s">
        <v>105</v>
      </c>
      <c r="D457" s="3">
        <f t="shared" si="56"/>
        <v>7110</v>
      </c>
      <c r="E457" s="2">
        <f t="shared" si="57"/>
        <v>40513</v>
      </c>
      <c r="F457" s="2">
        <f t="shared" si="58"/>
        <v>43921</v>
      </c>
    </row>
    <row r="458" spans="1:6" x14ac:dyDescent="0.25">
      <c r="A458" s="1" t="s">
        <v>374</v>
      </c>
      <c r="B458" s="1" t="s">
        <v>2572</v>
      </c>
      <c r="C458" s="1" t="s">
        <v>106</v>
      </c>
      <c r="D458" s="3">
        <f t="shared" si="56"/>
        <v>7110</v>
      </c>
      <c r="E458" s="2">
        <f t="shared" si="57"/>
        <v>40513</v>
      </c>
      <c r="F458" s="2">
        <f t="shared" si="58"/>
        <v>43921</v>
      </c>
    </row>
    <row r="459" spans="1:6" x14ac:dyDescent="0.25">
      <c r="A459" s="1" t="s">
        <v>374</v>
      </c>
      <c r="B459" s="1" t="s">
        <v>2572</v>
      </c>
      <c r="C459" s="1" t="s">
        <v>107</v>
      </c>
      <c r="D459" s="3">
        <f t="shared" si="56"/>
        <v>7110</v>
      </c>
      <c r="E459" s="2">
        <f t="shared" si="57"/>
        <v>40513</v>
      </c>
      <c r="F459" s="2">
        <f t="shared" si="58"/>
        <v>43921</v>
      </c>
    </row>
    <row r="460" spans="1:6" x14ac:dyDescent="0.25">
      <c r="A460" s="1" t="s">
        <v>374</v>
      </c>
      <c r="B460" s="1" t="s">
        <v>2572</v>
      </c>
      <c r="C460" s="1" t="s">
        <v>32</v>
      </c>
      <c r="D460" s="3">
        <f t="shared" si="56"/>
        <v>7110</v>
      </c>
      <c r="E460" s="2">
        <f t="shared" si="57"/>
        <v>40513</v>
      </c>
      <c r="F460" s="2">
        <f t="shared" si="58"/>
        <v>43921</v>
      </c>
    </row>
    <row r="461" spans="1:6" x14ac:dyDescent="0.25">
      <c r="A461" s="1" t="s">
        <v>374</v>
      </c>
      <c r="B461" s="1" t="s">
        <v>2572</v>
      </c>
      <c r="C461" s="1" t="s">
        <v>108</v>
      </c>
      <c r="D461" s="3">
        <f t="shared" si="56"/>
        <v>7110</v>
      </c>
      <c r="E461" s="2">
        <f t="shared" si="57"/>
        <v>40513</v>
      </c>
      <c r="F461" s="2">
        <f t="shared" si="58"/>
        <v>43921</v>
      </c>
    </row>
    <row r="462" spans="1:6" x14ac:dyDescent="0.25">
      <c r="A462" s="1" t="s">
        <v>374</v>
      </c>
      <c r="B462" s="1" t="s">
        <v>2572</v>
      </c>
      <c r="C462" s="1" t="s">
        <v>109</v>
      </c>
      <c r="D462" s="3">
        <f t="shared" si="56"/>
        <v>7110</v>
      </c>
      <c r="E462" s="2">
        <f t="shared" si="57"/>
        <v>40513</v>
      </c>
      <c r="F462" s="2">
        <f t="shared" si="58"/>
        <v>43921</v>
      </c>
    </row>
    <row r="463" spans="1:6" x14ac:dyDescent="0.25">
      <c r="A463" s="1" t="s">
        <v>374</v>
      </c>
      <c r="B463" s="1" t="s">
        <v>2572</v>
      </c>
      <c r="C463" s="1" t="s">
        <v>110</v>
      </c>
      <c r="D463" s="3">
        <f t="shared" si="56"/>
        <v>7110</v>
      </c>
      <c r="E463" s="2">
        <f t="shared" si="57"/>
        <v>40513</v>
      </c>
      <c r="F463" s="2">
        <f t="shared" si="58"/>
        <v>43921</v>
      </c>
    </row>
    <row r="464" spans="1:6" x14ac:dyDescent="0.25">
      <c r="A464" s="1" t="s">
        <v>374</v>
      </c>
      <c r="B464" s="1" t="s">
        <v>2572</v>
      </c>
      <c r="C464" s="1" t="s">
        <v>111</v>
      </c>
      <c r="D464" s="3">
        <f t="shared" si="56"/>
        <v>7110</v>
      </c>
      <c r="E464" s="2">
        <f t="shared" si="57"/>
        <v>40513</v>
      </c>
      <c r="F464" s="2">
        <f t="shared" si="58"/>
        <v>43921</v>
      </c>
    </row>
    <row r="465" spans="1:6" x14ac:dyDescent="0.25">
      <c r="A465" s="1" t="s">
        <v>374</v>
      </c>
      <c r="B465" s="1" t="s">
        <v>2572</v>
      </c>
      <c r="C465" s="1" t="s">
        <v>112</v>
      </c>
      <c r="D465" s="3">
        <f t="shared" si="56"/>
        <v>7110</v>
      </c>
      <c r="E465" s="2">
        <f t="shared" si="57"/>
        <v>40513</v>
      </c>
      <c r="F465" s="2">
        <f t="shared" si="58"/>
        <v>43921</v>
      </c>
    </row>
    <row r="466" spans="1:6" x14ac:dyDescent="0.25">
      <c r="A466" s="1" t="s">
        <v>374</v>
      </c>
      <c r="B466" s="1" t="s">
        <v>2572</v>
      </c>
      <c r="C466" s="1" t="s">
        <v>113</v>
      </c>
      <c r="D466" s="3">
        <f t="shared" si="56"/>
        <v>7110</v>
      </c>
      <c r="E466" s="2">
        <f t="shared" si="57"/>
        <v>40513</v>
      </c>
      <c r="F466" s="2">
        <f t="shared" si="58"/>
        <v>43921</v>
      </c>
    </row>
    <row r="467" spans="1:6" x14ac:dyDescent="0.25">
      <c r="A467" s="1" t="s">
        <v>374</v>
      </c>
      <c r="B467" s="1" t="s">
        <v>2572</v>
      </c>
      <c r="C467" s="1" t="s">
        <v>33</v>
      </c>
      <c r="D467" s="3">
        <f t="shared" si="56"/>
        <v>7110</v>
      </c>
      <c r="E467" s="2">
        <f t="shared" si="57"/>
        <v>40513</v>
      </c>
      <c r="F467" s="2">
        <f t="shared" si="58"/>
        <v>43921</v>
      </c>
    </row>
    <row r="468" spans="1:6" x14ac:dyDescent="0.25">
      <c r="A468" s="1" t="s">
        <v>374</v>
      </c>
      <c r="B468" s="1" t="s">
        <v>2572</v>
      </c>
      <c r="C468" s="1" t="s">
        <v>114</v>
      </c>
      <c r="D468" s="3">
        <f t="shared" si="56"/>
        <v>7110</v>
      </c>
      <c r="E468" s="2">
        <f t="shared" si="57"/>
        <v>40513</v>
      </c>
      <c r="F468" s="2">
        <f t="shared" si="58"/>
        <v>43921</v>
      </c>
    </row>
    <row r="469" spans="1:6" x14ac:dyDescent="0.25">
      <c r="A469" s="1" t="s">
        <v>374</v>
      </c>
      <c r="B469" s="1" t="s">
        <v>2572</v>
      </c>
      <c r="C469" s="1" t="s">
        <v>594</v>
      </c>
      <c r="D469" s="3">
        <f t="shared" si="56"/>
        <v>7110</v>
      </c>
      <c r="E469" s="2">
        <f t="shared" si="57"/>
        <v>40513</v>
      </c>
      <c r="F469" s="2">
        <f t="shared" si="58"/>
        <v>43921</v>
      </c>
    </row>
    <row r="470" spans="1:6" x14ac:dyDescent="0.25">
      <c r="A470" s="1" t="s">
        <v>374</v>
      </c>
      <c r="B470" s="1" t="s">
        <v>2572</v>
      </c>
      <c r="C470" s="1" t="s">
        <v>595</v>
      </c>
      <c r="D470" s="3">
        <f t="shared" si="56"/>
        <v>7110</v>
      </c>
      <c r="E470" s="2">
        <f t="shared" si="57"/>
        <v>40513</v>
      </c>
      <c r="F470" s="2">
        <f t="shared" si="58"/>
        <v>43921</v>
      </c>
    </row>
    <row r="471" spans="1:6" x14ac:dyDescent="0.25">
      <c r="A471" s="1" t="s">
        <v>374</v>
      </c>
      <c r="B471" s="1" t="s">
        <v>2572</v>
      </c>
      <c r="C471" s="1" t="s">
        <v>333</v>
      </c>
      <c r="D471" s="3">
        <f t="shared" si="56"/>
        <v>7110</v>
      </c>
      <c r="E471" s="2">
        <f t="shared" si="57"/>
        <v>40513</v>
      </c>
      <c r="F471" s="2">
        <f t="shared" si="58"/>
        <v>43921</v>
      </c>
    </row>
    <row r="472" spans="1:6" x14ac:dyDescent="0.25">
      <c r="A472" s="1" t="s">
        <v>374</v>
      </c>
      <c r="B472" s="1" t="s">
        <v>2572</v>
      </c>
      <c r="C472" s="1" t="s">
        <v>185</v>
      </c>
      <c r="D472" s="3">
        <f t="shared" si="56"/>
        <v>7110</v>
      </c>
      <c r="E472" s="2">
        <f t="shared" si="57"/>
        <v>40513</v>
      </c>
      <c r="F472" s="2">
        <f t="shared" si="58"/>
        <v>43921</v>
      </c>
    </row>
    <row r="473" spans="1:6" x14ac:dyDescent="0.25">
      <c r="A473" s="1" t="s">
        <v>374</v>
      </c>
      <c r="B473" s="1" t="s">
        <v>2572</v>
      </c>
      <c r="C473" s="1" t="s">
        <v>425</v>
      </c>
      <c r="D473" s="3">
        <f t="shared" si="56"/>
        <v>7110</v>
      </c>
      <c r="E473" s="2">
        <f t="shared" si="57"/>
        <v>40513</v>
      </c>
      <c r="F473" s="2">
        <f t="shared" si="58"/>
        <v>43921</v>
      </c>
    </row>
    <row r="474" spans="1:6" x14ac:dyDescent="0.25">
      <c r="A474" s="1" t="s">
        <v>374</v>
      </c>
      <c r="B474" s="1" t="s">
        <v>2572</v>
      </c>
      <c r="C474" s="1" t="s">
        <v>34</v>
      </c>
      <c r="D474" s="3">
        <f t="shared" si="56"/>
        <v>7110</v>
      </c>
      <c r="E474" s="2">
        <f t="shared" si="57"/>
        <v>40513</v>
      </c>
      <c r="F474" s="2">
        <f t="shared" si="58"/>
        <v>43921</v>
      </c>
    </row>
    <row r="475" spans="1:6" x14ac:dyDescent="0.25">
      <c r="A475" s="1" t="s">
        <v>374</v>
      </c>
      <c r="B475" s="1" t="s">
        <v>2572</v>
      </c>
      <c r="C475" s="1" t="s">
        <v>115</v>
      </c>
      <c r="D475" s="3">
        <f t="shared" si="56"/>
        <v>7110</v>
      </c>
      <c r="E475" s="2">
        <f t="shared" si="57"/>
        <v>40513</v>
      </c>
      <c r="F475" s="2">
        <f t="shared" si="58"/>
        <v>43921</v>
      </c>
    </row>
    <row r="476" spans="1:6" x14ac:dyDescent="0.25">
      <c r="A476" s="1" t="s">
        <v>374</v>
      </c>
      <c r="B476" s="1" t="s">
        <v>2572</v>
      </c>
      <c r="C476" s="1" t="s">
        <v>116</v>
      </c>
      <c r="D476" s="3">
        <f t="shared" si="56"/>
        <v>7110</v>
      </c>
      <c r="E476" s="2">
        <f t="shared" si="57"/>
        <v>40513</v>
      </c>
      <c r="F476" s="2">
        <f t="shared" si="58"/>
        <v>43921</v>
      </c>
    </row>
    <row r="477" spans="1:6" x14ac:dyDescent="0.25">
      <c r="A477" s="1" t="s">
        <v>374</v>
      </c>
      <c r="B477" s="1" t="s">
        <v>2572</v>
      </c>
      <c r="C477" s="1" t="s">
        <v>57</v>
      </c>
      <c r="D477" s="3">
        <f t="shared" si="56"/>
        <v>7110</v>
      </c>
      <c r="E477" s="2">
        <f t="shared" si="57"/>
        <v>40513</v>
      </c>
      <c r="F477" s="2">
        <f t="shared" si="58"/>
        <v>43921</v>
      </c>
    </row>
    <row r="478" spans="1:6" x14ac:dyDescent="0.25">
      <c r="A478" s="1" t="s">
        <v>374</v>
      </c>
      <c r="B478" s="1" t="s">
        <v>2572</v>
      </c>
      <c r="C478" s="1" t="s">
        <v>36</v>
      </c>
      <c r="D478" s="3">
        <f t="shared" si="56"/>
        <v>7110</v>
      </c>
      <c r="E478" s="2">
        <f t="shared" si="57"/>
        <v>40513</v>
      </c>
      <c r="F478" s="2">
        <f t="shared" si="58"/>
        <v>43921</v>
      </c>
    </row>
    <row r="479" spans="1:6" x14ac:dyDescent="0.25">
      <c r="A479" s="1" t="s">
        <v>374</v>
      </c>
      <c r="B479" s="1" t="s">
        <v>2572</v>
      </c>
      <c r="C479" s="1" t="s">
        <v>117</v>
      </c>
      <c r="D479" s="3">
        <f t="shared" si="56"/>
        <v>7110</v>
      </c>
      <c r="E479" s="2">
        <f t="shared" si="57"/>
        <v>40513</v>
      </c>
      <c r="F479" s="2">
        <f t="shared" si="58"/>
        <v>43921</v>
      </c>
    </row>
    <row r="480" spans="1:6" x14ac:dyDescent="0.25">
      <c r="A480" s="1" t="s">
        <v>681</v>
      </c>
      <c r="B480" s="1" t="s">
        <v>1395</v>
      </c>
      <c r="C480" s="1" t="s">
        <v>184</v>
      </c>
      <c r="D480" s="3">
        <f>VALUE("8617")</f>
        <v>8617</v>
      </c>
      <c r="E480" s="2">
        <f t="shared" ref="E480:E487" si="59">DATEVALUE("1-11-2019")</f>
        <v>43770</v>
      </c>
      <c r="F480" s="2">
        <f>DATEVALUE("31-3-2021")</f>
        <v>44286</v>
      </c>
    </row>
    <row r="481" spans="1:6" x14ac:dyDescent="0.25">
      <c r="A481" s="1" t="s">
        <v>681</v>
      </c>
      <c r="B481" s="1" t="s">
        <v>1395</v>
      </c>
      <c r="C481" s="1" t="s">
        <v>89</v>
      </c>
      <c r="D481" s="3">
        <f>VALUE("8617")</f>
        <v>8617</v>
      </c>
      <c r="E481" s="2">
        <f t="shared" si="59"/>
        <v>43770</v>
      </c>
      <c r="F481" s="2">
        <f>DATEVALUE("31-3-2021")</f>
        <v>44286</v>
      </c>
    </row>
    <row r="482" spans="1:6" x14ac:dyDescent="0.25">
      <c r="A482" s="1" t="s">
        <v>681</v>
      </c>
      <c r="B482" s="1" t="s">
        <v>1395</v>
      </c>
      <c r="C482" s="1" t="s">
        <v>17</v>
      </c>
      <c r="D482" s="3">
        <f>VALUE("8617")</f>
        <v>8617</v>
      </c>
      <c r="E482" s="2">
        <f t="shared" si="59"/>
        <v>43770</v>
      </c>
      <c r="F482" s="2">
        <f>DATEVALUE("31-3-2021")</f>
        <v>44286</v>
      </c>
    </row>
    <row r="483" spans="1:6" x14ac:dyDescent="0.25">
      <c r="A483" s="1" t="s">
        <v>681</v>
      </c>
      <c r="B483" s="1" t="s">
        <v>1395</v>
      </c>
      <c r="C483" s="1" t="s">
        <v>22</v>
      </c>
      <c r="D483" s="3">
        <f>VALUE("8617")</f>
        <v>8617</v>
      </c>
      <c r="E483" s="2">
        <f t="shared" si="59"/>
        <v>43770</v>
      </c>
      <c r="F483" s="2">
        <f>DATEVALUE("31-3-2021")</f>
        <v>44286</v>
      </c>
    </row>
    <row r="484" spans="1:6" x14ac:dyDescent="0.25">
      <c r="A484" s="1" t="s">
        <v>681</v>
      </c>
      <c r="B484" s="1" t="s">
        <v>1395</v>
      </c>
      <c r="C484" s="1" t="s">
        <v>384</v>
      </c>
      <c r="D484" s="3">
        <f>VALUE("8617")</f>
        <v>8617</v>
      </c>
      <c r="E484" s="2">
        <f t="shared" si="59"/>
        <v>43770</v>
      </c>
      <c r="F484" s="2">
        <f>DATEVALUE("31-3-2021")</f>
        <v>44286</v>
      </c>
    </row>
    <row r="485" spans="1:6" x14ac:dyDescent="0.25">
      <c r="A485" s="1" t="s">
        <v>681</v>
      </c>
      <c r="B485" s="1" t="s">
        <v>1415</v>
      </c>
      <c r="C485" s="1" t="s">
        <v>85</v>
      </c>
      <c r="D485" s="3">
        <f>VALUE("8631")</f>
        <v>8631</v>
      </c>
      <c r="E485" s="2">
        <f t="shared" si="59"/>
        <v>43770</v>
      </c>
      <c r="F485" s="2">
        <f>DATEVALUE("30-4-2021")</f>
        <v>44316</v>
      </c>
    </row>
    <row r="486" spans="1:6" x14ac:dyDescent="0.25">
      <c r="A486" s="1" t="s">
        <v>681</v>
      </c>
      <c r="B486" s="1" t="s">
        <v>1415</v>
      </c>
      <c r="C486" s="1" t="s">
        <v>84</v>
      </c>
      <c r="D486" s="3">
        <f>VALUE("8631")</f>
        <v>8631</v>
      </c>
      <c r="E486" s="2">
        <f t="shared" si="59"/>
        <v>43770</v>
      </c>
      <c r="F486" s="2">
        <f>DATEVALUE("30-4-2021")</f>
        <v>44316</v>
      </c>
    </row>
    <row r="487" spans="1:6" x14ac:dyDescent="0.25">
      <c r="A487" s="1" t="s">
        <v>681</v>
      </c>
      <c r="B487" s="1" t="s">
        <v>1415</v>
      </c>
      <c r="C487" s="1" t="s">
        <v>89</v>
      </c>
      <c r="D487" s="3">
        <f>VALUE("8631")</f>
        <v>8631</v>
      </c>
      <c r="E487" s="2">
        <f t="shared" si="59"/>
        <v>43770</v>
      </c>
      <c r="F487" s="2">
        <f>DATEVALUE("30-4-2021")</f>
        <v>44316</v>
      </c>
    </row>
    <row r="488" spans="1:6" x14ac:dyDescent="0.25">
      <c r="A488" s="1" t="s">
        <v>681</v>
      </c>
      <c r="B488" s="1" t="s">
        <v>1001</v>
      </c>
      <c r="C488" s="1" t="s">
        <v>85</v>
      </c>
      <c r="D488" s="3">
        <f t="shared" ref="D488:D497" si="60">VALUE("8284")</f>
        <v>8284</v>
      </c>
      <c r="E488" s="2">
        <f t="shared" ref="E488:E497" si="61">DATEVALUE("1-7-2019")</f>
        <v>43647</v>
      </c>
      <c r="F488" s="2">
        <f t="shared" ref="F488:F497" si="62">DATEVALUE("31-3-2025")</f>
        <v>45747</v>
      </c>
    </row>
    <row r="489" spans="1:6" x14ac:dyDescent="0.25">
      <c r="A489" s="1" t="s">
        <v>681</v>
      </c>
      <c r="B489" s="1" t="s">
        <v>1001</v>
      </c>
      <c r="C489" s="1" t="s">
        <v>84</v>
      </c>
      <c r="D489" s="3">
        <f t="shared" si="60"/>
        <v>8284</v>
      </c>
      <c r="E489" s="2">
        <f t="shared" si="61"/>
        <v>43647</v>
      </c>
      <c r="F489" s="2">
        <f t="shared" si="62"/>
        <v>45747</v>
      </c>
    </row>
    <row r="490" spans="1:6" x14ac:dyDescent="0.25">
      <c r="A490" s="1" t="s">
        <v>681</v>
      </c>
      <c r="B490" s="1" t="s">
        <v>1001</v>
      </c>
      <c r="C490" s="1" t="s">
        <v>14</v>
      </c>
      <c r="D490" s="3">
        <f t="shared" si="60"/>
        <v>8284</v>
      </c>
      <c r="E490" s="2">
        <f t="shared" si="61"/>
        <v>43647</v>
      </c>
      <c r="F490" s="2">
        <f t="shared" si="62"/>
        <v>45747</v>
      </c>
    </row>
    <row r="491" spans="1:6" x14ac:dyDescent="0.25">
      <c r="A491" s="1" t="s">
        <v>681</v>
      </c>
      <c r="B491" s="1" t="s">
        <v>1001</v>
      </c>
      <c r="C491" s="1" t="s">
        <v>89</v>
      </c>
      <c r="D491" s="3">
        <f t="shared" si="60"/>
        <v>8284</v>
      </c>
      <c r="E491" s="2">
        <f t="shared" si="61"/>
        <v>43647</v>
      </c>
      <c r="F491" s="2">
        <f t="shared" si="62"/>
        <v>45747</v>
      </c>
    </row>
    <row r="492" spans="1:6" x14ac:dyDescent="0.25">
      <c r="A492" s="1" t="s">
        <v>681</v>
      </c>
      <c r="B492" s="1" t="s">
        <v>1001</v>
      </c>
      <c r="C492" s="1" t="s">
        <v>17</v>
      </c>
      <c r="D492" s="3">
        <f t="shared" si="60"/>
        <v>8284</v>
      </c>
      <c r="E492" s="2">
        <f t="shared" si="61"/>
        <v>43647</v>
      </c>
      <c r="F492" s="2">
        <f t="shared" si="62"/>
        <v>45747</v>
      </c>
    </row>
    <row r="493" spans="1:6" x14ac:dyDescent="0.25">
      <c r="A493" s="1" t="s">
        <v>681</v>
      </c>
      <c r="B493" s="1" t="s">
        <v>1001</v>
      </c>
      <c r="C493" s="1" t="s">
        <v>146</v>
      </c>
      <c r="D493" s="3">
        <f t="shared" si="60"/>
        <v>8284</v>
      </c>
      <c r="E493" s="2">
        <f t="shared" si="61"/>
        <v>43647</v>
      </c>
      <c r="F493" s="2">
        <f t="shared" si="62"/>
        <v>45747</v>
      </c>
    </row>
    <row r="494" spans="1:6" x14ac:dyDescent="0.25">
      <c r="A494" s="1" t="s">
        <v>681</v>
      </c>
      <c r="B494" s="1" t="s">
        <v>1001</v>
      </c>
      <c r="C494" s="1" t="s">
        <v>67</v>
      </c>
      <c r="D494" s="3">
        <f t="shared" si="60"/>
        <v>8284</v>
      </c>
      <c r="E494" s="2">
        <f t="shared" si="61"/>
        <v>43647</v>
      </c>
      <c r="F494" s="2">
        <f t="shared" si="62"/>
        <v>45747</v>
      </c>
    </row>
    <row r="495" spans="1:6" x14ac:dyDescent="0.25">
      <c r="A495" s="1" t="s">
        <v>681</v>
      </c>
      <c r="B495" s="1" t="s">
        <v>1001</v>
      </c>
      <c r="C495" s="1" t="s">
        <v>148</v>
      </c>
      <c r="D495" s="3">
        <f t="shared" si="60"/>
        <v>8284</v>
      </c>
      <c r="E495" s="2">
        <f t="shared" si="61"/>
        <v>43647</v>
      </c>
      <c r="F495" s="2">
        <f t="shared" si="62"/>
        <v>45747</v>
      </c>
    </row>
    <row r="496" spans="1:6" x14ac:dyDescent="0.25">
      <c r="A496" s="1" t="s">
        <v>681</v>
      </c>
      <c r="B496" s="1" t="s">
        <v>1001</v>
      </c>
      <c r="C496" s="1" t="s">
        <v>149</v>
      </c>
      <c r="D496" s="3">
        <f t="shared" si="60"/>
        <v>8284</v>
      </c>
      <c r="E496" s="2">
        <f t="shared" si="61"/>
        <v>43647</v>
      </c>
      <c r="F496" s="2">
        <f t="shared" si="62"/>
        <v>45747</v>
      </c>
    </row>
    <row r="497" spans="1:6" x14ac:dyDescent="0.25">
      <c r="A497" s="1" t="s">
        <v>681</v>
      </c>
      <c r="B497" s="1" t="s">
        <v>1001</v>
      </c>
      <c r="C497" s="1" t="s">
        <v>94</v>
      </c>
      <c r="D497" s="3">
        <f t="shared" si="60"/>
        <v>8284</v>
      </c>
      <c r="E497" s="2">
        <f t="shared" si="61"/>
        <v>43647</v>
      </c>
      <c r="F497" s="2">
        <f t="shared" si="62"/>
        <v>45747</v>
      </c>
    </row>
    <row r="498" spans="1:6" x14ac:dyDescent="0.25">
      <c r="A498" s="1" t="s">
        <v>681</v>
      </c>
      <c r="B498" s="1" t="s">
        <v>2397</v>
      </c>
      <c r="C498" s="1" t="s">
        <v>85</v>
      </c>
      <c r="D498" s="3">
        <f>VALUE("8372")</f>
        <v>8372</v>
      </c>
      <c r="E498" s="2">
        <f>DATEVALUE("1-5-2019")</f>
        <v>43586</v>
      </c>
      <c r="F498" s="2">
        <f>DATEVALUE("31-1-2020")</f>
        <v>43861</v>
      </c>
    </row>
    <row r="499" spans="1:6" x14ac:dyDescent="0.25">
      <c r="A499" s="1" t="s">
        <v>681</v>
      </c>
      <c r="B499" s="1" t="s">
        <v>2397</v>
      </c>
      <c r="C499" s="1" t="s">
        <v>84</v>
      </c>
      <c r="D499" s="3">
        <f>VALUE("8372")</f>
        <v>8372</v>
      </c>
      <c r="E499" s="2">
        <f>DATEVALUE("1-5-2019")</f>
        <v>43586</v>
      </c>
      <c r="F499" s="2">
        <f>DATEVALUE("31-1-2020")</f>
        <v>43861</v>
      </c>
    </row>
    <row r="500" spans="1:6" x14ac:dyDescent="0.25">
      <c r="A500" s="1" t="s">
        <v>681</v>
      </c>
      <c r="B500" s="1" t="s">
        <v>2397</v>
      </c>
      <c r="C500" s="1" t="s">
        <v>89</v>
      </c>
      <c r="D500" s="3">
        <f>VALUE("8372")</f>
        <v>8372</v>
      </c>
      <c r="E500" s="2">
        <f>DATEVALUE("1-5-2019")</f>
        <v>43586</v>
      </c>
      <c r="F500" s="2">
        <f>DATEVALUE("31-1-2020")</f>
        <v>43861</v>
      </c>
    </row>
    <row r="501" spans="1:6" x14ac:dyDescent="0.25">
      <c r="A501" s="1" t="s">
        <v>681</v>
      </c>
      <c r="B501" s="1" t="s">
        <v>2397</v>
      </c>
      <c r="C501" s="1" t="s">
        <v>924</v>
      </c>
      <c r="D501" s="3">
        <f>VALUE("8372")</f>
        <v>8372</v>
      </c>
      <c r="E501" s="2">
        <f>DATEVALUE("1-5-2019")</f>
        <v>43586</v>
      </c>
      <c r="F501" s="2">
        <f>DATEVALUE("31-1-2020")</f>
        <v>43861</v>
      </c>
    </row>
    <row r="502" spans="1:6" x14ac:dyDescent="0.25">
      <c r="A502" s="1" t="s">
        <v>681</v>
      </c>
      <c r="B502" s="1" t="s">
        <v>1164</v>
      </c>
      <c r="C502" s="1" t="s">
        <v>184</v>
      </c>
      <c r="D502" s="3">
        <f t="shared" ref="D502:D519" si="63">VALUE("8436")</f>
        <v>8436</v>
      </c>
      <c r="E502" s="2">
        <f t="shared" ref="E502:E521" si="64">DATEVALUE("1-4-2019")</f>
        <v>43556</v>
      </c>
      <c r="F502" s="2">
        <f t="shared" ref="F502:F519" si="65">DATEVALUE("31-5-2023")</f>
        <v>45077</v>
      </c>
    </row>
    <row r="503" spans="1:6" x14ac:dyDescent="0.25">
      <c r="A503" s="1" t="s">
        <v>681</v>
      </c>
      <c r="B503" s="1" t="s">
        <v>1164</v>
      </c>
      <c r="C503" s="1" t="s">
        <v>66</v>
      </c>
      <c r="D503" s="3">
        <f t="shared" si="63"/>
        <v>8436</v>
      </c>
      <c r="E503" s="2">
        <f t="shared" si="64"/>
        <v>43556</v>
      </c>
      <c r="F503" s="2">
        <f t="shared" si="65"/>
        <v>45077</v>
      </c>
    </row>
    <row r="504" spans="1:6" x14ac:dyDescent="0.25">
      <c r="A504" s="1" t="s">
        <v>681</v>
      </c>
      <c r="B504" s="1" t="s">
        <v>1164</v>
      </c>
      <c r="C504" s="1" t="s">
        <v>89</v>
      </c>
      <c r="D504" s="3">
        <f t="shared" si="63"/>
        <v>8436</v>
      </c>
      <c r="E504" s="2">
        <f t="shared" si="64"/>
        <v>43556</v>
      </c>
      <c r="F504" s="2">
        <f t="shared" si="65"/>
        <v>45077</v>
      </c>
    </row>
    <row r="505" spans="1:6" x14ac:dyDescent="0.25">
      <c r="A505" s="1" t="s">
        <v>681</v>
      </c>
      <c r="B505" s="1" t="s">
        <v>1164</v>
      </c>
      <c r="C505" s="1" t="s">
        <v>17</v>
      </c>
      <c r="D505" s="3">
        <f t="shared" si="63"/>
        <v>8436</v>
      </c>
      <c r="E505" s="2">
        <f t="shared" si="64"/>
        <v>43556</v>
      </c>
      <c r="F505" s="2">
        <f t="shared" si="65"/>
        <v>45077</v>
      </c>
    </row>
    <row r="506" spans="1:6" x14ac:dyDescent="0.25">
      <c r="A506" s="1" t="s">
        <v>681</v>
      </c>
      <c r="B506" s="1" t="s">
        <v>1164</v>
      </c>
      <c r="C506" s="1" t="s">
        <v>499</v>
      </c>
      <c r="D506" s="3">
        <f t="shared" si="63"/>
        <v>8436</v>
      </c>
      <c r="E506" s="2">
        <f t="shared" si="64"/>
        <v>43556</v>
      </c>
      <c r="F506" s="2">
        <f t="shared" si="65"/>
        <v>45077</v>
      </c>
    </row>
    <row r="507" spans="1:6" x14ac:dyDescent="0.25">
      <c r="A507" s="1" t="s">
        <v>681</v>
      </c>
      <c r="B507" s="1" t="s">
        <v>1164</v>
      </c>
      <c r="C507" s="1" t="s">
        <v>501</v>
      </c>
      <c r="D507" s="3">
        <f t="shared" si="63"/>
        <v>8436</v>
      </c>
      <c r="E507" s="2">
        <f t="shared" si="64"/>
        <v>43556</v>
      </c>
      <c r="F507" s="2">
        <f t="shared" si="65"/>
        <v>45077</v>
      </c>
    </row>
    <row r="508" spans="1:6" x14ac:dyDescent="0.25">
      <c r="A508" s="1" t="s">
        <v>681</v>
      </c>
      <c r="B508" s="1" t="s">
        <v>1164</v>
      </c>
      <c r="C508" s="1" t="s">
        <v>22</v>
      </c>
      <c r="D508" s="3">
        <f t="shared" si="63"/>
        <v>8436</v>
      </c>
      <c r="E508" s="2">
        <f t="shared" si="64"/>
        <v>43556</v>
      </c>
      <c r="F508" s="2">
        <f t="shared" si="65"/>
        <v>45077</v>
      </c>
    </row>
    <row r="509" spans="1:6" x14ac:dyDescent="0.25">
      <c r="A509" s="1" t="s">
        <v>681</v>
      </c>
      <c r="B509" s="1" t="s">
        <v>1164</v>
      </c>
      <c r="C509" s="1" t="s">
        <v>146</v>
      </c>
      <c r="D509" s="3">
        <f t="shared" si="63"/>
        <v>8436</v>
      </c>
      <c r="E509" s="2">
        <f t="shared" si="64"/>
        <v>43556</v>
      </c>
      <c r="F509" s="2">
        <f t="shared" si="65"/>
        <v>45077</v>
      </c>
    </row>
    <row r="510" spans="1:6" x14ac:dyDescent="0.25">
      <c r="A510" s="1" t="s">
        <v>681</v>
      </c>
      <c r="B510" s="1" t="s">
        <v>1164</v>
      </c>
      <c r="C510" s="1" t="s">
        <v>384</v>
      </c>
      <c r="D510" s="3">
        <f t="shared" si="63"/>
        <v>8436</v>
      </c>
      <c r="E510" s="2">
        <f t="shared" si="64"/>
        <v>43556</v>
      </c>
      <c r="F510" s="2">
        <f t="shared" si="65"/>
        <v>45077</v>
      </c>
    </row>
    <row r="511" spans="1:6" x14ac:dyDescent="0.25">
      <c r="A511" s="1" t="s">
        <v>681</v>
      </c>
      <c r="B511" s="1" t="s">
        <v>1164</v>
      </c>
      <c r="C511" s="1" t="s">
        <v>147</v>
      </c>
      <c r="D511" s="3">
        <f t="shared" si="63"/>
        <v>8436</v>
      </c>
      <c r="E511" s="2">
        <f t="shared" si="64"/>
        <v>43556</v>
      </c>
      <c r="F511" s="2">
        <f t="shared" si="65"/>
        <v>45077</v>
      </c>
    </row>
    <row r="512" spans="1:6" x14ac:dyDescent="0.25">
      <c r="A512" s="1" t="s">
        <v>681</v>
      </c>
      <c r="B512" s="1" t="s">
        <v>1164</v>
      </c>
      <c r="C512" s="1" t="s">
        <v>148</v>
      </c>
      <c r="D512" s="3">
        <f t="shared" si="63"/>
        <v>8436</v>
      </c>
      <c r="E512" s="2">
        <f t="shared" si="64"/>
        <v>43556</v>
      </c>
      <c r="F512" s="2">
        <f t="shared" si="65"/>
        <v>45077</v>
      </c>
    </row>
    <row r="513" spans="1:6" x14ac:dyDescent="0.25">
      <c r="A513" s="1" t="s">
        <v>681</v>
      </c>
      <c r="B513" s="1" t="s">
        <v>1164</v>
      </c>
      <c r="C513" s="1" t="s">
        <v>92</v>
      </c>
      <c r="D513" s="3">
        <f t="shared" si="63"/>
        <v>8436</v>
      </c>
      <c r="E513" s="2">
        <f t="shared" si="64"/>
        <v>43556</v>
      </c>
      <c r="F513" s="2">
        <f t="shared" si="65"/>
        <v>45077</v>
      </c>
    </row>
    <row r="514" spans="1:6" x14ac:dyDescent="0.25">
      <c r="A514" s="1" t="s">
        <v>681</v>
      </c>
      <c r="B514" s="1" t="s">
        <v>1164</v>
      </c>
      <c r="C514" s="1" t="s">
        <v>128</v>
      </c>
      <c r="D514" s="3">
        <f t="shared" si="63"/>
        <v>8436</v>
      </c>
      <c r="E514" s="2">
        <f t="shared" si="64"/>
        <v>43556</v>
      </c>
      <c r="F514" s="2">
        <f t="shared" si="65"/>
        <v>45077</v>
      </c>
    </row>
    <row r="515" spans="1:6" x14ac:dyDescent="0.25">
      <c r="A515" s="1" t="s">
        <v>681</v>
      </c>
      <c r="B515" s="1" t="s">
        <v>1164</v>
      </c>
      <c r="C515" s="1" t="s">
        <v>180</v>
      </c>
      <c r="D515" s="3">
        <f t="shared" si="63"/>
        <v>8436</v>
      </c>
      <c r="E515" s="2">
        <f t="shared" si="64"/>
        <v>43556</v>
      </c>
      <c r="F515" s="2">
        <f t="shared" si="65"/>
        <v>45077</v>
      </c>
    </row>
    <row r="516" spans="1:6" x14ac:dyDescent="0.25">
      <c r="A516" s="1" t="s">
        <v>681</v>
      </c>
      <c r="B516" s="1" t="s">
        <v>1164</v>
      </c>
      <c r="C516" s="1" t="s">
        <v>93</v>
      </c>
      <c r="D516" s="3">
        <f t="shared" si="63"/>
        <v>8436</v>
      </c>
      <c r="E516" s="2">
        <f t="shared" si="64"/>
        <v>43556</v>
      </c>
      <c r="F516" s="2">
        <f t="shared" si="65"/>
        <v>45077</v>
      </c>
    </row>
    <row r="517" spans="1:6" x14ac:dyDescent="0.25">
      <c r="A517" s="1" t="s">
        <v>681</v>
      </c>
      <c r="B517" s="1" t="s">
        <v>1164</v>
      </c>
      <c r="C517" s="1" t="s">
        <v>129</v>
      </c>
      <c r="D517" s="3">
        <f t="shared" si="63"/>
        <v>8436</v>
      </c>
      <c r="E517" s="2">
        <f t="shared" si="64"/>
        <v>43556</v>
      </c>
      <c r="F517" s="2">
        <f t="shared" si="65"/>
        <v>45077</v>
      </c>
    </row>
    <row r="518" spans="1:6" x14ac:dyDescent="0.25">
      <c r="A518" s="1" t="s">
        <v>681</v>
      </c>
      <c r="B518" s="1" t="s">
        <v>1164</v>
      </c>
      <c r="C518" s="1" t="s">
        <v>573</v>
      </c>
      <c r="D518" s="3">
        <f t="shared" si="63"/>
        <v>8436</v>
      </c>
      <c r="E518" s="2">
        <f t="shared" si="64"/>
        <v>43556</v>
      </c>
      <c r="F518" s="2">
        <f t="shared" si="65"/>
        <v>45077</v>
      </c>
    </row>
    <row r="519" spans="1:6" x14ac:dyDescent="0.25">
      <c r="A519" s="1" t="s">
        <v>681</v>
      </c>
      <c r="B519" s="1" t="s">
        <v>1164</v>
      </c>
      <c r="C519" s="1" t="s">
        <v>283</v>
      </c>
      <c r="D519" s="3">
        <f t="shared" si="63"/>
        <v>8436</v>
      </c>
      <c r="E519" s="2">
        <f t="shared" si="64"/>
        <v>43556</v>
      </c>
      <c r="F519" s="2">
        <f t="shared" si="65"/>
        <v>45077</v>
      </c>
    </row>
    <row r="520" spans="1:6" x14ac:dyDescent="0.25">
      <c r="A520" s="1" t="s">
        <v>681</v>
      </c>
      <c r="B520" s="1" t="s">
        <v>1181</v>
      </c>
      <c r="C520" s="1" t="s">
        <v>17</v>
      </c>
      <c r="D520" s="3">
        <f>VALUE("8452")</f>
        <v>8452</v>
      </c>
      <c r="E520" s="2">
        <f t="shared" si="64"/>
        <v>43556</v>
      </c>
      <c r="F520" s="2">
        <f>DATEVALUE("31-12-2020")</f>
        <v>44196</v>
      </c>
    </row>
    <row r="521" spans="1:6" x14ac:dyDescent="0.25">
      <c r="A521" s="1" t="s">
        <v>681</v>
      </c>
      <c r="B521" s="1" t="s">
        <v>1181</v>
      </c>
      <c r="C521" s="1" t="s">
        <v>369</v>
      </c>
      <c r="D521" s="3">
        <f>VALUE("8452")</f>
        <v>8452</v>
      </c>
      <c r="E521" s="2">
        <f t="shared" si="64"/>
        <v>43556</v>
      </c>
      <c r="F521" s="2">
        <f>DATEVALUE("31-12-2020")</f>
        <v>44196</v>
      </c>
    </row>
    <row r="522" spans="1:6" x14ac:dyDescent="0.25">
      <c r="A522" s="1" t="s">
        <v>681</v>
      </c>
      <c r="B522" s="1" t="s">
        <v>928</v>
      </c>
      <c r="C522" s="1" t="s">
        <v>929</v>
      </c>
      <c r="D522" s="3">
        <f>VALUE("8184")</f>
        <v>8184</v>
      </c>
      <c r="E522" s="2">
        <f>DATEVALUE("1-8-2018")</f>
        <v>43313</v>
      </c>
      <c r="F522" s="2">
        <f>DATEVALUE("31-12-2021")</f>
        <v>44561</v>
      </c>
    </row>
    <row r="523" spans="1:6" x14ac:dyDescent="0.25">
      <c r="A523" s="1" t="s">
        <v>681</v>
      </c>
      <c r="B523" s="1" t="s">
        <v>928</v>
      </c>
      <c r="C523" s="1" t="s">
        <v>128</v>
      </c>
      <c r="D523" s="3">
        <f>VALUE("8184")</f>
        <v>8184</v>
      </c>
      <c r="E523" s="2">
        <f>DATEVALUE("1-8-2018")</f>
        <v>43313</v>
      </c>
      <c r="F523" s="2">
        <f>DATEVALUE("31-12-2021")</f>
        <v>44561</v>
      </c>
    </row>
    <row r="524" spans="1:6" x14ac:dyDescent="0.25">
      <c r="A524" s="1" t="s">
        <v>681</v>
      </c>
      <c r="B524" s="1" t="s">
        <v>928</v>
      </c>
      <c r="C524" s="1" t="s">
        <v>93</v>
      </c>
      <c r="D524" s="3">
        <f>VALUE("8184")</f>
        <v>8184</v>
      </c>
      <c r="E524" s="2">
        <f>DATEVALUE("1-8-2018")</f>
        <v>43313</v>
      </c>
      <c r="F524" s="2">
        <f>DATEVALUE("31-12-2021")</f>
        <v>44561</v>
      </c>
    </row>
    <row r="525" spans="1:6" x14ac:dyDescent="0.25">
      <c r="A525" s="1" t="s">
        <v>681</v>
      </c>
      <c r="B525" s="1" t="s">
        <v>928</v>
      </c>
      <c r="C525" s="1" t="s">
        <v>94</v>
      </c>
      <c r="D525" s="3">
        <f>VALUE("8184")</f>
        <v>8184</v>
      </c>
      <c r="E525" s="2">
        <f>DATEVALUE("1-8-2018")</f>
        <v>43313</v>
      </c>
      <c r="F525" s="2">
        <f>DATEVALUE("31-12-2021")</f>
        <v>44561</v>
      </c>
    </row>
    <row r="526" spans="1:6" x14ac:dyDescent="0.25">
      <c r="A526" s="1" t="s">
        <v>681</v>
      </c>
      <c r="B526" s="1" t="s">
        <v>928</v>
      </c>
      <c r="C526" s="1" t="s">
        <v>34</v>
      </c>
      <c r="D526" s="3">
        <f>VALUE("8184")</f>
        <v>8184</v>
      </c>
      <c r="E526" s="2">
        <f>DATEVALUE("1-8-2018")</f>
        <v>43313</v>
      </c>
      <c r="F526" s="2">
        <f>DATEVALUE("31-12-2021")</f>
        <v>44561</v>
      </c>
    </row>
    <row r="527" spans="1:6" x14ac:dyDescent="0.25">
      <c r="A527" s="1" t="s">
        <v>681</v>
      </c>
      <c r="B527" s="1" t="s">
        <v>946</v>
      </c>
      <c r="C527" s="1" t="s">
        <v>15</v>
      </c>
      <c r="D527" s="3">
        <f t="shared" ref="D527:D540" si="66">VALUE("8225")</f>
        <v>8225</v>
      </c>
      <c r="E527" s="2">
        <f t="shared" ref="E527:E540" si="67">DATEVALUE("1-5-2018")</f>
        <v>43221</v>
      </c>
      <c r="F527" s="2">
        <f t="shared" ref="F527:F540" si="68">DATEVALUE("31-5-2021")</f>
        <v>44347</v>
      </c>
    </row>
    <row r="528" spans="1:6" x14ac:dyDescent="0.25">
      <c r="A528" s="1" t="s">
        <v>681</v>
      </c>
      <c r="B528" s="1" t="s">
        <v>946</v>
      </c>
      <c r="C528" s="1" t="s">
        <v>16</v>
      </c>
      <c r="D528" s="3">
        <f t="shared" si="66"/>
        <v>8225</v>
      </c>
      <c r="E528" s="2">
        <f t="shared" si="67"/>
        <v>43221</v>
      </c>
      <c r="F528" s="2">
        <f t="shared" si="68"/>
        <v>44347</v>
      </c>
    </row>
    <row r="529" spans="1:6" x14ac:dyDescent="0.25">
      <c r="A529" s="1" t="s">
        <v>681</v>
      </c>
      <c r="B529" s="1" t="s">
        <v>946</v>
      </c>
      <c r="C529" s="1" t="s">
        <v>89</v>
      </c>
      <c r="D529" s="3">
        <f t="shared" si="66"/>
        <v>8225</v>
      </c>
      <c r="E529" s="2">
        <f t="shared" si="67"/>
        <v>43221</v>
      </c>
      <c r="F529" s="2">
        <f t="shared" si="68"/>
        <v>44347</v>
      </c>
    </row>
    <row r="530" spans="1:6" x14ac:dyDescent="0.25">
      <c r="A530" s="1" t="s">
        <v>681</v>
      </c>
      <c r="B530" s="1" t="s">
        <v>946</v>
      </c>
      <c r="C530" s="1" t="s">
        <v>17</v>
      </c>
      <c r="D530" s="3">
        <f t="shared" si="66"/>
        <v>8225</v>
      </c>
      <c r="E530" s="2">
        <f t="shared" si="67"/>
        <v>43221</v>
      </c>
      <c r="F530" s="2">
        <f t="shared" si="68"/>
        <v>44347</v>
      </c>
    </row>
    <row r="531" spans="1:6" x14ac:dyDescent="0.25">
      <c r="A531" s="1" t="s">
        <v>681</v>
      </c>
      <c r="B531" s="1" t="s">
        <v>946</v>
      </c>
      <c r="C531" s="1" t="s">
        <v>442</v>
      </c>
      <c r="D531" s="3">
        <f t="shared" si="66"/>
        <v>8225</v>
      </c>
      <c r="E531" s="2">
        <f t="shared" si="67"/>
        <v>43221</v>
      </c>
      <c r="F531" s="2">
        <f t="shared" si="68"/>
        <v>44347</v>
      </c>
    </row>
    <row r="532" spans="1:6" x14ac:dyDescent="0.25">
      <c r="A532" s="1" t="s">
        <v>681</v>
      </c>
      <c r="B532" s="1" t="s">
        <v>946</v>
      </c>
      <c r="C532" s="1" t="s">
        <v>22</v>
      </c>
      <c r="D532" s="3">
        <f t="shared" si="66"/>
        <v>8225</v>
      </c>
      <c r="E532" s="2">
        <f t="shared" si="67"/>
        <v>43221</v>
      </c>
      <c r="F532" s="2">
        <f t="shared" si="68"/>
        <v>44347</v>
      </c>
    </row>
    <row r="533" spans="1:6" x14ac:dyDescent="0.25">
      <c r="A533" s="1" t="s">
        <v>681</v>
      </c>
      <c r="B533" s="1" t="s">
        <v>946</v>
      </c>
      <c r="C533" s="1" t="s">
        <v>146</v>
      </c>
      <c r="D533" s="3">
        <f t="shared" si="66"/>
        <v>8225</v>
      </c>
      <c r="E533" s="2">
        <f t="shared" si="67"/>
        <v>43221</v>
      </c>
      <c r="F533" s="2">
        <f t="shared" si="68"/>
        <v>44347</v>
      </c>
    </row>
    <row r="534" spans="1:6" x14ac:dyDescent="0.25">
      <c r="A534" s="1" t="s">
        <v>681</v>
      </c>
      <c r="B534" s="1" t="s">
        <v>946</v>
      </c>
      <c r="C534" s="1" t="s">
        <v>67</v>
      </c>
      <c r="D534" s="3">
        <f t="shared" si="66"/>
        <v>8225</v>
      </c>
      <c r="E534" s="2">
        <f t="shared" si="67"/>
        <v>43221</v>
      </c>
      <c r="F534" s="2">
        <f t="shared" si="68"/>
        <v>44347</v>
      </c>
    </row>
    <row r="535" spans="1:6" x14ac:dyDescent="0.25">
      <c r="A535" s="1" t="s">
        <v>681</v>
      </c>
      <c r="B535" s="1" t="s">
        <v>946</v>
      </c>
      <c r="C535" s="1" t="s">
        <v>571</v>
      </c>
      <c r="D535" s="3">
        <f t="shared" si="66"/>
        <v>8225</v>
      </c>
      <c r="E535" s="2">
        <f t="shared" si="67"/>
        <v>43221</v>
      </c>
      <c r="F535" s="2">
        <f t="shared" si="68"/>
        <v>44347</v>
      </c>
    </row>
    <row r="536" spans="1:6" x14ac:dyDescent="0.25">
      <c r="A536" s="1" t="s">
        <v>681</v>
      </c>
      <c r="B536" s="1" t="s">
        <v>946</v>
      </c>
      <c r="C536" s="1" t="s">
        <v>572</v>
      </c>
      <c r="D536" s="3">
        <f t="shared" si="66"/>
        <v>8225</v>
      </c>
      <c r="E536" s="2">
        <f t="shared" si="67"/>
        <v>43221</v>
      </c>
      <c r="F536" s="2">
        <f t="shared" si="68"/>
        <v>44347</v>
      </c>
    </row>
    <row r="537" spans="1:6" x14ac:dyDescent="0.25">
      <c r="A537" s="1" t="s">
        <v>681</v>
      </c>
      <c r="B537" s="1" t="s">
        <v>946</v>
      </c>
      <c r="C537" s="1" t="s">
        <v>573</v>
      </c>
      <c r="D537" s="3">
        <f t="shared" si="66"/>
        <v>8225</v>
      </c>
      <c r="E537" s="2">
        <f t="shared" si="67"/>
        <v>43221</v>
      </c>
      <c r="F537" s="2">
        <f t="shared" si="68"/>
        <v>44347</v>
      </c>
    </row>
    <row r="538" spans="1:6" x14ac:dyDescent="0.25">
      <c r="A538" s="1" t="s">
        <v>681</v>
      </c>
      <c r="B538" s="1" t="s">
        <v>946</v>
      </c>
      <c r="C538" s="1" t="s">
        <v>73</v>
      </c>
      <c r="D538" s="3">
        <f t="shared" si="66"/>
        <v>8225</v>
      </c>
      <c r="E538" s="2">
        <f t="shared" si="67"/>
        <v>43221</v>
      </c>
      <c r="F538" s="2">
        <f t="shared" si="68"/>
        <v>44347</v>
      </c>
    </row>
    <row r="539" spans="1:6" x14ac:dyDescent="0.25">
      <c r="A539" s="1" t="s">
        <v>681</v>
      </c>
      <c r="B539" s="1" t="s">
        <v>946</v>
      </c>
      <c r="C539" s="1" t="s">
        <v>52</v>
      </c>
      <c r="D539" s="3">
        <f t="shared" si="66"/>
        <v>8225</v>
      </c>
      <c r="E539" s="2">
        <f t="shared" si="67"/>
        <v>43221</v>
      </c>
      <c r="F539" s="2">
        <f t="shared" si="68"/>
        <v>44347</v>
      </c>
    </row>
    <row r="540" spans="1:6" x14ac:dyDescent="0.25">
      <c r="A540" s="1" t="s">
        <v>681</v>
      </c>
      <c r="B540" s="1" t="s">
        <v>946</v>
      </c>
      <c r="C540" s="1" t="s">
        <v>160</v>
      </c>
      <c r="D540" s="3">
        <f t="shared" si="66"/>
        <v>8225</v>
      </c>
      <c r="E540" s="2">
        <f t="shared" si="67"/>
        <v>43221</v>
      </c>
      <c r="F540" s="2">
        <f t="shared" si="68"/>
        <v>44347</v>
      </c>
    </row>
    <row r="541" spans="1:6" x14ac:dyDescent="0.25">
      <c r="A541" s="1" t="s">
        <v>681</v>
      </c>
      <c r="B541" s="1" t="s">
        <v>680</v>
      </c>
      <c r="C541" s="1" t="s">
        <v>17</v>
      </c>
      <c r="D541" s="3">
        <f>VALUE("7884")</f>
        <v>7884</v>
      </c>
      <c r="E541" s="2">
        <f>DATEVALUE("1-11-2017")</f>
        <v>43040</v>
      </c>
      <c r="F541" s="2">
        <f>DATEVALUE("31-3-2021")</f>
        <v>44286</v>
      </c>
    </row>
    <row r="542" spans="1:6" x14ac:dyDescent="0.25">
      <c r="A542" s="1" t="s">
        <v>681</v>
      </c>
      <c r="B542" s="1" t="s">
        <v>680</v>
      </c>
      <c r="C542" s="1" t="s">
        <v>146</v>
      </c>
      <c r="D542" s="3">
        <f>VALUE("7884")</f>
        <v>7884</v>
      </c>
      <c r="E542" s="2">
        <f>DATEVALUE("1-11-2017")</f>
        <v>43040</v>
      </c>
      <c r="F542" s="2">
        <f>DATEVALUE("31-3-2021")</f>
        <v>44286</v>
      </c>
    </row>
    <row r="543" spans="1:6" x14ac:dyDescent="0.25">
      <c r="A543" s="1" t="s">
        <v>681</v>
      </c>
      <c r="B543" s="1" t="s">
        <v>680</v>
      </c>
      <c r="C543" s="1" t="s">
        <v>148</v>
      </c>
      <c r="D543" s="3">
        <f>VALUE("7884")</f>
        <v>7884</v>
      </c>
      <c r="E543" s="2">
        <f>DATEVALUE("1-11-2017")</f>
        <v>43040</v>
      </c>
      <c r="F543" s="2">
        <f>DATEVALUE("31-3-2021")</f>
        <v>44286</v>
      </c>
    </row>
    <row r="544" spans="1:6" x14ac:dyDescent="0.25">
      <c r="A544" s="1" t="s">
        <v>681</v>
      </c>
      <c r="B544" s="1" t="s">
        <v>680</v>
      </c>
      <c r="C544" s="1" t="s">
        <v>149</v>
      </c>
      <c r="D544" s="3">
        <f>VALUE("7884")</f>
        <v>7884</v>
      </c>
      <c r="E544" s="2">
        <f>DATEVALUE("1-11-2017")</f>
        <v>43040</v>
      </c>
      <c r="F544" s="2">
        <f>DATEVALUE("31-3-2021")</f>
        <v>44286</v>
      </c>
    </row>
    <row r="545" spans="1:6" x14ac:dyDescent="0.25">
      <c r="A545" s="1" t="s">
        <v>681</v>
      </c>
      <c r="B545" s="1" t="s">
        <v>680</v>
      </c>
      <c r="C545" s="1" t="s">
        <v>92</v>
      </c>
      <c r="D545" s="3">
        <f>VALUE("7884")</f>
        <v>7884</v>
      </c>
      <c r="E545" s="2">
        <f>DATEVALUE("1-11-2017")</f>
        <v>43040</v>
      </c>
      <c r="F545" s="2">
        <f>DATEVALUE("31-3-2021")</f>
        <v>44286</v>
      </c>
    </row>
    <row r="546" spans="1:6" x14ac:dyDescent="0.25">
      <c r="A546" s="1" t="s">
        <v>681</v>
      </c>
      <c r="B546" s="1" t="s">
        <v>802</v>
      </c>
      <c r="C546" s="1" t="s">
        <v>805</v>
      </c>
      <c r="D546" s="3">
        <f t="shared" ref="D546:D552" si="69">VALUE("8043")</f>
        <v>8043</v>
      </c>
      <c r="E546" s="2">
        <f t="shared" ref="E546:E552" si="70">DATEVALUE("1-7-2017")</f>
        <v>42917</v>
      </c>
      <c r="F546" s="2">
        <f t="shared" ref="F546:F552" si="71">DATEVALUE("31-1-2021")</f>
        <v>44227</v>
      </c>
    </row>
    <row r="547" spans="1:6" x14ac:dyDescent="0.25">
      <c r="A547" s="1" t="s">
        <v>681</v>
      </c>
      <c r="B547" s="1" t="s">
        <v>802</v>
      </c>
      <c r="C547" s="1" t="s">
        <v>85</v>
      </c>
      <c r="D547" s="3">
        <f t="shared" si="69"/>
        <v>8043</v>
      </c>
      <c r="E547" s="2">
        <f t="shared" si="70"/>
        <v>42917</v>
      </c>
      <c r="F547" s="2">
        <f t="shared" si="71"/>
        <v>44227</v>
      </c>
    </row>
    <row r="548" spans="1:6" x14ac:dyDescent="0.25">
      <c r="A548" s="1" t="s">
        <v>681</v>
      </c>
      <c r="B548" s="1" t="s">
        <v>802</v>
      </c>
      <c r="C548" s="1" t="s">
        <v>803</v>
      </c>
      <c r="D548" s="3">
        <f t="shared" si="69"/>
        <v>8043</v>
      </c>
      <c r="E548" s="2">
        <f t="shared" si="70"/>
        <v>42917</v>
      </c>
      <c r="F548" s="2">
        <f t="shared" si="71"/>
        <v>44227</v>
      </c>
    </row>
    <row r="549" spans="1:6" x14ac:dyDescent="0.25">
      <c r="A549" s="1" t="s">
        <v>681</v>
      </c>
      <c r="B549" s="1" t="s">
        <v>802</v>
      </c>
      <c r="C549" s="1" t="s">
        <v>84</v>
      </c>
      <c r="D549" s="3">
        <f t="shared" si="69"/>
        <v>8043</v>
      </c>
      <c r="E549" s="2">
        <f t="shared" si="70"/>
        <v>42917</v>
      </c>
      <c r="F549" s="2">
        <f t="shared" si="71"/>
        <v>44227</v>
      </c>
    </row>
    <row r="550" spans="1:6" x14ac:dyDescent="0.25">
      <c r="A550" s="1" t="s">
        <v>681</v>
      </c>
      <c r="B550" s="1" t="s">
        <v>802</v>
      </c>
      <c r="C550" s="1" t="s">
        <v>89</v>
      </c>
      <c r="D550" s="3">
        <f t="shared" si="69"/>
        <v>8043</v>
      </c>
      <c r="E550" s="2">
        <f t="shared" si="70"/>
        <v>42917</v>
      </c>
      <c r="F550" s="2">
        <f t="shared" si="71"/>
        <v>44227</v>
      </c>
    </row>
    <row r="551" spans="1:6" x14ac:dyDescent="0.25">
      <c r="A551" s="1" t="s">
        <v>681</v>
      </c>
      <c r="B551" s="1" t="s">
        <v>802</v>
      </c>
      <c r="C551" s="1" t="s">
        <v>17</v>
      </c>
      <c r="D551" s="3">
        <f t="shared" si="69"/>
        <v>8043</v>
      </c>
      <c r="E551" s="2">
        <f t="shared" si="70"/>
        <v>42917</v>
      </c>
      <c r="F551" s="2">
        <f t="shared" si="71"/>
        <v>44227</v>
      </c>
    </row>
    <row r="552" spans="1:6" x14ac:dyDescent="0.25">
      <c r="A552" s="1" t="s">
        <v>681</v>
      </c>
      <c r="B552" s="1" t="s">
        <v>802</v>
      </c>
      <c r="C552" s="1" t="s">
        <v>804</v>
      </c>
      <c r="D552" s="3">
        <f t="shared" si="69"/>
        <v>8043</v>
      </c>
      <c r="E552" s="2">
        <f t="shared" si="70"/>
        <v>42917</v>
      </c>
      <c r="F552" s="2">
        <f t="shared" si="71"/>
        <v>44227</v>
      </c>
    </row>
    <row r="553" spans="1:6" x14ac:dyDescent="0.25">
      <c r="A553" s="1" t="s">
        <v>681</v>
      </c>
      <c r="B553" s="1" t="s">
        <v>1756</v>
      </c>
      <c r="C553" s="1" t="s">
        <v>290</v>
      </c>
      <c r="D553" s="3">
        <f>VALUE("7990")</f>
        <v>7990</v>
      </c>
      <c r="E553" s="2">
        <f>DATEVALUE("1-2-2017")</f>
        <v>42767</v>
      </c>
      <c r="F553" s="2">
        <f>DATEVALUE("30-6-2020")</f>
        <v>44012</v>
      </c>
    </row>
    <row r="554" spans="1:6" x14ac:dyDescent="0.25">
      <c r="A554" s="1" t="s">
        <v>681</v>
      </c>
      <c r="B554" s="1" t="s">
        <v>1756</v>
      </c>
      <c r="C554" s="1" t="s">
        <v>89</v>
      </c>
      <c r="D554" s="3">
        <f>VALUE("7990")</f>
        <v>7990</v>
      </c>
      <c r="E554" s="2">
        <f>DATEVALUE("1-2-2017")</f>
        <v>42767</v>
      </c>
      <c r="F554" s="2">
        <f>DATEVALUE("30-6-2020")</f>
        <v>44012</v>
      </c>
    </row>
    <row r="555" spans="1:6" x14ac:dyDescent="0.25">
      <c r="A555" s="1" t="s">
        <v>681</v>
      </c>
      <c r="B555" s="1" t="s">
        <v>1756</v>
      </c>
      <c r="C555" s="1" t="s">
        <v>17</v>
      </c>
      <c r="D555" s="3">
        <f>VALUE("7990")</f>
        <v>7990</v>
      </c>
      <c r="E555" s="2">
        <f>DATEVALUE("1-2-2017")</f>
        <v>42767</v>
      </c>
      <c r="F555" s="2">
        <f>DATEVALUE("30-6-2020")</f>
        <v>44012</v>
      </c>
    </row>
    <row r="556" spans="1:6" x14ac:dyDescent="0.25">
      <c r="A556" s="1" t="s">
        <v>681</v>
      </c>
      <c r="B556" s="1" t="s">
        <v>1756</v>
      </c>
      <c r="C556" s="1" t="s">
        <v>128</v>
      </c>
      <c r="D556" s="3">
        <f>VALUE("7990")</f>
        <v>7990</v>
      </c>
      <c r="E556" s="2">
        <f>DATEVALUE("1-2-2017")</f>
        <v>42767</v>
      </c>
      <c r="F556" s="2">
        <f>DATEVALUE("30-6-2020")</f>
        <v>44012</v>
      </c>
    </row>
    <row r="557" spans="1:6" x14ac:dyDescent="0.25">
      <c r="A557" s="1" t="s">
        <v>681</v>
      </c>
      <c r="B557" s="1" t="s">
        <v>1756</v>
      </c>
      <c r="C557" s="1" t="s">
        <v>93</v>
      </c>
      <c r="D557" s="3">
        <f>VALUE("7990")</f>
        <v>7990</v>
      </c>
      <c r="E557" s="2">
        <f>DATEVALUE("1-2-2017")</f>
        <v>42767</v>
      </c>
      <c r="F557" s="2">
        <f>DATEVALUE("30-6-2020")</f>
        <v>44012</v>
      </c>
    </row>
    <row r="558" spans="1:6" x14ac:dyDescent="0.25">
      <c r="A558" s="1" t="s">
        <v>681</v>
      </c>
      <c r="B558" s="1" t="s">
        <v>2004</v>
      </c>
      <c r="C558" s="1" t="s">
        <v>85</v>
      </c>
      <c r="D558" s="3">
        <f>VALUE("7877")</f>
        <v>7877</v>
      </c>
      <c r="E558" s="2">
        <f>DATEVALUE("1-11-2016")</f>
        <v>42675</v>
      </c>
      <c r="F558" s="2">
        <f>DATEVALUE("30-6-2019")</f>
        <v>43646</v>
      </c>
    </row>
    <row r="559" spans="1:6" x14ac:dyDescent="0.25">
      <c r="A559" s="1" t="s">
        <v>681</v>
      </c>
      <c r="B559" s="1" t="s">
        <v>2004</v>
      </c>
      <c r="C559" s="1" t="s">
        <v>84</v>
      </c>
      <c r="D559" s="3">
        <f>VALUE("7877")</f>
        <v>7877</v>
      </c>
      <c r="E559" s="2">
        <f>DATEVALUE("1-11-2016")</f>
        <v>42675</v>
      </c>
      <c r="F559" s="2">
        <f>DATEVALUE("30-6-2019")</f>
        <v>43646</v>
      </c>
    </row>
    <row r="560" spans="1:6" x14ac:dyDescent="0.25">
      <c r="A560" s="1" t="s">
        <v>681</v>
      </c>
      <c r="B560" s="1" t="s">
        <v>727</v>
      </c>
      <c r="C560" s="1" t="s">
        <v>85</v>
      </c>
      <c r="D560" s="3">
        <f t="shared" ref="D560:D566" si="72">VALUE("7900")</f>
        <v>7900</v>
      </c>
      <c r="E560" s="2">
        <f t="shared" ref="E560:E566" si="73">DATEVALUE("1-7-2016")</f>
        <v>42552</v>
      </c>
      <c r="F560" s="2">
        <f t="shared" ref="F560:F566" si="74">DATEVALUE("31-12-2020")</f>
        <v>44196</v>
      </c>
    </row>
    <row r="561" spans="1:6" x14ac:dyDescent="0.25">
      <c r="A561" s="1" t="s">
        <v>681</v>
      </c>
      <c r="B561" s="1" t="s">
        <v>727</v>
      </c>
      <c r="C561" s="1" t="s">
        <v>17</v>
      </c>
      <c r="D561" s="3">
        <f t="shared" si="72"/>
        <v>7900</v>
      </c>
      <c r="E561" s="2">
        <f t="shared" si="73"/>
        <v>42552</v>
      </c>
      <c r="F561" s="2">
        <f t="shared" si="74"/>
        <v>44196</v>
      </c>
    </row>
    <row r="562" spans="1:6" x14ac:dyDescent="0.25">
      <c r="A562" s="1" t="s">
        <v>681</v>
      </c>
      <c r="B562" s="1" t="s">
        <v>727</v>
      </c>
      <c r="C562" s="1" t="s">
        <v>93</v>
      </c>
      <c r="D562" s="3">
        <f t="shared" si="72"/>
        <v>7900</v>
      </c>
      <c r="E562" s="2">
        <f t="shared" si="73"/>
        <v>42552</v>
      </c>
      <c r="F562" s="2">
        <f t="shared" si="74"/>
        <v>44196</v>
      </c>
    </row>
    <row r="563" spans="1:6" x14ac:dyDescent="0.25">
      <c r="A563" s="1" t="s">
        <v>681</v>
      </c>
      <c r="B563" s="1" t="s">
        <v>727</v>
      </c>
      <c r="C563" s="1" t="s">
        <v>129</v>
      </c>
      <c r="D563" s="3">
        <f t="shared" si="72"/>
        <v>7900</v>
      </c>
      <c r="E563" s="2">
        <f t="shared" si="73"/>
        <v>42552</v>
      </c>
      <c r="F563" s="2">
        <f t="shared" si="74"/>
        <v>44196</v>
      </c>
    </row>
    <row r="564" spans="1:6" x14ac:dyDescent="0.25">
      <c r="A564" s="1" t="s">
        <v>681</v>
      </c>
      <c r="B564" s="1" t="s">
        <v>727</v>
      </c>
      <c r="C564" s="1" t="s">
        <v>181</v>
      </c>
      <c r="D564" s="3">
        <f t="shared" si="72"/>
        <v>7900</v>
      </c>
      <c r="E564" s="2">
        <f t="shared" si="73"/>
        <v>42552</v>
      </c>
      <c r="F564" s="2">
        <f t="shared" si="74"/>
        <v>44196</v>
      </c>
    </row>
    <row r="565" spans="1:6" x14ac:dyDescent="0.25">
      <c r="A565" s="1" t="s">
        <v>681</v>
      </c>
      <c r="B565" s="1" t="s">
        <v>727</v>
      </c>
      <c r="C565" s="1" t="s">
        <v>130</v>
      </c>
      <c r="D565" s="3">
        <f t="shared" si="72"/>
        <v>7900</v>
      </c>
      <c r="E565" s="2">
        <f t="shared" si="73"/>
        <v>42552</v>
      </c>
      <c r="F565" s="2">
        <f t="shared" si="74"/>
        <v>44196</v>
      </c>
    </row>
    <row r="566" spans="1:6" x14ac:dyDescent="0.25">
      <c r="A566" s="1" t="s">
        <v>681</v>
      </c>
      <c r="B566" s="1" t="s">
        <v>727</v>
      </c>
      <c r="C566" s="1" t="s">
        <v>94</v>
      </c>
      <c r="D566" s="3">
        <f t="shared" si="72"/>
        <v>7900</v>
      </c>
      <c r="E566" s="2">
        <f t="shared" si="73"/>
        <v>42552</v>
      </c>
      <c r="F566" s="2">
        <f t="shared" si="74"/>
        <v>44196</v>
      </c>
    </row>
    <row r="567" spans="1:6" x14ac:dyDescent="0.25">
      <c r="A567" s="1" t="s">
        <v>681</v>
      </c>
      <c r="B567" s="1" t="s">
        <v>2197</v>
      </c>
      <c r="C567" s="1" t="s">
        <v>583</v>
      </c>
      <c r="D567" s="3">
        <f t="shared" ref="D567:D575" si="75">VALUE("7771")</f>
        <v>7771</v>
      </c>
      <c r="E567" s="2">
        <f t="shared" ref="E567:E575" si="76">DATEVALUE("1-6-2015")</f>
        <v>42156</v>
      </c>
      <c r="F567" s="2">
        <f t="shared" ref="F567:F575" si="77">DATEVALUE("31-12-2016")</f>
        <v>42735</v>
      </c>
    </row>
    <row r="568" spans="1:6" x14ac:dyDescent="0.25">
      <c r="A568" s="1" t="s">
        <v>681</v>
      </c>
      <c r="B568" s="1" t="s">
        <v>2197</v>
      </c>
      <c r="C568" s="1" t="s">
        <v>85</v>
      </c>
      <c r="D568" s="3">
        <f t="shared" si="75"/>
        <v>7771</v>
      </c>
      <c r="E568" s="2">
        <f t="shared" si="76"/>
        <v>42156</v>
      </c>
      <c r="F568" s="2">
        <f t="shared" si="77"/>
        <v>42735</v>
      </c>
    </row>
    <row r="569" spans="1:6" x14ac:dyDescent="0.25">
      <c r="A569" s="1" t="s">
        <v>681</v>
      </c>
      <c r="B569" s="1" t="s">
        <v>2197</v>
      </c>
      <c r="C569" s="1" t="s">
        <v>84</v>
      </c>
      <c r="D569" s="3">
        <f t="shared" si="75"/>
        <v>7771</v>
      </c>
      <c r="E569" s="2">
        <f t="shared" si="76"/>
        <v>42156</v>
      </c>
      <c r="F569" s="2">
        <f t="shared" si="77"/>
        <v>42735</v>
      </c>
    </row>
    <row r="570" spans="1:6" x14ac:dyDescent="0.25">
      <c r="A570" s="1" t="s">
        <v>681</v>
      </c>
      <c r="B570" s="1" t="s">
        <v>2197</v>
      </c>
      <c r="C570" s="1" t="s">
        <v>14</v>
      </c>
      <c r="D570" s="3">
        <f t="shared" si="75"/>
        <v>7771</v>
      </c>
      <c r="E570" s="2">
        <f t="shared" si="76"/>
        <v>42156</v>
      </c>
      <c r="F570" s="2">
        <f t="shared" si="77"/>
        <v>42735</v>
      </c>
    </row>
    <row r="571" spans="1:6" x14ac:dyDescent="0.25">
      <c r="A571" s="1" t="s">
        <v>681</v>
      </c>
      <c r="B571" s="1" t="s">
        <v>2197</v>
      </c>
      <c r="C571" s="1" t="s">
        <v>17</v>
      </c>
      <c r="D571" s="3">
        <f t="shared" si="75"/>
        <v>7771</v>
      </c>
      <c r="E571" s="2">
        <f t="shared" si="76"/>
        <v>42156</v>
      </c>
      <c r="F571" s="2">
        <f t="shared" si="77"/>
        <v>42735</v>
      </c>
    </row>
    <row r="572" spans="1:6" x14ac:dyDescent="0.25">
      <c r="A572" s="1" t="s">
        <v>681</v>
      </c>
      <c r="B572" s="1" t="s">
        <v>2197</v>
      </c>
      <c r="C572" s="1" t="s">
        <v>92</v>
      </c>
      <c r="D572" s="3">
        <f t="shared" si="75"/>
        <v>7771</v>
      </c>
      <c r="E572" s="2">
        <f t="shared" si="76"/>
        <v>42156</v>
      </c>
      <c r="F572" s="2">
        <f t="shared" si="77"/>
        <v>42735</v>
      </c>
    </row>
    <row r="573" spans="1:6" x14ac:dyDescent="0.25">
      <c r="A573" s="1" t="s">
        <v>681</v>
      </c>
      <c r="B573" s="1" t="s">
        <v>2197</v>
      </c>
      <c r="C573" s="1" t="s">
        <v>24</v>
      </c>
      <c r="D573" s="3">
        <f t="shared" si="75"/>
        <v>7771</v>
      </c>
      <c r="E573" s="2">
        <f t="shared" si="76"/>
        <v>42156</v>
      </c>
      <c r="F573" s="2">
        <f t="shared" si="77"/>
        <v>42735</v>
      </c>
    </row>
    <row r="574" spans="1:6" x14ac:dyDescent="0.25">
      <c r="A574" s="1" t="s">
        <v>681</v>
      </c>
      <c r="B574" s="1" t="s">
        <v>2197</v>
      </c>
      <c r="C574" s="1" t="s">
        <v>34</v>
      </c>
      <c r="D574" s="3">
        <f t="shared" si="75"/>
        <v>7771</v>
      </c>
      <c r="E574" s="2">
        <f t="shared" si="76"/>
        <v>42156</v>
      </c>
      <c r="F574" s="2">
        <f t="shared" si="77"/>
        <v>42735</v>
      </c>
    </row>
    <row r="575" spans="1:6" x14ac:dyDescent="0.25">
      <c r="A575" s="1" t="s">
        <v>681</v>
      </c>
      <c r="B575" s="1" t="s">
        <v>2197</v>
      </c>
      <c r="C575" s="1" t="s">
        <v>55</v>
      </c>
      <c r="D575" s="3">
        <f t="shared" si="75"/>
        <v>7771</v>
      </c>
      <c r="E575" s="2">
        <f t="shared" si="76"/>
        <v>42156</v>
      </c>
      <c r="F575" s="2">
        <f t="shared" si="77"/>
        <v>42735</v>
      </c>
    </row>
    <row r="576" spans="1:6" x14ac:dyDescent="0.25">
      <c r="A576" s="1" t="s">
        <v>681</v>
      </c>
      <c r="B576" s="1" t="s">
        <v>2156</v>
      </c>
      <c r="C576" s="1" t="s">
        <v>85</v>
      </c>
      <c r="D576" s="3">
        <f>VALUE("7528")</f>
        <v>7528</v>
      </c>
      <c r="E576" s="2">
        <f>DATEVALUE("1-11-2013")</f>
        <v>41579</v>
      </c>
      <c r="F576" s="2">
        <f>DATEVALUE("30-9-2016")</f>
        <v>42643</v>
      </c>
    </row>
    <row r="577" spans="1:6" x14ac:dyDescent="0.25">
      <c r="A577" s="1" t="s">
        <v>681</v>
      </c>
      <c r="B577" s="1" t="s">
        <v>2156</v>
      </c>
      <c r="C577" s="1" t="s">
        <v>17</v>
      </c>
      <c r="D577" s="3">
        <f>VALUE("7528")</f>
        <v>7528</v>
      </c>
      <c r="E577" s="2">
        <f>DATEVALUE("1-11-2013")</f>
        <v>41579</v>
      </c>
      <c r="F577" s="2">
        <f>DATEVALUE("30-9-2016")</f>
        <v>42643</v>
      </c>
    </row>
    <row r="578" spans="1:6" x14ac:dyDescent="0.25">
      <c r="A578" s="1" t="s">
        <v>681</v>
      </c>
      <c r="B578" s="1" t="s">
        <v>2156</v>
      </c>
      <c r="C578" s="1" t="s">
        <v>22</v>
      </c>
      <c r="D578" s="3">
        <f>VALUE("7528")</f>
        <v>7528</v>
      </c>
      <c r="E578" s="2">
        <f>DATEVALUE("1-11-2013")</f>
        <v>41579</v>
      </c>
      <c r="F578" s="2">
        <f>DATEVALUE("30-9-2016")</f>
        <v>42643</v>
      </c>
    </row>
    <row r="579" spans="1:6" x14ac:dyDescent="0.25">
      <c r="A579" s="1" t="s">
        <v>681</v>
      </c>
      <c r="B579" s="1" t="s">
        <v>2156</v>
      </c>
      <c r="C579" s="1" t="s">
        <v>148</v>
      </c>
      <c r="D579" s="3">
        <f>VALUE("7528")</f>
        <v>7528</v>
      </c>
      <c r="E579" s="2">
        <f>DATEVALUE("1-11-2013")</f>
        <v>41579</v>
      </c>
      <c r="F579" s="2">
        <f>DATEVALUE("30-9-2016")</f>
        <v>42643</v>
      </c>
    </row>
    <row r="580" spans="1:6" x14ac:dyDescent="0.25">
      <c r="A580" s="1" t="s">
        <v>681</v>
      </c>
      <c r="B580" s="1" t="s">
        <v>2156</v>
      </c>
      <c r="C580" s="1" t="s">
        <v>73</v>
      </c>
      <c r="D580" s="3">
        <f>VALUE("7528")</f>
        <v>7528</v>
      </c>
      <c r="E580" s="2">
        <f>DATEVALUE("1-11-2013")</f>
        <v>41579</v>
      </c>
      <c r="F580" s="2">
        <f>DATEVALUE("30-9-2016")</f>
        <v>42643</v>
      </c>
    </row>
    <row r="581" spans="1:6" x14ac:dyDescent="0.25">
      <c r="A581" s="1" t="s">
        <v>681</v>
      </c>
      <c r="B581" s="1" t="s">
        <v>1711</v>
      </c>
      <c r="C581" s="1" t="s">
        <v>46</v>
      </c>
      <c r="D581" s="3">
        <f>VALUE("7503")</f>
        <v>7503</v>
      </c>
      <c r="E581" s="2">
        <f>DATEVALUE("1-5-2013")</f>
        <v>41395</v>
      </c>
      <c r="F581" s="2">
        <f>DATEVALUE("31-8-2015")</f>
        <v>42247</v>
      </c>
    </row>
    <row r="582" spans="1:6" x14ac:dyDescent="0.25">
      <c r="A582" s="1" t="s">
        <v>681</v>
      </c>
      <c r="B582" s="1" t="s">
        <v>1711</v>
      </c>
      <c r="C582" s="1" t="s">
        <v>17</v>
      </c>
      <c r="D582" s="3">
        <f>VALUE("7503")</f>
        <v>7503</v>
      </c>
      <c r="E582" s="2">
        <f>DATEVALUE("1-5-2013")</f>
        <v>41395</v>
      </c>
      <c r="F582" s="2">
        <f>DATEVALUE("31-8-2015")</f>
        <v>42247</v>
      </c>
    </row>
    <row r="583" spans="1:6" x14ac:dyDescent="0.25">
      <c r="A583" s="1" t="s">
        <v>681</v>
      </c>
      <c r="B583" s="1" t="s">
        <v>1711</v>
      </c>
      <c r="C583" s="1" t="s">
        <v>48</v>
      </c>
      <c r="D583" s="3">
        <f>VALUE("7503")</f>
        <v>7503</v>
      </c>
      <c r="E583" s="2">
        <f>DATEVALUE("1-5-2013")</f>
        <v>41395</v>
      </c>
      <c r="F583" s="2">
        <f>DATEVALUE("31-8-2015")</f>
        <v>42247</v>
      </c>
    </row>
    <row r="584" spans="1:6" x14ac:dyDescent="0.25">
      <c r="A584" s="1" t="s">
        <v>681</v>
      </c>
      <c r="B584" s="1" t="s">
        <v>1711</v>
      </c>
      <c r="C584" s="1" t="s">
        <v>890</v>
      </c>
      <c r="D584" s="3">
        <f>VALUE("7503")</f>
        <v>7503</v>
      </c>
      <c r="E584" s="2">
        <f>DATEVALUE("1-5-2013")</f>
        <v>41395</v>
      </c>
      <c r="F584" s="2">
        <f>DATEVALUE("31-8-2015")</f>
        <v>42247</v>
      </c>
    </row>
    <row r="585" spans="1:6" x14ac:dyDescent="0.25">
      <c r="A585" s="1" t="s">
        <v>681</v>
      </c>
      <c r="B585" s="1" t="s">
        <v>2126</v>
      </c>
      <c r="C585" s="1" t="s">
        <v>125</v>
      </c>
      <c r="D585" s="3">
        <f t="shared" ref="D585:D597" si="78">VALUE("7285")</f>
        <v>7285</v>
      </c>
      <c r="E585" s="2">
        <f t="shared" ref="E585:E597" si="79">DATEVALUE("1-5-2012")</f>
        <v>41030</v>
      </c>
      <c r="F585" s="2">
        <f t="shared" ref="F585:F597" si="80">DATEVALUE("30-9-2017")</f>
        <v>43008</v>
      </c>
    </row>
    <row r="586" spans="1:6" x14ac:dyDescent="0.25">
      <c r="A586" s="1" t="s">
        <v>681</v>
      </c>
      <c r="B586" s="1" t="s">
        <v>2126</v>
      </c>
      <c r="C586" s="1" t="s">
        <v>126</v>
      </c>
      <c r="D586" s="3">
        <f t="shared" si="78"/>
        <v>7285</v>
      </c>
      <c r="E586" s="2">
        <f t="shared" si="79"/>
        <v>41030</v>
      </c>
      <c r="F586" s="2">
        <f t="shared" si="80"/>
        <v>43008</v>
      </c>
    </row>
    <row r="587" spans="1:6" x14ac:dyDescent="0.25">
      <c r="A587" s="1" t="s">
        <v>681</v>
      </c>
      <c r="B587" s="1" t="s">
        <v>2126</v>
      </c>
      <c r="C587" s="1" t="s">
        <v>85</v>
      </c>
      <c r="D587" s="3">
        <f t="shared" si="78"/>
        <v>7285</v>
      </c>
      <c r="E587" s="2">
        <f t="shared" si="79"/>
        <v>41030</v>
      </c>
      <c r="F587" s="2">
        <f t="shared" si="80"/>
        <v>43008</v>
      </c>
    </row>
    <row r="588" spans="1:6" x14ac:dyDescent="0.25">
      <c r="A588" s="1" t="s">
        <v>681</v>
      </c>
      <c r="B588" s="1" t="s">
        <v>2126</v>
      </c>
      <c r="C588" s="1" t="s">
        <v>89</v>
      </c>
      <c r="D588" s="3">
        <f t="shared" si="78"/>
        <v>7285</v>
      </c>
      <c r="E588" s="2">
        <f t="shared" si="79"/>
        <v>41030</v>
      </c>
      <c r="F588" s="2">
        <f t="shared" si="80"/>
        <v>43008</v>
      </c>
    </row>
    <row r="589" spans="1:6" x14ac:dyDescent="0.25">
      <c r="A589" s="1" t="s">
        <v>681</v>
      </c>
      <c r="B589" s="1" t="s">
        <v>2126</v>
      </c>
      <c r="C589" s="1" t="s">
        <v>17</v>
      </c>
      <c r="D589" s="3">
        <f t="shared" si="78"/>
        <v>7285</v>
      </c>
      <c r="E589" s="2">
        <f t="shared" si="79"/>
        <v>41030</v>
      </c>
      <c r="F589" s="2">
        <f t="shared" si="80"/>
        <v>43008</v>
      </c>
    </row>
    <row r="590" spans="1:6" x14ac:dyDescent="0.25">
      <c r="A590" s="1" t="s">
        <v>681</v>
      </c>
      <c r="B590" s="1" t="s">
        <v>2126</v>
      </c>
      <c r="C590" s="1" t="s">
        <v>148</v>
      </c>
      <c r="D590" s="3">
        <f t="shared" si="78"/>
        <v>7285</v>
      </c>
      <c r="E590" s="2">
        <f t="shared" si="79"/>
        <v>41030</v>
      </c>
      <c r="F590" s="2">
        <f t="shared" si="80"/>
        <v>43008</v>
      </c>
    </row>
    <row r="591" spans="1:6" x14ac:dyDescent="0.25">
      <c r="A591" s="1" t="s">
        <v>681</v>
      </c>
      <c r="B591" s="1" t="s">
        <v>2126</v>
      </c>
      <c r="C591" s="1" t="s">
        <v>149</v>
      </c>
      <c r="D591" s="3">
        <f t="shared" si="78"/>
        <v>7285</v>
      </c>
      <c r="E591" s="2">
        <f t="shared" si="79"/>
        <v>41030</v>
      </c>
      <c r="F591" s="2">
        <f t="shared" si="80"/>
        <v>43008</v>
      </c>
    </row>
    <row r="592" spans="1:6" x14ac:dyDescent="0.25">
      <c r="A592" s="1" t="s">
        <v>681</v>
      </c>
      <c r="B592" s="1" t="s">
        <v>2126</v>
      </c>
      <c r="C592" s="1" t="s">
        <v>93</v>
      </c>
      <c r="D592" s="3">
        <f t="shared" si="78"/>
        <v>7285</v>
      </c>
      <c r="E592" s="2">
        <f t="shared" si="79"/>
        <v>41030</v>
      </c>
      <c r="F592" s="2">
        <f t="shared" si="80"/>
        <v>43008</v>
      </c>
    </row>
    <row r="593" spans="1:6" x14ac:dyDescent="0.25">
      <c r="A593" s="1" t="s">
        <v>681</v>
      </c>
      <c r="B593" s="1" t="s">
        <v>2126</v>
      </c>
      <c r="C593" s="1" t="s">
        <v>129</v>
      </c>
      <c r="D593" s="3">
        <f t="shared" si="78"/>
        <v>7285</v>
      </c>
      <c r="E593" s="2">
        <f t="shared" si="79"/>
        <v>41030</v>
      </c>
      <c r="F593" s="2">
        <f t="shared" si="80"/>
        <v>43008</v>
      </c>
    </row>
    <row r="594" spans="1:6" x14ac:dyDescent="0.25">
      <c r="A594" s="1" t="s">
        <v>681</v>
      </c>
      <c r="B594" s="1" t="s">
        <v>2126</v>
      </c>
      <c r="C594" s="1" t="s">
        <v>181</v>
      </c>
      <c r="D594" s="3">
        <f t="shared" si="78"/>
        <v>7285</v>
      </c>
      <c r="E594" s="2">
        <f t="shared" si="79"/>
        <v>41030</v>
      </c>
      <c r="F594" s="2">
        <f t="shared" si="80"/>
        <v>43008</v>
      </c>
    </row>
    <row r="595" spans="1:6" x14ac:dyDescent="0.25">
      <c r="A595" s="1" t="s">
        <v>681</v>
      </c>
      <c r="B595" s="1" t="s">
        <v>2126</v>
      </c>
      <c r="C595" s="1" t="s">
        <v>176</v>
      </c>
      <c r="D595" s="3">
        <f t="shared" si="78"/>
        <v>7285</v>
      </c>
      <c r="E595" s="2">
        <f t="shared" si="79"/>
        <v>41030</v>
      </c>
      <c r="F595" s="2">
        <f t="shared" si="80"/>
        <v>43008</v>
      </c>
    </row>
    <row r="596" spans="1:6" x14ac:dyDescent="0.25">
      <c r="A596" s="1" t="s">
        <v>681</v>
      </c>
      <c r="B596" s="1" t="s">
        <v>2126</v>
      </c>
      <c r="C596" s="1" t="s">
        <v>133</v>
      </c>
      <c r="D596" s="3">
        <f t="shared" si="78"/>
        <v>7285</v>
      </c>
      <c r="E596" s="2">
        <f t="shared" si="79"/>
        <v>41030</v>
      </c>
      <c r="F596" s="2">
        <f t="shared" si="80"/>
        <v>43008</v>
      </c>
    </row>
    <row r="597" spans="1:6" x14ac:dyDescent="0.25">
      <c r="A597" s="1" t="s">
        <v>681</v>
      </c>
      <c r="B597" s="1" t="s">
        <v>2126</v>
      </c>
      <c r="C597" s="1" t="s">
        <v>134</v>
      </c>
      <c r="D597" s="3">
        <f t="shared" si="78"/>
        <v>7285</v>
      </c>
      <c r="E597" s="2">
        <f t="shared" si="79"/>
        <v>41030</v>
      </c>
      <c r="F597" s="2">
        <f t="shared" si="80"/>
        <v>43008</v>
      </c>
    </row>
    <row r="598" spans="1:6" x14ac:dyDescent="0.25">
      <c r="A598" s="1" t="s">
        <v>681</v>
      </c>
      <c r="B598" s="1" t="s">
        <v>2123</v>
      </c>
      <c r="C598" s="1" t="s">
        <v>85</v>
      </c>
      <c r="D598" s="3">
        <f>VALUE("7270")</f>
        <v>7270</v>
      </c>
      <c r="E598" s="2">
        <f>DATEVALUE("1-2-2012")</f>
        <v>40940</v>
      </c>
      <c r="F598" s="2">
        <f>DATEVALUE("31-12-2016")</f>
        <v>42735</v>
      </c>
    </row>
    <row r="599" spans="1:6" x14ac:dyDescent="0.25">
      <c r="A599" s="1" t="s">
        <v>681</v>
      </c>
      <c r="B599" s="1" t="s">
        <v>2123</v>
      </c>
      <c r="C599" s="1" t="s">
        <v>84</v>
      </c>
      <c r="D599" s="3">
        <f>VALUE("7270")</f>
        <v>7270</v>
      </c>
      <c r="E599" s="2">
        <f>DATEVALUE("1-2-2012")</f>
        <v>40940</v>
      </c>
      <c r="F599" s="2">
        <f>DATEVALUE("31-12-2016")</f>
        <v>42735</v>
      </c>
    </row>
    <row r="600" spans="1:6" x14ac:dyDescent="0.25">
      <c r="A600" s="1" t="s">
        <v>681</v>
      </c>
      <c r="B600" s="1" t="s">
        <v>2634</v>
      </c>
      <c r="C600" s="1" t="s">
        <v>85</v>
      </c>
      <c r="D600" s="3">
        <f>VALUE("7255")</f>
        <v>7255</v>
      </c>
      <c r="E600" s="2">
        <f>DATEVALUE("1-10-2011")</f>
        <v>40817</v>
      </c>
      <c r="F600" s="2">
        <f>DATEVALUE("30-9-2012")</f>
        <v>41182</v>
      </c>
    </row>
    <row r="601" spans="1:6" x14ac:dyDescent="0.25">
      <c r="A601" s="1" t="s">
        <v>681</v>
      </c>
      <c r="B601" s="1" t="s">
        <v>2593</v>
      </c>
      <c r="C601" s="1" t="s">
        <v>85</v>
      </c>
      <c r="D601" s="3">
        <f>VALUE("7167")</f>
        <v>7167</v>
      </c>
      <c r="E601" s="2">
        <f>DATEVALUE("1-3-2011")</f>
        <v>40603</v>
      </c>
      <c r="F601" s="2">
        <f>DATEVALUE("30-6-2013")</f>
        <v>41455</v>
      </c>
    </row>
    <row r="602" spans="1:6" x14ac:dyDescent="0.25">
      <c r="A602" s="1" t="s">
        <v>681</v>
      </c>
      <c r="B602" s="1" t="s">
        <v>2593</v>
      </c>
      <c r="C602" s="1" t="s">
        <v>93</v>
      </c>
      <c r="D602" s="3">
        <f>VALUE("7167")</f>
        <v>7167</v>
      </c>
      <c r="E602" s="2">
        <f>DATEVALUE("1-3-2011")</f>
        <v>40603</v>
      </c>
      <c r="F602" s="2">
        <f>DATEVALUE("30-6-2013")</f>
        <v>41455</v>
      </c>
    </row>
    <row r="603" spans="1:6" x14ac:dyDescent="0.25">
      <c r="A603" s="1" t="s">
        <v>681</v>
      </c>
      <c r="B603" s="1" t="s">
        <v>2593</v>
      </c>
      <c r="C603" s="1" t="s">
        <v>129</v>
      </c>
      <c r="D603" s="3">
        <f>VALUE("7167")</f>
        <v>7167</v>
      </c>
      <c r="E603" s="2">
        <f>DATEVALUE("1-3-2011")</f>
        <v>40603</v>
      </c>
      <c r="F603" s="2">
        <f>DATEVALUE("30-6-2013")</f>
        <v>41455</v>
      </c>
    </row>
    <row r="604" spans="1:6" x14ac:dyDescent="0.25">
      <c r="A604" s="1" t="s">
        <v>681</v>
      </c>
      <c r="B604" s="1" t="s">
        <v>2593</v>
      </c>
      <c r="C604" s="1" t="s">
        <v>177</v>
      </c>
      <c r="D604" s="3">
        <f>VALUE("7167")</f>
        <v>7167</v>
      </c>
      <c r="E604" s="2">
        <f>DATEVALUE("1-3-2011")</f>
        <v>40603</v>
      </c>
      <c r="F604" s="2">
        <f>DATEVALUE("30-6-2013")</f>
        <v>41455</v>
      </c>
    </row>
    <row r="605" spans="1:6" x14ac:dyDescent="0.25">
      <c r="A605" s="1" t="s">
        <v>681</v>
      </c>
      <c r="B605" s="1" t="s">
        <v>2593</v>
      </c>
      <c r="C605" s="1" t="s">
        <v>130</v>
      </c>
      <c r="D605" s="3">
        <f>VALUE("7167")</f>
        <v>7167</v>
      </c>
      <c r="E605" s="2">
        <f>DATEVALUE("1-3-2011")</f>
        <v>40603</v>
      </c>
      <c r="F605" s="2">
        <f>DATEVALUE("30-6-2013")</f>
        <v>41455</v>
      </c>
    </row>
    <row r="606" spans="1:6" x14ac:dyDescent="0.25">
      <c r="A606" s="1" t="s">
        <v>681</v>
      </c>
      <c r="B606" s="1" t="s">
        <v>1870</v>
      </c>
      <c r="C606" s="1" t="s">
        <v>80</v>
      </c>
      <c r="D606" s="3">
        <f t="shared" ref="D606:D617" si="81">VALUE("7084")</f>
        <v>7084</v>
      </c>
      <c r="E606" s="2">
        <f t="shared" ref="E606:E617" si="82">DATEVALUE("1-7-2010")</f>
        <v>40360</v>
      </c>
      <c r="F606" s="2">
        <f t="shared" ref="F606:F617" si="83">DATEVALUE("31-1-2015")</f>
        <v>42035</v>
      </c>
    </row>
    <row r="607" spans="1:6" x14ac:dyDescent="0.25">
      <c r="A607" s="1" t="s">
        <v>681</v>
      </c>
      <c r="B607" s="1" t="s">
        <v>1870</v>
      </c>
      <c r="C607" s="1" t="s">
        <v>39</v>
      </c>
      <c r="D607" s="3">
        <f t="shared" si="81"/>
        <v>7084</v>
      </c>
      <c r="E607" s="2">
        <f t="shared" si="82"/>
        <v>40360</v>
      </c>
      <c r="F607" s="2">
        <f t="shared" si="83"/>
        <v>42035</v>
      </c>
    </row>
    <row r="608" spans="1:6" x14ac:dyDescent="0.25">
      <c r="A608" s="1" t="s">
        <v>681</v>
      </c>
      <c r="B608" s="1" t="s">
        <v>1870</v>
      </c>
      <c r="C608" s="1" t="s">
        <v>85</v>
      </c>
      <c r="D608" s="3">
        <f t="shared" si="81"/>
        <v>7084</v>
      </c>
      <c r="E608" s="2">
        <f t="shared" si="82"/>
        <v>40360</v>
      </c>
      <c r="F608" s="2">
        <f t="shared" si="83"/>
        <v>42035</v>
      </c>
    </row>
    <row r="609" spans="1:6" x14ac:dyDescent="0.25">
      <c r="A609" s="1" t="s">
        <v>681</v>
      </c>
      <c r="B609" s="1" t="s">
        <v>1870</v>
      </c>
      <c r="C609" s="1" t="s">
        <v>93</v>
      </c>
      <c r="D609" s="3">
        <f t="shared" si="81"/>
        <v>7084</v>
      </c>
      <c r="E609" s="2">
        <f t="shared" si="82"/>
        <v>40360</v>
      </c>
      <c r="F609" s="2">
        <f t="shared" si="83"/>
        <v>42035</v>
      </c>
    </row>
    <row r="610" spans="1:6" x14ac:dyDescent="0.25">
      <c r="A610" s="1" t="s">
        <v>681</v>
      </c>
      <c r="B610" s="1" t="s">
        <v>1870</v>
      </c>
      <c r="C610" s="1" t="s">
        <v>129</v>
      </c>
      <c r="D610" s="3">
        <f t="shared" si="81"/>
        <v>7084</v>
      </c>
      <c r="E610" s="2">
        <f t="shared" si="82"/>
        <v>40360</v>
      </c>
      <c r="F610" s="2">
        <f t="shared" si="83"/>
        <v>42035</v>
      </c>
    </row>
    <row r="611" spans="1:6" x14ac:dyDescent="0.25">
      <c r="A611" s="1" t="s">
        <v>681</v>
      </c>
      <c r="B611" s="1" t="s">
        <v>1870</v>
      </c>
      <c r="C611" s="1" t="s">
        <v>177</v>
      </c>
      <c r="D611" s="3">
        <f t="shared" si="81"/>
        <v>7084</v>
      </c>
      <c r="E611" s="2">
        <f t="shared" si="82"/>
        <v>40360</v>
      </c>
      <c r="F611" s="2">
        <f t="shared" si="83"/>
        <v>42035</v>
      </c>
    </row>
    <row r="612" spans="1:6" x14ac:dyDescent="0.25">
      <c r="A612" s="1" t="s">
        <v>681</v>
      </c>
      <c r="B612" s="1" t="s">
        <v>1870</v>
      </c>
      <c r="C612" s="1" t="s">
        <v>130</v>
      </c>
      <c r="D612" s="3">
        <f t="shared" si="81"/>
        <v>7084</v>
      </c>
      <c r="E612" s="2">
        <f t="shared" si="82"/>
        <v>40360</v>
      </c>
      <c r="F612" s="2">
        <f t="shared" si="83"/>
        <v>42035</v>
      </c>
    </row>
    <row r="613" spans="1:6" x14ac:dyDescent="0.25">
      <c r="A613" s="1" t="s">
        <v>681</v>
      </c>
      <c r="B613" s="1" t="s">
        <v>1870</v>
      </c>
      <c r="C613" s="1" t="s">
        <v>73</v>
      </c>
      <c r="D613" s="3">
        <f t="shared" si="81"/>
        <v>7084</v>
      </c>
      <c r="E613" s="2">
        <f t="shared" si="82"/>
        <v>40360</v>
      </c>
      <c r="F613" s="2">
        <f t="shared" si="83"/>
        <v>42035</v>
      </c>
    </row>
    <row r="614" spans="1:6" x14ac:dyDescent="0.25">
      <c r="A614" s="1" t="s">
        <v>681</v>
      </c>
      <c r="B614" s="1" t="s">
        <v>1870</v>
      </c>
      <c r="C614" s="1" t="s">
        <v>106</v>
      </c>
      <c r="D614" s="3">
        <f t="shared" si="81"/>
        <v>7084</v>
      </c>
      <c r="E614" s="2">
        <f t="shared" si="82"/>
        <v>40360</v>
      </c>
      <c r="F614" s="2">
        <f t="shared" si="83"/>
        <v>42035</v>
      </c>
    </row>
    <row r="615" spans="1:6" x14ac:dyDescent="0.25">
      <c r="A615" s="1" t="s">
        <v>681</v>
      </c>
      <c r="B615" s="1" t="s">
        <v>1870</v>
      </c>
      <c r="C615" s="1" t="s">
        <v>113</v>
      </c>
      <c r="D615" s="3">
        <f t="shared" si="81"/>
        <v>7084</v>
      </c>
      <c r="E615" s="2">
        <f t="shared" si="82"/>
        <v>40360</v>
      </c>
      <c r="F615" s="2">
        <f t="shared" si="83"/>
        <v>42035</v>
      </c>
    </row>
    <row r="616" spans="1:6" x14ac:dyDescent="0.25">
      <c r="A616" s="1" t="s">
        <v>681</v>
      </c>
      <c r="B616" s="1" t="s">
        <v>1870</v>
      </c>
      <c r="C616" s="1" t="s">
        <v>116</v>
      </c>
      <c r="D616" s="3">
        <f t="shared" si="81"/>
        <v>7084</v>
      </c>
      <c r="E616" s="2">
        <f t="shared" si="82"/>
        <v>40360</v>
      </c>
      <c r="F616" s="2">
        <f t="shared" si="83"/>
        <v>42035</v>
      </c>
    </row>
    <row r="617" spans="1:6" x14ac:dyDescent="0.25">
      <c r="A617" s="1" t="s">
        <v>681</v>
      </c>
      <c r="B617" s="1" t="s">
        <v>1870</v>
      </c>
      <c r="C617" s="1" t="s">
        <v>57</v>
      </c>
      <c r="D617" s="3">
        <f t="shared" si="81"/>
        <v>7084</v>
      </c>
      <c r="E617" s="2">
        <f t="shared" si="82"/>
        <v>40360</v>
      </c>
      <c r="F617" s="2">
        <f t="shared" si="83"/>
        <v>42035</v>
      </c>
    </row>
    <row r="618" spans="1:6" x14ac:dyDescent="0.25">
      <c r="A618" s="1" t="s">
        <v>681</v>
      </c>
      <c r="B618" s="1" t="s">
        <v>2536</v>
      </c>
      <c r="C618" s="1" t="s">
        <v>85</v>
      </c>
      <c r="D618" s="3">
        <f>VALUE("6110")</f>
        <v>6110</v>
      </c>
      <c r="E618" s="2">
        <f>DATEVALUE("1-8-2008")</f>
        <v>39661</v>
      </c>
      <c r="F618" s="2">
        <f t="shared" ref="F618:F665" si="84">DATEVALUE("31-12-2011")</f>
        <v>40908</v>
      </c>
    </row>
    <row r="619" spans="1:6" x14ac:dyDescent="0.25">
      <c r="A619" s="1" t="s">
        <v>681</v>
      </c>
      <c r="B619" s="1" t="s">
        <v>2536</v>
      </c>
      <c r="C619" s="1" t="s">
        <v>93</v>
      </c>
      <c r="D619" s="3">
        <f>VALUE("6110")</f>
        <v>6110</v>
      </c>
      <c r="E619" s="2">
        <f>DATEVALUE("1-8-2008")</f>
        <v>39661</v>
      </c>
      <c r="F619" s="2">
        <f t="shared" si="84"/>
        <v>40908</v>
      </c>
    </row>
    <row r="620" spans="1:6" x14ac:dyDescent="0.25">
      <c r="A620" s="1" t="s">
        <v>681</v>
      </c>
      <c r="B620" s="1" t="s">
        <v>2536</v>
      </c>
      <c r="C620" s="1" t="s">
        <v>129</v>
      </c>
      <c r="D620" s="3">
        <f>VALUE("6110")</f>
        <v>6110</v>
      </c>
      <c r="E620" s="2">
        <f>DATEVALUE("1-8-2008")</f>
        <v>39661</v>
      </c>
      <c r="F620" s="2">
        <f t="shared" si="84"/>
        <v>40908</v>
      </c>
    </row>
    <row r="621" spans="1:6" x14ac:dyDescent="0.25">
      <c r="A621" s="1" t="s">
        <v>681</v>
      </c>
      <c r="B621" s="1" t="s">
        <v>2536</v>
      </c>
      <c r="C621" s="1" t="s">
        <v>177</v>
      </c>
      <c r="D621" s="3">
        <f>VALUE("6110")</f>
        <v>6110</v>
      </c>
      <c r="E621" s="2">
        <f>DATEVALUE("1-8-2008")</f>
        <v>39661</v>
      </c>
      <c r="F621" s="2">
        <f t="shared" si="84"/>
        <v>40908</v>
      </c>
    </row>
    <row r="622" spans="1:6" x14ac:dyDescent="0.25">
      <c r="A622" s="1" t="s">
        <v>681</v>
      </c>
      <c r="B622" s="1" t="s">
        <v>2536</v>
      </c>
      <c r="C622" s="1" t="s">
        <v>130</v>
      </c>
      <c r="D622" s="3">
        <f>VALUE("6110")</f>
        <v>6110</v>
      </c>
      <c r="E622" s="2">
        <f>DATEVALUE("1-8-2008")</f>
        <v>39661</v>
      </c>
      <c r="F622" s="2">
        <f t="shared" si="84"/>
        <v>40908</v>
      </c>
    </row>
    <row r="623" spans="1:6" x14ac:dyDescent="0.25">
      <c r="A623" s="1" t="s">
        <v>2542</v>
      </c>
      <c r="B623" s="1" t="s">
        <v>2541</v>
      </c>
      <c r="C623" s="1" t="s">
        <v>78</v>
      </c>
      <c r="D623" s="3">
        <f t="shared" ref="D623:D665" si="85">VALUE("6136")</f>
        <v>6136</v>
      </c>
      <c r="E623" s="2">
        <f t="shared" ref="E623:E665" si="86">DATEVALUE("1-1-2009")</f>
        <v>39814</v>
      </c>
      <c r="F623" s="2">
        <f t="shared" si="84"/>
        <v>40908</v>
      </c>
    </row>
    <row r="624" spans="1:6" x14ac:dyDescent="0.25">
      <c r="A624" s="1" t="s">
        <v>2542</v>
      </c>
      <c r="B624" s="1" t="s">
        <v>2541</v>
      </c>
      <c r="C624" s="1" t="s">
        <v>79</v>
      </c>
      <c r="D624" s="3">
        <f t="shared" si="85"/>
        <v>6136</v>
      </c>
      <c r="E624" s="2">
        <f t="shared" si="86"/>
        <v>39814</v>
      </c>
      <c r="F624" s="2">
        <f t="shared" si="84"/>
        <v>40908</v>
      </c>
    </row>
    <row r="625" spans="1:6" x14ac:dyDescent="0.25">
      <c r="A625" s="1" t="s">
        <v>2542</v>
      </c>
      <c r="B625" s="1" t="s">
        <v>2541</v>
      </c>
      <c r="C625" s="1" t="s">
        <v>80</v>
      </c>
      <c r="D625" s="3">
        <f t="shared" si="85"/>
        <v>6136</v>
      </c>
      <c r="E625" s="2">
        <f t="shared" si="86"/>
        <v>39814</v>
      </c>
      <c r="F625" s="2">
        <f t="shared" si="84"/>
        <v>40908</v>
      </c>
    </row>
    <row r="626" spans="1:6" x14ac:dyDescent="0.25">
      <c r="A626" s="1" t="s">
        <v>2542</v>
      </c>
      <c r="B626" s="1" t="s">
        <v>2541</v>
      </c>
      <c r="C626" s="1" t="s">
        <v>39</v>
      </c>
      <c r="D626" s="3">
        <f t="shared" si="85"/>
        <v>6136</v>
      </c>
      <c r="E626" s="2">
        <f t="shared" si="86"/>
        <v>39814</v>
      </c>
      <c r="F626" s="2">
        <f t="shared" si="84"/>
        <v>40908</v>
      </c>
    </row>
    <row r="627" spans="1:6" x14ac:dyDescent="0.25">
      <c r="A627" s="1" t="s">
        <v>2542</v>
      </c>
      <c r="B627" s="1" t="s">
        <v>2541</v>
      </c>
      <c r="C627" s="1" t="s">
        <v>60</v>
      </c>
      <c r="D627" s="3">
        <f t="shared" si="85"/>
        <v>6136</v>
      </c>
      <c r="E627" s="2">
        <f t="shared" si="86"/>
        <v>39814</v>
      </c>
      <c r="F627" s="2">
        <f t="shared" si="84"/>
        <v>40908</v>
      </c>
    </row>
    <row r="628" spans="1:6" x14ac:dyDescent="0.25">
      <c r="A628" s="1" t="s">
        <v>2542</v>
      </c>
      <c r="B628" s="1" t="s">
        <v>2541</v>
      </c>
      <c r="C628" s="1" t="s">
        <v>82</v>
      </c>
      <c r="D628" s="3">
        <f t="shared" si="85"/>
        <v>6136</v>
      </c>
      <c r="E628" s="2">
        <f t="shared" si="86"/>
        <v>39814</v>
      </c>
      <c r="F628" s="2">
        <f t="shared" si="84"/>
        <v>40908</v>
      </c>
    </row>
    <row r="629" spans="1:6" x14ac:dyDescent="0.25">
      <c r="A629" s="1" t="s">
        <v>2542</v>
      </c>
      <c r="B629" s="1" t="s">
        <v>2541</v>
      </c>
      <c r="C629" s="1" t="s">
        <v>42</v>
      </c>
      <c r="D629" s="3">
        <f t="shared" si="85"/>
        <v>6136</v>
      </c>
      <c r="E629" s="2">
        <f t="shared" si="86"/>
        <v>39814</v>
      </c>
      <c r="F629" s="2">
        <f t="shared" si="84"/>
        <v>40908</v>
      </c>
    </row>
    <row r="630" spans="1:6" x14ac:dyDescent="0.25">
      <c r="A630" s="1" t="s">
        <v>2542</v>
      </c>
      <c r="B630" s="1" t="s">
        <v>2541</v>
      </c>
      <c r="C630" s="1" t="s">
        <v>8</v>
      </c>
      <c r="D630" s="3">
        <f t="shared" si="85"/>
        <v>6136</v>
      </c>
      <c r="E630" s="2">
        <f t="shared" si="86"/>
        <v>39814</v>
      </c>
      <c r="F630" s="2">
        <f t="shared" si="84"/>
        <v>40908</v>
      </c>
    </row>
    <row r="631" spans="1:6" x14ac:dyDescent="0.25">
      <c r="A631" s="1" t="s">
        <v>2542</v>
      </c>
      <c r="B631" s="1" t="s">
        <v>2541</v>
      </c>
      <c r="C631" s="1" t="s">
        <v>10</v>
      </c>
      <c r="D631" s="3">
        <f t="shared" si="85"/>
        <v>6136</v>
      </c>
      <c r="E631" s="2">
        <f t="shared" si="86"/>
        <v>39814</v>
      </c>
      <c r="F631" s="2">
        <f t="shared" si="84"/>
        <v>40908</v>
      </c>
    </row>
    <row r="632" spans="1:6" x14ac:dyDescent="0.25">
      <c r="A632" s="1" t="s">
        <v>2542</v>
      </c>
      <c r="B632" s="1" t="s">
        <v>2541</v>
      </c>
      <c r="C632" s="1" t="s">
        <v>11</v>
      </c>
      <c r="D632" s="3">
        <f t="shared" si="85"/>
        <v>6136</v>
      </c>
      <c r="E632" s="2">
        <f t="shared" si="86"/>
        <v>39814</v>
      </c>
      <c r="F632" s="2">
        <f t="shared" si="84"/>
        <v>40908</v>
      </c>
    </row>
    <row r="633" spans="1:6" x14ac:dyDescent="0.25">
      <c r="A633" s="1" t="s">
        <v>2542</v>
      </c>
      <c r="B633" s="1" t="s">
        <v>2541</v>
      </c>
      <c r="C633" s="1" t="s">
        <v>12</v>
      </c>
      <c r="D633" s="3">
        <f t="shared" si="85"/>
        <v>6136</v>
      </c>
      <c r="E633" s="2">
        <f t="shared" si="86"/>
        <v>39814</v>
      </c>
      <c r="F633" s="2">
        <f t="shared" si="84"/>
        <v>40908</v>
      </c>
    </row>
    <row r="634" spans="1:6" x14ac:dyDescent="0.25">
      <c r="A634" s="1" t="s">
        <v>2542</v>
      </c>
      <c r="B634" s="1" t="s">
        <v>2541</v>
      </c>
      <c r="C634" s="1" t="s">
        <v>83</v>
      </c>
      <c r="D634" s="3">
        <f t="shared" si="85"/>
        <v>6136</v>
      </c>
      <c r="E634" s="2">
        <f t="shared" si="86"/>
        <v>39814</v>
      </c>
      <c r="F634" s="2">
        <f t="shared" si="84"/>
        <v>40908</v>
      </c>
    </row>
    <row r="635" spans="1:6" x14ac:dyDescent="0.25">
      <c r="A635" s="1" t="s">
        <v>2542</v>
      </c>
      <c r="B635" s="1" t="s">
        <v>2541</v>
      </c>
      <c r="C635" s="1" t="s">
        <v>43</v>
      </c>
      <c r="D635" s="3">
        <f t="shared" si="85"/>
        <v>6136</v>
      </c>
      <c r="E635" s="2">
        <f t="shared" si="86"/>
        <v>39814</v>
      </c>
      <c r="F635" s="2">
        <f t="shared" si="84"/>
        <v>40908</v>
      </c>
    </row>
    <row r="636" spans="1:6" x14ac:dyDescent="0.25">
      <c r="A636" s="1" t="s">
        <v>2542</v>
      </c>
      <c r="B636" s="1" t="s">
        <v>2541</v>
      </c>
      <c r="C636" s="1" t="s">
        <v>46</v>
      </c>
      <c r="D636" s="3">
        <f t="shared" si="85"/>
        <v>6136</v>
      </c>
      <c r="E636" s="2">
        <f t="shared" si="86"/>
        <v>39814</v>
      </c>
      <c r="F636" s="2">
        <f t="shared" si="84"/>
        <v>40908</v>
      </c>
    </row>
    <row r="637" spans="1:6" x14ac:dyDescent="0.25">
      <c r="A637" s="1" t="s">
        <v>2542</v>
      </c>
      <c r="B637" s="1" t="s">
        <v>2541</v>
      </c>
      <c r="C637" s="1" t="s">
        <v>66</v>
      </c>
      <c r="D637" s="3">
        <f t="shared" si="85"/>
        <v>6136</v>
      </c>
      <c r="E637" s="2">
        <f t="shared" si="86"/>
        <v>39814</v>
      </c>
      <c r="F637" s="2">
        <f t="shared" si="84"/>
        <v>40908</v>
      </c>
    </row>
    <row r="638" spans="1:6" x14ac:dyDescent="0.25">
      <c r="A638" s="1" t="s">
        <v>2542</v>
      </c>
      <c r="B638" s="1" t="s">
        <v>2541</v>
      </c>
      <c r="C638" s="1" t="s">
        <v>16</v>
      </c>
      <c r="D638" s="3">
        <f t="shared" si="85"/>
        <v>6136</v>
      </c>
      <c r="E638" s="2">
        <f t="shared" si="86"/>
        <v>39814</v>
      </c>
      <c r="F638" s="2">
        <f t="shared" si="84"/>
        <v>40908</v>
      </c>
    </row>
    <row r="639" spans="1:6" x14ac:dyDescent="0.25">
      <c r="A639" s="1" t="s">
        <v>2542</v>
      </c>
      <c r="B639" s="1" t="s">
        <v>2541</v>
      </c>
      <c r="C639" s="1" t="s">
        <v>88</v>
      </c>
      <c r="D639" s="3">
        <f t="shared" si="85"/>
        <v>6136</v>
      </c>
      <c r="E639" s="2">
        <f t="shared" si="86"/>
        <v>39814</v>
      </c>
      <c r="F639" s="2">
        <f t="shared" si="84"/>
        <v>40908</v>
      </c>
    </row>
    <row r="640" spans="1:6" x14ac:dyDescent="0.25">
      <c r="A640" s="1" t="s">
        <v>2542</v>
      </c>
      <c r="B640" s="1" t="s">
        <v>2541</v>
      </c>
      <c r="C640" s="1" t="s">
        <v>89</v>
      </c>
      <c r="D640" s="3">
        <f t="shared" si="85"/>
        <v>6136</v>
      </c>
      <c r="E640" s="2">
        <f t="shared" si="86"/>
        <v>39814</v>
      </c>
      <c r="F640" s="2">
        <f t="shared" si="84"/>
        <v>40908</v>
      </c>
    </row>
    <row r="641" spans="1:6" x14ac:dyDescent="0.25">
      <c r="A641" s="1" t="s">
        <v>2542</v>
      </c>
      <c r="B641" s="1" t="s">
        <v>2541</v>
      </c>
      <c r="C641" s="1" t="s">
        <v>17</v>
      </c>
      <c r="D641" s="3">
        <f t="shared" si="85"/>
        <v>6136</v>
      </c>
      <c r="E641" s="2">
        <f t="shared" si="86"/>
        <v>39814</v>
      </c>
      <c r="F641" s="2">
        <f t="shared" si="84"/>
        <v>40908</v>
      </c>
    </row>
    <row r="642" spans="1:6" x14ac:dyDescent="0.25">
      <c r="A642" s="1" t="s">
        <v>2542</v>
      </c>
      <c r="B642" s="1" t="s">
        <v>2541</v>
      </c>
      <c r="C642" s="1" t="s">
        <v>93</v>
      </c>
      <c r="D642" s="3">
        <f t="shared" si="85"/>
        <v>6136</v>
      </c>
      <c r="E642" s="2">
        <f t="shared" si="86"/>
        <v>39814</v>
      </c>
      <c r="F642" s="2">
        <f t="shared" si="84"/>
        <v>40908</v>
      </c>
    </row>
    <row r="643" spans="1:6" x14ac:dyDescent="0.25">
      <c r="A643" s="1" t="s">
        <v>2542</v>
      </c>
      <c r="B643" s="1" t="s">
        <v>2541</v>
      </c>
      <c r="C643" s="1" t="s">
        <v>129</v>
      </c>
      <c r="D643" s="3">
        <f t="shared" si="85"/>
        <v>6136</v>
      </c>
      <c r="E643" s="2">
        <f t="shared" si="86"/>
        <v>39814</v>
      </c>
      <c r="F643" s="2">
        <f t="shared" si="84"/>
        <v>40908</v>
      </c>
    </row>
    <row r="644" spans="1:6" x14ac:dyDescent="0.25">
      <c r="A644" s="1" t="s">
        <v>2542</v>
      </c>
      <c r="B644" s="1" t="s">
        <v>2541</v>
      </c>
      <c r="C644" s="1" t="s">
        <v>130</v>
      </c>
      <c r="D644" s="3">
        <f t="shared" si="85"/>
        <v>6136</v>
      </c>
      <c r="E644" s="2">
        <f t="shared" si="86"/>
        <v>39814</v>
      </c>
      <c r="F644" s="2">
        <f t="shared" si="84"/>
        <v>40908</v>
      </c>
    </row>
    <row r="645" spans="1:6" x14ac:dyDescent="0.25">
      <c r="A645" s="1" t="s">
        <v>2542</v>
      </c>
      <c r="B645" s="1" t="s">
        <v>2541</v>
      </c>
      <c r="C645" s="1" t="s">
        <v>97</v>
      </c>
      <c r="D645" s="3">
        <f t="shared" si="85"/>
        <v>6136</v>
      </c>
      <c r="E645" s="2">
        <f t="shared" si="86"/>
        <v>39814</v>
      </c>
      <c r="F645" s="2">
        <f t="shared" si="84"/>
        <v>40908</v>
      </c>
    </row>
    <row r="646" spans="1:6" x14ac:dyDescent="0.25">
      <c r="A646" s="1" t="s">
        <v>2542</v>
      </c>
      <c r="B646" s="1" t="s">
        <v>2541</v>
      </c>
      <c r="C646" s="1" t="s">
        <v>98</v>
      </c>
      <c r="D646" s="3">
        <f t="shared" si="85"/>
        <v>6136</v>
      </c>
      <c r="E646" s="2">
        <f t="shared" si="86"/>
        <v>39814</v>
      </c>
      <c r="F646" s="2">
        <f t="shared" si="84"/>
        <v>40908</v>
      </c>
    </row>
    <row r="647" spans="1:6" x14ac:dyDescent="0.25">
      <c r="A647" s="1" t="s">
        <v>2542</v>
      </c>
      <c r="B647" s="1" t="s">
        <v>2541</v>
      </c>
      <c r="C647" s="1" t="s">
        <v>99</v>
      </c>
      <c r="D647" s="3">
        <f t="shared" si="85"/>
        <v>6136</v>
      </c>
      <c r="E647" s="2">
        <f t="shared" si="86"/>
        <v>39814</v>
      </c>
      <c r="F647" s="2">
        <f t="shared" si="84"/>
        <v>40908</v>
      </c>
    </row>
    <row r="648" spans="1:6" x14ac:dyDescent="0.25">
      <c r="A648" s="1" t="s">
        <v>2542</v>
      </c>
      <c r="B648" s="1" t="s">
        <v>2541</v>
      </c>
      <c r="C648" s="1" t="s">
        <v>71</v>
      </c>
      <c r="D648" s="3">
        <f t="shared" si="85"/>
        <v>6136</v>
      </c>
      <c r="E648" s="2">
        <f t="shared" si="86"/>
        <v>39814</v>
      </c>
      <c r="F648" s="2">
        <f t="shared" si="84"/>
        <v>40908</v>
      </c>
    </row>
    <row r="649" spans="1:6" x14ac:dyDescent="0.25">
      <c r="A649" s="1" t="s">
        <v>2542</v>
      </c>
      <c r="B649" s="1" t="s">
        <v>2541</v>
      </c>
      <c r="C649" s="1" t="s">
        <v>100</v>
      </c>
      <c r="D649" s="3">
        <f t="shared" si="85"/>
        <v>6136</v>
      </c>
      <c r="E649" s="2">
        <f t="shared" si="86"/>
        <v>39814</v>
      </c>
      <c r="F649" s="2">
        <f t="shared" si="84"/>
        <v>40908</v>
      </c>
    </row>
    <row r="650" spans="1:6" x14ac:dyDescent="0.25">
      <c r="A650" s="1" t="s">
        <v>2542</v>
      </c>
      <c r="B650" s="1" t="s">
        <v>2541</v>
      </c>
      <c r="C650" s="1" t="s">
        <v>51</v>
      </c>
      <c r="D650" s="3">
        <f t="shared" si="85"/>
        <v>6136</v>
      </c>
      <c r="E650" s="2">
        <f t="shared" si="86"/>
        <v>39814</v>
      </c>
      <c r="F650" s="2">
        <f t="shared" si="84"/>
        <v>40908</v>
      </c>
    </row>
    <row r="651" spans="1:6" x14ac:dyDescent="0.25">
      <c r="A651" s="1" t="s">
        <v>2542</v>
      </c>
      <c r="B651" s="1" t="s">
        <v>2541</v>
      </c>
      <c r="C651" s="1" t="s">
        <v>105</v>
      </c>
      <c r="D651" s="3">
        <f t="shared" si="85"/>
        <v>6136</v>
      </c>
      <c r="E651" s="2">
        <f t="shared" si="86"/>
        <v>39814</v>
      </c>
      <c r="F651" s="2">
        <f t="shared" si="84"/>
        <v>40908</v>
      </c>
    </row>
    <row r="652" spans="1:6" x14ac:dyDescent="0.25">
      <c r="A652" s="1" t="s">
        <v>2542</v>
      </c>
      <c r="B652" s="1" t="s">
        <v>2541</v>
      </c>
      <c r="C652" s="1" t="s">
        <v>106</v>
      </c>
      <c r="D652" s="3">
        <f t="shared" si="85"/>
        <v>6136</v>
      </c>
      <c r="E652" s="2">
        <f t="shared" si="86"/>
        <v>39814</v>
      </c>
      <c r="F652" s="2">
        <f t="shared" si="84"/>
        <v>40908</v>
      </c>
    </row>
    <row r="653" spans="1:6" x14ac:dyDescent="0.25">
      <c r="A653" s="1" t="s">
        <v>2542</v>
      </c>
      <c r="B653" s="1" t="s">
        <v>2541</v>
      </c>
      <c r="C653" s="1" t="s">
        <v>107</v>
      </c>
      <c r="D653" s="3">
        <f t="shared" si="85"/>
        <v>6136</v>
      </c>
      <c r="E653" s="2">
        <f t="shared" si="86"/>
        <v>39814</v>
      </c>
      <c r="F653" s="2">
        <f t="shared" si="84"/>
        <v>40908</v>
      </c>
    </row>
    <row r="654" spans="1:6" x14ac:dyDescent="0.25">
      <c r="A654" s="1" t="s">
        <v>2542</v>
      </c>
      <c r="B654" s="1" t="s">
        <v>2541</v>
      </c>
      <c r="C654" s="1" t="s">
        <v>32</v>
      </c>
      <c r="D654" s="3">
        <f t="shared" si="85"/>
        <v>6136</v>
      </c>
      <c r="E654" s="2">
        <f t="shared" si="86"/>
        <v>39814</v>
      </c>
      <c r="F654" s="2">
        <f t="shared" si="84"/>
        <v>40908</v>
      </c>
    </row>
    <row r="655" spans="1:6" x14ac:dyDescent="0.25">
      <c r="A655" s="1" t="s">
        <v>2542</v>
      </c>
      <c r="B655" s="1" t="s">
        <v>2541</v>
      </c>
      <c r="C655" s="1" t="s">
        <v>108</v>
      </c>
      <c r="D655" s="3">
        <f t="shared" si="85"/>
        <v>6136</v>
      </c>
      <c r="E655" s="2">
        <f t="shared" si="86"/>
        <v>39814</v>
      </c>
      <c r="F655" s="2">
        <f t="shared" si="84"/>
        <v>40908</v>
      </c>
    </row>
    <row r="656" spans="1:6" x14ac:dyDescent="0.25">
      <c r="A656" s="1" t="s">
        <v>2542</v>
      </c>
      <c r="B656" s="1" t="s">
        <v>2541</v>
      </c>
      <c r="C656" s="1" t="s">
        <v>109</v>
      </c>
      <c r="D656" s="3">
        <f t="shared" si="85"/>
        <v>6136</v>
      </c>
      <c r="E656" s="2">
        <f t="shared" si="86"/>
        <v>39814</v>
      </c>
      <c r="F656" s="2">
        <f t="shared" si="84"/>
        <v>40908</v>
      </c>
    </row>
    <row r="657" spans="1:6" x14ac:dyDescent="0.25">
      <c r="A657" s="1" t="s">
        <v>2542</v>
      </c>
      <c r="B657" s="1" t="s">
        <v>2541</v>
      </c>
      <c r="C657" s="1" t="s">
        <v>110</v>
      </c>
      <c r="D657" s="3">
        <f t="shared" si="85"/>
        <v>6136</v>
      </c>
      <c r="E657" s="2">
        <f t="shared" si="86"/>
        <v>39814</v>
      </c>
      <c r="F657" s="2">
        <f t="shared" si="84"/>
        <v>40908</v>
      </c>
    </row>
    <row r="658" spans="1:6" x14ac:dyDescent="0.25">
      <c r="A658" s="1" t="s">
        <v>2542</v>
      </c>
      <c r="B658" s="1" t="s">
        <v>2541</v>
      </c>
      <c r="C658" s="1" t="s">
        <v>111</v>
      </c>
      <c r="D658" s="3">
        <f t="shared" si="85"/>
        <v>6136</v>
      </c>
      <c r="E658" s="2">
        <f t="shared" si="86"/>
        <v>39814</v>
      </c>
      <c r="F658" s="2">
        <f t="shared" si="84"/>
        <v>40908</v>
      </c>
    </row>
    <row r="659" spans="1:6" x14ac:dyDescent="0.25">
      <c r="A659" s="1" t="s">
        <v>2542</v>
      </c>
      <c r="B659" s="1" t="s">
        <v>2541</v>
      </c>
      <c r="C659" s="1" t="s">
        <v>112</v>
      </c>
      <c r="D659" s="3">
        <f t="shared" si="85"/>
        <v>6136</v>
      </c>
      <c r="E659" s="2">
        <f t="shared" si="86"/>
        <v>39814</v>
      </c>
      <c r="F659" s="2">
        <f t="shared" si="84"/>
        <v>40908</v>
      </c>
    </row>
    <row r="660" spans="1:6" x14ac:dyDescent="0.25">
      <c r="A660" s="1" t="s">
        <v>2542</v>
      </c>
      <c r="B660" s="1" t="s">
        <v>2541</v>
      </c>
      <c r="C660" s="1" t="s">
        <v>113</v>
      </c>
      <c r="D660" s="3">
        <f t="shared" si="85"/>
        <v>6136</v>
      </c>
      <c r="E660" s="2">
        <f t="shared" si="86"/>
        <v>39814</v>
      </c>
      <c r="F660" s="2">
        <f t="shared" si="84"/>
        <v>40908</v>
      </c>
    </row>
    <row r="661" spans="1:6" x14ac:dyDescent="0.25">
      <c r="A661" s="1" t="s">
        <v>2542</v>
      </c>
      <c r="B661" s="1" t="s">
        <v>2541</v>
      </c>
      <c r="C661" s="1" t="s">
        <v>33</v>
      </c>
      <c r="D661" s="3">
        <f t="shared" si="85"/>
        <v>6136</v>
      </c>
      <c r="E661" s="2">
        <f t="shared" si="86"/>
        <v>39814</v>
      </c>
      <c r="F661" s="2">
        <f t="shared" si="84"/>
        <v>40908</v>
      </c>
    </row>
    <row r="662" spans="1:6" x14ac:dyDescent="0.25">
      <c r="A662" s="1" t="s">
        <v>2542</v>
      </c>
      <c r="B662" s="1" t="s">
        <v>2541</v>
      </c>
      <c r="C662" s="1" t="s">
        <v>114</v>
      </c>
      <c r="D662" s="3">
        <f t="shared" si="85"/>
        <v>6136</v>
      </c>
      <c r="E662" s="2">
        <f t="shared" si="86"/>
        <v>39814</v>
      </c>
      <c r="F662" s="2">
        <f t="shared" si="84"/>
        <v>40908</v>
      </c>
    </row>
    <row r="663" spans="1:6" x14ac:dyDescent="0.25">
      <c r="A663" s="1" t="s">
        <v>2542</v>
      </c>
      <c r="B663" s="1" t="s">
        <v>2541</v>
      </c>
      <c r="C663" s="1" t="s">
        <v>116</v>
      </c>
      <c r="D663" s="3">
        <f t="shared" si="85"/>
        <v>6136</v>
      </c>
      <c r="E663" s="2">
        <f t="shared" si="86"/>
        <v>39814</v>
      </c>
      <c r="F663" s="2">
        <f t="shared" si="84"/>
        <v>40908</v>
      </c>
    </row>
    <row r="664" spans="1:6" x14ac:dyDescent="0.25">
      <c r="A664" s="1" t="s">
        <v>2542</v>
      </c>
      <c r="B664" s="1" t="s">
        <v>2541</v>
      </c>
      <c r="C664" s="1" t="s">
        <v>57</v>
      </c>
      <c r="D664" s="3">
        <f t="shared" si="85"/>
        <v>6136</v>
      </c>
      <c r="E664" s="2">
        <f t="shared" si="86"/>
        <v>39814</v>
      </c>
      <c r="F664" s="2">
        <f t="shared" si="84"/>
        <v>40908</v>
      </c>
    </row>
    <row r="665" spans="1:6" x14ac:dyDescent="0.25">
      <c r="A665" s="1" t="s">
        <v>2542</v>
      </c>
      <c r="B665" s="1" t="s">
        <v>2541</v>
      </c>
      <c r="C665" s="1" t="s">
        <v>36</v>
      </c>
      <c r="D665" s="3">
        <f t="shared" si="85"/>
        <v>6136</v>
      </c>
      <c r="E665" s="2">
        <f t="shared" si="86"/>
        <v>39814</v>
      </c>
      <c r="F665" s="2">
        <f t="shared" si="84"/>
        <v>40908</v>
      </c>
    </row>
    <row r="666" spans="1:6" x14ac:dyDescent="0.25">
      <c r="A666" s="1" t="s">
        <v>2597</v>
      </c>
      <c r="B666" s="1" t="s">
        <v>2596</v>
      </c>
      <c r="C666" s="1" t="s">
        <v>85</v>
      </c>
      <c r="D666" s="3">
        <f>VALUE("7176")</f>
        <v>7176</v>
      </c>
      <c r="E666" s="2">
        <f>DATEVALUE("1-3-2011")</f>
        <v>40603</v>
      </c>
      <c r="F666" s="2">
        <f>DATEVALUE("30-6-2012")</f>
        <v>41090</v>
      </c>
    </row>
    <row r="667" spans="1:6" x14ac:dyDescent="0.25">
      <c r="A667" s="1" t="s">
        <v>1676</v>
      </c>
      <c r="B667" s="1" t="s">
        <v>1675</v>
      </c>
      <c r="C667" s="1" t="s">
        <v>17</v>
      </c>
      <c r="D667" s="3">
        <f>VALUE("8854")</f>
        <v>8854</v>
      </c>
      <c r="E667" s="2">
        <f>DATEVALUE("1-9-2020")</f>
        <v>44075</v>
      </c>
      <c r="F667" s="2">
        <f>DATEVALUE("30-6-2022")</f>
        <v>44742</v>
      </c>
    </row>
    <row r="668" spans="1:6" x14ac:dyDescent="0.25">
      <c r="A668" s="1" t="s">
        <v>1676</v>
      </c>
      <c r="B668" s="1" t="s">
        <v>1675</v>
      </c>
      <c r="C668" s="1" t="s">
        <v>146</v>
      </c>
      <c r="D668" s="3">
        <f>VALUE("8854")</f>
        <v>8854</v>
      </c>
      <c r="E668" s="2">
        <f>DATEVALUE("1-9-2020")</f>
        <v>44075</v>
      </c>
      <c r="F668" s="2">
        <f>DATEVALUE("30-6-2022")</f>
        <v>44742</v>
      </c>
    </row>
    <row r="669" spans="1:6" x14ac:dyDescent="0.25">
      <c r="A669" s="1" t="s">
        <v>1676</v>
      </c>
      <c r="B669" s="1" t="s">
        <v>1675</v>
      </c>
      <c r="C669" s="1" t="s">
        <v>67</v>
      </c>
      <c r="D669" s="3">
        <f>VALUE("8854")</f>
        <v>8854</v>
      </c>
      <c r="E669" s="2">
        <f>DATEVALUE("1-9-2020")</f>
        <v>44075</v>
      </c>
      <c r="F669" s="2">
        <f>DATEVALUE("30-6-2022")</f>
        <v>44742</v>
      </c>
    </row>
    <row r="670" spans="1:6" x14ac:dyDescent="0.25">
      <c r="A670" s="1" t="s">
        <v>1676</v>
      </c>
      <c r="B670" s="1" t="s">
        <v>1675</v>
      </c>
      <c r="C670" s="1" t="s">
        <v>160</v>
      </c>
      <c r="D670" s="3">
        <f>VALUE("8854")</f>
        <v>8854</v>
      </c>
      <c r="E670" s="2">
        <f>DATEVALUE("1-9-2020")</f>
        <v>44075</v>
      </c>
      <c r="F670" s="2">
        <f>DATEVALUE("30-6-2022")</f>
        <v>44742</v>
      </c>
    </row>
    <row r="671" spans="1:6" x14ac:dyDescent="0.25">
      <c r="A671" s="1" t="s">
        <v>1335</v>
      </c>
      <c r="B671" s="1" t="s">
        <v>1834</v>
      </c>
      <c r="C671" s="1" t="s">
        <v>7</v>
      </c>
      <c r="D671" s="3">
        <f t="shared" ref="D671:D682" si="87">VALUE("8732")</f>
        <v>8732</v>
      </c>
      <c r="E671" s="2">
        <f t="shared" ref="E671:E682" si="88">DATEVALUE("1-4-2020")</f>
        <v>43922</v>
      </c>
      <c r="F671" s="2">
        <f t="shared" ref="F671:F682" si="89">DATEVALUE("30-9-2020")</f>
        <v>44104</v>
      </c>
    </row>
    <row r="672" spans="1:6" x14ac:dyDescent="0.25">
      <c r="A672" s="1" t="s">
        <v>1335</v>
      </c>
      <c r="B672" s="1" t="s">
        <v>1834</v>
      </c>
      <c r="C672" s="1" t="s">
        <v>61</v>
      </c>
      <c r="D672" s="3">
        <f t="shared" si="87"/>
        <v>8732</v>
      </c>
      <c r="E672" s="2">
        <f t="shared" si="88"/>
        <v>43922</v>
      </c>
      <c r="F672" s="2">
        <f t="shared" si="89"/>
        <v>44104</v>
      </c>
    </row>
    <row r="673" spans="1:6" x14ac:dyDescent="0.25">
      <c r="A673" s="1" t="s">
        <v>1335</v>
      </c>
      <c r="B673" s="1" t="s">
        <v>1834</v>
      </c>
      <c r="C673" s="1" t="s">
        <v>252</v>
      </c>
      <c r="D673" s="3">
        <f t="shared" si="87"/>
        <v>8732</v>
      </c>
      <c r="E673" s="2">
        <f t="shared" si="88"/>
        <v>43922</v>
      </c>
      <c r="F673" s="2">
        <f t="shared" si="89"/>
        <v>44104</v>
      </c>
    </row>
    <row r="674" spans="1:6" x14ac:dyDescent="0.25">
      <c r="A674" s="1" t="s">
        <v>1335</v>
      </c>
      <c r="B674" s="1" t="s">
        <v>1834</v>
      </c>
      <c r="C674" s="1" t="s">
        <v>17</v>
      </c>
      <c r="D674" s="3">
        <f t="shared" si="87"/>
        <v>8732</v>
      </c>
      <c r="E674" s="2">
        <f t="shared" si="88"/>
        <v>43922</v>
      </c>
      <c r="F674" s="2">
        <f t="shared" si="89"/>
        <v>44104</v>
      </c>
    </row>
    <row r="675" spans="1:6" x14ac:dyDescent="0.25">
      <c r="A675" s="1" t="s">
        <v>1335</v>
      </c>
      <c r="B675" s="1" t="s">
        <v>1834</v>
      </c>
      <c r="C675" s="1" t="s">
        <v>146</v>
      </c>
      <c r="D675" s="3">
        <f t="shared" si="87"/>
        <v>8732</v>
      </c>
      <c r="E675" s="2">
        <f t="shared" si="88"/>
        <v>43922</v>
      </c>
      <c r="F675" s="2">
        <f t="shared" si="89"/>
        <v>44104</v>
      </c>
    </row>
    <row r="676" spans="1:6" x14ac:dyDescent="0.25">
      <c r="A676" s="1" t="s">
        <v>1335</v>
      </c>
      <c r="B676" s="1" t="s">
        <v>1834</v>
      </c>
      <c r="C676" s="1" t="s">
        <v>67</v>
      </c>
      <c r="D676" s="3">
        <f t="shared" si="87"/>
        <v>8732</v>
      </c>
      <c r="E676" s="2">
        <f t="shared" si="88"/>
        <v>43922</v>
      </c>
      <c r="F676" s="2">
        <f t="shared" si="89"/>
        <v>44104</v>
      </c>
    </row>
    <row r="677" spans="1:6" x14ac:dyDescent="0.25">
      <c r="A677" s="1" t="s">
        <v>1335</v>
      </c>
      <c r="B677" s="1" t="s">
        <v>1834</v>
      </c>
      <c r="C677" s="1" t="s">
        <v>472</v>
      </c>
      <c r="D677" s="3">
        <f t="shared" si="87"/>
        <v>8732</v>
      </c>
      <c r="E677" s="2">
        <f t="shared" si="88"/>
        <v>43922</v>
      </c>
      <c r="F677" s="2">
        <f t="shared" si="89"/>
        <v>44104</v>
      </c>
    </row>
    <row r="678" spans="1:6" x14ac:dyDescent="0.25">
      <c r="A678" s="1" t="s">
        <v>1335</v>
      </c>
      <c r="B678" s="1" t="s">
        <v>1834</v>
      </c>
      <c r="C678" s="1" t="s">
        <v>654</v>
      </c>
      <c r="D678" s="3">
        <f t="shared" si="87"/>
        <v>8732</v>
      </c>
      <c r="E678" s="2">
        <f t="shared" si="88"/>
        <v>43922</v>
      </c>
      <c r="F678" s="2">
        <f t="shared" si="89"/>
        <v>44104</v>
      </c>
    </row>
    <row r="679" spans="1:6" x14ac:dyDescent="0.25">
      <c r="A679" s="1" t="s">
        <v>1335</v>
      </c>
      <c r="B679" s="1" t="s">
        <v>1834</v>
      </c>
      <c r="C679" s="1" t="s">
        <v>52</v>
      </c>
      <c r="D679" s="3">
        <f t="shared" si="87"/>
        <v>8732</v>
      </c>
      <c r="E679" s="2">
        <f t="shared" si="88"/>
        <v>43922</v>
      </c>
      <c r="F679" s="2">
        <f t="shared" si="89"/>
        <v>44104</v>
      </c>
    </row>
    <row r="680" spans="1:6" x14ac:dyDescent="0.25">
      <c r="A680" s="1" t="s">
        <v>1335</v>
      </c>
      <c r="B680" s="1" t="s">
        <v>1834</v>
      </c>
      <c r="C680" s="1" t="s">
        <v>160</v>
      </c>
      <c r="D680" s="3">
        <f t="shared" si="87"/>
        <v>8732</v>
      </c>
      <c r="E680" s="2">
        <f t="shared" si="88"/>
        <v>43922</v>
      </c>
      <c r="F680" s="2">
        <f t="shared" si="89"/>
        <v>44104</v>
      </c>
    </row>
    <row r="681" spans="1:6" x14ac:dyDescent="0.25">
      <c r="A681" s="1" t="s">
        <v>1335</v>
      </c>
      <c r="B681" s="1" t="s">
        <v>1834</v>
      </c>
      <c r="C681" s="1" t="s">
        <v>310</v>
      </c>
      <c r="D681" s="3">
        <f t="shared" si="87"/>
        <v>8732</v>
      </c>
      <c r="E681" s="2">
        <f t="shared" si="88"/>
        <v>43922</v>
      </c>
      <c r="F681" s="2">
        <f t="shared" si="89"/>
        <v>44104</v>
      </c>
    </row>
    <row r="682" spans="1:6" x14ac:dyDescent="0.25">
      <c r="A682" s="1" t="s">
        <v>1335</v>
      </c>
      <c r="B682" s="1" t="s">
        <v>1834</v>
      </c>
      <c r="C682" s="1" t="s">
        <v>36</v>
      </c>
      <c r="D682" s="3">
        <f t="shared" si="87"/>
        <v>8732</v>
      </c>
      <c r="E682" s="2">
        <f t="shared" si="88"/>
        <v>43922</v>
      </c>
      <c r="F682" s="2">
        <f t="shared" si="89"/>
        <v>44104</v>
      </c>
    </row>
    <row r="683" spans="1:6" x14ac:dyDescent="0.25">
      <c r="A683" s="1" t="s">
        <v>1335</v>
      </c>
      <c r="B683" s="1" t="s">
        <v>1334</v>
      </c>
      <c r="C683" s="1" t="s">
        <v>202</v>
      </c>
      <c r="D683" s="3">
        <f t="shared" ref="D683:D694" si="90">VALUE("8568")</f>
        <v>8568</v>
      </c>
      <c r="E683" s="2">
        <f t="shared" ref="E683:E705" si="91">DATEVALUE("1-9-2019")</f>
        <v>43709</v>
      </c>
      <c r="F683" s="2">
        <f t="shared" ref="F683:F694" si="92">DATEVALUE("31-1-2021")</f>
        <v>44227</v>
      </c>
    </row>
    <row r="684" spans="1:6" x14ac:dyDescent="0.25">
      <c r="A684" s="1" t="s">
        <v>1335</v>
      </c>
      <c r="B684" s="1" t="s">
        <v>1334</v>
      </c>
      <c r="C684" s="1" t="s">
        <v>141</v>
      </c>
      <c r="D684" s="3">
        <f t="shared" si="90"/>
        <v>8568</v>
      </c>
      <c r="E684" s="2">
        <f t="shared" si="91"/>
        <v>43709</v>
      </c>
      <c r="F684" s="2">
        <f t="shared" si="92"/>
        <v>44227</v>
      </c>
    </row>
    <row r="685" spans="1:6" x14ac:dyDescent="0.25">
      <c r="A685" s="1" t="s">
        <v>1335</v>
      </c>
      <c r="B685" s="1" t="s">
        <v>1334</v>
      </c>
      <c r="C685" s="1" t="s">
        <v>14</v>
      </c>
      <c r="D685" s="3">
        <f t="shared" si="90"/>
        <v>8568</v>
      </c>
      <c r="E685" s="2">
        <f t="shared" si="91"/>
        <v>43709</v>
      </c>
      <c r="F685" s="2">
        <f t="shared" si="92"/>
        <v>44227</v>
      </c>
    </row>
    <row r="686" spans="1:6" x14ac:dyDescent="0.25">
      <c r="A686" s="1" t="s">
        <v>1335</v>
      </c>
      <c r="B686" s="1" t="s">
        <v>1334</v>
      </c>
      <c r="C686" s="1" t="s">
        <v>17</v>
      </c>
      <c r="D686" s="3">
        <f t="shared" si="90"/>
        <v>8568</v>
      </c>
      <c r="E686" s="2">
        <f t="shared" si="91"/>
        <v>43709</v>
      </c>
      <c r="F686" s="2">
        <f t="shared" si="92"/>
        <v>44227</v>
      </c>
    </row>
    <row r="687" spans="1:6" x14ac:dyDescent="0.25">
      <c r="A687" s="1" t="s">
        <v>1335</v>
      </c>
      <c r="B687" s="1" t="s">
        <v>1334</v>
      </c>
      <c r="C687" s="1" t="s">
        <v>146</v>
      </c>
      <c r="D687" s="3">
        <f t="shared" si="90"/>
        <v>8568</v>
      </c>
      <c r="E687" s="2">
        <f t="shared" si="91"/>
        <v>43709</v>
      </c>
      <c r="F687" s="2">
        <f t="shared" si="92"/>
        <v>44227</v>
      </c>
    </row>
    <row r="688" spans="1:6" x14ac:dyDescent="0.25">
      <c r="A688" s="1" t="s">
        <v>1335</v>
      </c>
      <c r="B688" s="1" t="s">
        <v>1334</v>
      </c>
      <c r="C688" s="1" t="s">
        <v>67</v>
      </c>
      <c r="D688" s="3">
        <f t="shared" si="90"/>
        <v>8568</v>
      </c>
      <c r="E688" s="2">
        <f t="shared" si="91"/>
        <v>43709</v>
      </c>
      <c r="F688" s="2">
        <f t="shared" si="92"/>
        <v>44227</v>
      </c>
    </row>
    <row r="689" spans="1:6" x14ac:dyDescent="0.25">
      <c r="A689" s="1" t="s">
        <v>1335</v>
      </c>
      <c r="B689" s="1" t="s">
        <v>1334</v>
      </c>
      <c r="C689" s="1" t="s">
        <v>1336</v>
      </c>
      <c r="D689" s="3">
        <f t="shared" si="90"/>
        <v>8568</v>
      </c>
      <c r="E689" s="2">
        <f t="shared" si="91"/>
        <v>43709</v>
      </c>
      <c r="F689" s="2">
        <f t="shared" si="92"/>
        <v>44227</v>
      </c>
    </row>
    <row r="690" spans="1:6" x14ac:dyDescent="0.25">
      <c r="A690" s="1" t="s">
        <v>1335</v>
      </c>
      <c r="B690" s="1" t="s">
        <v>1334</v>
      </c>
      <c r="C690" s="1" t="s">
        <v>447</v>
      </c>
      <c r="D690" s="3">
        <f t="shared" si="90"/>
        <v>8568</v>
      </c>
      <c r="E690" s="2">
        <f t="shared" si="91"/>
        <v>43709</v>
      </c>
      <c r="F690" s="2">
        <f t="shared" si="92"/>
        <v>44227</v>
      </c>
    </row>
    <row r="691" spans="1:6" x14ac:dyDescent="0.25">
      <c r="A691" s="1" t="s">
        <v>1335</v>
      </c>
      <c r="B691" s="1" t="s">
        <v>1334</v>
      </c>
      <c r="C691" s="1" t="s">
        <v>24</v>
      </c>
      <c r="D691" s="3">
        <f t="shared" si="90"/>
        <v>8568</v>
      </c>
      <c r="E691" s="2">
        <f t="shared" si="91"/>
        <v>43709</v>
      </c>
      <c r="F691" s="2">
        <f t="shared" si="92"/>
        <v>44227</v>
      </c>
    </row>
    <row r="692" spans="1:6" x14ac:dyDescent="0.25">
      <c r="A692" s="1" t="s">
        <v>1335</v>
      </c>
      <c r="B692" s="1" t="s">
        <v>1334</v>
      </c>
      <c r="C692" s="1" t="s">
        <v>206</v>
      </c>
      <c r="D692" s="3">
        <f t="shared" si="90"/>
        <v>8568</v>
      </c>
      <c r="E692" s="2">
        <f t="shared" si="91"/>
        <v>43709</v>
      </c>
      <c r="F692" s="2">
        <f t="shared" si="92"/>
        <v>44227</v>
      </c>
    </row>
    <row r="693" spans="1:6" x14ac:dyDescent="0.25">
      <c r="A693" s="1" t="s">
        <v>1335</v>
      </c>
      <c r="B693" s="1" t="s">
        <v>1334</v>
      </c>
      <c r="C693" s="1" t="s">
        <v>160</v>
      </c>
      <c r="D693" s="3">
        <f t="shared" si="90"/>
        <v>8568</v>
      </c>
      <c r="E693" s="2">
        <f t="shared" si="91"/>
        <v>43709</v>
      </c>
      <c r="F693" s="2">
        <f t="shared" si="92"/>
        <v>44227</v>
      </c>
    </row>
    <row r="694" spans="1:6" x14ac:dyDescent="0.25">
      <c r="A694" s="1" t="s">
        <v>1335</v>
      </c>
      <c r="B694" s="1" t="s">
        <v>1334</v>
      </c>
      <c r="C694" s="1" t="s">
        <v>34</v>
      </c>
      <c r="D694" s="3">
        <f t="shared" si="90"/>
        <v>8568</v>
      </c>
      <c r="E694" s="2">
        <f t="shared" si="91"/>
        <v>43709</v>
      </c>
      <c r="F694" s="2">
        <f t="shared" si="92"/>
        <v>44227</v>
      </c>
    </row>
    <row r="695" spans="1:6" x14ac:dyDescent="0.25">
      <c r="A695" s="1" t="s">
        <v>1335</v>
      </c>
      <c r="B695" s="1" t="s">
        <v>1371</v>
      </c>
      <c r="C695" s="1" t="s">
        <v>141</v>
      </c>
      <c r="D695" s="3">
        <f t="shared" ref="D695:D705" si="93">VALUE("8600")</f>
        <v>8600</v>
      </c>
      <c r="E695" s="2">
        <f t="shared" si="91"/>
        <v>43709</v>
      </c>
      <c r="F695" s="2">
        <f t="shared" ref="F695:F705" si="94">DATEVALUE("31-3-2021")</f>
        <v>44286</v>
      </c>
    </row>
    <row r="696" spans="1:6" x14ac:dyDescent="0.25">
      <c r="A696" s="1" t="s">
        <v>1335</v>
      </c>
      <c r="B696" s="1" t="s">
        <v>1371</v>
      </c>
      <c r="C696" s="1" t="s">
        <v>14</v>
      </c>
      <c r="D696" s="3">
        <f t="shared" si="93"/>
        <v>8600</v>
      </c>
      <c r="E696" s="2">
        <f t="shared" si="91"/>
        <v>43709</v>
      </c>
      <c r="F696" s="2">
        <f t="shared" si="94"/>
        <v>44286</v>
      </c>
    </row>
    <row r="697" spans="1:6" x14ac:dyDescent="0.25">
      <c r="A697" s="1" t="s">
        <v>1335</v>
      </c>
      <c r="B697" s="1" t="s">
        <v>1371</v>
      </c>
      <c r="C697" s="1" t="s">
        <v>17</v>
      </c>
      <c r="D697" s="3">
        <f t="shared" si="93"/>
        <v>8600</v>
      </c>
      <c r="E697" s="2">
        <f t="shared" si="91"/>
        <v>43709</v>
      </c>
      <c r="F697" s="2">
        <f t="shared" si="94"/>
        <v>44286</v>
      </c>
    </row>
    <row r="698" spans="1:6" x14ac:dyDescent="0.25">
      <c r="A698" s="1" t="s">
        <v>1335</v>
      </c>
      <c r="B698" s="1" t="s">
        <v>1371</v>
      </c>
      <c r="C698" s="1" t="s">
        <v>146</v>
      </c>
      <c r="D698" s="3">
        <f t="shared" si="93"/>
        <v>8600</v>
      </c>
      <c r="E698" s="2">
        <f t="shared" si="91"/>
        <v>43709</v>
      </c>
      <c r="F698" s="2">
        <f t="shared" si="94"/>
        <v>44286</v>
      </c>
    </row>
    <row r="699" spans="1:6" x14ac:dyDescent="0.25">
      <c r="A699" s="1" t="s">
        <v>1335</v>
      </c>
      <c r="B699" s="1" t="s">
        <v>1371</v>
      </c>
      <c r="C699" s="1" t="s">
        <v>67</v>
      </c>
      <c r="D699" s="3">
        <f t="shared" si="93"/>
        <v>8600</v>
      </c>
      <c r="E699" s="2">
        <f t="shared" si="91"/>
        <v>43709</v>
      </c>
      <c r="F699" s="2">
        <f t="shared" si="94"/>
        <v>44286</v>
      </c>
    </row>
    <row r="700" spans="1:6" x14ac:dyDescent="0.25">
      <c r="A700" s="1" t="s">
        <v>1335</v>
      </c>
      <c r="B700" s="1" t="s">
        <v>1371</v>
      </c>
      <c r="C700" s="1" t="s">
        <v>148</v>
      </c>
      <c r="D700" s="3">
        <f t="shared" si="93"/>
        <v>8600</v>
      </c>
      <c r="E700" s="2">
        <f t="shared" si="91"/>
        <v>43709</v>
      </c>
      <c r="F700" s="2">
        <f t="shared" si="94"/>
        <v>44286</v>
      </c>
    </row>
    <row r="701" spans="1:6" x14ac:dyDescent="0.25">
      <c r="A701" s="1" t="s">
        <v>1335</v>
      </c>
      <c r="B701" s="1" t="s">
        <v>1371</v>
      </c>
      <c r="C701" s="1" t="s">
        <v>149</v>
      </c>
      <c r="D701" s="3">
        <f t="shared" si="93"/>
        <v>8600</v>
      </c>
      <c r="E701" s="2">
        <f t="shared" si="91"/>
        <v>43709</v>
      </c>
      <c r="F701" s="2">
        <f t="shared" si="94"/>
        <v>44286</v>
      </c>
    </row>
    <row r="702" spans="1:6" x14ac:dyDescent="0.25">
      <c r="A702" s="1" t="s">
        <v>1335</v>
      </c>
      <c r="B702" s="1" t="s">
        <v>1371</v>
      </c>
      <c r="C702" s="1" t="s">
        <v>447</v>
      </c>
      <c r="D702" s="3">
        <f t="shared" si="93"/>
        <v>8600</v>
      </c>
      <c r="E702" s="2">
        <f t="shared" si="91"/>
        <v>43709</v>
      </c>
      <c r="F702" s="2">
        <f t="shared" si="94"/>
        <v>44286</v>
      </c>
    </row>
    <row r="703" spans="1:6" x14ac:dyDescent="0.25">
      <c r="A703" s="1" t="s">
        <v>1335</v>
      </c>
      <c r="B703" s="1" t="s">
        <v>1371</v>
      </c>
      <c r="C703" s="1" t="s">
        <v>24</v>
      </c>
      <c r="D703" s="3">
        <f t="shared" si="93"/>
        <v>8600</v>
      </c>
      <c r="E703" s="2">
        <f t="shared" si="91"/>
        <v>43709</v>
      </c>
      <c r="F703" s="2">
        <f t="shared" si="94"/>
        <v>44286</v>
      </c>
    </row>
    <row r="704" spans="1:6" x14ac:dyDescent="0.25">
      <c r="A704" s="1" t="s">
        <v>1335</v>
      </c>
      <c r="B704" s="1" t="s">
        <v>1371</v>
      </c>
      <c r="C704" s="1" t="s">
        <v>160</v>
      </c>
      <c r="D704" s="3">
        <f t="shared" si="93"/>
        <v>8600</v>
      </c>
      <c r="E704" s="2">
        <f t="shared" si="91"/>
        <v>43709</v>
      </c>
      <c r="F704" s="2">
        <f t="shared" si="94"/>
        <v>44286</v>
      </c>
    </row>
    <row r="705" spans="1:6" x14ac:dyDescent="0.25">
      <c r="A705" s="1" t="s">
        <v>1335</v>
      </c>
      <c r="B705" s="1" t="s">
        <v>1371</v>
      </c>
      <c r="C705" s="1" t="s">
        <v>34</v>
      </c>
      <c r="D705" s="3">
        <f t="shared" si="93"/>
        <v>8600</v>
      </c>
      <c r="E705" s="2">
        <f t="shared" si="91"/>
        <v>43709</v>
      </c>
      <c r="F705" s="2">
        <f t="shared" si="94"/>
        <v>44286</v>
      </c>
    </row>
    <row r="706" spans="1:6" x14ac:dyDescent="0.25">
      <c r="A706" s="1" t="s">
        <v>1125</v>
      </c>
      <c r="B706" s="1" t="s">
        <v>1124</v>
      </c>
      <c r="C706" s="1" t="s">
        <v>438</v>
      </c>
      <c r="D706" s="3">
        <f t="shared" ref="D706:D717" si="95">VALUE("8390")</f>
        <v>8390</v>
      </c>
      <c r="E706" s="2">
        <f t="shared" ref="E706:E717" si="96">DATEVALUE("1-1-2019")</f>
        <v>43466</v>
      </c>
      <c r="F706" s="2">
        <f t="shared" ref="F706:F717" si="97">DATEVALUE("31-12-2020")</f>
        <v>44196</v>
      </c>
    </row>
    <row r="707" spans="1:6" x14ac:dyDescent="0.25">
      <c r="A707" s="1" t="s">
        <v>1125</v>
      </c>
      <c r="B707" s="1" t="s">
        <v>1124</v>
      </c>
      <c r="C707" s="1" t="s">
        <v>346</v>
      </c>
      <c r="D707" s="3">
        <f t="shared" si="95"/>
        <v>8390</v>
      </c>
      <c r="E707" s="2">
        <f t="shared" si="96"/>
        <v>43466</v>
      </c>
      <c r="F707" s="2">
        <f t="shared" si="97"/>
        <v>44196</v>
      </c>
    </row>
    <row r="708" spans="1:6" x14ac:dyDescent="0.25">
      <c r="A708" s="1" t="s">
        <v>1125</v>
      </c>
      <c r="B708" s="1" t="s">
        <v>1124</v>
      </c>
      <c r="C708" s="1" t="s">
        <v>15</v>
      </c>
      <c r="D708" s="3">
        <f t="shared" si="95"/>
        <v>8390</v>
      </c>
      <c r="E708" s="2">
        <f t="shared" si="96"/>
        <v>43466</v>
      </c>
      <c r="F708" s="2">
        <f t="shared" si="97"/>
        <v>44196</v>
      </c>
    </row>
    <row r="709" spans="1:6" x14ac:dyDescent="0.25">
      <c r="A709" s="1" t="s">
        <v>1125</v>
      </c>
      <c r="B709" s="1" t="s">
        <v>1124</v>
      </c>
      <c r="C709" s="1" t="s">
        <v>17</v>
      </c>
      <c r="D709" s="3">
        <f t="shared" si="95"/>
        <v>8390</v>
      </c>
      <c r="E709" s="2">
        <f t="shared" si="96"/>
        <v>43466</v>
      </c>
      <c r="F709" s="2">
        <f t="shared" si="97"/>
        <v>44196</v>
      </c>
    </row>
    <row r="710" spans="1:6" x14ac:dyDescent="0.25">
      <c r="A710" s="1" t="s">
        <v>1125</v>
      </c>
      <c r="B710" s="1" t="s">
        <v>1124</v>
      </c>
      <c r="C710" s="1" t="s">
        <v>22</v>
      </c>
      <c r="D710" s="3">
        <f t="shared" si="95"/>
        <v>8390</v>
      </c>
      <c r="E710" s="2">
        <f t="shared" si="96"/>
        <v>43466</v>
      </c>
      <c r="F710" s="2">
        <f t="shared" si="97"/>
        <v>44196</v>
      </c>
    </row>
    <row r="711" spans="1:6" x14ac:dyDescent="0.25">
      <c r="A711" s="1" t="s">
        <v>1125</v>
      </c>
      <c r="B711" s="1" t="s">
        <v>1124</v>
      </c>
      <c r="C711" s="1" t="s">
        <v>146</v>
      </c>
      <c r="D711" s="3">
        <f t="shared" si="95"/>
        <v>8390</v>
      </c>
      <c r="E711" s="2">
        <f t="shared" si="96"/>
        <v>43466</v>
      </c>
      <c r="F711" s="2">
        <f t="shared" si="97"/>
        <v>44196</v>
      </c>
    </row>
    <row r="712" spans="1:6" x14ac:dyDescent="0.25">
      <c r="A712" s="1" t="s">
        <v>1125</v>
      </c>
      <c r="B712" s="1" t="s">
        <v>1124</v>
      </c>
      <c r="C712" s="1" t="s">
        <v>67</v>
      </c>
      <c r="D712" s="3">
        <f t="shared" si="95"/>
        <v>8390</v>
      </c>
      <c r="E712" s="2">
        <f t="shared" si="96"/>
        <v>43466</v>
      </c>
      <c r="F712" s="2">
        <f t="shared" si="97"/>
        <v>44196</v>
      </c>
    </row>
    <row r="713" spans="1:6" x14ac:dyDescent="0.25">
      <c r="A713" s="1" t="s">
        <v>1125</v>
      </c>
      <c r="B713" s="1" t="s">
        <v>1124</v>
      </c>
      <c r="C713" s="1" t="s">
        <v>92</v>
      </c>
      <c r="D713" s="3">
        <f t="shared" si="95"/>
        <v>8390</v>
      </c>
      <c r="E713" s="2">
        <f t="shared" si="96"/>
        <v>43466</v>
      </c>
      <c r="F713" s="2">
        <f t="shared" si="97"/>
        <v>44196</v>
      </c>
    </row>
    <row r="714" spans="1:6" x14ac:dyDescent="0.25">
      <c r="A714" s="1" t="s">
        <v>1125</v>
      </c>
      <c r="B714" s="1" t="s">
        <v>1124</v>
      </c>
      <c r="C714" s="1" t="s">
        <v>73</v>
      </c>
      <c r="D714" s="3">
        <f t="shared" si="95"/>
        <v>8390</v>
      </c>
      <c r="E714" s="2">
        <f t="shared" si="96"/>
        <v>43466</v>
      </c>
      <c r="F714" s="2">
        <f t="shared" si="97"/>
        <v>44196</v>
      </c>
    </row>
    <row r="715" spans="1:6" x14ac:dyDescent="0.25">
      <c r="A715" s="1" t="s">
        <v>1125</v>
      </c>
      <c r="B715" s="1" t="s">
        <v>1124</v>
      </c>
      <c r="C715" s="1" t="s">
        <v>52</v>
      </c>
      <c r="D715" s="3">
        <f t="shared" si="95"/>
        <v>8390</v>
      </c>
      <c r="E715" s="2">
        <f t="shared" si="96"/>
        <v>43466</v>
      </c>
      <c r="F715" s="2">
        <f t="shared" si="97"/>
        <v>44196</v>
      </c>
    </row>
    <row r="716" spans="1:6" x14ac:dyDescent="0.25">
      <c r="A716" s="1" t="s">
        <v>1125</v>
      </c>
      <c r="B716" s="1" t="s">
        <v>1124</v>
      </c>
      <c r="C716" s="1" t="s">
        <v>160</v>
      </c>
      <c r="D716" s="3">
        <f t="shared" si="95"/>
        <v>8390</v>
      </c>
      <c r="E716" s="2">
        <f t="shared" si="96"/>
        <v>43466</v>
      </c>
      <c r="F716" s="2">
        <f t="shared" si="97"/>
        <v>44196</v>
      </c>
    </row>
    <row r="717" spans="1:6" x14ac:dyDescent="0.25">
      <c r="A717" s="1" t="s">
        <v>1125</v>
      </c>
      <c r="B717" s="1" t="s">
        <v>1124</v>
      </c>
      <c r="C717" s="1" t="s">
        <v>35</v>
      </c>
      <c r="D717" s="3">
        <f t="shared" si="95"/>
        <v>8390</v>
      </c>
      <c r="E717" s="2">
        <f t="shared" si="96"/>
        <v>43466</v>
      </c>
      <c r="F717" s="2">
        <f t="shared" si="97"/>
        <v>44196</v>
      </c>
    </row>
    <row r="718" spans="1:6" x14ac:dyDescent="0.25">
      <c r="A718" s="1" t="s">
        <v>1125</v>
      </c>
      <c r="B718" s="1" t="s">
        <v>2295</v>
      </c>
      <c r="C718" s="1" t="s">
        <v>7</v>
      </c>
      <c r="D718" s="3">
        <f t="shared" ref="D718:D723" si="98">VALUE("8106")</f>
        <v>8106</v>
      </c>
      <c r="E718" s="2">
        <f t="shared" ref="E718:E723" si="99">DATEVALUE("1-10-2017")</f>
        <v>43009</v>
      </c>
      <c r="F718" s="2">
        <f t="shared" ref="F718:F723" si="100">DATEVALUE("30-6-2019")</f>
        <v>43646</v>
      </c>
    </row>
    <row r="719" spans="1:6" x14ac:dyDescent="0.25">
      <c r="A719" s="1" t="s">
        <v>1125</v>
      </c>
      <c r="B719" s="1" t="s">
        <v>2295</v>
      </c>
      <c r="C719" s="1" t="s">
        <v>259</v>
      </c>
      <c r="D719" s="3">
        <f t="shared" si="98"/>
        <v>8106</v>
      </c>
      <c r="E719" s="2">
        <f t="shared" si="99"/>
        <v>43009</v>
      </c>
      <c r="F719" s="2">
        <f t="shared" si="100"/>
        <v>43646</v>
      </c>
    </row>
    <row r="720" spans="1:6" x14ac:dyDescent="0.25">
      <c r="A720" s="1" t="s">
        <v>1125</v>
      </c>
      <c r="B720" s="1" t="s">
        <v>2295</v>
      </c>
      <c r="C720" s="1" t="s">
        <v>2033</v>
      </c>
      <c r="D720" s="3">
        <f t="shared" si="98"/>
        <v>8106</v>
      </c>
      <c r="E720" s="2">
        <f t="shared" si="99"/>
        <v>43009</v>
      </c>
      <c r="F720" s="2">
        <f t="shared" si="100"/>
        <v>43646</v>
      </c>
    </row>
    <row r="721" spans="1:6" x14ac:dyDescent="0.25">
      <c r="A721" s="1" t="s">
        <v>1125</v>
      </c>
      <c r="B721" s="1" t="s">
        <v>2295</v>
      </c>
      <c r="C721" s="1" t="s">
        <v>2296</v>
      </c>
      <c r="D721" s="3">
        <f t="shared" si="98"/>
        <v>8106</v>
      </c>
      <c r="E721" s="2">
        <f t="shared" si="99"/>
        <v>43009</v>
      </c>
      <c r="F721" s="2">
        <f t="shared" si="100"/>
        <v>43646</v>
      </c>
    </row>
    <row r="722" spans="1:6" x14ac:dyDescent="0.25">
      <c r="A722" s="1" t="s">
        <v>1125</v>
      </c>
      <c r="B722" s="1" t="s">
        <v>2295</v>
      </c>
      <c r="C722" s="1" t="s">
        <v>260</v>
      </c>
      <c r="D722" s="3">
        <f t="shared" si="98"/>
        <v>8106</v>
      </c>
      <c r="E722" s="2">
        <f t="shared" si="99"/>
        <v>43009</v>
      </c>
      <c r="F722" s="2">
        <f t="shared" si="100"/>
        <v>43646</v>
      </c>
    </row>
    <row r="723" spans="1:6" x14ac:dyDescent="0.25">
      <c r="A723" s="1" t="s">
        <v>1125</v>
      </c>
      <c r="B723" s="1" t="s">
        <v>2295</v>
      </c>
      <c r="C723" s="1" t="s">
        <v>261</v>
      </c>
      <c r="D723" s="3">
        <f t="shared" si="98"/>
        <v>8106</v>
      </c>
      <c r="E723" s="2">
        <f t="shared" si="99"/>
        <v>43009</v>
      </c>
      <c r="F723" s="2">
        <f t="shared" si="100"/>
        <v>43646</v>
      </c>
    </row>
    <row r="724" spans="1:6" x14ac:dyDescent="0.25">
      <c r="A724" s="1" t="s">
        <v>1356</v>
      </c>
      <c r="B724" s="1" t="s">
        <v>1425</v>
      </c>
      <c r="C724" s="1" t="s">
        <v>14</v>
      </c>
      <c r="D724" s="3">
        <f t="shared" ref="D724:D743" si="101">VALUE("8640")</f>
        <v>8640</v>
      </c>
      <c r="E724" s="2">
        <f t="shared" ref="E724:E743" si="102">DATEVALUE("1-12-2019")</f>
        <v>43800</v>
      </c>
      <c r="F724" s="2">
        <f t="shared" ref="F724:F743" si="103">DATEVALUE("31-12-2020")</f>
        <v>44196</v>
      </c>
    </row>
    <row r="725" spans="1:6" x14ac:dyDescent="0.25">
      <c r="A725" s="1" t="s">
        <v>1356</v>
      </c>
      <c r="B725" s="1" t="s">
        <v>1425</v>
      </c>
      <c r="C725" s="1" t="s">
        <v>127</v>
      </c>
      <c r="D725" s="3">
        <f t="shared" si="101"/>
        <v>8640</v>
      </c>
      <c r="E725" s="2">
        <f t="shared" si="102"/>
        <v>43800</v>
      </c>
      <c r="F725" s="2">
        <f t="shared" si="103"/>
        <v>44196</v>
      </c>
    </row>
    <row r="726" spans="1:6" x14ac:dyDescent="0.25">
      <c r="A726" s="1" t="s">
        <v>1356</v>
      </c>
      <c r="B726" s="1" t="s">
        <v>1425</v>
      </c>
      <c r="C726" s="1" t="s">
        <v>500</v>
      </c>
      <c r="D726" s="3">
        <f t="shared" si="101"/>
        <v>8640</v>
      </c>
      <c r="E726" s="2">
        <f t="shared" si="102"/>
        <v>43800</v>
      </c>
      <c r="F726" s="2">
        <f t="shared" si="103"/>
        <v>44196</v>
      </c>
    </row>
    <row r="727" spans="1:6" x14ac:dyDescent="0.25">
      <c r="A727" s="1" t="s">
        <v>1356</v>
      </c>
      <c r="B727" s="1" t="s">
        <v>1425</v>
      </c>
      <c r="C727" s="1" t="s">
        <v>501</v>
      </c>
      <c r="D727" s="3">
        <f t="shared" si="101"/>
        <v>8640</v>
      </c>
      <c r="E727" s="2">
        <f t="shared" si="102"/>
        <v>43800</v>
      </c>
      <c r="F727" s="2">
        <f t="shared" si="103"/>
        <v>44196</v>
      </c>
    </row>
    <row r="728" spans="1:6" x14ac:dyDescent="0.25">
      <c r="A728" s="1" t="s">
        <v>1356</v>
      </c>
      <c r="B728" s="1" t="s">
        <v>1425</v>
      </c>
      <c r="C728" s="1" t="s">
        <v>383</v>
      </c>
      <c r="D728" s="3">
        <f t="shared" si="101"/>
        <v>8640</v>
      </c>
      <c r="E728" s="2">
        <f t="shared" si="102"/>
        <v>43800</v>
      </c>
      <c r="F728" s="2">
        <f t="shared" si="103"/>
        <v>44196</v>
      </c>
    </row>
    <row r="729" spans="1:6" x14ac:dyDescent="0.25">
      <c r="A729" s="1" t="s">
        <v>1356</v>
      </c>
      <c r="B729" s="1" t="s">
        <v>1425</v>
      </c>
      <c r="C729" s="1" t="s">
        <v>146</v>
      </c>
      <c r="D729" s="3">
        <f t="shared" si="101"/>
        <v>8640</v>
      </c>
      <c r="E729" s="2">
        <f t="shared" si="102"/>
        <v>43800</v>
      </c>
      <c r="F729" s="2">
        <f t="shared" si="103"/>
        <v>44196</v>
      </c>
    </row>
    <row r="730" spans="1:6" x14ac:dyDescent="0.25">
      <c r="A730" s="1" t="s">
        <v>1356</v>
      </c>
      <c r="B730" s="1" t="s">
        <v>1425</v>
      </c>
      <c r="C730" s="1" t="s">
        <v>400</v>
      </c>
      <c r="D730" s="3">
        <f t="shared" si="101"/>
        <v>8640</v>
      </c>
      <c r="E730" s="2">
        <f t="shared" si="102"/>
        <v>43800</v>
      </c>
      <c r="F730" s="2">
        <f t="shared" si="103"/>
        <v>44196</v>
      </c>
    </row>
    <row r="731" spans="1:6" x14ac:dyDescent="0.25">
      <c r="A731" s="1" t="s">
        <v>1356</v>
      </c>
      <c r="B731" s="1" t="s">
        <v>1425</v>
      </c>
      <c r="C731" s="1" t="s">
        <v>314</v>
      </c>
      <c r="D731" s="3">
        <f t="shared" si="101"/>
        <v>8640</v>
      </c>
      <c r="E731" s="2">
        <f t="shared" si="102"/>
        <v>43800</v>
      </c>
      <c r="F731" s="2">
        <f t="shared" si="103"/>
        <v>44196</v>
      </c>
    </row>
    <row r="732" spans="1:6" x14ac:dyDescent="0.25">
      <c r="A732" s="1" t="s">
        <v>1356</v>
      </c>
      <c r="B732" s="1" t="s">
        <v>1425</v>
      </c>
      <c r="C732" s="1" t="s">
        <v>315</v>
      </c>
      <c r="D732" s="3">
        <f t="shared" si="101"/>
        <v>8640</v>
      </c>
      <c r="E732" s="2">
        <f t="shared" si="102"/>
        <v>43800</v>
      </c>
      <c r="F732" s="2">
        <f t="shared" si="103"/>
        <v>44196</v>
      </c>
    </row>
    <row r="733" spans="1:6" x14ac:dyDescent="0.25">
      <c r="A733" s="1" t="s">
        <v>1356</v>
      </c>
      <c r="B733" s="1" t="s">
        <v>1425</v>
      </c>
      <c r="C733" s="1" t="s">
        <v>94</v>
      </c>
      <c r="D733" s="3">
        <f t="shared" si="101"/>
        <v>8640</v>
      </c>
      <c r="E733" s="2">
        <f t="shared" si="102"/>
        <v>43800</v>
      </c>
      <c r="F733" s="2">
        <f t="shared" si="103"/>
        <v>44196</v>
      </c>
    </row>
    <row r="734" spans="1:6" x14ac:dyDescent="0.25">
      <c r="A734" s="1" t="s">
        <v>1356</v>
      </c>
      <c r="B734" s="1" t="s">
        <v>1425</v>
      </c>
      <c r="C734" s="1" t="s">
        <v>571</v>
      </c>
      <c r="D734" s="3">
        <f t="shared" si="101"/>
        <v>8640</v>
      </c>
      <c r="E734" s="2">
        <f t="shared" si="102"/>
        <v>43800</v>
      </c>
      <c r="F734" s="2">
        <f t="shared" si="103"/>
        <v>44196</v>
      </c>
    </row>
    <row r="735" spans="1:6" x14ac:dyDescent="0.25">
      <c r="A735" s="1" t="s">
        <v>1356</v>
      </c>
      <c r="B735" s="1" t="s">
        <v>1425</v>
      </c>
      <c r="C735" s="1" t="s">
        <v>572</v>
      </c>
      <c r="D735" s="3">
        <f t="shared" si="101"/>
        <v>8640</v>
      </c>
      <c r="E735" s="2">
        <f t="shared" si="102"/>
        <v>43800</v>
      </c>
      <c r="F735" s="2">
        <f t="shared" si="103"/>
        <v>44196</v>
      </c>
    </row>
    <row r="736" spans="1:6" x14ac:dyDescent="0.25">
      <c r="A736" s="1" t="s">
        <v>1356</v>
      </c>
      <c r="B736" s="1" t="s">
        <v>1425</v>
      </c>
      <c r="C736" s="1" t="s">
        <v>573</v>
      </c>
      <c r="D736" s="3">
        <f t="shared" si="101"/>
        <v>8640</v>
      </c>
      <c r="E736" s="2">
        <f t="shared" si="102"/>
        <v>43800</v>
      </c>
      <c r="F736" s="2">
        <f t="shared" si="103"/>
        <v>44196</v>
      </c>
    </row>
    <row r="737" spans="1:6" x14ac:dyDescent="0.25">
      <c r="A737" s="1" t="s">
        <v>1356</v>
      </c>
      <c r="B737" s="1" t="s">
        <v>1425</v>
      </c>
      <c r="C737" s="1" t="s">
        <v>24</v>
      </c>
      <c r="D737" s="3">
        <f t="shared" si="101"/>
        <v>8640</v>
      </c>
      <c r="E737" s="2">
        <f t="shared" si="102"/>
        <v>43800</v>
      </c>
      <c r="F737" s="2">
        <f t="shared" si="103"/>
        <v>44196</v>
      </c>
    </row>
    <row r="738" spans="1:6" x14ac:dyDescent="0.25">
      <c r="A738" s="1" t="s">
        <v>1356</v>
      </c>
      <c r="B738" s="1" t="s">
        <v>1425</v>
      </c>
      <c r="C738" s="1" t="s">
        <v>1241</v>
      </c>
      <c r="D738" s="3">
        <f t="shared" si="101"/>
        <v>8640</v>
      </c>
      <c r="E738" s="2">
        <f t="shared" si="102"/>
        <v>43800</v>
      </c>
      <c r="F738" s="2">
        <f t="shared" si="103"/>
        <v>44196</v>
      </c>
    </row>
    <row r="739" spans="1:6" x14ac:dyDescent="0.25">
      <c r="A739" s="1" t="s">
        <v>1356</v>
      </c>
      <c r="B739" s="1" t="s">
        <v>1425</v>
      </c>
      <c r="C739" s="1" t="s">
        <v>283</v>
      </c>
      <c r="D739" s="3">
        <f t="shared" si="101"/>
        <v>8640</v>
      </c>
      <c r="E739" s="2">
        <f t="shared" si="102"/>
        <v>43800</v>
      </c>
      <c r="F739" s="2">
        <f t="shared" si="103"/>
        <v>44196</v>
      </c>
    </row>
    <row r="740" spans="1:6" x14ac:dyDescent="0.25">
      <c r="A740" s="1" t="s">
        <v>1356</v>
      </c>
      <c r="B740" s="1" t="s">
        <v>1425</v>
      </c>
      <c r="C740" s="1" t="s">
        <v>34</v>
      </c>
      <c r="D740" s="3">
        <f t="shared" si="101"/>
        <v>8640</v>
      </c>
      <c r="E740" s="2">
        <f t="shared" si="102"/>
        <v>43800</v>
      </c>
      <c r="F740" s="2">
        <f t="shared" si="103"/>
        <v>44196</v>
      </c>
    </row>
    <row r="741" spans="1:6" x14ac:dyDescent="0.25">
      <c r="A741" s="1" t="s">
        <v>1356</v>
      </c>
      <c r="B741" s="1" t="s">
        <v>1425</v>
      </c>
      <c r="C741" s="1" t="s">
        <v>397</v>
      </c>
      <c r="D741" s="3">
        <f t="shared" si="101"/>
        <v>8640</v>
      </c>
      <c r="E741" s="2">
        <f t="shared" si="102"/>
        <v>43800</v>
      </c>
      <c r="F741" s="2">
        <f t="shared" si="103"/>
        <v>44196</v>
      </c>
    </row>
    <row r="742" spans="1:6" x14ac:dyDescent="0.25">
      <c r="A742" s="1" t="s">
        <v>1356</v>
      </c>
      <c r="B742" s="1" t="s">
        <v>1425</v>
      </c>
      <c r="C742" s="1" t="s">
        <v>520</v>
      </c>
      <c r="D742" s="3">
        <f t="shared" si="101"/>
        <v>8640</v>
      </c>
      <c r="E742" s="2">
        <f t="shared" si="102"/>
        <v>43800</v>
      </c>
      <c r="F742" s="2">
        <f t="shared" si="103"/>
        <v>44196</v>
      </c>
    </row>
    <row r="743" spans="1:6" x14ac:dyDescent="0.25">
      <c r="A743" s="1" t="s">
        <v>1356</v>
      </c>
      <c r="B743" s="1" t="s">
        <v>1425</v>
      </c>
      <c r="C743" s="1" t="s">
        <v>170</v>
      </c>
      <c r="D743" s="3">
        <f t="shared" si="101"/>
        <v>8640</v>
      </c>
      <c r="E743" s="2">
        <f t="shared" si="102"/>
        <v>43800</v>
      </c>
      <c r="F743" s="2">
        <f t="shared" si="103"/>
        <v>44196</v>
      </c>
    </row>
    <row r="744" spans="1:6" x14ac:dyDescent="0.25">
      <c r="A744" s="1" t="s">
        <v>1356</v>
      </c>
      <c r="B744" s="1" t="s">
        <v>1355</v>
      </c>
      <c r="C744" s="1" t="s">
        <v>14</v>
      </c>
      <c r="D744" s="3">
        <f t="shared" ref="D744:D753" si="104">VALUE("8586")</f>
        <v>8586</v>
      </c>
      <c r="E744" s="2">
        <f t="shared" ref="E744:E753" si="105">DATEVALUE("1-8-2019")</f>
        <v>43678</v>
      </c>
      <c r="F744" s="2">
        <f t="shared" ref="F744:F753" si="106">DATEVALUE("31-1-2021")</f>
        <v>44227</v>
      </c>
    </row>
    <row r="745" spans="1:6" x14ac:dyDescent="0.25">
      <c r="A745" s="1" t="s">
        <v>1356</v>
      </c>
      <c r="B745" s="1" t="s">
        <v>1355</v>
      </c>
      <c r="C745" s="1" t="s">
        <v>15</v>
      </c>
      <c r="D745" s="3">
        <f t="shared" si="104"/>
        <v>8586</v>
      </c>
      <c r="E745" s="2">
        <f t="shared" si="105"/>
        <v>43678</v>
      </c>
      <c r="F745" s="2">
        <f t="shared" si="106"/>
        <v>44227</v>
      </c>
    </row>
    <row r="746" spans="1:6" x14ac:dyDescent="0.25">
      <c r="A746" s="1" t="s">
        <v>1356</v>
      </c>
      <c r="B746" s="1" t="s">
        <v>1355</v>
      </c>
      <c r="C746" s="1" t="s">
        <v>17</v>
      </c>
      <c r="D746" s="3">
        <f t="shared" si="104"/>
        <v>8586</v>
      </c>
      <c r="E746" s="2">
        <f t="shared" si="105"/>
        <v>43678</v>
      </c>
      <c r="F746" s="2">
        <f t="shared" si="106"/>
        <v>44227</v>
      </c>
    </row>
    <row r="747" spans="1:6" x14ac:dyDescent="0.25">
      <c r="A747" s="1" t="s">
        <v>1356</v>
      </c>
      <c r="B747" s="1" t="s">
        <v>1355</v>
      </c>
      <c r="C747" s="1" t="s">
        <v>22</v>
      </c>
      <c r="D747" s="3">
        <f t="shared" si="104"/>
        <v>8586</v>
      </c>
      <c r="E747" s="2">
        <f t="shared" si="105"/>
        <v>43678</v>
      </c>
      <c r="F747" s="2">
        <f t="shared" si="106"/>
        <v>44227</v>
      </c>
    </row>
    <row r="748" spans="1:6" x14ac:dyDescent="0.25">
      <c r="A748" s="1" t="s">
        <v>1356</v>
      </c>
      <c r="B748" s="1" t="s">
        <v>1355</v>
      </c>
      <c r="C748" s="1" t="s">
        <v>146</v>
      </c>
      <c r="D748" s="3">
        <f t="shared" si="104"/>
        <v>8586</v>
      </c>
      <c r="E748" s="2">
        <f t="shared" si="105"/>
        <v>43678</v>
      </c>
      <c r="F748" s="2">
        <f t="shared" si="106"/>
        <v>44227</v>
      </c>
    </row>
    <row r="749" spans="1:6" x14ac:dyDescent="0.25">
      <c r="A749" s="1" t="s">
        <v>1356</v>
      </c>
      <c r="B749" s="1" t="s">
        <v>1355</v>
      </c>
      <c r="C749" s="1" t="s">
        <v>384</v>
      </c>
      <c r="D749" s="3">
        <f t="shared" si="104"/>
        <v>8586</v>
      </c>
      <c r="E749" s="2">
        <f t="shared" si="105"/>
        <v>43678</v>
      </c>
      <c r="F749" s="2">
        <f t="shared" si="106"/>
        <v>44227</v>
      </c>
    </row>
    <row r="750" spans="1:6" x14ac:dyDescent="0.25">
      <c r="A750" s="1" t="s">
        <v>1356</v>
      </c>
      <c r="B750" s="1" t="s">
        <v>1355</v>
      </c>
      <c r="C750" s="1" t="s">
        <v>387</v>
      </c>
      <c r="D750" s="3">
        <f t="shared" si="104"/>
        <v>8586</v>
      </c>
      <c r="E750" s="2">
        <f t="shared" si="105"/>
        <v>43678</v>
      </c>
      <c r="F750" s="2">
        <f t="shared" si="106"/>
        <v>44227</v>
      </c>
    </row>
    <row r="751" spans="1:6" x14ac:dyDescent="0.25">
      <c r="A751" s="1" t="s">
        <v>1356</v>
      </c>
      <c r="B751" s="1" t="s">
        <v>1355</v>
      </c>
      <c r="C751" s="1" t="s">
        <v>94</v>
      </c>
      <c r="D751" s="3">
        <f t="shared" si="104"/>
        <v>8586</v>
      </c>
      <c r="E751" s="2">
        <f t="shared" si="105"/>
        <v>43678</v>
      </c>
      <c r="F751" s="2">
        <f t="shared" si="106"/>
        <v>44227</v>
      </c>
    </row>
    <row r="752" spans="1:6" x14ac:dyDescent="0.25">
      <c r="A752" s="1" t="s">
        <v>1356</v>
      </c>
      <c r="B752" s="1" t="s">
        <v>1355</v>
      </c>
      <c r="C752" s="1" t="s">
        <v>73</v>
      </c>
      <c r="D752" s="3">
        <f t="shared" si="104"/>
        <v>8586</v>
      </c>
      <c r="E752" s="2">
        <f t="shared" si="105"/>
        <v>43678</v>
      </c>
      <c r="F752" s="2">
        <f t="shared" si="106"/>
        <v>44227</v>
      </c>
    </row>
    <row r="753" spans="1:6" x14ac:dyDescent="0.25">
      <c r="A753" s="1" t="s">
        <v>1356</v>
      </c>
      <c r="B753" s="1" t="s">
        <v>1355</v>
      </c>
      <c r="C753" s="1" t="s">
        <v>34</v>
      </c>
      <c r="D753" s="3">
        <f t="shared" si="104"/>
        <v>8586</v>
      </c>
      <c r="E753" s="2">
        <f t="shared" si="105"/>
        <v>43678</v>
      </c>
      <c r="F753" s="2">
        <f t="shared" si="106"/>
        <v>44227</v>
      </c>
    </row>
    <row r="754" spans="1:6" x14ac:dyDescent="0.25">
      <c r="A754" s="1" t="s">
        <v>1613</v>
      </c>
      <c r="B754" s="1" t="s">
        <v>1612</v>
      </c>
      <c r="C754" s="1" t="s">
        <v>17</v>
      </c>
      <c r="D754" s="3">
        <f t="shared" ref="D754:D760" si="107">VALUE("8794")</f>
        <v>8794</v>
      </c>
      <c r="E754" s="2">
        <f t="shared" ref="E754:E760" si="108">DATEVALUE("1-6-2020")</f>
        <v>43983</v>
      </c>
      <c r="F754" s="2">
        <f t="shared" ref="F754:F760" si="109">DATEVALUE("30-11-2020")</f>
        <v>44165</v>
      </c>
    </row>
    <row r="755" spans="1:6" x14ac:dyDescent="0.25">
      <c r="A755" s="1" t="s">
        <v>1613</v>
      </c>
      <c r="B755" s="1" t="s">
        <v>1612</v>
      </c>
      <c r="C755" s="1" t="s">
        <v>146</v>
      </c>
      <c r="D755" s="3">
        <f t="shared" si="107"/>
        <v>8794</v>
      </c>
      <c r="E755" s="2">
        <f t="shared" si="108"/>
        <v>43983</v>
      </c>
      <c r="F755" s="2">
        <f t="shared" si="109"/>
        <v>44165</v>
      </c>
    </row>
    <row r="756" spans="1:6" x14ac:dyDescent="0.25">
      <c r="A756" s="1" t="s">
        <v>1613</v>
      </c>
      <c r="B756" s="1" t="s">
        <v>1612</v>
      </c>
      <c r="C756" s="1" t="s">
        <v>386</v>
      </c>
      <c r="D756" s="3">
        <f t="shared" si="107"/>
        <v>8794</v>
      </c>
      <c r="E756" s="2">
        <f t="shared" si="108"/>
        <v>43983</v>
      </c>
      <c r="F756" s="2">
        <f t="shared" si="109"/>
        <v>44165</v>
      </c>
    </row>
    <row r="757" spans="1:6" x14ac:dyDescent="0.25">
      <c r="A757" s="1" t="s">
        <v>1613</v>
      </c>
      <c r="B757" s="1" t="s">
        <v>1612</v>
      </c>
      <c r="C757" s="1" t="s">
        <v>387</v>
      </c>
      <c r="D757" s="3">
        <f t="shared" si="107"/>
        <v>8794</v>
      </c>
      <c r="E757" s="2">
        <f t="shared" si="108"/>
        <v>43983</v>
      </c>
      <c r="F757" s="2">
        <f t="shared" si="109"/>
        <v>44165</v>
      </c>
    </row>
    <row r="758" spans="1:6" x14ac:dyDescent="0.25">
      <c r="A758" s="1" t="s">
        <v>1613</v>
      </c>
      <c r="B758" s="1" t="s">
        <v>1612</v>
      </c>
      <c r="C758" s="1" t="s">
        <v>388</v>
      </c>
      <c r="D758" s="3">
        <f t="shared" si="107"/>
        <v>8794</v>
      </c>
      <c r="E758" s="2">
        <f t="shared" si="108"/>
        <v>43983</v>
      </c>
      <c r="F758" s="2">
        <f t="shared" si="109"/>
        <v>44165</v>
      </c>
    </row>
    <row r="759" spans="1:6" x14ac:dyDescent="0.25">
      <c r="A759" s="1" t="s">
        <v>1613</v>
      </c>
      <c r="B759" s="1" t="s">
        <v>1612</v>
      </c>
      <c r="C759" s="1" t="s">
        <v>400</v>
      </c>
      <c r="D759" s="3">
        <f t="shared" si="107"/>
        <v>8794</v>
      </c>
      <c r="E759" s="2">
        <f t="shared" si="108"/>
        <v>43983</v>
      </c>
      <c r="F759" s="2">
        <f t="shared" si="109"/>
        <v>44165</v>
      </c>
    </row>
    <row r="760" spans="1:6" x14ac:dyDescent="0.25">
      <c r="A760" s="1" t="s">
        <v>1613</v>
      </c>
      <c r="B760" s="1" t="s">
        <v>1612</v>
      </c>
      <c r="C760" s="1" t="s">
        <v>457</v>
      </c>
      <c r="D760" s="3">
        <f t="shared" si="107"/>
        <v>8794</v>
      </c>
      <c r="E760" s="2">
        <f t="shared" si="108"/>
        <v>43983</v>
      </c>
      <c r="F760" s="2">
        <f t="shared" si="109"/>
        <v>44165</v>
      </c>
    </row>
    <row r="761" spans="1:6" x14ac:dyDescent="0.25">
      <c r="A761" s="1" t="s">
        <v>1613</v>
      </c>
      <c r="B761" s="1" t="s">
        <v>2100</v>
      </c>
      <c r="C761" s="1" t="s">
        <v>676</v>
      </c>
      <c r="D761" s="3">
        <f t="shared" ref="D761:D774" si="110">VALUE("8580")</f>
        <v>8580</v>
      </c>
      <c r="E761" s="2">
        <f t="shared" ref="E761:E774" si="111">DATEVALUE("1-8-2019")</f>
        <v>43678</v>
      </c>
      <c r="F761" s="2">
        <f t="shared" ref="F761:F774" si="112">DATEVALUE("29-2-2020")</f>
        <v>43890</v>
      </c>
    </row>
    <row r="762" spans="1:6" x14ac:dyDescent="0.25">
      <c r="A762" s="1" t="s">
        <v>1613</v>
      </c>
      <c r="B762" s="1" t="s">
        <v>2100</v>
      </c>
      <c r="C762" s="1" t="s">
        <v>14</v>
      </c>
      <c r="D762" s="3">
        <f t="shared" si="110"/>
        <v>8580</v>
      </c>
      <c r="E762" s="2">
        <f t="shared" si="111"/>
        <v>43678</v>
      </c>
      <c r="F762" s="2">
        <f t="shared" si="112"/>
        <v>43890</v>
      </c>
    </row>
    <row r="763" spans="1:6" x14ac:dyDescent="0.25">
      <c r="A763" s="1" t="s">
        <v>1613</v>
      </c>
      <c r="B763" s="1" t="s">
        <v>2100</v>
      </c>
      <c r="C763" s="1" t="s">
        <v>15</v>
      </c>
      <c r="D763" s="3">
        <f t="shared" si="110"/>
        <v>8580</v>
      </c>
      <c r="E763" s="2">
        <f t="shared" si="111"/>
        <v>43678</v>
      </c>
      <c r="F763" s="2">
        <f t="shared" si="112"/>
        <v>43890</v>
      </c>
    </row>
    <row r="764" spans="1:6" x14ac:dyDescent="0.25">
      <c r="A764" s="1" t="s">
        <v>1613</v>
      </c>
      <c r="B764" s="1" t="s">
        <v>2100</v>
      </c>
      <c r="C764" s="1" t="s">
        <v>17</v>
      </c>
      <c r="D764" s="3">
        <f t="shared" si="110"/>
        <v>8580</v>
      </c>
      <c r="E764" s="2">
        <f t="shared" si="111"/>
        <v>43678</v>
      </c>
      <c r="F764" s="2">
        <f t="shared" si="112"/>
        <v>43890</v>
      </c>
    </row>
    <row r="765" spans="1:6" x14ac:dyDescent="0.25">
      <c r="A765" s="1" t="s">
        <v>1613</v>
      </c>
      <c r="B765" s="1" t="s">
        <v>2100</v>
      </c>
      <c r="C765" s="1" t="s">
        <v>441</v>
      </c>
      <c r="D765" s="3">
        <f t="shared" si="110"/>
        <v>8580</v>
      </c>
      <c r="E765" s="2">
        <f t="shared" si="111"/>
        <v>43678</v>
      </c>
      <c r="F765" s="2">
        <f t="shared" si="112"/>
        <v>43890</v>
      </c>
    </row>
    <row r="766" spans="1:6" x14ac:dyDescent="0.25">
      <c r="A766" s="1" t="s">
        <v>1613</v>
      </c>
      <c r="B766" s="1" t="s">
        <v>2100</v>
      </c>
      <c r="C766" s="1" t="s">
        <v>167</v>
      </c>
      <c r="D766" s="3">
        <f t="shared" si="110"/>
        <v>8580</v>
      </c>
      <c r="E766" s="2">
        <f t="shared" si="111"/>
        <v>43678</v>
      </c>
      <c r="F766" s="2">
        <f t="shared" si="112"/>
        <v>43890</v>
      </c>
    </row>
    <row r="767" spans="1:6" x14ac:dyDescent="0.25">
      <c r="A767" s="1" t="s">
        <v>1613</v>
      </c>
      <c r="B767" s="1" t="s">
        <v>2100</v>
      </c>
      <c r="C767" s="1" t="s">
        <v>500</v>
      </c>
      <c r="D767" s="3">
        <f t="shared" si="110"/>
        <v>8580</v>
      </c>
      <c r="E767" s="2">
        <f t="shared" si="111"/>
        <v>43678</v>
      </c>
      <c r="F767" s="2">
        <f t="shared" si="112"/>
        <v>43890</v>
      </c>
    </row>
    <row r="768" spans="1:6" x14ac:dyDescent="0.25">
      <c r="A768" s="1" t="s">
        <v>1613</v>
      </c>
      <c r="B768" s="1" t="s">
        <v>2100</v>
      </c>
      <c r="C768" s="1" t="s">
        <v>501</v>
      </c>
      <c r="D768" s="3">
        <f t="shared" si="110"/>
        <v>8580</v>
      </c>
      <c r="E768" s="2">
        <f t="shared" si="111"/>
        <v>43678</v>
      </c>
      <c r="F768" s="2">
        <f t="shared" si="112"/>
        <v>43890</v>
      </c>
    </row>
    <row r="769" spans="1:6" x14ac:dyDescent="0.25">
      <c r="A769" s="1" t="s">
        <v>1613</v>
      </c>
      <c r="B769" s="1" t="s">
        <v>2100</v>
      </c>
      <c r="C769" s="1" t="s">
        <v>22</v>
      </c>
      <c r="D769" s="3">
        <f t="shared" si="110"/>
        <v>8580</v>
      </c>
      <c r="E769" s="2">
        <f t="shared" si="111"/>
        <v>43678</v>
      </c>
      <c r="F769" s="2">
        <f t="shared" si="112"/>
        <v>43890</v>
      </c>
    </row>
    <row r="770" spans="1:6" x14ac:dyDescent="0.25">
      <c r="A770" s="1" t="s">
        <v>1613</v>
      </c>
      <c r="B770" s="1" t="s">
        <v>2100</v>
      </c>
      <c r="C770" s="1" t="s">
        <v>258</v>
      </c>
      <c r="D770" s="3">
        <f t="shared" si="110"/>
        <v>8580</v>
      </c>
      <c r="E770" s="2">
        <f t="shared" si="111"/>
        <v>43678</v>
      </c>
      <c r="F770" s="2">
        <f t="shared" si="112"/>
        <v>43890</v>
      </c>
    </row>
    <row r="771" spans="1:6" x14ac:dyDescent="0.25">
      <c r="A771" s="1" t="s">
        <v>1613</v>
      </c>
      <c r="B771" s="1" t="s">
        <v>2100</v>
      </c>
      <c r="C771" s="1" t="s">
        <v>146</v>
      </c>
      <c r="D771" s="3">
        <f t="shared" si="110"/>
        <v>8580</v>
      </c>
      <c r="E771" s="2">
        <f t="shared" si="111"/>
        <v>43678</v>
      </c>
      <c r="F771" s="2">
        <f t="shared" si="112"/>
        <v>43890</v>
      </c>
    </row>
    <row r="772" spans="1:6" x14ac:dyDescent="0.25">
      <c r="A772" s="1" t="s">
        <v>1613</v>
      </c>
      <c r="B772" s="1" t="s">
        <v>2100</v>
      </c>
      <c r="C772" s="1" t="s">
        <v>387</v>
      </c>
      <c r="D772" s="3">
        <f t="shared" si="110"/>
        <v>8580</v>
      </c>
      <c r="E772" s="2">
        <f t="shared" si="111"/>
        <v>43678</v>
      </c>
      <c r="F772" s="2">
        <f t="shared" si="112"/>
        <v>43890</v>
      </c>
    </row>
    <row r="773" spans="1:6" x14ac:dyDescent="0.25">
      <c r="A773" s="1" t="s">
        <v>1613</v>
      </c>
      <c r="B773" s="1" t="s">
        <v>2100</v>
      </c>
      <c r="C773" s="1" t="s">
        <v>131</v>
      </c>
      <c r="D773" s="3">
        <f t="shared" si="110"/>
        <v>8580</v>
      </c>
      <c r="E773" s="2">
        <f t="shared" si="111"/>
        <v>43678</v>
      </c>
      <c r="F773" s="2">
        <f t="shared" si="112"/>
        <v>43890</v>
      </c>
    </row>
    <row r="774" spans="1:6" x14ac:dyDescent="0.25">
      <c r="A774" s="1" t="s">
        <v>1613</v>
      </c>
      <c r="B774" s="1" t="s">
        <v>2100</v>
      </c>
      <c r="C774" s="1" t="s">
        <v>170</v>
      </c>
      <c r="D774" s="3">
        <f t="shared" si="110"/>
        <v>8580</v>
      </c>
      <c r="E774" s="2">
        <f t="shared" si="111"/>
        <v>43678</v>
      </c>
      <c r="F774" s="2">
        <f t="shared" si="112"/>
        <v>43890</v>
      </c>
    </row>
    <row r="775" spans="1:6" x14ac:dyDescent="0.25">
      <c r="A775" s="1" t="s">
        <v>1613</v>
      </c>
      <c r="B775" s="1" t="s">
        <v>2094</v>
      </c>
      <c r="C775" s="1" t="s">
        <v>17</v>
      </c>
      <c r="D775" s="3">
        <f>VALUE("8497")</f>
        <v>8497</v>
      </c>
      <c r="E775" s="2">
        <f>DATEVALUE("1-4-2019")</f>
        <v>43556</v>
      </c>
      <c r="F775" s="2">
        <f>DATEVALUE("31-5-2019")</f>
        <v>43616</v>
      </c>
    </row>
    <row r="776" spans="1:6" x14ac:dyDescent="0.25">
      <c r="A776" s="1" t="s">
        <v>1613</v>
      </c>
      <c r="B776" s="1" t="s">
        <v>2094</v>
      </c>
      <c r="C776" s="1" t="s">
        <v>127</v>
      </c>
      <c r="D776" s="3">
        <f>VALUE("8497")</f>
        <v>8497</v>
      </c>
      <c r="E776" s="2">
        <f>DATEVALUE("1-4-2019")</f>
        <v>43556</v>
      </c>
      <c r="F776" s="2">
        <f>DATEVALUE("31-5-2019")</f>
        <v>43616</v>
      </c>
    </row>
    <row r="777" spans="1:6" x14ac:dyDescent="0.25">
      <c r="A777" s="1" t="s">
        <v>1613</v>
      </c>
      <c r="B777" s="1" t="s">
        <v>2094</v>
      </c>
      <c r="C777" s="1" t="s">
        <v>167</v>
      </c>
      <c r="D777" s="3">
        <f>VALUE("8497")</f>
        <v>8497</v>
      </c>
      <c r="E777" s="2">
        <f>DATEVALUE("1-4-2019")</f>
        <v>43556</v>
      </c>
      <c r="F777" s="2">
        <f>DATEVALUE("31-5-2019")</f>
        <v>43616</v>
      </c>
    </row>
    <row r="778" spans="1:6" x14ac:dyDescent="0.25">
      <c r="A778" s="1" t="s">
        <v>1613</v>
      </c>
      <c r="B778" s="1" t="s">
        <v>2094</v>
      </c>
      <c r="C778" s="1" t="s">
        <v>387</v>
      </c>
      <c r="D778" s="3">
        <f>VALUE("8497")</f>
        <v>8497</v>
      </c>
      <c r="E778" s="2">
        <f>DATEVALUE("1-4-2019")</f>
        <v>43556</v>
      </c>
      <c r="F778" s="2">
        <f>DATEVALUE("31-5-2019")</f>
        <v>43616</v>
      </c>
    </row>
    <row r="779" spans="1:6" x14ac:dyDescent="0.25">
      <c r="A779" s="1" t="s">
        <v>1613</v>
      </c>
      <c r="B779" s="1" t="s">
        <v>2094</v>
      </c>
      <c r="C779" s="1" t="s">
        <v>131</v>
      </c>
      <c r="D779" s="3">
        <f>VALUE("8497")</f>
        <v>8497</v>
      </c>
      <c r="E779" s="2">
        <f>DATEVALUE("1-4-2019")</f>
        <v>43556</v>
      </c>
      <c r="F779" s="2">
        <f>DATEVALUE("31-5-2019")</f>
        <v>43616</v>
      </c>
    </row>
    <row r="780" spans="1:6" x14ac:dyDescent="0.25">
      <c r="A780" s="1" t="s">
        <v>1759</v>
      </c>
      <c r="B780" s="1" t="s">
        <v>1758</v>
      </c>
      <c r="C780" s="1" t="s">
        <v>361</v>
      </c>
      <c r="D780" s="3">
        <f t="shared" ref="D780:D797" si="113">VALUE("8018")</f>
        <v>8018</v>
      </c>
      <c r="E780" s="2">
        <f t="shared" ref="E780:E797" si="114">DATEVALUE("1-2-2017")</f>
        <v>42767</v>
      </c>
      <c r="F780" s="2">
        <f t="shared" ref="F780:F797" si="115">DATEVALUE("30-9-2018")</f>
        <v>43373</v>
      </c>
    </row>
    <row r="781" spans="1:6" x14ac:dyDescent="0.25">
      <c r="A781" s="1" t="s">
        <v>1759</v>
      </c>
      <c r="B781" s="1" t="s">
        <v>1758</v>
      </c>
      <c r="C781" s="1" t="s">
        <v>39</v>
      </c>
      <c r="D781" s="3">
        <f t="shared" si="113"/>
        <v>8018</v>
      </c>
      <c r="E781" s="2">
        <f t="shared" si="114"/>
        <v>42767</v>
      </c>
      <c r="F781" s="2">
        <f t="shared" si="115"/>
        <v>43373</v>
      </c>
    </row>
    <row r="782" spans="1:6" x14ac:dyDescent="0.25">
      <c r="A782" s="1" t="s">
        <v>1759</v>
      </c>
      <c r="B782" s="1" t="s">
        <v>1758</v>
      </c>
      <c r="C782" s="1" t="s">
        <v>61</v>
      </c>
      <c r="D782" s="3">
        <f t="shared" si="113"/>
        <v>8018</v>
      </c>
      <c r="E782" s="2">
        <f t="shared" si="114"/>
        <v>42767</v>
      </c>
      <c r="F782" s="2">
        <f t="shared" si="115"/>
        <v>43373</v>
      </c>
    </row>
    <row r="783" spans="1:6" x14ac:dyDescent="0.25">
      <c r="A783" s="1" t="s">
        <v>1759</v>
      </c>
      <c r="B783" s="1" t="s">
        <v>1758</v>
      </c>
      <c r="C783" s="1" t="s">
        <v>43</v>
      </c>
      <c r="D783" s="3">
        <f t="shared" si="113"/>
        <v>8018</v>
      </c>
      <c r="E783" s="2">
        <f t="shared" si="114"/>
        <v>42767</v>
      </c>
      <c r="F783" s="2">
        <f t="shared" si="115"/>
        <v>43373</v>
      </c>
    </row>
    <row r="784" spans="1:6" x14ac:dyDescent="0.25">
      <c r="A784" s="1" t="s">
        <v>1759</v>
      </c>
      <c r="B784" s="1" t="s">
        <v>1758</v>
      </c>
      <c r="C784" s="1" t="s">
        <v>683</v>
      </c>
      <c r="D784" s="3">
        <f t="shared" si="113"/>
        <v>8018</v>
      </c>
      <c r="E784" s="2">
        <f t="shared" si="114"/>
        <v>42767</v>
      </c>
      <c r="F784" s="2">
        <f t="shared" si="115"/>
        <v>43373</v>
      </c>
    </row>
    <row r="785" spans="1:6" x14ac:dyDescent="0.25">
      <c r="A785" s="1" t="s">
        <v>1759</v>
      </c>
      <c r="B785" s="1" t="s">
        <v>1758</v>
      </c>
      <c r="C785" s="1" t="s">
        <v>14</v>
      </c>
      <c r="D785" s="3">
        <f t="shared" si="113"/>
        <v>8018</v>
      </c>
      <c r="E785" s="2">
        <f t="shared" si="114"/>
        <v>42767</v>
      </c>
      <c r="F785" s="2">
        <f t="shared" si="115"/>
        <v>43373</v>
      </c>
    </row>
    <row r="786" spans="1:6" x14ac:dyDescent="0.25">
      <c r="A786" s="1" t="s">
        <v>1759</v>
      </c>
      <c r="B786" s="1" t="s">
        <v>1758</v>
      </c>
      <c r="C786" s="1" t="s">
        <v>17</v>
      </c>
      <c r="D786" s="3">
        <f t="shared" si="113"/>
        <v>8018</v>
      </c>
      <c r="E786" s="2">
        <f t="shared" si="114"/>
        <v>42767</v>
      </c>
      <c r="F786" s="2">
        <f t="shared" si="115"/>
        <v>43373</v>
      </c>
    </row>
    <row r="787" spans="1:6" x14ac:dyDescent="0.25">
      <c r="A787" s="1" t="s">
        <v>1759</v>
      </c>
      <c r="B787" s="1" t="s">
        <v>1758</v>
      </c>
      <c r="C787" s="1" t="s">
        <v>127</v>
      </c>
      <c r="D787" s="3">
        <f t="shared" si="113"/>
        <v>8018</v>
      </c>
      <c r="E787" s="2">
        <f t="shared" si="114"/>
        <v>42767</v>
      </c>
      <c r="F787" s="2">
        <f t="shared" si="115"/>
        <v>43373</v>
      </c>
    </row>
    <row r="788" spans="1:6" x14ac:dyDescent="0.25">
      <c r="A788" s="1" t="s">
        <v>1759</v>
      </c>
      <c r="B788" s="1" t="s">
        <v>1758</v>
      </c>
      <c r="C788" s="1" t="s">
        <v>22</v>
      </c>
      <c r="D788" s="3">
        <f t="shared" si="113"/>
        <v>8018</v>
      </c>
      <c r="E788" s="2">
        <f t="shared" si="114"/>
        <v>42767</v>
      </c>
      <c r="F788" s="2">
        <f t="shared" si="115"/>
        <v>43373</v>
      </c>
    </row>
    <row r="789" spans="1:6" x14ac:dyDescent="0.25">
      <c r="A789" s="1" t="s">
        <v>1759</v>
      </c>
      <c r="B789" s="1" t="s">
        <v>1758</v>
      </c>
      <c r="C789" s="1" t="s">
        <v>384</v>
      </c>
      <c r="D789" s="3">
        <f t="shared" si="113"/>
        <v>8018</v>
      </c>
      <c r="E789" s="2">
        <f t="shared" si="114"/>
        <v>42767</v>
      </c>
      <c r="F789" s="2">
        <f t="shared" si="115"/>
        <v>43373</v>
      </c>
    </row>
    <row r="790" spans="1:6" x14ac:dyDescent="0.25">
      <c r="A790" s="1" t="s">
        <v>1759</v>
      </c>
      <c r="B790" s="1" t="s">
        <v>1758</v>
      </c>
      <c r="C790" s="1" t="s">
        <v>684</v>
      </c>
      <c r="D790" s="3">
        <f t="shared" si="113"/>
        <v>8018</v>
      </c>
      <c r="E790" s="2">
        <f t="shared" si="114"/>
        <v>42767</v>
      </c>
      <c r="F790" s="2">
        <f t="shared" si="115"/>
        <v>43373</v>
      </c>
    </row>
    <row r="791" spans="1:6" x14ac:dyDescent="0.25">
      <c r="A791" s="1" t="s">
        <v>1759</v>
      </c>
      <c r="B791" s="1" t="s">
        <v>1758</v>
      </c>
      <c r="C791" s="1" t="s">
        <v>758</v>
      </c>
      <c r="D791" s="3">
        <f t="shared" si="113"/>
        <v>8018</v>
      </c>
      <c r="E791" s="2">
        <f t="shared" si="114"/>
        <v>42767</v>
      </c>
      <c r="F791" s="2">
        <f t="shared" si="115"/>
        <v>43373</v>
      </c>
    </row>
    <row r="792" spans="1:6" x14ac:dyDescent="0.25">
      <c r="A792" s="1" t="s">
        <v>1759</v>
      </c>
      <c r="B792" s="1" t="s">
        <v>1758</v>
      </c>
      <c r="C792" s="1" t="s">
        <v>70</v>
      </c>
      <c r="D792" s="3">
        <f t="shared" si="113"/>
        <v>8018</v>
      </c>
      <c r="E792" s="2">
        <f t="shared" si="114"/>
        <v>42767</v>
      </c>
      <c r="F792" s="2">
        <f t="shared" si="115"/>
        <v>43373</v>
      </c>
    </row>
    <row r="793" spans="1:6" x14ac:dyDescent="0.25">
      <c r="A793" s="1" t="s">
        <v>1759</v>
      </c>
      <c r="B793" s="1" t="s">
        <v>1758</v>
      </c>
      <c r="C793" s="1" t="s">
        <v>52</v>
      </c>
      <c r="D793" s="3">
        <f t="shared" si="113"/>
        <v>8018</v>
      </c>
      <c r="E793" s="2">
        <f t="shared" si="114"/>
        <v>42767</v>
      </c>
      <c r="F793" s="2">
        <f t="shared" si="115"/>
        <v>43373</v>
      </c>
    </row>
    <row r="794" spans="1:6" x14ac:dyDescent="0.25">
      <c r="A794" s="1" t="s">
        <v>1759</v>
      </c>
      <c r="B794" s="1" t="s">
        <v>1758</v>
      </c>
      <c r="C794" s="1" t="s">
        <v>459</v>
      </c>
      <c r="D794" s="3">
        <f t="shared" si="113"/>
        <v>8018</v>
      </c>
      <c r="E794" s="2">
        <f t="shared" si="114"/>
        <v>42767</v>
      </c>
      <c r="F794" s="2">
        <f t="shared" si="115"/>
        <v>43373</v>
      </c>
    </row>
    <row r="795" spans="1:6" x14ac:dyDescent="0.25">
      <c r="A795" s="1" t="s">
        <v>1759</v>
      </c>
      <c r="B795" s="1" t="s">
        <v>1758</v>
      </c>
      <c r="C795" s="1" t="s">
        <v>350</v>
      </c>
      <c r="D795" s="3">
        <f t="shared" si="113"/>
        <v>8018</v>
      </c>
      <c r="E795" s="2">
        <f t="shared" si="114"/>
        <v>42767</v>
      </c>
      <c r="F795" s="2">
        <f t="shared" si="115"/>
        <v>43373</v>
      </c>
    </row>
    <row r="796" spans="1:6" x14ac:dyDescent="0.25">
      <c r="A796" s="1" t="s">
        <v>1759</v>
      </c>
      <c r="B796" s="1" t="s">
        <v>1758</v>
      </c>
      <c r="C796" s="1" t="s">
        <v>1760</v>
      </c>
      <c r="D796" s="3">
        <f t="shared" si="113"/>
        <v>8018</v>
      </c>
      <c r="E796" s="2">
        <f t="shared" si="114"/>
        <v>42767</v>
      </c>
      <c r="F796" s="2">
        <f t="shared" si="115"/>
        <v>43373</v>
      </c>
    </row>
    <row r="797" spans="1:6" x14ac:dyDescent="0.25">
      <c r="A797" s="1" t="s">
        <v>1759</v>
      </c>
      <c r="B797" s="1" t="s">
        <v>1758</v>
      </c>
      <c r="C797" s="1" t="s">
        <v>34</v>
      </c>
      <c r="D797" s="3">
        <f t="shared" si="113"/>
        <v>8018</v>
      </c>
      <c r="E797" s="2">
        <f t="shared" si="114"/>
        <v>42767</v>
      </c>
      <c r="F797" s="2">
        <f t="shared" si="115"/>
        <v>43373</v>
      </c>
    </row>
    <row r="798" spans="1:6" x14ac:dyDescent="0.25">
      <c r="A798" s="1" t="s">
        <v>1759</v>
      </c>
      <c r="B798" s="1" t="s">
        <v>2779</v>
      </c>
      <c r="C798" s="1" t="s">
        <v>80</v>
      </c>
      <c r="D798" s="3">
        <f t="shared" ref="D798:D809" si="116">VALUE("7773")</f>
        <v>7773</v>
      </c>
      <c r="E798" s="2">
        <f t="shared" ref="E798:E809" si="117">DATEVALUE("1-6-2015")</f>
        <v>42156</v>
      </c>
      <c r="F798" s="2">
        <f t="shared" ref="F798:F809" si="118">DATEVALUE("29-2-2016")</f>
        <v>42429</v>
      </c>
    </row>
    <row r="799" spans="1:6" x14ac:dyDescent="0.25">
      <c r="A799" s="1" t="s">
        <v>1759</v>
      </c>
      <c r="B799" s="1" t="s">
        <v>2779</v>
      </c>
      <c r="C799" s="1" t="s">
        <v>39</v>
      </c>
      <c r="D799" s="3">
        <f t="shared" si="116"/>
        <v>7773</v>
      </c>
      <c r="E799" s="2">
        <f t="shared" si="117"/>
        <v>42156</v>
      </c>
      <c r="F799" s="2">
        <f t="shared" si="118"/>
        <v>42429</v>
      </c>
    </row>
    <row r="800" spans="1:6" x14ac:dyDescent="0.25">
      <c r="A800" s="1" t="s">
        <v>1759</v>
      </c>
      <c r="B800" s="1" t="s">
        <v>2779</v>
      </c>
      <c r="C800" s="1" t="s">
        <v>43</v>
      </c>
      <c r="D800" s="3">
        <f t="shared" si="116"/>
        <v>7773</v>
      </c>
      <c r="E800" s="2">
        <f t="shared" si="117"/>
        <v>42156</v>
      </c>
      <c r="F800" s="2">
        <f t="shared" si="118"/>
        <v>42429</v>
      </c>
    </row>
    <row r="801" spans="1:6" x14ac:dyDescent="0.25">
      <c r="A801" s="1" t="s">
        <v>1759</v>
      </c>
      <c r="B801" s="1" t="s">
        <v>2779</v>
      </c>
      <c r="C801" s="1" t="s">
        <v>346</v>
      </c>
      <c r="D801" s="3">
        <f t="shared" si="116"/>
        <v>7773</v>
      </c>
      <c r="E801" s="2">
        <f t="shared" si="117"/>
        <v>42156</v>
      </c>
      <c r="F801" s="2">
        <f t="shared" si="118"/>
        <v>42429</v>
      </c>
    </row>
    <row r="802" spans="1:6" x14ac:dyDescent="0.25">
      <c r="A802" s="1" t="s">
        <v>1759</v>
      </c>
      <c r="B802" s="1" t="s">
        <v>2779</v>
      </c>
      <c r="C802" s="1" t="s">
        <v>15</v>
      </c>
      <c r="D802" s="3">
        <f t="shared" si="116"/>
        <v>7773</v>
      </c>
      <c r="E802" s="2">
        <f t="shared" si="117"/>
        <v>42156</v>
      </c>
      <c r="F802" s="2">
        <f t="shared" si="118"/>
        <v>42429</v>
      </c>
    </row>
    <row r="803" spans="1:6" x14ac:dyDescent="0.25">
      <c r="A803" s="1" t="s">
        <v>1759</v>
      </c>
      <c r="B803" s="1" t="s">
        <v>2779</v>
      </c>
      <c r="C803" s="1" t="s">
        <v>17</v>
      </c>
      <c r="D803" s="3">
        <f t="shared" si="116"/>
        <v>7773</v>
      </c>
      <c r="E803" s="2">
        <f t="shared" si="117"/>
        <v>42156</v>
      </c>
      <c r="F803" s="2">
        <f t="shared" si="118"/>
        <v>42429</v>
      </c>
    </row>
    <row r="804" spans="1:6" x14ac:dyDescent="0.25">
      <c r="A804" s="1" t="s">
        <v>1759</v>
      </c>
      <c r="B804" s="1" t="s">
        <v>2779</v>
      </c>
      <c r="C804" s="1" t="s">
        <v>150</v>
      </c>
      <c r="D804" s="3">
        <f t="shared" si="116"/>
        <v>7773</v>
      </c>
      <c r="E804" s="2">
        <f t="shared" si="117"/>
        <v>42156</v>
      </c>
      <c r="F804" s="2">
        <f t="shared" si="118"/>
        <v>42429</v>
      </c>
    </row>
    <row r="805" spans="1:6" x14ac:dyDescent="0.25">
      <c r="A805" s="1" t="s">
        <v>1759</v>
      </c>
      <c r="B805" s="1" t="s">
        <v>2779</v>
      </c>
      <c r="C805" s="1" t="s">
        <v>73</v>
      </c>
      <c r="D805" s="3">
        <f t="shared" si="116"/>
        <v>7773</v>
      </c>
      <c r="E805" s="2">
        <f t="shared" si="117"/>
        <v>42156</v>
      </c>
      <c r="F805" s="2">
        <f t="shared" si="118"/>
        <v>42429</v>
      </c>
    </row>
    <row r="806" spans="1:6" x14ac:dyDescent="0.25">
      <c r="A806" s="1" t="s">
        <v>1759</v>
      </c>
      <c r="B806" s="1" t="s">
        <v>2779</v>
      </c>
      <c r="C806" s="1" t="s">
        <v>52</v>
      </c>
      <c r="D806" s="3">
        <f t="shared" si="116"/>
        <v>7773</v>
      </c>
      <c r="E806" s="2">
        <f t="shared" si="117"/>
        <v>42156</v>
      </c>
      <c r="F806" s="2">
        <f t="shared" si="118"/>
        <v>42429</v>
      </c>
    </row>
    <row r="807" spans="1:6" x14ac:dyDescent="0.25">
      <c r="A807" s="1" t="s">
        <v>1759</v>
      </c>
      <c r="B807" s="1" t="s">
        <v>2779</v>
      </c>
      <c r="C807" s="1" t="s">
        <v>352</v>
      </c>
      <c r="D807" s="3">
        <f t="shared" si="116"/>
        <v>7773</v>
      </c>
      <c r="E807" s="2">
        <f t="shared" si="117"/>
        <v>42156</v>
      </c>
      <c r="F807" s="2">
        <f t="shared" si="118"/>
        <v>42429</v>
      </c>
    </row>
    <row r="808" spans="1:6" x14ac:dyDescent="0.25">
      <c r="A808" s="1" t="s">
        <v>1759</v>
      </c>
      <c r="B808" s="1" t="s">
        <v>2779</v>
      </c>
      <c r="C808" s="1" t="s">
        <v>362</v>
      </c>
      <c r="D808" s="3">
        <f t="shared" si="116"/>
        <v>7773</v>
      </c>
      <c r="E808" s="2">
        <f t="shared" si="117"/>
        <v>42156</v>
      </c>
      <c r="F808" s="2">
        <f t="shared" si="118"/>
        <v>42429</v>
      </c>
    </row>
    <row r="809" spans="1:6" x14ac:dyDescent="0.25">
      <c r="A809" s="1" t="s">
        <v>1759</v>
      </c>
      <c r="B809" s="1" t="s">
        <v>2779</v>
      </c>
      <c r="C809" s="1" t="s">
        <v>170</v>
      </c>
      <c r="D809" s="3">
        <f t="shared" si="116"/>
        <v>7773</v>
      </c>
      <c r="E809" s="2">
        <f t="shared" si="117"/>
        <v>42156</v>
      </c>
      <c r="F809" s="2">
        <f t="shared" si="118"/>
        <v>42429</v>
      </c>
    </row>
    <row r="810" spans="1:6" x14ac:dyDescent="0.25">
      <c r="A810" s="1" t="s">
        <v>1759</v>
      </c>
      <c r="B810" s="1" t="s">
        <v>1963</v>
      </c>
      <c r="C810" s="1" t="s">
        <v>361</v>
      </c>
      <c r="D810" s="3">
        <f t="shared" ref="D810:D829" si="119">VALUE("7729")</f>
        <v>7729</v>
      </c>
      <c r="E810" s="2">
        <f t="shared" ref="E810:E829" si="120">DATEVALUE("1-3-2015")</f>
        <v>42064</v>
      </c>
      <c r="F810" s="2">
        <f t="shared" ref="F810:F829" si="121">DATEVALUE("30-9-2015")</f>
        <v>42277</v>
      </c>
    </row>
    <row r="811" spans="1:6" x14ac:dyDescent="0.25">
      <c r="A811" s="1" t="s">
        <v>1759</v>
      </c>
      <c r="B811" s="1" t="s">
        <v>1963</v>
      </c>
      <c r="C811" s="1" t="s">
        <v>39</v>
      </c>
      <c r="D811" s="3">
        <f t="shared" si="119"/>
        <v>7729</v>
      </c>
      <c r="E811" s="2">
        <f t="shared" si="120"/>
        <v>42064</v>
      </c>
      <c r="F811" s="2">
        <f t="shared" si="121"/>
        <v>42277</v>
      </c>
    </row>
    <row r="812" spans="1:6" x14ac:dyDescent="0.25">
      <c r="A812" s="1" t="s">
        <v>1759</v>
      </c>
      <c r="B812" s="1" t="s">
        <v>1963</v>
      </c>
      <c r="C812" s="1" t="s">
        <v>137</v>
      </c>
      <c r="D812" s="3">
        <f t="shared" si="119"/>
        <v>7729</v>
      </c>
      <c r="E812" s="2">
        <f t="shared" si="120"/>
        <v>42064</v>
      </c>
      <c r="F812" s="2">
        <f t="shared" si="121"/>
        <v>42277</v>
      </c>
    </row>
    <row r="813" spans="1:6" x14ac:dyDescent="0.25">
      <c r="A813" s="1" t="s">
        <v>1759</v>
      </c>
      <c r="B813" s="1" t="s">
        <v>1963</v>
      </c>
      <c r="C813" s="1" t="s">
        <v>83</v>
      </c>
      <c r="D813" s="3">
        <f t="shared" si="119"/>
        <v>7729</v>
      </c>
      <c r="E813" s="2">
        <f t="shared" si="120"/>
        <v>42064</v>
      </c>
      <c r="F813" s="2">
        <f t="shared" si="121"/>
        <v>42277</v>
      </c>
    </row>
    <row r="814" spans="1:6" x14ac:dyDescent="0.25">
      <c r="A814" s="1" t="s">
        <v>1759</v>
      </c>
      <c r="B814" s="1" t="s">
        <v>1963</v>
      </c>
      <c r="C814" s="1" t="s">
        <v>411</v>
      </c>
      <c r="D814" s="3">
        <f t="shared" si="119"/>
        <v>7729</v>
      </c>
      <c r="E814" s="2">
        <f t="shared" si="120"/>
        <v>42064</v>
      </c>
      <c r="F814" s="2">
        <f t="shared" si="121"/>
        <v>42277</v>
      </c>
    </row>
    <row r="815" spans="1:6" x14ac:dyDescent="0.25">
      <c r="A815" s="1" t="s">
        <v>1759</v>
      </c>
      <c r="B815" s="1" t="s">
        <v>1963</v>
      </c>
      <c r="C815" s="1" t="s">
        <v>43</v>
      </c>
      <c r="D815" s="3">
        <f t="shared" si="119"/>
        <v>7729</v>
      </c>
      <c r="E815" s="2">
        <f t="shared" si="120"/>
        <v>42064</v>
      </c>
      <c r="F815" s="2">
        <f t="shared" si="121"/>
        <v>42277</v>
      </c>
    </row>
    <row r="816" spans="1:6" x14ac:dyDescent="0.25">
      <c r="A816" s="1" t="s">
        <v>1759</v>
      </c>
      <c r="B816" s="1" t="s">
        <v>1963</v>
      </c>
      <c r="C816" s="1" t="s">
        <v>346</v>
      </c>
      <c r="D816" s="3">
        <f t="shared" si="119"/>
        <v>7729</v>
      </c>
      <c r="E816" s="2">
        <f t="shared" si="120"/>
        <v>42064</v>
      </c>
      <c r="F816" s="2">
        <f t="shared" si="121"/>
        <v>42277</v>
      </c>
    </row>
    <row r="817" spans="1:6" x14ac:dyDescent="0.25">
      <c r="A817" s="1" t="s">
        <v>1759</v>
      </c>
      <c r="B817" s="1" t="s">
        <v>1963</v>
      </c>
      <c r="C817" s="1" t="s">
        <v>45</v>
      </c>
      <c r="D817" s="3">
        <f t="shared" si="119"/>
        <v>7729</v>
      </c>
      <c r="E817" s="2">
        <f t="shared" si="120"/>
        <v>42064</v>
      </c>
      <c r="F817" s="2">
        <f t="shared" si="121"/>
        <v>42277</v>
      </c>
    </row>
    <row r="818" spans="1:6" x14ac:dyDescent="0.25">
      <c r="A818" s="1" t="s">
        <v>1759</v>
      </c>
      <c r="B818" s="1" t="s">
        <v>1963</v>
      </c>
      <c r="C818" s="1" t="s">
        <v>46</v>
      </c>
      <c r="D818" s="3">
        <f t="shared" si="119"/>
        <v>7729</v>
      </c>
      <c r="E818" s="2">
        <f t="shared" si="120"/>
        <v>42064</v>
      </c>
      <c r="F818" s="2">
        <f t="shared" si="121"/>
        <v>42277</v>
      </c>
    </row>
    <row r="819" spans="1:6" x14ac:dyDescent="0.25">
      <c r="A819" s="1" t="s">
        <v>1759</v>
      </c>
      <c r="B819" s="1" t="s">
        <v>1963</v>
      </c>
      <c r="C819" s="1" t="s">
        <v>15</v>
      </c>
      <c r="D819" s="3">
        <f t="shared" si="119"/>
        <v>7729</v>
      </c>
      <c r="E819" s="2">
        <f t="shared" si="120"/>
        <v>42064</v>
      </c>
      <c r="F819" s="2">
        <f t="shared" si="121"/>
        <v>42277</v>
      </c>
    </row>
    <row r="820" spans="1:6" x14ac:dyDescent="0.25">
      <c r="A820" s="1" t="s">
        <v>1759</v>
      </c>
      <c r="B820" s="1" t="s">
        <v>1963</v>
      </c>
      <c r="C820" s="1" t="s">
        <v>17</v>
      </c>
      <c r="D820" s="3">
        <f t="shared" si="119"/>
        <v>7729</v>
      </c>
      <c r="E820" s="2">
        <f t="shared" si="120"/>
        <v>42064</v>
      </c>
      <c r="F820" s="2">
        <f t="shared" si="121"/>
        <v>42277</v>
      </c>
    </row>
    <row r="821" spans="1:6" x14ac:dyDescent="0.25">
      <c r="A821" s="1" t="s">
        <v>1759</v>
      </c>
      <c r="B821" s="1" t="s">
        <v>1963</v>
      </c>
      <c r="C821" s="1" t="s">
        <v>22</v>
      </c>
      <c r="D821" s="3">
        <f t="shared" si="119"/>
        <v>7729</v>
      </c>
      <c r="E821" s="2">
        <f t="shared" si="120"/>
        <v>42064</v>
      </c>
      <c r="F821" s="2">
        <f t="shared" si="121"/>
        <v>42277</v>
      </c>
    </row>
    <row r="822" spans="1:6" x14ac:dyDescent="0.25">
      <c r="A822" s="1" t="s">
        <v>1759</v>
      </c>
      <c r="B822" s="1" t="s">
        <v>1963</v>
      </c>
      <c r="C822" s="1" t="s">
        <v>148</v>
      </c>
      <c r="D822" s="3">
        <f t="shared" si="119"/>
        <v>7729</v>
      </c>
      <c r="E822" s="2">
        <f t="shared" si="120"/>
        <v>42064</v>
      </c>
      <c r="F822" s="2">
        <f t="shared" si="121"/>
        <v>42277</v>
      </c>
    </row>
    <row r="823" spans="1:6" x14ac:dyDescent="0.25">
      <c r="A823" s="1" t="s">
        <v>1759</v>
      </c>
      <c r="B823" s="1" t="s">
        <v>1963</v>
      </c>
      <c r="C823" s="1" t="s">
        <v>149</v>
      </c>
      <c r="D823" s="3">
        <f t="shared" si="119"/>
        <v>7729</v>
      </c>
      <c r="E823" s="2">
        <f t="shared" si="120"/>
        <v>42064</v>
      </c>
      <c r="F823" s="2">
        <f t="shared" si="121"/>
        <v>42277</v>
      </c>
    </row>
    <row r="824" spans="1:6" x14ac:dyDescent="0.25">
      <c r="A824" s="1" t="s">
        <v>1759</v>
      </c>
      <c r="B824" s="1" t="s">
        <v>1963</v>
      </c>
      <c r="C824" s="1" t="s">
        <v>216</v>
      </c>
      <c r="D824" s="3">
        <f t="shared" si="119"/>
        <v>7729</v>
      </c>
      <c r="E824" s="2">
        <f t="shared" si="120"/>
        <v>42064</v>
      </c>
      <c r="F824" s="2">
        <f t="shared" si="121"/>
        <v>42277</v>
      </c>
    </row>
    <row r="825" spans="1:6" x14ac:dyDescent="0.25">
      <c r="A825" s="1" t="s">
        <v>1759</v>
      </c>
      <c r="B825" s="1" t="s">
        <v>1963</v>
      </c>
      <c r="C825" s="1" t="s">
        <v>73</v>
      </c>
      <c r="D825" s="3">
        <f t="shared" si="119"/>
        <v>7729</v>
      </c>
      <c r="E825" s="2">
        <f t="shared" si="120"/>
        <v>42064</v>
      </c>
      <c r="F825" s="2">
        <f t="shared" si="121"/>
        <v>42277</v>
      </c>
    </row>
    <row r="826" spans="1:6" x14ac:dyDescent="0.25">
      <c r="A826" s="1" t="s">
        <v>1759</v>
      </c>
      <c r="B826" s="1" t="s">
        <v>1963</v>
      </c>
      <c r="C826" s="1" t="s">
        <v>352</v>
      </c>
      <c r="D826" s="3">
        <f t="shared" si="119"/>
        <v>7729</v>
      </c>
      <c r="E826" s="2">
        <f t="shared" si="120"/>
        <v>42064</v>
      </c>
      <c r="F826" s="2">
        <f t="shared" si="121"/>
        <v>42277</v>
      </c>
    </row>
    <row r="827" spans="1:6" x14ac:dyDescent="0.25">
      <c r="A827" s="1" t="s">
        <v>1759</v>
      </c>
      <c r="B827" s="1" t="s">
        <v>1963</v>
      </c>
      <c r="C827" s="1" t="s">
        <v>164</v>
      </c>
      <c r="D827" s="3">
        <f t="shared" si="119"/>
        <v>7729</v>
      </c>
      <c r="E827" s="2">
        <f t="shared" si="120"/>
        <v>42064</v>
      </c>
      <c r="F827" s="2">
        <f t="shared" si="121"/>
        <v>42277</v>
      </c>
    </row>
    <row r="828" spans="1:6" x14ac:dyDescent="0.25">
      <c r="A828" s="1" t="s">
        <v>1759</v>
      </c>
      <c r="B828" s="1" t="s">
        <v>1963</v>
      </c>
      <c r="C828" s="1" t="s">
        <v>519</v>
      </c>
      <c r="D828" s="3">
        <f t="shared" si="119"/>
        <v>7729</v>
      </c>
      <c r="E828" s="2">
        <f t="shared" si="120"/>
        <v>42064</v>
      </c>
      <c r="F828" s="2">
        <f t="shared" si="121"/>
        <v>42277</v>
      </c>
    </row>
    <row r="829" spans="1:6" x14ac:dyDescent="0.25">
      <c r="A829" s="1" t="s">
        <v>1759</v>
      </c>
      <c r="B829" s="1" t="s">
        <v>1963</v>
      </c>
      <c r="C829" s="1" t="s">
        <v>170</v>
      </c>
      <c r="D829" s="3">
        <f t="shared" si="119"/>
        <v>7729</v>
      </c>
      <c r="E829" s="2">
        <f t="shared" si="120"/>
        <v>42064</v>
      </c>
      <c r="F829" s="2">
        <f t="shared" si="121"/>
        <v>42277</v>
      </c>
    </row>
    <row r="830" spans="1:6" x14ac:dyDescent="0.25">
      <c r="A830" s="1" t="s">
        <v>1759</v>
      </c>
      <c r="B830" s="1" t="s">
        <v>2692</v>
      </c>
      <c r="C830" s="1" t="s">
        <v>7</v>
      </c>
      <c r="D830" s="3">
        <f>VALUE("7409")</f>
        <v>7409</v>
      </c>
      <c r="E830" s="2">
        <f>DATEVALUE("1-11-2012")</f>
        <v>41214</v>
      </c>
      <c r="F830" s="2">
        <f>DATEVALUE("30-6-2013")</f>
        <v>41455</v>
      </c>
    </row>
    <row r="831" spans="1:6" x14ac:dyDescent="0.25">
      <c r="A831" s="1" t="s">
        <v>1759</v>
      </c>
      <c r="B831" s="1" t="s">
        <v>2556</v>
      </c>
      <c r="C831" s="1" t="s">
        <v>7</v>
      </c>
      <c r="D831" s="3">
        <f t="shared" ref="D831:D852" si="122">VALUE("7030")</f>
        <v>7030</v>
      </c>
      <c r="E831" s="2">
        <f t="shared" ref="E831:E852" si="123">DATEVALUE("1-2-2010")</f>
        <v>40210</v>
      </c>
      <c r="F831" s="2">
        <f t="shared" ref="F831:F852" si="124">DATEVALUE("31-5-2014")</f>
        <v>41790</v>
      </c>
    </row>
    <row r="832" spans="1:6" x14ac:dyDescent="0.25">
      <c r="A832" s="1" t="s">
        <v>1759</v>
      </c>
      <c r="B832" s="1" t="s">
        <v>2556</v>
      </c>
      <c r="C832" s="1" t="s">
        <v>6</v>
      </c>
      <c r="D832" s="3">
        <f t="shared" si="122"/>
        <v>7030</v>
      </c>
      <c r="E832" s="2">
        <f t="shared" si="123"/>
        <v>40210</v>
      </c>
      <c r="F832" s="2">
        <f t="shared" si="124"/>
        <v>41790</v>
      </c>
    </row>
    <row r="833" spans="1:6" x14ac:dyDescent="0.25">
      <c r="A833" s="1" t="s">
        <v>1759</v>
      </c>
      <c r="B833" s="1" t="s">
        <v>2556</v>
      </c>
      <c r="C833" s="1" t="s">
        <v>345</v>
      </c>
      <c r="D833" s="3">
        <f t="shared" si="122"/>
        <v>7030</v>
      </c>
      <c r="E833" s="2">
        <f t="shared" si="123"/>
        <v>40210</v>
      </c>
      <c r="F833" s="2">
        <f t="shared" si="124"/>
        <v>41790</v>
      </c>
    </row>
    <row r="834" spans="1:6" x14ac:dyDescent="0.25">
      <c r="A834" s="1" t="s">
        <v>1759</v>
      </c>
      <c r="B834" s="1" t="s">
        <v>2556</v>
      </c>
      <c r="C834" s="1" t="s">
        <v>8</v>
      </c>
      <c r="D834" s="3">
        <f t="shared" si="122"/>
        <v>7030</v>
      </c>
      <c r="E834" s="2">
        <f t="shared" si="123"/>
        <v>40210</v>
      </c>
      <c r="F834" s="2">
        <f t="shared" si="124"/>
        <v>41790</v>
      </c>
    </row>
    <row r="835" spans="1:6" x14ac:dyDescent="0.25">
      <c r="A835" s="1" t="s">
        <v>1759</v>
      </c>
      <c r="B835" s="1" t="s">
        <v>2556</v>
      </c>
      <c r="C835" s="1" t="s">
        <v>10</v>
      </c>
      <c r="D835" s="3">
        <f t="shared" si="122"/>
        <v>7030</v>
      </c>
      <c r="E835" s="2">
        <f t="shared" si="123"/>
        <v>40210</v>
      </c>
      <c r="F835" s="2">
        <f t="shared" si="124"/>
        <v>41790</v>
      </c>
    </row>
    <row r="836" spans="1:6" x14ac:dyDescent="0.25">
      <c r="A836" s="1" t="s">
        <v>1759</v>
      </c>
      <c r="B836" s="1" t="s">
        <v>2556</v>
      </c>
      <c r="C836" s="1" t="s">
        <v>11</v>
      </c>
      <c r="D836" s="3">
        <f t="shared" si="122"/>
        <v>7030</v>
      </c>
      <c r="E836" s="2">
        <f t="shared" si="123"/>
        <v>40210</v>
      </c>
      <c r="F836" s="2">
        <f t="shared" si="124"/>
        <v>41790</v>
      </c>
    </row>
    <row r="837" spans="1:6" x14ac:dyDescent="0.25">
      <c r="A837" s="1" t="s">
        <v>1759</v>
      </c>
      <c r="B837" s="1" t="s">
        <v>2556</v>
      </c>
      <c r="C837" s="1" t="s">
        <v>12</v>
      </c>
      <c r="D837" s="3">
        <f t="shared" si="122"/>
        <v>7030</v>
      </c>
      <c r="E837" s="2">
        <f t="shared" si="123"/>
        <v>40210</v>
      </c>
      <c r="F837" s="2">
        <f t="shared" si="124"/>
        <v>41790</v>
      </c>
    </row>
    <row r="838" spans="1:6" x14ac:dyDescent="0.25">
      <c r="A838" s="1" t="s">
        <v>1759</v>
      </c>
      <c r="B838" s="1" t="s">
        <v>2556</v>
      </c>
      <c r="C838" s="1" t="s">
        <v>83</v>
      </c>
      <c r="D838" s="3">
        <f t="shared" si="122"/>
        <v>7030</v>
      </c>
      <c r="E838" s="2">
        <f t="shared" si="123"/>
        <v>40210</v>
      </c>
      <c r="F838" s="2">
        <f t="shared" si="124"/>
        <v>41790</v>
      </c>
    </row>
    <row r="839" spans="1:6" x14ac:dyDescent="0.25">
      <c r="A839" s="1" t="s">
        <v>1759</v>
      </c>
      <c r="B839" s="1" t="s">
        <v>2556</v>
      </c>
      <c r="C839" s="1" t="s">
        <v>43</v>
      </c>
      <c r="D839" s="3">
        <f t="shared" si="122"/>
        <v>7030</v>
      </c>
      <c r="E839" s="2">
        <f t="shared" si="123"/>
        <v>40210</v>
      </c>
      <c r="F839" s="2">
        <f t="shared" si="124"/>
        <v>41790</v>
      </c>
    </row>
    <row r="840" spans="1:6" x14ac:dyDescent="0.25">
      <c r="A840" s="1" t="s">
        <v>1759</v>
      </c>
      <c r="B840" s="1" t="s">
        <v>2556</v>
      </c>
      <c r="C840" s="1" t="s">
        <v>347</v>
      </c>
      <c r="D840" s="3">
        <f t="shared" si="122"/>
        <v>7030</v>
      </c>
      <c r="E840" s="2">
        <f t="shared" si="123"/>
        <v>40210</v>
      </c>
      <c r="F840" s="2">
        <f t="shared" si="124"/>
        <v>41790</v>
      </c>
    </row>
    <row r="841" spans="1:6" x14ac:dyDescent="0.25">
      <c r="A841" s="1" t="s">
        <v>1759</v>
      </c>
      <c r="B841" s="1" t="s">
        <v>2556</v>
      </c>
      <c r="C841" s="1" t="s">
        <v>46</v>
      </c>
      <c r="D841" s="3">
        <f t="shared" si="122"/>
        <v>7030</v>
      </c>
      <c r="E841" s="2">
        <f t="shared" si="123"/>
        <v>40210</v>
      </c>
      <c r="F841" s="2">
        <f t="shared" si="124"/>
        <v>41790</v>
      </c>
    </row>
    <row r="842" spans="1:6" x14ac:dyDescent="0.25">
      <c r="A842" s="1" t="s">
        <v>1759</v>
      </c>
      <c r="B842" s="1" t="s">
        <v>2556</v>
      </c>
      <c r="C842" s="1" t="s">
        <v>66</v>
      </c>
      <c r="D842" s="3">
        <f t="shared" si="122"/>
        <v>7030</v>
      </c>
      <c r="E842" s="2">
        <f t="shared" si="123"/>
        <v>40210</v>
      </c>
      <c r="F842" s="2">
        <f t="shared" si="124"/>
        <v>41790</v>
      </c>
    </row>
    <row r="843" spans="1:6" x14ac:dyDescent="0.25">
      <c r="A843" s="1" t="s">
        <v>1759</v>
      </c>
      <c r="B843" s="1" t="s">
        <v>2556</v>
      </c>
      <c r="C843" s="1" t="s">
        <v>15</v>
      </c>
      <c r="D843" s="3">
        <f t="shared" si="122"/>
        <v>7030</v>
      </c>
      <c r="E843" s="2">
        <f t="shared" si="123"/>
        <v>40210</v>
      </c>
      <c r="F843" s="2">
        <f t="shared" si="124"/>
        <v>41790</v>
      </c>
    </row>
    <row r="844" spans="1:6" x14ac:dyDescent="0.25">
      <c r="A844" s="1" t="s">
        <v>1759</v>
      </c>
      <c r="B844" s="1" t="s">
        <v>2556</v>
      </c>
      <c r="C844" s="1" t="s">
        <v>17</v>
      </c>
      <c r="D844" s="3">
        <f t="shared" si="122"/>
        <v>7030</v>
      </c>
      <c r="E844" s="2">
        <f t="shared" si="123"/>
        <v>40210</v>
      </c>
      <c r="F844" s="2">
        <f t="shared" si="124"/>
        <v>41790</v>
      </c>
    </row>
    <row r="845" spans="1:6" x14ac:dyDescent="0.25">
      <c r="A845" s="1" t="s">
        <v>1759</v>
      </c>
      <c r="B845" s="1" t="s">
        <v>2556</v>
      </c>
      <c r="C845" s="1" t="s">
        <v>349</v>
      </c>
      <c r="D845" s="3">
        <f t="shared" si="122"/>
        <v>7030</v>
      </c>
      <c r="E845" s="2">
        <f t="shared" si="123"/>
        <v>40210</v>
      </c>
      <c r="F845" s="2">
        <f t="shared" si="124"/>
        <v>41790</v>
      </c>
    </row>
    <row r="846" spans="1:6" x14ac:dyDescent="0.25">
      <c r="A846" s="1" t="s">
        <v>1759</v>
      </c>
      <c r="B846" s="1" t="s">
        <v>2556</v>
      </c>
      <c r="C846" s="1" t="s">
        <v>105</v>
      </c>
      <c r="D846" s="3">
        <f t="shared" si="122"/>
        <v>7030</v>
      </c>
      <c r="E846" s="2">
        <f t="shared" si="123"/>
        <v>40210</v>
      </c>
      <c r="F846" s="2">
        <f t="shared" si="124"/>
        <v>41790</v>
      </c>
    </row>
    <row r="847" spans="1:6" x14ac:dyDescent="0.25">
      <c r="A847" s="1" t="s">
        <v>1759</v>
      </c>
      <c r="B847" s="1" t="s">
        <v>2556</v>
      </c>
      <c r="C847" s="1" t="s">
        <v>32</v>
      </c>
      <c r="D847" s="3">
        <f t="shared" si="122"/>
        <v>7030</v>
      </c>
      <c r="E847" s="2">
        <f t="shared" si="123"/>
        <v>40210</v>
      </c>
      <c r="F847" s="2">
        <f t="shared" si="124"/>
        <v>41790</v>
      </c>
    </row>
    <row r="848" spans="1:6" x14ac:dyDescent="0.25">
      <c r="A848" s="1" t="s">
        <v>1759</v>
      </c>
      <c r="B848" s="1" t="s">
        <v>2556</v>
      </c>
      <c r="C848" s="1" t="s">
        <v>113</v>
      </c>
      <c r="D848" s="3">
        <f t="shared" si="122"/>
        <v>7030</v>
      </c>
      <c r="E848" s="2">
        <f t="shared" si="123"/>
        <v>40210</v>
      </c>
      <c r="F848" s="2">
        <f t="shared" si="124"/>
        <v>41790</v>
      </c>
    </row>
    <row r="849" spans="1:6" x14ac:dyDescent="0.25">
      <c r="A849" s="1" t="s">
        <v>1759</v>
      </c>
      <c r="B849" s="1" t="s">
        <v>2556</v>
      </c>
      <c r="C849" s="1" t="s">
        <v>1697</v>
      </c>
      <c r="D849" s="3">
        <f t="shared" si="122"/>
        <v>7030</v>
      </c>
      <c r="E849" s="2">
        <f t="shared" si="123"/>
        <v>40210</v>
      </c>
      <c r="F849" s="2">
        <f t="shared" si="124"/>
        <v>41790</v>
      </c>
    </row>
    <row r="850" spans="1:6" x14ac:dyDescent="0.25">
      <c r="A850" s="1" t="s">
        <v>1759</v>
      </c>
      <c r="B850" s="1" t="s">
        <v>2556</v>
      </c>
      <c r="C850" s="1" t="s">
        <v>116</v>
      </c>
      <c r="D850" s="3">
        <f t="shared" si="122"/>
        <v>7030</v>
      </c>
      <c r="E850" s="2">
        <f t="shared" si="123"/>
        <v>40210</v>
      </c>
      <c r="F850" s="2">
        <f t="shared" si="124"/>
        <v>41790</v>
      </c>
    </row>
    <row r="851" spans="1:6" x14ac:dyDescent="0.25">
      <c r="A851" s="1" t="s">
        <v>1759</v>
      </c>
      <c r="B851" s="1" t="s">
        <v>2556</v>
      </c>
      <c r="C851" s="1" t="s">
        <v>57</v>
      </c>
      <c r="D851" s="3">
        <f t="shared" si="122"/>
        <v>7030</v>
      </c>
      <c r="E851" s="2">
        <f t="shared" si="123"/>
        <v>40210</v>
      </c>
      <c r="F851" s="2">
        <f t="shared" si="124"/>
        <v>41790</v>
      </c>
    </row>
    <row r="852" spans="1:6" x14ac:dyDescent="0.25">
      <c r="A852" s="1" t="s">
        <v>1759</v>
      </c>
      <c r="B852" s="1" t="s">
        <v>2556</v>
      </c>
      <c r="C852" s="1" t="s">
        <v>170</v>
      </c>
      <c r="D852" s="3">
        <f t="shared" si="122"/>
        <v>7030</v>
      </c>
      <c r="E852" s="2">
        <f t="shared" si="123"/>
        <v>40210</v>
      </c>
      <c r="F852" s="2">
        <f t="shared" si="124"/>
        <v>41790</v>
      </c>
    </row>
    <row r="853" spans="1:6" x14ac:dyDescent="0.25">
      <c r="A853" s="1" t="s">
        <v>789</v>
      </c>
      <c r="B853" s="1" t="s">
        <v>1678</v>
      </c>
      <c r="C853" s="1" t="s">
        <v>39</v>
      </c>
      <c r="D853" s="3">
        <f t="shared" ref="D853:D861" si="125">VALUE("8864")</f>
        <v>8864</v>
      </c>
      <c r="E853" s="2">
        <f t="shared" ref="E853:E861" si="126">DATEVALUE("1-10-2020")</f>
        <v>44105</v>
      </c>
      <c r="F853" s="2">
        <f t="shared" ref="F853:F861" si="127">DATEVALUE("28-2-2021")</f>
        <v>44255</v>
      </c>
    </row>
    <row r="854" spans="1:6" x14ac:dyDescent="0.25">
      <c r="A854" s="1" t="s">
        <v>789</v>
      </c>
      <c r="B854" s="1" t="s">
        <v>1678</v>
      </c>
      <c r="C854" s="1" t="s">
        <v>676</v>
      </c>
      <c r="D854" s="3">
        <f t="shared" si="125"/>
        <v>8864</v>
      </c>
      <c r="E854" s="2">
        <f t="shared" si="126"/>
        <v>44105</v>
      </c>
      <c r="F854" s="2">
        <f t="shared" si="127"/>
        <v>44255</v>
      </c>
    </row>
    <row r="855" spans="1:6" x14ac:dyDescent="0.25">
      <c r="A855" s="1" t="s">
        <v>789</v>
      </c>
      <c r="B855" s="1" t="s">
        <v>1678</v>
      </c>
      <c r="C855" s="1" t="s">
        <v>14</v>
      </c>
      <c r="D855" s="3">
        <f t="shared" si="125"/>
        <v>8864</v>
      </c>
      <c r="E855" s="2">
        <f t="shared" si="126"/>
        <v>44105</v>
      </c>
      <c r="F855" s="2">
        <f t="shared" si="127"/>
        <v>44255</v>
      </c>
    </row>
    <row r="856" spans="1:6" x14ac:dyDescent="0.25">
      <c r="A856" s="1" t="s">
        <v>789</v>
      </c>
      <c r="B856" s="1" t="s">
        <v>1678</v>
      </c>
      <c r="C856" s="1" t="s">
        <v>17</v>
      </c>
      <c r="D856" s="3">
        <f t="shared" si="125"/>
        <v>8864</v>
      </c>
      <c r="E856" s="2">
        <f t="shared" si="126"/>
        <v>44105</v>
      </c>
      <c r="F856" s="2">
        <f t="shared" si="127"/>
        <v>44255</v>
      </c>
    </row>
    <row r="857" spans="1:6" x14ac:dyDescent="0.25">
      <c r="A857" s="1" t="s">
        <v>789</v>
      </c>
      <c r="B857" s="1" t="s">
        <v>1678</v>
      </c>
      <c r="C857" s="1" t="s">
        <v>384</v>
      </c>
      <c r="D857" s="3">
        <f t="shared" si="125"/>
        <v>8864</v>
      </c>
      <c r="E857" s="2">
        <f t="shared" si="126"/>
        <v>44105</v>
      </c>
      <c r="F857" s="2">
        <f t="shared" si="127"/>
        <v>44255</v>
      </c>
    </row>
    <row r="858" spans="1:6" x14ac:dyDescent="0.25">
      <c r="A858" s="1" t="s">
        <v>789</v>
      </c>
      <c r="B858" s="1" t="s">
        <v>1678</v>
      </c>
      <c r="C858" s="1" t="s">
        <v>24</v>
      </c>
      <c r="D858" s="3">
        <f t="shared" si="125"/>
        <v>8864</v>
      </c>
      <c r="E858" s="2">
        <f t="shared" si="126"/>
        <v>44105</v>
      </c>
      <c r="F858" s="2">
        <f t="shared" si="127"/>
        <v>44255</v>
      </c>
    </row>
    <row r="859" spans="1:6" x14ac:dyDescent="0.25">
      <c r="A859" s="1" t="s">
        <v>789</v>
      </c>
      <c r="B859" s="1" t="s">
        <v>1678</v>
      </c>
      <c r="C859" s="1" t="s">
        <v>70</v>
      </c>
      <c r="D859" s="3">
        <f t="shared" si="125"/>
        <v>8864</v>
      </c>
      <c r="E859" s="2">
        <f t="shared" si="126"/>
        <v>44105</v>
      </c>
      <c r="F859" s="2">
        <f t="shared" si="127"/>
        <v>44255</v>
      </c>
    </row>
    <row r="860" spans="1:6" x14ac:dyDescent="0.25">
      <c r="A860" s="1" t="s">
        <v>789</v>
      </c>
      <c r="B860" s="1" t="s">
        <v>1678</v>
      </c>
      <c r="C860" s="1" t="s">
        <v>52</v>
      </c>
      <c r="D860" s="3">
        <f t="shared" si="125"/>
        <v>8864</v>
      </c>
      <c r="E860" s="2">
        <f t="shared" si="126"/>
        <v>44105</v>
      </c>
      <c r="F860" s="2">
        <f t="shared" si="127"/>
        <v>44255</v>
      </c>
    </row>
    <row r="861" spans="1:6" x14ac:dyDescent="0.25">
      <c r="A861" s="1" t="s">
        <v>789</v>
      </c>
      <c r="B861" s="1" t="s">
        <v>1678</v>
      </c>
      <c r="C861" s="1" t="s">
        <v>34</v>
      </c>
      <c r="D861" s="3">
        <f t="shared" si="125"/>
        <v>8864</v>
      </c>
      <c r="E861" s="2">
        <f t="shared" si="126"/>
        <v>44105</v>
      </c>
      <c r="F861" s="2">
        <f t="shared" si="127"/>
        <v>44255</v>
      </c>
    </row>
    <row r="862" spans="1:6" x14ac:dyDescent="0.25">
      <c r="A862" s="1" t="s">
        <v>789</v>
      </c>
      <c r="B862" s="1" t="s">
        <v>1205</v>
      </c>
      <c r="C862" s="1" t="s">
        <v>191</v>
      </c>
      <c r="D862" s="3">
        <f>VALUE("8470")</f>
        <v>8470</v>
      </c>
      <c r="E862" s="2">
        <f>DATEVALUE("1-5-2020")</f>
        <v>43952</v>
      </c>
      <c r="F862" s="2">
        <f>DATEVALUE("31-7-2021")</f>
        <v>44408</v>
      </c>
    </row>
    <row r="863" spans="1:6" x14ac:dyDescent="0.25">
      <c r="A863" s="1" t="s">
        <v>789</v>
      </c>
      <c r="B863" s="1" t="s">
        <v>1205</v>
      </c>
      <c r="C863" s="1" t="s">
        <v>616</v>
      </c>
      <c r="D863" s="3">
        <f>VALUE("8470")</f>
        <v>8470</v>
      </c>
      <c r="E863" s="2">
        <f>DATEVALUE("1-5-2020")</f>
        <v>43952</v>
      </c>
      <c r="F863" s="2">
        <f>DATEVALUE("31-7-2021")</f>
        <v>44408</v>
      </c>
    </row>
    <row r="864" spans="1:6" x14ac:dyDescent="0.25">
      <c r="A864" s="1" t="s">
        <v>789</v>
      </c>
      <c r="B864" s="1" t="s">
        <v>1205</v>
      </c>
      <c r="C864" s="1" t="s">
        <v>476</v>
      </c>
      <c r="D864" s="3">
        <f>VALUE("8470")</f>
        <v>8470</v>
      </c>
      <c r="E864" s="2">
        <f>DATEVALUE("1-5-2020")</f>
        <v>43952</v>
      </c>
      <c r="F864" s="2">
        <f>DATEVALUE("31-7-2021")</f>
        <v>44408</v>
      </c>
    </row>
    <row r="865" spans="1:6" x14ac:dyDescent="0.25">
      <c r="A865" s="1" t="s">
        <v>789</v>
      </c>
      <c r="B865" s="1" t="s">
        <v>1474</v>
      </c>
      <c r="C865" s="1" t="s">
        <v>1475</v>
      </c>
      <c r="D865" s="3">
        <f t="shared" ref="D865:D890" si="128">VALUE("8684")</f>
        <v>8684</v>
      </c>
      <c r="E865" s="2">
        <f t="shared" ref="E865:E903" si="129">DATEVALUE("1-4-2020")</f>
        <v>43922</v>
      </c>
      <c r="F865" s="2">
        <f t="shared" ref="F865:F890" si="130">DATEVALUE("30-6-2021")</f>
        <v>44377</v>
      </c>
    </row>
    <row r="866" spans="1:6" x14ac:dyDescent="0.25">
      <c r="A866" s="1" t="s">
        <v>789</v>
      </c>
      <c r="B866" s="1" t="s">
        <v>1474</v>
      </c>
      <c r="C866" s="1" t="s">
        <v>40</v>
      </c>
      <c r="D866" s="3">
        <f t="shared" si="128"/>
        <v>8684</v>
      </c>
      <c r="E866" s="2">
        <f t="shared" si="129"/>
        <v>43922</v>
      </c>
      <c r="F866" s="2">
        <f t="shared" si="130"/>
        <v>44377</v>
      </c>
    </row>
    <row r="867" spans="1:6" x14ac:dyDescent="0.25">
      <c r="A867" s="1" t="s">
        <v>789</v>
      </c>
      <c r="B867" s="1" t="s">
        <v>1474</v>
      </c>
      <c r="C867" s="1" t="s">
        <v>41</v>
      </c>
      <c r="D867" s="3">
        <f t="shared" si="128"/>
        <v>8684</v>
      </c>
      <c r="E867" s="2">
        <f t="shared" si="129"/>
        <v>43922</v>
      </c>
      <c r="F867" s="2">
        <f t="shared" si="130"/>
        <v>44377</v>
      </c>
    </row>
    <row r="868" spans="1:6" x14ac:dyDescent="0.25">
      <c r="A868" s="1" t="s">
        <v>789</v>
      </c>
      <c r="B868" s="1" t="s">
        <v>1474</v>
      </c>
      <c r="C868" s="1" t="s">
        <v>375</v>
      </c>
      <c r="D868" s="3">
        <f t="shared" si="128"/>
        <v>8684</v>
      </c>
      <c r="E868" s="2">
        <f t="shared" si="129"/>
        <v>43922</v>
      </c>
      <c r="F868" s="2">
        <f t="shared" si="130"/>
        <v>44377</v>
      </c>
    </row>
    <row r="869" spans="1:6" x14ac:dyDescent="0.25">
      <c r="A869" s="1" t="s">
        <v>789</v>
      </c>
      <c r="B869" s="1" t="s">
        <v>1474</v>
      </c>
      <c r="C869" s="1" t="s">
        <v>683</v>
      </c>
      <c r="D869" s="3">
        <f t="shared" si="128"/>
        <v>8684</v>
      </c>
      <c r="E869" s="2">
        <f t="shared" si="129"/>
        <v>43922</v>
      </c>
      <c r="F869" s="2">
        <f t="shared" si="130"/>
        <v>44377</v>
      </c>
    </row>
    <row r="870" spans="1:6" x14ac:dyDescent="0.25">
      <c r="A870" s="1" t="s">
        <v>789</v>
      </c>
      <c r="B870" s="1" t="s">
        <v>1474</v>
      </c>
      <c r="C870" s="1" t="s">
        <v>676</v>
      </c>
      <c r="D870" s="3">
        <f t="shared" si="128"/>
        <v>8684</v>
      </c>
      <c r="E870" s="2">
        <f t="shared" si="129"/>
        <v>43922</v>
      </c>
      <c r="F870" s="2">
        <f t="shared" si="130"/>
        <v>44377</v>
      </c>
    </row>
    <row r="871" spans="1:6" x14ac:dyDescent="0.25">
      <c r="A871" s="1" t="s">
        <v>789</v>
      </c>
      <c r="B871" s="1" t="s">
        <v>1474</v>
      </c>
      <c r="C871" s="1" t="s">
        <v>14</v>
      </c>
      <c r="D871" s="3">
        <f t="shared" si="128"/>
        <v>8684</v>
      </c>
      <c r="E871" s="2">
        <f t="shared" si="129"/>
        <v>43922</v>
      </c>
      <c r="F871" s="2">
        <f t="shared" si="130"/>
        <v>44377</v>
      </c>
    </row>
    <row r="872" spans="1:6" x14ac:dyDescent="0.25">
      <c r="A872" s="1" t="s">
        <v>789</v>
      </c>
      <c r="B872" s="1" t="s">
        <v>1474</v>
      </c>
      <c r="C872" s="1" t="s">
        <v>15</v>
      </c>
      <c r="D872" s="3">
        <f t="shared" si="128"/>
        <v>8684</v>
      </c>
      <c r="E872" s="2">
        <f t="shared" si="129"/>
        <v>43922</v>
      </c>
      <c r="F872" s="2">
        <f t="shared" si="130"/>
        <v>44377</v>
      </c>
    </row>
    <row r="873" spans="1:6" x14ac:dyDescent="0.25">
      <c r="A873" s="1" t="s">
        <v>789</v>
      </c>
      <c r="B873" s="1" t="s">
        <v>1474</v>
      </c>
      <c r="C873" s="1" t="s">
        <v>17</v>
      </c>
      <c r="D873" s="3">
        <f t="shared" si="128"/>
        <v>8684</v>
      </c>
      <c r="E873" s="2">
        <f t="shared" si="129"/>
        <v>43922</v>
      </c>
      <c r="F873" s="2">
        <f t="shared" si="130"/>
        <v>44377</v>
      </c>
    </row>
    <row r="874" spans="1:6" x14ac:dyDescent="0.25">
      <c r="A874" s="1" t="s">
        <v>789</v>
      </c>
      <c r="B874" s="1" t="s">
        <v>1474</v>
      </c>
      <c r="C874" s="1" t="s">
        <v>91</v>
      </c>
      <c r="D874" s="3">
        <f t="shared" si="128"/>
        <v>8684</v>
      </c>
      <c r="E874" s="2">
        <f t="shared" si="129"/>
        <v>43922</v>
      </c>
      <c r="F874" s="2">
        <f t="shared" si="130"/>
        <v>44377</v>
      </c>
    </row>
    <row r="875" spans="1:6" x14ac:dyDescent="0.25">
      <c r="A875" s="1" t="s">
        <v>789</v>
      </c>
      <c r="B875" s="1" t="s">
        <v>1474</v>
      </c>
      <c r="C875" s="1" t="s">
        <v>47</v>
      </c>
      <c r="D875" s="3">
        <f t="shared" si="128"/>
        <v>8684</v>
      </c>
      <c r="E875" s="2">
        <f t="shared" si="129"/>
        <v>43922</v>
      </c>
      <c r="F875" s="2">
        <f t="shared" si="130"/>
        <v>44377</v>
      </c>
    </row>
    <row r="876" spans="1:6" x14ac:dyDescent="0.25">
      <c r="A876" s="1" t="s">
        <v>789</v>
      </c>
      <c r="B876" s="1" t="s">
        <v>1474</v>
      </c>
      <c r="C876" s="1" t="s">
        <v>22</v>
      </c>
      <c r="D876" s="3">
        <f t="shared" si="128"/>
        <v>8684</v>
      </c>
      <c r="E876" s="2">
        <f t="shared" si="129"/>
        <v>43922</v>
      </c>
      <c r="F876" s="2">
        <f t="shared" si="130"/>
        <v>44377</v>
      </c>
    </row>
    <row r="877" spans="1:6" x14ac:dyDescent="0.25">
      <c r="A877" s="1" t="s">
        <v>789</v>
      </c>
      <c r="B877" s="1" t="s">
        <v>1474</v>
      </c>
      <c r="C877" s="1" t="s">
        <v>146</v>
      </c>
      <c r="D877" s="3">
        <f t="shared" si="128"/>
        <v>8684</v>
      </c>
      <c r="E877" s="2">
        <f t="shared" si="129"/>
        <v>43922</v>
      </c>
      <c r="F877" s="2">
        <f t="shared" si="130"/>
        <v>44377</v>
      </c>
    </row>
    <row r="878" spans="1:6" x14ac:dyDescent="0.25">
      <c r="A878" s="1" t="s">
        <v>789</v>
      </c>
      <c r="B878" s="1" t="s">
        <v>1474</v>
      </c>
      <c r="C878" s="1" t="s">
        <v>67</v>
      </c>
      <c r="D878" s="3">
        <f t="shared" si="128"/>
        <v>8684</v>
      </c>
      <c r="E878" s="2">
        <f t="shared" si="129"/>
        <v>43922</v>
      </c>
      <c r="F878" s="2">
        <f t="shared" si="130"/>
        <v>44377</v>
      </c>
    </row>
    <row r="879" spans="1:6" x14ac:dyDescent="0.25">
      <c r="A879" s="1" t="s">
        <v>789</v>
      </c>
      <c r="B879" s="1" t="s">
        <v>1474</v>
      </c>
      <c r="C879" s="1" t="s">
        <v>384</v>
      </c>
      <c r="D879" s="3">
        <f t="shared" si="128"/>
        <v>8684</v>
      </c>
      <c r="E879" s="2">
        <f t="shared" si="129"/>
        <v>43922</v>
      </c>
      <c r="F879" s="2">
        <f t="shared" si="130"/>
        <v>44377</v>
      </c>
    </row>
    <row r="880" spans="1:6" x14ac:dyDescent="0.25">
      <c r="A880" s="1" t="s">
        <v>789</v>
      </c>
      <c r="B880" s="1" t="s">
        <v>1474</v>
      </c>
      <c r="C880" s="1" t="s">
        <v>148</v>
      </c>
      <c r="D880" s="3">
        <f t="shared" si="128"/>
        <v>8684</v>
      </c>
      <c r="E880" s="2">
        <f t="shared" si="129"/>
        <v>43922</v>
      </c>
      <c r="F880" s="2">
        <f t="shared" si="130"/>
        <v>44377</v>
      </c>
    </row>
    <row r="881" spans="1:6" x14ac:dyDescent="0.25">
      <c r="A881" s="1" t="s">
        <v>789</v>
      </c>
      <c r="B881" s="1" t="s">
        <v>1474</v>
      </c>
      <c r="C881" s="1" t="s">
        <v>387</v>
      </c>
      <c r="D881" s="3">
        <f t="shared" si="128"/>
        <v>8684</v>
      </c>
      <c r="E881" s="2">
        <f t="shared" si="129"/>
        <v>43922</v>
      </c>
      <c r="F881" s="2">
        <f t="shared" si="130"/>
        <v>44377</v>
      </c>
    </row>
    <row r="882" spans="1:6" x14ac:dyDescent="0.25">
      <c r="A882" s="1" t="s">
        <v>789</v>
      </c>
      <c r="B882" s="1" t="s">
        <v>1474</v>
      </c>
      <c r="C882" s="1" t="s">
        <v>69</v>
      </c>
      <c r="D882" s="3">
        <f t="shared" si="128"/>
        <v>8684</v>
      </c>
      <c r="E882" s="2">
        <f t="shared" si="129"/>
        <v>43922</v>
      </c>
      <c r="F882" s="2">
        <f t="shared" si="130"/>
        <v>44377</v>
      </c>
    </row>
    <row r="883" spans="1:6" x14ac:dyDescent="0.25">
      <c r="A883" s="1" t="s">
        <v>789</v>
      </c>
      <c r="B883" s="1" t="s">
        <v>1474</v>
      </c>
      <c r="C883" s="1" t="s">
        <v>24</v>
      </c>
      <c r="D883" s="3">
        <f t="shared" si="128"/>
        <v>8684</v>
      </c>
      <c r="E883" s="2">
        <f t="shared" si="129"/>
        <v>43922</v>
      </c>
      <c r="F883" s="2">
        <f t="shared" si="130"/>
        <v>44377</v>
      </c>
    </row>
    <row r="884" spans="1:6" x14ac:dyDescent="0.25">
      <c r="A884" s="1" t="s">
        <v>789</v>
      </c>
      <c r="B884" s="1" t="s">
        <v>1474</v>
      </c>
      <c r="C884" s="1" t="s">
        <v>70</v>
      </c>
      <c r="D884" s="3">
        <f t="shared" si="128"/>
        <v>8684</v>
      </c>
      <c r="E884" s="2">
        <f t="shared" si="129"/>
        <v>43922</v>
      </c>
      <c r="F884" s="2">
        <f t="shared" si="130"/>
        <v>44377</v>
      </c>
    </row>
    <row r="885" spans="1:6" x14ac:dyDescent="0.25">
      <c r="A885" s="1" t="s">
        <v>789</v>
      </c>
      <c r="B885" s="1" t="s">
        <v>1474</v>
      </c>
      <c r="C885" s="1" t="s">
        <v>52</v>
      </c>
      <c r="D885" s="3">
        <f t="shared" si="128"/>
        <v>8684</v>
      </c>
      <c r="E885" s="2">
        <f t="shared" si="129"/>
        <v>43922</v>
      </c>
      <c r="F885" s="2">
        <f t="shared" si="130"/>
        <v>44377</v>
      </c>
    </row>
    <row r="886" spans="1:6" x14ac:dyDescent="0.25">
      <c r="A886" s="1" t="s">
        <v>789</v>
      </c>
      <c r="B886" s="1" t="s">
        <v>1474</v>
      </c>
      <c r="C886" s="1" t="s">
        <v>1141</v>
      </c>
      <c r="D886" s="3">
        <f t="shared" si="128"/>
        <v>8684</v>
      </c>
      <c r="E886" s="2">
        <f t="shared" si="129"/>
        <v>43922</v>
      </c>
      <c r="F886" s="2">
        <f t="shared" si="130"/>
        <v>44377</v>
      </c>
    </row>
    <row r="887" spans="1:6" x14ac:dyDescent="0.25">
      <c r="A887" s="1" t="s">
        <v>789</v>
      </c>
      <c r="B887" s="1" t="s">
        <v>1474</v>
      </c>
      <c r="C887" s="1" t="s">
        <v>34</v>
      </c>
      <c r="D887" s="3">
        <f t="shared" si="128"/>
        <v>8684</v>
      </c>
      <c r="E887" s="2">
        <f t="shared" si="129"/>
        <v>43922</v>
      </c>
      <c r="F887" s="2">
        <f t="shared" si="130"/>
        <v>44377</v>
      </c>
    </row>
    <row r="888" spans="1:6" x14ac:dyDescent="0.25">
      <c r="A888" s="1" t="s">
        <v>789</v>
      </c>
      <c r="B888" s="1" t="s">
        <v>1474</v>
      </c>
      <c r="C888" s="1" t="s">
        <v>306</v>
      </c>
      <c r="D888" s="3">
        <f t="shared" si="128"/>
        <v>8684</v>
      </c>
      <c r="E888" s="2">
        <f t="shared" si="129"/>
        <v>43922</v>
      </c>
      <c r="F888" s="2">
        <f t="shared" si="130"/>
        <v>44377</v>
      </c>
    </row>
    <row r="889" spans="1:6" x14ac:dyDescent="0.25">
      <c r="A889" s="1" t="s">
        <v>789</v>
      </c>
      <c r="B889" s="1" t="s">
        <v>1474</v>
      </c>
      <c r="C889" s="1" t="s">
        <v>131</v>
      </c>
      <c r="D889" s="3">
        <f t="shared" si="128"/>
        <v>8684</v>
      </c>
      <c r="E889" s="2">
        <f t="shared" si="129"/>
        <v>43922</v>
      </c>
      <c r="F889" s="2">
        <f t="shared" si="130"/>
        <v>44377</v>
      </c>
    </row>
    <row r="890" spans="1:6" x14ac:dyDescent="0.25">
      <c r="A890" s="1" t="s">
        <v>789</v>
      </c>
      <c r="B890" s="1" t="s">
        <v>1474</v>
      </c>
      <c r="C890" s="1" t="s">
        <v>117</v>
      </c>
      <c r="D890" s="3">
        <f t="shared" si="128"/>
        <v>8684</v>
      </c>
      <c r="E890" s="2">
        <f t="shared" si="129"/>
        <v>43922</v>
      </c>
      <c r="F890" s="2">
        <f t="shared" si="130"/>
        <v>44377</v>
      </c>
    </row>
    <row r="891" spans="1:6" x14ac:dyDescent="0.25">
      <c r="A891" s="1" t="s">
        <v>789</v>
      </c>
      <c r="B891" s="1" t="s">
        <v>1837</v>
      </c>
      <c r="C891" s="1" t="s">
        <v>43</v>
      </c>
      <c r="D891" s="3">
        <f t="shared" ref="D891:D903" si="131">VALUE("8750")</f>
        <v>8750</v>
      </c>
      <c r="E891" s="2">
        <f t="shared" si="129"/>
        <v>43922</v>
      </c>
      <c r="F891" s="2">
        <f t="shared" ref="F891:F903" si="132">DATEVALUE("31-8-2020")</f>
        <v>44074</v>
      </c>
    </row>
    <row r="892" spans="1:6" x14ac:dyDescent="0.25">
      <c r="A892" s="1" t="s">
        <v>789</v>
      </c>
      <c r="B892" s="1" t="s">
        <v>1837</v>
      </c>
      <c r="C892" s="1" t="s">
        <v>346</v>
      </c>
      <c r="D892" s="3">
        <f t="shared" si="131"/>
        <v>8750</v>
      </c>
      <c r="E892" s="2">
        <f t="shared" si="129"/>
        <v>43922</v>
      </c>
      <c r="F892" s="2">
        <f t="shared" si="132"/>
        <v>44074</v>
      </c>
    </row>
    <row r="893" spans="1:6" x14ac:dyDescent="0.25">
      <c r="A893" s="1" t="s">
        <v>789</v>
      </c>
      <c r="B893" s="1" t="s">
        <v>1837</v>
      </c>
      <c r="C893" s="1" t="s">
        <v>14</v>
      </c>
      <c r="D893" s="3">
        <f t="shared" si="131"/>
        <v>8750</v>
      </c>
      <c r="E893" s="2">
        <f t="shared" si="129"/>
        <v>43922</v>
      </c>
      <c r="F893" s="2">
        <f t="shared" si="132"/>
        <v>44074</v>
      </c>
    </row>
    <row r="894" spans="1:6" x14ac:dyDescent="0.25">
      <c r="A894" s="1" t="s">
        <v>789</v>
      </c>
      <c r="B894" s="1" t="s">
        <v>1837</v>
      </c>
      <c r="C894" s="1" t="s">
        <v>15</v>
      </c>
      <c r="D894" s="3">
        <f t="shared" si="131"/>
        <v>8750</v>
      </c>
      <c r="E894" s="2">
        <f t="shared" si="129"/>
        <v>43922</v>
      </c>
      <c r="F894" s="2">
        <f t="shared" si="132"/>
        <v>44074</v>
      </c>
    </row>
    <row r="895" spans="1:6" x14ac:dyDescent="0.25">
      <c r="A895" s="1" t="s">
        <v>789</v>
      </c>
      <c r="B895" s="1" t="s">
        <v>1837</v>
      </c>
      <c r="C895" s="1" t="s">
        <v>16</v>
      </c>
      <c r="D895" s="3">
        <f t="shared" si="131"/>
        <v>8750</v>
      </c>
      <c r="E895" s="2">
        <f t="shared" si="129"/>
        <v>43922</v>
      </c>
      <c r="F895" s="2">
        <f t="shared" si="132"/>
        <v>44074</v>
      </c>
    </row>
    <row r="896" spans="1:6" x14ac:dyDescent="0.25">
      <c r="A896" s="1" t="s">
        <v>789</v>
      </c>
      <c r="B896" s="1" t="s">
        <v>1837</v>
      </c>
      <c r="C896" s="1" t="s">
        <v>89</v>
      </c>
      <c r="D896" s="3">
        <f t="shared" si="131"/>
        <v>8750</v>
      </c>
      <c r="E896" s="2">
        <f t="shared" si="129"/>
        <v>43922</v>
      </c>
      <c r="F896" s="2">
        <f t="shared" si="132"/>
        <v>44074</v>
      </c>
    </row>
    <row r="897" spans="1:6" x14ac:dyDescent="0.25">
      <c r="A897" s="1" t="s">
        <v>789</v>
      </c>
      <c r="B897" s="1" t="s">
        <v>1837</v>
      </c>
      <c r="C897" s="1" t="s">
        <v>17</v>
      </c>
      <c r="D897" s="3">
        <f t="shared" si="131"/>
        <v>8750</v>
      </c>
      <c r="E897" s="2">
        <f t="shared" si="129"/>
        <v>43922</v>
      </c>
      <c r="F897" s="2">
        <f t="shared" si="132"/>
        <v>44074</v>
      </c>
    </row>
    <row r="898" spans="1:6" x14ac:dyDescent="0.25">
      <c r="A898" s="1" t="s">
        <v>789</v>
      </c>
      <c r="B898" s="1" t="s">
        <v>1837</v>
      </c>
      <c r="C898" s="1" t="s">
        <v>146</v>
      </c>
      <c r="D898" s="3">
        <f t="shared" si="131"/>
        <v>8750</v>
      </c>
      <c r="E898" s="2">
        <f t="shared" si="129"/>
        <v>43922</v>
      </c>
      <c r="F898" s="2">
        <f t="shared" si="132"/>
        <v>44074</v>
      </c>
    </row>
    <row r="899" spans="1:6" x14ac:dyDescent="0.25">
      <c r="A899" s="1" t="s">
        <v>789</v>
      </c>
      <c r="B899" s="1" t="s">
        <v>1837</v>
      </c>
      <c r="C899" s="1" t="s">
        <v>400</v>
      </c>
      <c r="D899" s="3">
        <f t="shared" si="131"/>
        <v>8750</v>
      </c>
      <c r="E899" s="2">
        <f t="shared" si="129"/>
        <v>43922</v>
      </c>
      <c r="F899" s="2">
        <f t="shared" si="132"/>
        <v>44074</v>
      </c>
    </row>
    <row r="900" spans="1:6" x14ac:dyDescent="0.25">
      <c r="A900" s="1" t="s">
        <v>789</v>
      </c>
      <c r="B900" s="1" t="s">
        <v>1837</v>
      </c>
      <c r="C900" s="1" t="s">
        <v>24</v>
      </c>
      <c r="D900" s="3">
        <f t="shared" si="131"/>
        <v>8750</v>
      </c>
      <c r="E900" s="2">
        <f t="shared" si="129"/>
        <v>43922</v>
      </c>
      <c r="F900" s="2">
        <f t="shared" si="132"/>
        <v>44074</v>
      </c>
    </row>
    <row r="901" spans="1:6" x14ac:dyDescent="0.25">
      <c r="A901" s="1" t="s">
        <v>789</v>
      </c>
      <c r="B901" s="1" t="s">
        <v>1837</v>
      </c>
      <c r="C901" s="1" t="s">
        <v>303</v>
      </c>
      <c r="D901" s="3">
        <f t="shared" si="131"/>
        <v>8750</v>
      </c>
      <c r="E901" s="2">
        <f t="shared" si="129"/>
        <v>43922</v>
      </c>
      <c r="F901" s="2">
        <f t="shared" si="132"/>
        <v>44074</v>
      </c>
    </row>
    <row r="902" spans="1:6" x14ac:dyDescent="0.25">
      <c r="A902" s="1" t="s">
        <v>789</v>
      </c>
      <c r="B902" s="1" t="s">
        <v>1837</v>
      </c>
      <c r="C902" s="1" t="s">
        <v>160</v>
      </c>
      <c r="D902" s="3">
        <f t="shared" si="131"/>
        <v>8750</v>
      </c>
      <c r="E902" s="2">
        <f t="shared" si="129"/>
        <v>43922</v>
      </c>
      <c r="F902" s="2">
        <f t="shared" si="132"/>
        <v>44074</v>
      </c>
    </row>
    <row r="903" spans="1:6" x14ac:dyDescent="0.25">
      <c r="A903" s="1" t="s">
        <v>789</v>
      </c>
      <c r="B903" s="1" t="s">
        <v>1837</v>
      </c>
      <c r="C903" s="1" t="s">
        <v>34</v>
      </c>
      <c r="D903" s="3">
        <f t="shared" si="131"/>
        <v>8750</v>
      </c>
      <c r="E903" s="2">
        <f t="shared" si="129"/>
        <v>43922</v>
      </c>
      <c r="F903" s="2">
        <f t="shared" si="132"/>
        <v>44074</v>
      </c>
    </row>
    <row r="904" spans="1:6" x14ac:dyDescent="0.25">
      <c r="A904" s="1" t="s">
        <v>789</v>
      </c>
      <c r="B904" s="1" t="s">
        <v>2458</v>
      </c>
      <c r="C904" s="1" t="s">
        <v>16</v>
      </c>
      <c r="D904" s="3">
        <f>VALUE("8538")</f>
        <v>8538</v>
      </c>
      <c r="E904" s="2">
        <f>DATEVALUE("1-7-2019")</f>
        <v>43647</v>
      </c>
      <c r="F904" s="2">
        <f>DATEVALUE("31-5-2020")</f>
        <v>43982</v>
      </c>
    </row>
    <row r="905" spans="1:6" x14ac:dyDescent="0.25">
      <c r="A905" s="1" t="s">
        <v>789</v>
      </c>
      <c r="B905" s="1" t="s">
        <v>2458</v>
      </c>
      <c r="C905" s="1" t="s">
        <v>17</v>
      </c>
      <c r="D905" s="3">
        <f>VALUE("8538")</f>
        <v>8538</v>
      </c>
      <c r="E905" s="2">
        <f>DATEVALUE("1-7-2019")</f>
        <v>43647</v>
      </c>
      <c r="F905" s="2">
        <f>DATEVALUE("31-5-2020")</f>
        <v>43982</v>
      </c>
    </row>
    <row r="906" spans="1:6" x14ac:dyDescent="0.25">
      <c r="A906" s="1" t="s">
        <v>789</v>
      </c>
      <c r="B906" s="1" t="s">
        <v>2431</v>
      </c>
      <c r="C906" s="1" t="s">
        <v>43</v>
      </c>
      <c r="D906" s="3">
        <f t="shared" ref="D906:D911" si="133">VALUE("8495")</f>
        <v>8495</v>
      </c>
      <c r="E906" s="2">
        <f t="shared" ref="E906:E911" si="134">DATEVALUE("1-4-2019")</f>
        <v>43556</v>
      </c>
      <c r="F906" s="2">
        <f t="shared" ref="F906:F911" si="135">DATEVALUE("31-7-2019")</f>
        <v>43677</v>
      </c>
    </row>
    <row r="907" spans="1:6" x14ac:dyDescent="0.25">
      <c r="A907" s="1" t="s">
        <v>789</v>
      </c>
      <c r="B907" s="1" t="s">
        <v>2431</v>
      </c>
      <c r="C907" s="1" t="s">
        <v>14</v>
      </c>
      <c r="D907" s="3">
        <f t="shared" si="133"/>
        <v>8495</v>
      </c>
      <c r="E907" s="2">
        <f t="shared" si="134"/>
        <v>43556</v>
      </c>
      <c r="F907" s="2">
        <f t="shared" si="135"/>
        <v>43677</v>
      </c>
    </row>
    <row r="908" spans="1:6" x14ac:dyDescent="0.25">
      <c r="A908" s="1" t="s">
        <v>789</v>
      </c>
      <c r="B908" s="1" t="s">
        <v>2431</v>
      </c>
      <c r="C908" s="1" t="s">
        <v>16</v>
      </c>
      <c r="D908" s="3">
        <f t="shared" si="133"/>
        <v>8495</v>
      </c>
      <c r="E908" s="2">
        <f t="shared" si="134"/>
        <v>43556</v>
      </c>
      <c r="F908" s="2">
        <f t="shared" si="135"/>
        <v>43677</v>
      </c>
    </row>
    <row r="909" spans="1:6" x14ac:dyDescent="0.25">
      <c r="A909" s="1" t="s">
        <v>789</v>
      </c>
      <c r="B909" s="1" t="s">
        <v>2431</v>
      </c>
      <c r="C909" s="1" t="s">
        <v>17</v>
      </c>
      <c r="D909" s="3">
        <f t="shared" si="133"/>
        <v>8495</v>
      </c>
      <c r="E909" s="2">
        <f t="shared" si="134"/>
        <v>43556</v>
      </c>
      <c r="F909" s="2">
        <f t="shared" si="135"/>
        <v>43677</v>
      </c>
    </row>
    <row r="910" spans="1:6" x14ac:dyDescent="0.25">
      <c r="A910" s="1" t="s">
        <v>789</v>
      </c>
      <c r="B910" s="1" t="s">
        <v>2431</v>
      </c>
      <c r="C910" s="1" t="s">
        <v>22</v>
      </c>
      <c r="D910" s="3">
        <f t="shared" si="133"/>
        <v>8495</v>
      </c>
      <c r="E910" s="2">
        <f t="shared" si="134"/>
        <v>43556</v>
      </c>
      <c r="F910" s="2">
        <f t="shared" si="135"/>
        <v>43677</v>
      </c>
    </row>
    <row r="911" spans="1:6" x14ac:dyDescent="0.25">
      <c r="A911" s="1" t="s">
        <v>789</v>
      </c>
      <c r="B911" s="1" t="s">
        <v>2431</v>
      </c>
      <c r="C911" s="1" t="s">
        <v>73</v>
      </c>
      <c r="D911" s="3">
        <f t="shared" si="133"/>
        <v>8495</v>
      </c>
      <c r="E911" s="2">
        <f t="shared" si="134"/>
        <v>43556</v>
      </c>
      <c r="F911" s="2">
        <f t="shared" si="135"/>
        <v>43677</v>
      </c>
    </row>
    <row r="912" spans="1:6" x14ac:dyDescent="0.25">
      <c r="A912" s="1" t="s">
        <v>789</v>
      </c>
      <c r="B912" s="1" t="s">
        <v>2416</v>
      </c>
      <c r="C912" s="1" t="s">
        <v>17</v>
      </c>
      <c r="D912" s="3">
        <f>VALUE("8422")</f>
        <v>8422</v>
      </c>
      <c r="E912" s="2">
        <f>DATEVALUE("1-2-2019")</f>
        <v>43497</v>
      </c>
      <c r="F912" s="2">
        <f>DATEVALUE("31-10-2019")</f>
        <v>43769</v>
      </c>
    </row>
    <row r="913" spans="1:6" x14ac:dyDescent="0.25">
      <c r="A913" s="1" t="s">
        <v>789</v>
      </c>
      <c r="B913" s="1" t="s">
        <v>2416</v>
      </c>
      <c r="C913" s="1" t="s">
        <v>22</v>
      </c>
      <c r="D913" s="3">
        <f>VALUE("8422")</f>
        <v>8422</v>
      </c>
      <c r="E913" s="2">
        <f>DATEVALUE("1-2-2019")</f>
        <v>43497</v>
      </c>
      <c r="F913" s="2">
        <f>DATEVALUE("31-10-2019")</f>
        <v>43769</v>
      </c>
    </row>
    <row r="914" spans="1:6" x14ac:dyDescent="0.25">
      <c r="A914" s="1" t="s">
        <v>789</v>
      </c>
      <c r="B914" s="1" t="s">
        <v>2416</v>
      </c>
      <c r="C914" s="1" t="s">
        <v>146</v>
      </c>
      <c r="D914" s="3">
        <f>VALUE("8422")</f>
        <v>8422</v>
      </c>
      <c r="E914" s="2">
        <f>DATEVALUE("1-2-2019")</f>
        <v>43497</v>
      </c>
      <c r="F914" s="2">
        <f>DATEVALUE("31-10-2019")</f>
        <v>43769</v>
      </c>
    </row>
    <row r="915" spans="1:6" x14ac:dyDescent="0.25">
      <c r="A915" s="1" t="s">
        <v>789</v>
      </c>
      <c r="B915" s="1" t="s">
        <v>2416</v>
      </c>
      <c r="C915" s="1" t="s">
        <v>67</v>
      </c>
      <c r="D915" s="3">
        <f>VALUE("8422")</f>
        <v>8422</v>
      </c>
      <c r="E915" s="2">
        <f>DATEVALUE("1-2-2019")</f>
        <v>43497</v>
      </c>
      <c r="F915" s="2">
        <f>DATEVALUE("31-10-2019")</f>
        <v>43769</v>
      </c>
    </row>
    <row r="916" spans="1:6" x14ac:dyDescent="0.25">
      <c r="A916" s="1" t="s">
        <v>789</v>
      </c>
      <c r="B916" s="1" t="s">
        <v>2416</v>
      </c>
      <c r="C916" s="1" t="s">
        <v>160</v>
      </c>
      <c r="D916" s="3">
        <f>VALUE("8422")</f>
        <v>8422</v>
      </c>
      <c r="E916" s="2">
        <f>DATEVALUE("1-2-2019")</f>
        <v>43497</v>
      </c>
      <c r="F916" s="2">
        <f>DATEVALUE("31-10-2019")</f>
        <v>43769</v>
      </c>
    </row>
    <row r="917" spans="1:6" x14ac:dyDescent="0.25">
      <c r="A917" s="1" t="s">
        <v>789</v>
      </c>
      <c r="B917" s="1" t="s">
        <v>2080</v>
      </c>
      <c r="C917" s="1" t="s">
        <v>14</v>
      </c>
      <c r="D917" s="3">
        <f t="shared" ref="D917:D927" si="136">VALUE("8353")</f>
        <v>8353</v>
      </c>
      <c r="E917" s="2">
        <f t="shared" ref="E917:E927" si="137">DATEVALUE("1-8-2018")</f>
        <v>43313</v>
      </c>
      <c r="F917" s="2">
        <f t="shared" ref="F917:F927" si="138">DATEVALUE("30-11-2019")</f>
        <v>43799</v>
      </c>
    </row>
    <row r="918" spans="1:6" x14ac:dyDescent="0.25">
      <c r="A918" s="1" t="s">
        <v>789</v>
      </c>
      <c r="B918" s="1" t="s">
        <v>2080</v>
      </c>
      <c r="C918" s="1" t="s">
        <v>127</v>
      </c>
      <c r="D918" s="3">
        <f t="shared" si="136"/>
        <v>8353</v>
      </c>
      <c r="E918" s="2">
        <f t="shared" si="137"/>
        <v>43313</v>
      </c>
      <c r="F918" s="2">
        <f t="shared" si="138"/>
        <v>43799</v>
      </c>
    </row>
    <row r="919" spans="1:6" x14ac:dyDescent="0.25">
      <c r="A919" s="1" t="s">
        <v>789</v>
      </c>
      <c r="B919" s="1" t="s">
        <v>2080</v>
      </c>
      <c r="C919" s="1" t="s">
        <v>168</v>
      </c>
      <c r="D919" s="3">
        <f t="shared" si="136"/>
        <v>8353</v>
      </c>
      <c r="E919" s="2">
        <f t="shared" si="137"/>
        <v>43313</v>
      </c>
      <c r="F919" s="2">
        <f t="shared" si="138"/>
        <v>43799</v>
      </c>
    </row>
    <row r="920" spans="1:6" x14ac:dyDescent="0.25">
      <c r="A920" s="1" t="s">
        <v>789</v>
      </c>
      <c r="B920" s="1" t="s">
        <v>2080</v>
      </c>
      <c r="C920" s="1" t="s">
        <v>387</v>
      </c>
      <c r="D920" s="3">
        <f t="shared" si="136"/>
        <v>8353</v>
      </c>
      <c r="E920" s="2">
        <f t="shared" si="137"/>
        <v>43313</v>
      </c>
      <c r="F920" s="2">
        <f t="shared" si="138"/>
        <v>43799</v>
      </c>
    </row>
    <row r="921" spans="1:6" x14ac:dyDescent="0.25">
      <c r="A921" s="1" t="s">
        <v>789</v>
      </c>
      <c r="B921" s="1" t="s">
        <v>2080</v>
      </c>
      <c r="C921" s="1" t="s">
        <v>24</v>
      </c>
      <c r="D921" s="3">
        <f t="shared" si="136"/>
        <v>8353</v>
      </c>
      <c r="E921" s="2">
        <f t="shared" si="137"/>
        <v>43313</v>
      </c>
      <c r="F921" s="2">
        <f t="shared" si="138"/>
        <v>43799</v>
      </c>
    </row>
    <row r="922" spans="1:6" x14ac:dyDescent="0.25">
      <c r="A922" s="1" t="s">
        <v>789</v>
      </c>
      <c r="B922" s="1" t="s">
        <v>2080</v>
      </c>
      <c r="C922" s="1" t="s">
        <v>457</v>
      </c>
      <c r="D922" s="3">
        <f t="shared" si="136"/>
        <v>8353</v>
      </c>
      <c r="E922" s="2">
        <f t="shared" si="137"/>
        <v>43313</v>
      </c>
      <c r="F922" s="2">
        <f t="shared" si="138"/>
        <v>43799</v>
      </c>
    </row>
    <row r="923" spans="1:6" x14ac:dyDescent="0.25">
      <c r="A923" s="1" t="s">
        <v>789</v>
      </c>
      <c r="B923" s="1" t="s">
        <v>2080</v>
      </c>
      <c r="C923" s="1" t="s">
        <v>34</v>
      </c>
      <c r="D923" s="3">
        <f t="shared" si="136"/>
        <v>8353</v>
      </c>
      <c r="E923" s="2">
        <f t="shared" si="137"/>
        <v>43313</v>
      </c>
      <c r="F923" s="2">
        <f t="shared" si="138"/>
        <v>43799</v>
      </c>
    </row>
    <row r="924" spans="1:6" x14ac:dyDescent="0.25">
      <c r="A924" s="1" t="s">
        <v>789</v>
      </c>
      <c r="B924" s="1" t="s">
        <v>2080</v>
      </c>
      <c r="C924" s="1" t="s">
        <v>131</v>
      </c>
      <c r="D924" s="3">
        <f t="shared" si="136"/>
        <v>8353</v>
      </c>
      <c r="E924" s="2">
        <f t="shared" si="137"/>
        <v>43313</v>
      </c>
      <c r="F924" s="2">
        <f t="shared" si="138"/>
        <v>43799</v>
      </c>
    </row>
    <row r="925" spans="1:6" x14ac:dyDescent="0.25">
      <c r="A925" s="1" t="s">
        <v>789</v>
      </c>
      <c r="B925" s="1" t="s">
        <v>2080</v>
      </c>
      <c r="C925" s="1" t="s">
        <v>132</v>
      </c>
      <c r="D925" s="3">
        <f t="shared" si="136"/>
        <v>8353</v>
      </c>
      <c r="E925" s="2">
        <f t="shared" si="137"/>
        <v>43313</v>
      </c>
      <c r="F925" s="2">
        <f t="shared" si="138"/>
        <v>43799</v>
      </c>
    </row>
    <row r="926" spans="1:6" x14ac:dyDescent="0.25">
      <c r="A926" s="1" t="s">
        <v>789</v>
      </c>
      <c r="B926" s="1" t="s">
        <v>2080</v>
      </c>
      <c r="C926" s="1" t="s">
        <v>133</v>
      </c>
      <c r="D926" s="3">
        <f t="shared" si="136"/>
        <v>8353</v>
      </c>
      <c r="E926" s="2">
        <f t="shared" si="137"/>
        <v>43313</v>
      </c>
      <c r="F926" s="2">
        <f t="shared" si="138"/>
        <v>43799</v>
      </c>
    </row>
    <row r="927" spans="1:6" x14ac:dyDescent="0.25">
      <c r="A927" s="1" t="s">
        <v>789</v>
      </c>
      <c r="B927" s="1" t="s">
        <v>2080</v>
      </c>
      <c r="C927" s="1" t="s">
        <v>134</v>
      </c>
      <c r="D927" s="3">
        <f t="shared" si="136"/>
        <v>8353</v>
      </c>
      <c r="E927" s="2">
        <f t="shared" si="137"/>
        <v>43313</v>
      </c>
      <c r="F927" s="2">
        <f t="shared" si="138"/>
        <v>43799</v>
      </c>
    </row>
    <row r="928" spans="1:6" x14ac:dyDescent="0.25">
      <c r="A928" s="1" t="s">
        <v>789</v>
      </c>
      <c r="B928" s="1" t="s">
        <v>2056</v>
      </c>
      <c r="C928" s="1" t="s">
        <v>15</v>
      </c>
      <c r="D928" s="3">
        <f>VALUE("8182")</f>
        <v>8182</v>
      </c>
      <c r="E928" s="2">
        <f>DATEVALUE("1-12-2017")</f>
        <v>43070</v>
      </c>
      <c r="F928" s="2">
        <f>DATEVALUE("31-7-2018")</f>
        <v>43312</v>
      </c>
    </row>
    <row r="929" spans="1:6" x14ac:dyDescent="0.25">
      <c r="A929" s="1" t="s">
        <v>789</v>
      </c>
      <c r="B929" s="1" t="s">
        <v>2056</v>
      </c>
      <c r="C929" s="1" t="s">
        <v>16</v>
      </c>
      <c r="D929" s="3">
        <f>VALUE("8182")</f>
        <v>8182</v>
      </c>
      <c r="E929" s="2">
        <f>DATEVALUE("1-12-2017")</f>
        <v>43070</v>
      </c>
      <c r="F929" s="2">
        <f>DATEVALUE("31-7-2018")</f>
        <v>43312</v>
      </c>
    </row>
    <row r="930" spans="1:6" x14ac:dyDescent="0.25">
      <c r="A930" s="1" t="s">
        <v>789</v>
      </c>
      <c r="B930" s="1" t="s">
        <v>2056</v>
      </c>
      <c r="C930" s="1" t="s">
        <v>89</v>
      </c>
      <c r="D930" s="3">
        <f>VALUE("8182")</f>
        <v>8182</v>
      </c>
      <c r="E930" s="2">
        <f>DATEVALUE("1-12-2017")</f>
        <v>43070</v>
      </c>
      <c r="F930" s="2">
        <f>DATEVALUE("31-7-2018")</f>
        <v>43312</v>
      </c>
    </row>
    <row r="931" spans="1:6" x14ac:dyDescent="0.25">
      <c r="A931" s="1" t="s">
        <v>789</v>
      </c>
      <c r="B931" s="1" t="s">
        <v>2056</v>
      </c>
      <c r="C931" s="1" t="s">
        <v>17</v>
      </c>
      <c r="D931" s="3">
        <f>VALUE("8182")</f>
        <v>8182</v>
      </c>
      <c r="E931" s="2">
        <f>DATEVALUE("1-12-2017")</f>
        <v>43070</v>
      </c>
      <c r="F931" s="2">
        <f>DATEVALUE("31-7-2018")</f>
        <v>43312</v>
      </c>
    </row>
    <row r="932" spans="1:6" x14ac:dyDescent="0.25">
      <c r="A932" s="1" t="s">
        <v>789</v>
      </c>
      <c r="B932" s="1" t="s">
        <v>2056</v>
      </c>
      <c r="C932" s="1" t="s">
        <v>73</v>
      </c>
      <c r="D932" s="3">
        <f>VALUE("8182")</f>
        <v>8182</v>
      </c>
      <c r="E932" s="2">
        <f>DATEVALUE("1-12-2017")</f>
        <v>43070</v>
      </c>
      <c r="F932" s="2">
        <f>DATEVALUE("31-7-2018")</f>
        <v>43312</v>
      </c>
    </row>
    <row r="933" spans="1:6" x14ac:dyDescent="0.25">
      <c r="A933" s="1" t="s">
        <v>789</v>
      </c>
      <c r="B933" s="1" t="s">
        <v>788</v>
      </c>
      <c r="C933" s="1" t="s">
        <v>325</v>
      </c>
      <c r="D933" s="3">
        <f t="shared" ref="D933:D964" si="139">VALUE("8005")</f>
        <v>8005</v>
      </c>
      <c r="E933" s="2">
        <f t="shared" ref="E933:E964" si="140">DATEVALUE("1-2-2017")</f>
        <v>42767</v>
      </c>
      <c r="F933" s="2">
        <f t="shared" ref="F933:F964" si="141">DATEVALUE("31-12-2024")</f>
        <v>45657</v>
      </c>
    </row>
    <row r="934" spans="1:6" x14ac:dyDescent="0.25">
      <c r="A934" s="1" t="s">
        <v>789</v>
      </c>
      <c r="B934" s="1" t="s">
        <v>788</v>
      </c>
      <c r="C934" s="1" t="s">
        <v>511</v>
      </c>
      <c r="D934" s="3">
        <f t="shared" si="139"/>
        <v>8005</v>
      </c>
      <c r="E934" s="2">
        <f t="shared" si="140"/>
        <v>42767</v>
      </c>
      <c r="F934" s="2">
        <f t="shared" si="141"/>
        <v>45657</v>
      </c>
    </row>
    <row r="935" spans="1:6" x14ac:dyDescent="0.25">
      <c r="A935" s="1" t="s">
        <v>789</v>
      </c>
      <c r="B935" s="1" t="s">
        <v>788</v>
      </c>
      <c r="C935" s="1" t="s">
        <v>39</v>
      </c>
      <c r="D935" s="3">
        <f t="shared" si="139"/>
        <v>8005</v>
      </c>
      <c r="E935" s="2">
        <f t="shared" si="140"/>
        <v>42767</v>
      </c>
      <c r="F935" s="2">
        <f t="shared" si="141"/>
        <v>45657</v>
      </c>
    </row>
    <row r="936" spans="1:6" x14ac:dyDescent="0.25">
      <c r="A936" s="1" t="s">
        <v>789</v>
      </c>
      <c r="B936" s="1" t="s">
        <v>788</v>
      </c>
      <c r="C936" s="1" t="s">
        <v>40</v>
      </c>
      <c r="D936" s="3">
        <f t="shared" si="139"/>
        <v>8005</v>
      </c>
      <c r="E936" s="2">
        <f t="shared" si="140"/>
        <v>42767</v>
      </c>
      <c r="F936" s="2">
        <f t="shared" si="141"/>
        <v>45657</v>
      </c>
    </row>
    <row r="937" spans="1:6" x14ac:dyDescent="0.25">
      <c r="A937" s="1" t="s">
        <v>789</v>
      </c>
      <c r="B937" s="1" t="s">
        <v>788</v>
      </c>
      <c r="C937" s="1" t="s">
        <v>41</v>
      </c>
      <c r="D937" s="3">
        <f t="shared" si="139"/>
        <v>8005</v>
      </c>
      <c r="E937" s="2">
        <f t="shared" si="140"/>
        <v>42767</v>
      </c>
      <c r="F937" s="2">
        <f t="shared" si="141"/>
        <v>45657</v>
      </c>
    </row>
    <row r="938" spans="1:6" x14ac:dyDescent="0.25">
      <c r="A938" s="1" t="s">
        <v>789</v>
      </c>
      <c r="B938" s="1" t="s">
        <v>788</v>
      </c>
      <c r="C938" s="1" t="s">
        <v>256</v>
      </c>
      <c r="D938" s="3">
        <f t="shared" si="139"/>
        <v>8005</v>
      </c>
      <c r="E938" s="2">
        <f t="shared" si="140"/>
        <v>42767</v>
      </c>
      <c r="F938" s="2">
        <f t="shared" si="141"/>
        <v>45657</v>
      </c>
    </row>
    <row r="939" spans="1:6" x14ac:dyDescent="0.25">
      <c r="A939" s="1" t="s">
        <v>789</v>
      </c>
      <c r="B939" s="1" t="s">
        <v>788</v>
      </c>
      <c r="C939" s="1" t="s">
        <v>137</v>
      </c>
      <c r="D939" s="3">
        <f t="shared" si="139"/>
        <v>8005</v>
      </c>
      <c r="E939" s="2">
        <f t="shared" si="140"/>
        <v>42767</v>
      </c>
      <c r="F939" s="2">
        <f t="shared" si="141"/>
        <v>45657</v>
      </c>
    </row>
    <row r="940" spans="1:6" x14ac:dyDescent="0.25">
      <c r="A940" s="1" t="s">
        <v>789</v>
      </c>
      <c r="B940" s="1" t="s">
        <v>788</v>
      </c>
      <c r="C940" s="1" t="s">
        <v>83</v>
      </c>
      <c r="D940" s="3">
        <f t="shared" si="139"/>
        <v>8005</v>
      </c>
      <c r="E940" s="2">
        <f t="shared" si="140"/>
        <v>42767</v>
      </c>
      <c r="F940" s="2">
        <f t="shared" si="141"/>
        <v>45657</v>
      </c>
    </row>
    <row r="941" spans="1:6" x14ac:dyDescent="0.25">
      <c r="A941" s="1" t="s">
        <v>789</v>
      </c>
      <c r="B941" s="1" t="s">
        <v>788</v>
      </c>
      <c r="C941" s="1" t="s">
        <v>43</v>
      </c>
      <c r="D941" s="3">
        <f t="shared" si="139"/>
        <v>8005</v>
      </c>
      <c r="E941" s="2">
        <f t="shared" si="140"/>
        <v>42767</v>
      </c>
      <c r="F941" s="2">
        <f t="shared" si="141"/>
        <v>45657</v>
      </c>
    </row>
    <row r="942" spans="1:6" x14ac:dyDescent="0.25">
      <c r="A942" s="1" t="s">
        <v>789</v>
      </c>
      <c r="B942" s="1" t="s">
        <v>788</v>
      </c>
      <c r="C942" s="1" t="s">
        <v>412</v>
      </c>
      <c r="D942" s="3">
        <f t="shared" si="139"/>
        <v>8005</v>
      </c>
      <c r="E942" s="2">
        <f t="shared" si="140"/>
        <v>42767</v>
      </c>
      <c r="F942" s="2">
        <f t="shared" si="141"/>
        <v>45657</v>
      </c>
    </row>
    <row r="943" spans="1:6" x14ac:dyDescent="0.25">
      <c r="A943" s="1" t="s">
        <v>789</v>
      </c>
      <c r="B943" s="1" t="s">
        <v>788</v>
      </c>
      <c r="C943" s="1" t="s">
        <v>346</v>
      </c>
      <c r="D943" s="3">
        <f t="shared" si="139"/>
        <v>8005</v>
      </c>
      <c r="E943" s="2">
        <f t="shared" si="140"/>
        <v>42767</v>
      </c>
      <c r="F943" s="2">
        <f t="shared" si="141"/>
        <v>45657</v>
      </c>
    </row>
    <row r="944" spans="1:6" x14ac:dyDescent="0.25">
      <c r="A944" s="1" t="s">
        <v>789</v>
      </c>
      <c r="B944" s="1" t="s">
        <v>788</v>
      </c>
      <c r="C944" s="1" t="s">
        <v>45</v>
      </c>
      <c r="D944" s="3">
        <f t="shared" si="139"/>
        <v>8005</v>
      </c>
      <c r="E944" s="2">
        <f t="shared" si="140"/>
        <v>42767</v>
      </c>
      <c r="F944" s="2">
        <f t="shared" si="141"/>
        <v>45657</v>
      </c>
    </row>
    <row r="945" spans="1:6" x14ac:dyDescent="0.25">
      <c r="A945" s="1" t="s">
        <v>789</v>
      </c>
      <c r="B945" s="1" t="s">
        <v>788</v>
      </c>
      <c r="C945" s="1" t="s">
        <v>44</v>
      </c>
      <c r="D945" s="3">
        <f t="shared" si="139"/>
        <v>8005</v>
      </c>
      <c r="E945" s="2">
        <f t="shared" si="140"/>
        <v>42767</v>
      </c>
      <c r="F945" s="2">
        <f t="shared" si="141"/>
        <v>45657</v>
      </c>
    </row>
    <row r="946" spans="1:6" x14ac:dyDescent="0.25">
      <c r="A946" s="1" t="s">
        <v>789</v>
      </c>
      <c r="B946" s="1" t="s">
        <v>788</v>
      </c>
      <c r="C946" s="1" t="s">
        <v>140</v>
      </c>
      <c r="D946" s="3">
        <f t="shared" si="139"/>
        <v>8005</v>
      </c>
      <c r="E946" s="2">
        <f t="shared" si="140"/>
        <v>42767</v>
      </c>
      <c r="F946" s="2">
        <f t="shared" si="141"/>
        <v>45657</v>
      </c>
    </row>
    <row r="947" spans="1:6" x14ac:dyDescent="0.25">
      <c r="A947" s="1" t="s">
        <v>789</v>
      </c>
      <c r="B947" s="1" t="s">
        <v>788</v>
      </c>
      <c r="C947" s="1" t="s">
        <v>141</v>
      </c>
      <c r="D947" s="3">
        <f t="shared" si="139"/>
        <v>8005</v>
      </c>
      <c r="E947" s="2">
        <f t="shared" si="140"/>
        <v>42767</v>
      </c>
      <c r="F947" s="2">
        <f t="shared" si="141"/>
        <v>45657</v>
      </c>
    </row>
    <row r="948" spans="1:6" x14ac:dyDescent="0.25">
      <c r="A948" s="1" t="s">
        <v>789</v>
      </c>
      <c r="B948" s="1" t="s">
        <v>788</v>
      </c>
      <c r="C948" s="1" t="s">
        <v>46</v>
      </c>
      <c r="D948" s="3">
        <f t="shared" si="139"/>
        <v>8005</v>
      </c>
      <c r="E948" s="2">
        <f t="shared" si="140"/>
        <v>42767</v>
      </c>
      <c r="F948" s="2">
        <f t="shared" si="141"/>
        <v>45657</v>
      </c>
    </row>
    <row r="949" spans="1:6" x14ac:dyDescent="0.25">
      <c r="A949" s="1" t="s">
        <v>789</v>
      </c>
      <c r="B949" s="1" t="s">
        <v>788</v>
      </c>
      <c r="C949" s="1" t="s">
        <v>14</v>
      </c>
      <c r="D949" s="3">
        <f t="shared" si="139"/>
        <v>8005</v>
      </c>
      <c r="E949" s="2">
        <f t="shared" si="140"/>
        <v>42767</v>
      </c>
      <c r="F949" s="2">
        <f t="shared" si="141"/>
        <v>45657</v>
      </c>
    </row>
    <row r="950" spans="1:6" x14ac:dyDescent="0.25">
      <c r="A950" s="1" t="s">
        <v>789</v>
      </c>
      <c r="B950" s="1" t="s">
        <v>788</v>
      </c>
      <c r="C950" s="1" t="s">
        <v>15</v>
      </c>
      <c r="D950" s="3">
        <f t="shared" si="139"/>
        <v>8005</v>
      </c>
      <c r="E950" s="2">
        <f t="shared" si="140"/>
        <v>42767</v>
      </c>
      <c r="F950" s="2">
        <f t="shared" si="141"/>
        <v>45657</v>
      </c>
    </row>
    <row r="951" spans="1:6" x14ac:dyDescent="0.25">
      <c r="A951" s="1" t="s">
        <v>789</v>
      </c>
      <c r="B951" s="1" t="s">
        <v>788</v>
      </c>
      <c r="C951" s="1" t="s">
        <v>17</v>
      </c>
      <c r="D951" s="3">
        <f t="shared" si="139"/>
        <v>8005</v>
      </c>
      <c r="E951" s="2">
        <f t="shared" si="140"/>
        <v>42767</v>
      </c>
      <c r="F951" s="2">
        <f t="shared" si="141"/>
        <v>45657</v>
      </c>
    </row>
    <row r="952" spans="1:6" x14ac:dyDescent="0.25">
      <c r="A952" s="1" t="s">
        <v>789</v>
      </c>
      <c r="B952" s="1" t="s">
        <v>788</v>
      </c>
      <c r="C952" s="1" t="s">
        <v>127</v>
      </c>
      <c r="D952" s="3">
        <f t="shared" si="139"/>
        <v>8005</v>
      </c>
      <c r="E952" s="2">
        <f t="shared" si="140"/>
        <v>42767</v>
      </c>
      <c r="F952" s="2">
        <f t="shared" si="141"/>
        <v>45657</v>
      </c>
    </row>
    <row r="953" spans="1:6" x14ac:dyDescent="0.25">
      <c r="A953" s="1" t="s">
        <v>789</v>
      </c>
      <c r="B953" s="1" t="s">
        <v>788</v>
      </c>
      <c r="C953" s="1" t="s">
        <v>19</v>
      </c>
      <c r="D953" s="3">
        <f t="shared" si="139"/>
        <v>8005</v>
      </c>
      <c r="E953" s="2">
        <f t="shared" si="140"/>
        <v>42767</v>
      </c>
      <c r="F953" s="2">
        <f t="shared" si="141"/>
        <v>45657</v>
      </c>
    </row>
    <row r="954" spans="1:6" x14ac:dyDescent="0.25">
      <c r="A954" s="1" t="s">
        <v>789</v>
      </c>
      <c r="B954" s="1" t="s">
        <v>788</v>
      </c>
      <c r="C954" s="1" t="s">
        <v>22</v>
      </c>
      <c r="D954" s="3">
        <f t="shared" si="139"/>
        <v>8005</v>
      </c>
      <c r="E954" s="2">
        <f t="shared" si="140"/>
        <v>42767</v>
      </c>
      <c r="F954" s="2">
        <f t="shared" si="141"/>
        <v>45657</v>
      </c>
    </row>
    <row r="955" spans="1:6" x14ac:dyDescent="0.25">
      <c r="A955" s="1" t="s">
        <v>789</v>
      </c>
      <c r="B955" s="1" t="s">
        <v>788</v>
      </c>
      <c r="C955" s="1" t="s">
        <v>146</v>
      </c>
      <c r="D955" s="3">
        <f t="shared" si="139"/>
        <v>8005</v>
      </c>
      <c r="E955" s="2">
        <f t="shared" si="140"/>
        <v>42767</v>
      </c>
      <c r="F955" s="2">
        <f t="shared" si="141"/>
        <v>45657</v>
      </c>
    </row>
    <row r="956" spans="1:6" x14ac:dyDescent="0.25">
      <c r="A956" s="1" t="s">
        <v>789</v>
      </c>
      <c r="B956" s="1" t="s">
        <v>788</v>
      </c>
      <c r="C956" s="1" t="s">
        <v>67</v>
      </c>
      <c r="D956" s="3">
        <f t="shared" si="139"/>
        <v>8005</v>
      </c>
      <c r="E956" s="2">
        <f t="shared" si="140"/>
        <v>42767</v>
      </c>
      <c r="F956" s="2">
        <f t="shared" si="141"/>
        <v>45657</v>
      </c>
    </row>
    <row r="957" spans="1:6" x14ac:dyDescent="0.25">
      <c r="A957" s="1" t="s">
        <v>789</v>
      </c>
      <c r="B957" s="1" t="s">
        <v>788</v>
      </c>
      <c r="C957" s="1" t="s">
        <v>384</v>
      </c>
      <c r="D957" s="3">
        <f t="shared" si="139"/>
        <v>8005</v>
      </c>
      <c r="E957" s="2">
        <f t="shared" si="140"/>
        <v>42767</v>
      </c>
      <c r="F957" s="2">
        <f t="shared" si="141"/>
        <v>45657</v>
      </c>
    </row>
    <row r="958" spans="1:6" x14ac:dyDescent="0.25">
      <c r="A958" s="1" t="s">
        <v>789</v>
      </c>
      <c r="B958" s="1" t="s">
        <v>788</v>
      </c>
      <c r="C958" s="1" t="s">
        <v>148</v>
      </c>
      <c r="D958" s="3">
        <f t="shared" si="139"/>
        <v>8005</v>
      </c>
      <c r="E958" s="2">
        <f t="shared" si="140"/>
        <v>42767</v>
      </c>
      <c r="F958" s="2">
        <f t="shared" si="141"/>
        <v>45657</v>
      </c>
    </row>
    <row r="959" spans="1:6" x14ac:dyDescent="0.25">
      <c r="A959" s="1" t="s">
        <v>789</v>
      </c>
      <c r="B959" s="1" t="s">
        <v>788</v>
      </c>
      <c r="C959" s="1" t="s">
        <v>149</v>
      </c>
      <c r="D959" s="3">
        <f t="shared" si="139"/>
        <v>8005</v>
      </c>
      <c r="E959" s="2">
        <f t="shared" si="140"/>
        <v>42767</v>
      </c>
      <c r="F959" s="2">
        <f t="shared" si="141"/>
        <v>45657</v>
      </c>
    </row>
    <row r="960" spans="1:6" x14ac:dyDescent="0.25">
      <c r="A960" s="1" t="s">
        <v>789</v>
      </c>
      <c r="B960" s="1" t="s">
        <v>788</v>
      </c>
      <c r="C960" s="1" t="s">
        <v>150</v>
      </c>
      <c r="D960" s="3">
        <f t="shared" si="139"/>
        <v>8005</v>
      </c>
      <c r="E960" s="2">
        <f t="shared" si="140"/>
        <v>42767</v>
      </c>
      <c r="F960" s="2">
        <f t="shared" si="141"/>
        <v>45657</v>
      </c>
    </row>
    <row r="961" spans="1:6" x14ac:dyDescent="0.25">
      <c r="A961" s="1" t="s">
        <v>789</v>
      </c>
      <c r="B961" s="1" t="s">
        <v>788</v>
      </c>
      <c r="C961" s="1" t="s">
        <v>151</v>
      </c>
      <c r="D961" s="3">
        <f t="shared" si="139"/>
        <v>8005</v>
      </c>
      <c r="E961" s="2">
        <f t="shared" si="140"/>
        <v>42767</v>
      </c>
      <c r="F961" s="2">
        <f t="shared" si="141"/>
        <v>45657</v>
      </c>
    </row>
    <row r="962" spans="1:6" x14ac:dyDescent="0.25">
      <c r="A962" s="1" t="s">
        <v>789</v>
      </c>
      <c r="B962" s="1" t="s">
        <v>788</v>
      </c>
      <c r="C962" s="1" t="s">
        <v>768</v>
      </c>
      <c r="D962" s="3">
        <f t="shared" si="139"/>
        <v>8005</v>
      </c>
      <c r="E962" s="2">
        <f t="shared" si="140"/>
        <v>42767</v>
      </c>
      <c r="F962" s="2">
        <f t="shared" si="141"/>
        <v>45657</v>
      </c>
    </row>
    <row r="963" spans="1:6" x14ac:dyDescent="0.25">
      <c r="A963" s="1" t="s">
        <v>789</v>
      </c>
      <c r="B963" s="1" t="s">
        <v>788</v>
      </c>
      <c r="C963" s="1" t="s">
        <v>94</v>
      </c>
      <c r="D963" s="3">
        <f t="shared" si="139"/>
        <v>8005</v>
      </c>
      <c r="E963" s="2">
        <f t="shared" si="140"/>
        <v>42767</v>
      </c>
      <c r="F963" s="2">
        <f t="shared" si="141"/>
        <v>45657</v>
      </c>
    </row>
    <row r="964" spans="1:6" x14ac:dyDescent="0.25">
      <c r="A964" s="1" t="s">
        <v>789</v>
      </c>
      <c r="B964" s="1" t="s">
        <v>788</v>
      </c>
      <c r="C964" s="1" t="s">
        <v>24</v>
      </c>
      <c r="D964" s="3">
        <f t="shared" si="139"/>
        <v>8005</v>
      </c>
      <c r="E964" s="2">
        <f t="shared" si="140"/>
        <v>42767</v>
      </c>
      <c r="F964" s="2">
        <f t="shared" si="141"/>
        <v>45657</v>
      </c>
    </row>
    <row r="965" spans="1:6" x14ac:dyDescent="0.25">
      <c r="A965" s="1" t="s">
        <v>789</v>
      </c>
      <c r="B965" s="1" t="s">
        <v>788</v>
      </c>
      <c r="C965" s="1" t="s">
        <v>50</v>
      </c>
      <c r="D965" s="3">
        <f t="shared" ref="D965:D988" si="142">VALUE("8005")</f>
        <v>8005</v>
      </c>
      <c r="E965" s="2">
        <f t="shared" ref="E965:E993" si="143">DATEVALUE("1-2-2017")</f>
        <v>42767</v>
      </c>
      <c r="F965" s="2">
        <f t="shared" ref="F965:F988" si="144">DATEVALUE("31-12-2024")</f>
        <v>45657</v>
      </c>
    </row>
    <row r="966" spans="1:6" x14ac:dyDescent="0.25">
      <c r="A966" s="1" t="s">
        <v>789</v>
      </c>
      <c r="B966" s="1" t="s">
        <v>788</v>
      </c>
      <c r="C966" s="1" t="s">
        <v>494</v>
      </c>
      <c r="D966" s="3">
        <f t="shared" si="142"/>
        <v>8005</v>
      </c>
      <c r="E966" s="2">
        <f t="shared" si="143"/>
        <v>42767</v>
      </c>
      <c r="F966" s="2">
        <f t="shared" si="144"/>
        <v>45657</v>
      </c>
    </row>
    <row r="967" spans="1:6" x14ac:dyDescent="0.25">
      <c r="A967" s="1" t="s">
        <v>789</v>
      </c>
      <c r="B967" s="1" t="s">
        <v>788</v>
      </c>
      <c r="C967" s="1" t="s">
        <v>99</v>
      </c>
      <c r="D967" s="3">
        <f t="shared" si="142"/>
        <v>8005</v>
      </c>
      <c r="E967" s="2">
        <f t="shared" si="143"/>
        <v>42767</v>
      </c>
      <c r="F967" s="2">
        <f t="shared" si="144"/>
        <v>45657</v>
      </c>
    </row>
    <row r="968" spans="1:6" x14ac:dyDescent="0.25">
      <c r="A968" s="1" t="s">
        <v>789</v>
      </c>
      <c r="B968" s="1" t="s">
        <v>788</v>
      </c>
      <c r="C968" s="1" t="s">
        <v>100</v>
      </c>
      <c r="D968" s="3">
        <f t="shared" si="142"/>
        <v>8005</v>
      </c>
      <c r="E968" s="2">
        <f t="shared" si="143"/>
        <v>42767</v>
      </c>
      <c r="F968" s="2">
        <f t="shared" si="144"/>
        <v>45657</v>
      </c>
    </row>
    <row r="969" spans="1:6" x14ac:dyDescent="0.25">
      <c r="A969" s="1" t="s">
        <v>789</v>
      </c>
      <c r="B969" s="1" t="s">
        <v>788</v>
      </c>
      <c r="C969" s="1" t="s">
        <v>495</v>
      </c>
      <c r="D969" s="3">
        <f t="shared" si="142"/>
        <v>8005</v>
      </c>
      <c r="E969" s="2">
        <f t="shared" si="143"/>
        <v>42767</v>
      </c>
      <c r="F969" s="2">
        <f t="shared" si="144"/>
        <v>45657</v>
      </c>
    </row>
    <row r="970" spans="1:6" x14ac:dyDescent="0.25">
      <c r="A970" s="1" t="s">
        <v>789</v>
      </c>
      <c r="B970" s="1" t="s">
        <v>788</v>
      </c>
      <c r="C970" s="1" t="s">
        <v>476</v>
      </c>
      <c r="D970" s="3">
        <f t="shared" si="142"/>
        <v>8005</v>
      </c>
      <c r="E970" s="2">
        <f t="shared" si="143"/>
        <v>42767</v>
      </c>
      <c r="F970" s="2">
        <f t="shared" si="144"/>
        <v>45657</v>
      </c>
    </row>
    <row r="971" spans="1:6" x14ac:dyDescent="0.25">
      <c r="A971" s="1" t="s">
        <v>789</v>
      </c>
      <c r="B971" s="1" t="s">
        <v>788</v>
      </c>
      <c r="C971" s="1" t="s">
        <v>104</v>
      </c>
      <c r="D971" s="3">
        <f t="shared" si="142"/>
        <v>8005</v>
      </c>
      <c r="E971" s="2">
        <f t="shared" si="143"/>
        <v>42767</v>
      </c>
      <c r="F971" s="2">
        <f t="shared" si="144"/>
        <v>45657</v>
      </c>
    </row>
    <row r="972" spans="1:6" x14ac:dyDescent="0.25">
      <c r="A972" s="1" t="s">
        <v>789</v>
      </c>
      <c r="B972" s="1" t="s">
        <v>788</v>
      </c>
      <c r="C972" s="1" t="s">
        <v>73</v>
      </c>
      <c r="D972" s="3">
        <f t="shared" si="142"/>
        <v>8005</v>
      </c>
      <c r="E972" s="2">
        <f t="shared" si="143"/>
        <v>42767</v>
      </c>
      <c r="F972" s="2">
        <f t="shared" si="144"/>
        <v>45657</v>
      </c>
    </row>
    <row r="973" spans="1:6" x14ac:dyDescent="0.25">
      <c r="A973" s="1" t="s">
        <v>789</v>
      </c>
      <c r="B973" s="1" t="s">
        <v>788</v>
      </c>
      <c r="C973" s="1" t="s">
        <v>52</v>
      </c>
      <c r="D973" s="3">
        <f t="shared" si="142"/>
        <v>8005</v>
      </c>
      <c r="E973" s="2">
        <f t="shared" si="143"/>
        <v>42767</v>
      </c>
      <c r="F973" s="2">
        <f t="shared" si="144"/>
        <v>45657</v>
      </c>
    </row>
    <row r="974" spans="1:6" x14ac:dyDescent="0.25">
      <c r="A974" s="1" t="s">
        <v>789</v>
      </c>
      <c r="B974" s="1" t="s">
        <v>788</v>
      </c>
      <c r="C974" s="1" t="s">
        <v>350</v>
      </c>
      <c r="D974" s="3">
        <f t="shared" si="142"/>
        <v>8005</v>
      </c>
      <c r="E974" s="2">
        <f t="shared" si="143"/>
        <v>42767</v>
      </c>
      <c r="F974" s="2">
        <f t="shared" si="144"/>
        <v>45657</v>
      </c>
    </row>
    <row r="975" spans="1:6" x14ac:dyDescent="0.25">
      <c r="A975" s="1" t="s">
        <v>789</v>
      </c>
      <c r="B975" s="1" t="s">
        <v>788</v>
      </c>
      <c r="C975" s="1" t="s">
        <v>160</v>
      </c>
      <c r="D975" s="3">
        <f t="shared" si="142"/>
        <v>8005</v>
      </c>
      <c r="E975" s="2">
        <f t="shared" si="143"/>
        <v>42767</v>
      </c>
      <c r="F975" s="2">
        <f t="shared" si="144"/>
        <v>45657</v>
      </c>
    </row>
    <row r="976" spans="1:6" x14ac:dyDescent="0.25">
      <c r="A976" s="1" t="s">
        <v>789</v>
      </c>
      <c r="B976" s="1" t="s">
        <v>788</v>
      </c>
      <c r="C976" s="1" t="s">
        <v>393</v>
      </c>
      <c r="D976" s="3">
        <f t="shared" si="142"/>
        <v>8005</v>
      </c>
      <c r="E976" s="2">
        <f t="shared" si="143"/>
        <v>42767</v>
      </c>
      <c r="F976" s="2">
        <f t="shared" si="144"/>
        <v>45657</v>
      </c>
    </row>
    <row r="977" spans="1:6" x14ac:dyDescent="0.25">
      <c r="A977" s="1" t="s">
        <v>789</v>
      </c>
      <c r="B977" s="1" t="s">
        <v>788</v>
      </c>
      <c r="C977" s="1" t="s">
        <v>394</v>
      </c>
      <c r="D977" s="3">
        <f t="shared" si="142"/>
        <v>8005</v>
      </c>
      <c r="E977" s="2">
        <f t="shared" si="143"/>
        <v>42767</v>
      </c>
      <c r="F977" s="2">
        <f t="shared" si="144"/>
        <v>45657</v>
      </c>
    </row>
    <row r="978" spans="1:6" x14ac:dyDescent="0.25">
      <c r="A978" s="1" t="s">
        <v>789</v>
      </c>
      <c r="B978" s="1" t="s">
        <v>788</v>
      </c>
      <c r="C978" s="1" t="s">
        <v>396</v>
      </c>
      <c r="D978" s="3">
        <f t="shared" si="142"/>
        <v>8005</v>
      </c>
      <c r="E978" s="2">
        <f t="shared" si="143"/>
        <v>42767</v>
      </c>
      <c r="F978" s="2">
        <f t="shared" si="144"/>
        <v>45657</v>
      </c>
    </row>
    <row r="979" spans="1:6" x14ac:dyDescent="0.25">
      <c r="A979" s="1" t="s">
        <v>789</v>
      </c>
      <c r="B979" s="1" t="s">
        <v>788</v>
      </c>
      <c r="C979" s="1" t="s">
        <v>34</v>
      </c>
      <c r="D979" s="3">
        <f t="shared" si="142"/>
        <v>8005</v>
      </c>
      <c r="E979" s="2">
        <f t="shared" si="143"/>
        <v>42767</v>
      </c>
      <c r="F979" s="2">
        <f t="shared" si="144"/>
        <v>45657</v>
      </c>
    </row>
    <row r="980" spans="1:6" x14ac:dyDescent="0.25">
      <c r="A980" s="1" t="s">
        <v>789</v>
      </c>
      <c r="B980" s="1" t="s">
        <v>788</v>
      </c>
      <c r="C980" s="1" t="s">
        <v>55</v>
      </c>
      <c r="D980" s="3">
        <f t="shared" si="142"/>
        <v>8005</v>
      </c>
      <c r="E980" s="2">
        <f t="shared" si="143"/>
        <v>42767</v>
      </c>
      <c r="F980" s="2">
        <f t="shared" si="144"/>
        <v>45657</v>
      </c>
    </row>
    <row r="981" spans="1:6" x14ac:dyDescent="0.25">
      <c r="A981" s="1" t="s">
        <v>789</v>
      </c>
      <c r="B981" s="1" t="s">
        <v>788</v>
      </c>
      <c r="C981" s="1" t="s">
        <v>115</v>
      </c>
      <c r="D981" s="3">
        <f t="shared" si="142"/>
        <v>8005</v>
      </c>
      <c r="E981" s="2">
        <f t="shared" si="143"/>
        <v>42767</v>
      </c>
      <c r="F981" s="2">
        <f t="shared" si="144"/>
        <v>45657</v>
      </c>
    </row>
    <row r="982" spans="1:6" x14ac:dyDescent="0.25">
      <c r="A982" s="1" t="s">
        <v>789</v>
      </c>
      <c r="B982" s="1" t="s">
        <v>788</v>
      </c>
      <c r="C982" s="1" t="s">
        <v>519</v>
      </c>
      <c r="D982" s="3">
        <f t="shared" si="142"/>
        <v>8005</v>
      </c>
      <c r="E982" s="2">
        <f t="shared" si="143"/>
        <v>42767</v>
      </c>
      <c r="F982" s="2">
        <f t="shared" si="144"/>
        <v>45657</v>
      </c>
    </row>
    <row r="983" spans="1:6" x14ac:dyDescent="0.25">
      <c r="A983" s="1" t="s">
        <v>789</v>
      </c>
      <c r="B983" s="1" t="s">
        <v>788</v>
      </c>
      <c r="C983" s="1" t="s">
        <v>56</v>
      </c>
      <c r="D983" s="3">
        <f t="shared" si="142"/>
        <v>8005</v>
      </c>
      <c r="E983" s="2">
        <f t="shared" si="143"/>
        <v>42767</v>
      </c>
      <c r="F983" s="2">
        <f t="shared" si="144"/>
        <v>45657</v>
      </c>
    </row>
    <row r="984" spans="1:6" x14ac:dyDescent="0.25">
      <c r="A984" s="1" t="s">
        <v>789</v>
      </c>
      <c r="B984" s="1" t="s">
        <v>788</v>
      </c>
      <c r="C984" s="1" t="s">
        <v>57</v>
      </c>
      <c r="D984" s="3">
        <f t="shared" si="142"/>
        <v>8005</v>
      </c>
      <c r="E984" s="2">
        <f t="shared" si="143"/>
        <v>42767</v>
      </c>
      <c r="F984" s="2">
        <f t="shared" si="144"/>
        <v>45657</v>
      </c>
    </row>
    <row r="985" spans="1:6" x14ac:dyDescent="0.25">
      <c r="A985" s="1" t="s">
        <v>789</v>
      </c>
      <c r="B985" s="1" t="s">
        <v>788</v>
      </c>
      <c r="C985" s="1" t="s">
        <v>36</v>
      </c>
      <c r="D985" s="3">
        <f t="shared" si="142"/>
        <v>8005</v>
      </c>
      <c r="E985" s="2">
        <f t="shared" si="143"/>
        <v>42767</v>
      </c>
      <c r="F985" s="2">
        <f t="shared" si="144"/>
        <v>45657</v>
      </c>
    </row>
    <row r="986" spans="1:6" x14ac:dyDescent="0.25">
      <c r="A986" s="1" t="s">
        <v>789</v>
      </c>
      <c r="B986" s="1" t="s">
        <v>788</v>
      </c>
      <c r="C986" s="1" t="s">
        <v>169</v>
      </c>
      <c r="D986" s="3">
        <f t="shared" si="142"/>
        <v>8005</v>
      </c>
      <c r="E986" s="2">
        <f t="shared" si="143"/>
        <v>42767</v>
      </c>
      <c r="F986" s="2">
        <f t="shared" si="144"/>
        <v>45657</v>
      </c>
    </row>
    <row r="987" spans="1:6" x14ac:dyDescent="0.25">
      <c r="A987" s="1" t="s">
        <v>789</v>
      </c>
      <c r="B987" s="1" t="s">
        <v>788</v>
      </c>
      <c r="C987" s="1" t="s">
        <v>170</v>
      </c>
      <c r="D987" s="3">
        <f t="shared" si="142"/>
        <v>8005</v>
      </c>
      <c r="E987" s="2">
        <f t="shared" si="143"/>
        <v>42767</v>
      </c>
      <c r="F987" s="2">
        <f t="shared" si="144"/>
        <v>45657</v>
      </c>
    </row>
    <row r="988" spans="1:6" x14ac:dyDescent="0.25">
      <c r="A988" s="1" t="s">
        <v>789</v>
      </c>
      <c r="B988" s="1" t="s">
        <v>788</v>
      </c>
      <c r="C988" s="1" t="s">
        <v>117</v>
      </c>
      <c r="D988" s="3">
        <f t="shared" si="142"/>
        <v>8005</v>
      </c>
      <c r="E988" s="2">
        <f t="shared" si="143"/>
        <v>42767</v>
      </c>
      <c r="F988" s="2">
        <f t="shared" si="144"/>
        <v>45657</v>
      </c>
    </row>
    <row r="989" spans="1:6" x14ac:dyDescent="0.25">
      <c r="A989" s="1" t="s">
        <v>789</v>
      </c>
      <c r="B989" s="1" t="s">
        <v>2028</v>
      </c>
      <c r="C989" s="1" t="s">
        <v>14</v>
      </c>
      <c r="D989" s="3">
        <f>VALUE("8041")</f>
        <v>8041</v>
      </c>
      <c r="E989" s="2">
        <f t="shared" si="143"/>
        <v>42767</v>
      </c>
      <c r="F989" s="2">
        <f>DATEVALUE("30-4-2017")</f>
        <v>42855</v>
      </c>
    </row>
    <row r="990" spans="1:6" x14ac:dyDescent="0.25">
      <c r="A990" s="1" t="s">
        <v>789</v>
      </c>
      <c r="B990" s="1" t="s">
        <v>2028</v>
      </c>
      <c r="C990" s="1" t="s">
        <v>66</v>
      </c>
      <c r="D990" s="3">
        <f>VALUE("8041")</f>
        <v>8041</v>
      </c>
      <c r="E990" s="2">
        <f t="shared" si="143"/>
        <v>42767</v>
      </c>
      <c r="F990" s="2">
        <f>DATEVALUE("30-4-2017")</f>
        <v>42855</v>
      </c>
    </row>
    <row r="991" spans="1:6" x14ac:dyDescent="0.25">
      <c r="A991" s="1" t="s">
        <v>789</v>
      </c>
      <c r="B991" s="1" t="s">
        <v>2028</v>
      </c>
      <c r="C991" s="1" t="s">
        <v>92</v>
      </c>
      <c r="D991" s="3">
        <f>VALUE("8041")</f>
        <v>8041</v>
      </c>
      <c r="E991" s="2">
        <f t="shared" si="143"/>
        <v>42767</v>
      </c>
      <c r="F991" s="2">
        <f>DATEVALUE("30-4-2017")</f>
        <v>42855</v>
      </c>
    </row>
    <row r="992" spans="1:6" x14ac:dyDescent="0.25">
      <c r="A992" s="1" t="s">
        <v>789</v>
      </c>
      <c r="B992" s="1" t="s">
        <v>2028</v>
      </c>
      <c r="C992" s="1" t="s">
        <v>26</v>
      </c>
      <c r="D992" s="3">
        <f>VALUE("8041")</f>
        <v>8041</v>
      </c>
      <c r="E992" s="2">
        <f t="shared" si="143"/>
        <v>42767</v>
      </c>
      <c r="F992" s="2">
        <f>DATEVALUE("30-4-2017")</f>
        <v>42855</v>
      </c>
    </row>
    <row r="993" spans="1:6" x14ac:dyDescent="0.25">
      <c r="A993" s="1" t="s">
        <v>789</v>
      </c>
      <c r="B993" s="1" t="s">
        <v>2028</v>
      </c>
      <c r="C993" s="1" t="s">
        <v>55</v>
      </c>
      <c r="D993" s="3">
        <f>VALUE("8041")</f>
        <v>8041</v>
      </c>
      <c r="E993" s="2">
        <f t="shared" si="143"/>
        <v>42767</v>
      </c>
      <c r="F993" s="2">
        <f>DATEVALUE("30-4-2017")</f>
        <v>42855</v>
      </c>
    </row>
    <row r="994" spans="1:6" x14ac:dyDescent="0.25">
      <c r="A994" s="1" t="s">
        <v>1714</v>
      </c>
      <c r="B994" s="1" t="s">
        <v>1713</v>
      </c>
      <c r="C994" s="1" t="s">
        <v>7</v>
      </c>
      <c r="D994" s="3">
        <f>VALUE("7543")</f>
        <v>7543</v>
      </c>
      <c r="E994" s="2">
        <f>DATEVALUE("1-2-2014")</f>
        <v>41671</v>
      </c>
      <c r="F994" s="2">
        <f>DATEVALUE("30-9-2015")</f>
        <v>42277</v>
      </c>
    </row>
    <row r="995" spans="1:6" x14ac:dyDescent="0.25">
      <c r="A995" s="1" t="s">
        <v>1714</v>
      </c>
      <c r="B995" s="1" t="s">
        <v>1713</v>
      </c>
      <c r="C995" s="1" t="s">
        <v>8</v>
      </c>
      <c r="D995" s="3">
        <f>VALUE("7543")</f>
        <v>7543</v>
      </c>
      <c r="E995" s="2">
        <f>DATEVALUE("1-2-2014")</f>
        <v>41671</v>
      </c>
      <c r="F995" s="2">
        <f>DATEVALUE("30-9-2015")</f>
        <v>42277</v>
      </c>
    </row>
    <row r="996" spans="1:6" x14ac:dyDescent="0.25">
      <c r="A996" s="1" t="s">
        <v>1714</v>
      </c>
      <c r="B996" s="1" t="s">
        <v>1713</v>
      </c>
      <c r="C996" s="1" t="s">
        <v>10</v>
      </c>
      <c r="D996" s="3">
        <f>VALUE("7543")</f>
        <v>7543</v>
      </c>
      <c r="E996" s="2">
        <f>DATEVALUE("1-2-2014")</f>
        <v>41671</v>
      </c>
      <c r="F996" s="2">
        <f>DATEVALUE("30-9-2015")</f>
        <v>42277</v>
      </c>
    </row>
    <row r="997" spans="1:6" x14ac:dyDescent="0.25">
      <c r="A997" s="1" t="s">
        <v>1714</v>
      </c>
      <c r="B997" s="1" t="s">
        <v>1713</v>
      </c>
      <c r="C997" s="1" t="s">
        <v>11</v>
      </c>
      <c r="D997" s="3">
        <f>VALUE("7543")</f>
        <v>7543</v>
      </c>
      <c r="E997" s="2">
        <f>DATEVALUE("1-2-2014")</f>
        <v>41671</v>
      </c>
      <c r="F997" s="2">
        <f>DATEVALUE("30-9-2015")</f>
        <v>42277</v>
      </c>
    </row>
    <row r="998" spans="1:6" x14ac:dyDescent="0.25">
      <c r="A998" s="1" t="s">
        <v>2008</v>
      </c>
      <c r="B998" s="1" t="s">
        <v>2007</v>
      </c>
      <c r="C998" s="1" t="s">
        <v>39</v>
      </c>
      <c r="D998" s="3">
        <f>VALUE("7901")</f>
        <v>7901</v>
      </c>
      <c r="E998" s="2">
        <f>DATEVALUE("1-9-2016")</f>
        <v>42614</v>
      </c>
      <c r="F998" s="2">
        <f>DATEVALUE("30-9-2016")</f>
        <v>42643</v>
      </c>
    </row>
    <row r="999" spans="1:6" x14ac:dyDescent="0.25">
      <c r="A999" s="1" t="s">
        <v>2008</v>
      </c>
      <c r="B999" s="1" t="s">
        <v>2007</v>
      </c>
      <c r="C999" s="1" t="s">
        <v>8</v>
      </c>
      <c r="D999" s="3">
        <f>VALUE("7901")</f>
        <v>7901</v>
      </c>
      <c r="E999" s="2">
        <f>DATEVALUE("1-9-2016")</f>
        <v>42614</v>
      </c>
      <c r="F999" s="2">
        <f>DATEVALUE("30-9-2016")</f>
        <v>42643</v>
      </c>
    </row>
    <row r="1000" spans="1:6" x14ac:dyDescent="0.25">
      <c r="A1000" s="1" t="s">
        <v>2008</v>
      </c>
      <c r="B1000" s="1" t="s">
        <v>2007</v>
      </c>
      <c r="C1000" s="1" t="s">
        <v>43</v>
      </c>
      <c r="D1000" s="3">
        <f>VALUE("7901")</f>
        <v>7901</v>
      </c>
      <c r="E1000" s="2">
        <f>DATEVALUE("1-9-2016")</f>
        <v>42614</v>
      </c>
      <c r="F1000" s="2">
        <f>DATEVALUE("30-9-2016")</f>
        <v>42643</v>
      </c>
    </row>
    <row r="1001" spans="1:6" x14ac:dyDescent="0.25">
      <c r="A1001" s="1" t="s">
        <v>2008</v>
      </c>
      <c r="B1001" s="1" t="s">
        <v>2007</v>
      </c>
      <c r="C1001" s="1" t="s">
        <v>303</v>
      </c>
      <c r="D1001" s="3">
        <f>VALUE("7901")</f>
        <v>7901</v>
      </c>
      <c r="E1001" s="2">
        <f>DATEVALUE("1-9-2016")</f>
        <v>42614</v>
      </c>
      <c r="F1001" s="2">
        <f>DATEVALUE("30-9-2016")</f>
        <v>42643</v>
      </c>
    </row>
    <row r="1002" spans="1:6" x14ac:dyDescent="0.25">
      <c r="A1002" s="1" t="s">
        <v>38</v>
      </c>
      <c r="B1002" s="1" t="s">
        <v>37</v>
      </c>
      <c r="C1002" s="1" t="s">
        <v>39</v>
      </c>
      <c r="D1002" s="3">
        <f t="shared" ref="D1002:D1026" si="145">VALUE("1051")</f>
        <v>1051</v>
      </c>
      <c r="E1002" s="2">
        <f t="shared" ref="E1002:E1026" si="146">DATEVALUE("1-2-2008")</f>
        <v>39479</v>
      </c>
      <c r="F1002" s="2">
        <f t="shared" ref="F1002:F1026" si="147">DATEVALUE("31-12-2022")</f>
        <v>44926</v>
      </c>
    </row>
    <row r="1003" spans="1:6" x14ac:dyDescent="0.25">
      <c r="A1003" s="1" t="s">
        <v>38</v>
      </c>
      <c r="B1003" s="1" t="s">
        <v>37</v>
      </c>
      <c r="C1003" s="1" t="s">
        <v>40</v>
      </c>
      <c r="D1003" s="3">
        <f t="shared" si="145"/>
        <v>1051</v>
      </c>
      <c r="E1003" s="2">
        <f t="shared" si="146"/>
        <v>39479</v>
      </c>
      <c r="F1003" s="2">
        <f t="shared" si="147"/>
        <v>44926</v>
      </c>
    </row>
    <row r="1004" spans="1:6" x14ac:dyDescent="0.25">
      <c r="A1004" s="1" t="s">
        <v>38</v>
      </c>
      <c r="B1004" s="1" t="s">
        <v>37</v>
      </c>
      <c r="C1004" s="1" t="s">
        <v>41</v>
      </c>
      <c r="D1004" s="3">
        <f t="shared" si="145"/>
        <v>1051</v>
      </c>
      <c r="E1004" s="2">
        <f t="shared" si="146"/>
        <v>39479</v>
      </c>
      <c r="F1004" s="2">
        <f t="shared" si="147"/>
        <v>44926</v>
      </c>
    </row>
    <row r="1005" spans="1:6" x14ac:dyDescent="0.25">
      <c r="A1005" s="1" t="s">
        <v>38</v>
      </c>
      <c r="B1005" s="1" t="s">
        <v>37</v>
      </c>
      <c r="C1005" s="1" t="s">
        <v>42</v>
      </c>
      <c r="D1005" s="3">
        <f t="shared" si="145"/>
        <v>1051</v>
      </c>
      <c r="E1005" s="2">
        <f t="shared" si="146"/>
        <v>39479</v>
      </c>
      <c r="F1005" s="2">
        <f t="shared" si="147"/>
        <v>44926</v>
      </c>
    </row>
    <row r="1006" spans="1:6" x14ac:dyDescent="0.25">
      <c r="A1006" s="1" t="s">
        <v>38</v>
      </c>
      <c r="B1006" s="1" t="s">
        <v>37</v>
      </c>
      <c r="C1006" s="1" t="s">
        <v>43</v>
      </c>
      <c r="D1006" s="3">
        <f t="shared" si="145"/>
        <v>1051</v>
      </c>
      <c r="E1006" s="2">
        <f t="shared" si="146"/>
        <v>39479</v>
      </c>
      <c r="F1006" s="2">
        <f t="shared" si="147"/>
        <v>44926</v>
      </c>
    </row>
    <row r="1007" spans="1:6" x14ac:dyDescent="0.25">
      <c r="A1007" s="1" t="s">
        <v>38</v>
      </c>
      <c r="B1007" s="1" t="s">
        <v>37</v>
      </c>
      <c r="C1007" s="1" t="s">
        <v>45</v>
      </c>
      <c r="D1007" s="3">
        <f t="shared" si="145"/>
        <v>1051</v>
      </c>
      <c r="E1007" s="2">
        <f t="shared" si="146"/>
        <v>39479</v>
      </c>
      <c r="F1007" s="2">
        <f t="shared" si="147"/>
        <v>44926</v>
      </c>
    </row>
    <row r="1008" spans="1:6" x14ac:dyDescent="0.25">
      <c r="A1008" s="1" t="s">
        <v>38</v>
      </c>
      <c r="B1008" s="1" t="s">
        <v>37</v>
      </c>
      <c r="C1008" s="1" t="s">
        <v>44</v>
      </c>
      <c r="D1008" s="3">
        <f t="shared" si="145"/>
        <v>1051</v>
      </c>
      <c r="E1008" s="2">
        <f t="shared" si="146"/>
        <v>39479</v>
      </c>
      <c r="F1008" s="2">
        <f t="shared" si="147"/>
        <v>44926</v>
      </c>
    </row>
    <row r="1009" spans="1:6" x14ac:dyDescent="0.25">
      <c r="A1009" s="1" t="s">
        <v>38</v>
      </c>
      <c r="B1009" s="1" t="s">
        <v>37</v>
      </c>
      <c r="C1009" s="1" t="s">
        <v>46</v>
      </c>
      <c r="D1009" s="3">
        <f t="shared" si="145"/>
        <v>1051</v>
      </c>
      <c r="E1009" s="2">
        <f t="shared" si="146"/>
        <v>39479</v>
      </c>
      <c r="F1009" s="2">
        <f t="shared" si="147"/>
        <v>44926</v>
      </c>
    </row>
    <row r="1010" spans="1:6" x14ac:dyDescent="0.25">
      <c r="A1010" s="1" t="s">
        <v>38</v>
      </c>
      <c r="B1010" s="1" t="s">
        <v>37</v>
      </c>
      <c r="C1010" s="1" t="s">
        <v>14</v>
      </c>
      <c r="D1010" s="3">
        <f t="shared" si="145"/>
        <v>1051</v>
      </c>
      <c r="E1010" s="2">
        <f t="shared" si="146"/>
        <v>39479</v>
      </c>
      <c r="F1010" s="2">
        <f t="shared" si="147"/>
        <v>44926</v>
      </c>
    </row>
    <row r="1011" spans="1:6" x14ac:dyDescent="0.25">
      <c r="A1011" s="1" t="s">
        <v>38</v>
      </c>
      <c r="B1011" s="1" t="s">
        <v>37</v>
      </c>
      <c r="C1011" s="1" t="s">
        <v>15</v>
      </c>
      <c r="D1011" s="3">
        <f t="shared" si="145"/>
        <v>1051</v>
      </c>
      <c r="E1011" s="2">
        <f t="shared" si="146"/>
        <v>39479</v>
      </c>
      <c r="F1011" s="2">
        <f t="shared" si="147"/>
        <v>44926</v>
      </c>
    </row>
    <row r="1012" spans="1:6" x14ac:dyDescent="0.25">
      <c r="A1012" s="1" t="s">
        <v>38</v>
      </c>
      <c r="B1012" s="1" t="s">
        <v>37</v>
      </c>
      <c r="C1012" s="1" t="s">
        <v>17</v>
      </c>
      <c r="D1012" s="3">
        <f t="shared" si="145"/>
        <v>1051</v>
      </c>
      <c r="E1012" s="2">
        <f t="shared" si="146"/>
        <v>39479</v>
      </c>
      <c r="F1012" s="2">
        <f t="shared" si="147"/>
        <v>44926</v>
      </c>
    </row>
    <row r="1013" spans="1:6" x14ac:dyDescent="0.25">
      <c r="A1013" s="1" t="s">
        <v>38</v>
      </c>
      <c r="B1013" s="1" t="s">
        <v>37</v>
      </c>
      <c r="C1013" s="1" t="s">
        <v>47</v>
      </c>
      <c r="D1013" s="3">
        <f t="shared" si="145"/>
        <v>1051</v>
      </c>
      <c r="E1013" s="2">
        <f t="shared" si="146"/>
        <v>39479</v>
      </c>
      <c r="F1013" s="2">
        <f t="shared" si="147"/>
        <v>44926</v>
      </c>
    </row>
    <row r="1014" spans="1:6" x14ac:dyDescent="0.25">
      <c r="A1014" s="1" t="s">
        <v>38</v>
      </c>
      <c r="B1014" s="1" t="s">
        <v>37</v>
      </c>
      <c r="C1014" s="1" t="s">
        <v>22</v>
      </c>
      <c r="D1014" s="3">
        <f t="shared" si="145"/>
        <v>1051</v>
      </c>
      <c r="E1014" s="2">
        <f t="shared" si="146"/>
        <v>39479</v>
      </c>
      <c r="F1014" s="2">
        <f t="shared" si="147"/>
        <v>44926</v>
      </c>
    </row>
    <row r="1015" spans="1:6" x14ac:dyDescent="0.25">
      <c r="A1015" s="1" t="s">
        <v>38</v>
      </c>
      <c r="B1015" s="1" t="s">
        <v>37</v>
      </c>
      <c r="C1015" s="1" t="s">
        <v>48</v>
      </c>
      <c r="D1015" s="3">
        <f t="shared" si="145"/>
        <v>1051</v>
      </c>
      <c r="E1015" s="2">
        <f t="shared" si="146"/>
        <v>39479</v>
      </c>
      <c r="F1015" s="2">
        <f t="shared" si="147"/>
        <v>44926</v>
      </c>
    </row>
    <row r="1016" spans="1:6" x14ac:dyDescent="0.25">
      <c r="A1016" s="1" t="s">
        <v>38</v>
      </c>
      <c r="B1016" s="1" t="s">
        <v>37</v>
      </c>
      <c r="C1016" s="1" t="s">
        <v>49</v>
      </c>
      <c r="D1016" s="3">
        <f t="shared" si="145"/>
        <v>1051</v>
      </c>
      <c r="E1016" s="2">
        <f t="shared" si="146"/>
        <v>39479</v>
      </c>
      <c r="F1016" s="2">
        <f t="shared" si="147"/>
        <v>44926</v>
      </c>
    </row>
    <row r="1017" spans="1:6" x14ac:dyDescent="0.25">
      <c r="A1017" s="1" t="s">
        <v>38</v>
      </c>
      <c r="B1017" s="1" t="s">
        <v>37</v>
      </c>
      <c r="C1017" s="1" t="s">
        <v>24</v>
      </c>
      <c r="D1017" s="3">
        <f t="shared" si="145"/>
        <v>1051</v>
      </c>
      <c r="E1017" s="2">
        <f t="shared" si="146"/>
        <v>39479</v>
      </c>
      <c r="F1017" s="2">
        <f t="shared" si="147"/>
        <v>44926</v>
      </c>
    </row>
    <row r="1018" spans="1:6" x14ac:dyDescent="0.25">
      <c r="A1018" s="1" t="s">
        <v>38</v>
      </c>
      <c r="B1018" s="1" t="s">
        <v>37</v>
      </c>
      <c r="C1018" s="1" t="s">
        <v>50</v>
      </c>
      <c r="D1018" s="3">
        <f t="shared" si="145"/>
        <v>1051</v>
      </c>
      <c r="E1018" s="2">
        <f t="shared" si="146"/>
        <v>39479</v>
      </c>
      <c r="F1018" s="2">
        <f t="shared" si="147"/>
        <v>44926</v>
      </c>
    </row>
    <row r="1019" spans="1:6" x14ac:dyDescent="0.25">
      <c r="A1019" s="1" t="s">
        <v>38</v>
      </c>
      <c r="B1019" s="1" t="s">
        <v>37</v>
      </c>
      <c r="C1019" s="1" t="s">
        <v>51</v>
      </c>
      <c r="D1019" s="3">
        <f t="shared" si="145"/>
        <v>1051</v>
      </c>
      <c r="E1019" s="2">
        <f t="shared" si="146"/>
        <v>39479</v>
      </c>
      <c r="F1019" s="2">
        <f t="shared" si="147"/>
        <v>44926</v>
      </c>
    </row>
    <row r="1020" spans="1:6" x14ac:dyDescent="0.25">
      <c r="A1020" s="1" t="s">
        <v>38</v>
      </c>
      <c r="B1020" s="1" t="s">
        <v>37</v>
      </c>
      <c r="C1020" s="1" t="s">
        <v>52</v>
      </c>
      <c r="D1020" s="3">
        <f t="shared" si="145"/>
        <v>1051</v>
      </c>
      <c r="E1020" s="2">
        <f t="shared" si="146"/>
        <v>39479</v>
      </c>
      <c r="F1020" s="2">
        <f t="shared" si="147"/>
        <v>44926</v>
      </c>
    </row>
    <row r="1021" spans="1:6" x14ac:dyDescent="0.25">
      <c r="A1021" s="1" t="s">
        <v>38</v>
      </c>
      <c r="B1021" s="1" t="s">
        <v>37</v>
      </c>
      <c r="C1021" s="1" t="s">
        <v>53</v>
      </c>
      <c r="D1021" s="3">
        <f t="shared" si="145"/>
        <v>1051</v>
      </c>
      <c r="E1021" s="2">
        <f t="shared" si="146"/>
        <v>39479</v>
      </c>
      <c r="F1021" s="2">
        <f t="shared" si="147"/>
        <v>44926</v>
      </c>
    </row>
    <row r="1022" spans="1:6" x14ac:dyDescent="0.25">
      <c r="A1022" s="1" t="s">
        <v>38</v>
      </c>
      <c r="B1022" s="1" t="s">
        <v>37</v>
      </c>
      <c r="C1022" s="1" t="s">
        <v>54</v>
      </c>
      <c r="D1022" s="3">
        <f t="shared" si="145"/>
        <v>1051</v>
      </c>
      <c r="E1022" s="2">
        <f t="shared" si="146"/>
        <v>39479</v>
      </c>
      <c r="F1022" s="2">
        <f t="shared" si="147"/>
        <v>44926</v>
      </c>
    </row>
    <row r="1023" spans="1:6" x14ac:dyDescent="0.25">
      <c r="A1023" s="1" t="s">
        <v>38</v>
      </c>
      <c r="B1023" s="1" t="s">
        <v>37</v>
      </c>
      <c r="C1023" s="1" t="s">
        <v>34</v>
      </c>
      <c r="D1023" s="3">
        <f t="shared" si="145"/>
        <v>1051</v>
      </c>
      <c r="E1023" s="2">
        <f t="shared" si="146"/>
        <v>39479</v>
      </c>
      <c r="F1023" s="2">
        <f t="shared" si="147"/>
        <v>44926</v>
      </c>
    </row>
    <row r="1024" spans="1:6" x14ac:dyDescent="0.25">
      <c r="A1024" s="1" t="s">
        <v>38</v>
      </c>
      <c r="B1024" s="1" t="s">
        <v>37</v>
      </c>
      <c r="C1024" s="1" t="s">
        <v>55</v>
      </c>
      <c r="D1024" s="3">
        <f t="shared" si="145"/>
        <v>1051</v>
      </c>
      <c r="E1024" s="2">
        <f t="shared" si="146"/>
        <v>39479</v>
      </c>
      <c r="F1024" s="2">
        <f t="shared" si="147"/>
        <v>44926</v>
      </c>
    </row>
    <row r="1025" spans="1:6" x14ac:dyDescent="0.25">
      <c r="A1025" s="1" t="s">
        <v>38</v>
      </c>
      <c r="B1025" s="1" t="s">
        <v>37</v>
      </c>
      <c r="C1025" s="1" t="s">
        <v>56</v>
      </c>
      <c r="D1025" s="3">
        <f t="shared" si="145"/>
        <v>1051</v>
      </c>
      <c r="E1025" s="2">
        <f t="shared" si="146"/>
        <v>39479</v>
      </c>
      <c r="F1025" s="2">
        <f t="shared" si="147"/>
        <v>44926</v>
      </c>
    </row>
    <row r="1026" spans="1:6" x14ac:dyDescent="0.25">
      <c r="A1026" s="1" t="s">
        <v>38</v>
      </c>
      <c r="B1026" s="1" t="s">
        <v>37</v>
      </c>
      <c r="C1026" s="1" t="s">
        <v>57</v>
      </c>
      <c r="D1026" s="3">
        <f t="shared" si="145"/>
        <v>1051</v>
      </c>
      <c r="E1026" s="2">
        <f t="shared" si="146"/>
        <v>39479</v>
      </c>
      <c r="F1026" s="2">
        <f t="shared" si="147"/>
        <v>44926</v>
      </c>
    </row>
    <row r="1027" spans="1:6" x14ac:dyDescent="0.25">
      <c r="A1027" s="1" t="s">
        <v>1849</v>
      </c>
      <c r="B1027" s="1" t="s">
        <v>1848</v>
      </c>
      <c r="C1027" s="1" t="s">
        <v>140</v>
      </c>
      <c r="D1027" s="3">
        <f t="shared" ref="D1027:D1035" si="148">VALUE("8789")</f>
        <v>8789</v>
      </c>
      <c r="E1027" s="2">
        <f t="shared" ref="E1027:E1035" si="149">DATEVALUE("1-7-2020")</f>
        <v>44013</v>
      </c>
      <c r="F1027" s="2">
        <f t="shared" ref="F1027:F1035" si="150">DATEVALUE("30-9-2020")</f>
        <v>44104</v>
      </c>
    </row>
    <row r="1028" spans="1:6" x14ac:dyDescent="0.25">
      <c r="A1028" s="1" t="s">
        <v>1849</v>
      </c>
      <c r="B1028" s="1" t="s">
        <v>1848</v>
      </c>
      <c r="C1028" s="1" t="s">
        <v>248</v>
      </c>
      <c r="D1028" s="3">
        <f t="shared" si="148"/>
        <v>8789</v>
      </c>
      <c r="E1028" s="2">
        <f t="shared" si="149"/>
        <v>44013</v>
      </c>
      <c r="F1028" s="2">
        <f t="shared" si="150"/>
        <v>44104</v>
      </c>
    </row>
    <row r="1029" spans="1:6" x14ac:dyDescent="0.25">
      <c r="A1029" s="1" t="s">
        <v>1849</v>
      </c>
      <c r="B1029" s="1" t="s">
        <v>1848</v>
      </c>
      <c r="C1029" s="1" t="s">
        <v>14</v>
      </c>
      <c r="D1029" s="3">
        <f t="shared" si="148"/>
        <v>8789</v>
      </c>
      <c r="E1029" s="2">
        <f t="shared" si="149"/>
        <v>44013</v>
      </c>
      <c r="F1029" s="2">
        <f t="shared" si="150"/>
        <v>44104</v>
      </c>
    </row>
    <row r="1030" spans="1:6" x14ac:dyDescent="0.25">
      <c r="A1030" s="1" t="s">
        <v>1849</v>
      </c>
      <c r="B1030" s="1" t="s">
        <v>1848</v>
      </c>
      <c r="C1030" s="1" t="s">
        <v>17</v>
      </c>
      <c r="D1030" s="3">
        <f t="shared" si="148"/>
        <v>8789</v>
      </c>
      <c r="E1030" s="2">
        <f t="shared" si="149"/>
        <v>44013</v>
      </c>
      <c r="F1030" s="2">
        <f t="shared" si="150"/>
        <v>44104</v>
      </c>
    </row>
    <row r="1031" spans="1:6" x14ac:dyDescent="0.25">
      <c r="A1031" s="1" t="s">
        <v>1849</v>
      </c>
      <c r="B1031" s="1" t="s">
        <v>1848</v>
      </c>
      <c r="C1031" s="1" t="s">
        <v>146</v>
      </c>
      <c r="D1031" s="3">
        <f t="shared" si="148"/>
        <v>8789</v>
      </c>
      <c r="E1031" s="2">
        <f t="shared" si="149"/>
        <v>44013</v>
      </c>
      <c r="F1031" s="2">
        <f t="shared" si="150"/>
        <v>44104</v>
      </c>
    </row>
    <row r="1032" spans="1:6" x14ac:dyDescent="0.25">
      <c r="A1032" s="1" t="s">
        <v>1849</v>
      </c>
      <c r="B1032" s="1" t="s">
        <v>1848</v>
      </c>
      <c r="C1032" s="1" t="s">
        <v>400</v>
      </c>
      <c r="D1032" s="3">
        <f t="shared" si="148"/>
        <v>8789</v>
      </c>
      <c r="E1032" s="2">
        <f t="shared" si="149"/>
        <v>44013</v>
      </c>
      <c r="F1032" s="2">
        <f t="shared" si="150"/>
        <v>44104</v>
      </c>
    </row>
    <row r="1033" spans="1:6" x14ac:dyDescent="0.25">
      <c r="A1033" s="1" t="s">
        <v>1849</v>
      </c>
      <c r="B1033" s="1" t="s">
        <v>1848</v>
      </c>
      <c r="C1033" s="1" t="s">
        <v>24</v>
      </c>
      <c r="D1033" s="3">
        <f t="shared" si="148"/>
        <v>8789</v>
      </c>
      <c r="E1033" s="2">
        <f t="shared" si="149"/>
        <v>44013</v>
      </c>
      <c r="F1033" s="2">
        <f t="shared" si="150"/>
        <v>44104</v>
      </c>
    </row>
    <row r="1034" spans="1:6" x14ac:dyDescent="0.25">
      <c r="A1034" s="1" t="s">
        <v>1849</v>
      </c>
      <c r="B1034" s="1" t="s">
        <v>1848</v>
      </c>
      <c r="C1034" s="1" t="s">
        <v>160</v>
      </c>
      <c r="D1034" s="3">
        <f t="shared" si="148"/>
        <v>8789</v>
      </c>
      <c r="E1034" s="2">
        <f t="shared" si="149"/>
        <v>44013</v>
      </c>
      <c r="F1034" s="2">
        <f t="shared" si="150"/>
        <v>44104</v>
      </c>
    </row>
    <row r="1035" spans="1:6" x14ac:dyDescent="0.25">
      <c r="A1035" s="1" t="s">
        <v>1849</v>
      </c>
      <c r="B1035" s="1" t="s">
        <v>1848</v>
      </c>
      <c r="C1035" s="1" t="s">
        <v>34</v>
      </c>
      <c r="D1035" s="3">
        <f t="shared" si="148"/>
        <v>8789</v>
      </c>
      <c r="E1035" s="2">
        <f t="shared" si="149"/>
        <v>44013</v>
      </c>
      <c r="F1035" s="2">
        <f t="shared" si="150"/>
        <v>44104</v>
      </c>
    </row>
    <row r="1036" spans="1:6" x14ac:dyDescent="0.25">
      <c r="A1036" s="1" t="s">
        <v>1849</v>
      </c>
      <c r="B1036" s="1" t="s">
        <v>2449</v>
      </c>
      <c r="C1036" s="1" t="s">
        <v>87</v>
      </c>
      <c r="D1036" s="3">
        <f t="shared" ref="D1036:D1042" si="151">VALUE("8520")</f>
        <v>8520</v>
      </c>
      <c r="E1036" s="2">
        <f t="shared" ref="E1036:E1042" si="152">DATEVALUE("1-5-2019")</f>
        <v>43586</v>
      </c>
      <c r="F1036" s="2">
        <f t="shared" ref="F1036:F1056" si="153">DATEVALUE("31-8-2019")</f>
        <v>43708</v>
      </c>
    </row>
    <row r="1037" spans="1:6" x14ac:dyDescent="0.25">
      <c r="A1037" s="1" t="s">
        <v>1849</v>
      </c>
      <c r="B1037" s="1" t="s">
        <v>2449</v>
      </c>
      <c r="C1037" s="1" t="s">
        <v>14</v>
      </c>
      <c r="D1037" s="3">
        <f t="shared" si="151"/>
        <v>8520</v>
      </c>
      <c r="E1037" s="2">
        <f t="shared" si="152"/>
        <v>43586</v>
      </c>
      <c r="F1037" s="2">
        <f t="shared" si="153"/>
        <v>43708</v>
      </c>
    </row>
    <row r="1038" spans="1:6" x14ac:dyDescent="0.25">
      <c r="A1038" s="1" t="s">
        <v>1849</v>
      </c>
      <c r="B1038" s="1" t="s">
        <v>2449</v>
      </c>
      <c r="C1038" s="1" t="s">
        <v>15</v>
      </c>
      <c r="D1038" s="3">
        <f t="shared" si="151"/>
        <v>8520</v>
      </c>
      <c r="E1038" s="2">
        <f t="shared" si="152"/>
        <v>43586</v>
      </c>
      <c r="F1038" s="2">
        <f t="shared" si="153"/>
        <v>43708</v>
      </c>
    </row>
    <row r="1039" spans="1:6" x14ac:dyDescent="0.25">
      <c r="A1039" s="1" t="s">
        <v>1849</v>
      </c>
      <c r="B1039" s="1" t="s">
        <v>2449</v>
      </c>
      <c r="C1039" s="1" t="s">
        <v>290</v>
      </c>
      <c r="D1039" s="3">
        <f t="shared" si="151"/>
        <v>8520</v>
      </c>
      <c r="E1039" s="2">
        <f t="shared" si="152"/>
        <v>43586</v>
      </c>
      <c r="F1039" s="2">
        <f t="shared" si="153"/>
        <v>43708</v>
      </c>
    </row>
    <row r="1040" spans="1:6" x14ac:dyDescent="0.25">
      <c r="A1040" s="1" t="s">
        <v>1849</v>
      </c>
      <c r="B1040" s="1" t="s">
        <v>2449</v>
      </c>
      <c r="C1040" s="1" t="s">
        <v>17</v>
      </c>
      <c r="D1040" s="3">
        <f t="shared" si="151"/>
        <v>8520</v>
      </c>
      <c r="E1040" s="2">
        <f t="shared" si="152"/>
        <v>43586</v>
      </c>
      <c r="F1040" s="2">
        <f t="shared" si="153"/>
        <v>43708</v>
      </c>
    </row>
    <row r="1041" spans="1:6" x14ac:dyDescent="0.25">
      <c r="A1041" s="1" t="s">
        <v>1849</v>
      </c>
      <c r="B1041" s="1" t="s">
        <v>2449</v>
      </c>
      <c r="C1041" s="1" t="s">
        <v>24</v>
      </c>
      <c r="D1041" s="3">
        <f t="shared" si="151"/>
        <v>8520</v>
      </c>
      <c r="E1041" s="2">
        <f t="shared" si="152"/>
        <v>43586</v>
      </c>
      <c r="F1041" s="2">
        <f t="shared" si="153"/>
        <v>43708</v>
      </c>
    </row>
    <row r="1042" spans="1:6" x14ac:dyDescent="0.25">
      <c r="A1042" s="1" t="s">
        <v>1849</v>
      </c>
      <c r="B1042" s="1" t="s">
        <v>2449</v>
      </c>
      <c r="C1042" s="1" t="s">
        <v>34</v>
      </c>
      <c r="D1042" s="3">
        <f t="shared" si="151"/>
        <v>8520</v>
      </c>
      <c r="E1042" s="2">
        <f t="shared" si="152"/>
        <v>43586</v>
      </c>
      <c r="F1042" s="2">
        <f t="shared" si="153"/>
        <v>43708</v>
      </c>
    </row>
    <row r="1043" spans="1:6" x14ac:dyDescent="0.25">
      <c r="A1043" s="1" t="s">
        <v>1849</v>
      </c>
      <c r="B1043" s="1" t="s">
        <v>2421</v>
      </c>
      <c r="C1043" s="1" t="s">
        <v>8</v>
      </c>
      <c r="D1043" s="3">
        <f t="shared" ref="D1043:D1056" si="154">VALUE("8474")</f>
        <v>8474</v>
      </c>
      <c r="E1043" s="2">
        <f t="shared" ref="E1043:E1056" si="155">DATEVALUE("1-3-2018")</f>
        <v>43160</v>
      </c>
      <c r="F1043" s="2">
        <f t="shared" si="153"/>
        <v>43708</v>
      </c>
    </row>
    <row r="1044" spans="1:6" x14ac:dyDescent="0.25">
      <c r="A1044" s="1" t="s">
        <v>1849</v>
      </c>
      <c r="B1044" s="1" t="s">
        <v>2421</v>
      </c>
      <c r="C1044" s="1" t="s">
        <v>140</v>
      </c>
      <c r="D1044" s="3">
        <f t="shared" si="154"/>
        <v>8474</v>
      </c>
      <c r="E1044" s="2">
        <f t="shared" si="155"/>
        <v>43160</v>
      </c>
      <c r="F1044" s="2">
        <f t="shared" si="153"/>
        <v>43708</v>
      </c>
    </row>
    <row r="1045" spans="1:6" x14ac:dyDescent="0.25">
      <c r="A1045" s="1" t="s">
        <v>1849</v>
      </c>
      <c r="B1045" s="1" t="s">
        <v>2421</v>
      </c>
      <c r="C1045" s="1" t="s">
        <v>141</v>
      </c>
      <c r="D1045" s="3">
        <f t="shared" si="154"/>
        <v>8474</v>
      </c>
      <c r="E1045" s="2">
        <f t="shared" si="155"/>
        <v>43160</v>
      </c>
      <c r="F1045" s="2">
        <f t="shared" si="153"/>
        <v>43708</v>
      </c>
    </row>
    <row r="1046" spans="1:6" x14ac:dyDescent="0.25">
      <c r="A1046" s="1" t="s">
        <v>1849</v>
      </c>
      <c r="B1046" s="1" t="s">
        <v>2421</v>
      </c>
      <c r="C1046" s="1" t="s">
        <v>87</v>
      </c>
      <c r="D1046" s="3">
        <f t="shared" si="154"/>
        <v>8474</v>
      </c>
      <c r="E1046" s="2">
        <f t="shared" si="155"/>
        <v>43160</v>
      </c>
      <c r="F1046" s="2">
        <f t="shared" si="153"/>
        <v>43708</v>
      </c>
    </row>
    <row r="1047" spans="1:6" x14ac:dyDescent="0.25">
      <c r="A1047" s="1" t="s">
        <v>1849</v>
      </c>
      <c r="B1047" s="1" t="s">
        <v>2421</v>
      </c>
      <c r="C1047" s="1" t="s">
        <v>14</v>
      </c>
      <c r="D1047" s="3">
        <f t="shared" si="154"/>
        <v>8474</v>
      </c>
      <c r="E1047" s="2">
        <f t="shared" si="155"/>
        <v>43160</v>
      </c>
      <c r="F1047" s="2">
        <f t="shared" si="153"/>
        <v>43708</v>
      </c>
    </row>
    <row r="1048" spans="1:6" x14ac:dyDescent="0.25">
      <c r="A1048" s="1" t="s">
        <v>1849</v>
      </c>
      <c r="B1048" s="1" t="s">
        <v>2421</v>
      </c>
      <c r="C1048" s="1" t="s">
        <v>15</v>
      </c>
      <c r="D1048" s="3">
        <f t="shared" si="154"/>
        <v>8474</v>
      </c>
      <c r="E1048" s="2">
        <f t="shared" si="155"/>
        <v>43160</v>
      </c>
      <c r="F1048" s="2">
        <f t="shared" si="153"/>
        <v>43708</v>
      </c>
    </row>
    <row r="1049" spans="1:6" x14ac:dyDescent="0.25">
      <c r="A1049" s="1" t="s">
        <v>1849</v>
      </c>
      <c r="B1049" s="1" t="s">
        <v>2421</v>
      </c>
      <c r="C1049" s="1" t="s">
        <v>290</v>
      </c>
      <c r="D1049" s="3">
        <f t="shared" si="154"/>
        <v>8474</v>
      </c>
      <c r="E1049" s="2">
        <f t="shared" si="155"/>
        <v>43160</v>
      </c>
      <c r="F1049" s="2">
        <f t="shared" si="153"/>
        <v>43708</v>
      </c>
    </row>
    <row r="1050" spans="1:6" x14ac:dyDescent="0.25">
      <c r="A1050" s="1" t="s">
        <v>1849</v>
      </c>
      <c r="B1050" s="1" t="s">
        <v>2421</v>
      </c>
      <c r="C1050" s="1" t="s">
        <v>17</v>
      </c>
      <c r="D1050" s="3">
        <f t="shared" si="154"/>
        <v>8474</v>
      </c>
      <c r="E1050" s="2">
        <f t="shared" si="155"/>
        <v>43160</v>
      </c>
      <c r="F1050" s="2">
        <f t="shared" si="153"/>
        <v>43708</v>
      </c>
    </row>
    <row r="1051" spans="1:6" x14ac:dyDescent="0.25">
      <c r="A1051" s="1" t="s">
        <v>1849</v>
      </c>
      <c r="B1051" s="1" t="s">
        <v>2421</v>
      </c>
      <c r="C1051" s="1" t="s">
        <v>19</v>
      </c>
      <c r="D1051" s="3">
        <f t="shared" si="154"/>
        <v>8474</v>
      </c>
      <c r="E1051" s="2">
        <f t="shared" si="155"/>
        <v>43160</v>
      </c>
      <c r="F1051" s="2">
        <f t="shared" si="153"/>
        <v>43708</v>
      </c>
    </row>
    <row r="1052" spans="1:6" x14ac:dyDescent="0.25">
      <c r="A1052" s="1" t="s">
        <v>1849</v>
      </c>
      <c r="B1052" s="1" t="s">
        <v>2421</v>
      </c>
      <c r="C1052" s="1" t="s">
        <v>193</v>
      </c>
      <c r="D1052" s="3">
        <f t="shared" si="154"/>
        <v>8474</v>
      </c>
      <c r="E1052" s="2">
        <f t="shared" si="155"/>
        <v>43160</v>
      </c>
      <c r="F1052" s="2">
        <f t="shared" si="153"/>
        <v>43708</v>
      </c>
    </row>
    <row r="1053" spans="1:6" x14ac:dyDescent="0.25">
      <c r="A1053" s="1" t="s">
        <v>1849</v>
      </c>
      <c r="B1053" s="1" t="s">
        <v>2421</v>
      </c>
      <c r="C1053" s="1" t="s">
        <v>332</v>
      </c>
      <c r="D1053" s="3">
        <f t="shared" si="154"/>
        <v>8474</v>
      </c>
      <c r="E1053" s="2">
        <f t="shared" si="155"/>
        <v>43160</v>
      </c>
      <c r="F1053" s="2">
        <f t="shared" si="153"/>
        <v>43708</v>
      </c>
    </row>
    <row r="1054" spans="1:6" x14ac:dyDescent="0.25">
      <c r="A1054" s="1" t="s">
        <v>1849</v>
      </c>
      <c r="B1054" s="1" t="s">
        <v>2421</v>
      </c>
      <c r="C1054" s="1" t="s">
        <v>24</v>
      </c>
      <c r="D1054" s="3">
        <f t="shared" si="154"/>
        <v>8474</v>
      </c>
      <c r="E1054" s="2">
        <f t="shared" si="155"/>
        <v>43160</v>
      </c>
      <c r="F1054" s="2">
        <f t="shared" si="153"/>
        <v>43708</v>
      </c>
    </row>
    <row r="1055" spans="1:6" x14ac:dyDescent="0.25">
      <c r="A1055" s="1" t="s">
        <v>1849</v>
      </c>
      <c r="B1055" s="1" t="s">
        <v>2421</v>
      </c>
      <c r="C1055" s="1" t="s">
        <v>369</v>
      </c>
      <c r="D1055" s="3">
        <f t="shared" si="154"/>
        <v>8474</v>
      </c>
      <c r="E1055" s="2">
        <f t="shared" si="155"/>
        <v>43160</v>
      </c>
      <c r="F1055" s="2">
        <f t="shared" si="153"/>
        <v>43708</v>
      </c>
    </row>
    <row r="1056" spans="1:6" x14ac:dyDescent="0.25">
      <c r="A1056" s="1" t="s">
        <v>1849</v>
      </c>
      <c r="B1056" s="1" t="s">
        <v>2421</v>
      </c>
      <c r="C1056" s="1" t="s">
        <v>34</v>
      </c>
      <c r="D1056" s="3">
        <f t="shared" si="154"/>
        <v>8474</v>
      </c>
      <c r="E1056" s="2">
        <f t="shared" si="155"/>
        <v>43160</v>
      </c>
      <c r="F1056" s="2">
        <f t="shared" si="153"/>
        <v>43708</v>
      </c>
    </row>
    <row r="1057" spans="1:6" x14ac:dyDescent="0.25">
      <c r="A1057" s="1" t="s">
        <v>1849</v>
      </c>
      <c r="B1057" s="1" t="s">
        <v>2765</v>
      </c>
      <c r="C1057" s="1" t="s">
        <v>46</v>
      </c>
      <c r="D1057" s="3">
        <f t="shared" ref="D1057:D1062" si="156">VALUE("7611")</f>
        <v>7611</v>
      </c>
      <c r="E1057" s="2">
        <f t="shared" ref="E1057:E1062" si="157">DATEVALUE("1-4-2014")</f>
        <v>41730</v>
      </c>
      <c r="F1057" s="2">
        <f t="shared" ref="F1057:F1062" si="158">DATEVALUE("30-6-2014")</f>
        <v>41820</v>
      </c>
    </row>
    <row r="1058" spans="1:6" x14ac:dyDescent="0.25">
      <c r="A1058" s="1" t="s">
        <v>1849</v>
      </c>
      <c r="B1058" s="1" t="s">
        <v>2765</v>
      </c>
      <c r="C1058" s="1" t="s">
        <v>87</v>
      </c>
      <c r="D1058" s="3">
        <f t="shared" si="156"/>
        <v>7611</v>
      </c>
      <c r="E1058" s="2">
        <f t="shared" si="157"/>
        <v>41730</v>
      </c>
      <c r="F1058" s="2">
        <f t="shared" si="158"/>
        <v>41820</v>
      </c>
    </row>
    <row r="1059" spans="1:6" x14ac:dyDescent="0.25">
      <c r="A1059" s="1" t="s">
        <v>1849</v>
      </c>
      <c r="B1059" s="1" t="s">
        <v>2765</v>
      </c>
      <c r="C1059" s="1" t="s">
        <v>15</v>
      </c>
      <c r="D1059" s="3">
        <f t="shared" si="156"/>
        <v>7611</v>
      </c>
      <c r="E1059" s="2">
        <f t="shared" si="157"/>
        <v>41730</v>
      </c>
      <c r="F1059" s="2">
        <f t="shared" si="158"/>
        <v>41820</v>
      </c>
    </row>
    <row r="1060" spans="1:6" x14ac:dyDescent="0.25">
      <c r="A1060" s="1" t="s">
        <v>1849</v>
      </c>
      <c r="B1060" s="1" t="s">
        <v>2765</v>
      </c>
      <c r="C1060" s="1" t="s">
        <v>290</v>
      </c>
      <c r="D1060" s="3">
        <f t="shared" si="156"/>
        <v>7611</v>
      </c>
      <c r="E1060" s="2">
        <f t="shared" si="157"/>
        <v>41730</v>
      </c>
      <c r="F1060" s="2">
        <f t="shared" si="158"/>
        <v>41820</v>
      </c>
    </row>
    <row r="1061" spans="1:6" x14ac:dyDescent="0.25">
      <c r="A1061" s="1" t="s">
        <v>1849</v>
      </c>
      <c r="B1061" s="1" t="s">
        <v>2765</v>
      </c>
      <c r="C1061" s="1" t="s">
        <v>17</v>
      </c>
      <c r="D1061" s="3">
        <f t="shared" si="156"/>
        <v>7611</v>
      </c>
      <c r="E1061" s="2">
        <f t="shared" si="157"/>
        <v>41730</v>
      </c>
      <c r="F1061" s="2">
        <f t="shared" si="158"/>
        <v>41820</v>
      </c>
    </row>
    <row r="1062" spans="1:6" x14ac:dyDescent="0.25">
      <c r="A1062" s="1" t="s">
        <v>1849</v>
      </c>
      <c r="B1062" s="1" t="s">
        <v>2765</v>
      </c>
      <c r="C1062" s="1" t="s">
        <v>164</v>
      </c>
      <c r="D1062" s="3">
        <f t="shared" si="156"/>
        <v>7611</v>
      </c>
      <c r="E1062" s="2">
        <f t="shared" si="157"/>
        <v>41730</v>
      </c>
      <c r="F1062" s="2">
        <f t="shared" si="158"/>
        <v>41820</v>
      </c>
    </row>
    <row r="1063" spans="1:6" x14ac:dyDescent="0.25">
      <c r="A1063" s="1" t="s">
        <v>1849</v>
      </c>
      <c r="B1063" s="1" t="s">
        <v>1921</v>
      </c>
      <c r="C1063" s="1" t="s">
        <v>46</v>
      </c>
      <c r="D1063" s="3">
        <f>VALUE("7542")</f>
        <v>7542</v>
      </c>
      <c r="E1063" s="2">
        <f>DATEVALUE("1-9-2013")</f>
        <v>41518</v>
      </c>
      <c r="F1063" s="2">
        <f>DATEVALUE("30-11-2013")</f>
        <v>41608</v>
      </c>
    </row>
    <row r="1064" spans="1:6" x14ac:dyDescent="0.25">
      <c r="A1064" s="1" t="s">
        <v>1849</v>
      </c>
      <c r="B1064" s="1" t="s">
        <v>1921</v>
      </c>
      <c r="C1064" s="1" t="s">
        <v>87</v>
      </c>
      <c r="D1064" s="3">
        <f>VALUE("7542")</f>
        <v>7542</v>
      </c>
      <c r="E1064" s="2">
        <f>DATEVALUE("1-9-2013")</f>
        <v>41518</v>
      </c>
      <c r="F1064" s="2">
        <f>DATEVALUE("30-11-2013")</f>
        <v>41608</v>
      </c>
    </row>
    <row r="1065" spans="1:6" x14ac:dyDescent="0.25">
      <c r="A1065" s="1" t="s">
        <v>1849</v>
      </c>
      <c r="B1065" s="1" t="s">
        <v>1921</v>
      </c>
      <c r="C1065" s="1" t="s">
        <v>15</v>
      </c>
      <c r="D1065" s="3">
        <f>VALUE("7542")</f>
        <v>7542</v>
      </c>
      <c r="E1065" s="2">
        <f>DATEVALUE("1-9-2013")</f>
        <v>41518</v>
      </c>
      <c r="F1065" s="2">
        <f>DATEVALUE("30-11-2013")</f>
        <v>41608</v>
      </c>
    </row>
    <row r="1066" spans="1:6" x14ac:dyDescent="0.25">
      <c r="A1066" s="1" t="s">
        <v>1849</v>
      </c>
      <c r="B1066" s="1" t="s">
        <v>1921</v>
      </c>
      <c r="C1066" s="1" t="s">
        <v>17</v>
      </c>
      <c r="D1066" s="3">
        <f>VALUE("7542")</f>
        <v>7542</v>
      </c>
      <c r="E1066" s="2">
        <f>DATEVALUE("1-9-2013")</f>
        <v>41518</v>
      </c>
      <c r="F1066" s="2">
        <f>DATEVALUE("30-11-2013")</f>
        <v>41608</v>
      </c>
    </row>
    <row r="1067" spans="1:6" x14ac:dyDescent="0.25">
      <c r="A1067" s="1" t="s">
        <v>1849</v>
      </c>
      <c r="B1067" s="1" t="s">
        <v>1921</v>
      </c>
      <c r="C1067" s="1" t="s">
        <v>164</v>
      </c>
      <c r="D1067" s="3">
        <f>VALUE("7542")</f>
        <v>7542</v>
      </c>
      <c r="E1067" s="2">
        <f>DATEVALUE("1-9-2013")</f>
        <v>41518</v>
      </c>
      <c r="F1067" s="2">
        <f>DATEVALUE("30-11-2013")</f>
        <v>41608</v>
      </c>
    </row>
    <row r="1068" spans="1:6" x14ac:dyDescent="0.25">
      <c r="A1068" s="1" t="s">
        <v>1849</v>
      </c>
      <c r="B1068" s="1" t="s">
        <v>1917</v>
      </c>
      <c r="C1068" s="1" t="s">
        <v>46</v>
      </c>
      <c r="D1068" s="3">
        <f>VALUE("7505")</f>
        <v>7505</v>
      </c>
      <c r="E1068" s="2">
        <f>DATEVALUE("1-5-2013")</f>
        <v>41395</v>
      </c>
      <c r="F1068" s="2">
        <f t="shared" ref="F1068:F1077" si="159">DATEVALUE("30-6-2013")</f>
        <v>41455</v>
      </c>
    </row>
    <row r="1069" spans="1:6" x14ac:dyDescent="0.25">
      <c r="A1069" s="1" t="s">
        <v>1849</v>
      </c>
      <c r="B1069" s="1" t="s">
        <v>1917</v>
      </c>
      <c r="C1069" s="1" t="s">
        <v>87</v>
      </c>
      <c r="D1069" s="3">
        <f>VALUE("7505")</f>
        <v>7505</v>
      </c>
      <c r="E1069" s="2">
        <f>DATEVALUE("1-5-2013")</f>
        <v>41395</v>
      </c>
      <c r="F1069" s="2">
        <f t="shared" si="159"/>
        <v>41455</v>
      </c>
    </row>
    <row r="1070" spans="1:6" x14ac:dyDescent="0.25">
      <c r="A1070" s="1" t="s">
        <v>1849</v>
      </c>
      <c r="B1070" s="1" t="s">
        <v>1917</v>
      </c>
      <c r="C1070" s="1" t="s">
        <v>15</v>
      </c>
      <c r="D1070" s="3">
        <f>VALUE("7505")</f>
        <v>7505</v>
      </c>
      <c r="E1070" s="2">
        <f>DATEVALUE("1-5-2013")</f>
        <v>41395</v>
      </c>
      <c r="F1070" s="2">
        <f t="shared" si="159"/>
        <v>41455</v>
      </c>
    </row>
    <row r="1071" spans="1:6" x14ac:dyDescent="0.25">
      <c r="A1071" s="1" t="s">
        <v>1849</v>
      </c>
      <c r="B1071" s="1" t="s">
        <v>1917</v>
      </c>
      <c r="C1071" s="1" t="s">
        <v>17</v>
      </c>
      <c r="D1071" s="3">
        <f>VALUE("7505")</f>
        <v>7505</v>
      </c>
      <c r="E1071" s="2">
        <f>DATEVALUE("1-5-2013")</f>
        <v>41395</v>
      </c>
      <c r="F1071" s="2">
        <f t="shared" si="159"/>
        <v>41455</v>
      </c>
    </row>
    <row r="1072" spans="1:6" x14ac:dyDescent="0.25">
      <c r="A1072" s="1" t="s">
        <v>1849</v>
      </c>
      <c r="B1072" s="1" t="s">
        <v>1917</v>
      </c>
      <c r="C1072" s="1" t="s">
        <v>164</v>
      </c>
      <c r="D1072" s="3">
        <f>VALUE("7505")</f>
        <v>7505</v>
      </c>
      <c r="E1072" s="2">
        <f>DATEVALUE("1-5-2013")</f>
        <v>41395</v>
      </c>
      <c r="F1072" s="2">
        <f t="shared" si="159"/>
        <v>41455</v>
      </c>
    </row>
    <row r="1073" spans="1:6" x14ac:dyDescent="0.25">
      <c r="A1073" s="1" t="s">
        <v>1849</v>
      </c>
      <c r="B1073" s="1" t="s">
        <v>1905</v>
      </c>
      <c r="C1073" s="1" t="s">
        <v>46</v>
      </c>
      <c r="D1073" s="3">
        <f>VALUE("7444")</f>
        <v>7444</v>
      </c>
      <c r="E1073" s="2">
        <f>DATEVALUE("1-1-2013")</f>
        <v>41275</v>
      </c>
      <c r="F1073" s="2">
        <f t="shared" si="159"/>
        <v>41455</v>
      </c>
    </row>
    <row r="1074" spans="1:6" x14ac:dyDescent="0.25">
      <c r="A1074" s="1" t="s">
        <v>1849</v>
      </c>
      <c r="B1074" s="1" t="s">
        <v>1905</v>
      </c>
      <c r="C1074" s="1" t="s">
        <v>15</v>
      </c>
      <c r="D1074" s="3">
        <f>VALUE("7444")</f>
        <v>7444</v>
      </c>
      <c r="E1074" s="2">
        <f>DATEVALUE("1-1-2013")</f>
        <v>41275</v>
      </c>
      <c r="F1074" s="2">
        <f t="shared" si="159"/>
        <v>41455</v>
      </c>
    </row>
    <row r="1075" spans="1:6" x14ac:dyDescent="0.25">
      <c r="A1075" s="1" t="s">
        <v>1849</v>
      </c>
      <c r="B1075" s="1" t="s">
        <v>1905</v>
      </c>
      <c r="C1075" s="1" t="s">
        <v>290</v>
      </c>
      <c r="D1075" s="3">
        <f>VALUE("7444")</f>
        <v>7444</v>
      </c>
      <c r="E1075" s="2">
        <f>DATEVALUE("1-1-2013")</f>
        <v>41275</v>
      </c>
      <c r="F1075" s="2">
        <f t="shared" si="159"/>
        <v>41455</v>
      </c>
    </row>
    <row r="1076" spans="1:6" x14ac:dyDescent="0.25">
      <c r="A1076" s="1" t="s">
        <v>1849</v>
      </c>
      <c r="B1076" s="1" t="s">
        <v>1905</v>
      </c>
      <c r="C1076" s="1" t="s">
        <v>17</v>
      </c>
      <c r="D1076" s="3">
        <f>VALUE("7444")</f>
        <v>7444</v>
      </c>
      <c r="E1076" s="2">
        <f>DATEVALUE("1-1-2013")</f>
        <v>41275</v>
      </c>
      <c r="F1076" s="2">
        <f t="shared" si="159"/>
        <v>41455</v>
      </c>
    </row>
    <row r="1077" spans="1:6" x14ac:dyDescent="0.25">
      <c r="A1077" s="1" t="s">
        <v>1849</v>
      </c>
      <c r="B1077" s="1" t="s">
        <v>1905</v>
      </c>
      <c r="C1077" s="1" t="s">
        <v>164</v>
      </c>
      <c r="D1077" s="3">
        <f>VALUE("7444")</f>
        <v>7444</v>
      </c>
      <c r="E1077" s="2">
        <f>DATEVALUE("1-1-2013")</f>
        <v>41275</v>
      </c>
      <c r="F1077" s="2">
        <f t="shared" si="159"/>
        <v>41455</v>
      </c>
    </row>
    <row r="1078" spans="1:6" x14ac:dyDescent="0.25">
      <c r="A1078" s="1" t="s">
        <v>2787</v>
      </c>
      <c r="B1078" s="1" t="s">
        <v>2786</v>
      </c>
      <c r="C1078" s="1" t="s">
        <v>252</v>
      </c>
      <c r="D1078" s="3">
        <f>VALUE("8823")</f>
        <v>8823</v>
      </c>
      <c r="E1078" s="2">
        <f>DATEVALUE("1-9-2020")</f>
        <v>44075</v>
      </c>
      <c r="F1078" s="2">
        <f>DATEVALUE("30-9-2020")</f>
        <v>44104</v>
      </c>
    </row>
    <row r="1079" spans="1:6" x14ac:dyDescent="0.25">
      <c r="A1079" s="1" t="s">
        <v>2745</v>
      </c>
      <c r="B1079" s="1" t="s">
        <v>2742</v>
      </c>
      <c r="C1079" s="1" t="s">
        <v>212</v>
      </c>
      <c r="D1079" s="3">
        <f>VALUE("7552")</f>
        <v>7552</v>
      </c>
      <c r="E1079" s="2">
        <f>DATEVALUE("1-10-2013")</f>
        <v>41548</v>
      </c>
      <c r="F1079" s="2">
        <f>DATEVALUE("31-12-2013")</f>
        <v>41639</v>
      </c>
    </row>
    <row r="1080" spans="1:6" x14ac:dyDescent="0.25">
      <c r="A1080" s="1" t="s">
        <v>2032</v>
      </c>
      <c r="B1080" s="1" t="s">
        <v>2031</v>
      </c>
      <c r="C1080" s="1" t="s">
        <v>17</v>
      </c>
      <c r="D1080" s="3">
        <f>VALUE("8069")</f>
        <v>8069</v>
      </c>
      <c r="E1080" s="2">
        <f>DATEVALUE("1-4-2017")</f>
        <v>42826</v>
      </c>
      <c r="F1080" s="2">
        <f>DATEVALUE("31-3-2018")</f>
        <v>43190</v>
      </c>
    </row>
    <row r="1081" spans="1:6" x14ac:dyDescent="0.25">
      <c r="A1081" s="1" t="s">
        <v>2032</v>
      </c>
      <c r="B1081" s="1" t="s">
        <v>2031</v>
      </c>
      <c r="C1081" s="1" t="s">
        <v>654</v>
      </c>
      <c r="D1081" s="3">
        <f>VALUE("8069")</f>
        <v>8069</v>
      </c>
      <c r="E1081" s="2">
        <f>DATEVALUE("1-4-2017")</f>
        <v>42826</v>
      </c>
      <c r="F1081" s="2">
        <f>DATEVALUE("31-3-2018")</f>
        <v>43190</v>
      </c>
    </row>
    <row r="1082" spans="1:6" x14ac:dyDescent="0.25">
      <c r="A1082" s="1" t="s">
        <v>2032</v>
      </c>
      <c r="B1082" s="1" t="s">
        <v>2031</v>
      </c>
      <c r="C1082" s="1" t="s">
        <v>2033</v>
      </c>
      <c r="D1082" s="3">
        <f>VALUE("8069")</f>
        <v>8069</v>
      </c>
      <c r="E1082" s="2">
        <f>DATEVALUE("1-4-2017")</f>
        <v>42826</v>
      </c>
      <c r="F1082" s="2">
        <f>DATEVALUE("31-3-2018")</f>
        <v>43190</v>
      </c>
    </row>
    <row r="1083" spans="1:6" x14ac:dyDescent="0.25">
      <c r="A1083" s="1" t="s">
        <v>2032</v>
      </c>
      <c r="B1083" s="1" t="s">
        <v>2031</v>
      </c>
      <c r="C1083" s="1" t="s">
        <v>2034</v>
      </c>
      <c r="D1083" s="3">
        <f>VALUE("8069")</f>
        <v>8069</v>
      </c>
      <c r="E1083" s="2">
        <f>DATEVALUE("1-4-2017")</f>
        <v>42826</v>
      </c>
      <c r="F1083" s="2">
        <f>DATEVALUE("31-3-2018")</f>
        <v>43190</v>
      </c>
    </row>
    <row r="1084" spans="1:6" x14ac:dyDescent="0.25">
      <c r="A1084" s="1" t="s">
        <v>2032</v>
      </c>
      <c r="B1084" s="1" t="s">
        <v>2031</v>
      </c>
      <c r="C1084" s="1" t="s">
        <v>212</v>
      </c>
      <c r="D1084" s="3">
        <f>VALUE("8069")</f>
        <v>8069</v>
      </c>
      <c r="E1084" s="2">
        <f>DATEVALUE("1-4-2017")</f>
        <v>42826</v>
      </c>
      <c r="F1084" s="2">
        <f>DATEVALUE("31-3-2018")</f>
        <v>43190</v>
      </c>
    </row>
    <row r="1085" spans="1:6" x14ac:dyDescent="0.25">
      <c r="A1085" s="1" t="s">
        <v>1170</v>
      </c>
      <c r="B1085" s="1" t="s">
        <v>1169</v>
      </c>
      <c r="C1085" s="1" t="s">
        <v>43</v>
      </c>
      <c r="D1085" s="3">
        <f t="shared" ref="D1085:D1094" si="160">VALUE("8442")</f>
        <v>8442</v>
      </c>
      <c r="E1085" s="2">
        <f t="shared" ref="E1085:E1094" si="161">DATEVALUE("1-7-2020")</f>
        <v>44013</v>
      </c>
      <c r="F1085" s="2">
        <f t="shared" ref="F1085:F1094" si="162">DATEVALUE("31-12-2020")</f>
        <v>44196</v>
      </c>
    </row>
    <row r="1086" spans="1:6" x14ac:dyDescent="0.25">
      <c r="A1086" s="1" t="s">
        <v>1170</v>
      </c>
      <c r="B1086" s="1" t="s">
        <v>1169</v>
      </c>
      <c r="C1086" s="1" t="s">
        <v>14</v>
      </c>
      <c r="D1086" s="3">
        <f t="shared" si="160"/>
        <v>8442</v>
      </c>
      <c r="E1086" s="2">
        <f t="shared" si="161"/>
        <v>44013</v>
      </c>
      <c r="F1086" s="2">
        <f t="shared" si="162"/>
        <v>44196</v>
      </c>
    </row>
    <row r="1087" spans="1:6" x14ac:dyDescent="0.25">
      <c r="A1087" s="1" t="s">
        <v>1170</v>
      </c>
      <c r="B1087" s="1" t="s">
        <v>1169</v>
      </c>
      <c r="C1087" s="1" t="s">
        <v>15</v>
      </c>
      <c r="D1087" s="3">
        <f t="shared" si="160"/>
        <v>8442</v>
      </c>
      <c r="E1087" s="2">
        <f t="shared" si="161"/>
        <v>44013</v>
      </c>
      <c r="F1087" s="2">
        <f t="shared" si="162"/>
        <v>44196</v>
      </c>
    </row>
    <row r="1088" spans="1:6" x14ac:dyDescent="0.25">
      <c r="A1088" s="1" t="s">
        <v>1170</v>
      </c>
      <c r="B1088" s="1" t="s">
        <v>1169</v>
      </c>
      <c r="C1088" s="1" t="s">
        <v>17</v>
      </c>
      <c r="D1088" s="3">
        <f t="shared" si="160"/>
        <v>8442</v>
      </c>
      <c r="E1088" s="2">
        <f t="shared" si="161"/>
        <v>44013</v>
      </c>
      <c r="F1088" s="2">
        <f t="shared" si="162"/>
        <v>44196</v>
      </c>
    </row>
    <row r="1089" spans="1:6" x14ac:dyDescent="0.25">
      <c r="A1089" s="1" t="s">
        <v>1170</v>
      </c>
      <c r="B1089" s="1" t="s">
        <v>1169</v>
      </c>
      <c r="C1089" s="1" t="s">
        <v>22</v>
      </c>
      <c r="D1089" s="3">
        <f t="shared" si="160"/>
        <v>8442</v>
      </c>
      <c r="E1089" s="2">
        <f t="shared" si="161"/>
        <v>44013</v>
      </c>
      <c r="F1089" s="2">
        <f t="shared" si="162"/>
        <v>44196</v>
      </c>
    </row>
    <row r="1090" spans="1:6" x14ac:dyDescent="0.25">
      <c r="A1090" s="1" t="s">
        <v>1170</v>
      </c>
      <c r="B1090" s="1" t="s">
        <v>1169</v>
      </c>
      <c r="C1090" s="1" t="s">
        <v>24</v>
      </c>
      <c r="D1090" s="3">
        <f t="shared" si="160"/>
        <v>8442</v>
      </c>
      <c r="E1090" s="2">
        <f t="shared" si="161"/>
        <v>44013</v>
      </c>
      <c r="F1090" s="2">
        <f t="shared" si="162"/>
        <v>44196</v>
      </c>
    </row>
    <row r="1091" spans="1:6" x14ac:dyDescent="0.25">
      <c r="A1091" s="1" t="s">
        <v>1170</v>
      </c>
      <c r="B1091" s="1" t="s">
        <v>1169</v>
      </c>
      <c r="C1091" s="1" t="s">
        <v>26</v>
      </c>
      <c r="D1091" s="3">
        <f t="shared" si="160"/>
        <v>8442</v>
      </c>
      <c r="E1091" s="2">
        <f t="shared" si="161"/>
        <v>44013</v>
      </c>
      <c r="F1091" s="2">
        <f t="shared" si="162"/>
        <v>44196</v>
      </c>
    </row>
    <row r="1092" spans="1:6" x14ac:dyDescent="0.25">
      <c r="A1092" s="1" t="s">
        <v>1170</v>
      </c>
      <c r="B1092" s="1" t="s">
        <v>1169</v>
      </c>
      <c r="C1092" s="1" t="s">
        <v>52</v>
      </c>
      <c r="D1092" s="3">
        <f t="shared" si="160"/>
        <v>8442</v>
      </c>
      <c r="E1092" s="2">
        <f t="shared" si="161"/>
        <v>44013</v>
      </c>
      <c r="F1092" s="2">
        <f t="shared" si="162"/>
        <v>44196</v>
      </c>
    </row>
    <row r="1093" spans="1:6" x14ac:dyDescent="0.25">
      <c r="A1093" s="1" t="s">
        <v>1170</v>
      </c>
      <c r="B1093" s="1" t="s">
        <v>1169</v>
      </c>
      <c r="C1093" s="1" t="s">
        <v>34</v>
      </c>
      <c r="D1093" s="3">
        <f t="shared" si="160"/>
        <v>8442</v>
      </c>
      <c r="E1093" s="2">
        <f t="shared" si="161"/>
        <v>44013</v>
      </c>
      <c r="F1093" s="2">
        <f t="shared" si="162"/>
        <v>44196</v>
      </c>
    </row>
    <row r="1094" spans="1:6" x14ac:dyDescent="0.25">
      <c r="A1094" s="1" t="s">
        <v>1170</v>
      </c>
      <c r="B1094" s="1" t="s">
        <v>1169</v>
      </c>
      <c r="C1094" s="1" t="s">
        <v>57</v>
      </c>
      <c r="D1094" s="3">
        <f t="shared" si="160"/>
        <v>8442</v>
      </c>
      <c r="E1094" s="2">
        <f t="shared" si="161"/>
        <v>44013</v>
      </c>
      <c r="F1094" s="2">
        <f t="shared" si="162"/>
        <v>44196</v>
      </c>
    </row>
    <row r="1095" spans="1:6" x14ac:dyDescent="0.25">
      <c r="A1095" s="1" t="s">
        <v>2059</v>
      </c>
      <c r="B1095" s="1" t="s">
        <v>2058</v>
      </c>
      <c r="C1095" s="1" t="s">
        <v>8</v>
      </c>
      <c r="D1095" s="3">
        <f t="shared" ref="D1095:D1105" si="163">VALUE("8192")</f>
        <v>8192</v>
      </c>
      <c r="E1095" s="2">
        <f t="shared" ref="E1095:E1105" si="164">DATEVALUE("1-5-2018")</f>
        <v>43221</v>
      </c>
      <c r="F1095" s="2">
        <f t="shared" ref="F1095:F1105" si="165">DATEVALUE("30-9-2019")</f>
        <v>43738</v>
      </c>
    </row>
    <row r="1096" spans="1:6" x14ac:dyDescent="0.25">
      <c r="A1096" s="1" t="s">
        <v>2059</v>
      </c>
      <c r="B1096" s="1" t="s">
        <v>2058</v>
      </c>
      <c r="C1096" s="1" t="s">
        <v>256</v>
      </c>
      <c r="D1096" s="3">
        <f t="shared" si="163"/>
        <v>8192</v>
      </c>
      <c r="E1096" s="2">
        <f t="shared" si="164"/>
        <v>43221</v>
      </c>
      <c r="F1096" s="2">
        <f t="shared" si="165"/>
        <v>43738</v>
      </c>
    </row>
    <row r="1097" spans="1:6" x14ac:dyDescent="0.25">
      <c r="A1097" s="1" t="s">
        <v>2059</v>
      </c>
      <c r="B1097" s="1" t="s">
        <v>2058</v>
      </c>
      <c r="C1097" s="1" t="s">
        <v>84</v>
      </c>
      <c r="D1097" s="3">
        <f t="shared" si="163"/>
        <v>8192</v>
      </c>
      <c r="E1097" s="2">
        <f t="shared" si="164"/>
        <v>43221</v>
      </c>
      <c r="F1097" s="2">
        <f t="shared" si="165"/>
        <v>43738</v>
      </c>
    </row>
    <row r="1098" spans="1:6" x14ac:dyDescent="0.25">
      <c r="A1098" s="1" t="s">
        <v>2059</v>
      </c>
      <c r="B1098" s="1" t="s">
        <v>2058</v>
      </c>
      <c r="C1098" s="1" t="s">
        <v>66</v>
      </c>
      <c r="D1098" s="3">
        <f t="shared" si="163"/>
        <v>8192</v>
      </c>
      <c r="E1098" s="2">
        <f t="shared" si="164"/>
        <v>43221</v>
      </c>
      <c r="F1098" s="2">
        <f t="shared" si="165"/>
        <v>43738</v>
      </c>
    </row>
    <row r="1099" spans="1:6" x14ac:dyDescent="0.25">
      <c r="A1099" s="1" t="s">
        <v>2059</v>
      </c>
      <c r="B1099" s="1" t="s">
        <v>2058</v>
      </c>
      <c r="C1099" s="1" t="s">
        <v>89</v>
      </c>
      <c r="D1099" s="3">
        <f t="shared" si="163"/>
        <v>8192</v>
      </c>
      <c r="E1099" s="2">
        <f t="shared" si="164"/>
        <v>43221</v>
      </c>
      <c r="F1099" s="2">
        <f t="shared" si="165"/>
        <v>43738</v>
      </c>
    </row>
    <row r="1100" spans="1:6" x14ac:dyDescent="0.25">
      <c r="A1100" s="1" t="s">
        <v>2059</v>
      </c>
      <c r="B1100" s="1" t="s">
        <v>2058</v>
      </c>
      <c r="C1100" s="1" t="s">
        <v>17</v>
      </c>
      <c r="D1100" s="3">
        <f t="shared" si="163"/>
        <v>8192</v>
      </c>
      <c r="E1100" s="2">
        <f t="shared" si="164"/>
        <v>43221</v>
      </c>
      <c r="F1100" s="2">
        <f t="shared" si="165"/>
        <v>43738</v>
      </c>
    </row>
    <row r="1101" spans="1:6" x14ac:dyDescent="0.25">
      <c r="A1101" s="1" t="s">
        <v>2059</v>
      </c>
      <c r="B1101" s="1" t="s">
        <v>2058</v>
      </c>
      <c r="C1101" s="1" t="s">
        <v>146</v>
      </c>
      <c r="D1101" s="3">
        <f t="shared" si="163"/>
        <v>8192</v>
      </c>
      <c r="E1101" s="2">
        <f t="shared" si="164"/>
        <v>43221</v>
      </c>
      <c r="F1101" s="2">
        <f t="shared" si="165"/>
        <v>43738</v>
      </c>
    </row>
    <row r="1102" spans="1:6" x14ac:dyDescent="0.25">
      <c r="A1102" s="1" t="s">
        <v>2059</v>
      </c>
      <c r="B1102" s="1" t="s">
        <v>2058</v>
      </c>
      <c r="C1102" s="1" t="s">
        <v>67</v>
      </c>
      <c r="D1102" s="3">
        <f t="shared" si="163"/>
        <v>8192</v>
      </c>
      <c r="E1102" s="2">
        <f t="shared" si="164"/>
        <v>43221</v>
      </c>
      <c r="F1102" s="2">
        <f t="shared" si="165"/>
        <v>43738</v>
      </c>
    </row>
    <row r="1103" spans="1:6" x14ac:dyDescent="0.25">
      <c r="A1103" s="1" t="s">
        <v>2059</v>
      </c>
      <c r="B1103" s="1" t="s">
        <v>2058</v>
      </c>
      <c r="C1103" s="1" t="s">
        <v>92</v>
      </c>
      <c r="D1103" s="3">
        <f t="shared" si="163"/>
        <v>8192</v>
      </c>
      <c r="E1103" s="2">
        <f t="shared" si="164"/>
        <v>43221</v>
      </c>
      <c r="F1103" s="2">
        <f t="shared" si="165"/>
        <v>43738</v>
      </c>
    </row>
    <row r="1104" spans="1:6" x14ac:dyDescent="0.25">
      <c r="A1104" s="1" t="s">
        <v>2059</v>
      </c>
      <c r="B1104" s="1" t="s">
        <v>2058</v>
      </c>
      <c r="C1104" s="1" t="s">
        <v>94</v>
      </c>
      <c r="D1104" s="3">
        <f t="shared" si="163"/>
        <v>8192</v>
      </c>
      <c r="E1104" s="2">
        <f t="shared" si="164"/>
        <v>43221</v>
      </c>
      <c r="F1104" s="2">
        <f t="shared" si="165"/>
        <v>43738</v>
      </c>
    </row>
    <row r="1105" spans="1:6" x14ac:dyDescent="0.25">
      <c r="A1105" s="1" t="s">
        <v>2059</v>
      </c>
      <c r="B1105" s="1" t="s">
        <v>2058</v>
      </c>
      <c r="C1105" s="1" t="s">
        <v>73</v>
      </c>
      <c r="D1105" s="3">
        <f t="shared" si="163"/>
        <v>8192</v>
      </c>
      <c r="E1105" s="2">
        <f t="shared" si="164"/>
        <v>43221</v>
      </c>
      <c r="F1105" s="2">
        <f t="shared" si="165"/>
        <v>43738</v>
      </c>
    </row>
    <row r="1106" spans="1:6" x14ac:dyDescent="0.25">
      <c r="A1106" s="1" t="s">
        <v>2743</v>
      </c>
      <c r="B1106" s="1" t="s">
        <v>2742</v>
      </c>
      <c r="C1106" s="1" t="s">
        <v>7</v>
      </c>
      <c r="D1106" s="3">
        <f>VALUE("7552")</f>
        <v>7552</v>
      </c>
      <c r="E1106" s="2">
        <f>DATEVALUE("1-10-2013")</f>
        <v>41548</v>
      </c>
      <c r="F1106" s="2">
        <f>DATEVALUE("31-12-2013")</f>
        <v>41639</v>
      </c>
    </row>
    <row r="1107" spans="1:6" x14ac:dyDescent="0.25">
      <c r="A1107" s="1" t="s">
        <v>792</v>
      </c>
      <c r="B1107" s="1" t="s">
        <v>791</v>
      </c>
      <c r="C1107" s="1" t="s">
        <v>7</v>
      </c>
      <c r="D1107" s="3">
        <f t="shared" ref="D1107:D1130" si="166">VALUE("8010")</f>
        <v>8010</v>
      </c>
      <c r="E1107" s="2">
        <f t="shared" ref="E1107:E1130" si="167">DATEVALUE("1-7-2017")</f>
        <v>42917</v>
      </c>
      <c r="F1107" s="2">
        <f t="shared" ref="F1107:F1130" si="168">DATEVALUE("31-12-2020")</f>
        <v>44196</v>
      </c>
    </row>
    <row r="1108" spans="1:6" x14ac:dyDescent="0.25">
      <c r="A1108" s="1" t="s">
        <v>792</v>
      </c>
      <c r="B1108" s="1" t="s">
        <v>791</v>
      </c>
      <c r="C1108" s="1" t="s">
        <v>8</v>
      </c>
      <c r="D1108" s="3">
        <f t="shared" si="166"/>
        <v>8010</v>
      </c>
      <c r="E1108" s="2">
        <f t="shared" si="167"/>
        <v>42917</v>
      </c>
      <c r="F1108" s="2">
        <f t="shared" si="168"/>
        <v>44196</v>
      </c>
    </row>
    <row r="1109" spans="1:6" x14ac:dyDescent="0.25">
      <c r="A1109" s="1" t="s">
        <v>792</v>
      </c>
      <c r="B1109" s="1" t="s">
        <v>791</v>
      </c>
      <c r="C1109" s="1" t="s">
        <v>256</v>
      </c>
      <c r="D1109" s="3">
        <f t="shared" si="166"/>
        <v>8010</v>
      </c>
      <c r="E1109" s="2">
        <f t="shared" si="167"/>
        <v>42917</v>
      </c>
      <c r="F1109" s="2">
        <f t="shared" si="168"/>
        <v>44196</v>
      </c>
    </row>
    <row r="1110" spans="1:6" x14ac:dyDescent="0.25">
      <c r="A1110" s="1" t="s">
        <v>792</v>
      </c>
      <c r="B1110" s="1" t="s">
        <v>791</v>
      </c>
      <c r="C1110" s="1" t="s">
        <v>14</v>
      </c>
      <c r="D1110" s="3">
        <f t="shared" si="166"/>
        <v>8010</v>
      </c>
      <c r="E1110" s="2">
        <f t="shared" si="167"/>
        <v>42917</v>
      </c>
      <c r="F1110" s="2">
        <f t="shared" si="168"/>
        <v>44196</v>
      </c>
    </row>
    <row r="1111" spans="1:6" x14ac:dyDescent="0.25">
      <c r="A1111" s="1" t="s">
        <v>792</v>
      </c>
      <c r="B1111" s="1" t="s">
        <v>791</v>
      </c>
      <c r="C1111" s="1" t="s">
        <v>15</v>
      </c>
      <c r="D1111" s="3">
        <f t="shared" si="166"/>
        <v>8010</v>
      </c>
      <c r="E1111" s="2">
        <f t="shared" si="167"/>
        <v>42917</v>
      </c>
      <c r="F1111" s="2">
        <f t="shared" si="168"/>
        <v>44196</v>
      </c>
    </row>
    <row r="1112" spans="1:6" x14ac:dyDescent="0.25">
      <c r="A1112" s="1" t="s">
        <v>792</v>
      </c>
      <c r="B1112" s="1" t="s">
        <v>791</v>
      </c>
      <c r="C1112" s="1" t="s">
        <v>89</v>
      </c>
      <c r="D1112" s="3">
        <f t="shared" si="166"/>
        <v>8010</v>
      </c>
      <c r="E1112" s="2">
        <f t="shared" si="167"/>
        <v>42917</v>
      </c>
      <c r="F1112" s="2">
        <f t="shared" si="168"/>
        <v>44196</v>
      </c>
    </row>
    <row r="1113" spans="1:6" x14ac:dyDescent="0.25">
      <c r="A1113" s="1" t="s">
        <v>792</v>
      </c>
      <c r="B1113" s="1" t="s">
        <v>791</v>
      </c>
      <c r="C1113" s="1" t="s">
        <v>17</v>
      </c>
      <c r="D1113" s="3">
        <f t="shared" si="166"/>
        <v>8010</v>
      </c>
      <c r="E1113" s="2">
        <f t="shared" si="167"/>
        <v>42917</v>
      </c>
      <c r="F1113" s="2">
        <f t="shared" si="168"/>
        <v>44196</v>
      </c>
    </row>
    <row r="1114" spans="1:6" x14ac:dyDescent="0.25">
      <c r="A1114" s="1" t="s">
        <v>792</v>
      </c>
      <c r="B1114" s="1" t="s">
        <v>791</v>
      </c>
      <c r="C1114" s="1" t="s">
        <v>197</v>
      </c>
      <c r="D1114" s="3">
        <f t="shared" si="166"/>
        <v>8010</v>
      </c>
      <c r="E1114" s="2">
        <f t="shared" si="167"/>
        <v>42917</v>
      </c>
      <c r="F1114" s="2">
        <f t="shared" si="168"/>
        <v>44196</v>
      </c>
    </row>
    <row r="1115" spans="1:6" x14ac:dyDescent="0.25">
      <c r="A1115" s="1" t="s">
        <v>792</v>
      </c>
      <c r="B1115" s="1" t="s">
        <v>791</v>
      </c>
      <c r="C1115" s="1" t="s">
        <v>146</v>
      </c>
      <c r="D1115" s="3">
        <f t="shared" si="166"/>
        <v>8010</v>
      </c>
      <c r="E1115" s="2">
        <f t="shared" si="167"/>
        <v>42917</v>
      </c>
      <c r="F1115" s="2">
        <f t="shared" si="168"/>
        <v>44196</v>
      </c>
    </row>
    <row r="1116" spans="1:6" x14ac:dyDescent="0.25">
      <c r="A1116" s="1" t="s">
        <v>792</v>
      </c>
      <c r="B1116" s="1" t="s">
        <v>791</v>
      </c>
      <c r="C1116" s="1" t="s">
        <v>67</v>
      </c>
      <c r="D1116" s="3">
        <f t="shared" si="166"/>
        <v>8010</v>
      </c>
      <c r="E1116" s="2">
        <f t="shared" si="167"/>
        <v>42917</v>
      </c>
      <c r="F1116" s="2">
        <f t="shared" si="168"/>
        <v>44196</v>
      </c>
    </row>
    <row r="1117" spans="1:6" x14ac:dyDescent="0.25">
      <c r="A1117" s="1" t="s">
        <v>792</v>
      </c>
      <c r="B1117" s="1" t="s">
        <v>791</v>
      </c>
      <c r="C1117" s="1" t="s">
        <v>147</v>
      </c>
      <c r="D1117" s="3">
        <f t="shared" si="166"/>
        <v>8010</v>
      </c>
      <c r="E1117" s="2">
        <f t="shared" si="167"/>
        <v>42917</v>
      </c>
      <c r="F1117" s="2">
        <f t="shared" si="168"/>
        <v>44196</v>
      </c>
    </row>
    <row r="1118" spans="1:6" x14ac:dyDescent="0.25">
      <c r="A1118" s="1" t="s">
        <v>792</v>
      </c>
      <c r="B1118" s="1" t="s">
        <v>791</v>
      </c>
      <c r="C1118" s="1" t="s">
        <v>148</v>
      </c>
      <c r="D1118" s="3">
        <f t="shared" si="166"/>
        <v>8010</v>
      </c>
      <c r="E1118" s="2">
        <f t="shared" si="167"/>
        <v>42917</v>
      </c>
      <c r="F1118" s="2">
        <f t="shared" si="168"/>
        <v>44196</v>
      </c>
    </row>
    <row r="1119" spans="1:6" x14ac:dyDescent="0.25">
      <c r="A1119" s="1" t="s">
        <v>792</v>
      </c>
      <c r="B1119" s="1" t="s">
        <v>791</v>
      </c>
      <c r="C1119" s="1" t="s">
        <v>149</v>
      </c>
      <c r="D1119" s="3">
        <f t="shared" si="166"/>
        <v>8010</v>
      </c>
      <c r="E1119" s="2">
        <f t="shared" si="167"/>
        <v>42917</v>
      </c>
      <c r="F1119" s="2">
        <f t="shared" si="168"/>
        <v>44196</v>
      </c>
    </row>
    <row r="1120" spans="1:6" x14ac:dyDescent="0.25">
      <c r="A1120" s="1" t="s">
        <v>792</v>
      </c>
      <c r="B1120" s="1" t="s">
        <v>791</v>
      </c>
      <c r="C1120" s="1" t="s">
        <v>222</v>
      </c>
      <c r="D1120" s="3">
        <f t="shared" si="166"/>
        <v>8010</v>
      </c>
      <c r="E1120" s="2">
        <f t="shared" si="167"/>
        <v>42917</v>
      </c>
      <c r="F1120" s="2">
        <f t="shared" si="168"/>
        <v>44196</v>
      </c>
    </row>
    <row r="1121" spans="1:6" x14ac:dyDescent="0.25">
      <c r="A1121" s="1" t="s">
        <v>792</v>
      </c>
      <c r="B1121" s="1" t="s">
        <v>791</v>
      </c>
      <c r="C1121" s="1" t="s">
        <v>472</v>
      </c>
      <c r="D1121" s="3">
        <f t="shared" si="166"/>
        <v>8010</v>
      </c>
      <c r="E1121" s="2">
        <f t="shared" si="167"/>
        <v>42917</v>
      </c>
      <c r="F1121" s="2">
        <f t="shared" si="168"/>
        <v>44196</v>
      </c>
    </row>
    <row r="1122" spans="1:6" x14ac:dyDescent="0.25">
      <c r="A1122" s="1" t="s">
        <v>792</v>
      </c>
      <c r="B1122" s="1" t="s">
        <v>791</v>
      </c>
      <c r="C1122" s="1" t="s">
        <v>92</v>
      </c>
      <c r="D1122" s="3">
        <f t="shared" si="166"/>
        <v>8010</v>
      </c>
      <c r="E1122" s="2">
        <f t="shared" si="167"/>
        <v>42917</v>
      </c>
      <c r="F1122" s="2">
        <f t="shared" si="168"/>
        <v>44196</v>
      </c>
    </row>
    <row r="1123" spans="1:6" x14ac:dyDescent="0.25">
      <c r="A1123" s="1" t="s">
        <v>792</v>
      </c>
      <c r="B1123" s="1" t="s">
        <v>791</v>
      </c>
      <c r="C1123" s="1" t="s">
        <v>212</v>
      </c>
      <c r="D1123" s="3">
        <f t="shared" si="166"/>
        <v>8010</v>
      </c>
      <c r="E1123" s="2">
        <f t="shared" si="167"/>
        <v>42917</v>
      </c>
      <c r="F1123" s="2">
        <f t="shared" si="168"/>
        <v>44196</v>
      </c>
    </row>
    <row r="1124" spans="1:6" x14ac:dyDescent="0.25">
      <c r="A1124" s="1" t="s">
        <v>792</v>
      </c>
      <c r="B1124" s="1" t="s">
        <v>791</v>
      </c>
      <c r="C1124" s="1" t="s">
        <v>24</v>
      </c>
      <c r="D1124" s="3">
        <f t="shared" si="166"/>
        <v>8010</v>
      </c>
      <c r="E1124" s="2">
        <f t="shared" si="167"/>
        <v>42917</v>
      </c>
      <c r="F1124" s="2">
        <f t="shared" si="168"/>
        <v>44196</v>
      </c>
    </row>
    <row r="1125" spans="1:6" x14ac:dyDescent="0.25">
      <c r="A1125" s="1" t="s">
        <v>792</v>
      </c>
      <c r="B1125" s="1" t="s">
        <v>791</v>
      </c>
      <c r="C1125" s="1" t="s">
        <v>100</v>
      </c>
      <c r="D1125" s="3">
        <f t="shared" si="166"/>
        <v>8010</v>
      </c>
      <c r="E1125" s="2">
        <f t="shared" si="167"/>
        <v>42917</v>
      </c>
      <c r="F1125" s="2">
        <f t="shared" si="168"/>
        <v>44196</v>
      </c>
    </row>
    <row r="1126" spans="1:6" x14ac:dyDescent="0.25">
      <c r="A1126" s="1" t="s">
        <v>792</v>
      </c>
      <c r="B1126" s="1" t="s">
        <v>791</v>
      </c>
      <c r="C1126" s="1" t="s">
        <v>27</v>
      </c>
      <c r="D1126" s="3">
        <f t="shared" si="166"/>
        <v>8010</v>
      </c>
      <c r="E1126" s="2">
        <f t="shared" si="167"/>
        <v>42917</v>
      </c>
      <c r="F1126" s="2">
        <f t="shared" si="168"/>
        <v>44196</v>
      </c>
    </row>
    <row r="1127" spans="1:6" x14ac:dyDescent="0.25">
      <c r="A1127" s="1" t="s">
        <v>792</v>
      </c>
      <c r="B1127" s="1" t="s">
        <v>791</v>
      </c>
      <c r="C1127" s="1" t="s">
        <v>262</v>
      </c>
      <c r="D1127" s="3">
        <f t="shared" si="166"/>
        <v>8010</v>
      </c>
      <c r="E1127" s="2">
        <f t="shared" si="167"/>
        <v>42917</v>
      </c>
      <c r="F1127" s="2">
        <f t="shared" si="168"/>
        <v>44196</v>
      </c>
    </row>
    <row r="1128" spans="1:6" x14ac:dyDescent="0.25">
      <c r="A1128" s="1" t="s">
        <v>792</v>
      </c>
      <c r="B1128" s="1" t="s">
        <v>791</v>
      </c>
      <c r="C1128" s="1" t="s">
        <v>793</v>
      </c>
      <c r="D1128" s="3">
        <f t="shared" si="166"/>
        <v>8010</v>
      </c>
      <c r="E1128" s="2">
        <f t="shared" si="167"/>
        <v>42917</v>
      </c>
      <c r="F1128" s="2">
        <f t="shared" si="168"/>
        <v>44196</v>
      </c>
    </row>
    <row r="1129" spans="1:6" x14ac:dyDescent="0.25">
      <c r="A1129" s="1" t="s">
        <v>792</v>
      </c>
      <c r="B1129" s="1" t="s">
        <v>791</v>
      </c>
      <c r="C1129" s="1" t="s">
        <v>52</v>
      </c>
      <c r="D1129" s="3">
        <f t="shared" si="166"/>
        <v>8010</v>
      </c>
      <c r="E1129" s="2">
        <f t="shared" si="167"/>
        <v>42917</v>
      </c>
      <c r="F1129" s="2">
        <f t="shared" si="168"/>
        <v>44196</v>
      </c>
    </row>
    <row r="1130" spans="1:6" x14ac:dyDescent="0.25">
      <c r="A1130" s="1" t="s">
        <v>792</v>
      </c>
      <c r="B1130" s="1" t="s">
        <v>791</v>
      </c>
      <c r="C1130" s="1" t="s">
        <v>34</v>
      </c>
      <c r="D1130" s="3">
        <f t="shared" si="166"/>
        <v>8010</v>
      </c>
      <c r="E1130" s="2">
        <f t="shared" si="167"/>
        <v>42917</v>
      </c>
      <c r="F1130" s="2">
        <f t="shared" si="168"/>
        <v>44196</v>
      </c>
    </row>
    <row r="1131" spans="1:6" x14ac:dyDescent="0.25">
      <c r="A1131" s="1" t="s">
        <v>1639</v>
      </c>
      <c r="B1131" s="1" t="s">
        <v>1638</v>
      </c>
      <c r="C1131" s="1" t="s">
        <v>228</v>
      </c>
      <c r="D1131" s="3">
        <f>VALUE("8812")</f>
        <v>8812</v>
      </c>
      <c r="E1131" s="2">
        <f>DATEVALUE("1-10-2020")</f>
        <v>44105</v>
      </c>
      <c r="F1131" s="2">
        <f>DATEVALUE("31-10-2020")</f>
        <v>44135</v>
      </c>
    </row>
    <row r="1132" spans="1:6" x14ac:dyDescent="0.25">
      <c r="A1132" s="1" t="s">
        <v>1639</v>
      </c>
      <c r="B1132" s="1" t="s">
        <v>1638</v>
      </c>
      <c r="C1132" s="1" t="s">
        <v>30</v>
      </c>
      <c r="D1132" s="3">
        <f>VALUE("8812")</f>
        <v>8812</v>
      </c>
      <c r="E1132" s="2">
        <f>DATEVALUE("1-10-2020")</f>
        <v>44105</v>
      </c>
      <c r="F1132" s="2">
        <f>DATEVALUE("31-10-2020")</f>
        <v>44135</v>
      </c>
    </row>
    <row r="1133" spans="1:6" x14ac:dyDescent="0.25">
      <c r="A1133" s="1" t="s">
        <v>1845</v>
      </c>
      <c r="B1133" s="1" t="s">
        <v>1844</v>
      </c>
      <c r="C1133" s="1" t="s">
        <v>61</v>
      </c>
      <c r="D1133" s="3">
        <f t="shared" ref="D1133:D1143" si="169">VALUE("8765")</f>
        <v>8765</v>
      </c>
      <c r="E1133" s="2">
        <f t="shared" ref="E1133:E1143" si="170">DATEVALUE("1-5-2020")</f>
        <v>43952</v>
      </c>
      <c r="F1133" s="2">
        <f t="shared" ref="F1133:F1143" si="171">DATEVALUE("31-8-2020")</f>
        <v>44074</v>
      </c>
    </row>
    <row r="1134" spans="1:6" x14ac:dyDescent="0.25">
      <c r="A1134" s="1" t="s">
        <v>1845</v>
      </c>
      <c r="B1134" s="1" t="s">
        <v>1844</v>
      </c>
      <c r="C1134" s="1" t="s">
        <v>141</v>
      </c>
      <c r="D1134" s="3">
        <f t="shared" si="169"/>
        <v>8765</v>
      </c>
      <c r="E1134" s="2">
        <f t="shared" si="170"/>
        <v>43952</v>
      </c>
      <c r="F1134" s="2">
        <f t="shared" si="171"/>
        <v>44074</v>
      </c>
    </row>
    <row r="1135" spans="1:6" x14ac:dyDescent="0.25">
      <c r="A1135" s="1" t="s">
        <v>1845</v>
      </c>
      <c r="B1135" s="1" t="s">
        <v>1844</v>
      </c>
      <c r="C1135" s="1" t="s">
        <v>15</v>
      </c>
      <c r="D1135" s="3">
        <f t="shared" si="169"/>
        <v>8765</v>
      </c>
      <c r="E1135" s="2">
        <f t="shared" si="170"/>
        <v>43952</v>
      </c>
      <c r="F1135" s="2">
        <f t="shared" si="171"/>
        <v>44074</v>
      </c>
    </row>
    <row r="1136" spans="1:6" x14ac:dyDescent="0.25">
      <c r="A1136" s="1" t="s">
        <v>1845</v>
      </c>
      <c r="B1136" s="1" t="s">
        <v>1844</v>
      </c>
      <c r="C1136" s="1" t="s">
        <v>16</v>
      </c>
      <c r="D1136" s="3">
        <f t="shared" si="169"/>
        <v>8765</v>
      </c>
      <c r="E1136" s="2">
        <f t="shared" si="170"/>
        <v>43952</v>
      </c>
      <c r="F1136" s="2">
        <f t="shared" si="171"/>
        <v>44074</v>
      </c>
    </row>
    <row r="1137" spans="1:6" x14ac:dyDescent="0.25">
      <c r="A1137" s="1" t="s">
        <v>1845</v>
      </c>
      <c r="B1137" s="1" t="s">
        <v>1844</v>
      </c>
      <c r="C1137" s="1" t="s">
        <v>22</v>
      </c>
      <c r="D1137" s="3">
        <f t="shared" si="169"/>
        <v>8765</v>
      </c>
      <c r="E1137" s="2">
        <f t="shared" si="170"/>
        <v>43952</v>
      </c>
      <c r="F1137" s="2">
        <f t="shared" si="171"/>
        <v>44074</v>
      </c>
    </row>
    <row r="1138" spans="1:6" x14ac:dyDescent="0.25">
      <c r="A1138" s="1" t="s">
        <v>1845</v>
      </c>
      <c r="B1138" s="1" t="s">
        <v>1844</v>
      </c>
      <c r="C1138" s="1" t="s">
        <v>67</v>
      </c>
      <c r="D1138" s="3">
        <f t="shared" si="169"/>
        <v>8765</v>
      </c>
      <c r="E1138" s="2">
        <f t="shared" si="170"/>
        <v>43952</v>
      </c>
      <c r="F1138" s="2">
        <f t="shared" si="171"/>
        <v>44074</v>
      </c>
    </row>
    <row r="1139" spans="1:6" x14ac:dyDescent="0.25">
      <c r="A1139" s="1" t="s">
        <v>1845</v>
      </c>
      <c r="B1139" s="1" t="s">
        <v>1844</v>
      </c>
      <c r="C1139" s="1" t="s">
        <v>1846</v>
      </c>
      <c r="D1139" s="3">
        <f t="shared" si="169"/>
        <v>8765</v>
      </c>
      <c r="E1139" s="2">
        <f t="shared" si="170"/>
        <v>43952</v>
      </c>
      <c r="F1139" s="2">
        <f t="shared" si="171"/>
        <v>44074</v>
      </c>
    </row>
    <row r="1140" spans="1:6" x14ac:dyDescent="0.25">
      <c r="A1140" s="1" t="s">
        <v>1845</v>
      </c>
      <c r="B1140" s="1" t="s">
        <v>1844</v>
      </c>
      <c r="C1140" s="1" t="s">
        <v>52</v>
      </c>
      <c r="D1140" s="3">
        <f t="shared" si="169"/>
        <v>8765</v>
      </c>
      <c r="E1140" s="2">
        <f t="shared" si="170"/>
        <v>43952</v>
      </c>
      <c r="F1140" s="2">
        <f t="shared" si="171"/>
        <v>44074</v>
      </c>
    </row>
    <row r="1141" spans="1:6" x14ac:dyDescent="0.25">
      <c r="A1141" s="1" t="s">
        <v>1845</v>
      </c>
      <c r="B1141" s="1" t="s">
        <v>1844</v>
      </c>
      <c r="C1141" s="1" t="s">
        <v>338</v>
      </c>
      <c r="D1141" s="3">
        <f t="shared" si="169"/>
        <v>8765</v>
      </c>
      <c r="E1141" s="2">
        <f t="shared" si="170"/>
        <v>43952</v>
      </c>
      <c r="F1141" s="2">
        <f t="shared" si="171"/>
        <v>44074</v>
      </c>
    </row>
    <row r="1142" spans="1:6" x14ac:dyDescent="0.25">
      <c r="A1142" s="1" t="s">
        <v>1845</v>
      </c>
      <c r="B1142" s="1" t="s">
        <v>1844</v>
      </c>
      <c r="C1142" s="1" t="s">
        <v>402</v>
      </c>
      <c r="D1142" s="3">
        <f t="shared" si="169"/>
        <v>8765</v>
      </c>
      <c r="E1142" s="2">
        <f t="shared" si="170"/>
        <v>43952</v>
      </c>
      <c r="F1142" s="2">
        <f t="shared" si="171"/>
        <v>44074</v>
      </c>
    </row>
    <row r="1143" spans="1:6" x14ac:dyDescent="0.25">
      <c r="A1143" s="1" t="s">
        <v>1845</v>
      </c>
      <c r="B1143" s="1" t="s">
        <v>1844</v>
      </c>
      <c r="C1143" s="1" t="s">
        <v>378</v>
      </c>
      <c r="D1143" s="3">
        <f t="shared" si="169"/>
        <v>8765</v>
      </c>
      <c r="E1143" s="2">
        <f t="shared" si="170"/>
        <v>43952</v>
      </c>
      <c r="F1143" s="2">
        <f t="shared" si="171"/>
        <v>44074</v>
      </c>
    </row>
    <row r="1144" spans="1:6" x14ac:dyDescent="0.25">
      <c r="A1144" s="1" t="s">
        <v>536</v>
      </c>
      <c r="B1144" s="1" t="s">
        <v>1438</v>
      </c>
      <c r="C1144" s="1" t="s">
        <v>1441</v>
      </c>
      <c r="D1144" s="3">
        <f>VALUE("8658")</f>
        <v>8658</v>
      </c>
      <c r="E1144" s="2">
        <f>DATEVALUE("1-4-2020")</f>
        <v>43922</v>
      </c>
      <c r="F1144" s="2">
        <f t="shared" ref="F1144:F1191" si="172">DATEVALUE("31-12-2020")</f>
        <v>44196</v>
      </c>
    </row>
    <row r="1145" spans="1:6" x14ac:dyDescent="0.25">
      <c r="A1145" s="1" t="s">
        <v>536</v>
      </c>
      <c r="B1145" s="1" t="s">
        <v>1438</v>
      </c>
      <c r="C1145" s="1" t="s">
        <v>1439</v>
      </c>
      <c r="D1145" s="3">
        <f>VALUE("8658")</f>
        <v>8658</v>
      </c>
      <c r="E1145" s="2">
        <f>DATEVALUE("1-4-2020")</f>
        <v>43922</v>
      </c>
      <c r="F1145" s="2">
        <f t="shared" si="172"/>
        <v>44196</v>
      </c>
    </row>
    <row r="1146" spans="1:6" x14ac:dyDescent="0.25">
      <c r="A1146" s="1" t="s">
        <v>536</v>
      </c>
      <c r="B1146" s="1" t="s">
        <v>1438</v>
      </c>
      <c r="C1146" s="1" t="s">
        <v>1440</v>
      </c>
      <c r="D1146" s="3">
        <f>VALUE("8658")</f>
        <v>8658</v>
      </c>
      <c r="E1146" s="2">
        <f>DATEVALUE("1-4-2020")</f>
        <v>43922</v>
      </c>
      <c r="F1146" s="2">
        <f t="shared" si="172"/>
        <v>44196</v>
      </c>
    </row>
    <row r="1147" spans="1:6" x14ac:dyDescent="0.25">
      <c r="A1147" s="1" t="s">
        <v>536</v>
      </c>
      <c r="B1147" s="1" t="s">
        <v>1438</v>
      </c>
      <c r="C1147" s="1" t="s">
        <v>17</v>
      </c>
      <c r="D1147" s="3">
        <f>VALUE("8658")</f>
        <v>8658</v>
      </c>
      <c r="E1147" s="2">
        <f>DATEVALUE("1-4-2020")</f>
        <v>43922</v>
      </c>
      <c r="F1147" s="2">
        <f t="shared" si="172"/>
        <v>44196</v>
      </c>
    </row>
    <row r="1148" spans="1:6" x14ac:dyDescent="0.25">
      <c r="A1148" s="1" t="s">
        <v>536</v>
      </c>
      <c r="B1148" s="1" t="s">
        <v>1438</v>
      </c>
      <c r="C1148" s="1" t="s">
        <v>377</v>
      </c>
      <c r="D1148" s="3">
        <f>VALUE("8658")</f>
        <v>8658</v>
      </c>
      <c r="E1148" s="2">
        <f>DATEVALUE("1-4-2020")</f>
        <v>43922</v>
      </c>
      <c r="F1148" s="2">
        <f t="shared" si="172"/>
        <v>44196</v>
      </c>
    </row>
    <row r="1149" spans="1:6" x14ac:dyDescent="0.25">
      <c r="A1149" s="1" t="s">
        <v>536</v>
      </c>
      <c r="B1149" s="1" t="s">
        <v>693</v>
      </c>
      <c r="C1149" s="1" t="s">
        <v>726</v>
      </c>
      <c r="D1149" s="3">
        <f t="shared" ref="D1149:D1191" si="173">VALUE("7897")</f>
        <v>7897</v>
      </c>
      <c r="E1149" s="2">
        <f t="shared" ref="E1149:E1191" si="174">DATEVALUE("1-6-2017")</f>
        <v>42887</v>
      </c>
      <c r="F1149" s="2">
        <f t="shared" si="172"/>
        <v>44196</v>
      </c>
    </row>
    <row r="1150" spans="1:6" x14ac:dyDescent="0.25">
      <c r="A1150" s="1" t="s">
        <v>536</v>
      </c>
      <c r="B1150" s="1" t="s">
        <v>693</v>
      </c>
      <c r="C1150" s="1" t="s">
        <v>694</v>
      </c>
      <c r="D1150" s="3">
        <f t="shared" si="173"/>
        <v>7897</v>
      </c>
      <c r="E1150" s="2">
        <f t="shared" si="174"/>
        <v>42887</v>
      </c>
      <c r="F1150" s="2">
        <f t="shared" si="172"/>
        <v>44196</v>
      </c>
    </row>
    <row r="1151" spans="1:6" x14ac:dyDescent="0.25">
      <c r="A1151" s="1" t="s">
        <v>536</v>
      </c>
      <c r="B1151" s="1" t="s">
        <v>693</v>
      </c>
      <c r="C1151" s="1" t="s">
        <v>696</v>
      </c>
      <c r="D1151" s="3">
        <f t="shared" si="173"/>
        <v>7897</v>
      </c>
      <c r="E1151" s="2">
        <f t="shared" si="174"/>
        <v>42887</v>
      </c>
      <c r="F1151" s="2">
        <f t="shared" si="172"/>
        <v>44196</v>
      </c>
    </row>
    <row r="1152" spans="1:6" x14ac:dyDescent="0.25">
      <c r="A1152" s="1" t="s">
        <v>536</v>
      </c>
      <c r="B1152" s="1" t="s">
        <v>693</v>
      </c>
      <c r="C1152" s="1" t="s">
        <v>695</v>
      </c>
      <c r="D1152" s="3">
        <f t="shared" si="173"/>
        <v>7897</v>
      </c>
      <c r="E1152" s="2">
        <f t="shared" si="174"/>
        <v>42887</v>
      </c>
      <c r="F1152" s="2">
        <f t="shared" si="172"/>
        <v>44196</v>
      </c>
    </row>
    <row r="1153" spans="1:6" x14ac:dyDescent="0.25">
      <c r="A1153" s="1" t="s">
        <v>536</v>
      </c>
      <c r="B1153" s="1" t="s">
        <v>693</v>
      </c>
      <c r="C1153" s="1" t="s">
        <v>698</v>
      </c>
      <c r="D1153" s="3">
        <f t="shared" si="173"/>
        <v>7897</v>
      </c>
      <c r="E1153" s="2">
        <f t="shared" si="174"/>
        <v>42887</v>
      </c>
      <c r="F1153" s="2">
        <f t="shared" si="172"/>
        <v>44196</v>
      </c>
    </row>
    <row r="1154" spans="1:6" x14ac:dyDescent="0.25">
      <c r="A1154" s="1" t="s">
        <v>536</v>
      </c>
      <c r="B1154" s="1" t="s">
        <v>693</v>
      </c>
      <c r="C1154" s="1" t="s">
        <v>697</v>
      </c>
      <c r="D1154" s="3">
        <f t="shared" si="173"/>
        <v>7897</v>
      </c>
      <c r="E1154" s="2">
        <f t="shared" si="174"/>
        <v>42887</v>
      </c>
      <c r="F1154" s="2">
        <f t="shared" si="172"/>
        <v>44196</v>
      </c>
    </row>
    <row r="1155" spans="1:6" x14ac:dyDescent="0.25">
      <c r="A1155" s="1" t="s">
        <v>536</v>
      </c>
      <c r="B1155" s="1" t="s">
        <v>693</v>
      </c>
      <c r="C1155" s="1" t="s">
        <v>700</v>
      </c>
      <c r="D1155" s="3">
        <f t="shared" si="173"/>
        <v>7897</v>
      </c>
      <c r="E1155" s="2">
        <f t="shared" si="174"/>
        <v>42887</v>
      </c>
      <c r="F1155" s="2">
        <f t="shared" si="172"/>
        <v>44196</v>
      </c>
    </row>
    <row r="1156" spans="1:6" x14ac:dyDescent="0.25">
      <c r="A1156" s="1" t="s">
        <v>536</v>
      </c>
      <c r="B1156" s="1" t="s">
        <v>693</v>
      </c>
      <c r="C1156" s="1" t="s">
        <v>699</v>
      </c>
      <c r="D1156" s="3">
        <f t="shared" si="173"/>
        <v>7897</v>
      </c>
      <c r="E1156" s="2">
        <f t="shared" si="174"/>
        <v>42887</v>
      </c>
      <c r="F1156" s="2">
        <f t="shared" si="172"/>
        <v>44196</v>
      </c>
    </row>
    <row r="1157" spans="1:6" x14ac:dyDescent="0.25">
      <c r="A1157" s="1" t="s">
        <v>536</v>
      </c>
      <c r="B1157" s="1" t="s">
        <v>693</v>
      </c>
      <c r="C1157" s="1" t="s">
        <v>702</v>
      </c>
      <c r="D1157" s="3">
        <f t="shared" si="173"/>
        <v>7897</v>
      </c>
      <c r="E1157" s="2">
        <f t="shared" si="174"/>
        <v>42887</v>
      </c>
      <c r="F1157" s="2">
        <f t="shared" si="172"/>
        <v>44196</v>
      </c>
    </row>
    <row r="1158" spans="1:6" x14ac:dyDescent="0.25">
      <c r="A1158" s="1" t="s">
        <v>536</v>
      </c>
      <c r="B1158" s="1" t="s">
        <v>693</v>
      </c>
      <c r="C1158" s="1" t="s">
        <v>701</v>
      </c>
      <c r="D1158" s="3">
        <f t="shared" si="173"/>
        <v>7897</v>
      </c>
      <c r="E1158" s="2">
        <f t="shared" si="174"/>
        <v>42887</v>
      </c>
      <c r="F1158" s="2">
        <f t="shared" si="172"/>
        <v>44196</v>
      </c>
    </row>
    <row r="1159" spans="1:6" x14ac:dyDescent="0.25">
      <c r="A1159" s="1" t="s">
        <v>536</v>
      </c>
      <c r="B1159" s="1" t="s">
        <v>693</v>
      </c>
      <c r="C1159" s="1" t="s">
        <v>704</v>
      </c>
      <c r="D1159" s="3">
        <f t="shared" si="173"/>
        <v>7897</v>
      </c>
      <c r="E1159" s="2">
        <f t="shared" si="174"/>
        <v>42887</v>
      </c>
      <c r="F1159" s="2">
        <f t="shared" si="172"/>
        <v>44196</v>
      </c>
    </row>
    <row r="1160" spans="1:6" x14ac:dyDescent="0.25">
      <c r="A1160" s="1" t="s">
        <v>536</v>
      </c>
      <c r="B1160" s="1" t="s">
        <v>693</v>
      </c>
      <c r="C1160" s="1" t="s">
        <v>703</v>
      </c>
      <c r="D1160" s="3">
        <f t="shared" si="173"/>
        <v>7897</v>
      </c>
      <c r="E1160" s="2">
        <f t="shared" si="174"/>
        <v>42887</v>
      </c>
      <c r="F1160" s="2">
        <f t="shared" si="172"/>
        <v>44196</v>
      </c>
    </row>
    <row r="1161" spans="1:6" x14ac:dyDescent="0.25">
      <c r="A1161" s="1" t="s">
        <v>536</v>
      </c>
      <c r="B1161" s="1" t="s">
        <v>693</v>
      </c>
      <c r="C1161" s="1" t="s">
        <v>705</v>
      </c>
      <c r="D1161" s="3">
        <f t="shared" si="173"/>
        <v>7897</v>
      </c>
      <c r="E1161" s="2">
        <f t="shared" si="174"/>
        <v>42887</v>
      </c>
      <c r="F1161" s="2">
        <f t="shared" si="172"/>
        <v>44196</v>
      </c>
    </row>
    <row r="1162" spans="1:6" x14ac:dyDescent="0.25">
      <c r="A1162" s="1" t="s">
        <v>536</v>
      </c>
      <c r="B1162" s="1" t="s">
        <v>693</v>
      </c>
      <c r="C1162" s="1" t="s">
        <v>706</v>
      </c>
      <c r="D1162" s="3">
        <f t="shared" si="173"/>
        <v>7897</v>
      </c>
      <c r="E1162" s="2">
        <f t="shared" si="174"/>
        <v>42887</v>
      </c>
      <c r="F1162" s="2">
        <f t="shared" si="172"/>
        <v>44196</v>
      </c>
    </row>
    <row r="1163" spans="1:6" x14ac:dyDescent="0.25">
      <c r="A1163" s="1" t="s">
        <v>536</v>
      </c>
      <c r="B1163" s="1" t="s">
        <v>693</v>
      </c>
      <c r="C1163" s="1" t="s">
        <v>707</v>
      </c>
      <c r="D1163" s="3">
        <f t="shared" si="173"/>
        <v>7897</v>
      </c>
      <c r="E1163" s="2">
        <f t="shared" si="174"/>
        <v>42887</v>
      </c>
      <c r="F1163" s="2">
        <f t="shared" si="172"/>
        <v>44196</v>
      </c>
    </row>
    <row r="1164" spans="1:6" x14ac:dyDescent="0.25">
      <c r="A1164" s="1" t="s">
        <v>536</v>
      </c>
      <c r="B1164" s="1" t="s">
        <v>693</v>
      </c>
      <c r="C1164" s="1" t="s">
        <v>708</v>
      </c>
      <c r="D1164" s="3">
        <f t="shared" si="173"/>
        <v>7897</v>
      </c>
      <c r="E1164" s="2">
        <f t="shared" si="174"/>
        <v>42887</v>
      </c>
      <c r="F1164" s="2">
        <f t="shared" si="172"/>
        <v>44196</v>
      </c>
    </row>
    <row r="1165" spans="1:6" x14ac:dyDescent="0.25">
      <c r="A1165" s="1" t="s">
        <v>536</v>
      </c>
      <c r="B1165" s="1" t="s">
        <v>693</v>
      </c>
      <c r="C1165" s="1" t="s">
        <v>709</v>
      </c>
      <c r="D1165" s="3">
        <f t="shared" si="173"/>
        <v>7897</v>
      </c>
      <c r="E1165" s="2">
        <f t="shared" si="174"/>
        <v>42887</v>
      </c>
      <c r="F1165" s="2">
        <f t="shared" si="172"/>
        <v>44196</v>
      </c>
    </row>
    <row r="1166" spans="1:6" x14ac:dyDescent="0.25">
      <c r="A1166" s="1" t="s">
        <v>536</v>
      </c>
      <c r="B1166" s="1" t="s">
        <v>693</v>
      </c>
      <c r="C1166" s="1" t="s">
        <v>710</v>
      </c>
      <c r="D1166" s="3">
        <f t="shared" si="173"/>
        <v>7897</v>
      </c>
      <c r="E1166" s="2">
        <f t="shared" si="174"/>
        <v>42887</v>
      </c>
      <c r="F1166" s="2">
        <f t="shared" si="172"/>
        <v>44196</v>
      </c>
    </row>
    <row r="1167" spans="1:6" x14ac:dyDescent="0.25">
      <c r="A1167" s="1" t="s">
        <v>536</v>
      </c>
      <c r="B1167" s="1" t="s">
        <v>693</v>
      </c>
      <c r="C1167" s="1" t="s">
        <v>711</v>
      </c>
      <c r="D1167" s="3">
        <f t="shared" si="173"/>
        <v>7897</v>
      </c>
      <c r="E1167" s="2">
        <f t="shared" si="174"/>
        <v>42887</v>
      </c>
      <c r="F1167" s="2">
        <f t="shared" si="172"/>
        <v>44196</v>
      </c>
    </row>
    <row r="1168" spans="1:6" x14ac:dyDescent="0.25">
      <c r="A1168" s="1" t="s">
        <v>536</v>
      </c>
      <c r="B1168" s="1" t="s">
        <v>693</v>
      </c>
      <c r="C1168" s="1" t="s">
        <v>712</v>
      </c>
      <c r="D1168" s="3">
        <f t="shared" si="173"/>
        <v>7897</v>
      </c>
      <c r="E1168" s="2">
        <f t="shared" si="174"/>
        <v>42887</v>
      </c>
      <c r="F1168" s="2">
        <f t="shared" si="172"/>
        <v>44196</v>
      </c>
    </row>
    <row r="1169" spans="1:6" x14ac:dyDescent="0.25">
      <c r="A1169" s="1" t="s">
        <v>536</v>
      </c>
      <c r="B1169" s="1" t="s">
        <v>693</v>
      </c>
      <c r="C1169" s="1" t="s">
        <v>713</v>
      </c>
      <c r="D1169" s="3">
        <f t="shared" si="173"/>
        <v>7897</v>
      </c>
      <c r="E1169" s="2">
        <f t="shared" si="174"/>
        <v>42887</v>
      </c>
      <c r="F1169" s="2">
        <f t="shared" si="172"/>
        <v>44196</v>
      </c>
    </row>
    <row r="1170" spans="1:6" x14ac:dyDescent="0.25">
      <c r="A1170" s="1" t="s">
        <v>536</v>
      </c>
      <c r="B1170" s="1" t="s">
        <v>693</v>
      </c>
      <c r="C1170" s="1" t="s">
        <v>714</v>
      </c>
      <c r="D1170" s="3">
        <f t="shared" si="173"/>
        <v>7897</v>
      </c>
      <c r="E1170" s="2">
        <f t="shared" si="174"/>
        <v>42887</v>
      </c>
      <c r="F1170" s="2">
        <f t="shared" si="172"/>
        <v>44196</v>
      </c>
    </row>
    <row r="1171" spans="1:6" x14ac:dyDescent="0.25">
      <c r="A1171" s="1" t="s">
        <v>536</v>
      </c>
      <c r="B1171" s="1" t="s">
        <v>693</v>
      </c>
      <c r="C1171" s="1" t="s">
        <v>715</v>
      </c>
      <c r="D1171" s="3">
        <f t="shared" si="173"/>
        <v>7897</v>
      </c>
      <c r="E1171" s="2">
        <f t="shared" si="174"/>
        <v>42887</v>
      </c>
      <c r="F1171" s="2">
        <f t="shared" si="172"/>
        <v>44196</v>
      </c>
    </row>
    <row r="1172" spans="1:6" x14ac:dyDescent="0.25">
      <c r="A1172" s="1" t="s">
        <v>536</v>
      </c>
      <c r="B1172" s="1" t="s">
        <v>693</v>
      </c>
      <c r="C1172" s="1" t="s">
        <v>716</v>
      </c>
      <c r="D1172" s="3">
        <f t="shared" si="173"/>
        <v>7897</v>
      </c>
      <c r="E1172" s="2">
        <f t="shared" si="174"/>
        <v>42887</v>
      </c>
      <c r="F1172" s="2">
        <f t="shared" si="172"/>
        <v>44196</v>
      </c>
    </row>
    <row r="1173" spans="1:6" x14ac:dyDescent="0.25">
      <c r="A1173" s="1" t="s">
        <v>536</v>
      </c>
      <c r="B1173" s="1" t="s">
        <v>693</v>
      </c>
      <c r="C1173" s="1" t="s">
        <v>717</v>
      </c>
      <c r="D1173" s="3">
        <f t="shared" si="173"/>
        <v>7897</v>
      </c>
      <c r="E1173" s="2">
        <f t="shared" si="174"/>
        <v>42887</v>
      </c>
      <c r="F1173" s="2">
        <f t="shared" si="172"/>
        <v>44196</v>
      </c>
    </row>
    <row r="1174" spans="1:6" x14ac:dyDescent="0.25">
      <c r="A1174" s="1" t="s">
        <v>536</v>
      </c>
      <c r="B1174" s="1" t="s">
        <v>693</v>
      </c>
      <c r="C1174" s="1" t="s">
        <v>718</v>
      </c>
      <c r="D1174" s="3">
        <f t="shared" si="173"/>
        <v>7897</v>
      </c>
      <c r="E1174" s="2">
        <f t="shared" si="174"/>
        <v>42887</v>
      </c>
      <c r="F1174" s="2">
        <f t="shared" si="172"/>
        <v>44196</v>
      </c>
    </row>
    <row r="1175" spans="1:6" x14ac:dyDescent="0.25">
      <c r="A1175" s="1" t="s">
        <v>536</v>
      </c>
      <c r="B1175" s="1" t="s">
        <v>693</v>
      </c>
      <c r="C1175" s="1" t="s">
        <v>719</v>
      </c>
      <c r="D1175" s="3">
        <f t="shared" si="173"/>
        <v>7897</v>
      </c>
      <c r="E1175" s="2">
        <f t="shared" si="174"/>
        <v>42887</v>
      </c>
      <c r="F1175" s="2">
        <f t="shared" si="172"/>
        <v>44196</v>
      </c>
    </row>
    <row r="1176" spans="1:6" x14ac:dyDescent="0.25">
      <c r="A1176" s="1" t="s">
        <v>536</v>
      </c>
      <c r="B1176" s="1" t="s">
        <v>693</v>
      </c>
      <c r="C1176" s="1" t="s">
        <v>17</v>
      </c>
      <c r="D1176" s="3">
        <f t="shared" si="173"/>
        <v>7897</v>
      </c>
      <c r="E1176" s="2">
        <f t="shared" si="174"/>
        <v>42887</v>
      </c>
      <c r="F1176" s="2">
        <f t="shared" si="172"/>
        <v>44196</v>
      </c>
    </row>
    <row r="1177" spans="1:6" x14ac:dyDescent="0.25">
      <c r="A1177" s="1" t="s">
        <v>536</v>
      </c>
      <c r="B1177" s="1" t="s">
        <v>693</v>
      </c>
      <c r="C1177" s="1" t="s">
        <v>291</v>
      </c>
      <c r="D1177" s="3">
        <f t="shared" si="173"/>
        <v>7897</v>
      </c>
      <c r="E1177" s="2">
        <f t="shared" si="174"/>
        <v>42887</v>
      </c>
      <c r="F1177" s="2">
        <f t="shared" si="172"/>
        <v>44196</v>
      </c>
    </row>
    <row r="1178" spans="1:6" x14ac:dyDescent="0.25">
      <c r="A1178" s="1" t="s">
        <v>536</v>
      </c>
      <c r="B1178" s="1" t="s">
        <v>693</v>
      </c>
      <c r="C1178" s="1" t="s">
        <v>539</v>
      </c>
      <c r="D1178" s="3">
        <f t="shared" si="173"/>
        <v>7897</v>
      </c>
      <c r="E1178" s="2">
        <f t="shared" si="174"/>
        <v>42887</v>
      </c>
      <c r="F1178" s="2">
        <f t="shared" si="172"/>
        <v>44196</v>
      </c>
    </row>
    <row r="1179" spans="1:6" x14ac:dyDescent="0.25">
      <c r="A1179" s="1" t="s">
        <v>536</v>
      </c>
      <c r="B1179" s="1" t="s">
        <v>693</v>
      </c>
      <c r="C1179" s="1" t="s">
        <v>386</v>
      </c>
      <c r="D1179" s="3">
        <f t="shared" si="173"/>
        <v>7897</v>
      </c>
      <c r="E1179" s="2">
        <f t="shared" si="174"/>
        <v>42887</v>
      </c>
      <c r="F1179" s="2">
        <f t="shared" si="172"/>
        <v>44196</v>
      </c>
    </row>
    <row r="1180" spans="1:6" x14ac:dyDescent="0.25">
      <c r="A1180" s="1" t="s">
        <v>536</v>
      </c>
      <c r="B1180" s="1" t="s">
        <v>693</v>
      </c>
      <c r="C1180" s="1" t="s">
        <v>387</v>
      </c>
      <c r="D1180" s="3">
        <f t="shared" si="173"/>
        <v>7897</v>
      </c>
      <c r="E1180" s="2">
        <f t="shared" si="174"/>
        <v>42887</v>
      </c>
      <c r="F1180" s="2">
        <f t="shared" si="172"/>
        <v>44196</v>
      </c>
    </row>
    <row r="1181" spans="1:6" x14ac:dyDescent="0.25">
      <c r="A1181" s="1" t="s">
        <v>536</v>
      </c>
      <c r="B1181" s="1" t="s">
        <v>693</v>
      </c>
      <c r="C1181" s="1" t="s">
        <v>388</v>
      </c>
      <c r="D1181" s="3">
        <f t="shared" si="173"/>
        <v>7897</v>
      </c>
      <c r="E1181" s="2">
        <f t="shared" si="174"/>
        <v>42887</v>
      </c>
      <c r="F1181" s="2">
        <f t="shared" si="172"/>
        <v>44196</v>
      </c>
    </row>
    <row r="1182" spans="1:6" x14ac:dyDescent="0.25">
      <c r="A1182" s="1" t="s">
        <v>536</v>
      </c>
      <c r="B1182" s="1" t="s">
        <v>693</v>
      </c>
      <c r="C1182" s="1" t="s">
        <v>720</v>
      </c>
      <c r="D1182" s="3">
        <f t="shared" si="173"/>
        <v>7897</v>
      </c>
      <c r="E1182" s="2">
        <f t="shared" si="174"/>
        <v>42887</v>
      </c>
      <c r="F1182" s="2">
        <f t="shared" si="172"/>
        <v>44196</v>
      </c>
    </row>
    <row r="1183" spans="1:6" x14ac:dyDescent="0.25">
      <c r="A1183" s="1" t="s">
        <v>536</v>
      </c>
      <c r="B1183" s="1" t="s">
        <v>693</v>
      </c>
      <c r="C1183" s="1" t="s">
        <v>721</v>
      </c>
      <c r="D1183" s="3">
        <f t="shared" si="173"/>
        <v>7897</v>
      </c>
      <c r="E1183" s="2">
        <f t="shared" si="174"/>
        <v>42887</v>
      </c>
      <c r="F1183" s="2">
        <f t="shared" si="172"/>
        <v>44196</v>
      </c>
    </row>
    <row r="1184" spans="1:6" x14ac:dyDescent="0.25">
      <c r="A1184" s="1" t="s">
        <v>536</v>
      </c>
      <c r="B1184" s="1" t="s">
        <v>693</v>
      </c>
      <c r="C1184" s="1" t="s">
        <v>722</v>
      </c>
      <c r="D1184" s="3">
        <f t="shared" si="173"/>
        <v>7897</v>
      </c>
      <c r="E1184" s="2">
        <f t="shared" si="174"/>
        <v>42887</v>
      </c>
      <c r="F1184" s="2">
        <f t="shared" si="172"/>
        <v>44196</v>
      </c>
    </row>
    <row r="1185" spans="1:6" x14ac:dyDescent="0.25">
      <c r="A1185" s="1" t="s">
        <v>536</v>
      </c>
      <c r="B1185" s="1" t="s">
        <v>693</v>
      </c>
      <c r="C1185" s="1" t="s">
        <v>723</v>
      </c>
      <c r="D1185" s="3">
        <f t="shared" si="173"/>
        <v>7897</v>
      </c>
      <c r="E1185" s="2">
        <f t="shared" si="174"/>
        <v>42887</v>
      </c>
      <c r="F1185" s="2">
        <f t="shared" si="172"/>
        <v>44196</v>
      </c>
    </row>
    <row r="1186" spans="1:6" x14ac:dyDescent="0.25">
      <c r="A1186" s="1" t="s">
        <v>536</v>
      </c>
      <c r="B1186" s="1" t="s">
        <v>693</v>
      </c>
      <c r="C1186" s="1" t="s">
        <v>724</v>
      </c>
      <c r="D1186" s="3">
        <f t="shared" si="173"/>
        <v>7897</v>
      </c>
      <c r="E1186" s="2">
        <f t="shared" si="174"/>
        <v>42887</v>
      </c>
      <c r="F1186" s="2">
        <f t="shared" si="172"/>
        <v>44196</v>
      </c>
    </row>
    <row r="1187" spans="1:6" x14ac:dyDescent="0.25">
      <c r="A1187" s="1" t="s">
        <v>536</v>
      </c>
      <c r="B1187" s="1" t="s">
        <v>693</v>
      </c>
      <c r="C1187" s="1" t="s">
        <v>725</v>
      </c>
      <c r="D1187" s="3">
        <f t="shared" si="173"/>
        <v>7897</v>
      </c>
      <c r="E1187" s="2">
        <f t="shared" si="174"/>
        <v>42887</v>
      </c>
      <c r="F1187" s="2">
        <f t="shared" si="172"/>
        <v>44196</v>
      </c>
    </row>
    <row r="1188" spans="1:6" x14ac:dyDescent="0.25">
      <c r="A1188" s="1" t="s">
        <v>536</v>
      </c>
      <c r="B1188" s="1" t="s">
        <v>693</v>
      </c>
      <c r="C1188" s="1" t="s">
        <v>376</v>
      </c>
      <c r="D1188" s="3">
        <f t="shared" si="173"/>
        <v>7897</v>
      </c>
      <c r="E1188" s="2">
        <f t="shared" si="174"/>
        <v>42887</v>
      </c>
      <c r="F1188" s="2">
        <f t="shared" si="172"/>
        <v>44196</v>
      </c>
    </row>
    <row r="1189" spans="1:6" x14ac:dyDescent="0.25">
      <c r="A1189" s="1" t="s">
        <v>536</v>
      </c>
      <c r="B1189" s="1" t="s">
        <v>693</v>
      </c>
      <c r="C1189" s="1" t="s">
        <v>377</v>
      </c>
      <c r="D1189" s="3">
        <f t="shared" si="173"/>
        <v>7897</v>
      </c>
      <c r="E1189" s="2">
        <f t="shared" si="174"/>
        <v>42887</v>
      </c>
      <c r="F1189" s="2">
        <f t="shared" si="172"/>
        <v>44196</v>
      </c>
    </row>
    <row r="1190" spans="1:6" x14ac:dyDescent="0.25">
      <c r="A1190" s="1" t="s">
        <v>536</v>
      </c>
      <c r="B1190" s="1" t="s">
        <v>693</v>
      </c>
      <c r="C1190" s="1" t="s">
        <v>402</v>
      </c>
      <c r="D1190" s="3">
        <f t="shared" si="173"/>
        <v>7897</v>
      </c>
      <c r="E1190" s="2">
        <f t="shared" si="174"/>
        <v>42887</v>
      </c>
      <c r="F1190" s="2">
        <f t="shared" si="172"/>
        <v>44196</v>
      </c>
    </row>
    <row r="1191" spans="1:6" x14ac:dyDescent="0.25">
      <c r="A1191" s="1" t="s">
        <v>536</v>
      </c>
      <c r="B1191" s="1" t="s">
        <v>693</v>
      </c>
      <c r="C1191" s="1" t="s">
        <v>378</v>
      </c>
      <c r="D1191" s="3">
        <f t="shared" si="173"/>
        <v>7897</v>
      </c>
      <c r="E1191" s="2">
        <f t="shared" si="174"/>
        <v>42887</v>
      </c>
      <c r="F1191" s="2">
        <f t="shared" si="172"/>
        <v>44196</v>
      </c>
    </row>
    <row r="1192" spans="1:6" x14ac:dyDescent="0.25">
      <c r="A1192" s="1" t="s">
        <v>536</v>
      </c>
      <c r="B1192" s="1" t="s">
        <v>535</v>
      </c>
      <c r="C1192" s="1" t="s">
        <v>537</v>
      </c>
      <c r="D1192" s="3">
        <f t="shared" ref="D1192:D1204" si="175">VALUE("7710")</f>
        <v>7710</v>
      </c>
      <c r="E1192" s="2">
        <f t="shared" ref="E1192:E1204" si="176">DATEVALUE("1-2-2015")</f>
        <v>42036</v>
      </c>
      <c r="F1192" s="2">
        <f t="shared" ref="F1192:F1204" si="177">DATEVALUE("30-6-2023")</f>
        <v>45107</v>
      </c>
    </row>
    <row r="1193" spans="1:6" x14ac:dyDescent="0.25">
      <c r="A1193" s="1" t="s">
        <v>536</v>
      </c>
      <c r="B1193" s="1" t="s">
        <v>535</v>
      </c>
      <c r="C1193" s="1" t="s">
        <v>15</v>
      </c>
      <c r="D1193" s="3">
        <f t="shared" si="175"/>
        <v>7710</v>
      </c>
      <c r="E1193" s="2">
        <f t="shared" si="176"/>
        <v>42036</v>
      </c>
      <c r="F1193" s="2">
        <f t="shared" si="177"/>
        <v>45107</v>
      </c>
    </row>
    <row r="1194" spans="1:6" x14ac:dyDescent="0.25">
      <c r="A1194" s="1" t="s">
        <v>536</v>
      </c>
      <c r="B1194" s="1" t="s">
        <v>535</v>
      </c>
      <c r="C1194" s="1" t="s">
        <v>16</v>
      </c>
      <c r="D1194" s="3">
        <f t="shared" si="175"/>
        <v>7710</v>
      </c>
      <c r="E1194" s="2">
        <f t="shared" si="176"/>
        <v>42036</v>
      </c>
      <c r="F1194" s="2">
        <f t="shared" si="177"/>
        <v>45107</v>
      </c>
    </row>
    <row r="1195" spans="1:6" x14ac:dyDescent="0.25">
      <c r="A1195" s="1" t="s">
        <v>536</v>
      </c>
      <c r="B1195" s="1" t="s">
        <v>535</v>
      </c>
      <c r="C1195" s="1" t="s">
        <v>88</v>
      </c>
      <c r="D1195" s="3">
        <f t="shared" si="175"/>
        <v>7710</v>
      </c>
      <c r="E1195" s="2">
        <f t="shared" si="176"/>
        <v>42036</v>
      </c>
      <c r="F1195" s="2">
        <f t="shared" si="177"/>
        <v>45107</v>
      </c>
    </row>
    <row r="1196" spans="1:6" x14ac:dyDescent="0.25">
      <c r="A1196" s="1" t="s">
        <v>536</v>
      </c>
      <c r="B1196" s="1" t="s">
        <v>535</v>
      </c>
      <c r="C1196" s="1" t="s">
        <v>17</v>
      </c>
      <c r="D1196" s="3">
        <f t="shared" si="175"/>
        <v>7710</v>
      </c>
      <c r="E1196" s="2">
        <f t="shared" si="176"/>
        <v>42036</v>
      </c>
      <c r="F1196" s="2">
        <f t="shared" si="177"/>
        <v>45107</v>
      </c>
    </row>
    <row r="1197" spans="1:6" x14ac:dyDescent="0.25">
      <c r="A1197" s="1" t="s">
        <v>536</v>
      </c>
      <c r="B1197" s="1" t="s">
        <v>535</v>
      </c>
      <c r="C1197" s="1" t="s">
        <v>144</v>
      </c>
      <c r="D1197" s="3">
        <f t="shared" si="175"/>
        <v>7710</v>
      </c>
      <c r="E1197" s="2">
        <f t="shared" si="176"/>
        <v>42036</v>
      </c>
      <c r="F1197" s="2">
        <f t="shared" si="177"/>
        <v>45107</v>
      </c>
    </row>
    <row r="1198" spans="1:6" x14ac:dyDescent="0.25">
      <c r="A1198" s="1" t="s">
        <v>536</v>
      </c>
      <c r="B1198" s="1" t="s">
        <v>535</v>
      </c>
      <c r="C1198" s="1" t="s">
        <v>22</v>
      </c>
      <c r="D1198" s="3">
        <f t="shared" si="175"/>
        <v>7710</v>
      </c>
      <c r="E1198" s="2">
        <f t="shared" si="176"/>
        <v>42036</v>
      </c>
      <c r="F1198" s="2">
        <f t="shared" si="177"/>
        <v>45107</v>
      </c>
    </row>
    <row r="1199" spans="1:6" x14ac:dyDescent="0.25">
      <c r="A1199" s="1" t="s">
        <v>536</v>
      </c>
      <c r="B1199" s="1" t="s">
        <v>535</v>
      </c>
      <c r="C1199" s="1" t="s">
        <v>538</v>
      </c>
      <c r="D1199" s="3">
        <f t="shared" si="175"/>
        <v>7710</v>
      </c>
      <c r="E1199" s="2">
        <f t="shared" si="176"/>
        <v>42036</v>
      </c>
      <c r="F1199" s="2">
        <f t="shared" si="177"/>
        <v>45107</v>
      </c>
    </row>
    <row r="1200" spans="1:6" x14ac:dyDescent="0.25">
      <c r="A1200" s="1" t="s">
        <v>536</v>
      </c>
      <c r="B1200" s="1" t="s">
        <v>535</v>
      </c>
      <c r="C1200" s="1" t="s">
        <v>539</v>
      </c>
      <c r="D1200" s="3">
        <f t="shared" si="175"/>
        <v>7710</v>
      </c>
      <c r="E1200" s="2">
        <f t="shared" si="176"/>
        <v>42036</v>
      </c>
      <c r="F1200" s="2">
        <f t="shared" si="177"/>
        <v>45107</v>
      </c>
    </row>
    <row r="1201" spans="1:6" x14ac:dyDescent="0.25">
      <c r="A1201" s="1" t="s">
        <v>536</v>
      </c>
      <c r="B1201" s="1" t="s">
        <v>535</v>
      </c>
      <c r="C1201" s="1" t="s">
        <v>92</v>
      </c>
      <c r="D1201" s="3">
        <f t="shared" si="175"/>
        <v>7710</v>
      </c>
      <c r="E1201" s="2">
        <f t="shared" si="176"/>
        <v>42036</v>
      </c>
      <c r="F1201" s="2">
        <f t="shared" si="177"/>
        <v>45107</v>
      </c>
    </row>
    <row r="1202" spans="1:6" x14ac:dyDescent="0.25">
      <c r="A1202" s="1" t="s">
        <v>536</v>
      </c>
      <c r="B1202" s="1" t="s">
        <v>535</v>
      </c>
      <c r="C1202" s="1" t="s">
        <v>474</v>
      </c>
      <c r="D1202" s="3">
        <f t="shared" si="175"/>
        <v>7710</v>
      </c>
      <c r="E1202" s="2">
        <f t="shared" si="176"/>
        <v>42036</v>
      </c>
      <c r="F1202" s="2">
        <f t="shared" si="177"/>
        <v>45107</v>
      </c>
    </row>
    <row r="1203" spans="1:6" x14ac:dyDescent="0.25">
      <c r="A1203" s="1" t="s">
        <v>536</v>
      </c>
      <c r="B1203" s="1" t="s">
        <v>535</v>
      </c>
      <c r="C1203" s="1" t="s">
        <v>475</v>
      </c>
      <c r="D1203" s="3">
        <f t="shared" si="175"/>
        <v>7710</v>
      </c>
      <c r="E1203" s="2">
        <f t="shared" si="176"/>
        <v>42036</v>
      </c>
      <c r="F1203" s="2">
        <f t="shared" si="177"/>
        <v>45107</v>
      </c>
    </row>
    <row r="1204" spans="1:6" x14ac:dyDescent="0.25">
      <c r="A1204" s="1" t="s">
        <v>536</v>
      </c>
      <c r="B1204" s="1" t="s">
        <v>535</v>
      </c>
      <c r="C1204" s="1" t="s">
        <v>73</v>
      </c>
      <c r="D1204" s="3">
        <f t="shared" si="175"/>
        <v>7710</v>
      </c>
      <c r="E1204" s="2">
        <f t="shared" si="176"/>
        <v>42036</v>
      </c>
      <c r="F1204" s="2">
        <f t="shared" si="177"/>
        <v>45107</v>
      </c>
    </row>
    <row r="1205" spans="1:6" x14ac:dyDescent="0.25">
      <c r="A1205" s="1" t="s">
        <v>1100</v>
      </c>
      <c r="B1205" s="1" t="s">
        <v>1099</v>
      </c>
      <c r="C1205" s="1" t="s">
        <v>80</v>
      </c>
      <c r="D1205" s="3">
        <f t="shared" ref="D1205:D1228" si="178">VALUE("8375")</f>
        <v>8375</v>
      </c>
      <c r="E1205" s="2">
        <f t="shared" ref="E1205:E1228" si="179">DATEVALUE("1-12-2018")</f>
        <v>43435</v>
      </c>
      <c r="F1205" s="2">
        <f t="shared" ref="F1205:F1228" si="180">DATEVALUE("31-12-2024")</f>
        <v>45657</v>
      </c>
    </row>
    <row r="1206" spans="1:6" x14ac:dyDescent="0.25">
      <c r="A1206" s="1" t="s">
        <v>1100</v>
      </c>
      <c r="B1206" s="1" t="s">
        <v>1099</v>
      </c>
      <c r="C1206" s="1" t="s">
        <v>15</v>
      </c>
      <c r="D1206" s="3">
        <f t="shared" si="178"/>
        <v>8375</v>
      </c>
      <c r="E1206" s="2">
        <f t="shared" si="179"/>
        <v>43435</v>
      </c>
      <c r="F1206" s="2">
        <f t="shared" si="180"/>
        <v>45657</v>
      </c>
    </row>
    <row r="1207" spans="1:6" x14ac:dyDescent="0.25">
      <c r="A1207" s="1" t="s">
        <v>1100</v>
      </c>
      <c r="B1207" s="1" t="s">
        <v>1099</v>
      </c>
      <c r="C1207" s="1" t="s">
        <v>16</v>
      </c>
      <c r="D1207" s="3">
        <f t="shared" si="178"/>
        <v>8375</v>
      </c>
      <c r="E1207" s="2">
        <f t="shared" si="179"/>
        <v>43435</v>
      </c>
      <c r="F1207" s="2">
        <f t="shared" si="180"/>
        <v>45657</v>
      </c>
    </row>
    <row r="1208" spans="1:6" x14ac:dyDescent="0.25">
      <c r="A1208" s="1" t="s">
        <v>1100</v>
      </c>
      <c r="B1208" s="1" t="s">
        <v>1099</v>
      </c>
      <c r="C1208" s="1" t="s">
        <v>17</v>
      </c>
      <c r="D1208" s="3">
        <f t="shared" si="178"/>
        <v>8375</v>
      </c>
      <c r="E1208" s="2">
        <f t="shared" si="179"/>
        <v>43435</v>
      </c>
      <c r="F1208" s="2">
        <f t="shared" si="180"/>
        <v>45657</v>
      </c>
    </row>
    <row r="1209" spans="1:6" x14ac:dyDescent="0.25">
      <c r="A1209" s="1" t="s">
        <v>1100</v>
      </c>
      <c r="B1209" s="1" t="s">
        <v>1099</v>
      </c>
      <c r="C1209" s="1" t="s">
        <v>18</v>
      </c>
      <c r="D1209" s="3">
        <f t="shared" si="178"/>
        <v>8375</v>
      </c>
      <c r="E1209" s="2">
        <f t="shared" si="179"/>
        <v>43435</v>
      </c>
      <c r="F1209" s="2">
        <f t="shared" si="180"/>
        <v>45657</v>
      </c>
    </row>
    <row r="1210" spans="1:6" x14ac:dyDescent="0.25">
      <c r="A1210" s="1" t="s">
        <v>1100</v>
      </c>
      <c r="B1210" s="1" t="s">
        <v>1099</v>
      </c>
      <c r="C1210" s="1" t="s">
        <v>167</v>
      </c>
      <c r="D1210" s="3">
        <f t="shared" si="178"/>
        <v>8375</v>
      </c>
      <c r="E1210" s="2">
        <f t="shared" si="179"/>
        <v>43435</v>
      </c>
      <c r="F1210" s="2">
        <f t="shared" si="180"/>
        <v>45657</v>
      </c>
    </row>
    <row r="1211" spans="1:6" x14ac:dyDescent="0.25">
      <c r="A1211" s="1" t="s">
        <v>1100</v>
      </c>
      <c r="B1211" s="1" t="s">
        <v>1099</v>
      </c>
      <c r="C1211" s="1" t="s">
        <v>291</v>
      </c>
      <c r="D1211" s="3">
        <f t="shared" si="178"/>
        <v>8375</v>
      </c>
      <c r="E1211" s="2">
        <f t="shared" si="179"/>
        <v>43435</v>
      </c>
      <c r="F1211" s="2">
        <f t="shared" si="180"/>
        <v>45657</v>
      </c>
    </row>
    <row r="1212" spans="1:6" x14ac:dyDescent="0.25">
      <c r="A1212" s="1" t="s">
        <v>1100</v>
      </c>
      <c r="B1212" s="1" t="s">
        <v>1099</v>
      </c>
      <c r="C1212" s="1" t="s">
        <v>22</v>
      </c>
      <c r="D1212" s="3">
        <f t="shared" si="178"/>
        <v>8375</v>
      </c>
      <c r="E1212" s="2">
        <f t="shared" si="179"/>
        <v>43435</v>
      </c>
      <c r="F1212" s="2">
        <f t="shared" si="180"/>
        <v>45657</v>
      </c>
    </row>
    <row r="1213" spans="1:6" x14ac:dyDescent="0.25">
      <c r="A1213" s="1" t="s">
        <v>1100</v>
      </c>
      <c r="B1213" s="1" t="s">
        <v>1099</v>
      </c>
      <c r="C1213" s="1" t="s">
        <v>258</v>
      </c>
      <c r="D1213" s="3">
        <f t="shared" si="178"/>
        <v>8375</v>
      </c>
      <c r="E1213" s="2">
        <f t="shared" si="179"/>
        <v>43435</v>
      </c>
      <c r="F1213" s="2">
        <f t="shared" si="180"/>
        <v>45657</v>
      </c>
    </row>
    <row r="1214" spans="1:6" x14ac:dyDescent="0.25">
      <c r="A1214" s="1" t="s">
        <v>1100</v>
      </c>
      <c r="B1214" s="1" t="s">
        <v>1099</v>
      </c>
      <c r="C1214" s="1" t="s">
        <v>383</v>
      </c>
      <c r="D1214" s="3">
        <f t="shared" si="178"/>
        <v>8375</v>
      </c>
      <c r="E1214" s="2">
        <f t="shared" si="179"/>
        <v>43435</v>
      </c>
      <c r="F1214" s="2">
        <f t="shared" si="180"/>
        <v>45657</v>
      </c>
    </row>
    <row r="1215" spans="1:6" x14ac:dyDescent="0.25">
      <c r="A1215" s="1" t="s">
        <v>1100</v>
      </c>
      <c r="B1215" s="1" t="s">
        <v>1099</v>
      </c>
      <c r="C1215" s="1" t="s">
        <v>146</v>
      </c>
      <c r="D1215" s="3">
        <f t="shared" si="178"/>
        <v>8375</v>
      </c>
      <c r="E1215" s="2">
        <f t="shared" si="179"/>
        <v>43435</v>
      </c>
      <c r="F1215" s="2">
        <f t="shared" si="180"/>
        <v>45657</v>
      </c>
    </row>
    <row r="1216" spans="1:6" x14ac:dyDescent="0.25">
      <c r="A1216" s="1" t="s">
        <v>1100</v>
      </c>
      <c r="B1216" s="1" t="s">
        <v>1099</v>
      </c>
      <c r="C1216" s="1" t="s">
        <v>67</v>
      </c>
      <c r="D1216" s="3">
        <f t="shared" si="178"/>
        <v>8375</v>
      </c>
      <c r="E1216" s="2">
        <f t="shared" si="179"/>
        <v>43435</v>
      </c>
      <c r="F1216" s="2">
        <f t="shared" si="180"/>
        <v>45657</v>
      </c>
    </row>
    <row r="1217" spans="1:6" x14ac:dyDescent="0.25">
      <c r="A1217" s="1" t="s">
        <v>1100</v>
      </c>
      <c r="B1217" s="1" t="s">
        <v>1099</v>
      </c>
      <c r="C1217" s="1" t="s">
        <v>386</v>
      </c>
      <c r="D1217" s="3">
        <f t="shared" si="178"/>
        <v>8375</v>
      </c>
      <c r="E1217" s="2">
        <f t="shared" si="179"/>
        <v>43435</v>
      </c>
      <c r="F1217" s="2">
        <f t="shared" si="180"/>
        <v>45657</v>
      </c>
    </row>
    <row r="1218" spans="1:6" x14ac:dyDescent="0.25">
      <c r="A1218" s="1" t="s">
        <v>1100</v>
      </c>
      <c r="B1218" s="1" t="s">
        <v>1099</v>
      </c>
      <c r="C1218" s="1" t="s">
        <v>387</v>
      </c>
      <c r="D1218" s="3">
        <f t="shared" si="178"/>
        <v>8375</v>
      </c>
      <c r="E1218" s="2">
        <f t="shared" si="179"/>
        <v>43435</v>
      </c>
      <c r="F1218" s="2">
        <f t="shared" si="180"/>
        <v>45657</v>
      </c>
    </row>
    <row r="1219" spans="1:6" x14ac:dyDescent="0.25">
      <c r="A1219" s="1" t="s">
        <v>1100</v>
      </c>
      <c r="B1219" s="1" t="s">
        <v>1099</v>
      </c>
      <c r="C1219" s="1" t="s">
        <v>388</v>
      </c>
      <c r="D1219" s="3">
        <f t="shared" si="178"/>
        <v>8375</v>
      </c>
      <c r="E1219" s="2">
        <f t="shared" si="179"/>
        <v>43435</v>
      </c>
      <c r="F1219" s="2">
        <f t="shared" si="180"/>
        <v>45657</v>
      </c>
    </row>
    <row r="1220" spans="1:6" x14ac:dyDescent="0.25">
      <c r="A1220" s="1" t="s">
        <v>1100</v>
      </c>
      <c r="B1220" s="1" t="s">
        <v>1099</v>
      </c>
      <c r="C1220" s="1" t="s">
        <v>472</v>
      </c>
      <c r="D1220" s="3">
        <f t="shared" si="178"/>
        <v>8375</v>
      </c>
      <c r="E1220" s="2">
        <f t="shared" si="179"/>
        <v>43435</v>
      </c>
      <c r="F1220" s="2">
        <f t="shared" si="180"/>
        <v>45657</v>
      </c>
    </row>
    <row r="1221" spans="1:6" x14ac:dyDescent="0.25">
      <c r="A1221" s="1" t="s">
        <v>1100</v>
      </c>
      <c r="B1221" s="1" t="s">
        <v>1099</v>
      </c>
      <c r="C1221" s="1" t="s">
        <v>92</v>
      </c>
      <c r="D1221" s="3">
        <f t="shared" si="178"/>
        <v>8375</v>
      </c>
      <c r="E1221" s="2">
        <f t="shared" si="179"/>
        <v>43435</v>
      </c>
      <c r="F1221" s="2">
        <f t="shared" si="180"/>
        <v>45657</v>
      </c>
    </row>
    <row r="1222" spans="1:6" x14ac:dyDescent="0.25">
      <c r="A1222" s="1" t="s">
        <v>1100</v>
      </c>
      <c r="B1222" s="1" t="s">
        <v>1099</v>
      </c>
      <c r="C1222" s="1" t="s">
        <v>533</v>
      </c>
      <c r="D1222" s="3">
        <f t="shared" si="178"/>
        <v>8375</v>
      </c>
      <c r="E1222" s="2">
        <f t="shared" si="179"/>
        <v>43435</v>
      </c>
      <c r="F1222" s="2">
        <f t="shared" si="180"/>
        <v>45657</v>
      </c>
    </row>
    <row r="1223" spans="1:6" x14ac:dyDescent="0.25">
      <c r="A1223" s="1" t="s">
        <v>1100</v>
      </c>
      <c r="B1223" s="1" t="s">
        <v>1099</v>
      </c>
      <c r="C1223" s="1" t="s">
        <v>306</v>
      </c>
      <c r="D1223" s="3">
        <f t="shared" si="178"/>
        <v>8375</v>
      </c>
      <c r="E1223" s="2">
        <f t="shared" si="179"/>
        <v>43435</v>
      </c>
      <c r="F1223" s="2">
        <f t="shared" si="180"/>
        <v>45657</v>
      </c>
    </row>
    <row r="1224" spans="1:6" x14ac:dyDescent="0.25">
      <c r="A1224" s="1" t="s">
        <v>1100</v>
      </c>
      <c r="B1224" s="1" t="s">
        <v>1099</v>
      </c>
      <c r="C1224" s="1" t="s">
        <v>379</v>
      </c>
      <c r="D1224" s="3">
        <f t="shared" si="178"/>
        <v>8375</v>
      </c>
      <c r="E1224" s="2">
        <f t="shared" si="179"/>
        <v>43435</v>
      </c>
      <c r="F1224" s="2">
        <f t="shared" si="180"/>
        <v>45657</v>
      </c>
    </row>
    <row r="1225" spans="1:6" x14ac:dyDescent="0.25">
      <c r="A1225" s="1" t="s">
        <v>1100</v>
      </c>
      <c r="B1225" s="1" t="s">
        <v>1099</v>
      </c>
      <c r="C1225" s="1" t="s">
        <v>131</v>
      </c>
      <c r="D1225" s="3">
        <f t="shared" si="178"/>
        <v>8375</v>
      </c>
      <c r="E1225" s="2">
        <f t="shared" si="179"/>
        <v>43435</v>
      </c>
      <c r="F1225" s="2">
        <f t="shared" si="180"/>
        <v>45657</v>
      </c>
    </row>
    <row r="1226" spans="1:6" x14ac:dyDescent="0.25">
      <c r="A1226" s="1" t="s">
        <v>1100</v>
      </c>
      <c r="B1226" s="1" t="s">
        <v>1099</v>
      </c>
      <c r="C1226" s="1" t="s">
        <v>380</v>
      </c>
      <c r="D1226" s="3">
        <f t="shared" si="178"/>
        <v>8375</v>
      </c>
      <c r="E1226" s="2">
        <f t="shared" si="179"/>
        <v>43435</v>
      </c>
      <c r="F1226" s="2">
        <f t="shared" si="180"/>
        <v>45657</v>
      </c>
    </row>
    <row r="1227" spans="1:6" x14ac:dyDescent="0.25">
      <c r="A1227" s="1" t="s">
        <v>1100</v>
      </c>
      <c r="B1227" s="1" t="s">
        <v>1099</v>
      </c>
      <c r="C1227" s="1" t="s">
        <v>381</v>
      </c>
      <c r="D1227" s="3">
        <f t="shared" si="178"/>
        <v>8375</v>
      </c>
      <c r="E1227" s="2">
        <f t="shared" si="179"/>
        <v>43435</v>
      </c>
      <c r="F1227" s="2">
        <f t="shared" si="180"/>
        <v>45657</v>
      </c>
    </row>
    <row r="1228" spans="1:6" x14ac:dyDescent="0.25">
      <c r="A1228" s="1" t="s">
        <v>1100</v>
      </c>
      <c r="B1228" s="1" t="s">
        <v>1099</v>
      </c>
      <c r="C1228" s="1" t="s">
        <v>116</v>
      </c>
      <c r="D1228" s="3">
        <f t="shared" si="178"/>
        <v>8375</v>
      </c>
      <c r="E1228" s="2">
        <f t="shared" si="179"/>
        <v>43435</v>
      </c>
      <c r="F1228" s="2">
        <f t="shared" si="180"/>
        <v>45657</v>
      </c>
    </row>
    <row r="1229" spans="1:6" x14ac:dyDescent="0.25">
      <c r="A1229" s="1" t="s">
        <v>1637</v>
      </c>
      <c r="B1229" s="1" t="s">
        <v>1636</v>
      </c>
      <c r="C1229" s="1" t="s">
        <v>61</v>
      </c>
      <c r="D1229" s="3">
        <f t="shared" ref="D1229:D1236" si="181">VALUE("8811")</f>
        <v>8811</v>
      </c>
      <c r="E1229" s="2">
        <f t="shared" ref="E1229:E1236" si="182">DATEVALUE("1-10-2020")</f>
        <v>44105</v>
      </c>
      <c r="F1229" s="2">
        <f t="shared" ref="F1229:F1253" si="183">DATEVALUE("31-12-2020")</f>
        <v>44196</v>
      </c>
    </row>
    <row r="1230" spans="1:6" x14ac:dyDescent="0.25">
      <c r="A1230" s="1" t="s">
        <v>1637</v>
      </c>
      <c r="B1230" s="1" t="s">
        <v>1636</v>
      </c>
      <c r="C1230" s="1" t="s">
        <v>62</v>
      </c>
      <c r="D1230" s="3">
        <f t="shared" si="181"/>
        <v>8811</v>
      </c>
      <c r="E1230" s="2">
        <f t="shared" si="182"/>
        <v>44105</v>
      </c>
      <c r="F1230" s="2">
        <f t="shared" si="183"/>
        <v>44196</v>
      </c>
    </row>
    <row r="1231" spans="1:6" x14ac:dyDescent="0.25">
      <c r="A1231" s="1" t="s">
        <v>1637</v>
      </c>
      <c r="B1231" s="1" t="s">
        <v>1636</v>
      </c>
      <c r="C1231" s="1" t="s">
        <v>14</v>
      </c>
      <c r="D1231" s="3">
        <f t="shared" si="181"/>
        <v>8811</v>
      </c>
      <c r="E1231" s="2">
        <f t="shared" si="182"/>
        <v>44105</v>
      </c>
      <c r="F1231" s="2">
        <f t="shared" si="183"/>
        <v>44196</v>
      </c>
    </row>
    <row r="1232" spans="1:6" x14ac:dyDescent="0.25">
      <c r="A1232" s="1" t="s">
        <v>1637</v>
      </c>
      <c r="B1232" s="1" t="s">
        <v>1636</v>
      </c>
      <c r="C1232" s="1" t="s">
        <v>17</v>
      </c>
      <c r="D1232" s="3">
        <f t="shared" si="181"/>
        <v>8811</v>
      </c>
      <c r="E1232" s="2">
        <f t="shared" si="182"/>
        <v>44105</v>
      </c>
      <c r="F1232" s="2">
        <f t="shared" si="183"/>
        <v>44196</v>
      </c>
    </row>
    <row r="1233" spans="1:6" x14ac:dyDescent="0.25">
      <c r="A1233" s="1" t="s">
        <v>1637</v>
      </c>
      <c r="B1233" s="1" t="s">
        <v>1636</v>
      </c>
      <c r="C1233" s="1" t="s">
        <v>328</v>
      </c>
      <c r="D1233" s="3">
        <f t="shared" si="181"/>
        <v>8811</v>
      </c>
      <c r="E1233" s="2">
        <f t="shared" si="182"/>
        <v>44105</v>
      </c>
      <c r="F1233" s="2">
        <f t="shared" si="183"/>
        <v>44196</v>
      </c>
    </row>
    <row r="1234" spans="1:6" x14ac:dyDescent="0.25">
      <c r="A1234" s="1" t="s">
        <v>1637</v>
      </c>
      <c r="B1234" s="1" t="s">
        <v>1636</v>
      </c>
      <c r="C1234" s="1" t="s">
        <v>24</v>
      </c>
      <c r="D1234" s="3">
        <f t="shared" si="181"/>
        <v>8811</v>
      </c>
      <c r="E1234" s="2">
        <f t="shared" si="182"/>
        <v>44105</v>
      </c>
      <c r="F1234" s="2">
        <f t="shared" si="183"/>
        <v>44196</v>
      </c>
    </row>
    <row r="1235" spans="1:6" x14ac:dyDescent="0.25">
      <c r="A1235" s="1" t="s">
        <v>1637</v>
      </c>
      <c r="B1235" s="1" t="s">
        <v>1636</v>
      </c>
      <c r="C1235" s="1" t="s">
        <v>52</v>
      </c>
      <c r="D1235" s="3">
        <f t="shared" si="181"/>
        <v>8811</v>
      </c>
      <c r="E1235" s="2">
        <f t="shared" si="182"/>
        <v>44105</v>
      </c>
      <c r="F1235" s="2">
        <f t="shared" si="183"/>
        <v>44196</v>
      </c>
    </row>
    <row r="1236" spans="1:6" x14ac:dyDescent="0.25">
      <c r="A1236" s="1" t="s">
        <v>1637</v>
      </c>
      <c r="B1236" s="1" t="s">
        <v>1636</v>
      </c>
      <c r="C1236" s="1" t="s">
        <v>34</v>
      </c>
      <c r="D1236" s="3">
        <f t="shared" si="181"/>
        <v>8811</v>
      </c>
      <c r="E1236" s="2">
        <f t="shared" si="182"/>
        <v>44105</v>
      </c>
      <c r="F1236" s="2">
        <f t="shared" si="183"/>
        <v>44196</v>
      </c>
    </row>
    <row r="1237" spans="1:6" x14ac:dyDescent="0.25">
      <c r="A1237" s="1" t="s">
        <v>1253</v>
      </c>
      <c r="B1237" s="1" t="s">
        <v>1629</v>
      </c>
      <c r="C1237" s="1" t="s">
        <v>1631</v>
      </c>
      <c r="D1237" s="3">
        <f>VALUE("8805")</f>
        <v>8805</v>
      </c>
      <c r="E1237" s="2">
        <f>DATEVALUE("1-7-2020")</f>
        <v>44013</v>
      </c>
      <c r="F1237" s="2">
        <f t="shared" si="183"/>
        <v>44196</v>
      </c>
    </row>
    <row r="1238" spans="1:6" x14ac:dyDescent="0.25">
      <c r="A1238" s="1" t="s">
        <v>1253</v>
      </c>
      <c r="B1238" s="1" t="s">
        <v>1629</v>
      </c>
      <c r="C1238" s="1" t="s">
        <v>1630</v>
      </c>
      <c r="D1238" s="3">
        <f>VALUE("8805")</f>
        <v>8805</v>
      </c>
      <c r="E1238" s="2">
        <f>DATEVALUE("1-7-2020")</f>
        <v>44013</v>
      </c>
      <c r="F1238" s="2">
        <f t="shared" si="183"/>
        <v>44196</v>
      </c>
    </row>
    <row r="1239" spans="1:6" x14ac:dyDescent="0.25">
      <c r="A1239" s="1" t="s">
        <v>1253</v>
      </c>
      <c r="B1239" s="1" t="s">
        <v>1592</v>
      </c>
      <c r="C1239" s="1" t="s">
        <v>1593</v>
      </c>
      <c r="D1239" s="3">
        <f t="shared" ref="D1239:D1253" si="184">VALUE("8782")</f>
        <v>8782</v>
      </c>
      <c r="E1239" s="2">
        <f t="shared" ref="E1239:E1253" si="185">DATEVALUE("1-6-2020")</f>
        <v>43983</v>
      </c>
      <c r="F1239" s="2">
        <f t="shared" si="183"/>
        <v>44196</v>
      </c>
    </row>
    <row r="1240" spans="1:6" x14ac:dyDescent="0.25">
      <c r="A1240" s="1" t="s">
        <v>1253</v>
      </c>
      <c r="B1240" s="1" t="s">
        <v>1592</v>
      </c>
      <c r="C1240" s="1" t="s">
        <v>39</v>
      </c>
      <c r="D1240" s="3">
        <f t="shared" si="184"/>
        <v>8782</v>
      </c>
      <c r="E1240" s="2">
        <f t="shared" si="185"/>
        <v>43983</v>
      </c>
      <c r="F1240" s="2">
        <f t="shared" si="183"/>
        <v>44196</v>
      </c>
    </row>
    <row r="1241" spans="1:6" x14ac:dyDescent="0.25">
      <c r="A1241" s="1" t="s">
        <v>1253</v>
      </c>
      <c r="B1241" s="1" t="s">
        <v>1592</v>
      </c>
      <c r="C1241" s="1" t="s">
        <v>41</v>
      </c>
      <c r="D1241" s="3">
        <f t="shared" si="184"/>
        <v>8782</v>
      </c>
      <c r="E1241" s="2">
        <f t="shared" si="185"/>
        <v>43983</v>
      </c>
      <c r="F1241" s="2">
        <f t="shared" si="183"/>
        <v>44196</v>
      </c>
    </row>
    <row r="1242" spans="1:6" x14ac:dyDescent="0.25">
      <c r="A1242" s="1" t="s">
        <v>1253</v>
      </c>
      <c r="B1242" s="1" t="s">
        <v>1592</v>
      </c>
      <c r="C1242" s="1" t="s">
        <v>61</v>
      </c>
      <c r="D1242" s="3">
        <f t="shared" si="184"/>
        <v>8782</v>
      </c>
      <c r="E1242" s="2">
        <f t="shared" si="185"/>
        <v>43983</v>
      </c>
      <c r="F1242" s="2">
        <f t="shared" si="183"/>
        <v>44196</v>
      </c>
    </row>
    <row r="1243" spans="1:6" x14ac:dyDescent="0.25">
      <c r="A1243" s="1" t="s">
        <v>1253</v>
      </c>
      <c r="B1243" s="1" t="s">
        <v>1592</v>
      </c>
      <c r="C1243" s="1" t="s">
        <v>43</v>
      </c>
      <c r="D1243" s="3">
        <f t="shared" si="184"/>
        <v>8782</v>
      </c>
      <c r="E1243" s="2">
        <f t="shared" si="185"/>
        <v>43983</v>
      </c>
      <c r="F1243" s="2">
        <f t="shared" si="183"/>
        <v>44196</v>
      </c>
    </row>
    <row r="1244" spans="1:6" x14ac:dyDescent="0.25">
      <c r="A1244" s="1" t="s">
        <v>1253</v>
      </c>
      <c r="B1244" s="1" t="s">
        <v>1592</v>
      </c>
      <c r="C1244" s="1" t="s">
        <v>346</v>
      </c>
      <c r="D1244" s="3">
        <f t="shared" si="184"/>
        <v>8782</v>
      </c>
      <c r="E1244" s="2">
        <f t="shared" si="185"/>
        <v>43983</v>
      </c>
      <c r="F1244" s="2">
        <f t="shared" si="183"/>
        <v>44196</v>
      </c>
    </row>
    <row r="1245" spans="1:6" x14ac:dyDescent="0.25">
      <c r="A1245" s="1" t="s">
        <v>1253</v>
      </c>
      <c r="B1245" s="1" t="s">
        <v>1592</v>
      </c>
      <c r="C1245" s="1" t="s">
        <v>14</v>
      </c>
      <c r="D1245" s="3">
        <f t="shared" si="184"/>
        <v>8782</v>
      </c>
      <c r="E1245" s="2">
        <f t="shared" si="185"/>
        <v>43983</v>
      </c>
      <c r="F1245" s="2">
        <f t="shared" si="183"/>
        <v>44196</v>
      </c>
    </row>
    <row r="1246" spans="1:6" x14ac:dyDescent="0.25">
      <c r="A1246" s="1" t="s">
        <v>1253</v>
      </c>
      <c r="B1246" s="1" t="s">
        <v>1592</v>
      </c>
      <c r="C1246" s="1" t="s">
        <v>15</v>
      </c>
      <c r="D1246" s="3">
        <f t="shared" si="184"/>
        <v>8782</v>
      </c>
      <c r="E1246" s="2">
        <f t="shared" si="185"/>
        <v>43983</v>
      </c>
      <c r="F1246" s="2">
        <f t="shared" si="183"/>
        <v>44196</v>
      </c>
    </row>
    <row r="1247" spans="1:6" x14ac:dyDescent="0.25">
      <c r="A1247" s="1" t="s">
        <v>1253</v>
      </c>
      <c r="B1247" s="1" t="s">
        <v>1592</v>
      </c>
      <c r="C1247" s="1" t="s">
        <v>17</v>
      </c>
      <c r="D1247" s="3">
        <f t="shared" si="184"/>
        <v>8782</v>
      </c>
      <c r="E1247" s="2">
        <f t="shared" si="185"/>
        <v>43983</v>
      </c>
      <c r="F1247" s="2">
        <f t="shared" si="183"/>
        <v>44196</v>
      </c>
    </row>
    <row r="1248" spans="1:6" x14ac:dyDescent="0.25">
      <c r="A1248" s="1" t="s">
        <v>1253</v>
      </c>
      <c r="B1248" s="1" t="s">
        <v>1592</v>
      </c>
      <c r="C1248" s="1" t="s">
        <v>24</v>
      </c>
      <c r="D1248" s="3">
        <f t="shared" si="184"/>
        <v>8782</v>
      </c>
      <c r="E1248" s="2">
        <f t="shared" si="185"/>
        <v>43983</v>
      </c>
      <c r="F1248" s="2">
        <f t="shared" si="183"/>
        <v>44196</v>
      </c>
    </row>
    <row r="1249" spans="1:6" x14ac:dyDescent="0.25">
      <c r="A1249" s="1" t="s">
        <v>1253</v>
      </c>
      <c r="B1249" s="1" t="s">
        <v>1592</v>
      </c>
      <c r="C1249" s="1" t="s">
        <v>52</v>
      </c>
      <c r="D1249" s="3">
        <f t="shared" si="184"/>
        <v>8782</v>
      </c>
      <c r="E1249" s="2">
        <f t="shared" si="185"/>
        <v>43983</v>
      </c>
      <c r="F1249" s="2">
        <f t="shared" si="183"/>
        <v>44196</v>
      </c>
    </row>
    <row r="1250" spans="1:6" x14ac:dyDescent="0.25">
      <c r="A1250" s="1" t="s">
        <v>1253</v>
      </c>
      <c r="B1250" s="1" t="s">
        <v>1592</v>
      </c>
      <c r="C1250" s="1" t="s">
        <v>241</v>
      </c>
      <c r="D1250" s="3">
        <f t="shared" si="184"/>
        <v>8782</v>
      </c>
      <c r="E1250" s="2">
        <f t="shared" si="185"/>
        <v>43983</v>
      </c>
      <c r="F1250" s="2">
        <f t="shared" si="183"/>
        <v>44196</v>
      </c>
    </row>
    <row r="1251" spans="1:6" x14ac:dyDescent="0.25">
      <c r="A1251" s="1" t="s">
        <v>1253</v>
      </c>
      <c r="B1251" s="1" t="s">
        <v>1592</v>
      </c>
      <c r="C1251" s="1" t="s">
        <v>34</v>
      </c>
      <c r="D1251" s="3">
        <f t="shared" si="184"/>
        <v>8782</v>
      </c>
      <c r="E1251" s="2">
        <f t="shared" si="185"/>
        <v>43983</v>
      </c>
      <c r="F1251" s="2">
        <f t="shared" si="183"/>
        <v>44196</v>
      </c>
    </row>
    <row r="1252" spans="1:6" x14ac:dyDescent="0.25">
      <c r="A1252" s="1" t="s">
        <v>1253</v>
      </c>
      <c r="B1252" s="1" t="s">
        <v>1592</v>
      </c>
      <c r="C1252" s="1" t="s">
        <v>56</v>
      </c>
      <c r="D1252" s="3">
        <f t="shared" si="184"/>
        <v>8782</v>
      </c>
      <c r="E1252" s="2">
        <f t="shared" si="185"/>
        <v>43983</v>
      </c>
      <c r="F1252" s="2">
        <f t="shared" si="183"/>
        <v>44196</v>
      </c>
    </row>
    <row r="1253" spans="1:6" x14ac:dyDescent="0.25">
      <c r="A1253" s="1" t="s">
        <v>1253</v>
      </c>
      <c r="B1253" s="1" t="s">
        <v>1592</v>
      </c>
      <c r="C1253" s="1" t="s">
        <v>57</v>
      </c>
      <c r="D1253" s="3">
        <f t="shared" si="184"/>
        <v>8782</v>
      </c>
      <c r="E1253" s="2">
        <f t="shared" si="185"/>
        <v>43983</v>
      </c>
      <c r="F1253" s="2">
        <f t="shared" si="183"/>
        <v>44196</v>
      </c>
    </row>
    <row r="1254" spans="1:6" x14ac:dyDescent="0.25">
      <c r="A1254" s="1" t="s">
        <v>1253</v>
      </c>
      <c r="B1254" s="1" t="s">
        <v>1840</v>
      </c>
      <c r="C1254" s="1" t="s">
        <v>1841</v>
      </c>
      <c r="D1254" s="3">
        <f t="shared" ref="D1254:D1272" si="186">VALUE("8757")</f>
        <v>8757</v>
      </c>
      <c r="E1254" s="2">
        <f t="shared" ref="E1254:E1272" si="187">DATEVALUE("1-5-2020")</f>
        <v>43952</v>
      </c>
      <c r="F1254" s="2">
        <f t="shared" ref="F1254:F1272" si="188">DATEVALUE("31-8-2020")</f>
        <v>44074</v>
      </c>
    </row>
    <row r="1255" spans="1:6" x14ac:dyDescent="0.25">
      <c r="A1255" s="1" t="s">
        <v>1253</v>
      </c>
      <c r="B1255" s="1" t="s">
        <v>1840</v>
      </c>
      <c r="C1255" s="1" t="s">
        <v>147</v>
      </c>
      <c r="D1255" s="3">
        <f t="shared" si="186"/>
        <v>8757</v>
      </c>
      <c r="E1255" s="2">
        <f t="shared" si="187"/>
        <v>43952</v>
      </c>
      <c r="F1255" s="2">
        <f t="shared" si="188"/>
        <v>44074</v>
      </c>
    </row>
    <row r="1256" spans="1:6" x14ac:dyDescent="0.25">
      <c r="A1256" s="1" t="s">
        <v>1253</v>
      </c>
      <c r="B1256" s="1" t="s">
        <v>1840</v>
      </c>
      <c r="C1256" s="1" t="s">
        <v>387</v>
      </c>
      <c r="D1256" s="3">
        <f t="shared" si="186"/>
        <v>8757</v>
      </c>
      <c r="E1256" s="2">
        <f t="shared" si="187"/>
        <v>43952</v>
      </c>
      <c r="F1256" s="2">
        <f t="shared" si="188"/>
        <v>44074</v>
      </c>
    </row>
    <row r="1257" spans="1:6" x14ac:dyDescent="0.25">
      <c r="A1257" s="1" t="s">
        <v>1253</v>
      </c>
      <c r="B1257" s="1" t="s">
        <v>1840</v>
      </c>
      <c r="C1257" s="1" t="s">
        <v>817</v>
      </c>
      <c r="D1257" s="3">
        <f t="shared" si="186"/>
        <v>8757</v>
      </c>
      <c r="E1257" s="2">
        <f t="shared" si="187"/>
        <v>43952</v>
      </c>
      <c r="F1257" s="2">
        <f t="shared" si="188"/>
        <v>44074</v>
      </c>
    </row>
    <row r="1258" spans="1:6" x14ac:dyDescent="0.25">
      <c r="A1258" s="1" t="s">
        <v>1253</v>
      </c>
      <c r="B1258" s="1" t="s">
        <v>1840</v>
      </c>
      <c r="C1258" s="1" t="s">
        <v>818</v>
      </c>
      <c r="D1258" s="3">
        <f t="shared" si="186"/>
        <v>8757</v>
      </c>
      <c r="E1258" s="2">
        <f t="shared" si="187"/>
        <v>43952</v>
      </c>
      <c r="F1258" s="2">
        <f t="shared" si="188"/>
        <v>44074</v>
      </c>
    </row>
    <row r="1259" spans="1:6" x14ac:dyDescent="0.25">
      <c r="A1259" s="1" t="s">
        <v>1253</v>
      </c>
      <c r="B1259" s="1" t="s">
        <v>1840</v>
      </c>
      <c r="C1259" s="1" t="s">
        <v>819</v>
      </c>
      <c r="D1259" s="3">
        <f t="shared" si="186"/>
        <v>8757</v>
      </c>
      <c r="E1259" s="2">
        <f t="shared" si="187"/>
        <v>43952</v>
      </c>
      <c r="F1259" s="2">
        <f t="shared" si="188"/>
        <v>44074</v>
      </c>
    </row>
    <row r="1260" spans="1:6" x14ac:dyDescent="0.25">
      <c r="A1260" s="1" t="s">
        <v>1253</v>
      </c>
      <c r="B1260" s="1" t="s">
        <v>1840</v>
      </c>
      <c r="C1260" s="1" t="s">
        <v>820</v>
      </c>
      <c r="D1260" s="3">
        <f t="shared" si="186"/>
        <v>8757</v>
      </c>
      <c r="E1260" s="2">
        <f t="shared" si="187"/>
        <v>43952</v>
      </c>
      <c r="F1260" s="2">
        <f t="shared" si="188"/>
        <v>44074</v>
      </c>
    </row>
    <row r="1261" spans="1:6" x14ac:dyDescent="0.25">
      <c r="A1261" s="1" t="s">
        <v>1253</v>
      </c>
      <c r="B1261" s="1" t="s">
        <v>1840</v>
      </c>
      <c r="C1261" s="1" t="s">
        <v>821</v>
      </c>
      <c r="D1261" s="3">
        <f t="shared" si="186"/>
        <v>8757</v>
      </c>
      <c r="E1261" s="2">
        <f t="shared" si="187"/>
        <v>43952</v>
      </c>
      <c r="F1261" s="2">
        <f t="shared" si="188"/>
        <v>44074</v>
      </c>
    </row>
    <row r="1262" spans="1:6" x14ac:dyDescent="0.25">
      <c r="A1262" s="1" t="s">
        <v>1253</v>
      </c>
      <c r="B1262" s="1" t="s">
        <v>1840</v>
      </c>
      <c r="C1262" s="1" t="s">
        <v>822</v>
      </c>
      <c r="D1262" s="3">
        <f t="shared" si="186"/>
        <v>8757</v>
      </c>
      <c r="E1262" s="2">
        <f t="shared" si="187"/>
        <v>43952</v>
      </c>
      <c r="F1262" s="2">
        <f t="shared" si="188"/>
        <v>44074</v>
      </c>
    </row>
    <row r="1263" spans="1:6" x14ac:dyDescent="0.25">
      <c r="A1263" s="1" t="s">
        <v>1253</v>
      </c>
      <c r="B1263" s="1" t="s">
        <v>1840</v>
      </c>
      <c r="C1263" s="1" t="s">
        <v>825</v>
      </c>
      <c r="D1263" s="3">
        <f t="shared" si="186"/>
        <v>8757</v>
      </c>
      <c r="E1263" s="2">
        <f t="shared" si="187"/>
        <v>43952</v>
      </c>
      <c r="F1263" s="2">
        <f t="shared" si="188"/>
        <v>44074</v>
      </c>
    </row>
    <row r="1264" spans="1:6" x14ac:dyDescent="0.25">
      <c r="A1264" s="1" t="s">
        <v>1253</v>
      </c>
      <c r="B1264" s="1" t="s">
        <v>1840</v>
      </c>
      <c r="C1264" s="1" t="s">
        <v>823</v>
      </c>
      <c r="D1264" s="3">
        <f t="shared" si="186"/>
        <v>8757</v>
      </c>
      <c r="E1264" s="2">
        <f t="shared" si="187"/>
        <v>43952</v>
      </c>
      <c r="F1264" s="2">
        <f t="shared" si="188"/>
        <v>44074</v>
      </c>
    </row>
    <row r="1265" spans="1:6" x14ac:dyDescent="0.25">
      <c r="A1265" s="1" t="s">
        <v>1253</v>
      </c>
      <c r="B1265" s="1" t="s">
        <v>1840</v>
      </c>
      <c r="C1265" s="1" t="s">
        <v>824</v>
      </c>
      <c r="D1265" s="3">
        <f t="shared" si="186"/>
        <v>8757</v>
      </c>
      <c r="E1265" s="2">
        <f t="shared" si="187"/>
        <v>43952</v>
      </c>
      <c r="F1265" s="2">
        <f t="shared" si="188"/>
        <v>44074</v>
      </c>
    </row>
    <row r="1266" spans="1:6" x14ac:dyDescent="0.25">
      <c r="A1266" s="1" t="s">
        <v>1253</v>
      </c>
      <c r="B1266" s="1" t="s">
        <v>1840</v>
      </c>
      <c r="C1266" s="1" t="s">
        <v>826</v>
      </c>
      <c r="D1266" s="3">
        <f t="shared" si="186"/>
        <v>8757</v>
      </c>
      <c r="E1266" s="2">
        <f t="shared" si="187"/>
        <v>43952</v>
      </c>
      <c r="F1266" s="2">
        <f t="shared" si="188"/>
        <v>44074</v>
      </c>
    </row>
    <row r="1267" spans="1:6" x14ac:dyDescent="0.25">
      <c r="A1267" s="1" t="s">
        <v>1253</v>
      </c>
      <c r="B1267" s="1" t="s">
        <v>1840</v>
      </c>
      <c r="C1267" s="1" t="s">
        <v>827</v>
      </c>
      <c r="D1267" s="3">
        <f t="shared" si="186"/>
        <v>8757</v>
      </c>
      <c r="E1267" s="2">
        <f t="shared" si="187"/>
        <v>43952</v>
      </c>
      <c r="F1267" s="2">
        <f t="shared" si="188"/>
        <v>44074</v>
      </c>
    </row>
    <row r="1268" spans="1:6" x14ac:dyDescent="0.25">
      <c r="A1268" s="1" t="s">
        <v>1253</v>
      </c>
      <c r="B1268" s="1" t="s">
        <v>1840</v>
      </c>
      <c r="C1268" s="1" t="s">
        <v>829</v>
      </c>
      <c r="D1268" s="3">
        <f t="shared" si="186"/>
        <v>8757</v>
      </c>
      <c r="E1268" s="2">
        <f t="shared" si="187"/>
        <v>43952</v>
      </c>
      <c r="F1268" s="2">
        <f t="shared" si="188"/>
        <v>44074</v>
      </c>
    </row>
    <row r="1269" spans="1:6" x14ac:dyDescent="0.25">
      <c r="A1269" s="1" t="s">
        <v>1253</v>
      </c>
      <c r="B1269" s="1" t="s">
        <v>1840</v>
      </c>
      <c r="C1269" s="1" t="s">
        <v>828</v>
      </c>
      <c r="D1269" s="3">
        <f t="shared" si="186"/>
        <v>8757</v>
      </c>
      <c r="E1269" s="2">
        <f t="shared" si="187"/>
        <v>43952</v>
      </c>
      <c r="F1269" s="2">
        <f t="shared" si="188"/>
        <v>44074</v>
      </c>
    </row>
    <row r="1270" spans="1:6" x14ac:dyDescent="0.25">
      <c r="A1270" s="1" t="s">
        <v>1253</v>
      </c>
      <c r="B1270" s="1" t="s">
        <v>1840</v>
      </c>
      <c r="C1270" s="1" t="s">
        <v>830</v>
      </c>
      <c r="D1270" s="3">
        <f t="shared" si="186"/>
        <v>8757</v>
      </c>
      <c r="E1270" s="2">
        <f t="shared" si="187"/>
        <v>43952</v>
      </c>
      <c r="F1270" s="2">
        <f t="shared" si="188"/>
        <v>44074</v>
      </c>
    </row>
    <row r="1271" spans="1:6" x14ac:dyDescent="0.25">
      <c r="A1271" s="1" t="s">
        <v>1253</v>
      </c>
      <c r="B1271" s="1" t="s">
        <v>1840</v>
      </c>
      <c r="C1271" s="1" t="s">
        <v>380</v>
      </c>
      <c r="D1271" s="3">
        <f t="shared" si="186"/>
        <v>8757</v>
      </c>
      <c r="E1271" s="2">
        <f t="shared" si="187"/>
        <v>43952</v>
      </c>
      <c r="F1271" s="2">
        <f t="shared" si="188"/>
        <v>44074</v>
      </c>
    </row>
    <row r="1272" spans="1:6" x14ac:dyDescent="0.25">
      <c r="A1272" s="1" t="s">
        <v>1253</v>
      </c>
      <c r="B1272" s="1" t="s">
        <v>1840</v>
      </c>
      <c r="C1272" s="1" t="s">
        <v>381</v>
      </c>
      <c r="D1272" s="3">
        <f t="shared" si="186"/>
        <v>8757</v>
      </c>
      <c r="E1272" s="2">
        <f t="shared" si="187"/>
        <v>43952</v>
      </c>
      <c r="F1272" s="2">
        <f t="shared" si="188"/>
        <v>44074</v>
      </c>
    </row>
    <row r="1273" spans="1:6" x14ac:dyDescent="0.25">
      <c r="A1273" s="1" t="s">
        <v>1253</v>
      </c>
      <c r="B1273" s="1" t="s">
        <v>2481</v>
      </c>
      <c r="C1273" s="1" t="s">
        <v>2483</v>
      </c>
      <c r="D1273" s="3">
        <f>VALUE("8649")</f>
        <v>8649</v>
      </c>
      <c r="E1273" s="2">
        <f>DATEVALUE("1-12-2019")</f>
        <v>43800</v>
      </c>
      <c r="F1273" s="2">
        <f>DATEVALUE("31-5-2020")</f>
        <v>43982</v>
      </c>
    </row>
    <row r="1274" spans="1:6" x14ac:dyDescent="0.25">
      <c r="A1274" s="1" t="s">
        <v>1253</v>
      </c>
      <c r="B1274" s="1" t="s">
        <v>2481</v>
      </c>
      <c r="C1274" s="1" t="s">
        <v>2482</v>
      </c>
      <c r="D1274" s="3">
        <f>VALUE("8649")</f>
        <v>8649</v>
      </c>
      <c r="E1274" s="2">
        <f>DATEVALUE("1-12-2019")</f>
        <v>43800</v>
      </c>
      <c r="F1274" s="2">
        <f>DATEVALUE("31-5-2020")</f>
        <v>43982</v>
      </c>
    </row>
    <row r="1275" spans="1:6" x14ac:dyDescent="0.25">
      <c r="A1275" s="1" t="s">
        <v>1253</v>
      </c>
      <c r="B1275" s="1" t="s">
        <v>1296</v>
      </c>
      <c r="C1275" s="1" t="s">
        <v>1297</v>
      </c>
      <c r="D1275" s="3">
        <f t="shared" ref="D1275:D1306" si="189">VALUE("8553")</f>
        <v>8553</v>
      </c>
      <c r="E1275" s="2">
        <f t="shared" ref="E1275:E1306" si="190">DATEVALUE("1-9-2019")</f>
        <v>43709</v>
      </c>
      <c r="F1275" s="2">
        <f t="shared" ref="F1275:F1306" si="191">DATEVALUE("31-12-2024")</f>
        <v>45657</v>
      </c>
    </row>
    <row r="1276" spans="1:6" x14ac:dyDescent="0.25">
      <c r="A1276" s="1" t="s">
        <v>1253</v>
      </c>
      <c r="B1276" s="1" t="s">
        <v>1296</v>
      </c>
      <c r="C1276" s="1" t="s">
        <v>1298</v>
      </c>
      <c r="D1276" s="3">
        <f t="shared" si="189"/>
        <v>8553</v>
      </c>
      <c r="E1276" s="2">
        <f t="shared" si="190"/>
        <v>43709</v>
      </c>
      <c r="F1276" s="2">
        <f t="shared" si="191"/>
        <v>45657</v>
      </c>
    </row>
    <row r="1277" spans="1:6" x14ac:dyDescent="0.25">
      <c r="A1277" s="1" t="s">
        <v>1253</v>
      </c>
      <c r="B1277" s="1" t="s">
        <v>1296</v>
      </c>
      <c r="C1277" s="1" t="s">
        <v>1299</v>
      </c>
      <c r="D1277" s="3">
        <f t="shared" si="189"/>
        <v>8553</v>
      </c>
      <c r="E1277" s="2">
        <f t="shared" si="190"/>
        <v>43709</v>
      </c>
      <c r="F1277" s="2">
        <f t="shared" si="191"/>
        <v>45657</v>
      </c>
    </row>
    <row r="1278" spans="1:6" x14ac:dyDescent="0.25">
      <c r="A1278" s="1" t="s">
        <v>1253</v>
      </c>
      <c r="B1278" s="1" t="s">
        <v>1296</v>
      </c>
      <c r="C1278" s="1" t="s">
        <v>1300</v>
      </c>
      <c r="D1278" s="3">
        <f t="shared" si="189"/>
        <v>8553</v>
      </c>
      <c r="E1278" s="2">
        <f t="shared" si="190"/>
        <v>43709</v>
      </c>
      <c r="F1278" s="2">
        <f t="shared" si="191"/>
        <v>45657</v>
      </c>
    </row>
    <row r="1279" spans="1:6" x14ac:dyDescent="0.25">
      <c r="A1279" s="1" t="s">
        <v>1253</v>
      </c>
      <c r="B1279" s="1" t="s">
        <v>1296</v>
      </c>
      <c r="C1279" s="1" t="s">
        <v>1301</v>
      </c>
      <c r="D1279" s="3">
        <f t="shared" si="189"/>
        <v>8553</v>
      </c>
      <c r="E1279" s="2">
        <f t="shared" si="190"/>
        <v>43709</v>
      </c>
      <c r="F1279" s="2">
        <f t="shared" si="191"/>
        <v>45657</v>
      </c>
    </row>
    <row r="1280" spans="1:6" x14ac:dyDescent="0.25">
      <c r="A1280" s="1" t="s">
        <v>1253</v>
      </c>
      <c r="B1280" s="1" t="s">
        <v>1296</v>
      </c>
      <c r="C1280" s="1" t="s">
        <v>1302</v>
      </c>
      <c r="D1280" s="3">
        <f t="shared" si="189"/>
        <v>8553</v>
      </c>
      <c r="E1280" s="2">
        <f t="shared" si="190"/>
        <v>43709</v>
      </c>
      <c r="F1280" s="2">
        <f t="shared" si="191"/>
        <v>45657</v>
      </c>
    </row>
    <row r="1281" spans="1:6" x14ac:dyDescent="0.25">
      <c r="A1281" s="1" t="s">
        <v>1253</v>
      </c>
      <c r="B1281" s="1" t="s">
        <v>1296</v>
      </c>
      <c r="C1281" s="1" t="s">
        <v>1303</v>
      </c>
      <c r="D1281" s="3">
        <f t="shared" si="189"/>
        <v>8553</v>
      </c>
      <c r="E1281" s="2">
        <f t="shared" si="190"/>
        <v>43709</v>
      </c>
      <c r="F1281" s="2">
        <f t="shared" si="191"/>
        <v>45657</v>
      </c>
    </row>
    <row r="1282" spans="1:6" x14ac:dyDescent="0.25">
      <c r="A1282" s="1" t="s">
        <v>1253</v>
      </c>
      <c r="B1282" s="1" t="s">
        <v>1296</v>
      </c>
      <c r="C1282" s="1" t="s">
        <v>1304</v>
      </c>
      <c r="D1282" s="3">
        <f t="shared" si="189"/>
        <v>8553</v>
      </c>
      <c r="E1282" s="2">
        <f t="shared" si="190"/>
        <v>43709</v>
      </c>
      <c r="F1282" s="2">
        <f t="shared" si="191"/>
        <v>45657</v>
      </c>
    </row>
    <row r="1283" spans="1:6" x14ac:dyDescent="0.25">
      <c r="A1283" s="1" t="s">
        <v>1253</v>
      </c>
      <c r="B1283" s="1" t="s">
        <v>1296</v>
      </c>
      <c r="C1283" s="1" t="s">
        <v>1305</v>
      </c>
      <c r="D1283" s="3">
        <f t="shared" si="189"/>
        <v>8553</v>
      </c>
      <c r="E1283" s="2">
        <f t="shared" si="190"/>
        <v>43709</v>
      </c>
      <c r="F1283" s="2">
        <f t="shared" si="191"/>
        <v>45657</v>
      </c>
    </row>
    <row r="1284" spans="1:6" x14ac:dyDescent="0.25">
      <c r="A1284" s="1" t="s">
        <v>1253</v>
      </c>
      <c r="B1284" s="1" t="s">
        <v>1296</v>
      </c>
      <c r="C1284" s="1" t="s">
        <v>1306</v>
      </c>
      <c r="D1284" s="3">
        <f t="shared" si="189"/>
        <v>8553</v>
      </c>
      <c r="E1284" s="2">
        <f t="shared" si="190"/>
        <v>43709</v>
      </c>
      <c r="F1284" s="2">
        <f t="shared" si="191"/>
        <v>45657</v>
      </c>
    </row>
    <row r="1285" spans="1:6" x14ac:dyDescent="0.25">
      <c r="A1285" s="1" t="s">
        <v>1253</v>
      </c>
      <c r="B1285" s="1" t="s">
        <v>1296</v>
      </c>
      <c r="C1285" s="1" t="s">
        <v>1307</v>
      </c>
      <c r="D1285" s="3">
        <f t="shared" si="189"/>
        <v>8553</v>
      </c>
      <c r="E1285" s="2">
        <f t="shared" si="190"/>
        <v>43709</v>
      </c>
      <c r="F1285" s="2">
        <f t="shared" si="191"/>
        <v>45657</v>
      </c>
    </row>
    <row r="1286" spans="1:6" x14ac:dyDescent="0.25">
      <c r="A1286" s="1" t="s">
        <v>1253</v>
      </c>
      <c r="B1286" s="1" t="s">
        <v>1296</v>
      </c>
      <c r="C1286" s="1" t="s">
        <v>1308</v>
      </c>
      <c r="D1286" s="3">
        <f t="shared" si="189"/>
        <v>8553</v>
      </c>
      <c r="E1286" s="2">
        <f t="shared" si="190"/>
        <v>43709</v>
      </c>
      <c r="F1286" s="2">
        <f t="shared" si="191"/>
        <v>45657</v>
      </c>
    </row>
    <row r="1287" spans="1:6" x14ac:dyDescent="0.25">
      <c r="A1287" s="1" t="s">
        <v>1253</v>
      </c>
      <c r="B1287" s="1" t="s">
        <v>1296</v>
      </c>
      <c r="C1287" s="1" t="s">
        <v>1309</v>
      </c>
      <c r="D1287" s="3">
        <f t="shared" si="189"/>
        <v>8553</v>
      </c>
      <c r="E1287" s="2">
        <f t="shared" si="190"/>
        <v>43709</v>
      </c>
      <c r="F1287" s="2">
        <f t="shared" si="191"/>
        <v>45657</v>
      </c>
    </row>
    <row r="1288" spans="1:6" x14ac:dyDescent="0.25">
      <c r="A1288" s="1" t="s">
        <v>1253</v>
      </c>
      <c r="B1288" s="1" t="s">
        <v>1296</v>
      </c>
      <c r="C1288" s="1" t="s">
        <v>1310</v>
      </c>
      <c r="D1288" s="3">
        <f t="shared" si="189"/>
        <v>8553</v>
      </c>
      <c r="E1288" s="2">
        <f t="shared" si="190"/>
        <v>43709</v>
      </c>
      <c r="F1288" s="2">
        <f t="shared" si="191"/>
        <v>45657</v>
      </c>
    </row>
    <row r="1289" spans="1:6" x14ac:dyDescent="0.25">
      <c r="A1289" s="1" t="s">
        <v>1253</v>
      </c>
      <c r="B1289" s="1" t="s">
        <v>1296</v>
      </c>
      <c r="C1289" s="1" t="s">
        <v>1311</v>
      </c>
      <c r="D1289" s="3">
        <f t="shared" si="189"/>
        <v>8553</v>
      </c>
      <c r="E1289" s="2">
        <f t="shared" si="190"/>
        <v>43709</v>
      </c>
      <c r="F1289" s="2">
        <f t="shared" si="191"/>
        <v>45657</v>
      </c>
    </row>
    <row r="1290" spans="1:6" x14ac:dyDescent="0.25">
      <c r="A1290" s="1" t="s">
        <v>1253</v>
      </c>
      <c r="B1290" s="1" t="s">
        <v>1296</v>
      </c>
      <c r="C1290" s="1" t="s">
        <v>1312</v>
      </c>
      <c r="D1290" s="3">
        <f t="shared" si="189"/>
        <v>8553</v>
      </c>
      <c r="E1290" s="2">
        <f t="shared" si="190"/>
        <v>43709</v>
      </c>
      <c r="F1290" s="2">
        <f t="shared" si="191"/>
        <v>45657</v>
      </c>
    </row>
    <row r="1291" spans="1:6" x14ac:dyDescent="0.25">
      <c r="A1291" s="1" t="s">
        <v>1253</v>
      </c>
      <c r="B1291" s="1" t="s">
        <v>1296</v>
      </c>
      <c r="C1291" s="1" t="s">
        <v>1313</v>
      </c>
      <c r="D1291" s="3">
        <f t="shared" si="189"/>
        <v>8553</v>
      </c>
      <c r="E1291" s="2">
        <f t="shared" si="190"/>
        <v>43709</v>
      </c>
      <c r="F1291" s="2">
        <f t="shared" si="191"/>
        <v>45657</v>
      </c>
    </row>
    <row r="1292" spans="1:6" x14ac:dyDescent="0.25">
      <c r="A1292" s="1" t="s">
        <v>1253</v>
      </c>
      <c r="B1292" s="1" t="s">
        <v>1296</v>
      </c>
      <c r="C1292" s="1" t="s">
        <v>7</v>
      </c>
      <c r="D1292" s="3">
        <f t="shared" si="189"/>
        <v>8553</v>
      </c>
      <c r="E1292" s="2">
        <f t="shared" si="190"/>
        <v>43709</v>
      </c>
      <c r="F1292" s="2">
        <f t="shared" si="191"/>
        <v>45657</v>
      </c>
    </row>
    <row r="1293" spans="1:6" x14ac:dyDescent="0.25">
      <c r="A1293" s="1" t="s">
        <v>1253</v>
      </c>
      <c r="B1293" s="1" t="s">
        <v>1296</v>
      </c>
      <c r="C1293" s="1" t="s">
        <v>6</v>
      </c>
      <c r="D1293" s="3">
        <f t="shared" si="189"/>
        <v>8553</v>
      </c>
      <c r="E1293" s="2">
        <f t="shared" si="190"/>
        <v>43709</v>
      </c>
      <c r="F1293" s="2">
        <f t="shared" si="191"/>
        <v>45657</v>
      </c>
    </row>
    <row r="1294" spans="1:6" x14ac:dyDescent="0.25">
      <c r="A1294" s="1" t="s">
        <v>1253</v>
      </c>
      <c r="B1294" s="1" t="s">
        <v>1296</v>
      </c>
      <c r="C1294" s="1" t="s">
        <v>215</v>
      </c>
      <c r="D1294" s="3">
        <f t="shared" si="189"/>
        <v>8553</v>
      </c>
      <c r="E1294" s="2">
        <f t="shared" si="190"/>
        <v>43709</v>
      </c>
      <c r="F1294" s="2">
        <f t="shared" si="191"/>
        <v>45657</v>
      </c>
    </row>
    <row r="1295" spans="1:6" x14ac:dyDescent="0.25">
      <c r="A1295" s="1" t="s">
        <v>1253</v>
      </c>
      <c r="B1295" s="1" t="s">
        <v>1296</v>
      </c>
      <c r="C1295" s="1" t="s">
        <v>61</v>
      </c>
      <c r="D1295" s="3">
        <f t="shared" si="189"/>
        <v>8553</v>
      </c>
      <c r="E1295" s="2">
        <f t="shared" si="190"/>
        <v>43709</v>
      </c>
      <c r="F1295" s="2">
        <f t="shared" si="191"/>
        <v>45657</v>
      </c>
    </row>
    <row r="1296" spans="1:6" x14ac:dyDescent="0.25">
      <c r="A1296" s="1" t="s">
        <v>1253</v>
      </c>
      <c r="B1296" s="1" t="s">
        <v>1296</v>
      </c>
      <c r="C1296" s="1" t="s">
        <v>599</v>
      </c>
      <c r="D1296" s="3">
        <f t="shared" si="189"/>
        <v>8553</v>
      </c>
      <c r="E1296" s="2">
        <f t="shared" si="190"/>
        <v>43709</v>
      </c>
      <c r="F1296" s="2">
        <f t="shared" si="191"/>
        <v>45657</v>
      </c>
    </row>
    <row r="1297" spans="1:6" x14ac:dyDescent="0.25">
      <c r="A1297" s="1" t="s">
        <v>1253</v>
      </c>
      <c r="B1297" s="1" t="s">
        <v>1296</v>
      </c>
      <c r="C1297" s="1" t="s">
        <v>140</v>
      </c>
      <c r="D1297" s="3">
        <f t="shared" si="189"/>
        <v>8553</v>
      </c>
      <c r="E1297" s="2">
        <f t="shared" si="190"/>
        <v>43709</v>
      </c>
      <c r="F1297" s="2">
        <f t="shared" si="191"/>
        <v>45657</v>
      </c>
    </row>
    <row r="1298" spans="1:6" x14ac:dyDescent="0.25">
      <c r="A1298" s="1" t="s">
        <v>1253</v>
      </c>
      <c r="B1298" s="1" t="s">
        <v>1296</v>
      </c>
      <c r="C1298" s="1" t="s">
        <v>141</v>
      </c>
      <c r="D1298" s="3">
        <f t="shared" si="189"/>
        <v>8553</v>
      </c>
      <c r="E1298" s="2">
        <f t="shared" si="190"/>
        <v>43709</v>
      </c>
      <c r="F1298" s="2">
        <f t="shared" si="191"/>
        <v>45657</v>
      </c>
    </row>
    <row r="1299" spans="1:6" x14ac:dyDescent="0.25">
      <c r="A1299" s="1" t="s">
        <v>1253</v>
      </c>
      <c r="B1299" s="1" t="s">
        <v>1296</v>
      </c>
      <c r="C1299" s="1" t="s">
        <v>249</v>
      </c>
      <c r="D1299" s="3">
        <f t="shared" si="189"/>
        <v>8553</v>
      </c>
      <c r="E1299" s="2">
        <f t="shared" si="190"/>
        <v>43709</v>
      </c>
      <c r="F1299" s="2">
        <f t="shared" si="191"/>
        <v>45657</v>
      </c>
    </row>
    <row r="1300" spans="1:6" x14ac:dyDescent="0.25">
      <c r="A1300" s="1" t="s">
        <v>1253</v>
      </c>
      <c r="B1300" s="1" t="s">
        <v>1296</v>
      </c>
      <c r="C1300" s="1" t="s">
        <v>87</v>
      </c>
      <c r="D1300" s="3">
        <f t="shared" si="189"/>
        <v>8553</v>
      </c>
      <c r="E1300" s="2">
        <f t="shared" si="190"/>
        <v>43709</v>
      </c>
      <c r="F1300" s="2">
        <f t="shared" si="191"/>
        <v>45657</v>
      </c>
    </row>
    <row r="1301" spans="1:6" x14ac:dyDescent="0.25">
      <c r="A1301" s="1" t="s">
        <v>1253</v>
      </c>
      <c r="B1301" s="1" t="s">
        <v>1296</v>
      </c>
      <c r="C1301" s="1" t="s">
        <v>14</v>
      </c>
      <c r="D1301" s="3">
        <f t="shared" si="189"/>
        <v>8553</v>
      </c>
      <c r="E1301" s="2">
        <f t="shared" si="190"/>
        <v>43709</v>
      </c>
      <c r="F1301" s="2">
        <f t="shared" si="191"/>
        <v>45657</v>
      </c>
    </row>
    <row r="1302" spans="1:6" x14ac:dyDescent="0.25">
      <c r="A1302" s="1" t="s">
        <v>1253</v>
      </c>
      <c r="B1302" s="1" t="s">
        <v>1296</v>
      </c>
      <c r="C1302" s="1" t="s">
        <v>66</v>
      </c>
      <c r="D1302" s="3">
        <f t="shared" si="189"/>
        <v>8553</v>
      </c>
      <c r="E1302" s="2">
        <f t="shared" si="190"/>
        <v>43709</v>
      </c>
      <c r="F1302" s="2">
        <f t="shared" si="191"/>
        <v>45657</v>
      </c>
    </row>
    <row r="1303" spans="1:6" x14ac:dyDescent="0.25">
      <c r="A1303" s="1" t="s">
        <v>1253</v>
      </c>
      <c r="B1303" s="1" t="s">
        <v>1296</v>
      </c>
      <c r="C1303" s="1" t="s">
        <v>15</v>
      </c>
      <c r="D1303" s="3">
        <f t="shared" si="189"/>
        <v>8553</v>
      </c>
      <c r="E1303" s="2">
        <f t="shared" si="190"/>
        <v>43709</v>
      </c>
      <c r="F1303" s="2">
        <f t="shared" si="191"/>
        <v>45657</v>
      </c>
    </row>
    <row r="1304" spans="1:6" x14ac:dyDescent="0.25">
      <c r="A1304" s="1" t="s">
        <v>1253</v>
      </c>
      <c r="B1304" s="1" t="s">
        <v>1296</v>
      </c>
      <c r="C1304" s="1" t="s">
        <v>88</v>
      </c>
      <c r="D1304" s="3">
        <f t="shared" si="189"/>
        <v>8553</v>
      </c>
      <c r="E1304" s="2">
        <f t="shared" si="190"/>
        <v>43709</v>
      </c>
      <c r="F1304" s="2">
        <f t="shared" si="191"/>
        <v>45657</v>
      </c>
    </row>
    <row r="1305" spans="1:6" x14ac:dyDescent="0.25">
      <c r="A1305" s="1" t="s">
        <v>1253</v>
      </c>
      <c r="B1305" s="1" t="s">
        <v>1296</v>
      </c>
      <c r="C1305" s="1" t="s">
        <v>89</v>
      </c>
      <c r="D1305" s="3">
        <f t="shared" si="189"/>
        <v>8553</v>
      </c>
      <c r="E1305" s="2">
        <f t="shared" si="190"/>
        <v>43709</v>
      </c>
      <c r="F1305" s="2">
        <f t="shared" si="191"/>
        <v>45657</v>
      </c>
    </row>
    <row r="1306" spans="1:6" x14ac:dyDescent="0.25">
      <c r="A1306" s="1" t="s">
        <v>1253</v>
      </c>
      <c r="B1306" s="1" t="s">
        <v>1296</v>
      </c>
      <c r="C1306" s="1" t="s">
        <v>17</v>
      </c>
      <c r="D1306" s="3">
        <f t="shared" si="189"/>
        <v>8553</v>
      </c>
      <c r="E1306" s="2">
        <f t="shared" si="190"/>
        <v>43709</v>
      </c>
      <c r="F1306" s="2">
        <f t="shared" si="191"/>
        <v>45657</v>
      </c>
    </row>
    <row r="1307" spans="1:6" x14ac:dyDescent="0.25">
      <c r="A1307" s="1" t="s">
        <v>1253</v>
      </c>
      <c r="B1307" s="1" t="s">
        <v>1296</v>
      </c>
      <c r="C1307" s="1" t="s">
        <v>441</v>
      </c>
      <c r="D1307" s="3">
        <f t="shared" ref="D1307:D1338" si="192">VALUE("8553")</f>
        <v>8553</v>
      </c>
      <c r="E1307" s="2">
        <f t="shared" ref="E1307:E1338" si="193">DATEVALUE("1-9-2019")</f>
        <v>43709</v>
      </c>
      <c r="F1307" s="2">
        <f t="shared" ref="F1307:F1338" si="194">DATEVALUE("31-12-2024")</f>
        <v>45657</v>
      </c>
    </row>
    <row r="1308" spans="1:6" x14ac:dyDescent="0.25">
      <c r="A1308" s="1" t="s">
        <v>1253</v>
      </c>
      <c r="B1308" s="1" t="s">
        <v>1296</v>
      </c>
      <c r="C1308" s="1" t="s">
        <v>742</v>
      </c>
      <c r="D1308" s="3">
        <f t="shared" si="192"/>
        <v>8553</v>
      </c>
      <c r="E1308" s="2">
        <f t="shared" si="193"/>
        <v>43709</v>
      </c>
      <c r="F1308" s="2">
        <f t="shared" si="194"/>
        <v>45657</v>
      </c>
    </row>
    <row r="1309" spans="1:6" x14ac:dyDescent="0.25">
      <c r="A1309" s="1" t="s">
        <v>1253</v>
      </c>
      <c r="B1309" s="1" t="s">
        <v>1296</v>
      </c>
      <c r="C1309" s="1" t="s">
        <v>257</v>
      </c>
      <c r="D1309" s="3">
        <f t="shared" si="192"/>
        <v>8553</v>
      </c>
      <c r="E1309" s="2">
        <f t="shared" si="193"/>
        <v>43709</v>
      </c>
      <c r="F1309" s="2">
        <f t="shared" si="194"/>
        <v>45657</v>
      </c>
    </row>
    <row r="1310" spans="1:6" x14ac:dyDescent="0.25">
      <c r="A1310" s="1" t="s">
        <v>1253</v>
      </c>
      <c r="B1310" s="1" t="s">
        <v>1296</v>
      </c>
      <c r="C1310" s="1" t="s">
        <v>488</v>
      </c>
      <c r="D1310" s="3">
        <f t="shared" si="192"/>
        <v>8553</v>
      </c>
      <c r="E1310" s="2">
        <f t="shared" si="193"/>
        <v>43709</v>
      </c>
      <c r="F1310" s="2">
        <f t="shared" si="194"/>
        <v>45657</v>
      </c>
    </row>
    <row r="1311" spans="1:6" x14ac:dyDescent="0.25">
      <c r="A1311" s="1" t="s">
        <v>1253</v>
      </c>
      <c r="B1311" s="1" t="s">
        <v>1296</v>
      </c>
      <c r="C1311" s="1" t="s">
        <v>1314</v>
      </c>
      <c r="D1311" s="3">
        <f t="shared" si="192"/>
        <v>8553</v>
      </c>
      <c r="E1311" s="2">
        <f t="shared" si="193"/>
        <v>43709</v>
      </c>
      <c r="F1311" s="2">
        <f t="shared" si="194"/>
        <v>45657</v>
      </c>
    </row>
    <row r="1312" spans="1:6" x14ac:dyDescent="0.25">
      <c r="A1312" s="1" t="s">
        <v>1253</v>
      </c>
      <c r="B1312" s="1" t="s">
        <v>1296</v>
      </c>
      <c r="C1312" s="1" t="s">
        <v>291</v>
      </c>
      <c r="D1312" s="3">
        <f t="shared" si="192"/>
        <v>8553</v>
      </c>
      <c r="E1312" s="2">
        <f t="shared" si="193"/>
        <v>43709</v>
      </c>
      <c r="F1312" s="2">
        <f t="shared" si="194"/>
        <v>45657</v>
      </c>
    </row>
    <row r="1313" spans="1:6" x14ac:dyDescent="0.25">
      <c r="A1313" s="1" t="s">
        <v>1253</v>
      </c>
      <c r="B1313" s="1" t="s">
        <v>1296</v>
      </c>
      <c r="C1313" s="1" t="s">
        <v>22</v>
      </c>
      <c r="D1313" s="3">
        <f t="shared" si="192"/>
        <v>8553</v>
      </c>
      <c r="E1313" s="2">
        <f t="shared" si="193"/>
        <v>43709</v>
      </c>
      <c r="F1313" s="2">
        <f t="shared" si="194"/>
        <v>45657</v>
      </c>
    </row>
    <row r="1314" spans="1:6" x14ac:dyDescent="0.25">
      <c r="A1314" s="1" t="s">
        <v>1253</v>
      </c>
      <c r="B1314" s="1" t="s">
        <v>1296</v>
      </c>
      <c r="C1314" s="1" t="s">
        <v>146</v>
      </c>
      <c r="D1314" s="3">
        <f t="shared" si="192"/>
        <v>8553</v>
      </c>
      <c r="E1314" s="2">
        <f t="shared" si="193"/>
        <v>43709</v>
      </c>
      <c r="F1314" s="2">
        <f t="shared" si="194"/>
        <v>45657</v>
      </c>
    </row>
    <row r="1315" spans="1:6" x14ac:dyDescent="0.25">
      <c r="A1315" s="1" t="s">
        <v>1253</v>
      </c>
      <c r="B1315" s="1" t="s">
        <v>1296</v>
      </c>
      <c r="C1315" s="1" t="s">
        <v>67</v>
      </c>
      <c r="D1315" s="3">
        <f t="shared" si="192"/>
        <v>8553</v>
      </c>
      <c r="E1315" s="2">
        <f t="shared" si="193"/>
        <v>43709</v>
      </c>
      <c r="F1315" s="2">
        <f t="shared" si="194"/>
        <v>45657</v>
      </c>
    </row>
    <row r="1316" spans="1:6" x14ac:dyDescent="0.25">
      <c r="A1316" s="1" t="s">
        <v>1253</v>
      </c>
      <c r="B1316" s="1" t="s">
        <v>1296</v>
      </c>
      <c r="C1316" s="1" t="s">
        <v>384</v>
      </c>
      <c r="D1316" s="3">
        <f t="shared" si="192"/>
        <v>8553</v>
      </c>
      <c r="E1316" s="2">
        <f t="shared" si="193"/>
        <v>43709</v>
      </c>
      <c r="F1316" s="2">
        <f t="shared" si="194"/>
        <v>45657</v>
      </c>
    </row>
    <row r="1317" spans="1:6" x14ac:dyDescent="0.25">
      <c r="A1317" s="1" t="s">
        <v>1253</v>
      </c>
      <c r="B1317" s="1" t="s">
        <v>1296</v>
      </c>
      <c r="C1317" s="1" t="s">
        <v>538</v>
      </c>
      <c r="D1317" s="3">
        <f t="shared" si="192"/>
        <v>8553</v>
      </c>
      <c r="E1317" s="2">
        <f t="shared" si="193"/>
        <v>43709</v>
      </c>
      <c r="F1317" s="2">
        <f t="shared" si="194"/>
        <v>45657</v>
      </c>
    </row>
    <row r="1318" spans="1:6" x14ac:dyDescent="0.25">
      <c r="A1318" s="1" t="s">
        <v>1253</v>
      </c>
      <c r="B1318" s="1" t="s">
        <v>1296</v>
      </c>
      <c r="C1318" s="1" t="s">
        <v>539</v>
      </c>
      <c r="D1318" s="3">
        <f t="shared" si="192"/>
        <v>8553</v>
      </c>
      <c r="E1318" s="2">
        <f t="shared" si="193"/>
        <v>43709</v>
      </c>
      <c r="F1318" s="2">
        <f t="shared" si="194"/>
        <v>45657</v>
      </c>
    </row>
    <row r="1319" spans="1:6" x14ac:dyDescent="0.25">
      <c r="A1319" s="1" t="s">
        <v>1253</v>
      </c>
      <c r="B1319" s="1" t="s">
        <v>1296</v>
      </c>
      <c r="C1319" s="1" t="s">
        <v>148</v>
      </c>
      <c r="D1319" s="3">
        <f t="shared" si="192"/>
        <v>8553</v>
      </c>
      <c r="E1319" s="2">
        <f t="shared" si="193"/>
        <v>43709</v>
      </c>
      <c r="F1319" s="2">
        <f t="shared" si="194"/>
        <v>45657</v>
      </c>
    </row>
    <row r="1320" spans="1:6" x14ac:dyDescent="0.25">
      <c r="A1320" s="1" t="s">
        <v>1253</v>
      </c>
      <c r="B1320" s="1" t="s">
        <v>1296</v>
      </c>
      <c r="C1320" s="1" t="s">
        <v>149</v>
      </c>
      <c r="D1320" s="3">
        <f t="shared" si="192"/>
        <v>8553</v>
      </c>
      <c r="E1320" s="2">
        <f t="shared" si="193"/>
        <v>43709</v>
      </c>
      <c r="F1320" s="2">
        <f t="shared" si="194"/>
        <v>45657</v>
      </c>
    </row>
    <row r="1321" spans="1:6" x14ac:dyDescent="0.25">
      <c r="A1321" s="1" t="s">
        <v>1253</v>
      </c>
      <c r="B1321" s="1" t="s">
        <v>1296</v>
      </c>
      <c r="C1321" s="1" t="s">
        <v>92</v>
      </c>
      <c r="D1321" s="3">
        <f t="shared" si="192"/>
        <v>8553</v>
      </c>
      <c r="E1321" s="2">
        <f t="shared" si="193"/>
        <v>43709</v>
      </c>
      <c r="F1321" s="2">
        <f t="shared" si="194"/>
        <v>45657</v>
      </c>
    </row>
    <row r="1322" spans="1:6" x14ac:dyDescent="0.25">
      <c r="A1322" s="1" t="s">
        <v>1253</v>
      </c>
      <c r="B1322" s="1" t="s">
        <v>1296</v>
      </c>
      <c r="C1322" s="1" t="s">
        <v>151</v>
      </c>
      <c r="D1322" s="3">
        <f t="shared" si="192"/>
        <v>8553</v>
      </c>
      <c r="E1322" s="2">
        <f t="shared" si="193"/>
        <v>43709</v>
      </c>
      <c r="F1322" s="2">
        <f t="shared" si="194"/>
        <v>45657</v>
      </c>
    </row>
    <row r="1323" spans="1:6" x14ac:dyDescent="0.25">
      <c r="A1323" s="1" t="s">
        <v>1253</v>
      </c>
      <c r="B1323" s="1" t="s">
        <v>1296</v>
      </c>
      <c r="C1323" s="1" t="s">
        <v>1315</v>
      </c>
      <c r="D1323" s="3">
        <f t="shared" si="192"/>
        <v>8553</v>
      </c>
      <c r="E1323" s="2">
        <f t="shared" si="193"/>
        <v>43709</v>
      </c>
      <c r="F1323" s="2">
        <f t="shared" si="194"/>
        <v>45657</v>
      </c>
    </row>
    <row r="1324" spans="1:6" x14ac:dyDescent="0.25">
      <c r="A1324" s="1" t="s">
        <v>1253</v>
      </c>
      <c r="B1324" s="1" t="s">
        <v>1296</v>
      </c>
      <c r="C1324" s="1" t="s">
        <v>1316</v>
      </c>
      <c r="D1324" s="3">
        <f t="shared" si="192"/>
        <v>8553</v>
      </c>
      <c r="E1324" s="2">
        <f t="shared" si="193"/>
        <v>43709</v>
      </c>
      <c r="F1324" s="2">
        <f t="shared" si="194"/>
        <v>45657</v>
      </c>
    </row>
    <row r="1325" spans="1:6" x14ac:dyDescent="0.25">
      <c r="A1325" s="1" t="s">
        <v>1253</v>
      </c>
      <c r="B1325" s="1" t="s">
        <v>1296</v>
      </c>
      <c r="C1325" s="1" t="s">
        <v>1317</v>
      </c>
      <c r="D1325" s="3">
        <f t="shared" si="192"/>
        <v>8553</v>
      </c>
      <c r="E1325" s="2">
        <f t="shared" si="193"/>
        <v>43709</v>
      </c>
      <c r="F1325" s="2">
        <f t="shared" si="194"/>
        <v>45657</v>
      </c>
    </row>
    <row r="1326" spans="1:6" x14ac:dyDescent="0.25">
      <c r="A1326" s="1" t="s">
        <v>1253</v>
      </c>
      <c r="B1326" s="1" t="s">
        <v>1296</v>
      </c>
      <c r="C1326" s="1" t="s">
        <v>1318</v>
      </c>
      <c r="D1326" s="3">
        <f t="shared" si="192"/>
        <v>8553</v>
      </c>
      <c r="E1326" s="2">
        <f t="shared" si="193"/>
        <v>43709</v>
      </c>
      <c r="F1326" s="2">
        <f t="shared" si="194"/>
        <v>45657</v>
      </c>
    </row>
    <row r="1327" spans="1:6" x14ac:dyDescent="0.25">
      <c r="A1327" s="1" t="s">
        <v>1253</v>
      </c>
      <c r="B1327" s="1" t="s">
        <v>1296</v>
      </c>
      <c r="C1327" s="1" t="s">
        <v>1319</v>
      </c>
      <c r="D1327" s="3">
        <f t="shared" si="192"/>
        <v>8553</v>
      </c>
      <c r="E1327" s="2">
        <f t="shared" si="193"/>
        <v>43709</v>
      </c>
      <c r="F1327" s="2">
        <f t="shared" si="194"/>
        <v>45657</v>
      </c>
    </row>
    <row r="1328" spans="1:6" x14ac:dyDescent="0.25">
      <c r="A1328" s="1" t="s">
        <v>1253</v>
      </c>
      <c r="B1328" s="1" t="s">
        <v>1296</v>
      </c>
      <c r="C1328" s="1" t="s">
        <v>1320</v>
      </c>
      <c r="D1328" s="3">
        <f t="shared" si="192"/>
        <v>8553</v>
      </c>
      <c r="E1328" s="2">
        <f t="shared" si="193"/>
        <v>43709</v>
      </c>
      <c r="F1328" s="2">
        <f t="shared" si="194"/>
        <v>45657</v>
      </c>
    </row>
    <row r="1329" spans="1:6" x14ac:dyDescent="0.25">
      <c r="A1329" s="1" t="s">
        <v>1253</v>
      </c>
      <c r="B1329" s="1" t="s">
        <v>1296</v>
      </c>
      <c r="C1329" s="1" t="s">
        <v>1321</v>
      </c>
      <c r="D1329" s="3">
        <f t="shared" si="192"/>
        <v>8553</v>
      </c>
      <c r="E1329" s="2">
        <f t="shared" si="193"/>
        <v>43709</v>
      </c>
      <c r="F1329" s="2">
        <f t="shared" si="194"/>
        <v>45657</v>
      </c>
    </row>
    <row r="1330" spans="1:6" x14ac:dyDescent="0.25">
      <c r="A1330" s="1" t="s">
        <v>1253</v>
      </c>
      <c r="B1330" s="1" t="s">
        <v>1296</v>
      </c>
      <c r="C1330" s="1" t="s">
        <v>1322</v>
      </c>
      <c r="D1330" s="3">
        <f t="shared" si="192"/>
        <v>8553</v>
      </c>
      <c r="E1330" s="2">
        <f t="shared" si="193"/>
        <v>43709</v>
      </c>
      <c r="F1330" s="2">
        <f t="shared" si="194"/>
        <v>45657</v>
      </c>
    </row>
    <row r="1331" spans="1:6" x14ac:dyDescent="0.25">
      <c r="A1331" s="1" t="s">
        <v>1253</v>
      </c>
      <c r="B1331" s="1" t="s">
        <v>1296</v>
      </c>
      <c r="C1331" s="1" t="s">
        <v>1323</v>
      </c>
      <c r="D1331" s="3">
        <f t="shared" si="192"/>
        <v>8553</v>
      </c>
      <c r="E1331" s="2">
        <f t="shared" si="193"/>
        <v>43709</v>
      </c>
      <c r="F1331" s="2">
        <f t="shared" si="194"/>
        <v>45657</v>
      </c>
    </row>
    <row r="1332" spans="1:6" x14ac:dyDescent="0.25">
      <c r="A1332" s="1" t="s">
        <v>1253</v>
      </c>
      <c r="B1332" s="1" t="s">
        <v>1296</v>
      </c>
      <c r="C1332" s="1" t="s">
        <v>212</v>
      </c>
      <c r="D1332" s="3">
        <f t="shared" si="192"/>
        <v>8553</v>
      </c>
      <c r="E1332" s="2">
        <f t="shared" si="193"/>
        <v>43709</v>
      </c>
      <c r="F1332" s="2">
        <f t="shared" si="194"/>
        <v>45657</v>
      </c>
    </row>
    <row r="1333" spans="1:6" x14ac:dyDescent="0.25">
      <c r="A1333" s="1" t="s">
        <v>1253</v>
      </c>
      <c r="B1333" s="1" t="s">
        <v>1296</v>
      </c>
      <c r="C1333" s="1" t="s">
        <v>24</v>
      </c>
      <c r="D1333" s="3">
        <f t="shared" si="192"/>
        <v>8553</v>
      </c>
      <c r="E1333" s="2">
        <f t="shared" si="193"/>
        <v>43709</v>
      </c>
      <c r="F1333" s="2">
        <f t="shared" si="194"/>
        <v>45657</v>
      </c>
    </row>
    <row r="1334" spans="1:6" x14ac:dyDescent="0.25">
      <c r="A1334" s="1" t="s">
        <v>1253</v>
      </c>
      <c r="B1334" s="1" t="s">
        <v>1296</v>
      </c>
      <c r="C1334" s="1" t="s">
        <v>72</v>
      </c>
      <c r="D1334" s="3">
        <f t="shared" si="192"/>
        <v>8553</v>
      </c>
      <c r="E1334" s="2">
        <f t="shared" si="193"/>
        <v>43709</v>
      </c>
      <c r="F1334" s="2">
        <f t="shared" si="194"/>
        <v>45657</v>
      </c>
    </row>
    <row r="1335" spans="1:6" x14ac:dyDescent="0.25">
      <c r="A1335" s="1" t="s">
        <v>1253</v>
      </c>
      <c r="B1335" s="1" t="s">
        <v>1296</v>
      </c>
      <c r="C1335" s="1" t="s">
        <v>548</v>
      </c>
      <c r="D1335" s="3">
        <f t="shared" si="192"/>
        <v>8553</v>
      </c>
      <c r="E1335" s="2">
        <f t="shared" si="193"/>
        <v>43709</v>
      </c>
      <c r="F1335" s="2">
        <f t="shared" si="194"/>
        <v>45657</v>
      </c>
    </row>
    <row r="1336" spans="1:6" x14ac:dyDescent="0.25">
      <c r="A1336" s="1" t="s">
        <v>1253</v>
      </c>
      <c r="B1336" s="1" t="s">
        <v>1296</v>
      </c>
      <c r="C1336" s="1" t="s">
        <v>158</v>
      </c>
      <c r="D1336" s="3">
        <f t="shared" si="192"/>
        <v>8553</v>
      </c>
      <c r="E1336" s="2">
        <f t="shared" si="193"/>
        <v>43709</v>
      </c>
      <c r="F1336" s="2">
        <f t="shared" si="194"/>
        <v>45657</v>
      </c>
    </row>
    <row r="1337" spans="1:6" x14ac:dyDescent="0.25">
      <c r="A1337" s="1" t="s">
        <v>1253</v>
      </c>
      <c r="B1337" s="1" t="s">
        <v>1296</v>
      </c>
      <c r="C1337" s="1" t="s">
        <v>73</v>
      </c>
      <c r="D1337" s="3">
        <f t="shared" si="192"/>
        <v>8553</v>
      </c>
      <c r="E1337" s="2">
        <f t="shared" si="193"/>
        <v>43709</v>
      </c>
      <c r="F1337" s="2">
        <f t="shared" si="194"/>
        <v>45657</v>
      </c>
    </row>
    <row r="1338" spans="1:6" x14ac:dyDescent="0.25">
      <c r="A1338" s="1" t="s">
        <v>1253</v>
      </c>
      <c r="B1338" s="1" t="s">
        <v>1296</v>
      </c>
      <c r="C1338" s="1" t="s">
        <v>52</v>
      </c>
      <c r="D1338" s="3">
        <f t="shared" si="192"/>
        <v>8553</v>
      </c>
      <c r="E1338" s="2">
        <f t="shared" si="193"/>
        <v>43709</v>
      </c>
      <c r="F1338" s="2">
        <f t="shared" si="194"/>
        <v>45657</v>
      </c>
    </row>
    <row r="1339" spans="1:6" x14ac:dyDescent="0.25">
      <c r="A1339" s="1" t="s">
        <v>1253</v>
      </c>
      <c r="B1339" s="1" t="s">
        <v>1296</v>
      </c>
      <c r="C1339" s="1" t="s">
        <v>1324</v>
      </c>
      <c r="D1339" s="3">
        <f t="shared" ref="D1339:D1352" si="195">VALUE("8553")</f>
        <v>8553</v>
      </c>
      <c r="E1339" s="2">
        <f t="shared" ref="E1339:E1369" si="196">DATEVALUE("1-9-2019")</f>
        <v>43709</v>
      </c>
      <c r="F1339" s="2">
        <f t="shared" ref="F1339:F1352" si="197">DATEVALUE("31-12-2024")</f>
        <v>45657</v>
      </c>
    </row>
    <row r="1340" spans="1:6" x14ac:dyDescent="0.25">
      <c r="A1340" s="1" t="s">
        <v>1253</v>
      </c>
      <c r="B1340" s="1" t="s">
        <v>1296</v>
      </c>
      <c r="C1340" s="1" t="s">
        <v>376</v>
      </c>
      <c r="D1340" s="3">
        <f t="shared" si="195"/>
        <v>8553</v>
      </c>
      <c r="E1340" s="2">
        <f t="shared" si="196"/>
        <v>43709</v>
      </c>
      <c r="F1340" s="2">
        <f t="shared" si="197"/>
        <v>45657</v>
      </c>
    </row>
    <row r="1341" spans="1:6" x14ac:dyDescent="0.25">
      <c r="A1341" s="1" t="s">
        <v>1253</v>
      </c>
      <c r="B1341" s="1" t="s">
        <v>1296</v>
      </c>
      <c r="C1341" s="1" t="s">
        <v>377</v>
      </c>
      <c r="D1341" s="3">
        <f t="shared" si="195"/>
        <v>8553</v>
      </c>
      <c r="E1341" s="2">
        <f t="shared" si="196"/>
        <v>43709</v>
      </c>
      <c r="F1341" s="2">
        <f t="shared" si="197"/>
        <v>45657</v>
      </c>
    </row>
    <row r="1342" spans="1:6" x14ac:dyDescent="0.25">
      <c r="A1342" s="1" t="s">
        <v>1253</v>
      </c>
      <c r="B1342" s="1" t="s">
        <v>1296</v>
      </c>
      <c r="C1342" s="1" t="s">
        <v>160</v>
      </c>
      <c r="D1342" s="3">
        <f t="shared" si="195"/>
        <v>8553</v>
      </c>
      <c r="E1342" s="2">
        <f t="shared" si="196"/>
        <v>43709</v>
      </c>
      <c r="F1342" s="2">
        <f t="shared" si="197"/>
        <v>45657</v>
      </c>
    </row>
    <row r="1343" spans="1:6" x14ac:dyDescent="0.25">
      <c r="A1343" s="1" t="s">
        <v>1253</v>
      </c>
      <c r="B1343" s="1" t="s">
        <v>1296</v>
      </c>
      <c r="C1343" s="1" t="s">
        <v>402</v>
      </c>
      <c r="D1343" s="3">
        <f t="shared" si="195"/>
        <v>8553</v>
      </c>
      <c r="E1343" s="2">
        <f t="shared" si="196"/>
        <v>43709</v>
      </c>
      <c r="F1343" s="2">
        <f t="shared" si="197"/>
        <v>45657</v>
      </c>
    </row>
    <row r="1344" spans="1:6" x14ac:dyDescent="0.25">
      <c r="A1344" s="1" t="s">
        <v>1253</v>
      </c>
      <c r="B1344" s="1" t="s">
        <v>1296</v>
      </c>
      <c r="C1344" s="1" t="s">
        <v>378</v>
      </c>
      <c r="D1344" s="3">
        <f t="shared" si="195"/>
        <v>8553</v>
      </c>
      <c r="E1344" s="2">
        <f t="shared" si="196"/>
        <v>43709</v>
      </c>
      <c r="F1344" s="2">
        <f t="shared" si="197"/>
        <v>45657</v>
      </c>
    </row>
    <row r="1345" spans="1:6" x14ac:dyDescent="0.25">
      <c r="A1345" s="1" t="s">
        <v>1253</v>
      </c>
      <c r="B1345" s="1" t="s">
        <v>1296</v>
      </c>
      <c r="C1345" s="1" t="s">
        <v>448</v>
      </c>
      <c r="D1345" s="3">
        <f t="shared" si="195"/>
        <v>8553</v>
      </c>
      <c r="E1345" s="2">
        <f t="shared" si="196"/>
        <v>43709</v>
      </c>
      <c r="F1345" s="2">
        <f t="shared" si="197"/>
        <v>45657</v>
      </c>
    </row>
    <row r="1346" spans="1:6" x14ac:dyDescent="0.25">
      <c r="A1346" s="1" t="s">
        <v>1253</v>
      </c>
      <c r="B1346" s="1" t="s">
        <v>1296</v>
      </c>
      <c r="C1346" s="1" t="s">
        <v>983</v>
      </c>
      <c r="D1346" s="3">
        <f t="shared" si="195"/>
        <v>8553</v>
      </c>
      <c r="E1346" s="2">
        <f t="shared" si="196"/>
        <v>43709</v>
      </c>
      <c r="F1346" s="2">
        <f t="shared" si="197"/>
        <v>45657</v>
      </c>
    </row>
    <row r="1347" spans="1:6" x14ac:dyDescent="0.25">
      <c r="A1347" s="1" t="s">
        <v>1253</v>
      </c>
      <c r="B1347" s="1" t="s">
        <v>1296</v>
      </c>
      <c r="C1347" s="1" t="s">
        <v>34</v>
      </c>
      <c r="D1347" s="3">
        <f t="shared" si="195"/>
        <v>8553</v>
      </c>
      <c r="E1347" s="2">
        <f t="shared" si="196"/>
        <v>43709</v>
      </c>
      <c r="F1347" s="2">
        <f t="shared" si="197"/>
        <v>45657</v>
      </c>
    </row>
    <row r="1348" spans="1:6" x14ac:dyDescent="0.25">
      <c r="A1348" s="1" t="s">
        <v>1253</v>
      </c>
      <c r="B1348" s="1" t="s">
        <v>1296</v>
      </c>
      <c r="C1348" s="1" t="s">
        <v>306</v>
      </c>
      <c r="D1348" s="3">
        <f t="shared" si="195"/>
        <v>8553</v>
      </c>
      <c r="E1348" s="2">
        <f t="shared" si="196"/>
        <v>43709</v>
      </c>
      <c r="F1348" s="2">
        <f t="shared" si="197"/>
        <v>45657</v>
      </c>
    </row>
    <row r="1349" spans="1:6" x14ac:dyDescent="0.25">
      <c r="A1349" s="1" t="s">
        <v>1253</v>
      </c>
      <c r="B1349" s="1" t="s">
        <v>1296</v>
      </c>
      <c r="C1349" s="1" t="s">
        <v>379</v>
      </c>
      <c r="D1349" s="3">
        <f t="shared" si="195"/>
        <v>8553</v>
      </c>
      <c r="E1349" s="2">
        <f t="shared" si="196"/>
        <v>43709</v>
      </c>
      <c r="F1349" s="2">
        <f t="shared" si="197"/>
        <v>45657</v>
      </c>
    </row>
    <row r="1350" spans="1:6" x14ac:dyDescent="0.25">
      <c r="A1350" s="1" t="s">
        <v>1253</v>
      </c>
      <c r="B1350" s="1" t="s">
        <v>1296</v>
      </c>
      <c r="C1350" s="1" t="s">
        <v>380</v>
      </c>
      <c r="D1350" s="3">
        <f t="shared" si="195"/>
        <v>8553</v>
      </c>
      <c r="E1350" s="2">
        <f t="shared" si="196"/>
        <v>43709</v>
      </c>
      <c r="F1350" s="2">
        <f t="shared" si="197"/>
        <v>45657</v>
      </c>
    </row>
    <row r="1351" spans="1:6" x14ac:dyDescent="0.25">
      <c r="A1351" s="1" t="s">
        <v>1253</v>
      </c>
      <c r="B1351" s="1" t="s">
        <v>1296</v>
      </c>
      <c r="C1351" s="1" t="s">
        <v>381</v>
      </c>
      <c r="D1351" s="3">
        <f t="shared" si="195"/>
        <v>8553</v>
      </c>
      <c r="E1351" s="2">
        <f t="shared" si="196"/>
        <v>43709</v>
      </c>
      <c r="F1351" s="2">
        <f t="shared" si="197"/>
        <v>45657</v>
      </c>
    </row>
    <row r="1352" spans="1:6" x14ac:dyDescent="0.25">
      <c r="A1352" s="1" t="s">
        <v>1253</v>
      </c>
      <c r="B1352" s="1" t="s">
        <v>1296</v>
      </c>
      <c r="C1352" s="1" t="s">
        <v>36</v>
      </c>
      <c r="D1352" s="3">
        <f t="shared" si="195"/>
        <v>8553</v>
      </c>
      <c r="E1352" s="2">
        <f t="shared" si="196"/>
        <v>43709</v>
      </c>
      <c r="F1352" s="2">
        <f t="shared" si="197"/>
        <v>45657</v>
      </c>
    </row>
    <row r="1353" spans="1:6" x14ac:dyDescent="0.25">
      <c r="A1353" s="1" t="s">
        <v>1253</v>
      </c>
      <c r="B1353" s="1" t="s">
        <v>1810</v>
      </c>
      <c r="C1353" s="1" t="s">
        <v>7</v>
      </c>
      <c r="D1353" s="3">
        <f t="shared" ref="D1353:D1369" si="198">VALUE("8554")</f>
        <v>8554</v>
      </c>
      <c r="E1353" s="2">
        <f t="shared" si="196"/>
        <v>43709</v>
      </c>
      <c r="F1353" s="2">
        <f t="shared" ref="F1353:F1369" si="199">DATEVALUE("30-9-2020")</f>
        <v>44104</v>
      </c>
    </row>
    <row r="1354" spans="1:6" x14ac:dyDescent="0.25">
      <c r="A1354" s="1" t="s">
        <v>1253</v>
      </c>
      <c r="B1354" s="1" t="s">
        <v>1810</v>
      </c>
      <c r="C1354" s="1" t="s">
        <v>219</v>
      </c>
      <c r="D1354" s="3">
        <f t="shared" si="198"/>
        <v>8554</v>
      </c>
      <c r="E1354" s="2">
        <f t="shared" si="196"/>
        <v>43709</v>
      </c>
      <c r="F1354" s="2">
        <f t="shared" si="199"/>
        <v>44104</v>
      </c>
    </row>
    <row r="1355" spans="1:6" x14ac:dyDescent="0.25">
      <c r="A1355" s="1" t="s">
        <v>1253</v>
      </c>
      <c r="B1355" s="1" t="s">
        <v>1810</v>
      </c>
      <c r="C1355" s="1" t="s">
        <v>1811</v>
      </c>
      <c r="D1355" s="3">
        <f t="shared" si="198"/>
        <v>8554</v>
      </c>
      <c r="E1355" s="2">
        <f t="shared" si="196"/>
        <v>43709</v>
      </c>
      <c r="F1355" s="2">
        <f t="shared" si="199"/>
        <v>44104</v>
      </c>
    </row>
    <row r="1356" spans="1:6" x14ac:dyDescent="0.25">
      <c r="A1356" s="1" t="s">
        <v>1253</v>
      </c>
      <c r="B1356" s="1" t="s">
        <v>1810</v>
      </c>
      <c r="C1356" s="1" t="s">
        <v>1812</v>
      </c>
      <c r="D1356" s="3">
        <f t="shared" si="198"/>
        <v>8554</v>
      </c>
      <c r="E1356" s="2">
        <f t="shared" si="196"/>
        <v>43709</v>
      </c>
      <c r="F1356" s="2">
        <f t="shared" si="199"/>
        <v>44104</v>
      </c>
    </row>
    <row r="1357" spans="1:6" x14ac:dyDescent="0.25">
      <c r="A1357" s="1" t="s">
        <v>1253</v>
      </c>
      <c r="B1357" s="1" t="s">
        <v>1810</v>
      </c>
      <c r="C1357" s="1" t="s">
        <v>1813</v>
      </c>
      <c r="D1357" s="3">
        <f t="shared" si="198"/>
        <v>8554</v>
      </c>
      <c r="E1357" s="2">
        <f t="shared" si="196"/>
        <v>43709</v>
      </c>
      <c r="F1357" s="2">
        <f t="shared" si="199"/>
        <v>44104</v>
      </c>
    </row>
    <row r="1358" spans="1:6" x14ac:dyDescent="0.25">
      <c r="A1358" s="1" t="s">
        <v>1253</v>
      </c>
      <c r="B1358" s="1" t="s">
        <v>1810</v>
      </c>
      <c r="C1358" s="1" t="s">
        <v>1814</v>
      </c>
      <c r="D1358" s="3">
        <f t="shared" si="198"/>
        <v>8554</v>
      </c>
      <c r="E1358" s="2">
        <f t="shared" si="196"/>
        <v>43709</v>
      </c>
      <c r="F1358" s="2">
        <f t="shared" si="199"/>
        <v>44104</v>
      </c>
    </row>
    <row r="1359" spans="1:6" x14ac:dyDescent="0.25">
      <c r="A1359" s="1" t="s">
        <v>1253</v>
      </c>
      <c r="B1359" s="1" t="s">
        <v>1810</v>
      </c>
      <c r="C1359" s="1" t="s">
        <v>1680</v>
      </c>
      <c r="D1359" s="3">
        <f t="shared" si="198"/>
        <v>8554</v>
      </c>
      <c r="E1359" s="2">
        <f t="shared" si="196"/>
        <v>43709</v>
      </c>
      <c r="F1359" s="2">
        <f t="shared" si="199"/>
        <v>44104</v>
      </c>
    </row>
    <row r="1360" spans="1:6" x14ac:dyDescent="0.25">
      <c r="A1360" s="1" t="s">
        <v>1253</v>
      </c>
      <c r="B1360" s="1" t="s">
        <v>1810</v>
      </c>
      <c r="C1360" s="1" t="s">
        <v>1681</v>
      </c>
      <c r="D1360" s="3">
        <f t="shared" si="198"/>
        <v>8554</v>
      </c>
      <c r="E1360" s="2">
        <f t="shared" si="196"/>
        <v>43709</v>
      </c>
      <c r="F1360" s="2">
        <f t="shared" si="199"/>
        <v>44104</v>
      </c>
    </row>
    <row r="1361" spans="1:6" x14ac:dyDescent="0.25">
      <c r="A1361" s="1" t="s">
        <v>1253</v>
      </c>
      <c r="B1361" s="1" t="s">
        <v>1810</v>
      </c>
      <c r="C1361" s="1" t="s">
        <v>1682</v>
      </c>
      <c r="D1361" s="3">
        <f t="shared" si="198"/>
        <v>8554</v>
      </c>
      <c r="E1361" s="2">
        <f t="shared" si="196"/>
        <v>43709</v>
      </c>
      <c r="F1361" s="2">
        <f t="shared" si="199"/>
        <v>44104</v>
      </c>
    </row>
    <row r="1362" spans="1:6" x14ac:dyDescent="0.25">
      <c r="A1362" s="1" t="s">
        <v>1253</v>
      </c>
      <c r="B1362" s="1" t="s">
        <v>1810</v>
      </c>
      <c r="C1362" s="1" t="s">
        <v>1683</v>
      </c>
      <c r="D1362" s="3">
        <f t="shared" si="198"/>
        <v>8554</v>
      </c>
      <c r="E1362" s="2">
        <f t="shared" si="196"/>
        <v>43709</v>
      </c>
      <c r="F1362" s="2">
        <f t="shared" si="199"/>
        <v>44104</v>
      </c>
    </row>
    <row r="1363" spans="1:6" x14ac:dyDescent="0.25">
      <c r="A1363" s="1" t="s">
        <v>1253</v>
      </c>
      <c r="B1363" s="1" t="s">
        <v>1810</v>
      </c>
      <c r="C1363" s="1" t="s">
        <v>1684</v>
      </c>
      <c r="D1363" s="3">
        <f t="shared" si="198"/>
        <v>8554</v>
      </c>
      <c r="E1363" s="2">
        <f t="shared" si="196"/>
        <v>43709</v>
      </c>
      <c r="F1363" s="2">
        <f t="shared" si="199"/>
        <v>44104</v>
      </c>
    </row>
    <row r="1364" spans="1:6" x14ac:dyDescent="0.25">
      <c r="A1364" s="1" t="s">
        <v>1253</v>
      </c>
      <c r="B1364" s="1" t="s">
        <v>1810</v>
      </c>
      <c r="C1364" s="1" t="s">
        <v>1685</v>
      </c>
      <c r="D1364" s="3">
        <f t="shared" si="198"/>
        <v>8554</v>
      </c>
      <c r="E1364" s="2">
        <f t="shared" si="196"/>
        <v>43709</v>
      </c>
      <c r="F1364" s="2">
        <f t="shared" si="199"/>
        <v>44104</v>
      </c>
    </row>
    <row r="1365" spans="1:6" x14ac:dyDescent="0.25">
      <c r="A1365" s="1" t="s">
        <v>1253</v>
      </c>
      <c r="B1365" s="1" t="s">
        <v>1810</v>
      </c>
      <c r="C1365" s="1" t="s">
        <v>1686</v>
      </c>
      <c r="D1365" s="3">
        <f t="shared" si="198"/>
        <v>8554</v>
      </c>
      <c r="E1365" s="2">
        <f t="shared" si="196"/>
        <v>43709</v>
      </c>
      <c r="F1365" s="2">
        <f t="shared" si="199"/>
        <v>44104</v>
      </c>
    </row>
    <row r="1366" spans="1:6" x14ac:dyDescent="0.25">
      <c r="A1366" s="1" t="s">
        <v>1253</v>
      </c>
      <c r="B1366" s="1" t="s">
        <v>1810</v>
      </c>
      <c r="C1366" s="1" t="s">
        <v>1687</v>
      </c>
      <c r="D1366" s="3">
        <f t="shared" si="198"/>
        <v>8554</v>
      </c>
      <c r="E1366" s="2">
        <f t="shared" si="196"/>
        <v>43709</v>
      </c>
      <c r="F1366" s="2">
        <f t="shared" si="199"/>
        <v>44104</v>
      </c>
    </row>
    <row r="1367" spans="1:6" x14ac:dyDescent="0.25">
      <c r="A1367" s="1" t="s">
        <v>1253</v>
      </c>
      <c r="B1367" s="1" t="s">
        <v>1810</v>
      </c>
      <c r="C1367" s="1" t="s">
        <v>1688</v>
      </c>
      <c r="D1367" s="3">
        <f t="shared" si="198"/>
        <v>8554</v>
      </c>
      <c r="E1367" s="2">
        <f t="shared" si="196"/>
        <v>43709</v>
      </c>
      <c r="F1367" s="2">
        <f t="shared" si="199"/>
        <v>44104</v>
      </c>
    </row>
    <row r="1368" spans="1:6" x14ac:dyDescent="0.25">
      <c r="A1368" s="1" t="s">
        <v>1253</v>
      </c>
      <c r="B1368" s="1" t="s">
        <v>1810</v>
      </c>
      <c r="C1368" s="1" t="s">
        <v>240</v>
      </c>
      <c r="D1368" s="3">
        <f t="shared" si="198"/>
        <v>8554</v>
      </c>
      <c r="E1368" s="2">
        <f t="shared" si="196"/>
        <v>43709</v>
      </c>
      <c r="F1368" s="2">
        <f t="shared" si="199"/>
        <v>44104</v>
      </c>
    </row>
    <row r="1369" spans="1:6" x14ac:dyDescent="0.25">
      <c r="A1369" s="1" t="s">
        <v>1253</v>
      </c>
      <c r="B1369" s="1" t="s">
        <v>1810</v>
      </c>
      <c r="C1369" s="1" t="s">
        <v>1815</v>
      </c>
      <c r="D1369" s="3">
        <f t="shared" si="198"/>
        <v>8554</v>
      </c>
      <c r="E1369" s="2">
        <f t="shared" si="196"/>
        <v>43709</v>
      </c>
      <c r="F1369" s="2">
        <f t="shared" si="199"/>
        <v>44104</v>
      </c>
    </row>
    <row r="1370" spans="1:6" x14ac:dyDescent="0.25">
      <c r="A1370" s="1" t="s">
        <v>1253</v>
      </c>
      <c r="B1370" s="1" t="s">
        <v>1280</v>
      </c>
      <c r="C1370" s="1" t="s">
        <v>1281</v>
      </c>
      <c r="D1370" s="3">
        <f>VALUE("8539")</f>
        <v>8539</v>
      </c>
      <c r="E1370" s="2">
        <f>DATEVALUE("1-7-2019")</f>
        <v>43647</v>
      </c>
      <c r="F1370" s="2">
        <f>DATEVALUE("31-5-2020")</f>
        <v>43982</v>
      </c>
    </row>
    <row r="1371" spans="1:6" x14ac:dyDescent="0.25">
      <c r="A1371" s="1" t="s">
        <v>1253</v>
      </c>
      <c r="B1371" s="1" t="s">
        <v>1280</v>
      </c>
      <c r="C1371" s="1" t="s">
        <v>7</v>
      </c>
      <c r="D1371" s="3">
        <f>VALUE("8539")</f>
        <v>8539</v>
      </c>
      <c r="E1371" s="2">
        <f>DATEVALUE("1-7-2019")</f>
        <v>43647</v>
      </c>
      <c r="F1371" s="2">
        <f>DATEVALUE("31-5-2020")</f>
        <v>43982</v>
      </c>
    </row>
    <row r="1372" spans="1:6" x14ac:dyDescent="0.25">
      <c r="A1372" s="1" t="s">
        <v>1253</v>
      </c>
      <c r="B1372" s="1" t="s">
        <v>1280</v>
      </c>
      <c r="C1372" s="1" t="s">
        <v>5</v>
      </c>
      <c r="D1372" s="3">
        <f>VALUE("8539")</f>
        <v>8539</v>
      </c>
      <c r="E1372" s="2">
        <f>DATEVALUE("1-7-2019")</f>
        <v>43647</v>
      </c>
      <c r="F1372" s="2">
        <f>DATEVALUE("31-5-2020")</f>
        <v>43982</v>
      </c>
    </row>
    <row r="1373" spans="1:6" x14ac:dyDescent="0.25">
      <c r="A1373" s="1" t="s">
        <v>1253</v>
      </c>
      <c r="B1373" s="1" t="s">
        <v>1252</v>
      </c>
      <c r="C1373" s="1" t="s">
        <v>16</v>
      </c>
      <c r="D1373" s="3">
        <f t="shared" ref="D1373:D1379" si="200">VALUE("8499")</f>
        <v>8499</v>
      </c>
      <c r="E1373" s="2">
        <f t="shared" ref="E1373:E1379" si="201">DATEVALUE("1-4-2019")</f>
        <v>43556</v>
      </c>
      <c r="F1373" s="2">
        <f t="shared" ref="F1373:F1379" si="202">DATEVALUE("31-12-2020")</f>
        <v>44196</v>
      </c>
    </row>
    <row r="1374" spans="1:6" x14ac:dyDescent="0.25">
      <c r="A1374" s="1" t="s">
        <v>1253</v>
      </c>
      <c r="B1374" s="1" t="s">
        <v>1252</v>
      </c>
      <c r="C1374" s="1" t="s">
        <v>17</v>
      </c>
      <c r="D1374" s="3">
        <f t="shared" si="200"/>
        <v>8499</v>
      </c>
      <c r="E1374" s="2">
        <f t="shared" si="201"/>
        <v>43556</v>
      </c>
      <c r="F1374" s="2">
        <f t="shared" si="202"/>
        <v>44196</v>
      </c>
    </row>
    <row r="1375" spans="1:6" x14ac:dyDescent="0.25">
      <c r="A1375" s="1" t="s">
        <v>1253</v>
      </c>
      <c r="B1375" s="1" t="s">
        <v>1252</v>
      </c>
      <c r="C1375" s="1" t="s">
        <v>67</v>
      </c>
      <c r="D1375" s="3">
        <f t="shared" si="200"/>
        <v>8499</v>
      </c>
      <c r="E1375" s="2">
        <f t="shared" si="201"/>
        <v>43556</v>
      </c>
      <c r="F1375" s="2">
        <f t="shared" si="202"/>
        <v>44196</v>
      </c>
    </row>
    <row r="1376" spans="1:6" x14ac:dyDescent="0.25">
      <c r="A1376" s="1" t="s">
        <v>1253</v>
      </c>
      <c r="B1376" s="1" t="s">
        <v>1252</v>
      </c>
      <c r="C1376" s="1" t="s">
        <v>149</v>
      </c>
      <c r="D1376" s="3">
        <f t="shared" si="200"/>
        <v>8499</v>
      </c>
      <c r="E1376" s="2">
        <f t="shared" si="201"/>
        <v>43556</v>
      </c>
      <c r="F1376" s="2">
        <f t="shared" si="202"/>
        <v>44196</v>
      </c>
    </row>
    <row r="1377" spans="1:6" x14ac:dyDescent="0.25">
      <c r="A1377" s="1" t="s">
        <v>1253</v>
      </c>
      <c r="B1377" s="1" t="s">
        <v>1252</v>
      </c>
      <c r="C1377" s="1" t="s">
        <v>1254</v>
      </c>
      <c r="D1377" s="3">
        <f t="shared" si="200"/>
        <v>8499</v>
      </c>
      <c r="E1377" s="2">
        <f t="shared" si="201"/>
        <v>43556</v>
      </c>
      <c r="F1377" s="2">
        <f t="shared" si="202"/>
        <v>44196</v>
      </c>
    </row>
    <row r="1378" spans="1:6" x14ac:dyDescent="0.25">
      <c r="A1378" s="1" t="s">
        <v>1253</v>
      </c>
      <c r="B1378" s="1" t="s">
        <v>1252</v>
      </c>
      <c r="C1378" s="1" t="s">
        <v>73</v>
      </c>
      <c r="D1378" s="3">
        <f t="shared" si="200"/>
        <v>8499</v>
      </c>
      <c r="E1378" s="2">
        <f t="shared" si="201"/>
        <v>43556</v>
      </c>
      <c r="F1378" s="2">
        <f t="shared" si="202"/>
        <v>44196</v>
      </c>
    </row>
    <row r="1379" spans="1:6" x14ac:dyDescent="0.25">
      <c r="A1379" s="1" t="s">
        <v>1253</v>
      </c>
      <c r="B1379" s="1" t="s">
        <v>1252</v>
      </c>
      <c r="C1379" s="1" t="s">
        <v>52</v>
      </c>
      <c r="D1379" s="3">
        <f t="shared" si="200"/>
        <v>8499</v>
      </c>
      <c r="E1379" s="2">
        <f t="shared" si="201"/>
        <v>43556</v>
      </c>
      <c r="F1379" s="2">
        <f t="shared" si="202"/>
        <v>44196</v>
      </c>
    </row>
    <row r="1380" spans="1:6" x14ac:dyDescent="0.25">
      <c r="A1380" s="1" t="s">
        <v>1253</v>
      </c>
      <c r="B1380" s="1" t="s">
        <v>1803</v>
      </c>
      <c r="C1380" s="1" t="s">
        <v>140</v>
      </c>
      <c r="D1380" s="3">
        <f t="shared" ref="D1380:D1400" si="203">VALUE("8463")</f>
        <v>8463</v>
      </c>
      <c r="E1380" s="2">
        <f t="shared" ref="E1380:E1400" si="204">DATEVALUE("1-3-2019")</f>
        <v>43525</v>
      </c>
      <c r="F1380" s="2">
        <f t="shared" ref="F1380:F1400" si="205">DATEVALUE("31-7-2020")</f>
        <v>44043</v>
      </c>
    </row>
    <row r="1381" spans="1:6" x14ac:dyDescent="0.25">
      <c r="A1381" s="1" t="s">
        <v>1253</v>
      </c>
      <c r="B1381" s="1" t="s">
        <v>1803</v>
      </c>
      <c r="C1381" s="1" t="s">
        <v>141</v>
      </c>
      <c r="D1381" s="3">
        <f t="shared" si="203"/>
        <v>8463</v>
      </c>
      <c r="E1381" s="2">
        <f t="shared" si="204"/>
        <v>43525</v>
      </c>
      <c r="F1381" s="2">
        <f t="shared" si="205"/>
        <v>44043</v>
      </c>
    </row>
    <row r="1382" spans="1:6" x14ac:dyDescent="0.25">
      <c r="A1382" s="1" t="s">
        <v>1253</v>
      </c>
      <c r="B1382" s="1" t="s">
        <v>1803</v>
      </c>
      <c r="C1382" s="1" t="s">
        <v>14</v>
      </c>
      <c r="D1382" s="3">
        <f t="shared" si="203"/>
        <v>8463</v>
      </c>
      <c r="E1382" s="2">
        <f t="shared" si="204"/>
        <v>43525</v>
      </c>
      <c r="F1382" s="2">
        <f t="shared" si="205"/>
        <v>44043</v>
      </c>
    </row>
    <row r="1383" spans="1:6" x14ac:dyDescent="0.25">
      <c r="A1383" s="1" t="s">
        <v>1253</v>
      </c>
      <c r="B1383" s="1" t="s">
        <v>1803</v>
      </c>
      <c r="C1383" s="1" t="s">
        <v>15</v>
      </c>
      <c r="D1383" s="3">
        <f t="shared" si="203"/>
        <v>8463</v>
      </c>
      <c r="E1383" s="2">
        <f t="shared" si="204"/>
        <v>43525</v>
      </c>
      <c r="F1383" s="2">
        <f t="shared" si="205"/>
        <v>44043</v>
      </c>
    </row>
    <row r="1384" spans="1:6" x14ac:dyDescent="0.25">
      <c r="A1384" s="1" t="s">
        <v>1253</v>
      </c>
      <c r="B1384" s="1" t="s">
        <v>1803</v>
      </c>
      <c r="C1384" s="1" t="s">
        <v>17</v>
      </c>
      <c r="D1384" s="3">
        <f t="shared" si="203"/>
        <v>8463</v>
      </c>
      <c r="E1384" s="2">
        <f t="shared" si="204"/>
        <v>43525</v>
      </c>
      <c r="F1384" s="2">
        <f t="shared" si="205"/>
        <v>44043</v>
      </c>
    </row>
    <row r="1385" spans="1:6" x14ac:dyDescent="0.25">
      <c r="A1385" s="1" t="s">
        <v>1253</v>
      </c>
      <c r="B1385" s="1" t="s">
        <v>1803</v>
      </c>
      <c r="C1385" s="1" t="s">
        <v>258</v>
      </c>
      <c r="D1385" s="3">
        <f t="shared" si="203"/>
        <v>8463</v>
      </c>
      <c r="E1385" s="2">
        <f t="shared" si="204"/>
        <v>43525</v>
      </c>
      <c r="F1385" s="2">
        <f t="shared" si="205"/>
        <v>44043</v>
      </c>
    </row>
    <row r="1386" spans="1:6" x14ac:dyDescent="0.25">
      <c r="A1386" s="1" t="s">
        <v>1253</v>
      </c>
      <c r="B1386" s="1" t="s">
        <v>1803</v>
      </c>
      <c r="C1386" s="1" t="s">
        <v>383</v>
      </c>
      <c r="D1386" s="3">
        <f t="shared" si="203"/>
        <v>8463</v>
      </c>
      <c r="E1386" s="2">
        <f t="shared" si="204"/>
        <v>43525</v>
      </c>
      <c r="F1386" s="2">
        <f t="shared" si="205"/>
        <v>44043</v>
      </c>
    </row>
    <row r="1387" spans="1:6" x14ac:dyDescent="0.25">
      <c r="A1387" s="1" t="s">
        <v>1253</v>
      </c>
      <c r="B1387" s="1" t="s">
        <v>1803</v>
      </c>
      <c r="C1387" s="1" t="s">
        <v>146</v>
      </c>
      <c r="D1387" s="3">
        <f t="shared" si="203"/>
        <v>8463</v>
      </c>
      <c r="E1387" s="2">
        <f t="shared" si="204"/>
        <v>43525</v>
      </c>
      <c r="F1387" s="2">
        <f t="shared" si="205"/>
        <v>44043</v>
      </c>
    </row>
    <row r="1388" spans="1:6" x14ac:dyDescent="0.25">
      <c r="A1388" s="1" t="s">
        <v>1253</v>
      </c>
      <c r="B1388" s="1" t="s">
        <v>1803</v>
      </c>
      <c r="C1388" s="1" t="s">
        <v>67</v>
      </c>
      <c r="D1388" s="3">
        <f t="shared" si="203"/>
        <v>8463</v>
      </c>
      <c r="E1388" s="2">
        <f t="shared" si="204"/>
        <v>43525</v>
      </c>
      <c r="F1388" s="2">
        <f t="shared" si="205"/>
        <v>44043</v>
      </c>
    </row>
    <row r="1389" spans="1:6" x14ac:dyDescent="0.25">
      <c r="A1389" s="1" t="s">
        <v>1253</v>
      </c>
      <c r="B1389" s="1" t="s">
        <v>1803</v>
      </c>
      <c r="C1389" s="1" t="s">
        <v>92</v>
      </c>
      <c r="D1389" s="3">
        <f t="shared" si="203"/>
        <v>8463</v>
      </c>
      <c r="E1389" s="2">
        <f t="shared" si="204"/>
        <v>43525</v>
      </c>
      <c r="F1389" s="2">
        <f t="shared" si="205"/>
        <v>44043</v>
      </c>
    </row>
    <row r="1390" spans="1:6" x14ac:dyDescent="0.25">
      <c r="A1390" s="1" t="s">
        <v>1253</v>
      </c>
      <c r="B1390" s="1" t="s">
        <v>1803</v>
      </c>
      <c r="C1390" s="1" t="s">
        <v>151</v>
      </c>
      <c r="D1390" s="3">
        <f t="shared" si="203"/>
        <v>8463</v>
      </c>
      <c r="E1390" s="2">
        <f t="shared" si="204"/>
        <v>43525</v>
      </c>
      <c r="F1390" s="2">
        <f t="shared" si="205"/>
        <v>44043</v>
      </c>
    </row>
    <row r="1391" spans="1:6" x14ac:dyDescent="0.25">
      <c r="A1391" s="1" t="s">
        <v>1253</v>
      </c>
      <c r="B1391" s="1" t="s">
        <v>1803</v>
      </c>
      <c r="C1391" s="1" t="s">
        <v>94</v>
      </c>
      <c r="D1391" s="3">
        <f t="shared" si="203"/>
        <v>8463</v>
      </c>
      <c r="E1391" s="2">
        <f t="shared" si="204"/>
        <v>43525</v>
      </c>
      <c r="F1391" s="2">
        <f t="shared" si="205"/>
        <v>44043</v>
      </c>
    </row>
    <row r="1392" spans="1:6" x14ac:dyDescent="0.25">
      <c r="A1392" s="1" t="s">
        <v>1253</v>
      </c>
      <c r="B1392" s="1" t="s">
        <v>1803</v>
      </c>
      <c r="C1392" s="1" t="s">
        <v>24</v>
      </c>
      <c r="D1392" s="3">
        <f t="shared" si="203"/>
        <v>8463</v>
      </c>
      <c r="E1392" s="2">
        <f t="shared" si="204"/>
        <v>43525</v>
      </c>
      <c r="F1392" s="2">
        <f t="shared" si="205"/>
        <v>44043</v>
      </c>
    </row>
    <row r="1393" spans="1:6" x14ac:dyDescent="0.25">
      <c r="A1393" s="1" t="s">
        <v>1253</v>
      </c>
      <c r="B1393" s="1" t="s">
        <v>1803</v>
      </c>
      <c r="C1393" s="1" t="s">
        <v>548</v>
      </c>
      <c r="D1393" s="3">
        <f t="shared" si="203"/>
        <v>8463</v>
      </c>
      <c r="E1393" s="2">
        <f t="shared" si="204"/>
        <v>43525</v>
      </c>
      <c r="F1393" s="2">
        <f t="shared" si="205"/>
        <v>44043</v>
      </c>
    </row>
    <row r="1394" spans="1:6" x14ac:dyDescent="0.25">
      <c r="A1394" s="1" t="s">
        <v>1253</v>
      </c>
      <c r="B1394" s="1" t="s">
        <v>1803</v>
      </c>
      <c r="C1394" s="1" t="s">
        <v>160</v>
      </c>
      <c r="D1394" s="3">
        <f t="shared" si="203"/>
        <v>8463</v>
      </c>
      <c r="E1394" s="2">
        <f t="shared" si="204"/>
        <v>43525</v>
      </c>
      <c r="F1394" s="2">
        <f t="shared" si="205"/>
        <v>44043</v>
      </c>
    </row>
    <row r="1395" spans="1:6" x14ac:dyDescent="0.25">
      <c r="A1395" s="1" t="s">
        <v>1253</v>
      </c>
      <c r="B1395" s="1" t="s">
        <v>1803</v>
      </c>
      <c r="C1395" s="1" t="s">
        <v>34</v>
      </c>
      <c r="D1395" s="3">
        <f t="shared" si="203"/>
        <v>8463</v>
      </c>
      <c r="E1395" s="2">
        <f t="shared" si="204"/>
        <v>43525</v>
      </c>
      <c r="F1395" s="2">
        <f t="shared" si="205"/>
        <v>44043</v>
      </c>
    </row>
    <row r="1396" spans="1:6" x14ac:dyDescent="0.25">
      <c r="A1396" s="1" t="s">
        <v>1253</v>
      </c>
      <c r="B1396" s="1" t="s">
        <v>1803</v>
      </c>
      <c r="C1396" s="1" t="s">
        <v>379</v>
      </c>
      <c r="D1396" s="3">
        <f t="shared" si="203"/>
        <v>8463</v>
      </c>
      <c r="E1396" s="2">
        <f t="shared" si="204"/>
        <v>43525</v>
      </c>
      <c r="F1396" s="2">
        <f t="shared" si="205"/>
        <v>44043</v>
      </c>
    </row>
    <row r="1397" spans="1:6" x14ac:dyDescent="0.25">
      <c r="A1397" s="1" t="s">
        <v>1253</v>
      </c>
      <c r="B1397" s="1" t="s">
        <v>1803</v>
      </c>
      <c r="C1397" s="1" t="s">
        <v>131</v>
      </c>
      <c r="D1397" s="3">
        <f t="shared" si="203"/>
        <v>8463</v>
      </c>
      <c r="E1397" s="2">
        <f t="shared" si="204"/>
        <v>43525</v>
      </c>
      <c r="F1397" s="2">
        <f t="shared" si="205"/>
        <v>44043</v>
      </c>
    </row>
    <row r="1398" spans="1:6" x14ac:dyDescent="0.25">
      <c r="A1398" s="1" t="s">
        <v>1253</v>
      </c>
      <c r="B1398" s="1" t="s">
        <v>1803</v>
      </c>
      <c r="C1398" s="1" t="s">
        <v>380</v>
      </c>
      <c r="D1398" s="3">
        <f t="shared" si="203"/>
        <v>8463</v>
      </c>
      <c r="E1398" s="2">
        <f t="shared" si="204"/>
        <v>43525</v>
      </c>
      <c r="F1398" s="2">
        <f t="shared" si="205"/>
        <v>44043</v>
      </c>
    </row>
    <row r="1399" spans="1:6" x14ac:dyDescent="0.25">
      <c r="A1399" s="1" t="s">
        <v>1253</v>
      </c>
      <c r="B1399" s="1" t="s">
        <v>1803</v>
      </c>
      <c r="C1399" s="1" t="s">
        <v>381</v>
      </c>
      <c r="D1399" s="3">
        <f t="shared" si="203"/>
        <v>8463</v>
      </c>
      <c r="E1399" s="2">
        <f t="shared" si="204"/>
        <v>43525</v>
      </c>
      <c r="F1399" s="2">
        <f t="shared" si="205"/>
        <v>44043</v>
      </c>
    </row>
    <row r="1400" spans="1:6" x14ac:dyDescent="0.25">
      <c r="A1400" s="1" t="s">
        <v>1253</v>
      </c>
      <c r="B1400" s="1" t="s">
        <v>1803</v>
      </c>
      <c r="C1400" s="1" t="s">
        <v>170</v>
      </c>
      <c r="D1400" s="3">
        <f t="shared" si="203"/>
        <v>8463</v>
      </c>
      <c r="E1400" s="2">
        <f t="shared" si="204"/>
        <v>43525</v>
      </c>
      <c r="F1400" s="2">
        <f t="shared" si="205"/>
        <v>44043</v>
      </c>
    </row>
    <row r="1401" spans="1:6" x14ac:dyDescent="0.25">
      <c r="A1401" s="1" t="s">
        <v>1253</v>
      </c>
      <c r="B1401" s="1" t="s">
        <v>2414</v>
      </c>
      <c r="C1401" s="1" t="s">
        <v>191</v>
      </c>
      <c r="D1401" s="3">
        <f>VALUE("8405")</f>
        <v>8405</v>
      </c>
      <c r="E1401" s="2">
        <f>DATEVALUE("1-12-2018")</f>
        <v>43435</v>
      </c>
      <c r="F1401" s="2">
        <f>DATEVALUE("30-9-2019")</f>
        <v>43738</v>
      </c>
    </row>
    <row r="1402" spans="1:6" x14ac:dyDescent="0.25">
      <c r="A1402" s="1" t="s">
        <v>1253</v>
      </c>
      <c r="B1402" s="1" t="s">
        <v>2414</v>
      </c>
      <c r="C1402" s="1" t="s">
        <v>616</v>
      </c>
      <c r="D1402" s="3">
        <f>VALUE("8405")</f>
        <v>8405</v>
      </c>
      <c r="E1402" s="2">
        <f>DATEVALUE("1-12-2018")</f>
        <v>43435</v>
      </c>
      <c r="F1402" s="2">
        <f>DATEVALUE("30-9-2019")</f>
        <v>43738</v>
      </c>
    </row>
    <row r="1403" spans="1:6" x14ac:dyDescent="0.25">
      <c r="A1403" s="1" t="s">
        <v>1253</v>
      </c>
      <c r="B1403" s="1" t="s">
        <v>1796</v>
      </c>
      <c r="C1403" s="1" t="s">
        <v>291</v>
      </c>
      <c r="D1403" s="3">
        <f t="shared" ref="D1403:D1411" si="206">VALUE("8399")</f>
        <v>8399</v>
      </c>
      <c r="E1403" s="2">
        <f t="shared" ref="E1403:E1411" si="207">DATEVALUE("1-11-2018")</f>
        <v>43405</v>
      </c>
      <c r="F1403" s="2">
        <f t="shared" ref="F1403:F1411" si="208">DATEVALUE("31-1-2019")</f>
        <v>43496</v>
      </c>
    </row>
    <row r="1404" spans="1:6" x14ac:dyDescent="0.25">
      <c r="A1404" s="1" t="s">
        <v>1253</v>
      </c>
      <c r="B1404" s="1" t="s">
        <v>1796</v>
      </c>
      <c r="C1404" s="1" t="s">
        <v>144</v>
      </c>
      <c r="D1404" s="3">
        <f t="shared" si="206"/>
        <v>8399</v>
      </c>
      <c r="E1404" s="2">
        <f t="shared" si="207"/>
        <v>43405</v>
      </c>
      <c r="F1404" s="2">
        <f t="shared" si="208"/>
        <v>43496</v>
      </c>
    </row>
    <row r="1405" spans="1:6" x14ac:dyDescent="0.25">
      <c r="A1405" s="1" t="s">
        <v>1253</v>
      </c>
      <c r="B1405" s="1" t="s">
        <v>1796</v>
      </c>
      <c r="C1405" s="1" t="s">
        <v>146</v>
      </c>
      <c r="D1405" s="3">
        <f t="shared" si="206"/>
        <v>8399</v>
      </c>
      <c r="E1405" s="2">
        <f t="shared" si="207"/>
        <v>43405</v>
      </c>
      <c r="F1405" s="2">
        <f t="shared" si="208"/>
        <v>43496</v>
      </c>
    </row>
    <row r="1406" spans="1:6" x14ac:dyDescent="0.25">
      <c r="A1406" s="1" t="s">
        <v>1253</v>
      </c>
      <c r="B1406" s="1" t="s">
        <v>1796</v>
      </c>
      <c r="C1406" s="1" t="s">
        <v>67</v>
      </c>
      <c r="D1406" s="3">
        <f t="shared" si="206"/>
        <v>8399</v>
      </c>
      <c r="E1406" s="2">
        <f t="shared" si="207"/>
        <v>43405</v>
      </c>
      <c r="F1406" s="2">
        <f t="shared" si="208"/>
        <v>43496</v>
      </c>
    </row>
    <row r="1407" spans="1:6" x14ac:dyDescent="0.25">
      <c r="A1407" s="1" t="s">
        <v>1253</v>
      </c>
      <c r="B1407" s="1" t="s">
        <v>1796</v>
      </c>
      <c r="C1407" s="1" t="s">
        <v>92</v>
      </c>
      <c r="D1407" s="3">
        <f t="shared" si="206"/>
        <v>8399</v>
      </c>
      <c r="E1407" s="2">
        <f t="shared" si="207"/>
        <v>43405</v>
      </c>
      <c r="F1407" s="2">
        <f t="shared" si="208"/>
        <v>43496</v>
      </c>
    </row>
    <row r="1408" spans="1:6" x14ac:dyDescent="0.25">
      <c r="A1408" s="1" t="s">
        <v>1253</v>
      </c>
      <c r="B1408" s="1" t="s">
        <v>1796</v>
      </c>
      <c r="C1408" s="1" t="s">
        <v>72</v>
      </c>
      <c r="D1408" s="3">
        <f t="shared" si="206"/>
        <v>8399</v>
      </c>
      <c r="E1408" s="2">
        <f t="shared" si="207"/>
        <v>43405</v>
      </c>
      <c r="F1408" s="2">
        <f t="shared" si="208"/>
        <v>43496</v>
      </c>
    </row>
    <row r="1409" spans="1:6" x14ac:dyDescent="0.25">
      <c r="A1409" s="1" t="s">
        <v>1253</v>
      </c>
      <c r="B1409" s="1" t="s">
        <v>1796</v>
      </c>
      <c r="C1409" s="1" t="s">
        <v>391</v>
      </c>
      <c r="D1409" s="3">
        <f t="shared" si="206"/>
        <v>8399</v>
      </c>
      <c r="E1409" s="2">
        <f t="shared" si="207"/>
        <v>43405</v>
      </c>
      <c r="F1409" s="2">
        <f t="shared" si="208"/>
        <v>43496</v>
      </c>
    </row>
    <row r="1410" spans="1:6" x14ac:dyDescent="0.25">
      <c r="A1410" s="1" t="s">
        <v>1253</v>
      </c>
      <c r="B1410" s="1" t="s">
        <v>1796</v>
      </c>
      <c r="C1410" s="1" t="s">
        <v>52</v>
      </c>
      <c r="D1410" s="3">
        <f t="shared" si="206"/>
        <v>8399</v>
      </c>
      <c r="E1410" s="2">
        <f t="shared" si="207"/>
        <v>43405</v>
      </c>
      <c r="F1410" s="2">
        <f t="shared" si="208"/>
        <v>43496</v>
      </c>
    </row>
    <row r="1411" spans="1:6" x14ac:dyDescent="0.25">
      <c r="A1411" s="1" t="s">
        <v>1253</v>
      </c>
      <c r="B1411" s="1" t="s">
        <v>1796</v>
      </c>
      <c r="C1411" s="1" t="s">
        <v>378</v>
      </c>
      <c r="D1411" s="3">
        <f t="shared" si="206"/>
        <v>8399</v>
      </c>
      <c r="E1411" s="2">
        <f t="shared" si="207"/>
        <v>43405</v>
      </c>
      <c r="F1411" s="2">
        <f t="shared" si="208"/>
        <v>43496</v>
      </c>
    </row>
    <row r="1412" spans="1:6" x14ac:dyDescent="0.25">
      <c r="A1412" s="1" t="s">
        <v>1253</v>
      </c>
      <c r="B1412" s="1" t="s">
        <v>2072</v>
      </c>
      <c r="C1412" s="1" t="s">
        <v>2075</v>
      </c>
      <c r="D1412" s="3">
        <f t="shared" ref="D1412:D1417" si="209">VALUE("8298")</f>
        <v>8298</v>
      </c>
      <c r="E1412" s="2">
        <f t="shared" ref="E1412:E1418" si="210">DATEVALUE("1-8-2018")</f>
        <v>43313</v>
      </c>
      <c r="F1412" s="2">
        <f t="shared" ref="F1412:F1417" si="211">DATEVALUE("31-3-2019")</f>
        <v>43555</v>
      </c>
    </row>
    <row r="1413" spans="1:6" x14ac:dyDescent="0.25">
      <c r="A1413" s="1" t="s">
        <v>1253</v>
      </c>
      <c r="B1413" s="1" t="s">
        <v>2072</v>
      </c>
      <c r="C1413" s="1" t="s">
        <v>2073</v>
      </c>
      <c r="D1413" s="3">
        <f t="shared" si="209"/>
        <v>8298</v>
      </c>
      <c r="E1413" s="2">
        <f t="shared" si="210"/>
        <v>43313</v>
      </c>
      <c r="F1413" s="2">
        <f t="shared" si="211"/>
        <v>43555</v>
      </c>
    </row>
    <row r="1414" spans="1:6" x14ac:dyDescent="0.25">
      <c r="A1414" s="1" t="s">
        <v>1253</v>
      </c>
      <c r="B1414" s="1" t="s">
        <v>2072</v>
      </c>
      <c r="C1414" s="1" t="s">
        <v>89</v>
      </c>
      <c r="D1414" s="3">
        <f t="shared" si="209"/>
        <v>8298</v>
      </c>
      <c r="E1414" s="2">
        <f t="shared" si="210"/>
        <v>43313</v>
      </c>
      <c r="F1414" s="2">
        <f t="shared" si="211"/>
        <v>43555</v>
      </c>
    </row>
    <row r="1415" spans="1:6" x14ac:dyDescent="0.25">
      <c r="A1415" s="1" t="s">
        <v>1253</v>
      </c>
      <c r="B1415" s="1" t="s">
        <v>2072</v>
      </c>
      <c r="C1415" s="1" t="s">
        <v>146</v>
      </c>
      <c r="D1415" s="3">
        <f t="shared" si="209"/>
        <v>8298</v>
      </c>
      <c r="E1415" s="2">
        <f t="shared" si="210"/>
        <v>43313</v>
      </c>
      <c r="F1415" s="2">
        <f t="shared" si="211"/>
        <v>43555</v>
      </c>
    </row>
    <row r="1416" spans="1:6" x14ac:dyDescent="0.25">
      <c r="A1416" s="1" t="s">
        <v>1253</v>
      </c>
      <c r="B1416" s="1" t="s">
        <v>2072</v>
      </c>
      <c r="C1416" s="1" t="s">
        <v>67</v>
      </c>
      <c r="D1416" s="3">
        <f t="shared" si="209"/>
        <v>8298</v>
      </c>
      <c r="E1416" s="2">
        <f t="shared" si="210"/>
        <v>43313</v>
      </c>
      <c r="F1416" s="2">
        <f t="shared" si="211"/>
        <v>43555</v>
      </c>
    </row>
    <row r="1417" spans="1:6" x14ac:dyDescent="0.25">
      <c r="A1417" s="1" t="s">
        <v>1253</v>
      </c>
      <c r="B1417" s="1" t="s">
        <v>2072</v>
      </c>
      <c r="C1417" s="1" t="s">
        <v>2074</v>
      </c>
      <c r="D1417" s="3">
        <f t="shared" si="209"/>
        <v>8298</v>
      </c>
      <c r="E1417" s="2">
        <f t="shared" si="210"/>
        <v>43313</v>
      </c>
      <c r="F1417" s="2">
        <f t="shared" si="211"/>
        <v>43555</v>
      </c>
    </row>
    <row r="1418" spans="1:6" x14ac:dyDescent="0.25">
      <c r="A1418" s="1" t="s">
        <v>1253</v>
      </c>
      <c r="B1418" s="1" t="s">
        <v>1782</v>
      </c>
      <c r="C1418" s="1" t="s">
        <v>1783</v>
      </c>
      <c r="D1418" s="3">
        <f>VALUE("8351")</f>
        <v>8351</v>
      </c>
      <c r="E1418" s="2">
        <f t="shared" si="210"/>
        <v>43313</v>
      </c>
      <c r="F1418" s="2">
        <f>DATEVALUE("31-5-2019")</f>
        <v>43616</v>
      </c>
    </row>
    <row r="1419" spans="1:6" x14ac:dyDescent="0.25">
      <c r="A1419" s="1" t="s">
        <v>1253</v>
      </c>
      <c r="B1419" s="1" t="s">
        <v>2339</v>
      </c>
      <c r="C1419" s="1" t="s">
        <v>150</v>
      </c>
      <c r="D1419" s="3">
        <f>VALUE("8190")</f>
        <v>8190</v>
      </c>
      <c r="E1419" s="2">
        <f>DATEVALUE("1-1-2018")</f>
        <v>43101</v>
      </c>
      <c r="F1419" s="2">
        <f>DATEVALUE("31-12-2018")</f>
        <v>43465</v>
      </c>
    </row>
    <row r="1420" spans="1:6" x14ac:dyDescent="0.25">
      <c r="A1420" s="1" t="s">
        <v>1253</v>
      </c>
      <c r="B1420" s="1" t="s">
        <v>2339</v>
      </c>
      <c r="C1420" s="1" t="s">
        <v>2340</v>
      </c>
      <c r="D1420" s="3">
        <f>VALUE("8190")</f>
        <v>8190</v>
      </c>
      <c r="E1420" s="2">
        <f>DATEVALUE("1-1-2018")</f>
        <v>43101</v>
      </c>
      <c r="F1420" s="2">
        <f>DATEVALUE("31-12-2018")</f>
        <v>43465</v>
      </c>
    </row>
    <row r="1421" spans="1:6" x14ac:dyDescent="0.25">
      <c r="A1421" s="1" t="s">
        <v>1253</v>
      </c>
      <c r="B1421" s="1" t="s">
        <v>2339</v>
      </c>
      <c r="C1421" s="1" t="s">
        <v>160</v>
      </c>
      <c r="D1421" s="3">
        <f>VALUE("8190")</f>
        <v>8190</v>
      </c>
      <c r="E1421" s="2">
        <f>DATEVALUE("1-1-2018")</f>
        <v>43101</v>
      </c>
      <c r="F1421" s="2">
        <f>DATEVALUE("31-12-2018")</f>
        <v>43465</v>
      </c>
    </row>
    <row r="1422" spans="1:6" x14ac:dyDescent="0.25">
      <c r="A1422" s="1" t="s">
        <v>1253</v>
      </c>
      <c r="B1422" s="1" t="s">
        <v>2320</v>
      </c>
      <c r="C1422" s="1" t="s">
        <v>1297</v>
      </c>
      <c r="D1422" s="3">
        <f t="shared" ref="D1422:D1459" si="212">VALUE("8165")</f>
        <v>8165</v>
      </c>
      <c r="E1422" s="2">
        <f t="shared" ref="E1422:E1461" si="213">DATEVALUE("1-12-2017")</f>
        <v>43070</v>
      </c>
      <c r="F1422" s="2">
        <f t="shared" ref="F1422:F1459" si="214">DATEVALUE("31-8-2019")</f>
        <v>43708</v>
      </c>
    </row>
    <row r="1423" spans="1:6" x14ac:dyDescent="0.25">
      <c r="A1423" s="1" t="s">
        <v>1253</v>
      </c>
      <c r="B1423" s="1" t="s">
        <v>2320</v>
      </c>
      <c r="C1423" s="1" t="s">
        <v>215</v>
      </c>
      <c r="D1423" s="3">
        <f t="shared" si="212"/>
        <v>8165</v>
      </c>
      <c r="E1423" s="2">
        <f t="shared" si="213"/>
        <v>43070</v>
      </c>
      <c r="F1423" s="2">
        <f t="shared" si="214"/>
        <v>43708</v>
      </c>
    </row>
    <row r="1424" spans="1:6" x14ac:dyDescent="0.25">
      <c r="A1424" s="1" t="s">
        <v>1253</v>
      </c>
      <c r="B1424" s="1" t="s">
        <v>2320</v>
      </c>
      <c r="C1424" s="1" t="s">
        <v>61</v>
      </c>
      <c r="D1424" s="3">
        <f t="shared" si="212"/>
        <v>8165</v>
      </c>
      <c r="E1424" s="2">
        <f t="shared" si="213"/>
        <v>43070</v>
      </c>
      <c r="F1424" s="2">
        <f t="shared" si="214"/>
        <v>43708</v>
      </c>
    </row>
    <row r="1425" spans="1:6" x14ac:dyDescent="0.25">
      <c r="A1425" s="1" t="s">
        <v>1253</v>
      </c>
      <c r="B1425" s="1" t="s">
        <v>2320</v>
      </c>
      <c r="C1425" s="1" t="s">
        <v>140</v>
      </c>
      <c r="D1425" s="3">
        <f t="shared" si="212"/>
        <v>8165</v>
      </c>
      <c r="E1425" s="2">
        <f t="shared" si="213"/>
        <v>43070</v>
      </c>
      <c r="F1425" s="2">
        <f t="shared" si="214"/>
        <v>43708</v>
      </c>
    </row>
    <row r="1426" spans="1:6" x14ac:dyDescent="0.25">
      <c r="A1426" s="1" t="s">
        <v>1253</v>
      </c>
      <c r="B1426" s="1" t="s">
        <v>2320</v>
      </c>
      <c r="C1426" s="1" t="s">
        <v>141</v>
      </c>
      <c r="D1426" s="3">
        <f t="shared" si="212"/>
        <v>8165</v>
      </c>
      <c r="E1426" s="2">
        <f t="shared" si="213"/>
        <v>43070</v>
      </c>
      <c r="F1426" s="2">
        <f t="shared" si="214"/>
        <v>43708</v>
      </c>
    </row>
    <row r="1427" spans="1:6" x14ac:dyDescent="0.25">
      <c r="A1427" s="1" t="s">
        <v>1253</v>
      </c>
      <c r="B1427" s="1" t="s">
        <v>2320</v>
      </c>
      <c r="C1427" s="1" t="s">
        <v>248</v>
      </c>
      <c r="D1427" s="3">
        <f t="shared" si="212"/>
        <v>8165</v>
      </c>
      <c r="E1427" s="2">
        <f t="shared" si="213"/>
        <v>43070</v>
      </c>
      <c r="F1427" s="2">
        <f t="shared" si="214"/>
        <v>43708</v>
      </c>
    </row>
    <row r="1428" spans="1:6" x14ac:dyDescent="0.25">
      <c r="A1428" s="1" t="s">
        <v>1253</v>
      </c>
      <c r="B1428" s="1" t="s">
        <v>2320</v>
      </c>
      <c r="C1428" s="1" t="s">
        <v>14</v>
      </c>
      <c r="D1428" s="3">
        <f t="shared" si="212"/>
        <v>8165</v>
      </c>
      <c r="E1428" s="2">
        <f t="shared" si="213"/>
        <v>43070</v>
      </c>
      <c r="F1428" s="2">
        <f t="shared" si="214"/>
        <v>43708</v>
      </c>
    </row>
    <row r="1429" spans="1:6" x14ac:dyDescent="0.25">
      <c r="A1429" s="1" t="s">
        <v>1253</v>
      </c>
      <c r="B1429" s="1" t="s">
        <v>2320</v>
      </c>
      <c r="C1429" s="1" t="s">
        <v>66</v>
      </c>
      <c r="D1429" s="3">
        <f t="shared" si="212"/>
        <v>8165</v>
      </c>
      <c r="E1429" s="2">
        <f t="shared" si="213"/>
        <v>43070</v>
      </c>
      <c r="F1429" s="2">
        <f t="shared" si="214"/>
        <v>43708</v>
      </c>
    </row>
    <row r="1430" spans="1:6" x14ac:dyDescent="0.25">
      <c r="A1430" s="1" t="s">
        <v>1253</v>
      </c>
      <c r="B1430" s="1" t="s">
        <v>2320</v>
      </c>
      <c r="C1430" s="1" t="s">
        <v>17</v>
      </c>
      <c r="D1430" s="3">
        <f t="shared" si="212"/>
        <v>8165</v>
      </c>
      <c r="E1430" s="2">
        <f t="shared" si="213"/>
        <v>43070</v>
      </c>
      <c r="F1430" s="2">
        <f t="shared" si="214"/>
        <v>43708</v>
      </c>
    </row>
    <row r="1431" spans="1:6" x14ac:dyDescent="0.25">
      <c r="A1431" s="1" t="s">
        <v>1253</v>
      </c>
      <c r="B1431" s="1" t="s">
        <v>2320</v>
      </c>
      <c r="C1431" s="1" t="s">
        <v>742</v>
      </c>
      <c r="D1431" s="3">
        <f t="shared" si="212"/>
        <v>8165</v>
      </c>
      <c r="E1431" s="2">
        <f t="shared" si="213"/>
        <v>43070</v>
      </c>
      <c r="F1431" s="2">
        <f t="shared" si="214"/>
        <v>43708</v>
      </c>
    </row>
    <row r="1432" spans="1:6" x14ac:dyDescent="0.25">
      <c r="A1432" s="1" t="s">
        <v>1253</v>
      </c>
      <c r="B1432" s="1" t="s">
        <v>2320</v>
      </c>
      <c r="C1432" s="1" t="s">
        <v>488</v>
      </c>
      <c r="D1432" s="3">
        <f t="shared" si="212"/>
        <v>8165</v>
      </c>
      <c r="E1432" s="2">
        <f t="shared" si="213"/>
        <v>43070</v>
      </c>
      <c r="F1432" s="2">
        <f t="shared" si="214"/>
        <v>43708</v>
      </c>
    </row>
    <row r="1433" spans="1:6" x14ac:dyDescent="0.25">
      <c r="A1433" s="1" t="s">
        <v>1253</v>
      </c>
      <c r="B1433" s="1" t="s">
        <v>2320</v>
      </c>
      <c r="C1433" s="1" t="s">
        <v>291</v>
      </c>
      <c r="D1433" s="3">
        <f t="shared" si="212"/>
        <v>8165</v>
      </c>
      <c r="E1433" s="2">
        <f t="shared" si="213"/>
        <v>43070</v>
      </c>
      <c r="F1433" s="2">
        <f t="shared" si="214"/>
        <v>43708</v>
      </c>
    </row>
    <row r="1434" spans="1:6" x14ac:dyDescent="0.25">
      <c r="A1434" s="1" t="s">
        <v>1253</v>
      </c>
      <c r="B1434" s="1" t="s">
        <v>2320</v>
      </c>
      <c r="C1434" s="1" t="s">
        <v>22</v>
      </c>
      <c r="D1434" s="3">
        <f t="shared" si="212"/>
        <v>8165</v>
      </c>
      <c r="E1434" s="2">
        <f t="shared" si="213"/>
        <v>43070</v>
      </c>
      <c r="F1434" s="2">
        <f t="shared" si="214"/>
        <v>43708</v>
      </c>
    </row>
    <row r="1435" spans="1:6" x14ac:dyDescent="0.25">
      <c r="A1435" s="1" t="s">
        <v>1253</v>
      </c>
      <c r="B1435" s="1" t="s">
        <v>2320</v>
      </c>
      <c r="C1435" s="1" t="s">
        <v>146</v>
      </c>
      <c r="D1435" s="3">
        <f t="shared" si="212"/>
        <v>8165</v>
      </c>
      <c r="E1435" s="2">
        <f t="shared" si="213"/>
        <v>43070</v>
      </c>
      <c r="F1435" s="2">
        <f t="shared" si="214"/>
        <v>43708</v>
      </c>
    </row>
    <row r="1436" spans="1:6" x14ac:dyDescent="0.25">
      <c r="A1436" s="1" t="s">
        <v>1253</v>
      </c>
      <c r="B1436" s="1" t="s">
        <v>2320</v>
      </c>
      <c r="C1436" s="1" t="s">
        <v>67</v>
      </c>
      <c r="D1436" s="3">
        <f t="shared" si="212"/>
        <v>8165</v>
      </c>
      <c r="E1436" s="2">
        <f t="shared" si="213"/>
        <v>43070</v>
      </c>
      <c r="F1436" s="2">
        <f t="shared" si="214"/>
        <v>43708</v>
      </c>
    </row>
    <row r="1437" spans="1:6" x14ac:dyDescent="0.25">
      <c r="A1437" s="1" t="s">
        <v>1253</v>
      </c>
      <c r="B1437" s="1" t="s">
        <v>2320</v>
      </c>
      <c r="C1437" s="1" t="s">
        <v>538</v>
      </c>
      <c r="D1437" s="3">
        <f t="shared" si="212"/>
        <v>8165</v>
      </c>
      <c r="E1437" s="2">
        <f t="shared" si="213"/>
        <v>43070</v>
      </c>
      <c r="F1437" s="2">
        <f t="shared" si="214"/>
        <v>43708</v>
      </c>
    </row>
    <row r="1438" spans="1:6" x14ac:dyDescent="0.25">
      <c r="A1438" s="1" t="s">
        <v>1253</v>
      </c>
      <c r="B1438" s="1" t="s">
        <v>2320</v>
      </c>
      <c r="C1438" s="1" t="s">
        <v>539</v>
      </c>
      <c r="D1438" s="3">
        <f t="shared" si="212"/>
        <v>8165</v>
      </c>
      <c r="E1438" s="2">
        <f t="shared" si="213"/>
        <v>43070</v>
      </c>
      <c r="F1438" s="2">
        <f t="shared" si="214"/>
        <v>43708</v>
      </c>
    </row>
    <row r="1439" spans="1:6" x14ac:dyDescent="0.25">
      <c r="A1439" s="1" t="s">
        <v>1253</v>
      </c>
      <c r="B1439" s="1" t="s">
        <v>2320</v>
      </c>
      <c r="C1439" s="1" t="s">
        <v>148</v>
      </c>
      <c r="D1439" s="3">
        <f t="shared" si="212"/>
        <v>8165</v>
      </c>
      <c r="E1439" s="2">
        <f t="shared" si="213"/>
        <v>43070</v>
      </c>
      <c r="F1439" s="2">
        <f t="shared" si="214"/>
        <v>43708</v>
      </c>
    </row>
    <row r="1440" spans="1:6" x14ac:dyDescent="0.25">
      <c r="A1440" s="1" t="s">
        <v>1253</v>
      </c>
      <c r="B1440" s="1" t="s">
        <v>2320</v>
      </c>
      <c r="C1440" s="1" t="s">
        <v>149</v>
      </c>
      <c r="D1440" s="3">
        <f t="shared" si="212"/>
        <v>8165</v>
      </c>
      <c r="E1440" s="2">
        <f t="shared" si="213"/>
        <v>43070</v>
      </c>
      <c r="F1440" s="2">
        <f t="shared" si="214"/>
        <v>43708</v>
      </c>
    </row>
    <row r="1441" spans="1:6" x14ac:dyDescent="0.25">
      <c r="A1441" s="1" t="s">
        <v>1253</v>
      </c>
      <c r="B1441" s="1" t="s">
        <v>2320</v>
      </c>
      <c r="C1441" s="1" t="s">
        <v>92</v>
      </c>
      <c r="D1441" s="3">
        <f t="shared" si="212"/>
        <v>8165</v>
      </c>
      <c r="E1441" s="2">
        <f t="shared" si="213"/>
        <v>43070</v>
      </c>
      <c r="F1441" s="2">
        <f t="shared" si="214"/>
        <v>43708</v>
      </c>
    </row>
    <row r="1442" spans="1:6" x14ac:dyDescent="0.25">
      <c r="A1442" s="1" t="s">
        <v>1253</v>
      </c>
      <c r="B1442" s="1" t="s">
        <v>2320</v>
      </c>
      <c r="C1442" s="1" t="s">
        <v>151</v>
      </c>
      <c r="D1442" s="3">
        <f t="shared" si="212"/>
        <v>8165</v>
      </c>
      <c r="E1442" s="2">
        <f t="shared" si="213"/>
        <v>43070</v>
      </c>
      <c r="F1442" s="2">
        <f t="shared" si="214"/>
        <v>43708</v>
      </c>
    </row>
    <row r="1443" spans="1:6" x14ac:dyDescent="0.25">
      <c r="A1443" s="1" t="s">
        <v>1253</v>
      </c>
      <c r="B1443" s="1" t="s">
        <v>2320</v>
      </c>
      <c r="C1443" s="1" t="s">
        <v>1316</v>
      </c>
      <c r="D1443" s="3">
        <f t="shared" si="212"/>
        <v>8165</v>
      </c>
      <c r="E1443" s="2">
        <f t="shared" si="213"/>
        <v>43070</v>
      </c>
      <c r="F1443" s="2">
        <f t="shared" si="214"/>
        <v>43708</v>
      </c>
    </row>
    <row r="1444" spans="1:6" x14ac:dyDescent="0.25">
      <c r="A1444" s="1" t="s">
        <v>1253</v>
      </c>
      <c r="B1444" s="1" t="s">
        <v>2320</v>
      </c>
      <c r="C1444" s="1" t="s">
        <v>1317</v>
      </c>
      <c r="D1444" s="3">
        <f t="shared" si="212"/>
        <v>8165</v>
      </c>
      <c r="E1444" s="2">
        <f t="shared" si="213"/>
        <v>43070</v>
      </c>
      <c r="F1444" s="2">
        <f t="shared" si="214"/>
        <v>43708</v>
      </c>
    </row>
    <row r="1445" spans="1:6" x14ac:dyDescent="0.25">
      <c r="A1445" s="1" t="s">
        <v>1253</v>
      </c>
      <c r="B1445" s="1" t="s">
        <v>2320</v>
      </c>
      <c r="C1445" s="1" t="s">
        <v>1320</v>
      </c>
      <c r="D1445" s="3">
        <f t="shared" si="212"/>
        <v>8165</v>
      </c>
      <c r="E1445" s="2">
        <f t="shared" si="213"/>
        <v>43070</v>
      </c>
      <c r="F1445" s="2">
        <f t="shared" si="214"/>
        <v>43708</v>
      </c>
    </row>
    <row r="1446" spans="1:6" x14ac:dyDescent="0.25">
      <c r="A1446" s="1" t="s">
        <v>1253</v>
      </c>
      <c r="B1446" s="1" t="s">
        <v>2320</v>
      </c>
      <c r="C1446" s="1" t="s">
        <v>2321</v>
      </c>
      <c r="D1446" s="3">
        <f t="shared" si="212"/>
        <v>8165</v>
      </c>
      <c r="E1446" s="2">
        <f t="shared" si="213"/>
        <v>43070</v>
      </c>
      <c r="F1446" s="2">
        <f t="shared" si="214"/>
        <v>43708</v>
      </c>
    </row>
    <row r="1447" spans="1:6" x14ac:dyDescent="0.25">
      <c r="A1447" s="1" t="s">
        <v>1253</v>
      </c>
      <c r="B1447" s="1" t="s">
        <v>2320</v>
      </c>
      <c r="C1447" s="1" t="s">
        <v>24</v>
      </c>
      <c r="D1447" s="3">
        <f t="shared" si="212"/>
        <v>8165</v>
      </c>
      <c r="E1447" s="2">
        <f t="shared" si="213"/>
        <v>43070</v>
      </c>
      <c r="F1447" s="2">
        <f t="shared" si="214"/>
        <v>43708</v>
      </c>
    </row>
    <row r="1448" spans="1:6" x14ac:dyDescent="0.25">
      <c r="A1448" s="1" t="s">
        <v>1253</v>
      </c>
      <c r="B1448" s="1" t="s">
        <v>2320</v>
      </c>
      <c r="C1448" s="1" t="s">
        <v>72</v>
      </c>
      <c r="D1448" s="3">
        <f t="shared" si="212"/>
        <v>8165</v>
      </c>
      <c r="E1448" s="2">
        <f t="shared" si="213"/>
        <v>43070</v>
      </c>
      <c r="F1448" s="2">
        <f t="shared" si="214"/>
        <v>43708</v>
      </c>
    </row>
    <row r="1449" spans="1:6" x14ac:dyDescent="0.25">
      <c r="A1449" s="1" t="s">
        <v>1253</v>
      </c>
      <c r="B1449" s="1" t="s">
        <v>2320</v>
      </c>
      <c r="C1449" s="1" t="s">
        <v>73</v>
      </c>
      <c r="D1449" s="3">
        <f t="shared" si="212"/>
        <v>8165</v>
      </c>
      <c r="E1449" s="2">
        <f t="shared" si="213"/>
        <v>43070</v>
      </c>
      <c r="F1449" s="2">
        <f t="shared" si="214"/>
        <v>43708</v>
      </c>
    </row>
    <row r="1450" spans="1:6" x14ac:dyDescent="0.25">
      <c r="A1450" s="1" t="s">
        <v>1253</v>
      </c>
      <c r="B1450" s="1" t="s">
        <v>2320</v>
      </c>
      <c r="C1450" s="1" t="s">
        <v>52</v>
      </c>
      <c r="D1450" s="3">
        <f t="shared" si="212"/>
        <v>8165</v>
      </c>
      <c r="E1450" s="2">
        <f t="shared" si="213"/>
        <v>43070</v>
      </c>
      <c r="F1450" s="2">
        <f t="shared" si="214"/>
        <v>43708</v>
      </c>
    </row>
    <row r="1451" spans="1:6" x14ac:dyDescent="0.25">
      <c r="A1451" s="1" t="s">
        <v>1253</v>
      </c>
      <c r="B1451" s="1" t="s">
        <v>2320</v>
      </c>
      <c r="C1451" s="1" t="s">
        <v>1324</v>
      </c>
      <c r="D1451" s="3">
        <f t="shared" si="212"/>
        <v>8165</v>
      </c>
      <c r="E1451" s="2">
        <f t="shared" si="213"/>
        <v>43070</v>
      </c>
      <c r="F1451" s="2">
        <f t="shared" si="214"/>
        <v>43708</v>
      </c>
    </row>
    <row r="1452" spans="1:6" x14ac:dyDescent="0.25">
      <c r="A1452" s="1" t="s">
        <v>1253</v>
      </c>
      <c r="B1452" s="1" t="s">
        <v>2320</v>
      </c>
      <c r="C1452" s="1" t="s">
        <v>376</v>
      </c>
      <c r="D1452" s="3">
        <f t="shared" si="212"/>
        <v>8165</v>
      </c>
      <c r="E1452" s="2">
        <f t="shared" si="213"/>
        <v>43070</v>
      </c>
      <c r="F1452" s="2">
        <f t="shared" si="214"/>
        <v>43708</v>
      </c>
    </row>
    <row r="1453" spans="1:6" x14ac:dyDescent="0.25">
      <c r="A1453" s="1" t="s">
        <v>1253</v>
      </c>
      <c r="B1453" s="1" t="s">
        <v>2320</v>
      </c>
      <c r="C1453" s="1" t="s">
        <v>377</v>
      </c>
      <c r="D1453" s="3">
        <f t="shared" si="212"/>
        <v>8165</v>
      </c>
      <c r="E1453" s="2">
        <f t="shared" si="213"/>
        <v>43070</v>
      </c>
      <c r="F1453" s="2">
        <f t="shared" si="214"/>
        <v>43708</v>
      </c>
    </row>
    <row r="1454" spans="1:6" x14ac:dyDescent="0.25">
      <c r="A1454" s="1" t="s">
        <v>1253</v>
      </c>
      <c r="B1454" s="1" t="s">
        <v>2320</v>
      </c>
      <c r="C1454" s="1" t="s">
        <v>402</v>
      </c>
      <c r="D1454" s="3">
        <f t="shared" si="212"/>
        <v>8165</v>
      </c>
      <c r="E1454" s="2">
        <f t="shared" si="213"/>
        <v>43070</v>
      </c>
      <c r="F1454" s="2">
        <f t="shared" si="214"/>
        <v>43708</v>
      </c>
    </row>
    <row r="1455" spans="1:6" x14ac:dyDescent="0.25">
      <c r="A1455" s="1" t="s">
        <v>1253</v>
      </c>
      <c r="B1455" s="1" t="s">
        <v>2320</v>
      </c>
      <c r="C1455" s="1" t="s">
        <v>378</v>
      </c>
      <c r="D1455" s="3">
        <f t="shared" si="212"/>
        <v>8165</v>
      </c>
      <c r="E1455" s="2">
        <f t="shared" si="213"/>
        <v>43070</v>
      </c>
      <c r="F1455" s="2">
        <f t="shared" si="214"/>
        <v>43708</v>
      </c>
    </row>
    <row r="1456" spans="1:6" x14ac:dyDescent="0.25">
      <c r="A1456" s="1" t="s">
        <v>1253</v>
      </c>
      <c r="B1456" s="1" t="s">
        <v>2320</v>
      </c>
      <c r="C1456" s="1" t="s">
        <v>34</v>
      </c>
      <c r="D1456" s="3">
        <f t="shared" si="212"/>
        <v>8165</v>
      </c>
      <c r="E1456" s="2">
        <f t="shared" si="213"/>
        <v>43070</v>
      </c>
      <c r="F1456" s="2">
        <f t="shared" si="214"/>
        <v>43708</v>
      </c>
    </row>
    <row r="1457" spans="1:6" x14ac:dyDescent="0.25">
      <c r="A1457" s="1" t="s">
        <v>1253</v>
      </c>
      <c r="B1457" s="1" t="s">
        <v>2320</v>
      </c>
      <c r="C1457" s="1" t="s">
        <v>306</v>
      </c>
      <c r="D1457" s="3">
        <f t="shared" si="212"/>
        <v>8165</v>
      </c>
      <c r="E1457" s="2">
        <f t="shared" si="213"/>
        <v>43070</v>
      </c>
      <c r="F1457" s="2">
        <f t="shared" si="214"/>
        <v>43708</v>
      </c>
    </row>
    <row r="1458" spans="1:6" x14ac:dyDescent="0.25">
      <c r="A1458" s="1" t="s">
        <v>1253</v>
      </c>
      <c r="B1458" s="1" t="s">
        <v>2320</v>
      </c>
      <c r="C1458" s="1" t="s">
        <v>379</v>
      </c>
      <c r="D1458" s="3">
        <f t="shared" si="212"/>
        <v>8165</v>
      </c>
      <c r="E1458" s="2">
        <f t="shared" si="213"/>
        <v>43070</v>
      </c>
      <c r="F1458" s="2">
        <f t="shared" si="214"/>
        <v>43708</v>
      </c>
    </row>
    <row r="1459" spans="1:6" x14ac:dyDescent="0.25">
      <c r="A1459" s="1" t="s">
        <v>1253</v>
      </c>
      <c r="B1459" s="1" t="s">
        <v>2320</v>
      </c>
      <c r="C1459" s="1" t="s">
        <v>36</v>
      </c>
      <c r="D1459" s="3">
        <f t="shared" si="212"/>
        <v>8165</v>
      </c>
      <c r="E1459" s="2">
        <f t="shared" si="213"/>
        <v>43070</v>
      </c>
      <c r="F1459" s="2">
        <f t="shared" si="214"/>
        <v>43708</v>
      </c>
    </row>
    <row r="1460" spans="1:6" x14ac:dyDescent="0.25">
      <c r="A1460" s="1" t="s">
        <v>1253</v>
      </c>
      <c r="B1460" s="1" t="s">
        <v>2346</v>
      </c>
      <c r="C1460" s="1" t="s">
        <v>7</v>
      </c>
      <c r="D1460" s="3">
        <f>VALUE("8212")</f>
        <v>8212</v>
      </c>
      <c r="E1460" s="2">
        <f t="shared" si="213"/>
        <v>43070</v>
      </c>
      <c r="F1460" s="2">
        <f>DATEVALUE("30-6-2018")</f>
        <v>43281</v>
      </c>
    </row>
    <row r="1461" spans="1:6" x14ac:dyDescent="0.25">
      <c r="A1461" s="1" t="s">
        <v>1253</v>
      </c>
      <c r="B1461" s="1" t="s">
        <v>2782</v>
      </c>
      <c r="C1461" s="1" t="s">
        <v>7</v>
      </c>
      <c r="D1461" s="3">
        <f>VALUE("8213")</f>
        <v>8213</v>
      </c>
      <c r="E1461" s="2">
        <f t="shared" si="213"/>
        <v>43070</v>
      </c>
      <c r="F1461" s="2">
        <f>DATEVALUE("31-12-2019")</f>
        <v>43830</v>
      </c>
    </row>
    <row r="1462" spans="1:6" x14ac:dyDescent="0.25">
      <c r="A1462" s="1" t="s">
        <v>1253</v>
      </c>
      <c r="B1462" s="1" t="s">
        <v>2322</v>
      </c>
      <c r="C1462" s="1" t="s">
        <v>7</v>
      </c>
      <c r="D1462" s="3">
        <f t="shared" ref="D1462:D1487" si="215">VALUE("8166")</f>
        <v>8166</v>
      </c>
      <c r="E1462" s="2">
        <f t="shared" ref="E1462:E1487" si="216">DATEVALUE("1-11-2017")</f>
        <v>43040</v>
      </c>
      <c r="F1462" s="2">
        <f t="shared" ref="F1462:F1487" si="217">DATEVALUE("31-8-2019")</f>
        <v>43708</v>
      </c>
    </row>
    <row r="1463" spans="1:6" x14ac:dyDescent="0.25">
      <c r="A1463" s="1" t="s">
        <v>1253</v>
      </c>
      <c r="B1463" s="1" t="s">
        <v>2322</v>
      </c>
      <c r="C1463" s="1" t="s">
        <v>215</v>
      </c>
      <c r="D1463" s="3">
        <f t="shared" si="215"/>
        <v>8166</v>
      </c>
      <c r="E1463" s="2">
        <f t="shared" si="216"/>
        <v>43040</v>
      </c>
      <c r="F1463" s="2">
        <f t="shared" si="217"/>
        <v>43708</v>
      </c>
    </row>
    <row r="1464" spans="1:6" x14ac:dyDescent="0.25">
      <c r="A1464" s="1" t="s">
        <v>1253</v>
      </c>
      <c r="B1464" s="1" t="s">
        <v>2322</v>
      </c>
      <c r="C1464" s="1" t="s">
        <v>141</v>
      </c>
      <c r="D1464" s="3">
        <f t="shared" si="215"/>
        <v>8166</v>
      </c>
      <c r="E1464" s="2">
        <f t="shared" si="216"/>
        <v>43040</v>
      </c>
      <c r="F1464" s="2">
        <f t="shared" si="217"/>
        <v>43708</v>
      </c>
    </row>
    <row r="1465" spans="1:6" x14ac:dyDescent="0.25">
      <c r="A1465" s="1" t="s">
        <v>1253</v>
      </c>
      <c r="B1465" s="1" t="s">
        <v>2322</v>
      </c>
      <c r="C1465" s="1" t="s">
        <v>248</v>
      </c>
      <c r="D1465" s="3">
        <f t="shared" si="215"/>
        <v>8166</v>
      </c>
      <c r="E1465" s="2">
        <f t="shared" si="216"/>
        <v>43040</v>
      </c>
      <c r="F1465" s="2">
        <f t="shared" si="217"/>
        <v>43708</v>
      </c>
    </row>
    <row r="1466" spans="1:6" x14ac:dyDescent="0.25">
      <c r="A1466" s="1" t="s">
        <v>1253</v>
      </c>
      <c r="B1466" s="1" t="s">
        <v>2322</v>
      </c>
      <c r="C1466" s="1" t="s">
        <v>14</v>
      </c>
      <c r="D1466" s="3">
        <f t="shared" si="215"/>
        <v>8166</v>
      </c>
      <c r="E1466" s="2">
        <f t="shared" si="216"/>
        <v>43040</v>
      </c>
      <c r="F1466" s="2">
        <f t="shared" si="217"/>
        <v>43708</v>
      </c>
    </row>
    <row r="1467" spans="1:6" x14ac:dyDescent="0.25">
      <c r="A1467" s="1" t="s">
        <v>1253</v>
      </c>
      <c r="B1467" s="1" t="s">
        <v>2322</v>
      </c>
      <c r="C1467" s="1" t="s">
        <v>17</v>
      </c>
      <c r="D1467" s="3">
        <f t="shared" si="215"/>
        <v>8166</v>
      </c>
      <c r="E1467" s="2">
        <f t="shared" si="216"/>
        <v>43040</v>
      </c>
      <c r="F1467" s="2">
        <f t="shared" si="217"/>
        <v>43708</v>
      </c>
    </row>
    <row r="1468" spans="1:6" x14ac:dyDescent="0.25">
      <c r="A1468" s="1" t="s">
        <v>1253</v>
      </c>
      <c r="B1468" s="1" t="s">
        <v>2322</v>
      </c>
      <c r="C1468" s="1" t="s">
        <v>146</v>
      </c>
      <c r="D1468" s="3">
        <f t="shared" si="215"/>
        <v>8166</v>
      </c>
      <c r="E1468" s="2">
        <f t="shared" si="216"/>
        <v>43040</v>
      </c>
      <c r="F1468" s="2">
        <f t="shared" si="217"/>
        <v>43708</v>
      </c>
    </row>
    <row r="1469" spans="1:6" x14ac:dyDescent="0.25">
      <c r="A1469" s="1" t="s">
        <v>1253</v>
      </c>
      <c r="B1469" s="1" t="s">
        <v>2322</v>
      </c>
      <c r="C1469" s="1" t="s">
        <v>67</v>
      </c>
      <c r="D1469" s="3">
        <f t="shared" si="215"/>
        <v>8166</v>
      </c>
      <c r="E1469" s="2">
        <f t="shared" si="216"/>
        <v>43040</v>
      </c>
      <c r="F1469" s="2">
        <f t="shared" si="217"/>
        <v>43708</v>
      </c>
    </row>
    <row r="1470" spans="1:6" x14ac:dyDescent="0.25">
      <c r="A1470" s="1" t="s">
        <v>1253</v>
      </c>
      <c r="B1470" s="1" t="s">
        <v>2322</v>
      </c>
      <c r="C1470" s="1" t="s">
        <v>538</v>
      </c>
      <c r="D1470" s="3">
        <f t="shared" si="215"/>
        <v>8166</v>
      </c>
      <c r="E1470" s="2">
        <f t="shared" si="216"/>
        <v>43040</v>
      </c>
      <c r="F1470" s="2">
        <f t="shared" si="217"/>
        <v>43708</v>
      </c>
    </row>
    <row r="1471" spans="1:6" x14ac:dyDescent="0.25">
      <c r="A1471" s="1" t="s">
        <v>1253</v>
      </c>
      <c r="B1471" s="1" t="s">
        <v>2322</v>
      </c>
      <c r="C1471" s="1" t="s">
        <v>539</v>
      </c>
      <c r="D1471" s="3">
        <f t="shared" si="215"/>
        <v>8166</v>
      </c>
      <c r="E1471" s="2">
        <f t="shared" si="216"/>
        <v>43040</v>
      </c>
      <c r="F1471" s="2">
        <f t="shared" si="217"/>
        <v>43708</v>
      </c>
    </row>
    <row r="1472" spans="1:6" x14ac:dyDescent="0.25">
      <c r="A1472" s="1" t="s">
        <v>1253</v>
      </c>
      <c r="B1472" s="1" t="s">
        <v>2322</v>
      </c>
      <c r="C1472" s="1" t="s">
        <v>149</v>
      </c>
      <c r="D1472" s="3">
        <f t="shared" si="215"/>
        <v>8166</v>
      </c>
      <c r="E1472" s="2">
        <f t="shared" si="216"/>
        <v>43040</v>
      </c>
      <c r="F1472" s="2">
        <f t="shared" si="217"/>
        <v>43708</v>
      </c>
    </row>
    <row r="1473" spans="1:6" x14ac:dyDescent="0.25">
      <c r="A1473" s="1" t="s">
        <v>1253</v>
      </c>
      <c r="B1473" s="1" t="s">
        <v>2322</v>
      </c>
      <c r="C1473" s="1" t="s">
        <v>150</v>
      </c>
      <c r="D1473" s="3">
        <f t="shared" si="215"/>
        <v>8166</v>
      </c>
      <c r="E1473" s="2">
        <f t="shared" si="216"/>
        <v>43040</v>
      </c>
      <c r="F1473" s="2">
        <f t="shared" si="217"/>
        <v>43708</v>
      </c>
    </row>
    <row r="1474" spans="1:6" x14ac:dyDescent="0.25">
      <c r="A1474" s="1" t="s">
        <v>1253</v>
      </c>
      <c r="B1474" s="1" t="s">
        <v>2322</v>
      </c>
      <c r="C1474" s="1" t="s">
        <v>151</v>
      </c>
      <c r="D1474" s="3">
        <f t="shared" si="215"/>
        <v>8166</v>
      </c>
      <c r="E1474" s="2">
        <f t="shared" si="216"/>
        <v>43040</v>
      </c>
      <c r="F1474" s="2">
        <f t="shared" si="217"/>
        <v>43708</v>
      </c>
    </row>
    <row r="1475" spans="1:6" x14ac:dyDescent="0.25">
      <c r="A1475" s="1" t="s">
        <v>1253</v>
      </c>
      <c r="B1475" s="1" t="s">
        <v>2322</v>
      </c>
      <c r="C1475" s="1" t="s">
        <v>2323</v>
      </c>
      <c r="D1475" s="3">
        <f t="shared" si="215"/>
        <v>8166</v>
      </c>
      <c r="E1475" s="2">
        <f t="shared" si="216"/>
        <v>43040</v>
      </c>
      <c r="F1475" s="2">
        <f t="shared" si="217"/>
        <v>43708</v>
      </c>
    </row>
    <row r="1476" spans="1:6" x14ac:dyDescent="0.25">
      <c r="A1476" s="1" t="s">
        <v>1253</v>
      </c>
      <c r="B1476" s="1" t="s">
        <v>2322</v>
      </c>
      <c r="C1476" s="1" t="s">
        <v>1321</v>
      </c>
      <c r="D1476" s="3">
        <f t="shared" si="215"/>
        <v>8166</v>
      </c>
      <c r="E1476" s="2">
        <f t="shared" si="216"/>
        <v>43040</v>
      </c>
      <c r="F1476" s="2">
        <f t="shared" si="217"/>
        <v>43708</v>
      </c>
    </row>
    <row r="1477" spans="1:6" x14ac:dyDescent="0.25">
      <c r="A1477" s="1" t="s">
        <v>1253</v>
      </c>
      <c r="B1477" s="1" t="s">
        <v>2322</v>
      </c>
      <c r="C1477" s="1" t="s">
        <v>1322</v>
      </c>
      <c r="D1477" s="3">
        <f t="shared" si="215"/>
        <v>8166</v>
      </c>
      <c r="E1477" s="2">
        <f t="shared" si="216"/>
        <v>43040</v>
      </c>
      <c r="F1477" s="2">
        <f t="shared" si="217"/>
        <v>43708</v>
      </c>
    </row>
    <row r="1478" spans="1:6" x14ac:dyDescent="0.25">
      <c r="A1478" s="1" t="s">
        <v>1253</v>
      </c>
      <c r="B1478" s="1" t="s">
        <v>2322</v>
      </c>
      <c r="C1478" s="1" t="s">
        <v>24</v>
      </c>
      <c r="D1478" s="3">
        <f t="shared" si="215"/>
        <v>8166</v>
      </c>
      <c r="E1478" s="2">
        <f t="shared" si="216"/>
        <v>43040</v>
      </c>
      <c r="F1478" s="2">
        <f t="shared" si="217"/>
        <v>43708</v>
      </c>
    </row>
    <row r="1479" spans="1:6" x14ac:dyDescent="0.25">
      <c r="A1479" s="1" t="s">
        <v>1253</v>
      </c>
      <c r="B1479" s="1" t="s">
        <v>2322</v>
      </c>
      <c r="C1479" s="1" t="s">
        <v>548</v>
      </c>
      <c r="D1479" s="3">
        <f t="shared" si="215"/>
        <v>8166</v>
      </c>
      <c r="E1479" s="2">
        <f t="shared" si="216"/>
        <v>43040</v>
      </c>
      <c r="F1479" s="2">
        <f t="shared" si="217"/>
        <v>43708</v>
      </c>
    </row>
    <row r="1480" spans="1:6" x14ac:dyDescent="0.25">
      <c r="A1480" s="1" t="s">
        <v>1253</v>
      </c>
      <c r="B1480" s="1" t="s">
        <v>2322</v>
      </c>
      <c r="C1480" s="1" t="s">
        <v>73</v>
      </c>
      <c r="D1480" s="3">
        <f t="shared" si="215"/>
        <v>8166</v>
      </c>
      <c r="E1480" s="2">
        <f t="shared" si="216"/>
        <v>43040</v>
      </c>
      <c r="F1480" s="2">
        <f t="shared" si="217"/>
        <v>43708</v>
      </c>
    </row>
    <row r="1481" spans="1:6" x14ac:dyDescent="0.25">
      <c r="A1481" s="1" t="s">
        <v>1253</v>
      </c>
      <c r="B1481" s="1" t="s">
        <v>2322</v>
      </c>
      <c r="C1481" s="1" t="s">
        <v>1324</v>
      </c>
      <c r="D1481" s="3">
        <f t="shared" si="215"/>
        <v>8166</v>
      </c>
      <c r="E1481" s="2">
        <f t="shared" si="216"/>
        <v>43040</v>
      </c>
      <c r="F1481" s="2">
        <f t="shared" si="217"/>
        <v>43708</v>
      </c>
    </row>
    <row r="1482" spans="1:6" x14ac:dyDescent="0.25">
      <c r="A1482" s="1" t="s">
        <v>1253</v>
      </c>
      <c r="B1482" s="1" t="s">
        <v>2322</v>
      </c>
      <c r="C1482" s="1" t="s">
        <v>376</v>
      </c>
      <c r="D1482" s="3">
        <f t="shared" si="215"/>
        <v>8166</v>
      </c>
      <c r="E1482" s="2">
        <f t="shared" si="216"/>
        <v>43040</v>
      </c>
      <c r="F1482" s="2">
        <f t="shared" si="217"/>
        <v>43708</v>
      </c>
    </row>
    <row r="1483" spans="1:6" x14ac:dyDescent="0.25">
      <c r="A1483" s="1" t="s">
        <v>1253</v>
      </c>
      <c r="B1483" s="1" t="s">
        <v>2322</v>
      </c>
      <c r="C1483" s="1" t="s">
        <v>377</v>
      </c>
      <c r="D1483" s="3">
        <f t="shared" si="215"/>
        <v>8166</v>
      </c>
      <c r="E1483" s="2">
        <f t="shared" si="216"/>
        <v>43040</v>
      </c>
      <c r="F1483" s="2">
        <f t="shared" si="217"/>
        <v>43708</v>
      </c>
    </row>
    <row r="1484" spans="1:6" x14ac:dyDescent="0.25">
      <c r="A1484" s="1" t="s">
        <v>1253</v>
      </c>
      <c r="B1484" s="1" t="s">
        <v>2322</v>
      </c>
      <c r="C1484" s="1" t="s">
        <v>160</v>
      </c>
      <c r="D1484" s="3">
        <f t="shared" si="215"/>
        <v>8166</v>
      </c>
      <c r="E1484" s="2">
        <f t="shared" si="216"/>
        <v>43040</v>
      </c>
      <c r="F1484" s="2">
        <f t="shared" si="217"/>
        <v>43708</v>
      </c>
    </row>
    <row r="1485" spans="1:6" x14ac:dyDescent="0.25">
      <c r="A1485" s="1" t="s">
        <v>1253</v>
      </c>
      <c r="B1485" s="1" t="s">
        <v>2322</v>
      </c>
      <c r="C1485" s="1" t="s">
        <v>402</v>
      </c>
      <c r="D1485" s="3">
        <f t="shared" si="215"/>
        <v>8166</v>
      </c>
      <c r="E1485" s="2">
        <f t="shared" si="216"/>
        <v>43040</v>
      </c>
      <c r="F1485" s="2">
        <f t="shared" si="217"/>
        <v>43708</v>
      </c>
    </row>
    <row r="1486" spans="1:6" x14ac:dyDescent="0.25">
      <c r="A1486" s="1" t="s">
        <v>1253</v>
      </c>
      <c r="B1486" s="1" t="s">
        <v>2322</v>
      </c>
      <c r="C1486" s="1" t="s">
        <v>378</v>
      </c>
      <c r="D1486" s="3">
        <f t="shared" si="215"/>
        <v>8166</v>
      </c>
      <c r="E1486" s="2">
        <f t="shared" si="216"/>
        <v>43040</v>
      </c>
      <c r="F1486" s="2">
        <f t="shared" si="217"/>
        <v>43708</v>
      </c>
    </row>
    <row r="1487" spans="1:6" x14ac:dyDescent="0.25">
      <c r="A1487" s="1" t="s">
        <v>1253</v>
      </c>
      <c r="B1487" s="1" t="s">
        <v>2322</v>
      </c>
      <c r="C1487" s="1" t="s">
        <v>34</v>
      </c>
      <c r="D1487" s="3">
        <f t="shared" si="215"/>
        <v>8166</v>
      </c>
      <c r="E1487" s="2">
        <f t="shared" si="216"/>
        <v>43040</v>
      </c>
      <c r="F1487" s="2">
        <f t="shared" si="217"/>
        <v>43708</v>
      </c>
    </row>
    <row r="1488" spans="1:6" x14ac:dyDescent="0.25">
      <c r="A1488" s="1" t="s">
        <v>1253</v>
      </c>
      <c r="B1488" s="1" t="s">
        <v>2333</v>
      </c>
      <c r="C1488" s="1" t="s">
        <v>92</v>
      </c>
      <c r="D1488" s="3">
        <f>VALUE("8185")</f>
        <v>8185</v>
      </c>
      <c r="E1488" s="2">
        <f>DATEVALUE("1-10-2017")</f>
        <v>43009</v>
      </c>
      <c r="F1488" s="2">
        <f>DATEVALUE("31-3-2019")</f>
        <v>43555</v>
      </c>
    </row>
    <row r="1489" spans="1:6" x14ac:dyDescent="0.25">
      <c r="A1489" s="1" t="s">
        <v>1253</v>
      </c>
      <c r="B1489" s="1" t="s">
        <v>2333</v>
      </c>
      <c r="C1489" s="1" t="s">
        <v>26</v>
      </c>
      <c r="D1489" s="3">
        <f>VALUE("8185")</f>
        <v>8185</v>
      </c>
      <c r="E1489" s="2">
        <f>DATEVALUE("1-10-2017")</f>
        <v>43009</v>
      </c>
      <c r="F1489" s="2">
        <f>DATEVALUE("31-3-2019")</f>
        <v>43555</v>
      </c>
    </row>
    <row r="1490" spans="1:6" x14ac:dyDescent="0.25">
      <c r="A1490" s="1" t="s">
        <v>1253</v>
      </c>
      <c r="B1490" s="1" t="s">
        <v>2333</v>
      </c>
      <c r="C1490" s="1" t="s">
        <v>2334</v>
      </c>
      <c r="D1490" s="3">
        <f>VALUE("8185")</f>
        <v>8185</v>
      </c>
      <c r="E1490" s="2">
        <f>DATEVALUE("1-10-2017")</f>
        <v>43009</v>
      </c>
      <c r="F1490" s="2">
        <f>DATEVALUE("31-3-2019")</f>
        <v>43555</v>
      </c>
    </row>
    <row r="1491" spans="1:6" x14ac:dyDescent="0.25">
      <c r="A1491" s="1" t="s">
        <v>796</v>
      </c>
      <c r="B1491" s="1" t="s">
        <v>795</v>
      </c>
      <c r="C1491" s="1" t="s">
        <v>799</v>
      </c>
      <c r="D1491" s="3">
        <f>VALUE("8017")</f>
        <v>8017</v>
      </c>
      <c r="E1491" s="2">
        <f>DATEVALUE("1-10-2018")</f>
        <v>43374</v>
      </c>
      <c r="F1491" s="2">
        <f>DATEVALUE("30-9-2020")</f>
        <v>44104</v>
      </c>
    </row>
    <row r="1492" spans="1:6" x14ac:dyDescent="0.25">
      <c r="A1492" s="1" t="s">
        <v>796</v>
      </c>
      <c r="B1492" s="1" t="s">
        <v>795</v>
      </c>
      <c r="C1492" s="1" t="s">
        <v>797</v>
      </c>
      <c r="D1492" s="3">
        <f>VALUE("8017")</f>
        <v>8017</v>
      </c>
      <c r="E1492" s="2">
        <f>DATEVALUE("1-10-2018")</f>
        <v>43374</v>
      </c>
      <c r="F1492" s="2">
        <f>DATEVALUE("30-9-2020")</f>
        <v>44104</v>
      </c>
    </row>
    <row r="1493" spans="1:6" x14ac:dyDescent="0.25">
      <c r="A1493" s="1" t="s">
        <v>796</v>
      </c>
      <c r="B1493" s="1" t="s">
        <v>795</v>
      </c>
      <c r="C1493" s="1" t="s">
        <v>798</v>
      </c>
      <c r="D1493" s="3">
        <f>VALUE("8017")</f>
        <v>8017</v>
      </c>
      <c r="E1493" s="2">
        <f>DATEVALUE("1-10-2018")</f>
        <v>43374</v>
      </c>
      <c r="F1493" s="2">
        <f>DATEVALUE("30-9-2020")</f>
        <v>44104</v>
      </c>
    </row>
    <row r="1494" spans="1:6" x14ac:dyDescent="0.25">
      <c r="A1494" s="1" t="s">
        <v>1049</v>
      </c>
      <c r="B1494" s="1" t="s">
        <v>2464</v>
      </c>
      <c r="C1494" s="1" t="s">
        <v>2465</v>
      </c>
      <c r="D1494" s="3">
        <f>VALUE("8564")</f>
        <v>8564</v>
      </c>
      <c r="E1494" s="2">
        <f>DATEVALUE("1-7-2019")</f>
        <v>43647</v>
      </c>
      <c r="F1494" s="2">
        <f>DATEVALUE("31-10-2019")</f>
        <v>43769</v>
      </c>
    </row>
    <row r="1495" spans="1:6" x14ac:dyDescent="0.25">
      <c r="A1495" s="1" t="s">
        <v>1049</v>
      </c>
      <c r="B1495" s="1" t="s">
        <v>1048</v>
      </c>
      <c r="C1495" s="1" t="s">
        <v>1051</v>
      </c>
      <c r="D1495" s="3">
        <f t="shared" ref="D1495:D1504" si="218">VALUE("8330")</f>
        <v>8330</v>
      </c>
      <c r="E1495" s="2">
        <f t="shared" ref="E1495:E1504" si="219">DATEVALUE("1-7-2018")</f>
        <v>43282</v>
      </c>
      <c r="F1495" s="2">
        <f t="shared" ref="F1495:F1504" si="220">DATEVALUE("31-12-2025")</f>
        <v>46022</v>
      </c>
    </row>
    <row r="1496" spans="1:6" x14ac:dyDescent="0.25">
      <c r="A1496" s="1" t="s">
        <v>1049</v>
      </c>
      <c r="B1496" s="1" t="s">
        <v>1048</v>
      </c>
      <c r="C1496" s="1" t="s">
        <v>7</v>
      </c>
      <c r="D1496" s="3">
        <f t="shared" si="218"/>
        <v>8330</v>
      </c>
      <c r="E1496" s="2">
        <f t="shared" si="219"/>
        <v>43282</v>
      </c>
      <c r="F1496" s="2">
        <f t="shared" si="220"/>
        <v>46022</v>
      </c>
    </row>
    <row r="1497" spans="1:6" x14ac:dyDescent="0.25">
      <c r="A1497" s="1" t="s">
        <v>1049</v>
      </c>
      <c r="B1497" s="1" t="s">
        <v>1048</v>
      </c>
      <c r="C1497" s="1" t="s">
        <v>219</v>
      </c>
      <c r="D1497" s="3">
        <f t="shared" si="218"/>
        <v>8330</v>
      </c>
      <c r="E1497" s="2">
        <f t="shared" si="219"/>
        <v>43282</v>
      </c>
      <c r="F1497" s="2">
        <f t="shared" si="220"/>
        <v>46022</v>
      </c>
    </row>
    <row r="1498" spans="1:6" x14ac:dyDescent="0.25">
      <c r="A1498" s="1" t="s">
        <v>1049</v>
      </c>
      <c r="B1498" s="1" t="s">
        <v>1048</v>
      </c>
      <c r="C1498" s="1" t="s">
        <v>599</v>
      </c>
      <c r="D1498" s="3">
        <f t="shared" si="218"/>
        <v>8330</v>
      </c>
      <c r="E1498" s="2">
        <f t="shared" si="219"/>
        <v>43282</v>
      </c>
      <c r="F1498" s="2">
        <f t="shared" si="220"/>
        <v>46022</v>
      </c>
    </row>
    <row r="1499" spans="1:6" x14ac:dyDescent="0.25">
      <c r="A1499" s="1" t="s">
        <v>1049</v>
      </c>
      <c r="B1499" s="1" t="s">
        <v>1048</v>
      </c>
      <c r="C1499" s="1" t="s">
        <v>13</v>
      </c>
      <c r="D1499" s="3">
        <f t="shared" si="218"/>
        <v>8330</v>
      </c>
      <c r="E1499" s="2">
        <f t="shared" si="219"/>
        <v>43282</v>
      </c>
      <c r="F1499" s="2">
        <f t="shared" si="220"/>
        <v>46022</v>
      </c>
    </row>
    <row r="1500" spans="1:6" x14ac:dyDescent="0.25">
      <c r="A1500" s="1" t="s">
        <v>1049</v>
      </c>
      <c r="B1500" s="1" t="s">
        <v>1048</v>
      </c>
      <c r="C1500" s="1" t="s">
        <v>220</v>
      </c>
      <c r="D1500" s="3">
        <f t="shared" si="218"/>
        <v>8330</v>
      </c>
      <c r="E1500" s="2">
        <f t="shared" si="219"/>
        <v>43282</v>
      </c>
      <c r="F1500" s="2">
        <f t="shared" si="220"/>
        <v>46022</v>
      </c>
    </row>
    <row r="1501" spans="1:6" x14ac:dyDescent="0.25">
      <c r="A1501" s="1" t="s">
        <v>1049</v>
      </c>
      <c r="B1501" s="1" t="s">
        <v>1048</v>
      </c>
      <c r="C1501" s="1" t="s">
        <v>221</v>
      </c>
      <c r="D1501" s="3">
        <f t="shared" si="218"/>
        <v>8330</v>
      </c>
      <c r="E1501" s="2">
        <f t="shared" si="219"/>
        <v>43282</v>
      </c>
      <c r="F1501" s="2">
        <f t="shared" si="220"/>
        <v>46022</v>
      </c>
    </row>
    <row r="1502" spans="1:6" x14ac:dyDescent="0.25">
      <c r="A1502" s="1" t="s">
        <v>1049</v>
      </c>
      <c r="B1502" s="1" t="s">
        <v>1048</v>
      </c>
      <c r="C1502" s="1" t="s">
        <v>222</v>
      </c>
      <c r="D1502" s="3">
        <f t="shared" si="218"/>
        <v>8330</v>
      </c>
      <c r="E1502" s="2">
        <f t="shared" si="219"/>
        <v>43282</v>
      </c>
      <c r="F1502" s="2">
        <f t="shared" si="220"/>
        <v>46022</v>
      </c>
    </row>
    <row r="1503" spans="1:6" x14ac:dyDescent="0.25">
      <c r="A1503" s="1" t="s">
        <v>1049</v>
      </c>
      <c r="B1503" s="1" t="s">
        <v>1048</v>
      </c>
      <c r="C1503" s="1" t="s">
        <v>1050</v>
      </c>
      <c r="D1503" s="3">
        <f t="shared" si="218"/>
        <v>8330</v>
      </c>
      <c r="E1503" s="2">
        <f t="shared" si="219"/>
        <v>43282</v>
      </c>
      <c r="F1503" s="2">
        <f t="shared" si="220"/>
        <v>46022</v>
      </c>
    </row>
    <row r="1504" spans="1:6" x14ac:dyDescent="0.25">
      <c r="A1504" s="1" t="s">
        <v>1049</v>
      </c>
      <c r="B1504" s="1" t="s">
        <v>1048</v>
      </c>
      <c r="C1504" s="1" t="s">
        <v>240</v>
      </c>
      <c r="D1504" s="3">
        <f t="shared" si="218"/>
        <v>8330</v>
      </c>
      <c r="E1504" s="2">
        <f t="shared" si="219"/>
        <v>43282</v>
      </c>
      <c r="F1504" s="2">
        <f t="shared" si="220"/>
        <v>46022</v>
      </c>
    </row>
    <row r="1505" spans="1:6" x14ac:dyDescent="0.25">
      <c r="A1505" s="1" t="s">
        <v>2134</v>
      </c>
      <c r="B1505" s="1" t="s">
        <v>2133</v>
      </c>
      <c r="C1505" s="1" t="s">
        <v>7</v>
      </c>
      <c r="D1505" s="3">
        <f t="shared" ref="D1505:D1535" si="221">VALUE("7395")</f>
        <v>7395</v>
      </c>
      <c r="E1505" s="2">
        <f t="shared" ref="E1505:E1535" si="222">DATEVALUE("1-8-2012")</f>
        <v>41122</v>
      </c>
      <c r="F1505" s="2">
        <f t="shared" ref="F1505:F1535" si="223">DATEVALUE("31-5-2020")</f>
        <v>43982</v>
      </c>
    </row>
    <row r="1506" spans="1:6" x14ac:dyDescent="0.25">
      <c r="A1506" s="1" t="s">
        <v>2134</v>
      </c>
      <c r="B1506" s="1" t="s">
        <v>2133</v>
      </c>
      <c r="C1506" s="1" t="s">
        <v>6</v>
      </c>
      <c r="D1506" s="3">
        <f t="shared" si="221"/>
        <v>7395</v>
      </c>
      <c r="E1506" s="2">
        <f t="shared" si="222"/>
        <v>41122</v>
      </c>
      <c r="F1506" s="2">
        <f t="shared" si="223"/>
        <v>43982</v>
      </c>
    </row>
    <row r="1507" spans="1:6" x14ac:dyDescent="0.25">
      <c r="A1507" s="1" t="s">
        <v>2134</v>
      </c>
      <c r="B1507" s="1" t="s">
        <v>2133</v>
      </c>
      <c r="C1507" s="1" t="s">
        <v>8</v>
      </c>
      <c r="D1507" s="3">
        <f t="shared" si="221"/>
        <v>7395</v>
      </c>
      <c r="E1507" s="2">
        <f t="shared" si="222"/>
        <v>41122</v>
      </c>
      <c r="F1507" s="2">
        <f t="shared" si="223"/>
        <v>43982</v>
      </c>
    </row>
    <row r="1508" spans="1:6" x14ac:dyDescent="0.25">
      <c r="A1508" s="1" t="s">
        <v>2134</v>
      </c>
      <c r="B1508" s="1" t="s">
        <v>2133</v>
      </c>
      <c r="C1508" s="1" t="s">
        <v>10</v>
      </c>
      <c r="D1508" s="3">
        <f t="shared" si="221"/>
        <v>7395</v>
      </c>
      <c r="E1508" s="2">
        <f t="shared" si="222"/>
        <v>41122</v>
      </c>
      <c r="F1508" s="2">
        <f t="shared" si="223"/>
        <v>43982</v>
      </c>
    </row>
    <row r="1509" spans="1:6" x14ac:dyDescent="0.25">
      <c r="A1509" s="1" t="s">
        <v>2134</v>
      </c>
      <c r="B1509" s="1" t="s">
        <v>2133</v>
      </c>
      <c r="C1509" s="1" t="s">
        <v>61</v>
      </c>
      <c r="D1509" s="3">
        <f t="shared" si="221"/>
        <v>7395</v>
      </c>
      <c r="E1509" s="2">
        <f t="shared" si="222"/>
        <v>41122</v>
      </c>
      <c r="F1509" s="2">
        <f t="shared" si="223"/>
        <v>43982</v>
      </c>
    </row>
    <row r="1510" spans="1:6" x14ac:dyDescent="0.25">
      <c r="A1510" s="1" t="s">
        <v>2134</v>
      </c>
      <c r="B1510" s="1" t="s">
        <v>2133</v>
      </c>
      <c r="C1510" s="1" t="s">
        <v>43</v>
      </c>
      <c r="D1510" s="3">
        <f t="shared" si="221"/>
        <v>7395</v>
      </c>
      <c r="E1510" s="2">
        <f t="shared" si="222"/>
        <v>41122</v>
      </c>
      <c r="F1510" s="2">
        <f t="shared" si="223"/>
        <v>43982</v>
      </c>
    </row>
    <row r="1511" spans="1:6" x14ac:dyDescent="0.25">
      <c r="A1511" s="1" t="s">
        <v>2134</v>
      </c>
      <c r="B1511" s="1" t="s">
        <v>2133</v>
      </c>
      <c r="C1511" s="1" t="s">
        <v>45</v>
      </c>
      <c r="D1511" s="3">
        <f t="shared" si="221"/>
        <v>7395</v>
      </c>
      <c r="E1511" s="2">
        <f t="shared" si="222"/>
        <v>41122</v>
      </c>
      <c r="F1511" s="2">
        <f t="shared" si="223"/>
        <v>43982</v>
      </c>
    </row>
    <row r="1512" spans="1:6" x14ac:dyDescent="0.25">
      <c r="A1512" s="1" t="s">
        <v>2134</v>
      </c>
      <c r="B1512" s="1" t="s">
        <v>2133</v>
      </c>
      <c r="C1512" s="1" t="s">
        <v>46</v>
      </c>
      <c r="D1512" s="3">
        <f t="shared" si="221"/>
        <v>7395</v>
      </c>
      <c r="E1512" s="2">
        <f t="shared" si="222"/>
        <v>41122</v>
      </c>
      <c r="F1512" s="2">
        <f t="shared" si="223"/>
        <v>43982</v>
      </c>
    </row>
    <row r="1513" spans="1:6" x14ac:dyDescent="0.25">
      <c r="A1513" s="1" t="s">
        <v>2134</v>
      </c>
      <c r="B1513" s="1" t="s">
        <v>2133</v>
      </c>
      <c r="C1513" s="1" t="s">
        <v>14</v>
      </c>
      <c r="D1513" s="3">
        <f t="shared" si="221"/>
        <v>7395</v>
      </c>
      <c r="E1513" s="2">
        <f t="shared" si="222"/>
        <v>41122</v>
      </c>
      <c r="F1513" s="2">
        <f t="shared" si="223"/>
        <v>43982</v>
      </c>
    </row>
    <row r="1514" spans="1:6" x14ac:dyDescent="0.25">
      <c r="A1514" s="1" t="s">
        <v>2134</v>
      </c>
      <c r="B1514" s="1" t="s">
        <v>2133</v>
      </c>
      <c r="C1514" s="1" t="s">
        <v>15</v>
      </c>
      <c r="D1514" s="3">
        <f t="shared" si="221"/>
        <v>7395</v>
      </c>
      <c r="E1514" s="2">
        <f t="shared" si="222"/>
        <v>41122</v>
      </c>
      <c r="F1514" s="2">
        <f t="shared" si="223"/>
        <v>43982</v>
      </c>
    </row>
    <row r="1515" spans="1:6" x14ac:dyDescent="0.25">
      <c r="A1515" s="1" t="s">
        <v>2134</v>
      </c>
      <c r="B1515" s="1" t="s">
        <v>2133</v>
      </c>
      <c r="C1515" s="1" t="s">
        <v>17</v>
      </c>
      <c r="D1515" s="3">
        <f t="shared" si="221"/>
        <v>7395</v>
      </c>
      <c r="E1515" s="2">
        <f t="shared" si="222"/>
        <v>41122</v>
      </c>
      <c r="F1515" s="2">
        <f t="shared" si="223"/>
        <v>43982</v>
      </c>
    </row>
    <row r="1516" spans="1:6" x14ac:dyDescent="0.25">
      <c r="A1516" s="1" t="s">
        <v>2134</v>
      </c>
      <c r="B1516" s="1" t="s">
        <v>2133</v>
      </c>
      <c r="C1516" s="1" t="s">
        <v>19</v>
      </c>
      <c r="D1516" s="3">
        <f t="shared" si="221"/>
        <v>7395</v>
      </c>
      <c r="E1516" s="2">
        <f t="shared" si="222"/>
        <v>41122</v>
      </c>
      <c r="F1516" s="2">
        <f t="shared" si="223"/>
        <v>43982</v>
      </c>
    </row>
    <row r="1517" spans="1:6" x14ac:dyDescent="0.25">
      <c r="A1517" s="1" t="s">
        <v>2134</v>
      </c>
      <c r="B1517" s="1" t="s">
        <v>2133</v>
      </c>
      <c r="C1517" s="1" t="s">
        <v>193</v>
      </c>
      <c r="D1517" s="3">
        <f t="shared" si="221"/>
        <v>7395</v>
      </c>
      <c r="E1517" s="2">
        <f t="shared" si="222"/>
        <v>41122</v>
      </c>
      <c r="F1517" s="2">
        <f t="shared" si="223"/>
        <v>43982</v>
      </c>
    </row>
    <row r="1518" spans="1:6" x14ac:dyDescent="0.25">
      <c r="A1518" s="1" t="s">
        <v>2134</v>
      </c>
      <c r="B1518" s="1" t="s">
        <v>2133</v>
      </c>
      <c r="C1518" s="1" t="s">
        <v>20</v>
      </c>
      <c r="D1518" s="3">
        <f t="shared" si="221"/>
        <v>7395</v>
      </c>
      <c r="E1518" s="2">
        <f t="shared" si="222"/>
        <v>41122</v>
      </c>
      <c r="F1518" s="2">
        <f t="shared" si="223"/>
        <v>43982</v>
      </c>
    </row>
    <row r="1519" spans="1:6" x14ac:dyDescent="0.25">
      <c r="A1519" s="1" t="s">
        <v>2134</v>
      </c>
      <c r="B1519" s="1" t="s">
        <v>2133</v>
      </c>
      <c r="C1519" s="1" t="s">
        <v>21</v>
      </c>
      <c r="D1519" s="3">
        <f t="shared" si="221"/>
        <v>7395</v>
      </c>
      <c r="E1519" s="2">
        <f t="shared" si="222"/>
        <v>41122</v>
      </c>
      <c r="F1519" s="2">
        <f t="shared" si="223"/>
        <v>43982</v>
      </c>
    </row>
    <row r="1520" spans="1:6" x14ac:dyDescent="0.25">
      <c r="A1520" s="1" t="s">
        <v>2134</v>
      </c>
      <c r="B1520" s="1" t="s">
        <v>2133</v>
      </c>
      <c r="C1520" s="1" t="s">
        <v>22</v>
      </c>
      <c r="D1520" s="3">
        <f t="shared" si="221"/>
        <v>7395</v>
      </c>
      <c r="E1520" s="2">
        <f t="shared" si="222"/>
        <v>41122</v>
      </c>
      <c r="F1520" s="2">
        <f t="shared" si="223"/>
        <v>43982</v>
      </c>
    </row>
    <row r="1521" spans="1:6" x14ac:dyDescent="0.25">
      <c r="A1521" s="1" t="s">
        <v>2134</v>
      </c>
      <c r="B1521" s="1" t="s">
        <v>2133</v>
      </c>
      <c r="C1521" s="1" t="s">
        <v>67</v>
      </c>
      <c r="D1521" s="3">
        <f t="shared" si="221"/>
        <v>7395</v>
      </c>
      <c r="E1521" s="2">
        <f t="shared" si="222"/>
        <v>41122</v>
      </c>
      <c r="F1521" s="2">
        <f t="shared" si="223"/>
        <v>43982</v>
      </c>
    </row>
    <row r="1522" spans="1:6" x14ac:dyDescent="0.25">
      <c r="A1522" s="1" t="s">
        <v>2134</v>
      </c>
      <c r="B1522" s="1" t="s">
        <v>2133</v>
      </c>
      <c r="C1522" s="1" t="s">
        <v>148</v>
      </c>
      <c r="D1522" s="3">
        <f t="shared" si="221"/>
        <v>7395</v>
      </c>
      <c r="E1522" s="2">
        <f t="shared" si="222"/>
        <v>41122</v>
      </c>
      <c r="F1522" s="2">
        <f t="shared" si="223"/>
        <v>43982</v>
      </c>
    </row>
    <row r="1523" spans="1:6" x14ac:dyDescent="0.25">
      <c r="A1523" s="1" t="s">
        <v>2134</v>
      </c>
      <c r="B1523" s="1" t="s">
        <v>2133</v>
      </c>
      <c r="C1523" s="1" t="s">
        <v>149</v>
      </c>
      <c r="D1523" s="3">
        <f t="shared" si="221"/>
        <v>7395</v>
      </c>
      <c r="E1523" s="2">
        <f t="shared" si="222"/>
        <v>41122</v>
      </c>
      <c r="F1523" s="2">
        <f t="shared" si="223"/>
        <v>43982</v>
      </c>
    </row>
    <row r="1524" spans="1:6" x14ac:dyDescent="0.25">
      <c r="A1524" s="1" t="s">
        <v>2134</v>
      </c>
      <c r="B1524" s="1" t="s">
        <v>2133</v>
      </c>
      <c r="C1524" s="1" t="s">
        <v>329</v>
      </c>
      <c r="D1524" s="3">
        <f t="shared" si="221"/>
        <v>7395</v>
      </c>
      <c r="E1524" s="2">
        <f t="shared" si="222"/>
        <v>41122</v>
      </c>
      <c r="F1524" s="2">
        <f t="shared" si="223"/>
        <v>43982</v>
      </c>
    </row>
    <row r="1525" spans="1:6" x14ac:dyDescent="0.25">
      <c r="A1525" s="1" t="s">
        <v>2134</v>
      </c>
      <c r="B1525" s="1" t="s">
        <v>2133</v>
      </c>
      <c r="C1525" s="1" t="s">
        <v>24</v>
      </c>
      <c r="D1525" s="3">
        <f t="shared" si="221"/>
        <v>7395</v>
      </c>
      <c r="E1525" s="2">
        <f t="shared" si="222"/>
        <v>41122</v>
      </c>
      <c r="F1525" s="2">
        <f t="shared" si="223"/>
        <v>43982</v>
      </c>
    </row>
    <row r="1526" spans="1:6" x14ac:dyDescent="0.25">
      <c r="A1526" s="1" t="s">
        <v>2134</v>
      </c>
      <c r="B1526" s="1" t="s">
        <v>2133</v>
      </c>
      <c r="C1526" s="1" t="s">
        <v>72</v>
      </c>
      <c r="D1526" s="3">
        <f t="shared" si="221"/>
        <v>7395</v>
      </c>
      <c r="E1526" s="2">
        <f t="shared" si="222"/>
        <v>41122</v>
      </c>
      <c r="F1526" s="2">
        <f t="shared" si="223"/>
        <v>43982</v>
      </c>
    </row>
    <row r="1527" spans="1:6" x14ac:dyDescent="0.25">
      <c r="A1527" s="1" t="s">
        <v>2134</v>
      </c>
      <c r="B1527" s="1" t="s">
        <v>2133</v>
      </c>
      <c r="C1527" s="1" t="s">
        <v>27</v>
      </c>
      <c r="D1527" s="3">
        <f t="shared" si="221"/>
        <v>7395</v>
      </c>
      <c r="E1527" s="2">
        <f t="shared" si="222"/>
        <v>41122</v>
      </c>
      <c r="F1527" s="2">
        <f t="shared" si="223"/>
        <v>43982</v>
      </c>
    </row>
    <row r="1528" spans="1:6" x14ac:dyDescent="0.25">
      <c r="A1528" s="1" t="s">
        <v>2134</v>
      </c>
      <c r="B1528" s="1" t="s">
        <v>2133</v>
      </c>
      <c r="C1528" s="1" t="s">
        <v>262</v>
      </c>
      <c r="D1528" s="3">
        <f t="shared" si="221"/>
        <v>7395</v>
      </c>
      <c r="E1528" s="2">
        <f t="shared" si="222"/>
        <v>41122</v>
      </c>
      <c r="F1528" s="2">
        <f t="shared" si="223"/>
        <v>43982</v>
      </c>
    </row>
    <row r="1529" spans="1:6" x14ac:dyDescent="0.25">
      <c r="A1529" s="1" t="s">
        <v>2134</v>
      </c>
      <c r="B1529" s="1" t="s">
        <v>2133</v>
      </c>
      <c r="C1529" s="1" t="s">
        <v>73</v>
      </c>
      <c r="D1529" s="3">
        <f t="shared" si="221"/>
        <v>7395</v>
      </c>
      <c r="E1529" s="2">
        <f t="shared" si="222"/>
        <v>41122</v>
      </c>
      <c r="F1529" s="2">
        <f t="shared" si="223"/>
        <v>43982</v>
      </c>
    </row>
    <row r="1530" spans="1:6" x14ac:dyDescent="0.25">
      <c r="A1530" s="1" t="s">
        <v>2134</v>
      </c>
      <c r="B1530" s="1" t="s">
        <v>2133</v>
      </c>
      <c r="C1530" s="1" t="s">
        <v>52</v>
      </c>
      <c r="D1530" s="3">
        <f t="shared" si="221"/>
        <v>7395</v>
      </c>
      <c r="E1530" s="2">
        <f t="shared" si="222"/>
        <v>41122</v>
      </c>
      <c r="F1530" s="2">
        <f t="shared" si="223"/>
        <v>43982</v>
      </c>
    </row>
    <row r="1531" spans="1:6" x14ac:dyDescent="0.25">
      <c r="A1531" s="1" t="s">
        <v>2134</v>
      </c>
      <c r="B1531" s="1" t="s">
        <v>2133</v>
      </c>
      <c r="C1531" s="1" t="s">
        <v>32</v>
      </c>
      <c r="D1531" s="3">
        <f t="shared" si="221"/>
        <v>7395</v>
      </c>
      <c r="E1531" s="2">
        <f t="shared" si="222"/>
        <v>41122</v>
      </c>
      <c r="F1531" s="2">
        <f t="shared" si="223"/>
        <v>43982</v>
      </c>
    </row>
    <row r="1532" spans="1:6" x14ac:dyDescent="0.25">
      <c r="A1532" s="1" t="s">
        <v>2134</v>
      </c>
      <c r="B1532" s="1" t="s">
        <v>2133</v>
      </c>
      <c r="C1532" s="1" t="s">
        <v>113</v>
      </c>
      <c r="D1532" s="3">
        <f t="shared" si="221"/>
        <v>7395</v>
      </c>
      <c r="E1532" s="2">
        <f t="shared" si="222"/>
        <v>41122</v>
      </c>
      <c r="F1532" s="2">
        <f t="shared" si="223"/>
        <v>43982</v>
      </c>
    </row>
    <row r="1533" spans="1:6" x14ac:dyDescent="0.25">
      <c r="A1533" s="1" t="s">
        <v>2134</v>
      </c>
      <c r="B1533" s="1" t="s">
        <v>2133</v>
      </c>
      <c r="C1533" s="1" t="s">
        <v>34</v>
      </c>
      <c r="D1533" s="3">
        <f t="shared" si="221"/>
        <v>7395</v>
      </c>
      <c r="E1533" s="2">
        <f t="shared" si="222"/>
        <v>41122</v>
      </c>
      <c r="F1533" s="2">
        <f t="shared" si="223"/>
        <v>43982</v>
      </c>
    </row>
    <row r="1534" spans="1:6" x14ac:dyDescent="0.25">
      <c r="A1534" s="1" t="s">
        <v>2134</v>
      </c>
      <c r="B1534" s="1" t="s">
        <v>2133</v>
      </c>
      <c r="C1534" s="1" t="s">
        <v>57</v>
      </c>
      <c r="D1534" s="3">
        <f t="shared" si="221"/>
        <v>7395</v>
      </c>
      <c r="E1534" s="2">
        <f t="shared" si="222"/>
        <v>41122</v>
      </c>
      <c r="F1534" s="2">
        <f t="shared" si="223"/>
        <v>43982</v>
      </c>
    </row>
    <row r="1535" spans="1:6" x14ac:dyDescent="0.25">
      <c r="A1535" s="1" t="s">
        <v>2134</v>
      </c>
      <c r="B1535" s="1" t="s">
        <v>2133</v>
      </c>
      <c r="C1535" s="1" t="s">
        <v>36</v>
      </c>
      <c r="D1535" s="3">
        <f t="shared" si="221"/>
        <v>7395</v>
      </c>
      <c r="E1535" s="2">
        <f t="shared" si="222"/>
        <v>41122</v>
      </c>
      <c r="F1535" s="2">
        <f t="shared" si="223"/>
        <v>43982</v>
      </c>
    </row>
    <row r="1536" spans="1:6" x14ac:dyDescent="0.25">
      <c r="A1536" s="1" t="s">
        <v>1983</v>
      </c>
      <c r="B1536" s="1" t="s">
        <v>1982</v>
      </c>
      <c r="C1536" s="1" t="s">
        <v>137</v>
      </c>
      <c r="D1536" s="3">
        <f>VALUE("7762")</f>
        <v>7762</v>
      </c>
      <c r="E1536" s="2">
        <f>DATEVALUE("1-5-2015")</f>
        <v>42125</v>
      </c>
      <c r="F1536" s="2">
        <f>DATEVALUE("30-9-2015")</f>
        <v>42277</v>
      </c>
    </row>
    <row r="1537" spans="1:6" x14ac:dyDescent="0.25">
      <c r="A1537" s="1" t="s">
        <v>1044</v>
      </c>
      <c r="B1537" s="1" t="s">
        <v>1372</v>
      </c>
      <c r="C1537" s="1" t="s">
        <v>7</v>
      </c>
      <c r="D1537" s="3">
        <f t="shared" ref="D1537:D1565" si="224">VALUE("8601")</f>
        <v>8601</v>
      </c>
      <c r="E1537" s="2">
        <f t="shared" ref="E1537:E1565" si="225">DATEVALUE("1-6-2020")</f>
        <v>43983</v>
      </c>
      <c r="F1537" s="2">
        <f t="shared" ref="F1537:F1565" si="226">DATEVALUE("31-12-2021")</f>
        <v>44561</v>
      </c>
    </row>
    <row r="1538" spans="1:6" x14ac:dyDescent="0.25">
      <c r="A1538" s="1" t="s">
        <v>1044</v>
      </c>
      <c r="B1538" s="1" t="s">
        <v>1372</v>
      </c>
      <c r="C1538" s="1" t="s">
        <v>6</v>
      </c>
      <c r="D1538" s="3">
        <f t="shared" si="224"/>
        <v>8601</v>
      </c>
      <c r="E1538" s="2">
        <f t="shared" si="225"/>
        <v>43983</v>
      </c>
      <c r="F1538" s="2">
        <f t="shared" si="226"/>
        <v>44561</v>
      </c>
    </row>
    <row r="1539" spans="1:6" x14ac:dyDescent="0.25">
      <c r="A1539" s="1" t="s">
        <v>1044</v>
      </c>
      <c r="B1539" s="1" t="s">
        <v>1372</v>
      </c>
      <c r="C1539" s="1" t="s">
        <v>8</v>
      </c>
      <c r="D1539" s="3">
        <f t="shared" si="224"/>
        <v>8601</v>
      </c>
      <c r="E1539" s="2">
        <f t="shared" si="225"/>
        <v>43983</v>
      </c>
      <c r="F1539" s="2">
        <f t="shared" si="226"/>
        <v>44561</v>
      </c>
    </row>
    <row r="1540" spans="1:6" x14ac:dyDescent="0.25">
      <c r="A1540" s="1" t="s">
        <v>1044</v>
      </c>
      <c r="B1540" s="1" t="s">
        <v>1372</v>
      </c>
      <c r="C1540" s="1" t="s">
        <v>10</v>
      </c>
      <c r="D1540" s="3">
        <f t="shared" si="224"/>
        <v>8601</v>
      </c>
      <c r="E1540" s="2">
        <f t="shared" si="225"/>
        <v>43983</v>
      </c>
      <c r="F1540" s="2">
        <f t="shared" si="226"/>
        <v>44561</v>
      </c>
    </row>
    <row r="1541" spans="1:6" x14ac:dyDescent="0.25">
      <c r="A1541" s="1" t="s">
        <v>1044</v>
      </c>
      <c r="B1541" s="1" t="s">
        <v>1372</v>
      </c>
      <c r="C1541" s="1" t="s">
        <v>61</v>
      </c>
      <c r="D1541" s="3">
        <f t="shared" si="224"/>
        <v>8601</v>
      </c>
      <c r="E1541" s="2">
        <f t="shared" si="225"/>
        <v>43983</v>
      </c>
      <c r="F1541" s="2">
        <f t="shared" si="226"/>
        <v>44561</v>
      </c>
    </row>
    <row r="1542" spans="1:6" x14ac:dyDescent="0.25">
      <c r="A1542" s="1" t="s">
        <v>1044</v>
      </c>
      <c r="B1542" s="1" t="s">
        <v>1372</v>
      </c>
      <c r="C1542" s="1" t="s">
        <v>43</v>
      </c>
      <c r="D1542" s="3">
        <f t="shared" si="224"/>
        <v>8601</v>
      </c>
      <c r="E1542" s="2">
        <f t="shared" si="225"/>
        <v>43983</v>
      </c>
      <c r="F1542" s="2">
        <f t="shared" si="226"/>
        <v>44561</v>
      </c>
    </row>
    <row r="1543" spans="1:6" x14ac:dyDescent="0.25">
      <c r="A1543" s="1" t="s">
        <v>1044</v>
      </c>
      <c r="B1543" s="1" t="s">
        <v>1372</v>
      </c>
      <c r="C1543" s="1" t="s">
        <v>45</v>
      </c>
      <c r="D1543" s="3">
        <f t="shared" si="224"/>
        <v>8601</v>
      </c>
      <c r="E1543" s="2">
        <f t="shared" si="225"/>
        <v>43983</v>
      </c>
      <c r="F1543" s="2">
        <f t="shared" si="226"/>
        <v>44561</v>
      </c>
    </row>
    <row r="1544" spans="1:6" x14ac:dyDescent="0.25">
      <c r="A1544" s="1" t="s">
        <v>1044</v>
      </c>
      <c r="B1544" s="1" t="s">
        <v>1372</v>
      </c>
      <c r="C1544" s="1" t="s">
        <v>46</v>
      </c>
      <c r="D1544" s="3">
        <f t="shared" si="224"/>
        <v>8601</v>
      </c>
      <c r="E1544" s="2">
        <f t="shared" si="225"/>
        <v>43983</v>
      </c>
      <c r="F1544" s="2">
        <f t="shared" si="226"/>
        <v>44561</v>
      </c>
    </row>
    <row r="1545" spans="1:6" x14ac:dyDescent="0.25">
      <c r="A1545" s="1" t="s">
        <v>1044</v>
      </c>
      <c r="B1545" s="1" t="s">
        <v>1372</v>
      </c>
      <c r="C1545" s="1" t="s">
        <v>14</v>
      </c>
      <c r="D1545" s="3">
        <f t="shared" si="224"/>
        <v>8601</v>
      </c>
      <c r="E1545" s="2">
        <f t="shared" si="225"/>
        <v>43983</v>
      </c>
      <c r="F1545" s="2">
        <f t="shared" si="226"/>
        <v>44561</v>
      </c>
    </row>
    <row r="1546" spans="1:6" x14ac:dyDescent="0.25">
      <c r="A1546" s="1" t="s">
        <v>1044</v>
      </c>
      <c r="B1546" s="1" t="s">
        <v>1372</v>
      </c>
      <c r="C1546" s="1" t="s">
        <v>15</v>
      </c>
      <c r="D1546" s="3">
        <f t="shared" si="224"/>
        <v>8601</v>
      </c>
      <c r="E1546" s="2">
        <f t="shared" si="225"/>
        <v>43983</v>
      </c>
      <c r="F1546" s="2">
        <f t="shared" si="226"/>
        <v>44561</v>
      </c>
    </row>
    <row r="1547" spans="1:6" x14ac:dyDescent="0.25">
      <c r="A1547" s="1" t="s">
        <v>1044</v>
      </c>
      <c r="B1547" s="1" t="s">
        <v>1372</v>
      </c>
      <c r="C1547" s="1" t="s">
        <v>17</v>
      </c>
      <c r="D1547" s="3">
        <f t="shared" si="224"/>
        <v>8601</v>
      </c>
      <c r="E1547" s="2">
        <f t="shared" si="225"/>
        <v>43983</v>
      </c>
      <c r="F1547" s="2">
        <f t="shared" si="226"/>
        <v>44561</v>
      </c>
    </row>
    <row r="1548" spans="1:6" x14ac:dyDescent="0.25">
      <c r="A1548" s="1" t="s">
        <v>1044</v>
      </c>
      <c r="B1548" s="1" t="s">
        <v>1372</v>
      </c>
      <c r="C1548" s="1" t="s">
        <v>19</v>
      </c>
      <c r="D1548" s="3">
        <f t="shared" si="224"/>
        <v>8601</v>
      </c>
      <c r="E1548" s="2">
        <f t="shared" si="225"/>
        <v>43983</v>
      </c>
      <c r="F1548" s="2">
        <f t="shared" si="226"/>
        <v>44561</v>
      </c>
    </row>
    <row r="1549" spans="1:6" x14ac:dyDescent="0.25">
      <c r="A1549" s="1" t="s">
        <v>1044</v>
      </c>
      <c r="B1549" s="1" t="s">
        <v>1372</v>
      </c>
      <c r="C1549" s="1" t="s">
        <v>193</v>
      </c>
      <c r="D1549" s="3">
        <f t="shared" si="224"/>
        <v>8601</v>
      </c>
      <c r="E1549" s="2">
        <f t="shared" si="225"/>
        <v>43983</v>
      </c>
      <c r="F1549" s="2">
        <f t="shared" si="226"/>
        <v>44561</v>
      </c>
    </row>
    <row r="1550" spans="1:6" x14ac:dyDescent="0.25">
      <c r="A1550" s="1" t="s">
        <v>1044</v>
      </c>
      <c r="B1550" s="1" t="s">
        <v>1372</v>
      </c>
      <c r="C1550" s="1" t="s">
        <v>20</v>
      </c>
      <c r="D1550" s="3">
        <f t="shared" si="224"/>
        <v>8601</v>
      </c>
      <c r="E1550" s="2">
        <f t="shared" si="225"/>
        <v>43983</v>
      </c>
      <c r="F1550" s="2">
        <f t="shared" si="226"/>
        <v>44561</v>
      </c>
    </row>
    <row r="1551" spans="1:6" x14ac:dyDescent="0.25">
      <c r="A1551" s="1" t="s">
        <v>1044</v>
      </c>
      <c r="B1551" s="1" t="s">
        <v>1372</v>
      </c>
      <c r="C1551" s="1" t="s">
        <v>21</v>
      </c>
      <c r="D1551" s="3">
        <f t="shared" si="224"/>
        <v>8601</v>
      </c>
      <c r="E1551" s="2">
        <f t="shared" si="225"/>
        <v>43983</v>
      </c>
      <c r="F1551" s="2">
        <f t="shared" si="226"/>
        <v>44561</v>
      </c>
    </row>
    <row r="1552" spans="1:6" x14ac:dyDescent="0.25">
      <c r="A1552" s="1" t="s">
        <v>1044</v>
      </c>
      <c r="B1552" s="1" t="s">
        <v>1372</v>
      </c>
      <c r="C1552" s="1" t="s">
        <v>22</v>
      </c>
      <c r="D1552" s="3">
        <f t="shared" si="224"/>
        <v>8601</v>
      </c>
      <c r="E1552" s="2">
        <f t="shared" si="225"/>
        <v>43983</v>
      </c>
      <c r="F1552" s="2">
        <f t="shared" si="226"/>
        <v>44561</v>
      </c>
    </row>
    <row r="1553" spans="1:6" x14ac:dyDescent="0.25">
      <c r="A1553" s="1" t="s">
        <v>1044</v>
      </c>
      <c r="B1553" s="1" t="s">
        <v>1372</v>
      </c>
      <c r="C1553" s="1" t="s">
        <v>67</v>
      </c>
      <c r="D1553" s="3">
        <f t="shared" si="224"/>
        <v>8601</v>
      </c>
      <c r="E1553" s="2">
        <f t="shared" si="225"/>
        <v>43983</v>
      </c>
      <c r="F1553" s="2">
        <f t="shared" si="226"/>
        <v>44561</v>
      </c>
    </row>
    <row r="1554" spans="1:6" x14ac:dyDescent="0.25">
      <c r="A1554" s="1" t="s">
        <v>1044</v>
      </c>
      <c r="B1554" s="1" t="s">
        <v>1372</v>
      </c>
      <c r="C1554" s="1" t="s">
        <v>148</v>
      </c>
      <c r="D1554" s="3">
        <f t="shared" si="224"/>
        <v>8601</v>
      </c>
      <c r="E1554" s="2">
        <f t="shared" si="225"/>
        <v>43983</v>
      </c>
      <c r="F1554" s="2">
        <f t="shared" si="226"/>
        <v>44561</v>
      </c>
    </row>
    <row r="1555" spans="1:6" x14ac:dyDescent="0.25">
      <c r="A1555" s="1" t="s">
        <v>1044</v>
      </c>
      <c r="B1555" s="1" t="s">
        <v>1372</v>
      </c>
      <c r="C1555" s="1" t="s">
        <v>149</v>
      </c>
      <c r="D1555" s="3">
        <f t="shared" si="224"/>
        <v>8601</v>
      </c>
      <c r="E1555" s="2">
        <f t="shared" si="225"/>
        <v>43983</v>
      </c>
      <c r="F1555" s="2">
        <f t="shared" si="226"/>
        <v>44561</v>
      </c>
    </row>
    <row r="1556" spans="1:6" x14ac:dyDescent="0.25">
      <c r="A1556" s="1" t="s">
        <v>1044</v>
      </c>
      <c r="B1556" s="1" t="s">
        <v>1372</v>
      </c>
      <c r="C1556" s="1" t="s">
        <v>329</v>
      </c>
      <c r="D1556" s="3">
        <f t="shared" si="224"/>
        <v>8601</v>
      </c>
      <c r="E1556" s="2">
        <f t="shared" si="225"/>
        <v>43983</v>
      </c>
      <c r="F1556" s="2">
        <f t="shared" si="226"/>
        <v>44561</v>
      </c>
    </row>
    <row r="1557" spans="1:6" x14ac:dyDescent="0.25">
      <c r="A1557" s="1" t="s">
        <v>1044</v>
      </c>
      <c r="B1557" s="1" t="s">
        <v>1372</v>
      </c>
      <c r="C1557" s="1" t="s">
        <v>24</v>
      </c>
      <c r="D1557" s="3">
        <f t="shared" si="224"/>
        <v>8601</v>
      </c>
      <c r="E1557" s="2">
        <f t="shared" si="225"/>
        <v>43983</v>
      </c>
      <c r="F1557" s="2">
        <f t="shared" si="226"/>
        <v>44561</v>
      </c>
    </row>
    <row r="1558" spans="1:6" x14ac:dyDescent="0.25">
      <c r="A1558" s="1" t="s">
        <v>1044</v>
      </c>
      <c r="B1558" s="1" t="s">
        <v>1372</v>
      </c>
      <c r="C1558" s="1" t="s">
        <v>72</v>
      </c>
      <c r="D1558" s="3">
        <f t="shared" si="224"/>
        <v>8601</v>
      </c>
      <c r="E1558" s="2">
        <f t="shared" si="225"/>
        <v>43983</v>
      </c>
      <c r="F1558" s="2">
        <f t="shared" si="226"/>
        <v>44561</v>
      </c>
    </row>
    <row r="1559" spans="1:6" x14ac:dyDescent="0.25">
      <c r="A1559" s="1" t="s">
        <v>1044</v>
      </c>
      <c r="B1559" s="1" t="s">
        <v>1372</v>
      </c>
      <c r="C1559" s="1" t="s">
        <v>262</v>
      </c>
      <c r="D1559" s="3">
        <f t="shared" si="224"/>
        <v>8601</v>
      </c>
      <c r="E1559" s="2">
        <f t="shared" si="225"/>
        <v>43983</v>
      </c>
      <c r="F1559" s="2">
        <f t="shared" si="226"/>
        <v>44561</v>
      </c>
    </row>
    <row r="1560" spans="1:6" x14ac:dyDescent="0.25">
      <c r="A1560" s="1" t="s">
        <v>1044</v>
      </c>
      <c r="B1560" s="1" t="s">
        <v>1372</v>
      </c>
      <c r="C1560" s="1" t="s">
        <v>73</v>
      </c>
      <c r="D1560" s="3">
        <f t="shared" si="224"/>
        <v>8601</v>
      </c>
      <c r="E1560" s="2">
        <f t="shared" si="225"/>
        <v>43983</v>
      </c>
      <c r="F1560" s="2">
        <f t="shared" si="226"/>
        <v>44561</v>
      </c>
    </row>
    <row r="1561" spans="1:6" x14ac:dyDescent="0.25">
      <c r="A1561" s="1" t="s">
        <v>1044</v>
      </c>
      <c r="B1561" s="1" t="s">
        <v>1372</v>
      </c>
      <c r="C1561" s="1" t="s">
        <v>52</v>
      </c>
      <c r="D1561" s="3">
        <f t="shared" si="224"/>
        <v>8601</v>
      </c>
      <c r="E1561" s="2">
        <f t="shared" si="225"/>
        <v>43983</v>
      </c>
      <c r="F1561" s="2">
        <f t="shared" si="226"/>
        <v>44561</v>
      </c>
    </row>
    <row r="1562" spans="1:6" x14ac:dyDescent="0.25">
      <c r="A1562" s="1" t="s">
        <v>1044</v>
      </c>
      <c r="B1562" s="1" t="s">
        <v>1372</v>
      </c>
      <c r="C1562" s="1" t="s">
        <v>32</v>
      </c>
      <c r="D1562" s="3">
        <f t="shared" si="224"/>
        <v>8601</v>
      </c>
      <c r="E1562" s="2">
        <f t="shared" si="225"/>
        <v>43983</v>
      </c>
      <c r="F1562" s="2">
        <f t="shared" si="226"/>
        <v>44561</v>
      </c>
    </row>
    <row r="1563" spans="1:6" x14ac:dyDescent="0.25">
      <c r="A1563" s="1" t="s">
        <v>1044</v>
      </c>
      <c r="B1563" s="1" t="s">
        <v>1372</v>
      </c>
      <c r="C1563" s="1" t="s">
        <v>113</v>
      </c>
      <c r="D1563" s="3">
        <f t="shared" si="224"/>
        <v>8601</v>
      </c>
      <c r="E1563" s="2">
        <f t="shared" si="225"/>
        <v>43983</v>
      </c>
      <c r="F1563" s="2">
        <f t="shared" si="226"/>
        <v>44561</v>
      </c>
    </row>
    <row r="1564" spans="1:6" x14ac:dyDescent="0.25">
      <c r="A1564" s="1" t="s">
        <v>1044</v>
      </c>
      <c r="B1564" s="1" t="s">
        <v>1372</v>
      </c>
      <c r="C1564" s="1" t="s">
        <v>57</v>
      </c>
      <c r="D1564" s="3">
        <f t="shared" si="224"/>
        <v>8601</v>
      </c>
      <c r="E1564" s="2">
        <f t="shared" si="225"/>
        <v>43983</v>
      </c>
      <c r="F1564" s="2">
        <f t="shared" si="226"/>
        <v>44561</v>
      </c>
    </row>
    <row r="1565" spans="1:6" x14ac:dyDescent="0.25">
      <c r="A1565" s="1" t="s">
        <v>1044</v>
      </c>
      <c r="B1565" s="1" t="s">
        <v>1372</v>
      </c>
      <c r="C1565" s="1" t="s">
        <v>36</v>
      </c>
      <c r="D1565" s="3">
        <f t="shared" si="224"/>
        <v>8601</v>
      </c>
      <c r="E1565" s="2">
        <f t="shared" si="225"/>
        <v>43983</v>
      </c>
      <c r="F1565" s="2">
        <f t="shared" si="226"/>
        <v>44561</v>
      </c>
    </row>
    <row r="1566" spans="1:6" x14ac:dyDescent="0.25">
      <c r="A1566" s="1" t="s">
        <v>1044</v>
      </c>
      <c r="B1566" s="1" t="s">
        <v>1195</v>
      </c>
      <c r="C1566" s="1" t="s">
        <v>45</v>
      </c>
      <c r="D1566" s="3">
        <f t="shared" ref="D1566:D1571" si="227">VALUE("8461")</f>
        <v>8461</v>
      </c>
      <c r="E1566" s="2">
        <f t="shared" ref="E1566:E1571" si="228">DATEVALUE("1-3-2019")</f>
        <v>43525</v>
      </c>
      <c r="F1566" s="2">
        <f t="shared" ref="F1566:F1571" si="229">DATEVALUE("31-12-2020")</f>
        <v>44196</v>
      </c>
    </row>
    <row r="1567" spans="1:6" x14ac:dyDescent="0.25">
      <c r="A1567" s="1" t="s">
        <v>1044</v>
      </c>
      <c r="B1567" s="1" t="s">
        <v>1195</v>
      </c>
      <c r="C1567" s="1" t="s">
        <v>44</v>
      </c>
      <c r="D1567" s="3">
        <f t="shared" si="227"/>
        <v>8461</v>
      </c>
      <c r="E1567" s="2">
        <f t="shared" si="228"/>
        <v>43525</v>
      </c>
      <c r="F1567" s="2">
        <f t="shared" si="229"/>
        <v>44196</v>
      </c>
    </row>
    <row r="1568" spans="1:6" x14ac:dyDescent="0.25">
      <c r="A1568" s="1" t="s">
        <v>1044</v>
      </c>
      <c r="B1568" s="1" t="s">
        <v>1195</v>
      </c>
      <c r="C1568" s="1" t="s">
        <v>205</v>
      </c>
      <c r="D1568" s="3">
        <f t="shared" si="227"/>
        <v>8461</v>
      </c>
      <c r="E1568" s="2">
        <f t="shared" si="228"/>
        <v>43525</v>
      </c>
      <c r="F1568" s="2">
        <f t="shared" si="229"/>
        <v>44196</v>
      </c>
    </row>
    <row r="1569" spans="1:6" x14ac:dyDescent="0.25">
      <c r="A1569" s="1" t="s">
        <v>1044</v>
      </c>
      <c r="B1569" s="1" t="s">
        <v>1195</v>
      </c>
      <c r="C1569" s="1" t="s">
        <v>204</v>
      </c>
      <c r="D1569" s="3">
        <f t="shared" si="227"/>
        <v>8461</v>
      </c>
      <c r="E1569" s="2">
        <f t="shared" si="228"/>
        <v>43525</v>
      </c>
      <c r="F1569" s="2">
        <f t="shared" si="229"/>
        <v>44196</v>
      </c>
    </row>
    <row r="1570" spans="1:6" x14ac:dyDescent="0.25">
      <c r="A1570" s="1" t="s">
        <v>1044</v>
      </c>
      <c r="B1570" s="1" t="s">
        <v>1195</v>
      </c>
      <c r="C1570" s="1" t="s">
        <v>1196</v>
      </c>
      <c r="D1570" s="3">
        <f t="shared" si="227"/>
        <v>8461</v>
      </c>
      <c r="E1570" s="2">
        <f t="shared" si="228"/>
        <v>43525</v>
      </c>
      <c r="F1570" s="2">
        <f t="shared" si="229"/>
        <v>44196</v>
      </c>
    </row>
    <row r="1571" spans="1:6" x14ac:dyDescent="0.25">
      <c r="A1571" s="1" t="s">
        <v>1044</v>
      </c>
      <c r="B1571" s="1" t="s">
        <v>1195</v>
      </c>
      <c r="C1571" s="1" t="s">
        <v>69</v>
      </c>
      <c r="D1571" s="3">
        <f t="shared" si="227"/>
        <v>8461</v>
      </c>
      <c r="E1571" s="2">
        <f t="shared" si="228"/>
        <v>43525</v>
      </c>
      <c r="F1571" s="2">
        <f t="shared" si="229"/>
        <v>44196</v>
      </c>
    </row>
    <row r="1572" spans="1:6" x14ac:dyDescent="0.25">
      <c r="A1572" s="1" t="s">
        <v>1044</v>
      </c>
      <c r="B1572" s="1" t="s">
        <v>1096</v>
      </c>
      <c r="C1572" s="1" t="s">
        <v>811</v>
      </c>
      <c r="D1572" s="3">
        <f t="shared" ref="D1572:D1593" si="230">VALUE("9966")</f>
        <v>9966</v>
      </c>
      <c r="E1572" s="2">
        <f t="shared" ref="E1572:E1593" si="231">DATEVALUE("1-9-2018")</f>
        <v>43344</v>
      </c>
      <c r="F1572" s="2">
        <f t="shared" ref="F1572:F1593" si="232">DATEVALUE("31-12-2019")</f>
        <v>43830</v>
      </c>
    </row>
    <row r="1573" spans="1:6" x14ac:dyDescent="0.25">
      <c r="A1573" s="1" t="s">
        <v>1044</v>
      </c>
      <c r="B1573" s="1" t="s">
        <v>1096</v>
      </c>
      <c r="C1573" s="1" t="s">
        <v>1097</v>
      </c>
      <c r="D1573" s="3">
        <f t="shared" si="230"/>
        <v>9966</v>
      </c>
      <c r="E1573" s="2">
        <f t="shared" si="231"/>
        <v>43344</v>
      </c>
      <c r="F1573" s="2">
        <f t="shared" si="232"/>
        <v>43830</v>
      </c>
    </row>
    <row r="1574" spans="1:6" x14ac:dyDescent="0.25">
      <c r="A1574" s="1" t="s">
        <v>1044</v>
      </c>
      <c r="B1574" s="1" t="s">
        <v>1096</v>
      </c>
      <c r="C1574" s="1" t="s">
        <v>814</v>
      </c>
      <c r="D1574" s="3">
        <f t="shared" si="230"/>
        <v>9966</v>
      </c>
      <c r="E1574" s="2">
        <f t="shared" si="231"/>
        <v>43344</v>
      </c>
      <c r="F1574" s="2">
        <f t="shared" si="232"/>
        <v>43830</v>
      </c>
    </row>
    <row r="1575" spans="1:6" x14ac:dyDescent="0.25">
      <c r="A1575" s="1" t="s">
        <v>1044</v>
      </c>
      <c r="B1575" s="1" t="s">
        <v>1096</v>
      </c>
      <c r="C1575" s="1" t="s">
        <v>1098</v>
      </c>
      <c r="D1575" s="3">
        <f t="shared" si="230"/>
        <v>9966</v>
      </c>
      <c r="E1575" s="2">
        <f t="shared" si="231"/>
        <v>43344</v>
      </c>
      <c r="F1575" s="2">
        <f t="shared" si="232"/>
        <v>43830</v>
      </c>
    </row>
    <row r="1576" spans="1:6" x14ac:dyDescent="0.25">
      <c r="A1576" s="1" t="s">
        <v>1044</v>
      </c>
      <c r="B1576" s="1" t="s">
        <v>1096</v>
      </c>
      <c r="C1576" s="1" t="s">
        <v>812</v>
      </c>
      <c r="D1576" s="3">
        <f t="shared" si="230"/>
        <v>9966</v>
      </c>
      <c r="E1576" s="2">
        <f t="shared" si="231"/>
        <v>43344</v>
      </c>
      <c r="F1576" s="2">
        <f t="shared" si="232"/>
        <v>43830</v>
      </c>
    </row>
    <row r="1577" spans="1:6" x14ac:dyDescent="0.25">
      <c r="A1577" s="1" t="s">
        <v>1044</v>
      </c>
      <c r="B1577" s="1" t="s">
        <v>1096</v>
      </c>
      <c r="C1577" s="1" t="s">
        <v>813</v>
      </c>
      <c r="D1577" s="3">
        <f t="shared" si="230"/>
        <v>9966</v>
      </c>
      <c r="E1577" s="2">
        <f t="shared" si="231"/>
        <v>43344</v>
      </c>
      <c r="F1577" s="2">
        <f t="shared" si="232"/>
        <v>43830</v>
      </c>
    </row>
    <row r="1578" spans="1:6" x14ac:dyDescent="0.25">
      <c r="A1578" s="1" t="s">
        <v>1044</v>
      </c>
      <c r="B1578" s="1" t="s">
        <v>1096</v>
      </c>
      <c r="C1578" s="1" t="s">
        <v>816</v>
      </c>
      <c r="D1578" s="3">
        <f t="shared" si="230"/>
        <v>9966</v>
      </c>
      <c r="E1578" s="2">
        <f t="shared" si="231"/>
        <v>43344</v>
      </c>
      <c r="F1578" s="2">
        <f t="shared" si="232"/>
        <v>43830</v>
      </c>
    </row>
    <row r="1579" spans="1:6" x14ac:dyDescent="0.25">
      <c r="A1579" s="1" t="s">
        <v>1044</v>
      </c>
      <c r="B1579" s="1" t="s">
        <v>1096</v>
      </c>
      <c r="C1579" s="1" t="s">
        <v>815</v>
      </c>
      <c r="D1579" s="3">
        <f t="shared" si="230"/>
        <v>9966</v>
      </c>
      <c r="E1579" s="2">
        <f t="shared" si="231"/>
        <v>43344</v>
      </c>
      <c r="F1579" s="2">
        <f t="shared" si="232"/>
        <v>43830</v>
      </c>
    </row>
    <row r="1580" spans="1:6" x14ac:dyDescent="0.25">
      <c r="A1580" s="1" t="s">
        <v>1044</v>
      </c>
      <c r="B1580" s="1" t="s">
        <v>1096</v>
      </c>
      <c r="C1580" s="1" t="s">
        <v>817</v>
      </c>
      <c r="D1580" s="3">
        <f t="shared" si="230"/>
        <v>9966</v>
      </c>
      <c r="E1580" s="2">
        <f t="shared" si="231"/>
        <v>43344</v>
      </c>
      <c r="F1580" s="2">
        <f t="shared" si="232"/>
        <v>43830</v>
      </c>
    </row>
    <row r="1581" spans="1:6" x14ac:dyDescent="0.25">
      <c r="A1581" s="1" t="s">
        <v>1044</v>
      </c>
      <c r="B1581" s="1" t="s">
        <v>1096</v>
      </c>
      <c r="C1581" s="1" t="s">
        <v>818</v>
      </c>
      <c r="D1581" s="3">
        <f t="shared" si="230"/>
        <v>9966</v>
      </c>
      <c r="E1581" s="2">
        <f t="shared" si="231"/>
        <v>43344</v>
      </c>
      <c r="F1581" s="2">
        <f t="shared" si="232"/>
        <v>43830</v>
      </c>
    </row>
    <row r="1582" spans="1:6" x14ac:dyDescent="0.25">
      <c r="A1582" s="1" t="s">
        <v>1044</v>
      </c>
      <c r="B1582" s="1" t="s">
        <v>1096</v>
      </c>
      <c r="C1582" s="1" t="s">
        <v>819</v>
      </c>
      <c r="D1582" s="3">
        <f t="shared" si="230"/>
        <v>9966</v>
      </c>
      <c r="E1582" s="2">
        <f t="shared" si="231"/>
        <v>43344</v>
      </c>
      <c r="F1582" s="2">
        <f t="shared" si="232"/>
        <v>43830</v>
      </c>
    </row>
    <row r="1583" spans="1:6" x14ac:dyDescent="0.25">
      <c r="A1583" s="1" t="s">
        <v>1044</v>
      </c>
      <c r="B1583" s="1" t="s">
        <v>1096</v>
      </c>
      <c r="C1583" s="1" t="s">
        <v>820</v>
      </c>
      <c r="D1583" s="3">
        <f t="shared" si="230"/>
        <v>9966</v>
      </c>
      <c r="E1583" s="2">
        <f t="shared" si="231"/>
        <v>43344</v>
      </c>
      <c r="F1583" s="2">
        <f t="shared" si="232"/>
        <v>43830</v>
      </c>
    </row>
    <row r="1584" spans="1:6" x14ac:dyDescent="0.25">
      <c r="A1584" s="1" t="s">
        <v>1044</v>
      </c>
      <c r="B1584" s="1" t="s">
        <v>1096</v>
      </c>
      <c r="C1584" s="1" t="s">
        <v>821</v>
      </c>
      <c r="D1584" s="3">
        <f t="shared" si="230"/>
        <v>9966</v>
      </c>
      <c r="E1584" s="2">
        <f t="shared" si="231"/>
        <v>43344</v>
      </c>
      <c r="F1584" s="2">
        <f t="shared" si="232"/>
        <v>43830</v>
      </c>
    </row>
    <row r="1585" spans="1:6" x14ac:dyDescent="0.25">
      <c r="A1585" s="1" t="s">
        <v>1044</v>
      </c>
      <c r="B1585" s="1" t="s">
        <v>1096</v>
      </c>
      <c r="C1585" s="1" t="s">
        <v>822</v>
      </c>
      <c r="D1585" s="3">
        <f t="shared" si="230"/>
        <v>9966</v>
      </c>
      <c r="E1585" s="2">
        <f t="shared" si="231"/>
        <v>43344</v>
      </c>
      <c r="F1585" s="2">
        <f t="shared" si="232"/>
        <v>43830</v>
      </c>
    </row>
    <row r="1586" spans="1:6" x14ac:dyDescent="0.25">
      <c r="A1586" s="1" t="s">
        <v>1044</v>
      </c>
      <c r="B1586" s="1" t="s">
        <v>1096</v>
      </c>
      <c r="C1586" s="1" t="s">
        <v>825</v>
      </c>
      <c r="D1586" s="3">
        <f t="shared" si="230"/>
        <v>9966</v>
      </c>
      <c r="E1586" s="2">
        <f t="shared" si="231"/>
        <v>43344</v>
      </c>
      <c r="F1586" s="2">
        <f t="shared" si="232"/>
        <v>43830</v>
      </c>
    </row>
    <row r="1587" spans="1:6" x14ac:dyDescent="0.25">
      <c r="A1587" s="1" t="s">
        <v>1044</v>
      </c>
      <c r="B1587" s="1" t="s">
        <v>1096</v>
      </c>
      <c r="C1587" s="1" t="s">
        <v>823</v>
      </c>
      <c r="D1587" s="3">
        <f t="shared" si="230"/>
        <v>9966</v>
      </c>
      <c r="E1587" s="2">
        <f t="shared" si="231"/>
        <v>43344</v>
      </c>
      <c r="F1587" s="2">
        <f t="shared" si="232"/>
        <v>43830</v>
      </c>
    </row>
    <row r="1588" spans="1:6" x14ac:dyDescent="0.25">
      <c r="A1588" s="1" t="s">
        <v>1044</v>
      </c>
      <c r="B1588" s="1" t="s">
        <v>1096</v>
      </c>
      <c r="C1588" s="1" t="s">
        <v>824</v>
      </c>
      <c r="D1588" s="3">
        <f t="shared" si="230"/>
        <v>9966</v>
      </c>
      <c r="E1588" s="2">
        <f t="shared" si="231"/>
        <v>43344</v>
      </c>
      <c r="F1588" s="2">
        <f t="shared" si="232"/>
        <v>43830</v>
      </c>
    </row>
    <row r="1589" spans="1:6" x14ac:dyDescent="0.25">
      <c r="A1589" s="1" t="s">
        <v>1044</v>
      </c>
      <c r="B1589" s="1" t="s">
        <v>1096</v>
      </c>
      <c r="C1589" s="1" t="s">
        <v>826</v>
      </c>
      <c r="D1589" s="3">
        <f t="shared" si="230"/>
        <v>9966</v>
      </c>
      <c r="E1589" s="2">
        <f t="shared" si="231"/>
        <v>43344</v>
      </c>
      <c r="F1589" s="2">
        <f t="shared" si="232"/>
        <v>43830</v>
      </c>
    </row>
    <row r="1590" spans="1:6" x14ac:dyDescent="0.25">
      <c r="A1590" s="1" t="s">
        <v>1044</v>
      </c>
      <c r="B1590" s="1" t="s">
        <v>1096</v>
      </c>
      <c r="C1590" s="1" t="s">
        <v>827</v>
      </c>
      <c r="D1590" s="3">
        <f t="shared" si="230"/>
        <v>9966</v>
      </c>
      <c r="E1590" s="2">
        <f t="shared" si="231"/>
        <v>43344</v>
      </c>
      <c r="F1590" s="2">
        <f t="shared" si="232"/>
        <v>43830</v>
      </c>
    </row>
    <row r="1591" spans="1:6" x14ac:dyDescent="0.25">
      <c r="A1591" s="1" t="s">
        <v>1044</v>
      </c>
      <c r="B1591" s="1" t="s">
        <v>1096</v>
      </c>
      <c r="C1591" s="1" t="s">
        <v>829</v>
      </c>
      <c r="D1591" s="3">
        <f t="shared" si="230"/>
        <v>9966</v>
      </c>
      <c r="E1591" s="2">
        <f t="shared" si="231"/>
        <v>43344</v>
      </c>
      <c r="F1591" s="2">
        <f t="shared" si="232"/>
        <v>43830</v>
      </c>
    </row>
    <row r="1592" spans="1:6" x14ac:dyDescent="0.25">
      <c r="A1592" s="1" t="s">
        <v>1044</v>
      </c>
      <c r="B1592" s="1" t="s">
        <v>1096</v>
      </c>
      <c r="C1592" s="1" t="s">
        <v>828</v>
      </c>
      <c r="D1592" s="3">
        <f t="shared" si="230"/>
        <v>9966</v>
      </c>
      <c r="E1592" s="2">
        <f t="shared" si="231"/>
        <v>43344</v>
      </c>
      <c r="F1592" s="2">
        <f t="shared" si="232"/>
        <v>43830</v>
      </c>
    </row>
    <row r="1593" spans="1:6" x14ac:dyDescent="0.25">
      <c r="A1593" s="1" t="s">
        <v>1044</v>
      </c>
      <c r="B1593" s="1" t="s">
        <v>1096</v>
      </c>
      <c r="C1593" s="1" t="s">
        <v>830</v>
      </c>
      <c r="D1593" s="3">
        <f t="shared" si="230"/>
        <v>9966</v>
      </c>
      <c r="E1593" s="2">
        <f t="shared" si="231"/>
        <v>43344</v>
      </c>
      <c r="F1593" s="2">
        <f t="shared" si="232"/>
        <v>43830</v>
      </c>
    </row>
    <row r="1594" spans="1:6" x14ac:dyDescent="0.25">
      <c r="A1594" s="1" t="s">
        <v>1044</v>
      </c>
      <c r="B1594" s="1" t="s">
        <v>1043</v>
      </c>
      <c r="C1594" s="1" t="s">
        <v>1047</v>
      </c>
      <c r="D1594" s="3">
        <f t="shared" ref="D1594:D1600" si="233">VALUE("8328")</f>
        <v>8328</v>
      </c>
      <c r="E1594" s="2">
        <f t="shared" ref="E1594:E1600" si="234">DATEVALUE("1-7-2018")</f>
        <v>43282</v>
      </c>
      <c r="F1594" s="2">
        <f t="shared" ref="F1594:F1600" si="235">DATEVALUE("31-12-2020")</f>
        <v>44196</v>
      </c>
    </row>
    <row r="1595" spans="1:6" x14ac:dyDescent="0.25">
      <c r="A1595" s="1" t="s">
        <v>1044</v>
      </c>
      <c r="B1595" s="1" t="s">
        <v>1043</v>
      </c>
      <c r="C1595" s="1" t="s">
        <v>146</v>
      </c>
      <c r="D1595" s="3">
        <f t="shared" si="233"/>
        <v>8328</v>
      </c>
      <c r="E1595" s="2">
        <f t="shared" si="234"/>
        <v>43282</v>
      </c>
      <c r="F1595" s="2">
        <f t="shared" si="235"/>
        <v>44196</v>
      </c>
    </row>
    <row r="1596" spans="1:6" x14ac:dyDescent="0.25">
      <c r="A1596" s="1" t="s">
        <v>1044</v>
      </c>
      <c r="B1596" s="1" t="s">
        <v>1043</v>
      </c>
      <c r="C1596" s="1" t="s">
        <v>67</v>
      </c>
      <c r="D1596" s="3">
        <f t="shared" si="233"/>
        <v>8328</v>
      </c>
      <c r="E1596" s="2">
        <f t="shared" si="234"/>
        <v>43282</v>
      </c>
      <c r="F1596" s="2">
        <f t="shared" si="235"/>
        <v>44196</v>
      </c>
    </row>
    <row r="1597" spans="1:6" x14ac:dyDescent="0.25">
      <c r="A1597" s="1" t="s">
        <v>1044</v>
      </c>
      <c r="B1597" s="1" t="s">
        <v>1043</v>
      </c>
      <c r="C1597" s="1" t="s">
        <v>148</v>
      </c>
      <c r="D1597" s="3">
        <f t="shared" si="233"/>
        <v>8328</v>
      </c>
      <c r="E1597" s="2">
        <f t="shared" si="234"/>
        <v>43282</v>
      </c>
      <c r="F1597" s="2">
        <f t="shared" si="235"/>
        <v>44196</v>
      </c>
    </row>
    <row r="1598" spans="1:6" x14ac:dyDescent="0.25">
      <c r="A1598" s="1" t="s">
        <v>1044</v>
      </c>
      <c r="B1598" s="1" t="s">
        <v>1043</v>
      </c>
      <c r="C1598" s="1" t="s">
        <v>149</v>
      </c>
      <c r="D1598" s="3">
        <f t="shared" si="233"/>
        <v>8328</v>
      </c>
      <c r="E1598" s="2">
        <f t="shared" si="234"/>
        <v>43282</v>
      </c>
      <c r="F1598" s="2">
        <f t="shared" si="235"/>
        <v>44196</v>
      </c>
    </row>
    <row r="1599" spans="1:6" x14ac:dyDescent="0.25">
      <c r="A1599" s="1" t="s">
        <v>1044</v>
      </c>
      <c r="B1599" s="1" t="s">
        <v>1043</v>
      </c>
      <c r="C1599" s="1" t="s">
        <v>1045</v>
      </c>
      <c r="D1599" s="3">
        <f t="shared" si="233"/>
        <v>8328</v>
      </c>
      <c r="E1599" s="2">
        <f t="shared" si="234"/>
        <v>43282</v>
      </c>
      <c r="F1599" s="2">
        <f t="shared" si="235"/>
        <v>44196</v>
      </c>
    </row>
    <row r="1600" spans="1:6" x14ac:dyDescent="0.25">
      <c r="A1600" s="1" t="s">
        <v>1044</v>
      </c>
      <c r="B1600" s="1" t="s">
        <v>1043</v>
      </c>
      <c r="C1600" s="1" t="s">
        <v>1046</v>
      </c>
      <c r="D1600" s="3">
        <f t="shared" si="233"/>
        <v>8328</v>
      </c>
      <c r="E1600" s="2">
        <f t="shared" si="234"/>
        <v>43282</v>
      </c>
      <c r="F1600" s="2">
        <f t="shared" si="235"/>
        <v>44196</v>
      </c>
    </row>
    <row r="1601" spans="1:6" x14ac:dyDescent="0.25">
      <c r="A1601" s="1" t="s">
        <v>1044</v>
      </c>
      <c r="B1601" s="1" t="s">
        <v>1220</v>
      </c>
      <c r="C1601" s="1" t="s">
        <v>1223</v>
      </c>
      <c r="D1601" s="3">
        <f t="shared" ref="D1601:D1623" si="236">VALUE("8068")</f>
        <v>8068</v>
      </c>
      <c r="E1601" s="2">
        <f t="shared" ref="E1601:E1623" si="237">DATEVALUE("1-10-2017")</f>
        <v>43009</v>
      </c>
      <c r="F1601" s="2">
        <f t="shared" ref="F1601:F1623" si="238">DATEVALUE("31-3-2019")</f>
        <v>43555</v>
      </c>
    </row>
    <row r="1602" spans="1:6" x14ac:dyDescent="0.25">
      <c r="A1602" s="1" t="s">
        <v>1044</v>
      </c>
      <c r="B1602" s="1" t="s">
        <v>1220</v>
      </c>
      <c r="C1602" s="1" t="s">
        <v>1224</v>
      </c>
      <c r="D1602" s="3">
        <f t="shared" si="236"/>
        <v>8068</v>
      </c>
      <c r="E1602" s="2">
        <f t="shared" si="237"/>
        <v>43009</v>
      </c>
      <c r="F1602" s="2">
        <f t="shared" si="238"/>
        <v>43555</v>
      </c>
    </row>
    <row r="1603" spans="1:6" x14ac:dyDescent="0.25">
      <c r="A1603" s="1" t="s">
        <v>1044</v>
      </c>
      <c r="B1603" s="1" t="s">
        <v>1220</v>
      </c>
      <c r="C1603" s="1" t="s">
        <v>1225</v>
      </c>
      <c r="D1603" s="3">
        <f t="shared" si="236"/>
        <v>8068</v>
      </c>
      <c r="E1603" s="2">
        <f t="shared" si="237"/>
        <v>43009</v>
      </c>
      <c r="F1603" s="2">
        <f t="shared" si="238"/>
        <v>43555</v>
      </c>
    </row>
    <row r="1604" spans="1:6" x14ac:dyDescent="0.25">
      <c r="A1604" s="1" t="s">
        <v>1044</v>
      </c>
      <c r="B1604" s="1" t="s">
        <v>1220</v>
      </c>
      <c r="C1604" s="1" t="s">
        <v>1226</v>
      </c>
      <c r="D1604" s="3">
        <f t="shared" si="236"/>
        <v>8068</v>
      </c>
      <c r="E1604" s="2">
        <f t="shared" si="237"/>
        <v>43009</v>
      </c>
      <c r="F1604" s="2">
        <f t="shared" si="238"/>
        <v>43555</v>
      </c>
    </row>
    <row r="1605" spans="1:6" x14ac:dyDescent="0.25">
      <c r="A1605" s="1" t="s">
        <v>1044</v>
      </c>
      <c r="B1605" s="1" t="s">
        <v>1220</v>
      </c>
      <c r="C1605" s="1" t="s">
        <v>1227</v>
      </c>
      <c r="D1605" s="3">
        <f t="shared" si="236"/>
        <v>8068</v>
      </c>
      <c r="E1605" s="2">
        <f t="shared" si="237"/>
        <v>43009</v>
      </c>
      <c r="F1605" s="2">
        <f t="shared" si="238"/>
        <v>43555</v>
      </c>
    </row>
    <row r="1606" spans="1:6" x14ac:dyDescent="0.25">
      <c r="A1606" s="1" t="s">
        <v>1044</v>
      </c>
      <c r="B1606" s="1" t="s">
        <v>1220</v>
      </c>
      <c r="C1606" s="1" t="s">
        <v>811</v>
      </c>
      <c r="D1606" s="3">
        <f t="shared" si="236"/>
        <v>8068</v>
      </c>
      <c r="E1606" s="2">
        <f t="shared" si="237"/>
        <v>43009</v>
      </c>
      <c r="F1606" s="2">
        <f t="shared" si="238"/>
        <v>43555</v>
      </c>
    </row>
    <row r="1607" spans="1:6" x14ac:dyDescent="0.25">
      <c r="A1607" s="1" t="s">
        <v>1044</v>
      </c>
      <c r="B1607" s="1" t="s">
        <v>1220</v>
      </c>
      <c r="C1607" s="1" t="s">
        <v>1098</v>
      </c>
      <c r="D1607" s="3">
        <f t="shared" si="236"/>
        <v>8068</v>
      </c>
      <c r="E1607" s="2">
        <f t="shared" si="237"/>
        <v>43009</v>
      </c>
      <c r="F1607" s="2">
        <f t="shared" si="238"/>
        <v>43555</v>
      </c>
    </row>
    <row r="1608" spans="1:6" x14ac:dyDescent="0.25">
      <c r="A1608" s="1" t="s">
        <v>1044</v>
      </c>
      <c r="B1608" s="1" t="s">
        <v>1220</v>
      </c>
      <c r="C1608" s="1" t="s">
        <v>812</v>
      </c>
      <c r="D1608" s="3">
        <f t="shared" si="236"/>
        <v>8068</v>
      </c>
      <c r="E1608" s="2">
        <f t="shared" si="237"/>
        <v>43009</v>
      </c>
      <c r="F1608" s="2">
        <f t="shared" si="238"/>
        <v>43555</v>
      </c>
    </row>
    <row r="1609" spans="1:6" x14ac:dyDescent="0.25">
      <c r="A1609" s="1" t="s">
        <v>1044</v>
      </c>
      <c r="B1609" s="1" t="s">
        <v>1220</v>
      </c>
      <c r="C1609" s="1" t="s">
        <v>813</v>
      </c>
      <c r="D1609" s="3">
        <f t="shared" si="236"/>
        <v>8068</v>
      </c>
      <c r="E1609" s="2">
        <f t="shared" si="237"/>
        <v>43009</v>
      </c>
      <c r="F1609" s="2">
        <f t="shared" si="238"/>
        <v>43555</v>
      </c>
    </row>
    <row r="1610" spans="1:6" x14ac:dyDescent="0.25">
      <c r="A1610" s="1" t="s">
        <v>1044</v>
      </c>
      <c r="B1610" s="1" t="s">
        <v>1220</v>
      </c>
      <c r="C1610" s="1" t="s">
        <v>816</v>
      </c>
      <c r="D1610" s="3">
        <f t="shared" si="236"/>
        <v>8068</v>
      </c>
      <c r="E1610" s="2">
        <f t="shared" si="237"/>
        <v>43009</v>
      </c>
      <c r="F1610" s="2">
        <f t="shared" si="238"/>
        <v>43555</v>
      </c>
    </row>
    <row r="1611" spans="1:6" x14ac:dyDescent="0.25">
      <c r="A1611" s="1" t="s">
        <v>1044</v>
      </c>
      <c r="B1611" s="1" t="s">
        <v>1220</v>
      </c>
      <c r="C1611" s="1" t="s">
        <v>815</v>
      </c>
      <c r="D1611" s="3">
        <f t="shared" si="236"/>
        <v>8068</v>
      </c>
      <c r="E1611" s="2">
        <f t="shared" si="237"/>
        <v>43009</v>
      </c>
      <c r="F1611" s="2">
        <f t="shared" si="238"/>
        <v>43555</v>
      </c>
    </row>
    <row r="1612" spans="1:6" x14ac:dyDescent="0.25">
      <c r="A1612" s="1" t="s">
        <v>1044</v>
      </c>
      <c r="B1612" s="1" t="s">
        <v>1220</v>
      </c>
      <c r="C1612" s="1" t="s">
        <v>1228</v>
      </c>
      <c r="D1612" s="3">
        <f t="shared" si="236"/>
        <v>8068</v>
      </c>
      <c r="E1612" s="2">
        <f t="shared" si="237"/>
        <v>43009</v>
      </c>
      <c r="F1612" s="2">
        <f t="shared" si="238"/>
        <v>43555</v>
      </c>
    </row>
    <row r="1613" spans="1:6" x14ac:dyDescent="0.25">
      <c r="A1613" s="1" t="s">
        <v>1044</v>
      </c>
      <c r="B1613" s="1" t="s">
        <v>1220</v>
      </c>
      <c r="C1613" s="1" t="s">
        <v>825</v>
      </c>
      <c r="D1613" s="3">
        <f t="shared" si="236"/>
        <v>8068</v>
      </c>
      <c r="E1613" s="2">
        <f t="shared" si="237"/>
        <v>43009</v>
      </c>
      <c r="F1613" s="2">
        <f t="shared" si="238"/>
        <v>43555</v>
      </c>
    </row>
    <row r="1614" spans="1:6" x14ac:dyDescent="0.25">
      <c r="A1614" s="1" t="s">
        <v>1044</v>
      </c>
      <c r="B1614" s="1" t="s">
        <v>1220</v>
      </c>
      <c r="C1614" s="1" t="s">
        <v>824</v>
      </c>
      <c r="D1614" s="3">
        <f t="shared" si="236"/>
        <v>8068</v>
      </c>
      <c r="E1614" s="2">
        <f t="shared" si="237"/>
        <v>43009</v>
      </c>
      <c r="F1614" s="2">
        <f t="shared" si="238"/>
        <v>43555</v>
      </c>
    </row>
    <row r="1615" spans="1:6" x14ac:dyDescent="0.25">
      <c r="A1615" s="1" t="s">
        <v>1044</v>
      </c>
      <c r="B1615" s="1" t="s">
        <v>1220</v>
      </c>
      <c r="C1615" s="1" t="s">
        <v>826</v>
      </c>
      <c r="D1615" s="3">
        <f t="shared" si="236"/>
        <v>8068</v>
      </c>
      <c r="E1615" s="2">
        <f t="shared" si="237"/>
        <v>43009</v>
      </c>
      <c r="F1615" s="2">
        <f t="shared" si="238"/>
        <v>43555</v>
      </c>
    </row>
    <row r="1616" spans="1:6" x14ac:dyDescent="0.25">
      <c r="A1616" s="1" t="s">
        <v>1044</v>
      </c>
      <c r="B1616" s="1" t="s">
        <v>1220</v>
      </c>
      <c r="C1616" s="1" t="s">
        <v>829</v>
      </c>
      <c r="D1616" s="3">
        <f t="shared" si="236"/>
        <v>8068</v>
      </c>
      <c r="E1616" s="2">
        <f t="shared" si="237"/>
        <v>43009</v>
      </c>
      <c r="F1616" s="2">
        <f t="shared" si="238"/>
        <v>43555</v>
      </c>
    </row>
    <row r="1617" spans="1:6" x14ac:dyDescent="0.25">
      <c r="A1617" s="1" t="s">
        <v>1044</v>
      </c>
      <c r="B1617" s="1" t="s">
        <v>1220</v>
      </c>
      <c r="C1617" s="1" t="s">
        <v>828</v>
      </c>
      <c r="D1617" s="3">
        <f t="shared" si="236"/>
        <v>8068</v>
      </c>
      <c r="E1617" s="2">
        <f t="shared" si="237"/>
        <v>43009</v>
      </c>
      <c r="F1617" s="2">
        <f t="shared" si="238"/>
        <v>43555</v>
      </c>
    </row>
    <row r="1618" spans="1:6" x14ac:dyDescent="0.25">
      <c r="A1618" s="1" t="s">
        <v>1044</v>
      </c>
      <c r="B1618" s="1" t="s">
        <v>1220</v>
      </c>
      <c r="C1618" s="1" t="s">
        <v>1229</v>
      </c>
      <c r="D1618" s="3">
        <f t="shared" si="236"/>
        <v>8068</v>
      </c>
      <c r="E1618" s="2">
        <f t="shared" si="237"/>
        <v>43009</v>
      </c>
      <c r="F1618" s="2">
        <f t="shared" si="238"/>
        <v>43555</v>
      </c>
    </row>
    <row r="1619" spans="1:6" x14ac:dyDescent="0.25">
      <c r="A1619" s="1" t="s">
        <v>1044</v>
      </c>
      <c r="B1619" s="1" t="s">
        <v>1220</v>
      </c>
      <c r="C1619" s="1" t="s">
        <v>1230</v>
      </c>
      <c r="D1619" s="3">
        <f t="shared" si="236"/>
        <v>8068</v>
      </c>
      <c r="E1619" s="2">
        <f t="shared" si="237"/>
        <v>43009</v>
      </c>
      <c r="F1619" s="2">
        <f t="shared" si="238"/>
        <v>43555</v>
      </c>
    </row>
    <row r="1620" spans="1:6" x14ac:dyDescent="0.25">
      <c r="A1620" s="1" t="s">
        <v>1044</v>
      </c>
      <c r="B1620" s="1" t="s">
        <v>1220</v>
      </c>
      <c r="C1620" s="1" t="s">
        <v>1231</v>
      </c>
      <c r="D1620" s="3">
        <f t="shared" si="236"/>
        <v>8068</v>
      </c>
      <c r="E1620" s="2">
        <f t="shared" si="237"/>
        <v>43009</v>
      </c>
      <c r="F1620" s="2">
        <f t="shared" si="238"/>
        <v>43555</v>
      </c>
    </row>
    <row r="1621" spans="1:6" x14ac:dyDescent="0.25">
      <c r="A1621" s="1" t="s">
        <v>1044</v>
      </c>
      <c r="B1621" s="1" t="s">
        <v>1220</v>
      </c>
      <c r="C1621" s="1" t="s">
        <v>1232</v>
      </c>
      <c r="D1621" s="3">
        <f t="shared" si="236"/>
        <v>8068</v>
      </c>
      <c r="E1621" s="2">
        <f t="shared" si="237"/>
        <v>43009</v>
      </c>
      <c r="F1621" s="2">
        <f t="shared" si="238"/>
        <v>43555</v>
      </c>
    </row>
    <row r="1622" spans="1:6" x14ac:dyDescent="0.25">
      <c r="A1622" s="1" t="s">
        <v>1044</v>
      </c>
      <c r="B1622" s="1" t="s">
        <v>1220</v>
      </c>
      <c r="C1622" s="1" t="s">
        <v>1233</v>
      </c>
      <c r="D1622" s="3">
        <f t="shared" si="236"/>
        <v>8068</v>
      </c>
      <c r="E1622" s="2">
        <f t="shared" si="237"/>
        <v>43009</v>
      </c>
      <c r="F1622" s="2">
        <f t="shared" si="238"/>
        <v>43555</v>
      </c>
    </row>
    <row r="1623" spans="1:6" x14ac:dyDescent="0.25">
      <c r="A1623" s="1" t="s">
        <v>1044</v>
      </c>
      <c r="B1623" s="1" t="s">
        <v>1220</v>
      </c>
      <c r="C1623" s="1" t="s">
        <v>1234</v>
      </c>
      <c r="D1623" s="3">
        <f t="shared" si="236"/>
        <v>8068</v>
      </c>
      <c r="E1623" s="2">
        <f t="shared" si="237"/>
        <v>43009</v>
      </c>
      <c r="F1623" s="2">
        <f t="shared" si="238"/>
        <v>43555</v>
      </c>
    </row>
    <row r="1624" spans="1:6" x14ac:dyDescent="0.25">
      <c r="A1624" s="1" t="s">
        <v>1044</v>
      </c>
      <c r="B1624" s="1" t="s">
        <v>1988</v>
      </c>
      <c r="C1624" s="1" t="s">
        <v>172</v>
      </c>
      <c r="D1624" s="3">
        <f>VALUE("7777")</f>
        <v>7777</v>
      </c>
      <c r="E1624" s="2">
        <f>DATEVALUE("1-6-2015")</f>
        <v>42156</v>
      </c>
      <c r="F1624" s="2">
        <f>DATEVALUE("31-12-2019")</f>
        <v>43830</v>
      </c>
    </row>
    <row r="1625" spans="1:6" x14ac:dyDescent="0.25">
      <c r="A1625" s="1" t="s">
        <v>1044</v>
      </c>
      <c r="B1625" s="1" t="s">
        <v>69</v>
      </c>
      <c r="C1625" s="1" t="s">
        <v>69</v>
      </c>
      <c r="D1625" s="3">
        <f>VALUE("7648")</f>
        <v>7648</v>
      </c>
      <c r="E1625" s="2">
        <f>DATEVALUE("1-7-2014")</f>
        <v>41821</v>
      </c>
      <c r="F1625" s="2">
        <f>DATEVALUE("31-12-2016")</f>
        <v>42735</v>
      </c>
    </row>
    <row r="1626" spans="1:6" x14ac:dyDescent="0.25">
      <c r="A1626" s="1" t="s">
        <v>1044</v>
      </c>
      <c r="B1626" s="1" t="s">
        <v>2111</v>
      </c>
      <c r="C1626" s="1" t="s">
        <v>69</v>
      </c>
      <c r="D1626" s="3">
        <f>VALUE("7046")</f>
        <v>7046</v>
      </c>
      <c r="E1626" s="2">
        <f>DATEVALUE("1-4-2010")</f>
        <v>40269</v>
      </c>
      <c r="F1626" s="2">
        <f>DATEVALUE("31-7-2019")</f>
        <v>43677</v>
      </c>
    </row>
    <row r="1627" spans="1:6" x14ac:dyDescent="0.25">
      <c r="A1627" s="1" t="s">
        <v>1044</v>
      </c>
      <c r="B1627" s="1" t="s">
        <v>2102</v>
      </c>
      <c r="C1627" s="1" t="s">
        <v>80</v>
      </c>
      <c r="D1627" s="3">
        <f t="shared" ref="D1627:D1650" si="239">VALUE("6009")</f>
        <v>6009</v>
      </c>
      <c r="E1627" s="2">
        <f t="shared" ref="E1627:E1650" si="240">DATEVALUE("1-8-2007")</f>
        <v>39295</v>
      </c>
      <c r="F1627" s="2">
        <f t="shared" ref="F1627:F1650" si="241">DATEVALUE("31-8-2019")</f>
        <v>43708</v>
      </c>
    </row>
    <row r="1628" spans="1:6" x14ac:dyDescent="0.25">
      <c r="A1628" s="1" t="s">
        <v>1044</v>
      </c>
      <c r="B1628" s="1" t="s">
        <v>2102</v>
      </c>
      <c r="C1628" s="1" t="s">
        <v>39</v>
      </c>
      <c r="D1628" s="3">
        <f t="shared" si="239"/>
        <v>6009</v>
      </c>
      <c r="E1628" s="2">
        <f t="shared" si="240"/>
        <v>39295</v>
      </c>
      <c r="F1628" s="2">
        <f t="shared" si="241"/>
        <v>43708</v>
      </c>
    </row>
    <row r="1629" spans="1:6" x14ac:dyDescent="0.25">
      <c r="A1629" s="1" t="s">
        <v>1044</v>
      </c>
      <c r="B1629" s="1" t="s">
        <v>2102</v>
      </c>
      <c r="C1629" s="1" t="s">
        <v>8</v>
      </c>
      <c r="D1629" s="3">
        <f t="shared" si="239"/>
        <v>6009</v>
      </c>
      <c r="E1629" s="2">
        <f t="shared" si="240"/>
        <v>39295</v>
      </c>
      <c r="F1629" s="2">
        <f t="shared" si="241"/>
        <v>43708</v>
      </c>
    </row>
    <row r="1630" spans="1:6" x14ac:dyDescent="0.25">
      <c r="A1630" s="1" t="s">
        <v>1044</v>
      </c>
      <c r="B1630" s="1" t="s">
        <v>2102</v>
      </c>
      <c r="C1630" s="1" t="s">
        <v>10</v>
      </c>
      <c r="D1630" s="3">
        <f t="shared" si="239"/>
        <v>6009</v>
      </c>
      <c r="E1630" s="2">
        <f t="shared" si="240"/>
        <v>39295</v>
      </c>
      <c r="F1630" s="2">
        <f t="shared" si="241"/>
        <v>43708</v>
      </c>
    </row>
    <row r="1631" spans="1:6" x14ac:dyDescent="0.25">
      <c r="A1631" s="1" t="s">
        <v>1044</v>
      </c>
      <c r="B1631" s="1" t="s">
        <v>2102</v>
      </c>
      <c r="C1631" s="1" t="s">
        <v>11</v>
      </c>
      <c r="D1631" s="3">
        <f t="shared" si="239"/>
        <v>6009</v>
      </c>
      <c r="E1631" s="2">
        <f t="shared" si="240"/>
        <v>39295</v>
      </c>
      <c r="F1631" s="2">
        <f t="shared" si="241"/>
        <v>43708</v>
      </c>
    </row>
    <row r="1632" spans="1:6" x14ac:dyDescent="0.25">
      <c r="A1632" s="1" t="s">
        <v>1044</v>
      </c>
      <c r="B1632" s="1" t="s">
        <v>2102</v>
      </c>
      <c r="C1632" s="1" t="s">
        <v>12</v>
      </c>
      <c r="D1632" s="3">
        <f t="shared" si="239"/>
        <v>6009</v>
      </c>
      <c r="E1632" s="2">
        <f t="shared" si="240"/>
        <v>39295</v>
      </c>
      <c r="F1632" s="2">
        <f t="shared" si="241"/>
        <v>43708</v>
      </c>
    </row>
    <row r="1633" spans="1:6" x14ac:dyDescent="0.25">
      <c r="A1633" s="1" t="s">
        <v>1044</v>
      </c>
      <c r="B1633" s="1" t="s">
        <v>2102</v>
      </c>
      <c r="C1633" s="1" t="s">
        <v>83</v>
      </c>
      <c r="D1633" s="3">
        <f t="shared" si="239"/>
        <v>6009</v>
      </c>
      <c r="E1633" s="2">
        <f t="shared" si="240"/>
        <v>39295</v>
      </c>
      <c r="F1633" s="2">
        <f t="shared" si="241"/>
        <v>43708</v>
      </c>
    </row>
    <row r="1634" spans="1:6" x14ac:dyDescent="0.25">
      <c r="A1634" s="1" t="s">
        <v>1044</v>
      </c>
      <c r="B1634" s="1" t="s">
        <v>2102</v>
      </c>
      <c r="C1634" s="1" t="s">
        <v>43</v>
      </c>
      <c r="D1634" s="3">
        <f t="shared" si="239"/>
        <v>6009</v>
      </c>
      <c r="E1634" s="2">
        <f t="shared" si="240"/>
        <v>39295</v>
      </c>
      <c r="F1634" s="2">
        <f t="shared" si="241"/>
        <v>43708</v>
      </c>
    </row>
    <row r="1635" spans="1:6" x14ac:dyDescent="0.25">
      <c r="A1635" s="1" t="s">
        <v>1044</v>
      </c>
      <c r="B1635" s="1" t="s">
        <v>2102</v>
      </c>
      <c r="C1635" s="1" t="s">
        <v>46</v>
      </c>
      <c r="D1635" s="3">
        <f t="shared" si="239"/>
        <v>6009</v>
      </c>
      <c r="E1635" s="2">
        <f t="shared" si="240"/>
        <v>39295</v>
      </c>
      <c r="F1635" s="2">
        <f t="shared" si="241"/>
        <v>43708</v>
      </c>
    </row>
    <row r="1636" spans="1:6" x14ac:dyDescent="0.25">
      <c r="A1636" s="1" t="s">
        <v>1044</v>
      </c>
      <c r="B1636" s="1" t="s">
        <v>2102</v>
      </c>
      <c r="C1636" s="1" t="s">
        <v>66</v>
      </c>
      <c r="D1636" s="3">
        <f t="shared" si="239"/>
        <v>6009</v>
      </c>
      <c r="E1636" s="2">
        <f t="shared" si="240"/>
        <v>39295</v>
      </c>
      <c r="F1636" s="2">
        <f t="shared" si="241"/>
        <v>43708</v>
      </c>
    </row>
    <row r="1637" spans="1:6" x14ac:dyDescent="0.25">
      <c r="A1637" s="1" t="s">
        <v>1044</v>
      </c>
      <c r="B1637" s="1" t="s">
        <v>2102</v>
      </c>
      <c r="C1637" s="1" t="s">
        <v>16</v>
      </c>
      <c r="D1637" s="3">
        <f t="shared" si="239"/>
        <v>6009</v>
      </c>
      <c r="E1637" s="2">
        <f t="shared" si="240"/>
        <v>39295</v>
      </c>
      <c r="F1637" s="2">
        <f t="shared" si="241"/>
        <v>43708</v>
      </c>
    </row>
    <row r="1638" spans="1:6" x14ac:dyDescent="0.25">
      <c r="A1638" s="1" t="s">
        <v>1044</v>
      </c>
      <c r="B1638" s="1" t="s">
        <v>2102</v>
      </c>
      <c r="C1638" s="1" t="s">
        <v>88</v>
      </c>
      <c r="D1638" s="3">
        <f t="shared" si="239"/>
        <v>6009</v>
      </c>
      <c r="E1638" s="2">
        <f t="shared" si="240"/>
        <v>39295</v>
      </c>
      <c r="F1638" s="2">
        <f t="shared" si="241"/>
        <v>43708</v>
      </c>
    </row>
    <row r="1639" spans="1:6" x14ac:dyDescent="0.25">
      <c r="A1639" s="1" t="s">
        <v>1044</v>
      </c>
      <c r="B1639" s="1" t="s">
        <v>2102</v>
      </c>
      <c r="C1639" s="1" t="s">
        <v>89</v>
      </c>
      <c r="D1639" s="3">
        <f t="shared" si="239"/>
        <v>6009</v>
      </c>
      <c r="E1639" s="2">
        <f t="shared" si="240"/>
        <v>39295</v>
      </c>
      <c r="F1639" s="2">
        <f t="shared" si="241"/>
        <v>43708</v>
      </c>
    </row>
    <row r="1640" spans="1:6" x14ac:dyDescent="0.25">
      <c r="A1640" s="1" t="s">
        <v>1044</v>
      </c>
      <c r="B1640" s="1" t="s">
        <v>2102</v>
      </c>
      <c r="C1640" s="1" t="s">
        <v>17</v>
      </c>
      <c r="D1640" s="3">
        <f t="shared" si="239"/>
        <v>6009</v>
      </c>
      <c r="E1640" s="2">
        <f t="shared" si="240"/>
        <v>39295</v>
      </c>
      <c r="F1640" s="2">
        <f t="shared" si="241"/>
        <v>43708</v>
      </c>
    </row>
    <row r="1641" spans="1:6" x14ac:dyDescent="0.25">
      <c r="A1641" s="1" t="s">
        <v>1044</v>
      </c>
      <c r="B1641" s="1" t="s">
        <v>2102</v>
      </c>
      <c r="C1641" s="1" t="s">
        <v>105</v>
      </c>
      <c r="D1641" s="3">
        <f t="shared" si="239"/>
        <v>6009</v>
      </c>
      <c r="E1641" s="2">
        <f t="shared" si="240"/>
        <v>39295</v>
      </c>
      <c r="F1641" s="2">
        <f t="shared" si="241"/>
        <v>43708</v>
      </c>
    </row>
    <row r="1642" spans="1:6" x14ac:dyDescent="0.25">
      <c r="A1642" s="1" t="s">
        <v>1044</v>
      </c>
      <c r="B1642" s="1" t="s">
        <v>2102</v>
      </c>
      <c r="C1642" s="1" t="s">
        <v>106</v>
      </c>
      <c r="D1642" s="3">
        <f t="shared" si="239"/>
        <v>6009</v>
      </c>
      <c r="E1642" s="2">
        <f t="shared" si="240"/>
        <v>39295</v>
      </c>
      <c r="F1642" s="2">
        <f t="shared" si="241"/>
        <v>43708</v>
      </c>
    </row>
    <row r="1643" spans="1:6" x14ac:dyDescent="0.25">
      <c r="A1643" s="1" t="s">
        <v>1044</v>
      </c>
      <c r="B1643" s="1" t="s">
        <v>2102</v>
      </c>
      <c r="C1643" s="1" t="s">
        <v>32</v>
      </c>
      <c r="D1643" s="3">
        <f t="shared" si="239"/>
        <v>6009</v>
      </c>
      <c r="E1643" s="2">
        <f t="shared" si="240"/>
        <v>39295</v>
      </c>
      <c r="F1643" s="2">
        <f t="shared" si="241"/>
        <v>43708</v>
      </c>
    </row>
    <row r="1644" spans="1:6" x14ac:dyDescent="0.25">
      <c r="A1644" s="1" t="s">
        <v>1044</v>
      </c>
      <c r="B1644" s="1" t="s">
        <v>2102</v>
      </c>
      <c r="C1644" s="1" t="s">
        <v>111</v>
      </c>
      <c r="D1644" s="3">
        <f t="shared" si="239"/>
        <v>6009</v>
      </c>
      <c r="E1644" s="2">
        <f t="shared" si="240"/>
        <v>39295</v>
      </c>
      <c r="F1644" s="2">
        <f t="shared" si="241"/>
        <v>43708</v>
      </c>
    </row>
    <row r="1645" spans="1:6" x14ac:dyDescent="0.25">
      <c r="A1645" s="1" t="s">
        <v>1044</v>
      </c>
      <c r="B1645" s="1" t="s">
        <v>2102</v>
      </c>
      <c r="C1645" s="1" t="s">
        <v>113</v>
      </c>
      <c r="D1645" s="3">
        <f t="shared" si="239"/>
        <v>6009</v>
      </c>
      <c r="E1645" s="2">
        <f t="shared" si="240"/>
        <v>39295</v>
      </c>
      <c r="F1645" s="2">
        <f t="shared" si="241"/>
        <v>43708</v>
      </c>
    </row>
    <row r="1646" spans="1:6" x14ac:dyDescent="0.25">
      <c r="A1646" s="1" t="s">
        <v>1044</v>
      </c>
      <c r="B1646" s="1" t="s">
        <v>2102</v>
      </c>
      <c r="C1646" s="1" t="s">
        <v>33</v>
      </c>
      <c r="D1646" s="3">
        <f t="shared" si="239"/>
        <v>6009</v>
      </c>
      <c r="E1646" s="2">
        <f t="shared" si="240"/>
        <v>39295</v>
      </c>
      <c r="F1646" s="2">
        <f t="shared" si="241"/>
        <v>43708</v>
      </c>
    </row>
    <row r="1647" spans="1:6" x14ac:dyDescent="0.25">
      <c r="A1647" s="1" t="s">
        <v>1044</v>
      </c>
      <c r="B1647" s="1" t="s">
        <v>2102</v>
      </c>
      <c r="C1647" s="1" t="s">
        <v>479</v>
      </c>
      <c r="D1647" s="3">
        <f t="shared" si="239"/>
        <v>6009</v>
      </c>
      <c r="E1647" s="2">
        <f t="shared" si="240"/>
        <v>39295</v>
      </c>
      <c r="F1647" s="2">
        <f t="shared" si="241"/>
        <v>43708</v>
      </c>
    </row>
    <row r="1648" spans="1:6" x14ac:dyDescent="0.25">
      <c r="A1648" s="1" t="s">
        <v>1044</v>
      </c>
      <c r="B1648" s="1" t="s">
        <v>2102</v>
      </c>
      <c r="C1648" s="1" t="s">
        <v>116</v>
      </c>
      <c r="D1648" s="3">
        <f t="shared" si="239"/>
        <v>6009</v>
      </c>
      <c r="E1648" s="2">
        <f t="shared" si="240"/>
        <v>39295</v>
      </c>
      <c r="F1648" s="2">
        <f t="shared" si="241"/>
        <v>43708</v>
      </c>
    </row>
    <row r="1649" spans="1:6" x14ac:dyDescent="0.25">
      <c r="A1649" s="1" t="s">
        <v>1044</v>
      </c>
      <c r="B1649" s="1" t="s">
        <v>2102</v>
      </c>
      <c r="C1649" s="1" t="s">
        <v>57</v>
      </c>
      <c r="D1649" s="3">
        <f t="shared" si="239"/>
        <v>6009</v>
      </c>
      <c r="E1649" s="2">
        <f t="shared" si="240"/>
        <v>39295</v>
      </c>
      <c r="F1649" s="2">
        <f t="shared" si="241"/>
        <v>43708</v>
      </c>
    </row>
    <row r="1650" spans="1:6" x14ac:dyDescent="0.25">
      <c r="A1650" s="1" t="s">
        <v>1044</v>
      </c>
      <c r="B1650" s="1" t="s">
        <v>2102</v>
      </c>
      <c r="C1650" s="1" t="s">
        <v>36</v>
      </c>
      <c r="D1650" s="3">
        <f t="shared" si="239"/>
        <v>6009</v>
      </c>
      <c r="E1650" s="2">
        <f t="shared" si="240"/>
        <v>39295</v>
      </c>
      <c r="F1650" s="2">
        <f t="shared" si="241"/>
        <v>43708</v>
      </c>
    </row>
    <row r="1651" spans="1:6" x14ac:dyDescent="0.25">
      <c r="A1651" s="1" t="s">
        <v>809</v>
      </c>
      <c r="B1651" s="1" t="s">
        <v>808</v>
      </c>
      <c r="C1651" s="1" t="s">
        <v>810</v>
      </c>
      <c r="D1651" s="3">
        <f t="shared" ref="D1651:D1698" si="242">VALUE("8061")</f>
        <v>8061</v>
      </c>
      <c r="E1651" s="2">
        <f t="shared" ref="E1651:E1698" si="243">DATEVALUE("1-4-2017")</f>
        <v>42826</v>
      </c>
      <c r="F1651" s="2">
        <f t="shared" ref="F1651:F1698" si="244">DATEVALUE("31-12-2022")</f>
        <v>44926</v>
      </c>
    </row>
    <row r="1652" spans="1:6" x14ac:dyDescent="0.25">
      <c r="A1652" s="1" t="s">
        <v>809</v>
      </c>
      <c r="B1652" s="1" t="s">
        <v>808</v>
      </c>
      <c r="C1652" s="1" t="s">
        <v>8</v>
      </c>
      <c r="D1652" s="3">
        <f t="shared" si="242"/>
        <v>8061</v>
      </c>
      <c r="E1652" s="2">
        <f t="shared" si="243"/>
        <v>42826</v>
      </c>
      <c r="F1652" s="2">
        <f t="shared" si="244"/>
        <v>44926</v>
      </c>
    </row>
    <row r="1653" spans="1:6" x14ac:dyDescent="0.25">
      <c r="A1653" s="1" t="s">
        <v>809</v>
      </c>
      <c r="B1653" s="1" t="s">
        <v>808</v>
      </c>
      <c r="C1653" s="1" t="s">
        <v>138</v>
      </c>
      <c r="D1653" s="3">
        <f t="shared" si="242"/>
        <v>8061</v>
      </c>
      <c r="E1653" s="2">
        <f t="shared" si="243"/>
        <v>42826</v>
      </c>
      <c r="F1653" s="2">
        <f t="shared" si="244"/>
        <v>44926</v>
      </c>
    </row>
    <row r="1654" spans="1:6" x14ac:dyDescent="0.25">
      <c r="A1654" s="1" t="s">
        <v>809</v>
      </c>
      <c r="B1654" s="1" t="s">
        <v>808</v>
      </c>
      <c r="C1654" s="1" t="s">
        <v>45</v>
      </c>
      <c r="D1654" s="3">
        <f t="shared" si="242"/>
        <v>8061</v>
      </c>
      <c r="E1654" s="2">
        <f t="shared" si="243"/>
        <v>42826</v>
      </c>
      <c r="F1654" s="2">
        <f t="shared" si="244"/>
        <v>44926</v>
      </c>
    </row>
    <row r="1655" spans="1:6" x14ac:dyDescent="0.25">
      <c r="A1655" s="1" t="s">
        <v>809</v>
      </c>
      <c r="B1655" s="1" t="s">
        <v>808</v>
      </c>
      <c r="C1655" s="1" t="s">
        <v>44</v>
      </c>
      <c r="D1655" s="3">
        <f t="shared" si="242"/>
        <v>8061</v>
      </c>
      <c r="E1655" s="2">
        <f t="shared" si="243"/>
        <v>42826</v>
      </c>
      <c r="F1655" s="2">
        <f t="shared" si="244"/>
        <v>44926</v>
      </c>
    </row>
    <row r="1656" spans="1:6" x14ac:dyDescent="0.25">
      <c r="A1656" s="1" t="s">
        <v>809</v>
      </c>
      <c r="B1656" s="1" t="s">
        <v>808</v>
      </c>
      <c r="C1656" s="1" t="s">
        <v>14</v>
      </c>
      <c r="D1656" s="3">
        <f t="shared" si="242"/>
        <v>8061</v>
      </c>
      <c r="E1656" s="2">
        <f t="shared" si="243"/>
        <v>42826</v>
      </c>
      <c r="F1656" s="2">
        <f t="shared" si="244"/>
        <v>44926</v>
      </c>
    </row>
    <row r="1657" spans="1:6" x14ac:dyDescent="0.25">
      <c r="A1657" s="1" t="s">
        <v>809</v>
      </c>
      <c r="B1657" s="1" t="s">
        <v>808</v>
      </c>
      <c r="C1657" s="1" t="s">
        <v>15</v>
      </c>
      <c r="D1657" s="3">
        <f t="shared" si="242"/>
        <v>8061</v>
      </c>
      <c r="E1657" s="2">
        <f t="shared" si="243"/>
        <v>42826</v>
      </c>
      <c r="F1657" s="2">
        <f t="shared" si="244"/>
        <v>44926</v>
      </c>
    </row>
    <row r="1658" spans="1:6" x14ac:dyDescent="0.25">
      <c r="A1658" s="1" t="s">
        <v>809</v>
      </c>
      <c r="B1658" s="1" t="s">
        <v>808</v>
      </c>
      <c r="C1658" s="1" t="s">
        <v>17</v>
      </c>
      <c r="D1658" s="3">
        <f t="shared" si="242"/>
        <v>8061</v>
      </c>
      <c r="E1658" s="2">
        <f t="shared" si="243"/>
        <v>42826</v>
      </c>
      <c r="F1658" s="2">
        <f t="shared" si="244"/>
        <v>44926</v>
      </c>
    </row>
    <row r="1659" spans="1:6" x14ac:dyDescent="0.25">
      <c r="A1659" s="1" t="s">
        <v>809</v>
      </c>
      <c r="B1659" s="1" t="s">
        <v>808</v>
      </c>
      <c r="C1659" s="1" t="s">
        <v>441</v>
      </c>
      <c r="D1659" s="3">
        <f t="shared" si="242"/>
        <v>8061</v>
      </c>
      <c r="E1659" s="2">
        <f t="shared" si="243"/>
        <v>42826</v>
      </c>
      <c r="F1659" s="2">
        <f t="shared" si="244"/>
        <v>44926</v>
      </c>
    </row>
    <row r="1660" spans="1:6" x14ac:dyDescent="0.25">
      <c r="A1660" s="1" t="s">
        <v>809</v>
      </c>
      <c r="B1660" s="1" t="s">
        <v>808</v>
      </c>
      <c r="C1660" s="1" t="s">
        <v>257</v>
      </c>
      <c r="D1660" s="3">
        <f t="shared" si="242"/>
        <v>8061</v>
      </c>
      <c r="E1660" s="2">
        <f t="shared" si="243"/>
        <v>42826</v>
      </c>
      <c r="F1660" s="2">
        <f t="shared" si="244"/>
        <v>44926</v>
      </c>
    </row>
    <row r="1661" spans="1:6" x14ac:dyDescent="0.25">
      <c r="A1661" s="1" t="s">
        <v>809</v>
      </c>
      <c r="B1661" s="1" t="s">
        <v>808</v>
      </c>
      <c r="C1661" s="1" t="s">
        <v>22</v>
      </c>
      <c r="D1661" s="3">
        <f t="shared" si="242"/>
        <v>8061</v>
      </c>
      <c r="E1661" s="2">
        <f t="shared" si="243"/>
        <v>42826</v>
      </c>
      <c r="F1661" s="2">
        <f t="shared" si="244"/>
        <v>44926</v>
      </c>
    </row>
    <row r="1662" spans="1:6" x14ac:dyDescent="0.25">
      <c r="A1662" s="1" t="s">
        <v>809</v>
      </c>
      <c r="B1662" s="1" t="s">
        <v>808</v>
      </c>
      <c r="C1662" s="1" t="s">
        <v>146</v>
      </c>
      <c r="D1662" s="3">
        <f t="shared" si="242"/>
        <v>8061</v>
      </c>
      <c r="E1662" s="2">
        <f t="shared" si="243"/>
        <v>42826</v>
      </c>
      <c r="F1662" s="2">
        <f t="shared" si="244"/>
        <v>44926</v>
      </c>
    </row>
    <row r="1663" spans="1:6" x14ac:dyDescent="0.25">
      <c r="A1663" s="1" t="s">
        <v>809</v>
      </c>
      <c r="B1663" s="1" t="s">
        <v>808</v>
      </c>
      <c r="C1663" s="1" t="s">
        <v>67</v>
      </c>
      <c r="D1663" s="3">
        <f t="shared" si="242"/>
        <v>8061</v>
      </c>
      <c r="E1663" s="2">
        <f t="shared" si="243"/>
        <v>42826</v>
      </c>
      <c r="F1663" s="2">
        <f t="shared" si="244"/>
        <v>44926</v>
      </c>
    </row>
    <row r="1664" spans="1:6" x14ac:dyDescent="0.25">
      <c r="A1664" s="1" t="s">
        <v>809</v>
      </c>
      <c r="B1664" s="1" t="s">
        <v>808</v>
      </c>
      <c r="C1664" s="1" t="s">
        <v>148</v>
      </c>
      <c r="D1664" s="3">
        <f t="shared" si="242"/>
        <v>8061</v>
      </c>
      <c r="E1664" s="2">
        <f t="shared" si="243"/>
        <v>42826</v>
      </c>
      <c r="F1664" s="2">
        <f t="shared" si="244"/>
        <v>44926</v>
      </c>
    </row>
    <row r="1665" spans="1:6" x14ac:dyDescent="0.25">
      <c r="A1665" s="1" t="s">
        <v>809</v>
      </c>
      <c r="B1665" s="1" t="s">
        <v>808</v>
      </c>
      <c r="C1665" s="1" t="s">
        <v>149</v>
      </c>
      <c r="D1665" s="3">
        <f t="shared" si="242"/>
        <v>8061</v>
      </c>
      <c r="E1665" s="2">
        <f t="shared" si="243"/>
        <v>42826</v>
      </c>
      <c r="F1665" s="2">
        <f t="shared" si="244"/>
        <v>44926</v>
      </c>
    </row>
    <row r="1666" spans="1:6" x14ac:dyDescent="0.25">
      <c r="A1666" s="1" t="s">
        <v>809</v>
      </c>
      <c r="B1666" s="1" t="s">
        <v>808</v>
      </c>
      <c r="C1666" s="1" t="s">
        <v>92</v>
      </c>
      <c r="D1666" s="3">
        <f t="shared" si="242"/>
        <v>8061</v>
      </c>
      <c r="E1666" s="2">
        <f t="shared" si="243"/>
        <v>42826</v>
      </c>
      <c r="F1666" s="2">
        <f t="shared" si="244"/>
        <v>44926</v>
      </c>
    </row>
    <row r="1667" spans="1:6" x14ac:dyDescent="0.25">
      <c r="A1667" s="1" t="s">
        <v>809</v>
      </c>
      <c r="B1667" s="1" t="s">
        <v>808</v>
      </c>
      <c r="C1667" s="1" t="s">
        <v>205</v>
      </c>
      <c r="D1667" s="3">
        <f t="shared" si="242"/>
        <v>8061</v>
      </c>
      <c r="E1667" s="2">
        <f t="shared" si="243"/>
        <v>42826</v>
      </c>
      <c r="F1667" s="2">
        <f t="shared" si="244"/>
        <v>44926</v>
      </c>
    </row>
    <row r="1668" spans="1:6" x14ac:dyDescent="0.25">
      <c r="A1668" s="1" t="s">
        <v>809</v>
      </c>
      <c r="B1668" s="1" t="s">
        <v>808</v>
      </c>
      <c r="C1668" s="1" t="s">
        <v>204</v>
      </c>
      <c r="D1668" s="3">
        <f t="shared" si="242"/>
        <v>8061</v>
      </c>
      <c r="E1668" s="2">
        <f t="shared" si="243"/>
        <v>42826</v>
      </c>
      <c r="F1668" s="2">
        <f t="shared" si="244"/>
        <v>44926</v>
      </c>
    </row>
    <row r="1669" spans="1:6" x14ac:dyDescent="0.25">
      <c r="A1669" s="1" t="s">
        <v>809</v>
      </c>
      <c r="B1669" s="1" t="s">
        <v>808</v>
      </c>
      <c r="C1669" s="1" t="s">
        <v>811</v>
      </c>
      <c r="D1669" s="3">
        <f t="shared" si="242"/>
        <v>8061</v>
      </c>
      <c r="E1669" s="2">
        <f t="shared" si="243"/>
        <v>42826</v>
      </c>
      <c r="F1669" s="2">
        <f t="shared" si="244"/>
        <v>44926</v>
      </c>
    </row>
    <row r="1670" spans="1:6" x14ac:dyDescent="0.25">
      <c r="A1670" s="1" t="s">
        <v>809</v>
      </c>
      <c r="B1670" s="1" t="s">
        <v>808</v>
      </c>
      <c r="C1670" s="1" t="s">
        <v>814</v>
      </c>
      <c r="D1670" s="3">
        <f t="shared" si="242"/>
        <v>8061</v>
      </c>
      <c r="E1670" s="2">
        <f t="shared" si="243"/>
        <v>42826</v>
      </c>
      <c r="F1670" s="2">
        <f t="shared" si="244"/>
        <v>44926</v>
      </c>
    </row>
    <row r="1671" spans="1:6" x14ac:dyDescent="0.25">
      <c r="A1671" s="1" t="s">
        <v>809</v>
      </c>
      <c r="B1671" s="1" t="s">
        <v>808</v>
      </c>
      <c r="C1671" s="1" t="s">
        <v>812</v>
      </c>
      <c r="D1671" s="3">
        <f t="shared" si="242"/>
        <v>8061</v>
      </c>
      <c r="E1671" s="2">
        <f t="shared" si="243"/>
        <v>42826</v>
      </c>
      <c r="F1671" s="2">
        <f t="shared" si="244"/>
        <v>44926</v>
      </c>
    </row>
    <row r="1672" spans="1:6" x14ac:dyDescent="0.25">
      <c r="A1672" s="1" t="s">
        <v>809</v>
      </c>
      <c r="B1672" s="1" t="s">
        <v>808</v>
      </c>
      <c r="C1672" s="1" t="s">
        <v>813</v>
      </c>
      <c r="D1672" s="3">
        <f t="shared" si="242"/>
        <v>8061</v>
      </c>
      <c r="E1672" s="2">
        <f t="shared" si="243"/>
        <v>42826</v>
      </c>
      <c r="F1672" s="2">
        <f t="shared" si="244"/>
        <v>44926</v>
      </c>
    </row>
    <row r="1673" spans="1:6" x14ac:dyDescent="0.25">
      <c r="A1673" s="1" t="s">
        <v>809</v>
      </c>
      <c r="B1673" s="1" t="s">
        <v>808</v>
      </c>
      <c r="C1673" s="1" t="s">
        <v>816</v>
      </c>
      <c r="D1673" s="3">
        <f t="shared" si="242"/>
        <v>8061</v>
      </c>
      <c r="E1673" s="2">
        <f t="shared" si="243"/>
        <v>42826</v>
      </c>
      <c r="F1673" s="2">
        <f t="shared" si="244"/>
        <v>44926</v>
      </c>
    </row>
    <row r="1674" spans="1:6" x14ac:dyDescent="0.25">
      <c r="A1674" s="1" t="s">
        <v>809</v>
      </c>
      <c r="B1674" s="1" t="s">
        <v>808</v>
      </c>
      <c r="C1674" s="1" t="s">
        <v>815</v>
      </c>
      <c r="D1674" s="3">
        <f t="shared" si="242"/>
        <v>8061</v>
      </c>
      <c r="E1674" s="2">
        <f t="shared" si="243"/>
        <v>42826</v>
      </c>
      <c r="F1674" s="2">
        <f t="shared" si="244"/>
        <v>44926</v>
      </c>
    </row>
    <row r="1675" spans="1:6" x14ac:dyDescent="0.25">
      <c r="A1675" s="1" t="s">
        <v>809</v>
      </c>
      <c r="B1675" s="1" t="s">
        <v>808</v>
      </c>
      <c r="C1675" s="1" t="s">
        <v>817</v>
      </c>
      <c r="D1675" s="3">
        <f t="shared" si="242"/>
        <v>8061</v>
      </c>
      <c r="E1675" s="2">
        <f t="shared" si="243"/>
        <v>42826</v>
      </c>
      <c r="F1675" s="2">
        <f t="shared" si="244"/>
        <v>44926</v>
      </c>
    </row>
    <row r="1676" spans="1:6" x14ac:dyDescent="0.25">
      <c r="A1676" s="1" t="s">
        <v>809</v>
      </c>
      <c r="B1676" s="1" t="s">
        <v>808</v>
      </c>
      <c r="C1676" s="1" t="s">
        <v>818</v>
      </c>
      <c r="D1676" s="3">
        <f t="shared" si="242"/>
        <v>8061</v>
      </c>
      <c r="E1676" s="2">
        <f t="shared" si="243"/>
        <v>42826</v>
      </c>
      <c r="F1676" s="2">
        <f t="shared" si="244"/>
        <v>44926</v>
      </c>
    </row>
    <row r="1677" spans="1:6" x14ac:dyDescent="0.25">
      <c r="A1677" s="1" t="s">
        <v>809</v>
      </c>
      <c r="B1677" s="1" t="s">
        <v>808</v>
      </c>
      <c r="C1677" s="1" t="s">
        <v>819</v>
      </c>
      <c r="D1677" s="3">
        <f t="shared" si="242"/>
        <v>8061</v>
      </c>
      <c r="E1677" s="2">
        <f t="shared" si="243"/>
        <v>42826</v>
      </c>
      <c r="F1677" s="2">
        <f t="shared" si="244"/>
        <v>44926</v>
      </c>
    </row>
    <row r="1678" spans="1:6" x14ac:dyDescent="0.25">
      <c r="A1678" s="1" t="s">
        <v>809</v>
      </c>
      <c r="B1678" s="1" t="s">
        <v>808</v>
      </c>
      <c r="C1678" s="1" t="s">
        <v>820</v>
      </c>
      <c r="D1678" s="3">
        <f t="shared" si="242"/>
        <v>8061</v>
      </c>
      <c r="E1678" s="2">
        <f t="shared" si="243"/>
        <v>42826</v>
      </c>
      <c r="F1678" s="2">
        <f t="shared" si="244"/>
        <v>44926</v>
      </c>
    </row>
    <row r="1679" spans="1:6" x14ac:dyDescent="0.25">
      <c r="A1679" s="1" t="s">
        <v>809</v>
      </c>
      <c r="B1679" s="1" t="s">
        <v>808</v>
      </c>
      <c r="C1679" s="1" t="s">
        <v>821</v>
      </c>
      <c r="D1679" s="3">
        <f t="shared" si="242"/>
        <v>8061</v>
      </c>
      <c r="E1679" s="2">
        <f t="shared" si="243"/>
        <v>42826</v>
      </c>
      <c r="F1679" s="2">
        <f t="shared" si="244"/>
        <v>44926</v>
      </c>
    </row>
    <row r="1680" spans="1:6" x14ac:dyDescent="0.25">
      <c r="A1680" s="1" t="s">
        <v>809</v>
      </c>
      <c r="B1680" s="1" t="s">
        <v>808</v>
      </c>
      <c r="C1680" s="1" t="s">
        <v>822</v>
      </c>
      <c r="D1680" s="3">
        <f t="shared" si="242"/>
        <v>8061</v>
      </c>
      <c r="E1680" s="2">
        <f t="shared" si="243"/>
        <v>42826</v>
      </c>
      <c r="F1680" s="2">
        <f t="shared" si="244"/>
        <v>44926</v>
      </c>
    </row>
    <row r="1681" spans="1:6" x14ac:dyDescent="0.25">
      <c r="A1681" s="1" t="s">
        <v>809</v>
      </c>
      <c r="B1681" s="1" t="s">
        <v>808</v>
      </c>
      <c r="C1681" s="1" t="s">
        <v>825</v>
      </c>
      <c r="D1681" s="3">
        <f t="shared" si="242"/>
        <v>8061</v>
      </c>
      <c r="E1681" s="2">
        <f t="shared" si="243"/>
        <v>42826</v>
      </c>
      <c r="F1681" s="2">
        <f t="shared" si="244"/>
        <v>44926</v>
      </c>
    </row>
    <row r="1682" spans="1:6" x14ac:dyDescent="0.25">
      <c r="A1682" s="1" t="s">
        <v>809</v>
      </c>
      <c r="B1682" s="1" t="s">
        <v>808</v>
      </c>
      <c r="C1682" s="1" t="s">
        <v>823</v>
      </c>
      <c r="D1682" s="3">
        <f t="shared" si="242"/>
        <v>8061</v>
      </c>
      <c r="E1682" s="2">
        <f t="shared" si="243"/>
        <v>42826</v>
      </c>
      <c r="F1682" s="2">
        <f t="shared" si="244"/>
        <v>44926</v>
      </c>
    </row>
    <row r="1683" spans="1:6" x14ac:dyDescent="0.25">
      <c r="A1683" s="1" t="s">
        <v>809</v>
      </c>
      <c r="B1683" s="1" t="s">
        <v>808</v>
      </c>
      <c r="C1683" s="1" t="s">
        <v>824</v>
      </c>
      <c r="D1683" s="3">
        <f t="shared" si="242"/>
        <v>8061</v>
      </c>
      <c r="E1683" s="2">
        <f t="shared" si="243"/>
        <v>42826</v>
      </c>
      <c r="F1683" s="2">
        <f t="shared" si="244"/>
        <v>44926</v>
      </c>
    </row>
    <row r="1684" spans="1:6" x14ac:dyDescent="0.25">
      <c r="A1684" s="1" t="s">
        <v>809</v>
      </c>
      <c r="B1684" s="1" t="s">
        <v>808</v>
      </c>
      <c r="C1684" s="1" t="s">
        <v>826</v>
      </c>
      <c r="D1684" s="3">
        <f t="shared" si="242"/>
        <v>8061</v>
      </c>
      <c r="E1684" s="2">
        <f t="shared" si="243"/>
        <v>42826</v>
      </c>
      <c r="F1684" s="2">
        <f t="shared" si="244"/>
        <v>44926</v>
      </c>
    </row>
    <row r="1685" spans="1:6" x14ac:dyDescent="0.25">
      <c r="A1685" s="1" t="s">
        <v>809</v>
      </c>
      <c r="B1685" s="1" t="s">
        <v>808</v>
      </c>
      <c r="C1685" s="1" t="s">
        <v>827</v>
      </c>
      <c r="D1685" s="3">
        <f t="shared" si="242"/>
        <v>8061</v>
      </c>
      <c r="E1685" s="2">
        <f t="shared" si="243"/>
        <v>42826</v>
      </c>
      <c r="F1685" s="2">
        <f t="shared" si="244"/>
        <v>44926</v>
      </c>
    </row>
    <row r="1686" spans="1:6" x14ac:dyDescent="0.25">
      <c r="A1686" s="1" t="s">
        <v>809</v>
      </c>
      <c r="B1686" s="1" t="s">
        <v>808</v>
      </c>
      <c r="C1686" s="1" t="s">
        <v>829</v>
      </c>
      <c r="D1686" s="3">
        <f t="shared" si="242"/>
        <v>8061</v>
      </c>
      <c r="E1686" s="2">
        <f t="shared" si="243"/>
        <v>42826</v>
      </c>
      <c r="F1686" s="2">
        <f t="shared" si="244"/>
        <v>44926</v>
      </c>
    </row>
    <row r="1687" spans="1:6" x14ac:dyDescent="0.25">
      <c r="A1687" s="1" t="s">
        <v>809</v>
      </c>
      <c r="B1687" s="1" t="s">
        <v>808</v>
      </c>
      <c r="C1687" s="1" t="s">
        <v>828</v>
      </c>
      <c r="D1687" s="3">
        <f t="shared" si="242"/>
        <v>8061</v>
      </c>
      <c r="E1687" s="2">
        <f t="shared" si="243"/>
        <v>42826</v>
      </c>
      <c r="F1687" s="2">
        <f t="shared" si="244"/>
        <v>44926</v>
      </c>
    </row>
    <row r="1688" spans="1:6" x14ac:dyDescent="0.25">
      <c r="A1688" s="1" t="s">
        <v>809</v>
      </c>
      <c r="B1688" s="1" t="s">
        <v>808</v>
      </c>
      <c r="C1688" s="1" t="s">
        <v>830</v>
      </c>
      <c r="D1688" s="3">
        <f t="shared" si="242"/>
        <v>8061</v>
      </c>
      <c r="E1688" s="2">
        <f t="shared" si="243"/>
        <v>42826</v>
      </c>
      <c r="F1688" s="2">
        <f t="shared" si="244"/>
        <v>44926</v>
      </c>
    </row>
    <row r="1689" spans="1:6" x14ac:dyDescent="0.25">
      <c r="A1689" s="1" t="s">
        <v>809</v>
      </c>
      <c r="B1689" s="1" t="s">
        <v>808</v>
      </c>
      <c r="C1689" s="1" t="s">
        <v>69</v>
      </c>
      <c r="D1689" s="3">
        <f t="shared" si="242"/>
        <v>8061</v>
      </c>
      <c r="E1689" s="2">
        <f t="shared" si="243"/>
        <v>42826</v>
      </c>
      <c r="F1689" s="2">
        <f t="shared" si="244"/>
        <v>44926</v>
      </c>
    </row>
    <row r="1690" spans="1:6" x14ac:dyDescent="0.25">
      <c r="A1690" s="1" t="s">
        <v>809</v>
      </c>
      <c r="B1690" s="1" t="s">
        <v>808</v>
      </c>
      <c r="C1690" s="1" t="s">
        <v>24</v>
      </c>
      <c r="D1690" s="3">
        <f t="shared" si="242"/>
        <v>8061</v>
      </c>
      <c r="E1690" s="2">
        <f t="shared" si="243"/>
        <v>42826</v>
      </c>
      <c r="F1690" s="2">
        <f t="shared" si="244"/>
        <v>44926</v>
      </c>
    </row>
    <row r="1691" spans="1:6" x14ac:dyDescent="0.25">
      <c r="A1691" s="1" t="s">
        <v>809</v>
      </c>
      <c r="B1691" s="1" t="s">
        <v>808</v>
      </c>
      <c r="C1691" s="1" t="s">
        <v>26</v>
      </c>
      <c r="D1691" s="3">
        <f t="shared" si="242"/>
        <v>8061</v>
      </c>
      <c r="E1691" s="2">
        <f t="shared" si="243"/>
        <v>42826</v>
      </c>
      <c r="F1691" s="2">
        <f t="shared" si="244"/>
        <v>44926</v>
      </c>
    </row>
    <row r="1692" spans="1:6" x14ac:dyDescent="0.25">
      <c r="A1692" s="1" t="s">
        <v>809</v>
      </c>
      <c r="B1692" s="1" t="s">
        <v>808</v>
      </c>
      <c r="C1692" s="1" t="s">
        <v>72</v>
      </c>
      <c r="D1692" s="3">
        <f t="shared" si="242"/>
        <v>8061</v>
      </c>
      <c r="E1692" s="2">
        <f t="shared" si="243"/>
        <v>42826</v>
      </c>
      <c r="F1692" s="2">
        <f t="shared" si="244"/>
        <v>44926</v>
      </c>
    </row>
    <row r="1693" spans="1:6" x14ac:dyDescent="0.25">
      <c r="A1693" s="1" t="s">
        <v>809</v>
      </c>
      <c r="B1693" s="1" t="s">
        <v>808</v>
      </c>
      <c r="C1693" s="1" t="s">
        <v>73</v>
      </c>
      <c r="D1693" s="3">
        <f t="shared" si="242"/>
        <v>8061</v>
      </c>
      <c r="E1693" s="2">
        <f t="shared" si="243"/>
        <v>42826</v>
      </c>
      <c r="F1693" s="2">
        <f t="shared" si="244"/>
        <v>44926</v>
      </c>
    </row>
    <row r="1694" spans="1:6" x14ac:dyDescent="0.25">
      <c r="A1694" s="1" t="s">
        <v>809</v>
      </c>
      <c r="B1694" s="1" t="s">
        <v>808</v>
      </c>
      <c r="C1694" s="1" t="s">
        <v>295</v>
      </c>
      <c r="D1694" s="3">
        <f t="shared" si="242"/>
        <v>8061</v>
      </c>
      <c r="E1694" s="2">
        <f t="shared" si="243"/>
        <v>42826</v>
      </c>
      <c r="F1694" s="2">
        <f t="shared" si="244"/>
        <v>44926</v>
      </c>
    </row>
    <row r="1695" spans="1:6" x14ac:dyDescent="0.25">
      <c r="A1695" s="1" t="s">
        <v>809</v>
      </c>
      <c r="B1695" s="1" t="s">
        <v>808</v>
      </c>
      <c r="C1695" s="1" t="s">
        <v>52</v>
      </c>
      <c r="D1695" s="3">
        <f t="shared" si="242"/>
        <v>8061</v>
      </c>
      <c r="E1695" s="2">
        <f t="shared" si="243"/>
        <v>42826</v>
      </c>
      <c r="F1695" s="2">
        <f t="shared" si="244"/>
        <v>44926</v>
      </c>
    </row>
    <row r="1696" spans="1:6" x14ac:dyDescent="0.25">
      <c r="A1696" s="1" t="s">
        <v>809</v>
      </c>
      <c r="B1696" s="1" t="s">
        <v>808</v>
      </c>
      <c r="C1696" s="1" t="s">
        <v>53</v>
      </c>
      <c r="D1696" s="3">
        <f t="shared" si="242"/>
        <v>8061</v>
      </c>
      <c r="E1696" s="2">
        <f t="shared" si="243"/>
        <v>42826</v>
      </c>
      <c r="F1696" s="2">
        <f t="shared" si="244"/>
        <v>44926</v>
      </c>
    </row>
    <row r="1697" spans="1:6" x14ac:dyDescent="0.25">
      <c r="A1697" s="1" t="s">
        <v>809</v>
      </c>
      <c r="B1697" s="1" t="s">
        <v>808</v>
      </c>
      <c r="C1697" s="1" t="s">
        <v>479</v>
      </c>
      <c r="D1697" s="3">
        <f t="shared" si="242"/>
        <v>8061</v>
      </c>
      <c r="E1697" s="2">
        <f t="shared" si="243"/>
        <v>42826</v>
      </c>
      <c r="F1697" s="2">
        <f t="shared" si="244"/>
        <v>44926</v>
      </c>
    </row>
    <row r="1698" spans="1:6" x14ac:dyDescent="0.25">
      <c r="A1698" s="1" t="s">
        <v>809</v>
      </c>
      <c r="B1698" s="1" t="s">
        <v>808</v>
      </c>
      <c r="C1698" s="1" t="s">
        <v>34</v>
      </c>
      <c r="D1698" s="3">
        <f t="shared" si="242"/>
        <v>8061</v>
      </c>
      <c r="E1698" s="2">
        <f t="shared" si="243"/>
        <v>42826</v>
      </c>
      <c r="F1698" s="2">
        <f t="shared" si="244"/>
        <v>44926</v>
      </c>
    </row>
    <row r="1699" spans="1:6" x14ac:dyDescent="0.25">
      <c r="A1699" s="1" t="s">
        <v>1288</v>
      </c>
      <c r="B1699" s="1" t="s">
        <v>1287</v>
      </c>
      <c r="C1699" s="1" t="s">
        <v>1290</v>
      </c>
      <c r="D1699" s="3">
        <f>VALUE("8548")</f>
        <v>8548</v>
      </c>
      <c r="E1699" s="2">
        <f>DATEVALUE("1-6-2019")</f>
        <v>43617</v>
      </c>
      <c r="F1699" s="2">
        <f>DATEVALUE("31-5-2025")</f>
        <v>45808</v>
      </c>
    </row>
    <row r="1700" spans="1:6" x14ac:dyDescent="0.25">
      <c r="A1700" s="1" t="s">
        <v>1288</v>
      </c>
      <c r="B1700" s="1" t="s">
        <v>1287</v>
      </c>
      <c r="C1700" s="1" t="s">
        <v>1289</v>
      </c>
      <c r="D1700" s="3">
        <f>VALUE("8548")</f>
        <v>8548</v>
      </c>
      <c r="E1700" s="2">
        <f>DATEVALUE("1-6-2019")</f>
        <v>43617</v>
      </c>
      <c r="F1700" s="2">
        <f>DATEVALUE("31-5-2025")</f>
        <v>45808</v>
      </c>
    </row>
    <row r="1701" spans="1:6" x14ac:dyDescent="0.25">
      <c r="A1701" s="1" t="s">
        <v>1221</v>
      </c>
      <c r="B1701" s="1" t="s">
        <v>1389</v>
      </c>
      <c r="C1701" s="1" t="s">
        <v>1392</v>
      </c>
      <c r="D1701" s="3">
        <f>VALUE("8610")</f>
        <v>8610</v>
      </c>
      <c r="E1701" s="2">
        <f>DATEVALUE("1-3-2020")</f>
        <v>43891</v>
      </c>
      <c r="F1701" s="2">
        <f>DATEVALUE("31-12-2023")</f>
        <v>45291</v>
      </c>
    </row>
    <row r="1702" spans="1:6" x14ac:dyDescent="0.25">
      <c r="A1702" s="1" t="s">
        <v>1221</v>
      </c>
      <c r="B1702" s="1" t="s">
        <v>1389</v>
      </c>
      <c r="C1702" s="1" t="s">
        <v>1390</v>
      </c>
      <c r="D1702" s="3">
        <f>VALUE("8610")</f>
        <v>8610</v>
      </c>
      <c r="E1702" s="2">
        <f>DATEVALUE("1-3-2020")</f>
        <v>43891</v>
      </c>
      <c r="F1702" s="2">
        <f>DATEVALUE("31-12-2023")</f>
        <v>45291</v>
      </c>
    </row>
    <row r="1703" spans="1:6" x14ac:dyDescent="0.25">
      <c r="A1703" s="1" t="s">
        <v>1221</v>
      </c>
      <c r="B1703" s="1" t="s">
        <v>1389</v>
      </c>
      <c r="C1703" s="1" t="s">
        <v>1391</v>
      </c>
      <c r="D1703" s="3">
        <f>VALUE("8610")</f>
        <v>8610</v>
      </c>
      <c r="E1703" s="2">
        <f>DATEVALUE("1-3-2020")</f>
        <v>43891</v>
      </c>
      <c r="F1703" s="2">
        <f>DATEVALUE("31-12-2023")</f>
        <v>45291</v>
      </c>
    </row>
    <row r="1704" spans="1:6" x14ac:dyDescent="0.25">
      <c r="A1704" s="1" t="s">
        <v>1221</v>
      </c>
      <c r="B1704" s="1" t="s">
        <v>1333</v>
      </c>
      <c r="C1704" s="1" t="s">
        <v>811</v>
      </c>
      <c r="D1704" s="3">
        <f t="shared" ref="D1704:D1723" si="245">VALUE("8566")</f>
        <v>8566</v>
      </c>
      <c r="E1704" s="2">
        <f t="shared" ref="E1704:E1723" si="246">DATEVALUE("1-8-2019")</f>
        <v>43678</v>
      </c>
      <c r="F1704" s="2">
        <f t="shared" ref="F1704:F1723" si="247">DATEVALUE("30-9-2020")</f>
        <v>44104</v>
      </c>
    </row>
    <row r="1705" spans="1:6" x14ac:dyDescent="0.25">
      <c r="A1705" s="1" t="s">
        <v>1221</v>
      </c>
      <c r="B1705" s="1" t="s">
        <v>1333</v>
      </c>
      <c r="C1705" s="1" t="s">
        <v>814</v>
      </c>
      <c r="D1705" s="3">
        <f t="shared" si="245"/>
        <v>8566</v>
      </c>
      <c r="E1705" s="2">
        <f t="shared" si="246"/>
        <v>43678</v>
      </c>
      <c r="F1705" s="2">
        <f t="shared" si="247"/>
        <v>44104</v>
      </c>
    </row>
    <row r="1706" spans="1:6" x14ac:dyDescent="0.25">
      <c r="A1706" s="1" t="s">
        <v>1221</v>
      </c>
      <c r="B1706" s="1" t="s">
        <v>1333</v>
      </c>
      <c r="C1706" s="1" t="s">
        <v>812</v>
      </c>
      <c r="D1706" s="3">
        <f t="shared" si="245"/>
        <v>8566</v>
      </c>
      <c r="E1706" s="2">
        <f t="shared" si="246"/>
        <v>43678</v>
      </c>
      <c r="F1706" s="2">
        <f t="shared" si="247"/>
        <v>44104</v>
      </c>
    </row>
    <row r="1707" spans="1:6" x14ac:dyDescent="0.25">
      <c r="A1707" s="1" t="s">
        <v>1221</v>
      </c>
      <c r="B1707" s="1" t="s">
        <v>1333</v>
      </c>
      <c r="C1707" s="1" t="s">
        <v>813</v>
      </c>
      <c r="D1707" s="3">
        <f t="shared" si="245"/>
        <v>8566</v>
      </c>
      <c r="E1707" s="2">
        <f t="shared" si="246"/>
        <v>43678</v>
      </c>
      <c r="F1707" s="2">
        <f t="shared" si="247"/>
        <v>44104</v>
      </c>
    </row>
    <row r="1708" spans="1:6" x14ac:dyDescent="0.25">
      <c r="A1708" s="1" t="s">
        <v>1221</v>
      </c>
      <c r="B1708" s="1" t="s">
        <v>1333</v>
      </c>
      <c r="C1708" s="1" t="s">
        <v>816</v>
      </c>
      <c r="D1708" s="3">
        <f t="shared" si="245"/>
        <v>8566</v>
      </c>
      <c r="E1708" s="2">
        <f t="shared" si="246"/>
        <v>43678</v>
      </c>
      <c r="F1708" s="2">
        <f t="shared" si="247"/>
        <v>44104</v>
      </c>
    </row>
    <row r="1709" spans="1:6" x14ac:dyDescent="0.25">
      <c r="A1709" s="1" t="s">
        <v>1221</v>
      </c>
      <c r="B1709" s="1" t="s">
        <v>1333</v>
      </c>
      <c r="C1709" s="1" t="s">
        <v>815</v>
      </c>
      <c r="D1709" s="3">
        <f t="shared" si="245"/>
        <v>8566</v>
      </c>
      <c r="E1709" s="2">
        <f t="shared" si="246"/>
        <v>43678</v>
      </c>
      <c r="F1709" s="2">
        <f t="shared" si="247"/>
        <v>44104</v>
      </c>
    </row>
    <row r="1710" spans="1:6" x14ac:dyDescent="0.25">
      <c r="A1710" s="1" t="s">
        <v>1221</v>
      </c>
      <c r="B1710" s="1" t="s">
        <v>1333</v>
      </c>
      <c r="C1710" s="1" t="s">
        <v>817</v>
      </c>
      <c r="D1710" s="3">
        <f t="shared" si="245"/>
        <v>8566</v>
      </c>
      <c r="E1710" s="2">
        <f t="shared" si="246"/>
        <v>43678</v>
      </c>
      <c r="F1710" s="2">
        <f t="shared" si="247"/>
        <v>44104</v>
      </c>
    </row>
    <row r="1711" spans="1:6" x14ac:dyDescent="0.25">
      <c r="A1711" s="1" t="s">
        <v>1221</v>
      </c>
      <c r="B1711" s="1" t="s">
        <v>1333</v>
      </c>
      <c r="C1711" s="1" t="s">
        <v>818</v>
      </c>
      <c r="D1711" s="3">
        <f t="shared" si="245"/>
        <v>8566</v>
      </c>
      <c r="E1711" s="2">
        <f t="shared" si="246"/>
        <v>43678</v>
      </c>
      <c r="F1711" s="2">
        <f t="shared" si="247"/>
        <v>44104</v>
      </c>
    </row>
    <row r="1712" spans="1:6" x14ac:dyDescent="0.25">
      <c r="A1712" s="1" t="s">
        <v>1221</v>
      </c>
      <c r="B1712" s="1" t="s">
        <v>1333</v>
      </c>
      <c r="C1712" s="1" t="s">
        <v>819</v>
      </c>
      <c r="D1712" s="3">
        <f t="shared" si="245"/>
        <v>8566</v>
      </c>
      <c r="E1712" s="2">
        <f t="shared" si="246"/>
        <v>43678</v>
      </c>
      <c r="F1712" s="2">
        <f t="shared" si="247"/>
        <v>44104</v>
      </c>
    </row>
    <row r="1713" spans="1:6" x14ac:dyDescent="0.25">
      <c r="A1713" s="1" t="s">
        <v>1221</v>
      </c>
      <c r="B1713" s="1" t="s">
        <v>1333</v>
      </c>
      <c r="C1713" s="1" t="s">
        <v>820</v>
      </c>
      <c r="D1713" s="3">
        <f t="shared" si="245"/>
        <v>8566</v>
      </c>
      <c r="E1713" s="2">
        <f t="shared" si="246"/>
        <v>43678</v>
      </c>
      <c r="F1713" s="2">
        <f t="shared" si="247"/>
        <v>44104</v>
      </c>
    </row>
    <row r="1714" spans="1:6" x14ac:dyDescent="0.25">
      <c r="A1714" s="1" t="s">
        <v>1221</v>
      </c>
      <c r="B1714" s="1" t="s">
        <v>1333</v>
      </c>
      <c r="C1714" s="1" t="s">
        <v>821</v>
      </c>
      <c r="D1714" s="3">
        <f t="shared" si="245"/>
        <v>8566</v>
      </c>
      <c r="E1714" s="2">
        <f t="shared" si="246"/>
        <v>43678</v>
      </c>
      <c r="F1714" s="2">
        <f t="shared" si="247"/>
        <v>44104</v>
      </c>
    </row>
    <row r="1715" spans="1:6" x14ac:dyDescent="0.25">
      <c r="A1715" s="1" t="s">
        <v>1221</v>
      </c>
      <c r="B1715" s="1" t="s">
        <v>1333</v>
      </c>
      <c r="C1715" s="1" t="s">
        <v>822</v>
      </c>
      <c r="D1715" s="3">
        <f t="shared" si="245"/>
        <v>8566</v>
      </c>
      <c r="E1715" s="2">
        <f t="shared" si="246"/>
        <v>43678</v>
      </c>
      <c r="F1715" s="2">
        <f t="shared" si="247"/>
        <v>44104</v>
      </c>
    </row>
    <row r="1716" spans="1:6" x14ac:dyDescent="0.25">
      <c r="A1716" s="1" t="s">
        <v>1221</v>
      </c>
      <c r="B1716" s="1" t="s">
        <v>1333</v>
      </c>
      <c r="C1716" s="1" t="s">
        <v>825</v>
      </c>
      <c r="D1716" s="3">
        <f t="shared" si="245"/>
        <v>8566</v>
      </c>
      <c r="E1716" s="2">
        <f t="shared" si="246"/>
        <v>43678</v>
      </c>
      <c r="F1716" s="2">
        <f t="shared" si="247"/>
        <v>44104</v>
      </c>
    </row>
    <row r="1717" spans="1:6" x14ac:dyDescent="0.25">
      <c r="A1717" s="1" t="s">
        <v>1221</v>
      </c>
      <c r="B1717" s="1" t="s">
        <v>1333</v>
      </c>
      <c r="C1717" s="1" t="s">
        <v>823</v>
      </c>
      <c r="D1717" s="3">
        <f t="shared" si="245"/>
        <v>8566</v>
      </c>
      <c r="E1717" s="2">
        <f t="shared" si="246"/>
        <v>43678</v>
      </c>
      <c r="F1717" s="2">
        <f t="shared" si="247"/>
        <v>44104</v>
      </c>
    </row>
    <row r="1718" spans="1:6" x14ac:dyDescent="0.25">
      <c r="A1718" s="1" t="s">
        <v>1221</v>
      </c>
      <c r="B1718" s="1" t="s">
        <v>1333</v>
      </c>
      <c r="C1718" s="1" t="s">
        <v>824</v>
      </c>
      <c r="D1718" s="3">
        <f t="shared" si="245"/>
        <v>8566</v>
      </c>
      <c r="E1718" s="2">
        <f t="shared" si="246"/>
        <v>43678</v>
      </c>
      <c r="F1718" s="2">
        <f t="shared" si="247"/>
        <v>44104</v>
      </c>
    </row>
    <row r="1719" spans="1:6" x14ac:dyDescent="0.25">
      <c r="A1719" s="1" t="s">
        <v>1221</v>
      </c>
      <c r="B1719" s="1" t="s">
        <v>1333</v>
      </c>
      <c r="C1719" s="1" t="s">
        <v>826</v>
      </c>
      <c r="D1719" s="3">
        <f t="shared" si="245"/>
        <v>8566</v>
      </c>
      <c r="E1719" s="2">
        <f t="shared" si="246"/>
        <v>43678</v>
      </c>
      <c r="F1719" s="2">
        <f t="shared" si="247"/>
        <v>44104</v>
      </c>
    </row>
    <row r="1720" spans="1:6" x14ac:dyDescent="0.25">
      <c r="A1720" s="1" t="s">
        <v>1221</v>
      </c>
      <c r="B1720" s="1" t="s">
        <v>1333</v>
      </c>
      <c r="C1720" s="1" t="s">
        <v>827</v>
      </c>
      <c r="D1720" s="3">
        <f t="shared" si="245"/>
        <v>8566</v>
      </c>
      <c r="E1720" s="2">
        <f t="shared" si="246"/>
        <v>43678</v>
      </c>
      <c r="F1720" s="2">
        <f t="shared" si="247"/>
        <v>44104</v>
      </c>
    </row>
    <row r="1721" spans="1:6" x14ac:dyDescent="0.25">
      <c r="A1721" s="1" t="s">
        <v>1221</v>
      </c>
      <c r="B1721" s="1" t="s">
        <v>1333</v>
      </c>
      <c r="C1721" s="1" t="s">
        <v>829</v>
      </c>
      <c r="D1721" s="3">
        <f t="shared" si="245"/>
        <v>8566</v>
      </c>
      <c r="E1721" s="2">
        <f t="shared" si="246"/>
        <v>43678</v>
      </c>
      <c r="F1721" s="2">
        <f t="shared" si="247"/>
        <v>44104</v>
      </c>
    </row>
    <row r="1722" spans="1:6" x14ac:dyDescent="0.25">
      <c r="A1722" s="1" t="s">
        <v>1221</v>
      </c>
      <c r="B1722" s="1" t="s">
        <v>1333</v>
      </c>
      <c r="C1722" s="1" t="s">
        <v>828</v>
      </c>
      <c r="D1722" s="3">
        <f t="shared" si="245"/>
        <v>8566</v>
      </c>
      <c r="E1722" s="2">
        <f t="shared" si="246"/>
        <v>43678</v>
      </c>
      <c r="F1722" s="2">
        <f t="shared" si="247"/>
        <v>44104</v>
      </c>
    </row>
    <row r="1723" spans="1:6" x14ac:dyDescent="0.25">
      <c r="A1723" s="1" t="s">
        <v>1221</v>
      </c>
      <c r="B1723" s="1" t="s">
        <v>1333</v>
      </c>
      <c r="C1723" s="1" t="s">
        <v>830</v>
      </c>
      <c r="D1723" s="3">
        <f t="shared" si="245"/>
        <v>8566</v>
      </c>
      <c r="E1723" s="2">
        <f t="shared" si="246"/>
        <v>43678</v>
      </c>
      <c r="F1723" s="2">
        <f t="shared" si="247"/>
        <v>44104</v>
      </c>
    </row>
    <row r="1724" spans="1:6" x14ac:dyDescent="0.25">
      <c r="A1724" s="1" t="s">
        <v>1221</v>
      </c>
      <c r="B1724" s="1" t="s">
        <v>1220</v>
      </c>
      <c r="C1724" s="1" t="s">
        <v>1222</v>
      </c>
      <c r="D1724" s="3">
        <f t="shared" ref="D1724:D1748" si="248">VALUE("8485")</f>
        <v>8485</v>
      </c>
      <c r="E1724" s="2">
        <f t="shared" ref="E1724:E1748" si="249">DATEVALUE("1-4-2019")</f>
        <v>43556</v>
      </c>
      <c r="F1724" s="2">
        <f t="shared" ref="F1724:F1748" si="250">DATEVALUE("31-12-2025")</f>
        <v>46022</v>
      </c>
    </row>
    <row r="1725" spans="1:6" x14ac:dyDescent="0.25">
      <c r="A1725" s="1" t="s">
        <v>1221</v>
      </c>
      <c r="B1725" s="1" t="s">
        <v>1220</v>
      </c>
      <c r="C1725" s="1" t="s">
        <v>1223</v>
      </c>
      <c r="D1725" s="3">
        <f t="shared" si="248"/>
        <v>8485</v>
      </c>
      <c r="E1725" s="2">
        <f t="shared" si="249"/>
        <v>43556</v>
      </c>
      <c r="F1725" s="2">
        <f t="shared" si="250"/>
        <v>46022</v>
      </c>
    </row>
    <row r="1726" spans="1:6" x14ac:dyDescent="0.25">
      <c r="A1726" s="1" t="s">
        <v>1221</v>
      </c>
      <c r="B1726" s="1" t="s">
        <v>1220</v>
      </c>
      <c r="C1726" s="1" t="s">
        <v>1224</v>
      </c>
      <c r="D1726" s="3">
        <f t="shared" si="248"/>
        <v>8485</v>
      </c>
      <c r="E1726" s="2">
        <f t="shared" si="249"/>
        <v>43556</v>
      </c>
      <c r="F1726" s="2">
        <f t="shared" si="250"/>
        <v>46022</v>
      </c>
    </row>
    <row r="1727" spans="1:6" x14ac:dyDescent="0.25">
      <c r="A1727" s="1" t="s">
        <v>1221</v>
      </c>
      <c r="B1727" s="1" t="s">
        <v>1220</v>
      </c>
      <c r="C1727" s="1" t="s">
        <v>1225</v>
      </c>
      <c r="D1727" s="3">
        <f t="shared" si="248"/>
        <v>8485</v>
      </c>
      <c r="E1727" s="2">
        <f t="shared" si="249"/>
        <v>43556</v>
      </c>
      <c r="F1727" s="2">
        <f t="shared" si="250"/>
        <v>46022</v>
      </c>
    </row>
    <row r="1728" spans="1:6" x14ac:dyDescent="0.25">
      <c r="A1728" s="1" t="s">
        <v>1221</v>
      </c>
      <c r="B1728" s="1" t="s">
        <v>1220</v>
      </c>
      <c r="C1728" s="1" t="s">
        <v>1226</v>
      </c>
      <c r="D1728" s="3">
        <f t="shared" si="248"/>
        <v>8485</v>
      </c>
      <c r="E1728" s="2">
        <f t="shared" si="249"/>
        <v>43556</v>
      </c>
      <c r="F1728" s="2">
        <f t="shared" si="250"/>
        <v>46022</v>
      </c>
    </row>
    <row r="1729" spans="1:6" x14ac:dyDescent="0.25">
      <c r="A1729" s="1" t="s">
        <v>1221</v>
      </c>
      <c r="B1729" s="1" t="s">
        <v>1220</v>
      </c>
      <c r="C1729" s="1" t="s">
        <v>1227</v>
      </c>
      <c r="D1729" s="3">
        <f t="shared" si="248"/>
        <v>8485</v>
      </c>
      <c r="E1729" s="2">
        <f t="shared" si="249"/>
        <v>43556</v>
      </c>
      <c r="F1729" s="2">
        <f t="shared" si="250"/>
        <v>46022</v>
      </c>
    </row>
    <row r="1730" spans="1:6" x14ac:dyDescent="0.25">
      <c r="A1730" s="1" t="s">
        <v>1221</v>
      </c>
      <c r="B1730" s="1" t="s">
        <v>1220</v>
      </c>
      <c r="C1730" s="1" t="s">
        <v>814</v>
      </c>
      <c r="D1730" s="3">
        <f t="shared" si="248"/>
        <v>8485</v>
      </c>
      <c r="E1730" s="2">
        <f t="shared" si="249"/>
        <v>43556</v>
      </c>
      <c r="F1730" s="2">
        <f t="shared" si="250"/>
        <v>46022</v>
      </c>
    </row>
    <row r="1731" spans="1:6" x14ac:dyDescent="0.25">
      <c r="A1731" s="1" t="s">
        <v>1221</v>
      </c>
      <c r="B1731" s="1" t="s">
        <v>1220</v>
      </c>
      <c r="C1731" s="1" t="s">
        <v>812</v>
      </c>
      <c r="D1731" s="3">
        <f t="shared" si="248"/>
        <v>8485</v>
      </c>
      <c r="E1731" s="2">
        <f t="shared" si="249"/>
        <v>43556</v>
      </c>
      <c r="F1731" s="2">
        <f t="shared" si="250"/>
        <v>46022</v>
      </c>
    </row>
    <row r="1732" spans="1:6" x14ac:dyDescent="0.25">
      <c r="A1732" s="1" t="s">
        <v>1221</v>
      </c>
      <c r="B1732" s="1" t="s">
        <v>1220</v>
      </c>
      <c r="C1732" s="1" t="s">
        <v>813</v>
      </c>
      <c r="D1732" s="3">
        <f t="shared" si="248"/>
        <v>8485</v>
      </c>
      <c r="E1732" s="2">
        <f t="shared" si="249"/>
        <v>43556</v>
      </c>
      <c r="F1732" s="2">
        <f t="shared" si="250"/>
        <v>46022</v>
      </c>
    </row>
    <row r="1733" spans="1:6" x14ac:dyDescent="0.25">
      <c r="A1733" s="1" t="s">
        <v>1221</v>
      </c>
      <c r="B1733" s="1" t="s">
        <v>1220</v>
      </c>
      <c r="C1733" s="1" t="s">
        <v>816</v>
      </c>
      <c r="D1733" s="3">
        <f t="shared" si="248"/>
        <v>8485</v>
      </c>
      <c r="E1733" s="2">
        <f t="shared" si="249"/>
        <v>43556</v>
      </c>
      <c r="F1733" s="2">
        <f t="shared" si="250"/>
        <v>46022</v>
      </c>
    </row>
    <row r="1734" spans="1:6" x14ac:dyDescent="0.25">
      <c r="A1734" s="1" t="s">
        <v>1221</v>
      </c>
      <c r="B1734" s="1" t="s">
        <v>1220</v>
      </c>
      <c r="C1734" s="1" t="s">
        <v>815</v>
      </c>
      <c r="D1734" s="3">
        <f t="shared" si="248"/>
        <v>8485</v>
      </c>
      <c r="E1734" s="2">
        <f t="shared" si="249"/>
        <v>43556</v>
      </c>
      <c r="F1734" s="2">
        <f t="shared" si="250"/>
        <v>46022</v>
      </c>
    </row>
    <row r="1735" spans="1:6" x14ac:dyDescent="0.25">
      <c r="A1735" s="1" t="s">
        <v>1221</v>
      </c>
      <c r="B1735" s="1" t="s">
        <v>1220</v>
      </c>
      <c r="C1735" s="1" t="s">
        <v>1228</v>
      </c>
      <c r="D1735" s="3">
        <f t="shared" si="248"/>
        <v>8485</v>
      </c>
      <c r="E1735" s="2">
        <f t="shared" si="249"/>
        <v>43556</v>
      </c>
      <c r="F1735" s="2">
        <f t="shared" si="250"/>
        <v>46022</v>
      </c>
    </row>
    <row r="1736" spans="1:6" x14ac:dyDescent="0.25">
      <c r="A1736" s="1" t="s">
        <v>1221</v>
      </c>
      <c r="B1736" s="1" t="s">
        <v>1220</v>
      </c>
      <c r="C1736" s="1" t="s">
        <v>825</v>
      </c>
      <c r="D1736" s="3">
        <f t="shared" si="248"/>
        <v>8485</v>
      </c>
      <c r="E1736" s="2">
        <f t="shared" si="249"/>
        <v>43556</v>
      </c>
      <c r="F1736" s="2">
        <f t="shared" si="250"/>
        <v>46022</v>
      </c>
    </row>
    <row r="1737" spans="1:6" x14ac:dyDescent="0.25">
      <c r="A1737" s="1" t="s">
        <v>1221</v>
      </c>
      <c r="B1737" s="1" t="s">
        <v>1220</v>
      </c>
      <c r="C1737" s="1" t="s">
        <v>823</v>
      </c>
      <c r="D1737" s="3">
        <f t="shared" si="248"/>
        <v>8485</v>
      </c>
      <c r="E1737" s="2">
        <f t="shared" si="249"/>
        <v>43556</v>
      </c>
      <c r="F1737" s="2">
        <f t="shared" si="250"/>
        <v>46022</v>
      </c>
    </row>
    <row r="1738" spans="1:6" x14ac:dyDescent="0.25">
      <c r="A1738" s="1" t="s">
        <v>1221</v>
      </c>
      <c r="B1738" s="1" t="s">
        <v>1220</v>
      </c>
      <c r="C1738" s="1" t="s">
        <v>824</v>
      </c>
      <c r="D1738" s="3">
        <f t="shared" si="248"/>
        <v>8485</v>
      </c>
      <c r="E1738" s="2">
        <f t="shared" si="249"/>
        <v>43556</v>
      </c>
      <c r="F1738" s="2">
        <f t="shared" si="250"/>
        <v>46022</v>
      </c>
    </row>
    <row r="1739" spans="1:6" x14ac:dyDescent="0.25">
      <c r="A1739" s="1" t="s">
        <v>1221</v>
      </c>
      <c r="B1739" s="1" t="s">
        <v>1220</v>
      </c>
      <c r="C1739" s="1" t="s">
        <v>826</v>
      </c>
      <c r="D1739" s="3">
        <f t="shared" si="248"/>
        <v>8485</v>
      </c>
      <c r="E1739" s="2">
        <f t="shared" si="249"/>
        <v>43556</v>
      </c>
      <c r="F1739" s="2">
        <f t="shared" si="250"/>
        <v>46022</v>
      </c>
    </row>
    <row r="1740" spans="1:6" x14ac:dyDescent="0.25">
      <c r="A1740" s="1" t="s">
        <v>1221</v>
      </c>
      <c r="B1740" s="1" t="s">
        <v>1220</v>
      </c>
      <c r="C1740" s="1" t="s">
        <v>829</v>
      </c>
      <c r="D1740" s="3">
        <f t="shared" si="248"/>
        <v>8485</v>
      </c>
      <c r="E1740" s="2">
        <f t="shared" si="249"/>
        <v>43556</v>
      </c>
      <c r="F1740" s="2">
        <f t="shared" si="250"/>
        <v>46022</v>
      </c>
    </row>
    <row r="1741" spans="1:6" x14ac:dyDescent="0.25">
      <c r="A1741" s="1" t="s">
        <v>1221</v>
      </c>
      <c r="B1741" s="1" t="s">
        <v>1220</v>
      </c>
      <c r="C1741" s="1" t="s">
        <v>828</v>
      </c>
      <c r="D1741" s="3">
        <f t="shared" si="248"/>
        <v>8485</v>
      </c>
      <c r="E1741" s="2">
        <f t="shared" si="249"/>
        <v>43556</v>
      </c>
      <c r="F1741" s="2">
        <f t="shared" si="250"/>
        <v>46022</v>
      </c>
    </row>
    <row r="1742" spans="1:6" x14ac:dyDescent="0.25">
      <c r="A1742" s="1" t="s">
        <v>1221</v>
      </c>
      <c r="B1742" s="1" t="s">
        <v>1220</v>
      </c>
      <c r="C1742" s="1" t="s">
        <v>1229</v>
      </c>
      <c r="D1742" s="3">
        <f t="shared" si="248"/>
        <v>8485</v>
      </c>
      <c r="E1742" s="2">
        <f t="shared" si="249"/>
        <v>43556</v>
      </c>
      <c r="F1742" s="2">
        <f t="shared" si="250"/>
        <v>46022</v>
      </c>
    </row>
    <row r="1743" spans="1:6" x14ac:dyDescent="0.25">
      <c r="A1743" s="1" t="s">
        <v>1221</v>
      </c>
      <c r="B1743" s="1" t="s">
        <v>1220</v>
      </c>
      <c r="C1743" s="1" t="s">
        <v>1230</v>
      </c>
      <c r="D1743" s="3">
        <f t="shared" si="248"/>
        <v>8485</v>
      </c>
      <c r="E1743" s="2">
        <f t="shared" si="249"/>
        <v>43556</v>
      </c>
      <c r="F1743" s="2">
        <f t="shared" si="250"/>
        <v>46022</v>
      </c>
    </row>
    <row r="1744" spans="1:6" x14ac:dyDescent="0.25">
      <c r="A1744" s="1" t="s">
        <v>1221</v>
      </c>
      <c r="B1744" s="1" t="s">
        <v>1220</v>
      </c>
      <c r="C1744" s="1" t="s">
        <v>1231</v>
      </c>
      <c r="D1744" s="3">
        <f t="shared" si="248"/>
        <v>8485</v>
      </c>
      <c r="E1744" s="2">
        <f t="shared" si="249"/>
        <v>43556</v>
      </c>
      <c r="F1744" s="2">
        <f t="shared" si="250"/>
        <v>46022</v>
      </c>
    </row>
    <row r="1745" spans="1:6" x14ac:dyDescent="0.25">
      <c r="A1745" s="1" t="s">
        <v>1221</v>
      </c>
      <c r="B1745" s="1" t="s">
        <v>1220</v>
      </c>
      <c r="C1745" s="1" t="s">
        <v>1232</v>
      </c>
      <c r="D1745" s="3">
        <f t="shared" si="248"/>
        <v>8485</v>
      </c>
      <c r="E1745" s="2">
        <f t="shared" si="249"/>
        <v>43556</v>
      </c>
      <c r="F1745" s="2">
        <f t="shared" si="250"/>
        <v>46022</v>
      </c>
    </row>
    <row r="1746" spans="1:6" x14ac:dyDescent="0.25">
      <c r="A1746" s="1" t="s">
        <v>1221</v>
      </c>
      <c r="B1746" s="1" t="s">
        <v>1220</v>
      </c>
      <c r="C1746" s="1" t="s">
        <v>1233</v>
      </c>
      <c r="D1746" s="3">
        <f t="shared" si="248"/>
        <v>8485</v>
      </c>
      <c r="E1746" s="2">
        <f t="shared" si="249"/>
        <v>43556</v>
      </c>
      <c r="F1746" s="2">
        <f t="shared" si="250"/>
        <v>46022</v>
      </c>
    </row>
    <row r="1747" spans="1:6" x14ac:dyDescent="0.25">
      <c r="A1747" s="1" t="s">
        <v>1221</v>
      </c>
      <c r="B1747" s="1" t="s">
        <v>1220</v>
      </c>
      <c r="C1747" s="1" t="s">
        <v>1234</v>
      </c>
      <c r="D1747" s="3">
        <f t="shared" si="248"/>
        <v>8485</v>
      </c>
      <c r="E1747" s="2">
        <f t="shared" si="249"/>
        <v>43556</v>
      </c>
      <c r="F1747" s="2">
        <f t="shared" si="250"/>
        <v>46022</v>
      </c>
    </row>
    <row r="1748" spans="1:6" x14ac:dyDescent="0.25">
      <c r="A1748" s="1" t="s">
        <v>1221</v>
      </c>
      <c r="B1748" s="1" t="s">
        <v>1220</v>
      </c>
      <c r="C1748" s="1" t="s">
        <v>1235</v>
      </c>
      <c r="D1748" s="3">
        <f t="shared" si="248"/>
        <v>8485</v>
      </c>
      <c r="E1748" s="2">
        <f t="shared" si="249"/>
        <v>43556</v>
      </c>
      <c r="F1748" s="2">
        <f t="shared" si="250"/>
        <v>46022</v>
      </c>
    </row>
    <row r="1749" spans="1:6" x14ac:dyDescent="0.25">
      <c r="A1749" s="1" t="s">
        <v>1221</v>
      </c>
      <c r="B1749" s="1" t="s">
        <v>1626</v>
      </c>
      <c r="C1749" s="1" t="s">
        <v>1628</v>
      </c>
      <c r="D1749" s="3">
        <f>VALUE("8323")</f>
        <v>8323</v>
      </c>
      <c r="E1749" s="2">
        <f>DATEVALUE("1-10-2018")</f>
        <v>43374</v>
      </c>
      <c r="F1749" s="2">
        <f>DATEVALUE("29-2-2020")</f>
        <v>43890</v>
      </c>
    </row>
    <row r="1750" spans="1:6" x14ac:dyDescent="0.25">
      <c r="A1750" s="1" t="s">
        <v>2188</v>
      </c>
      <c r="B1750" s="1" t="s">
        <v>2187</v>
      </c>
      <c r="C1750" s="1" t="s">
        <v>907</v>
      </c>
      <c r="D1750" s="3">
        <f>VALUE("7734")</f>
        <v>7734</v>
      </c>
      <c r="E1750" s="2">
        <f>DATEVALUE("1-12-2015")</f>
        <v>42339</v>
      </c>
      <c r="F1750" s="2">
        <f>DATEVALUE("31-12-2018")</f>
        <v>43465</v>
      </c>
    </row>
    <row r="1751" spans="1:6" x14ac:dyDescent="0.25">
      <c r="A1751" s="1" t="s">
        <v>200</v>
      </c>
      <c r="B1751" s="1" t="s">
        <v>1666</v>
      </c>
      <c r="C1751" s="1" t="s">
        <v>14</v>
      </c>
      <c r="D1751" s="3">
        <f t="shared" ref="D1751:D1764" si="251">VALUE("8845")</f>
        <v>8845</v>
      </c>
      <c r="E1751" s="2">
        <f t="shared" ref="E1751:E1764" si="252">DATEVALUE("1-9-2020")</f>
        <v>44075</v>
      </c>
      <c r="F1751" s="2">
        <f t="shared" ref="F1751:F1764" si="253">DATEVALUE("31-10-2020")</f>
        <v>44135</v>
      </c>
    </row>
    <row r="1752" spans="1:6" x14ac:dyDescent="0.25">
      <c r="A1752" s="1" t="s">
        <v>200</v>
      </c>
      <c r="B1752" s="1" t="s">
        <v>1666</v>
      </c>
      <c r="C1752" s="1" t="s">
        <v>15</v>
      </c>
      <c r="D1752" s="3">
        <f t="shared" si="251"/>
        <v>8845</v>
      </c>
      <c r="E1752" s="2">
        <f t="shared" si="252"/>
        <v>44075</v>
      </c>
      <c r="F1752" s="2">
        <f t="shared" si="253"/>
        <v>44135</v>
      </c>
    </row>
    <row r="1753" spans="1:6" x14ac:dyDescent="0.25">
      <c r="A1753" s="1" t="s">
        <v>200</v>
      </c>
      <c r="B1753" s="1" t="s">
        <v>1666</v>
      </c>
      <c r="C1753" s="1" t="s">
        <v>17</v>
      </c>
      <c r="D1753" s="3">
        <f t="shared" si="251"/>
        <v>8845</v>
      </c>
      <c r="E1753" s="2">
        <f t="shared" si="252"/>
        <v>44075</v>
      </c>
      <c r="F1753" s="2">
        <f t="shared" si="253"/>
        <v>44135</v>
      </c>
    </row>
    <row r="1754" spans="1:6" x14ac:dyDescent="0.25">
      <c r="A1754" s="1" t="s">
        <v>200</v>
      </c>
      <c r="B1754" s="1" t="s">
        <v>1666</v>
      </c>
      <c r="C1754" s="1" t="s">
        <v>18</v>
      </c>
      <c r="D1754" s="3">
        <f t="shared" si="251"/>
        <v>8845</v>
      </c>
      <c r="E1754" s="2">
        <f t="shared" si="252"/>
        <v>44075</v>
      </c>
      <c r="F1754" s="2">
        <f t="shared" si="253"/>
        <v>44135</v>
      </c>
    </row>
    <row r="1755" spans="1:6" x14ac:dyDescent="0.25">
      <c r="A1755" s="1" t="s">
        <v>200</v>
      </c>
      <c r="B1755" s="1" t="s">
        <v>1666</v>
      </c>
      <c r="C1755" s="1" t="s">
        <v>22</v>
      </c>
      <c r="D1755" s="3">
        <f t="shared" si="251"/>
        <v>8845</v>
      </c>
      <c r="E1755" s="2">
        <f t="shared" si="252"/>
        <v>44075</v>
      </c>
      <c r="F1755" s="2">
        <f t="shared" si="253"/>
        <v>44135</v>
      </c>
    </row>
    <row r="1756" spans="1:6" x14ac:dyDescent="0.25">
      <c r="A1756" s="1" t="s">
        <v>200</v>
      </c>
      <c r="B1756" s="1" t="s">
        <v>1666</v>
      </c>
      <c r="C1756" s="1" t="s">
        <v>146</v>
      </c>
      <c r="D1756" s="3">
        <f t="shared" si="251"/>
        <v>8845</v>
      </c>
      <c r="E1756" s="2">
        <f t="shared" si="252"/>
        <v>44075</v>
      </c>
      <c r="F1756" s="2">
        <f t="shared" si="253"/>
        <v>44135</v>
      </c>
    </row>
    <row r="1757" spans="1:6" x14ac:dyDescent="0.25">
      <c r="A1757" s="1" t="s">
        <v>200</v>
      </c>
      <c r="B1757" s="1" t="s">
        <v>1666</v>
      </c>
      <c r="C1757" s="1" t="s">
        <v>147</v>
      </c>
      <c r="D1757" s="3">
        <f t="shared" si="251"/>
        <v>8845</v>
      </c>
      <c r="E1757" s="2">
        <f t="shared" si="252"/>
        <v>44075</v>
      </c>
      <c r="F1757" s="2">
        <f t="shared" si="253"/>
        <v>44135</v>
      </c>
    </row>
    <row r="1758" spans="1:6" x14ac:dyDescent="0.25">
      <c r="A1758" s="1" t="s">
        <v>200</v>
      </c>
      <c r="B1758" s="1" t="s">
        <v>1666</v>
      </c>
      <c r="C1758" s="1" t="s">
        <v>387</v>
      </c>
      <c r="D1758" s="3">
        <f t="shared" si="251"/>
        <v>8845</v>
      </c>
      <c r="E1758" s="2">
        <f t="shared" si="252"/>
        <v>44075</v>
      </c>
      <c r="F1758" s="2">
        <f t="shared" si="253"/>
        <v>44135</v>
      </c>
    </row>
    <row r="1759" spans="1:6" x14ac:dyDescent="0.25">
      <c r="A1759" s="1" t="s">
        <v>200</v>
      </c>
      <c r="B1759" s="1" t="s">
        <v>1666</v>
      </c>
      <c r="C1759" s="1" t="s">
        <v>92</v>
      </c>
      <c r="D1759" s="3">
        <f t="shared" si="251"/>
        <v>8845</v>
      </c>
      <c r="E1759" s="2">
        <f t="shared" si="252"/>
        <v>44075</v>
      </c>
      <c r="F1759" s="2">
        <f t="shared" si="253"/>
        <v>44135</v>
      </c>
    </row>
    <row r="1760" spans="1:6" x14ac:dyDescent="0.25">
      <c r="A1760" s="1" t="s">
        <v>200</v>
      </c>
      <c r="B1760" s="1" t="s">
        <v>1666</v>
      </c>
      <c r="C1760" s="1" t="s">
        <v>400</v>
      </c>
      <c r="D1760" s="3">
        <f t="shared" si="251"/>
        <v>8845</v>
      </c>
      <c r="E1760" s="2">
        <f t="shared" si="252"/>
        <v>44075</v>
      </c>
      <c r="F1760" s="2">
        <f t="shared" si="253"/>
        <v>44135</v>
      </c>
    </row>
    <row r="1761" spans="1:6" x14ac:dyDescent="0.25">
      <c r="A1761" s="1" t="s">
        <v>200</v>
      </c>
      <c r="B1761" s="1" t="s">
        <v>1666</v>
      </c>
      <c r="C1761" s="1" t="s">
        <v>24</v>
      </c>
      <c r="D1761" s="3">
        <f t="shared" si="251"/>
        <v>8845</v>
      </c>
      <c r="E1761" s="2">
        <f t="shared" si="252"/>
        <v>44075</v>
      </c>
      <c r="F1761" s="2">
        <f t="shared" si="253"/>
        <v>44135</v>
      </c>
    </row>
    <row r="1762" spans="1:6" x14ac:dyDescent="0.25">
      <c r="A1762" s="1" t="s">
        <v>200</v>
      </c>
      <c r="B1762" s="1" t="s">
        <v>1666</v>
      </c>
      <c r="C1762" s="1" t="s">
        <v>34</v>
      </c>
      <c r="D1762" s="3">
        <f t="shared" si="251"/>
        <v>8845</v>
      </c>
      <c r="E1762" s="2">
        <f t="shared" si="252"/>
        <v>44075</v>
      </c>
      <c r="F1762" s="2">
        <f t="shared" si="253"/>
        <v>44135</v>
      </c>
    </row>
    <row r="1763" spans="1:6" x14ac:dyDescent="0.25">
      <c r="A1763" s="1" t="s">
        <v>200</v>
      </c>
      <c r="B1763" s="1" t="s">
        <v>1666</v>
      </c>
      <c r="C1763" s="1" t="s">
        <v>380</v>
      </c>
      <c r="D1763" s="3">
        <f t="shared" si="251"/>
        <v>8845</v>
      </c>
      <c r="E1763" s="2">
        <f t="shared" si="252"/>
        <v>44075</v>
      </c>
      <c r="F1763" s="2">
        <f t="shared" si="253"/>
        <v>44135</v>
      </c>
    </row>
    <row r="1764" spans="1:6" x14ac:dyDescent="0.25">
      <c r="A1764" s="1" t="s">
        <v>200</v>
      </c>
      <c r="B1764" s="1" t="s">
        <v>1666</v>
      </c>
      <c r="C1764" s="1" t="s">
        <v>381</v>
      </c>
      <c r="D1764" s="3">
        <f t="shared" si="251"/>
        <v>8845</v>
      </c>
      <c r="E1764" s="2">
        <f t="shared" si="252"/>
        <v>44075</v>
      </c>
      <c r="F1764" s="2">
        <f t="shared" si="253"/>
        <v>44135</v>
      </c>
    </row>
    <row r="1765" spans="1:6" x14ac:dyDescent="0.25">
      <c r="A1765" s="1" t="s">
        <v>200</v>
      </c>
      <c r="B1765" s="1" t="s">
        <v>1578</v>
      </c>
      <c r="C1765" s="1" t="s">
        <v>139</v>
      </c>
      <c r="D1765" s="3">
        <f t="shared" ref="D1765:D1787" si="254">VALUE("8760")</f>
        <v>8760</v>
      </c>
      <c r="E1765" s="2">
        <f t="shared" ref="E1765:E1787" si="255">DATEVALUE("1-5-2020")</f>
        <v>43952</v>
      </c>
      <c r="F1765" s="2">
        <f t="shared" ref="F1765:F1787" si="256">DATEVALUE("31-12-2020")</f>
        <v>44196</v>
      </c>
    </row>
    <row r="1766" spans="1:6" x14ac:dyDescent="0.25">
      <c r="A1766" s="1" t="s">
        <v>200</v>
      </c>
      <c r="B1766" s="1" t="s">
        <v>1578</v>
      </c>
      <c r="C1766" s="1" t="s">
        <v>14</v>
      </c>
      <c r="D1766" s="3">
        <f t="shared" si="254"/>
        <v>8760</v>
      </c>
      <c r="E1766" s="2">
        <f t="shared" si="255"/>
        <v>43952</v>
      </c>
      <c r="F1766" s="2">
        <f t="shared" si="256"/>
        <v>44196</v>
      </c>
    </row>
    <row r="1767" spans="1:6" x14ac:dyDescent="0.25">
      <c r="A1767" s="1" t="s">
        <v>200</v>
      </c>
      <c r="B1767" s="1" t="s">
        <v>1578</v>
      </c>
      <c r="C1767" s="1" t="s">
        <v>15</v>
      </c>
      <c r="D1767" s="3">
        <f t="shared" si="254"/>
        <v>8760</v>
      </c>
      <c r="E1767" s="2">
        <f t="shared" si="255"/>
        <v>43952</v>
      </c>
      <c r="F1767" s="2">
        <f t="shared" si="256"/>
        <v>44196</v>
      </c>
    </row>
    <row r="1768" spans="1:6" x14ac:dyDescent="0.25">
      <c r="A1768" s="1" t="s">
        <v>200</v>
      </c>
      <c r="B1768" s="1" t="s">
        <v>1578</v>
      </c>
      <c r="C1768" s="1" t="s">
        <v>17</v>
      </c>
      <c r="D1768" s="3">
        <f t="shared" si="254"/>
        <v>8760</v>
      </c>
      <c r="E1768" s="2">
        <f t="shared" si="255"/>
        <v>43952</v>
      </c>
      <c r="F1768" s="2">
        <f t="shared" si="256"/>
        <v>44196</v>
      </c>
    </row>
    <row r="1769" spans="1:6" x14ac:dyDescent="0.25">
      <c r="A1769" s="1" t="s">
        <v>200</v>
      </c>
      <c r="B1769" s="1" t="s">
        <v>1578</v>
      </c>
      <c r="C1769" s="1" t="s">
        <v>18</v>
      </c>
      <c r="D1769" s="3">
        <f t="shared" si="254"/>
        <v>8760</v>
      </c>
      <c r="E1769" s="2">
        <f t="shared" si="255"/>
        <v>43952</v>
      </c>
      <c r="F1769" s="2">
        <f t="shared" si="256"/>
        <v>44196</v>
      </c>
    </row>
    <row r="1770" spans="1:6" x14ac:dyDescent="0.25">
      <c r="A1770" s="1" t="s">
        <v>200</v>
      </c>
      <c r="B1770" s="1" t="s">
        <v>1578</v>
      </c>
      <c r="C1770" s="1" t="s">
        <v>291</v>
      </c>
      <c r="D1770" s="3">
        <f t="shared" si="254"/>
        <v>8760</v>
      </c>
      <c r="E1770" s="2">
        <f t="shared" si="255"/>
        <v>43952</v>
      </c>
      <c r="F1770" s="2">
        <f t="shared" si="256"/>
        <v>44196</v>
      </c>
    </row>
    <row r="1771" spans="1:6" x14ac:dyDescent="0.25">
      <c r="A1771" s="1" t="s">
        <v>200</v>
      </c>
      <c r="B1771" s="1" t="s">
        <v>1578</v>
      </c>
      <c r="C1771" s="1" t="s">
        <v>22</v>
      </c>
      <c r="D1771" s="3">
        <f t="shared" si="254"/>
        <v>8760</v>
      </c>
      <c r="E1771" s="2">
        <f t="shared" si="255"/>
        <v>43952</v>
      </c>
      <c r="F1771" s="2">
        <f t="shared" si="256"/>
        <v>44196</v>
      </c>
    </row>
    <row r="1772" spans="1:6" x14ac:dyDescent="0.25">
      <c r="A1772" s="1" t="s">
        <v>200</v>
      </c>
      <c r="B1772" s="1" t="s">
        <v>1578</v>
      </c>
      <c r="C1772" s="1" t="s">
        <v>146</v>
      </c>
      <c r="D1772" s="3">
        <f t="shared" si="254"/>
        <v>8760</v>
      </c>
      <c r="E1772" s="2">
        <f t="shared" si="255"/>
        <v>43952</v>
      </c>
      <c r="F1772" s="2">
        <f t="shared" si="256"/>
        <v>44196</v>
      </c>
    </row>
    <row r="1773" spans="1:6" x14ac:dyDescent="0.25">
      <c r="A1773" s="1" t="s">
        <v>200</v>
      </c>
      <c r="B1773" s="1" t="s">
        <v>1578</v>
      </c>
      <c r="C1773" s="1" t="s">
        <v>384</v>
      </c>
      <c r="D1773" s="3">
        <f t="shared" si="254"/>
        <v>8760</v>
      </c>
      <c r="E1773" s="2">
        <f t="shared" si="255"/>
        <v>43952</v>
      </c>
      <c r="F1773" s="2">
        <f t="shared" si="256"/>
        <v>44196</v>
      </c>
    </row>
    <row r="1774" spans="1:6" x14ac:dyDescent="0.25">
      <c r="A1774" s="1" t="s">
        <v>200</v>
      </c>
      <c r="B1774" s="1" t="s">
        <v>1578</v>
      </c>
      <c r="C1774" s="1" t="s">
        <v>147</v>
      </c>
      <c r="D1774" s="3">
        <f t="shared" si="254"/>
        <v>8760</v>
      </c>
      <c r="E1774" s="2">
        <f t="shared" si="255"/>
        <v>43952</v>
      </c>
      <c r="F1774" s="2">
        <f t="shared" si="256"/>
        <v>44196</v>
      </c>
    </row>
    <row r="1775" spans="1:6" x14ac:dyDescent="0.25">
      <c r="A1775" s="1" t="s">
        <v>200</v>
      </c>
      <c r="B1775" s="1" t="s">
        <v>1578</v>
      </c>
      <c r="C1775" s="1" t="s">
        <v>386</v>
      </c>
      <c r="D1775" s="3">
        <f t="shared" si="254"/>
        <v>8760</v>
      </c>
      <c r="E1775" s="2">
        <f t="shared" si="255"/>
        <v>43952</v>
      </c>
      <c r="F1775" s="2">
        <f t="shared" si="256"/>
        <v>44196</v>
      </c>
    </row>
    <row r="1776" spans="1:6" x14ac:dyDescent="0.25">
      <c r="A1776" s="1" t="s">
        <v>200</v>
      </c>
      <c r="B1776" s="1" t="s">
        <v>1578</v>
      </c>
      <c r="C1776" s="1" t="s">
        <v>387</v>
      </c>
      <c r="D1776" s="3">
        <f t="shared" si="254"/>
        <v>8760</v>
      </c>
      <c r="E1776" s="2">
        <f t="shared" si="255"/>
        <v>43952</v>
      </c>
      <c r="F1776" s="2">
        <f t="shared" si="256"/>
        <v>44196</v>
      </c>
    </row>
    <row r="1777" spans="1:6" x14ac:dyDescent="0.25">
      <c r="A1777" s="1" t="s">
        <v>200</v>
      </c>
      <c r="B1777" s="1" t="s">
        <v>1578</v>
      </c>
      <c r="C1777" s="1" t="s">
        <v>472</v>
      </c>
      <c r="D1777" s="3">
        <f t="shared" si="254"/>
        <v>8760</v>
      </c>
      <c r="E1777" s="2">
        <f t="shared" si="255"/>
        <v>43952</v>
      </c>
      <c r="F1777" s="2">
        <f t="shared" si="256"/>
        <v>44196</v>
      </c>
    </row>
    <row r="1778" spans="1:6" x14ac:dyDescent="0.25">
      <c r="A1778" s="1" t="s">
        <v>200</v>
      </c>
      <c r="B1778" s="1" t="s">
        <v>1578</v>
      </c>
      <c r="C1778" s="1" t="s">
        <v>92</v>
      </c>
      <c r="D1778" s="3">
        <f t="shared" si="254"/>
        <v>8760</v>
      </c>
      <c r="E1778" s="2">
        <f t="shared" si="255"/>
        <v>43952</v>
      </c>
      <c r="F1778" s="2">
        <f t="shared" si="256"/>
        <v>44196</v>
      </c>
    </row>
    <row r="1779" spans="1:6" x14ac:dyDescent="0.25">
      <c r="A1779" s="1" t="s">
        <v>200</v>
      </c>
      <c r="B1779" s="1" t="s">
        <v>1578</v>
      </c>
      <c r="C1779" s="1" t="s">
        <v>400</v>
      </c>
      <c r="D1779" s="3">
        <f t="shared" si="254"/>
        <v>8760</v>
      </c>
      <c r="E1779" s="2">
        <f t="shared" si="255"/>
        <v>43952</v>
      </c>
      <c r="F1779" s="2">
        <f t="shared" si="256"/>
        <v>44196</v>
      </c>
    </row>
    <row r="1780" spans="1:6" x14ac:dyDescent="0.25">
      <c r="A1780" s="1" t="s">
        <v>200</v>
      </c>
      <c r="B1780" s="1" t="s">
        <v>1578</v>
      </c>
      <c r="C1780" s="1" t="s">
        <v>24</v>
      </c>
      <c r="D1780" s="3">
        <f t="shared" si="254"/>
        <v>8760</v>
      </c>
      <c r="E1780" s="2">
        <f t="shared" si="255"/>
        <v>43952</v>
      </c>
      <c r="F1780" s="2">
        <f t="shared" si="256"/>
        <v>44196</v>
      </c>
    </row>
    <row r="1781" spans="1:6" x14ac:dyDescent="0.25">
      <c r="A1781" s="1" t="s">
        <v>200</v>
      </c>
      <c r="B1781" s="1" t="s">
        <v>1578</v>
      </c>
      <c r="C1781" s="1" t="s">
        <v>52</v>
      </c>
      <c r="D1781" s="3">
        <f t="shared" si="254"/>
        <v>8760</v>
      </c>
      <c r="E1781" s="2">
        <f t="shared" si="255"/>
        <v>43952</v>
      </c>
      <c r="F1781" s="2">
        <f t="shared" si="256"/>
        <v>44196</v>
      </c>
    </row>
    <row r="1782" spans="1:6" x14ac:dyDescent="0.25">
      <c r="A1782" s="1" t="s">
        <v>200</v>
      </c>
      <c r="B1782" s="1" t="s">
        <v>1578</v>
      </c>
      <c r="C1782" s="1" t="s">
        <v>303</v>
      </c>
      <c r="D1782" s="3">
        <f t="shared" si="254"/>
        <v>8760</v>
      </c>
      <c r="E1782" s="2">
        <f t="shared" si="255"/>
        <v>43952</v>
      </c>
      <c r="F1782" s="2">
        <f t="shared" si="256"/>
        <v>44196</v>
      </c>
    </row>
    <row r="1783" spans="1:6" x14ac:dyDescent="0.25">
      <c r="A1783" s="1" t="s">
        <v>200</v>
      </c>
      <c r="B1783" s="1" t="s">
        <v>1578</v>
      </c>
      <c r="C1783" s="1" t="s">
        <v>378</v>
      </c>
      <c r="D1783" s="3">
        <f t="shared" si="254"/>
        <v>8760</v>
      </c>
      <c r="E1783" s="2">
        <f t="shared" si="255"/>
        <v>43952</v>
      </c>
      <c r="F1783" s="2">
        <f t="shared" si="256"/>
        <v>44196</v>
      </c>
    </row>
    <row r="1784" spans="1:6" x14ac:dyDescent="0.25">
      <c r="A1784" s="1" t="s">
        <v>200</v>
      </c>
      <c r="B1784" s="1" t="s">
        <v>1578</v>
      </c>
      <c r="C1784" s="1" t="s">
        <v>618</v>
      </c>
      <c r="D1784" s="3">
        <f t="shared" si="254"/>
        <v>8760</v>
      </c>
      <c r="E1784" s="2">
        <f t="shared" si="255"/>
        <v>43952</v>
      </c>
      <c r="F1784" s="2">
        <f t="shared" si="256"/>
        <v>44196</v>
      </c>
    </row>
    <row r="1785" spans="1:6" x14ac:dyDescent="0.25">
      <c r="A1785" s="1" t="s">
        <v>200</v>
      </c>
      <c r="B1785" s="1" t="s">
        <v>1578</v>
      </c>
      <c r="C1785" s="1" t="s">
        <v>34</v>
      </c>
      <c r="D1785" s="3">
        <f t="shared" si="254"/>
        <v>8760</v>
      </c>
      <c r="E1785" s="2">
        <f t="shared" si="255"/>
        <v>43952</v>
      </c>
      <c r="F1785" s="2">
        <f t="shared" si="256"/>
        <v>44196</v>
      </c>
    </row>
    <row r="1786" spans="1:6" x14ac:dyDescent="0.25">
      <c r="A1786" s="1" t="s">
        <v>200</v>
      </c>
      <c r="B1786" s="1" t="s">
        <v>1578</v>
      </c>
      <c r="C1786" s="1" t="s">
        <v>306</v>
      </c>
      <c r="D1786" s="3">
        <f t="shared" si="254"/>
        <v>8760</v>
      </c>
      <c r="E1786" s="2">
        <f t="shared" si="255"/>
        <v>43952</v>
      </c>
      <c r="F1786" s="2">
        <f t="shared" si="256"/>
        <v>44196</v>
      </c>
    </row>
    <row r="1787" spans="1:6" x14ac:dyDescent="0.25">
      <c r="A1787" s="1" t="s">
        <v>200</v>
      </c>
      <c r="B1787" s="1" t="s">
        <v>1578</v>
      </c>
      <c r="C1787" s="1" t="s">
        <v>170</v>
      </c>
      <c r="D1787" s="3">
        <f t="shared" si="254"/>
        <v>8760</v>
      </c>
      <c r="E1787" s="2">
        <f t="shared" si="255"/>
        <v>43952</v>
      </c>
      <c r="F1787" s="2">
        <f t="shared" si="256"/>
        <v>44196</v>
      </c>
    </row>
    <row r="1788" spans="1:6" x14ac:dyDescent="0.25">
      <c r="A1788" s="1" t="s">
        <v>200</v>
      </c>
      <c r="B1788" s="1" t="s">
        <v>2486</v>
      </c>
      <c r="C1788" s="1" t="s">
        <v>1038</v>
      </c>
      <c r="D1788" s="3">
        <f t="shared" ref="D1788:D1807" si="257">VALUE("8665")</f>
        <v>8665</v>
      </c>
      <c r="E1788" s="2">
        <f t="shared" ref="E1788:E1807" si="258">DATEVALUE("1-2-2020")</f>
        <v>43862</v>
      </c>
      <c r="F1788" s="2">
        <f t="shared" ref="F1788:F1807" si="259">DATEVALUE("31-10-2020")</f>
        <v>44135</v>
      </c>
    </row>
    <row r="1789" spans="1:6" x14ac:dyDescent="0.25">
      <c r="A1789" s="1" t="s">
        <v>200</v>
      </c>
      <c r="B1789" s="1" t="s">
        <v>2486</v>
      </c>
      <c r="C1789" s="1" t="s">
        <v>1039</v>
      </c>
      <c r="D1789" s="3">
        <f t="shared" si="257"/>
        <v>8665</v>
      </c>
      <c r="E1789" s="2">
        <f t="shared" si="258"/>
        <v>43862</v>
      </c>
      <c r="F1789" s="2">
        <f t="shared" si="259"/>
        <v>44135</v>
      </c>
    </row>
    <row r="1790" spans="1:6" x14ac:dyDescent="0.25">
      <c r="A1790" s="1" t="s">
        <v>200</v>
      </c>
      <c r="B1790" s="1" t="s">
        <v>2486</v>
      </c>
      <c r="C1790" s="1" t="s">
        <v>14</v>
      </c>
      <c r="D1790" s="3">
        <f t="shared" si="257"/>
        <v>8665</v>
      </c>
      <c r="E1790" s="2">
        <f t="shared" si="258"/>
        <v>43862</v>
      </c>
      <c r="F1790" s="2">
        <f t="shared" si="259"/>
        <v>44135</v>
      </c>
    </row>
    <row r="1791" spans="1:6" x14ac:dyDescent="0.25">
      <c r="A1791" s="1" t="s">
        <v>200</v>
      </c>
      <c r="B1791" s="1" t="s">
        <v>2486</v>
      </c>
      <c r="C1791" s="1" t="s">
        <v>15</v>
      </c>
      <c r="D1791" s="3">
        <f t="shared" si="257"/>
        <v>8665</v>
      </c>
      <c r="E1791" s="2">
        <f t="shared" si="258"/>
        <v>43862</v>
      </c>
      <c r="F1791" s="2">
        <f t="shared" si="259"/>
        <v>44135</v>
      </c>
    </row>
    <row r="1792" spans="1:6" x14ac:dyDescent="0.25">
      <c r="A1792" s="1" t="s">
        <v>200</v>
      </c>
      <c r="B1792" s="1" t="s">
        <v>2486</v>
      </c>
      <c r="C1792" s="1" t="s">
        <v>17</v>
      </c>
      <c r="D1792" s="3">
        <f t="shared" si="257"/>
        <v>8665</v>
      </c>
      <c r="E1792" s="2">
        <f t="shared" si="258"/>
        <v>43862</v>
      </c>
      <c r="F1792" s="2">
        <f t="shared" si="259"/>
        <v>44135</v>
      </c>
    </row>
    <row r="1793" spans="1:6" x14ac:dyDescent="0.25">
      <c r="A1793" s="1" t="s">
        <v>200</v>
      </c>
      <c r="B1793" s="1" t="s">
        <v>2486</v>
      </c>
      <c r="C1793" s="1" t="s">
        <v>22</v>
      </c>
      <c r="D1793" s="3">
        <f t="shared" si="257"/>
        <v>8665</v>
      </c>
      <c r="E1793" s="2">
        <f t="shared" si="258"/>
        <v>43862</v>
      </c>
      <c r="F1793" s="2">
        <f t="shared" si="259"/>
        <v>44135</v>
      </c>
    </row>
    <row r="1794" spans="1:6" x14ac:dyDescent="0.25">
      <c r="A1794" s="1" t="s">
        <v>200</v>
      </c>
      <c r="B1794" s="1" t="s">
        <v>2486</v>
      </c>
      <c r="C1794" s="1" t="s">
        <v>383</v>
      </c>
      <c r="D1794" s="3">
        <f t="shared" si="257"/>
        <v>8665</v>
      </c>
      <c r="E1794" s="2">
        <f t="shared" si="258"/>
        <v>43862</v>
      </c>
      <c r="F1794" s="2">
        <f t="shared" si="259"/>
        <v>44135</v>
      </c>
    </row>
    <row r="1795" spans="1:6" x14ac:dyDescent="0.25">
      <c r="A1795" s="1" t="s">
        <v>200</v>
      </c>
      <c r="B1795" s="1" t="s">
        <v>2486</v>
      </c>
      <c r="C1795" s="1" t="s">
        <v>146</v>
      </c>
      <c r="D1795" s="3">
        <f t="shared" si="257"/>
        <v>8665</v>
      </c>
      <c r="E1795" s="2">
        <f t="shared" si="258"/>
        <v>43862</v>
      </c>
      <c r="F1795" s="2">
        <f t="shared" si="259"/>
        <v>44135</v>
      </c>
    </row>
    <row r="1796" spans="1:6" x14ac:dyDescent="0.25">
      <c r="A1796" s="1" t="s">
        <v>200</v>
      </c>
      <c r="B1796" s="1" t="s">
        <v>2486</v>
      </c>
      <c r="C1796" s="1" t="s">
        <v>384</v>
      </c>
      <c r="D1796" s="3">
        <f t="shared" si="257"/>
        <v>8665</v>
      </c>
      <c r="E1796" s="2">
        <f t="shared" si="258"/>
        <v>43862</v>
      </c>
      <c r="F1796" s="2">
        <f t="shared" si="259"/>
        <v>44135</v>
      </c>
    </row>
    <row r="1797" spans="1:6" x14ac:dyDescent="0.25">
      <c r="A1797" s="1" t="s">
        <v>200</v>
      </c>
      <c r="B1797" s="1" t="s">
        <v>2486</v>
      </c>
      <c r="C1797" s="1" t="s">
        <v>147</v>
      </c>
      <c r="D1797" s="3">
        <f t="shared" si="257"/>
        <v>8665</v>
      </c>
      <c r="E1797" s="2">
        <f t="shared" si="258"/>
        <v>43862</v>
      </c>
      <c r="F1797" s="2">
        <f t="shared" si="259"/>
        <v>44135</v>
      </c>
    </row>
    <row r="1798" spans="1:6" x14ac:dyDescent="0.25">
      <c r="A1798" s="1" t="s">
        <v>200</v>
      </c>
      <c r="B1798" s="1" t="s">
        <v>2486</v>
      </c>
      <c r="C1798" s="1" t="s">
        <v>387</v>
      </c>
      <c r="D1798" s="3">
        <f t="shared" si="257"/>
        <v>8665</v>
      </c>
      <c r="E1798" s="2">
        <f t="shared" si="258"/>
        <v>43862</v>
      </c>
      <c r="F1798" s="2">
        <f t="shared" si="259"/>
        <v>44135</v>
      </c>
    </row>
    <row r="1799" spans="1:6" x14ac:dyDescent="0.25">
      <c r="A1799" s="1" t="s">
        <v>200</v>
      </c>
      <c r="B1799" s="1" t="s">
        <v>2486</v>
      </c>
      <c r="C1799" s="1" t="s">
        <v>472</v>
      </c>
      <c r="D1799" s="3">
        <f t="shared" si="257"/>
        <v>8665</v>
      </c>
      <c r="E1799" s="2">
        <f t="shared" si="258"/>
        <v>43862</v>
      </c>
      <c r="F1799" s="2">
        <f t="shared" si="259"/>
        <v>44135</v>
      </c>
    </row>
    <row r="1800" spans="1:6" x14ac:dyDescent="0.25">
      <c r="A1800" s="1" t="s">
        <v>200</v>
      </c>
      <c r="B1800" s="1" t="s">
        <v>2486</v>
      </c>
      <c r="C1800" s="1" t="s">
        <v>92</v>
      </c>
      <c r="D1800" s="3">
        <f t="shared" si="257"/>
        <v>8665</v>
      </c>
      <c r="E1800" s="2">
        <f t="shared" si="258"/>
        <v>43862</v>
      </c>
      <c r="F1800" s="2">
        <f t="shared" si="259"/>
        <v>44135</v>
      </c>
    </row>
    <row r="1801" spans="1:6" x14ac:dyDescent="0.25">
      <c r="A1801" s="1" t="s">
        <v>200</v>
      </c>
      <c r="B1801" s="1" t="s">
        <v>2486</v>
      </c>
      <c r="C1801" s="1" t="s">
        <v>24</v>
      </c>
      <c r="D1801" s="3">
        <f t="shared" si="257"/>
        <v>8665</v>
      </c>
      <c r="E1801" s="2">
        <f t="shared" si="258"/>
        <v>43862</v>
      </c>
      <c r="F1801" s="2">
        <f t="shared" si="259"/>
        <v>44135</v>
      </c>
    </row>
    <row r="1802" spans="1:6" x14ac:dyDescent="0.25">
      <c r="A1802" s="1" t="s">
        <v>200</v>
      </c>
      <c r="B1802" s="1" t="s">
        <v>2486</v>
      </c>
      <c r="C1802" s="1" t="s">
        <v>1241</v>
      </c>
      <c r="D1802" s="3">
        <f t="shared" si="257"/>
        <v>8665</v>
      </c>
      <c r="E1802" s="2">
        <f t="shared" si="258"/>
        <v>43862</v>
      </c>
      <c r="F1802" s="2">
        <f t="shared" si="259"/>
        <v>44135</v>
      </c>
    </row>
    <row r="1803" spans="1:6" x14ac:dyDescent="0.25">
      <c r="A1803" s="1" t="s">
        <v>200</v>
      </c>
      <c r="B1803" s="1" t="s">
        <v>2486</v>
      </c>
      <c r="C1803" s="1" t="s">
        <v>52</v>
      </c>
      <c r="D1803" s="3">
        <f t="shared" si="257"/>
        <v>8665</v>
      </c>
      <c r="E1803" s="2">
        <f t="shared" si="258"/>
        <v>43862</v>
      </c>
      <c r="F1803" s="2">
        <f t="shared" si="259"/>
        <v>44135</v>
      </c>
    </row>
    <row r="1804" spans="1:6" x14ac:dyDescent="0.25">
      <c r="A1804" s="1" t="s">
        <v>200</v>
      </c>
      <c r="B1804" s="1" t="s">
        <v>2486</v>
      </c>
      <c r="C1804" s="1" t="s">
        <v>160</v>
      </c>
      <c r="D1804" s="3">
        <f t="shared" si="257"/>
        <v>8665</v>
      </c>
      <c r="E1804" s="2">
        <f t="shared" si="258"/>
        <v>43862</v>
      </c>
      <c r="F1804" s="2">
        <f t="shared" si="259"/>
        <v>44135</v>
      </c>
    </row>
    <row r="1805" spans="1:6" x14ac:dyDescent="0.25">
      <c r="A1805" s="1" t="s">
        <v>200</v>
      </c>
      <c r="B1805" s="1" t="s">
        <v>2486</v>
      </c>
      <c r="C1805" s="1" t="s">
        <v>34</v>
      </c>
      <c r="D1805" s="3">
        <f t="shared" si="257"/>
        <v>8665</v>
      </c>
      <c r="E1805" s="2">
        <f t="shared" si="258"/>
        <v>43862</v>
      </c>
      <c r="F1805" s="2">
        <f t="shared" si="259"/>
        <v>44135</v>
      </c>
    </row>
    <row r="1806" spans="1:6" x14ac:dyDescent="0.25">
      <c r="A1806" s="1" t="s">
        <v>200</v>
      </c>
      <c r="B1806" s="1" t="s">
        <v>2486</v>
      </c>
      <c r="C1806" s="1" t="s">
        <v>397</v>
      </c>
      <c r="D1806" s="3">
        <f t="shared" si="257"/>
        <v>8665</v>
      </c>
      <c r="E1806" s="2">
        <f t="shared" si="258"/>
        <v>43862</v>
      </c>
      <c r="F1806" s="2">
        <f t="shared" si="259"/>
        <v>44135</v>
      </c>
    </row>
    <row r="1807" spans="1:6" x14ac:dyDescent="0.25">
      <c r="A1807" s="1" t="s">
        <v>200</v>
      </c>
      <c r="B1807" s="1" t="s">
        <v>2486</v>
      </c>
      <c r="C1807" s="1" t="s">
        <v>170</v>
      </c>
      <c r="D1807" s="3">
        <f t="shared" si="257"/>
        <v>8665</v>
      </c>
      <c r="E1807" s="2">
        <f t="shared" si="258"/>
        <v>43862</v>
      </c>
      <c r="F1807" s="2">
        <f t="shared" si="259"/>
        <v>44135</v>
      </c>
    </row>
    <row r="1808" spans="1:6" x14ac:dyDescent="0.25">
      <c r="A1808" s="1" t="s">
        <v>200</v>
      </c>
      <c r="B1808" s="1" t="s">
        <v>2462</v>
      </c>
      <c r="C1808" s="1" t="s">
        <v>14</v>
      </c>
      <c r="D1808" s="3">
        <f t="shared" ref="D1808:D1832" si="260">VALUE("8559")</f>
        <v>8559</v>
      </c>
      <c r="E1808" s="2">
        <f t="shared" ref="E1808:E1832" si="261">DATEVALUE("1-8-2019")</f>
        <v>43678</v>
      </c>
      <c r="F1808" s="2">
        <f t="shared" ref="F1808:F1832" si="262">DATEVALUE("31-1-2020")</f>
        <v>43861</v>
      </c>
    </row>
    <row r="1809" spans="1:6" x14ac:dyDescent="0.25">
      <c r="A1809" s="1" t="s">
        <v>200</v>
      </c>
      <c r="B1809" s="1" t="s">
        <v>2462</v>
      </c>
      <c r="C1809" s="1" t="s">
        <v>15</v>
      </c>
      <c r="D1809" s="3">
        <f t="shared" si="260"/>
        <v>8559</v>
      </c>
      <c r="E1809" s="2">
        <f t="shared" si="261"/>
        <v>43678</v>
      </c>
      <c r="F1809" s="2">
        <f t="shared" si="262"/>
        <v>43861</v>
      </c>
    </row>
    <row r="1810" spans="1:6" x14ac:dyDescent="0.25">
      <c r="A1810" s="1" t="s">
        <v>200</v>
      </c>
      <c r="B1810" s="1" t="s">
        <v>2462</v>
      </c>
      <c r="C1810" s="1" t="s">
        <v>17</v>
      </c>
      <c r="D1810" s="3">
        <f t="shared" si="260"/>
        <v>8559</v>
      </c>
      <c r="E1810" s="2">
        <f t="shared" si="261"/>
        <v>43678</v>
      </c>
      <c r="F1810" s="2">
        <f t="shared" si="262"/>
        <v>43861</v>
      </c>
    </row>
    <row r="1811" spans="1:6" x14ac:dyDescent="0.25">
      <c r="A1811" s="1" t="s">
        <v>200</v>
      </c>
      <c r="B1811" s="1" t="s">
        <v>2462</v>
      </c>
      <c r="C1811" s="1" t="s">
        <v>18</v>
      </c>
      <c r="D1811" s="3">
        <f t="shared" si="260"/>
        <v>8559</v>
      </c>
      <c r="E1811" s="2">
        <f t="shared" si="261"/>
        <v>43678</v>
      </c>
      <c r="F1811" s="2">
        <f t="shared" si="262"/>
        <v>43861</v>
      </c>
    </row>
    <row r="1812" spans="1:6" x14ac:dyDescent="0.25">
      <c r="A1812" s="1" t="s">
        <v>200</v>
      </c>
      <c r="B1812" s="1" t="s">
        <v>2462</v>
      </c>
      <c r="C1812" s="1" t="s">
        <v>291</v>
      </c>
      <c r="D1812" s="3">
        <f t="shared" si="260"/>
        <v>8559</v>
      </c>
      <c r="E1812" s="2">
        <f t="shared" si="261"/>
        <v>43678</v>
      </c>
      <c r="F1812" s="2">
        <f t="shared" si="262"/>
        <v>43861</v>
      </c>
    </row>
    <row r="1813" spans="1:6" x14ac:dyDescent="0.25">
      <c r="A1813" s="1" t="s">
        <v>200</v>
      </c>
      <c r="B1813" s="1" t="s">
        <v>2462</v>
      </c>
      <c r="C1813" s="1" t="s">
        <v>22</v>
      </c>
      <c r="D1813" s="3">
        <f t="shared" si="260"/>
        <v>8559</v>
      </c>
      <c r="E1813" s="2">
        <f t="shared" si="261"/>
        <v>43678</v>
      </c>
      <c r="F1813" s="2">
        <f t="shared" si="262"/>
        <v>43861</v>
      </c>
    </row>
    <row r="1814" spans="1:6" x14ac:dyDescent="0.25">
      <c r="A1814" s="1" t="s">
        <v>200</v>
      </c>
      <c r="B1814" s="1" t="s">
        <v>2462</v>
      </c>
      <c r="C1814" s="1" t="s">
        <v>146</v>
      </c>
      <c r="D1814" s="3">
        <f t="shared" si="260"/>
        <v>8559</v>
      </c>
      <c r="E1814" s="2">
        <f t="shared" si="261"/>
        <v>43678</v>
      </c>
      <c r="F1814" s="2">
        <f t="shared" si="262"/>
        <v>43861</v>
      </c>
    </row>
    <row r="1815" spans="1:6" x14ac:dyDescent="0.25">
      <c r="A1815" s="1" t="s">
        <v>200</v>
      </c>
      <c r="B1815" s="1" t="s">
        <v>2462</v>
      </c>
      <c r="C1815" s="1" t="s">
        <v>67</v>
      </c>
      <c r="D1815" s="3">
        <f t="shared" si="260"/>
        <v>8559</v>
      </c>
      <c r="E1815" s="2">
        <f t="shared" si="261"/>
        <v>43678</v>
      </c>
      <c r="F1815" s="2">
        <f t="shared" si="262"/>
        <v>43861</v>
      </c>
    </row>
    <row r="1816" spans="1:6" x14ac:dyDescent="0.25">
      <c r="A1816" s="1" t="s">
        <v>200</v>
      </c>
      <c r="B1816" s="1" t="s">
        <v>2462</v>
      </c>
      <c r="C1816" s="1" t="s">
        <v>386</v>
      </c>
      <c r="D1816" s="3">
        <f t="shared" si="260"/>
        <v>8559</v>
      </c>
      <c r="E1816" s="2">
        <f t="shared" si="261"/>
        <v>43678</v>
      </c>
      <c r="F1816" s="2">
        <f t="shared" si="262"/>
        <v>43861</v>
      </c>
    </row>
    <row r="1817" spans="1:6" x14ac:dyDescent="0.25">
      <c r="A1817" s="1" t="s">
        <v>200</v>
      </c>
      <c r="B1817" s="1" t="s">
        <v>2462</v>
      </c>
      <c r="C1817" s="1" t="s">
        <v>387</v>
      </c>
      <c r="D1817" s="3">
        <f t="shared" si="260"/>
        <v>8559</v>
      </c>
      <c r="E1817" s="2">
        <f t="shared" si="261"/>
        <v>43678</v>
      </c>
      <c r="F1817" s="2">
        <f t="shared" si="262"/>
        <v>43861</v>
      </c>
    </row>
    <row r="1818" spans="1:6" x14ac:dyDescent="0.25">
      <c r="A1818" s="1" t="s">
        <v>200</v>
      </c>
      <c r="B1818" s="1" t="s">
        <v>2462</v>
      </c>
      <c r="C1818" s="1" t="s">
        <v>388</v>
      </c>
      <c r="D1818" s="3">
        <f t="shared" si="260"/>
        <v>8559</v>
      </c>
      <c r="E1818" s="2">
        <f t="shared" si="261"/>
        <v>43678</v>
      </c>
      <c r="F1818" s="2">
        <f t="shared" si="262"/>
        <v>43861</v>
      </c>
    </row>
    <row r="1819" spans="1:6" x14ac:dyDescent="0.25">
      <c r="A1819" s="1" t="s">
        <v>200</v>
      </c>
      <c r="B1819" s="1" t="s">
        <v>2462</v>
      </c>
      <c r="C1819" s="1" t="s">
        <v>472</v>
      </c>
      <c r="D1819" s="3">
        <f t="shared" si="260"/>
        <v>8559</v>
      </c>
      <c r="E1819" s="2">
        <f t="shared" si="261"/>
        <v>43678</v>
      </c>
      <c r="F1819" s="2">
        <f t="shared" si="262"/>
        <v>43861</v>
      </c>
    </row>
    <row r="1820" spans="1:6" x14ac:dyDescent="0.25">
      <c r="A1820" s="1" t="s">
        <v>200</v>
      </c>
      <c r="B1820" s="1" t="s">
        <v>2462</v>
      </c>
      <c r="C1820" s="1" t="s">
        <v>92</v>
      </c>
      <c r="D1820" s="3">
        <f t="shared" si="260"/>
        <v>8559</v>
      </c>
      <c r="E1820" s="2">
        <f t="shared" si="261"/>
        <v>43678</v>
      </c>
      <c r="F1820" s="2">
        <f t="shared" si="262"/>
        <v>43861</v>
      </c>
    </row>
    <row r="1821" spans="1:6" x14ac:dyDescent="0.25">
      <c r="A1821" s="1" t="s">
        <v>200</v>
      </c>
      <c r="B1821" s="1" t="s">
        <v>2462</v>
      </c>
      <c r="C1821" s="1" t="s">
        <v>24</v>
      </c>
      <c r="D1821" s="3">
        <f t="shared" si="260"/>
        <v>8559</v>
      </c>
      <c r="E1821" s="2">
        <f t="shared" si="261"/>
        <v>43678</v>
      </c>
      <c r="F1821" s="2">
        <f t="shared" si="262"/>
        <v>43861</v>
      </c>
    </row>
    <row r="1822" spans="1:6" x14ac:dyDescent="0.25">
      <c r="A1822" s="1" t="s">
        <v>200</v>
      </c>
      <c r="B1822" s="1" t="s">
        <v>2462</v>
      </c>
      <c r="C1822" s="1" t="s">
        <v>70</v>
      </c>
      <c r="D1822" s="3">
        <f t="shared" si="260"/>
        <v>8559</v>
      </c>
      <c r="E1822" s="2">
        <f t="shared" si="261"/>
        <v>43678</v>
      </c>
      <c r="F1822" s="2">
        <f t="shared" si="262"/>
        <v>43861</v>
      </c>
    </row>
    <row r="1823" spans="1:6" x14ac:dyDescent="0.25">
      <c r="A1823" s="1" t="s">
        <v>200</v>
      </c>
      <c r="B1823" s="1" t="s">
        <v>2462</v>
      </c>
      <c r="C1823" s="1" t="s">
        <v>73</v>
      </c>
      <c r="D1823" s="3">
        <f t="shared" si="260"/>
        <v>8559</v>
      </c>
      <c r="E1823" s="2">
        <f t="shared" si="261"/>
        <v>43678</v>
      </c>
      <c r="F1823" s="2">
        <f t="shared" si="262"/>
        <v>43861</v>
      </c>
    </row>
    <row r="1824" spans="1:6" x14ac:dyDescent="0.25">
      <c r="A1824" s="1" t="s">
        <v>200</v>
      </c>
      <c r="B1824" s="1" t="s">
        <v>2462</v>
      </c>
      <c r="C1824" s="1" t="s">
        <v>459</v>
      </c>
      <c r="D1824" s="3">
        <f t="shared" si="260"/>
        <v>8559</v>
      </c>
      <c r="E1824" s="2">
        <f t="shared" si="261"/>
        <v>43678</v>
      </c>
      <c r="F1824" s="2">
        <f t="shared" si="262"/>
        <v>43861</v>
      </c>
    </row>
    <row r="1825" spans="1:6" x14ac:dyDescent="0.25">
      <c r="A1825" s="1" t="s">
        <v>200</v>
      </c>
      <c r="B1825" s="1" t="s">
        <v>2462</v>
      </c>
      <c r="C1825" s="1" t="s">
        <v>303</v>
      </c>
      <c r="D1825" s="3">
        <f t="shared" si="260"/>
        <v>8559</v>
      </c>
      <c r="E1825" s="2">
        <f t="shared" si="261"/>
        <v>43678</v>
      </c>
      <c r="F1825" s="2">
        <f t="shared" si="262"/>
        <v>43861</v>
      </c>
    </row>
    <row r="1826" spans="1:6" x14ac:dyDescent="0.25">
      <c r="A1826" s="1" t="s">
        <v>200</v>
      </c>
      <c r="B1826" s="1" t="s">
        <v>2462</v>
      </c>
      <c r="C1826" s="1" t="s">
        <v>160</v>
      </c>
      <c r="D1826" s="3">
        <f t="shared" si="260"/>
        <v>8559</v>
      </c>
      <c r="E1826" s="2">
        <f t="shared" si="261"/>
        <v>43678</v>
      </c>
      <c r="F1826" s="2">
        <f t="shared" si="262"/>
        <v>43861</v>
      </c>
    </row>
    <row r="1827" spans="1:6" x14ac:dyDescent="0.25">
      <c r="A1827" s="1" t="s">
        <v>200</v>
      </c>
      <c r="B1827" s="1" t="s">
        <v>2462</v>
      </c>
      <c r="C1827" s="1" t="s">
        <v>378</v>
      </c>
      <c r="D1827" s="3">
        <f t="shared" si="260"/>
        <v>8559</v>
      </c>
      <c r="E1827" s="2">
        <f t="shared" si="261"/>
        <v>43678</v>
      </c>
      <c r="F1827" s="2">
        <f t="shared" si="262"/>
        <v>43861</v>
      </c>
    </row>
    <row r="1828" spans="1:6" x14ac:dyDescent="0.25">
      <c r="A1828" s="1" t="s">
        <v>200</v>
      </c>
      <c r="B1828" s="1" t="s">
        <v>2462</v>
      </c>
      <c r="C1828" s="1" t="s">
        <v>162</v>
      </c>
      <c r="D1828" s="3">
        <f t="shared" si="260"/>
        <v>8559</v>
      </c>
      <c r="E1828" s="2">
        <f t="shared" si="261"/>
        <v>43678</v>
      </c>
      <c r="F1828" s="2">
        <f t="shared" si="262"/>
        <v>43861</v>
      </c>
    </row>
    <row r="1829" spans="1:6" x14ac:dyDescent="0.25">
      <c r="A1829" s="1" t="s">
        <v>200</v>
      </c>
      <c r="B1829" s="1" t="s">
        <v>2462</v>
      </c>
      <c r="C1829" s="1" t="s">
        <v>34</v>
      </c>
      <c r="D1829" s="3">
        <f t="shared" si="260"/>
        <v>8559</v>
      </c>
      <c r="E1829" s="2">
        <f t="shared" si="261"/>
        <v>43678</v>
      </c>
      <c r="F1829" s="2">
        <f t="shared" si="262"/>
        <v>43861</v>
      </c>
    </row>
    <row r="1830" spans="1:6" x14ac:dyDescent="0.25">
      <c r="A1830" s="1" t="s">
        <v>200</v>
      </c>
      <c r="B1830" s="1" t="s">
        <v>2462</v>
      </c>
      <c r="C1830" s="1" t="s">
        <v>306</v>
      </c>
      <c r="D1830" s="3">
        <f t="shared" si="260"/>
        <v>8559</v>
      </c>
      <c r="E1830" s="2">
        <f t="shared" si="261"/>
        <v>43678</v>
      </c>
      <c r="F1830" s="2">
        <f t="shared" si="262"/>
        <v>43861</v>
      </c>
    </row>
    <row r="1831" spans="1:6" x14ac:dyDescent="0.25">
      <c r="A1831" s="1" t="s">
        <v>200</v>
      </c>
      <c r="B1831" s="1" t="s">
        <v>2462</v>
      </c>
      <c r="C1831" s="1" t="s">
        <v>131</v>
      </c>
      <c r="D1831" s="3">
        <f t="shared" si="260"/>
        <v>8559</v>
      </c>
      <c r="E1831" s="2">
        <f t="shared" si="261"/>
        <v>43678</v>
      </c>
      <c r="F1831" s="2">
        <f t="shared" si="262"/>
        <v>43861</v>
      </c>
    </row>
    <row r="1832" spans="1:6" x14ac:dyDescent="0.25">
      <c r="A1832" s="1" t="s">
        <v>200</v>
      </c>
      <c r="B1832" s="1" t="s">
        <v>2462</v>
      </c>
      <c r="C1832" s="1" t="s">
        <v>381</v>
      </c>
      <c r="D1832" s="3">
        <f t="shared" si="260"/>
        <v>8559</v>
      </c>
      <c r="E1832" s="2">
        <f t="shared" si="261"/>
        <v>43678</v>
      </c>
      <c r="F1832" s="2">
        <f t="shared" si="262"/>
        <v>43861</v>
      </c>
    </row>
    <row r="1833" spans="1:6" x14ac:dyDescent="0.25">
      <c r="A1833" s="1" t="s">
        <v>200</v>
      </c>
      <c r="B1833" s="1" t="s">
        <v>2426</v>
      </c>
      <c r="C1833" s="1" t="s">
        <v>14</v>
      </c>
      <c r="D1833" s="3">
        <f t="shared" ref="D1833:D1849" si="263">VALUE("8480")</f>
        <v>8480</v>
      </c>
      <c r="E1833" s="2">
        <f t="shared" ref="E1833:E1849" si="264">DATEVALUE("1-3-2019")</f>
        <v>43525</v>
      </c>
      <c r="F1833" s="2">
        <f t="shared" ref="F1833:F1849" si="265">DATEVALUE("31-10-2019")</f>
        <v>43769</v>
      </c>
    </row>
    <row r="1834" spans="1:6" x14ac:dyDescent="0.25">
      <c r="A1834" s="1" t="s">
        <v>200</v>
      </c>
      <c r="B1834" s="1" t="s">
        <v>2426</v>
      </c>
      <c r="C1834" s="1" t="s">
        <v>15</v>
      </c>
      <c r="D1834" s="3">
        <f t="shared" si="263"/>
        <v>8480</v>
      </c>
      <c r="E1834" s="2">
        <f t="shared" si="264"/>
        <v>43525</v>
      </c>
      <c r="F1834" s="2">
        <f t="shared" si="265"/>
        <v>43769</v>
      </c>
    </row>
    <row r="1835" spans="1:6" x14ac:dyDescent="0.25">
      <c r="A1835" s="1" t="s">
        <v>200</v>
      </c>
      <c r="B1835" s="1" t="s">
        <v>2426</v>
      </c>
      <c r="C1835" s="1" t="s">
        <v>17</v>
      </c>
      <c r="D1835" s="3">
        <f t="shared" si="263"/>
        <v>8480</v>
      </c>
      <c r="E1835" s="2">
        <f t="shared" si="264"/>
        <v>43525</v>
      </c>
      <c r="F1835" s="2">
        <f t="shared" si="265"/>
        <v>43769</v>
      </c>
    </row>
    <row r="1836" spans="1:6" x14ac:dyDescent="0.25">
      <c r="A1836" s="1" t="s">
        <v>200</v>
      </c>
      <c r="B1836" s="1" t="s">
        <v>2426</v>
      </c>
      <c r="C1836" s="1" t="s">
        <v>18</v>
      </c>
      <c r="D1836" s="3">
        <f t="shared" si="263"/>
        <v>8480</v>
      </c>
      <c r="E1836" s="2">
        <f t="shared" si="264"/>
        <v>43525</v>
      </c>
      <c r="F1836" s="2">
        <f t="shared" si="265"/>
        <v>43769</v>
      </c>
    </row>
    <row r="1837" spans="1:6" x14ac:dyDescent="0.25">
      <c r="A1837" s="1" t="s">
        <v>200</v>
      </c>
      <c r="B1837" s="1" t="s">
        <v>2426</v>
      </c>
      <c r="C1837" s="1" t="s">
        <v>291</v>
      </c>
      <c r="D1837" s="3">
        <f t="shared" si="263"/>
        <v>8480</v>
      </c>
      <c r="E1837" s="2">
        <f t="shared" si="264"/>
        <v>43525</v>
      </c>
      <c r="F1837" s="2">
        <f t="shared" si="265"/>
        <v>43769</v>
      </c>
    </row>
    <row r="1838" spans="1:6" x14ac:dyDescent="0.25">
      <c r="A1838" s="1" t="s">
        <v>200</v>
      </c>
      <c r="B1838" s="1" t="s">
        <v>2426</v>
      </c>
      <c r="C1838" s="1" t="s">
        <v>146</v>
      </c>
      <c r="D1838" s="3">
        <f t="shared" si="263"/>
        <v>8480</v>
      </c>
      <c r="E1838" s="2">
        <f t="shared" si="264"/>
        <v>43525</v>
      </c>
      <c r="F1838" s="2">
        <f t="shared" si="265"/>
        <v>43769</v>
      </c>
    </row>
    <row r="1839" spans="1:6" x14ac:dyDescent="0.25">
      <c r="A1839" s="1" t="s">
        <v>200</v>
      </c>
      <c r="B1839" s="1" t="s">
        <v>2426</v>
      </c>
      <c r="C1839" s="1" t="s">
        <v>67</v>
      </c>
      <c r="D1839" s="3">
        <f t="shared" si="263"/>
        <v>8480</v>
      </c>
      <c r="E1839" s="2">
        <f t="shared" si="264"/>
        <v>43525</v>
      </c>
      <c r="F1839" s="2">
        <f t="shared" si="265"/>
        <v>43769</v>
      </c>
    </row>
    <row r="1840" spans="1:6" x14ac:dyDescent="0.25">
      <c r="A1840" s="1" t="s">
        <v>200</v>
      </c>
      <c r="B1840" s="1" t="s">
        <v>2426</v>
      </c>
      <c r="C1840" s="1" t="s">
        <v>386</v>
      </c>
      <c r="D1840" s="3">
        <f t="shared" si="263"/>
        <v>8480</v>
      </c>
      <c r="E1840" s="2">
        <f t="shared" si="264"/>
        <v>43525</v>
      </c>
      <c r="F1840" s="2">
        <f t="shared" si="265"/>
        <v>43769</v>
      </c>
    </row>
    <row r="1841" spans="1:6" x14ac:dyDescent="0.25">
      <c r="A1841" s="1" t="s">
        <v>200</v>
      </c>
      <c r="B1841" s="1" t="s">
        <v>2426</v>
      </c>
      <c r="C1841" s="1" t="s">
        <v>387</v>
      </c>
      <c r="D1841" s="3">
        <f t="shared" si="263"/>
        <v>8480</v>
      </c>
      <c r="E1841" s="2">
        <f t="shared" si="264"/>
        <v>43525</v>
      </c>
      <c r="F1841" s="2">
        <f t="shared" si="265"/>
        <v>43769</v>
      </c>
    </row>
    <row r="1842" spans="1:6" x14ac:dyDescent="0.25">
      <c r="A1842" s="1" t="s">
        <v>200</v>
      </c>
      <c r="B1842" s="1" t="s">
        <v>2426</v>
      </c>
      <c r="C1842" s="1" t="s">
        <v>388</v>
      </c>
      <c r="D1842" s="3">
        <f t="shared" si="263"/>
        <v>8480</v>
      </c>
      <c r="E1842" s="2">
        <f t="shared" si="264"/>
        <v>43525</v>
      </c>
      <c r="F1842" s="2">
        <f t="shared" si="265"/>
        <v>43769</v>
      </c>
    </row>
    <row r="1843" spans="1:6" x14ac:dyDescent="0.25">
      <c r="A1843" s="1" t="s">
        <v>200</v>
      </c>
      <c r="B1843" s="1" t="s">
        <v>2426</v>
      </c>
      <c r="C1843" s="1" t="s">
        <v>92</v>
      </c>
      <c r="D1843" s="3">
        <f t="shared" si="263"/>
        <v>8480</v>
      </c>
      <c r="E1843" s="2">
        <f t="shared" si="264"/>
        <v>43525</v>
      </c>
      <c r="F1843" s="2">
        <f t="shared" si="265"/>
        <v>43769</v>
      </c>
    </row>
    <row r="1844" spans="1:6" x14ac:dyDescent="0.25">
      <c r="A1844" s="1" t="s">
        <v>200</v>
      </c>
      <c r="B1844" s="1" t="s">
        <v>2426</v>
      </c>
      <c r="C1844" s="1" t="s">
        <v>24</v>
      </c>
      <c r="D1844" s="3">
        <f t="shared" si="263"/>
        <v>8480</v>
      </c>
      <c r="E1844" s="2">
        <f t="shared" si="264"/>
        <v>43525</v>
      </c>
      <c r="F1844" s="2">
        <f t="shared" si="265"/>
        <v>43769</v>
      </c>
    </row>
    <row r="1845" spans="1:6" x14ac:dyDescent="0.25">
      <c r="A1845" s="1" t="s">
        <v>200</v>
      </c>
      <c r="B1845" s="1" t="s">
        <v>2426</v>
      </c>
      <c r="C1845" s="1" t="s">
        <v>50</v>
      </c>
      <c r="D1845" s="3">
        <f t="shared" si="263"/>
        <v>8480</v>
      </c>
      <c r="E1845" s="2">
        <f t="shared" si="264"/>
        <v>43525</v>
      </c>
      <c r="F1845" s="2">
        <f t="shared" si="265"/>
        <v>43769</v>
      </c>
    </row>
    <row r="1846" spans="1:6" x14ac:dyDescent="0.25">
      <c r="A1846" s="1" t="s">
        <v>200</v>
      </c>
      <c r="B1846" s="1" t="s">
        <v>2426</v>
      </c>
      <c r="C1846" s="1" t="s">
        <v>910</v>
      </c>
      <c r="D1846" s="3">
        <f t="shared" si="263"/>
        <v>8480</v>
      </c>
      <c r="E1846" s="2">
        <f t="shared" si="264"/>
        <v>43525</v>
      </c>
      <c r="F1846" s="2">
        <f t="shared" si="265"/>
        <v>43769</v>
      </c>
    </row>
    <row r="1847" spans="1:6" x14ac:dyDescent="0.25">
      <c r="A1847" s="1" t="s">
        <v>200</v>
      </c>
      <c r="B1847" s="1" t="s">
        <v>2426</v>
      </c>
      <c r="C1847" s="1" t="s">
        <v>378</v>
      </c>
      <c r="D1847" s="3">
        <f t="shared" si="263"/>
        <v>8480</v>
      </c>
      <c r="E1847" s="2">
        <f t="shared" si="264"/>
        <v>43525</v>
      </c>
      <c r="F1847" s="2">
        <f t="shared" si="265"/>
        <v>43769</v>
      </c>
    </row>
    <row r="1848" spans="1:6" x14ac:dyDescent="0.25">
      <c r="A1848" s="1" t="s">
        <v>200</v>
      </c>
      <c r="B1848" s="1" t="s">
        <v>2426</v>
      </c>
      <c r="C1848" s="1" t="s">
        <v>34</v>
      </c>
      <c r="D1848" s="3">
        <f t="shared" si="263"/>
        <v>8480</v>
      </c>
      <c r="E1848" s="2">
        <f t="shared" si="264"/>
        <v>43525</v>
      </c>
      <c r="F1848" s="2">
        <f t="shared" si="265"/>
        <v>43769</v>
      </c>
    </row>
    <row r="1849" spans="1:6" x14ac:dyDescent="0.25">
      <c r="A1849" s="1" t="s">
        <v>200</v>
      </c>
      <c r="B1849" s="1" t="s">
        <v>2426</v>
      </c>
      <c r="C1849" s="1" t="s">
        <v>306</v>
      </c>
      <c r="D1849" s="3">
        <f t="shared" si="263"/>
        <v>8480</v>
      </c>
      <c r="E1849" s="2">
        <f t="shared" si="264"/>
        <v>43525</v>
      </c>
      <c r="F1849" s="2">
        <f t="shared" si="265"/>
        <v>43769</v>
      </c>
    </row>
    <row r="1850" spans="1:6" x14ac:dyDescent="0.25">
      <c r="A1850" s="1" t="s">
        <v>200</v>
      </c>
      <c r="B1850" s="1" t="s">
        <v>2387</v>
      </c>
      <c r="C1850" s="1" t="s">
        <v>252</v>
      </c>
      <c r="D1850" s="3">
        <f>VALUE("8337")</f>
        <v>8337</v>
      </c>
      <c r="E1850" s="2">
        <f>DATEVALUE("1-7-2018")</f>
        <v>43282</v>
      </c>
      <c r="F1850" s="2">
        <f>DATEVALUE("30-11-2018")</f>
        <v>43434</v>
      </c>
    </row>
    <row r="1851" spans="1:6" x14ac:dyDescent="0.25">
      <c r="A1851" s="1" t="s">
        <v>200</v>
      </c>
      <c r="B1851" s="1" t="s">
        <v>2387</v>
      </c>
      <c r="C1851" s="1" t="s">
        <v>15</v>
      </c>
      <c r="D1851" s="3">
        <f>VALUE("8337")</f>
        <v>8337</v>
      </c>
      <c r="E1851" s="2">
        <f>DATEVALUE("1-7-2018")</f>
        <v>43282</v>
      </c>
      <c r="F1851" s="2">
        <f>DATEVALUE("30-11-2018")</f>
        <v>43434</v>
      </c>
    </row>
    <row r="1852" spans="1:6" x14ac:dyDescent="0.25">
      <c r="A1852" s="1" t="s">
        <v>200</v>
      </c>
      <c r="B1852" s="1" t="s">
        <v>2387</v>
      </c>
      <c r="C1852" s="1" t="s">
        <v>17</v>
      </c>
      <c r="D1852" s="3">
        <f>VALUE("8337")</f>
        <v>8337</v>
      </c>
      <c r="E1852" s="2">
        <f>DATEVALUE("1-7-2018")</f>
        <v>43282</v>
      </c>
      <c r="F1852" s="2">
        <f>DATEVALUE("30-11-2018")</f>
        <v>43434</v>
      </c>
    </row>
    <row r="1853" spans="1:6" x14ac:dyDescent="0.25">
      <c r="A1853" s="1" t="s">
        <v>200</v>
      </c>
      <c r="B1853" s="1" t="s">
        <v>2387</v>
      </c>
      <c r="C1853" s="1" t="s">
        <v>146</v>
      </c>
      <c r="D1853" s="3">
        <f>VALUE("8337")</f>
        <v>8337</v>
      </c>
      <c r="E1853" s="2">
        <f>DATEVALUE("1-7-2018")</f>
        <v>43282</v>
      </c>
      <c r="F1853" s="2">
        <f>DATEVALUE("30-11-2018")</f>
        <v>43434</v>
      </c>
    </row>
    <row r="1854" spans="1:6" x14ac:dyDescent="0.25">
      <c r="A1854" s="1" t="s">
        <v>200</v>
      </c>
      <c r="B1854" s="1" t="s">
        <v>2387</v>
      </c>
      <c r="C1854" s="1" t="s">
        <v>67</v>
      </c>
      <c r="D1854" s="3">
        <f>VALUE("8337")</f>
        <v>8337</v>
      </c>
      <c r="E1854" s="2">
        <f>DATEVALUE("1-7-2018")</f>
        <v>43282</v>
      </c>
      <c r="F1854" s="2">
        <f>DATEVALUE("30-11-2018")</f>
        <v>43434</v>
      </c>
    </row>
    <row r="1855" spans="1:6" x14ac:dyDescent="0.25">
      <c r="A1855" s="1" t="s">
        <v>200</v>
      </c>
      <c r="B1855" s="1" t="s">
        <v>356</v>
      </c>
      <c r="C1855" s="1" t="s">
        <v>39</v>
      </c>
      <c r="D1855" s="3">
        <f t="shared" ref="D1855:D1871" si="266">VALUE("7519")</f>
        <v>7519</v>
      </c>
      <c r="E1855" s="2">
        <f t="shared" ref="E1855:E1871" si="267">DATEVALUE("1-6-2014")</f>
        <v>41791</v>
      </c>
      <c r="F1855" s="2">
        <f t="shared" ref="F1855:F1871" si="268">DATEVALUE("31-12-2022")</f>
        <v>44926</v>
      </c>
    </row>
    <row r="1856" spans="1:6" x14ac:dyDescent="0.25">
      <c r="A1856" s="1" t="s">
        <v>200</v>
      </c>
      <c r="B1856" s="1" t="s">
        <v>356</v>
      </c>
      <c r="C1856" s="1" t="s">
        <v>12</v>
      </c>
      <c r="D1856" s="3">
        <f t="shared" si="266"/>
        <v>7519</v>
      </c>
      <c r="E1856" s="2">
        <f t="shared" si="267"/>
        <v>41791</v>
      </c>
      <c r="F1856" s="2">
        <f t="shared" si="268"/>
        <v>44926</v>
      </c>
    </row>
    <row r="1857" spans="1:6" x14ac:dyDescent="0.25">
      <c r="A1857" s="1" t="s">
        <v>200</v>
      </c>
      <c r="B1857" s="1" t="s">
        <v>356</v>
      </c>
      <c r="C1857" s="1" t="s">
        <v>61</v>
      </c>
      <c r="D1857" s="3">
        <f t="shared" si="266"/>
        <v>7519</v>
      </c>
      <c r="E1857" s="2">
        <f t="shared" si="267"/>
        <v>41791</v>
      </c>
      <c r="F1857" s="2">
        <f t="shared" si="268"/>
        <v>44926</v>
      </c>
    </row>
    <row r="1858" spans="1:6" x14ac:dyDescent="0.25">
      <c r="A1858" s="1" t="s">
        <v>200</v>
      </c>
      <c r="B1858" s="1" t="s">
        <v>356</v>
      </c>
      <c r="C1858" s="1" t="s">
        <v>43</v>
      </c>
      <c r="D1858" s="3">
        <f t="shared" si="266"/>
        <v>7519</v>
      </c>
      <c r="E1858" s="2">
        <f t="shared" si="267"/>
        <v>41791</v>
      </c>
      <c r="F1858" s="2">
        <f t="shared" si="268"/>
        <v>44926</v>
      </c>
    </row>
    <row r="1859" spans="1:6" x14ac:dyDescent="0.25">
      <c r="A1859" s="1" t="s">
        <v>200</v>
      </c>
      <c r="B1859" s="1" t="s">
        <v>356</v>
      </c>
      <c r="C1859" s="1" t="s">
        <v>63</v>
      </c>
      <c r="D1859" s="3">
        <f t="shared" si="266"/>
        <v>7519</v>
      </c>
      <c r="E1859" s="2">
        <f t="shared" si="267"/>
        <v>41791</v>
      </c>
      <c r="F1859" s="2">
        <f t="shared" si="268"/>
        <v>44926</v>
      </c>
    </row>
    <row r="1860" spans="1:6" x14ac:dyDescent="0.25">
      <c r="A1860" s="1" t="s">
        <v>200</v>
      </c>
      <c r="B1860" s="1" t="s">
        <v>356</v>
      </c>
      <c r="C1860" s="1" t="s">
        <v>15</v>
      </c>
      <c r="D1860" s="3">
        <f t="shared" si="266"/>
        <v>7519</v>
      </c>
      <c r="E1860" s="2">
        <f t="shared" si="267"/>
        <v>41791</v>
      </c>
      <c r="F1860" s="2">
        <f t="shared" si="268"/>
        <v>44926</v>
      </c>
    </row>
    <row r="1861" spans="1:6" x14ac:dyDescent="0.25">
      <c r="A1861" s="1" t="s">
        <v>200</v>
      </c>
      <c r="B1861" s="1" t="s">
        <v>356</v>
      </c>
      <c r="C1861" s="1" t="s">
        <v>17</v>
      </c>
      <c r="D1861" s="3">
        <f t="shared" si="266"/>
        <v>7519</v>
      </c>
      <c r="E1861" s="2">
        <f t="shared" si="267"/>
        <v>41791</v>
      </c>
      <c r="F1861" s="2">
        <f t="shared" si="268"/>
        <v>44926</v>
      </c>
    </row>
    <row r="1862" spans="1:6" x14ac:dyDescent="0.25">
      <c r="A1862" s="1" t="s">
        <v>200</v>
      </c>
      <c r="B1862" s="1" t="s">
        <v>356</v>
      </c>
      <c r="C1862" s="1" t="s">
        <v>146</v>
      </c>
      <c r="D1862" s="3">
        <f t="shared" si="266"/>
        <v>7519</v>
      </c>
      <c r="E1862" s="2">
        <f t="shared" si="267"/>
        <v>41791</v>
      </c>
      <c r="F1862" s="2">
        <f t="shared" si="268"/>
        <v>44926</v>
      </c>
    </row>
    <row r="1863" spans="1:6" x14ac:dyDescent="0.25">
      <c r="A1863" s="1" t="s">
        <v>200</v>
      </c>
      <c r="B1863" s="1" t="s">
        <v>356</v>
      </c>
      <c r="C1863" s="1" t="s">
        <v>67</v>
      </c>
      <c r="D1863" s="3">
        <f t="shared" si="266"/>
        <v>7519</v>
      </c>
      <c r="E1863" s="2">
        <f t="shared" si="267"/>
        <v>41791</v>
      </c>
      <c r="F1863" s="2">
        <f t="shared" si="268"/>
        <v>44926</v>
      </c>
    </row>
    <row r="1864" spans="1:6" x14ac:dyDescent="0.25">
      <c r="A1864" s="1" t="s">
        <v>200</v>
      </c>
      <c r="B1864" s="1" t="s">
        <v>356</v>
      </c>
      <c r="C1864" s="1" t="s">
        <v>148</v>
      </c>
      <c r="D1864" s="3">
        <f t="shared" si="266"/>
        <v>7519</v>
      </c>
      <c r="E1864" s="2">
        <f t="shared" si="267"/>
        <v>41791</v>
      </c>
      <c r="F1864" s="2">
        <f t="shared" si="268"/>
        <v>44926</v>
      </c>
    </row>
    <row r="1865" spans="1:6" x14ac:dyDescent="0.25">
      <c r="A1865" s="1" t="s">
        <v>200</v>
      </c>
      <c r="B1865" s="1" t="s">
        <v>356</v>
      </c>
      <c r="C1865" s="1" t="s">
        <v>149</v>
      </c>
      <c r="D1865" s="3">
        <f t="shared" si="266"/>
        <v>7519</v>
      </c>
      <c r="E1865" s="2">
        <f t="shared" si="267"/>
        <v>41791</v>
      </c>
      <c r="F1865" s="2">
        <f t="shared" si="268"/>
        <v>44926</v>
      </c>
    </row>
    <row r="1866" spans="1:6" x14ac:dyDescent="0.25">
      <c r="A1866" s="1" t="s">
        <v>200</v>
      </c>
      <c r="B1866" s="1" t="s">
        <v>356</v>
      </c>
      <c r="C1866" s="1" t="s">
        <v>329</v>
      </c>
      <c r="D1866" s="3">
        <f t="shared" si="266"/>
        <v>7519</v>
      </c>
      <c r="E1866" s="2">
        <f t="shared" si="267"/>
        <v>41791</v>
      </c>
      <c r="F1866" s="2">
        <f t="shared" si="268"/>
        <v>44926</v>
      </c>
    </row>
    <row r="1867" spans="1:6" x14ac:dyDescent="0.25">
      <c r="A1867" s="1" t="s">
        <v>200</v>
      </c>
      <c r="B1867" s="1" t="s">
        <v>356</v>
      </c>
      <c r="C1867" s="1" t="s">
        <v>70</v>
      </c>
      <c r="D1867" s="3">
        <f t="shared" si="266"/>
        <v>7519</v>
      </c>
      <c r="E1867" s="2">
        <f t="shared" si="267"/>
        <v>41791</v>
      </c>
      <c r="F1867" s="2">
        <f t="shared" si="268"/>
        <v>44926</v>
      </c>
    </row>
    <row r="1868" spans="1:6" x14ac:dyDescent="0.25">
      <c r="A1868" s="1" t="s">
        <v>200</v>
      </c>
      <c r="B1868" s="1" t="s">
        <v>356</v>
      </c>
      <c r="C1868" s="1" t="s">
        <v>27</v>
      </c>
      <c r="D1868" s="3">
        <f t="shared" si="266"/>
        <v>7519</v>
      </c>
      <c r="E1868" s="2">
        <f t="shared" si="267"/>
        <v>41791</v>
      </c>
      <c r="F1868" s="2">
        <f t="shared" si="268"/>
        <v>44926</v>
      </c>
    </row>
    <row r="1869" spans="1:6" x14ac:dyDescent="0.25">
      <c r="A1869" s="1" t="s">
        <v>200</v>
      </c>
      <c r="B1869" s="1" t="s">
        <v>356</v>
      </c>
      <c r="C1869" s="1" t="s">
        <v>262</v>
      </c>
      <c r="D1869" s="3">
        <f t="shared" si="266"/>
        <v>7519</v>
      </c>
      <c r="E1869" s="2">
        <f t="shared" si="267"/>
        <v>41791</v>
      </c>
      <c r="F1869" s="2">
        <f t="shared" si="268"/>
        <v>44926</v>
      </c>
    </row>
    <row r="1870" spans="1:6" x14ac:dyDescent="0.25">
      <c r="A1870" s="1" t="s">
        <v>200</v>
      </c>
      <c r="B1870" s="1" t="s">
        <v>356</v>
      </c>
      <c r="C1870" s="1" t="s">
        <v>52</v>
      </c>
      <c r="D1870" s="3">
        <f t="shared" si="266"/>
        <v>7519</v>
      </c>
      <c r="E1870" s="2">
        <f t="shared" si="267"/>
        <v>41791</v>
      </c>
      <c r="F1870" s="2">
        <f t="shared" si="268"/>
        <v>44926</v>
      </c>
    </row>
    <row r="1871" spans="1:6" x14ac:dyDescent="0.25">
      <c r="A1871" s="1" t="s">
        <v>200</v>
      </c>
      <c r="B1871" s="1" t="s">
        <v>356</v>
      </c>
      <c r="C1871" s="1" t="s">
        <v>57</v>
      </c>
      <c r="D1871" s="3">
        <f t="shared" si="266"/>
        <v>7519</v>
      </c>
      <c r="E1871" s="2">
        <f t="shared" si="267"/>
        <v>41791</v>
      </c>
      <c r="F1871" s="2">
        <f t="shared" si="268"/>
        <v>44926</v>
      </c>
    </row>
    <row r="1872" spans="1:6" x14ac:dyDescent="0.25">
      <c r="A1872" s="1" t="s">
        <v>200</v>
      </c>
      <c r="B1872" s="1" t="s">
        <v>199</v>
      </c>
      <c r="C1872" s="1" t="s">
        <v>201</v>
      </c>
      <c r="D1872" s="3">
        <f t="shared" ref="D1872:D1888" si="269">VALUE("7102")</f>
        <v>7102</v>
      </c>
      <c r="E1872" s="2">
        <f t="shared" ref="E1872:E1888" si="270">DATEVALUE("1-3-2012")</f>
        <v>40969</v>
      </c>
      <c r="F1872" s="2">
        <f t="shared" ref="F1872:F1888" si="271">DATEVALUE("31-3-2025")</f>
        <v>45747</v>
      </c>
    </row>
    <row r="1873" spans="1:6" x14ac:dyDescent="0.25">
      <c r="A1873" s="1" t="s">
        <v>200</v>
      </c>
      <c r="B1873" s="1" t="s">
        <v>199</v>
      </c>
      <c r="C1873" s="1" t="s">
        <v>202</v>
      </c>
      <c r="D1873" s="3">
        <f t="shared" si="269"/>
        <v>7102</v>
      </c>
      <c r="E1873" s="2">
        <f t="shared" si="270"/>
        <v>40969</v>
      </c>
      <c r="F1873" s="2">
        <f t="shared" si="271"/>
        <v>45747</v>
      </c>
    </row>
    <row r="1874" spans="1:6" x14ac:dyDescent="0.25">
      <c r="A1874" s="1" t="s">
        <v>200</v>
      </c>
      <c r="B1874" s="1" t="s">
        <v>199</v>
      </c>
      <c r="C1874" s="1" t="s">
        <v>203</v>
      </c>
      <c r="D1874" s="3">
        <f t="shared" si="269"/>
        <v>7102</v>
      </c>
      <c r="E1874" s="2">
        <f t="shared" si="270"/>
        <v>40969</v>
      </c>
      <c r="F1874" s="2">
        <f t="shared" si="271"/>
        <v>45747</v>
      </c>
    </row>
    <row r="1875" spans="1:6" x14ac:dyDescent="0.25">
      <c r="A1875" s="1" t="s">
        <v>200</v>
      </c>
      <c r="B1875" s="1" t="s">
        <v>199</v>
      </c>
      <c r="C1875" s="1" t="s">
        <v>60</v>
      </c>
      <c r="D1875" s="3">
        <f t="shared" si="269"/>
        <v>7102</v>
      </c>
      <c r="E1875" s="2">
        <f t="shared" si="270"/>
        <v>40969</v>
      </c>
      <c r="F1875" s="2">
        <f t="shared" si="271"/>
        <v>45747</v>
      </c>
    </row>
    <row r="1876" spans="1:6" x14ac:dyDescent="0.25">
      <c r="A1876" s="1" t="s">
        <v>200</v>
      </c>
      <c r="B1876" s="1" t="s">
        <v>199</v>
      </c>
      <c r="C1876" s="1" t="s">
        <v>146</v>
      </c>
      <c r="D1876" s="3">
        <f t="shared" si="269"/>
        <v>7102</v>
      </c>
      <c r="E1876" s="2">
        <f t="shared" si="270"/>
        <v>40969</v>
      </c>
      <c r="F1876" s="2">
        <f t="shared" si="271"/>
        <v>45747</v>
      </c>
    </row>
    <row r="1877" spans="1:6" x14ac:dyDescent="0.25">
      <c r="A1877" s="1" t="s">
        <v>200</v>
      </c>
      <c r="B1877" s="1" t="s">
        <v>199</v>
      </c>
      <c r="C1877" s="1" t="s">
        <v>67</v>
      </c>
      <c r="D1877" s="3">
        <f t="shared" si="269"/>
        <v>7102</v>
      </c>
      <c r="E1877" s="2">
        <f t="shared" si="270"/>
        <v>40969</v>
      </c>
      <c r="F1877" s="2">
        <f t="shared" si="271"/>
        <v>45747</v>
      </c>
    </row>
    <row r="1878" spans="1:6" x14ac:dyDescent="0.25">
      <c r="A1878" s="1" t="s">
        <v>200</v>
      </c>
      <c r="B1878" s="1" t="s">
        <v>199</v>
      </c>
      <c r="C1878" s="1" t="s">
        <v>148</v>
      </c>
      <c r="D1878" s="3">
        <f t="shared" si="269"/>
        <v>7102</v>
      </c>
      <c r="E1878" s="2">
        <f t="shared" si="270"/>
        <v>40969</v>
      </c>
      <c r="F1878" s="2">
        <f t="shared" si="271"/>
        <v>45747</v>
      </c>
    </row>
    <row r="1879" spans="1:6" x14ac:dyDescent="0.25">
      <c r="A1879" s="1" t="s">
        <v>200</v>
      </c>
      <c r="B1879" s="1" t="s">
        <v>199</v>
      </c>
      <c r="C1879" s="1" t="s">
        <v>149</v>
      </c>
      <c r="D1879" s="3">
        <f t="shared" si="269"/>
        <v>7102</v>
      </c>
      <c r="E1879" s="2">
        <f t="shared" si="270"/>
        <v>40969</v>
      </c>
      <c r="F1879" s="2">
        <f t="shared" si="271"/>
        <v>45747</v>
      </c>
    </row>
    <row r="1880" spans="1:6" x14ac:dyDescent="0.25">
      <c r="A1880" s="1" t="s">
        <v>200</v>
      </c>
      <c r="B1880" s="1" t="s">
        <v>199</v>
      </c>
      <c r="C1880" s="1" t="s">
        <v>150</v>
      </c>
      <c r="D1880" s="3">
        <f t="shared" si="269"/>
        <v>7102</v>
      </c>
      <c r="E1880" s="2">
        <f t="shared" si="270"/>
        <v>40969</v>
      </c>
      <c r="F1880" s="2">
        <f t="shared" si="271"/>
        <v>45747</v>
      </c>
    </row>
    <row r="1881" spans="1:6" x14ac:dyDescent="0.25">
      <c r="A1881" s="1" t="s">
        <v>200</v>
      </c>
      <c r="B1881" s="1" t="s">
        <v>199</v>
      </c>
      <c r="C1881" s="1" t="s">
        <v>205</v>
      </c>
      <c r="D1881" s="3">
        <f t="shared" si="269"/>
        <v>7102</v>
      </c>
      <c r="E1881" s="2">
        <f t="shared" si="270"/>
        <v>40969</v>
      </c>
      <c r="F1881" s="2">
        <f t="shared" si="271"/>
        <v>45747</v>
      </c>
    </row>
    <row r="1882" spans="1:6" x14ac:dyDescent="0.25">
      <c r="A1882" s="1" t="s">
        <v>200</v>
      </c>
      <c r="B1882" s="1" t="s">
        <v>199</v>
      </c>
      <c r="C1882" s="1" t="s">
        <v>204</v>
      </c>
      <c r="D1882" s="3">
        <f t="shared" si="269"/>
        <v>7102</v>
      </c>
      <c r="E1882" s="2">
        <f t="shared" si="270"/>
        <v>40969</v>
      </c>
      <c r="F1882" s="2">
        <f t="shared" si="271"/>
        <v>45747</v>
      </c>
    </row>
    <row r="1883" spans="1:6" x14ac:dyDescent="0.25">
      <c r="A1883" s="1" t="s">
        <v>200</v>
      </c>
      <c r="B1883" s="1" t="s">
        <v>199</v>
      </c>
      <c r="C1883" s="1" t="s">
        <v>94</v>
      </c>
      <c r="D1883" s="3">
        <f t="shared" si="269"/>
        <v>7102</v>
      </c>
      <c r="E1883" s="2">
        <f t="shared" si="270"/>
        <v>40969</v>
      </c>
      <c r="F1883" s="2">
        <f t="shared" si="271"/>
        <v>45747</v>
      </c>
    </row>
    <row r="1884" spans="1:6" x14ac:dyDescent="0.25">
      <c r="A1884" s="1" t="s">
        <v>200</v>
      </c>
      <c r="B1884" s="1" t="s">
        <v>199</v>
      </c>
      <c r="C1884" s="1" t="s">
        <v>206</v>
      </c>
      <c r="D1884" s="3">
        <f t="shared" si="269"/>
        <v>7102</v>
      </c>
      <c r="E1884" s="2">
        <f t="shared" si="270"/>
        <v>40969</v>
      </c>
      <c r="F1884" s="2">
        <f t="shared" si="271"/>
        <v>45747</v>
      </c>
    </row>
    <row r="1885" spans="1:6" x14ac:dyDescent="0.25">
      <c r="A1885" s="1" t="s">
        <v>200</v>
      </c>
      <c r="B1885" s="1" t="s">
        <v>199</v>
      </c>
      <c r="C1885" s="1" t="s">
        <v>207</v>
      </c>
      <c r="D1885" s="3">
        <f t="shared" si="269"/>
        <v>7102</v>
      </c>
      <c r="E1885" s="2">
        <f t="shared" si="270"/>
        <v>40969</v>
      </c>
      <c r="F1885" s="2">
        <f t="shared" si="271"/>
        <v>45747</v>
      </c>
    </row>
    <row r="1886" spans="1:6" x14ac:dyDescent="0.25">
      <c r="A1886" s="1" t="s">
        <v>200</v>
      </c>
      <c r="B1886" s="1" t="s">
        <v>199</v>
      </c>
      <c r="C1886" s="1" t="s">
        <v>208</v>
      </c>
      <c r="D1886" s="3">
        <f t="shared" si="269"/>
        <v>7102</v>
      </c>
      <c r="E1886" s="2">
        <f t="shared" si="270"/>
        <v>40969</v>
      </c>
      <c r="F1886" s="2">
        <f t="shared" si="271"/>
        <v>45747</v>
      </c>
    </row>
    <row r="1887" spans="1:6" x14ac:dyDescent="0.25">
      <c r="A1887" s="1" t="s">
        <v>200</v>
      </c>
      <c r="B1887" s="1" t="s">
        <v>199</v>
      </c>
      <c r="C1887" s="1" t="s">
        <v>71</v>
      </c>
      <c r="D1887" s="3">
        <f t="shared" si="269"/>
        <v>7102</v>
      </c>
      <c r="E1887" s="2">
        <f t="shared" si="270"/>
        <v>40969</v>
      </c>
      <c r="F1887" s="2">
        <f t="shared" si="271"/>
        <v>45747</v>
      </c>
    </row>
    <row r="1888" spans="1:6" x14ac:dyDescent="0.25">
      <c r="A1888" s="1" t="s">
        <v>200</v>
      </c>
      <c r="B1888" s="1" t="s">
        <v>199</v>
      </c>
      <c r="C1888" s="1" t="s">
        <v>160</v>
      </c>
      <c r="D1888" s="3">
        <f t="shared" si="269"/>
        <v>7102</v>
      </c>
      <c r="E1888" s="2">
        <f t="shared" si="270"/>
        <v>40969</v>
      </c>
      <c r="F1888" s="2">
        <f t="shared" si="271"/>
        <v>45747</v>
      </c>
    </row>
    <row r="1889" spans="1:6" x14ac:dyDescent="0.25">
      <c r="A1889" s="1" t="s">
        <v>200</v>
      </c>
      <c r="B1889" s="1" t="s">
        <v>2118</v>
      </c>
      <c r="C1889" s="1" t="s">
        <v>8</v>
      </c>
      <c r="D1889" s="3">
        <f t="shared" ref="D1889:D1894" si="272">VALUE("7150")</f>
        <v>7150</v>
      </c>
      <c r="E1889" s="2">
        <f t="shared" ref="E1889:E1894" si="273">DATEVALUE("1-1-2011")</f>
        <v>40544</v>
      </c>
      <c r="F1889" s="2">
        <f t="shared" ref="F1889:F1894" si="274">DATEVALUE("30-9-2016")</f>
        <v>42643</v>
      </c>
    </row>
    <row r="1890" spans="1:6" x14ac:dyDescent="0.25">
      <c r="A1890" s="1" t="s">
        <v>200</v>
      </c>
      <c r="B1890" s="1" t="s">
        <v>2118</v>
      </c>
      <c r="C1890" s="1" t="s">
        <v>10</v>
      </c>
      <c r="D1890" s="3">
        <f t="shared" si="272"/>
        <v>7150</v>
      </c>
      <c r="E1890" s="2">
        <f t="shared" si="273"/>
        <v>40544</v>
      </c>
      <c r="F1890" s="2">
        <f t="shared" si="274"/>
        <v>42643</v>
      </c>
    </row>
    <row r="1891" spans="1:6" x14ac:dyDescent="0.25">
      <c r="A1891" s="1" t="s">
        <v>200</v>
      </c>
      <c r="B1891" s="1" t="s">
        <v>2118</v>
      </c>
      <c r="C1891" s="1" t="s">
        <v>11</v>
      </c>
      <c r="D1891" s="3">
        <f t="shared" si="272"/>
        <v>7150</v>
      </c>
      <c r="E1891" s="2">
        <f t="shared" si="273"/>
        <v>40544</v>
      </c>
      <c r="F1891" s="2">
        <f t="shared" si="274"/>
        <v>42643</v>
      </c>
    </row>
    <row r="1892" spans="1:6" x14ac:dyDescent="0.25">
      <c r="A1892" s="1" t="s">
        <v>200</v>
      </c>
      <c r="B1892" s="1" t="s">
        <v>2118</v>
      </c>
      <c r="C1892" s="1" t="s">
        <v>12</v>
      </c>
      <c r="D1892" s="3">
        <f t="shared" si="272"/>
        <v>7150</v>
      </c>
      <c r="E1892" s="2">
        <f t="shared" si="273"/>
        <v>40544</v>
      </c>
      <c r="F1892" s="2">
        <f t="shared" si="274"/>
        <v>42643</v>
      </c>
    </row>
    <row r="1893" spans="1:6" x14ac:dyDescent="0.25">
      <c r="A1893" s="1" t="s">
        <v>200</v>
      </c>
      <c r="B1893" s="1" t="s">
        <v>2118</v>
      </c>
      <c r="C1893" s="1" t="s">
        <v>1859</v>
      </c>
      <c r="D1893" s="3">
        <f t="shared" si="272"/>
        <v>7150</v>
      </c>
      <c r="E1893" s="2">
        <f t="shared" si="273"/>
        <v>40544</v>
      </c>
      <c r="F1893" s="2">
        <f t="shared" si="274"/>
        <v>42643</v>
      </c>
    </row>
    <row r="1894" spans="1:6" x14ac:dyDescent="0.25">
      <c r="A1894" s="1" t="s">
        <v>200</v>
      </c>
      <c r="B1894" s="1" t="s">
        <v>2118</v>
      </c>
      <c r="C1894" s="1" t="s">
        <v>32</v>
      </c>
      <c r="D1894" s="3">
        <f t="shared" si="272"/>
        <v>7150</v>
      </c>
      <c r="E1894" s="2">
        <f t="shared" si="273"/>
        <v>40544</v>
      </c>
      <c r="F1894" s="2">
        <f t="shared" si="274"/>
        <v>42643</v>
      </c>
    </row>
    <row r="1895" spans="1:6" x14ac:dyDescent="0.25">
      <c r="A1895" s="1" t="s">
        <v>200</v>
      </c>
      <c r="B1895" s="1" t="s">
        <v>2528</v>
      </c>
      <c r="C1895" s="1" t="s">
        <v>2149</v>
      </c>
      <c r="D1895" s="3">
        <f>VALUE("6079")</f>
        <v>6079</v>
      </c>
      <c r="E1895" s="2">
        <f>DATEVALUE("1-2-2008")</f>
        <v>39479</v>
      </c>
      <c r="F1895" s="2">
        <f>DATEVALUE("31-12-2012")</f>
        <v>41274</v>
      </c>
    </row>
    <row r="1896" spans="1:6" x14ac:dyDescent="0.25">
      <c r="A1896" s="1" t="s">
        <v>200</v>
      </c>
      <c r="B1896" s="1" t="s">
        <v>2528</v>
      </c>
      <c r="C1896" s="1" t="s">
        <v>113</v>
      </c>
      <c r="D1896" s="3">
        <f>VALUE("6079")</f>
        <v>6079</v>
      </c>
      <c r="E1896" s="2">
        <f>DATEVALUE("1-2-2008")</f>
        <v>39479</v>
      </c>
      <c r="F1896" s="2">
        <f>DATEVALUE("31-12-2012")</f>
        <v>41274</v>
      </c>
    </row>
    <row r="1897" spans="1:6" x14ac:dyDescent="0.25">
      <c r="A1897" s="1" t="s">
        <v>200</v>
      </c>
      <c r="B1897" s="1" t="s">
        <v>2528</v>
      </c>
      <c r="C1897" s="1" t="s">
        <v>1697</v>
      </c>
      <c r="D1897" s="3">
        <f>VALUE("6079")</f>
        <v>6079</v>
      </c>
      <c r="E1897" s="2">
        <f>DATEVALUE("1-2-2008")</f>
        <v>39479</v>
      </c>
      <c r="F1897" s="2">
        <f>DATEVALUE("31-12-2012")</f>
        <v>41274</v>
      </c>
    </row>
    <row r="1898" spans="1:6" x14ac:dyDescent="0.25">
      <c r="A1898" s="1" t="s">
        <v>200</v>
      </c>
      <c r="B1898" s="1" t="s">
        <v>2528</v>
      </c>
      <c r="C1898" s="1" t="s">
        <v>116</v>
      </c>
      <c r="D1898" s="3">
        <f>VALUE("6079")</f>
        <v>6079</v>
      </c>
      <c r="E1898" s="2">
        <f>DATEVALUE("1-2-2008")</f>
        <v>39479</v>
      </c>
      <c r="F1898" s="2">
        <f>DATEVALUE("31-12-2012")</f>
        <v>41274</v>
      </c>
    </row>
    <row r="1899" spans="1:6" x14ac:dyDescent="0.25">
      <c r="A1899" s="1" t="s">
        <v>200</v>
      </c>
      <c r="B1899" s="1" t="s">
        <v>2528</v>
      </c>
      <c r="C1899" s="1" t="s">
        <v>57</v>
      </c>
      <c r="D1899" s="3">
        <f>VALUE("6079")</f>
        <v>6079</v>
      </c>
      <c r="E1899" s="2">
        <f>DATEVALUE("1-2-2008")</f>
        <v>39479</v>
      </c>
      <c r="F1899" s="2">
        <f>DATEVALUE("31-12-2012")</f>
        <v>41274</v>
      </c>
    </row>
    <row r="1900" spans="1:6" x14ac:dyDescent="0.25">
      <c r="A1900" s="1" t="s">
        <v>183</v>
      </c>
      <c r="B1900" s="1" t="s">
        <v>2325</v>
      </c>
      <c r="C1900" s="1" t="s">
        <v>184</v>
      </c>
      <c r="D1900" s="3">
        <f>VALUE("8173")</f>
        <v>8173</v>
      </c>
      <c r="E1900" s="2">
        <f>DATEVALUE("1-12-2017")</f>
        <v>43070</v>
      </c>
      <c r="F1900" s="2">
        <f>DATEVALUE("31-1-2020")</f>
        <v>43861</v>
      </c>
    </row>
    <row r="1901" spans="1:6" x14ac:dyDescent="0.25">
      <c r="A1901" s="1" t="s">
        <v>183</v>
      </c>
      <c r="B1901" s="1" t="s">
        <v>2325</v>
      </c>
      <c r="C1901" s="1" t="s">
        <v>147</v>
      </c>
      <c r="D1901" s="3">
        <f>VALUE("8173")</f>
        <v>8173</v>
      </c>
      <c r="E1901" s="2">
        <f>DATEVALUE("1-12-2017")</f>
        <v>43070</v>
      </c>
      <c r="F1901" s="2">
        <f>DATEVALUE("31-1-2020")</f>
        <v>43861</v>
      </c>
    </row>
    <row r="1902" spans="1:6" x14ac:dyDescent="0.25">
      <c r="A1902" s="1" t="s">
        <v>183</v>
      </c>
      <c r="B1902" s="1" t="s">
        <v>2325</v>
      </c>
      <c r="C1902" s="1" t="s">
        <v>70</v>
      </c>
      <c r="D1902" s="3">
        <f>VALUE("8173")</f>
        <v>8173</v>
      </c>
      <c r="E1902" s="2">
        <f>DATEVALUE("1-12-2017")</f>
        <v>43070</v>
      </c>
      <c r="F1902" s="2">
        <f>DATEVALUE("31-1-2020")</f>
        <v>43861</v>
      </c>
    </row>
    <row r="1903" spans="1:6" x14ac:dyDescent="0.25">
      <c r="A1903" s="1" t="s">
        <v>183</v>
      </c>
      <c r="B1903" s="1" t="s">
        <v>2325</v>
      </c>
      <c r="C1903" s="1" t="s">
        <v>185</v>
      </c>
      <c r="D1903" s="3">
        <f>VALUE("8173")</f>
        <v>8173</v>
      </c>
      <c r="E1903" s="2">
        <f>DATEVALUE("1-12-2017")</f>
        <v>43070</v>
      </c>
      <c r="F1903" s="2">
        <f>DATEVALUE("31-1-2020")</f>
        <v>43861</v>
      </c>
    </row>
    <row r="1904" spans="1:6" x14ac:dyDescent="0.25">
      <c r="A1904" s="1" t="s">
        <v>183</v>
      </c>
      <c r="B1904" s="1" t="s">
        <v>182</v>
      </c>
      <c r="C1904" s="1" t="s">
        <v>184</v>
      </c>
      <c r="D1904" s="3">
        <f t="shared" ref="D1904:D1910" si="275">VALUE("7028")</f>
        <v>7028</v>
      </c>
      <c r="E1904" s="2">
        <f t="shared" ref="E1904:E1910" si="276">DATEVALUE("1-10-2010")</f>
        <v>40452</v>
      </c>
      <c r="F1904" s="2">
        <f t="shared" ref="F1904:F1910" si="277">DATEVALUE("31-12-2022")</f>
        <v>44926</v>
      </c>
    </row>
    <row r="1905" spans="1:6" x14ac:dyDescent="0.25">
      <c r="A1905" s="1" t="s">
        <v>183</v>
      </c>
      <c r="B1905" s="1" t="s">
        <v>182</v>
      </c>
      <c r="C1905" s="1" t="s">
        <v>141</v>
      </c>
      <c r="D1905" s="3">
        <f t="shared" si="275"/>
        <v>7028</v>
      </c>
      <c r="E1905" s="2">
        <f t="shared" si="276"/>
        <v>40452</v>
      </c>
      <c r="F1905" s="2">
        <f t="shared" si="277"/>
        <v>44926</v>
      </c>
    </row>
    <row r="1906" spans="1:6" x14ac:dyDescent="0.25">
      <c r="A1906" s="1" t="s">
        <v>183</v>
      </c>
      <c r="B1906" s="1" t="s">
        <v>182</v>
      </c>
      <c r="C1906" s="1" t="s">
        <v>17</v>
      </c>
      <c r="D1906" s="3">
        <f t="shared" si="275"/>
        <v>7028</v>
      </c>
      <c r="E1906" s="2">
        <f t="shared" si="276"/>
        <v>40452</v>
      </c>
      <c r="F1906" s="2">
        <f t="shared" si="277"/>
        <v>44926</v>
      </c>
    </row>
    <row r="1907" spans="1:6" x14ac:dyDescent="0.25">
      <c r="A1907" s="1" t="s">
        <v>183</v>
      </c>
      <c r="B1907" s="1" t="s">
        <v>182</v>
      </c>
      <c r="C1907" s="1" t="s">
        <v>22</v>
      </c>
      <c r="D1907" s="3">
        <f t="shared" si="275"/>
        <v>7028</v>
      </c>
      <c r="E1907" s="2">
        <f t="shared" si="276"/>
        <v>40452</v>
      </c>
      <c r="F1907" s="2">
        <f t="shared" si="277"/>
        <v>44926</v>
      </c>
    </row>
    <row r="1908" spans="1:6" x14ac:dyDescent="0.25">
      <c r="A1908" s="1" t="s">
        <v>183</v>
      </c>
      <c r="B1908" s="1" t="s">
        <v>182</v>
      </c>
      <c r="C1908" s="1" t="s">
        <v>92</v>
      </c>
      <c r="D1908" s="3">
        <f t="shared" si="275"/>
        <v>7028</v>
      </c>
      <c r="E1908" s="2">
        <f t="shared" si="276"/>
        <v>40452</v>
      </c>
      <c r="F1908" s="2">
        <f t="shared" si="277"/>
        <v>44926</v>
      </c>
    </row>
    <row r="1909" spans="1:6" x14ac:dyDescent="0.25">
      <c r="A1909" s="1" t="s">
        <v>183</v>
      </c>
      <c r="B1909" s="1" t="s">
        <v>182</v>
      </c>
      <c r="C1909" s="1" t="s">
        <v>70</v>
      </c>
      <c r="D1909" s="3">
        <f t="shared" si="275"/>
        <v>7028</v>
      </c>
      <c r="E1909" s="2">
        <f t="shared" si="276"/>
        <v>40452</v>
      </c>
      <c r="F1909" s="2">
        <f t="shared" si="277"/>
        <v>44926</v>
      </c>
    </row>
    <row r="1910" spans="1:6" x14ac:dyDescent="0.25">
      <c r="A1910" s="1" t="s">
        <v>183</v>
      </c>
      <c r="B1910" s="1" t="s">
        <v>182</v>
      </c>
      <c r="C1910" s="1" t="s">
        <v>185</v>
      </c>
      <c r="D1910" s="3">
        <f t="shared" si="275"/>
        <v>7028</v>
      </c>
      <c r="E1910" s="2">
        <f t="shared" si="276"/>
        <v>40452</v>
      </c>
      <c r="F1910" s="2">
        <f t="shared" si="277"/>
        <v>44926</v>
      </c>
    </row>
    <row r="1911" spans="1:6" x14ac:dyDescent="0.25">
      <c r="A1911" s="1" t="s">
        <v>431</v>
      </c>
      <c r="B1911" s="1" t="s">
        <v>1488</v>
      </c>
      <c r="C1911" s="1" t="s">
        <v>7</v>
      </c>
      <c r="D1911" s="3">
        <f t="shared" ref="D1911:D1917" si="278">VALUE("8675")</f>
        <v>8675</v>
      </c>
      <c r="E1911" s="2">
        <f t="shared" ref="E1911:E1925" si="279">DATEVALUE("1-8-2020")</f>
        <v>44044</v>
      </c>
      <c r="F1911" s="2">
        <f t="shared" ref="F1911:F1917" si="280">DATEVALUE("31-8-2021")</f>
        <v>44439</v>
      </c>
    </row>
    <row r="1912" spans="1:6" x14ac:dyDescent="0.25">
      <c r="A1912" s="1" t="s">
        <v>431</v>
      </c>
      <c r="B1912" s="1" t="s">
        <v>1488</v>
      </c>
      <c r="C1912" s="1" t="s">
        <v>39</v>
      </c>
      <c r="D1912" s="3">
        <f t="shared" si="278"/>
        <v>8675</v>
      </c>
      <c r="E1912" s="2">
        <f t="shared" si="279"/>
        <v>44044</v>
      </c>
      <c r="F1912" s="2">
        <f t="shared" si="280"/>
        <v>44439</v>
      </c>
    </row>
    <row r="1913" spans="1:6" x14ac:dyDescent="0.25">
      <c r="A1913" s="1" t="s">
        <v>431</v>
      </c>
      <c r="B1913" s="1" t="s">
        <v>1488</v>
      </c>
      <c r="C1913" s="1" t="s">
        <v>15</v>
      </c>
      <c r="D1913" s="3">
        <f t="shared" si="278"/>
        <v>8675</v>
      </c>
      <c r="E1913" s="2">
        <f t="shared" si="279"/>
        <v>44044</v>
      </c>
      <c r="F1913" s="2">
        <f t="shared" si="280"/>
        <v>44439</v>
      </c>
    </row>
    <row r="1914" spans="1:6" x14ac:dyDescent="0.25">
      <c r="A1914" s="1" t="s">
        <v>431</v>
      </c>
      <c r="B1914" s="1" t="s">
        <v>1488</v>
      </c>
      <c r="C1914" s="1" t="s">
        <v>17</v>
      </c>
      <c r="D1914" s="3">
        <f t="shared" si="278"/>
        <v>8675</v>
      </c>
      <c r="E1914" s="2">
        <f t="shared" si="279"/>
        <v>44044</v>
      </c>
      <c r="F1914" s="2">
        <f t="shared" si="280"/>
        <v>44439</v>
      </c>
    </row>
    <row r="1915" spans="1:6" x14ac:dyDescent="0.25">
      <c r="A1915" s="1" t="s">
        <v>431</v>
      </c>
      <c r="B1915" s="1" t="s">
        <v>1488</v>
      </c>
      <c r="C1915" s="1" t="s">
        <v>212</v>
      </c>
      <c r="D1915" s="3">
        <f t="shared" si="278"/>
        <v>8675</v>
      </c>
      <c r="E1915" s="2">
        <f t="shared" si="279"/>
        <v>44044</v>
      </c>
      <c r="F1915" s="2">
        <f t="shared" si="280"/>
        <v>44439</v>
      </c>
    </row>
    <row r="1916" spans="1:6" x14ac:dyDescent="0.25">
      <c r="A1916" s="1" t="s">
        <v>431</v>
      </c>
      <c r="B1916" s="1" t="s">
        <v>1488</v>
      </c>
      <c r="C1916" s="1" t="s">
        <v>52</v>
      </c>
      <c r="D1916" s="3">
        <f t="shared" si="278"/>
        <v>8675</v>
      </c>
      <c r="E1916" s="2">
        <f t="shared" si="279"/>
        <v>44044</v>
      </c>
      <c r="F1916" s="2">
        <f t="shared" si="280"/>
        <v>44439</v>
      </c>
    </row>
    <row r="1917" spans="1:6" x14ac:dyDescent="0.25">
      <c r="A1917" s="1" t="s">
        <v>431</v>
      </c>
      <c r="B1917" s="1" t="s">
        <v>1488</v>
      </c>
      <c r="C1917" s="1" t="s">
        <v>170</v>
      </c>
      <c r="D1917" s="3">
        <f t="shared" si="278"/>
        <v>8675</v>
      </c>
      <c r="E1917" s="2">
        <f t="shared" si="279"/>
        <v>44044</v>
      </c>
      <c r="F1917" s="2">
        <f t="shared" si="280"/>
        <v>44439</v>
      </c>
    </row>
    <row r="1918" spans="1:6" x14ac:dyDescent="0.25">
      <c r="A1918" s="1" t="s">
        <v>431</v>
      </c>
      <c r="B1918" s="1" t="s">
        <v>1657</v>
      </c>
      <c r="C1918" s="1" t="s">
        <v>62</v>
      </c>
      <c r="D1918" s="3">
        <f t="shared" ref="D1918:D1925" si="281">VALUE("8832")</f>
        <v>8832</v>
      </c>
      <c r="E1918" s="2">
        <f t="shared" si="279"/>
        <v>44044</v>
      </c>
      <c r="F1918" s="2">
        <f t="shared" ref="F1918:F1925" si="282">DATEVALUE("31-7-2021")</f>
        <v>44408</v>
      </c>
    </row>
    <row r="1919" spans="1:6" x14ac:dyDescent="0.25">
      <c r="A1919" s="1" t="s">
        <v>431</v>
      </c>
      <c r="B1919" s="1" t="s">
        <v>1657</v>
      </c>
      <c r="C1919" s="1" t="s">
        <v>63</v>
      </c>
      <c r="D1919" s="3">
        <f t="shared" si="281"/>
        <v>8832</v>
      </c>
      <c r="E1919" s="2">
        <f t="shared" si="279"/>
        <v>44044</v>
      </c>
      <c r="F1919" s="2">
        <f t="shared" si="282"/>
        <v>44408</v>
      </c>
    </row>
    <row r="1920" spans="1:6" x14ac:dyDescent="0.25">
      <c r="A1920" s="1" t="s">
        <v>431</v>
      </c>
      <c r="B1920" s="1" t="s">
        <v>1657</v>
      </c>
      <c r="C1920" s="1" t="s">
        <v>17</v>
      </c>
      <c r="D1920" s="3">
        <f t="shared" si="281"/>
        <v>8832</v>
      </c>
      <c r="E1920" s="2">
        <f t="shared" si="279"/>
        <v>44044</v>
      </c>
      <c r="F1920" s="2">
        <f t="shared" si="282"/>
        <v>44408</v>
      </c>
    </row>
    <row r="1921" spans="1:6" x14ac:dyDescent="0.25">
      <c r="A1921" s="1" t="s">
        <v>431</v>
      </c>
      <c r="B1921" s="1" t="s">
        <v>1657</v>
      </c>
      <c r="C1921" s="1" t="s">
        <v>67</v>
      </c>
      <c r="D1921" s="3">
        <f t="shared" si="281"/>
        <v>8832</v>
      </c>
      <c r="E1921" s="2">
        <f t="shared" si="279"/>
        <v>44044</v>
      </c>
      <c r="F1921" s="2">
        <f t="shared" si="282"/>
        <v>44408</v>
      </c>
    </row>
    <row r="1922" spans="1:6" x14ac:dyDescent="0.25">
      <c r="A1922" s="1" t="s">
        <v>431</v>
      </c>
      <c r="B1922" s="1" t="s">
        <v>1657</v>
      </c>
      <c r="C1922" s="1" t="s">
        <v>70</v>
      </c>
      <c r="D1922" s="3">
        <f t="shared" si="281"/>
        <v>8832</v>
      </c>
      <c r="E1922" s="2">
        <f t="shared" si="279"/>
        <v>44044</v>
      </c>
      <c r="F1922" s="2">
        <f t="shared" si="282"/>
        <v>44408</v>
      </c>
    </row>
    <row r="1923" spans="1:6" x14ac:dyDescent="0.25">
      <c r="A1923" s="1" t="s">
        <v>431</v>
      </c>
      <c r="B1923" s="1" t="s">
        <v>1657</v>
      </c>
      <c r="C1923" s="1" t="s">
        <v>72</v>
      </c>
      <c r="D1923" s="3">
        <f t="shared" si="281"/>
        <v>8832</v>
      </c>
      <c r="E1923" s="2">
        <f t="shared" si="279"/>
        <v>44044</v>
      </c>
      <c r="F1923" s="2">
        <f t="shared" si="282"/>
        <v>44408</v>
      </c>
    </row>
    <row r="1924" spans="1:6" x14ac:dyDescent="0.25">
      <c r="A1924" s="1" t="s">
        <v>431</v>
      </c>
      <c r="B1924" s="1" t="s">
        <v>1657</v>
      </c>
      <c r="C1924" s="1" t="s">
        <v>73</v>
      </c>
      <c r="D1924" s="3">
        <f t="shared" si="281"/>
        <v>8832</v>
      </c>
      <c r="E1924" s="2">
        <f t="shared" si="279"/>
        <v>44044</v>
      </c>
      <c r="F1924" s="2">
        <f t="shared" si="282"/>
        <v>44408</v>
      </c>
    </row>
    <row r="1925" spans="1:6" x14ac:dyDescent="0.25">
      <c r="A1925" s="1" t="s">
        <v>431</v>
      </c>
      <c r="B1925" s="1" t="s">
        <v>1657</v>
      </c>
      <c r="C1925" s="1" t="s">
        <v>52</v>
      </c>
      <c r="D1925" s="3">
        <f t="shared" si="281"/>
        <v>8832</v>
      </c>
      <c r="E1925" s="2">
        <f t="shared" si="279"/>
        <v>44044</v>
      </c>
      <c r="F1925" s="2">
        <f t="shared" si="282"/>
        <v>44408</v>
      </c>
    </row>
    <row r="1926" spans="1:6" x14ac:dyDescent="0.25">
      <c r="A1926" s="1" t="s">
        <v>431</v>
      </c>
      <c r="B1926" s="1" t="s">
        <v>1432</v>
      </c>
      <c r="C1926" s="1" t="s">
        <v>485</v>
      </c>
      <c r="D1926" s="3">
        <f t="shared" ref="D1926:D1937" si="283">VALUE("8647")</f>
        <v>8647</v>
      </c>
      <c r="E1926" s="2">
        <f t="shared" ref="E1926:E1943" si="284">DATEVALUE("1-12-2019")</f>
        <v>43800</v>
      </c>
      <c r="F1926" s="2">
        <f t="shared" ref="F1926:F1937" si="285">DATEVALUE("31-12-2025")</f>
        <v>46022</v>
      </c>
    </row>
    <row r="1927" spans="1:6" x14ac:dyDescent="0.25">
      <c r="A1927" s="1" t="s">
        <v>431</v>
      </c>
      <c r="B1927" s="1" t="s">
        <v>1432</v>
      </c>
      <c r="C1927" s="1" t="s">
        <v>14</v>
      </c>
      <c r="D1927" s="3">
        <f t="shared" si="283"/>
        <v>8647</v>
      </c>
      <c r="E1927" s="2">
        <f t="shared" si="284"/>
        <v>43800</v>
      </c>
      <c r="F1927" s="2">
        <f t="shared" si="285"/>
        <v>46022</v>
      </c>
    </row>
    <row r="1928" spans="1:6" x14ac:dyDescent="0.25">
      <c r="A1928" s="1" t="s">
        <v>431</v>
      </c>
      <c r="B1928" s="1" t="s">
        <v>1432</v>
      </c>
      <c r="C1928" s="1" t="s">
        <v>17</v>
      </c>
      <c r="D1928" s="3">
        <f t="shared" si="283"/>
        <v>8647</v>
      </c>
      <c r="E1928" s="2">
        <f t="shared" si="284"/>
        <v>43800</v>
      </c>
      <c r="F1928" s="2">
        <f t="shared" si="285"/>
        <v>46022</v>
      </c>
    </row>
    <row r="1929" spans="1:6" x14ac:dyDescent="0.25">
      <c r="A1929" s="1" t="s">
        <v>431</v>
      </c>
      <c r="B1929" s="1" t="s">
        <v>1432</v>
      </c>
      <c r="C1929" s="1" t="s">
        <v>386</v>
      </c>
      <c r="D1929" s="3">
        <f t="shared" si="283"/>
        <v>8647</v>
      </c>
      <c r="E1929" s="2">
        <f t="shared" si="284"/>
        <v>43800</v>
      </c>
      <c r="F1929" s="2">
        <f t="shared" si="285"/>
        <v>46022</v>
      </c>
    </row>
    <row r="1930" spans="1:6" x14ac:dyDescent="0.25">
      <c r="A1930" s="1" t="s">
        <v>431</v>
      </c>
      <c r="B1930" s="1" t="s">
        <v>1432</v>
      </c>
      <c r="C1930" s="1" t="s">
        <v>387</v>
      </c>
      <c r="D1930" s="3">
        <f t="shared" si="283"/>
        <v>8647</v>
      </c>
      <c r="E1930" s="2">
        <f t="shared" si="284"/>
        <v>43800</v>
      </c>
      <c r="F1930" s="2">
        <f t="shared" si="285"/>
        <v>46022</v>
      </c>
    </row>
    <row r="1931" spans="1:6" x14ac:dyDescent="0.25">
      <c r="A1931" s="1" t="s">
        <v>431</v>
      </c>
      <c r="B1931" s="1" t="s">
        <v>1432</v>
      </c>
      <c r="C1931" s="1" t="s">
        <v>388</v>
      </c>
      <c r="D1931" s="3">
        <f t="shared" si="283"/>
        <v>8647</v>
      </c>
      <c r="E1931" s="2">
        <f t="shared" si="284"/>
        <v>43800</v>
      </c>
      <c r="F1931" s="2">
        <f t="shared" si="285"/>
        <v>46022</v>
      </c>
    </row>
    <row r="1932" spans="1:6" x14ac:dyDescent="0.25">
      <c r="A1932" s="1" t="s">
        <v>431</v>
      </c>
      <c r="B1932" s="1" t="s">
        <v>1432</v>
      </c>
      <c r="C1932" s="1" t="s">
        <v>390</v>
      </c>
      <c r="D1932" s="3">
        <f t="shared" si="283"/>
        <v>8647</v>
      </c>
      <c r="E1932" s="2">
        <f t="shared" si="284"/>
        <v>43800</v>
      </c>
      <c r="F1932" s="2">
        <f t="shared" si="285"/>
        <v>46022</v>
      </c>
    </row>
    <row r="1933" spans="1:6" x14ac:dyDescent="0.25">
      <c r="A1933" s="1" t="s">
        <v>431</v>
      </c>
      <c r="B1933" s="1" t="s">
        <v>1432</v>
      </c>
      <c r="C1933" s="1" t="s">
        <v>92</v>
      </c>
      <c r="D1933" s="3">
        <f t="shared" si="283"/>
        <v>8647</v>
      </c>
      <c r="E1933" s="2">
        <f t="shared" si="284"/>
        <v>43800</v>
      </c>
      <c r="F1933" s="2">
        <f t="shared" si="285"/>
        <v>46022</v>
      </c>
    </row>
    <row r="1934" spans="1:6" x14ac:dyDescent="0.25">
      <c r="A1934" s="1" t="s">
        <v>431</v>
      </c>
      <c r="B1934" s="1" t="s">
        <v>1432</v>
      </c>
      <c r="C1934" s="1" t="s">
        <v>24</v>
      </c>
      <c r="D1934" s="3">
        <f t="shared" si="283"/>
        <v>8647</v>
      </c>
      <c r="E1934" s="2">
        <f t="shared" si="284"/>
        <v>43800</v>
      </c>
      <c r="F1934" s="2">
        <f t="shared" si="285"/>
        <v>46022</v>
      </c>
    </row>
    <row r="1935" spans="1:6" x14ac:dyDescent="0.25">
      <c r="A1935" s="1" t="s">
        <v>431</v>
      </c>
      <c r="B1935" s="1" t="s">
        <v>1432</v>
      </c>
      <c r="C1935" s="1" t="s">
        <v>457</v>
      </c>
      <c r="D1935" s="3">
        <f t="shared" si="283"/>
        <v>8647</v>
      </c>
      <c r="E1935" s="2">
        <f t="shared" si="284"/>
        <v>43800</v>
      </c>
      <c r="F1935" s="2">
        <f t="shared" si="285"/>
        <v>46022</v>
      </c>
    </row>
    <row r="1936" spans="1:6" x14ac:dyDescent="0.25">
      <c r="A1936" s="1" t="s">
        <v>431</v>
      </c>
      <c r="B1936" s="1" t="s">
        <v>1432</v>
      </c>
      <c r="C1936" s="1" t="s">
        <v>34</v>
      </c>
      <c r="D1936" s="3">
        <f t="shared" si="283"/>
        <v>8647</v>
      </c>
      <c r="E1936" s="2">
        <f t="shared" si="284"/>
        <v>43800</v>
      </c>
      <c r="F1936" s="2">
        <f t="shared" si="285"/>
        <v>46022</v>
      </c>
    </row>
    <row r="1937" spans="1:6" x14ac:dyDescent="0.25">
      <c r="A1937" s="1" t="s">
        <v>431</v>
      </c>
      <c r="B1937" s="1" t="s">
        <v>1432</v>
      </c>
      <c r="C1937" s="1" t="s">
        <v>170</v>
      </c>
      <c r="D1937" s="3">
        <f t="shared" si="283"/>
        <v>8647</v>
      </c>
      <c r="E1937" s="2">
        <f t="shared" si="284"/>
        <v>43800</v>
      </c>
      <c r="F1937" s="2">
        <f t="shared" si="285"/>
        <v>46022</v>
      </c>
    </row>
    <row r="1938" spans="1:6" x14ac:dyDescent="0.25">
      <c r="A1938" s="1" t="s">
        <v>431</v>
      </c>
      <c r="B1938" s="1" t="s">
        <v>1437</v>
      </c>
      <c r="C1938" s="1" t="s">
        <v>43</v>
      </c>
      <c r="D1938" s="3">
        <f t="shared" ref="D1938:D1943" si="286">VALUE("8655")</f>
        <v>8655</v>
      </c>
      <c r="E1938" s="2">
        <f t="shared" si="284"/>
        <v>43800</v>
      </c>
      <c r="F1938" s="2">
        <f t="shared" ref="F1938:F1943" si="287">DATEVALUE("30-6-2021")</f>
        <v>44377</v>
      </c>
    </row>
    <row r="1939" spans="1:6" x14ac:dyDescent="0.25">
      <c r="A1939" s="1" t="s">
        <v>431</v>
      </c>
      <c r="B1939" s="1" t="s">
        <v>1437</v>
      </c>
      <c r="C1939" s="1" t="s">
        <v>346</v>
      </c>
      <c r="D1939" s="3">
        <f t="shared" si="286"/>
        <v>8655</v>
      </c>
      <c r="E1939" s="2">
        <f t="shared" si="284"/>
        <v>43800</v>
      </c>
      <c r="F1939" s="2">
        <f t="shared" si="287"/>
        <v>44377</v>
      </c>
    </row>
    <row r="1940" spans="1:6" x14ac:dyDescent="0.25">
      <c r="A1940" s="1" t="s">
        <v>431</v>
      </c>
      <c r="B1940" s="1" t="s">
        <v>1437</v>
      </c>
      <c r="C1940" s="1" t="s">
        <v>15</v>
      </c>
      <c r="D1940" s="3">
        <f t="shared" si="286"/>
        <v>8655</v>
      </c>
      <c r="E1940" s="2">
        <f t="shared" si="284"/>
        <v>43800</v>
      </c>
      <c r="F1940" s="2">
        <f t="shared" si="287"/>
        <v>44377</v>
      </c>
    </row>
    <row r="1941" spans="1:6" x14ac:dyDescent="0.25">
      <c r="A1941" s="1" t="s">
        <v>431</v>
      </c>
      <c r="B1941" s="1" t="s">
        <v>1437</v>
      </c>
      <c r="C1941" s="1" t="s">
        <v>17</v>
      </c>
      <c r="D1941" s="3">
        <f t="shared" si="286"/>
        <v>8655</v>
      </c>
      <c r="E1941" s="2">
        <f t="shared" si="284"/>
        <v>43800</v>
      </c>
      <c r="F1941" s="2">
        <f t="shared" si="287"/>
        <v>44377</v>
      </c>
    </row>
    <row r="1942" spans="1:6" x14ac:dyDescent="0.25">
      <c r="A1942" s="1" t="s">
        <v>431</v>
      </c>
      <c r="B1942" s="1" t="s">
        <v>1437</v>
      </c>
      <c r="C1942" s="1" t="s">
        <v>22</v>
      </c>
      <c r="D1942" s="3">
        <f t="shared" si="286"/>
        <v>8655</v>
      </c>
      <c r="E1942" s="2">
        <f t="shared" si="284"/>
        <v>43800</v>
      </c>
      <c r="F1942" s="2">
        <f t="shared" si="287"/>
        <v>44377</v>
      </c>
    </row>
    <row r="1943" spans="1:6" x14ac:dyDescent="0.25">
      <c r="A1943" s="1" t="s">
        <v>431</v>
      </c>
      <c r="B1943" s="1" t="s">
        <v>1437</v>
      </c>
      <c r="C1943" s="1" t="s">
        <v>52</v>
      </c>
      <c r="D1943" s="3">
        <f t="shared" si="286"/>
        <v>8655</v>
      </c>
      <c r="E1943" s="2">
        <f t="shared" si="284"/>
        <v>43800</v>
      </c>
      <c r="F1943" s="2">
        <f t="shared" si="287"/>
        <v>44377</v>
      </c>
    </row>
    <row r="1944" spans="1:6" x14ac:dyDescent="0.25">
      <c r="A1944" s="1" t="s">
        <v>431</v>
      </c>
      <c r="B1944" s="1" t="s">
        <v>1156</v>
      </c>
      <c r="C1944" s="1" t="s">
        <v>422</v>
      </c>
      <c r="D1944" s="3">
        <f>VALUE("8431")</f>
        <v>8431</v>
      </c>
      <c r="E1944" s="2">
        <f t="shared" ref="E1944:E1975" si="288">DATEVALUE("1-3-2019")</f>
        <v>43525</v>
      </c>
      <c r="F1944" s="2">
        <f>DATEVALUE("31-1-2021")</f>
        <v>44227</v>
      </c>
    </row>
    <row r="1945" spans="1:6" x14ac:dyDescent="0.25">
      <c r="A1945" s="1" t="s">
        <v>431</v>
      </c>
      <c r="B1945" s="1" t="s">
        <v>1156</v>
      </c>
      <c r="C1945" s="1" t="s">
        <v>72</v>
      </c>
      <c r="D1945" s="3">
        <f>VALUE("8431")</f>
        <v>8431</v>
      </c>
      <c r="E1945" s="2">
        <f t="shared" si="288"/>
        <v>43525</v>
      </c>
      <c r="F1945" s="2">
        <f>DATEVALUE("31-1-2021")</f>
        <v>44227</v>
      </c>
    </row>
    <row r="1946" spans="1:6" x14ac:dyDescent="0.25">
      <c r="A1946" s="1" t="s">
        <v>431</v>
      </c>
      <c r="B1946" s="1" t="s">
        <v>1156</v>
      </c>
      <c r="C1946" s="1" t="s">
        <v>73</v>
      </c>
      <c r="D1946" s="3">
        <f>VALUE("8431")</f>
        <v>8431</v>
      </c>
      <c r="E1946" s="2">
        <f t="shared" si="288"/>
        <v>43525</v>
      </c>
      <c r="F1946" s="2">
        <f>DATEVALUE("31-1-2021")</f>
        <v>44227</v>
      </c>
    </row>
    <row r="1947" spans="1:6" x14ac:dyDescent="0.25">
      <c r="A1947" s="1" t="s">
        <v>431</v>
      </c>
      <c r="B1947" s="1" t="s">
        <v>1156</v>
      </c>
      <c r="C1947" s="1" t="s">
        <v>52</v>
      </c>
      <c r="D1947" s="3">
        <f>VALUE("8431")</f>
        <v>8431</v>
      </c>
      <c r="E1947" s="2">
        <f t="shared" si="288"/>
        <v>43525</v>
      </c>
      <c r="F1947" s="2">
        <f>DATEVALUE("31-1-2021")</f>
        <v>44227</v>
      </c>
    </row>
    <row r="1948" spans="1:6" x14ac:dyDescent="0.25">
      <c r="A1948" s="1" t="s">
        <v>431</v>
      </c>
      <c r="B1948" s="1" t="s">
        <v>1184</v>
      </c>
      <c r="C1948" s="1" t="s">
        <v>1187</v>
      </c>
      <c r="D1948" s="3">
        <f t="shared" ref="D1948:D1991" si="289">VALUE("8455")</f>
        <v>8455</v>
      </c>
      <c r="E1948" s="2">
        <f t="shared" si="288"/>
        <v>43525</v>
      </c>
      <c r="F1948" s="2">
        <f t="shared" ref="F1948:F1991" si="290">DATEVALUE("28-2-2022")</f>
        <v>44620</v>
      </c>
    </row>
    <row r="1949" spans="1:6" x14ac:dyDescent="0.25">
      <c r="A1949" s="1" t="s">
        <v>431</v>
      </c>
      <c r="B1949" s="1" t="s">
        <v>1184</v>
      </c>
      <c r="C1949" s="1" t="s">
        <v>1185</v>
      </c>
      <c r="D1949" s="3">
        <f t="shared" si="289"/>
        <v>8455</v>
      </c>
      <c r="E1949" s="2">
        <f t="shared" si="288"/>
        <v>43525</v>
      </c>
      <c r="F1949" s="2">
        <f t="shared" si="290"/>
        <v>44620</v>
      </c>
    </row>
    <row r="1950" spans="1:6" x14ac:dyDescent="0.25">
      <c r="A1950" s="1" t="s">
        <v>431</v>
      </c>
      <c r="B1950" s="1" t="s">
        <v>1184</v>
      </c>
      <c r="C1950" s="1" t="s">
        <v>7</v>
      </c>
      <c r="D1950" s="3">
        <f t="shared" si="289"/>
        <v>8455</v>
      </c>
      <c r="E1950" s="2">
        <f t="shared" si="288"/>
        <v>43525</v>
      </c>
      <c r="F1950" s="2">
        <f t="shared" si="290"/>
        <v>44620</v>
      </c>
    </row>
    <row r="1951" spans="1:6" x14ac:dyDescent="0.25">
      <c r="A1951" s="1" t="s">
        <v>431</v>
      </c>
      <c r="B1951" s="1" t="s">
        <v>1184</v>
      </c>
      <c r="C1951" s="1" t="s">
        <v>80</v>
      </c>
      <c r="D1951" s="3">
        <f t="shared" si="289"/>
        <v>8455</v>
      </c>
      <c r="E1951" s="2">
        <f t="shared" si="288"/>
        <v>43525</v>
      </c>
      <c r="F1951" s="2">
        <f t="shared" si="290"/>
        <v>44620</v>
      </c>
    </row>
    <row r="1952" spans="1:6" x14ac:dyDescent="0.25">
      <c r="A1952" s="1" t="s">
        <v>431</v>
      </c>
      <c r="B1952" s="1" t="s">
        <v>1184</v>
      </c>
      <c r="C1952" s="1" t="s">
        <v>40</v>
      </c>
      <c r="D1952" s="3">
        <f t="shared" si="289"/>
        <v>8455</v>
      </c>
      <c r="E1952" s="2">
        <f t="shared" si="288"/>
        <v>43525</v>
      </c>
      <c r="F1952" s="2">
        <f t="shared" si="290"/>
        <v>44620</v>
      </c>
    </row>
    <row r="1953" spans="1:6" x14ac:dyDescent="0.25">
      <c r="A1953" s="1" t="s">
        <v>431</v>
      </c>
      <c r="B1953" s="1" t="s">
        <v>1184</v>
      </c>
      <c r="C1953" s="1" t="s">
        <v>41</v>
      </c>
      <c r="D1953" s="3">
        <f t="shared" si="289"/>
        <v>8455</v>
      </c>
      <c r="E1953" s="2">
        <f t="shared" si="288"/>
        <v>43525</v>
      </c>
      <c r="F1953" s="2">
        <f t="shared" si="290"/>
        <v>44620</v>
      </c>
    </row>
    <row r="1954" spans="1:6" x14ac:dyDescent="0.25">
      <c r="A1954" s="1" t="s">
        <v>431</v>
      </c>
      <c r="B1954" s="1" t="s">
        <v>1184</v>
      </c>
      <c r="C1954" s="1" t="s">
        <v>8</v>
      </c>
      <c r="D1954" s="3">
        <f t="shared" si="289"/>
        <v>8455</v>
      </c>
      <c r="E1954" s="2">
        <f t="shared" si="288"/>
        <v>43525</v>
      </c>
      <c r="F1954" s="2">
        <f t="shared" si="290"/>
        <v>44620</v>
      </c>
    </row>
    <row r="1955" spans="1:6" x14ac:dyDescent="0.25">
      <c r="A1955" s="1" t="s">
        <v>431</v>
      </c>
      <c r="B1955" s="1" t="s">
        <v>1184</v>
      </c>
      <c r="C1955" s="1" t="s">
        <v>10</v>
      </c>
      <c r="D1955" s="3">
        <f t="shared" si="289"/>
        <v>8455</v>
      </c>
      <c r="E1955" s="2">
        <f t="shared" si="288"/>
        <v>43525</v>
      </c>
      <c r="F1955" s="2">
        <f t="shared" si="290"/>
        <v>44620</v>
      </c>
    </row>
    <row r="1956" spans="1:6" x14ac:dyDescent="0.25">
      <c r="A1956" s="1" t="s">
        <v>431</v>
      </c>
      <c r="B1956" s="1" t="s">
        <v>1184</v>
      </c>
      <c r="C1956" s="1" t="s">
        <v>61</v>
      </c>
      <c r="D1956" s="3">
        <f t="shared" si="289"/>
        <v>8455</v>
      </c>
      <c r="E1956" s="2">
        <f t="shared" si="288"/>
        <v>43525</v>
      </c>
      <c r="F1956" s="2">
        <f t="shared" si="290"/>
        <v>44620</v>
      </c>
    </row>
    <row r="1957" spans="1:6" x14ac:dyDescent="0.25">
      <c r="A1957" s="1" t="s">
        <v>431</v>
      </c>
      <c r="B1957" s="1" t="s">
        <v>1184</v>
      </c>
      <c r="C1957" s="1" t="s">
        <v>83</v>
      </c>
      <c r="D1957" s="3">
        <f t="shared" si="289"/>
        <v>8455</v>
      </c>
      <c r="E1957" s="2">
        <f t="shared" si="288"/>
        <v>43525</v>
      </c>
      <c r="F1957" s="2">
        <f t="shared" si="290"/>
        <v>44620</v>
      </c>
    </row>
    <row r="1958" spans="1:6" x14ac:dyDescent="0.25">
      <c r="A1958" s="1" t="s">
        <v>431</v>
      </c>
      <c r="B1958" s="1" t="s">
        <v>1184</v>
      </c>
      <c r="C1958" s="1" t="s">
        <v>346</v>
      </c>
      <c r="D1958" s="3">
        <f t="shared" si="289"/>
        <v>8455</v>
      </c>
      <c r="E1958" s="2">
        <f t="shared" si="288"/>
        <v>43525</v>
      </c>
      <c r="F1958" s="2">
        <f t="shared" si="290"/>
        <v>44620</v>
      </c>
    </row>
    <row r="1959" spans="1:6" x14ac:dyDescent="0.25">
      <c r="A1959" s="1" t="s">
        <v>431</v>
      </c>
      <c r="B1959" s="1" t="s">
        <v>1184</v>
      </c>
      <c r="C1959" s="1" t="s">
        <v>14</v>
      </c>
      <c r="D1959" s="3">
        <f t="shared" si="289"/>
        <v>8455</v>
      </c>
      <c r="E1959" s="2">
        <f t="shared" si="288"/>
        <v>43525</v>
      </c>
      <c r="F1959" s="2">
        <f t="shared" si="290"/>
        <v>44620</v>
      </c>
    </row>
    <row r="1960" spans="1:6" x14ac:dyDescent="0.25">
      <c r="A1960" s="1" t="s">
        <v>431</v>
      </c>
      <c r="B1960" s="1" t="s">
        <v>1184</v>
      </c>
      <c r="C1960" s="1" t="s">
        <v>15</v>
      </c>
      <c r="D1960" s="3">
        <f t="shared" si="289"/>
        <v>8455</v>
      </c>
      <c r="E1960" s="2">
        <f t="shared" si="288"/>
        <v>43525</v>
      </c>
      <c r="F1960" s="2">
        <f t="shared" si="290"/>
        <v>44620</v>
      </c>
    </row>
    <row r="1961" spans="1:6" x14ac:dyDescent="0.25">
      <c r="A1961" s="1" t="s">
        <v>431</v>
      </c>
      <c r="B1961" s="1" t="s">
        <v>1184</v>
      </c>
      <c r="C1961" s="1" t="s">
        <v>17</v>
      </c>
      <c r="D1961" s="3">
        <f t="shared" si="289"/>
        <v>8455</v>
      </c>
      <c r="E1961" s="2">
        <f t="shared" si="288"/>
        <v>43525</v>
      </c>
      <c r="F1961" s="2">
        <f t="shared" si="290"/>
        <v>44620</v>
      </c>
    </row>
    <row r="1962" spans="1:6" x14ac:dyDescent="0.25">
      <c r="A1962" s="1" t="s">
        <v>431</v>
      </c>
      <c r="B1962" s="1" t="s">
        <v>1184</v>
      </c>
      <c r="C1962" s="1" t="s">
        <v>19</v>
      </c>
      <c r="D1962" s="3">
        <f t="shared" si="289"/>
        <v>8455</v>
      </c>
      <c r="E1962" s="2">
        <f t="shared" si="288"/>
        <v>43525</v>
      </c>
      <c r="F1962" s="2">
        <f t="shared" si="290"/>
        <v>44620</v>
      </c>
    </row>
    <row r="1963" spans="1:6" x14ac:dyDescent="0.25">
      <c r="A1963" s="1" t="s">
        <v>431</v>
      </c>
      <c r="B1963" s="1" t="s">
        <v>1184</v>
      </c>
      <c r="C1963" s="1" t="s">
        <v>193</v>
      </c>
      <c r="D1963" s="3">
        <f t="shared" si="289"/>
        <v>8455</v>
      </c>
      <c r="E1963" s="2">
        <f t="shared" si="288"/>
        <v>43525</v>
      </c>
      <c r="F1963" s="2">
        <f t="shared" si="290"/>
        <v>44620</v>
      </c>
    </row>
    <row r="1964" spans="1:6" x14ac:dyDescent="0.25">
      <c r="A1964" s="1" t="s">
        <v>431</v>
      </c>
      <c r="B1964" s="1" t="s">
        <v>1184</v>
      </c>
      <c r="C1964" s="1" t="s">
        <v>20</v>
      </c>
      <c r="D1964" s="3">
        <f t="shared" si="289"/>
        <v>8455</v>
      </c>
      <c r="E1964" s="2">
        <f t="shared" si="288"/>
        <v>43525</v>
      </c>
      <c r="F1964" s="2">
        <f t="shared" si="290"/>
        <v>44620</v>
      </c>
    </row>
    <row r="1965" spans="1:6" x14ac:dyDescent="0.25">
      <c r="A1965" s="1" t="s">
        <v>431</v>
      </c>
      <c r="B1965" s="1" t="s">
        <v>1184</v>
      </c>
      <c r="C1965" s="1" t="s">
        <v>1186</v>
      </c>
      <c r="D1965" s="3">
        <f t="shared" si="289"/>
        <v>8455</v>
      </c>
      <c r="E1965" s="2">
        <f t="shared" si="288"/>
        <v>43525</v>
      </c>
      <c r="F1965" s="2">
        <f t="shared" si="290"/>
        <v>44620</v>
      </c>
    </row>
    <row r="1966" spans="1:6" x14ac:dyDescent="0.25">
      <c r="A1966" s="1" t="s">
        <v>431</v>
      </c>
      <c r="B1966" s="1" t="s">
        <v>1184</v>
      </c>
      <c r="C1966" s="1" t="s">
        <v>22</v>
      </c>
      <c r="D1966" s="3">
        <f t="shared" si="289"/>
        <v>8455</v>
      </c>
      <c r="E1966" s="2">
        <f t="shared" si="288"/>
        <v>43525</v>
      </c>
      <c r="F1966" s="2">
        <f t="shared" si="290"/>
        <v>44620</v>
      </c>
    </row>
    <row r="1967" spans="1:6" x14ac:dyDescent="0.25">
      <c r="A1967" s="1" t="s">
        <v>431</v>
      </c>
      <c r="B1967" s="1" t="s">
        <v>1184</v>
      </c>
      <c r="C1967" s="1" t="s">
        <v>220</v>
      </c>
      <c r="D1967" s="3">
        <f t="shared" si="289"/>
        <v>8455</v>
      </c>
      <c r="E1967" s="2">
        <f t="shared" si="288"/>
        <v>43525</v>
      </c>
      <c r="F1967" s="2">
        <f t="shared" si="290"/>
        <v>44620</v>
      </c>
    </row>
    <row r="1968" spans="1:6" x14ac:dyDescent="0.25">
      <c r="A1968" s="1" t="s">
        <v>431</v>
      </c>
      <c r="B1968" s="1" t="s">
        <v>1184</v>
      </c>
      <c r="C1968" s="1" t="s">
        <v>221</v>
      </c>
      <c r="D1968" s="3">
        <f t="shared" si="289"/>
        <v>8455</v>
      </c>
      <c r="E1968" s="2">
        <f t="shared" si="288"/>
        <v>43525</v>
      </c>
      <c r="F1968" s="2">
        <f t="shared" si="290"/>
        <v>44620</v>
      </c>
    </row>
    <row r="1969" spans="1:6" x14ac:dyDescent="0.25">
      <c r="A1969" s="1" t="s">
        <v>431</v>
      </c>
      <c r="B1969" s="1" t="s">
        <v>1184</v>
      </c>
      <c r="C1969" s="1" t="s">
        <v>146</v>
      </c>
      <c r="D1969" s="3">
        <f t="shared" si="289"/>
        <v>8455</v>
      </c>
      <c r="E1969" s="2">
        <f t="shared" si="288"/>
        <v>43525</v>
      </c>
      <c r="F1969" s="2">
        <f t="shared" si="290"/>
        <v>44620</v>
      </c>
    </row>
    <row r="1970" spans="1:6" x14ac:dyDescent="0.25">
      <c r="A1970" s="1" t="s">
        <v>431</v>
      </c>
      <c r="B1970" s="1" t="s">
        <v>1184</v>
      </c>
      <c r="C1970" s="1" t="s">
        <v>67</v>
      </c>
      <c r="D1970" s="3">
        <f t="shared" si="289"/>
        <v>8455</v>
      </c>
      <c r="E1970" s="2">
        <f t="shared" si="288"/>
        <v>43525</v>
      </c>
      <c r="F1970" s="2">
        <f t="shared" si="290"/>
        <v>44620</v>
      </c>
    </row>
    <row r="1971" spans="1:6" x14ac:dyDescent="0.25">
      <c r="A1971" s="1" t="s">
        <v>431</v>
      </c>
      <c r="B1971" s="1" t="s">
        <v>1184</v>
      </c>
      <c r="C1971" s="1" t="s">
        <v>148</v>
      </c>
      <c r="D1971" s="3">
        <f t="shared" si="289"/>
        <v>8455</v>
      </c>
      <c r="E1971" s="2">
        <f t="shared" si="288"/>
        <v>43525</v>
      </c>
      <c r="F1971" s="2">
        <f t="shared" si="290"/>
        <v>44620</v>
      </c>
    </row>
    <row r="1972" spans="1:6" x14ac:dyDescent="0.25">
      <c r="A1972" s="1" t="s">
        <v>431</v>
      </c>
      <c r="B1972" s="1" t="s">
        <v>1184</v>
      </c>
      <c r="C1972" s="1" t="s">
        <v>149</v>
      </c>
      <c r="D1972" s="3">
        <f t="shared" si="289"/>
        <v>8455</v>
      </c>
      <c r="E1972" s="2">
        <f t="shared" si="288"/>
        <v>43525</v>
      </c>
      <c r="F1972" s="2">
        <f t="shared" si="290"/>
        <v>44620</v>
      </c>
    </row>
    <row r="1973" spans="1:6" x14ac:dyDescent="0.25">
      <c r="A1973" s="1" t="s">
        <v>431</v>
      </c>
      <c r="B1973" s="1" t="s">
        <v>1184</v>
      </c>
      <c r="C1973" s="1" t="s">
        <v>432</v>
      </c>
      <c r="D1973" s="3">
        <f t="shared" si="289"/>
        <v>8455</v>
      </c>
      <c r="E1973" s="2">
        <f t="shared" si="288"/>
        <v>43525</v>
      </c>
      <c r="F1973" s="2">
        <f t="shared" si="290"/>
        <v>44620</v>
      </c>
    </row>
    <row r="1974" spans="1:6" x14ac:dyDescent="0.25">
      <c r="A1974" s="1" t="s">
        <v>431</v>
      </c>
      <c r="B1974" s="1" t="s">
        <v>1184</v>
      </c>
      <c r="C1974" s="1" t="s">
        <v>222</v>
      </c>
      <c r="D1974" s="3">
        <f t="shared" si="289"/>
        <v>8455</v>
      </c>
      <c r="E1974" s="2">
        <f t="shared" si="288"/>
        <v>43525</v>
      </c>
      <c r="F1974" s="2">
        <f t="shared" si="290"/>
        <v>44620</v>
      </c>
    </row>
    <row r="1975" spans="1:6" x14ac:dyDescent="0.25">
      <c r="A1975" s="1" t="s">
        <v>431</v>
      </c>
      <c r="B1975" s="1" t="s">
        <v>1184</v>
      </c>
      <c r="C1975" s="1" t="s">
        <v>212</v>
      </c>
      <c r="D1975" s="3">
        <f t="shared" si="289"/>
        <v>8455</v>
      </c>
      <c r="E1975" s="2">
        <f t="shared" si="288"/>
        <v>43525</v>
      </c>
      <c r="F1975" s="2">
        <f t="shared" si="290"/>
        <v>44620</v>
      </c>
    </row>
    <row r="1976" spans="1:6" x14ac:dyDescent="0.25">
      <c r="A1976" s="1" t="s">
        <v>431</v>
      </c>
      <c r="B1976" s="1" t="s">
        <v>1184</v>
      </c>
      <c r="C1976" s="1" t="s">
        <v>70</v>
      </c>
      <c r="D1976" s="3">
        <f t="shared" si="289"/>
        <v>8455</v>
      </c>
      <c r="E1976" s="2">
        <f t="shared" ref="E1976:E2007" si="291">DATEVALUE("1-3-2019")</f>
        <v>43525</v>
      </c>
      <c r="F1976" s="2">
        <f t="shared" si="290"/>
        <v>44620</v>
      </c>
    </row>
    <row r="1977" spans="1:6" x14ac:dyDescent="0.25">
      <c r="A1977" s="1" t="s">
        <v>431</v>
      </c>
      <c r="B1977" s="1" t="s">
        <v>1184</v>
      </c>
      <c r="C1977" s="1" t="s">
        <v>72</v>
      </c>
      <c r="D1977" s="3">
        <f t="shared" si="289"/>
        <v>8455</v>
      </c>
      <c r="E1977" s="2">
        <f t="shared" si="291"/>
        <v>43525</v>
      </c>
      <c r="F1977" s="2">
        <f t="shared" si="290"/>
        <v>44620</v>
      </c>
    </row>
    <row r="1978" spans="1:6" x14ac:dyDescent="0.25">
      <c r="A1978" s="1" t="s">
        <v>431</v>
      </c>
      <c r="B1978" s="1" t="s">
        <v>1184</v>
      </c>
      <c r="C1978" s="1" t="s">
        <v>262</v>
      </c>
      <c r="D1978" s="3">
        <f t="shared" si="289"/>
        <v>8455</v>
      </c>
      <c r="E1978" s="2">
        <f t="shared" si="291"/>
        <v>43525</v>
      </c>
      <c r="F1978" s="2">
        <f t="shared" si="290"/>
        <v>44620</v>
      </c>
    </row>
    <row r="1979" spans="1:6" x14ac:dyDescent="0.25">
      <c r="A1979" s="1" t="s">
        <v>431</v>
      </c>
      <c r="B1979" s="1" t="s">
        <v>1184</v>
      </c>
      <c r="C1979" s="1" t="s">
        <v>228</v>
      </c>
      <c r="D1979" s="3">
        <f t="shared" si="289"/>
        <v>8455</v>
      </c>
      <c r="E1979" s="2">
        <f t="shared" si="291"/>
        <v>43525</v>
      </c>
      <c r="F1979" s="2">
        <f t="shared" si="290"/>
        <v>44620</v>
      </c>
    </row>
    <row r="1980" spans="1:6" x14ac:dyDescent="0.25">
      <c r="A1980" s="1" t="s">
        <v>431</v>
      </c>
      <c r="B1980" s="1" t="s">
        <v>1184</v>
      </c>
      <c r="C1980" s="1" t="s">
        <v>28</v>
      </c>
      <c r="D1980" s="3">
        <f t="shared" si="289"/>
        <v>8455</v>
      </c>
      <c r="E1980" s="2">
        <f t="shared" si="291"/>
        <v>43525</v>
      </c>
      <c r="F1980" s="2">
        <f t="shared" si="290"/>
        <v>44620</v>
      </c>
    </row>
    <row r="1981" spans="1:6" x14ac:dyDescent="0.25">
      <c r="A1981" s="1" t="s">
        <v>431</v>
      </c>
      <c r="B1981" s="1" t="s">
        <v>1184</v>
      </c>
      <c r="C1981" s="1" t="s">
        <v>29</v>
      </c>
      <c r="D1981" s="3">
        <f t="shared" si="289"/>
        <v>8455</v>
      </c>
      <c r="E1981" s="2">
        <f t="shared" si="291"/>
        <v>43525</v>
      </c>
      <c r="F1981" s="2">
        <f t="shared" si="290"/>
        <v>44620</v>
      </c>
    </row>
    <row r="1982" spans="1:6" x14ac:dyDescent="0.25">
      <c r="A1982" s="1" t="s">
        <v>431</v>
      </c>
      <c r="B1982" s="1" t="s">
        <v>1184</v>
      </c>
      <c r="C1982" s="1" t="s">
        <v>234</v>
      </c>
      <c r="D1982" s="3">
        <f t="shared" si="289"/>
        <v>8455</v>
      </c>
      <c r="E1982" s="2">
        <f t="shared" si="291"/>
        <v>43525</v>
      </c>
      <c r="F1982" s="2">
        <f t="shared" si="290"/>
        <v>44620</v>
      </c>
    </row>
    <row r="1983" spans="1:6" x14ac:dyDescent="0.25">
      <c r="A1983" s="1" t="s">
        <v>431</v>
      </c>
      <c r="B1983" s="1" t="s">
        <v>1184</v>
      </c>
      <c r="C1983" s="1" t="s">
        <v>30</v>
      </c>
      <c r="D1983" s="3">
        <f t="shared" si="289"/>
        <v>8455</v>
      </c>
      <c r="E1983" s="2">
        <f t="shared" si="291"/>
        <v>43525</v>
      </c>
      <c r="F1983" s="2">
        <f t="shared" si="290"/>
        <v>44620</v>
      </c>
    </row>
    <row r="1984" spans="1:6" x14ac:dyDescent="0.25">
      <c r="A1984" s="1" t="s">
        <v>431</v>
      </c>
      <c r="B1984" s="1" t="s">
        <v>1184</v>
      </c>
      <c r="C1984" s="1" t="s">
        <v>238</v>
      </c>
      <c r="D1984" s="3">
        <f t="shared" si="289"/>
        <v>8455</v>
      </c>
      <c r="E1984" s="2">
        <f t="shared" si="291"/>
        <v>43525</v>
      </c>
      <c r="F1984" s="2">
        <f t="shared" si="290"/>
        <v>44620</v>
      </c>
    </row>
    <row r="1985" spans="1:6" x14ac:dyDescent="0.25">
      <c r="A1985" s="1" t="s">
        <v>431</v>
      </c>
      <c r="B1985" s="1" t="s">
        <v>1184</v>
      </c>
      <c r="C1985" s="1" t="s">
        <v>52</v>
      </c>
      <c r="D1985" s="3">
        <f t="shared" si="289"/>
        <v>8455</v>
      </c>
      <c r="E1985" s="2">
        <f t="shared" si="291"/>
        <v>43525</v>
      </c>
      <c r="F1985" s="2">
        <f t="shared" si="290"/>
        <v>44620</v>
      </c>
    </row>
    <row r="1986" spans="1:6" x14ac:dyDescent="0.25">
      <c r="A1986" s="1" t="s">
        <v>431</v>
      </c>
      <c r="B1986" s="1" t="s">
        <v>1184</v>
      </c>
      <c r="C1986" s="1" t="s">
        <v>1060</v>
      </c>
      <c r="D1986" s="3">
        <f t="shared" si="289"/>
        <v>8455</v>
      </c>
      <c r="E1986" s="2">
        <f t="shared" si="291"/>
        <v>43525</v>
      </c>
      <c r="F1986" s="2">
        <f t="shared" si="290"/>
        <v>44620</v>
      </c>
    </row>
    <row r="1987" spans="1:6" x14ac:dyDescent="0.25">
      <c r="A1987" s="1" t="s">
        <v>431</v>
      </c>
      <c r="B1987" s="1" t="s">
        <v>1184</v>
      </c>
      <c r="C1987" s="1" t="s">
        <v>55</v>
      </c>
      <c r="D1987" s="3">
        <f t="shared" si="289"/>
        <v>8455</v>
      </c>
      <c r="E1987" s="2">
        <f t="shared" si="291"/>
        <v>43525</v>
      </c>
      <c r="F1987" s="2">
        <f t="shared" si="290"/>
        <v>44620</v>
      </c>
    </row>
    <row r="1988" spans="1:6" x14ac:dyDescent="0.25">
      <c r="A1988" s="1" t="s">
        <v>431</v>
      </c>
      <c r="B1988" s="1" t="s">
        <v>1184</v>
      </c>
      <c r="C1988" s="1" t="s">
        <v>334</v>
      </c>
      <c r="D1988" s="3">
        <f t="shared" si="289"/>
        <v>8455</v>
      </c>
      <c r="E1988" s="2">
        <f t="shared" si="291"/>
        <v>43525</v>
      </c>
      <c r="F1988" s="2">
        <f t="shared" si="290"/>
        <v>44620</v>
      </c>
    </row>
    <row r="1989" spans="1:6" x14ac:dyDescent="0.25">
      <c r="A1989" s="1" t="s">
        <v>431</v>
      </c>
      <c r="B1989" s="1" t="s">
        <v>1184</v>
      </c>
      <c r="C1989" s="1" t="s">
        <v>56</v>
      </c>
      <c r="D1989" s="3">
        <f t="shared" si="289"/>
        <v>8455</v>
      </c>
      <c r="E1989" s="2">
        <f t="shared" si="291"/>
        <v>43525</v>
      </c>
      <c r="F1989" s="2">
        <f t="shared" si="290"/>
        <v>44620</v>
      </c>
    </row>
    <row r="1990" spans="1:6" x14ac:dyDescent="0.25">
      <c r="A1990" s="1" t="s">
        <v>431</v>
      </c>
      <c r="B1990" s="1" t="s">
        <v>1184</v>
      </c>
      <c r="C1990" s="1" t="s">
        <v>116</v>
      </c>
      <c r="D1990" s="3">
        <f t="shared" si="289"/>
        <v>8455</v>
      </c>
      <c r="E1990" s="2">
        <f t="shared" si="291"/>
        <v>43525</v>
      </c>
      <c r="F1990" s="2">
        <f t="shared" si="290"/>
        <v>44620</v>
      </c>
    </row>
    <row r="1991" spans="1:6" x14ac:dyDescent="0.25">
      <c r="A1991" s="1" t="s">
        <v>431</v>
      </c>
      <c r="B1991" s="1" t="s">
        <v>1184</v>
      </c>
      <c r="C1991" s="1" t="s">
        <v>35</v>
      </c>
      <c r="D1991" s="3">
        <f t="shared" si="289"/>
        <v>8455</v>
      </c>
      <c r="E1991" s="2">
        <f t="shared" si="291"/>
        <v>43525</v>
      </c>
      <c r="F1991" s="2">
        <f t="shared" si="290"/>
        <v>44620</v>
      </c>
    </row>
    <row r="1992" spans="1:6" x14ac:dyDescent="0.25">
      <c r="A1992" s="1" t="s">
        <v>431</v>
      </c>
      <c r="B1992" s="1" t="s">
        <v>1193</v>
      </c>
      <c r="C1992" s="1" t="s">
        <v>8</v>
      </c>
      <c r="D1992" s="3">
        <f t="shared" ref="D1992:D2008" si="292">VALUE("8459")</f>
        <v>8459</v>
      </c>
      <c r="E1992" s="2">
        <f t="shared" si="291"/>
        <v>43525</v>
      </c>
      <c r="F1992" s="2">
        <f t="shared" ref="F1992:F2036" si="293">DATEVALUE("28-2-2021")</f>
        <v>44255</v>
      </c>
    </row>
    <row r="1993" spans="1:6" x14ac:dyDescent="0.25">
      <c r="A1993" s="1" t="s">
        <v>431</v>
      </c>
      <c r="B1993" s="1" t="s">
        <v>1193</v>
      </c>
      <c r="C1993" s="1" t="s">
        <v>85</v>
      </c>
      <c r="D1993" s="3">
        <f t="shared" si="292"/>
        <v>8459</v>
      </c>
      <c r="E1993" s="2">
        <f t="shared" si="291"/>
        <v>43525</v>
      </c>
      <c r="F1993" s="2">
        <f t="shared" si="293"/>
        <v>44255</v>
      </c>
    </row>
    <row r="1994" spans="1:6" x14ac:dyDescent="0.25">
      <c r="A1994" s="1" t="s">
        <v>431</v>
      </c>
      <c r="B1994" s="1" t="s">
        <v>1193</v>
      </c>
      <c r="C1994" s="1" t="s">
        <v>84</v>
      </c>
      <c r="D1994" s="3">
        <f t="shared" si="292"/>
        <v>8459</v>
      </c>
      <c r="E1994" s="2">
        <f t="shared" si="291"/>
        <v>43525</v>
      </c>
      <c r="F1994" s="2">
        <f t="shared" si="293"/>
        <v>44255</v>
      </c>
    </row>
    <row r="1995" spans="1:6" x14ac:dyDescent="0.25">
      <c r="A1995" s="1" t="s">
        <v>431</v>
      </c>
      <c r="B1995" s="1" t="s">
        <v>1193</v>
      </c>
      <c r="C1995" s="1" t="s">
        <v>14</v>
      </c>
      <c r="D1995" s="3">
        <f t="shared" si="292"/>
        <v>8459</v>
      </c>
      <c r="E1995" s="2">
        <f t="shared" si="291"/>
        <v>43525</v>
      </c>
      <c r="F1995" s="2">
        <f t="shared" si="293"/>
        <v>44255</v>
      </c>
    </row>
    <row r="1996" spans="1:6" x14ac:dyDescent="0.25">
      <c r="A1996" s="1" t="s">
        <v>431</v>
      </c>
      <c r="B1996" s="1" t="s">
        <v>1193</v>
      </c>
      <c r="C1996" s="1" t="s">
        <v>15</v>
      </c>
      <c r="D1996" s="3">
        <f t="shared" si="292"/>
        <v>8459</v>
      </c>
      <c r="E1996" s="2">
        <f t="shared" si="291"/>
        <v>43525</v>
      </c>
      <c r="F1996" s="2">
        <f t="shared" si="293"/>
        <v>44255</v>
      </c>
    </row>
    <row r="1997" spans="1:6" x14ac:dyDescent="0.25">
      <c r="A1997" s="1" t="s">
        <v>431</v>
      </c>
      <c r="B1997" s="1" t="s">
        <v>1193</v>
      </c>
      <c r="C1997" s="1" t="s">
        <v>89</v>
      </c>
      <c r="D1997" s="3">
        <f t="shared" si="292"/>
        <v>8459</v>
      </c>
      <c r="E1997" s="2">
        <f t="shared" si="291"/>
        <v>43525</v>
      </c>
      <c r="F1997" s="2">
        <f t="shared" si="293"/>
        <v>44255</v>
      </c>
    </row>
    <row r="1998" spans="1:6" x14ac:dyDescent="0.25">
      <c r="A1998" s="1" t="s">
        <v>431</v>
      </c>
      <c r="B1998" s="1" t="s">
        <v>1193</v>
      </c>
      <c r="C1998" s="1" t="s">
        <v>17</v>
      </c>
      <c r="D1998" s="3">
        <f t="shared" si="292"/>
        <v>8459</v>
      </c>
      <c r="E1998" s="2">
        <f t="shared" si="291"/>
        <v>43525</v>
      </c>
      <c r="F1998" s="2">
        <f t="shared" si="293"/>
        <v>44255</v>
      </c>
    </row>
    <row r="1999" spans="1:6" x14ac:dyDescent="0.25">
      <c r="A1999" s="1" t="s">
        <v>431</v>
      </c>
      <c r="B1999" s="1" t="s">
        <v>1193</v>
      </c>
      <c r="C1999" s="1" t="s">
        <v>67</v>
      </c>
      <c r="D1999" s="3">
        <f t="shared" si="292"/>
        <v>8459</v>
      </c>
      <c r="E1999" s="2">
        <f t="shared" si="291"/>
        <v>43525</v>
      </c>
      <c r="F1999" s="2">
        <f t="shared" si="293"/>
        <v>44255</v>
      </c>
    </row>
    <row r="2000" spans="1:6" x14ac:dyDescent="0.25">
      <c r="A2000" s="1" t="s">
        <v>431</v>
      </c>
      <c r="B2000" s="1" t="s">
        <v>1193</v>
      </c>
      <c r="C2000" s="1" t="s">
        <v>149</v>
      </c>
      <c r="D2000" s="3">
        <f t="shared" si="292"/>
        <v>8459</v>
      </c>
      <c r="E2000" s="2">
        <f t="shared" si="291"/>
        <v>43525</v>
      </c>
      <c r="F2000" s="2">
        <f t="shared" si="293"/>
        <v>44255</v>
      </c>
    </row>
    <row r="2001" spans="1:6" x14ac:dyDescent="0.25">
      <c r="A2001" s="1" t="s">
        <v>431</v>
      </c>
      <c r="B2001" s="1" t="s">
        <v>1193</v>
      </c>
      <c r="C2001" s="1" t="s">
        <v>92</v>
      </c>
      <c r="D2001" s="3">
        <f t="shared" si="292"/>
        <v>8459</v>
      </c>
      <c r="E2001" s="2">
        <f t="shared" si="291"/>
        <v>43525</v>
      </c>
      <c r="F2001" s="2">
        <f t="shared" si="293"/>
        <v>44255</v>
      </c>
    </row>
    <row r="2002" spans="1:6" x14ac:dyDescent="0.25">
      <c r="A2002" s="1" t="s">
        <v>431</v>
      </c>
      <c r="B2002" s="1" t="s">
        <v>1193</v>
      </c>
      <c r="C2002" s="1" t="s">
        <v>1041</v>
      </c>
      <c r="D2002" s="3">
        <f t="shared" si="292"/>
        <v>8459</v>
      </c>
      <c r="E2002" s="2">
        <f t="shared" si="291"/>
        <v>43525</v>
      </c>
      <c r="F2002" s="2">
        <f t="shared" si="293"/>
        <v>44255</v>
      </c>
    </row>
    <row r="2003" spans="1:6" x14ac:dyDescent="0.25">
      <c r="A2003" s="1" t="s">
        <v>431</v>
      </c>
      <c r="B2003" s="1" t="s">
        <v>1193</v>
      </c>
      <c r="C2003" s="1" t="s">
        <v>158</v>
      </c>
      <c r="D2003" s="3">
        <f t="shared" si="292"/>
        <v>8459</v>
      </c>
      <c r="E2003" s="2">
        <f t="shared" si="291"/>
        <v>43525</v>
      </c>
      <c r="F2003" s="2">
        <f t="shared" si="293"/>
        <v>44255</v>
      </c>
    </row>
    <row r="2004" spans="1:6" x14ac:dyDescent="0.25">
      <c r="A2004" s="1" t="s">
        <v>431</v>
      </c>
      <c r="B2004" s="1" t="s">
        <v>1193</v>
      </c>
      <c r="C2004" s="1" t="s">
        <v>73</v>
      </c>
      <c r="D2004" s="3">
        <f t="shared" si="292"/>
        <v>8459</v>
      </c>
      <c r="E2004" s="2">
        <f t="shared" si="291"/>
        <v>43525</v>
      </c>
      <c r="F2004" s="2">
        <f t="shared" si="293"/>
        <v>44255</v>
      </c>
    </row>
    <row r="2005" spans="1:6" x14ac:dyDescent="0.25">
      <c r="A2005" s="1" t="s">
        <v>431</v>
      </c>
      <c r="B2005" s="1" t="s">
        <v>1193</v>
      </c>
      <c r="C2005" s="1" t="s">
        <v>160</v>
      </c>
      <c r="D2005" s="3">
        <f t="shared" si="292"/>
        <v>8459</v>
      </c>
      <c r="E2005" s="2">
        <f t="shared" si="291"/>
        <v>43525</v>
      </c>
      <c r="F2005" s="2">
        <f t="shared" si="293"/>
        <v>44255</v>
      </c>
    </row>
    <row r="2006" spans="1:6" x14ac:dyDescent="0.25">
      <c r="A2006" s="1" t="s">
        <v>431</v>
      </c>
      <c r="B2006" s="1" t="s">
        <v>1193</v>
      </c>
      <c r="C2006" s="1" t="s">
        <v>448</v>
      </c>
      <c r="D2006" s="3">
        <f t="shared" si="292"/>
        <v>8459</v>
      </c>
      <c r="E2006" s="2">
        <f t="shared" si="291"/>
        <v>43525</v>
      </c>
      <c r="F2006" s="2">
        <f t="shared" si="293"/>
        <v>44255</v>
      </c>
    </row>
    <row r="2007" spans="1:6" x14ac:dyDescent="0.25">
      <c r="A2007" s="1" t="s">
        <v>431</v>
      </c>
      <c r="B2007" s="1" t="s">
        <v>1193</v>
      </c>
      <c r="C2007" s="1" t="s">
        <v>36</v>
      </c>
      <c r="D2007" s="3">
        <f t="shared" si="292"/>
        <v>8459</v>
      </c>
      <c r="E2007" s="2">
        <f t="shared" si="291"/>
        <v>43525</v>
      </c>
      <c r="F2007" s="2">
        <f t="shared" si="293"/>
        <v>44255</v>
      </c>
    </row>
    <row r="2008" spans="1:6" x14ac:dyDescent="0.25">
      <c r="A2008" s="1" t="s">
        <v>431</v>
      </c>
      <c r="B2008" s="1" t="s">
        <v>1193</v>
      </c>
      <c r="C2008" s="1" t="s">
        <v>170</v>
      </c>
      <c r="D2008" s="3">
        <f t="shared" si="292"/>
        <v>8459</v>
      </c>
      <c r="E2008" s="2">
        <f t="shared" ref="E2008:E2036" si="294">DATEVALUE("1-3-2019")</f>
        <v>43525</v>
      </c>
      <c r="F2008" s="2">
        <f t="shared" si="293"/>
        <v>44255</v>
      </c>
    </row>
    <row r="2009" spans="1:6" x14ac:dyDescent="0.25">
      <c r="A2009" s="1" t="s">
        <v>431</v>
      </c>
      <c r="B2009" s="1" t="s">
        <v>1211</v>
      </c>
      <c r="C2009" s="1" t="s">
        <v>1212</v>
      </c>
      <c r="D2009" s="3">
        <f t="shared" ref="D2009:D2036" si="295">VALUE("8478")</f>
        <v>8478</v>
      </c>
      <c r="E2009" s="2">
        <f t="shared" si="294"/>
        <v>43525</v>
      </c>
      <c r="F2009" s="2">
        <f t="shared" si="293"/>
        <v>44255</v>
      </c>
    </row>
    <row r="2010" spans="1:6" x14ac:dyDescent="0.25">
      <c r="A2010" s="1" t="s">
        <v>431</v>
      </c>
      <c r="B2010" s="1" t="s">
        <v>1211</v>
      </c>
      <c r="C2010" s="1" t="s">
        <v>1213</v>
      </c>
      <c r="D2010" s="3">
        <f t="shared" si="295"/>
        <v>8478</v>
      </c>
      <c r="E2010" s="2">
        <f t="shared" si="294"/>
        <v>43525</v>
      </c>
      <c r="F2010" s="2">
        <f t="shared" si="293"/>
        <v>44255</v>
      </c>
    </row>
    <row r="2011" spans="1:6" x14ac:dyDescent="0.25">
      <c r="A2011" s="1" t="s">
        <v>431</v>
      </c>
      <c r="B2011" s="1" t="s">
        <v>1211</v>
      </c>
      <c r="C2011" s="1" t="s">
        <v>1214</v>
      </c>
      <c r="D2011" s="3">
        <f t="shared" si="295"/>
        <v>8478</v>
      </c>
      <c r="E2011" s="2">
        <f t="shared" si="294"/>
        <v>43525</v>
      </c>
      <c r="F2011" s="2">
        <f t="shared" si="293"/>
        <v>44255</v>
      </c>
    </row>
    <row r="2012" spans="1:6" x14ac:dyDescent="0.25">
      <c r="A2012" s="1" t="s">
        <v>431</v>
      </c>
      <c r="B2012" s="1" t="s">
        <v>1211</v>
      </c>
      <c r="C2012" s="1" t="s">
        <v>138</v>
      </c>
      <c r="D2012" s="3">
        <f t="shared" si="295"/>
        <v>8478</v>
      </c>
      <c r="E2012" s="2">
        <f t="shared" si="294"/>
        <v>43525</v>
      </c>
      <c r="F2012" s="2">
        <f t="shared" si="293"/>
        <v>44255</v>
      </c>
    </row>
    <row r="2013" spans="1:6" x14ac:dyDescent="0.25">
      <c r="A2013" s="1" t="s">
        <v>431</v>
      </c>
      <c r="B2013" s="1" t="s">
        <v>1211</v>
      </c>
      <c r="C2013" s="1" t="s">
        <v>62</v>
      </c>
      <c r="D2013" s="3">
        <f t="shared" si="295"/>
        <v>8478</v>
      </c>
      <c r="E2013" s="2">
        <f t="shared" si="294"/>
        <v>43525</v>
      </c>
      <c r="F2013" s="2">
        <f t="shared" si="293"/>
        <v>44255</v>
      </c>
    </row>
    <row r="2014" spans="1:6" x14ac:dyDescent="0.25">
      <c r="A2014" s="1" t="s">
        <v>431</v>
      </c>
      <c r="B2014" s="1" t="s">
        <v>1211</v>
      </c>
      <c r="C2014" s="1" t="s">
        <v>63</v>
      </c>
      <c r="D2014" s="3">
        <f t="shared" si="295"/>
        <v>8478</v>
      </c>
      <c r="E2014" s="2">
        <f t="shared" si="294"/>
        <v>43525</v>
      </c>
      <c r="F2014" s="2">
        <f t="shared" si="293"/>
        <v>44255</v>
      </c>
    </row>
    <row r="2015" spans="1:6" x14ac:dyDescent="0.25">
      <c r="A2015" s="1" t="s">
        <v>431</v>
      </c>
      <c r="B2015" s="1" t="s">
        <v>1211</v>
      </c>
      <c r="C2015" s="1" t="s">
        <v>65</v>
      </c>
      <c r="D2015" s="3">
        <f t="shared" si="295"/>
        <v>8478</v>
      </c>
      <c r="E2015" s="2">
        <f t="shared" si="294"/>
        <v>43525</v>
      </c>
      <c r="F2015" s="2">
        <f t="shared" si="293"/>
        <v>44255</v>
      </c>
    </row>
    <row r="2016" spans="1:6" x14ac:dyDescent="0.25">
      <c r="A2016" s="1" t="s">
        <v>431</v>
      </c>
      <c r="B2016" s="1" t="s">
        <v>1211</v>
      </c>
      <c r="C2016" s="1" t="s">
        <v>14</v>
      </c>
      <c r="D2016" s="3">
        <f t="shared" si="295"/>
        <v>8478</v>
      </c>
      <c r="E2016" s="2">
        <f t="shared" si="294"/>
        <v>43525</v>
      </c>
      <c r="F2016" s="2">
        <f t="shared" si="293"/>
        <v>44255</v>
      </c>
    </row>
    <row r="2017" spans="1:6" x14ac:dyDescent="0.25">
      <c r="A2017" s="1" t="s">
        <v>431</v>
      </c>
      <c r="B2017" s="1" t="s">
        <v>1211</v>
      </c>
      <c r="C2017" s="1" t="s">
        <v>15</v>
      </c>
      <c r="D2017" s="3">
        <f t="shared" si="295"/>
        <v>8478</v>
      </c>
      <c r="E2017" s="2">
        <f t="shared" si="294"/>
        <v>43525</v>
      </c>
      <c r="F2017" s="2">
        <f t="shared" si="293"/>
        <v>44255</v>
      </c>
    </row>
    <row r="2018" spans="1:6" x14ac:dyDescent="0.25">
      <c r="A2018" s="1" t="s">
        <v>431</v>
      </c>
      <c r="B2018" s="1" t="s">
        <v>1211</v>
      </c>
      <c r="C2018" s="1" t="s">
        <v>89</v>
      </c>
      <c r="D2018" s="3">
        <f t="shared" si="295"/>
        <v>8478</v>
      </c>
      <c r="E2018" s="2">
        <f t="shared" si="294"/>
        <v>43525</v>
      </c>
      <c r="F2018" s="2">
        <f t="shared" si="293"/>
        <v>44255</v>
      </c>
    </row>
    <row r="2019" spans="1:6" x14ac:dyDescent="0.25">
      <c r="A2019" s="1" t="s">
        <v>431</v>
      </c>
      <c r="B2019" s="1" t="s">
        <v>1211</v>
      </c>
      <c r="C2019" s="1" t="s">
        <v>17</v>
      </c>
      <c r="D2019" s="3">
        <f t="shared" si="295"/>
        <v>8478</v>
      </c>
      <c r="E2019" s="2">
        <f t="shared" si="294"/>
        <v>43525</v>
      </c>
      <c r="F2019" s="2">
        <f t="shared" si="293"/>
        <v>44255</v>
      </c>
    </row>
    <row r="2020" spans="1:6" x14ac:dyDescent="0.25">
      <c r="A2020" s="1" t="s">
        <v>431</v>
      </c>
      <c r="B2020" s="1" t="s">
        <v>1211</v>
      </c>
      <c r="C2020" s="1" t="s">
        <v>328</v>
      </c>
      <c r="D2020" s="3">
        <f t="shared" si="295"/>
        <v>8478</v>
      </c>
      <c r="E2020" s="2">
        <f t="shared" si="294"/>
        <v>43525</v>
      </c>
      <c r="F2020" s="2">
        <f t="shared" si="293"/>
        <v>44255</v>
      </c>
    </row>
    <row r="2021" spans="1:6" x14ac:dyDescent="0.25">
      <c r="A2021" s="1" t="s">
        <v>431</v>
      </c>
      <c r="B2021" s="1" t="s">
        <v>1211</v>
      </c>
      <c r="C2021" s="1" t="s">
        <v>22</v>
      </c>
      <c r="D2021" s="3">
        <f t="shared" si="295"/>
        <v>8478</v>
      </c>
      <c r="E2021" s="2">
        <f t="shared" si="294"/>
        <v>43525</v>
      </c>
      <c r="F2021" s="2">
        <f t="shared" si="293"/>
        <v>44255</v>
      </c>
    </row>
    <row r="2022" spans="1:6" x14ac:dyDescent="0.25">
      <c r="A2022" s="1" t="s">
        <v>431</v>
      </c>
      <c r="B2022" s="1" t="s">
        <v>1211</v>
      </c>
      <c r="C2022" s="1" t="s">
        <v>146</v>
      </c>
      <c r="D2022" s="3">
        <f t="shared" si="295"/>
        <v>8478</v>
      </c>
      <c r="E2022" s="2">
        <f t="shared" si="294"/>
        <v>43525</v>
      </c>
      <c r="F2022" s="2">
        <f t="shared" si="293"/>
        <v>44255</v>
      </c>
    </row>
    <row r="2023" spans="1:6" x14ac:dyDescent="0.25">
      <c r="A2023" s="1" t="s">
        <v>431</v>
      </c>
      <c r="B2023" s="1" t="s">
        <v>1211</v>
      </c>
      <c r="C2023" s="1" t="s">
        <v>67</v>
      </c>
      <c r="D2023" s="3">
        <f t="shared" si="295"/>
        <v>8478</v>
      </c>
      <c r="E2023" s="2">
        <f t="shared" si="294"/>
        <v>43525</v>
      </c>
      <c r="F2023" s="2">
        <f t="shared" si="293"/>
        <v>44255</v>
      </c>
    </row>
    <row r="2024" spans="1:6" x14ac:dyDescent="0.25">
      <c r="A2024" s="1" t="s">
        <v>431</v>
      </c>
      <c r="B2024" s="1" t="s">
        <v>1211</v>
      </c>
      <c r="C2024" s="1" t="s">
        <v>148</v>
      </c>
      <c r="D2024" s="3">
        <f t="shared" si="295"/>
        <v>8478</v>
      </c>
      <c r="E2024" s="2">
        <f t="shared" si="294"/>
        <v>43525</v>
      </c>
      <c r="F2024" s="2">
        <f t="shared" si="293"/>
        <v>44255</v>
      </c>
    </row>
    <row r="2025" spans="1:6" x14ac:dyDescent="0.25">
      <c r="A2025" s="1" t="s">
        <v>431</v>
      </c>
      <c r="B2025" s="1" t="s">
        <v>1211</v>
      </c>
      <c r="C2025" s="1" t="s">
        <v>149</v>
      </c>
      <c r="D2025" s="3">
        <f t="shared" si="295"/>
        <v>8478</v>
      </c>
      <c r="E2025" s="2">
        <f t="shared" si="294"/>
        <v>43525</v>
      </c>
      <c r="F2025" s="2">
        <f t="shared" si="293"/>
        <v>44255</v>
      </c>
    </row>
    <row r="2026" spans="1:6" x14ac:dyDescent="0.25">
      <c r="A2026" s="1" t="s">
        <v>431</v>
      </c>
      <c r="B2026" s="1" t="s">
        <v>1211</v>
      </c>
      <c r="C2026" s="1" t="s">
        <v>92</v>
      </c>
      <c r="D2026" s="3">
        <f t="shared" si="295"/>
        <v>8478</v>
      </c>
      <c r="E2026" s="2">
        <f t="shared" si="294"/>
        <v>43525</v>
      </c>
      <c r="F2026" s="2">
        <f t="shared" si="293"/>
        <v>44255</v>
      </c>
    </row>
    <row r="2027" spans="1:6" x14ac:dyDescent="0.25">
      <c r="A2027" s="1" t="s">
        <v>431</v>
      </c>
      <c r="B2027" s="1" t="s">
        <v>1211</v>
      </c>
      <c r="C2027" s="1" t="s">
        <v>24</v>
      </c>
      <c r="D2027" s="3">
        <f t="shared" si="295"/>
        <v>8478</v>
      </c>
      <c r="E2027" s="2">
        <f t="shared" si="294"/>
        <v>43525</v>
      </c>
      <c r="F2027" s="2">
        <f t="shared" si="293"/>
        <v>44255</v>
      </c>
    </row>
    <row r="2028" spans="1:6" x14ac:dyDescent="0.25">
      <c r="A2028" s="1" t="s">
        <v>431</v>
      </c>
      <c r="B2028" s="1" t="s">
        <v>1211</v>
      </c>
      <c r="C2028" s="1" t="s">
        <v>70</v>
      </c>
      <c r="D2028" s="3">
        <f t="shared" si="295"/>
        <v>8478</v>
      </c>
      <c r="E2028" s="2">
        <f t="shared" si="294"/>
        <v>43525</v>
      </c>
      <c r="F2028" s="2">
        <f t="shared" si="293"/>
        <v>44255</v>
      </c>
    </row>
    <row r="2029" spans="1:6" x14ac:dyDescent="0.25">
      <c r="A2029" s="1" t="s">
        <v>431</v>
      </c>
      <c r="B2029" s="1" t="s">
        <v>1211</v>
      </c>
      <c r="C2029" s="1" t="s">
        <v>26</v>
      </c>
      <c r="D2029" s="3">
        <f t="shared" si="295"/>
        <v>8478</v>
      </c>
      <c r="E2029" s="2">
        <f t="shared" si="294"/>
        <v>43525</v>
      </c>
      <c r="F2029" s="2">
        <f t="shared" si="293"/>
        <v>44255</v>
      </c>
    </row>
    <row r="2030" spans="1:6" x14ac:dyDescent="0.25">
      <c r="A2030" s="1" t="s">
        <v>431</v>
      </c>
      <c r="B2030" s="1" t="s">
        <v>1211</v>
      </c>
      <c r="C2030" s="1" t="s">
        <v>72</v>
      </c>
      <c r="D2030" s="3">
        <f t="shared" si="295"/>
        <v>8478</v>
      </c>
      <c r="E2030" s="2">
        <f t="shared" si="294"/>
        <v>43525</v>
      </c>
      <c r="F2030" s="2">
        <f t="shared" si="293"/>
        <v>44255</v>
      </c>
    </row>
    <row r="2031" spans="1:6" x14ac:dyDescent="0.25">
      <c r="A2031" s="1" t="s">
        <v>431</v>
      </c>
      <c r="B2031" s="1" t="s">
        <v>1211</v>
      </c>
      <c r="C2031" s="1" t="s">
        <v>73</v>
      </c>
      <c r="D2031" s="3">
        <f t="shared" si="295"/>
        <v>8478</v>
      </c>
      <c r="E2031" s="2">
        <f t="shared" si="294"/>
        <v>43525</v>
      </c>
      <c r="F2031" s="2">
        <f t="shared" si="293"/>
        <v>44255</v>
      </c>
    </row>
    <row r="2032" spans="1:6" x14ac:dyDescent="0.25">
      <c r="A2032" s="1" t="s">
        <v>431</v>
      </c>
      <c r="B2032" s="1" t="s">
        <v>1211</v>
      </c>
      <c r="C2032" s="1" t="s">
        <v>52</v>
      </c>
      <c r="D2032" s="3">
        <f t="shared" si="295"/>
        <v>8478</v>
      </c>
      <c r="E2032" s="2">
        <f t="shared" si="294"/>
        <v>43525</v>
      </c>
      <c r="F2032" s="2">
        <f t="shared" si="293"/>
        <v>44255</v>
      </c>
    </row>
    <row r="2033" spans="1:6" x14ac:dyDescent="0.25">
      <c r="A2033" s="1" t="s">
        <v>431</v>
      </c>
      <c r="B2033" s="1" t="s">
        <v>1211</v>
      </c>
      <c r="C2033" s="1" t="s">
        <v>423</v>
      </c>
      <c r="D2033" s="3">
        <f t="shared" si="295"/>
        <v>8478</v>
      </c>
      <c r="E2033" s="2">
        <f t="shared" si="294"/>
        <v>43525</v>
      </c>
      <c r="F2033" s="2">
        <f t="shared" si="293"/>
        <v>44255</v>
      </c>
    </row>
    <row r="2034" spans="1:6" x14ac:dyDescent="0.25">
      <c r="A2034" s="1" t="s">
        <v>431</v>
      </c>
      <c r="B2034" s="1" t="s">
        <v>1211</v>
      </c>
      <c r="C2034" s="1" t="s">
        <v>1215</v>
      </c>
      <c r="D2034" s="3">
        <f t="shared" si="295"/>
        <v>8478</v>
      </c>
      <c r="E2034" s="2">
        <f t="shared" si="294"/>
        <v>43525</v>
      </c>
      <c r="F2034" s="2">
        <f t="shared" si="293"/>
        <v>44255</v>
      </c>
    </row>
    <row r="2035" spans="1:6" x14ac:dyDescent="0.25">
      <c r="A2035" s="1" t="s">
        <v>431</v>
      </c>
      <c r="B2035" s="1" t="s">
        <v>1211</v>
      </c>
      <c r="C2035" s="1" t="s">
        <v>160</v>
      </c>
      <c r="D2035" s="3">
        <f t="shared" si="295"/>
        <v>8478</v>
      </c>
      <c r="E2035" s="2">
        <f t="shared" si="294"/>
        <v>43525</v>
      </c>
      <c r="F2035" s="2">
        <f t="shared" si="293"/>
        <v>44255</v>
      </c>
    </row>
    <row r="2036" spans="1:6" x14ac:dyDescent="0.25">
      <c r="A2036" s="1" t="s">
        <v>431</v>
      </c>
      <c r="B2036" s="1" t="s">
        <v>1211</v>
      </c>
      <c r="C2036" s="1" t="s">
        <v>34</v>
      </c>
      <c r="D2036" s="3">
        <f t="shared" si="295"/>
        <v>8478</v>
      </c>
      <c r="E2036" s="2">
        <f t="shared" si="294"/>
        <v>43525</v>
      </c>
      <c r="F2036" s="2">
        <f t="shared" si="293"/>
        <v>44255</v>
      </c>
    </row>
    <row r="2037" spans="1:6" x14ac:dyDescent="0.25">
      <c r="A2037" s="1" t="s">
        <v>431</v>
      </c>
      <c r="B2037" s="1" t="s">
        <v>1079</v>
      </c>
      <c r="C2037" s="1" t="s">
        <v>14</v>
      </c>
      <c r="D2037" s="3">
        <f t="shared" ref="D2037:D2050" si="296">VALUE("8366")</f>
        <v>8366</v>
      </c>
      <c r="E2037" s="2">
        <f t="shared" ref="E2037:E2050" si="297">DATEVALUE("1-2-2019")</f>
        <v>43497</v>
      </c>
      <c r="F2037" s="2">
        <f t="shared" ref="F2037:F2050" si="298">DATEVALUE("31-12-2020")</f>
        <v>44196</v>
      </c>
    </row>
    <row r="2038" spans="1:6" x14ac:dyDescent="0.25">
      <c r="A2038" s="1" t="s">
        <v>431</v>
      </c>
      <c r="B2038" s="1" t="s">
        <v>1079</v>
      </c>
      <c r="C2038" s="1" t="s">
        <v>16</v>
      </c>
      <c r="D2038" s="3">
        <f t="shared" si="296"/>
        <v>8366</v>
      </c>
      <c r="E2038" s="2">
        <f t="shared" si="297"/>
        <v>43497</v>
      </c>
      <c r="F2038" s="2">
        <f t="shared" si="298"/>
        <v>44196</v>
      </c>
    </row>
    <row r="2039" spans="1:6" x14ac:dyDescent="0.25">
      <c r="A2039" s="1" t="s">
        <v>431</v>
      </c>
      <c r="B2039" s="1" t="s">
        <v>1079</v>
      </c>
      <c r="C2039" s="1" t="s">
        <v>89</v>
      </c>
      <c r="D2039" s="3">
        <f t="shared" si="296"/>
        <v>8366</v>
      </c>
      <c r="E2039" s="2">
        <f t="shared" si="297"/>
        <v>43497</v>
      </c>
      <c r="F2039" s="2">
        <f t="shared" si="298"/>
        <v>44196</v>
      </c>
    </row>
    <row r="2040" spans="1:6" x14ac:dyDescent="0.25">
      <c r="A2040" s="1" t="s">
        <v>431</v>
      </c>
      <c r="B2040" s="1" t="s">
        <v>1079</v>
      </c>
      <c r="C2040" s="1" t="s">
        <v>17</v>
      </c>
      <c r="D2040" s="3">
        <f t="shared" si="296"/>
        <v>8366</v>
      </c>
      <c r="E2040" s="2">
        <f t="shared" si="297"/>
        <v>43497</v>
      </c>
      <c r="F2040" s="2">
        <f t="shared" si="298"/>
        <v>44196</v>
      </c>
    </row>
    <row r="2041" spans="1:6" x14ac:dyDescent="0.25">
      <c r="A2041" s="1" t="s">
        <v>431</v>
      </c>
      <c r="B2041" s="1" t="s">
        <v>1079</v>
      </c>
      <c r="C2041" s="1" t="s">
        <v>146</v>
      </c>
      <c r="D2041" s="3">
        <f t="shared" si="296"/>
        <v>8366</v>
      </c>
      <c r="E2041" s="2">
        <f t="shared" si="297"/>
        <v>43497</v>
      </c>
      <c r="F2041" s="2">
        <f t="shared" si="298"/>
        <v>44196</v>
      </c>
    </row>
    <row r="2042" spans="1:6" x14ac:dyDescent="0.25">
      <c r="A2042" s="1" t="s">
        <v>431</v>
      </c>
      <c r="B2042" s="1" t="s">
        <v>1079</v>
      </c>
      <c r="C2042" s="1" t="s">
        <v>67</v>
      </c>
      <c r="D2042" s="3">
        <f t="shared" si="296"/>
        <v>8366</v>
      </c>
      <c r="E2042" s="2">
        <f t="shared" si="297"/>
        <v>43497</v>
      </c>
      <c r="F2042" s="2">
        <f t="shared" si="298"/>
        <v>44196</v>
      </c>
    </row>
    <row r="2043" spans="1:6" x14ac:dyDescent="0.25">
      <c r="A2043" s="1" t="s">
        <v>431</v>
      </c>
      <c r="B2043" s="1" t="s">
        <v>1079</v>
      </c>
      <c r="C2043" s="1" t="s">
        <v>148</v>
      </c>
      <c r="D2043" s="3">
        <f t="shared" si="296"/>
        <v>8366</v>
      </c>
      <c r="E2043" s="2">
        <f t="shared" si="297"/>
        <v>43497</v>
      </c>
      <c r="F2043" s="2">
        <f t="shared" si="298"/>
        <v>44196</v>
      </c>
    </row>
    <row r="2044" spans="1:6" x14ac:dyDescent="0.25">
      <c r="A2044" s="1" t="s">
        <v>431</v>
      </c>
      <c r="B2044" s="1" t="s">
        <v>1079</v>
      </c>
      <c r="C2044" s="1" t="s">
        <v>149</v>
      </c>
      <c r="D2044" s="3">
        <f t="shared" si="296"/>
        <v>8366</v>
      </c>
      <c r="E2044" s="2">
        <f t="shared" si="297"/>
        <v>43497</v>
      </c>
      <c r="F2044" s="2">
        <f t="shared" si="298"/>
        <v>44196</v>
      </c>
    </row>
    <row r="2045" spans="1:6" x14ac:dyDescent="0.25">
      <c r="A2045" s="1" t="s">
        <v>431</v>
      </c>
      <c r="B2045" s="1" t="s">
        <v>1079</v>
      </c>
      <c r="C2045" s="1" t="s">
        <v>400</v>
      </c>
      <c r="D2045" s="3">
        <f t="shared" si="296"/>
        <v>8366</v>
      </c>
      <c r="E2045" s="2">
        <f t="shared" si="297"/>
        <v>43497</v>
      </c>
      <c r="F2045" s="2">
        <f t="shared" si="298"/>
        <v>44196</v>
      </c>
    </row>
    <row r="2046" spans="1:6" x14ac:dyDescent="0.25">
      <c r="A2046" s="1" t="s">
        <v>431</v>
      </c>
      <c r="B2046" s="1" t="s">
        <v>1079</v>
      </c>
      <c r="C2046" s="1" t="s">
        <v>1080</v>
      </c>
      <c r="D2046" s="3">
        <f t="shared" si="296"/>
        <v>8366</v>
      </c>
      <c r="E2046" s="2">
        <f t="shared" si="297"/>
        <v>43497</v>
      </c>
      <c r="F2046" s="2">
        <f t="shared" si="298"/>
        <v>44196</v>
      </c>
    </row>
    <row r="2047" spans="1:6" x14ac:dyDescent="0.25">
      <c r="A2047" s="1" t="s">
        <v>431</v>
      </c>
      <c r="B2047" s="1" t="s">
        <v>1079</v>
      </c>
      <c r="C2047" s="1" t="s">
        <v>158</v>
      </c>
      <c r="D2047" s="3">
        <f t="shared" si="296"/>
        <v>8366</v>
      </c>
      <c r="E2047" s="2">
        <f t="shared" si="297"/>
        <v>43497</v>
      </c>
      <c r="F2047" s="2">
        <f t="shared" si="298"/>
        <v>44196</v>
      </c>
    </row>
    <row r="2048" spans="1:6" x14ac:dyDescent="0.25">
      <c r="A2048" s="1" t="s">
        <v>431</v>
      </c>
      <c r="B2048" s="1" t="s">
        <v>1079</v>
      </c>
      <c r="C2048" s="1" t="s">
        <v>160</v>
      </c>
      <c r="D2048" s="3">
        <f t="shared" si="296"/>
        <v>8366</v>
      </c>
      <c r="E2048" s="2">
        <f t="shared" si="297"/>
        <v>43497</v>
      </c>
      <c r="F2048" s="2">
        <f t="shared" si="298"/>
        <v>44196</v>
      </c>
    </row>
    <row r="2049" spans="1:6" x14ac:dyDescent="0.25">
      <c r="A2049" s="1" t="s">
        <v>431</v>
      </c>
      <c r="B2049" s="1" t="s">
        <v>1079</v>
      </c>
      <c r="C2049" s="1" t="s">
        <v>448</v>
      </c>
      <c r="D2049" s="3">
        <f t="shared" si="296"/>
        <v>8366</v>
      </c>
      <c r="E2049" s="2">
        <f t="shared" si="297"/>
        <v>43497</v>
      </c>
      <c r="F2049" s="2">
        <f t="shared" si="298"/>
        <v>44196</v>
      </c>
    </row>
    <row r="2050" spans="1:6" x14ac:dyDescent="0.25">
      <c r="A2050" s="1" t="s">
        <v>431</v>
      </c>
      <c r="B2050" s="1" t="s">
        <v>1079</v>
      </c>
      <c r="C2050" s="1" t="s">
        <v>55</v>
      </c>
      <c r="D2050" s="3">
        <f t="shared" si="296"/>
        <v>8366</v>
      </c>
      <c r="E2050" s="2">
        <f t="shared" si="297"/>
        <v>43497</v>
      </c>
      <c r="F2050" s="2">
        <f t="shared" si="298"/>
        <v>44196</v>
      </c>
    </row>
    <row r="2051" spans="1:6" x14ac:dyDescent="0.25">
      <c r="A2051" s="1" t="s">
        <v>431</v>
      </c>
      <c r="B2051" s="1" t="s">
        <v>1123</v>
      </c>
      <c r="C2051" s="1" t="s">
        <v>184</v>
      </c>
      <c r="D2051" s="3">
        <f t="shared" ref="D2051:D2062" si="299">VALUE("8388")</f>
        <v>8388</v>
      </c>
      <c r="E2051" s="2">
        <f t="shared" ref="E2051:E2062" si="300">DATEVALUE("1-12-2018")</f>
        <v>43435</v>
      </c>
      <c r="F2051" s="2">
        <f t="shared" ref="F2051:F2062" si="301">DATEVALUE("28-2-2021")</f>
        <v>44255</v>
      </c>
    </row>
    <row r="2052" spans="1:6" x14ac:dyDescent="0.25">
      <c r="A2052" s="1" t="s">
        <v>431</v>
      </c>
      <c r="B2052" s="1" t="s">
        <v>1123</v>
      </c>
      <c r="C2052" s="1" t="s">
        <v>62</v>
      </c>
      <c r="D2052" s="3">
        <f t="shared" si="299"/>
        <v>8388</v>
      </c>
      <c r="E2052" s="2">
        <f t="shared" si="300"/>
        <v>43435</v>
      </c>
      <c r="F2052" s="2">
        <f t="shared" si="301"/>
        <v>44255</v>
      </c>
    </row>
    <row r="2053" spans="1:6" x14ac:dyDescent="0.25">
      <c r="A2053" s="1" t="s">
        <v>431</v>
      </c>
      <c r="B2053" s="1" t="s">
        <v>1123</v>
      </c>
      <c r="C2053" s="1" t="s">
        <v>65</v>
      </c>
      <c r="D2053" s="3">
        <f t="shared" si="299"/>
        <v>8388</v>
      </c>
      <c r="E2053" s="2">
        <f t="shared" si="300"/>
        <v>43435</v>
      </c>
      <c r="F2053" s="2">
        <f t="shared" si="301"/>
        <v>44255</v>
      </c>
    </row>
    <row r="2054" spans="1:6" x14ac:dyDescent="0.25">
      <c r="A2054" s="1" t="s">
        <v>431</v>
      </c>
      <c r="B2054" s="1" t="s">
        <v>1123</v>
      </c>
      <c r="C2054" s="1" t="s">
        <v>14</v>
      </c>
      <c r="D2054" s="3">
        <f t="shared" si="299"/>
        <v>8388</v>
      </c>
      <c r="E2054" s="2">
        <f t="shared" si="300"/>
        <v>43435</v>
      </c>
      <c r="F2054" s="2">
        <f t="shared" si="301"/>
        <v>44255</v>
      </c>
    </row>
    <row r="2055" spans="1:6" x14ac:dyDescent="0.25">
      <c r="A2055" s="1" t="s">
        <v>431</v>
      </c>
      <c r="B2055" s="1" t="s">
        <v>1123</v>
      </c>
      <c r="C2055" s="1" t="s">
        <v>17</v>
      </c>
      <c r="D2055" s="3">
        <f t="shared" si="299"/>
        <v>8388</v>
      </c>
      <c r="E2055" s="2">
        <f t="shared" si="300"/>
        <v>43435</v>
      </c>
      <c r="F2055" s="2">
        <f t="shared" si="301"/>
        <v>44255</v>
      </c>
    </row>
    <row r="2056" spans="1:6" x14ac:dyDescent="0.25">
      <c r="A2056" s="1" t="s">
        <v>431</v>
      </c>
      <c r="B2056" s="1" t="s">
        <v>1123</v>
      </c>
      <c r="C2056" s="1" t="s">
        <v>22</v>
      </c>
      <c r="D2056" s="3">
        <f t="shared" si="299"/>
        <v>8388</v>
      </c>
      <c r="E2056" s="2">
        <f t="shared" si="300"/>
        <v>43435</v>
      </c>
      <c r="F2056" s="2">
        <f t="shared" si="301"/>
        <v>44255</v>
      </c>
    </row>
    <row r="2057" spans="1:6" x14ac:dyDescent="0.25">
      <c r="A2057" s="1" t="s">
        <v>431</v>
      </c>
      <c r="B2057" s="1" t="s">
        <v>1123</v>
      </c>
      <c r="C2057" s="1" t="s">
        <v>67</v>
      </c>
      <c r="D2057" s="3">
        <f t="shared" si="299"/>
        <v>8388</v>
      </c>
      <c r="E2057" s="2">
        <f t="shared" si="300"/>
        <v>43435</v>
      </c>
      <c r="F2057" s="2">
        <f t="shared" si="301"/>
        <v>44255</v>
      </c>
    </row>
    <row r="2058" spans="1:6" x14ac:dyDescent="0.25">
      <c r="A2058" s="1" t="s">
        <v>431</v>
      </c>
      <c r="B2058" s="1" t="s">
        <v>1123</v>
      </c>
      <c r="C2058" s="1" t="s">
        <v>149</v>
      </c>
      <c r="D2058" s="3">
        <f t="shared" si="299"/>
        <v>8388</v>
      </c>
      <c r="E2058" s="2">
        <f t="shared" si="300"/>
        <v>43435</v>
      </c>
      <c r="F2058" s="2">
        <f t="shared" si="301"/>
        <v>44255</v>
      </c>
    </row>
    <row r="2059" spans="1:6" x14ac:dyDescent="0.25">
      <c r="A2059" s="1" t="s">
        <v>431</v>
      </c>
      <c r="B2059" s="1" t="s">
        <v>1123</v>
      </c>
      <c r="C2059" s="1" t="s">
        <v>92</v>
      </c>
      <c r="D2059" s="3">
        <f t="shared" si="299"/>
        <v>8388</v>
      </c>
      <c r="E2059" s="2">
        <f t="shared" si="300"/>
        <v>43435</v>
      </c>
      <c r="F2059" s="2">
        <f t="shared" si="301"/>
        <v>44255</v>
      </c>
    </row>
    <row r="2060" spans="1:6" x14ac:dyDescent="0.25">
      <c r="A2060" s="1" t="s">
        <v>431</v>
      </c>
      <c r="B2060" s="1" t="s">
        <v>1123</v>
      </c>
      <c r="C2060" s="1" t="s">
        <v>24</v>
      </c>
      <c r="D2060" s="3">
        <f t="shared" si="299"/>
        <v>8388</v>
      </c>
      <c r="E2060" s="2">
        <f t="shared" si="300"/>
        <v>43435</v>
      </c>
      <c r="F2060" s="2">
        <f t="shared" si="301"/>
        <v>44255</v>
      </c>
    </row>
    <row r="2061" spans="1:6" x14ac:dyDescent="0.25">
      <c r="A2061" s="1" t="s">
        <v>431</v>
      </c>
      <c r="B2061" s="1" t="s">
        <v>1123</v>
      </c>
      <c r="C2061" s="1" t="s">
        <v>70</v>
      </c>
      <c r="D2061" s="3">
        <f t="shared" si="299"/>
        <v>8388</v>
      </c>
      <c r="E2061" s="2">
        <f t="shared" si="300"/>
        <v>43435</v>
      </c>
      <c r="F2061" s="2">
        <f t="shared" si="301"/>
        <v>44255</v>
      </c>
    </row>
    <row r="2062" spans="1:6" x14ac:dyDescent="0.25">
      <c r="A2062" s="1" t="s">
        <v>431</v>
      </c>
      <c r="B2062" s="1" t="s">
        <v>1123</v>
      </c>
      <c r="C2062" s="1" t="s">
        <v>34</v>
      </c>
      <c r="D2062" s="3">
        <f t="shared" si="299"/>
        <v>8388</v>
      </c>
      <c r="E2062" s="2">
        <f t="shared" si="300"/>
        <v>43435</v>
      </c>
      <c r="F2062" s="2">
        <f t="shared" si="301"/>
        <v>44255</v>
      </c>
    </row>
    <row r="2063" spans="1:6" x14ac:dyDescent="0.25">
      <c r="A2063" s="1" t="s">
        <v>431</v>
      </c>
      <c r="B2063" s="1" t="s">
        <v>1105</v>
      </c>
      <c r="C2063" s="1" t="s">
        <v>7</v>
      </c>
      <c r="D2063" s="3">
        <f t="shared" ref="D2063:D2078" si="302">VALUE("8377")</f>
        <v>8377</v>
      </c>
      <c r="E2063" s="2">
        <f t="shared" ref="E2063:E2078" si="303">DATEVALUE("1-11-2018")</f>
        <v>43405</v>
      </c>
      <c r="F2063" s="2">
        <f t="shared" ref="F2063:F2078" si="304">DATEVALUE("31-12-2020")</f>
        <v>44196</v>
      </c>
    </row>
    <row r="2064" spans="1:6" x14ac:dyDescent="0.25">
      <c r="A2064" s="1" t="s">
        <v>431</v>
      </c>
      <c r="B2064" s="1" t="s">
        <v>1105</v>
      </c>
      <c r="C2064" s="1" t="s">
        <v>6</v>
      </c>
      <c r="D2064" s="3">
        <f t="shared" si="302"/>
        <v>8377</v>
      </c>
      <c r="E2064" s="2">
        <f t="shared" si="303"/>
        <v>43405</v>
      </c>
      <c r="F2064" s="2">
        <f t="shared" si="304"/>
        <v>44196</v>
      </c>
    </row>
    <row r="2065" spans="1:6" x14ac:dyDescent="0.25">
      <c r="A2065" s="1" t="s">
        <v>431</v>
      </c>
      <c r="B2065" s="1" t="s">
        <v>1105</v>
      </c>
      <c r="C2065" s="1" t="s">
        <v>219</v>
      </c>
      <c r="D2065" s="3">
        <f t="shared" si="302"/>
        <v>8377</v>
      </c>
      <c r="E2065" s="2">
        <f t="shared" si="303"/>
        <v>43405</v>
      </c>
      <c r="F2065" s="2">
        <f t="shared" si="304"/>
        <v>44196</v>
      </c>
    </row>
    <row r="2066" spans="1:6" x14ac:dyDescent="0.25">
      <c r="A2066" s="1" t="s">
        <v>431</v>
      </c>
      <c r="B2066" s="1" t="s">
        <v>1105</v>
      </c>
      <c r="C2066" s="1" t="s">
        <v>599</v>
      </c>
      <c r="D2066" s="3">
        <f t="shared" si="302"/>
        <v>8377</v>
      </c>
      <c r="E2066" s="2">
        <f t="shared" si="303"/>
        <v>43405</v>
      </c>
      <c r="F2066" s="2">
        <f t="shared" si="304"/>
        <v>44196</v>
      </c>
    </row>
    <row r="2067" spans="1:6" x14ac:dyDescent="0.25">
      <c r="A2067" s="1" t="s">
        <v>431</v>
      </c>
      <c r="B2067" s="1" t="s">
        <v>1105</v>
      </c>
      <c r="C2067" s="1" t="s">
        <v>14</v>
      </c>
      <c r="D2067" s="3">
        <f t="shared" si="302"/>
        <v>8377</v>
      </c>
      <c r="E2067" s="2">
        <f t="shared" si="303"/>
        <v>43405</v>
      </c>
      <c r="F2067" s="2">
        <f t="shared" si="304"/>
        <v>44196</v>
      </c>
    </row>
    <row r="2068" spans="1:6" x14ac:dyDescent="0.25">
      <c r="A2068" s="1" t="s">
        <v>431</v>
      </c>
      <c r="B2068" s="1" t="s">
        <v>1105</v>
      </c>
      <c r="C2068" s="1" t="s">
        <v>17</v>
      </c>
      <c r="D2068" s="3">
        <f t="shared" si="302"/>
        <v>8377</v>
      </c>
      <c r="E2068" s="2">
        <f t="shared" si="303"/>
        <v>43405</v>
      </c>
      <c r="F2068" s="2">
        <f t="shared" si="304"/>
        <v>44196</v>
      </c>
    </row>
    <row r="2069" spans="1:6" x14ac:dyDescent="0.25">
      <c r="A2069" s="1" t="s">
        <v>431</v>
      </c>
      <c r="B2069" s="1" t="s">
        <v>1105</v>
      </c>
      <c r="C2069" s="1" t="s">
        <v>19</v>
      </c>
      <c r="D2069" s="3">
        <f t="shared" si="302"/>
        <v>8377</v>
      </c>
      <c r="E2069" s="2">
        <f t="shared" si="303"/>
        <v>43405</v>
      </c>
      <c r="F2069" s="2">
        <f t="shared" si="304"/>
        <v>44196</v>
      </c>
    </row>
    <row r="2070" spans="1:6" x14ac:dyDescent="0.25">
      <c r="A2070" s="1" t="s">
        <v>431</v>
      </c>
      <c r="B2070" s="1" t="s">
        <v>1105</v>
      </c>
      <c r="C2070" s="1" t="s">
        <v>20</v>
      </c>
      <c r="D2070" s="3">
        <f t="shared" si="302"/>
        <v>8377</v>
      </c>
      <c r="E2070" s="2">
        <f t="shared" si="303"/>
        <v>43405</v>
      </c>
      <c r="F2070" s="2">
        <f t="shared" si="304"/>
        <v>44196</v>
      </c>
    </row>
    <row r="2071" spans="1:6" x14ac:dyDescent="0.25">
      <c r="A2071" s="1" t="s">
        <v>431</v>
      </c>
      <c r="B2071" s="1" t="s">
        <v>1105</v>
      </c>
      <c r="C2071" s="1" t="s">
        <v>22</v>
      </c>
      <c r="D2071" s="3">
        <f t="shared" si="302"/>
        <v>8377</v>
      </c>
      <c r="E2071" s="2">
        <f t="shared" si="303"/>
        <v>43405</v>
      </c>
      <c r="F2071" s="2">
        <f t="shared" si="304"/>
        <v>44196</v>
      </c>
    </row>
    <row r="2072" spans="1:6" x14ac:dyDescent="0.25">
      <c r="A2072" s="1" t="s">
        <v>431</v>
      </c>
      <c r="B2072" s="1" t="s">
        <v>1105</v>
      </c>
      <c r="C2072" s="1" t="s">
        <v>221</v>
      </c>
      <c r="D2072" s="3">
        <f t="shared" si="302"/>
        <v>8377</v>
      </c>
      <c r="E2072" s="2">
        <f t="shared" si="303"/>
        <v>43405</v>
      </c>
      <c r="F2072" s="2">
        <f t="shared" si="304"/>
        <v>44196</v>
      </c>
    </row>
    <row r="2073" spans="1:6" x14ac:dyDescent="0.25">
      <c r="A2073" s="1" t="s">
        <v>431</v>
      </c>
      <c r="B2073" s="1" t="s">
        <v>1105</v>
      </c>
      <c r="C2073" s="1" t="s">
        <v>212</v>
      </c>
      <c r="D2073" s="3">
        <f t="shared" si="302"/>
        <v>8377</v>
      </c>
      <c r="E2073" s="2">
        <f t="shared" si="303"/>
        <v>43405</v>
      </c>
      <c r="F2073" s="2">
        <f t="shared" si="304"/>
        <v>44196</v>
      </c>
    </row>
    <row r="2074" spans="1:6" x14ac:dyDescent="0.25">
      <c r="A2074" s="1" t="s">
        <v>431</v>
      </c>
      <c r="B2074" s="1" t="s">
        <v>1105</v>
      </c>
      <c r="C2074" s="1" t="s">
        <v>24</v>
      </c>
      <c r="D2074" s="3">
        <f t="shared" si="302"/>
        <v>8377</v>
      </c>
      <c r="E2074" s="2">
        <f t="shared" si="303"/>
        <v>43405</v>
      </c>
      <c r="F2074" s="2">
        <f t="shared" si="304"/>
        <v>44196</v>
      </c>
    </row>
    <row r="2075" spans="1:6" x14ac:dyDescent="0.25">
      <c r="A2075" s="1" t="s">
        <v>431</v>
      </c>
      <c r="B2075" s="1" t="s">
        <v>1105</v>
      </c>
      <c r="C2075" s="1" t="s">
        <v>72</v>
      </c>
      <c r="D2075" s="3">
        <f t="shared" si="302"/>
        <v>8377</v>
      </c>
      <c r="E2075" s="2">
        <f t="shared" si="303"/>
        <v>43405</v>
      </c>
      <c r="F2075" s="2">
        <f t="shared" si="304"/>
        <v>44196</v>
      </c>
    </row>
    <row r="2076" spans="1:6" x14ac:dyDescent="0.25">
      <c r="A2076" s="1" t="s">
        <v>431</v>
      </c>
      <c r="B2076" s="1" t="s">
        <v>1105</v>
      </c>
      <c r="C2076" s="1" t="s">
        <v>30</v>
      </c>
      <c r="D2076" s="3">
        <f t="shared" si="302"/>
        <v>8377</v>
      </c>
      <c r="E2076" s="2">
        <f t="shared" si="303"/>
        <v>43405</v>
      </c>
      <c r="F2076" s="2">
        <f t="shared" si="304"/>
        <v>44196</v>
      </c>
    </row>
    <row r="2077" spans="1:6" x14ac:dyDescent="0.25">
      <c r="A2077" s="1" t="s">
        <v>431</v>
      </c>
      <c r="B2077" s="1" t="s">
        <v>1105</v>
      </c>
      <c r="C2077" s="1" t="s">
        <v>52</v>
      </c>
      <c r="D2077" s="3">
        <f t="shared" si="302"/>
        <v>8377</v>
      </c>
      <c r="E2077" s="2">
        <f t="shared" si="303"/>
        <v>43405</v>
      </c>
      <c r="F2077" s="2">
        <f t="shared" si="304"/>
        <v>44196</v>
      </c>
    </row>
    <row r="2078" spans="1:6" x14ac:dyDescent="0.25">
      <c r="A2078" s="1" t="s">
        <v>431</v>
      </c>
      <c r="B2078" s="1" t="s">
        <v>1105</v>
      </c>
      <c r="C2078" s="1" t="s">
        <v>34</v>
      </c>
      <c r="D2078" s="3">
        <f t="shared" si="302"/>
        <v>8377</v>
      </c>
      <c r="E2078" s="2">
        <f t="shared" si="303"/>
        <v>43405</v>
      </c>
      <c r="F2078" s="2">
        <f t="shared" si="304"/>
        <v>44196</v>
      </c>
    </row>
    <row r="2079" spans="1:6" x14ac:dyDescent="0.25">
      <c r="A2079" s="1" t="s">
        <v>431</v>
      </c>
      <c r="B2079" s="1" t="s">
        <v>1069</v>
      </c>
      <c r="C2079" s="1" t="s">
        <v>22</v>
      </c>
      <c r="D2079" s="3">
        <f>VALUE("8349")</f>
        <v>8349</v>
      </c>
      <c r="E2079" s="2">
        <f t="shared" ref="E2079:E2094" si="305">DATEVALUE("1-10-2018")</f>
        <v>43374</v>
      </c>
      <c r="F2079" s="2">
        <f>DATEVALUE("30-9-2021")</f>
        <v>44469</v>
      </c>
    </row>
    <row r="2080" spans="1:6" x14ac:dyDescent="0.25">
      <c r="A2080" s="1" t="s">
        <v>431</v>
      </c>
      <c r="B2080" s="1" t="s">
        <v>1069</v>
      </c>
      <c r="C2080" s="1" t="s">
        <v>172</v>
      </c>
      <c r="D2080" s="3">
        <f>VALUE("8349")</f>
        <v>8349</v>
      </c>
      <c r="E2080" s="2">
        <f t="shared" si="305"/>
        <v>43374</v>
      </c>
      <c r="F2080" s="2">
        <f>DATEVALUE("30-9-2021")</f>
        <v>44469</v>
      </c>
    </row>
    <row r="2081" spans="1:6" x14ac:dyDescent="0.25">
      <c r="A2081" s="1" t="s">
        <v>431</v>
      </c>
      <c r="B2081" s="1" t="s">
        <v>1069</v>
      </c>
      <c r="C2081" s="1" t="s">
        <v>211</v>
      </c>
      <c r="D2081" s="3">
        <f>VALUE("8349")</f>
        <v>8349</v>
      </c>
      <c r="E2081" s="2">
        <f t="shared" si="305"/>
        <v>43374</v>
      </c>
      <c r="F2081" s="2">
        <f>DATEVALUE("30-9-2021")</f>
        <v>44469</v>
      </c>
    </row>
    <row r="2082" spans="1:6" x14ac:dyDescent="0.25">
      <c r="A2082" s="1" t="s">
        <v>431</v>
      </c>
      <c r="B2082" s="1" t="s">
        <v>1101</v>
      </c>
      <c r="C2082" s="1" t="s">
        <v>45</v>
      </c>
      <c r="D2082" s="3">
        <f t="shared" ref="D2082:D2094" si="306">VALUE("8374")</f>
        <v>8374</v>
      </c>
      <c r="E2082" s="2">
        <f t="shared" si="305"/>
        <v>43374</v>
      </c>
      <c r="F2082" s="2">
        <f t="shared" ref="F2082:F2094" si="307">DATEVALUE("31-12-2020")</f>
        <v>44196</v>
      </c>
    </row>
    <row r="2083" spans="1:6" x14ac:dyDescent="0.25">
      <c r="A2083" s="1" t="s">
        <v>431</v>
      </c>
      <c r="B2083" s="1" t="s">
        <v>1101</v>
      </c>
      <c r="C2083" s="1" t="s">
        <v>44</v>
      </c>
      <c r="D2083" s="3">
        <f t="shared" si="306"/>
        <v>8374</v>
      </c>
      <c r="E2083" s="2">
        <f t="shared" si="305"/>
        <v>43374</v>
      </c>
      <c r="F2083" s="2">
        <f t="shared" si="307"/>
        <v>44196</v>
      </c>
    </row>
    <row r="2084" spans="1:6" x14ac:dyDescent="0.25">
      <c r="A2084" s="1" t="s">
        <v>431</v>
      </c>
      <c r="B2084" s="1" t="s">
        <v>1101</v>
      </c>
      <c r="C2084" s="1" t="s">
        <v>15</v>
      </c>
      <c r="D2084" s="3">
        <f t="shared" si="306"/>
        <v>8374</v>
      </c>
      <c r="E2084" s="2">
        <f t="shared" si="305"/>
        <v>43374</v>
      </c>
      <c r="F2084" s="2">
        <f t="shared" si="307"/>
        <v>44196</v>
      </c>
    </row>
    <row r="2085" spans="1:6" x14ac:dyDescent="0.25">
      <c r="A2085" s="1" t="s">
        <v>431</v>
      </c>
      <c r="B2085" s="1" t="s">
        <v>1101</v>
      </c>
      <c r="C2085" s="1" t="s">
        <v>16</v>
      </c>
      <c r="D2085" s="3">
        <f t="shared" si="306"/>
        <v>8374</v>
      </c>
      <c r="E2085" s="2">
        <f t="shared" si="305"/>
        <v>43374</v>
      </c>
      <c r="F2085" s="2">
        <f t="shared" si="307"/>
        <v>44196</v>
      </c>
    </row>
    <row r="2086" spans="1:6" x14ac:dyDescent="0.25">
      <c r="A2086" s="1" t="s">
        <v>431</v>
      </c>
      <c r="B2086" s="1" t="s">
        <v>1101</v>
      </c>
      <c r="C2086" s="1" t="s">
        <v>88</v>
      </c>
      <c r="D2086" s="3">
        <f t="shared" si="306"/>
        <v>8374</v>
      </c>
      <c r="E2086" s="2">
        <f t="shared" si="305"/>
        <v>43374</v>
      </c>
      <c r="F2086" s="2">
        <f t="shared" si="307"/>
        <v>44196</v>
      </c>
    </row>
    <row r="2087" spans="1:6" x14ac:dyDescent="0.25">
      <c r="A2087" s="1" t="s">
        <v>431</v>
      </c>
      <c r="B2087" s="1" t="s">
        <v>1101</v>
      </c>
      <c r="C2087" s="1" t="s">
        <v>17</v>
      </c>
      <c r="D2087" s="3">
        <f t="shared" si="306"/>
        <v>8374</v>
      </c>
      <c r="E2087" s="2">
        <f t="shared" si="305"/>
        <v>43374</v>
      </c>
      <c r="F2087" s="2">
        <f t="shared" si="307"/>
        <v>44196</v>
      </c>
    </row>
    <row r="2088" spans="1:6" x14ac:dyDescent="0.25">
      <c r="A2088" s="1" t="s">
        <v>431</v>
      </c>
      <c r="B2088" s="1" t="s">
        <v>1101</v>
      </c>
      <c r="C2088" s="1" t="s">
        <v>22</v>
      </c>
      <c r="D2088" s="3">
        <f t="shared" si="306"/>
        <v>8374</v>
      </c>
      <c r="E2088" s="2">
        <f t="shared" si="305"/>
        <v>43374</v>
      </c>
      <c r="F2088" s="2">
        <f t="shared" si="307"/>
        <v>44196</v>
      </c>
    </row>
    <row r="2089" spans="1:6" x14ac:dyDescent="0.25">
      <c r="A2089" s="1" t="s">
        <v>431</v>
      </c>
      <c r="B2089" s="1" t="s">
        <v>1101</v>
      </c>
      <c r="C2089" s="1" t="s">
        <v>146</v>
      </c>
      <c r="D2089" s="3">
        <f t="shared" si="306"/>
        <v>8374</v>
      </c>
      <c r="E2089" s="2">
        <f t="shared" si="305"/>
        <v>43374</v>
      </c>
      <c r="F2089" s="2">
        <f t="shared" si="307"/>
        <v>44196</v>
      </c>
    </row>
    <row r="2090" spans="1:6" x14ac:dyDescent="0.25">
      <c r="A2090" s="1" t="s">
        <v>431</v>
      </c>
      <c r="B2090" s="1" t="s">
        <v>1101</v>
      </c>
      <c r="C2090" s="1" t="s">
        <v>67</v>
      </c>
      <c r="D2090" s="3">
        <f t="shared" si="306"/>
        <v>8374</v>
      </c>
      <c r="E2090" s="2">
        <f t="shared" si="305"/>
        <v>43374</v>
      </c>
      <c r="F2090" s="2">
        <f t="shared" si="307"/>
        <v>44196</v>
      </c>
    </row>
    <row r="2091" spans="1:6" x14ac:dyDescent="0.25">
      <c r="A2091" s="1" t="s">
        <v>431</v>
      </c>
      <c r="B2091" s="1" t="s">
        <v>1101</v>
      </c>
      <c r="C2091" s="1" t="s">
        <v>149</v>
      </c>
      <c r="D2091" s="3">
        <f t="shared" si="306"/>
        <v>8374</v>
      </c>
      <c r="E2091" s="2">
        <f t="shared" si="305"/>
        <v>43374</v>
      </c>
      <c r="F2091" s="2">
        <f t="shared" si="307"/>
        <v>44196</v>
      </c>
    </row>
    <row r="2092" spans="1:6" x14ac:dyDescent="0.25">
      <c r="A2092" s="1" t="s">
        <v>431</v>
      </c>
      <c r="B2092" s="1" t="s">
        <v>1101</v>
      </c>
      <c r="C2092" s="1" t="s">
        <v>172</v>
      </c>
      <c r="D2092" s="3">
        <f t="shared" si="306"/>
        <v>8374</v>
      </c>
      <c r="E2092" s="2">
        <f t="shared" si="305"/>
        <v>43374</v>
      </c>
      <c r="F2092" s="2">
        <f t="shared" si="307"/>
        <v>44196</v>
      </c>
    </row>
    <row r="2093" spans="1:6" x14ac:dyDescent="0.25">
      <c r="A2093" s="1" t="s">
        <v>431</v>
      </c>
      <c r="B2093" s="1" t="s">
        <v>1101</v>
      </c>
      <c r="C2093" s="1" t="s">
        <v>92</v>
      </c>
      <c r="D2093" s="3">
        <f t="shared" si="306"/>
        <v>8374</v>
      </c>
      <c r="E2093" s="2">
        <f t="shared" si="305"/>
        <v>43374</v>
      </c>
      <c r="F2093" s="2">
        <f t="shared" si="307"/>
        <v>44196</v>
      </c>
    </row>
    <row r="2094" spans="1:6" x14ac:dyDescent="0.25">
      <c r="A2094" s="1" t="s">
        <v>431</v>
      </c>
      <c r="B2094" s="1" t="s">
        <v>1101</v>
      </c>
      <c r="C2094" s="1" t="s">
        <v>52</v>
      </c>
      <c r="D2094" s="3">
        <f t="shared" si="306"/>
        <v>8374</v>
      </c>
      <c r="E2094" s="2">
        <f t="shared" si="305"/>
        <v>43374</v>
      </c>
      <c r="F2094" s="2">
        <f t="shared" si="307"/>
        <v>44196</v>
      </c>
    </row>
    <row r="2095" spans="1:6" x14ac:dyDescent="0.25">
      <c r="A2095" s="1" t="s">
        <v>431</v>
      </c>
      <c r="B2095" s="1" t="s">
        <v>949</v>
      </c>
      <c r="C2095" s="1" t="s">
        <v>7</v>
      </c>
      <c r="D2095" s="3">
        <f>VALUE("8236")</f>
        <v>8236</v>
      </c>
      <c r="E2095" s="2">
        <f t="shared" ref="E2095:E2124" si="308">DATEVALUE("1-9-2018")</f>
        <v>43344</v>
      </c>
      <c r="F2095" s="2">
        <f>DATEVALUE("31-3-2025")</f>
        <v>45747</v>
      </c>
    </row>
    <row r="2096" spans="1:6" x14ac:dyDescent="0.25">
      <c r="A2096" s="1" t="s">
        <v>431</v>
      </c>
      <c r="B2096" s="1" t="s">
        <v>949</v>
      </c>
      <c r="C2096" s="1" t="s">
        <v>220</v>
      </c>
      <c r="D2096" s="3">
        <f>VALUE("8236")</f>
        <v>8236</v>
      </c>
      <c r="E2096" s="2">
        <f t="shared" si="308"/>
        <v>43344</v>
      </c>
      <c r="F2096" s="2">
        <f>DATEVALUE("31-3-2025")</f>
        <v>45747</v>
      </c>
    </row>
    <row r="2097" spans="1:6" x14ac:dyDescent="0.25">
      <c r="A2097" s="1" t="s">
        <v>431</v>
      </c>
      <c r="B2097" s="1" t="s">
        <v>949</v>
      </c>
      <c r="C2097" s="1" t="s">
        <v>950</v>
      </c>
      <c r="D2097" s="3">
        <f>VALUE("8236")</f>
        <v>8236</v>
      </c>
      <c r="E2097" s="2">
        <f t="shared" si="308"/>
        <v>43344</v>
      </c>
      <c r="F2097" s="2">
        <f>DATEVALUE("31-3-2025")</f>
        <v>45747</v>
      </c>
    </row>
    <row r="2098" spans="1:6" x14ac:dyDescent="0.25">
      <c r="A2098" s="1" t="s">
        <v>431</v>
      </c>
      <c r="B2098" s="1" t="s">
        <v>949</v>
      </c>
      <c r="C2098" s="1" t="s">
        <v>951</v>
      </c>
      <c r="D2098" s="3">
        <f>VALUE("8236")</f>
        <v>8236</v>
      </c>
      <c r="E2098" s="2">
        <f t="shared" si="308"/>
        <v>43344</v>
      </c>
      <c r="F2098" s="2">
        <f>DATEVALUE("31-3-2025")</f>
        <v>45747</v>
      </c>
    </row>
    <row r="2099" spans="1:6" x14ac:dyDescent="0.25">
      <c r="A2099" s="1" t="s">
        <v>431</v>
      </c>
      <c r="B2099" s="1" t="s">
        <v>949</v>
      </c>
      <c r="C2099" s="1" t="s">
        <v>212</v>
      </c>
      <c r="D2099" s="3">
        <f>VALUE("8236")</f>
        <v>8236</v>
      </c>
      <c r="E2099" s="2">
        <f t="shared" si="308"/>
        <v>43344</v>
      </c>
      <c r="F2099" s="2">
        <f>DATEVALUE("31-3-2025")</f>
        <v>45747</v>
      </c>
    </row>
    <row r="2100" spans="1:6" x14ac:dyDescent="0.25">
      <c r="A2100" s="1" t="s">
        <v>431</v>
      </c>
      <c r="B2100" s="1" t="s">
        <v>1071</v>
      </c>
      <c r="C2100" s="1" t="s">
        <v>7</v>
      </c>
      <c r="D2100" s="3">
        <f t="shared" ref="D2100:D2109" si="309">VALUE("8358")</f>
        <v>8358</v>
      </c>
      <c r="E2100" s="2">
        <f t="shared" si="308"/>
        <v>43344</v>
      </c>
      <c r="F2100" s="2">
        <f t="shared" ref="F2100:F2124" si="310">DATEVALUE("31-12-2020")</f>
        <v>44196</v>
      </c>
    </row>
    <row r="2101" spans="1:6" x14ac:dyDescent="0.25">
      <c r="A2101" s="1" t="s">
        <v>431</v>
      </c>
      <c r="B2101" s="1" t="s">
        <v>1071</v>
      </c>
      <c r="C2101" s="1" t="s">
        <v>599</v>
      </c>
      <c r="D2101" s="3">
        <f t="shared" si="309"/>
        <v>8358</v>
      </c>
      <c r="E2101" s="2">
        <f t="shared" si="308"/>
        <v>43344</v>
      </c>
      <c r="F2101" s="2">
        <f t="shared" si="310"/>
        <v>44196</v>
      </c>
    </row>
    <row r="2102" spans="1:6" x14ac:dyDescent="0.25">
      <c r="A2102" s="1" t="s">
        <v>431</v>
      </c>
      <c r="B2102" s="1" t="s">
        <v>1071</v>
      </c>
      <c r="C2102" s="1" t="s">
        <v>832</v>
      </c>
      <c r="D2102" s="3">
        <f t="shared" si="309"/>
        <v>8358</v>
      </c>
      <c r="E2102" s="2">
        <f t="shared" si="308"/>
        <v>43344</v>
      </c>
      <c r="F2102" s="2">
        <f t="shared" si="310"/>
        <v>44196</v>
      </c>
    </row>
    <row r="2103" spans="1:6" x14ac:dyDescent="0.25">
      <c r="A2103" s="1" t="s">
        <v>431</v>
      </c>
      <c r="B2103" s="1" t="s">
        <v>1071</v>
      </c>
      <c r="C2103" s="1" t="s">
        <v>654</v>
      </c>
      <c r="D2103" s="3">
        <f t="shared" si="309"/>
        <v>8358</v>
      </c>
      <c r="E2103" s="2">
        <f t="shared" si="308"/>
        <v>43344</v>
      </c>
      <c r="F2103" s="2">
        <f t="shared" si="310"/>
        <v>44196</v>
      </c>
    </row>
    <row r="2104" spans="1:6" x14ac:dyDescent="0.25">
      <c r="A2104" s="1" t="s">
        <v>431</v>
      </c>
      <c r="B2104" s="1" t="s">
        <v>1071</v>
      </c>
      <c r="C2104" s="1" t="s">
        <v>603</v>
      </c>
      <c r="D2104" s="3">
        <f t="shared" si="309"/>
        <v>8358</v>
      </c>
      <c r="E2104" s="2">
        <f t="shared" si="308"/>
        <v>43344</v>
      </c>
      <c r="F2104" s="2">
        <f t="shared" si="310"/>
        <v>44196</v>
      </c>
    </row>
    <row r="2105" spans="1:6" x14ac:dyDescent="0.25">
      <c r="A2105" s="1" t="s">
        <v>431</v>
      </c>
      <c r="B2105" s="1" t="s">
        <v>1071</v>
      </c>
      <c r="C2105" s="1" t="s">
        <v>604</v>
      </c>
      <c r="D2105" s="3">
        <f t="shared" si="309"/>
        <v>8358</v>
      </c>
      <c r="E2105" s="2">
        <f t="shared" si="308"/>
        <v>43344</v>
      </c>
      <c r="F2105" s="2">
        <f t="shared" si="310"/>
        <v>44196</v>
      </c>
    </row>
    <row r="2106" spans="1:6" x14ac:dyDescent="0.25">
      <c r="A2106" s="1" t="s">
        <v>431</v>
      </c>
      <c r="B2106" s="1" t="s">
        <v>1071</v>
      </c>
      <c r="C2106" s="1" t="s">
        <v>212</v>
      </c>
      <c r="D2106" s="3">
        <f t="shared" si="309"/>
        <v>8358</v>
      </c>
      <c r="E2106" s="2">
        <f t="shared" si="308"/>
        <v>43344</v>
      </c>
      <c r="F2106" s="2">
        <f t="shared" si="310"/>
        <v>44196</v>
      </c>
    </row>
    <row r="2107" spans="1:6" x14ac:dyDescent="0.25">
      <c r="A2107" s="1" t="s">
        <v>431</v>
      </c>
      <c r="B2107" s="1" t="s">
        <v>1071</v>
      </c>
      <c r="C2107" s="1" t="s">
        <v>52</v>
      </c>
      <c r="D2107" s="3">
        <f t="shared" si="309"/>
        <v>8358</v>
      </c>
      <c r="E2107" s="2">
        <f t="shared" si="308"/>
        <v>43344</v>
      </c>
      <c r="F2107" s="2">
        <f t="shared" si="310"/>
        <v>44196</v>
      </c>
    </row>
    <row r="2108" spans="1:6" x14ac:dyDescent="0.25">
      <c r="A2108" s="1" t="s">
        <v>431</v>
      </c>
      <c r="B2108" s="1" t="s">
        <v>1071</v>
      </c>
      <c r="C2108" s="1" t="s">
        <v>35</v>
      </c>
      <c r="D2108" s="3">
        <f t="shared" si="309"/>
        <v>8358</v>
      </c>
      <c r="E2108" s="2">
        <f t="shared" si="308"/>
        <v>43344</v>
      </c>
      <c r="F2108" s="2">
        <f t="shared" si="310"/>
        <v>44196</v>
      </c>
    </row>
    <row r="2109" spans="1:6" x14ac:dyDescent="0.25">
      <c r="A2109" s="1" t="s">
        <v>431</v>
      </c>
      <c r="B2109" s="1" t="s">
        <v>1071</v>
      </c>
      <c r="C2109" s="1" t="s">
        <v>36</v>
      </c>
      <c r="D2109" s="3">
        <f t="shared" si="309"/>
        <v>8358</v>
      </c>
      <c r="E2109" s="2">
        <f t="shared" si="308"/>
        <v>43344</v>
      </c>
      <c r="F2109" s="2">
        <f t="shared" si="310"/>
        <v>44196</v>
      </c>
    </row>
    <row r="2110" spans="1:6" x14ac:dyDescent="0.25">
      <c r="A2110" s="1" t="s">
        <v>431</v>
      </c>
      <c r="B2110" s="1" t="s">
        <v>1074</v>
      </c>
      <c r="C2110" s="1" t="s">
        <v>137</v>
      </c>
      <c r="D2110" s="3">
        <f t="shared" ref="D2110:D2124" si="311">VALUE("8361")</f>
        <v>8361</v>
      </c>
      <c r="E2110" s="2">
        <f t="shared" si="308"/>
        <v>43344</v>
      </c>
      <c r="F2110" s="2">
        <f t="shared" si="310"/>
        <v>44196</v>
      </c>
    </row>
    <row r="2111" spans="1:6" x14ac:dyDescent="0.25">
      <c r="A2111" s="1" t="s">
        <v>431</v>
      </c>
      <c r="B2111" s="1" t="s">
        <v>1074</v>
      </c>
      <c r="C2111" s="1" t="s">
        <v>140</v>
      </c>
      <c r="D2111" s="3">
        <f t="shared" si="311"/>
        <v>8361</v>
      </c>
      <c r="E2111" s="2">
        <f t="shared" si="308"/>
        <v>43344</v>
      </c>
      <c r="F2111" s="2">
        <f t="shared" si="310"/>
        <v>44196</v>
      </c>
    </row>
    <row r="2112" spans="1:6" x14ac:dyDescent="0.25">
      <c r="A2112" s="1" t="s">
        <v>431</v>
      </c>
      <c r="B2112" s="1" t="s">
        <v>1074</v>
      </c>
      <c r="C2112" s="1" t="s">
        <v>141</v>
      </c>
      <c r="D2112" s="3">
        <f t="shared" si="311"/>
        <v>8361</v>
      </c>
      <c r="E2112" s="2">
        <f t="shared" si="308"/>
        <v>43344</v>
      </c>
      <c r="F2112" s="2">
        <f t="shared" si="310"/>
        <v>44196</v>
      </c>
    </row>
    <row r="2113" spans="1:6" x14ac:dyDescent="0.25">
      <c r="A2113" s="1" t="s">
        <v>431</v>
      </c>
      <c r="B2113" s="1" t="s">
        <v>1074</v>
      </c>
      <c r="C2113" s="1" t="s">
        <v>142</v>
      </c>
      <c r="D2113" s="3">
        <f t="shared" si="311"/>
        <v>8361</v>
      </c>
      <c r="E2113" s="2">
        <f t="shared" si="308"/>
        <v>43344</v>
      </c>
      <c r="F2113" s="2">
        <f t="shared" si="310"/>
        <v>44196</v>
      </c>
    </row>
    <row r="2114" spans="1:6" x14ac:dyDescent="0.25">
      <c r="A2114" s="1" t="s">
        <v>431</v>
      </c>
      <c r="B2114" s="1" t="s">
        <v>1074</v>
      </c>
      <c r="C2114" s="1" t="s">
        <v>248</v>
      </c>
      <c r="D2114" s="3">
        <f t="shared" si="311"/>
        <v>8361</v>
      </c>
      <c r="E2114" s="2">
        <f t="shared" si="308"/>
        <v>43344</v>
      </c>
      <c r="F2114" s="2">
        <f t="shared" si="310"/>
        <v>44196</v>
      </c>
    </row>
    <row r="2115" spans="1:6" x14ac:dyDescent="0.25">
      <c r="A2115" s="1" t="s">
        <v>431</v>
      </c>
      <c r="B2115" s="1" t="s">
        <v>1074</v>
      </c>
      <c r="C2115" s="1" t="s">
        <v>14</v>
      </c>
      <c r="D2115" s="3">
        <f t="shared" si="311"/>
        <v>8361</v>
      </c>
      <c r="E2115" s="2">
        <f t="shared" si="308"/>
        <v>43344</v>
      </c>
      <c r="F2115" s="2">
        <f t="shared" si="310"/>
        <v>44196</v>
      </c>
    </row>
    <row r="2116" spans="1:6" x14ac:dyDescent="0.25">
      <c r="A2116" s="1" t="s">
        <v>431</v>
      </c>
      <c r="B2116" s="1" t="s">
        <v>1074</v>
      </c>
      <c r="C2116" s="1" t="s">
        <v>15</v>
      </c>
      <c r="D2116" s="3">
        <f t="shared" si="311"/>
        <v>8361</v>
      </c>
      <c r="E2116" s="2">
        <f t="shared" si="308"/>
        <v>43344</v>
      </c>
      <c r="F2116" s="2">
        <f t="shared" si="310"/>
        <v>44196</v>
      </c>
    </row>
    <row r="2117" spans="1:6" x14ac:dyDescent="0.25">
      <c r="A2117" s="1" t="s">
        <v>431</v>
      </c>
      <c r="B2117" s="1" t="s">
        <v>1074</v>
      </c>
      <c r="C2117" s="1" t="s">
        <v>17</v>
      </c>
      <c r="D2117" s="3">
        <f t="shared" si="311"/>
        <v>8361</v>
      </c>
      <c r="E2117" s="2">
        <f t="shared" si="308"/>
        <v>43344</v>
      </c>
      <c r="F2117" s="2">
        <f t="shared" si="310"/>
        <v>44196</v>
      </c>
    </row>
    <row r="2118" spans="1:6" x14ac:dyDescent="0.25">
      <c r="A2118" s="1" t="s">
        <v>431</v>
      </c>
      <c r="B2118" s="1" t="s">
        <v>1074</v>
      </c>
      <c r="C2118" s="1" t="s">
        <v>146</v>
      </c>
      <c r="D2118" s="3">
        <f t="shared" si="311"/>
        <v>8361</v>
      </c>
      <c r="E2118" s="2">
        <f t="shared" si="308"/>
        <v>43344</v>
      </c>
      <c r="F2118" s="2">
        <f t="shared" si="310"/>
        <v>44196</v>
      </c>
    </row>
    <row r="2119" spans="1:6" x14ac:dyDescent="0.25">
      <c r="A2119" s="1" t="s">
        <v>431</v>
      </c>
      <c r="B2119" s="1" t="s">
        <v>1074</v>
      </c>
      <c r="C2119" s="1" t="s">
        <v>67</v>
      </c>
      <c r="D2119" s="3">
        <f t="shared" si="311"/>
        <v>8361</v>
      </c>
      <c r="E2119" s="2">
        <f t="shared" si="308"/>
        <v>43344</v>
      </c>
      <c r="F2119" s="2">
        <f t="shared" si="310"/>
        <v>44196</v>
      </c>
    </row>
    <row r="2120" spans="1:6" x14ac:dyDescent="0.25">
      <c r="A2120" s="1" t="s">
        <v>431</v>
      </c>
      <c r="B2120" s="1" t="s">
        <v>1074</v>
      </c>
      <c r="C2120" s="1" t="s">
        <v>148</v>
      </c>
      <c r="D2120" s="3">
        <f t="shared" si="311"/>
        <v>8361</v>
      </c>
      <c r="E2120" s="2">
        <f t="shared" si="308"/>
        <v>43344</v>
      </c>
      <c r="F2120" s="2">
        <f t="shared" si="310"/>
        <v>44196</v>
      </c>
    </row>
    <row r="2121" spans="1:6" x14ac:dyDescent="0.25">
      <c r="A2121" s="1" t="s">
        <v>431</v>
      </c>
      <c r="B2121" s="1" t="s">
        <v>1074</v>
      </c>
      <c r="C2121" s="1" t="s">
        <v>1075</v>
      </c>
      <c r="D2121" s="3">
        <f t="shared" si="311"/>
        <v>8361</v>
      </c>
      <c r="E2121" s="2">
        <f t="shared" si="308"/>
        <v>43344</v>
      </c>
      <c r="F2121" s="2">
        <f t="shared" si="310"/>
        <v>44196</v>
      </c>
    </row>
    <row r="2122" spans="1:6" x14ac:dyDescent="0.25">
      <c r="A2122" s="1" t="s">
        <v>431</v>
      </c>
      <c r="B2122" s="1" t="s">
        <v>1074</v>
      </c>
      <c r="C2122" s="1" t="s">
        <v>548</v>
      </c>
      <c r="D2122" s="3">
        <f t="shared" si="311"/>
        <v>8361</v>
      </c>
      <c r="E2122" s="2">
        <f t="shared" si="308"/>
        <v>43344</v>
      </c>
      <c r="F2122" s="2">
        <f t="shared" si="310"/>
        <v>44196</v>
      </c>
    </row>
    <row r="2123" spans="1:6" x14ac:dyDescent="0.25">
      <c r="A2123" s="1" t="s">
        <v>431</v>
      </c>
      <c r="B2123" s="1" t="s">
        <v>1074</v>
      </c>
      <c r="C2123" s="1" t="s">
        <v>160</v>
      </c>
      <c r="D2123" s="3">
        <f t="shared" si="311"/>
        <v>8361</v>
      </c>
      <c r="E2123" s="2">
        <f t="shared" si="308"/>
        <v>43344</v>
      </c>
      <c r="F2123" s="2">
        <f t="shared" si="310"/>
        <v>44196</v>
      </c>
    </row>
    <row r="2124" spans="1:6" x14ac:dyDescent="0.25">
      <c r="A2124" s="1" t="s">
        <v>431</v>
      </c>
      <c r="B2124" s="1" t="s">
        <v>1074</v>
      </c>
      <c r="C2124" s="1" t="s">
        <v>310</v>
      </c>
      <c r="D2124" s="3">
        <f t="shared" si="311"/>
        <v>8361</v>
      </c>
      <c r="E2124" s="2">
        <f t="shared" si="308"/>
        <v>43344</v>
      </c>
      <c r="F2124" s="2">
        <f t="shared" si="310"/>
        <v>44196</v>
      </c>
    </row>
    <row r="2125" spans="1:6" x14ac:dyDescent="0.25">
      <c r="A2125" s="1" t="s">
        <v>431</v>
      </c>
      <c r="B2125" s="1" t="s">
        <v>1780</v>
      </c>
      <c r="C2125" s="1" t="s">
        <v>485</v>
      </c>
      <c r="D2125" s="3">
        <f t="shared" ref="D2125:D2138" si="312">VALUE("8333")</f>
        <v>8333</v>
      </c>
      <c r="E2125" s="2">
        <f t="shared" ref="E2125:E2138" si="313">DATEVALUE("1-8-2018")</f>
        <v>43313</v>
      </c>
      <c r="F2125" s="2">
        <f t="shared" ref="F2125:F2138" si="314">DATEVALUE("30-6-2020")</f>
        <v>44012</v>
      </c>
    </row>
    <row r="2126" spans="1:6" x14ac:dyDescent="0.25">
      <c r="A2126" s="1" t="s">
        <v>431</v>
      </c>
      <c r="B2126" s="1" t="s">
        <v>1780</v>
      </c>
      <c r="C2126" s="1" t="s">
        <v>87</v>
      </c>
      <c r="D2126" s="3">
        <f t="shared" si="312"/>
        <v>8333</v>
      </c>
      <c r="E2126" s="2">
        <f t="shared" si="313"/>
        <v>43313</v>
      </c>
      <c r="F2126" s="2">
        <f t="shared" si="314"/>
        <v>44012</v>
      </c>
    </row>
    <row r="2127" spans="1:6" x14ac:dyDescent="0.25">
      <c r="A2127" s="1" t="s">
        <v>431</v>
      </c>
      <c r="B2127" s="1" t="s">
        <v>1780</v>
      </c>
      <c r="C2127" s="1" t="s">
        <v>14</v>
      </c>
      <c r="D2127" s="3">
        <f t="shared" si="312"/>
        <v>8333</v>
      </c>
      <c r="E2127" s="2">
        <f t="shared" si="313"/>
        <v>43313</v>
      </c>
      <c r="F2127" s="2">
        <f t="shared" si="314"/>
        <v>44012</v>
      </c>
    </row>
    <row r="2128" spans="1:6" x14ac:dyDescent="0.25">
      <c r="A2128" s="1" t="s">
        <v>431</v>
      </c>
      <c r="B2128" s="1" t="s">
        <v>1780</v>
      </c>
      <c r="C2128" s="1" t="s">
        <v>17</v>
      </c>
      <c r="D2128" s="3">
        <f t="shared" si="312"/>
        <v>8333</v>
      </c>
      <c r="E2128" s="2">
        <f t="shared" si="313"/>
        <v>43313</v>
      </c>
      <c r="F2128" s="2">
        <f t="shared" si="314"/>
        <v>44012</v>
      </c>
    </row>
    <row r="2129" spans="1:6" x14ac:dyDescent="0.25">
      <c r="A2129" s="1" t="s">
        <v>431</v>
      </c>
      <c r="B2129" s="1" t="s">
        <v>1780</v>
      </c>
      <c r="C2129" s="1" t="s">
        <v>167</v>
      </c>
      <c r="D2129" s="3">
        <f t="shared" si="312"/>
        <v>8333</v>
      </c>
      <c r="E2129" s="2">
        <f t="shared" si="313"/>
        <v>43313</v>
      </c>
      <c r="F2129" s="2">
        <f t="shared" si="314"/>
        <v>44012</v>
      </c>
    </row>
    <row r="2130" spans="1:6" x14ac:dyDescent="0.25">
      <c r="A2130" s="1" t="s">
        <v>431</v>
      </c>
      <c r="B2130" s="1" t="s">
        <v>1780</v>
      </c>
      <c r="C2130" s="1" t="s">
        <v>258</v>
      </c>
      <c r="D2130" s="3">
        <f t="shared" si="312"/>
        <v>8333</v>
      </c>
      <c r="E2130" s="2">
        <f t="shared" si="313"/>
        <v>43313</v>
      </c>
      <c r="F2130" s="2">
        <f t="shared" si="314"/>
        <v>44012</v>
      </c>
    </row>
    <row r="2131" spans="1:6" x14ac:dyDescent="0.25">
      <c r="A2131" s="1" t="s">
        <v>431</v>
      </c>
      <c r="B2131" s="1" t="s">
        <v>1780</v>
      </c>
      <c r="C2131" s="1" t="s">
        <v>390</v>
      </c>
      <c r="D2131" s="3">
        <f t="shared" si="312"/>
        <v>8333</v>
      </c>
      <c r="E2131" s="2">
        <f t="shared" si="313"/>
        <v>43313</v>
      </c>
      <c r="F2131" s="2">
        <f t="shared" si="314"/>
        <v>44012</v>
      </c>
    </row>
    <row r="2132" spans="1:6" x14ac:dyDescent="0.25">
      <c r="A2132" s="1" t="s">
        <v>431</v>
      </c>
      <c r="B2132" s="1" t="s">
        <v>1780</v>
      </c>
      <c r="C2132" s="1" t="s">
        <v>1781</v>
      </c>
      <c r="D2132" s="3">
        <f t="shared" si="312"/>
        <v>8333</v>
      </c>
      <c r="E2132" s="2">
        <f t="shared" si="313"/>
        <v>43313</v>
      </c>
      <c r="F2132" s="2">
        <f t="shared" si="314"/>
        <v>44012</v>
      </c>
    </row>
    <row r="2133" spans="1:6" x14ac:dyDescent="0.25">
      <c r="A2133" s="1" t="s">
        <v>431</v>
      </c>
      <c r="B2133" s="1" t="s">
        <v>1780</v>
      </c>
      <c r="C2133" s="1" t="s">
        <v>24</v>
      </c>
      <c r="D2133" s="3">
        <f t="shared" si="312"/>
        <v>8333</v>
      </c>
      <c r="E2133" s="2">
        <f t="shared" si="313"/>
        <v>43313</v>
      </c>
      <c r="F2133" s="2">
        <f t="shared" si="314"/>
        <v>44012</v>
      </c>
    </row>
    <row r="2134" spans="1:6" x14ac:dyDescent="0.25">
      <c r="A2134" s="1" t="s">
        <v>431</v>
      </c>
      <c r="B2134" s="1" t="s">
        <v>1780</v>
      </c>
      <c r="C2134" s="1" t="s">
        <v>457</v>
      </c>
      <c r="D2134" s="3">
        <f t="shared" si="312"/>
        <v>8333</v>
      </c>
      <c r="E2134" s="2">
        <f t="shared" si="313"/>
        <v>43313</v>
      </c>
      <c r="F2134" s="2">
        <f t="shared" si="314"/>
        <v>44012</v>
      </c>
    </row>
    <row r="2135" spans="1:6" x14ac:dyDescent="0.25">
      <c r="A2135" s="1" t="s">
        <v>431</v>
      </c>
      <c r="B2135" s="1" t="s">
        <v>1780</v>
      </c>
      <c r="C2135" s="1" t="s">
        <v>34</v>
      </c>
      <c r="D2135" s="3">
        <f t="shared" si="312"/>
        <v>8333</v>
      </c>
      <c r="E2135" s="2">
        <f t="shared" si="313"/>
        <v>43313</v>
      </c>
      <c r="F2135" s="2">
        <f t="shared" si="314"/>
        <v>44012</v>
      </c>
    </row>
    <row r="2136" spans="1:6" x14ac:dyDescent="0.25">
      <c r="A2136" s="1" t="s">
        <v>431</v>
      </c>
      <c r="B2136" s="1" t="s">
        <v>1780</v>
      </c>
      <c r="C2136" s="1" t="s">
        <v>131</v>
      </c>
      <c r="D2136" s="3">
        <f t="shared" si="312"/>
        <v>8333</v>
      </c>
      <c r="E2136" s="2">
        <f t="shared" si="313"/>
        <v>43313</v>
      </c>
      <c r="F2136" s="2">
        <f t="shared" si="314"/>
        <v>44012</v>
      </c>
    </row>
    <row r="2137" spans="1:6" x14ac:dyDescent="0.25">
      <c r="A2137" s="1" t="s">
        <v>431</v>
      </c>
      <c r="B2137" s="1" t="s">
        <v>1780</v>
      </c>
      <c r="C2137" s="1" t="s">
        <v>132</v>
      </c>
      <c r="D2137" s="3">
        <f t="shared" si="312"/>
        <v>8333</v>
      </c>
      <c r="E2137" s="2">
        <f t="shared" si="313"/>
        <v>43313</v>
      </c>
      <c r="F2137" s="2">
        <f t="shared" si="314"/>
        <v>44012</v>
      </c>
    </row>
    <row r="2138" spans="1:6" x14ac:dyDescent="0.25">
      <c r="A2138" s="1" t="s">
        <v>431</v>
      </c>
      <c r="B2138" s="1" t="s">
        <v>1780</v>
      </c>
      <c r="C2138" s="1" t="s">
        <v>133</v>
      </c>
      <c r="D2138" s="3">
        <f t="shared" si="312"/>
        <v>8333</v>
      </c>
      <c r="E2138" s="2">
        <f t="shared" si="313"/>
        <v>43313</v>
      </c>
      <c r="F2138" s="2">
        <f t="shared" si="314"/>
        <v>44012</v>
      </c>
    </row>
    <row r="2139" spans="1:6" x14ac:dyDescent="0.25">
      <c r="A2139" s="1" t="s">
        <v>431</v>
      </c>
      <c r="B2139" s="1" t="s">
        <v>1019</v>
      </c>
      <c r="C2139" s="1" t="s">
        <v>501</v>
      </c>
      <c r="D2139" s="3">
        <f t="shared" ref="D2139:D2163" si="315">VALUE("8304")</f>
        <v>8304</v>
      </c>
      <c r="E2139" s="2">
        <f t="shared" ref="E2139:E2177" si="316">DATEVALUE("1-7-2018")</f>
        <v>43282</v>
      </c>
      <c r="F2139" s="2">
        <f t="shared" ref="F2139:F2163" si="317">DATEVALUE("31-3-2025")</f>
        <v>45747</v>
      </c>
    </row>
    <row r="2140" spans="1:6" x14ac:dyDescent="0.25">
      <c r="A2140" s="1" t="s">
        <v>431</v>
      </c>
      <c r="B2140" s="1" t="s">
        <v>1019</v>
      </c>
      <c r="C2140" s="1" t="s">
        <v>258</v>
      </c>
      <c r="D2140" s="3">
        <f t="shared" si="315"/>
        <v>8304</v>
      </c>
      <c r="E2140" s="2">
        <f t="shared" si="316"/>
        <v>43282</v>
      </c>
      <c r="F2140" s="2">
        <f t="shared" si="317"/>
        <v>45747</v>
      </c>
    </row>
    <row r="2141" spans="1:6" x14ac:dyDescent="0.25">
      <c r="A2141" s="1" t="s">
        <v>431</v>
      </c>
      <c r="B2141" s="1" t="s">
        <v>1019</v>
      </c>
      <c r="C2141" s="1" t="s">
        <v>92</v>
      </c>
      <c r="D2141" s="3">
        <f t="shared" si="315"/>
        <v>8304</v>
      </c>
      <c r="E2141" s="2">
        <f t="shared" si="316"/>
        <v>43282</v>
      </c>
      <c r="F2141" s="2">
        <f t="shared" si="317"/>
        <v>45747</v>
      </c>
    </row>
    <row r="2142" spans="1:6" x14ac:dyDescent="0.25">
      <c r="A2142" s="1" t="s">
        <v>431</v>
      </c>
      <c r="B2142" s="1" t="s">
        <v>1019</v>
      </c>
      <c r="C2142" s="1" t="s">
        <v>1020</v>
      </c>
      <c r="D2142" s="3">
        <f t="shared" si="315"/>
        <v>8304</v>
      </c>
      <c r="E2142" s="2">
        <f t="shared" si="316"/>
        <v>43282</v>
      </c>
      <c r="F2142" s="2">
        <f t="shared" si="317"/>
        <v>45747</v>
      </c>
    </row>
    <row r="2143" spans="1:6" x14ac:dyDescent="0.25">
      <c r="A2143" s="1" t="s">
        <v>431</v>
      </c>
      <c r="B2143" s="1" t="s">
        <v>1019</v>
      </c>
      <c r="C2143" s="1" t="s">
        <v>1021</v>
      </c>
      <c r="D2143" s="3">
        <f t="shared" si="315"/>
        <v>8304</v>
      </c>
      <c r="E2143" s="2">
        <f t="shared" si="316"/>
        <v>43282</v>
      </c>
      <c r="F2143" s="2">
        <f t="shared" si="317"/>
        <v>45747</v>
      </c>
    </row>
    <row r="2144" spans="1:6" x14ac:dyDescent="0.25">
      <c r="A2144" s="1" t="s">
        <v>431</v>
      </c>
      <c r="B2144" s="1" t="s">
        <v>1019</v>
      </c>
      <c r="C2144" s="1" t="s">
        <v>1023</v>
      </c>
      <c r="D2144" s="3">
        <f t="shared" si="315"/>
        <v>8304</v>
      </c>
      <c r="E2144" s="2">
        <f t="shared" si="316"/>
        <v>43282</v>
      </c>
      <c r="F2144" s="2">
        <f t="shared" si="317"/>
        <v>45747</v>
      </c>
    </row>
    <row r="2145" spans="1:6" x14ac:dyDescent="0.25">
      <c r="A2145" s="1" t="s">
        <v>431</v>
      </c>
      <c r="B2145" s="1" t="s">
        <v>1019</v>
      </c>
      <c r="C2145" s="1" t="s">
        <v>1022</v>
      </c>
      <c r="D2145" s="3">
        <f t="shared" si="315"/>
        <v>8304</v>
      </c>
      <c r="E2145" s="2">
        <f t="shared" si="316"/>
        <v>43282</v>
      </c>
      <c r="F2145" s="2">
        <f t="shared" si="317"/>
        <v>45747</v>
      </c>
    </row>
    <row r="2146" spans="1:6" x14ac:dyDescent="0.25">
      <c r="A2146" s="1" t="s">
        <v>431</v>
      </c>
      <c r="B2146" s="1" t="s">
        <v>1019</v>
      </c>
      <c r="C2146" s="1" t="s">
        <v>567</v>
      </c>
      <c r="D2146" s="3">
        <f t="shared" si="315"/>
        <v>8304</v>
      </c>
      <c r="E2146" s="2">
        <f t="shared" si="316"/>
        <v>43282</v>
      </c>
      <c r="F2146" s="2">
        <f t="shared" si="317"/>
        <v>45747</v>
      </c>
    </row>
    <row r="2147" spans="1:6" x14ac:dyDescent="0.25">
      <c r="A2147" s="1" t="s">
        <v>431</v>
      </c>
      <c r="B2147" s="1" t="s">
        <v>1019</v>
      </c>
      <c r="C2147" s="1" t="s">
        <v>968</v>
      </c>
      <c r="D2147" s="3">
        <f t="shared" si="315"/>
        <v>8304</v>
      </c>
      <c r="E2147" s="2">
        <f t="shared" si="316"/>
        <v>43282</v>
      </c>
      <c r="F2147" s="2">
        <f t="shared" si="317"/>
        <v>45747</v>
      </c>
    </row>
    <row r="2148" spans="1:6" x14ac:dyDescent="0.25">
      <c r="A2148" s="1" t="s">
        <v>431</v>
      </c>
      <c r="B2148" s="1" t="s">
        <v>1019</v>
      </c>
      <c r="C2148" s="1" t="s">
        <v>969</v>
      </c>
      <c r="D2148" s="3">
        <f t="shared" si="315"/>
        <v>8304</v>
      </c>
      <c r="E2148" s="2">
        <f t="shared" si="316"/>
        <v>43282</v>
      </c>
      <c r="F2148" s="2">
        <f t="shared" si="317"/>
        <v>45747</v>
      </c>
    </row>
    <row r="2149" spans="1:6" x14ac:dyDescent="0.25">
      <c r="A2149" s="1" t="s">
        <v>431</v>
      </c>
      <c r="B2149" s="1" t="s">
        <v>1019</v>
      </c>
      <c r="C2149" s="1" t="s">
        <v>970</v>
      </c>
      <c r="D2149" s="3">
        <f t="shared" si="315"/>
        <v>8304</v>
      </c>
      <c r="E2149" s="2">
        <f t="shared" si="316"/>
        <v>43282</v>
      </c>
      <c r="F2149" s="2">
        <f t="shared" si="317"/>
        <v>45747</v>
      </c>
    </row>
    <row r="2150" spans="1:6" x14ac:dyDescent="0.25">
      <c r="A2150" s="1" t="s">
        <v>431</v>
      </c>
      <c r="B2150" s="1" t="s">
        <v>1019</v>
      </c>
      <c r="C2150" s="1" t="s">
        <v>569</v>
      </c>
      <c r="D2150" s="3">
        <f t="shared" si="315"/>
        <v>8304</v>
      </c>
      <c r="E2150" s="2">
        <f t="shared" si="316"/>
        <v>43282</v>
      </c>
      <c r="F2150" s="2">
        <f t="shared" si="317"/>
        <v>45747</v>
      </c>
    </row>
    <row r="2151" spans="1:6" x14ac:dyDescent="0.25">
      <c r="A2151" s="1" t="s">
        <v>431</v>
      </c>
      <c r="B2151" s="1" t="s">
        <v>1019</v>
      </c>
      <c r="C2151" s="1" t="s">
        <v>661</v>
      </c>
      <c r="D2151" s="3">
        <f t="shared" si="315"/>
        <v>8304</v>
      </c>
      <c r="E2151" s="2">
        <f t="shared" si="316"/>
        <v>43282</v>
      </c>
      <c r="F2151" s="2">
        <f t="shared" si="317"/>
        <v>45747</v>
      </c>
    </row>
    <row r="2152" spans="1:6" x14ac:dyDescent="0.25">
      <c r="A2152" s="1" t="s">
        <v>431</v>
      </c>
      <c r="B2152" s="1" t="s">
        <v>1019</v>
      </c>
      <c r="C2152" s="1" t="s">
        <v>662</v>
      </c>
      <c r="D2152" s="3">
        <f t="shared" si="315"/>
        <v>8304</v>
      </c>
      <c r="E2152" s="2">
        <f t="shared" si="316"/>
        <v>43282</v>
      </c>
      <c r="F2152" s="2">
        <f t="shared" si="317"/>
        <v>45747</v>
      </c>
    </row>
    <row r="2153" spans="1:6" x14ac:dyDescent="0.25">
      <c r="A2153" s="1" t="s">
        <v>431</v>
      </c>
      <c r="B2153" s="1" t="s">
        <v>1019</v>
      </c>
      <c r="C2153" s="1" t="s">
        <v>160</v>
      </c>
      <c r="D2153" s="3">
        <f t="shared" si="315"/>
        <v>8304</v>
      </c>
      <c r="E2153" s="2">
        <f t="shared" si="316"/>
        <v>43282</v>
      </c>
      <c r="F2153" s="2">
        <f t="shared" si="317"/>
        <v>45747</v>
      </c>
    </row>
    <row r="2154" spans="1:6" x14ac:dyDescent="0.25">
      <c r="A2154" s="1" t="s">
        <v>431</v>
      </c>
      <c r="B2154" s="1" t="s">
        <v>1019</v>
      </c>
      <c r="C2154" s="1" t="s">
        <v>574</v>
      </c>
      <c r="D2154" s="3">
        <f t="shared" si="315"/>
        <v>8304</v>
      </c>
      <c r="E2154" s="2">
        <f t="shared" si="316"/>
        <v>43282</v>
      </c>
      <c r="F2154" s="2">
        <f t="shared" si="317"/>
        <v>45747</v>
      </c>
    </row>
    <row r="2155" spans="1:6" x14ac:dyDescent="0.25">
      <c r="A2155" s="1" t="s">
        <v>431</v>
      </c>
      <c r="B2155" s="1" t="s">
        <v>1019</v>
      </c>
      <c r="C2155" s="1" t="s">
        <v>876</v>
      </c>
      <c r="D2155" s="3">
        <f t="shared" si="315"/>
        <v>8304</v>
      </c>
      <c r="E2155" s="2">
        <f t="shared" si="316"/>
        <v>43282</v>
      </c>
      <c r="F2155" s="2">
        <f t="shared" si="317"/>
        <v>45747</v>
      </c>
    </row>
    <row r="2156" spans="1:6" x14ac:dyDescent="0.25">
      <c r="A2156" s="1" t="s">
        <v>431</v>
      </c>
      <c r="B2156" s="1" t="s">
        <v>1019</v>
      </c>
      <c r="C2156" s="1" t="s">
        <v>877</v>
      </c>
      <c r="D2156" s="3">
        <f t="shared" si="315"/>
        <v>8304</v>
      </c>
      <c r="E2156" s="2">
        <f t="shared" si="316"/>
        <v>43282</v>
      </c>
      <c r="F2156" s="2">
        <f t="shared" si="317"/>
        <v>45747</v>
      </c>
    </row>
    <row r="2157" spans="1:6" x14ac:dyDescent="0.25">
      <c r="A2157" s="1" t="s">
        <v>431</v>
      </c>
      <c r="B2157" s="1" t="s">
        <v>1019</v>
      </c>
      <c r="C2157" s="1" t="s">
        <v>878</v>
      </c>
      <c r="D2157" s="3">
        <f t="shared" si="315"/>
        <v>8304</v>
      </c>
      <c r="E2157" s="2">
        <f t="shared" si="316"/>
        <v>43282</v>
      </c>
      <c r="F2157" s="2">
        <f t="shared" si="317"/>
        <v>45747</v>
      </c>
    </row>
    <row r="2158" spans="1:6" x14ac:dyDescent="0.25">
      <c r="A2158" s="1" t="s">
        <v>431</v>
      </c>
      <c r="B2158" s="1" t="s">
        <v>1019</v>
      </c>
      <c r="C2158" s="1" t="s">
        <v>897</v>
      </c>
      <c r="D2158" s="3">
        <f t="shared" si="315"/>
        <v>8304</v>
      </c>
      <c r="E2158" s="2">
        <f t="shared" si="316"/>
        <v>43282</v>
      </c>
      <c r="F2158" s="2">
        <f t="shared" si="317"/>
        <v>45747</v>
      </c>
    </row>
    <row r="2159" spans="1:6" x14ac:dyDescent="0.25">
      <c r="A2159" s="1" t="s">
        <v>431</v>
      </c>
      <c r="B2159" s="1" t="s">
        <v>1019</v>
      </c>
      <c r="C2159" s="1" t="s">
        <v>576</v>
      </c>
      <c r="D2159" s="3">
        <f t="shared" si="315"/>
        <v>8304</v>
      </c>
      <c r="E2159" s="2">
        <f t="shared" si="316"/>
        <v>43282</v>
      </c>
      <c r="F2159" s="2">
        <f t="shared" si="317"/>
        <v>45747</v>
      </c>
    </row>
    <row r="2160" spans="1:6" x14ac:dyDescent="0.25">
      <c r="A2160" s="1" t="s">
        <v>431</v>
      </c>
      <c r="B2160" s="1" t="s">
        <v>1019</v>
      </c>
      <c r="C2160" s="1" t="s">
        <v>663</v>
      </c>
      <c r="D2160" s="3">
        <f t="shared" si="315"/>
        <v>8304</v>
      </c>
      <c r="E2160" s="2">
        <f t="shared" si="316"/>
        <v>43282</v>
      </c>
      <c r="F2160" s="2">
        <f t="shared" si="317"/>
        <v>45747</v>
      </c>
    </row>
    <row r="2161" spans="1:6" x14ac:dyDescent="0.25">
      <c r="A2161" s="1" t="s">
        <v>431</v>
      </c>
      <c r="B2161" s="1" t="s">
        <v>1019</v>
      </c>
      <c r="C2161" s="1" t="s">
        <v>664</v>
      </c>
      <c r="D2161" s="3">
        <f t="shared" si="315"/>
        <v>8304</v>
      </c>
      <c r="E2161" s="2">
        <f t="shared" si="316"/>
        <v>43282</v>
      </c>
      <c r="F2161" s="2">
        <f t="shared" si="317"/>
        <v>45747</v>
      </c>
    </row>
    <row r="2162" spans="1:6" x14ac:dyDescent="0.25">
      <c r="A2162" s="1" t="s">
        <v>431</v>
      </c>
      <c r="B2162" s="1" t="s">
        <v>1019</v>
      </c>
      <c r="C2162" s="1" t="s">
        <v>665</v>
      </c>
      <c r="D2162" s="3">
        <f t="shared" si="315"/>
        <v>8304</v>
      </c>
      <c r="E2162" s="2">
        <f t="shared" si="316"/>
        <v>43282</v>
      </c>
      <c r="F2162" s="2">
        <f t="shared" si="317"/>
        <v>45747</v>
      </c>
    </row>
    <row r="2163" spans="1:6" x14ac:dyDescent="0.25">
      <c r="A2163" s="1" t="s">
        <v>431</v>
      </c>
      <c r="B2163" s="1" t="s">
        <v>1019</v>
      </c>
      <c r="C2163" s="1" t="s">
        <v>379</v>
      </c>
      <c r="D2163" s="3">
        <f t="shared" si="315"/>
        <v>8304</v>
      </c>
      <c r="E2163" s="2">
        <f t="shared" si="316"/>
        <v>43282</v>
      </c>
      <c r="F2163" s="2">
        <f t="shared" si="317"/>
        <v>45747</v>
      </c>
    </row>
    <row r="2164" spans="1:6" x14ac:dyDescent="0.25">
      <c r="A2164" s="1" t="s">
        <v>431</v>
      </c>
      <c r="B2164" s="1" t="s">
        <v>1053</v>
      </c>
      <c r="C2164" s="1" t="s">
        <v>87</v>
      </c>
      <c r="D2164" s="3">
        <f t="shared" ref="D2164:D2177" si="318">VALUE("8332")</f>
        <v>8332</v>
      </c>
      <c r="E2164" s="2">
        <f t="shared" si="316"/>
        <v>43282</v>
      </c>
      <c r="F2164" s="2">
        <f t="shared" ref="F2164:F2208" si="319">DATEVALUE("31-3-2021")</f>
        <v>44286</v>
      </c>
    </row>
    <row r="2165" spans="1:6" x14ac:dyDescent="0.25">
      <c r="A2165" s="1" t="s">
        <v>431</v>
      </c>
      <c r="B2165" s="1" t="s">
        <v>1053</v>
      </c>
      <c r="C2165" s="1" t="s">
        <v>14</v>
      </c>
      <c r="D2165" s="3">
        <f t="shared" si="318"/>
        <v>8332</v>
      </c>
      <c r="E2165" s="2">
        <f t="shared" si="316"/>
        <v>43282</v>
      </c>
      <c r="F2165" s="2">
        <f t="shared" si="319"/>
        <v>44286</v>
      </c>
    </row>
    <row r="2166" spans="1:6" x14ac:dyDescent="0.25">
      <c r="A2166" s="1" t="s">
        <v>431</v>
      </c>
      <c r="B2166" s="1" t="s">
        <v>1053</v>
      </c>
      <c r="C2166" s="1" t="s">
        <v>16</v>
      </c>
      <c r="D2166" s="3">
        <f t="shared" si="318"/>
        <v>8332</v>
      </c>
      <c r="E2166" s="2">
        <f t="shared" si="316"/>
        <v>43282</v>
      </c>
      <c r="F2166" s="2">
        <f t="shared" si="319"/>
        <v>44286</v>
      </c>
    </row>
    <row r="2167" spans="1:6" x14ac:dyDescent="0.25">
      <c r="A2167" s="1" t="s">
        <v>431</v>
      </c>
      <c r="B2167" s="1" t="s">
        <v>1053</v>
      </c>
      <c r="C2167" s="1" t="s">
        <v>89</v>
      </c>
      <c r="D2167" s="3">
        <f t="shared" si="318"/>
        <v>8332</v>
      </c>
      <c r="E2167" s="2">
        <f t="shared" si="316"/>
        <v>43282</v>
      </c>
      <c r="F2167" s="2">
        <f t="shared" si="319"/>
        <v>44286</v>
      </c>
    </row>
    <row r="2168" spans="1:6" x14ac:dyDescent="0.25">
      <c r="A2168" s="1" t="s">
        <v>431</v>
      </c>
      <c r="B2168" s="1" t="s">
        <v>1053</v>
      </c>
      <c r="C2168" s="1" t="s">
        <v>17</v>
      </c>
      <c r="D2168" s="3">
        <f t="shared" si="318"/>
        <v>8332</v>
      </c>
      <c r="E2168" s="2">
        <f t="shared" si="316"/>
        <v>43282</v>
      </c>
      <c r="F2168" s="2">
        <f t="shared" si="319"/>
        <v>44286</v>
      </c>
    </row>
    <row r="2169" spans="1:6" x14ac:dyDescent="0.25">
      <c r="A2169" s="1" t="s">
        <v>431</v>
      </c>
      <c r="B2169" s="1" t="s">
        <v>1053</v>
      </c>
      <c r="C2169" s="1" t="s">
        <v>291</v>
      </c>
      <c r="D2169" s="3">
        <f t="shared" si="318"/>
        <v>8332</v>
      </c>
      <c r="E2169" s="2">
        <f t="shared" si="316"/>
        <v>43282</v>
      </c>
      <c r="F2169" s="2">
        <f t="shared" si="319"/>
        <v>44286</v>
      </c>
    </row>
    <row r="2170" spans="1:6" x14ac:dyDescent="0.25">
      <c r="A2170" s="1" t="s">
        <v>431</v>
      </c>
      <c r="B2170" s="1" t="s">
        <v>1053</v>
      </c>
      <c r="C2170" s="1" t="s">
        <v>22</v>
      </c>
      <c r="D2170" s="3">
        <f t="shared" si="318"/>
        <v>8332</v>
      </c>
      <c r="E2170" s="2">
        <f t="shared" si="316"/>
        <v>43282</v>
      </c>
      <c r="F2170" s="2">
        <f t="shared" si="319"/>
        <v>44286</v>
      </c>
    </row>
    <row r="2171" spans="1:6" x14ac:dyDescent="0.25">
      <c r="A2171" s="1" t="s">
        <v>431</v>
      </c>
      <c r="B2171" s="1" t="s">
        <v>1053</v>
      </c>
      <c r="C2171" s="1" t="s">
        <v>24</v>
      </c>
      <c r="D2171" s="3">
        <f t="shared" si="318"/>
        <v>8332</v>
      </c>
      <c r="E2171" s="2">
        <f t="shared" si="316"/>
        <v>43282</v>
      </c>
      <c r="F2171" s="2">
        <f t="shared" si="319"/>
        <v>44286</v>
      </c>
    </row>
    <row r="2172" spans="1:6" x14ac:dyDescent="0.25">
      <c r="A2172" s="1" t="s">
        <v>431</v>
      </c>
      <c r="B2172" s="1" t="s">
        <v>1053</v>
      </c>
      <c r="C2172" s="1" t="s">
        <v>70</v>
      </c>
      <c r="D2172" s="3">
        <f t="shared" si="318"/>
        <v>8332</v>
      </c>
      <c r="E2172" s="2">
        <f t="shared" si="316"/>
        <v>43282</v>
      </c>
      <c r="F2172" s="2">
        <f t="shared" si="319"/>
        <v>44286</v>
      </c>
    </row>
    <row r="2173" spans="1:6" x14ac:dyDescent="0.25">
      <c r="A2173" s="1" t="s">
        <v>431</v>
      </c>
      <c r="B2173" s="1" t="s">
        <v>1053</v>
      </c>
      <c r="C2173" s="1" t="s">
        <v>73</v>
      </c>
      <c r="D2173" s="3">
        <f t="shared" si="318"/>
        <v>8332</v>
      </c>
      <c r="E2173" s="2">
        <f t="shared" si="316"/>
        <v>43282</v>
      </c>
      <c r="F2173" s="2">
        <f t="shared" si="319"/>
        <v>44286</v>
      </c>
    </row>
    <row r="2174" spans="1:6" x14ac:dyDescent="0.25">
      <c r="A2174" s="1" t="s">
        <v>431</v>
      </c>
      <c r="B2174" s="1" t="s">
        <v>1053</v>
      </c>
      <c r="C2174" s="1" t="s">
        <v>52</v>
      </c>
      <c r="D2174" s="3">
        <f t="shared" si="318"/>
        <v>8332</v>
      </c>
      <c r="E2174" s="2">
        <f t="shared" si="316"/>
        <v>43282</v>
      </c>
      <c r="F2174" s="2">
        <f t="shared" si="319"/>
        <v>44286</v>
      </c>
    </row>
    <row r="2175" spans="1:6" x14ac:dyDescent="0.25">
      <c r="A2175" s="1" t="s">
        <v>431</v>
      </c>
      <c r="B2175" s="1" t="s">
        <v>1053</v>
      </c>
      <c r="C2175" s="1" t="s">
        <v>241</v>
      </c>
      <c r="D2175" s="3">
        <f t="shared" si="318"/>
        <v>8332</v>
      </c>
      <c r="E2175" s="2">
        <f t="shared" si="316"/>
        <v>43282</v>
      </c>
      <c r="F2175" s="2">
        <f t="shared" si="319"/>
        <v>44286</v>
      </c>
    </row>
    <row r="2176" spans="1:6" x14ac:dyDescent="0.25">
      <c r="A2176" s="1" t="s">
        <v>431</v>
      </c>
      <c r="B2176" s="1" t="s">
        <v>1053</v>
      </c>
      <c r="C2176" s="1" t="s">
        <v>378</v>
      </c>
      <c r="D2176" s="3">
        <f t="shared" si="318"/>
        <v>8332</v>
      </c>
      <c r="E2176" s="2">
        <f t="shared" si="316"/>
        <v>43282</v>
      </c>
      <c r="F2176" s="2">
        <f t="shared" si="319"/>
        <v>44286</v>
      </c>
    </row>
    <row r="2177" spans="1:6" x14ac:dyDescent="0.25">
      <c r="A2177" s="1" t="s">
        <v>431</v>
      </c>
      <c r="B2177" s="1" t="s">
        <v>1053</v>
      </c>
      <c r="C2177" s="1" t="s">
        <v>34</v>
      </c>
      <c r="D2177" s="3">
        <f t="shared" si="318"/>
        <v>8332</v>
      </c>
      <c r="E2177" s="2">
        <f t="shared" si="316"/>
        <v>43282</v>
      </c>
      <c r="F2177" s="2">
        <f t="shared" si="319"/>
        <v>44286</v>
      </c>
    </row>
    <row r="2178" spans="1:6" x14ac:dyDescent="0.25">
      <c r="A2178" s="1" t="s">
        <v>431</v>
      </c>
      <c r="B2178" s="1" t="s">
        <v>1013</v>
      </c>
      <c r="C2178" s="1" t="s">
        <v>191</v>
      </c>
      <c r="D2178" s="3">
        <f t="shared" ref="D2178:D2208" si="320">VALUE("8295")</f>
        <v>8295</v>
      </c>
      <c r="E2178" s="2">
        <f t="shared" ref="E2178:E2208" si="321">DATEVALUE("1-6-2018")</f>
        <v>43252</v>
      </c>
      <c r="F2178" s="2">
        <f t="shared" si="319"/>
        <v>44286</v>
      </c>
    </row>
    <row r="2179" spans="1:6" x14ac:dyDescent="0.25">
      <c r="A2179" s="1" t="s">
        <v>431</v>
      </c>
      <c r="B2179" s="1" t="s">
        <v>1013</v>
      </c>
      <c r="C2179" s="1" t="s">
        <v>8</v>
      </c>
      <c r="D2179" s="3">
        <f t="shared" si="320"/>
        <v>8295</v>
      </c>
      <c r="E2179" s="2">
        <f t="shared" si="321"/>
        <v>43252</v>
      </c>
      <c r="F2179" s="2">
        <f t="shared" si="319"/>
        <v>44286</v>
      </c>
    </row>
    <row r="2180" spans="1:6" x14ac:dyDescent="0.25">
      <c r="A2180" s="1" t="s">
        <v>431</v>
      </c>
      <c r="B2180" s="1" t="s">
        <v>1013</v>
      </c>
      <c r="C2180" s="1" t="s">
        <v>411</v>
      </c>
      <c r="D2180" s="3">
        <f t="shared" si="320"/>
        <v>8295</v>
      </c>
      <c r="E2180" s="2">
        <f t="shared" si="321"/>
        <v>43252</v>
      </c>
      <c r="F2180" s="2">
        <f t="shared" si="319"/>
        <v>44286</v>
      </c>
    </row>
    <row r="2181" spans="1:6" x14ac:dyDescent="0.25">
      <c r="A2181" s="1" t="s">
        <v>431</v>
      </c>
      <c r="B2181" s="1" t="s">
        <v>1013</v>
      </c>
      <c r="C2181" s="1" t="s">
        <v>184</v>
      </c>
      <c r="D2181" s="3">
        <f t="shared" si="320"/>
        <v>8295</v>
      </c>
      <c r="E2181" s="2">
        <f t="shared" si="321"/>
        <v>43252</v>
      </c>
      <c r="F2181" s="2">
        <f t="shared" si="319"/>
        <v>44286</v>
      </c>
    </row>
    <row r="2182" spans="1:6" x14ac:dyDescent="0.25">
      <c r="A2182" s="1" t="s">
        <v>431</v>
      </c>
      <c r="B2182" s="1" t="s">
        <v>1013</v>
      </c>
      <c r="C2182" s="1" t="s">
        <v>62</v>
      </c>
      <c r="D2182" s="3">
        <f t="shared" si="320"/>
        <v>8295</v>
      </c>
      <c r="E2182" s="2">
        <f t="shared" si="321"/>
        <v>43252</v>
      </c>
      <c r="F2182" s="2">
        <f t="shared" si="319"/>
        <v>44286</v>
      </c>
    </row>
    <row r="2183" spans="1:6" x14ac:dyDescent="0.25">
      <c r="A2183" s="1" t="s">
        <v>431</v>
      </c>
      <c r="B2183" s="1" t="s">
        <v>1013</v>
      </c>
      <c r="C2183" s="1" t="s">
        <v>63</v>
      </c>
      <c r="D2183" s="3">
        <f t="shared" si="320"/>
        <v>8295</v>
      </c>
      <c r="E2183" s="2">
        <f t="shared" si="321"/>
        <v>43252</v>
      </c>
      <c r="F2183" s="2">
        <f t="shared" si="319"/>
        <v>44286</v>
      </c>
    </row>
    <row r="2184" spans="1:6" x14ac:dyDescent="0.25">
      <c r="A2184" s="1" t="s">
        <v>431</v>
      </c>
      <c r="B2184" s="1" t="s">
        <v>1013</v>
      </c>
      <c r="C2184" s="1" t="s">
        <v>65</v>
      </c>
      <c r="D2184" s="3">
        <f t="shared" si="320"/>
        <v>8295</v>
      </c>
      <c r="E2184" s="2">
        <f t="shared" si="321"/>
        <v>43252</v>
      </c>
      <c r="F2184" s="2">
        <f t="shared" si="319"/>
        <v>44286</v>
      </c>
    </row>
    <row r="2185" spans="1:6" x14ac:dyDescent="0.25">
      <c r="A2185" s="1" t="s">
        <v>431</v>
      </c>
      <c r="B2185" s="1" t="s">
        <v>1013</v>
      </c>
      <c r="C2185" s="1" t="s">
        <v>14</v>
      </c>
      <c r="D2185" s="3">
        <f t="shared" si="320"/>
        <v>8295</v>
      </c>
      <c r="E2185" s="2">
        <f t="shared" si="321"/>
        <v>43252</v>
      </c>
      <c r="F2185" s="2">
        <f t="shared" si="319"/>
        <v>44286</v>
      </c>
    </row>
    <row r="2186" spans="1:6" x14ac:dyDescent="0.25">
      <c r="A2186" s="1" t="s">
        <v>431</v>
      </c>
      <c r="B2186" s="1" t="s">
        <v>1013</v>
      </c>
      <c r="C2186" s="1" t="s">
        <v>15</v>
      </c>
      <c r="D2186" s="3">
        <f t="shared" si="320"/>
        <v>8295</v>
      </c>
      <c r="E2186" s="2">
        <f t="shared" si="321"/>
        <v>43252</v>
      </c>
      <c r="F2186" s="2">
        <f t="shared" si="319"/>
        <v>44286</v>
      </c>
    </row>
    <row r="2187" spans="1:6" x14ac:dyDescent="0.25">
      <c r="A2187" s="1" t="s">
        <v>431</v>
      </c>
      <c r="B2187" s="1" t="s">
        <v>1013</v>
      </c>
      <c r="C2187" s="1" t="s">
        <v>89</v>
      </c>
      <c r="D2187" s="3">
        <f t="shared" si="320"/>
        <v>8295</v>
      </c>
      <c r="E2187" s="2">
        <f t="shared" si="321"/>
        <v>43252</v>
      </c>
      <c r="F2187" s="2">
        <f t="shared" si="319"/>
        <v>44286</v>
      </c>
    </row>
    <row r="2188" spans="1:6" x14ac:dyDescent="0.25">
      <c r="A2188" s="1" t="s">
        <v>431</v>
      </c>
      <c r="B2188" s="1" t="s">
        <v>1013</v>
      </c>
      <c r="C2188" s="1" t="s">
        <v>17</v>
      </c>
      <c r="D2188" s="3">
        <f t="shared" si="320"/>
        <v>8295</v>
      </c>
      <c r="E2188" s="2">
        <f t="shared" si="321"/>
        <v>43252</v>
      </c>
      <c r="F2188" s="2">
        <f t="shared" si="319"/>
        <v>44286</v>
      </c>
    </row>
    <row r="2189" spans="1:6" x14ac:dyDescent="0.25">
      <c r="A2189" s="1" t="s">
        <v>431</v>
      </c>
      <c r="B2189" s="1" t="s">
        <v>1013</v>
      </c>
      <c r="C2189" s="1" t="s">
        <v>127</v>
      </c>
      <c r="D2189" s="3">
        <f t="shared" si="320"/>
        <v>8295</v>
      </c>
      <c r="E2189" s="2">
        <f t="shared" si="321"/>
        <v>43252</v>
      </c>
      <c r="F2189" s="2">
        <f t="shared" si="319"/>
        <v>44286</v>
      </c>
    </row>
    <row r="2190" spans="1:6" x14ac:dyDescent="0.25">
      <c r="A2190" s="1" t="s">
        <v>431</v>
      </c>
      <c r="B2190" s="1" t="s">
        <v>1013</v>
      </c>
      <c r="C2190" s="1" t="s">
        <v>168</v>
      </c>
      <c r="D2190" s="3">
        <f t="shared" si="320"/>
        <v>8295</v>
      </c>
      <c r="E2190" s="2">
        <f t="shared" si="321"/>
        <v>43252</v>
      </c>
      <c r="F2190" s="2">
        <f t="shared" si="319"/>
        <v>44286</v>
      </c>
    </row>
    <row r="2191" spans="1:6" x14ac:dyDescent="0.25">
      <c r="A2191" s="1" t="s">
        <v>431</v>
      </c>
      <c r="B2191" s="1" t="s">
        <v>1013</v>
      </c>
      <c r="C2191" s="1" t="s">
        <v>144</v>
      </c>
      <c r="D2191" s="3">
        <f t="shared" si="320"/>
        <v>8295</v>
      </c>
      <c r="E2191" s="2">
        <f t="shared" si="321"/>
        <v>43252</v>
      </c>
      <c r="F2191" s="2">
        <f t="shared" si="319"/>
        <v>44286</v>
      </c>
    </row>
    <row r="2192" spans="1:6" x14ac:dyDescent="0.25">
      <c r="A2192" s="1" t="s">
        <v>431</v>
      </c>
      <c r="B2192" s="1" t="s">
        <v>1013</v>
      </c>
      <c r="C2192" s="1" t="s">
        <v>22</v>
      </c>
      <c r="D2192" s="3">
        <f t="shared" si="320"/>
        <v>8295</v>
      </c>
      <c r="E2192" s="2">
        <f t="shared" si="321"/>
        <v>43252</v>
      </c>
      <c r="F2192" s="2">
        <f t="shared" si="319"/>
        <v>44286</v>
      </c>
    </row>
    <row r="2193" spans="1:6" x14ac:dyDescent="0.25">
      <c r="A2193" s="1" t="s">
        <v>431</v>
      </c>
      <c r="B2193" s="1" t="s">
        <v>1013</v>
      </c>
      <c r="C2193" s="1" t="s">
        <v>258</v>
      </c>
      <c r="D2193" s="3">
        <f t="shared" si="320"/>
        <v>8295</v>
      </c>
      <c r="E2193" s="2">
        <f t="shared" si="321"/>
        <v>43252</v>
      </c>
      <c r="F2193" s="2">
        <f t="shared" si="319"/>
        <v>44286</v>
      </c>
    </row>
    <row r="2194" spans="1:6" x14ac:dyDescent="0.25">
      <c r="A2194" s="1" t="s">
        <v>431</v>
      </c>
      <c r="B2194" s="1" t="s">
        <v>1013</v>
      </c>
      <c r="C2194" s="1" t="s">
        <v>67</v>
      </c>
      <c r="D2194" s="3">
        <f t="shared" si="320"/>
        <v>8295</v>
      </c>
      <c r="E2194" s="2">
        <f t="shared" si="321"/>
        <v>43252</v>
      </c>
      <c r="F2194" s="2">
        <f t="shared" si="319"/>
        <v>44286</v>
      </c>
    </row>
    <row r="2195" spans="1:6" x14ac:dyDescent="0.25">
      <c r="A2195" s="1" t="s">
        <v>431</v>
      </c>
      <c r="B2195" s="1" t="s">
        <v>1013</v>
      </c>
      <c r="C2195" s="1" t="s">
        <v>149</v>
      </c>
      <c r="D2195" s="3">
        <f t="shared" si="320"/>
        <v>8295</v>
      </c>
      <c r="E2195" s="2">
        <f t="shared" si="321"/>
        <v>43252</v>
      </c>
      <c r="F2195" s="2">
        <f t="shared" si="319"/>
        <v>44286</v>
      </c>
    </row>
    <row r="2196" spans="1:6" x14ac:dyDescent="0.25">
      <c r="A2196" s="1" t="s">
        <v>431</v>
      </c>
      <c r="B2196" s="1" t="s">
        <v>1013</v>
      </c>
      <c r="C2196" s="1" t="s">
        <v>92</v>
      </c>
      <c r="D2196" s="3">
        <f t="shared" si="320"/>
        <v>8295</v>
      </c>
      <c r="E2196" s="2">
        <f t="shared" si="321"/>
        <v>43252</v>
      </c>
      <c r="F2196" s="2">
        <f t="shared" si="319"/>
        <v>44286</v>
      </c>
    </row>
    <row r="2197" spans="1:6" x14ac:dyDescent="0.25">
      <c r="A2197" s="1" t="s">
        <v>431</v>
      </c>
      <c r="B2197" s="1" t="s">
        <v>1013</v>
      </c>
      <c r="C2197" s="1" t="s">
        <v>94</v>
      </c>
      <c r="D2197" s="3">
        <f t="shared" si="320"/>
        <v>8295</v>
      </c>
      <c r="E2197" s="2">
        <f t="shared" si="321"/>
        <v>43252</v>
      </c>
      <c r="F2197" s="2">
        <f t="shared" si="319"/>
        <v>44286</v>
      </c>
    </row>
    <row r="2198" spans="1:6" x14ac:dyDescent="0.25">
      <c r="A2198" s="1" t="s">
        <v>431</v>
      </c>
      <c r="B2198" s="1" t="s">
        <v>1013</v>
      </c>
      <c r="C2198" s="1" t="s">
        <v>24</v>
      </c>
      <c r="D2198" s="3">
        <f t="shared" si="320"/>
        <v>8295</v>
      </c>
      <c r="E2198" s="2">
        <f t="shared" si="321"/>
        <v>43252</v>
      </c>
      <c r="F2198" s="2">
        <f t="shared" si="319"/>
        <v>44286</v>
      </c>
    </row>
    <row r="2199" spans="1:6" x14ac:dyDescent="0.25">
      <c r="A2199" s="1" t="s">
        <v>431</v>
      </c>
      <c r="B2199" s="1" t="s">
        <v>1013</v>
      </c>
      <c r="C2199" s="1" t="s">
        <v>70</v>
      </c>
      <c r="D2199" s="3">
        <f t="shared" si="320"/>
        <v>8295</v>
      </c>
      <c r="E2199" s="2">
        <f t="shared" si="321"/>
        <v>43252</v>
      </c>
      <c r="F2199" s="2">
        <f t="shared" si="319"/>
        <v>44286</v>
      </c>
    </row>
    <row r="2200" spans="1:6" x14ac:dyDescent="0.25">
      <c r="A2200" s="1" t="s">
        <v>431</v>
      </c>
      <c r="B2200" s="1" t="s">
        <v>1013</v>
      </c>
      <c r="C2200" s="1" t="s">
        <v>533</v>
      </c>
      <c r="D2200" s="3">
        <f t="shared" si="320"/>
        <v>8295</v>
      </c>
      <c r="E2200" s="2">
        <f t="shared" si="321"/>
        <v>43252</v>
      </c>
      <c r="F2200" s="2">
        <f t="shared" si="319"/>
        <v>44286</v>
      </c>
    </row>
    <row r="2201" spans="1:6" x14ac:dyDescent="0.25">
      <c r="A2201" s="1" t="s">
        <v>431</v>
      </c>
      <c r="B2201" s="1" t="s">
        <v>1013</v>
      </c>
      <c r="C2201" s="1" t="s">
        <v>73</v>
      </c>
      <c r="D2201" s="3">
        <f t="shared" si="320"/>
        <v>8295</v>
      </c>
      <c r="E2201" s="2">
        <f t="shared" si="321"/>
        <v>43252</v>
      </c>
      <c r="F2201" s="2">
        <f t="shared" si="319"/>
        <v>44286</v>
      </c>
    </row>
    <row r="2202" spans="1:6" x14ac:dyDescent="0.25">
      <c r="A2202" s="1" t="s">
        <v>431</v>
      </c>
      <c r="B2202" s="1" t="s">
        <v>1013</v>
      </c>
      <c r="C2202" s="1" t="s">
        <v>52</v>
      </c>
      <c r="D2202" s="3">
        <f t="shared" si="320"/>
        <v>8295</v>
      </c>
      <c r="E2202" s="2">
        <f t="shared" si="321"/>
        <v>43252</v>
      </c>
      <c r="F2202" s="2">
        <f t="shared" si="319"/>
        <v>44286</v>
      </c>
    </row>
    <row r="2203" spans="1:6" x14ac:dyDescent="0.25">
      <c r="A2203" s="1" t="s">
        <v>431</v>
      </c>
      <c r="B2203" s="1" t="s">
        <v>1013</v>
      </c>
      <c r="C2203" s="1" t="s">
        <v>34</v>
      </c>
      <c r="D2203" s="3">
        <f t="shared" si="320"/>
        <v>8295</v>
      </c>
      <c r="E2203" s="2">
        <f t="shared" si="321"/>
        <v>43252</v>
      </c>
      <c r="F2203" s="2">
        <f t="shared" si="319"/>
        <v>44286</v>
      </c>
    </row>
    <row r="2204" spans="1:6" x14ac:dyDescent="0.25">
      <c r="A2204" s="1" t="s">
        <v>431</v>
      </c>
      <c r="B2204" s="1" t="s">
        <v>1013</v>
      </c>
      <c r="C2204" s="1" t="s">
        <v>131</v>
      </c>
      <c r="D2204" s="3">
        <f t="shared" si="320"/>
        <v>8295</v>
      </c>
      <c r="E2204" s="2">
        <f t="shared" si="321"/>
        <v>43252</v>
      </c>
      <c r="F2204" s="2">
        <f t="shared" si="319"/>
        <v>44286</v>
      </c>
    </row>
    <row r="2205" spans="1:6" x14ac:dyDescent="0.25">
      <c r="A2205" s="1" t="s">
        <v>431</v>
      </c>
      <c r="B2205" s="1" t="s">
        <v>1013</v>
      </c>
      <c r="C2205" s="1" t="s">
        <v>36</v>
      </c>
      <c r="D2205" s="3">
        <f t="shared" si="320"/>
        <v>8295</v>
      </c>
      <c r="E2205" s="2">
        <f t="shared" si="321"/>
        <v>43252</v>
      </c>
      <c r="F2205" s="2">
        <f t="shared" si="319"/>
        <v>44286</v>
      </c>
    </row>
    <row r="2206" spans="1:6" x14ac:dyDescent="0.25">
      <c r="A2206" s="1" t="s">
        <v>431</v>
      </c>
      <c r="B2206" s="1" t="s">
        <v>1013</v>
      </c>
      <c r="C2206" s="1" t="s">
        <v>133</v>
      </c>
      <c r="D2206" s="3">
        <f t="shared" si="320"/>
        <v>8295</v>
      </c>
      <c r="E2206" s="2">
        <f t="shared" si="321"/>
        <v>43252</v>
      </c>
      <c r="F2206" s="2">
        <f t="shared" si="319"/>
        <v>44286</v>
      </c>
    </row>
    <row r="2207" spans="1:6" x14ac:dyDescent="0.25">
      <c r="A2207" s="1" t="s">
        <v>431</v>
      </c>
      <c r="B2207" s="1" t="s">
        <v>1013</v>
      </c>
      <c r="C2207" s="1" t="s">
        <v>134</v>
      </c>
      <c r="D2207" s="3">
        <f t="shared" si="320"/>
        <v>8295</v>
      </c>
      <c r="E2207" s="2">
        <f t="shared" si="321"/>
        <v>43252</v>
      </c>
      <c r="F2207" s="2">
        <f t="shared" si="319"/>
        <v>44286</v>
      </c>
    </row>
    <row r="2208" spans="1:6" x14ac:dyDescent="0.25">
      <c r="A2208" s="1" t="s">
        <v>431</v>
      </c>
      <c r="B2208" s="1" t="s">
        <v>1013</v>
      </c>
      <c r="C2208" s="1" t="s">
        <v>170</v>
      </c>
      <c r="D2208" s="3">
        <f t="shared" si="320"/>
        <v>8295</v>
      </c>
      <c r="E2208" s="2">
        <f t="shared" si="321"/>
        <v>43252</v>
      </c>
      <c r="F2208" s="2">
        <f t="shared" si="319"/>
        <v>44286</v>
      </c>
    </row>
    <row r="2209" spans="1:6" x14ac:dyDescent="0.25">
      <c r="A2209" s="1" t="s">
        <v>431</v>
      </c>
      <c r="B2209" s="1" t="s">
        <v>1014</v>
      </c>
      <c r="C2209" s="1" t="s">
        <v>438</v>
      </c>
      <c r="D2209" s="3">
        <f t="shared" ref="D2209:D2244" si="322">VALUE("8297")</f>
        <v>8297</v>
      </c>
      <c r="E2209" s="2">
        <f t="shared" ref="E2209:E2244" si="323">DATEVALUE("1-5-2018")</f>
        <v>43221</v>
      </c>
      <c r="F2209" s="2">
        <f t="shared" ref="F2209:F2244" si="324">DATEVALUE("31-12-2020")</f>
        <v>44196</v>
      </c>
    </row>
    <row r="2210" spans="1:6" x14ac:dyDescent="0.25">
      <c r="A2210" s="1" t="s">
        <v>431</v>
      </c>
      <c r="B2210" s="1" t="s">
        <v>1014</v>
      </c>
      <c r="C2210" s="1" t="s">
        <v>8</v>
      </c>
      <c r="D2210" s="3">
        <f t="shared" si="322"/>
        <v>8297</v>
      </c>
      <c r="E2210" s="2">
        <f t="shared" si="323"/>
        <v>43221</v>
      </c>
      <c r="F2210" s="2">
        <f t="shared" si="324"/>
        <v>44196</v>
      </c>
    </row>
    <row r="2211" spans="1:6" x14ac:dyDescent="0.25">
      <c r="A2211" s="1" t="s">
        <v>431</v>
      </c>
      <c r="B2211" s="1" t="s">
        <v>1014</v>
      </c>
      <c r="C2211" s="1" t="s">
        <v>10</v>
      </c>
      <c r="D2211" s="3">
        <f t="shared" si="322"/>
        <v>8297</v>
      </c>
      <c r="E2211" s="2">
        <f t="shared" si="323"/>
        <v>43221</v>
      </c>
      <c r="F2211" s="2">
        <f t="shared" si="324"/>
        <v>44196</v>
      </c>
    </row>
    <row r="2212" spans="1:6" x14ac:dyDescent="0.25">
      <c r="A2212" s="1" t="s">
        <v>431</v>
      </c>
      <c r="B2212" s="1" t="s">
        <v>1014</v>
      </c>
      <c r="C2212" s="1" t="s">
        <v>61</v>
      </c>
      <c r="D2212" s="3">
        <f t="shared" si="322"/>
        <v>8297</v>
      </c>
      <c r="E2212" s="2">
        <f t="shared" si="323"/>
        <v>43221</v>
      </c>
      <c r="F2212" s="2">
        <f t="shared" si="324"/>
        <v>44196</v>
      </c>
    </row>
    <row r="2213" spans="1:6" x14ac:dyDescent="0.25">
      <c r="A2213" s="1" t="s">
        <v>431</v>
      </c>
      <c r="B2213" s="1" t="s">
        <v>1014</v>
      </c>
      <c r="C2213" s="1" t="s">
        <v>45</v>
      </c>
      <c r="D2213" s="3">
        <f t="shared" si="322"/>
        <v>8297</v>
      </c>
      <c r="E2213" s="2">
        <f t="shared" si="323"/>
        <v>43221</v>
      </c>
      <c r="F2213" s="2">
        <f t="shared" si="324"/>
        <v>44196</v>
      </c>
    </row>
    <row r="2214" spans="1:6" x14ac:dyDescent="0.25">
      <c r="A2214" s="1" t="s">
        <v>431</v>
      </c>
      <c r="B2214" s="1" t="s">
        <v>1014</v>
      </c>
      <c r="C2214" s="1" t="s">
        <v>14</v>
      </c>
      <c r="D2214" s="3">
        <f t="shared" si="322"/>
        <v>8297</v>
      </c>
      <c r="E2214" s="2">
        <f t="shared" si="323"/>
        <v>43221</v>
      </c>
      <c r="F2214" s="2">
        <f t="shared" si="324"/>
        <v>44196</v>
      </c>
    </row>
    <row r="2215" spans="1:6" x14ac:dyDescent="0.25">
      <c r="A2215" s="1" t="s">
        <v>431</v>
      </c>
      <c r="B2215" s="1" t="s">
        <v>1014</v>
      </c>
      <c r="C2215" s="1" t="s">
        <v>15</v>
      </c>
      <c r="D2215" s="3">
        <f t="shared" si="322"/>
        <v>8297</v>
      </c>
      <c r="E2215" s="2">
        <f t="shared" si="323"/>
        <v>43221</v>
      </c>
      <c r="F2215" s="2">
        <f t="shared" si="324"/>
        <v>44196</v>
      </c>
    </row>
    <row r="2216" spans="1:6" x14ac:dyDescent="0.25">
      <c r="A2216" s="1" t="s">
        <v>431</v>
      </c>
      <c r="B2216" s="1" t="s">
        <v>1014</v>
      </c>
      <c r="C2216" s="1" t="s">
        <v>16</v>
      </c>
      <c r="D2216" s="3">
        <f t="shared" si="322"/>
        <v>8297</v>
      </c>
      <c r="E2216" s="2">
        <f t="shared" si="323"/>
        <v>43221</v>
      </c>
      <c r="F2216" s="2">
        <f t="shared" si="324"/>
        <v>44196</v>
      </c>
    </row>
    <row r="2217" spans="1:6" x14ac:dyDescent="0.25">
      <c r="A2217" s="1" t="s">
        <v>431</v>
      </c>
      <c r="B2217" s="1" t="s">
        <v>1014</v>
      </c>
      <c r="C2217" s="1" t="s">
        <v>89</v>
      </c>
      <c r="D2217" s="3">
        <f t="shared" si="322"/>
        <v>8297</v>
      </c>
      <c r="E2217" s="2">
        <f t="shared" si="323"/>
        <v>43221</v>
      </c>
      <c r="F2217" s="2">
        <f t="shared" si="324"/>
        <v>44196</v>
      </c>
    </row>
    <row r="2218" spans="1:6" x14ac:dyDescent="0.25">
      <c r="A2218" s="1" t="s">
        <v>431</v>
      </c>
      <c r="B2218" s="1" t="s">
        <v>1014</v>
      </c>
      <c r="C2218" s="1" t="s">
        <v>17</v>
      </c>
      <c r="D2218" s="3">
        <f t="shared" si="322"/>
        <v>8297</v>
      </c>
      <c r="E2218" s="2">
        <f t="shared" si="323"/>
        <v>43221</v>
      </c>
      <c r="F2218" s="2">
        <f t="shared" si="324"/>
        <v>44196</v>
      </c>
    </row>
    <row r="2219" spans="1:6" x14ac:dyDescent="0.25">
      <c r="A2219" s="1" t="s">
        <v>431</v>
      </c>
      <c r="B2219" s="1" t="s">
        <v>1014</v>
      </c>
      <c r="C2219" s="1" t="s">
        <v>257</v>
      </c>
      <c r="D2219" s="3">
        <f t="shared" si="322"/>
        <v>8297</v>
      </c>
      <c r="E2219" s="2">
        <f t="shared" si="323"/>
        <v>43221</v>
      </c>
      <c r="F2219" s="2">
        <f t="shared" si="324"/>
        <v>44196</v>
      </c>
    </row>
    <row r="2220" spans="1:6" x14ac:dyDescent="0.25">
      <c r="A2220" s="1" t="s">
        <v>431</v>
      </c>
      <c r="B2220" s="1" t="s">
        <v>1014</v>
      </c>
      <c r="C2220" s="1" t="s">
        <v>19</v>
      </c>
      <c r="D2220" s="3">
        <f t="shared" si="322"/>
        <v>8297</v>
      </c>
      <c r="E2220" s="2">
        <f t="shared" si="323"/>
        <v>43221</v>
      </c>
      <c r="F2220" s="2">
        <f t="shared" si="324"/>
        <v>44196</v>
      </c>
    </row>
    <row r="2221" spans="1:6" x14ac:dyDescent="0.25">
      <c r="A2221" s="1" t="s">
        <v>431</v>
      </c>
      <c r="B2221" s="1" t="s">
        <v>1014</v>
      </c>
      <c r="C2221" s="1" t="s">
        <v>193</v>
      </c>
      <c r="D2221" s="3">
        <f t="shared" si="322"/>
        <v>8297</v>
      </c>
      <c r="E2221" s="2">
        <f t="shared" si="323"/>
        <v>43221</v>
      </c>
      <c r="F2221" s="2">
        <f t="shared" si="324"/>
        <v>44196</v>
      </c>
    </row>
    <row r="2222" spans="1:6" x14ac:dyDescent="0.25">
      <c r="A2222" s="1" t="s">
        <v>431</v>
      </c>
      <c r="B2222" s="1" t="s">
        <v>1014</v>
      </c>
      <c r="C2222" s="1" t="s">
        <v>20</v>
      </c>
      <c r="D2222" s="3">
        <f t="shared" si="322"/>
        <v>8297</v>
      </c>
      <c r="E2222" s="2">
        <f t="shared" si="323"/>
        <v>43221</v>
      </c>
      <c r="F2222" s="2">
        <f t="shared" si="324"/>
        <v>44196</v>
      </c>
    </row>
    <row r="2223" spans="1:6" x14ac:dyDescent="0.25">
      <c r="A2223" s="1" t="s">
        <v>431</v>
      </c>
      <c r="B2223" s="1" t="s">
        <v>1014</v>
      </c>
      <c r="C2223" s="1" t="s">
        <v>22</v>
      </c>
      <c r="D2223" s="3">
        <f t="shared" si="322"/>
        <v>8297</v>
      </c>
      <c r="E2223" s="2">
        <f t="shared" si="323"/>
        <v>43221</v>
      </c>
      <c r="F2223" s="2">
        <f t="shared" si="324"/>
        <v>44196</v>
      </c>
    </row>
    <row r="2224" spans="1:6" x14ac:dyDescent="0.25">
      <c r="A2224" s="1" t="s">
        <v>431</v>
      </c>
      <c r="B2224" s="1" t="s">
        <v>1014</v>
      </c>
      <c r="C2224" s="1" t="s">
        <v>146</v>
      </c>
      <c r="D2224" s="3">
        <f t="shared" si="322"/>
        <v>8297</v>
      </c>
      <c r="E2224" s="2">
        <f t="shared" si="323"/>
        <v>43221</v>
      </c>
      <c r="F2224" s="2">
        <f t="shared" si="324"/>
        <v>44196</v>
      </c>
    </row>
    <row r="2225" spans="1:6" x14ac:dyDescent="0.25">
      <c r="A2225" s="1" t="s">
        <v>431</v>
      </c>
      <c r="B2225" s="1" t="s">
        <v>1014</v>
      </c>
      <c r="C2225" s="1" t="s">
        <v>67</v>
      </c>
      <c r="D2225" s="3">
        <f t="shared" si="322"/>
        <v>8297</v>
      </c>
      <c r="E2225" s="2">
        <f t="shared" si="323"/>
        <v>43221</v>
      </c>
      <c r="F2225" s="2">
        <f t="shared" si="324"/>
        <v>44196</v>
      </c>
    </row>
    <row r="2226" spans="1:6" x14ac:dyDescent="0.25">
      <c r="A2226" s="1" t="s">
        <v>431</v>
      </c>
      <c r="B2226" s="1" t="s">
        <v>1014</v>
      </c>
      <c r="C2226" s="1" t="s">
        <v>149</v>
      </c>
      <c r="D2226" s="3">
        <f t="shared" si="322"/>
        <v>8297</v>
      </c>
      <c r="E2226" s="2">
        <f t="shared" si="323"/>
        <v>43221</v>
      </c>
      <c r="F2226" s="2">
        <f t="shared" si="324"/>
        <v>44196</v>
      </c>
    </row>
    <row r="2227" spans="1:6" x14ac:dyDescent="0.25">
      <c r="A2227" s="1" t="s">
        <v>431</v>
      </c>
      <c r="B2227" s="1" t="s">
        <v>1014</v>
      </c>
      <c r="C2227" s="1" t="s">
        <v>92</v>
      </c>
      <c r="D2227" s="3">
        <f t="shared" si="322"/>
        <v>8297</v>
      </c>
      <c r="E2227" s="2">
        <f t="shared" si="323"/>
        <v>43221</v>
      </c>
      <c r="F2227" s="2">
        <f t="shared" si="324"/>
        <v>44196</v>
      </c>
    </row>
    <row r="2228" spans="1:6" x14ac:dyDescent="0.25">
      <c r="A2228" s="1" t="s">
        <v>431</v>
      </c>
      <c r="B2228" s="1" t="s">
        <v>1014</v>
      </c>
      <c r="C2228" s="1" t="s">
        <v>475</v>
      </c>
      <c r="D2228" s="3">
        <f t="shared" si="322"/>
        <v>8297</v>
      </c>
      <c r="E2228" s="2">
        <f t="shared" si="323"/>
        <v>43221</v>
      </c>
      <c r="F2228" s="2">
        <f t="shared" si="324"/>
        <v>44196</v>
      </c>
    </row>
    <row r="2229" spans="1:6" x14ac:dyDescent="0.25">
      <c r="A2229" s="1" t="s">
        <v>431</v>
      </c>
      <c r="B2229" s="1" t="s">
        <v>1014</v>
      </c>
      <c r="C2229" s="1" t="s">
        <v>70</v>
      </c>
      <c r="D2229" s="3">
        <f t="shared" si="322"/>
        <v>8297</v>
      </c>
      <c r="E2229" s="2">
        <f t="shared" si="323"/>
        <v>43221</v>
      </c>
      <c r="F2229" s="2">
        <f t="shared" si="324"/>
        <v>44196</v>
      </c>
    </row>
    <row r="2230" spans="1:6" x14ac:dyDescent="0.25">
      <c r="A2230" s="1" t="s">
        <v>431</v>
      </c>
      <c r="B2230" s="1" t="s">
        <v>1014</v>
      </c>
      <c r="C2230" s="1" t="s">
        <v>72</v>
      </c>
      <c r="D2230" s="3">
        <f t="shared" si="322"/>
        <v>8297</v>
      </c>
      <c r="E2230" s="2">
        <f t="shared" si="323"/>
        <v>43221</v>
      </c>
      <c r="F2230" s="2">
        <f t="shared" si="324"/>
        <v>44196</v>
      </c>
    </row>
    <row r="2231" spans="1:6" x14ac:dyDescent="0.25">
      <c r="A2231" s="1" t="s">
        <v>431</v>
      </c>
      <c r="B2231" s="1" t="s">
        <v>1014</v>
      </c>
      <c r="C2231" s="1" t="s">
        <v>293</v>
      </c>
      <c r="D2231" s="3">
        <f t="shared" si="322"/>
        <v>8297</v>
      </c>
      <c r="E2231" s="2">
        <f t="shared" si="323"/>
        <v>43221</v>
      </c>
      <c r="F2231" s="2">
        <f t="shared" si="324"/>
        <v>44196</v>
      </c>
    </row>
    <row r="2232" spans="1:6" x14ac:dyDescent="0.25">
      <c r="A2232" s="1" t="s">
        <v>431</v>
      </c>
      <c r="B2232" s="1" t="s">
        <v>1014</v>
      </c>
      <c r="C2232" s="1" t="s">
        <v>294</v>
      </c>
      <c r="D2232" s="3">
        <f t="shared" si="322"/>
        <v>8297</v>
      </c>
      <c r="E2232" s="2">
        <f t="shared" si="323"/>
        <v>43221</v>
      </c>
      <c r="F2232" s="2">
        <f t="shared" si="324"/>
        <v>44196</v>
      </c>
    </row>
    <row r="2233" spans="1:6" x14ac:dyDescent="0.25">
      <c r="A2233" s="1" t="s">
        <v>431</v>
      </c>
      <c r="B2233" s="1" t="s">
        <v>1014</v>
      </c>
      <c r="C2233" s="1" t="s">
        <v>296</v>
      </c>
      <c r="D2233" s="3">
        <f t="shared" si="322"/>
        <v>8297</v>
      </c>
      <c r="E2233" s="2">
        <f t="shared" si="323"/>
        <v>43221</v>
      </c>
      <c r="F2233" s="2">
        <f t="shared" si="324"/>
        <v>44196</v>
      </c>
    </row>
    <row r="2234" spans="1:6" x14ac:dyDescent="0.25">
      <c r="A2234" s="1" t="s">
        <v>431</v>
      </c>
      <c r="B2234" s="1" t="s">
        <v>1014</v>
      </c>
      <c r="C2234" s="1" t="s">
        <v>297</v>
      </c>
      <c r="D2234" s="3">
        <f t="shared" si="322"/>
        <v>8297</v>
      </c>
      <c r="E2234" s="2">
        <f t="shared" si="323"/>
        <v>43221</v>
      </c>
      <c r="F2234" s="2">
        <f t="shared" si="324"/>
        <v>44196</v>
      </c>
    </row>
    <row r="2235" spans="1:6" x14ac:dyDescent="0.25">
      <c r="A2235" s="1" t="s">
        <v>431</v>
      </c>
      <c r="B2235" s="1" t="s">
        <v>1014</v>
      </c>
      <c r="C2235" s="1" t="s">
        <v>298</v>
      </c>
      <c r="D2235" s="3">
        <f t="shared" si="322"/>
        <v>8297</v>
      </c>
      <c r="E2235" s="2">
        <f t="shared" si="323"/>
        <v>43221</v>
      </c>
      <c r="F2235" s="2">
        <f t="shared" si="324"/>
        <v>44196</v>
      </c>
    </row>
    <row r="2236" spans="1:6" x14ac:dyDescent="0.25">
      <c r="A2236" s="1" t="s">
        <v>431</v>
      </c>
      <c r="B2236" s="1" t="s">
        <v>1014</v>
      </c>
      <c r="C2236" s="1" t="s">
        <v>299</v>
      </c>
      <c r="D2236" s="3">
        <f t="shared" si="322"/>
        <v>8297</v>
      </c>
      <c r="E2236" s="2">
        <f t="shared" si="323"/>
        <v>43221</v>
      </c>
      <c r="F2236" s="2">
        <f t="shared" si="324"/>
        <v>44196</v>
      </c>
    </row>
    <row r="2237" spans="1:6" x14ac:dyDescent="0.25">
      <c r="A2237" s="1" t="s">
        <v>431</v>
      </c>
      <c r="B2237" s="1" t="s">
        <v>1014</v>
      </c>
      <c r="C2237" s="1" t="s">
        <v>300</v>
      </c>
      <c r="D2237" s="3">
        <f t="shared" si="322"/>
        <v>8297</v>
      </c>
      <c r="E2237" s="2">
        <f t="shared" si="323"/>
        <v>43221</v>
      </c>
      <c r="F2237" s="2">
        <f t="shared" si="324"/>
        <v>44196</v>
      </c>
    </row>
    <row r="2238" spans="1:6" x14ac:dyDescent="0.25">
      <c r="A2238" s="1" t="s">
        <v>431</v>
      </c>
      <c r="B2238" s="1" t="s">
        <v>1014</v>
      </c>
      <c r="C2238" s="1" t="s">
        <v>301</v>
      </c>
      <c r="D2238" s="3">
        <f t="shared" si="322"/>
        <v>8297</v>
      </c>
      <c r="E2238" s="2">
        <f t="shared" si="323"/>
        <v>43221</v>
      </c>
      <c r="F2238" s="2">
        <f t="shared" si="324"/>
        <v>44196</v>
      </c>
    </row>
    <row r="2239" spans="1:6" x14ac:dyDescent="0.25">
      <c r="A2239" s="1" t="s">
        <v>431</v>
      </c>
      <c r="B2239" s="1" t="s">
        <v>1014</v>
      </c>
      <c r="C2239" s="1" t="s">
        <v>302</v>
      </c>
      <c r="D2239" s="3">
        <f t="shared" si="322"/>
        <v>8297</v>
      </c>
      <c r="E2239" s="2">
        <f t="shared" si="323"/>
        <v>43221</v>
      </c>
      <c r="F2239" s="2">
        <f t="shared" si="324"/>
        <v>44196</v>
      </c>
    </row>
    <row r="2240" spans="1:6" x14ac:dyDescent="0.25">
      <c r="A2240" s="1" t="s">
        <v>431</v>
      </c>
      <c r="B2240" s="1" t="s">
        <v>1014</v>
      </c>
      <c r="C2240" s="1" t="s">
        <v>52</v>
      </c>
      <c r="D2240" s="3">
        <f t="shared" si="322"/>
        <v>8297</v>
      </c>
      <c r="E2240" s="2">
        <f t="shared" si="323"/>
        <v>43221</v>
      </c>
      <c r="F2240" s="2">
        <f t="shared" si="324"/>
        <v>44196</v>
      </c>
    </row>
    <row r="2241" spans="1:6" x14ac:dyDescent="0.25">
      <c r="A2241" s="1" t="s">
        <v>431</v>
      </c>
      <c r="B2241" s="1" t="s">
        <v>1014</v>
      </c>
      <c r="C2241" s="1" t="s">
        <v>160</v>
      </c>
      <c r="D2241" s="3">
        <f t="shared" si="322"/>
        <v>8297</v>
      </c>
      <c r="E2241" s="2">
        <f t="shared" si="323"/>
        <v>43221</v>
      </c>
      <c r="F2241" s="2">
        <f t="shared" si="324"/>
        <v>44196</v>
      </c>
    </row>
    <row r="2242" spans="1:6" x14ac:dyDescent="0.25">
      <c r="A2242" s="1" t="s">
        <v>431</v>
      </c>
      <c r="B2242" s="1" t="s">
        <v>1014</v>
      </c>
      <c r="C2242" s="1" t="s">
        <v>55</v>
      </c>
      <c r="D2242" s="3">
        <f t="shared" si="322"/>
        <v>8297</v>
      </c>
      <c r="E2242" s="2">
        <f t="shared" si="323"/>
        <v>43221</v>
      </c>
      <c r="F2242" s="2">
        <f t="shared" si="324"/>
        <v>44196</v>
      </c>
    </row>
    <row r="2243" spans="1:6" x14ac:dyDescent="0.25">
      <c r="A2243" s="1" t="s">
        <v>431</v>
      </c>
      <c r="B2243" s="1" t="s">
        <v>1014</v>
      </c>
      <c r="C2243" s="1" t="s">
        <v>490</v>
      </c>
      <c r="D2243" s="3">
        <f t="shared" si="322"/>
        <v>8297</v>
      </c>
      <c r="E2243" s="2">
        <f t="shared" si="323"/>
        <v>43221</v>
      </c>
      <c r="F2243" s="2">
        <f t="shared" si="324"/>
        <v>44196</v>
      </c>
    </row>
    <row r="2244" spans="1:6" x14ac:dyDescent="0.25">
      <c r="A2244" s="1" t="s">
        <v>431</v>
      </c>
      <c r="B2244" s="1" t="s">
        <v>1014</v>
      </c>
      <c r="C2244" s="1" t="s">
        <v>36</v>
      </c>
      <c r="D2244" s="3">
        <f t="shared" si="322"/>
        <v>8297</v>
      </c>
      <c r="E2244" s="2">
        <f t="shared" si="323"/>
        <v>43221</v>
      </c>
      <c r="F2244" s="2">
        <f t="shared" si="324"/>
        <v>44196</v>
      </c>
    </row>
    <row r="2245" spans="1:6" x14ac:dyDescent="0.25">
      <c r="A2245" s="1" t="s">
        <v>431</v>
      </c>
      <c r="B2245" s="1" t="s">
        <v>964</v>
      </c>
      <c r="C2245" s="1" t="s">
        <v>146</v>
      </c>
      <c r="D2245" s="3">
        <f t="shared" ref="D2245:D2269" si="325">VALUE("8259")</f>
        <v>8259</v>
      </c>
      <c r="E2245" s="2">
        <f t="shared" ref="E2245:E2286" si="326">DATEVALUE("1-4-2018")</f>
        <v>43191</v>
      </c>
      <c r="F2245" s="2">
        <f t="shared" ref="F2245:F2269" si="327">DATEVALUE("31-12-2021")</f>
        <v>44561</v>
      </c>
    </row>
    <row r="2246" spans="1:6" x14ac:dyDescent="0.25">
      <c r="A2246" s="1" t="s">
        <v>431</v>
      </c>
      <c r="B2246" s="1" t="s">
        <v>964</v>
      </c>
      <c r="C2246" s="1" t="s">
        <v>67</v>
      </c>
      <c r="D2246" s="3">
        <f t="shared" si="325"/>
        <v>8259</v>
      </c>
      <c r="E2246" s="2">
        <f t="shared" si="326"/>
        <v>43191</v>
      </c>
      <c r="F2246" s="2">
        <f t="shared" si="327"/>
        <v>44561</v>
      </c>
    </row>
    <row r="2247" spans="1:6" x14ac:dyDescent="0.25">
      <c r="A2247" s="1" t="s">
        <v>431</v>
      </c>
      <c r="B2247" s="1" t="s">
        <v>964</v>
      </c>
      <c r="C2247" s="1" t="s">
        <v>965</v>
      </c>
      <c r="D2247" s="3">
        <f t="shared" si="325"/>
        <v>8259</v>
      </c>
      <c r="E2247" s="2">
        <f t="shared" si="326"/>
        <v>43191</v>
      </c>
      <c r="F2247" s="2">
        <f t="shared" si="327"/>
        <v>44561</v>
      </c>
    </row>
    <row r="2248" spans="1:6" x14ac:dyDescent="0.25">
      <c r="A2248" s="1" t="s">
        <v>431</v>
      </c>
      <c r="B2248" s="1" t="s">
        <v>964</v>
      </c>
      <c r="C2248" s="1" t="s">
        <v>567</v>
      </c>
      <c r="D2248" s="3">
        <f t="shared" si="325"/>
        <v>8259</v>
      </c>
      <c r="E2248" s="2">
        <f t="shared" si="326"/>
        <v>43191</v>
      </c>
      <c r="F2248" s="2">
        <f t="shared" si="327"/>
        <v>44561</v>
      </c>
    </row>
    <row r="2249" spans="1:6" x14ac:dyDescent="0.25">
      <c r="A2249" s="1" t="s">
        <v>431</v>
      </c>
      <c r="B2249" s="1" t="s">
        <v>964</v>
      </c>
      <c r="C2249" s="1" t="s">
        <v>966</v>
      </c>
      <c r="D2249" s="3">
        <f t="shared" si="325"/>
        <v>8259</v>
      </c>
      <c r="E2249" s="2">
        <f t="shared" si="326"/>
        <v>43191</v>
      </c>
      <c r="F2249" s="2">
        <f t="shared" si="327"/>
        <v>44561</v>
      </c>
    </row>
    <row r="2250" spans="1:6" x14ac:dyDescent="0.25">
      <c r="A2250" s="1" t="s">
        <v>431</v>
      </c>
      <c r="B2250" s="1" t="s">
        <v>964</v>
      </c>
      <c r="C2250" s="1" t="s">
        <v>967</v>
      </c>
      <c r="D2250" s="3">
        <f t="shared" si="325"/>
        <v>8259</v>
      </c>
      <c r="E2250" s="2">
        <f t="shared" si="326"/>
        <v>43191</v>
      </c>
      <c r="F2250" s="2">
        <f t="shared" si="327"/>
        <v>44561</v>
      </c>
    </row>
    <row r="2251" spans="1:6" x14ac:dyDescent="0.25">
      <c r="A2251" s="1" t="s">
        <v>431</v>
      </c>
      <c r="B2251" s="1" t="s">
        <v>964</v>
      </c>
      <c r="C2251" s="1" t="s">
        <v>968</v>
      </c>
      <c r="D2251" s="3">
        <f t="shared" si="325"/>
        <v>8259</v>
      </c>
      <c r="E2251" s="2">
        <f t="shared" si="326"/>
        <v>43191</v>
      </c>
      <c r="F2251" s="2">
        <f t="shared" si="327"/>
        <v>44561</v>
      </c>
    </row>
    <row r="2252" spans="1:6" x14ac:dyDescent="0.25">
      <c r="A2252" s="1" t="s">
        <v>431</v>
      </c>
      <c r="B2252" s="1" t="s">
        <v>964</v>
      </c>
      <c r="C2252" s="1" t="s">
        <v>659</v>
      </c>
      <c r="D2252" s="3">
        <f t="shared" si="325"/>
        <v>8259</v>
      </c>
      <c r="E2252" s="2">
        <f t="shared" si="326"/>
        <v>43191</v>
      </c>
      <c r="F2252" s="2">
        <f t="shared" si="327"/>
        <v>44561</v>
      </c>
    </row>
    <row r="2253" spans="1:6" x14ac:dyDescent="0.25">
      <c r="A2253" s="1" t="s">
        <v>431</v>
      </c>
      <c r="B2253" s="1" t="s">
        <v>964</v>
      </c>
      <c r="C2253" s="1" t="s">
        <v>660</v>
      </c>
      <c r="D2253" s="3">
        <f t="shared" si="325"/>
        <v>8259</v>
      </c>
      <c r="E2253" s="2">
        <f t="shared" si="326"/>
        <v>43191</v>
      </c>
      <c r="F2253" s="2">
        <f t="shared" si="327"/>
        <v>44561</v>
      </c>
    </row>
    <row r="2254" spans="1:6" x14ac:dyDescent="0.25">
      <c r="A2254" s="1" t="s">
        <v>431</v>
      </c>
      <c r="B2254" s="1" t="s">
        <v>964</v>
      </c>
      <c r="C2254" s="1" t="s">
        <v>969</v>
      </c>
      <c r="D2254" s="3">
        <f t="shared" si="325"/>
        <v>8259</v>
      </c>
      <c r="E2254" s="2">
        <f t="shared" si="326"/>
        <v>43191</v>
      </c>
      <c r="F2254" s="2">
        <f t="shared" si="327"/>
        <v>44561</v>
      </c>
    </row>
    <row r="2255" spans="1:6" x14ac:dyDescent="0.25">
      <c r="A2255" s="1" t="s">
        <v>431</v>
      </c>
      <c r="B2255" s="1" t="s">
        <v>964</v>
      </c>
      <c r="C2255" s="1" t="s">
        <v>970</v>
      </c>
      <c r="D2255" s="3">
        <f t="shared" si="325"/>
        <v>8259</v>
      </c>
      <c r="E2255" s="2">
        <f t="shared" si="326"/>
        <v>43191</v>
      </c>
      <c r="F2255" s="2">
        <f t="shared" si="327"/>
        <v>44561</v>
      </c>
    </row>
    <row r="2256" spans="1:6" x14ac:dyDescent="0.25">
      <c r="A2256" s="1" t="s">
        <v>431</v>
      </c>
      <c r="B2256" s="1" t="s">
        <v>964</v>
      </c>
      <c r="C2256" s="1" t="s">
        <v>569</v>
      </c>
      <c r="D2256" s="3">
        <f t="shared" si="325"/>
        <v>8259</v>
      </c>
      <c r="E2256" s="2">
        <f t="shared" si="326"/>
        <v>43191</v>
      </c>
      <c r="F2256" s="2">
        <f t="shared" si="327"/>
        <v>44561</v>
      </c>
    </row>
    <row r="2257" spans="1:6" x14ac:dyDescent="0.25">
      <c r="A2257" s="1" t="s">
        <v>431</v>
      </c>
      <c r="B2257" s="1" t="s">
        <v>964</v>
      </c>
      <c r="C2257" s="1" t="s">
        <v>661</v>
      </c>
      <c r="D2257" s="3">
        <f t="shared" si="325"/>
        <v>8259</v>
      </c>
      <c r="E2257" s="2">
        <f t="shared" si="326"/>
        <v>43191</v>
      </c>
      <c r="F2257" s="2">
        <f t="shared" si="327"/>
        <v>44561</v>
      </c>
    </row>
    <row r="2258" spans="1:6" x14ac:dyDescent="0.25">
      <c r="A2258" s="1" t="s">
        <v>431</v>
      </c>
      <c r="B2258" s="1" t="s">
        <v>964</v>
      </c>
      <c r="C2258" s="1" t="s">
        <v>662</v>
      </c>
      <c r="D2258" s="3">
        <f t="shared" si="325"/>
        <v>8259</v>
      </c>
      <c r="E2258" s="2">
        <f t="shared" si="326"/>
        <v>43191</v>
      </c>
      <c r="F2258" s="2">
        <f t="shared" si="327"/>
        <v>44561</v>
      </c>
    </row>
    <row r="2259" spans="1:6" x14ac:dyDescent="0.25">
      <c r="A2259" s="1" t="s">
        <v>431</v>
      </c>
      <c r="B2259" s="1" t="s">
        <v>964</v>
      </c>
      <c r="C2259" s="1" t="s">
        <v>571</v>
      </c>
      <c r="D2259" s="3">
        <f t="shared" si="325"/>
        <v>8259</v>
      </c>
      <c r="E2259" s="2">
        <f t="shared" si="326"/>
        <v>43191</v>
      </c>
      <c r="F2259" s="2">
        <f t="shared" si="327"/>
        <v>44561</v>
      </c>
    </row>
    <row r="2260" spans="1:6" x14ac:dyDescent="0.25">
      <c r="A2260" s="1" t="s">
        <v>431</v>
      </c>
      <c r="B2260" s="1" t="s">
        <v>964</v>
      </c>
      <c r="C2260" s="1" t="s">
        <v>572</v>
      </c>
      <c r="D2260" s="3">
        <f t="shared" si="325"/>
        <v>8259</v>
      </c>
      <c r="E2260" s="2">
        <f t="shared" si="326"/>
        <v>43191</v>
      </c>
      <c r="F2260" s="2">
        <f t="shared" si="327"/>
        <v>44561</v>
      </c>
    </row>
    <row r="2261" spans="1:6" x14ac:dyDescent="0.25">
      <c r="A2261" s="1" t="s">
        <v>431</v>
      </c>
      <c r="B2261" s="1" t="s">
        <v>964</v>
      </c>
      <c r="C2261" s="1" t="s">
        <v>573</v>
      </c>
      <c r="D2261" s="3">
        <f t="shared" si="325"/>
        <v>8259</v>
      </c>
      <c r="E2261" s="2">
        <f t="shared" si="326"/>
        <v>43191</v>
      </c>
      <c r="F2261" s="2">
        <f t="shared" si="327"/>
        <v>44561</v>
      </c>
    </row>
    <row r="2262" spans="1:6" x14ac:dyDescent="0.25">
      <c r="A2262" s="1" t="s">
        <v>431</v>
      </c>
      <c r="B2262" s="1" t="s">
        <v>964</v>
      </c>
      <c r="C2262" s="1" t="s">
        <v>574</v>
      </c>
      <c r="D2262" s="3">
        <f t="shared" si="325"/>
        <v>8259</v>
      </c>
      <c r="E2262" s="2">
        <f t="shared" si="326"/>
        <v>43191</v>
      </c>
      <c r="F2262" s="2">
        <f t="shared" si="327"/>
        <v>44561</v>
      </c>
    </row>
    <row r="2263" spans="1:6" x14ac:dyDescent="0.25">
      <c r="A2263" s="1" t="s">
        <v>431</v>
      </c>
      <c r="B2263" s="1" t="s">
        <v>964</v>
      </c>
      <c r="C2263" s="1" t="s">
        <v>876</v>
      </c>
      <c r="D2263" s="3">
        <f t="shared" si="325"/>
        <v>8259</v>
      </c>
      <c r="E2263" s="2">
        <f t="shared" si="326"/>
        <v>43191</v>
      </c>
      <c r="F2263" s="2">
        <f t="shared" si="327"/>
        <v>44561</v>
      </c>
    </row>
    <row r="2264" spans="1:6" x14ac:dyDescent="0.25">
      <c r="A2264" s="1" t="s">
        <v>431</v>
      </c>
      <c r="B2264" s="1" t="s">
        <v>964</v>
      </c>
      <c r="C2264" s="1" t="s">
        <v>877</v>
      </c>
      <c r="D2264" s="3">
        <f t="shared" si="325"/>
        <v>8259</v>
      </c>
      <c r="E2264" s="2">
        <f t="shared" si="326"/>
        <v>43191</v>
      </c>
      <c r="F2264" s="2">
        <f t="shared" si="327"/>
        <v>44561</v>
      </c>
    </row>
    <row r="2265" spans="1:6" x14ac:dyDescent="0.25">
      <c r="A2265" s="1" t="s">
        <v>431</v>
      </c>
      <c r="B2265" s="1" t="s">
        <v>964</v>
      </c>
      <c r="C2265" s="1" t="s">
        <v>878</v>
      </c>
      <c r="D2265" s="3">
        <f t="shared" si="325"/>
        <v>8259</v>
      </c>
      <c r="E2265" s="2">
        <f t="shared" si="326"/>
        <v>43191</v>
      </c>
      <c r="F2265" s="2">
        <f t="shared" si="327"/>
        <v>44561</v>
      </c>
    </row>
    <row r="2266" spans="1:6" x14ac:dyDescent="0.25">
      <c r="A2266" s="1" t="s">
        <v>431</v>
      </c>
      <c r="B2266" s="1" t="s">
        <v>964</v>
      </c>
      <c r="C2266" s="1" t="s">
        <v>576</v>
      </c>
      <c r="D2266" s="3">
        <f t="shared" si="325"/>
        <v>8259</v>
      </c>
      <c r="E2266" s="2">
        <f t="shared" si="326"/>
        <v>43191</v>
      </c>
      <c r="F2266" s="2">
        <f t="shared" si="327"/>
        <v>44561</v>
      </c>
    </row>
    <row r="2267" spans="1:6" x14ac:dyDescent="0.25">
      <c r="A2267" s="1" t="s">
        <v>431</v>
      </c>
      <c r="B2267" s="1" t="s">
        <v>964</v>
      </c>
      <c r="C2267" s="1" t="s">
        <v>663</v>
      </c>
      <c r="D2267" s="3">
        <f t="shared" si="325"/>
        <v>8259</v>
      </c>
      <c r="E2267" s="2">
        <f t="shared" si="326"/>
        <v>43191</v>
      </c>
      <c r="F2267" s="2">
        <f t="shared" si="327"/>
        <v>44561</v>
      </c>
    </row>
    <row r="2268" spans="1:6" x14ac:dyDescent="0.25">
      <c r="A2268" s="1" t="s">
        <v>431</v>
      </c>
      <c r="B2268" s="1" t="s">
        <v>964</v>
      </c>
      <c r="C2268" s="1" t="s">
        <v>664</v>
      </c>
      <c r="D2268" s="3">
        <f t="shared" si="325"/>
        <v>8259</v>
      </c>
      <c r="E2268" s="2">
        <f t="shared" si="326"/>
        <v>43191</v>
      </c>
      <c r="F2268" s="2">
        <f t="shared" si="327"/>
        <v>44561</v>
      </c>
    </row>
    <row r="2269" spans="1:6" x14ac:dyDescent="0.25">
      <c r="A2269" s="1" t="s">
        <v>431</v>
      </c>
      <c r="B2269" s="1" t="s">
        <v>964</v>
      </c>
      <c r="C2269" s="1" t="s">
        <v>665</v>
      </c>
      <c r="D2269" s="3">
        <f t="shared" si="325"/>
        <v>8259</v>
      </c>
      <c r="E2269" s="2">
        <f t="shared" si="326"/>
        <v>43191</v>
      </c>
      <c r="F2269" s="2">
        <f t="shared" si="327"/>
        <v>44561</v>
      </c>
    </row>
    <row r="2270" spans="1:6" x14ac:dyDescent="0.25">
      <c r="A2270" s="1" t="s">
        <v>431</v>
      </c>
      <c r="B2270" s="1" t="s">
        <v>975</v>
      </c>
      <c r="C2270" s="1" t="s">
        <v>8</v>
      </c>
      <c r="D2270" s="3">
        <f t="shared" ref="D2270:D2286" si="328">VALUE("8263")</f>
        <v>8263</v>
      </c>
      <c r="E2270" s="2">
        <f t="shared" si="326"/>
        <v>43191</v>
      </c>
      <c r="F2270" s="2">
        <f t="shared" ref="F2270:F2287" si="329">DATEVALUE("31-12-2020")</f>
        <v>44196</v>
      </c>
    </row>
    <row r="2271" spans="1:6" x14ac:dyDescent="0.25">
      <c r="A2271" s="1" t="s">
        <v>431</v>
      </c>
      <c r="B2271" s="1" t="s">
        <v>975</v>
      </c>
      <c r="C2271" s="1" t="s">
        <v>10</v>
      </c>
      <c r="D2271" s="3">
        <f t="shared" si="328"/>
        <v>8263</v>
      </c>
      <c r="E2271" s="2">
        <f t="shared" si="326"/>
        <v>43191</v>
      </c>
      <c r="F2271" s="2">
        <f t="shared" si="329"/>
        <v>44196</v>
      </c>
    </row>
    <row r="2272" spans="1:6" x14ac:dyDescent="0.25">
      <c r="A2272" s="1" t="s">
        <v>431</v>
      </c>
      <c r="B2272" s="1" t="s">
        <v>975</v>
      </c>
      <c r="C2272" s="1" t="s">
        <v>61</v>
      </c>
      <c r="D2272" s="3">
        <f t="shared" si="328"/>
        <v>8263</v>
      </c>
      <c r="E2272" s="2">
        <f t="shared" si="326"/>
        <v>43191</v>
      </c>
      <c r="F2272" s="2">
        <f t="shared" si="329"/>
        <v>44196</v>
      </c>
    </row>
    <row r="2273" spans="1:6" x14ac:dyDescent="0.25">
      <c r="A2273" s="1" t="s">
        <v>431</v>
      </c>
      <c r="B2273" s="1" t="s">
        <v>975</v>
      </c>
      <c r="C2273" s="1" t="s">
        <v>14</v>
      </c>
      <c r="D2273" s="3">
        <f t="shared" si="328"/>
        <v>8263</v>
      </c>
      <c r="E2273" s="2">
        <f t="shared" si="326"/>
        <v>43191</v>
      </c>
      <c r="F2273" s="2">
        <f t="shared" si="329"/>
        <v>44196</v>
      </c>
    </row>
    <row r="2274" spans="1:6" x14ac:dyDescent="0.25">
      <c r="A2274" s="1" t="s">
        <v>431</v>
      </c>
      <c r="B2274" s="1" t="s">
        <v>975</v>
      </c>
      <c r="C2274" s="1" t="s">
        <v>16</v>
      </c>
      <c r="D2274" s="3">
        <f t="shared" si="328"/>
        <v>8263</v>
      </c>
      <c r="E2274" s="2">
        <f t="shared" si="326"/>
        <v>43191</v>
      </c>
      <c r="F2274" s="2">
        <f t="shared" si="329"/>
        <v>44196</v>
      </c>
    </row>
    <row r="2275" spans="1:6" x14ac:dyDescent="0.25">
      <c r="A2275" s="1" t="s">
        <v>431</v>
      </c>
      <c r="B2275" s="1" t="s">
        <v>975</v>
      </c>
      <c r="C2275" s="1" t="s">
        <v>88</v>
      </c>
      <c r="D2275" s="3">
        <f t="shared" si="328"/>
        <v>8263</v>
      </c>
      <c r="E2275" s="2">
        <f t="shared" si="326"/>
        <v>43191</v>
      </c>
      <c r="F2275" s="2">
        <f t="shared" si="329"/>
        <v>44196</v>
      </c>
    </row>
    <row r="2276" spans="1:6" x14ac:dyDescent="0.25">
      <c r="A2276" s="1" t="s">
        <v>431</v>
      </c>
      <c r="B2276" s="1" t="s">
        <v>975</v>
      </c>
      <c r="C2276" s="1" t="s">
        <v>89</v>
      </c>
      <c r="D2276" s="3">
        <f t="shared" si="328"/>
        <v>8263</v>
      </c>
      <c r="E2276" s="2">
        <f t="shared" si="326"/>
        <v>43191</v>
      </c>
      <c r="F2276" s="2">
        <f t="shared" si="329"/>
        <v>44196</v>
      </c>
    </row>
    <row r="2277" spans="1:6" x14ac:dyDescent="0.25">
      <c r="A2277" s="1" t="s">
        <v>431</v>
      </c>
      <c r="B2277" s="1" t="s">
        <v>975</v>
      </c>
      <c r="C2277" s="1" t="s">
        <v>17</v>
      </c>
      <c r="D2277" s="3">
        <f t="shared" si="328"/>
        <v>8263</v>
      </c>
      <c r="E2277" s="2">
        <f t="shared" si="326"/>
        <v>43191</v>
      </c>
      <c r="F2277" s="2">
        <f t="shared" si="329"/>
        <v>44196</v>
      </c>
    </row>
    <row r="2278" spans="1:6" x14ac:dyDescent="0.25">
      <c r="A2278" s="1" t="s">
        <v>431</v>
      </c>
      <c r="B2278" s="1" t="s">
        <v>975</v>
      </c>
      <c r="C2278" s="1" t="s">
        <v>22</v>
      </c>
      <c r="D2278" s="3">
        <f t="shared" si="328"/>
        <v>8263</v>
      </c>
      <c r="E2278" s="2">
        <f t="shared" si="326"/>
        <v>43191</v>
      </c>
      <c r="F2278" s="2">
        <f t="shared" si="329"/>
        <v>44196</v>
      </c>
    </row>
    <row r="2279" spans="1:6" x14ac:dyDescent="0.25">
      <c r="A2279" s="1" t="s">
        <v>431</v>
      </c>
      <c r="B2279" s="1" t="s">
        <v>975</v>
      </c>
      <c r="C2279" s="1" t="s">
        <v>474</v>
      </c>
      <c r="D2279" s="3">
        <f t="shared" si="328"/>
        <v>8263</v>
      </c>
      <c r="E2279" s="2">
        <f t="shared" si="326"/>
        <v>43191</v>
      </c>
      <c r="F2279" s="2">
        <f t="shared" si="329"/>
        <v>44196</v>
      </c>
    </row>
    <row r="2280" spans="1:6" x14ac:dyDescent="0.25">
      <c r="A2280" s="1" t="s">
        <v>431</v>
      </c>
      <c r="B2280" s="1" t="s">
        <v>975</v>
      </c>
      <c r="C2280" s="1" t="s">
        <v>475</v>
      </c>
      <c r="D2280" s="3">
        <f t="shared" si="328"/>
        <v>8263</v>
      </c>
      <c r="E2280" s="2">
        <f t="shared" si="326"/>
        <v>43191</v>
      </c>
      <c r="F2280" s="2">
        <f t="shared" si="329"/>
        <v>44196</v>
      </c>
    </row>
    <row r="2281" spans="1:6" x14ac:dyDescent="0.25">
      <c r="A2281" s="1" t="s">
        <v>431</v>
      </c>
      <c r="B2281" s="1" t="s">
        <v>975</v>
      </c>
      <c r="C2281" s="1" t="s">
        <v>493</v>
      </c>
      <c r="D2281" s="3">
        <f t="shared" si="328"/>
        <v>8263</v>
      </c>
      <c r="E2281" s="2">
        <f t="shared" si="326"/>
        <v>43191</v>
      </c>
      <c r="F2281" s="2">
        <f t="shared" si="329"/>
        <v>44196</v>
      </c>
    </row>
    <row r="2282" spans="1:6" x14ac:dyDescent="0.25">
      <c r="A2282" s="1" t="s">
        <v>431</v>
      </c>
      <c r="B2282" s="1" t="s">
        <v>975</v>
      </c>
      <c r="C2282" s="1" t="s">
        <v>24</v>
      </c>
      <c r="D2282" s="3">
        <f t="shared" si="328"/>
        <v>8263</v>
      </c>
      <c r="E2282" s="2">
        <f t="shared" si="326"/>
        <v>43191</v>
      </c>
      <c r="F2282" s="2">
        <f t="shared" si="329"/>
        <v>44196</v>
      </c>
    </row>
    <row r="2283" spans="1:6" x14ac:dyDescent="0.25">
      <c r="A2283" s="1" t="s">
        <v>431</v>
      </c>
      <c r="B2283" s="1" t="s">
        <v>975</v>
      </c>
      <c r="C2283" s="1" t="s">
        <v>97</v>
      </c>
      <c r="D2283" s="3">
        <f t="shared" si="328"/>
        <v>8263</v>
      </c>
      <c r="E2283" s="2">
        <f t="shared" si="326"/>
        <v>43191</v>
      </c>
      <c r="F2283" s="2">
        <f t="shared" si="329"/>
        <v>44196</v>
      </c>
    </row>
    <row r="2284" spans="1:6" x14ac:dyDescent="0.25">
      <c r="A2284" s="1" t="s">
        <v>431</v>
      </c>
      <c r="B2284" s="1" t="s">
        <v>975</v>
      </c>
      <c r="C2284" s="1" t="s">
        <v>73</v>
      </c>
      <c r="D2284" s="3">
        <f t="shared" si="328"/>
        <v>8263</v>
      </c>
      <c r="E2284" s="2">
        <f t="shared" si="326"/>
        <v>43191</v>
      </c>
      <c r="F2284" s="2">
        <f t="shared" si="329"/>
        <v>44196</v>
      </c>
    </row>
    <row r="2285" spans="1:6" x14ac:dyDescent="0.25">
      <c r="A2285" s="1" t="s">
        <v>431</v>
      </c>
      <c r="B2285" s="1" t="s">
        <v>975</v>
      </c>
      <c r="C2285" s="1" t="s">
        <v>34</v>
      </c>
      <c r="D2285" s="3">
        <f t="shared" si="328"/>
        <v>8263</v>
      </c>
      <c r="E2285" s="2">
        <f t="shared" si="326"/>
        <v>43191</v>
      </c>
      <c r="F2285" s="2">
        <f t="shared" si="329"/>
        <v>44196</v>
      </c>
    </row>
    <row r="2286" spans="1:6" x14ac:dyDescent="0.25">
      <c r="A2286" s="1" t="s">
        <v>431</v>
      </c>
      <c r="B2286" s="1" t="s">
        <v>975</v>
      </c>
      <c r="C2286" s="1" t="s">
        <v>36</v>
      </c>
      <c r="D2286" s="3">
        <f t="shared" si="328"/>
        <v>8263</v>
      </c>
      <c r="E2286" s="2">
        <f t="shared" si="326"/>
        <v>43191</v>
      </c>
      <c r="F2286" s="2">
        <f t="shared" si="329"/>
        <v>44196</v>
      </c>
    </row>
    <row r="2287" spans="1:6" x14ac:dyDescent="0.25">
      <c r="A2287" s="1" t="s">
        <v>431</v>
      </c>
      <c r="B2287" s="1" t="s">
        <v>958</v>
      </c>
      <c r="C2287" s="1" t="s">
        <v>959</v>
      </c>
      <c r="D2287" s="3">
        <f>VALUE("8247")</f>
        <v>8247</v>
      </c>
      <c r="E2287" s="2">
        <f>DATEVALUE("1-3-2018")</f>
        <v>43160</v>
      </c>
      <c r="F2287" s="2">
        <f t="shared" si="329"/>
        <v>44196</v>
      </c>
    </row>
    <row r="2288" spans="1:6" x14ac:dyDescent="0.25">
      <c r="A2288" s="1" t="s">
        <v>431</v>
      </c>
      <c r="B2288" s="1" t="s">
        <v>1775</v>
      </c>
      <c r="C2288" s="1" t="s">
        <v>140</v>
      </c>
      <c r="D2288" s="3">
        <f t="shared" ref="D2288:D2327" si="330">VALUE("8200")</f>
        <v>8200</v>
      </c>
      <c r="E2288" s="2">
        <f t="shared" ref="E2288:E2327" si="331">DATEVALUE("1-1-2018")</f>
        <v>43101</v>
      </c>
      <c r="F2288" s="2">
        <f t="shared" ref="F2288:F2327" si="332">DATEVALUE("30-4-2020")</f>
        <v>43951</v>
      </c>
    </row>
    <row r="2289" spans="1:6" x14ac:dyDescent="0.25">
      <c r="A2289" s="1" t="s">
        <v>431</v>
      </c>
      <c r="B2289" s="1" t="s">
        <v>1775</v>
      </c>
      <c r="C2289" s="1" t="s">
        <v>46</v>
      </c>
      <c r="D2289" s="3">
        <f t="shared" si="330"/>
        <v>8200</v>
      </c>
      <c r="E2289" s="2">
        <f t="shared" si="331"/>
        <v>43101</v>
      </c>
      <c r="F2289" s="2">
        <f t="shared" si="332"/>
        <v>43951</v>
      </c>
    </row>
    <row r="2290" spans="1:6" x14ac:dyDescent="0.25">
      <c r="A2290" s="1" t="s">
        <v>431</v>
      </c>
      <c r="B2290" s="1" t="s">
        <v>1775</v>
      </c>
      <c r="C2290" s="1" t="s">
        <v>87</v>
      </c>
      <c r="D2290" s="3">
        <f t="shared" si="330"/>
        <v>8200</v>
      </c>
      <c r="E2290" s="2">
        <f t="shared" si="331"/>
        <v>43101</v>
      </c>
      <c r="F2290" s="2">
        <f t="shared" si="332"/>
        <v>43951</v>
      </c>
    </row>
    <row r="2291" spans="1:6" x14ac:dyDescent="0.25">
      <c r="A2291" s="1" t="s">
        <v>431</v>
      </c>
      <c r="B2291" s="1" t="s">
        <v>1775</v>
      </c>
      <c r="C2291" s="1" t="s">
        <v>14</v>
      </c>
      <c r="D2291" s="3">
        <f t="shared" si="330"/>
        <v>8200</v>
      </c>
      <c r="E2291" s="2">
        <f t="shared" si="331"/>
        <v>43101</v>
      </c>
      <c r="F2291" s="2">
        <f t="shared" si="332"/>
        <v>43951</v>
      </c>
    </row>
    <row r="2292" spans="1:6" x14ac:dyDescent="0.25">
      <c r="A2292" s="1" t="s">
        <v>431</v>
      </c>
      <c r="B2292" s="1" t="s">
        <v>1775</v>
      </c>
      <c r="C2292" s="1" t="s">
        <v>127</v>
      </c>
      <c r="D2292" s="3">
        <f t="shared" si="330"/>
        <v>8200</v>
      </c>
      <c r="E2292" s="2">
        <f t="shared" si="331"/>
        <v>43101</v>
      </c>
      <c r="F2292" s="2">
        <f t="shared" si="332"/>
        <v>43951</v>
      </c>
    </row>
    <row r="2293" spans="1:6" x14ac:dyDescent="0.25">
      <c r="A2293" s="1" t="s">
        <v>431</v>
      </c>
      <c r="B2293" s="1" t="s">
        <v>1775</v>
      </c>
      <c r="C2293" s="1" t="s">
        <v>168</v>
      </c>
      <c r="D2293" s="3">
        <f t="shared" si="330"/>
        <v>8200</v>
      </c>
      <c r="E2293" s="2">
        <f t="shared" si="331"/>
        <v>43101</v>
      </c>
      <c r="F2293" s="2">
        <f t="shared" si="332"/>
        <v>43951</v>
      </c>
    </row>
    <row r="2294" spans="1:6" x14ac:dyDescent="0.25">
      <c r="A2294" s="1" t="s">
        <v>431</v>
      </c>
      <c r="B2294" s="1" t="s">
        <v>1775</v>
      </c>
      <c r="C2294" s="1" t="s">
        <v>258</v>
      </c>
      <c r="D2294" s="3">
        <f t="shared" si="330"/>
        <v>8200</v>
      </c>
      <c r="E2294" s="2">
        <f t="shared" si="331"/>
        <v>43101</v>
      </c>
      <c r="F2294" s="2">
        <f t="shared" si="332"/>
        <v>43951</v>
      </c>
    </row>
    <row r="2295" spans="1:6" x14ac:dyDescent="0.25">
      <c r="A2295" s="1" t="s">
        <v>431</v>
      </c>
      <c r="B2295" s="1" t="s">
        <v>1775</v>
      </c>
      <c r="C2295" s="1" t="s">
        <v>92</v>
      </c>
      <c r="D2295" s="3">
        <f t="shared" si="330"/>
        <v>8200</v>
      </c>
      <c r="E2295" s="2">
        <f t="shared" si="331"/>
        <v>43101</v>
      </c>
      <c r="F2295" s="2">
        <f t="shared" si="332"/>
        <v>43951</v>
      </c>
    </row>
    <row r="2296" spans="1:6" x14ac:dyDescent="0.25">
      <c r="A2296" s="1" t="s">
        <v>431</v>
      </c>
      <c r="B2296" s="1" t="s">
        <v>1775</v>
      </c>
      <c r="C2296" s="1" t="s">
        <v>1023</v>
      </c>
      <c r="D2296" s="3">
        <f t="shared" si="330"/>
        <v>8200</v>
      </c>
      <c r="E2296" s="2">
        <f t="shared" si="331"/>
        <v>43101</v>
      </c>
      <c r="F2296" s="2">
        <f t="shared" si="332"/>
        <v>43951</v>
      </c>
    </row>
    <row r="2297" spans="1:6" x14ac:dyDescent="0.25">
      <c r="A2297" s="1" t="s">
        <v>431</v>
      </c>
      <c r="B2297" s="1" t="s">
        <v>1775</v>
      </c>
      <c r="C2297" s="1" t="s">
        <v>1022</v>
      </c>
      <c r="D2297" s="3">
        <f t="shared" si="330"/>
        <v>8200</v>
      </c>
      <c r="E2297" s="2">
        <f t="shared" si="331"/>
        <v>43101</v>
      </c>
      <c r="F2297" s="2">
        <f t="shared" si="332"/>
        <v>43951</v>
      </c>
    </row>
    <row r="2298" spans="1:6" x14ac:dyDescent="0.25">
      <c r="A2298" s="1" t="s">
        <v>431</v>
      </c>
      <c r="B2298" s="1" t="s">
        <v>1775</v>
      </c>
      <c r="C2298" s="1" t="s">
        <v>567</v>
      </c>
      <c r="D2298" s="3">
        <f t="shared" si="330"/>
        <v>8200</v>
      </c>
      <c r="E2298" s="2">
        <f t="shared" si="331"/>
        <v>43101</v>
      </c>
      <c r="F2298" s="2">
        <f t="shared" si="332"/>
        <v>43951</v>
      </c>
    </row>
    <row r="2299" spans="1:6" x14ac:dyDescent="0.25">
      <c r="A2299" s="1" t="s">
        <v>431</v>
      </c>
      <c r="B2299" s="1" t="s">
        <v>1775</v>
      </c>
      <c r="C2299" s="1" t="s">
        <v>966</v>
      </c>
      <c r="D2299" s="3">
        <f t="shared" si="330"/>
        <v>8200</v>
      </c>
      <c r="E2299" s="2">
        <f t="shared" si="331"/>
        <v>43101</v>
      </c>
      <c r="F2299" s="2">
        <f t="shared" si="332"/>
        <v>43951</v>
      </c>
    </row>
    <row r="2300" spans="1:6" x14ac:dyDescent="0.25">
      <c r="A2300" s="1" t="s">
        <v>431</v>
      </c>
      <c r="B2300" s="1" t="s">
        <v>1775</v>
      </c>
      <c r="C2300" s="1" t="s">
        <v>967</v>
      </c>
      <c r="D2300" s="3">
        <f t="shared" si="330"/>
        <v>8200</v>
      </c>
      <c r="E2300" s="2">
        <f t="shared" si="331"/>
        <v>43101</v>
      </c>
      <c r="F2300" s="2">
        <f t="shared" si="332"/>
        <v>43951</v>
      </c>
    </row>
    <row r="2301" spans="1:6" x14ac:dyDescent="0.25">
      <c r="A2301" s="1" t="s">
        <v>431</v>
      </c>
      <c r="B2301" s="1" t="s">
        <v>1775</v>
      </c>
      <c r="C2301" s="1" t="s">
        <v>968</v>
      </c>
      <c r="D2301" s="3">
        <f t="shared" si="330"/>
        <v>8200</v>
      </c>
      <c r="E2301" s="2">
        <f t="shared" si="331"/>
        <v>43101</v>
      </c>
      <c r="F2301" s="2">
        <f t="shared" si="332"/>
        <v>43951</v>
      </c>
    </row>
    <row r="2302" spans="1:6" x14ac:dyDescent="0.25">
      <c r="A2302" s="1" t="s">
        <v>431</v>
      </c>
      <c r="B2302" s="1" t="s">
        <v>1775</v>
      </c>
      <c r="C2302" s="1" t="s">
        <v>659</v>
      </c>
      <c r="D2302" s="3">
        <f t="shared" si="330"/>
        <v>8200</v>
      </c>
      <c r="E2302" s="2">
        <f t="shared" si="331"/>
        <v>43101</v>
      </c>
      <c r="F2302" s="2">
        <f t="shared" si="332"/>
        <v>43951</v>
      </c>
    </row>
    <row r="2303" spans="1:6" x14ac:dyDescent="0.25">
      <c r="A2303" s="1" t="s">
        <v>431</v>
      </c>
      <c r="B2303" s="1" t="s">
        <v>1775</v>
      </c>
      <c r="C2303" s="1" t="s">
        <v>660</v>
      </c>
      <c r="D2303" s="3">
        <f t="shared" si="330"/>
        <v>8200</v>
      </c>
      <c r="E2303" s="2">
        <f t="shared" si="331"/>
        <v>43101</v>
      </c>
      <c r="F2303" s="2">
        <f t="shared" si="332"/>
        <v>43951</v>
      </c>
    </row>
    <row r="2304" spans="1:6" x14ac:dyDescent="0.25">
      <c r="A2304" s="1" t="s">
        <v>431</v>
      </c>
      <c r="B2304" s="1" t="s">
        <v>1775</v>
      </c>
      <c r="C2304" s="1" t="s">
        <v>969</v>
      </c>
      <c r="D2304" s="3">
        <f t="shared" si="330"/>
        <v>8200</v>
      </c>
      <c r="E2304" s="2">
        <f t="shared" si="331"/>
        <v>43101</v>
      </c>
      <c r="F2304" s="2">
        <f t="shared" si="332"/>
        <v>43951</v>
      </c>
    </row>
    <row r="2305" spans="1:6" x14ac:dyDescent="0.25">
      <c r="A2305" s="1" t="s">
        <v>431</v>
      </c>
      <c r="B2305" s="1" t="s">
        <v>1775</v>
      </c>
      <c r="C2305" s="1" t="s">
        <v>970</v>
      </c>
      <c r="D2305" s="3">
        <f t="shared" si="330"/>
        <v>8200</v>
      </c>
      <c r="E2305" s="2">
        <f t="shared" si="331"/>
        <v>43101</v>
      </c>
      <c r="F2305" s="2">
        <f t="shared" si="332"/>
        <v>43951</v>
      </c>
    </row>
    <row r="2306" spans="1:6" x14ac:dyDescent="0.25">
      <c r="A2306" s="1" t="s">
        <v>431</v>
      </c>
      <c r="B2306" s="1" t="s">
        <v>1775</v>
      </c>
      <c r="C2306" s="1" t="s">
        <v>569</v>
      </c>
      <c r="D2306" s="3">
        <f t="shared" si="330"/>
        <v>8200</v>
      </c>
      <c r="E2306" s="2">
        <f t="shared" si="331"/>
        <v>43101</v>
      </c>
      <c r="F2306" s="2">
        <f t="shared" si="332"/>
        <v>43951</v>
      </c>
    </row>
    <row r="2307" spans="1:6" x14ac:dyDescent="0.25">
      <c r="A2307" s="1" t="s">
        <v>431</v>
      </c>
      <c r="B2307" s="1" t="s">
        <v>1775</v>
      </c>
      <c r="C2307" s="1" t="s">
        <v>661</v>
      </c>
      <c r="D2307" s="3">
        <f t="shared" si="330"/>
        <v>8200</v>
      </c>
      <c r="E2307" s="2">
        <f t="shared" si="331"/>
        <v>43101</v>
      </c>
      <c r="F2307" s="2">
        <f t="shared" si="332"/>
        <v>43951</v>
      </c>
    </row>
    <row r="2308" spans="1:6" x14ac:dyDescent="0.25">
      <c r="A2308" s="1" t="s">
        <v>431</v>
      </c>
      <c r="B2308" s="1" t="s">
        <v>1775</v>
      </c>
      <c r="C2308" s="1" t="s">
        <v>662</v>
      </c>
      <c r="D2308" s="3">
        <f t="shared" si="330"/>
        <v>8200</v>
      </c>
      <c r="E2308" s="2">
        <f t="shared" si="331"/>
        <v>43101</v>
      </c>
      <c r="F2308" s="2">
        <f t="shared" si="332"/>
        <v>43951</v>
      </c>
    </row>
    <row r="2309" spans="1:6" x14ac:dyDescent="0.25">
      <c r="A2309" s="1" t="s">
        <v>431</v>
      </c>
      <c r="B2309" s="1" t="s">
        <v>1775</v>
      </c>
      <c r="C2309" s="1" t="s">
        <v>571</v>
      </c>
      <c r="D2309" s="3">
        <f t="shared" si="330"/>
        <v>8200</v>
      </c>
      <c r="E2309" s="2">
        <f t="shared" si="331"/>
        <v>43101</v>
      </c>
      <c r="F2309" s="2">
        <f t="shared" si="332"/>
        <v>43951</v>
      </c>
    </row>
    <row r="2310" spans="1:6" x14ac:dyDescent="0.25">
      <c r="A2310" s="1" t="s">
        <v>431</v>
      </c>
      <c r="B2310" s="1" t="s">
        <v>1775</v>
      </c>
      <c r="C2310" s="1" t="s">
        <v>572</v>
      </c>
      <c r="D2310" s="3">
        <f t="shared" si="330"/>
        <v>8200</v>
      </c>
      <c r="E2310" s="2">
        <f t="shared" si="331"/>
        <v>43101</v>
      </c>
      <c r="F2310" s="2">
        <f t="shared" si="332"/>
        <v>43951</v>
      </c>
    </row>
    <row r="2311" spans="1:6" x14ac:dyDescent="0.25">
      <c r="A2311" s="1" t="s">
        <v>431</v>
      </c>
      <c r="B2311" s="1" t="s">
        <v>1775</v>
      </c>
      <c r="C2311" s="1" t="s">
        <v>573</v>
      </c>
      <c r="D2311" s="3">
        <f t="shared" si="330"/>
        <v>8200</v>
      </c>
      <c r="E2311" s="2">
        <f t="shared" si="331"/>
        <v>43101</v>
      </c>
      <c r="F2311" s="2">
        <f t="shared" si="332"/>
        <v>43951</v>
      </c>
    </row>
    <row r="2312" spans="1:6" x14ac:dyDescent="0.25">
      <c r="A2312" s="1" t="s">
        <v>431</v>
      </c>
      <c r="B2312" s="1" t="s">
        <v>1775</v>
      </c>
      <c r="C2312" s="1" t="s">
        <v>531</v>
      </c>
      <c r="D2312" s="3">
        <f t="shared" si="330"/>
        <v>8200</v>
      </c>
      <c r="E2312" s="2">
        <f t="shared" si="331"/>
        <v>43101</v>
      </c>
      <c r="F2312" s="2">
        <f t="shared" si="332"/>
        <v>43951</v>
      </c>
    </row>
    <row r="2313" spans="1:6" x14ac:dyDescent="0.25">
      <c r="A2313" s="1" t="s">
        <v>431</v>
      </c>
      <c r="B2313" s="1" t="s">
        <v>1775</v>
      </c>
      <c r="C2313" s="1" t="s">
        <v>532</v>
      </c>
      <c r="D2313" s="3">
        <f t="shared" si="330"/>
        <v>8200</v>
      </c>
      <c r="E2313" s="2">
        <f t="shared" si="331"/>
        <v>43101</v>
      </c>
      <c r="F2313" s="2">
        <f t="shared" si="332"/>
        <v>43951</v>
      </c>
    </row>
    <row r="2314" spans="1:6" x14ac:dyDescent="0.25">
      <c r="A2314" s="1" t="s">
        <v>431</v>
      </c>
      <c r="B2314" s="1" t="s">
        <v>1775</v>
      </c>
      <c r="C2314" s="1" t="s">
        <v>24</v>
      </c>
      <c r="D2314" s="3">
        <f t="shared" si="330"/>
        <v>8200</v>
      </c>
      <c r="E2314" s="2">
        <f t="shared" si="331"/>
        <v>43101</v>
      </c>
      <c r="F2314" s="2">
        <f t="shared" si="332"/>
        <v>43951</v>
      </c>
    </row>
    <row r="2315" spans="1:6" x14ac:dyDescent="0.25">
      <c r="A2315" s="1" t="s">
        <v>431</v>
      </c>
      <c r="B2315" s="1" t="s">
        <v>1775</v>
      </c>
      <c r="C2315" s="1" t="s">
        <v>34</v>
      </c>
      <c r="D2315" s="3">
        <f t="shared" si="330"/>
        <v>8200</v>
      </c>
      <c r="E2315" s="2">
        <f t="shared" si="331"/>
        <v>43101</v>
      </c>
      <c r="F2315" s="2">
        <f t="shared" si="332"/>
        <v>43951</v>
      </c>
    </row>
    <row r="2316" spans="1:6" x14ac:dyDescent="0.25">
      <c r="A2316" s="1" t="s">
        <v>431</v>
      </c>
      <c r="B2316" s="1" t="s">
        <v>1775</v>
      </c>
      <c r="C2316" s="1" t="s">
        <v>574</v>
      </c>
      <c r="D2316" s="3">
        <f t="shared" si="330"/>
        <v>8200</v>
      </c>
      <c r="E2316" s="2">
        <f t="shared" si="331"/>
        <v>43101</v>
      </c>
      <c r="F2316" s="2">
        <f t="shared" si="332"/>
        <v>43951</v>
      </c>
    </row>
    <row r="2317" spans="1:6" x14ac:dyDescent="0.25">
      <c r="A2317" s="1" t="s">
        <v>431</v>
      </c>
      <c r="B2317" s="1" t="s">
        <v>1775</v>
      </c>
      <c r="C2317" s="1" t="s">
        <v>876</v>
      </c>
      <c r="D2317" s="3">
        <f t="shared" si="330"/>
        <v>8200</v>
      </c>
      <c r="E2317" s="2">
        <f t="shared" si="331"/>
        <v>43101</v>
      </c>
      <c r="F2317" s="2">
        <f t="shared" si="332"/>
        <v>43951</v>
      </c>
    </row>
    <row r="2318" spans="1:6" x14ac:dyDescent="0.25">
      <c r="A2318" s="1" t="s">
        <v>431</v>
      </c>
      <c r="B2318" s="1" t="s">
        <v>1775</v>
      </c>
      <c r="C2318" s="1" t="s">
        <v>877</v>
      </c>
      <c r="D2318" s="3">
        <f t="shared" si="330"/>
        <v>8200</v>
      </c>
      <c r="E2318" s="2">
        <f t="shared" si="331"/>
        <v>43101</v>
      </c>
      <c r="F2318" s="2">
        <f t="shared" si="332"/>
        <v>43951</v>
      </c>
    </row>
    <row r="2319" spans="1:6" x14ac:dyDescent="0.25">
      <c r="A2319" s="1" t="s">
        <v>431</v>
      </c>
      <c r="B2319" s="1" t="s">
        <v>1775</v>
      </c>
      <c r="C2319" s="1" t="s">
        <v>878</v>
      </c>
      <c r="D2319" s="3">
        <f t="shared" si="330"/>
        <v>8200</v>
      </c>
      <c r="E2319" s="2">
        <f t="shared" si="331"/>
        <v>43101</v>
      </c>
      <c r="F2319" s="2">
        <f t="shared" si="332"/>
        <v>43951</v>
      </c>
    </row>
    <row r="2320" spans="1:6" x14ac:dyDescent="0.25">
      <c r="A2320" s="1" t="s">
        <v>431</v>
      </c>
      <c r="B2320" s="1" t="s">
        <v>1775</v>
      </c>
      <c r="C2320" s="1" t="s">
        <v>897</v>
      </c>
      <c r="D2320" s="3">
        <f t="shared" si="330"/>
        <v>8200</v>
      </c>
      <c r="E2320" s="2">
        <f t="shared" si="331"/>
        <v>43101</v>
      </c>
      <c r="F2320" s="2">
        <f t="shared" si="332"/>
        <v>43951</v>
      </c>
    </row>
    <row r="2321" spans="1:6" x14ac:dyDescent="0.25">
      <c r="A2321" s="1" t="s">
        <v>431</v>
      </c>
      <c r="B2321" s="1" t="s">
        <v>1775</v>
      </c>
      <c r="C2321" s="1" t="s">
        <v>576</v>
      </c>
      <c r="D2321" s="3">
        <f t="shared" si="330"/>
        <v>8200</v>
      </c>
      <c r="E2321" s="2">
        <f t="shared" si="331"/>
        <v>43101</v>
      </c>
      <c r="F2321" s="2">
        <f t="shared" si="332"/>
        <v>43951</v>
      </c>
    </row>
    <row r="2322" spans="1:6" x14ac:dyDescent="0.25">
      <c r="A2322" s="1" t="s">
        <v>431</v>
      </c>
      <c r="B2322" s="1" t="s">
        <v>1775</v>
      </c>
      <c r="C2322" s="1" t="s">
        <v>663</v>
      </c>
      <c r="D2322" s="3">
        <f t="shared" si="330"/>
        <v>8200</v>
      </c>
      <c r="E2322" s="2">
        <f t="shared" si="331"/>
        <v>43101</v>
      </c>
      <c r="F2322" s="2">
        <f t="shared" si="332"/>
        <v>43951</v>
      </c>
    </row>
    <row r="2323" spans="1:6" x14ac:dyDescent="0.25">
      <c r="A2323" s="1" t="s">
        <v>431</v>
      </c>
      <c r="B2323" s="1" t="s">
        <v>1775</v>
      </c>
      <c r="C2323" s="1" t="s">
        <v>664</v>
      </c>
      <c r="D2323" s="3">
        <f t="shared" si="330"/>
        <v>8200</v>
      </c>
      <c r="E2323" s="2">
        <f t="shared" si="331"/>
        <v>43101</v>
      </c>
      <c r="F2323" s="2">
        <f t="shared" si="332"/>
        <v>43951</v>
      </c>
    </row>
    <row r="2324" spans="1:6" x14ac:dyDescent="0.25">
      <c r="A2324" s="1" t="s">
        <v>431</v>
      </c>
      <c r="B2324" s="1" t="s">
        <v>1775</v>
      </c>
      <c r="C2324" s="1" t="s">
        <v>665</v>
      </c>
      <c r="D2324" s="3">
        <f t="shared" si="330"/>
        <v>8200</v>
      </c>
      <c r="E2324" s="2">
        <f t="shared" si="331"/>
        <v>43101</v>
      </c>
      <c r="F2324" s="2">
        <f t="shared" si="332"/>
        <v>43951</v>
      </c>
    </row>
    <row r="2325" spans="1:6" x14ac:dyDescent="0.25">
      <c r="A2325" s="1" t="s">
        <v>431</v>
      </c>
      <c r="B2325" s="1" t="s">
        <v>1775</v>
      </c>
      <c r="C2325" s="1" t="s">
        <v>310</v>
      </c>
      <c r="D2325" s="3">
        <f t="shared" si="330"/>
        <v>8200</v>
      </c>
      <c r="E2325" s="2">
        <f t="shared" si="331"/>
        <v>43101</v>
      </c>
      <c r="F2325" s="2">
        <f t="shared" si="332"/>
        <v>43951</v>
      </c>
    </row>
    <row r="2326" spans="1:6" x14ac:dyDescent="0.25">
      <c r="A2326" s="1" t="s">
        <v>431</v>
      </c>
      <c r="B2326" s="1" t="s">
        <v>1775</v>
      </c>
      <c r="C2326" s="1" t="s">
        <v>133</v>
      </c>
      <c r="D2326" s="3">
        <f t="shared" si="330"/>
        <v>8200</v>
      </c>
      <c r="E2326" s="2">
        <f t="shared" si="331"/>
        <v>43101</v>
      </c>
      <c r="F2326" s="2">
        <f t="shared" si="332"/>
        <v>43951</v>
      </c>
    </row>
    <row r="2327" spans="1:6" x14ac:dyDescent="0.25">
      <c r="A2327" s="1" t="s">
        <v>431</v>
      </c>
      <c r="B2327" s="1" t="s">
        <v>1775</v>
      </c>
      <c r="C2327" s="1" t="s">
        <v>134</v>
      </c>
      <c r="D2327" s="3">
        <f t="shared" si="330"/>
        <v>8200</v>
      </c>
      <c r="E2327" s="2">
        <f t="shared" si="331"/>
        <v>43101</v>
      </c>
      <c r="F2327" s="2">
        <f t="shared" si="332"/>
        <v>43951</v>
      </c>
    </row>
    <row r="2328" spans="1:6" x14ac:dyDescent="0.25">
      <c r="A2328" s="1" t="s">
        <v>431</v>
      </c>
      <c r="B2328" s="1" t="s">
        <v>588</v>
      </c>
      <c r="C2328" s="1" t="s">
        <v>361</v>
      </c>
      <c r="D2328" s="3">
        <f t="shared" ref="D2328:D2349" si="333">VALUE("7780")</f>
        <v>7780</v>
      </c>
      <c r="E2328" s="2">
        <f t="shared" ref="E2328:E2362" si="334">DATEVALUE("1-8-2017")</f>
        <v>42948</v>
      </c>
      <c r="F2328" s="2">
        <f t="shared" ref="F2328:F2349" si="335">DATEVALUE("31-8-2021")</f>
        <v>44439</v>
      </c>
    </row>
    <row r="2329" spans="1:6" x14ac:dyDescent="0.25">
      <c r="A2329" s="1" t="s">
        <v>431</v>
      </c>
      <c r="B2329" s="1" t="s">
        <v>588</v>
      </c>
      <c r="C2329" s="1" t="s">
        <v>39</v>
      </c>
      <c r="D2329" s="3">
        <f t="shared" si="333"/>
        <v>7780</v>
      </c>
      <c r="E2329" s="2">
        <f t="shared" si="334"/>
        <v>42948</v>
      </c>
      <c r="F2329" s="2">
        <f t="shared" si="335"/>
        <v>44439</v>
      </c>
    </row>
    <row r="2330" spans="1:6" x14ac:dyDescent="0.25">
      <c r="A2330" s="1" t="s">
        <v>431</v>
      </c>
      <c r="B2330" s="1" t="s">
        <v>588</v>
      </c>
      <c r="C2330" s="1" t="s">
        <v>256</v>
      </c>
      <c r="D2330" s="3">
        <f t="shared" si="333"/>
        <v>7780</v>
      </c>
      <c r="E2330" s="2">
        <f t="shared" si="334"/>
        <v>42948</v>
      </c>
      <c r="F2330" s="2">
        <f t="shared" si="335"/>
        <v>44439</v>
      </c>
    </row>
    <row r="2331" spans="1:6" x14ac:dyDescent="0.25">
      <c r="A2331" s="1" t="s">
        <v>431</v>
      </c>
      <c r="B2331" s="1" t="s">
        <v>588</v>
      </c>
      <c r="C2331" s="1" t="s">
        <v>410</v>
      </c>
      <c r="D2331" s="3">
        <f t="shared" si="333"/>
        <v>7780</v>
      </c>
      <c r="E2331" s="2">
        <f t="shared" si="334"/>
        <v>42948</v>
      </c>
      <c r="F2331" s="2">
        <f t="shared" si="335"/>
        <v>44439</v>
      </c>
    </row>
    <row r="2332" spans="1:6" x14ac:dyDescent="0.25">
      <c r="A2332" s="1" t="s">
        <v>431</v>
      </c>
      <c r="B2332" s="1" t="s">
        <v>588</v>
      </c>
      <c r="C2332" s="1" t="s">
        <v>10</v>
      </c>
      <c r="D2332" s="3">
        <f t="shared" si="333"/>
        <v>7780</v>
      </c>
      <c r="E2332" s="2">
        <f t="shared" si="334"/>
        <v>42948</v>
      </c>
      <c r="F2332" s="2">
        <f t="shared" si="335"/>
        <v>44439</v>
      </c>
    </row>
    <row r="2333" spans="1:6" x14ac:dyDescent="0.25">
      <c r="A2333" s="1" t="s">
        <v>431</v>
      </c>
      <c r="B2333" s="1" t="s">
        <v>588</v>
      </c>
      <c r="C2333" s="1" t="s">
        <v>83</v>
      </c>
      <c r="D2333" s="3">
        <f t="shared" si="333"/>
        <v>7780</v>
      </c>
      <c r="E2333" s="2">
        <f t="shared" si="334"/>
        <v>42948</v>
      </c>
      <c r="F2333" s="2">
        <f t="shared" si="335"/>
        <v>44439</v>
      </c>
    </row>
    <row r="2334" spans="1:6" x14ac:dyDescent="0.25">
      <c r="A2334" s="1" t="s">
        <v>431</v>
      </c>
      <c r="B2334" s="1" t="s">
        <v>588</v>
      </c>
      <c r="C2334" s="1" t="s">
        <v>411</v>
      </c>
      <c r="D2334" s="3">
        <f t="shared" si="333"/>
        <v>7780</v>
      </c>
      <c r="E2334" s="2">
        <f t="shared" si="334"/>
        <v>42948</v>
      </c>
      <c r="F2334" s="2">
        <f t="shared" si="335"/>
        <v>44439</v>
      </c>
    </row>
    <row r="2335" spans="1:6" x14ac:dyDescent="0.25">
      <c r="A2335" s="1" t="s">
        <v>431</v>
      </c>
      <c r="B2335" s="1" t="s">
        <v>588</v>
      </c>
      <c r="C2335" s="1" t="s">
        <v>412</v>
      </c>
      <c r="D2335" s="3">
        <f t="shared" si="333"/>
        <v>7780</v>
      </c>
      <c r="E2335" s="2">
        <f t="shared" si="334"/>
        <v>42948</v>
      </c>
      <c r="F2335" s="2">
        <f t="shared" si="335"/>
        <v>44439</v>
      </c>
    </row>
    <row r="2336" spans="1:6" x14ac:dyDescent="0.25">
      <c r="A2336" s="1" t="s">
        <v>431</v>
      </c>
      <c r="B2336" s="1" t="s">
        <v>588</v>
      </c>
      <c r="C2336" s="1" t="s">
        <v>15</v>
      </c>
      <c r="D2336" s="3">
        <f t="shared" si="333"/>
        <v>7780</v>
      </c>
      <c r="E2336" s="2">
        <f t="shared" si="334"/>
        <v>42948</v>
      </c>
      <c r="F2336" s="2">
        <f t="shared" si="335"/>
        <v>44439</v>
      </c>
    </row>
    <row r="2337" spans="1:6" x14ac:dyDescent="0.25">
      <c r="A2337" s="1" t="s">
        <v>431</v>
      </c>
      <c r="B2337" s="1" t="s">
        <v>588</v>
      </c>
      <c r="C2337" s="1" t="s">
        <v>89</v>
      </c>
      <c r="D2337" s="3">
        <f t="shared" si="333"/>
        <v>7780</v>
      </c>
      <c r="E2337" s="2">
        <f t="shared" si="334"/>
        <v>42948</v>
      </c>
      <c r="F2337" s="2">
        <f t="shared" si="335"/>
        <v>44439</v>
      </c>
    </row>
    <row r="2338" spans="1:6" x14ac:dyDescent="0.25">
      <c r="A2338" s="1" t="s">
        <v>431</v>
      </c>
      <c r="B2338" s="1" t="s">
        <v>588</v>
      </c>
      <c r="C2338" s="1" t="s">
        <v>17</v>
      </c>
      <c r="D2338" s="3">
        <f t="shared" si="333"/>
        <v>7780</v>
      </c>
      <c r="E2338" s="2">
        <f t="shared" si="334"/>
        <v>42948</v>
      </c>
      <c r="F2338" s="2">
        <f t="shared" si="335"/>
        <v>44439</v>
      </c>
    </row>
    <row r="2339" spans="1:6" x14ac:dyDescent="0.25">
      <c r="A2339" s="1" t="s">
        <v>431</v>
      </c>
      <c r="B2339" s="1" t="s">
        <v>588</v>
      </c>
      <c r="C2339" s="1" t="s">
        <v>441</v>
      </c>
      <c r="D2339" s="3">
        <f t="shared" si="333"/>
        <v>7780</v>
      </c>
      <c r="E2339" s="2">
        <f t="shared" si="334"/>
        <v>42948</v>
      </c>
      <c r="F2339" s="2">
        <f t="shared" si="335"/>
        <v>44439</v>
      </c>
    </row>
    <row r="2340" spans="1:6" x14ac:dyDescent="0.25">
      <c r="A2340" s="1" t="s">
        <v>431</v>
      </c>
      <c r="B2340" s="1" t="s">
        <v>588</v>
      </c>
      <c r="C2340" s="1" t="s">
        <v>420</v>
      </c>
      <c r="D2340" s="3">
        <f t="shared" si="333"/>
        <v>7780</v>
      </c>
      <c r="E2340" s="2">
        <f t="shared" si="334"/>
        <v>42948</v>
      </c>
      <c r="F2340" s="2">
        <f t="shared" si="335"/>
        <v>44439</v>
      </c>
    </row>
    <row r="2341" spans="1:6" x14ac:dyDescent="0.25">
      <c r="A2341" s="1" t="s">
        <v>431</v>
      </c>
      <c r="B2341" s="1" t="s">
        <v>588</v>
      </c>
      <c r="C2341" s="1" t="s">
        <v>99</v>
      </c>
      <c r="D2341" s="3">
        <f t="shared" si="333"/>
        <v>7780</v>
      </c>
      <c r="E2341" s="2">
        <f t="shared" si="334"/>
        <v>42948</v>
      </c>
      <c r="F2341" s="2">
        <f t="shared" si="335"/>
        <v>44439</v>
      </c>
    </row>
    <row r="2342" spans="1:6" x14ac:dyDescent="0.25">
      <c r="A2342" s="1" t="s">
        <v>431</v>
      </c>
      <c r="B2342" s="1" t="s">
        <v>588</v>
      </c>
      <c r="C2342" s="1" t="s">
        <v>26</v>
      </c>
      <c r="D2342" s="3">
        <f t="shared" si="333"/>
        <v>7780</v>
      </c>
      <c r="E2342" s="2">
        <f t="shared" si="334"/>
        <v>42948</v>
      </c>
      <c r="F2342" s="2">
        <f t="shared" si="335"/>
        <v>44439</v>
      </c>
    </row>
    <row r="2343" spans="1:6" x14ac:dyDescent="0.25">
      <c r="A2343" s="1" t="s">
        <v>431</v>
      </c>
      <c r="B2343" s="1" t="s">
        <v>588</v>
      </c>
      <c r="C2343" s="1" t="s">
        <v>71</v>
      </c>
      <c r="D2343" s="3">
        <f t="shared" si="333"/>
        <v>7780</v>
      </c>
      <c r="E2343" s="2">
        <f t="shared" si="334"/>
        <v>42948</v>
      </c>
      <c r="F2343" s="2">
        <f t="shared" si="335"/>
        <v>44439</v>
      </c>
    </row>
    <row r="2344" spans="1:6" x14ac:dyDescent="0.25">
      <c r="A2344" s="1" t="s">
        <v>431</v>
      </c>
      <c r="B2344" s="1" t="s">
        <v>588</v>
      </c>
      <c r="C2344" s="1" t="s">
        <v>495</v>
      </c>
      <c r="D2344" s="3">
        <f t="shared" si="333"/>
        <v>7780</v>
      </c>
      <c r="E2344" s="2">
        <f t="shared" si="334"/>
        <v>42948</v>
      </c>
      <c r="F2344" s="2">
        <f t="shared" si="335"/>
        <v>44439</v>
      </c>
    </row>
    <row r="2345" spans="1:6" x14ac:dyDescent="0.25">
      <c r="A2345" s="1" t="s">
        <v>431</v>
      </c>
      <c r="B2345" s="1" t="s">
        <v>588</v>
      </c>
      <c r="C2345" s="1" t="s">
        <v>160</v>
      </c>
      <c r="D2345" s="3">
        <f t="shared" si="333"/>
        <v>7780</v>
      </c>
      <c r="E2345" s="2">
        <f t="shared" si="334"/>
        <v>42948</v>
      </c>
      <c r="F2345" s="2">
        <f t="shared" si="335"/>
        <v>44439</v>
      </c>
    </row>
    <row r="2346" spans="1:6" x14ac:dyDescent="0.25">
      <c r="A2346" s="1" t="s">
        <v>431</v>
      </c>
      <c r="B2346" s="1" t="s">
        <v>588</v>
      </c>
      <c r="C2346" s="1" t="s">
        <v>116</v>
      </c>
      <c r="D2346" s="3">
        <f t="shared" si="333"/>
        <v>7780</v>
      </c>
      <c r="E2346" s="2">
        <f t="shared" si="334"/>
        <v>42948</v>
      </c>
      <c r="F2346" s="2">
        <f t="shared" si="335"/>
        <v>44439</v>
      </c>
    </row>
    <row r="2347" spans="1:6" x14ac:dyDescent="0.25">
      <c r="A2347" s="1" t="s">
        <v>431</v>
      </c>
      <c r="B2347" s="1" t="s">
        <v>588</v>
      </c>
      <c r="C2347" s="1" t="s">
        <v>362</v>
      </c>
      <c r="D2347" s="3">
        <f t="shared" si="333"/>
        <v>7780</v>
      </c>
      <c r="E2347" s="2">
        <f t="shared" si="334"/>
        <v>42948</v>
      </c>
      <c r="F2347" s="2">
        <f t="shared" si="335"/>
        <v>44439</v>
      </c>
    </row>
    <row r="2348" spans="1:6" x14ac:dyDescent="0.25">
      <c r="A2348" s="1" t="s">
        <v>431</v>
      </c>
      <c r="B2348" s="1" t="s">
        <v>588</v>
      </c>
      <c r="C2348" s="1" t="s">
        <v>427</v>
      </c>
      <c r="D2348" s="3">
        <f t="shared" si="333"/>
        <v>7780</v>
      </c>
      <c r="E2348" s="2">
        <f t="shared" si="334"/>
        <v>42948</v>
      </c>
      <c r="F2348" s="2">
        <f t="shared" si="335"/>
        <v>44439</v>
      </c>
    </row>
    <row r="2349" spans="1:6" x14ac:dyDescent="0.25">
      <c r="A2349" s="1" t="s">
        <v>431</v>
      </c>
      <c r="B2349" s="1" t="s">
        <v>588</v>
      </c>
      <c r="C2349" s="1" t="s">
        <v>35</v>
      </c>
      <c r="D2349" s="3">
        <f t="shared" si="333"/>
        <v>7780</v>
      </c>
      <c r="E2349" s="2">
        <f t="shared" si="334"/>
        <v>42948</v>
      </c>
      <c r="F2349" s="2">
        <f t="shared" si="335"/>
        <v>44439</v>
      </c>
    </row>
    <row r="2350" spans="1:6" x14ac:dyDescent="0.25">
      <c r="A2350" s="1" t="s">
        <v>431</v>
      </c>
      <c r="B2350" s="1" t="s">
        <v>896</v>
      </c>
      <c r="C2350" s="1" t="s">
        <v>14</v>
      </c>
      <c r="D2350" s="3">
        <f t="shared" ref="D2350:D2362" si="336">VALUE("8133")</f>
        <v>8133</v>
      </c>
      <c r="E2350" s="2">
        <f t="shared" si="334"/>
        <v>42948</v>
      </c>
      <c r="F2350" s="2">
        <f t="shared" ref="F2350:F2362" si="337">DATEVALUE("31-3-2025")</f>
        <v>45747</v>
      </c>
    </row>
    <row r="2351" spans="1:6" x14ac:dyDescent="0.25">
      <c r="A2351" s="1" t="s">
        <v>431</v>
      </c>
      <c r="B2351" s="1" t="s">
        <v>896</v>
      </c>
      <c r="C2351" s="1" t="s">
        <v>16</v>
      </c>
      <c r="D2351" s="3">
        <f t="shared" si="336"/>
        <v>8133</v>
      </c>
      <c r="E2351" s="2">
        <f t="shared" si="334"/>
        <v>42948</v>
      </c>
      <c r="F2351" s="2">
        <f t="shared" si="337"/>
        <v>45747</v>
      </c>
    </row>
    <row r="2352" spans="1:6" x14ac:dyDescent="0.25">
      <c r="A2352" s="1" t="s">
        <v>431</v>
      </c>
      <c r="B2352" s="1" t="s">
        <v>896</v>
      </c>
      <c r="C2352" s="1" t="s">
        <v>89</v>
      </c>
      <c r="D2352" s="3">
        <f t="shared" si="336"/>
        <v>8133</v>
      </c>
      <c r="E2352" s="2">
        <f t="shared" si="334"/>
        <v>42948</v>
      </c>
      <c r="F2352" s="2">
        <f t="shared" si="337"/>
        <v>45747</v>
      </c>
    </row>
    <row r="2353" spans="1:6" x14ac:dyDescent="0.25">
      <c r="A2353" s="1" t="s">
        <v>431</v>
      </c>
      <c r="B2353" s="1" t="s">
        <v>896</v>
      </c>
      <c r="C2353" s="1" t="s">
        <v>17</v>
      </c>
      <c r="D2353" s="3">
        <f t="shared" si="336"/>
        <v>8133</v>
      </c>
      <c r="E2353" s="2">
        <f t="shared" si="334"/>
        <v>42948</v>
      </c>
      <c r="F2353" s="2">
        <f t="shared" si="337"/>
        <v>45747</v>
      </c>
    </row>
    <row r="2354" spans="1:6" x14ac:dyDescent="0.25">
      <c r="A2354" s="1" t="s">
        <v>431</v>
      </c>
      <c r="B2354" s="1" t="s">
        <v>896</v>
      </c>
      <c r="C2354" s="1" t="s">
        <v>258</v>
      </c>
      <c r="D2354" s="3">
        <f t="shared" si="336"/>
        <v>8133</v>
      </c>
      <c r="E2354" s="2">
        <f t="shared" si="334"/>
        <v>42948</v>
      </c>
      <c r="F2354" s="2">
        <f t="shared" si="337"/>
        <v>45747</v>
      </c>
    </row>
    <row r="2355" spans="1:6" x14ac:dyDescent="0.25">
      <c r="A2355" s="1" t="s">
        <v>431</v>
      </c>
      <c r="B2355" s="1" t="s">
        <v>896</v>
      </c>
      <c r="C2355" s="1" t="s">
        <v>571</v>
      </c>
      <c r="D2355" s="3">
        <f t="shared" si="336"/>
        <v>8133</v>
      </c>
      <c r="E2355" s="2">
        <f t="shared" si="334"/>
        <v>42948</v>
      </c>
      <c r="F2355" s="2">
        <f t="shared" si="337"/>
        <v>45747</v>
      </c>
    </row>
    <row r="2356" spans="1:6" x14ac:dyDescent="0.25">
      <c r="A2356" s="1" t="s">
        <v>431</v>
      </c>
      <c r="B2356" s="1" t="s">
        <v>896</v>
      </c>
      <c r="C2356" s="1" t="s">
        <v>573</v>
      </c>
      <c r="D2356" s="3">
        <f t="shared" si="336"/>
        <v>8133</v>
      </c>
      <c r="E2356" s="2">
        <f t="shared" si="334"/>
        <v>42948</v>
      </c>
      <c r="F2356" s="2">
        <f t="shared" si="337"/>
        <v>45747</v>
      </c>
    </row>
    <row r="2357" spans="1:6" x14ac:dyDescent="0.25">
      <c r="A2357" s="1" t="s">
        <v>431</v>
      </c>
      <c r="B2357" s="1" t="s">
        <v>896</v>
      </c>
      <c r="C2357" s="1" t="s">
        <v>24</v>
      </c>
      <c r="D2357" s="3">
        <f t="shared" si="336"/>
        <v>8133</v>
      </c>
      <c r="E2357" s="2">
        <f t="shared" si="334"/>
        <v>42948</v>
      </c>
      <c r="F2357" s="2">
        <f t="shared" si="337"/>
        <v>45747</v>
      </c>
    </row>
    <row r="2358" spans="1:6" x14ac:dyDescent="0.25">
      <c r="A2358" s="1" t="s">
        <v>431</v>
      </c>
      <c r="B2358" s="1" t="s">
        <v>896</v>
      </c>
      <c r="C2358" s="1" t="s">
        <v>34</v>
      </c>
      <c r="D2358" s="3">
        <f t="shared" si="336"/>
        <v>8133</v>
      </c>
      <c r="E2358" s="2">
        <f t="shared" si="334"/>
        <v>42948</v>
      </c>
      <c r="F2358" s="2">
        <f t="shared" si="337"/>
        <v>45747</v>
      </c>
    </row>
    <row r="2359" spans="1:6" x14ac:dyDescent="0.25">
      <c r="A2359" s="1" t="s">
        <v>431</v>
      </c>
      <c r="B2359" s="1" t="s">
        <v>896</v>
      </c>
      <c r="C2359" s="1" t="s">
        <v>878</v>
      </c>
      <c r="D2359" s="3">
        <f t="shared" si="336"/>
        <v>8133</v>
      </c>
      <c r="E2359" s="2">
        <f t="shared" si="334"/>
        <v>42948</v>
      </c>
      <c r="F2359" s="2">
        <f t="shared" si="337"/>
        <v>45747</v>
      </c>
    </row>
    <row r="2360" spans="1:6" x14ac:dyDescent="0.25">
      <c r="A2360" s="1" t="s">
        <v>431</v>
      </c>
      <c r="B2360" s="1" t="s">
        <v>896</v>
      </c>
      <c r="C2360" s="1" t="s">
        <v>897</v>
      </c>
      <c r="D2360" s="3">
        <f t="shared" si="336"/>
        <v>8133</v>
      </c>
      <c r="E2360" s="2">
        <f t="shared" si="334"/>
        <v>42948</v>
      </c>
      <c r="F2360" s="2">
        <f t="shared" si="337"/>
        <v>45747</v>
      </c>
    </row>
    <row r="2361" spans="1:6" x14ac:dyDescent="0.25">
      <c r="A2361" s="1" t="s">
        <v>431</v>
      </c>
      <c r="B2361" s="1" t="s">
        <v>896</v>
      </c>
      <c r="C2361" s="1" t="s">
        <v>131</v>
      </c>
      <c r="D2361" s="3">
        <f t="shared" si="336"/>
        <v>8133</v>
      </c>
      <c r="E2361" s="2">
        <f t="shared" si="334"/>
        <v>42948</v>
      </c>
      <c r="F2361" s="2">
        <f t="shared" si="337"/>
        <v>45747</v>
      </c>
    </row>
    <row r="2362" spans="1:6" x14ac:dyDescent="0.25">
      <c r="A2362" s="1" t="s">
        <v>431</v>
      </c>
      <c r="B2362" s="1" t="s">
        <v>896</v>
      </c>
      <c r="C2362" s="1" t="s">
        <v>132</v>
      </c>
      <c r="D2362" s="3">
        <f t="shared" si="336"/>
        <v>8133</v>
      </c>
      <c r="E2362" s="2">
        <f t="shared" si="334"/>
        <v>42948</v>
      </c>
      <c r="F2362" s="2">
        <f t="shared" si="337"/>
        <v>45747</v>
      </c>
    </row>
    <row r="2363" spans="1:6" x14ac:dyDescent="0.25">
      <c r="A2363" s="1" t="s">
        <v>431</v>
      </c>
      <c r="B2363" s="1" t="s">
        <v>2279</v>
      </c>
      <c r="C2363" s="1" t="s">
        <v>63</v>
      </c>
      <c r="D2363" s="3">
        <f t="shared" ref="D2363:D2368" si="338">VALUE("8049")</f>
        <v>8049</v>
      </c>
      <c r="E2363" s="2">
        <f t="shared" ref="E2363:E2382" si="339">DATEVALUE("1-5-2017")</f>
        <v>42856</v>
      </c>
      <c r="F2363" s="2">
        <f t="shared" ref="F2363:F2368" si="340">DATEVALUE("30-9-2019")</f>
        <v>43738</v>
      </c>
    </row>
    <row r="2364" spans="1:6" x14ac:dyDescent="0.25">
      <c r="A2364" s="1" t="s">
        <v>431</v>
      </c>
      <c r="B2364" s="1" t="s">
        <v>2279</v>
      </c>
      <c r="C2364" s="1" t="s">
        <v>414</v>
      </c>
      <c r="D2364" s="3">
        <f t="shared" si="338"/>
        <v>8049</v>
      </c>
      <c r="E2364" s="2">
        <f t="shared" si="339"/>
        <v>42856</v>
      </c>
      <c r="F2364" s="2">
        <f t="shared" si="340"/>
        <v>43738</v>
      </c>
    </row>
    <row r="2365" spans="1:6" x14ac:dyDescent="0.25">
      <c r="A2365" s="1" t="s">
        <v>431</v>
      </c>
      <c r="B2365" s="1" t="s">
        <v>2279</v>
      </c>
      <c r="C2365" s="1" t="s">
        <v>65</v>
      </c>
      <c r="D2365" s="3">
        <f t="shared" si="338"/>
        <v>8049</v>
      </c>
      <c r="E2365" s="2">
        <f t="shared" si="339"/>
        <v>42856</v>
      </c>
      <c r="F2365" s="2">
        <f t="shared" si="340"/>
        <v>43738</v>
      </c>
    </row>
    <row r="2366" spans="1:6" x14ac:dyDescent="0.25">
      <c r="A2366" s="1" t="s">
        <v>431</v>
      </c>
      <c r="B2366" s="1" t="s">
        <v>2279</v>
      </c>
      <c r="C2366" s="1" t="s">
        <v>17</v>
      </c>
      <c r="D2366" s="3">
        <f t="shared" si="338"/>
        <v>8049</v>
      </c>
      <c r="E2366" s="2">
        <f t="shared" si="339"/>
        <v>42856</v>
      </c>
      <c r="F2366" s="2">
        <f t="shared" si="340"/>
        <v>43738</v>
      </c>
    </row>
    <row r="2367" spans="1:6" x14ac:dyDescent="0.25">
      <c r="A2367" s="1" t="s">
        <v>431</v>
      </c>
      <c r="B2367" s="1" t="s">
        <v>2279</v>
      </c>
      <c r="C2367" s="1" t="s">
        <v>417</v>
      </c>
      <c r="D2367" s="3">
        <f t="shared" si="338"/>
        <v>8049</v>
      </c>
      <c r="E2367" s="2">
        <f t="shared" si="339"/>
        <v>42856</v>
      </c>
      <c r="F2367" s="2">
        <f t="shared" si="340"/>
        <v>43738</v>
      </c>
    </row>
    <row r="2368" spans="1:6" x14ac:dyDescent="0.25">
      <c r="A2368" s="1" t="s">
        <v>431</v>
      </c>
      <c r="B2368" s="1" t="s">
        <v>2279</v>
      </c>
      <c r="C2368" s="1" t="s">
        <v>70</v>
      </c>
      <c r="D2368" s="3">
        <f t="shared" si="338"/>
        <v>8049</v>
      </c>
      <c r="E2368" s="2">
        <f t="shared" si="339"/>
        <v>42856</v>
      </c>
      <c r="F2368" s="2">
        <f t="shared" si="340"/>
        <v>43738</v>
      </c>
    </row>
    <row r="2369" spans="1:6" x14ac:dyDescent="0.25">
      <c r="A2369" s="1" t="s">
        <v>431</v>
      </c>
      <c r="B2369" s="1" t="s">
        <v>2045</v>
      </c>
      <c r="C2369" s="1" t="s">
        <v>8</v>
      </c>
      <c r="D2369" s="3">
        <f t="shared" ref="D2369:D2382" si="341">VALUE("8082")</f>
        <v>8082</v>
      </c>
      <c r="E2369" s="2">
        <f t="shared" si="339"/>
        <v>42856</v>
      </c>
      <c r="F2369" s="2">
        <f t="shared" ref="F2369:F2382" si="342">DATEVALUE("30-9-2018")</f>
        <v>43373</v>
      </c>
    </row>
    <row r="2370" spans="1:6" x14ac:dyDescent="0.25">
      <c r="A2370" s="1" t="s">
        <v>431</v>
      </c>
      <c r="B2370" s="1" t="s">
        <v>2045</v>
      </c>
      <c r="C2370" s="1" t="s">
        <v>62</v>
      </c>
      <c r="D2370" s="3">
        <f t="shared" si="341"/>
        <v>8082</v>
      </c>
      <c r="E2370" s="2">
        <f t="shared" si="339"/>
        <v>42856</v>
      </c>
      <c r="F2370" s="2">
        <f t="shared" si="342"/>
        <v>43373</v>
      </c>
    </row>
    <row r="2371" spans="1:6" x14ac:dyDescent="0.25">
      <c r="A2371" s="1" t="s">
        <v>431</v>
      </c>
      <c r="B2371" s="1" t="s">
        <v>2045</v>
      </c>
      <c r="C2371" s="1" t="s">
        <v>63</v>
      </c>
      <c r="D2371" s="3">
        <f t="shared" si="341"/>
        <v>8082</v>
      </c>
      <c r="E2371" s="2">
        <f t="shared" si="339"/>
        <v>42856</v>
      </c>
      <c r="F2371" s="2">
        <f t="shared" si="342"/>
        <v>43373</v>
      </c>
    </row>
    <row r="2372" spans="1:6" x14ac:dyDescent="0.25">
      <c r="A2372" s="1" t="s">
        <v>431</v>
      </c>
      <c r="B2372" s="1" t="s">
        <v>2045</v>
      </c>
      <c r="C2372" s="1" t="s">
        <v>65</v>
      </c>
      <c r="D2372" s="3">
        <f t="shared" si="341"/>
        <v>8082</v>
      </c>
      <c r="E2372" s="2">
        <f t="shared" si="339"/>
        <v>42856</v>
      </c>
      <c r="F2372" s="2">
        <f t="shared" si="342"/>
        <v>43373</v>
      </c>
    </row>
    <row r="2373" spans="1:6" x14ac:dyDescent="0.25">
      <c r="A2373" s="1" t="s">
        <v>431</v>
      </c>
      <c r="B2373" s="1" t="s">
        <v>2045</v>
      </c>
      <c r="C2373" s="1" t="s">
        <v>14</v>
      </c>
      <c r="D2373" s="3">
        <f t="shared" si="341"/>
        <v>8082</v>
      </c>
      <c r="E2373" s="2">
        <f t="shared" si="339"/>
        <v>42856</v>
      </c>
      <c r="F2373" s="2">
        <f t="shared" si="342"/>
        <v>43373</v>
      </c>
    </row>
    <row r="2374" spans="1:6" x14ac:dyDescent="0.25">
      <c r="A2374" s="1" t="s">
        <v>431</v>
      </c>
      <c r="B2374" s="1" t="s">
        <v>2045</v>
      </c>
      <c r="C2374" s="1" t="s">
        <v>15</v>
      </c>
      <c r="D2374" s="3">
        <f t="shared" si="341"/>
        <v>8082</v>
      </c>
      <c r="E2374" s="2">
        <f t="shared" si="339"/>
        <v>42856</v>
      </c>
      <c r="F2374" s="2">
        <f t="shared" si="342"/>
        <v>43373</v>
      </c>
    </row>
    <row r="2375" spans="1:6" x14ac:dyDescent="0.25">
      <c r="A2375" s="1" t="s">
        <v>431</v>
      </c>
      <c r="B2375" s="1" t="s">
        <v>2045</v>
      </c>
      <c r="C2375" s="1" t="s">
        <v>22</v>
      </c>
      <c r="D2375" s="3">
        <f t="shared" si="341"/>
        <v>8082</v>
      </c>
      <c r="E2375" s="2">
        <f t="shared" si="339"/>
        <v>42856</v>
      </c>
      <c r="F2375" s="2">
        <f t="shared" si="342"/>
        <v>43373</v>
      </c>
    </row>
    <row r="2376" spans="1:6" x14ac:dyDescent="0.25">
      <c r="A2376" s="1" t="s">
        <v>431</v>
      </c>
      <c r="B2376" s="1" t="s">
        <v>2045</v>
      </c>
      <c r="C2376" s="1" t="s">
        <v>67</v>
      </c>
      <c r="D2376" s="3">
        <f t="shared" si="341"/>
        <v>8082</v>
      </c>
      <c r="E2376" s="2">
        <f t="shared" si="339"/>
        <v>42856</v>
      </c>
      <c r="F2376" s="2">
        <f t="shared" si="342"/>
        <v>43373</v>
      </c>
    </row>
    <row r="2377" spans="1:6" x14ac:dyDescent="0.25">
      <c r="A2377" s="1" t="s">
        <v>431</v>
      </c>
      <c r="B2377" s="1" t="s">
        <v>2045</v>
      </c>
      <c r="C2377" s="1" t="s">
        <v>149</v>
      </c>
      <c r="D2377" s="3">
        <f t="shared" si="341"/>
        <v>8082</v>
      </c>
      <c r="E2377" s="2">
        <f t="shared" si="339"/>
        <v>42856</v>
      </c>
      <c r="F2377" s="2">
        <f t="shared" si="342"/>
        <v>43373</v>
      </c>
    </row>
    <row r="2378" spans="1:6" x14ac:dyDescent="0.25">
      <c r="A2378" s="1" t="s">
        <v>431</v>
      </c>
      <c r="B2378" s="1" t="s">
        <v>2045</v>
      </c>
      <c r="C2378" s="1" t="s">
        <v>24</v>
      </c>
      <c r="D2378" s="3">
        <f t="shared" si="341"/>
        <v>8082</v>
      </c>
      <c r="E2378" s="2">
        <f t="shared" si="339"/>
        <v>42856</v>
      </c>
      <c r="F2378" s="2">
        <f t="shared" si="342"/>
        <v>43373</v>
      </c>
    </row>
    <row r="2379" spans="1:6" x14ac:dyDescent="0.25">
      <c r="A2379" s="1" t="s">
        <v>431</v>
      </c>
      <c r="B2379" s="1" t="s">
        <v>2045</v>
      </c>
      <c r="C2379" s="1" t="s">
        <v>70</v>
      </c>
      <c r="D2379" s="3">
        <f t="shared" si="341"/>
        <v>8082</v>
      </c>
      <c r="E2379" s="2">
        <f t="shared" si="339"/>
        <v>42856</v>
      </c>
      <c r="F2379" s="2">
        <f t="shared" si="342"/>
        <v>43373</v>
      </c>
    </row>
    <row r="2380" spans="1:6" x14ac:dyDescent="0.25">
      <c r="A2380" s="1" t="s">
        <v>431</v>
      </c>
      <c r="B2380" s="1" t="s">
        <v>2045</v>
      </c>
      <c r="C2380" s="1" t="s">
        <v>73</v>
      </c>
      <c r="D2380" s="3">
        <f t="shared" si="341"/>
        <v>8082</v>
      </c>
      <c r="E2380" s="2">
        <f t="shared" si="339"/>
        <v>42856</v>
      </c>
      <c r="F2380" s="2">
        <f t="shared" si="342"/>
        <v>43373</v>
      </c>
    </row>
    <row r="2381" spans="1:6" x14ac:dyDescent="0.25">
      <c r="A2381" s="1" t="s">
        <v>431</v>
      </c>
      <c r="B2381" s="1" t="s">
        <v>2045</v>
      </c>
      <c r="C2381" s="1" t="s">
        <v>52</v>
      </c>
      <c r="D2381" s="3">
        <f t="shared" si="341"/>
        <v>8082</v>
      </c>
      <c r="E2381" s="2">
        <f t="shared" si="339"/>
        <v>42856</v>
      </c>
      <c r="F2381" s="2">
        <f t="shared" si="342"/>
        <v>43373</v>
      </c>
    </row>
    <row r="2382" spans="1:6" x14ac:dyDescent="0.25">
      <c r="A2382" s="1" t="s">
        <v>431</v>
      </c>
      <c r="B2382" s="1" t="s">
        <v>2045</v>
      </c>
      <c r="C2382" s="1" t="s">
        <v>34</v>
      </c>
      <c r="D2382" s="3">
        <f t="shared" si="341"/>
        <v>8082</v>
      </c>
      <c r="E2382" s="2">
        <f t="shared" si="339"/>
        <v>42856</v>
      </c>
      <c r="F2382" s="2">
        <f t="shared" si="342"/>
        <v>43373</v>
      </c>
    </row>
    <row r="2383" spans="1:6" x14ac:dyDescent="0.25">
      <c r="A2383" s="1" t="s">
        <v>431</v>
      </c>
      <c r="B2383" s="1" t="s">
        <v>729</v>
      </c>
      <c r="C2383" s="1" t="s">
        <v>734</v>
      </c>
      <c r="D2383" s="3">
        <f t="shared" ref="D2383:D2395" si="343">VALUE("7907")</f>
        <v>7907</v>
      </c>
      <c r="E2383" s="2">
        <f t="shared" ref="E2383:E2420" si="344">DATEVALUE("1-4-2017")</f>
        <v>42826</v>
      </c>
      <c r="F2383" s="2">
        <f t="shared" ref="F2383:F2395" si="345">DATEVALUE("31-12-2020")</f>
        <v>44196</v>
      </c>
    </row>
    <row r="2384" spans="1:6" x14ac:dyDescent="0.25">
      <c r="A2384" s="1" t="s">
        <v>431</v>
      </c>
      <c r="B2384" s="1" t="s">
        <v>729</v>
      </c>
      <c r="C2384" s="1" t="s">
        <v>730</v>
      </c>
      <c r="D2384" s="3">
        <f t="shared" si="343"/>
        <v>7907</v>
      </c>
      <c r="E2384" s="2">
        <f t="shared" si="344"/>
        <v>42826</v>
      </c>
      <c r="F2384" s="2">
        <f t="shared" si="345"/>
        <v>44196</v>
      </c>
    </row>
    <row r="2385" spans="1:6" x14ac:dyDescent="0.25">
      <c r="A2385" s="1" t="s">
        <v>431</v>
      </c>
      <c r="B2385" s="1" t="s">
        <v>729</v>
      </c>
      <c r="C2385" s="1" t="s">
        <v>731</v>
      </c>
      <c r="D2385" s="3">
        <f t="shared" si="343"/>
        <v>7907</v>
      </c>
      <c r="E2385" s="2">
        <f t="shared" si="344"/>
        <v>42826</v>
      </c>
      <c r="F2385" s="2">
        <f t="shared" si="345"/>
        <v>44196</v>
      </c>
    </row>
    <row r="2386" spans="1:6" x14ac:dyDescent="0.25">
      <c r="A2386" s="1" t="s">
        <v>431</v>
      </c>
      <c r="B2386" s="1" t="s">
        <v>729</v>
      </c>
      <c r="C2386" s="1" t="s">
        <v>732</v>
      </c>
      <c r="D2386" s="3">
        <f t="shared" si="343"/>
        <v>7907</v>
      </c>
      <c r="E2386" s="2">
        <f t="shared" si="344"/>
        <v>42826</v>
      </c>
      <c r="F2386" s="2">
        <f t="shared" si="345"/>
        <v>44196</v>
      </c>
    </row>
    <row r="2387" spans="1:6" x14ac:dyDescent="0.25">
      <c r="A2387" s="1" t="s">
        <v>431</v>
      </c>
      <c r="B2387" s="1" t="s">
        <v>729</v>
      </c>
      <c r="C2387" s="1" t="s">
        <v>733</v>
      </c>
      <c r="D2387" s="3">
        <f t="shared" si="343"/>
        <v>7907</v>
      </c>
      <c r="E2387" s="2">
        <f t="shared" si="344"/>
        <v>42826</v>
      </c>
      <c r="F2387" s="2">
        <f t="shared" si="345"/>
        <v>44196</v>
      </c>
    </row>
    <row r="2388" spans="1:6" x14ac:dyDescent="0.25">
      <c r="A2388" s="1" t="s">
        <v>431</v>
      </c>
      <c r="B2388" s="1" t="s">
        <v>729</v>
      </c>
      <c r="C2388" s="1" t="s">
        <v>7</v>
      </c>
      <c r="D2388" s="3">
        <f t="shared" si="343"/>
        <v>7907</v>
      </c>
      <c r="E2388" s="2">
        <f t="shared" si="344"/>
        <v>42826</v>
      </c>
      <c r="F2388" s="2">
        <f t="shared" si="345"/>
        <v>44196</v>
      </c>
    </row>
    <row r="2389" spans="1:6" x14ac:dyDescent="0.25">
      <c r="A2389" s="1" t="s">
        <v>431</v>
      </c>
      <c r="B2389" s="1" t="s">
        <v>729</v>
      </c>
      <c r="C2389" s="1" t="s">
        <v>15</v>
      </c>
      <c r="D2389" s="3">
        <f t="shared" si="343"/>
        <v>7907</v>
      </c>
      <c r="E2389" s="2">
        <f t="shared" si="344"/>
        <v>42826</v>
      </c>
      <c r="F2389" s="2">
        <f t="shared" si="345"/>
        <v>44196</v>
      </c>
    </row>
    <row r="2390" spans="1:6" x14ac:dyDescent="0.25">
      <c r="A2390" s="1" t="s">
        <v>431</v>
      </c>
      <c r="B2390" s="1" t="s">
        <v>729</v>
      </c>
      <c r="C2390" s="1" t="s">
        <v>22</v>
      </c>
      <c r="D2390" s="3">
        <f t="shared" si="343"/>
        <v>7907</v>
      </c>
      <c r="E2390" s="2">
        <f t="shared" si="344"/>
        <v>42826</v>
      </c>
      <c r="F2390" s="2">
        <f t="shared" si="345"/>
        <v>44196</v>
      </c>
    </row>
    <row r="2391" spans="1:6" x14ac:dyDescent="0.25">
      <c r="A2391" s="1" t="s">
        <v>431</v>
      </c>
      <c r="B2391" s="1" t="s">
        <v>729</v>
      </c>
      <c r="C2391" s="1" t="s">
        <v>67</v>
      </c>
      <c r="D2391" s="3">
        <f t="shared" si="343"/>
        <v>7907</v>
      </c>
      <c r="E2391" s="2">
        <f t="shared" si="344"/>
        <v>42826</v>
      </c>
      <c r="F2391" s="2">
        <f t="shared" si="345"/>
        <v>44196</v>
      </c>
    </row>
    <row r="2392" spans="1:6" x14ac:dyDescent="0.25">
      <c r="A2392" s="1" t="s">
        <v>431</v>
      </c>
      <c r="B2392" s="1" t="s">
        <v>729</v>
      </c>
      <c r="C2392" s="1" t="s">
        <v>259</v>
      </c>
      <c r="D2392" s="3">
        <f t="shared" si="343"/>
        <v>7907</v>
      </c>
      <c r="E2392" s="2">
        <f t="shared" si="344"/>
        <v>42826</v>
      </c>
      <c r="F2392" s="2">
        <f t="shared" si="345"/>
        <v>44196</v>
      </c>
    </row>
    <row r="2393" spans="1:6" x14ac:dyDescent="0.25">
      <c r="A2393" s="1" t="s">
        <v>431</v>
      </c>
      <c r="B2393" s="1" t="s">
        <v>729</v>
      </c>
      <c r="C2393" s="1" t="s">
        <v>172</v>
      </c>
      <c r="D2393" s="3">
        <f t="shared" si="343"/>
        <v>7907</v>
      </c>
      <c r="E2393" s="2">
        <f t="shared" si="344"/>
        <v>42826</v>
      </c>
      <c r="F2393" s="2">
        <f t="shared" si="345"/>
        <v>44196</v>
      </c>
    </row>
    <row r="2394" spans="1:6" x14ac:dyDescent="0.25">
      <c r="A2394" s="1" t="s">
        <v>431</v>
      </c>
      <c r="B2394" s="1" t="s">
        <v>729</v>
      </c>
      <c r="C2394" s="1" t="s">
        <v>260</v>
      </c>
      <c r="D2394" s="3">
        <f t="shared" si="343"/>
        <v>7907</v>
      </c>
      <c r="E2394" s="2">
        <f t="shared" si="344"/>
        <v>42826</v>
      </c>
      <c r="F2394" s="2">
        <f t="shared" si="345"/>
        <v>44196</v>
      </c>
    </row>
    <row r="2395" spans="1:6" x14ac:dyDescent="0.25">
      <c r="A2395" s="1" t="s">
        <v>431</v>
      </c>
      <c r="B2395" s="1" t="s">
        <v>729</v>
      </c>
      <c r="C2395" s="1" t="s">
        <v>261</v>
      </c>
      <c r="D2395" s="3">
        <f t="shared" si="343"/>
        <v>7907</v>
      </c>
      <c r="E2395" s="2">
        <f t="shared" si="344"/>
        <v>42826</v>
      </c>
      <c r="F2395" s="2">
        <f t="shared" si="345"/>
        <v>44196</v>
      </c>
    </row>
    <row r="2396" spans="1:6" x14ac:dyDescent="0.25">
      <c r="A2396" s="1" t="s">
        <v>431</v>
      </c>
      <c r="B2396" s="1" t="s">
        <v>841</v>
      </c>
      <c r="C2396" s="1" t="s">
        <v>7</v>
      </c>
      <c r="D2396" s="3">
        <f t="shared" ref="D2396:D2403" si="346">VALUE("8066")</f>
        <v>8066</v>
      </c>
      <c r="E2396" s="2">
        <f t="shared" si="344"/>
        <v>42826</v>
      </c>
      <c r="F2396" s="2">
        <f t="shared" ref="F2396:F2403" si="347">DATEVALUE("31-12-2021")</f>
        <v>44561</v>
      </c>
    </row>
    <row r="2397" spans="1:6" x14ac:dyDescent="0.25">
      <c r="A2397" s="1" t="s">
        <v>431</v>
      </c>
      <c r="B2397" s="1" t="s">
        <v>841</v>
      </c>
      <c r="C2397" s="1" t="s">
        <v>842</v>
      </c>
      <c r="D2397" s="3">
        <f t="shared" si="346"/>
        <v>8066</v>
      </c>
      <c r="E2397" s="2">
        <f t="shared" si="344"/>
        <v>42826</v>
      </c>
      <c r="F2397" s="2">
        <f t="shared" si="347"/>
        <v>44561</v>
      </c>
    </row>
    <row r="2398" spans="1:6" x14ac:dyDescent="0.25">
      <c r="A2398" s="1" t="s">
        <v>431</v>
      </c>
      <c r="B2398" s="1" t="s">
        <v>841</v>
      </c>
      <c r="C2398" s="1" t="s">
        <v>832</v>
      </c>
      <c r="D2398" s="3">
        <f t="shared" si="346"/>
        <v>8066</v>
      </c>
      <c r="E2398" s="2">
        <f t="shared" si="344"/>
        <v>42826</v>
      </c>
      <c r="F2398" s="2">
        <f t="shared" si="347"/>
        <v>44561</v>
      </c>
    </row>
    <row r="2399" spans="1:6" x14ac:dyDescent="0.25">
      <c r="A2399" s="1" t="s">
        <v>431</v>
      </c>
      <c r="B2399" s="1" t="s">
        <v>841</v>
      </c>
      <c r="C2399" s="1" t="s">
        <v>603</v>
      </c>
      <c r="D2399" s="3">
        <f t="shared" si="346"/>
        <v>8066</v>
      </c>
      <c r="E2399" s="2">
        <f t="shared" si="344"/>
        <v>42826</v>
      </c>
      <c r="F2399" s="2">
        <f t="shared" si="347"/>
        <v>44561</v>
      </c>
    </row>
    <row r="2400" spans="1:6" x14ac:dyDescent="0.25">
      <c r="A2400" s="1" t="s">
        <v>431</v>
      </c>
      <c r="B2400" s="1" t="s">
        <v>841</v>
      </c>
      <c r="C2400" s="1" t="s">
        <v>604</v>
      </c>
      <c r="D2400" s="3">
        <f t="shared" si="346"/>
        <v>8066</v>
      </c>
      <c r="E2400" s="2">
        <f t="shared" si="344"/>
        <v>42826</v>
      </c>
      <c r="F2400" s="2">
        <f t="shared" si="347"/>
        <v>44561</v>
      </c>
    </row>
    <row r="2401" spans="1:6" x14ac:dyDescent="0.25">
      <c r="A2401" s="1" t="s">
        <v>431</v>
      </c>
      <c r="B2401" s="1" t="s">
        <v>841</v>
      </c>
      <c r="C2401" s="1" t="s">
        <v>212</v>
      </c>
      <c r="D2401" s="3">
        <f t="shared" si="346"/>
        <v>8066</v>
      </c>
      <c r="E2401" s="2">
        <f t="shared" si="344"/>
        <v>42826</v>
      </c>
      <c r="F2401" s="2">
        <f t="shared" si="347"/>
        <v>44561</v>
      </c>
    </row>
    <row r="2402" spans="1:6" x14ac:dyDescent="0.25">
      <c r="A2402" s="1" t="s">
        <v>431</v>
      </c>
      <c r="B2402" s="1" t="s">
        <v>841</v>
      </c>
      <c r="C2402" s="1" t="s">
        <v>72</v>
      </c>
      <c r="D2402" s="3">
        <f t="shared" si="346"/>
        <v>8066</v>
      </c>
      <c r="E2402" s="2">
        <f t="shared" si="344"/>
        <v>42826</v>
      </c>
      <c r="F2402" s="2">
        <f t="shared" si="347"/>
        <v>44561</v>
      </c>
    </row>
    <row r="2403" spans="1:6" x14ac:dyDescent="0.25">
      <c r="A2403" s="1" t="s">
        <v>431</v>
      </c>
      <c r="B2403" s="1" t="s">
        <v>841</v>
      </c>
      <c r="C2403" s="1" t="s">
        <v>52</v>
      </c>
      <c r="D2403" s="3">
        <f t="shared" si="346"/>
        <v>8066</v>
      </c>
      <c r="E2403" s="2">
        <f t="shared" si="344"/>
        <v>42826</v>
      </c>
      <c r="F2403" s="2">
        <f t="shared" si="347"/>
        <v>44561</v>
      </c>
    </row>
    <row r="2404" spans="1:6" x14ac:dyDescent="0.25">
      <c r="A2404" s="1" t="s">
        <v>431</v>
      </c>
      <c r="B2404" s="1" t="s">
        <v>2040</v>
      </c>
      <c r="C2404" s="1" t="s">
        <v>734</v>
      </c>
      <c r="D2404" s="3">
        <f t="shared" ref="D2404:D2420" si="348">VALUE("8074")</f>
        <v>8074</v>
      </c>
      <c r="E2404" s="2">
        <f t="shared" si="344"/>
        <v>42826</v>
      </c>
      <c r="F2404" s="2">
        <f t="shared" ref="F2404:F2420" si="349">DATEVALUE("30-11-2019")</f>
        <v>43799</v>
      </c>
    </row>
    <row r="2405" spans="1:6" x14ac:dyDescent="0.25">
      <c r="A2405" s="1" t="s">
        <v>431</v>
      </c>
      <c r="B2405" s="1" t="s">
        <v>2040</v>
      </c>
      <c r="C2405" s="1" t="s">
        <v>140</v>
      </c>
      <c r="D2405" s="3">
        <f t="shared" si="348"/>
        <v>8074</v>
      </c>
      <c r="E2405" s="2">
        <f t="shared" si="344"/>
        <v>42826</v>
      </c>
      <c r="F2405" s="2">
        <f t="shared" si="349"/>
        <v>43799</v>
      </c>
    </row>
    <row r="2406" spans="1:6" x14ac:dyDescent="0.25">
      <c r="A2406" s="1" t="s">
        <v>431</v>
      </c>
      <c r="B2406" s="1" t="s">
        <v>2040</v>
      </c>
      <c r="C2406" s="1" t="s">
        <v>141</v>
      </c>
      <c r="D2406" s="3">
        <f t="shared" si="348"/>
        <v>8074</v>
      </c>
      <c r="E2406" s="2">
        <f t="shared" si="344"/>
        <v>42826</v>
      </c>
      <c r="F2406" s="2">
        <f t="shared" si="349"/>
        <v>43799</v>
      </c>
    </row>
    <row r="2407" spans="1:6" x14ac:dyDescent="0.25">
      <c r="A2407" s="1" t="s">
        <v>431</v>
      </c>
      <c r="B2407" s="1" t="s">
        <v>2040</v>
      </c>
      <c r="C2407" s="1" t="s">
        <v>142</v>
      </c>
      <c r="D2407" s="3">
        <f t="shared" si="348"/>
        <v>8074</v>
      </c>
      <c r="E2407" s="2">
        <f t="shared" si="344"/>
        <v>42826</v>
      </c>
      <c r="F2407" s="2">
        <f t="shared" si="349"/>
        <v>43799</v>
      </c>
    </row>
    <row r="2408" spans="1:6" x14ac:dyDescent="0.25">
      <c r="A2408" s="1" t="s">
        <v>431</v>
      </c>
      <c r="B2408" s="1" t="s">
        <v>2040</v>
      </c>
      <c r="C2408" s="1" t="s">
        <v>14</v>
      </c>
      <c r="D2408" s="3">
        <f t="shared" si="348"/>
        <v>8074</v>
      </c>
      <c r="E2408" s="2">
        <f t="shared" si="344"/>
        <v>42826</v>
      </c>
      <c r="F2408" s="2">
        <f t="shared" si="349"/>
        <v>43799</v>
      </c>
    </row>
    <row r="2409" spans="1:6" x14ac:dyDescent="0.25">
      <c r="A2409" s="1" t="s">
        <v>431</v>
      </c>
      <c r="B2409" s="1" t="s">
        <v>2040</v>
      </c>
      <c r="C2409" s="1" t="s">
        <v>15</v>
      </c>
      <c r="D2409" s="3">
        <f t="shared" si="348"/>
        <v>8074</v>
      </c>
      <c r="E2409" s="2">
        <f t="shared" si="344"/>
        <v>42826</v>
      </c>
      <c r="F2409" s="2">
        <f t="shared" si="349"/>
        <v>43799</v>
      </c>
    </row>
    <row r="2410" spans="1:6" x14ac:dyDescent="0.25">
      <c r="A2410" s="1" t="s">
        <v>431</v>
      </c>
      <c r="B2410" s="1" t="s">
        <v>2040</v>
      </c>
      <c r="C2410" s="1" t="s">
        <v>17</v>
      </c>
      <c r="D2410" s="3">
        <f t="shared" si="348"/>
        <v>8074</v>
      </c>
      <c r="E2410" s="2">
        <f t="shared" si="344"/>
        <v>42826</v>
      </c>
      <c r="F2410" s="2">
        <f t="shared" si="349"/>
        <v>43799</v>
      </c>
    </row>
    <row r="2411" spans="1:6" x14ac:dyDescent="0.25">
      <c r="A2411" s="1" t="s">
        <v>431</v>
      </c>
      <c r="B2411" s="1" t="s">
        <v>2040</v>
      </c>
      <c r="C2411" s="1" t="s">
        <v>250</v>
      </c>
      <c r="D2411" s="3">
        <f t="shared" si="348"/>
        <v>8074</v>
      </c>
      <c r="E2411" s="2">
        <f t="shared" si="344"/>
        <v>42826</v>
      </c>
      <c r="F2411" s="2">
        <f t="shared" si="349"/>
        <v>43799</v>
      </c>
    </row>
    <row r="2412" spans="1:6" x14ac:dyDescent="0.25">
      <c r="A2412" s="1" t="s">
        <v>431</v>
      </c>
      <c r="B2412" s="1" t="s">
        <v>2040</v>
      </c>
      <c r="C2412" s="1" t="s">
        <v>67</v>
      </c>
      <c r="D2412" s="3">
        <f t="shared" si="348"/>
        <v>8074</v>
      </c>
      <c r="E2412" s="2">
        <f t="shared" si="344"/>
        <v>42826</v>
      </c>
      <c r="F2412" s="2">
        <f t="shared" si="349"/>
        <v>43799</v>
      </c>
    </row>
    <row r="2413" spans="1:6" x14ac:dyDescent="0.25">
      <c r="A2413" s="1" t="s">
        <v>431</v>
      </c>
      <c r="B2413" s="1" t="s">
        <v>2040</v>
      </c>
      <c r="C2413" s="1" t="s">
        <v>149</v>
      </c>
      <c r="D2413" s="3">
        <f t="shared" si="348"/>
        <v>8074</v>
      </c>
      <c r="E2413" s="2">
        <f t="shared" si="344"/>
        <v>42826</v>
      </c>
      <c r="F2413" s="2">
        <f t="shared" si="349"/>
        <v>43799</v>
      </c>
    </row>
    <row r="2414" spans="1:6" x14ac:dyDescent="0.25">
      <c r="A2414" s="1" t="s">
        <v>431</v>
      </c>
      <c r="B2414" s="1" t="s">
        <v>2040</v>
      </c>
      <c r="C2414" s="1" t="s">
        <v>150</v>
      </c>
      <c r="D2414" s="3">
        <f t="shared" si="348"/>
        <v>8074</v>
      </c>
      <c r="E2414" s="2">
        <f t="shared" si="344"/>
        <v>42826</v>
      </c>
      <c r="F2414" s="2">
        <f t="shared" si="349"/>
        <v>43799</v>
      </c>
    </row>
    <row r="2415" spans="1:6" x14ac:dyDescent="0.25">
      <c r="A2415" s="1" t="s">
        <v>431</v>
      </c>
      <c r="B2415" s="1" t="s">
        <v>2040</v>
      </c>
      <c r="C2415" s="1" t="s">
        <v>2041</v>
      </c>
      <c r="D2415" s="3">
        <f t="shared" si="348"/>
        <v>8074</v>
      </c>
      <c r="E2415" s="2">
        <f t="shared" si="344"/>
        <v>42826</v>
      </c>
      <c r="F2415" s="2">
        <f t="shared" si="349"/>
        <v>43799</v>
      </c>
    </row>
    <row r="2416" spans="1:6" x14ac:dyDescent="0.25">
      <c r="A2416" s="1" t="s">
        <v>431</v>
      </c>
      <c r="B2416" s="1" t="s">
        <v>2040</v>
      </c>
      <c r="C2416" s="1" t="s">
        <v>2042</v>
      </c>
      <c r="D2416" s="3">
        <f t="shared" si="348"/>
        <v>8074</v>
      </c>
      <c r="E2416" s="2">
        <f t="shared" si="344"/>
        <v>42826</v>
      </c>
      <c r="F2416" s="2">
        <f t="shared" si="349"/>
        <v>43799</v>
      </c>
    </row>
    <row r="2417" spans="1:6" x14ac:dyDescent="0.25">
      <c r="A2417" s="1" t="s">
        <v>431</v>
      </c>
      <c r="B2417" s="1" t="s">
        <v>2040</v>
      </c>
      <c r="C2417" s="1" t="s">
        <v>2043</v>
      </c>
      <c r="D2417" s="3">
        <f t="shared" si="348"/>
        <v>8074</v>
      </c>
      <c r="E2417" s="2">
        <f t="shared" si="344"/>
        <v>42826</v>
      </c>
      <c r="F2417" s="2">
        <f t="shared" si="349"/>
        <v>43799</v>
      </c>
    </row>
    <row r="2418" spans="1:6" x14ac:dyDescent="0.25">
      <c r="A2418" s="1" t="s">
        <v>431</v>
      </c>
      <c r="B2418" s="1" t="s">
        <v>2040</v>
      </c>
      <c r="C2418" s="1" t="s">
        <v>73</v>
      </c>
      <c r="D2418" s="3">
        <f t="shared" si="348"/>
        <v>8074</v>
      </c>
      <c r="E2418" s="2">
        <f t="shared" si="344"/>
        <v>42826</v>
      </c>
      <c r="F2418" s="2">
        <f t="shared" si="349"/>
        <v>43799</v>
      </c>
    </row>
    <row r="2419" spans="1:6" x14ac:dyDescent="0.25">
      <c r="A2419" s="1" t="s">
        <v>431</v>
      </c>
      <c r="B2419" s="1" t="s">
        <v>2040</v>
      </c>
      <c r="C2419" s="1" t="s">
        <v>52</v>
      </c>
      <c r="D2419" s="3">
        <f t="shared" si="348"/>
        <v>8074</v>
      </c>
      <c r="E2419" s="2">
        <f t="shared" si="344"/>
        <v>42826</v>
      </c>
      <c r="F2419" s="2">
        <f t="shared" si="349"/>
        <v>43799</v>
      </c>
    </row>
    <row r="2420" spans="1:6" x14ac:dyDescent="0.25">
      <c r="A2420" s="1" t="s">
        <v>431</v>
      </c>
      <c r="B2420" s="1" t="s">
        <v>2040</v>
      </c>
      <c r="C2420" s="1" t="s">
        <v>160</v>
      </c>
      <c r="D2420" s="3">
        <f t="shared" si="348"/>
        <v>8074</v>
      </c>
      <c r="E2420" s="2">
        <f t="shared" si="344"/>
        <v>42826</v>
      </c>
      <c r="F2420" s="2">
        <f t="shared" si="349"/>
        <v>43799</v>
      </c>
    </row>
    <row r="2421" spans="1:6" x14ac:dyDescent="0.25">
      <c r="A2421" s="1" t="s">
        <v>431</v>
      </c>
      <c r="B2421" s="1" t="s">
        <v>807</v>
      </c>
      <c r="C2421" s="1" t="s">
        <v>137</v>
      </c>
      <c r="D2421" s="3">
        <f t="shared" ref="D2421:D2434" si="350">VALUE("8056")</f>
        <v>8056</v>
      </c>
      <c r="E2421" s="2">
        <f t="shared" ref="E2421:E2434" si="351">DATEVALUE("1-3-2017")</f>
        <v>42795</v>
      </c>
      <c r="F2421" s="2">
        <f t="shared" ref="F2421:F2434" si="352">DATEVALUE("31-12-2020")</f>
        <v>44196</v>
      </c>
    </row>
    <row r="2422" spans="1:6" x14ac:dyDescent="0.25">
      <c r="A2422" s="1" t="s">
        <v>431</v>
      </c>
      <c r="B2422" s="1" t="s">
        <v>807</v>
      </c>
      <c r="C2422" s="1" t="s">
        <v>141</v>
      </c>
      <c r="D2422" s="3">
        <f t="shared" si="350"/>
        <v>8056</v>
      </c>
      <c r="E2422" s="2">
        <f t="shared" si="351"/>
        <v>42795</v>
      </c>
      <c r="F2422" s="2">
        <f t="shared" si="352"/>
        <v>44196</v>
      </c>
    </row>
    <row r="2423" spans="1:6" x14ac:dyDescent="0.25">
      <c r="A2423" s="1" t="s">
        <v>431</v>
      </c>
      <c r="B2423" s="1" t="s">
        <v>807</v>
      </c>
      <c r="C2423" s="1" t="s">
        <v>46</v>
      </c>
      <c r="D2423" s="3">
        <f t="shared" si="350"/>
        <v>8056</v>
      </c>
      <c r="E2423" s="2">
        <f t="shared" si="351"/>
        <v>42795</v>
      </c>
      <c r="F2423" s="2">
        <f t="shared" si="352"/>
        <v>44196</v>
      </c>
    </row>
    <row r="2424" spans="1:6" x14ac:dyDescent="0.25">
      <c r="A2424" s="1" t="s">
        <v>431</v>
      </c>
      <c r="B2424" s="1" t="s">
        <v>807</v>
      </c>
      <c r="C2424" s="1" t="s">
        <v>14</v>
      </c>
      <c r="D2424" s="3">
        <f t="shared" si="350"/>
        <v>8056</v>
      </c>
      <c r="E2424" s="2">
        <f t="shared" si="351"/>
        <v>42795</v>
      </c>
      <c r="F2424" s="2">
        <f t="shared" si="352"/>
        <v>44196</v>
      </c>
    </row>
    <row r="2425" spans="1:6" x14ac:dyDescent="0.25">
      <c r="A2425" s="1" t="s">
        <v>431</v>
      </c>
      <c r="B2425" s="1" t="s">
        <v>807</v>
      </c>
      <c r="C2425" s="1" t="s">
        <v>66</v>
      </c>
      <c r="D2425" s="3">
        <f t="shared" si="350"/>
        <v>8056</v>
      </c>
      <c r="E2425" s="2">
        <f t="shared" si="351"/>
        <v>42795</v>
      </c>
      <c r="F2425" s="2">
        <f t="shared" si="352"/>
        <v>44196</v>
      </c>
    </row>
    <row r="2426" spans="1:6" x14ac:dyDescent="0.25">
      <c r="A2426" s="1" t="s">
        <v>431</v>
      </c>
      <c r="B2426" s="1" t="s">
        <v>807</v>
      </c>
      <c r="C2426" s="1" t="s">
        <v>17</v>
      </c>
      <c r="D2426" s="3">
        <f t="shared" si="350"/>
        <v>8056</v>
      </c>
      <c r="E2426" s="2">
        <f t="shared" si="351"/>
        <v>42795</v>
      </c>
      <c r="F2426" s="2">
        <f t="shared" si="352"/>
        <v>44196</v>
      </c>
    </row>
    <row r="2427" spans="1:6" x14ac:dyDescent="0.25">
      <c r="A2427" s="1" t="s">
        <v>431</v>
      </c>
      <c r="B2427" s="1" t="s">
        <v>807</v>
      </c>
      <c r="C2427" s="1" t="s">
        <v>146</v>
      </c>
      <c r="D2427" s="3">
        <f t="shared" si="350"/>
        <v>8056</v>
      </c>
      <c r="E2427" s="2">
        <f t="shared" si="351"/>
        <v>42795</v>
      </c>
      <c r="F2427" s="2">
        <f t="shared" si="352"/>
        <v>44196</v>
      </c>
    </row>
    <row r="2428" spans="1:6" x14ac:dyDescent="0.25">
      <c r="A2428" s="1" t="s">
        <v>431</v>
      </c>
      <c r="B2428" s="1" t="s">
        <v>807</v>
      </c>
      <c r="C2428" s="1" t="s">
        <v>67</v>
      </c>
      <c r="D2428" s="3">
        <f t="shared" si="350"/>
        <v>8056</v>
      </c>
      <c r="E2428" s="2">
        <f t="shared" si="351"/>
        <v>42795</v>
      </c>
      <c r="F2428" s="2">
        <f t="shared" si="352"/>
        <v>44196</v>
      </c>
    </row>
    <row r="2429" spans="1:6" x14ac:dyDescent="0.25">
      <c r="A2429" s="1" t="s">
        <v>431</v>
      </c>
      <c r="B2429" s="1" t="s">
        <v>807</v>
      </c>
      <c r="C2429" s="1" t="s">
        <v>148</v>
      </c>
      <c r="D2429" s="3">
        <f t="shared" si="350"/>
        <v>8056</v>
      </c>
      <c r="E2429" s="2">
        <f t="shared" si="351"/>
        <v>42795</v>
      </c>
      <c r="F2429" s="2">
        <f t="shared" si="352"/>
        <v>44196</v>
      </c>
    </row>
    <row r="2430" spans="1:6" x14ac:dyDescent="0.25">
      <c r="A2430" s="1" t="s">
        <v>431</v>
      </c>
      <c r="B2430" s="1" t="s">
        <v>807</v>
      </c>
      <c r="C2430" s="1" t="s">
        <v>149</v>
      </c>
      <c r="D2430" s="3">
        <f t="shared" si="350"/>
        <v>8056</v>
      </c>
      <c r="E2430" s="2">
        <f t="shared" si="351"/>
        <v>42795</v>
      </c>
      <c r="F2430" s="2">
        <f t="shared" si="352"/>
        <v>44196</v>
      </c>
    </row>
    <row r="2431" spans="1:6" x14ac:dyDescent="0.25">
      <c r="A2431" s="1" t="s">
        <v>431</v>
      </c>
      <c r="B2431" s="1" t="s">
        <v>807</v>
      </c>
      <c r="C2431" s="1" t="s">
        <v>150</v>
      </c>
      <c r="D2431" s="3">
        <f t="shared" si="350"/>
        <v>8056</v>
      </c>
      <c r="E2431" s="2">
        <f t="shared" si="351"/>
        <v>42795</v>
      </c>
      <c r="F2431" s="2">
        <f t="shared" si="352"/>
        <v>44196</v>
      </c>
    </row>
    <row r="2432" spans="1:6" x14ac:dyDescent="0.25">
      <c r="A2432" s="1" t="s">
        <v>431</v>
      </c>
      <c r="B2432" s="1" t="s">
        <v>807</v>
      </c>
      <c r="C2432" s="1" t="s">
        <v>548</v>
      </c>
      <c r="D2432" s="3">
        <f t="shared" si="350"/>
        <v>8056</v>
      </c>
      <c r="E2432" s="2">
        <f t="shared" si="351"/>
        <v>42795</v>
      </c>
      <c r="F2432" s="2">
        <f t="shared" si="352"/>
        <v>44196</v>
      </c>
    </row>
    <row r="2433" spans="1:6" x14ac:dyDescent="0.25">
      <c r="A2433" s="1" t="s">
        <v>431</v>
      </c>
      <c r="B2433" s="1" t="s">
        <v>807</v>
      </c>
      <c r="C2433" s="1" t="s">
        <v>160</v>
      </c>
      <c r="D2433" s="3">
        <f t="shared" si="350"/>
        <v>8056</v>
      </c>
      <c r="E2433" s="2">
        <f t="shared" si="351"/>
        <v>42795</v>
      </c>
      <c r="F2433" s="2">
        <f t="shared" si="352"/>
        <v>44196</v>
      </c>
    </row>
    <row r="2434" spans="1:6" x14ac:dyDescent="0.25">
      <c r="A2434" s="1" t="s">
        <v>431</v>
      </c>
      <c r="B2434" s="1" t="s">
        <v>807</v>
      </c>
      <c r="C2434" s="1" t="s">
        <v>164</v>
      </c>
      <c r="D2434" s="3">
        <f t="shared" si="350"/>
        <v>8056</v>
      </c>
      <c r="E2434" s="2">
        <f t="shared" si="351"/>
        <v>42795</v>
      </c>
      <c r="F2434" s="2">
        <f t="shared" si="352"/>
        <v>44196</v>
      </c>
    </row>
    <row r="2435" spans="1:6" x14ac:dyDescent="0.25">
      <c r="A2435" s="1" t="s">
        <v>431</v>
      </c>
      <c r="B2435" s="1" t="s">
        <v>2018</v>
      </c>
      <c r="C2435" s="1" t="s">
        <v>228</v>
      </c>
      <c r="D2435" s="3">
        <f>VALUE("7977")</f>
        <v>7977</v>
      </c>
      <c r="E2435" s="2">
        <f t="shared" ref="E2435:E2450" si="353">DATEVALUE("1-11-2016")</f>
        <v>42675</v>
      </c>
      <c r="F2435" s="2">
        <f>DATEVALUE("28-2-2018")</f>
        <v>43159</v>
      </c>
    </row>
    <row r="2436" spans="1:6" x14ac:dyDescent="0.25">
      <c r="A2436" s="1" t="s">
        <v>431</v>
      </c>
      <c r="B2436" s="1" t="s">
        <v>2018</v>
      </c>
      <c r="C2436" s="1" t="s">
        <v>28</v>
      </c>
      <c r="D2436" s="3">
        <f>VALUE("7977")</f>
        <v>7977</v>
      </c>
      <c r="E2436" s="2">
        <f t="shared" si="353"/>
        <v>42675</v>
      </c>
      <c r="F2436" s="2">
        <f>DATEVALUE("28-2-2018")</f>
        <v>43159</v>
      </c>
    </row>
    <row r="2437" spans="1:6" x14ac:dyDescent="0.25">
      <c r="A2437" s="1" t="s">
        <v>431</v>
      </c>
      <c r="B2437" s="1" t="s">
        <v>2018</v>
      </c>
      <c r="C2437" s="1" t="s">
        <v>29</v>
      </c>
      <c r="D2437" s="3">
        <f>VALUE("7977")</f>
        <v>7977</v>
      </c>
      <c r="E2437" s="2">
        <f t="shared" si="353"/>
        <v>42675</v>
      </c>
      <c r="F2437" s="2">
        <f>DATEVALUE("28-2-2018")</f>
        <v>43159</v>
      </c>
    </row>
    <row r="2438" spans="1:6" x14ac:dyDescent="0.25">
      <c r="A2438" s="1" t="s">
        <v>431</v>
      </c>
      <c r="B2438" s="1" t="s">
        <v>2257</v>
      </c>
      <c r="C2438" s="1" t="s">
        <v>215</v>
      </c>
      <c r="D2438" s="3">
        <f t="shared" ref="D2438:D2450" si="354">VALUE("7979")</f>
        <v>7979</v>
      </c>
      <c r="E2438" s="2">
        <f t="shared" si="353"/>
        <v>42675</v>
      </c>
      <c r="F2438" s="2">
        <f t="shared" ref="F2438:F2450" si="355">DATEVALUE("30-6-2018")</f>
        <v>43281</v>
      </c>
    </row>
    <row r="2439" spans="1:6" x14ac:dyDescent="0.25">
      <c r="A2439" s="1" t="s">
        <v>431</v>
      </c>
      <c r="B2439" s="1" t="s">
        <v>2257</v>
      </c>
      <c r="C2439" s="1" t="s">
        <v>141</v>
      </c>
      <c r="D2439" s="3">
        <f t="shared" si="354"/>
        <v>7979</v>
      </c>
      <c r="E2439" s="2">
        <f t="shared" si="353"/>
        <v>42675</v>
      </c>
      <c r="F2439" s="2">
        <f t="shared" si="355"/>
        <v>43281</v>
      </c>
    </row>
    <row r="2440" spans="1:6" x14ac:dyDescent="0.25">
      <c r="A2440" s="1" t="s">
        <v>431</v>
      </c>
      <c r="B2440" s="1" t="s">
        <v>2257</v>
      </c>
      <c r="C2440" s="1" t="s">
        <v>142</v>
      </c>
      <c r="D2440" s="3">
        <f t="shared" si="354"/>
        <v>7979</v>
      </c>
      <c r="E2440" s="2">
        <f t="shared" si="353"/>
        <v>42675</v>
      </c>
      <c r="F2440" s="2">
        <f t="shared" si="355"/>
        <v>43281</v>
      </c>
    </row>
    <row r="2441" spans="1:6" x14ac:dyDescent="0.25">
      <c r="A2441" s="1" t="s">
        <v>431</v>
      </c>
      <c r="B2441" s="1" t="s">
        <v>2257</v>
      </c>
      <c r="C2441" s="1" t="s">
        <v>14</v>
      </c>
      <c r="D2441" s="3">
        <f t="shared" si="354"/>
        <v>7979</v>
      </c>
      <c r="E2441" s="2">
        <f t="shared" si="353"/>
        <v>42675</v>
      </c>
      <c r="F2441" s="2">
        <f t="shared" si="355"/>
        <v>43281</v>
      </c>
    </row>
    <row r="2442" spans="1:6" x14ac:dyDescent="0.25">
      <c r="A2442" s="1" t="s">
        <v>431</v>
      </c>
      <c r="B2442" s="1" t="s">
        <v>2257</v>
      </c>
      <c r="C2442" s="1" t="s">
        <v>15</v>
      </c>
      <c r="D2442" s="3">
        <f t="shared" si="354"/>
        <v>7979</v>
      </c>
      <c r="E2442" s="2">
        <f t="shared" si="353"/>
        <v>42675</v>
      </c>
      <c r="F2442" s="2">
        <f t="shared" si="355"/>
        <v>43281</v>
      </c>
    </row>
    <row r="2443" spans="1:6" x14ac:dyDescent="0.25">
      <c r="A2443" s="1" t="s">
        <v>431</v>
      </c>
      <c r="B2443" s="1" t="s">
        <v>2257</v>
      </c>
      <c r="C2443" s="1" t="s">
        <v>17</v>
      </c>
      <c r="D2443" s="3">
        <f t="shared" si="354"/>
        <v>7979</v>
      </c>
      <c r="E2443" s="2">
        <f t="shared" si="353"/>
        <v>42675</v>
      </c>
      <c r="F2443" s="2">
        <f t="shared" si="355"/>
        <v>43281</v>
      </c>
    </row>
    <row r="2444" spans="1:6" x14ac:dyDescent="0.25">
      <c r="A2444" s="1" t="s">
        <v>431</v>
      </c>
      <c r="B2444" s="1" t="s">
        <v>2257</v>
      </c>
      <c r="C2444" s="1" t="s">
        <v>146</v>
      </c>
      <c r="D2444" s="3">
        <f t="shared" si="354"/>
        <v>7979</v>
      </c>
      <c r="E2444" s="2">
        <f t="shared" si="353"/>
        <v>42675</v>
      </c>
      <c r="F2444" s="2">
        <f t="shared" si="355"/>
        <v>43281</v>
      </c>
    </row>
    <row r="2445" spans="1:6" x14ac:dyDescent="0.25">
      <c r="A2445" s="1" t="s">
        <v>431</v>
      </c>
      <c r="B2445" s="1" t="s">
        <v>2257</v>
      </c>
      <c r="C2445" s="1" t="s">
        <v>67</v>
      </c>
      <c r="D2445" s="3">
        <f t="shared" si="354"/>
        <v>7979</v>
      </c>
      <c r="E2445" s="2">
        <f t="shared" si="353"/>
        <v>42675</v>
      </c>
      <c r="F2445" s="2">
        <f t="shared" si="355"/>
        <v>43281</v>
      </c>
    </row>
    <row r="2446" spans="1:6" x14ac:dyDescent="0.25">
      <c r="A2446" s="1" t="s">
        <v>431</v>
      </c>
      <c r="B2446" s="1" t="s">
        <v>2257</v>
      </c>
      <c r="C2446" s="1" t="s">
        <v>148</v>
      </c>
      <c r="D2446" s="3">
        <f t="shared" si="354"/>
        <v>7979</v>
      </c>
      <c r="E2446" s="2">
        <f t="shared" si="353"/>
        <v>42675</v>
      </c>
      <c r="F2446" s="2">
        <f t="shared" si="355"/>
        <v>43281</v>
      </c>
    </row>
    <row r="2447" spans="1:6" x14ac:dyDescent="0.25">
      <c r="A2447" s="1" t="s">
        <v>431</v>
      </c>
      <c r="B2447" s="1" t="s">
        <v>2257</v>
      </c>
      <c r="C2447" s="1" t="s">
        <v>149</v>
      </c>
      <c r="D2447" s="3">
        <f t="shared" si="354"/>
        <v>7979</v>
      </c>
      <c r="E2447" s="2">
        <f t="shared" si="353"/>
        <v>42675</v>
      </c>
      <c r="F2447" s="2">
        <f t="shared" si="355"/>
        <v>43281</v>
      </c>
    </row>
    <row r="2448" spans="1:6" x14ac:dyDescent="0.25">
      <c r="A2448" s="1" t="s">
        <v>431</v>
      </c>
      <c r="B2448" s="1" t="s">
        <v>2257</v>
      </c>
      <c r="C2448" s="1" t="s">
        <v>150</v>
      </c>
      <c r="D2448" s="3">
        <f t="shared" si="354"/>
        <v>7979</v>
      </c>
      <c r="E2448" s="2">
        <f t="shared" si="353"/>
        <v>42675</v>
      </c>
      <c r="F2448" s="2">
        <f t="shared" si="355"/>
        <v>43281</v>
      </c>
    </row>
    <row r="2449" spans="1:6" x14ac:dyDescent="0.25">
      <c r="A2449" s="1" t="s">
        <v>431</v>
      </c>
      <c r="B2449" s="1" t="s">
        <v>2257</v>
      </c>
      <c r="C2449" s="1" t="s">
        <v>160</v>
      </c>
      <c r="D2449" s="3">
        <f t="shared" si="354"/>
        <v>7979</v>
      </c>
      <c r="E2449" s="2">
        <f t="shared" si="353"/>
        <v>42675</v>
      </c>
      <c r="F2449" s="2">
        <f t="shared" si="355"/>
        <v>43281</v>
      </c>
    </row>
    <row r="2450" spans="1:6" x14ac:dyDescent="0.25">
      <c r="A2450" s="1" t="s">
        <v>431</v>
      </c>
      <c r="B2450" s="1" t="s">
        <v>2257</v>
      </c>
      <c r="C2450" s="1" t="s">
        <v>310</v>
      </c>
      <c r="D2450" s="3">
        <f t="shared" si="354"/>
        <v>7979</v>
      </c>
      <c r="E2450" s="2">
        <f t="shared" si="353"/>
        <v>42675</v>
      </c>
      <c r="F2450" s="2">
        <f t="shared" si="355"/>
        <v>43281</v>
      </c>
    </row>
    <row r="2451" spans="1:6" x14ac:dyDescent="0.25">
      <c r="A2451" s="1" t="s">
        <v>431</v>
      </c>
      <c r="B2451" s="1" t="s">
        <v>2239</v>
      </c>
      <c r="C2451" s="1" t="s">
        <v>7</v>
      </c>
      <c r="D2451" s="3">
        <f t="shared" ref="D2451:D2459" si="356">VALUE("7924")</f>
        <v>7924</v>
      </c>
      <c r="E2451" s="2">
        <f t="shared" ref="E2451:E2459" si="357">DATEVALUE("1-7-2016")</f>
        <v>42552</v>
      </c>
      <c r="F2451" s="2">
        <f t="shared" ref="F2451:F2459" si="358">DATEVALUE("31-12-2019")</f>
        <v>43830</v>
      </c>
    </row>
    <row r="2452" spans="1:6" x14ac:dyDescent="0.25">
      <c r="A2452" s="1" t="s">
        <v>431</v>
      </c>
      <c r="B2452" s="1" t="s">
        <v>2239</v>
      </c>
      <c r="C2452" s="1" t="s">
        <v>6</v>
      </c>
      <c r="D2452" s="3">
        <f t="shared" si="356"/>
        <v>7924</v>
      </c>
      <c r="E2452" s="2">
        <f t="shared" si="357"/>
        <v>42552</v>
      </c>
      <c r="F2452" s="2">
        <f t="shared" si="358"/>
        <v>43830</v>
      </c>
    </row>
    <row r="2453" spans="1:6" x14ac:dyDescent="0.25">
      <c r="A2453" s="1" t="s">
        <v>431</v>
      </c>
      <c r="B2453" s="1" t="s">
        <v>2239</v>
      </c>
      <c r="C2453" s="1" t="s">
        <v>599</v>
      </c>
      <c r="D2453" s="3">
        <f t="shared" si="356"/>
        <v>7924</v>
      </c>
      <c r="E2453" s="2">
        <f t="shared" si="357"/>
        <v>42552</v>
      </c>
      <c r="F2453" s="2">
        <f t="shared" si="358"/>
        <v>43830</v>
      </c>
    </row>
    <row r="2454" spans="1:6" x14ac:dyDescent="0.25">
      <c r="A2454" s="1" t="s">
        <v>431</v>
      </c>
      <c r="B2454" s="1" t="s">
        <v>2239</v>
      </c>
      <c r="C2454" s="1" t="s">
        <v>13</v>
      </c>
      <c r="D2454" s="3">
        <f t="shared" si="356"/>
        <v>7924</v>
      </c>
      <c r="E2454" s="2">
        <f t="shared" si="357"/>
        <v>42552</v>
      </c>
      <c r="F2454" s="2">
        <f t="shared" si="358"/>
        <v>43830</v>
      </c>
    </row>
    <row r="2455" spans="1:6" x14ac:dyDescent="0.25">
      <c r="A2455" s="1" t="s">
        <v>431</v>
      </c>
      <c r="B2455" s="1" t="s">
        <v>2239</v>
      </c>
      <c r="C2455" s="1" t="s">
        <v>221</v>
      </c>
      <c r="D2455" s="3">
        <f t="shared" si="356"/>
        <v>7924</v>
      </c>
      <c r="E2455" s="2">
        <f t="shared" si="357"/>
        <v>42552</v>
      </c>
      <c r="F2455" s="2">
        <f t="shared" si="358"/>
        <v>43830</v>
      </c>
    </row>
    <row r="2456" spans="1:6" x14ac:dyDescent="0.25">
      <c r="A2456" s="1" t="s">
        <v>431</v>
      </c>
      <c r="B2456" s="1" t="s">
        <v>2239</v>
      </c>
      <c r="C2456" s="1" t="s">
        <v>23</v>
      </c>
      <c r="D2456" s="3">
        <f t="shared" si="356"/>
        <v>7924</v>
      </c>
      <c r="E2456" s="2">
        <f t="shared" si="357"/>
        <v>42552</v>
      </c>
      <c r="F2456" s="2">
        <f t="shared" si="358"/>
        <v>43830</v>
      </c>
    </row>
    <row r="2457" spans="1:6" x14ac:dyDescent="0.25">
      <c r="A2457" s="1" t="s">
        <v>431</v>
      </c>
      <c r="B2457" s="1" t="s">
        <v>2239</v>
      </c>
      <c r="C2457" s="1" t="s">
        <v>212</v>
      </c>
      <c r="D2457" s="3">
        <f t="shared" si="356"/>
        <v>7924</v>
      </c>
      <c r="E2457" s="2">
        <f t="shared" si="357"/>
        <v>42552</v>
      </c>
      <c r="F2457" s="2">
        <f t="shared" si="358"/>
        <v>43830</v>
      </c>
    </row>
    <row r="2458" spans="1:6" x14ac:dyDescent="0.25">
      <c r="A2458" s="1" t="s">
        <v>431</v>
      </c>
      <c r="B2458" s="1" t="s">
        <v>2239</v>
      </c>
      <c r="C2458" s="1" t="s">
        <v>225</v>
      </c>
      <c r="D2458" s="3">
        <f t="shared" si="356"/>
        <v>7924</v>
      </c>
      <c r="E2458" s="2">
        <f t="shared" si="357"/>
        <v>42552</v>
      </c>
      <c r="F2458" s="2">
        <f t="shared" si="358"/>
        <v>43830</v>
      </c>
    </row>
    <row r="2459" spans="1:6" x14ac:dyDescent="0.25">
      <c r="A2459" s="1" t="s">
        <v>431</v>
      </c>
      <c r="B2459" s="1" t="s">
        <v>2239</v>
      </c>
      <c r="C2459" s="1" t="s">
        <v>30</v>
      </c>
      <c r="D2459" s="3">
        <f t="shared" si="356"/>
        <v>7924</v>
      </c>
      <c r="E2459" s="2">
        <f t="shared" si="357"/>
        <v>42552</v>
      </c>
      <c r="F2459" s="2">
        <f t="shared" si="358"/>
        <v>43830</v>
      </c>
    </row>
    <row r="2460" spans="1:6" x14ac:dyDescent="0.25">
      <c r="A2460" s="1" t="s">
        <v>431</v>
      </c>
      <c r="B2460" s="1" t="s">
        <v>2236</v>
      </c>
      <c r="C2460" s="1" t="s">
        <v>7</v>
      </c>
      <c r="D2460" s="3">
        <f>VALUE("7911")</f>
        <v>7911</v>
      </c>
      <c r="E2460" s="2">
        <f>DATEVALUE("1-6-2016")</f>
        <v>42522</v>
      </c>
      <c r="F2460" s="2">
        <f>DATEVALUE("31-12-2018")</f>
        <v>43465</v>
      </c>
    </row>
    <row r="2461" spans="1:6" x14ac:dyDescent="0.25">
      <c r="A2461" s="1" t="s">
        <v>431</v>
      </c>
      <c r="B2461" s="1" t="s">
        <v>2236</v>
      </c>
      <c r="C2461" s="1" t="s">
        <v>212</v>
      </c>
      <c r="D2461" s="3">
        <f>VALUE("7911")</f>
        <v>7911</v>
      </c>
      <c r="E2461" s="2">
        <f>DATEVALUE("1-6-2016")</f>
        <v>42522</v>
      </c>
      <c r="F2461" s="2">
        <f>DATEVALUE("31-12-2018")</f>
        <v>43465</v>
      </c>
    </row>
    <row r="2462" spans="1:6" x14ac:dyDescent="0.25">
      <c r="A2462" s="1" t="s">
        <v>431</v>
      </c>
      <c r="B2462" s="1" t="s">
        <v>677</v>
      </c>
      <c r="C2462" s="1" t="s">
        <v>252</v>
      </c>
      <c r="D2462" s="3">
        <f t="shared" ref="D2462:D2477" si="359">VALUE("7881")</f>
        <v>7881</v>
      </c>
      <c r="E2462" s="2">
        <f t="shared" ref="E2462:E2477" si="360">DATEVALUE("1-5-2016")</f>
        <v>42491</v>
      </c>
      <c r="F2462" s="2">
        <f t="shared" ref="F2462:F2477" si="361">DATEVALUE("30-9-2021")</f>
        <v>44469</v>
      </c>
    </row>
    <row r="2463" spans="1:6" x14ac:dyDescent="0.25">
      <c r="A2463" s="1" t="s">
        <v>431</v>
      </c>
      <c r="B2463" s="1" t="s">
        <v>677</v>
      </c>
      <c r="C2463" s="1" t="s">
        <v>14</v>
      </c>
      <c r="D2463" s="3">
        <f t="shared" si="359"/>
        <v>7881</v>
      </c>
      <c r="E2463" s="2">
        <f t="shared" si="360"/>
        <v>42491</v>
      </c>
      <c r="F2463" s="2">
        <f t="shared" si="361"/>
        <v>44469</v>
      </c>
    </row>
    <row r="2464" spans="1:6" x14ac:dyDescent="0.25">
      <c r="A2464" s="1" t="s">
        <v>431</v>
      </c>
      <c r="B2464" s="1" t="s">
        <v>677</v>
      </c>
      <c r="C2464" s="1" t="s">
        <v>15</v>
      </c>
      <c r="D2464" s="3">
        <f t="shared" si="359"/>
        <v>7881</v>
      </c>
      <c r="E2464" s="2">
        <f t="shared" si="360"/>
        <v>42491</v>
      </c>
      <c r="F2464" s="2">
        <f t="shared" si="361"/>
        <v>44469</v>
      </c>
    </row>
    <row r="2465" spans="1:6" x14ac:dyDescent="0.25">
      <c r="A2465" s="1" t="s">
        <v>431</v>
      </c>
      <c r="B2465" s="1" t="s">
        <v>677</v>
      </c>
      <c r="C2465" s="1" t="s">
        <v>17</v>
      </c>
      <c r="D2465" s="3">
        <f t="shared" si="359"/>
        <v>7881</v>
      </c>
      <c r="E2465" s="2">
        <f t="shared" si="360"/>
        <v>42491</v>
      </c>
      <c r="F2465" s="2">
        <f t="shared" si="361"/>
        <v>44469</v>
      </c>
    </row>
    <row r="2466" spans="1:6" x14ac:dyDescent="0.25">
      <c r="A2466" s="1" t="s">
        <v>431</v>
      </c>
      <c r="B2466" s="1" t="s">
        <v>677</v>
      </c>
      <c r="C2466" s="1" t="s">
        <v>146</v>
      </c>
      <c r="D2466" s="3">
        <f t="shared" si="359"/>
        <v>7881</v>
      </c>
      <c r="E2466" s="2">
        <f t="shared" si="360"/>
        <v>42491</v>
      </c>
      <c r="F2466" s="2">
        <f t="shared" si="361"/>
        <v>44469</v>
      </c>
    </row>
    <row r="2467" spans="1:6" x14ac:dyDescent="0.25">
      <c r="A2467" s="1" t="s">
        <v>431</v>
      </c>
      <c r="B2467" s="1" t="s">
        <v>677</v>
      </c>
      <c r="C2467" s="1" t="s">
        <v>67</v>
      </c>
      <c r="D2467" s="3">
        <f t="shared" si="359"/>
        <v>7881</v>
      </c>
      <c r="E2467" s="2">
        <f t="shared" si="360"/>
        <v>42491</v>
      </c>
      <c r="F2467" s="2">
        <f t="shared" si="361"/>
        <v>44469</v>
      </c>
    </row>
    <row r="2468" spans="1:6" x14ac:dyDescent="0.25">
      <c r="A2468" s="1" t="s">
        <v>431</v>
      </c>
      <c r="B2468" s="1" t="s">
        <v>677</v>
      </c>
      <c r="C2468" s="1" t="s">
        <v>148</v>
      </c>
      <c r="D2468" s="3">
        <f t="shared" si="359"/>
        <v>7881</v>
      </c>
      <c r="E2468" s="2">
        <f t="shared" si="360"/>
        <v>42491</v>
      </c>
      <c r="F2468" s="2">
        <f t="shared" si="361"/>
        <v>44469</v>
      </c>
    </row>
    <row r="2469" spans="1:6" x14ac:dyDescent="0.25">
      <c r="A2469" s="1" t="s">
        <v>431</v>
      </c>
      <c r="B2469" s="1" t="s">
        <v>677</v>
      </c>
      <c r="C2469" s="1" t="s">
        <v>149</v>
      </c>
      <c r="D2469" s="3">
        <f t="shared" si="359"/>
        <v>7881</v>
      </c>
      <c r="E2469" s="2">
        <f t="shared" si="360"/>
        <v>42491</v>
      </c>
      <c r="F2469" s="2">
        <f t="shared" si="361"/>
        <v>44469</v>
      </c>
    </row>
    <row r="2470" spans="1:6" x14ac:dyDescent="0.25">
      <c r="A2470" s="1" t="s">
        <v>431</v>
      </c>
      <c r="B2470" s="1" t="s">
        <v>677</v>
      </c>
      <c r="C2470" s="1" t="s">
        <v>150</v>
      </c>
      <c r="D2470" s="3">
        <f t="shared" si="359"/>
        <v>7881</v>
      </c>
      <c r="E2470" s="2">
        <f t="shared" si="360"/>
        <v>42491</v>
      </c>
      <c r="F2470" s="2">
        <f t="shared" si="361"/>
        <v>44469</v>
      </c>
    </row>
    <row r="2471" spans="1:6" x14ac:dyDescent="0.25">
      <c r="A2471" s="1" t="s">
        <v>431</v>
      </c>
      <c r="B2471" s="1" t="s">
        <v>677</v>
      </c>
      <c r="C2471" s="1" t="s">
        <v>205</v>
      </c>
      <c r="D2471" s="3">
        <f t="shared" si="359"/>
        <v>7881</v>
      </c>
      <c r="E2471" s="2">
        <f t="shared" si="360"/>
        <v>42491</v>
      </c>
      <c r="F2471" s="2">
        <f t="shared" si="361"/>
        <v>44469</v>
      </c>
    </row>
    <row r="2472" spans="1:6" x14ac:dyDescent="0.25">
      <c r="A2472" s="1" t="s">
        <v>431</v>
      </c>
      <c r="B2472" s="1" t="s">
        <v>677</v>
      </c>
      <c r="C2472" s="1" t="s">
        <v>204</v>
      </c>
      <c r="D2472" s="3">
        <f t="shared" si="359"/>
        <v>7881</v>
      </c>
      <c r="E2472" s="2">
        <f t="shared" si="360"/>
        <v>42491</v>
      </c>
      <c r="F2472" s="2">
        <f t="shared" si="361"/>
        <v>44469</v>
      </c>
    </row>
    <row r="2473" spans="1:6" x14ac:dyDescent="0.25">
      <c r="A2473" s="1" t="s">
        <v>431</v>
      </c>
      <c r="B2473" s="1" t="s">
        <v>677</v>
      </c>
      <c r="C2473" s="1" t="s">
        <v>26</v>
      </c>
      <c r="D2473" s="3">
        <f t="shared" si="359"/>
        <v>7881</v>
      </c>
      <c r="E2473" s="2">
        <f t="shared" si="360"/>
        <v>42491</v>
      </c>
      <c r="F2473" s="2">
        <f t="shared" si="361"/>
        <v>44469</v>
      </c>
    </row>
    <row r="2474" spans="1:6" x14ac:dyDescent="0.25">
      <c r="A2474" s="1" t="s">
        <v>431</v>
      </c>
      <c r="B2474" s="1" t="s">
        <v>677</v>
      </c>
      <c r="C2474" s="1" t="s">
        <v>206</v>
      </c>
      <c r="D2474" s="3">
        <f t="shared" si="359"/>
        <v>7881</v>
      </c>
      <c r="E2474" s="2">
        <f t="shared" si="360"/>
        <v>42491</v>
      </c>
      <c r="F2474" s="2">
        <f t="shared" si="361"/>
        <v>44469</v>
      </c>
    </row>
    <row r="2475" spans="1:6" x14ac:dyDescent="0.25">
      <c r="A2475" s="1" t="s">
        <v>431</v>
      </c>
      <c r="B2475" s="1" t="s">
        <v>677</v>
      </c>
      <c r="C2475" s="1" t="s">
        <v>207</v>
      </c>
      <c r="D2475" s="3">
        <f t="shared" si="359"/>
        <v>7881</v>
      </c>
      <c r="E2475" s="2">
        <f t="shared" si="360"/>
        <v>42491</v>
      </c>
      <c r="F2475" s="2">
        <f t="shared" si="361"/>
        <v>44469</v>
      </c>
    </row>
    <row r="2476" spans="1:6" x14ac:dyDescent="0.25">
      <c r="A2476" s="1" t="s">
        <v>431</v>
      </c>
      <c r="B2476" s="1" t="s">
        <v>677</v>
      </c>
      <c r="C2476" s="1" t="s">
        <v>421</v>
      </c>
      <c r="D2476" s="3">
        <f t="shared" si="359"/>
        <v>7881</v>
      </c>
      <c r="E2476" s="2">
        <f t="shared" si="360"/>
        <v>42491</v>
      </c>
      <c r="F2476" s="2">
        <f t="shared" si="361"/>
        <v>44469</v>
      </c>
    </row>
    <row r="2477" spans="1:6" x14ac:dyDescent="0.25">
      <c r="A2477" s="1" t="s">
        <v>431</v>
      </c>
      <c r="B2477" s="1" t="s">
        <v>677</v>
      </c>
      <c r="C2477" s="1" t="s">
        <v>160</v>
      </c>
      <c r="D2477" s="3">
        <f t="shared" si="359"/>
        <v>7881</v>
      </c>
      <c r="E2477" s="2">
        <f t="shared" si="360"/>
        <v>42491</v>
      </c>
      <c r="F2477" s="2">
        <f t="shared" si="361"/>
        <v>44469</v>
      </c>
    </row>
    <row r="2478" spans="1:6" x14ac:dyDescent="0.25">
      <c r="A2478" s="1" t="s">
        <v>431</v>
      </c>
      <c r="B2478" s="1" t="s">
        <v>653</v>
      </c>
      <c r="C2478" s="1" t="s">
        <v>7</v>
      </c>
      <c r="D2478" s="3">
        <f t="shared" ref="D2478:D2505" si="362">VALUE("7859")</f>
        <v>7859</v>
      </c>
      <c r="E2478" s="2">
        <f t="shared" ref="E2478:E2505" si="363">DATEVALUE("1-3-2016")</f>
        <v>42430</v>
      </c>
      <c r="F2478" s="2">
        <f t="shared" ref="F2478:F2505" si="364">DATEVALUE("31-12-2020")</f>
        <v>44196</v>
      </c>
    </row>
    <row r="2479" spans="1:6" x14ac:dyDescent="0.25">
      <c r="A2479" s="1" t="s">
        <v>431</v>
      </c>
      <c r="B2479" s="1" t="s">
        <v>653</v>
      </c>
      <c r="C2479" s="1" t="s">
        <v>219</v>
      </c>
      <c r="D2479" s="3">
        <f t="shared" si="362"/>
        <v>7859</v>
      </c>
      <c r="E2479" s="2">
        <f t="shared" si="363"/>
        <v>42430</v>
      </c>
      <c r="F2479" s="2">
        <f t="shared" si="364"/>
        <v>44196</v>
      </c>
    </row>
    <row r="2480" spans="1:6" x14ac:dyDescent="0.25">
      <c r="A2480" s="1" t="s">
        <v>431</v>
      </c>
      <c r="B2480" s="1" t="s">
        <v>653</v>
      </c>
      <c r="C2480" s="1" t="s">
        <v>140</v>
      </c>
      <c r="D2480" s="3">
        <f t="shared" si="362"/>
        <v>7859</v>
      </c>
      <c r="E2480" s="2">
        <f t="shared" si="363"/>
        <v>42430</v>
      </c>
      <c r="F2480" s="2">
        <f t="shared" si="364"/>
        <v>44196</v>
      </c>
    </row>
    <row r="2481" spans="1:6" x14ac:dyDescent="0.25">
      <c r="A2481" s="1" t="s">
        <v>431</v>
      </c>
      <c r="B2481" s="1" t="s">
        <v>653</v>
      </c>
      <c r="C2481" s="1" t="s">
        <v>141</v>
      </c>
      <c r="D2481" s="3">
        <f t="shared" si="362"/>
        <v>7859</v>
      </c>
      <c r="E2481" s="2">
        <f t="shared" si="363"/>
        <v>42430</v>
      </c>
      <c r="F2481" s="2">
        <f t="shared" si="364"/>
        <v>44196</v>
      </c>
    </row>
    <row r="2482" spans="1:6" x14ac:dyDescent="0.25">
      <c r="A2482" s="1" t="s">
        <v>431</v>
      </c>
      <c r="B2482" s="1" t="s">
        <v>653</v>
      </c>
      <c r="C2482" s="1" t="s">
        <v>142</v>
      </c>
      <c r="D2482" s="3">
        <f t="shared" si="362"/>
        <v>7859</v>
      </c>
      <c r="E2482" s="2">
        <f t="shared" si="363"/>
        <v>42430</v>
      </c>
      <c r="F2482" s="2">
        <f t="shared" si="364"/>
        <v>44196</v>
      </c>
    </row>
    <row r="2483" spans="1:6" x14ac:dyDescent="0.25">
      <c r="A2483" s="1" t="s">
        <v>431</v>
      </c>
      <c r="B2483" s="1" t="s">
        <v>653</v>
      </c>
      <c r="C2483" s="1" t="s">
        <v>46</v>
      </c>
      <c r="D2483" s="3">
        <f t="shared" si="362"/>
        <v>7859</v>
      </c>
      <c r="E2483" s="2">
        <f t="shared" si="363"/>
        <v>42430</v>
      </c>
      <c r="F2483" s="2">
        <f t="shared" si="364"/>
        <v>44196</v>
      </c>
    </row>
    <row r="2484" spans="1:6" x14ac:dyDescent="0.25">
      <c r="A2484" s="1" t="s">
        <v>431</v>
      </c>
      <c r="B2484" s="1" t="s">
        <v>653</v>
      </c>
      <c r="C2484" s="1" t="s">
        <v>14</v>
      </c>
      <c r="D2484" s="3">
        <f t="shared" si="362"/>
        <v>7859</v>
      </c>
      <c r="E2484" s="2">
        <f t="shared" si="363"/>
        <v>42430</v>
      </c>
      <c r="F2484" s="2">
        <f t="shared" si="364"/>
        <v>44196</v>
      </c>
    </row>
    <row r="2485" spans="1:6" x14ac:dyDescent="0.25">
      <c r="A2485" s="1" t="s">
        <v>431</v>
      </c>
      <c r="B2485" s="1" t="s">
        <v>653</v>
      </c>
      <c r="C2485" s="1" t="s">
        <v>15</v>
      </c>
      <c r="D2485" s="3">
        <f t="shared" si="362"/>
        <v>7859</v>
      </c>
      <c r="E2485" s="2">
        <f t="shared" si="363"/>
        <v>42430</v>
      </c>
      <c r="F2485" s="2">
        <f t="shared" si="364"/>
        <v>44196</v>
      </c>
    </row>
    <row r="2486" spans="1:6" x14ac:dyDescent="0.25">
      <c r="A2486" s="1" t="s">
        <v>431</v>
      </c>
      <c r="B2486" s="1" t="s">
        <v>653</v>
      </c>
      <c r="C2486" s="1" t="s">
        <v>17</v>
      </c>
      <c r="D2486" s="3">
        <f t="shared" si="362"/>
        <v>7859</v>
      </c>
      <c r="E2486" s="2">
        <f t="shared" si="363"/>
        <v>42430</v>
      </c>
      <c r="F2486" s="2">
        <f t="shared" si="364"/>
        <v>44196</v>
      </c>
    </row>
    <row r="2487" spans="1:6" x14ac:dyDescent="0.25">
      <c r="A2487" s="1" t="s">
        <v>431</v>
      </c>
      <c r="B2487" s="1" t="s">
        <v>653</v>
      </c>
      <c r="C2487" s="1" t="s">
        <v>22</v>
      </c>
      <c r="D2487" s="3">
        <f t="shared" si="362"/>
        <v>7859</v>
      </c>
      <c r="E2487" s="2">
        <f t="shared" si="363"/>
        <v>42430</v>
      </c>
      <c r="F2487" s="2">
        <f t="shared" si="364"/>
        <v>44196</v>
      </c>
    </row>
    <row r="2488" spans="1:6" x14ac:dyDescent="0.25">
      <c r="A2488" s="1" t="s">
        <v>431</v>
      </c>
      <c r="B2488" s="1" t="s">
        <v>653</v>
      </c>
      <c r="C2488" s="1" t="s">
        <v>146</v>
      </c>
      <c r="D2488" s="3">
        <f t="shared" si="362"/>
        <v>7859</v>
      </c>
      <c r="E2488" s="2">
        <f t="shared" si="363"/>
        <v>42430</v>
      </c>
      <c r="F2488" s="2">
        <f t="shared" si="364"/>
        <v>44196</v>
      </c>
    </row>
    <row r="2489" spans="1:6" x14ac:dyDescent="0.25">
      <c r="A2489" s="1" t="s">
        <v>431</v>
      </c>
      <c r="B2489" s="1" t="s">
        <v>653</v>
      </c>
      <c r="C2489" s="1" t="s">
        <v>67</v>
      </c>
      <c r="D2489" s="3">
        <f t="shared" si="362"/>
        <v>7859</v>
      </c>
      <c r="E2489" s="2">
        <f t="shared" si="363"/>
        <v>42430</v>
      </c>
      <c r="F2489" s="2">
        <f t="shared" si="364"/>
        <v>44196</v>
      </c>
    </row>
    <row r="2490" spans="1:6" x14ac:dyDescent="0.25">
      <c r="A2490" s="1" t="s">
        <v>431</v>
      </c>
      <c r="B2490" s="1" t="s">
        <v>653</v>
      </c>
      <c r="C2490" s="1" t="s">
        <v>259</v>
      </c>
      <c r="D2490" s="3">
        <f t="shared" si="362"/>
        <v>7859</v>
      </c>
      <c r="E2490" s="2">
        <f t="shared" si="363"/>
        <v>42430</v>
      </c>
      <c r="F2490" s="2">
        <f t="shared" si="364"/>
        <v>44196</v>
      </c>
    </row>
    <row r="2491" spans="1:6" x14ac:dyDescent="0.25">
      <c r="A2491" s="1" t="s">
        <v>431</v>
      </c>
      <c r="B2491" s="1" t="s">
        <v>653</v>
      </c>
      <c r="C2491" s="1" t="s">
        <v>148</v>
      </c>
      <c r="D2491" s="3">
        <f t="shared" si="362"/>
        <v>7859</v>
      </c>
      <c r="E2491" s="2">
        <f t="shared" si="363"/>
        <v>42430</v>
      </c>
      <c r="F2491" s="2">
        <f t="shared" si="364"/>
        <v>44196</v>
      </c>
    </row>
    <row r="2492" spans="1:6" x14ac:dyDescent="0.25">
      <c r="A2492" s="1" t="s">
        <v>431</v>
      </c>
      <c r="B2492" s="1" t="s">
        <v>653</v>
      </c>
      <c r="C2492" s="1" t="s">
        <v>149</v>
      </c>
      <c r="D2492" s="3">
        <f t="shared" si="362"/>
        <v>7859</v>
      </c>
      <c r="E2492" s="2">
        <f t="shared" si="363"/>
        <v>42430</v>
      </c>
      <c r="F2492" s="2">
        <f t="shared" si="364"/>
        <v>44196</v>
      </c>
    </row>
    <row r="2493" spans="1:6" x14ac:dyDescent="0.25">
      <c r="A2493" s="1" t="s">
        <v>431</v>
      </c>
      <c r="B2493" s="1" t="s">
        <v>653</v>
      </c>
      <c r="C2493" s="1" t="s">
        <v>150</v>
      </c>
      <c r="D2493" s="3">
        <f t="shared" si="362"/>
        <v>7859</v>
      </c>
      <c r="E2493" s="2">
        <f t="shared" si="363"/>
        <v>42430</v>
      </c>
      <c r="F2493" s="2">
        <f t="shared" si="364"/>
        <v>44196</v>
      </c>
    </row>
    <row r="2494" spans="1:6" x14ac:dyDescent="0.25">
      <c r="A2494" s="1" t="s">
        <v>431</v>
      </c>
      <c r="B2494" s="1" t="s">
        <v>653</v>
      </c>
      <c r="C2494" s="1" t="s">
        <v>654</v>
      </c>
      <c r="D2494" s="3">
        <f t="shared" si="362"/>
        <v>7859</v>
      </c>
      <c r="E2494" s="2">
        <f t="shared" si="363"/>
        <v>42430</v>
      </c>
      <c r="F2494" s="2">
        <f t="shared" si="364"/>
        <v>44196</v>
      </c>
    </row>
    <row r="2495" spans="1:6" x14ac:dyDescent="0.25">
      <c r="A2495" s="1" t="s">
        <v>431</v>
      </c>
      <c r="B2495" s="1" t="s">
        <v>653</v>
      </c>
      <c r="C2495" s="1" t="s">
        <v>603</v>
      </c>
      <c r="D2495" s="3">
        <f t="shared" si="362"/>
        <v>7859</v>
      </c>
      <c r="E2495" s="2">
        <f t="shared" si="363"/>
        <v>42430</v>
      </c>
      <c r="F2495" s="2">
        <f t="shared" si="364"/>
        <v>44196</v>
      </c>
    </row>
    <row r="2496" spans="1:6" x14ac:dyDescent="0.25">
      <c r="A2496" s="1" t="s">
        <v>431</v>
      </c>
      <c r="B2496" s="1" t="s">
        <v>653</v>
      </c>
      <c r="C2496" s="1" t="s">
        <v>604</v>
      </c>
      <c r="D2496" s="3">
        <f t="shared" si="362"/>
        <v>7859</v>
      </c>
      <c r="E2496" s="2">
        <f t="shared" si="363"/>
        <v>42430</v>
      </c>
      <c r="F2496" s="2">
        <f t="shared" si="364"/>
        <v>44196</v>
      </c>
    </row>
    <row r="2497" spans="1:6" x14ac:dyDescent="0.25">
      <c r="A2497" s="1" t="s">
        <v>431</v>
      </c>
      <c r="B2497" s="1" t="s">
        <v>653</v>
      </c>
      <c r="C2497" s="1" t="s">
        <v>24</v>
      </c>
      <c r="D2497" s="3">
        <f t="shared" si="362"/>
        <v>7859</v>
      </c>
      <c r="E2497" s="2">
        <f t="shared" si="363"/>
        <v>42430</v>
      </c>
      <c r="F2497" s="2">
        <f t="shared" si="364"/>
        <v>44196</v>
      </c>
    </row>
    <row r="2498" spans="1:6" x14ac:dyDescent="0.25">
      <c r="A2498" s="1" t="s">
        <v>431</v>
      </c>
      <c r="B2498" s="1" t="s">
        <v>653</v>
      </c>
      <c r="C2498" s="1" t="s">
        <v>260</v>
      </c>
      <c r="D2498" s="3">
        <f t="shared" si="362"/>
        <v>7859</v>
      </c>
      <c r="E2498" s="2">
        <f t="shared" si="363"/>
        <v>42430</v>
      </c>
      <c r="F2498" s="2">
        <f t="shared" si="364"/>
        <v>44196</v>
      </c>
    </row>
    <row r="2499" spans="1:6" x14ac:dyDescent="0.25">
      <c r="A2499" s="1" t="s">
        <v>431</v>
      </c>
      <c r="B2499" s="1" t="s">
        <v>653</v>
      </c>
      <c r="C2499" s="1" t="s">
        <v>261</v>
      </c>
      <c r="D2499" s="3">
        <f t="shared" si="362"/>
        <v>7859</v>
      </c>
      <c r="E2499" s="2">
        <f t="shared" si="363"/>
        <v>42430</v>
      </c>
      <c r="F2499" s="2">
        <f t="shared" si="364"/>
        <v>44196</v>
      </c>
    </row>
    <row r="2500" spans="1:6" x14ac:dyDescent="0.25">
      <c r="A2500" s="1" t="s">
        <v>431</v>
      </c>
      <c r="B2500" s="1" t="s">
        <v>653</v>
      </c>
      <c r="C2500" s="1" t="s">
        <v>160</v>
      </c>
      <c r="D2500" s="3">
        <f t="shared" si="362"/>
        <v>7859</v>
      </c>
      <c r="E2500" s="2">
        <f t="shared" si="363"/>
        <v>42430</v>
      </c>
      <c r="F2500" s="2">
        <f t="shared" si="364"/>
        <v>44196</v>
      </c>
    </row>
    <row r="2501" spans="1:6" x14ac:dyDescent="0.25">
      <c r="A2501" s="1" t="s">
        <v>431</v>
      </c>
      <c r="B2501" s="1" t="s">
        <v>653</v>
      </c>
      <c r="C2501" s="1" t="s">
        <v>396</v>
      </c>
      <c r="D2501" s="3">
        <f t="shared" si="362"/>
        <v>7859</v>
      </c>
      <c r="E2501" s="2">
        <f t="shared" si="363"/>
        <v>42430</v>
      </c>
      <c r="F2501" s="2">
        <f t="shared" si="364"/>
        <v>44196</v>
      </c>
    </row>
    <row r="2502" spans="1:6" x14ac:dyDescent="0.25">
      <c r="A2502" s="1" t="s">
        <v>431</v>
      </c>
      <c r="B2502" s="1" t="s">
        <v>653</v>
      </c>
      <c r="C2502" s="1" t="s">
        <v>34</v>
      </c>
      <c r="D2502" s="3">
        <f t="shared" si="362"/>
        <v>7859</v>
      </c>
      <c r="E2502" s="2">
        <f t="shared" si="363"/>
        <v>42430</v>
      </c>
      <c r="F2502" s="2">
        <f t="shared" si="364"/>
        <v>44196</v>
      </c>
    </row>
    <row r="2503" spans="1:6" x14ac:dyDescent="0.25">
      <c r="A2503" s="1" t="s">
        <v>431</v>
      </c>
      <c r="B2503" s="1" t="s">
        <v>653</v>
      </c>
      <c r="C2503" s="1" t="s">
        <v>55</v>
      </c>
      <c r="D2503" s="3">
        <f t="shared" si="362"/>
        <v>7859</v>
      </c>
      <c r="E2503" s="2">
        <f t="shared" si="363"/>
        <v>42430</v>
      </c>
      <c r="F2503" s="2">
        <f t="shared" si="364"/>
        <v>44196</v>
      </c>
    </row>
    <row r="2504" spans="1:6" x14ac:dyDescent="0.25">
      <c r="A2504" s="1" t="s">
        <v>431</v>
      </c>
      <c r="B2504" s="1" t="s">
        <v>653</v>
      </c>
      <c r="C2504" s="1" t="s">
        <v>35</v>
      </c>
      <c r="D2504" s="3">
        <f t="shared" si="362"/>
        <v>7859</v>
      </c>
      <c r="E2504" s="2">
        <f t="shared" si="363"/>
        <v>42430</v>
      </c>
      <c r="F2504" s="2">
        <f t="shared" si="364"/>
        <v>44196</v>
      </c>
    </row>
    <row r="2505" spans="1:6" x14ac:dyDescent="0.25">
      <c r="A2505" s="1" t="s">
        <v>431</v>
      </c>
      <c r="B2505" s="1" t="s">
        <v>653</v>
      </c>
      <c r="C2505" s="1" t="s">
        <v>36</v>
      </c>
      <c r="D2505" s="3">
        <f t="shared" si="362"/>
        <v>7859</v>
      </c>
      <c r="E2505" s="2">
        <f t="shared" si="363"/>
        <v>42430</v>
      </c>
      <c r="F2505" s="2">
        <f t="shared" si="364"/>
        <v>44196</v>
      </c>
    </row>
    <row r="2506" spans="1:6" x14ac:dyDescent="0.25">
      <c r="A2506" s="1" t="s">
        <v>431</v>
      </c>
      <c r="B2506" s="1" t="s">
        <v>645</v>
      </c>
      <c r="C2506" s="1" t="s">
        <v>6</v>
      </c>
      <c r="D2506" s="3">
        <f t="shared" ref="D2506:D2513" si="365">VALUE("7853")</f>
        <v>7853</v>
      </c>
      <c r="E2506" s="2">
        <f t="shared" ref="E2506:E2530" si="366">DATEVALUE("1-2-2016")</f>
        <v>42401</v>
      </c>
      <c r="F2506" s="2">
        <f t="shared" ref="F2506:F2530" si="367">DATEVALUE("31-3-2021")</f>
        <v>44286</v>
      </c>
    </row>
    <row r="2507" spans="1:6" x14ac:dyDescent="0.25">
      <c r="A2507" s="1" t="s">
        <v>431</v>
      </c>
      <c r="B2507" s="1" t="s">
        <v>645</v>
      </c>
      <c r="C2507" s="1" t="s">
        <v>17</v>
      </c>
      <c r="D2507" s="3">
        <f t="shared" si="365"/>
        <v>7853</v>
      </c>
      <c r="E2507" s="2">
        <f t="shared" si="366"/>
        <v>42401</v>
      </c>
      <c r="F2507" s="2">
        <f t="shared" si="367"/>
        <v>44286</v>
      </c>
    </row>
    <row r="2508" spans="1:6" x14ac:dyDescent="0.25">
      <c r="A2508" s="1" t="s">
        <v>431</v>
      </c>
      <c r="B2508" s="1" t="s">
        <v>645</v>
      </c>
      <c r="C2508" s="1" t="s">
        <v>19</v>
      </c>
      <c r="D2508" s="3">
        <f t="shared" si="365"/>
        <v>7853</v>
      </c>
      <c r="E2508" s="2">
        <f t="shared" si="366"/>
        <v>42401</v>
      </c>
      <c r="F2508" s="2">
        <f t="shared" si="367"/>
        <v>44286</v>
      </c>
    </row>
    <row r="2509" spans="1:6" x14ac:dyDescent="0.25">
      <c r="A2509" s="1" t="s">
        <v>431</v>
      </c>
      <c r="B2509" s="1" t="s">
        <v>645</v>
      </c>
      <c r="C2509" s="1" t="s">
        <v>20</v>
      </c>
      <c r="D2509" s="3">
        <f t="shared" si="365"/>
        <v>7853</v>
      </c>
      <c r="E2509" s="2">
        <f t="shared" si="366"/>
        <v>42401</v>
      </c>
      <c r="F2509" s="2">
        <f t="shared" si="367"/>
        <v>44286</v>
      </c>
    </row>
    <row r="2510" spans="1:6" x14ac:dyDescent="0.25">
      <c r="A2510" s="1" t="s">
        <v>431</v>
      </c>
      <c r="B2510" s="1" t="s">
        <v>645</v>
      </c>
      <c r="C2510" s="1" t="s">
        <v>21</v>
      </c>
      <c r="D2510" s="3">
        <f t="shared" si="365"/>
        <v>7853</v>
      </c>
      <c r="E2510" s="2">
        <f t="shared" si="366"/>
        <v>42401</v>
      </c>
      <c r="F2510" s="2">
        <f t="shared" si="367"/>
        <v>44286</v>
      </c>
    </row>
    <row r="2511" spans="1:6" x14ac:dyDescent="0.25">
      <c r="A2511" s="1" t="s">
        <v>431</v>
      </c>
      <c r="B2511" s="1" t="s">
        <v>645</v>
      </c>
      <c r="C2511" s="1" t="s">
        <v>22</v>
      </c>
      <c r="D2511" s="3">
        <f t="shared" si="365"/>
        <v>7853</v>
      </c>
      <c r="E2511" s="2">
        <f t="shared" si="366"/>
        <v>42401</v>
      </c>
      <c r="F2511" s="2">
        <f t="shared" si="367"/>
        <v>44286</v>
      </c>
    </row>
    <row r="2512" spans="1:6" x14ac:dyDescent="0.25">
      <c r="A2512" s="1" t="s">
        <v>431</v>
      </c>
      <c r="B2512" s="1" t="s">
        <v>645</v>
      </c>
      <c r="C2512" s="1" t="s">
        <v>72</v>
      </c>
      <c r="D2512" s="3">
        <f t="shared" si="365"/>
        <v>7853</v>
      </c>
      <c r="E2512" s="2">
        <f t="shared" si="366"/>
        <v>42401</v>
      </c>
      <c r="F2512" s="2">
        <f t="shared" si="367"/>
        <v>44286</v>
      </c>
    </row>
    <row r="2513" spans="1:6" x14ac:dyDescent="0.25">
      <c r="A2513" s="1" t="s">
        <v>431</v>
      </c>
      <c r="B2513" s="1" t="s">
        <v>645</v>
      </c>
      <c r="C2513" s="1" t="s">
        <v>52</v>
      </c>
      <c r="D2513" s="3">
        <f t="shared" si="365"/>
        <v>7853</v>
      </c>
      <c r="E2513" s="2">
        <f t="shared" si="366"/>
        <v>42401</v>
      </c>
      <c r="F2513" s="2">
        <f t="shared" si="367"/>
        <v>44286</v>
      </c>
    </row>
    <row r="2514" spans="1:6" x14ac:dyDescent="0.25">
      <c r="A2514" s="1" t="s">
        <v>431</v>
      </c>
      <c r="B2514" s="1" t="s">
        <v>646</v>
      </c>
      <c r="C2514" s="1" t="s">
        <v>648</v>
      </c>
      <c r="D2514" s="3">
        <f t="shared" ref="D2514:D2530" si="368">VALUE("7854")</f>
        <v>7854</v>
      </c>
      <c r="E2514" s="2">
        <f t="shared" si="366"/>
        <v>42401</v>
      </c>
      <c r="F2514" s="2">
        <f t="shared" si="367"/>
        <v>44286</v>
      </c>
    </row>
    <row r="2515" spans="1:6" x14ac:dyDescent="0.25">
      <c r="A2515" s="1" t="s">
        <v>431</v>
      </c>
      <c r="B2515" s="1" t="s">
        <v>646</v>
      </c>
      <c r="C2515" s="1" t="s">
        <v>647</v>
      </c>
      <c r="D2515" s="3">
        <f t="shared" si="368"/>
        <v>7854</v>
      </c>
      <c r="E2515" s="2">
        <f t="shared" si="366"/>
        <v>42401</v>
      </c>
      <c r="F2515" s="2">
        <f t="shared" si="367"/>
        <v>44286</v>
      </c>
    </row>
    <row r="2516" spans="1:6" x14ac:dyDescent="0.25">
      <c r="A2516" s="1" t="s">
        <v>431</v>
      </c>
      <c r="B2516" s="1" t="s">
        <v>646</v>
      </c>
      <c r="C2516" s="1" t="s">
        <v>61</v>
      </c>
      <c r="D2516" s="3">
        <f t="shared" si="368"/>
        <v>7854</v>
      </c>
      <c r="E2516" s="2">
        <f t="shared" si="366"/>
        <v>42401</v>
      </c>
      <c r="F2516" s="2">
        <f t="shared" si="367"/>
        <v>44286</v>
      </c>
    </row>
    <row r="2517" spans="1:6" x14ac:dyDescent="0.25">
      <c r="A2517" s="1" t="s">
        <v>431</v>
      </c>
      <c r="B2517" s="1" t="s">
        <v>646</v>
      </c>
      <c r="C2517" s="1" t="s">
        <v>62</v>
      </c>
      <c r="D2517" s="3">
        <f t="shared" si="368"/>
        <v>7854</v>
      </c>
      <c r="E2517" s="2">
        <f t="shared" si="366"/>
        <v>42401</v>
      </c>
      <c r="F2517" s="2">
        <f t="shared" si="367"/>
        <v>44286</v>
      </c>
    </row>
    <row r="2518" spans="1:6" x14ac:dyDescent="0.25">
      <c r="A2518" s="1" t="s">
        <v>431</v>
      </c>
      <c r="B2518" s="1" t="s">
        <v>646</v>
      </c>
      <c r="C2518" s="1" t="s">
        <v>63</v>
      </c>
      <c r="D2518" s="3">
        <f t="shared" si="368"/>
        <v>7854</v>
      </c>
      <c r="E2518" s="2">
        <f t="shared" si="366"/>
        <v>42401</v>
      </c>
      <c r="F2518" s="2">
        <f t="shared" si="367"/>
        <v>44286</v>
      </c>
    </row>
    <row r="2519" spans="1:6" x14ac:dyDescent="0.25">
      <c r="A2519" s="1" t="s">
        <v>431</v>
      </c>
      <c r="B2519" s="1" t="s">
        <v>646</v>
      </c>
      <c r="C2519" s="1" t="s">
        <v>414</v>
      </c>
      <c r="D2519" s="3">
        <f t="shared" si="368"/>
        <v>7854</v>
      </c>
      <c r="E2519" s="2">
        <f t="shared" si="366"/>
        <v>42401</v>
      </c>
      <c r="F2519" s="2">
        <f t="shared" si="367"/>
        <v>44286</v>
      </c>
    </row>
    <row r="2520" spans="1:6" x14ac:dyDescent="0.25">
      <c r="A2520" s="1" t="s">
        <v>431</v>
      </c>
      <c r="B2520" s="1" t="s">
        <v>646</v>
      </c>
      <c r="C2520" s="1" t="s">
        <v>45</v>
      </c>
      <c r="D2520" s="3">
        <f t="shared" si="368"/>
        <v>7854</v>
      </c>
      <c r="E2520" s="2">
        <f t="shared" si="366"/>
        <v>42401</v>
      </c>
      <c r="F2520" s="2">
        <f t="shared" si="367"/>
        <v>44286</v>
      </c>
    </row>
    <row r="2521" spans="1:6" x14ac:dyDescent="0.25">
      <c r="A2521" s="1" t="s">
        <v>431</v>
      </c>
      <c r="B2521" s="1" t="s">
        <v>646</v>
      </c>
      <c r="C2521" s="1" t="s">
        <v>44</v>
      </c>
      <c r="D2521" s="3">
        <f t="shared" si="368"/>
        <v>7854</v>
      </c>
      <c r="E2521" s="2">
        <f t="shared" si="366"/>
        <v>42401</v>
      </c>
      <c r="F2521" s="2">
        <f t="shared" si="367"/>
        <v>44286</v>
      </c>
    </row>
    <row r="2522" spans="1:6" x14ac:dyDescent="0.25">
      <c r="A2522" s="1" t="s">
        <v>431</v>
      </c>
      <c r="B2522" s="1" t="s">
        <v>646</v>
      </c>
      <c r="C2522" s="1" t="s">
        <v>15</v>
      </c>
      <c r="D2522" s="3">
        <f t="shared" si="368"/>
        <v>7854</v>
      </c>
      <c r="E2522" s="2">
        <f t="shared" si="366"/>
        <v>42401</v>
      </c>
      <c r="F2522" s="2">
        <f t="shared" si="367"/>
        <v>44286</v>
      </c>
    </row>
    <row r="2523" spans="1:6" x14ac:dyDescent="0.25">
      <c r="A2523" s="1" t="s">
        <v>431</v>
      </c>
      <c r="B2523" s="1" t="s">
        <v>646</v>
      </c>
      <c r="C2523" s="1" t="s">
        <v>17</v>
      </c>
      <c r="D2523" s="3">
        <f t="shared" si="368"/>
        <v>7854</v>
      </c>
      <c r="E2523" s="2">
        <f t="shared" si="366"/>
        <v>42401</v>
      </c>
      <c r="F2523" s="2">
        <f t="shared" si="367"/>
        <v>44286</v>
      </c>
    </row>
    <row r="2524" spans="1:6" x14ac:dyDescent="0.25">
      <c r="A2524" s="1" t="s">
        <v>431</v>
      </c>
      <c r="B2524" s="1" t="s">
        <v>646</v>
      </c>
      <c r="C2524" s="1" t="s">
        <v>22</v>
      </c>
      <c r="D2524" s="3">
        <f t="shared" si="368"/>
        <v>7854</v>
      </c>
      <c r="E2524" s="2">
        <f t="shared" si="366"/>
        <v>42401</v>
      </c>
      <c r="F2524" s="2">
        <f t="shared" si="367"/>
        <v>44286</v>
      </c>
    </row>
    <row r="2525" spans="1:6" x14ac:dyDescent="0.25">
      <c r="A2525" s="1" t="s">
        <v>431</v>
      </c>
      <c r="B2525" s="1" t="s">
        <v>646</v>
      </c>
      <c r="C2525" s="1" t="s">
        <v>67</v>
      </c>
      <c r="D2525" s="3">
        <f t="shared" si="368"/>
        <v>7854</v>
      </c>
      <c r="E2525" s="2">
        <f t="shared" si="366"/>
        <v>42401</v>
      </c>
      <c r="F2525" s="2">
        <f t="shared" si="367"/>
        <v>44286</v>
      </c>
    </row>
    <row r="2526" spans="1:6" x14ac:dyDescent="0.25">
      <c r="A2526" s="1" t="s">
        <v>431</v>
      </c>
      <c r="B2526" s="1" t="s">
        <v>646</v>
      </c>
      <c r="C2526" s="1" t="s">
        <v>149</v>
      </c>
      <c r="D2526" s="3">
        <f t="shared" si="368"/>
        <v>7854</v>
      </c>
      <c r="E2526" s="2">
        <f t="shared" si="366"/>
        <v>42401</v>
      </c>
      <c r="F2526" s="2">
        <f t="shared" si="367"/>
        <v>44286</v>
      </c>
    </row>
    <row r="2527" spans="1:6" x14ac:dyDescent="0.25">
      <c r="A2527" s="1" t="s">
        <v>431</v>
      </c>
      <c r="B2527" s="1" t="s">
        <v>646</v>
      </c>
      <c r="C2527" s="1" t="s">
        <v>70</v>
      </c>
      <c r="D2527" s="3">
        <f t="shared" si="368"/>
        <v>7854</v>
      </c>
      <c r="E2527" s="2">
        <f t="shared" si="366"/>
        <v>42401</v>
      </c>
      <c r="F2527" s="2">
        <f t="shared" si="367"/>
        <v>44286</v>
      </c>
    </row>
    <row r="2528" spans="1:6" x14ac:dyDescent="0.25">
      <c r="A2528" s="1" t="s">
        <v>431</v>
      </c>
      <c r="B2528" s="1" t="s">
        <v>646</v>
      </c>
      <c r="C2528" s="1" t="s">
        <v>72</v>
      </c>
      <c r="D2528" s="3">
        <f t="shared" si="368"/>
        <v>7854</v>
      </c>
      <c r="E2528" s="2">
        <f t="shared" si="366"/>
        <v>42401</v>
      </c>
      <c r="F2528" s="2">
        <f t="shared" si="367"/>
        <v>44286</v>
      </c>
    </row>
    <row r="2529" spans="1:6" x14ac:dyDescent="0.25">
      <c r="A2529" s="1" t="s">
        <v>431</v>
      </c>
      <c r="B2529" s="1" t="s">
        <v>646</v>
      </c>
      <c r="C2529" s="1" t="s">
        <v>52</v>
      </c>
      <c r="D2529" s="3">
        <f t="shared" si="368"/>
        <v>7854</v>
      </c>
      <c r="E2529" s="2">
        <f t="shared" si="366"/>
        <v>42401</v>
      </c>
      <c r="F2529" s="2">
        <f t="shared" si="367"/>
        <v>44286</v>
      </c>
    </row>
    <row r="2530" spans="1:6" x14ac:dyDescent="0.25">
      <c r="A2530" s="1" t="s">
        <v>431</v>
      </c>
      <c r="B2530" s="1" t="s">
        <v>646</v>
      </c>
      <c r="C2530" s="1" t="s">
        <v>36</v>
      </c>
      <c r="D2530" s="3">
        <f t="shared" si="368"/>
        <v>7854</v>
      </c>
      <c r="E2530" s="2">
        <f t="shared" si="366"/>
        <v>42401</v>
      </c>
      <c r="F2530" s="2">
        <f t="shared" si="367"/>
        <v>44286</v>
      </c>
    </row>
    <row r="2531" spans="1:6" x14ac:dyDescent="0.25">
      <c r="A2531" s="1" t="s">
        <v>431</v>
      </c>
      <c r="B2531" s="1" t="s">
        <v>2217</v>
      </c>
      <c r="C2531" s="1" t="s">
        <v>202</v>
      </c>
      <c r="D2531" s="3">
        <f t="shared" ref="D2531:D2539" si="369">VALUE("7828")</f>
        <v>7828</v>
      </c>
      <c r="E2531" s="2">
        <f t="shared" ref="E2531:E2539" si="370">DATEVALUE("1-12-2015")</f>
        <v>42339</v>
      </c>
      <c r="F2531" s="2">
        <f t="shared" ref="F2531:F2539" si="371">DATEVALUE("31-12-2016")</f>
        <v>42735</v>
      </c>
    </row>
    <row r="2532" spans="1:6" x14ac:dyDescent="0.25">
      <c r="A2532" s="1" t="s">
        <v>431</v>
      </c>
      <c r="B2532" s="1" t="s">
        <v>2217</v>
      </c>
      <c r="C2532" s="1" t="s">
        <v>22</v>
      </c>
      <c r="D2532" s="3">
        <f t="shared" si="369"/>
        <v>7828</v>
      </c>
      <c r="E2532" s="2">
        <f t="shared" si="370"/>
        <v>42339</v>
      </c>
      <c r="F2532" s="2">
        <f t="shared" si="371"/>
        <v>42735</v>
      </c>
    </row>
    <row r="2533" spans="1:6" x14ac:dyDescent="0.25">
      <c r="A2533" s="1" t="s">
        <v>431</v>
      </c>
      <c r="B2533" s="1" t="s">
        <v>2217</v>
      </c>
      <c r="C2533" s="1" t="s">
        <v>150</v>
      </c>
      <c r="D2533" s="3">
        <f t="shared" si="369"/>
        <v>7828</v>
      </c>
      <c r="E2533" s="2">
        <f t="shared" si="370"/>
        <v>42339</v>
      </c>
      <c r="F2533" s="2">
        <f t="shared" si="371"/>
        <v>42735</v>
      </c>
    </row>
    <row r="2534" spans="1:6" x14ac:dyDescent="0.25">
      <c r="A2534" s="1" t="s">
        <v>431</v>
      </c>
      <c r="B2534" s="1" t="s">
        <v>2217</v>
      </c>
      <c r="C2534" s="1" t="s">
        <v>172</v>
      </c>
      <c r="D2534" s="3">
        <f t="shared" si="369"/>
        <v>7828</v>
      </c>
      <c r="E2534" s="2">
        <f t="shared" si="370"/>
        <v>42339</v>
      </c>
      <c r="F2534" s="2">
        <f t="shared" si="371"/>
        <v>42735</v>
      </c>
    </row>
    <row r="2535" spans="1:6" x14ac:dyDescent="0.25">
      <c r="A2535" s="1" t="s">
        <v>431</v>
      </c>
      <c r="B2535" s="1" t="s">
        <v>2217</v>
      </c>
      <c r="C2535" s="1" t="s">
        <v>211</v>
      </c>
      <c r="D2535" s="3">
        <f t="shared" si="369"/>
        <v>7828</v>
      </c>
      <c r="E2535" s="2">
        <f t="shared" si="370"/>
        <v>42339</v>
      </c>
      <c r="F2535" s="2">
        <f t="shared" si="371"/>
        <v>42735</v>
      </c>
    </row>
    <row r="2536" spans="1:6" x14ac:dyDescent="0.25">
      <c r="A2536" s="1" t="s">
        <v>431</v>
      </c>
      <c r="B2536" s="1" t="s">
        <v>2217</v>
      </c>
      <c r="C2536" s="1" t="s">
        <v>207</v>
      </c>
      <c r="D2536" s="3">
        <f t="shared" si="369"/>
        <v>7828</v>
      </c>
      <c r="E2536" s="2">
        <f t="shared" si="370"/>
        <v>42339</v>
      </c>
      <c r="F2536" s="2">
        <f t="shared" si="371"/>
        <v>42735</v>
      </c>
    </row>
    <row r="2537" spans="1:6" x14ac:dyDescent="0.25">
      <c r="A2537" s="1" t="s">
        <v>431</v>
      </c>
      <c r="B2537" s="1" t="s">
        <v>2217</v>
      </c>
      <c r="C2537" s="1" t="s">
        <v>208</v>
      </c>
      <c r="D2537" s="3">
        <f t="shared" si="369"/>
        <v>7828</v>
      </c>
      <c r="E2537" s="2">
        <f t="shared" si="370"/>
        <v>42339</v>
      </c>
      <c r="F2537" s="2">
        <f t="shared" si="371"/>
        <v>42735</v>
      </c>
    </row>
    <row r="2538" spans="1:6" x14ac:dyDescent="0.25">
      <c r="A2538" s="1" t="s">
        <v>431</v>
      </c>
      <c r="B2538" s="1" t="s">
        <v>2217</v>
      </c>
      <c r="C2538" s="1" t="s">
        <v>73</v>
      </c>
      <c r="D2538" s="3">
        <f t="shared" si="369"/>
        <v>7828</v>
      </c>
      <c r="E2538" s="2">
        <f t="shared" si="370"/>
        <v>42339</v>
      </c>
      <c r="F2538" s="2">
        <f t="shared" si="371"/>
        <v>42735</v>
      </c>
    </row>
    <row r="2539" spans="1:6" x14ac:dyDescent="0.25">
      <c r="A2539" s="1" t="s">
        <v>431</v>
      </c>
      <c r="B2539" s="1" t="s">
        <v>2217</v>
      </c>
      <c r="C2539" s="1" t="s">
        <v>36</v>
      </c>
      <c r="D2539" s="3">
        <f t="shared" si="369"/>
        <v>7828</v>
      </c>
      <c r="E2539" s="2">
        <f t="shared" si="370"/>
        <v>42339</v>
      </c>
      <c r="F2539" s="2">
        <f t="shared" si="371"/>
        <v>42735</v>
      </c>
    </row>
    <row r="2540" spans="1:6" x14ac:dyDescent="0.25">
      <c r="A2540" s="1" t="s">
        <v>431</v>
      </c>
      <c r="B2540" s="1" t="s">
        <v>581</v>
      </c>
      <c r="C2540" s="1" t="s">
        <v>583</v>
      </c>
      <c r="D2540" s="3">
        <f t="shared" ref="D2540:D2556" si="372">VALUE("7772")</f>
        <v>7772</v>
      </c>
      <c r="E2540" s="2">
        <f t="shared" ref="E2540:E2556" si="373">DATEVALUE("1-8-2015")</f>
        <v>42217</v>
      </c>
      <c r="F2540" s="2">
        <f t="shared" ref="F2540:F2556" si="374">DATEVALUE("31-12-2020")</f>
        <v>44196</v>
      </c>
    </row>
    <row r="2541" spans="1:6" x14ac:dyDescent="0.25">
      <c r="A2541" s="1" t="s">
        <v>431</v>
      </c>
      <c r="B2541" s="1" t="s">
        <v>581</v>
      </c>
      <c r="C2541" s="1" t="s">
        <v>582</v>
      </c>
      <c r="D2541" s="3">
        <f t="shared" si="372"/>
        <v>7772</v>
      </c>
      <c r="E2541" s="2">
        <f t="shared" si="373"/>
        <v>42217</v>
      </c>
      <c r="F2541" s="2">
        <f t="shared" si="374"/>
        <v>44196</v>
      </c>
    </row>
    <row r="2542" spans="1:6" x14ac:dyDescent="0.25">
      <c r="A2542" s="1" t="s">
        <v>431</v>
      </c>
      <c r="B2542" s="1" t="s">
        <v>581</v>
      </c>
      <c r="C2542" s="1" t="s">
        <v>7</v>
      </c>
      <c r="D2542" s="3">
        <f t="shared" si="372"/>
        <v>7772</v>
      </c>
      <c r="E2542" s="2">
        <f t="shared" si="373"/>
        <v>42217</v>
      </c>
      <c r="F2542" s="2">
        <f t="shared" si="374"/>
        <v>44196</v>
      </c>
    </row>
    <row r="2543" spans="1:6" x14ac:dyDescent="0.25">
      <c r="A2543" s="1" t="s">
        <v>431</v>
      </c>
      <c r="B2543" s="1" t="s">
        <v>581</v>
      </c>
      <c r="C2543" s="1" t="s">
        <v>14</v>
      </c>
      <c r="D2543" s="3">
        <f t="shared" si="372"/>
        <v>7772</v>
      </c>
      <c r="E2543" s="2">
        <f t="shared" si="373"/>
        <v>42217</v>
      </c>
      <c r="F2543" s="2">
        <f t="shared" si="374"/>
        <v>44196</v>
      </c>
    </row>
    <row r="2544" spans="1:6" x14ac:dyDescent="0.25">
      <c r="A2544" s="1" t="s">
        <v>431</v>
      </c>
      <c r="B2544" s="1" t="s">
        <v>581</v>
      </c>
      <c r="C2544" s="1" t="s">
        <v>89</v>
      </c>
      <c r="D2544" s="3">
        <f t="shared" si="372"/>
        <v>7772</v>
      </c>
      <c r="E2544" s="2">
        <f t="shared" si="373"/>
        <v>42217</v>
      </c>
      <c r="F2544" s="2">
        <f t="shared" si="374"/>
        <v>44196</v>
      </c>
    </row>
    <row r="2545" spans="1:6" x14ac:dyDescent="0.25">
      <c r="A2545" s="1" t="s">
        <v>431</v>
      </c>
      <c r="B2545" s="1" t="s">
        <v>581</v>
      </c>
      <c r="C2545" s="1" t="s">
        <v>17</v>
      </c>
      <c r="D2545" s="3">
        <f t="shared" si="372"/>
        <v>7772</v>
      </c>
      <c r="E2545" s="2">
        <f t="shared" si="373"/>
        <v>42217</v>
      </c>
      <c r="F2545" s="2">
        <f t="shared" si="374"/>
        <v>44196</v>
      </c>
    </row>
    <row r="2546" spans="1:6" x14ac:dyDescent="0.25">
      <c r="A2546" s="1" t="s">
        <v>431</v>
      </c>
      <c r="B2546" s="1" t="s">
        <v>581</v>
      </c>
      <c r="C2546" s="1" t="s">
        <v>22</v>
      </c>
      <c r="D2546" s="3">
        <f t="shared" si="372"/>
        <v>7772</v>
      </c>
      <c r="E2546" s="2">
        <f t="shared" si="373"/>
        <v>42217</v>
      </c>
      <c r="F2546" s="2">
        <f t="shared" si="374"/>
        <v>44196</v>
      </c>
    </row>
    <row r="2547" spans="1:6" x14ac:dyDescent="0.25">
      <c r="A2547" s="1" t="s">
        <v>431</v>
      </c>
      <c r="B2547" s="1" t="s">
        <v>581</v>
      </c>
      <c r="C2547" s="1" t="s">
        <v>146</v>
      </c>
      <c r="D2547" s="3">
        <f t="shared" si="372"/>
        <v>7772</v>
      </c>
      <c r="E2547" s="2">
        <f t="shared" si="373"/>
        <v>42217</v>
      </c>
      <c r="F2547" s="2">
        <f t="shared" si="374"/>
        <v>44196</v>
      </c>
    </row>
    <row r="2548" spans="1:6" x14ac:dyDescent="0.25">
      <c r="A2548" s="1" t="s">
        <v>431</v>
      </c>
      <c r="B2548" s="1" t="s">
        <v>581</v>
      </c>
      <c r="C2548" s="1" t="s">
        <v>67</v>
      </c>
      <c r="D2548" s="3">
        <f t="shared" si="372"/>
        <v>7772</v>
      </c>
      <c r="E2548" s="2">
        <f t="shared" si="373"/>
        <v>42217</v>
      </c>
      <c r="F2548" s="2">
        <f t="shared" si="374"/>
        <v>44196</v>
      </c>
    </row>
    <row r="2549" spans="1:6" x14ac:dyDescent="0.25">
      <c r="A2549" s="1" t="s">
        <v>431</v>
      </c>
      <c r="B2549" s="1" t="s">
        <v>581</v>
      </c>
      <c r="C2549" s="1" t="s">
        <v>148</v>
      </c>
      <c r="D2549" s="3">
        <f t="shared" si="372"/>
        <v>7772</v>
      </c>
      <c r="E2549" s="2">
        <f t="shared" si="373"/>
        <v>42217</v>
      </c>
      <c r="F2549" s="2">
        <f t="shared" si="374"/>
        <v>44196</v>
      </c>
    </row>
    <row r="2550" spans="1:6" x14ac:dyDescent="0.25">
      <c r="A2550" s="1" t="s">
        <v>431</v>
      </c>
      <c r="B2550" s="1" t="s">
        <v>581</v>
      </c>
      <c r="C2550" s="1" t="s">
        <v>149</v>
      </c>
      <c r="D2550" s="3">
        <f t="shared" si="372"/>
        <v>7772</v>
      </c>
      <c r="E2550" s="2">
        <f t="shared" si="373"/>
        <v>42217</v>
      </c>
      <c r="F2550" s="2">
        <f t="shared" si="374"/>
        <v>44196</v>
      </c>
    </row>
    <row r="2551" spans="1:6" x14ac:dyDescent="0.25">
      <c r="A2551" s="1" t="s">
        <v>431</v>
      </c>
      <c r="B2551" s="1" t="s">
        <v>581</v>
      </c>
      <c r="C2551" s="1" t="s">
        <v>92</v>
      </c>
      <c r="D2551" s="3">
        <f t="shared" si="372"/>
        <v>7772</v>
      </c>
      <c r="E2551" s="2">
        <f t="shared" si="373"/>
        <v>42217</v>
      </c>
      <c r="F2551" s="2">
        <f t="shared" si="374"/>
        <v>44196</v>
      </c>
    </row>
    <row r="2552" spans="1:6" x14ac:dyDescent="0.25">
      <c r="A2552" s="1" t="s">
        <v>431</v>
      </c>
      <c r="B2552" s="1" t="s">
        <v>581</v>
      </c>
      <c r="C2552" s="1" t="s">
        <v>24</v>
      </c>
      <c r="D2552" s="3">
        <f t="shared" si="372"/>
        <v>7772</v>
      </c>
      <c r="E2552" s="2">
        <f t="shared" si="373"/>
        <v>42217</v>
      </c>
      <c r="F2552" s="2">
        <f t="shared" si="374"/>
        <v>44196</v>
      </c>
    </row>
    <row r="2553" spans="1:6" x14ac:dyDescent="0.25">
      <c r="A2553" s="1" t="s">
        <v>431</v>
      </c>
      <c r="B2553" s="1" t="s">
        <v>581</v>
      </c>
      <c r="C2553" s="1" t="s">
        <v>73</v>
      </c>
      <c r="D2553" s="3">
        <f t="shared" si="372"/>
        <v>7772</v>
      </c>
      <c r="E2553" s="2">
        <f t="shared" si="373"/>
        <v>42217</v>
      </c>
      <c r="F2553" s="2">
        <f t="shared" si="374"/>
        <v>44196</v>
      </c>
    </row>
    <row r="2554" spans="1:6" x14ac:dyDescent="0.25">
      <c r="A2554" s="1" t="s">
        <v>431</v>
      </c>
      <c r="B2554" s="1" t="s">
        <v>581</v>
      </c>
      <c r="C2554" s="1" t="s">
        <v>52</v>
      </c>
      <c r="D2554" s="3">
        <f t="shared" si="372"/>
        <v>7772</v>
      </c>
      <c r="E2554" s="2">
        <f t="shared" si="373"/>
        <v>42217</v>
      </c>
      <c r="F2554" s="2">
        <f t="shared" si="374"/>
        <v>44196</v>
      </c>
    </row>
    <row r="2555" spans="1:6" x14ac:dyDescent="0.25">
      <c r="A2555" s="1" t="s">
        <v>431</v>
      </c>
      <c r="B2555" s="1" t="s">
        <v>581</v>
      </c>
      <c r="C2555" s="1" t="s">
        <v>34</v>
      </c>
      <c r="D2555" s="3">
        <f t="shared" si="372"/>
        <v>7772</v>
      </c>
      <c r="E2555" s="2">
        <f t="shared" si="373"/>
        <v>42217</v>
      </c>
      <c r="F2555" s="2">
        <f t="shared" si="374"/>
        <v>44196</v>
      </c>
    </row>
    <row r="2556" spans="1:6" x14ac:dyDescent="0.25">
      <c r="A2556" s="1" t="s">
        <v>431</v>
      </c>
      <c r="B2556" s="1" t="s">
        <v>581</v>
      </c>
      <c r="C2556" s="1" t="s">
        <v>55</v>
      </c>
      <c r="D2556" s="3">
        <f t="shared" si="372"/>
        <v>7772</v>
      </c>
      <c r="E2556" s="2">
        <f t="shared" si="373"/>
        <v>42217</v>
      </c>
      <c r="F2556" s="2">
        <f t="shared" si="374"/>
        <v>44196</v>
      </c>
    </row>
    <row r="2557" spans="1:6" x14ac:dyDescent="0.25">
      <c r="A2557" s="1" t="s">
        <v>431</v>
      </c>
      <c r="B2557" s="1" t="s">
        <v>2194</v>
      </c>
      <c r="C2557" s="1" t="s">
        <v>45</v>
      </c>
      <c r="D2557" s="3">
        <f t="shared" ref="D2557:D2568" si="375">VALUE("7757")</f>
        <v>7757</v>
      </c>
      <c r="E2557" s="2">
        <f t="shared" ref="E2557:E2568" si="376">DATEVALUE("1-6-2015")</f>
        <v>42156</v>
      </c>
      <c r="F2557" s="2">
        <f t="shared" ref="F2557:F2568" si="377">DATEVALUE("30-6-2017")</f>
        <v>42916</v>
      </c>
    </row>
    <row r="2558" spans="1:6" x14ac:dyDescent="0.25">
      <c r="A2558" s="1" t="s">
        <v>431</v>
      </c>
      <c r="B2558" s="1" t="s">
        <v>2194</v>
      </c>
      <c r="C2558" s="1" t="s">
        <v>14</v>
      </c>
      <c r="D2558" s="3">
        <f t="shared" si="375"/>
        <v>7757</v>
      </c>
      <c r="E2558" s="2">
        <f t="shared" si="376"/>
        <v>42156</v>
      </c>
      <c r="F2558" s="2">
        <f t="shared" si="377"/>
        <v>42916</v>
      </c>
    </row>
    <row r="2559" spans="1:6" x14ac:dyDescent="0.25">
      <c r="A2559" s="1" t="s">
        <v>431</v>
      </c>
      <c r="B2559" s="1" t="s">
        <v>2194</v>
      </c>
      <c r="C2559" s="1" t="s">
        <v>66</v>
      </c>
      <c r="D2559" s="3">
        <f t="shared" si="375"/>
        <v>7757</v>
      </c>
      <c r="E2559" s="2">
        <f t="shared" si="376"/>
        <v>42156</v>
      </c>
      <c r="F2559" s="2">
        <f t="shared" si="377"/>
        <v>42916</v>
      </c>
    </row>
    <row r="2560" spans="1:6" x14ac:dyDescent="0.25">
      <c r="A2560" s="1" t="s">
        <v>431</v>
      </c>
      <c r="B2560" s="1" t="s">
        <v>2194</v>
      </c>
      <c r="C2560" s="1" t="s">
        <v>15</v>
      </c>
      <c r="D2560" s="3">
        <f t="shared" si="375"/>
        <v>7757</v>
      </c>
      <c r="E2560" s="2">
        <f t="shared" si="376"/>
        <v>42156</v>
      </c>
      <c r="F2560" s="2">
        <f t="shared" si="377"/>
        <v>42916</v>
      </c>
    </row>
    <row r="2561" spans="1:6" x14ac:dyDescent="0.25">
      <c r="A2561" s="1" t="s">
        <v>431</v>
      </c>
      <c r="B2561" s="1" t="s">
        <v>2194</v>
      </c>
      <c r="C2561" s="1" t="s">
        <v>89</v>
      </c>
      <c r="D2561" s="3">
        <f t="shared" si="375"/>
        <v>7757</v>
      </c>
      <c r="E2561" s="2">
        <f t="shared" si="376"/>
        <v>42156</v>
      </c>
      <c r="F2561" s="2">
        <f t="shared" si="377"/>
        <v>42916</v>
      </c>
    </row>
    <row r="2562" spans="1:6" x14ac:dyDescent="0.25">
      <c r="A2562" s="1" t="s">
        <v>431</v>
      </c>
      <c r="B2562" s="1" t="s">
        <v>2194</v>
      </c>
      <c r="C2562" s="1" t="s">
        <v>17</v>
      </c>
      <c r="D2562" s="3">
        <f t="shared" si="375"/>
        <v>7757</v>
      </c>
      <c r="E2562" s="2">
        <f t="shared" si="376"/>
        <v>42156</v>
      </c>
      <c r="F2562" s="2">
        <f t="shared" si="377"/>
        <v>42916</v>
      </c>
    </row>
    <row r="2563" spans="1:6" x14ac:dyDescent="0.25">
      <c r="A2563" s="1" t="s">
        <v>431</v>
      </c>
      <c r="B2563" s="1" t="s">
        <v>2194</v>
      </c>
      <c r="C2563" s="1" t="s">
        <v>148</v>
      </c>
      <c r="D2563" s="3">
        <f t="shared" si="375"/>
        <v>7757</v>
      </c>
      <c r="E2563" s="2">
        <f t="shared" si="376"/>
        <v>42156</v>
      </c>
      <c r="F2563" s="2">
        <f t="shared" si="377"/>
        <v>42916</v>
      </c>
    </row>
    <row r="2564" spans="1:6" x14ac:dyDescent="0.25">
      <c r="A2564" s="1" t="s">
        <v>431</v>
      </c>
      <c r="B2564" s="1" t="s">
        <v>2194</v>
      </c>
      <c r="C2564" s="1" t="s">
        <v>149</v>
      </c>
      <c r="D2564" s="3">
        <f t="shared" si="375"/>
        <v>7757</v>
      </c>
      <c r="E2564" s="2">
        <f t="shared" si="376"/>
        <v>42156</v>
      </c>
      <c r="F2564" s="2">
        <f t="shared" si="377"/>
        <v>42916</v>
      </c>
    </row>
    <row r="2565" spans="1:6" x14ac:dyDescent="0.25">
      <c r="A2565" s="1" t="s">
        <v>431</v>
      </c>
      <c r="B2565" s="1" t="s">
        <v>2194</v>
      </c>
      <c r="C2565" s="1" t="s">
        <v>150</v>
      </c>
      <c r="D2565" s="3">
        <f t="shared" si="375"/>
        <v>7757</v>
      </c>
      <c r="E2565" s="2">
        <f t="shared" si="376"/>
        <v>42156</v>
      </c>
      <c r="F2565" s="2">
        <f t="shared" si="377"/>
        <v>42916</v>
      </c>
    </row>
    <row r="2566" spans="1:6" x14ac:dyDescent="0.25">
      <c r="A2566" s="1" t="s">
        <v>431</v>
      </c>
      <c r="B2566" s="1" t="s">
        <v>2194</v>
      </c>
      <c r="C2566" s="1" t="s">
        <v>172</v>
      </c>
      <c r="D2566" s="3">
        <f t="shared" si="375"/>
        <v>7757</v>
      </c>
      <c r="E2566" s="2">
        <f t="shared" si="376"/>
        <v>42156</v>
      </c>
      <c r="F2566" s="2">
        <f t="shared" si="377"/>
        <v>42916</v>
      </c>
    </row>
    <row r="2567" spans="1:6" x14ac:dyDescent="0.25">
      <c r="A2567" s="1" t="s">
        <v>431</v>
      </c>
      <c r="B2567" s="1" t="s">
        <v>2194</v>
      </c>
      <c r="C2567" s="1" t="s">
        <v>92</v>
      </c>
      <c r="D2567" s="3">
        <f t="shared" si="375"/>
        <v>7757</v>
      </c>
      <c r="E2567" s="2">
        <f t="shared" si="376"/>
        <v>42156</v>
      </c>
      <c r="F2567" s="2">
        <f t="shared" si="377"/>
        <v>42916</v>
      </c>
    </row>
    <row r="2568" spans="1:6" x14ac:dyDescent="0.25">
      <c r="A2568" s="1" t="s">
        <v>431</v>
      </c>
      <c r="B2568" s="1" t="s">
        <v>2194</v>
      </c>
      <c r="C2568" s="1" t="s">
        <v>26</v>
      </c>
      <c r="D2568" s="3">
        <f t="shared" si="375"/>
        <v>7757</v>
      </c>
      <c r="E2568" s="2">
        <f t="shared" si="376"/>
        <v>42156</v>
      </c>
      <c r="F2568" s="2">
        <f t="shared" si="377"/>
        <v>42916</v>
      </c>
    </row>
    <row r="2569" spans="1:6" x14ac:dyDescent="0.25">
      <c r="A2569" s="1" t="s">
        <v>431</v>
      </c>
      <c r="B2569" s="1" t="s">
        <v>1734</v>
      </c>
      <c r="C2569" s="1" t="s">
        <v>8</v>
      </c>
      <c r="D2569" s="3">
        <f t="shared" ref="D2569:D2594" si="378">VALUE("7724")</f>
        <v>7724</v>
      </c>
      <c r="E2569" s="2">
        <f t="shared" ref="E2569:E2594" si="379">DATEVALUE("1-3-2015")</f>
        <v>42064</v>
      </c>
      <c r="F2569" s="2">
        <f t="shared" ref="F2569:F2594" si="380">DATEVALUE("31-12-2019")</f>
        <v>43830</v>
      </c>
    </row>
    <row r="2570" spans="1:6" x14ac:dyDescent="0.25">
      <c r="A2570" s="1" t="s">
        <v>431</v>
      </c>
      <c r="B2570" s="1" t="s">
        <v>1734</v>
      </c>
      <c r="C2570" s="1" t="s">
        <v>10</v>
      </c>
      <c r="D2570" s="3">
        <f t="shared" si="378"/>
        <v>7724</v>
      </c>
      <c r="E2570" s="2">
        <f t="shared" si="379"/>
        <v>42064</v>
      </c>
      <c r="F2570" s="2">
        <f t="shared" si="380"/>
        <v>43830</v>
      </c>
    </row>
    <row r="2571" spans="1:6" x14ac:dyDescent="0.25">
      <c r="A2571" s="1" t="s">
        <v>431</v>
      </c>
      <c r="B2571" s="1" t="s">
        <v>1734</v>
      </c>
      <c r="C2571" s="1" t="s">
        <v>215</v>
      </c>
      <c r="D2571" s="3">
        <f t="shared" si="378"/>
        <v>7724</v>
      </c>
      <c r="E2571" s="2">
        <f t="shared" si="379"/>
        <v>42064</v>
      </c>
      <c r="F2571" s="2">
        <f t="shared" si="380"/>
        <v>43830</v>
      </c>
    </row>
    <row r="2572" spans="1:6" x14ac:dyDescent="0.25">
      <c r="A2572" s="1" t="s">
        <v>431</v>
      </c>
      <c r="B2572" s="1" t="s">
        <v>1734</v>
      </c>
      <c r="C2572" s="1" t="s">
        <v>61</v>
      </c>
      <c r="D2572" s="3">
        <f t="shared" si="378"/>
        <v>7724</v>
      </c>
      <c r="E2572" s="2">
        <f t="shared" si="379"/>
        <v>42064</v>
      </c>
      <c r="F2572" s="2">
        <f t="shared" si="380"/>
        <v>43830</v>
      </c>
    </row>
    <row r="2573" spans="1:6" x14ac:dyDescent="0.25">
      <c r="A2573" s="1" t="s">
        <v>431</v>
      </c>
      <c r="B2573" s="1" t="s">
        <v>1734</v>
      </c>
      <c r="C2573" s="1" t="s">
        <v>141</v>
      </c>
      <c r="D2573" s="3">
        <f t="shared" si="378"/>
        <v>7724</v>
      </c>
      <c r="E2573" s="2">
        <f t="shared" si="379"/>
        <v>42064</v>
      </c>
      <c r="F2573" s="2">
        <f t="shared" si="380"/>
        <v>43830</v>
      </c>
    </row>
    <row r="2574" spans="1:6" x14ac:dyDescent="0.25">
      <c r="A2574" s="1" t="s">
        <v>431</v>
      </c>
      <c r="B2574" s="1" t="s">
        <v>1734</v>
      </c>
      <c r="C2574" s="1" t="s">
        <v>142</v>
      </c>
      <c r="D2574" s="3">
        <f t="shared" si="378"/>
        <v>7724</v>
      </c>
      <c r="E2574" s="2">
        <f t="shared" si="379"/>
        <v>42064</v>
      </c>
      <c r="F2574" s="2">
        <f t="shared" si="380"/>
        <v>43830</v>
      </c>
    </row>
    <row r="2575" spans="1:6" x14ac:dyDescent="0.25">
      <c r="A2575" s="1" t="s">
        <v>431</v>
      </c>
      <c r="B2575" s="1" t="s">
        <v>1734</v>
      </c>
      <c r="C2575" s="1" t="s">
        <v>14</v>
      </c>
      <c r="D2575" s="3">
        <f t="shared" si="378"/>
        <v>7724</v>
      </c>
      <c r="E2575" s="2">
        <f t="shared" si="379"/>
        <v>42064</v>
      </c>
      <c r="F2575" s="2">
        <f t="shared" si="380"/>
        <v>43830</v>
      </c>
    </row>
    <row r="2576" spans="1:6" x14ac:dyDescent="0.25">
      <c r="A2576" s="1" t="s">
        <v>431</v>
      </c>
      <c r="B2576" s="1" t="s">
        <v>1734</v>
      </c>
      <c r="C2576" s="1" t="s">
        <v>15</v>
      </c>
      <c r="D2576" s="3">
        <f t="shared" si="378"/>
        <v>7724</v>
      </c>
      <c r="E2576" s="2">
        <f t="shared" si="379"/>
        <v>42064</v>
      </c>
      <c r="F2576" s="2">
        <f t="shared" si="380"/>
        <v>43830</v>
      </c>
    </row>
    <row r="2577" spans="1:6" x14ac:dyDescent="0.25">
      <c r="A2577" s="1" t="s">
        <v>431</v>
      </c>
      <c r="B2577" s="1" t="s">
        <v>1734</v>
      </c>
      <c r="C2577" s="1" t="s">
        <v>17</v>
      </c>
      <c r="D2577" s="3">
        <f t="shared" si="378"/>
        <v>7724</v>
      </c>
      <c r="E2577" s="2">
        <f t="shared" si="379"/>
        <v>42064</v>
      </c>
      <c r="F2577" s="2">
        <f t="shared" si="380"/>
        <v>43830</v>
      </c>
    </row>
    <row r="2578" spans="1:6" x14ac:dyDescent="0.25">
      <c r="A2578" s="1" t="s">
        <v>431</v>
      </c>
      <c r="B2578" s="1" t="s">
        <v>1734</v>
      </c>
      <c r="C2578" s="1" t="s">
        <v>193</v>
      </c>
      <c r="D2578" s="3">
        <f t="shared" si="378"/>
        <v>7724</v>
      </c>
      <c r="E2578" s="2">
        <f t="shared" si="379"/>
        <v>42064</v>
      </c>
      <c r="F2578" s="2">
        <f t="shared" si="380"/>
        <v>43830</v>
      </c>
    </row>
    <row r="2579" spans="1:6" x14ac:dyDescent="0.25">
      <c r="A2579" s="1" t="s">
        <v>431</v>
      </c>
      <c r="B2579" s="1" t="s">
        <v>1734</v>
      </c>
      <c r="C2579" s="1" t="s">
        <v>20</v>
      </c>
      <c r="D2579" s="3">
        <f t="shared" si="378"/>
        <v>7724</v>
      </c>
      <c r="E2579" s="2">
        <f t="shared" si="379"/>
        <v>42064</v>
      </c>
      <c r="F2579" s="2">
        <f t="shared" si="380"/>
        <v>43830</v>
      </c>
    </row>
    <row r="2580" spans="1:6" x14ac:dyDescent="0.25">
      <c r="A2580" s="1" t="s">
        <v>431</v>
      </c>
      <c r="B2580" s="1" t="s">
        <v>1734</v>
      </c>
      <c r="C2580" s="1" t="s">
        <v>22</v>
      </c>
      <c r="D2580" s="3">
        <f t="shared" si="378"/>
        <v>7724</v>
      </c>
      <c r="E2580" s="2">
        <f t="shared" si="379"/>
        <v>42064</v>
      </c>
      <c r="F2580" s="2">
        <f t="shared" si="380"/>
        <v>43830</v>
      </c>
    </row>
    <row r="2581" spans="1:6" x14ac:dyDescent="0.25">
      <c r="A2581" s="1" t="s">
        <v>431</v>
      </c>
      <c r="B2581" s="1" t="s">
        <v>1734</v>
      </c>
      <c r="C2581" s="1" t="s">
        <v>146</v>
      </c>
      <c r="D2581" s="3">
        <f t="shared" si="378"/>
        <v>7724</v>
      </c>
      <c r="E2581" s="2">
        <f t="shared" si="379"/>
        <v>42064</v>
      </c>
      <c r="F2581" s="2">
        <f t="shared" si="380"/>
        <v>43830</v>
      </c>
    </row>
    <row r="2582" spans="1:6" x14ac:dyDescent="0.25">
      <c r="A2582" s="1" t="s">
        <v>431</v>
      </c>
      <c r="B2582" s="1" t="s">
        <v>1734</v>
      </c>
      <c r="C2582" s="1" t="s">
        <v>67</v>
      </c>
      <c r="D2582" s="3">
        <f t="shared" si="378"/>
        <v>7724</v>
      </c>
      <c r="E2582" s="2">
        <f t="shared" si="379"/>
        <v>42064</v>
      </c>
      <c r="F2582" s="2">
        <f t="shared" si="380"/>
        <v>43830</v>
      </c>
    </row>
    <row r="2583" spans="1:6" x14ac:dyDescent="0.25">
      <c r="A2583" s="1" t="s">
        <v>431</v>
      </c>
      <c r="B2583" s="1" t="s">
        <v>1734</v>
      </c>
      <c r="C2583" s="1" t="s">
        <v>148</v>
      </c>
      <c r="D2583" s="3">
        <f t="shared" si="378"/>
        <v>7724</v>
      </c>
      <c r="E2583" s="2">
        <f t="shared" si="379"/>
        <v>42064</v>
      </c>
      <c r="F2583" s="2">
        <f t="shared" si="380"/>
        <v>43830</v>
      </c>
    </row>
    <row r="2584" spans="1:6" x14ac:dyDescent="0.25">
      <c r="A2584" s="1" t="s">
        <v>431</v>
      </c>
      <c r="B2584" s="1" t="s">
        <v>1734</v>
      </c>
      <c r="C2584" s="1" t="s">
        <v>149</v>
      </c>
      <c r="D2584" s="3">
        <f t="shared" si="378"/>
        <v>7724</v>
      </c>
      <c r="E2584" s="2">
        <f t="shared" si="379"/>
        <v>42064</v>
      </c>
      <c r="F2584" s="2">
        <f t="shared" si="380"/>
        <v>43830</v>
      </c>
    </row>
    <row r="2585" spans="1:6" x14ac:dyDescent="0.25">
      <c r="A2585" s="1" t="s">
        <v>431</v>
      </c>
      <c r="B2585" s="1" t="s">
        <v>1734</v>
      </c>
      <c r="C2585" s="1" t="s">
        <v>150</v>
      </c>
      <c r="D2585" s="3">
        <f t="shared" si="378"/>
        <v>7724</v>
      </c>
      <c r="E2585" s="2">
        <f t="shared" si="379"/>
        <v>42064</v>
      </c>
      <c r="F2585" s="2">
        <f t="shared" si="380"/>
        <v>43830</v>
      </c>
    </row>
    <row r="2586" spans="1:6" x14ac:dyDescent="0.25">
      <c r="A2586" s="1" t="s">
        <v>431</v>
      </c>
      <c r="B2586" s="1" t="s">
        <v>1734</v>
      </c>
      <c r="C2586" s="1" t="s">
        <v>332</v>
      </c>
      <c r="D2586" s="3">
        <f t="shared" si="378"/>
        <v>7724</v>
      </c>
      <c r="E2586" s="2">
        <f t="shared" si="379"/>
        <v>42064</v>
      </c>
      <c r="F2586" s="2">
        <f t="shared" si="380"/>
        <v>43830</v>
      </c>
    </row>
    <row r="2587" spans="1:6" x14ac:dyDescent="0.25">
      <c r="A2587" s="1" t="s">
        <v>431</v>
      </c>
      <c r="B2587" s="1" t="s">
        <v>1734</v>
      </c>
      <c r="C2587" s="1" t="s">
        <v>24</v>
      </c>
      <c r="D2587" s="3">
        <f t="shared" si="378"/>
        <v>7724</v>
      </c>
      <c r="E2587" s="2">
        <f t="shared" si="379"/>
        <v>42064</v>
      </c>
      <c r="F2587" s="2">
        <f t="shared" si="380"/>
        <v>43830</v>
      </c>
    </row>
    <row r="2588" spans="1:6" x14ac:dyDescent="0.25">
      <c r="A2588" s="1" t="s">
        <v>431</v>
      </c>
      <c r="B2588" s="1" t="s">
        <v>1734</v>
      </c>
      <c r="C2588" s="1" t="s">
        <v>292</v>
      </c>
      <c r="D2588" s="3">
        <f t="shared" si="378"/>
        <v>7724</v>
      </c>
      <c r="E2588" s="2">
        <f t="shared" si="379"/>
        <v>42064</v>
      </c>
      <c r="F2588" s="2">
        <f t="shared" si="380"/>
        <v>43830</v>
      </c>
    </row>
    <row r="2589" spans="1:6" x14ac:dyDescent="0.25">
      <c r="A2589" s="1" t="s">
        <v>431</v>
      </c>
      <c r="B2589" s="1" t="s">
        <v>1734</v>
      </c>
      <c r="C2589" s="1" t="s">
        <v>72</v>
      </c>
      <c r="D2589" s="3">
        <f t="shared" si="378"/>
        <v>7724</v>
      </c>
      <c r="E2589" s="2">
        <f t="shared" si="379"/>
        <v>42064</v>
      </c>
      <c r="F2589" s="2">
        <f t="shared" si="380"/>
        <v>43830</v>
      </c>
    </row>
    <row r="2590" spans="1:6" x14ac:dyDescent="0.25">
      <c r="A2590" s="1" t="s">
        <v>431</v>
      </c>
      <c r="B2590" s="1" t="s">
        <v>1734</v>
      </c>
      <c r="C2590" s="1" t="s">
        <v>73</v>
      </c>
      <c r="D2590" s="3">
        <f t="shared" si="378"/>
        <v>7724</v>
      </c>
      <c r="E2590" s="2">
        <f t="shared" si="379"/>
        <v>42064</v>
      </c>
      <c r="F2590" s="2">
        <f t="shared" si="380"/>
        <v>43830</v>
      </c>
    </row>
    <row r="2591" spans="1:6" x14ac:dyDescent="0.25">
      <c r="A2591" s="1" t="s">
        <v>431</v>
      </c>
      <c r="B2591" s="1" t="s">
        <v>1734</v>
      </c>
      <c r="C2591" s="1" t="s">
        <v>52</v>
      </c>
      <c r="D2591" s="3">
        <f t="shared" si="378"/>
        <v>7724</v>
      </c>
      <c r="E2591" s="2">
        <f t="shared" si="379"/>
        <v>42064</v>
      </c>
      <c r="F2591" s="2">
        <f t="shared" si="380"/>
        <v>43830</v>
      </c>
    </row>
    <row r="2592" spans="1:6" x14ac:dyDescent="0.25">
      <c r="A2592" s="1" t="s">
        <v>431</v>
      </c>
      <c r="B2592" s="1" t="s">
        <v>1734</v>
      </c>
      <c r="C2592" s="1" t="s">
        <v>160</v>
      </c>
      <c r="D2592" s="3">
        <f t="shared" si="378"/>
        <v>7724</v>
      </c>
      <c r="E2592" s="2">
        <f t="shared" si="379"/>
        <v>42064</v>
      </c>
      <c r="F2592" s="2">
        <f t="shared" si="380"/>
        <v>43830</v>
      </c>
    </row>
    <row r="2593" spans="1:6" x14ac:dyDescent="0.25">
      <c r="A2593" s="1" t="s">
        <v>431</v>
      </c>
      <c r="B2593" s="1" t="s">
        <v>1734</v>
      </c>
      <c r="C2593" s="1" t="s">
        <v>34</v>
      </c>
      <c r="D2593" s="3">
        <f t="shared" si="378"/>
        <v>7724</v>
      </c>
      <c r="E2593" s="2">
        <f t="shared" si="379"/>
        <v>42064</v>
      </c>
      <c r="F2593" s="2">
        <f t="shared" si="380"/>
        <v>43830</v>
      </c>
    </row>
    <row r="2594" spans="1:6" x14ac:dyDescent="0.25">
      <c r="A2594" s="1" t="s">
        <v>431</v>
      </c>
      <c r="B2594" s="1" t="s">
        <v>1734</v>
      </c>
      <c r="C2594" s="1" t="s">
        <v>55</v>
      </c>
      <c r="D2594" s="3">
        <f t="shared" si="378"/>
        <v>7724</v>
      </c>
      <c r="E2594" s="2">
        <f t="shared" si="379"/>
        <v>42064</v>
      </c>
      <c r="F2594" s="2">
        <f t="shared" si="380"/>
        <v>43830</v>
      </c>
    </row>
    <row r="2595" spans="1:6" x14ac:dyDescent="0.25">
      <c r="A2595" s="1" t="s">
        <v>431</v>
      </c>
      <c r="B2595" s="1" t="s">
        <v>530</v>
      </c>
      <c r="C2595" s="1" t="s">
        <v>14</v>
      </c>
      <c r="D2595" s="3">
        <f t="shared" ref="D2595:D2616" si="381">VALUE("7698")</f>
        <v>7698</v>
      </c>
      <c r="E2595" s="2">
        <f t="shared" ref="E2595:E2626" si="382">DATEVALUE("1-2-2015")</f>
        <v>42036</v>
      </c>
      <c r="F2595" s="2">
        <f t="shared" ref="F2595:F2616" si="383">DATEVALUE("30-4-2022")</f>
        <v>44681</v>
      </c>
    </row>
    <row r="2596" spans="1:6" x14ac:dyDescent="0.25">
      <c r="A2596" s="1" t="s">
        <v>431</v>
      </c>
      <c r="B2596" s="1" t="s">
        <v>530</v>
      </c>
      <c r="C2596" s="1" t="s">
        <v>15</v>
      </c>
      <c r="D2596" s="3">
        <f t="shared" si="381"/>
        <v>7698</v>
      </c>
      <c r="E2596" s="2">
        <f t="shared" si="382"/>
        <v>42036</v>
      </c>
      <c r="F2596" s="2">
        <f t="shared" si="383"/>
        <v>44681</v>
      </c>
    </row>
    <row r="2597" spans="1:6" x14ac:dyDescent="0.25">
      <c r="A2597" s="1" t="s">
        <v>431</v>
      </c>
      <c r="B2597" s="1" t="s">
        <v>530</v>
      </c>
      <c r="C2597" s="1" t="s">
        <v>89</v>
      </c>
      <c r="D2597" s="3">
        <f t="shared" si="381"/>
        <v>7698</v>
      </c>
      <c r="E2597" s="2">
        <f t="shared" si="382"/>
        <v>42036</v>
      </c>
      <c r="F2597" s="2">
        <f t="shared" si="383"/>
        <v>44681</v>
      </c>
    </row>
    <row r="2598" spans="1:6" x14ac:dyDescent="0.25">
      <c r="A2598" s="1" t="s">
        <v>431</v>
      </c>
      <c r="B2598" s="1" t="s">
        <v>530</v>
      </c>
      <c r="C2598" s="1" t="s">
        <v>17</v>
      </c>
      <c r="D2598" s="3">
        <f t="shared" si="381"/>
        <v>7698</v>
      </c>
      <c r="E2598" s="2">
        <f t="shared" si="382"/>
        <v>42036</v>
      </c>
      <c r="F2598" s="2">
        <f t="shared" si="383"/>
        <v>44681</v>
      </c>
    </row>
    <row r="2599" spans="1:6" x14ac:dyDescent="0.25">
      <c r="A2599" s="1" t="s">
        <v>431</v>
      </c>
      <c r="B2599" s="1" t="s">
        <v>530</v>
      </c>
      <c r="C2599" s="1" t="s">
        <v>257</v>
      </c>
      <c r="D2599" s="3">
        <f t="shared" si="381"/>
        <v>7698</v>
      </c>
      <c r="E2599" s="2">
        <f t="shared" si="382"/>
        <v>42036</v>
      </c>
      <c r="F2599" s="2">
        <f t="shared" si="383"/>
        <v>44681</v>
      </c>
    </row>
    <row r="2600" spans="1:6" x14ac:dyDescent="0.25">
      <c r="A2600" s="1" t="s">
        <v>431</v>
      </c>
      <c r="B2600" s="1" t="s">
        <v>530</v>
      </c>
      <c r="C2600" s="1" t="s">
        <v>127</v>
      </c>
      <c r="D2600" s="3">
        <f t="shared" si="381"/>
        <v>7698</v>
      </c>
      <c r="E2600" s="2">
        <f t="shared" si="382"/>
        <v>42036</v>
      </c>
      <c r="F2600" s="2">
        <f t="shared" si="383"/>
        <v>44681</v>
      </c>
    </row>
    <row r="2601" spans="1:6" x14ac:dyDescent="0.25">
      <c r="A2601" s="1" t="s">
        <v>431</v>
      </c>
      <c r="B2601" s="1" t="s">
        <v>530</v>
      </c>
      <c r="C2601" s="1" t="s">
        <v>168</v>
      </c>
      <c r="D2601" s="3">
        <f t="shared" si="381"/>
        <v>7698</v>
      </c>
      <c r="E2601" s="2">
        <f t="shared" si="382"/>
        <v>42036</v>
      </c>
      <c r="F2601" s="2">
        <f t="shared" si="383"/>
        <v>44681</v>
      </c>
    </row>
    <row r="2602" spans="1:6" x14ac:dyDescent="0.25">
      <c r="A2602" s="1" t="s">
        <v>431</v>
      </c>
      <c r="B2602" s="1" t="s">
        <v>530</v>
      </c>
      <c r="C2602" s="1" t="s">
        <v>258</v>
      </c>
      <c r="D2602" s="3">
        <f t="shared" si="381"/>
        <v>7698</v>
      </c>
      <c r="E2602" s="2">
        <f t="shared" si="382"/>
        <v>42036</v>
      </c>
      <c r="F2602" s="2">
        <f t="shared" si="383"/>
        <v>44681</v>
      </c>
    </row>
    <row r="2603" spans="1:6" x14ac:dyDescent="0.25">
      <c r="A2603" s="1" t="s">
        <v>431</v>
      </c>
      <c r="B2603" s="1" t="s">
        <v>530</v>
      </c>
      <c r="C2603" s="1" t="s">
        <v>146</v>
      </c>
      <c r="D2603" s="3">
        <f t="shared" si="381"/>
        <v>7698</v>
      </c>
      <c r="E2603" s="2">
        <f t="shared" si="382"/>
        <v>42036</v>
      </c>
      <c r="F2603" s="2">
        <f t="shared" si="383"/>
        <v>44681</v>
      </c>
    </row>
    <row r="2604" spans="1:6" x14ac:dyDescent="0.25">
      <c r="A2604" s="1" t="s">
        <v>431</v>
      </c>
      <c r="B2604" s="1" t="s">
        <v>530</v>
      </c>
      <c r="C2604" s="1" t="s">
        <v>148</v>
      </c>
      <c r="D2604" s="3">
        <f t="shared" si="381"/>
        <v>7698</v>
      </c>
      <c r="E2604" s="2">
        <f t="shared" si="382"/>
        <v>42036</v>
      </c>
      <c r="F2604" s="2">
        <f t="shared" si="383"/>
        <v>44681</v>
      </c>
    </row>
    <row r="2605" spans="1:6" x14ac:dyDescent="0.25">
      <c r="A2605" s="1" t="s">
        <v>431</v>
      </c>
      <c r="B2605" s="1" t="s">
        <v>530</v>
      </c>
      <c r="C2605" s="1" t="s">
        <v>150</v>
      </c>
      <c r="D2605" s="3">
        <f t="shared" si="381"/>
        <v>7698</v>
      </c>
      <c r="E2605" s="2">
        <f t="shared" si="382"/>
        <v>42036</v>
      </c>
      <c r="F2605" s="2">
        <f t="shared" si="383"/>
        <v>44681</v>
      </c>
    </row>
    <row r="2606" spans="1:6" x14ac:dyDescent="0.25">
      <c r="A2606" s="1" t="s">
        <v>431</v>
      </c>
      <c r="B2606" s="1" t="s">
        <v>530</v>
      </c>
      <c r="C2606" s="1" t="s">
        <v>92</v>
      </c>
      <c r="D2606" s="3">
        <f t="shared" si="381"/>
        <v>7698</v>
      </c>
      <c r="E2606" s="2">
        <f t="shared" si="382"/>
        <v>42036</v>
      </c>
      <c r="F2606" s="2">
        <f t="shared" si="383"/>
        <v>44681</v>
      </c>
    </row>
    <row r="2607" spans="1:6" x14ac:dyDescent="0.25">
      <c r="A2607" s="1" t="s">
        <v>431</v>
      </c>
      <c r="B2607" s="1" t="s">
        <v>530</v>
      </c>
      <c r="C2607" s="1" t="s">
        <v>531</v>
      </c>
      <c r="D2607" s="3">
        <f t="shared" si="381"/>
        <v>7698</v>
      </c>
      <c r="E2607" s="2">
        <f t="shared" si="382"/>
        <v>42036</v>
      </c>
      <c r="F2607" s="2">
        <f t="shared" si="383"/>
        <v>44681</v>
      </c>
    </row>
    <row r="2608" spans="1:6" x14ac:dyDescent="0.25">
      <c r="A2608" s="1" t="s">
        <v>431</v>
      </c>
      <c r="B2608" s="1" t="s">
        <v>530</v>
      </c>
      <c r="C2608" s="1" t="s">
        <v>532</v>
      </c>
      <c r="D2608" s="3">
        <f t="shared" si="381"/>
        <v>7698</v>
      </c>
      <c r="E2608" s="2">
        <f t="shared" si="382"/>
        <v>42036</v>
      </c>
      <c r="F2608" s="2">
        <f t="shared" si="383"/>
        <v>44681</v>
      </c>
    </row>
    <row r="2609" spans="1:6" x14ac:dyDescent="0.25">
      <c r="A2609" s="1" t="s">
        <v>431</v>
      </c>
      <c r="B2609" s="1" t="s">
        <v>530</v>
      </c>
      <c r="C2609" s="1" t="s">
        <v>24</v>
      </c>
      <c r="D2609" s="3">
        <f t="shared" si="381"/>
        <v>7698</v>
      </c>
      <c r="E2609" s="2">
        <f t="shared" si="382"/>
        <v>42036</v>
      </c>
      <c r="F2609" s="2">
        <f t="shared" si="383"/>
        <v>44681</v>
      </c>
    </row>
    <row r="2610" spans="1:6" x14ac:dyDescent="0.25">
      <c r="A2610" s="1" t="s">
        <v>431</v>
      </c>
      <c r="B2610" s="1" t="s">
        <v>530</v>
      </c>
      <c r="C2610" s="1" t="s">
        <v>533</v>
      </c>
      <c r="D2610" s="3">
        <f t="shared" si="381"/>
        <v>7698</v>
      </c>
      <c r="E2610" s="2">
        <f t="shared" si="382"/>
        <v>42036</v>
      </c>
      <c r="F2610" s="2">
        <f t="shared" si="383"/>
        <v>44681</v>
      </c>
    </row>
    <row r="2611" spans="1:6" x14ac:dyDescent="0.25">
      <c r="A2611" s="1" t="s">
        <v>431</v>
      </c>
      <c r="B2611" s="1" t="s">
        <v>530</v>
      </c>
      <c r="C2611" s="1" t="s">
        <v>160</v>
      </c>
      <c r="D2611" s="3">
        <f t="shared" si="381"/>
        <v>7698</v>
      </c>
      <c r="E2611" s="2">
        <f t="shared" si="382"/>
        <v>42036</v>
      </c>
      <c r="F2611" s="2">
        <f t="shared" si="383"/>
        <v>44681</v>
      </c>
    </row>
    <row r="2612" spans="1:6" x14ac:dyDescent="0.25">
      <c r="A2612" s="1" t="s">
        <v>431</v>
      </c>
      <c r="B2612" s="1" t="s">
        <v>530</v>
      </c>
      <c r="C2612" s="1" t="s">
        <v>34</v>
      </c>
      <c r="D2612" s="3">
        <f t="shared" si="381"/>
        <v>7698</v>
      </c>
      <c r="E2612" s="2">
        <f t="shared" si="382"/>
        <v>42036</v>
      </c>
      <c r="F2612" s="2">
        <f t="shared" si="383"/>
        <v>44681</v>
      </c>
    </row>
    <row r="2613" spans="1:6" x14ac:dyDescent="0.25">
      <c r="A2613" s="1" t="s">
        <v>431</v>
      </c>
      <c r="B2613" s="1" t="s">
        <v>530</v>
      </c>
      <c r="C2613" s="1" t="s">
        <v>133</v>
      </c>
      <c r="D2613" s="3">
        <f t="shared" si="381"/>
        <v>7698</v>
      </c>
      <c r="E2613" s="2">
        <f t="shared" si="382"/>
        <v>42036</v>
      </c>
      <c r="F2613" s="2">
        <f t="shared" si="383"/>
        <v>44681</v>
      </c>
    </row>
    <row r="2614" spans="1:6" x14ac:dyDescent="0.25">
      <c r="A2614" s="1" t="s">
        <v>431</v>
      </c>
      <c r="B2614" s="1" t="s">
        <v>530</v>
      </c>
      <c r="C2614" s="1" t="s">
        <v>134</v>
      </c>
      <c r="D2614" s="3">
        <f t="shared" si="381"/>
        <v>7698</v>
      </c>
      <c r="E2614" s="2">
        <f t="shared" si="382"/>
        <v>42036</v>
      </c>
      <c r="F2614" s="2">
        <f t="shared" si="383"/>
        <v>44681</v>
      </c>
    </row>
    <row r="2615" spans="1:6" x14ac:dyDescent="0.25">
      <c r="A2615" s="1" t="s">
        <v>431</v>
      </c>
      <c r="B2615" s="1" t="s">
        <v>530</v>
      </c>
      <c r="C2615" s="1" t="s">
        <v>169</v>
      </c>
      <c r="D2615" s="3">
        <f t="shared" si="381"/>
        <v>7698</v>
      </c>
      <c r="E2615" s="2">
        <f t="shared" si="382"/>
        <v>42036</v>
      </c>
      <c r="F2615" s="2">
        <f t="shared" si="383"/>
        <v>44681</v>
      </c>
    </row>
    <row r="2616" spans="1:6" x14ac:dyDescent="0.25">
      <c r="A2616" s="1" t="s">
        <v>431</v>
      </c>
      <c r="B2616" s="1" t="s">
        <v>530</v>
      </c>
      <c r="C2616" s="1" t="s">
        <v>170</v>
      </c>
      <c r="D2616" s="3">
        <f t="shared" si="381"/>
        <v>7698</v>
      </c>
      <c r="E2616" s="2">
        <f t="shared" si="382"/>
        <v>42036</v>
      </c>
      <c r="F2616" s="2">
        <f t="shared" si="383"/>
        <v>44681</v>
      </c>
    </row>
    <row r="2617" spans="1:6" x14ac:dyDescent="0.25">
      <c r="A2617" s="1" t="s">
        <v>431</v>
      </c>
      <c r="B2617" s="1" t="s">
        <v>540</v>
      </c>
      <c r="C2617" s="1" t="s">
        <v>255</v>
      </c>
      <c r="D2617" s="3">
        <f t="shared" ref="D2617:D2648" si="384">VALUE("7716")</f>
        <v>7716</v>
      </c>
      <c r="E2617" s="2">
        <f t="shared" si="382"/>
        <v>42036</v>
      </c>
      <c r="F2617" s="2">
        <f t="shared" ref="F2617:F2648" si="385">DATEVALUE("30-6-2021")</f>
        <v>44377</v>
      </c>
    </row>
    <row r="2618" spans="1:6" x14ac:dyDescent="0.25">
      <c r="A2618" s="1" t="s">
        <v>431</v>
      </c>
      <c r="B2618" s="1" t="s">
        <v>540</v>
      </c>
      <c r="C2618" s="1" t="s">
        <v>511</v>
      </c>
      <c r="D2618" s="3">
        <f t="shared" si="384"/>
        <v>7716</v>
      </c>
      <c r="E2618" s="2">
        <f t="shared" si="382"/>
        <v>42036</v>
      </c>
      <c r="F2618" s="2">
        <f t="shared" si="385"/>
        <v>44377</v>
      </c>
    </row>
    <row r="2619" spans="1:6" x14ac:dyDescent="0.25">
      <c r="A2619" s="1" t="s">
        <v>431</v>
      </c>
      <c r="B2619" s="1" t="s">
        <v>540</v>
      </c>
      <c r="C2619" s="1" t="s">
        <v>361</v>
      </c>
      <c r="D2619" s="3">
        <f t="shared" si="384"/>
        <v>7716</v>
      </c>
      <c r="E2619" s="2">
        <f t="shared" si="382"/>
        <v>42036</v>
      </c>
      <c r="F2619" s="2">
        <f t="shared" si="385"/>
        <v>44377</v>
      </c>
    </row>
    <row r="2620" spans="1:6" x14ac:dyDescent="0.25">
      <c r="A2620" s="1" t="s">
        <v>431</v>
      </c>
      <c r="B2620" s="1" t="s">
        <v>540</v>
      </c>
      <c r="C2620" s="1" t="s">
        <v>39</v>
      </c>
      <c r="D2620" s="3">
        <f t="shared" si="384"/>
        <v>7716</v>
      </c>
      <c r="E2620" s="2">
        <f t="shared" si="382"/>
        <v>42036</v>
      </c>
      <c r="F2620" s="2">
        <f t="shared" si="385"/>
        <v>44377</v>
      </c>
    </row>
    <row r="2621" spans="1:6" x14ac:dyDescent="0.25">
      <c r="A2621" s="1" t="s">
        <v>431</v>
      </c>
      <c r="B2621" s="1" t="s">
        <v>540</v>
      </c>
      <c r="C2621" s="1" t="s">
        <v>40</v>
      </c>
      <c r="D2621" s="3">
        <f t="shared" si="384"/>
        <v>7716</v>
      </c>
      <c r="E2621" s="2">
        <f t="shared" si="382"/>
        <v>42036</v>
      </c>
      <c r="F2621" s="2">
        <f t="shared" si="385"/>
        <v>44377</v>
      </c>
    </row>
    <row r="2622" spans="1:6" x14ac:dyDescent="0.25">
      <c r="A2622" s="1" t="s">
        <v>431</v>
      </c>
      <c r="B2622" s="1" t="s">
        <v>540</v>
      </c>
      <c r="C2622" s="1" t="s">
        <v>41</v>
      </c>
      <c r="D2622" s="3">
        <f t="shared" si="384"/>
        <v>7716</v>
      </c>
      <c r="E2622" s="2">
        <f t="shared" si="382"/>
        <v>42036</v>
      </c>
      <c r="F2622" s="2">
        <f t="shared" si="385"/>
        <v>44377</v>
      </c>
    </row>
    <row r="2623" spans="1:6" x14ac:dyDescent="0.25">
      <c r="A2623" s="1" t="s">
        <v>431</v>
      </c>
      <c r="B2623" s="1" t="s">
        <v>540</v>
      </c>
      <c r="C2623" s="1" t="s">
        <v>438</v>
      </c>
      <c r="D2623" s="3">
        <f t="shared" si="384"/>
        <v>7716</v>
      </c>
      <c r="E2623" s="2">
        <f t="shared" si="382"/>
        <v>42036</v>
      </c>
      <c r="F2623" s="2">
        <f t="shared" si="385"/>
        <v>44377</v>
      </c>
    </row>
    <row r="2624" spans="1:6" x14ac:dyDescent="0.25">
      <c r="A2624" s="1" t="s">
        <v>431</v>
      </c>
      <c r="B2624" s="1" t="s">
        <v>540</v>
      </c>
      <c r="C2624" s="1" t="s">
        <v>8</v>
      </c>
      <c r="D2624" s="3">
        <f t="shared" si="384"/>
        <v>7716</v>
      </c>
      <c r="E2624" s="2">
        <f t="shared" si="382"/>
        <v>42036</v>
      </c>
      <c r="F2624" s="2">
        <f t="shared" si="385"/>
        <v>44377</v>
      </c>
    </row>
    <row r="2625" spans="1:6" x14ac:dyDescent="0.25">
      <c r="A2625" s="1" t="s">
        <v>431</v>
      </c>
      <c r="B2625" s="1" t="s">
        <v>540</v>
      </c>
      <c r="C2625" s="1" t="s">
        <v>9</v>
      </c>
      <c r="D2625" s="3">
        <f t="shared" si="384"/>
        <v>7716</v>
      </c>
      <c r="E2625" s="2">
        <f t="shared" si="382"/>
        <v>42036</v>
      </c>
      <c r="F2625" s="2">
        <f t="shared" si="385"/>
        <v>44377</v>
      </c>
    </row>
    <row r="2626" spans="1:6" x14ac:dyDescent="0.25">
      <c r="A2626" s="1" t="s">
        <v>431</v>
      </c>
      <c r="B2626" s="1" t="s">
        <v>540</v>
      </c>
      <c r="C2626" s="1" t="s">
        <v>10</v>
      </c>
      <c r="D2626" s="3">
        <f t="shared" si="384"/>
        <v>7716</v>
      </c>
      <c r="E2626" s="2">
        <f t="shared" si="382"/>
        <v>42036</v>
      </c>
      <c r="F2626" s="2">
        <f t="shared" si="385"/>
        <v>44377</v>
      </c>
    </row>
    <row r="2627" spans="1:6" x14ac:dyDescent="0.25">
      <c r="A2627" s="1" t="s">
        <v>431</v>
      </c>
      <c r="B2627" s="1" t="s">
        <v>540</v>
      </c>
      <c r="C2627" s="1" t="s">
        <v>61</v>
      </c>
      <c r="D2627" s="3">
        <f t="shared" si="384"/>
        <v>7716</v>
      </c>
      <c r="E2627" s="2">
        <f t="shared" ref="E2627:E2658" si="386">DATEVALUE("1-2-2015")</f>
        <v>42036</v>
      </c>
      <c r="F2627" s="2">
        <f t="shared" si="385"/>
        <v>44377</v>
      </c>
    </row>
    <row r="2628" spans="1:6" x14ac:dyDescent="0.25">
      <c r="A2628" s="1" t="s">
        <v>431</v>
      </c>
      <c r="B2628" s="1" t="s">
        <v>540</v>
      </c>
      <c r="C2628" s="1" t="s">
        <v>411</v>
      </c>
      <c r="D2628" s="3">
        <f t="shared" si="384"/>
        <v>7716</v>
      </c>
      <c r="E2628" s="2">
        <f t="shared" si="386"/>
        <v>42036</v>
      </c>
      <c r="F2628" s="2">
        <f t="shared" si="385"/>
        <v>44377</v>
      </c>
    </row>
    <row r="2629" spans="1:6" x14ac:dyDescent="0.25">
      <c r="A2629" s="1" t="s">
        <v>431</v>
      </c>
      <c r="B2629" s="1" t="s">
        <v>540</v>
      </c>
      <c r="C2629" s="1" t="s">
        <v>62</v>
      </c>
      <c r="D2629" s="3">
        <f t="shared" si="384"/>
        <v>7716</v>
      </c>
      <c r="E2629" s="2">
        <f t="shared" si="386"/>
        <v>42036</v>
      </c>
      <c r="F2629" s="2">
        <f t="shared" si="385"/>
        <v>44377</v>
      </c>
    </row>
    <row r="2630" spans="1:6" x14ac:dyDescent="0.25">
      <c r="A2630" s="1" t="s">
        <v>431</v>
      </c>
      <c r="B2630" s="1" t="s">
        <v>540</v>
      </c>
      <c r="C2630" s="1" t="s">
        <v>63</v>
      </c>
      <c r="D2630" s="3">
        <f t="shared" si="384"/>
        <v>7716</v>
      </c>
      <c r="E2630" s="2">
        <f t="shared" si="386"/>
        <v>42036</v>
      </c>
      <c r="F2630" s="2">
        <f t="shared" si="385"/>
        <v>44377</v>
      </c>
    </row>
    <row r="2631" spans="1:6" x14ac:dyDescent="0.25">
      <c r="A2631" s="1" t="s">
        <v>431</v>
      </c>
      <c r="B2631" s="1" t="s">
        <v>540</v>
      </c>
      <c r="C2631" s="1" t="s">
        <v>45</v>
      </c>
      <c r="D2631" s="3">
        <f t="shared" si="384"/>
        <v>7716</v>
      </c>
      <c r="E2631" s="2">
        <f t="shared" si="386"/>
        <v>42036</v>
      </c>
      <c r="F2631" s="2">
        <f t="shared" si="385"/>
        <v>44377</v>
      </c>
    </row>
    <row r="2632" spans="1:6" x14ac:dyDescent="0.25">
      <c r="A2632" s="1" t="s">
        <v>431</v>
      </c>
      <c r="B2632" s="1" t="s">
        <v>540</v>
      </c>
      <c r="C2632" s="1" t="s">
        <v>44</v>
      </c>
      <c r="D2632" s="3">
        <f t="shared" si="384"/>
        <v>7716</v>
      </c>
      <c r="E2632" s="2">
        <f t="shared" si="386"/>
        <v>42036</v>
      </c>
      <c r="F2632" s="2">
        <f t="shared" si="385"/>
        <v>44377</v>
      </c>
    </row>
    <row r="2633" spans="1:6" x14ac:dyDescent="0.25">
      <c r="A2633" s="1" t="s">
        <v>431</v>
      </c>
      <c r="B2633" s="1" t="s">
        <v>540</v>
      </c>
      <c r="C2633" s="1" t="s">
        <v>14</v>
      </c>
      <c r="D2633" s="3">
        <f t="shared" si="384"/>
        <v>7716</v>
      </c>
      <c r="E2633" s="2">
        <f t="shared" si="386"/>
        <v>42036</v>
      </c>
      <c r="F2633" s="2">
        <f t="shared" si="385"/>
        <v>44377</v>
      </c>
    </row>
    <row r="2634" spans="1:6" x14ac:dyDescent="0.25">
      <c r="A2634" s="1" t="s">
        <v>431</v>
      </c>
      <c r="B2634" s="1" t="s">
        <v>540</v>
      </c>
      <c r="C2634" s="1" t="s">
        <v>66</v>
      </c>
      <c r="D2634" s="3">
        <f t="shared" si="384"/>
        <v>7716</v>
      </c>
      <c r="E2634" s="2">
        <f t="shared" si="386"/>
        <v>42036</v>
      </c>
      <c r="F2634" s="2">
        <f t="shared" si="385"/>
        <v>44377</v>
      </c>
    </row>
    <row r="2635" spans="1:6" x14ac:dyDescent="0.25">
      <c r="A2635" s="1" t="s">
        <v>431</v>
      </c>
      <c r="B2635" s="1" t="s">
        <v>540</v>
      </c>
      <c r="C2635" s="1" t="s">
        <v>15</v>
      </c>
      <c r="D2635" s="3">
        <f t="shared" si="384"/>
        <v>7716</v>
      </c>
      <c r="E2635" s="2">
        <f t="shared" si="386"/>
        <v>42036</v>
      </c>
      <c r="F2635" s="2">
        <f t="shared" si="385"/>
        <v>44377</v>
      </c>
    </row>
    <row r="2636" spans="1:6" x14ac:dyDescent="0.25">
      <c r="A2636" s="1" t="s">
        <v>431</v>
      </c>
      <c r="B2636" s="1" t="s">
        <v>540</v>
      </c>
      <c r="C2636" s="1" t="s">
        <v>16</v>
      </c>
      <c r="D2636" s="3">
        <f t="shared" si="384"/>
        <v>7716</v>
      </c>
      <c r="E2636" s="2">
        <f t="shared" si="386"/>
        <v>42036</v>
      </c>
      <c r="F2636" s="2">
        <f t="shared" si="385"/>
        <v>44377</v>
      </c>
    </row>
    <row r="2637" spans="1:6" x14ac:dyDescent="0.25">
      <c r="A2637" s="1" t="s">
        <v>431</v>
      </c>
      <c r="B2637" s="1" t="s">
        <v>540</v>
      </c>
      <c r="C2637" s="1" t="s">
        <v>88</v>
      </c>
      <c r="D2637" s="3">
        <f t="shared" si="384"/>
        <v>7716</v>
      </c>
      <c r="E2637" s="2">
        <f t="shared" si="386"/>
        <v>42036</v>
      </c>
      <c r="F2637" s="2">
        <f t="shared" si="385"/>
        <v>44377</v>
      </c>
    </row>
    <row r="2638" spans="1:6" x14ac:dyDescent="0.25">
      <c r="A2638" s="1" t="s">
        <v>431</v>
      </c>
      <c r="B2638" s="1" t="s">
        <v>540</v>
      </c>
      <c r="C2638" s="1" t="s">
        <v>89</v>
      </c>
      <c r="D2638" s="3">
        <f t="shared" si="384"/>
        <v>7716</v>
      </c>
      <c r="E2638" s="2">
        <f t="shared" si="386"/>
        <v>42036</v>
      </c>
      <c r="F2638" s="2">
        <f t="shared" si="385"/>
        <v>44377</v>
      </c>
    </row>
    <row r="2639" spans="1:6" x14ac:dyDescent="0.25">
      <c r="A2639" s="1" t="s">
        <v>431</v>
      </c>
      <c r="B2639" s="1" t="s">
        <v>540</v>
      </c>
      <c r="C2639" s="1" t="s">
        <v>17</v>
      </c>
      <c r="D2639" s="3">
        <f t="shared" si="384"/>
        <v>7716</v>
      </c>
      <c r="E2639" s="2">
        <f t="shared" si="386"/>
        <v>42036</v>
      </c>
      <c r="F2639" s="2">
        <f t="shared" si="385"/>
        <v>44377</v>
      </c>
    </row>
    <row r="2640" spans="1:6" x14ac:dyDescent="0.25">
      <c r="A2640" s="1" t="s">
        <v>431</v>
      </c>
      <c r="B2640" s="1" t="s">
        <v>540</v>
      </c>
      <c r="C2640" s="1" t="s">
        <v>91</v>
      </c>
      <c r="D2640" s="3">
        <f t="shared" si="384"/>
        <v>7716</v>
      </c>
      <c r="E2640" s="2">
        <f t="shared" si="386"/>
        <v>42036</v>
      </c>
      <c r="F2640" s="2">
        <f t="shared" si="385"/>
        <v>44377</v>
      </c>
    </row>
    <row r="2641" spans="1:6" x14ac:dyDescent="0.25">
      <c r="A2641" s="1" t="s">
        <v>431</v>
      </c>
      <c r="B2641" s="1" t="s">
        <v>540</v>
      </c>
      <c r="C2641" s="1" t="s">
        <v>19</v>
      </c>
      <c r="D2641" s="3">
        <f t="shared" si="384"/>
        <v>7716</v>
      </c>
      <c r="E2641" s="2">
        <f t="shared" si="386"/>
        <v>42036</v>
      </c>
      <c r="F2641" s="2">
        <f t="shared" si="385"/>
        <v>44377</v>
      </c>
    </row>
    <row r="2642" spans="1:6" x14ac:dyDescent="0.25">
      <c r="A2642" s="1" t="s">
        <v>431</v>
      </c>
      <c r="B2642" s="1" t="s">
        <v>540</v>
      </c>
      <c r="C2642" s="1" t="s">
        <v>193</v>
      </c>
      <c r="D2642" s="3">
        <f t="shared" si="384"/>
        <v>7716</v>
      </c>
      <c r="E2642" s="2">
        <f t="shared" si="386"/>
        <v>42036</v>
      </c>
      <c r="F2642" s="2">
        <f t="shared" si="385"/>
        <v>44377</v>
      </c>
    </row>
    <row r="2643" spans="1:6" x14ac:dyDescent="0.25">
      <c r="A2643" s="1" t="s">
        <v>431</v>
      </c>
      <c r="B2643" s="1" t="s">
        <v>540</v>
      </c>
      <c r="C2643" s="1" t="s">
        <v>20</v>
      </c>
      <c r="D2643" s="3">
        <f t="shared" si="384"/>
        <v>7716</v>
      </c>
      <c r="E2643" s="2">
        <f t="shared" si="386"/>
        <v>42036</v>
      </c>
      <c r="F2643" s="2">
        <f t="shared" si="385"/>
        <v>44377</v>
      </c>
    </row>
    <row r="2644" spans="1:6" x14ac:dyDescent="0.25">
      <c r="A2644" s="1" t="s">
        <v>431</v>
      </c>
      <c r="B2644" s="1" t="s">
        <v>540</v>
      </c>
      <c r="C2644" s="1" t="s">
        <v>21</v>
      </c>
      <c r="D2644" s="3">
        <f t="shared" si="384"/>
        <v>7716</v>
      </c>
      <c r="E2644" s="2">
        <f t="shared" si="386"/>
        <v>42036</v>
      </c>
      <c r="F2644" s="2">
        <f t="shared" si="385"/>
        <v>44377</v>
      </c>
    </row>
    <row r="2645" spans="1:6" x14ac:dyDescent="0.25">
      <c r="A2645" s="1" t="s">
        <v>431</v>
      </c>
      <c r="B2645" s="1" t="s">
        <v>540</v>
      </c>
      <c r="C2645" s="1" t="s">
        <v>328</v>
      </c>
      <c r="D2645" s="3">
        <f t="shared" si="384"/>
        <v>7716</v>
      </c>
      <c r="E2645" s="2">
        <f t="shared" si="386"/>
        <v>42036</v>
      </c>
      <c r="F2645" s="2">
        <f t="shared" si="385"/>
        <v>44377</v>
      </c>
    </row>
    <row r="2646" spans="1:6" x14ac:dyDescent="0.25">
      <c r="A2646" s="1" t="s">
        <v>431</v>
      </c>
      <c r="B2646" s="1" t="s">
        <v>540</v>
      </c>
      <c r="C2646" s="1" t="s">
        <v>22</v>
      </c>
      <c r="D2646" s="3">
        <f t="shared" si="384"/>
        <v>7716</v>
      </c>
      <c r="E2646" s="2">
        <f t="shared" si="386"/>
        <v>42036</v>
      </c>
      <c r="F2646" s="2">
        <f t="shared" si="385"/>
        <v>44377</v>
      </c>
    </row>
    <row r="2647" spans="1:6" x14ac:dyDescent="0.25">
      <c r="A2647" s="1" t="s">
        <v>431</v>
      </c>
      <c r="B2647" s="1" t="s">
        <v>540</v>
      </c>
      <c r="C2647" s="1" t="s">
        <v>146</v>
      </c>
      <c r="D2647" s="3">
        <f t="shared" si="384"/>
        <v>7716</v>
      </c>
      <c r="E2647" s="2">
        <f t="shared" si="386"/>
        <v>42036</v>
      </c>
      <c r="F2647" s="2">
        <f t="shared" si="385"/>
        <v>44377</v>
      </c>
    </row>
    <row r="2648" spans="1:6" x14ac:dyDescent="0.25">
      <c r="A2648" s="1" t="s">
        <v>431</v>
      </c>
      <c r="B2648" s="1" t="s">
        <v>540</v>
      </c>
      <c r="C2648" s="1" t="s">
        <v>67</v>
      </c>
      <c r="D2648" s="3">
        <f t="shared" si="384"/>
        <v>7716</v>
      </c>
      <c r="E2648" s="2">
        <f t="shared" si="386"/>
        <v>42036</v>
      </c>
      <c r="F2648" s="2">
        <f t="shared" si="385"/>
        <v>44377</v>
      </c>
    </row>
    <row r="2649" spans="1:6" x14ac:dyDescent="0.25">
      <c r="A2649" s="1" t="s">
        <v>431</v>
      </c>
      <c r="B2649" s="1" t="s">
        <v>540</v>
      </c>
      <c r="C2649" s="1" t="s">
        <v>148</v>
      </c>
      <c r="D2649" s="3">
        <f t="shared" ref="D2649:D2680" si="387">VALUE("7716")</f>
        <v>7716</v>
      </c>
      <c r="E2649" s="2">
        <f t="shared" si="386"/>
        <v>42036</v>
      </c>
      <c r="F2649" s="2">
        <f t="shared" ref="F2649:F2680" si="388">DATEVALUE("30-6-2021")</f>
        <v>44377</v>
      </c>
    </row>
    <row r="2650" spans="1:6" x14ac:dyDescent="0.25">
      <c r="A2650" s="1" t="s">
        <v>431</v>
      </c>
      <c r="B2650" s="1" t="s">
        <v>540</v>
      </c>
      <c r="C2650" s="1" t="s">
        <v>92</v>
      </c>
      <c r="D2650" s="3">
        <f t="shared" si="387"/>
        <v>7716</v>
      </c>
      <c r="E2650" s="2">
        <f t="shared" si="386"/>
        <v>42036</v>
      </c>
      <c r="F2650" s="2">
        <f t="shared" si="388"/>
        <v>44377</v>
      </c>
    </row>
    <row r="2651" spans="1:6" x14ac:dyDescent="0.25">
      <c r="A2651" s="1" t="s">
        <v>431</v>
      </c>
      <c r="B2651" s="1" t="s">
        <v>540</v>
      </c>
      <c r="C2651" s="1" t="s">
        <v>336</v>
      </c>
      <c r="D2651" s="3">
        <f t="shared" si="387"/>
        <v>7716</v>
      </c>
      <c r="E2651" s="2">
        <f t="shared" si="386"/>
        <v>42036</v>
      </c>
      <c r="F2651" s="2">
        <f t="shared" si="388"/>
        <v>44377</v>
      </c>
    </row>
    <row r="2652" spans="1:6" x14ac:dyDescent="0.25">
      <c r="A2652" s="1" t="s">
        <v>431</v>
      </c>
      <c r="B2652" s="1" t="s">
        <v>540</v>
      </c>
      <c r="C2652" s="1" t="s">
        <v>400</v>
      </c>
      <c r="D2652" s="3">
        <f t="shared" si="387"/>
        <v>7716</v>
      </c>
      <c r="E2652" s="2">
        <f t="shared" si="386"/>
        <v>42036</v>
      </c>
      <c r="F2652" s="2">
        <f t="shared" si="388"/>
        <v>44377</v>
      </c>
    </row>
    <row r="2653" spans="1:6" x14ac:dyDescent="0.25">
      <c r="A2653" s="1" t="s">
        <v>431</v>
      </c>
      <c r="B2653" s="1" t="s">
        <v>540</v>
      </c>
      <c r="C2653" s="1" t="s">
        <v>329</v>
      </c>
      <c r="D2653" s="3">
        <f t="shared" si="387"/>
        <v>7716</v>
      </c>
      <c r="E2653" s="2">
        <f t="shared" si="386"/>
        <v>42036</v>
      </c>
      <c r="F2653" s="2">
        <f t="shared" si="388"/>
        <v>44377</v>
      </c>
    </row>
    <row r="2654" spans="1:6" x14ac:dyDescent="0.25">
      <c r="A2654" s="1" t="s">
        <v>431</v>
      </c>
      <c r="B2654" s="1" t="s">
        <v>540</v>
      </c>
      <c r="C2654" s="1" t="s">
        <v>94</v>
      </c>
      <c r="D2654" s="3">
        <f t="shared" si="387"/>
        <v>7716</v>
      </c>
      <c r="E2654" s="2">
        <f t="shared" si="386"/>
        <v>42036</v>
      </c>
      <c r="F2654" s="2">
        <f t="shared" si="388"/>
        <v>44377</v>
      </c>
    </row>
    <row r="2655" spans="1:6" x14ac:dyDescent="0.25">
      <c r="A2655" s="1" t="s">
        <v>431</v>
      </c>
      <c r="B2655" s="1" t="s">
        <v>540</v>
      </c>
      <c r="C2655" s="1" t="s">
        <v>514</v>
      </c>
      <c r="D2655" s="3">
        <f t="shared" si="387"/>
        <v>7716</v>
      </c>
      <c r="E2655" s="2">
        <f t="shared" si="386"/>
        <v>42036</v>
      </c>
      <c r="F2655" s="2">
        <f t="shared" si="388"/>
        <v>44377</v>
      </c>
    </row>
    <row r="2656" spans="1:6" x14ac:dyDescent="0.25">
      <c r="A2656" s="1" t="s">
        <v>431</v>
      </c>
      <c r="B2656" s="1" t="s">
        <v>540</v>
      </c>
      <c r="C2656" s="1" t="s">
        <v>332</v>
      </c>
      <c r="D2656" s="3">
        <f t="shared" si="387"/>
        <v>7716</v>
      </c>
      <c r="E2656" s="2">
        <f t="shared" si="386"/>
        <v>42036</v>
      </c>
      <c r="F2656" s="2">
        <f t="shared" si="388"/>
        <v>44377</v>
      </c>
    </row>
    <row r="2657" spans="1:6" x14ac:dyDescent="0.25">
      <c r="A2657" s="1" t="s">
        <v>431</v>
      </c>
      <c r="B2657" s="1" t="s">
        <v>540</v>
      </c>
      <c r="C2657" s="1" t="s">
        <v>474</v>
      </c>
      <c r="D2657" s="3">
        <f t="shared" si="387"/>
        <v>7716</v>
      </c>
      <c r="E2657" s="2">
        <f t="shared" si="386"/>
        <v>42036</v>
      </c>
      <c r="F2657" s="2">
        <f t="shared" si="388"/>
        <v>44377</v>
      </c>
    </row>
    <row r="2658" spans="1:6" x14ac:dyDescent="0.25">
      <c r="A2658" s="1" t="s">
        <v>431</v>
      </c>
      <c r="B2658" s="1" t="s">
        <v>540</v>
      </c>
      <c r="C2658" s="1" t="s">
        <v>475</v>
      </c>
      <c r="D2658" s="3">
        <f t="shared" si="387"/>
        <v>7716</v>
      </c>
      <c r="E2658" s="2">
        <f t="shared" si="386"/>
        <v>42036</v>
      </c>
      <c r="F2658" s="2">
        <f t="shared" si="388"/>
        <v>44377</v>
      </c>
    </row>
    <row r="2659" spans="1:6" x14ac:dyDescent="0.25">
      <c r="A2659" s="1" t="s">
        <v>431</v>
      </c>
      <c r="B2659" s="1" t="s">
        <v>540</v>
      </c>
      <c r="C2659" s="1" t="s">
        <v>24</v>
      </c>
      <c r="D2659" s="3">
        <f t="shared" si="387"/>
        <v>7716</v>
      </c>
      <c r="E2659" s="2">
        <f t="shared" ref="E2659:E2690" si="389">DATEVALUE("1-2-2015")</f>
        <v>42036</v>
      </c>
      <c r="F2659" s="2">
        <f t="shared" si="388"/>
        <v>44377</v>
      </c>
    </row>
    <row r="2660" spans="1:6" x14ac:dyDescent="0.25">
      <c r="A2660" s="1" t="s">
        <v>431</v>
      </c>
      <c r="B2660" s="1" t="s">
        <v>540</v>
      </c>
      <c r="C2660" s="1" t="s">
        <v>50</v>
      </c>
      <c r="D2660" s="3">
        <f t="shared" si="387"/>
        <v>7716</v>
      </c>
      <c r="E2660" s="2">
        <f t="shared" si="389"/>
        <v>42036</v>
      </c>
      <c r="F2660" s="2">
        <f t="shared" si="388"/>
        <v>44377</v>
      </c>
    </row>
    <row r="2661" spans="1:6" x14ac:dyDescent="0.25">
      <c r="A2661" s="1" t="s">
        <v>431</v>
      </c>
      <c r="B2661" s="1" t="s">
        <v>540</v>
      </c>
      <c r="C2661" s="1" t="s">
        <v>70</v>
      </c>
      <c r="D2661" s="3">
        <f t="shared" si="387"/>
        <v>7716</v>
      </c>
      <c r="E2661" s="2">
        <f t="shared" si="389"/>
        <v>42036</v>
      </c>
      <c r="F2661" s="2">
        <f t="shared" si="388"/>
        <v>44377</v>
      </c>
    </row>
    <row r="2662" spans="1:6" x14ac:dyDescent="0.25">
      <c r="A2662" s="1" t="s">
        <v>431</v>
      </c>
      <c r="B2662" s="1" t="s">
        <v>540</v>
      </c>
      <c r="C2662" s="1" t="s">
        <v>26</v>
      </c>
      <c r="D2662" s="3">
        <f t="shared" si="387"/>
        <v>7716</v>
      </c>
      <c r="E2662" s="2">
        <f t="shared" si="389"/>
        <v>42036</v>
      </c>
      <c r="F2662" s="2">
        <f t="shared" si="388"/>
        <v>44377</v>
      </c>
    </row>
    <row r="2663" spans="1:6" x14ac:dyDescent="0.25">
      <c r="A2663" s="1" t="s">
        <v>431</v>
      </c>
      <c r="B2663" s="1" t="s">
        <v>540</v>
      </c>
      <c r="C2663" s="1" t="s">
        <v>421</v>
      </c>
      <c r="D2663" s="3">
        <f t="shared" si="387"/>
        <v>7716</v>
      </c>
      <c r="E2663" s="2">
        <f t="shared" si="389"/>
        <v>42036</v>
      </c>
      <c r="F2663" s="2">
        <f t="shared" si="388"/>
        <v>44377</v>
      </c>
    </row>
    <row r="2664" spans="1:6" x14ac:dyDescent="0.25">
      <c r="A2664" s="1" t="s">
        <v>431</v>
      </c>
      <c r="B2664" s="1" t="s">
        <v>540</v>
      </c>
      <c r="C2664" s="1" t="s">
        <v>100</v>
      </c>
      <c r="D2664" s="3">
        <f t="shared" si="387"/>
        <v>7716</v>
      </c>
      <c r="E2664" s="2">
        <f t="shared" si="389"/>
        <v>42036</v>
      </c>
      <c r="F2664" s="2">
        <f t="shared" si="388"/>
        <v>44377</v>
      </c>
    </row>
    <row r="2665" spans="1:6" x14ac:dyDescent="0.25">
      <c r="A2665" s="1" t="s">
        <v>431</v>
      </c>
      <c r="B2665" s="1" t="s">
        <v>540</v>
      </c>
      <c r="C2665" s="1" t="s">
        <v>495</v>
      </c>
      <c r="D2665" s="3">
        <f t="shared" si="387"/>
        <v>7716</v>
      </c>
      <c r="E2665" s="2">
        <f t="shared" si="389"/>
        <v>42036</v>
      </c>
      <c r="F2665" s="2">
        <f t="shared" si="388"/>
        <v>44377</v>
      </c>
    </row>
    <row r="2666" spans="1:6" x14ac:dyDescent="0.25">
      <c r="A2666" s="1" t="s">
        <v>431</v>
      </c>
      <c r="B2666" s="1" t="s">
        <v>540</v>
      </c>
      <c r="C2666" s="1" t="s">
        <v>422</v>
      </c>
      <c r="D2666" s="3">
        <f t="shared" si="387"/>
        <v>7716</v>
      </c>
      <c r="E2666" s="2">
        <f t="shared" si="389"/>
        <v>42036</v>
      </c>
      <c r="F2666" s="2">
        <f t="shared" si="388"/>
        <v>44377</v>
      </c>
    </row>
    <row r="2667" spans="1:6" x14ac:dyDescent="0.25">
      <c r="A2667" s="1" t="s">
        <v>431</v>
      </c>
      <c r="B2667" s="1" t="s">
        <v>540</v>
      </c>
      <c r="C2667" s="1" t="s">
        <v>72</v>
      </c>
      <c r="D2667" s="3">
        <f t="shared" si="387"/>
        <v>7716</v>
      </c>
      <c r="E2667" s="2">
        <f t="shared" si="389"/>
        <v>42036</v>
      </c>
      <c r="F2667" s="2">
        <f t="shared" si="388"/>
        <v>44377</v>
      </c>
    </row>
    <row r="2668" spans="1:6" x14ac:dyDescent="0.25">
      <c r="A2668" s="1" t="s">
        <v>431</v>
      </c>
      <c r="B2668" s="1" t="s">
        <v>540</v>
      </c>
      <c r="C2668" s="1" t="s">
        <v>337</v>
      </c>
      <c r="D2668" s="3">
        <f t="shared" si="387"/>
        <v>7716</v>
      </c>
      <c r="E2668" s="2">
        <f t="shared" si="389"/>
        <v>42036</v>
      </c>
      <c r="F2668" s="2">
        <f t="shared" si="388"/>
        <v>44377</v>
      </c>
    </row>
    <row r="2669" spans="1:6" x14ac:dyDescent="0.25">
      <c r="A2669" s="1" t="s">
        <v>431</v>
      </c>
      <c r="B2669" s="1" t="s">
        <v>540</v>
      </c>
      <c r="C2669" s="1" t="s">
        <v>103</v>
      </c>
      <c r="D2669" s="3">
        <f t="shared" si="387"/>
        <v>7716</v>
      </c>
      <c r="E2669" s="2">
        <f t="shared" si="389"/>
        <v>42036</v>
      </c>
      <c r="F2669" s="2">
        <f t="shared" si="388"/>
        <v>44377</v>
      </c>
    </row>
    <row r="2670" spans="1:6" x14ac:dyDescent="0.25">
      <c r="A2670" s="1" t="s">
        <v>431</v>
      </c>
      <c r="B2670" s="1" t="s">
        <v>540</v>
      </c>
      <c r="C2670" s="1" t="s">
        <v>294</v>
      </c>
      <c r="D2670" s="3">
        <f t="shared" si="387"/>
        <v>7716</v>
      </c>
      <c r="E2670" s="2">
        <f t="shared" si="389"/>
        <v>42036</v>
      </c>
      <c r="F2670" s="2">
        <f t="shared" si="388"/>
        <v>44377</v>
      </c>
    </row>
    <row r="2671" spans="1:6" x14ac:dyDescent="0.25">
      <c r="A2671" s="1" t="s">
        <v>431</v>
      </c>
      <c r="B2671" s="1" t="s">
        <v>540</v>
      </c>
      <c r="C2671" s="1" t="s">
        <v>73</v>
      </c>
      <c r="D2671" s="3">
        <f t="shared" si="387"/>
        <v>7716</v>
      </c>
      <c r="E2671" s="2">
        <f t="shared" si="389"/>
        <v>42036</v>
      </c>
      <c r="F2671" s="2">
        <f t="shared" si="388"/>
        <v>44377</v>
      </c>
    </row>
    <row r="2672" spans="1:6" x14ac:dyDescent="0.25">
      <c r="A2672" s="1" t="s">
        <v>431</v>
      </c>
      <c r="B2672" s="1" t="s">
        <v>540</v>
      </c>
      <c r="C2672" s="1" t="s">
        <v>296</v>
      </c>
      <c r="D2672" s="3">
        <f t="shared" si="387"/>
        <v>7716</v>
      </c>
      <c r="E2672" s="2">
        <f t="shared" si="389"/>
        <v>42036</v>
      </c>
      <c r="F2672" s="2">
        <f t="shared" si="388"/>
        <v>44377</v>
      </c>
    </row>
    <row r="2673" spans="1:6" x14ac:dyDescent="0.25">
      <c r="A2673" s="1" t="s">
        <v>431</v>
      </c>
      <c r="B2673" s="1" t="s">
        <v>540</v>
      </c>
      <c r="C2673" s="1" t="s">
        <v>297</v>
      </c>
      <c r="D2673" s="3">
        <f t="shared" si="387"/>
        <v>7716</v>
      </c>
      <c r="E2673" s="2">
        <f t="shared" si="389"/>
        <v>42036</v>
      </c>
      <c r="F2673" s="2">
        <f t="shared" si="388"/>
        <v>44377</v>
      </c>
    </row>
    <row r="2674" spans="1:6" x14ac:dyDescent="0.25">
      <c r="A2674" s="1" t="s">
        <v>431</v>
      </c>
      <c r="B2674" s="1" t="s">
        <v>540</v>
      </c>
      <c r="C2674" s="1" t="s">
        <v>298</v>
      </c>
      <c r="D2674" s="3">
        <f t="shared" si="387"/>
        <v>7716</v>
      </c>
      <c r="E2674" s="2">
        <f t="shared" si="389"/>
        <v>42036</v>
      </c>
      <c r="F2674" s="2">
        <f t="shared" si="388"/>
        <v>44377</v>
      </c>
    </row>
    <row r="2675" spans="1:6" x14ac:dyDescent="0.25">
      <c r="A2675" s="1" t="s">
        <v>431</v>
      </c>
      <c r="B2675" s="1" t="s">
        <v>540</v>
      </c>
      <c r="C2675" s="1" t="s">
        <v>299</v>
      </c>
      <c r="D2675" s="3">
        <f t="shared" si="387"/>
        <v>7716</v>
      </c>
      <c r="E2675" s="2">
        <f t="shared" si="389"/>
        <v>42036</v>
      </c>
      <c r="F2675" s="2">
        <f t="shared" si="388"/>
        <v>44377</v>
      </c>
    </row>
    <row r="2676" spans="1:6" x14ac:dyDescent="0.25">
      <c r="A2676" s="1" t="s">
        <v>431</v>
      </c>
      <c r="B2676" s="1" t="s">
        <v>540</v>
      </c>
      <c r="C2676" s="1" t="s">
        <v>300</v>
      </c>
      <c r="D2676" s="3">
        <f t="shared" si="387"/>
        <v>7716</v>
      </c>
      <c r="E2676" s="2">
        <f t="shared" si="389"/>
        <v>42036</v>
      </c>
      <c r="F2676" s="2">
        <f t="shared" si="388"/>
        <v>44377</v>
      </c>
    </row>
    <row r="2677" spans="1:6" x14ac:dyDescent="0.25">
      <c r="A2677" s="1" t="s">
        <v>431</v>
      </c>
      <c r="B2677" s="1" t="s">
        <v>540</v>
      </c>
      <c r="C2677" s="1" t="s">
        <v>301</v>
      </c>
      <c r="D2677" s="3">
        <f t="shared" si="387"/>
        <v>7716</v>
      </c>
      <c r="E2677" s="2">
        <f t="shared" si="389"/>
        <v>42036</v>
      </c>
      <c r="F2677" s="2">
        <f t="shared" si="388"/>
        <v>44377</v>
      </c>
    </row>
    <row r="2678" spans="1:6" x14ac:dyDescent="0.25">
      <c r="A2678" s="1" t="s">
        <v>431</v>
      </c>
      <c r="B2678" s="1" t="s">
        <v>540</v>
      </c>
      <c r="C2678" s="1" t="s">
        <v>302</v>
      </c>
      <c r="D2678" s="3">
        <f t="shared" si="387"/>
        <v>7716</v>
      </c>
      <c r="E2678" s="2">
        <f t="shared" si="389"/>
        <v>42036</v>
      </c>
      <c r="F2678" s="2">
        <f t="shared" si="388"/>
        <v>44377</v>
      </c>
    </row>
    <row r="2679" spans="1:6" x14ac:dyDescent="0.25">
      <c r="A2679" s="1" t="s">
        <v>431</v>
      </c>
      <c r="B2679" s="1" t="s">
        <v>540</v>
      </c>
      <c r="C2679" s="1" t="s">
        <v>52</v>
      </c>
      <c r="D2679" s="3">
        <f t="shared" si="387"/>
        <v>7716</v>
      </c>
      <c r="E2679" s="2">
        <f t="shared" si="389"/>
        <v>42036</v>
      </c>
      <c r="F2679" s="2">
        <f t="shared" si="388"/>
        <v>44377</v>
      </c>
    </row>
    <row r="2680" spans="1:6" x14ac:dyDescent="0.25">
      <c r="A2680" s="1" t="s">
        <v>431</v>
      </c>
      <c r="B2680" s="1" t="s">
        <v>540</v>
      </c>
      <c r="C2680" s="1" t="s">
        <v>338</v>
      </c>
      <c r="D2680" s="3">
        <f t="shared" si="387"/>
        <v>7716</v>
      </c>
      <c r="E2680" s="2">
        <f t="shared" si="389"/>
        <v>42036</v>
      </c>
      <c r="F2680" s="2">
        <f t="shared" si="388"/>
        <v>44377</v>
      </c>
    </row>
    <row r="2681" spans="1:6" x14ac:dyDescent="0.25">
      <c r="A2681" s="1" t="s">
        <v>431</v>
      </c>
      <c r="B2681" s="1" t="s">
        <v>540</v>
      </c>
      <c r="C2681" s="1" t="s">
        <v>160</v>
      </c>
      <c r="D2681" s="3">
        <f t="shared" ref="D2681:D2690" si="390">VALUE("7716")</f>
        <v>7716</v>
      </c>
      <c r="E2681" s="2">
        <f t="shared" si="389"/>
        <v>42036</v>
      </c>
      <c r="F2681" s="2">
        <f t="shared" ref="F2681:F2690" si="391">DATEVALUE("30-6-2021")</f>
        <v>44377</v>
      </c>
    </row>
    <row r="2682" spans="1:6" x14ac:dyDescent="0.25">
      <c r="A2682" s="1" t="s">
        <v>431</v>
      </c>
      <c r="B2682" s="1" t="s">
        <v>540</v>
      </c>
      <c r="C2682" s="1" t="s">
        <v>479</v>
      </c>
      <c r="D2682" s="3">
        <f t="shared" si="390"/>
        <v>7716</v>
      </c>
      <c r="E2682" s="2">
        <f t="shared" si="389"/>
        <v>42036</v>
      </c>
      <c r="F2682" s="2">
        <f t="shared" si="391"/>
        <v>44377</v>
      </c>
    </row>
    <row r="2683" spans="1:6" x14ac:dyDescent="0.25">
      <c r="A2683" s="1" t="s">
        <v>431</v>
      </c>
      <c r="B2683" s="1" t="s">
        <v>540</v>
      </c>
      <c r="C2683" s="1" t="s">
        <v>541</v>
      </c>
      <c r="D2683" s="3">
        <f t="shared" si="390"/>
        <v>7716</v>
      </c>
      <c r="E2683" s="2">
        <f t="shared" si="389"/>
        <v>42036</v>
      </c>
      <c r="F2683" s="2">
        <f t="shared" si="391"/>
        <v>44377</v>
      </c>
    </row>
    <row r="2684" spans="1:6" x14ac:dyDescent="0.25">
      <c r="A2684" s="1" t="s">
        <v>431</v>
      </c>
      <c r="B2684" s="1" t="s">
        <v>540</v>
      </c>
      <c r="C2684" s="1" t="s">
        <v>54</v>
      </c>
      <c r="D2684" s="3">
        <f t="shared" si="390"/>
        <v>7716</v>
      </c>
      <c r="E2684" s="2">
        <f t="shared" si="389"/>
        <v>42036</v>
      </c>
      <c r="F2684" s="2">
        <f t="shared" si="391"/>
        <v>44377</v>
      </c>
    </row>
    <row r="2685" spans="1:6" x14ac:dyDescent="0.25">
      <c r="A2685" s="1" t="s">
        <v>431</v>
      </c>
      <c r="B2685" s="1" t="s">
        <v>540</v>
      </c>
      <c r="C2685" s="1" t="s">
        <v>34</v>
      </c>
      <c r="D2685" s="3">
        <f t="shared" si="390"/>
        <v>7716</v>
      </c>
      <c r="E2685" s="2">
        <f t="shared" si="389"/>
        <v>42036</v>
      </c>
      <c r="F2685" s="2">
        <f t="shared" si="391"/>
        <v>44377</v>
      </c>
    </row>
    <row r="2686" spans="1:6" x14ac:dyDescent="0.25">
      <c r="A2686" s="1" t="s">
        <v>431</v>
      </c>
      <c r="B2686" s="1" t="s">
        <v>540</v>
      </c>
      <c r="C2686" s="1" t="s">
        <v>490</v>
      </c>
      <c r="D2686" s="3">
        <f t="shared" si="390"/>
        <v>7716</v>
      </c>
      <c r="E2686" s="2">
        <f t="shared" si="389"/>
        <v>42036</v>
      </c>
      <c r="F2686" s="2">
        <f t="shared" si="391"/>
        <v>44377</v>
      </c>
    </row>
    <row r="2687" spans="1:6" x14ac:dyDescent="0.25">
      <c r="A2687" s="1" t="s">
        <v>431</v>
      </c>
      <c r="B2687" s="1" t="s">
        <v>540</v>
      </c>
      <c r="C2687" s="1" t="s">
        <v>362</v>
      </c>
      <c r="D2687" s="3">
        <f t="shared" si="390"/>
        <v>7716</v>
      </c>
      <c r="E2687" s="2">
        <f t="shared" si="389"/>
        <v>42036</v>
      </c>
      <c r="F2687" s="2">
        <f t="shared" si="391"/>
        <v>44377</v>
      </c>
    </row>
    <row r="2688" spans="1:6" x14ac:dyDescent="0.25">
      <c r="A2688" s="1" t="s">
        <v>431</v>
      </c>
      <c r="B2688" s="1" t="s">
        <v>540</v>
      </c>
      <c r="C2688" s="1" t="s">
        <v>35</v>
      </c>
      <c r="D2688" s="3">
        <f t="shared" si="390"/>
        <v>7716</v>
      </c>
      <c r="E2688" s="2">
        <f t="shared" si="389"/>
        <v>42036</v>
      </c>
      <c r="F2688" s="2">
        <f t="shared" si="391"/>
        <v>44377</v>
      </c>
    </row>
    <row r="2689" spans="1:6" x14ac:dyDescent="0.25">
      <c r="A2689" s="1" t="s">
        <v>431</v>
      </c>
      <c r="B2689" s="1" t="s">
        <v>540</v>
      </c>
      <c r="C2689" s="1" t="s">
        <v>36</v>
      </c>
      <c r="D2689" s="3">
        <f t="shared" si="390"/>
        <v>7716</v>
      </c>
      <c r="E2689" s="2">
        <f t="shared" si="389"/>
        <v>42036</v>
      </c>
      <c r="F2689" s="2">
        <f t="shared" si="391"/>
        <v>44377</v>
      </c>
    </row>
    <row r="2690" spans="1:6" x14ac:dyDescent="0.25">
      <c r="A2690" s="1" t="s">
        <v>431</v>
      </c>
      <c r="B2690" s="1" t="s">
        <v>540</v>
      </c>
      <c r="C2690" s="1" t="s">
        <v>170</v>
      </c>
      <c r="D2690" s="3">
        <f t="shared" si="390"/>
        <v>7716</v>
      </c>
      <c r="E2690" s="2">
        <f t="shared" si="389"/>
        <v>42036</v>
      </c>
      <c r="F2690" s="2">
        <f t="shared" si="391"/>
        <v>44377</v>
      </c>
    </row>
    <row r="2691" spans="1:6" x14ac:dyDescent="0.25">
      <c r="A2691" s="1" t="s">
        <v>431</v>
      </c>
      <c r="B2691" s="1" t="s">
        <v>2184</v>
      </c>
      <c r="C2691" s="1" t="s">
        <v>202</v>
      </c>
      <c r="D2691" s="3">
        <f t="shared" ref="D2691:D2704" si="392">VALUE("7708")</f>
        <v>7708</v>
      </c>
      <c r="E2691" s="2">
        <f t="shared" ref="E2691:E2704" si="393">DATEVALUE("1-1-2015")</f>
        <v>42005</v>
      </c>
      <c r="F2691" s="2">
        <f t="shared" ref="F2691:F2704" si="394">DATEVALUE("31-3-2018")</f>
        <v>43190</v>
      </c>
    </row>
    <row r="2692" spans="1:6" x14ac:dyDescent="0.25">
      <c r="A2692" s="1" t="s">
        <v>431</v>
      </c>
      <c r="B2692" s="1" t="s">
        <v>2184</v>
      </c>
      <c r="C2692" s="1" t="s">
        <v>46</v>
      </c>
      <c r="D2692" s="3">
        <f t="shared" si="392"/>
        <v>7708</v>
      </c>
      <c r="E2692" s="2">
        <f t="shared" si="393"/>
        <v>42005</v>
      </c>
      <c r="F2692" s="2">
        <f t="shared" si="394"/>
        <v>43190</v>
      </c>
    </row>
    <row r="2693" spans="1:6" x14ac:dyDescent="0.25">
      <c r="A2693" s="1" t="s">
        <v>431</v>
      </c>
      <c r="B2693" s="1" t="s">
        <v>2184</v>
      </c>
      <c r="C2693" s="1" t="s">
        <v>66</v>
      </c>
      <c r="D2693" s="3">
        <f t="shared" si="392"/>
        <v>7708</v>
      </c>
      <c r="E2693" s="2">
        <f t="shared" si="393"/>
        <v>42005</v>
      </c>
      <c r="F2693" s="2">
        <f t="shared" si="394"/>
        <v>43190</v>
      </c>
    </row>
    <row r="2694" spans="1:6" x14ac:dyDescent="0.25">
      <c r="A2694" s="1" t="s">
        <v>431</v>
      </c>
      <c r="B2694" s="1" t="s">
        <v>2184</v>
      </c>
      <c r="C2694" s="1" t="s">
        <v>17</v>
      </c>
      <c r="D2694" s="3">
        <f t="shared" si="392"/>
        <v>7708</v>
      </c>
      <c r="E2694" s="2">
        <f t="shared" si="393"/>
        <v>42005</v>
      </c>
      <c r="F2694" s="2">
        <f t="shared" si="394"/>
        <v>43190</v>
      </c>
    </row>
    <row r="2695" spans="1:6" x14ac:dyDescent="0.25">
      <c r="A2695" s="1" t="s">
        <v>431</v>
      </c>
      <c r="B2695" s="1" t="s">
        <v>2184</v>
      </c>
      <c r="C2695" s="1" t="s">
        <v>22</v>
      </c>
      <c r="D2695" s="3">
        <f t="shared" si="392"/>
        <v>7708</v>
      </c>
      <c r="E2695" s="2">
        <f t="shared" si="393"/>
        <v>42005</v>
      </c>
      <c r="F2695" s="2">
        <f t="shared" si="394"/>
        <v>43190</v>
      </c>
    </row>
    <row r="2696" spans="1:6" x14ac:dyDescent="0.25">
      <c r="A2696" s="1" t="s">
        <v>431</v>
      </c>
      <c r="B2696" s="1" t="s">
        <v>2184</v>
      </c>
      <c r="C2696" s="1" t="s">
        <v>146</v>
      </c>
      <c r="D2696" s="3">
        <f t="shared" si="392"/>
        <v>7708</v>
      </c>
      <c r="E2696" s="2">
        <f t="shared" si="393"/>
        <v>42005</v>
      </c>
      <c r="F2696" s="2">
        <f t="shared" si="394"/>
        <v>43190</v>
      </c>
    </row>
    <row r="2697" spans="1:6" x14ac:dyDescent="0.25">
      <c r="A2697" s="1" t="s">
        <v>431</v>
      </c>
      <c r="B2697" s="1" t="s">
        <v>2184</v>
      </c>
      <c r="C2697" s="1" t="s">
        <v>67</v>
      </c>
      <c r="D2697" s="3">
        <f t="shared" si="392"/>
        <v>7708</v>
      </c>
      <c r="E2697" s="2">
        <f t="shared" si="393"/>
        <v>42005</v>
      </c>
      <c r="F2697" s="2">
        <f t="shared" si="394"/>
        <v>43190</v>
      </c>
    </row>
    <row r="2698" spans="1:6" x14ac:dyDescent="0.25">
      <c r="A2698" s="1" t="s">
        <v>431</v>
      </c>
      <c r="B2698" s="1" t="s">
        <v>2184</v>
      </c>
      <c r="C2698" s="1" t="s">
        <v>148</v>
      </c>
      <c r="D2698" s="3">
        <f t="shared" si="392"/>
        <v>7708</v>
      </c>
      <c r="E2698" s="2">
        <f t="shared" si="393"/>
        <v>42005</v>
      </c>
      <c r="F2698" s="2">
        <f t="shared" si="394"/>
        <v>43190</v>
      </c>
    </row>
    <row r="2699" spans="1:6" x14ac:dyDescent="0.25">
      <c r="A2699" s="1" t="s">
        <v>431</v>
      </c>
      <c r="B2699" s="1" t="s">
        <v>2184</v>
      </c>
      <c r="C2699" s="1" t="s">
        <v>149</v>
      </c>
      <c r="D2699" s="3">
        <f t="shared" si="392"/>
        <v>7708</v>
      </c>
      <c r="E2699" s="2">
        <f t="shared" si="393"/>
        <v>42005</v>
      </c>
      <c r="F2699" s="2">
        <f t="shared" si="394"/>
        <v>43190</v>
      </c>
    </row>
    <row r="2700" spans="1:6" x14ac:dyDescent="0.25">
      <c r="A2700" s="1" t="s">
        <v>431</v>
      </c>
      <c r="B2700" s="1" t="s">
        <v>2184</v>
      </c>
      <c r="C2700" s="1" t="s">
        <v>150</v>
      </c>
      <c r="D2700" s="3">
        <f t="shared" si="392"/>
        <v>7708</v>
      </c>
      <c r="E2700" s="2">
        <f t="shared" si="393"/>
        <v>42005</v>
      </c>
      <c r="F2700" s="2">
        <f t="shared" si="394"/>
        <v>43190</v>
      </c>
    </row>
    <row r="2701" spans="1:6" x14ac:dyDescent="0.25">
      <c r="A2701" s="1" t="s">
        <v>431</v>
      </c>
      <c r="B2701" s="1" t="s">
        <v>2184</v>
      </c>
      <c r="C2701" s="1" t="s">
        <v>26</v>
      </c>
      <c r="D2701" s="3">
        <f t="shared" si="392"/>
        <v>7708</v>
      </c>
      <c r="E2701" s="2">
        <f t="shared" si="393"/>
        <v>42005</v>
      </c>
      <c r="F2701" s="2">
        <f t="shared" si="394"/>
        <v>43190</v>
      </c>
    </row>
    <row r="2702" spans="1:6" x14ac:dyDescent="0.25">
      <c r="A2702" s="1" t="s">
        <v>431</v>
      </c>
      <c r="B2702" s="1" t="s">
        <v>2184</v>
      </c>
      <c r="C2702" s="1" t="s">
        <v>207</v>
      </c>
      <c r="D2702" s="3">
        <f t="shared" si="392"/>
        <v>7708</v>
      </c>
      <c r="E2702" s="2">
        <f t="shared" si="393"/>
        <v>42005</v>
      </c>
      <c r="F2702" s="2">
        <f t="shared" si="394"/>
        <v>43190</v>
      </c>
    </row>
    <row r="2703" spans="1:6" x14ac:dyDescent="0.25">
      <c r="A2703" s="1" t="s">
        <v>431</v>
      </c>
      <c r="B2703" s="1" t="s">
        <v>2184</v>
      </c>
      <c r="C2703" s="1" t="s">
        <v>160</v>
      </c>
      <c r="D2703" s="3">
        <f t="shared" si="392"/>
        <v>7708</v>
      </c>
      <c r="E2703" s="2">
        <f t="shared" si="393"/>
        <v>42005</v>
      </c>
      <c r="F2703" s="2">
        <f t="shared" si="394"/>
        <v>43190</v>
      </c>
    </row>
    <row r="2704" spans="1:6" x14ac:dyDescent="0.25">
      <c r="A2704" s="1" t="s">
        <v>431</v>
      </c>
      <c r="B2704" s="1" t="s">
        <v>2184</v>
      </c>
      <c r="C2704" s="1" t="s">
        <v>164</v>
      </c>
      <c r="D2704" s="3">
        <f t="shared" si="392"/>
        <v>7708</v>
      </c>
      <c r="E2704" s="2">
        <f t="shared" si="393"/>
        <v>42005</v>
      </c>
      <c r="F2704" s="2">
        <f t="shared" si="394"/>
        <v>43190</v>
      </c>
    </row>
    <row r="2705" spans="1:6" x14ac:dyDescent="0.25">
      <c r="A2705" s="1" t="s">
        <v>431</v>
      </c>
      <c r="B2705" s="1" t="s">
        <v>1949</v>
      </c>
      <c r="C2705" s="1" t="s">
        <v>14</v>
      </c>
      <c r="D2705" s="3">
        <f t="shared" ref="D2705:D2714" si="395">VALUE("7699")</f>
        <v>7699</v>
      </c>
      <c r="E2705" s="2">
        <f t="shared" ref="E2705:E2714" si="396">DATEVALUE("1-12-2014")</f>
        <v>41974</v>
      </c>
      <c r="F2705" s="2">
        <f t="shared" ref="F2705:F2714" si="397">DATEVALUE("30-6-2018")</f>
        <v>43281</v>
      </c>
    </row>
    <row r="2706" spans="1:6" x14ac:dyDescent="0.25">
      <c r="A2706" s="1" t="s">
        <v>431</v>
      </c>
      <c r="B2706" s="1" t="s">
        <v>1949</v>
      </c>
      <c r="C2706" s="1" t="s">
        <v>15</v>
      </c>
      <c r="D2706" s="3">
        <f t="shared" si="395"/>
        <v>7699</v>
      </c>
      <c r="E2706" s="2">
        <f t="shared" si="396"/>
        <v>41974</v>
      </c>
      <c r="F2706" s="2">
        <f t="shared" si="397"/>
        <v>43281</v>
      </c>
    </row>
    <row r="2707" spans="1:6" x14ac:dyDescent="0.25">
      <c r="A2707" s="1" t="s">
        <v>431</v>
      </c>
      <c r="B2707" s="1" t="s">
        <v>1949</v>
      </c>
      <c r="C2707" s="1" t="s">
        <v>17</v>
      </c>
      <c r="D2707" s="3">
        <f t="shared" si="395"/>
        <v>7699</v>
      </c>
      <c r="E2707" s="2">
        <f t="shared" si="396"/>
        <v>41974</v>
      </c>
      <c r="F2707" s="2">
        <f t="shared" si="397"/>
        <v>43281</v>
      </c>
    </row>
    <row r="2708" spans="1:6" x14ac:dyDescent="0.25">
      <c r="A2708" s="1" t="s">
        <v>431</v>
      </c>
      <c r="B2708" s="1" t="s">
        <v>1949</v>
      </c>
      <c r="C2708" s="1" t="s">
        <v>67</v>
      </c>
      <c r="D2708" s="3">
        <f t="shared" si="395"/>
        <v>7699</v>
      </c>
      <c r="E2708" s="2">
        <f t="shared" si="396"/>
        <v>41974</v>
      </c>
      <c r="F2708" s="2">
        <f t="shared" si="397"/>
        <v>43281</v>
      </c>
    </row>
    <row r="2709" spans="1:6" x14ac:dyDescent="0.25">
      <c r="A2709" s="1" t="s">
        <v>431</v>
      </c>
      <c r="B2709" s="1" t="s">
        <v>1949</v>
      </c>
      <c r="C2709" s="1" t="s">
        <v>149</v>
      </c>
      <c r="D2709" s="3">
        <f t="shared" si="395"/>
        <v>7699</v>
      </c>
      <c r="E2709" s="2">
        <f t="shared" si="396"/>
        <v>41974</v>
      </c>
      <c r="F2709" s="2">
        <f t="shared" si="397"/>
        <v>43281</v>
      </c>
    </row>
    <row r="2710" spans="1:6" x14ac:dyDescent="0.25">
      <c r="A2710" s="1" t="s">
        <v>431</v>
      </c>
      <c r="B2710" s="1" t="s">
        <v>1949</v>
      </c>
      <c r="C2710" s="1" t="s">
        <v>150</v>
      </c>
      <c r="D2710" s="3">
        <f t="shared" si="395"/>
        <v>7699</v>
      </c>
      <c r="E2710" s="2">
        <f t="shared" si="396"/>
        <v>41974</v>
      </c>
      <c r="F2710" s="2">
        <f t="shared" si="397"/>
        <v>43281</v>
      </c>
    </row>
    <row r="2711" spans="1:6" x14ac:dyDescent="0.25">
      <c r="A2711" s="1" t="s">
        <v>431</v>
      </c>
      <c r="B2711" s="1" t="s">
        <v>1949</v>
      </c>
      <c r="C2711" s="1" t="s">
        <v>172</v>
      </c>
      <c r="D2711" s="3">
        <f t="shared" si="395"/>
        <v>7699</v>
      </c>
      <c r="E2711" s="2">
        <f t="shared" si="396"/>
        <v>41974</v>
      </c>
      <c r="F2711" s="2">
        <f t="shared" si="397"/>
        <v>43281</v>
      </c>
    </row>
    <row r="2712" spans="1:6" x14ac:dyDescent="0.25">
      <c r="A2712" s="1" t="s">
        <v>431</v>
      </c>
      <c r="B2712" s="1" t="s">
        <v>1949</v>
      </c>
      <c r="C2712" s="1" t="s">
        <v>211</v>
      </c>
      <c r="D2712" s="3">
        <f t="shared" si="395"/>
        <v>7699</v>
      </c>
      <c r="E2712" s="2">
        <f t="shared" si="396"/>
        <v>41974</v>
      </c>
      <c r="F2712" s="2">
        <f t="shared" si="397"/>
        <v>43281</v>
      </c>
    </row>
    <row r="2713" spans="1:6" x14ac:dyDescent="0.25">
      <c r="A2713" s="1" t="s">
        <v>431</v>
      </c>
      <c r="B2713" s="1" t="s">
        <v>1949</v>
      </c>
      <c r="C2713" s="1" t="s">
        <v>207</v>
      </c>
      <c r="D2713" s="3">
        <f t="shared" si="395"/>
        <v>7699</v>
      </c>
      <c r="E2713" s="2">
        <f t="shared" si="396"/>
        <v>41974</v>
      </c>
      <c r="F2713" s="2">
        <f t="shared" si="397"/>
        <v>43281</v>
      </c>
    </row>
    <row r="2714" spans="1:6" x14ac:dyDescent="0.25">
      <c r="A2714" s="1" t="s">
        <v>431</v>
      </c>
      <c r="B2714" s="1" t="s">
        <v>1949</v>
      </c>
      <c r="C2714" s="1" t="s">
        <v>160</v>
      </c>
      <c r="D2714" s="3">
        <f t="shared" si="395"/>
        <v>7699</v>
      </c>
      <c r="E2714" s="2">
        <f t="shared" si="396"/>
        <v>41974</v>
      </c>
      <c r="F2714" s="2">
        <f t="shared" si="397"/>
        <v>43281</v>
      </c>
    </row>
    <row r="2715" spans="1:6" x14ac:dyDescent="0.25">
      <c r="A2715" s="1" t="s">
        <v>431</v>
      </c>
      <c r="B2715" s="1" t="s">
        <v>462</v>
      </c>
      <c r="C2715" s="1" t="s">
        <v>463</v>
      </c>
      <c r="D2715" s="3">
        <f t="shared" ref="D2715:D2746" si="398">VALUE("7663")</f>
        <v>7663</v>
      </c>
      <c r="E2715" s="2">
        <f t="shared" ref="E2715:E2746" si="399">DATEVALUE("1-9-2014")</f>
        <v>41883</v>
      </c>
      <c r="F2715" s="2">
        <f t="shared" ref="F2715:F2746" si="400">DATEVALUE("30-9-2021")</f>
        <v>44469</v>
      </c>
    </row>
    <row r="2716" spans="1:6" x14ac:dyDescent="0.25">
      <c r="A2716" s="1" t="s">
        <v>431</v>
      </c>
      <c r="B2716" s="1" t="s">
        <v>462</v>
      </c>
      <c r="C2716" s="1" t="s">
        <v>464</v>
      </c>
      <c r="D2716" s="3">
        <f t="shared" si="398"/>
        <v>7663</v>
      </c>
      <c r="E2716" s="2">
        <f t="shared" si="399"/>
        <v>41883</v>
      </c>
      <c r="F2716" s="2">
        <f t="shared" si="400"/>
        <v>44469</v>
      </c>
    </row>
    <row r="2717" spans="1:6" x14ac:dyDescent="0.25">
      <c r="A2717" s="1" t="s">
        <v>431</v>
      </c>
      <c r="B2717" s="1" t="s">
        <v>462</v>
      </c>
      <c r="C2717" s="1" t="s">
        <v>465</v>
      </c>
      <c r="D2717" s="3">
        <f t="shared" si="398"/>
        <v>7663</v>
      </c>
      <c r="E2717" s="2">
        <f t="shared" si="399"/>
        <v>41883</v>
      </c>
      <c r="F2717" s="2">
        <f t="shared" si="400"/>
        <v>44469</v>
      </c>
    </row>
    <row r="2718" spans="1:6" x14ac:dyDescent="0.25">
      <c r="A2718" s="1" t="s">
        <v>431</v>
      </c>
      <c r="B2718" s="1" t="s">
        <v>462</v>
      </c>
      <c r="C2718" s="1" t="s">
        <v>39</v>
      </c>
      <c r="D2718" s="3">
        <f t="shared" si="398"/>
        <v>7663</v>
      </c>
      <c r="E2718" s="2">
        <f t="shared" si="399"/>
        <v>41883</v>
      </c>
      <c r="F2718" s="2">
        <f t="shared" si="400"/>
        <v>44469</v>
      </c>
    </row>
    <row r="2719" spans="1:6" x14ac:dyDescent="0.25">
      <c r="A2719" s="1" t="s">
        <v>431</v>
      </c>
      <c r="B2719" s="1" t="s">
        <v>462</v>
      </c>
      <c r="C2719" s="1" t="s">
        <v>40</v>
      </c>
      <c r="D2719" s="3">
        <f t="shared" si="398"/>
        <v>7663</v>
      </c>
      <c r="E2719" s="2">
        <f t="shared" si="399"/>
        <v>41883</v>
      </c>
      <c r="F2719" s="2">
        <f t="shared" si="400"/>
        <v>44469</v>
      </c>
    </row>
    <row r="2720" spans="1:6" x14ac:dyDescent="0.25">
      <c r="A2720" s="1" t="s">
        <v>431</v>
      </c>
      <c r="B2720" s="1" t="s">
        <v>462</v>
      </c>
      <c r="C2720" s="1" t="s">
        <v>41</v>
      </c>
      <c r="D2720" s="3">
        <f t="shared" si="398"/>
        <v>7663</v>
      </c>
      <c r="E2720" s="2">
        <f t="shared" si="399"/>
        <v>41883</v>
      </c>
      <c r="F2720" s="2">
        <f t="shared" si="400"/>
        <v>44469</v>
      </c>
    </row>
    <row r="2721" spans="1:6" x14ac:dyDescent="0.25">
      <c r="A2721" s="1" t="s">
        <v>431</v>
      </c>
      <c r="B2721" s="1" t="s">
        <v>462</v>
      </c>
      <c r="C2721" s="1" t="s">
        <v>8</v>
      </c>
      <c r="D2721" s="3">
        <f t="shared" si="398"/>
        <v>7663</v>
      </c>
      <c r="E2721" s="2">
        <f t="shared" si="399"/>
        <v>41883</v>
      </c>
      <c r="F2721" s="2">
        <f t="shared" si="400"/>
        <v>44469</v>
      </c>
    </row>
    <row r="2722" spans="1:6" x14ac:dyDescent="0.25">
      <c r="A2722" s="1" t="s">
        <v>431</v>
      </c>
      <c r="B2722" s="1" t="s">
        <v>462</v>
      </c>
      <c r="C2722" s="1" t="s">
        <v>9</v>
      </c>
      <c r="D2722" s="3">
        <f t="shared" si="398"/>
        <v>7663</v>
      </c>
      <c r="E2722" s="2">
        <f t="shared" si="399"/>
        <v>41883</v>
      </c>
      <c r="F2722" s="2">
        <f t="shared" si="400"/>
        <v>44469</v>
      </c>
    </row>
    <row r="2723" spans="1:6" x14ac:dyDescent="0.25">
      <c r="A2723" s="1" t="s">
        <v>431</v>
      </c>
      <c r="B2723" s="1" t="s">
        <v>462</v>
      </c>
      <c r="C2723" s="1" t="s">
        <v>10</v>
      </c>
      <c r="D2723" s="3">
        <f t="shared" si="398"/>
        <v>7663</v>
      </c>
      <c r="E2723" s="2">
        <f t="shared" si="399"/>
        <v>41883</v>
      </c>
      <c r="F2723" s="2">
        <f t="shared" si="400"/>
        <v>44469</v>
      </c>
    </row>
    <row r="2724" spans="1:6" x14ac:dyDescent="0.25">
      <c r="A2724" s="1" t="s">
        <v>431</v>
      </c>
      <c r="B2724" s="1" t="s">
        <v>462</v>
      </c>
      <c r="C2724" s="1" t="s">
        <v>11</v>
      </c>
      <c r="D2724" s="3">
        <f t="shared" si="398"/>
        <v>7663</v>
      </c>
      <c r="E2724" s="2">
        <f t="shared" si="399"/>
        <v>41883</v>
      </c>
      <c r="F2724" s="2">
        <f t="shared" si="400"/>
        <v>44469</v>
      </c>
    </row>
    <row r="2725" spans="1:6" x14ac:dyDescent="0.25">
      <c r="A2725" s="1" t="s">
        <v>431</v>
      </c>
      <c r="B2725" s="1" t="s">
        <v>462</v>
      </c>
      <c r="C2725" s="1" t="s">
        <v>61</v>
      </c>
      <c r="D2725" s="3">
        <f t="shared" si="398"/>
        <v>7663</v>
      </c>
      <c r="E2725" s="2">
        <f t="shared" si="399"/>
        <v>41883</v>
      </c>
      <c r="F2725" s="2">
        <f t="shared" si="400"/>
        <v>44469</v>
      </c>
    </row>
    <row r="2726" spans="1:6" x14ac:dyDescent="0.25">
      <c r="A2726" s="1" t="s">
        <v>431</v>
      </c>
      <c r="B2726" s="1" t="s">
        <v>462</v>
      </c>
      <c r="C2726" s="1" t="s">
        <v>138</v>
      </c>
      <c r="D2726" s="3">
        <f t="shared" si="398"/>
        <v>7663</v>
      </c>
      <c r="E2726" s="2">
        <f t="shared" si="399"/>
        <v>41883</v>
      </c>
      <c r="F2726" s="2">
        <f t="shared" si="400"/>
        <v>44469</v>
      </c>
    </row>
    <row r="2727" spans="1:6" x14ac:dyDescent="0.25">
      <c r="A2727" s="1" t="s">
        <v>431</v>
      </c>
      <c r="B2727" s="1" t="s">
        <v>462</v>
      </c>
      <c r="C2727" s="1" t="s">
        <v>289</v>
      </c>
      <c r="D2727" s="3">
        <f t="shared" si="398"/>
        <v>7663</v>
      </c>
      <c r="E2727" s="2">
        <f t="shared" si="399"/>
        <v>41883</v>
      </c>
      <c r="F2727" s="2">
        <f t="shared" si="400"/>
        <v>44469</v>
      </c>
    </row>
    <row r="2728" spans="1:6" x14ac:dyDescent="0.25">
      <c r="A2728" s="1" t="s">
        <v>431</v>
      </c>
      <c r="B2728" s="1" t="s">
        <v>462</v>
      </c>
      <c r="C2728" s="1" t="s">
        <v>139</v>
      </c>
      <c r="D2728" s="3">
        <f t="shared" si="398"/>
        <v>7663</v>
      </c>
      <c r="E2728" s="2">
        <f t="shared" si="399"/>
        <v>41883</v>
      </c>
      <c r="F2728" s="2">
        <f t="shared" si="400"/>
        <v>44469</v>
      </c>
    </row>
    <row r="2729" spans="1:6" x14ac:dyDescent="0.25">
      <c r="A2729" s="1" t="s">
        <v>431</v>
      </c>
      <c r="B2729" s="1" t="s">
        <v>462</v>
      </c>
      <c r="C2729" s="1" t="s">
        <v>184</v>
      </c>
      <c r="D2729" s="3">
        <f t="shared" si="398"/>
        <v>7663</v>
      </c>
      <c r="E2729" s="2">
        <f t="shared" si="399"/>
        <v>41883</v>
      </c>
      <c r="F2729" s="2">
        <f t="shared" si="400"/>
        <v>44469</v>
      </c>
    </row>
    <row r="2730" spans="1:6" x14ac:dyDescent="0.25">
      <c r="A2730" s="1" t="s">
        <v>431</v>
      </c>
      <c r="B2730" s="1" t="s">
        <v>462</v>
      </c>
      <c r="C2730" s="1" t="s">
        <v>466</v>
      </c>
      <c r="D2730" s="3">
        <f t="shared" si="398"/>
        <v>7663</v>
      </c>
      <c r="E2730" s="2">
        <f t="shared" si="399"/>
        <v>41883</v>
      </c>
      <c r="F2730" s="2">
        <f t="shared" si="400"/>
        <v>44469</v>
      </c>
    </row>
    <row r="2731" spans="1:6" x14ac:dyDescent="0.25">
      <c r="A2731" s="1" t="s">
        <v>431</v>
      </c>
      <c r="B2731" s="1" t="s">
        <v>462</v>
      </c>
      <c r="C2731" s="1" t="s">
        <v>467</v>
      </c>
      <c r="D2731" s="3">
        <f t="shared" si="398"/>
        <v>7663</v>
      </c>
      <c r="E2731" s="2">
        <f t="shared" si="399"/>
        <v>41883</v>
      </c>
      <c r="F2731" s="2">
        <f t="shared" si="400"/>
        <v>44469</v>
      </c>
    </row>
    <row r="2732" spans="1:6" x14ac:dyDescent="0.25">
      <c r="A2732" s="1" t="s">
        <v>431</v>
      </c>
      <c r="B2732" s="1" t="s">
        <v>462</v>
      </c>
      <c r="C2732" s="1" t="s">
        <v>468</v>
      </c>
      <c r="D2732" s="3">
        <f t="shared" si="398"/>
        <v>7663</v>
      </c>
      <c r="E2732" s="2">
        <f t="shared" si="399"/>
        <v>41883</v>
      </c>
      <c r="F2732" s="2">
        <f t="shared" si="400"/>
        <v>44469</v>
      </c>
    </row>
    <row r="2733" spans="1:6" x14ac:dyDescent="0.25">
      <c r="A2733" s="1" t="s">
        <v>431</v>
      </c>
      <c r="B2733" s="1" t="s">
        <v>462</v>
      </c>
      <c r="C2733" s="1" t="s">
        <v>469</v>
      </c>
      <c r="D2733" s="3">
        <f t="shared" si="398"/>
        <v>7663</v>
      </c>
      <c r="E2733" s="2">
        <f t="shared" si="399"/>
        <v>41883</v>
      </c>
      <c r="F2733" s="2">
        <f t="shared" si="400"/>
        <v>44469</v>
      </c>
    </row>
    <row r="2734" spans="1:6" x14ac:dyDescent="0.25">
      <c r="A2734" s="1" t="s">
        <v>431</v>
      </c>
      <c r="B2734" s="1" t="s">
        <v>462</v>
      </c>
      <c r="C2734" s="1" t="s">
        <v>62</v>
      </c>
      <c r="D2734" s="3">
        <f t="shared" si="398"/>
        <v>7663</v>
      </c>
      <c r="E2734" s="2">
        <f t="shared" si="399"/>
        <v>41883</v>
      </c>
      <c r="F2734" s="2">
        <f t="shared" si="400"/>
        <v>44469</v>
      </c>
    </row>
    <row r="2735" spans="1:6" x14ac:dyDescent="0.25">
      <c r="A2735" s="1" t="s">
        <v>431</v>
      </c>
      <c r="B2735" s="1" t="s">
        <v>462</v>
      </c>
      <c r="C2735" s="1" t="s">
        <v>63</v>
      </c>
      <c r="D2735" s="3">
        <f t="shared" si="398"/>
        <v>7663</v>
      </c>
      <c r="E2735" s="2">
        <f t="shared" si="399"/>
        <v>41883</v>
      </c>
      <c r="F2735" s="2">
        <f t="shared" si="400"/>
        <v>44469</v>
      </c>
    </row>
    <row r="2736" spans="1:6" x14ac:dyDescent="0.25">
      <c r="A2736" s="1" t="s">
        <v>431</v>
      </c>
      <c r="B2736" s="1" t="s">
        <v>462</v>
      </c>
      <c r="C2736" s="1" t="s">
        <v>45</v>
      </c>
      <c r="D2736" s="3">
        <f t="shared" si="398"/>
        <v>7663</v>
      </c>
      <c r="E2736" s="2">
        <f t="shared" si="399"/>
        <v>41883</v>
      </c>
      <c r="F2736" s="2">
        <f t="shared" si="400"/>
        <v>44469</v>
      </c>
    </row>
    <row r="2737" spans="1:6" x14ac:dyDescent="0.25">
      <c r="A2737" s="1" t="s">
        <v>431</v>
      </c>
      <c r="B2737" s="1" t="s">
        <v>462</v>
      </c>
      <c r="C2737" s="1" t="s">
        <v>44</v>
      </c>
      <c r="D2737" s="3">
        <f t="shared" si="398"/>
        <v>7663</v>
      </c>
      <c r="E2737" s="2">
        <f t="shared" si="399"/>
        <v>41883</v>
      </c>
      <c r="F2737" s="2">
        <f t="shared" si="400"/>
        <v>44469</v>
      </c>
    </row>
    <row r="2738" spans="1:6" x14ac:dyDescent="0.25">
      <c r="A2738" s="1" t="s">
        <v>431</v>
      </c>
      <c r="B2738" s="1" t="s">
        <v>462</v>
      </c>
      <c r="C2738" s="1" t="s">
        <v>415</v>
      </c>
      <c r="D2738" s="3">
        <f t="shared" si="398"/>
        <v>7663</v>
      </c>
      <c r="E2738" s="2">
        <f t="shared" si="399"/>
        <v>41883</v>
      </c>
      <c r="F2738" s="2">
        <f t="shared" si="400"/>
        <v>44469</v>
      </c>
    </row>
    <row r="2739" spans="1:6" x14ac:dyDescent="0.25">
      <c r="A2739" s="1" t="s">
        <v>431</v>
      </c>
      <c r="B2739" s="1" t="s">
        <v>462</v>
      </c>
      <c r="C2739" s="1" t="s">
        <v>65</v>
      </c>
      <c r="D2739" s="3">
        <f t="shared" si="398"/>
        <v>7663</v>
      </c>
      <c r="E2739" s="2">
        <f t="shared" si="399"/>
        <v>41883</v>
      </c>
      <c r="F2739" s="2">
        <f t="shared" si="400"/>
        <v>44469</v>
      </c>
    </row>
    <row r="2740" spans="1:6" x14ac:dyDescent="0.25">
      <c r="A2740" s="1" t="s">
        <v>431</v>
      </c>
      <c r="B2740" s="1" t="s">
        <v>462</v>
      </c>
      <c r="C2740" s="1" t="s">
        <v>416</v>
      </c>
      <c r="D2740" s="3">
        <f t="shared" si="398"/>
        <v>7663</v>
      </c>
      <c r="E2740" s="2">
        <f t="shared" si="399"/>
        <v>41883</v>
      </c>
      <c r="F2740" s="2">
        <f t="shared" si="400"/>
        <v>44469</v>
      </c>
    </row>
    <row r="2741" spans="1:6" x14ac:dyDescent="0.25">
      <c r="A2741" s="1" t="s">
        <v>431</v>
      </c>
      <c r="B2741" s="1" t="s">
        <v>462</v>
      </c>
      <c r="C2741" s="1" t="s">
        <v>14</v>
      </c>
      <c r="D2741" s="3">
        <f t="shared" si="398"/>
        <v>7663</v>
      </c>
      <c r="E2741" s="2">
        <f t="shared" si="399"/>
        <v>41883</v>
      </c>
      <c r="F2741" s="2">
        <f t="shared" si="400"/>
        <v>44469</v>
      </c>
    </row>
    <row r="2742" spans="1:6" x14ac:dyDescent="0.25">
      <c r="A2742" s="1" t="s">
        <v>431</v>
      </c>
      <c r="B2742" s="1" t="s">
        <v>462</v>
      </c>
      <c r="C2742" s="1" t="s">
        <v>15</v>
      </c>
      <c r="D2742" s="3">
        <f t="shared" si="398"/>
        <v>7663</v>
      </c>
      <c r="E2742" s="2">
        <f t="shared" si="399"/>
        <v>41883</v>
      </c>
      <c r="F2742" s="2">
        <f t="shared" si="400"/>
        <v>44469</v>
      </c>
    </row>
    <row r="2743" spans="1:6" x14ac:dyDescent="0.25">
      <c r="A2743" s="1" t="s">
        <v>431</v>
      </c>
      <c r="B2743" s="1" t="s">
        <v>462</v>
      </c>
      <c r="C2743" s="1" t="s">
        <v>16</v>
      </c>
      <c r="D2743" s="3">
        <f t="shared" si="398"/>
        <v>7663</v>
      </c>
      <c r="E2743" s="2">
        <f t="shared" si="399"/>
        <v>41883</v>
      </c>
      <c r="F2743" s="2">
        <f t="shared" si="400"/>
        <v>44469</v>
      </c>
    </row>
    <row r="2744" spans="1:6" x14ac:dyDescent="0.25">
      <c r="A2744" s="1" t="s">
        <v>431</v>
      </c>
      <c r="B2744" s="1" t="s">
        <v>462</v>
      </c>
      <c r="C2744" s="1" t="s">
        <v>88</v>
      </c>
      <c r="D2744" s="3">
        <f t="shared" si="398"/>
        <v>7663</v>
      </c>
      <c r="E2744" s="2">
        <f t="shared" si="399"/>
        <v>41883</v>
      </c>
      <c r="F2744" s="2">
        <f t="shared" si="400"/>
        <v>44469</v>
      </c>
    </row>
    <row r="2745" spans="1:6" x14ac:dyDescent="0.25">
      <c r="A2745" s="1" t="s">
        <v>431</v>
      </c>
      <c r="B2745" s="1" t="s">
        <v>462</v>
      </c>
      <c r="C2745" s="1" t="s">
        <v>17</v>
      </c>
      <c r="D2745" s="3">
        <f t="shared" si="398"/>
        <v>7663</v>
      </c>
      <c r="E2745" s="2">
        <f t="shared" si="399"/>
        <v>41883</v>
      </c>
      <c r="F2745" s="2">
        <f t="shared" si="400"/>
        <v>44469</v>
      </c>
    </row>
    <row r="2746" spans="1:6" x14ac:dyDescent="0.25">
      <c r="A2746" s="1" t="s">
        <v>431</v>
      </c>
      <c r="B2746" s="1" t="s">
        <v>462</v>
      </c>
      <c r="C2746" s="1" t="s">
        <v>291</v>
      </c>
      <c r="D2746" s="3">
        <f t="shared" si="398"/>
        <v>7663</v>
      </c>
      <c r="E2746" s="2">
        <f t="shared" si="399"/>
        <v>41883</v>
      </c>
      <c r="F2746" s="2">
        <f t="shared" si="400"/>
        <v>44469</v>
      </c>
    </row>
    <row r="2747" spans="1:6" x14ac:dyDescent="0.25">
      <c r="A2747" s="1" t="s">
        <v>431</v>
      </c>
      <c r="B2747" s="1" t="s">
        <v>462</v>
      </c>
      <c r="C2747" s="1" t="s">
        <v>470</v>
      </c>
      <c r="D2747" s="3">
        <f t="shared" ref="D2747:D2778" si="401">VALUE("7663")</f>
        <v>7663</v>
      </c>
      <c r="E2747" s="2">
        <f t="shared" ref="E2747:E2778" si="402">DATEVALUE("1-9-2014")</f>
        <v>41883</v>
      </c>
      <c r="F2747" s="2">
        <f t="shared" ref="F2747:F2778" si="403">DATEVALUE("30-9-2021")</f>
        <v>44469</v>
      </c>
    </row>
    <row r="2748" spans="1:6" x14ac:dyDescent="0.25">
      <c r="A2748" s="1" t="s">
        <v>431</v>
      </c>
      <c r="B2748" s="1" t="s">
        <v>462</v>
      </c>
      <c r="C2748" s="1" t="s">
        <v>471</v>
      </c>
      <c r="D2748" s="3">
        <f t="shared" si="401"/>
        <v>7663</v>
      </c>
      <c r="E2748" s="2">
        <f t="shared" si="402"/>
        <v>41883</v>
      </c>
      <c r="F2748" s="2">
        <f t="shared" si="403"/>
        <v>44469</v>
      </c>
    </row>
    <row r="2749" spans="1:6" x14ac:dyDescent="0.25">
      <c r="A2749" s="1" t="s">
        <v>431</v>
      </c>
      <c r="B2749" s="1" t="s">
        <v>462</v>
      </c>
      <c r="C2749" s="1" t="s">
        <v>328</v>
      </c>
      <c r="D2749" s="3">
        <f t="shared" si="401"/>
        <v>7663</v>
      </c>
      <c r="E2749" s="2">
        <f t="shared" si="402"/>
        <v>41883</v>
      </c>
      <c r="F2749" s="2">
        <f t="shared" si="403"/>
        <v>44469</v>
      </c>
    </row>
    <row r="2750" spans="1:6" x14ac:dyDescent="0.25">
      <c r="A2750" s="1" t="s">
        <v>431</v>
      </c>
      <c r="B2750" s="1" t="s">
        <v>462</v>
      </c>
      <c r="C2750" s="1" t="s">
        <v>22</v>
      </c>
      <c r="D2750" s="3">
        <f t="shared" si="401"/>
        <v>7663</v>
      </c>
      <c r="E2750" s="2">
        <f t="shared" si="402"/>
        <v>41883</v>
      </c>
      <c r="F2750" s="2">
        <f t="shared" si="403"/>
        <v>44469</v>
      </c>
    </row>
    <row r="2751" spans="1:6" x14ac:dyDescent="0.25">
      <c r="A2751" s="1" t="s">
        <v>431</v>
      </c>
      <c r="B2751" s="1" t="s">
        <v>462</v>
      </c>
      <c r="C2751" s="1" t="s">
        <v>146</v>
      </c>
      <c r="D2751" s="3">
        <f t="shared" si="401"/>
        <v>7663</v>
      </c>
      <c r="E2751" s="2">
        <f t="shared" si="402"/>
        <v>41883</v>
      </c>
      <c r="F2751" s="2">
        <f t="shared" si="403"/>
        <v>44469</v>
      </c>
    </row>
    <row r="2752" spans="1:6" x14ac:dyDescent="0.25">
      <c r="A2752" s="1" t="s">
        <v>431</v>
      </c>
      <c r="B2752" s="1" t="s">
        <v>462</v>
      </c>
      <c r="C2752" s="1" t="s">
        <v>67</v>
      </c>
      <c r="D2752" s="3">
        <f t="shared" si="401"/>
        <v>7663</v>
      </c>
      <c r="E2752" s="2">
        <f t="shared" si="402"/>
        <v>41883</v>
      </c>
      <c r="F2752" s="2">
        <f t="shared" si="403"/>
        <v>44469</v>
      </c>
    </row>
    <row r="2753" spans="1:6" x14ac:dyDescent="0.25">
      <c r="A2753" s="1" t="s">
        <v>431</v>
      </c>
      <c r="B2753" s="1" t="s">
        <v>462</v>
      </c>
      <c r="C2753" s="1" t="s">
        <v>384</v>
      </c>
      <c r="D2753" s="3">
        <f t="shared" si="401"/>
        <v>7663</v>
      </c>
      <c r="E2753" s="2">
        <f t="shared" si="402"/>
        <v>41883</v>
      </c>
      <c r="F2753" s="2">
        <f t="shared" si="403"/>
        <v>44469</v>
      </c>
    </row>
    <row r="2754" spans="1:6" x14ac:dyDescent="0.25">
      <c r="A2754" s="1" t="s">
        <v>431</v>
      </c>
      <c r="B2754" s="1" t="s">
        <v>462</v>
      </c>
      <c r="C2754" s="1" t="s">
        <v>147</v>
      </c>
      <c r="D2754" s="3">
        <f t="shared" si="401"/>
        <v>7663</v>
      </c>
      <c r="E2754" s="2">
        <f t="shared" si="402"/>
        <v>41883</v>
      </c>
      <c r="F2754" s="2">
        <f t="shared" si="403"/>
        <v>44469</v>
      </c>
    </row>
    <row r="2755" spans="1:6" x14ac:dyDescent="0.25">
      <c r="A2755" s="1" t="s">
        <v>431</v>
      </c>
      <c r="B2755" s="1" t="s">
        <v>462</v>
      </c>
      <c r="C2755" s="1" t="s">
        <v>148</v>
      </c>
      <c r="D2755" s="3">
        <f t="shared" si="401"/>
        <v>7663</v>
      </c>
      <c r="E2755" s="2">
        <f t="shared" si="402"/>
        <v>41883</v>
      </c>
      <c r="F2755" s="2">
        <f t="shared" si="403"/>
        <v>44469</v>
      </c>
    </row>
    <row r="2756" spans="1:6" x14ac:dyDescent="0.25">
      <c r="A2756" s="1" t="s">
        <v>431</v>
      </c>
      <c r="B2756" s="1" t="s">
        <v>462</v>
      </c>
      <c r="C2756" s="1" t="s">
        <v>149</v>
      </c>
      <c r="D2756" s="3">
        <f t="shared" si="401"/>
        <v>7663</v>
      </c>
      <c r="E2756" s="2">
        <f t="shared" si="402"/>
        <v>41883</v>
      </c>
      <c r="F2756" s="2">
        <f t="shared" si="403"/>
        <v>44469</v>
      </c>
    </row>
    <row r="2757" spans="1:6" x14ac:dyDescent="0.25">
      <c r="A2757" s="1" t="s">
        <v>431</v>
      </c>
      <c r="B2757" s="1" t="s">
        <v>462</v>
      </c>
      <c r="C2757" s="1" t="s">
        <v>172</v>
      </c>
      <c r="D2757" s="3">
        <f t="shared" si="401"/>
        <v>7663</v>
      </c>
      <c r="E2757" s="2">
        <f t="shared" si="402"/>
        <v>41883</v>
      </c>
      <c r="F2757" s="2">
        <f t="shared" si="403"/>
        <v>44469</v>
      </c>
    </row>
    <row r="2758" spans="1:6" x14ac:dyDescent="0.25">
      <c r="A2758" s="1" t="s">
        <v>431</v>
      </c>
      <c r="B2758" s="1" t="s">
        <v>462</v>
      </c>
      <c r="C2758" s="1" t="s">
        <v>386</v>
      </c>
      <c r="D2758" s="3">
        <f t="shared" si="401"/>
        <v>7663</v>
      </c>
      <c r="E2758" s="2">
        <f t="shared" si="402"/>
        <v>41883</v>
      </c>
      <c r="F2758" s="2">
        <f t="shared" si="403"/>
        <v>44469</v>
      </c>
    </row>
    <row r="2759" spans="1:6" x14ac:dyDescent="0.25">
      <c r="A2759" s="1" t="s">
        <v>431</v>
      </c>
      <c r="B2759" s="1" t="s">
        <v>462</v>
      </c>
      <c r="C2759" s="1" t="s">
        <v>387</v>
      </c>
      <c r="D2759" s="3">
        <f t="shared" si="401"/>
        <v>7663</v>
      </c>
      <c r="E2759" s="2">
        <f t="shared" si="402"/>
        <v>41883</v>
      </c>
      <c r="F2759" s="2">
        <f t="shared" si="403"/>
        <v>44469</v>
      </c>
    </row>
    <row r="2760" spans="1:6" x14ac:dyDescent="0.25">
      <c r="A2760" s="1" t="s">
        <v>431</v>
      </c>
      <c r="B2760" s="1" t="s">
        <v>462</v>
      </c>
      <c r="C2760" s="1" t="s">
        <v>472</v>
      </c>
      <c r="D2760" s="3">
        <f t="shared" si="401"/>
        <v>7663</v>
      </c>
      <c r="E2760" s="2">
        <f t="shared" si="402"/>
        <v>41883</v>
      </c>
      <c r="F2760" s="2">
        <f t="shared" si="403"/>
        <v>44469</v>
      </c>
    </row>
    <row r="2761" spans="1:6" x14ac:dyDescent="0.25">
      <c r="A2761" s="1" t="s">
        <v>431</v>
      </c>
      <c r="B2761" s="1" t="s">
        <v>462</v>
      </c>
      <c r="C2761" s="1" t="s">
        <v>92</v>
      </c>
      <c r="D2761" s="3">
        <f t="shared" si="401"/>
        <v>7663</v>
      </c>
      <c r="E2761" s="2">
        <f t="shared" si="402"/>
        <v>41883</v>
      </c>
      <c r="F2761" s="2">
        <f t="shared" si="403"/>
        <v>44469</v>
      </c>
    </row>
    <row r="2762" spans="1:6" x14ac:dyDescent="0.25">
      <c r="A2762" s="1" t="s">
        <v>431</v>
      </c>
      <c r="B2762" s="1" t="s">
        <v>462</v>
      </c>
      <c r="C2762" s="1" t="s">
        <v>336</v>
      </c>
      <c r="D2762" s="3">
        <f t="shared" si="401"/>
        <v>7663</v>
      </c>
      <c r="E2762" s="2">
        <f t="shared" si="402"/>
        <v>41883</v>
      </c>
      <c r="F2762" s="2">
        <f t="shared" si="403"/>
        <v>44469</v>
      </c>
    </row>
    <row r="2763" spans="1:6" x14ac:dyDescent="0.25">
      <c r="A2763" s="1" t="s">
        <v>431</v>
      </c>
      <c r="B2763" s="1" t="s">
        <v>462</v>
      </c>
      <c r="C2763" s="1" t="s">
        <v>329</v>
      </c>
      <c r="D2763" s="3">
        <f t="shared" si="401"/>
        <v>7663</v>
      </c>
      <c r="E2763" s="2">
        <f t="shared" si="402"/>
        <v>41883</v>
      </c>
      <c r="F2763" s="2">
        <f t="shared" si="403"/>
        <v>44469</v>
      </c>
    </row>
    <row r="2764" spans="1:6" x14ac:dyDescent="0.25">
      <c r="A2764" s="1" t="s">
        <v>431</v>
      </c>
      <c r="B2764" s="1" t="s">
        <v>462</v>
      </c>
      <c r="C2764" s="1" t="s">
        <v>473</v>
      </c>
      <c r="D2764" s="3">
        <f t="shared" si="401"/>
        <v>7663</v>
      </c>
      <c r="E2764" s="2">
        <f t="shared" si="402"/>
        <v>41883</v>
      </c>
      <c r="F2764" s="2">
        <f t="shared" si="403"/>
        <v>44469</v>
      </c>
    </row>
    <row r="2765" spans="1:6" x14ac:dyDescent="0.25">
      <c r="A2765" s="1" t="s">
        <v>431</v>
      </c>
      <c r="B2765" s="1" t="s">
        <v>462</v>
      </c>
      <c r="C2765" s="1" t="s">
        <v>94</v>
      </c>
      <c r="D2765" s="3">
        <f t="shared" si="401"/>
        <v>7663</v>
      </c>
      <c r="E2765" s="2">
        <f t="shared" si="402"/>
        <v>41883</v>
      </c>
      <c r="F2765" s="2">
        <f t="shared" si="403"/>
        <v>44469</v>
      </c>
    </row>
    <row r="2766" spans="1:6" x14ac:dyDescent="0.25">
      <c r="A2766" s="1" t="s">
        <v>431</v>
      </c>
      <c r="B2766" s="1" t="s">
        <v>462</v>
      </c>
      <c r="C2766" s="1" t="s">
        <v>332</v>
      </c>
      <c r="D2766" s="3">
        <f t="shared" si="401"/>
        <v>7663</v>
      </c>
      <c r="E2766" s="2">
        <f t="shared" si="402"/>
        <v>41883</v>
      </c>
      <c r="F2766" s="2">
        <f t="shared" si="403"/>
        <v>44469</v>
      </c>
    </row>
    <row r="2767" spans="1:6" x14ac:dyDescent="0.25">
      <c r="A2767" s="1" t="s">
        <v>431</v>
      </c>
      <c r="B2767" s="1" t="s">
        <v>462</v>
      </c>
      <c r="C2767" s="1" t="s">
        <v>474</v>
      </c>
      <c r="D2767" s="3">
        <f t="shared" si="401"/>
        <v>7663</v>
      </c>
      <c r="E2767" s="2">
        <f t="shared" si="402"/>
        <v>41883</v>
      </c>
      <c r="F2767" s="2">
        <f t="shared" si="403"/>
        <v>44469</v>
      </c>
    </row>
    <row r="2768" spans="1:6" x14ac:dyDescent="0.25">
      <c r="A2768" s="1" t="s">
        <v>431</v>
      </c>
      <c r="B2768" s="1" t="s">
        <v>462</v>
      </c>
      <c r="C2768" s="1" t="s">
        <v>475</v>
      </c>
      <c r="D2768" s="3">
        <f t="shared" si="401"/>
        <v>7663</v>
      </c>
      <c r="E2768" s="2">
        <f t="shared" si="402"/>
        <v>41883</v>
      </c>
      <c r="F2768" s="2">
        <f t="shared" si="403"/>
        <v>44469</v>
      </c>
    </row>
    <row r="2769" spans="1:6" x14ac:dyDescent="0.25">
      <c r="A2769" s="1" t="s">
        <v>431</v>
      </c>
      <c r="B2769" s="1" t="s">
        <v>462</v>
      </c>
      <c r="C2769" s="1" t="s">
        <v>24</v>
      </c>
      <c r="D2769" s="3">
        <f t="shared" si="401"/>
        <v>7663</v>
      </c>
      <c r="E2769" s="2">
        <f t="shared" si="402"/>
        <v>41883</v>
      </c>
      <c r="F2769" s="2">
        <f t="shared" si="403"/>
        <v>44469</v>
      </c>
    </row>
    <row r="2770" spans="1:6" x14ac:dyDescent="0.25">
      <c r="A2770" s="1" t="s">
        <v>431</v>
      </c>
      <c r="B2770" s="1" t="s">
        <v>462</v>
      </c>
      <c r="C2770" s="1" t="s">
        <v>50</v>
      </c>
      <c r="D2770" s="3">
        <f t="shared" si="401"/>
        <v>7663</v>
      </c>
      <c r="E2770" s="2">
        <f t="shared" si="402"/>
        <v>41883</v>
      </c>
      <c r="F2770" s="2">
        <f t="shared" si="403"/>
        <v>44469</v>
      </c>
    </row>
    <row r="2771" spans="1:6" x14ac:dyDescent="0.25">
      <c r="A2771" s="1" t="s">
        <v>431</v>
      </c>
      <c r="B2771" s="1" t="s">
        <v>462</v>
      </c>
      <c r="C2771" s="1" t="s">
        <v>70</v>
      </c>
      <c r="D2771" s="3">
        <f t="shared" si="401"/>
        <v>7663</v>
      </c>
      <c r="E2771" s="2">
        <f t="shared" si="402"/>
        <v>41883</v>
      </c>
      <c r="F2771" s="2">
        <f t="shared" si="403"/>
        <v>44469</v>
      </c>
    </row>
    <row r="2772" spans="1:6" x14ac:dyDescent="0.25">
      <c r="A2772" s="1" t="s">
        <v>431</v>
      </c>
      <c r="B2772" s="1" t="s">
        <v>462</v>
      </c>
      <c r="C2772" s="1" t="s">
        <v>26</v>
      </c>
      <c r="D2772" s="3">
        <f t="shared" si="401"/>
        <v>7663</v>
      </c>
      <c r="E2772" s="2">
        <f t="shared" si="402"/>
        <v>41883</v>
      </c>
      <c r="F2772" s="2">
        <f t="shared" si="403"/>
        <v>44469</v>
      </c>
    </row>
    <row r="2773" spans="1:6" x14ac:dyDescent="0.25">
      <c r="A2773" s="1" t="s">
        <v>431</v>
      </c>
      <c r="B2773" s="1" t="s">
        <v>462</v>
      </c>
      <c r="C2773" s="1" t="s">
        <v>422</v>
      </c>
      <c r="D2773" s="3">
        <f t="shared" si="401"/>
        <v>7663</v>
      </c>
      <c r="E2773" s="2">
        <f t="shared" si="402"/>
        <v>41883</v>
      </c>
      <c r="F2773" s="2">
        <f t="shared" si="403"/>
        <v>44469</v>
      </c>
    </row>
    <row r="2774" spans="1:6" x14ac:dyDescent="0.25">
      <c r="A2774" s="1" t="s">
        <v>431</v>
      </c>
      <c r="B2774" s="1" t="s">
        <v>462</v>
      </c>
      <c r="C2774" s="1" t="s">
        <v>72</v>
      </c>
      <c r="D2774" s="3">
        <f t="shared" si="401"/>
        <v>7663</v>
      </c>
      <c r="E2774" s="2">
        <f t="shared" si="402"/>
        <v>41883</v>
      </c>
      <c r="F2774" s="2">
        <f t="shared" si="403"/>
        <v>44469</v>
      </c>
    </row>
    <row r="2775" spans="1:6" x14ac:dyDescent="0.25">
      <c r="A2775" s="1" t="s">
        <v>431</v>
      </c>
      <c r="B2775" s="1" t="s">
        <v>462</v>
      </c>
      <c r="C2775" s="1" t="s">
        <v>27</v>
      </c>
      <c r="D2775" s="3">
        <f t="shared" si="401"/>
        <v>7663</v>
      </c>
      <c r="E2775" s="2">
        <f t="shared" si="402"/>
        <v>41883</v>
      </c>
      <c r="F2775" s="2">
        <f t="shared" si="403"/>
        <v>44469</v>
      </c>
    </row>
    <row r="2776" spans="1:6" x14ac:dyDescent="0.25">
      <c r="A2776" s="1" t="s">
        <v>431</v>
      </c>
      <c r="B2776" s="1" t="s">
        <v>462</v>
      </c>
      <c r="C2776" s="1" t="s">
        <v>262</v>
      </c>
      <c r="D2776" s="3">
        <f t="shared" si="401"/>
        <v>7663</v>
      </c>
      <c r="E2776" s="2">
        <f t="shared" si="402"/>
        <v>41883</v>
      </c>
      <c r="F2776" s="2">
        <f t="shared" si="403"/>
        <v>44469</v>
      </c>
    </row>
    <row r="2777" spans="1:6" x14ac:dyDescent="0.25">
      <c r="A2777" s="1" t="s">
        <v>431</v>
      </c>
      <c r="B2777" s="1" t="s">
        <v>462</v>
      </c>
      <c r="C2777" s="1" t="s">
        <v>476</v>
      </c>
      <c r="D2777" s="3">
        <f t="shared" si="401"/>
        <v>7663</v>
      </c>
      <c r="E2777" s="2">
        <f t="shared" si="402"/>
        <v>41883</v>
      </c>
      <c r="F2777" s="2">
        <f t="shared" si="403"/>
        <v>44469</v>
      </c>
    </row>
    <row r="2778" spans="1:6" x14ac:dyDescent="0.25">
      <c r="A2778" s="1" t="s">
        <v>431</v>
      </c>
      <c r="B2778" s="1" t="s">
        <v>462</v>
      </c>
      <c r="C2778" s="1" t="s">
        <v>51</v>
      </c>
      <c r="D2778" s="3">
        <f t="shared" si="401"/>
        <v>7663</v>
      </c>
      <c r="E2778" s="2">
        <f t="shared" si="402"/>
        <v>41883</v>
      </c>
      <c r="F2778" s="2">
        <f t="shared" si="403"/>
        <v>44469</v>
      </c>
    </row>
    <row r="2779" spans="1:6" x14ac:dyDescent="0.25">
      <c r="A2779" s="1" t="s">
        <v>431</v>
      </c>
      <c r="B2779" s="1" t="s">
        <v>462</v>
      </c>
      <c r="C2779" s="1" t="s">
        <v>73</v>
      </c>
      <c r="D2779" s="3">
        <f t="shared" ref="D2779:D2796" si="404">VALUE("7663")</f>
        <v>7663</v>
      </c>
      <c r="E2779" s="2">
        <f t="shared" ref="E2779:E2796" si="405">DATEVALUE("1-9-2014")</f>
        <v>41883</v>
      </c>
      <c r="F2779" s="2">
        <f t="shared" ref="F2779:F2796" si="406">DATEVALUE("30-9-2021")</f>
        <v>44469</v>
      </c>
    </row>
    <row r="2780" spans="1:6" x14ac:dyDescent="0.25">
      <c r="A2780" s="1" t="s">
        <v>431</v>
      </c>
      <c r="B2780" s="1" t="s">
        <v>462</v>
      </c>
      <c r="C2780" s="1" t="s">
        <v>477</v>
      </c>
      <c r="D2780" s="3">
        <f t="shared" si="404"/>
        <v>7663</v>
      </c>
      <c r="E2780" s="2">
        <f t="shared" si="405"/>
        <v>41883</v>
      </c>
      <c r="F2780" s="2">
        <f t="shared" si="406"/>
        <v>44469</v>
      </c>
    </row>
    <row r="2781" spans="1:6" x14ac:dyDescent="0.25">
      <c r="A2781" s="1" t="s">
        <v>431</v>
      </c>
      <c r="B2781" s="1" t="s">
        <v>462</v>
      </c>
      <c r="C2781" s="1" t="s">
        <v>478</v>
      </c>
      <c r="D2781" s="3">
        <f t="shared" si="404"/>
        <v>7663</v>
      </c>
      <c r="E2781" s="2">
        <f t="shared" si="405"/>
        <v>41883</v>
      </c>
      <c r="F2781" s="2">
        <f t="shared" si="406"/>
        <v>44469</v>
      </c>
    </row>
    <row r="2782" spans="1:6" x14ac:dyDescent="0.25">
      <c r="A2782" s="1" t="s">
        <v>431</v>
      </c>
      <c r="B2782" s="1" t="s">
        <v>462</v>
      </c>
      <c r="C2782" s="1" t="s">
        <v>52</v>
      </c>
      <c r="D2782" s="3">
        <f t="shared" si="404"/>
        <v>7663</v>
      </c>
      <c r="E2782" s="2">
        <f t="shared" si="405"/>
        <v>41883</v>
      </c>
      <c r="F2782" s="2">
        <f t="shared" si="406"/>
        <v>44469</v>
      </c>
    </row>
    <row r="2783" spans="1:6" x14ac:dyDescent="0.25">
      <c r="A2783" s="1" t="s">
        <v>431</v>
      </c>
      <c r="B2783" s="1" t="s">
        <v>462</v>
      </c>
      <c r="C2783" s="1" t="s">
        <v>350</v>
      </c>
      <c r="D2783" s="3">
        <f t="shared" si="404"/>
        <v>7663</v>
      </c>
      <c r="E2783" s="2">
        <f t="shared" si="405"/>
        <v>41883</v>
      </c>
      <c r="F2783" s="2">
        <f t="shared" si="406"/>
        <v>44469</v>
      </c>
    </row>
    <row r="2784" spans="1:6" x14ac:dyDescent="0.25">
      <c r="A2784" s="1" t="s">
        <v>431</v>
      </c>
      <c r="B2784" s="1" t="s">
        <v>462</v>
      </c>
      <c r="C2784" s="1" t="s">
        <v>303</v>
      </c>
      <c r="D2784" s="3">
        <f t="shared" si="404"/>
        <v>7663</v>
      </c>
      <c r="E2784" s="2">
        <f t="shared" si="405"/>
        <v>41883</v>
      </c>
      <c r="F2784" s="2">
        <f t="shared" si="406"/>
        <v>44469</v>
      </c>
    </row>
    <row r="2785" spans="1:6" x14ac:dyDescent="0.25">
      <c r="A2785" s="1" t="s">
        <v>431</v>
      </c>
      <c r="B2785" s="1" t="s">
        <v>462</v>
      </c>
      <c r="C2785" s="1" t="s">
        <v>423</v>
      </c>
      <c r="D2785" s="3">
        <f t="shared" si="404"/>
        <v>7663</v>
      </c>
      <c r="E2785" s="2">
        <f t="shared" si="405"/>
        <v>41883</v>
      </c>
      <c r="F2785" s="2">
        <f t="shared" si="406"/>
        <v>44469</v>
      </c>
    </row>
    <row r="2786" spans="1:6" x14ac:dyDescent="0.25">
      <c r="A2786" s="1" t="s">
        <v>431</v>
      </c>
      <c r="B2786" s="1" t="s">
        <v>462</v>
      </c>
      <c r="C2786" s="1" t="s">
        <v>378</v>
      </c>
      <c r="D2786" s="3">
        <f t="shared" si="404"/>
        <v>7663</v>
      </c>
      <c r="E2786" s="2">
        <f t="shared" si="405"/>
        <v>41883</v>
      </c>
      <c r="F2786" s="2">
        <f t="shared" si="406"/>
        <v>44469</v>
      </c>
    </row>
    <row r="2787" spans="1:6" x14ac:dyDescent="0.25">
      <c r="A2787" s="1" t="s">
        <v>431</v>
      </c>
      <c r="B2787" s="1" t="s">
        <v>462</v>
      </c>
      <c r="C2787" s="1" t="s">
        <v>479</v>
      </c>
      <c r="D2787" s="3">
        <f t="shared" si="404"/>
        <v>7663</v>
      </c>
      <c r="E2787" s="2">
        <f t="shared" si="405"/>
        <v>41883</v>
      </c>
      <c r="F2787" s="2">
        <f t="shared" si="406"/>
        <v>44469</v>
      </c>
    </row>
    <row r="2788" spans="1:6" x14ac:dyDescent="0.25">
      <c r="A2788" s="1" t="s">
        <v>431</v>
      </c>
      <c r="B2788" s="1" t="s">
        <v>462</v>
      </c>
      <c r="C2788" s="1" t="s">
        <v>34</v>
      </c>
      <c r="D2788" s="3">
        <f t="shared" si="404"/>
        <v>7663</v>
      </c>
      <c r="E2788" s="2">
        <f t="shared" si="405"/>
        <v>41883</v>
      </c>
      <c r="F2788" s="2">
        <f t="shared" si="406"/>
        <v>44469</v>
      </c>
    </row>
    <row r="2789" spans="1:6" x14ac:dyDescent="0.25">
      <c r="A2789" s="1" t="s">
        <v>431</v>
      </c>
      <c r="B2789" s="1" t="s">
        <v>462</v>
      </c>
      <c r="C2789" s="1" t="s">
        <v>55</v>
      </c>
      <c r="D2789" s="3">
        <f t="shared" si="404"/>
        <v>7663</v>
      </c>
      <c r="E2789" s="2">
        <f t="shared" si="405"/>
        <v>41883</v>
      </c>
      <c r="F2789" s="2">
        <f t="shared" si="406"/>
        <v>44469</v>
      </c>
    </row>
    <row r="2790" spans="1:6" x14ac:dyDescent="0.25">
      <c r="A2790" s="1" t="s">
        <v>431</v>
      </c>
      <c r="B2790" s="1" t="s">
        <v>462</v>
      </c>
      <c r="C2790" s="1" t="s">
        <v>306</v>
      </c>
      <c r="D2790" s="3">
        <f t="shared" si="404"/>
        <v>7663</v>
      </c>
      <c r="E2790" s="2">
        <f t="shared" si="405"/>
        <v>41883</v>
      </c>
      <c r="F2790" s="2">
        <f t="shared" si="406"/>
        <v>44469</v>
      </c>
    </row>
    <row r="2791" spans="1:6" x14ac:dyDescent="0.25">
      <c r="A2791" s="1" t="s">
        <v>431</v>
      </c>
      <c r="B2791" s="1" t="s">
        <v>462</v>
      </c>
      <c r="C2791" s="1" t="s">
        <v>379</v>
      </c>
      <c r="D2791" s="3">
        <f t="shared" si="404"/>
        <v>7663</v>
      </c>
      <c r="E2791" s="2">
        <f t="shared" si="405"/>
        <v>41883</v>
      </c>
      <c r="F2791" s="2">
        <f t="shared" si="406"/>
        <v>44469</v>
      </c>
    </row>
    <row r="2792" spans="1:6" x14ac:dyDescent="0.25">
      <c r="A2792" s="1" t="s">
        <v>431</v>
      </c>
      <c r="B2792" s="1" t="s">
        <v>462</v>
      </c>
      <c r="C2792" s="1" t="s">
        <v>380</v>
      </c>
      <c r="D2792" s="3">
        <f t="shared" si="404"/>
        <v>7663</v>
      </c>
      <c r="E2792" s="2">
        <f t="shared" si="405"/>
        <v>41883</v>
      </c>
      <c r="F2792" s="2">
        <f t="shared" si="406"/>
        <v>44469</v>
      </c>
    </row>
    <row r="2793" spans="1:6" x14ac:dyDescent="0.25">
      <c r="A2793" s="1" t="s">
        <v>431</v>
      </c>
      <c r="B2793" s="1" t="s">
        <v>462</v>
      </c>
      <c r="C2793" s="1" t="s">
        <v>381</v>
      </c>
      <c r="D2793" s="3">
        <f t="shared" si="404"/>
        <v>7663</v>
      </c>
      <c r="E2793" s="2">
        <f t="shared" si="405"/>
        <v>41883</v>
      </c>
      <c r="F2793" s="2">
        <f t="shared" si="406"/>
        <v>44469</v>
      </c>
    </row>
    <row r="2794" spans="1:6" x14ac:dyDescent="0.25">
      <c r="A2794" s="1" t="s">
        <v>431</v>
      </c>
      <c r="B2794" s="1" t="s">
        <v>462</v>
      </c>
      <c r="C2794" s="1" t="s">
        <v>35</v>
      </c>
      <c r="D2794" s="3">
        <f t="shared" si="404"/>
        <v>7663</v>
      </c>
      <c r="E2794" s="2">
        <f t="shared" si="405"/>
        <v>41883</v>
      </c>
      <c r="F2794" s="2">
        <f t="shared" si="406"/>
        <v>44469</v>
      </c>
    </row>
    <row r="2795" spans="1:6" x14ac:dyDescent="0.25">
      <c r="A2795" s="1" t="s">
        <v>431</v>
      </c>
      <c r="B2795" s="1" t="s">
        <v>462</v>
      </c>
      <c r="C2795" s="1" t="s">
        <v>36</v>
      </c>
      <c r="D2795" s="3">
        <f t="shared" si="404"/>
        <v>7663</v>
      </c>
      <c r="E2795" s="2">
        <f t="shared" si="405"/>
        <v>41883</v>
      </c>
      <c r="F2795" s="2">
        <f t="shared" si="406"/>
        <v>44469</v>
      </c>
    </row>
    <row r="2796" spans="1:6" x14ac:dyDescent="0.25">
      <c r="A2796" s="1" t="s">
        <v>431</v>
      </c>
      <c r="B2796" s="1" t="s">
        <v>462</v>
      </c>
      <c r="C2796" s="1" t="s">
        <v>170</v>
      </c>
      <c r="D2796" s="3">
        <f t="shared" si="404"/>
        <v>7663</v>
      </c>
      <c r="E2796" s="2">
        <f t="shared" si="405"/>
        <v>41883</v>
      </c>
      <c r="F2796" s="2">
        <f t="shared" si="406"/>
        <v>44469</v>
      </c>
    </row>
    <row r="2797" spans="1:6" x14ac:dyDescent="0.25">
      <c r="A2797" s="1" t="s">
        <v>431</v>
      </c>
      <c r="B2797" s="1" t="s">
        <v>430</v>
      </c>
      <c r="C2797" s="1" t="s">
        <v>7</v>
      </c>
      <c r="D2797" s="3">
        <f t="shared" ref="D2797:D2841" si="407">VALUE("7634")</f>
        <v>7634</v>
      </c>
      <c r="E2797" s="2">
        <f t="shared" ref="E2797:E2841" si="408">DATEVALUE("1-5-2014")</f>
        <v>41760</v>
      </c>
      <c r="F2797" s="2">
        <f t="shared" ref="F2797:F2841" si="409">DATEVALUE("31-12-2021")</f>
        <v>44561</v>
      </c>
    </row>
    <row r="2798" spans="1:6" x14ac:dyDescent="0.25">
      <c r="A2798" s="1" t="s">
        <v>431</v>
      </c>
      <c r="B2798" s="1" t="s">
        <v>430</v>
      </c>
      <c r="C2798" s="1" t="s">
        <v>80</v>
      </c>
      <c r="D2798" s="3">
        <f t="shared" si="407"/>
        <v>7634</v>
      </c>
      <c r="E2798" s="2">
        <f t="shared" si="408"/>
        <v>41760</v>
      </c>
      <c r="F2798" s="2">
        <f t="shared" si="409"/>
        <v>44561</v>
      </c>
    </row>
    <row r="2799" spans="1:6" x14ac:dyDescent="0.25">
      <c r="A2799" s="1" t="s">
        <v>431</v>
      </c>
      <c r="B2799" s="1" t="s">
        <v>430</v>
      </c>
      <c r="C2799" s="1" t="s">
        <v>8</v>
      </c>
      <c r="D2799" s="3">
        <f t="shared" si="407"/>
        <v>7634</v>
      </c>
      <c r="E2799" s="2">
        <f t="shared" si="408"/>
        <v>41760</v>
      </c>
      <c r="F2799" s="2">
        <f t="shared" si="409"/>
        <v>44561</v>
      </c>
    </row>
    <row r="2800" spans="1:6" x14ac:dyDescent="0.25">
      <c r="A2800" s="1" t="s">
        <v>431</v>
      </c>
      <c r="B2800" s="1" t="s">
        <v>430</v>
      </c>
      <c r="C2800" s="1" t="s">
        <v>9</v>
      </c>
      <c r="D2800" s="3">
        <f t="shared" si="407"/>
        <v>7634</v>
      </c>
      <c r="E2800" s="2">
        <f t="shared" si="408"/>
        <v>41760</v>
      </c>
      <c r="F2800" s="2">
        <f t="shared" si="409"/>
        <v>44561</v>
      </c>
    </row>
    <row r="2801" spans="1:6" x14ac:dyDescent="0.25">
      <c r="A2801" s="1" t="s">
        <v>431</v>
      </c>
      <c r="B2801" s="1" t="s">
        <v>430</v>
      </c>
      <c r="C2801" s="1" t="s">
        <v>10</v>
      </c>
      <c r="D2801" s="3">
        <f t="shared" si="407"/>
        <v>7634</v>
      </c>
      <c r="E2801" s="2">
        <f t="shared" si="408"/>
        <v>41760</v>
      </c>
      <c r="F2801" s="2">
        <f t="shared" si="409"/>
        <v>44561</v>
      </c>
    </row>
    <row r="2802" spans="1:6" x14ac:dyDescent="0.25">
      <c r="A2802" s="1" t="s">
        <v>431</v>
      </c>
      <c r="B2802" s="1" t="s">
        <v>430</v>
      </c>
      <c r="C2802" s="1" t="s">
        <v>11</v>
      </c>
      <c r="D2802" s="3">
        <f t="shared" si="407"/>
        <v>7634</v>
      </c>
      <c r="E2802" s="2">
        <f t="shared" si="408"/>
        <v>41760</v>
      </c>
      <c r="F2802" s="2">
        <f t="shared" si="409"/>
        <v>44561</v>
      </c>
    </row>
    <row r="2803" spans="1:6" x14ac:dyDescent="0.25">
      <c r="A2803" s="1" t="s">
        <v>431</v>
      </c>
      <c r="B2803" s="1" t="s">
        <v>430</v>
      </c>
      <c r="C2803" s="1" t="s">
        <v>192</v>
      </c>
      <c r="D2803" s="3">
        <f t="shared" si="407"/>
        <v>7634</v>
      </c>
      <c r="E2803" s="2">
        <f t="shared" si="408"/>
        <v>41760</v>
      </c>
      <c r="F2803" s="2">
        <f t="shared" si="409"/>
        <v>44561</v>
      </c>
    </row>
    <row r="2804" spans="1:6" x14ac:dyDescent="0.25">
      <c r="A2804" s="1" t="s">
        <v>431</v>
      </c>
      <c r="B2804" s="1" t="s">
        <v>430</v>
      </c>
      <c r="C2804" s="1" t="s">
        <v>83</v>
      </c>
      <c r="D2804" s="3">
        <f t="shared" si="407"/>
        <v>7634</v>
      </c>
      <c r="E2804" s="2">
        <f t="shared" si="408"/>
        <v>41760</v>
      </c>
      <c r="F2804" s="2">
        <f t="shared" si="409"/>
        <v>44561</v>
      </c>
    </row>
    <row r="2805" spans="1:6" x14ac:dyDescent="0.25">
      <c r="A2805" s="1" t="s">
        <v>431</v>
      </c>
      <c r="B2805" s="1" t="s">
        <v>430</v>
      </c>
      <c r="C2805" s="1" t="s">
        <v>45</v>
      </c>
      <c r="D2805" s="3">
        <f t="shared" si="407"/>
        <v>7634</v>
      </c>
      <c r="E2805" s="2">
        <f t="shared" si="408"/>
        <v>41760</v>
      </c>
      <c r="F2805" s="2">
        <f t="shared" si="409"/>
        <v>44561</v>
      </c>
    </row>
    <row r="2806" spans="1:6" x14ac:dyDescent="0.25">
      <c r="A2806" s="1" t="s">
        <v>431</v>
      </c>
      <c r="B2806" s="1" t="s">
        <v>430</v>
      </c>
      <c r="C2806" s="1" t="s">
        <v>44</v>
      </c>
      <c r="D2806" s="3">
        <f t="shared" si="407"/>
        <v>7634</v>
      </c>
      <c r="E2806" s="2">
        <f t="shared" si="408"/>
        <v>41760</v>
      </c>
      <c r="F2806" s="2">
        <f t="shared" si="409"/>
        <v>44561</v>
      </c>
    </row>
    <row r="2807" spans="1:6" x14ac:dyDescent="0.25">
      <c r="A2807" s="1" t="s">
        <v>431</v>
      </c>
      <c r="B2807" s="1" t="s">
        <v>430</v>
      </c>
      <c r="C2807" s="1" t="s">
        <v>399</v>
      </c>
      <c r="D2807" s="3">
        <f t="shared" si="407"/>
        <v>7634</v>
      </c>
      <c r="E2807" s="2">
        <f t="shared" si="408"/>
        <v>41760</v>
      </c>
      <c r="F2807" s="2">
        <f t="shared" si="409"/>
        <v>44561</v>
      </c>
    </row>
    <row r="2808" spans="1:6" x14ac:dyDescent="0.25">
      <c r="A2808" s="1" t="s">
        <v>431</v>
      </c>
      <c r="B2808" s="1" t="s">
        <v>430</v>
      </c>
      <c r="C2808" s="1" t="s">
        <v>46</v>
      </c>
      <c r="D2808" s="3">
        <f t="shared" si="407"/>
        <v>7634</v>
      </c>
      <c r="E2808" s="2">
        <f t="shared" si="408"/>
        <v>41760</v>
      </c>
      <c r="F2808" s="2">
        <f t="shared" si="409"/>
        <v>44561</v>
      </c>
    </row>
    <row r="2809" spans="1:6" x14ac:dyDescent="0.25">
      <c r="A2809" s="1" t="s">
        <v>431</v>
      </c>
      <c r="B2809" s="1" t="s">
        <v>430</v>
      </c>
      <c r="C2809" s="1" t="s">
        <v>87</v>
      </c>
      <c r="D2809" s="3">
        <f t="shared" si="407"/>
        <v>7634</v>
      </c>
      <c r="E2809" s="2">
        <f t="shared" si="408"/>
        <v>41760</v>
      </c>
      <c r="F2809" s="2">
        <f t="shared" si="409"/>
        <v>44561</v>
      </c>
    </row>
    <row r="2810" spans="1:6" x14ac:dyDescent="0.25">
      <c r="A2810" s="1" t="s">
        <v>431</v>
      </c>
      <c r="B2810" s="1" t="s">
        <v>430</v>
      </c>
      <c r="C2810" s="1" t="s">
        <v>14</v>
      </c>
      <c r="D2810" s="3">
        <f t="shared" si="407"/>
        <v>7634</v>
      </c>
      <c r="E2810" s="2">
        <f t="shared" si="408"/>
        <v>41760</v>
      </c>
      <c r="F2810" s="2">
        <f t="shared" si="409"/>
        <v>44561</v>
      </c>
    </row>
    <row r="2811" spans="1:6" x14ac:dyDescent="0.25">
      <c r="A2811" s="1" t="s">
        <v>431</v>
      </c>
      <c r="B2811" s="1" t="s">
        <v>430</v>
      </c>
      <c r="C2811" s="1" t="s">
        <v>66</v>
      </c>
      <c r="D2811" s="3">
        <f t="shared" si="407"/>
        <v>7634</v>
      </c>
      <c r="E2811" s="2">
        <f t="shared" si="408"/>
        <v>41760</v>
      </c>
      <c r="F2811" s="2">
        <f t="shared" si="409"/>
        <v>44561</v>
      </c>
    </row>
    <row r="2812" spans="1:6" x14ac:dyDescent="0.25">
      <c r="A2812" s="1" t="s">
        <v>431</v>
      </c>
      <c r="B2812" s="1" t="s">
        <v>430</v>
      </c>
      <c r="C2812" s="1" t="s">
        <v>16</v>
      </c>
      <c r="D2812" s="3">
        <f t="shared" si="407"/>
        <v>7634</v>
      </c>
      <c r="E2812" s="2">
        <f t="shared" si="408"/>
        <v>41760</v>
      </c>
      <c r="F2812" s="2">
        <f t="shared" si="409"/>
        <v>44561</v>
      </c>
    </row>
    <row r="2813" spans="1:6" x14ac:dyDescent="0.25">
      <c r="A2813" s="1" t="s">
        <v>431</v>
      </c>
      <c r="B2813" s="1" t="s">
        <v>430</v>
      </c>
      <c r="C2813" s="1" t="s">
        <v>88</v>
      </c>
      <c r="D2813" s="3">
        <f t="shared" si="407"/>
        <v>7634</v>
      </c>
      <c r="E2813" s="2">
        <f t="shared" si="408"/>
        <v>41760</v>
      </c>
      <c r="F2813" s="2">
        <f t="shared" si="409"/>
        <v>44561</v>
      </c>
    </row>
    <row r="2814" spans="1:6" x14ac:dyDescent="0.25">
      <c r="A2814" s="1" t="s">
        <v>431</v>
      </c>
      <c r="B2814" s="1" t="s">
        <v>430</v>
      </c>
      <c r="C2814" s="1" t="s">
        <v>17</v>
      </c>
      <c r="D2814" s="3">
        <f t="shared" si="407"/>
        <v>7634</v>
      </c>
      <c r="E2814" s="2">
        <f t="shared" si="408"/>
        <v>41760</v>
      </c>
      <c r="F2814" s="2">
        <f t="shared" si="409"/>
        <v>44561</v>
      </c>
    </row>
    <row r="2815" spans="1:6" x14ac:dyDescent="0.25">
      <c r="A2815" s="1" t="s">
        <v>431</v>
      </c>
      <c r="B2815" s="1" t="s">
        <v>430</v>
      </c>
      <c r="C2815" s="1" t="s">
        <v>193</v>
      </c>
      <c r="D2815" s="3">
        <f t="shared" si="407"/>
        <v>7634</v>
      </c>
      <c r="E2815" s="2">
        <f t="shared" si="408"/>
        <v>41760</v>
      </c>
      <c r="F2815" s="2">
        <f t="shared" si="409"/>
        <v>44561</v>
      </c>
    </row>
    <row r="2816" spans="1:6" x14ac:dyDescent="0.25">
      <c r="A2816" s="1" t="s">
        <v>431</v>
      </c>
      <c r="B2816" s="1" t="s">
        <v>430</v>
      </c>
      <c r="C2816" s="1" t="s">
        <v>20</v>
      </c>
      <c r="D2816" s="3">
        <f t="shared" si="407"/>
        <v>7634</v>
      </c>
      <c r="E2816" s="2">
        <f t="shared" si="408"/>
        <v>41760</v>
      </c>
      <c r="F2816" s="2">
        <f t="shared" si="409"/>
        <v>44561</v>
      </c>
    </row>
    <row r="2817" spans="1:6" x14ac:dyDescent="0.25">
      <c r="A2817" s="1" t="s">
        <v>431</v>
      </c>
      <c r="B2817" s="1" t="s">
        <v>430</v>
      </c>
      <c r="C2817" s="1" t="s">
        <v>22</v>
      </c>
      <c r="D2817" s="3">
        <f t="shared" si="407"/>
        <v>7634</v>
      </c>
      <c r="E2817" s="2">
        <f t="shared" si="408"/>
        <v>41760</v>
      </c>
      <c r="F2817" s="2">
        <f t="shared" si="409"/>
        <v>44561</v>
      </c>
    </row>
    <row r="2818" spans="1:6" x14ac:dyDescent="0.25">
      <c r="A2818" s="1" t="s">
        <v>431</v>
      </c>
      <c r="B2818" s="1" t="s">
        <v>430</v>
      </c>
      <c r="C2818" s="1" t="s">
        <v>220</v>
      </c>
      <c r="D2818" s="3">
        <f t="shared" si="407"/>
        <v>7634</v>
      </c>
      <c r="E2818" s="2">
        <f t="shared" si="408"/>
        <v>41760</v>
      </c>
      <c r="F2818" s="2">
        <f t="shared" si="409"/>
        <v>44561</v>
      </c>
    </row>
    <row r="2819" spans="1:6" x14ac:dyDescent="0.25">
      <c r="A2819" s="1" t="s">
        <v>431</v>
      </c>
      <c r="B2819" s="1" t="s">
        <v>430</v>
      </c>
      <c r="C2819" s="1" t="s">
        <v>221</v>
      </c>
      <c r="D2819" s="3">
        <f t="shared" si="407"/>
        <v>7634</v>
      </c>
      <c r="E2819" s="2">
        <f t="shared" si="408"/>
        <v>41760</v>
      </c>
      <c r="F2819" s="2">
        <f t="shared" si="409"/>
        <v>44561</v>
      </c>
    </row>
    <row r="2820" spans="1:6" x14ac:dyDescent="0.25">
      <c r="A2820" s="1" t="s">
        <v>431</v>
      </c>
      <c r="B2820" s="1" t="s">
        <v>430</v>
      </c>
      <c r="C2820" s="1" t="s">
        <v>432</v>
      </c>
      <c r="D2820" s="3">
        <f t="shared" si="407"/>
        <v>7634</v>
      </c>
      <c r="E2820" s="2">
        <f t="shared" si="408"/>
        <v>41760</v>
      </c>
      <c r="F2820" s="2">
        <f t="shared" si="409"/>
        <v>44561</v>
      </c>
    </row>
    <row r="2821" spans="1:6" x14ac:dyDescent="0.25">
      <c r="A2821" s="1" t="s">
        <v>431</v>
      </c>
      <c r="B2821" s="1" t="s">
        <v>430</v>
      </c>
      <c r="C2821" s="1" t="s">
        <v>222</v>
      </c>
      <c r="D2821" s="3">
        <f t="shared" si="407"/>
        <v>7634</v>
      </c>
      <c r="E2821" s="2">
        <f t="shared" si="408"/>
        <v>41760</v>
      </c>
      <c r="F2821" s="2">
        <f t="shared" si="409"/>
        <v>44561</v>
      </c>
    </row>
    <row r="2822" spans="1:6" x14ac:dyDescent="0.25">
      <c r="A2822" s="1" t="s">
        <v>431</v>
      </c>
      <c r="B2822" s="1" t="s">
        <v>430</v>
      </c>
      <c r="C2822" s="1" t="s">
        <v>23</v>
      </c>
      <c r="D2822" s="3">
        <f t="shared" si="407"/>
        <v>7634</v>
      </c>
      <c r="E2822" s="2">
        <f t="shared" si="408"/>
        <v>41760</v>
      </c>
      <c r="F2822" s="2">
        <f t="shared" si="409"/>
        <v>44561</v>
      </c>
    </row>
    <row r="2823" spans="1:6" x14ac:dyDescent="0.25">
      <c r="A2823" s="1" t="s">
        <v>431</v>
      </c>
      <c r="B2823" s="1" t="s">
        <v>430</v>
      </c>
      <c r="C2823" s="1" t="s">
        <v>336</v>
      </c>
      <c r="D2823" s="3">
        <f t="shared" si="407"/>
        <v>7634</v>
      </c>
      <c r="E2823" s="2">
        <f t="shared" si="408"/>
        <v>41760</v>
      </c>
      <c r="F2823" s="2">
        <f t="shared" si="409"/>
        <v>44561</v>
      </c>
    </row>
    <row r="2824" spans="1:6" x14ac:dyDescent="0.25">
      <c r="A2824" s="1" t="s">
        <v>431</v>
      </c>
      <c r="B2824" s="1" t="s">
        <v>430</v>
      </c>
      <c r="C2824" s="1" t="s">
        <v>329</v>
      </c>
      <c r="D2824" s="3">
        <f t="shared" si="407"/>
        <v>7634</v>
      </c>
      <c r="E2824" s="2">
        <f t="shared" si="408"/>
        <v>41760</v>
      </c>
      <c r="F2824" s="2">
        <f t="shared" si="409"/>
        <v>44561</v>
      </c>
    </row>
    <row r="2825" spans="1:6" x14ac:dyDescent="0.25">
      <c r="A2825" s="1" t="s">
        <v>431</v>
      </c>
      <c r="B2825" s="1" t="s">
        <v>430</v>
      </c>
      <c r="C2825" s="1" t="s">
        <v>332</v>
      </c>
      <c r="D2825" s="3">
        <f t="shared" si="407"/>
        <v>7634</v>
      </c>
      <c r="E2825" s="2">
        <f t="shared" si="408"/>
        <v>41760</v>
      </c>
      <c r="F2825" s="2">
        <f t="shared" si="409"/>
        <v>44561</v>
      </c>
    </row>
    <row r="2826" spans="1:6" x14ac:dyDescent="0.25">
      <c r="A2826" s="1" t="s">
        <v>431</v>
      </c>
      <c r="B2826" s="1" t="s">
        <v>430</v>
      </c>
      <c r="C2826" s="1" t="s">
        <v>212</v>
      </c>
      <c r="D2826" s="3">
        <f t="shared" si="407"/>
        <v>7634</v>
      </c>
      <c r="E2826" s="2">
        <f t="shared" si="408"/>
        <v>41760</v>
      </c>
      <c r="F2826" s="2">
        <f t="shared" si="409"/>
        <v>44561</v>
      </c>
    </row>
    <row r="2827" spans="1:6" x14ac:dyDescent="0.25">
      <c r="A2827" s="1" t="s">
        <v>431</v>
      </c>
      <c r="B2827" s="1" t="s">
        <v>430</v>
      </c>
      <c r="C2827" s="1" t="s">
        <v>27</v>
      </c>
      <c r="D2827" s="3">
        <f t="shared" si="407"/>
        <v>7634</v>
      </c>
      <c r="E2827" s="2">
        <f t="shared" si="408"/>
        <v>41760</v>
      </c>
      <c r="F2827" s="2">
        <f t="shared" si="409"/>
        <v>44561</v>
      </c>
    </row>
    <row r="2828" spans="1:6" x14ac:dyDescent="0.25">
      <c r="A2828" s="1" t="s">
        <v>431</v>
      </c>
      <c r="B2828" s="1" t="s">
        <v>430</v>
      </c>
      <c r="C2828" s="1" t="s">
        <v>262</v>
      </c>
      <c r="D2828" s="3">
        <f t="shared" si="407"/>
        <v>7634</v>
      </c>
      <c r="E2828" s="2">
        <f t="shared" si="408"/>
        <v>41760</v>
      </c>
      <c r="F2828" s="2">
        <f t="shared" si="409"/>
        <v>44561</v>
      </c>
    </row>
    <row r="2829" spans="1:6" x14ac:dyDescent="0.25">
      <c r="A2829" s="1" t="s">
        <v>431</v>
      </c>
      <c r="B2829" s="1" t="s">
        <v>430</v>
      </c>
      <c r="C2829" s="1" t="s">
        <v>228</v>
      </c>
      <c r="D2829" s="3">
        <f t="shared" si="407"/>
        <v>7634</v>
      </c>
      <c r="E2829" s="2">
        <f t="shared" si="408"/>
        <v>41760</v>
      </c>
      <c r="F2829" s="2">
        <f t="shared" si="409"/>
        <v>44561</v>
      </c>
    </row>
    <row r="2830" spans="1:6" x14ac:dyDescent="0.25">
      <c r="A2830" s="1" t="s">
        <v>431</v>
      </c>
      <c r="B2830" s="1" t="s">
        <v>430</v>
      </c>
      <c r="C2830" s="1" t="s">
        <v>28</v>
      </c>
      <c r="D2830" s="3">
        <f t="shared" si="407"/>
        <v>7634</v>
      </c>
      <c r="E2830" s="2">
        <f t="shared" si="408"/>
        <v>41760</v>
      </c>
      <c r="F2830" s="2">
        <f t="shared" si="409"/>
        <v>44561</v>
      </c>
    </row>
    <row r="2831" spans="1:6" x14ac:dyDescent="0.25">
      <c r="A2831" s="1" t="s">
        <v>431</v>
      </c>
      <c r="B2831" s="1" t="s">
        <v>430</v>
      </c>
      <c r="C2831" s="1" t="s">
        <v>29</v>
      </c>
      <c r="D2831" s="3">
        <f t="shared" si="407"/>
        <v>7634</v>
      </c>
      <c r="E2831" s="2">
        <f t="shared" si="408"/>
        <v>41760</v>
      </c>
      <c r="F2831" s="2">
        <f t="shared" si="409"/>
        <v>44561</v>
      </c>
    </row>
    <row r="2832" spans="1:6" x14ac:dyDescent="0.25">
      <c r="A2832" s="1" t="s">
        <v>431</v>
      </c>
      <c r="B2832" s="1" t="s">
        <v>430</v>
      </c>
      <c r="C2832" s="1" t="s">
        <v>234</v>
      </c>
      <c r="D2832" s="3">
        <f t="shared" si="407"/>
        <v>7634</v>
      </c>
      <c r="E2832" s="2">
        <f t="shared" si="408"/>
        <v>41760</v>
      </c>
      <c r="F2832" s="2">
        <f t="shared" si="409"/>
        <v>44561</v>
      </c>
    </row>
    <row r="2833" spans="1:6" x14ac:dyDescent="0.25">
      <c r="A2833" s="1" t="s">
        <v>431</v>
      </c>
      <c r="B2833" s="1" t="s">
        <v>430</v>
      </c>
      <c r="C2833" s="1" t="s">
        <v>30</v>
      </c>
      <c r="D2833" s="3">
        <f t="shared" si="407"/>
        <v>7634</v>
      </c>
      <c r="E2833" s="2">
        <f t="shared" si="408"/>
        <v>41760</v>
      </c>
      <c r="F2833" s="2">
        <f t="shared" si="409"/>
        <v>44561</v>
      </c>
    </row>
    <row r="2834" spans="1:6" x14ac:dyDescent="0.25">
      <c r="A2834" s="1" t="s">
        <v>431</v>
      </c>
      <c r="B2834" s="1" t="s">
        <v>430</v>
      </c>
      <c r="C2834" s="1" t="s">
        <v>238</v>
      </c>
      <c r="D2834" s="3">
        <f t="shared" si="407"/>
        <v>7634</v>
      </c>
      <c r="E2834" s="2">
        <f t="shared" si="408"/>
        <v>41760</v>
      </c>
      <c r="F2834" s="2">
        <f t="shared" si="409"/>
        <v>44561</v>
      </c>
    </row>
    <row r="2835" spans="1:6" x14ac:dyDescent="0.25">
      <c r="A2835" s="1" t="s">
        <v>431</v>
      </c>
      <c r="B2835" s="1" t="s">
        <v>430</v>
      </c>
      <c r="C2835" s="1" t="s">
        <v>73</v>
      </c>
      <c r="D2835" s="3">
        <f t="shared" si="407"/>
        <v>7634</v>
      </c>
      <c r="E2835" s="2">
        <f t="shared" si="408"/>
        <v>41760</v>
      </c>
      <c r="F2835" s="2">
        <f t="shared" si="409"/>
        <v>44561</v>
      </c>
    </row>
    <row r="2836" spans="1:6" x14ac:dyDescent="0.25">
      <c r="A2836" s="1" t="s">
        <v>431</v>
      </c>
      <c r="B2836" s="1" t="s">
        <v>430</v>
      </c>
      <c r="C2836" s="1" t="s">
        <v>31</v>
      </c>
      <c r="D2836" s="3">
        <f t="shared" si="407"/>
        <v>7634</v>
      </c>
      <c r="E2836" s="2">
        <f t="shared" si="408"/>
        <v>41760</v>
      </c>
      <c r="F2836" s="2">
        <f t="shared" si="409"/>
        <v>44561</v>
      </c>
    </row>
    <row r="2837" spans="1:6" x14ac:dyDescent="0.25">
      <c r="A2837" s="1" t="s">
        <v>431</v>
      </c>
      <c r="B2837" s="1" t="s">
        <v>430</v>
      </c>
      <c r="C2837" s="1" t="s">
        <v>213</v>
      </c>
      <c r="D2837" s="3">
        <f t="shared" si="407"/>
        <v>7634</v>
      </c>
      <c r="E2837" s="2">
        <f t="shared" si="408"/>
        <v>41760</v>
      </c>
      <c r="F2837" s="2">
        <f t="shared" si="409"/>
        <v>44561</v>
      </c>
    </row>
    <row r="2838" spans="1:6" x14ac:dyDescent="0.25">
      <c r="A2838" s="1" t="s">
        <v>431</v>
      </c>
      <c r="B2838" s="1" t="s">
        <v>430</v>
      </c>
      <c r="C2838" s="1" t="s">
        <v>52</v>
      </c>
      <c r="D2838" s="3">
        <f t="shared" si="407"/>
        <v>7634</v>
      </c>
      <c r="E2838" s="2">
        <f t="shared" si="408"/>
        <v>41760</v>
      </c>
      <c r="F2838" s="2">
        <f t="shared" si="409"/>
        <v>44561</v>
      </c>
    </row>
    <row r="2839" spans="1:6" x14ac:dyDescent="0.25">
      <c r="A2839" s="1" t="s">
        <v>431</v>
      </c>
      <c r="B2839" s="1" t="s">
        <v>430</v>
      </c>
      <c r="C2839" s="1" t="s">
        <v>34</v>
      </c>
      <c r="D2839" s="3">
        <f t="shared" si="407"/>
        <v>7634</v>
      </c>
      <c r="E2839" s="2">
        <f t="shared" si="408"/>
        <v>41760</v>
      </c>
      <c r="F2839" s="2">
        <f t="shared" si="409"/>
        <v>44561</v>
      </c>
    </row>
    <row r="2840" spans="1:6" x14ac:dyDescent="0.25">
      <c r="A2840" s="1" t="s">
        <v>431</v>
      </c>
      <c r="B2840" s="1" t="s">
        <v>430</v>
      </c>
      <c r="C2840" s="1" t="s">
        <v>433</v>
      </c>
      <c r="D2840" s="3">
        <f t="shared" si="407"/>
        <v>7634</v>
      </c>
      <c r="E2840" s="2">
        <f t="shared" si="408"/>
        <v>41760</v>
      </c>
      <c r="F2840" s="2">
        <f t="shared" si="409"/>
        <v>44561</v>
      </c>
    </row>
    <row r="2841" spans="1:6" x14ac:dyDescent="0.25">
      <c r="A2841" s="1" t="s">
        <v>431</v>
      </c>
      <c r="B2841" s="1" t="s">
        <v>430</v>
      </c>
      <c r="C2841" s="1" t="s">
        <v>116</v>
      </c>
      <c r="D2841" s="3">
        <f t="shared" si="407"/>
        <v>7634</v>
      </c>
      <c r="E2841" s="2">
        <f t="shared" si="408"/>
        <v>41760</v>
      </c>
      <c r="F2841" s="2">
        <f t="shared" si="409"/>
        <v>44561</v>
      </c>
    </row>
    <row r="2842" spans="1:6" x14ac:dyDescent="0.25">
      <c r="A2842" s="1" t="s">
        <v>431</v>
      </c>
      <c r="B2842" s="1" t="s">
        <v>1720</v>
      </c>
      <c r="C2842" s="1" t="s">
        <v>7</v>
      </c>
      <c r="D2842" s="3">
        <f>VALUE("7592")</f>
        <v>7592</v>
      </c>
      <c r="E2842" s="2">
        <f>DATEVALUE("1-2-2014")</f>
        <v>41671</v>
      </c>
      <c r="F2842" s="2">
        <f>DATEVALUE("30-9-2016")</f>
        <v>42643</v>
      </c>
    </row>
    <row r="2843" spans="1:6" x14ac:dyDescent="0.25">
      <c r="A2843" s="1" t="s">
        <v>431</v>
      </c>
      <c r="B2843" s="1" t="s">
        <v>1720</v>
      </c>
      <c r="C2843" s="1" t="s">
        <v>212</v>
      </c>
      <c r="D2843" s="3">
        <f>VALUE("7592")</f>
        <v>7592</v>
      </c>
      <c r="E2843" s="2">
        <f>DATEVALUE("1-2-2014")</f>
        <v>41671</v>
      </c>
      <c r="F2843" s="2">
        <f>DATEVALUE("30-9-2016")</f>
        <v>42643</v>
      </c>
    </row>
    <row r="2844" spans="1:6" x14ac:dyDescent="0.25">
      <c r="A2844" s="1" t="s">
        <v>431</v>
      </c>
      <c r="B2844" s="1" t="s">
        <v>2748</v>
      </c>
      <c r="C2844" s="1" t="s">
        <v>7</v>
      </c>
      <c r="D2844" s="3">
        <f t="shared" ref="D2844:D2849" si="410">VALUE("7557")</f>
        <v>7557</v>
      </c>
      <c r="E2844" s="2">
        <f t="shared" ref="E2844:E2871" si="411">DATEVALUE("1-1-2014")</f>
        <v>41640</v>
      </c>
      <c r="F2844" s="2">
        <f t="shared" ref="F2844:F2849" si="412">DATEVALUE("31-12-2014")</f>
        <v>42004</v>
      </c>
    </row>
    <row r="2845" spans="1:6" x14ac:dyDescent="0.25">
      <c r="A2845" s="1" t="s">
        <v>431</v>
      </c>
      <c r="B2845" s="1" t="s">
        <v>2748</v>
      </c>
      <c r="C2845" s="1" t="s">
        <v>45</v>
      </c>
      <c r="D2845" s="3">
        <f t="shared" si="410"/>
        <v>7557</v>
      </c>
      <c r="E2845" s="2">
        <f t="shared" si="411"/>
        <v>41640</v>
      </c>
      <c r="F2845" s="2">
        <f t="shared" si="412"/>
        <v>42004</v>
      </c>
    </row>
    <row r="2846" spans="1:6" x14ac:dyDescent="0.25">
      <c r="A2846" s="1" t="s">
        <v>431</v>
      </c>
      <c r="B2846" s="1" t="s">
        <v>2748</v>
      </c>
      <c r="C2846" s="1" t="s">
        <v>15</v>
      </c>
      <c r="D2846" s="3">
        <f t="shared" si="410"/>
        <v>7557</v>
      </c>
      <c r="E2846" s="2">
        <f t="shared" si="411"/>
        <v>41640</v>
      </c>
      <c r="F2846" s="2">
        <f t="shared" si="412"/>
        <v>42004</v>
      </c>
    </row>
    <row r="2847" spans="1:6" x14ac:dyDescent="0.25">
      <c r="A2847" s="1" t="s">
        <v>431</v>
      </c>
      <c r="B2847" s="1" t="s">
        <v>2748</v>
      </c>
      <c r="C2847" s="1" t="s">
        <v>17</v>
      </c>
      <c r="D2847" s="3">
        <f t="shared" si="410"/>
        <v>7557</v>
      </c>
      <c r="E2847" s="2">
        <f t="shared" si="411"/>
        <v>41640</v>
      </c>
      <c r="F2847" s="2">
        <f t="shared" si="412"/>
        <v>42004</v>
      </c>
    </row>
    <row r="2848" spans="1:6" x14ac:dyDescent="0.25">
      <c r="A2848" s="1" t="s">
        <v>431</v>
      </c>
      <c r="B2848" s="1" t="s">
        <v>2748</v>
      </c>
      <c r="C2848" s="1" t="s">
        <v>27</v>
      </c>
      <c r="D2848" s="3">
        <f t="shared" si="410"/>
        <v>7557</v>
      </c>
      <c r="E2848" s="2">
        <f t="shared" si="411"/>
        <v>41640</v>
      </c>
      <c r="F2848" s="2">
        <f t="shared" si="412"/>
        <v>42004</v>
      </c>
    </row>
    <row r="2849" spans="1:6" x14ac:dyDescent="0.25">
      <c r="A2849" s="1" t="s">
        <v>431</v>
      </c>
      <c r="B2849" s="1" t="s">
        <v>2748</v>
      </c>
      <c r="C2849" s="1" t="s">
        <v>262</v>
      </c>
      <c r="D2849" s="3">
        <f t="shared" si="410"/>
        <v>7557</v>
      </c>
      <c r="E2849" s="2">
        <f t="shared" si="411"/>
        <v>41640</v>
      </c>
      <c r="F2849" s="2">
        <f t="shared" si="412"/>
        <v>42004</v>
      </c>
    </row>
    <row r="2850" spans="1:6" x14ac:dyDescent="0.25">
      <c r="A2850" s="1" t="s">
        <v>431</v>
      </c>
      <c r="B2850" s="1" t="s">
        <v>1923</v>
      </c>
      <c r="C2850" s="1" t="s">
        <v>39</v>
      </c>
      <c r="D2850" s="3">
        <f t="shared" ref="D2850:D2871" si="413">VALUE("7581")</f>
        <v>7581</v>
      </c>
      <c r="E2850" s="2">
        <f t="shared" si="411"/>
        <v>41640</v>
      </c>
      <c r="F2850" s="2">
        <f t="shared" ref="F2850:F2871" si="414">DATEVALUE("31-10-2018")</f>
        <v>43404</v>
      </c>
    </row>
    <row r="2851" spans="1:6" x14ac:dyDescent="0.25">
      <c r="A2851" s="1" t="s">
        <v>431</v>
      </c>
      <c r="B2851" s="1" t="s">
        <v>1923</v>
      </c>
      <c r="C2851" s="1" t="s">
        <v>256</v>
      </c>
      <c r="D2851" s="3">
        <f t="shared" si="413"/>
        <v>7581</v>
      </c>
      <c r="E2851" s="2">
        <f t="shared" si="411"/>
        <v>41640</v>
      </c>
      <c r="F2851" s="2">
        <f t="shared" si="414"/>
        <v>43404</v>
      </c>
    </row>
    <row r="2852" spans="1:6" x14ac:dyDescent="0.25">
      <c r="A2852" s="1" t="s">
        <v>431</v>
      </c>
      <c r="B2852" s="1" t="s">
        <v>1923</v>
      </c>
      <c r="C2852" s="1" t="s">
        <v>43</v>
      </c>
      <c r="D2852" s="3">
        <f t="shared" si="413"/>
        <v>7581</v>
      </c>
      <c r="E2852" s="2">
        <f t="shared" si="411"/>
        <v>41640</v>
      </c>
      <c r="F2852" s="2">
        <f t="shared" si="414"/>
        <v>43404</v>
      </c>
    </row>
    <row r="2853" spans="1:6" x14ac:dyDescent="0.25">
      <c r="A2853" s="1" t="s">
        <v>431</v>
      </c>
      <c r="B2853" s="1" t="s">
        <v>1923</v>
      </c>
      <c r="C2853" s="1" t="s">
        <v>485</v>
      </c>
      <c r="D2853" s="3">
        <f t="shared" si="413"/>
        <v>7581</v>
      </c>
      <c r="E2853" s="2">
        <f t="shared" si="411"/>
        <v>41640</v>
      </c>
      <c r="F2853" s="2">
        <f t="shared" si="414"/>
        <v>43404</v>
      </c>
    </row>
    <row r="2854" spans="1:6" x14ac:dyDescent="0.25">
      <c r="A2854" s="1" t="s">
        <v>431</v>
      </c>
      <c r="B2854" s="1" t="s">
        <v>1923</v>
      </c>
      <c r="C2854" s="1" t="s">
        <v>46</v>
      </c>
      <c r="D2854" s="3">
        <f t="shared" si="413"/>
        <v>7581</v>
      </c>
      <c r="E2854" s="2">
        <f t="shared" si="411"/>
        <v>41640</v>
      </c>
      <c r="F2854" s="2">
        <f t="shared" si="414"/>
        <v>43404</v>
      </c>
    </row>
    <row r="2855" spans="1:6" x14ac:dyDescent="0.25">
      <c r="A2855" s="1" t="s">
        <v>431</v>
      </c>
      <c r="B2855" s="1" t="s">
        <v>1923</v>
      </c>
      <c r="C2855" s="1" t="s">
        <v>87</v>
      </c>
      <c r="D2855" s="3">
        <f t="shared" si="413"/>
        <v>7581</v>
      </c>
      <c r="E2855" s="2">
        <f t="shared" si="411"/>
        <v>41640</v>
      </c>
      <c r="F2855" s="2">
        <f t="shared" si="414"/>
        <v>43404</v>
      </c>
    </row>
    <row r="2856" spans="1:6" x14ac:dyDescent="0.25">
      <c r="A2856" s="1" t="s">
        <v>431</v>
      </c>
      <c r="B2856" s="1" t="s">
        <v>1923</v>
      </c>
      <c r="C2856" s="1" t="s">
        <v>15</v>
      </c>
      <c r="D2856" s="3">
        <f t="shared" si="413"/>
        <v>7581</v>
      </c>
      <c r="E2856" s="2">
        <f t="shared" si="411"/>
        <v>41640</v>
      </c>
      <c r="F2856" s="2">
        <f t="shared" si="414"/>
        <v>43404</v>
      </c>
    </row>
    <row r="2857" spans="1:6" x14ac:dyDescent="0.25">
      <c r="A2857" s="1" t="s">
        <v>431</v>
      </c>
      <c r="B2857" s="1" t="s">
        <v>1923</v>
      </c>
      <c r="C2857" s="1" t="s">
        <v>17</v>
      </c>
      <c r="D2857" s="3">
        <f t="shared" si="413"/>
        <v>7581</v>
      </c>
      <c r="E2857" s="2">
        <f t="shared" si="411"/>
        <v>41640</v>
      </c>
      <c r="F2857" s="2">
        <f t="shared" si="414"/>
        <v>43404</v>
      </c>
    </row>
    <row r="2858" spans="1:6" x14ac:dyDescent="0.25">
      <c r="A2858" s="1" t="s">
        <v>431</v>
      </c>
      <c r="B2858" s="1" t="s">
        <v>1923</v>
      </c>
      <c r="C2858" s="1" t="s">
        <v>168</v>
      </c>
      <c r="D2858" s="3">
        <f t="shared" si="413"/>
        <v>7581</v>
      </c>
      <c r="E2858" s="2">
        <f t="shared" si="411"/>
        <v>41640</v>
      </c>
      <c r="F2858" s="2">
        <f t="shared" si="414"/>
        <v>43404</v>
      </c>
    </row>
    <row r="2859" spans="1:6" x14ac:dyDescent="0.25">
      <c r="A2859" s="1" t="s">
        <v>431</v>
      </c>
      <c r="B2859" s="1" t="s">
        <v>1923</v>
      </c>
      <c r="C2859" s="1" t="s">
        <v>258</v>
      </c>
      <c r="D2859" s="3">
        <f t="shared" si="413"/>
        <v>7581</v>
      </c>
      <c r="E2859" s="2">
        <f t="shared" si="411"/>
        <v>41640</v>
      </c>
      <c r="F2859" s="2">
        <f t="shared" si="414"/>
        <v>43404</v>
      </c>
    </row>
    <row r="2860" spans="1:6" x14ac:dyDescent="0.25">
      <c r="A2860" s="1" t="s">
        <v>431</v>
      </c>
      <c r="B2860" s="1" t="s">
        <v>1923</v>
      </c>
      <c r="C2860" s="1" t="s">
        <v>384</v>
      </c>
      <c r="D2860" s="3">
        <f t="shared" si="413"/>
        <v>7581</v>
      </c>
      <c r="E2860" s="2">
        <f t="shared" si="411"/>
        <v>41640</v>
      </c>
      <c r="F2860" s="2">
        <f t="shared" si="414"/>
        <v>43404</v>
      </c>
    </row>
    <row r="2861" spans="1:6" x14ac:dyDescent="0.25">
      <c r="A2861" s="1" t="s">
        <v>431</v>
      </c>
      <c r="B2861" s="1" t="s">
        <v>1923</v>
      </c>
      <c r="C2861" s="1" t="s">
        <v>147</v>
      </c>
      <c r="D2861" s="3">
        <f t="shared" si="413"/>
        <v>7581</v>
      </c>
      <c r="E2861" s="2">
        <f t="shared" si="411"/>
        <v>41640</v>
      </c>
      <c r="F2861" s="2">
        <f t="shared" si="414"/>
        <v>43404</v>
      </c>
    </row>
    <row r="2862" spans="1:6" x14ac:dyDescent="0.25">
      <c r="A2862" s="1" t="s">
        <v>431</v>
      </c>
      <c r="B2862" s="1" t="s">
        <v>1923</v>
      </c>
      <c r="C2862" s="1" t="s">
        <v>99</v>
      </c>
      <c r="D2862" s="3">
        <f t="shared" si="413"/>
        <v>7581</v>
      </c>
      <c r="E2862" s="2">
        <f t="shared" si="411"/>
        <v>41640</v>
      </c>
      <c r="F2862" s="2">
        <f t="shared" si="414"/>
        <v>43404</v>
      </c>
    </row>
    <row r="2863" spans="1:6" x14ac:dyDescent="0.25">
      <c r="A2863" s="1" t="s">
        <v>431</v>
      </c>
      <c r="B2863" s="1" t="s">
        <v>1923</v>
      </c>
      <c r="C2863" s="1" t="s">
        <v>457</v>
      </c>
      <c r="D2863" s="3">
        <f t="shared" si="413"/>
        <v>7581</v>
      </c>
      <c r="E2863" s="2">
        <f t="shared" si="411"/>
        <v>41640</v>
      </c>
      <c r="F2863" s="2">
        <f t="shared" si="414"/>
        <v>43404</v>
      </c>
    </row>
    <row r="2864" spans="1:6" x14ac:dyDescent="0.25">
      <c r="A2864" s="1" t="s">
        <v>431</v>
      </c>
      <c r="B2864" s="1" t="s">
        <v>1923</v>
      </c>
      <c r="C2864" s="1" t="s">
        <v>216</v>
      </c>
      <c r="D2864" s="3">
        <f t="shared" si="413"/>
        <v>7581</v>
      </c>
      <c r="E2864" s="2">
        <f t="shared" si="411"/>
        <v>41640</v>
      </c>
      <c r="F2864" s="2">
        <f t="shared" si="414"/>
        <v>43404</v>
      </c>
    </row>
    <row r="2865" spans="1:6" x14ac:dyDescent="0.25">
      <c r="A2865" s="1" t="s">
        <v>431</v>
      </c>
      <c r="B2865" s="1" t="s">
        <v>1923</v>
      </c>
      <c r="C2865" s="1" t="s">
        <v>73</v>
      </c>
      <c r="D2865" s="3">
        <f t="shared" si="413"/>
        <v>7581</v>
      </c>
      <c r="E2865" s="2">
        <f t="shared" si="411"/>
        <v>41640</v>
      </c>
      <c r="F2865" s="2">
        <f t="shared" si="414"/>
        <v>43404</v>
      </c>
    </row>
    <row r="2866" spans="1:6" x14ac:dyDescent="0.25">
      <c r="A2866" s="1" t="s">
        <v>431</v>
      </c>
      <c r="B2866" s="1" t="s">
        <v>1923</v>
      </c>
      <c r="C2866" s="1" t="s">
        <v>519</v>
      </c>
      <c r="D2866" s="3">
        <f t="shared" si="413"/>
        <v>7581</v>
      </c>
      <c r="E2866" s="2">
        <f t="shared" si="411"/>
        <v>41640</v>
      </c>
      <c r="F2866" s="2">
        <f t="shared" si="414"/>
        <v>43404</v>
      </c>
    </row>
    <row r="2867" spans="1:6" x14ac:dyDescent="0.25">
      <c r="A2867" s="1" t="s">
        <v>431</v>
      </c>
      <c r="B2867" s="1" t="s">
        <v>1923</v>
      </c>
      <c r="C2867" s="1" t="s">
        <v>57</v>
      </c>
      <c r="D2867" s="3">
        <f t="shared" si="413"/>
        <v>7581</v>
      </c>
      <c r="E2867" s="2">
        <f t="shared" si="411"/>
        <v>41640</v>
      </c>
      <c r="F2867" s="2">
        <f t="shared" si="414"/>
        <v>43404</v>
      </c>
    </row>
    <row r="2868" spans="1:6" x14ac:dyDescent="0.25">
      <c r="A2868" s="1" t="s">
        <v>431</v>
      </c>
      <c r="B2868" s="1" t="s">
        <v>1923</v>
      </c>
      <c r="C2868" s="1" t="s">
        <v>133</v>
      </c>
      <c r="D2868" s="3">
        <f t="shared" si="413"/>
        <v>7581</v>
      </c>
      <c r="E2868" s="2">
        <f t="shared" si="411"/>
        <v>41640</v>
      </c>
      <c r="F2868" s="2">
        <f t="shared" si="414"/>
        <v>43404</v>
      </c>
    </row>
    <row r="2869" spans="1:6" x14ac:dyDescent="0.25">
      <c r="A2869" s="1" t="s">
        <v>431</v>
      </c>
      <c r="B2869" s="1" t="s">
        <v>1923</v>
      </c>
      <c r="C2869" s="1" t="s">
        <v>134</v>
      </c>
      <c r="D2869" s="3">
        <f t="shared" si="413"/>
        <v>7581</v>
      </c>
      <c r="E2869" s="2">
        <f t="shared" si="411"/>
        <v>41640</v>
      </c>
      <c r="F2869" s="2">
        <f t="shared" si="414"/>
        <v>43404</v>
      </c>
    </row>
    <row r="2870" spans="1:6" x14ac:dyDescent="0.25">
      <c r="A2870" s="1" t="s">
        <v>431</v>
      </c>
      <c r="B2870" s="1" t="s">
        <v>1923</v>
      </c>
      <c r="C2870" s="1" t="s">
        <v>169</v>
      </c>
      <c r="D2870" s="3">
        <f t="shared" si="413"/>
        <v>7581</v>
      </c>
      <c r="E2870" s="2">
        <f t="shared" si="411"/>
        <v>41640</v>
      </c>
      <c r="F2870" s="2">
        <f t="shared" si="414"/>
        <v>43404</v>
      </c>
    </row>
    <row r="2871" spans="1:6" x14ac:dyDescent="0.25">
      <c r="A2871" s="1" t="s">
        <v>431</v>
      </c>
      <c r="B2871" s="1" t="s">
        <v>1923</v>
      </c>
      <c r="C2871" s="1" t="s">
        <v>170</v>
      </c>
      <c r="D2871" s="3">
        <f t="shared" si="413"/>
        <v>7581</v>
      </c>
      <c r="E2871" s="2">
        <f t="shared" si="411"/>
        <v>41640</v>
      </c>
      <c r="F2871" s="2">
        <f t="shared" si="414"/>
        <v>43404</v>
      </c>
    </row>
    <row r="2872" spans="1:6" x14ac:dyDescent="0.25">
      <c r="A2872" s="1" t="s">
        <v>431</v>
      </c>
      <c r="B2872" s="1" t="s">
        <v>2150</v>
      </c>
      <c r="C2872" s="1" t="s">
        <v>8</v>
      </c>
      <c r="D2872" s="3">
        <f t="shared" ref="D2872:D2878" si="415">VALUE("7476")</f>
        <v>7476</v>
      </c>
      <c r="E2872" s="2">
        <f t="shared" ref="E2872:E2878" si="416">DATEVALUE("1-5-2013")</f>
        <v>41395</v>
      </c>
      <c r="F2872" s="2">
        <f t="shared" ref="F2872:F2878" si="417">DATEVALUE("30-6-2016")</f>
        <v>42551</v>
      </c>
    </row>
    <row r="2873" spans="1:6" x14ac:dyDescent="0.25">
      <c r="A2873" s="1" t="s">
        <v>431</v>
      </c>
      <c r="B2873" s="1" t="s">
        <v>2150</v>
      </c>
      <c r="C2873" s="1" t="s">
        <v>10</v>
      </c>
      <c r="D2873" s="3">
        <f t="shared" si="415"/>
        <v>7476</v>
      </c>
      <c r="E2873" s="2">
        <f t="shared" si="416"/>
        <v>41395</v>
      </c>
      <c r="F2873" s="2">
        <f t="shared" si="417"/>
        <v>42551</v>
      </c>
    </row>
    <row r="2874" spans="1:6" x14ac:dyDescent="0.25">
      <c r="A2874" s="1" t="s">
        <v>431</v>
      </c>
      <c r="B2874" s="1" t="s">
        <v>2150</v>
      </c>
      <c r="C2874" s="1" t="s">
        <v>45</v>
      </c>
      <c r="D2874" s="3">
        <f t="shared" si="415"/>
        <v>7476</v>
      </c>
      <c r="E2874" s="2">
        <f t="shared" si="416"/>
        <v>41395</v>
      </c>
      <c r="F2874" s="2">
        <f t="shared" si="417"/>
        <v>42551</v>
      </c>
    </row>
    <row r="2875" spans="1:6" x14ac:dyDescent="0.25">
      <c r="A2875" s="1" t="s">
        <v>431</v>
      </c>
      <c r="B2875" s="1" t="s">
        <v>2150</v>
      </c>
      <c r="C2875" s="1" t="s">
        <v>16</v>
      </c>
      <c r="D2875" s="3">
        <f t="shared" si="415"/>
        <v>7476</v>
      </c>
      <c r="E2875" s="2">
        <f t="shared" si="416"/>
        <v>41395</v>
      </c>
      <c r="F2875" s="2">
        <f t="shared" si="417"/>
        <v>42551</v>
      </c>
    </row>
    <row r="2876" spans="1:6" x14ac:dyDescent="0.25">
      <c r="A2876" s="1" t="s">
        <v>431</v>
      </c>
      <c r="B2876" s="1" t="s">
        <v>2150</v>
      </c>
      <c r="C2876" s="1" t="s">
        <v>17</v>
      </c>
      <c r="D2876" s="3">
        <f t="shared" si="415"/>
        <v>7476</v>
      </c>
      <c r="E2876" s="2">
        <f t="shared" si="416"/>
        <v>41395</v>
      </c>
      <c r="F2876" s="2">
        <f t="shared" si="417"/>
        <v>42551</v>
      </c>
    </row>
    <row r="2877" spans="1:6" x14ac:dyDescent="0.25">
      <c r="A2877" s="1" t="s">
        <v>431</v>
      </c>
      <c r="B2877" s="1" t="s">
        <v>2150</v>
      </c>
      <c r="C2877" s="1" t="s">
        <v>328</v>
      </c>
      <c r="D2877" s="3">
        <f t="shared" si="415"/>
        <v>7476</v>
      </c>
      <c r="E2877" s="2">
        <f t="shared" si="416"/>
        <v>41395</v>
      </c>
      <c r="F2877" s="2">
        <f t="shared" si="417"/>
        <v>42551</v>
      </c>
    </row>
    <row r="2878" spans="1:6" x14ac:dyDescent="0.25">
      <c r="A2878" s="1" t="s">
        <v>431</v>
      </c>
      <c r="B2878" s="1" t="s">
        <v>2150</v>
      </c>
      <c r="C2878" s="1" t="s">
        <v>2151</v>
      </c>
      <c r="D2878" s="3">
        <f t="shared" si="415"/>
        <v>7476</v>
      </c>
      <c r="E2878" s="2">
        <f t="shared" si="416"/>
        <v>41395</v>
      </c>
      <c r="F2878" s="2">
        <f t="shared" si="417"/>
        <v>42551</v>
      </c>
    </row>
    <row r="2879" spans="1:6" x14ac:dyDescent="0.25">
      <c r="A2879" s="1" t="s">
        <v>431</v>
      </c>
      <c r="B2879" s="1" t="s">
        <v>2140</v>
      </c>
      <c r="C2879" s="1" t="s">
        <v>8</v>
      </c>
      <c r="D2879" s="3">
        <f t="shared" ref="D2879:D2893" si="418">VALUE("7439")</f>
        <v>7439</v>
      </c>
      <c r="E2879" s="2">
        <f t="shared" ref="E2879:E2893" si="419">DATEVALUE("1-4-2013")</f>
        <v>41365</v>
      </c>
      <c r="F2879" s="2">
        <f t="shared" ref="F2879:F2893" si="420">DATEVALUE("30-6-2019")</f>
        <v>43646</v>
      </c>
    </row>
    <row r="2880" spans="1:6" x14ac:dyDescent="0.25">
      <c r="A2880" s="1" t="s">
        <v>431</v>
      </c>
      <c r="B2880" s="1" t="s">
        <v>2140</v>
      </c>
      <c r="C2880" s="1" t="s">
        <v>11</v>
      </c>
      <c r="D2880" s="3">
        <f t="shared" si="418"/>
        <v>7439</v>
      </c>
      <c r="E2880" s="2">
        <f t="shared" si="419"/>
        <v>41365</v>
      </c>
      <c r="F2880" s="2">
        <f t="shared" si="420"/>
        <v>43646</v>
      </c>
    </row>
    <row r="2881" spans="1:6" x14ac:dyDescent="0.25">
      <c r="A2881" s="1" t="s">
        <v>431</v>
      </c>
      <c r="B2881" s="1" t="s">
        <v>2140</v>
      </c>
      <c r="C2881" s="1" t="s">
        <v>137</v>
      </c>
      <c r="D2881" s="3">
        <f t="shared" si="418"/>
        <v>7439</v>
      </c>
      <c r="E2881" s="2">
        <f t="shared" si="419"/>
        <v>41365</v>
      </c>
      <c r="F2881" s="2">
        <f t="shared" si="420"/>
        <v>43646</v>
      </c>
    </row>
    <row r="2882" spans="1:6" x14ac:dyDescent="0.25">
      <c r="A2882" s="1" t="s">
        <v>431</v>
      </c>
      <c r="B2882" s="1" t="s">
        <v>2140</v>
      </c>
      <c r="C2882" s="1" t="s">
        <v>46</v>
      </c>
      <c r="D2882" s="3">
        <f t="shared" si="418"/>
        <v>7439</v>
      </c>
      <c r="E2882" s="2">
        <f t="shared" si="419"/>
        <v>41365</v>
      </c>
      <c r="F2882" s="2">
        <f t="shared" si="420"/>
        <v>43646</v>
      </c>
    </row>
    <row r="2883" spans="1:6" x14ac:dyDescent="0.25">
      <c r="A2883" s="1" t="s">
        <v>431</v>
      </c>
      <c r="B2883" s="1" t="s">
        <v>2140</v>
      </c>
      <c r="C2883" s="1" t="s">
        <v>66</v>
      </c>
      <c r="D2883" s="3">
        <f t="shared" si="418"/>
        <v>7439</v>
      </c>
      <c r="E2883" s="2">
        <f t="shared" si="419"/>
        <v>41365</v>
      </c>
      <c r="F2883" s="2">
        <f t="shared" si="420"/>
        <v>43646</v>
      </c>
    </row>
    <row r="2884" spans="1:6" x14ac:dyDescent="0.25">
      <c r="A2884" s="1" t="s">
        <v>431</v>
      </c>
      <c r="B2884" s="1" t="s">
        <v>2140</v>
      </c>
      <c r="C2884" s="1" t="s">
        <v>15</v>
      </c>
      <c r="D2884" s="3">
        <f t="shared" si="418"/>
        <v>7439</v>
      </c>
      <c r="E2884" s="2">
        <f t="shared" si="419"/>
        <v>41365</v>
      </c>
      <c r="F2884" s="2">
        <f t="shared" si="420"/>
        <v>43646</v>
      </c>
    </row>
    <row r="2885" spans="1:6" x14ac:dyDescent="0.25">
      <c r="A2885" s="1" t="s">
        <v>431</v>
      </c>
      <c r="B2885" s="1" t="s">
        <v>2140</v>
      </c>
      <c r="C2885" s="1" t="s">
        <v>17</v>
      </c>
      <c r="D2885" s="3">
        <f t="shared" si="418"/>
        <v>7439</v>
      </c>
      <c r="E2885" s="2">
        <f t="shared" si="419"/>
        <v>41365</v>
      </c>
      <c r="F2885" s="2">
        <f t="shared" si="420"/>
        <v>43646</v>
      </c>
    </row>
    <row r="2886" spans="1:6" x14ac:dyDescent="0.25">
      <c r="A2886" s="1" t="s">
        <v>431</v>
      </c>
      <c r="B2886" s="1" t="s">
        <v>2140</v>
      </c>
      <c r="C2886" s="1" t="s">
        <v>20</v>
      </c>
      <c r="D2886" s="3">
        <f t="shared" si="418"/>
        <v>7439</v>
      </c>
      <c r="E2886" s="2">
        <f t="shared" si="419"/>
        <v>41365</v>
      </c>
      <c r="F2886" s="2">
        <f t="shared" si="420"/>
        <v>43646</v>
      </c>
    </row>
    <row r="2887" spans="1:6" x14ac:dyDescent="0.25">
      <c r="A2887" s="1" t="s">
        <v>431</v>
      </c>
      <c r="B2887" s="1" t="s">
        <v>2140</v>
      </c>
      <c r="C2887" s="1" t="s">
        <v>146</v>
      </c>
      <c r="D2887" s="3">
        <f t="shared" si="418"/>
        <v>7439</v>
      </c>
      <c r="E2887" s="2">
        <f t="shared" si="419"/>
        <v>41365</v>
      </c>
      <c r="F2887" s="2">
        <f t="shared" si="420"/>
        <v>43646</v>
      </c>
    </row>
    <row r="2888" spans="1:6" x14ac:dyDescent="0.25">
      <c r="A2888" s="1" t="s">
        <v>431</v>
      </c>
      <c r="B2888" s="1" t="s">
        <v>2140</v>
      </c>
      <c r="C2888" s="1" t="s">
        <v>148</v>
      </c>
      <c r="D2888" s="3">
        <f t="shared" si="418"/>
        <v>7439</v>
      </c>
      <c r="E2888" s="2">
        <f t="shared" si="419"/>
        <v>41365</v>
      </c>
      <c r="F2888" s="2">
        <f t="shared" si="420"/>
        <v>43646</v>
      </c>
    </row>
    <row r="2889" spans="1:6" x14ac:dyDescent="0.25">
      <c r="A2889" s="1" t="s">
        <v>431</v>
      </c>
      <c r="B2889" s="1" t="s">
        <v>2140</v>
      </c>
      <c r="C2889" s="1" t="s">
        <v>150</v>
      </c>
      <c r="D2889" s="3">
        <f t="shared" si="418"/>
        <v>7439</v>
      </c>
      <c r="E2889" s="2">
        <f t="shared" si="419"/>
        <v>41365</v>
      </c>
      <c r="F2889" s="2">
        <f t="shared" si="420"/>
        <v>43646</v>
      </c>
    </row>
    <row r="2890" spans="1:6" x14ac:dyDescent="0.25">
      <c r="A2890" s="1" t="s">
        <v>431</v>
      </c>
      <c r="B2890" s="1" t="s">
        <v>2140</v>
      </c>
      <c r="C2890" s="1" t="s">
        <v>27</v>
      </c>
      <c r="D2890" s="3">
        <f t="shared" si="418"/>
        <v>7439</v>
      </c>
      <c r="E2890" s="2">
        <f t="shared" si="419"/>
        <v>41365</v>
      </c>
      <c r="F2890" s="2">
        <f t="shared" si="420"/>
        <v>43646</v>
      </c>
    </row>
    <row r="2891" spans="1:6" x14ac:dyDescent="0.25">
      <c r="A2891" s="1" t="s">
        <v>431</v>
      </c>
      <c r="B2891" s="1" t="s">
        <v>2140</v>
      </c>
      <c r="C2891" s="1" t="s">
        <v>262</v>
      </c>
      <c r="D2891" s="3">
        <f t="shared" si="418"/>
        <v>7439</v>
      </c>
      <c r="E2891" s="2">
        <f t="shared" si="419"/>
        <v>41365</v>
      </c>
      <c r="F2891" s="2">
        <f t="shared" si="420"/>
        <v>43646</v>
      </c>
    </row>
    <row r="2892" spans="1:6" x14ac:dyDescent="0.25">
      <c r="A2892" s="1" t="s">
        <v>431</v>
      </c>
      <c r="B2892" s="1" t="s">
        <v>2140</v>
      </c>
      <c r="C2892" s="1" t="s">
        <v>160</v>
      </c>
      <c r="D2892" s="3">
        <f t="shared" si="418"/>
        <v>7439</v>
      </c>
      <c r="E2892" s="2">
        <f t="shared" si="419"/>
        <v>41365</v>
      </c>
      <c r="F2892" s="2">
        <f t="shared" si="420"/>
        <v>43646</v>
      </c>
    </row>
    <row r="2893" spans="1:6" x14ac:dyDescent="0.25">
      <c r="A2893" s="1" t="s">
        <v>431</v>
      </c>
      <c r="B2893" s="1" t="s">
        <v>2140</v>
      </c>
      <c r="C2893" s="1" t="s">
        <v>164</v>
      </c>
      <c r="D2893" s="3">
        <f t="shared" si="418"/>
        <v>7439</v>
      </c>
      <c r="E2893" s="2">
        <f t="shared" si="419"/>
        <v>41365</v>
      </c>
      <c r="F2893" s="2">
        <f t="shared" si="420"/>
        <v>43646</v>
      </c>
    </row>
    <row r="2894" spans="1:6" x14ac:dyDescent="0.25">
      <c r="A2894" s="1" t="s">
        <v>431</v>
      </c>
      <c r="B2894" s="1" t="s">
        <v>2714</v>
      </c>
      <c r="C2894" s="1" t="s">
        <v>1625</v>
      </c>
      <c r="D2894" s="3">
        <f t="shared" ref="D2894:D2907" si="421">VALUE("7458")</f>
        <v>7458</v>
      </c>
      <c r="E2894" s="2">
        <f t="shared" ref="E2894:E2907" si="422">DATEVALUE("1-3-2013")</f>
        <v>41334</v>
      </c>
      <c r="F2894" s="2">
        <f t="shared" ref="F2894:F2907" si="423">DATEVALUE("30-6-2020")</f>
        <v>44012</v>
      </c>
    </row>
    <row r="2895" spans="1:6" x14ac:dyDescent="0.25">
      <c r="A2895" s="1" t="s">
        <v>431</v>
      </c>
      <c r="B2895" s="1" t="s">
        <v>2714</v>
      </c>
      <c r="C2895" s="1" t="s">
        <v>8</v>
      </c>
      <c r="D2895" s="3">
        <f t="shared" si="421"/>
        <v>7458</v>
      </c>
      <c r="E2895" s="2">
        <f t="shared" si="422"/>
        <v>41334</v>
      </c>
      <c r="F2895" s="2">
        <f t="shared" si="423"/>
        <v>44012</v>
      </c>
    </row>
    <row r="2896" spans="1:6" x14ac:dyDescent="0.25">
      <c r="A2896" s="1" t="s">
        <v>431</v>
      </c>
      <c r="B2896" s="1" t="s">
        <v>2714</v>
      </c>
      <c r="C2896" s="1" t="s">
        <v>10</v>
      </c>
      <c r="D2896" s="3">
        <f t="shared" si="421"/>
        <v>7458</v>
      </c>
      <c r="E2896" s="2">
        <f t="shared" si="422"/>
        <v>41334</v>
      </c>
      <c r="F2896" s="2">
        <f t="shared" si="423"/>
        <v>44012</v>
      </c>
    </row>
    <row r="2897" spans="1:6" x14ac:dyDescent="0.25">
      <c r="A2897" s="1" t="s">
        <v>431</v>
      </c>
      <c r="B2897" s="1" t="s">
        <v>2714</v>
      </c>
      <c r="C2897" s="1" t="s">
        <v>11</v>
      </c>
      <c r="D2897" s="3">
        <f t="shared" si="421"/>
        <v>7458</v>
      </c>
      <c r="E2897" s="2">
        <f t="shared" si="422"/>
        <v>41334</v>
      </c>
      <c r="F2897" s="2">
        <f t="shared" si="423"/>
        <v>44012</v>
      </c>
    </row>
    <row r="2898" spans="1:6" x14ac:dyDescent="0.25">
      <c r="A2898" s="1" t="s">
        <v>431</v>
      </c>
      <c r="B2898" s="1" t="s">
        <v>2714</v>
      </c>
      <c r="C2898" s="1" t="s">
        <v>615</v>
      </c>
      <c r="D2898" s="3">
        <f t="shared" si="421"/>
        <v>7458</v>
      </c>
      <c r="E2898" s="2">
        <f t="shared" si="422"/>
        <v>41334</v>
      </c>
      <c r="F2898" s="2">
        <f t="shared" si="423"/>
        <v>44012</v>
      </c>
    </row>
    <row r="2899" spans="1:6" x14ac:dyDescent="0.25">
      <c r="A2899" s="1" t="s">
        <v>431</v>
      </c>
      <c r="B2899" s="1" t="s">
        <v>2714</v>
      </c>
      <c r="C2899" s="1" t="s">
        <v>15</v>
      </c>
      <c r="D2899" s="3">
        <f t="shared" si="421"/>
        <v>7458</v>
      </c>
      <c r="E2899" s="2">
        <f t="shared" si="422"/>
        <v>41334</v>
      </c>
      <c r="F2899" s="2">
        <f t="shared" si="423"/>
        <v>44012</v>
      </c>
    </row>
    <row r="2900" spans="1:6" x14ac:dyDescent="0.25">
      <c r="A2900" s="1" t="s">
        <v>431</v>
      </c>
      <c r="B2900" s="1" t="s">
        <v>2714</v>
      </c>
      <c r="C2900" s="1" t="s">
        <v>17</v>
      </c>
      <c r="D2900" s="3">
        <f t="shared" si="421"/>
        <v>7458</v>
      </c>
      <c r="E2900" s="2">
        <f t="shared" si="422"/>
        <v>41334</v>
      </c>
      <c r="F2900" s="2">
        <f t="shared" si="423"/>
        <v>44012</v>
      </c>
    </row>
    <row r="2901" spans="1:6" x14ac:dyDescent="0.25">
      <c r="A2901" s="1" t="s">
        <v>431</v>
      </c>
      <c r="B2901" s="1" t="s">
        <v>2714</v>
      </c>
      <c r="C2901" s="1" t="s">
        <v>22</v>
      </c>
      <c r="D2901" s="3">
        <f t="shared" si="421"/>
        <v>7458</v>
      </c>
      <c r="E2901" s="2">
        <f t="shared" si="422"/>
        <v>41334</v>
      </c>
      <c r="F2901" s="2">
        <f t="shared" si="423"/>
        <v>44012</v>
      </c>
    </row>
    <row r="2902" spans="1:6" x14ac:dyDescent="0.25">
      <c r="A2902" s="1" t="s">
        <v>431</v>
      </c>
      <c r="B2902" s="1" t="s">
        <v>2714</v>
      </c>
      <c r="C2902" s="1" t="s">
        <v>172</v>
      </c>
      <c r="D2902" s="3">
        <f t="shared" si="421"/>
        <v>7458</v>
      </c>
      <c r="E2902" s="2">
        <f t="shared" si="422"/>
        <v>41334</v>
      </c>
      <c r="F2902" s="2">
        <f t="shared" si="423"/>
        <v>44012</v>
      </c>
    </row>
    <row r="2903" spans="1:6" x14ac:dyDescent="0.25">
      <c r="A2903" s="1" t="s">
        <v>431</v>
      </c>
      <c r="B2903" s="1" t="s">
        <v>2714</v>
      </c>
      <c r="C2903" s="1" t="s">
        <v>1624</v>
      </c>
      <c r="D2903" s="3">
        <f t="shared" si="421"/>
        <v>7458</v>
      </c>
      <c r="E2903" s="2">
        <f t="shared" si="422"/>
        <v>41334</v>
      </c>
      <c r="F2903" s="2">
        <f t="shared" si="423"/>
        <v>44012</v>
      </c>
    </row>
    <row r="2904" spans="1:6" x14ac:dyDescent="0.25">
      <c r="A2904" s="1" t="s">
        <v>431</v>
      </c>
      <c r="B2904" s="1" t="s">
        <v>2714</v>
      </c>
      <c r="C2904" s="1" t="s">
        <v>208</v>
      </c>
      <c r="D2904" s="3">
        <f t="shared" si="421"/>
        <v>7458</v>
      </c>
      <c r="E2904" s="2">
        <f t="shared" si="422"/>
        <v>41334</v>
      </c>
      <c r="F2904" s="2">
        <f t="shared" si="423"/>
        <v>44012</v>
      </c>
    </row>
    <row r="2905" spans="1:6" x14ac:dyDescent="0.25">
      <c r="A2905" s="1" t="s">
        <v>431</v>
      </c>
      <c r="B2905" s="1" t="s">
        <v>2714</v>
      </c>
      <c r="C2905" s="1" t="s">
        <v>27</v>
      </c>
      <c r="D2905" s="3">
        <f t="shared" si="421"/>
        <v>7458</v>
      </c>
      <c r="E2905" s="2">
        <f t="shared" si="422"/>
        <v>41334</v>
      </c>
      <c r="F2905" s="2">
        <f t="shared" si="423"/>
        <v>44012</v>
      </c>
    </row>
    <row r="2906" spans="1:6" x14ac:dyDescent="0.25">
      <c r="A2906" s="1" t="s">
        <v>431</v>
      </c>
      <c r="B2906" s="1" t="s">
        <v>2714</v>
      </c>
      <c r="C2906" s="1" t="s">
        <v>262</v>
      </c>
      <c r="D2906" s="3">
        <f t="shared" si="421"/>
        <v>7458</v>
      </c>
      <c r="E2906" s="2">
        <f t="shared" si="422"/>
        <v>41334</v>
      </c>
      <c r="F2906" s="2">
        <f t="shared" si="423"/>
        <v>44012</v>
      </c>
    </row>
    <row r="2907" spans="1:6" x14ac:dyDescent="0.25">
      <c r="A2907" s="1" t="s">
        <v>431</v>
      </c>
      <c r="B2907" s="1" t="s">
        <v>2714</v>
      </c>
      <c r="C2907" s="1" t="s">
        <v>52</v>
      </c>
      <c r="D2907" s="3">
        <f t="shared" si="421"/>
        <v>7458</v>
      </c>
      <c r="E2907" s="2">
        <f t="shared" si="422"/>
        <v>41334</v>
      </c>
      <c r="F2907" s="2">
        <f t="shared" si="423"/>
        <v>44012</v>
      </c>
    </row>
    <row r="2908" spans="1:6" x14ac:dyDescent="0.25">
      <c r="A2908" s="1" t="s">
        <v>431</v>
      </c>
      <c r="B2908" s="1" t="s">
        <v>2135</v>
      </c>
      <c r="C2908" s="1" t="s">
        <v>202</v>
      </c>
      <c r="D2908" s="3">
        <f>VALUE("7398")</f>
        <v>7398</v>
      </c>
      <c r="E2908" s="2">
        <f>DATEVALUE("1-8-2012")</f>
        <v>41122</v>
      </c>
      <c r="F2908" s="2">
        <f>DATEVALUE("30-4-2016")</f>
        <v>42490</v>
      </c>
    </row>
    <row r="2909" spans="1:6" x14ac:dyDescent="0.25">
      <c r="A2909" s="1" t="s">
        <v>431</v>
      </c>
      <c r="B2909" s="1" t="s">
        <v>2135</v>
      </c>
      <c r="C2909" s="1" t="s">
        <v>256</v>
      </c>
      <c r="D2909" s="3">
        <f>VALUE("7398")</f>
        <v>7398</v>
      </c>
      <c r="E2909" s="2">
        <f>DATEVALUE("1-8-2012")</f>
        <v>41122</v>
      </c>
      <c r="F2909" s="2">
        <f>DATEVALUE("30-4-2016")</f>
        <v>42490</v>
      </c>
    </row>
    <row r="2910" spans="1:6" x14ac:dyDescent="0.25">
      <c r="A2910" s="1" t="s">
        <v>431</v>
      </c>
      <c r="B2910" s="1" t="s">
        <v>2135</v>
      </c>
      <c r="C2910" s="1" t="s">
        <v>172</v>
      </c>
      <c r="D2910" s="3">
        <f>VALUE("7398")</f>
        <v>7398</v>
      </c>
      <c r="E2910" s="2">
        <f>DATEVALUE("1-8-2012")</f>
        <v>41122</v>
      </c>
      <c r="F2910" s="2">
        <f>DATEVALUE("30-4-2016")</f>
        <v>42490</v>
      </c>
    </row>
    <row r="2911" spans="1:6" x14ac:dyDescent="0.25">
      <c r="A2911" s="1" t="s">
        <v>431</v>
      </c>
      <c r="B2911" s="1" t="s">
        <v>2135</v>
      </c>
      <c r="C2911" s="1" t="s">
        <v>211</v>
      </c>
      <c r="D2911" s="3">
        <f>VALUE("7398")</f>
        <v>7398</v>
      </c>
      <c r="E2911" s="2">
        <f>DATEVALUE("1-8-2012")</f>
        <v>41122</v>
      </c>
      <c r="F2911" s="2">
        <f>DATEVALUE("30-4-2016")</f>
        <v>42490</v>
      </c>
    </row>
    <row r="2912" spans="1:6" x14ac:dyDescent="0.25">
      <c r="A2912" s="1" t="s">
        <v>431</v>
      </c>
      <c r="B2912" s="1" t="s">
        <v>2135</v>
      </c>
      <c r="C2912" s="1" t="s">
        <v>207</v>
      </c>
      <c r="D2912" s="3">
        <f>VALUE("7398")</f>
        <v>7398</v>
      </c>
      <c r="E2912" s="2">
        <f>DATEVALUE("1-8-2012")</f>
        <v>41122</v>
      </c>
      <c r="F2912" s="2">
        <f>DATEVALUE("30-4-2016")</f>
        <v>42490</v>
      </c>
    </row>
    <row r="2913" spans="1:6" x14ac:dyDescent="0.25">
      <c r="A2913" s="1" t="s">
        <v>431</v>
      </c>
      <c r="B2913" s="1" t="s">
        <v>1894</v>
      </c>
      <c r="C2913" s="1" t="s">
        <v>8</v>
      </c>
      <c r="D2913" s="3">
        <f t="shared" ref="D2913:D2918" si="424">VALUE("7306")</f>
        <v>7306</v>
      </c>
      <c r="E2913" s="2">
        <f t="shared" ref="E2913:E2918" si="425">DATEVALUE("1-6-2012")</f>
        <v>41061</v>
      </c>
      <c r="F2913" s="2">
        <f t="shared" ref="F2913:F2918" si="426">DATEVALUE("31-3-2019")</f>
        <v>43555</v>
      </c>
    </row>
    <row r="2914" spans="1:6" x14ac:dyDescent="0.25">
      <c r="A2914" s="1" t="s">
        <v>431</v>
      </c>
      <c r="B2914" s="1" t="s">
        <v>1894</v>
      </c>
      <c r="C2914" s="1" t="s">
        <v>10</v>
      </c>
      <c r="D2914" s="3">
        <f t="shared" si="424"/>
        <v>7306</v>
      </c>
      <c r="E2914" s="2">
        <f t="shared" si="425"/>
        <v>41061</v>
      </c>
      <c r="F2914" s="2">
        <f t="shared" si="426"/>
        <v>43555</v>
      </c>
    </row>
    <row r="2915" spans="1:6" x14ac:dyDescent="0.25">
      <c r="A2915" s="1" t="s">
        <v>431</v>
      </c>
      <c r="B2915" s="1" t="s">
        <v>1894</v>
      </c>
      <c r="C2915" s="1" t="s">
        <v>16</v>
      </c>
      <c r="D2915" s="3">
        <f t="shared" si="424"/>
        <v>7306</v>
      </c>
      <c r="E2915" s="2">
        <f t="shared" si="425"/>
        <v>41061</v>
      </c>
      <c r="F2915" s="2">
        <f t="shared" si="426"/>
        <v>43555</v>
      </c>
    </row>
    <row r="2916" spans="1:6" x14ac:dyDescent="0.25">
      <c r="A2916" s="1" t="s">
        <v>431</v>
      </c>
      <c r="B2916" s="1" t="s">
        <v>1894</v>
      </c>
      <c r="C2916" s="1" t="s">
        <v>17</v>
      </c>
      <c r="D2916" s="3">
        <f t="shared" si="424"/>
        <v>7306</v>
      </c>
      <c r="E2916" s="2">
        <f t="shared" si="425"/>
        <v>41061</v>
      </c>
      <c r="F2916" s="2">
        <f t="shared" si="426"/>
        <v>43555</v>
      </c>
    </row>
    <row r="2917" spans="1:6" x14ac:dyDescent="0.25">
      <c r="A2917" s="1" t="s">
        <v>431</v>
      </c>
      <c r="B2917" s="1" t="s">
        <v>1894</v>
      </c>
      <c r="C2917" s="1" t="s">
        <v>27</v>
      </c>
      <c r="D2917" s="3">
        <f t="shared" si="424"/>
        <v>7306</v>
      </c>
      <c r="E2917" s="2">
        <f t="shared" si="425"/>
        <v>41061</v>
      </c>
      <c r="F2917" s="2">
        <f t="shared" si="426"/>
        <v>43555</v>
      </c>
    </row>
    <row r="2918" spans="1:6" x14ac:dyDescent="0.25">
      <c r="A2918" s="1" t="s">
        <v>431</v>
      </c>
      <c r="B2918" s="1" t="s">
        <v>1894</v>
      </c>
      <c r="C2918" s="1" t="s">
        <v>262</v>
      </c>
      <c r="D2918" s="3">
        <f t="shared" si="424"/>
        <v>7306</v>
      </c>
      <c r="E2918" s="2">
        <f t="shared" si="425"/>
        <v>41061</v>
      </c>
      <c r="F2918" s="2">
        <f t="shared" si="426"/>
        <v>43555</v>
      </c>
    </row>
    <row r="2919" spans="1:6" x14ac:dyDescent="0.25">
      <c r="A2919" s="1" t="s">
        <v>431</v>
      </c>
      <c r="B2919" s="1" t="s">
        <v>2527</v>
      </c>
      <c r="C2919" s="1" t="s">
        <v>347</v>
      </c>
      <c r="D2919" s="3">
        <f>VALUE("6077")</f>
        <v>6077</v>
      </c>
      <c r="E2919" s="2">
        <f>DATEVALUE("1-4-2012")</f>
        <v>41000</v>
      </c>
      <c r="F2919" s="2">
        <f>DATEVALUE("30-4-2012")</f>
        <v>41029</v>
      </c>
    </row>
    <row r="2920" spans="1:6" x14ac:dyDescent="0.25">
      <c r="A2920" s="1" t="s">
        <v>431</v>
      </c>
      <c r="B2920" s="1" t="s">
        <v>2527</v>
      </c>
      <c r="C2920" s="1" t="s">
        <v>45</v>
      </c>
      <c r="D2920" s="3">
        <f>VALUE("6077")</f>
        <v>6077</v>
      </c>
      <c r="E2920" s="2">
        <f>DATEVALUE("1-4-2012")</f>
        <v>41000</v>
      </c>
      <c r="F2920" s="2">
        <f>DATEVALUE("30-4-2012")</f>
        <v>41029</v>
      </c>
    </row>
    <row r="2921" spans="1:6" x14ac:dyDescent="0.25">
      <c r="A2921" s="1" t="s">
        <v>431</v>
      </c>
      <c r="B2921" s="1" t="s">
        <v>2668</v>
      </c>
      <c r="C2921" s="1" t="s">
        <v>15</v>
      </c>
      <c r="D2921" s="3">
        <f t="shared" ref="D2921:D2927" si="427">VALUE("7332")</f>
        <v>7332</v>
      </c>
      <c r="E2921" s="2">
        <f t="shared" ref="E2921:E2927" si="428">DATEVALUE("1-3-2012")</f>
        <v>40969</v>
      </c>
      <c r="F2921" s="2">
        <f t="shared" ref="F2921:F2927" si="429">DATEVALUE("31-5-2012")</f>
        <v>41060</v>
      </c>
    </row>
    <row r="2922" spans="1:6" x14ac:dyDescent="0.25">
      <c r="A2922" s="1" t="s">
        <v>431</v>
      </c>
      <c r="B2922" s="1" t="s">
        <v>2668</v>
      </c>
      <c r="C2922" s="1" t="s">
        <v>16</v>
      </c>
      <c r="D2922" s="3">
        <f t="shared" si="427"/>
        <v>7332</v>
      </c>
      <c r="E2922" s="2">
        <f t="shared" si="428"/>
        <v>40969</v>
      </c>
      <c r="F2922" s="2">
        <f t="shared" si="429"/>
        <v>41060</v>
      </c>
    </row>
    <row r="2923" spans="1:6" x14ac:dyDescent="0.25">
      <c r="A2923" s="1" t="s">
        <v>431</v>
      </c>
      <c r="B2923" s="1" t="s">
        <v>2668</v>
      </c>
      <c r="C2923" s="1" t="s">
        <v>88</v>
      </c>
      <c r="D2923" s="3">
        <f t="shared" si="427"/>
        <v>7332</v>
      </c>
      <c r="E2923" s="2">
        <f t="shared" si="428"/>
        <v>40969</v>
      </c>
      <c r="F2923" s="2">
        <f t="shared" si="429"/>
        <v>41060</v>
      </c>
    </row>
    <row r="2924" spans="1:6" x14ac:dyDescent="0.25">
      <c r="A2924" s="1" t="s">
        <v>431</v>
      </c>
      <c r="B2924" s="1" t="s">
        <v>2668</v>
      </c>
      <c r="C2924" s="1" t="s">
        <v>17</v>
      </c>
      <c r="D2924" s="3">
        <f t="shared" si="427"/>
        <v>7332</v>
      </c>
      <c r="E2924" s="2">
        <f t="shared" si="428"/>
        <v>40969</v>
      </c>
      <c r="F2924" s="2">
        <f t="shared" si="429"/>
        <v>41060</v>
      </c>
    </row>
    <row r="2925" spans="1:6" x14ac:dyDescent="0.25">
      <c r="A2925" s="1" t="s">
        <v>431</v>
      </c>
      <c r="B2925" s="1" t="s">
        <v>2668</v>
      </c>
      <c r="C2925" s="1" t="s">
        <v>328</v>
      </c>
      <c r="D2925" s="3">
        <f t="shared" si="427"/>
        <v>7332</v>
      </c>
      <c r="E2925" s="2">
        <f t="shared" si="428"/>
        <v>40969</v>
      </c>
      <c r="F2925" s="2">
        <f t="shared" si="429"/>
        <v>41060</v>
      </c>
    </row>
    <row r="2926" spans="1:6" x14ac:dyDescent="0.25">
      <c r="A2926" s="1" t="s">
        <v>431</v>
      </c>
      <c r="B2926" s="1" t="s">
        <v>2668</v>
      </c>
      <c r="C2926" s="1" t="s">
        <v>27</v>
      </c>
      <c r="D2926" s="3">
        <f t="shared" si="427"/>
        <v>7332</v>
      </c>
      <c r="E2926" s="2">
        <f t="shared" si="428"/>
        <v>40969</v>
      </c>
      <c r="F2926" s="2">
        <f t="shared" si="429"/>
        <v>41060</v>
      </c>
    </row>
    <row r="2927" spans="1:6" x14ac:dyDescent="0.25">
      <c r="A2927" s="1" t="s">
        <v>431</v>
      </c>
      <c r="B2927" s="1" t="s">
        <v>2668</v>
      </c>
      <c r="C2927" s="1" t="s">
        <v>262</v>
      </c>
      <c r="D2927" s="3">
        <f t="shared" si="427"/>
        <v>7332</v>
      </c>
      <c r="E2927" s="2">
        <f t="shared" si="428"/>
        <v>40969</v>
      </c>
      <c r="F2927" s="2">
        <f t="shared" si="429"/>
        <v>41060</v>
      </c>
    </row>
    <row r="2928" spans="1:6" x14ac:dyDescent="0.25">
      <c r="A2928" s="1" t="s">
        <v>431</v>
      </c>
      <c r="B2928" s="1" t="s">
        <v>1890</v>
      </c>
      <c r="C2928" s="1" t="s">
        <v>7</v>
      </c>
      <c r="D2928" s="3">
        <f t="shared" ref="D2928:D2955" si="430">VALUE("7282")</f>
        <v>7282</v>
      </c>
      <c r="E2928" s="2">
        <f t="shared" ref="E2928:E2955" si="431">DATEVALUE("1-2-2012")</f>
        <v>40940</v>
      </c>
      <c r="F2928" s="2">
        <f t="shared" ref="F2928:F2955" si="432">DATEVALUE("31-3-2018")</f>
        <v>43190</v>
      </c>
    </row>
    <row r="2929" spans="1:6" x14ac:dyDescent="0.25">
      <c r="A2929" s="1" t="s">
        <v>431</v>
      </c>
      <c r="B2929" s="1" t="s">
        <v>1890</v>
      </c>
      <c r="C2929" s="1" t="s">
        <v>8</v>
      </c>
      <c r="D2929" s="3">
        <f t="shared" si="430"/>
        <v>7282</v>
      </c>
      <c r="E2929" s="2">
        <f t="shared" si="431"/>
        <v>40940</v>
      </c>
      <c r="F2929" s="2">
        <f t="shared" si="432"/>
        <v>43190</v>
      </c>
    </row>
    <row r="2930" spans="1:6" x14ac:dyDescent="0.25">
      <c r="A2930" s="1" t="s">
        <v>431</v>
      </c>
      <c r="B2930" s="1" t="s">
        <v>1890</v>
      </c>
      <c r="C2930" s="1" t="s">
        <v>10</v>
      </c>
      <c r="D2930" s="3">
        <f t="shared" si="430"/>
        <v>7282</v>
      </c>
      <c r="E2930" s="2">
        <f t="shared" si="431"/>
        <v>40940</v>
      </c>
      <c r="F2930" s="2">
        <f t="shared" si="432"/>
        <v>43190</v>
      </c>
    </row>
    <row r="2931" spans="1:6" x14ac:dyDescent="0.25">
      <c r="A2931" s="1" t="s">
        <v>431</v>
      </c>
      <c r="B2931" s="1" t="s">
        <v>1890</v>
      </c>
      <c r="C2931" s="1" t="s">
        <v>11</v>
      </c>
      <c r="D2931" s="3">
        <f t="shared" si="430"/>
        <v>7282</v>
      </c>
      <c r="E2931" s="2">
        <f t="shared" si="431"/>
        <v>40940</v>
      </c>
      <c r="F2931" s="2">
        <f t="shared" si="432"/>
        <v>43190</v>
      </c>
    </row>
    <row r="2932" spans="1:6" x14ac:dyDescent="0.25">
      <c r="A2932" s="1" t="s">
        <v>431</v>
      </c>
      <c r="B2932" s="1" t="s">
        <v>1890</v>
      </c>
      <c r="C2932" s="1" t="s">
        <v>12</v>
      </c>
      <c r="D2932" s="3">
        <f t="shared" si="430"/>
        <v>7282</v>
      </c>
      <c r="E2932" s="2">
        <f t="shared" si="431"/>
        <v>40940</v>
      </c>
      <c r="F2932" s="2">
        <f t="shared" si="432"/>
        <v>43190</v>
      </c>
    </row>
    <row r="2933" spans="1:6" x14ac:dyDescent="0.25">
      <c r="A2933" s="1" t="s">
        <v>431</v>
      </c>
      <c r="B2933" s="1" t="s">
        <v>1890</v>
      </c>
      <c r="C2933" s="1" t="s">
        <v>1891</v>
      </c>
      <c r="D2933" s="3">
        <f t="shared" si="430"/>
        <v>7282</v>
      </c>
      <c r="E2933" s="2">
        <f t="shared" si="431"/>
        <v>40940</v>
      </c>
      <c r="F2933" s="2">
        <f t="shared" si="432"/>
        <v>43190</v>
      </c>
    </row>
    <row r="2934" spans="1:6" x14ac:dyDescent="0.25">
      <c r="A2934" s="1" t="s">
        <v>431</v>
      </c>
      <c r="B2934" s="1" t="s">
        <v>1890</v>
      </c>
      <c r="C2934" s="1" t="s">
        <v>1892</v>
      </c>
      <c r="D2934" s="3">
        <f t="shared" si="430"/>
        <v>7282</v>
      </c>
      <c r="E2934" s="2">
        <f t="shared" si="431"/>
        <v>40940</v>
      </c>
      <c r="F2934" s="2">
        <f t="shared" si="432"/>
        <v>43190</v>
      </c>
    </row>
    <row r="2935" spans="1:6" x14ac:dyDescent="0.25">
      <c r="A2935" s="1" t="s">
        <v>431</v>
      </c>
      <c r="B2935" s="1" t="s">
        <v>1890</v>
      </c>
      <c r="C2935" s="1" t="s">
        <v>375</v>
      </c>
      <c r="D2935" s="3">
        <f t="shared" si="430"/>
        <v>7282</v>
      </c>
      <c r="E2935" s="2">
        <f t="shared" si="431"/>
        <v>40940</v>
      </c>
      <c r="F2935" s="2">
        <f t="shared" si="432"/>
        <v>43190</v>
      </c>
    </row>
    <row r="2936" spans="1:6" x14ac:dyDescent="0.25">
      <c r="A2936" s="1" t="s">
        <v>431</v>
      </c>
      <c r="B2936" s="1" t="s">
        <v>1890</v>
      </c>
      <c r="C2936" s="1" t="s">
        <v>45</v>
      </c>
      <c r="D2936" s="3">
        <f t="shared" si="430"/>
        <v>7282</v>
      </c>
      <c r="E2936" s="2">
        <f t="shared" si="431"/>
        <v>40940</v>
      </c>
      <c r="F2936" s="2">
        <f t="shared" si="432"/>
        <v>43190</v>
      </c>
    </row>
    <row r="2937" spans="1:6" x14ac:dyDescent="0.25">
      <c r="A2937" s="1" t="s">
        <v>431</v>
      </c>
      <c r="B2937" s="1" t="s">
        <v>1890</v>
      </c>
      <c r="C2937" s="1" t="s">
        <v>615</v>
      </c>
      <c r="D2937" s="3">
        <f t="shared" si="430"/>
        <v>7282</v>
      </c>
      <c r="E2937" s="2">
        <f t="shared" si="431"/>
        <v>40940</v>
      </c>
      <c r="F2937" s="2">
        <f t="shared" si="432"/>
        <v>43190</v>
      </c>
    </row>
    <row r="2938" spans="1:6" x14ac:dyDescent="0.25">
      <c r="A2938" s="1" t="s">
        <v>431</v>
      </c>
      <c r="B2938" s="1" t="s">
        <v>1890</v>
      </c>
      <c r="C2938" s="1" t="s">
        <v>399</v>
      </c>
      <c r="D2938" s="3">
        <f t="shared" si="430"/>
        <v>7282</v>
      </c>
      <c r="E2938" s="2">
        <f t="shared" si="431"/>
        <v>40940</v>
      </c>
      <c r="F2938" s="2">
        <f t="shared" si="432"/>
        <v>43190</v>
      </c>
    </row>
    <row r="2939" spans="1:6" x14ac:dyDescent="0.25">
      <c r="A2939" s="1" t="s">
        <v>431</v>
      </c>
      <c r="B2939" s="1" t="s">
        <v>1890</v>
      </c>
      <c r="C2939" s="1" t="s">
        <v>1893</v>
      </c>
      <c r="D2939" s="3">
        <f t="shared" si="430"/>
        <v>7282</v>
      </c>
      <c r="E2939" s="2">
        <f t="shared" si="431"/>
        <v>40940</v>
      </c>
      <c r="F2939" s="2">
        <f t="shared" si="432"/>
        <v>43190</v>
      </c>
    </row>
    <row r="2940" spans="1:6" x14ac:dyDescent="0.25">
      <c r="A2940" s="1" t="s">
        <v>431</v>
      </c>
      <c r="B2940" s="1" t="s">
        <v>1890</v>
      </c>
      <c r="C2940" s="1" t="s">
        <v>46</v>
      </c>
      <c r="D2940" s="3">
        <f t="shared" si="430"/>
        <v>7282</v>
      </c>
      <c r="E2940" s="2">
        <f t="shared" si="431"/>
        <v>40940</v>
      </c>
      <c r="F2940" s="2">
        <f t="shared" si="432"/>
        <v>43190</v>
      </c>
    </row>
    <row r="2941" spans="1:6" x14ac:dyDescent="0.25">
      <c r="A2941" s="1" t="s">
        <v>431</v>
      </c>
      <c r="B2941" s="1" t="s">
        <v>1890</v>
      </c>
      <c r="C2941" s="1" t="s">
        <v>66</v>
      </c>
      <c r="D2941" s="3">
        <f t="shared" si="430"/>
        <v>7282</v>
      </c>
      <c r="E2941" s="2">
        <f t="shared" si="431"/>
        <v>40940</v>
      </c>
      <c r="F2941" s="2">
        <f t="shared" si="432"/>
        <v>43190</v>
      </c>
    </row>
    <row r="2942" spans="1:6" x14ac:dyDescent="0.25">
      <c r="A2942" s="1" t="s">
        <v>431</v>
      </c>
      <c r="B2942" s="1" t="s">
        <v>1890</v>
      </c>
      <c r="C2942" s="1" t="s">
        <v>15</v>
      </c>
      <c r="D2942" s="3">
        <f t="shared" si="430"/>
        <v>7282</v>
      </c>
      <c r="E2942" s="2">
        <f t="shared" si="431"/>
        <v>40940</v>
      </c>
      <c r="F2942" s="2">
        <f t="shared" si="432"/>
        <v>43190</v>
      </c>
    </row>
    <row r="2943" spans="1:6" x14ac:dyDescent="0.25">
      <c r="A2943" s="1" t="s">
        <v>431</v>
      </c>
      <c r="B2943" s="1" t="s">
        <v>1890</v>
      </c>
      <c r="C2943" s="1" t="s">
        <v>16</v>
      </c>
      <c r="D2943" s="3">
        <f t="shared" si="430"/>
        <v>7282</v>
      </c>
      <c r="E2943" s="2">
        <f t="shared" si="431"/>
        <v>40940</v>
      </c>
      <c r="F2943" s="2">
        <f t="shared" si="432"/>
        <v>43190</v>
      </c>
    </row>
    <row r="2944" spans="1:6" x14ac:dyDescent="0.25">
      <c r="A2944" s="1" t="s">
        <v>431</v>
      </c>
      <c r="B2944" s="1" t="s">
        <v>1890</v>
      </c>
      <c r="C2944" s="1" t="s">
        <v>88</v>
      </c>
      <c r="D2944" s="3">
        <f t="shared" si="430"/>
        <v>7282</v>
      </c>
      <c r="E2944" s="2">
        <f t="shared" si="431"/>
        <v>40940</v>
      </c>
      <c r="F2944" s="2">
        <f t="shared" si="432"/>
        <v>43190</v>
      </c>
    </row>
    <row r="2945" spans="1:6" x14ac:dyDescent="0.25">
      <c r="A2945" s="1" t="s">
        <v>431</v>
      </c>
      <c r="B2945" s="1" t="s">
        <v>1890</v>
      </c>
      <c r="C2945" s="1" t="s">
        <v>89</v>
      </c>
      <c r="D2945" s="3">
        <f t="shared" si="430"/>
        <v>7282</v>
      </c>
      <c r="E2945" s="2">
        <f t="shared" si="431"/>
        <v>40940</v>
      </c>
      <c r="F2945" s="2">
        <f t="shared" si="432"/>
        <v>43190</v>
      </c>
    </row>
    <row r="2946" spans="1:6" x14ac:dyDescent="0.25">
      <c r="A2946" s="1" t="s">
        <v>431</v>
      </c>
      <c r="B2946" s="1" t="s">
        <v>1890</v>
      </c>
      <c r="C2946" s="1" t="s">
        <v>17</v>
      </c>
      <c r="D2946" s="3">
        <f t="shared" si="430"/>
        <v>7282</v>
      </c>
      <c r="E2946" s="2">
        <f t="shared" si="431"/>
        <v>40940</v>
      </c>
      <c r="F2946" s="2">
        <f t="shared" si="432"/>
        <v>43190</v>
      </c>
    </row>
    <row r="2947" spans="1:6" x14ac:dyDescent="0.25">
      <c r="A2947" s="1" t="s">
        <v>431</v>
      </c>
      <c r="B2947" s="1" t="s">
        <v>1890</v>
      </c>
      <c r="C2947" s="1" t="s">
        <v>22</v>
      </c>
      <c r="D2947" s="3">
        <f t="shared" si="430"/>
        <v>7282</v>
      </c>
      <c r="E2947" s="2">
        <f t="shared" si="431"/>
        <v>40940</v>
      </c>
      <c r="F2947" s="2">
        <f t="shared" si="432"/>
        <v>43190</v>
      </c>
    </row>
    <row r="2948" spans="1:6" x14ac:dyDescent="0.25">
      <c r="A2948" s="1" t="s">
        <v>431</v>
      </c>
      <c r="B2948" s="1" t="s">
        <v>1890</v>
      </c>
      <c r="C2948" s="1" t="s">
        <v>25</v>
      </c>
      <c r="D2948" s="3">
        <f t="shared" si="430"/>
        <v>7282</v>
      </c>
      <c r="E2948" s="2">
        <f t="shared" si="431"/>
        <v>40940</v>
      </c>
      <c r="F2948" s="2">
        <f t="shared" si="432"/>
        <v>43190</v>
      </c>
    </row>
    <row r="2949" spans="1:6" x14ac:dyDescent="0.25">
      <c r="A2949" s="1" t="s">
        <v>431</v>
      </c>
      <c r="B2949" s="1" t="s">
        <v>1890</v>
      </c>
      <c r="C2949" s="1" t="s">
        <v>27</v>
      </c>
      <c r="D2949" s="3">
        <f t="shared" si="430"/>
        <v>7282</v>
      </c>
      <c r="E2949" s="2">
        <f t="shared" si="431"/>
        <v>40940</v>
      </c>
      <c r="F2949" s="2">
        <f t="shared" si="432"/>
        <v>43190</v>
      </c>
    </row>
    <row r="2950" spans="1:6" x14ac:dyDescent="0.25">
      <c r="A2950" s="1" t="s">
        <v>431</v>
      </c>
      <c r="B2950" s="1" t="s">
        <v>1890</v>
      </c>
      <c r="C2950" s="1" t="s">
        <v>262</v>
      </c>
      <c r="D2950" s="3">
        <f t="shared" si="430"/>
        <v>7282</v>
      </c>
      <c r="E2950" s="2">
        <f t="shared" si="431"/>
        <v>40940</v>
      </c>
      <c r="F2950" s="2">
        <f t="shared" si="432"/>
        <v>43190</v>
      </c>
    </row>
    <row r="2951" spans="1:6" x14ac:dyDescent="0.25">
      <c r="A2951" s="1" t="s">
        <v>431</v>
      </c>
      <c r="B2951" s="1" t="s">
        <v>1890</v>
      </c>
      <c r="C2951" s="1" t="s">
        <v>73</v>
      </c>
      <c r="D2951" s="3">
        <f t="shared" si="430"/>
        <v>7282</v>
      </c>
      <c r="E2951" s="2">
        <f t="shared" si="431"/>
        <v>40940</v>
      </c>
      <c r="F2951" s="2">
        <f t="shared" si="432"/>
        <v>43190</v>
      </c>
    </row>
    <row r="2952" spans="1:6" x14ac:dyDescent="0.25">
      <c r="A2952" s="1" t="s">
        <v>431</v>
      </c>
      <c r="B2952" s="1" t="s">
        <v>1890</v>
      </c>
      <c r="C2952" s="1" t="s">
        <v>299</v>
      </c>
      <c r="D2952" s="3">
        <f t="shared" si="430"/>
        <v>7282</v>
      </c>
      <c r="E2952" s="2">
        <f t="shared" si="431"/>
        <v>40940</v>
      </c>
      <c r="F2952" s="2">
        <f t="shared" si="432"/>
        <v>43190</v>
      </c>
    </row>
    <row r="2953" spans="1:6" x14ac:dyDescent="0.25">
      <c r="A2953" s="1" t="s">
        <v>431</v>
      </c>
      <c r="B2953" s="1" t="s">
        <v>1890</v>
      </c>
      <c r="C2953" s="1" t="s">
        <v>401</v>
      </c>
      <c r="D2953" s="3">
        <f t="shared" si="430"/>
        <v>7282</v>
      </c>
      <c r="E2953" s="2">
        <f t="shared" si="431"/>
        <v>40940</v>
      </c>
      <c r="F2953" s="2">
        <f t="shared" si="432"/>
        <v>43190</v>
      </c>
    </row>
    <row r="2954" spans="1:6" x14ac:dyDescent="0.25">
      <c r="A2954" s="1" t="s">
        <v>431</v>
      </c>
      <c r="B2954" s="1" t="s">
        <v>1890</v>
      </c>
      <c r="C2954" s="1" t="s">
        <v>35</v>
      </c>
      <c r="D2954" s="3">
        <f t="shared" si="430"/>
        <v>7282</v>
      </c>
      <c r="E2954" s="2">
        <f t="shared" si="431"/>
        <v>40940</v>
      </c>
      <c r="F2954" s="2">
        <f t="shared" si="432"/>
        <v>43190</v>
      </c>
    </row>
    <row r="2955" spans="1:6" x14ac:dyDescent="0.25">
      <c r="A2955" s="1" t="s">
        <v>431</v>
      </c>
      <c r="B2955" s="1" t="s">
        <v>1890</v>
      </c>
      <c r="C2955" s="1" t="s">
        <v>36</v>
      </c>
      <c r="D2955" s="3">
        <f t="shared" si="430"/>
        <v>7282</v>
      </c>
      <c r="E2955" s="2">
        <f t="shared" si="431"/>
        <v>40940</v>
      </c>
      <c r="F2955" s="2">
        <f t="shared" si="432"/>
        <v>43190</v>
      </c>
    </row>
    <row r="2956" spans="1:6" x14ac:dyDescent="0.25">
      <c r="A2956" s="1" t="s">
        <v>431</v>
      </c>
      <c r="B2956" s="1" t="s">
        <v>2624</v>
      </c>
      <c r="C2956" s="1" t="s">
        <v>7</v>
      </c>
      <c r="D2956" s="3">
        <f t="shared" ref="D2956:D2966" si="433">VALUE("7237")</f>
        <v>7237</v>
      </c>
      <c r="E2956" s="2">
        <f t="shared" ref="E2956:E2966" si="434">DATEVALUE("1-8-2011")</f>
        <v>40756</v>
      </c>
      <c r="F2956" s="2">
        <f t="shared" ref="F2956:F2966" si="435">DATEVALUE("31-8-2013")</f>
        <v>41517</v>
      </c>
    </row>
    <row r="2957" spans="1:6" x14ac:dyDescent="0.25">
      <c r="A2957" s="1" t="s">
        <v>431</v>
      </c>
      <c r="B2957" s="1" t="s">
        <v>2624</v>
      </c>
      <c r="C2957" s="1" t="s">
        <v>2522</v>
      </c>
      <c r="D2957" s="3">
        <f t="shared" si="433"/>
        <v>7237</v>
      </c>
      <c r="E2957" s="2">
        <f t="shared" si="434"/>
        <v>40756</v>
      </c>
      <c r="F2957" s="2">
        <f t="shared" si="435"/>
        <v>41517</v>
      </c>
    </row>
    <row r="2958" spans="1:6" x14ac:dyDescent="0.25">
      <c r="A2958" s="1" t="s">
        <v>431</v>
      </c>
      <c r="B2958" s="1" t="s">
        <v>2624</v>
      </c>
      <c r="C2958" s="1" t="s">
        <v>13</v>
      </c>
      <c r="D2958" s="3">
        <f t="shared" si="433"/>
        <v>7237</v>
      </c>
      <c r="E2958" s="2">
        <f t="shared" si="434"/>
        <v>40756</v>
      </c>
      <c r="F2958" s="2">
        <f t="shared" si="435"/>
        <v>41517</v>
      </c>
    </row>
    <row r="2959" spans="1:6" x14ac:dyDescent="0.25">
      <c r="A2959" s="1" t="s">
        <v>431</v>
      </c>
      <c r="B2959" s="1" t="s">
        <v>2624</v>
      </c>
      <c r="C2959" s="1" t="s">
        <v>228</v>
      </c>
      <c r="D2959" s="3">
        <f t="shared" si="433"/>
        <v>7237</v>
      </c>
      <c r="E2959" s="2">
        <f t="shared" si="434"/>
        <v>40756</v>
      </c>
      <c r="F2959" s="2">
        <f t="shared" si="435"/>
        <v>41517</v>
      </c>
    </row>
    <row r="2960" spans="1:6" x14ac:dyDescent="0.25">
      <c r="A2960" s="1" t="s">
        <v>431</v>
      </c>
      <c r="B2960" s="1" t="s">
        <v>2624</v>
      </c>
      <c r="C2960" s="1" t="s">
        <v>28</v>
      </c>
      <c r="D2960" s="3">
        <f t="shared" si="433"/>
        <v>7237</v>
      </c>
      <c r="E2960" s="2">
        <f t="shared" si="434"/>
        <v>40756</v>
      </c>
      <c r="F2960" s="2">
        <f t="shared" si="435"/>
        <v>41517</v>
      </c>
    </row>
    <row r="2961" spans="1:6" x14ac:dyDescent="0.25">
      <c r="A2961" s="1" t="s">
        <v>431</v>
      </c>
      <c r="B2961" s="1" t="s">
        <v>2624</v>
      </c>
      <c r="C2961" s="1" t="s">
        <v>229</v>
      </c>
      <c r="D2961" s="3">
        <f t="shared" si="433"/>
        <v>7237</v>
      </c>
      <c r="E2961" s="2">
        <f t="shared" si="434"/>
        <v>40756</v>
      </c>
      <c r="F2961" s="2">
        <f t="shared" si="435"/>
        <v>41517</v>
      </c>
    </row>
    <row r="2962" spans="1:6" x14ac:dyDescent="0.25">
      <c r="A2962" s="1" t="s">
        <v>431</v>
      </c>
      <c r="B2962" s="1" t="s">
        <v>2624</v>
      </c>
      <c r="C2962" s="1" t="s">
        <v>29</v>
      </c>
      <c r="D2962" s="3">
        <f t="shared" si="433"/>
        <v>7237</v>
      </c>
      <c r="E2962" s="2">
        <f t="shared" si="434"/>
        <v>40756</v>
      </c>
      <c r="F2962" s="2">
        <f t="shared" si="435"/>
        <v>41517</v>
      </c>
    </row>
    <row r="2963" spans="1:6" x14ac:dyDescent="0.25">
      <c r="A2963" s="1" t="s">
        <v>431</v>
      </c>
      <c r="B2963" s="1" t="s">
        <v>2624</v>
      </c>
      <c r="C2963" s="1" t="s">
        <v>234</v>
      </c>
      <c r="D2963" s="3">
        <f t="shared" si="433"/>
        <v>7237</v>
      </c>
      <c r="E2963" s="2">
        <f t="shared" si="434"/>
        <v>40756</v>
      </c>
      <c r="F2963" s="2">
        <f t="shared" si="435"/>
        <v>41517</v>
      </c>
    </row>
    <row r="2964" spans="1:6" x14ac:dyDescent="0.25">
      <c r="A2964" s="1" t="s">
        <v>431</v>
      </c>
      <c r="B2964" s="1" t="s">
        <v>2624</v>
      </c>
      <c r="C2964" s="1" t="s">
        <v>30</v>
      </c>
      <c r="D2964" s="3">
        <f t="shared" si="433"/>
        <v>7237</v>
      </c>
      <c r="E2964" s="2">
        <f t="shared" si="434"/>
        <v>40756</v>
      </c>
      <c r="F2964" s="2">
        <f t="shared" si="435"/>
        <v>41517</v>
      </c>
    </row>
    <row r="2965" spans="1:6" x14ac:dyDescent="0.25">
      <c r="A2965" s="1" t="s">
        <v>431</v>
      </c>
      <c r="B2965" s="1" t="s">
        <v>2624</v>
      </c>
      <c r="C2965" s="1" t="s">
        <v>237</v>
      </c>
      <c r="D2965" s="3">
        <f t="shared" si="433"/>
        <v>7237</v>
      </c>
      <c r="E2965" s="2">
        <f t="shared" si="434"/>
        <v>40756</v>
      </c>
      <c r="F2965" s="2">
        <f t="shared" si="435"/>
        <v>41517</v>
      </c>
    </row>
    <row r="2966" spans="1:6" x14ac:dyDescent="0.25">
      <c r="A2966" s="1" t="s">
        <v>431</v>
      </c>
      <c r="B2966" s="1" t="s">
        <v>2624</v>
      </c>
      <c r="C2966" s="1" t="s">
        <v>238</v>
      </c>
      <c r="D2966" s="3">
        <f t="shared" si="433"/>
        <v>7237</v>
      </c>
      <c r="E2966" s="2">
        <f t="shared" si="434"/>
        <v>40756</v>
      </c>
      <c r="F2966" s="2">
        <f t="shared" si="435"/>
        <v>41517</v>
      </c>
    </row>
    <row r="2967" spans="1:6" x14ac:dyDescent="0.25">
      <c r="A2967" s="1" t="s">
        <v>431</v>
      </c>
      <c r="B2967" s="1" t="s">
        <v>2583</v>
      </c>
      <c r="C2967" s="1" t="s">
        <v>8</v>
      </c>
      <c r="D2967" s="3">
        <f t="shared" ref="D2967:D2990" si="436">VALUE("7141")</f>
        <v>7141</v>
      </c>
      <c r="E2967" s="2">
        <f t="shared" ref="E2967:E2990" si="437">DATEVALUE("1-11-2010")</f>
        <v>40483</v>
      </c>
      <c r="F2967" s="2">
        <f t="shared" ref="F2967:F2993" si="438">DATEVALUE("30-9-2012")</f>
        <v>41182</v>
      </c>
    </row>
    <row r="2968" spans="1:6" x14ac:dyDescent="0.25">
      <c r="A2968" s="1" t="s">
        <v>431</v>
      </c>
      <c r="B2968" s="1" t="s">
        <v>2583</v>
      </c>
      <c r="C2968" s="1" t="s">
        <v>10</v>
      </c>
      <c r="D2968" s="3">
        <f t="shared" si="436"/>
        <v>7141</v>
      </c>
      <c r="E2968" s="2">
        <f t="shared" si="437"/>
        <v>40483</v>
      </c>
      <c r="F2968" s="2">
        <f t="shared" si="438"/>
        <v>41182</v>
      </c>
    </row>
    <row r="2969" spans="1:6" x14ac:dyDescent="0.25">
      <c r="A2969" s="1" t="s">
        <v>431</v>
      </c>
      <c r="B2969" s="1" t="s">
        <v>2583</v>
      </c>
      <c r="C2969" s="1" t="s">
        <v>11</v>
      </c>
      <c r="D2969" s="3">
        <f t="shared" si="436"/>
        <v>7141</v>
      </c>
      <c r="E2969" s="2">
        <f t="shared" si="437"/>
        <v>40483</v>
      </c>
      <c r="F2969" s="2">
        <f t="shared" si="438"/>
        <v>41182</v>
      </c>
    </row>
    <row r="2970" spans="1:6" x14ac:dyDescent="0.25">
      <c r="A2970" s="1" t="s">
        <v>431</v>
      </c>
      <c r="B2970" s="1" t="s">
        <v>2583</v>
      </c>
      <c r="C2970" s="1" t="s">
        <v>12</v>
      </c>
      <c r="D2970" s="3">
        <f t="shared" si="436"/>
        <v>7141</v>
      </c>
      <c r="E2970" s="2">
        <f t="shared" si="437"/>
        <v>40483</v>
      </c>
      <c r="F2970" s="2">
        <f t="shared" si="438"/>
        <v>41182</v>
      </c>
    </row>
    <row r="2971" spans="1:6" x14ac:dyDescent="0.25">
      <c r="A2971" s="1" t="s">
        <v>431</v>
      </c>
      <c r="B2971" s="1" t="s">
        <v>2583</v>
      </c>
      <c r="C2971" s="1" t="s">
        <v>45</v>
      </c>
      <c r="D2971" s="3">
        <f t="shared" si="436"/>
        <v>7141</v>
      </c>
      <c r="E2971" s="2">
        <f t="shared" si="437"/>
        <v>40483</v>
      </c>
      <c r="F2971" s="2">
        <f t="shared" si="438"/>
        <v>41182</v>
      </c>
    </row>
    <row r="2972" spans="1:6" x14ac:dyDescent="0.25">
      <c r="A2972" s="1" t="s">
        <v>431</v>
      </c>
      <c r="B2972" s="1" t="s">
        <v>2583</v>
      </c>
      <c r="C2972" s="1" t="s">
        <v>432</v>
      </c>
      <c r="D2972" s="3">
        <f t="shared" si="436"/>
        <v>7141</v>
      </c>
      <c r="E2972" s="2">
        <f t="shared" si="437"/>
        <v>40483</v>
      </c>
      <c r="F2972" s="2">
        <f t="shared" si="438"/>
        <v>41182</v>
      </c>
    </row>
    <row r="2973" spans="1:6" x14ac:dyDescent="0.25">
      <c r="A2973" s="1" t="s">
        <v>431</v>
      </c>
      <c r="B2973" s="1" t="s">
        <v>2583</v>
      </c>
      <c r="C2973" s="1" t="s">
        <v>228</v>
      </c>
      <c r="D2973" s="3">
        <f t="shared" si="436"/>
        <v>7141</v>
      </c>
      <c r="E2973" s="2">
        <f t="shared" si="437"/>
        <v>40483</v>
      </c>
      <c r="F2973" s="2">
        <f t="shared" si="438"/>
        <v>41182</v>
      </c>
    </row>
    <row r="2974" spans="1:6" x14ac:dyDescent="0.25">
      <c r="A2974" s="1" t="s">
        <v>431</v>
      </c>
      <c r="B2974" s="1" t="s">
        <v>2583</v>
      </c>
      <c r="C2974" s="1" t="s">
        <v>28</v>
      </c>
      <c r="D2974" s="3">
        <f t="shared" si="436"/>
        <v>7141</v>
      </c>
      <c r="E2974" s="2">
        <f t="shared" si="437"/>
        <v>40483</v>
      </c>
      <c r="F2974" s="2">
        <f t="shared" si="438"/>
        <v>41182</v>
      </c>
    </row>
    <row r="2975" spans="1:6" x14ac:dyDescent="0.25">
      <c r="A2975" s="1" t="s">
        <v>431</v>
      </c>
      <c r="B2975" s="1" t="s">
        <v>2583</v>
      </c>
      <c r="C2975" s="1" t="s">
        <v>229</v>
      </c>
      <c r="D2975" s="3">
        <f t="shared" si="436"/>
        <v>7141</v>
      </c>
      <c r="E2975" s="2">
        <f t="shared" si="437"/>
        <v>40483</v>
      </c>
      <c r="F2975" s="2">
        <f t="shared" si="438"/>
        <v>41182</v>
      </c>
    </row>
    <row r="2976" spans="1:6" x14ac:dyDescent="0.25">
      <c r="A2976" s="1" t="s">
        <v>431</v>
      </c>
      <c r="B2976" s="1" t="s">
        <v>2583</v>
      </c>
      <c r="C2976" s="1" t="s">
        <v>29</v>
      </c>
      <c r="D2976" s="3">
        <f t="shared" si="436"/>
        <v>7141</v>
      </c>
      <c r="E2976" s="2">
        <f t="shared" si="437"/>
        <v>40483</v>
      </c>
      <c r="F2976" s="2">
        <f t="shared" si="438"/>
        <v>41182</v>
      </c>
    </row>
    <row r="2977" spans="1:6" x14ac:dyDescent="0.25">
      <c r="A2977" s="1" t="s">
        <v>431</v>
      </c>
      <c r="B2977" s="1" t="s">
        <v>2583</v>
      </c>
      <c r="C2977" s="1" t="s">
        <v>230</v>
      </c>
      <c r="D2977" s="3">
        <f t="shared" si="436"/>
        <v>7141</v>
      </c>
      <c r="E2977" s="2">
        <f t="shared" si="437"/>
        <v>40483</v>
      </c>
      <c r="F2977" s="2">
        <f t="shared" si="438"/>
        <v>41182</v>
      </c>
    </row>
    <row r="2978" spans="1:6" x14ac:dyDescent="0.25">
      <c r="A2978" s="1" t="s">
        <v>431</v>
      </c>
      <c r="B2978" s="1" t="s">
        <v>2583</v>
      </c>
      <c r="C2978" s="1" t="s">
        <v>232</v>
      </c>
      <c r="D2978" s="3">
        <f t="shared" si="436"/>
        <v>7141</v>
      </c>
      <c r="E2978" s="2">
        <f t="shared" si="437"/>
        <v>40483</v>
      </c>
      <c r="F2978" s="2">
        <f t="shared" si="438"/>
        <v>41182</v>
      </c>
    </row>
    <row r="2979" spans="1:6" x14ac:dyDescent="0.25">
      <c r="A2979" s="1" t="s">
        <v>431</v>
      </c>
      <c r="B2979" s="1" t="s">
        <v>2583</v>
      </c>
      <c r="C2979" s="1" t="s">
        <v>233</v>
      </c>
      <c r="D2979" s="3">
        <f t="shared" si="436"/>
        <v>7141</v>
      </c>
      <c r="E2979" s="2">
        <f t="shared" si="437"/>
        <v>40483</v>
      </c>
      <c r="F2979" s="2">
        <f t="shared" si="438"/>
        <v>41182</v>
      </c>
    </row>
    <row r="2980" spans="1:6" x14ac:dyDescent="0.25">
      <c r="A2980" s="1" t="s">
        <v>431</v>
      </c>
      <c r="B2980" s="1" t="s">
        <v>2583</v>
      </c>
      <c r="C2980" s="1" t="s">
        <v>234</v>
      </c>
      <c r="D2980" s="3">
        <f t="shared" si="436"/>
        <v>7141</v>
      </c>
      <c r="E2980" s="2">
        <f t="shared" si="437"/>
        <v>40483</v>
      </c>
      <c r="F2980" s="2">
        <f t="shared" si="438"/>
        <v>41182</v>
      </c>
    </row>
    <row r="2981" spans="1:6" x14ac:dyDescent="0.25">
      <c r="A2981" s="1" t="s">
        <v>431</v>
      </c>
      <c r="B2981" s="1" t="s">
        <v>2583</v>
      </c>
      <c r="C2981" s="1" t="s">
        <v>596</v>
      </c>
      <c r="D2981" s="3">
        <f t="shared" si="436"/>
        <v>7141</v>
      </c>
      <c r="E2981" s="2">
        <f t="shared" si="437"/>
        <v>40483</v>
      </c>
      <c r="F2981" s="2">
        <f t="shared" si="438"/>
        <v>41182</v>
      </c>
    </row>
    <row r="2982" spans="1:6" x14ac:dyDescent="0.25">
      <c r="A2982" s="1" t="s">
        <v>431</v>
      </c>
      <c r="B2982" s="1" t="s">
        <v>2583</v>
      </c>
      <c r="C2982" s="1" t="s">
        <v>30</v>
      </c>
      <c r="D2982" s="3">
        <f t="shared" si="436"/>
        <v>7141</v>
      </c>
      <c r="E2982" s="2">
        <f t="shared" si="437"/>
        <v>40483</v>
      </c>
      <c r="F2982" s="2">
        <f t="shared" si="438"/>
        <v>41182</v>
      </c>
    </row>
    <row r="2983" spans="1:6" x14ac:dyDescent="0.25">
      <c r="A2983" s="1" t="s">
        <v>431</v>
      </c>
      <c r="B2983" s="1" t="s">
        <v>2583</v>
      </c>
      <c r="C2983" s="1" t="s">
        <v>235</v>
      </c>
      <c r="D2983" s="3">
        <f t="shared" si="436"/>
        <v>7141</v>
      </c>
      <c r="E2983" s="2">
        <f t="shared" si="437"/>
        <v>40483</v>
      </c>
      <c r="F2983" s="2">
        <f t="shared" si="438"/>
        <v>41182</v>
      </c>
    </row>
    <row r="2984" spans="1:6" x14ac:dyDescent="0.25">
      <c r="A2984" s="1" t="s">
        <v>431</v>
      </c>
      <c r="B2984" s="1" t="s">
        <v>2583</v>
      </c>
      <c r="C2984" s="1" t="s">
        <v>236</v>
      </c>
      <c r="D2984" s="3">
        <f t="shared" si="436"/>
        <v>7141</v>
      </c>
      <c r="E2984" s="2">
        <f t="shared" si="437"/>
        <v>40483</v>
      </c>
      <c r="F2984" s="2">
        <f t="shared" si="438"/>
        <v>41182</v>
      </c>
    </row>
    <row r="2985" spans="1:6" x14ac:dyDescent="0.25">
      <c r="A2985" s="1" t="s">
        <v>431</v>
      </c>
      <c r="B2985" s="1" t="s">
        <v>2583</v>
      </c>
      <c r="C2985" s="1" t="s">
        <v>237</v>
      </c>
      <c r="D2985" s="3">
        <f t="shared" si="436"/>
        <v>7141</v>
      </c>
      <c r="E2985" s="2">
        <f t="shared" si="437"/>
        <v>40483</v>
      </c>
      <c r="F2985" s="2">
        <f t="shared" si="438"/>
        <v>41182</v>
      </c>
    </row>
    <row r="2986" spans="1:6" x14ac:dyDescent="0.25">
      <c r="A2986" s="1" t="s">
        <v>431</v>
      </c>
      <c r="B2986" s="1" t="s">
        <v>2583</v>
      </c>
      <c r="C2986" s="1" t="s">
        <v>238</v>
      </c>
      <c r="D2986" s="3">
        <f t="shared" si="436"/>
        <v>7141</v>
      </c>
      <c r="E2986" s="2">
        <f t="shared" si="437"/>
        <v>40483</v>
      </c>
      <c r="F2986" s="2">
        <f t="shared" si="438"/>
        <v>41182</v>
      </c>
    </row>
    <row r="2987" spans="1:6" x14ac:dyDescent="0.25">
      <c r="A2987" s="1" t="s">
        <v>431</v>
      </c>
      <c r="B2987" s="1" t="s">
        <v>2583</v>
      </c>
      <c r="C2987" s="1" t="s">
        <v>32</v>
      </c>
      <c r="D2987" s="3">
        <f t="shared" si="436"/>
        <v>7141</v>
      </c>
      <c r="E2987" s="2">
        <f t="shared" si="437"/>
        <v>40483</v>
      </c>
      <c r="F2987" s="2">
        <f t="shared" si="438"/>
        <v>41182</v>
      </c>
    </row>
    <row r="2988" spans="1:6" x14ac:dyDescent="0.25">
      <c r="A2988" s="1" t="s">
        <v>431</v>
      </c>
      <c r="B2988" s="1" t="s">
        <v>2583</v>
      </c>
      <c r="C2988" s="1" t="s">
        <v>113</v>
      </c>
      <c r="D2988" s="3">
        <f t="shared" si="436"/>
        <v>7141</v>
      </c>
      <c r="E2988" s="2">
        <f t="shared" si="437"/>
        <v>40483</v>
      </c>
      <c r="F2988" s="2">
        <f t="shared" si="438"/>
        <v>41182</v>
      </c>
    </row>
    <row r="2989" spans="1:6" x14ac:dyDescent="0.25">
      <c r="A2989" s="1" t="s">
        <v>431</v>
      </c>
      <c r="B2989" s="1" t="s">
        <v>2583</v>
      </c>
      <c r="C2989" s="1" t="s">
        <v>116</v>
      </c>
      <c r="D2989" s="3">
        <f t="shared" si="436"/>
        <v>7141</v>
      </c>
      <c r="E2989" s="2">
        <f t="shared" si="437"/>
        <v>40483</v>
      </c>
      <c r="F2989" s="2">
        <f t="shared" si="438"/>
        <v>41182</v>
      </c>
    </row>
    <row r="2990" spans="1:6" x14ac:dyDescent="0.25">
      <c r="A2990" s="1" t="s">
        <v>431</v>
      </c>
      <c r="B2990" s="1" t="s">
        <v>2583</v>
      </c>
      <c r="C2990" s="1" t="s">
        <v>57</v>
      </c>
      <c r="D2990" s="3">
        <f t="shared" si="436"/>
        <v>7141</v>
      </c>
      <c r="E2990" s="2">
        <f t="shared" si="437"/>
        <v>40483</v>
      </c>
      <c r="F2990" s="2">
        <f t="shared" si="438"/>
        <v>41182</v>
      </c>
    </row>
    <row r="2991" spans="1:6" x14ac:dyDescent="0.25">
      <c r="A2991" s="1" t="s">
        <v>431</v>
      </c>
      <c r="B2991" s="1" t="s">
        <v>2534</v>
      </c>
      <c r="C2991" s="1" t="s">
        <v>45</v>
      </c>
      <c r="D2991" s="3">
        <f>VALUE("6105")</f>
        <v>6105</v>
      </c>
      <c r="E2991" s="2">
        <f>DATEVALUE("1-6-2008")</f>
        <v>39600</v>
      </c>
      <c r="F2991" s="2">
        <f t="shared" si="438"/>
        <v>41182</v>
      </c>
    </row>
    <row r="2992" spans="1:6" x14ac:dyDescent="0.25">
      <c r="A2992" s="1" t="s">
        <v>431</v>
      </c>
      <c r="B2992" s="1" t="s">
        <v>2534</v>
      </c>
      <c r="C2992" s="1" t="s">
        <v>328</v>
      </c>
      <c r="D2992" s="3">
        <f>VALUE("6105")</f>
        <v>6105</v>
      </c>
      <c r="E2992" s="2">
        <f>DATEVALUE("1-6-2008")</f>
        <v>39600</v>
      </c>
      <c r="F2992" s="2">
        <f t="shared" si="438"/>
        <v>41182</v>
      </c>
    </row>
    <row r="2993" spans="1:6" x14ac:dyDescent="0.25">
      <c r="A2993" s="1" t="s">
        <v>431</v>
      </c>
      <c r="B2993" s="1" t="s">
        <v>2534</v>
      </c>
      <c r="C2993" s="1" t="s">
        <v>479</v>
      </c>
      <c r="D2993" s="3">
        <f>VALUE("6105")</f>
        <v>6105</v>
      </c>
      <c r="E2993" s="2">
        <f>DATEVALUE("1-6-2008")</f>
        <v>39600</v>
      </c>
      <c r="F2993" s="2">
        <f t="shared" si="438"/>
        <v>41182</v>
      </c>
    </row>
    <row r="2994" spans="1:6" x14ac:dyDescent="0.25">
      <c r="A2994" s="1" t="s">
        <v>431</v>
      </c>
      <c r="B2994" s="1" t="s">
        <v>2530</v>
      </c>
      <c r="C2994" s="1" t="s">
        <v>5</v>
      </c>
      <c r="D2994" s="3">
        <f t="shared" ref="D2994:D3034" si="439">VALUE("6088")</f>
        <v>6088</v>
      </c>
      <c r="E2994" s="2">
        <f t="shared" ref="E2994:E3034" si="440">DATEVALUE("1-4-2008")</f>
        <v>39539</v>
      </c>
      <c r="F2994" s="2">
        <f t="shared" ref="F2994:F3034" si="441">DATEVALUE("31-3-2012")</f>
        <v>40999</v>
      </c>
    </row>
    <row r="2995" spans="1:6" x14ac:dyDescent="0.25">
      <c r="A2995" s="1" t="s">
        <v>431</v>
      </c>
      <c r="B2995" s="1" t="s">
        <v>2530</v>
      </c>
      <c r="C2995" s="1" t="s">
        <v>78</v>
      </c>
      <c r="D2995" s="3">
        <f t="shared" si="439"/>
        <v>6088</v>
      </c>
      <c r="E2995" s="2">
        <f t="shared" si="440"/>
        <v>39539</v>
      </c>
      <c r="F2995" s="2">
        <f t="shared" si="441"/>
        <v>40999</v>
      </c>
    </row>
    <row r="2996" spans="1:6" x14ac:dyDescent="0.25">
      <c r="A2996" s="1" t="s">
        <v>431</v>
      </c>
      <c r="B2996" s="1" t="s">
        <v>2530</v>
      </c>
      <c r="C2996" s="1" t="s">
        <v>79</v>
      </c>
      <c r="D2996" s="3">
        <f t="shared" si="439"/>
        <v>6088</v>
      </c>
      <c r="E2996" s="2">
        <f t="shared" si="440"/>
        <v>39539</v>
      </c>
      <c r="F2996" s="2">
        <f t="shared" si="441"/>
        <v>40999</v>
      </c>
    </row>
    <row r="2997" spans="1:6" x14ac:dyDescent="0.25">
      <c r="A2997" s="1" t="s">
        <v>431</v>
      </c>
      <c r="B2997" s="1" t="s">
        <v>2530</v>
      </c>
      <c r="C2997" s="1" t="s">
        <v>80</v>
      </c>
      <c r="D2997" s="3">
        <f t="shared" si="439"/>
        <v>6088</v>
      </c>
      <c r="E2997" s="2">
        <f t="shared" si="440"/>
        <v>39539</v>
      </c>
      <c r="F2997" s="2">
        <f t="shared" si="441"/>
        <v>40999</v>
      </c>
    </row>
    <row r="2998" spans="1:6" x14ac:dyDescent="0.25">
      <c r="A2998" s="1" t="s">
        <v>431</v>
      </c>
      <c r="B2998" s="1" t="s">
        <v>2530</v>
      </c>
      <c r="C2998" s="1" t="s">
        <v>39</v>
      </c>
      <c r="D2998" s="3">
        <f t="shared" si="439"/>
        <v>6088</v>
      </c>
      <c r="E2998" s="2">
        <f t="shared" si="440"/>
        <v>39539</v>
      </c>
      <c r="F2998" s="2">
        <f t="shared" si="441"/>
        <v>40999</v>
      </c>
    </row>
    <row r="2999" spans="1:6" x14ac:dyDescent="0.25">
      <c r="A2999" s="1" t="s">
        <v>431</v>
      </c>
      <c r="B2999" s="1" t="s">
        <v>2530</v>
      </c>
      <c r="C2999" s="1" t="s">
        <v>60</v>
      </c>
      <c r="D2999" s="3">
        <f t="shared" si="439"/>
        <v>6088</v>
      </c>
      <c r="E2999" s="2">
        <f t="shared" si="440"/>
        <v>39539</v>
      </c>
      <c r="F2999" s="2">
        <f t="shared" si="441"/>
        <v>40999</v>
      </c>
    </row>
    <row r="3000" spans="1:6" x14ac:dyDescent="0.25">
      <c r="A3000" s="1" t="s">
        <v>431</v>
      </c>
      <c r="B3000" s="1" t="s">
        <v>2530</v>
      </c>
      <c r="C3000" s="1" t="s">
        <v>82</v>
      </c>
      <c r="D3000" s="3">
        <f t="shared" si="439"/>
        <v>6088</v>
      </c>
      <c r="E3000" s="2">
        <f t="shared" si="440"/>
        <v>39539</v>
      </c>
      <c r="F3000" s="2">
        <f t="shared" si="441"/>
        <v>40999</v>
      </c>
    </row>
    <row r="3001" spans="1:6" x14ac:dyDescent="0.25">
      <c r="A3001" s="1" t="s">
        <v>431</v>
      </c>
      <c r="B3001" s="1" t="s">
        <v>2530</v>
      </c>
      <c r="C3001" s="1" t="s">
        <v>42</v>
      </c>
      <c r="D3001" s="3">
        <f t="shared" si="439"/>
        <v>6088</v>
      </c>
      <c r="E3001" s="2">
        <f t="shared" si="440"/>
        <v>39539</v>
      </c>
      <c r="F3001" s="2">
        <f t="shared" si="441"/>
        <v>40999</v>
      </c>
    </row>
    <row r="3002" spans="1:6" x14ac:dyDescent="0.25">
      <c r="A3002" s="1" t="s">
        <v>431</v>
      </c>
      <c r="B3002" s="1" t="s">
        <v>2530</v>
      </c>
      <c r="C3002" s="1" t="s">
        <v>8</v>
      </c>
      <c r="D3002" s="3">
        <f t="shared" si="439"/>
        <v>6088</v>
      </c>
      <c r="E3002" s="2">
        <f t="shared" si="440"/>
        <v>39539</v>
      </c>
      <c r="F3002" s="2">
        <f t="shared" si="441"/>
        <v>40999</v>
      </c>
    </row>
    <row r="3003" spans="1:6" x14ac:dyDescent="0.25">
      <c r="A3003" s="1" t="s">
        <v>431</v>
      </c>
      <c r="B3003" s="1" t="s">
        <v>2530</v>
      </c>
      <c r="C3003" s="1" t="s">
        <v>10</v>
      </c>
      <c r="D3003" s="3">
        <f t="shared" si="439"/>
        <v>6088</v>
      </c>
      <c r="E3003" s="2">
        <f t="shared" si="440"/>
        <v>39539</v>
      </c>
      <c r="F3003" s="2">
        <f t="shared" si="441"/>
        <v>40999</v>
      </c>
    </row>
    <row r="3004" spans="1:6" x14ac:dyDescent="0.25">
      <c r="A3004" s="1" t="s">
        <v>431</v>
      </c>
      <c r="B3004" s="1" t="s">
        <v>2530</v>
      </c>
      <c r="C3004" s="1" t="s">
        <v>11</v>
      </c>
      <c r="D3004" s="3">
        <f t="shared" si="439"/>
        <v>6088</v>
      </c>
      <c r="E3004" s="2">
        <f t="shared" si="440"/>
        <v>39539</v>
      </c>
      <c r="F3004" s="2">
        <f t="shared" si="441"/>
        <v>40999</v>
      </c>
    </row>
    <row r="3005" spans="1:6" x14ac:dyDescent="0.25">
      <c r="A3005" s="1" t="s">
        <v>431</v>
      </c>
      <c r="B3005" s="1" t="s">
        <v>2530</v>
      </c>
      <c r="C3005" s="1" t="s">
        <v>12</v>
      </c>
      <c r="D3005" s="3">
        <f t="shared" si="439"/>
        <v>6088</v>
      </c>
      <c r="E3005" s="2">
        <f t="shared" si="440"/>
        <v>39539</v>
      </c>
      <c r="F3005" s="2">
        <f t="shared" si="441"/>
        <v>40999</v>
      </c>
    </row>
    <row r="3006" spans="1:6" x14ac:dyDescent="0.25">
      <c r="A3006" s="1" t="s">
        <v>431</v>
      </c>
      <c r="B3006" s="1" t="s">
        <v>2530</v>
      </c>
      <c r="C3006" s="1" t="s">
        <v>83</v>
      </c>
      <c r="D3006" s="3">
        <f t="shared" si="439"/>
        <v>6088</v>
      </c>
      <c r="E3006" s="2">
        <f t="shared" si="440"/>
        <v>39539</v>
      </c>
      <c r="F3006" s="2">
        <f t="shared" si="441"/>
        <v>40999</v>
      </c>
    </row>
    <row r="3007" spans="1:6" x14ac:dyDescent="0.25">
      <c r="A3007" s="1" t="s">
        <v>431</v>
      </c>
      <c r="B3007" s="1" t="s">
        <v>2530</v>
      </c>
      <c r="C3007" s="1" t="s">
        <v>43</v>
      </c>
      <c r="D3007" s="3">
        <f t="shared" si="439"/>
        <v>6088</v>
      </c>
      <c r="E3007" s="2">
        <f t="shared" si="440"/>
        <v>39539</v>
      </c>
      <c r="F3007" s="2">
        <f t="shared" si="441"/>
        <v>40999</v>
      </c>
    </row>
    <row r="3008" spans="1:6" x14ac:dyDescent="0.25">
      <c r="A3008" s="1" t="s">
        <v>431</v>
      </c>
      <c r="B3008" s="1" t="s">
        <v>2530</v>
      </c>
      <c r="C3008" s="1" t="s">
        <v>45</v>
      </c>
      <c r="D3008" s="3">
        <f t="shared" si="439"/>
        <v>6088</v>
      </c>
      <c r="E3008" s="2">
        <f t="shared" si="440"/>
        <v>39539</v>
      </c>
      <c r="F3008" s="2">
        <f t="shared" si="441"/>
        <v>40999</v>
      </c>
    </row>
    <row r="3009" spans="1:6" x14ac:dyDescent="0.25">
      <c r="A3009" s="1" t="s">
        <v>431</v>
      </c>
      <c r="B3009" s="1" t="s">
        <v>2530</v>
      </c>
      <c r="C3009" s="1" t="s">
        <v>46</v>
      </c>
      <c r="D3009" s="3">
        <f t="shared" si="439"/>
        <v>6088</v>
      </c>
      <c r="E3009" s="2">
        <f t="shared" si="440"/>
        <v>39539</v>
      </c>
      <c r="F3009" s="2">
        <f t="shared" si="441"/>
        <v>40999</v>
      </c>
    </row>
    <row r="3010" spans="1:6" x14ac:dyDescent="0.25">
      <c r="A3010" s="1" t="s">
        <v>431</v>
      </c>
      <c r="B3010" s="1" t="s">
        <v>2530</v>
      </c>
      <c r="C3010" s="1" t="s">
        <v>66</v>
      </c>
      <c r="D3010" s="3">
        <f t="shared" si="439"/>
        <v>6088</v>
      </c>
      <c r="E3010" s="2">
        <f t="shared" si="440"/>
        <v>39539</v>
      </c>
      <c r="F3010" s="2">
        <f t="shared" si="441"/>
        <v>40999</v>
      </c>
    </row>
    <row r="3011" spans="1:6" x14ac:dyDescent="0.25">
      <c r="A3011" s="1" t="s">
        <v>431</v>
      </c>
      <c r="B3011" s="1" t="s">
        <v>2530</v>
      </c>
      <c r="C3011" s="1" t="s">
        <v>16</v>
      </c>
      <c r="D3011" s="3">
        <f t="shared" si="439"/>
        <v>6088</v>
      </c>
      <c r="E3011" s="2">
        <f t="shared" si="440"/>
        <v>39539</v>
      </c>
      <c r="F3011" s="2">
        <f t="shared" si="441"/>
        <v>40999</v>
      </c>
    </row>
    <row r="3012" spans="1:6" x14ac:dyDescent="0.25">
      <c r="A3012" s="1" t="s">
        <v>431</v>
      </c>
      <c r="B3012" s="1" t="s">
        <v>2530</v>
      </c>
      <c r="C3012" s="1" t="s">
        <v>88</v>
      </c>
      <c r="D3012" s="3">
        <f t="shared" si="439"/>
        <v>6088</v>
      </c>
      <c r="E3012" s="2">
        <f t="shared" si="440"/>
        <v>39539</v>
      </c>
      <c r="F3012" s="2">
        <f t="shared" si="441"/>
        <v>40999</v>
      </c>
    </row>
    <row r="3013" spans="1:6" x14ac:dyDescent="0.25">
      <c r="A3013" s="1" t="s">
        <v>431</v>
      </c>
      <c r="B3013" s="1" t="s">
        <v>2530</v>
      </c>
      <c r="C3013" s="1" t="s">
        <v>89</v>
      </c>
      <c r="D3013" s="3">
        <f t="shared" si="439"/>
        <v>6088</v>
      </c>
      <c r="E3013" s="2">
        <f t="shared" si="440"/>
        <v>39539</v>
      </c>
      <c r="F3013" s="2">
        <f t="shared" si="441"/>
        <v>40999</v>
      </c>
    </row>
    <row r="3014" spans="1:6" x14ac:dyDescent="0.25">
      <c r="A3014" s="1" t="s">
        <v>431</v>
      </c>
      <c r="B3014" s="1" t="s">
        <v>2530</v>
      </c>
      <c r="C3014" s="1" t="s">
        <v>17</v>
      </c>
      <c r="D3014" s="3">
        <f t="shared" si="439"/>
        <v>6088</v>
      </c>
      <c r="E3014" s="2">
        <f t="shared" si="440"/>
        <v>39539</v>
      </c>
      <c r="F3014" s="2">
        <f t="shared" si="441"/>
        <v>40999</v>
      </c>
    </row>
    <row r="3015" spans="1:6" x14ac:dyDescent="0.25">
      <c r="A3015" s="1" t="s">
        <v>431</v>
      </c>
      <c r="B3015" s="1" t="s">
        <v>2530</v>
      </c>
      <c r="C3015" s="1" t="s">
        <v>97</v>
      </c>
      <c r="D3015" s="3">
        <f t="shared" si="439"/>
        <v>6088</v>
      </c>
      <c r="E3015" s="2">
        <f t="shared" si="440"/>
        <v>39539</v>
      </c>
      <c r="F3015" s="2">
        <f t="shared" si="441"/>
        <v>40999</v>
      </c>
    </row>
    <row r="3016" spans="1:6" x14ac:dyDescent="0.25">
      <c r="A3016" s="1" t="s">
        <v>431</v>
      </c>
      <c r="B3016" s="1" t="s">
        <v>2530</v>
      </c>
      <c r="C3016" s="1" t="s">
        <v>98</v>
      </c>
      <c r="D3016" s="3">
        <f t="shared" si="439"/>
        <v>6088</v>
      </c>
      <c r="E3016" s="2">
        <f t="shared" si="440"/>
        <v>39539</v>
      </c>
      <c r="F3016" s="2">
        <f t="shared" si="441"/>
        <v>40999</v>
      </c>
    </row>
    <row r="3017" spans="1:6" x14ac:dyDescent="0.25">
      <c r="A3017" s="1" t="s">
        <v>431</v>
      </c>
      <c r="B3017" s="1" t="s">
        <v>2530</v>
      </c>
      <c r="C3017" s="1" t="s">
        <v>99</v>
      </c>
      <c r="D3017" s="3">
        <f t="shared" si="439"/>
        <v>6088</v>
      </c>
      <c r="E3017" s="2">
        <f t="shared" si="440"/>
        <v>39539</v>
      </c>
      <c r="F3017" s="2">
        <f t="shared" si="441"/>
        <v>40999</v>
      </c>
    </row>
    <row r="3018" spans="1:6" x14ac:dyDescent="0.25">
      <c r="A3018" s="1" t="s">
        <v>431</v>
      </c>
      <c r="B3018" s="1" t="s">
        <v>2530</v>
      </c>
      <c r="C3018" s="1" t="s">
        <v>71</v>
      </c>
      <c r="D3018" s="3">
        <f t="shared" si="439"/>
        <v>6088</v>
      </c>
      <c r="E3018" s="2">
        <f t="shared" si="440"/>
        <v>39539</v>
      </c>
      <c r="F3018" s="2">
        <f t="shared" si="441"/>
        <v>40999</v>
      </c>
    </row>
    <row r="3019" spans="1:6" x14ac:dyDescent="0.25">
      <c r="A3019" s="1" t="s">
        <v>431</v>
      </c>
      <c r="B3019" s="1" t="s">
        <v>2530</v>
      </c>
      <c r="C3019" s="1" t="s">
        <v>100</v>
      </c>
      <c r="D3019" s="3">
        <f t="shared" si="439"/>
        <v>6088</v>
      </c>
      <c r="E3019" s="2">
        <f t="shared" si="440"/>
        <v>39539</v>
      </c>
      <c r="F3019" s="2">
        <f t="shared" si="441"/>
        <v>40999</v>
      </c>
    </row>
    <row r="3020" spans="1:6" x14ac:dyDescent="0.25">
      <c r="A3020" s="1" t="s">
        <v>431</v>
      </c>
      <c r="B3020" s="1" t="s">
        <v>2530</v>
      </c>
      <c r="C3020" s="1" t="s">
        <v>105</v>
      </c>
      <c r="D3020" s="3">
        <f t="shared" si="439"/>
        <v>6088</v>
      </c>
      <c r="E3020" s="2">
        <f t="shared" si="440"/>
        <v>39539</v>
      </c>
      <c r="F3020" s="2">
        <f t="shared" si="441"/>
        <v>40999</v>
      </c>
    </row>
    <row r="3021" spans="1:6" x14ac:dyDescent="0.25">
      <c r="A3021" s="1" t="s">
        <v>431</v>
      </c>
      <c r="B3021" s="1" t="s">
        <v>2530</v>
      </c>
      <c r="C3021" s="1" t="s">
        <v>106</v>
      </c>
      <c r="D3021" s="3">
        <f t="shared" si="439"/>
        <v>6088</v>
      </c>
      <c r="E3021" s="2">
        <f t="shared" si="440"/>
        <v>39539</v>
      </c>
      <c r="F3021" s="2">
        <f t="shared" si="441"/>
        <v>40999</v>
      </c>
    </row>
    <row r="3022" spans="1:6" x14ac:dyDescent="0.25">
      <c r="A3022" s="1" t="s">
        <v>431</v>
      </c>
      <c r="B3022" s="1" t="s">
        <v>2530</v>
      </c>
      <c r="C3022" s="1" t="s">
        <v>107</v>
      </c>
      <c r="D3022" s="3">
        <f t="shared" si="439"/>
        <v>6088</v>
      </c>
      <c r="E3022" s="2">
        <f t="shared" si="440"/>
        <v>39539</v>
      </c>
      <c r="F3022" s="2">
        <f t="shared" si="441"/>
        <v>40999</v>
      </c>
    </row>
    <row r="3023" spans="1:6" x14ac:dyDescent="0.25">
      <c r="A3023" s="1" t="s">
        <v>431</v>
      </c>
      <c r="B3023" s="1" t="s">
        <v>2530</v>
      </c>
      <c r="C3023" s="1" t="s">
        <v>32</v>
      </c>
      <c r="D3023" s="3">
        <f t="shared" si="439"/>
        <v>6088</v>
      </c>
      <c r="E3023" s="2">
        <f t="shared" si="440"/>
        <v>39539</v>
      </c>
      <c r="F3023" s="2">
        <f t="shared" si="441"/>
        <v>40999</v>
      </c>
    </row>
    <row r="3024" spans="1:6" x14ac:dyDescent="0.25">
      <c r="A3024" s="1" t="s">
        <v>431</v>
      </c>
      <c r="B3024" s="1" t="s">
        <v>2530</v>
      </c>
      <c r="C3024" s="1" t="s">
        <v>108</v>
      </c>
      <c r="D3024" s="3">
        <f t="shared" si="439"/>
        <v>6088</v>
      </c>
      <c r="E3024" s="2">
        <f t="shared" si="440"/>
        <v>39539</v>
      </c>
      <c r="F3024" s="2">
        <f t="shared" si="441"/>
        <v>40999</v>
      </c>
    </row>
    <row r="3025" spans="1:6" x14ac:dyDescent="0.25">
      <c r="A3025" s="1" t="s">
        <v>431</v>
      </c>
      <c r="B3025" s="1" t="s">
        <v>2530</v>
      </c>
      <c r="C3025" s="1" t="s">
        <v>109</v>
      </c>
      <c r="D3025" s="3">
        <f t="shared" si="439"/>
        <v>6088</v>
      </c>
      <c r="E3025" s="2">
        <f t="shared" si="440"/>
        <v>39539</v>
      </c>
      <c r="F3025" s="2">
        <f t="shared" si="441"/>
        <v>40999</v>
      </c>
    </row>
    <row r="3026" spans="1:6" x14ac:dyDescent="0.25">
      <c r="A3026" s="1" t="s">
        <v>431</v>
      </c>
      <c r="B3026" s="1" t="s">
        <v>2530</v>
      </c>
      <c r="C3026" s="1" t="s">
        <v>110</v>
      </c>
      <c r="D3026" s="3">
        <f t="shared" si="439"/>
        <v>6088</v>
      </c>
      <c r="E3026" s="2">
        <f t="shared" si="440"/>
        <v>39539</v>
      </c>
      <c r="F3026" s="2">
        <f t="shared" si="441"/>
        <v>40999</v>
      </c>
    </row>
    <row r="3027" spans="1:6" x14ac:dyDescent="0.25">
      <c r="A3027" s="1" t="s">
        <v>431</v>
      </c>
      <c r="B3027" s="1" t="s">
        <v>2530</v>
      </c>
      <c r="C3027" s="1" t="s">
        <v>111</v>
      </c>
      <c r="D3027" s="3">
        <f t="shared" si="439"/>
        <v>6088</v>
      </c>
      <c r="E3027" s="2">
        <f t="shared" si="440"/>
        <v>39539</v>
      </c>
      <c r="F3027" s="2">
        <f t="shared" si="441"/>
        <v>40999</v>
      </c>
    </row>
    <row r="3028" spans="1:6" x14ac:dyDescent="0.25">
      <c r="A3028" s="1" t="s">
        <v>431</v>
      </c>
      <c r="B3028" s="1" t="s">
        <v>2530</v>
      </c>
      <c r="C3028" s="1" t="s">
        <v>112</v>
      </c>
      <c r="D3028" s="3">
        <f t="shared" si="439"/>
        <v>6088</v>
      </c>
      <c r="E3028" s="2">
        <f t="shared" si="440"/>
        <v>39539</v>
      </c>
      <c r="F3028" s="2">
        <f t="shared" si="441"/>
        <v>40999</v>
      </c>
    </row>
    <row r="3029" spans="1:6" x14ac:dyDescent="0.25">
      <c r="A3029" s="1" t="s">
        <v>431</v>
      </c>
      <c r="B3029" s="1" t="s">
        <v>2530</v>
      </c>
      <c r="C3029" s="1" t="s">
        <v>113</v>
      </c>
      <c r="D3029" s="3">
        <f t="shared" si="439"/>
        <v>6088</v>
      </c>
      <c r="E3029" s="2">
        <f t="shared" si="440"/>
        <v>39539</v>
      </c>
      <c r="F3029" s="2">
        <f t="shared" si="441"/>
        <v>40999</v>
      </c>
    </row>
    <row r="3030" spans="1:6" x14ac:dyDescent="0.25">
      <c r="A3030" s="1" t="s">
        <v>431</v>
      </c>
      <c r="B3030" s="1" t="s">
        <v>2530</v>
      </c>
      <c r="C3030" s="1" t="s">
        <v>33</v>
      </c>
      <c r="D3030" s="3">
        <f t="shared" si="439"/>
        <v>6088</v>
      </c>
      <c r="E3030" s="2">
        <f t="shared" si="440"/>
        <v>39539</v>
      </c>
      <c r="F3030" s="2">
        <f t="shared" si="441"/>
        <v>40999</v>
      </c>
    </row>
    <row r="3031" spans="1:6" x14ac:dyDescent="0.25">
      <c r="A3031" s="1" t="s">
        <v>431</v>
      </c>
      <c r="B3031" s="1" t="s">
        <v>2530</v>
      </c>
      <c r="C3031" s="1" t="s">
        <v>114</v>
      </c>
      <c r="D3031" s="3">
        <f t="shared" si="439"/>
        <v>6088</v>
      </c>
      <c r="E3031" s="2">
        <f t="shared" si="440"/>
        <v>39539</v>
      </c>
      <c r="F3031" s="2">
        <f t="shared" si="441"/>
        <v>40999</v>
      </c>
    </row>
    <row r="3032" spans="1:6" x14ac:dyDescent="0.25">
      <c r="A3032" s="1" t="s">
        <v>431</v>
      </c>
      <c r="B3032" s="1" t="s">
        <v>2530</v>
      </c>
      <c r="C3032" s="1" t="s">
        <v>116</v>
      </c>
      <c r="D3032" s="3">
        <f t="shared" si="439"/>
        <v>6088</v>
      </c>
      <c r="E3032" s="2">
        <f t="shared" si="440"/>
        <v>39539</v>
      </c>
      <c r="F3032" s="2">
        <f t="shared" si="441"/>
        <v>40999</v>
      </c>
    </row>
    <row r="3033" spans="1:6" x14ac:dyDescent="0.25">
      <c r="A3033" s="1" t="s">
        <v>431</v>
      </c>
      <c r="B3033" s="1" t="s">
        <v>2530</v>
      </c>
      <c r="C3033" s="1" t="s">
        <v>57</v>
      </c>
      <c r="D3033" s="3">
        <f t="shared" si="439"/>
        <v>6088</v>
      </c>
      <c r="E3033" s="2">
        <f t="shared" si="440"/>
        <v>39539</v>
      </c>
      <c r="F3033" s="2">
        <f t="shared" si="441"/>
        <v>40999</v>
      </c>
    </row>
    <row r="3034" spans="1:6" x14ac:dyDescent="0.25">
      <c r="A3034" s="1" t="s">
        <v>431</v>
      </c>
      <c r="B3034" s="1" t="s">
        <v>2530</v>
      </c>
      <c r="C3034" s="1" t="s">
        <v>36</v>
      </c>
      <c r="D3034" s="3">
        <f t="shared" si="439"/>
        <v>6088</v>
      </c>
      <c r="E3034" s="2">
        <f t="shared" si="440"/>
        <v>39539</v>
      </c>
      <c r="F3034" s="2">
        <f t="shared" si="441"/>
        <v>40999</v>
      </c>
    </row>
    <row r="3035" spans="1:6" x14ac:dyDescent="0.25">
      <c r="A3035" s="1" t="s">
        <v>431</v>
      </c>
      <c r="B3035" s="1" t="s">
        <v>2523</v>
      </c>
      <c r="C3035" s="1" t="s">
        <v>8</v>
      </c>
      <c r="D3035" s="3">
        <f t="shared" ref="D3035:D3041" si="442">VALUE("6064")</f>
        <v>6064</v>
      </c>
      <c r="E3035" s="2">
        <f t="shared" ref="E3035:E3041" si="443">DATEVALUE("1-10-2007")</f>
        <v>39356</v>
      </c>
      <c r="F3035" s="2">
        <f t="shared" ref="F3035:F3041" si="444">DATEVALUE("30-6-2012")</f>
        <v>41090</v>
      </c>
    </row>
    <row r="3036" spans="1:6" x14ac:dyDescent="0.25">
      <c r="A3036" s="1" t="s">
        <v>431</v>
      </c>
      <c r="B3036" s="1" t="s">
        <v>2523</v>
      </c>
      <c r="C3036" s="1" t="s">
        <v>10</v>
      </c>
      <c r="D3036" s="3">
        <f t="shared" si="442"/>
        <v>6064</v>
      </c>
      <c r="E3036" s="2">
        <f t="shared" si="443"/>
        <v>39356</v>
      </c>
      <c r="F3036" s="2">
        <f t="shared" si="444"/>
        <v>41090</v>
      </c>
    </row>
    <row r="3037" spans="1:6" x14ac:dyDescent="0.25">
      <c r="A3037" s="1" t="s">
        <v>431</v>
      </c>
      <c r="B3037" s="1" t="s">
        <v>2523</v>
      </c>
      <c r="C3037" s="1" t="s">
        <v>11</v>
      </c>
      <c r="D3037" s="3">
        <f t="shared" si="442"/>
        <v>6064</v>
      </c>
      <c r="E3037" s="2">
        <f t="shared" si="443"/>
        <v>39356</v>
      </c>
      <c r="F3037" s="2">
        <f t="shared" si="444"/>
        <v>41090</v>
      </c>
    </row>
    <row r="3038" spans="1:6" x14ac:dyDescent="0.25">
      <c r="A3038" s="1" t="s">
        <v>431</v>
      </c>
      <c r="B3038" s="1" t="s">
        <v>2523</v>
      </c>
      <c r="C3038" s="1" t="s">
        <v>12</v>
      </c>
      <c r="D3038" s="3">
        <f t="shared" si="442"/>
        <v>6064</v>
      </c>
      <c r="E3038" s="2">
        <f t="shared" si="443"/>
        <v>39356</v>
      </c>
      <c r="F3038" s="2">
        <f t="shared" si="444"/>
        <v>41090</v>
      </c>
    </row>
    <row r="3039" spans="1:6" x14ac:dyDescent="0.25">
      <c r="A3039" s="1" t="s">
        <v>431</v>
      </c>
      <c r="B3039" s="1" t="s">
        <v>2523</v>
      </c>
      <c r="C3039" s="1" t="s">
        <v>45</v>
      </c>
      <c r="D3039" s="3">
        <f t="shared" si="442"/>
        <v>6064</v>
      </c>
      <c r="E3039" s="2">
        <f t="shared" si="443"/>
        <v>39356</v>
      </c>
      <c r="F3039" s="2">
        <f t="shared" si="444"/>
        <v>41090</v>
      </c>
    </row>
    <row r="3040" spans="1:6" x14ac:dyDescent="0.25">
      <c r="A3040" s="1" t="s">
        <v>431</v>
      </c>
      <c r="B3040" s="1" t="s">
        <v>2523</v>
      </c>
      <c r="C3040" s="1" t="s">
        <v>2524</v>
      </c>
      <c r="D3040" s="3">
        <f t="shared" si="442"/>
        <v>6064</v>
      </c>
      <c r="E3040" s="2">
        <f t="shared" si="443"/>
        <v>39356</v>
      </c>
      <c r="F3040" s="2">
        <f t="shared" si="444"/>
        <v>41090</v>
      </c>
    </row>
    <row r="3041" spans="1:6" x14ac:dyDescent="0.25">
      <c r="A3041" s="1" t="s">
        <v>431</v>
      </c>
      <c r="B3041" s="1" t="s">
        <v>2523</v>
      </c>
      <c r="C3041" s="1" t="s">
        <v>32</v>
      </c>
      <c r="D3041" s="3">
        <f t="shared" si="442"/>
        <v>6064</v>
      </c>
      <c r="E3041" s="2">
        <f t="shared" si="443"/>
        <v>39356</v>
      </c>
      <c r="F3041" s="2">
        <f t="shared" si="444"/>
        <v>41090</v>
      </c>
    </row>
    <row r="3042" spans="1:6" x14ac:dyDescent="0.25">
      <c r="A3042" s="1" t="s">
        <v>431</v>
      </c>
      <c r="B3042" s="1" t="s">
        <v>2520</v>
      </c>
      <c r="C3042" s="1" t="s">
        <v>7</v>
      </c>
      <c r="D3042" s="3">
        <f t="shared" ref="D3042:D3070" si="445">VALUE("6062")</f>
        <v>6062</v>
      </c>
      <c r="E3042" s="2">
        <f t="shared" ref="E3042:E3070" si="446">DATEVALUE("1-9-2007")</f>
        <v>39326</v>
      </c>
      <c r="F3042" s="2">
        <f t="shared" ref="F3042:F3070" si="447">DATEVALUE("31-10-2014")</f>
        <v>41943</v>
      </c>
    </row>
    <row r="3043" spans="1:6" x14ac:dyDescent="0.25">
      <c r="A3043" s="1" t="s">
        <v>431</v>
      </c>
      <c r="B3043" s="1" t="s">
        <v>2520</v>
      </c>
      <c r="C3043" s="1" t="s">
        <v>5</v>
      </c>
      <c r="D3043" s="3">
        <f t="shared" si="445"/>
        <v>6062</v>
      </c>
      <c r="E3043" s="2">
        <f t="shared" si="446"/>
        <v>39326</v>
      </c>
      <c r="F3043" s="2">
        <f t="shared" si="447"/>
        <v>41943</v>
      </c>
    </row>
    <row r="3044" spans="1:6" x14ac:dyDescent="0.25">
      <c r="A3044" s="1" t="s">
        <v>431</v>
      </c>
      <c r="B3044" s="1" t="s">
        <v>2520</v>
      </c>
      <c r="C3044" s="1" t="s">
        <v>2521</v>
      </c>
      <c r="D3044" s="3">
        <f t="shared" si="445"/>
        <v>6062</v>
      </c>
      <c r="E3044" s="2">
        <f t="shared" si="446"/>
        <v>39326</v>
      </c>
      <c r="F3044" s="2">
        <f t="shared" si="447"/>
        <v>41943</v>
      </c>
    </row>
    <row r="3045" spans="1:6" x14ac:dyDescent="0.25">
      <c r="A3045" s="1" t="s">
        <v>431</v>
      </c>
      <c r="B3045" s="1" t="s">
        <v>2520</v>
      </c>
      <c r="C3045" s="1" t="s">
        <v>2522</v>
      </c>
      <c r="D3045" s="3">
        <f t="shared" si="445"/>
        <v>6062</v>
      </c>
      <c r="E3045" s="2">
        <f t="shared" si="446"/>
        <v>39326</v>
      </c>
      <c r="F3045" s="2">
        <f t="shared" si="447"/>
        <v>41943</v>
      </c>
    </row>
    <row r="3046" spans="1:6" x14ac:dyDescent="0.25">
      <c r="A3046" s="1" t="s">
        <v>431</v>
      </c>
      <c r="B3046" s="1" t="s">
        <v>2520</v>
      </c>
      <c r="C3046" s="1" t="s">
        <v>347</v>
      </c>
      <c r="D3046" s="3">
        <f t="shared" si="445"/>
        <v>6062</v>
      </c>
      <c r="E3046" s="2">
        <f t="shared" si="446"/>
        <v>39326</v>
      </c>
      <c r="F3046" s="2">
        <f t="shared" si="447"/>
        <v>41943</v>
      </c>
    </row>
    <row r="3047" spans="1:6" x14ac:dyDescent="0.25">
      <c r="A3047" s="1" t="s">
        <v>431</v>
      </c>
      <c r="B3047" s="1" t="s">
        <v>2520</v>
      </c>
      <c r="C3047" s="1" t="s">
        <v>1859</v>
      </c>
      <c r="D3047" s="3">
        <f t="shared" si="445"/>
        <v>6062</v>
      </c>
      <c r="E3047" s="2">
        <f t="shared" si="446"/>
        <v>39326</v>
      </c>
      <c r="F3047" s="2">
        <f t="shared" si="447"/>
        <v>41943</v>
      </c>
    </row>
    <row r="3048" spans="1:6" x14ac:dyDescent="0.25">
      <c r="A3048" s="1" t="s">
        <v>431</v>
      </c>
      <c r="B3048" s="1" t="s">
        <v>2520</v>
      </c>
      <c r="C3048" s="1" t="s">
        <v>45</v>
      </c>
      <c r="D3048" s="3">
        <f t="shared" si="445"/>
        <v>6062</v>
      </c>
      <c r="E3048" s="2">
        <f t="shared" si="446"/>
        <v>39326</v>
      </c>
      <c r="F3048" s="2">
        <f t="shared" si="447"/>
        <v>41943</v>
      </c>
    </row>
    <row r="3049" spans="1:6" x14ac:dyDescent="0.25">
      <c r="A3049" s="1" t="s">
        <v>431</v>
      </c>
      <c r="B3049" s="1" t="s">
        <v>2520</v>
      </c>
      <c r="C3049" s="1" t="s">
        <v>69</v>
      </c>
      <c r="D3049" s="3">
        <f t="shared" si="445"/>
        <v>6062</v>
      </c>
      <c r="E3049" s="2">
        <f t="shared" si="446"/>
        <v>39326</v>
      </c>
      <c r="F3049" s="2">
        <f t="shared" si="447"/>
        <v>41943</v>
      </c>
    </row>
    <row r="3050" spans="1:6" x14ac:dyDescent="0.25">
      <c r="A3050" s="1" t="s">
        <v>431</v>
      </c>
      <c r="B3050" s="1" t="s">
        <v>2520</v>
      </c>
      <c r="C3050" s="1" t="s">
        <v>212</v>
      </c>
      <c r="D3050" s="3">
        <f t="shared" si="445"/>
        <v>6062</v>
      </c>
      <c r="E3050" s="2">
        <f t="shared" si="446"/>
        <v>39326</v>
      </c>
      <c r="F3050" s="2">
        <f t="shared" si="447"/>
        <v>41943</v>
      </c>
    </row>
    <row r="3051" spans="1:6" x14ac:dyDescent="0.25">
      <c r="A3051" s="1" t="s">
        <v>431</v>
      </c>
      <c r="B3051" s="1" t="s">
        <v>2520</v>
      </c>
      <c r="C3051" s="1" t="s">
        <v>101</v>
      </c>
      <c r="D3051" s="3">
        <f t="shared" si="445"/>
        <v>6062</v>
      </c>
      <c r="E3051" s="2">
        <f t="shared" si="446"/>
        <v>39326</v>
      </c>
      <c r="F3051" s="2">
        <f t="shared" si="447"/>
        <v>41943</v>
      </c>
    </row>
    <row r="3052" spans="1:6" x14ac:dyDescent="0.25">
      <c r="A3052" s="1" t="s">
        <v>431</v>
      </c>
      <c r="B3052" s="1" t="s">
        <v>2520</v>
      </c>
      <c r="C3052" s="1" t="s">
        <v>103</v>
      </c>
      <c r="D3052" s="3">
        <f t="shared" si="445"/>
        <v>6062</v>
      </c>
      <c r="E3052" s="2">
        <f t="shared" si="446"/>
        <v>39326</v>
      </c>
      <c r="F3052" s="2">
        <f t="shared" si="447"/>
        <v>41943</v>
      </c>
    </row>
    <row r="3053" spans="1:6" x14ac:dyDescent="0.25">
      <c r="A3053" s="1" t="s">
        <v>431</v>
      </c>
      <c r="B3053" s="1" t="s">
        <v>2520</v>
      </c>
      <c r="C3053" s="1" t="s">
        <v>228</v>
      </c>
      <c r="D3053" s="3">
        <f t="shared" si="445"/>
        <v>6062</v>
      </c>
      <c r="E3053" s="2">
        <f t="shared" si="446"/>
        <v>39326</v>
      </c>
      <c r="F3053" s="2">
        <f t="shared" si="447"/>
        <v>41943</v>
      </c>
    </row>
    <row r="3054" spans="1:6" x14ac:dyDescent="0.25">
      <c r="A3054" s="1" t="s">
        <v>431</v>
      </c>
      <c r="B3054" s="1" t="s">
        <v>2520</v>
      </c>
      <c r="C3054" s="1" t="s">
        <v>28</v>
      </c>
      <c r="D3054" s="3">
        <f t="shared" si="445"/>
        <v>6062</v>
      </c>
      <c r="E3054" s="2">
        <f t="shared" si="446"/>
        <v>39326</v>
      </c>
      <c r="F3054" s="2">
        <f t="shared" si="447"/>
        <v>41943</v>
      </c>
    </row>
    <row r="3055" spans="1:6" x14ac:dyDescent="0.25">
      <c r="A3055" s="1" t="s">
        <v>431</v>
      </c>
      <c r="B3055" s="1" t="s">
        <v>2520</v>
      </c>
      <c r="C3055" s="1" t="s">
        <v>229</v>
      </c>
      <c r="D3055" s="3">
        <f t="shared" si="445"/>
        <v>6062</v>
      </c>
      <c r="E3055" s="2">
        <f t="shared" si="446"/>
        <v>39326</v>
      </c>
      <c r="F3055" s="2">
        <f t="shared" si="447"/>
        <v>41943</v>
      </c>
    </row>
    <row r="3056" spans="1:6" x14ac:dyDescent="0.25">
      <c r="A3056" s="1" t="s">
        <v>431</v>
      </c>
      <c r="B3056" s="1" t="s">
        <v>2520</v>
      </c>
      <c r="C3056" s="1" t="s">
        <v>29</v>
      </c>
      <c r="D3056" s="3">
        <f t="shared" si="445"/>
        <v>6062</v>
      </c>
      <c r="E3056" s="2">
        <f t="shared" si="446"/>
        <v>39326</v>
      </c>
      <c r="F3056" s="2">
        <f t="shared" si="447"/>
        <v>41943</v>
      </c>
    </row>
    <row r="3057" spans="1:6" x14ac:dyDescent="0.25">
      <c r="A3057" s="1" t="s">
        <v>431</v>
      </c>
      <c r="B3057" s="1" t="s">
        <v>2520</v>
      </c>
      <c r="C3057" s="1" t="s">
        <v>232</v>
      </c>
      <c r="D3057" s="3">
        <f t="shared" si="445"/>
        <v>6062</v>
      </c>
      <c r="E3057" s="2">
        <f t="shared" si="446"/>
        <v>39326</v>
      </c>
      <c r="F3057" s="2">
        <f t="shared" si="447"/>
        <v>41943</v>
      </c>
    </row>
    <row r="3058" spans="1:6" x14ac:dyDescent="0.25">
      <c r="A3058" s="1" t="s">
        <v>431</v>
      </c>
      <c r="B3058" s="1" t="s">
        <v>2520</v>
      </c>
      <c r="C3058" s="1" t="s">
        <v>234</v>
      </c>
      <c r="D3058" s="3">
        <f t="shared" si="445"/>
        <v>6062</v>
      </c>
      <c r="E3058" s="2">
        <f t="shared" si="446"/>
        <v>39326</v>
      </c>
      <c r="F3058" s="2">
        <f t="shared" si="447"/>
        <v>41943</v>
      </c>
    </row>
    <row r="3059" spans="1:6" x14ac:dyDescent="0.25">
      <c r="A3059" s="1" t="s">
        <v>431</v>
      </c>
      <c r="B3059" s="1" t="s">
        <v>2520</v>
      </c>
      <c r="C3059" s="1" t="s">
        <v>30</v>
      </c>
      <c r="D3059" s="3">
        <f t="shared" si="445"/>
        <v>6062</v>
      </c>
      <c r="E3059" s="2">
        <f t="shared" si="446"/>
        <v>39326</v>
      </c>
      <c r="F3059" s="2">
        <f t="shared" si="447"/>
        <v>41943</v>
      </c>
    </row>
    <row r="3060" spans="1:6" x14ac:dyDescent="0.25">
      <c r="A3060" s="1" t="s">
        <v>431</v>
      </c>
      <c r="B3060" s="1" t="s">
        <v>2520</v>
      </c>
      <c r="C3060" s="1" t="s">
        <v>236</v>
      </c>
      <c r="D3060" s="3">
        <f t="shared" si="445"/>
        <v>6062</v>
      </c>
      <c r="E3060" s="2">
        <f t="shared" si="446"/>
        <v>39326</v>
      </c>
      <c r="F3060" s="2">
        <f t="shared" si="447"/>
        <v>41943</v>
      </c>
    </row>
    <row r="3061" spans="1:6" x14ac:dyDescent="0.25">
      <c r="A3061" s="1" t="s">
        <v>431</v>
      </c>
      <c r="B3061" s="1" t="s">
        <v>2520</v>
      </c>
      <c r="C3061" s="1" t="s">
        <v>237</v>
      </c>
      <c r="D3061" s="3">
        <f t="shared" si="445"/>
        <v>6062</v>
      </c>
      <c r="E3061" s="2">
        <f t="shared" si="446"/>
        <v>39326</v>
      </c>
      <c r="F3061" s="2">
        <f t="shared" si="447"/>
        <v>41943</v>
      </c>
    </row>
    <row r="3062" spans="1:6" x14ac:dyDescent="0.25">
      <c r="A3062" s="1" t="s">
        <v>431</v>
      </c>
      <c r="B3062" s="1" t="s">
        <v>2520</v>
      </c>
      <c r="C3062" s="1" t="s">
        <v>238</v>
      </c>
      <c r="D3062" s="3">
        <f t="shared" si="445"/>
        <v>6062</v>
      </c>
      <c r="E3062" s="2">
        <f t="shared" si="446"/>
        <v>39326</v>
      </c>
      <c r="F3062" s="2">
        <f t="shared" si="447"/>
        <v>41943</v>
      </c>
    </row>
    <row r="3063" spans="1:6" x14ac:dyDescent="0.25">
      <c r="A3063" s="1" t="s">
        <v>431</v>
      </c>
      <c r="B3063" s="1" t="s">
        <v>2520</v>
      </c>
      <c r="C3063" s="1" t="s">
        <v>31</v>
      </c>
      <c r="D3063" s="3">
        <f t="shared" si="445"/>
        <v>6062</v>
      </c>
      <c r="E3063" s="2">
        <f t="shared" si="446"/>
        <v>39326</v>
      </c>
      <c r="F3063" s="2">
        <f t="shared" si="447"/>
        <v>41943</v>
      </c>
    </row>
    <row r="3064" spans="1:6" x14ac:dyDescent="0.25">
      <c r="A3064" s="1" t="s">
        <v>431</v>
      </c>
      <c r="B3064" s="1" t="s">
        <v>2520</v>
      </c>
      <c r="C3064" s="1" t="s">
        <v>213</v>
      </c>
      <c r="D3064" s="3">
        <f t="shared" si="445"/>
        <v>6062</v>
      </c>
      <c r="E3064" s="2">
        <f t="shared" si="446"/>
        <v>39326</v>
      </c>
      <c r="F3064" s="2">
        <f t="shared" si="447"/>
        <v>41943</v>
      </c>
    </row>
    <row r="3065" spans="1:6" x14ac:dyDescent="0.25">
      <c r="A3065" s="1" t="s">
        <v>431</v>
      </c>
      <c r="B3065" s="1" t="s">
        <v>2520</v>
      </c>
      <c r="C3065" s="1" t="s">
        <v>349</v>
      </c>
      <c r="D3065" s="3">
        <f t="shared" si="445"/>
        <v>6062</v>
      </c>
      <c r="E3065" s="2">
        <f t="shared" si="446"/>
        <v>39326</v>
      </c>
      <c r="F3065" s="2">
        <f t="shared" si="447"/>
        <v>41943</v>
      </c>
    </row>
    <row r="3066" spans="1:6" x14ac:dyDescent="0.25">
      <c r="A3066" s="1" t="s">
        <v>431</v>
      </c>
      <c r="B3066" s="1" t="s">
        <v>2520</v>
      </c>
      <c r="C3066" s="1" t="s">
        <v>2506</v>
      </c>
      <c r="D3066" s="3">
        <f t="shared" si="445"/>
        <v>6062</v>
      </c>
      <c r="E3066" s="2">
        <f t="shared" si="446"/>
        <v>39326</v>
      </c>
      <c r="F3066" s="2">
        <f t="shared" si="447"/>
        <v>41943</v>
      </c>
    </row>
    <row r="3067" spans="1:6" x14ac:dyDescent="0.25">
      <c r="A3067" s="1" t="s">
        <v>431</v>
      </c>
      <c r="B3067" s="1" t="s">
        <v>2520</v>
      </c>
      <c r="C3067" s="1" t="s">
        <v>890</v>
      </c>
      <c r="D3067" s="3">
        <f t="shared" si="445"/>
        <v>6062</v>
      </c>
      <c r="E3067" s="2">
        <f t="shared" si="446"/>
        <v>39326</v>
      </c>
      <c r="F3067" s="2">
        <f t="shared" si="447"/>
        <v>41943</v>
      </c>
    </row>
    <row r="3068" spans="1:6" x14ac:dyDescent="0.25">
      <c r="A3068" s="1" t="s">
        <v>431</v>
      </c>
      <c r="B3068" s="1" t="s">
        <v>2520</v>
      </c>
      <c r="C3068" s="1" t="s">
        <v>2515</v>
      </c>
      <c r="D3068" s="3">
        <f t="shared" si="445"/>
        <v>6062</v>
      </c>
      <c r="E3068" s="2">
        <f t="shared" si="446"/>
        <v>39326</v>
      </c>
      <c r="F3068" s="2">
        <f t="shared" si="447"/>
        <v>41943</v>
      </c>
    </row>
    <row r="3069" spans="1:6" x14ac:dyDescent="0.25">
      <c r="A3069" s="1" t="s">
        <v>431</v>
      </c>
      <c r="B3069" s="1" t="s">
        <v>2520</v>
      </c>
      <c r="C3069" s="1" t="s">
        <v>164</v>
      </c>
      <c r="D3069" s="3">
        <f t="shared" si="445"/>
        <v>6062</v>
      </c>
      <c r="E3069" s="2">
        <f t="shared" si="446"/>
        <v>39326</v>
      </c>
      <c r="F3069" s="2">
        <f t="shared" si="447"/>
        <v>41943</v>
      </c>
    </row>
    <row r="3070" spans="1:6" x14ac:dyDescent="0.25">
      <c r="A3070" s="1" t="s">
        <v>431</v>
      </c>
      <c r="B3070" s="1" t="s">
        <v>2520</v>
      </c>
      <c r="C3070" s="1" t="s">
        <v>519</v>
      </c>
      <c r="D3070" s="3">
        <f t="shared" si="445"/>
        <v>6062</v>
      </c>
      <c r="E3070" s="2">
        <f t="shared" si="446"/>
        <v>39326</v>
      </c>
      <c r="F3070" s="2">
        <f t="shared" si="447"/>
        <v>41943</v>
      </c>
    </row>
    <row r="3071" spans="1:6" x14ac:dyDescent="0.25">
      <c r="A3071" s="1" t="s">
        <v>2302</v>
      </c>
      <c r="B3071" s="1" t="s">
        <v>2301</v>
      </c>
      <c r="C3071" s="1" t="s">
        <v>43</v>
      </c>
      <c r="D3071" s="3">
        <f t="shared" ref="D3071:D3078" si="448">VALUE("8110")</f>
        <v>8110</v>
      </c>
      <c r="E3071" s="2">
        <f t="shared" ref="E3071:E3078" si="449">DATEVALUE("1-8-2017")</f>
        <v>42948</v>
      </c>
      <c r="F3071" s="2">
        <f t="shared" ref="F3071:F3078" si="450">DATEVALUE("30-9-2017")</f>
        <v>43008</v>
      </c>
    </row>
    <row r="3072" spans="1:6" x14ac:dyDescent="0.25">
      <c r="A3072" s="1" t="s">
        <v>2302</v>
      </c>
      <c r="B3072" s="1" t="s">
        <v>2301</v>
      </c>
      <c r="C3072" s="1" t="s">
        <v>514</v>
      </c>
      <c r="D3072" s="3">
        <f t="shared" si="448"/>
        <v>8110</v>
      </c>
      <c r="E3072" s="2">
        <f t="shared" si="449"/>
        <v>42948</v>
      </c>
      <c r="F3072" s="2">
        <f t="shared" si="450"/>
        <v>43008</v>
      </c>
    </row>
    <row r="3073" spans="1:6" x14ac:dyDescent="0.25">
      <c r="A3073" s="1" t="s">
        <v>2302</v>
      </c>
      <c r="B3073" s="1" t="s">
        <v>2301</v>
      </c>
      <c r="C3073" s="1" t="s">
        <v>51</v>
      </c>
      <c r="D3073" s="3">
        <f t="shared" si="448"/>
        <v>8110</v>
      </c>
      <c r="E3073" s="2">
        <f t="shared" si="449"/>
        <v>42948</v>
      </c>
      <c r="F3073" s="2">
        <f t="shared" si="450"/>
        <v>43008</v>
      </c>
    </row>
    <row r="3074" spans="1:6" x14ac:dyDescent="0.25">
      <c r="A3074" s="1" t="s">
        <v>2302</v>
      </c>
      <c r="B3074" s="1" t="s">
        <v>2301</v>
      </c>
      <c r="C3074" s="1" t="s">
        <v>294</v>
      </c>
      <c r="D3074" s="3">
        <f t="shared" si="448"/>
        <v>8110</v>
      </c>
      <c r="E3074" s="2">
        <f t="shared" si="449"/>
        <v>42948</v>
      </c>
      <c r="F3074" s="2">
        <f t="shared" si="450"/>
        <v>43008</v>
      </c>
    </row>
    <row r="3075" spans="1:6" x14ac:dyDescent="0.25">
      <c r="A3075" s="1" t="s">
        <v>2302</v>
      </c>
      <c r="B3075" s="1" t="s">
        <v>2301</v>
      </c>
      <c r="C3075" s="1" t="s">
        <v>301</v>
      </c>
      <c r="D3075" s="3">
        <f t="shared" si="448"/>
        <v>8110</v>
      </c>
      <c r="E3075" s="2">
        <f t="shared" si="449"/>
        <v>42948</v>
      </c>
      <c r="F3075" s="2">
        <f t="shared" si="450"/>
        <v>43008</v>
      </c>
    </row>
    <row r="3076" spans="1:6" x14ac:dyDescent="0.25">
      <c r="A3076" s="1" t="s">
        <v>2302</v>
      </c>
      <c r="B3076" s="1" t="s">
        <v>2301</v>
      </c>
      <c r="C3076" s="1" t="s">
        <v>131</v>
      </c>
      <c r="D3076" s="3">
        <f t="shared" si="448"/>
        <v>8110</v>
      </c>
      <c r="E3076" s="2">
        <f t="shared" si="449"/>
        <v>42948</v>
      </c>
      <c r="F3076" s="2">
        <f t="shared" si="450"/>
        <v>43008</v>
      </c>
    </row>
    <row r="3077" spans="1:6" x14ac:dyDescent="0.25">
      <c r="A3077" s="1" t="s">
        <v>2302</v>
      </c>
      <c r="B3077" s="1" t="s">
        <v>2301</v>
      </c>
      <c r="C3077" s="1" t="s">
        <v>132</v>
      </c>
      <c r="D3077" s="3">
        <f t="shared" si="448"/>
        <v>8110</v>
      </c>
      <c r="E3077" s="2">
        <f t="shared" si="449"/>
        <v>42948</v>
      </c>
      <c r="F3077" s="2">
        <f t="shared" si="450"/>
        <v>43008</v>
      </c>
    </row>
    <row r="3078" spans="1:6" x14ac:dyDescent="0.25">
      <c r="A3078" s="1" t="s">
        <v>2302</v>
      </c>
      <c r="B3078" s="1" t="s">
        <v>2301</v>
      </c>
      <c r="C3078" s="1" t="s">
        <v>170</v>
      </c>
      <c r="D3078" s="3">
        <f t="shared" si="448"/>
        <v>8110</v>
      </c>
      <c r="E3078" s="2">
        <f t="shared" si="449"/>
        <v>42948</v>
      </c>
      <c r="F3078" s="2">
        <f t="shared" si="450"/>
        <v>43008</v>
      </c>
    </row>
    <row r="3079" spans="1:6" x14ac:dyDescent="0.25">
      <c r="A3079" s="1" t="s">
        <v>760</v>
      </c>
      <c r="B3079" s="1" t="s">
        <v>759</v>
      </c>
      <c r="C3079" s="1" t="s">
        <v>14</v>
      </c>
      <c r="D3079" s="3">
        <f t="shared" ref="D3079:D3086" si="451">VALUE("7947")</f>
        <v>7947</v>
      </c>
      <c r="E3079" s="2">
        <f t="shared" ref="E3079:E3086" si="452">DATEVALUE("1-9-2016")</f>
        <v>42614</v>
      </c>
      <c r="F3079" s="2">
        <f t="shared" ref="F3079:F3086" si="453">DATEVALUE("31-12-2021")</f>
        <v>44561</v>
      </c>
    </row>
    <row r="3080" spans="1:6" x14ac:dyDescent="0.25">
      <c r="A3080" s="1" t="s">
        <v>760</v>
      </c>
      <c r="B3080" s="1" t="s">
        <v>759</v>
      </c>
      <c r="C3080" s="1" t="s">
        <v>17</v>
      </c>
      <c r="D3080" s="3">
        <f t="shared" si="451"/>
        <v>7947</v>
      </c>
      <c r="E3080" s="2">
        <f t="shared" si="452"/>
        <v>42614</v>
      </c>
      <c r="F3080" s="2">
        <f t="shared" si="453"/>
        <v>44561</v>
      </c>
    </row>
    <row r="3081" spans="1:6" x14ac:dyDescent="0.25">
      <c r="A3081" s="1" t="s">
        <v>760</v>
      </c>
      <c r="B3081" s="1" t="s">
        <v>759</v>
      </c>
      <c r="C3081" s="1" t="s">
        <v>156</v>
      </c>
      <c r="D3081" s="3">
        <f t="shared" si="451"/>
        <v>7947</v>
      </c>
      <c r="E3081" s="2">
        <f t="shared" si="452"/>
        <v>42614</v>
      </c>
      <c r="F3081" s="2">
        <f t="shared" si="453"/>
        <v>44561</v>
      </c>
    </row>
    <row r="3082" spans="1:6" x14ac:dyDescent="0.25">
      <c r="A3082" s="1" t="s">
        <v>760</v>
      </c>
      <c r="B3082" s="1" t="s">
        <v>759</v>
      </c>
      <c r="C3082" s="1" t="s">
        <v>452</v>
      </c>
      <c r="D3082" s="3">
        <f t="shared" si="451"/>
        <v>7947</v>
      </c>
      <c r="E3082" s="2">
        <f t="shared" si="452"/>
        <v>42614</v>
      </c>
      <c r="F3082" s="2">
        <f t="shared" si="453"/>
        <v>44561</v>
      </c>
    </row>
    <row r="3083" spans="1:6" x14ac:dyDescent="0.25">
      <c r="A3083" s="1" t="s">
        <v>760</v>
      </c>
      <c r="B3083" s="1" t="s">
        <v>759</v>
      </c>
      <c r="C3083" s="1" t="s">
        <v>157</v>
      </c>
      <c r="D3083" s="3">
        <f t="shared" si="451"/>
        <v>7947</v>
      </c>
      <c r="E3083" s="2">
        <f t="shared" si="452"/>
        <v>42614</v>
      </c>
      <c r="F3083" s="2">
        <f t="shared" si="453"/>
        <v>44561</v>
      </c>
    </row>
    <row r="3084" spans="1:6" x14ac:dyDescent="0.25">
      <c r="A3084" s="1" t="s">
        <v>760</v>
      </c>
      <c r="B3084" s="1" t="s">
        <v>759</v>
      </c>
      <c r="C3084" s="1" t="s">
        <v>157</v>
      </c>
      <c r="D3084" s="3">
        <f t="shared" si="451"/>
        <v>7947</v>
      </c>
      <c r="E3084" s="2">
        <f t="shared" si="452"/>
        <v>42614</v>
      </c>
      <c r="F3084" s="2">
        <f t="shared" si="453"/>
        <v>44561</v>
      </c>
    </row>
    <row r="3085" spans="1:6" x14ac:dyDescent="0.25">
      <c r="A3085" s="1" t="s">
        <v>760</v>
      </c>
      <c r="B3085" s="1" t="s">
        <v>759</v>
      </c>
      <c r="C3085" s="1" t="s">
        <v>548</v>
      </c>
      <c r="D3085" s="3">
        <f t="shared" si="451"/>
        <v>7947</v>
      </c>
      <c r="E3085" s="2">
        <f t="shared" si="452"/>
        <v>42614</v>
      </c>
      <c r="F3085" s="2">
        <f t="shared" si="453"/>
        <v>44561</v>
      </c>
    </row>
    <row r="3086" spans="1:6" x14ac:dyDescent="0.25">
      <c r="A3086" s="1" t="s">
        <v>760</v>
      </c>
      <c r="B3086" s="1" t="s">
        <v>759</v>
      </c>
      <c r="C3086" s="1" t="s">
        <v>51</v>
      </c>
      <c r="D3086" s="3">
        <f t="shared" si="451"/>
        <v>7947</v>
      </c>
      <c r="E3086" s="2">
        <f t="shared" si="452"/>
        <v>42614</v>
      </c>
      <c r="F3086" s="2">
        <f t="shared" si="453"/>
        <v>44561</v>
      </c>
    </row>
    <row r="3087" spans="1:6" x14ac:dyDescent="0.25">
      <c r="A3087" s="1" t="s">
        <v>2178</v>
      </c>
      <c r="B3087" s="1" t="s">
        <v>850</v>
      </c>
      <c r="C3087" s="1" t="s">
        <v>66</v>
      </c>
      <c r="D3087" s="3">
        <f t="shared" ref="D3087:D3097" si="454">VALUE("7686")</f>
        <v>7686</v>
      </c>
      <c r="E3087" s="2">
        <f t="shared" ref="E3087:E3097" si="455">DATEVALUE("1-10-2015")</f>
        <v>42278</v>
      </c>
      <c r="F3087" s="2">
        <f t="shared" ref="F3087:F3097" si="456">DATEVALUE("30-9-2016")</f>
        <v>42643</v>
      </c>
    </row>
    <row r="3088" spans="1:6" x14ac:dyDescent="0.25">
      <c r="A3088" s="1" t="s">
        <v>2178</v>
      </c>
      <c r="B3088" s="1" t="s">
        <v>850</v>
      </c>
      <c r="C3088" s="1" t="s">
        <v>17</v>
      </c>
      <c r="D3088" s="3">
        <f t="shared" si="454"/>
        <v>7686</v>
      </c>
      <c r="E3088" s="2">
        <f t="shared" si="455"/>
        <v>42278</v>
      </c>
      <c r="F3088" s="2">
        <f t="shared" si="456"/>
        <v>42643</v>
      </c>
    </row>
    <row r="3089" spans="1:6" x14ac:dyDescent="0.25">
      <c r="A3089" s="1" t="s">
        <v>2178</v>
      </c>
      <c r="B3089" s="1" t="s">
        <v>850</v>
      </c>
      <c r="C3089" s="1" t="s">
        <v>22</v>
      </c>
      <c r="D3089" s="3">
        <f t="shared" si="454"/>
        <v>7686</v>
      </c>
      <c r="E3089" s="2">
        <f t="shared" si="455"/>
        <v>42278</v>
      </c>
      <c r="F3089" s="2">
        <f t="shared" si="456"/>
        <v>42643</v>
      </c>
    </row>
    <row r="3090" spans="1:6" x14ac:dyDescent="0.25">
      <c r="A3090" s="1" t="s">
        <v>2178</v>
      </c>
      <c r="B3090" s="1" t="s">
        <v>850</v>
      </c>
      <c r="C3090" s="1" t="s">
        <v>172</v>
      </c>
      <c r="D3090" s="3">
        <f t="shared" si="454"/>
        <v>7686</v>
      </c>
      <c r="E3090" s="2">
        <f t="shared" si="455"/>
        <v>42278</v>
      </c>
      <c r="F3090" s="2">
        <f t="shared" si="456"/>
        <v>42643</v>
      </c>
    </row>
    <row r="3091" spans="1:6" x14ac:dyDescent="0.25">
      <c r="A3091" s="1" t="s">
        <v>2178</v>
      </c>
      <c r="B3091" s="1" t="s">
        <v>850</v>
      </c>
      <c r="C3091" s="1" t="s">
        <v>472</v>
      </c>
      <c r="D3091" s="3">
        <f t="shared" si="454"/>
        <v>7686</v>
      </c>
      <c r="E3091" s="2">
        <f t="shared" si="455"/>
        <v>42278</v>
      </c>
      <c r="F3091" s="2">
        <f t="shared" si="456"/>
        <v>42643</v>
      </c>
    </row>
    <row r="3092" spans="1:6" x14ac:dyDescent="0.25">
      <c r="A3092" s="1" t="s">
        <v>2178</v>
      </c>
      <c r="B3092" s="1" t="s">
        <v>850</v>
      </c>
      <c r="C3092" s="1" t="s">
        <v>92</v>
      </c>
      <c r="D3092" s="3">
        <f t="shared" si="454"/>
        <v>7686</v>
      </c>
      <c r="E3092" s="2">
        <f t="shared" si="455"/>
        <v>42278</v>
      </c>
      <c r="F3092" s="2">
        <f t="shared" si="456"/>
        <v>42643</v>
      </c>
    </row>
    <row r="3093" spans="1:6" x14ac:dyDescent="0.25">
      <c r="A3093" s="1" t="s">
        <v>2178</v>
      </c>
      <c r="B3093" s="1" t="s">
        <v>850</v>
      </c>
      <c r="C3093" s="1" t="s">
        <v>26</v>
      </c>
      <c r="D3093" s="3">
        <f t="shared" si="454"/>
        <v>7686</v>
      </c>
      <c r="E3093" s="2">
        <f t="shared" si="455"/>
        <v>42278</v>
      </c>
      <c r="F3093" s="2">
        <f t="shared" si="456"/>
        <v>42643</v>
      </c>
    </row>
    <row r="3094" spans="1:6" x14ac:dyDescent="0.25">
      <c r="A3094" s="1" t="s">
        <v>2178</v>
      </c>
      <c r="B3094" s="1" t="s">
        <v>850</v>
      </c>
      <c r="C3094" s="1" t="s">
        <v>72</v>
      </c>
      <c r="D3094" s="3">
        <f t="shared" si="454"/>
        <v>7686</v>
      </c>
      <c r="E3094" s="2">
        <f t="shared" si="455"/>
        <v>42278</v>
      </c>
      <c r="F3094" s="2">
        <f t="shared" si="456"/>
        <v>42643</v>
      </c>
    </row>
    <row r="3095" spans="1:6" x14ac:dyDescent="0.25">
      <c r="A3095" s="1" t="s">
        <v>2178</v>
      </c>
      <c r="B3095" s="1" t="s">
        <v>850</v>
      </c>
      <c r="C3095" s="1" t="s">
        <v>73</v>
      </c>
      <c r="D3095" s="3">
        <f t="shared" si="454"/>
        <v>7686</v>
      </c>
      <c r="E3095" s="2">
        <f t="shared" si="455"/>
        <v>42278</v>
      </c>
      <c r="F3095" s="2">
        <f t="shared" si="456"/>
        <v>42643</v>
      </c>
    </row>
    <row r="3096" spans="1:6" x14ac:dyDescent="0.25">
      <c r="A3096" s="1" t="s">
        <v>2178</v>
      </c>
      <c r="B3096" s="1" t="s">
        <v>850</v>
      </c>
      <c r="C3096" s="1" t="s">
        <v>297</v>
      </c>
      <c r="D3096" s="3">
        <f t="shared" si="454"/>
        <v>7686</v>
      </c>
      <c r="E3096" s="2">
        <f t="shared" si="455"/>
        <v>42278</v>
      </c>
      <c r="F3096" s="2">
        <f t="shared" si="456"/>
        <v>42643</v>
      </c>
    </row>
    <row r="3097" spans="1:6" x14ac:dyDescent="0.25">
      <c r="A3097" s="1" t="s">
        <v>2178</v>
      </c>
      <c r="B3097" s="1" t="s">
        <v>850</v>
      </c>
      <c r="C3097" s="1" t="s">
        <v>52</v>
      </c>
      <c r="D3097" s="3">
        <f t="shared" si="454"/>
        <v>7686</v>
      </c>
      <c r="E3097" s="2">
        <f t="shared" si="455"/>
        <v>42278</v>
      </c>
      <c r="F3097" s="2">
        <f t="shared" si="456"/>
        <v>42643</v>
      </c>
    </row>
    <row r="3098" spans="1:6" x14ac:dyDescent="0.25">
      <c r="A3098" s="1" t="s">
        <v>2425</v>
      </c>
      <c r="B3098" s="1" t="s">
        <v>2424</v>
      </c>
      <c r="C3098" s="1" t="s">
        <v>87</v>
      </c>
      <c r="D3098" s="3">
        <f t="shared" ref="D3098:D3120" si="457">VALUE("8477")</f>
        <v>8477</v>
      </c>
      <c r="E3098" s="2">
        <f t="shared" ref="E3098:E3139" si="458">DATEVALUE("1-9-2019")</f>
        <v>43709</v>
      </c>
      <c r="F3098" s="2">
        <f t="shared" ref="F3098:F3120" si="459">DATEVALUE("31-7-2020")</f>
        <v>44043</v>
      </c>
    </row>
    <row r="3099" spans="1:6" x14ac:dyDescent="0.25">
      <c r="A3099" s="1" t="s">
        <v>2425</v>
      </c>
      <c r="B3099" s="1" t="s">
        <v>2424</v>
      </c>
      <c r="C3099" s="1" t="s">
        <v>14</v>
      </c>
      <c r="D3099" s="3">
        <f t="shared" si="457"/>
        <v>8477</v>
      </c>
      <c r="E3099" s="2">
        <f t="shared" si="458"/>
        <v>43709</v>
      </c>
      <c r="F3099" s="2">
        <f t="shared" si="459"/>
        <v>44043</v>
      </c>
    </row>
    <row r="3100" spans="1:6" x14ac:dyDescent="0.25">
      <c r="A3100" s="1" t="s">
        <v>2425</v>
      </c>
      <c r="B3100" s="1" t="s">
        <v>2424</v>
      </c>
      <c r="C3100" s="1" t="s">
        <v>66</v>
      </c>
      <c r="D3100" s="3">
        <f t="shared" si="457"/>
        <v>8477</v>
      </c>
      <c r="E3100" s="2">
        <f t="shared" si="458"/>
        <v>43709</v>
      </c>
      <c r="F3100" s="2">
        <f t="shared" si="459"/>
        <v>44043</v>
      </c>
    </row>
    <row r="3101" spans="1:6" x14ac:dyDescent="0.25">
      <c r="A3101" s="1" t="s">
        <v>2425</v>
      </c>
      <c r="B3101" s="1" t="s">
        <v>2424</v>
      </c>
      <c r="C3101" s="1" t="s">
        <v>15</v>
      </c>
      <c r="D3101" s="3">
        <f t="shared" si="457"/>
        <v>8477</v>
      </c>
      <c r="E3101" s="2">
        <f t="shared" si="458"/>
        <v>43709</v>
      </c>
      <c r="F3101" s="2">
        <f t="shared" si="459"/>
        <v>44043</v>
      </c>
    </row>
    <row r="3102" spans="1:6" x14ac:dyDescent="0.25">
      <c r="A3102" s="1" t="s">
        <v>2425</v>
      </c>
      <c r="B3102" s="1" t="s">
        <v>2424</v>
      </c>
      <c r="C3102" s="1" t="s">
        <v>17</v>
      </c>
      <c r="D3102" s="3">
        <f t="shared" si="457"/>
        <v>8477</v>
      </c>
      <c r="E3102" s="2">
        <f t="shared" si="458"/>
        <v>43709</v>
      </c>
      <c r="F3102" s="2">
        <f t="shared" si="459"/>
        <v>44043</v>
      </c>
    </row>
    <row r="3103" spans="1:6" x14ac:dyDescent="0.25">
      <c r="A3103" s="1" t="s">
        <v>2425</v>
      </c>
      <c r="B3103" s="1" t="s">
        <v>2424</v>
      </c>
      <c r="C3103" s="1" t="s">
        <v>146</v>
      </c>
      <c r="D3103" s="3">
        <f t="shared" si="457"/>
        <v>8477</v>
      </c>
      <c r="E3103" s="2">
        <f t="shared" si="458"/>
        <v>43709</v>
      </c>
      <c r="F3103" s="2">
        <f t="shared" si="459"/>
        <v>44043</v>
      </c>
    </row>
    <row r="3104" spans="1:6" x14ac:dyDescent="0.25">
      <c r="A3104" s="1" t="s">
        <v>2425</v>
      </c>
      <c r="B3104" s="1" t="s">
        <v>2424</v>
      </c>
      <c r="C3104" s="1" t="s">
        <v>67</v>
      </c>
      <c r="D3104" s="3">
        <f t="shared" si="457"/>
        <v>8477</v>
      </c>
      <c r="E3104" s="2">
        <f t="shared" si="458"/>
        <v>43709</v>
      </c>
      <c r="F3104" s="2">
        <f t="shared" si="459"/>
        <v>44043</v>
      </c>
    </row>
    <row r="3105" spans="1:6" x14ac:dyDescent="0.25">
      <c r="A3105" s="1" t="s">
        <v>2425</v>
      </c>
      <c r="B3105" s="1" t="s">
        <v>2424</v>
      </c>
      <c r="C3105" s="1" t="s">
        <v>148</v>
      </c>
      <c r="D3105" s="3">
        <f t="shared" si="457"/>
        <v>8477</v>
      </c>
      <c r="E3105" s="2">
        <f t="shared" si="458"/>
        <v>43709</v>
      </c>
      <c r="F3105" s="2">
        <f t="shared" si="459"/>
        <v>44043</v>
      </c>
    </row>
    <row r="3106" spans="1:6" x14ac:dyDescent="0.25">
      <c r="A3106" s="1" t="s">
        <v>2425</v>
      </c>
      <c r="B3106" s="1" t="s">
        <v>2424</v>
      </c>
      <c r="C3106" s="1" t="s">
        <v>149</v>
      </c>
      <c r="D3106" s="3">
        <f t="shared" si="457"/>
        <v>8477</v>
      </c>
      <c r="E3106" s="2">
        <f t="shared" si="458"/>
        <v>43709</v>
      </c>
      <c r="F3106" s="2">
        <f t="shared" si="459"/>
        <v>44043</v>
      </c>
    </row>
    <row r="3107" spans="1:6" x14ac:dyDescent="0.25">
      <c r="A3107" s="1" t="s">
        <v>2425</v>
      </c>
      <c r="B3107" s="1" t="s">
        <v>2424</v>
      </c>
      <c r="C3107" s="1" t="s">
        <v>92</v>
      </c>
      <c r="D3107" s="3">
        <f t="shared" si="457"/>
        <v>8477</v>
      </c>
      <c r="E3107" s="2">
        <f t="shared" si="458"/>
        <v>43709</v>
      </c>
      <c r="F3107" s="2">
        <f t="shared" si="459"/>
        <v>44043</v>
      </c>
    </row>
    <row r="3108" spans="1:6" x14ac:dyDescent="0.25">
      <c r="A3108" s="1" t="s">
        <v>2425</v>
      </c>
      <c r="B3108" s="1" t="s">
        <v>2424</v>
      </c>
      <c r="C3108" s="1" t="s">
        <v>155</v>
      </c>
      <c r="D3108" s="3">
        <f t="shared" si="457"/>
        <v>8477</v>
      </c>
      <c r="E3108" s="2">
        <f t="shared" si="458"/>
        <v>43709</v>
      </c>
      <c r="F3108" s="2">
        <f t="shared" si="459"/>
        <v>44043</v>
      </c>
    </row>
    <row r="3109" spans="1:6" x14ac:dyDescent="0.25">
      <c r="A3109" s="1" t="s">
        <v>2425</v>
      </c>
      <c r="B3109" s="1" t="s">
        <v>2424</v>
      </c>
      <c r="C3109" s="1" t="s">
        <v>2093</v>
      </c>
      <c r="D3109" s="3">
        <f t="shared" si="457"/>
        <v>8477</v>
      </c>
      <c r="E3109" s="2">
        <f t="shared" si="458"/>
        <v>43709</v>
      </c>
      <c r="F3109" s="2">
        <f t="shared" si="459"/>
        <v>44043</v>
      </c>
    </row>
    <row r="3110" spans="1:6" x14ac:dyDescent="0.25">
      <c r="A3110" s="1" t="s">
        <v>2425</v>
      </c>
      <c r="B3110" s="1" t="s">
        <v>2424</v>
      </c>
      <c r="C3110" s="1" t="s">
        <v>531</v>
      </c>
      <c r="D3110" s="3">
        <f t="shared" si="457"/>
        <v>8477</v>
      </c>
      <c r="E3110" s="2">
        <f t="shared" si="458"/>
        <v>43709</v>
      </c>
      <c r="F3110" s="2">
        <f t="shared" si="459"/>
        <v>44043</v>
      </c>
    </row>
    <row r="3111" spans="1:6" x14ac:dyDescent="0.25">
      <c r="A3111" s="1" t="s">
        <v>2425</v>
      </c>
      <c r="B3111" s="1" t="s">
        <v>2424</v>
      </c>
      <c r="C3111" s="1" t="s">
        <v>1805</v>
      </c>
      <c r="D3111" s="3">
        <f t="shared" si="457"/>
        <v>8477</v>
      </c>
      <c r="E3111" s="2">
        <f t="shared" si="458"/>
        <v>43709</v>
      </c>
      <c r="F3111" s="2">
        <f t="shared" si="459"/>
        <v>44043</v>
      </c>
    </row>
    <row r="3112" spans="1:6" x14ac:dyDescent="0.25">
      <c r="A3112" s="1" t="s">
        <v>2425</v>
      </c>
      <c r="B3112" s="1" t="s">
        <v>2424</v>
      </c>
      <c r="C3112" s="1" t="s">
        <v>1083</v>
      </c>
      <c r="D3112" s="3">
        <f t="shared" si="457"/>
        <v>8477</v>
      </c>
      <c r="E3112" s="2">
        <f t="shared" si="458"/>
        <v>43709</v>
      </c>
      <c r="F3112" s="2">
        <f t="shared" si="459"/>
        <v>44043</v>
      </c>
    </row>
    <row r="3113" spans="1:6" x14ac:dyDescent="0.25">
      <c r="A3113" s="1" t="s">
        <v>2425</v>
      </c>
      <c r="B3113" s="1" t="s">
        <v>2424</v>
      </c>
      <c r="C3113" s="1" t="s">
        <v>787</v>
      </c>
      <c r="D3113" s="3">
        <f t="shared" si="457"/>
        <v>8477</v>
      </c>
      <c r="E3113" s="2">
        <f t="shared" si="458"/>
        <v>43709</v>
      </c>
      <c r="F3113" s="2">
        <f t="shared" si="459"/>
        <v>44043</v>
      </c>
    </row>
    <row r="3114" spans="1:6" x14ac:dyDescent="0.25">
      <c r="A3114" s="1" t="s">
        <v>2425</v>
      </c>
      <c r="B3114" s="1" t="s">
        <v>2424</v>
      </c>
      <c r="C3114" s="1" t="s">
        <v>1806</v>
      </c>
      <c r="D3114" s="3">
        <f t="shared" si="457"/>
        <v>8477</v>
      </c>
      <c r="E3114" s="2">
        <f t="shared" si="458"/>
        <v>43709</v>
      </c>
      <c r="F3114" s="2">
        <f t="shared" si="459"/>
        <v>44043</v>
      </c>
    </row>
    <row r="3115" spans="1:6" x14ac:dyDescent="0.25">
      <c r="A3115" s="1" t="s">
        <v>2425</v>
      </c>
      <c r="B3115" s="1" t="s">
        <v>2424</v>
      </c>
      <c r="C3115" s="1" t="s">
        <v>1323</v>
      </c>
      <c r="D3115" s="3">
        <f t="shared" si="457"/>
        <v>8477</v>
      </c>
      <c r="E3115" s="2">
        <f t="shared" si="458"/>
        <v>43709</v>
      </c>
      <c r="F3115" s="2">
        <f t="shared" si="459"/>
        <v>44043</v>
      </c>
    </row>
    <row r="3116" spans="1:6" x14ac:dyDescent="0.25">
      <c r="A3116" s="1" t="s">
        <v>2425</v>
      </c>
      <c r="B3116" s="1" t="s">
        <v>2424</v>
      </c>
      <c r="C3116" s="1" t="s">
        <v>532</v>
      </c>
      <c r="D3116" s="3">
        <f t="shared" si="457"/>
        <v>8477</v>
      </c>
      <c r="E3116" s="2">
        <f t="shared" si="458"/>
        <v>43709</v>
      </c>
      <c r="F3116" s="2">
        <f t="shared" si="459"/>
        <v>44043</v>
      </c>
    </row>
    <row r="3117" spans="1:6" x14ac:dyDescent="0.25">
      <c r="A3117" s="1" t="s">
        <v>2425</v>
      </c>
      <c r="B3117" s="1" t="s">
        <v>2424</v>
      </c>
      <c r="C3117" s="1" t="s">
        <v>24</v>
      </c>
      <c r="D3117" s="3">
        <f t="shared" si="457"/>
        <v>8477</v>
      </c>
      <c r="E3117" s="2">
        <f t="shared" si="458"/>
        <v>43709</v>
      </c>
      <c r="F3117" s="2">
        <f t="shared" si="459"/>
        <v>44043</v>
      </c>
    </row>
    <row r="3118" spans="1:6" x14ac:dyDescent="0.25">
      <c r="A3118" s="1" t="s">
        <v>2425</v>
      </c>
      <c r="B3118" s="1" t="s">
        <v>2424</v>
      </c>
      <c r="C3118" s="1" t="s">
        <v>160</v>
      </c>
      <c r="D3118" s="3">
        <f t="shared" si="457"/>
        <v>8477</v>
      </c>
      <c r="E3118" s="2">
        <f t="shared" si="458"/>
        <v>43709</v>
      </c>
      <c r="F3118" s="2">
        <f t="shared" si="459"/>
        <v>44043</v>
      </c>
    </row>
    <row r="3119" spans="1:6" x14ac:dyDescent="0.25">
      <c r="A3119" s="1" t="s">
        <v>2425</v>
      </c>
      <c r="B3119" s="1" t="s">
        <v>2424</v>
      </c>
      <c r="C3119" s="1" t="s">
        <v>162</v>
      </c>
      <c r="D3119" s="3">
        <f t="shared" si="457"/>
        <v>8477</v>
      </c>
      <c r="E3119" s="2">
        <f t="shared" si="458"/>
        <v>43709</v>
      </c>
      <c r="F3119" s="2">
        <f t="shared" si="459"/>
        <v>44043</v>
      </c>
    </row>
    <row r="3120" spans="1:6" x14ac:dyDescent="0.25">
      <c r="A3120" s="1" t="s">
        <v>2425</v>
      </c>
      <c r="B3120" s="1" t="s">
        <v>2424</v>
      </c>
      <c r="C3120" s="1" t="s">
        <v>34</v>
      </c>
      <c r="D3120" s="3">
        <f t="shared" si="457"/>
        <v>8477</v>
      </c>
      <c r="E3120" s="2">
        <f t="shared" si="458"/>
        <v>43709</v>
      </c>
      <c r="F3120" s="2">
        <f t="shared" si="459"/>
        <v>44043</v>
      </c>
    </row>
    <row r="3121" spans="1:6" x14ac:dyDescent="0.25">
      <c r="A3121" s="1" t="s">
        <v>591</v>
      </c>
      <c r="B3121" s="1" t="s">
        <v>1346</v>
      </c>
      <c r="C3121" s="1" t="s">
        <v>140</v>
      </c>
      <c r="D3121" s="3">
        <f t="shared" ref="D3121:D3136" si="460">VALUE("8581")</f>
        <v>8581</v>
      </c>
      <c r="E3121" s="2">
        <f t="shared" si="458"/>
        <v>43709</v>
      </c>
      <c r="F3121" s="2">
        <f t="shared" ref="F3121:F3136" si="461">DATEVALUE("31-3-2025")</f>
        <v>45747</v>
      </c>
    </row>
    <row r="3122" spans="1:6" x14ac:dyDescent="0.25">
      <c r="A3122" s="1" t="s">
        <v>591</v>
      </c>
      <c r="B3122" s="1" t="s">
        <v>1346</v>
      </c>
      <c r="C3122" s="1" t="s">
        <v>141</v>
      </c>
      <c r="D3122" s="3">
        <f t="shared" si="460"/>
        <v>8581</v>
      </c>
      <c r="E3122" s="2">
        <f t="shared" si="458"/>
        <v>43709</v>
      </c>
      <c r="F3122" s="2">
        <f t="shared" si="461"/>
        <v>45747</v>
      </c>
    </row>
    <row r="3123" spans="1:6" x14ac:dyDescent="0.25">
      <c r="A3123" s="1" t="s">
        <v>591</v>
      </c>
      <c r="B3123" s="1" t="s">
        <v>1346</v>
      </c>
      <c r="C3123" s="1" t="s">
        <v>14</v>
      </c>
      <c r="D3123" s="3">
        <f t="shared" si="460"/>
        <v>8581</v>
      </c>
      <c r="E3123" s="2">
        <f t="shared" si="458"/>
        <v>43709</v>
      </c>
      <c r="F3123" s="2">
        <f t="shared" si="461"/>
        <v>45747</v>
      </c>
    </row>
    <row r="3124" spans="1:6" x14ac:dyDescent="0.25">
      <c r="A3124" s="1" t="s">
        <v>591</v>
      </c>
      <c r="B3124" s="1" t="s">
        <v>1346</v>
      </c>
      <c r="C3124" s="1" t="s">
        <v>15</v>
      </c>
      <c r="D3124" s="3">
        <f t="shared" si="460"/>
        <v>8581</v>
      </c>
      <c r="E3124" s="2">
        <f t="shared" si="458"/>
        <v>43709</v>
      </c>
      <c r="F3124" s="2">
        <f t="shared" si="461"/>
        <v>45747</v>
      </c>
    </row>
    <row r="3125" spans="1:6" x14ac:dyDescent="0.25">
      <c r="A3125" s="1" t="s">
        <v>591</v>
      </c>
      <c r="B3125" s="1" t="s">
        <v>1346</v>
      </c>
      <c r="C3125" s="1" t="s">
        <v>17</v>
      </c>
      <c r="D3125" s="3">
        <f t="shared" si="460"/>
        <v>8581</v>
      </c>
      <c r="E3125" s="2">
        <f t="shared" si="458"/>
        <v>43709</v>
      </c>
      <c r="F3125" s="2">
        <f t="shared" si="461"/>
        <v>45747</v>
      </c>
    </row>
    <row r="3126" spans="1:6" x14ac:dyDescent="0.25">
      <c r="A3126" s="1" t="s">
        <v>591</v>
      </c>
      <c r="B3126" s="1" t="s">
        <v>1346</v>
      </c>
      <c r="C3126" s="1" t="s">
        <v>127</v>
      </c>
      <c r="D3126" s="3">
        <f t="shared" si="460"/>
        <v>8581</v>
      </c>
      <c r="E3126" s="2">
        <f t="shared" si="458"/>
        <v>43709</v>
      </c>
      <c r="F3126" s="2">
        <f t="shared" si="461"/>
        <v>45747</v>
      </c>
    </row>
    <row r="3127" spans="1:6" x14ac:dyDescent="0.25">
      <c r="A3127" s="1" t="s">
        <v>591</v>
      </c>
      <c r="B3127" s="1" t="s">
        <v>1346</v>
      </c>
      <c r="C3127" s="1" t="s">
        <v>167</v>
      </c>
      <c r="D3127" s="3">
        <f t="shared" si="460"/>
        <v>8581</v>
      </c>
      <c r="E3127" s="2">
        <f t="shared" si="458"/>
        <v>43709</v>
      </c>
      <c r="F3127" s="2">
        <f t="shared" si="461"/>
        <v>45747</v>
      </c>
    </row>
    <row r="3128" spans="1:6" x14ac:dyDescent="0.25">
      <c r="A3128" s="1" t="s">
        <v>591</v>
      </c>
      <c r="B3128" s="1" t="s">
        <v>1346</v>
      </c>
      <c r="C3128" s="1" t="s">
        <v>22</v>
      </c>
      <c r="D3128" s="3">
        <f t="shared" si="460"/>
        <v>8581</v>
      </c>
      <c r="E3128" s="2">
        <f t="shared" si="458"/>
        <v>43709</v>
      </c>
      <c r="F3128" s="2">
        <f t="shared" si="461"/>
        <v>45747</v>
      </c>
    </row>
    <row r="3129" spans="1:6" x14ac:dyDescent="0.25">
      <c r="A3129" s="1" t="s">
        <v>591</v>
      </c>
      <c r="B3129" s="1" t="s">
        <v>1346</v>
      </c>
      <c r="C3129" s="1" t="s">
        <v>146</v>
      </c>
      <c r="D3129" s="3">
        <f t="shared" si="460"/>
        <v>8581</v>
      </c>
      <c r="E3129" s="2">
        <f t="shared" si="458"/>
        <v>43709</v>
      </c>
      <c r="F3129" s="2">
        <f t="shared" si="461"/>
        <v>45747</v>
      </c>
    </row>
    <row r="3130" spans="1:6" x14ac:dyDescent="0.25">
      <c r="A3130" s="1" t="s">
        <v>591</v>
      </c>
      <c r="B3130" s="1" t="s">
        <v>1346</v>
      </c>
      <c r="C3130" s="1" t="s">
        <v>67</v>
      </c>
      <c r="D3130" s="3">
        <f t="shared" si="460"/>
        <v>8581</v>
      </c>
      <c r="E3130" s="2">
        <f t="shared" si="458"/>
        <v>43709</v>
      </c>
      <c r="F3130" s="2">
        <f t="shared" si="461"/>
        <v>45747</v>
      </c>
    </row>
    <row r="3131" spans="1:6" x14ac:dyDescent="0.25">
      <c r="A3131" s="1" t="s">
        <v>591</v>
      </c>
      <c r="B3131" s="1" t="s">
        <v>1346</v>
      </c>
      <c r="C3131" s="1" t="s">
        <v>151</v>
      </c>
      <c r="D3131" s="3">
        <f t="shared" si="460"/>
        <v>8581</v>
      </c>
      <c r="E3131" s="2">
        <f t="shared" si="458"/>
        <v>43709</v>
      </c>
      <c r="F3131" s="2">
        <f t="shared" si="461"/>
        <v>45747</v>
      </c>
    </row>
    <row r="3132" spans="1:6" x14ac:dyDescent="0.25">
      <c r="A3132" s="1" t="s">
        <v>591</v>
      </c>
      <c r="B3132" s="1" t="s">
        <v>1346</v>
      </c>
      <c r="C3132" s="1" t="s">
        <v>532</v>
      </c>
      <c r="D3132" s="3">
        <f t="shared" si="460"/>
        <v>8581</v>
      </c>
      <c r="E3132" s="2">
        <f t="shared" si="458"/>
        <v>43709</v>
      </c>
      <c r="F3132" s="2">
        <f t="shared" si="461"/>
        <v>45747</v>
      </c>
    </row>
    <row r="3133" spans="1:6" x14ac:dyDescent="0.25">
      <c r="A3133" s="1" t="s">
        <v>591</v>
      </c>
      <c r="B3133" s="1" t="s">
        <v>1346</v>
      </c>
      <c r="C3133" s="1" t="s">
        <v>24</v>
      </c>
      <c r="D3133" s="3">
        <f t="shared" si="460"/>
        <v>8581</v>
      </c>
      <c r="E3133" s="2">
        <f t="shared" si="458"/>
        <v>43709</v>
      </c>
      <c r="F3133" s="2">
        <f t="shared" si="461"/>
        <v>45747</v>
      </c>
    </row>
    <row r="3134" spans="1:6" x14ac:dyDescent="0.25">
      <c r="A3134" s="1" t="s">
        <v>591</v>
      </c>
      <c r="B3134" s="1" t="s">
        <v>1346</v>
      </c>
      <c r="C3134" s="1" t="s">
        <v>160</v>
      </c>
      <c r="D3134" s="3">
        <f t="shared" si="460"/>
        <v>8581</v>
      </c>
      <c r="E3134" s="2">
        <f t="shared" si="458"/>
        <v>43709</v>
      </c>
      <c r="F3134" s="2">
        <f t="shared" si="461"/>
        <v>45747</v>
      </c>
    </row>
    <row r="3135" spans="1:6" x14ac:dyDescent="0.25">
      <c r="A3135" s="1" t="s">
        <v>591</v>
      </c>
      <c r="B3135" s="1" t="s">
        <v>1346</v>
      </c>
      <c r="C3135" s="1" t="s">
        <v>34</v>
      </c>
      <c r="D3135" s="3">
        <f t="shared" si="460"/>
        <v>8581</v>
      </c>
      <c r="E3135" s="2">
        <f t="shared" si="458"/>
        <v>43709</v>
      </c>
      <c r="F3135" s="2">
        <f t="shared" si="461"/>
        <v>45747</v>
      </c>
    </row>
    <row r="3136" spans="1:6" x14ac:dyDescent="0.25">
      <c r="A3136" s="1" t="s">
        <v>591</v>
      </c>
      <c r="B3136" s="1" t="s">
        <v>1346</v>
      </c>
      <c r="C3136" s="1" t="s">
        <v>520</v>
      </c>
      <c r="D3136" s="3">
        <f t="shared" si="460"/>
        <v>8581</v>
      </c>
      <c r="E3136" s="2">
        <f t="shared" si="458"/>
        <v>43709</v>
      </c>
      <c r="F3136" s="2">
        <f t="shared" si="461"/>
        <v>45747</v>
      </c>
    </row>
    <row r="3137" spans="1:6" x14ac:dyDescent="0.25">
      <c r="A3137" s="1" t="s">
        <v>591</v>
      </c>
      <c r="B3137" s="1" t="s">
        <v>2468</v>
      </c>
      <c r="C3137" s="1" t="s">
        <v>14</v>
      </c>
      <c r="D3137" s="3">
        <f>VALUE("8598")</f>
        <v>8598</v>
      </c>
      <c r="E3137" s="2">
        <f t="shared" si="458"/>
        <v>43709</v>
      </c>
      <c r="F3137" s="2">
        <f>DATEVALUE("31-10-2019")</f>
        <v>43769</v>
      </c>
    </row>
    <row r="3138" spans="1:6" x14ac:dyDescent="0.25">
      <c r="A3138" s="1" t="s">
        <v>591</v>
      </c>
      <c r="B3138" s="1" t="s">
        <v>2468</v>
      </c>
      <c r="C3138" s="1" t="s">
        <v>15</v>
      </c>
      <c r="D3138" s="3">
        <f>VALUE("8598")</f>
        <v>8598</v>
      </c>
      <c r="E3138" s="2">
        <f t="shared" si="458"/>
        <v>43709</v>
      </c>
      <c r="F3138" s="2">
        <f>DATEVALUE("31-10-2019")</f>
        <v>43769</v>
      </c>
    </row>
    <row r="3139" spans="1:6" x14ac:dyDescent="0.25">
      <c r="A3139" s="1" t="s">
        <v>591</v>
      </c>
      <c r="B3139" s="1" t="s">
        <v>2468</v>
      </c>
      <c r="C3139" s="1" t="s">
        <v>367</v>
      </c>
      <c r="D3139" s="3">
        <f>VALUE("8598")</f>
        <v>8598</v>
      </c>
      <c r="E3139" s="2">
        <f t="shared" si="458"/>
        <v>43709</v>
      </c>
      <c r="F3139" s="2">
        <f>DATEVALUE("31-10-2019")</f>
        <v>43769</v>
      </c>
    </row>
    <row r="3140" spans="1:6" x14ac:dyDescent="0.25">
      <c r="A3140" s="1" t="s">
        <v>591</v>
      </c>
      <c r="B3140" s="1" t="s">
        <v>2081</v>
      </c>
      <c r="C3140" s="1" t="s">
        <v>61</v>
      </c>
      <c r="D3140" s="3">
        <f t="shared" ref="D3140:D3161" si="462">VALUE("8357")</f>
        <v>8357</v>
      </c>
      <c r="E3140" s="2">
        <f t="shared" ref="E3140:E3161" si="463">DATEVALUE("1-8-2018")</f>
        <v>43313</v>
      </c>
      <c r="F3140" s="2">
        <f t="shared" ref="F3140:F3161" si="464">DATEVALUE("31-12-2019")</f>
        <v>43830</v>
      </c>
    </row>
    <row r="3141" spans="1:6" x14ac:dyDescent="0.25">
      <c r="A3141" s="1" t="s">
        <v>591</v>
      </c>
      <c r="B3141" s="1" t="s">
        <v>2081</v>
      </c>
      <c r="C3141" s="1" t="s">
        <v>140</v>
      </c>
      <c r="D3141" s="3">
        <f t="shared" si="462"/>
        <v>8357</v>
      </c>
      <c r="E3141" s="2">
        <f t="shared" si="463"/>
        <v>43313</v>
      </c>
      <c r="F3141" s="2">
        <f t="shared" si="464"/>
        <v>43830</v>
      </c>
    </row>
    <row r="3142" spans="1:6" x14ac:dyDescent="0.25">
      <c r="A3142" s="1" t="s">
        <v>591</v>
      </c>
      <c r="B3142" s="1" t="s">
        <v>2081</v>
      </c>
      <c r="C3142" s="1" t="s">
        <v>141</v>
      </c>
      <c r="D3142" s="3">
        <f t="shared" si="462"/>
        <v>8357</v>
      </c>
      <c r="E3142" s="2">
        <f t="shared" si="463"/>
        <v>43313</v>
      </c>
      <c r="F3142" s="2">
        <f t="shared" si="464"/>
        <v>43830</v>
      </c>
    </row>
    <row r="3143" spans="1:6" x14ac:dyDescent="0.25">
      <c r="A3143" s="1" t="s">
        <v>591</v>
      </c>
      <c r="B3143" s="1" t="s">
        <v>2081</v>
      </c>
      <c r="C3143" s="1" t="s">
        <v>248</v>
      </c>
      <c r="D3143" s="3">
        <f t="shared" si="462"/>
        <v>8357</v>
      </c>
      <c r="E3143" s="2">
        <f t="shared" si="463"/>
        <v>43313</v>
      </c>
      <c r="F3143" s="2">
        <f t="shared" si="464"/>
        <v>43830</v>
      </c>
    </row>
    <row r="3144" spans="1:6" x14ac:dyDescent="0.25">
      <c r="A3144" s="1" t="s">
        <v>591</v>
      </c>
      <c r="B3144" s="1" t="s">
        <v>2081</v>
      </c>
      <c r="C3144" s="1" t="s">
        <v>14</v>
      </c>
      <c r="D3144" s="3">
        <f t="shared" si="462"/>
        <v>8357</v>
      </c>
      <c r="E3144" s="2">
        <f t="shared" si="463"/>
        <v>43313</v>
      </c>
      <c r="F3144" s="2">
        <f t="shared" si="464"/>
        <v>43830</v>
      </c>
    </row>
    <row r="3145" spans="1:6" x14ac:dyDescent="0.25">
      <c r="A3145" s="1" t="s">
        <v>591</v>
      </c>
      <c r="B3145" s="1" t="s">
        <v>2081</v>
      </c>
      <c r="C3145" s="1" t="s">
        <v>15</v>
      </c>
      <c r="D3145" s="3">
        <f t="shared" si="462"/>
        <v>8357</v>
      </c>
      <c r="E3145" s="2">
        <f t="shared" si="463"/>
        <v>43313</v>
      </c>
      <c r="F3145" s="2">
        <f t="shared" si="464"/>
        <v>43830</v>
      </c>
    </row>
    <row r="3146" spans="1:6" x14ac:dyDescent="0.25">
      <c r="A3146" s="1" t="s">
        <v>591</v>
      </c>
      <c r="B3146" s="1" t="s">
        <v>2081</v>
      </c>
      <c r="C3146" s="1" t="s">
        <v>16</v>
      </c>
      <c r="D3146" s="3">
        <f t="shared" si="462"/>
        <v>8357</v>
      </c>
      <c r="E3146" s="2">
        <f t="shared" si="463"/>
        <v>43313</v>
      </c>
      <c r="F3146" s="2">
        <f t="shared" si="464"/>
        <v>43830</v>
      </c>
    </row>
    <row r="3147" spans="1:6" x14ac:dyDescent="0.25">
      <c r="A3147" s="1" t="s">
        <v>591</v>
      </c>
      <c r="B3147" s="1" t="s">
        <v>2081</v>
      </c>
      <c r="C3147" s="1" t="s">
        <v>88</v>
      </c>
      <c r="D3147" s="3">
        <f t="shared" si="462"/>
        <v>8357</v>
      </c>
      <c r="E3147" s="2">
        <f t="shared" si="463"/>
        <v>43313</v>
      </c>
      <c r="F3147" s="2">
        <f t="shared" si="464"/>
        <v>43830</v>
      </c>
    </row>
    <row r="3148" spans="1:6" x14ac:dyDescent="0.25">
      <c r="A3148" s="1" t="s">
        <v>591</v>
      </c>
      <c r="B3148" s="1" t="s">
        <v>2081</v>
      </c>
      <c r="C3148" s="1" t="s">
        <v>17</v>
      </c>
      <c r="D3148" s="3">
        <f t="shared" si="462"/>
        <v>8357</v>
      </c>
      <c r="E3148" s="2">
        <f t="shared" si="463"/>
        <v>43313</v>
      </c>
      <c r="F3148" s="2">
        <f t="shared" si="464"/>
        <v>43830</v>
      </c>
    </row>
    <row r="3149" spans="1:6" x14ac:dyDescent="0.25">
      <c r="A3149" s="1" t="s">
        <v>591</v>
      </c>
      <c r="B3149" s="1" t="s">
        <v>2081</v>
      </c>
      <c r="C3149" s="1" t="s">
        <v>19</v>
      </c>
      <c r="D3149" s="3">
        <f t="shared" si="462"/>
        <v>8357</v>
      </c>
      <c r="E3149" s="2">
        <f t="shared" si="463"/>
        <v>43313</v>
      </c>
      <c r="F3149" s="2">
        <f t="shared" si="464"/>
        <v>43830</v>
      </c>
    </row>
    <row r="3150" spans="1:6" x14ac:dyDescent="0.25">
      <c r="A3150" s="1" t="s">
        <v>591</v>
      </c>
      <c r="B3150" s="1" t="s">
        <v>2081</v>
      </c>
      <c r="C3150" s="1" t="s">
        <v>21</v>
      </c>
      <c r="D3150" s="3">
        <f t="shared" si="462"/>
        <v>8357</v>
      </c>
      <c r="E3150" s="2">
        <f t="shared" si="463"/>
        <v>43313</v>
      </c>
      <c r="F3150" s="2">
        <f t="shared" si="464"/>
        <v>43830</v>
      </c>
    </row>
    <row r="3151" spans="1:6" x14ac:dyDescent="0.25">
      <c r="A3151" s="1" t="s">
        <v>591</v>
      </c>
      <c r="B3151" s="1" t="s">
        <v>2081</v>
      </c>
      <c r="C3151" s="1" t="s">
        <v>146</v>
      </c>
      <c r="D3151" s="3">
        <f t="shared" si="462"/>
        <v>8357</v>
      </c>
      <c r="E3151" s="2">
        <f t="shared" si="463"/>
        <v>43313</v>
      </c>
      <c r="F3151" s="2">
        <f t="shared" si="464"/>
        <v>43830</v>
      </c>
    </row>
    <row r="3152" spans="1:6" x14ac:dyDescent="0.25">
      <c r="A3152" s="1" t="s">
        <v>591</v>
      </c>
      <c r="B3152" s="1" t="s">
        <v>2081</v>
      </c>
      <c r="C3152" s="1" t="s">
        <v>67</v>
      </c>
      <c r="D3152" s="3">
        <f t="shared" si="462"/>
        <v>8357</v>
      </c>
      <c r="E3152" s="2">
        <f t="shared" si="463"/>
        <v>43313</v>
      </c>
      <c r="F3152" s="2">
        <f t="shared" si="464"/>
        <v>43830</v>
      </c>
    </row>
    <row r="3153" spans="1:6" x14ac:dyDescent="0.25">
      <c r="A3153" s="1" t="s">
        <v>591</v>
      </c>
      <c r="B3153" s="1" t="s">
        <v>2081</v>
      </c>
      <c r="C3153" s="1" t="s">
        <v>155</v>
      </c>
      <c r="D3153" s="3">
        <f t="shared" si="462"/>
        <v>8357</v>
      </c>
      <c r="E3153" s="2">
        <f t="shared" si="463"/>
        <v>43313</v>
      </c>
      <c r="F3153" s="2">
        <f t="shared" si="464"/>
        <v>43830</v>
      </c>
    </row>
    <row r="3154" spans="1:6" x14ac:dyDescent="0.25">
      <c r="A3154" s="1" t="s">
        <v>591</v>
      </c>
      <c r="B3154" s="1" t="s">
        <v>2081</v>
      </c>
      <c r="C3154" s="1" t="s">
        <v>475</v>
      </c>
      <c r="D3154" s="3">
        <f t="shared" si="462"/>
        <v>8357</v>
      </c>
      <c r="E3154" s="2">
        <f t="shared" si="463"/>
        <v>43313</v>
      </c>
      <c r="F3154" s="2">
        <f t="shared" si="464"/>
        <v>43830</v>
      </c>
    </row>
    <row r="3155" spans="1:6" x14ac:dyDescent="0.25">
      <c r="A3155" s="1" t="s">
        <v>591</v>
      </c>
      <c r="B3155" s="1" t="s">
        <v>2081</v>
      </c>
      <c r="C3155" s="1" t="s">
        <v>24</v>
      </c>
      <c r="D3155" s="3">
        <f t="shared" si="462"/>
        <v>8357</v>
      </c>
      <c r="E3155" s="2">
        <f t="shared" si="463"/>
        <v>43313</v>
      </c>
      <c r="F3155" s="2">
        <f t="shared" si="464"/>
        <v>43830</v>
      </c>
    </row>
    <row r="3156" spans="1:6" x14ac:dyDescent="0.25">
      <c r="A3156" s="1" t="s">
        <v>591</v>
      </c>
      <c r="B3156" s="1" t="s">
        <v>2081</v>
      </c>
      <c r="C3156" s="1" t="s">
        <v>52</v>
      </c>
      <c r="D3156" s="3">
        <f t="shared" si="462"/>
        <v>8357</v>
      </c>
      <c r="E3156" s="2">
        <f t="shared" si="463"/>
        <v>43313</v>
      </c>
      <c r="F3156" s="2">
        <f t="shared" si="464"/>
        <v>43830</v>
      </c>
    </row>
    <row r="3157" spans="1:6" x14ac:dyDescent="0.25">
      <c r="A3157" s="1" t="s">
        <v>591</v>
      </c>
      <c r="B3157" s="1" t="s">
        <v>2081</v>
      </c>
      <c r="C3157" s="1" t="s">
        <v>160</v>
      </c>
      <c r="D3157" s="3">
        <f t="shared" si="462"/>
        <v>8357</v>
      </c>
      <c r="E3157" s="2">
        <f t="shared" si="463"/>
        <v>43313</v>
      </c>
      <c r="F3157" s="2">
        <f t="shared" si="464"/>
        <v>43830</v>
      </c>
    </row>
    <row r="3158" spans="1:6" x14ac:dyDescent="0.25">
      <c r="A3158" s="1" t="s">
        <v>591</v>
      </c>
      <c r="B3158" s="1" t="s">
        <v>2081</v>
      </c>
      <c r="C3158" s="1" t="s">
        <v>983</v>
      </c>
      <c r="D3158" s="3">
        <f t="shared" si="462"/>
        <v>8357</v>
      </c>
      <c r="E3158" s="2">
        <f t="shared" si="463"/>
        <v>43313</v>
      </c>
      <c r="F3158" s="2">
        <f t="shared" si="464"/>
        <v>43830</v>
      </c>
    </row>
    <row r="3159" spans="1:6" x14ac:dyDescent="0.25">
      <c r="A3159" s="1" t="s">
        <v>591</v>
      </c>
      <c r="B3159" s="1" t="s">
        <v>2081</v>
      </c>
      <c r="C3159" s="1" t="s">
        <v>396</v>
      </c>
      <c r="D3159" s="3">
        <f t="shared" si="462"/>
        <v>8357</v>
      </c>
      <c r="E3159" s="2">
        <f t="shared" si="463"/>
        <v>43313</v>
      </c>
      <c r="F3159" s="2">
        <f t="shared" si="464"/>
        <v>43830</v>
      </c>
    </row>
    <row r="3160" spans="1:6" x14ac:dyDescent="0.25">
      <c r="A3160" s="1" t="s">
        <v>591</v>
      </c>
      <c r="B3160" s="1" t="s">
        <v>2081</v>
      </c>
      <c r="C3160" s="1" t="s">
        <v>162</v>
      </c>
      <c r="D3160" s="3">
        <f t="shared" si="462"/>
        <v>8357</v>
      </c>
      <c r="E3160" s="2">
        <f t="shared" si="463"/>
        <v>43313</v>
      </c>
      <c r="F3160" s="2">
        <f t="shared" si="464"/>
        <v>43830</v>
      </c>
    </row>
    <row r="3161" spans="1:6" x14ac:dyDescent="0.25">
      <c r="A3161" s="1" t="s">
        <v>591</v>
      </c>
      <c r="B3161" s="1" t="s">
        <v>2081</v>
      </c>
      <c r="C3161" s="1" t="s">
        <v>34</v>
      </c>
      <c r="D3161" s="3">
        <f t="shared" si="462"/>
        <v>8357</v>
      </c>
      <c r="E3161" s="2">
        <f t="shared" si="463"/>
        <v>43313</v>
      </c>
      <c r="F3161" s="2">
        <f t="shared" si="464"/>
        <v>43830</v>
      </c>
    </row>
    <row r="3162" spans="1:6" x14ac:dyDescent="0.25">
      <c r="A3162" s="1" t="s">
        <v>591</v>
      </c>
      <c r="B3162" s="1" t="s">
        <v>2370</v>
      </c>
      <c r="C3162" s="1" t="s">
        <v>140</v>
      </c>
      <c r="D3162" s="3">
        <f t="shared" ref="D3162:D3178" si="465">VALUE("8292")</f>
        <v>8292</v>
      </c>
      <c r="E3162" s="2">
        <f t="shared" ref="E3162:E3199" si="466">DATEVALUE("1-6-2018")</f>
        <v>43252</v>
      </c>
      <c r="F3162" s="2">
        <f t="shared" ref="F3162:F3178" si="467">DATEVALUE("31-8-2019")</f>
        <v>43708</v>
      </c>
    </row>
    <row r="3163" spans="1:6" x14ac:dyDescent="0.25">
      <c r="A3163" s="1" t="s">
        <v>591</v>
      </c>
      <c r="B3163" s="1" t="s">
        <v>2370</v>
      </c>
      <c r="C3163" s="1" t="s">
        <v>141</v>
      </c>
      <c r="D3163" s="3">
        <f t="shared" si="465"/>
        <v>8292</v>
      </c>
      <c r="E3163" s="2">
        <f t="shared" si="466"/>
        <v>43252</v>
      </c>
      <c r="F3163" s="2">
        <f t="shared" si="467"/>
        <v>43708</v>
      </c>
    </row>
    <row r="3164" spans="1:6" x14ac:dyDescent="0.25">
      <c r="A3164" s="1" t="s">
        <v>591</v>
      </c>
      <c r="B3164" s="1" t="s">
        <v>2370</v>
      </c>
      <c r="C3164" s="1" t="s">
        <v>249</v>
      </c>
      <c r="D3164" s="3">
        <f t="shared" si="465"/>
        <v>8292</v>
      </c>
      <c r="E3164" s="2">
        <f t="shared" si="466"/>
        <v>43252</v>
      </c>
      <c r="F3164" s="2">
        <f t="shared" si="467"/>
        <v>43708</v>
      </c>
    </row>
    <row r="3165" spans="1:6" x14ac:dyDescent="0.25">
      <c r="A3165" s="1" t="s">
        <v>591</v>
      </c>
      <c r="B3165" s="1" t="s">
        <v>2370</v>
      </c>
      <c r="C3165" s="1" t="s">
        <v>248</v>
      </c>
      <c r="D3165" s="3">
        <f t="shared" si="465"/>
        <v>8292</v>
      </c>
      <c r="E3165" s="2">
        <f t="shared" si="466"/>
        <v>43252</v>
      </c>
      <c r="F3165" s="2">
        <f t="shared" si="467"/>
        <v>43708</v>
      </c>
    </row>
    <row r="3166" spans="1:6" x14ac:dyDescent="0.25">
      <c r="A3166" s="1" t="s">
        <v>591</v>
      </c>
      <c r="B3166" s="1" t="s">
        <v>2370</v>
      </c>
      <c r="C3166" s="1" t="s">
        <v>14</v>
      </c>
      <c r="D3166" s="3">
        <f t="shared" si="465"/>
        <v>8292</v>
      </c>
      <c r="E3166" s="2">
        <f t="shared" si="466"/>
        <v>43252</v>
      </c>
      <c r="F3166" s="2">
        <f t="shared" si="467"/>
        <v>43708</v>
      </c>
    </row>
    <row r="3167" spans="1:6" x14ac:dyDescent="0.25">
      <c r="A3167" s="1" t="s">
        <v>591</v>
      </c>
      <c r="B3167" s="1" t="s">
        <v>2370</v>
      </c>
      <c r="C3167" s="1" t="s">
        <v>15</v>
      </c>
      <c r="D3167" s="3">
        <f t="shared" si="465"/>
        <v>8292</v>
      </c>
      <c r="E3167" s="2">
        <f t="shared" si="466"/>
        <v>43252</v>
      </c>
      <c r="F3167" s="2">
        <f t="shared" si="467"/>
        <v>43708</v>
      </c>
    </row>
    <row r="3168" spans="1:6" x14ac:dyDescent="0.25">
      <c r="A3168" s="1" t="s">
        <v>591</v>
      </c>
      <c r="B3168" s="1" t="s">
        <v>2370</v>
      </c>
      <c r="C3168" s="1" t="s">
        <v>17</v>
      </c>
      <c r="D3168" s="3">
        <f t="shared" si="465"/>
        <v>8292</v>
      </c>
      <c r="E3168" s="2">
        <f t="shared" si="466"/>
        <v>43252</v>
      </c>
      <c r="F3168" s="2">
        <f t="shared" si="467"/>
        <v>43708</v>
      </c>
    </row>
    <row r="3169" spans="1:6" x14ac:dyDescent="0.25">
      <c r="A3169" s="1" t="s">
        <v>591</v>
      </c>
      <c r="B3169" s="1" t="s">
        <v>2370</v>
      </c>
      <c r="C3169" s="1" t="s">
        <v>250</v>
      </c>
      <c r="D3169" s="3">
        <f t="shared" si="465"/>
        <v>8292</v>
      </c>
      <c r="E3169" s="2">
        <f t="shared" si="466"/>
        <v>43252</v>
      </c>
      <c r="F3169" s="2">
        <f t="shared" si="467"/>
        <v>43708</v>
      </c>
    </row>
    <row r="3170" spans="1:6" x14ac:dyDescent="0.25">
      <c r="A3170" s="1" t="s">
        <v>591</v>
      </c>
      <c r="B3170" s="1" t="s">
        <v>2370</v>
      </c>
      <c r="C3170" s="1" t="s">
        <v>146</v>
      </c>
      <c r="D3170" s="3">
        <f t="shared" si="465"/>
        <v>8292</v>
      </c>
      <c r="E3170" s="2">
        <f t="shared" si="466"/>
        <v>43252</v>
      </c>
      <c r="F3170" s="2">
        <f t="shared" si="467"/>
        <v>43708</v>
      </c>
    </row>
    <row r="3171" spans="1:6" x14ac:dyDescent="0.25">
      <c r="A3171" s="1" t="s">
        <v>591</v>
      </c>
      <c r="B3171" s="1" t="s">
        <v>2370</v>
      </c>
      <c r="C3171" s="1" t="s">
        <v>67</v>
      </c>
      <c r="D3171" s="3">
        <f t="shared" si="465"/>
        <v>8292</v>
      </c>
      <c r="E3171" s="2">
        <f t="shared" si="466"/>
        <v>43252</v>
      </c>
      <c r="F3171" s="2">
        <f t="shared" si="467"/>
        <v>43708</v>
      </c>
    </row>
    <row r="3172" spans="1:6" x14ac:dyDescent="0.25">
      <c r="A3172" s="1" t="s">
        <v>591</v>
      </c>
      <c r="B3172" s="1" t="s">
        <v>2370</v>
      </c>
      <c r="C3172" s="1" t="s">
        <v>148</v>
      </c>
      <c r="D3172" s="3">
        <f t="shared" si="465"/>
        <v>8292</v>
      </c>
      <c r="E3172" s="2">
        <f t="shared" si="466"/>
        <v>43252</v>
      </c>
      <c r="F3172" s="2">
        <f t="shared" si="467"/>
        <v>43708</v>
      </c>
    </row>
    <row r="3173" spans="1:6" x14ac:dyDescent="0.25">
      <c r="A3173" s="1" t="s">
        <v>591</v>
      </c>
      <c r="B3173" s="1" t="s">
        <v>2370</v>
      </c>
      <c r="C3173" s="1" t="s">
        <v>149</v>
      </c>
      <c r="D3173" s="3">
        <f t="shared" si="465"/>
        <v>8292</v>
      </c>
      <c r="E3173" s="2">
        <f t="shared" si="466"/>
        <v>43252</v>
      </c>
      <c r="F3173" s="2">
        <f t="shared" si="467"/>
        <v>43708</v>
      </c>
    </row>
    <row r="3174" spans="1:6" x14ac:dyDescent="0.25">
      <c r="A3174" s="1" t="s">
        <v>591</v>
      </c>
      <c r="B3174" s="1" t="s">
        <v>2370</v>
      </c>
      <c r="C3174" s="1" t="s">
        <v>150</v>
      </c>
      <c r="D3174" s="3">
        <f t="shared" si="465"/>
        <v>8292</v>
      </c>
      <c r="E3174" s="2">
        <f t="shared" si="466"/>
        <v>43252</v>
      </c>
      <c r="F3174" s="2">
        <f t="shared" si="467"/>
        <v>43708</v>
      </c>
    </row>
    <row r="3175" spans="1:6" x14ac:dyDescent="0.25">
      <c r="A3175" s="1" t="s">
        <v>591</v>
      </c>
      <c r="B3175" s="1" t="s">
        <v>2370</v>
      </c>
      <c r="C3175" s="1" t="s">
        <v>151</v>
      </c>
      <c r="D3175" s="3">
        <f t="shared" si="465"/>
        <v>8292</v>
      </c>
      <c r="E3175" s="2">
        <f t="shared" si="466"/>
        <v>43252</v>
      </c>
      <c r="F3175" s="2">
        <f t="shared" si="467"/>
        <v>43708</v>
      </c>
    </row>
    <row r="3176" spans="1:6" x14ac:dyDescent="0.25">
      <c r="A3176" s="1" t="s">
        <v>591</v>
      </c>
      <c r="B3176" s="1" t="s">
        <v>2370</v>
      </c>
      <c r="C3176" s="1" t="s">
        <v>24</v>
      </c>
      <c r="D3176" s="3">
        <f t="shared" si="465"/>
        <v>8292</v>
      </c>
      <c r="E3176" s="2">
        <f t="shared" si="466"/>
        <v>43252</v>
      </c>
      <c r="F3176" s="2">
        <f t="shared" si="467"/>
        <v>43708</v>
      </c>
    </row>
    <row r="3177" spans="1:6" x14ac:dyDescent="0.25">
      <c r="A3177" s="1" t="s">
        <v>591</v>
      </c>
      <c r="B3177" s="1" t="s">
        <v>2370</v>
      </c>
      <c r="C3177" s="1" t="s">
        <v>160</v>
      </c>
      <c r="D3177" s="3">
        <f t="shared" si="465"/>
        <v>8292</v>
      </c>
      <c r="E3177" s="2">
        <f t="shared" si="466"/>
        <v>43252</v>
      </c>
      <c r="F3177" s="2">
        <f t="shared" si="467"/>
        <v>43708</v>
      </c>
    </row>
    <row r="3178" spans="1:6" x14ac:dyDescent="0.25">
      <c r="A3178" s="1" t="s">
        <v>591</v>
      </c>
      <c r="B3178" s="1" t="s">
        <v>2370</v>
      </c>
      <c r="C3178" s="1" t="s">
        <v>34</v>
      </c>
      <c r="D3178" s="3">
        <f t="shared" si="465"/>
        <v>8292</v>
      </c>
      <c r="E3178" s="2">
        <f t="shared" si="466"/>
        <v>43252</v>
      </c>
      <c r="F3178" s="2">
        <f t="shared" si="467"/>
        <v>43708</v>
      </c>
    </row>
    <row r="3179" spans="1:6" x14ac:dyDescent="0.25">
      <c r="A3179" s="1" t="s">
        <v>591</v>
      </c>
      <c r="B3179" s="1" t="s">
        <v>2371</v>
      </c>
      <c r="C3179" s="1" t="s">
        <v>8</v>
      </c>
      <c r="D3179" s="3">
        <f t="shared" ref="D3179:D3199" si="468">VALUE("8293")</f>
        <v>8293</v>
      </c>
      <c r="E3179" s="2">
        <f t="shared" si="466"/>
        <v>43252</v>
      </c>
      <c r="F3179" s="2">
        <f t="shared" ref="F3179:F3199" si="469">DATEVALUE("30-6-2019")</f>
        <v>43646</v>
      </c>
    </row>
    <row r="3180" spans="1:6" x14ac:dyDescent="0.25">
      <c r="A3180" s="1" t="s">
        <v>591</v>
      </c>
      <c r="B3180" s="1" t="s">
        <v>2371</v>
      </c>
      <c r="C3180" s="1" t="s">
        <v>140</v>
      </c>
      <c r="D3180" s="3">
        <f t="shared" si="468"/>
        <v>8293</v>
      </c>
      <c r="E3180" s="2">
        <f t="shared" si="466"/>
        <v>43252</v>
      </c>
      <c r="F3180" s="2">
        <f t="shared" si="469"/>
        <v>43646</v>
      </c>
    </row>
    <row r="3181" spans="1:6" x14ac:dyDescent="0.25">
      <c r="A3181" s="1" t="s">
        <v>591</v>
      </c>
      <c r="B3181" s="1" t="s">
        <v>2371</v>
      </c>
      <c r="C3181" s="1" t="s">
        <v>141</v>
      </c>
      <c r="D3181" s="3">
        <f t="shared" si="468"/>
        <v>8293</v>
      </c>
      <c r="E3181" s="2">
        <f t="shared" si="466"/>
        <v>43252</v>
      </c>
      <c r="F3181" s="2">
        <f t="shared" si="469"/>
        <v>43646</v>
      </c>
    </row>
    <row r="3182" spans="1:6" x14ac:dyDescent="0.25">
      <c r="A3182" s="1" t="s">
        <v>591</v>
      </c>
      <c r="B3182" s="1" t="s">
        <v>2371</v>
      </c>
      <c r="C3182" s="1" t="s">
        <v>249</v>
      </c>
      <c r="D3182" s="3">
        <f t="shared" si="468"/>
        <v>8293</v>
      </c>
      <c r="E3182" s="2">
        <f t="shared" si="466"/>
        <v>43252</v>
      </c>
      <c r="F3182" s="2">
        <f t="shared" si="469"/>
        <v>43646</v>
      </c>
    </row>
    <row r="3183" spans="1:6" x14ac:dyDescent="0.25">
      <c r="A3183" s="1" t="s">
        <v>591</v>
      </c>
      <c r="B3183" s="1" t="s">
        <v>2371</v>
      </c>
      <c r="C3183" s="1" t="s">
        <v>248</v>
      </c>
      <c r="D3183" s="3">
        <f t="shared" si="468"/>
        <v>8293</v>
      </c>
      <c r="E3183" s="2">
        <f t="shared" si="466"/>
        <v>43252</v>
      </c>
      <c r="F3183" s="2">
        <f t="shared" si="469"/>
        <v>43646</v>
      </c>
    </row>
    <row r="3184" spans="1:6" x14ac:dyDescent="0.25">
      <c r="A3184" s="1" t="s">
        <v>591</v>
      </c>
      <c r="B3184" s="1" t="s">
        <v>2371</v>
      </c>
      <c r="C3184" s="1" t="s">
        <v>87</v>
      </c>
      <c r="D3184" s="3">
        <f t="shared" si="468"/>
        <v>8293</v>
      </c>
      <c r="E3184" s="2">
        <f t="shared" si="466"/>
        <v>43252</v>
      </c>
      <c r="F3184" s="2">
        <f t="shared" si="469"/>
        <v>43646</v>
      </c>
    </row>
    <row r="3185" spans="1:6" x14ac:dyDescent="0.25">
      <c r="A3185" s="1" t="s">
        <v>591</v>
      </c>
      <c r="B3185" s="1" t="s">
        <v>2371</v>
      </c>
      <c r="C3185" s="1" t="s">
        <v>14</v>
      </c>
      <c r="D3185" s="3">
        <f t="shared" si="468"/>
        <v>8293</v>
      </c>
      <c r="E3185" s="2">
        <f t="shared" si="466"/>
        <v>43252</v>
      </c>
      <c r="F3185" s="2">
        <f t="shared" si="469"/>
        <v>43646</v>
      </c>
    </row>
    <row r="3186" spans="1:6" x14ac:dyDescent="0.25">
      <c r="A3186" s="1" t="s">
        <v>591</v>
      </c>
      <c r="B3186" s="1" t="s">
        <v>2371</v>
      </c>
      <c r="C3186" s="1" t="s">
        <v>15</v>
      </c>
      <c r="D3186" s="3">
        <f t="shared" si="468"/>
        <v>8293</v>
      </c>
      <c r="E3186" s="2">
        <f t="shared" si="466"/>
        <v>43252</v>
      </c>
      <c r="F3186" s="2">
        <f t="shared" si="469"/>
        <v>43646</v>
      </c>
    </row>
    <row r="3187" spans="1:6" x14ac:dyDescent="0.25">
      <c r="A3187" s="1" t="s">
        <v>591</v>
      </c>
      <c r="B3187" s="1" t="s">
        <v>2371</v>
      </c>
      <c r="C3187" s="1" t="s">
        <v>16</v>
      </c>
      <c r="D3187" s="3">
        <f t="shared" si="468"/>
        <v>8293</v>
      </c>
      <c r="E3187" s="2">
        <f t="shared" si="466"/>
        <v>43252</v>
      </c>
      <c r="F3187" s="2">
        <f t="shared" si="469"/>
        <v>43646</v>
      </c>
    </row>
    <row r="3188" spans="1:6" x14ac:dyDescent="0.25">
      <c r="A3188" s="1" t="s">
        <v>591</v>
      </c>
      <c r="B3188" s="1" t="s">
        <v>2371</v>
      </c>
      <c r="C3188" s="1" t="s">
        <v>17</v>
      </c>
      <c r="D3188" s="3">
        <f t="shared" si="468"/>
        <v>8293</v>
      </c>
      <c r="E3188" s="2">
        <f t="shared" si="466"/>
        <v>43252</v>
      </c>
      <c r="F3188" s="2">
        <f t="shared" si="469"/>
        <v>43646</v>
      </c>
    </row>
    <row r="3189" spans="1:6" x14ac:dyDescent="0.25">
      <c r="A3189" s="1" t="s">
        <v>591</v>
      </c>
      <c r="B3189" s="1" t="s">
        <v>2371</v>
      </c>
      <c r="C3189" s="1" t="s">
        <v>22</v>
      </c>
      <c r="D3189" s="3">
        <f t="shared" si="468"/>
        <v>8293</v>
      </c>
      <c r="E3189" s="2">
        <f t="shared" si="466"/>
        <v>43252</v>
      </c>
      <c r="F3189" s="2">
        <f t="shared" si="469"/>
        <v>43646</v>
      </c>
    </row>
    <row r="3190" spans="1:6" x14ac:dyDescent="0.25">
      <c r="A3190" s="1" t="s">
        <v>591</v>
      </c>
      <c r="B3190" s="1" t="s">
        <v>2371</v>
      </c>
      <c r="C3190" s="1" t="s">
        <v>146</v>
      </c>
      <c r="D3190" s="3">
        <f t="shared" si="468"/>
        <v>8293</v>
      </c>
      <c r="E3190" s="2">
        <f t="shared" si="466"/>
        <v>43252</v>
      </c>
      <c r="F3190" s="2">
        <f t="shared" si="469"/>
        <v>43646</v>
      </c>
    </row>
    <row r="3191" spans="1:6" x14ac:dyDescent="0.25">
      <c r="A3191" s="1" t="s">
        <v>591</v>
      </c>
      <c r="B3191" s="1" t="s">
        <v>2371</v>
      </c>
      <c r="C3191" s="1" t="s">
        <v>67</v>
      </c>
      <c r="D3191" s="3">
        <f t="shared" si="468"/>
        <v>8293</v>
      </c>
      <c r="E3191" s="2">
        <f t="shared" si="466"/>
        <v>43252</v>
      </c>
      <c r="F3191" s="2">
        <f t="shared" si="469"/>
        <v>43646</v>
      </c>
    </row>
    <row r="3192" spans="1:6" x14ac:dyDescent="0.25">
      <c r="A3192" s="1" t="s">
        <v>591</v>
      </c>
      <c r="B3192" s="1" t="s">
        <v>2371</v>
      </c>
      <c r="C3192" s="1" t="s">
        <v>148</v>
      </c>
      <c r="D3192" s="3">
        <f t="shared" si="468"/>
        <v>8293</v>
      </c>
      <c r="E3192" s="2">
        <f t="shared" si="466"/>
        <v>43252</v>
      </c>
      <c r="F3192" s="2">
        <f t="shared" si="469"/>
        <v>43646</v>
      </c>
    </row>
    <row r="3193" spans="1:6" x14ac:dyDescent="0.25">
      <c r="A3193" s="1" t="s">
        <v>591</v>
      </c>
      <c r="B3193" s="1" t="s">
        <v>2371</v>
      </c>
      <c r="C3193" s="1" t="s">
        <v>149</v>
      </c>
      <c r="D3193" s="3">
        <f t="shared" si="468"/>
        <v>8293</v>
      </c>
      <c r="E3193" s="2">
        <f t="shared" si="466"/>
        <v>43252</v>
      </c>
      <c r="F3193" s="2">
        <f t="shared" si="469"/>
        <v>43646</v>
      </c>
    </row>
    <row r="3194" spans="1:6" x14ac:dyDescent="0.25">
      <c r="A3194" s="1" t="s">
        <v>591</v>
      </c>
      <c r="B3194" s="1" t="s">
        <v>2371</v>
      </c>
      <c r="C3194" s="1" t="s">
        <v>150</v>
      </c>
      <c r="D3194" s="3">
        <f t="shared" si="468"/>
        <v>8293</v>
      </c>
      <c r="E3194" s="2">
        <f t="shared" si="466"/>
        <v>43252</v>
      </c>
      <c r="F3194" s="2">
        <f t="shared" si="469"/>
        <v>43646</v>
      </c>
    </row>
    <row r="3195" spans="1:6" x14ac:dyDescent="0.25">
      <c r="A3195" s="1" t="s">
        <v>591</v>
      </c>
      <c r="B3195" s="1" t="s">
        <v>2371</v>
      </c>
      <c r="C3195" s="1" t="s">
        <v>151</v>
      </c>
      <c r="D3195" s="3">
        <f t="shared" si="468"/>
        <v>8293</v>
      </c>
      <c r="E3195" s="2">
        <f t="shared" si="466"/>
        <v>43252</v>
      </c>
      <c r="F3195" s="2">
        <f t="shared" si="469"/>
        <v>43646</v>
      </c>
    </row>
    <row r="3196" spans="1:6" x14ac:dyDescent="0.25">
      <c r="A3196" s="1" t="s">
        <v>591</v>
      </c>
      <c r="B3196" s="1" t="s">
        <v>2371</v>
      </c>
      <c r="C3196" s="1" t="s">
        <v>24</v>
      </c>
      <c r="D3196" s="3">
        <f t="shared" si="468"/>
        <v>8293</v>
      </c>
      <c r="E3196" s="2">
        <f t="shared" si="466"/>
        <v>43252</v>
      </c>
      <c r="F3196" s="2">
        <f t="shared" si="469"/>
        <v>43646</v>
      </c>
    </row>
    <row r="3197" spans="1:6" x14ac:dyDescent="0.25">
      <c r="A3197" s="1" t="s">
        <v>591</v>
      </c>
      <c r="B3197" s="1" t="s">
        <v>2371</v>
      </c>
      <c r="C3197" s="1" t="s">
        <v>52</v>
      </c>
      <c r="D3197" s="3">
        <f t="shared" si="468"/>
        <v>8293</v>
      </c>
      <c r="E3197" s="2">
        <f t="shared" si="466"/>
        <v>43252</v>
      </c>
      <c r="F3197" s="2">
        <f t="shared" si="469"/>
        <v>43646</v>
      </c>
    </row>
    <row r="3198" spans="1:6" x14ac:dyDescent="0.25">
      <c r="A3198" s="1" t="s">
        <v>591</v>
      </c>
      <c r="B3198" s="1" t="s">
        <v>2371</v>
      </c>
      <c r="C3198" s="1" t="s">
        <v>160</v>
      </c>
      <c r="D3198" s="3">
        <f t="shared" si="468"/>
        <v>8293</v>
      </c>
      <c r="E3198" s="2">
        <f t="shared" si="466"/>
        <v>43252</v>
      </c>
      <c r="F3198" s="2">
        <f t="shared" si="469"/>
        <v>43646</v>
      </c>
    </row>
    <row r="3199" spans="1:6" x14ac:dyDescent="0.25">
      <c r="A3199" s="1" t="s">
        <v>591</v>
      </c>
      <c r="B3199" s="1" t="s">
        <v>2371</v>
      </c>
      <c r="C3199" s="1" t="s">
        <v>34</v>
      </c>
      <c r="D3199" s="3">
        <f t="shared" si="468"/>
        <v>8293</v>
      </c>
      <c r="E3199" s="2">
        <f t="shared" si="466"/>
        <v>43252</v>
      </c>
      <c r="F3199" s="2">
        <f t="shared" si="469"/>
        <v>43646</v>
      </c>
    </row>
    <row r="3200" spans="1:6" x14ac:dyDescent="0.25">
      <c r="A3200" s="1" t="s">
        <v>591</v>
      </c>
      <c r="B3200" s="1" t="s">
        <v>590</v>
      </c>
      <c r="C3200" s="1" t="s">
        <v>137</v>
      </c>
      <c r="D3200" s="3">
        <f t="shared" ref="D3200:D3219" si="470">VALUE("7791")</f>
        <v>7791</v>
      </c>
      <c r="E3200" s="2">
        <f t="shared" ref="E3200:E3219" si="471">DATEVALUE("1-8-2015")</f>
        <v>42217</v>
      </c>
      <c r="F3200" s="2">
        <f t="shared" ref="F3200:F3219" si="472">DATEVALUE("30-6-2022")</f>
        <v>44742</v>
      </c>
    </row>
    <row r="3201" spans="1:6" x14ac:dyDescent="0.25">
      <c r="A3201" s="1" t="s">
        <v>591</v>
      </c>
      <c r="B3201" s="1" t="s">
        <v>590</v>
      </c>
      <c r="C3201" s="1" t="s">
        <v>140</v>
      </c>
      <c r="D3201" s="3">
        <f t="shared" si="470"/>
        <v>7791</v>
      </c>
      <c r="E3201" s="2">
        <f t="shared" si="471"/>
        <v>42217</v>
      </c>
      <c r="F3201" s="2">
        <f t="shared" si="472"/>
        <v>44742</v>
      </c>
    </row>
    <row r="3202" spans="1:6" x14ac:dyDescent="0.25">
      <c r="A3202" s="1" t="s">
        <v>591</v>
      </c>
      <c r="B3202" s="1" t="s">
        <v>590</v>
      </c>
      <c r="C3202" s="1" t="s">
        <v>141</v>
      </c>
      <c r="D3202" s="3">
        <f t="shared" si="470"/>
        <v>7791</v>
      </c>
      <c r="E3202" s="2">
        <f t="shared" si="471"/>
        <v>42217</v>
      </c>
      <c r="F3202" s="2">
        <f t="shared" si="472"/>
        <v>44742</v>
      </c>
    </row>
    <row r="3203" spans="1:6" x14ac:dyDescent="0.25">
      <c r="A3203" s="1" t="s">
        <v>591</v>
      </c>
      <c r="B3203" s="1" t="s">
        <v>590</v>
      </c>
      <c r="C3203" s="1" t="s">
        <v>142</v>
      </c>
      <c r="D3203" s="3">
        <f t="shared" si="470"/>
        <v>7791</v>
      </c>
      <c r="E3203" s="2">
        <f t="shared" si="471"/>
        <v>42217</v>
      </c>
      <c r="F3203" s="2">
        <f t="shared" si="472"/>
        <v>44742</v>
      </c>
    </row>
    <row r="3204" spans="1:6" x14ac:dyDescent="0.25">
      <c r="A3204" s="1" t="s">
        <v>591</v>
      </c>
      <c r="B3204" s="1" t="s">
        <v>590</v>
      </c>
      <c r="C3204" s="1" t="s">
        <v>248</v>
      </c>
      <c r="D3204" s="3">
        <f t="shared" si="470"/>
        <v>7791</v>
      </c>
      <c r="E3204" s="2">
        <f t="shared" si="471"/>
        <v>42217</v>
      </c>
      <c r="F3204" s="2">
        <f t="shared" si="472"/>
        <v>44742</v>
      </c>
    </row>
    <row r="3205" spans="1:6" x14ac:dyDescent="0.25">
      <c r="A3205" s="1" t="s">
        <v>591</v>
      </c>
      <c r="B3205" s="1" t="s">
        <v>590</v>
      </c>
      <c r="C3205" s="1" t="s">
        <v>46</v>
      </c>
      <c r="D3205" s="3">
        <f t="shared" si="470"/>
        <v>7791</v>
      </c>
      <c r="E3205" s="2">
        <f t="shared" si="471"/>
        <v>42217</v>
      </c>
      <c r="F3205" s="2">
        <f t="shared" si="472"/>
        <v>44742</v>
      </c>
    </row>
    <row r="3206" spans="1:6" x14ac:dyDescent="0.25">
      <c r="A3206" s="1" t="s">
        <v>591</v>
      </c>
      <c r="B3206" s="1" t="s">
        <v>590</v>
      </c>
      <c r="C3206" s="1" t="s">
        <v>87</v>
      </c>
      <c r="D3206" s="3">
        <f t="shared" si="470"/>
        <v>7791</v>
      </c>
      <c r="E3206" s="2">
        <f t="shared" si="471"/>
        <v>42217</v>
      </c>
      <c r="F3206" s="2">
        <f t="shared" si="472"/>
        <v>44742</v>
      </c>
    </row>
    <row r="3207" spans="1:6" x14ac:dyDescent="0.25">
      <c r="A3207" s="1" t="s">
        <v>591</v>
      </c>
      <c r="B3207" s="1" t="s">
        <v>590</v>
      </c>
      <c r="C3207" s="1" t="s">
        <v>14</v>
      </c>
      <c r="D3207" s="3">
        <f t="shared" si="470"/>
        <v>7791</v>
      </c>
      <c r="E3207" s="2">
        <f t="shared" si="471"/>
        <v>42217</v>
      </c>
      <c r="F3207" s="2">
        <f t="shared" si="472"/>
        <v>44742</v>
      </c>
    </row>
    <row r="3208" spans="1:6" x14ac:dyDescent="0.25">
      <c r="A3208" s="1" t="s">
        <v>591</v>
      </c>
      <c r="B3208" s="1" t="s">
        <v>590</v>
      </c>
      <c r="C3208" s="1" t="s">
        <v>15</v>
      </c>
      <c r="D3208" s="3">
        <f t="shared" si="470"/>
        <v>7791</v>
      </c>
      <c r="E3208" s="2">
        <f t="shared" si="471"/>
        <v>42217</v>
      </c>
      <c r="F3208" s="2">
        <f t="shared" si="472"/>
        <v>44742</v>
      </c>
    </row>
    <row r="3209" spans="1:6" x14ac:dyDescent="0.25">
      <c r="A3209" s="1" t="s">
        <v>591</v>
      </c>
      <c r="B3209" s="1" t="s">
        <v>590</v>
      </c>
      <c r="C3209" s="1" t="s">
        <v>16</v>
      </c>
      <c r="D3209" s="3">
        <f t="shared" si="470"/>
        <v>7791</v>
      </c>
      <c r="E3209" s="2">
        <f t="shared" si="471"/>
        <v>42217</v>
      </c>
      <c r="F3209" s="2">
        <f t="shared" si="472"/>
        <v>44742</v>
      </c>
    </row>
    <row r="3210" spans="1:6" x14ac:dyDescent="0.25">
      <c r="A3210" s="1" t="s">
        <v>591</v>
      </c>
      <c r="B3210" s="1" t="s">
        <v>590</v>
      </c>
      <c r="C3210" s="1" t="s">
        <v>17</v>
      </c>
      <c r="D3210" s="3">
        <f t="shared" si="470"/>
        <v>7791</v>
      </c>
      <c r="E3210" s="2">
        <f t="shared" si="471"/>
        <v>42217</v>
      </c>
      <c r="F3210" s="2">
        <f t="shared" si="472"/>
        <v>44742</v>
      </c>
    </row>
    <row r="3211" spans="1:6" x14ac:dyDescent="0.25">
      <c r="A3211" s="1" t="s">
        <v>591</v>
      </c>
      <c r="B3211" s="1" t="s">
        <v>590</v>
      </c>
      <c r="C3211" s="1" t="s">
        <v>22</v>
      </c>
      <c r="D3211" s="3">
        <f t="shared" si="470"/>
        <v>7791</v>
      </c>
      <c r="E3211" s="2">
        <f t="shared" si="471"/>
        <v>42217</v>
      </c>
      <c r="F3211" s="2">
        <f t="shared" si="472"/>
        <v>44742</v>
      </c>
    </row>
    <row r="3212" spans="1:6" x14ac:dyDescent="0.25">
      <c r="A3212" s="1" t="s">
        <v>591</v>
      </c>
      <c r="B3212" s="1" t="s">
        <v>590</v>
      </c>
      <c r="C3212" s="1" t="s">
        <v>146</v>
      </c>
      <c r="D3212" s="3">
        <f t="shared" si="470"/>
        <v>7791</v>
      </c>
      <c r="E3212" s="2">
        <f t="shared" si="471"/>
        <v>42217</v>
      </c>
      <c r="F3212" s="2">
        <f t="shared" si="472"/>
        <v>44742</v>
      </c>
    </row>
    <row r="3213" spans="1:6" x14ac:dyDescent="0.25">
      <c r="A3213" s="1" t="s">
        <v>591</v>
      </c>
      <c r="B3213" s="1" t="s">
        <v>590</v>
      </c>
      <c r="C3213" s="1" t="s">
        <v>148</v>
      </c>
      <c r="D3213" s="3">
        <f t="shared" si="470"/>
        <v>7791</v>
      </c>
      <c r="E3213" s="2">
        <f t="shared" si="471"/>
        <v>42217</v>
      </c>
      <c r="F3213" s="2">
        <f t="shared" si="472"/>
        <v>44742</v>
      </c>
    </row>
    <row r="3214" spans="1:6" x14ac:dyDescent="0.25">
      <c r="A3214" s="1" t="s">
        <v>591</v>
      </c>
      <c r="B3214" s="1" t="s">
        <v>590</v>
      </c>
      <c r="C3214" s="1" t="s">
        <v>150</v>
      </c>
      <c r="D3214" s="3">
        <f t="shared" si="470"/>
        <v>7791</v>
      </c>
      <c r="E3214" s="2">
        <f t="shared" si="471"/>
        <v>42217</v>
      </c>
      <c r="F3214" s="2">
        <f t="shared" si="472"/>
        <v>44742</v>
      </c>
    </row>
    <row r="3215" spans="1:6" x14ac:dyDescent="0.25">
      <c r="A3215" s="1" t="s">
        <v>591</v>
      </c>
      <c r="B3215" s="1" t="s">
        <v>590</v>
      </c>
      <c r="C3215" s="1" t="s">
        <v>151</v>
      </c>
      <c r="D3215" s="3">
        <f t="shared" si="470"/>
        <v>7791</v>
      </c>
      <c r="E3215" s="2">
        <f t="shared" si="471"/>
        <v>42217</v>
      </c>
      <c r="F3215" s="2">
        <f t="shared" si="472"/>
        <v>44742</v>
      </c>
    </row>
    <row r="3216" spans="1:6" x14ac:dyDescent="0.25">
      <c r="A3216" s="1" t="s">
        <v>591</v>
      </c>
      <c r="B3216" s="1" t="s">
        <v>590</v>
      </c>
      <c r="C3216" s="1" t="s">
        <v>24</v>
      </c>
      <c r="D3216" s="3">
        <f t="shared" si="470"/>
        <v>7791</v>
      </c>
      <c r="E3216" s="2">
        <f t="shared" si="471"/>
        <v>42217</v>
      </c>
      <c r="F3216" s="2">
        <f t="shared" si="472"/>
        <v>44742</v>
      </c>
    </row>
    <row r="3217" spans="1:6" x14ac:dyDescent="0.25">
      <c r="A3217" s="1" t="s">
        <v>591</v>
      </c>
      <c r="B3217" s="1" t="s">
        <v>590</v>
      </c>
      <c r="C3217" s="1" t="s">
        <v>52</v>
      </c>
      <c r="D3217" s="3">
        <f t="shared" si="470"/>
        <v>7791</v>
      </c>
      <c r="E3217" s="2">
        <f t="shared" si="471"/>
        <v>42217</v>
      </c>
      <c r="F3217" s="2">
        <f t="shared" si="472"/>
        <v>44742</v>
      </c>
    </row>
    <row r="3218" spans="1:6" x14ac:dyDescent="0.25">
      <c r="A3218" s="1" t="s">
        <v>591</v>
      </c>
      <c r="B3218" s="1" t="s">
        <v>590</v>
      </c>
      <c r="C3218" s="1" t="s">
        <v>160</v>
      </c>
      <c r="D3218" s="3">
        <f t="shared" si="470"/>
        <v>7791</v>
      </c>
      <c r="E3218" s="2">
        <f t="shared" si="471"/>
        <v>42217</v>
      </c>
      <c r="F3218" s="2">
        <f t="shared" si="472"/>
        <v>44742</v>
      </c>
    </row>
    <row r="3219" spans="1:6" x14ac:dyDescent="0.25">
      <c r="A3219" s="1" t="s">
        <v>591</v>
      </c>
      <c r="B3219" s="1" t="s">
        <v>590</v>
      </c>
      <c r="C3219" s="1" t="s">
        <v>34</v>
      </c>
      <c r="D3219" s="3">
        <f t="shared" si="470"/>
        <v>7791</v>
      </c>
      <c r="E3219" s="2">
        <f t="shared" si="471"/>
        <v>42217</v>
      </c>
      <c r="F3219" s="2">
        <f t="shared" si="472"/>
        <v>44742</v>
      </c>
    </row>
    <row r="3220" spans="1:6" x14ac:dyDescent="0.25">
      <c r="A3220" s="1" t="s">
        <v>591</v>
      </c>
      <c r="B3220" s="1" t="s">
        <v>1981</v>
      </c>
      <c r="C3220" s="1" t="s">
        <v>137</v>
      </c>
      <c r="D3220" s="3">
        <f>VALUE("7761")</f>
        <v>7761</v>
      </c>
      <c r="E3220" s="2">
        <f>DATEVALUE("1-5-2015")</f>
        <v>42125</v>
      </c>
      <c r="F3220" s="2">
        <f>DATEVALUE("31-7-2015")</f>
        <v>42216</v>
      </c>
    </row>
    <row r="3221" spans="1:6" x14ac:dyDescent="0.25">
      <c r="A3221" s="1" t="s">
        <v>591</v>
      </c>
      <c r="B3221" s="1" t="s">
        <v>1981</v>
      </c>
      <c r="C3221" s="1" t="s">
        <v>46</v>
      </c>
      <c r="D3221" s="3">
        <f>VALUE("7761")</f>
        <v>7761</v>
      </c>
      <c r="E3221" s="2">
        <f>DATEVALUE("1-5-2015")</f>
        <v>42125</v>
      </c>
      <c r="F3221" s="2">
        <f>DATEVALUE("31-7-2015")</f>
        <v>42216</v>
      </c>
    </row>
    <row r="3222" spans="1:6" x14ac:dyDescent="0.25">
      <c r="A3222" s="1" t="s">
        <v>591</v>
      </c>
      <c r="B3222" s="1" t="s">
        <v>1981</v>
      </c>
      <c r="C3222" s="1" t="s">
        <v>87</v>
      </c>
      <c r="D3222" s="3">
        <f>VALUE("7761")</f>
        <v>7761</v>
      </c>
      <c r="E3222" s="2">
        <f>DATEVALUE("1-5-2015")</f>
        <v>42125</v>
      </c>
      <c r="F3222" s="2">
        <f>DATEVALUE("31-7-2015")</f>
        <v>42216</v>
      </c>
    </row>
    <row r="3223" spans="1:6" x14ac:dyDescent="0.25">
      <c r="A3223" s="1" t="s">
        <v>591</v>
      </c>
      <c r="B3223" s="1" t="s">
        <v>1981</v>
      </c>
      <c r="C3223" s="1" t="s">
        <v>15</v>
      </c>
      <c r="D3223" s="3">
        <f>VALUE("7761")</f>
        <v>7761</v>
      </c>
      <c r="E3223" s="2">
        <f>DATEVALUE("1-5-2015")</f>
        <v>42125</v>
      </c>
      <c r="F3223" s="2">
        <f>DATEVALUE("31-7-2015")</f>
        <v>42216</v>
      </c>
    </row>
    <row r="3224" spans="1:6" x14ac:dyDescent="0.25">
      <c r="A3224" s="1" t="s">
        <v>591</v>
      </c>
      <c r="B3224" s="1" t="s">
        <v>1981</v>
      </c>
      <c r="C3224" s="1" t="s">
        <v>17</v>
      </c>
      <c r="D3224" s="3">
        <f>VALUE("7761")</f>
        <v>7761</v>
      </c>
      <c r="E3224" s="2">
        <f>DATEVALUE("1-5-2015")</f>
        <v>42125</v>
      </c>
      <c r="F3224" s="2">
        <f>DATEVALUE("31-7-2015")</f>
        <v>42216</v>
      </c>
    </row>
    <row r="3225" spans="1:6" x14ac:dyDescent="0.25">
      <c r="A3225" s="1" t="s">
        <v>591</v>
      </c>
      <c r="B3225" s="1" t="s">
        <v>1953</v>
      </c>
      <c r="C3225" s="1" t="s">
        <v>137</v>
      </c>
      <c r="D3225" s="3">
        <f>VALUE("7715")</f>
        <v>7715</v>
      </c>
      <c r="E3225" s="2">
        <f>DATEVALUE("1-2-2015")</f>
        <v>42036</v>
      </c>
      <c r="F3225" s="2">
        <f>DATEVALUE("31-5-2015")</f>
        <v>42155</v>
      </c>
    </row>
    <row r="3226" spans="1:6" x14ac:dyDescent="0.25">
      <c r="A3226" s="1" t="s">
        <v>591</v>
      </c>
      <c r="B3226" s="1" t="s">
        <v>1953</v>
      </c>
      <c r="C3226" s="1" t="s">
        <v>46</v>
      </c>
      <c r="D3226" s="3">
        <f>VALUE("7715")</f>
        <v>7715</v>
      </c>
      <c r="E3226" s="2">
        <f>DATEVALUE("1-2-2015")</f>
        <v>42036</v>
      </c>
      <c r="F3226" s="2">
        <f>DATEVALUE("31-5-2015")</f>
        <v>42155</v>
      </c>
    </row>
    <row r="3227" spans="1:6" x14ac:dyDescent="0.25">
      <c r="A3227" s="1" t="s">
        <v>591</v>
      </c>
      <c r="B3227" s="1" t="s">
        <v>1953</v>
      </c>
      <c r="C3227" s="1" t="s">
        <v>87</v>
      </c>
      <c r="D3227" s="3">
        <f>VALUE("7715")</f>
        <v>7715</v>
      </c>
      <c r="E3227" s="2">
        <f>DATEVALUE("1-2-2015")</f>
        <v>42036</v>
      </c>
      <c r="F3227" s="2">
        <f>DATEVALUE("31-5-2015")</f>
        <v>42155</v>
      </c>
    </row>
    <row r="3228" spans="1:6" x14ac:dyDescent="0.25">
      <c r="A3228" s="1" t="s">
        <v>591</v>
      </c>
      <c r="B3228" s="1" t="s">
        <v>1953</v>
      </c>
      <c r="C3228" s="1" t="s">
        <v>15</v>
      </c>
      <c r="D3228" s="3">
        <f>VALUE("7715")</f>
        <v>7715</v>
      </c>
      <c r="E3228" s="2">
        <f>DATEVALUE("1-2-2015")</f>
        <v>42036</v>
      </c>
      <c r="F3228" s="2">
        <f>DATEVALUE("31-5-2015")</f>
        <v>42155</v>
      </c>
    </row>
    <row r="3229" spans="1:6" x14ac:dyDescent="0.25">
      <c r="A3229" s="1" t="s">
        <v>591</v>
      </c>
      <c r="B3229" s="1" t="s">
        <v>1953</v>
      </c>
      <c r="C3229" s="1" t="s">
        <v>17</v>
      </c>
      <c r="D3229" s="3">
        <f>VALUE("7715")</f>
        <v>7715</v>
      </c>
      <c r="E3229" s="2">
        <f>DATEVALUE("1-2-2015")</f>
        <v>42036</v>
      </c>
      <c r="F3229" s="2">
        <f>DATEVALUE("31-5-2015")</f>
        <v>42155</v>
      </c>
    </row>
    <row r="3230" spans="1:6" x14ac:dyDescent="0.25">
      <c r="A3230" s="1" t="s">
        <v>591</v>
      </c>
      <c r="B3230" s="1" t="s">
        <v>1728</v>
      </c>
      <c r="C3230" s="1" t="s">
        <v>137</v>
      </c>
      <c r="D3230" s="3">
        <f t="shared" ref="D3230:D3235" si="473">VALUE("7656")</f>
        <v>7656</v>
      </c>
      <c r="E3230" s="2">
        <f t="shared" ref="E3230:E3235" si="474">DATEVALUE("1-8-2014")</f>
        <v>41852</v>
      </c>
      <c r="F3230" s="2">
        <f t="shared" ref="F3230:F3235" si="475">DATEVALUE("31-1-2015")</f>
        <v>42035</v>
      </c>
    </row>
    <row r="3231" spans="1:6" x14ac:dyDescent="0.25">
      <c r="A3231" s="1" t="s">
        <v>591</v>
      </c>
      <c r="B3231" s="1" t="s">
        <v>1728</v>
      </c>
      <c r="C3231" s="1" t="s">
        <v>46</v>
      </c>
      <c r="D3231" s="3">
        <f t="shared" si="473"/>
        <v>7656</v>
      </c>
      <c r="E3231" s="2">
        <f t="shared" si="474"/>
        <v>41852</v>
      </c>
      <c r="F3231" s="2">
        <f t="shared" si="475"/>
        <v>42035</v>
      </c>
    </row>
    <row r="3232" spans="1:6" x14ac:dyDescent="0.25">
      <c r="A3232" s="1" t="s">
        <v>591</v>
      </c>
      <c r="B3232" s="1" t="s">
        <v>1728</v>
      </c>
      <c r="C3232" s="1" t="s">
        <v>87</v>
      </c>
      <c r="D3232" s="3">
        <f t="shared" si="473"/>
        <v>7656</v>
      </c>
      <c r="E3232" s="2">
        <f t="shared" si="474"/>
        <v>41852</v>
      </c>
      <c r="F3232" s="2">
        <f t="shared" si="475"/>
        <v>42035</v>
      </c>
    </row>
    <row r="3233" spans="1:6" x14ac:dyDescent="0.25">
      <c r="A3233" s="1" t="s">
        <v>591</v>
      </c>
      <c r="B3233" s="1" t="s">
        <v>1728</v>
      </c>
      <c r="C3233" s="1" t="s">
        <v>14</v>
      </c>
      <c r="D3233" s="3">
        <f t="shared" si="473"/>
        <v>7656</v>
      </c>
      <c r="E3233" s="2">
        <f t="shared" si="474"/>
        <v>41852</v>
      </c>
      <c r="F3233" s="2">
        <f t="shared" si="475"/>
        <v>42035</v>
      </c>
    </row>
    <row r="3234" spans="1:6" x14ac:dyDescent="0.25">
      <c r="A3234" s="1" t="s">
        <v>591</v>
      </c>
      <c r="B3234" s="1" t="s">
        <v>1728</v>
      </c>
      <c r="C3234" s="1" t="s">
        <v>15</v>
      </c>
      <c r="D3234" s="3">
        <f t="shared" si="473"/>
        <v>7656</v>
      </c>
      <c r="E3234" s="2">
        <f t="shared" si="474"/>
        <v>41852</v>
      </c>
      <c r="F3234" s="2">
        <f t="shared" si="475"/>
        <v>42035</v>
      </c>
    </row>
    <row r="3235" spans="1:6" x14ac:dyDescent="0.25">
      <c r="A3235" s="1" t="s">
        <v>591</v>
      </c>
      <c r="B3235" s="1" t="s">
        <v>1728</v>
      </c>
      <c r="C3235" s="1" t="s">
        <v>17</v>
      </c>
      <c r="D3235" s="3">
        <f t="shared" si="473"/>
        <v>7656</v>
      </c>
      <c r="E3235" s="2">
        <f t="shared" si="474"/>
        <v>41852</v>
      </c>
      <c r="F3235" s="2">
        <f t="shared" si="475"/>
        <v>42035</v>
      </c>
    </row>
    <row r="3236" spans="1:6" x14ac:dyDescent="0.25">
      <c r="A3236" s="1" t="s">
        <v>2471</v>
      </c>
      <c r="B3236" s="1" t="s">
        <v>2470</v>
      </c>
      <c r="C3236" s="1" t="s">
        <v>817</v>
      </c>
      <c r="D3236" s="3">
        <f t="shared" ref="D3236:D3249" si="476">VALUE("8629")</f>
        <v>8629</v>
      </c>
      <c r="E3236" s="2">
        <f t="shared" ref="E3236:E3249" si="477">DATEVALUE("1-12-2019")</f>
        <v>43800</v>
      </c>
      <c r="F3236" s="2">
        <f t="shared" ref="F3236:F3249" si="478">DATEVALUE("31-3-2020")</f>
        <v>43921</v>
      </c>
    </row>
    <row r="3237" spans="1:6" x14ac:dyDescent="0.25">
      <c r="A3237" s="1" t="s">
        <v>2471</v>
      </c>
      <c r="B3237" s="1" t="s">
        <v>2470</v>
      </c>
      <c r="C3237" s="1" t="s">
        <v>818</v>
      </c>
      <c r="D3237" s="3">
        <f t="shared" si="476"/>
        <v>8629</v>
      </c>
      <c r="E3237" s="2">
        <f t="shared" si="477"/>
        <v>43800</v>
      </c>
      <c r="F3237" s="2">
        <f t="shared" si="478"/>
        <v>43921</v>
      </c>
    </row>
    <row r="3238" spans="1:6" x14ac:dyDescent="0.25">
      <c r="A3238" s="1" t="s">
        <v>2471</v>
      </c>
      <c r="B3238" s="1" t="s">
        <v>2470</v>
      </c>
      <c r="C3238" s="1" t="s">
        <v>819</v>
      </c>
      <c r="D3238" s="3">
        <f t="shared" si="476"/>
        <v>8629</v>
      </c>
      <c r="E3238" s="2">
        <f t="shared" si="477"/>
        <v>43800</v>
      </c>
      <c r="F3238" s="2">
        <f t="shared" si="478"/>
        <v>43921</v>
      </c>
    </row>
    <row r="3239" spans="1:6" x14ac:dyDescent="0.25">
      <c r="A3239" s="1" t="s">
        <v>2471</v>
      </c>
      <c r="B3239" s="1" t="s">
        <v>2470</v>
      </c>
      <c r="C3239" s="1" t="s">
        <v>820</v>
      </c>
      <c r="D3239" s="3">
        <f t="shared" si="476"/>
        <v>8629</v>
      </c>
      <c r="E3239" s="2">
        <f t="shared" si="477"/>
        <v>43800</v>
      </c>
      <c r="F3239" s="2">
        <f t="shared" si="478"/>
        <v>43921</v>
      </c>
    </row>
    <row r="3240" spans="1:6" x14ac:dyDescent="0.25">
      <c r="A3240" s="1" t="s">
        <v>2471</v>
      </c>
      <c r="B3240" s="1" t="s">
        <v>2470</v>
      </c>
      <c r="C3240" s="1" t="s">
        <v>821</v>
      </c>
      <c r="D3240" s="3">
        <f t="shared" si="476"/>
        <v>8629</v>
      </c>
      <c r="E3240" s="2">
        <f t="shared" si="477"/>
        <v>43800</v>
      </c>
      <c r="F3240" s="2">
        <f t="shared" si="478"/>
        <v>43921</v>
      </c>
    </row>
    <row r="3241" spans="1:6" x14ac:dyDescent="0.25">
      <c r="A3241" s="1" t="s">
        <v>2471</v>
      </c>
      <c r="B3241" s="1" t="s">
        <v>2470</v>
      </c>
      <c r="C3241" s="1" t="s">
        <v>822</v>
      </c>
      <c r="D3241" s="3">
        <f t="shared" si="476"/>
        <v>8629</v>
      </c>
      <c r="E3241" s="2">
        <f t="shared" si="477"/>
        <v>43800</v>
      </c>
      <c r="F3241" s="2">
        <f t="shared" si="478"/>
        <v>43921</v>
      </c>
    </row>
    <row r="3242" spans="1:6" x14ac:dyDescent="0.25">
      <c r="A3242" s="1" t="s">
        <v>2471</v>
      </c>
      <c r="B3242" s="1" t="s">
        <v>2470</v>
      </c>
      <c r="C3242" s="1" t="s">
        <v>825</v>
      </c>
      <c r="D3242" s="3">
        <f t="shared" si="476"/>
        <v>8629</v>
      </c>
      <c r="E3242" s="2">
        <f t="shared" si="477"/>
        <v>43800</v>
      </c>
      <c r="F3242" s="2">
        <f t="shared" si="478"/>
        <v>43921</v>
      </c>
    </row>
    <row r="3243" spans="1:6" x14ac:dyDescent="0.25">
      <c r="A3243" s="1" t="s">
        <v>2471</v>
      </c>
      <c r="B3243" s="1" t="s">
        <v>2470</v>
      </c>
      <c r="C3243" s="1" t="s">
        <v>823</v>
      </c>
      <c r="D3243" s="3">
        <f t="shared" si="476"/>
        <v>8629</v>
      </c>
      <c r="E3243" s="2">
        <f t="shared" si="477"/>
        <v>43800</v>
      </c>
      <c r="F3243" s="2">
        <f t="shared" si="478"/>
        <v>43921</v>
      </c>
    </row>
    <row r="3244" spans="1:6" x14ac:dyDescent="0.25">
      <c r="A3244" s="1" t="s">
        <v>2471</v>
      </c>
      <c r="B3244" s="1" t="s">
        <v>2470</v>
      </c>
      <c r="C3244" s="1" t="s">
        <v>824</v>
      </c>
      <c r="D3244" s="3">
        <f t="shared" si="476"/>
        <v>8629</v>
      </c>
      <c r="E3244" s="2">
        <f t="shared" si="477"/>
        <v>43800</v>
      </c>
      <c r="F3244" s="2">
        <f t="shared" si="478"/>
        <v>43921</v>
      </c>
    </row>
    <row r="3245" spans="1:6" x14ac:dyDescent="0.25">
      <c r="A3245" s="1" t="s">
        <v>2471</v>
      </c>
      <c r="B3245" s="1" t="s">
        <v>2470</v>
      </c>
      <c r="C3245" s="1" t="s">
        <v>826</v>
      </c>
      <c r="D3245" s="3">
        <f t="shared" si="476"/>
        <v>8629</v>
      </c>
      <c r="E3245" s="2">
        <f t="shared" si="477"/>
        <v>43800</v>
      </c>
      <c r="F3245" s="2">
        <f t="shared" si="478"/>
        <v>43921</v>
      </c>
    </row>
    <row r="3246" spans="1:6" x14ac:dyDescent="0.25">
      <c r="A3246" s="1" t="s">
        <v>2471</v>
      </c>
      <c r="B3246" s="1" t="s">
        <v>2470</v>
      </c>
      <c r="C3246" s="1" t="s">
        <v>827</v>
      </c>
      <c r="D3246" s="3">
        <f t="shared" si="476"/>
        <v>8629</v>
      </c>
      <c r="E3246" s="2">
        <f t="shared" si="477"/>
        <v>43800</v>
      </c>
      <c r="F3246" s="2">
        <f t="shared" si="478"/>
        <v>43921</v>
      </c>
    </row>
    <row r="3247" spans="1:6" x14ac:dyDescent="0.25">
      <c r="A3247" s="1" t="s">
        <v>2471</v>
      </c>
      <c r="B3247" s="1" t="s">
        <v>2470</v>
      </c>
      <c r="C3247" s="1" t="s">
        <v>829</v>
      </c>
      <c r="D3247" s="3">
        <f t="shared" si="476"/>
        <v>8629</v>
      </c>
      <c r="E3247" s="2">
        <f t="shared" si="477"/>
        <v>43800</v>
      </c>
      <c r="F3247" s="2">
        <f t="shared" si="478"/>
        <v>43921</v>
      </c>
    </row>
    <row r="3248" spans="1:6" x14ac:dyDescent="0.25">
      <c r="A3248" s="1" t="s">
        <v>2471</v>
      </c>
      <c r="B3248" s="1" t="s">
        <v>2470</v>
      </c>
      <c r="C3248" s="1" t="s">
        <v>828</v>
      </c>
      <c r="D3248" s="3">
        <f t="shared" si="476"/>
        <v>8629</v>
      </c>
      <c r="E3248" s="2">
        <f t="shared" si="477"/>
        <v>43800</v>
      </c>
      <c r="F3248" s="2">
        <f t="shared" si="478"/>
        <v>43921</v>
      </c>
    </row>
    <row r="3249" spans="1:6" x14ac:dyDescent="0.25">
      <c r="A3249" s="1" t="s">
        <v>2471</v>
      </c>
      <c r="B3249" s="1" t="s">
        <v>2470</v>
      </c>
      <c r="C3249" s="1" t="s">
        <v>830</v>
      </c>
      <c r="D3249" s="3">
        <f t="shared" si="476"/>
        <v>8629</v>
      </c>
      <c r="E3249" s="2">
        <f t="shared" si="477"/>
        <v>43800</v>
      </c>
      <c r="F3249" s="2">
        <f t="shared" si="478"/>
        <v>43921</v>
      </c>
    </row>
    <row r="3250" spans="1:6" x14ac:dyDescent="0.25">
      <c r="A3250" s="1" t="s">
        <v>1037</v>
      </c>
      <c r="B3250" s="1" t="s">
        <v>1826</v>
      </c>
      <c r="C3250" s="1" t="s">
        <v>7</v>
      </c>
      <c r="D3250" s="3">
        <f t="shared" ref="D3250:D3257" si="479">VALUE("8689")</f>
        <v>8689</v>
      </c>
      <c r="E3250" s="2">
        <f t="shared" ref="E3250:E3257" si="480">DATEVALUE("1-3-2020")</f>
        <v>43891</v>
      </c>
      <c r="F3250" s="2">
        <f t="shared" ref="F3250:F3257" si="481">DATEVALUE("30-6-2020")</f>
        <v>44012</v>
      </c>
    </row>
    <row r="3251" spans="1:6" x14ac:dyDescent="0.25">
      <c r="A3251" s="1" t="s">
        <v>1037</v>
      </c>
      <c r="B3251" s="1" t="s">
        <v>1826</v>
      </c>
      <c r="C3251" s="1" t="s">
        <v>14</v>
      </c>
      <c r="D3251" s="3">
        <f t="shared" si="479"/>
        <v>8689</v>
      </c>
      <c r="E3251" s="2">
        <f t="shared" si="480"/>
        <v>43891</v>
      </c>
      <c r="F3251" s="2">
        <f t="shared" si="481"/>
        <v>44012</v>
      </c>
    </row>
    <row r="3252" spans="1:6" x14ac:dyDescent="0.25">
      <c r="A3252" s="1" t="s">
        <v>1037</v>
      </c>
      <c r="B3252" s="1" t="s">
        <v>1826</v>
      </c>
      <c r="C3252" s="1" t="s">
        <v>88</v>
      </c>
      <c r="D3252" s="3">
        <f t="shared" si="479"/>
        <v>8689</v>
      </c>
      <c r="E3252" s="2">
        <f t="shared" si="480"/>
        <v>43891</v>
      </c>
      <c r="F3252" s="2">
        <f t="shared" si="481"/>
        <v>44012</v>
      </c>
    </row>
    <row r="3253" spans="1:6" x14ac:dyDescent="0.25">
      <c r="A3253" s="1" t="s">
        <v>1037</v>
      </c>
      <c r="B3253" s="1" t="s">
        <v>1826</v>
      </c>
      <c r="C3253" s="1" t="s">
        <v>22</v>
      </c>
      <c r="D3253" s="3">
        <f t="shared" si="479"/>
        <v>8689</v>
      </c>
      <c r="E3253" s="2">
        <f t="shared" si="480"/>
        <v>43891</v>
      </c>
      <c r="F3253" s="2">
        <f t="shared" si="481"/>
        <v>44012</v>
      </c>
    </row>
    <row r="3254" spans="1:6" x14ac:dyDescent="0.25">
      <c r="A3254" s="1" t="s">
        <v>1037</v>
      </c>
      <c r="B3254" s="1" t="s">
        <v>1826</v>
      </c>
      <c r="C3254" s="1" t="s">
        <v>212</v>
      </c>
      <c r="D3254" s="3">
        <f t="shared" si="479"/>
        <v>8689</v>
      </c>
      <c r="E3254" s="2">
        <f t="shared" si="480"/>
        <v>43891</v>
      </c>
      <c r="F3254" s="2">
        <f t="shared" si="481"/>
        <v>44012</v>
      </c>
    </row>
    <row r="3255" spans="1:6" x14ac:dyDescent="0.25">
      <c r="A3255" s="1" t="s">
        <v>1037</v>
      </c>
      <c r="B3255" s="1" t="s">
        <v>1826</v>
      </c>
      <c r="C3255" s="1" t="s">
        <v>24</v>
      </c>
      <c r="D3255" s="3">
        <f t="shared" si="479"/>
        <v>8689</v>
      </c>
      <c r="E3255" s="2">
        <f t="shared" si="480"/>
        <v>43891</v>
      </c>
      <c r="F3255" s="2">
        <f t="shared" si="481"/>
        <v>44012</v>
      </c>
    </row>
    <row r="3256" spans="1:6" x14ac:dyDescent="0.25">
      <c r="A3256" s="1" t="s">
        <v>1037</v>
      </c>
      <c r="B3256" s="1" t="s">
        <v>1826</v>
      </c>
      <c r="C3256" s="1" t="s">
        <v>52</v>
      </c>
      <c r="D3256" s="3">
        <f t="shared" si="479"/>
        <v>8689</v>
      </c>
      <c r="E3256" s="2">
        <f t="shared" si="480"/>
        <v>43891</v>
      </c>
      <c r="F3256" s="2">
        <f t="shared" si="481"/>
        <v>44012</v>
      </c>
    </row>
    <row r="3257" spans="1:6" x14ac:dyDescent="0.25">
      <c r="A3257" s="1" t="s">
        <v>1037</v>
      </c>
      <c r="B3257" s="1" t="s">
        <v>1826</v>
      </c>
      <c r="C3257" s="1" t="s">
        <v>34</v>
      </c>
      <c r="D3257" s="3">
        <f t="shared" si="479"/>
        <v>8689</v>
      </c>
      <c r="E3257" s="2">
        <f t="shared" si="480"/>
        <v>43891</v>
      </c>
      <c r="F3257" s="2">
        <f t="shared" si="481"/>
        <v>44012</v>
      </c>
    </row>
    <row r="3258" spans="1:6" x14ac:dyDescent="0.25">
      <c r="A3258" s="1" t="s">
        <v>1037</v>
      </c>
      <c r="B3258" s="1" t="s">
        <v>1036</v>
      </c>
      <c r="C3258" s="1" t="s">
        <v>1038</v>
      </c>
      <c r="D3258" s="3">
        <f t="shared" ref="D3258:D3277" si="482">VALUE("8315")</f>
        <v>8315</v>
      </c>
      <c r="E3258" s="2">
        <f t="shared" ref="E3258:E3277" si="483">DATEVALUE("1-8-2018")</f>
        <v>43313</v>
      </c>
      <c r="F3258" s="2">
        <f t="shared" ref="F3258:F3277" si="484">DATEVALUE("31-5-2021")</f>
        <v>44347</v>
      </c>
    </row>
    <row r="3259" spans="1:6" x14ac:dyDescent="0.25">
      <c r="A3259" s="1" t="s">
        <v>1037</v>
      </c>
      <c r="B3259" s="1" t="s">
        <v>1036</v>
      </c>
      <c r="C3259" s="1" t="s">
        <v>1039</v>
      </c>
      <c r="D3259" s="3">
        <f t="shared" si="482"/>
        <v>8315</v>
      </c>
      <c r="E3259" s="2">
        <f t="shared" si="483"/>
        <v>43313</v>
      </c>
      <c r="F3259" s="2">
        <f t="shared" si="484"/>
        <v>44347</v>
      </c>
    </row>
    <row r="3260" spans="1:6" x14ac:dyDescent="0.25">
      <c r="A3260" s="1" t="s">
        <v>1037</v>
      </c>
      <c r="B3260" s="1" t="s">
        <v>1036</v>
      </c>
      <c r="C3260" s="1" t="s">
        <v>61</v>
      </c>
      <c r="D3260" s="3">
        <f t="shared" si="482"/>
        <v>8315</v>
      </c>
      <c r="E3260" s="2">
        <f t="shared" si="483"/>
        <v>43313</v>
      </c>
      <c r="F3260" s="2">
        <f t="shared" si="484"/>
        <v>44347</v>
      </c>
    </row>
    <row r="3261" spans="1:6" x14ac:dyDescent="0.25">
      <c r="A3261" s="1" t="s">
        <v>1037</v>
      </c>
      <c r="B3261" s="1" t="s">
        <v>1036</v>
      </c>
      <c r="C3261" s="1" t="s">
        <v>14</v>
      </c>
      <c r="D3261" s="3">
        <f t="shared" si="482"/>
        <v>8315</v>
      </c>
      <c r="E3261" s="2">
        <f t="shared" si="483"/>
        <v>43313</v>
      </c>
      <c r="F3261" s="2">
        <f t="shared" si="484"/>
        <v>44347</v>
      </c>
    </row>
    <row r="3262" spans="1:6" x14ac:dyDescent="0.25">
      <c r="A3262" s="1" t="s">
        <v>1037</v>
      </c>
      <c r="B3262" s="1" t="s">
        <v>1036</v>
      </c>
      <c r="C3262" s="1" t="s">
        <v>15</v>
      </c>
      <c r="D3262" s="3">
        <f t="shared" si="482"/>
        <v>8315</v>
      </c>
      <c r="E3262" s="2">
        <f t="shared" si="483"/>
        <v>43313</v>
      </c>
      <c r="F3262" s="2">
        <f t="shared" si="484"/>
        <v>44347</v>
      </c>
    </row>
    <row r="3263" spans="1:6" x14ac:dyDescent="0.25">
      <c r="A3263" s="1" t="s">
        <v>1037</v>
      </c>
      <c r="B3263" s="1" t="s">
        <v>1036</v>
      </c>
      <c r="C3263" s="1" t="s">
        <v>88</v>
      </c>
      <c r="D3263" s="3">
        <f t="shared" si="482"/>
        <v>8315</v>
      </c>
      <c r="E3263" s="2">
        <f t="shared" si="483"/>
        <v>43313</v>
      </c>
      <c r="F3263" s="2">
        <f t="shared" si="484"/>
        <v>44347</v>
      </c>
    </row>
    <row r="3264" spans="1:6" x14ac:dyDescent="0.25">
      <c r="A3264" s="1" t="s">
        <v>1037</v>
      </c>
      <c r="B3264" s="1" t="s">
        <v>1036</v>
      </c>
      <c r="C3264" s="1" t="s">
        <v>17</v>
      </c>
      <c r="D3264" s="3">
        <f t="shared" si="482"/>
        <v>8315</v>
      </c>
      <c r="E3264" s="2">
        <f t="shared" si="483"/>
        <v>43313</v>
      </c>
      <c r="F3264" s="2">
        <f t="shared" si="484"/>
        <v>44347</v>
      </c>
    </row>
    <row r="3265" spans="1:6" x14ac:dyDescent="0.25">
      <c r="A3265" s="1" t="s">
        <v>1037</v>
      </c>
      <c r="B3265" s="1" t="s">
        <v>1036</v>
      </c>
      <c r="C3265" s="1" t="s">
        <v>92</v>
      </c>
      <c r="D3265" s="3">
        <f t="shared" si="482"/>
        <v>8315</v>
      </c>
      <c r="E3265" s="2">
        <f t="shared" si="483"/>
        <v>43313</v>
      </c>
      <c r="F3265" s="2">
        <f t="shared" si="484"/>
        <v>44347</v>
      </c>
    </row>
    <row r="3266" spans="1:6" x14ac:dyDescent="0.25">
      <c r="A3266" s="1" t="s">
        <v>1037</v>
      </c>
      <c r="B3266" s="1" t="s">
        <v>1036</v>
      </c>
      <c r="C3266" s="1" t="s">
        <v>155</v>
      </c>
      <c r="D3266" s="3">
        <f t="shared" si="482"/>
        <v>8315</v>
      </c>
      <c r="E3266" s="2">
        <f t="shared" si="483"/>
        <v>43313</v>
      </c>
      <c r="F3266" s="2">
        <f t="shared" si="484"/>
        <v>44347</v>
      </c>
    </row>
    <row r="3267" spans="1:6" x14ac:dyDescent="0.25">
      <c r="A3267" s="1" t="s">
        <v>1037</v>
      </c>
      <c r="B3267" s="1" t="s">
        <v>1036</v>
      </c>
      <c r="C3267" s="1" t="s">
        <v>474</v>
      </c>
      <c r="D3267" s="3">
        <f t="shared" si="482"/>
        <v>8315</v>
      </c>
      <c r="E3267" s="2">
        <f t="shared" si="483"/>
        <v>43313</v>
      </c>
      <c r="F3267" s="2">
        <f t="shared" si="484"/>
        <v>44347</v>
      </c>
    </row>
    <row r="3268" spans="1:6" x14ac:dyDescent="0.25">
      <c r="A3268" s="1" t="s">
        <v>1037</v>
      </c>
      <c r="B3268" s="1" t="s">
        <v>1036</v>
      </c>
      <c r="C3268" s="1" t="s">
        <v>475</v>
      </c>
      <c r="D3268" s="3">
        <f t="shared" si="482"/>
        <v>8315</v>
      </c>
      <c r="E3268" s="2">
        <f t="shared" si="483"/>
        <v>43313</v>
      </c>
      <c r="F3268" s="2">
        <f t="shared" si="484"/>
        <v>44347</v>
      </c>
    </row>
    <row r="3269" spans="1:6" x14ac:dyDescent="0.25">
      <c r="A3269" s="1" t="s">
        <v>1037</v>
      </c>
      <c r="B3269" s="1" t="s">
        <v>1036</v>
      </c>
      <c r="C3269" s="1" t="s">
        <v>493</v>
      </c>
      <c r="D3269" s="3">
        <f t="shared" si="482"/>
        <v>8315</v>
      </c>
      <c r="E3269" s="2">
        <f t="shared" si="483"/>
        <v>43313</v>
      </c>
      <c r="F3269" s="2">
        <f t="shared" si="484"/>
        <v>44347</v>
      </c>
    </row>
    <row r="3270" spans="1:6" x14ac:dyDescent="0.25">
      <c r="A3270" s="1" t="s">
        <v>1037</v>
      </c>
      <c r="B3270" s="1" t="s">
        <v>1036</v>
      </c>
      <c r="C3270" s="1" t="s">
        <v>24</v>
      </c>
      <c r="D3270" s="3">
        <f t="shared" si="482"/>
        <v>8315</v>
      </c>
      <c r="E3270" s="2">
        <f t="shared" si="483"/>
        <v>43313</v>
      </c>
      <c r="F3270" s="2">
        <f t="shared" si="484"/>
        <v>44347</v>
      </c>
    </row>
    <row r="3271" spans="1:6" x14ac:dyDescent="0.25">
      <c r="A3271" s="1" t="s">
        <v>1037</v>
      </c>
      <c r="B3271" s="1" t="s">
        <v>1036</v>
      </c>
      <c r="C3271" s="1" t="s">
        <v>70</v>
      </c>
      <c r="D3271" s="3">
        <f t="shared" si="482"/>
        <v>8315</v>
      </c>
      <c r="E3271" s="2">
        <f t="shared" si="483"/>
        <v>43313</v>
      </c>
      <c r="F3271" s="2">
        <f t="shared" si="484"/>
        <v>44347</v>
      </c>
    </row>
    <row r="3272" spans="1:6" x14ac:dyDescent="0.25">
      <c r="A3272" s="1" t="s">
        <v>1037</v>
      </c>
      <c r="B3272" s="1" t="s">
        <v>1036</v>
      </c>
      <c r="C3272" s="1" t="s">
        <v>52</v>
      </c>
      <c r="D3272" s="3">
        <f t="shared" si="482"/>
        <v>8315</v>
      </c>
      <c r="E3272" s="2">
        <f t="shared" si="483"/>
        <v>43313</v>
      </c>
      <c r="F3272" s="2">
        <f t="shared" si="484"/>
        <v>44347</v>
      </c>
    </row>
    <row r="3273" spans="1:6" x14ac:dyDescent="0.25">
      <c r="A3273" s="1" t="s">
        <v>1037</v>
      </c>
      <c r="B3273" s="1" t="s">
        <v>1036</v>
      </c>
      <c r="C3273" s="1" t="s">
        <v>160</v>
      </c>
      <c r="D3273" s="3">
        <f t="shared" si="482"/>
        <v>8315</v>
      </c>
      <c r="E3273" s="2">
        <f t="shared" si="483"/>
        <v>43313</v>
      </c>
      <c r="F3273" s="2">
        <f t="shared" si="484"/>
        <v>44347</v>
      </c>
    </row>
    <row r="3274" spans="1:6" x14ac:dyDescent="0.25">
      <c r="A3274" s="1" t="s">
        <v>1037</v>
      </c>
      <c r="B3274" s="1" t="s">
        <v>1036</v>
      </c>
      <c r="C3274" s="1" t="s">
        <v>983</v>
      </c>
      <c r="D3274" s="3">
        <f t="shared" si="482"/>
        <v>8315</v>
      </c>
      <c r="E3274" s="2">
        <f t="shared" si="483"/>
        <v>43313</v>
      </c>
      <c r="F3274" s="2">
        <f t="shared" si="484"/>
        <v>44347</v>
      </c>
    </row>
    <row r="3275" spans="1:6" x14ac:dyDescent="0.25">
      <c r="A3275" s="1" t="s">
        <v>1037</v>
      </c>
      <c r="B3275" s="1" t="s">
        <v>1036</v>
      </c>
      <c r="C3275" s="1" t="s">
        <v>162</v>
      </c>
      <c r="D3275" s="3">
        <f t="shared" si="482"/>
        <v>8315</v>
      </c>
      <c r="E3275" s="2">
        <f t="shared" si="483"/>
        <v>43313</v>
      </c>
      <c r="F3275" s="2">
        <f t="shared" si="484"/>
        <v>44347</v>
      </c>
    </row>
    <row r="3276" spans="1:6" x14ac:dyDescent="0.25">
      <c r="A3276" s="1" t="s">
        <v>1037</v>
      </c>
      <c r="B3276" s="1" t="s">
        <v>1036</v>
      </c>
      <c r="C3276" s="1" t="s">
        <v>34</v>
      </c>
      <c r="D3276" s="3">
        <f t="shared" si="482"/>
        <v>8315</v>
      </c>
      <c r="E3276" s="2">
        <f t="shared" si="483"/>
        <v>43313</v>
      </c>
      <c r="F3276" s="2">
        <f t="shared" si="484"/>
        <v>44347</v>
      </c>
    </row>
    <row r="3277" spans="1:6" x14ac:dyDescent="0.25">
      <c r="A3277" s="1" t="s">
        <v>1037</v>
      </c>
      <c r="B3277" s="1" t="s">
        <v>1036</v>
      </c>
      <c r="C3277" s="1" t="s">
        <v>490</v>
      </c>
      <c r="D3277" s="3">
        <f t="shared" si="482"/>
        <v>8315</v>
      </c>
      <c r="E3277" s="2">
        <f t="shared" si="483"/>
        <v>43313</v>
      </c>
      <c r="F3277" s="2">
        <f t="shared" si="484"/>
        <v>44347</v>
      </c>
    </row>
    <row r="3278" spans="1:6" x14ac:dyDescent="0.25">
      <c r="A3278" s="1" t="s">
        <v>1495</v>
      </c>
      <c r="B3278" s="1" t="s">
        <v>1494</v>
      </c>
      <c r="C3278" s="1" t="s">
        <v>15</v>
      </c>
      <c r="D3278" s="3">
        <f t="shared" ref="D3278:D3287" si="485">VALUE("8687")</f>
        <v>8687</v>
      </c>
      <c r="E3278" s="2">
        <f t="shared" ref="E3278:E3299" si="486">DATEVALUE("1-5-2020")</f>
        <v>43952</v>
      </c>
      <c r="F3278" s="2">
        <f t="shared" ref="F3278:F3296" si="487">DATEVALUE("31-12-2020")</f>
        <v>44196</v>
      </c>
    </row>
    <row r="3279" spans="1:6" x14ac:dyDescent="0.25">
      <c r="A3279" s="1" t="s">
        <v>1495</v>
      </c>
      <c r="B3279" s="1" t="s">
        <v>1494</v>
      </c>
      <c r="C3279" s="1" t="s">
        <v>17</v>
      </c>
      <c r="D3279" s="3">
        <f t="shared" si="485"/>
        <v>8687</v>
      </c>
      <c r="E3279" s="2">
        <f t="shared" si="486"/>
        <v>43952</v>
      </c>
      <c r="F3279" s="2">
        <f t="shared" si="487"/>
        <v>44196</v>
      </c>
    </row>
    <row r="3280" spans="1:6" x14ac:dyDescent="0.25">
      <c r="A3280" s="1" t="s">
        <v>1495</v>
      </c>
      <c r="B3280" s="1" t="s">
        <v>1494</v>
      </c>
      <c r="C3280" s="1" t="s">
        <v>91</v>
      </c>
      <c r="D3280" s="3">
        <f t="shared" si="485"/>
        <v>8687</v>
      </c>
      <c r="E3280" s="2">
        <f t="shared" si="486"/>
        <v>43952</v>
      </c>
      <c r="F3280" s="2">
        <f t="shared" si="487"/>
        <v>44196</v>
      </c>
    </row>
    <row r="3281" spans="1:6" x14ac:dyDescent="0.25">
      <c r="A3281" s="1" t="s">
        <v>1495</v>
      </c>
      <c r="B3281" s="1" t="s">
        <v>1494</v>
      </c>
      <c r="C3281" s="1" t="s">
        <v>197</v>
      </c>
      <c r="D3281" s="3">
        <f t="shared" si="485"/>
        <v>8687</v>
      </c>
      <c r="E3281" s="2">
        <f t="shared" si="486"/>
        <v>43952</v>
      </c>
      <c r="F3281" s="2">
        <f t="shared" si="487"/>
        <v>44196</v>
      </c>
    </row>
    <row r="3282" spans="1:6" x14ac:dyDescent="0.25">
      <c r="A3282" s="1" t="s">
        <v>1495</v>
      </c>
      <c r="B3282" s="1" t="s">
        <v>1494</v>
      </c>
      <c r="C3282" s="1" t="s">
        <v>146</v>
      </c>
      <c r="D3282" s="3">
        <f t="shared" si="485"/>
        <v>8687</v>
      </c>
      <c r="E3282" s="2">
        <f t="shared" si="486"/>
        <v>43952</v>
      </c>
      <c r="F3282" s="2">
        <f t="shared" si="487"/>
        <v>44196</v>
      </c>
    </row>
    <row r="3283" spans="1:6" x14ac:dyDescent="0.25">
      <c r="A3283" s="1" t="s">
        <v>1495</v>
      </c>
      <c r="B3283" s="1" t="s">
        <v>1494</v>
      </c>
      <c r="C3283" s="1" t="s">
        <v>67</v>
      </c>
      <c r="D3283" s="3">
        <f t="shared" si="485"/>
        <v>8687</v>
      </c>
      <c r="E3283" s="2">
        <f t="shared" si="486"/>
        <v>43952</v>
      </c>
      <c r="F3283" s="2">
        <f t="shared" si="487"/>
        <v>44196</v>
      </c>
    </row>
    <row r="3284" spans="1:6" x14ac:dyDescent="0.25">
      <c r="A3284" s="1" t="s">
        <v>1495</v>
      </c>
      <c r="B3284" s="1" t="s">
        <v>1494</v>
      </c>
      <c r="C3284" s="1" t="s">
        <v>94</v>
      </c>
      <c r="D3284" s="3">
        <f t="shared" si="485"/>
        <v>8687</v>
      </c>
      <c r="E3284" s="2">
        <f t="shared" si="486"/>
        <v>43952</v>
      </c>
      <c r="F3284" s="2">
        <f t="shared" si="487"/>
        <v>44196</v>
      </c>
    </row>
    <row r="3285" spans="1:6" x14ac:dyDescent="0.25">
      <c r="A3285" s="1" t="s">
        <v>1495</v>
      </c>
      <c r="B3285" s="1" t="s">
        <v>1494</v>
      </c>
      <c r="C3285" s="1" t="s">
        <v>571</v>
      </c>
      <c r="D3285" s="3">
        <f t="shared" si="485"/>
        <v>8687</v>
      </c>
      <c r="E3285" s="2">
        <f t="shared" si="486"/>
        <v>43952</v>
      </c>
      <c r="F3285" s="2">
        <f t="shared" si="487"/>
        <v>44196</v>
      </c>
    </row>
    <row r="3286" spans="1:6" x14ac:dyDescent="0.25">
      <c r="A3286" s="1" t="s">
        <v>1495</v>
      </c>
      <c r="B3286" s="1" t="s">
        <v>1494</v>
      </c>
      <c r="C3286" s="1" t="s">
        <v>573</v>
      </c>
      <c r="D3286" s="3">
        <f t="shared" si="485"/>
        <v>8687</v>
      </c>
      <c r="E3286" s="2">
        <f t="shared" si="486"/>
        <v>43952</v>
      </c>
      <c r="F3286" s="2">
        <f t="shared" si="487"/>
        <v>44196</v>
      </c>
    </row>
    <row r="3287" spans="1:6" x14ac:dyDescent="0.25">
      <c r="A3287" s="1" t="s">
        <v>1495</v>
      </c>
      <c r="B3287" s="1" t="s">
        <v>1494</v>
      </c>
      <c r="C3287" s="1" t="s">
        <v>160</v>
      </c>
      <c r="D3287" s="3">
        <f t="shared" si="485"/>
        <v>8687</v>
      </c>
      <c r="E3287" s="2">
        <f t="shared" si="486"/>
        <v>43952</v>
      </c>
      <c r="F3287" s="2">
        <f t="shared" si="487"/>
        <v>44196</v>
      </c>
    </row>
    <row r="3288" spans="1:6" x14ac:dyDescent="0.25">
      <c r="A3288" s="1" t="s">
        <v>1495</v>
      </c>
      <c r="B3288" s="1" t="s">
        <v>1498</v>
      </c>
      <c r="C3288" s="1" t="s">
        <v>45</v>
      </c>
      <c r="D3288" s="3">
        <f t="shared" ref="D3288:D3296" si="488">VALUE("8694")</f>
        <v>8694</v>
      </c>
      <c r="E3288" s="2">
        <f t="shared" si="486"/>
        <v>43952</v>
      </c>
      <c r="F3288" s="2">
        <f t="shared" si="487"/>
        <v>44196</v>
      </c>
    </row>
    <row r="3289" spans="1:6" x14ac:dyDescent="0.25">
      <c r="A3289" s="1" t="s">
        <v>1495</v>
      </c>
      <c r="B3289" s="1" t="s">
        <v>1498</v>
      </c>
      <c r="C3289" s="1" t="s">
        <v>44</v>
      </c>
      <c r="D3289" s="3">
        <f t="shared" si="488"/>
        <v>8694</v>
      </c>
      <c r="E3289" s="2">
        <f t="shared" si="486"/>
        <v>43952</v>
      </c>
      <c r="F3289" s="2">
        <f t="shared" si="487"/>
        <v>44196</v>
      </c>
    </row>
    <row r="3290" spans="1:6" x14ac:dyDescent="0.25">
      <c r="A3290" s="1" t="s">
        <v>1495</v>
      </c>
      <c r="B3290" s="1" t="s">
        <v>1498</v>
      </c>
      <c r="C3290" s="1" t="s">
        <v>15</v>
      </c>
      <c r="D3290" s="3">
        <f t="shared" si="488"/>
        <v>8694</v>
      </c>
      <c r="E3290" s="2">
        <f t="shared" si="486"/>
        <v>43952</v>
      </c>
      <c r="F3290" s="2">
        <f t="shared" si="487"/>
        <v>44196</v>
      </c>
    </row>
    <row r="3291" spans="1:6" x14ac:dyDescent="0.25">
      <c r="A3291" s="1" t="s">
        <v>1495</v>
      </c>
      <c r="B3291" s="1" t="s">
        <v>1498</v>
      </c>
      <c r="C3291" s="1" t="s">
        <v>17</v>
      </c>
      <c r="D3291" s="3">
        <f t="shared" si="488"/>
        <v>8694</v>
      </c>
      <c r="E3291" s="2">
        <f t="shared" si="486"/>
        <v>43952</v>
      </c>
      <c r="F3291" s="2">
        <f t="shared" si="487"/>
        <v>44196</v>
      </c>
    </row>
    <row r="3292" spans="1:6" x14ac:dyDescent="0.25">
      <c r="A3292" s="1" t="s">
        <v>1495</v>
      </c>
      <c r="B3292" s="1" t="s">
        <v>1498</v>
      </c>
      <c r="C3292" s="1" t="s">
        <v>67</v>
      </c>
      <c r="D3292" s="3">
        <f t="shared" si="488"/>
        <v>8694</v>
      </c>
      <c r="E3292" s="2">
        <f t="shared" si="486"/>
        <v>43952</v>
      </c>
      <c r="F3292" s="2">
        <f t="shared" si="487"/>
        <v>44196</v>
      </c>
    </row>
    <row r="3293" spans="1:6" x14ac:dyDescent="0.25">
      <c r="A3293" s="1" t="s">
        <v>1495</v>
      </c>
      <c r="B3293" s="1" t="s">
        <v>1498</v>
      </c>
      <c r="C3293" s="1" t="s">
        <v>206</v>
      </c>
      <c r="D3293" s="3">
        <f t="shared" si="488"/>
        <v>8694</v>
      </c>
      <c r="E3293" s="2">
        <f t="shared" si="486"/>
        <v>43952</v>
      </c>
      <c r="F3293" s="2">
        <f t="shared" si="487"/>
        <v>44196</v>
      </c>
    </row>
    <row r="3294" spans="1:6" x14ac:dyDescent="0.25">
      <c r="A3294" s="1" t="s">
        <v>1495</v>
      </c>
      <c r="B3294" s="1" t="s">
        <v>1498</v>
      </c>
      <c r="C3294" s="1" t="s">
        <v>52</v>
      </c>
      <c r="D3294" s="3">
        <f t="shared" si="488"/>
        <v>8694</v>
      </c>
      <c r="E3294" s="2">
        <f t="shared" si="486"/>
        <v>43952</v>
      </c>
      <c r="F3294" s="2">
        <f t="shared" si="487"/>
        <v>44196</v>
      </c>
    </row>
    <row r="3295" spans="1:6" x14ac:dyDescent="0.25">
      <c r="A3295" s="1" t="s">
        <v>1495</v>
      </c>
      <c r="B3295" s="1" t="s">
        <v>1498</v>
      </c>
      <c r="C3295" s="1" t="s">
        <v>160</v>
      </c>
      <c r="D3295" s="3">
        <f t="shared" si="488"/>
        <v>8694</v>
      </c>
      <c r="E3295" s="2">
        <f t="shared" si="486"/>
        <v>43952</v>
      </c>
      <c r="F3295" s="2">
        <f t="shared" si="487"/>
        <v>44196</v>
      </c>
    </row>
    <row r="3296" spans="1:6" x14ac:dyDescent="0.25">
      <c r="A3296" s="1" t="s">
        <v>1495</v>
      </c>
      <c r="B3296" s="1" t="s">
        <v>1498</v>
      </c>
      <c r="C3296" s="1" t="s">
        <v>1245</v>
      </c>
      <c r="D3296" s="3">
        <f t="shared" si="488"/>
        <v>8694</v>
      </c>
      <c r="E3296" s="2">
        <f t="shared" si="486"/>
        <v>43952</v>
      </c>
      <c r="F3296" s="2">
        <f t="shared" si="487"/>
        <v>44196</v>
      </c>
    </row>
    <row r="3297" spans="1:6" x14ac:dyDescent="0.25">
      <c r="A3297" s="1" t="s">
        <v>1495</v>
      </c>
      <c r="B3297" s="1" t="s">
        <v>1503</v>
      </c>
      <c r="C3297" s="1" t="s">
        <v>17</v>
      </c>
      <c r="D3297" s="3">
        <f>VALUE("8698")</f>
        <v>8698</v>
      </c>
      <c r="E3297" s="2">
        <f t="shared" si="486"/>
        <v>43952</v>
      </c>
      <c r="F3297" s="2">
        <f>DATEVALUE("31-1-2021")</f>
        <v>44227</v>
      </c>
    </row>
    <row r="3298" spans="1:6" x14ac:dyDescent="0.25">
      <c r="A3298" s="1" t="s">
        <v>1495</v>
      </c>
      <c r="B3298" s="1" t="s">
        <v>1503</v>
      </c>
      <c r="C3298" s="1" t="s">
        <v>146</v>
      </c>
      <c r="D3298" s="3">
        <f>VALUE("8698")</f>
        <v>8698</v>
      </c>
      <c r="E3298" s="2">
        <f t="shared" si="486"/>
        <v>43952</v>
      </c>
      <c r="F3298" s="2">
        <f>DATEVALUE("31-1-2021")</f>
        <v>44227</v>
      </c>
    </row>
    <row r="3299" spans="1:6" x14ac:dyDescent="0.25">
      <c r="A3299" s="1" t="s">
        <v>1495</v>
      </c>
      <c r="B3299" s="1" t="s">
        <v>1503</v>
      </c>
      <c r="C3299" s="1" t="s">
        <v>160</v>
      </c>
      <c r="D3299" s="3">
        <f>VALUE("8698")</f>
        <v>8698</v>
      </c>
      <c r="E3299" s="2">
        <f t="shared" si="486"/>
        <v>43952</v>
      </c>
      <c r="F3299" s="2">
        <f>DATEVALUE("31-1-2021")</f>
        <v>44227</v>
      </c>
    </row>
    <row r="3300" spans="1:6" x14ac:dyDescent="0.25">
      <c r="A3300" s="1" t="s">
        <v>1032</v>
      </c>
      <c r="B3300" s="1" t="s">
        <v>1850</v>
      </c>
      <c r="C3300" s="1" t="s">
        <v>7</v>
      </c>
      <c r="D3300" s="3">
        <f t="shared" ref="D3300:D3314" si="489">VALUE("8827")</f>
        <v>8827</v>
      </c>
      <c r="E3300" s="2">
        <f t="shared" ref="E3300:E3314" si="490">DATEVALUE("1-7-2020")</f>
        <v>44013</v>
      </c>
      <c r="F3300" s="2">
        <f t="shared" ref="F3300:F3321" si="491">DATEVALUE("31-8-2020")</f>
        <v>44074</v>
      </c>
    </row>
    <row r="3301" spans="1:6" x14ac:dyDescent="0.25">
      <c r="A3301" s="1" t="s">
        <v>1032</v>
      </c>
      <c r="B3301" s="1" t="s">
        <v>1850</v>
      </c>
      <c r="C3301" s="1" t="s">
        <v>599</v>
      </c>
      <c r="D3301" s="3">
        <f t="shared" si="489"/>
        <v>8827</v>
      </c>
      <c r="E3301" s="2">
        <f t="shared" si="490"/>
        <v>44013</v>
      </c>
      <c r="F3301" s="2">
        <f t="shared" si="491"/>
        <v>44074</v>
      </c>
    </row>
    <row r="3302" spans="1:6" x14ac:dyDescent="0.25">
      <c r="A3302" s="1" t="s">
        <v>1032</v>
      </c>
      <c r="B3302" s="1" t="s">
        <v>1850</v>
      </c>
      <c r="C3302" s="1" t="s">
        <v>13</v>
      </c>
      <c r="D3302" s="3">
        <f t="shared" si="489"/>
        <v>8827</v>
      </c>
      <c r="E3302" s="2">
        <f t="shared" si="490"/>
        <v>44013</v>
      </c>
      <c r="F3302" s="2">
        <f t="shared" si="491"/>
        <v>44074</v>
      </c>
    </row>
    <row r="3303" spans="1:6" x14ac:dyDescent="0.25">
      <c r="A3303" s="1" t="s">
        <v>1032</v>
      </c>
      <c r="B3303" s="1" t="s">
        <v>1850</v>
      </c>
      <c r="C3303" s="1" t="s">
        <v>222</v>
      </c>
      <c r="D3303" s="3">
        <f t="shared" si="489"/>
        <v>8827</v>
      </c>
      <c r="E3303" s="2">
        <f t="shared" si="490"/>
        <v>44013</v>
      </c>
      <c r="F3303" s="2">
        <f t="shared" si="491"/>
        <v>44074</v>
      </c>
    </row>
    <row r="3304" spans="1:6" x14ac:dyDescent="0.25">
      <c r="A3304" s="1" t="s">
        <v>1032</v>
      </c>
      <c r="B3304" s="1" t="s">
        <v>1850</v>
      </c>
      <c r="C3304" s="1" t="s">
        <v>28</v>
      </c>
      <c r="D3304" s="3">
        <f t="shared" si="489"/>
        <v>8827</v>
      </c>
      <c r="E3304" s="2">
        <f t="shared" si="490"/>
        <v>44013</v>
      </c>
      <c r="F3304" s="2">
        <f t="shared" si="491"/>
        <v>44074</v>
      </c>
    </row>
    <row r="3305" spans="1:6" x14ac:dyDescent="0.25">
      <c r="A3305" s="1" t="s">
        <v>1032</v>
      </c>
      <c r="B3305" s="1" t="s">
        <v>1850</v>
      </c>
      <c r="C3305" s="1" t="s">
        <v>29</v>
      </c>
      <c r="D3305" s="3">
        <f t="shared" si="489"/>
        <v>8827</v>
      </c>
      <c r="E3305" s="2">
        <f t="shared" si="490"/>
        <v>44013</v>
      </c>
      <c r="F3305" s="2">
        <f t="shared" si="491"/>
        <v>44074</v>
      </c>
    </row>
    <row r="3306" spans="1:6" x14ac:dyDescent="0.25">
      <c r="A3306" s="1" t="s">
        <v>1032</v>
      </c>
      <c r="B3306" s="1" t="s">
        <v>1850</v>
      </c>
      <c r="C3306" s="1" t="s">
        <v>230</v>
      </c>
      <c r="D3306" s="3">
        <f t="shared" si="489"/>
        <v>8827</v>
      </c>
      <c r="E3306" s="2">
        <f t="shared" si="490"/>
        <v>44013</v>
      </c>
      <c r="F3306" s="2">
        <f t="shared" si="491"/>
        <v>44074</v>
      </c>
    </row>
    <row r="3307" spans="1:6" x14ac:dyDescent="0.25">
      <c r="A3307" s="1" t="s">
        <v>1032</v>
      </c>
      <c r="B3307" s="1" t="s">
        <v>1850</v>
      </c>
      <c r="C3307" s="1" t="s">
        <v>231</v>
      </c>
      <c r="D3307" s="3">
        <f t="shared" si="489"/>
        <v>8827</v>
      </c>
      <c r="E3307" s="2">
        <f t="shared" si="490"/>
        <v>44013</v>
      </c>
      <c r="F3307" s="2">
        <f t="shared" si="491"/>
        <v>44074</v>
      </c>
    </row>
    <row r="3308" spans="1:6" x14ac:dyDescent="0.25">
      <c r="A3308" s="1" t="s">
        <v>1032</v>
      </c>
      <c r="B3308" s="1" t="s">
        <v>1850</v>
      </c>
      <c r="C3308" s="1" t="s">
        <v>232</v>
      </c>
      <c r="D3308" s="3">
        <f t="shared" si="489"/>
        <v>8827</v>
      </c>
      <c r="E3308" s="2">
        <f t="shared" si="490"/>
        <v>44013</v>
      </c>
      <c r="F3308" s="2">
        <f t="shared" si="491"/>
        <v>44074</v>
      </c>
    </row>
    <row r="3309" spans="1:6" x14ac:dyDescent="0.25">
      <c r="A3309" s="1" t="s">
        <v>1032</v>
      </c>
      <c r="B3309" s="1" t="s">
        <v>1850</v>
      </c>
      <c r="C3309" s="1" t="s">
        <v>234</v>
      </c>
      <c r="D3309" s="3">
        <f t="shared" si="489"/>
        <v>8827</v>
      </c>
      <c r="E3309" s="2">
        <f t="shared" si="490"/>
        <v>44013</v>
      </c>
      <c r="F3309" s="2">
        <f t="shared" si="491"/>
        <v>44074</v>
      </c>
    </row>
    <row r="3310" spans="1:6" x14ac:dyDescent="0.25">
      <c r="A3310" s="1" t="s">
        <v>1032</v>
      </c>
      <c r="B3310" s="1" t="s">
        <v>1850</v>
      </c>
      <c r="C3310" s="1" t="s">
        <v>30</v>
      </c>
      <c r="D3310" s="3">
        <f t="shared" si="489"/>
        <v>8827</v>
      </c>
      <c r="E3310" s="2">
        <f t="shared" si="490"/>
        <v>44013</v>
      </c>
      <c r="F3310" s="2">
        <f t="shared" si="491"/>
        <v>44074</v>
      </c>
    </row>
    <row r="3311" spans="1:6" x14ac:dyDescent="0.25">
      <c r="A3311" s="1" t="s">
        <v>1032</v>
      </c>
      <c r="B3311" s="1" t="s">
        <v>1850</v>
      </c>
      <c r="C3311" s="1" t="s">
        <v>235</v>
      </c>
      <c r="D3311" s="3">
        <f t="shared" si="489"/>
        <v>8827</v>
      </c>
      <c r="E3311" s="2">
        <f t="shared" si="490"/>
        <v>44013</v>
      </c>
      <c r="F3311" s="2">
        <f t="shared" si="491"/>
        <v>44074</v>
      </c>
    </row>
    <row r="3312" spans="1:6" x14ac:dyDescent="0.25">
      <c r="A3312" s="1" t="s">
        <v>1032</v>
      </c>
      <c r="B3312" s="1" t="s">
        <v>1850</v>
      </c>
      <c r="C3312" s="1" t="s">
        <v>237</v>
      </c>
      <c r="D3312" s="3">
        <f t="shared" si="489"/>
        <v>8827</v>
      </c>
      <c r="E3312" s="2">
        <f t="shared" si="490"/>
        <v>44013</v>
      </c>
      <c r="F3312" s="2">
        <f t="shared" si="491"/>
        <v>44074</v>
      </c>
    </row>
    <row r="3313" spans="1:6" x14ac:dyDescent="0.25">
      <c r="A3313" s="1" t="s">
        <v>1032</v>
      </c>
      <c r="B3313" s="1" t="s">
        <v>1850</v>
      </c>
      <c r="C3313" s="1" t="s">
        <v>238</v>
      </c>
      <c r="D3313" s="3">
        <f t="shared" si="489"/>
        <v>8827</v>
      </c>
      <c r="E3313" s="2">
        <f t="shared" si="490"/>
        <v>44013</v>
      </c>
      <c r="F3313" s="2">
        <f t="shared" si="491"/>
        <v>44074</v>
      </c>
    </row>
    <row r="3314" spans="1:6" x14ac:dyDescent="0.25">
      <c r="A3314" s="1" t="s">
        <v>1032</v>
      </c>
      <c r="B3314" s="1" t="s">
        <v>1850</v>
      </c>
      <c r="C3314" s="1" t="s">
        <v>239</v>
      </c>
      <c r="D3314" s="3">
        <f t="shared" si="489"/>
        <v>8827</v>
      </c>
      <c r="E3314" s="2">
        <f t="shared" si="490"/>
        <v>44013</v>
      </c>
      <c r="F3314" s="2">
        <f t="shared" si="491"/>
        <v>44074</v>
      </c>
    </row>
    <row r="3315" spans="1:6" x14ac:dyDescent="0.25">
      <c r="A3315" s="1" t="s">
        <v>1032</v>
      </c>
      <c r="B3315" s="1" t="s">
        <v>1847</v>
      </c>
      <c r="C3315" s="1" t="s">
        <v>7</v>
      </c>
      <c r="D3315" s="3">
        <f t="shared" ref="D3315:D3321" si="492">VALUE("8783")</f>
        <v>8783</v>
      </c>
      <c r="E3315" s="2">
        <f t="shared" ref="E3315:E3321" si="493">DATEVALUE("1-6-2020")</f>
        <v>43983</v>
      </c>
      <c r="F3315" s="2">
        <f t="shared" si="491"/>
        <v>44074</v>
      </c>
    </row>
    <row r="3316" spans="1:6" x14ac:dyDescent="0.25">
      <c r="A3316" s="1" t="s">
        <v>1032</v>
      </c>
      <c r="B3316" s="1" t="s">
        <v>1847</v>
      </c>
      <c r="C3316" s="1" t="s">
        <v>599</v>
      </c>
      <c r="D3316" s="3">
        <f t="shared" si="492"/>
        <v>8783</v>
      </c>
      <c r="E3316" s="2">
        <f t="shared" si="493"/>
        <v>43983</v>
      </c>
      <c r="F3316" s="2">
        <f t="shared" si="491"/>
        <v>44074</v>
      </c>
    </row>
    <row r="3317" spans="1:6" x14ac:dyDescent="0.25">
      <c r="A3317" s="1" t="s">
        <v>1032</v>
      </c>
      <c r="B3317" s="1" t="s">
        <v>1847</v>
      </c>
      <c r="C3317" s="1" t="s">
        <v>23</v>
      </c>
      <c r="D3317" s="3">
        <f t="shared" si="492"/>
        <v>8783</v>
      </c>
      <c r="E3317" s="2">
        <f t="shared" si="493"/>
        <v>43983</v>
      </c>
      <c r="F3317" s="2">
        <f t="shared" si="491"/>
        <v>44074</v>
      </c>
    </row>
    <row r="3318" spans="1:6" x14ac:dyDescent="0.25">
      <c r="A3318" s="1" t="s">
        <v>1032</v>
      </c>
      <c r="B3318" s="1" t="s">
        <v>1847</v>
      </c>
      <c r="C3318" s="1" t="s">
        <v>28</v>
      </c>
      <c r="D3318" s="3">
        <f t="shared" si="492"/>
        <v>8783</v>
      </c>
      <c r="E3318" s="2">
        <f t="shared" si="493"/>
        <v>43983</v>
      </c>
      <c r="F3318" s="2">
        <f t="shared" si="491"/>
        <v>44074</v>
      </c>
    </row>
    <row r="3319" spans="1:6" x14ac:dyDescent="0.25">
      <c r="A3319" s="1" t="s">
        <v>1032</v>
      </c>
      <c r="B3319" s="1" t="s">
        <v>1847</v>
      </c>
      <c r="C3319" s="1" t="s">
        <v>230</v>
      </c>
      <c r="D3319" s="3">
        <f t="shared" si="492"/>
        <v>8783</v>
      </c>
      <c r="E3319" s="2">
        <f t="shared" si="493"/>
        <v>43983</v>
      </c>
      <c r="F3319" s="2">
        <f t="shared" si="491"/>
        <v>44074</v>
      </c>
    </row>
    <row r="3320" spans="1:6" x14ac:dyDescent="0.25">
      <c r="A3320" s="1" t="s">
        <v>1032</v>
      </c>
      <c r="B3320" s="1" t="s">
        <v>1847</v>
      </c>
      <c r="C3320" s="1" t="s">
        <v>30</v>
      </c>
      <c r="D3320" s="3">
        <f t="shared" si="492"/>
        <v>8783</v>
      </c>
      <c r="E3320" s="2">
        <f t="shared" si="493"/>
        <v>43983</v>
      </c>
      <c r="F3320" s="2">
        <f t="shared" si="491"/>
        <v>44074</v>
      </c>
    </row>
    <row r="3321" spans="1:6" x14ac:dyDescent="0.25">
      <c r="A3321" s="1" t="s">
        <v>1032</v>
      </c>
      <c r="B3321" s="1" t="s">
        <v>1847</v>
      </c>
      <c r="C3321" s="1" t="s">
        <v>238</v>
      </c>
      <c r="D3321" s="3">
        <f t="shared" si="492"/>
        <v>8783</v>
      </c>
      <c r="E3321" s="2">
        <f t="shared" si="493"/>
        <v>43983</v>
      </c>
      <c r="F3321" s="2">
        <f t="shared" si="491"/>
        <v>44074</v>
      </c>
    </row>
    <row r="3322" spans="1:6" x14ac:dyDescent="0.25">
      <c r="A3322" s="1" t="s">
        <v>1032</v>
      </c>
      <c r="B3322" s="1" t="s">
        <v>1836</v>
      </c>
      <c r="C3322" s="1" t="s">
        <v>7</v>
      </c>
      <c r="D3322" s="3">
        <f t="shared" ref="D3322:D3329" si="494">VALUE("8745")</f>
        <v>8745</v>
      </c>
      <c r="E3322" s="2">
        <f t="shared" ref="E3322:E3345" si="495">DATEVALUE("1-4-2020")</f>
        <v>43922</v>
      </c>
      <c r="F3322" s="2">
        <f t="shared" ref="F3322:F3329" si="496">DATEVALUE("30-9-2020")</f>
        <v>44104</v>
      </c>
    </row>
    <row r="3323" spans="1:6" x14ac:dyDescent="0.25">
      <c r="A3323" s="1" t="s">
        <v>1032</v>
      </c>
      <c r="B3323" s="1" t="s">
        <v>1836</v>
      </c>
      <c r="C3323" s="1" t="s">
        <v>62</v>
      </c>
      <c r="D3323" s="3">
        <f t="shared" si="494"/>
        <v>8745</v>
      </c>
      <c r="E3323" s="2">
        <f t="shared" si="495"/>
        <v>43922</v>
      </c>
      <c r="F3323" s="2">
        <f t="shared" si="496"/>
        <v>44104</v>
      </c>
    </row>
    <row r="3324" spans="1:6" x14ac:dyDescent="0.25">
      <c r="A3324" s="1" t="s">
        <v>1032</v>
      </c>
      <c r="B3324" s="1" t="s">
        <v>1836</v>
      </c>
      <c r="C3324" s="1" t="s">
        <v>14</v>
      </c>
      <c r="D3324" s="3">
        <f t="shared" si="494"/>
        <v>8745</v>
      </c>
      <c r="E3324" s="2">
        <f t="shared" si="495"/>
        <v>43922</v>
      </c>
      <c r="F3324" s="2">
        <f t="shared" si="496"/>
        <v>44104</v>
      </c>
    </row>
    <row r="3325" spans="1:6" x14ac:dyDescent="0.25">
      <c r="A3325" s="1" t="s">
        <v>1032</v>
      </c>
      <c r="B3325" s="1" t="s">
        <v>1836</v>
      </c>
      <c r="C3325" s="1" t="s">
        <v>17</v>
      </c>
      <c r="D3325" s="3">
        <f t="shared" si="494"/>
        <v>8745</v>
      </c>
      <c r="E3325" s="2">
        <f t="shared" si="495"/>
        <v>43922</v>
      </c>
      <c r="F3325" s="2">
        <f t="shared" si="496"/>
        <v>44104</v>
      </c>
    </row>
    <row r="3326" spans="1:6" x14ac:dyDescent="0.25">
      <c r="A3326" s="1" t="s">
        <v>1032</v>
      </c>
      <c r="B3326" s="1" t="s">
        <v>1836</v>
      </c>
      <c r="C3326" s="1" t="s">
        <v>328</v>
      </c>
      <c r="D3326" s="3">
        <f t="shared" si="494"/>
        <v>8745</v>
      </c>
      <c r="E3326" s="2">
        <f t="shared" si="495"/>
        <v>43922</v>
      </c>
      <c r="F3326" s="2">
        <f t="shared" si="496"/>
        <v>44104</v>
      </c>
    </row>
    <row r="3327" spans="1:6" x14ac:dyDescent="0.25">
      <c r="A3327" s="1" t="s">
        <v>1032</v>
      </c>
      <c r="B3327" s="1" t="s">
        <v>1836</v>
      </c>
      <c r="C3327" s="1" t="s">
        <v>67</v>
      </c>
      <c r="D3327" s="3">
        <f t="shared" si="494"/>
        <v>8745</v>
      </c>
      <c r="E3327" s="2">
        <f t="shared" si="495"/>
        <v>43922</v>
      </c>
      <c r="F3327" s="2">
        <f t="shared" si="496"/>
        <v>44104</v>
      </c>
    </row>
    <row r="3328" spans="1:6" x14ac:dyDescent="0.25">
      <c r="A3328" s="1" t="s">
        <v>1032</v>
      </c>
      <c r="B3328" s="1" t="s">
        <v>1836</v>
      </c>
      <c r="C3328" s="1" t="s">
        <v>52</v>
      </c>
      <c r="D3328" s="3">
        <f t="shared" si="494"/>
        <v>8745</v>
      </c>
      <c r="E3328" s="2">
        <f t="shared" si="495"/>
        <v>43922</v>
      </c>
      <c r="F3328" s="2">
        <f t="shared" si="496"/>
        <v>44104</v>
      </c>
    </row>
    <row r="3329" spans="1:6" x14ac:dyDescent="0.25">
      <c r="A3329" s="1" t="s">
        <v>1032</v>
      </c>
      <c r="B3329" s="1" t="s">
        <v>1836</v>
      </c>
      <c r="C3329" s="1" t="s">
        <v>55</v>
      </c>
      <c r="D3329" s="3">
        <f t="shared" si="494"/>
        <v>8745</v>
      </c>
      <c r="E3329" s="2">
        <f t="shared" si="495"/>
        <v>43922</v>
      </c>
      <c r="F3329" s="2">
        <f t="shared" si="496"/>
        <v>44104</v>
      </c>
    </row>
    <row r="3330" spans="1:6" x14ac:dyDescent="0.25">
      <c r="A3330" s="1" t="s">
        <v>1032</v>
      </c>
      <c r="B3330" s="1" t="s">
        <v>1838</v>
      </c>
      <c r="C3330" s="1" t="s">
        <v>7</v>
      </c>
      <c r="D3330" s="3">
        <f t="shared" ref="D3330:D3345" si="497">VALUE("8753")</f>
        <v>8753</v>
      </c>
      <c r="E3330" s="2">
        <f t="shared" si="495"/>
        <v>43922</v>
      </c>
      <c r="F3330" s="2">
        <f t="shared" ref="F3330:F3351" si="498">DATEVALUE("30-6-2020")</f>
        <v>44012</v>
      </c>
    </row>
    <row r="3331" spans="1:6" x14ac:dyDescent="0.25">
      <c r="A3331" s="1" t="s">
        <v>1032</v>
      </c>
      <c r="B3331" s="1" t="s">
        <v>1838</v>
      </c>
      <c r="C3331" s="1" t="s">
        <v>62</v>
      </c>
      <c r="D3331" s="3">
        <f t="shared" si="497"/>
        <v>8753</v>
      </c>
      <c r="E3331" s="2">
        <f t="shared" si="495"/>
        <v>43922</v>
      </c>
      <c r="F3331" s="2">
        <f t="shared" si="498"/>
        <v>44012</v>
      </c>
    </row>
    <row r="3332" spans="1:6" x14ac:dyDescent="0.25">
      <c r="A3332" s="1" t="s">
        <v>1032</v>
      </c>
      <c r="B3332" s="1" t="s">
        <v>1838</v>
      </c>
      <c r="C3332" s="1" t="s">
        <v>63</v>
      </c>
      <c r="D3332" s="3">
        <f t="shared" si="497"/>
        <v>8753</v>
      </c>
      <c r="E3332" s="2">
        <f t="shared" si="495"/>
        <v>43922</v>
      </c>
      <c r="F3332" s="2">
        <f t="shared" si="498"/>
        <v>44012</v>
      </c>
    </row>
    <row r="3333" spans="1:6" x14ac:dyDescent="0.25">
      <c r="A3333" s="1" t="s">
        <v>1032</v>
      </c>
      <c r="B3333" s="1" t="s">
        <v>1838</v>
      </c>
      <c r="C3333" s="1" t="s">
        <v>222</v>
      </c>
      <c r="D3333" s="3">
        <f t="shared" si="497"/>
        <v>8753</v>
      </c>
      <c r="E3333" s="2">
        <f t="shared" si="495"/>
        <v>43922</v>
      </c>
      <c r="F3333" s="2">
        <f t="shared" si="498"/>
        <v>44012</v>
      </c>
    </row>
    <row r="3334" spans="1:6" x14ac:dyDescent="0.25">
      <c r="A3334" s="1" t="s">
        <v>1032</v>
      </c>
      <c r="B3334" s="1" t="s">
        <v>1838</v>
      </c>
      <c r="C3334" s="1" t="s">
        <v>227</v>
      </c>
      <c r="D3334" s="3">
        <f t="shared" si="497"/>
        <v>8753</v>
      </c>
      <c r="E3334" s="2">
        <f t="shared" si="495"/>
        <v>43922</v>
      </c>
      <c r="F3334" s="2">
        <f t="shared" si="498"/>
        <v>44012</v>
      </c>
    </row>
    <row r="3335" spans="1:6" x14ac:dyDescent="0.25">
      <c r="A3335" s="1" t="s">
        <v>1032</v>
      </c>
      <c r="B3335" s="1" t="s">
        <v>1838</v>
      </c>
      <c r="C3335" s="1" t="s">
        <v>228</v>
      </c>
      <c r="D3335" s="3">
        <f t="shared" si="497"/>
        <v>8753</v>
      </c>
      <c r="E3335" s="2">
        <f t="shared" si="495"/>
        <v>43922</v>
      </c>
      <c r="F3335" s="2">
        <f t="shared" si="498"/>
        <v>44012</v>
      </c>
    </row>
    <row r="3336" spans="1:6" x14ac:dyDescent="0.25">
      <c r="A3336" s="1" t="s">
        <v>1032</v>
      </c>
      <c r="B3336" s="1" t="s">
        <v>1838</v>
      </c>
      <c r="C3336" s="1" t="s">
        <v>28</v>
      </c>
      <c r="D3336" s="3">
        <f t="shared" si="497"/>
        <v>8753</v>
      </c>
      <c r="E3336" s="2">
        <f t="shared" si="495"/>
        <v>43922</v>
      </c>
      <c r="F3336" s="2">
        <f t="shared" si="498"/>
        <v>44012</v>
      </c>
    </row>
    <row r="3337" spans="1:6" x14ac:dyDescent="0.25">
      <c r="A3337" s="1" t="s">
        <v>1032</v>
      </c>
      <c r="B3337" s="1" t="s">
        <v>1838</v>
      </c>
      <c r="C3337" s="1" t="s">
        <v>29</v>
      </c>
      <c r="D3337" s="3">
        <f t="shared" si="497"/>
        <v>8753</v>
      </c>
      <c r="E3337" s="2">
        <f t="shared" si="495"/>
        <v>43922</v>
      </c>
      <c r="F3337" s="2">
        <f t="shared" si="498"/>
        <v>44012</v>
      </c>
    </row>
    <row r="3338" spans="1:6" x14ac:dyDescent="0.25">
      <c r="A3338" s="1" t="s">
        <v>1032</v>
      </c>
      <c r="B3338" s="1" t="s">
        <v>1838</v>
      </c>
      <c r="C3338" s="1" t="s">
        <v>230</v>
      </c>
      <c r="D3338" s="3">
        <f t="shared" si="497"/>
        <v>8753</v>
      </c>
      <c r="E3338" s="2">
        <f t="shared" si="495"/>
        <v>43922</v>
      </c>
      <c r="F3338" s="2">
        <f t="shared" si="498"/>
        <v>44012</v>
      </c>
    </row>
    <row r="3339" spans="1:6" x14ac:dyDescent="0.25">
      <c r="A3339" s="1" t="s">
        <v>1032</v>
      </c>
      <c r="B3339" s="1" t="s">
        <v>1838</v>
      </c>
      <c r="C3339" s="1" t="s">
        <v>232</v>
      </c>
      <c r="D3339" s="3">
        <f t="shared" si="497"/>
        <v>8753</v>
      </c>
      <c r="E3339" s="2">
        <f t="shared" si="495"/>
        <v>43922</v>
      </c>
      <c r="F3339" s="2">
        <f t="shared" si="498"/>
        <v>44012</v>
      </c>
    </row>
    <row r="3340" spans="1:6" x14ac:dyDescent="0.25">
      <c r="A3340" s="1" t="s">
        <v>1032</v>
      </c>
      <c r="B3340" s="1" t="s">
        <v>1838</v>
      </c>
      <c r="C3340" s="1" t="s">
        <v>234</v>
      </c>
      <c r="D3340" s="3">
        <f t="shared" si="497"/>
        <v>8753</v>
      </c>
      <c r="E3340" s="2">
        <f t="shared" si="495"/>
        <v>43922</v>
      </c>
      <c r="F3340" s="2">
        <f t="shared" si="498"/>
        <v>44012</v>
      </c>
    </row>
    <row r="3341" spans="1:6" x14ac:dyDescent="0.25">
      <c r="A3341" s="1" t="s">
        <v>1032</v>
      </c>
      <c r="B3341" s="1" t="s">
        <v>1838</v>
      </c>
      <c r="C3341" s="1" t="s">
        <v>30</v>
      </c>
      <c r="D3341" s="3">
        <f t="shared" si="497"/>
        <v>8753</v>
      </c>
      <c r="E3341" s="2">
        <f t="shared" si="495"/>
        <v>43922</v>
      </c>
      <c r="F3341" s="2">
        <f t="shared" si="498"/>
        <v>44012</v>
      </c>
    </row>
    <row r="3342" spans="1:6" x14ac:dyDescent="0.25">
      <c r="A3342" s="1" t="s">
        <v>1032</v>
      </c>
      <c r="B3342" s="1" t="s">
        <v>1838</v>
      </c>
      <c r="C3342" s="1" t="s">
        <v>1839</v>
      </c>
      <c r="D3342" s="3">
        <f t="shared" si="497"/>
        <v>8753</v>
      </c>
      <c r="E3342" s="2">
        <f t="shared" si="495"/>
        <v>43922</v>
      </c>
      <c r="F3342" s="2">
        <f t="shared" si="498"/>
        <v>44012</v>
      </c>
    </row>
    <row r="3343" spans="1:6" x14ac:dyDescent="0.25">
      <c r="A3343" s="1" t="s">
        <v>1032</v>
      </c>
      <c r="B3343" s="1" t="s">
        <v>1838</v>
      </c>
      <c r="C3343" s="1" t="s">
        <v>238</v>
      </c>
      <c r="D3343" s="3">
        <f t="shared" si="497"/>
        <v>8753</v>
      </c>
      <c r="E3343" s="2">
        <f t="shared" si="495"/>
        <v>43922</v>
      </c>
      <c r="F3343" s="2">
        <f t="shared" si="498"/>
        <v>44012</v>
      </c>
    </row>
    <row r="3344" spans="1:6" x14ac:dyDescent="0.25">
      <c r="A3344" s="1" t="s">
        <v>1032</v>
      </c>
      <c r="B3344" s="1" t="s">
        <v>1838</v>
      </c>
      <c r="C3344" s="1" t="s">
        <v>52</v>
      </c>
      <c r="D3344" s="3">
        <f t="shared" si="497"/>
        <v>8753</v>
      </c>
      <c r="E3344" s="2">
        <f t="shared" si="495"/>
        <v>43922</v>
      </c>
      <c r="F3344" s="2">
        <f t="shared" si="498"/>
        <v>44012</v>
      </c>
    </row>
    <row r="3345" spans="1:6" x14ac:dyDescent="0.25">
      <c r="A3345" s="1" t="s">
        <v>1032</v>
      </c>
      <c r="B3345" s="1" t="s">
        <v>1838</v>
      </c>
      <c r="C3345" s="1" t="s">
        <v>334</v>
      </c>
      <c r="D3345" s="3">
        <f t="shared" si="497"/>
        <v>8753</v>
      </c>
      <c r="E3345" s="2">
        <f t="shared" si="495"/>
        <v>43922</v>
      </c>
      <c r="F3345" s="2">
        <f t="shared" si="498"/>
        <v>44012</v>
      </c>
    </row>
    <row r="3346" spans="1:6" x14ac:dyDescent="0.25">
      <c r="A3346" s="1" t="s">
        <v>1032</v>
      </c>
      <c r="B3346" s="1" t="s">
        <v>1824</v>
      </c>
      <c r="C3346" s="1" t="s">
        <v>63</v>
      </c>
      <c r="D3346" s="3">
        <f t="shared" ref="D3346:D3351" si="499">VALUE("8662")</f>
        <v>8662</v>
      </c>
      <c r="E3346" s="2">
        <f t="shared" ref="E3346:E3356" si="500">DATEVALUE("1-1-2020")</f>
        <v>43831</v>
      </c>
      <c r="F3346" s="2">
        <f t="shared" si="498"/>
        <v>44012</v>
      </c>
    </row>
    <row r="3347" spans="1:6" x14ac:dyDescent="0.25">
      <c r="A3347" s="1" t="s">
        <v>1032</v>
      </c>
      <c r="B3347" s="1" t="s">
        <v>1824</v>
      </c>
      <c r="C3347" s="1" t="s">
        <v>70</v>
      </c>
      <c r="D3347" s="3">
        <f t="shared" si="499"/>
        <v>8662</v>
      </c>
      <c r="E3347" s="2">
        <f t="shared" si="500"/>
        <v>43831</v>
      </c>
      <c r="F3347" s="2">
        <f t="shared" si="498"/>
        <v>44012</v>
      </c>
    </row>
    <row r="3348" spans="1:6" x14ac:dyDescent="0.25">
      <c r="A3348" s="1" t="s">
        <v>1032</v>
      </c>
      <c r="B3348" s="1" t="s">
        <v>1824</v>
      </c>
      <c r="C3348" s="1" t="s">
        <v>73</v>
      </c>
      <c r="D3348" s="3">
        <f t="shared" si="499"/>
        <v>8662</v>
      </c>
      <c r="E3348" s="2">
        <f t="shared" si="500"/>
        <v>43831</v>
      </c>
      <c r="F3348" s="2">
        <f t="shared" si="498"/>
        <v>44012</v>
      </c>
    </row>
    <row r="3349" spans="1:6" x14ac:dyDescent="0.25">
      <c r="A3349" s="1" t="s">
        <v>1032</v>
      </c>
      <c r="B3349" s="1" t="s">
        <v>1824</v>
      </c>
      <c r="C3349" s="1" t="s">
        <v>74</v>
      </c>
      <c r="D3349" s="3">
        <f t="shared" si="499"/>
        <v>8662</v>
      </c>
      <c r="E3349" s="2">
        <f t="shared" si="500"/>
        <v>43831</v>
      </c>
      <c r="F3349" s="2">
        <f t="shared" si="498"/>
        <v>44012</v>
      </c>
    </row>
    <row r="3350" spans="1:6" x14ac:dyDescent="0.25">
      <c r="A3350" s="1" t="s">
        <v>1032</v>
      </c>
      <c r="B3350" s="1" t="s">
        <v>1824</v>
      </c>
      <c r="C3350" s="1" t="s">
        <v>300</v>
      </c>
      <c r="D3350" s="3">
        <f t="shared" si="499"/>
        <v>8662</v>
      </c>
      <c r="E3350" s="2">
        <f t="shared" si="500"/>
        <v>43831</v>
      </c>
      <c r="F3350" s="2">
        <f t="shared" si="498"/>
        <v>44012</v>
      </c>
    </row>
    <row r="3351" spans="1:6" x14ac:dyDescent="0.25">
      <c r="A3351" s="1" t="s">
        <v>1032</v>
      </c>
      <c r="B3351" s="1" t="s">
        <v>1824</v>
      </c>
      <c r="C3351" s="1" t="s">
        <v>52</v>
      </c>
      <c r="D3351" s="3">
        <f t="shared" si="499"/>
        <v>8662</v>
      </c>
      <c r="E3351" s="2">
        <f t="shared" si="500"/>
        <v>43831</v>
      </c>
      <c r="F3351" s="2">
        <f t="shared" si="498"/>
        <v>44012</v>
      </c>
    </row>
    <row r="3352" spans="1:6" x14ac:dyDescent="0.25">
      <c r="A3352" s="1" t="s">
        <v>1032</v>
      </c>
      <c r="B3352" s="1" t="s">
        <v>2487</v>
      </c>
      <c r="C3352" s="1" t="s">
        <v>7</v>
      </c>
      <c r="D3352" s="3">
        <f>VALUE("8683")</f>
        <v>8683</v>
      </c>
      <c r="E3352" s="2">
        <f t="shared" si="500"/>
        <v>43831</v>
      </c>
      <c r="F3352" s="2">
        <f>DATEVALUE("30-4-2020")</f>
        <v>43951</v>
      </c>
    </row>
    <row r="3353" spans="1:6" x14ac:dyDescent="0.25">
      <c r="A3353" s="1" t="s">
        <v>1032</v>
      </c>
      <c r="B3353" s="1" t="s">
        <v>2487</v>
      </c>
      <c r="C3353" s="1" t="s">
        <v>219</v>
      </c>
      <c r="D3353" s="3">
        <f>VALUE("8683")</f>
        <v>8683</v>
      </c>
      <c r="E3353" s="2">
        <f t="shared" si="500"/>
        <v>43831</v>
      </c>
      <c r="F3353" s="2">
        <f>DATEVALUE("30-4-2020")</f>
        <v>43951</v>
      </c>
    </row>
    <row r="3354" spans="1:6" x14ac:dyDescent="0.25">
      <c r="A3354" s="1" t="s">
        <v>1032</v>
      </c>
      <c r="B3354" s="1" t="s">
        <v>2487</v>
      </c>
      <c r="C3354" s="1" t="s">
        <v>599</v>
      </c>
      <c r="D3354" s="3">
        <f>VALUE("8683")</f>
        <v>8683</v>
      </c>
      <c r="E3354" s="2">
        <f t="shared" si="500"/>
        <v>43831</v>
      </c>
      <c r="F3354" s="2">
        <f>DATEVALUE("30-4-2020")</f>
        <v>43951</v>
      </c>
    </row>
    <row r="3355" spans="1:6" x14ac:dyDescent="0.25">
      <c r="A3355" s="1" t="s">
        <v>1032</v>
      </c>
      <c r="B3355" s="1" t="s">
        <v>2487</v>
      </c>
      <c r="C3355" s="1" t="s">
        <v>2488</v>
      </c>
      <c r="D3355" s="3">
        <f>VALUE("8683")</f>
        <v>8683</v>
      </c>
      <c r="E3355" s="2">
        <f t="shared" si="500"/>
        <v>43831</v>
      </c>
      <c r="F3355" s="2">
        <f>DATEVALUE("30-4-2020")</f>
        <v>43951</v>
      </c>
    </row>
    <row r="3356" spans="1:6" x14ac:dyDescent="0.25">
      <c r="A3356" s="1" t="s">
        <v>1032</v>
      </c>
      <c r="B3356" s="1" t="s">
        <v>2487</v>
      </c>
      <c r="C3356" s="1" t="s">
        <v>212</v>
      </c>
      <c r="D3356" s="3">
        <f>VALUE("8683")</f>
        <v>8683</v>
      </c>
      <c r="E3356" s="2">
        <f t="shared" si="500"/>
        <v>43831</v>
      </c>
      <c r="F3356" s="2">
        <f>DATEVALUE("30-4-2020")</f>
        <v>43951</v>
      </c>
    </row>
    <row r="3357" spans="1:6" x14ac:dyDescent="0.25">
      <c r="A3357" s="1" t="s">
        <v>1032</v>
      </c>
      <c r="B3357" s="1" t="s">
        <v>1402</v>
      </c>
      <c r="C3357" s="1" t="s">
        <v>45</v>
      </c>
      <c r="D3357" s="3">
        <f>VALUE("8623")</f>
        <v>8623</v>
      </c>
      <c r="E3357" s="2">
        <f t="shared" ref="E3357:E3365" si="501">DATEVALUE("1-10-2019")</f>
        <v>43739</v>
      </c>
      <c r="F3357" s="2">
        <f>DATEVALUE("30-6-2021")</f>
        <v>44377</v>
      </c>
    </row>
    <row r="3358" spans="1:6" x14ac:dyDescent="0.25">
      <c r="A3358" s="1" t="s">
        <v>1032</v>
      </c>
      <c r="B3358" s="1" t="s">
        <v>1402</v>
      </c>
      <c r="C3358" s="1" t="s">
        <v>44</v>
      </c>
      <c r="D3358" s="3">
        <f>VALUE("8623")</f>
        <v>8623</v>
      </c>
      <c r="E3358" s="2">
        <f t="shared" si="501"/>
        <v>43739</v>
      </c>
      <c r="F3358" s="2">
        <f>DATEVALUE("30-6-2021")</f>
        <v>44377</v>
      </c>
    </row>
    <row r="3359" spans="1:6" x14ac:dyDescent="0.25">
      <c r="A3359" s="1" t="s">
        <v>1032</v>
      </c>
      <c r="B3359" s="1" t="s">
        <v>1402</v>
      </c>
      <c r="C3359" s="1" t="s">
        <v>69</v>
      </c>
      <c r="D3359" s="3">
        <f>VALUE("8623")</f>
        <v>8623</v>
      </c>
      <c r="E3359" s="2">
        <f t="shared" si="501"/>
        <v>43739</v>
      </c>
      <c r="F3359" s="2">
        <f>DATEVALUE("30-6-2021")</f>
        <v>44377</v>
      </c>
    </row>
    <row r="3360" spans="1:6" x14ac:dyDescent="0.25">
      <c r="A3360" s="1" t="s">
        <v>1032</v>
      </c>
      <c r="B3360" s="1" t="s">
        <v>1402</v>
      </c>
      <c r="C3360" s="1" t="s">
        <v>334</v>
      </c>
      <c r="D3360" s="3">
        <f>VALUE("8623")</f>
        <v>8623</v>
      </c>
      <c r="E3360" s="2">
        <f t="shared" si="501"/>
        <v>43739</v>
      </c>
      <c r="F3360" s="2">
        <f>DATEVALUE("30-6-2021")</f>
        <v>44377</v>
      </c>
    </row>
    <row r="3361" spans="1:6" x14ac:dyDescent="0.25">
      <c r="A3361" s="1" t="s">
        <v>1032</v>
      </c>
      <c r="B3361" s="1" t="s">
        <v>1404</v>
      </c>
      <c r="C3361" s="1" t="s">
        <v>7</v>
      </c>
      <c r="D3361" s="3">
        <f>VALUE("8627")</f>
        <v>8627</v>
      </c>
      <c r="E3361" s="2">
        <f t="shared" si="501"/>
        <v>43739</v>
      </c>
      <c r="F3361" s="2">
        <f t="shared" ref="F3361:F3378" si="502">DATEVALUE("31-3-2021")</f>
        <v>44286</v>
      </c>
    </row>
    <row r="3362" spans="1:6" x14ac:dyDescent="0.25">
      <c r="A3362" s="1" t="s">
        <v>1032</v>
      </c>
      <c r="B3362" s="1" t="s">
        <v>1404</v>
      </c>
      <c r="C3362" s="1" t="s">
        <v>609</v>
      </c>
      <c r="D3362" s="3">
        <f>VALUE("8627")</f>
        <v>8627</v>
      </c>
      <c r="E3362" s="2">
        <f t="shared" si="501"/>
        <v>43739</v>
      </c>
      <c r="F3362" s="2">
        <f t="shared" si="502"/>
        <v>44286</v>
      </c>
    </row>
    <row r="3363" spans="1:6" x14ac:dyDescent="0.25">
      <c r="A3363" s="1" t="s">
        <v>1032</v>
      </c>
      <c r="B3363" s="1" t="s">
        <v>1404</v>
      </c>
      <c r="C3363" s="1" t="s">
        <v>63</v>
      </c>
      <c r="D3363" s="3">
        <f>VALUE("8627")</f>
        <v>8627</v>
      </c>
      <c r="E3363" s="2">
        <f t="shared" si="501"/>
        <v>43739</v>
      </c>
      <c r="F3363" s="2">
        <f t="shared" si="502"/>
        <v>44286</v>
      </c>
    </row>
    <row r="3364" spans="1:6" x14ac:dyDescent="0.25">
      <c r="A3364" s="1" t="s">
        <v>1032</v>
      </c>
      <c r="B3364" s="1" t="s">
        <v>1404</v>
      </c>
      <c r="C3364" s="1" t="s">
        <v>17</v>
      </c>
      <c r="D3364" s="3">
        <f>VALUE("8627")</f>
        <v>8627</v>
      </c>
      <c r="E3364" s="2">
        <f t="shared" si="501"/>
        <v>43739</v>
      </c>
      <c r="F3364" s="2">
        <f t="shared" si="502"/>
        <v>44286</v>
      </c>
    </row>
    <row r="3365" spans="1:6" x14ac:dyDescent="0.25">
      <c r="A3365" s="1" t="s">
        <v>1032</v>
      </c>
      <c r="B3365" s="1" t="s">
        <v>1404</v>
      </c>
      <c r="C3365" s="1" t="s">
        <v>52</v>
      </c>
      <c r="D3365" s="3">
        <f>VALUE("8627")</f>
        <v>8627</v>
      </c>
      <c r="E3365" s="2">
        <f t="shared" si="501"/>
        <v>43739</v>
      </c>
      <c r="F3365" s="2">
        <f t="shared" si="502"/>
        <v>44286</v>
      </c>
    </row>
    <row r="3366" spans="1:6" x14ac:dyDescent="0.25">
      <c r="A3366" s="1" t="s">
        <v>1032</v>
      </c>
      <c r="B3366" s="1" t="s">
        <v>1059</v>
      </c>
      <c r="C3366" s="1" t="s">
        <v>7</v>
      </c>
      <c r="D3366" s="3">
        <f t="shared" ref="D3366:D3378" si="503">VALUE("8341")</f>
        <v>8341</v>
      </c>
      <c r="E3366" s="2">
        <f t="shared" ref="E3366:E3378" si="504">DATEVALUE("1-8-2018")</f>
        <v>43313</v>
      </c>
      <c r="F3366" s="2">
        <f t="shared" si="502"/>
        <v>44286</v>
      </c>
    </row>
    <row r="3367" spans="1:6" x14ac:dyDescent="0.25">
      <c r="A3367" s="1" t="s">
        <v>1032</v>
      </c>
      <c r="B3367" s="1" t="s">
        <v>1059</v>
      </c>
      <c r="C3367" s="1" t="s">
        <v>62</v>
      </c>
      <c r="D3367" s="3">
        <f t="shared" si="503"/>
        <v>8341</v>
      </c>
      <c r="E3367" s="2">
        <f t="shared" si="504"/>
        <v>43313</v>
      </c>
      <c r="F3367" s="2">
        <f t="shared" si="502"/>
        <v>44286</v>
      </c>
    </row>
    <row r="3368" spans="1:6" x14ac:dyDescent="0.25">
      <c r="A3368" s="1" t="s">
        <v>1032</v>
      </c>
      <c r="B3368" s="1" t="s">
        <v>1059</v>
      </c>
      <c r="C3368" s="1" t="s">
        <v>63</v>
      </c>
      <c r="D3368" s="3">
        <f t="shared" si="503"/>
        <v>8341</v>
      </c>
      <c r="E3368" s="2">
        <f t="shared" si="504"/>
        <v>43313</v>
      </c>
      <c r="F3368" s="2">
        <f t="shared" si="502"/>
        <v>44286</v>
      </c>
    </row>
    <row r="3369" spans="1:6" x14ac:dyDescent="0.25">
      <c r="A3369" s="1" t="s">
        <v>1032</v>
      </c>
      <c r="B3369" s="1" t="s">
        <v>1059</v>
      </c>
      <c r="C3369" s="1" t="s">
        <v>45</v>
      </c>
      <c r="D3369" s="3">
        <f t="shared" si="503"/>
        <v>8341</v>
      </c>
      <c r="E3369" s="2">
        <f t="shared" si="504"/>
        <v>43313</v>
      </c>
      <c r="F3369" s="2">
        <f t="shared" si="502"/>
        <v>44286</v>
      </c>
    </row>
    <row r="3370" spans="1:6" x14ac:dyDescent="0.25">
      <c r="A3370" s="1" t="s">
        <v>1032</v>
      </c>
      <c r="B3370" s="1" t="s">
        <v>1059</v>
      </c>
      <c r="C3370" s="1" t="s">
        <v>44</v>
      </c>
      <c r="D3370" s="3">
        <f t="shared" si="503"/>
        <v>8341</v>
      </c>
      <c r="E3370" s="2">
        <f t="shared" si="504"/>
        <v>43313</v>
      </c>
      <c r="F3370" s="2">
        <f t="shared" si="502"/>
        <v>44286</v>
      </c>
    </row>
    <row r="3371" spans="1:6" x14ac:dyDescent="0.25">
      <c r="A3371" s="1" t="s">
        <v>1032</v>
      </c>
      <c r="B3371" s="1" t="s">
        <v>1059</v>
      </c>
      <c r="C3371" s="1" t="s">
        <v>16</v>
      </c>
      <c r="D3371" s="3">
        <f t="shared" si="503"/>
        <v>8341</v>
      </c>
      <c r="E3371" s="2">
        <f t="shared" si="504"/>
        <v>43313</v>
      </c>
      <c r="F3371" s="2">
        <f t="shared" si="502"/>
        <v>44286</v>
      </c>
    </row>
    <row r="3372" spans="1:6" x14ac:dyDescent="0.25">
      <c r="A3372" s="1" t="s">
        <v>1032</v>
      </c>
      <c r="B3372" s="1" t="s">
        <v>1059</v>
      </c>
      <c r="C3372" s="1" t="s">
        <v>88</v>
      </c>
      <c r="D3372" s="3">
        <f t="shared" si="503"/>
        <v>8341</v>
      </c>
      <c r="E3372" s="2">
        <f t="shared" si="504"/>
        <v>43313</v>
      </c>
      <c r="F3372" s="2">
        <f t="shared" si="502"/>
        <v>44286</v>
      </c>
    </row>
    <row r="3373" spans="1:6" x14ac:dyDescent="0.25">
      <c r="A3373" s="1" t="s">
        <v>1032</v>
      </c>
      <c r="B3373" s="1" t="s">
        <v>1059</v>
      </c>
      <c r="C3373" s="1" t="s">
        <v>67</v>
      </c>
      <c r="D3373" s="3">
        <f t="shared" si="503"/>
        <v>8341</v>
      </c>
      <c r="E3373" s="2">
        <f t="shared" si="504"/>
        <v>43313</v>
      </c>
      <c r="F3373" s="2">
        <f t="shared" si="502"/>
        <v>44286</v>
      </c>
    </row>
    <row r="3374" spans="1:6" x14ac:dyDescent="0.25">
      <c r="A3374" s="1" t="s">
        <v>1032</v>
      </c>
      <c r="B3374" s="1" t="s">
        <v>1059</v>
      </c>
      <c r="C3374" s="1" t="s">
        <v>70</v>
      </c>
      <c r="D3374" s="3">
        <f t="shared" si="503"/>
        <v>8341</v>
      </c>
      <c r="E3374" s="2">
        <f t="shared" si="504"/>
        <v>43313</v>
      </c>
      <c r="F3374" s="2">
        <f t="shared" si="502"/>
        <v>44286</v>
      </c>
    </row>
    <row r="3375" spans="1:6" x14ac:dyDescent="0.25">
      <c r="A3375" s="1" t="s">
        <v>1032</v>
      </c>
      <c r="B3375" s="1" t="s">
        <v>1059</v>
      </c>
      <c r="C3375" s="1" t="s">
        <v>73</v>
      </c>
      <c r="D3375" s="3">
        <f t="shared" si="503"/>
        <v>8341</v>
      </c>
      <c r="E3375" s="2">
        <f t="shared" si="504"/>
        <v>43313</v>
      </c>
      <c r="F3375" s="2">
        <f t="shared" si="502"/>
        <v>44286</v>
      </c>
    </row>
    <row r="3376" spans="1:6" x14ac:dyDescent="0.25">
      <c r="A3376" s="1" t="s">
        <v>1032</v>
      </c>
      <c r="B3376" s="1" t="s">
        <v>1059</v>
      </c>
      <c r="C3376" s="1" t="s">
        <v>74</v>
      </c>
      <c r="D3376" s="3">
        <f t="shared" si="503"/>
        <v>8341</v>
      </c>
      <c r="E3376" s="2">
        <f t="shared" si="504"/>
        <v>43313</v>
      </c>
      <c r="F3376" s="2">
        <f t="shared" si="502"/>
        <v>44286</v>
      </c>
    </row>
    <row r="3377" spans="1:6" x14ac:dyDescent="0.25">
      <c r="A3377" s="1" t="s">
        <v>1032</v>
      </c>
      <c r="B3377" s="1" t="s">
        <v>1059</v>
      </c>
      <c r="C3377" s="1" t="s">
        <v>52</v>
      </c>
      <c r="D3377" s="3">
        <f t="shared" si="503"/>
        <v>8341</v>
      </c>
      <c r="E3377" s="2">
        <f t="shared" si="504"/>
        <v>43313</v>
      </c>
      <c r="F3377" s="2">
        <f t="shared" si="502"/>
        <v>44286</v>
      </c>
    </row>
    <row r="3378" spans="1:6" x14ac:dyDescent="0.25">
      <c r="A3378" s="1" t="s">
        <v>1032</v>
      </c>
      <c r="B3378" s="1" t="s">
        <v>1059</v>
      </c>
      <c r="C3378" s="1" t="s">
        <v>1060</v>
      </c>
      <c r="D3378" s="3">
        <f t="shared" si="503"/>
        <v>8341</v>
      </c>
      <c r="E3378" s="2">
        <f t="shared" si="504"/>
        <v>43313</v>
      </c>
      <c r="F3378" s="2">
        <f t="shared" si="502"/>
        <v>44286</v>
      </c>
    </row>
    <row r="3379" spans="1:6" x14ac:dyDescent="0.25">
      <c r="A3379" s="1" t="s">
        <v>1032</v>
      </c>
      <c r="B3379" s="1" t="s">
        <v>2381</v>
      </c>
      <c r="C3379" s="1" t="s">
        <v>1966</v>
      </c>
      <c r="D3379" s="3">
        <f t="shared" ref="D3379:D3405" si="505">VALUE("8316")</f>
        <v>8316</v>
      </c>
      <c r="E3379" s="2">
        <f t="shared" ref="E3379:E3405" si="506">DATEVALUE("1-7-2018")</f>
        <v>43282</v>
      </c>
      <c r="F3379" s="2">
        <f t="shared" ref="F3379:F3405" si="507">DATEVALUE("31-1-2019")</f>
        <v>43496</v>
      </c>
    </row>
    <row r="3380" spans="1:6" x14ac:dyDescent="0.25">
      <c r="A3380" s="1" t="s">
        <v>1032</v>
      </c>
      <c r="B3380" s="1" t="s">
        <v>2381</v>
      </c>
      <c r="C3380" s="1" t="s">
        <v>218</v>
      </c>
      <c r="D3380" s="3">
        <f t="shared" si="505"/>
        <v>8316</v>
      </c>
      <c r="E3380" s="2">
        <f t="shared" si="506"/>
        <v>43282</v>
      </c>
      <c r="F3380" s="2">
        <f t="shared" si="507"/>
        <v>43496</v>
      </c>
    </row>
    <row r="3381" spans="1:6" x14ac:dyDescent="0.25">
      <c r="A3381" s="1" t="s">
        <v>1032</v>
      </c>
      <c r="B3381" s="1" t="s">
        <v>2381</v>
      </c>
      <c r="C3381" s="1" t="s">
        <v>7</v>
      </c>
      <c r="D3381" s="3">
        <f t="shared" si="505"/>
        <v>8316</v>
      </c>
      <c r="E3381" s="2">
        <f t="shared" si="506"/>
        <v>43282</v>
      </c>
      <c r="F3381" s="2">
        <f t="shared" si="507"/>
        <v>43496</v>
      </c>
    </row>
    <row r="3382" spans="1:6" x14ac:dyDescent="0.25">
      <c r="A3382" s="1" t="s">
        <v>1032</v>
      </c>
      <c r="B3382" s="1" t="s">
        <v>2381</v>
      </c>
      <c r="C3382" s="1" t="s">
        <v>599</v>
      </c>
      <c r="D3382" s="3">
        <f t="shared" si="505"/>
        <v>8316</v>
      </c>
      <c r="E3382" s="2">
        <f t="shared" si="506"/>
        <v>43282</v>
      </c>
      <c r="F3382" s="2">
        <f t="shared" si="507"/>
        <v>43496</v>
      </c>
    </row>
    <row r="3383" spans="1:6" x14ac:dyDescent="0.25">
      <c r="A3383" s="1" t="s">
        <v>1032</v>
      </c>
      <c r="B3383" s="1" t="s">
        <v>2381</v>
      </c>
      <c r="C3383" s="1" t="s">
        <v>13</v>
      </c>
      <c r="D3383" s="3">
        <f t="shared" si="505"/>
        <v>8316</v>
      </c>
      <c r="E3383" s="2">
        <f t="shared" si="506"/>
        <v>43282</v>
      </c>
      <c r="F3383" s="2">
        <f t="shared" si="507"/>
        <v>43496</v>
      </c>
    </row>
    <row r="3384" spans="1:6" x14ac:dyDescent="0.25">
      <c r="A3384" s="1" t="s">
        <v>1032</v>
      </c>
      <c r="B3384" s="1" t="s">
        <v>2381</v>
      </c>
      <c r="C3384" s="1" t="s">
        <v>259</v>
      </c>
      <c r="D3384" s="3">
        <f t="shared" si="505"/>
        <v>8316</v>
      </c>
      <c r="E3384" s="2">
        <f t="shared" si="506"/>
        <v>43282</v>
      </c>
      <c r="F3384" s="2">
        <f t="shared" si="507"/>
        <v>43496</v>
      </c>
    </row>
    <row r="3385" spans="1:6" x14ac:dyDescent="0.25">
      <c r="A3385" s="1" t="s">
        <v>1032</v>
      </c>
      <c r="B3385" s="1" t="s">
        <v>2381</v>
      </c>
      <c r="C3385" s="1" t="s">
        <v>23</v>
      </c>
      <c r="D3385" s="3">
        <f t="shared" si="505"/>
        <v>8316</v>
      </c>
      <c r="E3385" s="2">
        <f t="shared" si="506"/>
        <v>43282</v>
      </c>
      <c r="F3385" s="2">
        <f t="shared" si="507"/>
        <v>43496</v>
      </c>
    </row>
    <row r="3386" spans="1:6" x14ac:dyDescent="0.25">
      <c r="A3386" s="1" t="s">
        <v>1032</v>
      </c>
      <c r="B3386" s="1" t="s">
        <v>2381</v>
      </c>
      <c r="C3386" s="1" t="s">
        <v>654</v>
      </c>
      <c r="D3386" s="3">
        <f t="shared" si="505"/>
        <v>8316</v>
      </c>
      <c r="E3386" s="2">
        <f t="shared" si="506"/>
        <v>43282</v>
      </c>
      <c r="F3386" s="2">
        <f t="shared" si="507"/>
        <v>43496</v>
      </c>
    </row>
    <row r="3387" spans="1:6" x14ac:dyDescent="0.25">
      <c r="A3387" s="1" t="s">
        <v>1032</v>
      </c>
      <c r="B3387" s="1" t="s">
        <v>2381</v>
      </c>
      <c r="C3387" s="1" t="s">
        <v>1965</v>
      </c>
      <c r="D3387" s="3">
        <f t="shared" si="505"/>
        <v>8316</v>
      </c>
      <c r="E3387" s="2">
        <f t="shared" si="506"/>
        <v>43282</v>
      </c>
      <c r="F3387" s="2">
        <f t="shared" si="507"/>
        <v>43496</v>
      </c>
    </row>
    <row r="3388" spans="1:6" x14ac:dyDescent="0.25">
      <c r="A3388" s="1" t="s">
        <v>1032</v>
      </c>
      <c r="B3388" s="1" t="s">
        <v>2381</v>
      </c>
      <c r="C3388" s="1" t="s">
        <v>1811</v>
      </c>
      <c r="D3388" s="3">
        <f t="shared" si="505"/>
        <v>8316</v>
      </c>
      <c r="E3388" s="2">
        <f t="shared" si="506"/>
        <v>43282</v>
      </c>
      <c r="F3388" s="2">
        <f t="shared" si="507"/>
        <v>43496</v>
      </c>
    </row>
    <row r="3389" spans="1:6" x14ac:dyDescent="0.25">
      <c r="A3389" s="1" t="s">
        <v>1032</v>
      </c>
      <c r="B3389" s="1" t="s">
        <v>2381</v>
      </c>
      <c r="C3389" s="1" t="s">
        <v>1812</v>
      </c>
      <c r="D3389" s="3">
        <f t="shared" si="505"/>
        <v>8316</v>
      </c>
      <c r="E3389" s="2">
        <f t="shared" si="506"/>
        <v>43282</v>
      </c>
      <c r="F3389" s="2">
        <f t="shared" si="507"/>
        <v>43496</v>
      </c>
    </row>
    <row r="3390" spans="1:6" x14ac:dyDescent="0.25">
      <c r="A3390" s="1" t="s">
        <v>1032</v>
      </c>
      <c r="B3390" s="1" t="s">
        <v>2381</v>
      </c>
      <c r="C3390" s="1" t="s">
        <v>1813</v>
      </c>
      <c r="D3390" s="3">
        <f t="shared" si="505"/>
        <v>8316</v>
      </c>
      <c r="E3390" s="2">
        <f t="shared" si="506"/>
        <v>43282</v>
      </c>
      <c r="F3390" s="2">
        <f t="shared" si="507"/>
        <v>43496</v>
      </c>
    </row>
    <row r="3391" spans="1:6" x14ac:dyDescent="0.25">
      <c r="A3391" s="1" t="s">
        <v>1032</v>
      </c>
      <c r="B3391" s="1" t="s">
        <v>2381</v>
      </c>
      <c r="C3391" s="1" t="s">
        <v>1814</v>
      </c>
      <c r="D3391" s="3">
        <f t="shared" si="505"/>
        <v>8316</v>
      </c>
      <c r="E3391" s="2">
        <f t="shared" si="506"/>
        <v>43282</v>
      </c>
      <c r="F3391" s="2">
        <f t="shared" si="507"/>
        <v>43496</v>
      </c>
    </row>
    <row r="3392" spans="1:6" x14ac:dyDescent="0.25">
      <c r="A3392" s="1" t="s">
        <v>1032</v>
      </c>
      <c r="B3392" s="1" t="s">
        <v>2381</v>
      </c>
      <c r="C3392" s="1" t="s">
        <v>1680</v>
      </c>
      <c r="D3392" s="3">
        <f t="shared" si="505"/>
        <v>8316</v>
      </c>
      <c r="E3392" s="2">
        <f t="shared" si="506"/>
        <v>43282</v>
      </c>
      <c r="F3392" s="2">
        <f t="shared" si="507"/>
        <v>43496</v>
      </c>
    </row>
    <row r="3393" spans="1:6" x14ac:dyDescent="0.25">
      <c r="A3393" s="1" t="s">
        <v>1032</v>
      </c>
      <c r="B3393" s="1" t="s">
        <v>2381</v>
      </c>
      <c r="C3393" s="1" t="s">
        <v>1681</v>
      </c>
      <c r="D3393" s="3">
        <f t="shared" si="505"/>
        <v>8316</v>
      </c>
      <c r="E3393" s="2">
        <f t="shared" si="506"/>
        <v>43282</v>
      </c>
      <c r="F3393" s="2">
        <f t="shared" si="507"/>
        <v>43496</v>
      </c>
    </row>
    <row r="3394" spans="1:6" x14ac:dyDescent="0.25">
      <c r="A3394" s="1" t="s">
        <v>1032</v>
      </c>
      <c r="B3394" s="1" t="s">
        <v>2381</v>
      </c>
      <c r="C3394" s="1" t="s">
        <v>1682</v>
      </c>
      <c r="D3394" s="3">
        <f t="shared" si="505"/>
        <v>8316</v>
      </c>
      <c r="E3394" s="2">
        <f t="shared" si="506"/>
        <v>43282</v>
      </c>
      <c r="F3394" s="2">
        <f t="shared" si="507"/>
        <v>43496</v>
      </c>
    </row>
    <row r="3395" spans="1:6" x14ac:dyDescent="0.25">
      <c r="A3395" s="1" t="s">
        <v>1032</v>
      </c>
      <c r="B3395" s="1" t="s">
        <v>2381</v>
      </c>
      <c r="C3395" s="1" t="s">
        <v>1683</v>
      </c>
      <c r="D3395" s="3">
        <f t="shared" si="505"/>
        <v>8316</v>
      </c>
      <c r="E3395" s="2">
        <f t="shared" si="506"/>
        <v>43282</v>
      </c>
      <c r="F3395" s="2">
        <f t="shared" si="507"/>
        <v>43496</v>
      </c>
    </row>
    <row r="3396" spans="1:6" x14ac:dyDescent="0.25">
      <c r="A3396" s="1" t="s">
        <v>1032</v>
      </c>
      <c r="B3396" s="1" t="s">
        <v>2381</v>
      </c>
      <c r="C3396" s="1" t="s">
        <v>1684</v>
      </c>
      <c r="D3396" s="3">
        <f t="shared" si="505"/>
        <v>8316</v>
      </c>
      <c r="E3396" s="2">
        <f t="shared" si="506"/>
        <v>43282</v>
      </c>
      <c r="F3396" s="2">
        <f t="shared" si="507"/>
        <v>43496</v>
      </c>
    </row>
    <row r="3397" spans="1:6" x14ac:dyDescent="0.25">
      <c r="A3397" s="1" t="s">
        <v>1032</v>
      </c>
      <c r="B3397" s="1" t="s">
        <v>2381</v>
      </c>
      <c r="C3397" s="1" t="s">
        <v>1685</v>
      </c>
      <c r="D3397" s="3">
        <f t="shared" si="505"/>
        <v>8316</v>
      </c>
      <c r="E3397" s="2">
        <f t="shared" si="506"/>
        <v>43282</v>
      </c>
      <c r="F3397" s="2">
        <f t="shared" si="507"/>
        <v>43496</v>
      </c>
    </row>
    <row r="3398" spans="1:6" x14ac:dyDescent="0.25">
      <c r="A3398" s="1" t="s">
        <v>1032</v>
      </c>
      <c r="B3398" s="1" t="s">
        <v>2381</v>
      </c>
      <c r="C3398" s="1" t="s">
        <v>1686</v>
      </c>
      <c r="D3398" s="3">
        <f t="shared" si="505"/>
        <v>8316</v>
      </c>
      <c r="E3398" s="2">
        <f t="shared" si="506"/>
        <v>43282</v>
      </c>
      <c r="F3398" s="2">
        <f t="shared" si="507"/>
        <v>43496</v>
      </c>
    </row>
    <row r="3399" spans="1:6" x14ac:dyDescent="0.25">
      <c r="A3399" s="1" t="s">
        <v>1032</v>
      </c>
      <c r="B3399" s="1" t="s">
        <v>2381</v>
      </c>
      <c r="C3399" s="1" t="s">
        <v>1687</v>
      </c>
      <c r="D3399" s="3">
        <f t="shared" si="505"/>
        <v>8316</v>
      </c>
      <c r="E3399" s="2">
        <f t="shared" si="506"/>
        <v>43282</v>
      </c>
      <c r="F3399" s="2">
        <f t="shared" si="507"/>
        <v>43496</v>
      </c>
    </row>
    <row r="3400" spans="1:6" x14ac:dyDescent="0.25">
      <c r="A3400" s="1" t="s">
        <v>1032</v>
      </c>
      <c r="B3400" s="1" t="s">
        <v>2381</v>
      </c>
      <c r="C3400" s="1" t="s">
        <v>1688</v>
      </c>
      <c r="D3400" s="3">
        <f t="shared" si="505"/>
        <v>8316</v>
      </c>
      <c r="E3400" s="2">
        <f t="shared" si="506"/>
        <v>43282</v>
      </c>
      <c r="F3400" s="2">
        <f t="shared" si="507"/>
        <v>43496</v>
      </c>
    </row>
    <row r="3401" spans="1:6" x14ac:dyDescent="0.25">
      <c r="A3401" s="1" t="s">
        <v>1032</v>
      </c>
      <c r="B3401" s="1" t="s">
        <v>2381</v>
      </c>
      <c r="C3401" s="1" t="s">
        <v>212</v>
      </c>
      <c r="D3401" s="3">
        <f t="shared" si="505"/>
        <v>8316</v>
      </c>
      <c r="E3401" s="2">
        <f t="shared" si="506"/>
        <v>43282</v>
      </c>
      <c r="F3401" s="2">
        <f t="shared" si="507"/>
        <v>43496</v>
      </c>
    </row>
    <row r="3402" spans="1:6" x14ac:dyDescent="0.25">
      <c r="A3402" s="1" t="s">
        <v>1032</v>
      </c>
      <c r="B3402" s="1" t="s">
        <v>2381</v>
      </c>
      <c r="C3402" s="1" t="s">
        <v>260</v>
      </c>
      <c r="D3402" s="3">
        <f t="shared" si="505"/>
        <v>8316</v>
      </c>
      <c r="E3402" s="2">
        <f t="shared" si="506"/>
        <v>43282</v>
      </c>
      <c r="F3402" s="2">
        <f t="shared" si="507"/>
        <v>43496</v>
      </c>
    </row>
    <row r="3403" spans="1:6" x14ac:dyDescent="0.25">
      <c r="A3403" s="1" t="s">
        <v>1032</v>
      </c>
      <c r="B3403" s="1" t="s">
        <v>2381</v>
      </c>
      <c r="C3403" s="1" t="s">
        <v>261</v>
      </c>
      <c r="D3403" s="3">
        <f t="shared" si="505"/>
        <v>8316</v>
      </c>
      <c r="E3403" s="2">
        <f t="shared" si="506"/>
        <v>43282</v>
      </c>
      <c r="F3403" s="2">
        <f t="shared" si="507"/>
        <v>43496</v>
      </c>
    </row>
    <row r="3404" spans="1:6" x14ac:dyDescent="0.25">
      <c r="A3404" s="1" t="s">
        <v>1032</v>
      </c>
      <c r="B3404" s="1" t="s">
        <v>2381</v>
      </c>
      <c r="C3404" s="1" t="s">
        <v>240</v>
      </c>
      <c r="D3404" s="3">
        <f t="shared" si="505"/>
        <v>8316</v>
      </c>
      <c r="E3404" s="2">
        <f t="shared" si="506"/>
        <v>43282</v>
      </c>
      <c r="F3404" s="2">
        <f t="shared" si="507"/>
        <v>43496</v>
      </c>
    </row>
    <row r="3405" spans="1:6" x14ac:dyDescent="0.25">
      <c r="A3405" s="1" t="s">
        <v>1032</v>
      </c>
      <c r="B3405" s="1" t="s">
        <v>2381</v>
      </c>
      <c r="C3405" s="1" t="s">
        <v>1815</v>
      </c>
      <c r="D3405" s="3">
        <f t="shared" si="505"/>
        <v>8316</v>
      </c>
      <c r="E3405" s="2">
        <f t="shared" si="506"/>
        <v>43282</v>
      </c>
      <c r="F3405" s="2">
        <f t="shared" si="507"/>
        <v>43496</v>
      </c>
    </row>
    <row r="3406" spans="1:6" x14ac:dyDescent="0.25">
      <c r="A3406" s="1" t="s">
        <v>1032</v>
      </c>
      <c r="B3406" s="1" t="s">
        <v>1031</v>
      </c>
      <c r="C3406" s="1" t="s">
        <v>7</v>
      </c>
      <c r="D3406" s="3">
        <f t="shared" ref="D3406:D3418" si="508">VALUE("8309")</f>
        <v>8309</v>
      </c>
      <c r="E3406" s="2">
        <f t="shared" ref="E3406:E3418" si="509">DATEVALUE("1-6-2018")</f>
        <v>43252</v>
      </c>
      <c r="F3406" s="2">
        <f t="shared" ref="F3406:F3418" si="510">DATEVALUE("31-3-2021")</f>
        <v>44286</v>
      </c>
    </row>
    <row r="3407" spans="1:6" x14ac:dyDescent="0.25">
      <c r="A3407" s="1" t="s">
        <v>1032</v>
      </c>
      <c r="B3407" s="1" t="s">
        <v>1031</v>
      </c>
      <c r="C3407" s="1" t="s">
        <v>599</v>
      </c>
      <c r="D3407" s="3">
        <f t="shared" si="508"/>
        <v>8309</v>
      </c>
      <c r="E3407" s="2">
        <f t="shared" si="509"/>
        <v>43252</v>
      </c>
      <c r="F3407" s="2">
        <f t="shared" si="510"/>
        <v>44286</v>
      </c>
    </row>
    <row r="3408" spans="1:6" x14ac:dyDescent="0.25">
      <c r="A3408" s="1" t="s">
        <v>1032</v>
      </c>
      <c r="B3408" s="1" t="s">
        <v>1031</v>
      </c>
      <c r="C3408" s="1" t="s">
        <v>62</v>
      </c>
      <c r="D3408" s="3">
        <f t="shared" si="508"/>
        <v>8309</v>
      </c>
      <c r="E3408" s="2">
        <f t="shared" si="509"/>
        <v>43252</v>
      </c>
      <c r="F3408" s="2">
        <f t="shared" si="510"/>
        <v>44286</v>
      </c>
    </row>
    <row r="3409" spans="1:6" x14ac:dyDescent="0.25">
      <c r="A3409" s="1" t="s">
        <v>1032</v>
      </c>
      <c r="B3409" s="1" t="s">
        <v>1031</v>
      </c>
      <c r="C3409" s="1" t="s">
        <v>63</v>
      </c>
      <c r="D3409" s="3">
        <f t="shared" si="508"/>
        <v>8309</v>
      </c>
      <c r="E3409" s="2">
        <f t="shared" si="509"/>
        <v>43252</v>
      </c>
      <c r="F3409" s="2">
        <f t="shared" si="510"/>
        <v>44286</v>
      </c>
    </row>
    <row r="3410" spans="1:6" x14ac:dyDescent="0.25">
      <c r="A3410" s="1" t="s">
        <v>1032</v>
      </c>
      <c r="B3410" s="1" t="s">
        <v>1031</v>
      </c>
      <c r="C3410" s="1" t="s">
        <v>17</v>
      </c>
      <c r="D3410" s="3">
        <f t="shared" si="508"/>
        <v>8309</v>
      </c>
      <c r="E3410" s="2">
        <f t="shared" si="509"/>
        <v>43252</v>
      </c>
      <c r="F3410" s="2">
        <f t="shared" si="510"/>
        <v>44286</v>
      </c>
    </row>
    <row r="3411" spans="1:6" x14ac:dyDescent="0.25">
      <c r="A3411" s="1" t="s">
        <v>1032</v>
      </c>
      <c r="B3411" s="1" t="s">
        <v>1031</v>
      </c>
      <c r="C3411" s="1" t="s">
        <v>67</v>
      </c>
      <c r="D3411" s="3">
        <f t="shared" si="508"/>
        <v>8309</v>
      </c>
      <c r="E3411" s="2">
        <f t="shared" si="509"/>
        <v>43252</v>
      </c>
      <c r="F3411" s="2">
        <f t="shared" si="510"/>
        <v>44286</v>
      </c>
    </row>
    <row r="3412" spans="1:6" x14ac:dyDescent="0.25">
      <c r="A3412" s="1" t="s">
        <v>1032</v>
      </c>
      <c r="B3412" s="1" t="s">
        <v>1031</v>
      </c>
      <c r="C3412" s="1" t="s">
        <v>212</v>
      </c>
      <c r="D3412" s="3">
        <f t="shared" si="508"/>
        <v>8309</v>
      </c>
      <c r="E3412" s="2">
        <f t="shared" si="509"/>
        <v>43252</v>
      </c>
      <c r="F3412" s="2">
        <f t="shared" si="510"/>
        <v>44286</v>
      </c>
    </row>
    <row r="3413" spans="1:6" x14ac:dyDescent="0.25">
      <c r="A3413" s="1" t="s">
        <v>1032</v>
      </c>
      <c r="B3413" s="1" t="s">
        <v>1031</v>
      </c>
      <c r="C3413" s="1" t="s">
        <v>475</v>
      </c>
      <c r="D3413" s="3">
        <f t="shared" si="508"/>
        <v>8309</v>
      </c>
      <c r="E3413" s="2">
        <f t="shared" si="509"/>
        <v>43252</v>
      </c>
      <c r="F3413" s="2">
        <f t="shared" si="510"/>
        <v>44286</v>
      </c>
    </row>
    <row r="3414" spans="1:6" x14ac:dyDescent="0.25">
      <c r="A3414" s="1" t="s">
        <v>1032</v>
      </c>
      <c r="B3414" s="1" t="s">
        <v>1031</v>
      </c>
      <c r="C3414" s="1" t="s">
        <v>70</v>
      </c>
      <c r="D3414" s="3">
        <f t="shared" si="508"/>
        <v>8309</v>
      </c>
      <c r="E3414" s="2">
        <f t="shared" si="509"/>
        <v>43252</v>
      </c>
      <c r="F3414" s="2">
        <f t="shared" si="510"/>
        <v>44286</v>
      </c>
    </row>
    <row r="3415" spans="1:6" x14ac:dyDescent="0.25">
      <c r="A3415" s="1" t="s">
        <v>1032</v>
      </c>
      <c r="B3415" s="1" t="s">
        <v>1031</v>
      </c>
      <c r="C3415" s="1" t="s">
        <v>73</v>
      </c>
      <c r="D3415" s="3">
        <f t="shared" si="508"/>
        <v>8309</v>
      </c>
      <c r="E3415" s="2">
        <f t="shared" si="509"/>
        <v>43252</v>
      </c>
      <c r="F3415" s="2">
        <f t="shared" si="510"/>
        <v>44286</v>
      </c>
    </row>
    <row r="3416" spans="1:6" x14ac:dyDescent="0.25">
      <c r="A3416" s="1" t="s">
        <v>1032</v>
      </c>
      <c r="B3416" s="1" t="s">
        <v>1031</v>
      </c>
      <c r="C3416" s="1" t="s">
        <v>74</v>
      </c>
      <c r="D3416" s="3">
        <f t="shared" si="508"/>
        <v>8309</v>
      </c>
      <c r="E3416" s="2">
        <f t="shared" si="509"/>
        <v>43252</v>
      </c>
      <c r="F3416" s="2">
        <f t="shared" si="510"/>
        <v>44286</v>
      </c>
    </row>
    <row r="3417" spans="1:6" x14ac:dyDescent="0.25">
      <c r="A3417" s="1" t="s">
        <v>1032</v>
      </c>
      <c r="B3417" s="1" t="s">
        <v>1031</v>
      </c>
      <c r="C3417" s="1" t="s">
        <v>52</v>
      </c>
      <c r="D3417" s="3">
        <f t="shared" si="508"/>
        <v>8309</v>
      </c>
      <c r="E3417" s="2">
        <f t="shared" si="509"/>
        <v>43252</v>
      </c>
      <c r="F3417" s="2">
        <f t="shared" si="510"/>
        <v>44286</v>
      </c>
    </row>
    <row r="3418" spans="1:6" x14ac:dyDescent="0.25">
      <c r="A3418" s="1" t="s">
        <v>1032</v>
      </c>
      <c r="B3418" s="1" t="s">
        <v>1031</v>
      </c>
      <c r="C3418" s="1" t="s">
        <v>36</v>
      </c>
      <c r="D3418" s="3">
        <f t="shared" si="508"/>
        <v>8309</v>
      </c>
      <c r="E3418" s="2">
        <f t="shared" si="509"/>
        <v>43252</v>
      </c>
      <c r="F3418" s="2">
        <f t="shared" si="510"/>
        <v>44286</v>
      </c>
    </row>
    <row r="3419" spans="1:6" x14ac:dyDescent="0.25">
      <c r="A3419" s="1" t="s">
        <v>1032</v>
      </c>
      <c r="B3419" s="1" t="s">
        <v>1776</v>
      </c>
      <c r="C3419" s="1" t="s">
        <v>7</v>
      </c>
      <c r="D3419" s="3">
        <f t="shared" ref="D3419:D3425" si="511">VALUE("8238")</f>
        <v>8238</v>
      </c>
      <c r="E3419" s="2">
        <f t="shared" ref="E3419:E3425" si="512">DATEVALUE("1-5-2018")</f>
        <v>43221</v>
      </c>
      <c r="F3419" s="2">
        <f t="shared" ref="F3419:F3425" si="513">DATEVALUE("30-9-2018")</f>
        <v>43373</v>
      </c>
    </row>
    <row r="3420" spans="1:6" x14ac:dyDescent="0.25">
      <c r="A3420" s="1" t="s">
        <v>1032</v>
      </c>
      <c r="B3420" s="1" t="s">
        <v>1776</v>
      </c>
      <c r="C3420" s="1" t="s">
        <v>599</v>
      </c>
      <c r="D3420" s="3">
        <f t="shared" si="511"/>
        <v>8238</v>
      </c>
      <c r="E3420" s="2">
        <f t="shared" si="512"/>
        <v>43221</v>
      </c>
      <c r="F3420" s="2">
        <f t="shared" si="513"/>
        <v>43373</v>
      </c>
    </row>
    <row r="3421" spans="1:6" x14ac:dyDescent="0.25">
      <c r="A3421" s="1" t="s">
        <v>1032</v>
      </c>
      <c r="B3421" s="1" t="s">
        <v>1776</v>
      </c>
      <c r="C3421" s="1" t="s">
        <v>220</v>
      </c>
      <c r="D3421" s="3">
        <f t="shared" si="511"/>
        <v>8238</v>
      </c>
      <c r="E3421" s="2">
        <f t="shared" si="512"/>
        <v>43221</v>
      </c>
      <c r="F3421" s="2">
        <f t="shared" si="513"/>
        <v>43373</v>
      </c>
    </row>
    <row r="3422" spans="1:6" x14ac:dyDescent="0.25">
      <c r="A3422" s="1" t="s">
        <v>1032</v>
      </c>
      <c r="B3422" s="1" t="s">
        <v>1776</v>
      </c>
      <c r="C3422" s="1" t="s">
        <v>222</v>
      </c>
      <c r="D3422" s="3">
        <f t="shared" si="511"/>
        <v>8238</v>
      </c>
      <c r="E3422" s="2">
        <f t="shared" si="512"/>
        <v>43221</v>
      </c>
      <c r="F3422" s="2">
        <f t="shared" si="513"/>
        <v>43373</v>
      </c>
    </row>
    <row r="3423" spans="1:6" x14ac:dyDescent="0.25">
      <c r="A3423" s="1" t="s">
        <v>1032</v>
      </c>
      <c r="B3423" s="1" t="s">
        <v>1776</v>
      </c>
      <c r="C3423" s="1" t="s">
        <v>23</v>
      </c>
      <c r="D3423" s="3">
        <f t="shared" si="511"/>
        <v>8238</v>
      </c>
      <c r="E3423" s="2">
        <f t="shared" si="512"/>
        <v>43221</v>
      </c>
      <c r="F3423" s="2">
        <f t="shared" si="513"/>
        <v>43373</v>
      </c>
    </row>
    <row r="3424" spans="1:6" x14ac:dyDescent="0.25">
      <c r="A3424" s="1" t="s">
        <v>1032</v>
      </c>
      <c r="B3424" s="1" t="s">
        <v>1776</v>
      </c>
      <c r="C3424" s="1" t="s">
        <v>212</v>
      </c>
      <c r="D3424" s="3">
        <f t="shared" si="511"/>
        <v>8238</v>
      </c>
      <c r="E3424" s="2">
        <f t="shared" si="512"/>
        <v>43221</v>
      </c>
      <c r="F3424" s="2">
        <f t="shared" si="513"/>
        <v>43373</v>
      </c>
    </row>
    <row r="3425" spans="1:6" x14ac:dyDescent="0.25">
      <c r="A3425" s="1" t="s">
        <v>1032</v>
      </c>
      <c r="B3425" s="1" t="s">
        <v>1776</v>
      </c>
      <c r="C3425" s="1" t="s">
        <v>52</v>
      </c>
      <c r="D3425" s="3">
        <f t="shared" si="511"/>
        <v>8238</v>
      </c>
      <c r="E3425" s="2">
        <f t="shared" si="512"/>
        <v>43221</v>
      </c>
      <c r="F3425" s="2">
        <f t="shared" si="513"/>
        <v>43373</v>
      </c>
    </row>
    <row r="3426" spans="1:6" x14ac:dyDescent="0.25">
      <c r="A3426" s="1" t="s">
        <v>1032</v>
      </c>
      <c r="B3426" s="1" t="s">
        <v>2359</v>
      </c>
      <c r="C3426" s="1" t="s">
        <v>7</v>
      </c>
      <c r="D3426" s="3">
        <f t="shared" ref="D3426:D3437" si="514">VALUE("8241")</f>
        <v>8241</v>
      </c>
      <c r="E3426" s="2">
        <f t="shared" ref="E3426:E3437" si="515">DATEVALUE("1-2-2018")</f>
        <v>43132</v>
      </c>
      <c r="F3426" s="2">
        <f t="shared" ref="F3426:F3437" si="516">DATEVALUE("30-6-2018")</f>
        <v>43281</v>
      </c>
    </row>
    <row r="3427" spans="1:6" x14ac:dyDescent="0.25">
      <c r="A3427" s="1" t="s">
        <v>1032</v>
      </c>
      <c r="B3427" s="1" t="s">
        <v>2359</v>
      </c>
      <c r="C3427" s="1" t="s">
        <v>599</v>
      </c>
      <c r="D3427" s="3">
        <f t="shared" si="514"/>
        <v>8241</v>
      </c>
      <c r="E3427" s="2">
        <f t="shared" si="515"/>
        <v>43132</v>
      </c>
      <c r="F3427" s="2">
        <f t="shared" si="516"/>
        <v>43281</v>
      </c>
    </row>
    <row r="3428" spans="1:6" x14ac:dyDescent="0.25">
      <c r="A3428" s="1" t="s">
        <v>1032</v>
      </c>
      <c r="B3428" s="1" t="s">
        <v>2359</v>
      </c>
      <c r="C3428" s="1" t="s">
        <v>1682</v>
      </c>
      <c r="D3428" s="3">
        <f t="shared" si="514"/>
        <v>8241</v>
      </c>
      <c r="E3428" s="2">
        <f t="shared" si="515"/>
        <v>43132</v>
      </c>
      <c r="F3428" s="2">
        <f t="shared" si="516"/>
        <v>43281</v>
      </c>
    </row>
    <row r="3429" spans="1:6" x14ac:dyDescent="0.25">
      <c r="A3429" s="1" t="s">
        <v>1032</v>
      </c>
      <c r="B3429" s="1" t="s">
        <v>2359</v>
      </c>
      <c r="C3429" s="1" t="s">
        <v>1683</v>
      </c>
      <c r="D3429" s="3">
        <f t="shared" si="514"/>
        <v>8241</v>
      </c>
      <c r="E3429" s="2">
        <f t="shared" si="515"/>
        <v>43132</v>
      </c>
      <c r="F3429" s="2">
        <f t="shared" si="516"/>
        <v>43281</v>
      </c>
    </row>
    <row r="3430" spans="1:6" x14ac:dyDescent="0.25">
      <c r="A3430" s="1" t="s">
        <v>1032</v>
      </c>
      <c r="B3430" s="1" t="s">
        <v>2359</v>
      </c>
      <c r="C3430" s="1" t="s">
        <v>1684</v>
      </c>
      <c r="D3430" s="3">
        <f t="shared" si="514"/>
        <v>8241</v>
      </c>
      <c r="E3430" s="2">
        <f t="shared" si="515"/>
        <v>43132</v>
      </c>
      <c r="F3430" s="2">
        <f t="shared" si="516"/>
        <v>43281</v>
      </c>
    </row>
    <row r="3431" spans="1:6" x14ac:dyDescent="0.25">
      <c r="A3431" s="1" t="s">
        <v>1032</v>
      </c>
      <c r="B3431" s="1" t="s">
        <v>2359</v>
      </c>
      <c r="C3431" s="1" t="s">
        <v>1685</v>
      </c>
      <c r="D3431" s="3">
        <f t="shared" si="514"/>
        <v>8241</v>
      </c>
      <c r="E3431" s="2">
        <f t="shared" si="515"/>
        <v>43132</v>
      </c>
      <c r="F3431" s="2">
        <f t="shared" si="516"/>
        <v>43281</v>
      </c>
    </row>
    <row r="3432" spans="1:6" x14ac:dyDescent="0.25">
      <c r="A3432" s="1" t="s">
        <v>1032</v>
      </c>
      <c r="B3432" s="1" t="s">
        <v>2359</v>
      </c>
      <c r="C3432" s="1" t="s">
        <v>2012</v>
      </c>
      <c r="D3432" s="3">
        <f t="shared" si="514"/>
        <v>8241</v>
      </c>
      <c r="E3432" s="2">
        <f t="shared" si="515"/>
        <v>43132</v>
      </c>
      <c r="F3432" s="2">
        <f t="shared" si="516"/>
        <v>43281</v>
      </c>
    </row>
    <row r="3433" spans="1:6" x14ac:dyDescent="0.25">
      <c r="A3433" s="1" t="s">
        <v>1032</v>
      </c>
      <c r="B3433" s="1" t="s">
        <v>2359</v>
      </c>
      <c r="C3433" s="1" t="s">
        <v>1686</v>
      </c>
      <c r="D3433" s="3">
        <f t="shared" si="514"/>
        <v>8241</v>
      </c>
      <c r="E3433" s="2">
        <f t="shared" si="515"/>
        <v>43132</v>
      </c>
      <c r="F3433" s="2">
        <f t="shared" si="516"/>
        <v>43281</v>
      </c>
    </row>
    <row r="3434" spans="1:6" x14ac:dyDescent="0.25">
      <c r="A3434" s="1" t="s">
        <v>1032</v>
      </c>
      <c r="B3434" s="1" t="s">
        <v>2359</v>
      </c>
      <c r="C3434" s="1" t="s">
        <v>1687</v>
      </c>
      <c r="D3434" s="3">
        <f t="shared" si="514"/>
        <v>8241</v>
      </c>
      <c r="E3434" s="2">
        <f t="shared" si="515"/>
        <v>43132</v>
      </c>
      <c r="F3434" s="2">
        <f t="shared" si="516"/>
        <v>43281</v>
      </c>
    </row>
    <row r="3435" spans="1:6" x14ac:dyDescent="0.25">
      <c r="A3435" s="1" t="s">
        <v>1032</v>
      </c>
      <c r="B3435" s="1" t="s">
        <v>2359</v>
      </c>
      <c r="C3435" s="1" t="s">
        <v>1688</v>
      </c>
      <c r="D3435" s="3">
        <f t="shared" si="514"/>
        <v>8241</v>
      </c>
      <c r="E3435" s="2">
        <f t="shared" si="515"/>
        <v>43132</v>
      </c>
      <c r="F3435" s="2">
        <f t="shared" si="516"/>
        <v>43281</v>
      </c>
    </row>
    <row r="3436" spans="1:6" x14ac:dyDescent="0.25">
      <c r="A3436" s="1" t="s">
        <v>1032</v>
      </c>
      <c r="B3436" s="1" t="s">
        <v>2359</v>
      </c>
      <c r="C3436" s="1" t="s">
        <v>212</v>
      </c>
      <c r="D3436" s="3">
        <f t="shared" si="514"/>
        <v>8241</v>
      </c>
      <c r="E3436" s="2">
        <f t="shared" si="515"/>
        <v>43132</v>
      </c>
      <c r="F3436" s="2">
        <f t="shared" si="516"/>
        <v>43281</v>
      </c>
    </row>
    <row r="3437" spans="1:6" x14ac:dyDescent="0.25">
      <c r="A3437" s="1" t="s">
        <v>1032</v>
      </c>
      <c r="B3437" s="1" t="s">
        <v>2359</v>
      </c>
      <c r="C3437" s="1" t="s">
        <v>1815</v>
      </c>
      <c r="D3437" s="3">
        <f t="shared" si="514"/>
        <v>8241</v>
      </c>
      <c r="E3437" s="2">
        <f t="shared" si="515"/>
        <v>43132</v>
      </c>
      <c r="F3437" s="2">
        <f t="shared" si="516"/>
        <v>43281</v>
      </c>
    </row>
    <row r="3438" spans="1:6" x14ac:dyDescent="0.25">
      <c r="A3438" s="1" t="s">
        <v>1032</v>
      </c>
      <c r="B3438" s="1" t="s">
        <v>2271</v>
      </c>
      <c r="C3438" s="1" t="s">
        <v>7</v>
      </c>
      <c r="D3438" s="3">
        <f>VALUE("8038")</f>
        <v>8038</v>
      </c>
      <c r="E3438" s="2">
        <f>DATEVALUE("1-3-2017")</f>
        <v>42795</v>
      </c>
      <c r="F3438" s="2">
        <f>DATEVALUE("31-7-2017")</f>
        <v>42947</v>
      </c>
    </row>
    <row r="3439" spans="1:6" x14ac:dyDescent="0.25">
      <c r="A3439" s="1" t="s">
        <v>1032</v>
      </c>
      <c r="B3439" s="1" t="s">
        <v>2271</v>
      </c>
      <c r="C3439" s="1" t="s">
        <v>599</v>
      </c>
      <c r="D3439" s="3">
        <f>VALUE("8038")</f>
        <v>8038</v>
      </c>
      <c r="E3439" s="2">
        <f>DATEVALUE("1-3-2017")</f>
        <v>42795</v>
      </c>
      <c r="F3439" s="2">
        <f>DATEVALUE("31-7-2017")</f>
        <v>42947</v>
      </c>
    </row>
    <row r="3440" spans="1:6" x14ac:dyDescent="0.25">
      <c r="A3440" s="1" t="s">
        <v>1032</v>
      </c>
      <c r="B3440" s="1" t="s">
        <v>2271</v>
      </c>
      <c r="C3440" s="1" t="s">
        <v>212</v>
      </c>
      <c r="D3440" s="3">
        <f>VALUE("8038")</f>
        <v>8038</v>
      </c>
      <c r="E3440" s="2">
        <f>DATEVALUE("1-3-2017")</f>
        <v>42795</v>
      </c>
      <c r="F3440" s="2">
        <f>DATEVALUE("31-7-2017")</f>
        <v>42947</v>
      </c>
    </row>
    <row r="3441" spans="1:6" x14ac:dyDescent="0.25">
      <c r="A3441" s="1" t="s">
        <v>1032</v>
      </c>
      <c r="B3441" s="1" t="s">
        <v>2025</v>
      </c>
      <c r="C3441" s="1" t="s">
        <v>7</v>
      </c>
      <c r="D3441" s="3">
        <f t="shared" ref="D3441:D3451" si="517">VALUE("8031")</f>
        <v>8031</v>
      </c>
      <c r="E3441" s="2">
        <f t="shared" ref="E3441:E3451" si="518">DATEVALUE("1-2-2017")</f>
        <v>42767</v>
      </c>
      <c r="F3441" s="2">
        <f t="shared" ref="F3441:F3451" si="519">DATEVALUE("31-5-2017")</f>
        <v>42886</v>
      </c>
    </row>
    <row r="3442" spans="1:6" x14ac:dyDescent="0.25">
      <c r="A3442" s="1" t="s">
        <v>1032</v>
      </c>
      <c r="B3442" s="1" t="s">
        <v>2025</v>
      </c>
      <c r="C3442" s="1" t="s">
        <v>45</v>
      </c>
      <c r="D3442" s="3">
        <f t="shared" si="517"/>
        <v>8031</v>
      </c>
      <c r="E3442" s="2">
        <f t="shared" si="518"/>
        <v>42767</v>
      </c>
      <c r="F3442" s="2">
        <f t="shared" si="519"/>
        <v>42886</v>
      </c>
    </row>
    <row r="3443" spans="1:6" x14ac:dyDescent="0.25">
      <c r="A3443" s="1" t="s">
        <v>1032</v>
      </c>
      <c r="B3443" s="1" t="s">
        <v>2025</v>
      </c>
      <c r="C3443" s="1" t="s">
        <v>140</v>
      </c>
      <c r="D3443" s="3">
        <f t="shared" si="517"/>
        <v>8031</v>
      </c>
      <c r="E3443" s="2">
        <f t="shared" si="518"/>
        <v>42767</v>
      </c>
      <c r="F3443" s="2">
        <f t="shared" si="519"/>
        <v>42886</v>
      </c>
    </row>
    <row r="3444" spans="1:6" x14ac:dyDescent="0.25">
      <c r="A3444" s="1" t="s">
        <v>1032</v>
      </c>
      <c r="B3444" s="1" t="s">
        <v>2025</v>
      </c>
      <c r="C3444" s="1" t="s">
        <v>141</v>
      </c>
      <c r="D3444" s="3">
        <f t="shared" si="517"/>
        <v>8031</v>
      </c>
      <c r="E3444" s="2">
        <f t="shared" si="518"/>
        <v>42767</v>
      </c>
      <c r="F3444" s="2">
        <f t="shared" si="519"/>
        <v>42886</v>
      </c>
    </row>
    <row r="3445" spans="1:6" x14ac:dyDescent="0.25">
      <c r="A3445" s="1" t="s">
        <v>1032</v>
      </c>
      <c r="B3445" s="1" t="s">
        <v>2025</v>
      </c>
      <c r="C3445" s="1" t="s">
        <v>14</v>
      </c>
      <c r="D3445" s="3">
        <f t="shared" si="517"/>
        <v>8031</v>
      </c>
      <c r="E3445" s="2">
        <f t="shared" si="518"/>
        <v>42767</v>
      </c>
      <c r="F3445" s="2">
        <f t="shared" si="519"/>
        <v>42886</v>
      </c>
    </row>
    <row r="3446" spans="1:6" x14ac:dyDescent="0.25">
      <c r="A3446" s="1" t="s">
        <v>1032</v>
      </c>
      <c r="B3446" s="1" t="s">
        <v>2025</v>
      </c>
      <c r="C3446" s="1" t="s">
        <v>15</v>
      </c>
      <c r="D3446" s="3">
        <f t="shared" si="517"/>
        <v>8031</v>
      </c>
      <c r="E3446" s="2">
        <f t="shared" si="518"/>
        <v>42767</v>
      </c>
      <c r="F3446" s="2">
        <f t="shared" si="519"/>
        <v>42886</v>
      </c>
    </row>
    <row r="3447" spans="1:6" x14ac:dyDescent="0.25">
      <c r="A3447" s="1" t="s">
        <v>1032</v>
      </c>
      <c r="B3447" s="1" t="s">
        <v>2025</v>
      </c>
      <c r="C3447" s="1" t="s">
        <v>88</v>
      </c>
      <c r="D3447" s="3">
        <f t="shared" si="517"/>
        <v>8031</v>
      </c>
      <c r="E3447" s="2">
        <f t="shared" si="518"/>
        <v>42767</v>
      </c>
      <c r="F3447" s="2">
        <f t="shared" si="519"/>
        <v>42886</v>
      </c>
    </row>
    <row r="3448" spans="1:6" x14ac:dyDescent="0.25">
      <c r="A3448" s="1" t="s">
        <v>1032</v>
      </c>
      <c r="B3448" s="1" t="s">
        <v>2025</v>
      </c>
      <c r="C3448" s="1" t="s">
        <v>474</v>
      </c>
      <c r="D3448" s="3">
        <f t="shared" si="517"/>
        <v>8031</v>
      </c>
      <c r="E3448" s="2">
        <f t="shared" si="518"/>
        <v>42767</v>
      </c>
      <c r="F3448" s="2">
        <f t="shared" si="519"/>
        <v>42886</v>
      </c>
    </row>
    <row r="3449" spans="1:6" x14ac:dyDescent="0.25">
      <c r="A3449" s="1" t="s">
        <v>1032</v>
      </c>
      <c r="B3449" s="1" t="s">
        <v>2025</v>
      </c>
      <c r="C3449" s="1" t="s">
        <v>24</v>
      </c>
      <c r="D3449" s="3">
        <f t="shared" si="517"/>
        <v>8031</v>
      </c>
      <c r="E3449" s="2">
        <f t="shared" si="518"/>
        <v>42767</v>
      </c>
      <c r="F3449" s="2">
        <f t="shared" si="519"/>
        <v>42886</v>
      </c>
    </row>
    <row r="3450" spans="1:6" x14ac:dyDescent="0.25">
      <c r="A3450" s="1" t="s">
        <v>1032</v>
      </c>
      <c r="B3450" s="1" t="s">
        <v>2025</v>
      </c>
      <c r="C3450" s="1" t="s">
        <v>52</v>
      </c>
      <c r="D3450" s="3">
        <f t="shared" si="517"/>
        <v>8031</v>
      </c>
      <c r="E3450" s="2">
        <f t="shared" si="518"/>
        <v>42767</v>
      </c>
      <c r="F3450" s="2">
        <f t="shared" si="519"/>
        <v>42886</v>
      </c>
    </row>
    <row r="3451" spans="1:6" x14ac:dyDescent="0.25">
      <c r="A3451" s="1" t="s">
        <v>1032</v>
      </c>
      <c r="B3451" s="1" t="s">
        <v>2025</v>
      </c>
      <c r="C3451" s="1" t="s">
        <v>34</v>
      </c>
      <c r="D3451" s="3">
        <f t="shared" si="517"/>
        <v>8031</v>
      </c>
      <c r="E3451" s="2">
        <f t="shared" si="518"/>
        <v>42767</v>
      </c>
      <c r="F3451" s="2">
        <f t="shared" si="519"/>
        <v>42886</v>
      </c>
    </row>
    <row r="3452" spans="1:6" x14ac:dyDescent="0.25">
      <c r="A3452" s="1" t="s">
        <v>1032</v>
      </c>
      <c r="B3452" s="1" t="s">
        <v>2781</v>
      </c>
      <c r="C3452" s="1" t="s">
        <v>15</v>
      </c>
      <c r="D3452" s="3">
        <f>VALUE("7954")</f>
        <v>7954</v>
      </c>
      <c r="E3452" s="2">
        <f>DATEVALUE("1-10-2016")</f>
        <v>42644</v>
      </c>
      <c r="F3452" s="2">
        <f>DATEVALUE("31-12-2016")</f>
        <v>42735</v>
      </c>
    </row>
    <row r="3453" spans="1:6" x14ac:dyDescent="0.25">
      <c r="A3453" s="1" t="s">
        <v>1032</v>
      </c>
      <c r="B3453" s="1" t="s">
        <v>2781</v>
      </c>
      <c r="C3453" s="1" t="s">
        <v>17</v>
      </c>
      <c r="D3453" s="3">
        <f>VALUE("7954")</f>
        <v>7954</v>
      </c>
      <c r="E3453" s="2">
        <f>DATEVALUE("1-10-2016")</f>
        <v>42644</v>
      </c>
      <c r="F3453" s="2">
        <f>DATEVALUE("31-12-2016")</f>
        <v>42735</v>
      </c>
    </row>
    <row r="3454" spans="1:6" x14ac:dyDescent="0.25">
      <c r="A3454" s="1" t="s">
        <v>1032</v>
      </c>
      <c r="B3454" s="1" t="s">
        <v>2781</v>
      </c>
      <c r="C3454" s="1" t="s">
        <v>22</v>
      </c>
      <c r="D3454" s="3">
        <f>VALUE("7954")</f>
        <v>7954</v>
      </c>
      <c r="E3454" s="2">
        <f>DATEVALUE("1-10-2016")</f>
        <v>42644</v>
      </c>
      <c r="F3454" s="2">
        <f>DATEVALUE("31-12-2016")</f>
        <v>42735</v>
      </c>
    </row>
    <row r="3455" spans="1:6" x14ac:dyDescent="0.25">
      <c r="A3455" s="1" t="s">
        <v>1032</v>
      </c>
      <c r="B3455" s="1" t="s">
        <v>2781</v>
      </c>
      <c r="C3455" s="1" t="s">
        <v>73</v>
      </c>
      <c r="D3455" s="3">
        <f>VALUE("7954")</f>
        <v>7954</v>
      </c>
      <c r="E3455" s="2">
        <f>DATEVALUE("1-10-2016")</f>
        <v>42644</v>
      </c>
      <c r="F3455" s="2">
        <f>DATEVALUE("31-12-2016")</f>
        <v>42735</v>
      </c>
    </row>
    <row r="3456" spans="1:6" x14ac:dyDescent="0.25">
      <c r="A3456" s="1" t="s">
        <v>1032</v>
      </c>
      <c r="B3456" s="1" t="s">
        <v>2240</v>
      </c>
      <c r="C3456" s="1" t="s">
        <v>7</v>
      </c>
      <c r="D3456" s="3">
        <f t="shared" ref="D3456:D3465" si="520">VALUE("7926")</f>
        <v>7926</v>
      </c>
      <c r="E3456" s="2">
        <f t="shared" ref="E3456:E3465" si="521">DATEVALUE("1-7-2016")</f>
        <v>42552</v>
      </c>
      <c r="F3456" s="2">
        <f t="shared" ref="F3456:F3465" si="522">DATEVALUE("31-10-2016")</f>
        <v>42674</v>
      </c>
    </row>
    <row r="3457" spans="1:6" x14ac:dyDescent="0.25">
      <c r="A3457" s="1" t="s">
        <v>1032</v>
      </c>
      <c r="B3457" s="1" t="s">
        <v>2240</v>
      </c>
      <c r="C3457" s="1" t="s">
        <v>62</v>
      </c>
      <c r="D3457" s="3">
        <f t="shared" si="520"/>
        <v>7926</v>
      </c>
      <c r="E3457" s="2">
        <f t="shared" si="521"/>
        <v>42552</v>
      </c>
      <c r="F3457" s="2">
        <f t="shared" si="522"/>
        <v>42674</v>
      </c>
    </row>
    <row r="3458" spans="1:6" x14ac:dyDescent="0.25">
      <c r="A3458" s="1" t="s">
        <v>1032</v>
      </c>
      <c r="B3458" s="1" t="s">
        <v>2240</v>
      </c>
      <c r="C3458" s="1" t="s">
        <v>63</v>
      </c>
      <c r="D3458" s="3">
        <f t="shared" si="520"/>
        <v>7926</v>
      </c>
      <c r="E3458" s="2">
        <f t="shared" si="521"/>
        <v>42552</v>
      </c>
      <c r="F3458" s="2">
        <f t="shared" si="522"/>
        <v>42674</v>
      </c>
    </row>
    <row r="3459" spans="1:6" x14ac:dyDescent="0.25">
      <c r="A3459" s="1" t="s">
        <v>1032</v>
      </c>
      <c r="B3459" s="1" t="s">
        <v>2240</v>
      </c>
      <c r="C3459" s="1" t="s">
        <v>414</v>
      </c>
      <c r="D3459" s="3">
        <f t="shared" si="520"/>
        <v>7926</v>
      </c>
      <c r="E3459" s="2">
        <f t="shared" si="521"/>
        <v>42552</v>
      </c>
      <c r="F3459" s="2">
        <f t="shared" si="522"/>
        <v>42674</v>
      </c>
    </row>
    <row r="3460" spans="1:6" x14ac:dyDescent="0.25">
      <c r="A3460" s="1" t="s">
        <v>1032</v>
      </c>
      <c r="B3460" s="1" t="s">
        <v>2240</v>
      </c>
      <c r="C3460" s="1" t="s">
        <v>16</v>
      </c>
      <c r="D3460" s="3">
        <f t="shared" si="520"/>
        <v>7926</v>
      </c>
      <c r="E3460" s="2">
        <f t="shared" si="521"/>
        <v>42552</v>
      </c>
      <c r="F3460" s="2">
        <f t="shared" si="522"/>
        <v>42674</v>
      </c>
    </row>
    <row r="3461" spans="1:6" x14ac:dyDescent="0.25">
      <c r="A3461" s="1" t="s">
        <v>1032</v>
      </c>
      <c r="B3461" s="1" t="s">
        <v>2240</v>
      </c>
      <c r="C3461" s="1" t="s">
        <v>17</v>
      </c>
      <c r="D3461" s="3">
        <f t="shared" si="520"/>
        <v>7926</v>
      </c>
      <c r="E3461" s="2">
        <f t="shared" si="521"/>
        <v>42552</v>
      </c>
      <c r="F3461" s="2">
        <f t="shared" si="522"/>
        <v>42674</v>
      </c>
    </row>
    <row r="3462" spans="1:6" x14ac:dyDescent="0.25">
      <c r="A3462" s="1" t="s">
        <v>1032</v>
      </c>
      <c r="B3462" s="1" t="s">
        <v>2240</v>
      </c>
      <c r="C3462" s="1" t="s">
        <v>475</v>
      </c>
      <c r="D3462" s="3">
        <f t="shared" si="520"/>
        <v>7926</v>
      </c>
      <c r="E3462" s="2">
        <f t="shared" si="521"/>
        <v>42552</v>
      </c>
      <c r="F3462" s="2">
        <f t="shared" si="522"/>
        <v>42674</v>
      </c>
    </row>
    <row r="3463" spans="1:6" x14ac:dyDescent="0.25">
      <c r="A3463" s="1" t="s">
        <v>1032</v>
      </c>
      <c r="B3463" s="1" t="s">
        <v>2240</v>
      </c>
      <c r="C3463" s="1" t="s">
        <v>73</v>
      </c>
      <c r="D3463" s="3">
        <f t="shared" si="520"/>
        <v>7926</v>
      </c>
      <c r="E3463" s="2">
        <f t="shared" si="521"/>
        <v>42552</v>
      </c>
      <c r="F3463" s="2">
        <f t="shared" si="522"/>
        <v>42674</v>
      </c>
    </row>
    <row r="3464" spans="1:6" x14ac:dyDescent="0.25">
      <c r="A3464" s="1" t="s">
        <v>1032</v>
      </c>
      <c r="B3464" s="1" t="s">
        <v>2240</v>
      </c>
      <c r="C3464" s="1" t="s">
        <v>52</v>
      </c>
      <c r="D3464" s="3">
        <f t="shared" si="520"/>
        <v>7926</v>
      </c>
      <c r="E3464" s="2">
        <f t="shared" si="521"/>
        <v>42552</v>
      </c>
      <c r="F3464" s="2">
        <f t="shared" si="522"/>
        <v>42674</v>
      </c>
    </row>
    <row r="3465" spans="1:6" x14ac:dyDescent="0.25">
      <c r="A3465" s="1" t="s">
        <v>1032</v>
      </c>
      <c r="B3465" s="1" t="s">
        <v>2240</v>
      </c>
      <c r="C3465" s="1" t="s">
        <v>36</v>
      </c>
      <c r="D3465" s="3">
        <f t="shared" si="520"/>
        <v>7926</v>
      </c>
      <c r="E3465" s="2">
        <f t="shared" si="521"/>
        <v>42552</v>
      </c>
      <c r="F3465" s="2">
        <f t="shared" si="522"/>
        <v>42674</v>
      </c>
    </row>
    <row r="3466" spans="1:6" x14ac:dyDescent="0.25">
      <c r="A3466" s="1" t="s">
        <v>1032</v>
      </c>
      <c r="B3466" s="1" t="s">
        <v>1964</v>
      </c>
      <c r="C3466" s="1" t="s">
        <v>1966</v>
      </c>
      <c r="D3466" s="3">
        <f t="shared" ref="D3466:D3477" si="523">VALUE("7731")</f>
        <v>7731</v>
      </c>
      <c r="E3466" s="2">
        <f t="shared" ref="E3466:E3477" si="524">DATEVALUE("1-6-2015")</f>
        <v>42156</v>
      </c>
      <c r="F3466" s="2">
        <f t="shared" ref="F3466:F3477" si="525">DATEVALUE("31-12-2015")</f>
        <v>42369</v>
      </c>
    </row>
    <row r="3467" spans="1:6" x14ac:dyDescent="0.25">
      <c r="A3467" s="1" t="s">
        <v>1032</v>
      </c>
      <c r="B3467" s="1" t="s">
        <v>1964</v>
      </c>
      <c r="C3467" s="1" t="s">
        <v>7</v>
      </c>
      <c r="D3467" s="3">
        <f t="shared" si="523"/>
        <v>7731</v>
      </c>
      <c r="E3467" s="2">
        <f t="shared" si="524"/>
        <v>42156</v>
      </c>
      <c r="F3467" s="2">
        <f t="shared" si="525"/>
        <v>42369</v>
      </c>
    </row>
    <row r="3468" spans="1:6" x14ac:dyDescent="0.25">
      <c r="A3468" s="1" t="s">
        <v>1032</v>
      </c>
      <c r="B3468" s="1" t="s">
        <v>1964</v>
      </c>
      <c r="C3468" s="1" t="s">
        <v>13</v>
      </c>
      <c r="D3468" s="3">
        <f t="shared" si="523"/>
        <v>7731</v>
      </c>
      <c r="E3468" s="2">
        <f t="shared" si="524"/>
        <v>42156</v>
      </c>
      <c r="F3468" s="2">
        <f t="shared" si="525"/>
        <v>42369</v>
      </c>
    </row>
    <row r="3469" spans="1:6" x14ac:dyDescent="0.25">
      <c r="A3469" s="1" t="s">
        <v>1032</v>
      </c>
      <c r="B3469" s="1" t="s">
        <v>1964</v>
      </c>
      <c r="C3469" s="1" t="s">
        <v>23</v>
      </c>
      <c r="D3469" s="3">
        <f t="shared" si="523"/>
        <v>7731</v>
      </c>
      <c r="E3469" s="2">
        <f t="shared" si="524"/>
        <v>42156</v>
      </c>
      <c r="F3469" s="2">
        <f t="shared" si="525"/>
        <v>42369</v>
      </c>
    </row>
    <row r="3470" spans="1:6" x14ac:dyDescent="0.25">
      <c r="A3470" s="1" t="s">
        <v>1032</v>
      </c>
      <c r="B3470" s="1" t="s">
        <v>1964</v>
      </c>
      <c r="C3470" s="1" t="s">
        <v>1965</v>
      </c>
      <c r="D3470" s="3">
        <f t="shared" si="523"/>
        <v>7731</v>
      </c>
      <c r="E3470" s="2">
        <f t="shared" si="524"/>
        <v>42156</v>
      </c>
      <c r="F3470" s="2">
        <f t="shared" si="525"/>
        <v>42369</v>
      </c>
    </row>
    <row r="3471" spans="1:6" x14ac:dyDescent="0.25">
      <c r="A3471" s="1" t="s">
        <v>1032</v>
      </c>
      <c r="B3471" s="1" t="s">
        <v>1964</v>
      </c>
      <c r="C3471" s="1" t="s">
        <v>1813</v>
      </c>
      <c r="D3471" s="3">
        <f t="shared" si="523"/>
        <v>7731</v>
      </c>
      <c r="E3471" s="2">
        <f t="shared" si="524"/>
        <v>42156</v>
      </c>
      <c r="F3471" s="2">
        <f t="shared" si="525"/>
        <v>42369</v>
      </c>
    </row>
    <row r="3472" spans="1:6" x14ac:dyDescent="0.25">
      <c r="A3472" s="1" t="s">
        <v>1032</v>
      </c>
      <c r="B3472" s="1" t="s">
        <v>1964</v>
      </c>
      <c r="C3472" s="1" t="s">
        <v>1814</v>
      </c>
      <c r="D3472" s="3">
        <f t="shared" si="523"/>
        <v>7731</v>
      </c>
      <c r="E3472" s="2">
        <f t="shared" si="524"/>
        <v>42156</v>
      </c>
      <c r="F3472" s="2">
        <f t="shared" si="525"/>
        <v>42369</v>
      </c>
    </row>
    <row r="3473" spans="1:6" x14ac:dyDescent="0.25">
      <c r="A3473" s="1" t="s">
        <v>1032</v>
      </c>
      <c r="B3473" s="1" t="s">
        <v>1964</v>
      </c>
      <c r="C3473" s="1" t="s">
        <v>1680</v>
      </c>
      <c r="D3473" s="3">
        <f t="shared" si="523"/>
        <v>7731</v>
      </c>
      <c r="E3473" s="2">
        <f t="shared" si="524"/>
        <v>42156</v>
      </c>
      <c r="F3473" s="2">
        <f t="shared" si="525"/>
        <v>42369</v>
      </c>
    </row>
    <row r="3474" spans="1:6" x14ac:dyDescent="0.25">
      <c r="A3474" s="1" t="s">
        <v>1032</v>
      </c>
      <c r="B3474" s="1" t="s">
        <v>1964</v>
      </c>
      <c r="C3474" s="1" t="s">
        <v>1681</v>
      </c>
      <c r="D3474" s="3">
        <f t="shared" si="523"/>
        <v>7731</v>
      </c>
      <c r="E3474" s="2">
        <f t="shared" si="524"/>
        <v>42156</v>
      </c>
      <c r="F3474" s="2">
        <f t="shared" si="525"/>
        <v>42369</v>
      </c>
    </row>
    <row r="3475" spans="1:6" x14ac:dyDescent="0.25">
      <c r="A3475" s="1" t="s">
        <v>1032</v>
      </c>
      <c r="B3475" s="1" t="s">
        <v>1964</v>
      </c>
      <c r="C3475" s="1" t="s">
        <v>1682</v>
      </c>
      <c r="D3475" s="3">
        <f t="shared" si="523"/>
        <v>7731</v>
      </c>
      <c r="E3475" s="2">
        <f t="shared" si="524"/>
        <v>42156</v>
      </c>
      <c r="F3475" s="2">
        <f t="shared" si="525"/>
        <v>42369</v>
      </c>
    </row>
    <row r="3476" spans="1:6" x14ac:dyDescent="0.25">
      <c r="A3476" s="1" t="s">
        <v>1032</v>
      </c>
      <c r="B3476" s="1" t="s">
        <v>1964</v>
      </c>
      <c r="C3476" s="1" t="s">
        <v>194</v>
      </c>
      <c r="D3476" s="3">
        <f t="shared" si="523"/>
        <v>7731</v>
      </c>
      <c r="E3476" s="2">
        <f t="shared" si="524"/>
        <v>42156</v>
      </c>
      <c r="F3476" s="2">
        <f t="shared" si="525"/>
        <v>42369</v>
      </c>
    </row>
    <row r="3477" spans="1:6" x14ac:dyDescent="0.25">
      <c r="A3477" s="1" t="s">
        <v>1032</v>
      </c>
      <c r="B3477" s="1" t="s">
        <v>1964</v>
      </c>
      <c r="C3477" s="1" t="s">
        <v>240</v>
      </c>
      <c r="D3477" s="3">
        <f t="shared" si="523"/>
        <v>7731</v>
      </c>
      <c r="E3477" s="2">
        <f t="shared" si="524"/>
        <v>42156</v>
      </c>
      <c r="F3477" s="2">
        <f t="shared" si="525"/>
        <v>42369</v>
      </c>
    </row>
    <row r="3478" spans="1:6" x14ac:dyDescent="0.25">
      <c r="A3478" s="1" t="s">
        <v>1032</v>
      </c>
      <c r="B3478" s="1" t="s">
        <v>2676</v>
      </c>
      <c r="C3478" s="1" t="s">
        <v>479</v>
      </c>
      <c r="D3478" s="3">
        <f>VALUE("7365")</f>
        <v>7365</v>
      </c>
      <c r="E3478" s="2">
        <f>DATEVALUE("1-11-2012")</f>
        <v>41214</v>
      </c>
      <c r="F3478" s="2">
        <f>DATEVALUE("31-12-2012")</f>
        <v>41274</v>
      </c>
    </row>
    <row r="3479" spans="1:6" x14ac:dyDescent="0.25">
      <c r="A3479" s="1" t="s">
        <v>1627</v>
      </c>
      <c r="B3479" s="1" t="s">
        <v>1626</v>
      </c>
      <c r="C3479" s="1" t="s">
        <v>1628</v>
      </c>
      <c r="D3479" s="3">
        <f>VALUE("8802")</f>
        <v>8802</v>
      </c>
      <c r="E3479" s="2">
        <f>DATEVALUE("1-4-2020")</f>
        <v>43922</v>
      </c>
      <c r="F3479" s="2">
        <f>DATEVALUE("30-9-2020")</f>
        <v>44104</v>
      </c>
    </row>
    <row r="3480" spans="1:6" x14ac:dyDescent="0.25">
      <c r="A3480" s="1" t="s">
        <v>435</v>
      </c>
      <c r="B3480" s="1" t="s">
        <v>1150</v>
      </c>
      <c r="C3480" s="1" t="s">
        <v>1153</v>
      </c>
      <c r="D3480" s="3">
        <f>VALUE("8429")</f>
        <v>8429</v>
      </c>
      <c r="E3480" s="2">
        <f>DATEVALUE("1-12-2019")</f>
        <v>43800</v>
      </c>
      <c r="F3480" s="2">
        <f>DATEVALUE("30-9-2025")</f>
        <v>45930</v>
      </c>
    </row>
    <row r="3481" spans="1:6" x14ac:dyDescent="0.25">
      <c r="A3481" s="1" t="s">
        <v>435</v>
      </c>
      <c r="B3481" s="1" t="s">
        <v>1150</v>
      </c>
      <c r="C3481" s="1" t="s">
        <v>1151</v>
      </c>
      <c r="D3481" s="3">
        <f>VALUE("8429")</f>
        <v>8429</v>
      </c>
      <c r="E3481" s="2">
        <f>DATEVALUE("1-12-2019")</f>
        <v>43800</v>
      </c>
      <c r="F3481" s="2">
        <f>DATEVALUE("30-9-2025")</f>
        <v>45930</v>
      </c>
    </row>
    <row r="3482" spans="1:6" x14ac:dyDescent="0.25">
      <c r="A3482" s="1" t="s">
        <v>435</v>
      </c>
      <c r="B3482" s="1" t="s">
        <v>1150</v>
      </c>
      <c r="C3482" s="1" t="s">
        <v>7</v>
      </c>
      <c r="D3482" s="3">
        <f>VALUE("8429")</f>
        <v>8429</v>
      </c>
      <c r="E3482" s="2">
        <f>DATEVALUE("1-12-2019")</f>
        <v>43800</v>
      </c>
      <c r="F3482" s="2">
        <f>DATEVALUE("30-9-2025")</f>
        <v>45930</v>
      </c>
    </row>
    <row r="3483" spans="1:6" x14ac:dyDescent="0.25">
      <c r="A3483" s="1" t="s">
        <v>435</v>
      </c>
      <c r="B3483" s="1" t="s">
        <v>1150</v>
      </c>
      <c r="C3483" s="1" t="s">
        <v>1152</v>
      </c>
      <c r="D3483" s="3">
        <f>VALUE("8429")</f>
        <v>8429</v>
      </c>
      <c r="E3483" s="2">
        <f>DATEVALUE("1-12-2019")</f>
        <v>43800</v>
      </c>
      <c r="F3483" s="2">
        <f>DATEVALUE("30-9-2025")</f>
        <v>45930</v>
      </c>
    </row>
    <row r="3484" spans="1:6" x14ac:dyDescent="0.25">
      <c r="A3484" s="1" t="s">
        <v>435</v>
      </c>
      <c r="B3484" s="1" t="s">
        <v>1150</v>
      </c>
      <c r="C3484" s="1" t="s">
        <v>212</v>
      </c>
      <c r="D3484" s="3">
        <f>VALUE("8429")</f>
        <v>8429</v>
      </c>
      <c r="E3484" s="2">
        <f>DATEVALUE("1-12-2019")</f>
        <v>43800</v>
      </c>
      <c r="F3484" s="2">
        <f>DATEVALUE("30-9-2025")</f>
        <v>45930</v>
      </c>
    </row>
    <row r="3485" spans="1:6" x14ac:dyDescent="0.25">
      <c r="A3485" s="1" t="s">
        <v>435</v>
      </c>
      <c r="B3485" s="1" t="s">
        <v>2305</v>
      </c>
      <c r="C3485" s="1" t="s">
        <v>7</v>
      </c>
      <c r="D3485" s="3">
        <f>VALUE("8127")</f>
        <v>8127</v>
      </c>
      <c r="E3485" s="2">
        <f>DATEVALUE("1-5-2018")</f>
        <v>43221</v>
      </c>
      <c r="F3485" s="2">
        <f>DATEVALUE("31-12-2018")</f>
        <v>43465</v>
      </c>
    </row>
    <row r="3486" spans="1:6" x14ac:dyDescent="0.25">
      <c r="A3486" s="1" t="s">
        <v>435</v>
      </c>
      <c r="B3486" s="1" t="s">
        <v>2305</v>
      </c>
      <c r="C3486" s="1" t="s">
        <v>13</v>
      </c>
      <c r="D3486" s="3">
        <f>VALUE("8127")</f>
        <v>8127</v>
      </c>
      <c r="E3486" s="2">
        <f>DATEVALUE("1-5-2018")</f>
        <v>43221</v>
      </c>
      <c r="F3486" s="2">
        <f>DATEVALUE("31-12-2018")</f>
        <v>43465</v>
      </c>
    </row>
    <row r="3487" spans="1:6" x14ac:dyDescent="0.25">
      <c r="A3487" s="1" t="s">
        <v>435</v>
      </c>
      <c r="B3487" s="1" t="s">
        <v>2305</v>
      </c>
      <c r="C3487" s="1" t="s">
        <v>212</v>
      </c>
      <c r="D3487" s="3">
        <f>VALUE("8127")</f>
        <v>8127</v>
      </c>
      <c r="E3487" s="2">
        <f>DATEVALUE("1-5-2018")</f>
        <v>43221</v>
      </c>
      <c r="F3487" s="2">
        <f>DATEVALUE("31-12-2018")</f>
        <v>43465</v>
      </c>
    </row>
    <row r="3488" spans="1:6" x14ac:dyDescent="0.25">
      <c r="A3488" s="1" t="s">
        <v>435</v>
      </c>
      <c r="B3488" s="1" t="s">
        <v>838</v>
      </c>
      <c r="C3488" s="1" t="s">
        <v>141</v>
      </c>
      <c r="D3488" s="3">
        <f t="shared" ref="D3488:D3511" si="526">VALUE("8064")</f>
        <v>8064</v>
      </c>
      <c r="E3488" s="2">
        <f t="shared" ref="E3488:E3511" si="527">DATEVALUE("1-7-2017")</f>
        <v>42917</v>
      </c>
      <c r="F3488" s="2">
        <f t="shared" ref="F3488:F3511" si="528">DATEVALUE("30-6-2025")</f>
        <v>45838</v>
      </c>
    </row>
    <row r="3489" spans="1:6" x14ac:dyDescent="0.25">
      <c r="A3489" s="1" t="s">
        <v>435</v>
      </c>
      <c r="B3489" s="1" t="s">
        <v>838</v>
      </c>
      <c r="C3489" s="1" t="s">
        <v>142</v>
      </c>
      <c r="D3489" s="3">
        <f t="shared" si="526"/>
        <v>8064</v>
      </c>
      <c r="E3489" s="2">
        <f t="shared" si="527"/>
        <v>42917</v>
      </c>
      <c r="F3489" s="2">
        <f t="shared" si="528"/>
        <v>45838</v>
      </c>
    </row>
    <row r="3490" spans="1:6" x14ac:dyDescent="0.25">
      <c r="A3490" s="1" t="s">
        <v>435</v>
      </c>
      <c r="B3490" s="1" t="s">
        <v>838</v>
      </c>
      <c r="C3490" s="1" t="s">
        <v>14</v>
      </c>
      <c r="D3490" s="3">
        <f t="shared" si="526"/>
        <v>8064</v>
      </c>
      <c r="E3490" s="2">
        <f t="shared" si="527"/>
        <v>42917</v>
      </c>
      <c r="F3490" s="2">
        <f t="shared" si="528"/>
        <v>45838</v>
      </c>
    </row>
    <row r="3491" spans="1:6" x14ac:dyDescent="0.25">
      <c r="A3491" s="1" t="s">
        <v>435</v>
      </c>
      <c r="B3491" s="1" t="s">
        <v>838</v>
      </c>
      <c r="C3491" s="1" t="s">
        <v>15</v>
      </c>
      <c r="D3491" s="3">
        <f t="shared" si="526"/>
        <v>8064</v>
      </c>
      <c r="E3491" s="2">
        <f t="shared" si="527"/>
        <v>42917</v>
      </c>
      <c r="F3491" s="2">
        <f t="shared" si="528"/>
        <v>45838</v>
      </c>
    </row>
    <row r="3492" spans="1:6" x14ac:dyDescent="0.25">
      <c r="A3492" s="1" t="s">
        <v>435</v>
      </c>
      <c r="B3492" s="1" t="s">
        <v>838</v>
      </c>
      <c r="C3492" s="1" t="s">
        <v>17</v>
      </c>
      <c r="D3492" s="3">
        <f t="shared" si="526"/>
        <v>8064</v>
      </c>
      <c r="E3492" s="2">
        <f t="shared" si="527"/>
        <v>42917</v>
      </c>
      <c r="F3492" s="2">
        <f t="shared" si="528"/>
        <v>45838</v>
      </c>
    </row>
    <row r="3493" spans="1:6" x14ac:dyDescent="0.25">
      <c r="A3493" s="1" t="s">
        <v>435</v>
      </c>
      <c r="B3493" s="1" t="s">
        <v>838</v>
      </c>
      <c r="C3493" s="1" t="s">
        <v>127</v>
      </c>
      <c r="D3493" s="3">
        <f t="shared" si="526"/>
        <v>8064</v>
      </c>
      <c r="E3493" s="2">
        <f t="shared" si="527"/>
        <v>42917</v>
      </c>
      <c r="F3493" s="2">
        <f t="shared" si="528"/>
        <v>45838</v>
      </c>
    </row>
    <row r="3494" spans="1:6" x14ac:dyDescent="0.25">
      <c r="A3494" s="1" t="s">
        <v>435</v>
      </c>
      <c r="B3494" s="1" t="s">
        <v>838</v>
      </c>
      <c r="C3494" s="1" t="s">
        <v>168</v>
      </c>
      <c r="D3494" s="3">
        <f t="shared" si="526"/>
        <v>8064</v>
      </c>
      <c r="E3494" s="2">
        <f t="shared" si="527"/>
        <v>42917</v>
      </c>
      <c r="F3494" s="2">
        <f t="shared" si="528"/>
        <v>45838</v>
      </c>
    </row>
    <row r="3495" spans="1:6" x14ac:dyDescent="0.25">
      <c r="A3495" s="1" t="s">
        <v>435</v>
      </c>
      <c r="B3495" s="1" t="s">
        <v>838</v>
      </c>
      <c r="C3495" s="1" t="s">
        <v>22</v>
      </c>
      <c r="D3495" s="3">
        <f t="shared" si="526"/>
        <v>8064</v>
      </c>
      <c r="E3495" s="2">
        <f t="shared" si="527"/>
        <v>42917</v>
      </c>
      <c r="F3495" s="2">
        <f t="shared" si="528"/>
        <v>45838</v>
      </c>
    </row>
    <row r="3496" spans="1:6" x14ac:dyDescent="0.25">
      <c r="A3496" s="1" t="s">
        <v>435</v>
      </c>
      <c r="B3496" s="1" t="s">
        <v>838</v>
      </c>
      <c r="C3496" s="1" t="s">
        <v>250</v>
      </c>
      <c r="D3496" s="3">
        <f t="shared" si="526"/>
        <v>8064</v>
      </c>
      <c r="E3496" s="2">
        <f t="shared" si="527"/>
        <v>42917</v>
      </c>
      <c r="F3496" s="2">
        <f t="shared" si="528"/>
        <v>45838</v>
      </c>
    </row>
    <row r="3497" spans="1:6" x14ac:dyDescent="0.25">
      <c r="A3497" s="1" t="s">
        <v>435</v>
      </c>
      <c r="B3497" s="1" t="s">
        <v>838</v>
      </c>
      <c r="C3497" s="1" t="s">
        <v>146</v>
      </c>
      <c r="D3497" s="3">
        <f t="shared" si="526"/>
        <v>8064</v>
      </c>
      <c r="E3497" s="2">
        <f t="shared" si="527"/>
        <v>42917</v>
      </c>
      <c r="F3497" s="2">
        <f t="shared" si="528"/>
        <v>45838</v>
      </c>
    </row>
    <row r="3498" spans="1:6" x14ac:dyDescent="0.25">
      <c r="A3498" s="1" t="s">
        <v>435</v>
      </c>
      <c r="B3498" s="1" t="s">
        <v>838</v>
      </c>
      <c r="C3498" s="1" t="s">
        <v>67</v>
      </c>
      <c r="D3498" s="3">
        <f t="shared" si="526"/>
        <v>8064</v>
      </c>
      <c r="E3498" s="2">
        <f t="shared" si="527"/>
        <v>42917</v>
      </c>
      <c r="F3498" s="2">
        <f t="shared" si="528"/>
        <v>45838</v>
      </c>
    </row>
    <row r="3499" spans="1:6" x14ac:dyDescent="0.25">
      <c r="A3499" s="1" t="s">
        <v>435</v>
      </c>
      <c r="B3499" s="1" t="s">
        <v>838</v>
      </c>
      <c r="C3499" s="1" t="s">
        <v>148</v>
      </c>
      <c r="D3499" s="3">
        <f t="shared" si="526"/>
        <v>8064</v>
      </c>
      <c r="E3499" s="2">
        <f t="shared" si="527"/>
        <v>42917</v>
      </c>
      <c r="F3499" s="2">
        <f t="shared" si="528"/>
        <v>45838</v>
      </c>
    </row>
    <row r="3500" spans="1:6" x14ac:dyDescent="0.25">
      <c r="A3500" s="1" t="s">
        <v>435</v>
      </c>
      <c r="B3500" s="1" t="s">
        <v>838</v>
      </c>
      <c r="C3500" s="1" t="s">
        <v>149</v>
      </c>
      <c r="D3500" s="3">
        <f t="shared" si="526"/>
        <v>8064</v>
      </c>
      <c r="E3500" s="2">
        <f t="shared" si="527"/>
        <v>42917</v>
      </c>
      <c r="F3500" s="2">
        <f t="shared" si="528"/>
        <v>45838</v>
      </c>
    </row>
    <row r="3501" spans="1:6" x14ac:dyDescent="0.25">
      <c r="A3501" s="1" t="s">
        <v>435</v>
      </c>
      <c r="B3501" s="1" t="s">
        <v>838</v>
      </c>
      <c r="C3501" s="1" t="s">
        <v>150</v>
      </c>
      <c r="D3501" s="3">
        <f t="shared" si="526"/>
        <v>8064</v>
      </c>
      <c r="E3501" s="2">
        <f t="shared" si="527"/>
        <v>42917</v>
      </c>
      <c r="F3501" s="2">
        <f t="shared" si="528"/>
        <v>45838</v>
      </c>
    </row>
    <row r="3502" spans="1:6" x14ac:dyDescent="0.25">
      <c r="A3502" s="1" t="s">
        <v>435</v>
      </c>
      <c r="B3502" s="1" t="s">
        <v>838</v>
      </c>
      <c r="C3502" s="1" t="s">
        <v>172</v>
      </c>
      <c r="D3502" s="3">
        <f t="shared" si="526"/>
        <v>8064</v>
      </c>
      <c r="E3502" s="2">
        <f t="shared" si="527"/>
        <v>42917</v>
      </c>
      <c r="F3502" s="2">
        <f t="shared" si="528"/>
        <v>45838</v>
      </c>
    </row>
    <row r="3503" spans="1:6" x14ac:dyDescent="0.25">
      <c r="A3503" s="1" t="s">
        <v>435</v>
      </c>
      <c r="B3503" s="1" t="s">
        <v>838</v>
      </c>
      <c r="C3503" s="1" t="s">
        <v>839</v>
      </c>
      <c r="D3503" s="3">
        <f t="shared" si="526"/>
        <v>8064</v>
      </c>
      <c r="E3503" s="2">
        <f t="shared" si="527"/>
        <v>42917</v>
      </c>
      <c r="F3503" s="2">
        <f t="shared" si="528"/>
        <v>45838</v>
      </c>
    </row>
    <row r="3504" spans="1:6" x14ac:dyDescent="0.25">
      <c r="A3504" s="1" t="s">
        <v>435</v>
      </c>
      <c r="B3504" s="1" t="s">
        <v>838</v>
      </c>
      <c r="C3504" s="1" t="s">
        <v>208</v>
      </c>
      <c r="D3504" s="3">
        <f t="shared" si="526"/>
        <v>8064</v>
      </c>
      <c r="E3504" s="2">
        <f t="shared" si="527"/>
        <v>42917</v>
      </c>
      <c r="F3504" s="2">
        <f t="shared" si="528"/>
        <v>45838</v>
      </c>
    </row>
    <row r="3505" spans="1:6" x14ac:dyDescent="0.25">
      <c r="A3505" s="1" t="s">
        <v>435</v>
      </c>
      <c r="B3505" s="1" t="s">
        <v>838</v>
      </c>
      <c r="C3505" s="1" t="s">
        <v>72</v>
      </c>
      <c r="D3505" s="3">
        <f t="shared" si="526"/>
        <v>8064</v>
      </c>
      <c r="E3505" s="2">
        <f t="shared" si="527"/>
        <v>42917</v>
      </c>
      <c r="F3505" s="2">
        <f t="shared" si="528"/>
        <v>45838</v>
      </c>
    </row>
    <row r="3506" spans="1:6" x14ac:dyDescent="0.25">
      <c r="A3506" s="1" t="s">
        <v>435</v>
      </c>
      <c r="B3506" s="1" t="s">
        <v>838</v>
      </c>
      <c r="C3506" s="1" t="s">
        <v>52</v>
      </c>
      <c r="D3506" s="3">
        <f t="shared" si="526"/>
        <v>8064</v>
      </c>
      <c r="E3506" s="2">
        <f t="shared" si="527"/>
        <v>42917</v>
      </c>
      <c r="F3506" s="2">
        <f t="shared" si="528"/>
        <v>45838</v>
      </c>
    </row>
    <row r="3507" spans="1:6" x14ac:dyDescent="0.25">
      <c r="A3507" s="1" t="s">
        <v>435</v>
      </c>
      <c r="B3507" s="1" t="s">
        <v>838</v>
      </c>
      <c r="C3507" s="1" t="s">
        <v>160</v>
      </c>
      <c r="D3507" s="3">
        <f t="shared" si="526"/>
        <v>8064</v>
      </c>
      <c r="E3507" s="2">
        <f t="shared" si="527"/>
        <v>42917</v>
      </c>
      <c r="F3507" s="2">
        <f t="shared" si="528"/>
        <v>45838</v>
      </c>
    </row>
    <row r="3508" spans="1:6" x14ac:dyDescent="0.25">
      <c r="A3508" s="1" t="s">
        <v>435</v>
      </c>
      <c r="B3508" s="1" t="s">
        <v>838</v>
      </c>
      <c r="C3508" s="1" t="s">
        <v>393</v>
      </c>
      <c r="D3508" s="3">
        <f t="shared" si="526"/>
        <v>8064</v>
      </c>
      <c r="E3508" s="2">
        <f t="shared" si="527"/>
        <v>42917</v>
      </c>
      <c r="F3508" s="2">
        <f t="shared" si="528"/>
        <v>45838</v>
      </c>
    </row>
    <row r="3509" spans="1:6" x14ac:dyDescent="0.25">
      <c r="A3509" s="1" t="s">
        <v>435</v>
      </c>
      <c r="B3509" s="1" t="s">
        <v>838</v>
      </c>
      <c r="C3509" s="1" t="s">
        <v>133</v>
      </c>
      <c r="D3509" s="3">
        <f t="shared" si="526"/>
        <v>8064</v>
      </c>
      <c r="E3509" s="2">
        <f t="shared" si="527"/>
        <v>42917</v>
      </c>
      <c r="F3509" s="2">
        <f t="shared" si="528"/>
        <v>45838</v>
      </c>
    </row>
    <row r="3510" spans="1:6" x14ac:dyDescent="0.25">
      <c r="A3510" s="1" t="s">
        <v>435</v>
      </c>
      <c r="B3510" s="1" t="s">
        <v>838</v>
      </c>
      <c r="C3510" s="1" t="s">
        <v>134</v>
      </c>
      <c r="D3510" s="3">
        <f t="shared" si="526"/>
        <v>8064</v>
      </c>
      <c r="E3510" s="2">
        <f t="shared" si="527"/>
        <v>42917</v>
      </c>
      <c r="F3510" s="2">
        <f t="shared" si="528"/>
        <v>45838</v>
      </c>
    </row>
    <row r="3511" spans="1:6" x14ac:dyDescent="0.25">
      <c r="A3511" s="1" t="s">
        <v>435</v>
      </c>
      <c r="B3511" s="1" t="s">
        <v>838</v>
      </c>
      <c r="C3511" s="1" t="s">
        <v>170</v>
      </c>
      <c r="D3511" s="3">
        <f t="shared" si="526"/>
        <v>8064</v>
      </c>
      <c r="E3511" s="2">
        <f t="shared" si="527"/>
        <v>42917</v>
      </c>
      <c r="F3511" s="2">
        <f t="shared" si="528"/>
        <v>45838</v>
      </c>
    </row>
    <row r="3512" spans="1:6" x14ac:dyDescent="0.25">
      <c r="A3512" s="1" t="s">
        <v>435</v>
      </c>
      <c r="B3512" s="1" t="s">
        <v>783</v>
      </c>
      <c r="C3512" s="1" t="s">
        <v>785</v>
      </c>
      <c r="D3512" s="3">
        <f t="shared" ref="D3512:D3548" si="529">VALUE("7996")</f>
        <v>7996</v>
      </c>
      <c r="E3512" s="2">
        <f t="shared" ref="E3512:E3548" si="530">DATEVALUE("1-2-2017")</f>
        <v>42767</v>
      </c>
      <c r="F3512" s="2">
        <f t="shared" ref="F3512:F3548" si="531">DATEVALUE("31-1-2021")</f>
        <v>44227</v>
      </c>
    </row>
    <row r="3513" spans="1:6" x14ac:dyDescent="0.25">
      <c r="A3513" s="1" t="s">
        <v>435</v>
      </c>
      <c r="B3513" s="1" t="s">
        <v>783</v>
      </c>
      <c r="C3513" s="1" t="s">
        <v>5</v>
      </c>
      <c r="D3513" s="3">
        <f t="shared" si="529"/>
        <v>7996</v>
      </c>
      <c r="E3513" s="2">
        <f t="shared" si="530"/>
        <v>42767</v>
      </c>
      <c r="F3513" s="2">
        <f t="shared" si="531"/>
        <v>44227</v>
      </c>
    </row>
    <row r="3514" spans="1:6" x14ac:dyDescent="0.25">
      <c r="A3514" s="1" t="s">
        <v>435</v>
      </c>
      <c r="B3514" s="1" t="s">
        <v>783</v>
      </c>
      <c r="C3514" s="1" t="s">
        <v>81</v>
      </c>
      <c r="D3514" s="3">
        <f t="shared" si="529"/>
        <v>7996</v>
      </c>
      <c r="E3514" s="2">
        <f t="shared" si="530"/>
        <v>42767</v>
      </c>
      <c r="F3514" s="2">
        <f t="shared" si="531"/>
        <v>44227</v>
      </c>
    </row>
    <row r="3515" spans="1:6" x14ac:dyDescent="0.25">
      <c r="A3515" s="1" t="s">
        <v>435</v>
      </c>
      <c r="B3515" s="1" t="s">
        <v>783</v>
      </c>
      <c r="C3515" s="1" t="s">
        <v>40</v>
      </c>
      <c r="D3515" s="3">
        <f t="shared" si="529"/>
        <v>7996</v>
      </c>
      <c r="E3515" s="2">
        <f t="shared" si="530"/>
        <v>42767</v>
      </c>
      <c r="F3515" s="2">
        <f t="shared" si="531"/>
        <v>44227</v>
      </c>
    </row>
    <row r="3516" spans="1:6" x14ac:dyDescent="0.25">
      <c r="A3516" s="1" t="s">
        <v>435</v>
      </c>
      <c r="B3516" s="1" t="s">
        <v>783</v>
      </c>
      <c r="C3516" s="1" t="s">
        <v>41</v>
      </c>
      <c r="D3516" s="3">
        <f t="shared" si="529"/>
        <v>7996</v>
      </c>
      <c r="E3516" s="2">
        <f t="shared" si="530"/>
        <v>42767</v>
      </c>
      <c r="F3516" s="2">
        <f t="shared" si="531"/>
        <v>44227</v>
      </c>
    </row>
    <row r="3517" spans="1:6" x14ac:dyDescent="0.25">
      <c r="A3517" s="1" t="s">
        <v>435</v>
      </c>
      <c r="B3517" s="1" t="s">
        <v>783</v>
      </c>
      <c r="C3517" s="1" t="s">
        <v>61</v>
      </c>
      <c r="D3517" s="3">
        <f t="shared" si="529"/>
        <v>7996</v>
      </c>
      <c r="E3517" s="2">
        <f t="shared" si="530"/>
        <v>42767</v>
      </c>
      <c r="F3517" s="2">
        <f t="shared" si="531"/>
        <v>44227</v>
      </c>
    </row>
    <row r="3518" spans="1:6" x14ac:dyDescent="0.25">
      <c r="A3518" s="1" t="s">
        <v>435</v>
      </c>
      <c r="B3518" s="1" t="s">
        <v>783</v>
      </c>
      <c r="C3518" s="1" t="s">
        <v>346</v>
      </c>
      <c r="D3518" s="3">
        <f t="shared" si="529"/>
        <v>7996</v>
      </c>
      <c r="E3518" s="2">
        <f t="shared" si="530"/>
        <v>42767</v>
      </c>
      <c r="F3518" s="2">
        <f t="shared" si="531"/>
        <v>44227</v>
      </c>
    </row>
    <row r="3519" spans="1:6" x14ac:dyDescent="0.25">
      <c r="A3519" s="1" t="s">
        <v>435</v>
      </c>
      <c r="B3519" s="1" t="s">
        <v>783</v>
      </c>
      <c r="C3519" s="1" t="s">
        <v>347</v>
      </c>
      <c r="D3519" s="3">
        <f t="shared" si="529"/>
        <v>7996</v>
      </c>
      <c r="E3519" s="2">
        <f t="shared" si="530"/>
        <v>42767</v>
      </c>
      <c r="F3519" s="2">
        <f t="shared" si="531"/>
        <v>44227</v>
      </c>
    </row>
    <row r="3520" spans="1:6" x14ac:dyDescent="0.25">
      <c r="A3520" s="1" t="s">
        <v>435</v>
      </c>
      <c r="B3520" s="1" t="s">
        <v>783</v>
      </c>
      <c r="C3520" s="1" t="s">
        <v>45</v>
      </c>
      <c r="D3520" s="3">
        <f t="shared" si="529"/>
        <v>7996</v>
      </c>
      <c r="E3520" s="2">
        <f t="shared" si="530"/>
        <v>42767</v>
      </c>
      <c r="F3520" s="2">
        <f t="shared" si="531"/>
        <v>44227</v>
      </c>
    </row>
    <row r="3521" spans="1:6" x14ac:dyDescent="0.25">
      <c r="A3521" s="1" t="s">
        <v>435</v>
      </c>
      <c r="B3521" s="1" t="s">
        <v>783</v>
      </c>
      <c r="C3521" s="1" t="s">
        <v>44</v>
      </c>
      <c r="D3521" s="3">
        <f t="shared" si="529"/>
        <v>7996</v>
      </c>
      <c r="E3521" s="2">
        <f t="shared" si="530"/>
        <v>42767</v>
      </c>
      <c r="F3521" s="2">
        <f t="shared" si="531"/>
        <v>44227</v>
      </c>
    </row>
    <row r="3522" spans="1:6" x14ac:dyDescent="0.25">
      <c r="A3522" s="1" t="s">
        <v>435</v>
      </c>
      <c r="B3522" s="1" t="s">
        <v>783</v>
      </c>
      <c r="C3522" s="1" t="s">
        <v>615</v>
      </c>
      <c r="D3522" s="3">
        <f t="shared" si="529"/>
        <v>7996</v>
      </c>
      <c r="E3522" s="2">
        <f t="shared" si="530"/>
        <v>42767</v>
      </c>
      <c r="F3522" s="2">
        <f t="shared" si="531"/>
        <v>44227</v>
      </c>
    </row>
    <row r="3523" spans="1:6" x14ac:dyDescent="0.25">
      <c r="A3523" s="1" t="s">
        <v>435</v>
      </c>
      <c r="B3523" s="1" t="s">
        <v>783</v>
      </c>
      <c r="C3523" s="1" t="s">
        <v>319</v>
      </c>
      <c r="D3523" s="3">
        <f t="shared" si="529"/>
        <v>7996</v>
      </c>
      <c r="E3523" s="2">
        <f t="shared" si="530"/>
        <v>42767</v>
      </c>
      <c r="F3523" s="2">
        <f t="shared" si="531"/>
        <v>44227</v>
      </c>
    </row>
    <row r="3524" spans="1:6" x14ac:dyDescent="0.25">
      <c r="A3524" s="1" t="s">
        <v>435</v>
      </c>
      <c r="B3524" s="1" t="s">
        <v>783</v>
      </c>
      <c r="C3524" s="1" t="s">
        <v>14</v>
      </c>
      <c r="D3524" s="3">
        <f t="shared" si="529"/>
        <v>7996</v>
      </c>
      <c r="E3524" s="2">
        <f t="shared" si="530"/>
        <v>42767</v>
      </c>
      <c r="F3524" s="2">
        <f t="shared" si="531"/>
        <v>44227</v>
      </c>
    </row>
    <row r="3525" spans="1:6" x14ac:dyDescent="0.25">
      <c r="A3525" s="1" t="s">
        <v>435</v>
      </c>
      <c r="B3525" s="1" t="s">
        <v>783</v>
      </c>
      <c r="C3525" s="1" t="s">
        <v>88</v>
      </c>
      <c r="D3525" s="3">
        <f t="shared" si="529"/>
        <v>7996</v>
      </c>
      <c r="E3525" s="2">
        <f t="shared" si="530"/>
        <v>42767</v>
      </c>
      <c r="F3525" s="2">
        <f t="shared" si="531"/>
        <v>44227</v>
      </c>
    </row>
    <row r="3526" spans="1:6" x14ac:dyDescent="0.25">
      <c r="A3526" s="1" t="s">
        <v>435</v>
      </c>
      <c r="B3526" s="1" t="s">
        <v>783</v>
      </c>
      <c r="C3526" s="1" t="s">
        <v>17</v>
      </c>
      <c r="D3526" s="3">
        <f t="shared" si="529"/>
        <v>7996</v>
      </c>
      <c r="E3526" s="2">
        <f t="shared" si="530"/>
        <v>42767</v>
      </c>
      <c r="F3526" s="2">
        <f t="shared" si="531"/>
        <v>44227</v>
      </c>
    </row>
    <row r="3527" spans="1:6" x14ac:dyDescent="0.25">
      <c r="A3527" s="1" t="s">
        <v>435</v>
      </c>
      <c r="B3527" s="1" t="s">
        <v>783</v>
      </c>
      <c r="C3527" s="1" t="s">
        <v>22</v>
      </c>
      <c r="D3527" s="3">
        <f t="shared" si="529"/>
        <v>7996</v>
      </c>
      <c r="E3527" s="2">
        <f t="shared" si="530"/>
        <v>42767</v>
      </c>
      <c r="F3527" s="2">
        <f t="shared" si="531"/>
        <v>44227</v>
      </c>
    </row>
    <row r="3528" spans="1:6" x14ac:dyDescent="0.25">
      <c r="A3528" s="1" t="s">
        <v>435</v>
      </c>
      <c r="B3528" s="1" t="s">
        <v>783</v>
      </c>
      <c r="C3528" s="1" t="s">
        <v>259</v>
      </c>
      <c r="D3528" s="3">
        <f t="shared" si="529"/>
        <v>7996</v>
      </c>
      <c r="E3528" s="2">
        <f t="shared" si="530"/>
        <v>42767</v>
      </c>
      <c r="F3528" s="2">
        <f t="shared" si="531"/>
        <v>44227</v>
      </c>
    </row>
    <row r="3529" spans="1:6" x14ac:dyDescent="0.25">
      <c r="A3529" s="1" t="s">
        <v>435</v>
      </c>
      <c r="B3529" s="1" t="s">
        <v>783</v>
      </c>
      <c r="C3529" s="1" t="s">
        <v>784</v>
      </c>
      <c r="D3529" s="3">
        <f t="shared" si="529"/>
        <v>7996</v>
      </c>
      <c r="E3529" s="2">
        <f t="shared" si="530"/>
        <v>42767</v>
      </c>
      <c r="F3529" s="2">
        <f t="shared" si="531"/>
        <v>44227</v>
      </c>
    </row>
    <row r="3530" spans="1:6" x14ac:dyDescent="0.25">
      <c r="A3530" s="1" t="s">
        <v>435</v>
      </c>
      <c r="B3530" s="1" t="s">
        <v>783</v>
      </c>
      <c r="C3530" s="1" t="s">
        <v>212</v>
      </c>
      <c r="D3530" s="3">
        <f t="shared" si="529"/>
        <v>7996</v>
      </c>
      <c r="E3530" s="2">
        <f t="shared" si="530"/>
        <v>42767</v>
      </c>
      <c r="F3530" s="2">
        <f t="shared" si="531"/>
        <v>44227</v>
      </c>
    </row>
    <row r="3531" spans="1:6" x14ac:dyDescent="0.25">
      <c r="A3531" s="1" t="s">
        <v>435</v>
      </c>
      <c r="B3531" s="1" t="s">
        <v>783</v>
      </c>
      <c r="C3531" s="1" t="s">
        <v>474</v>
      </c>
      <c r="D3531" s="3">
        <f t="shared" si="529"/>
        <v>7996</v>
      </c>
      <c r="E3531" s="2">
        <f t="shared" si="530"/>
        <v>42767</v>
      </c>
      <c r="F3531" s="2">
        <f t="shared" si="531"/>
        <v>44227</v>
      </c>
    </row>
    <row r="3532" spans="1:6" x14ac:dyDescent="0.25">
      <c r="A3532" s="1" t="s">
        <v>435</v>
      </c>
      <c r="B3532" s="1" t="s">
        <v>783</v>
      </c>
      <c r="C3532" s="1" t="s">
        <v>475</v>
      </c>
      <c r="D3532" s="3">
        <f t="shared" si="529"/>
        <v>7996</v>
      </c>
      <c r="E3532" s="2">
        <f t="shared" si="530"/>
        <v>42767</v>
      </c>
      <c r="F3532" s="2">
        <f t="shared" si="531"/>
        <v>44227</v>
      </c>
    </row>
    <row r="3533" spans="1:6" x14ac:dyDescent="0.25">
      <c r="A3533" s="1" t="s">
        <v>435</v>
      </c>
      <c r="B3533" s="1" t="s">
        <v>783</v>
      </c>
      <c r="C3533" s="1" t="s">
        <v>24</v>
      </c>
      <c r="D3533" s="3">
        <f t="shared" si="529"/>
        <v>7996</v>
      </c>
      <c r="E3533" s="2">
        <f t="shared" si="530"/>
        <v>42767</v>
      </c>
      <c r="F3533" s="2">
        <f t="shared" si="531"/>
        <v>44227</v>
      </c>
    </row>
    <row r="3534" spans="1:6" x14ac:dyDescent="0.25">
      <c r="A3534" s="1" t="s">
        <v>435</v>
      </c>
      <c r="B3534" s="1" t="s">
        <v>783</v>
      </c>
      <c r="C3534" s="1" t="s">
        <v>70</v>
      </c>
      <c r="D3534" s="3">
        <f t="shared" si="529"/>
        <v>7996</v>
      </c>
      <c r="E3534" s="2">
        <f t="shared" si="530"/>
        <v>42767</v>
      </c>
      <c r="F3534" s="2">
        <f t="shared" si="531"/>
        <v>44227</v>
      </c>
    </row>
    <row r="3535" spans="1:6" x14ac:dyDescent="0.25">
      <c r="A3535" s="1" t="s">
        <v>435</v>
      </c>
      <c r="B3535" s="1" t="s">
        <v>783</v>
      </c>
      <c r="C3535" s="1" t="s">
        <v>420</v>
      </c>
      <c r="D3535" s="3">
        <f t="shared" si="529"/>
        <v>7996</v>
      </c>
      <c r="E3535" s="2">
        <f t="shared" si="530"/>
        <v>42767</v>
      </c>
      <c r="F3535" s="2">
        <f t="shared" si="531"/>
        <v>44227</v>
      </c>
    </row>
    <row r="3536" spans="1:6" x14ac:dyDescent="0.25">
      <c r="A3536" s="1" t="s">
        <v>435</v>
      </c>
      <c r="B3536" s="1" t="s">
        <v>783</v>
      </c>
      <c r="C3536" s="1" t="s">
        <v>99</v>
      </c>
      <c r="D3536" s="3">
        <f t="shared" si="529"/>
        <v>7996</v>
      </c>
      <c r="E3536" s="2">
        <f t="shared" si="530"/>
        <v>42767</v>
      </c>
      <c r="F3536" s="2">
        <f t="shared" si="531"/>
        <v>44227</v>
      </c>
    </row>
    <row r="3537" spans="1:6" x14ac:dyDescent="0.25">
      <c r="A3537" s="1" t="s">
        <v>435</v>
      </c>
      <c r="B3537" s="1" t="s">
        <v>783</v>
      </c>
      <c r="C3537" s="1" t="s">
        <v>260</v>
      </c>
      <c r="D3537" s="3">
        <f t="shared" si="529"/>
        <v>7996</v>
      </c>
      <c r="E3537" s="2">
        <f t="shared" si="530"/>
        <v>42767</v>
      </c>
      <c r="F3537" s="2">
        <f t="shared" si="531"/>
        <v>44227</v>
      </c>
    </row>
    <row r="3538" spans="1:6" x14ac:dyDescent="0.25">
      <c r="A3538" s="1" t="s">
        <v>435</v>
      </c>
      <c r="B3538" s="1" t="s">
        <v>783</v>
      </c>
      <c r="C3538" s="1" t="s">
        <v>261</v>
      </c>
      <c r="D3538" s="3">
        <f t="shared" si="529"/>
        <v>7996</v>
      </c>
      <c r="E3538" s="2">
        <f t="shared" si="530"/>
        <v>42767</v>
      </c>
      <c r="F3538" s="2">
        <f t="shared" si="531"/>
        <v>44227</v>
      </c>
    </row>
    <row r="3539" spans="1:6" x14ac:dyDescent="0.25">
      <c r="A3539" s="1" t="s">
        <v>435</v>
      </c>
      <c r="B3539" s="1" t="s">
        <v>783</v>
      </c>
      <c r="C3539" s="1" t="s">
        <v>72</v>
      </c>
      <c r="D3539" s="3">
        <f t="shared" si="529"/>
        <v>7996</v>
      </c>
      <c r="E3539" s="2">
        <f t="shared" si="530"/>
        <v>42767</v>
      </c>
      <c r="F3539" s="2">
        <f t="shared" si="531"/>
        <v>44227</v>
      </c>
    </row>
    <row r="3540" spans="1:6" x14ac:dyDescent="0.25">
      <c r="A3540" s="1" t="s">
        <v>435</v>
      </c>
      <c r="B3540" s="1" t="s">
        <v>783</v>
      </c>
      <c r="C3540" s="1" t="s">
        <v>337</v>
      </c>
      <c r="D3540" s="3">
        <f t="shared" si="529"/>
        <v>7996</v>
      </c>
      <c r="E3540" s="2">
        <f t="shared" si="530"/>
        <v>42767</v>
      </c>
      <c r="F3540" s="2">
        <f t="shared" si="531"/>
        <v>44227</v>
      </c>
    </row>
    <row r="3541" spans="1:6" x14ac:dyDescent="0.25">
      <c r="A3541" s="1" t="s">
        <v>435</v>
      </c>
      <c r="B3541" s="1" t="s">
        <v>783</v>
      </c>
      <c r="C3541" s="1" t="s">
        <v>52</v>
      </c>
      <c r="D3541" s="3">
        <f t="shared" si="529"/>
        <v>7996</v>
      </c>
      <c r="E3541" s="2">
        <f t="shared" si="530"/>
        <v>42767</v>
      </c>
      <c r="F3541" s="2">
        <f t="shared" si="531"/>
        <v>44227</v>
      </c>
    </row>
    <row r="3542" spans="1:6" x14ac:dyDescent="0.25">
      <c r="A3542" s="1" t="s">
        <v>435</v>
      </c>
      <c r="B3542" s="1" t="s">
        <v>783</v>
      </c>
      <c r="C3542" s="1" t="s">
        <v>338</v>
      </c>
      <c r="D3542" s="3">
        <f t="shared" si="529"/>
        <v>7996</v>
      </c>
      <c r="E3542" s="2">
        <f t="shared" si="530"/>
        <v>42767</v>
      </c>
      <c r="F3542" s="2">
        <f t="shared" si="531"/>
        <v>44227</v>
      </c>
    </row>
    <row r="3543" spans="1:6" x14ac:dyDescent="0.25">
      <c r="A3543" s="1" t="s">
        <v>435</v>
      </c>
      <c r="B3543" s="1" t="s">
        <v>783</v>
      </c>
      <c r="C3543" s="1" t="s">
        <v>34</v>
      </c>
      <c r="D3543" s="3">
        <f t="shared" si="529"/>
        <v>7996</v>
      </c>
      <c r="E3543" s="2">
        <f t="shared" si="530"/>
        <v>42767</v>
      </c>
      <c r="F3543" s="2">
        <f t="shared" si="531"/>
        <v>44227</v>
      </c>
    </row>
    <row r="3544" spans="1:6" x14ac:dyDescent="0.25">
      <c r="A3544" s="1" t="s">
        <v>435</v>
      </c>
      <c r="B3544" s="1" t="s">
        <v>783</v>
      </c>
      <c r="C3544" s="1" t="s">
        <v>490</v>
      </c>
      <c r="D3544" s="3">
        <f t="shared" si="529"/>
        <v>7996</v>
      </c>
      <c r="E3544" s="2">
        <f t="shared" si="530"/>
        <v>42767</v>
      </c>
      <c r="F3544" s="2">
        <f t="shared" si="531"/>
        <v>44227</v>
      </c>
    </row>
    <row r="3545" spans="1:6" x14ac:dyDescent="0.25">
      <c r="A3545" s="1" t="s">
        <v>435</v>
      </c>
      <c r="B3545" s="1" t="s">
        <v>783</v>
      </c>
      <c r="C3545" s="1" t="s">
        <v>56</v>
      </c>
      <c r="D3545" s="3">
        <f t="shared" si="529"/>
        <v>7996</v>
      </c>
      <c r="E3545" s="2">
        <f t="shared" si="530"/>
        <v>42767</v>
      </c>
      <c r="F3545" s="2">
        <f t="shared" si="531"/>
        <v>44227</v>
      </c>
    </row>
    <row r="3546" spans="1:6" x14ac:dyDescent="0.25">
      <c r="A3546" s="1" t="s">
        <v>435</v>
      </c>
      <c r="B3546" s="1" t="s">
        <v>783</v>
      </c>
      <c r="C3546" s="1" t="s">
        <v>173</v>
      </c>
      <c r="D3546" s="3">
        <f t="shared" si="529"/>
        <v>7996</v>
      </c>
      <c r="E3546" s="2">
        <f t="shared" si="530"/>
        <v>42767</v>
      </c>
      <c r="F3546" s="2">
        <f t="shared" si="531"/>
        <v>44227</v>
      </c>
    </row>
    <row r="3547" spans="1:6" x14ac:dyDescent="0.25">
      <c r="A3547" s="1" t="s">
        <v>435</v>
      </c>
      <c r="B3547" s="1" t="s">
        <v>783</v>
      </c>
      <c r="C3547" s="1" t="s">
        <v>36</v>
      </c>
      <c r="D3547" s="3">
        <f t="shared" si="529"/>
        <v>7996</v>
      </c>
      <c r="E3547" s="2">
        <f t="shared" si="530"/>
        <v>42767</v>
      </c>
      <c r="F3547" s="2">
        <f t="shared" si="531"/>
        <v>44227</v>
      </c>
    </row>
    <row r="3548" spans="1:6" x14ac:dyDescent="0.25">
      <c r="A3548" s="1" t="s">
        <v>435</v>
      </c>
      <c r="B3548" s="1" t="s">
        <v>783</v>
      </c>
      <c r="C3548" s="1" t="s">
        <v>117</v>
      </c>
      <c r="D3548" s="3">
        <f t="shared" si="529"/>
        <v>7996</v>
      </c>
      <c r="E3548" s="2">
        <f t="shared" si="530"/>
        <v>42767</v>
      </c>
      <c r="F3548" s="2">
        <f t="shared" si="531"/>
        <v>44227</v>
      </c>
    </row>
    <row r="3549" spans="1:6" x14ac:dyDescent="0.25">
      <c r="A3549" s="1" t="s">
        <v>435</v>
      </c>
      <c r="B3549" s="1" t="s">
        <v>602</v>
      </c>
      <c r="C3549" s="1" t="s">
        <v>7</v>
      </c>
      <c r="D3549" s="3">
        <f t="shared" ref="D3549:D3555" si="532">VALUE("7812")</f>
        <v>7812</v>
      </c>
      <c r="E3549" s="2">
        <f t="shared" ref="E3549:E3555" si="533">DATEVALUE("1-3-2016")</f>
        <v>42430</v>
      </c>
      <c r="F3549" s="2">
        <f t="shared" ref="F3549:F3555" si="534">DATEVALUE("31-12-2020")</f>
        <v>44196</v>
      </c>
    </row>
    <row r="3550" spans="1:6" x14ac:dyDescent="0.25">
      <c r="A3550" s="1" t="s">
        <v>435</v>
      </c>
      <c r="B3550" s="1" t="s">
        <v>602</v>
      </c>
      <c r="C3550" s="1" t="s">
        <v>439</v>
      </c>
      <c r="D3550" s="3">
        <f t="shared" si="532"/>
        <v>7812</v>
      </c>
      <c r="E3550" s="2">
        <f t="shared" si="533"/>
        <v>42430</v>
      </c>
      <c r="F3550" s="2">
        <f t="shared" si="534"/>
        <v>44196</v>
      </c>
    </row>
    <row r="3551" spans="1:6" x14ac:dyDescent="0.25">
      <c r="A3551" s="1" t="s">
        <v>435</v>
      </c>
      <c r="B3551" s="1" t="s">
        <v>602</v>
      </c>
      <c r="C3551" s="1" t="s">
        <v>440</v>
      </c>
      <c r="D3551" s="3">
        <f t="shared" si="532"/>
        <v>7812</v>
      </c>
      <c r="E3551" s="2">
        <f t="shared" si="533"/>
        <v>42430</v>
      </c>
      <c r="F3551" s="2">
        <f t="shared" si="534"/>
        <v>44196</v>
      </c>
    </row>
    <row r="3552" spans="1:6" x14ac:dyDescent="0.25">
      <c r="A3552" s="1" t="s">
        <v>435</v>
      </c>
      <c r="B3552" s="1" t="s">
        <v>602</v>
      </c>
      <c r="C3552" s="1" t="s">
        <v>603</v>
      </c>
      <c r="D3552" s="3">
        <f t="shared" si="532"/>
        <v>7812</v>
      </c>
      <c r="E3552" s="2">
        <f t="shared" si="533"/>
        <v>42430</v>
      </c>
      <c r="F3552" s="2">
        <f t="shared" si="534"/>
        <v>44196</v>
      </c>
    </row>
    <row r="3553" spans="1:6" x14ac:dyDescent="0.25">
      <c r="A3553" s="1" t="s">
        <v>435</v>
      </c>
      <c r="B3553" s="1" t="s">
        <v>602</v>
      </c>
      <c r="C3553" s="1" t="s">
        <v>604</v>
      </c>
      <c r="D3553" s="3">
        <f t="shared" si="532"/>
        <v>7812</v>
      </c>
      <c r="E3553" s="2">
        <f t="shared" si="533"/>
        <v>42430</v>
      </c>
      <c r="F3553" s="2">
        <f t="shared" si="534"/>
        <v>44196</v>
      </c>
    </row>
    <row r="3554" spans="1:6" x14ac:dyDescent="0.25">
      <c r="A3554" s="1" t="s">
        <v>435</v>
      </c>
      <c r="B3554" s="1" t="s">
        <v>602</v>
      </c>
      <c r="C3554" s="1" t="s">
        <v>212</v>
      </c>
      <c r="D3554" s="3">
        <f t="shared" si="532"/>
        <v>7812</v>
      </c>
      <c r="E3554" s="2">
        <f t="shared" si="533"/>
        <v>42430</v>
      </c>
      <c r="F3554" s="2">
        <f t="shared" si="534"/>
        <v>44196</v>
      </c>
    </row>
    <row r="3555" spans="1:6" x14ac:dyDescent="0.25">
      <c r="A3555" s="1" t="s">
        <v>435</v>
      </c>
      <c r="B3555" s="1" t="s">
        <v>602</v>
      </c>
      <c r="C3555" s="1" t="s">
        <v>31</v>
      </c>
      <c r="D3555" s="3">
        <f t="shared" si="532"/>
        <v>7812</v>
      </c>
      <c r="E3555" s="2">
        <f t="shared" si="533"/>
        <v>42430</v>
      </c>
      <c r="F3555" s="2">
        <f t="shared" si="534"/>
        <v>44196</v>
      </c>
    </row>
    <row r="3556" spans="1:6" x14ac:dyDescent="0.25">
      <c r="A3556" s="1" t="s">
        <v>435</v>
      </c>
      <c r="B3556" s="1" t="s">
        <v>434</v>
      </c>
      <c r="C3556" s="1" t="s">
        <v>436</v>
      </c>
      <c r="D3556" s="3">
        <f t="shared" ref="D3556:D3587" si="535">VALUE("7647")</f>
        <v>7647</v>
      </c>
      <c r="E3556" s="2">
        <f t="shared" ref="E3556:E3587" si="536">DATEVALUE("1-7-2014")</f>
        <v>41821</v>
      </c>
      <c r="F3556" s="2">
        <f t="shared" ref="F3556:F3587" si="537">DATEVALUE("30-6-2025")</f>
        <v>45838</v>
      </c>
    </row>
    <row r="3557" spans="1:6" x14ac:dyDescent="0.25">
      <c r="A3557" s="1" t="s">
        <v>435</v>
      </c>
      <c r="B3557" s="1" t="s">
        <v>434</v>
      </c>
      <c r="C3557" s="1" t="s">
        <v>437</v>
      </c>
      <c r="D3557" s="3">
        <f t="shared" si="535"/>
        <v>7647</v>
      </c>
      <c r="E3557" s="2">
        <f t="shared" si="536"/>
        <v>41821</v>
      </c>
      <c r="F3557" s="2">
        <f t="shared" si="537"/>
        <v>45838</v>
      </c>
    </row>
    <row r="3558" spans="1:6" x14ac:dyDescent="0.25">
      <c r="A3558" s="1" t="s">
        <v>435</v>
      </c>
      <c r="B3558" s="1" t="s">
        <v>434</v>
      </c>
      <c r="C3558" s="1" t="s">
        <v>7</v>
      </c>
      <c r="D3558" s="3">
        <f t="shared" si="535"/>
        <v>7647</v>
      </c>
      <c r="E3558" s="2">
        <f t="shared" si="536"/>
        <v>41821</v>
      </c>
      <c r="F3558" s="2">
        <f t="shared" si="537"/>
        <v>45838</v>
      </c>
    </row>
    <row r="3559" spans="1:6" x14ac:dyDescent="0.25">
      <c r="A3559" s="1" t="s">
        <v>435</v>
      </c>
      <c r="B3559" s="1" t="s">
        <v>434</v>
      </c>
      <c r="C3559" s="1" t="s">
        <v>202</v>
      </c>
      <c r="D3559" s="3">
        <f t="shared" si="535"/>
        <v>7647</v>
      </c>
      <c r="E3559" s="2">
        <f t="shared" si="536"/>
        <v>41821</v>
      </c>
      <c r="F3559" s="2">
        <f t="shared" si="537"/>
        <v>45838</v>
      </c>
    </row>
    <row r="3560" spans="1:6" x14ac:dyDescent="0.25">
      <c r="A3560" s="1" t="s">
        <v>435</v>
      </c>
      <c r="B3560" s="1" t="s">
        <v>434</v>
      </c>
      <c r="C3560" s="1" t="s">
        <v>203</v>
      </c>
      <c r="D3560" s="3">
        <f t="shared" si="535"/>
        <v>7647</v>
      </c>
      <c r="E3560" s="2">
        <f t="shared" si="536"/>
        <v>41821</v>
      </c>
      <c r="F3560" s="2">
        <f t="shared" si="537"/>
        <v>45838</v>
      </c>
    </row>
    <row r="3561" spans="1:6" x14ac:dyDescent="0.25">
      <c r="A3561" s="1" t="s">
        <v>435</v>
      </c>
      <c r="B3561" s="1" t="s">
        <v>434</v>
      </c>
      <c r="C3561" s="1" t="s">
        <v>438</v>
      </c>
      <c r="D3561" s="3">
        <f t="shared" si="535"/>
        <v>7647</v>
      </c>
      <c r="E3561" s="2">
        <f t="shared" si="536"/>
        <v>41821</v>
      </c>
      <c r="F3561" s="2">
        <f t="shared" si="537"/>
        <v>45838</v>
      </c>
    </row>
    <row r="3562" spans="1:6" x14ac:dyDescent="0.25">
      <c r="A3562" s="1" t="s">
        <v>435</v>
      </c>
      <c r="B3562" s="1" t="s">
        <v>434</v>
      </c>
      <c r="C3562" s="1" t="s">
        <v>8</v>
      </c>
      <c r="D3562" s="3">
        <f t="shared" si="535"/>
        <v>7647</v>
      </c>
      <c r="E3562" s="2">
        <f t="shared" si="536"/>
        <v>41821</v>
      </c>
      <c r="F3562" s="2">
        <f t="shared" si="537"/>
        <v>45838</v>
      </c>
    </row>
    <row r="3563" spans="1:6" x14ac:dyDescent="0.25">
      <c r="A3563" s="1" t="s">
        <v>435</v>
      </c>
      <c r="B3563" s="1" t="s">
        <v>434</v>
      </c>
      <c r="C3563" s="1" t="s">
        <v>256</v>
      </c>
      <c r="D3563" s="3">
        <f t="shared" si="535"/>
        <v>7647</v>
      </c>
      <c r="E3563" s="2">
        <f t="shared" si="536"/>
        <v>41821</v>
      </c>
      <c r="F3563" s="2">
        <f t="shared" si="537"/>
        <v>45838</v>
      </c>
    </row>
    <row r="3564" spans="1:6" x14ac:dyDescent="0.25">
      <c r="A3564" s="1" t="s">
        <v>435</v>
      </c>
      <c r="B3564" s="1" t="s">
        <v>434</v>
      </c>
      <c r="C3564" s="1" t="s">
        <v>10</v>
      </c>
      <c r="D3564" s="3">
        <f t="shared" si="535"/>
        <v>7647</v>
      </c>
      <c r="E3564" s="2">
        <f t="shared" si="536"/>
        <v>41821</v>
      </c>
      <c r="F3564" s="2">
        <f t="shared" si="537"/>
        <v>45838</v>
      </c>
    </row>
    <row r="3565" spans="1:6" x14ac:dyDescent="0.25">
      <c r="A3565" s="1" t="s">
        <v>435</v>
      </c>
      <c r="B3565" s="1" t="s">
        <v>434</v>
      </c>
      <c r="C3565" s="1" t="s">
        <v>215</v>
      </c>
      <c r="D3565" s="3">
        <f t="shared" si="535"/>
        <v>7647</v>
      </c>
      <c r="E3565" s="2">
        <f t="shared" si="536"/>
        <v>41821</v>
      </c>
      <c r="F3565" s="2">
        <f t="shared" si="537"/>
        <v>45838</v>
      </c>
    </row>
    <row r="3566" spans="1:6" x14ac:dyDescent="0.25">
      <c r="A3566" s="1" t="s">
        <v>435</v>
      </c>
      <c r="B3566" s="1" t="s">
        <v>434</v>
      </c>
      <c r="C3566" s="1" t="s">
        <v>61</v>
      </c>
      <c r="D3566" s="3">
        <f t="shared" si="535"/>
        <v>7647</v>
      </c>
      <c r="E3566" s="2">
        <f t="shared" si="536"/>
        <v>41821</v>
      </c>
      <c r="F3566" s="2">
        <f t="shared" si="537"/>
        <v>45838</v>
      </c>
    </row>
    <row r="3567" spans="1:6" x14ac:dyDescent="0.25">
      <c r="A3567" s="1" t="s">
        <v>435</v>
      </c>
      <c r="B3567" s="1" t="s">
        <v>434</v>
      </c>
      <c r="C3567" s="1" t="s">
        <v>252</v>
      </c>
      <c r="D3567" s="3">
        <f t="shared" si="535"/>
        <v>7647</v>
      </c>
      <c r="E3567" s="2">
        <f t="shared" si="536"/>
        <v>41821</v>
      </c>
      <c r="F3567" s="2">
        <f t="shared" si="537"/>
        <v>45838</v>
      </c>
    </row>
    <row r="3568" spans="1:6" x14ac:dyDescent="0.25">
      <c r="A3568" s="1" t="s">
        <v>435</v>
      </c>
      <c r="B3568" s="1" t="s">
        <v>434</v>
      </c>
      <c r="C3568" s="1" t="s">
        <v>439</v>
      </c>
      <c r="D3568" s="3">
        <f t="shared" si="535"/>
        <v>7647</v>
      </c>
      <c r="E3568" s="2">
        <f t="shared" si="536"/>
        <v>41821</v>
      </c>
      <c r="F3568" s="2">
        <f t="shared" si="537"/>
        <v>45838</v>
      </c>
    </row>
    <row r="3569" spans="1:6" x14ac:dyDescent="0.25">
      <c r="A3569" s="1" t="s">
        <v>435</v>
      </c>
      <c r="B3569" s="1" t="s">
        <v>434</v>
      </c>
      <c r="C3569" s="1" t="s">
        <v>440</v>
      </c>
      <c r="D3569" s="3">
        <f t="shared" si="535"/>
        <v>7647</v>
      </c>
      <c r="E3569" s="2">
        <f t="shared" si="536"/>
        <v>41821</v>
      </c>
      <c r="F3569" s="2">
        <f t="shared" si="537"/>
        <v>45838</v>
      </c>
    </row>
    <row r="3570" spans="1:6" x14ac:dyDescent="0.25">
      <c r="A3570" s="1" t="s">
        <v>435</v>
      </c>
      <c r="B3570" s="1" t="s">
        <v>434</v>
      </c>
      <c r="C3570" s="1" t="s">
        <v>140</v>
      </c>
      <c r="D3570" s="3">
        <f t="shared" si="535"/>
        <v>7647</v>
      </c>
      <c r="E3570" s="2">
        <f t="shared" si="536"/>
        <v>41821</v>
      </c>
      <c r="F3570" s="2">
        <f t="shared" si="537"/>
        <v>45838</v>
      </c>
    </row>
    <row r="3571" spans="1:6" x14ac:dyDescent="0.25">
      <c r="A3571" s="1" t="s">
        <v>435</v>
      </c>
      <c r="B3571" s="1" t="s">
        <v>434</v>
      </c>
      <c r="C3571" s="1" t="s">
        <v>141</v>
      </c>
      <c r="D3571" s="3">
        <f t="shared" si="535"/>
        <v>7647</v>
      </c>
      <c r="E3571" s="2">
        <f t="shared" si="536"/>
        <v>41821</v>
      </c>
      <c r="F3571" s="2">
        <f t="shared" si="537"/>
        <v>45838</v>
      </c>
    </row>
    <row r="3572" spans="1:6" x14ac:dyDescent="0.25">
      <c r="A3572" s="1" t="s">
        <v>435</v>
      </c>
      <c r="B3572" s="1" t="s">
        <v>434</v>
      </c>
      <c r="C3572" s="1" t="s">
        <v>142</v>
      </c>
      <c r="D3572" s="3">
        <f t="shared" si="535"/>
        <v>7647</v>
      </c>
      <c r="E3572" s="2">
        <f t="shared" si="536"/>
        <v>41821</v>
      </c>
      <c r="F3572" s="2">
        <f t="shared" si="537"/>
        <v>45838</v>
      </c>
    </row>
    <row r="3573" spans="1:6" x14ac:dyDescent="0.25">
      <c r="A3573" s="1" t="s">
        <v>435</v>
      </c>
      <c r="B3573" s="1" t="s">
        <v>434</v>
      </c>
      <c r="C3573" s="1" t="s">
        <v>14</v>
      </c>
      <c r="D3573" s="3">
        <f t="shared" si="535"/>
        <v>7647</v>
      </c>
      <c r="E3573" s="2">
        <f t="shared" si="536"/>
        <v>41821</v>
      </c>
      <c r="F3573" s="2">
        <f t="shared" si="537"/>
        <v>45838</v>
      </c>
    </row>
    <row r="3574" spans="1:6" x14ac:dyDescent="0.25">
      <c r="A3574" s="1" t="s">
        <v>435</v>
      </c>
      <c r="B3574" s="1" t="s">
        <v>434</v>
      </c>
      <c r="C3574" s="1" t="s">
        <v>66</v>
      </c>
      <c r="D3574" s="3">
        <f t="shared" si="535"/>
        <v>7647</v>
      </c>
      <c r="E3574" s="2">
        <f t="shared" si="536"/>
        <v>41821</v>
      </c>
      <c r="F3574" s="2">
        <f t="shared" si="537"/>
        <v>45838</v>
      </c>
    </row>
    <row r="3575" spans="1:6" x14ac:dyDescent="0.25">
      <c r="A3575" s="1" t="s">
        <v>435</v>
      </c>
      <c r="B3575" s="1" t="s">
        <v>434</v>
      </c>
      <c r="C3575" s="1" t="s">
        <v>15</v>
      </c>
      <c r="D3575" s="3">
        <f t="shared" si="535"/>
        <v>7647</v>
      </c>
      <c r="E3575" s="2">
        <f t="shared" si="536"/>
        <v>41821</v>
      </c>
      <c r="F3575" s="2">
        <f t="shared" si="537"/>
        <v>45838</v>
      </c>
    </row>
    <row r="3576" spans="1:6" x14ac:dyDescent="0.25">
      <c r="A3576" s="1" t="s">
        <v>435</v>
      </c>
      <c r="B3576" s="1" t="s">
        <v>434</v>
      </c>
      <c r="C3576" s="1" t="s">
        <v>89</v>
      </c>
      <c r="D3576" s="3">
        <f t="shared" si="535"/>
        <v>7647</v>
      </c>
      <c r="E3576" s="2">
        <f t="shared" si="536"/>
        <v>41821</v>
      </c>
      <c r="F3576" s="2">
        <f t="shared" si="537"/>
        <v>45838</v>
      </c>
    </row>
    <row r="3577" spans="1:6" x14ac:dyDescent="0.25">
      <c r="A3577" s="1" t="s">
        <v>435</v>
      </c>
      <c r="B3577" s="1" t="s">
        <v>434</v>
      </c>
      <c r="C3577" s="1" t="s">
        <v>17</v>
      </c>
      <c r="D3577" s="3">
        <f t="shared" si="535"/>
        <v>7647</v>
      </c>
      <c r="E3577" s="2">
        <f t="shared" si="536"/>
        <v>41821</v>
      </c>
      <c r="F3577" s="2">
        <f t="shared" si="537"/>
        <v>45838</v>
      </c>
    </row>
    <row r="3578" spans="1:6" x14ac:dyDescent="0.25">
      <c r="A3578" s="1" t="s">
        <v>435</v>
      </c>
      <c r="B3578" s="1" t="s">
        <v>434</v>
      </c>
      <c r="C3578" s="1" t="s">
        <v>441</v>
      </c>
      <c r="D3578" s="3">
        <f t="shared" si="535"/>
        <v>7647</v>
      </c>
      <c r="E3578" s="2">
        <f t="shared" si="536"/>
        <v>41821</v>
      </c>
      <c r="F3578" s="2">
        <f t="shared" si="537"/>
        <v>45838</v>
      </c>
    </row>
    <row r="3579" spans="1:6" x14ac:dyDescent="0.25">
      <c r="A3579" s="1" t="s">
        <v>435</v>
      </c>
      <c r="B3579" s="1" t="s">
        <v>434</v>
      </c>
      <c r="C3579" s="1" t="s">
        <v>257</v>
      </c>
      <c r="D3579" s="3">
        <f t="shared" si="535"/>
        <v>7647</v>
      </c>
      <c r="E3579" s="2">
        <f t="shared" si="536"/>
        <v>41821</v>
      </c>
      <c r="F3579" s="2">
        <f t="shared" si="537"/>
        <v>45838</v>
      </c>
    </row>
    <row r="3580" spans="1:6" x14ac:dyDescent="0.25">
      <c r="A3580" s="1" t="s">
        <v>435</v>
      </c>
      <c r="B3580" s="1" t="s">
        <v>434</v>
      </c>
      <c r="C3580" s="1" t="s">
        <v>442</v>
      </c>
      <c r="D3580" s="3">
        <f t="shared" si="535"/>
        <v>7647</v>
      </c>
      <c r="E3580" s="2">
        <f t="shared" si="536"/>
        <v>41821</v>
      </c>
      <c r="F3580" s="2">
        <f t="shared" si="537"/>
        <v>45838</v>
      </c>
    </row>
    <row r="3581" spans="1:6" x14ac:dyDescent="0.25">
      <c r="A3581" s="1" t="s">
        <v>435</v>
      </c>
      <c r="B3581" s="1" t="s">
        <v>434</v>
      </c>
      <c r="C3581" s="1" t="s">
        <v>127</v>
      </c>
      <c r="D3581" s="3">
        <f t="shared" si="535"/>
        <v>7647</v>
      </c>
      <c r="E3581" s="2">
        <f t="shared" si="536"/>
        <v>41821</v>
      </c>
      <c r="F3581" s="2">
        <f t="shared" si="537"/>
        <v>45838</v>
      </c>
    </row>
    <row r="3582" spans="1:6" x14ac:dyDescent="0.25">
      <c r="A3582" s="1" t="s">
        <v>435</v>
      </c>
      <c r="B3582" s="1" t="s">
        <v>434</v>
      </c>
      <c r="C3582" s="1" t="s">
        <v>168</v>
      </c>
      <c r="D3582" s="3">
        <f t="shared" si="535"/>
        <v>7647</v>
      </c>
      <c r="E3582" s="2">
        <f t="shared" si="536"/>
        <v>41821</v>
      </c>
      <c r="F3582" s="2">
        <f t="shared" si="537"/>
        <v>45838</v>
      </c>
    </row>
    <row r="3583" spans="1:6" x14ac:dyDescent="0.25">
      <c r="A3583" s="1" t="s">
        <v>435</v>
      </c>
      <c r="B3583" s="1" t="s">
        <v>434</v>
      </c>
      <c r="C3583" s="1" t="s">
        <v>417</v>
      </c>
      <c r="D3583" s="3">
        <f t="shared" si="535"/>
        <v>7647</v>
      </c>
      <c r="E3583" s="2">
        <f t="shared" si="536"/>
        <v>41821</v>
      </c>
      <c r="F3583" s="2">
        <f t="shared" si="537"/>
        <v>45838</v>
      </c>
    </row>
    <row r="3584" spans="1:6" x14ac:dyDescent="0.25">
      <c r="A3584" s="1" t="s">
        <v>435</v>
      </c>
      <c r="B3584" s="1" t="s">
        <v>434</v>
      </c>
      <c r="C3584" s="1" t="s">
        <v>443</v>
      </c>
      <c r="D3584" s="3">
        <f t="shared" si="535"/>
        <v>7647</v>
      </c>
      <c r="E3584" s="2">
        <f t="shared" si="536"/>
        <v>41821</v>
      </c>
      <c r="F3584" s="2">
        <f t="shared" si="537"/>
        <v>45838</v>
      </c>
    </row>
    <row r="3585" spans="1:6" x14ac:dyDescent="0.25">
      <c r="A3585" s="1" t="s">
        <v>435</v>
      </c>
      <c r="B3585" s="1" t="s">
        <v>434</v>
      </c>
      <c r="C3585" s="1" t="s">
        <v>22</v>
      </c>
      <c r="D3585" s="3">
        <f t="shared" si="535"/>
        <v>7647</v>
      </c>
      <c r="E3585" s="2">
        <f t="shared" si="536"/>
        <v>41821</v>
      </c>
      <c r="F3585" s="2">
        <f t="shared" si="537"/>
        <v>45838</v>
      </c>
    </row>
    <row r="3586" spans="1:6" x14ac:dyDescent="0.25">
      <c r="A3586" s="1" t="s">
        <v>435</v>
      </c>
      <c r="B3586" s="1" t="s">
        <v>434</v>
      </c>
      <c r="C3586" s="1" t="s">
        <v>146</v>
      </c>
      <c r="D3586" s="3">
        <f t="shared" si="535"/>
        <v>7647</v>
      </c>
      <c r="E3586" s="2">
        <f t="shared" si="536"/>
        <v>41821</v>
      </c>
      <c r="F3586" s="2">
        <f t="shared" si="537"/>
        <v>45838</v>
      </c>
    </row>
    <row r="3587" spans="1:6" x14ac:dyDescent="0.25">
      <c r="A3587" s="1" t="s">
        <v>435</v>
      </c>
      <c r="B3587" s="1" t="s">
        <v>434</v>
      </c>
      <c r="C3587" s="1" t="s">
        <v>67</v>
      </c>
      <c r="D3587" s="3">
        <f t="shared" si="535"/>
        <v>7647</v>
      </c>
      <c r="E3587" s="2">
        <f t="shared" si="536"/>
        <v>41821</v>
      </c>
      <c r="F3587" s="2">
        <f t="shared" si="537"/>
        <v>45838</v>
      </c>
    </row>
    <row r="3588" spans="1:6" x14ac:dyDescent="0.25">
      <c r="A3588" s="1" t="s">
        <v>435</v>
      </c>
      <c r="B3588" s="1" t="s">
        <v>434</v>
      </c>
      <c r="C3588" s="1" t="s">
        <v>148</v>
      </c>
      <c r="D3588" s="3">
        <f t="shared" ref="D3588:D3619" si="538">VALUE("7647")</f>
        <v>7647</v>
      </c>
      <c r="E3588" s="2">
        <f t="shared" ref="E3588:E3619" si="539">DATEVALUE("1-7-2014")</f>
        <v>41821</v>
      </c>
      <c r="F3588" s="2">
        <f t="shared" ref="F3588:F3619" si="540">DATEVALUE("30-6-2025")</f>
        <v>45838</v>
      </c>
    </row>
    <row r="3589" spans="1:6" x14ac:dyDescent="0.25">
      <c r="A3589" s="1" t="s">
        <v>435</v>
      </c>
      <c r="B3589" s="1" t="s">
        <v>434</v>
      </c>
      <c r="C3589" s="1" t="s">
        <v>149</v>
      </c>
      <c r="D3589" s="3">
        <f t="shared" si="538"/>
        <v>7647</v>
      </c>
      <c r="E3589" s="2">
        <f t="shared" si="539"/>
        <v>41821</v>
      </c>
      <c r="F3589" s="2">
        <f t="shared" si="540"/>
        <v>45838</v>
      </c>
    </row>
    <row r="3590" spans="1:6" x14ac:dyDescent="0.25">
      <c r="A3590" s="1" t="s">
        <v>435</v>
      </c>
      <c r="B3590" s="1" t="s">
        <v>434</v>
      </c>
      <c r="C3590" s="1" t="s">
        <v>150</v>
      </c>
      <c r="D3590" s="3">
        <f t="shared" si="538"/>
        <v>7647</v>
      </c>
      <c r="E3590" s="2">
        <f t="shared" si="539"/>
        <v>41821</v>
      </c>
      <c r="F3590" s="2">
        <f t="shared" si="540"/>
        <v>45838</v>
      </c>
    </row>
    <row r="3591" spans="1:6" x14ac:dyDescent="0.25">
      <c r="A3591" s="1" t="s">
        <v>435</v>
      </c>
      <c r="B3591" s="1" t="s">
        <v>434</v>
      </c>
      <c r="C3591" s="1" t="s">
        <v>172</v>
      </c>
      <c r="D3591" s="3">
        <f t="shared" si="538"/>
        <v>7647</v>
      </c>
      <c r="E3591" s="2">
        <f t="shared" si="539"/>
        <v>41821</v>
      </c>
      <c r="F3591" s="2">
        <f t="shared" si="540"/>
        <v>45838</v>
      </c>
    </row>
    <row r="3592" spans="1:6" x14ac:dyDescent="0.25">
      <c r="A3592" s="1" t="s">
        <v>435</v>
      </c>
      <c r="B3592" s="1" t="s">
        <v>434</v>
      </c>
      <c r="C3592" s="1" t="s">
        <v>211</v>
      </c>
      <c r="D3592" s="3">
        <f t="shared" si="538"/>
        <v>7647</v>
      </c>
      <c r="E3592" s="2">
        <f t="shared" si="539"/>
        <v>41821</v>
      </c>
      <c r="F3592" s="2">
        <f t="shared" si="540"/>
        <v>45838</v>
      </c>
    </row>
    <row r="3593" spans="1:6" x14ac:dyDescent="0.25">
      <c r="A3593" s="1" t="s">
        <v>435</v>
      </c>
      <c r="B3593" s="1" t="s">
        <v>434</v>
      </c>
      <c r="C3593" s="1" t="s">
        <v>92</v>
      </c>
      <c r="D3593" s="3">
        <f t="shared" si="538"/>
        <v>7647</v>
      </c>
      <c r="E3593" s="2">
        <f t="shared" si="539"/>
        <v>41821</v>
      </c>
      <c r="F3593" s="2">
        <f t="shared" si="540"/>
        <v>45838</v>
      </c>
    </row>
    <row r="3594" spans="1:6" x14ac:dyDescent="0.25">
      <c r="A3594" s="1" t="s">
        <v>435</v>
      </c>
      <c r="B3594" s="1" t="s">
        <v>434</v>
      </c>
      <c r="C3594" s="1" t="s">
        <v>444</v>
      </c>
      <c r="D3594" s="3">
        <f t="shared" si="538"/>
        <v>7647</v>
      </c>
      <c r="E3594" s="2">
        <f t="shared" si="539"/>
        <v>41821</v>
      </c>
      <c r="F3594" s="2">
        <f t="shared" si="540"/>
        <v>45838</v>
      </c>
    </row>
    <row r="3595" spans="1:6" x14ac:dyDescent="0.25">
      <c r="A3595" s="1" t="s">
        <v>435</v>
      </c>
      <c r="B3595" s="1" t="s">
        <v>434</v>
      </c>
      <c r="C3595" s="1" t="s">
        <v>445</v>
      </c>
      <c r="D3595" s="3">
        <f t="shared" si="538"/>
        <v>7647</v>
      </c>
      <c r="E3595" s="2">
        <f t="shared" si="539"/>
        <v>41821</v>
      </c>
      <c r="F3595" s="2">
        <f t="shared" si="540"/>
        <v>45838</v>
      </c>
    </row>
    <row r="3596" spans="1:6" x14ac:dyDescent="0.25">
      <c r="A3596" s="1" t="s">
        <v>435</v>
      </c>
      <c r="B3596" s="1" t="s">
        <v>434</v>
      </c>
      <c r="C3596" s="1" t="s">
        <v>446</v>
      </c>
      <c r="D3596" s="3">
        <f t="shared" si="538"/>
        <v>7647</v>
      </c>
      <c r="E3596" s="2">
        <f t="shared" si="539"/>
        <v>41821</v>
      </c>
      <c r="F3596" s="2">
        <f t="shared" si="540"/>
        <v>45838</v>
      </c>
    </row>
    <row r="3597" spans="1:6" x14ac:dyDescent="0.25">
      <c r="A3597" s="1" t="s">
        <v>435</v>
      </c>
      <c r="B3597" s="1" t="s">
        <v>434</v>
      </c>
      <c r="C3597" s="1" t="s">
        <v>447</v>
      </c>
      <c r="D3597" s="3">
        <f t="shared" si="538"/>
        <v>7647</v>
      </c>
      <c r="E3597" s="2">
        <f t="shared" si="539"/>
        <v>41821</v>
      </c>
      <c r="F3597" s="2">
        <f t="shared" si="540"/>
        <v>45838</v>
      </c>
    </row>
    <row r="3598" spans="1:6" x14ac:dyDescent="0.25">
      <c r="A3598" s="1" t="s">
        <v>435</v>
      </c>
      <c r="B3598" s="1" t="s">
        <v>434</v>
      </c>
      <c r="C3598" s="1" t="s">
        <v>212</v>
      </c>
      <c r="D3598" s="3">
        <f t="shared" si="538"/>
        <v>7647</v>
      </c>
      <c r="E3598" s="2">
        <f t="shared" si="539"/>
        <v>41821</v>
      </c>
      <c r="F3598" s="2">
        <f t="shared" si="540"/>
        <v>45838</v>
      </c>
    </row>
    <row r="3599" spans="1:6" x14ac:dyDescent="0.25">
      <c r="A3599" s="1" t="s">
        <v>435</v>
      </c>
      <c r="B3599" s="1" t="s">
        <v>434</v>
      </c>
      <c r="C3599" s="1" t="s">
        <v>24</v>
      </c>
      <c r="D3599" s="3">
        <f t="shared" si="538"/>
        <v>7647</v>
      </c>
      <c r="E3599" s="2">
        <f t="shared" si="539"/>
        <v>41821</v>
      </c>
      <c r="F3599" s="2">
        <f t="shared" si="540"/>
        <v>45838</v>
      </c>
    </row>
    <row r="3600" spans="1:6" x14ac:dyDescent="0.25">
      <c r="A3600" s="1" t="s">
        <v>435</v>
      </c>
      <c r="B3600" s="1" t="s">
        <v>434</v>
      </c>
      <c r="C3600" s="1" t="s">
        <v>26</v>
      </c>
      <c r="D3600" s="3">
        <f t="shared" si="538"/>
        <v>7647</v>
      </c>
      <c r="E3600" s="2">
        <f t="shared" si="539"/>
        <v>41821</v>
      </c>
      <c r="F3600" s="2">
        <f t="shared" si="540"/>
        <v>45838</v>
      </c>
    </row>
    <row r="3601" spans="1:6" x14ac:dyDescent="0.25">
      <c r="A3601" s="1" t="s">
        <v>435</v>
      </c>
      <c r="B3601" s="1" t="s">
        <v>434</v>
      </c>
      <c r="C3601" s="1" t="s">
        <v>207</v>
      </c>
      <c r="D3601" s="3">
        <f t="shared" si="538"/>
        <v>7647</v>
      </c>
      <c r="E3601" s="2">
        <f t="shared" si="539"/>
        <v>41821</v>
      </c>
      <c r="F3601" s="2">
        <f t="shared" si="540"/>
        <v>45838</v>
      </c>
    </row>
    <row r="3602" spans="1:6" x14ac:dyDescent="0.25">
      <c r="A3602" s="1" t="s">
        <v>435</v>
      </c>
      <c r="B3602" s="1" t="s">
        <v>434</v>
      </c>
      <c r="C3602" s="1" t="s">
        <v>208</v>
      </c>
      <c r="D3602" s="3">
        <f t="shared" si="538"/>
        <v>7647</v>
      </c>
      <c r="E3602" s="2">
        <f t="shared" si="539"/>
        <v>41821</v>
      </c>
      <c r="F3602" s="2">
        <f t="shared" si="540"/>
        <v>45838</v>
      </c>
    </row>
    <row r="3603" spans="1:6" x14ac:dyDescent="0.25">
      <c r="A3603" s="1" t="s">
        <v>435</v>
      </c>
      <c r="B3603" s="1" t="s">
        <v>434</v>
      </c>
      <c r="C3603" s="1" t="s">
        <v>71</v>
      </c>
      <c r="D3603" s="3">
        <f t="shared" si="538"/>
        <v>7647</v>
      </c>
      <c r="E3603" s="2">
        <f t="shared" si="539"/>
        <v>41821</v>
      </c>
      <c r="F3603" s="2">
        <f t="shared" si="540"/>
        <v>45838</v>
      </c>
    </row>
    <row r="3604" spans="1:6" x14ac:dyDescent="0.25">
      <c r="A3604" s="1" t="s">
        <v>435</v>
      </c>
      <c r="B3604" s="1" t="s">
        <v>434</v>
      </c>
      <c r="C3604" s="1" t="s">
        <v>72</v>
      </c>
      <c r="D3604" s="3">
        <f t="shared" si="538"/>
        <v>7647</v>
      </c>
      <c r="E3604" s="2">
        <f t="shared" si="539"/>
        <v>41821</v>
      </c>
      <c r="F3604" s="2">
        <f t="shared" si="540"/>
        <v>45838</v>
      </c>
    </row>
    <row r="3605" spans="1:6" x14ac:dyDescent="0.25">
      <c r="A3605" s="1" t="s">
        <v>435</v>
      </c>
      <c r="B3605" s="1" t="s">
        <v>434</v>
      </c>
      <c r="C3605" s="1" t="s">
        <v>27</v>
      </c>
      <c r="D3605" s="3">
        <f t="shared" si="538"/>
        <v>7647</v>
      </c>
      <c r="E3605" s="2">
        <f t="shared" si="539"/>
        <v>41821</v>
      </c>
      <c r="F3605" s="2">
        <f t="shared" si="540"/>
        <v>45838</v>
      </c>
    </row>
    <row r="3606" spans="1:6" x14ac:dyDescent="0.25">
      <c r="A3606" s="1" t="s">
        <v>435</v>
      </c>
      <c r="B3606" s="1" t="s">
        <v>434</v>
      </c>
      <c r="C3606" s="1" t="s">
        <v>262</v>
      </c>
      <c r="D3606" s="3">
        <f t="shared" si="538"/>
        <v>7647</v>
      </c>
      <c r="E3606" s="2">
        <f t="shared" si="539"/>
        <v>41821</v>
      </c>
      <c r="F3606" s="2">
        <f t="shared" si="540"/>
        <v>45838</v>
      </c>
    </row>
    <row r="3607" spans="1:6" x14ac:dyDescent="0.25">
      <c r="A3607" s="1" t="s">
        <v>435</v>
      </c>
      <c r="B3607" s="1" t="s">
        <v>434</v>
      </c>
      <c r="C3607" s="1" t="s">
        <v>337</v>
      </c>
      <c r="D3607" s="3">
        <f t="shared" si="538"/>
        <v>7647</v>
      </c>
      <c r="E3607" s="2">
        <f t="shared" si="539"/>
        <v>41821</v>
      </c>
      <c r="F3607" s="2">
        <f t="shared" si="540"/>
        <v>45838</v>
      </c>
    </row>
    <row r="3608" spans="1:6" x14ac:dyDescent="0.25">
      <c r="A3608" s="1" t="s">
        <v>435</v>
      </c>
      <c r="B3608" s="1" t="s">
        <v>434</v>
      </c>
      <c r="C3608" s="1" t="s">
        <v>158</v>
      </c>
      <c r="D3608" s="3">
        <f t="shared" si="538"/>
        <v>7647</v>
      </c>
      <c r="E3608" s="2">
        <f t="shared" si="539"/>
        <v>41821</v>
      </c>
      <c r="F3608" s="2">
        <f t="shared" si="540"/>
        <v>45838</v>
      </c>
    </row>
    <row r="3609" spans="1:6" x14ac:dyDescent="0.25">
      <c r="A3609" s="1" t="s">
        <v>435</v>
      </c>
      <c r="B3609" s="1" t="s">
        <v>434</v>
      </c>
      <c r="C3609" s="1" t="s">
        <v>293</v>
      </c>
      <c r="D3609" s="3">
        <f t="shared" si="538"/>
        <v>7647</v>
      </c>
      <c r="E3609" s="2">
        <f t="shared" si="539"/>
        <v>41821</v>
      </c>
      <c r="F3609" s="2">
        <f t="shared" si="540"/>
        <v>45838</v>
      </c>
    </row>
    <row r="3610" spans="1:6" x14ac:dyDescent="0.25">
      <c r="A3610" s="1" t="s">
        <v>435</v>
      </c>
      <c r="B3610" s="1" t="s">
        <v>434</v>
      </c>
      <c r="C3610" s="1" t="s">
        <v>294</v>
      </c>
      <c r="D3610" s="3">
        <f t="shared" si="538"/>
        <v>7647</v>
      </c>
      <c r="E3610" s="2">
        <f t="shared" si="539"/>
        <v>41821</v>
      </c>
      <c r="F3610" s="2">
        <f t="shared" si="540"/>
        <v>45838</v>
      </c>
    </row>
    <row r="3611" spans="1:6" x14ac:dyDescent="0.25">
      <c r="A3611" s="1" t="s">
        <v>435</v>
      </c>
      <c r="B3611" s="1" t="s">
        <v>434</v>
      </c>
      <c r="C3611" s="1" t="s">
        <v>73</v>
      </c>
      <c r="D3611" s="3">
        <f t="shared" si="538"/>
        <v>7647</v>
      </c>
      <c r="E3611" s="2">
        <f t="shared" si="539"/>
        <v>41821</v>
      </c>
      <c r="F3611" s="2">
        <f t="shared" si="540"/>
        <v>45838</v>
      </c>
    </row>
    <row r="3612" spans="1:6" x14ac:dyDescent="0.25">
      <c r="A3612" s="1" t="s">
        <v>435</v>
      </c>
      <c r="B3612" s="1" t="s">
        <v>434</v>
      </c>
      <c r="C3612" s="1" t="s">
        <v>296</v>
      </c>
      <c r="D3612" s="3">
        <f t="shared" si="538"/>
        <v>7647</v>
      </c>
      <c r="E3612" s="2">
        <f t="shared" si="539"/>
        <v>41821</v>
      </c>
      <c r="F3612" s="2">
        <f t="shared" si="540"/>
        <v>45838</v>
      </c>
    </row>
    <row r="3613" spans="1:6" x14ac:dyDescent="0.25">
      <c r="A3613" s="1" t="s">
        <v>435</v>
      </c>
      <c r="B3613" s="1" t="s">
        <v>434</v>
      </c>
      <c r="C3613" s="1" t="s">
        <v>297</v>
      </c>
      <c r="D3613" s="3">
        <f t="shared" si="538"/>
        <v>7647</v>
      </c>
      <c r="E3613" s="2">
        <f t="shared" si="539"/>
        <v>41821</v>
      </c>
      <c r="F3613" s="2">
        <f t="shared" si="540"/>
        <v>45838</v>
      </c>
    </row>
    <row r="3614" spans="1:6" x14ac:dyDescent="0.25">
      <c r="A3614" s="1" t="s">
        <v>435</v>
      </c>
      <c r="B3614" s="1" t="s">
        <v>434</v>
      </c>
      <c r="C3614" s="1" t="s">
        <v>298</v>
      </c>
      <c r="D3614" s="3">
        <f t="shared" si="538"/>
        <v>7647</v>
      </c>
      <c r="E3614" s="2">
        <f t="shared" si="539"/>
        <v>41821</v>
      </c>
      <c r="F3614" s="2">
        <f t="shared" si="540"/>
        <v>45838</v>
      </c>
    </row>
    <row r="3615" spans="1:6" x14ac:dyDescent="0.25">
      <c r="A3615" s="1" t="s">
        <v>435</v>
      </c>
      <c r="B3615" s="1" t="s">
        <v>434</v>
      </c>
      <c r="C3615" s="1" t="s">
        <v>299</v>
      </c>
      <c r="D3615" s="3">
        <f t="shared" si="538"/>
        <v>7647</v>
      </c>
      <c r="E3615" s="2">
        <f t="shared" si="539"/>
        <v>41821</v>
      </c>
      <c r="F3615" s="2">
        <f t="shared" si="540"/>
        <v>45838</v>
      </c>
    </row>
    <row r="3616" spans="1:6" x14ac:dyDescent="0.25">
      <c r="A3616" s="1" t="s">
        <v>435</v>
      </c>
      <c r="B3616" s="1" t="s">
        <v>434</v>
      </c>
      <c r="C3616" s="1" t="s">
        <v>300</v>
      </c>
      <c r="D3616" s="3">
        <f t="shared" si="538"/>
        <v>7647</v>
      </c>
      <c r="E3616" s="2">
        <f t="shared" si="539"/>
        <v>41821</v>
      </c>
      <c r="F3616" s="2">
        <f t="shared" si="540"/>
        <v>45838</v>
      </c>
    </row>
    <row r="3617" spans="1:6" x14ac:dyDescent="0.25">
      <c r="A3617" s="1" t="s">
        <v>435</v>
      </c>
      <c r="B3617" s="1" t="s">
        <v>434</v>
      </c>
      <c r="C3617" s="1" t="s">
        <v>301</v>
      </c>
      <c r="D3617" s="3">
        <f t="shared" si="538"/>
        <v>7647</v>
      </c>
      <c r="E3617" s="2">
        <f t="shared" si="539"/>
        <v>41821</v>
      </c>
      <c r="F3617" s="2">
        <f t="shared" si="540"/>
        <v>45838</v>
      </c>
    </row>
    <row r="3618" spans="1:6" x14ac:dyDescent="0.25">
      <c r="A3618" s="1" t="s">
        <v>435</v>
      </c>
      <c r="B3618" s="1" t="s">
        <v>434</v>
      </c>
      <c r="C3618" s="1" t="s">
        <v>302</v>
      </c>
      <c r="D3618" s="3">
        <f t="shared" si="538"/>
        <v>7647</v>
      </c>
      <c r="E3618" s="2">
        <f t="shared" si="539"/>
        <v>41821</v>
      </c>
      <c r="F3618" s="2">
        <f t="shared" si="540"/>
        <v>45838</v>
      </c>
    </row>
    <row r="3619" spans="1:6" x14ac:dyDescent="0.25">
      <c r="A3619" s="1" t="s">
        <v>435</v>
      </c>
      <c r="B3619" s="1" t="s">
        <v>434</v>
      </c>
      <c r="C3619" s="1" t="s">
        <v>52</v>
      </c>
      <c r="D3619" s="3">
        <f t="shared" si="538"/>
        <v>7647</v>
      </c>
      <c r="E3619" s="2">
        <f t="shared" si="539"/>
        <v>41821</v>
      </c>
      <c r="F3619" s="2">
        <f t="shared" si="540"/>
        <v>45838</v>
      </c>
    </row>
    <row r="3620" spans="1:6" x14ac:dyDescent="0.25">
      <c r="A3620" s="1" t="s">
        <v>435</v>
      </c>
      <c r="B3620" s="1" t="s">
        <v>434</v>
      </c>
      <c r="C3620" s="1" t="s">
        <v>338</v>
      </c>
      <c r="D3620" s="3">
        <f t="shared" ref="D3620:D3629" si="541">VALUE("7647")</f>
        <v>7647</v>
      </c>
      <c r="E3620" s="2">
        <f t="shared" ref="E3620:E3629" si="542">DATEVALUE("1-7-2014")</f>
        <v>41821</v>
      </c>
      <c r="F3620" s="2">
        <f t="shared" ref="F3620:F3629" si="543">DATEVALUE("30-6-2025")</f>
        <v>45838</v>
      </c>
    </row>
    <row r="3621" spans="1:6" x14ac:dyDescent="0.25">
      <c r="A3621" s="1" t="s">
        <v>435</v>
      </c>
      <c r="B3621" s="1" t="s">
        <v>434</v>
      </c>
      <c r="C3621" s="1" t="s">
        <v>160</v>
      </c>
      <c r="D3621" s="3">
        <f t="shared" si="541"/>
        <v>7647</v>
      </c>
      <c r="E3621" s="2">
        <f t="shared" si="542"/>
        <v>41821</v>
      </c>
      <c r="F3621" s="2">
        <f t="shared" si="543"/>
        <v>45838</v>
      </c>
    </row>
    <row r="3622" spans="1:6" x14ac:dyDescent="0.25">
      <c r="A3622" s="1" t="s">
        <v>435</v>
      </c>
      <c r="B3622" s="1" t="s">
        <v>434</v>
      </c>
      <c r="C3622" s="1" t="s">
        <v>448</v>
      </c>
      <c r="D3622" s="3">
        <f t="shared" si="541"/>
        <v>7647</v>
      </c>
      <c r="E3622" s="2">
        <f t="shared" si="542"/>
        <v>41821</v>
      </c>
      <c r="F3622" s="2">
        <f t="shared" si="543"/>
        <v>45838</v>
      </c>
    </row>
    <row r="3623" spans="1:6" x14ac:dyDescent="0.25">
      <c r="A3623" s="1" t="s">
        <v>435</v>
      </c>
      <c r="B3623" s="1" t="s">
        <v>434</v>
      </c>
      <c r="C3623" s="1" t="s">
        <v>34</v>
      </c>
      <c r="D3623" s="3">
        <f t="shared" si="541"/>
        <v>7647</v>
      </c>
      <c r="E3623" s="2">
        <f t="shared" si="542"/>
        <v>41821</v>
      </c>
      <c r="F3623" s="2">
        <f t="shared" si="543"/>
        <v>45838</v>
      </c>
    </row>
    <row r="3624" spans="1:6" x14ac:dyDescent="0.25">
      <c r="A3624" s="1" t="s">
        <v>435</v>
      </c>
      <c r="B3624" s="1" t="s">
        <v>434</v>
      </c>
      <c r="C3624" s="1" t="s">
        <v>310</v>
      </c>
      <c r="D3624" s="3">
        <f t="shared" si="541"/>
        <v>7647</v>
      </c>
      <c r="E3624" s="2">
        <f t="shared" si="542"/>
        <v>41821</v>
      </c>
      <c r="F3624" s="2">
        <f t="shared" si="543"/>
        <v>45838</v>
      </c>
    </row>
    <row r="3625" spans="1:6" x14ac:dyDescent="0.25">
      <c r="A3625" s="1" t="s">
        <v>435</v>
      </c>
      <c r="B3625" s="1" t="s">
        <v>434</v>
      </c>
      <c r="C3625" s="1" t="s">
        <v>36</v>
      </c>
      <c r="D3625" s="3">
        <f t="shared" si="541"/>
        <v>7647</v>
      </c>
      <c r="E3625" s="2">
        <f t="shared" si="542"/>
        <v>41821</v>
      </c>
      <c r="F3625" s="2">
        <f t="shared" si="543"/>
        <v>45838</v>
      </c>
    </row>
    <row r="3626" spans="1:6" x14ac:dyDescent="0.25">
      <c r="A3626" s="1" t="s">
        <v>435</v>
      </c>
      <c r="B3626" s="1" t="s">
        <v>434</v>
      </c>
      <c r="C3626" s="1" t="s">
        <v>133</v>
      </c>
      <c r="D3626" s="3">
        <f t="shared" si="541"/>
        <v>7647</v>
      </c>
      <c r="E3626" s="2">
        <f t="shared" si="542"/>
        <v>41821</v>
      </c>
      <c r="F3626" s="2">
        <f t="shared" si="543"/>
        <v>45838</v>
      </c>
    </row>
    <row r="3627" spans="1:6" x14ac:dyDescent="0.25">
      <c r="A3627" s="1" t="s">
        <v>435</v>
      </c>
      <c r="B3627" s="1" t="s">
        <v>434</v>
      </c>
      <c r="C3627" s="1" t="s">
        <v>134</v>
      </c>
      <c r="D3627" s="3">
        <f t="shared" si="541"/>
        <v>7647</v>
      </c>
      <c r="E3627" s="2">
        <f t="shared" si="542"/>
        <v>41821</v>
      </c>
      <c r="F3627" s="2">
        <f t="shared" si="543"/>
        <v>45838</v>
      </c>
    </row>
    <row r="3628" spans="1:6" x14ac:dyDescent="0.25">
      <c r="A3628" s="1" t="s">
        <v>435</v>
      </c>
      <c r="B3628" s="1" t="s">
        <v>434</v>
      </c>
      <c r="C3628" s="1" t="s">
        <v>169</v>
      </c>
      <c r="D3628" s="3">
        <f t="shared" si="541"/>
        <v>7647</v>
      </c>
      <c r="E3628" s="2">
        <f t="shared" si="542"/>
        <v>41821</v>
      </c>
      <c r="F3628" s="2">
        <f t="shared" si="543"/>
        <v>45838</v>
      </c>
    </row>
    <row r="3629" spans="1:6" x14ac:dyDescent="0.25">
      <c r="A3629" s="1" t="s">
        <v>435</v>
      </c>
      <c r="B3629" s="1" t="s">
        <v>434</v>
      </c>
      <c r="C3629" s="1" t="s">
        <v>170</v>
      </c>
      <c r="D3629" s="3">
        <f t="shared" si="541"/>
        <v>7647</v>
      </c>
      <c r="E3629" s="2">
        <f t="shared" si="542"/>
        <v>41821</v>
      </c>
      <c r="F3629" s="2">
        <f t="shared" si="543"/>
        <v>45838</v>
      </c>
    </row>
    <row r="3630" spans="1:6" x14ac:dyDescent="0.25">
      <c r="A3630" s="1" t="s">
        <v>435</v>
      </c>
      <c r="B3630" s="1" t="s">
        <v>1704</v>
      </c>
      <c r="C3630" s="1" t="s">
        <v>150</v>
      </c>
      <c r="D3630" s="3">
        <f>VALUE("7244")</f>
        <v>7244</v>
      </c>
      <c r="E3630" s="2">
        <f>DATEVALUE("1-11-2011")</f>
        <v>40848</v>
      </c>
      <c r="F3630" s="2">
        <f>DATEVALUE("31-12-2014")</f>
        <v>42004</v>
      </c>
    </row>
    <row r="3631" spans="1:6" x14ac:dyDescent="0.25">
      <c r="A3631" s="1" t="s">
        <v>435</v>
      </c>
      <c r="B3631" s="1" t="s">
        <v>1704</v>
      </c>
      <c r="C3631" s="1" t="s">
        <v>211</v>
      </c>
      <c r="D3631" s="3">
        <f>VALUE("7244")</f>
        <v>7244</v>
      </c>
      <c r="E3631" s="2">
        <f>DATEVALUE("1-11-2011")</f>
        <v>40848</v>
      </c>
      <c r="F3631" s="2">
        <f>DATEVALUE("31-12-2014")</f>
        <v>42004</v>
      </c>
    </row>
    <row r="3632" spans="1:6" x14ac:dyDescent="0.25">
      <c r="A3632" s="1" t="s">
        <v>435</v>
      </c>
      <c r="B3632" s="1" t="s">
        <v>1704</v>
      </c>
      <c r="C3632" s="1" t="s">
        <v>207</v>
      </c>
      <c r="D3632" s="3">
        <f>VALUE("7244")</f>
        <v>7244</v>
      </c>
      <c r="E3632" s="2">
        <f>DATEVALUE("1-11-2011")</f>
        <v>40848</v>
      </c>
      <c r="F3632" s="2">
        <f>DATEVALUE("31-12-2014")</f>
        <v>42004</v>
      </c>
    </row>
    <row r="3633" spans="1:6" x14ac:dyDescent="0.25">
      <c r="A3633" s="1" t="s">
        <v>435</v>
      </c>
      <c r="B3633" s="1" t="s">
        <v>1704</v>
      </c>
      <c r="C3633" s="1" t="s">
        <v>208</v>
      </c>
      <c r="D3633" s="3">
        <f>VALUE("7244")</f>
        <v>7244</v>
      </c>
      <c r="E3633" s="2">
        <f>DATEVALUE("1-11-2011")</f>
        <v>40848</v>
      </c>
      <c r="F3633" s="2">
        <f>DATEVALUE("31-12-2014")</f>
        <v>42004</v>
      </c>
    </row>
    <row r="3634" spans="1:6" x14ac:dyDescent="0.25">
      <c r="A3634" s="1" t="s">
        <v>1955</v>
      </c>
      <c r="B3634" s="1" t="s">
        <v>1954</v>
      </c>
      <c r="C3634" s="1" t="s">
        <v>15</v>
      </c>
      <c r="D3634" s="3">
        <f>VALUE("7717")</f>
        <v>7717</v>
      </c>
      <c r="E3634" s="2">
        <f>DATEVALUE("1-2-2015")</f>
        <v>42036</v>
      </c>
      <c r="F3634" s="2">
        <f>DATEVALUE("31-10-2015")</f>
        <v>42308</v>
      </c>
    </row>
    <row r="3635" spans="1:6" x14ac:dyDescent="0.25">
      <c r="A3635" s="1" t="s">
        <v>1955</v>
      </c>
      <c r="B3635" s="1" t="s">
        <v>1954</v>
      </c>
      <c r="C3635" s="1" t="s">
        <v>148</v>
      </c>
      <c r="D3635" s="3">
        <f>VALUE("7717")</f>
        <v>7717</v>
      </c>
      <c r="E3635" s="2">
        <f>DATEVALUE("1-2-2015")</f>
        <v>42036</v>
      </c>
      <c r="F3635" s="2">
        <f>DATEVALUE("31-10-2015")</f>
        <v>42308</v>
      </c>
    </row>
    <row r="3636" spans="1:6" x14ac:dyDescent="0.25">
      <c r="A3636" s="1" t="s">
        <v>1955</v>
      </c>
      <c r="B3636" s="1" t="s">
        <v>1954</v>
      </c>
      <c r="C3636" s="1" t="s">
        <v>48</v>
      </c>
      <c r="D3636" s="3">
        <f>VALUE("7717")</f>
        <v>7717</v>
      </c>
      <c r="E3636" s="2">
        <f>DATEVALUE("1-2-2015")</f>
        <v>42036</v>
      </c>
      <c r="F3636" s="2">
        <f>DATEVALUE("31-10-2015")</f>
        <v>42308</v>
      </c>
    </row>
    <row r="3637" spans="1:6" x14ac:dyDescent="0.25">
      <c r="A3637" s="1" t="s">
        <v>1955</v>
      </c>
      <c r="B3637" s="1" t="s">
        <v>1954</v>
      </c>
      <c r="C3637" s="1" t="s">
        <v>53</v>
      </c>
      <c r="D3637" s="3">
        <f>VALUE("7717")</f>
        <v>7717</v>
      </c>
      <c r="E3637" s="2">
        <f>DATEVALUE("1-2-2015")</f>
        <v>42036</v>
      </c>
      <c r="F3637" s="2">
        <f>DATEVALUE("31-10-2015")</f>
        <v>42308</v>
      </c>
    </row>
    <row r="3638" spans="1:6" x14ac:dyDescent="0.25">
      <c r="A3638" s="1" t="s">
        <v>2169</v>
      </c>
      <c r="B3638" s="1" t="s">
        <v>1646</v>
      </c>
      <c r="C3638" s="1" t="s">
        <v>8</v>
      </c>
      <c r="D3638" s="3">
        <f t="shared" ref="D3638:D3651" si="544">VALUE("7627")</f>
        <v>7627</v>
      </c>
      <c r="E3638" s="2">
        <f t="shared" ref="E3638:E3651" si="545">DATEVALUE("1-7-2014")</f>
        <v>41821</v>
      </c>
      <c r="F3638" s="2">
        <f t="shared" ref="F3638:F3651" si="546">DATEVALUE("31-5-2017")</f>
        <v>42886</v>
      </c>
    </row>
    <row r="3639" spans="1:6" x14ac:dyDescent="0.25">
      <c r="A3639" s="1" t="s">
        <v>2169</v>
      </c>
      <c r="B3639" s="1" t="s">
        <v>1646</v>
      </c>
      <c r="C3639" s="1" t="s">
        <v>10</v>
      </c>
      <c r="D3639" s="3">
        <f t="shared" si="544"/>
        <v>7627</v>
      </c>
      <c r="E3639" s="2">
        <f t="shared" si="545"/>
        <v>41821</v>
      </c>
      <c r="F3639" s="2">
        <f t="shared" si="546"/>
        <v>42886</v>
      </c>
    </row>
    <row r="3640" spans="1:6" x14ac:dyDescent="0.25">
      <c r="A3640" s="1" t="s">
        <v>2169</v>
      </c>
      <c r="B3640" s="1" t="s">
        <v>1646</v>
      </c>
      <c r="C3640" s="1" t="s">
        <v>13</v>
      </c>
      <c r="D3640" s="3">
        <f t="shared" si="544"/>
        <v>7627</v>
      </c>
      <c r="E3640" s="2">
        <f t="shared" si="545"/>
        <v>41821</v>
      </c>
      <c r="F3640" s="2">
        <f t="shared" si="546"/>
        <v>42886</v>
      </c>
    </row>
    <row r="3641" spans="1:6" x14ac:dyDescent="0.25">
      <c r="A3641" s="1" t="s">
        <v>2169</v>
      </c>
      <c r="B3641" s="1" t="s">
        <v>1646</v>
      </c>
      <c r="C3641" s="1" t="s">
        <v>45</v>
      </c>
      <c r="D3641" s="3">
        <f t="shared" si="544"/>
        <v>7627</v>
      </c>
      <c r="E3641" s="2">
        <f t="shared" si="545"/>
        <v>41821</v>
      </c>
      <c r="F3641" s="2">
        <f t="shared" si="546"/>
        <v>42886</v>
      </c>
    </row>
    <row r="3642" spans="1:6" x14ac:dyDescent="0.25">
      <c r="A3642" s="1" t="s">
        <v>2169</v>
      </c>
      <c r="B3642" s="1" t="s">
        <v>1646</v>
      </c>
      <c r="C3642" s="1" t="s">
        <v>328</v>
      </c>
      <c r="D3642" s="3">
        <f t="shared" si="544"/>
        <v>7627</v>
      </c>
      <c r="E3642" s="2">
        <f t="shared" si="545"/>
        <v>41821</v>
      </c>
      <c r="F3642" s="2">
        <f t="shared" si="546"/>
        <v>42886</v>
      </c>
    </row>
    <row r="3643" spans="1:6" x14ac:dyDescent="0.25">
      <c r="A3643" s="1" t="s">
        <v>2169</v>
      </c>
      <c r="B3643" s="1" t="s">
        <v>1646</v>
      </c>
      <c r="C3643" s="1" t="s">
        <v>22</v>
      </c>
      <c r="D3643" s="3">
        <f t="shared" si="544"/>
        <v>7627</v>
      </c>
      <c r="E3643" s="2">
        <f t="shared" si="545"/>
        <v>41821</v>
      </c>
      <c r="F3643" s="2">
        <f t="shared" si="546"/>
        <v>42886</v>
      </c>
    </row>
    <row r="3644" spans="1:6" x14ac:dyDescent="0.25">
      <c r="A3644" s="1" t="s">
        <v>2169</v>
      </c>
      <c r="B3644" s="1" t="s">
        <v>1646</v>
      </c>
      <c r="C3644" s="1" t="s">
        <v>1648</v>
      </c>
      <c r="D3644" s="3">
        <f t="shared" si="544"/>
        <v>7627</v>
      </c>
      <c r="E3644" s="2">
        <f t="shared" si="545"/>
        <v>41821</v>
      </c>
      <c r="F3644" s="2">
        <f t="shared" si="546"/>
        <v>42886</v>
      </c>
    </row>
    <row r="3645" spans="1:6" x14ac:dyDescent="0.25">
      <c r="A3645" s="1" t="s">
        <v>2169</v>
      </c>
      <c r="B3645" s="1" t="s">
        <v>1646</v>
      </c>
      <c r="C3645" s="1" t="s">
        <v>228</v>
      </c>
      <c r="D3645" s="3">
        <f t="shared" si="544"/>
        <v>7627</v>
      </c>
      <c r="E3645" s="2">
        <f t="shared" si="545"/>
        <v>41821</v>
      </c>
      <c r="F3645" s="2">
        <f t="shared" si="546"/>
        <v>42886</v>
      </c>
    </row>
    <row r="3646" spans="1:6" x14ac:dyDescent="0.25">
      <c r="A3646" s="1" t="s">
        <v>2169</v>
      </c>
      <c r="B3646" s="1" t="s">
        <v>1646</v>
      </c>
      <c r="C3646" s="1" t="s">
        <v>229</v>
      </c>
      <c r="D3646" s="3">
        <f t="shared" si="544"/>
        <v>7627</v>
      </c>
      <c r="E3646" s="2">
        <f t="shared" si="545"/>
        <v>41821</v>
      </c>
      <c r="F3646" s="2">
        <f t="shared" si="546"/>
        <v>42886</v>
      </c>
    </row>
    <row r="3647" spans="1:6" x14ac:dyDescent="0.25">
      <c r="A3647" s="1" t="s">
        <v>2169</v>
      </c>
      <c r="B3647" s="1" t="s">
        <v>1646</v>
      </c>
      <c r="C3647" s="1" t="s">
        <v>231</v>
      </c>
      <c r="D3647" s="3">
        <f t="shared" si="544"/>
        <v>7627</v>
      </c>
      <c r="E3647" s="2">
        <f t="shared" si="545"/>
        <v>41821</v>
      </c>
      <c r="F3647" s="2">
        <f t="shared" si="546"/>
        <v>42886</v>
      </c>
    </row>
    <row r="3648" spans="1:6" x14ac:dyDescent="0.25">
      <c r="A3648" s="1" t="s">
        <v>2169</v>
      </c>
      <c r="B3648" s="1" t="s">
        <v>1646</v>
      </c>
      <c r="C3648" s="1" t="s">
        <v>232</v>
      </c>
      <c r="D3648" s="3">
        <f t="shared" si="544"/>
        <v>7627</v>
      </c>
      <c r="E3648" s="2">
        <f t="shared" si="545"/>
        <v>41821</v>
      </c>
      <c r="F3648" s="2">
        <f t="shared" si="546"/>
        <v>42886</v>
      </c>
    </row>
    <row r="3649" spans="1:6" x14ac:dyDescent="0.25">
      <c r="A3649" s="1" t="s">
        <v>2169</v>
      </c>
      <c r="B3649" s="1" t="s">
        <v>1646</v>
      </c>
      <c r="C3649" s="1" t="s">
        <v>30</v>
      </c>
      <c r="D3649" s="3">
        <f t="shared" si="544"/>
        <v>7627</v>
      </c>
      <c r="E3649" s="2">
        <f t="shared" si="545"/>
        <v>41821</v>
      </c>
      <c r="F3649" s="2">
        <f t="shared" si="546"/>
        <v>42886</v>
      </c>
    </row>
    <row r="3650" spans="1:6" x14ac:dyDescent="0.25">
      <c r="A3650" s="1" t="s">
        <v>2169</v>
      </c>
      <c r="B3650" s="1" t="s">
        <v>1646</v>
      </c>
      <c r="C3650" s="1" t="s">
        <v>240</v>
      </c>
      <c r="D3650" s="3">
        <f t="shared" si="544"/>
        <v>7627</v>
      </c>
      <c r="E3650" s="2">
        <f t="shared" si="545"/>
        <v>41821</v>
      </c>
      <c r="F3650" s="2">
        <f t="shared" si="546"/>
        <v>42886</v>
      </c>
    </row>
    <row r="3651" spans="1:6" x14ac:dyDescent="0.25">
      <c r="A3651" s="1" t="s">
        <v>2169</v>
      </c>
      <c r="B3651" s="1" t="s">
        <v>1646</v>
      </c>
      <c r="C3651" s="1" t="s">
        <v>73</v>
      </c>
      <c r="D3651" s="3">
        <f t="shared" si="544"/>
        <v>7627</v>
      </c>
      <c r="E3651" s="2">
        <f t="shared" si="545"/>
        <v>41821</v>
      </c>
      <c r="F3651" s="2">
        <f t="shared" si="546"/>
        <v>42886</v>
      </c>
    </row>
    <row r="3652" spans="1:6" x14ac:dyDescent="0.25">
      <c r="A3652" s="1" t="s">
        <v>1203</v>
      </c>
      <c r="B3652" s="1" t="s">
        <v>1202</v>
      </c>
      <c r="C3652" s="1" t="s">
        <v>252</v>
      </c>
      <c r="D3652" s="3">
        <f t="shared" ref="D3652:D3660" si="547">VALUE("8464")</f>
        <v>8464</v>
      </c>
      <c r="E3652" s="2">
        <f t="shared" ref="E3652:E3660" si="548">DATEVALUE("1-3-2019")</f>
        <v>43525</v>
      </c>
      <c r="F3652" s="2">
        <f t="shared" ref="F3652:F3660" si="549">DATEVALUE("30-6-2021")</f>
        <v>44377</v>
      </c>
    </row>
    <row r="3653" spans="1:6" x14ac:dyDescent="0.25">
      <c r="A3653" s="1" t="s">
        <v>1203</v>
      </c>
      <c r="B3653" s="1" t="s">
        <v>1202</v>
      </c>
      <c r="C3653" s="1" t="s">
        <v>17</v>
      </c>
      <c r="D3653" s="3">
        <f t="shared" si="547"/>
        <v>8464</v>
      </c>
      <c r="E3653" s="2">
        <f t="shared" si="548"/>
        <v>43525</v>
      </c>
      <c r="F3653" s="2">
        <f t="shared" si="549"/>
        <v>44377</v>
      </c>
    </row>
    <row r="3654" spans="1:6" x14ac:dyDescent="0.25">
      <c r="A3654" s="1" t="s">
        <v>1203</v>
      </c>
      <c r="B3654" s="1" t="s">
        <v>1202</v>
      </c>
      <c r="C3654" s="1" t="s">
        <v>146</v>
      </c>
      <c r="D3654" s="3">
        <f t="shared" si="547"/>
        <v>8464</v>
      </c>
      <c r="E3654" s="2">
        <f t="shared" si="548"/>
        <v>43525</v>
      </c>
      <c r="F3654" s="2">
        <f t="shared" si="549"/>
        <v>44377</v>
      </c>
    </row>
    <row r="3655" spans="1:6" x14ac:dyDescent="0.25">
      <c r="A3655" s="1" t="s">
        <v>1203</v>
      </c>
      <c r="B3655" s="1" t="s">
        <v>1202</v>
      </c>
      <c r="C3655" s="1" t="s">
        <v>67</v>
      </c>
      <c r="D3655" s="3">
        <f t="shared" si="547"/>
        <v>8464</v>
      </c>
      <c r="E3655" s="2">
        <f t="shared" si="548"/>
        <v>43525</v>
      </c>
      <c r="F3655" s="2">
        <f t="shared" si="549"/>
        <v>44377</v>
      </c>
    </row>
    <row r="3656" spans="1:6" x14ac:dyDescent="0.25">
      <c r="A3656" s="1" t="s">
        <v>1203</v>
      </c>
      <c r="B3656" s="1" t="s">
        <v>1202</v>
      </c>
      <c r="C3656" s="1" t="s">
        <v>149</v>
      </c>
      <c r="D3656" s="3">
        <f t="shared" si="547"/>
        <v>8464</v>
      </c>
      <c r="E3656" s="2">
        <f t="shared" si="548"/>
        <v>43525</v>
      </c>
      <c r="F3656" s="2">
        <f t="shared" si="549"/>
        <v>44377</v>
      </c>
    </row>
    <row r="3657" spans="1:6" x14ac:dyDescent="0.25">
      <c r="A3657" s="1" t="s">
        <v>1203</v>
      </c>
      <c r="B3657" s="1" t="s">
        <v>1202</v>
      </c>
      <c r="C3657" s="1" t="s">
        <v>206</v>
      </c>
      <c r="D3657" s="3">
        <f t="shared" si="547"/>
        <v>8464</v>
      </c>
      <c r="E3657" s="2">
        <f t="shared" si="548"/>
        <v>43525</v>
      </c>
      <c r="F3657" s="2">
        <f t="shared" si="549"/>
        <v>44377</v>
      </c>
    </row>
    <row r="3658" spans="1:6" x14ac:dyDescent="0.25">
      <c r="A3658" s="1" t="s">
        <v>1203</v>
      </c>
      <c r="B3658" s="1" t="s">
        <v>1202</v>
      </c>
      <c r="C3658" s="1" t="s">
        <v>160</v>
      </c>
      <c r="D3658" s="3">
        <f t="shared" si="547"/>
        <v>8464</v>
      </c>
      <c r="E3658" s="2">
        <f t="shared" si="548"/>
        <v>43525</v>
      </c>
      <c r="F3658" s="2">
        <f t="shared" si="549"/>
        <v>44377</v>
      </c>
    </row>
    <row r="3659" spans="1:6" x14ac:dyDescent="0.25">
      <c r="A3659" s="1" t="s">
        <v>1203</v>
      </c>
      <c r="B3659" s="1" t="s">
        <v>1202</v>
      </c>
      <c r="C3659" s="1" t="s">
        <v>448</v>
      </c>
      <c r="D3659" s="3">
        <f t="shared" si="547"/>
        <v>8464</v>
      </c>
      <c r="E3659" s="2">
        <f t="shared" si="548"/>
        <v>43525</v>
      </c>
      <c r="F3659" s="2">
        <f t="shared" si="549"/>
        <v>44377</v>
      </c>
    </row>
    <row r="3660" spans="1:6" x14ac:dyDescent="0.25">
      <c r="A3660" s="1" t="s">
        <v>1203</v>
      </c>
      <c r="B3660" s="1" t="s">
        <v>1202</v>
      </c>
      <c r="C3660" s="1" t="s">
        <v>310</v>
      </c>
      <c r="D3660" s="3">
        <f t="shared" si="547"/>
        <v>8464</v>
      </c>
      <c r="E3660" s="2">
        <f t="shared" si="548"/>
        <v>43525</v>
      </c>
      <c r="F3660" s="2">
        <f t="shared" si="549"/>
        <v>44377</v>
      </c>
    </row>
    <row r="3661" spans="1:6" x14ac:dyDescent="0.25">
      <c r="A3661" s="1" t="s">
        <v>1203</v>
      </c>
      <c r="B3661" s="1" t="s">
        <v>2174</v>
      </c>
      <c r="C3661" s="1" t="s">
        <v>228</v>
      </c>
      <c r="D3661" s="3">
        <f>VALUE("7677")</f>
        <v>7677</v>
      </c>
      <c r="E3661" s="2">
        <f>DATEVALUE("1-3-2015")</f>
        <v>42064</v>
      </c>
      <c r="F3661" s="2">
        <f>DATEVALUE("31-12-2017")</f>
        <v>43100</v>
      </c>
    </row>
    <row r="3662" spans="1:6" x14ac:dyDescent="0.25">
      <c r="A3662" s="1" t="s">
        <v>1203</v>
      </c>
      <c r="B3662" s="1" t="s">
        <v>45</v>
      </c>
      <c r="C3662" s="1" t="s">
        <v>45</v>
      </c>
      <c r="D3662" s="3">
        <f>VALUE("7016")</f>
        <v>7016</v>
      </c>
      <c r="E3662" s="2">
        <f>DATEVALUE("1-12-2013")</f>
        <v>41609</v>
      </c>
      <c r="F3662" s="2">
        <f>DATEVALUE("31-12-2016")</f>
        <v>42735</v>
      </c>
    </row>
    <row r="3663" spans="1:6" x14ac:dyDescent="0.25">
      <c r="A3663" s="1" t="s">
        <v>1203</v>
      </c>
      <c r="B3663" s="1" t="s">
        <v>1696</v>
      </c>
      <c r="C3663" s="1" t="s">
        <v>82</v>
      </c>
      <c r="D3663" s="3">
        <f t="shared" ref="D3663:D3675" si="550">VALUE("7092")</f>
        <v>7092</v>
      </c>
      <c r="E3663" s="2">
        <f t="shared" ref="E3663:E3675" si="551">DATEVALUE("1-9-2010")</f>
        <v>40422</v>
      </c>
      <c r="F3663" s="2">
        <f t="shared" ref="F3663:F3675" si="552">DATEVALUE("30-9-2015")</f>
        <v>42277</v>
      </c>
    </row>
    <row r="3664" spans="1:6" x14ac:dyDescent="0.25">
      <c r="A3664" s="1" t="s">
        <v>1203</v>
      </c>
      <c r="B3664" s="1" t="s">
        <v>1696</v>
      </c>
      <c r="C3664" s="1" t="s">
        <v>8</v>
      </c>
      <c r="D3664" s="3">
        <f t="shared" si="550"/>
        <v>7092</v>
      </c>
      <c r="E3664" s="2">
        <f t="shared" si="551"/>
        <v>40422</v>
      </c>
      <c r="F3664" s="2">
        <f t="shared" si="552"/>
        <v>42277</v>
      </c>
    </row>
    <row r="3665" spans="1:6" x14ac:dyDescent="0.25">
      <c r="A3665" s="1" t="s">
        <v>1203</v>
      </c>
      <c r="B3665" s="1" t="s">
        <v>1696</v>
      </c>
      <c r="C3665" s="1" t="s">
        <v>10</v>
      </c>
      <c r="D3665" s="3">
        <f t="shared" si="550"/>
        <v>7092</v>
      </c>
      <c r="E3665" s="2">
        <f t="shared" si="551"/>
        <v>40422</v>
      </c>
      <c r="F3665" s="2">
        <f t="shared" si="552"/>
        <v>42277</v>
      </c>
    </row>
    <row r="3666" spans="1:6" x14ac:dyDescent="0.25">
      <c r="A3666" s="1" t="s">
        <v>1203</v>
      </c>
      <c r="B3666" s="1" t="s">
        <v>1696</v>
      </c>
      <c r="C3666" s="1" t="s">
        <v>11</v>
      </c>
      <c r="D3666" s="3">
        <f t="shared" si="550"/>
        <v>7092</v>
      </c>
      <c r="E3666" s="2">
        <f t="shared" si="551"/>
        <v>40422</v>
      </c>
      <c r="F3666" s="2">
        <f t="shared" si="552"/>
        <v>42277</v>
      </c>
    </row>
    <row r="3667" spans="1:6" x14ac:dyDescent="0.25">
      <c r="A3667" s="1" t="s">
        <v>1203</v>
      </c>
      <c r="B3667" s="1" t="s">
        <v>1696</v>
      </c>
      <c r="C3667" s="1" t="s">
        <v>12</v>
      </c>
      <c r="D3667" s="3">
        <f t="shared" si="550"/>
        <v>7092</v>
      </c>
      <c r="E3667" s="2">
        <f t="shared" si="551"/>
        <v>40422</v>
      </c>
      <c r="F3667" s="2">
        <f t="shared" si="552"/>
        <v>42277</v>
      </c>
    </row>
    <row r="3668" spans="1:6" x14ac:dyDescent="0.25">
      <c r="A3668" s="1" t="s">
        <v>1203</v>
      </c>
      <c r="B3668" s="1" t="s">
        <v>1696</v>
      </c>
      <c r="C3668" s="1" t="s">
        <v>17</v>
      </c>
      <c r="D3668" s="3">
        <f t="shared" si="550"/>
        <v>7092</v>
      </c>
      <c r="E3668" s="2">
        <f t="shared" si="551"/>
        <v>40422</v>
      </c>
      <c r="F3668" s="2">
        <f t="shared" si="552"/>
        <v>42277</v>
      </c>
    </row>
    <row r="3669" spans="1:6" x14ac:dyDescent="0.25">
      <c r="A3669" s="1" t="s">
        <v>1203</v>
      </c>
      <c r="B3669" s="1" t="s">
        <v>1696</v>
      </c>
      <c r="C3669" s="1" t="s">
        <v>32</v>
      </c>
      <c r="D3669" s="3">
        <f t="shared" si="550"/>
        <v>7092</v>
      </c>
      <c r="E3669" s="2">
        <f t="shared" si="551"/>
        <v>40422</v>
      </c>
      <c r="F3669" s="2">
        <f t="shared" si="552"/>
        <v>42277</v>
      </c>
    </row>
    <row r="3670" spans="1:6" x14ac:dyDescent="0.25">
      <c r="A3670" s="1" t="s">
        <v>1203</v>
      </c>
      <c r="B3670" s="1" t="s">
        <v>1696</v>
      </c>
      <c r="C3670" s="1" t="s">
        <v>113</v>
      </c>
      <c r="D3670" s="3">
        <f t="shared" si="550"/>
        <v>7092</v>
      </c>
      <c r="E3670" s="2">
        <f t="shared" si="551"/>
        <v>40422</v>
      </c>
      <c r="F3670" s="2">
        <f t="shared" si="552"/>
        <v>42277</v>
      </c>
    </row>
    <row r="3671" spans="1:6" x14ac:dyDescent="0.25">
      <c r="A3671" s="1" t="s">
        <v>1203</v>
      </c>
      <c r="B3671" s="1" t="s">
        <v>1696</v>
      </c>
      <c r="C3671" s="1" t="s">
        <v>1697</v>
      </c>
      <c r="D3671" s="3">
        <f t="shared" si="550"/>
        <v>7092</v>
      </c>
      <c r="E3671" s="2">
        <f t="shared" si="551"/>
        <v>40422</v>
      </c>
      <c r="F3671" s="2">
        <f t="shared" si="552"/>
        <v>42277</v>
      </c>
    </row>
    <row r="3672" spans="1:6" x14ac:dyDescent="0.25">
      <c r="A3672" s="1" t="s">
        <v>1203</v>
      </c>
      <c r="B3672" s="1" t="s">
        <v>1696</v>
      </c>
      <c r="C3672" s="1" t="s">
        <v>116</v>
      </c>
      <c r="D3672" s="3">
        <f t="shared" si="550"/>
        <v>7092</v>
      </c>
      <c r="E3672" s="2">
        <f t="shared" si="551"/>
        <v>40422</v>
      </c>
      <c r="F3672" s="2">
        <f t="shared" si="552"/>
        <v>42277</v>
      </c>
    </row>
    <row r="3673" spans="1:6" x14ac:dyDescent="0.25">
      <c r="A3673" s="1" t="s">
        <v>1203</v>
      </c>
      <c r="B3673" s="1" t="s">
        <v>1696</v>
      </c>
      <c r="C3673" s="1" t="s">
        <v>57</v>
      </c>
      <c r="D3673" s="3">
        <f t="shared" si="550"/>
        <v>7092</v>
      </c>
      <c r="E3673" s="2">
        <f t="shared" si="551"/>
        <v>40422</v>
      </c>
      <c r="F3673" s="2">
        <f t="shared" si="552"/>
        <v>42277</v>
      </c>
    </row>
    <row r="3674" spans="1:6" x14ac:dyDescent="0.25">
      <c r="A3674" s="1" t="s">
        <v>1203</v>
      </c>
      <c r="B3674" s="1" t="s">
        <v>1696</v>
      </c>
      <c r="C3674" s="1" t="s">
        <v>173</v>
      </c>
      <c r="D3674" s="3">
        <f t="shared" si="550"/>
        <v>7092</v>
      </c>
      <c r="E3674" s="2">
        <f t="shared" si="551"/>
        <v>40422</v>
      </c>
      <c r="F3674" s="2">
        <f t="shared" si="552"/>
        <v>42277</v>
      </c>
    </row>
    <row r="3675" spans="1:6" x14ac:dyDescent="0.25">
      <c r="A3675" s="1" t="s">
        <v>1203</v>
      </c>
      <c r="B3675" s="1" t="s">
        <v>1696</v>
      </c>
      <c r="C3675" s="1" t="s">
        <v>36</v>
      </c>
      <c r="D3675" s="3">
        <f t="shared" si="550"/>
        <v>7092</v>
      </c>
      <c r="E3675" s="2">
        <f t="shared" si="551"/>
        <v>40422</v>
      </c>
      <c r="F3675" s="2">
        <f t="shared" si="552"/>
        <v>42277</v>
      </c>
    </row>
    <row r="3676" spans="1:6" x14ac:dyDescent="0.25">
      <c r="A3676" s="1" t="s">
        <v>492</v>
      </c>
      <c r="B3676" s="1" t="s">
        <v>2369</v>
      </c>
      <c r="C3676" s="1" t="s">
        <v>14</v>
      </c>
      <c r="D3676" s="3">
        <f t="shared" ref="D3676:D3681" si="553">VALUE("8269")</f>
        <v>8269</v>
      </c>
      <c r="E3676" s="2">
        <f t="shared" ref="E3676:E3681" si="554">DATEVALUE("1-3-2018")</f>
        <v>43160</v>
      </c>
      <c r="F3676" s="2">
        <f t="shared" ref="F3676:F3681" si="555">DATEVALUE("31-7-2018")</f>
        <v>43312</v>
      </c>
    </row>
    <row r="3677" spans="1:6" x14ac:dyDescent="0.25">
      <c r="A3677" s="1" t="s">
        <v>492</v>
      </c>
      <c r="B3677" s="1" t="s">
        <v>2369</v>
      </c>
      <c r="C3677" s="1" t="s">
        <v>17</v>
      </c>
      <c r="D3677" s="3">
        <f t="shared" si="553"/>
        <v>8269</v>
      </c>
      <c r="E3677" s="2">
        <f t="shared" si="554"/>
        <v>43160</v>
      </c>
      <c r="F3677" s="2">
        <f t="shared" si="555"/>
        <v>43312</v>
      </c>
    </row>
    <row r="3678" spans="1:6" x14ac:dyDescent="0.25">
      <c r="A3678" s="1" t="s">
        <v>492</v>
      </c>
      <c r="B3678" s="1" t="s">
        <v>2369</v>
      </c>
      <c r="C3678" s="1" t="s">
        <v>146</v>
      </c>
      <c r="D3678" s="3">
        <f t="shared" si="553"/>
        <v>8269</v>
      </c>
      <c r="E3678" s="2">
        <f t="shared" si="554"/>
        <v>43160</v>
      </c>
      <c r="F3678" s="2">
        <f t="shared" si="555"/>
        <v>43312</v>
      </c>
    </row>
    <row r="3679" spans="1:6" x14ac:dyDescent="0.25">
      <c r="A3679" s="1" t="s">
        <v>492</v>
      </c>
      <c r="B3679" s="1" t="s">
        <v>2369</v>
      </c>
      <c r="C3679" s="1" t="s">
        <v>67</v>
      </c>
      <c r="D3679" s="3">
        <f t="shared" si="553"/>
        <v>8269</v>
      </c>
      <c r="E3679" s="2">
        <f t="shared" si="554"/>
        <v>43160</v>
      </c>
      <c r="F3679" s="2">
        <f t="shared" si="555"/>
        <v>43312</v>
      </c>
    </row>
    <row r="3680" spans="1:6" x14ac:dyDescent="0.25">
      <c r="A3680" s="1" t="s">
        <v>492</v>
      </c>
      <c r="B3680" s="1" t="s">
        <v>2369</v>
      </c>
      <c r="C3680" s="1" t="s">
        <v>24</v>
      </c>
      <c r="D3680" s="3">
        <f t="shared" si="553"/>
        <v>8269</v>
      </c>
      <c r="E3680" s="2">
        <f t="shared" si="554"/>
        <v>43160</v>
      </c>
      <c r="F3680" s="2">
        <f t="shared" si="555"/>
        <v>43312</v>
      </c>
    </row>
    <row r="3681" spans="1:6" x14ac:dyDescent="0.25">
      <c r="A3681" s="1" t="s">
        <v>492</v>
      </c>
      <c r="B3681" s="1" t="s">
        <v>2369</v>
      </c>
      <c r="C3681" s="1" t="s">
        <v>34</v>
      </c>
      <c r="D3681" s="3">
        <f t="shared" si="553"/>
        <v>8269</v>
      </c>
      <c r="E3681" s="2">
        <f t="shared" si="554"/>
        <v>43160</v>
      </c>
      <c r="F3681" s="2">
        <f t="shared" si="555"/>
        <v>43312</v>
      </c>
    </row>
    <row r="3682" spans="1:6" x14ac:dyDescent="0.25">
      <c r="A3682" s="1" t="s">
        <v>492</v>
      </c>
      <c r="B3682" s="1" t="s">
        <v>2314</v>
      </c>
      <c r="C3682" s="1" t="s">
        <v>51</v>
      </c>
      <c r="D3682" s="3">
        <f>VALUE("8145")</f>
        <v>8145</v>
      </c>
      <c r="E3682" s="2">
        <f>DATEVALUE("1-8-2017")</f>
        <v>42948</v>
      </c>
      <c r="F3682" s="2">
        <f>DATEVALUE("30-9-2017")</f>
        <v>43008</v>
      </c>
    </row>
    <row r="3683" spans="1:6" x14ac:dyDescent="0.25">
      <c r="A3683" s="1" t="s">
        <v>492</v>
      </c>
      <c r="B3683" s="1" t="s">
        <v>491</v>
      </c>
      <c r="C3683" s="1" t="s">
        <v>325</v>
      </c>
      <c r="D3683" s="3">
        <f t="shared" ref="D3683:D3719" si="556">VALUE("7673")</f>
        <v>7673</v>
      </c>
      <c r="E3683" s="2">
        <f t="shared" ref="E3683:E3719" si="557">DATEVALUE("1-10-2014")</f>
        <v>41913</v>
      </c>
      <c r="F3683" s="2">
        <f t="shared" ref="F3683:F3719" si="558">DATEVALUE("31-12-2020")</f>
        <v>44196</v>
      </c>
    </row>
    <row r="3684" spans="1:6" x14ac:dyDescent="0.25">
      <c r="A3684" s="1" t="s">
        <v>492</v>
      </c>
      <c r="B3684" s="1" t="s">
        <v>491</v>
      </c>
      <c r="C3684" s="1" t="s">
        <v>39</v>
      </c>
      <c r="D3684" s="3">
        <f t="shared" si="556"/>
        <v>7673</v>
      </c>
      <c r="E3684" s="2">
        <f t="shared" si="557"/>
        <v>41913</v>
      </c>
      <c r="F3684" s="2">
        <f t="shared" si="558"/>
        <v>44196</v>
      </c>
    </row>
    <row r="3685" spans="1:6" x14ac:dyDescent="0.25">
      <c r="A3685" s="1" t="s">
        <v>492</v>
      </c>
      <c r="B3685" s="1" t="s">
        <v>491</v>
      </c>
      <c r="C3685" s="1" t="s">
        <v>82</v>
      </c>
      <c r="D3685" s="3">
        <f t="shared" si="556"/>
        <v>7673</v>
      </c>
      <c r="E3685" s="2">
        <f t="shared" si="557"/>
        <v>41913</v>
      </c>
      <c r="F3685" s="2">
        <f t="shared" si="558"/>
        <v>44196</v>
      </c>
    </row>
    <row r="3686" spans="1:6" x14ac:dyDescent="0.25">
      <c r="A3686" s="1" t="s">
        <v>492</v>
      </c>
      <c r="B3686" s="1" t="s">
        <v>491</v>
      </c>
      <c r="C3686" s="1" t="s">
        <v>61</v>
      </c>
      <c r="D3686" s="3">
        <f t="shared" si="556"/>
        <v>7673</v>
      </c>
      <c r="E3686" s="2">
        <f t="shared" si="557"/>
        <v>41913</v>
      </c>
      <c r="F3686" s="2">
        <f t="shared" si="558"/>
        <v>44196</v>
      </c>
    </row>
    <row r="3687" spans="1:6" x14ac:dyDescent="0.25">
      <c r="A3687" s="1" t="s">
        <v>492</v>
      </c>
      <c r="B3687" s="1" t="s">
        <v>491</v>
      </c>
      <c r="C3687" s="1" t="s">
        <v>43</v>
      </c>
      <c r="D3687" s="3">
        <f t="shared" si="556"/>
        <v>7673</v>
      </c>
      <c r="E3687" s="2">
        <f t="shared" si="557"/>
        <v>41913</v>
      </c>
      <c r="F3687" s="2">
        <f t="shared" si="558"/>
        <v>44196</v>
      </c>
    </row>
    <row r="3688" spans="1:6" x14ac:dyDescent="0.25">
      <c r="A3688" s="1" t="s">
        <v>492</v>
      </c>
      <c r="B3688" s="1" t="s">
        <v>491</v>
      </c>
      <c r="C3688" s="1" t="s">
        <v>63</v>
      </c>
      <c r="D3688" s="3">
        <f t="shared" si="556"/>
        <v>7673</v>
      </c>
      <c r="E3688" s="2">
        <f t="shared" si="557"/>
        <v>41913</v>
      </c>
      <c r="F3688" s="2">
        <f t="shared" si="558"/>
        <v>44196</v>
      </c>
    </row>
    <row r="3689" spans="1:6" x14ac:dyDescent="0.25">
      <c r="A3689" s="1" t="s">
        <v>492</v>
      </c>
      <c r="B3689" s="1" t="s">
        <v>491</v>
      </c>
      <c r="C3689" s="1" t="s">
        <v>45</v>
      </c>
      <c r="D3689" s="3">
        <f t="shared" si="556"/>
        <v>7673</v>
      </c>
      <c r="E3689" s="2">
        <f t="shared" si="557"/>
        <v>41913</v>
      </c>
      <c r="F3689" s="2">
        <f t="shared" si="558"/>
        <v>44196</v>
      </c>
    </row>
    <row r="3690" spans="1:6" x14ac:dyDescent="0.25">
      <c r="A3690" s="1" t="s">
        <v>492</v>
      </c>
      <c r="B3690" s="1" t="s">
        <v>491</v>
      </c>
      <c r="C3690" s="1" t="s">
        <v>44</v>
      </c>
      <c r="D3690" s="3">
        <f t="shared" si="556"/>
        <v>7673</v>
      </c>
      <c r="E3690" s="2">
        <f t="shared" si="557"/>
        <v>41913</v>
      </c>
      <c r="F3690" s="2">
        <f t="shared" si="558"/>
        <v>44196</v>
      </c>
    </row>
    <row r="3691" spans="1:6" x14ac:dyDescent="0.25">
      <c r="A3691" s="1" t="s">
        <v>492</v>
      </c>
      <c r="B3691" s="1" t="s">
        <v>491</v>
      </c>
      <c r="C3691" s="1" t="s">
        <v>46</v>
      </c>
      <c r="D3691" s="3">
        <f t="shared" si="556"/>
        <v>7673</v>
      </c>
      <c r="E3691" s="2">
        <f t="shared" si="557"/>
        <v>41913</v>
      </c>
      <c r="F3691" s="2">
        <f t="shared" si="558"/>
        <v>44196</v>
      </c>
    </row>
    <row r="3692" spans="1:6" x14ac:dyDescent="0.25">
      <c r="A3692" s="1" t="s">
        <v>492</v>
      </c>
      <c r="B3692" s="1" t="s">
        <v>491</v>
      </c>
      <c r="C3692" s="1" t="s">
        <v>14</v>
      </c>
      <c r="D3692" s="3">
        <f t="shared" si="556"/>
        <v>7673</v>
      </c>
      <c r="E3692" s="2">
        <f t="shared" si="557"/>
        <v>41913</v>
      </c>
      <c r="F3692" s="2">
        <f t="shared" si="558"/>
        <v>44196</v>
      </c>
    </row>
    <row r="3693" spans="1:6" x14ac:dyDescent="0.25">
      <c r="A3693" s="1" t="s">
        <v>492</v>
      </c>
      <c r="B3693" s="1" t="s">
        <v>491</v>
      </c>
      <c r="C3693" s="1" t="s">
        <v>15</v>
      </c>
      <c r="D3693" s="3">
        <f t="shared" si="556"/>
        <v>7673</v>
      </c>
      <c r="E3693" s="2">
        <f t="shared" si="557"/>
        <v>41913</v>
      </c>
      <c r="F3693" s="2">
        <f t="shared" si="558"/>
        <v>44196</v>
      </c>
    </row>
    <row r="3694" spans="1:6" x14ac:dyDescent="0.25">
      <c r="A3694" s="1" t="s">
        <v>492</v>
      </c>
      <c r="B3694" s="1" t="s">
        <v>491</v>
      </c>
      <c r="C3694" s="1" t="s">
        <v>17</v>
      </c>
      <c r="D3694" s="3">
        <f t="shared" si="556"/>
        <v>7673</v>
      </c>
      <c r="E3694" s="2">
        <f t="shared" si="557"/>
        <v>41913</v>
      </c>
      <c r="F3694" s="2">
        <f t="shared" si="558"/>
        <v>44196</v>
      </c>
    </row>
    <row r="3695" spans="1:6" x14ac:dyDescent="0.25">
      <c r="A3695" s="1" t="s">
        <v>492</v>
      </c>
      <c r="B3695" s="1" t="s">
        <v>491</v>
      </c>
      <c r="C3695" s="1" t="s">
        <v>19</v>
      </c>
      <c r="D3695" s="3">
        <f t="shared" si="556"/>
        <v>7673</v>
      </c>
      <c r="E3695" s="2">
        <f t="shared" si="557"/>
        <v>41913</v>
      </c>
      <c r="F3695" s="2">
        <f t="shared" si="558"/>
        <v>44196</v>
      </c>
    </row>
    <row r="3696" spans="1:6" x14ac:dyDescent="0.25">
      <c r="A3696" s="1" t="s">
        <v>492</v>
      </c>
      <c r="B3696" s="1" t="s">
        <v>491</v>
      </c>
      <c r="C3696" s="1" t="s">
        <v>20</v>
      </c>
      <c r="D3696" s="3">
        <f t="shared" si="556"/>
        <v>7673</v>
      </c>
      <c r="E3696" s="2">
        <f t="shared" si="557"/>
        <v>41913</v>
      </c>
      <c r="F3696" s="2">
        <f t="shared" si="558"/>
        <v>44196</v>
      </c>
    </row>
    <row r="3697" spans="1:6" x14ac:dyDescent="0.25">
      <c r="A3697" s="1" t="s">
        <v>492</v>
      </c>
      <c r="B3697" s="1" t="s">
        <v>491</v>
      </c>
      <c r="C3697" s="1" t="s">
        <v>21</v>
      </c>
      <c r="D3697" s="3">
        <f t="shared" si="556"/>
        <v>7673</v>
      </c>
      <c r="E3697" s="2">
        <f t="shared" si="557"/>
        <v>41913</v>
      </c>
      <c r="F3697" s="2">
        <f t="shared" si="558"/>
        <v>44196</v>
      </c>
    </row>
    <row r="3698" spans="1:6" x14ac:dyDescent="0.25">
      <c r="A3698" s="1" t="s">
        <v>492</v>
      </c>
      <c r="B3698" s="1" t="s">
        <v>491</v>
      </c>
      <c r="C3698" s="1" t="s">
        <v>470</v>
      </c>
      <c r="D3698" s="3">
        <f t="shared" si="556"/>
        <v>7673</v>
      </c>
      <c r="E3698" s="2">
        <f t="shared" si="557"/>
        <v>41913</v>
      </c>
      <c r="F3698" s="2">
        <f t="shared" si="558"/>
        <v>44196</v>
      </c>
    </row>
    <row r="3699" spans="1:6" x14ac:dyDescent="0.25">
      <c r="A3699" s="1" t="s">
        <v>492</v>
      </c>
      <c r="B3699" s="1" t="s">
        <v>491</v>
      </c>
      <c r="C3699" s="1" t="s">
        <v>417</v>
      </c>
      <c r="D3699" s="3">
        <f t="shared" si="556"/>
        <v>7673</v>
      </c>
      <c r="E3699" s="2">
        <f t="shared" si="557"/>
        <v>41913</v>
      </c>
      <c r="F3699" s="2">
        <f t="shared" si="558"/>
        <v>44196</v>
      </c>
    </row>
    <row r="3700" spans="1:6" x14ac:dyDescent="0.25">
      <c r="A3700" s="1" t="s">
        <v>492</v>
      </c>
      <c r="B3700" s="1" t="s">
        <v>491</v>
      </c>
      <c r="C3700" s="1" t="s">
        <v>471</v>
      </c>
      <c r="D3700" s="3">
        <f t="shared" si="556"/>
        <v>7673</v>
      </c>
      <c r="E3700" s="2">
        <f t="shared" si="557"/>
        <v>41913</v>
      </c>
      <c r="F3700" s="2">
        <f t="shared" si="558"/>
        <v>44196</v>
      </c>
    </row>
    <row r="3701" spans="1:6" x14ac:dyDescent="0.25">
      <c r="A3701" s="1" t="s">
        <v>492</v>
      </c>
      <c r="B3701" s="1" t="s">
        <v>491</v>
      </c>
      <c r="C3701" s="1" t="s">
        <v>22</v>
      </c>
      <c r="D3701" s="3">
        <f t="shared" si="556"/>
        <v>7673</v>
      </c>
      <c r="E3701" s="2">
        <f t="shared" si="557"/>
        <v>41913</v>
      </c>
      <c r="F3701" s="2">
        <f t="shared" si="558"/>
        <v>44196</v>
      </c>
    </row>
    <row r="3702" spans="1:6" x14ac:dyDescent="0.25">
      <c r="A3702" s="1" t="s">
        <v>492</v>
      </c>
      <c r="B3702" s="1" t="s">
        <v>491</v>
      </c>
      <c r="C3702" s="1" t="s">
        <v>67</v>
      </c>
      <c r="D3702" s="3">
        <f t="shared" si="556"/>
        <v>7673</v>
      </c>
      <c r="E3702" s="2">
        <f t="shared" si="557"/>
        <v>41913</v>
      </c>
      <c r="F3702" s="2">
        <f t="shared" si="558"/>
        <v>44196</v>
      </c>
    </row>
    <row r="3703" spans="1:6" x14ac:dyDescent="0.25">
      <c r="A3703" s="1" t="s">
        <v>492</v>
      </c>
      <c r="B3703" s="1" t="s">
        <v>491</v>
      </c>
      <c r="C3703" s="1" t="s">
        <v>384</v>
      </c>
      <c r="D3703" s="3">
        <f t="shared" si="556"/>
        <v>7673</v>
      </c>
      <c r="E3703" s="2">
        <f t="shared" si="557"/>
        <v>41913</v>
      </c>
      <c r="F3703" s="2">
        <f t="shared" si="558"/>
        <v>44196</v>
      </c>
    </row>
    <row r="3704" spans="1:6" x14ac:dyDescent="0.25">
      <c r="A3704" s="1" t="s">
        <v>492</v>
      </c>
      <c r="B3704" s="1" t="s">
        <v>491</v>
      </c>
      <c r="C3704" s="1" t="s">
        <v>96</v>
      </c>
      <c r="D3704" s="3">
        <f t="shared" si="556"/>
        <v>7673</v>
      </c>
      <c r="E3704" s="2">
        <f t="shared" si="557"/>
        <v>41913</v>
      </c>
      <c r="F3704" s="2">
        <f t="shared" si="558"/>
        <v>44196</v>
      </c>
    </row>
    <row r="3705" spans="1:6" x14ac:dyDescent="0.25">
      <c r="A3705" s="1" t="s">
        <v>492</v>
      </c>
      <c r="B3705" s="1" t="s">
        <v>491</v>
      </c>
      <c r="C3705" s="1" t="s">
        <v>475</v>
      </c>
      <c r="D3705" s="3">
        <f t="shared" si="556"/>
        <v>7673</v>
      </c>
      <c r="E3705" s="2">
        <f t="shared" si="557"/>
        <v>41913</v>
      </c>
      <c r="F3705" s="2">
        <f t="shared" si="558"/>
        <v>44196</v>
      </c>
    </row>
    <row r="3706" spans="1:6" x14ac:dyDescent="0.25">
      <c r="A3706" s="1" t="s">
        <v>492</v>
      </c>
      <c r="B3706" s="1" t="s">
        <v>491</v>
      </c>
      <c r="C3706" s="1" t="s">
        <v>493</v>
      </c>
      <c r="D3706" s="3">
        <f t="shared" si="556"/>
        <v>7673</v>
      </c>
      <c r="E3706" s="2">
        <f t="shared" si="557"/>
        <v>41913</v>
      </c>
      <c r="F3706" s="2">
        <f t="shared" si="558"/>
        <v>44196</v>
      </c>
    </row>
    <row r="3707" spans="1:6" x14ac:dyDescent="0.25">
      <c r="A3707" s="1" t="s">
        <v>492</v>
      </c>
      <c r="B3707" s="1" t="s">
        <v>491</v>
      </c>
      <c r="C3707" s="1" t="s">
        <v>24</v>
      </c>
      <c r="D3707" s="3">
        <f t="shared" si="556"/>
        <v>7673</v>
      </c>
      <c r="E3707" s="2">
        <f t="shared" si="557"/>
        <v>41913</v>
      </c>
      <c r="F3707" s="2">
        <f t="shared" si="558"/>
        <v>44196</v>
      </c>
    </row>
    <row r="3708" spans="1:6" x14ac:dyDescent="0.25">
      <c r="A3708" s="1" t="s">
        <v>492</v>
      </c>
      <c r="B3708" s="1" t="s">
        <v>491</v>
      </c>
      <c r="C3708" s="1" t="s">
        <v>50</v>
      </c>
      <c r="D3708" s="3">
        <f t="shared" si="556"/>
        <v>7673</v>
      </c>
      <c r="E3708" s="2">
        <f t="shared" si="557"/>
        <v>41913</v>
      </c>
      <c r="F3708" s="2">
        <f t="shared" si="558"/>
        <v>44196</v>
      </c>
    </row>
    <row r="3709" spans="1:6" x14ac:dyDescent="0.25">
      <c r="A3709" s="1" t="s">
        <v>492</v>
      </c>
      <c r="B3709" s="1" t="s">
        <v>491</v>
      </c>
      <c r="C3709" s="1" t="s">
        <v>494</v>
      </c>
      <c r="D3709" s="3">
        <f t="shared" si="556"/>
        <v>7673</v>
      </c>
      <c r="E3709" s="2">
        <f t="shared" si="557"/>
        <v>41913</v>
      </c>
      <c r="F3709" s="2">
        <f t="shared" si="558"/>
        <v>44196</v>
      </c>
    </row>
    <row r="3710" spans="1:6" x14ac:dyDescent="0.25">
      <c r="A3710" s="1" t="s">
        <v>492</v>
      </c>
      <c r="B3710" s="1" t="s">
        <v>491</v>
      </c>
      <c r="C3710" s="1" t="s">
        <v>99</v>
      </c>
      <c r="D3710" s="3">
        <f t="shared" si="556"/>
        <v>7673</v>
      </c>
      <c r="E3710" s="2">
        <f t="shared" si="557"/>
        <v>41913</v>
      </c>
      <c r="F3710" s="2">
        <f t="shared" si="558"/>
        <v>44196</v>
      </c>
    </row>
    <row r="3711" spans="1:6" x14ac:dyDescent="0.25">
      <c r="A3711" s="1" t="s">
        <v>492</v>
      </c>
      <c r="B3711" s="1" t="s">
        <v>491</v>
      </c>
      <c r="C3711" s="1" t="s">
        <v>100</v>
      </c>
      <c r="D3711" s="3">
        <f t="shared" si="556"/>
        <v>7673</v>
      </c>
      <c r="E3711" s="2">
        <f t="shared" si="557"/>
        <v>41913</v>
      </c>
      <c r="F3711" s="2">
        <f t="shared" si="558"/>
        <v>44196</v>
      </c>
    </row>
    <row r="3712" spans="1:6" x14ac:dyDescent="0.25">
      <c r="A3712" s="1" t="s">
        <v>492</v>
      </c>
      <c r="B3712" s="1" t="s">
        <v>491</v>
      </c>
      <c r="C3712" s="1" t="s">
        <v>495</v>
      </c>
      <c r="D3712" s="3">
        <f t="shared" si="556"/>
        <v>7673</v>
      </c>
      <c r="E3712" s="2">
        <f t="shared" si="557"/>
        <v>41913</v>
      </c>
      <c r="F3712" s="2">
        <f t="shared" si="558"/>
        <v>44196</v>
      </c>
    </row>
    <row r="3713" spans="1:6" x14ac:dyDescent="0.25">
      <c r="A3713" s="1" t="s">
        <v>492</v>
      </c>
      <c r="B3713" s="1" t="s">
        <v>491</v>
      </c>
      <c r="C3713" s="1" t="s">
        <v>27</v>
      </c>
      <c r="D3713" s="3">
        <f t="shared" si="556"/>
        <v>7673</v>
      </c>
      <c r="E3713" s="2">
        <f t="shared" si="557"/>
        <v>41913</v>
      </c>
      <c r="F3713" s="2">
        <f t="shared" si="558"/>
        <v>44196</v>
      </c>
    </row>
    <row r="3714" spans="1:6" x14ac:dyDescent="0.25">
      <c r="A3714" s="1" t="s">
        <v>492</v>
      </c>
      <c r="B3714" s="1" t="s">
        <v>491</v>
      </c>
      <c r="C3714" s="1" t="s">
        <v>262</v>
      </c>
      <c r="D3714" s="3">
        <f t="shared" si="556"/>
        <v>7673</v>
      </c>
      <c r="E3714" s="2">
        <f t="shared" si="557"/>
        <v>41913</v>
      </c>
      <c r="F3714" s="2">
        <f t="shared" si="558"/>
        <v>44196</v>
      </c>
    </row>
    <row r="3715" spans="1:6" x14ac:dyDescent="0.25">
      <c r="A3715" s="1" t="s">
        <v>492</v>
      </c>
      <c r="B3715" s="1" t="s">
        <v>491</v>
      </c>
      <c r="C3715" s="1" t="s">
        <v>216</v>
      </c>
      <c r="D3715" s="3">
        <f t="shared" si="556"/>
        <v>7673</v>
      </c>
      <c r="E3715" s="2">
        <f t="shared" si="557"/>
        <v>41913</v>
      </c>
      <c r="F3715" s="2">
        <f t="shared" si="558"/>
        <v>44196</v>
      </c>
    </row>
    <row r="3716" spans="1:6" x14ac:dyDescent="0.25">
      <c r="A3716" s="1" t="s">
        <v>492</v>
      </c>
      <c r="B3716" s="1" t="s">
        <v>491</v>
      </c>
      <c r="C3716" s="1" t="s">
        <v>52</v>
      </c>
      <c r="D3716" s="3">
        <f t="shared" si="556"/>
        <v>7673</v>
      </c>
      <c r="E3716" s="2">
        <f t="shared" si="557"/>
        <v>41913</v>
      </c>
      <c r="F3716" s="2">
        <f t="shared" si="558"/>
        <v>44196</v>
      </c>
    </row>
    <row r="3717" spans="1:6" x14ac:dyDescent="0.25">
      <c r="A3717" s="1" t="s">
        <v>492</v>
      </c>
      <c r="B3717" s="1" t="s">
        <v>491</v>
      </c>
      <c r="C3717" s="1" t="s">
        <v>34</v>
      </c>
      <c r="D3717" s="3">
        <f t="shared" si="556"/>
        <v>7673</v>
      </c>
      <c r="E3717" s="2">
        <f t="shared" si="557"/>
        <v>41913</v>
      </c>
      <c r="F3717" s="2">
        <f t="shared" si="558"/>
        <v>44196</v>
      </c>
    </row>
    <row r="3718" spans="1:6" x14ac:dyDescent="0.25">
      <c r="A3718" s="1" t="s">
        <v>492</v>
      </c>
      <c r="B3718" s="1" t="s">
        <v>491</v>
      </c>
      <c r="C3718" s="1" t="s">
        <v>57</v>
      </c>
      <c r="D3718" s="3">
        <f t="shared" si="556"/>
        <v>7673</v>
      </c>
      <c r="E3718" s="2">
        <f t="shared" si="557"/>
        <v>41913</v>
      </c>
      <c r="F3718" s="2">
        <f t="shared" si="558"/>
        <v>44196</v>
      </c>
    </row>
    <row r="3719" spans="1:6" x14ac:dyDescent="0.25">
      <c r="A3719" s="1" t="s">
        <v>492</v>
      </c>
      <c r="B3719" s="1" t="s">
        <v>491</v>
      </c>
      <c r="C3719" s="1" t="s">
        <v>36</v>
      </c>
      <c r="D3719" s="3">
        <f t="shared" si="556"/>
        <v>7673</v>
      </c>
      <c r="E3719" s="2">
        <f t="shared" si="557"/>
        <v>41913</v>
      </c>
      <c r="F3719" s="2">
        <f t="shared" si="558"/>
        <v>44196</v>
      </c>
    </row>
    <row r="3720" spans="1:6" x14ac:dyDescent="0.25">
      <c r="A3720" s="1" t="s">
        <v>492</v>
      </c>
      <c r="B3720" s="1" t="s">
        <v>2700</v>
      </c>
      <c r="C3720" s="1" t="s">
        <v>325</v>
      </c>
      <c r="D3720" s="3">
        <f t="shared" ref="D3720:D3743" si="559">VALUE("7425")</f>
        <v>7425</v>
      </c>
      <c r="E3720" s="2">
        <f t="shared" ref="E3720:E3743" si="560">DATEVALUE("1-11-2012")</f>
        <v>41214</v>
      </c>
      <c r="F3720" s="2">
        <f t="shared" ref="F3720:F3743" si="561">DATEVALUE("30-9-2014")</f>
        <v>41912</v>
      </c>
    </row>
    <row r="3721" spans="1:6" x14ac:dyDescent="0.25">
      <c r="A3721" s="1" t="s">
        <v>492</v>
      </c>
      <c r="B3721" s="1" t="s">
        <v>2700</v>
      </c>
      <c r="C3721" s="1" t="s">
        <v>8</v>
      </c>
      <c r="D3721" s="3">
        <f t="shared" si="559"/>
        <v>7425</v>
      </c>
      <c r="E3721" s="2">
        <f t="shared" si="560"/>
        <v>41214</v>
      </c>
      <c r="F3721" s="2">
        <f t="shared" si="561"/>
        <v>41912</v>
      </c>
    </row>
    <row r="3722" spans="1:6" x14ac:dyDescent="0.25">
      <c r="A3722" s="1" t="s">
        <v>492</v>
      </c>
      <c r="B3722" s="1" t="s">
        <v>2700</v>
      </c>
      <c r="C3722" s="1" t="s">
        <v>9</v>
      </c>
      <c r="D3722" s="3">
        <f t="shared" si="559"/>
        <v>7425</v>
      </c>
      <c r="E3722" s="2">
        <f t="shared" si="560"/>
        <v>41214</v>
      </c>
      <c r="F3722" s="2">
        <f t="shared" si="561"/>
        <v>41912</v>
      </c>
    </row>
    <row r="3723" spans="1:6" x14ac:dyDescent="0.25">
      <c r="A3723" s="1" t="s">
        <v>492</v>
      </c>
      <c r="B3723" s="1" t="s">
        <v>2700</v>
      </c>
      <c r="C3723" s="1" t="s">
        <v>10</v>
      </c>
      <c r="D3723" s="3">
        <f t="shared" si="559"/>
        <v>7425</v>
      </c>
      <c r="E3723" s="2">
        <f t="shared" si="560"/>
        <v>41214</v>
      </c>
      <c r="F3723" s="2">
        <f t="shared" si="561"/>
        <v>41912</v>
      </c>
    </row>
    <row r="3724" spans="1:6" x14ac:dyDescent="0.25">
      <c r="A3724" s="1" t="s">
        <v>492</v>
      </c>
      <c r="B3724" s="1" t="s">
        <v>2700</v>
      </c>
      <c r="C3724" s="1" t="s">
        <v>11</v>
      </c>
      <c r="D3724" s="3">
        <f t="shared" si="559"/>
        <v>7425</v>
      </c>
      <c r="E3724" s="2">
        <f t="shared" si="560"/>
        <v>41214</v>
      </c>
      <c r="F3724" s="2">
        <f t="shared" si="561"/>
        <v>41912</v>
      </c>
    </row>
    <row r="3725" spans="1:6" x14ac:dyDescent="0.25">
      <c r="A3725" s="1" t="s">
        <v>492</v>
      </c>
      <c r="B3725" s="1" t="s">
        <v>2700</v>
      </c>
      <c r="C3725" s="1" t="s">
        <v>12</v>
      </c>
      <c r="D3725" s="3">
        <f t="shared" si="559"/>
        <v>7425</v>
      </c>
      <c r="E3725" s="2">
        <f t="shared" si="560"/>
        <v>41214</v>
      </c>
      <c r="F3725" s="2">
        <f t="shared" si="561"/>
        <v>41912</v>
      </c>
    </row>
    <row r="3726" spans="1:6" x14ac:dyDescent="0.25">
      <c r="A3726" s="1" t="s">
        <v>492</v>
      </c>
      <c r="B3726" s="1" t="s">
        <v>2700</v>
      </c>
      <c r="C3726" s="1" t="s">
        <v>46</v>
      </c>
      <c r="D3726" s="3">
        <f t="shared" si="559"/>
        <v>7425</v>
      </c>
      <c r="E3726" s="2">
        <f t="shared" si="560"/>
        <v>41214</v>
      </c>
      <c r="F3726" s="2">
        <f t="shared" si="561"/>
        <v>41912</v>
      </c>
    </row>
    <row r="3727" spans="1:6" x14ac:dyDescent="0.25">
      <c r="A3727" s="1" t="s">
        <v>492</v>
      </c>
      <c r="B3727" s="1" t="s">
        <v>2700</v>
      </c>
      <c r="C3727" s="1" t="s">
        <v>88</v>
      </c>
      <c r="D3727" s="3">
        <f t="shared" si="559"/>
        <v>7425</v>
      </c>
      <c r="E3727" s="2">
        <f t="shared" si="560"/>
        <v>41214</v>
      </c>
      <c r="F3727" s="2">
        <f t="shared" si="561"/>
        <v>41912</v>
      </c>
    </row>
    <row r="3728" spans="1:6" x14ac:dyDescent="0.25">
      <c r="A3728" s="1" t="s">
        <v>492</v>
      </c>
      <c r="B3728" s="1" t="s">
        <v>2700</v>
      </c>
      <c r="C3728" s="1" t="s">
        <v>17</v>
      </c>
      <c r="D3728" s="3">
        <f t="shared" si="559"/>
        <v>7425</v>
      </c>
      <c r="E3728" s="2">
        <f t="shared" si="560"/>
        <v>41214</v>
      </c>
      <c r="F3728" s="2">
        <f t="shared" si="561"/>
        <v>41912</v>
      </c>
    </row>
    <row r="3729" spans="1:6" x14ac:dyDescent="0.25">
      <c r="A3729" s="1" t="s">
        <v>492</v>
      </c>
      <c r="B3729" s="1" t="s">
        <v>2700</v>
      </c>
      <c r="C3729" s="1" t="s">
        <v>20</v>
      </c>
      <c r="D3729" s="3">
        <f t="shared" si="559"/>
        <v>7425</v>
      </c>
      <c r="E3729" s="2">
        <f t="shared" si="560"/>
        <v>41214</v>
      </c>
      <c r="F3729" s="2">
        <f t="shared" si="561"/>
        <v>41912</v>
      </c>
    </row>
    <row r="3730" spans="1:6" x14ac:dyDescent="0.25">
      <c r="A3730" s="1" t="s">
        <v>492</v>
      </c>
      <c r="B3730" s="1" t="s">
        <v>2700</v>
      </c>
      <c r="C3730" s="1" t="s">
        <v>326</v>
      </c>
      <c r="D3730" s="3">
        <f t="shared" si="559"/>
        <v>7425</v>
      </c>
      <c r="E3730" s="2">
        <f t="shared" si="560"/>
        <v>41214</v>
      </c>
      <c r="F3730" s="2">
        <f t="shared" si="561"/>
        <v>41912</v>
      </c>
    </row>
    <row r="3731" spans="1:6" x14ac:dyDescent="0.25">
      <c r="A3731" s="1" t="s">
        <v>492</v>
      </c>
      <c r="B3731" s="1" t="s">
        <v>2700</v>
      </c>
      <c r="C3731" s="1" t="s">
        <v>418</v>
      </c>
      <c r="D3731" s="3">
        <f t="shared" si="559"/>
        <v>7425</v>
      </c>
      <c r="E3731" s="2">
        <f t="shared" si="560"/>
        <v>41214</v>
      </c>
      <c r="F3731" s="2">
        <f t="shared" si="561"/>
        <v>41912</v>
      </c>
    </row>
    <row r="3732" spans="1:6" x14ac:dyDescent="0.25">
      <c r="A3732" s="1" t="s">
        <v>492</v>
      </c>
      <c r="B3732" s="1" t="s">
        <v>2700</v>
      </c>
      <c r="C3732" s="1" t="s">
        <v>327</v>
      </c>
      <c r="D3732" s="3">
        <f t="shared" si="559"/>
        <v>7425</v>
      </c>
      <c r="E3732" s="2">
        <f t="shared" si="560"/>
        <v>41214</v>
      </c>
      <c r="F3732" s="2">
        <f t="shared" si="561"/>
        <v>41912</v>
      </c>
    </row>
    <row r="3733" spans="1:6" x14ac:dyDescent="0.25">
      <c r="A3733" s="1" t="s">
        <v>492</v>
      </c>
      <c r="B3733" s="1" t="s">
        <v>2700</v>
      </c>
      <c r="C3733" s="1" t="s">
        <v>329</v>
      </c>
      <c r="D3733" s="3">
        <f t="shared" si="559"/>
        <v>7425</v>
      </c>
      <c r="E3733" s="2">
        <f t="shared" si="560"/>
        <v>41214</v>
      </c>
      <c r="F3733" s="2">
        <f t="shared" si="561"/>
        <v>41912</v>
      </c>
    </row>
    <row r="3734" spans="1:6" x14ac:dyDescent="0.25">
      <c r="A3734" s="1" t="s">
        <v>492</v>
      </c>
      <c r="B3734" s="1" t="s">
        <v>2700</v>
      </c>
      <c r="C3734" s="1" t="s">
        <v>330</v>
      </c>
      <c r="D3734" s="3">
        <f t="shared" si="559"/>
        <v>7425</v>
      </c>
      <c r="E3734" s="2">
        <f t="shared" si="560"/>
        <v>41214</v>
      </c>
      <c r="F3734" s="2">
        <f t="shared" si="561"/>
        <v>41912</v>
      </c>
    </row>
    <row r="3735" spans="1:6" x14ac:dyDescent="0.25">
      <c r="A3735" s="1" t="s">
        <v>492</v>
      </c>
      <c r="B3735" s="1" t="s">
        <v>2700</v>
      </c>
      <c r="C3735" s="1" t="s">
        <v>331</v>
      </c>
      <c r="D3735" s="3">
        <f t="shared" si="559"/>
        <v>7425</v>
      </c>
      <c r="E3735" s="2">
        <f t="shared" si="560"/>
        <v>41214</v>
      </c>
      <c r="F3735" s="2">
        <f t="shared" si="561"/>
        <v>41912</v>
      </c>
    </row>
    <row r="3736" spans="1:6" x14ac:dyDescent="0.25">
      <c r="A3736" s="1" t="s">
        <v>492</v>
      </c>
      <c r="B3736" s="1" t="s">
        <v>2700</v>
      </c>
      <c r="C3736" s="1" t="s">
        <v>474</v>
      </c>
      <c r="D3736" s="3">
        <f t="shared" si="559"/>
        <v>7425</v>
      </c>
      <c r="E3736" s="2">
        <f t="shared" si="560"/>
        <v>41214</v>
      </c>
      <c r="F3736" s="2">
        <f t="shared" si="561"/>
        <v>41912</v>
      </c>
    </row>
    <row r="3737" spans="1:6" x14ac:dyDescent="0.25">
      <c r="A3737" s="1" t="s">
        <v>492</v>
      </c>
      <c r="B3737" s="1" t="s">
        <v>2700</v>
      </c>
      <c r="C3737" s="1" t="s">
        <v>475</v>
      </c>
      <c r="D3737" s="3">
        <f t="shared" si="559"/>
        <v>7425</v>
      </c>
      <c r="E3737" s="2">
        <f t="shared" si="560"/>
        <v>41214</v>
      </c>
      <c r="F3737" s="2">
        <f t="shared" si="561"/>
        <v>41912</v>
      </c>
    </row>
    <row r="3738" spans="1:6" x14ac:dyDescent="0.25">
      <c r="A3738" s="1" t="s">
        <v>492</v>
      </c>
      <c r="B3738" s="1" t="s">
        <v>2700</v>
      </c>
      <c r="C3738" s="1" t="s">
        <v>493</v>
      </c>
      <c r="D3738" s="3">
        <f t="shared" si="559"/>
        <v>7425</v>
      </c>
      <c r="E3738" s="2">
        <f t="shared" si="560"/>
        <v>41214</v>
      </c>
      <c r="F3738" s="2">
        <f t="shared" si="561"/>
        <v>41912</v>
      </c>
    </row>
    <row r="3739" spans="1:6" x14ac:dyDescent="0.25">
      <c r="A3739" s="1" t="s">
        <v>492</v>
      </c>
      <c r="B3739" s="1" t="s">
        <v>2700</v>
      </c>
      <c r="C3739" s="1" t="s">
        <v>27</v>
      </c>
      <c r="D3739" s="3">
        <f t="shared" si="559"/>
        <v>7425</v>
      </c>
      <c r="E3739" s="2">
        <f t="shared" si="560"/>
        <v>41214</v>
      </c>
      <c r="F3739" s="2">
        <f t="shared" si="561"/>
        <v>41912</v>
      </c>
    </row>
    <row r="3740" spans="1:6" x14ac:dyDescent="0.25">
      <c r="A3740" s="1" t="s">
        <v>492</v>
      </c>
      <c r="B3740" s="1" t="s">
        <v>2700</v>
      </c>
      <c r="C3740" s="1" t="s">
        <v>262</v>
      </c>
      <c r="D3740" s="3">
        <f t="shared" si="559"/>
        <v>7425</v>
      </c>
      <c r="E3740" s="2">
        <f t="shared" si="560"/>
        <v>41214</v>
      </c>
      <c r="F3740" s="2">
        <f t="shared" si="561"/>
        <v>41912</v>
      </c>
    </row>
    <row r="3741" spans="1:6" x14ac:dyDescent="0.25">
      <c r="A3741" s="1" t="s">
        <v>492</v>
      </c>
      <c r="B3741" s="1" t="s">
        <v>2700</v>
      </c>
      <c r="C3741" s="1" t="s">
        <v>216</v>
      </c>
      <c r="D3741" s="3">
        <f t="shared" si="559"/>
        <v>7425</v>
      </c>
      <c r="E3741" s="2">
        <f t="shared" si="560"/>
        <v>41214</v>
      </c>
      <c r="F3741" s="2">
        <f t="shared" si="561"/>
        <v>41912</v>
      </c>
    </row>
    <row r="3742" spans="1:6" x14ac:dyDescent="0.25">
      <c r="A3742" s="1" t="s">
        <v>492</v>
      </c>
      <c r="B3742" s="1" t="s">
        <v>2700</v>
      </c>
      <c r="C3742" s="1" t="s">
        <v>333</v>
      </c>
      <c r="D3742" s="3">
        <f t="shared" si="559"/>
        <v>7425</v>
      </c>
      <c r="E3742" s="2">
        <f t="shared" si="560"/>
        <v>41214</v>
      </c>
      <c r="F3742" s="2">
        <f t="shared" si="561"/>
        <v>41912</v>
      </c>
    </row>
    <row r="3743" spans="1:6" x14ac:dyDescent="0.25">
      <c r="A3743" s="1" t="s">
        <v>492</v>
      </c>
      <c r="B3743" s="1" t="s">
        <v>2700</v>
      </c>
      <c r="C3743" s="1" t="s">
        <v>36</v>
      </c>
      <c r="D3743" s="3">
        <f t="shared" si="559"/>
        <v>7425</v>
      </c>
      <c r="E3743" s="2">
        <f t="shared" si="560"/>
        <v>41214</v>
      </c>
      <c r="F3743" s="2">
        <f t="shared" si="561"/>
        <v>41912</v>
      </c>
    </row>
    <row r="3744" spans="1:6" x14ac:dyDescent="0.25">
      <c r="A3744" s="1" t="s">
        <v>492</v>
      </c>
      <c r="B3744" s="1" t="s">
        <v>2689</v>
      </c>
      <c r="C3744" s="1" t="s">
        <v>325</v>
      </c>
      <c r="D3744" s="3">
        <f t="shared" ref="D3744:D3755" si="562">VALUE("7392")</f>
        <v>7392</v>
      </c>
      <c r="E3744" s="2">
        <f t="shared" ref="E3744:E3755" si="563">DATEVALUE("1-9-2012")</f>
        <v>41153</v>
      </c>
      <c r="F3744" s="2">
        <f t="shared" ref="F3744:F3755" si="564">DATEVALUE("31-8-2013")</f>
        <v>41517</v>
      </c>
    </row>
    <row r="3745" spans="1:6" x14ac:dyDescent="0.25">
      <c r="A3745" s="1" t="s">
        <v>492</v>
      </c>
      <c r="B3745" s="1" t="s">
        <v>2689</v>
      </c>
      <c r="C3745" s="1" t="s">
        <v>12</v>
      </c>
      <c r="D3745" s="3">
        <f t="shared" si="562"/>
        <v>7392</v>
      </c>
      <c r="E3745" s="2">
        <f t="shared" si="563"/>
        <v>41153</v>
      </c>
      <c r="F3745" s="2">
        <f t="shared" si="564"/>
        <v>41517</v>
      </c>
    </row>
    <row r="3746" spans="1:6" x14ac:dyDescent="0.25">
      <c r="A3746" s="1" t="s">
        <v>492</v>
      </c>
      <c r="B3746" s="1" t="s">
        <v>2689</v>
      </c>
      <c r="C3746" s="1" t="s">
        <v>45</v>
      </c>
      <c r="D3746" s="3">
        <f t="shared" si="562"/>
        <v>7392</v>
      </c>
      <c r="E3746" s="2">
        <f t="shared" si="563"/>
        <v>41153</v>
      </c>
      <c r="F3746" s="2">
        <f t="shared" si="564"/>
        <v>41517</v>
      </c>
    </row>
    <row r="3747" spans="1:6" x14ac:dyDescent="0.25">
      <c r="A3747" s="1" t="s">
        <v>492</v>
      </c>
      <c r="B3747" s="1" t="s">
        <v>2689</v>
      </c>
      <c r="C3747" s="1" t="s">
        <v>46</v>
      </c>
      <c r="D3747" s="3">
        <f t="shared" si="562"/>
        <v>7392</v>
      </c>
      <c r="E3747" s="2">
        <f t="shared" si="563"/>
        <v>41153</v>
      </c>
      <c r="F3747" s="2">
        <f t="shared" si="564"/>
        <v>41517</v>
      </c>
    </row>
    <row r="3748" spans="1:6" x14ac:dyDescent="0.25">
      <c r="A3748" s="1" t="s">
        <v>492</v>
      </c>
      <c r="B3748" s="1" t="s">
        <v>2689</v>
      </c>
      <c r="C3748" s="1" t="s">
        <v>17</v>
      </c>
      <c r="D3748" s="3">
        <f t="shared" si="562"/>
        <v>7392</v>
      </c>
      <c r="E3748" s="2">
        <f t="shared" si="563"/>
        <v>41153</v>
      </c>
      <c r="F3748" s="2">
        <f t="shared" si="564"/>
        <v>41517</v>
      </c>
    </row>
    <row r="3749" spans="1:6" x14ac:dyDescent="0.25">
      <c r="A3749" s="1" t="s">
        <v>492</v>
      </c>
      <c r="B3749" s="1" t="s">
        <v>2689</v>
      </c>
      <c r="C3749" s="1" t="s">
        <v>20</v>
      </c>
      <c r="D3749" s="3">
        <f t="shared" si="562"/>
        <v>7392</v>
      </c>
      <c r="E3749" s="2">
        <f t="shared" si="563"/>
        <v>41153</v>
      </c>
      <c r="F3749" s="2">
        <f t="shared" si="564"/>
        <v>41517</v>
      </c>
    </row>
    <row r="3750" spans="1:6" x14ac:dyDescent="0.25">
      <c r="A3750" s="1" t="s">
        <v>492</v>
      </c>
      <c r="B3750" s="1" t="s">
        <v>2689</v>
      </c>
      <c r="C3750" s="1" t="s">
        <v>475</v>
      </c>
      <c r="D3750" s="3">
        <f t="shared" si="562"/>
        <v>7392</v>
      </c>
      <c r="E3750" s="2">
        <f t="shared" si="563"/>
        <v>41153</v>
      </c>
      <c r="F3750" s="2">
        <f t="shared" si="564"/>
        <v>41517</v>
      </c>
    </row>
    <row r="3751" spans="1:6" x14ac:dyDescent="0.25">
      <c r="A3751" s="1" t="s">
        <v>492</v>
      </c>
      <c r="B3751" s="1" t="s">
        <v>2689</v>
      </c>
      <c r="C3751" s="1" t="s">
        <v>493</v>
      </c>
      <c r="D3751" s="3">
        <f t="shared" si="562"/>
        <v>7392</v>
      </c>
      <c r="E3751" s="2">
        <f t="shared" si="563"/>
        <v>41153</v>
      </c>
      <c r="F3751" s="2">
        <f t="shared" si="564"/>
        <v>41517</v>
      </c>
    </row>
    <row r="3752" spans="1:6" x14ac:dyDescent="0.25">
      <c r="A3752" s="1" t="s">
        <v>492</v>
      </c>
      <c r="B3752" s="1" t="s">
        <v>2689</v>
      </c>
      <c r="C3752" s="1" t="s">
        <v>27</v>
      </c>
      <c r="D3752" s="3">
        <f t="shared" si="562"/>
        <v>7392</v>
      </c>
      <c r="E3752" s="2">
        <f t="shared" si="563"/>
        <v>41153</v>
      </c>
      <c r="F3752" s="2">
        <f t="shared" si="564"/>
        <v>41517</v>
      </c>
    </row>
    <row r="3753" spans="1:6" x14ac:dyDescent="0.25">
      <c r="A3753" s="1" t="s">
        <v>492</v>
      </c>
      <c r="B3753" s="1" t="s">
        <v>2689</v>
      </c>
      <c r="C3753" s="1" t="s">
        <v>262</v>
      </c>
      <c r="D3753" s="3">
        <f t="shared" si="562"/>
        <v>7392</v>
      </c>
      <c r="E3753" s="2">
        <f t="shared" si="563"/>
        <v>41153</v>
      </c>
      <c r="F3753" s="2">
        <f t="shared" si="564"/>
        <v>41517</v>
      </c>
    </row>
    <row r="3754" spans="1:6" x14ac:dyDescent="0.25">
      <c r="A3754" s="1" t="s">
        <v>492</v>
      </c>
      <c r="B3754" s="1" t="s">
        <v>2689</v>
      </c>
      <c r="C3754" s="1" t="s">
        <v>216</v>
      </c>
      <c r="D3754" s="3">
        <f t="shared" si="562"/>
        <v>7392</v>
      </c>
      <c r="E3754" s="2">
        <f t="shared" si="563"/>
        <v>41153</v>
      </c>
      <c r="F3754" s="2">
        <f t="shared" si="564"/>
        <v>41517</v>
      </c>
    </row>
    <row r="3755" spans="1:6" x14ac:dyDescent="0.25">
      <c r="A3755" s="1" t="s">
        <v>492</v>
      </c>
      <c r="B3755" s="1" t="s">
        <v>2689</v>
      </c>
      <c r="C3755" s="1" t="s">
        <v>36</v>
      </c>
      <c r="D3755" s="3">
        <f t="shared" si="562"/>
        <v>7392</v>
      </c>
      <c r="E3755" s="2">
        <f t="shared" si="563"/>
        <v>41153</v>
      </c>
      <c r="F3755" s="2">
        <f t="shared" si="564"/>
        <v>41517</v>
      </c>
    </row>
    <row r="3756" spans="1:6" x14ac:dyDescent="0.25">
      <c r="A3756" s="1" t="s">
        <v>492</v>
      </c>
      <c r="B3756" s="1" t="s">
        <v>2581</v>
      </c>
      <c r="C3756" s="1" t="s">
        <v>45</v>
      </c>
      <c r="D3756" s="3">
        <f>VALUE("7137")</f>
        <v>7137</v>
      </c>
      <c r="E3756" s="2">
        <f>DATEVALUE("1-12-2010")</f>
        <v>40513</v>
      </c>
      <c r="F3756" s="2">
        <f>DATEVALUE("31-12-2011")</f>
        <v>40908</v>
      </c>
    </row>
    <row r="3757" spans="1:6" x14ac:dyDescent="0.25">
      <c r="A3757" s="1" t="s">
        <v>492</v>
      </c>
      <c r="B3757" s="1" t="s">
        <v>2562</v>
      </c>
      <c r="C3757" s="1" t="s">
        <v>45</v>
      </c>
      <c r="D3757" s="3">
        <f>VALUE("7048")</f>
        <v>7048</v>
      </c>
      <c r="E3757" s="2">
        <f>DATEVALUE("1-4-2010")</f>
        <v>40269</v>
      </c>
      <c r="F3757" s="2">
        <f>DATEVALUE("30-9-2014")</f>
        <v>41912</v>
      </c>
    </row>
    <row r="3758" spans="1:6" x14ac:dyDescent="0.25">
      <c r="A3758" s="1" t="s">
        <v>1817</v>
      </c>
      <c r="B3758" s="1" t="s">
        <v>1816</v>
      </c>
      <c r="C3758" s="1" t="s">
        <v>346</v>
      </c>
      <c r="D3758" s="3">
        <f t="shared" ref="D3758:D3776" si="565">VALUE("8562")</f>
        <v>8562</v>
      </c>
      <c r="E3758" s="2">
        <f t="shared" ref="E3758:E3776" si="566">DATEVALUE("1-7-2019")</f>
        <v>43647</v>
      </c>
      <c r="F3758" s="2">
        <f t="shared" ref="F3758:F3776" si="567">DATEVALUE("31-8-2020")</f>
        <v>44074</v>
      </c>
    </row>
    <row r="3759" spans="1:6" x14ac:dyDescent="0.25">
      <c r="A3759" s="1" t="s">
        <v>1817</v>
      </c>
      <c r="B3759" s="1" t="s">
        <v>1816</v>
      </c>
      <c r="C3759" s="1" t="s">
        <v>347</v>
      </c>
      <c r="D3759" s="3">
        <f t="shared" si="565"/>
        <v>8562</v>
      </c>
      <c r="E3759" s="2">
        <f t="shared" si="566"/>
        <v>43647</v>
      </c>
      <c r="F3759" s="2">
        <f t="shared" si="567"/>
        <v>44074</v>
      </c>
    </row>
    <row r="3760" spans="1:6" x14ac:dyDescent="0.25">
      <c r="A3760" s="1" t="s">
        <v>1817</v>
      </c>
      <c r="B3760" s="1" t="s">
        <v>1816</v>
      </c>
      <c r="C3760" s="1" t="s">
        <v>683</v>
      </c>
      <c r="D3760" s="3">
        <f t="shared" si="565"/>
        <v>8562</v>
      </c>
      <c r="E3760" s="2">
        <f t="shared" si="566"/>
        <v>43647</v>
      </c>
      <c r="F3760" s="2">
        <f t="shared" si="567"/>
        <v>44074</v>
      </c>
    </row>
    <row r="3761" spans="1:6" x14ac:dyDescent="0.25">
      <c r="A3761" s="1" t="s">
        <v>1817</v>
      </c>
      <c r="B3761" s="1" t="s">
        <v>1816</v>
      </c>
      <c r="C3761" s="1" t="s">
        <v>676</v>
      </c>
      <c r="D3761" s="3">
        <f t="shared" si="565"/>
        <v>8562</v>
      </c>
      <c r="E3761" s="2">
        <f t="shared" si="566"/>
        <v>43647</v>
      </c>
      <c r="F3761" s="2">
        <f t="shared" si="567"/>
        <v>44074</v>
      </c>
    </row>
    <row r="3762" spans="1:6" x14ac:dyDescent="0.25">
      <c r="A3762" s="1" t="s">
        <v>1817</v>
      </c>
      <c r="B3762" s="1" t="s">
        <v>1816</v>
      </c>
      <c r="C3762" s="1" t="s">
        <v>15</v>
      </c>
      <c r="D3762" s="3">
        <f t="shared" si="565"/>
        <v>8562</v>
      </c>
      <c r="E3762" s="2">
        <f t="shared" si="566"/>
        <v>43647</v>
      </c>
      <c r="F3762" s="2">
        <f t="shared" si="567"/>
        <v>44074</v>
      </c>
    </row>
    <row r="3763" spans="1:6" x14ac:dyDescent="0.25">
      <c r="A3763" s="1" t="s">
        <v>1817</v>
      </c>
      <c r="B3763" s="1" t="s">
        <v>1816</v>
      </c>
      <c r="C3763" s="1" t="s">
        <v>17</v>
      </c>
      <c r="D3763" s="3">
        <f t="shared" si="565"/>
        <v>8562</v>
      </c>
      <c r="E3763" s="2">
        <f t="shared" si="566"/>
        <v>43647</v>
      </c>
      <c r="F3763" s="2">
        <f t="shared" si="567"/>
        <v>44074</v>
      </c>
    </row>
    <row r="3764" spans="1:6" x14ac:dyDescent="0.25">
      <c r="A3764" s="1" t="s">
        <v>1817</v>
      </c>
      <c r="B3764" s="1" t="s">
        <v>1816</v>
      </c>
      <c r="C3764" s="1" t="s">
        <v>22</v>
      </c>
      <c r="D3764" s="3">
        <f t="shared" si="565"/>
        <v>8562</v>
      </c>
      <c r="E3764" s="2">
        <f t="shared" si="566"/>
        <v>43647</v>
      </c>
      <c r="F3764" s="2">
        <f t="shared" si="567"/>
        <v>44074</v>
      </c>
    </row>
    <row r="3765" spans="1:6" x14ac:dyDescent="0.25">
      <c r="A3765" s="1" t="s">
        <v>1817</v>
      </c>
      <c r="B3765" s="1" t="s">
        <v>1816</v>
      </c>
      <c r="C3765" s="1" t="s">
        <v>146</v>
      </c>
      <c r="D3765" s="3">
        <f t="shared" si="565"/>
        <v>8562</v>
      </c>
      <c r="E3765" s="2">
        <f t="shared" si="566"/>
        <v>43647</v>
      </c>
      <c r="F3765" s="2">
        <f t="shared" si="567"/>
        <v>44074</v>
      </c>
    </row>
    <row r="3766" spans="1:6" x14ac:dyDescent="0.25">
      <c r="A3766" s="1" t="s">
        <v>1817</v>
      </c>
      <c r="B3766" s="1" t="s">
        <v>1816</v>
      </c>
      <c r="C3766" s="1" t="s">
        <v>148</v>
      </c>
      <c r="D3766" s="3">
        <f t="shared" si="565"/>
        <v>8562</v>
      </c>
      <c r="E3766" s="2">
        <f t="shared" si="566"/>
        <v>43647</v>
      </c>
      <c r="F3766" s="2">
        <f t="shared" si="567"/>
        <v>44074</v>
      </c>
    </row>
    <row r="3767" spans="1:6" x14ac:dyDescent="0.25">
      <c r="A3767" s="1" t="s">
        <v>1817</v>
      </c>
      <c r="B3767" s="1" t="s">
        <v>1816</v>
      </c>
      <c r="C3767" s="1" t="s">
        <v>472</v>
      </c>
      <c r="D3767" s="3">
        <f t="shared" si="565"/>
        <v>8562</v>
      </c>
      <c r="E3767" s="2">
        <f t="shared" si="566"/>
        <v>43647</v>
      </c>
      <c r="F3767" s="2">
        <f t="shared" si="567"/>
        <v>44074</v>
      </c>
    </row>
    <row r="3768" spans="1:6" x14ac:dyDescent="0.25">
      <c r="A3768" s="1" t="s">
        <v>1817</v>
      </c>
      <c r="B3768" s="1" t="s">
        <v>1816</v>
      </c>
      <c r="C3768" s="1" t="s">
        <v>72</v>
      </c>
      <c r="D3768" s="3">
        <f t="shared" si="565"/>
        <v>8562</v>
      </c>
      <c r="E3768" s="2">
        <f t="shared" si="566"/>
        <v>43647</v>
      </c>
      <c r="F3768" s="2">
        <f t="shared" si="567"/>
        <v>44074</v>
      </c>
    </row>
    <row r="3769" spans="1:6" x14ac:dyDescent="0.25">
      <c r="A3769" s="1" t="s">
        <v>1817</v>
      </c>
      <c r="B3769" s="1" t="s">
        <v>1816</v>
      </c>
      <c r="C3769" s="1" t="s">
        <v>516</v>
      </c>
      <c r="D3769" s="3">
        <f t="shared" si="565"/>
        <v>8562</v>
      </c>
      <c r="E3769" s="2">
        <f t="shared" si="566"/>
        <v>43647</v>
      </c>
      <c r="F3769" s="2">
        <f t="shared" si="567"/>
        <v>44074</v>
      </c>
    </row>
    <row r="3770" spans="1:6" x14ac:dyDescent="0.25">
      <c r="A3770" s="1" t="s">
        <v>1817</v>
      </c>
      <c r="B3770" s="1" t="s">
        <v>1816</v>
      </c>
      <c r="C3770" s="1" t="s">
        <v>476</v>
      </c>
      <c r="D3770" s="3">
        <f t="shared" si="565"/>
        <v>8562</v>
      </c>
      <c r="E3770" s="2">
        <f t="shared" si="566"/>
        <v>43647</v>
      </c>
      <c r="F3770" s="2">
        <f t="shared" si="567"/>
        <v>44074</v>
      </c>
    </row>
    <row r="3771" spans="1:6" x14ac:dyDescent="0.25">
      <c r="A3771" s="1" t="s">
        <v>1817</v>
      </c>
      <c r="B3771" s="1" t="s">
        <v>1816</v>
      </c>
      <c r="C3771" s="1" t="s">
        <v>52</v>
      </c>
      <c r="D3771" s="3">
        <f t="shared" si="565"/>
        <v>8562</v>
      </c>
      <c r="E3771" s="2">
        <f t="shared" si="566"/>
        <v>43647</v>
      </c>
      <c r="F3771" s="2">
        <f t="shared" si="567"/>
        <v>44074</v>
      </c>
    </row>
    <row r="3772" spans="1:6" x14ac:dyDescent="0.25">
      <c r="A3772" s="1" t="s">
        <v>1817</v>
      </c>
      <c r="B3772" s="1" t="s">
        <v>1816</v>
      </c>
      <c r="C3772" s="1" t="s">
        <v>349</v>
      </c>
      <c r="D3772" s="3">
        <f t="shared" si="565"/>
        <v>8562</v>
      </c>
      <c r="E3772" s="2">
        <f t="shared" si="566"/>
        <v>43647</v>
      </c>
      <c r="F3772" s="2">
        <f t="shared" si="567"/>
        <v>44074</v>
      </c>
    </row>
    <row r="3773" spans="1:6" x14ac:dyDescent="0.25">
      <c r="A3773" s="1" t="s">
        <v>1817</v>
      </c>
      <c r="B3773" s="1" t="s">
        <v>1816</v>
      </c>
      <c r="C3773" s="1" t="s">
        <v>458</v>
      </c>
      <c r="D3773" s="3">
        <f t="shared" si="565"/>
        <v>8562</v>
      </c>
      <c r="E3773" s="2">
        <f t="shared" si="566"/>
        <v>43647</v>
      </c>
      <c r="F3773" s="2">
        <f t="shared" si="567"/>
        <v>44074</v>
      </c>
    </row>
    <row r="3774" spans="1:6" x14ac:dyDescent="0.25">
      <c r="A3774" s="1" t="s">
        <v>1817</v>
      </c>
      <c r="B3774" s="1" t="s">
        <v>1816</v>
      </c>
      <c r="C3774" s="1" t="s">
        <v>459</v>
      </c>
      <c r="D3774" s="3">
        <f t="shared" si="565"/>
        <v>8562</v>
      </c>
      <c r="E3774" s="2">
        <f t="shared" si="566"/>
        <v>43647</v>
      </c>
      <c r="F3774" s="2">
        <f t="shared" si="567"/>
        <v>44074</v>
      </c>
    </row>
    <row r="3775" spans="1:6" x14ac:dyDescent="0.25">
      <c r="A3775" s="1" t="s">
        <v>1817</v>
      </c>
      <c r="B3775" s="1" t="s">
        <v>1816</v>
      </c>
      <c r="C3775" s="1" t="s">
        <v>350</v>
      </c>
      <c r="D3775" s="3">
        <f t="shared" si="565"/>
        <v>8562</v>
      </c>
      <c r="E3775" s="2">
        <f t="shared" si="566"/>
        <v>43647</v>
      </c>
      <c r="F3775" s="2">
        <f t="shared" si="567"/>
        <v>44074</v>
      </c>
    </row>
    <row r="3776" spans="1:6" x14ac:dyDescent="0.25">
      <c r="A3776" s="1" t="s">
        <v>1817</v>
      </c>
      <c r="B3776" s="1" t="s">
        <v>1816</v>
      </c>
      <c r="C3776" s="1" t="s">
        <v>351</v>
      </c>
      <c r="D3776" s="3">
        <f t="shared" si="565"/>
        <v>8562</v>
      </c>
      <c r="E3776" s="2">
        <f t="shared" si="566"/>
        <v>43647</v>
      </c>
      <c r="F3776" s="2">
        <f t="shared" si="567"/>
        <v>44074</v>
      </c>
    </row>
    <row r="3777" spans="1:6" x14ac:dyDescent="0.25">
      <c r="A3777" s="1" t="s">
        <v>1817</v>
      </c>
      <c r="B3777" s="1" t="s">
        <v>2378</v>
      </c>
      <c r="C3777" s="1" t="s">
        <v>7</v>
      </c>
      <c r="D3777" s="3">
        <f>VALUE("8314")</f>
        <v>8314</v>
      </c>
      <c r="E3777" s="2">
        <f>DATEVALUE("1-6-2018")</f>
        <v>43252</v>
      </c>
      <c r="F3777" s="2">
        <f>DATEVALUE("31-10-2018")</f>
        <v>43404</v>
      </c>
    </row>
    <row r="3778" spans="1:6" x14ac:dyDescent="0.25">
      <c r="A3778" s="1" t="s">
        <v>1817</v>
      </c>
      <c r="B3778" s="1" t="s">
        <v>2378</v>
      </c>
      <c r="C3778" s="1" t="s">
        <v>599</v>
      </c>
      <c r="D3778" s="3">
        <f>VALUE("8314")</f>
        <v>8314</v>
      </c>
      <c r="E3778" s="2">
        <f>DATEVALUE("1-6-2018")</f>
        <v>43252</v>
      </c>
      <c r="F3778" s="2">
        <f>DATEVALUE("31-10-2018")</f>
        <v>43404</v>
      </c>
    </row>
    <row r="3779" spans="1:6" x14ac:dyDescent="0.25">
      <c r="A3779" s="1" t="s">
        <v>1817</v>
      </c>
      <c r="B3779" s="1" t="s">
        <v>2378</v>
      </c>
      <c r="C3779" s="1" t="s">
        <v>13</v>
      </c>
      <c r="D3779" s="3">
        <f>VALUE("8314")</f>
        <v>8314</v>
      </c>
      <c r="E3779" s="2">
        <f>DATEVALUE("1-6-2018")</f>
        <v>43252</v>
      </c>
      <c r="F3779" s="2">
        <f>DATEVALUE("31-10-2018")</f>
        <v>43404</v>
      </c>
    </row>
    <row r="3780" spans="1:6" x14ac:dyDescent="0.25">
      <c r="A3780" s="1" t="s">
        <v>1817</v>
      </c>
      <c r="B3780" s="1" t="s">
        <v>2378</v>
      </c>
      <c r="C3780" s="1" t="s">
        <v>45</v>
      </c>
      <c r="D3780" s="3">
        <f>VALUE("8314")</f>
        <v>8314</v>
      </c>
      <c r="E3780" s="2">
        <f>DATEVALUE("1-6-2018")</f>
        <v>43252</v>
      </c>
      <c r="F3780" s="2">
        <f>DATEVALUE("31-10-2018")</f>
        <v>43404</v>
      </c>
    </row>
    <row r="3781" spans="1:6" x14ac:dyDescent="0.25">
      <c r="A3781" s="1" t="s">
        <v>1817</v>
      </c>
      <c r="B3781" s="1" t="s">
        <v>2378</v>
      </c>
      <c r="C3781" s="1" t="s">
        <v>240</v>
      </c>
      <c r="D3781" s="3">
        <f>VALUE("8314")</f>
        <v>8314</v>
      </c>
      <c r="E3781" s="2">
        <f>DATEVALUE("1-6-2018")</f>
        <v>43252</v>
      </c>
      <c r="F3781" s="2">
        <f>DATEVALUE("31-10-2018")</f>
        <v>43404</v>
      </c>
    </row>
    <row r="3782" spans="1:6" x14ac:dyDescent="0.25">
      <c r="A3782" s="1" t="s">
        <v>1817</v>
      </c>
      <c r="B3782" s="1" t="s">
        <v>2021</v>
      </c>
      <c r="C3782" s="1" t="s">
        <v>2022</v>
      </c>
      <c r="D3782" s="3">
        <f>VALUE("8013")</f>
        <v>8013</v>
      </c>
      <c r="E3782" s="2">
        <f>DATEVALUE("1-1-2017")</f>
        <v>42736</v>
      </c>
      <c r="F3782" s="2">
        <f>DATEVALUE("30-6-2017")</f>
        <v>42916</v>
      </c>
    </row>
    <row r="3783" spans="1:6" x14ac:dyDescent="0.25">
      <c r="A3783" s="1" t="s">
        <v>1817</v>
      </c>
      <c r="B3783" s="1" t="s">
        <v>1896</v>
      </c>
      <c r="C3783" s="1" t="s">
        <v>8</v>
      </c>
      <c r="D3783" s="3">
        <f>VALUE("7317")</f>
        <v>7317</v>
      </c>
      <c r="E3783" s="2">
        <f>DATEVALUE("1-4-2012")</f>
        <v>41000</v>
      </c>
      <c r="F3783" s="2">
        <f>DATEVALUE("31-8-2012")</f>
        <v>41152</v>
      </c>
    </row>
    <row r="3784" spans="1:6" x14ac:dyDescent="0.25">
      <c r="A3784" s="1" t="s">
        <v>1817</v>
      </c>
      <c r="B3784" s="1" t="s">
        <v>1896</v>
      </c>
      <c r="C3784" s="1" t="s">
        <v>10</v>
      </c>
      <c r="D3784" s="3">
        <f>VALUE("7317")</f>
        <v>7317</v>
      </c>
      <c r="E3784" s="2">
        <f>DATEVALUE("1-4-2012")</f>
        <v>41000</v>
      </c>
      <c r="F3784" s="2">
        <f>DATEVALUE("31-8-2012")</f>
        <v>41152</v>
      </c>
    </row>
    <row r="3785" spans="1:6" x14ac:dyDescent="0.25">
      <c r="A3785" s="1" t="s">
        <v>1817</v>
      </c>
      <c r="B3785" s="1" t="s">
        <v>1896</v>
      </c>
      <c r="C3785" s="1" t="s">
        <v>11</v>
      </c>
      <c r="D3785" s="3">
        <f>VALUE("7317")</f>
        <v>7317</v>
      </c>
      <c r="E3785" s="2">
        <f>DATEVALUE("1-4-2012")</f>
        <v>41000</v>
      </c>
      <c r="F3785" s="2">
        <f>DATEVALUE("31-8-2012")</f>
        <v>41152</v>
      </c>
    </row>
    <row r="3786" spans="1:6" x14ac:dyDescent="0.25">
      <c r="A3786" s="1" t="s">
        <v>1817</v>
      </c>
      <c r="B3786" s="1" t="s">
        <v>1896</v>
      </c>
      <c r="C3786" s="1" t="s">
        <v>12</v>
      </c>
      <c r="D3786" s="3">
        <f>VALUE("7317")</f>
        <v>7317</v>
      </c>
      <c r="E3786" s="2">
        <f>DATEVALUE("1-4-2012")</f>
        <v>41000</v>
      </c>
      <c r="F3786" s="2">
        <f>DATEVALUE("31-8-2012")</f>
        <v>41152</v>
      </c>
    </row>
    <row r="3787" spans="1:6" x14ac:dyDescent="0.25">
      <c r="A3787" s="1" t="s">
        <v>1817</v>
      </c>
      <c r="B3787" s="1" t="s">
        <v>1896</v>
      </c>
      <c r="C3787" s="1" t="s">
        <v>45</v>
      </c>
      <c r="D3787" s="3">
        <f>VALUE("7317")</f>
        <v>7317</v>
      </c>
      <c r="E3787" s="2">
        <f>DATEVALUE("1-4-2012")</f>
        <v>41000</v>
      </c>
      <c r="F3787" s="2">
        <f>DATEVALUE("31-8-2012")</f>
        <v>41152</v>
      </c>
    </row>
    <row r="3788" spans="1:6" x14ac:dyDescent="0.25">
      <c r="A3788" s="1" t="s">
        <v>1957</v>
      </c>
      <c r="B3788" s="1" t="s">
        <v>2047</v>
      </c>
      <c r="C3788" s="1" t="s">
        <v>2048</v>
      </c>
      <c r="D3788" s="3">
        <f>VALUE("8098")</f>
        <v>8098</v>
      </c>
      <c r="E3788" s="2">
        <f>DATEVALUE("1-7-2017")</f>
        <v>42917</v>
      </c>
      <c r="F3788" s="2">
        <f>DATEVALUE("30-11-2019")</f>
        <v>43799</v>
      </c>
    </row>
    <row r="3789" spans="1:6" x14ac:dyDescent="0.25">
      <c r="A3789" s="1" t="s">
        <v>1957</v>
      </c>
      <c r="B3789" s="1" t="s">
        <v>2047</v>
      </c>
      <c r="C3789" s="1" t="s">
        <v>2049</v>
      </c>
      <c r="D3789" s="3">
        <f>VALUE("8098")</f>
        <v>8098</v>
      </c>
      <c r="E3789" s="2">
        <f>DATEVALUE("1-7-2017")</f>
        <v>42917</v>
      </c>
      <c r="F3789" s="2">
        <f>DATEVALUE("30-11-2019")</f>
        <v>43799</v>
      </c>
    </row>
    <row r="3790" spans="1:6" x14ac:dyDescent="0.25">
      <c r="A3790" s="1" t="s">
        <v>1957</v>
      </c>
      <c r="B3790" s="1" t="s">
        <v>1960</v>
      </c>
      <c r="C3790" s="1" t="s">
        <v>249</v>
      </c>
      <c r="D3790" s="3">
        <f>VALUE("7725")</f>
        <v>7725</v>
      </c>
      <c r="E3790" s="2">
        <f>DATEVALUE("1-3-2015")</f>
        <v>42064</v>
      </c>
      <c r="F3790" s="2">
        <f>DATEVALUE("30-6-2015")</f>
        <v>42185</v>
      </c>
    </row>
    <row r="3791" spans="1:6" x14ac:dyDescent="0.25">
      <c r="A3791" s="1" t="s">
        <v>1957</v>
      </c>
      <c r="B3791" s="1" t="s">
        <v>1960</v>
      </c>
      <c r="C3791" s="1" t="s">
        <v>248</v>
      </c>
      <c r="D3791" s="3">
        <f>VALUE("7725")</f>
        <v>7725</v>
      </c>
      <c r="E3791" s="2">
        <f>DATEVALUE("1-3-2015")</f>
        <v>42064</v>
      </c>
      <c r="F3791" s="2">
        <f>DATEVALUE("30-6-2015")</f>
        <v>42185</v>
      </c>
    </row>
    <row r="3792" spans="1:6" x14ac:dyDescent="0.25">
      <c r="A3792" s="1" t="s">
        <v>1957</v>
      </c>
      <c r="B3792" s="1" t="s">
        <v>1960</v>
      </c>
      <c r="C3792" s="1" t="s">
        <v>14</v>
      </c>
      <c r="D3792" s="3">
        <f>VALUE("7725")</f>
        <v>7725</v>
      </c>
      <c r="E3792" s="2">
        <f>DATEVALUE("1-3-2015")</f>
        <v>42064</v>
      </c>
      <c r="F3792" s="2">
        <f>DATEVALUE("30-6-2015")</f>
        <v>42185</v>
      </c>
    </row>
    <row r="3793" spans="1:6" x14ac:dyDescent="0.25">
      <c r="A3793" s="1" t="s">
        <v>1388</v>
      </c>
      <c r="B3793" s="1" t="s">
        <v>1663</v>
      </c>
      <c r="C3793" s="1" t="s">
        <v>676</v>
      </c>
      <c r="D3793" s="3">
        <f t="shared" ref="D3793:D3802" si="568">VALUE("8834")</f>
        <v>8834</v>
      </c>
      <c r="E3793" s="2">
        <f t="shared" ref="E3793:E3802" si="569">DATEVALUE("1-8-2020")</f>
        <v>44044</v>
      </c>
      <c r="F3793" s="2">
        <f t="shared" ref="F3793:F3802" si="570">DATEVALUE("31-1-2021")</f>
        <v>44227</v>
      </c>
    </row>
    <row r="3794" spans="1:6" x14ac:dyDescent="0.25">
      <c r="A3794" s="1" t="s">
        <v>1388</v>
      </c>
      <c r="B3794" s="1" t="s">
        <v>1663</v>
      </c>
      <c r="C3794" s="1" t="s">
        <v>14</v>
      </c>
      <c r="D3794" s="3">
        <f t="shared" si="568"/>
        <v>8834</v>
      </c>
      <c r="E3794" s="2">
        <f t="shared" si="569"/>
        <v>44044</v>
      </c>
      <c r="F3794" s="2">
        <f t="shared" si="570"/>
        <v>44227</v>
      </c>
    </row>
    <row r="3795" spans="1:6" x14ac:dyDescent="0.25">
      <c r="A3795" s="1" t="s">
        <v>1388</v>
      </c>
      <c r="B3795" s="1" t="s">
        <v>1663</v>
      </c>
      <c r="C3795" s="1" t="s">
        <v>17</v>
      </c>
      <c r="D3795" s="3">
        <f t="shared" si="568"/>
        <v>8834</v>
      </c>
      <c r="E3795" s="2">
        <f t="shared" si="569"/>
        <v>44044</v>
      </c>
      <c r="F3795" s="2">
        <f t="shared" si="570"/>
        <v>44227</v>
      </c>
    </row>
    <row r="3796" spans="1:6" x14ac:dyDescent="0.25">
      <c r="A3796" s="1" t="s">
        <v>1388</v>
      </c>
      <c r="B3796" s="1" t="s">
        <v>1663</v>
      </c>
      <c r="C3796" s="1" t="s">
        <v>22</v>
      </c>
      <c r="D3796" s="3">
        <f t="shared" si="568"/>
        <v>8834</v>
      </c>
      <c r="E3796" s="2">
        <f t="shared" si="569"/>
        <v>44044</v>
      </c>
      <c r="F3796" s="2">
        <f t="shared" si="570"/>
        <v>44227</v>
      </c>
    </row>
    <row r="3797" spans="1:6" x14ac:dyDescent="0.25">
      <c r="A3797" s="1" t="s">
        <v>1388</v>
      </c>
      <c r="B3797" s="1" t="s">
        <v>1663</v>
      </c>
      <c r="C3797" s="1" t="s">
        <v>24</v>
      </c>
      <c r="D3797" s="3">
        <f t="shared" si="568"/>
        <v>8834</v>
      </c>
      <c r="E3797" s="2">
        <f t="shared" si="569"/>
        <v>44044</v>
      </c>
      <c r="F3797" s="2">
        <f t="shared" si="570"/>
        <v>44227</v>
      </c>
    </row>
    <row r="3798" spans="1:6" x14ac:dyDescent="0.25">
      <c r="A3798" s="1" t="s">
        <v>1388</v>
      </c>
      <c r="B3798" s="1" t="s">
        <v>1663</v>
      </c>
      <c r="C3798" s="1" t="s">
        <v>476</v>
      </c>
      <c r="D3798" s="3">
        <f t="shared" si="568"/>
        <v>8834</v>
      </c>
      <c r="E3798" s="2">
        <f t="shared" si="569"/>
        <v>44044</v>
      </c>
      <c r="F3798" s="2">
        <f t="shared" si="570"/>
        <v>44227</v>
      </c>
    </row>
    <row r="3799" spans="1:6" x14ac:dyDescent="0.25">
      <c r="A3799" s="1" t="s">
        <v>1388</v>
      </c>
      <c r="B3799" s="1" t="s">
        <v>1663</v>
      </c>
      <c r="C3799" s="1" t="s">
        <v>769</v>
      </c>
      <c r="D3799" s="3">
        <f t="shared" si="568"/>
        <v>8834</v>
      </c>
      <c r="E3799" s="2">
        <f t="shared" si="569"/>
        <v>44044</v>
      </c>
      <c r="F3799" s="2">
        <f t="shared" si="570"/>
        <v>44227</v>
      </c>
    </row>
    <row r="3800" spans="1:6" x14ac:dyDescent="0.25">
      <c r="A3800" s="1" t="s">
        <v>1388</v>
      </c>
      <c r="B3800" s="1" t="s">
        <v>1663</v>
      </c>
      <c r="C3800" s="1" t="s">
        <v>52</v>
      </c>
      <c r="D3800" s="3">
        <f t="shared" si="568"/>
        <v>8834</v>
      </c>
      <c r="E3800" s="2">
        <f t="shared" si="569"/>
        <v>44044</v>
      </c>
      <c r="F3800" s="2">
        <f t="shared" si="570"/>
        <v>44227</v>
      </c>
    </row>
    <row r="3801" spans="1:6" x14ac:dyDescent="0.25">
      <c r="A3801" s="1" t="s">
        <v>1388</v>
      </c>
      <c r="B3801" s="1" t="s">
        <v>1663</v>
      </c>
      <c r="C3801" s="1" t="s">
        <v>350</v>
      </c>
      <c r="D3801" s="3">
        <f t="shared" si="568"/>
        <v>8834</v>
      </c>
      <c r="E3801" s="2">
        <f t="shared" si="569"/>
        <v>44044</v>
      </c>
      <c r="F3801" s="2">
        <f t="shared" si="570"/>
        <v>44227</v>
      </c>
    </row>
    <row r="3802" spans="1:6" x14ac:dyDescent="0.25">
      <c r="A3802" s="1" t="s">
        <v>1388</v>
      </c>
      <c r="B3802" s="1" t="s">
        <v>1663</v>
      </c>
      <c r="C3802" s="1" t="s">
        <v>34</v>
      </c>
      <c r="D3802" s="3">
        <f t="shared" si="568"/>
        <v>8834</v>
      </c>
      <c r="E3802" s="2">
        <f t="shared" si="569"/>
        <v>44044</v>
      </c>
      <c r="F3802" s="2">
        <f t="shared" si="570"/>
        <v>44227</v>
      </c>
    </row>
    <row r="3803" spans="1:6" x14ac:dyDescent="0.25">
      <c r="A3803" s="1" t="s">
        <v>1388</v>
      </c>
      <c r="B3803" s="1" t="s">
        <v>1396</v>
      </c>
      <c r="C3803" s="1" t="s">
        <v>7</v>
      </c>
      <c r="D3803" s="3">
        <f>VALUE("8613")</f>
        <v>8613</v>
      </c>
      <c r="E3803" s="2">
        <f>DATEVALUE("1-12-2019")</f>
        <v>43800</v>
      </c>
      <c r="F3803" s="2">
        <f t="shared" ref="F3803:F3808" si="571">DATEVALUE("31-3-2025")</f>
        <v>45747</v>
      </c>
    </row>
    <row r="3804" spans="1:6" x14ac:dyDescent="0.25">
      <c r="A3804" s="1" t="s">
        <v>1388</v>
      </c>
      <c r="B3804" s="1" t="s">
        <v>1396</v>
      </c>
      <c r="C3804" s="1" t="s">
        <v>1397</v>
      </c>
      <c r="D3804" s="3">
        <f>VALUE("8613")</f>
        <v>8613</v>
      </c>
      <c r="E3804" s="2">
        <f>DATEVALUE("1-12-2019")</f>
        <v>43800</v>
      </c>
      <c r="F3804" s="2">
        <f t="shared" si="571"/>
        <v>45747</v>
      </c>
    </row>
    <row r="3805" spans="1:6" x14ac:dyDescent="0.25">
      <c r="A3805" s="1" t="s">
        <v>1388</v>
      </c>
      <c r="B3805" s="1" t="s">
        <v>1396</v>
      </c>
      <c r="C3805" s="1" t="s">
        <v>52</v>
      </c>
      <c r="D3805" s="3">
        <f>VALUE("8613")</f>
        <v>8613</v>
      </c>
      <c r="E3805" s="2">
        <f>DATEVALUE("1-12-2019")</f>
        <v>43800</v>
      </c>
      <c r="F3805" s="2">
        <f t="shared" si="571"/>
        <v>45747</v>
      </c>
    </row>
    <row r="3806" spans="1:6" x14ac:dyDescent="0.25">
      <c r="A3806" s="1" t="s">
        <v>1388</v>
      </c>
      <c r="B3806" s="1" t="s">
        <v>1387</v>
      </c>
      <c r="C3806" s="1" t="s">
        <v>17</v>
      </c>
      <c r="D3806" s="3">
        <f>VALUE("8612")</f>
        <v>8612</v>
      </c>
      <c r="E3806" s="2">
        <f>DATEVALUE("1-10-2019")</f>
        <v>43739</v>
      </c>
      <c r="F3806" s="2">
        <f t="shared" si="571"/>
        <v>45747</v>
      </c>
    </row>
    <row r="3807" spans="1:6" x14ac:dyDescent="0.25">
      <c r="A3807" s="1" t="s">
        <v>1388</v>
      </c>
      <c r="B3807" s="1" t="s">
        <v>1387</v>
      </c>
      <c r="C3807" s="1" t="s">
        <v>72</v>
      </c>
      <c r="D3807" s="3">
        <f>VALUE("8612")</f>
        <v>8612</v>
      </c>
      <c r="E3807" s="2">
        <f>DATEVALUE("1-10-2019")</f>
        <v>43739</v>
      </c>
      <c r="F3807" s="2">
        <f t="shared" si="571"/>
        <v>45747</v>
      </c>
    </row>
    <row r="3808" spans="1:6" x14ac:dyDescent="0.25">
      <c r="A3808" s="1" t="s">
        <v>1388</v>
      </c>
      <c r="B3808" s="1" t="s">
        <v>1387</v>
      </c>
      <c r="C3808" s="1" t="s">
        <v>52</v>
      </c>
      <c r="D3808" s="3">
        <f>VALUE("8612")</f>
        <v>8612</v>
      </c>
      <c r="E3808" s="2">
        <f>DATEVALUE("1-10-2019")</f>
        <v>43739</v>
      </c>
      <c r="F3808" s="2">
        <f t="shared" si="571"/>
        <v>45747</v>
      </c>
    </row>
    <row r="3809" spans="1:6" x14ac:dyDescent="0.25">
      <c r="A3809" s="1" t="s">
        <v>1388</v>
      </c>
      <c r="B3809" s="1" t="s">
        <v>1762</v>
      </c>
      <c r="C3809" s="1" t="s">
        <v>45</v>
      </c>
      <c r="D3809" s="3">
        <f t="shared" ref="D3809:D3815" si="572">VALUE("8071")</f>
        <v>8071</v>
      </c>
      <c r="E3809" s="2">
        <f t="shared" ref="E3809:E3815" si="573">DATEVALUE("1-5-2017")</f>
        <v>42856</v>
      </c>
      <c r="F3809" s="2">
        <f t="shared" ref="F3809:F3815" si="574">DATEVALUE("31-5-2018")</f>
        <v>43251</v>
      </c>
    </row>
    <row r="3810" spans="1:6" x14ac:dyDescent="0.25">
      <c r="A3810" s="1" t="s">
        <v>1388</v>
      </c>
      <c r="B3810" s="1" t="s">
        <v>1762</v>
      </c>
      <c r="C3810" s="1" t="s">
        <v>739</v>
      </c>
      <c r="D3810" s="3">
        <f t="shared" si="572"/>
        <v>8071</v>
      </c>
      <c r="E3810" s="2">
        <f t="shared" si="573"/>
        <v>42856</v>
      </c>
      <c r="F3810" s="2">
        <f t="shared" si="574"/>
        <v>43251</v>
      </c>
    </row>
    <row r="3811" spans="1:6" x14ac:dyDescent="0.25">
      <c r="A3811" s="1" t="s">
        <v>1388</v>
      </c>
      <c r="B3811" s="1" t="s">
        <v>1762</v>
      </c>
      <c r="C3811" s="1" t="s">
        <v>17</v>
      </c>
      <c r="D3811" s="3">
        <f t="shared" si="572"/>
        <v>8071</v>
      </c>
      <c r="E3811" s="2">
        <f t="shared" si="573"/>
        <v>42856</v>
      </c>
      <c r="F3811" s="2">
        <f t="shared" si="574"/>
        <v>43251</v>
      </c>
    </row>
    <row r="3812" spans="1:6" x14ac:dyDescent="0.25">
      <c r="A3812" s="1" t="s">
        <v>1388</v>
      </c>
      <c r="B3812" s="1" t="s">
        <v>1762</v>
      </c>
      <c r="C3812" s="1" t="s">
        <v>146</v>
      </c>
      <c r="D3812" s="3">
        <f t="shared" si="572"/>
        <v>8071</v>
      </c>
      <c r="E3812" s="2">
        <f t="shared" si="573"/>
        <v>42856</v>
      </c>
      <c r="F3812" s="2">
        <f t="shared" si="574"/>
        <v>43251</v>
      </c>
    </row>
    <row r="3813" spans="1:6" x14ac:dyDescent="0.25">
      <c r="A3813" s="1" t="s">
        <v>1388</v>
      </c>
      <c r="B3813" s="1" t="s">
        <v>1762</v>
      </c>
      <c r="C3813" s="1" t="s">
        <v>67</v>
      </c>
      <c r="D3813" s="3">
        <f t="shared" si="572"/>
        <v>8071</v>
      </c>
      <c r="E3813" s="2">
        <f t="shared" si="573"/>
        <v>42856</v>
      </c>
      <c r="F3813" s="2">
        <f t="shared" si="574"/>
        <v>43251</v>
      </c>
    </row>
    <row r="3814" spans="1:6" x14ac:dyDescent="0.25">
      <c r="A3814" s="1" t="s">
        <v>1388</v>
      </c>
      <c r="B3814" s="1" t="s">
        <v>1762</v>
      </c>
      <c r="C3814" s="1" t="s">
        <v>148</v>
      </c>
      <c r="D3814" s="3">
        <f t="shared" si="572"/>
        <v>8071</v>
      </c>
      <c r="E3814" s="2">
        <f t="shared" si="573"/>
        <v>42856</v>
      </c>
      <c r="F3814" s="2">
        <f t="shared" si="574"/>
        <v>43251</v>
      </c>
    </row>
    <row r="3815" spans="1:6" x14ac:dyDescent="0.25">
      <c r="A3815" s="1" t="s">
        <v>1388</v>
      </c>
      <c r="B3815" s="1" t="s">
        <v>1762</v>
      </c>
      <c r="C3815" s="1" t="s">
        <v>149</v>
      </c>
      <c r="D3815" s="3">
        <f t="shared" si="572"/>
        <v>8071</v>
      </c>
      <c r="E3815" s="2">
        <f t="shared" si="573"/>
        <v>42856</v>
      </c>
      <c r="F3815" s="2">
        <f t="shared" si="574"/>
        <v>43251</v>
      </c>
    </row>
    <row r="3816" spans="1:6" x14ac:dyDescent="0.25">
      <c r="A3816" s="1" t="s">
        <v>1388</v>
      </c>
      <c r="B3816" s="1" t="s">
        <v>2766</v>
      </c>
      <c r="C3816" s="1" t="s">
        <v>1478</v>
      </c>
      <c r="D3816" s="3">
        <f>VALUE("7619")</f>
        <v>7619</v>
      </c>
      <c r="E3816" s="2">
        <f>DATEVALUE("1-9-2014")</f>
        <v>41883</v>
      </c>
      <c r="F3816" s="2">
        <f>DATEVALUE("31-12-2014")</f>
        <v>42004</v>
      </c>
    </row>
    <row r="3817" spans="1:6" x14ac:dyDescent="0.25">
      <c r="A3817" s="1" t="s">
        <v>1388</v>
      </c>
      <c r="B3817" s="1" t="s">
        <v>2766</v>
      </c>
      <c r="C3817" s="1" t="s">
        <v>863</v>
      </c>
      <c r="D3817" s="3">
        <f>VALUE("7619")</f>
        <v>7619</v>
      </c>
      <c r="E3817" s="2">
        <f>DATEVALUE("1-9-2014")</f>
        <v>41883</v>
      </c>
      <c r="F3817" s="2">
        <f>DATEVALUE("31-12-2014")</f>
        <v>42004</v>
      </c>
    </row>
    <row r="3818" spans="1:6" x14ac:dyDescent="0.25">
      <c r="A3818" s="1" t="s">
        <v>1388</v>
      </c>
      <c r="B3818" s="1" t="s">
        <v>2705</v>
      </c>
      <c r="C3818" s="1" t="s">
        <v>41</v>
      </c>
      <c r="D3818" s="3">
        <f t="shared" ref="D3818:D3832" si="575">VALUE("7433")</f>
        <v>7433</v>
      </c>
      <c r="E3818" s="2">
        <f t="shared" ref="E3818:E3832" si="576">DATEVALUE("1-4-2013")</f>
        <v>41365</v>
      </c>
      <c r="F3818" s="2">
        <f t="shared" ref="F3818:F3832" si="577">DATEVALUE("28-2-2014")</f>
        <v>41698</v>
      </c>
    </row>
    <row r="3819" spans="1:6" x14ac:dyDescent="0.25">
      <c r="A3819" s="1" t="s">
        <v>1388</v>
      </c>
      <c r="B3819" s="1" t="s">
        <v>2705</v>
      </c>
      <c r="C3819" s="1" t="s">
        <v>66</v>
      </c>
      <c r="D3819" s="3">
        <f t="shared" si="575"/>
        <v>7433</v>
      </c>
      <c r="E3819" s="2">
        <f t="shared" si="576"/>
        <v>41365</v>
      </c>
      <c r="F3819" s="2">
        <f t="shared" si="577"/>
        <v>41698</v>
      </c>
    </row>
    <row r="3820" spans="1:6" x14ac:dyDescent="0.25">
      <c r="A3820" s="1" t="s">
        <v>1388</v>
      </c>
      <c r="B3820" s="1" t="s">
        <v>2705</v>
      </c>
      <c r="C3820" s="1" t="s">
        <v>15</v>
      </c>
      <c r="D3820" s="3">
        <f t="shared" si="575"/>
        <v>7433</v>
      </c>
      <c r="E3820" s="2">
        <f t="shared" si="576"/>
        <v>41365</v>
      </c>
      <c r="F3820" s="2">
        <f t="shared" si="577"/>
        <v>41698</v>
      </c>
    </row>
    <row r="3821" spans="1:6" x14ac:dyDescent="0.25">
      <c r="A3821" s="1" t="s">
        <v>1388</v>
      </c>
      <c r="B3821" s="1" t="s">
        <v>2705</v>
      </c>
      <c r="C3821" s="1" t="s">
        <v>17</v>
      </c>
      <c r="D3821" s="3">
        <f t="shared" si="575"/>
        <v>7433</v>
      </c>
      <c r="E3821" s="2">
        <f t="shared" si="576"/>
        <v>41365</v>
      </c>
      <c r="F3821" s="2">
        <f t="shared" si="577"/>
        <v>41698</v>
      </c>
    </row>
    <row r="3822" spans="1:6" x14ac:dyDescent="0.25">
      <c r="A3822" s="1" t="s">
        <v>1388</v>
      </c>
      <c r="B3822" s="1" t="s">
        <v>2705</v>
      </c>
      <c r="C3822" s="1" t="s">
        <v>329</v>
      </c>
      <c r="D3822" s="3">
        <f t="shared" si="575"/>
        <v>7433</v>
      </c>
      <c r="E3822" s="2">
        <f t="shared" si="576"/>
        <v>41365</v>
      </c>
      <c r="F3822" s="2">
        <f t="shared" si="577"/>
        <v>41698</v>
      </c>
    </row>
    <row r="3823" spans="1:6" x14ac:dyDescent="0.25">
      <c r="A3823" s="1" t="s">
        <v>1388</v>
      </c>
      <c r="B3823" s="1" t="s">
        <v>2705</v>
      </c>
      <c r="C3823" s="1" t="s">
        <v>69</v>
      </c>
      <c r="D3823" s="3">
        <f t="shared" si="575"/>
        <v>7433</v>
      </c>
      <c r="E3823" s="2">
        <f t="shared" si="576"/>
        <v>41365</v>
      </c>
      <c r="F3823" s="2">
        <f t="shared" si="577"/>
        <v>41698</v>
      </c>
    </row>
    <row r="3824" spans="1:6" x14ac:dyDescent="0.25">
      <c r="A3824" s="1" t="s">
        <v>1388</v>
      </c>
      <c r="B3824" s="1" t="s">
        <v>2705</v>
      </c>
      <c r="C3824" s="1" t="s">
        <v>475</v>
      </c>
      <c r="D3824" s="3">
        <f t="shared" si="575"/>
        <v>7433</v>
      </c>
      <c r="E3824" s="2">
        <f t="shared" si="576"/>
        <v>41365</v>
      </c>
      <c r="F3824" s="2">
        <f t="shared" si="577"/>
        <v>41698</v>
      </c>
    </row>
    <row r="3825" spans="1:6" x14ac:dyDescent="0.25">
      <c r="A3825" s="1" t="s">
        <v>1388</v>
      </c>
      <c r="B3825" s="1" t="s">
        <v>2705</v>
      </c>
      <c r="C3825" s="1" t="s">
        <v>98</v>
      </c>
      <c r="D3825" s="3">
        <f t="shared" si="575"/>
        <v>7433</v>
      </c>
      <c r="E3825" s="2">
        <f t="shared" si="576"/>
        <v>41365</v>
      </c>
      <c r="F3825" s="2">
        <f t="shared" si="577"/>
        <v>41698</v>
      </c>
    </row>
    <row r="3826" spans="1:6" x14ac:dyDescent="0.25">
      <c r="A3826" s="1" t="s">
        <v>1388</v>
      </c>
      <c r="B3826" s="1" t="s">
        <v>2705</v>
      </c>
      <c r="C3826" s="1" t="s">
        <v>420</v>
      </c>
      <c r="D3826" s="3">
        <f t="shared" si="575"/>
        <v>7433</v>
      </c>
      <c r="E3826" s="2">
        <f t="shared" si="576"/>
        <v>41365</v>
      </c>
      <c r="F3826" s="2">
        <f t="shared" si="577"/>
        <v>41698</v>
      </c>
    </row>
    <row r="3827" spans="1:6" x14ac:dyDescent="0.25">
      <c r="A3827" s="1" t="s">
        <v>1388</v>
      </c>
      <c r="B3827" s="1" t="s">
        <v>2705</v>
      </c>
      <c r="C3827" s="1" t="s">
        <v>99</v>
      </c>
      <c r="D3827" s="3">
        <f t="shared" si="575"/>
        <v>7433</v>
      </c>
      <c r="E3827" s="2">
        <f t="shared" si="576"/>
        <v>41365</v>
      </c>
      <c r="F3827" s="2">
        <f t="shared" si="577"/>
        <v>41698</v>
      </c>
    </row>
    <row r="3828" spans="1:6" x14ac:dyDescent="0.25">
      <c r="A3828" s="1" t="s">
        <v>1388</v>
      </c>
      <c r="B3828" s="1" t="s">
        <v>2705</v>
      </c>
      <c r="C3828" s="1" t="s">
        <v>27</v>
      </c>
      <c r="D3828" s="3">
        <f t="shared" si="575"/>
        <v>7433</v>
      </c>
      <c r="E3828" s="2">
        <f t="shared" si="576"/>
        <v>41365</v>
      </c>
      <c r="F3828" s="2">
        <f t="shared" si="577"/>
        <v>41698</v>
      </c>
    </row>
    <row r="3829" spans="1:6" x14ac:dyDescent="0.25">
      <c r="A3829" s="1" t="s">
        <v>1388</v>
      </c>
      <c r="B3829" s="1" t="s">
        <v>2705</v>
      </c>
      <c r="C3829" s="1" t="s">
        <v>262</v>
      </c>
      <c r="D3829" s="3">
        <f t="shared" si="575"/>
        <v>7433</v>
      </c>
      <c r="E3829" s="2">
        <f t="shared" si="576"/>
        <v>41365</v>
      </c>
      <c r="F3829" s="2">
        <f t="shared" si="577"/>
        <v>41698</v>
      </c>
    </row>
    <row r="3830" spans="1:6" x14ac:dyDescent="0.25">
      <c r="A3830" s="1" t="s">
        <v>1388</v>
      </c>
      <c r="B3830" s="1" t="s">
        <v>2705</v>
      </c>
      <c r="C3830" s="1" t="s">
        <v>497</v>
      </c>
      <c r="D3830" s="3">
        <f t="shared" si="575"/>
        <v>7433</v>
      </c>
      <c r="E3830" s="2">
        <f t="shared" si="576"/>
        <v>41365</v>
      </c>
      <c r="F3830" s="2">
        <f t="shared" si="577"/>
        <v>41698</v>
      </c>
    </row>
    <row r="3831" spans="1:6" x14ac:dyDescent="0.25">
      <c r="A3831" s="1" t="s">
        <v>1388</v>
      </c>
      <c r="B3831" s="1" t="s">
        <v>2705</v>
      </c>
      <c r="C3831" s="1" t="s">
        <v>392</v>
      </c>
      <c r="D3831" s="3">
        <f t="shared" si="575"/>
        <v>7433</v>
      </c>
      <c r="E3831" s="2">
        <f t="shared" si="576"/>
        <v>41365</v>
      </c>
      <c r="F3831" s="2">
        <f t="shared" si="577"/>
        <v>41698</v>
      </c>
    </row>
    <row r="3832" spans="1:6" x14ac:dyDescent="0.25">
      <c r="A3832" s="1" t="s">
        <v>1388</v>
      </c>
      <c r="B3832" s="1" t="s">
        <v>2705</v>
      </c>
      <c r="C3832" s="1" t="s">
        <v>173</v>
      </c>
      <c r="D3832" s="3">
        <f t="shared" si="575"/>
        <v>7433</v>
      </c>
      <c r="E3832" s="2">
        <f t="shared" si="576"/>
        <v>41365</v>
      </c>
      <c r="F3832" s="2">
        <f t="shared" si="577"/>
        <v>41698</v>
      </c>
    </row>
    <row r="3833" spans="1:6" x14ac:dyDescent="0.25">
      <c r="A3833" s="1" t="s">
        <v>2473</v>
      </c>
      <c r="B3833" s="1" t="s">
        <v>2472</v>
      </c>
      <c r="C3833" s="1" t="s">
        <v>2474</v>
      </c>
      <c r="D3833" s="3">
        <f t="shared" ref="D3833:D3854" si="578">VALUE("8644")</f>
        <v>8644</v>
      </c>
      <c r="E3833" s="2">
        <f t="shared" ref="E3833:E3854" si="579">DATEVALUE("1-11-2019")</f>
        <v>43770</v>
      </c>
      <c r="F3833" s="2">
        <f t="shared" ref="F3833:F3854" si="580">DATEVALUE("29-2-2020")</f>
        <v>43890</v>
      </c>
    </row>
    <row r="3834" spans="1:6" x14ac:dyDescent="0.25">
      <c r="A3834" s="1" t="s">
        <v>2473</v>
      </c>
      <c r="B3834" s="1" t="s">
        <v>2472</v>
      </c>
      <c r="C3834" s="1" t="s">
        <v>2475</v>
      </c>
      <c r="D3834" s="3">
        <f t="shared" si="578"/>
        <v>8644</v>
      </c>
      <c r="E3834" s="2">
        <f t="shared" si="579"/>
        <v>43770</v>
      </c>
      <c r="F3834" s="2">
        <f t="shared" si="580"/>
        <v>43890</v>
      </c>
    </row>
    <row r="3835" spans="1:6" x14ac:dyDescent="0.25">
      <c r="A3835" s="1" t="s">
        <v>2473</v>
      </c>
      <c r="B3835" s="1" t="s">
        <v>2472</v>
      </c>
      <c r="C3835" s="1" t="s">
        <v>2476</v>
      </c>
      <c r="D3835" s="3">
        <f t="shared" si="578"/>
        <v>8644</v>
      </c>
      <c r="E3835" s="2">
        <f t="shared" si="579"/>
        <v>43770</v>
      </c>
      <c r="F3835" s="2">
        <f t="shared" si="580"/>
        <v>43890</v>
      </c>
    </row>
    <row r="3836" spans="1:6" x14ac:dyDescent="0.25">
      <c r="A3836" s="1" t="s">
        <v>2473</v>
      </c>
      <c r="B3836" s="1" t="s">
        <v>2472</v>
      </c>
      <c r="C3836" s="1" t="s">
        <v>14</v>
      </c>
      <c r="D3836" s="3">
        <f t="shared" si="578"/>
        <v>8644</v>
      </c>
      <c r="E3836" s="2">
        <f t="shared" si="579"/>
        <v>43770</v>
      </c>
      <c r="F3836" s="2">
        <f t="shared" si="580"/>
        <v>43890</v>
      </c>
    </row>
    <row r="3837" spans="1:6" x14ac:dyDescent="0.25">
      <c r="A3837" s="1" t="s">
        <v>2473</v>
      </c>
      <c r="B3837" s="1" t="s">
        <v>2472</v>
      </c>
      <c r="C3837" s="1" t="s">
        <v>17</v>
      </c>
      <c r="D3837" s="3">
        <f t="shared" si="578"/>
        <v>8644</v>
      </c>
      <c r="E3837" s="2">
        <f t="shared" si="579"/>
        <v>43770</v>
      </c>
      <c r="F3837" s="2">
        <f t="shared" si="580"/>
        <v>43890</v>
      </c>
    </row>
    <row r="3838" spans="1:6" x14ac:dyDescent="0.25">
      <c r="A3838" s="1" t="s">
        <v>2473</v>
      </c>
      <c r="B3838" s="1" t="s">
        <v>2472</v>
      </c>
      <c r="C3838" s="1" t="s">
        <v>127</v>
      </c>
      <c r="D3838" s="3">
        <f t="shared" si="578"/>
        <v>8644</v>
      </c>
      <c r="E3838" s="2">
        <f t="shared" si="579"/>
        <v>43770</v>
      </c>
      <c r="F3838" s="2">
        <f t="shared" si="580"/>
        <v>43890</v>
      </c>
    </row>
    <row r="3839" spans="1:6" x14ac:dyDescent="0.25">
      <c r="A3839" s="1" t="s">
        <v>2473</v>
      </c>
      <c r="B3839" s="1" t="s">
        <v>2472</v>
      </c>
      <c r="C3839" s="1" t="s">
        <v>167</v>
      </c>
      <c r="D3839" s="3">
        <f t="shared" si="578"/>
        <v>8644</v>
      </c>
      <c r="E3839" s="2">
        <f t="shared" si="579"/>
        <v>43770</v>
      </c>
      <c r="F3839" s="2">
        <f t="shared" si="580"/>
        <v>43890</v>
      </c>
    </row>
    <row r="3840" spans="1:6" x14ac:dyDescent="0.25">
      <c r="A3840" s="1" t="s">
        <v>2473</v>
      </c>
      <c r="B3840" s="1" t="s">
        <v>2472</v>
      </c>
      <c r="C3840" s="1" t="s">
        <v>168</v>
      </c>
      <c r="D3840" s="3">
        <f t="shared" si="578"/>
        <v>8644</v>
      </c>
      <c r="E3840" s="2">
        <f t="shared" si="579"/>
        <v>43770</v>
      </c>
      <c r="F3840" s="2">
        <f t="shared" si="580"/>
        <v>43890</v>
      </c>
    </row>
    <row r="3841" spans="1:6" x14ac:dyDescent="0.25">
      <c r="A3841" s="1" t="s">
        <v>2473</v>
      </c>
      <c r="B3841" s="1" t="s">
        <v>2472</v>
      </c>
      <c r="C3841" s="1" t="s">
        <v>499</v>
      </c>
      <c r="D3841" s="3">
        <f t="shared" si="578"/>
        <v>8644</v>
      </c>
      <c r="E3841" s="2">
        <f t="shared" si="579"/>
        <v>43770</v>
      </c>
      <c r="F3841" s="2">
        <f t="shared" si="580"/>
        <v>43890</v>
      </c>
    </row>
    <row r="3842" spans="1:6" x14ac:dyDescent="0.25">
      <c r="A3842" s="1" t="s">
        <v>2473</v>
      </c>
      <c r="B3842" s="1" t="s">
        <v>2472</v>
      </c>
      <c r="C3842" s="1" t="s">
        <v>500</v>
      </c>
      <c r="D3842" s="3">
        <f t="shared" si="578"/>
        <v>8644</v>
      </c>
      <c r="E3842" s="2">
        <f t="shared" si="579"/>
        <v>43770</v>
      </c>
      <c r="F3842" s="2">
        <f t="shared" si="580"/>
        <v>43890</v>
      </c>
    </row>
    <row r="3843" spans="1:6" x14ac:dyDescent="0.25">
      <c r="A3843" s="1" t="s">
        <v>2473</v>
      </c>
      <c r="B3843" s="1" t="s">
        <v>2472</v>
      </c>
      <c r="C3843" s="1" t="s">
        <v>501</v>
      </c>
      <c r="D3843" s="3">
        <f t="shared" si="578"/>
        <v>8644</v>
      </c>
      <c r="E3843" s="2">
        <f t="shared" si="579"/>
        <v>43770</v>
      </c>
      <c r="F3843" s="2">
        <f t="shared" si="580"/>
        <v>43890</v>
      </c>
    </row>
    <row r="3844" spans="1:6" x14ac:dyDescent="0.25">
      <c r="A3844" s="1" t="s">
        <v>2473</v>
      </c>
      <c r="B3844" s="1" t="s">
        <v>2472</v>
      </c>
      <c r="C3844" s="1" t="s">
        <v>22</v>
      </c>
      <c r="D3844" s="3">
        <f t="shared" si="578"/>
        <v>8644</v>
      </c>
      <c r="E3844" s="2">
        <f t="shared" si="579"/>
        <v>43770</v>
      </c>
      <c r="F3844" s="2">
        <f t="shared" si="580"/>
        <v>43890</v>
      </c>
    </row>
    <row r="3845" spans="1:6" x14ac:dyDescent="0.25">
      <c r="A3845" s="1" t="s">
        <v>2473</v>
      </c>
      <c r="B3845" s="1" t="s">
        <v>2472</v>
      </c>
      <c r="C3845" s="1" t="s">
        <v>67</v>
      </c>
      <c r="D3845" s="3">
        <f t="shared" si="578"/>
        <v>8644</v>
      </c>
      <c r="E3845" s="2">
        <f t="shared" si="579"/>
        <v>43770</v>
      </c>
      <c r="F3845" s="2">
        <f t="shared" si="580"/>
        <v>43890</v>
      </c>
    </row>
    <row r="3846" spans="1:6" x14ac:dyDescent="0.25">
      <c r="A3846" s="1" t="s">
        <v>2473</v>
      </c>
      <c r="B3846" s="1" t="s">
        <v>2472</v>
      </c>
      <c r="C3846" s="1" t="s">
        <v>2477</v>
      </c>
      <c r="D3846" s="3">
        <f t="shared" si="578"/>
        <v>8644</v>
      </c>
      <c r="E3846" s="2">
        <f t="shared" si="579"/>
        <v>43770</v>
      </c>
      <c r="F3846" s="2">
        <f t="shared" si="580"/>
        <v>43890</v>
      </c>
    </row>
    <row r="3847" spans="1:6" x14ac:dyDescent="0.25">
      <c r="A3847" s="1" t="s">
        <v>2473</v>
      </c>
      <c r="B3847" s="1" t="s">
        <v>2472</v>
      </c>
      <c r="C3847" s="1" t="s">
        <v>2478</v>
      </c>
      <c r="D3847" s="3">
        <f t="shared" si="578"/>
        <v>8644</v>
      </c>
      <c r="E3847" s="2">
        <f t="shared" si="579"/>
        <v>43770</v>
      </c>
      <c r="F3847" s="2">
        <f t="shared" si="580"/>
        <v>43890</v>
      </c>
    </row>
    <row r="3848" spans="1:6" x14ac:dyDescent="0.25">
      <c r="A3848" s="1" t="s">
        <v>2473</v>
      </c>
      <c r="B3848" s="1" t="s">
        <v>2472</v>
      </c>
      <c r="C3848" s="1" t="s">
        <v>2479</v>
      </c>
      <c r="D3848" s="3">
        <f t="shared" si="578"/>
        <v>8644</v>
      </c>
      <c r="E3848" s="2">
        <f t="shared" si="579"/>
        <v>43770</v>
      </c>
      <c r="F3848" s="2">
        <f t="shared" si="580"/>
        <v>43890</v>
      </c>
    </row>
    <row r="3849" spans="1:6" x14ac:dyDescent="0.25">
      <c r="A3849" s="1" t="s">
        <v>2473</v>
      </c>
      <c r="B3849" s="1" t="s">
        <v>2472</v>
      </c>
      <c r="C3849" s="1" t="s">
        <v>94</v>
      </c>
      <c r="D3849" s="3">
        <f t="shared" si="578"/>
        <v>8644</v>
      </c>
      <c r="E3849" s="2">
        <f t="shared" si="579"/>
        <v>43770</v>
      </c>
      <c r="F3849" s="2">
        <f t="shared" si="580"/>
        <v>43890</v>
      </c>
    </row>
    <row r="3850" spans="1:6" x14ac:dyDescent="0.25">
      <c r="A3850" s="1" t="s">
        <v>2473</v>
      </c>
      <c r="B3850" s="1" t="s">
        <v>2472</v>
      </c>
      <c r="C3850" s="1" t="s">
        <v>571</v>
      </c>
      <c r="D3850" s="3">
        <f t="shared" si="578"/>
        <v>8644</v>
      </c>
      <c r="E3850" s="2">
        <f t="shared" si="579"/>
        <v>43770</v>
      </c>
      <c r="F3850" s="2">
        <f t="shared" si="580"/>
        <v>43890</v>
      </c>
    </row>
    <row r="3851" spans="1:6" x14ac:dyDescent="0.25">
      <c r="A3851" s="1" t="s">
        <v>2473</v>
      </c>
      <c r="B3851" s="1" t="s">
        <v>2472</v>
      </c>
      <c r="C3851" s="1" t="s">
        <v>1241</v>
      </c>
      <c r="D3851" s="3">
        <f t="shared" si="578"/>
        <v>8644</v>
      </c>
      <c r="E3851" s="2">
        <f t="shared" si="579"/>
        <v>43770</v>
      </c>
      <c r="F3851" s="2">
        <f t="shared" si="580"/>
        <v>43890</v>
      </c>
    </row>
    <row r="3852" spans="1:6" x14ac:dyDescent="0.25">
      <c r="A3852" s="1" t="s">
        <v>2473</v>
      </c>
      <c r="B3852" s="1" t="s">
        <v>2472</v>
      </c>
      <c r="C3852" s="1" t="s">
        <v>34</v>
      </c>
      <c r="D3852" s="3">
        <f t="shared" si="578"/>
        <v>8644</v>
      </c>
      <c r="E3852" s="2">
        <f t="shared" si="579"/>
        <v>43770</v>
      </c>
      <c r="F3852" s="2">
        <f t="shared" si="580"/>
        <v>43890</v>
      </c>
    </row>
    <row r="3853" spans="1:6" x14ac:dyDescent="0.25">
      <c r="A3853" s="1" t="s">
        <v>2473</v>
      </c>
      <c r="B3853" s="1" t="s">
        <v>2472</v>
      </c>
      <c r="C3853" s="1" t="s">
        <v>55</v>
      </c>
      <c r="D3853" s="3">
        <f t="shared" si="578"/>
        <v>8644</v>
      </c>
      <c r="E3853" s="2">
        <f t="shared" si="579"/>
        <v>43770</v>
      </c>
      <c r="F3853" s="2">
        <f t="shared" si="580"/>
        <v>43890</v>
      </c>
    </row>
    <row r="3854" spans="1:6" x14ac:dyDescent="0.25">
      <c r="A3854" s="1" t="s">
        <v>2473</v>
      </c>
      <c r="B3854" s="1" t="s">
        <v>2472</v>
      </c>
      <c r="C3854" s="1" t="s">
        <v>131</v>
      </c>
      <c r="D3854" s="3">
        <f t="shared" si="578"/>
        <v>8644</v>
      </c>
      <c r="E3854" s="2">
        <f t="shared" si="579"/>
        <v>43770</v>
      </c>
      <c r="F3854" s="2">
        <f t="shared" si="580"/>
        <v>43890</v>
      </c>
    </row>
    <row r="3855" spans="1:6" x14ac:dyDescent="0.25">
      <c r="A3855" s="1" t="s">
        <v>77</v>
      </c>
      <c r="B3855" s="1" t="s">
        <v>1582</v>
      </c>
      <c r="C3855" s="1" t="s">
        <v>7</v>
      </c>
      <c r="D3855" s="3">
        <f t="shared" ref="D3855:D3862" si="581">VALUE("8764")</f>
        <v>8764</v>
      </c>
      <c r="E3855" s="2">
        <f t="shared" ref="E3855:E3862" si="582">DATEVALUE("1-8-2020")</f>
        <v>44044</v>
      </c>
      <c r="F3855" s="2">
        <f t="shared" ref="F3855:F3862" si="583">DATEVALUE("31-1-2022")</f>
        <v>44592</v>
      </c>
    </row>
    <row r="3856" spans="1:6" x14ac:dyDescent="0.25">
      <c r="A3856" s="1" t="s">
        <v>77</v>
      </c>
      <c r="B3856" s="1" t="s">
        <v>1582</v>
      </c>
      <c r="C3856" s="1" t="s">
        <v>8</v>
      </c>
      <c r="D3856" s="3">
        <f t="shared" si="581"/>
        <v>8764</v>
      </c>
      <c r="E3856" s="2">
        <f t="shared" si="582"/>
        <v>44044</v>
      </c>
      <c r="F3856" s="2">
        <f t="shared" si="583"/>
        <v>44592</v>
      </c>
    </row>
    <row r="3857" spans="1:6" x14ac:dyDescent="0.25">
      <c r="A3857" s="1" t="s">
        <v>77</v>
      </c>
      <c r="B3857" s="1" t="s">
        <v>1582</v>
      </c>
      <c r="C3857" s="1" t="s">
        <v>10</v>
      </c>
      <c r="D3857" s="3">
        <f t="shared" si="581"/>
        <v>8764</v>
      </c>
      <c r="E3857" s="2">
        <f t="shared" si="582"/>
        <v>44044</v>
      </c>
      <c r="F3857" s="2">
        <f t="shared" si="583"/>
        <v>44592</v>
      </c>
    </row>
    <row r="3858" spans="1:6" x14ac:dyDescent="0.25">
      <c r="A3858" s="1" t="s">
        <v>77</v>
      </c>
      <c r="B3858" s="1" t="s">
        <v>1582</v>
      </c>
      <c r="C3858" s="1" t="s">
        <v>399</v>
      </c>
      <c r="D3858" s="3">
        <f t="shared" si="581"/>
        <v>8764</v>
      </c>
      <c r="E3858" s="2">
        <f t="shared" si="582"/>
        <v>44044</v>
      </c>
      <c r="F3858" s="2">
        <f t="shared" si="583"/>
        <v>44592</v>
      </c>
    </row>
    <row r="3859" spans="1:6" x14ac:dyDescent="0.25">
      <c r="A3859" s="1" t="s">
        <v>77</v>
      </c>
      <c r="B3859" s="1" t="s">
        <v>1582</v>
      </c>
      <c r="C3859" s="1" t="s">
        <v>17</v>
      </c>
      <c r="D3859" s="3">
        <f t="shared" si="581"/>
        <v>8764</v>
      </c>
      <c r="E3859" s="2">
        <f t="shared" si="582"/>
        <v>44044</v>
      </c>
      <c r="F3859" s="2">
        <f t="shared" si="583"/>
        <v>44592</v>
      </c>
    </row>
    <row r="3860" spans="1:6" x14ac:dyDescent="0.25">
      <c r="A3860" s="1" t="s">
        <v>77</v>
      </c>
      <c r="B3860" s="1" t="s">
        <v>1582</v>
      </c>
      <c r="C3860" s="1" t="s">
        <v>400</v>
      </c>
      <c r="D3860" s="3">
        <f t="shared" si="581"/>
        <v>8764</v>
      </c>
      <c r="E3860" s="2">
        <f t="shared" si="582"/>
        <v>44044</v>
      </c>
      <c r="F3860" s="2">
        <f t="shared" si="583"/>
        <v>44592</v>
      </c>
    </row>
    <row r="3861" spans="1:6" x14ac:dyDescent="0.25">
      <c r="A3861" s="1" t="s">
        <v>77</v>
      </c>
      <c r="B3861" s="1" t="s">
        <v>1582</v>
      </c>
      <c r="C3861" s="1" t="s">
        <v>299</v>
      </c>
      <c r="D3861" s="3">
        <f t="shared" si="581"/>
        <v>8764</v>
      </c>
      <c r="E3861" s="2">
        <f t="shared" si="582"/>
        <v>44044</v>
      </c>
      <c r="F3861" s="2">
        <f t="shared" si="583"/>
        <v>44592</v>
      </c>
    </row>
    <row r="3862" spans="1:6" x14ac:dyDescent="0.25">
      <c r="A3862" s="1" t="s">
        <v>77</v>
      </c>
      <c r="B3862" s="1" t="s">
        <v>1582</v>
      </c>
      <c r="C3862" s="1" t="s">
        <v>160</v>
      </c>
      <c r="D3862" s="3">
        <f t="shared" si="581"/>
        <v>8764</v>
      </c>
      <c r="E3862" s="2">
        <f t="shared" si="582"/>
        <v>44044</v>
      </c>
      <c r="F3862" s="2">
        <f t="shared" si="583"/>
        <v>44592</v>
      </c>
    </row>
    <row r="3863" spans="1:6" x14ac:dyDescent="0.25">
      <c r="A3863" s="1" t="s">
        <v>77</v>
      </c>
      <c r="B3863" s="1" t="s">
        <v>1584</v>
      </c>
      <c r="C3863" s="1" t="s">
        <v>8</v>
      </c>
      <c r="D3863" s="3">
        <f t="shared" ref="D3863:D3886" si="584">VALUE("8770")</f>
        <v>8770</v>
      </c>
      <c r="E3863" s="2">
        <f t="shared" ref="E3863:E3886" si="585">DATEVALUE("1-7-2020")</f>
        <v>44013</v>
      </c>
      <c r="F3863" s="2">
        <f t="shared" ref="F3863:F3886" si="586">DATEVALUE("30-6-2021")</f>
        <v>44377</v>
      </c>
    </row>
    <row r="3864" spans="1:6" x14ac:dyDescent="0.25">
      <c r="A3864" s="1" t="s">
        <v>77</v>
      </c>
      <c r="B3864" s="1" t="s">
        <v>1584</v>
      </c>
      <c r="C3864" s="1" t="s">
        <v>10</v>
      </c>
      <c r="D3864" s="3">
        <f t="shared" si="584"/>
        <v>8770</v>
      </c>
      <c r="E3864" s="2">
        <f t="shared" si="585"/>
        <v>44013</v>
      </c>
      <c r="F3864" s="2">
        <f t="shared" si="586"/>
        <v>44377</v>
      </c>
    </row>
    <row r="3865" spans="1:6" x14ac:dyDescent="0.25">
      <c r="A3865" s="1" t="s">
        <v>77</v>
      </c>
      <c r="B3865" s="1" t="s">
        <v>1584</v>
      </c>
      <c r="C3865" s="1" t="s">
        <v>61</v>
      </c>
      <c r="D3865" s="3">
        <f t="shared" si="584"/>
        <v>8770</v>
      </c>
      <c r="E3865" s="2">
        <f t="shared" si="585"/>
        <v>44013</v>
      </c>
      <c r="F3865" s="2">
        <f t="shared" si="586"/>
        <v>44377</v>
      </c>
    </row>
    <row r="3866" spans="1:6" x14ac:dyDescent="0.25">
      <c r="A3866" s="1" t="s">
        <v>77</v>
      </c>
      <c r="B3866" s="1" t="s">
        <v>1584</v>
      </c>
      <c r="C3866" s="1" t="s">
        <v>14</v>
      </c>
      <c r="D3866" s="3">
        <f t="shared" si="584"/>
        <v>8770</v>
      </c>
      <c r="E3866" s="2">
        <f t="shared" si="585"/>
        <v>44013</v>
      </c>
      <c r="F3866" s="2">
        <f t="shared" si="586"/>
        <v>44377</v>
      </c>
    </row>
    <row r="3867" spans="1:6" x14ac:dyDescent="0.25">
      <c r="A3867" s="1" t="s">
        <v>77</v>
      </c>
      <c r="B3867" s="1" t="s">
        <v>1584</v>
      </c>
      <c r="C3867" s="1" t="s">
        <v>15</v>
      </c>
      <c r="D3867" s="3">
        <f t="shared" si="584"/>
        <v>8770</v>
      </c>
      <c r="E3867" s="2">
        <f t="shared" si="585"/>
        <v>44013</v>
      </c>
      <c r="F3867" s="2">
        <f t="shared" si="586"/>
        <v>44377</v>
      </c>
    </row>
    <row r="3868" spans="1:6" x14ac:dyDescent="0.25">
      <c r="A3868" s="1" t="s">
        <v>77</v>
      </c>
      <c r="B3868" s="1" t="s">
        <v>1584</v>
      </c>
      <c r="C3868" s="1" t="s">
        <v>290</v>
      </c>
      <c r="D3868" s="3">
        <f t="shared" si="584"/>
        <v>8770</v>
      </c>
      <c r="E3868" s="2">
        <f t="shared" si="585"/>
        <v>44013</v>
      </c>
      <c r="F3868" s="2">
        <f t="shared" si="586"/>
        <v>44377</v>
      </c>
    </row>
    <row r="3869" spans="1:6" x14ac:dyDescent="0.25">
      <c r="A3869" s="1" t="s">
        <v>77</v>
      </c>
      <c r="B3869" s="1" t="s">
        <v>1584</v>
      </c>
      <c r="C3869" s="1" t="s">
        <v>17</v>
      </c>
      <c r="D3869" s="3">
        <f t="shared" si="584"/>
        <v>8770</v>
      </c>
      <c r="E3869" s="2">
        <f t="shared" si="585"/>
        <v>44013</v>
      </c>
      <c r="F3869" s="2">
        <f t="shared" si="586"/>
        <v>44377</v>
      </c>
    </row>
    <row r="3870" spans="1:6" x14ac:dyDescent="0.25">
      <c r="A3870" s="1" t="s">
        <v>77</v>
      </c>
      <c r="B3870" s="1" t="s">
        <v>1584</v>
      </c>
      <c r="C3870" s="1" t="s">
        <v>488</v>
      </c>
      <c r="D3870" s="3">
        <f t="shared" si="584"/>
        <v>8770</v>
      </c>
      <c r="E3870" s="2">
        <f t="shared" si="585"/>
        <v>44013</v>
      </c>
      <c r="F3870" s="2">
        <f t="shared" si="586"/>
        <v>44377</v>
      </c>
    </row>
    <row r="3871" spans="1:6" x14ac:dyDescent="0.25">
      <c r="A3871" s="1" t="s">
        <v>77</v>
      </c>
      <c r="B3871" s="1" t="s">
        <v>1584</v>
      </c>
      <c r="C3871" s="1" t="s">
        <v>22</v>
      </c>
      <c r="D3871" s="3">
        <f t="shared" si="584"/>
        <v>8770</v>
      </c>
      <c r="E3871" s="2">
        <f t="shared" si="585"/>
        <v>44013</v>
      </c>
      <c r="F3871" s="2">
        <f t="shared" si="586"/>
        <v>44377</v>
      </c>
    </row>
    <row r="3872" spans="1:6" x14ac:dyDescent="0.25">
      <c r="A3872" s="1" t="s">
        <v>77</v>
      </c>
      <c r="B3872" s="1" t="s">
        <v>1584</v>
      </c>
      <c r="C3872" s="1" t="s">
        <v>155</v>
      </c>
      <c r="D3872" s="3">
        <f t="shared" si="584"/>
        <v>8770</v>
      </c>
      <c r="E3872" s="2">
        <f t="shared" si="585"/>
        <v>44013</v>
      </c>
      <c r="F3872" s="2">
        <f t="shared" si="586"/>
        <v>44377</v>
      </c>
    </row>
    <row r="3873" spans="1:6" x14ac:dyDescent="0.25">
      <c r="A3873" s="1" t="s">
        <v>77</v>
      </c>
      <c r="B3873" s="1" t="s">
        <v>1584</v>
      </c>
      <c r="C3873" s="1" t="s">
        <v>24</v>
      </c>
      <c r="D3873" s="3">
        <f t="shared" si="584"/>
        <v>8770</v>
      </c>
      <c r="E3873" s="2">
        <f t="shared" si="585"/>
        <v>44013</v>
      </c>
      <c r="F3873" s="2">
        <f t="shared" si="586"/>
        <v>44377</v>
      </c>
    </row>
    <row r="3874" spans="1:6" x14ac:dyDescent="0.25">
      <c r="A3874" s="1" t="s">
        <v>77</v>
      </c>
      <c r="B3874" s="1" t="s">
        <v>1584</v>
      </c>
      <c r="C3874" s="1" t="s">
        <v>293</v>
      </c>
      <c r="D3874" s="3">
        <f t="shared" si="584"/>
        <v>8770</v>
      </c>
      <c r="E3874" s="2">
        <f t="shared" si="585"/>
        <v>44013</v>
      </c>
      <c r="F3874" s="2">
        <f t="shared" si="586"/>
        <v>44377</v>
      </c>
    </row>
    <row r="3875" spans="1:6" x14ac:dyDescent="0.25">
      <c r="A3875" s="1" t="s">
        <v>77</v>
      </c>
      <c r="B3875" s="1" t="s">
        <v>1584</v>
      </c>
      <c r="C3875" s="1" t="s">
        <v>294</v>
      </c>
      <c r="D3875" s="3">
        <f t="shared" si="584"/>
        <v>8770</v>
      </c>
      <c r="E3875" s="2">
        <f t="shared" si="585"/>
        <v>44013</v>
      </c>
      <c r="F3875" s="2">
        <f t="shared" si="586"/>
        <v>44377</v>
      </c>
    </row>
    <row r="3876" spans="1:6" x14ac:dyDescent="0.25">
      <c r="A3876" s="1" t="s">
        <v>77</v>
      </c>
      <c r="B3876" s="1" t="s">
        <v>1584</v>
      </c>
      <c r="C3876" s="1" t="s">
        <v>296</v>
      </c>
      <c r="D3876" s="3">
        <f t="shared" si="584"/>
        <v>8770</v>
      </c>
      <c r="E3876" s="2">
        <f t="shared" si="585"/>
        <v>44013</v>
      </c>
      <c r="F3876" s="2">
        <f t="shared" si="586"/>
        <v>44377</v>
      </c>
    </row>
    <row r="3877" spans="1:6" x14ac:dyDescent="0.25">
      <c r="A3877" s="1" t="s">
        <v>77</v>
      </c>
      <c r="B3877" s="1" t="s">
        <v>1584</v>
      </c>
      <c r="C3877" s="1" t="s">
        <v>297</v>
      </c>
      <c r="D3877" s="3">
        <f t="shared" si="584"/>
        <v>8770</v>
      </c>
      <c r="E3877" s="2">
        <f t="shared" si="585"/>
        <v>44013</v>
      </c>
      <c r="F3877" s="2">
        <f t="shared" si="586"/>
        <v>44377</v>
      </c>
    </row>
    <row r="3878" spans="1:6" x14ac:dyDescent="0.25">
      <c r="A3878" s="1" t="s">
        <v>77</v>
      </c>
      <c r="B3878" s="1" t="s">
        <v>1584</v>
      </c>
      <c r="C3878" s="1" t="s">
        <v>298</v>
      </c>
      <c r="D3878" s="3">
        <f t="shared" si="584"/>
        <v>8770</v>
      </c>
      <c r="E3878" s="2">
        <f t="shared" si="585"/>
        <v>44013</v>
      </c>
      <c r="F3878" s="2">
        <f t="shared" si="586"/>
        <v>44377</v>
      </c>
    </row>
    <row r="3879" spans="1:6" x14ac:dyDescent="0.25">
      <c r="A3879" s="1" t="s">
        <v>77</v>
      </c>
      <c r="B3879" s="1" t="s">
        <v>1584</v>
      </c>
      <c r="C3879" s="1" t="s">
        <v>299</v>
      </c>
      <c r="D3879" s="3">
        <f t="shared" si="584"/>
        <v>8770</v>
      </c>
      <c r="E3879" s="2">
        <f t="shared" si="585"/>
        <v>44013</v>
      </c>
      <c r="F3879" s="2">
        <f t="shared" si="586"/>
        <v>44377</v>
      </c>
    </row>
    <row r="3880" spans="1:6" x14ac:dyDescent="0.25">
      <c r="A3880" s="1" t="s">
        <v>77</v>
      </c>
      <c r="B3880" s="1" t="s">
        <v>1584</v>
      </c>
      <c r="C3880" s="1" t="s">
        <v>300</v>
      </c>
      <c r="D3880" s="3">
        <f t="shared" si="584"/>
        <v>8770</v>
      </c>
      <c r="E3880" s="2">
        <f t="shared" si="585"/>
        <v>44013</v>
      </c>
      <c r="F3880" s="2">
        <f t="shared" si="586"/>
        <v>44377</v>
      </c>
    </row>
    <row r="3881" spans="1:6" x14ac:dyDescent="0.25">
      <c r="A3881" s="1" t="s">
        <v>77</v>
      </c>
      <c r="B3881" s="1" t="s">
        <v>1584</v>
      </c>
      <c r="C3881" s="1" t="s">
        <v>301</v>
      </c>
      <c r="D3881" s="3">
        <f t="shared" si="584"/>
        <v>8770</v>
      </c>
      <c r="E3881" s="2">
        <f t="shared" si="585"/>
        <v>44013</v>
      </c>
      <c r="F3881" s="2">
        <f t="shared" si="586"/>
        <v>44377</v>
      </c>
    </row>
    <row r="3882" spans="1:6" x14ac:dyDescent="0.25">
      <c r="A3882" s="1" t="s">
        <v>77</v>
      </c>
      <c r="B3882" s="1" t="s">
        <v>1584</v>
      </c>
      <c r="C3882" s="1" t="s">
        <v>302</v>
      </c>
      <c r="D3882" s="3">
        <f t="shared" si="584"/>
        <v>8770</v>
      </c>
      <c r="E3882" s="2">
        <f t="shared" si="585"/>
        <v>44013</v>
      </c>
      <c r="F3882" s="2">
        <f t="shared" si="586"/>
        <v>44377</v>
      </c>
    </row>
    <row r="3883" spans="1:6" x14ac:dyDescent="0.25">
      <c r="A3883" s="1" t="s">
        <v>77</v>
      </c>
      <c r="B3883" s="1" t="s">
        <v>1584</v>
      </c>
      <c r="C3883" s="1" t="s">
        <v>376</v>
      </c>
      <c r="D3883" s="3">
        <f t="shared" si="584"/>
        <v>8770</v>
      </c>
      <c r="E3883" s="2">
        <f t="shared" si="585"/>
        <v>44013</v>
      </c>
      <c r="F3883" s="2">
        <f t="shared" si="586"/>
        <v>44377</v>
      </c>
    </row>
    <row r="3884" spans="1:6" x14ac:dyDescent="0.25">
      <c r="A3884" s="1" t="s">
        <v>77</v>
      </c>
      <c r="B3884" s="1" t="s">
        <v>1584</v>
      </c>
      <c r="C3884" s="1" t="s">
        <v>402</v>
      </c>
      <c r="D3884" s="3">
        <f t="shared" si="584"/>
        <v>8770</v>
      </c>
      <c r="E3884" s="2">
        <f t="shared" si="585"/>
        <v>44013</v>
      </c>
      <c r="F3884" s="2">
        <f t="shared" si="586"/>
        <v>44377</v>
      </c>
    </row>
    <row r="3885" spans="1:6" x14ac:dyDescent="0.25">
      <c r="A3885" s="1" t="s">
        <v>77</v>
      </c>
      <c r="B3885" s="1" t="s">
        <v>1584</v>
      </c>
      <c r="C3885" s="1" t="s">
        <v>162</v>
      </c>
      <c r="D3885" s="3">
        <f t="shared" si="584"/>
        <v>8770</v>
      </c>
      <c r="E3885" s="2">
        <f t="shared" si="585"/>
        <v>44013</v>
      </c>
      <c r="F3885" s="2">
        <f t="shared" si="586"/>
        <v>44377</v>
      </c>
    </row>
    <row r="3886" spans="1:6" x14ac:dyDescent="0.25">
      <c r="A3886" s="1" t="s">
        <v>77</v>
      </c>
      <c r="B3886" s="1" t="s">
        <v>1584</v>
      </c>
      <c r="C3886" s="1" t="s">
        <v>34</v>
      </c>
      <c r="D3886" s="3">
        <f t="shared" si="584"/>
        <v>8770</v>
      </c>
      <c r="E3886" s="2">
        <f t="shared" si="585"/>
        <v>44013</v>
      </c>
      <c r="F3886" s="2">
        <f t="shared" si="586"/>
        <v>44377</v>
      </c>
    </row>
    <row r="3887" spans="1:6" x14ac:dyDescent="0.25">
      <c r="A3887" s="1" t="s">
        <v>77</v>
      </c>
      <c r="B3887" s="1" t="s">
        <v>891</v>
      </c>
      <c r="C3887" s="1" t="s">
        <v>7</v>
      </c>
      <c r="D3887" s="3">
        <f t="shared" ref="D3887:D3895" si="587">VALUE("8121")</f>
        <v>8121</v>
      </c>
      <c r="E3887" s="2">
        <f t="shared" ref="E3887:E3895" si="588">DATEVALUE("1-7-2019")</f>
        <v>43647</v>
      </c>
      <c r="F3887" s="2">
        <f t="shared" ref="F3887:F3895" si="589">DATEVALUE("30-4-2021")</f>
        <v>44316</v>
      </c>
    </row>
    <row r="3888" spans="1:6" x14ac:dyDescent="0.25">
      <c r="A3888" s="1" t="s">
        <v>77</v>
      </c>
      <c r="B3888" s="1" t="s">
        <v>891</v>
      </c>
      <c r="C3888" s="1" t="s">
        <v>599</v>
      </c>
      <c r="D3888" s="3">
        <f t="shared" si="587"/>
        <v>8121</v>
      </c>
      <c r="E3888" s="2">
        <f t="shared" si="588"/>
        <v>43647</v>
      </c>
      <c r="F3888" s="2">
        <f t="shared" si="589"/>
        <v>44316</v>
      </c>
    </row>
    <row r="3889" spans="1:6" x14ac:dyDescent="0.25">
      <c r="A3889" s="1" t="s">
        <v>77</v>
      </c>
      <c r="B3889" s="1" t="s">
        <v>891</v>
      </c>
      <c r="C3889" s="1" t="s">
        <v>17</v>
      </c>
      <c r="D3889" s="3">
        <f t="shared" si="587"/>
        <v>8121</v>
      </c>
      <c r="E3889" s="2">
        <f t="shared" si="588"/>
        <v>43647</v>
      </c>
      <c r="F3889" s="2">
        <f t="shared" si="589"/>
        <v>44316</v>
      </c>
    </row>
    <row r="3890" spans="1:6" x14ac:dyDescent="0.25">
      <c r="A3890" s="1" t="s">
        <v>77</v>
      </c>
      <c r="B3890" s="1" t="s">
        <v>891</v>
      </c>
      <c r="C3890" s="1" t="s">
        <v>22</v>
      </c>
      <c r="D3890" s="3">
        <f t="shared" si="587"/>
        <v>8121</v>
      </c>
      <c r="E3890" s="2">
        <f t="shared" si="588"/>
        <v>43647</v>
      </c>
      <c r="F3890" s="2">
        <f t="shared" si="589"/>
        <v>44316</v>
      </c>
    </row>
    <row r="3891" spans="1:6" x14ac:dyDescent="0.25">
      <c r="A3891" s="1" t="s">
        <v>77</v>
      </c>
      <c r="B3891" s="1" t="s">
        <v>891</v>
      </c>
      <c r="C3891" s="1" t="s">
        <v>221</v>
      </c>
      <c r="D3891" s="3">
        <f t="shared" si="587"/>
        <v>8121</v>
      </c>
      <c r="E3891" s="2">
        <f t="shared" si="588"/>
        <v>43647</v>
      </c>
      <c r="F3891" s="2">
        <f t="shared" si="589"/>
        <v>44316</v>
      </c>
    </row>
    <row r="3892" spans="1:6" x14ac:dyDescent="0.25">
      <c r="A3892" s="1" t="s">
        <v>77</v>
      </c>
      <c r="B3892" s="1" t="s">
        <v>891</v>
      </c>
      <c r="C3892" s="1" t="s">
        <v>654</v>
      </c>
      <c r="D3892" s="3">
        <f t="shared" si="587"/>
        <v>8121</v>
      </c>
      <c r="E3892" s="2">
        <f t="shared" si="588"/>
        <v>43647</v>
      </c>
      <c r="F3892" s="2">
        <f t="shared" si="589"/>
        <v>44316</v>
      </c>
    </row>
    <row r="3893" spans="1:6" x14ac:dyDescent="0.25">
      <c r="A3893" s="1" t="s">
        <v>77</v>
      </c>
      <c r="B3893" s="1" t="s">
        <v>891</v>
      </c>
      <c r="C3893" s="1" t="s">
        <v>155</v>
      </c>
      <c r="D3893" s="3">
        <f t="shared" si="587"/>
        <v>8121</v>
      </c>
      <c r="E3893" s="2">
        <f t="shared" si="588"/>
        <v>43647</v>
      </c>
      <c r="F3893" s="2">
        <f t="shared" si="589"/>
        <v>44316</v>
      </c>
    </row>
    <row r="3894" spans="1:6" x14ac:dyDescent="0.25">
      <c r="A3894" s="1" t="s">
        <v>77</v>
      </c>
      <c r="B3894" s="1" t="s">
        <v>891</v>
      </c>
      <c r="C3894" s="1" t="s">
        <v>52</v>
      </c>
      <c r="D3894" s="3">
        <f t="shared" si="587"/>
        <v>8121</v>
      </c>
      <c r="E3894" s="2">
        <f t="shared" si="588"/>
        <v>43647</v>
      </c>
      <c r="F3894" s="2">
        <f t="shared" si="589"/>
        <v>44316</v>
      </c>
    </row>
    <row r="3895" spans="1:6" x14ac:dyDescent="0.25">
      <c r="A3895" s="1" t="s">
        <v>77</v>
      </c>
      <c r="B3895" s="1" t="s">
        <v>891</v>
      </c>
      <c r="C3895" s="1" t="s">
        <v>162</v>
      </c>
      <c r="D3895" s="3">
        <f t="shared" si="587"/>
        <v>8121</v>
      </c>
      <c r="E3895" s="2">
        <f t="shared" si="588"/>
        <v>43647</v>
      </c>
      <c r="F3895" s="2">
        <f t="shared" si="589"/>
        <v>44316</v>
      </c>
    </row>
    <row r="3896" spans="1:6" x14ac:dyDescent="0.25">
      <c r="A3896" s="1" t="s">
        <v>77</v>
      </c>
      <c r="B3896" s="1" t="s">
        <v>1259</v>
      </c>
      <c r="C3896" s="1" t="s">
        <v>39</v>
      </c>
      <c r="D3896" s="3">
        <f t="shared" ref="D3896:D3919" si="590">VALUE("8511")</f>
        <v>8511</v>
      </c>
      <c r="E3896" s="2">
        <f t="shared" ref="E3896:E3923" si="591">DATEVALUE("1-6-2019")</f>
        <v>43617</v>
      </c>
      <c r="F3896" s="2">
        <f t="shared" ref="F3896:F3919" si="592">DATEVALUE("30-4-2024")</f>
        <v>45412</v>
      </c>
    </row>
    <row r="3897" spans="1:6" x14ac:dyDescent="0.25">
      <c r="A3897" s="1" t="s">
        <v>77</v>
      </c>
      <c r="B3897" s="1" t="s">
        <v>1259</v>
      </c>
      <c r="C3897" s="1" t="s">
        <v>256</v>
      </c>
      <c r="D3897" s="3">
        <f t="shared" si="590"/>
        <v>8511</v>
      </c>
      <c r="E3897" s="2">
        <f t="shared" si="591"/>
        <v>43617</v>
      </c>
      <c r="F3897" s="2">
        <f t="shared" si="592"/>
        <v>45412</v>
      </c>
    </row>
    <row r="3898" spans="1:6" x14ac:dyDescent="0.25">
      <c r="A3898" s="1" t="s">
        <v>77</v>
      </c>
      <c r="B3898" s="1" t="s">
        <v>1259</v>
      </c>
      <c r="C3898" s="1" t="s">
        <v>83</v>
      </c>
      <c r="D3898" s="3">
        <f t="shared" si="590"/>
        <v>8511</v>
      </c>
      <c r="E3898" s="2">
        <f t="shared" si="591"/>
        <v>43617</v>
      </c>
      <c r="F3898" s="2">
        <f t="shared" si="592"/>
        <v>45412</v>
      </c>
    </row>
    <row r="3899" spans="1:6" x14ac:dyDescent="0.25">
      <c r="A3899" s="1" t="s">
        <v>77</v>
      </c>
      <c r="B3899" s="1" t="s">
        <v>1259</v>
      </c>
      <c r="C3899" s="1" t="s">
        <v>14</v>
      </c>
      <c r="D3899" s="3">
        <f t="shared" si="590"/>
        <v>8511</v>
      </c>
      <c r="E3899" s="2">
        <f t="shared" si="591"/>
        <v>43617</v>
      </c>
      <c r="F3899" s="2">
        <f t="shared" si="592"/>
        <v>45412</v>
      </c>
    </row>
    <row r="3900" spans="1:6" x14ac:dyDescent="0.25">
      <c r="A3900" s="1" t="s">
        <v>77</v>
      </c>
      <c r="B3900" s="1" t="s">
        <v>1259</v>
      </c>
      <c r="C3900" s="1" t="s">
        <v>66</v>
      </c>
      <c r="D3900" s="3">
        <f t="shared" si="590"/>
        <v>8511</v>
      </c>
      <c r="E3900" s="2">
        <f t="shared" si="591"/>
        <v>43617</v>
      </c>
      <c r="F3900" s="2">
        <f t="shared" si="592"/>
        <v>45412</v>
      </c>
    </row>
    <row r="3901" spans="1:6" x14ac:dyDescent="0.25">
      <c r="A3901" s="1" t="s">
        <v>77</v>
      </c>
      <c r="B3901" s="1" t="s">
        <v>1259</v>
      </c>
      <c r="C3901" s="1" t="s">
        <v>89</v>
      </c>
      <c r="D3901" s="3">
        <f t="shared" si="590"/>
        <v>8511</v>
      </c>
      <c r="E3901" s="2">
        <f t="shared" si="591"/>
        <v>43617</v>
      </c>
      <c r="F3901" s="2">
        <f t="shared" si="592"/>
        <v>45412</v>
      </c>
    </row>
    <row r="3902" spans="1:6" x14ac:dyDescent="0.25">
      <c r="A3902" s="1" t="s">
        <v>77</v>
      </c>
      <c r="B3902" s="1" t="s">
        <v>1259</v>
      </c>
      <c r="C3902" s="1" t="s">
        <v>17</v>
      </c>
      <c r="D3902" s="3">
        <f t="shared" si="590"/>
        <v>8511</v>
      </c>
      <c r="E3902" s="2">
        <f t="shared" si="591"/>
        <v>43617</v>
      </c>
      <c r="F3902" s="2">
        <f t="shared" si="592"/>
        <v>45412</v>
      </c>
    </row>
    <row r="3903" spans="1:6" x14ac:dyDescent="0.25">
      <c r="A3903" s="1" t="s">
        <v>77</v>
      </c>
      <c r="B3903" s="1" t="s">
        <v>1259</v>
      </c>
      <c r="C3903" s="1" t="s">
        <v>257</v>
      </c>
      <c r="D3903" s="3">
        <f t="shared" si="590"/>
        <v>8511</v>
      </c>
      <c r="E3903" s="2">
        <f t="shared" si="591"/>
        <v>43617</v>
      </c>
      <c r="F3903" s="2">
        <f t="shared" si="592"/>
        <v>45412</v>
      </c>
    </row>
    <row r="3904" spans="1:6" x14ac:dyDescent="0.25">
      <c r="A3904" s="1" t="s">
        <v>77</v>
      </c>
      <c r="B3904" s="1" t="s">
        <v>1259</v>
      </c>
      <c r="C3904" s="1" t="s">
        <v>488</v>
      </c>
      <c r="D3904" s="3">
        <f t="shared" si="590"/>
        <v>8511</v>
      </c>
      <c r="E3904" s="2">
        <f t="shared" si="591"/>
        <v>43617</v>
      </c>
      <c r="F3904" s="2">
        <f t="shared" si="592"/>
        <v>45412</v>
      </c>
    </row>
    <row r="3905" spans="1:6" x14ac:dyDescent="0.25">
      <c r="A3905" s="1" t="s">
        <v>77</v>
      </c>
      <c r="B3905" s="1" t="s">
        <v>1259</v>
      </c>
      <c r="C3905" s="1" t="s">
        <v>145</v>
      </c>
      <c r="D3905" s="3">
        <f t="shared" si="590"/>
        <v>8511</v>
      </c>
      <c r="E3905" s="2">
        <f t="shared" si="591"/>
        <v>43617</v>
      </c>
      <c r="F3905" s="2">
        <f t="shared" si="592"/>
        <v>45412</v>
      </c>
    </row>
    <row r="3906" spans="1:6" x14ac:dyDescent="0.25">
      <c r="A3906" s="1" t="s">
        <v>77</v>
      </c>
      <c r="B3906" s="1" t="s">
        <v>1259</v>
      </c>
      <c r="C3906" s="1" t="s">
        <v>22</v>
      </c>
      <c r="D3906" s="3">
        <f t="shared" si="590"/>
        <v>8511</v>
      </c>
      <c r="E3906" s="2">
        <f t="shared" si="591"/>
        <v>43617</v>
      </c>
      <c r="F3906" s="2">
        <f t="shared" si="592"/>
        <v>45412</v>
      </c>
    </row>
    <row r="3907" spans="1:6" x14ac:dyDescent="0.25">
      <c r="A3907" s="1" t="s">
        <v>77</v>
      </c>
      <c r="B3907" s="1" t="s">
        <v>1259</v>
      </c>
      <c r="C3907" s="1" t="s">
        <v>92</v>
      </c>
      <c r="D3907" s="3">
        <f t="shared" si="590"/>
        <v>8511</v>
      </c>
      <c r="E3907" s="2">
        <f t="shared" si="591"/>
        <v>43617</v>
      </c>
      <c r="F3907" s="2">
        <f t="shared" si="592"/>
        <v>45412</v>
      </c>
    </row>
    <row r="3908" spans="1:6" x14ac:dyDescent="0.25">
      <c r="A3908" s="1" t="s">
        <v>77</v>
      </c>
      <c r="B3908" s="1" t="s">
        <v>1259</v>
      </c>
      <c r="C3908" s="1" t="s">
        <v>400</v>
      </c>
      <c r="D3908" s="3">
        <f t="shared" si="590"/>
        <v>8511</v>
      </c>
      <c r="E3908" s="2">
        <f t="shared" si="591"/>
        <v>43617</v>
      </c>
      <c r="F3908" s="2">
        <f t="shared" si="592"/>
        <v>45412</v>
      </c>
    </row>
    <row r="3909" spans="1:6" x14ac:dyDescent="0.25">
      <c r="A3909" s="1" t="s">
        <v>77</v>
      </c>
      <c r="B3909" s="1" t="s">
        <v>1259</v>
      </c>
      <c r="C3909" s="1" t="s">
        <v>24</v>
      </c>
      <c r="D3909" s="3">
        <f t="shared" si="590"/>
        <v>8511</v>
      </c>
      <c r="E3909" s="2">
        <f t="shared" si="591"/>
        <v>43617</v>
      </c>
      <c r="F3909" s="2">
        <f t="shared" si="592"/>
        <v>45412</v>
      </c>
    </row>
    <row r="3910" spans="1:6" x14ac:dyDescent="0.25">
      <c r="A3910" s="1" t="s">
        <v>77</v>
      </c>
      <c r="B3910" s="1" t="s">
        <v>1259</v>
      </c>
      <c r="C3910" s="1" t="s">
        <v>1260</v>
      </c>
      <c r="D3910" s="3">
        <f t="shared" si="590"/>
        <v>8511</v>
      </c>
      <c r="E3910" s="2">
        <f t="shared" si="591"/>
        <v>43617</v>
      </c>
      <c r="F3910" s="2">
        <f t="shared" si="592"/>
        <v>45412</v>
      </c>
    </row>
    <row r="3911" spans="1:6" x14ac:dyDescent="0.25">
      <c r="A3911" s="1" t="s">
        <v>77</v>
      </c>
      <c r="B3911" s="1" t="s">
        <v>1259</v>
      </c>
      <c r="C3911" s="1" t="s">
        <v>297</v>
      </c>
      <c r="D3911" s="3">
        <f t="shared" si="590"/>
        <v>8511</v>
      </c>
      <c r="E3911" s="2">
        <f t="shared" si="591"/>
        <v>43617</v>
      </c>
      <c r="F3911" s="2">
        <f t="shared" si="592"/>
        <v>45412</v>
      </c>
    </row>
    <row r="3912" spans="1:6" x14ac:dyDescent="0.25">
      <c r="A3912" s="1" t="s">
        <v>77</v>
      </c>
      <c r="B3912" s="1" t="s">
        <v>1259</v>
      </c>
      <c r="C3912" s="1" t="s">
        <v>1261</v>
      </c>
      <c r="D3912" s="3">
        <f t="shared" si="590"/>
        <v>8511</v>
      </c>
      <c r="E3912" s="2">
        <f t="shared" si="591"/>
        <v>43617</v>
      </c>
      <c r="F3912" s="2">
        <f t="shared" si="592"/>
        <v>45412</v>
      </c>
    </row>
    <row r="3913" spans="1:6" x14ac:dyDescent="0.25">
      <c r="A3913" s="1" t="s">
        <v>77</v>
      </c>
      <c r="B3913" s="1" t="s">
        <v>1259</v>
      </c>
      <c r="C3913" s="1" t="s">
        <v>160</v>
      </c>
      <c r="D3913" s="3">
        <f t="shared" si="590"/>
        <v>8511</v>
      </c>
      <c r="E3913" s="2">
        <f t="shared" si="591"/>
        <v>43617</v>
      </c>
      <c r="F3913" s="2">
        <f t="shared" si="592"/>
        <v>45412</v>
      </c>
    </row>
    <row r="3914" spans="1:6" x14ac:dyDescent="0.25">
      <c r="A3914" s="1" t="s">
        <v>77</v>
      </c>
      <c r="B3914" s="1" t="s">
        <v>1259</v>
      </c>
      <c r="C3914" s="1" t="s">
        <v>378</v>
      </c>
      <c r="D3914" s="3">
        <f t="shared" si="590"/>
        <v>8511</v>
      </c>
      <c r="E3914" s="2">
        <f t="shared" si="591"/>
        <v>43617</v>
      </c>
      <c r="F3914" s="2">
        <f t="shared" si="592"/>
        <v>45412</v>
      </c>
    </row>
    <row r="3915" spans="1:6" x14ac:dyDescent="0.25">
      <c r="A3915" s="1" t="s">
        <v>77</v>
      </c>
      <c r="B3915" s="1" t="s">
        <v>1259</v>
      </c>
      <c r="C3915" s="1" t="s">
        <v>304</v>
      </c>
      <c r="D3915" s="3">
        <f t="shared" si="590"/>
        <v>8511</v>
      </c>
      <c r="E3915" s="2">
        <f t="shared" si="591"/>
        <v>43617</v>
      </c>
      <c r="F3915" s="2">
        <f t="shared" si="592"/>
        <v>45412</v>
      </c>
    </row>
    <row r="3916" spans="1:6" x14ac:dyDescent="0.25">
      <c r="A3916" s="1" t="s">
        <v>77</v>
      </c>
      <c r="B3916" s="1" t="s">
        <v>1259</v>
      </c>
      <c r="C3916" s="1" t="s">
        <v>369</v>
      </c>
      <c r="D3916" s="3">
        <f t="shared" si="590"/>
        <v>8511</v>
      </c>
      <c r="E3916" s="2">
        <f t="shared" si="591"/>
        <v>43617</v>
      </c>
      <c r="F3916" s="2">
        <f t="shared" si="592"/>
        <v>45412</v>
      </c>
    </row>
    <row r="3917" spans="1:6" x14ac:dyDescent="0.25">
      <c r="A3917" s="1" t="s">
        <v>77</v>
      </c>
      <c r="B3917" s="1" t="s">
        <v>1259</v>
      </c>
      <c r="C3917" s="1" t="s">
        <v>34</v>
      </c>
      <c r="D3917" s="3">
        <f t="shared" si="590"/>
        <v>8511</v>
      </c>
      <c r="E3917" s="2">
        <f t="shared" si="591"/>
        <v>43617</v>
      </c>
      <c r="F3917" s="2">
        <f t="shared" si="592"/>
        <v>45412</v>
      </c>
    </row>
    <row r="3918" spans="1:6" x14ac:dyDescent="0.25">
      <c r="A3918" s="1" t="s">
        <v>77</v>
      </c>
      <c r="B3918" s="1" t="s">
        <v>1259</v>
      </c>
      <c r="C3918" s="1" t="s">
        <v>116</v>
      </c>
      <c r="D3918" s="3">
        <f t="shared" si="590"/>
        <v>8511</v>
      </c>
      <c r="E3918" s="2">
        <f t="shared" si="591"/>
        <v>43617</v>
      </c>
      <c r="F3918" s="2">
        <f t="shared" si="592"/>
        <v>45412</v>
      </c>
    </row>
    <row r="3919" spans="1:6" x14ac:dyDescent="0.25">
      <c r="A3919" s="1" t="s">
        <v>77</v>
      </c>
      <c r="B3919" s="1" t="s">
        <v>1259</v>
      </c>
      <c r="C3919" s="1" t="s">
        <v>36</v>
      </c>
      <c r="D3919" s="3">
        <f t="shared" si="590"/>
        <v>8511</v>
      </c>
      <c r="E3919" s="2">
        <f t="shared" si="591"/>
        <v>43617</v>
      </c>
      <c r="F3919" s="2">
        <f t="shared" si="592"/>
        <v>45412</v>
      </c>
    </row>
    <row r="3920" spans="1:6" x14ac:dyDescent="0.25">
      <c r="A3920" s="1" t="s">
        <v>77</v>
      </c>
      <c r="B3920" s="1" t="s">
        <v>1809</v>
      </c>
      <c r="C3920" s="1" t="s">
        <v>45</v>
      </c>
      <c r="D3920" s="3">
        <f>VALUE("8551")</f>
        <v>8551</v>
      </c>
      <c r="E3920" s="2">
        <f t="shared" si="591"/>
        <v>43617</v>
      </c>
      <c r="F3920" s="2">
        <f>DATEVALUE("31-12-2019")</f>
        <v>43830</v>
      </c>
    </row>
    <row r="3921" spans="1:6" x14ac:dyDescent="0.25">
      <c r="A3921" s="1" t="s">
        <v>77</v>
      </c>
      <c r="B3921" s="1" t="s">
        <v>1809</v>
      </c>
      <c r="C3921" s="1" t="s">
        <v>924</v>
      </c>
      <c r="D3921" s="3">
        <f>VALUE("8551")</f>
        <v>8551</v>
      </c>
      <c r="E3921" s="2">
        <f t="shared" si="591"/>
        <v>43617</v>
      </c>
      <c r="F3921" s="2">
        <f>DATEVALUE("31-12-2019")</f>
        <v>43830</v>
      </c>
    </row>
    <row r="3922" spans="1:6" x14ac:dyDescent="0.25">
      <c r="A3922" s="1" t="s">
        <v>77</v>
      </c>
      <c r="B3922" s="1" t="s">
        <v>1809</v>
      </c>
      <c r="C3922" s="1" t="s">
        <v>69</v>
      </c>
      <c r="D3922" s="3">
        <f>VALUE("8551")</f>
        <v>8551</v>
      </c>
      <c r="E3922" s="2">
        <f t="shared" si="591"/>
        <v>43617</v>
      </c>
      <c r="F3922" s="2">
        <f>DATEVALUE("31-12-2019")</f>
        <v>43830</v>
      </c>
    </row>
    <row r="3923" spans="1:6" x14ac:dyDescent="0.25">
      <c r="A3923" s="1" t="s">
        <v>77</v>
      </c>
      <c r="B3923" s="1" t="s">
        <v>1809</v>
      </c>
      <c r="C3923" s="1" t="s">
        <v>73</v>
      </c>
      <c r="D3923" s="3">
        <f>VALUE("8551")</f>
        <v>8551</v>
      </c>
      <c r="E3923" s="2">
        <f t="shared" si="591"/>
        <v>43617</v>
      </c>
      <c r="F3923" s="2">
        <f>DATEVALUE("31-12-2019")</f>
        <v>43830</v>
      </c>
    </row>
    <row r="3924" spans="1:6" x14ac:dyDescent="0.25">
      <c r="A3924" s="1" t="s">
        <v>77</v>
      </c>
      <c r="B3924" s="1" t="s">
        <v>1194</v>
      </c>
      <c r="C3924" s="1" t="s">
        <v>7</v>
      </c>
      <c r="D3924" s="3">
        <f t="shared" ref="D3924:D3965" si="593">VALUE("8460")</f>
        <v>8460</v>
      </c>
      <c r="E3924" s="2">
        <f t="shared" ref="E3924:E3965" si="594">DATEVALUE("1-5-2019")</f>
        <v>43586</v>
      </c>
      <c r="F3924" s="2">
        <f t="shared" ref="F3924:F3965" si="595">DATEVALUE("31-3-2021")</f>
        <v>44286</v>
      </c>
    </row>
    <row r="3925" spans="1:6" x14ac:dyDescent="0.25">
      <c r="A3925" s="1" t="s">
        <v>77</v>
      </c>
      <c r="B3925" s="1" t="s">
        <v>1194</v>
      </c>
      <c r="C3925" s="1" t="s">
        <v>8</v>
      </c>
      <c r="D3925" s="3">
        <f t="shared" si="593"/>
        <v>8460</v>
      </c>
      <c r="E3925" s="2">
        <f t="shared" si="594"/>
        <v>43586</v>
      </c>
      <c r="F3925" s="2">
        <f t="shared" si="595"/>
        <v>44286</v>
      </c>
    </row>
    <row r="3926" spans="1:6" x14ac:dyDescent="0.25">
      <c r="A3926" s="1" t="s">
        <v>77</v>
      </c>
      <c r="B3926" s="1" t="s">
        <v>1194</v>
      </c>
      <c r="C3926" s="1" t="s">
        <v>256</v>
      </c>
      <c r="D3926" s="3">
        <f t="shared" si="593"/>
        <v>8460</v>
      </c>
      <c r="E3926" s="2">
        <f t="shared" si="594"/>
        <v>43586</v>
      </c>
      <c r="F3926" s="2">
        <f t="shared" si="595"/>
        <v>44286</v>
      </c>
    </row>
    <row r="3927" spans="1:6" x14ac:dyDescent="0.25">
      <c r="A3927" s="1" t="s">
        <v>77</v>
      </c>
      <c r="B3927" s="1" t="s">
        <v>1194</v>
      </c>
      <c r="C3927" s="1" t="s">
        <v>61</v>
      </c>
      <c r="D3927" s="3">
        <f t="shared" si="593"/>
        <v>8460</v>
      </c>
      <c r="E3927" s="2">
        <f t="shared" si="594"/>
        <v>43586</v>
      </c>
      <c r="F3927" s="2">
        <f t="shared" si="595"/>
        <v>44286</v>
      </c>
    </row>
    <row r="3928" spans="1:6" x14ac:dyDescent="0.25">
      <c r="A3928" s="1" t="s">
        <v>77</v>
      </c>
      <c r="B3928" s="1" t="s">
        <v>1194</v>
      </c>
      <c r="C3928" s="1" t="s">
        <v>413</v>
      </c>
      <c r="D3928" s="3">
        <f t="shared" si="593"/>
        <v>8460</v>
      </c>
      <c r="E3928" s="2">
        <f t="shared" si="594"/>
        <v>43586</v>
      </c>
      <c r="F3928" s="2">
        <f t="shared" si="595"/>
        <v>44286</v>
      </c>
    </row>
    <row r="3929" spans="1:6" x14ac:dyDescent="0.25">
      <c r="A3929" s="1" t="s">
        <v>77</v>
      </c>
      <c r="B3929" s="1" t="s">
        <v>1194</v>
      </c>
      <c r="C3929" s="1" t="s">
        <v>289</v>
      </c>
      <c r="D3929" s="3">
        <f t="shared" si="593"/>
        <v>8460</v>
      </c>
      <c r="E3929" s="2">
        <f t="shared" si="594"/>
        <v>43586</v>
      </c>
      <c r="F3929" s="2">
        <f t="shared" si="595"/>
        <v>44286</v>
      </c>
    </row>
    <row r="3930" spans="1:6" x14ac:dyDescent="0.25">
      <c r="A3930" s="1" t="s">
        <v>77</v>
      </c>
      <c r="B3930" s="1" t="s">
        <v>1194</v>
      </c>
      <c r="C3930" s="1" t="s">
        <v>469</v>
      </c>
      <c r="D3930" s="3">
        <f t="shared" si="593"/>
        <v>8460</v>
      </c>
      <c r="E3930" s="2">
        <f t="shared" si="594"/>
        <v>43586</v>
      </c>
      <c r="F3930" s="2">
        <f t="shared" si="595"/>
        <v>44286</v>
      </c>
    </row>
    <row r="3931" spans="1:6" x14ac:dyDescent="0.25">
      <c r="A3931" s="1" t="s">
        <v>77</v>
      </c>
      <c r="B3931" s="1" t="s">
        <v>1194</v>
      </c>
      <c r="C3931" s="1" t="s">
        <v>62</v>
      </c>
      <c r="D3931" s="3">
        <f t="shared" si="593"/>
        <v>8460</v>
      </c>
      <c r="E3931" s="2">
        <f t="shared" si="594"/>
        <v>43586</v>
      </c>
      <c r="F3931" s="2">
        <f t="shared" si="595"/>
        <v>44286</v>
      </c>
    </row>
    <row r="3932" spans="1:6" x14ac:dyDescent="0.25">
      <c r="A3932" s="1" t="s">
        <v>77</v>
      </c>
      <c r="B3932" s="1" t="s">
        <v>1194</v>
      </c>
      <c r="C3932" s="1" t="s">
        <v>63</v>
      </c>
      <c r="D3932" s="3">
        <f t="shared" si="593"/>
        <v>8460</v>
      </c>
      <c r="E3932" s="2">
        <f t="shared" si="594"/>
        <v>43586</v>
      </c>
      <c r="F3932" s="2">
        <f t="shared" si="595"/>
        <v>44286</v>
      </c>
    </row>
    <row r="3933" spans="1:6" x14ac:dyDescent="0.25">
      <c r="A3933" s="1" t="s">
        <v>77</v>
      </c>
      <c r="B3933" s="1" t="s">
        <v>1194</v>
      </c>
      <c r="C3933" s="1" t="s">
        <v>14</v>
      </c>
      <c r="D3933" s="3">
        <f t="shared" si="593"/>
        <v>8460</v>
      </c>
      <c r="E3933" s="2">
        <f t="shared" si="594"/>
        <v>43586</v>
      </c>
      <c r="F3933" s="2">
        <f t="shared" si="595"/>
        <v>44286</v>
      </c>
    </row>
    <row r="3934" spans="1:6" x14ac:dyDescent="0.25">
      <c r="A3934" s="1" t="s">
        <v>77</v>
      </c>
      <c r="B3934" s="1" t="s">
        <v>1194</v>
      </c>
      <c r="C3934" s="1" t="s">
        <v>66</v>
      </c>
      <c r="D3934" s="3">
        <f t="shared" si="593"/>
        <v>8460</v>
      </c>
      <c r="E3934" s="2">
        <f t="shared" si="594"/>
        <v>43586</v>
      </c>
      <c r="F3934" s="2">
        <f t="shared" si="595"/>
        <v>44286</v>
      </c>
    </row>
    <row r="3935" spans="1:6" x14ac:dyDescent="0.25">
      <c r="A3935" s="1" t="s">
        <v>77</v>
      </c>
      <c r="B3935" s="1" t="s">
        <v>1194</v>
      </c>
      <c r="C3935" s="1" t="s">
        <v>15</v>
      </c>
      <c r="D3935" s="3">
        <f t="shared" si="593"/>
        <v>8460</v>
      </c>
      <c r="E3935" s="2">
        <f t="shared" si="594"/>
        <v>43586</v>
      </c>
      <c r="F3935" s="2">
        <f t="shared" si="595"/>
        <v>44286</v>
      </c>
    </row>
    <row r="3936" spans="1:6" x14ac:dyDescent="0.25">
      <c r="A3936" s="1" t="s">
        <v>77</v>
      </c>
      <c r="B3936" s="1" t="s">
        <v>1194</v>
      </c>
      <c r="C3936" s="1" t="s">
        <v>290</v>
      </c>
      <c r="D3936" s="3">
        <f t="shared" si="593"/>
        <v>8460</v>
      </c>
      <c r="E3936" s="2">
        <f t="shared" si="594"/>
        <v>43586</v>
      </c>
      <c r="F3936" s="2">
        <f t="shared" si="595"/>
        <v>44286</v>
      </c>
    </row>
    <row r="3937" spans="1:6" x14ac:dyDescent="0.25">
      <c r="A3937" s="1" t="s">
        <v>77</v>
      </c>
      <c r="B3937" s="1" t="s">
        <v>1194</v>
      </c>
      <c r="C3937" s="1" t="s">
        <v>88</v>
      </c>
      <c r="D3937" s="3">
        <f t="shared" si="593"/>
        <v>8460</v>
      </c>
      <c r="E3937" s="2">
        <f t="shared" si="594"/>
        <v>43586</v>
      </c>
      <c r="F3937" s="2">
        <f t="shared" si="595"/>
        <v>44286</v>
      </c>
    </row>
    <row r="3938" spans="1:6" x14ac:dyDescent="0.25">
      <c r="A3938" s="1" t="s">
        <v>77</v>
      </c>
      <c r="B3938" s="1" t="s">
        <v>1194</v>
      </c>
      <c r="C3938" s="1" t="s">
        <v>17</v>
      </c>
      <c r="D3938" s="3">
        <f t="shared" si="593"/>
        <v>8460</v>
      </c>
      <c r="E3938" s="2">
        <f t="shared" si="594"/>
        <v>43586</v>
      </c>
      <c r="F3938" s="2">
        <f t="shared" si="595"/>
        <v>44286</v>
      </c>
    </row>
    <row r="3939" spans="1:6" x14ac:dyDescent="0.25">
      <c r="A3939" s="1" t="s">
        <v>77</v>
      </c>
      <c r="B3939" s="1" t="s">
        <v>1194</v>
      </c>
      <c r="C3939" s="1" t="s">
        <v>22</v>
      </c>
      <c r="D3939" s="3">
        <f t="shared" si="593"/>
        <v>8460</v>
      </c>
      <c r="E3939" s="2">
        <f t="shared" si="594"/>
        <v>43586</v>
      </c>
      <c r="F3939" s="2">
        <f t="shared" si="595"/>
        <v>44286</v>
      </c>
    </row>
    <row r="3940" spans="1:6" x14ac:dyDescent="0.25">
      <c r="A3940" s="1" t="s">
        <v>77</v>
      </c>
      <c r="B3940" s="1" t="s">
        <v>1194</v>
      </c>
      <c r="C3940" s="1" t="s">
        <v>221</v>
      </c>
      <c r="D3940" s="3">
        <f t="shared" si="593"/>
        <v>8460</v>
      </c>
      <c r="E3940" s="2">
        <f t="shared" si="594"/>
        <v>43586</v>
      </c>
      <c r="F3940" s="2">
        <f t="shared" si="595"/>
        <v>44286</v>
      </c>
    </row>
    <row r="3941" spans="1:6" x14ac:dyDescent="0.25">
      <c r="A3941" s="1" t="s">
        <v>77</v>
      </c>
      <c r="B3941" s="1" t="s">
        <v>1194</v>
      </c>
      <c r="C3941" s="1" t="s">
        <v>222</v>
      </c>
      <c r="D3941" s="3">
        <f t="shared" si="593"/>
        <v>8460</v>
      </c>
      <c r="E3941" s="2">
        <f t="shared" si="594"/>
        <v>43586</v>
      </c>
      <c r="F3941" s="2">
        <f t="shared" si="595"/>
        <v>44286</v>
      </c>
    </row>
    <row r="3942" spans="1:6" x14ac:dyDescent="0.25">
      <c r="A3942" s="1" t="s">
        <v>77</v>
      </c>
      <c r="B3942" s="1" t="s">
        <v>1194</v>
      </c>
      <c r="C3942" s="1" t="s">
        <v>92</v>
      </c>
      <c r="D3942" s="3">
        <f t="shared" si="593"/>
        <v>8460</v>
      </c>
      <c r="E3942" s="2">
        <f t="shared" si="594"/>
        <v>43586</v>
      </c>
      <c r="F3942" s="2">
        <f t="shared" si="595"/>
        <v>44286</v>
      </c>
    </row>
    <row r="3943" spans="1:6" x14ac:dyDescent="0.25">
      <c r="A3943" s="1" t="s">
        <v>77</v>
      </c>
      <c r="B3943" s="1" t="s">
        <v>1194</v>
      </c>
      <c r="C3943" s="1" t="s">
        <v>811</v>
      </c>
      <c r="D3943" s="3">
        <f t="shared" si="593"/>
        <v>8460</v>
      </c>
      <c r="E3943" s="2">
        <f t="shared" si="594"/>
        <v>43586</v>
      </c>
      <c r="F3943" s="2">
        <f t="shared" si="595"/>
        <v>44286</v>
      </c>
    </row>
    <row r="3944" spans="1:6" x14ac:dyDescent="0.25">
      <c r="A3944" s="1" t="s">
        <v>77</v>
      </c>
      <c r="B3944" s="1" t="s">
        <v>1194</v>
      </c>
      <c r="C3944" s="1" t="s">
        <v>814</v>
      </c>
      <c r="D3944" s="3">
        <f t="shared" si="593"/>
        <v>8460</v>
      </c>
      <c r="E3944" s="2">
        <f t="shared" si="594"/>
        <v>43586</v>
      </c>
      <c r="F3944" s="2">
        <f t="shared" si="595"/>
        <v>44286</v>
      </c>
    </row>
    <row r="3945" spans="1:6" x14ac:dyDescent="0.25">
      <c r="A3945" s="1" t="s">
        <v>77</v>
      </c>
      <c r="B3945" s="1" t="s">
        <v>1194</v>
      </c>
      <c r="C3945" s="1" t="s">
        <v>812</v>
      </c>
      <c r="D3945" s="3">
        <f t="shared" si="593"/>
        <v>8460</v>
      </c>
      <c r="E3945" s="2">
        <f t="shared" si="594"/>
        <v>43586</v>
      </c>
      <c r="F3945" s="2">
        <f t="shared" si="595"/>
        <v>44286</v>
      </c>
    </row>
    <row r="3946" spans="1:6" x14ac:dyDescent="0.25">
      <c r="A3946" s="1" t="s">
        <v>77</v>
      </c>
      <c r="B3946" s="1" t="s">
        <v>1194</v>
      </c>
      <c r="C3946" s="1" t="s">
        <v>813</v>
      </c>
      <c r="D3946" s="3">
        <f t="shared" si="593"/>
        <v>8460</v>
      </c>
      <c r="E3946" s="2">
        <f t="shared" si="594"/>
        <v>43586</v>
      </c>
      <c r="F3946" s="2">
        <f t="shared" si="595"/>
        <v>44286</v>
      </c>
    </row>
    <row r="3947" spans="1:6" x14ac:dyDescent="0.25">
      <c r="A3947" s="1" t="s">
        <v>77</v>
      </c>
      <c r="B3947" s="1" t="s">
        <v>1194</v>
      </c>
      <c r="C3947" s="1" t="s">
        <v>816</v>
      </c>
      <c r="D3947" s="3">
        <f t="shared" si="593"/>
        <v>8460</v>
      </c>
      <c r="E3947" s="2">
        <f t="shared" si="594"/>
        <v>43586</v>
      </c>
      <c r="F3947" s="2">
        <f t="shared" si="595"/>
        <v>44286</v>
      </c>
    </row>
    <row r="3948" spans="1:6" x14ac:dyDescent="0.25">
      <c r="A3948" s="1" t="s">
        <v>77</v>
      </c>
      <c r="B3948" s="1" t="s">
        <v>1194</v>
      </c>
      <c r="C3948" s="1" t="s">
        <v>815</v>
      </c>
      <c r="D3948" s="3">
        <f t="shared" si="593"/>
        <v>8460</v>
      </c>
      <c r="E3948" s="2">
        <f t="shared" si="594"/>
        <v>43586</v>
      </c>
      <c r="F3948" s="2">
        <f t="shared" si="595"/>
        <v>44286</v>
      </c>
    </row>
    <row r="3949" spans="1:6" x14ac:dyDescent="0.25">
      <c r="A3949" s="1" t="s">
        <v>77</v>
      </c>
      <c r="B3949" s="1" t="s">
        <v>1194</v>
      </c>
      <c r="C3949" s="1" t="s">
        <v>155</v>
      </c>
      <c r="D3949" s="3">
        <f t="shared" si="593"/>
        <v>8460</v>
      </c>
      <c r="E3949" s="2">
        <f t="shared" si="594"/>
        <v>43586</v>
      </c>
      <c r="F3949" s="2">
        <f t="shared" si="595"/>
        <v>44286</v>
      </c>
    </row>
    <row r="3950" spans="1:6" x14ac:dyDescent="0.25">
      <c r="A3950" s="1" t="s">
        <v>77</v>
      </c>
      <c r="B3950" s="1" t="s">
        <v>1194</v>
      </c>
      <c r="C3950" s="1" t="s">
        <v>817</v>
      </c>
      <c r="D3950" s="3">
        <f t="shared" si="593"/>
        <v>8460</v>
      </c>
      <c r="E3950" s="2">
        <f t="shared" si="594"/>
        <v>43586</v>
      </c>
      <c r="F3950" s="2">
        <f t="shared" si="595"/>
        <v>44286</v>
      </c>
    </row>
    <row r="3951" spans="1:6" x14ac:dyDescent="0.25">
      <c r="A3951" s="1" t="s">
        <v>77</v>
      </c>
      <c r="B3951" s="1" t="s">
        <v>1194</v>
      </c>
      <c r="C3951" s="1" t="s">
        <v>818</v>
      </c>
      <c r="D3951" s="3">
        <f t="shared" si="593"/>
        <v>8460</v>
      </c>
      <c r="E3951" s="2">
        <f t="shared" si="594"/>
        <v>43586</v>
      </c>
      <c r="F3951" s="2">
        <f t="shared" si="595"/>
        <v>44286</v>
      </c>
    </row>
    <row r="3952" spans="1:6" x14ac:dyDescent="0.25">
      <c r="A3952" s="1" t="s">
        <v>77</v>
      </c>
      <c r="B3952" s="1" t="s">
        <v>1194</v>
      </c>
      <c r="C3952" s="1" t="s">
        <v>821</v>
      </c>
      <c r="D3952" s="3">
        <f t="shared" si="593"/>
        <v>8460</v>
      </c>
      <c r="E3952" s="2">
        <f t="shared" si="594"/>
        <v>43586</v>
      </c>
      <c r="F3952" s="2">
        <f t="shared" si="595"/>
        <v>44286</v>
      </c>
    </row>
    <row r="3953" spans="1:6" x14ac:dyDescent="0.25">
      <c r="A3953" s="1" t="s">
        <v>77</v>
      </c>
      <c r="B3953" s="1" t="s">
        <v>1194</v>
      </c>
      <c r="C3953" s="1" t="s">
        <v>822</v>
      </c>
      <c r="D3953" s="3">
        <f t="shared" si="593"/>
        <v>8460</v>
      </c>
      <c r="E3953" s="2">
        <f t="shared" si="594"/>
        <v>43586</v>
      </c>
      <c r="F3953" s="2">
        <f t="shared" si="595"/>
        <v>44286</v>
      </c>
    </row>
    <row r="3954" spans="1:6" x14ac:dyDescent="0.25">
      <c r="A3954" s="1" t="s">
        <v>77</v>
      </c>
      <c r="B3954" s="1" t="s">
        <v>1194</v>
      </c>
      <c r="C3954" s="1" t="s">
        <v>825</v>
      </c>
      <c r="D3954" s="3">
        <f t="shared" si="593"/>
        <v>8460</v>
      </c>
      <c r="E3954" s="2">
        <f t="shared" si="594"/>
        <v>43586</v>
      </c>
      <c r="F3954" s="2">
        <f t="shared" si="595"/>
        <v>44286</v>
      </c>
    </row>
    <row r="3955" spans="1:6" x14ac:dyDescent="0.25">
      <c r="A3955" s="1" t="s">
        <v>77</v>
      </c>
      <c r="B3955" s="1" t="s">
        <v>1194</v>
      </c>
      <c r="C3955" s="1" t="s">
        <v>823</v>
      </c>
      <c r="D3955" s="3">
        <f t="shared" si="593"/>
        <v>8460</v>
      </c>
      <c r="E3955" s="2">
        <f t="shared" si="594"/>
        <v>43586</v>
      </c>
      <c r="F3955" s="2">
        <f t="shared" si="595"/>
        <v>44286</v>
      </c>
    </row>
    <row r="3956" spans="1:6" x14ac:dyDescent="0.25">
      <c r="A3956" s="1" t="s">
        <v>77</v>
      </c>
      <c r="B3956" s="1" t="s">
        <v>1194</v>
      </c>
      <c r="C3956" s="1" t="s">
        <v>824</v>
      </c>
      <c r="D3956" s="3">
        <f t="shared" si="593"/>
        <v>8460</v>
      </c>
      <c r="E3956" s="2">
        <f t="shared" si="594"/>
        <v>43586</v>
      </c>
      <c r="F3956" s="2">
        <f t="shared" si="595"/>
        <v>44286</v>
      </c>
    </row>
    <row r="3957" spans="1:6" x14ac:dyDescent="0.25">
      <c r="A3957" s="1" t="s">
        <v>77</v>
      </c>
      <c r="B3957" s="1" t="s">
        <v>1194</v>
      </c>
      <c r="C3957" s="1" t="s">
        <v>826</v>
      </c>
      <c r="D3957" s="3">
        <f t="shared" si="593"/>
        <v>8460</v>
      </c>
      <c r="E3957" s="2">
        <f t="shared" si="594"/>
        <v>43586</v>
      </c>
      <c r="F3957" s="2">
        <f t="shared" si="595"/>
        <v>44286</v>
      </c>
    </row>
    <row r="3958" spans="1:6" x14ac:dyDescent="0.25">
      <c r="A3958" s="1" t="s">
        <v>77</v>
      </c>
      <c r="B3958" s="1" t="s">
        <v>1194</v>
      </c>
      <c r="C3958" s="1" t="s">
        <v>827</v>
      </c>
      <c r="D3958" s="3">
        <f t="shared" si="593"/>
        <v>8460</v>
      </c>
      <c r="E3958" s="2">
        <f t="shared" si="594"/>
        <v>43586</v>
      </c>
      <c r="F3958" s="2">
        <f t="shared" si="595"/>
        <v>44286</v>
      </c>
    </row>
    <row r="3959" spans="1:6" x14ac:dyDescent="0.25">
      <c r="A3959" s="1" t="s">
        <v>77</v>
      </c>
      <c r="B3959" s="1" t="s">
        <v>1194</v>
      </c>
      <c r="C3959" s="1" t="s">
        <v>829</v>
      </c>
      <c r="D3959" s="3">
        <f t="shared" si="593"/>
        <v>8460</v>
      </c>
      <c r="E3959" s="2">
        <f t="shared" si="594"/>
        <v>43586</v>
      </c>
      <c r="F3959" s="2">
        <f t="shared" si="595"/>
        <v>44286</v>
      </c>
    </row>
    <row r="3960" spans="1:6" x14ac:dyDescent="0.25">
      <c r="A3960" s="1" t="s">
        <v>77</v>
      </c>
      <c r="B3960" s="1" t="s">
        <v>1194</v>
      </c>
      <c r="C3960" s="1" t="s">
        <v>828</v>
      </c>
      <c r="D3960" s="3">
        <f t="shared" si="593"/>
        <v>8460</v>
      </c>
      <c r="E3960" s="2">
        <f t="shared" si="594"/>
        <v>43586</v>
      </c>
      <c r="F3960" s="2">
        <f t="shared" si="595"/>
        <v>44286</v>
      </c>
    </row>
    <row r="3961" spans="1:6" x14ac:dyDescent="0.25">
      <c r="A3961" s="1" t="s">
        <v>77</v>
      </c>
      <c r="B3961" s="1" t="s">
        <v>1194</v>
      </c>
      <c r="C3961" s="1" t="s">
        <v>830</v>
      </c>
      <c r="D3961" s="3">
        <f t="shared" si="593"/>
        <v>8460</v>
      </c>
      <c r="E3961" s="2">
        <f t="shared" si="594"/>
        <v>43586</v>
      </c>
      <c r="F3961" s="2">
        <f t="shared" si="595"/>
        <v>44286</v>
      </c>
    </row>
    <row r="3962" spans="1:6" x14ac:dyDescent="0.25">
      <c r="A3962" s="1" t="s">
        <v>77</v>
      </c>
      <c r="B3962" s="1" t="s">
        <v>1194</v>
      </c>
      <c r="C3962" s="1" t="s">
        <v>793</v>
      </c>
      <c r="D3962" s="3">
        <f t="shared" si="593"/>
        <v>8460</v>
      </c>
      <c r="E3962" s="2">
        <f t="shared" si="594"/>
        <v>43586</v>
      </c>
      <c r="F3962" s="2">
        <f t="shared" si="595"/>
        <v>44286</v>
      </c>
    </row>
    <row r="3963" spans="1:6" x14ac:dyDescent="0.25">
      <c r="A3963" s="1" t="s">
        <v>77</v>
      </c>
      <c r="B3963" s="1" t="s">
        <v>1194</v>
      </c>
      <c r="C3963" s="1" t="s">
        <v>74</v>
      </c>
      <c r="D3963" s="3">
        <f t="shared" si="593"/>
        <v>8460</v>
      </c>
      <c r="E3963" s="2">
        <f t="shared" si="594"/>
        <v>43586</v>
      </c>
      <c r="F3963" s="2">
        <f t="shared" si="595"/>
        <v>44286</v>
      </c>
    </row>
    <row r="3964" spans="1:6" x14ac:dyDescent="0.25">
      <c r="A3964" s="1" t="s">
        <v>77</v>
      </c>
      <c r="B3964" s="1" t="s">
        <v>1194</v>
      </c>
      <c r="C3964" s="1" t="s">
        <v>162</v>
      </c>
      <c r="D3964" s="3">
        <f t="shared" si="593"/>
        <v>8460</v>
      </c>
      <c r="E3964" s="2">
        <f t="shared" si="594"/>
        <v>43586</v>
      </c>
      <c r="F3964" s="2">
        <f t="shared" si="595"/>
        <v>44286</v>
      </c>
    </row>
    <row r="3965" spans="1:6" x14ac:dyDescent="0.25">
      <c r="A3965" s="1" t="s">
        <v>77</v>
      </c>
      <c r="B3965" s="1" t="s">
        <v>1194</v>
      </c>
      <c r="C3965" s="1" t="s">
        <v>34</v>
      </c>
      <c r="D3965" s="3">
        <f t="shared" si="593"/>
        <v>8460</v>
      </c>
      <c r="E3965" s="2">
        <f t="shared" si="594"/>
        <v>43586</v>
      </c>
      <c r="F3965" s="2">
        <f t="shared" si="595"/>
        <v>44286</v>
      </c>
    </row>
    <row r="3966" spans="1:6" x14ac:dyDescent="0.25">
      <c r="A3966" s="1" t="s">
        <v>77</v>
      </c>
      <c r="B3966" s="1" t="s">
        <v>1168</v>
      </c>
      <c r="C3966" s="1" t="s">
        <v>66</v>
      </c>
      <c r="D3966" s="3">
        <f>VALUE("8441")</f>
        <v>8441</v>
      </c>
      <c r="E3966" s="2">
        <f>DATEVALUE("1-2-2019")</f>
        <v>43497</v>
      </c>
      <c r="F3966" s="2">
        <f>DATEVALUE("31-1-2021")</f>
        <v>44227</v>
      </c>
    </row>
    <row r="3967" spans="1:6" x14ac:dyDescent="0.25">
      <c r="A3967" s="1" t="s">
        <v>77</v>
      </c>
      <c r="B3967" s="1" t="s">
        <v>1168</v>
      </c>
      <c r="C3967" s="1" t="s">
        <v>15</v>
      </c>
      <c r="D3967" s="3">
        <f>VALUE("8441")</f>
        <v>8441</v>
      </c>
      <c r="E3967" s="2">
        <f>DATEVALUE("1-2-2019")</f>
        <v>43497</v>
      </c>
      <c r="F3967" s="2">
        <f>DATEVALUE("31-1-2021")</f>
        <v>44227</v>
      </c>
    </row>
    <row r="3968" spans="1:6" x14ac:dyDescent="0.25">
      <c r="A3968" s="1" t="s">
        <v>77</v>
      </c>
      <c r="B3968" s="1" t="s">
        <v>1168</v>
      </c>
      <c r="C3968" s="1" t="s">
        <v>17</v>
      </c>
      <c r="D3968" s="3">
        <f>VALUE("8441")</f>
        <v>8441</v>
      </c>
      <c r="E3968" s="2">
        <f>DATEVALUE("1-2-2019")</f>
        <v>43497</v>
      </c>
      <c r="F3968" s="2">
        <f>DATEVALUE("31-1-2021")</f>
        <v>44227</v>
      </c>
    </row>
    <row r="3969" spans="1:6" x14ac:dyDescent="0.25">
      <c r="A3969" s="1" t="s">
        <v>77</v>
      </c>
      <c r="B3969" s="1" t="s">
        <v>1168</v>
      </c>
      <c r="C3969" s="1" t="s">
        <v>102</v>
      </c>
      <c r="D3969" s="3">
        <f>VALUE("8441")</f>
        <v>8441</v>
      </c>
      <c r="E3969" s="2">
        <f>DATEVALUE("1-2-2019")</f>
        <v>43497</v>
      </c>
      <c r="F3969" s="2">
        <f>DATEVALUE("31-1-2021")</f>
        <v>44227</v>
      </c>
    </row>
    <row r="3970" spans="1:6" x14ac:dyDescent="0.25">
      <c r="A3970" s="1" t="s">
        <v>77</v>
      </c>
      <c r="B3970" s="1" t="s">
        <v>1168</v>
      </c>
      <c r="C3970" s="1" t="s">
        <v>103</v>
      </c>
      <c r="D3970" s="3">
        <f>VALUE("8441")</f>
        <v>8441</v>
      </c>
      <c r="E3970" s="2">
        <f>DATEVALUE("1-2-2019")</f>
        <v>43497</v>
      </c>
      <c r="F3970" s="2">
        <f>DATEVALUE("31-1-2021")</f>
        <v>44227</v>
      </c>
    </row>
    <row r="3971" spans="1:6" x14ac:dyDescent="0.25">
      <c r="A3971" s="1" t="s">
        <v>77</v>
      </c>
      <c r="B3971" s="1" t="s">
        <v>902</v>
      </c>
      <c r="C3971" s="1" t="s">
        <v>14</v>
      </c>
      <c r="D3971" s="3">
        <f t="shared" ref="D3971:D3988" si="596">VALUE("8151")</f>
        <v>8151</v>
      </c>
      <c r="E3971" s="2">
        <f t="shared" ref="E3971:E3988" si="597">DATEVALUE("1-11-2018")</f>
        <v>43405</v>
      </c>
      <c r="F3971" s="2">
        <f t="shared" ref="F3971:F3988" si="598">DATEVALUE("31-10-2025")</f>
        <v>45961</v>
      </c>
    </row>
    <row r="3972" spans="1:6" x14ac:dyDescent="0.25">
      <c r="A3972" s="1" t="s">
        <v>77</v>
      </c>
      <c r="B3972" s="1" t="s">
        <v>902</v>
      </c>
      <c r="C3972" s="1" t="s">
        <v>17</v>
      </c>
      <c r="D3972" s="3">
        <f t="shared" si="596"/>
        <v>8151</v>
      </c>
      <c r="E3972" s="2">
        <f t="shared" si="597"/>
        <v>43405</v>
      </c>
      <c r="F3972" s="2">
        <f t="shared" si="598"/>
        <v>45961</v>
      </c>
    </row>
    <row r="3973" spans="1:6" x14ac:dyDescent="0.25">
      <c r="A3973" s="1" t="s">
        <v>77</v>
      </c>
      <c r="B3973" s="1" t="s">
        <v>902</v>
      </c>
      <c r="C3973" s="1" t="s">
        <v>22</v>
      </c>
      <c r="D3973" s="3">
        <f t="shared" si="596"/>
        <v>8151</v>
      </c>
      <c r="E3973" s="2">
        <f t="shared" si="597"/>
        <v>43405</v>
      </c>
      <c r="F3973" s="2">
        <f t="shared" si="598"/>
        <v>45961</v>
      </c>
    </row>
    <row r="3974" spans="1:6" x14ac:dyDescent="0.25">
      <c r="A3974" s="1" t="s">
        <v>77</v>
      </c>
      <c r="B3974" s="1" t="s">
        <v>902</v>
      </c>
      <c r="C3974" s="1" t="s">
        <v>146</v>
      </c>
      <c r="D3974" s="3">
        <f t="shared" si="596"/>
        <v>8151</v>
      </c>
      <c r="E3974" s="2">
        <f t="shared" si="597"/>
        <v>43405</v>
      </c>
      <c r="F3974" s="2">
        <f t="shared" si="598"/>
        <v>45961</v>
      </c>
    </row>
    <row r="3975" spans="1:6" x14ac:dyDescent="0.25">
      <c r="A3975" s="1" t="s">
        <v>77</v>
      </c>
      <c r="B3975" s="1" t="s">
        <v>902</v>
      </c>
      <c r="C3975" s="1" t="s">
        <v>67</v>
      </c>
      <c r="D3975" s="3">
        <f t="shared" si="596"/>
        <v>8151</v>
      </c>
      <c r="E3975" s="2">
        <f t="shared" si="597"/>
        <v>43405</v>
      </c>
      <c r="F3975" s="2">
        <f t="shared" si="598"/>
        <v>45961</v>
      </c>
    </row>
    <row r="3976" spans="1:6" x14ac:dyDescent="0.25">
      <c r="A3976" s="1" t="s">
        <v>77</v>
      </c>
      <c r="B3976" s="1" t="s">
        <v>902</v>
      </c>
      <c r="C3976" s="1" t="s">
        <v>148</v>
      </c>
      <c r="D3976" s="3">
        <f t="shared" si="596"/>
        <v>8151</v>
      </c>
      <c r="E3976" s="2">
        <f t="shared" si="597"/>
        <v>43405</v>
      </c>
      <c r="F3976" s="2">
        <f t="shared" si="598"/>
        <v>45961</v>
      </c>
    </row>
    <row r="3977" spans="1:6" x14ac:dyDescent="0.25">
      <c r="A3977" s="1" t="s">
        <v>77</v>
      </c>
      <c r="B3977" s="1" t="s">
        <v>902</v>
      </c>
      <c r="C3977" s="1" t="s">
        <v>149</v>
      </c>
      <c r="D3977" s="3">
        <f t="shared" si="596"/>
        <v>8151</v>
      </c>
      <c r="E3977" s="2">
        <f t="shared" si="597"/>
        <v>43405</v>
      </c>
      <c r="F3977" s="2">
        <f t="shared" si="598"/>
        <v>45961</v>
      </c>
    </row>
    <row r="3978" spans="1:6" x14ac:dyDescent="0.25">
      <c r="A3978" s="1" t="s">
        <v>77</v>
      </c>
      <c r="B3978" s="1" t="s">
        <v>902</v>
      </c>
      <c r="C3978" s="1" t="s">
        <v>386</v>
      </c>
      <c r="D3978" s="3">
        <f t="shared" si="596"/>
        <v>8151</v>
      </c>
      <c r="E3978" s="2">
        <f t="shared" si="597"/>
        <v>43405</v>
      </c>
      <c r="F3978" s="2">
        <f t="shared" si="598"/>
        <v>45961</v>
      </c>
    </row>
    <row r="3979" spans="1:6" x14ac:dyDescent="0.25">
      <c r="A3979" s="1" t="s">
        <v>77</v>
      </c>
      <c r="B3979" s="1" t="s">
        <v>902</v>
      </c>
      <c r="C3979" s="1" t="s">
        <v>92</v>
      </c>
      <c r="D3979" s="3">
        <f t="shared" si="596"/>
        <v>8151</v>
      </c>
      <c r="E3979" s="2">
        <f t="shared" si="597"/>
        <v>43405</v>
      </c>
      <c r="F3979" s="2">
        <f t="shared" si="598"/>
        <v>45961</v>
      </c>
    </row>
    <row r="3980" spans="1:6" x14ac:dyDescent="0.25">
      <c r="A3980" s="1" t="s">
        <v>77</v>
      </c>
      <c r="B3980" s="1" t="s">
        <v>902</v>
      </c>
      <c r="C3980" s="1" t="s">
        <v>24</v>
      </c>
      <c r="D3980" s="3">
        <f t="shared" si="596"/>
        <v>8151</v>
      </c>
      <c r="E3980" s="2">
        <f t="shared" si="597"/>
        <v>43405</v>
      </c>
      <c r="F3980" s="2">
        <f t="shared" si="598"/>
        <v>45961</v>
      </c>
    </row>
    <row r="3981" spans="1:6" x14ac:dyDescent="0.25">
      <c r="A3981" s="1" t="s">
        <v>77</v>
      </c>
      <c r="B3981" s="1" t="s">
        <v>902</v>
      </c>
      <c r="C3981" s="1" t="s">
        <v>70</v>
      </c>
      <c r="D3981" s="3">
        <f t="shared" si="596"/>
        <v>8151</v>
      </c>
      <c r="E3981" s="2">
        <f t="shared" si="597"/>
        <v>43405</v>
      </c>
      <c r="F3981" s="2">
        <f t="shared" si="598"/>
        <v>45961</v>
      </c>
    </row>
    <row r="3982" spans="1:6" x14ac:dyDescent="0.25">
      <c r="A3982" s="1" t="s">
        <v>77</v>
      </c>
      <c r="B3982" s="1" t="s">
        <v>902</v>
      </c>
      <c r="C3982" s="1" t="s">
        <v>72</v>
      </c>
      <c r="D3982" s="3">
        <f t="shared" si="596"/>
        <v>8151</v>
      </c>
      <c r="E3982" s="2">
        <f t="shared" si="597"/>
        <v>43405</v>
      </c>
      <c r="F3982" s="2">
        <f t="shared" si="598"/>
        <v>45961</v>
      </c>
    </row>
    <row r="3983" spans="1:6" x14ac:dyDescent="0.25">
      <c r="A3983" s="1" t="s">
        <v>77</v>
      </c>
      <c r="B3983" s="1" t="s">
        <v>902</v>
      </c>
      <c r="C3983" s="1" t="s">
        <v>283</v>
      </c>
      <c r="D3983" s="3">
        <f t="shared" si="596"/>
        <v>8151</v>
      </c>
      <c r="E3983" s="2">
        <f t="shared" si="597"/>
        <v>43405</v>
      </c>
      <c r="F3983" s="2">
        <f t="shared" si="598"/>
        <v>45961</v>
      </c>
    </row>
    <row r="3984" spans="1:6" x14ac:dyDescent="0.25">
      <c r="A3984" s="1" t="s">
        <v>77</v>
      </c>
      <c r="B3984" s="1" t="s">
        <v>902</v>
      </c>
      <c r="C3984" s="1" t="s">
        <v>73</v>
      </c>
      <c r="D3984" s="3">
        <f t="shared" si="596"/>
        <v>8151</v>
      </c>
      <c r="E3984" s="2">
        <f t="shared" si="597"/>
        <v>43405</v>
      </c>
      <c r="F3984" s="2">
        <f t="shared" si="598"/>
        <v>45961</v>
      </c>
    </row>
    <row r="3985" spans="1:6" x14ac:dyDescent="0.25">
      <c r="A3985" s="1" t="s">
        <v>77</v>
      </c>
      <c r="B3985" s="1" t="s">
        <v>902</v>
      </c>
      <c r="C3985" s="1" t="s">
        <v>52</v>
      </c>
      <c r="D3985" s="3">
        <f t="shared" si="596"/>
        <v>8151</v>
      </c>
      <c r="E3985" s="2">
        <f t="shared" si="597"/>
        <v>43405</v>
      </c>
      <c r="F3985" s="2">
        <f t="shared" si="598"/>
        <v>45961</v>
      </c>
    </row>
    <row r="3986" spans="1:6" x14ac:dyDescent="0.25">
      <c r="A3986" s="1" t="s">
        <v>77</v>
      </c>
      <c r="B3986" s="1" t="s">
        <v>902</v>
      </c>
      <c r="C3986" s="1" t="s">
        <v>34</v>
      </c>
      <c r="D3986" s="3">
        <f t="shared" si="596"/>
        <v>8151</v>
      </c>
      <c r="E3986" s="2">
        <f t="shared" si="597"/>
        <v>43405</v>
      </c>
      <c r="F3986" s="2">
        <f t="shared" si="598"/>
        <v>45961</v>
      </c>
    </row>
    <row r="3987" spans="1:6" x14ac:dyDescent="0.25">
      <c r="A3987" s="1" t="s">
        <v>77</v>
      </c>
      <c r="B3987" s="1" t="s">
        <v>902</v>
      </c>
      <c r="C3987" s="1" t="s">
        <v>55</v>
      </c>
      <c r="D3987" s="3">
        <f t="shared" si="596"/>
        <v>8151</v>
      </c>
      <c r="E3987" s="2">
        <f t="shared" si="597"/>
        <v>43405</v>
      </c>
      <c r="F3987" s="2">
        <f t="shared" si="598"/>
        <v>45961</v>
      </c>
    </row>
    <row r="3988" spans="1:6" x14ac:dyDescent="0.25">
      <c r="A3988" s="1" t="s">
        <v>77</v>
      </c>
      <c r="B3988" s="1" t="s">
        <v>902</v>
      </c>
      <c r="C3988" s="1" t="s">
        <v>170</v>
      </c>
      <c r="D3988" s="3">
        <f t="shared" si="596"/>
        <v>8151</v>
      </c>
      <c r="E3988" s="2">
        <f t="shared" si="597"/>
        <v>43405</v>
      </c>
      <c r="F3988" s="2">
        <f t="shared" si="598"/>
        <v>45961</v>
      </c>
    </row>
    <row r="3989" spans="1:6" x14ac:dyDescent="0.25">
      <c r="A3989" s="1" t="s">
        <v>77</v>
      </c>
      <c r="B3989" s="1" t="s">
        <v>1065</v>
      </c>
      <c r="C3989" s="1" t="s">
        <v>7</v>
      </c>
      <c r="D3989" s="3">
        <f t="shared" ref="D3989:D3999" si="599">VALUE("8343")</f>
        <v>8343</v>
      </c>
      <c r="E3989" s="2">
        <f t="shared" ref="E3989:E3999" si="600">DATEVALUE("1-9-2018")</f>
        <v>43344</v>
      </c>
      <c r="F3989" s="2">
        <f t="shared" ref="F3989:F3999" si="601">DATEVALUE("31-8-2021")</f>
        <v>44439</v>
      </c>
    </row>
    <row r="3990" spans="1:6" x14ac:dyDescent="0.25">
      <c r="A3990" s="1" t="s">
        <v>77</v>
      </c>
      <c r="B3990" s="1" t="s">
        <v>1065</v>
      </c>
      <c r="C3990" s="1" t="s">
        <v>8</v>
      </c>
      <c r="D3990" s="3">
        <f t="shared" si="599"/>
        <v>8343</v>
      </c>
      <c r="E3990" s="2">
        <f t="shared" si="600"/>
        <v>43344</v>
      </c>
      <c r="F3990" s="2">
        <f t="shared" si="601"/>
        <v>44439</v>
      </c>
    </row>
    <row r="3991" spans="1:6" x14ac:dyDescent="0.25">
      <c r="A3991" s="1" t="s">
        <v>77</v>
      </c>
      <c r="B3991" s="1" t="s">
        <v>1065</v>
      </c>
      <c r="C3991" s="1" t="s">
        <v>10</v>
      </c>
      <c r="D3991" s="3">
        <f t="shared" si="599"/>
        <v>8343</v>
      </c>
      <c r="E3991" s="2">
        <f t="shared" si="600"/>
        <v>43344</v>
      </c>
      <c r="F3991" s="2">
        <f t="shared" si="601"/>
        <v>44439</v>
      </c>
    </row>
    <row r="3992" spans="1:6" x14ac:dyDescent="0.25">
      <c r="A3992" s="1" t="s">
        <v>77</v>
      </c>
      <c r="B3992" s="1" t="s">
        <v>1065</v>
      </c>
      <c r="C3992" s="1" t="s">
        <v>17</v>
      </c>
      <c r="D3992" s="3">
        <f t="shared" si="599"/>
        <v>8343</v>
      </c>
      <c r="E3992" s="2">
        <f t="shared" si="600"/>
        <v>43344</v>
      </c>
      <c r="F3992" s="2">
        <f t="shared" si="601"/>
        <v>44439</v>
      </c>
    </row>
    <row r="3993" spans="1:6" x14ac:dyDescent="0.25">
      <c r="A3993" s="1" t="s">
        <v>77</v>
      </c>
      <c r="B3993" s="1" t="s">
        <v>1065</v>
      </c>
      <c r="C3993" s="1" t="s">
        <v>22</v>
      </c>
      <c r="D3993" s="3">
        <f t="shared" si="599"/>
        <v>8343</v>
      </c>
      <c r="E3993" s="2">
        <f t="shared" si="600"/>
        <v>43344</v>
      </c>
      <c r="F3993" s="2">
        <f t="shared" si="601"/>
        <v>44439</v>
      </c>
    </row>
    <row r="3994" spans="1:6" x14ac:dyDescent="0.25">
      <c r="A3994" s="1" t="s">
        <v>77</v>
      </c>
      <c r="B3994" s="1" t="s">
        <v>1065</v>
      </c>
      <c r="C3994" s="1" t="s">
        <v>72</v>
      </c>
      <c r="D3994" s="3">
        <f t="shared" si="599"/>
        <v>8343</v>
      </c>
      <c r="E3994" s="2">
        <f t="shared" si="600"/>
        <v>43344</v>
      </c>
      <c r="F3994" s="2">
        <f t="shared" si="601"/>
        <v>44439</v>
      </c>
    </row>
    <row r="3995" spans="1:6" x14ac:dyDescent="0.25">
      <c r="A3995" s="1" t="s">
        <v>77</v>
      </c>
      <c r="B3995" s="1" t="s">
        <v>1065</v>
      </c>
      <c r="C3995" s="1" t="s">
        <v>226</v>
      </c>
      <c r="D3995" s="3">
        <f t="shared" si="599"/>
        <v>8343</v>
      </c>
      <c r="E3995" s="2">
        <f t="shared" si="600"/>
        <v>43344</v>
      </c>
      <c r="F3995" s="2">
        <f t="shared" si="601"/>
        <v>44439</v>
      </c>
    </row>
    <row r="3996" spans="1:6" x14ac:dyDescent="0.25">
      <c r="A3996" s="1" t="s">
        <v>77</v>
      </c>
      <c r="B3996" s="1" t="s">
        <v>1065</v>
      </c>
      <c r="C3996" s="1" t="s">
        <v>793</v>
      </c>
      <c r="D3996" s="3">
        <f t="shared" si="599"/>
        <v>8343</v>
      </c>
      <c r="E3996" s="2">
        <f t="shared" si="600"/>
        <v>43344</v>
      </c>
      <c r="F3996" s="2">
        <f t="shared" si="601"/>
        <v>44439</v>
      </c>
    </row>
    <row r="3997" spans="1:6" x14ac:dyDescent="0.25">
      <c r="A3997" s="1" t="s">
        <v>77</v>
      </c>
      <c r="B3997" s="1" t="s">
        <v>1065</v>
      </c>
      <c r="C3997" s="1" t="s">
        <v>30</v>
      </c>
      <c r="D3997" s="3">
        <f t="shared" si="599"/>
        <v>8343</v>
      </c>
      <c r="E3997" s="2">
        <f t="shared" si="600"/>
        <v>43344</v>
      </c>
      <c r="F3997" s="2">
        <f t="shared" si="601"/>
        <v>44439</v>
      </c>
    </row>
    <row r="3998" spans="1:6" x14ac:dyDescent="0.25">
      <c r="A3998" s="1" t="s">
        <v>77</v>
      </c>
      <c r="B3998" s="1" t="s">
        <v>1065</v>
      </c>
      <c r="C3998" s="1" t="s">
        <v>52</v>
      </c>
      <c r="D3998" s="3">
        <f t="shared" si="599"/>
        <v>8343</v>
      </c>
      <c r="E3998" s="2">
        <f t="shared" si="600"/>
        <v>43344</v>
      </c>
      <c r="F3998" s="2">
        <f t="shared" si="601"/>
        <v>44439</v>
      </c>
    </row>
    <row r="3999" spans="1:6" x14ac:dyDescent="0.25">
      <c r="A3999" s="1" t="s">
        <v>77</v>
      </c>
      <c r="B3999" s="1" t="s">
        <v>1065</v>
      </c>
      <c r="C3999" s="1" t="s">
        <v>241</v>
      </c>
      <c r="D3999" s="3">
        <f t="shared" si="599"/>
        <v>8343</v>
      </c>
      <c r="E3999" s="2">
        <f t="shared" si="600"/>
        <v>43344</v>
      </c>
      <c r="F3999" s="2">
        <f t="shared" si="601"/>
        <v>44439</v>
      </c>
    </row>
    <row r="4000" spans="1:6" x14ac:dyDescent="0.25">
      <c r="A4000" s="1" t="s">
        <v>77</v>
      </c>
      <c r="B4000" s="1" t="s">
        <v>76</v>
      </c>
      <c r="C4000" s="1" t="s">
        <v>7</v>
      </c>
      <c r="D4000" s="3">
        <f t="shared" ref="D4000:D4040" si="602">VALUE("7953")</f>
        <v>7953</v>
      </c>
      <c r="E4000" s="2">
        <f t="shared" ref="E4000:E4040" si="603">DATEVALUE("1-8-2016")</f>
        <v>42583</v>
      </c>
      <c r="F4000" s="2">
        <f t="shared" ref="F4000:F4040" si="604">DATEVALUE("31-3-2025")</f>
        <v>45747</v>
      </c>
    </row>
    <row r="4001" spans="1:6" x14ac:dyDescent="0.25">
      <c r="A4001" s="1" t="s">
        <v>77</v>
      </c>
      <c r="B4001" s="1" t="s">
        <v>76</v>
      </c>
      <c r="C4001" s="1" t="s">
        <v>80</v>
      </c>
      <c r="D4001" s="3">
        <f t="shared" si="602"/>
        <v>7953</v>
      </c>
      <c r="E4001" s="2">
        <f t="shared" si="603"/>
        <v>42583</v>
      </c>
      <c r="F4001" s="2">
        <f t="shared" si="604"/>
        <v>45747</v>
      </c>
    </row>
    <row r="4002" spans="1:6" x14ac:dyDescent="0.25">
      <c r="A4002" s="1" t="s">
        <v>77</v>
      </c>
      <c r="B4002" s="1" t="s">
        <v>76</v>
      </c>
      <c r="C4002" s="1" t="s">
        <v>39</v>
      </c>
      <c r="D4002" s="3">
        <f t="shared" si="602"/>
        <v>7953</v>
      </c>
      <c r="E4002" s="2">
        <f t="shared" si="603"/>
        <v>42583</v>
      </c>
      <c r="F4002" s="2">
        <f t="shared" si="604"/>
        <v>45747</v>
      </c>
    </row>
    <row r="4003" spans="1:6" x14ac:dyDescent="0.25">
      <c r="A4003" s="1" t="s">
        <v>77</v>
      </c>
      <c r="B4003" s="1" t="s">
        <v>76</v>
      </c>
      <c r="C4003" s="1" t="s">
        <v>8</v>
      </c>
      <c r="D4003" s="3">
        <f t="shared" si="602"/>
        <v>7953</v>
      </c>
      <c r="E4003" s="2">
        <f t="shared" si="603"/>
        <v>42583</v>
      </c>
      <c r="F4003" s="2">
        <f t="shared" si="604"/>
        <v>45747</v>
      </c>
    </row>
    <row r="4004" spans="1:6" x14ac:dyDescent="0.25">
      <c r="A4004" s="1" t="s">
        <v>77</v>
      </c>
      <c r="B4004" s="1" t="s">
        <v>76</v>
      </c>
      <c r="C4004" s="1" t="s">
        <v>10</v>
      </c>
      <c r="D4004" s="3">
        <f t="shared" si="602"/>
        <v>7953</v>
      </c>
      <c r="E4004" s="2">
        <f t="shared" si="603"/>
        <v>42583</v>
      </c>
      <c r="F4004" s="2">
        <f t="shared" si="604"/>
        <v>45747</v>
      </c>
    </row>
    <row r="4005" spans="1:6" x14ac:dyDescent="0.25">
      <c r="A4005" s="1" t="s">
        <v>77</v>
      </c>
      <c r="B4005" s="1" t="s">
        <v>76</v>
      </c>
      <c r="C4005" s="1" t="s">
        <v>83</v>
      </c>
      <c r="D4005" s="3">
        <f t="shared" si="602"/>
        <v>7953</v>
      </c>
      <c r="E4005" s="2">
        <f t="shared" si="603"/>
        <v>42583</v>
      </c>
      <c r="F4005" s="2">
        <f t="shared" si="604"/>
        <v>45747</v>
      </c>
    </row>
    <row r="4006" spans="1:6" x14ac:dyDescent="0.25">
      <c r="A4006" s="1" t="s">
        <v>77</v>
      </c>
      <c r="B4006" s="1" t="s">
        <v>76</v>
      </c>
      <c r="C4006" s="1" t="s">
        <v>184</v>
      </c>
      <c r="D4006" s="3">
        <f t="shared" si="602"/>
        <v>7953</v>
      </c>
      <c r="E4006" s="2">
        <f t="shared" si="603"/>
        <v>42583</v>
      </c>
      <c r="F4006" s="2">
        <f t="shared" si="604"/>
        <v>45747</v>
      </c>
    </row>
    <row r="4007" spans="1:6" x14ac:dyDescent="0.25">
      <c r="A4007" s="1" t="s">
        <v>77</v>
      </c>
      <c r="B4007" s="1" t="s">
        <v>76</v>
      </c>
      <c r="C4007" s="1" t="s">
        <v>85</v>
      </c>
      <c r="D4007" s="3">
        <f t="shared" si="602"/>
        <v>7953</v>
      </c>
      <c r="E4007" s="2">
        <f t="shared" si="603"/>
        <v>42583</v>
      </c>
      <c r="F4007" s="2">
        <f t="shared" si="604"/>
        <v>45747</v>
      </c>
    </row>
    <row r="4008" spans="1:6" x14ac:dyDescent="0.25">
      <c r="A4008" s="1" t="s">
        <v>77</v>
      </c>
      <c r="B4008" s="1" t="s">
        <v>76</v>
      </c>
      <c r="C4008" s="1" t="s">
        <v>84</v>
      </c>
      <c r="D4008" s="3">
        <f t="shared" si="602"/>
        <v>7953</v>
      </c>
      <c r="E4008" s="2">
        <f t="shared" si="603"/>
        <v>42583</v>
      </c>
      <c r="F4008" s="2">
        <f t="shared" si="604"/>
        <v>45747</v>
      </c>
    </row>
    <row r="4009" spans="1:6" x14ac:dyDescent="0.25">
      <c r="A4009" s="1" t="s">
        <v>77</v>
      </c>
      <c r="B4009" s="1" t="s">
        <v>76</v>
      </c>
      <c r="C4009" s="1" t="s">
        <v>65</v>
      </c>
      <c r="D4009" s="3">
        <f t="shared" si="602"/>
        <v>7953</v>
      </c>
      <c r="E4009" s="2">
        <f t="shared" si="603"/>
        <v>42583</v>
      </c>
      <c r="F4009" s="2">
        <f t="shared" si="604"/>
        <v>45747</v>
      </c>
    </row>
    <row r="4010" spans="1:6" x14ac:dyDescent="0.25">
      <c r="A4010" s="1" t="s">
        <v>77</v>
      </c>
      <c r="B4010" s="1" t="s">
        <v>76</v>
      </c>
      <c r="C4010" s="1" t="s">
        <v>14</v>
      </c>
      <c r="D4010" s="3">
        <f t="shared" si="602"/>
        <v>7953</v>
      </c>
      <c r="E4010" s="2">
        <f t="shared" si="603"/>
        <v>42583</v>
      </c>
      <c r="F4010" s="2">
        <f t="shared" si="604"/>
        <v>45747</v>
      </c>
    </row>
    <row r="4011" spans="1:6" x14ac:dyDescent="0.25">
      <c r="A4011" s="1" t="s">
        <v>77</v>
      </c>
      <c r="B4011" s="1" t="s">
        <v>76</v>
      </c>
      <c r="C4011" s="1" t="s">
        <v>17</v>
      </c>
      <c r="D4011" s="3">
        <f t="shared" si="602"/>
        <v>7953</v>
      </c>
      <c r="E4011" s="2">
        <f t="shared" si="603"/>
        <v>42583</v>
      </c>
      <c r="F4011" s="2">
        <f t="shared" si="604"/>
        <v>45747</v>
      </c>
    </row>
    <row r="4012" spans="1:6" x14ac:dyDescent="0.25">
      <c r="A4012" s="1" t="s">
        <v>77</v>
      </c>
      <c r="B4012" s="1" t="s">
        <v>76</v>
      </c>
      <c r="C4012" s="1" t="s">
        <v>257</v>
      </c>
      <c r="D4012" s="3">
        <f t="shared" si="602"/>
        <v>7953</v>
      </c>
      <c r="E4012" s="2">
        <f t="shared" si="603"/>
        <v>42583</v>
      </c>
      <c r="F4012" s="2">
        <f t="shared" si="604"/>
        <v>45747</v>
      </c>
    </row>
    <row r="4013" spans="1:6" x14ac:dyDescent="0.25">
      <c r="A4013" s="1" t="s">
        <v>77</v>
      </c>
      <c r="B4013" s="1" t="s">
        <v>76</v>
      </c>
      <c r="C4013" s="1" t="s">
        <v>91</v>
      </c>
      <c r="D4013" s="3">
        <f t="shared" si="602"/>
        <v>7953</v>
      </c>
      <c r="E4013" s="2">
        <f t="shared" si="603"/>
        <v>42583</v>
      </c>
      <c r="F4013" s="2">
        <f t="shared" si="604"/>
        <v>45747</v>
      </c>
    </row>
    <row r="4014" spans="1:6" x14ac:dyDescent="0.25">
      <c r="A4014" s="1" t="s">
        <v>77</v>
      </c>
      <c r="B4014" s="1" t="s">
        <v>76</v>
      </c>
      <c r="C4014" s="1" t="s">
        <v>22</v>
      </c>
      <c r="D4014" s="3">
        <f t="shared" si="602"/>
        <v>7953</v>
      </c>
      <c r="E4014" s="2">
        <f t="shared" si="603"/>
        <v>42583</v>
      </c>
      <c r="F4014" s="2">
        <f t="shared" si="604"/>
        <v>45747</v>
      </c>
    </row>
    <row r="4015" spans="1:6" x14ac:dyDescent="0.25">
      <c r="A4015" s="1" t="s">
        <v>77</v>
      </c>
      <c r="B4015" s="1" t="s">
        <v>76</v>
      </c>
      <c r="C4015" s="1" t="s">
        <v>146</v>
      </c>
      <c r="D4015" s="3">
        <f t="shared" si="602"/>
        <v>7953</v>
      </c>
      <c r="E4015" s="2">
        <f t="shared" si="603"/>
        <v>42583</v>
      </c>
      <c r="F4015" s="2">
        <f t="shared" si="604"/>
        <v>45747</v>
      </c>
    </row>
    <row r="4016" spans="1:6" x14ac:dyDescent="0.25">
      <c r="A4016" s="1" t="s">
        <v>77</v>
      </c>
      <c r="B4016" s="1" t="s">
        <v>76</v>
      </c>
      <c r="C4016" s="1" t="s">
        <v>67</v>
      </c>
      <c r="D4016" s="3">
        <f t="shared" si="602"/>
        <v>7953</v>
      </c>
      <c r="E4016" s="2">
        <f t="shared" si="603"/>
        <v>42583</v>
      </c>
      <c r="F4016" s="2">
        <f t="shared" si="604"/>
        <v>45747</v>
      </c>
    </row>
    <row r="4017" spans="1:6" x14ac:dyDescent="0.25">
      <c r="A4017" s="1" t="s">
        <v>77</v>
      </c>
      <c r="B4017" s="1" t="s">
        <v>76</v>
      </c>
      <c r="C4017" s="1" t="s">
        <v>148</v>
      </c>
      <c r="D4017" s="3">
        <f t="shared" si="602"/>
        <v>7953</v>
      </c>
      <c r="E4017" s="2">
        <f t="shared" si="603"/>
        <v>42583</v>
      </c>
      <c r="F4017" s="2">
        <f t="shared" si="604"/>
        <v>45747</v>
      </c>
    </row>
    <row r="4018" spans="1:6" x14ac:dyDescent="0.25">
      <c r="A4018" s="1" t="s">
        <v>77</v>
      </c>
      <c r="B4018" s="1" t="s">
        <v>76</v>
      </c>
      <c r="C4018" s="1" t="s">
        <v>149</v>
      </c>
      <c r="D4018" s="3">
        <f t="shared" si="602"/>
        <v>7953</v>
      </c>
      <c r="E4018" s="2">
        <f t="shared" si="603"/>
        <v>42583</v>
      </c>
      <c r="F4018" s="2">
        <f t="shared" si="604"/>
        <v>45747</v>
      </c>
    </row>
    <row r="4019" spans="1:6" x14ac:dyDescent="0.25">
      <c r="A4019" s="1" t="s">
        <v>77</v>
      </c>
      <c r="B4019" s="1" t="s">
        <v>76</v>
      </c>
      <c r="C4019" s="1" t="s">
        <v>150</v>
      </c>
      <c r="D4019" s="3">
        <f t="shared" si="602"/>
        <v>7953</v>
      </c>
      <c r="E4019" s="2">
        <f t="shared" si="603"/>
        <v>42583</v>
      </c>
      <c r="F4019" s="2">
        <f t="shared" si="604"/>
        <v>45747</v>
      </c>
    </row>
    <row r="4020" spans="1:6" x14ac:dyDescent="0.25">
      <c r="A4020" s="1" t="s">
        <v>77</v>
      </c>
      <c r="B4020" s="1" t="s">
        <v>76</v>
      </c>
      <c r="C4020" s="1" t="s">
        <v>92</v>
      </c>
      <c r="D4020" s="3">
        <f t="shared" si="602"/>
        <v>7953</v>
      </c>
      <c r="E4020" s="2">
        <f t="shared" si="603"/>
        <v>42583</v>
      </c>
      <c r="F4020" s="2">
        <f t="shared" si="604"/>
        <v>45747</v>
      </c>
    </row>
    <row r="4021" spans="1:6" x14ac:dyDescent="0.25">
      <c r="A4021" s="1" t="s">
        <v>77</v>
      </c>
      <c r="B4021" s="1" t="s">
        <v>76</v>
      </c>
      <c r="C4021" s="1" t="s">
        <v>93</v>
      </c>
      <c r="D4021" s="3">
        <f t="shared" si="602"/>
        <v>7953</v>
      </c>
      <c r="E4021" s="2">
        <f t="shared" si="603"/>
        <v>42583</v>
      </c>
      <c r="F4021" s="2">
        <f t="shared" si="604"/>
        <v>45747</v>
      </c>
    </row>
    <row r="4022" spans="1:6" x14ac:dyDescent="0.25">
      <c r="A4022" s="1" t="s">
        <v>77</v>
      </c>
      <c r="B4022" s="1" t="s">
        <v>76</v>
      </c>
      <c r="C4022" s="1" t="s">
        <v>763</v>
      </c>
      <c r="D4022" s="3">
        <f t="shared" si="602"/>
        <v>7953</v>
      </c>
      <c r="E4022" s="2">
        <f t="shared" si="603"/>
        <v>42583</v>
      </c>
      <c r="F4022" s="2">
        <f t="shared" si="604"/>
        <v>45747</v>
      </c>
    </row>
    <row r="4023" spans="1:6" x14ac:dyDescent="0.25">
      <c r="A4023" s="1" t="s">
        <v>77</v>
      </c>
      <c r="B4023" s="1" t="s">
        <v>76</v>
      </c>
      <c r="C4023" s="1" t="s">
        <v>764</v>
      </c>
      <c r="D4023" s="3">
        <f t="shared" si="602"/>
        <v>7953</v>
      </c>
      <c r="E4023" s="2">
        <f t="shared" si="603"/>
        <v>42583</v>
      </c>
      <c r="F4023" s="2">
        <f t="shared" si="604"/>
        <v>45747</v>
      </c>
    </row>
    <row r="4024" spans="1:6" x14ac:dyDescent="0.25">
      <c r="A4024" s="1" t="s">
        <v>77</v>
      </c>
      <c r="B4024" s="1" t="s">
        <v>76</v>
      </c>
      <c r="C4024" s="1" t="s">
        <v>765</v>
      </c>
      <c r="D4024" s="3">
        <f t="shared" si="602"/>
        <v>7953</v>
      </c>
      <c r="E4024" s="2">
        <f t="shared" si="603"/>
        <v>42583</v>
      </c>
      <c r="F4024" s="2">
        <f t="shared" si="604"/>
        <v>45747</v>
      </c>
    </row>
    <row r="4025" spans="1:6" x14ac:dyDescent="0.25">
      <c r="A4025" s="1" t="s">
        <v>77</v>
      </c>
      <c r="B4025" s="1" t="s">
        <v>76</v>
      </c>
      <c r="C4025" s="1" t="s">
        <v>94</v>
      </c>
      <c r="D4025" s="3">
        <f t="shared" si="602"/>
        <v>7953</v>
      </c>
      <c r="E4025" s="2">
        <f t="shared" si="603"/>
        <v>42583</v>
      </c>
      <c r="F4025" s="2">
        <f t="shared" si="604"/>
        <v>45747</v>
      </c>
    </row>
    <row r="4026" spans="1:6" x14ac:dyDescent="0.25">
      <c r="A4026" s="1" t="s">
        <v>77</v>
      </c>
      <c r="B4026" s="1" t="s">
        <v>76</v>
      </c>
      <c r="C4026" s="1" t="s">
        <v>212</v>
      </c>
      <c r="D4026" s="3">
        <f t="shared" si="602"/>
        <v>7953</v>
      </c>
      <c r="E4026" s="2">
        <f t="shared" si="603"/>
        <v>42583</v>
      </c>
      <c r="F4026" s="2">
        <f t="shared" si="604"/>
        <v>45747</v>
      </c>
    </row>
    <row r="4027" spans="1:6" x14ac:dyDescent="0.25">
      <c r="A4027" s="1" t="s">
        <v>77</v>
      </c>
      <c r="B4027" s="1" t="s">
        <v>76</v>
      </c>
      <c r="C4027" s="1" t="s">
        <v>24</v>
      </c>
      <c r="D4027" s="3">
        <f t="shared" si="602"/>
        <v>7953</v>
      </c>
      <c r="E4027" s="2">
        <f t="shared" si="603"/>
        <v>42583</v>
      </c>
      <c r="F4027" s="2">
        <f t="shared" si="604"/>
        <v>45747</v>
      </c>
    </row>
    <row r="4028" spans="1:6" x14ac:dyDescent="0.25">
      <c r="A4028" s="1" t="s">
        <v>77</v>
      </c>
      <c r="B4028" s="1" t="s">
        <v>76</v>
      </c>
      <c r="C4028" s="1" t="s">
        <v>26</v>
      </c>
      <c r="D4028" s="3">
        <f t="shared" si="602"/>
        <v>7953</v>
      </c>
      <c r="E4028" s="2">
        <f t="shared" si="603"/>
        <v>42583</v>
      </c>
      <c r="F4028" s="2">
        <f t="shared" si="604"/>
        <v>45747</v>
      </c>
    </row>
    <row r="4029" spans="1:6" x14ac:dyDescent="0.25">
      <c r="A4029" s="1" t="s">
        <v>77</v>
      </c>
      <c r="B4029" s="1" t="s">
        <v>76</v>
      </c>
      <c r="C4029" s="1" t="s">
        <v>102</v>
      </c>
      <c r="D4029" s="3">
        <f t="shared" si="602"/>
        <v>7953</v>
      </c>
      <c r="E4029" s="2">
        <f t="shared" si="603"/>
        <v>42583</v>
      </c>
      <c r="F4029" s="2">
        <f t="shared" si="604"/>
        <v>45747</v>
      </c>
    </row>
    <row r="4030" spans="1:6" x14ac:dyDescent="0.25">
      <c r="A4030" s="1" t="s">
        <v>77</v>
      </c>
      <c r="B4030" s="1" t="s">
        <v>76</v>
      </c>
      <c r="C4030" s="1" t="s">
        <v>103</v>
      </c>
      <c r="D4030" s="3">
        <f t="shared" si="602"/>
        <v>7953</v>
      </c>
      <c r="E4030" s="2">
        <f t="shared" si="603"/>
        <v>42583</v>
      </c>
      <c r="F4030" s="2">
        <f t="shared" si="604"/>
        <v>45747</v>
      </c>
    </row>
    <row r="4031" spans="1:6" x14ac:dyDescent="0.25">
      <c r="A4031" s="1" t="s">
        <v>77</v>
      </c>
      <c r="B4031" s="1" t="s">
        <v>76</v>
      </c>
      <c r="C4031" s="1" t="s">
        <v>283</v>
      </c>
      <c r="D4031" s="3">
        <f t="shared" si="602"/>
        <v>7953</v>
      </c>
      <c r="E4031" s="2">
        <f t="shared" si="603"/>
        <v>42583</v>
      </c>
      <c r="F4031" s="2">
        <f t="shared" si="604"/>
        <v>45747</v>
      </c>
    </row>
    <row r="4032" spans="1:6" x14ac:dyDescent="0.25">
      <c r="A4032" s="1" t="s">
        <v>77</v>
      </c>
      <c r="B4032" s="1" t="s">
        <v>76</v>
      </c>
      <c r="C4032" s="1" t="s">
        <v>73</v>
      </c>
      <c r="D4032" s="3">
        <f t="shared" si="602"/>
        <v>7953</v>
      </c>
      <c r="E4032" s="2">
        <f t="shared" si="603"/>
        <v>42583</v>
      </c>
      <c r="F4032" s="2">
        <f t="shared" si="604"/>
        <v>45747</v>
      </c>
    </row>
    <row r="4033" spans="1:6" x14ac:dyDescent="0.25">
      <c r="A4033" s="1" t="s">
        <v>77</v>
      </c>
      <c r="B4033" s="1" t="s">
        <v>76</v>
      </c>
      <c r="C4033" s="1" t="s">
        <v>160</v>
      </c>
      <c r="D4033" s="3">
        <f t="shared" si="602"/>
        <v>7953</v>
      </c>
      <c r="E4033" s="2">
        <f t="shared" si="603"/>
        <v>42583</v>
      </c>
      <c r="F4033" s="2">
        <f t="shared" si="604"/>
        <v>45747</v>
      </c>
    </row>
    <row r="4034" spans="1:6" x14ac:dyDescent="0.25">
      <c r="A4034" s="1" t="s">
        <v>77</v>
      </c>
      <c r="B4034" s="1" t="s">
        <v>76</v>
      </c>
      <c r="C4034" s="1" t="s">
        <v>34</v>
      </c>
      <c r="D4034" s="3">
        <f t="shared" si="602"/>
        <v>7953</v>
      </c>
      <c r="E4034" s="2">
        <f t="shared" si="603"/>
        <v>42583</v>
      </c>
      <c r="F4034" s="2">
        <f t="shared" si="604"/>
        <v>45747</v>
      </c>
    </row>
    <row r="4035" spans="1:6" x14ac:dyDescent="0.25">
      <c r="A4035" s="1" t="s">
        <v>77</v>
      </c>
      <c r="B4035" s="1" t="s">
        <v>76</v>
      </c>
      <c r="C4035" s="1" t="s">
        <v>55</v>
      </c>
      <c r="D4035" s="3">
        <f t="shared" si="602"/>
        <v>7953</v>
      </c>
      <c r="E4035" s="2">
        <f t="shared" si="603"/>
        <v>42583</v>
      </c>
      <c r="F4035" s="2">
        <f t="shared" si="604"/>
        <v>45747</v>
      </c>
    </row>
    <row r="4036" spans="1:6" x14ac:dyDescent="0.25">
      <c r="A4036" s="1" t="s">
        <v>77</v>
      </c>
      <c r="B4036" s="1" t="s">
        <v>76</v>
      </c>
      <c r="C4036" s="1" t="s">
        <v>306</v>
      </c>
      <c r="D4036" s="3">
        <f t="shared" si="602"/>
        <v>7953</v>
      </c>
      <c r="E4036" s="2">
        <f t="shared" si="603"/>
        <v>42583</v>
      </c>
      <c r="F4036" s="2">
        <f t="shared" si="604"/>
        <v>45747</v>
      </c>
    </row>
    <row r="4037" spans="1:6" x14ac:dyDescent="0.25">
      <c r="A4037" s="1" t="s">
        <v>77</v>
      </c>
      <c r="B4037" s="1" t="s">
        <v>76</v>
      </c>
      <c r="C4037" s="1" t="s">
        <v>116</v>
      </c>
      <c r="D4037" s="3">
        <f t="shared" si="602"/>
        <v>7953</v>
      </c>
      <c r="E4037" s="2">
        <f t="shared" si="603"/>
        <v>42583</v>
      </c>
      <c r="F4037" s="2">
        <f t="shared" si="604"/>
        <v>45747</v>
      </c>
    </row>
    <row r="4038" spans="1:6" x14ac:dyDescent="0.25">
      <c r="A4038" s="1" t="s">
        <v>77</v>
      </c>
      <c r="B4038" s="1" t="s">
        <v>76</v>
      </c>
      <c r="C4038" s="1" t="s">
        <v>57</v>
      </c>
      <c r="D4038" s="3">
        <f t="shared" si="602"/>
        <v>7953</v>
      </c>
      <c r="E4038" s="2">
        <f t="shared" si="603"/>
        <v>42583</v>
      </c>
      <c r="F4038" s="2">
        <f t="shared" si="604"/>
        <v>45747</v>
      </c>
    </row>
    <row r="4039" spans="1:6" x14ac:dyDescent="0.25">
      <c r="A4039" s="1" t="s">
        <v>77</v>
      </c>
      <c r="B4039" s="1" t="s">
        <v>76</v>
      </c>
      <c r="C4039" s="1" t="s">
        <v>36</v>
      </c>
      <c r="D4039" s="3">
        <f t="shared" si="602"/>
        <v>7953</v>
      </c>
      <c r="E4039" s="2">
        <f t="shared" si="603"/>
        <v>42583</v>
      </c>
      <c r="F4039" s="2">
        <f t="shared" si="604"/>
        <v>45747</v>
      </c>
    </row>
    <row r="4040" spans="1:6" x14ac:dyDescent="0.25">
      <c r="A4040" s="1" t="s">
        <v>77</v>
      </c>
      <c r="B4040" s="1" t="s">
        <v>76</v>
      </c>
      <c r="C4040" s="1" t="s">
        <v>170</v>
      </c>
      <c r="D4040" s="3">
        <f t="shared" si="602"/>
        <v>7953</v>
      </c>
      <c r="E4040" s="2">
        <f t="shared" si="603"/>
        <v>42583</v>
      </c>
      <c r="F4040" s="2">
        <f t="shared" si="604"/>
        <v>45747</v>
      </c>
    </row>
    <row r="4041" spans="1:6" x14ac:dyDescent="0.25">
      <c r="A4041" s="1" t="s">
        <v>77</v>
      </c>
      <c r="B4041" s="1" t="s">
        <v>498</v>
      </c>
      <c r="C4041" s="1" t="s">
        <v>41</v>
      </c>
      <c r="D4041" s="3">
        <f t="shared" ref="D4041:D4083" si="605">VALUE("7683")</f>
        <v>7683</v>
      </c>
      <c r="E4041" s="2">
        <f t="shared" ref="E4041:E4083" si="606">DATEVALUE("1-4-2016")</f>
        <v>42461</v>
      </c>
      <c r="F4041" s="2">
        <f t="shared" ref="F4041:F4083" si="607">DATEVALUE("30-6-2025")</f>
        <v>45838</v>
      </c>
    </row>
    <row r="4042" spans="1:6" x14ac:dyDescent="0.25">
      <c r="A4042" s="1" t="s">
        <v>77</v>
      </c>
      <c r="B4042" s="1" t="s">
        <v>498</v>
      </c>
      <c r="C4042" s="1" t="s">
        <v>85</v>
      </c>
      <c r="D4042" s="3">
        <f t="shared" si="605"/>
        <v>7683</v>
      </c>
      <c r="E4042" s="2">
        <f t="shared" si="606"/>
        <v>42461</v>
      </c>
      <c r="F4042" s="2">
        <f t="shared" si="607"/>
        <v>45838</v>
      </c>
    </row>
    <row r="4043" spans="1:6" x14ac:dyDescent="0.25">
      <c r="A4043" s="1" t="s">
        <v>77</v>
      </c>
      <c r="B4043" s="1" t="s">
        <v>498</v>
      </c>
      <c r="C4043" s="1" t="s">
        <v>84</v>
      </c>
      <c r="D4043" s="3">
        <f t="shared" si="605"/>
        <v>7683</v>
      </c>
      <c r="E4043" s="2">
        <f t="shared" si="606"/>
        <v>42461</v>
      </c>
      <c r="F4043" s="2">
        <f t="shared" si="607"/>
        <v>45838</v>
      </c>
    </row>
    <row r="4044" spans="1:6" x14ac:dyDescent="0.25">
      <c r="A4044" s="1" t="s">
        <v>77</v>
      </c>
      <c r="B4044" s="1" t="s">
        <v>498</v>
      </c>
      <c r="C4044" s="1" t="s">
        <v>14</v>
      </c>
      <c r="D4044" s="3">
        <f t="shared" si="605"/>
        <v>7683</v>
      </c>
      <c r="E4044" s="2">
        <f t="shared" si="606"/>
        <v>42461</v>
      </c>
      <c r="F4044" s="2">
        <f t="shared" si="607"/>
        <v>45838</v>
      </c>
    </row>
    <row r="4045" spans="1:6" x14ac:dyDescent="0.25">
      <c r="A4045" s="1" t="s">
        <v>77</v>
      </c>
      <c r="B4045" s="1" t="s">
        <v>498</v>
      </c>
      <c r="C4045" s="1" t="s">
        <v>15</v>
      </c>
      <c r="D4045" s="3">
        <f t="shared" si="605"/>
        <v>7683</v>
      </c>
      <c r="E4045" s="2">
        <f t="shared" si="606"/>
        <v>42461</v>
      </c>
      <c r="F4045" s="2">
        <f t="shared" si="607"/>
        <v>45838</v>
      </c>
    </row>
    <row r="4046" spans="1:6" x14ac:dyDescent="0.25">
      <c r="A4046" s="1" t="s">
        <v>77</v>
      </c>
      <c r="B4046" s="1" t="s">
        <v>498</v>
      </c>
      <c r="C4046" s="1" t="s">
        <v>89</v>
      </c>
      <c r="D4046" s="3">
        <f t="shared" si="605"/>
        <v>7683</v>
      </c>
      <c r="E4046" s="2">
        <f t="shared" si="606"/>
        <v>42461</v>
      </c>
      <c r="F4046" s="2">
        <f t="shared" si="607"/>
        <v>45838</v>
      </c>
    </row>
    <row r="4047" spans="1:6" x14ac:dyDescent="0.25">
      <c r="A4047" s="1" t="s">
        <v>77</v>
      </c>
      <c r="B4047" s="1" t="s">
        <v>498</v>
      </c>
      <c r="C4047" s="1" t="s">
        <v>17</v>
      </c>
      <c r="D4047" s="3">
        <f t="shared" si="605"/>
        <v>7683</v>
      </c>
      <c r="E4047" s="2">
        <f t="shared" si="606"/>
        <v>42461</v>
      </c>
      <c r="F4047" s="2">
        <f t="shared" si="607"/>
        <v>45838</v>
      </c>
    </row>
    <row r="4048" spans="1:6" x14ac:dyDescent="0.25">
      <c r="A4048" s="1" t="s">
        <v>77</v>
      </c>
      <c r="B4048" s="1" t="s">
        <v>498</v>
      </c>
      <c r="C4048" s="1" t="s">
        <v>127</v>
      </c>
      <c r="D4048" s="3">
        <f t="shared" si="605"/>
        <v>7683</v>
      </c>
      <c r="E4048" s="2">
        <f t="shared" si="606"/>
        <v>42461</v>
      </c>
      <c r="F4048" s="2">
        <f t="shared" si="607"/>
        <v>45838</v>
      </c>
    </row>
    <row r="4049" spans="1:6" x14ac:dyDescent="0.25">
      <c r="A4049" s="1" t="s">
        <v>77</v>
      </c>
      <c r="B4049" s="1" t="s">
        <v>498</v>
      </c>
      <c r="C4049" s="1" t="s">
        <v>167</v>
      </c>
      <c r="D4049" s="3">
        <f t="shared" si="605"/>
        <v>7683</v>
      </c>
      <c r="E4049" s="2">
        <f t="shared" si="606"/>
        <v>42461</v>
      </c>
      <c r="F4049" s="2">
        <f t="shared" si="607"/>
        <v>45838</v>
      </c>
    </row>
    <row r="4050" spans="1:6" x14ac:dyDescent="0.25">
      <c r="A4050" s="1" t="s">
        <v>77</v>
      </c>
      <c r="B4050" s="1" t="s">
        <v>498</v>
      </c>
      <c r="C4050" s="1" t="s">
        <v>91</v>
      </c>
      <c r="D4050" s="3">
        <f t="shared" si="605"/>
        <v>7683</v>
      </c>
      <c r="E4050" s="2">
        <f t="shared" si="606"/>
        <v>42461</v>
      </c>
      <c r="F4050" s="2">
        <f t="shared" si="607"/>
        <v>45838</v>
      </c>
    </row>
    <row r="4051" spans="1:6" x14ac:dyDescent="0.25">
      <c r="A4051" s="1" t="s">
        <v>77</v>
      </c>
      <c r="B4051" s="1" t="s">
        <v>498</v>
      </c>
      <c r="C4051" s="1" t="s">
        <v>197</v>
      </c>
      <c r="D4051" s="3">
        <f t="shared" si="605"/>
        <v>7683</v>
      </c>
      <c r="E4051" s="2">
        <f t="shared" si="606"/>
        <v>42461</v>
      </c>
      <c r="F4051" s="2">
        <f t="shared" si="607"/>
        <v>45838</v>
      </c>
    </row>
    <row r="4052" spans="1:6" x14ac:dyDescent="0.25">
      <c r="A4052" s="1" t="s">
        <v>77</v>
      </c>
      <c r="B4052" s="1" t="s">
        <v>498</v>
      </c>
      <c r="C4052" s="1" t="s">
        <v>499</v>
      </c>
      <c r="D4052" s="3">
        <f t="shared" si="605"/>
        <v>7683</v>
      </c>
      <c r="E4052" s="2">
        <f t="shared" si="606"/>
        <v>42461</v>
      </c>
      <c r="F4052" s="2">
        <f t="shared" si="607"/>
        <v>45838</v>
      </c>
    </row>
    <row r="4053" spans="1:6" x14ac:dyDescent="0.25">
      <c r="A4053" s="1" t="s">
        <v>77</v>
      </c>
      <c r="B4053" s="1" t="s">
        <v>498</v>
      </c>
      <c r="C4053" s="1" t="s">
        <v>500</v>
      </c>
      <c r="D4053" s="3">
        <f t="shared" si="605"/>
        <v>7683</v>
      </c>
      <c r="E4053" s="2">
        <f t="shared" si="606"/>
        <v>42461</v>
      </c>
      <c r="F4053" s="2">
        <f t="shared" si="607"/>
        <v>45838</v>
      </c>
    </row>
    <row r="4054" spans="1:6" x14ac:dyDescent="0.25">
      <c r="A4054" s="1" t="s">
        <v>77</v>
      </c>
      <c r="B4054" s="1" t="s">
        <v>498</v>
      </c>
      <c r="C4054" s="1" t="s">
        <v>501</v>
      </c>
      <c r="D4054" s="3">
        <f t="shared" si="605"/>
        <v>7683</v>
      </c>
      <c r="E4054" s="2">
        <f t="shared" si="606"/>
        <v>42461</v>
      </c>
      <c r="F4054" s="2">
        <f t="shared" si="607"/>
        <v>45838</v>
      </c>
    </row>
    <row r="4055" spans="1:6" x14ac:dyDescent="0.25">
      <c r="A4055" s="1" t="s">
        <v>77</v>
      </c>
      <c r="B4055" s="1" t="s">
        <v>498</v>
      </c>
      <c r="C4055" s="1" t="s">
        <v>22</v>
      </c>
      <c r="D4055" s="3">
        <f t="shared" si="605"/>
        <v>7683</v>
      </c>
      <c r="E4055" s="2">
        <f t="shared" si="606"/>
        <v>42461</v>
      </c>
      <c r="F4055" s="2">
        <f t="shared" si="607"/>
        <v>45838</v>
      </c>
    </row>
    <row r="4056" spans="1:6" x14ac:dyDescent="0.25">
      <c r="A4056" s="1" t="s">
        <v>77</v>
      </c>
      <c r="B4056" s="1" t="s">
        <v>498</v>
      </c>
      <c r="C4056" s="1" t="s">
        <v>146</v>
      </c>
      <c r="D4056" s="3">
        <f t="shared" si="605"/>
        <v>7683</v>
      </c>
      <c r="E4056" s="2">
        <f t="shared" si="606"/>
        <v>42461</v>
      </c>
      <c r="F4056" s="2">
        <f t="shared" si="607"/>
        <v>45838</v>
      </c>
    </row>
    <row r="4057" spans="1:6" x14ac:dyDescent="0.25">
      <c r="A4057" s="1" t="s">
        <v>77</v>
      </c>
      <c r="B4057" s="1" t="s">
        <v>498</v>
      </c>
      <c r="C4057" s="1" t="s">
        <v>67</v>
      </c>
      <c r="D4057" s="3">
        <f t="shared" si="605"/>
        <v>7683</v>
      </c>
      <c r="E4057" s="2">
        <f t="shared" si="606"/>
        <v>42461</v>
      </c>
      <c r="F4057" s="2">
        <f t="shared" si="607"/>
        <v>45838</v>
      </c>
    </row>
    <row r="4058" spans="1:6" x14ac:dyDescent="0.25">
      <c r="A4058" s="1" t="s">
        <v>77</v>
      </c>
      <c r="B4058" s="1" t="s">
        <v>498</v>
      </c>
      <c r="C4058" s="1" t="s">
        <v>148</v>
      </c>
      <c r="D4058" s="3">
        <f t="shared" si="605"/>
        <v>7683</v>
      </c>
      <c r="E4058" s="2">
        <f t="shared" si="606"/>
        <v>42461</v>
      </c>
      <c r="F4058" s="2">
        <f t="shared" si="607"/>
        <v>45838</v>
      </c>
    </row>
    <row r="4059" spans="1:6" x14ac:dyDescent="0.25">
      <c r="A4059" s="1" t="s">
        <v>77</v>
      </c>
      <c r="B4059" s="1" t="s">
        <v>498</v>
      </c>
      <c r="C4059" s="1" t="s">
        <v>149</v>
      </c>
      <c r="D4059" s="3">
        <f t="shared" si="605"/>
        <v>7683</v>
      </c>
      <c r="E4059" s="2">
        <f t="shared" si="606"/>
        <v>42461</v>
      </c>
      <c r="F4059" s="2">
        <f t="shared" si="607"/>
        <v>45838</v>
      </c>
    </row>
    <row r="4060" spans="1:6" x14ac:dyDescent="0.25">
      <c r="A4060" s="1" t="s">
        <v>77</v>
      </c>
      <c r="B4060" s="1" t="s">
        <v>498</v>
      </c>
      <c r="C4060" s="1" t="s">
        <v>150</v>
      </c>
      <c r="D4060" s="3">
        <f t="shared" si="605"/>
        <v>7683</v>
      </c>
      <c r="E4060" s="2">
        <f t="shared" si="606"/>
        <v>42461</v>
      </c>
      <c r="F4060" s="2">
        <f t="shared" si="607"/>
        <v>45838</v>
      </c>
    </row>
    <row r="4061" spans="1:6" x14ac:dyDescent="0.25">
      <c r="A4061" s="1" t="s">
        <v>77</v>
      </c>
      <c r="B4061" s="1" t="s">
        <v>498</v>
      </c>
      <c r="C4061" s="1" t="s">
        <v>92</v>
      </c>
      <c r="D4061" s="3">
        <f t="shared" si="605"/>
        <v>7683</v>
      </c>
      <c r="E4061" s="2">
        <f t="shared" si="606"/>
        <v>42461</v>
      </c>
      <c r="F4061" s="2">
        <f t="shared" si="607"/>
        <v>45838</v>
      </c>
    </row>
    <row r="4062" spans="1:6" x14ac:dyDescent="0.25">
      <c r="A4062" s="1" t="s">
        <v>77</v>
      </c>
      <c r="B4062" s="1" t="s">
        <v>498</v>
      </c>
      <c r="C4062" s="1" t="s">
        <v>94</v>
      </c>
      <c r="D4062" s="3">
        <f t="shared" si="605"/>
        <v>7683</v>
      </c>
      <c r="E4062" s="2">
        <f t="shared" si="606"/>
        <v>42461</v>
      </c>
      <c r="F4062" s="2">
        <f t="shared" si="607"/>
        <v>45838</v>
      </c>
    </row>
    <row r="4063" spans="1:6" x14ac:dyDescent="0.25">
      <c r="A4063" s="1" t="s">
        <v>77</v>
      </c>
      <c r="B4063" s="1" t="s">
        <v>498</v>
      </c>
      <c r="C4063" s="1" t="s">
        <v>475</v>
      </c>
      <c r="D4063" s="3">
        <f t="shared" si="605"/>
        <v>7683</v>
      </c>
      <c r="E4063" s="2">
        <f t="shared" si="606"/>
        <v>42461</v>
      </c>
      <c r="F4063" s="2">
        <f t="shared" si="607"/>
        <v>45838</v>
      </c>
    </row>
    <row r="4064" spans="1:6" x14ac:dyDescent="0.25">
      <c r="A4064" s="1" t="s">
        <v>77</v>
      </c>
      <c r="B4064" s="1" t="s">
        <v>498</v>
      </c>
      <c r="C4064" s="1" t="s">
        <v>24</v>
      </c>
      <c r="D4064" s="3">
        <f t="shared" si="605"/>
        <v>7683</v>
      </c>
      <c r="E4064" s="2">
        <f t="shared" si="606"/>
        <v>42461</v>
      </c>
      <c r="F4064" s="2">
        <f t="shared" si="607"/>
        <v>45838</v>
      </c>
    </row>
    <row r="4065" spans="1:6" x14ac:dyDescent="0.25">
      <c r="A4065" s="1" t="s">
        <v>77</v>
      </c>
      <c r="B4065" s="1" t="s">
        <v>498</v>
      </c>
      <c r="C4065" s="1" t="s">
        <v>72</v>
      </c>
      <c r="D4065" s="3">
        <f t="shared" si="605"/>
        <v>7683</v>
      </c>
      <c r="E4065" s="2">
        <f t="shared" si="606"/>
        <v>42461</v>
      </c>
      <c r="F4065" s="2">
        <f t="shared" si="607"/>
        <v>45838</v>
      </c>
    </row>
    <row r="4066" spans="1:6" x14ac:dyDescent="0.25">
      <c r="A4066" s="1" t="s">
        <v>77</v>
      </c>
      <c r="B4066" s="1" t="s">
        <v>498</v>
      </c>
      <c r="C4066" s="1" t="s">
        <v>102</v>
      </c>
      <c r="D4066" s="3">
        <f t="shared" si="605"/>
        <v>7683</v>
      </c>
      <c r="E4066" s="2">
        <f t="shared" si="606"/>
        <v>42461</v>
      </c>
      <c r="F4066" s="2">
        <f t="shared" si="607"/>
        <v>45838</v>
      </c>
    </row>
    <row r="4067" spans="1:6" x14ac:dyDescent="0.25">
      <c r="A4067" s="1" t="s">
        <v>77</v>
      </c>
      <c r="B4067" s="1" t="s">
        <v>498</v>
      </c>
      <c r="C4067" s="1" t="s">
        <v>103</v>
      </c>
      <c r="D4067" s="3">
        <f t="shared" si="605"/>
        <v>7683</v>
      </c>
      <c r="E4067" s="2">
        <f t="shared" si="606"/>
        <v>42461</v>
      </c>
      <c r="F4067" s="2">
        <f t="shared" si="607"/>
        <v>45838</v>
      </c>
    </row>
    <row r="4068" spans="1:6" x14ac:dyDescent="0.25">
      <c r="A4068" s="1" t="s">
        <v>77</v>
      </c>
      <c r="B4068" s="1" t="s">
        <v>498</v>
      </c>
      <c r="C4068" s="1" t="s">
        <v>294</v>
      </c>
      <c r="D4068" s="3">
        <f t="shared" si="605"/>
        <v>7683</v>
      </c>
      <c r="E4068" s="2">
        <f t="shared" si="606"/>
        <v>42461</v>
      </c>
      <c r="F4068" s="2">
        <f t="shared" si="607"/>
        <v>45838</v>
      </c>
    </row>
    <row r="4069" spans="1:6" x14ac:dyDescent="0.25">
      <c r="A4069" s="1" t="s">
        <v>77</v>
      </c>
      <c r="B4069" s="1" t="s">
        <v>498</v>
      </c>
      <c r="C4069" s="1" t="s">
        <v>73</v>
      </c>
      <c r="D4069" s="3">
        <f t="shared" si="605"/>
        <v>7683</v>
      </c>
      <c r="E4069" s="2">
        <f t="shared" si="606"/>
        <v>42461</v>
      </c>
      <c r="F4069" s="2">
        <f t="shared" si="607"/>
        <v>45838</v>
      </c>
    </row>
    <row r="4070" spans="1:6" x14ac:dyDescent="0.25">
      <c r="A4070" s="1" t="s">
        <v>77</v>
      </c>
      <c r="B4070" s="1" t="s">
        <v>498</v>
      </c>
      <c r="C4070" s="1" t="s">
        <v>296</v>
      </c>
      <c r="D4070" s="3">
        <f t="shared" si="605"/>
        <v>7683</v>
      </c>
      <c r="E4070" s="2">
        <f t="shared" si="606"/>
        <v>42461</v>
      </c>
      <c r="F4070" s="2">
        <f t="shared" si="607"/>
        <v>45838</v>
      </c>
    </row>
    <row r="4071" spans="1:6" x14ac:dyDescent="0.25">
      <c r="A4071" s="1" t="s">
        <v>77</v>
      </c>
      <c r="B4071" s="1" t="s">
        <v>498</v>
      </c>
      <c r="C4071" s="1" t="s">
        <v>298</v>
      </c>
      <c r="D4071" s="3">
        <f t="shared" si="605"/>
        <v>7683</v>
      </c>
      <c r="E4071" s="2">
        <f t="shared" si="606"/>
        <v>42461</v>
      </c>
      <c r="F4071" s="2">
        <f t="shared" si="607"/>
        <v>45838</v>
      </c>
    </row>
    <row r="4072" spans="1:6" x14ac:dyDescent="0.25">
      <c r="A4072" s="1" t="s">
        <v>77</v>
      </c>
      <c r="B4072" s="1" t="s">
        <v>498</v>
      </c>
      <c r="C4072" s="1" t="s">
        <v>299</v>
      </c>
      <c r="D4072" s="3">
        <f t="shared" si="605"/>
        <v>7683</v>
      </c>
      <c r="E4072" s="2">
        <f t="shared" si="606"/>
        <v>42461</v>
      </c>
      <c r="F4072" s="2">
        <f t="shared" si="607"/>
        <v>45838</v>
      </c>
    </row>
    <row r="4073" spans="1:6" x14ac:dyDescent="0.25">
      <c r="A4073" s="1" t="s">
        <v>77</v>
      </c>
      <c r="B4073" s="1" t="s">
        <v>498</v>
      </c>
      <c r="C4073" s="1" t="s">
        <v>300</v>
      </c>
      <c r="D4073" s="3">
        <f t="shared" si="605"/>
        <v>7683</v>
      </c>
      <c r="E4073" s="2">
        <f t="shared" si="606"/>
        <v>42461</v>
      </c>
      <c r="F4073" s="2">
        <f t="shared" si="607"/>
        <v>45838</v>
      </c>
    </row>
    <row r="4074" spans="1:6" x14ac:dyDescent="0.25">
      <c r="A4074" s="1" t="s">
        <v>77</v>
      </c>
      <c r="B4074" s="1" t="s">
        <v>498</v>
      </c>
      <c r="C4074" s="1" t="s">
        <v>301</v>
      </c>
      <c r="D4074" s="3">
        <f t="shared" si="605"/>
        <v>7683</v>
      </c>
      <c r="E4074" s="2">
        <f t="shared" si="606"/>
        <v>42461</v>
      </c>
      <c r="F4074" s="2">
        <f t="shared" si="607"/>
        <v>45838</v>
      </c>
    </row>
    <row r="4075" spans="1:6" x14ac:dyDescent="0.25">
      <c r="A4075" s="1" t="s">
        <v>77</v>
      </c>
      <c r="B4075" s="1" t="s">
        <v>498</v>
      </c>
      <c r="C4075" s="1" t="s">
        <v>302</v>
      </c>
      <c r="D4075" s="3">
        <f t="shared" si="605"/>
        <v>7683</v>
      </c>
      <c r="E4075" s="2">
        <f t="shared" si="606"/>
        <v>42461</v>
      </c>
      <c r="F4075" s="2">
        <f t="shared" si="607"/>
        <v>45838</v>
      </c>
    </row>
    <row r="4076" spans="1:6" x14ac:dyDescent="0.25">
      <c r="A4076" s="1" t="s">
        <v>77</v>
      </c>
      <c r="B4076" s="1" t="s">
        <v>498</v>
      </c>
      <c r="C4076" s="1" t="s">
        <v>52</v>
      </c>
      <c r="D4076" s="3">
        <f t="shared" si="605"/>
        <v>7683</v>
      </c>
      <c r="E4076" s="2">
        <f t="shared" si="606"/>
        <v>42461</v>
      </c>
      <c r="F4076" s="2">
        <f t="shared" si="607"/>
        <v>45838</v>
      </c>
    </row>
    <row r="4077" spans="1:6" x14ac:dyDescent="0.25">
      <c r="A4077" s="1" t="s">
        <v>77</v>
      </c>
      <c r="B4077" s="1" t="s">
        <v>498</v>
      </c>
      <c r="C4077" s="1" t="s">
        <v>160</v>
      </c>
      <c r="D4077" s="3">
        <f t="shared" si="605"/>
        <v>7683</v>
      </c>
      <c r="E4077" s="2">
        <f t="shared" si="606"/>
        <v>42461</v>
      </c>
      <c r="F4077" s="2">
        <f t="shared" si="607"/>
        <v>45838</v>
      </c>
    </row>
    <row r="4078" spans="1:6" x14ac:dyDescent="0.25">
      <c r="A4078" s="1" t="s">
        <v>77</v>
      </c>
      <c r="B4078" s="1" t="s">
        <v>498</v>
      </c>
      <c r="C4078" s="1" t="s">
        <v>497</v>
      </c>
      <c r="D4078" s="3">
        <f t="shared" si="605"/>
        <v>7683</v>
      </c>
      <c r="E4078" s="2">
        <f t="shared" si="606"/>
        <v>42461</v>
      </c>
      <c r="F4078" s="2">
        <f t="shared" si="607"/>
        <v>45838</v>
      </c>
    </row>
    <row r="4079" spans="1:6" x14ac:dyDescent="0.25">
      <c r="A4079" s="1" t="s">
        <v>77</v>
      </c>
      <c r="B4079" s="1" t="s">
        <v>498</v>
      </c>
      <c r="C4079" s="1" t="s">
        <v>34</v>
      </c>
      <c r="D4079" s="3">
        <f t="shared" si="605"/>
        <v>7683</v>
      </c>
      <c r="E4079" s="2">
        <f t="shared" si="606"/>
        <v>42461</v>
      </c>
      <c r="F4079" s="2">
        <f t="shared" si="607"/>
        <v>45838</v>
      </c>
    </row>
    <row r="4080" spans="1:6" x14ac:dyDescent="0.25">
      <c r="A4080" s="1" t="s">
        <v>77</v>
      </c>
      <c r="B4080" s="1" t="s">
        <v>498</v>
      </c>
      <c r="C4080" s="1" t="s">
        <v>55</v>
      </c>
      <c r="D4080" s="3">
        <f t="shared" si="605"/>
        <v>7683</v>
      </c>
      <c r="E4080" s="2">
        <f t="shared" si="606"/>
        <v>42461</v>
      </c>
      <c r="F4080" s="2">
        <f t="shared" si="607"/>
        <v>45838</v>
      </c>
    </row>
    <row r="4081" spans="1:6" x14ac:dyDescent="0.25">
      <c r="A4081" s="1" t="s">
        <v>77</v>
      </c>
      <c r="B4081" s="1" t="s">
        <v>498</v>
      </c>
      <c r="C4081" s="1" t="s">
        <v>133</v>
      </c>
      <c r="D4081" s="3">
        <f t="shared" si="605"/>
        <v>7683</v>
      </c>
      <c r="E4081" s="2">
        <f t="shared" si="606"/>
        <v>42461</v>
      </c>
      <c r="F4081" s="2">
        <f t="shared" si="607"/>
        <v>45838</v>
      </c>
    </row>
    <row r="4082" spans="1:6" x14ac:dyDescent="0.25">
      <c r="A4082" s="1" t="s">
        <v>77</v>
      </c>
      <c r="B4082" s="1" t="s">
        <v>498</v>
      </c>
      <c r="C4082" s="1" t="s">
        <v>169</v>
      </c>
      <c r="D4082" s="3">
        <f t="shared" si="605"/>
        <v>7683</v>
      </c>
      <c r="E4082" s="2">
        <f t="shared" si="606"/>
        <v>42461</v>
      </c>
      <c r="F4082" s="2">
        <f t="shared" si="607"/>
        <v>45838</v>
      </c>
    </row>
    <row r="4083" spans="1:6" x14ac:dyDescent="0.25">
      <c r="A4083" s="1" t="s">
        <v>77</v>
      </c>
      <c r="B4083" s="1" t="s">
        <v>498</v>
      </c>
      <c r="C4083" s="1" t="s">
        <v>170</v>
      </c>
      <c r="D4083" s="3">
        <f t="shared" si="605"/>
        <v>7683</v>
      </c>
      <c r="E4083" s="2">
        <f t="shared" si="606"/>
        <v>42461</v>
      </c>
      <c r="F4083" s="2">
        <f t="shared" si="607"/>
        <v>45838</v>
      </c>
    </row>
    <row r="4084" spans="1:6" x14ac:dyDescent="0.25">
      <c r="A4084" s="1" t="s">
        <v>77</v>
      </c>
      <c r="B4084" s="1" t="s">
        <v>1707</v>
      </c>
      <c r="C4084" s="1" t="s">
        <v>137</v>
      </c>
      <c r="D4084" s="3">
        <f t="shared" ref="D4084:D4096" si="608">VALUE("7404")</f>
        <v>7404</v>
      </c>
      <c r="E4084" s="2">
        <f t="shared" ref="E4084:E4096" si="609">DATEVALUE("1-2-2015")</f>
        <v>42036</v>
      </c>
      <c r="F4084" s="2">
        <f t="shared" ref="F4084:F4096" si="610">DATEVALUE("31-8-2020")</f>
        <v>44074</v>
      </c>
    </row>
    <row r="4085" spans="1:6" x14ac:dyDescent="0.25">
      <c r="A4085" s="1" t="s">
        <v>77</v>
      </c>
      <c r="B4085" s="1" t="s">
        <v>1707</v>
      </c>
      <c r="C4085" s="1" t="s">
        <v>46</v>
      </c>
      <c r="D4085" s="3">
        <f t="shared" si="608"/>
        <v>7404</v>
      </c>
      <c r="E4085" s="2">
        <f t="shared" si="609"/>
        <v>42036</v>
      </c>
      <c r="F4085" s="2">
        <f t="shared" si="610"/>
        <v>44074</v>
      </c>
    </row>
    <row r="4086" spans="1:6" x14ac:dyDescent="0.25">
      <c r="A4086" s="1" t="s">
        <v>77</v>
      </c>
      <c r="B4086" s="1" t="s">
        <v>1707</v>
      </c>
      <c r="C4086" s="1" t="s">
        <v>66</v>
      </c>
      <c r="D4086" s="3">
        <f t="shared" si="608"/>
        <v>7404</v>
      </c>
      <c r="E4086" s="2">
        <f t="shared" si="609"/>
        <v>42036</v>
      </c>
      <c r="F4086" s="2">
        <f t="shared" si="610"/>
        <v>44074</v>
      </c>
    </row>
    <row r="4087" spans="1:6" x14ac:dyDescent="0.25">
      <c r="A4087" s="1" t="s">
        <v>77</v>
      </c>
      <c r="B4087" s="1" t="s">
        <v>1707</v>
      </c>
      <c r="C4087" s="1" t="s">
        <v>17</v>
      </c>
      <c r="D4087" s="3">
        <f t="shared" si="608"/>
        <v>7404</v>
      </c>
      <c r="E4087" s="2">
        <f t="shared" si="609"/>
        <v>42036</v>
      </c>
      <c r="F4087" s="2">
        <f t="shared" si="610"/>
        <v>44074</v>
      </c>
    </row>
    <row r="4088" spans="1:6" x14ac:dyDescent="0.25">
      <c r="A4088" s="1" t="s">
        <v>77</v>
      </c>
      <c r="B4088" s="1" t="s">
        <v>1707</v>
      </c>
      <c r="C4088" s="1" t="s">
        <v>22</v>
      </c>
      <c r="D4088" s="3">
        <f t="shared" si="608"/>
        <v>7404</v>
      </c>
      <c r="E4088" s="2">
        <f t="shared" si="609"/>
        <v>42036</v>
      </c>
      <c r="F4088" s="2">
        <f t="shared" si="610"/>
        <v>44074</v>
      </c>
    </row>
    <row r="4089" spans="1:6" x14ac:dyDescent="0.25">
      <c r="A4089" s="1" t="s">
        <v>77</v>
      </c>
      <c r="B4089" s="1" t="s">
        <v>1707</v>
      </c>
      <c r="C4089" s="1" t="s">
        <v>146</v>
      </c>
      <c r="D4089" s="3">
        <f t="shared" si="608"/>
        <v>7404</v>
      </c>
      <c r="E4089" s="2">
        <f t="shared" si="609"/>
        <v>42036</v>
      </c>
      <c r="F4089" s="2">
        <f t="shared" si="610"/>
        <v>44074</v>
      </c>
    </row>
    <row r="4090" spans="1:6" x14ac:dyDescent="0.25">
      <c r="A4090" s="1" t="s">
        <v>77</v>
      </c>
      <c r="B4090" s="1" t="s">
        <v>1707</v>
      </c>
      <c r="C4090" s="1" t="s">
        <v>148</v>
      </c>
      <c r="D4090" s="3">
        <f t="shared" si="608"/>
        <v>7404</v>
      </c>
      <c r="E4090" s="2">
        <f t="shared" si="609"/>
        <v>42036</v>
      </c>
      <c r="F4090" s="2">
        <f t="shared" si="610"/>
        <v>44074</v>
      </c>
    </row>
    <row r="4091" spans="1:6" x14ac:dyDescent="0.25">
      <c r="A4091" s="1" t="s">
        <v>77</v>
      </c>
      <c r="B4091" s="1" t="s">
        <v>1707</v>
      </c>
      <c r="C4091" s="1" t="s">
        <v>150</v>
      </c>
      <c r="D4091" s="3">
        <f t="shared" si="608"/>
        <v>7404</v>
      </c>
      <c r="E4091" s="2">
        <f t="shared" si="609"/>
        <v>42036</v>
      </c>
      <c r="F4091" s="2">
        <f t="shared" si="610"/>
        <v>44074</v>
      </c>
    </row>
    <row r="4092" spans="1:6" x14ac:dyDescent="0.25">
      <c r="A4092" s="1" t="s">
        <v>77</v>
      </c>
      <c r="B4092" s="1" t="s">
        <v>1707</v>
      </c>
      <c r="C4092" s="1" t="s">
        <v>24</v>
      </c>
      <c r="D4092" s="3">
        <f t="shared" si="608"/>
        <v>7404</v>
      </c>
      <c r="E4092" s="2">
        <f t="shared" si="609"/>
        <v>42036</v>
      </c>
      <c r="F4092" s="2">
        <f t="shared" si="610"/>
        <v>44074</v>
      </c>
    </row>
    <row r="4093" spans="1:6" x14ac:dyDescent="0.25">
      <c r="A4093" s="1" t="s">
        <v>77</v>
      </c>
      <c r="B4093" s="1" t="s">
        <v>1707</v>
      </c>
      <c r="C4093" s="1" t="s">
        <v>73</v>
      </c>
      <c r="D4093" s="3">
        <f t="shared" si="608"/>
        <v>7404</v>
      </c>
      <c r="E4093" s="2">
        <f t="shared" si="609"/>
        <v>42036</v>
      </c>
      <c r="F4093" s="2">
        <f t="shared" si="610"/>
        <v>44074</v>
      </c>
    </row>
    <row r="4094" spans="1:6" x14ac:dyDescent="0.25">
      <c r="A4094" s="1" t="s">
        <v>77</v>
      </c>
      <c r="B4094" s="1" t="s">
        <v>1707</v>
      </c>
      <c r="C4094" s="1" t="s">
        <v>160</v>
      </c>
      <c r="D4094" s="3">
        <f t="shared" si="608"/>
        <v>7404</v>
      </c>
      <c r="E4094" s="2">
        <f t="shared" si="609"/>
        <v>42036</v>
      </c>
      <c r="F4094" s="2">
        <f t="shared" si="610"/>
        <v>44074</v>
      </c>
    </row>
    <row r="4095" spans="1:6" x14ac:dyDescent="0.25">
      <c r="A4095" s="1" t="s">
        <v>77</v>
      </c>
      <c r="B4095" s="1" t="s">
        <v>1707</v>
      </c>
      <c r="C4095" s="1" t="s">
        <v>34</v>
      </c>
      <c r="D4095" s="3">
        <f t="shared" si="608"/>
        <v>7404</v>
      </c>
      <c r="E4095" s="2">
        <f t="shared" si="609"/>
        <v>42036</v>
      </c>
      <c r="F4095" s="2">
        <f t="shared" si="610"/>
        <v>44074</v>
      </c>
    </row>
    <row r="4096" spans="1:6" x14ac:dyDescent="0.25">
      <c r="A4096" s="1" t="s">
        <v>77</v>
      </c>
      <c r="B4096" s="1" t="s">
        <v>1707</v>
      </c>
      <c r="C4096" s="1" t="s">
        <v>164</v>
      </c>
      <c r="D4096" s="3">
        <f t="shared" si="608"/>
        <v>7404</v>
      </c>
      <c r="E4096" s="2">
        <f t="shared" si="609"/>
        <v>42036</v>
      </c>
      <c r="F4096" s="2">
        <f t="shared" si="610"/>
        <v>44074</v>
      </c>
    </row>
    <row r="4097" spans="1:6" x14ac:dyDescent="0.25">
      <c r="A4097" s="1" t="s">
        <v>77</v>
      </c>
      <c r="B4097" s="1" t="s">
        <v>398</v>
      </c>
      <c r="C4097" s="1" t="s">
        <v>8</v>
      </c>
      <c r="D4097" s="3">
        <f t="shared" ref="D4097:D4123" si="611">VALUE("7608")</f>
        <v>7608</v>
      </c>
      <c r="E4097" s="2">
        <f t="shared" ref="E4097:E4123" si="612">DATEVALUE("1-12-2014")</f>
        <v>41974</v>
      </c>
      <c r="F4097" s="2">
        <f t="shared" ref="F4097:F4123" si="613">DATEVALUE("31-1-2021")</f>
        <v>44227</v>
      </c>
    </row>
    <row r="4098" spans="1:6" x14ac:dyDescent="0.25">
      <c r="A4098" s="1" t="s">
        <v>77</v>
      </c>
      <c r="B4098" s="1" t="s">
        <v>398</v>
      </c>
      <c r="C4098" s="1" t="s">
        <v>10</v>
      </c>
      <c r="D4098" s="3">
        <f t="shared" si="611"/>
        <v>7608</v>
      </c>
      <c r="E4098" s="2">
        <f t="shared" si="612"/>
        <v>41974</v>
      </c>
      <c r="F4098" s="2">
        <f t="shared" si="613"/>
        <v>44227</v>
      </c>
    </row>
    <row r="4099" spans="1:6" x14ac:dyDescent="0.25">
      <c r="A4099" s="1" t="s">
        <v>77</v>
      </c>
      <c r="B4099" s="1" t="s">
        <v>398</v>
      </c>
      <c r="C4099" s="1" t="s">
        <v>12</v>
      </c>
      <c r="D4099" s="3">
        <f t="shared" si="611"/>
        <v>7608</v>
      </c>
      <c r="E4099" s="2">
        <f t="shared" si="612"/>
        <v>41974</v>
      </c>
      <c r="F4099" s="2">
        <f t="shared" si="613"/>
        <v>44227</v>
      </c>
    </row>
    <row r="4100" spans="1:6" x14ac:dyDescent="0.25">
      <c r="A4100" s="1" t="s">
        <v>77</v>
      </c>
      <c r="B4100" s="1" t="s">
        <v>398</v>
      </c>
      <c r="C4100" s="1" t="s">
        <v>61</v>
      </c>
      <c r="D4100" s="3">
        <f t="shared" si="611"/>
        <v>7608</v>
      </c>
      <c r="E4100" s="2">
        <f t="shared" si="612"/>
        <v>41974</v>
      </c>
      <c r="F4100" s="2">
        <f t="shared" si="613"/>
        <v>44227</v>
      </c>
    </row>
    <row r="4101" spans="1:6" x14ac:dyDescent="0.25">
      <c r="A4101" s="1" t="s">
        <v>77</v>
      </c>
      <c r="B4101" s="1" t="s">
        <v>398</v>
      </c>
      <c r="C4101" s="1" t="s">
        <v>399</v>
      </c>
      <c r="D4101" s="3">
        <f t="shared" si="611"/>
        <v>7608</v>
      </c>
      <c r="E4101" s="2">
        <f t="shared" si="612"/>
        <v>41974</v>
      </c>
      <c r="F4101" s="2">
        <f t="shared" si="613"/>
        <v>44227</v>
      </c>
    </row>
    <row r="4102" spans="1:6" x14ac:dyDescent="0.25">
      <c r="A4102" s="1" t="s">
        <v>77</v>
      </c>
      <c r="B4102" s="1" t="s">
        <v>398</v>
      </c>
      <c r="C4102" s="1" t="s">
        <v>46</v>
      </c>
      <c r="D4102" s="3">
        <f t="shared" si="611"/>
        <v>7608</v>
      </c>
      <c r="E4102" s="2">
        <f t="shared" si="612"/>
        <v>41974</v>
      </c>
      <c r="F4102" s="2">
        <f t="shared" si="613"/>
        <v>44227</v>
      </c>
    </row>
    <row r="4103" spans="1:6" x14ac:dyDescent="0.25">
      <c r="A4103" s="1" t="s">
        <v>77</v>
      </c>
      <c r="B4103" s="1" t="s">
        <v>398</v>
      </c>
      <c r="C4103" s="1" t="s">
        <v>14</v>
      </c>
      <c r="D4103" s="3">
        <f t="shared" si="611"/>
        <v>7608</v>
      </c>
      <c r="E4103" s="2">
        <f t="shared" si="612"/>
        <v>41974</v>
      </c>
      <c r="F4103" s="2">
        <f t="shared" si="613"/>
        <v>44227</v>
      </c>
    </row>
    <row r="4104" spans="1:6" x14ac:dyDescent="0.25">
      <c r="A4104" s="1" t="s">
        <v>77</v>
      </c>
      <c r="B4104" s="1" t="s">
        <v>398</v>
      </c>
      <c r="C4104" s="1" t="s">
        <v>15</v>
      </c>
      <c r="D4104" s="3">
        <f t="shared" si="611"/>
        <v>7608</v>
      </c>
      <c r="E4104" s="2">
        <f t="shared" si="612"/>
        <v>41974</v>
      </c>
      <c r="F4104" s="2">
        <f t="shared" si="613"/>
        <v>44227</v>
      </c>
    </row>
    <row r="4105" spans="1:6" x14ac:dyDescent="0.25">
      <c r="A4105" s="1" t="s">
        <v>77</v>
      </c>
      <c r="B4105" s="1" t="s">
        <v>398</v>
      </c>
      <c r="C4105" s="1" t="s">
        <v>17</v>
      </c>
      <c r="D4105" s="3">
        <f t="shared" si="611"/>
        <v>7608</v>
      </c>
      <c r="E4105" s="2">
        <f t="shared" si="612"/>
        <v>41974</v>
      </c>
      <c r="F4105" s="2">
        <f t="shared" si="613"/>
        <v>44227</v>
      </c>
    </row>
    <row r="4106" spans="1:6" x14ac:dyDescent="0.25">
      <c r="A4106" s="1" t="s">
        <v>77</v>
      </c>
      <c r="B4106" s="1" t="s">
        <v>398</v>
      </c>
      <c r="C4106" s="1" t="s">
        <v>22</v>
      </c>
      <c r="D4106" s="3">
        <f t="shared" si="611"/>
        <v>7608</v>
      </c>
      <c r="E4106" s="2">
        <f t="shared" si="612"/>
        <v>41974</v>
      </c>
      <c r="F4106" s="2">
        <f t="shared" si="613"/>
        <v>44227</v>
      </c>
    </row>
    <row r="4107" spans="1:6" x14ac:dyDescent="0.25">
      <c r="A4107" s="1" t="s">
        <v>77</v>
      </c>
      <c r="B4107" s="1" t="s">
        <v>398</v>
      </c>
      <c r="C4107" s="1" t="s">
        <v>400</v>
      </c>
      <c r="D4107" s="3">
        <f t="shared" si="611"/>
        <v>7608</v>
      </c>
      <c r="E4107" s="2">
        <f t="shared" si="612"/>
        <v>41974</v>
      </c>
      <c r="F4107" s="2">
        <f t="shared" si="613"/>
        <v>44227</v>
      </c>
    </row>
    <row r="4108" spans="1:6" x14ac:dyDescent="0.25">
      <c r="A4108" s="1" t="s">
        <v>77</v>
      </c>
      <c r="B4108" s="1" t="s">
        <v>398</v>
      </c>
      <c r="C4108" s="1" t="s">
        <v>24</v>
      </c>
      <c r="D4108" s="3">
        <f t="shared" si="611"/>
        <v>7608</v>
      </c>
      <c r="E4108" s="2">
        <f t="shared" si="612"/>
        <v>41974</v>
      </c>
      <c r="F4108" s="2">
        <f t="shared" si="613"/>
        <v>44227</v>
      </c>
    </row>
    <row r="4109" spans="1:6" x14ac:dyDescent="0.25">
      <c r="A4109" s="1" t="s">
        <v>77</v>
      </c>
      <c r="B4109" s="1" t="s">
        <v>398</v>
      </c>
      <c r="C4109" s="1" t="s">
        <v>293</v>
      </c>
      <c r="D4109" s="3">
        <f t="shared" si="611"/>
        <v>7608</v>
      </c>
      <c r="E4109" s="2">
        <f t="shared" si="612"/>
        <v>41974</v>
      </c>
      <c r="F4109" s="2">
        <f t="shared" si="613"/>
        <v>44227</v>
      </c>
    </row>
    <row r="4110" spans="1:6" x14ac:dyDescent="0.25">
      <c r="A4110" s="1" t="s">
        <v>77</v>
      </c>
      <c r="B4110" s="1" t="s">
        <v>398</v>
      </c>
      <c r="C4110" s="1" t="s">
        <v>294</v>
      </c>
      <c r="D4110" s="3">
        <f t="shared" si="611"/>
        <v>7608</v>
      </c>
      <c r="E4110" s="2">
        <f t="shared" si="612"/>
        <v>41974</v>
      </c>
      <c r="F4110" s="2">
        <f t="shared" si="613"/>
        <v>44227</v>
      </c>
    </row>
    <row r="4111" spans="1:6" x14ac:dyDescent="0.25">
      <c r="A4111" s="1" t="s">
        <v>77</v>
      </c>
      <c r="B4111" s="1" t="s">
        <v>398</v>
      </c>
      <c r="C4111" s="1" t="s">
        <v>296</v>
      </c>
      <c r="D4111" s="3">
        <f t="shared" si="611"/>
        <v>7608</v>
      </c>
      <c r="E4111" s="2">
        <f t="shared" si="612"/>
        <v>41974</v>
      </c>
      <c r="F4111" s="2">
        <f t="shared" si="613"/>
        <v>44227</v>
      </c>
    </row>
    <row r="4112" spans="1:6" x14ac:dyDescent="0.25">
      <c r="A4112" s="1" t="s">
        <v>77</v>
      </c>
      <c r="B4112" s="1" t="s">
        <v>398</v>
      </c>
      <c r="C4112" s="1" t="s">
        <v>297</v>
      </c>
      <c r="D4112" s="3">
        <f t="shared" si="611"/>
        <v>7608</v>
      </c>
      <c r="E4112" s="2">
        <f t="shared" si="612"/>
        <v>41974</v>
      </c>
      <c r="F4112" s="2">
        <f t="shared" si="613"/>
        <v>44227</v>
      </c>
    </row>
    <row r="4113" spans="1:6" x14ac:dyDescent="0.25">
      <c r="A4113" s="1" t="s">
        <v>77</v>
      </c>
      <c r="B4113" s="1" t="s">
        <v>398</v>
      </c>
      <c r="C4113" s="1" t="s">
        <v>298</v>
      </c>
      <c r="D4113" s="3">
        <f t="shared" si="611"/>
        <v>7608</v>
      </c>
      <c r="E4113" s="2">
        <f t="shared" si="612"/>
        <v>41974</v>
      </c>
      <c r="F4113" s="2">
        <f t="shared" si="613"/>
        <v>44227</v>
      </c>
    </row>
    <row r="4114" spans="1:6" x14ac:dyDescent="0.25">
      <c r="A4114" s="1" t="s">
        <v>77</v>
      </c>
      <c r="B4114" s="1" t="s">
        <v>398</v>
      </c>
      <c r="C4114" s="1" t="s">
        <v>299</v>
      </c>
      <c r="D4114" s="3">
        <f t="shared" si="611"/>
        <v>7608</v>
      </c>
      <c r="E4114" s="2">
        <f t="shared" si="612"/>
        <v>41974</v>
      </c>
      <c r="F4114" s="2">
        <f t="shared" si="613"/>
        <v>44227</v>
      </c>
    </row>
    <row r="4115" spans="1:6" x14ac:dyDescent="0.25">
      <c r="A4115" s="1" t="s">
        <v>77</v>
      </c>
      <c r="B4115" s="1" t="s">
        <v>398</v>
      </c>
      <c r="C4115" s="1" t="s">
        <v>300</v>
      </c>
      <c r="D4115" s="3">
        <f t="shared" si="611"/>
        <v>7608</v>
      </c>
      <c r="E4115" s="2">
        <f t="shared" si="612"/>
        <v>41974</v>
      </c>
      <c r="F4115" s="2">
        <f t="shared" si="613"/>
        <v>44227</v>
      </c>
    </row>
    <row r="4116" spans="1:6" x14ac:dyDescent="0.25">
      <c r="A4116" s="1" t="s">
        <v>77</v>
      </c>
      <c r="B4116" s="1" t="s">
        <v>398</v>
      </c>
      <c r="C4116" s="1" t="s">
        <v>301</v>
      </c>
      <c r="D4116" s="3">
        <f t="shared" si="611"/>
        <v>7608</v>
      </c>
      <c r="E4116" s="2">
        <f t="shared" si="612"/>
        <v>41974</v>
      </c>
      <c r="F4116" s="2">
        <f t="shared" si="613"/>
        <v>44227</v>
      </c>
    </row>
    <row r="4117" spans="1:6" x14ac:dyDescent="0.25">
      <c r="A4117" s="1" t="s">
        <v>77</v>
      </c>
      <c r="B4117" s="1" t="s">
        <v>398</v>
      </c>
      <c r="C4117" s="1" t="s">
        <v>302</v>
      </c>
      <c r="D4117" s="3">
        <f t="shared" si="611"/>
        <v>7608</v>
      </c>
      <c r="E4117" s="2">
        <f t="shared" si="612"/>
        <v>41974</v>
      </c>
      <c r="F4117" s="2">
        <f t="shared" si="613"/>
        <v>44227</v>
      </c>
    </row>
    <row r="4118" spans="1:6" x14ac:dyDescent="0.25">
      <c r="A4118" s="1" t="s">
        <v>77</v>
      </c>
      <c r="B4118" s="1" t="s">
        <v>398</v>
      </c>
      <c r="C4118" s="1" t="s">
        <v>401</v>
      </c>
      <c r="D4118" s="3">
        <f t="shared" si="611"/>
        <v>7608</v>
      </c>
      <c r="E4118" s="2">
        <f t="shared" si="612"/>
        <v>41974</v>
      </c>
      <c r="F4118" s="2">
        <f t="shared" si="613"/>
        <v>44227</v>
      </c>
    </row>
    <row r="4119" spans="1:6" x14ac:dyDescent="0.25">
      <c r="A4119" s="1" t="s">
        <v>77</v>
      </c>
      <c r="B4119" s="1" t="s">
        <v>398</v>
      </c>
      <c r="C4119" s="1" t="s">
        <v>160</v>
      </c>
      <c r="D4119" s="3">
        <f t="shared" si="611"/>
        <v>7608</v>
      </c>
      <c r="E4119" s="2">
        <f t="shared" si="612"/>
        <v>41974</v>
      </c>
      <c r="F4119" s="2">
        <f t="shared" si="613"/>
        <v>44227</v>
      </c>
    </row>
    <row r="4120" spans="1:6" x14ac:dyDescent="0.25">
      <c r="A4120" s="1" t="s">
        <v>77</v>
      </c>
      <c r="B4120" s="1" t="s">
        <v>398</v>
      </c>
      <c r="C4120" s="1" t="s">
        <v>402</v>
      </c>
      <c r="D4120" s="3">
        <f t="shared" si="611"/>
        <v>7608</v>
      </c>
      <c r="E4120" s="2">
        <f t="shared" si="612"/>
        <v>41974</v>
      </c>
      <c r="F4120" s="2">
        <f t="shared" si="613"/>
        <v>44227</v>
      </c>
    </row>
    <row r="4121" spans="1:6" x14ac:dyDescent="0.25">
      <c r="A4121" s="1" t="s">
        <v>77</v>
      </c>
      <c r="B4121" s="1" t="s">
        <v>398</v>
      </c>
      <c r="C4121" s="1" t="s">
        <v>403</v>
      </c>
      <c r="D4121" s="3">
        <f t="shared" si="611"/>
        <v>7608</v>
      </c>
      <c r="E4121" s="2">
        <f t="shared" si="612"/>
        <v>41974</v>
      </c>
      <c r="F4121" s="2">
        <f t="shared" si="613"/>
        <v>44227</v>
      </c>
    </row>
    <row r="4122" spans="1:6" x14ac:dyDescent="0.25">
      <c r="A4122" s="1" t="s">
        <v>77</v>
      </c>
      <c r="B4122" s="1" t="s">
        <v>398</v>
      </c>
      <c r="C4122" s="1" t="s">
        <v>404</v>
      </c>
      <c r="D4122" s="3">
        <f t="shared" si="611"/>
        <v>7608</v>
      </c>
      <c r="E4122" s="2">
        <f t="shared" si="612"/>
        <v>41974</v>
      </c>
      <c r="F4122" s="2">
        <f t="shared" si="613"/>
        <v>44227</v>
      </c>
    </row>
    <row r="4123" spans="1:6" x14ac:dyDescent="0.25">
      <c r="A4123" s="1" t="s">
        <v>77</v>
      </c>
      <c r="B4123" s="1" t="s">
        <v>398</v>
      </c>
      <c r="C4123" s="1" t="s">
        <v>34</v>
      </c>
      <c r="D4123" s="3">
        <f t="shared" si="611"/>
        <v>7608</v>
      </c>
      <c r="E4123" s="2">
        <f t="shared" si="612"/>
        <v>41974</v>
      </c>
      <c r="F4123" s="2">
        <f t="shared" si="613"/>
        <v>44227</v>
      </c>
    </row>
    <row r="4124" spans="1:6" x14ac:dyDescent="0.25">
      <c r="A4124" s="1" t="s">
        <v>77</v>
      </c>
      <c r="B4124" s="1" t="s">
        <v>524</v>
      </c>
      <c r="C4124" s="1" t="s">
        <v>525</v>
      </c>
      <c r="D4124" s="3">
        <f t="shared" ref="D4124:D4155" si="614">VALUE("7696")</f>
        <v>7696</v>
      </c>
      <c r="E4124" s="2">
        <f t="shared" ref="E4124:E4155" si="615">DATEVALUE("1-11-2014")</f>
        <v>41944</v>
      </c>
      <c r="F4124" s="2">
        <f t="shared" ref="F4124:F4155" si="616">DATEVALUE("31-3-2023")</f>
        <v>45016</v>
      </c>
    </row>
    <row r="4125" spans="1:6" x14ac:dyDescent="0.25">
      <c r="A4125" s="1" t="s">
        <v>77</v>
      </c>
      <c r="B4125" s="1" t="s">
        <v>524</v>
      </c>
      <c r="C4125" s="1" t="s">
        <v>81</v>
      </c>
      <c r="D4125" s="3">
        <f t="shared" si="614"/>
        <v>7696</v>
      </c>
      <c r="E4125" s="2">
        <f t="shared" si="615"/>
        <v>41944</v>
      </c>
      <c r="F4125" s="2">
        <f t="shared" si="616"/>
        <v>45016</v>
      </c>
    </row>
    <row r="4126" spans="1:6" x14ac:dyDescent="0.25">
      <c r="A4126" s="1" t="s">
        <v>77</v>
      </c>
      <c r="B4126" s="1" t="s">
        <v>524</v>
      </c>
      <c r="C4126" s="1" t="s">
        <v>80</v>
      </c>
      <c r="D4126" s="3">
        <f t="shared" si="614"/>
        <v>7696</v>
      </c>
      <c r="E4126" s="2">
        <f t="shared" si="615"/>
        <v>41944</v>
      </c>
      <c r="F4126" s="2">
        <f t="shared" si="616"/>
        <v>45016</v>
      </c>
    </row>
    <row r="4127" spans="1:6" x14ac:dyDescent="0.25">
      <c r="A4127" s="1" t="s">
        <v>77</v>
      </c>
      <c r="B4127" s="1" t="s">
        <v>524</v>
      </c>
      <c r="C4127" s="1" t="s">
        <v>39</v>
      </c>
      <c r="D4127" s="3">
        <f t="shared" si="614"/>
        <v>7696</v>
      </c>
      <c r="E4127" s="2">
        <f t="shared" si="615"/>
        <v>41944</v>
      </c>
      <c r="F4127" s="2">
        <f t="shared" si="616"/>
        <v>45016</v>
      </c>
    </row>
    <row r="4128" spans="1:6" x14ac:dyDescent="0.25">
      <c r="A4128" s="1" t="s">
        <v>77</v>
      </c>
      <c r="B4128" s="1" t="s">
        <v>524</v>
      </c>
      <c r="C4128" s="1" t="s">
        <v>40</v>
      </c>
      <c r="D4128" s="3">
        <f t="shared" si="614"/>
        <v>7696</v>
      </c>
      <c r="E4128" s="2">
        <f t="shared" si="615"/>
        <v>41944</v>
      </c>
      <c r="F4128" s="2">
        <f t="shared" si="616"/>
        <v>45016</v>
      </c>
    </row>
    <row r="4129" spans="1:6" x14ac:dyDescent="0.25">
      <c r="A4129" s="1" t="s">
        <v>77</v>
      </c>
      <c r="B4129" s="1" t="s">
        <v>524</v>
      </c>
      <c r="C4129" s="1" t="s">
        <v>41</v>
      </c>
      <c r="D4129" s="3">
        <f t="shared" si="614"/>
        <v>7696</v>
      </c>
      <c r="E4129" s="2">
        <f t="shared" si="615"/>
        <v>41944</v>
      </c>
      <c r="F4129" s="2">
        <f t="shared" si="616"/>
        <v>45016</v>
      </c>
    </row>
    <row r="4130" spans="1:6" x14ac:dyDescent="0.25">
      <c r="A4130" s="1" t="s">
        <v>77</v>
      </c>
      <c r="B4130" s="1" t="s">
        <v>524</v>
      </c>
      <c r="C4130" s="1" t="s">
        <v>8</v>
      </c>
      <c r="D4130" s="3">
        <f t="shared" si="614"/>
        <v>7696</v>
      </c>
      <c r="E4130" s="2">
        <f t="shared" si="615"/>
        <v>41944</v>
      </c>
      <c r="F4130" s="2">
        <f t="shared" si="616"/>
        <v>45016</v>
      </c>
    </row>
    <row r="4131" spans="1:6" x14ac:dyDescent="0.25">
      <c r="A4131" s="1" t="s">
        <v>77</v>
      </c>
      <c r="B4131" s="1" t="s">
        <v>524</v>
      </c>
      <c r="C4131" s="1" t="s">
        <v>256</v>
      </c>
      <c r="D4131" s="3">
        <f t="shared" si="614"/>
        <v>7696</v>
      </c>
      <c r="E4131" s="2">
        <f t="shared" si="615"/>
        <v>41944</v>
      </c>
      <c r="F4131" s="2">
        <f t="shared" si="616"/>
        <v>45016</v>
      </c>
    </row>
    <row r="4132" spans="1:6" x14ac:dyDescent="0.25">
      <c r="A4132" s="1" t="s">
        <v>77</v>
      </c>
      <c r="B4132" s="1" t="s">
        <v>524</v>
      </c>
      <c r="C4132" s="1" t="s">
        <v>61</v>
      </c>
      <c r="D4132" s="3">
        <f t="shared" si="614"/>
        <v>7696</v>
      </c>
      <c r="E4132" s="2">
        <f t="shared" si="615"/>
        <v>41944</v>
      </c>
      <c r="F4132" s="2">
        <f t="shared" si="616"/>
        <v>45016</v>
      </c>
    </row>
    <row r="4133" spans="1:6" x14ac:dyDescent="0.25">
      <c r="A4133" s="1" t="s">
        <v>77</v>
      </c>
      <c r="B4133" s="1" t="s">
        <v>524</v>
      </c>
      <c r="C4133" s="1" t="s">
        <v>83</v>
      </c>
      <c r="D4133" s="3">
        <f t="shared" si="614"/>
        <v>7696</v>
      </c>
      <c r="E4133" s="2">
        <f t="shared" si="615"/>
        <v>41944</v>
      </c>
      <c r="F4133" s="2">
        <f t="shared" si="616"/>
        <v>45016</v>
      </c>
    </row>
    <row r="4134" spans="1:6" x14ac:dyDescent="0.25">
      <c r="A4134" s="1" t="s">
        <v>77</v>
      </c>
      <c r="B4134" s="1" t="s">
        <v>524</v>
      </c>
      <c r="C4134" s="1" t="s">
        <v>43</v>
      </c>
      <c r="D4134" s="3">
        <f t="shared" si="614"/>
        <v>7696</v>
      </c>
      <c r="E4134" s="2">
        <f t="shared" si="615"/>
        <v>41944</v>
      </c>
      <c r="F4134" s="2">
        <f t="shared" si="616"/>
        <v>45016</v>
      </c>
    </row>
    <row r="4135" spans="1:6" x14ac:dyDescent="0.25">
      <c r="A4135" s="1" t="s">
        <v>77</v>
      </c>
      <c r="B4135" s="1" t="s">
        <v>524</v>
      </c>
      <c r="C4135" s="1" t="s">
        <v>138</v>
      </c>
      <c r="D4135" s="3">
        <f t="shared" si="614"/>
        <v>7696</v>
      </c>
      <c r="E4135" s="2">
        <f t="shared" si="615"/>
        <v>41944</v>
      </c>
      <c r="F4135" s="2">
        <f t="shared" si="616"/>
        <v>45016</v>
      </c>
    </row>
    <row r="4136" spans="1:6" x14ac:dyDescent="0.25">
      <c r="A4136" s="1" t="s">
        <v>77</v>
      </c>
      <c r="B4136" s="1" t="s">
        <v>524</v>
      </c>
      <c r="C4136" s="1" t="s">
        <v>139</v>
      </c>
      <c r="D4136" s="3">
        <f t="shared" si="614"/>
        <v>7696</v>
      </c>
      <c r="E4136" s="2">
        <f t="shared" si="615"/>
        <v>41944</v>
      </c>
      <c r="F4136" s="2">
        <f t="shared" si="616"/>
        <v>45016</v>
      </c>
    </row>
    <row r="4137" spans="1:6" x14ac:dyDescent="0.25">
      <c r="A4137" s="1" t="s">
        <v>77</v>
      </c>
      <c r="B4137" s="1" t="s">
        <v>524</v>
      </c>
      <c r="C4137" s="1" t="s">
        <v>184</v>
      </c>
      <c r="D4137" s="3">
        <f t="shared" si="614"/>
        <v>7696</v>
      </c>
      <c r="E4137" s="2">
        <f t="shared" si="615"/>
        <v>41944</v>
      </c>
      <c r="F4137" s="2">
        <f t="shared" si="616"/>
        <v>45016</v>
      </c>
    </row>
    <row r="4138" spans="1:6" x14ac:dyDescent="0.25">
      <c r="A4138" s="1" t="s">
        <v>77</v>
      </c>
      <c r="B4138" s="1" t="s">
        <v>524</v>
      </c>
      <c r="C4138" s="1" t="s">
        <v>65</v>
      </c>
      <c r="D4138" s="3">
        <f t="shared" si="614"/>
        <v>7696</v>
      </c>
      <c r="E4138" s="2">
        <f t="shared" si="615"/>
        <v>41944</v>
      </c>
      <c r="F4138" s="2">
        <f t="shared" si="616"/>
        <v>45016</v>
      </c>
    </row>
    <row r="4139" spans="1:6" x14ac:dyDescent="0.25">
      <c r="A4139" s="1" t="s">
        <v>77</v>
      </c>
      <c r="B4139" s="1" t="s">
        <v>524</v>
      </c>
      <c r="C4139" s="1" t="s">
        <v>14</v>
      </c>
      <c r="D4139" s="3">
        <f t="shared" si="614"/>
        <v>7696</v>
      </c>
      <c r="E4139" s="2">
        <f t="shared" si="615"/>
        <v>41944</v>
      </c>
      <c r="F4139" s="2">
        <f t="shared" si="616"/>
        <v>45016</v>
      </c>
    </row>
    <row r="4140" spans="1:6" x14ac:dyDescent="0.25">
      <c r="A4140" s="1" t="s">
        <v>77</v>
      </c>
      <c r="B4140" s="1" t="s">
        <v>524</v>
      </c>
      <c r="C4140" s="1" t="s">
        <v>66</v>
      </c>
      <c r="D4140" s="3">
        <f t="shared" si="614"/>
        <v>7696</v>
      </c>
      <c r="E4140" s="2">
        <f t="shared" si="615"/>
        <v>41944</v>
      </c>
      <c r="F4140" s="2">
        <f t="shared" si="616"/>
        <v>45016</v>
      </c>
    </row>
    <row r="4141" spans="1:6" x14ac:dyDescent="0.25">
      <c r="A4141" s="1" t="s">
        <v>77</v>
      </c>
      <c r="B4141" s="1" t="s">
        <v>524</v>
      </c>
      <c r="C4141" s="1" t="s">
        <v>15</v>
      </c>
      <c r="D4141" s="3">
        <f t="shared" si="614"/>
        <v>7696</v>
      </c>
      <c r="E4141" s="2">
        <f t="shared" si="615"/>
        <v>41944</v>
      </c>
      <c r="F4141" s="2">
        <f t="shared" si="616"/>
        <v>45016</v>
      </c>
    </row>
    <row r="4142" spans="1:6" x14ac:dyDescent="0.25">
      <c r="A4142" s="1" t="s">
        <v>77</v>
      </c>
      <c r="B4142" s="1" t="s">
        <v>524</v>
      </c>
      <c r="C4142" s="1" t="s">
        <v>16</v>
      </c>
      <c r="D4142" s="3">
        <f t="shared" si="614"/>
        <v>7696</v>
      </c>
      <c r="E4142" s="2">
        <f t="shared" si="615"/>
        <v>41944</v>
      </c>
      <c r="F4142" s="2">
        <f t="shared" si="616"/>
        <v>45016</v>
      </c>
    </row>
    <row r="4143" spans="1:6" x14ac:dyDescent="0.25">
      <c r="A4143" s="1" t="s">
        <v>77</v>
      </c>
      <c r="B4143" s="1" t="s">
        <v>524</v>
      </c>
      <c r="C4143" s="1" t="s">
        <v>88</v>
      </c>
      <c r="D4143" s="3">
        <f t="shared" si="614"/>
        <v>7696</v>
      </c>
      <c r="E4143" s="2">
        <f t="shared" si="615"/>
        <v>41944</v>
      </c>
      <c r="F4143" s="2">
        <f t="shared" si="616"/>
        <v>45016</v>
      </c>
    </row>
    <row r="4144" spans="1:6" x14ac:dyDescent="0.25">
      <c r="A4144" s="1" t="s">
        <v>77</v>
      </c>
      <c r="B4144" s="1" t="s">
        <v>524</v>
      </c>
      <c r="C4144" s="1" t="s">
        <v>89</v>
      </c>
      <c r="D4144" s="3">
        <f t="shared" si="614"/>
        <v>7696</v>
      </c>
      <c r="E4144" s="2">
        <f t="shared" si="615"/>
        <v>41944</v>
      </c>
      <c r="F4144" s="2">
        <f t="shared" si="616"/>
        <v>45016</v>
      </c>
    </row>
    <row r="4145" spans="1:6" x14ac:dyDescent="0.25">
      <c r="A4145" s="1" t="s">
        <v>77</v>
      </c>
      <c r="B4145" s="1" t="s">
        <v>524</v>
      </c>
      <c r="C4145" s="1" t="s">
        <v>17</v>
      </c>
      <c r="D4145" s="3">
        <f t="shared" si="614"/>
        <v>7696</v>
      </c>
      <c r="E4145" s="2">
        <f t="shared" si="615"/>
        <v>41944</v>
      </c>
      <c r="F4145" s="2">
        <f t="shared" si="616"/>
        <v>45016</v>
      </c>
    </row>
    <row r="4146" spans="1:6" x14ac:dyDescent="0.25">
      <c r="A4146" s="1" t="s">
        <v>77</v>
      </c>
      <c r="B4146" s="1" t="s">
        <v>524</v>
      </c>
      <c r="C4146" s="1" t="s">
        <v>441</v>
      </c>
      <c r="D4146" s="3">
        <f t="shared" si="614"/>
        <v>7696</v>
      </c>
      <c r="E4146" s="2">
        <f t="shared" si="615"/>
        <v>41944</v>
      </c>
      <c r="F4146" s="2">
        <f t="shared" si="616"/>
        <v>45016</v>
      </c>
    </row>
    <row r="4147" spans="1:6" x14ac:dyDescent="0.25">
      <c r="A4147" s="1" t="s">
        <v>77</v>
      </c>
      <c r="B4147" s="1" t="s">
        <v>524</v>
      </c>
      <c r="C4147" s="1" t="s">
        <v>257</v>
      </c>
      <c r="D4147" s="3">
        <f t="shared" si="614"/>
        <v>7696</v>
      </c>
      <c r="E4147" s="2">
        <f t="shared" si="615"/>
        <v>41944</v>
      </c>
      <c r="F4147" s="2">
        <f t="shared" si="616"/>
        <v>45016</v>
      </c>
    </row>
    <row r="4148" spans="1:6" x14ac:dyDescent="0.25">
      <c r="A4148" s="1" t="s">
        <v>77</v>
      </c>
      <c r="B4148" s="1" t="s">
        <v>524</v>
      </c>
      <c r="C4148" s="1" t="s">
        <v>488</v>
      </c>
      <c r="D4148" s="3">
        <f t="shared" si="614"/>
        <v>7696</v>
      </c>
      <c r="E4148" s="2">
        <f t="shared" si="615"/>
        <v>41944</v>
      </c>
      <c r="F4148" s="2">
        <f t="shared" si="616"/>
        <v>45016</v>
      </c>
    </row>
    <row r="4149" spans="1:6" x14ac:dyDescent="0.25">
      <c r="A4149" s="1" t="s">
        <v>77</v>
      </c>
      <c r="B4149" s="1" t="s">
        <v>524</v>
      </c>
      <c r="C4149" s="1" t="s">
        <v>22</v>
      </c>
      <c r="D4149" s="3">
        <f t="shared" si="614"/>
        <v>7696</v>
      </c>
      <c r="E4149" s="2">
        <f t="shared" si="615"/>
        <v>41944</v>
      </c>
      <c r="F4149" s="2">
        <f t="shared" si="616"/>
        <v>45016</v>
      </c>
    </row>
    <row r="4150" spans="1:6" x14ac:dyDescent="0.25">
      <c r="A4150" s="1" t="s">
        <v>77</v>
      </c>
      <c r="B4150" s="1" t="s">
        <v>524</v>
      </c>
      <c r="C4150" s="1" t="s">
        <v>146</v>
      </c>
      <c r="D4150" s="3">
        <f t="shared" si="614"/>
        <v>7696</v>
      </c>
      <c r="E4150" s="2">
        <f t="shared" si="615"/>
        <v>41944</v>
      </c>
      <c r="F4150" s="2">
        <f t="shared" si="616"/>
        <v>45016</v>
      </c>
    </row>
    <row r="4151" spans="1:6" x14ac:dyDescent="0.25">
      <c r="A4151" s="1" t="s">
        <v>77</v>
      </c>
      <c r="B4151" s="1" t="s">
        <v>524</v>
      </c>
      <c r="C4151" s="1" t="s">
        <v>67</v>
      </c>
      <c r="D4151" s="3">
        <f t="shared" si="614"/>
        <v>7696</v>
      </c>
      <c r="E4151" s="2">
        <f t="shared" si="615"/>
        <v>41944</v>
      </c>
      <c r="F4151" s="2">
        <f t="shared" si="616"/>
        <v>45016</v>
      </c>
    </row>
    <row r="4152" spans="1:6" x14ac:dyDescent="0.25">
      <c r="A4152" s="1" t="s">
        <v>77</v>
      </c>
      <c r="B4152" s="1" t="s">
        <v>524</v>
      </c>
      <c r="C4152" s="1" t="s">
        <v>147</v>
      </c>
      <c r="D4152" s="3">
        <f t="shared" si="614"/>
        <v>7696</v>
      </c>
      <c r="E4152" s="2">
        <f t="shared" si="615"/>
        <v>41944</v>
      </c>
      <c r="F4152" s="2">
        <f t="shared" si="616"/>
        <v>45016</v>
      </c>
    </row>
    <row r="4153" spans="1:6" x14ac:dyDescent="0.25">
      <c r="A4153" s="1" t="s">
        <v>77</v>
      </c>
      <c r="B4153" s="1" t="s">
        <v>524</v>
      </c>
      <c r="C4153" s="1" t="s">
        <v>148</v>
      </c>
      <c r="D4153" s="3">
        <f t="shared" si="614"/>
        <v>7696</v>
      </c>
      <c r="E4153" s="2">
        <f t="shared" si="615"/>
        <v>41944</v>
      </c>
      <c r="F4153" s="2">
        <f t="shared" si="616"/>
        <v>45016</v>
      </c>
    </row>
    <row r="4154" spans="1:6" x14ac:dyDescent="0.25">
      <c r="A4154" s="1" t="s">
        <v>77</v>
      </c>
      <c r="B4154" s="1" t="s">
        <v>524</v>
      </c>
      <c r="C4154" s="1" t="s">
        <v>149</v>
      </c>
      <c r="D4154" s="3">
        <f t="shared" si="614"/>
        <v>7696</v>
      </c>
      <c r="E4154" s="2">
        <f t="shared" si="615"/>
        <v>41944</v>
      </c>
      <c r="F4154" s="2">
        <f t="shared" si="616"/>
        <v>45016</v>
      </c>
    </row>
    <row r="4155" spans="1:6" x14ac:dyDescent="0.25">
      <c r="A4155" s="1" t="s">
        <v>77</v>
      </c>
      <c r="B4155" s="1" t="s">
        <v>524</v>
      </c>
      <c r="C4155" s="1" t="s">
        <v>172</v>
      </c>
      <c r="D4155" s="3">
        <f t="shared" si="614"/>
        <v>7696</v>
      </c>
      <c r="E4155" s="2">
        <f t="shared" si="615"/>
        <v>41944</v>
      </c>
      <c r="F4155" s="2">
        <f t="shared" si="616"/>
        <v>45016</v>
      </c>
    </row>
    <row r="4156" spans="1:6" x14ac:dyDescent="0.25">
      <c r="A4156" s="1" t="s">
        <v>77</v>
      </c>
      <c r="B4156" s="1" t="s">
        <v>524</v>
      </c>
      <c r="C4156" s="1" t="s">
        <v>92</v>
      </c>
      <c r="D4156" s="3">
        <f t="shared" ref="D4156:D4182" si="617">VALUE("7696")</f>
        <v>7696</v>
      </c>
      <c r="E4156" s="2">
        <f t="shared" ref="E4156:E4182" si="618">DATEVALUE("1-11-2014")</f>
        <v>41944</v>
      </c>
      <c r="F4156" s="2">
        <f t="shared" ref="F4156:F4182" si="619">DATEVALUE("31-3-2023")</f>
        <v>45016</v>
      </c>
    </row>
    <row r="4157" spans="1:6" x14ac:dyDescent="0.25">
      <c r="A4157" s="1" t="s">
        <v>77</v>
      </c>
      <c r="B4157" s="1" t="s">
        <v>524</v>
      </c>
      <c r="C4157" s="1" t="s">
        <v>526</v>
      </c>
      <c r="D4157" s="3">
        <f t="shared" si="617"/>
        <v>7696</v>
      </c>
      <c r="E4157" s="2">
        <f t="shared" si="618"/>
        <v>41944</v>
      </c>
      <c r="F4157" s="2">
        <f t="shared" si="619"/>
        <v>45016</v>
      </c>
    </row>
    <row r="4158" spans="1:6" x14ac:dyDescent="0.25">
      <c r="A4158" s="1" t="s">
        <v>77</v>
      </c>
      <c r="B4158" s="1" t="s">
        <v>524</v>
      </c>
      <c r="C4158" s="1" t="s">
        <v>527</v>
      </c>
      <c r="D4158" s="3">
        <f t="shared" si="617"/>
        <v>7696</v>
      </c>
      <c r="E4158" s="2">
        <f t="shared" si="618"/>
        <v>41944</v>
      </c>
      <c r="F4158" s="2">
        <f t="shared" si="619"/>
        <v>45016</v>
      </c>
    </row>
    <row r="4159" spans="1:6" x14ac:dyDescent="0.25">
      <c r="A4159" s="1" t="s">
        <v>77</v>
      </c>
      <c r="B4159" s="1" t="s">
        <v>524</v>
      </c>
      <c r="C4159" s="1" t="s">
        <v>528</v>
      </c>
      <c r="D4159" s="3">
        <f t="shared" si="617"/>
        <v>7696</v>
      </c>
      <c r="E4159" s="2">
        <f t="shared" si="618"/>
        <v>41944</v>
      </c>
      <c r="F4159" s="2">
        <f t="shared" si="619"/>
        <v>45016</v>
      </c>
    </row>
    <row r="4160" spans="1:6" x14ac:dyDescent="0.25">
      <c r="A4160" s="1" t="s">
        <v>77</v>
      </c>
      <c r="B4160" s="1" t="s">
        <v>524</v>
      </c>
      <c r="C4160" s="1" t="s">
        <v>529</v>
      </c>
      <c r="D4160" s="3">
        <f t="shared" si="617"/>
        <v>7696</v>
      </c>
      <c r="E4160" s="2">
        <f t="shared" si="618"/>
        <v>41944</v>
      </c>
      <c r="F4160" s="2">
        <f t="shared" si="619"/>
        <v>45016</v>
      </c>
    </row>
    <row r="4161" spans="1:6" x14ac:dyDescent="0.25">
      <c r="A4161" s="1" t="s">
        <v>77</v>
      </c>
      <c r="B4161" s="1" t="s">
        <v>524</v>
      </c>
      <c r="C4161" s="1" t="s">
        <v>94</v>
      </c>
      <c r="D4161" s="3">
        <f t="shared" si="617"/>
        <v>7696</v>
      </c>
      <c r="E4161" s="2">
        <f t="shared" si="618"/>
        <v>41944</v>
      </c>
      <c r="F4161" s="2">
        <f t="shared" si="619"/>
        <v>45016</v>
      </c>
    </row>
    <row r="4162" spans="1:6" x14ac:dyDescent="0.25">
      <c r="A4162" s="1" t="s">
        <v>77</v>
      </c>
      <c r="B4162" s="1" t="s">
        <v>524</v>
      </c>
      <c r="C4162" s="1" t="s">
        <v>24</v>
      </c>
      <c r="D4162" s="3">
        <f t="shared" si="617"/>
        <v>7696</v>
      </c>
      <c r="E4162" s="2">
        <f t="shared" si="618"/>
        <v>41944</v>
      </c>
      <c r="F4162" s="2">
        <f t="shared" si="619"/>
        <v>45016</v>
      </c>
    </row>
    <row r="4163" spans="1:6" x14ac:dyDescent="0.25">
      <c r="A4163" s="1" t="s">
        <v>77</v>
      </c>
      <c r="B4163" s="1" t="s">
        <v>524</v>
      </c>
      <c r="C4163" s="1" t="s">
        <v>70</v>
      </c>
      <c r="D4163" s="3">
        <f t="shared" si="617"/>
        <v>7696</v>
      </c>
      <c r="E4163" s="2">
        <f t="shared" si="618"/>
        <v>41944</v>
      </c>
      <c r="F4163" s="2">
        <f t="shared" si="619"/>
        <v>45016</v>
      </c>
    </row>
    <row r="4164" spans="1:6" x14ac:dyDescent="0.25">
      <c r="A4164" s="1" t="s">
        <v>77</v>
      </c>
      <c r="B4164" s="1" t="s">
        <v>524</v>
      </c>
      <c r="C4164" s="1" t="s">
        <v>98</v>
      </c>
      <c r="D4164" s="3">
        <f t="shared" si="617"/>
        <v>7696</v>
      </c>
      <c r="E4164" s="2">
        <f t="shared" si="618"/>
        <v>41944</v>
      </c>
      <c r="F4164" s="2">
        <f t="shared" si="619"/>
        <v>45016</v>
      </c>
    </row>
    <row r="4165" spans="1:6" x14ac:dyDescent="0.25">
      <c r="A4165" s="1" t="s">
        <v>77</v>
      </c>
      <c r="B4165" s="1" t="s">
        <v>524</v>
      </c>
      <c r="C4165" s="1" t="s">
        <v>99</v>
      </c>
      <c r="D4165" s="3">
        <f t="shared" si="617"/>
        <v>7696</v>
      </c>
      <c r="E4165" s="2">
        <f t="shared" si="618"/>
        <v>41944</v>
      </c>
      <c r="F4165" s="2">
        <f t="shared" si="619"/>
        <v>45016</v>
      </c>
    </row>
    <row r="4166" spans="1:6" x14ac:dyDescent="0.25">
      <c r="A4166" s="1" t="s">
        <v>77</v>
      </c>
      <c r="B4166" s="1" t="s">
        <v>524</v>
      </c>
      <c r="C4166" s="1" t="s">
        <v>26</v>
      </c>
      <c r="D4166" s="3">
        <f t="shared" si="617"/>
        <v>7696</v>
      </c>
      <c r="E4166" s="2">
        <f t="shared" si="618"/>
        <v>41944</v>
      </c>
      <c r="F4166" s="2">
        <f t="shared" si="619"/>
        <v>45016</v>
      </c>
    </row>
    <row r="4167" spans="1:6" x14ac:dyDescent="0.25">
      <c r="A4167" s="1" t="s">
        <v>77</v>
      </c>
      <c r="B4167" s="1" t="s">
        <v>524</v>
      </c>
      <c r="C4167" s="1" t="s">
        <v>283</v>
      </c>
      <c r="D4167" s="3">
        <f t="shared" si="617"/>
        <v>7696</v>
      </c>
      <c r="E4167" s="2">
        <f t="shared" si="618"/>
        <v>41944</v>
      </c>
      <c r="F4167" s="2">
        <f t="shared" si="619"/>
        <v>45016</v>
      </c>
    </row>
    <row r="4168" spans="1:6" x14ac:dyDescent="0.25">
      <c r="A4168" s="1" t="s">
        <v>77</v>
      </c>
      <c r="B4168" s="1" t="s">
        <v>524</v>
      </c>
      <c r="C4168" s="1" t="s">
        <v>516</v>
      </c>
      <c r="D4168" s="3">
        <f t="shared" si="617"/>
        <v>7696</v>
      </c>
      <c r="E4168" s="2">
        <f t="shared" si="618"/>
        <v>41944</v>
      </c>
      <c r="F4168" s="2">
        <f t="shared" si="619"/>
        <v>45016</v>
      </c>
    </row>
    <row r="4169" spans="1:6" x14ac:dyDescent="0.25">
      <c r="A4169" s="1" t="s">
        <v>77</v>
      </c>
      <c r="B4169" s="1" t="s">
        <v>524</v>
      </c>
      <c r="C4169" s="1" t="s">
        <v>104</v>
      </c>
      <c r="D4169" s="3">
        <f t="shared" si="617"/>
        <v>7696</v>
      </c>
      <c r="E4169" s="2">
        <f t="shared" si="618"/>
        <v>41944</v>
      </c>
      <c r="F4169" s="2">
        <f t="shared" si="619"/>
        <v>45016</v>
      </c>
    </row>
    <row r="4170" spans="1:6" x14ac:dyDescent="0.25">
      <c r="A4170" s="1" t="s">
        <v>77</v>
      </c>
      <c r="B4170" s="1" t="s">
        <v>524</v>
      </c>
      <c r="C4170" s="1" t="s">
        <v>459</v>
      </c>
      <c r="D4170" s="3">
        <f t="shared" si="617"/>
        <v>7696</v>
      </c>
      <c r="E4170" s="2">
        <f t="shared" si="618"/>
        <v>41944</v>
      </c>
      <c r="F4170" s="2">
        <f t="shared" si="619"/>
        <v>45016</v>
      </c>
    </row>
    <row r="4171" spans="1:6" x14ac:dyDescent="0.25">
      <c r="A4171" s="1" t="s">
        <v>77</v>
      </c>
      <c r="B4171" s="1" t="s">
        <v>524</v>
      </c>
      <c r="C4171" s="1" t="s">
        <v>303</v>
      </c>
      <c r="D4171" s="3">
        <f t="shared" si="617"/>
        <v>7696</v>
      </c>
      <c r="E4171" s="2">
        <f t="shared" si="618"/>
        <v>41944</v>
      </c>
      <c r="F4171" s="2">
        <f t="shared" si="619"/>
        <v>45016</v>
      </c>
    </row>
    <row r="4172" spans="1:6" x14ac:dyDescent="0.25">
      <c r="A4172" s="1" t="s">
        <v>77</v>
      </c>
      <c r="B4172" s="1" t="s">
        <v>524</v>
      </c>
      <c r="C4172" s="1" t="s">
        <v>160</v>
      </c>
      <c r="D4172" s="3">
        <f t="shared" si="617"/>
        <v>7696</v>
      </c>
      <c r="E4172" s="2">
        <f t="shared" si="618"/>
        <v>41944</v>
      </c>
      <c r="F4172" s="2">
        <f t="shared" si="619"/>
        <v>45016</v>
      </c>
    </row>
    <row r="4173" spans="1:6" x14ac:dyDescent="0.25">
      <c r="A4173" s="1" t="s">
        <v>77</v>
      </c>
      <c r="B4173" s="1" t="s">
        <v>524</v>
      </c>
      <c r="C4173" s="1" t="s">
        <v>378</v>
      </c>
      <c r="D4173" s="3">
        <f t="shared" si="617"/>
        <v>7696</v>
      </c>
      <c r="E4173" s="2">
        <f t="shared" si="618"/>
        <v>41944</v>
      </c>
      <c r="F4173" s="2">
        <f t="shared" si="619"/>
        <v>45016</v>
      </c>
    </row>
    <row r="4174" spans="1:6" x14ac:dyDescent="0.25">
      <c r="A4174" s="1" t="s">
        <v>77</v>
      </c>
      <c r="B4174" s="1" t="s">
        <v>524</v>
      </c>
      <c r="C4174" s="1" t="s">
        <v>304</v>
      </c>
      <c r="D4174" s="3">
        <f t="shared" si="617"/>
        <v>7696</v>
      </c>
      <c r="E4174" s="2">
        <f t="shared" si="618"/>
        <v>41944</v>
      </c>
      <c r="F4174" s="2">
        <f t="shared" si="619"/>
        <v>45016</v>
      </c>
    </row>
    <row r="4175" spans="1:6" x14ac:dyDescent="0.25">
      <c r="A4175" s="1" t="s">
        <v>77</v>
      </c>
      <c r="B4175" s="1" t="s">
        <v>524</v>
      </c>
      <c r="C4175" s="1" t="s">
        <v>369</v>
      </c>
      <c r="D4175" s="3">
        <f t="shared" si="617"/>
        <v>7696</v>
      </c>
      <c r="E4175" s="2">
        <f t="shared" si="618"/>
        <v>41944</v>
      </c>
      <c r="F4175" s="2">
        <f t="shared" si="619"/>
        <v>45016</v>
      </c>
    </row>
    <row r="4176" spans="1:6" x14ac:dyDescent="0.25">
      <c r="A4176" s="1" t="s">
        <v>77</v>
      </c>
      <c r="B4176" s="1" t="s">
        <v>524</v>
      </c>
      <c r="C4176" s="1" t="s">
        <v>425</v>
      </c>
      <c r="D4176" s="3">
        <f t="shared" si="617"/>
        <v>7696</v>
      </c>
      <c r="E4176" s="2">
        <f t="shared" si="618"/>
        <v>41944</v>
      </c>
      <c r="F4176" s="2">
        <f t="shared" si="619"/>
        <v>45016</v>
      </c>
    </row>
    <row r="4177" spans="1:6" x14ac:dyDescent="0.25">
      <c r="A4177" s="1" t="s">
        <v>77</v>
      </c>
      <c r="B4177" s="1" t="s">
        <v>524</v>
      </c>
      <c r="C4177" s="1" t="s">
        <v>34</v>
      </c>
      <c r="D4177" s="3">
        <f t="shared" si="617"/>
        <v>7696</v>
      </c>
      <c r="E4177" s="2">
        <f t="shared" si="618"/>
        <v>41944</v>
      </c>
      <c r="F4177" s="2">
        <f t="shared" si="619"/>
        <v>45016</v>
      </c>
    </row>
    <row r="4178" spans="1:6" x14ac:dyDescent="0.25">
      <c r="A4178" s="1" t="s">
        <v>77</v>
      </c>
      <c r="B4178" s="1" t="s">
        <v>524</v>
      </c>
      <c r="C4178" s="1" t="s">
        <v>116</v>
      </c>
      <c r="D4178" s="3">
        <f t="shared" si="617"/>
        <v>7696</v>
      </c>
      <c r="E4178" s="2">
        <f t="shared" si="618"/>
        <v>41944</v>
      </c>
      <c r="F4178" s="2">
        <f t="shared" si="619"/>
        <v>45016</v>
      </c>
    </row>
    <row r="4179" spans="1:6" x14ac:dyDescent="0.25">
      <c r="A4179" s="1" t="s">
        <v>77</v>
      </c>
      <c r="B4179" s="1" t="s">
        <v>524</v>
      </c>
      <c r="C4179" s="1" t="s">
        <v>57</v>
      </c>
      <c r="D4179" s="3">
        <f t="shared" si="617"/>
        <v>7696</v>
      </c>
      <c r="E4179" s="2">
        <f t="shared" si="618"/>
        <v>41944</v>
      </c>
      <c r="F4179" s="2">
        <f t="shared" si="619"/>
        <v>45016</v>
      </c>
    </row>
    <row r="4180" spans="1:6" x14ac:dyDescent="0.25">
      <c r="A4180" s="1" t="s">
        <v>77</v>
      </c>
      <c r="B4180" s="1" t="s">
        <v>524</v>
      </c>
      <c r="C4180" s="1" t="s">
        <v>36</v>
      </c>
      <c r="D4180" s="3">
        <f t="shared" si="617"/>
        <v>7696</v>
      </c>
      <c r="E4180" s="2">
        <f t="shared" si="618"/>
        <v>41944</v>
      </c>
      <c r="F4180" s="2">
        <f t="shared" si="619"/>
        <v>45016</v>
      </c>
    </row>
    <row r="4181" spans="1:6" x14ac:dyDescent="0.25">
      <c r="A4181" s="1" t="s">
        <v>77</v>
      </c>
      <c r="B4181" s="1" t="s">
        <v>524</v>
      </c>
      <c r="C4181" s="1" t="s">
        <v>520</v>
      </c>
      <c r="D4181" s="3">
        <f t="shared" si="617"/>
        <v>7696</v>
      </c>
      <c r="E4181" s="2">
        <f t="shared" si="618"/>
        <v>41944</v>
      </c>
      <c r="F4181" s="2">
        <f t="shared" si="619"/>
        <v>45016</v>
      </c>
    </row>
    <row r="4182" spans="1:6" x14ac:dyDescent="0.25">
      <c r="A4182" s="1" t="s">
        <v>77</v>
      </c>
      <c r="B4182" s="1" t="s">
        <v>524</v>
      </c>
      <c r="C4182" s="1" t="s">
        <v>170</v>
      </c>
      <c r="D4182" s="3">
        <f t="shared" si="617"/>
        <v>7696</v>
      </c>
      <c r="E4182" s="2">
        <f t="shared" si="618"/>
        <v>41944</v>
      </c>
      <c r="F4182" s="2">
        <f t="shared" si="619"/>
        <v>45016</v>
      </c>
    </row>
    <row r="4183" spans="1:6" x14ac:dyDescent="0.25">
      <c r="A4183" s="1" t="s">
        <v>77</v>
      </c>
      <c r="B4183" s="1" t="s">
        <v>1883</v>
      </c>
      <c r="C4183" s="1" t="s">
        <v>615</v>
      </c>
      <c r="D4183" s="3">
        <f t="shared" ref="D4183:D4188" si="620">VALUE("7538")</f>
        <v>7538</v>
      </c>
      <c r="E4183" s="2">
        <f t="shared" ref="E4183:E4188" si="621">DATEVALUE("1-9-2013")</f>
        <v>41518</v>
      </c>
      <c r="F4183" s="2">
        <f t="shared" ref="F4183:F4188" si="622">DATEVALUE("31-10-2014")</f>
        <v>41943</v>
      </c>
    </row>
    <row r="4184" spans="1:6" x14ac:dyDescent="0.25">
      <c r="A4184" s="1" t="s">
        <v>77</v>
      </c>
      <c r="B4184" s="1" t="s">
        <v>1883</v>
      </c>
      <c r="C4184" s="1" t="s">
        <v>86</v>
      </c>
      <c r="D4184" s="3">
        <f t="shared" si="620"/>
        <v>7538</v>
      </c>
      <c r="E4184" s="2">
        <f t="shared" si="621"/>
        <v>41518</v>
      </c>
      <c r="F4184" s="2">
        <f t="shared" si="622"/>
        <v>41943</v>
      </c>
    </row>
    <row r="4185" spans="1:6" x14ac:dyDescent="0.25">
      <c r="A4185" s="1" t="s">
        <v>77</v>
      </c>
      <c r="B4185" s="1" t="s">
        <v>1883</v>
      </c>
      <c r="C4185" s="1" t="s">
        <v>15</v>
      </c>
      <c r="D4185" s="3">
        <f t="shared" si="620"/>
        <v>7538</v>
      </c>
      <c r="E4185" s="2">
        <f t="shared" si="621"/>
        <v>41518</v>
      </c>
      <c r="F4185" s="2">
        <f t="shared" si="622"/>
        <v>41943</v>
      </c>
    </row>
    <row r="4186" spans="1:6" x14ac:dyDescent="0.25">
      <c r="A4186" s="1" t="s">
        <v>77</v>
      </c>
      <c r="B4186" s="1" t="s">
        <v>1883</v>
      </c>
      <c r="C4186" s="1" t="s">
        <v>17</v>
      </c>
      <c r="D4186" s="3">
        <f t="shared" si="620"/>
        <v>7538</v>
      </c>
      <c r="E4186" s="2">
        <f t="shared" si="621"/>
        <v>41518</v>
      </c>
      <c r="F4186" s="2">
        <f t="shared" si="622"/>
        <v>41943</v>
      </c>
    </row>
    <row r="4187" spans="1:6" x14ac:dyDescent="0.25">
      <c r="A4187" s="1" t="s">
        <v>77</v>
      </c>
      <c r="B4187" s="1" t="s">
        <v>1883</v>
      </c>
      <c r="C4187" s="1" t="s">
        <v>73</v>
      </c>
      <c r="D4187" s="3">
        <f t="shared" si="620"/>
        <v>7538</v>
      </c>
      <c r="E4187" s="2">
        <f t="shared" si="621"/>
        <v>41518</v>
      </c>
      <c r="F4187" s="2">
        <f t="shared" si="622"/>
        <v>41943</v>
      </c>
    </row>
    <row r="4188" spans="1:6" x14ac:dyDescent="0.25">
      <c r="A4188" s="1" t="s">
        <v>77</v>
      </c>
      <c r="B4188" s="1" t="s">
        <v>1883</v>
      </c>
      <c r="C4188" s="1" t="s">
        <v>161</v>
      </c>
      <c r="D4188" s="3">
        <f t="shared" si="620"/>
        <v>7538</v>
      </c>
      <c r="E4188" s="2">
        <f t="shared" si="621"/>
        <v>41518</v>
      </c>
      <c r="F4188" s="2">
        <f t="shared" si="622"/>
        <v>41943</v>
      </c>
    </row>
    <row r="4189" spans="1:6" x14ac:dyDescent="0.25">
      <c r="A4189" s="1" t="s">
        <v>77</v>
      </c>
      <c r="B4189" s="1" t="s">
        <v>1884</v>
      </c>
      <c r="C4189" s="1" t="s">
        <v>85</v>
      </c>
      <c r="D4189" s="3">
        <f>VALUE("7249")</f>
        <v>7249</v>
      </c>
      <c r="E4189" s="2">
        <f>DATEVALUE("1-12-2011")</f>
        <v>40878</v>
      </c>
      <c r="F4189" s="2">
        <f>DATEVALUE("31-3-2016")</f>
        <v>42460</v>
      </c>
    </row>
    <row r="4190" spans="1:6" x14ac:dyDescent="0.25">
      <c r="A4190" s="1" t="s">
        <v>77</v>
      </c>
      <c r="B4190" s="1" t="s">
        <v>1884</v>
      </c>
      <c r="C4190" s="1" t="s">
        <v>93</v>
      </c>
      <c r="D4190" s="3">
        <f>VALUE("7249")</f>
        <v>7249</v>
      </c>
      <c r="E4190" s="2">
        <f>DATEVALUE("1-12-2011")</f>
        <v>40878</v>
      </c>
      <c r="F4190" s="2">
        <f>DATEVALUE("31-3-2016")</f>
        <v>42460</v>
      </c>
    </row>
    <row r="4191" spans="1:6" x14ac:dyDescent="0.25">
      <c r="A4191" s="1" t="s">
        <v>77</v>
      </c>
      <c r="B4191" s="1" t="s">
        <v>1884</v>
      </c>
      <c r="C4191" s="1" t="s">
        <v>129</v>
      </c>
      <c r="D4191" s="3">
        <f>VALUE("7249")</f>
        <v>7249</v>
      </c>
      <c r="E4191" s="2">
        <f>DATEVALUE("1-12-2011")</f>
        <v>40878</v>
      </c>
      <c r="F4191" s="2">
        <f>DATEVALUE("31-3-2016")</f>
        <v>42460</v>
      </c>
    </row>
    <row r="4192" spans="1:6" x14ac:dyDescent="0.25">
      <c r="A4192" s="1" t="s">
        <v>77</v>
      </c>
      <c r="B4192" s="1" t="s">
        <v>1884</v>
      </c>
      <c r="C4192" s="1" t="s">
        <v>176</v>
      </c>
      <c r="D4192" s="3">
        <f>VALUE("7249")</f>
        <v>7249</v>
      </c>
      <c r="E4192" s="2">
        <f>DATEVALUE("1-12-2011")</f>
        <v>40878</v>
      </c>
      <c r="F4192" s="2">
        <f>DATEVALUE("31-3-2016")</f>
        <v>42460</v>
      </c>
    </row>
    <row r="4193" spans="1:6" x14ac:dyDescent="0.25">
      <c r="A4193" s="1" t="s">
        <v>77</v>
      </c>
      <c r="B4193" s="1" t="s">
        <v>76</v>
      </c>
      <c r="C4193" s="1" t="s">
        <v>78</v>
      </c>
      <c r="D4193" s="3">
        <f t="shared" ref="D4193:D4224" si="623">VALUE("6065")</f>
        <v>6065</v>
      </c>
      <c r="E4193" s="2">
        <f t="shared" ref="E4193:E4224" si="624">DATEVALUE("1-10-2007")</f>
        <v>39356</v>
      </c>
      <c r="F4193" s="2">
        <f t="shared" ref="F4193:F4224" si="625">DATEVALUE("31-3-2025")</f>
        <v>45747</v>
      </c>
    </row>
    <row r="4194" spans="1:6" x14ac:dyDescent="0.25">
      <c r="A4194" s="1" t="s">
        <v>77</v>
      </c>
      <c r="B4194" s="1" t="s">
        <v>76</v>
      </c>
      <c r="C4194" s="1" t="s">
        <v>79</v>
      </c>
      <c r="D4194" s="3">
        <f t="shared" si="623"/>
        <v>6065</v>
      </c>
      <c r="E4194" s="2">
        <f t="shared" si="624"/>
        <v>39356</v>
      </c>
      <c r="F4194" s="2">
        <f t="shared" si="625"/>
        <v>45747</v>
      </c>
    </row>
    <row r="4195" spans="1:6" x14ac:dyDescent="0.25">
      <c r="A4195" s="1" t="s">
        <v>77</v>
      </c>
      <c r="B4195" s="1" t="s">
        <v>76</v>
      </c>
      <c r="C4195" s="1" t="s">
        <v>81</v>
      </c>
      <c r="D4195" s="3">
        <f t="shared" si="623"/>
        <v>6065</v>
      </c>
      <c r="E4195" s="2">
        <f t="shared" si="624"/>
        <v>39356</v>
      </c>
      <c r="F4195" s="2">
        <f t="shared" si="625"/>
        <v>45747</v>
      </c>
    </row>
    <row r="4196" spans="1:6" x14ac:dyDescent="0.25">
      <c r="A4196" s="1" t="s">
        <v>77</v>
      </c>
      <c r="B4196" s="1" t="s">
        <v>76</v>
      </c>
      <c r="C4196" s="1" t="s">
        <v>80</v>
      </c>
      <c r="D4196" s="3">
        <f t="shared" si="623"/>
        <v>6065</v>
      </c>
      <c r="E4196" s="2">
        <f t="shared" si="624"/>
        <v>39356</v>
      </c>
      <c r="F4196" s="2">
        <f t="shared" si="625"/>
        <v>45747</v>
      </c>
    </row>
    <row r="4197" spans="1:6" x14ac:dyDescent="0.25">
      <c r="A4197" s="1" t="s">
        <v>77</v>
      </c>
      <c r="B4197" s="1" t="s">
        <v>76</v>
      </c>
      <c r="C4197" s="1" t="s">
        <v>39</v>
      </c>
      <c r="D4197" s="3">
        <f t="shared" si="623"/>
        <v>6065</v>
      </c>
      <c r="E4197" s="2">
        <f t="shared" si="624"/>
        <v>39356</v>
      </c>
      <c r="F4197" s="2">
        <f t="shared" si="625"/>
        <v>45747</v>
      </c>
    </row>
    <row r="4198" spans="1:6" x14ac:dyDescent="0.25">
      <c r="A4198" s="1" t="s">
        <v>77</v>
      </c>
      <c r="B4198" s="1" t="s">
        <v>76</v>
      </c>
      <c r="C4198" s="1" t="s">
        <v>60</v>
      </c>
      <c r="D4198" s="3">
        <f t="shared" si="623"/>
        <v>6065</v>
      </c>
      <c r="E4198" s="2">
        <f t="shared" si="624"/>
        <v>39356</v>
      </c>
      <c r="F4198" s="2">
        <f t="shared" si="625"/>
        <v>45747</v>
      </c>
    </row>
    <row r="4199" spans="1:6" x14ac:dyDescent="0.25">
      <c r="A4199" s="1" t="s">
        <v>77</v>
      </c>
      <c r="B4199" s="1" t="s">
        <v>76</v>
      </c>
      <c r="C4199" s="1" t="s">
        <v>82</v>
      </c>
      <c r="D4199" s="3">
        <f t="shared" si="623"/>
        <v>6065</v>
      </c>
      <c r="E4199" s="2">
        <f t="shared" si="624"/>
        <v>39356</v>
      </c>
      <c r="F4199" s="2">
        <f t="shared" si="625"/>
        <v>45747</v>
      </c>
    </row>
    <row r="4200" spans="1:6" x14ac:dyDescent="0.25">
      <c r="A4200" s="1" t="s">
        <v>77</v>
      </c>
      <c r="B4200" s="1" t="s">
        <v>76</v>
      </c>
      <c r="C4200" s="1" t="s">
        <v>42</v>
      </c>
      <c r="D4200" s="3">
        <f t="shared" si="623"/>
        <v>6065</v>
      </c>
      <c r="E4200" s="2">
        <f t="shared" si="624"/>
        <v>39356</v>
      </c>
      <c r="F4200" s="2">
        <f t="shared" si="625"/>
        <v>45747</v>
      </c>
    </row>
    <row r="4201" spans="1:6" x14ac:dyDescent="0.25">
      <c r="A4201" s="1" t="s">
        <v>77</v>
      </c>
      <c r="B4201" s="1" t="s">
        <v>76</v>
      </c>
      <c r="C4201" s="1" t="s">
        <v>8</v>
      </c>
      <c r="D4201" s="3">
        <f t="shared" si="623"/>
        <v>6065</v>
      </c>
      <c r="E4201" s="2">
        <f t="shared" si="624"/>
        <v>39356</v>
      </c>
      <c r="F4201" s="2">
        <f t="shared" si="625"/>
        <v>45747</v>
      </c>
    </row>
    <row r="4202" spans="1:6" x14ac:dyDescent="0.25">
      <c r="A4202" s="1" t="s">
        <v>77</v>
      </c>
      <c r="B4202" s="1" t="s">
        <v>76</v>
      </c>
      <c r="C4202" s="1" t="s">
        <v>10</v>
      </c>
      <c r="D4202" s="3">
        <f t="shared" si="623"/>
        <v>6065</v>
      </c>
      <c r="E4202" s="2">
        <f t="shared" si="624"/>
        <v>39356</v>
      </c>
      <c r="F4202" s="2">
        <f t="shared" si="625"/>
        <v>45747</v>
      </c>
    </row>
    <row r="4203" spans="1:6" x14ac:dyDescent="0.25">
      <c r="A4203" s="1" t="s">
        <v>77</v>
      </c>
      <c r="B4203" s="1" t="s">
        <v>76</v>
      </c>
      <c r="C4203" s="1" t="s">
        <v>11</v>
      </c>
      <c r="D4203" s="3">
        <f t="shared" si="623"/>
        <v>6065</v>
      </c>
      <c r="E4203" s="2">
        <f t="shared" si="624"/>
        <v>39356</v>
      </c>
      <c r="F4203" s="2">
        <f t="shared" si="625"/>
        <v>45747</v>
      </c>
    </row>
    <row r="4204" spans="1:6" x14ac:dyDescent="0.25">
      <c r="A4204" s="1" t="s">
        <v>77</v>
      </c>
      <c r="B4204" s="1" t="s">
        <v>76</v>
      </c>
      <c r="C4204" s="1" t="s">
        <v>12</v>
      </c>
      <c r="D4204" s="3">
        <f t="shared" si="623"/>
        <v>6065</v>
      </c>
      <c r="E4204" s="2">
        <f t="shared" si="624"/>
        <v>39356</v>
      </c>
      <c r="F4204" s="2">
        <f t="shared" si="625"/>
        <v>45747</v>
      </c>
    </row>
    <row r="4205" spans="1:6" x14ac:dyDescent="0.25">
      <c r="A4205" s="1" t="s">
        <v>77</v>
      </c>
      <c r="B4205" s="1" t="s">
        <v>76</v>
      </c>
      <c r="C4205" s="1" t="s">
        <v>83</v>
      </c>
      <c r="D4205" s="3">
        <f t="shared" si="623"/>
        <v>6065</v>
      </c>
      <c r="E4205" s="2">
        <f t="shared" si="624"/>
        <v>39356</v>
      </c>
      <c r="F4205" s="2">
        <f t="shared" si="625"/>
        <v>45747</v>
      </c>
    </row>
    <row r="4206" spans="1:6" x14ac:dyDescent="0.25">
      <c r="A4206" s="1" t="s">
        <v>77</v>
      </c>
      <c r="B4206" s="1" t="s">
        <v>76</v>
      </c>
      <c r="C4206" s="1" t="s">
        <v>43</v>
      </c>
      <c r="D4206" s="3">
        <f t="shared" si="623"/>
        <v>6065</v>
      </c>
      <c r="E4206" s="2">
        <f t="shared" si="624"/>
        <v>39356</v>
      </c>
      <c r="F4206" s="2">
        <f t="shared" si="625"/>
        <v>45747</v>
      </c>
    </row>
    <row r="4207" spans="1:6" x14ac:dyDescent="0.25">
      <c r="A4207" s="1" t="s">
        <v>77</v>
      </c>
      <c r="B4207" s="1" t="s">
        <v>76</v>
      </c>
      <c r="C4207" s="1" t="s">
        <v>85</v>
      </c>
      <c r="D4207" s="3">
        <f t="shared" si="623"/>
        <v>6065</v>
      </c>
      <c r="E4207" s="2">
        <f t="shared" si="624"/>
        <v>39356</v>
      </c>
      <c r="F4207" s="2">
        <f t="shared" si="625"/>
        <v>45747</v>
      </c>
    </row>
    <row r="4208" spans="1:6" x14ac:dyDescent="0.25">
      <c r="A4208" s="1" t="s">
        <v>77</v>
      </c>
      <c r="B4208" s="1" t="s">
        <v>76</v>
      </c>
      <c r="C4208" s="1" t="s">
        <v>84</v>
      </c>
      <c r="D4208" s="3">
        <f t="shared" si="623"/>
        <v>6065</v>
      </c>
      <c r="E4208" s="2">
        <f t="shared" si="624"/>
        <v>39356</v>
      </c>
      <c r="F4208" s="2">
        <f t="shared" si="625"/>
        <v>45747</v>
      </c>
    </row>
    <row r="4209" spans="1:6" x14ac:dyDescent="0.25">
      <c r="A4209" s="1" t="s">
        <v>77</v>
      </c>
      <c r="B4209" s="1" t="s">
        <v>76</v>
      </c>
      <c r="C4209" s="1" t="s">
        <v>86</v>
      </c>
      <c r="D4209" s="3">
        <f t="shared" si="623"/>
        <v>6065</v>
      </c>
      <c r="E4209" s="2">
        <f t="shared" si="624"/>
        <v>39356</v>
      </c>
      <c r="F4209" s="2">
        <f t="shared" si="625"/>
        <v>45747</v>
      </c>
    </row>
    <row r="4210" spans="1:6" x14ac:dyDescent="0.25">
      <c r="A4210" s="1" t="s">
        <v>77</v>
      </c>
      <c r="B4210" s="1" t="s">
        <v>76</v>
      </c>
      <c r="C4210" s="1" t="s">
        <v>46</v>
      </c>
      <c r="D4210" s="3">
        <f t="shared" si="623"/>
        <v>6065</v>
      </c>
      <c r="E4210" s="2">
        <f t="shared" si="624"/>
        <v>39356</v>
      </c>
      <c r="F4210" s="2">
        <f t="shared" si="625"/>
        <v>45747</v>
      </c>
    </row>
    <row r="4211" spans="1:6" x14ac:dyDescent="0.25">
      <c r="A4211" s="1" t="s">
        <v>77</v>
      </c>
      <c r="B4211" s="1" t="s">
        <v>76</v>
      </c>
      <c r="C4211" s="1" t="s">
        <v>87</v>
      </c>
      <c r="D4211" s="3">
        <f t="shared" si="623"/>
        <v>6065</v>
      </c>
      <c r="E4211" s="2">
        <f t="shared" si="624"/>
        <v>39356</v>
      </c>
      <c r="F4211" s="2">
        <f t="shared" si="625"/>
        <v>45747</v>
      </c>
    </row>
    <row r="4212" spans="1:6" x14ac:dyDescent="0.25">
      <c r="A4212" s="1" t="s">
        <v>77</v>
      </c>
      <c r="B4212" s="1" t="s">
        <v>76</v>
      </c>
      <c r="C4212" s="1" t="s">
        <v>14</v>
      </c>
      <c r="D4212" s="3">
        <f t="shared" si="623"/>
        <v>6065</v>
      </c>
      <c r="E4212" s="2">
        <f t="shared" si="624"/>
        <v>39356</v>
      </c>
      <c r="F4212" s="2">
        <f t="shared" si="625"/>
        <v>45747</v>
      </c>
    </row>
    <row r="4213" spans="1:6" x14ac:dyDescent="0.25">
      <c r="A4213" s="1" t="s">
        <v>77</v>
      </c>
      <c r="B4213" s="1" t="s">
        <v>76</v>
      </c>
      <c r="C4213" s="1" t="s">
        <v>66</v>
      </c>
      <c r="D4213" s="3">
        <f t="shared" si="623"/>
        <v>6065</v>
      </c>
      <c r="E4213" s="2">
        <f t="shared" si="624"/>
        <v>39356</v>
      </c>
      <c r="F4213" s="2">
        <f t="shared" si="625"/>
        <v>45747</v>
      </c>
    </row>
    <row r="4214" spans="1:6" x14ac:dyDescent="0.25">
      <c r="A4214" s="1" t="s">
        <v>77</v>
      </c>
      <c r="B4214" s="1" t="s">
        <v>76</v>
      </c>
      <c r="C4214" s="1" t="s">
        <v>15</v>
      </c>
      <c r="D4214" s="3">
        <f t="shared" si="623"/>
        <v>6065</v>
      </c>
      <c r="E4214" s="2">
        <f t="shared" si="624"/>
        <v>39356</v>
      </c>
      <c r="F4214" s="2">
        <f t="shared" si="625"/>
        <v>45747</v>
      </c>
    </row>
    <row r="4215" spans="1:6" x14ac:dyDescent="0.25">
      <c r="A4215" s="1" t="s">
        <v>77</v>
      </c>
      <c r="B4215" s="1" t="s">
        <v>76</v>
      </c>
      <c r="C4215" s="1" t="s">
        <v>16</v>
      </c>
      <c r="D4215" s="3">
        <f t="shared" si="623"/>
        <v>6065</v>
      </c>
      <c r="E4215" s="2">
        <f t="shared" si="624"/>
        <v>39356</v>
      </c>
      <c r="F4215" s="2">
        <f t="shared" si="625"/>
        <v>45747</v>
      </c>
    </row>
    <row r="4216" spans="1:6" x14ac:dyDescent="0.25">
      <c r="A4216" s="1" t="s">
        <v>77</v>
      </c>
      <c r="B4216" s="1" t="s">
        <v>76</v>
      </c>
      <c r="C4216" s="1" t="s">
        <v>88</v>
      </c>
      <c r="D4216" s="3">
        <f t="shared" si="623"/>
        <v>6065</v>
      </c>
      <c r="E4216" s="2">
        <f t="shared" si="624"/>
        <v>39356</v>
      </c>
      <c r="F4216" s="2">
        <f t="shared" si="625"/>
        <v>45747</v>
      </c>
    </row>
    <row r="4217" spans="1:6" x14ac:dyDescent="0.25">
      <c r="A4217" s="1" t="s">
        <v>77</v>
      </c>
      <c r="B4217" s="1" t="s">
        <v>76</v>
      </c>
      <c r="C4217" s="1" t="s">
        <v>89</v>
      </c>
      <c r="D4217" s="3">
        <f t="shared" si="623"/>
        <v>6065</v>
      </c>
      <c r="E4217" s="2">
        <f t="shared" si="624"/>
        <v>39356</v>
      </c>
      <c r="F4217" s="2">
        <f t="shared" si="625"/>
        <v>45747</v>
      </c>
    </row>
    <row r="4218" spans="1:6" x14ac:dyDescent="0.25">
      <c r="A4218" s="1" t="s">
        <v>77</v>
      </c>
      <c r="B4218" s="1" t="s">
        <v>76</v>
      </c>
      <c r="C4218" s="1" t="s">
        <v>17</v>
      </c>
      <c r="D4218" s="3">
        <f t="shared" si="623"/>
        <v>6065</v>
      </c>
      <c r="E4218" s="2">
        <f t="shared" si="624"/>
        <v>39356</v>
      </c>
      <c r="F4218" s="2">
        <f t="shared" si="625"/>
        <v>45747</v>
      </c>
    </row>
    <row r="4219" spans="1:6" x14ac:dyDescent="0.25">
      <c r="A4219" s="1" t="s">
        <v>77</v>
      </c>
      <c r="B4219" s="1" t="s">
        <v>76</v>
      </c>
      <c r="C4219" s="1" t="s">
        <v>90</v>
      </c>
      <c r="D4219" s="3">
        <f t="shared" si="623"/>
        <v>6065</v>
      </c>
      <c r="E4219" s="2">
        <f t="shared" si="624"/>
        <v>39356</v>
      </c>
      <c r="F4219" s="2">
        <f t="shared" si="625"/>
        <v>45747</v>
      </c>
    </row>
    <row r="4220" spans="1:6" x14ac:dyDescent="0.25">
      <c r="A4220" s="1" t="s">
        <v>77</v>
      </c>
      <c r="B4220" s="1" t="s">
        <v>76</v>
      </c>
      <c r="C4220" s="1" t="s">
        <v>91</v>
      </c>
      <c r="D4220" s="3">
        <f t="shared" si="623"/>
        <v>6065</v>
      </c>
      <c r="E4220" s="2">
        <f t="shared" si="624"/>
        <v>39356</v>
      </c>
      <c r="F4220" s="2">
        <f t="shared" si="625"/>
        <v>45747</v>
      </c>
    </row>
    <row r="4221" spans="1:6" x14ac:dyDescent="0.25">
      <c r="A4221" s="1" t="s">
        <v>77</v>
      </c>
      <c r="B4221" s="1" t="s">
        <v>76</v>
      </c>
      <c r="C4221" s="1" t="s">
        <v>92</v>
      </c>
      <c r="D4221" s="3">
        <f t="shared" si="623"/>
        <v>6065</v>
      </c>
      <c r="E4221" s="2">
        <f t="shared" si="624"/>
        <v>39356</v>
      </c>
      <c r="F4221" s="2">
        <f t="shared" si="625"/>
        <v>45747</v>
      </c>
    </row>
    <row r="4222" spans="1:6" x14ac:dyDescent="0.25">
      <c r="A4222" s="1" t="s">
        <v>77</v>
      </c>
      <c r="B4222" s="1" t="s">
        <v>76</v>
      </c>
      <c r="C4222" s="1" t="s">
        <v>93</v>
      </c>
      <c r="D4222" s="3">
        <f t="shared" si="623"/>
        <v>6065</v>
      </c>
      <c r="E4222" s="2">
        <f t="shared" si="624"/>
        <v>39356</v>
      </c>
      <c r="F4222" s="2">
        <f t="shared" si="625"/>
        <v>45747</v>
      </c>
    </row>
    <row r="4223" spans="1:6" x14ac:dyDescent="0.25">
      <c r="A4223" s="1" t="s">
        <v>77</v>
      </c>
      <c r="B4223" s="1" t="s">
        <v>76</v>
      </c>
      <c r="C4223" s="1" t="s">
        <v>94</v>
      </c>
      <c r="D4223" s="3">
        <f t="shared" si="623"/>
        <v>6065</v>
      </c>
      <c r="E4223" s="2">
        <f t="shared" si="624"/>
        <v>39356</v>
      </c>
      <c r="F4223" s="2">
        <f t="shared" si="625"/>
        <v>45747</v>
      </c>
    </row>
    <row r="4224" spans="1:6" x14ac:dyDescent="0.25">
      <c r="A4224" s="1" t="s">
        <v>77</v>
      </c>
      <c r="B4224" s="1" t="s">
        <v>76</v>
      </c>
      <c r="C4224" s="1" t="s">
        <v>95</v>
      </c>
      <c r="D4224" s="3">
        <f t="shared" si="623"/>
        <v>6065</v>
      </c>
      <c r="E4224" s="2">
        <f t="shared" si="624"/>
        <v>39356</v>
      </c>
      <c r="F4224" s="2">
        <f t="shared" si="625"/>
        <v>45747</v>
      </c>
    </row>
    <row r="4225" spans="1:6" x14ac:dyDescent="0.25">
      <c r="A4225" s="1" t="s">
        <v>77</v>
      </c>
      <c r="B4225" s="1" t="s">
        <v>76</v>
      </c>
      <c r="C4225" s="1" t="s">
        <v>96</v>
      </c>
      <c r="D4225" s="3">
        <f t="shared" ref="D4225:D4252" si="626">VALUE("6065")</f>
        <v>6065</v>
      </c>
      <c r="E4225" s="2">
        <f t="shared" ref="E4225:E4252" si="627">DATEVALUE("1-10-2007")</f>
        <v>39356</v>
      </c>
      <c r="F4225" s="2">
        <f t="shared" ref="F4225:F4256" si="628">DATEVALUE("31-3-2025")</f>
        <v>45747</v>
      </c>
    </row>
    <row r="4226" spans="1:6" x14ac:dyDescent="0.25">
      <c r="A4226" s="1" t="s">
        <v>77</v>
      </c>
      <c r="B4226" s="1" t="s">
        <v>76</v>
      </c>
      <c r="C4226" s="1" t="s">
        <v>97</v>
      </c>
      <c r="D4226" s="3">
        <f t="shared" si="626"/>
        <v>6065</v>
      </c>
      <c r="E4226" s="2">
        <f t="shared" si="627"/>
        <v>39356</v>
      </c>
      <c r="F4226" s="2">
        <f t="shared" si="628"/>
        <v>45747</v>
      </c>
    </row>
    <row r="4227" spans="1:6" x14ac:dyDescent="0.25">
      <c r="A4227" s="1" t="s">
        <v>77</v>
      </c>
      <c r="B4227" s="1" t="s">
        <v>76</v>
      </c>
      <c r="C4227" s="1" t="s">
        <v>98</v>
      </c>
      <c r="D4227" s="3">
        <f t="shared" si="626"/>
        <v>6065</v>
      </c>
      <c r="E4227" s="2">
        <f t="shared" si="627"/>
        <v>39356</v>
      </c>
      <c r="F4227" s="2">
        <f t="shared" si="628"/>
        <v>45747</v>
      </c>
    </row>
    <row r="4228" spans="1:6" x14ac:dyDescent="0.25">
      <c r="A4228" s="1" t="s">
        <v>77</v>
      </c>
      <c r="B4228" s="1" t="s">
        <v>76</v>
      </c>
      <c r="C4228" s="1" t="s">
        <v>99</v>
      </c>
      <c r="D4228" s="3">
        <f t="shared" si="626"/>
        <v>6065</v>
      </c>
      <c r="E4228" s="2">
        <f t="shared" si="627"/>
        <v>39356</v>
      </c>
      <c r="F4228" s="2">
        <f t="shared" si="628"/>
        <v>45747</v>
      </c>
    </row>
    <row r="4229" spans="1:6" x14ac:dyDescent="0.25">
      <c r="A4229" s="1" t="s">
        <v>77</v>
      </c>
      <c r="B4229" s="1" t="s">
        <v>76</v>
      </c>
      <c r="C4229" s="1" t="s">
        <v>71</v>
      </c>
      <c r="D4229" s="3">
        <f t="shared" si="626"/>
        <v>6065</v>
      </c>
      <c r="E4229" s="2">
        <f t="shared" si="627"/>
        <v>39356</v>
      </c>
      <c r="F4229" s="2">
        <f t="shared" si="628"/>
        <v>45747</v>
      </c>
    </row>
    <row r="4230" spans="1:6" x14ac:dyDescent="0.25">
      <c r="A4230" s="1" t="s">
        <v>77</v>
      </c>
      <c r="B4230" s="1" t="s">
        <v>76</v>
      </c>
      <c r="C4230" s="1" t="s">
        <v>100</v>
      </c>
      <c r="D4230" s="3">
        <f t="shared" si="626"/>
        <v>6065</v>
      </c>
      <c r="E4230" s="2">
        <f t="shared" si="627"/>
        <v>39356</v>
      </c>
      <c r="F4230" s="2">
        <f t="shared" si="628"/>
        <v>45747</v>
      </c>
    </row>
    <row r="4231" spans="1:6" x14ac:dyDescent="0.25">
      <c r="A4231" s="1" t="s">
        <v>77</v>
      </c>
      <c r="B4231" s="1" t="s">
        <v>76</v>
      </c>
      <c r="C4231" s="1" t="s">
        <v>101</v>
      </c>
      <c r="D4231" s="3">
        <f t="shared" si="626"/>
        <v>6065</v>
      </c>
      <c r="E4231" s="2">
        <f t="shared" si="627"/>
        <v>39356</v>
      </c>
      <c r="F4231" s="2">
        <f t="shared" si="628"/>
        <v>45747</v>
      </c>
    </row>
    <row r="4232" spans="1:6" x14ac:dyDescent="0.25">
      <c r="A4232" s="1" t="s">
        <v>77</v>
      </c>
      <c r="B4232" s="1" t="s">
        <v>76</v>
      </c>
      <c r="C4232" s="1" t="s">
        <v>102</v>
      </c>
      <c r="D4232" s="3">
        <f t="shared" si="626"/>
        <v>6065</v>
      </c>
      <c r="E4232" s="2">
        <f t="shared" si="627"/>
        <v>39356</v>
      </c>
      <c r="F4232" s="2">
        <f t="shared" si="628"/>
        <v>45747</v>
      </c>
    </row>
    <row r="4233" spans="1:6" x14ac:dyDescent="0.25">
      <c r="A4233" s="1" t="s">
        <v>77</v>
      </c>
      <c r="B4233" s="1" t="s">
        <v>76</v>
      </c>
      <c r="C4233" s="1" t="s">
        <v>103</v>
      </c>
      <c r="D4233" s="3">
        <f t="shared" si="626"/>
        <v>6065</v>
      </c>
      <c r="E4233" s="2">
        <f t="shared" si="627"/>
        <v>39356</v>
      </c>
      <c r="F4233" s="2">
        <f t="shared" si="628"/>
        <v>45747</v>
      </c>
    </row>
    <row r="4234" spans="1:6" x14ac:dyDescent="0.25">
      <c r="A4234" s="1" t="s">
        <v>77</v>
      </c>
      <c r="B4234" s="1" t="s">
        <v>76</v>
      </c>
      <c r="C4234" s="1" t="s">
        <v>104</v>
      </c>
      <c r="D4234" s="3">
        <f t="shared" si="626"/>
        <v>6065</v>
      </c>
      <c r="E4234" s="2">
        <f t="shared" si="627"/>
        <v>39356</v>
      </c>
      <c r="F4234" s="2">
        <f t="shared" si="628"/>
        <v>45747</v>
      </c>
    </row>
    <row r="4235" spans="1:6" x14ac:dyDescent="0.25">
      <c r="A4235" s="1" t="s">
        <v>77</v>
      </c>
      <c r="B4235" s="1" t="s">
        <v>76</v>
      </c>
      <c r="C4235" s="1" t="s">
        <v>51</v>
      </c>
      <c r="D4235" s="3">
        <f t="shared" si="626"/>
        <v>6065</v>
      </c>
      <c r="E4235" s="2">
        <f t="shared" si="627"/>
        <v>39356</v>
      </c>
      <c r="F4235" s="2">
        <f t="shared" si="628"/>
        <v>45747</v>
      </c>
    </row>
    <row r="4236" spans="1:6" x14ac:dyDescent="0.25">
      <c r="A4236" s="1" t="s">
        <v>77</v>
      </c>
      <c r="B4236" s="1" t="s">
        <v>76</v>
      </c>
      <c r="C4236" s="1" t="s">
        <v>105</v>
      </c>
      <c r="D4236" s="3">
        <f t="shared" si="626"/>
        <v>6065</v>
      </c>
      <c r="E4236" s="2">
        <f t="shared" si="627"/>
        <v>39356</v>
      </c>
      <c r="F4236" s="2">
        <f t="shared" si="628"/>
        <v>45747</v>
      </c>
    </row>
    <row r="4237" spans="1:6" x14ac:dyDescent="0.25">
      <c r="A4237" s="1" t="s">
        <v>77</v>
      </c>
      <c r="B4237" s="1" t="s">
        <v>76</v>
      </c>
      <c r="C4237" s="1" t="s">
        <v>106</v>
      </c>
      <c r="D4237" s="3">
        <f t="shared" si="626"/>
        <v>6065</v>
      </c>
      <c r="E4237" s="2">
        <f t="shared" si="627"/>
        <v>39356</v>
      </c>
      <c r="F4237" s="2">
        <f t="shared" si="628"/>
        <v>45747</v>
      </c>
    </row>
    <row r="4238" spans="1:6" x14ac:dyDescent="0.25">
      <c r="A4238" s="1" t="s">
        <v>77</v>
      </c>
      <c r="B4238" s="1" t="s">
        <v>76</v>
      </c>
      <c r="C4238" s="1" t="s">
        <v>107</v>
      </c>
      <c r="D4238" s="3">
        <f t="shared" si="626"/>
        <v>6065</v>
      </c>
      <c r="E4238" s="2">
        <f t="shared" si="627"/>
        <v>39356</v>
      </c>
      <c r="F4238" s="2">
        <f t="shared" si="628"/>
        <v>45747</v>
      </c>
    </row>
    <row r="4239" spans="1:6" x14ac:dyDescent="0.25">
      <c r="A4239" s="1" t="s">
        <v>77</v>
      </c>
      <c r="B4239" s="1" t="s">
        <v>76</v>
      </c>
      <c r="C4239" s="1" t="s">
        <v>32</v>
      </c>
      <c r="D4239" s="3">
        <f t="shared" si="626"/>
        <v>6065</v>
      </c>
      <c r="E4239" s="2">
        <f t="shared" si="627"/>
        <v>39356</v>
      </c>
      <c r="F4239" s="2">
        <f t="shared" si="628"/>
        <v>45747</v>
      </c>
    </row>
    <row r="4240" spans="1:6" x14ac:dyDescent="0.25">
      <c r="A4240" s="1" t="s">
        <v>77</v>
      </c>
      <c r="B4240" s="1" t="s">
        <v>76</v>
      </c>
      <c r="C4240" s="1" t="s">
        <v>108</v>
      </c>
      <c r="D4240" s="3">
        <f t="shared" si="626"/>
        <v>6065</v>
      </c>
      <c r="E4240" s="2">
        <f t="shared" si="627"/>
        <v>39356</v>
      </c>
      <c r="F4240" s="2">
        <f t="shared" si="628"/>
        <v>45747</v>
      </c>
    </row>
    <row r="4241" spans="1:6" x14ac:dyDescent="0.25">
      <c r="A4241" s="1" t="s">
        <v>77</v>
      </c>
      <c r="B4241" s="1" t="s">
        <v>76</v>
      </c>
      <c r="C4241" s="1" t="s">
        <v>109</v>
      </c>
      <c r="D4241" s="3">
        <f t="shared" si="626"/>
        <v>6065</v>
      </c>
      <c r="E4241" s="2">
        <f t="shared" si="627"/>
        <v>39356</v>
      </c>
      <c r="F4241" s="2">
        <f t="shared" si="628"/>
        <v>45747</v>
      </c>
    </row>
    <row r="4242" spans="1:6" x14ac:dyDescent="0.25">
      <c r="A4242" s="1" t="s">
        <v>77</v>
      </c>
      <c r="B4242" s="1" t="s">
        <v>76</v>
      </c>
      <c r="C4242" s="1" t="s">
        <v>110</v>
      </c>
      <c r="D4242" s="3">
        <f t="shared" si="626"/>
        <v>6065</v>
      </c>
      <c r="E4242" s="2">
        <f t="shared" si="627"/>
        <v>39356</v>
      </c>
      <c r="F4242" s="2">
        <f t="shared" si="628"/>
        <v>45747</v>
      </c>
    </row>
    <row r="4243" spans="1:6" x14ac:dyDescent="0.25">
      <c r="A4243" s="1" t="s">
        <v>77</v>
      </c>
      <c r="B4243" s="1" t="s">
        <v>76</v>
      </c>
      <c r="C4243" s="1" t="s">
        <v>111</v>
      </c>
      <c r="D4243" s="3">
        <f t="shared" si="626"/>
        <v>6065</v>
      </c>
      <c r="E4243" s="2">
        <f t="shared" si="627"/>
        <v>39356</v>
      </c>
      <c r="F4243" s="2">
        <f t="shared" si="628"/>
        <v>45747</v>
      </c>
    </row>
    <row r="4244" spans="1:6" x14ac:dyDescent="0.25">
      <c r="A4244" s="1" t="s">
        <v>77</v>
      </c>
      <c r="B4244" s="1" t="s">
        <v>76</v>
      </c>
      <c r="C4244" s="1" t="s">
        <v>112</v>
      </c>
      <c r="D4244" s="3">
        <f t="shared" si="626"/>
        <v>6065</v>
      </c>
      <c r="E4244" s="2">
        <f t="shared" si="627"/>
        <v>39356</v>
      </c>
      <c r="F4244" s="2">
        <f t="shared" si="628"/>
        <v>45747</v>
      </c>
    </row>
    <row r="4245" spans="1:6" x14ac:dyDescent="0.25">
      <c r="A4245" s="1" t="s">
        <v>77</v>
      </c>
      <c r="B4245" s="1" t="s">
        <v>76</v>
      </c>
      <c r="C4245" s="1" t="s">
        <v>113</v>
      </c>
      <c r="D4245" s="3">
        <f t="shared" si="626"/>
        <v>6065</v>
      </c>
      <c r="E4245" s="2">
        <f t="shared" si="627"/>
        <v>39356</v>
      </c>
      <c r="F4245" s="2">
        <f t="shared" si="628"/>
        <v>45747</v>
      </c>
    </row>
    <row r="4246" spans="1:6" x14ac:dyDescent="0.25">
      <c r="A4246" s="1" t="s">
        <v>77</v>
      </c>
      <c r="B4246" s="1" t="s">
        <v>76</v>
      </c>
      <c r="C4246" s="1" t="s">
        <v>33</v>
      </c>
      <c r="D4246" s="3">
        <f t="shared" si="626"/>
        <v>6065</v>
      </c>
      <c r="E4246" s="2">
        <f t="shared" si="627"/>
        <v>39356</v>
      </c>
      <c r="F4246" s="2">
        <f t="shared" si="628"/>
        <v>45747</v>
      </c>
    </row>
    <row r="4247" spans="1:6" x14ac:dyDescent="0.25">
      <c r="A4247" s="1" t="s">
        <v>77</v>
      </c>
      <c r="B4247" s="1" t="s">
        <v>76</v>
      </c>
      <c r="C4247" s="1" t="s">
        <v>114</v>
      </c>
      <c r="D4247" s="3">
        <f t="shared" si="626"/>
        <v>6065</v>
      </c>
      <c r="E4247" s="2">
        <f t="shared" si="627"/>
        <v>39356</v>
      </c>
      <c r="F4247" s="2">
        <f t="shared" si="628"/>
        <v>45747</v>
      </c>
    </row>
    <row r="4248" spans="1:6" x14ac:dyDescent="0.25">
      <c r="A4248" s="1" t="s">
        <v>77</v>
      </c>
      <c r="B4248" s="1" t="s">
        <v>76</v>
      </c>
      <c r="C4248" s="1" t="s">
        <v>115</v>
      </c>
      <c r="D4248" s="3">
        <f t="shared" si="626"/>
        <v>6065</v>
      </c>
      <c r="E4248" s="2">
        <f t="shared" si="627"/>
        <v>39356</v>
      </c>
      <c r="F4248" s="2">
        <f t="shared" si="628"/>
        <v>45747</v>
      </c>
    </row>
    <row r="4249" spans="1:6" x14ac:dyDescent="0.25">
      <c r="A4249" s="1" t="s">
        <v>77</v>
      </c>
      <c r="B4249" s="1" t="s">
        <v>76</v>
      </c>
      <c r="C4249" s="1" t="s">
        <v>116</v>
      </c>
      <c r="D4249" s="3">
        <f t="shared" si="626"/>
        <v>6065</v>
      </c>
      <c r="E4249" s="2">
        <f t="shared" si="627"/>
        <v>39356</v>
      </c>
      <c r="F4249" s="2">
        <f t="shared" si="628"/>
        <v>45747</v>
      </c>
    </row>
    <row r="4250" spans="1:6" x14ac:dyDescent="0.25">
      <c r="A4250" s="1" t="s">
        <v>77</v>
      </c>
      <c r="B4250" s="1" t="s">
        <v>76</v>
      </c>
      <c r="C4250" s="1" t="s">
        <v>57</v>
      </c>
      <c r="D4250" s="3">
        <f t="shared" si="626"/>
        <v>6065</v>
      </c>
      <c r="E4250" s="2">
        <f t="shared" si="627"/>
        <v>39356</v>
      </c>
      <c r="F4250" s="2">
        <f t="shared" si="628"/>
        <v>45747</v>
      </c>
    </row>
    <row r="4251" spans="1:6" x14ac:dyDescent="0.25">
      <c r="A4251" s="1" t="s">
        <v>77</v>
      </c>
      <c r="B4251" s="1" t="s">
        <v>76</v>
      </c>
      <c r="C4251" s="1" t="s">
        <v>36</v>
      </c>
      <c r="D4251" s="3">
        <f t="shared" si="626"/>
        <v>6065</v>
      </c>
      <c r="E4251" s="2">
        <f t="shared" si="627"/>
        <v>39356</v>
      </c>
      <c r="F4251" s="2">
        <f t="shared" si="628"/>
        <v>45747</v>
      </c>
    </row>
    <row r="4252" spans="1:6" x14ac:dyDescent="0.25">
      <c r="A4252" s="1" t="s">
        <v>77</v>
      </c>
      <c r="B4252" s="1" t="s">
        <v>76</v>
      </c>
      <c r="C4252" s="1" t="s">
        <v>117</v>
      </c>
      <c r="D4252" s="3">
        <f t="shared" si="626"/>
        <v>6065</v>
      </c>
      <c r="E4252" s="2">
        <f t="shared" si="627"/>
        <v>39356</v>
      </c>
      <c r="F4252" s="2">
        <f t="shared" si="628"/>
        <v>45747</v>
      </c>
    </row>
    <row r="4253" spans="1:6" x14ac:dyDescent="0.25">
      <c r="A4253" s="1" t="s">
        <v>667</v>
      </c>
      <c r="B4253" s="1" t="s">
        <v>1143</v>
      </c>
      <c r="C4253" s="1" t="s">
        <v>215</v>
      </c>
      <c r="D4253" s="3">
        <f t="shared" ref="D4253:D4265" si="629">VALUE("8421")</f>
        <v>8421</v>
      </c>
      <c r="E4253" s="2">
        <f t="shared" ref="E4253:E4265" si="630">DATEVALUE("1-2-2019")</f>
        <v>43497</v>
      </c>
      <c r="F4253" s="2">
        <f t="shared" si="628"/>
        <v>45747</v>
      </c>
    </row>
    <row r="4254" spans="1:6" x14ac:dyDescent="0.25">
      <c r="A4254" s="1" t="s">
        <v>667</v>
      </c>
      <c r="B4254" s="1" t="s">
        <v>1143</v>
      </c>
      <c r="C4254" s="1" t="s">
        <v>140</v>
      </c>
      <c r="D4254" s="3">
        <f t="shared" si="629"/>
        <v>8421</v>
      </c>
      <c r="E4254" s="2">
        <f t="shared" si="630"/>
        <v>43497</v>
      </c>
      <c r="F4254" s="2">
        <f t="shared" si="628"/>
        <v>45747</v>
      </c>
    </row>
    <row r="4255" spans="1:6" x14ac:dyDescent="0.25">
      <c r="A4255" s="1" t="s">
        <v>667</v>
      </c>
      <c r="B4255" s="1" t="s">
        <v>1143</v>
      </c>
      <c r="C4255" s="1" t="s">
        <v>14</v>
      </c>
      <c r="D4255" s="3">
        <f t="shared" si="629"/>
        <v>8421</v>
      </c>
      <c r="E4255" s="2">
        <f t="shared" si="630"/>
        <v>43497</v>
      </c>
      <c r="F4255" s="2">
        <f t="shared" si="628"/>
        <v>45747</v>
      </c>
    </row>
    <row r="4256" spans="1:6" x14ac:dyDescent="0.25">
      <c r="A4256" s="1" t="s">
        <v>667</v>
      </c>
      <c r="B4256" s="1" t="s">
        <v>1143</v>
      </c>
      <c r="C4256" s="1" t="s">
        <v>17</v>
      </c>
      <c r="D4256" s="3">
        <f t="shared" si="629"/>
        <v>8421</v>
      </c>
      <c r="E4256" s="2">
        <f t="shared" si="630"/>
        <v>43497</v>
      </c>
      <c r="F4256" s="2">
        <f t="shared" si="628"/>
        <v>45747</v>
      </c>
    </row>
    <row r="4257" spans="1:6" x14ac:dyDescent="0.25">
      <c r="A4257" s="1" t="s">
        <v>667</v>
      </c>
      <c r="B4257" s="1" t="s">
        <v>1143</v>
      </c>
      <c r="C4257" s="1" t="s">
        <v>146</v>
      </c>
      <c r="D4257" s="3">
        <f t="shared" si="629"/>
        <v>8421</v>
      </c>
      <c r="E4257" s="2">
        <f t="shared" si="630"/>
        <v>43497</v>
      </c>
      <c r="F4257" s="2">
        <f t="shared" ref="F4257:F4278" si="631">DATEVALUE("31-3-2025")</f>
        <v>45747</v>
      </c>
    </row>
    <row r="4258" spans="1:6" x14ac:dyDescent="0.25">
      <c r="A4258" s="1" t="s">
        <v>667</v>
      </c>
      <c r="B4258" s="1" t="s">
        <v>1143</v>
      </c>
      <c r="C4258" s="1" t="s">
        <v>67</v>
      </c>
      <c r="D4258" s="3">
        <f t="shared" si="629"/>
        <v>8421</v>
      </c>
      <c r="E4258" s="2">
        <f t="shared" si="630"/>
        <v>43497</v>
      </c>
      <c r="F4258" s="2">
        <f t="shared" si="631"/>
        <v>45747</v>
      </c>
    </row>
    <row r="4259" spans="1:6" x14ac:dyDescent="0.25">
      <c r="A4259" s="1" t="s">
        <v>667</v>
      </c>
      <c r="B4259" s="1" t="s">
        <v>1143</v>
      </c>
      <c r="C4259" s="1" t="s">
        <v>148</v>
      </c>
      <c r="D4259" s="3">
        <f t="shared" si="629"/>
        <v>8421</v>
      </c>
      <c r="E4259" s="2">
        <f t="shared" si="630"/>
        <v>43497</v>
      </c>
      <c r="F4259" s="2">
        <f t="shared" si="631"/>
        <v>45747</v>
      </c>
    </row>
    <row r="4260" spans="1:6" x14ac:dyDescent="0.25">
      <c r="A4260" s="1" t="s">
        <v>667</v>
      </c>
      <c r="B4260" s="1" t="s">
        <v>1143</v>
      </c>
      <c r="C4260" s="1" t="s">
        <v>149</v>
      </c>
      <c r="D4260" s="3">
        <f t="shared" si="629"/>
        <v>8421</v>
      </c>
      <c r="E4260" s="2">
        <f t="shared" si="630"/>
        <v>43497</v>
      </c>
      <c r="F4260" s="2">
        <f t="shared" si="631"/>
        <v>45747</v>
      </c>
    </row>
    <row r="4261" spans="1:6" x14ac:dyDescent="0.25">
      <c r="A4261" s="1" t="s">
        <v>667</v>
      </c>
      <c r="B4261" s="1" t="s">
        <v>1143</v>
      </c>
      <c r="C4261" s="1" t="s">
        <v>24</v>
      </c>
      <c r="D4261" s="3">
        <f t="shared" si="629"/>
        <v>8421</v>
      </c>
      <c r="E4261" s="2">
        <f t="shared" si="630"/>
        <v>43497</v>
      </c>
      <c r="F4261" s="2">
        <f t="shared" si="631"/>
        <v>45747</v>
      </c>
    </row>
    <row r="4262" spans="1:6" x14ac:dyDescent="0.25">
      <c r="A4262" s="1" t="s">
        <v>667</v>
      </c>
      <c r="B4262" s="1" t="s">
        <v>1143</v>
      </c>
      <c r="C4262" s="1" t="s">
        <v>548</v>
      </c>
      <c r="D4262" s="3">
        <f t="shared" si="629"/>
        <v>8421</v>
      </c>
      <c r="E4262" s="2">
        <f t="shared" si="630"/>
        <v>43497</v>
      </c>
      <c r="F4262" s="2">
        <f t="shared" si="631"/>
        <v>45747</v>
      </c>
    </row>
    <row r="4263" spans="1:6" x14ac:dyDescent="0.25">
      <c r="A4263" s="1" t="s">
        <v>667</v>
      </c>
      <c r="B4263" s="1" t="s">
        <v>1143</v>
      </c>
      <c r="C4263" s="1" t="s">
        <v>52</v>
      </c>
      <c r="D4263" s="3">
        <f t="shared" si="629"/>
        <v>8421</v>
      </c>
      <c r="E4263" s="2">
        <f t="shared" si="630"/>
        <v>43497</v>
      </c>
      <c r="F4263" s="2">
        <f t="shared" si="631"/>
        <v>45747</v>
      </c>
    </row>
    <row r="4264" spans="1:6" x14ac:dyDescent="0.25">
      <c r="A4264" s="1" t="s">
        <v>667</v>
      </c>
      <c r="B4264" s="1" t="s">
        <v>1143</v>
      </c>
      <c r="C4264" s="1" t="s">
        <v>160</v>
      </c>
      <c r="D4264" s="3">
        <f t="shared" si="629"/>
        <v>8421</v>
      </c>
      <c r="E4264" s="2">
        <f t="shared" si="630"/>
        <v>43497</v>
      </c>
      <c r="F4264" s="2">
        <f t="shared" si="631"/>
        <v>45747</v>
      </c>
    </row>
    <row r="4265" spans="1:6" x14ac:dyDescent="0.25">
      <c r="A4265" s="1" t="s">
        <v>667</v>
      </c>
      <c r="B4265" s="1" t="s">
        <v>1143</v>
      </c>
      <c r="C4265" s="1" t="s">
        <v>34</v>
      </c>
      <c r="D4265" s="3">
        <f t="shared" si="629"/>
        <v>8421</v>
      </c>
      <c r="E4265" s="2">
        <f t="shared" si="630"/>
        <v>43497</v>
      </c>
      <c r="F4265" s="2">
        <f t="shared" si="631"/>
        <v>45747</v>
      </c>
    </row>
    <row r="4266" spans="1:6" x14ac:dyDescent="0.25">
      <c r="A4266" s="1" t="s">
        <v>667</v>
      </c>
      <c r="B4266" s="1" t="s">
        <v>666</v>
      </c>
      <c r="C4266" s="1" t="s">
        <v>215</v>
      </c>
      <c r="D4266" s="3">
        <f t="shared" ref="D4266:D4278" si="632">VALUE("7865")</f>
        <v>7865</v>
      </c>
      <c r="E4266" s="2">
        <f t="shared" ref="E4266:E4278" si="633">DATEVALUE("1-7-2016")</f>
        <v>42552</v>
      </c>
      <c r="F4266" s="2">
        <f t="shared" si="631"/>
        <v>45747</v>
      </c>
    </row>
    <row r="4267" spans="1:6" x14ac:dyDescent="0.25">
      <c r="A4267" s="1" t="s">
        <v>667</v>
      </c>
      <c r="B4267" s="1" t="s">
        <v>666</v>
      </c>
      <c r="C4267" s="1" t="s">
        <v>140</v>
      </c>
      <c r="D4267" s="3">
        <f t="shared" si="632"/>
        <v>7865</v>
      </c>
      <c r="E4267" s="2">
        <f t="shared" si="633"/>
        <v>42552</v>
      </c>
      <c r="F4267" s="2">
        <f t="shared" si="631"/>
        <v>45747</v>
      </c>
    </row>
    <row r="4268" spans="1:6" x14ac:dyDescent="0.25">
      <c r="A4268" s="1" t="s">
        <v>667</v>
      </c>
      <c r="B4268" s="1" t="s">
        <v>666</v>
      </c>
      <c r="C4268" s="1" t="s">
        <v>142</v>
      </c>
      <c r="D4268" s="3">
        <f t="shared" si="632"/>
        <v>7865</v>
      </c>
      <c r="E4268" s="2">
        <f t="shared" si="633"/>
        <v>42552</v>
      </c>
      <c r="F4268" s="2">
        <f t="shared" si="631"/>
        <v>45747</v>
      </c>
    </row>
    <row r="4269" spans="1:6" x14ac:dyDescent="0.25">
      <c r="A4269" s="1" t="s">
        <v>667</v>
      </c>
      <c r="B4269" s="1" t="s">
        <v>666</v>
      </c>
      <c r="C4269" s="1" t="s">
        <v>14</v>
      </c>
      <c r="D4269" s="3">
        <f t="shared" si="632"/>
        <v>7865</v>
      </c>
      <c r="E4269" s="2">
        <f t="shared" si="633"/>
        <v>42552</v>
      </c>
      <c r="F4269" s="2">
        <f t="shared" si="631"/>
        <v>45747</v>
      </c>
    </row>
    <row r="4270" spans="1:6" x14ac:dyDescent="0.25">
      <c r="A4270" s="1" t="s">
        <v>667</v>
      </c>
      <c r="B4270" s="1" t="s">
        <v>666</v>
      </c>
      <c r="C4270" s="1" t="s">
        <v>17</v>
      </c>
      <c r="D4270" s="3">
        <f t="shared" si="632"/>
        <v>7865</v>
      </c>
      <c r="E4270" s="2">
        <f t="shared" si="633"/>
        <v>42552</v>
      </c>
      <c r="F4270" s="2">
        <f t="shared" si="631"/>
        <v>45747</v>
      </c>
    </row>
    <row r="4271" spans="1:6" x14ac:dyDescent="0.25">
      <c r="A4271" s="1" t="s">
        <v>667</v>
      </c>
      <c r="B4271" s="1" t="s">
        <v>666</v>
      </c>
      <c r="C4271" s="1" t="s">
        <v>67</v>
      </c>
      <c r="D4271" s="3">
        <f t="shared" si="632"/>
        <v>7865</v>
      </c>
      <c r="E4271" s="2">
        <f t="shared" si="633"/>
        <v>42552</v>
      </c>
      <c r="F4271" s="2">
        <f t="shared" si="631"/>
        <v>45747</v>
      </c>
    </row>
    <row r="4272" spans="1:6" x14ac:dyDescent="0.25">
      <c r="A4272" s="1" t="s">
        <v>667</v>
      </c>
      <c r="B4272" s="1" t="s">
        <v>666</v>
      </c>
      <c r="C4272" s="1" t="s">
        <v>149</v>
      </c>
      <c r="D4272" s="3">
        <f t="shared" si="632"/>
        <v>7865</v>
      </c>
      <c r="E4272" s="2">
        <f t="shared" si="633"/>
        <v>42552</v>
      </c>
      <c r="F4272" s="2">
        <f t="shared" si="631"/>
        <v>45747</v>
      </c>
    </row>
    <row r="4273" spans="1:6" x14ac:dyDescent="0.25">
      <c r="A4273" s="1" t="s">
        <v>667</v>
      </c>
      <c r="B4273" s="1" t="s">
        <v>666</v>
      </c>
      <c r="C4273" s="1" t="s">
        <v>150</v>
      </c>
      <c r="D4273" s="3">
        <f t="shared" si="632"/>
        <v>7865</v>
      </c>
      <c r="E4273" s="2">
        <f t="shared" si="633"/>
        <v>42552</v>
      </c>
      <c r="F4273" s="2">
        <f t="shared" si="631"/>
        <v>45747</v>
      </c>
    </row>
    <row r="4274" spans="1:6" x14ac:dyDescent="0.25">
      <c r="A4274" s="1" t="s">
        <v>667</v>
      </c>
      <c r="B4274" s="1" t="s">
        <v>666</v>
      </c>
      <c r="C4274" s="1" t="s">
        <v>72</v>
      </c>
      <c r="D4274" s="3">
        <f t="shared" si="632"/>
        <v>7865</v>
      </c>
      <c r="E4274" s="2">
        <f t="shared" si="633"/>
        <v>42552</v>
      </c>
      <c r="F4274" s="2">
        <f t="shared" si="631"/>
        <v>45747</v>
      </c>
    </row>
    <row r="4275" spans="1:6" x14ac:dyDescent="0.25">
      <c r="A4275" s="1" t="s">
        <v>667</v>
      </c>
      <c r="B4275" s="1" t="s">
        <v>666</v>
      </c>
      <c r="C4275" s="1" t="s">
        <v>548</v>
      </c>
      <c r="D4275" s="3">
        <f t="shared" si="632"/>
        <v>7865</v>
      </c>
      <c r="E4275" s="2">
        <f t="shared" si="633"/>
        <v>42552</v>
      </c>
      <c r="F4275" s="2">
        <f t="shared" si="631"/>
        <v>45747</v>
      </c>
    </row>
    <row r="4276" spans="1:6" x14ac:dyDescent="0.25">
      <c r="A4276" s="1" t="s">
        <v>667</v>
      </c>
      <c r="B4276" s="1" t="s">
        <v>666</v>
      </c>
      <c r="C4276" s="1" t="s">
        <v>52</v>
      </c>
      <c r="D4276" s="3">
        <f t="shared" si="632"/>
        <v>7865</v>
      </c>
      <c r="E4276" s="2">
        <f t="shared" si="633"/>
        <v>42552</v>
      </c>
      <c r="F4276" s="2">
        <f t="shared" si="631"/>
        <v>45747</v>
      </c>
    </row>
    <row r="4277" spans="1:6" x14ac:dyDescent="0.25">
      <c r="A4277" s="1" t="s">
        <v>667</v>
      </c>
      <c r="B4277" s="1" t="s">
        <v>666</v>
      </c>
      <c r="C4277" s="1" t="s">
        <v>160</v>
      </c>
      <c r="D4277" s="3">
        <f t="shared" si="632"/>
        <v>7865</v>
      </c>
      <c r="E4277" s="2">
        <f t="shared" si="633"/>
        <v>42552</v>
      </c>
      <c r="F4277" s="2">
        <f t="shared" si="631"/>
        <v>45747</v>
      </c>
    </row>
    <row r="4278" spans="1:6" x14ac:dyDescent="0.25">
      <c r="A4278" s="1" t="s">
        <v>667</v>
      </c>
      <c r="B4278" s="1" t="s">
        <v>666</v>
      </c>
      <c r="C4278" s="1" t="s">
        <v>55</v>
      </c>
      <c r="D4278" s="3">
        <f t="shared" si="632"/>
        <v>7865</v>
      </c>
      <c r="E4278" s="2">
        <f t="shared" si="633"/>
        <v>42552</v>
      </c>
      <c r="F4278" s="2">
        <f t="shared" si="631"/>
        <v>45747</v>
      </c>
    </row>
    <row r="4279" spans="1:6" x14ac:dyDescent="0.25">
      <c r="A4279" s="1" t="s">
        <v>196</v>
      </c>
      <c r="B4279" s="1" t="s">
        <v>2242</v>
      </c>
      <c r="C4279" s="1" t="s">
        <v>84</v>
      </c>
      <c r="D4279" s="3">
        <f t="shared" ref="D4279:D4289" si="634">VALUE("7934")</f>
        <v>7934</v>
      </c>
      <c r="E4279" s="2">
        <f t="shared" ref="E4279:E4289" si="635">DATEVALUE("1-4-2017")</f>
        <v>42826</v>
      </c>
      <c r="F4279" s="2">
        <f t="shared" ref="F4279:F4289" si="636">DATEVALUE("30-6-2019")</f>
        <v>43646</v>
      </c>
    </row>
    <row r="4280" spans="1:6" x14ac:dyDescent="0.25">
      <c r="A4280" s="1" t="s">
        <v>196</v>
      </c>
      <c r="B4280" s="1" t="s">
        <v>2242</v>
      </c>
      <c r="C4280" s="1" t="s">
        <v>89</v>
      </c>
      <c r="D4280" s="3">
        <f t="shared" si="634"/>
        <v>7934</v>
      </c>
      <c r="E4280" s="2">
        <f t="shared" si="635"/>
        <v>42826</v>
      </c>
      <c r="F4280" s="2">
        <f t="shared" si="636"/>
        <v>43646</v>
      </c>
    </row>
    <row r="4281" spans="1:6" x14ac:dyDescent="0.25">
      <c r="A4281" s="1" t="s">
        <v>196</v>
      </c>
      <c r="B4281" s="1" t="s">
        <v>2242</v>
      </c>
      <c r="C4281" s="1" t="s">
        <v>17</v>
      </c>
      <c r="D4281" s="3">
        <f t="shared" si="634"/>
        <v>7934</v>
      </c>
      <c r="E4281" s="2">
        <f t="shared" si="635"/>
        <v>42826</v>
      </c>
      <c r="F4281" s="2">
        <f t="shared" si="636"/>
        <v>43646</v>
      </c>
    </row>
    <row r="4282" spans="1:6" x14ac:dyDescent="0.25">
      <c r="A4282" s="1" t="s">
        <v>196</v>
      </c>
      <c r="B4282" s="1" t="s">
        <v>2242</v>
      </c>
      <c r="C4282" s="1" t="s">
        <v>146</v>
      </c>
      <c r="D4282" s="3">
        <f t="shared" si="634"/>
        <v>7934</v>
      </c>
      <c r="E4282" s="2">
        <f t="shared" si="635"/>
        <v>42826</v>
      </c>
      <c r="F4282" s="2">
        <f t="shared" si="636"/>
        <v>43646</v>
      </c>
    </row>
    <row r="4283" spans="1:6" x14ac:dyDescent="0.25">
      <c r="A4283" s="1" t="s">
        <v>196</v>
      </c>
      <c r="B4283" s="1" t="s">
        <v>2242</v>
      </c>
      <c r="C4283" s="1" t="s">
        <v>67</v>
      </c>
      <c r="D4283" s="3">
        <f t="shared" si="634"/>
        <v>7934</v>
      </c>
      <c r="E4283" s="2">
        <f t="shared" si="635"/>
        <v>42826</v>
      </c>
      <c r="F4283" s="2">
        <f t="shared" si="636"/>
        <v>43646</v>
      </c>
    </row>
    <row r="4284" spans="1:6" x14ac:dyDescent="0.25">
      <c r="A4284" s="1" t="s">
        <v>196</v>
      </c>
      <c r="B4284" s="1" t="s">
        <v>2242</v>
      </c>
      <c r="C4284" s="1" t="s">
        <v>148</v>
      </c>
      <c r="D4284" s="3">
        <f t="shared" si="634"/>
        <v>7934</v>
      </c>
      <c r="E4284" s="2">
        <f t="shared" si="635"/>
        <v>42826</v>
      </c>
      <c r="F4284" s="2">
        <f t="shared" si="636"/>
        <v>43646</v>
      </c>
    </row>
    <row r="4285" spans="1:6" x14ac:dyDescent="0.25">
      <c r="A4285" s="1" t="s">
        <v>196</v>
      </c>
      <c r="B4285" s="1" t="s">
        <v>2242</v>
      </c>
      <c r="C4285" s="1" t="s">
        <v>149</v>
      </c>
      <c r="D4285" s="3">
        <f t="shared" si="634"/>
        <v>7934</v>
      </c>
      <c r="E4285" s="2">
        <f t="shared" si="635"/>
        <v>42826</v>
      </c>
      <c r="F4285" s="2">
        <f t="shared" si="636"/>
        <v>43646</v>
      </c>
    </row>
    <row r="4286" spans="1:6" x14ac:dyDescent="0.25">
      <c r="A4286" s="1" t="s">
        <v>196</v>
      </c>
      <c r="B4286" s="1" t="s">
        <v>2242</v>
      </c>
      <c r="C4286" s="1" t="s">
        <v>150</v>
      </c>
      <c r="D4286" s="3">
        <f t="shared" si="634"/>
        <v>7934</v>
      </c>
      <c r="E4286" s="2">
        <f t="shared" si="635"/>
        <v>42826</v>
      </c>
      <c r="F4286" s="2">
        <f t="shared" si="636"/>
        <v>43646</v>
      </c>
    </row>
    <row r="4287" spans="1:6" x14ac:dyDescent="0.25">
      <c r="A4287" s="1" t="s">
        <v>196</v>
      </c>
      <c r="B4287" s="1" t="s">
        <v>2242</v>
      </c>
      <c r="C4287" s="1" t="s">
        <v>128</v>
      </c>
      <c r="D4287" s="3">
        <f t="shared" si="634"/>
        <v>7934</v>
      </c>
      <c r="E4287" s="2">
        <f t="shared" si="635"/>
        <v>42826</v>
      </c>
      <c r="F4287" s="2">
        <f t="shared" si="636"/>
        <v>43646</v>
      </c>
    </row>
    <row r="4288" spans="1:6" x14ac:dyDescent="0.25">
      <c r="A4288" s="1" t="s">
        <v>196</v>
      </c>
      <c r="B4288" s="1" t="s">
        <v>2242</v>
      </c>
      <c r="C4288" s="1" t="s">
        <v>93</v>
      </c>
      <c r="D4288" s="3">
        <f t="shared" si="634"/>
        <v>7934</v>
      </c>
      <c r="E4288" s="2">
        <f t="shared" si="635"/>
        <v>42826</v>
      </c>
      <c r="F4288" s="2">
        <f t="shared" si="636"/>
        <v>43646</v>
      </c>
    </row>
    <row r="4289" spans="1:6" x14ac:dyDescent="0.25">
      <c r="A4289" s="1" t="s">
        <v>196</v>
      </c>
      <c r="B4289" s="1" t="s">
        <v>2242</v>
      </c>
      <c r="C4289" s="1" t="s">
        <v>160</v>
      </c>
      <c r="D4289" s="3">
        <f t="shared" si="634"/>
        <v>7934</v>
      </c>
      <c r="E4289" s="2">
        <f t="shared" si="635"/>
        <v>42826</v>
      </c>
      <c r="F4289" s="2">
        <f t="shared" si="636"/>
        <v>43646</v>
      </c>
    </row>
    <row r="4290" spans="1:6" x14ac:dyDescent="0.25">
      <c r="A4290" s="1" t="s">
        <v>196</v>
      </c>
      <c r="B4290" s="1" t="s">
        <v>655</v>
      </c>
      <c r="C4290" s="1" t="s">
        <v>8</v>
      </c>
      <c r="D4290" s="3">
        <f t="shared" ref="D4290:D4321" si="637">VALUE("7860")</f>
        <v>7860</v>
      </c>
      <c r="E4290" s="2">
        <f t="shared" ref="E4290:E4321" si="638">DATEVALUE("1-4-2016")</f>
        <v>42461</v>
      </c>
      <c r="F4290" s="2">
        <f t="shared" ref="F4290:F4321" si="639">DATEVALUE("31-12-2020")</f>
        <v>44196</v>
      </c>
    </row>
    <row r="4291" spans="1:6" x14ac:dyDescent="0.25">
      <c r="A4291" s="1" t="s">
        <v>196</v>
      </c>
      <c r="B4291" s="1" t="s">
        <v>655</v>
      </c>
      <c r="C4291" s="1" t="s">
        <v>10</v>
      </c>
      <c r="D4291" s="3">
        <f t="shared" si="637"/>
        <v>7860</v>
      </c>
      <c r="E4291" s="2">
        <f t="shared" si="638"/>
        <v>42461</v>
      </c>
      <c r="F4291" s="2">
        <f t="shared" si="639"/>
        <v>44196</v>
      </c>
    </row>
    <row r="4292" spans="1:6" x14ac:dyDescent="0.25">
      <c r="A4292" s="1" t="s">
        <v>196</v>
      </c>
      <c r="B4292" s="1" t="s">
        <v>655</v>
      </c>
      <c r="C4292" s="1" t="s">
        <v>61</v>
      </c>
      <c r="D4292" s="3">
        <f t="shared" si="637"/>
        <v>7860</v>
      </c>
      <c r="E4292" s="2">
        <f t="shared" si="638"/>
        <v>42461</v>
      </c>
      <c r="F4292" s="2">
        <f t="shared" si="639"/>
        <v>44196</v>
      </c>
    </row>
    <row r="4293" spans="1:6" x14ac:dyDescent="0.25">
      <c r="A4293" s="1" t="s">
        <v>196</v>
      </c>
      <c r="B4293" s="1" t="s">
        <v>655</v>
      </c>
      <c r="C4293" s="1" t="s">
        <v>85</v>
      </c>
      <c r="D4293" s="3">
        <f t="shared" si="637"/>
        <v>7860</v>
      </c>
      <c r="E4293" s="2">
        <f t="shared" si="638"/>
        <v>42461</v>
      </c>
      <c r="F4293" s="2">
        <f t="shared" si="639"/>
        <v>44196</v>
      </c>
    </row>
    <row r="4294" spans="1:6" x14ac:dyDescent="0.25">
      <c r="A4294" s="1" t="s">
        <v>196</v>
      </c>
      <c r="B4294" s="1" t="s">
        <v>655</v>
      </c>
      <c r="C4294" s="1" t="s">
        <v>84</v>
      </c>
      <c r="D4294" s="3">
        <f t="shared" si="637"/>
        <v>7860</v>
      </c>
      <c r="E4294" s="2">
        <f t="shared" si="638"/>
        <v>42461</v>
      </c>
      <c r="F4294" s="2">
        <f t="shared" si="639"/>
        <v>44196</v>
      </c>
    </row>
    <row r="4295" spans="1:6" x14ac:dyDescent="0.25">
      <c r="A4295" s="1" t="s">
        <v>196</v>
      </c>
      <c r="B4295" s="1" t="s">
        <v>655</v>
      </c>
      <c r="C4295" s="1" t="s">
        <v>14</v>
      </c>
      <c r="D4295" s="3">
        <f t="shared" si="637"/>
        <v>7860</v>
      </c>
      <c r="E4295" s="2">
        <f t="shared" si="638"/>
        <v>42461</v>
      </c>
      <c r="F4295" s="2">
        <f t="shared" si="639"/>
        <v>44196</v>
      </c>
    </row>
    <row r="4296" spans="1:6" x14ac:dyDescent="0.25">
      <c r="A4296" s="1" t="s">
        <v>196</v>
      </c>
      <c r="B4296" s="1" t="s">
        <v>655</v>
      </c>
      <c r="C4296" s="1" t="s">
        <v>15</v>
      </c>
      <c r="D4296" s="3">
        <f t="shared" si="637"/>
        <v>7860</v>
      </c>
      <c r="E4296" s="2">
        <f t="shared" si="638"/>
        <v>42461</v>
      </c>
      <c r="F4296" s="2">
        <f t="shared" si="639"/>
        <v>44196</v>
      </c>
    </row>
    <row r="4297" spans="1:6" x14ac:dyDescent="0.25">
      <c r="A4297" s="1" t="s">
        <v>196</v>
      </c>
      <c r="B4297" s="1" t="s">
        <v>655</v>
      </c>
      <c r="C4297" s="1" t="s">
        <v>89</v>
      </c>
      <c r="D4297" s="3">
        <f t="shared" si="637"/>
        <v>7860</v>
      </c>
      <c r="E4297" s="2">
        <f t="shared" si="638"/>
        <v>42461</v>
      </c>
      <c r="F4297" s="2">
        <f t="shared" si="639"/>
        <v>44196</v>
      </c>
    </row>
    <row r="4298" spans="1:6" x14ac:dyDescent="0.25">
      <c r="A4298" s="1" t="s">
        <v>196</v>
      </c>
      <c r="B4298" s="1" t="s">
        <v>655</v>
      </c>
      <c r="C4298" s="1" t="s">
        <v>17</v>
      </c>
      <c r="D4298" s="3">
        <f t="shared" si="637"/>
        <v>7860</v>
      </c>
      <c r="E4298" s="2">
        <f t="shared" si="638"/>
        <v>42461</v>
      </c>
      <c r="F4298" s="2">
        <f t="shared" si="639"/>
        <v>44196</v>
      </c>
    </row>
    <row r="4299" spans="1:6" x14ac:dyDescent="0.25">
      <c r="A4299" s="1" t="s">
        <v>196</v>
      </c>
      <c r="B4299" s="1" t="s">
        <v>655</v>
      </c>
      <c r="C4299" s="1" t="s">
        <v>257</v>
      </c>
      <c r="D4299" s="3">
        <f t="shared" si="637"/>
        <v>7860</v>
      </c>
      <c r="E4299" s="2">
        <f t="shared" si="638"/>
        <v>42461</v>
      </c>
      <c r="F4299" s="2">
        <f t="shared" si="639"/>
        <v>44196</v>
      </c>
    </row>
    <row r="4300" spans="1:6" x14ac:dyDescent="0.25">
      <c r="A4300" s="1" t="s">
        <v>196</v>
      </c>
      <c r="B4300" s="1" t="s">
        <v>655</v>
      </c>
      <c r="C4300" s="1" t="s">
        <v>127</v>
      </c>
      <c r="D4300" s="3">
        <f t="shared" si="637"/>
        <v>7860</v>
      </c>
      <c r="E4300" s="2">
        <f t="shared" si="638"/>
        <v>42461</v>
      </c>
      <c r="F4300" s="2">
        <f t="shared" si="639"/>
        <v>44196</v>
      </c>
    </row>
    <row r="4301" spans="1:6" x14ac:dyDescent="0.25">
      <c r="A4301" s="1" t="s">
        <v>196</v>
      </c>
      <c r="B4301" s="1" t="s">
        <v>655</v>
      </c>
      <c r="C4301" s="1" t="s">
        <v>168</v>
      </c>
      <c r="D4301" s="3">
        <f t="shared" si="637"/>
        <v>7860</v>
      </c>
      <c r="E4301" s="2">
        <f t="shared" si="638"/>
        <v>42461</v>
      </c>
      <c r="F4301" s="2">
        <f t="shared" si="639"/>
        <v>44196</v>
      </c>
    </row>
    <row r="4302" spans="1:6" x14ac:dyDescent="0.25">
      <c r="A4302" s="1" t="s">
        <v>196</v>
      </c>
      <c r="B4302" s="1" t="s">
        <v>655</v>
      </c>
      <c r="C4302" s="1" t="s">
        <v>91</v>
      </c>
      <c r="D4302" s="3">
        <f t="shared" si="637"/>
        <v>7860</v>
      </c>
      <c r="E4302" s="2">
        <f t="shared" si="638"/>
        <v>42461</v>
      </c>
      <c r="F4302" s="2">
        <f t="shared" si="639"/>
        <v>44196</v>
      </c>
    </row>
    <row r="4303" spans="1:6" x14ac:dyDescent="0.25">
      <c r="A4303" s="1" t="s">
        <v>196</v>
      </c>
      <c r="B4303" s="1" t="s">
        <v>655</v>
      </c>
      <c r="C4303" s="1" t="s">
        <v>197</v>
      </c>
      <c r="D4303" s="3">
        <f t="shared" si="637"/>
        <v>7860</v>
      </c>
      <c r="E4303" s="2">
        <f t="shared" si="638"/>
        <v>42461</v>
      </c>
      <c r="F4303" s="2">
        <f t="shared" si="639"/>
        <v>44196</v>
      </c>
    </row>
    <row r="4304" spans="1:6" x14ac:dyDescent="0.25">
      <c r="A4304" s="1" t="s">
        <v>196</v>
      </c>
      <c r="B4304" s="1" t="s">
        <v>655</v>
      </c>
      <c r="C4304" s="1" t="s">
        <v>258</v>
      </c>
      <c r="D4304" s="3">
        <f t="shared" si="637"/>
        <v>7860</v>
      </c>
      <c r="E4304" s="2">
        <f t="shared" si="638"/>
        <v>42461</v>
      </c>
      <c r="F4304" s="2">
        <f t="shared" si="639"/>
        <v>44196</v>
      </c>
    </row>
    <row r="4305" spans="1:6" x14ac:dyDescent="0.25">
      <c r="A4305" s="1" t="s">
        <v>196</v>
      </c>
      <c r="B4305" s="1" t="s">
        <v>655</v>
      </c>
      <c r="C4305" s="1" t="s">
        <v>383</v>
      </c>
      <c r="D4305" s="3">
        <f t="shared" si="637"/>
        <v>7860</v>
      </c>
      <c r="E4305" s="2">
        <f t="shared" si="638"/>
        <v>42461</v>
      </c>
      <c r="F4305" s="2">
        <f t="shared" si="639"/>
        <v>44196</v>
      </c>
    </row>
    <row r="4306" spans="1:6" x14ac:dyDescent="0.25">
      <c r="A4306" s="1" t="s">
        <v>196</v>
      </c>
      <c r="B4306" s="1" t="s">
        <v>655</v>
      </c>
      <c r="C4306" s="1" t="s">
        <v>146</v>
      </c>
      <c r="D4306" s="3">
        <f t="shared" si="637"/>
        <v>7860</v>
      </c>
      <c r="E4306" s="2">
        <f t="shared" si="638"/>
        <v>42461</v>
      </c>
      <c r="F4306" s="2">
        <f t="shared" si="639"/>
        <v>44196</v>
      </c>
    </row>
    <row r="4307" spans="1:6" x14ac:dyDescent="0.25">
      <c r="A4307" s="1" t="s">
        <v>196</v>
      </c>
      <c r="B4307" s="1" t="s">
        <v>655</v>
      </c>
      <c r="C4307" s="1" t="s">
        <v>67</v>
      </c>
      <c r="D4307" s="3">
        <f t="shared" si="637"/>
        <v>7860</v>
      </c>
      <c r="E4307" s="2">
        <f t="shared" si="638"/>
        <v>42461</v>
      </c>
      <c r="F4307" s="2">
        <f t="shared" si="639"/>
        <v>44196</v>
      </c>
    </row>
    <row r="4308" spans="1:6" x14ac:dyDescent="0.25">
      <c r="A4308" s="1" t="s">
        <v>196</v>
      </c>
      <c r="B4308" s="1" t="s">
        <v>655</v>
      </c>
      <c r="C4308" s="1" t="s">
        <v>148</v>
      </c>
      <c r="D4308" s="3">
        <f t="shared" si="637"/>
        <v>7860</v>
      </c>
      <c r="E4308" s="2">
        <f t="shared" si="638"/>
        <v>42461</v>
      </c>
      <c r="F4308" s="2">
        <f t="shared" si="639"/>
        <v>44196</v>
      </c>
    </row>
    <row r="4309" spans="1:6" x14ac:dyDescent="0.25">
      <c r="A4309" s="1" t="s">
        <v>196</v>
      </c>
      <c r="B4309" s="1" t="s">
        <v>655</v>
      </c>
      <c r="C4309" s="1" t="s">
        <v>149</v>
      </c>
      <c r="D4309" s="3">
        <f t="shared" si="637"/>
        <v>7860</v>
      </c>
      <c r="E4309" s="2">
        <f t="shared" si="638"/>
        <v>42461</v>
      </c>
      <c r="F4309" s="2">
        <f t="shared" si="639"/>
        <v>44196</v>
      </c>
    </row>
    <row r="4310" spans="1:6" x14ac:dyDescent="0.25">
      <c r="A4310" s="1" t="s">
        <v>196</v>
      </c>
      <c r="B4310" s="1" t="s">
        <v>655</v>
      </c>
      <c r="C4310" s="1" t="s">
        <v>150</v>
      </c>
      <c r="D4310" s="3">
        <f t="shared" si="637"/>
        <v>7860</v>
      </c>
      <c r="E4310" s="2">
        <f t="shared" si="638"/>
        <v>42461</v>
      </c>
      <c r="F4310" s="2">
        <f t="shared" si="639"/>
        <v>44196</v>
      </c>
    </row>
    <row r="4311" spans="1:6" x14ac:dyDescent="0.25">
      <c r="A4311" s="1" t="s">
        <v>196</v>
      </c>
      <c r="B4311" s="1" t="s">
        <v>655</v>
      </c>
      <c r="C4311" s="1" t="s">
        <v>92</v>
      </c>
      <c r="D4311" s="3">
        <f t="shared" si="637"/>
        <v>7860</v>
      </c>
      <c r="E4311" s="2">
        <f t="shared" si="638"/>
        <v>42461</v>
      </c>
      <c r="F4311" s="2">
        <f t="shared" si="639"/>
        <v>44196</v>
      </c>
    </row>
    <row r="4312" spans="1:6" x14ac:dyDescent="0.25">
      <c r="A4312" s="1" t="s">
        <v>196</v>
      </c>
      <c r="B4312" s="1" t="s">
        <v>655</v>
      </c>
      <c r="C4312" s="1" t="s">
        <v>128</v>
      </c>
      <c r="D4312" s="3">
        <f t="shared" si="637"/>
        <v>7860</v>
      </c>
      <c r="E4312" s="2">
        <f t="shared" si="638"/>
        <v>42461</v>
      </c>
      <c r="F4312" s="2">
        <f t="shared" si="639"/>
        <v>44196</v>
      </c>
    </row>
    <row r="4313" spans="1:6" x14ac:dyDescent="0.25">
      <c r="A4313" s="1" t="s">
        <v>196</v>
      </c>
      <c r="B4313" s="1" t="s">
        <v>655</v>
      </c>
      <c r="C4313" s="1" t="s">
        <v>180</v>
      </c>
      <c r="D4313" s="3">
        <f t="shared" si="637"/>
        <v>7860</v>
      </c>
      <c r="E4313" s="2">
        <f t="shared" si="638"/>
        <v>42461</v>
      </c>
      <c r="F4313" s="2">
        <f t="shared" si="639"/>
        <v>44196</v>
      </c>
    </row>
    <row r="4314" spans="1:6" x14ac:dyDescent="0.25">
      <c r="A4314" s="1" t="s">
        <v>196</v>
      </c>
      <c r="B4314" s="1" t="s">
        <v>655</v>
      </c>
      <c r="C4314" s="1" t="s">
        <v>93</v>
      </c>
      <c r="D4314" s="3">
        <f t="shared" si="637"/>
        <v>7860</v>
      </c>
      <c r="E4314" s="2">
        <f t="shared" si="638"/>
        <v>42461</v>
      </c>
      <c r="F4314" s="2">
        <f t="shared" si="639"/>
        <v>44196</v>
      </c>
    </row>
    <row r="4315" spans="1:6" x14ac:dyDescent="0.25">
      <c r="A4315" s="1" t="s">
        <v>196</v>
      </c>
      <c r="B4315" s="1" t="s">
        <v>655</v>
      </c>
      <c r="C4315" s="1" t="s">
        <v>129</v>
      </c>
      <c r="D4315" s="3">
        <f t="shared" si="637"/>
        <v>7860</v>
      </c>
      <c r="E4315" s="2">
        <f t="shared" si="638"/>
        <v>42461</v>
      </c>
      <c r="F4315" s="2">
        <f t="shared" si="639"/>
        <v>44196</v>
      </c>
    </row>
    <row r="4316" spans="1:6" x14ac:dyDescent="0.25">
      <c r="A4316" s="1" t="s">
        <v>196</v>
      </c>
      <c r="B4316" s="1" t="s">
        <v>655</v>
      </c>
      <c r="C4316" s="1" t="s">
        <v>656</v>
      </c>
      <c r="D4316" s="3">
        <f t="shared" si="637"/>
        <v>7860</v>
      </c>
      <c r="E4316" s="2">
        <f t="shared" si="638"/>
        <v>42461</v>
      </c>
      <c r="F4316" s="2">
        <f t="shared" si="639"/>
        <v>44196</v>
      </c>
    </row>
    <row r="4317" spans="1:6" x14ac:dyDescent="0.25">
      <c r="A4317" s="1" t="s">
        <v>196</v>
      </c>
      <c r="B4317" s="1" t="s">
        <v>655</v>
      </c>
      <c r="C4317" s="1" t="s">
        <v>657</v>
      </c>
      <c r="D4317" s="3">
        <f t="shared" si="637"/>
        <v>7860</v>
      </c>
      <c r="E4317" s="2">
        <f t="shared" si="638"/>
        <v>42461</v>
      </c>
      <c r="F4317" s="2">
        <f t="shared" si="639"/>
        <v>44196</v>
      </c>
    </row>
    <row r="4318" spans="1:6" x14ac:dyDescent="0.25">
      <c r="A4318" s="1" t="s">
        <v>196</v>
      </c>
      <c r="B4318" s="1" t="s">
        <v>655</v>
      </c>
      <c r="C4318" s="1" t="s">
        <v>658</v>
      </c>
      <c r="D4318" s="3">
        <f t="shared" si="637"/>
        <v>7860</v>
      </c>
      <c r="E4318" s="2">
        <f t="shared" si="638"/>
        <v>42461</v>
      </c>
      <c r="F4318" s="2">
        <f t="shared" si="639"/>
        <v>44196</v>
      </c>
    </row>
    <row r="4319" spans="1:6" x14ac:dyDescent="0.25">
      <c r="A4319" s="1" t="s">
        <v>196</v>
      </c>
      <c r="B4319" s="1" t="s">
        <v>655</v>
      </c>
      <c r="C4319" s="1" t="s">
        <v>659</v>
      </c>
      <c r="D4319" s="3">
        <f t="shared" si="637"/>
        <v>7860</v>
      </c>
      <c r="E4319" s="2">
        <f t="shared" si="638"/>
        <v>42461</v>
      </c>
      <c r="F4319" s="2">
        <f t="shared" si="639"/>
        <v>44196</v>
      </c>
    </row>
    <row r="4320" spans="1:6" x14ac:dyDescent="0.25">
      <c r="A4320" s="1" t="s">
        <v>196</v>
      </c>
      <c r="B4320" s="1" t="s">
        <v>655</v>
      </c>
      <c r="C4320" s="1" t="s">
        <v>660</v>
      </c>
      <c r="D4320" s="3">
        <f t="shared" si="637"/>
        <v>7860</v>
      </c>
      <c r="E4320" s="2">
        <f t="shared" si="638"/>
        <v>42461</v>
      </c>
      <c r="F4320" s="2">
        <f t="shared" si="639"/>
        <v>44196</v>
      </c>
    </row>
    <row r="4321" spans="1:6" x14ac:dyDescent="0.25">
      <c r="A4321" s="1" t="s">
        <v>196</v>
      </c>
      <c r="B4321" s="1" t="s">
        <v>655</v>
      </c>
      <c r="C4321" s="1" t="s">
        <v>661</v>
      </c>
      <c r="D4321" s="3">
        <f t="shared" si="637"/>
        <v>7860</v>
      </c>
      <c r="E4321" s="2">
        <f t="shared" si="638"/>
        <v>42461</v>
      </c>
      <c r="F4321" s="2">
        <f t="shared" si="639"/>
        <v>44196</v>
      </c>
    </row>
    <row r="4322" spans="1:6" x14ac:dyDescent="0.25">
      <c r="A4322" s="1" t="s">
        <v>196</v>
      </c>
      <c r="B4322" s="1" t="s">
        <v>655</v>
      </c>
      <c r="C4322" s="1" t="s">
        <v>662</v>
      </c>
      <c r="D4322" s="3">
        <f t="shared" ref="D4322:D4349" si="640">VALUE("7860")</f>
        <v>7860</v>
      </c>
      <c r="E4322" s="2">
        <f t="shared" ref="E4322:E4349" si="641">DATEVALUE("1-4-2016")</f>
        <v>42461</v>
      </c>
      <c r="F4322" s="2">
        <f t="shared" ref="F4322:F4349" si="642">DATEVALUE("31-12-2020")</f>
        <v>44196</v>
      </c>
    </row>
    <row r="4323" spans="1:6" x14ac:dyDescent="0.25">
      <c r="A4323" s="1" t="s">
        <v>196</v>
      </c>
      <c r="B4323" s="1" t="s">
        <v>655</v>
      </c>
      <c r="C4323" s="1" t="s">
        <v>94</v>
      </c>
      <c r="D4323" s="3">
        <f t="shared" si="640"/>
        <v>7860</v>
      </c>
      <c r="E4323" s="2">
        <f t="shared" si="641"/>
        <v>42461</v>
      </c>
      <c r="F4323" s="2">
        <f t="shared" si="642"/>
        <v>44196</v>
      </c>
    </row>
    <row r="4324" spans="1:6" x14ac:dyDescent="0.25">
      <c r="A4324" s="1" t="s">
        <v>196</v>
      </c>
      <c r="B4324" s="1" t="s">
        <v>655</v>
      </c>
      <c r="C4324" s="1" t="s">
        <v>571</v>
      </c>
      <c r="D4324" s="3">
        <f t="shared" si="640"/>
        <v>7860</v>
      </c>
      <c r="E4324" s="2">
        <f t="shared" si="641"/>
        <v>42461</v>
      </c>
      <c r="F4324" s="2">
        <f t="shared" si="642"/>
        <v>44196</v>
      </c>
    </row>
    <row r="4325" spans="1:6" x14ac:dyDescent="0.25">
      <c r="A4325" s="1" t="s">
        <v>196</v>
      </c>
      <c r="B4325" s="1" t="s">
        <v>655</v>
      </c>
      <c r="C4325" s="1" t="s">
        <v>573</v>
      </c>
      <c r="D4325" s="3">
        <f t="shared" si="640"/>
        <v>7860</v>
      </c>
      <c r="E4325" s="2">
        <f t="shared" si="641"/>
        <v>42461</v>
      </c>
      <c r="F4325" s="2">
        <f t="shared" si="642"/>
        <v>44196</v>
      </c>
    </row>
    <row r="4326" spans="1:6" x14ac:dyDescent="0.25">
      <c r="A4326" s="1" t="s">
        <v>196</v>
      </c>
      <c r="B4326" s="1" t="s">
        <v>655</v>
      </c>
      <c r="C4326" s="1" t="s">
        <v>24</v>
      </c>
      <c r="D4326" s="3">
        <f t="shared" si="640"/>
        <v>7860</v>
      </c>
      <c r="E4326" s="2">
        <f t="shared" si="641"/>
        <v>42461</v>
      </c>
      <c r="F4326" s="2">
        <f t="shared" si="642"/>
        <v>44196</v>
      </c>
    </row>
    <row r="4327" spans="1:6" x14ac:dyDescent="0.25">
      <c r="A4327" s="1" t="s">
        <v>196</v>
      </c>
      <c r="B4327" s="1" t="s">
        <v>655</v>
      </c>
      <c r="C4327" s="1" t="s">
        <v>207</v>
      </c>
      <c r="D4327" s="3">
        <f t="shared" si="640"/>
        <v>7860</v>
      </c>
      <c r="E4327" s="2">
        <f t="shared" si="641"/>
        <v>42461</v>
      </c>
      <c r="F4327" s="2">
        <f t="shared" si="642"/>
        <v>44196</v>
      </c>
    </row>
    <row r="4328" spans="1:6" x14ac:dyDescent="0.25">
      <c r="A4328" s="1" t="s">
        <v>196</v>
      </c>
      <c r="B4328" s="1" t="s">
        <v>655</v>
      </c>
      <c r="C4328" s="1" t="s">
        <v>208</v>
      </c>
      <c r="D4328" s="3">
        <f t="shared" si="640"/>
        <v>7860</v>
      </c>
      <c r="E4328" s="2">
        <f t="shared" si="641"/>
        <v>42461</v>
      </c>
      <c r="F4328" s="2">
        <f t="shared" si="642"/>
        <v>44196</v>
      </c>
    </row>
    <row r="4329" spans="1:6" x14ac:dyDescent="0.25">
      <c r="A4329" s="1" t="s">
        <v>196</v>
      </c>
      <c r="B4329" s="1" t="s">
        <v>655</v>
      </c>
      <c r="C4329" s="1" t="s">
        <v>533</v>
      </c>
      <c r="D4329" s="3">
        <f t="shared" si="640"/>
        <v>7860</v>
      </c>
      <c r="E4329" s="2">
        <f t="shared" si="641"/>
        <v>42461</v>
      </c>
      <c r="F4329" s="2">
        <f t="shared" si="642"/>
        <v>44196</v>
      </c>
    </row>
    <row r="4330" spans="1:6" x14ac:dyDescent="0.25">
      <c r="A4330" s="1" t="s">
        <v>196</v>
      </c>
      <c r="B4330" s="1" t="s">
        <v>655</v>
      </c>
      <c r="C4330" s="1" t="s">
        <v>102</v>
      </c>
      <c r="D4330" s="3">
        <f t="shared" si="640"/>
        <v>7860</v>
      </c>
      <c r="E4330" s="2">
        <f t="shared" si="641"/>
        <v>42461</v>
      </c>
      <c r="F4330" s="2">
        <f t="shared" si="642"/>
        <v>44196</v>
      </c>
    </row>
    <row r="4331" spans="1:6" x14ac:dyDescent="0.25">
      <c r="A4331" s="1" t="s">
        <v>196</v>
      </c>
      <c r="B4331" s="1" t="s">
        <v>655</v>
      </c>
      <c r="C4331" s="1" t="s">
        <v>103</v>
      </c>
      <c r="D4331" s="3">
        <f t="shared" si="640"/>
        <v>7860</v>
      </c>
      <c r="E4331" s="2">
        <f t="shared" si="641"/>
        <v>42461</v>
      </c>
      <c r="F4331" s="2">
        <f t="shared" si="642"/>
        <v>44196</v>
      </c>
    </row>
    <row r="4332" spans="1:6" x14ac:dyDescent="0.25">
      <c r="A4332" s="1" t="s">
        <v>196</v>
      </c>
      <c r="B4332" s="1" t="s">
        <v>655</v>
      </c>
      <c r="C4332" s="1" t="s">
        <v>266</v>
      </c>
      <c r="D4332" s="3">
        <f t="shared" si="640"/>
        <v>7860</v>
      </c>
      <c r="E4332" s="2">
        <f t="shared" si="641"/>
        <v>42461</v>
      </c>
      <c r="F4332" s="2">
        <f t="shared" si="642"/>
        <v>44196</v>
      </c>
    </row>
    <row r="4333" spans="1:6" x14ac:dyDescent="0.25">
      <c r="A4333" s="1" t="s">
        <v>196</v>
      </c>
      <c r="B4333" s="1" t="s">
        <v>655</v>
      </c>
      <c r="C4333" s="1" t="s">
        <v>267</v>
      </c>
      <c r="D4333" s="3">
        <f t="shared" si="640"/>
        <v>7860</v>
      </c>
      <c r="E4333" s="2">
        <f t="shared" si="641"/>
        <v>42461</v>
      </c>
      <c r="F4333" s="2">
        <f t="shared" si="642"/>
        <v>44196</v>
      </c>
    </row>
    <row r="4334" spans="1:6" x14ac:dyDescent="0.25">
      <c r="A4334" s="1" t="s">
        <v>196</v>
      </c>
      <c r="B4334" s="1" t="s">
        <v>655</v>
      </c>
      <c r="C4334" s="1" t="s">
        <v>268</v>
      </c>
      <c r="D4334" s="3">
        <f t="shared" si="640"/>
        <v>7860</v>
      </c>
      <c r="E4334" s="2">
        <f t="shared" si="641"/>
        <v>42461</v>
      </c>
      <c r="F4334" s="2">
        <f t="shared" si="642"/>
        <v>44196</v>
      </c>
    </row>
    <row r="4335" spans="1:6" x14ac:dyDescent="0.25">
      <c r="A4335" s="1" t="s">
        <v>196</v>
      </c>
      <c r="B4335" s="1" t="s">
        <v>655</v>
      </c>
      <c r="C4335" s="1" t="s">
        <v>269</v>
      </c>
      <c r="D4335" s="3">
        <f t="shared" si="640"/>
        <v>7860</v>
      </c>
      <c r="E4335" s="2">
        <f t="shared" si="641"/>
        <v>42461</v>
      </c>
      <c r="F4335" s="2">
        <f t="shared" si="642"/>
        <v>44196</v>
      </c>
    </row>
    <row r="4336" spans="1:6" x14ac:dyDescent="0.25">
      <c r="A4336" s="1" t="s">
        <v>196</v>
      </c>
      <c r="B4336" s="1" t="s">
        <v>655</v>
      </c>
      <c r="C4336" s="1" t="s">
        <v>270</v>
      </c>
      <c r="D4336" s="3">
        <f t="shared" si="640"/>
        <v>7860</v>
      </c>
      <c r="E4336" s="2">
        <f t="shared" si="641"/>
        <v>42461</v>
      </c>
      <c r="F4336" s="2">
        <f t="shared" si="642"/>
        <v>44196</v>
      </c>
    </row>
    <row r="4337" spans="1:6" x14ac:dyDescent="0.25">
      <c r="A4337" s="1" t="s">
        <v>196</v>
      </c>
      <c r="B4337" s="1" t="s">
        <v>655</v>
      </c>
      <c r="C4337" s="1" t="s">
        <v>271</v>
      </c>
      <c r="D4337" s="3">
        <f t="shared" si="640"/>
        <v>7860</v>
      </c>
      <c r="E4337" s="2">
        <f t="shared" si="641"/>
        <v>42461</v>
      </c>
      <c r="F4337" s="2">
        <f t="shared" si="642"/>
        <v>44196</v>
      </c>
    </row>
    <row r="4338" spans="1:6" x14ac:dyDescent="0.25">
      <c r="A4338" s="1" t="s">
        <v>196</v>
      </c>
      <c r="B4338" s="1" t="s">
        <v>655</v>
      </c>
      <c r="C4338" s="1" t="s">
        <v>274</v>
      </c>
      <c r="D4338" s="3">
        <f t="shared" si="640"/>
        <v>7860</v>
      </c>
      <c r="E4338" s="2">
        <f t="shared" si="641"/>
        <v>42461</v>
      </c>
      <c r="F4338" s="2">
        <f t="shared" si="642"/>
        <v>44196</v>
      </c>
    </row>
    <row r="4339" spans="1:6" x14ac:dyDescent="0.25">
      <c r="A4339" s="1" t="s">
        <v>196</v>
      </c>
      <c r="B4339" s="1" t="s">
        <v>655</v>
      </c>
      <c r="C4339" s="1" t="s">
        <v>160</v>
      </c>
      <c r="D4339" s="3">
        <f t="shared" si="640"/>
        <v>7860</v>
      </c>
      <c r="E4339" s="2">
        <f t="shared" si="641"/>
        <v>42461</v>
      </c>
      <c r="F4339" s="2">
        <f t="shared" si="642"/>
        <v>44196</v>
      </c>
    </row>
    <row r="4340" spans="1:6" x14ac:dyDescent="0.25">
      <c r="A4340" s="1" t="s">
        <v>196</v>
      </c>
      <c r="B4340" s="1" t="s">
        <v>655</v>
      </c>
      <c r="C4340" s="1" t="s">
        <v>54</v>
      </c>
      <c r="D4340" s="3">
        <f t="shared" si="640"/>
        <v>7860</v>
      </c>
      <c r="E4340" s="2">
        <f t="shared" si="641"/>
        <v>42461</v>
      </c>
      <c r="F4340" s="2">
        <f t="shared" si="642"/>
        <v>44196</v>
      </c>
    </row>
    <row r="4341" spans="1:6" x14ac:dyDescent="0.25">
      <c r="A4341" s="1" t="s">
        <v>196</v>
      </c>
      <c r="B4341" s="1" t="s">
        <v>655</v>
      </c>
      <c r="C4341" s="1" t="s">
        <v>34</v>
      </c>
      <c r="D4341" s="3">
        <f t="shared" si="640"/>
        <v>7860</v>
      </c>
      <c r="E4341" s="2">
        <f t="shared" si="641"/>
        <v>42461</v>
      </c>
      <c r="F4341" s="2">
        <f t="shared" si="642"/>
        <v>44196</v>
      </c>
    </row>
    <row r="4342" spans="1:6" x14ac:dyDescent="0.25">
      <c r="A4342" s="1" t="s">
        <v>196</v>
      </c>
      <c r="B4342" s="1" t="s">
        <v>655</v>
      </c>
      <c r="C4342" s="1" t="s">
        <v>55</v>
      </c>
      <c r="D4342" s="3">
        <f t="shared" si="640"/>
        <v>7860</v>
      </c>
      <c r="E4342" s="2">
        <f t="shared" si="641"/>
        <v>42461</v>
      </c>
      <c r="F4342" s="2">
        <f t="shared" si="642"/>
        <v>44196</v>
      </c>
    </row>
    <row r="4343" spans="1:6" x14ac:dyDescent="0.25">
      <c r="A4343" s="1" t="s">
        <v>196</v>
      </c>
      <c r="B4343" s="1" t="s">
        <v>655</v>
      </c>
      <c r="C4343" s="1" t="s">
        <v>663</v>
      </c>
      <c r="D4343" s="3">
        <f t="shared" si="640"/>
        <v>7860</v>
      </c>
      <c r="E4343" s="2">
        <f t="shared" si="641"/>
        <v>42461</v>
      </c>
      <c r="F4343" s="2">
        <f t="shared" si="642"/>
        <v>44196</v>
      </c>
    </row>
    <row r="4344" spans="1:6" x14ac:dyDescent="0.25">
      <c r="A4344" s="1" t="s">
        <v>196</v>
      </c>
      <c r="B4344" s="1" t="s">
        <v>655</v>
      </c>
      <c r="C4344" s="1" t="s">
        <v>664</v>
      </c>
      <c r="D4344" s="3">
        <f t="shared" si="640"/>
        <v>7860</v>
      </c>
      <c r="E4344" s="2">
        <f t="shared" si="641"/>
        <v>42461</v>
      </c>
      <c r="F4344" s="2">
        <f t="shared" si="642"/>
        <v>44196</v>
      </c>
    </row>
    <row r="4345" spans="1:6" x14ac:dyDescent="0.25">
      <c r="A4345" s="1" t="s">
        <v>196</v>
      </c>
      <c r="B4345" s="1" t="s">
        <v>655</v>
      </c>
      <c r="C4345" s="1" t="s">
        <v>665</v>
      </c>
      <c r="D4345" s="3">
        <f t="shared" si="640"/>
        <v>7860</v>
      </c>
      <c r="E4345" s="2">
        <f t="shared" si="641"/>
        <v>42461</v>
      </c>
      <c r="F4345" s="2">
        <f t="shared" si="642"/>
        <v>44196</v>
      </c>
    </row>
    <row r="4346" spans="1:6" x14ac:dyDescent="0.25">
      <c r="A4346" s="1" t="s">
        <v>196</v>
      </c>
      <c r="B4346" s="1" t="s">
        <v>655</v>
      </c>
      <c r="C4346" s="1" t="s">
        <v>133</v>
      </c>
      <c r="D4346" s="3">
        <f t="shared" si="640"/>
        <v>7860</v>
      </c>
      <c r="E4346" s="2">
        <f t="shared" si="641"/>
        <v>42461</v>
      </c>
      <c r="F4346" s="2">
        <f t="shared" si="642"/>
        <v>44196</v>
      </c>
    </row>
    <row r="4347" spans="1:6" x14ac:dyDescent="0.25">
      <c r="A4347" s="1" t="s">
        <v>196</v>
      </c>
      <c r="B4347" s="1" t="s">
        <v>655</v>
      </c>
      <c r="C4347" s="1" t="s">
        <v>134</v>
      </c>
      <c r="D4347" s="3">
        <f t="shared" si="640"/>
        <v>7860</v>
      </c>
      <c r="E4347" s="2">
        <f t="shared" si="641"/>
        <v>42461</v>
      </c>
      <c r="F4347" s="2">
        <f t="shared" si="642"/>
        <v>44196</v>
      </c>
    </row>
    <row r="4348" spans="1:6" x14ac:dyDescent="0.25">
      <c r="A4348" s="1" t="s">
        <v>196</v>
      </c>
      <c r="B4348" s="1" t="s">
        <v>655</v>
      </c>
      <c r="C4348" s="1" t="s">
        <v>169</v>
      </c>
      <c r="D4348" s="3">
        <f t="shared" si="640"/>
        <v>7860</v>
      </c>
      <c r="E4348" s="2">
        <f t="shared" si="641"/>
        <v>42461</v>
      </c>
      <c r="F4348" s="2">
        <f t="shared" si="642"/>
        <v>44196</v>
      </c>
    </row>
    <row r="4349" spans="1:6" x14ac:dyDescent="0.25">
      <c r="A4349" s="1" t="s">
        <v>196</v>
      </c>
      <c r="B4349" s="1" t="s">
        <v>655</v>
      </c>
      <c r="C4349" s="1" t="s">
        <v>170</v>
      </c>
      <c r="D4349" s="3">
        <f t="shared" si="640"/>
        <v>7860</v>
      </c>
      <c r="E4349" s="2">
        <f t="shared" si="641"/>
        <v>42461</v>
      </c>
      <c r="F4349" s="2">
        <f t="shared" si="642"/>
        <v>44196</v>
      </c>
    </row>
    <row r="4350" spans="1:6" x14ac:dyDescent="0.25">
      <c r="A4350" s="1" t="s">
        <v>196</v>
      </c>
      <c r="B4350" s="1" t="s">
        <v>317</v>
      </c>
      <c r="C4350" s="1" t="s">
        <v>85</v>
      </c>
      <c r="D4350" s="3">
        <f t="shared" ref="D4350:D4355" si="643">VALUE("7366")</f>
        <v>7366</v>
      </c>
      <c r="E4350" s="2">
        <f t="shared" ref="E4350:E4355" si="644">DATEVALUE("1-2-2013")</f>
        <v>41306</v>
      </c>
      <c r="F4350" s="2">
        <f t="shared" ref="F4350:F4355" si="645">DATEVALUE("31-3-2025")</f>
        <v>45747</v>
      </c>
    </row>
    <row r="4351" spans="1:6" x14ac:dyDescent="0.25">
      <c r="A4351" s="1" t="s">
        <v>196</v>
      </c>
      <c r="B4351" s="1" t="s">
        <v>317</v>
      </c>
      <c r="C4351" s="1" t="s">
        <v>17</v>
      </c>
      <c r="D4351" s="3">
        <f t="shared" si="643"/>
        <v>7366</v>
      </c>
      <c r="E4351" s="2">
        <f t="shared" si="644"/>
        <v>41306</v>
      </c>
      <c r="F4351" s="2">
        <f t="shared" si="645"/>
        <v>45747</v>
      </c>
    </row>
    <row r="4352" spans="1:6" x14ac:dyDescent="0.25">
      <c r="A4352" s="1" t="s">
        <v>196</v>
      </c>
      <c r="B4352" s="1" t="s">
        <v>317</v>
      </c>
      <c r="C4352" s="1" t="s">
        <v>93</v>
      </c>
      <c r="D4352" s="3">
        <f t="shared" si="643"/>
        <v>7366</v>
      </c>
      <c r="E4352" s="2">
        <f t="shared" si="644"/>
        <v>41306</v>
      </c>
      <c r="F4352" s="2">
        <f t="shared" si="645"/>
        <v>45747</v>
      </c>
    </row>
    <row r="4353" spans="1:6" x14ac:dyDescent="0.25">
      <c r="A4353" s="1" t="s">
        <v>196</v>
      </c>
      <c r="B4353" s="1" t="s">
        <v>317</v>
      </c>
      <c r="C4353" s="1" t="s">
        <v>129</v>
      </c>
      <c r="D4353" s="3">
        <f t="shared" si="643"/>
        <v>7366</v>
      </c>
      <c r="E4353" s="2">
        <f t="shared" si="644"/>
        <v>41306</v>
      </c>
      <c r="F4353" s="2">
        <f t="shared" si="645"/>
        <v>45747</v>
      </c>
    </row>
    <row r="4354" spans="1:6" x14ac:dyDescent="0.25">
      <c r="A4354" s="1" t="s">
        <v>196</v>
      </c>
      <c r="B4354" s="1" t="s">
        <v>317</v>
      </c>
      <c r="C4354" s="1" t="s">
        <v>177</v>
      </c>
      <c r="D4354" s="3">
        <f t="shared" si="643"/>
        <v>7366</v>
      </c>
      <c r="E4354" s="2">
        <f t="shared" si="644"/>
        <v>41306</v>
      </c>
      <c r="F4354" s="2">
        <f t="shared" si="645"/>
        <v>45747</v>
      </c>
    </row>
    <row r="4355" spans="1:6" x14ac:dyDescent="0.25">
      <c r="A4355" s="1" t="s">
        <v>196</v>
      </c>
      <c r="B4355" s="1" t="s">
        <v>317</v>
      </c>
      <c r="C4355" s="1" t="s">
        <v>130</v>
      </c>
      <c r="D4355" s="3">
        <f t="shared" si="643"/>
        <v>7366</v>
      </c>
      <c r="E4355" s="2">
        <f t="shared" si="644"/>
        <v>41306</v>
      </c>
      <c r="F4355" s="2">
        <f t="shared" si="645"/>
        <v>45747</v>
      </c>
    </row>
    <row r="4356" spans="1:6" x14ac:dyDescent="0.25">
      <c r="A4356" s="1" t="s">
        <v>196</v>
      </c>
      <c r="B4356" s="1" t="s">
        <v>2638</v>
      </c>
      <c r="C4356" s="1" t="s">
        <v>102</v>
      </c>
      <c r="D4356" s="3">
        <f>VALUE("7261")</f>
        <v>7261</v>
      </c>
      <c r="E4356" s="2">
        <f>DATEVALUE("1-12-2011")</f>
        <v>40878</v>
      </c>
      <c r="F4356" s="2">
        <f>DATEVALUE("30-9-2014")</f>
        <v>41912</v>
      </c>
    </row>
    <row r="4357" spans="1:6" x14ac:dyDescent="0.25">
      <c r="A4357" s="1" t="s">
        <v>196</v>
      </c>
      <c r="B4357" s="1" t="s">
        <v>2638</v>
      </c>
      <c r="C4357" s="1" t="s">
        <v>103</v>
      </c>
      <c r="D4357" s="3">
        <f>VALUE("7261")</f>
        <v>7261</v>
      </c>
      <c r="E4357" s="2">
        <f>DATEVALUE("1-12-2011")</f>
        <v>40878</v>
      </c>
      <c r="F4357" s="2">
        <f>DATEVALUE("30-9-2014")</f>
        <v>41912</v>
      </c>
    </row>
    <row r="4358" spans="1:6" x14ac:dyDescent="0.25">
      <c r="A4358" s="1" t="s">
        <v>196</v>
      </c>
      <c r="B4358" s="1" t="s">
        <v>2592</v>
      </c>
      <c r="C4358" s="1" t="s">
        <v>126</v>
      </c>
      <c r="D4358" s="3">
        <f>VALUE("7163")</f>
        <v>7163</v>
      </c>
      <c r="E4358" s="2">
        <f>DATEVALUE("1-3-2011")</f>
        <v>40603</v>
      </c>
      <c r="F4358" s="2">
        <f>DATEVALUE("31-12-2012")</f>
        <v>41274</v>
      </c>
    </row>
    <row r="4359" spans="1:6" x14ac:dyDescent="0.25">
      <c r="A4359" s="1" t="s">
        <v>196</v>
      </c>
      <c r="B4359" s="1" t="s">
        <v>2592</v>
      </c>
      <c r="C4359" s="1" t="s">
        <v>2558</v>
      </c>
      <c r="D4359" s="3">
        <f>VALUE("7163")</f>
        <v>7163</v>
      </c>
      <c r="E4359" s="2">
        <f>DATEVALUE("1-3-2011")</f>
        <v>40603</v>
      </c>
      <c r="F4359" s="2">
        <f>DATEVALUE("31-12-2012")</f>
        <v>41274</v>
      </c>
    </row>
    <row r="4360" spans="1:6" x14ac:dyDescent="0.25">
      <c r="A4360" s="1" t="s">
        <v>196</v>
      </c>
      <c r="B4360" s="1" t="s">
        <v>2592</v>
      </c>
      <c r="C4360" s="1" t="s">
        <v>102</v>
      </c>
      <c r="D4360" s="3">
        <f>VALUE("7163")</f>
        <v>7163</v>
      </c>
      <c r="E4360" s="2">
        <f>DATEVALUE("1-3-2011")</f>
        <v>40603</v>
      </c>
      <c r="F4360" s="2">
        <f>DATEVALUE("31-12-2012")</f>
        <v>41274</v>
      </c>
    </row>
    <row r="4361" spans="1:6" x14ac:dyDescent="0.25">
      <c r="A4361" s="1" t="s">
        <v>196</v>
      </c>
      <c r="B4361" s="1" t="s">
        <v>2592</v>
      </c>
      <c r="C4361" s="1" t="s">
        <v>103</v>
      </c>
      <c r="D4361" s="3">
        <f>VALUE("7163")</f>
        <v>7163</v>
      </c>
      <c r="E4361" s="2">
        <f>DATEVALUE("1-3-2011")</f>
        <v>40603</v>
      </c>
      <c r="F4361" s="2">
        <f>DATEVALUE("31-12-2012")</f>
        <v>41274</v>
      </c>
    </row>
    <row r="4362" spans="1:6" x14ac:dyDescent="0.25">
      <c r="A4362" s="1" t="s">
        <v>196</v>
      </c>
      <c r="B4362" s="1" t="s">
        <v>2592</v>
      </c>
      <c r="C4362" s="1" t="s">
        <v>134</v>
      </c>
      <c r="D4362" s="3">
        <f>VALUE("7163")</f>
        <v>7163</v>
      </c>
      <c r="E4362" s="2">
        <f>DATEVALUE("1-3-2011")</f>
        <v>40603</v>
      </c>
      <c r="F4362" s="2">
        <f>DATEVALUE("31-12-2012")</f>
        <v>41274</v>
      </c>
    </row>
    <row r="4363" spans="1:6" x14ac:dyDescent="0.25">
      <c r="A4363" s="1" t="s">
        <v>196</v>
      </c>
      <c r="B4363" s="1" t="s">
        <v>195</v>
      </c>
      <c r="C4363" s="1" t="s">
        <v>91</v>
      </c>
      <c r="D4363" s="3">
        <f>VALUE("7086")</f>
        <v>7086</v>
      </c>
      <c r="E4363" s="2">
        <f>DATEVALUE("1-8-2010")</f>
        <v>40391</v>
      </c>
      <c r="F4363" s="2">
        <f>DATEVALUE("28-2-2021")</f>
        <v>44255</v>
      </c>
    </row>
    <row r="4364" spans="1:6" x14ac:dyDescent="0.25">
      <c r="A4364" s="1" t="s">
        <v>196</v>
      </c>
      <c r="B4364" s="1" t="s">
        <v>195</v>
      </c>
      <c r="C4364" s="1" t="s">
        <v>197</v>
      </c>
      <c r="D4364" s="3">
        <f>VALUE("7086")</f>
        <v>7086</v>
      </c>
      <c r="E4364" s="2">
        <f>DATEVALUE("1-8-2010")</f>
        <v>40391</v>
      </c>
      <c r="F4364" s="2">
        <f>DATEVALUE("28-2-2021")</f>
        <v>44255</v>
      </c>
    </row>
    <row r="4365" spans="1:6" x14ac:dyDescent="0.25">
      <c r="A4365" s="1" t="s">
        <v>196</v>
      </c>
      <c r="B4365" s="1" t="s">
        <v>195</v>
      </c>
      <c r="C4365" s="1" t="s">
        <v>198</v>
      </c>
      <c r="D4365" s="3">
        <f>VALUE("7086")</f>
        <v>7086</v>
      </c>
      <c r="E4365" s="2">
        <f>DATEVALUE("1-8-2010")</f>
        <v>40391</v>
      </c>
      <c r="F4365" s="2">
        <f>DATEVALUE("28-2-2021")</f>
        <v>44255</v>
      </c>
    </row>
    <row r="4366" spans="1:6" x14ac:dyDescent="0.25">
      <c r="A4366" s="1" t="s">
        <v>196</v>
      </c>
      <c r="B4366" s="1" t="s">
        <v>195</v>
      </c>
      <c r="C4366" s="1" t="s">
        <v>102</v>
      </c>
      <c r="D4366" s="3">
        <f>VALUE("7086")</f>
        <v>7086</v>
      </c>
      <c r="E4366" s="2">
        <f>DATEVALUE("1-8-2010")</f>
        <v>40391</v>
      </c>
      <c r="F4366" s="2">
        <f>DATEVALUE("28-2-2021")</f>
        <v>44255</v>
      </c>
    </row>
    <row r="4367" spans="1:6" x14ac:dyDescent="0.25">
      <c r="A4367" s="1" t="s">
        <v>196</v>
      </c>
      <c r="B4367" s="1" t="s">
        <v>195</v>
      </c>
      <c r="C4367" s="1" t="s">
        <v>103</v>
      </c>
      <c r="D4367" s="3">
        <f>VALUE("7086")</f>
        <v>7086</v>
      </c>
      <c r="E4367" s="2">
        <f>DATEVALUE("1-8-2010")</f>
        <v>40391</v>
      </c>
      <c r="F4367" s="2">
        <f>DATEVALUE("28-2-2021")</f>
        <v>44255</v>
      </c>
    </row>
    <row r="4368" spans="1:6" x14ac:dyDescent="0.25">
      <c r="A4368" s="1" t="s">
        <v>1055</v>
      </c>
      <c r="B4368" s="1" t="s">
        <v>1589</v>
      </c>
      <c r="C4368" s="1" t="s">
        <v>14</v>
      </c>
      <c r="D4368" s="3">
        <f>VALUE("8776")</f>
        <v>8776</v>
      </c>
      <c r="E4368" s="2">
        <f>DATEVALUE("1-7-2020")</f>
        <v>44013</v>
      </c>
      <c r="F4368" s="2">
        <f>DATEVALUE("30-6-2021")</f>
        <v>44377</v>
      </c>
    </row>
    <row r="4369" spans="1:6" x14ac:dyDescent="0.25">
      <c r="A4369" s="1" t="s">
        <v>1055</v>
      </c>
      <c r="B4369" s="1" t="s">
        <v>1589</v>
      </c>
      <c r="C4369" s="1" t="s">
        <v>17</v>
      </c>
      <c r="D4369" s="3">
        <f>VALUE("8776")</f>
        <v>8776</v>
      </c>
      <c r="E4369" s="2">
        <f>DATEVALUE("1-7-2020")</f>
        <v>44013</v>
      </c>
      <c r="F4369" s="2">
        <f>DATEVALUE("30-6-2021")</f>
        <v>44377</v>
      </c>
    </row>
    <row r="4370" spans="1:6" x14ac:dyDescent="0.25">
      <c r="A4370" s="1" t="s">
        <v>1055</v>
      </c>
      <c r="B4370" s="1" t="s">
        <v>1589</v>
      </c>
      <c r="C4370" s="1" t="s">
        <v>22</v>
      </c>
      <c r="D4370" s="3">
        <f>VALUE("8776")</f>
        <v>8776</v>
      </c>
      <c r="E4370" s="2">
        <f>DATEVALUE("1-7-2020")</f>
        <v>44013</v>
      </c>
      <c r="F4370" s="2">
        <f>DATEVALUE("30-6-2021")</f>
        <v>44377</v>
      </c>
    </row>
    <row r="4371" spans="1:6" x14ac:dyDescent="0.25">
      <c r="A4371" s="1" t="s">
        <v>1055</v>
      </c>
      <c r="B4371" s="1" t="s">
        <v>1589</v>
      </c>
      <c r="C4371" s="1" t="s">
        <v>73</v>
      </c>
      <c r="D4371" s="3">
        <f>VALUE("8776")</f>
        <v>8776</v>
      </c>
      <c r="E4371" s="2">
        <f>DATEVALUE("1-7-2020")</f>
        <v>44013</v>
      </c>
      <c r="F4371" s="2">
        <f>DATEVALUE("30-6-2021")</f>
        <v>44377</v>
      </c>
    </row>
    <row r="4372" spans="1:6" x14ac:dyDescent="0.25">
      <c r="A4372" s="1" t="s">
        <v>1055</v>
      </c>
      <c r="B4372" s="1" t="s">
        <v>1589</v>
      </c>
      <c r="C4372" s="1" t="s">
        <v>34</v>
      </c>
      <c r="D4372" s="3">
        <f>VALUE("8776")</f>
        <v>8776</v>
      </c>
      <c r="E4372" s="2">
        <f>DATEVALUE("1-7-2020")</f>
        <v>44013</v>
      </c>
      <c r="F4372" s="2">
        <f>DATEVALUE("30-6-2021")</f>
        <v>44377</v>
      </c>
    </row>
    <row r="4373" spans="1:6" x14ac:dyDescent="0.25">
      <c r="A4373" s="1" t="s">
        <v>1055</v>
      </c>
      <c r="B4373" s="1" t="s">
        <v>1453</v>
      </c>
      <c r="C4373" s="1" t="s">
        <v>14</v>
      </c>
      <c r="D4373" s="3">
        <f t="shared" ref="D4373:D4382" si="646">VALUE("8664")</f>
        <v>8664</v>
      </c>
      <c r="E4373" s="2">
        <f t="shared" ref="E4373:E4382" si="647">DATEVALUE("1-3-2020")</f>
        <v>43891</v>
      </c>
      <c r="F4373" s="2">
        <f t="shared" ref="F4373:F4382" si="648">DATEVALUE("28-2-2021")</f>
        <v>44255</v>
      </c>
    </row>
    <row r="4374" spans="1:6" x14ac:dyDescent="0.25">
      <c r="A4374" s="1" t="s">
        <v>1055</v>
      </c>
      <c r="B4374" s="1" t="s">
        <v>1453</v>
      </c>
      <c r="C4374" s="1" t="s">
        <v>290</v>
      </c>
      <c r="D4374" s="3">
        <f t="shared" si="646"/>
        <v>8664</v>
      </c>
      <c r="E4374" s="2">
        <f t="shared" si="647"/>
        <v>43891</v>
      </c>
      <c r="F4374" s="2">
        <f t="shared" si="648"/>
        <v>44255</v>
      </c>
    </row>
    <row r="4375" spans="1:6" x14ac:dyDescent="0.25">
      <c r="A4375" s="1" t="s">
        <v>1055</v>
      </c>
      <c r="B4375" s="1" t="s">
        <v>1453</v>
      </c>
      <c r="C4375" s="1" t="s">
        <v>88</v>
      </c>
      <c r="D4375" s="3">
        <f t="shared" si="646"/>
        <v>8664</v>
      </c>
      <c r="E4375" s="2">
        <f t="shared" si="647"/>
        <v>43891</v>
      </c>
      <c r="F4375" s="2">
        <f t="shared" si="648"/>
        <v>44255</v>
      </c>
    </row>
    <row r="4376" spans="1:6" x14ac:dyDescent="0.25">
      <c r="A4376" s="1" t="s">
        <v>1055</v>
      </c>
      <c r="B4376" s="1" t="s">
        <v>1453</v>
      </c>
      <c r="C4376" s="1" t="s">
        <v>17</v>
      </c>
      <c r="D4376" s="3">
        <f t="shared" si="646"/>
        <v>8664</v>
      </c>
      <c r="E4376" s="2">
        <f t="shared" si="647"/>
        <v>43891</v>
      </c>
      <c r="F4376" s="2">
        <f t="shared" si="648"/>
        <v>44255</v>
      </c>
    </row>
    <row r="4377" spans="1:6" x14ac:dyDescent="0.25">
      <c r="A4377" s="1" t="s">
        <v>1055</v>
      </c>
      <c r="B4377" s="1" t="s">
        <v>1453</v>
      </c>
      <c r="C4377" s="1" t="s">
        <v>22</v>
      </c>
      <c r="D4377" s="3">
        <f t="shared" si="646"/>
        <v>8664</v>
      </c>
      <c r="E4377" s="2">
        <f t="shared" si="647"/>
        <v>43891</v>
      </c>
      <c r="F4377" s="2">
        <f t="shared" si="648"/>
        <v>44255</v>
      </c>
    </row>
    <row r="4378" spans="1:6" x14ac:dyDescent="0.25">
      <c r="A4378" s="1" t="s">
        <v>1055</v>
      </c>
      <c r="B4378" s="1" t="s">
        <v>1453</v>
      </c>
      <c r="C4378" s="1" t="s">
        <v>146</v>
      </c>
      <c r="D4378" s="3">
        <f t="shared" si="646"/>
        <v>8664</v>
      </c>
      <c r="E4378" s="2">
        <f t="shared" si="647"/>
        <v>43891</v>
      </c>
      <c r="F4378" s="2">
        <f t="shared" si="648"/>
        <v>44255</v>
      </c>
    </row>
    <row r="4379" spans="1:6" x14ac:dyDescent="0.25">
      <c r="A4379" s="1" t="s">
        <v>1055</v>
      </c>
      <c r="B4379" s="1" t="s">
        <v>1453</v>
      </c>
      <c r="C4379" s="1" t="s">
        <v>67</v>
      </c>
      <c r="D4379" s="3">
        <f t="shared" si="646"/>
        <v>8664</v>
      </c>
      <c r="E4379" s="2">
        <f t="shared" si="647"/>
        <v>43891</v>
      </c>
      <c r="F4379" s="2">
        <f t="shared" si="648"/>
        <v>44255</v>
      </c>
    </row>
    <row r="4380" spans="1:6" x14ac:dyDescent="0.25">
      <c r="A4380" s="1" t="s">
        <v>1055</v>
      </c>
      <c r="B4380" s="1" t="s">
        <v>1453</v>
      </c>
      <c r="C4380" s="1" t="s">
        <v>155</v>
      </c>
      <c r="D4380" s="3">
        <f t="shared" si="646"/>
        <v>8664</v>
      </c>
      <c r="E4380" s="2">
        <f t="shared" si="647"/>
        <v>43891</v>
      </c>
      <c r="F4380" s="2">
        <f t="shared" si="648"/>
        <v>44255</v>
      </c>
    </row>
    <row r="4381" spans="1:6" x14ac:dyDescent="0.25">
      <c r="A4381" s="1" t="s">
        <v>1055</v>
      </c>
      <c r="B4381" s="1" t="s">
        <v>1453</v>
      </c>
      <c r="C4381" s="1" t="s">
        <v>162</v>
      </c>
      <c r="D4381" s="3">
        <f t="shared" si="646"/>
        <v>8664</v>
      </c>
      <c r="E4381" s="2">
        <f t="shared" si="647"/>
        <v>43891</v>
      </c>
      <c r="F4381" s="2">
        <f t="shared" si="648"/>
        <v>44255</v>
      </c>
    </row>
    <row r="4382" spans="1:6" x14ac:dyDescent="0.25">
      <c r="A4382" s="1" t="s">
        <v>1055</v>
      </c>
      <c r="B4382" s="1" t="s">
        <v>1453</v>
      </c>
      <c r="C4382" s="1" t="s">
        <v>34</v>
      </c>
      <c r="D4382" s="3">
        <f t="shared" si="646"/>
        <v>8664</v>
      </c>
      <c r="E4382" s="2">
        <f t="shared" si="647"/>
        <v>43891</v>
      </c>
      <c r="F4382" s="2">
        <f t="shared" si="648"/>
        <v>44255</v>
      </c>
    </row>
    <row r="4383" spans="1:6" x14ac:dyDescent="0.25">
      <c r="A4383" s="1" t="s">
        <v>1055</v>
      </c>
      <c r="B4383" s="1" t="s">
        <v>1426</v>
      </c>
      <c r="C4383" s="1" t="s">
        <v>221</v>
      </c>
      <c r="D4383" s="3">
        <f>VALUE("8641")</f>
        <v>8641</v>
      </c>
      <c r="E4383" s="2">
        <f>DATEVALUE("1-1-2020")</f>
        <v>43831</v>
      </c>
      <c r="F4383" s="2">
        <f>DATEVALUE("31-12-2020")</f>
        <v>44196</v>
      </c>
    </row>
    <row r="4384" spans="1:6" x14ac:dyDescent="0.25">
      <c r="A4384" s="1" t="s">
        <v>1055</v>
      </c>
      <c r="B4384" s="1" t="s">
        <v>1823</v>
      </c>
      <c r="C4384" s="1" t="s">
        <v>14</v>
      </c>
      <c r="D4384" s="3">
        <f>VALUE("8625")</f>
        <v>8625</v>
      </c>
      <c r="E4384" s="2">
        <f>DATEVALUE("1-11-2019")</f>
        <v>43770</v>
      </c>
      <c r="F4384" s="2">
        <f>DATEVALUE("31-3-2020")</f>
        <v>43921</v>
      </c>
    </row>
    <row r="4385" spans="1:6" x14ac:dyDescent="0.25">
      <c r="A4385" s="1" t="s">
        <v>1055</v>
      </c>
      <c r="B4385" s="1" t="s">
        <v>1823</v>
      </c>
      <c r="C4385" s="1" t="s">
        <v>17</v>
      </c>
      <c r="D4385" s="3">
        <f>VALUE("8625")</f>
        <v>8625</v>
      </c>
      <c r="E4385" s="2">
        <f>DATEVALUE("1-11-2019")</f>
        <v>43770</v>
      </c>
      <c r="F4385" s="2">
        <f>DATEVALUE("31-3-2020")</f>
        <v>43921</v>
      </c>
    </row>
    <row r="4386" spans="1:6" x14ac:dyDescent="0.25">
      <c r="A4386" s="1" t="s">
        <v>1055</v>
      </c>
      <c r="B4386" s="1" t="s">
        <v>1823</v>
      </c>
      <c r="C4386" s="1" t="s">
        <v>24</v>
      </c>
      <c r="D4386" s="3">
        <f>VALUE("8625")</f>
        <v>8625</v>
      </c>
      <c r="E4386" s="2">
        <f>DATEVALUE("1-11-2019")</f>
        <v>43770</v>
      </c>
      <c r="F4386" s="2">
        <f>DATEVALUE("31-3-2020")</f>
        <v>43921</v>
      </c>
    </row>
    <row r="4387" spans="1:6" x14ac:dyDescent="0.25">
      <c r="A4387" s="1" t="s">
        <v>1055</v>
      </c>
      <c r="B4387" s="1" t="s">
        <v>1823</v>
      </c>
      <c r="C4387" s="1" t="s">
        <v>34</v>
      </c>
      <c r="D4387" s="3">
        <f>VALUE("8625")</f>
        <v>8625</v>
      </c>
      <c r="E4387" s="2">
        <f>DATEVALUE("1-11-2019")</f>
        <v>43770</v>
      </c>
      <c r="F4387" s="2">
        <f>DATEVALUE("31-3-2020")</f>
        <v>43921</v>
      </c>
    </row>
    <row r="4388" spans="1:6" x14ac:dyDescent="0.25">
      <c r="A4388" s="1" t="s">
        <v>1055</v>
      </c>
      <c r="B4388" s="1" t="s">
        <v>1283</v>
      </c>
      <c r="C4388" s="1" t="s">
        <v>16</v>
      </c>
      <c r="D4388" s="3">
        <f>VALUE("8540")</f>
        <v>8540</v>
      </c>
      <c r="E4388" s="2">
        <f>DATEVALUE("1-7-2019")</f>
        <v>43647</v>
      </c>
      <c r="F4388" s="2">
        <f>DATEVALUE("31-1-2021")</f>
        <v>44227</v>
      </c>
    </row>
    <row r="4389" spans="1:6" x14ac:dyDescent="0.25">
      <c r="A4389" s="1" t="s">
        <v>1055</v>
      </c>
      <c r="B4389" s="1" t="s">
        <v>1283</v>
      </c>
      <c r="C4389" s="1" t="s">
        <v>48</v>
      </c>
      <c r="D4389" s="3">
        <f>VALUE("8540")</f>
        <v>8540</v>
      </c>
      <c r="E4389" s="2">
        <f>DATEVALUE("1-7-2019")</f>
        <v>43647</v>
      </c>
      <c r="F4389" s="2">
        <f>DATEVALUE("31-1-2021")</f>
        <v>44227</v>
      </c>
    </row>
    <row r="4390" spans="1:6" x14ac:dyDescent="0.25">
      <c r="A4390" s="1" t="s">
        <v>1055</v>
      </c>
      <c r="B4390" s="1" t="s">
        <v>1283</v>
      </c>
      <c r="C4390" s="1" t="s">
        <v>53</v>
      </c>
      <c r="D4390" s="3">
        <f>VALUE("8540")</f>
        <v>8540</v>
      </c>
      <c r="E4390" s="2">
        <f>DATEVALUE("1-7-2019")</f>
        <v>43647</v>
      </c>
      <c r="F4390" s="2">
        <f>DATEVALUE("31-1-2021")</f>
        <v>44227</v>
      </c>
    </row>
    <row r="4391" spans="1:6" x14ac:dyDescent="0.25">
      <c r="A4391" s="1" t="s">
        <v>1055</v>
      </c>
      <c r="B4391" s="1" t="s">
        <v>1283</v>
      </c>
      <c r="C4391" s="1" t="s">
        <v>890</v>
      </c>
      <c r="D4391" s="3">
        <f>VALUE("8540")</f>
        <v>8540</v>
      </c>
      <c r="E4391" s="2">
        <f>DATEVALUE("1-7-2019")</f>
        <v>43647</v>
      </c>
      <c r="F4391" s="2">
        <f>DATEVALUE("31-1-2021")</f>
        <v>44227</v>
      </c>
    </row>
    <row r="4392" spans="1:6" x14ac:dyDescent="0.25">
      <c r="A4392" s="1" t="s">
        <v>1055</v>
      </c>
      <c r="B4392" s="1" t="s">
        <v>1054</v>
      </c>
      <c r="C4392" s="1" t="s">
        <v>14</v>
      </c>
      <c r="D4392" s="3">
        <f t="shared" ref="D4392:D4397" si="649">VALUE("8423")</f>
        <v>8423</v>
      </c>
      <c r="E4392" s="2">
        <f t="shared" ref="E4392:E4397" si="650">DATEVALUE("1-3-2019")</f>
        <v>43525</v>
      </c>
      <c r="F4392" s="2">
        <f t="shared" ref="F4392:F4397" si="651">DATEVALUE("31-12-2020")</f>
        <v>44196</v>
      </c>
    </row>
    <row r="4393" spans="1:6" x14ac:dyDescent="0.25">
      <c r="A4393" s="1" t="s">
        <v>1055</v>
      </c>
      <c r="B4393" s="1" t="s">
        <v>1054</v>
      </c>
      <c r="C4393" s="1" t="s">
        <v>17</v>
      </c>
      <c r="D4393" s="3">
        <f t="shared" si="649"/>
        <v>8423</v>
      </c>
      <c r="E4393" s="2">
        <f t="shared" si="650"/>
        <v>43525</v>
      </c>
      <c r="F4393" s="2">
        <f t="shared" si="651"/>
        <v>44196</v>
      </c>
    </row>
    <row r="4394" spans="1:6" x14ac:dyDescent="0.25">
      <c r="A4394" s="1" t="s">
        <v>1055</v>
      </c>
      <c r="B4394" s="1" t="s">
        <v>1054</v>
      </c>
      <c r="C4394" s="1" t="s">
        <v>1056</v>
      </c>
      <c r="D4394" s="3">
        <f t="shared" si="649"/>
        <v>8423</v>
      </c>
      <c r="E4394" s="2">
        <f t="shared" si="650"/>
        <v>43525</v>
      </c>
      <c r="F4394" s="2">
        <f t="shared" si="651"/>
        <v>44196</v>
      </c>
    </row>
    <row r="4395" spans="1:6" x14ac:dyDescent="0.25">
      <c r="A4395" s="1" t="s">
        <v>1055</v>
      </c>
      <c r="B4395" s="1" t="s">
        <v>1054</v>
      </c>
      <c r="C4395" s="1" t="s">
        <v>24</v>
      </c>
      <c r="D4395" s="3">
        <f t="shared" si="649"/>
        <v>8423</v>
      </c>
      <c r="E4395" s="2">
        <f t="shared" si="650"/>
        <v>43525</v>
      </c>
      <c r="F4395" s="2">
        <f t="shared" si="651"/>
        <v>44196</v>
      </c>
    </row>
    <row r="4396" spans="1:6" x14ac:dyDescent="0.25">
      <c r="A4396" s="1" t="s">
        <v>1055</v>
      </c>
      <c r="B4396" s="1" t="s">
        <v>1054</v>
      </c>
      <c r="C4396" s="1" t="s">
        <v>378</v>
      </c>
      <c r="D4396" s="3">
        <f t="shared" si="649"/>
        <v>8423</v>
      </c>
      <c r="E4396" s="2">
        <f t="shared" si="650"/>
        <v>43525</v>
      </c>
      <c r="F4396" s="2">
        <f t="shared" si="651"/>
        <v>44196</v>
      </c>
    </row>
    <row r="4397" spans="1:6" x14ac:dyDescent="0.25">
      <c r="A4397" s="1" t="s">
        <v>1055</v>
      </c>
      <c r="B4397" s="1" t="s">
        <v>1054</v>
      </c>
      <c r="C4397" s="1" t="s">
        <v>34</v>
      </c>
      <c r="D4397" s="3">
        <f t="shared" si="649"/>
        <v>8423</v>
      </c>
      <c r="E4397" s="2">
        <f t="shared" si="650"/>
        <v>43525</v>
      </c>
      <c r="F4397" s="2">
        <f t="shared" si="651"/>
        <v>44196</v>
      </c>
    </row>
    <row r="4398" spans="1:6" x14ac:dyDescent="0.25">
      <c r="A4398" s="1" t="s">
        <v>1055</v>
      </c>
      <c r="B4398" s="1" t="s">
        <v>2708</v>
      </c>
      <c r="C4398" s="1" t="s">
        <v>46</v>
      </c>
      <c r="D4398" s="3">
        <f>VALUE("7442")</f>
        <v>7442</v>
      </c>
      <c r="E4398" s="2">
        <f>DATEVALUE("1-12-2012")</f>
        <v>41244</v>
      </c>
      <c r="F4398" s="2">
        <f>DATEVALUE("31-7-2013")</f>
        <v>41486</v>
      </c>
    </row>
    <row r="4399" spans="1:6" x14ac:dyDescent="0.25">
      <c r="A4399" s="1" t="s">
        <v>1055</v>
      </c>
      <c r="B4399" s="1" t="s">
        <v>2708</v>
      </c>
      <c r="C4399" s="1" t="s">
        <v>148</v>
      </c>
      <c r="D4399" s="3">
        <f>VALUE("7442")</f>
        <v>7442</v>
      </c>
      <c r="E4399" s="2">
        <f>DATEVALUE("1-12-2012")</f>
        <v>41244</v>
      </c>
      <c r="F4399" s="2">
        <f>DATEVALUE("31-7-2013")</f>
        <v>41486</v>
      </c>
    </row>
    <row r="4400" spans="1:6" x14ac:dyDescent="0.25">
      <c r="A4400" s="1" t="s">
        <v>1055</v>
      </c>
      <c r="B4400" s="1" t="s">
        <v>2708</v>
      </c>
      <c r="C4400" s="1" t="s">
        <v>149</v>
      </c>
      <c r="D4400" s="3">
        <f>VALUE("7442")</f>
        <v>7442</v>
      </c>
      <c r="E4400" s="2">
        <f>DATEVALUE("1-12-2012")</f>
        <v>41244</v>
      </c>
      <c r="F4400" s="2">
        <f>DATEVALUE("31-7-2013")</f>
        <v>41486</v>
      </c>
    </row>
    <row r="4401" spans="1:6" x14ac:dyDescent="0.25">
      <c r="A4401" s="1" t="s">
        <v>1055</v>
      </c>
      <c r="B4401" s="1" t="s">
        <v>2708</v>
      </c>
      <c r="C4401" s="1" t="s">
        <v>48</v>
      </c>
      <c r="D4401" s="3">
        <f>VALUE("7442")</f>
        <v>7442</v>
      </c>
      <c r="E4401" s="2">
        <f>DATEVALUE("1-12-2012")</f>
        <v>41244</v>
      </c>
      <c r="F4401" s="2">
        <f>DATEVALUE("31-7-2013")</f>
        <v>41486</v>
      </c>
    </row>
    <row r="4402" spans="1:6" x14ac:dyDescent="0.25">
      <c r="A4402" s="1" t="s">
        <v>1055</v>
      </c>
      <c r="B4402" s="1" t="s">
        <v>2601</v>
      </c>
      <c r="C4402" s="1" t="s">
        <v>102</v>
      </c>
      <c r="D4402" s="3">
        <f>VALUE("7192")</f>
        <v>7192</v>
      </c>
      <c r="E4402" s="2">
        <f>DATEVALUE("1-5-2011")</f>
        <v>40664</v>
      </c>
      <c r="F4402" s="2">
        <f>DATEVALUE("30-6-2013")</f>
        <v>41455</v>
      </c>
    </row>
    <row r="4403" spans="1:6" x14ac:dyDescent="0.25">
      <c r="A4403" s="1" t="s">
        <v>1055</v>
      </c>
      <c r="B4403" s="1" t="s">
        <v>2601</v>
      </c>
      <c r="C4403" s="1" t="s">
        <v>103</v>
      </c>
      <c r="D4403" s="3">
        <f>VALUE("7192")</f>
        <v>7192</v>
      </c>
      <c r="E4403" s="2">
        <f>DATEVALUE("1-5-2011")</f>
        <v>40664</v>
      </c>
      <c r="F4403" s="2">
        <f>DATEVALUE("30-6-2013")</f>
        <v>41455</v>
      </c>
    </row>
    <row r="4404" spans="1:6" x14ac:dyDescent="0.25">
      <c r="A4404" s="1" t="s">
        <v>1055</v>
      </c>
      <c r="B4404" s="1" t="s">
        <v>2227</v>
      </c>
      <c r="C4404" s="1" t="s">
        <v>172</v>
      </c>
      <c r="D4404" s="3">
        <f>VALUE("1061")</f>
        <v>1061</v>
      </c>
      <c r="E4404" s="2">
        <f>DATEVALUE("1-7-2008")</f>
        <v>39630</v>
      </c>
      <c r="F4404" s="2">
        <f>DATEVALUE("31-12-2011")</f>
        <v>40908</v>
      </c>
    </row>
    <row r="4405" spans="1:6" x14ac:dyDescent="0.25">
      <c r="A4405" s="1" t="s">
        <v>1406</v>
      </c>
      <c r="B4405" s="1" t="s">
        <v>1405</v>
      </c>
      <c r="C4405" s="1" t="s">
        <v>1407</v>
      </c>
      <c r="D4405" s="3">
        <f t="shared" ref="D4405:D4425" si="652">VALUE("8628")</f>
        <v>8628</v>
      </c>
      <c r="E4405" s="2">
        <f t="shared" ref="E4405:E4425" si="653">DATEVALUE("1-11-2019")</f>
        <v>43770</v>
      </c>
      <c r="F4405" s="2">
        <f t="shared" ref="F4405:F4425" si="654">DATEVALUE("31-3-2022")</f>
        <v>44651</v>
      </c>
    </row>
    <row r="4406" spans="1:6" x14ac:dyDescent="0.25">
      <c r="A4406" s="1" t="s">
        <v>1406</v>
      </c>
      <c r="B4406" s="1" t="s">
        <v>1405</v>
      </c>
      <c r="C4406" s="1" t="s">
        <v>7</v>
      </c>
      <c r="D4406" s="3">
        <f t="shared" si="652"/>
        <v>8628</v>
      </c>
      <c r="E4406" s="2">
        <f t="shared" si="653"/>
        <v>43770</v>
      </c>
      <c r="F4406" s="2">
        <f t="shared" si="654"/>
        <v>44651</v>
      </c>
    </row>
    <row r="4407" spans="1:6" x14ac:dyDescent="0.25">
      <c r="A4407" s="1" t="s">
        <v>1406</v>
      </c>
      <c r="B4407" s="1" t="s">
        <v>1405</v>
      </c>
      <c r="C4407" s="1" t="s">
        <v>6</v>
      </c>
      <c r="D4407" s="3">
        <f t="shared" si="652"/>
        <v>8628</v>
      </c>
      <c r="E4407" s="2">
        <f t="shared" si="653"/>
        <v>43770</v>
      </c>
      <c r="F4407" s="2">
        <f t="shared" si="654"/>
        <v>44651</v>
      </c>
    </row>
    <row r="4408" spans="1:6" x14ac:dyDescent="0.25">
      <c r="A4408" s="1" t="s">
        <v>1406</v>
      </c>
      <c r="B4408" s="1" t="s">
        <v>1405</v>
      </c>
      <c r="C4408" s="1" t="s">
        <v>219</v>
      </c>
      <c r="D4408" s="3">
        <f t="shared" si="652"/>
        <v>8628</v>
      </c>
      <c r="E4408" s="2">
        <f t="shared" si="653"/>
        <v>43770</v>
      </c>
      <c r="F4408" s="2">
        <f t="shared" si="654"/>
        <v>44651</v>
      </c>
    </row>
    <row r="4409" spans="1:6" x14ac:dyDescent="0.25">
      <c r="A4409" s="1" t="s">
        <v>1406</v>
      </c>
      <c r="B4409" s="1" t="s">
        <v>1405</v>
      </c>
      <c r="C4409" s="1" t="s">
        <v>192</v>
      </c>
      <c r="D4409" s="3">
        <f t="shared" si="652"/>
        <v>8628</v>
      </c>
      <c r="E4409" s="2">
        <f t="shared" si="653"/>
        <v>43770</v>
      </c>
      <c r="F4409" s="2">
        <f t="shared" si="654"/>
        <v>44651</v>
      </c>
    </row>
    <row r="4410" spans="1:6" x14ac:dyDescent="0.25">
      <c r="A4410" s="1" t="s">
        <v>1406</v>
      </c>
      <c r="B4410" s="1" t="s">
        <v>1405</v>
      </c>
      <c r="C4410" s="1" t="s">
        <v>599</v>
      </c>
      <c r="D4410" s="3">
        <f t="shared" si="652"/>
        <v>8628</v>
      </c>
      <c r="E4410" s="2">
        <f t="shared" si="653"/>
        <v>43770</v>
      </c>
      <c r="F4410" s="2">
        <f t="shared" si="654"/>
        <v>44651</v>
      </c>
    </row>
    <row r="4411" spans="1:6" x14ac:dyDescent="0.25">
      <c r="A4411" s="1" t="s">
        <v>1406</v>
      </c>
      <c r="B4411" s="1" t="s">
        <v>1405</v>
      </c>
      <c r="C4411" s="1" t="s">
        <v>13</v>
      </c>
      <c r="D4411" s="3">
        <f t="shared" si="652"/>
        <v>8628</v>
      </c>
      <c r="E4411" s="2">
        <f t="shared" si="653"/>
        <v>43770</v>
      </c>
      <c r="F4411" s="2">
        <f t="shared" si="654"/>
        <v>44651</v>
      </c>
    </row>
    <row r="4412" spans="1:6" x14ac:dyDescent="0.25">
      <c r="A4412" s="1" t="s">
        <v>1406</v>
      </c>
      <c r="B4412" s="1" t="s">
        <v>1405</v>
      </c>
      <c r="C4412" s="1" t="s">
        <v>1408</v>
      </c>
      <c r="D4412" s="3">
        <f t="shared" si="652"/>
        <v>8628</v>
      </c>
      <c r="E4412" s="2">
        <f t="shared" si="653"/>
        <v>43770</v>
      </c>
      <c r="F4412" s="2">
        <f t="shared" si="654"/>
        <v>44651</v>
      </c>
    </row>
    <row r="4413" spans="1:6" x14ac:dyDescent="0.25">
      <c r="A4413" s="1" t="s">
        <v>1406</v>
      </c>
      <c r="B4413" s="1" t="s">
        <v>1405</v>
      </c>
      <c r="C4413" s="1" t="s">
        <v>1409</v>
      </c>
      <c r="D4413" s="3">
        <f t="shared" si="652"/>
        <v>8628</v>
      </c>
      <c r="E4413" s="2">
        <f t="shared" si="653"/>
        <v>43770</v>
      </c>
      <c r="F4413" s="2">
        <f t="shared" si="654"/>
        <v>44651</v>
      </c>
    </row>
    <row r="4414" spans="1:6" x14ac:dyDescent="0.25">
      <c r="A4414" s="1" t="s">
        <v>1406</v>
      </c>
      <c r="B4414" s="1" t="s">
        <v>1405</v>
      </c>
      <c r="C4414" s="1" t="s">
        <v>1410</v>
      </c>
      <c r="D4414" s="3">
        <f t="shared" si="652"/>
        <v>8628</v>
      </c>
      <c r="E4414" s="2">
        <f t="shared" si="653"/>
        <v>43770</v>
      </c>
      <c r="F4414" s="2">
        <f t="shared" si="654"/>
        <v>44651</v>
      </c>
    </row>
    <row r="4415" spans="1:6" x14ac:dyDescent="0.25">
      <c r="A4415" s="1" t="s">
        <v>1406</v>
      </c>
      <c r="B4415" s="1" t="s">
        <v>1405</v>
      </c>
      <c r="C4415" s="1" t="s">
        <v>1411</v>
      </c>
      <c r="D4415" s="3">
        <f t="shared" si="652"/>
        <v>8628</v>
      </c>
      <c r="E4415" s="2">
        <f t="shared" si="653"/>
        <v>43770</v>
      </c>
      <c r="F4415" s="2">
        <f t="shared" si="654"/>
        <v>44651</v>
      </c>
    </row>
    <row r="4416" spans="1:6" x14ac:dyDescent="0.25">
      <c r="A4416" s="1" t="s">
        <v>1406</v>
      </c>
      <c r="B4416" s="1" t="s">
        <v>1405</v>
      </c>
      <c r="C4416" s="1" t="s">
        <v>1412</v>
      </c>
      <c r="D4416" s="3">
        <f t="shared" si="652"/>
        <v>8628</v>
      </c>
      <c r="E4416" s="2">
        <f t="shared" si="653"/>
        <v>43770</v>
      </c>
      <c r="F4416" s="2">
        <f t="shared" si="654"/>
        <v>44651</v>
      </c>
    </row>
    <row r="4417" spans="1:6" x14ac:dyDescent="0.25">
      <c r="A4417" s="1" t="s">
        <v>1406</v>
      </c>
      <c r="B4417" s="1" t="s">
        <v>1405</v>
      </c>
      <c r="C4417" s="1" t="s">
        <v>1413</v>
      </c>
      <c r="D4417" s="3">
        <f t="shared" si="652"/>
        <v>8628</v>
      </c>
      <c r="E4417" s="2">
        <f t="shared" si="653"/>
        <v>43770</v>
      </c>
      <c r="F4417" s="2">
        <f t="shared" si="654"/>
        <v>44651</v>
      </c>
    </row>
    <row r="4418" spans="1:6" x14ac:dyDescent="0.25">
      <c r="A4418" s="1" t="s">
        <v>1406</v>
      </c>
      <c r="B4418" s="1" t="s">
        <v>1405</v>
      </c>
      <c r="C4418" s="1" t="s">
        <v>832</v>
      </c>
      <c r="D4418" s="3">
        <f t="shared" si="652"/>
        <v>8628</v>
      </c>
      <c r="E4418" s="2">
        <f t="shared" si="653"/>
        <v>43770</v>
      </c>
      <c r="F4418" s="2">
        <f t="shared" si="654"/>
        <v>44651</v>
      </c>
    </row>
    <row r="4419" spans="1:6" x14ac:dyDescent="0.25">
      <c r="A4419" s="1" t="s">
        <v>1406</v>
      </c>
      <c r="B4419" s="1" t="s">
        <v>1405</v>
      </c>
      <c r="C4419" s="1" t="s">
        <v>220</v>
      </c>
      <c r="D4419" s="3">
        <f t="shared" si="652"/>
        <v>8628</v>
      </c>
      <c r="E4419" s="2">
        <f t="shared" si="653"/>
        <v>43770</v>
      </c>
      <c r="F4419" s="2">
        <f t="shared" si="654"/>
        <v>44651</v>
      </c>
    </row>
    <row r="4420" spans="1:6" x14ac:dyDescent="0.25">
      <c r="A4420" s="1" t="s">
        <v>1406</v>
      </c>
      <c r="B4420" s="1" t="s">
        <v>1405</v>
      </c>
      <c r="C4420" s="1" t="s">
        <v>222</v>
      </c>
      <c r="D4420" s="3">
        <f t="shared" si="652"/>
        <v>8628</v>
      </c>
      <c r="E4420" s="2">
        <f t="shared" si="653"/>
        <v>43770</v>
      </c>
      <c r="F4420" s="2">
        <f t="shared" si="654"/>
        <v>44651</v>
      </c>
    </row>
    <row r="4421" spans="1:6" x14ac:dyDescent="0.25">
      <c r="A4421" s="1" t="s">
        <v>1406</v>
      </c>
      <c r="B4421" s="1" t="s">
        <v>1405</v>
      </c>
      <c r="C4421" s="1" t="s">
        <v>212</v>
      </c>
      <c r="D4421" s="3">
        <f t="shared" si="652"/>
        <v>8628</v>
      </c>
      <c r="E4421" s="2">
        <f t="shared" si="653"/>
        <v>43770</v>
      </c>
      <c r="F4421" s="2">
        <f t="shared" si="654"/>
        <v>44651</v>
      </c>
    </row>
    <row r="4422" spans="1:6" x14ac:dyDescent="0.25">
      <c r="A4422" s="1" t="s">
        <v>1406</v>
      </c>
      <c r="B4422" s="1" t="s">
        <v>1405</v>
      </c>
      <c r="C4422" s="1" t="s">
        <v>194</v>
      </c>
      <c r="D4422" s="3">
        <f t="shared" si="652"/>
        <v>8628</v>
      </c>
      <c r="E4422" s="2">
        <f t="shared" si="653"/>
        <v>43770</v>
      </c>
      <c r="F4422" s="2">
        <f t="shared" si="654"/>
        <v>44651</v>
      </c>
    </row>
    <row r="4423" spans="1:6" x14ac:dyDescent="0.25">
      <c r="A4423" s="1" t="s">
        <v>1406</v>
      </c>
      <c r="B4423" s="1" t="s">
        <v>1405</v>
      </c>
      <c r="C4423" s="1" t="s">
        <v>72</v>
      </c>
      <c r="D4423" s="3">
        <f t="shared" si="652"/>
        <v>8628</v>
      </c>
      <c r="E4423" s="2">
        <f t="shared" si="653"/>
        <v>43770</v>
      </c>
      <c r="F4423" s="2">
        <f t="shared" si="654"/>
        <v>44651</v>
      </c>
    </row>
    <row r="4424" spans="1:6" x14ac:dyDescent="0.25">
      <c r="A4424" s="1" t="s">
        <v>1406</v>
      </c>
      <c r="B4424" s="1" t="s">
        <v>1405</v>
      </c>
      <c r="C4424" s="1" t="s">
        <v>31</v>
      </c>
      <c r="D4424" s="3">
        <f t="shared" si="652"/>
        <v>8628</v>
      </c>
      <c r="E4424" s="2">
        <f t="shared" si="653"/>
        <v>43770</v>
      </c>
      <c r="F4424" s="2">
        <f t="shared" si="654"/>
        <v>44651</v>
      </c>
    </row>
    <row r="4425" spans="1:6" x14ac:dyDescent="0.25">
      <c r="A4425" s="1" t="s">
        <v>1406</v>
      </c>
      <c r="B4425" s="1" t="s">
        <v>1405</v>
      </c>
      <c r="C4425" s="1" t="s">
        <v>52</v>
      </c>
      <c r="D4425" s="3">
        <f t="shared" si="652"/>
        <v>8628</v>
      </c>
      <c r="E4425" s="2">
        <f t="shared" si="653"/>
        <v>43770</v>
      </c>
      <c r="F4425" s="2">
        <f t="shared" si="654"/>
        <v>44651</v>
      </c>
    </row>
    <row r="4426" spans="1:6" x14ac:dyDescent="0.25">
      <c r="A4426" s="1" t="s">
        <v>1406</v>
      </c>
      <c r="B4426" s="1" t="s">
        <v>2391</v>
      </c>
      <c r="C4426" s="1" t="s">
        <v>219</v>
      </c>
      <c r="D4426" s="3">
        <f t="shared" ref="D4426:D4444" si="655">VALUE("8350")</f>
        <v>8350</v>
      </c>
      <c r="E4426" s="2">
        <f t="shared" ref="E4426:E4444" si="656">DATEVALUE("1-8-2018")</f>
        <v>43313</v>
      </c>
      <c r="F4426" s="2">
        <f t="shared" ref="F4426:F4444" si="657">DATEVALUE("31-12-2018")</f>
        <v>43465</v>
      </c>
    </row>
    <row r="4427" spans="1:6" x14ac:dyDescent="0.25">
      <c r="A4427" s="1" t="s">
        <v>1406</v>
      </c>
      <c r="B4427" s="1" t="s">
        <v>2391</v>
      </c>
      <c r="C4427" s="1" t="s">
        <v>599</v>
      </c>
      <c r="D4427" s="3">
        <f t="shared" si="655"/>
        <v>8350</v>
      </c>
      <c r="E4427" s="2">
        <f t="shared" si="656"/>
        <v>43313</v>
      </c>
      <c r="F4427" s="2">
        <f t="shared" si="657"/>
        <v>43465</v>
      </c>
    </row>
    <row r="4428" spans="1:6" x14ac:dyDescent="0.25">
      <c r="A4428" s="1" t="s">
        <v>1406</v>
      </c>
      <c r="B4428" s="1" t="s">
        <v>2391</v>
      </c>
      <c r="C4428" s="1" t="s">
        <v>2336</v>
      </c>
      <c r="D4428" s="3">
        <f t="shared" si="655"/>
        <v>8350</v>
      </c>
      <c r="E4428" s="2">
        <f t="shared" si="656"/>
        <v>43313</v>
      </c>
      <c r="F4428" s="2">
        <f t="shared" si="657"/>
        <v>43465</v>
      </c>
    </row>
    <row r="4429" spans="1:6" x14ac:dyDescent="0.25">
      <c r="A4429" s="1" t="s">
        <v>1406</v>
      </c>
      <c r="B4429" s="1" t="s">
        <v>2391</v>
      </c>
      <c r="C4429" s="1" t="s">
        <v>2337</v>
      </c>
      <c r="D4429" s="3">
        <f t="shared" si="655"/>
        <v>8350</v>
      </c>
      <c r="E4429" s="2">
        <f t="shared" si="656"/>
        <v>43313</v>
      </c>
      <c r="F4429" s="2">
        <f t="shared" si="657"/>
        <v>43465</v>
      </c>
    </row>
    <row r="4430" spans="1:6" x14ac:dyDescent="0.25">
      <c r="A4430" s="1" t="s">
        <v>1406</v>
      </c>
      <c r="B4430" s="1" t="s">
        <v>2391</v>
      </c>
      <c r="C4430" s="1" t="s">
        <v>764</v>
      </c>
      <c r="D4430" s="3">
        <f t="shared" si="655"/>
        <v>8350</v>
      </c>
      <c r="E4430" s="2">
        <f t="shared" si="656"/>
        <v>43313</v>
      </c>
      <c r="F4430" s="2">
        <f t="shared" si="657"/>
        <v>43465</v>
      </c>
    </row>
    <row r="4431" spans="1:6" x14ac:dyDescent="0.25">
      <c r="A4431" s="1" t="s">
        <v>1406</v>
      </c>
      <c r="B4431" s="1" t="s">
        <v>2391</v>
      </c>
      <c r="C4431" s="1" t="s">
        <v>2392</v>
      </c>
      <c r="D4431" s="3">
        <f t="shared" si="655"/>
        <v>8350</v>
      </c>
      <c r="E4431" s="2">
        <f t="shared" si="656"/>
        <v>43313</v>
      </c>
      <c r="F4431" s="2">
        <f t="shared" si="657"/>
        <v>43465</v>
      </c>
    </row>
    <row r="4432" spans="1:6" x14ac:dyDescent="0.25">
      <c r="A4432" s="1" t="s">
        <v>1406</v>
      </c>
      <c r="B4432" s="1" t="s">
        <v>2391</v>
      </c>
      <c r="C4432" s="1" t="s">
        <v>765</v>
      </c>
      <c r="D4432" s="3">
        <f t="shared" si="655"/>
        <v>8350</v>
      </c>
      <c r="E4432" s="2">
        <f t="shared" si="656"/>
        <v>43313</v>
      </c>
      <c r="F4432" s="2">
        <f t="shared" si="657"/>
        <v>43465</v>
      </c>
    </row>
    <row r="4433" spans="1:6" x14ac:dyDescent="0.25">
      <c r="A4433" s="1" t="s">
        <v>1406</v>
      </c>
      <c r="B4433" s="1" t="s">
        <v>2391</v>
      </c>
      <c r="C4433" s="1" t="s">
        <v>2393</v>
      </c>
      <c r="D4433" s="3">
        <f t="shared" si="655"/>
        <v>8350</v>
      </c>
      <c r="E4433" s="2">
        <f t="shared" si="656"/>
        <v>43313</v>
      </c>
      <c r="F4433" s="2">
        <f t="shared" si="657"/>
        <v>43465</v>
      </c>
    </row>
    <row r="4434" spans="1:6" x14ac:dyDescent="0.25">
      <c r="A4434" s="1" t="s">
        <v>1406</v>
      </c>
      <c r="B4434" s="1" t="s">
        <v>2391</v>
      </c>
      <c r="C4434" s="1" t="s">
        <v>1814</v>
      </c>
      <c r="D4434" s="3">
        <f t="shared" si="655"/>
        <v>8350</v>
      </c>
      <c r="E4434" s="2">
        <f t="shared" si="656"/>
        <v>43313</v>
      </c>
      <c r="F4434" s="2">
        <f t="shared" si="657"/>
        <v>43465</v>
      </c>
    </row>
    <row r="4435" spans="1:6" x14ac:dyDescent="0.25">
      <c r="A4435" s="1" t="s">
        <v>1406</v>
      </c>
      <c r="B4435" s="1" t="s">
        <v>2391</v>
      </c>
      <c r="C4435" s="1" t="s">
        <v>1680</v>
      </c>
      <c r="D4435" s="3">
        <f t="shared" si="655"/>
        <v>8350</v>
      </c>
      <c r="E4435" s="2">
        <f t="shared" si="656"/>
        <v>43313</v>
      </c>
      <c r="F4435" s="2">
        <f t="shared" si="657"/>
        <v>43465</v>
      </c>
    </row>
    <row r="4436" spans="1:6" x14ac:dyDescent="0.25">
      <c r="A4436" s="1" t="s">
        <v>1406</v>
      </c>
      <c r="B4436" s="1" t="s">
        <v>2391</v>
      </c>
      <c r="C4436" s="1" t="s">
        <v>1681</v>
      </c>
      <c r="D4436" s="3">
        <f t="shared" si="655"/>
        <v>8350</v>
      </c>
      <c r="E4436" s="2">
        <f t="shared" si="656"/>
        <v>43313</v>
      </c>
      <c r="F4436" s="2">
        <f t="shared" si="657"/>
        <v>43465</v>
      </c>
    </row>
    <row r="4437" spans="1:6" x14ac:dyDescent="0.25">
      <c r="A4437" s="1" t="s">
        <v>1406</v>
      </c>
      <c r="B4437" s="1" t="s">
        <v>2391</v>
      </c>
      <c r="C4437" s="1" t="s">
        <v>1682</v>
      </c>
      <c r="D4437" s="3">
        <f t="shared" si="655"/>
        <v>8350</v>
      </c>
      <c r="E4437" s="2">
        <f t="shared" si="656"/>
        <v>43313</v>
      </c>
      <c r="F4437" s="2">
        <f t="shared" si="657"/>
        <v>43465</v>
      </c>
    </row>
    <row r="4438" spans="1:6" x14ac:dyDescent="0.25">
      <c r="A4438" s="1" t="s">
        <v>1406</v>
      </c>
      <c r="B4438" s="1" t="s">
        <v>2391</v>
      </c>
      <c r="C4438" s="1" t="s">
        <v>1683</v>
      </c>
      <c r="D4438" s="3">
        <f t="shared" si="655"/>
        <v>8350</v>
      </c>
      <c r="E4438" s="2">
        <f t="shared" si="656"/>
        <v>43313</v>
      </c>
      <c r="F4438" s="2">
        <f t="shared" si="657"/>
        <v>43465</v>
      </c>
    </row>
    <row r="4439" spans="1:6" x14ac:dyDescent="0.25">
      <c r="A4439" s="1" t="s">
        <v>1406</v>
      </c>
      <c r="B4439" s="1" t="s">
        <v>2391</v>
      </c>
      <c r="C4439" s="1" t="s">
        <v>1684</v>
      </c>
      <c r="D4439" s="3">
        <f t="shared" si="655"/>
        <v>8350</v>
      </c>
      <c r="E4439" s="2">
        <f t="shared" si="656"/>
        <v>43313</v>
      </c>
      <c r="F4439" s="2">
        <f t="shared" si="657"/>
        <v>43465</v>
      </c>
    </row>
    <row r="4440" spans="1:6" x14ac:dyDescent="0.25">
      <c r="A4440" s="1" t="s">
        <v>1406</v>
      </c>
      <c r="B4440" s="1" t="s">
        <v>2391</v>
      </c>
      <c r="C4440" s="1" t="s">
        <v>1685</v>
      </c>
      <c r="D4440" s="3">
        <f t="shared" si="655"/>
        <v>8350</v>
      </c>
      <c r="E4440" s="2">
        <f t="shared" si="656"/>
        <v>43313</v>
      </c>
      <c r="F4440" s="2">
        <f t="shared" si="657"/>
        <v>43465</v>
      </c>
    </row>
    <row r="4441" spans="1:6" x14ac:dyDescent="0.25">
      <c r="A4441" s="1" t="s">
        <v>1406</v>
      </c>
      <c r="B4441" s="1" t="s">
        <v>2391</v>
      </c>
      <c r="C4441" s="1" t="s">
        <v>1686</v>
      </c>
      <c r="D4441" s="3">
        <f t="shared" si="655"/>
        <v>8350</v>
      </c>
      <c r="E4441" s="2">
        <f t="shared" si="656"/>
        <v>43313</v>
      </c>
      <c r="F4441" s="2">
        <f t="shared" si="657"/>
        <v>43465</v>
      </c>
    </row>
    <row r="4442" spans="1:6" x14ac:dyDescent="0.25">
      <c r="A4442" s="1" t="s">
        <v>1406</v>
      </c>
      <c r="B4442" s="1" t="s">
        <v>2391</v>
      </c>
      <c r="C4442" s="1" t="s">
        <v>1687</v>
      </c>
      <c r="D4442" s="3">
        <f t="shared" si="655"/>
        <v>8350</v>
      </c>
      <c r="E4442" s="2">
        <f t="shared" si="656"/>
        <v>43313</v>
      </c>
      <c r="F4442" s="2">
        <f t="shared" si="657"/>
        <v>43465</v>
      </c>
    </row>
    <row r="4443" spans="1:6" x14ac:dyDescent="0.25">
      <c r="A4443" s="1" t="s">
        <v>1406</v>
      </c>
      <c r="B4443" s="1" t="s">
        <v>2391</v>
      </c>
      <c r="C4443" s="1" t="s">
        <v>1688</v>
      </c>
      <c r="D4443" s="3">
        <f t="shared" si="655"/>
        <v>8350</v>
      </c>
      <c r="E4443" s="2">
        <f t="shared" si="656"/>
        <v>43313</v>
      </c>
      <c r="F4443" s="2">
        <f t="shared" si="657"/>
        <v>43465</v>
      </c>
    </row>
    <row r="4444" spans="1:6" x14ac:dyDescent="0.25">
      <c r="A4444" s="1" t="s">
        <v>1406</v>
      </c>
      <c r="B4444" s="1" t="s">
        <v>2391</v>
      </c>
      <c r="C4444" s="1" t="s">
        <v>1815</v>
      </c>
      <c r="D4444" s="3">
        <f t="shared" si="655"/>
        <v>8350</v>
      </c>
      <c r="E4444" s="2">
        <f t="shared" si="656"/>
        <v>43313</v>
      </c>
      <c r="F4444" s="2">
        <f t="shared" si="657"/>
        <v>43465</v>
      </c>
    </row>
    <row r="4445" spans="1:6" x14ac:dyDescent="0.25">
      <c r="A4445" s="1" t="s">
        <v>1406</v>
      </c>
      <c r="B4445" s="1" t="s">
        <v>2153</v>
      </c>
      <c r="C4445" s="1" t="s">
        <v>7</v>
      </c>
      <c r="D4445" s="3">
        <f t="shared" ref="D4445:D4454" si="658">VALUE("7498")</f>
        <v>7498</v>
      </c>
      <c r="E4445" s="2">
        <f t="shared" ref="E4445:E4454" si="659">DATEVALUE("1-6-2013")</f>
        <v>41426</v>
      </c>
      <c r="F4445" s="2">
        <f t="shared" ref="F4445:F4454" si="660">DATEVALUE("31-8-2016")</f>
        <v>42613</v>
      </c>
    </row>
    <row r="4446" spans="1:6" x14ac:dyDescent="0.25">
      <c r="A4446" s="1" t="s">
        <v>1406</v>
      </c>
      <c r="B4446" s="1" t="s">
        <v>2153</v>
      </c>
      <c r="C4446" s="1" t="s">
        <v>8</v>
      </c>
      <c r="D4446" s="3">
        <f t="shared" si="658"/>
        <v>7498</v>
      </c>
      <c r="E4446" s="2">
        <f t="shared" si="659"/>
        <v>41426</v>
      </c>
      <c r="F4446" s="2">
        <f t="shared" si="660"/>
        <v>42613</v>
      </c>
    </row>
    <row r="4447" spans="1:6" x14ac:dyDescent="0.25">
      <c r="A4447" s="1" t="s">
        <v>1406</v>
      </c>
      <c r="B4447" s="1" t="s">
        <v>2153</v>
      </c>
      <c r="C4447" s="1" t="s">
        <v>13</v>
      </c>
      <c r="D4447" s="3">
        <f t="shared" si="658"/>
        <v>7498</v>
      </c>
      <c r="E4447" s="2">
        <f t="shared" si="659"/>
        <v>41426</v>
      </c>
      <c r="F4447" s="2">
        <f t="shared" si="660"/>
        <v>42613</v>
      </c>
    </row>
    <row r="4448" spans="1:6" x14ac:dyDescent="0.25">
      <c r="A4448" s="1" t="s">
        <v>1406</v>
      </c>
      <c r="B4448" s="1" t="s">
        <v>2153</v>
      </c>
      <c r="C4448" s="1" t="s">
        <v>46</v>
      </c>
      <c r="D4448" s="3">
        <f t="shared" si="658"/>
        <v>7498</v>
      </c>
      <c r="E4448" s="2">
        <f t="shared" si="659"/>
        <v>41426</v>
      </c>
      <c r="F4448" s="2">
        <f t="shared" si="660"/>
        <v>42613</v>
      </c>
    </row>
    <row r="4449" spans="1:6" x14ac:dyDescent="0.25">
      <c r="A4449" s="1" t="s">
        <v>1406</v>
      </c>
      <c r="B4449" s="1" t="s">
        <v>2153</v>
      </c>
      <c r="C4449" s="1" t="s">
        <v>66</v>
      </c>
      <c r="D4449" s="3">
        <f t="shared" si="658"/>
        <v>7498</v>
      </c>
      <c r="E4449" s="2">
        <f t="shared" si="659"/>
        <v>41426</v>
      </c>
      <c r="F4449" s="2">
        <f t="shared" si="660"/>
        <v>42613</v>
      </c>
    </row>
    <row r="4450" spans="1:6" x14ac:dyDescent="0.25">
      <c r="A4450" s="1" t="s">
        <v>1406</v>
      </c>
      <c r="B4450" s="1" t="s">
        <v>2153</v>
      </c>
      <c r="C4450" s="1" t="s">
        <v>15</v>
      </c>
      <c r="D4450" s="3">
        <f t="shared" si="658"/>
        <v>7498</v>
      </c>
      <c r="E4450" s="2">
        <f t="shared" si="659"/>
        <v>41426</v>
      </c>
      <c r="F4450" s="2">
        <f t="shared" si="660"/>
        <v>42613</v>
      </c>
    </row>
    <row r="4451" spans="1:6" x14ac:dyDescent="0.25">
      <c r="A4451" s="1" t="s">
        <v>1406</v>
      </c>
      <c r="B4451" s="1" t="s">
        <v>2153</v>
      </c>
      <c r="C4451" s="1" t="s">
        <v>17</v>
      </c>
      <c r="D4451" s="3">
        <f t="shared" si="658"/>
        <v>7498</v>
      </c>
      <c r="E4451" s="2">
        <f t="shared" si="659"/>
        <v>41426</v>
      </c>
      <c r="F4451" s="2">
        <f t="shared" si="660"/>
        <v>42613</v>
      </c>
    </row>
    <row r="4452" spans="1:6" x14ac:dyDescent="0.25">
      <c r="A4452" s="1" t="s">
        <v>1406</v>
      </c>
      <c r="B4452" s="1" t="s">
        <v>2153</v>
      </c>
      <c r="C4452" s="1" t="s">
        <v>22</v>
      </c>
      <c r="D4452" s="3">
        <f t="shared" si="658"/>
        <v>7498</v>
      </c>
      <c r="E4452" s="2">
        <f t="shared" si="659"/>
        <v>41426</v>
      </c>
      <c r="F4452" s="2">
        <f t="shared" si="660"/>
        <v>42613</v>
      </c>
    </row>
    <row r="4453" spans="1:6" x14ac:dyDescent="0.25">
      <c r="A4453" s="1" t="s">
        <v>1406</v>
      </c>
      <c r="B4453" s="1" t="s">
        <v>2153</v>
      </c>
      <c r="C4453" s="1" t="s">
        <v>212</v>
      </c>
      <c r="D4453" s="3">
        <f t="shared" si="658"/>
        <v>7498</v>
      </c>
      <c r="E4453" s="2">
        <f t="shared" si="659"/>
        <v>41426</v>
      </c>
      <c r="F4453" s="2">
        <f t="shared" si="660"/>
        <v>42613</v>
      </c>
    </row>
    <row r="4454" spans="1:6" x14ac:dyDescent="0.25">
      <c r="A4454" s="1" t="s">
        <v>1406</v>
      </c>
      <c r="B4454" s="1" t="s">
        <v>2153</v>
      </c>
      <c r="C4454" s="1" t="s">
        <v>27</v>
      </c>
      <c r="D4454" s="3">
        <f t="shared" si="658"/>
        <v>7498</v>
      </c>
      <c r="E4454" s="2">
        <f t="shared" si="659"/>
        <v>41426</v>
      </c>
      <c r="F4454" s="2">
        <f t="shared" si="660"/>
        <v>42613</v>
      </c>
    </row>
    <row r="4455" spans="1:6" x14ac:dyDescent="0.25">
      <c r="A4455" s="1" t="s">
        <v>1406</v>
      </c>
      <c r="B4455" s="1" t="s">
        <v>2695</v>
      </c>
      <c r="C4455" s="1" t="s">
        <v>13</v>
      </c>
      <c r="D4455" s="3">
        <f>VALUE("7416")</f>
        <v>7416</v>
      </c>
      <c r="E4455" s="2">
        <f>DATEVALUE("1-12-2012")</f>
        <v>41244</v>
      </c>
      <c r="F4455" s="2">
        <f>DATEVALUE("31-3-2013")</f>
        <v>41364</v>
      </c>
    </row>
    <row r="4456" spans="1:6" x14ac:dyDescent="0.25">
      <c r="A4456" s="1" t="s">
        <v>1406</v>
      </c>
      <c r="B4456" s="1" t="s">
        <v>2695</v>
      </c>
      <c r="C4456" s="1" t="s">
        <v>432</v>
      </c>
      <c r="D4456" s="3">
        <f>VALUE("7416")</f>
        <v>7416</v>
      </c>
      <c r="E4456" s="2">
        <f>DATEVALUE("1-12-2012")</f>
        <v>41244</v>
      </c>
      <c r="F4456" s="2">
        <f>DATEVALUE("31-3-2013")</f>
        <v>41364</v>
      </c>
    </row>
    <row r="4457" spans="1:6" x14ac:dyDescent="0.25">
      <c r="A4457" s="1" t="s">
        <v>1406</v>
      </c>
      <c r="B4457" s="1" t="s">
        <v>2695</v>
      </c>
      <c r="C4457" s="1" t="s">
        <v>28</v>
      </c>
      <c r="D4457" s="3">
        <f>VALUE("7416")</f>
        <v>7416</v>
      </c>
      <c r="E4457" s="2">
        <f>DATEVALUE("1-12-2012")</f>
        <v>41244</v>
      </c>
      <c r="F4457" s="2">
        <f>DATEVALUE("31-3-2013")</f>
        <v>41364</v>
      </c>
    </row>
    <row r="4458" spans="1:6" x14ac:dyDescent="0.25">
      <c r="A4458" s="1" t="s">
        <v>1406</v>
      </c>
      <c r="B4458" s="1" t="s">
        <v>2695</v>
      </c>
      <c r="C4458" s="1" t="s">
        <v>234</v>
      </c>
      <c r="D4458" s="3">
        <f>VALUE("7416")</f>
        <v>7416</v>
      </c>
      <c r="E4458" s="2">
        <f>DATEVALUE("1-12-2012")</f>
        <v>41244</v>
      </c>
      <c r="F4458" s="2">
        <f>DATEVALUE("31-3-2013")</f>
        <v>41364</v>
      </c>
    </row>
    <row r="4459" spans="1:6" x14ac:dyDescent="0.25">
      <c r="A4459" s="1" t="s">
        <v>1406</v>
      </c>
      <c r="B4459" s="1" t="s">
        <v>2695</v>
      </c>
      <c r="C4459" s="1" t="s">
        <v>30</v>
      </c>
      <c r="D4459" s="3">
        <f>VALUE("7416")</f>
        <v>7416</v>
      </c>
      <c r="E4459" s="2">
        <f>DATEVALUE("1-12-2012")</f>
        <v>41244</v>
      </c>
      <c r="F4459" s="2">
        <f>DATEVALUE("31-3-2013")</f>
        <v>41364</v>
      </c>
    </row>
    <row r="4460" spans="1:6" x14ac:dyDescent="0.25">
      <c r="A4460" s="1" t="s">
        <v>1406</v>
      </c>
      <c r="B4460" s="1" t="s">
        <v>2616</v>
      </c>
      <c r="C4460" s="1" t="s">
        <v>7</v>
      </c>
      <c r="D4460" s="3">
        <f t="shared" ref="D4460:D4472" si="661">VALUE("7223")</f>
        <v>7223</v>
      </c>
      <c r="E4460" s="2">
        <f t="shared" ref="E4460:E4472" si="662">DATEVALUE("1-8-2011")</f>
        <v>40756</v>
      </c>
      <c r="F4460" s="2">
        <f t="shared" ref="F4460:F4472" si="663">DATEVALUE("31-12-2011")</f>
        <v>40908</v>
      </c>
    </row>
    <row r="4461" spans="1:6" x14ac:dyDescent="0.25">
      <c r="A4461" s="1" t="s">
        <v>1406</v>
      </c>
      <c r="B4461" s="1" t="s">
        <v>2616</v>
      </c>
      <c r="C4461" s="1" t="s">
        <v>13</v>
      </c>
      <c r="D4461" s="3">
        <f t="shared" si="661"/>
        <v>7223</v>
      </c>
      <c r="E4461" s="2">
        <f t="shared" si="662"/>
        <v>40756</v>
      </c>
      <c r="F4461" s="2">
        <f t="shared" si="663"/>
        <v>40908</v>
      </c>
    </row>
    <row r="4462" spans="1:6" x14ac:dyDescent="0.25">
      <c r="A4462" s="1" t="s">
        <v>1406</v>
      </c>
      <c r="B4462" s="1" t="s">
        <v>2616</v>
      </c>
      <c r="C4462" s="1" t="s">
        <v>228</v>
      </c>
      <c r="D4462" s="3">
        <f t="shared" si="661"/>
        <v>7223</v>
      </c>
      <c r="E4462" s="2">
        <f t="shared" si="662"/>
        <v>40756</v>
      </c>
      <c r="F4462" s="2">
        <f t="shared" si="663"/>
        <v>40908</v>
      </c>
    </row>
    <row r="4463" spans="1:6" x14ac:dyDescent="0.25">
      <c r="A4463" s="1" t="s">
        <v>1406</v>
      </c>
      <c r="B4463" s="1" t="s">
        <v>2616</v>
      </c>
      <c r="C4463" s="1" t="s">
        <v>28</v>
      </c>
      <c r="D4463" s="3">
        <f t="shared" si="661"/>
        <v>7223</v>
      </c>
      <c r="E4463" s="2">
        <f t="shared" si="662"/>
        <v>40756</v>
      </c>
      <c r="F4463" s="2">
        <f t="shared" si="663"/>
        <v>40908</v>
      </c>
    </row>
    <row r="4464" spans="1:6" x14ac:dyDescent="0.25">
      <c r="A4464" s="1" t="s">
        <v>1406</v>
      </c>
      <c r="B4464" s="1" t="s">
        <v>2616</v>
      </c>
      <c r="C4464" s="1" t="s">
        <v>29</v>
      </c>
      <c r="D4464" s="3">
        <f t="shared" si="661"/>
        <v>7223</v>
      </c>
      <c r="E4464" s="2">
        <f t="shared" si="662"/>
        <v>40756</v>
      </c>
      <c r="F4464" s="2">
        <f t="shared" si="663"/>
        <v>40908</v>
      </c>
    </row>
    <row r="4465" spans="1:6" x14ac:dyDescent="0.25">
      <c r="A4465" s="1" t="s">
        <v>1406</v>
      </c>
      <c r="B4465" s="1" t="s">
        <v>2616</v>
      </c>
      <c r="C4465" s="1" t="s">
        <v>230</v>
      </c>
      <c r="D4465" s="3">
        <f t="shared" si="661"/>
        <v>7223</v>
      </c>
      <c r="E4465" s="2">
        <f t="shared" si="662"/>
        <v>40756</v>
      </c>
      <c r="F4465" s="2">
        <f t="shared" si="663"/>
        <v>40908</v>
      </c>
    </row>
    <row r="4466" spans="1:6" x14ac:dyDescent="0.25">
      <c r="A4466" s="1" t="s">
        <v>1406</v>
      </c>
      <c r="B4466" s="1" t="s">
        <v>2616</v>
      </c>
      <c r="C4466" s="1" t="s">
        <v>232</v>
      </c>
      <c r="D4466" s="3">
        <f t="shared" si="661"/>
        <v>7223</v>
      </c>
      <c r="E4466" s="2">
        <f t="shared" si="662"/>
        <v>40756</v>
      </c>
      <c r="F4466" s="2">
        <f t="shared" si="663"/>
        <v>40908</v>
      </c>
    </row>
    <row r="4467" spans="1:6" x14ac:dyDescent="0.25">
      <c r="A4467" s="1" t="s">
        <v>1406</v>
      </c>
      <c r="B4467" s="1" t="s">
        <v>2616</v>
      </c>
      <c r="C4467" s="1" t="s">
        <v>233</v>
      </c>
      <c r="D4467" s="3">
        <f t="shared" si="661"/>
        <v>7223</v>
      </c>
      <c r="E4467" s="2">
        <f t="shared" si="662"/>
        <v>40756</v>
      </c>
      <c r="F4467" s="2">
        <f t="shared" si="663"/>
        <v>40908</v>
      </c>
    </row>
    <row r="4468" spans="1:6" x14ac:dyDescent="0.25">
      <c r="A4468" s="1" t="s">
        <v>1406</v>
      </c>
      <c r="B4468" s="1" t="s">
        <v>2616</v>
      </c>
      <c r="C4468" s="1" t="s">
        <v>234</v>
      </c>
      <c r="D4468" s="3">
        <f t="shared" si="661"/>
        <v>7223</v>
      </c>
      <c r="E4468" s="2">
        <f t="shared" si="662"/>
        <v>40756</v>
      </c>
      <c r="F4468" s="2">
        <f t="shared" si="663"/>
        <v>40908</v>
      </c>
    </row>
    <row r="4469" spans="1:6" x14ac:dyDescent="0.25">
      <c r="A4469" s="1" t="s">
        <v>1406</v>
      </c>
      <c r="B4469" s="1" t="s">
        <v>2616</v>
      </c>
      <c r="C4469" s="1" t="s">
        <v>30</v>
      </c>
      <c r="D4469" s="3">
        <f t="shared" si="661"/>
        <v>7223</v>
      </c>
      <c r="E4469" s="2">
        <f t="shared" si="662"/>
        <v>40756</v>
      </c>
      <c r="F4469" s="2">
        <f t="shared" si="663"/>
        <v>40908</v>
      </c>
    </row>
    <row r="4470" spans="1:6" x14ac:dyDescent="0.25">
      <c r="A4470" s="1" t="s">
        <v>1406</v>
      </c>
      <c r="B4470" s="1" t="s">
        <v>2616</v>
      </c>
      <c r="C4470" s="1" t="s">
        <v>235</v>
      </c>
      <c r="D4470" s="3">
        <f t="shared" si="661"/>
        <v>7223</v>
      </c>
      <c r="E4470" s="2">
        <f t="shared" si="662"/>
        <v>40756</v>
      </c>
      <c r="F4470" s="2">
        <f t="shared" si="663"/>
        <v>40908</v>
      </c>
    </row>
    <row r="4471" spans="1:6" x14ac:dyDescent="0.25">
      <c r="A4471" s="1" t="s">
        <v>1406</v>
      </c>
      <c r="B4471" s="1" t="s">
        <v>2616</v>
      </c>
      <c r="C4471" s="1" t="s">
        <v>237</v>
      </c>
      <c r="D4471" s="3">
        <f t="shared" si="661"/>
        <v>7223</v>
      </c>
      <c r="E4471" s="2">
        <f t="shared" si="662"/>
        <v>40756</v>
      </c>
      <c r="F4471" s="2">
        <f t="shared" si="663"/>
        <v>40908</v>
      </c>
    </row>
    <row r="4472" spans="1:6" x14ac:dyDescent="0.25">
      <c r="A4472" s="1" t="s">
        <v>1406</v>
      </c>
      <c r="B4472" s="1" t="s">
        <v>2616</v>
      </c>
      <c r="C4472" s="1" t="s">
        <v>238</v>
      </c>
      <c r="D4472" s="3">
        <f t="shared" si="661"/>
        <v>7223</v>
      </c>
      <c r="E4472" s="2">
        <f t="shared" si="662"/>
        <v>40756</v>
      </c>
      <c r="F4472" s="2">
        <f t="shared" si="663"/>
        <v>40908</v>
      </c>
    </row>
    <row r="4473" spans="1:6" x14ac:dyDescent="0.25">
      <c r="A4473" s="1" t="s">
        <v>1406</v>
      </c>
      <c r="B4473" s="1" t="s">
        <v>2585</v>
      </c>
      <c r="C4473" s="1" t="s">
        <v>13</v>
      </c>
      <c r="D4473" s="3">
        <f>VALUE("7148")</f>
        <v>7148</v>
      </c>
      <c r="E4473" s="2">
        <f>DATEVALUE("1-12-2010")</f>
        <v>40513</v>
      </c>
      <c r="F4473" s="2">
        <f>DATEVALUE("31-10-2012")</f>
        <v>41213</v>
      </c>
    </row>
    <row r="4474" spans="1:6" x14ac:dyDescent="0.25">
      <c r="A4474" s="1" t="s">
        <v>1406</v>
      </c>
      <c r="B4474" s="1" t="s">
        <v>2559</v>
      </c>
      <c r="C4474" s="1" t="s">
        <v>7</v>
      </c>
      <c r="D4474" s="3">
        <f>VALUE("7040")</f>
        <v>7040</v>
      </c>
      <c r="E4474" s="2">
        <f>DATEVALUE("1-5-2010")</f>
        <v>40299</v>
      </c>
      <c r="F4474" s="2">
        <f>DATEVALUE("31-12-2011")</f>
        <v>40908</v>
      </c>
    </row>
    <row r="4475" spans="1:6" x14ac:dyDescent="0.25">
      <c r="A4475" s="1" t="s">
        <v>1406</v>
      </c>
      <c r="B4475" s="1" t="s">
        <v>2559</v>
      </c>
      <c r="C4475" s="1" t="s">
        <v>2522</v>
      </c>
      <c r="D4475" s="3">
        <f>VALUE("7040")</f>
        <v>7040</v>
      </c>
      <c r="E4475" s="2">
        <f>DATEVALUE("1-5-2010")</f>
        <v>40299</v>
      </c>
      <c r="F4475" s="2">
        <f>DATEVALUE("31-12-2011")</f>
        <v>40908</v>
      </c>
    </row>
    <row r="4476" spans="1:6" x14ac:dyDescent="0.25">
      <c r="A4476" s="1" t="s">
        <v>1406</v>
      </c>
      <c r="B4476" s="1" t="s">
        <v>2551</v>
      </c>
      <c r="C4476" s="1" t="s">
        <v>8</v>
      </c>
      <c r="D4476" s="3">
        <f t="shared" ref="D4476:D4482" si="664">VALUE("7017")</f>
        <v>7017</v>
      </c>
      <c r="E4476" s="2">
        <f t="shared" ref="E4476:E4482" si="665">DATEVALUE("1-1-2010")</f>
        <v>40179</v>
      </c>
      <c r="F4476" s="2">
        <f t="shared" ref="F4476:F4482" si="666">DATEVALUE("30-6-2012")</f>
        <v>41090</v>
      </c>
    </row>
    <row r="4477" spans="1:6" x14ac:dyDescent="0.25">
      <c r="A4477" s="1" t="s">
        <v>1406</v>
      </c>
      <c r="B4477" s="1" t="s">
        <v>2551</v>
      </c>
      <c r="C4477" s="1" t="s">
        <v>10</v>
      </c>
      <c r="D4477" s="3">
        <f t="shared" si="664"/>
        <v>7017</v>
      </c>
      <c r="E4477" s="2">
        <f t="shared" si="665"/>
        <v>40179</v>
      </c>
      <c r="F4477" s="2">
        <f t="shared" si="666"/>
        <v>41090</v>
      </c>
    </row>
    <row r="4478" spans="1:6" x14ac:dyDescent="0.25">
      <c r="A4478" s="1" t="s">
        <v>1406</v>
      </c>
      <c r="B4478" s="1" t="s">
        <v>2551</v>
      </c>
      <c r="C4478" s="1" t="s">
        <v>11</v>
      </c>
      <c r="D4478" s="3">
        <f t="shared" si="664"/>
        <v>7017</v>
      </c>
      <c r="E4478" s="2">
        <f t="shared" si="665"/>
        <v>40179</v>
      </c>
      <c r="F4478" s="2">
        <f t="shared" si="666"/>
        <v>41090</v>
      </c>
    </row>
    <row r="4479" spans="1:6" x14ac:dyDescent="0.25">
      <c r="A4479" s="1" t="s">
        <v>1406</v>
      </c>
      <c r="B4479" s="1" t="s">
        <v>2551</v>
      </c>
      <c r="C4479" s="1" t="s">
        <v>12</v>
      </c>
      <c r="D4479" s="3">
        <f t="shared" si="664"/>
        <v>7017</v>
      </c>
      <c r="E4479" s="2">
        <f t="shared" si="665"/>
        <v>40179</v>
      </c>
      <c r="F4479" s="2">
        <f t="shared" si="666"/>
        <v>41090</v>
      </c>
    </row>
    <row r="4480" spans="1:6" x14ac:dyDescent="0.25">
      <c r="A4480" s="1" t="s">
        <v>1406</v>
      </c>
      <c r="B4480" s="1" t="s">
        <v>2551</v>
      </c>
      <c r="C4480" s="1" t="s">
        <v>32</v>
      </c>
      <c r="D4480" s="3">
        <f t="shared" si="664"/>
        <v>7017</v>
      </c>
      <c r="E4480" s="2">
        <f t="shared" si="665"/>
        <v>40179</v>
      </c>
      <c r="F4480" s="2">
        <f t="shared" si="666"/>
        <v>41090</v>
      </c>
    </row>
    <row r="4481" spans="1:6" x14ac:dyDescent="0.25">
      <c r="A4481" s="1" t="s">
        <v>1406</v>
      </c>
      <c r="B4481" s="1" t="s">
        <v>2551</v>
      </c>
      <c r="C4481" s="1" t="s">
        <v>33</v>
      </c>
      <c r="D4481" s="3">
        <f t="shared" si="664"/>
        <v>7017</v>
      </c>
      <c r="E4481" s="2">
        <f t="shared" si="665"/>
        <v>40179</v>
      </c>
      <c r="F4481" s="2">
        <f t="shared" si="666"/>
        <v>41090</v>
      </c>
    </row>
    <row r="4482" spans="1:6" x14ac:dyDescent="0.25">
      <c r="A4482" s="1" t="s">
        <v>1406</v>
      </c>
      <c r="B4482" s="1" t="s">
        <v>2551</v>
      </c>
      <c r="C4482" s="1" t="s">
        <v>36</v>
      </c>
      <c r="D4482" s="3">
        <f t="shared" si="664"/>
        <v>7017</v>
      </c>
      <c r="E4482" s="2">
        <f t="shared" si="665"/>
        <v>40179</v>
      </c>
      <c r="F4482" s="2">
        <f t="shared" si="666"/>
        <v>41090</v>
      </c>
    </row>
    <row r="4483" spans="1:6" x14ac:dyDescent="0.25">
      <c r="A4483" s="1" t="s">
        <v>1406</v>
      </c>
      <c r="B4483" s="1" t="s">
        <v>1854</v>
      </c>
      <c r="C4483" s="1" t="s">
        <v>7</v>
      </c>
      <c r="D4483" s="3">
        <f>VALUE("1067")</f>
        <v>1067</v>
      </c>
      <c r="E4483" s="2">
        <f>DATEVALUE("1-8-2008")</f>
        <v>39661</v>
      </c>
      <c r="F4483" s="2">
        <f>DATEVALUE("30-11-2013")</f>
        <v>41608</v>
      </c>
    </row>
    <row r="4484" spans="1:6" x14ac:dyDescent="0.25">
      <c r="A4484" s="1" t="s">
        <v>1406</v>
      </c>
      <c r="B4484" s="1" t="s">
        <v>1854</v>
      </c>
      <c r="C4484" s="1" t="s">
        <v>5</v>
      </c>
      <c r="D4484" s="3">
        <f>VALUE("1067")</f>
        <v>1067</v>
      </c>
      <c r="E4484" s="2">
        <f>DATEVALUE("1-8-2008")</f>
        <v>39661</v>
      </c>
      <c r="F4484" s="2">
        <f>DATEVALUE("30-11-2013")</f>
        <v>41608</v>
      </c>
    </row>
    <row r="4485" spans="1:6" x14ac:dyDescent="0.25">
      <c r="A4485" s="1" t="s">
        <v>1406</v>
      </c>
      <c r="B4485" s="1" t="s">
        <v>1854</v>
      </c>
      <c r="C4485" s="1" t="s">
        <v>13</v>
      </c>
      <c r="D4485" s="3">
        <f>VALUE("1067")</f>
        <v>1067</v>
      </c>
      <c r="E4485" s="2">
        <f>DATEVALUE("1-8-2008")</f>
        <v>39661</v>
      </c>
      <c r="F4485" s="2">
        <f>DATEVALUE("30-11-2013")</f>
        <v>41608</v>
      </c>
    </row>
    <row r="4486" spans="1:6" x14ac:dyDescent="0.25">
      <c r="A4486" s="1" t="s">
        <v>1406</v>
      </c>
      <c r="B4486" s="1" t="s">
        <v>1854</v>
      </c>
      <c r="C4486" s="1" t="s">
        <v>30</v>
      </c>
      <c r="D4486" s="3">
        <f>VALUE("1067")</f>
        <v>1067</v>
      </c>
      <c r="E4486" s="2">
        <f>DATEVALUE("1-8-2008")</f>
        <v>39661</v>
      </c>
      <c r="F4486" s="2">
        <f>DATEVALUE("30-11-2013")</f>
        <v>41608</v>
      </c>
    </row>
    <row r="4487" spans="1:6" x14ac:dyDescent="0.25">
      <c r="A4487" s="1" t="s">
        <v>1406</v>
      </c>
      <c r="B4487" s="1" t="s">
        <v>2497</v>
      </c>
      <c r="C4487" s="1" t="s">
        <v>13</v>
      </c>
      <c r="D4487" s="3">
        <f>VALUE("1052")</f>
        <v>1052</v>
      </c>
      <c r="E4487" s="2">
        <f>DATEVALUE("1-3-2008")</f>
        <v>39508</v>
      </c>
      <c r="F4487" s="2">
        <f>DATEVALUE("31-12-2011")</f>
        <v>40908</v>
      </c>
    </row>
    <row r="4488" spans="1:6" x14ac:dyDescent="0.25">
      <c r="A4488" s="1" t="s">
        <v>651</v>
      </c>
      <c r="B4488" s="1" t="s">
        <v>2419</v>
      </c>
      <c r="C4488" s="1" t="s">
        <v>45</v>
      </c>
      <c r="D4488" s="3">
        <f>VALUE("8466")</f>
        <v>8466</v>
      </c>
      <c r="E4488" s="2">
        <f>DATEVALUE("1-2-2019")</f>
        <v>43497</v>
      </c>
      <c r="F4488" s="2">
        <f>DATEVALUE("31-12-2019")</f>
        <v>43830</v>
      </c>
    </row>
    <row r="4489" spans="1:6" x14ac:dyDescent="0.25">
      <c r="A4489" s="1" t="s">
        <v>651</v>
      </c>
      <c r="B4489" s="1" t="s">
        <v>2419</v>
      </c>
      <c r="C4489" s="1" t="s">
        <v>44</v>
      </c>
      <c r="D4489" s="3">
        <f>VALUE("8466")</f>
        <v>8466</v>
      </c>
      <c r="E4489" s="2">
        <f>DATEVALUE("1-2-2019")</f>
        <v>43497</v>
      </c>
      <c r="F4489" s="2">
        <f>DATEVALUE("31-12-2019")</f>
        <v>43830</v>
      </c>
    </row>
    <row r="4490" spans="1:6" x14ac:dyDescent="0.25">
      <c r="A4490" s="1" t="s">
        <v>651</v>
      </c>
      <c r="B4490" s="1" t="s">
        <v>2419</v>
      </c>
      <c r="C4490" s="1" t="s">
        <v>69</v>
      </c>
      <c r="D4490" s="3">
        <f>VALUE("8466")</f>
        <v>8466</v>
      </c>
      <c r="E4490" s="2">
        <f>DATEVALUE("1-2-2019")</f>
        <v>43497</v>
      </c>
      <c r="F4490" s="2">
        <f>DATEVALUE("31-12-2019")</f>
        <v>43830</v>
      </c>
    </row>
    <row r="4491" spans="1:6" x14ac:dyDescent="0.25">
      <c r="A4491" s="1" t="s">
        <v>651</v>
      </c>
      <c r="B4491" s="1" t="s">
        <v>650</v>
      </c>
      <c r="C4491" s="1" t="s">
        <v>439</v>
      </c>
      <c r="D4491" s="3">
        <f t="shared" ref="D4491:D4510" si="667">VALUE("7858")</f>
        <v>7858</v>
      </c>
      <c r="E4491" s="2">
        <f t="shared" ref="E4491:E4510" si="668">DATEVALUE("1-3-2016")</f>
        <v>42430</v>
      </c>
      <c r="F4491" s="2">
        <f t="shared" ref="F4491:F4510" si="669">DATEVALUE("31-12-2020")</f>
        <v>44196</v>
      </c>
    </row>
    <row r="4492" spans="1:6" x14ac:dyDescent="0.25">
      <c r="A4492" s="1" t="s">
        <v>651</v>
      </c>
      <c r="B4492" s="1" t="s">
        <v>650</v>
      </c>
      <c r="C4492" s="1" t="s">
        <v>440</v>
      </c>
      <c r="D4492" s="3">
        <f t="shared" si="667"/>
        <v>7858</v>
      </c>
      <c r="E4492" s="2">
        <f t="shared" si="668"/>
        <v>42430</v>
      </c>
      <c r="F4492" s="2">
        <f t="shared" si="669"/>
        <v>44196</v>
      </c>
    </row>
    <row r="4493" spans="1:6" x14ac:dyDescent="0.25">
      <c r="A4493" s="1" t="s">
        <v>651</v>
      </c>
      <c r="B4493" s="1" t="s">
        <v>650</v>
      </c>
      <c r="C4493" s="1" t="s">
        <v>14</v>
      </c>
      <c r="D4493" s="3">
        <f t="shared" si="667"/>
        <v>7858</v>
      </c>
      <c r="E4493" s="2">
        <f t="shared" si="668"/>
        <v>42430</v>
      </c>
      <c r="F4493" s="2">
        <f t="shared" si="669"/>
        <v>44196</v>
      </c>
    </row>
    <row r="4494" spans="1:6" x14ac:dyDescent="0.25">
      <c r="A4494" s="1" t="s">
        <v>651</v>
      </c>
      <c r="B4494" s="1" t="s">
        <v>650</v>
      </c>
      <c r="C4494" s="1" t="s">
        <v>17</v>
      </c>
      <c r="D4494" s="3">
        <f t="shared" si="667"/>
        <v>7858</v>
      </c>
      <c r="E4494" s="2">
        <f t="shared" si="668"/>
        <v>42430</v>
      </c>
      <c r="F4494" s="2">
        <f t="shared" si="669"/>
        <v>44196</v>
      </c>
    </row>
    <row r="4495" spans="1:6" x14ac:dyDescent="0.25">
      <c r="A4495" s="1" t="s">
        <v>651</v>
      </c>
      <c r="B4495" s="1" t="s">
        <v>650</v>
      </c>
      <c r="C4495" s="1" t="s">
        <v>91</v>
      </c>
      <c r="D4495" s="3">
        <f t="shared" si="667"/>
        <v>7858</v>
      </c>
      <c r="E4495" s="2">
        <f t="shared" si="668"/>
        <v>42430</v>
      </c>
      <c r="F4495" s="2">
        <f t="shared" si="669"/>
        <v>44196</v>
      </c>
    </row>
    <row r="4496" spans="1:6" x14ac:dyDescent="0.25">
      <c r="A4496" s="1" t="s">
        <v>651</v>
      </c>
      <c r="B4496" s="1" t="s">
        <v>650</v>
      </c>
      <c r="C4496" s="1" t="s">
        <v>146</v>
      </c>
      <c r="D4496" s="3">
        <f t="shared" si="667"/>
        <v>7858</v>
      </c>
      <c r="E4496" s="2">
        <f t="shared" si="668"/>
        <v>42430</v>
      </c>
      <c r="F4496" s="2">
        <f t="shared" si="669"/>
        <v>44196</v>
      </c>
    </row>
    <row r="4497" spans="1:6" x14ac:dyDescent="0.25">
      <c r="A4497" s="1" t="s">
        <v>651</v>
      </c>
      <c r="B4497" s="1" t="s">
        <v>650</v>
      </c>
      <c r="C4497" s="1" t="s">
        <v>148</v>
      </c>
      <c r="D4497" s="3">
        <f t="shared" si="667"/>
        <v>7858</v>
      </c>
      <c r="E4497" s="2">
        <f t="shared" si="668"/>
        <v>42430</v>
      </c>
      <c r="F4497" s="2">
        <f t="shared" si="669"/>
        <v>44196</v>
      </c>
    </row>
    <row r="4498" spans="1:6" x14ac:dyDescent="0.25">
      <c r="A4498" s="1" t="s">
        <v>651</v>
      </c>
      <c r="B4498" s="1" t="s">
        <v>650</v>
      </c>
      <c r="C4498" s="1" t="s">
        <v>205</v>
      </c>
      <c r="D4498" s="3">
        <f t="shared" si="667"/>
        <v>7858</v>
      </c>
      <c r="E4498" s="2">
        <f t="shared" si="668"/>
        <v>42430</v>
      </c>
      <c r="F4498" s="2">
        <f t="shared" si="669"/>
        <v>44196</v>
      </c>
    </row>
    <row r="4499" spans="1:6" x14ac:dyDescent="0.25">
      <c r="A4499" s="1" t="s">
        <v>651</v>
      </c>
      <c r="B4499" s="1" t="s">
        <v>650</v>
      </c>
      <c r="C4499" s="1" t="s">
        <v>204</v>
      </c>
      <c r="D4499" s="3">
        <f t="shared" si="667"/>
        <v>7858</v>
      </c>
      <c r="E4499" s="2">
        <f t="shared" si="668"/>
        <v>42430</v>
      </c>
      <c r="F4499" s="2">
        <f t="shared" si="669"/>
        <v>44196</v>
      </c>
    </row>
    <row r="4500" spans="1:6" x14ac:dyDescent="0.25">
      <c r="A4500" s="1" t="s">
        <v>651</v>
      </c>
      <c r="B4500" s="1" t="s">
        <v>650</v>
      </c>
      <c r="C4500" s="1" t="s">
        <v>24</v>
      </c>
      <c r="D4500" s="3">
        <f t="shared" si="667"/>
        <v>7858</v>
      </c>
      <c r="E4500" s="2">
        <f t="shared" si="668"/>
        <v>42430</v>
      </c>
      <c r="F4500" s="2">
        <f t="shared" si="669"/>
        <v>44196</v>
      </c>
    </row>
    <row r="4501" spans="1:6" x14ac:dyDescent="0.25">
      <c r="A4501" s="1" t="s">
        <v>651</v>
      </c>
      <c r="B4501" s="1" t="s">
        <v>650</v>
      </c>
      <c r="C4501" s="1" t="s">
        <v>102</v>
      </c>
      <c r="D4501" s="3">
        <f t="shared" si="667"/>
        <v>7858</v>
      </c>
      <c r="E4501" s="2">
        <f t="shared" si="668"/>
        <v>42430</v>
      </c>
      <c r="F4501" s="2">
        <f t="shared" si="669"/>
        <v>44196</v>
      </c>
    </row>
    <row r="4502" spans="1:6" x14ac:dyDescent="0.25">
      <c r="A4502" s="1" t="s">
        <v>651</v>
      </c>
      <c r="B4502" s="1" t="s">
        <v>650</v>
      </c>
      <c r="C4502" s="1" t="s">
        <v>103</v>
      </c>
      <c r="D4502" s="3">
        <f t="shared" si="667"/>
        <v>7858</v>
      </c>
      <c r="E4502" s="2">
        <f t="shared" si="668"/>
        <v>42430</v>
      </c>
      <c r="F4502" s="2">
        <f t="shared" si="669"/>
        <v>44196</v>
      </c>
    </row>
    <row r="4503" spans="1:6" x14ac:dyDescent="0.25">
      <c r="A4503" s="1" t="s">
        <v>651</v>
      </c>
      <c r="B4503" s="1" t="s">
        <v>650</v>
      </c>
      <c r="C4503" s="1" t="s">
        <v>266</v>
      </c>
      <c r="D4503" s="3">
        <f t="shared" si="667"/>
        <v>7858</v>
      </c>
      <c r="E4503" s="2">
        <f t="shared" si="668"/>
        <v>42430</v>
      </c>
      <c r="F4503" s="2">
        <f t="shared" si="669"/>
        <v>44196</v>
      </c>
    </row>
    <row r="4504" spans="1:6" x14ac:dyDescent="0.25">
      <c r="A4504" s="1" t="s">
        <v>651</v>
      </c>
      <c r="B4504" s="1" t="s">
        <v>650</v>
      </c>
      <c r="C4504" s="1" t="s">
        <v>267</v>
      </c>
      <c r="D4504" s="3">
        <f t="shared" si="667"/>
        <v>7858</v>
      </c>
      <c r="E4504" s="2">
        <f t="shared" si="668"/>
        <v>42430</v>
      </c>
      <c r="F4504" s="2">
        <f t="shared" si="669"/>
        <v>44196</v>
      </c>
    </row>
    <row r="4505" spans="1:6" x14ac:dyDescent="0.25">
      <c r="A4505" s="1" t="s">
        <v>651</v>
      </c>
      <c r="B4505" s="1" t="s">
        <v>650</v>
      </c>
      <c r="C4505" s="1" t="s">
        <v>269</v>
      </c>
      <c r="D4505" s="3">
        <f t="shared" si="667"/>
        <v>7858</v>
      </c>
      <c r="E4505" s="2">
        <f t="shared" si="668"/>
        <v>42430</v>
      </c>
      <c r="F4505" s="2">
        <f t="shared" si="669"/>
        <v>44196</v>
      </c>
    </row>
    <row r="4506" spans="1:6" x14ac:dyDescent="0.25">
      <c r="A4506" s="1" t="s">
        <v>651</v>
      </c>
      <c r="B4506" s="1" t="s">
        <v>650</v>
      </c>
      <c r="C4506" s="1" t="s">
        <v>270</v>
      </c>
      <c r="D4506" s="3">
        <f t="shared" si="667"/>
        <v>7858</v>
      </c>
      <c r="E4506" s="2">
        <f t="shared" si="668"/>
        <v>42430</v>
      </c>
      <c r="F4506" s="2">
        <f t="shared" si="669"/>
        <v>44196</v>
      </c>
    </row>
    <row r="4507" spans="1:6" x14ac:dyDescent="0.25">
      <c r="A4507" s="1" t="s">
        <v>651</v>
      </c>
      <c r="B4507" s="1" t="s">
        <v>650</v>
      </c>
      <c r="C4507" s="1" t="s">
        <v>271</v>
      </c>
      <c r="D4507" s="3">
        <f t="shared" si="667"/>
        <v>7858</v>
      </c>
      <c r="E4507" s="2">
        <f t="shared" si="668"/>
        <v>42430</v>
      </c>
      <c r="F4507" s="2">
        <f t="shared" si="669"/>
        <v>44196</v>
      </c>
    </row>
    <row r="4508" spans="1:6" x14ac:dyDescent="0.25">
      <c r="A4508" s="1" t="s">
        <v>651</v>
      </c>
      <c r="B4508" s="1" t="s">
        <v>650</v>
      </c>
      <c r="C4508" s="1" t="s">
        <v>652</v>
      </c>
      <c r="D4508" s="3">
        <f t="shared" si="667"/>
        <v>7858</v>
      </c>
      <c r="E4508" s="2">
        <f t="shared" si="668"/>
        <v>42430</v>
      </c>
      <c r="F4508" s="2">
        <f t="shared" si="669"/>
        <v>44196</v>
      </c>
    </row>
    <row r="4509" spans="1:6" x14ac:dyDescent="0.25">
      <c r="A4509" s="1" t="s">
        <v>651</v>
      </c>
      <c r="B4509" s="1" t="s">
        <v>650</v>
      </c>
      <c r="C4509" s="1" t="s">
        <v>34</v>
      </c>
      <c r="D4509" s="3">
        <f t="shared" si="667"/>
        <v>7858</v>
      </c>
      <c r="E4509" s="2">
        <f t="shared" si="668"/>
        <v>42430</v>
      </c>
      <c r="F4509" s="2">
        <f t="shared" si="669"/>
        <v>44196</v>
      </c>
    </row>
    <row r="4510" spans="1:6" x14ac:dyDescent="0.25">
      <c r="A4510" s="1" t="s">
        <v>651</v>
      </c>
      <c r="B4510" s="1" t="s">
        <v>650</v>
      </c>
      <c r="C4510" s="1" t="s">
        <v>55</v>
      </c>
      <c r="D4510" s="3">
        <f t="shared" si="667"/>
        <v>7858</v>
      </c>
      <c r="E4510" s="2">
        <f t="shared" si="668"/>
        <v>42430</v>
      </c>
      <c r="F4510" s="2">
        <f t="shared" si="669"/>
        <v>44196</v>
      </c>
    </row>
    <row r="4511" spans="1:6" x14ac:dyDescent="0.25">
      <c r="A4511" s="1" t="s">
        <v>2368</v>
      </c>
      <c r="B4511" s="1" t="s">
        <v>1129</v>
      </c>
      <c r="C4511" s="1" t="s">
        <v>14</v>
      </c>
      <c r="D4511" s="3">
        <f t="shared" ref="D4511:D4521" si="670">VALUE("8268")</f>
        <v>8268</v>
      </c>
      <c r="E4511" s="2">
        <f t="shared" ref="E4511:E4521" si="671">DATEVALUE("1-4-2018")</f>
        <v>43191</v>
      </c>
      <c r="F4511" s="2">
        <f t="shared" ref="F4511:F4521" si="672">DATEVALUE("30-9-2018")</f>
        <v>43373</v>
      </c>
    </row>
    <row r="4512" spans="1:6" x14ac:dyDescent="0.25">
      <c r="A4512" s="1" t="s">
        <v>2368</v>
      </c>
      <c r="B4512" s="1" t="s">
        <v>1129</v>
      </c>
      <c r="C4512" s="1" t="s">
        <v>290</v>
      </c>
      <c r="D4512" s="3">
        <f t="shared" si="670"/>
        <v>8268</v>
      </c>
      <c r="E4512" s="2">
        <f t="shared" si="671"/>
        <v>43191</v>
      </c>
      <c r="F4512" s="2">
        <f t="shared" si="672"/>
        <v>43373</v>
      </c>
    </row>
    <row r="4513" spans="1:6" x14ac:dyDescent="0.25">
      <c r="A4513" s="1" t="s">
        <v>2368</v>
      </c>
      <c r="B4513" s="1" t="s">
        <v>1129</v>
      </c>
      <c r="C4513" s="1" t="s">
        <v>88</v>
      </c>
      <c r="D4513" s="3">
        <f t="shared" si="670"/>
        <v>8268</v>
      </c>
      <c r="E4513" s="2">
        <f t="shared" si="671"/>
        <v>43191</v>
      </c>
      <c r="F4513" s="2">
        <f t="shared" si="672"/>
        <v>43373</v>
      </c>
    </row>
    <row r="4514" spans="1:6" x14ac:dyDescent="0.25">
      <c r="A4514" s="1" t="s">
        <v>2368</v>
      </c>
      <c r="B4514" s="1" t="s">
        <v>1129</v>
      </c>
      <c r="C4514" s="1" t="s">
        <v>17</v>
      </c>
      <c r="D4514" s="3">
        <f t="shared" si="670"/>
        <v>8268</v>
      </c>
      <c r="E4514" s="2">
        <f t="shared" si="671"/>
        <v>43191</v>
      </c>
      <c r="F4514" s="2">
        <f t="shared" si="672"/>
        <v>43373</v>
      </c>
    </row>
    <row r="4515" spans="1:6" x14ac:dyDescent="0.25">
      <c r="A4515" s="1" t="s">
        <v>2368</v>
      </c>
      <c r="B4515" s="1" t="s">
        <v>1129</v>
      </c>
      <c r="C4515" s="1" t="s">
        <v>257</v>
      </c>
      <c r="D4515" s="3">
        <f t="shared" si="670"/>
        <v>8268</v>
      </c>
      <c r="E4515" s="2">
        <f t="shared" si="671"/>
        <v>43191</v>
      </c>
      <c r="F4515" s="2">
        <f t="shared" si="672"/>
        <v>43373</v>
      </c>
    </row>
    <row r="4516" spans="1:6" x14ac:dyDescent="0.25">
      <c r="A4516" s="1" t="s">
        <v>2368</v>
      </c>
      <c r="B4516" s="1" t="s">
        <v>1129</v>
      </c>
      <c r="C4516" s="1" t="s">
        <v>92</v>
      </c>
      <c r="D4516" s="3">
        <f t="shared" si="670"/>
        <v>8268</v>
      </c>
      <c r="E4516" s="2">
        <f t="shared" si="671"/>
        <v>43191</v>
      </c>
      <c r="F4516" s="2">
        <f t="shared" si="672"/>
        <v>43373</v>
      </c>
    </row>
    <row r="4517" spans="1:6" x14ac:dyDescent="0.25">
      <c r="A4517" s="1" t="s">
        <v>2368</v>
      </c>
      <c r="B4517" s="1" t="s">
        <v>1129</v>
      </c>
      <c r="C4517" s="1" t="s">
        <v>94</v>
      </c>
      <c r="D4517" s="3">
        <f t="shared" si="670"/>
        <v>8268</v>
      </c>
      <c r="E4517" s="2">
        <f t="shared" si="671"/>
        <v>43191</v>
      </c>
      <c r="F4517" s="2">
        <f t="shared" si="672"/>
        <v>43373</v>
      </c>
    </row>
    <row r="4518" spans="1:6" x14ac:dyDescent="0.25">
      <c r="A4518" s="1" t="s">
        <v>2368</v>
      </c>
      <c r="B4518" s="1" t="s">
        <v>1129</v>
      </c>
      <c r="C4518" s="1" t="s">
        <v>155</v>
      </c>
      <c r="D4518" s="3">
        <f t="shared" si="670"/>
        <v>8268</v>
      </c>
      <c r="E4518" s="2">
        <f t="shared" si="671"/>
        <v>43191</v>
      </c>
      <c r="F4518" s="2">
        <f t="shared" si="672"/>
        <v>43373</v>
      </c>
    </row>
    <row r="4519" spans="1:6" x14ac:dyDescent="0.25">
      <c r="A4519" s="1" t="s">
        <v>2368</v>
      </c>
      <c r="B4519" s="1" t="s">
        <v>1129</v>
      </c>
      <c r="C4519" s="1" t="s">
        <v>70</v>
      </c>
      <c r="D4519" s="3">
        <f t="shared" si="670"/>
        <v>8268</v>
      </c>
      <c r="E4519" s="2">
        <f t="shared" si="671"/>
        <v>43191</v>
      </c>
      <c r="F4519" s="2">
        <f t="shared" si="672"/>
        <v>43373</v>
      </c>
    </row>
    <row r="4520" spans="1:6" x14ac:dyDescent="0.25">
      <c r="A4520" s="1" t="s">
        <v>2368</v>
      </c>
      <c r="B4520" s="1" t="s">
        <v>1129</v>
      </c>
      <c r="C4520" s="1" t="s">
        <v>52</v>
      </c>
      <c r="D4520" s="3">
        <f t="shared" si="670"/>
        <v>8268</v>
      </c>
      <c r="E4520" s="2">
        <f t="shared" si="671"/>
        <v>43191</v>
      </c>
      <c r="F4520" s="2">
        <f t="shared" si="672"/>
        <v>43373</v>
      </c>
    </row>
    <row r="4521" spans="1:6" x14ac:dyDescent="0.25">
      <c r="A4521" s="1" t="s">
        <v>2368</v>
      </c>
      <c r="B4521" s="1" t="s">
        <v>1129</v>
      </c>
      <c r="C4521" s="1" t="s">
        <v>162</v>
      </c>
      <c r="D4521" s="3">
        <f t="shared" si="670"/>
        <v>8268</v>
      </c>
      <c r="E4521" s="2">
        <f t="shared" si="671"/>
        <v>43191</v>
      </c>
      <c r="F4521" s="2">
        <f t="shared" si="672"/>
        <v>43373</v>
      </c>
    </row>
    <row r="4522" spans="1:6" x14ac:dyDescent="0.25">
      <c r="A4522" s="1" t="s">
        <v>2368</v>
      </c>
      <c r="B4522" s="1" t="s">
        <v>2764</v>
      </c>
      <c r="C4522" s="1" t="s">
        <v>45</v>
      </c>
      <c r="D4522" s="3">
        <f t="shared" ref="D4522:D4529" si="673">VALUE("7606")</f>
        <v>7606</v>
      </c>
      <c r="E4522" s="2">
        <f t="shared" ref="E4522:E4529" si="674">DATEVALUE("1-6-2014")</f>
        <v>41791</v>
      </c>
      <c r="F4522" s="2">
        <f t="shared" ref="F4522:F4529" si="675">DATEVALUE("31-12-2014")</f>
        <v>42004</v>
      </c>
    </row>
    <row r="4523" spans="1:6" x14ac:dyDescent="0.25">
      <c r="A4523" s="1" t="s">
        <v>2368</v>
      </c>
      <c r="B4523" s="1" t="s">
        <v>2764</v>
      </c>
      <c r="C4523" s="1" t="s">
        <v>66</v>
      </c>
      <c r="D4523" s="3">
        <f t="shared" si="673"/>
        <v>7606</v>
      </c>
      <c r="E4523" s="2">
        <f t="shared" si="674"/>
        <v>41791</v>
      </c>
      <c r="F4523" s="2">
        <f t="shared" si="675"/>
        <v>42004</v>
      </c>
    </row>
    <row r="4524" spans="1:6" x14ac:dyDescent="0.25">
      <c r="A4524" s="1" t="s">
        <v>2368</v>
      </c>
      <c r="B4524" s="1" t="s">
        <v>2764</v>
      </c>
      <c r="C4524" s="1" t="s">
        <v>16</v>
      </c>
      <c r="D4524" s="3">
        <f t="shared" si="673"/>
        <v>7606</v>
      </c>
      <c r="E4524" s="2">
        <f t="shared" si="674"/>
        <v>41791</v>
      </c>
      <c r="F4524" s="2">
        <f t="shared" si="675"/>
        <v>42004</v>
      </c>
    </row>
    <row r="4525" spans="1:6" x14ac:dyDescent="0.25">
      <c r="A4525" s="1" t="s">
        <v>2368</v>
      </c>
      <c r="B4525" s="1" t="s">
        <v>2764</v>
      </c>
      <c r="C4525" s="1" t="s">
        <v>88</v>
      </c>
      <c r="D4525" s="3">
        <f t="shared" si="673"/>
        <v>7606</v>
      </c>
      <c r="E4525" s="2">
        <f t="shared" si="674"/>
        <v>41791</v>
      </c>
      <c r="F4525" s="2">
        <f t="shared" si="675"/>
        <v>42004</v>
      </c>
    </row>
    <row r="4526" spans="1:6" x14ac:dyDescent="0.25">
      <c r="A4526" s="1" t="s">
        <v>2368</v>
      </c>
      <c r="B4526" s="1" t="s">
        <v>2764</v>
      </c>
      <c r="C4526" s="1" t="s">
        <v>17</v>
      </c>
      <c r="D4526" s="3">
        <f t="shared" si="673"/>
        <v>7606</v>
      </c>
      <c r="E4526" s="2">
        <f t="shared" si="674"/>
        <v>41791</v>
      </c>
      <c r="F4526" s="2">
        <f t="shared" si="675"/>
        <v>42004</v>
      </c>
    </row>
    <row r="4527" spans="1:6" x14ac:dyDescent="0.25">
      <c r="A4527" s="1" t="s">
        <v>2368</v>
      </c>
      <c r="B4527" s="1" t="s">
        <v>2764</v>
      </c>
      <c r="C4527" s="1" t="s">
        <v>73</v>
      </c>
      <c r="D4527" s="3">
        <f t="shared" si="673"/>
        <v>7606</v>
      </c>
      <c r="E4527" s="2">
        <f t="shared" si="674"/>
        <v>41791</v>
      </c>
      <c r="F4527" s="2">
        <f t="shared" si="675"/>
        <v>42004</v>
      </c>
    </row>
    <row r="4528" spans="1:6" x14ac:dyDescent="0.25">
      <c r="A4528" s="1" t="s">
        <v>2368</v>
      </c>
      <c r="B4528" s="1" t="s">
        <v>2764</v>
      </c>
      <c r="C4528" s="1" t="s">
        <v>670</v>
      </c>
      <c r="D4528" s="3">
        <f t="shared" si="673"/>
        <v>7606</v>
      </c>
      <c r="E4528" s="2">
        <f t="shared" si="674"/>
        <v>41791</v>
      </c>
      <c r="F4528" s="2">
        <f t="shared" si="675"/>
        <v>42004</v>
      </c>
    </row>
    <row r="4529" spans="1:6" x14ac:dyDescent="0.25">
      <c r="A4529" s="1" t="s">
        <v>2368</v>
      </c>
      <c r="B4529" s="1" t="s">
        <v>2764</v>
      </c>
      <c r="C4529" s="1" t="s">
        <v>164</v>
      </c>
      <c r="D4529" s="3">
        <f t="shared" si="673"/>
        <v>7606</v>
      </c>
      <c r="E4529" s="2">
        <f t="shared" si="674"/>
        <v>41791</v>
      </c>
      <c r="F4529" s="2">
        <f t="shared" si="675"/>
        <v>42004</v>
      </c>
    </row>
    <row r="4530" spans="1:6" x14ac:dyDescent="0.25">
      <c r="A4530" s="1" t="s">
        <v>1979</v>
      </c>
      <c r="B4530" s="1" t="s">
        <v>1978</v>
      </c>
      <c r="C4530" s="1" t="s">
        <v>14</v>
      </c>
      <c r="D4530" s="3">
        <f>VALUE("7755")</f>
        <v>7755</v>
      </c>
      <c r="E4530" s="2">
        <f t="shared" ref="E4530:E4538" si="676">DATEVALUE("1-6-2015")</f>
        <v>42156</v>
      </c>
      <c r="F4530" s="2">
        <f>DATEVALUE("31-1-2016")</f>
        <v>42400</v>
      </c>
    </row>
    <row r="4531" spans="1:6" x14ac:dyDescent="0.25">
      <c r="A4531" s="1" t="s">
        <v>1979</v>
      </c>
      <c r="B4531" s="1" t="s">
        <v>1978</v>
      </c>
      <c r="C4531" s="1" t="s">
        <v>422</v>
      </c>
      <c r="D4531" s="3">
        <f>VALUE("7755")</f>
        <v>7755</v>
      </c>
      <c r="E4531" s="2">
        <f t="shared" si="676"/>
        <v>42156</v>
      </c>
      <c r="F4531" s="2">
        <f>DATEVALUE("31-1-2016")</f>
        <v>42400</v>
      </c>
    </row>
    <row r="4532" spans="1:6" x14ac:dyDescent="0.25">
      <c r="A4532" s="1" t="s">
        <v>1979</v>
      </c>
      <c r="B4532" s="1" t="s">
        <v>1978</v>
      </c>
      <c r="C4532" s="1" t="s">
        <v>51</v>
      </c>
      <c r="D4532" s="3">
        <f>VALUE("7755")</f>
        <v>7755</v>
      </c>
      <c r="E4532" s="2">
        <f t="shared" si="676"/>
        <v>42156</v>
      </c>
      <c r="F4532" s="2">
        <f>DATEVALUE("31-1-2016")</f>
        <v>42400</v>
      </c>
    </row>
    <row r="4533" spans="1:6" x14ac:dyDescent="0.25">
      <c r="A4533" s="1" t="s">
        <v>1979</v>
      </c>
      <c r="B4533" s="1" t="s">
        <v>1978</v>
      </c>
      <c r="C4533" s="1" t="s">
        <v>55</v>
      </c>
      <c r="D4533" s="3">
        <f>VALUE("7755")</f>
        <v>7755</v>
      </c>
      <c r="E4533" s="2">
        <f t="shared" si="676"/>
        <v>42156</v>
      </c>
      <c r="F4533" s="2">
        <f>DATEVALUE("31-1-2016")</f>
        <v>42400</v>
      </c>
    </row>
    <row r="4534" spans="1:6" x14ac:dyDescent="0.25">
      <c r="A4534" s="1" t="s">
        <v>1979</v>
      </c>
      <c r="B4534" s="1" t="s">
        <v>2193</v>
      </c>
      <c r="C4534" s="1" t="s">
        <v>61</v>
      </c>
      <c r="D4534" s="3">
        <f>VALUE("7756")</f>
        <v>7756</v>
      </c>
      <c r="E4534" s="2">
        <f t="shared" si="676"/>
        <v>42156</v>
      </c>
      <c r="F4534" s="2">
        <f>DATEVALUE("31-10-2016")</f>
        <v>42674</v>
      </c>
    </row>
    <row r="4535" spans="1:6" x14ac:dyDescent="0.25">
      <c r="A4535" s="1" t="s">
        <v>1979</v>
      </c>
      <c r="B4535" s="1" t="s">
        <v>2193</v>
      </c>
      <c r="C4535" s="1" t="s">
        <v>45</v>
      </c>
      <c r="D4535" s="3">
        <f>VALUE("7756")</f>
        <v>7756</v>
      </c>
      <c r="E4535" s="2">
        <f t="shared" si="676"/>
        <v>42156</v>
      </c>
      <c r="F4535" s="2">
        <f>DATEVALUE("31-10-2016")</f>
        <v>42674</v>
      </c>
    </row>
    <row r="4536" spans="1:6" x14ac:dyDescent="0.25">
      <c r="A4536" s="1" t="s">
        <v>1979</v>
      </c>
      <c r="B4536" s="1" t="s">
        <v>2193</v>
      </c>
      <c r="C4536" s="1" t="s">
        <v>69</v>
      </c>
      <c r="D4536" s="3">
        <f>VALUE("7756")</f>
        <v>7756</v>
      </c>
      <c r="E4536" s="2">
        <f t="shared" si="676"/>
        <v>42156</v>
      </c>
      <c r="F4536" s="2">
        <f>DATEVALUE("31-10-2016")</f>
        <v>42674</v>
      </c>
    </row>
    <row r="4537" spans="1:6" x14ac:dyDescent="0.25">
      <c r="A4537" s="1" t="s">
        <v>1979</v>
      </c>
      <c r="B4537" s="1" t="s">
        <v>2193</v>
      </c>
      <c r="C4537" s="1" t="s">
        <v>72</v>
      </c>
      <c r="D4537" s="3">
        <f>VALUE("7756")</f>
        <v>7756</v>
      </c>
      <c r="E4537" s="2">
        <f t="shared" si="676"/>
        <v>42156</v>
      </c>
      <c r="F4537" s="2">
        <f>DATEVALUE("31-10-2016")</f>
        <v>42674</v>
      </c>
    </row>
    <row r="4538" spans="1:6" x14ac:dyDescent="0.25">
      <c r="A4538" s="1" t="s">
        <v>1979</v>
      </c>
      <c r="B4538" s="1" t="s">
        <v>2193</v>
      </c>
      <c r="C4538" s="1" t="s">
        <v>52</v>
      </c>
      <c r="D4538" s="3">
        <f>VALUE("7756")</f>
        <v>7756</v>
      </c>
      <c r="E4538" s="2">
        <f t="shared" si="676"/>
        <v>42156</v>
      </c>
      <c r="F4538" s="2">
        <f>DATEVALUE("31-10-2016")</f>
        <v>42674</v>
      </c>
    </row>
    <row r="4539" spans="1:6" x14ac:dyDescent="0.25">
      <c r="A4539" s="1" t="s">
        <v>1979</v>
      </c>
      <c r="B4539" s="1" t="s">
        <v>2612</v>
      </c>
      <c r="C4539" s="1" t="s">
        <v>418</v>
      </c>
      <c r="D4539" s="3">
        <f>VALUE("7213")</f>
        <v>7213</v>
      </c>
      <c r="E4539" s="2">
        <f>DATEVALUE("1-7-2011")</f>
        <v>40725</v>
      </c>
      <c r="F4539" s="2">
        <f>DATEVALUE("31-1-2013")</f>
        <v>41305</v>
      </c>
    </row>
    <row r="4540" spans="1:6" x14ac:dyDescent="0.25">
      <c r="A4540" s="1" t="s">
        <v>1979</v>
      </c>
      <c r="B4540" s="1" t="s">
        <v>2612</v>
      </c>
      <c r="C4540" s="1" t="s">
        <v>330</v>
      </c>
      <c r="D4540" s="3">
        <f>VALUE("7213")</f>
        <v>7213</v>
      </c>
      <c r="E4540" s="2">
        <f>DATEVALUE("1-7-2011")</f>
        <v>40725</v>
      </c>
      <c r="F4540" s="2">
        <f>DATEVALUE("31-1-2013")</f>
        <v>41305</v>
      </c>
    </row>
    <row r="4541" spans="1:6" x14ac:dyDescent="0.25">
      <c r="A4541" s="1" t="s">
        <v>1348</v>
      </c>
      <c r="B4541" s="1" t="s">
        <v>1347</v>
      </c>
      <c r="C4541" s="1" t="s">
        <v>140</v>
      </c>
      <c r="D4541" s="3">
        <f t="shared" ref="D4541:D4557" si="677">VALUE("8582")</f>
        <v>8582</v>
      </c>
      <c r="E4541" s="2">
        <f t="shared" ref="E4541:E4557" si="678">DATEVALUE("1-9-2019")</f>
        <v>43709</v>
      </c>
      <c r="F4541" s="2">
        <f t="shared" ref="F4541:F4557" si="679">DATEVALUE("31-8-2025")</f>
        <v>45900</v>
      </c>
    </row>
    <row r="4542" spans="1:6" x14ac:dyDescent="0.25">
      <c r="A4542" s="1" t="s">
        <v>1348</v>
      </c>
      <c r="B4542" s="1" t="s">
        <v>1347</v>
      </c>
      <c r="C4542" s="1" t="s">
        <v>141</v>
      </c>
      <c r="D4542" s="3">
        <f t="shared" si="677"/>
        <v>8582</v>
      </c>
      <c r="E4542" s="2">
        <f t="shared" si="678"/>
        <v>43709</v>
      </c>
      <c r="F4542" s="2">
        <f t="shared" si="679"/>
        <v>45900</v>
      </c>
    </row>
    <row r="4543" spans="1:6" x14ac:dyDescent="0.25">
      <c r="A4543" s="1" t="s">
        <v>1348</v>
      </c>
      <c r="B4543" s="1" t="s">
        <v>1347</v>
      </c>
      <c r="C4543" s="1" t="s">
        <v>87</v>
      </c>
      <c r="D4543" s="3">
        <f t="shared" si="677"/>
        <v>8582</v>
      </c>
      <c r="E4543" s="2">
        <f t="shared" si="678"/>
        <v>43709</v>
      </c>
      <c r="F4543" s="2">
        <f t="shared" si="679"/>
        <v>45900</v>
      </c>
    </row>
    <row r="4544" spans="1:6" x14ac:dyDescent="0.25">
      <c r="A4544" s="1" t="s">
        <v>1348</v>
      </c>
      <c r="B4544" s="1" t="s">
        <v>1347</v>
      </c>
      <c r="C4544" s="1" t="s">
        <v>14</v>
      </c>
      <c r="D4544" s="3">
        <f t="shared" si="677"/>
        <v>8582</v>
      </c>
      <c r="E4544" s="2">
        <f t="shared" si="678"/>
        <v>43709</v>
      </c>
      <c r="F4544" s="2">
        <f t="shared" si="679"/>
        <v>45900</v>
      </c>
    </row>
    <row r="4545" spans="1:6" x14ac:dyDescent="0.25">
      <c r="A4545" s="1" t="s">
        <v>1348</v>
      </c>
      <c r="B4545" s="1" t="s">
        <v>1347</v>
      </c>
      <c r="C4545" s="1" t="s">
        <v>15</v>
      </c>
      <c r="D4545" s="3">
        <f t="shared" si="677"/>
        <v>8582</v>
      </c>
      <c r="E4545" s="2">
        <f t="shared" si="678"/>
        <v>43709</v>
      </c>
      <c r="F4545" s="2">
        <f t="shared" si="679"/>
        <v>45900</v>
      </c>
    </row>
    <row r="4546" spans="1:6" x14ac:dyDescent="0.25">
      <c r="A4546" s="1" t="s">
        <v>1348</v>
      </c>
      <c r="B4546" s="1" t="s">
        <v>1347</v>
      </c>
      <c r="C4546" s="1" t="s">
        <v>89</v>
      </c>
      <c r="D4546" s="3">
        <f t="shared" si="677"/>
        <v>8582</v>
      </c>
      <c r="E4546" s="2">
        <f t="shared" si="678"/>
        <v>43709</v>
      </c>
      <c r="F4546" s="2">
        <f t="shared" si="679"/>
        <v>45900</v>
      </c>
    </row>
    <row r="4547" spans="1:6" x14ac:dyDescent="0.25">
      <c r="A4547" s="1" t="s">
        <v>1348</v>
      </c>
      <c r="B4547" s="1" t="s">
        <v>1347</v>
      </c>
      <c r="C4547" s="1" t="s">
        <v>17</v>
      </c>
      <c r="D4547" s="3">
        <f t="shared" si="677"/>
        <v>8582</v>
      </c>
      <c r="E4547" s="2">
        <f t="shared" si="678"/>
        <v>43709</v>
      </c>
      <c r="F4547" s="2">
        <f t="shared" si="679"/>
        <v>45900</v>
      </c>
    </row>
    <row r="4548" spans="1:6" x14ac:dyDescent="0.25">
      <c r="A4548" s="1" t="s">
        <v>1348</v>
      </c>
      <c r="B4548" s="1" t="s">
        <v>1347</v>
      </c>
      <c r="C4548" s="1" t="s">
        <v>639</v>
      </c>
      <c r="D4548" s="3">
        <f t="shared" si="677"/>
        <v>8582</v>
      </c>
      <c r="E4548" s="2">
        <f t="shared" si="678"/>
        <v>43709</v>
      </c>
      <c r="F4548" s="2">
        <f t="shared" si="679"/>
        <v>45900</v>
      </c>
    </row>
    <row r="4549" spans="1:6" x14ac:dyDescent="0.25">
      <c r="A4549" s="1" t="s">
        <v>1348</v>
      </c>
      <c r="B4549" s="1" t="s">
        <v>1347</v>
      </c>
      <c r="C4549" s="1" t="s">
        <v>67</v>
      </c>
      <c r="D4549" s="3">
        <f t="shared" si="677"/>
        <v>8582</v>
      </c>
      <c r="E4549" s="2">
        <f t="shared" si="678"/>
        <v>43709</v>
      </c>
      <c r="F4549" s="2">
        <f t="shared" si="679"/>
        <v>45900</v>
      </c>
    </row>
    <row r="4550" spans="1:6" x14ac:dyDescent="0.25">
      <c r="A4550" s="1" t="s">
        <v>1348</v>
      </c>
      <c r="B4550" s="1" t="s">
        <v>1347</v>
      </c>
      <c r="C4550" s="1" t="s">
        <v>400</v>
      </c>
      <c r="D4550" s="3">
        <f t="shared" si="677"/>
        <v>8582</v>
      </c>
      <c r="E4550" s="2">
        <f t="shared" si="678"/>
        <v>43709</v>
      </c>
      <c r="F4550" s="2">
        <f t="shared" si="679"/>
        <v>45900</v>
      </c>
    </row>
    <row r="4551" spans="1:6" x14ac:dyDescent="0.25">
      <c r="A4551" s="1" t="s">
        <v>1348</v>
      </c>
      <c r="B4551" s="1" t="s">
        <v>1347</v>
      </c>
      <c r="C4551" s="1" t="s">
        <v>151</v>
      </c>
      <c r="D4551" s="3">
        <f t="shared" si="677"/>
        <v>8582</v>
      </c>
      <c r="E4551" s="2">
        <f t="shared" si="678"/>
        <v>43709</v>
      </c>
      <c r="F4551" s="2">
        <f t="shared" si="679"/>
        <v>45900</v>
      </c>
    </row>
    <row r="4552" spans="1:6" x14ac:dyDescent="0.25">
      <c r="A4552" s="1" t="s">
        <v>1348</v>
      </c>
      <c r="B4552" s="1" t="s">
        <v>1347</v>
      </c>
      <c r="C4552" s="1" t="s">
        <v>641</v>
      </c>
      <c r="D4552" s="3">
        <f t="shared" si="677"/>
        <v>8582</v>
      </c>
      <c r="E4552" s="2">
        <f t="shared" si="678"/>
        <v>43709</v>
      </c>
      <c r="F4552" s="2">
        <f t="shared" si="679"/>
        <v>45900</v>
      </c>
    </row>
    <row r="4553" spans="1:6" x14ac:dyDescent="0.25">
      <c r="A4553" s="1" t="s">
        <v>1348</v>
      </c>
      <c r="B4553" s="1" t="s">
        <v>1347</v>
      </c>
      <c r="C4553" s="1" t="s">
        <v>24</v>
      </c>
      <c r="D4553" s="3">
        <f t="shared" si="677"/>
        <v>8582</v>
      </c>
      <c r="E4553" s="2">
        <f t="shared" si="678"/>
        <v>43709</v>
      </c>
      <c r="F4553" s="2">
        <f t="shared" si="679"/>
        <v>45900</v>
      </c>
    </row>
    <row r="4554" spans="1:6" x14ac:dyDescent="0.25">
      <c r="A4554" s="1" t="s">
        <v>1348</v>
      </c>
      <c r="B4554" s="1" t="s">
        <v>1347</v>
      </c>
      <c r="C4554" s="1" t="s">
        <v>548</v>
      </c>
      <c r="D4554" s="3">
        <f t="shared" si="677"/>
        <v>8582</v>
      </c>
      <c r="E4554" s="2">
        <f t="shared" si="678"/>
        <v>43709</v>
      </c>
      <c r="F4554" s="2">
        <f t="shared" si="679"/>
        <v>45900</v>
      </c>
    </row>
    <row r="4555" spans="1:6" x14ac:dyDescent="0.25">
      <c r="A4555" s="1" t="s">
        <v>1348</v>
      </c>
      <c r="B4555" s="1" t="s">
        <v>1347</v>
      </c>
      <c r="C4555" s="1" t="s">
        <v>73</v>
      </c>
      <c r="D4555" s="3">
        <f t="shared" si="677"/>
        <v>8582</v>
      </c>
      <c r="E4555" s="2">
        <f t="shared" si="678"/>
        <v>43709</v>
      </c>
      <c r="F4555" s="2">
        <f t="shared" si="679"/>
        <v>45900</v>
      </c>
    </row>
    <row r="4556" spans="1:6" x14ac:dyDescent="0.25">
      <c r="A4556" s="1" t="s">
        <v>1348</v>
      </c>
      <c r="B4556" s="1" t="s">
        <v>1347</v>
      </c>
      <c r="C4556" s="1" t="s">
        <v>160</v>
      </c>
      <c r="D4556" s="3">
        <f t="shared" si="677"/>
        <v>8582</v>
      </c>
      <c r="E4556" s="2">
        <f t="shared" si="678"/>
        <v>43709</v>
      </c>
      <c r="F4556" s="2">
        <f t="shared" si="679"/>
        <v>45900</v>
      </c>
    </row>
    <row r="4557" spans="1:6" x14ac:dyDescent="0.25">
      <c r="A4557" s="1" t="s">
        <v>1348</v>
      </c>
      <c r="B4557" s="1" t="s">
        <v>1347</v>
      </c>
      <c r="C4557" s="1" t="s">
        <v>34</v>
      </c>
      <c r="D4557" s="3">
        <f t="shared" si="677"/>
        <v>8582</v>
      </c>
      <c r="E4557" s="2">
        <f t="shared" si="678"/>
        <v>43709</v>
      </c>
      <c r="F4557" s="2">
        <f t="shared" si="679"/>
        <v>45900</v>
      </c>
    </row>
    <row r="4558" spans="1:6" x14ac:dyDescent="0.25">
      <c r="A4558" s="1" t="s">
        <v>1374</v>
      </c>
      <c r="B4558" s="1" t="s">
        <v>1373</v>
      </c>
      <c r="C4558" s="1" t="s">
        <v>1375</v>
      </c>
      <c r="D4558" s="3">
        <f>VALUE("8603")</f>
        <v>8603</v>
      </c>
      <c r="E4558" s="2">
        <f>DATEVALUE("1-4-2020")</f>
        <v>43922</v>
      </c>
      <c r="F4558" s="2">
        <f>DATEVALUE("31-12-2021")</f>
        <v>44561</v>
      </c>
    </row>
    <row r="4559" spans="1:6" x14ac:dyDescent="0.25">
      <c r="A4559" s="1" t="s">
        <v>1374</v>
      </c>
      <c r="B4559" s="1" t="s">
        <v>1373</v>
      </c>
      <c r="C4559" s="1" t="s">
        <v>1376</v>
      </c>
      <c r="D4559" s="3">
        <f>VALUE("8603")</f>
        <v>8603</v>
      </c>
      <c r="E4559" s="2">
        <f>DATEVALUE("1-4-2020")</f>
        <v>43922</v>
      </c>
      <c r="F4559" s="2">
        <f>DATEVALUE("31-12-2021")</f>
        <v>44561</v>
      </c>
    </row>
    <row r="4560" spans="1:6" x14ac:dyDescent="0.25">
      <c r="A4560" s="1" t="s">
        <v>1634</v>
      </c>
      <c r="B4560" s="1" t="s">
        <v>1633</v>
      </c>
      <c r="C4560" s="1" t="s">
        <v>140</v>
      </c>
      <c r="D4560" s="3">
        <f t="shared" ref="D4560:D4566" si="680">VALUE("8808")</f>
        <v>8808</v>
      </c>
      <c r="E4560" s="2">
        <f t="shared" ref="E4560:E4566" si="681">DATEVALUE("1-8-2020")</f>
        <v>44044</v>
      </c>
      <c r="F4560" s="2">
        <f t="shared" ref="F4560:F4566" si="682">DATEVALUE("30-6-2022")</f>
        <v>44742</v>
      </c>
    </row>
    <row r="4561" spans="1:6" x14ac:dyDescent="0.25">
      <c r="A4561" s="1" t="s">
        <v>1634</v>
      </c>
      <c r="B4561" s="1" t="s">
        <v>1633</v>
      </c>
      <c r="C4561" s="1" t="s">
        <v>14</v>
      </c>
      <c r="D4561" s="3">
        <f t="shared" si="680"/>
        <v>8808</v>
      </c>
      <c r="E4561" s="2">
        <f t="shared" si="681"/>
        <v>44044</v>
      </c>
      <c r="F4561" s="2">
        <f t="shared" si="682"/>
        <v>44742</v>
      </c>
    </row>
    <row r="4562" spans="1:6" x14ac:dyDescent="0.25">
      <c r="A4562" s="1" t="s">
        <v>1634</v>
      </c>
      <c r="B4562" s="1" t="s">
        <v>1633</v>
      </c>
      <c r="C4562" s="1" t="s">
        <v>15</v>
      </c>
      <c r="D4562" s="3">
        <f t="shared" si="680"/>
        <v>8808</v>
      </c>
      <c r="E4562" s="2">
        <f t="shared" si="681"/>
        <v>44044</v>
      </c>
      <c r="F4562" s="2">
        <f t="shared" si="682"/>
        <v>44742</v>
      </c>
    </row>
    <row r="4563" spans="1:6" x14ac:dyDescent="0.25">
      <c r="A4563" s="1" t="s">
        <v>1634</v>
      </c>
      <c r="B4563" s="1" t="s">
        <v>1633</v>
      </c>
      <c r="C4563" s="1" t="s">
        <v>17</v>
      </c>
      <c r="D4563" s="3">
        <f t="shared" si="680"/>
        <v>8808</v>
      </c>
      <c r="E4563" s="2">
        <f t="shared" si="681"/>
        <v>44044</v>
      </c>
      <c r="F4563" s="2">
        <f t="shared" si="682"/>
        <v>44742</v>
      </c>
    </row>
    <row r="4564" spans="1:6" x14ac:dyDescent="0.25">
      <c r="A4564" s="1" t="s">
        <v>1634</v>
      </c>
      <c r="B4564" s="1" t="s">
        <v>1633</v>
      </c>
      <c r="C4564" s="1" t="s">
        <v>151</v>
      </c>
      <c r="D4564" s="3">
        <f t="shared" si="680"/>
        <v>8808</v>
      </c>
      <c r="E4564" s="2">
        <f t="shared" si="681"/>
        <v>44044</v>
      </c>
      <c r="F4564" s="2">
        <f t="shared" si="682"/>
        <v>44742</v>
      </c>
    </row>
    <row r="4565" spans="1:6" x14ac:dyDescent="0.25">
      <c r="A4565" s="1" t="s">
        <v>1634</v>
      </c>
      <c r="B4565" s="1" t="s">
        <v>1633</v>
      </c>
      <c r="C4565" s="1" t="s">
        <v>24</v>
      </c>
      <c r="D4565" s="3">
        <f t="shared" si="680"/>
        <v>8808</v>
      </c>
      <c r="E4565" s="2">
        <f t="shared" si="681"/>
        <v>44044</v>
      </c>
      <c r="F4565" s="2">
        <f t="shared" si="682"/>
        <v>44742</v>
      </c>
    </row>
    <row r="4566" spans="1:6" x14ac:dyDescent="0.25">
      <c r="A4566" s="1" t="s">
        <v>1634</v>
      </c>
      <c r="B4566" s="1" t="s">
        <v>1633</v>
      </c>
      <c r="C4566" s="1" t="s">
        <v>34</v>
      </c>
      <c r="D4566" s="3">
        <f t="shared" si="680"/>
        <v>8808</v>
      </c>
      <c r="E4566" s="2">
        <f t="shared" si="681"/>
        <v>44044</v>
      </c>
      <c r="F4566" s="2">
        <f t="shared" si="682"/>
        <v>44742</v>
      </c>
    </row>
    <row r="4567" spans="1:6" x14ac:dyDescent="0.25">
      <c r="A4567" s="1" t="s">
        <v>1670</v>
      </c>
      <c r="B4567" s="1" t="s">
        <v>1827</v>
      </c>
      <c r="C4567" s="1" t="s">
        <v>15</v>
      </c>
      <c r="D4567" s="3">
        <f>VALUE("8693")</f>
        <v>8693</v>
      </c>
      <c r="E4567" s="2">
        <f>DATEVALUE("1-11-2020")</f>
        <v>44136</v>
      </c>
      <c r="F4567" s="2">
        <f>DATEVALUE("30-11-2020")</f>
        <v>44165</v>
      </c>
    </row>
    <row r="4568" spans="1:6" x14ac:dyDescent="0.25">
      <c r="A4568" s="1" t="s">
        <v>1670</v>
      </c>
      <c r="B4568" s="1" t="s">
        <v>1827</v>
      </c>
      <c r="C4568" s="1" t="s">
        <v>127</v>
      </c>
      <c r="D4568" s="3">
        <f>VALUE("8693")</f>
        <v>8693</v>
      </c>
      <c r="E4568" s="2">
        <f>DATEVALUE("1-11-2020")</f>
        <v>44136</v>
      </c>
      <c r="F4568" s="2">
        <f>DATEVALUE("30-11-2020")</f>
        <v>44165</v>
      </c>
    </row>
    <row r="4569" spans="1:6" x14ac:dyDescent="0.25">
      <c r="A4569" s="1" t="s">
        <v>1670</v>
      </c>
      <c r="B4569" s="1" t="s">
        <v>1669</v>
      </c>
      <c r="C4569" s="1" t="s">
        <v>14</v>
      </c>
      <c r="D4569" s="3">
        <f t="shared" ref="D4569:D4578" si="683">VALUE("8850")</f>
        <v>8850</v>
      </c>
      <c r="E4569" s="2">
        <f t="shared" ref="E4569:E4578" si="684">DATEVALUE("1-9-2020")</f>
        <v>44075</v>
      </c>
      <c r="F4569" s="2">
        <f t="shared" ref="F4569:F4578" si="685">DATEVALUE("31-8-2021")</f>
        <v>44439</v>
      </c>
    </row>
    <row r="4570" spans="1:6" x14ac:dyDescent="0.25">
      <c r="A4570" s="1" t="s">
        <v>1670</v>
      </c>
      <c r="B4570" s="1" t="s">
        <v>1669</v>
      </c>
      <c r="C4570" s="1" t="s">
        <v>15</v>
      </c>
      <c r="D4570" s="3">
        <f t="shared" si="683"/>
        <v>8850</v>
      </c>
      <c r="E4570" s="2">
        <f t="shared" si="684"/>
        <v>44075</v>
      </c>
      <c r="F4570" s="2">
        <f t="shared" si="685"/>
        <v>44439</v>
      </c>
    </row>
    <row r="4571" spans="1:6" x14ac:dyDescent="0.25">
      <c r="A4571" s="1" t="s">
        <v>1670</v>
      </c>
      <c r="B4571" s="1" t="s">
        <v>1669</v>
      </c>
      <c r="C4571" s="1" t="s">
        <v>17</v>
      </c>
      <c r="D4571" s="3">
        <f t="shared" si="683"/>
        <v>8850</v>
      </c>
      <c r="E4571" s="2">
        <f t="shared" si="684"/>
        <v>44075</v>
      </c>
      <c r="F4571" s="2">
        <f t="shared" si="685"/>
        <v>44439</v>
      </c>
    </row>
    <row r="4572" spans="1:6" x14ac:dyDescent="0.25">
      <c r="A4572" s="1" t="s">
        <v>1670</v>
      </c>
      <c r="B4572" s="1" t="s">
        <v>1669</v>
      </c>
      <c r="C4572" s="1" t="s">
        <v>22</v>
      </c>
      <c r="D4572" s="3">
        <f t="shared" si="683"/>
        <v>8850</v>
      </c>
      <c r="E4572" s="2">
        <f t="shared" si="684"/>
        <v>44075</v>
      </c>
      <c r="F4572" s="2">
        <f t="shared" si="685"/>
        <v>44439</v>
      </c>
    </row>
    <row r="4573" spans="1:6" x14ac:dyDescent="0.25">
      <c r="A4573" s="1" t="s">
        <v>1670</v>
      </c>
      <c r="B4573" s="1" t="s">
        <v>1669</v>
      </c>
      <c r="C4573" s="1" t="s">
        <v>146</v>
      </c>
      <c r="D4573" s="3">
        <f t="shared" si="683"/>
        <v>8850</v>
      </c>
      <c r="E4573" s="2">
        <f t="shared" si="684"/>
        <v>44075</v>
      </c>
      <c r="F4573" s="2">
        <f t="shared" si="685"/>
        <v>44439</v>
      </c>
    </row>
    <row r="4574" spans="1:6" x14ac:dyDescent="0.25">
      <c r="A4574" s="1" t="s">
        <v>1670</v>
      </c>
      <c r="B4574" s="1" t="s">
        <v>1669</v>
      </c>
      <c r="C4574" s="1" t="s">
        <v>67</v>
      </c>
      <c r="D4574" s="3">
        <f t="shared" si="683"/>
        <v>8850</v>
      </c>
      <c r="E4574" s="2">
        <f t="shared" si="684"/>
        <v>44075</v>
      </c>
      <c r="F4574" s="2">
        <f t="shared" si="685"/>
        <v>44439</v>
      </c>
    </row>
    <row r="4575" spans="1:6" x14ac:dyDescent="0.25">
      <c r="A4575" s="1" t="s">
        <v>1670</v>
      </c>
      <c r="B4575" s="1" t="s">
        <v>1669</v>
      </c>
      <c r="C4575" s="1" t="s">
        <v>400</v>
      </c>
      <c r="D4575" s="3">
        <f t="shared" si="683"/>
        <v>8850</v>
      </c>
      <c r="E4575" s="2">
        <f t="shared" si="684"/>
        <v>44075</v>
      </c>
      <c r="F4575" s="2">
        <f t="shared" si="685"/>
        <v>44439</v>
      </c>
    </row>
    <row r="4576" spans="1:6" x14ac:dyDescent="0.25">
      <c r="A4576" s="1" t="s">
        <v>1670</v>
      </c>
      <c r="B4576" s="1" t="s">
        <v>1669</v>
      </c>
      <c r="C4576" s="1" t="s">
        <v>24</v>
      </c>
      <c r="D4576" s="3">
        <f t="shared" si="683"/>
        <v>8850</v>
      </c>
      <c r="E4576" s="2">
        <f t="shared" si="684"/>
        <v>44075</v>
      </c>
      <c r="F4576" s="2">
        <f t="shared" si="685"/>
        <v>44439</v>
      </c>
    </row>
    <row r="4577" spans="1:6" x14ac:dyDescent="0.25">
      <c r="A4577" s="1" t="s">
        <v>1670</v>
      </c>
      <c r="B4577" s="1" t="s">
        <v>1669</v>
      </c>
      <c r="C4577" s="1" t="s">
        <v>160</v>
      </c>
      <c r="D4577" s="3">
        <f t="shared" si="683"/>
        <v>8850</v>
      </c>
      <c r="E4577" s="2">
        <f t="shared" si="684"/>
        <v>44075</v>
      </c>
      <c r="F4577" s="2">
        <f t="shared" si="685"/>
        <v>44439</v>
      </c>
    </row>
    <row r="4578" spans="1:6" x14ac:dyDescent="0.25">
      <c r="A4578" s="1" t="s">
        <v>1670</v>
      </c>
      <c r="B4578" s="1" t="s">
        <v>1669</v>
      </c>
      <c r="C4578" s="1" t="s">
        <v>34</v>
      </c>
      <c r="D4578" s="3">
        <f t="shared" si="683"/>
        <v>8850</v>
      </c>
      <c r="E4578" s="2">
        <f t="shared" si="684"/>
        <v>44075</v>
      </c>
      <c r="F4578" s="2">
        <f t="shared" si="685"/>
        <v>44439</v>
      </c>
    </row>
    <row r="4579" spans="1:6" x14ac:dyDescent="0.25">
      <c r="A4579" s="1" t="s">
        <v>1670</v>
      </c>
      <c r="B4579" s="1" t="s">
        <v>1793</v>
      </c>
      <c r="C4579" s="1" t="s">
        <v>1795</v>
      </c>
      <c r="D4579" s="3">
        <f t="shared" ref="D4579:D4603" si="686">VALUE("8398")</f>
        <v>8398</v>
      </c>
      <c r="E4579" s="2">
        <f t="shared" ref="E4579:E4603" si="687">DATEVALUE("1-12-2018")</f>
        <v>43435</v>
      </c>
      <c r="F4579" s="2">
        <f t="shared" ref="F4579:F4603" si="688">DATEVALUE("30-6-2020")</f>
        <v>44012</v>
      </c>
    </row>
    <row r="4580" spans="1:6" x14ac:dyDescent="0.25">
      <c r="A4580" s="1" t="s">
        <v>1670</v>
      </c>
      <c r="B4580" s="1" t="s">
        <v>1793</v>
      </c>
      <c r="C4580" s="1" t="s">
        <v>140</v>
      </c>
      <c r="D4580" s="3">
        <f t="shared" si="686"/>
        <v>8398</v>
      </c>
      <c r="E4580" s="2">
        <f t="shared" si="687"/>
        <v>43435</v>
      </c>
      <c r="F4580" s="2">
        <f t="shared" si="688"/>
        <v>44012</v>
      </c>
    </row>
    <row r="4581" spans="1:6" x14ac:dyDescent="0.25">
      <c r="A4581" s="1" t="s">
        <v>1670</v>
      </c>
      <c r="B4581" s="1" t="s">
        <v>1793</v>
      </c>
      <c r="C4581" s="1" t="s">
        <v>141</v>
      </c>
      <c r="D4581" s="3">
        <f t="shared" si="686"/>
        <v>8398</v>
      </c>
      <c r="E4581" s="2">
        <f t="shared" si="687"/>
        <v>43435</v>
      </c>
      <c r="F4581" s="2">
        <f t="shared" si="688"/>
        <v>44012</v>
      </c>
    </row>
    <row r="4582" spans="1:6" x14ac:dyDescent="0.25">
      <c r="A4582" s="1" t="s">
        <v>1670</v>
      </c>
      <c r="B4582" s="1" t="s">
        <v>1793</v>
      </c>
      <c r="C4582" s="1" t="s">
        <v>248</v>
      </c>
      <c r="D4582" s="3">
        <f t="shared" si="686"/>
        <v>8398</v>
      </c>
      <c r="E4582" s="2">
        <f t="shared" si="687"/>
        <v>43435</v>
      </c>
      <c r="F4582" s="2">
        <f t="shared" si="688"/>
        <v>44012</v>
      </c>
    </row>
    <row r="4583" spans="1:6" x14ac:dyDescent="0.25">
      <c r="A4583" s="1" t="s">
        <v>1670</v>
      </c>
      <c r="B4583" s="1" t="s">
        <v>1793</v>
      </c>
      <c r="C4583" s="1" t="s">
        <v>14</v>
      </c>
      <c r="D4583" s="3">
        <f t="shared" si="686"/>
        <v>8398</v>
      </c>
      <c r="E4583" s="2">
        <f t="shared" si="687"/>
        <v>43435</v>
      </c>
      <c r="F4583" s="2">
        <f t="shared" si="688"/>
        <v>44012</v>
      </c>
    </row>
    <row r="4584" spans="1:6" x14ac:dyDescent="0.25">
      <c r="A4584" s="1" t="s">
        <v>1670</v>
      </c>
      <c r="B4584" s="1" t="s">
        <v>1793</v>
      </c>
      <c r="C4584" s="1" t="s">
        <v>15</v>
      </c>
      <c r="D4584" s="3">
        <f t="shared" si="686"/>
        <v>8398</v>
      </c>
      <c r="E4584" s="2">
        <f t="shared" si="687"/>
        <v>43435</v>
      </c>
      <c r="F4584" s="2">
        <f t="shared" si="688"/>
        <v>44012</v>
      </c>
    </row>
    <row r="4585" spans="1:6" x14ac:dyDescent="0.25">
      <c r="A4585" s="1" t="s">
        <v>1670</v>
      </c>
      <c r="B4585" s="1" t="s">
        <v>1793</v>
      </c>
      <c r="C4585" s="1" t="s">
        <v>17</v>
      </c>
      <c r="D4585" s="3">
        <f t="shared" si="686"/>
        <v>8398</v>
      </c>
      <c r="E4585" s="2">
        <f t="shared" si="687"/>
        <v>43435</v>
      </c>
      <c r="F4585" s="2">
        <f t="shared" si="688"/>
        <v>44012</v>
      </c>
    </row>
    <row r="4586" spans="1:6" x14ac:dyDescent="0.25">
      <c r="A4586" s="1" t="s">
        <v>1670</v>
      </c>
      <c r="B4586" s="1" t="s">
        <v>1793</v>
      </c>
      <c r="C4586" s="1" t="s">
        <v>22</v>
      </c>
      <c r="D4586" s="3">
        <f t="shared" si="686"/>
        <v>8398</v>
      </c>
      <c r="E4586" s="2">
        <f t="shared" si="687"/>
        <v>43435</v>
      </c>
      <c r="F4586" s="2">
        <f t="shared" si="688"/>
        <v>44012</v>
      </c>
    </row>
    <row r="4587" spans="1:6" x14ac:dyDescent="0.25">
      <c r="A4587" s="1" t="s">
        <v>1670</v>
      </c>
      <c r="B4587" s="1" t="s">
        <v>1793</v>
      </c>
      <c r="C4587" s="1" t="s">
        <v>146</v>
      </c>
      <c r="D4587" s="3">
        <f t="shared" si="686"/>
        <v>8398</v>
      </c>
      <c r="E4587" s="2">
        <f t="shared" si="687"/>
        <v>43435</v>
      </c>
      <c r="F4587" s="2">
        <f t="shared" si="688"/>
        <v>44012</v>
      </c>
    </row>
    <row r="4588" spans="1:6" x14ac:dyDescent="0.25">
      <c r="A4588" s="1" t="s">
        <v>1670</v>
      </c>
      <c r="B4588" s="1" t="s">
        <v>1793</v>
      </c>
      <c r="C4588" s="1" t="s">
        <v>386</v>
      </c>
      <c r="D4588" s="3">
        <f t="shared" si="686"/>
        <v>8398</v>
      </c>
      <c r="E4588" s="2">
        <f t="shared" si="687"/>
        <v>43435</v>
      </c>
      <c r="F4588" s="2">
        <f t="shared" si="688"/>
        <v>44012</v>
      </c>
    </row>
    <row r="4589" spans="1:6" x14ac:dyDescent="0.25">
      <c r="A4589" s="1" t="s">
        <v>1670</v>
      </c>
      <c r="B4589" s="1" t="s">
        <v>1793</v>
      </c>
      <c r="C4589" s="1" t="s">
        <v>387</v>
      </c>
      <c r="D4589" s="3">
        <f t="shared" si="686"/>
        <v>8398</v>
      </c>
      <c r="E4589" s="2">
        <f t="shared" si="687"/>
        <v>43435</v>
      </c>
      <c r="F4589" s="2">
        <f t="shared" si="688"/>
        <v>44012</v>
      </c>
    </row>
    <row r="4590" spans="1:6" x14ac:dyDescent="0.25">
      <c r="A4590" s="1" t="s">
        <v>1670</v>
      </c>
      <c r="B4590" s="1" t="s">
        <v>1793</v>
      </c>
      <c r="C4590" s="1" t="s">
        <v>390</v>
      </c>
      <c r="D4590" s="3">
        <f t="shared" si="686"/>
        <v>8398</v>
      </c>
      <c r="E4590" s="2">
        <f t="shared" si="687"/>
        <v>43435</v>
      </c>
      <c r="F4590" s="2">
        <f t="shared" si="688"/>
        <v>44012</v>
      </c>
    </row>
    <row r="4591" spans="1:6" x14ac:dyDescent="0.25">
      <c r="A4591" s="1" t="s">
        <v>1670</v>
      </c>
      <c r="B4591" s="1" t="s">
        <v>1793</v>
      </c>
      <c r="C4591" s="1" t="s">
        <v>92</v>
      </c>
      <c r="D4591" s="3">
        <f t="shared" si="686"/>
        <v>8398</v>
      </c>
      <c r="E4591" s="2">
        <f t="shared" si="687"/>
        <v>43435</v>
      </c>
      <c r="F4591" s="2">
        <f t="shared" si="688"/>
        <v>44012</v>
      </c>
    </row>
    <row r="4592" spans="1:6" x14ac:dyDescent="0.25">
      <c r="A4592" s="1" t="s">
        <v>1670</v>
      </c>
      <c r="B4592" s="1" t="s">
        <v>1793</v>
      </c>
      <c r="C4592" s="1" t="s">
        <v>400</v>
      </c>
      <c r="D4592" s="3">
        <f t="shared" si="686"/>
        <v>8398</v>
      </c>
      <c r="E4592" s="2">
        <f t="shared" si="687"/>
        <v>43435</v>
      </c>
      <c r="F4592" s="2">
        <f t="shared" si="688"/>
        <v>44012</v>
      </c>
    </row>
    <row r="4593" spans="1:6" x14ac:dyDescent="0.25">
      <c r="A4593" s="1" t="s">
        <v>1670</v>
      </c>
      <c r="B4593" s="1" t="s">
        <v>1793</v>
      </c>
      <c r="C4593" s="1" t="s">
        <v>888</v>
      </c>
      <c r="D4593" s="3">
        <f t="shared" si="686"/>
        <v>8398</v>
      </c>
      <c r="E4593" s="2">
        <f t="shared" si="687"/>
        <v>43435</v>
      </c>
      <c r="F4593" s="2">
        <f t="shared" si="688"/>
        <v>44012</v>
      </c>
    </row>
    <row r="4594" spans="1:6" x14ac:dyDescent="0.25">
      <c r="A4594" s="1" t="s">
        <v>1670</v>
      </c>
      <c r="B4594" s="1" t="s">
        <v>1793</v>
      </c>
      <c r="C4594" s="1" t="s">
        <v>1794</v>
      </c>
      <c r="D4594" s="3">
        <f t="shared" si="686"/>
        <v>8398</v>
      </c>
      <c r="E4594" s="2">
        <f t="shared" si="687"/>
        <v>43435</v>
      </c>
      <c r="F4594" s="2">
        <f t="shared" si="688"/>
        <v>44012</v>
      </c>
    </row>
    <row r="4595" spans="1:6" x14ac:dyDescent="0.25">
      <c r="A4595" s="1" t="s">
        <v>1670</v>
      </c>
      <c r="B4595" s="1" t="s">
        <v>1793</v>
      </c>
      <c r="C4595" s="1" t="s">
        <v>1323</v>
      </c>
      <c r="D4595" s="3">
        <f t="shared" si="686"/>
        <v>8398</v>
      </c>
      <c r="E4595" s="2">
        <f t="shared" si="687"/>
        <v>43435</v>
      </c>
      <c r="F4595" s="2">
        <f t="shared" si="688"/>
        <v>44012</v>
      </c>
    </row>
    <row r="4596" spans="1:6" x14ac:dyDescent="0.25">
      <c r="A4596" s="1" t="s">
        <v>1670</v>
      </c>
      <c r="B4596" s="1" t="s">
        <v>1793</v>
      </c>
      <c r="C4596" s="1" t="s">
        <v>24</v>
      </c>
      <c r="D4596" s="3">
        <f t="shared" si="686"/>
        <v>8398</v>
      </c>
      <c r="E4596" s="2">
        <f t="shared" si="687"/>
        <v>43435</v>
      </c>
      <c r="F4596" s="2">
        <f t="shared" si="688"/>
        <v>44012</v>
      </c>
    </row>
    <row r="4597" spans="1:6" x14ac:dyDescent="0.25">
      <c r="A4597" s="1" t="s">
        <v>1670</v>
      </c>
      <c r="B4597" s="1" t="s">
        <v>1793</v>
      </c>
      <c r="C4597" s="1" t="s">
        <v>457</v>
      </c>
      <c r="D4597" s="3">
        <f t="shared" si="686"/>
        <v>8398</v>
      </c>
      <c r="E4597" s="2">
        <f t="shared" si="687"/>
        <v>43435</v>
      </c>
      <c r="F4597" s="2">
        <f t="shared" si="688"/>
        <v>44012</v>
      </c>
    </row>
    <row r="4598" spans="1:6" x14ac:dyDescent="0.25">
      <c r="A4598" s="1" t="s">
        <v>1670</v>
      </c>
      <c r="B4598" s="1" t="s">
        <v>1793</v>
      </c>
      <c r="C4598" s="1" t="s">
        <v>73</v>
      </c>
      <c r="D4598" s="3">
        <f t="shared" si="686"/>
        <v>8398</v>
      </c>
      <c r="E4598" s="2">
        <f t="shared" si="687"/>
        <v>43435</v>
      </c>
      <c r="F4598" s="2">
        <f t="shared" si="688"/>
        <v>44012</v>
      </c>
    </row>
    <row r="4599" spans="1:6" x14ac:dyDescent="0.25">
      <c r="A4599" s="1" t="s">
        <v>1670</v>
      </c>
      <c r="B4599" s="1" t="s">
        <v>1793</v>
      </c>
      <c r="C4599" s="1" t="s">
        <v>160</v>
      </c>
      <c r="D4599" s="3">
        <f t="shared" si="686"/>
        <v>8398</v>
      </c>
      <c r="E4599" s="2">
        <f t="shared" si="687"/>
        <v>43435</v>
      </c>
      <c r="F4599" s="2">
        <f t="shared" si="688"/>
        <v>44012</v>
      </c>
    </row>
    <row r="4600" spans="1:6" x14ac:dyDescent="0.25">
      <c r="A4600" s="1" t="s">
        <v>1670</v>
      </c>
      <c r="B4600" s="1" t="s">
        <v>1793</v>
      </c>
      <c r="C4600" s="1" t="s">
        <v>378</v>
      </c>
      <c r="D4600" s="3">
        <f t="shared" si="686"/>
        <v>8398</v>
      </c>
      <c r="E4600" s="2">
        <f t="shared" si="687"/>
        <v>43435</v>
      </c>
      <c r="F4600" s="2">
        <f t="shared" si="688"/>
        <v>44012</v>
      </c>
    </row>
    <row r="4601" spans="1:6" x14ac:dyDescent="0.25">
      <c r="A4601" s="1" t="s">
        <v>1670</v>
      </c>
      <c r="B4601" s="1" t="s">
        <v>1793</v>
      </c>
      <c r="C4601" s="1" t="s">
        <v>403</v>
      </c>
      <c r="D4601" s="3">
        <f t="shared" si="686"/>
        <v>8398</v>
      </c>
      <c r="E4601" s="2">
        <f t="shared" si="687"/>
        <v>43435</v>
      </c>
      <c r="F4601" s="2">
        <f t="shared" si="688"/>
        <v>44012</v>
      </c>
    </row>
    <row r="4602" spans="1:6" x14ac:dyDescent="0.25">
      <c r="A4602" s="1" t="s">
        <v>1670</v>
      </c>
      <c r="B4602" s="1" t="s">
        <v>1793</v>
      </c>
      <c r="C4602" s="1" t="s">
        <v>404</v>
      </c>
      <c r="D4602" s="3">
        <f t="shared" si="686"/>
        <v>8398</v>
      </c>
      <c r="E4602" s="2">
        <f t="shared" si="687"/>
        <v>43435</v>
      </c>
      <c r="F4602" s="2">
        <f t="shared" si="688"/>
        <v>44012</v>
      </c>
    </row>
    <row r="4603" spans="1:6" x14ac:dyDescent="0.25">
      <c r="A4603" s="1" t="s">
        <v>1670</v>
      </c>
      <c r="B4603" s="1" t="s">
        <v>1793</v>
      </c>
      <c r="C4603" s="1" t="s">
        <v>34</v>
      </c>
      <c r="D4603" s="3">
        <f t="shared" si="686"/>
        <v>8398</v>
      </c>
      <c r="E4603" s="2">
        <f t="shared" si="687"/>
        <v>43435</v>
      </c>
      <c r="F4603" s="2">
        <f t="shared" si="688"/>
        <v>44012</v>
      </c>
    </row>
    <row r="4604" spans="1:6" x14ac:dyDescent="0.25">
      <c r="A4604" s="1" t="s">
        <v>1670</v>
      </c>
      <c r="B4604" s="1" t="s">
        <v>2367</v>
      </c>
      <c r="C4604" s="1" t="s">
        <v>15</v>
      </c>
      <c r="D4604" s="3">
        <f>VALUE("8262")</f>
        <v>8262</v>
      </c>
      <c r="E4604" s="2">
        <f>DATEVALUE("1-9-2018")</f>
        <v>43344</v>
      </c>
      <c r="F4604" s="2">
        <f>DATEVALUE("30-4-2019")</f>
        <v>43585</v>
      </c>
    </row>
    <row r="4605" spans="1:6" x14ac:dyDescent="0.25">
      <c r="A4605" s="1" t="s">
        <v>1670</v>
      </c>
      <c r="B4605" s="1" t="s">
        <v>2367</v>
      </c>
      <c r="C4605" s="1" t="s">
        <v>146</v>
      </c>
      <c r="D4605" s="3">
        <f>VALUE("8262")</f>
        <v>8262</v>
      </c>
      <c r="E4605" s="2">
        <f>DATEVALUE("1-9-2018")</f>
        <v>43344</v>
      </c>
      <c r="F4605" s="2">
        <f>DATEVALUE("30-4-2019")</f>
        <v>43585</v>
      </c>
    </row>
    <row r="4606" spans="1:6" x14ac:dyDescent="0.25">
      <c r="A4606" s="1" t="s">
        <v>1670</v>
      </c>
      <c r="B4606" s="1" t="s">
        <v>2367</v>
      </c>
      <c r="C4606" s="1" t="s">
        <v>67</v>
      </c>
      <c r="D4606" s="3">
        <f>VALUE("8262")</f>
        <v>8262</v>
      </c>
      <c r="E4606" s="2">
        <f>DATEVALUE("1-9-2018")</f>
        <v>43344</v>
      </c>
      <c r="F4606" s="2">
        <f>DATEVALUE("30-4-2019")</f>
        <v>43585</v>
      </c>
    </row>
    <row r="4607" spans="1:6" x14ac:dyDescent="0.25">
      <c r="A4607" s="1" t="s">
        <v>1670</v>
      </c>
      <c r="B4607" s="1" t="s">
        <v>2367</v>
      </c>
      <c r="C4607" s="1" t="s">
        <v>160</v>
      </c>
      <c r="D4607" s="3">
        <f>VALUE("8262")</f>
        <v>8262</v>
      </c>
      <c r="E4607" s="2">
        <f>DATEVALUE("1-9-2018")</f>
        <v>43344</v>
      </c>
      <c r="F4607" s="2">
        <f>DATEVALUE("30-4-2019")</f>
        <v>43585</v>
      </c>
    </row>
    <row r="4608" spans="1:6" x14ac:dyDescent="0.25">
      <c r="A4608" s="1" t="s">
        <v>1670</v>
      </c>
      <c r="B4608" s="1" t="s">
        <v>2738</v>
      </c>
      <c r="C4608" s="1" t="s">
        <v>17</v>
      </c>
      <c r="D4608" s="3">
        <f>VALUE("7546")</f>
        <v>7546</v>
      </c>
      <c r="E4608" s="2">
        <f>DATEVALUE("1-10-2013")</f>
        <v>41548</v>
      </c>
      <c r="F4608" s="2">
        <f>DATEVALUE("30-11-2013")</f>
        <v>41608</v>
      </c>
    </row>
    <row r="4609" spans="1:6" x14ac:dyDescent="0.25">
      <c r="A4609" s="1" t="s">
        <v>1670</v>
      </c>
      <c r="B4609" s="1" t="s">
        <v>2738</v>
      </c>
      <c r="C4609" s="1" t="s">
        <v>22</v>
      </c>
      <c r="D4609" s="3">
        <f>VALUE("7546")</f>
        <v>7546</v>
      </c>
      <c r="E4609" s="2">
        <f>DATEVALUE("1-10-2013")</f>
        <v>41548</v>
      </c>
      <c r="F4609" s="2">
        <f>DATEVALUE("30-11-2013")</f>
        <v>41608</v>
      </c>
    </row>
    <row r="4610" spans="1:6" x14ac:dyDescent="0.25">
      <c r="A4610" s="1" t="s">
        <v>365</v>
      </c>
      <c r="B4610" s="1" t="s">
        <v>909</v>
      </c>
      <c r="C4610" s="1" t="s">
        <v>39</v>
      </c>
      <c r="D4610" s="3">
        <f t="shared" ref="D4610:D4645" si="689">VALUE("8162")</f>
        <v>8162</v>
      </c>
      <c r="E4610" s="2">
        <f t="shared" ref="E4610:E4645" si="690">DATEVALUE("1-10-2017")</f>
        <v>43009</v>
      </c>
      <c r="F4610" s="2">
        <f t="shared" ref="F4610:F4645" si="691">DATEVALUE("31-12-2020")</f>
        <v>44196</v>
      </c>
    </row>
    <row r="4611" spans="1:6" x14ac:dyDescent="0.25">
      <c r="A4611" s="1" t="s">
        <v>365</v>
      </c>
      <c r="B4611" s="1" t="s">
        <v>909</v>
      </c>
      <c r="C4611" s="1" t="s">
        <v>43</v>
      </c>
      <c r="D4611" s="3">
        <f t="shared" si="689"/>
        <v>8162</v>
      </c>
      <c r="E4611" s="2">
        <f t="shared" si="690"/>
        <v>43009</v>
      </c>
      <c r="F4611" s="2">
        <f t="shared" si="691"/>
        <v>44196</v>
      </c>
    </row>
    <row r="4612" spans="1:6" x14ac:dyDescent="0.25">
      <c r="A4612" s="1" t="s">
        <v>365</v>
      </c>
      <c r="B4612" s="1" t="s">
        <v>909</v>
      </c>
      <c r="C4612" s="1" t="s">
        <v>140</v>
      </c>
      <c r="D4612" s="3">
        <f t="shared" si="689"/>
        <v>8162</v>
      </c>
      <c r="E4612" s="2">
        <f t="shared" si="690"/>
        <v>43009</v>
      </c>
      <c r="F4612" s="2">
        <f t="shared" si="691"/>
        <v>44196</v>
      </c>
    </row>
    <row r="4613" spans="1:6" x14ac:dyDescent="0.25">
      <c r="A4613" s="1" t="s">
        <v>365</v>
      </c>
      <c r="B4613" s="1" t="s">
        <v>909</v>
      </c>
      <c r="C4613" s="1" t="s">
        <v>141</v>
      </c>
      <c r="D4613" s="3">
        <f t="shared" si="689"/>
        <v>8162</v>
      </c>
      <c r="E4613" s="2">
        <f t="shared" si="690"/>
        <v>43009</v>
      </c>
      <c r="F4613" s="2">
        <f t="shared" si="691"/>
        <v>44196</v>
      </c>
    </row>
    <row r="4614" spans="1:6" x14ac:dyDescent="0.25">
      <c r="A4614" s="1" t="s">
        <v>365</v>
      </c>
      <c r="B4614" s="1" t="s">
        <v>909</v>
      </c>
      <c r="C4614" s="1" t="s">
        <v>14</v>
      </c>
      <c r="D4614" s="3">
        <f t="shared" si="689"/>
        <v>8162</v>
      </c>
      <c r="E4614" s="2">
        <f t="shared" si="690"/>
        <v>43009</v>
      </c>
      <c r="F4614" s="2">
        <f t="shared" si="691"/>
        <v>44196</v>
      </c>
    </row>
    <row r="4615" spans="1:6" x14ac:dyDescent="0.25">
      <c r="A4615" s="1" t="s">
        <v>365</v>
      </c>
      <c r="B4615" s="1" t="s">
        <v>909</v>
      </c>
      <c r="C4615" s="1" t="s">
        <v>15</v>
      </c>
      <c r="D4615" s="3">
        <f t="shared" si="689"/>
        <v>8162</v>
      </c>
      <c r="E4615" s="2">
        <f t="shared" si="690"/>
        <v>43009</v>
      </c>
      <c r="F4615" s="2">
        <f t="shared" si="691"/>
        <v>44196</v>
      </c>
    </row>
    <row r="4616" spans="1:6" x14ac:dyDescent="0.25">
      <c r="A4616" s="1" t="s">
        <v>365</v>
      </c>
      <c r="B4616" s="1" t="s">
        <v>909</v>
      </c>
      <c r="C4616" s="1" t="s">
        <v>17</v>
      </c>
      <c r="D4616" s="3">
        <f t="shared" si="689"/>
        <v>8162</v>
      </c>
      <c r="E4616" s="2">
        <f t="shared" si="690"/>
        <v>43009</v>
      </c>
      <c r="F4616" s="2">
        <f t="shared" si="691"/>
        <v>44196</v>
      </c>
    </row>
    <row r="4617" spans="1:6" x14ac:dyDescent="0.25">
      <c r="A4617" s="1" t="s">
        <v>365</v>
      </c>
      <c r="B4617" s="1" t="s">
        <v>909</v>
      </c>
      <c r="C4617" s="1" t="s">
        <v>18</v>
      </c>
      <c r="D4617" s="3">
        <f t="shared" si="689"/>
        <v>8162</v>
      </c>
      <c r="E4617" s="2">
        <f t="shared" si="690"/>
        <v>43009</v>
      </c>
      <c r="F4617" s="2">
        <f t="shared" si="691"/>
        <v>44196</v>
      </c>
    </row>
    <row r="4618" spans="1:6" x14ac:dyDescent="0.25">
      <c r="A4618" s="1" t="s">
        <v>365</v>
      </c>
      <c r="B4618" s="1" t="s">
        <v>909</v>
      </c>
      <c r="C4618" s="1" t="s">
        <v>291</v>
      </c>
      <c r="D4618" s="3">
        <f t="shared" si="689"/>
        <v>8162</v>
      </c>
      <c r="E4618" s="2">
        <f t="shared" si="690"/>
        <v>43009</v>
      </c>
      <c r="F4618" s="2">
        <f t="shared" si="691"/>
        <v>44196</v>
      </c>
    </row>
    <row r="4619" spans="1:6" x14ac:dyDescent="0.25">
      <c r="A4619" s="1" t="s">
        <v>365</v>
      </c>
      <c r="B4619" s="1" t="s">
        <v>909</v>
      </c>
      <c r="C4619" s="1" t="s">
        <v>417</v>
      </c>
      <c r="D4619" s="3">
        <f t="shared" si="689"/>
        <v>8162</v>
      </c>
      <c r="E4619" s="2">
        <f t="shared" si="690"/>
        <v>43009</v>
      </c>
      <c r="F4619" s="2">
        <f t="shared" si="691"/>
        <v>44196</v>
      </c>
    </row>
    <row r="4620" spans="1:6" x14ac:dyDescent="0.25">
      <c r="A4620" s="1" t="s">
        <v>365</v>
      </c>
      <c r="B4620" s="1" t="s">
        <v>909</v>
      </c>
      <c r="C4620" s="1" t="s">
        <v>146</v>
      </c>
      <c r="D4620" s="3">
        <f t="shared" si="689"/>
        <v>8162</v>
      </c>
      <c r="E4620" s="2">
        <f t="shared" si="690"/>
        <v>43009</v>
      </c>
      <c r="F4620" s="2">
        <f t="shared" si="691"/>
        <v>44196</v>
      </c>
    </row>
    <row r="4621" spans="1:6" x14ac:dyDescent="0.25">
      <c r="A4621" s="1" t="s">
        <v>365</v>
      </c>
      <c r="B4621" s="1" t="s">
        <v>909</v>
      </c>
      <c r="C4621" s="1" t="s">
        <v>67</v>
      </c>
      <c r="D4621" s="3">
        <f t="shared" si="689"/>
        <v>8162</v>
      </c>
      <c r="E4621" s="2">
        <f t="shared" si="690"/>
        <v>43009</v>
      </c>
      <c r="F4621" s="2">
        <f t="shared" si="691"/>
        <v>44196</v>
      </c>
    </row>
    <row r="4622" spans="1:6" x14ac:dyDescent="0.25">
      <c r="A4622" s="1" t="s">
        <v>365</v>
      </c>
      <c r="B4622" s="1" t="s">
        <v>909</v>
      </c>
      <c r="C4622" s="1" t="s">
        <v>148</v>
      </c>
      <c r="D4622" s="3">
        <f t="shared" si="689"/>
        <v>8162</v>
      </c>
      <c r="E4622" s="2">
        <f t="shared" si="690"/>
        <v>43009</v>
      </c>
      <c r="F4622" s="2">
        <f t="shared" si="691"/>
        <v>44196</v>
      </c>
    </row>
    <row r="4623" spans="1:6" x14ac:dyDescent="0.25">
      <c r="A4623" s="1" t="s">
        <v>365</v>
      </c>
      <c r="B4623" s="1" t="s">
        <v>909</v>
      </c>
      <c r="C4623" s="1" t="s">
        <v>149</v>
      </c>
      <c r="D4623" s="3">
        <f t="shared" si="689"/>
        <v>8162</v>
      </c>
      <c r="E4623" s="2">
        <f t="shared" si="690"/>
        <v>43009</v>
      </c>
      <c r="F4623" s="2">
        <f t="shared" si="691"/>
        <v>44196</v>
      </c>
    </row>
    <row r="4624" spans="1:6" x14ac:dyDescent="0.25">
      <c r="A4624" s="1" t="s">
        <v>365</v>
      </c>
      <c r="B4624" s="1" t="s">
        <v>909</v>
      </c>
      <c r="C4624" s="1" t="s">
        <v>150</v>
      </c>
      <c r="D4624" s="3">
        <f t="shared" si="689"/>
        <v>8162</v>
      </c>
      <c r="E4624" s="2">
        <f t="shared" si="690"/>
        <v>43009</v>
      </c>
      <c r="F4624" s="2">
        <f t="shared" si="691"/>
        <v>44196</v>
      </c>
    </row>
    <row r="4625" spans="1:6" x14ac:dyDescent="0.25">
      <c r="A4625" s="1" t="s">
        <v>365</v>
      </c>
      <c r="B4625" s="1" t="s">
        <v>909</v>
      </c>
      <c r="C4625" s="1" t="s">
        <v>386</v>
      </c>
      <c r="D4625" s="3">
        <f t="shared" si="689"/>
        <v>8162</v>
      </c>
      <c r="E4625" s="2">
        <f t="shared" si="690"/>
        <v>43009</v>
      </c>
      <c r="F4625" s="2">
        <f t="shared" si="691"/>
        <v>44196</v>
      </c>
    </row>
    <row r="4626" spans="1:6" x14ac:dyDescent="0.25">
      <c r="A4626" s="1" t="s">
        <v>365</v>
      </c>
      <c r="B4626" s="1" t="s">
        <v>909</v>
      </c>
      <c r="C4626" s="1" t="s">
        <v>387</v>
      </c>
      <c r="D4626" s="3">
        <f t="shared" si="689"/>
        <v>8162</v>
      </c>
      <c r="E4626" s="2">
        <f t="shared" si="690"/>
        <v>43009</v>
      </c>
      <c r="F4626" s="2">
        <f t="shared" si="691"/>
        <v>44196</v>
      </c>
    </row>
    <row r="4627" spans="1:6" x14ac:dyDescent="0.25">
      <c r="A4627" s="1" t="s">
        <v>365</v>
      </c>
      <c r="B4627" s="1" t="s">
        <v>909</v>
      </c>
      <c r="C4627" s="1" t="s">
        <v>388</v>
      </c>
      <c r="D4627" s="3">
        <f t="shared" si="689"/>
        <v>8162</v>
      </c>
      <c r="E4627" s="2">
        <f t="shared" si="690"/>
        <v>43009</v>
      </c>
      <c r="F4627" s="2">
        <f t="shared" si="691"/>
        <v>44196</v>
      </c>
    </row>
    <row r="4628" spans="1:6" x14ac:dyDescent="0.25">
      <c r="A4628" s="1" t="s">
        <v>365</v>
      </c>
      <c r="B4628" s="1" t="s">
        <v>909</v>
      </c>
      <c r="C4628" s="1" t="s">
        <v>92</v>
      </c>
      <c r="D4628" s="3">
        <f t="shared" si="689"/>
        <v>8162</v>
      </c>
      <c r="E4628" s="2">
        <f t="shared" si="690"/>
        <v>43009</v>
      </c>
      <c r="F4628" s="2">
        <f t="shared" si="691"/>
        <v>44196</v>
      </c>
    </row>
    <row r="4629" spans="1:6" x14ac:dyDescent="0.25">
      <c r="A4629" s="1" t="s">
        <v>365</v>
      </c>
      <c r="B4629" s="1" t="s">
        <v>909</v>
      </c>
      <c r="C4629" s="1" t="s">
        <v>151</v>
      </c>
      <c r="D4629" s="3">
        <f t="shared" si="689"/>
        <v>8162</v>
      </c>
      <c r="E4629" s="2">
        <f t="shared" si="690"/>
        <v>43009</v>
      </c>
      <c r="F4629" s="2">
        <f t="shared" si="691"/>
        <v>44196</v>
      </c>
    </row>
    <row r="4630" spans="1:6" x14ac:dyDescent="0.25">
      <c r="A4630" s="1" t="s">
        <v>365</v>
      </c>
      <c r="B4630" s="1" t="s">
        <v>909</v>
      </c>
      <c r="C4630" s="1" t="s">
        <v>24</v>
      </c>
      <c r="D4630" s="3">
        <f t="shared" si="689"/>
        <v>8162</v>
      </c>
      <c r="E4630" s="2">
        <f t="shared" si="690"/>
        <v>43009</v>
      </c>
      <c r="F4630" s="2">
        <f t="shared" si="691"/>
        <v>44196</v>
      </c>
    </row>
    <row r="4631" spans="1:6" x14ac:dyDescent="0.25">
      <c r="A4631" s="1" t="s">
        <v>365</v>
      </c>
      <c r="B4631" s="1" t="s">
        <v>909</v>
      </c>
      <c r="C4631" s="1" t="s">
        <v>50</v>
      </c>
      <c r="D4631" s="3">
        <f t="shared" si="689"/>
        <v>8162</v>
      </c>
      <c r="E4631" s="2">
        <f t="shared" si="690"/>
        <v>43009</v>
      </c>
      <c r="F4631" s="2">
        <f t="shared" si="691"/>
        <v>44196</v>
      </c>
    </row>
    <row r="4632" spans="1:6" x14ac:dyDescent="0.25">
      <c r="A4632" s="1" t="s">
        <v>365</v>
      </c>
      <c r="B4632" s="1" t="s">
        <v>909</v>
      </c>
      <c r="C4632" s="1" t="s">
        <v>72</v>
      </c>
      <c r="D4632" s="3">
        <f t="shared" si="689"/>
        <v>8162</v>
      </c>
      <c r="E4632" s="2">
        <f t="shared" si="690"/>
        <v>43009</v>
      </c>
      <c r="F4632" s="2">
        <f t="shared" si="691"/>
        <v>44196</v>
      </c>
    </row>
    <row r="4633" spans="1:6" x14ac:dyDescent="0.25">
      <c r="A4633" s="1" t="s">
        <v>365</v>
      </c>
      <c r="B4633" s="1" t="s">
        <v>909</v>
      </c>
      <c r="C4633" s="1" t="s">
        <v>910</v>
      </c>
      <c r="D4633" s="3">
        <f t="shared" si="689"/>
        <v>8162</v>
      </c>
      <c r="E4633" s="2">
        <f t="shared" si="690"/>
        <v>43009</v>
      </c>
      <c r="F4633" s="2">
        <f t="shared" si="691"/>
        <v>44196</v>
      </c>
    </row>
    <row r="4634" spans="1:6" x14ac:dyDescent="0.25">
      <c r="A4634" s="1" t="s">
        <v>365</v>
      </c>
      <c r="B4634" s="1" t="s">
        <v>909</v>
      </c>
      <c r="C4634" s="1" t="s">
        <v>391</v>
      </c>
      <c r="D4634" s="3">
        <f t="shared" si="689"/>
        <v>8162</v>
      </c>
      <c r="E4634" s="2">
        <f t="shared" si="690"/>
        <v>43009</v>
      </c>
      <c r="F4634" s="2">
        <f t="shared" si="691"/>
        <v>44196</v>
      </c>
    </row>
    <row r="4635" spans="1:6" x14ac:dyDescent="0.25">
      <c r="A4635" s="1" t="s">
        <v>365</v>
      </c>
      <c r="B4635" s="1" t="s">
        <v>909</v>
      </c>
      <c r="C4635" s="1" t="s">
        <v>52</v>
      </c>
      <c r="D4635" s="3">
        <f t="shared" si="689"/>
        <v>8162</v>
      </c>
      <c r="E4635" s="2">
        <f t="shared" si="690"/>
        <v>43009</v>
      </c>
      <c r="F4635" s="2">
        <f t="shared" si="691"/>
        <v>44196</v>
      </c>
    </row>
    <row r="4636" spans="1:6" x14ac:dyDescent="0.25">
      <c r="A4636" s="1" t="s">
        <v>365</v>
      </c>
      <c r="B4636" s="1" t="s">
        <v>909</v>
      </c>
      <c r="C4636" s="1" t="s">
        <v>160</v>
      </c>
      <c r="D4636" s="3">
        <f t="shared" si="689"/>
        <v>8162</v>
      </c>
      <c r="E4636" s="2">
        <f t="shared" si="690"/>
        <v>43009</v>
      </c>
      <c r="F4636" s="2">
        <f t="shared" si="691"/>
        <v>44196</v>
      </c>
    </row>
    <row r="4637" spans="1:6" x14ac:dyDescent="0.25">
      <c r="A4637" s="1" t="s">
        <v>365</v>
      </c>
      <c r="B4637" s="1" t="s">
        <v>909</v>
      </c>
      <c r="C4637" s="1" t="s">
        <v>378</v>
      </c>
      <c r="D4637" s="3">
        <f t="shared" si="689"/>
        <v>8162</v>
      </c>
      <c r="E4637" s="2">
        <f t="shared" si="690"/>
        <v>43009</v>
      </c>
      <c r="F4637" s="2">
        <f t="shared" si="691"/>
        <v>44196</v>
      </c>
    </row>
    <row r="4638" spans="1:6" x14ac:dyDescent="0.25">
      <c r="A4638" s="1" t="s">
        <v>365</v>
      </c>
      <c r="B4638" s="1" t="s">
        <v>909</v>
      </c>
      <c r="C4638" s="1" t="s">
        <v>34</v>
      </c>
      <c r="D4638" s="3">
        <f t="shared" si="689"/>
        <v>8162</v>
      </c>
      <c r="E4638" s="2">
        <f t="shared" si="690"/>
        <v>43009</v>
      </c>
      <c r="F4638" s="2">
        <f t="shared" si="691"/>
        <v>44196</v>
      </c>
    </row>
    <row r="4639" spans="1:6" x14ac:dyDescent="0.25">
      <c r="A4639" s="1" t="s">
        <v>365</v>
      </c>
      <c r="B4639" s="1" t="s">
        <v>909</v>
      </c>
      <c r="C4639" s="1" t="s">
        <v>306</v>
      </c>
      <c r="D4639" s="3">
        <f t="shared" si="689"/>
        <v>8162</v>
      </c>
      <c r="E4639" s="2">
        <f t="shared" si="690"/>
        <v>43009</v>
      </c>
      <c r="F4639" s="2">
        <f t="shared" si="691"/>
        <v>44196</v>
      </c>
    </row>
    <row r="4640" spans="1:6" x14ac:dyDescent="0.25">
      <c r="A4640" s="1" t="s">
        <v>365</v>
      </c>
      <c r="B4640" s="1" t="s">
        <v>909</v>
      </c>
      <c r="C4640" s="1" t="s">
        <v>131</v>
      </c>
      <c r="D4640" s="3">
        <f t="shared" si="689"/>
        <v>8162</v>
      </c>
      <c r="E4640" s="2">
        <f t="shared" si="690"/>
        <v>43009</v>
      </c>
      <c r="F4640" s="2">
        <f t="shared" si="691"/>
        <v>44196</v>
      </c>
    </row>
    <row r="4641" spans="1:6" x14ac:dyDescent="0.25">
      <c r="A4641" s="1" t="s">
        <v>365</v>
      </c>
      <c r="B4641" s="1" t="s">
        <v>909</v>
      </c>
      <c r="C4641" s="1" t="s">
        <v>132</v>
      </c>
      <c r="D4641" s="3">
        <f t="shared" si="689"/>
        <v>8162</v>
      </c>
      <c r="E4641" s="2">
        <f t="shared" si="690"/>
        <v>43009</v>
      </c>
      <c r="F4641" s="2">
        <f t="shared" si="691"/>
        <v>44196</v>
      </c>
    </row>
    <row r="4642" spans="1:6" x14ac:dyDescent="0.25">
      <c r="A4642" s="1" t="s">
        <v>365</v>
      </c>
      <c r="B4642" s="1" t="s">
        <v>909</v>
      </c>
      <c r="C4642" s="1" t="s">
        <v>380</v>
      </c>
      <c r="D4642" s="3">
        <f t="shared" si="689"/>
        <v>8162</v>
      </c>
      <c r="E4642" s="2">
        <f t="shared" si="690"/>
        <v>43009</v>
      </c>
      <c r="F4642" s="2">
        <f t="shared" si="691"/>
        <v>44196</v>
      </c>
    </row>
    <row r="4643" spans="1:6" x14ac:dyDescent="0.25">
      <c r="A4643" s="1" t="s">
        <v>365</v>
      </c>
      <c r="B4643" s="1" t="s">
        <v>909</v>
      </c>
      <c r="C4643" s="1" t="s">
        <v>381</v>
      </c>
      <c r="D4643" s="3">
        <f t="shared" si="689"/>
        <v>8162</v>
      </c>
      <c r="E4643" s="2">
        <f t="shared" si="690"/>
        <v>43009</v>
      </c>
      <c r="F4643" s="2">
        <f t="shared" si="691"/>
        <v>44196</v>
      </c>
    </row>
    <row r="4644" spans="1:6" x14ac:dyDescent="0.25">
      <c r="A4644" s="1" t="s">
        <v>365</v>
      </c>
      <c r="B4644" s="1" t="s">
        <v>909</v>
      </c>
      <c r="C4644" s="1" t="s">
        <v>57</v>
      </c>
      <c r="D4644" s="3">
        <f t="shared" si="689"/>
        <v>8162</v>
      </c>
      <c r="E4644" s="2">
        <f t="shared" si="690"/>
        <v>43009</v>
      </c>
      <c r="F4644" s="2">
        <f t="shared" si="691"/>
        <v>44196</v>
      </c>
    </row>
    <row r="4645" spans="1:6" x14ac:dyDescent="0.25">
      <c r="A4645" s="1" t="s">
        <v>365</v>
      </c>
      <c r="B4645" s="1" t="s">
        <v>909</v>
      </c>
      <c r="C4645" s="1" t="s">
        <v>36</v>
      </c>
      <c r="D4645" s="3">
        <f t="shared" si="689"/>
        <v>8162</v>
      </c>
      <c r="E4645" s="2">
        <f t="shared" si="690"/>
        <v>43009</v>
      </c>
      <c r="F4645" s="2">
        <f t="shared" si="691"/>
        <v>44196</v>
      </c>
    </row>
    <row r="4646" spans="1:6" x14ac:dyDescent="0.25">
      <c r="A4646" s="1" t="s">
        <v>365</v>
      </c>
      <c r="B4646" s="1" t="s">
        <v>738</v>
      </c>
      <c r="C4646" s="1" t="s">
        <v>7</v>
      </c>
      <c r="D4646" s="3">
        <f t="shared" ref="D4646:D4677" si="692">VALUE("7920")</f>
        <v>7920</v>
      </c>
      <c r="E4646" s="2">
        <f t="shared" ref="E4646:E4677" si="693">DATEVALUE("1-7-2016")</f>
        <v>42552</v>
      </c>
      <c r="F4646" s="2">
        <f t="shared" ref="F4646:F4677" si="694">DATEVALUE("31-12-2024")</f>
        <v>45657</v>
      </c>
    </row>
    <row r="4647" spans="1:6" x14ac:dyDescent="0.25">
      <c r="A4647" s="1" t="s">
        <v>365</v>
      </c>
      <c r="B4647" s="1" t="s">
        <v>738</v>
      </c>
      <c r="C4647" s="1" t="s">
        <v>6</v>
      </c>
      <c r="D4647" s="3">
        <f t="shared" si="692"/>
        <v>7920</v>
      </c>
      <c r="E4647" s="2">
        <f t="shared" si="693"/>
        <v>42552</v>
      </c>
      <c r="F4647" s="2">
        <f t="shared" si="694"/>
        <v>45657</v>
      </c>
    </row>
    <row r="4648" spans="1:6" x14ac:dyDescent="0.25">
      <c r="A4648" s="1" t="s">
        <v>365</v>
      </c>
      <c r="B4648" s="1" t="s">
        <v>738</v>
      </c>
      <c r="C4648" s="1" t="s">
        <v>81</v>
      </c>
      <c r="D4648" s="3">
        <f t="shared" si="692"/>
        <v>7920</v>
      </c>
      <c r="E4648" s="2">
        <f t="shared" si="693"/>
        <v>42552</v>
      </c>
      <c r="F4648" s="2">
        <f t="shared" si="694"/>
        <v>45657</v>
      </c>
    </row>
    <row r="4649" spans="1:6" x14ac:dyDescent="0.25">
      <c r="A4649" s="1" t="s">
        <v>365</v>
      </c>
      <c r="B4649" s="1" t="s">
        <v>738</v>
      </c>
      <c r="C4649" s="1" t="s">
        <v>40</v>
      </c>
      <c r="D4649" s="3">
        <f t="shared" si="692"/>
        <v>7920</v>
      </c>
      <c r="E4649" s="2">
        <f t="shared" si="693"/>
        <v>42552</v>
      </c>
      <c r="F4649" s="2">
        <f t="shared" si="694"/>
        <v>45657</v>
      </c>
    </row>
    <row r="4650" spans="1:6" x14ac:dyDescent="0.25">
      <c r="A4650" s="1" t="s">
        <v>365</v>
      </c>
      <c r="B4650" s="1" t="s">
        <v>738</v>
      </c>
      <c r="C4650" s="1" t="s">
        <v>41</v>
      </c>
      <c r="D4650" s="3">
        <f t="shared" si="692"/>
        <v>7920</v>
      </c>
      <c r="E4650" s="2">
        <f t="shared" si="693"/>
        <v>42552</v>
      </c>
      <c r="F4650" s="2">
        <f t="shared" si="694"/>
        <v>45657</v>
      </c>
    </row>
    <row r="4651" spans="1:6" x14ac:dyDescent="0.25">
      <c r="A4651" s="1" t="s">
        <v>365</v>
      </c>
      <c r="B4651" s="1" t="s">
        <v>738</v>
      </c>
      <c r="C4651" s="1" t="s">
        <v>191</v>
      </c>
      <c r="D4651" s="3">
        <f t="shared" si="692"/>
        <v>7920</v>
      </c>
      <c r="E4651" s="2">
        <f t="shared" si="693"/>
        <v>42552</v>
      </c>
      <c r="F4651" s="2">
        <f t="shared" si="694"/>
        <v>45657</v>
      </c>
    </row>
    <row r="4652" spans="1:6" x14ac:dyDescent="0.25">
      <c r="A4652" s="1" t="s">
        <v>365</v>
      </c>
      <c r="B4652" s="1" t="s">
        <v>738</v>
      </c>
      <c r="C4652" s="1" t="s">
        <v>61</v>
      </c>
      <c r="D4652" s="3">
        <f t="shared" si="692"/>
        <v>7920</v>
      </c>
      <c r="E4652" s="2">
        <f t="shared" si="693"/>
        <v>42552</v>
      </c>
      <c r="F4652" s="2">
        <f t="shared" si="694"/>
        <v>45657</v>
      </c>
    </row>
    <row r="4653" spans="1:6" x14ac:dyDescent="0.25">
      <c r="A4653" s="1" t="s">
        <v>365</v>
      </c>
      <c r="B4653" s="1" t="s">
        <v>738</v>
      </c>
      <c r="C4653" s="1" t="s">
        <v>43</v>
      </c>
      <c r="D4653" s="3">
        <f t="shared" si="692"/>
        <v>7920</v>
      </c>
      <c r="E4653" s="2">
        <f t="shared" si="693"/>
        <v>42552</v>
      </c>
      <c r="F4653" s="2">
        <f t="shared" si="694"/>
        <v>45657</v>
      </c>
    </row>
    <row r="4654" spans="1:6" x14ac:dyDescent="0.25">
      <c r="A4654" s="1" t="s">
        <v>365</v>
      </c>
      <c r="B4654" s="1" t="s">
        <v>738</v>
      </c>
      <c r="C4654" s="1" t="s">
        <v>346</v>
      </c>
      <c r="D4654" s="3">
        <f t="shared" si="692"/>
        <v>7920</v>
      </c>
      <c r="E4654" s="2">
        <f t="shared" si="693"/>
        <v>42552</v>
      </c>
      <c r="F4654" s="2">
        <f t="shared" si="694"/>
        <v>45657</v>
      </c>
    </row>
    <row r="4655" spans="1:6" x14ac:dyDescent="0.25">
      <c r="A4655" s="1" t="s">
        <v>365</v>
      </c>
      <c r="B4655" s="1" t="s">
        <v>738</v>
      </c>
      <c r="C4655" s="1" t="s">
        <v>138</v>
      </c>
      <c r="D4655" s="3">
        <f t="shared" si="692"/>
        <v>7920</v>
      </c>
      <c r="E4655" s="2">
        <f t="shared" si="693"/>
        <v>42552</v>
      </c>
      <c r="F4655" s="2">
        <f t="shared" si="694"/>
        <v>45657</v>
      </c>
    </row>
    <row r="4656" spans="1:6" x14ac:dyDescent="0.25">
      <c r="A4656" s="1" t="s">
        <v>365</v>
      </c>
      <c r="B4656" s="1" t="s">
        <v>738</v>
      </c>
      <c r="C4656" s="1" t="s">
        <v>289</v>
      </c>
      <c r="D4656" s="3">
        <f t="shared" si="692"/>
        <v>7920</v>
      </c>
      <c r="E4656" s="2">
        <f t="shared" si="693"/>
        <v>42552</v>
      </c>
      <c r="F4656" s="2">
        <f t="shared" si="694"/>
        <v>45657</v>
      </c>
    </row>
    <row r="4657" spans="1:6" x14ac:dyDescent="0.25">
      <c r="A4657" s="1" t="s">
        <v>365</v>
      </c>
      <c r="B4657" s="1" t="s">
        <v>738</v>
      </c>
      <c r="C4657" s="1" t="s">
        <v>139</v>
      </c>
      <c r="D4657" s="3">
        <f t="shared" si="692"/>
        <v>7920</v>
      </c>
      <c r="E4657" s="2">
        <f t="shared" si="693"/>
        <v>42552</v>
      </c>
      <c r="F4657" s="2">
        <f t="shared" si="694"/>
        <v>45657</v>
      </c>
    </row>
    <row r="4658" spans="1:6" x14ac:dyDescent="0.25">
      <c r="A4658" s="1" t="s">
        <v>365</v>
      </c>
      <c r="B4658" s="1" t="s">
        <v>738</v>
      </c>
      <c r="C4658" s="1" t="s">
        <v>375</v>
      </c>
      <c r="D4658" s="3">
        <f t="shared" si="692"/>
        <v>7920</v>
      </c>
      <c r="E4658" s="2">
        <f t="shared" si="693"/>
        <v>42552</v>
      </c>
      <c r="F4658" s="2">
        <f t="shared" si="694"/>
        <v>45657</v>
      </c>
    </row>
    <row r="4659" spans="1:6" x14ac:dyDescent="0.25">
      <c r="A4659" s="1" t="s">
        <v>365</v>
      </c>
      <c r="B4659" s="1" t="s">
        <v>738</v>
      </c>
      <c r="C4659" s="1" t="s">
        <v>62</v>
      </c>
      <c r="D4659" s="3">
        <f t="shared" si="692"/>
        <v>7920</v>
      </c>
      <c r="E4659" s="2">
        <f t="shared" si="693"/>
        <v>42552</v>
      </c>
      <c r="F4659" s="2">
        <f t="shared" si="694"/>
        <v>45657</v>
      </c>
    </row>
    <row r="4660" spans="1:6" x14ac:dyDescent="0.25">
      <c r="A4660" s="1" t="s">
        <v>365</v>
      </c>
      <c r="B4660" s="1" t="s">
        <v>738</v>
      </c>
      <c r="C4660" s="1" t="s">
        <v>63</v>
      </c>
      <c r="D4660" s="3">
        <f t="shared" si="692"/>
        <v>7920</v>
      </c>
      <c r="E4660" s="2">
        <f t="shared" si="693"/>
        <v>42552</v>
      </c>
      <c r="F4660" s="2">
        <f t="shared" si="694"/>
        <v>45657</v>
      </c>
    </row>
    <row r="4661" spans="1:6" x14ac:dyDescent="0.25">
      <c r="A4661" s="1" t="s">
        <v>365</v>
      </c>
      <c r="B4661" s="1" t="s">
        <v>738</v>
      </c>
      <c r="C4661" s="1" t="s">
        <v>45</v>
      </c>
      <c r="D4661" s="3">
        <f t="shared" si="692"/>
        <v>7920</v>
      </c>
      <c r="E4661" s="2">
        <f t="shared" si="693"/>
        <v>42552</v>
      </c>
      <c r="F4661" s="2">
        <f t="shared" si="694"/>
        <v>45657</v>
      </c>
    </row>
    <row r="4662" spans="1:6" x14ac:dyDescent="0.25">
      <c r="A4662" s="1" t="s">
        <v>365</v>
      </c>
      <c r="B4662" s="1" t="s">
        <v>738</v>
      </c>
      <c r="C4662" s="1" t="s">
        <v>739</v>
      </c>
      <c r="D4662" s="3">
        <f t="shared" si="692"/>
        <v>7920</v>
      </c>
      <c r="E4662" s="2">
        <f t="shared" si="693"/>
        <v>42552</v>
      </c>
      <c r="F4662" s="2">
        <f t="shared" si="694"/>
        <v>45657</v>
      </c>
    </row>
    <row r="4663" spans="1:6" x14ac:dyDescent="0.25">
      <c r="A4663" s="1" t="s">
        <v>365</v>
      </c>
      <c r="B4663" s="1" t="s">
        <v>738</v>
      </c>
      <c r="C4663" s="1" t="s">
        <v>44</v>
      </c>
      <c r="D4663" s="3">
        <f t="shared" si="692"/>
        <v>7920</v>
      </c>
      <c r="E4663" s="2">
        <f t="shared" si="693"/>
        <v>42552</v>
      </c>
      <c r="F4663" s="2">
        <f t="shared" si="694"/>
        <v>45657</v>
      </c>
    </row>
    <row r="4664" spans="1:6" x14ac:dyDescent="0.25">
      <c r="A4664" s="1" t="s">
        <v>365</v>
      </c>
      <c r="B4664" s="1" t="s">
        <v>738</v>
      </c>
      <c r="C4664" s="1" t="s">
        <v>740</v>
      </c>
      <c r="D4664" s="3">
        <f t="shared" si="692"/>
        <v>7920</v>
      </c>
      <c r="E4664" s="2">
        <f t="shared" si="693"/>
        <v>42552</v>
      </c>
      <c r="F4664" s="2">
        <f t="shared" si="694"/>
        <v>45657</v>
      </c>
    </row>
    <row r="4665" spans="1:6" x14ac:dyDescent="0.25">
      <c r="A4665" s="1" t="s">
        <v>365</v>
      </c>
      <c r="B4665" s="1" t="s">
        <v>738</v>
      </c>
      <c r="C4665" s="1" t="s">
        <v>741</v>
      </c>
      <c r="D4665" s="3">
        <f t="shared" si="692"/>
        <v>7920</v>
      </c>
      <c r="E4665" s="2">
        <f t="shared" si="693"/>
        <v>42552</v>
      </c>
      <c r="F4665" s="2">
        <f t="shared" si="694"/>
        <v>45657</v>
      </c>
    </row>
    <row r="4666" spans="1:6" x14ac:dyDescent="0.25">
      <c r="A4666" s="1" t="s">
        <v>365</v>
      </c>
      <c r="B4666" s="1" t="s">
        <v>738</v>
      </c>
      <c r="C4666" s="1" t="s">
        <v>86</v>
      </c>
      <c r="D4666" s="3">
        <f t="shared" si="692"/>
        <v>7920</v>
      </c>
      <c r="E4666" s="2">
        <f t="shared" si="693"/>
        <v>42552</v>
      </c>
      <c r="F4666" s="2">
        <f t="shared" si="694"/>
        <v>45657</v>
      </c>
    </row>
    <row r="4667" spans="1:6" x14ac:dyDescent="0.25">
      <c r="A4667" s="1" t="s">
        <v>365</v>
      </c>
      <c r="B4667" s="1" t="s">
        <v>738</v>
      </c>
      <c r="C4667" s="1" t="s">
        <v>46</v>
      </c>
      <c r="D4667" s="3">
        <f t="shared" si="692"/>
        <v>7920</v>
      </c>
      <c r="E4667" s="2">
        <f t="shared" si="693"/>
        <v>42552</v>
      </c>
      <c r="F4667" s="2">
        <f t="shared" si="694"/>
        <v>45657</v>
      </c>
    </row>
    <row r="4668" spans="1:6" x14ac:dyDescent="0.25">
      <c r="A4668" s="1" t="s">
        <v>365</v>
      </c>
      <c r="B4668" s="1" t="s">
        <v>738</v>
      </c>
      <c r="C4668" s="1" t="s">
        <v>14</v>
      </c>
      <c r="D4668" s="3">
        <f t="shared" si="692"/>
        <v>7920</v>
      </c>
      <c r="E4668" s="2">
        <f t="shared" si="693"/>
        <v>42552</v>
      </c>
      <c r="F4668" s="2">
        <f t="shared" si="694"/>
        <v>45657</v>
      </c>
    </row>
    <row r="4669" spans="1:6" x14ac:dyDescent="0.25">
      <c r="A4669" s="1" t="s">
        <v>365</v>
      </c>
      <c r="B4669" s="1" t="s">
        <v>738</v>
      </c>
      <c r="C4669" s="1" t="s">
        <v>15</v>
      </c>
      <c r="D4669" s="3">
        <f t="shared" si="692"/>
        <v>7920</v>
      </c>
      <c r="E4669" s="2">
        <f t="shared" si="693"/>
        <v>42552</v>
      </c>
      <c r="F4669" s="2">
        <f t="shared" si="694"/>
        <v>45657</v>
      </c>
    </row>
    <row r="4670" spans="1:6" x14ac:dyDescent="0.25">
      <c r="A4670" s="1" t="s">
        <v>365</v>
      </c>
      <c r="B4670" s="1" t="s">
        <v>738</v>
      </c>
      <c r="C4670" s="1" t="s">
        <v>16</v>
      </c>
      <c r="D4670" s="3">
        <f t="shared" si="692"/>
        <v>7920</v>
      </c>
      <c r="E4670" s="2">
        <f t="shared" si="693"/>
        <v>42552</v>
      </c>
      <c r="F4670" s="2">
        <f t="shared" si="694"/>
        <v>45657</v>
      </c>
    </row>
    <row r="4671" spans="1:6" x14ac:dyDescent="0.25">
      <c r="A4671" s="1" t="s">
        <v>365</v>
      </c>
      <c r="B4671" s="1" t="s">
        <v>738</v>
      </c>
      <c r="C4671" s="1" t="s">
        <v>88</v>
      </c>
      <c r="D4671" s="3">
        <f t="shared" si="692"/>
        <v>7920</v>
      </c>
      <c r="E4671" s="2">
        <f t="shared" si="693"/>
        <v>42552</v>
      </c>
      <c r="F4671" s="2">
        <f t="shared" si="694"/>
        <v>45657</v>
      </c>
    </row>
    <row r="4672" spans="1:6" x14ac:dyDescent="0.25">
      <c r="A4672" s="1" t="s">
        <v>365</v>
      </c>
      <c r="B4672" s="1" t="s">
        <v>738</v>
      </c>
      <c r="C4672" s="1" t="s">
        <v>17</v>
      </c>
      <c r="D4672" s="3">
        <f t="shared" si="692"/>
        <v>7920</v>
      </c>
      <c r="E4672" s="2">
        <f t="shared" si="693"/>
        <v>42552</v>
      </c>
      <c r="F4672" s="2">
        <f t="shared" si="694"/>
        <v>45657</v>
      </c>
    </row>
    <row r="4673" spans="1:6" x14ac:dyDescent="0.25">
      <c r="A4673" s="1" t="s">
        <v>365</v>
      </c>
      <c r="B4673" s="1" t="s">
        <v>738</v>
      </c>
      <c r="C4673" s="1" t="s">
        <v>742</v>
      </c>
      <c r="D4673" s="3">
        <f t="shared" si="692"/>
        <v>7920</v>
      </c>
      <c r="E4673" s="2">
        <f t="shared" si="693"/>
        <v>42552</v>
      </c>
      <c r="F4673" s="2">
        <f t="shared" si="694"/>
        <v>45657</v>
      </c>
    </row>
    <row r="4674" spans="1:6" x14ac:dyDescent="0.25">
      <c r="A4674" s="1" t="s">
        <v>365</v>
      </c>
      <c r="B4674" s="1" t="s">
        <v>738</v>
      </c>
      <c r="C4674" s="1" t="s">
        <v>488</v>
      </c>
      <c r="D4674" s="3">
        <f t="shared" si="692"/>
        <v>7920</v>
      </c>
      <c r="E4674" s="2">
        <f t="shared" si="693"/>
        <v>42552</v>
      </c>
      <c r="F4674" s="2">
        <f t="shared" si="694"/>
        <v>45657</v>
      </c>
    </row>
    <row r="4675" spans="1:6" x14ac:dyDescent="0.25">
      <c r="A4675" s="1" t="s">
        <v>365</v>
      </c>
      <c r="B4675" s="1" t="s">
        <v>738</v>
      </c>
      <c r="C4675" s="1" t="s">
        <v>19</v>
      </c>
      <c r="D4675" s="3">
        <f t="shared" si="692"/>
        <v>7920</v>
      </c>
      <c r="E4675" s="2">
        <f t="shared" si="693"/>
        <v>42552</v>
      </c>
      <c r="F4675" s="2">
        <f t="shared" si="694"/>
        <v>45657</v>
      </c>
    </row>
    <row r="4676" spans="1:6" x14ac:dyDescent="0.25">
      <c r="A4676" s="1" t="s">
        <v>365</v>
      </c>
      <c r="B4676" s="1" t="s">
        <v>738</v>
      </c>
      <c r="C4676" s="1" t="s">
        <v>20</v>
      </c>
      <c r="D4676" s="3">
        <f t="shared" si="692"/>
        <v>7920</v>
      </c>
      <c r="E4676" s="2">
        <f t="shared" si="693"/>
        <v>42552</v>
      </c>
      <c r="F4676" s="2">
        <f t="shared" si="694"/>
        <v>45657</v>
      </c>
    </row>
    <row r="4677" spans="1:6" x14ac:dyDescent="0.25">
      <c r="A4677" s="1" t="s">
        <v>365</v>
      </c>
      <c r="B4677" s="1" t="s">
        <v>738</v>
      </c>
      <c r="C4677" s="1" t="s">
        <v>21</v>
      </c>
      <c r="D4677" s="3">
        <f t="shared" si="692"/>
        <v>7920</v>
      </c>
      <c r="E4677" s="2">
        <f t="shared" si="693"/>
        <v>42552</v>
      </c>
      <c r="F4677" s="2">
        <f t="shared" si="694"/>
        <v>45657</v>
      </c>
    </row>
    <row r="4678" spans="1:6" x14ac:dyDescent="0.25">
      <c r="A4678" s="1" t="s">
        <v>365</v>
      </c>
      <c r="B4678" s="1" t="s">
        <v>738</v>
      </c>
      <c r="C4678" s="1" t="s">
        <v>47</v>
      </c>
      <c r="D4678" s="3">
        <f t="shared" ref="D4678:D4709" si="695">VALUE("7920")</f>
        <v>7920</v>
      </c>
      <c r="E4678" s="2">
        <f t="shared" ref="E4678:E4709" si="696">DATEVALUE("1-7-2016")</f>
        <v>42552</v>
      </c>
      <c r="F4678" s="2">
        <f t="shared" ref="F4678:F4709" si="697">DATEVALUE("31-12-2024")</f>
        <v>45657</v>
      </c>
    </row>
    <row r="4679" spans="1:6" x14ac:dyDescent="0.25">
      <c r="A4679" s="1" t="s">
        <v>365</v>
      </c>
      <c r="B4679" s="1" t="s">
        <v>738</v>
      </c>
      <c r="C4679" s="1" t="s">
        <v>417</v>
      </c>
      <c r="D4679" s="3">
        <f t="shared" si="695"/>
        <v>7920</v>
      </c>
      <c r="E4679" s="2">
        <f t="shared" si="696"/>
        <v>42552</v>
      </c>
      <c r="F4679" s="2">
        <f t="shared" si="697"/>
        <v>45657</v>
      </c>
    </row>
    <row r="4680" spans="1:6" x14ac:dyDescent="0.25">
      <c r="A4680" s="1" t="s">
        <v>365</v>
      </c>
      <c r="B4680" s="1" t="s">
        <v>738</v>
      </c>
      <c r="C4680" s="1" t="s">
        <v>328</v>
      </c>
      <c r="D4680" s="3">
        <f t="shared" si="695"/>
        <v>7920</v>
      </c>
      <c r="E4680" s="2">
        <f t="shared" si="696"/>
        <v>42552</v>
      </c>
      <c r="F4680" s="2">
        <f t="shared" si="697"/>
        <v>45657</v>
      </c>
    </row>
    <row r="4681" spans="1:6" x14ac:dyDescent="0.25">
      <c r="A4681" s="1" t="s">
        <v>365</v>
      </c>
      <c r="B4681" s="1" t="s">
        <v>738</v>
      </c>
      <c r="C4681" s="1" t="s">
        <v>22</v>
      </c>
      <c r="D4681" s="3">
        <f t="shared" si="695"/>
        <v>7920</v>
      </c>
      <c r="E4681" s="2">
        <f t="shared" si="696"/>
        <v>42552</v>
      </c>
      <c r="F4681" s="2">
        <f t="shared" si="697"/>
        <v>45657</v>
      </c>
    </row>
    <row r="4682" spans="1:6" x14ac:dyDescent="0.25">
      <c r="A4682" s="1" t="s">
        <v>365</v>
      </c>
      <c r="B4682" s="1" t="s">
        <v>738</v>
      </c>
      <c r="C4682" s="1" t="s">
        <v>146</v>
      </c>
      <c r="D4682" s="3">
        <f t="shared" si="695"/>
        <v>7920</v>
      </c>
      <c r="E4682" s="2">
        <f t="shared" si="696"/>
        <v>42552</v>
      </c>
      <c r="F4682" s="2">
        <f t="shared" si="697"/>
        <v>45657</v>
      </c>
    </row>
    <row r="4683" spans="1:6" x14ac:dyDescent="0.25">
      <c r="A4683" s="1" t="s">
        <v>365</v>
      </c>
      <c r="B4683" s="1" t="s">
        <v>738</v>
      </c>
      <c r="C4683" s="1" t="s">
        <v>67</v>
      </c>
      <c r="D4683" s="3">
        <f t="shared" si="695"/>
        <v>7920</v>
      </c>
      <c r="E4683" s="2">
        <f t="shared" si="696"/>
        <v>42552</v>
      </c>
      <c r="F4683" s="2">
        <f t="shared" si="697"/>
        <v>45657</v>
      </c>
    </row>
    <row r="4684" spans="1:6" x14ac:dyDescent="0.25">
      <c r="A4684" s="1" t="s">
        <v>365</v>
      </c>
      <c r="B4684" s="1" t="s">
        <v>738</v>
      </c>
      <c r="C4684" s="1" t="s">
        <v>259</v>
      </c>
      <c r="D4684" s="3">
        <f t="shared" si="695"/>
        <v>7920</v>
      </c>
      <c r="E4684" s="2">
        <f t="shared" si="696"/>
        <v>42552</v>
      </c>
      <c r="F4684" s="2">
        <f t="shared" si="697"/>
        <v>45657</v>
      </c>
    </row>
    <row r="4685" spans="1:6" x14ac:dyDescent="0.25">
      <c r="A4685" s="1" t="s">
        <v>365</v>
      </c>
      <c r="B4685" s="1" t="s">
        <v>738</v>
      </c>
      <c r="C4685" s="1" t="s">
        <v>384</v>
      </c>
      <c r="D4685" s="3">
        <f t="shared" si="695"/>
        <v>7920</v>
      </c>
      <c r="E4685" s="2">
        <f t="shared" si="696"/>
        <v>42552</v>
      </c>
      <c r="F4685" s="2">
        <f t="shared" si="697"/>
        <v>45657</v>
      </c>
    </row>
    <row r="4686" spans="1:6" x14ac:dyDescent="0.25">
      <c r="A4686" s="1" t="s">
        <v>365</v>
      </c>
      <c r="B4686" s="1" t="s">
        <v>738</v>
      </c>
      <c r="C4686" s="1" t="s">
        <v>147</v>
      </c>
      <c r="D4686" s="3">
        <f t="shared" si="695"/>
        <v>7920</v>
      </c>
      <c r="E4686" s="2">
        <f t="shared" si="696"/>
        <v>42552</v>
      </c>
      <c r="F4686" s="2">
        <f t="shared" si="697"/>
        <v>45657</v>
      </c>
    </row>
    <row r="4687" spans="1:6" x14ac:dyDescent="0.25">
      <c r="A4687" s="1" t="s">
        <v>365</v>
      </c>
      <c r="B4687" s="1" t="s">
        <v>738</v>
      </c>
      <c r="C4687" s="1" t="s">
        <v>385</v>
      </c>
      <c r="D4687" s="3">
        <f t="shared" si="695"/>
        <v>7920</v>
      </c>
      <c r="E4687" s="2">
        <f t="shared" si="696"/>
        <v>42552</v>
      </c>
      <c r="F4687" s="2">
        <f t="shared" si="697"/>
        <v>45657</v>
      </c>
    </row>
    <row r="4688" spans="1:6" x14ac:dyDescent="0.25">
      <c r="A4688" s="1" t="s">
        <v>365</v>
      </c>
      <c r="B4688" s="1" t="s">
        <v>738</v>
      </c>
      <c r="C4688" s="1" t="s">
        <v>386</v>
      </c>
      <c r="D4688" s="3">
        <f t="shared" si="695"/>
        <v>7920</v>
      </c>
      <c r="E4688" s="2">
        <f t="shared" si="696"/>
        <v>42552</v>
      </c>
      <c r="F4688" s="2">
        <f t="shared" si="697"/>
        <v>45657</v>
      </c>
    </row>
    <row r="4689" spans="1:6" x14ac:dyDescent="0.25">
      <c r="A4689" s="1" t="s">
        <v>365</v>
      </c>
      <c r="B4689" s="1" t="s">
        <v>738</v>
      </c>
      <c r="C4689" s="1" t="s">
        <v>387</v>
      </c>
      <c r="D4689" s="3">
        <f t="shared" si="695"/>
        <v>7920</v>
      </c>
      <c r="E4689" s="2">
        <f t="shared" si="696"/>
        <v>42552</v>
      </c>
      <c r="F4689" s="2">
        <f t="shared" si="697"/>
        <v>45657</v>
      </c>
    </row>
    <row r="4690" spans="1:6" x14ac:dyDescent="0.25">
      <c r="A4690" s="1" t="s">
        <v>365</v>
      </c>
      <c r="B4690" s="1" t="s">
        <v>738</v>
      </c>
      <c r="C4690" s="1" t="s">
        <v>388</v>
      </c>
      <c r="D4690" s="3">
        <f t="shared" si="695"/>
        <v>7920</v>
      </c>
      <c r="E4690" s="2">
        <f t="shared" si="696"/>
        <v>42552</v>
      </c>
      <c r="F4690" s="2">
        <f t="shared" si="697"/>
        <v>45657</v>
      </c>
    </row>
    <row r="4691" spans="1:6" x14ac:dyDescent="0.25">
      <c r="A4691" s="1" t="s">
        <v>365</v>
      </c>
      <c r="B4691" s="1" t="s">
        <v>738</v>
      </c>
      <c r="C4691" s="1" t="s">
        <v>456</v>
      </c>
      <c r="D4691" s="3">
        <f t="shared" si="695"/>
        <v>7920</v>
      </c>
      <c r="E4691" s="2">
        <f t="shared" si="696"/>
        <v>42552</v>
      </c>
      <c r="F4691" s="2">
        <f t="shared" si="697"/>
        <v>45657</v>
      </c>
    </row>
    <row r="4692" spans="1:6" x14ac:dyDescent="0.25">
      <c r="A4692" s="1" t="s">
        <v>365</v>
      </c>
      <c r="B4692" s="1" t="s">
        <v>738</v>
      </c>
      <c r="C4692" s="1" t="s">
        <v>389</v>
      </c>
      <c r="D4692" s="3">
        <f t="shared" si="695"/>
        <v>7920</v>
      </c>
      <c r="E4692" s="2">
        <f t="shared" si="696"/>
        <v>42552</v>
      </c>
      <c r="F4692" s="2">
        <f t="shared" si="697"/>
        <v>45657</v>
      </c>
    </row>
    <row r="4693" spans="1:6" x14ac:dyDescent="0.25">
      <c r="A4693" s="1" t="s">
        <v>365</v>
      </c>
      <c r="B4693" s="1" t="s">
        <v>738</v>
      </c>
      <c r="C4693" s="1" t="s">
        <v>390</v>
      </c>
      <c r="D4693" s="3">
        <f t="shared" si="695"/>
        <v>7920</v>
      </c>
      <c r="E4693" s="2">
        <f t="shared" si="696"/>
        <v>42552</v>
      </c>
      <c r="F4693" s="2">
        <f t="shared" si="697"/>
        <v>45657</v>
      </c>
    </row>
    <row r="4694" spans="1:6" x14ac:dyDescent="0.25">
      <c r="A4694" s="1" t="s">
        <v>365</v>
      </c>
      <c r="B4694" s="1" t="s">
        <v>738</v>
      </c>
      <c r="C4694" s="1" t="s">
        <v>472</v>
      </c>
      <c r="D4694" s="3">
        <f t="shared" si="695"/>
        <v>7920</v>
      </c>
      <c r="E4694" s="2">
        <f t="shared" si="696"/>
        <v>42552</v>
      </c>
      <c r="F4694" s="2">
        <f t="shared" si="697"/>
        <v>45657</v>
      </c>
    </row>
    <row r="4695" spans="1:6" x14ac:dyDescent="0.25">
      <c r="A4695" s="1" t="s">
        <v>365</v>
      </c>
      <c r="B4695" s="1" t="s">
        <v>738</v>
      </c>
      <c r="C4695" s="1" t="s">
        <v>92</v>
      </c>
      <c r="D4695" s="3">
        <f t="shared" si="695"/>
        <v>7920</v>
      </c>
      <c r="E4695" s="2">
        <f t="shared" si="696"/>
        <v>42552</v>
      </c>
      <c r="F4695" s="2">
        <f t="shared" si="697"/>
        <v>45657</v>
      </c>
    </row>
    <row r="4696" spans="1:6" x14ac:dyDescent="0.25">
      <c r="A4696" s="1" t="s">
        <v>365</v>
      </c>
      <c r="B4696" s="1" t="s">
        <v>738</v>
      </c>
      <c r="C4696" s="1" t="s">
        <v>654</v>
      </c>
      <c r="D4696" s="3">
        <f t="shared" si="695"/>
        <v>7920</v>
      </c>
      <c r="E4696" s="2">
        <f t="shared" si="696"/>
        <v>42552</v>
      </c>
      <c r="F4696" s="2">
        <f t="shared" si="697"/>
        <v>45657</v>
      </c>
    </row>
    <row r="4697" spans="1:6" x14ac:dyDescent="0.25">
      <c r="A4697" s="1" t="s">
        <v>365</v>
      </c>
      <c r="B4697" s="1" t="s">
        <v>738</v>
      </c>
      <c r="C4697" s="1" t="s">
        <v>616</v>
      </c>
      <c r="D4697" s="3">
        <f t="shared" si="695"/>
        <v>7920</v>
      </c>
      <c r="E4697" s="2">
        <f t="shared" si="696"/>
        <v>42552</v>
      </c>
      <c r="F4697" s="2">
        <f t="shared" si="697"/>
        <v>45657</v>
      </c>
    </row>
    <row r="4698" spans="1:6" x14ac:dyDescent="0.25">
      <c r="A4698" s="1" t="s">
        <v>365</v>
      </c>
      <c r="B4698" s="1" t="s">
        <v>738</v>
      </c>
      <c r="C4698" s="1" t="s">
        <v>155</v>
      </c>
      <c r="D4698" s="3">
        <f t="shared" si="695"/>
        <v>7920</v>
      </c>
      <c r="E4698" s="2">
        <f t="shared" si="696"/>
        <v>42552</v>
      </c>
      <c r="F4698" s="2">
        <f t="shared" si="697"/>
        <v>45657</v>
      </c>
    </row>
    <row r="4699" spans="1:6" x14ac:dyDescent="0.25">
      <c r="A4699" s="1" t="s">
        <v>365</v>
      </c>
      <c r="B4699" s="1" t="s">
        <v>738</v>
      </c>
      <c r="C4699" s="1" t="s">
        <v>24</v>
      </c>
      <c r="D4699" s="3">
        <f t="shared" si="695"/>
        <v>7920</v>
      </c>
      <c r="E4699" s="2">
        <f t="shared" si="696"/>
        <v>42552</v>
      </c>
      <c r="F4699" s="2">
        <f t="shared" si="697"/>
        <v>45657</v>
      </c>
    </row>
    <row r="4700" spans="1:6" x14ac:dyDescent="0.25">
      <c r="A4700" s="1" t="s">
        <v>365</v>
      </c>
      <c r="B4700" s="1" t="s">
        <v>738</v>
      </c>
      <c r="C4700" s="1" t="s">
        <v>70</v>
      </c>
      <c r="D4700" s="3">
        <f t="shared" si="695"/>
        <v>7920</v>
      </c>
      <c r="E4700" s="2">
        <f t="shared" si="696"/>
        <v>42552</v>
      </c>
      <c r="F4700" s="2">
        <f t="shared" si="697"/>
        <v>45657</v>
      </c>
    </row>
    <row r="4701" spans="1:6" x14ac:dyDescent="0.25">
      <c r="A4701" s="1" t="s">
        <v>365</v>
      </c>
      <c r="B4701" s="1" t="s">
        <v>738</v>
      </c>
      <c r="C4701" s="1" t="s">
        <v>26</v>
      </c>
      <c r="D4701" s="3">
        <f t="shared" si="695"/>
        <v>7920</v>
      </c>
      <c r="E4701" s="2">
        <f t="shared" si="696"/>
        <v>42552</v>
      </c>
      <c r="F4701" s="2">
        <f t="shared" si="697"/>
        <v>45657</v>
      </c>
    </row>
    <row r="4702" spans="1:6" x14ac:dyDescent="0.25">
      <c r="A4702" s="1" t="s">
        <v>365</v>
      </c>
      <c r="B4702" s="1" t="s">
        <v>738</v>
      </c>
      <c r="C4702" s="1" t="s">
        <v>260</v>
      </c>
      <c r="D4702" s="3">
        <f t="shared" si="695"/>
        <v>7920</v>
      </c>
      <c r="E4702" s="2">
        <f t="shared" si="696"/>
        <v>42552</v>
      </c>
      <c r="F4702" s="2">
        <f t="shared" si="697"/>
        <v>45657</v>
      </c>
    </row>
    <row r="4703" spans="1:6" x14ac:dyDescent="0.25">
      <c r="A4703" s="1" t="s">
        <v>365</v>
      </c>
      <c r="B4703" s="1" t="s">
        <v>738</v>
      </c>
      <c r="C4703" s="1" t="s">
        <v>261</v>
      </c>
      <c r="D4703" s="3">
        <f t="shared" si="695"/>
        <v>7920</v>
      </c>
      <c r="E4703" s="2">
        <f t="shared" si="696"/>
        <v>42552</v>
      </c>
      <c r="F4703" s="2">
        <f t="shared" si="697"/>
        <v>45657</v>
      </c>
    </row>
    <row r="4704" spans="1:6" x14ac:dyDescent="0.25">
      <c r="A4704" s="1" t="s">
        <v>365</v>
      </c>
      <c r="B4704" s="1" t="s">
        <v>738</v>
      </c>
      <c r="C4704" s="1" t="s">
        <v>457</v>
      </c>
      <c r="D4704" s="3">
        <f t="shared" si="695"/>
        <v>7920</v>
      </c>
      <c r="E4704" s="2">
        <f t="shared" si="696"/>
        <v>42552</v>
      </c>
      <c r="F4704" s="2">
        <f t="shared" si="697"/>
        <v>45657</v>
      </c>
    </row>
    <row r="4705" spans="1:6" x14ac:dyDescent="0.25">
      <c r="A4705" s="1" t="s">
        <v>365</v>
      </c>
      <c r="B4705" s="1" t="s">
        <v>738</v>
      </c>
      <c r="C4705" s="1" t="s">
        <v>51</v>
      </c>
      <c r="D4705" s="3">
        <f t="shared" si="695"/>
        <v>7920</v>
      </c>
      <c r="E4705" s="2">
        <f t="shared" si="696"/>
        <v>42552</v>
      </c>
      <c r="F4705" s="2">
        <f t="shared" si="697"/>
        <v>45657</v>
      </c>
    </row>
    <row r="4706" spans="1:6" x14ac:dyDescent="0.25">
      <c r="A4706" s="1" t="s">
        <v>365</v>
      </c>
      <c r="B4706" s="1" t="s">
        <v>738</v>
      </c>
      <c r="C4706" s="1" t="s">
        <v>73</v>
      </c>
      <c r="D4706" s="3">
        <f t="shared" si="695"/>
        <v>7920</v>
      </c>
      <c r="E4706" s="2">
        <f t="shared" si="696"/>
        <v>42552</v>
      </c>
      <c r="F4706" s="2">
        <f t="shared" si="697"/>
        <v>45657</v>
      </c>
    </row>
    <row r="4707" spans="1:6" x14ac:dyDescent="0.25">
      <c r="A4707" s="1" t="s">
        <v>365</v>
      </c>
      <c r="B4707" s="1" t="s">
        <v>738</v>
      </c>
      <c r="C4707" s="1" t="s">
        <v>52</v>
      </c>
      <c r="D4707" s="3">
        <f t="shared" si="695"/>
        <v>7920</v>
      </c>
      <c r="E4707" s="2">
        <f t="shared" si="696"/>
        <v>42552</v>
      </c>
      <c r="F4707" s="2">
        <f t="shared" si="697"/>
        <v>45657</v>
      </c>
    </row>
    <row r="4708" spans="1:6" x14ac:dyDescent="0.25">
      <c r="A4708" s="1" t="s">
        <v>365</v>
      </c>
      <c r="B4708" s="1" t="s">
        <v>738</v>
      </c>
      <c r="C4708" s="1" t="s">
        <v>241</v>
      </c>
      <c r="D4708" s="3">
        <f t="shared" si="695"/>
        <v>7920</v>
      </c>
      <c r="E4708" s="2">
        <f t="shared" si="696"/>
        <v>42552</v>
      </c>
      <c r="F4708" s="2">
        <f t="shared" si="697"/>
        <v>45657</v>
      </c>
    </row>
    <row r="4709" spans="1:6" x14ac:dyDescent="0.25">
      <c r="A4709" s="1" t="s">
        <v>365</v>
      </c>
      <c r="B4709" s="1" t="s">
        <v>738</v>
      </c>
      <c r="C4709" s="1" t="s">
        <v>303</v>
      </c>
      <c r="D4709" s="3">
        <f t="shared" si="695"/>
        <v>7920</v>
      </c>
      <c r="E4709" s="2">
        <f t="shared" si="696"/>
        <v>42552</v>
      </c>
      <c r="F4709" s="2">
        <f t="shared" si="697"/>
        <v>45657</v>
      </c>
    </row>
    <row r="4710" spans="1:6" x14ac:dyDescent="0.25">
      <c r="A4710" s="1" t="s">
        <v>365</v>
      </c>
      <c r="B4710" s="1" t="s">
        <v>738</v>
      </c>
      <c r="C4710" s="1" t="s">
        <v>160</v>
      </c>
      <c r="D4710" s="3">
        <f t="shared" ref="D4710:D4722" si="698">VALUE("7920")</f>
        <v>7920</v>
      </c>
      <c r="E4710" s="2">
        <f t="shared" ref="E4710:E4741" si="699">DATEVALUE("1-7-2016")</f>
        <v>42552</v>
      </c>
      <c r="F4710" s="2">
        <f t="shared" ref="F4710:F4741" si="700">DATEVALUE("31-12-2024")</f>
        <v>45657</v>
      </c>
    </row>
    <row r="4711" spans="1:6" x14ac:dyDescent="0.25">
      <c r="A4711" s="1" t="s">
        <v>365</v>
      </c>
      <c r="B4711" s="1" t="s">
        <v>738</v>
      </c>
      <c r="C4711" s="1" t="s">
        <v>333</v>
      </c>
      <c r="D4711" s="3">
        <f t="shared" si="698"/>
        <v>7920</v>
      </c>
      <c r="E4711" s="2">
        <f t="shared" si="699"/>
        <v>42552</v>
      </c>
      <c r="F4711" s="2">
        <f t="shared" si="700"/>
        <v>45657</v>
      </c>
    </row>
    <row r="4712" spans="1:6" x14ac:dyDescent="0.25">
      <c r="A4712" s="1" t="s">
        <v>365</v>
      </c>
      <c r="B4712" s="1" t="s">
        <v>738</v>
      </c>
      <c r="C4712" s="1" t="s">
        <v>393</v>
      </c>
      <c r="D4712" s="3">
        <f t="shared" si="698"/>
        <v>7920</v>
      </c>
      <c r="E4712" s="2">
        <f t="shared" si="699"/>
        <v>42552</v>
      </c>
      <c r="F4712" s="2">
        <f t="shared" si="700"/>
        <v>45657</v>
      </c>
    </row>
    <row r="4713" spans="1:6" x14ac:dyDescent="0.25">
      <c r="A4713" s="1" t="s">
        <v>365</v>
      </c>
      <c r="B4713" s="1" t="s">
        <v>738</v>
      </c>
      <c r="C4713" s="1" t="s">
        <v>394</v>
      </c>
      <c r="D4713" s="3">
        <f t="shared" si="698"/>
        <v>7920</v>
      </c>
      <c r="E4713" s="2">
        <f t="shared" si="699"/>
        <v>42552</v>
      </c>
      <c r="F4713" s="2">
        <f t="shared" si="700"/>
        <v>45657</v>
      </c>
    </row>
    <row r="4714" spans="1:6" x14ac:dyDescent="0.25">
      <c r="A4714" s="1" t="s">
        <v>365</v>
      </c>
      <c r="B4714" s="1" t="s">
        <v>738</v>
      </c>
      <c r="C4714" s="1" t="s">
        <v>395</v>
      </c>
      <c r="D4714" s="3">
        <f t="shared" si="698"/>
        <v>7920</v>
      </c>
      <c r="E4714" s="2">
        <f t="shared" si="699"/>
        <v>42552</v>
      </c>
      <c r="F4714" s="2">
        <f t="shared" si="700"/>
        <v>45657</v>
      </c>
    </row>
    <row r="4715" spans="1:6" x14ac:dyDescent="0.25">
      <c r="A4715" s="1" t="s">
        <v>365</v>
      </c>
      <c r="B4715" s="1" t="s">
        <v>738</v>
      </c>
      <c r="C4715" s="1" t="s">
        <v>396</v>
      </c>
      <c r="D4715" s="3">
        <f t="shared" si="698"/>
        <v>7920</v>
      </c>
      <c r="E4715" s="2">
        <f t="shared" si="699"/>
        <v>42552</v>
      </c>
      <c r="F4715" s="2">
        <f t="shared" si="700"/>
        <v>45657</v>
      </c>
    </row>
    <row r="4716" spans="1:6" x14ac:dyDescent="0.25">
      <c r="A4716" s="1" t="s">
        <v>365</v>
      </c>
      <c r="B4716" s="1" t="s">
        <v>738</v>
      </c>
      <c r="C4716" s="1" t="s">
        <v>162</v>
      </c>
      <c r="D4716" s="3">
        <f t="shared" si="698"/>
        <v>7920</v>
      </c>
      <c r="E4716" s="2">
        <f t="shared" si="699"/>
        <v>42552</v>
      </c>
      <c r="F4716" s="2">
        <f t="shared" si="700"/>
        <v>45657</v>
      </c>
    </row>
    <row r="4717" spans="1:6" x14ac:dyDescent="0.25">
      <c r="A4717" s="1" t="s">
        <v>365</v>
      </c>
      <c r="B4717" s="1" t="s">
        <v>738</v>
      </c>
      <c r="C4717" s="1" t="s">
        <v>54</v>
      </c>
      <c r="D4717" s="3">
        <f t="shared" si="698"/>
        <v>7920</v>
      </c>
      <c r="E4717" s="2">
        <f t="shared" si="699"/>
        <v>42552</v>
      </c>
      <c r="F4717" s="2">
        <f t="shared" si="700"/>
        <v>45657</v>
      </c>
    </row>
    <row r="4718" spans="1:6" x14ac:dyDescent="0.25">
      <c r="A4718" s="1" t="s">
        <v>365</v>
      </c>
      <c r="B4718" s="1" t="s">
        <v>738</v>
      </c>
      <c r="C4718" s="1" t="s">
        <v>34</v>
      </c>
      <c r="D4718" s="3">
        <f t="shared" si="698"/>
        <v>7920</v>
      </c>
      <c r="E4718" s="2">
        <f t="shared" si="699"/>
        <v>42552</v>
      </c>
      <c r="F4718" s="2">
        <f t="shared" si="700"/>
        <v>45657</v>
      </c>
    </row>
    <row r="4719" spans="1:6" x14ac:dyDescent="0.25">
      <c r="A4719" s="1" t="s">
        <v>365</v>
      </c>
      <c r="B4719" s="1" t="s">
        <v>738</v>
      </c>
      <c r="C4719" s="1" t="s">
        <v>306</v>
      </c>
      <c r="D4719" s="3">
        <f t="shared" si="698"/>
        <v>7920</v>
      </c>
      <c r="E4719" s="2">
        <f t="shared" si="699"/>
        <v>42552</v>
      </c>
      <c r="F4719" s="2">
        <f t="shared" si="700"/>
        <v>45657</v>
      </c>
    </row>
    <row r="4720" spans="1:6" x14ac:dyDescent="0.25">
      <c r="A4720" s="1" t="s">
        <v>365</v>
      </c>
      <c r="B4720" s="1" t="s">
        <v>738</v>
      </c>
      <c r="C4720" s="1" t="s">
        <v>56</v>
      </c>
      <c r="D4720" s="3">
        <f t="shared" si="698"/>
        <v>7920</v>
      </c>
      <c r="E4720" s="2">
        <f t="shared" si="699"/>
        <v>42552</v>
      </c>
      <c r="F4720" s="2">
        <f t="shared" si="700"/>
        <v>45657</v>
      </c>
    </row>
    <row r="4721" spans="1:6" x14ac:dyDescent="0.25">
      <c r="A4721" s="1" t="s">
        <v>365</v>
      </c>
      <c r="B4721" s="1" t="s">
        <v>738</v>
      </c>
      <c r="C4721" s="1" t="s">
        <v>173</v>
      </c>
      <c r="D4721" s="3">
        <f t="shared" si="698"/>
        <v>7920</v>
      </c>
      <c r="E4721" s="2">
        <f t="shared" si="699"/>
        <v>42552</v>
      </c>
      <c r="F4721" s="2">
        <f t="shared" si="700"/>
        <v>45657</v>
      </c>
    </row>
    <row r="4722" spans="1:6" x14ac:dyDescent="0.25">
      <c r="A4722" s="1" t="s">
        <v>365</v>
      </c>
      <c r="B4722" s="1" t="s">
        <v>738</v>
      </c>
      <c r="C4722" s="1" t="s">
        <v>36</v>
      </c>
      <c r="D4722" s="3">
        <f t="shared" si="698"/>
        <v>7920</v>
      </c>
      <c r="E4722" s="2">
        <f t="shared" si="699"/>
        <v>42552</v>
      </c>
      <c r="F4722" s="2">
        <f t="shared" si="700"/>
        <v>45657</v>
      </c>
    </row>
    <row r="4723" spans="1:6" x14ac:dyDescent="0.25">
      <c r="A4723" s="1" t="s">
        <v>365</v>
      </c>
      <c r="B4723" s="1" t="s">
        <v>743</v>
      </c>
      <c r="C4723" s="1" t="s">
        <v>203</v>
      </c>
      <c r="D4723" s="3">
        <f t="shared" ref="D4723:D4749" si="701">VALUE("7921")</f>
        <v>7921</v>
      </c>
      <c r="E4723" s="2">
        <f t="shared" si="699"/>
        <v>42552</v>
      </c>
      <c r="F4723" s="2">
        <f t="shared" si="700"/>
        <v>45657</v>
      </c>
    </row>
    <row r="4724" spans="1:6" x14ac:dyDescent="0.25">
      <c r="A4724" s="1" t="s">
        <v>365</v>
      </c>
      <c r="B4724" s="1" t="s">
        <v>743</v>
      </c>
      <c r="C4724" s="1" t="s">
        <v>438</v>
      </c>
      <c r="D4724" s="3">
        <f t="shared" si="701"/>
        <v>7921</v>
      </c>
      <c r="E4724" s="2">
        <f t="shared" si="699"/>
        <v>42552</v>
      </c>
      <c r="F4724" s="2">
        <f t="shared" si="700"/>
        <v>45657</v>
      </c>
    </row>
    <row r="4725" spans="1:6" x14ac:dyDescent="0.25">
      <c r="A4725" s="1" t="s">
        <v>365</v>
      </c>
      <c r="B4725" s="1" t="s">
        <v>743</v>
      </c>
      <c r="C4725" s="1" t="s">
        <v>61</v>
      </c>
      <c r="D4725" s="3">
        <f t="shared" si="701"/>
        <v>7921</v>
      </c>
      <c r="E4725" s="2">
        <f t="shared" si="699"/>
        <v>42552</v>
      </c>
      <c r="F4725" s="2">
        <f t="shared" si="700"/>
        <v>45657</v>
      </c>
    </row>
    <row r="4726" spans="1:6" x14ac:dyDescent="0.25">
      <c r="A4726" s="1" t="s">
        <v>365</v>
      </c>
      <c r="B4726" s="1" t="s">
        <v>743</v>
      </c>
      <c r="C4726" s="1" t="s">
        <v>43</v>
      </c>
      <c r="D4726" s="3">
        <f t="shared" si="701"/>
        <v>7921</v>
      </c>
      <c r="E4726" s="2">
        <f t="shared" si="699"/>
        <v>42552</v>
      </c>
      <c r="F4726" s="2">
        <f t="shared" si="700"/>
        <v>45657</v>
      </c>
    </row>
    <row r="4727" spans="1:6" x14ac:dyDescent="0.25">
      <c r="A4727" s="1" t="s">
        <v>365</v>
      </c>
      <c r="B4727" s="1" t="s">
        <v>743</v>
      </c>
      <c r="C4727" s="1" t="s">
        <v>346</v>
      </c>
      <c r="D4727" s="3">
        <f t="shared" si="701"/>
        <v>7921</v>
      </c>
      <c r="E4727" s="2">
        <f t="shared" si="699"/>
        <v>42552</v>
      </c>
      <c r="F4727" s="2">
        <f t="shared" si="700"/>
        <v>45657</v>
      </c>
    </row>
    <row r="4728" spans="1:6" x14ac:dyDescent="0.25">
      <c r="A4728" s="1" t="s">
        <v>365</v>
      </c>
      <c r="B4728" s="1" t="s">
        <v>743</v>
      </c>
      <c r="C4728" s="1" t="s">
        <v>46</v>
      </c>
      <c r="D4728" s="3">
        <f t="shared" si="701"/>
        <v>7921</v>
      </c>
      <c r="E4728" s="2">
        <f t="shared" si="699"/>
        <v>42552</v>
      </c>
      <c r="F4728" s="2">
        <f t="shared" si="700"/>
        <v>45657</v>
      </c>
    </row>
    <row r="4729" spans="1:6" x14ac:dyDescent="0.25">
      <c r="A4729" s="1" t="s">
        <v>365</v>
      </c>
      <c r="B4729" s="1" t="s">
        <v>743</v>
      </c>
      <c r="C4729" s="1" t="s">
        <v>14</v>
      </c>
      <c r="D4729" s="3">
        <f t="shared" si="701"/>
        <v>7921</v>
      </c>
      <c r="E4729" s="2">
        <f t="shared" si="699"/>
        <v>42552</v>
      </c>
      <c r="F4729" s="2">
        <f t="shared" si="700"/>
        <v>45657</v>
      </c>
    </row>
    <row r="4730" spans="1:6" x14ac:dyDescent="0.25">
      <c r="A4730" s="1" t="s">
        <v>365</v>
      </c>
      <c r="B4730" s="1" t="s">
        <v>743</v>
      </c>
      <c r="C4730" s="1" t="s">
        <v>15</v>
      </c>
      <c r="D4730" s="3">
        <f t="shared" si="701"/>
        <v>7921</v>
      </c>
      <c r="E4730" s="2">
        <f t="shared" si="699"/>
        <v>42552</v>
      </c>
      <c r="F4730" s="2">
        <f t="shared" si="700"/>
        <v>45657</v>
      </c>
    </row>
    <row r="4731" spans="1:6" x14ac:dyDescent="0.25">
      <c r="A4731" s="1" t="s">
        <v>365</v>
      </c>
      <c r="B4731" s="1" t="s">
        <v>743</v>
      </c>
      <c r="C4731" s="1" t="s">
        <v>17</v>
      </c>
      <c r="D4731" s="3">
        <f t="shared" si="701"/>
        <v>7921</v>
      </c>
      <c r="E4731" s="2">
        <f t="shared" si="699"/>
        <v>42552</v>
      </c>
      <c r="F4731" s="2">
        <f t="shared" si="700"/>
        <v>45657</v>
      </c>
    </row>
    <row r="4732" spans="1:6" x14ac:dyDescent="0.25">
      <c r="A4732" s="1" t="s">
        <v>365</v>
      </c>
      <c r="B4732" s="1" t="s">
        <v>743</v>
      </c>
      <c r="C4732" s="1" t="s">
        <v>22</v>
      </c>
      <c r="D4732" s="3">
        <f t="shared" si="701"/>
        <v>7921</v>
      </c>
      <c r="E4732" s="2">
        <f t="shared" si="699"/>
        <v>42552</v>
      </c>
      <c r="F4732" s="2">
        <f t="shared" si="700"/>
        <v>45657</v>
      </c>
    </row>
    <row r="4733" spans="1:6" x14ac:dyDescent="0.25">
      <c r="A4733" s="1" t="s">
        <v>365</v>
      </c>
      <c r="B4733" s="1" t="s">
        <v>743</v>
      </c>
      <c r="C4733" s="1" t="s">
        <v>146</v>
      </c>
      <c r="D4733" s="3">
        <f t="shared" si="701"/>
        <v>7921</v>
      </c>
      <c r="E4733" s="2">
        <f t="shared" si="699"/>
        <v>42552</v>
      </c>
      <c r="F4733" s="2">
        <f t="shared" si="700"/>
        <v>45657</v>
      </c>
    </row>
    <row r="4734" spans="1:6" x14ac:dyDescent="0.25">
      <c r="A4734" s="1" t="s">
        <v>365</v>
      </c>
      <c r="B4734" s="1" t="s">
        <v>743</v>
      </c>
      <c r="C4734" s="1" t="s">
        <v>67</v>
      </c>
      <c r="D4734" s="3">
        <f t="shared" si="701"/>
        <v>7921</v>
      </c>
      <c r="E4734" s="2">
        <f t="shared" si="699"/>
        <v>42552</v>
      </c>
      <c r="F4734" s="2">
        <f t="shared" si="700"/>
        <v>45657</v>
      </c>
    </row>
    <row r="4735" spans="1:6" x14ac:dyDescent="0.25">
      <c r="A4735" s="1" t="s">
        <v>365</v>
      </c>
      <c r="B4735" s="1" t="s">
        <v>743</v>
      </c>
      <c r="C4735" s="1" t="s">
        <v>259</v>
      </c>
      <c r="D4735" s="3">
        <f t="shared" si="701"/>
        <v>7921</v>
      </c>
      <c r="E4735" s="2">
        <f t="shared" si="699"/>
        <v>42552</v>
      </c>
      <c r="F4735" s="2">
        <f t="shared" si="700"/>
        <v>45657</v>
      </c>
    </row>
    <row r="4736" spans="1:6" x14ac:dyDescent="0.25">
      <c r="A4736" s="1" t="s">
        <v>365</v>
      </c>
      <c r="B4736" s="1" t="s">
        <v>743</v>
      </c>
      <c r="C4736" s="1" t="s">
        <v>150</v>
      </c>
      <c r="D4736" s="3">
        <f t="shared" si="701"/>
        <v>7921</v>
      </c>
      <c r="E4736" s="2">
        <f t="shared" si="699"/>
        <v>42552</v>
      </c>
      <c r="F4736" s="2">
        <f t="shared" si="700"/>
        <v>45657</v>
      </c>
    </row>
    <row r="4737" spans="1:6" x14ac:dyDescent="0.25">
      <c r="A4737" s="1" t="s">
        <v>365</v>
      </c>
      <c r="B4737" s="1" t="s">
        <v>743</v>
      </c>
      <c r="C4737" s="1" t="s">
        <v>744</v>
      </c>
      <c r="D4737" s="3">
        <f t="shared" si="701"/>
        <v>7921</v>
      </c>
      <c r="E4737" s="2">
        <f t="shared" si="699"/>
        <v>42552</v>
      </c>
      <c r="F4737" s="2">
        <f t="shared" si="700"/>
        <v>45657</v>
      </c>
    </row>
    <row r="4738" spans="1:6" x14ac:dyDescent="0.25">
      <c r="A4738" s="1" t="s">
        <v>365</v>
      </c>
      <c r="B4738" s="1" t="s">
        <v>743</v>
      </c>
      <c r="C4738" s="1" t="s">
        <v>24</v>
      </c>
      <c r="D4738" s="3">
        <f t="shared" si="701"/>
        <v>7921</v>
      </c>
      <c r="E4738" s="2">
        <f t="shared" si="699"/>
        <v>42552</v>
      </c>
      <c r="F4738" s="2">
        <f t="shared" si="700"/>
        <v>45657</v>
      </c>
    </row>
    <row r="4739" spans="1:6" x14ac:dyDescent="0.25">
      <c r="A4739" s="1" t="s">
        <v>365</v>
      </c>
      <c r="B4739" s="1" t="s">
        <v>743</v>
      </c>
      <c r="C4739" s="1" t="s">
        <v>100</v>
      </c>
      <c r="D4739" s="3">
        <f t="shared" si="701"/>
        <v>7921</v>
      </c>
      <c r="E4739" s="2">
        <f t="shared" si="699"/>
        <v>42552</v>
      </c>
      <c r="F4739" s="2">
        <f t="shared" si="700"/>
        <v>45657</v>
      </c>
    </row>
    <row r="4740" spans="1:6" x14ac:dyDescent="0.25">
      <c r="A4740" s="1" t="s">
        <v>365</v>
      </c>
      <c r="B4740" s="1" t="s">
        <v>743</v>
      </c>
      <c r="C4740" s="1" t="s">
        <v>260</v>
      </c>
      <c r="D4740" s="3">
        <f t="shared" si="701"/>
        <v>7921</v>
      </c>
      <c r="E4740" s="2">
        <f t="shared" si="699"/>
        <v>42552</v>
      </c>
      <c r="F4740" s="2">
        <f t="shared" si="700"/>
        <v>45657</v>
      </c>
    </row>
    <row r="4741" spans="1:6" x14ac:dyDescent="0.25">
      <c r="A4741" s="1" t="s">
        <v>365</v>
      </c>
      <c r="B4741" s="1" t="s">
        <v>743</v>
      </c>
      <c r="C4741" s="1" t="s">
        <v>261</v>
      </c>
      <c r="D4741" s="3">
        <f t="shared" si="701"/>
        <v>7921</v>
      </c>
      <c r="E4741" s="2">
        <f t="shared" si="699"/>
        <v>42552</v>
      </c>
      <c r="F4741" s="2">
        <f t="shared" si="700"/>
        <v>45657</v>
      </c>
    </row>
    <row r="4742" spans="1:6" x14ac:dyDescent="0.25">
      <c r="A4742" s="1" t="s">
        <v>365</v>
      </c>
      <c r="B4742" s="1" t="s">
        <v>743</v>
      </c>
      <c r="C4742" s="1" t="s">
        <v>51</v>
      </c>
      <c r="D4742" s="3">
        <f t="shared" si="701"/>
        <v>7921</v>
      </c>
      <c r="E4742" s="2">
        <f t="shared" ref="E4742:E4773" si="702">DATEVALUE("1-7-2016")</f>
        <v>42552</v>
      </c>
      <c r="F4742" s="2">
        <f t="shared" ref="F4742:F4773" si="703">DATEVALUE("31-12-2024")</f>
        <v>45657</v>
      </c>
    </row>
    <row r="4743" spans="1:6" x14ac:dyDescent="0.25">
      <c r="A4743" s="1" t="s">
        <v>365</v>
      </c>
      <c r="B4743" s="1" t="s">
        <v>743</v>
      </c>
      <c r="C4743" s="1" t="s">
        <v>73</v>
      </c>
      <c r="D4743" s="3">
        <f t="shared" si="701"/>
        <v>7921</v>
      </c>
      <c r="E4743" s="2">
        <f t="shared" si="702"/>
        <v>42552</v>
      </c>
      <c r="F4743" s="2">
        <f t="shared" si="703"/>
        <v>45657</v>
      </c>
    </row>
    <row r="4744" spans="1:6" x14ac:dyDescent="0.25">
      <c r="A4744" s="1" t="s">
        <v>365</v>
      </c>
      <c r="B4744" s="1" t="s">
        <v>743</v>
      </c>
      <c r="C4744" s="1" t="s">
        <v>52</v>
      </c>
      <c r="D4744" s="3">
        <f t="shared" si="701"/>
        <v>7921</v>
      </c>
      <c r="E4744" s="2">
        <f t="shared" si="702"/>
        <v>42552</v>
      </c>
      <c r="F4744" s="2">
        <f t="shared" si="703"/>
        <v>45657</v>
      </c>
    </row>
    <row r="4745" spans="1:6" x14ac:dyDescent="0.25">
      <c r="A4745" s="1" t="s">
        <v>365</v>
      </c>
      <c r="B4745" s="1" t="s">
        <v>743</v>
      </c>
      <c r="C4745" s="1" t="s">
        <v>160</v>
      </c>
      <c r="D4745" s="3">
        <f t="shared" si="701"/>
        <v>7921</v>
      </c>
      <c r="E4745" s="2">
        <f t="shared" si="702"/>
        <v>42552</v>
      </c>
      <c r="F4745" s="2">
        <f t="shared" si="703"/>
        <v>45657</v>
      </c>
    </row>
    <row r="4746" spans="1:6" x14ac:dyDescent="0.25">
      <c r="A4746" s="1" t="s">
        <v>365</v>
      </c>
      <c r="B4746" s="1" t="s">
        <v>743</v>
      </c>
      <c r="C4746" s="1" t="s">
        <v>393</v>
      </c>
      <c r="D4746" s="3">
        <f t="shared" si="701"/>
        <v>7921</v>
      </c>
      <c r="E4746" s="2">
        <f t="shared" si="702"/>
        <v>42552</v>
      </c>
      <c r="F4746" s="2">
        <f t="shared" si="703"/>
        <v>45657</v>
      </c>
    </row>
    <row r="4747" spans="1:6" x14ac:dyDescent="0.25">
      <c r="A4747" s="1" t="s">
        <v>365</v>
      </c>
      <c r="B4747" s="1" t="s">
        <v>743</v>
      </c>
      <c r="C4747" s="1" t="s">
        <v>394</v>
      </c>
      <c r="D4747" s="3">
        <f t="shared" si="701"/>
        <v>7921</v>
      </c>
      <c r="E4747" s="2">
        <f t="shared" si="702"/>
        <v>42552</v>
      </c>
      <c r="F4747" s="2">
        <f t="shared" si="703"/>
        <v>45657</v>
      </c>
    </row>
    <row r="4748" spans="1:6" x14ac:dyDescent="0.25">
      <c r="A4748" s="1" t="s">
        <v>365</v>
      </c>
      <c r="B4748" s="1" t="s">
        <v>743</v>
      </c>
      <c r="C4748" s="1" t="s">
        <v>396</v>
      </c>
      <c r="D4748" s="3">
        <f t="shared" si="701"/>
        <v>7921</v>
      </c>
      <c r="E4748" s="2">
        <f t="shared" si="702"/>
        <v>42552</v>
      </c>
      <c r="F4748" s="2">
        <f t="shared" si="703"/>
        <v>45657</v>
      </c>
    </row>
    <row r="4749" spans="1:6" x14ac:dyDescent="0.25">
      <c r="A4749" s="1" t="s">
        <v>365</v>
      </c>
      <c r="B4749" s="1" t="s">
        <v>743</v>
      </c>
      <c r="C4749" s="1" t="s">
        <v>34</v>
      </c>
      <c r="D4749" s="3">
        <f t="shared" si="701"/>
        <v>7921</v>
      </c>
      <c r="E4749" s="2">
        <f t="shared" si="702"/>
        <v>42552</v>
      </c>
      <c r="F4749" s="2">
        <f t="shared" si="703"/>
        <v>45657</v>
      </c>
    </row>
    <row r="4750" spans="1:6" x14ac:dyDescent="0.25">
      <c r="A4750" s="1" t="s">
        <v>365</v>
      </c>
      <c r="B4750" s="1" t="s">
        <v>745</v>
      </c>
      <c r="C4750" s="1" t="s">
        <v>43</v>
      </c>
      <c r="D4750" s="3">
        <f t="shared" ref="D4750:D4781" si="704">VALUE("7922")</f>
        <v>7922</v>
      </c>
      <c r="E4750" s="2">
        <f t="shared" si="702"/>
        <v>42552</v>
      </c>
      <c r="F4750" s="2">
        <f t="shared" si="703"/>
        <v>45657</v>
      </c>
    </row>
    <row r="4751" spans="1:6" x14ac:dyDescent="0.25">
      <c r="A4751" s="1" t="s">
        <v>365</v>
      </c>
      <c r="B4751" s="1" t="s">
        <v>745</v>
      </c>
      <c r="C4751" s="1" t="s">
        <v>486</v>
      </c>
      <c r="D4751" s="3">
        <f t="shared" si="704"/>
        <v>7922</v>
      </c>
      <c r="E4751" s="2">
        <f t="shared" si="702"/>
        <v>42552</v>
      </c>
      <c r="F4751" s="2">
        <f t="shared" si="703"/>
        <v>45657</v>
      </c>
    </row>
    <row r="4752" spans="1:6" x14ac:dyDescent="0.25">
      <c r="A4752" s="1" t="s">
        <v>365</v>
      </c>
      <c r="B4752" s="1" t="s">
        <v>745</v>
      </c>
      <c r="C4752" s="1" t="s">
        <v>413</v>
      </c>
      <c r="D4752" s="3">
        <f t="shared" si="704"/>
        <v>7922</v>
      </c>
      <c r="E4752" s="2">
        <f t="shared" si="702"/>
        <v>42552</v>
      </c>
      <c r="F4752" s="2">
        <f t="shared" si="703"/>
        <v>45657</v>
      </c>
    </row>
    <row r="4753" spans="1:6" x14ac:dyDescent="0.25">
      <c r="A4753" s="1" t="s">
        <v>365</v>
      </c>
      <c r="B4753" s="1" t="s">
        <v>745</v>
      </c>
      <c r="C4753" s="1" t="s">
        <v>289</v>
      </c>
      <c r="D4753" s="3">
        <f t="shared" si="704"/>
        <v>7922</v>
      </c>
      <c r="E4753" s="2">
        <f t="shared" si="702"/>
        <v>42552</v>
      </c>
      <c r="F4753" s="2">
        <f t="shared" si="703"/>
        <v>45657</v>
      </c>
    </row>
    <row r="4754" spans="1:6" x14ac:dyDescent="0.25">
      <c r="A4754" s="1" t="s">
        <v>365</v>
      </c>
      <c r="B4754" s="1" t="s">
        <v>745</v>
      </c>
      <c r="C4754" s="1" t="s">
        <v>139</v>
      </c>
      <c r="D4754" s="3">
        <f t="shared" si="704"/>
        <v>7922</v>
      </c>
      <c r="E4754" s="2">
        <f t="shared" si="702"/>
        <v>42552</v>
      </c>
      <c r="F4754" s="2">
        <f t="shared" si="703"/>
        <v>45657</v>
      </c>
    </row>
    <row r="4755" spans="1:6" x14ac:dyDescent="0.25">
      <c r="A4755" s="1" t="s">
        <v>365</v>
      </c>
      <c r="B4755" s="1" t="s">
        <v>745</v>
      </c>
      <c r="C4755" s="1" t="s">
        <v>184</v>
      </c>
      <c r="D4755" s="3">
        <f t="shared" si="704"/>
        <v>7922</v>
      </c>
      <c r="E4755" s="2">
        <f t="shared" si="702"/>
        <v>42552</v>
      </c>
      <c r="F4755" s="2">
        <f t="shared" si="703"/>
        <v>45657</v>
      </c>
    </row>
    <row r="4756" spans="1:6" x14ac:dyDescent="0.25">
      <c r="A4756" s="1" t="s">
        <v>365</v>
      </c>
      <c r="B4756" s="1" t="s">
        <v>745</v>
      </c>
      <c r="C4756" s="1" t="s">
        <v>62</v>
      </c>
      <c r="D4756" s="3">
        <f t="shared" si="704"/>
        <v>7922</v>
      </c>
      <c r="E4756" s="2">
        <f t="shared" si="702"/>
        <v>42552</v>
      </c>
      <c r="F4756" s="2">
        <f t="shared" si="703"/>
        <v>45657</v>
      </c>
    </row>
    <row r="4757" spans="1:6" x14ac:dyDescent="0.25">
      <c r="A4757" s="1" t="s">
        <v>365</v>
      </c>
      <c r="B4757" s="1" t="s">
        <v>745</v>
      </c>
      <c r="C4757" s="1" t="s">
        <v>63</v>
      </c>
      <c r="D4757" s="3">
        <f t="shared" si="704"/>
        <v>7922</v>
      </c>
      <c r="E4757" s="2">
        <f t="shared" si="702"/>
        <v>42552</v>
      </c>
      <c r="F4757" s="2">
        <f t="shared" si="703"/>
        <v>45657</v>
      </c>
    </row>
    <row r="4758" spans="1:6" x14ac:dyDescent="0.25">
      <c r="A4758" s="1" t="s">
        <v>365</v>
      </c>
      <c r="B4758" s="1" t="s">
        <v>745</v>
      </c>
      <c r="C4758" s="1" t="s">
        <v>65</v>
      </c>
      <c r="D4758" s="3">
        <f t="shared" si="704"/>
        <v>7922</v>
      </c>
      <c r="E4758" s="2">
        <f t="shared" si="702"/>
        <v>42552</v>
      </c>
      <c r="F4758" s="2">
        <f t="shared" si="703"/>
        <v>45657</v>
      </c>
    </row>
    <row r="4759" spans="1:6" x14ac:dyDescent="0.25">
      <c r="A4759" s="1" t="s">
        <v>365</v>
      </c>
      <c r="B4759" s="1" t="s">
        <v>745</v>
      </c>
      <c r="C4759" s="1" t="s">
        <v>86</v>
      </c>
      <c r="D4759" s="3">
        <f t="shared" si="704"/>
        <v>7922</v>
      </c>
      <c r="E4759" s="2">
        <f t="shared" si="702"/>
        <v>42552</v>
      </c>
      <c r="F4759" s="2">
        <f t="shared" si="703"/>
        <v>45657</v>
      </c>
    </row>
    <row r="4760" spans="1:6" x14ac:dyDescent="0.25">
      <c r="A4760" s="1" t="s">
        <v>365</v>
      </c>
      <c r="B4760" s="1" t="s">
        <v>745</v>
      </c>
      <c r="C4760" s="1" t="s">
        <v>14</v>
      </c>
      <c r="D4760" s="3">
        <f t="shared" si="704"/>
        <v>7922</v>
      </c>
      <c r="E4760" s="2">
        <f t="shared" si="702"/>
        <v>42552</v>
      </c>
      <c r="F4760" s="2">
        <f t="shared" si="703"/>
        <v>45657</v>
      </c>
    </row>
    <row r="4761" spans="1:6" x14ac:dyDescent="0.25">
      <c r="A4761" s="1" t="s">
        <v>365</v>
      </c>
      <c r="B4761" s="1" t="s">
        <v>745</v>
      </c>
      <c r="C4761" s="1" t="s">
        <v>15</v>
      </c>
      <c r="D4761" s="3">
        <f t="shared" si="704"/>
        <v>7922</v>
      </c>
      <c r="E4761" s="2">
        <f t="shared" si="702"/>
        <v>42552</v>
      </c>
      <c r="F4761" s="2">
        <f t="shared" si="703"/>
        <v>45657</v>
      </c>
    </row>
    <row r="4762" spans="1:6" x14ac:dyDescent="0.25">
      <c r="A4762" s="1" t="s">
        <v>365</v>
      </c>
      <c r="B4762" s="1" t="s">
        <v>745</v>
      </c>
      <c r="C4762" s="1" t="s">
        <v>16</v>
      </c>
      <c r="D4762" s="3">
        <f t="shared" si="704"/>
        <v>7922</v>
      </c>
      <c r="E4762" s="2">
        <f t="shared" si="702"/>
        <v>42552</v>
      </c>
      <c r="F4762" s="2">
        <f t="shared" si="703"/>
        <v>45657</v>
      </c>
    </row>
    <row r="4763" spans="1:6" x14ac:dyDescent="0.25">
      <c r="A4763" s="1" t="s">
        <v>365</v>
      </c>
      <c r="B4763" s="1" t="s">
        <v>745</v>
      </c>
      <c r="C4763" s="1" t="s">
        <v>17</v>
      </c>
      <c r="D4763" s="3">
        <f t="shared" si="704"/>
        <v>7922</v>
      </c>
      <c r="E4763" s="2">
        <f t="shared" si="702"/>
        <v>42552</v>
      </c>
      <c r="F4763" s="2">
        <f t="shared" si="703"/>
        <v>45657</v>
      </c>
    </row>
    <row r="4764" spans="1:6" x14ac:dyDescent="0.25">
      <c r="A4764" s="1" t="s">
        <v>365</v>
      </c>
      <c r="B4764" s="1" t="s">
        <v>745</v>
      </c>
      <c r="C4764" s="1" t="s">
        <v>470</v>
      </c>
      <c r="D4764" s="3">
        <f t="shared" si="704"/>
        <v>7922</v>
      </c>
      <c r="E4764" s="2">
        <f t="shared" si="702"/>
        <v>42552</v>
      </c>
      <c r="F4764" s="2">
        <f t="shared" si="703"/>
        <v>45657</v>
      </c>
    </row>
    <row r="4765" spans="1:6" x14ac:dyDescent="0.25">
      <c r="A4765" s="1" t="s">
        <v>365</v>
      </c>
      <c r="B4765" s="1" t="s">
        <v>745</v>
      </c>
      <c r="C4765" s="1" t="s">
        <v>471</v>
      </c>
      <c r="D4765" s="3">
        <f t="shared" si="704"/>
        <v>7922</v>
      </c>
      <c r="E4765" s="2">
        <f t="shared" si="702"/>
        <v>42552</v>
      </c>
      <c r="F4765" s="2">
        <f t="shared" si="703"/>
        <v>45657</v>
      </c>
    </row>
    <row r="4766" spans="1:6" x14ac:dyDescent="0.25">
      <c r="A4766" s="1" t="s">
        <v>365</v>
      </c>
      <c r="B4766" s="1" t="s">
        <v>745</v>
      </c>
      <c r="C4766" s="1" t="s">
        <v>22</v>
      </c>
      <c r="D4766" s="3">
        <f t="shared" si="704"/>
        <v>7922</v>
      </c>
      <c r="E4766" s="2">
        <f t="shared" si="702"/>
        <v>42552</v>
      </c>
      <c r="F4766" s="2">
        <f t="shared" si="703"/>
        <v>45657</v>
      </c>
    </row>
    <row r="4767" spans="1:6" x14ac:dyDescent="0.25">
      <c r="A4767" s="1" t="s">
        <v>365</v>
      </c>
      <c r="B4767" s="1" t="s">
        <v>745</v>
      </c>
      <c r="C4767" s="1" t="s">
        <v>146</v>
      </c>
      <c r="D4767" s="3">
        <f t="shared" si="704"/>
        <v>7922</v>
      </c>
      <c r="E4767" s="2">
        <f t="shared" si="702"/>
        <v>42552</v>
      </c>
      <c r="F4767" s="2">
        <f t="shared" si="703"/>
        <v>45657</v>
      </c>
    </row>
    <row r="4768" spans="1:6" x14ac:dyDescent="0.25">
      <c r="A4768" s="1" t="s">
        <v>365</v>
      </c>
      <c r="B4768" s="1" t="s">
        <v>745</v>
      </c>
      <c r="C4768" s="1" t="s">
        <v>384</v>
      </c>
      <c r="D4768" s="3">
        <f t="shared" si="704"/>
        <v>7922</v>
      </c>
      <c r="E4768" s="2">
        <f t="shared" si="702"/>
        <v>42552</v>
      </c>
      <c r="F4768" s="2">
        <f t="shared" si="703"/>
        <v>45657</v>
      </c>
    </row>
    <row r="4769" spans="1:6" x14ac:dyDescent="0.25">
      <c r="A4769" s="1" t="s">
        <v>365</v>
      </c>
      <c r="B4769" s="1" t="s">
        <v>745</v>
      </c>
      <c r="C4769" s="1" t="s">
        <v>147</v>
      </c>
      <c r="D4769" s="3">
        <f t="shared" si="704"/>
        <v>7922</v>
      </c>
      <c r="E4769" s="2">
        <f t="shared" si="702"/>
        <v>42552</v>
      </c>
      <c r="F4769" s="2">
        <f t="shared" si="703"/>
        <v>45657</v>
      </c>
    </row>
    <row r="4770" spans="1:6" x14ac:dyDescent="0.25">
      <c r="A4770" s="1" t="s">
        <v>365</v>
      </c>
      <c r="B4770" s="1" t="s">
        <v>745</v>
      </c>
      <c r="C4770" s="1" t="s">
        <v>150</v>
      </c>
      <c r="D4770" s="3">
        <f t="shared" si="704"/>
        <v>7922</v>
      </c>
      <c r="E4770" s="2">
        <f t="shared" si="702"/>
        <v>42552</v>
      </c>
      <c r="F4770" s="2">
        <f t="shared" si="703"/>
        <v>45657</v>
      </c>
    </row>
    <row r="4771" spans="1:6" x14ac:dyDescent="0.25">
      <c r="A4771" s="1" t="s">
        <v>365</v>
      </c>
      <c r="B4771" s="1" t="s">
        <v>745</v>
      </c>
      <c r="C4771" s="1" t="s">
        <v>92</v>
      </c>
      <c r="D4771" s="3">
        <f t="shared" si="704"/>
        <v>7922</v>
      </c>
      <c r="E4771" s="2">
        <f t="shared" si="702"/>
        <v>42552</v>
      </c>
      <c r="F4771" s="2">
        <f t="shared" si="703"/>
        <v>45657</v>
      </c>
    </row>
    <row r="4772" spans="1:6" x14ac:dyDescent="0.25">
      <c r="A4772" s="1" t="s">
        <v>365</v>
      </c>
      <c r="B4772" s="1" t="s">
        <v>745</v>
      </c>
      <c r="C4772" s="1" t="s">
        <v>746</v>
      </c>
      <c r="D4772" s="3">
        <f t="shared" si="704"/>
        <v>7922</v>
      </c>
      <c r="E4772" s="2">
        <f t="shared" si="702"/>
        <v>42552</v>
      </c>
      <c r="F4772" s="2">
        <f t="shared" si="703"/>
        <v>45657</v>
      </c>
    </row>
    <row r="4773" spans="1:6" x14ac:dyDescent="0.25">
      <c r="A4773" s="1" t="s">
        <v>365</v>
      </c>
      <c r="B4773" s="1" t="s">
        <v>745</v>
      </c>
      <c r="C4773" s="1" t="s">
        <v>617</v>
      </c>
      <c r="D4773" s="3">
        <f t="shared" si="704"/>
        <v>7922</v>
      </c>
      <c r="E4773" s="2">
        <f t="shared" si="702"/>
        <v>42552</v>
      </c>
      <c r="F4773" s="2">
        <f t="shared" si="703"/>
        <v>45657</v>
      </c>
    </row>
    <row r="4774" spans="1:6" x14ac:dyDescent="0.25">
      <c r="A4774" s="1" t="s">
        <v>365</v>
      </c>
      <c r="B4774" s="1" t="s">
        <v>745</v>
      </c>
      <c r="C4774" s="1" t="s">
        <v>24</v>
      </c>
      <c r="D4774" s="3">
        <f t="shared" si="704"/>
        <v>7922</v>
      </c>
      <c r="E4774" s="2">
        <f t="shared" ref="E4774:E4781" si="705">DATEVALUE("1-7-2016")</f>
        <v>42552</v>
      </c>
      <c r="F4774" s="2">
        <f t="shared" ref="F4774:F4781" si="706">DATEVALUE("31-12-2024")</f>
        <v>45657</v>
      </c>
    </row>
    <row r="4775" spans="1:6" x14ac:dyDescent="0.25">
      <c r="A4775" s="1" t="s">
        <v>365</v>
      </c>
      <c r="B4775" s="1" t="s">
        <v>745</v>
      </c>
      <c r="C4775" s="1" t="s">
        <v>70</v>
      </c>
      <c r="D4775" s="3">
        <f t="shared" si="704"/>
        <v>7922</v>
      </c>
      <c r="E4775" s="2">
        <f t="shared" si="705"/>
        <v>42552</v>
      </c>
      <c r="F4775" s="2">
        <f t="shared" si="706"/>
        <v>45657</v>
      </c>
    </row>
    <row r="4776" spans="1:6" x14ac:dyDescent="0.25">
      <c r="A4776" s="1" t="s">
        <v>365</v>
      </c>
      <c r="B4776" s="1" t="s">
        <v>745</v>
      </c>
      <c r="C4776" s="1" t="s">
        <v>51</v>
      </c>
      <c r="D4776" s="3">
        <f t="shared" si="704"/>
        <v>7922</v>
      </c>
      <c r="E4776" s="2">
        <f t="shared" si="705"/>
        <v>42552</v>
      </c>
      <c r="F4776" s="2">
        <f t="shared" si="706"/>
        <v>45657</v>
      </c>
    </row>
    <row r="4777" spans="1:6" x14ac:dyDescent="0.25">
      <c r="A4777" s="1" t="s">
        <v>365</v>
      </c>
      <c r="B4777" s="1" t="s">
        <v>745</v>
      </c>
      <c r="C4777" s="1" t="s">
        <v>73</v>
      </c>
      <c r="D4777" s="3">
        <f t="shared" si="704"/>
        <v>7922</v>
      </c>
      <c r="E4777" s="2">
        <f t="shared" si="705"/>
        <v>42552</v>
      </c>
      <c r="F4777" s="2">
        <f t="shared" si="706"/>
        <v>45657</v>
      </c>
    </row>
    <row r="4778" spans="1:6" x14ac:dyDescent="0.25">
      <c r="A4778" s="1" t="s">
        <v>365</v>
      </c>
      <c r="B4778" s="1" t="s">
        <v>745</v>
      </c>
      <c r="C4778" s="1" t="s">
        <v>160</v>
      </c>
      <c r="D4778" s="3">
        <f t="shared" si="704"/>
        <v>7922</v>
      </c>
      <c r="E4778" s="2">
        <f t="shared" si="705"/>
        <v>42552</v>
      </c>
      <c r="F4778" s="2">
        <f t="shared" si="706"/>
        <v>45657</v>
      </c>
    </row>
    <row r="4779" spans="1:6" x14ac:dyDescent="0.25">
      <c r="A4779" s="1" t="s">
        <v>365</v>
      </c>
      <c r="B4779" s="1" t="s">
        <v>745</v>
      </c>
      <c r="C4779" s="1" t="s">
        <v>618</v>
      </c>
      <c r="D4779" s="3">
        <f t="shared" si="704"/>
        <v>7922</v>
      </c>
      <c r="E4779" s="2">
        <f t="shared" si="705"/>
        <v>42552</v>
      </c>
      <c r="F4779" s="2">
        <f t="shared" si="706"/>
        <v>45657</v>
      </c>
    </row>
    <row r="4780" spans="1:6" x14ac:dyDescent="0.25">
      <c r="A4780" s="1" t="s">
        <v>365</v>
      </c>
      <c r="B4780" s="1" t="s">
        <v>745</v>
      </c>
      <c r="C4780" s="1" t="s">
        <v>54</v>
      </c>
      <c r="D4780" s="3">
        <f t="shared" si="704"/>
        <v>7922</v>
      </c>
      <c r="E4780" s="2">
        <f t="shared" si="705"/>
        <v>42552</v>
      </c>
      <c r="F4780" s="2">
        <f t="shared" si="706"/>
        <v>45657</v>
      </c>
    </row>
    <row r="4781" spans="1:6" x14ac:dyDescent="0.25">
      <c r="A4781" s="1" t="s">
        <v>365</v>
      </c>
      <c r="B4781" s="1" t="s">
        <v>745</v>
      </c>
      <c r="C4781" s="1" t="s">
        <v>34</v>
      </c>
      <c r="D4781" s="3">
        <f t="shared" si="704"/>
        <v>7922</v>
      </c>
      <c r="E4781" s="2">
        <f t="shared" si="705"/>
        <v>42552</v>
      </c>
      <c r="F4781" s="2">
        <f t="shared" si="706"/>
        <v>45657</v>
      </c>
    </row>
    <row r="4782" spans="1:6" x14ac:dyDescent="0.25">
      <c r="A4782" s="1" t="s">
        <v>365</v>
      </c>
      <c r="B4782" s="1" t="s">
        <v>2173</v>
      </c>
      <c r="C4782" s="1" t="s">
        <v>10</v>
      </c>
      <c r="D4782" s="3">
        <f t="shared" ref="D4782:D4796" si="707">VALUE("7676")</f>
        <v>7676</v>
      </c>
      <c r="E4782" s="2">
        <f t="shared" ref="E4782:E4796" si="708">DATEVALUE("1-10-2014")</f>
        <v>41913</v>
      </c>
      <c r="F4782" s="2">
        <f t="shared" ref="F4782:F4796" si="709">DATEVALUE("31-3-2016")</f>
        <v>42460</v>
      </c>
    </row>
    <row r="4783" spans="1:6" x14ac:dyDescent="0.25">
      <c r="A4783" s="1" t="s">
        <v>365</v>
      </c>
      <c r="B4783" s="1" t="s">
        <v>2173</v>
      </c>
      <c r="C4783" s="1" t="s">
        <v>141</v>
      </c>
      <c r="D4783" s="3">
        <f t="shared" si="707"/>
        <v>7676</v>
      </c>
      <c r="E4783" s="2">
        <f t="shared" si="708"/>
        <v>41913</v>
      </c>
      <c r="F4783" s="2">
        <f t="shared" si="709"/>
        <v>42460</v>
      </c>
    </row>
    <row r="4784" spans="1:6" x14ac:dyDescent="0.25">
      <c r="A4784" s="1" t="s">
        <v>365</v>
      </c>
      <c r="B4784" s="1" t="s">
        <v>2173</v>
      </c>
      <c r="C4784" s="1" t="s">
        <v>46</v>
      </c>
      <c r="D4784" s="3">
        <f t="shared" si="707"/>
        <v>7676</v>
      </c>
      <c r="E4784" s="2">
        <f t="shared" si="708"/>
        <v>41913</v>
      </c>
      <c r="F4784" s="2">
        <f t="shared" si="709"/>
        <v>42460</v>
      </c>
    </row>
    <row r="4785" spans="1:6" x14ac:dyDescent="0.25">
      <c r="A4785" s="1" t="s">
        <v>365</v>
      </c>
      <c r="B4785" s="1" t="s">
        <v>2173</v>
      </c>
      <c r="C4785" s="1" t="s">
        <v>87</v>
      </c>
      <c r="D4785" s="3">
        <f t="shared" si="707"/>
        <v>7676</v>
      </c>
      <c r="E4785" s="2">
        <f t="shared" si="708"/>
        <v>41913</v>
      </c>
      <c r="F4785" s="2">
        <f t="shared" si="709"/>
        <v>42460</v>
      </c>
    </row>
    <row r="4786" spans="1:6" x14ac:dyDescent="0.25">
      <c r="A4786" s="1" t="s">
        <v>365</v>
      </c>
      <c r="B4786" s="1" t="s">
        <v>2173</v>
      </c>
      <c r="C4786" s="1" t="s">
        <v>15</v>
      </c>
      <c r="D4786" s="3">
        <f t="shared" si="707"/>
        <v>7676</v>
      </c>
      <c r="E4786" s="2">
        <f t="shared" si="708"/>
        <v>41913</v>
      </c>
      <c r="F4786" s="2">
        <f t="shared" si="709"/>
        <v>42460</v>
      </c>
    </row>
    <row r="4787" spans="1:6" x14ac:dyDescent="0.25">
      <c r="A4787" s="1" t="s">
        <v>365</v>
      </c>
      <c r="B4787" s="1" t="s">
        <v>2173</v>
      </c>
      <c r="C4787" s="1" t="s">
        <v>290</v>
      </c>
      <c r="D4787" s="3">
        <f t="shared" si="707"/>
        <v>7676</v>
      </c>
      <c r="E4787" s="2">
        <f t="shared" si="708"/>
        <v>41913</v>
      </c>
      <c r="F4787" s="2">
        <f t="shared" si="709"/>
        <v>42460</v>
      </c>
    </row>
    <row r="4788" spans="1:6" x14ac:dyDescent="0.25">
      <c r="A4788" s="1" t="s">
        <v>365</v>
      </c>
      <c r="B4788" s="1" t="s">
        <v>2173</v>
      </c>
      <c r="C4788" s="1" t="s">
        <v>17</v>
      </c>
      <c r="D4788" s="3">
        <f t="shared" si="707"/>
        <v>7676</v>
      </c>
      <c r="E4788" s="2">
        <f t="shared" si="708"/>
        <v>41913</v>
      </c>
      <c r="F4788" s="2">
        <f t="shared" si="709"/>
        <v>42460</v>
      </c>
    </row>
    <row r="4789" spans="1:6" x14ac:dyDescent="0.25">
      <c r="A4789" s="1" t="s">
        <v>365</v>
      </c>
      <c r="B4789" s="1" t="s">
        <v>2173</v>
      </c>
      <c r="C4789" s="1" t="s">
        <v>22</v>
      </c>
      <c r="D4789" s="3">
        <f t="shared" si="707"/>
        <v>7676</v>
      </c>
      <c r="E4789" s="2">
        <f t="shared" si="708"/>
        <v>41913</v>
      </c>
      <c r="F4789" s="2">
        <f t="shared" si="709"/>
        <v>42460</v>
      </c>
    </row>
    <row r="4790" spans="1:6" x14ac:dyDescent="0.25">
      <c r="A4790" s="1" t="s">
        <v>365</v>
      </c>
      <c r="B4790" s="1" t="s">
        <v>2173</v>
      </c>
      <c r="C4790" s="1" t="s">
        <v>150</v>
      </c>
      <c r="D4790" s="3">
        <f t="shared" si="707"/>
        <v>7676</v>
      </c>
      <c r="E4790" s="2">
        <f t="shared" si="708"/>
        <v>41913</v>
      </c>
      <c r="F4790" s="2">
        <f t="shared" si="709"/>
        <v>42460</v>
      </c>
    </row>
    <row r="4791" spans="1:6" x14ac:dyDescent="0.25">
      <c r="A4791" s="1" t="s">
        <v>365</v>
      </c>
      <c r="B4791" s="1" t="s">
        <v>2173</v>
      </c>
      <c r="C4791" s="1" t="s">
        <v>24</v>
      </c>
      <c r="D4791" s="3">
        <f t="shared" si="707"/>
        <v>7676</v>
      </c>
      <c r="E4791" s="2">
        <f t="shared" si="708"/>
        <v>41913</v>
      </c>
      <c r="F4791" s="2">
        <f t="shared" si="709"/>
        <v>42460</v>
      </c>
    </row>
    <row r="4792" spans="1:6" x14ac:dyDescent="0.25">
      <c r="A4792" s="1" t="s">
        <v>365</v>
      </c>
      <c r="B4792" s="1" t="s">
        <v>2173</v>
      </c>
      <c r="C4792" s="1" t="s">
        <v>216</v>
      </c>
      <c r="D4792" s="3">
        <f t="shared" si="707"/>
        <v>7676</v>
      </c>
      <c r="E4792" s="2">
        <f t="shared" si="708"/>
        <v>41913</v>
      </c>
      <c r="F4792" s="2">
        <f t="shared" si="709"/>
        <v>42460</v>
      </c>
    </row>
    <row r="4793" spans="1:6" x14ac:dyDescent="0.25">
      <c r="A4793" s="1" t="s">
        <v>365</v>
      </c>
      <c r="B4793" s="1" t="s">
        <v>2173</v>
      </c>
      <c r="C4793" s="1" t="s">
        <v>51</v>
      </c>
      <c r="D4793" s="3">
        <f t="shared" si="707"/>
        <v>7676</v>
      </c>
      <c r="E4793" s="2">
        <f t="shared" si="708"/>
        <v>41913</v>
      </c>
      <c r="F4793" s="2">
        <f t="shared" si="709"/>
        <v>42460</v>
      </c>
    </row>
    <row r="4794" spans="1:6" x14ac:dyDescent="0.25">
      <c r="A4794" s="1" t="s">
        <v>365</v>
      </c>
      <c r="B4794" s="1" t="s">
        <v>2173</v>
      </c>
      <c r="C4794" s="1" t="s">
        <v>34</v>
      </c>
      <c r="D4794" s="3">
        <f t="shared" si="707"/>
        <v>7676</v>
      </c>
      <c r="E4794" s="2">
        <f t="shared" si="708"/>
        <v>41913</v>
      </c>
      <c r="F4794" s="2">
        <f t="shared" si="709"/>
        <v>42460</v>
      </c>
    </row>
    <row r="4795" spans="1:6" x14ac:dyDescent="0.25">
      <c r="A4795" s="1" t="s">
        <v>365</v>
      </c>
      <c r="B4795" s="1" t="s">
        <v>2173</v>
      </c>
      <c r="C4795" s="1" t="s">
        <v>307</v>
      </c>
      <c r="D4795" s="3">
        <f t="shared" si="707"/>
        <v>7676</v>
      </c>
      <c r="E4795" s="2">
        <f t="shared" si="708"/>
        <v>41913</v>
      </c>
      <c r="F4795" s="2">
        <f t="shared" si="709"/>
        <v>42460</v>
      </c>
    </row>
    <row r="4796" spans="1:6" x14ac:dyDescent="0.25">
      <c r="A4796" s="1" t="s">
        <v>365</v>
      </c>
      <c r="B4796" s="1" t="s">
        <v>2173</v>
      </c>
      <c r="C4796" s="1" t="s">
        <v>308</v>
      </c>
      <c r="D4796" s="3">
        <f t="shared" si="707"/>
        <v>7676</v>
      </c>
      <c r="E4796" s="2">
        <f t="shared" si="708"/>
        <v>41913</v>
      </c>
      <c r="F4796" s="2">
        <f t="shared" si="709"/>
        <v>42460</v>
      </c>
    </row>
    <row r="4797" spans="1:6" x14ac:dyDescent="0.25">
      <c r="A4797" s="1" t="s">
        <v>365</v>
      </c>
      <c r="B4797" s="1" t="s">
        <v>382</v>
      </c>
      <c r="C4797" s="1" t="s">
        <v>40</v>
      </c>
      <c r="D4797" s="3">
        <f t="shared" ref="D4797:D4828" si="710">VALUE("7607")</f>
        <v>7607</v>
      </c>
      <c r="E4797" s="2">
        <f t="shared" ref="E4797:E4828" si="711">DATEVALUE("1-6-2014")</f>
        <v>41791</v>
      </c>
      <c r="F4797" s="2">
        <f t="shared" ref="F4797:F4828" si="712">DATEVALUE("31-12-2024")</f>
        <v>45657</v>
      </c>
    </row>
    <row r="4798" spans="1:6" x14ac:dyDescent="0.25">
      <c r="A4798" s="1" t="s">
        <v>365</v>
      </c>
      <c r="B4798" s="1" t="s">
        <v>382</v>
      </c>
      <c r="C4798" s="1" t="s">
        <v>41</v>
      </c>
      <c r="D4798" s="3">
        <f t="shared" si="710"/>
        <v>7607</v>
      </c>
      <c r="E4798" s="2">
        <f t="shared" si="711"/>
        <v>41791</v>
      </c>
      <c r="F4798" s="2">
        <f t="shared" si="712"/>
        <v>45657</v>
      </c>
    </row>
    <row r="4799" spans="1:6" x14ac:dyDescent="0.25">
      <c r="A4799" s="1" t="s">
        <v>365</v>
      </c>
      <c r="B4799" s="1" t="s">
        <v>382</v>
      </c>
      <c r="C4799" s="1" t="s">
        <v>46</v>
      </c>
      <c r="D4799" s="3">
        <f t="shared" si="710"/>
        <v>7607</v>
      </c>
      <c r="E4799" s="2">
        <f t="shared" si="711"/>
        <v>41791</v>
      </c>
      <c r="F4799" s="2">
        <f t="shared" si="712"/>
        <v>45657</v>
      </c>
    </row>
    <row r="4800" spans="1:6" x14ac:dyDescent="0.25">
      <c r="A4800" s="1" t="s">
        <v>365</v>
      </c>
      <c r="B4800" s="1" t="s">
        <v>382</v>
      </c>
      <c r="C4800" s="1" t="s">
        <v>14</v>
      </c>
      <c r="D4800" s="3">
        <f t="shared" si="710"/>
        <v>7607</v>
      </c>
      <c r="E4800" s="2">
        <f t="shared" si="711"/>
        <v>41791</v>
      </c>
      <c r="F4800" s="2">
        <f t="shared" si="712"/>
        <v>45657</v>
      </c>
    </row>
    <row r="4801" spans="1:6" x14ac:dyDescent="0.25">
      <c r="A4801" s="1" t="s">
        <v>365</v>
      </c>
      <c r="B4801" s="1" t="s">
        <v>382</v>
      </c>
      <c r="C4801" s="1" t="s">
        <v>15</v>
      </c>
      <c r="D4801" s="3">
        <f t="shared" si="710"/>
        <v>7607</v>
      </c>
      <c r="E4801" s="2">
        <f t="shared" si="711"/>
        <v>41791</v>
      </c>
      <c r="F4801" s="2">
        <f t="shared" si="712"/>
        <v>45657</v>
      </c>
    </row>
    <row r="4802" spans="1:6" x14ac:dyDescent="0.25">
      <c r="A4802" s="1" t="s">
        <v>365</v>
      </c>
      <c r="B4802" s="1" t="s">
        <v>382</v>
      </c>
      <c r="C4802" s="1" t="s">
        <v>16</v>
      </c>
      <c r="D4802" s="3">
        <f t="shared" si="710"/>
        <v>7607</v>
      </c>
      <c r="E4802" s="2">
        <f t="shared" si="711"/>
        <v>41791</v>
      </c>
      <c r="F4802" s="2">
        <f t="shared" si="712"/>
        <v>45657</v>
      </c>
    </row>
    <row r="4803" spans="1:6" x14ac:dyDescent="0.25">
      <c r="A4803" s="1" t="s">
        <v>365</v>
      </c>
      <c r="B4803" s="1" t="s">
        <v>382</v>
      </c>
      <c r="C4803" s="1" t="s">
        <v>290</v>
      </c>
      <c r="D4803" s="3">
        <f t="shared" si="710"/>
        <v>7607</v>
      </c>
      <c r="E4803" s="2">
        <f t="shared" si="711"/>
        <v>41791</v>
      </c>
      <c r="F4803" s="2">
        <f t="shared" si="712"/>
        <v>45657</v>
      </c>
    </row>
    <row r="4804" spans="1:6" x14ac:dyDescent="0.25">
      <c r="A4804" s="1" t="s">
        <v>365</v>
      </c>
      <c r="B4804" s="1" t="s">
        <v>382</v>
      </c>
      <c r="C4804" s="1" t="s">
        <v>17</v>
      </c>
      <c r="D4804" s="3">
        <f t="shared" si="710"/>
        <v>7607</v>
      </c>
      <c r="E4804" s="2">
        <f t="shared" si="711"/>
        <v>41791</v>
      </c>
      <c r="F4804" s="2">
        <f t="shared" si="712"/>
        <v>45657</v>
      </c>
    </row>
    <row r="4805" spans="1:6" x14ac:dyDescent="0.25">
      <c r="A4805" s="1" t="s">
        <v>365</v>
      </c>
      <c r="B4805" s="1" t="s">
        <v>382</v>
      </c>
      <c r="C4805" s="1" t="s">
        <v>127</v>
      </c>
      <c r="D4805" s="3">
        <f t="shared" si="710"/>
        <v>7607</v>
      </c>
      <c r="E4805" s="2">
        <f t="shared" si="711"/>
        <v>41791</v>
      </c>
      <c r="F4805" s="2">
        <f t="shared" si="712"/>
        <v>45657</v>
      </c>
    </row>
    <row r="4806" spans="1:6" x14ac:dyDescent="0.25">
      <c r="A4806" s="1" t="s">
        <v>365</v>
      </c>
      <c r="B4806" s="1" t="s">
        <v>382</v>
      </c>
      <c r="C4806" s="1" t="s">
        <v>168</v>
      </c>
      <c r="D4806" s="3">
        <f t="shared" si="710"/>
        <v>7607</v>
      </c>
      <c r="E4806" s="2">
        <f t="shared" si="711"/>
        <v>41791</v>
      </c>
      <c r="F4806" s="2">
        <f t="shared" si="712"/>
        <v>45657</v>
      </c>
    </row>
    <row r="4807" spans="1:6" x14ac:dyDescent="0.25">
      <c r="A4807" s="1" t="s">
        <v>365</v>
      </c>
      <c r="B4807" s="1" t="s">
        <v>382</v>
      </c>
      <c r="C4807" s="1" t="s">
        <v>291</v>
      </c>
      <c r="D4807" s="3">
        <f t="shared" si="710"/>
        <v>7607</v>
      </c>
      <c r="E4807" s="2">
        <f t="shared" si="711"/>
        <v>41791</v>
      </c>
      <c r="F4807" s="2">
        <f t="shared" si="712"/>
        <v>45657</v>
      </c>
    </row>
    <row r="4808" spans="1:6" x14ac:dyDescent="0.25">
      <c r="A4808" s="1" t="s">
        <v>365</v>
      </c>
      <c r="B4808" s="1" t="s">
        <v>382</v>
      </c>
      <c r="C4808" s="1" t="s">
        <v>144</v>
      </c>
      <c r="D4808" s="3">
        <f t="shared" si="710"/>
        <v>7607</v>
      </c>
      <c r="E4808" s="2">
        <f t="shared" si="711"/>
        <v>41791</v>
      </c>
      <c r="F4808" s="2">
        <f t="shared" si="712"/>
        <v>45657</v>
      </c>
    </row>
    <row r="4809" spans="1:6" x14ac:dyDescent="0.25">
      <c r="A4809" s="1" t="s">
        <v>365</v>
      </c>
      <c r="B4809" s="1" t="s">
        <v>382</v>
      </c>
      <c r="C4809" s="1" t="s">
        <v>22</v>
      </c>
      <c r="D4809" s="3">
        <f t="shared" si="710"/>
        <v>7607</v>
      </c>
      <c r="E4809" s="2">
        <f t="shared" si="711"/>
        <v>41791</v>
      </c>
      <c r="F4809" s="2">
        <f t="shared" si="712"/>
        <v>45657</v>
      </c>
    </row>
    <row r="4810" spans="1:6" x14ac:dyDescent="0.25">
      <c r="A4810" s="1" t="s">
        <v>365</v>
      </c>
      <c r="B4810" s="1" t="s">
        <v>382</v>
      </c>
      <c r="C4810" s="1" t="s">
        <v>258</v>
      </c>
      <c r="D4810" s="3">
        <f t="shared" si="710"/>
        <v>7607</v>
      </c>
      <c r="E4810" s="2">
        <f t="shared" si="711"/>
        <v>41791</v>
      </c>
      <c r="F4810" s="2">
        <f t="shared" si="712"/>
        <v>45657</v>
      </c>
    </row>
    <row r="4811" spans="1:6" x14ac:dyDescent="0.25">
      <c r="A4811" s="1" t="s">
        <v>365</v>
      </c>
      <c r="B4811" s="1" t="s">
        <v>382</v>
      </c>
      <c r="C4811" s="1" t="s">
        <v>383</v>
      </c>
      <c r="D4811" s="3">
        <f t="shared" si="710"/>
        <v>7607</v>
      </c>
      <c r="E4811" s="2">
        <f t="shared" si="711"/>
        <v>41791</v>
      </c>
      <c r="F4811" s="2">
        <f t="shared" si="712"/>
        <v>45657</v>
      </c>
    </row>
    <row r="4812" spans="1:6" x14ac:dyDescent="0.25">
      <c r="A4812" s="1" t="s">
        <v>365</v>
      </c>
      <c r="B4812" s="1" t="s">
        <v>382</v>
      </c>
      <c r="C4812" s="1" t="s">
        <v>146</v>
      </c>
      <c r="D4812" s="3">
        <f t="shared" si="710"/>
        <v>7607</v>
      </c>
      <c r="E4812" s="2">
        <f t="shared" si="711"/>
        <v>41791</v>
      </c>
      <c r="F4812" s="2">
        <f t="shared" si="712"/>
        <v>45657</v>
      </c>
    </row>
    <row r="4813" spans="1:6" x14ac:dyDescent="0.25">
      <c r="A4813" s="1" t="s">
        <v>365</v>
      </c>
      <c r="B4813" s="1" t="s">
        <v>382</v>
      </c>
      <c r="C4813" s="1" t="s">
        <v>67</v>
      </c>
      <c r="D4813" s="3">
        <f t="shared" si="710"/>
        <v>7607</v>
      </c>
      <c r="E4813" s="2">
        <f t="shared" si="711"/>
        <v>41791</v>
      </c>
      <c r="F4813" s="2">
        <f t="shared" si="712"/>
        <v>45657</v>
      </c>
    </row>
    <row r="4814" spans="1:6" x14ac:dyDescent="0.25">
      <c r="A4814" s="1" t="s">
        <v>365</v>
      </c>
      <c r="B4814" s="1" t="s">
        <v>382</v>
      </c>
      <c r="C4814" s="1" t="s">
        <v>384</v>
      </c>
      <c r="D4814" s="3">
        <f t="shared" si="710"/>
        <v>7607</v>
      </c>
      <c r="E4814" s="2">
        <f t="shared" si="711"/>
        <v>41791</v>
      </c>
      <c r="F4814" s="2">
        <f t="shared" si="712"/>
        <v>45657</v>
      </c>
    </row>
    <row r="4815" spans="1:6" x14ac:dyDescent="0.25">
      <c r="A4815" s="1" t="s">
        <v>365</v>
      </c>
      <c r="B4815" s="1" t="s">
        <v>382</v>
      </c>
      <c r="C4815" s="1" t="s">
        <v>147</v>
      </c>
      <c r="D4815" s="3">
        <f t="shared" si="710"/>
        <v>7607</v>
      </c>
      <c r="E4815" s="2">
        <f t="shared" si="711"/>
        <v>41791</v>
      </c>
      <c r="F4815" s="2">
        <f t="shared" si="712"/>
        <v>45657</v>
      </c>
    </row>
    <row r="4816" spans="1:6" x14ac:dyDescent="0.25">
      <c r="A4816" s="1" t="s">
        <v>365</v>
      </c>
      <c r="B4816" s="1" t="s">
        <v>382</v>
      </c>
      <c r="C4816" s="1" t="s">
        <v>48</v>
      </c>
      <c r="D4816" s="3">
        <f t="shared" si="710"/>
        <v>7607</v>
      </c>
      <c r="E4816" s="2">
        <f t="shared" si="711"/>
        <v>41791</v>
      </c>
      <c r="F4816" s="2">
        <f t="shared" si="712"/>
        <v>45657</v>
      </c>
    </row>
    <row r="4817" spans="1:6" x14ac:dyDescent="0.25">
      <c r="A4817" s="1" t="s">
        <v>365</v>
      </c>
      <c r="B4817" s="1" t="s">
        <v>382</v>
      </c>
      <c r="C4817" s="1" t="s">
        <v>385</v>
      </c>
      <c r="D4817" s="3">
        <f t="shared" si="710"/>
        <v>7607</v>
      </c>
      <c r="E4817" s="2">
        <f t="shared" si="711"/>
        <v>41791</v>
      </c>
      <c r="F4817" s="2">
        <f t="shared" si="712"/>
        <v>45657</v>
      </c>
    </row>
    <row r="4818" spans="1:6" x14ac:dyDescent="0.25">
      <c r="A4818" s="1" t="s">
        <v>365</v>
      </c>
      <c r="B4818" s="1" t="s">
        <v>382</v>
      </c>
      <c r="C4818" s="1" t="s">
        <v>386</v>
      </c>
      <c r="D4818" s="3">
        <f t="shared" si="710"/>
        <v>7607</v>
      </c>
      <c r="E4818" s="2">
        <f t="shared" si="711"/>
        <v>41791</v>
      </c>
      <c r="F4818" s="2">
        <f t="shared" si="712"/>
        <v>45657</v>
      </c>
    </row>
    <row r="4819" spans="1:6" x14ac:dyDescent="0.25">
      <c r="A4819" s="1" t="s">
        <v>365</v>
      </c>
      <c r="B4819" s="1" t="s">
        <v>382</v>
      </c>
      <c r="C4819" s="1" t="s">
        <v>387</v>
      </c>
      <c r="D4819" s="3">
        <f t="shared" si="710"/>
        <v>7607</v>
      </c>
      <c r="E4819" s="2">
        <f t="shared" si="711"/>
        <v>41791</v>
      </c>
      <c r="F4819" s="2">
        <f t="shared" si="712"/>
        <v>45657</v>
      </c>
    </row>
    <row r="4820" spans="1:6" x14ac:dyDescent="0.25">
      <c r="A4820" s="1" t="s">
        <v>365</v>
      </c>
      <c r="B4820" s="1" t="s">
        <v>382</v>
      </c>
      <c r="C4820" s="1" t="s">
        <v>388</v>
      </c>
      <c r="D4820" s="3">
        <f t="shared" si="710"/>
        <v>7607</v>
      </c>
      <c r="E4820" s="2">
        <f t="shared" si="711"/>
        <v>41791</v>
      </c>
      <c r="F4820" s="2">
        <f t="shared" si="712"/>
        <v>45657</v>
      </c>
    </row>
    <row r="4821" spans="1:6" x14ac:dyDescent="0.25">
      <c r="A4821" s="1" t="s">
        <v>365</v>
      </c>
      <c r="B4821" s="1" t="s">
        <v>382</v>
      </c>
      <c r="C4821" s="1" t="s">
        <v>389</v>
      </c>
      <c r="D4821" s="3">
        <f t="shared" si="710"/>
        <v>7607</v>
      </c>
      <c r="E4821" s="2">
        <f t="shared" si="711"/>
        <v>41791</v>
      </c>
      <c r="F4821" s="2">
        <f t="shared" si="712"/>
        <v>45657</v>
      </c>
    </row>
    <row r="4822" spans="1:6" x14ac:dyDescent="0.25">
      <c r="A4822" s="1" t="s">
        <v>365</v>
      </c>
      <c r="B4822" s="1" t="s">
        <v>382</v>
      </c>
      <c r="C4822" s="1" t="s">
        <v>390</v>
      </c>
      <c r="D4822" s="3">
        <f t="shared" si="710"/>
        <v>7607</v>
      </c>
      <c r="E4822" s="2">
        <f t="shared" si="711"/>
        <v>41791</v>
      </c>
      <c r="F4822" s="2">
        <f t="shared" si="712"/>
        <v>45657</v>
      </c>
    </row>
    <row r="4823" spans="1:6" x14ac:dyDescent="0.25">
      <c r="A4823" s="1" t="s">
        <v>365</v>
      </c>
      <c r="B4823" s="1" t="s">
        <v>382</v>
      </c>
      <c r="C4823" s="1" t="s">
        <v>92</v>
      </c>
      <c r="D4823" s="3">
        <f t="shared" si="710"/>
        <v>7607</v>
      </c>
      <c r="E4823" s="2">
        <f t="shared" si="711"/>
        <v>41791</v>
      </c>
      <c r="F4823" s="2">
        <f t="shared" si="712"/>
        <v>45657</v>
      </c>
    </row>
    <row r="4824" spans="1:6" x14ac:dyDescent="0.25">
      <c r="A4824" s="1" t="s">
        <v>365</v>
      </c>
      <c r="B4824" s="1" t="s">
        <v>382</v>
      </c>
      <c r="C4824" s="1" t="s">
        <v>314</v>
      </c>
      <c r="D4824" s="3">
        <f t="shared" si="710"/>
        <v>7607</v>
      </c>
      <c r="E4824" s="2">
        <f t="shared" si="711"/>
        <v>41791</v>
      </c>
      <c r="F4824" s="2">
        <f t="shared" si="712"/>
        <v>45657</v>
      </c>
    </row>
    <row r="4825" spans="1:6" x14ac:dyDescent="0.25">
      <c r="A4825" s="1" t="s">
        <v>365</v>
      </c>
      <c r="B4825" s="1" t="s">
        <v>382</v>
      </c>
      <c r="C4825" s="1" t="s">
        <v>315</v>
      </c>
      <c r="D4825" s="3">
        <f t="shared" si="710"/>
        <v>7607</v>
      </c>
      <c r="E4825" s="2">
        <f t="shared" si="711"/>
        <v>41791</v>
      </c>
      <c r="F4825" s="2">
        <f t="shared" si="712"/>
        <v>45657</v>
      </c>
    </row>
    <row r="4826" spans="1:6" x14ac:dyDescent="0.25">
      <c r="A4826" s="1" t="s">
        <v>365</v>
      </c>
      <c r="B4826" s="1" t="s">
        <v>382</v>
      </c>
      <c r="C4826" s="1" t="s">
        <v>24</v>
      </c>
      <c r="D4826" s="3">
        <f t="shared" si="710"/>
        <v>7607</v>
      </c>
      <c r="E4826" s="2">
        <f t="shared" si="711"/>
        <v>41791</v>
      </c>
      <c r="F4826" s="2">
        <f t="shared" si="712"/>
        <v>45657</v>
      </c>
    </row>
    <row r="4827" spans="1:6" x14ac:dyDescent="0.25">
      <c r="A4827" s="1" t="s">
        <v>365</v>
      </c>
      <c r="B4827" s="1" t="s">
        <v>382</v>
      </c>
      <c r="C4827" s="1" t="s">
        <v>70</v>
      </c>
      <c r="D4827" s="3">
        <f t="shared" si="710"/>
        <v>7607</v>
      </c>
      <c r="E4827" s="2">
        <f t="shared" si="711"/>
        <v>41791</v>
      </c>
      <c r="F4827" s="2">
        <f t="shared" si="712"/>
        <v>45657</v>
      </c>
    </row>
    <row r="4828" spans="1:6" x14ac:dyDescent="0.25">
      <c r="A4828" s="1" t="s">
        <v>365</v>
      </c>
      <c r="B4828" s="1" t="s">
        <v>382</v>
      </c>
      <c r="C4828" s="1" t="s">
        <v>51</v>
      </c>
      <c r="D4828" s="3">
        <f t="shared" si="710"/>
        <v>7607</v>
      </c>
      <c r="E4828" s="2">
        <f t="shared" si="711"/>
        <v>41791</v>
      </c>
      <c r="F4828" s="2">
        <f t="shared" si="712"/>
        <v>45657</v>
      </c>
    </row>
    <row r="4829" spans="1:6" x14ac:dyDescent="0.25">
      <c r="A4829" s="1" t="s">
        <v>365</v>
      </c>
      <c r="B4829" s="1" t="s">
        <v>382</v>
      </c>
      <c r="C4829" s="1" t="s">
        <v>73</v>
      </c>
      <c r="D4829" s="3">
        <f t="shared" ref="D4829:D4851" si="713">VALUE("7607")</f>
        <v>7607</v>
      </c>
      <c r="E4829" s="2">
        <f t="shared" ref="E4829:E4851" si="714">DATEVALUE("1-6-2014")</f>
        <v>41791</v>
      </c>
      <c r="F4829" s="2">
        <f t="shared" ref="F4829:F4860" si="715">DATEVALUE("31-12-2024")</f>
        <v>45657</v>
      </c>
    </row>
    <row r="4830" spans="1:6" x14ac:dyDescent="0.25">
      <c r="A4830" s="1" t="s">
        <v>365</v>
      </c>
      <c r="B4830" s="1" t="s">
        <v>382</v>
      </c>
      <c r="C4830" s="1" t="s">
        <v>391</v>
      </c>
      <c r="D4830" s="3">
        <f t="shared" si="713"/>
        <v>7607</v>
      </c>
      <c r="E4830" s="2">
        <f t="shared" si="714"/>
        <v>41791</v>
      </c>
      <c r="F4830" s="2">
        <f t="shared" si="715"/>
        <v>45657</v>
      </c>
    </row>
    <row r="4831" spans="1:6" x14ac:dyDescent="0.25">
      <c r="A4831" s="1" t="s">
        <v>365</v>
      </c>
      <c r="B4831" s="1" t="s">
        <v>382</v>
      </c>
      <c r="C4831" s="1" t="s">
        <v>52</v>
      </c>
      <c r="D4831" s="3">
        <f t="shared" si="713"/>
        <v>7607</v>
      </c>
      <c r="E4831" s="2">
        <f t="shared" si="714"/>
        <v>41791</v>
      </c>
      <c r="F4831" s="2">
        <f t="shared" si="715"/>
        <v>45657</v>
      </c>
    </row>
    <row r="4832" spans="1:6" x14ac:dyDescent="0.25">
      <c r="A4832" s="1" t="s">
        <v>365</v>
      </c>
      <c r="B4832" s="1" t="s">
        <v>382</v>
      </c>
      <c r="C4832" s="1" t="s">
        <v>316</v>
      </c>
      <c r="D4832" s="3">
        <f t="shared" si="713"/>
        <v>7607</v>
      </c>
      <c r="E4832" s="2">
        <f t="shared" si="714"/>
        <v>41791</v>
      </c>
      <c r="F4832" s="2">
        <f t="shared" si="715"/>
        <v>45657</v>
      </c>
    </row>
    <row r="4833" spans="1:6" x14ac:dyDescent="0.25">
      <c r="A4833" s="1" t="s">
        <v>365</v>
      </c>
      <c r="B4833" s="1" t="s">
        <v>382</v>
      </c>
      <c r="C4833" s="1" t="s">
        <v>303</v>
      </c>
      <c r="D4833" s="3">
        <f t="shared" si="713"/>
        <v>7607</v>
      </c>
      <c r="E4833" s="2">
        <f t="shared" si="714"/>
        <v>41791</v>
      </c>
      <c r="F4833" s="2">
        <f t="shared" si="715"/>
        <v>45657</v>
      </c>
    </row>
    <row r="4834" spans="1:6" x14ac:dyDescent="0.25">
      <c r="A4834" s="1" t="s">
        <v>365</v>
      </c>
      <c r="B4834" s="1" t="s">
        <v>382</v>
      </c>
      <c r="C4834" s="1" t="s">
        <v>160</v>
      </c>
      <c r="D4834" s="3">
        <f t="shared" si="713"/>
        <v>7607</v>
      </c>
      <c r="E4834" s="2">
        <f t="shared" si="714"/>
        <v>41791</v>
      </c>
      <c r="F4834" s="2">
        <f t="shared" si="715"/>
        <v>45657</v>
      </c>
    </row>
    <row r="4835" spans="1:6" x14ac:dyDescent="0.25">
      <c r="A4835" s="1" t="s">
        <v>365</v>
      </c>
      <c r="B4835" s="1" t="s">
        <v>382</v>
      </c>
      <c r="C4835" s="1" t="s">
        <v>53</v>
      </c>
      <c r="D4835" s="3">
        <f t="shared" si="713"/>
        <v>7607</v>
      </c>
      <c r="E4835" s="2">
        <f t="shared" si="714"/>
        <v>41791</v>
      </c>
      <c r="F4835" s="2">
        <f t="shared" si="715"/>
        <v>45657</v>
      </c>
    </row>
    <row r="4836" spans="1:6" x14ac:dyDescent="0.25">
      <c r="A4836" s="1" t="s">
        <v>365</v>
      </c>
      <c r="B4836" s="1" t="s">
        <v>382</v>
      </c>
      <c r="C4836" s="1" t="s">
        <v>378</v>
      </c>
      <c r="D4836" s="3">
        <f t="shared" si="713"/>
        <v>7607</v>
      </c>
      <c r="E4836" s="2">
        <f t="shared" si="714"/>
        <v>41791</v>
      </c>
      <c r="F4836" s="2">
        <f t="shared" si="715"/>
        <v>45657</v>
      </c>
    </row>
    <row r="4837" spans="1:6" x14ac:dyDescent="0.25">
      <c r="A4837" s="1" t="s">
        <v>365</v>
      </c>
      <c r="B4837" s="1" t="s">
        <v>382</v>
      </c>
      <c r="C4837" s="1" t="s">
        <v>392</v>
      </c>
      <c r="D4837" s="3">
        <f t="shared" si="713"/>
        <v>7607</v>
      </c>
      <c r="E4837" s="2">
        <f t="shared" si="714"/>
        <v>41791</v>
      </c>
      <c r="F4837" s="2">
        <f t="shared" si="715"/>
        <v>45657</v>
      </c>
    </row>
    <row r="4838" spans="1:6" x14ac:dyDescent="0.25">
      <c r="A4838" s="1" t="s">
        <v>365</v>
      </c>
      <c r="B4838" s="1" t="s">
        <v>382</v>
      </c>
      <c r="C4838" s="1" t="s">
        <v>393</v>
      </c>
      <c r="D4838" s="3">
        <f t="shared" si="713"/>
        <v>7607</v>
      </c>
      <c r="E4838" s="2">
        <f t="shared" si="714"/>
        <v>41791</v>
      </c>
      <c r="F4838" s="2">
        <f t="shared" si="715"/>
        <v>45657</v>
      </c>
    </row>
    <row r="4839" spans="1:6" x14ac:dyDescent="0.25">
      <c r="A4839" s="1" t="s">
        <v>365</v>
      </c>
      <c r="B4839" s="1" t="s">
        <v>382</v>
      </c>
      <c r="C4839" s="1" t="s">
        <v>394</v>
      </c>
      <c r="D4839" s="3">
        <f t="shared" si="713"/>
        <v>7607</v>
      </c>
      <c r="E4839" s="2">
        <f t="shared" si="714"/>
        <v>41791</v>
      </c>
      <c r="F4839" s="2">
        <f t="shared" si="715"/>
        <v>45657</v>
      </c>
    </row>
    <row r="4840" spans="1:6" x14ac:dyDescent="0.25">
      <c r="A4840" s="1" t="s">
        <v>365</v>
      </c>
      <c r="B4840" s="1" t="s">
        <v>382</v>
      </c>
      <c r="C4840" s="1" t="s">
        <v>395</v>
      </c>
      <c r="D4840" s="3">
        <f t="shared" si="713"/>
        <v>7607</v>
      </c>
      <c r="E4840" s="2">
        <f t="shared" si="714"/>
        <v>41791</v>
      </c>
      <c r="F4840" s="2">
        <f t="shared" si="715"/>
        <v>45657</v>
      </c>
    </row>
    <row r="4841" spans="1:6" x14ac:dyDescent="0.25">
      <c r="A4841" s="1" t="s">
        <v>365</v>
      </c>
      <c r="B4841" s="1" t="s">
        <v>382</v>
      </c>
      <c r="C4841" s="1" t="s">
        <v>396</v>
      </c>
      <c r="D4841" s="3">
        <f t="shared" si="713"/>
        <v>7607</v>
      </c>
      <c r="E4841" s="2">
        <f t="shared" si="714"/>
        <v>41791</v>
      </c>
      <c r="F4841" s="2">
        <f t="shared" si="715"/>
        <v>45657</v>
      </c>
    </row>
    <row r="4842" spans="1:6" x14ac:dyDescent="0.25">
      <c r="A4842" s="1" t="s">
        <v>365</v>
      </c>
      <c r="B4842" s="1" t="s">
        <v>382</v>
      </c>
      <c r="C4842" s="1" t="s">
        <v>34</v>
      </c>
      <c r="D4842" s="3">
        <f t="shared" si="713"/>
        <v>7607</v>
      </c>
      <c r="E4842" s="2">
        <f t="shared" si="714"/>
        <v>41791</v>
      </c>
      <c r="F4842" s="2">
        <f t="shared" si="715"/>
        <v>45657</v>
      </c>
    </row>
    <row r="4843" spans="1:6" x14ac:dyDescent="0.25">
      <c r="A4843" s="1" t="s">
        <v>365</v>
      </c>
      <c r="B4843" s="1" t="s">
        <v>382</v>
      </c>
      <c r="C4843" s="1" t="s">
        <v>379</v>
      </c>
      <c r="D4843" s="3">
        <f t="shared" si="713"/>
        <v>7607</v>
      </c>
      <c r="E4843" s="2">
        <f t="shared" si="714"/>
        <v>41791</v>
      </c>
      <c r="F4843" s="2">
        <f t="shared" si="715"/>
        <v>45657</v>
      </c>
    </row>
    <row r="4844" spans="1:6" x14ac:dyDescent="0.25">
      <c r="A4844" s="1" t="s">
        <v>365</v>
      </c>
      <c r="B4844" s="1" t="s">
        <v>382</v>
      </c>
      <c r="C4844" s="1" t="s">
        <v>397</v>
      </c>
      <c r="D4844" s="3">
        <f t="shared" si="713"/>
        <v>7607</v>
      </c>
      <c r="E4844" s="2">
        <f t="shared" si="714"/>
        <v>41791</v>
      </c>
      <c r="F4844" s="2">
        <f t="shared" si="715"/>
        <v>45657</v>
      </c>
    </row>
    <row r="4845" spans="1:6" x14ac:dyDescent="0.25">
      <c r="A4845" s="1" t="s">
        <v>365</v>
      </c>
      <c r="B4845" s="1" t="s">
        <v>382</v>
      </c>
      <c r="C4845" s="1" t="s">
        <v>131</v>
      </c>
      <c r="D4845" s="3">
        <f t="shared" si="713"/>
        <v>7607</v>
      </c>
      <c r="E4845" s="2">
        <f t="shared" si="714"/>
        <v>41791</v>
      </c>
      <c r="F4845" s="2">
        <f t="shared" si="715"/>
        <v>45657</v>
      </c>
    </row>
    <row r="4846" spans="1:6" x14ac:dyDescent="0.25">
      <c r="A4846" s="1" t="s">
        <v>365</v>
      </c>
      <c r="B4846" s="1" t="s">
        <v>382</v>
      </c>
      <c r="C4846" s="1" t="s">
        <v>132</v>
      </c>
      <c r="D4846" s="3">
        <f t="shared" si="713"/>
        <v>7607</v>
      </c>
      <c r="E4846" s="2">
        <f t="shared" si="714"/>
        <v>41791</v>
      </c>
      <c r="F4846" s="2">
        <f t="shared" si="715"/>
        <v>45657</v>
      </c>
    </row>
    <row r="4847" spans="1:6" x14ac:dyDescent="0.25">
      <c r="A4847" s="1" t="s">
        <v>365</v>
      </c>
      <c r="B4847" s="1" t="s">
        <v>382</v>
      </c>
      <c r="C4847" s="1" t="s">
        <v>380</v>
      </c>
      <c r="D4847" s="3">
        <f t="shared" si="713"/>
        <v>7607</v>
      </c>
      <c r="E4847" s="2">
        <f t="shared" si="714"/>
        <v>41791</v>
      </c>
      <c r="F4847" s="2">
        <f t="shared" si="715"/>
        <v>45657</v>
      </c>
    </row>
    <row r="4848" spans="1:6" x14ac:dyDescent="0.25">
      <c r="A4848" s="1" t="s">
        <v>365</v>
      </c>
      <c r="B4848" s="1" t="s">
        <v>382</v>
      </c>
      <c r="C4848" s="1" t="s">
        <v>381</v>
      </c>
      <c r="D4848" s="3">
        <f t="shared" si="713"/>
        <v>7607</v>
      </c>
      <c r="E4848" s="2">
        <f t="shared" si="714"/>
        <v>41791</v>
      </c>
      <c r="F4848" s="2">
        <f t="shared" si="715"/>
        <v>45657</v>
      </c>
    </row>
    <row r="4849" spans="1:6" x14ac:dyDescent="0.25">
      <c r="A4849" s="1" t="s">
        <v>365</v>
      </c>
      <c r="B4849" s="1" t="s">
        <v>382</v>
      </c>
      <c r="C4849" s="1" t="s">
        <v>133</v>
      </c>
      <c r="D4849" s="3">
        <f t="shared" si="713"/>
        <v>7607</v>
      </c>
      <c r="E4849" s="2">
        <f t="shared" si="714"/>
        <v>41791</v>
      </c>
      <c r="F4849" s="2">
        <f t="shared" si="715"/>
        <v>45657</v>
      </c>
    </row>
    <row r="4850" spans="1:6" x14ac:dyDescent="0.25">
      <c r="A4850" s="1" t="s">
        <v>365</v>
      </c>
      <c r="B4850" s="1" t="s">
        <v>382</v>
      </c>
      <c r="C4850" s="1" t="s">
        <v>169</v>
      </c>
      <c r="D4850" s="3">
        <f t="shared" si="713"/>
        <v>7607</v>
      </c>
      <c r="E4850" s="2">
        <f t="shared" si="714"/>
        <v>41791</v>
      </c>
      <c r="F4850" s="2">
        <f t="shared" si="715"/>
        <v>45657</v>
      </c>
    </row>
    <row r="4851" spans="1:6" x14ac:dyDescent="0.25">
      <c r="A4851" s="1" t="s">
        <v>365</v>
      </c>
      <c r="B4851" s="1" t="s">
        <v>382</v>
      </c>
      <c r="C4851" s="1" t="s">
        <v>170</v>
      </c>
      <c r="D4851" s="3">
        <f t="shared" si="713"/>
        <v>7607</v>
      </c>
      <c r="E4851" s="2">
        <f t="shared" si="714"/>
        <v>41791</v>
      </c>
      <c r="F4851" s="2">
        <f t="shared" si="715"/>
        <v>45657</v>
      </c>
    </row>
    <row r="4852" spans="1:6" x14ac:dyDescent="0.25">
      <c r="A4852" s="1" t="s">
        <v>365</v>
      </c>
      <c r="B4852" s="1" t="s">
        <v>364</v>
      </c>
      <c r="C4852" s="1" t="s">
        <v>137</v>
      </c>
      <c r="D4852" s="3">
        <f t="shared" ref="D4852:D4888" si="716">VALUE("7550")</f>
        <v>7550</v>
      </c>
      <c r="E4852" s="2">
        <f t="shared" ref="E4852:E4888" si="717">DATEVALUE("1-10-2013")</f>
        <v>41548</v>
      </c>
      <c r="F4852" s="2">
        <f t="shared" si="715"/>
        <v>45657</v>
      </c>
    </row>
    <row r="4853" spans="1:6" x14ac:dyDescent="0.25">
      <c r="A4853" s="1" t="s">
        <v>365</v>
      </c>
      <c r="B4853" s="1" t="s">
        <v>364</v>
      </c>
      <c r="C4853" s="1" t="s">
        <v>61</v>
      </c>
      <c r="D4853" s="3">
        <f t="shared" si="716"/>
        <v>7550</v>
      </c>
      <c r="E4853" s="2">
        <f t="shared" si="717"/>
        <v>41548</v>
      </c>
      <c r="F4853" s="2">
        <f t="shared" si="715"/>
        <v>45657</v>
      </c>
    </row>
    <row r="4854" spans="1:6" x14ac:dyDescent="0.25">
      <c r="A4854" s="1" t="s">
        <v>365</v>
      </c>
      <c r="B4854" s="1" t="s">
        <v>364</v>
      </c>
      <c r="C4854" s="1" t="s">
        <v>289</v>
      </c>
      <c r="D4854" s="3">
        <f t="shared" si="716"/>
        <v>7550</v>
      </c>
      <c r="E4854" s="2">
        <f t="shared" si="717"/>
        <v>41548</v>
      </c>
      <c r="F4854" s="2">
        <f t="shared" si="715"/>
        <v>45657</v>
      </c>
    </row>
    <row r="4855" spans="1:6" x14ac:dyDescent="0.25">
      <c r="A4855" s="1" t="s">
        <v>365</v>
      </c>
      <c r="B4855" s="1" t="s">
        <v>364</v>
      </c>
      <c r="C4855" s="1" t="s">
        <v>139</v>
      </c>
      <c r="D4855" s="3">
        <f t="shared" si="716"/>
        <v>7550</v>
      </c>
      <c r="E4855" s="2">
        <f t="shared" si="717"/>
        <v>41548</v>
      </c>
      <c r="F4855" s="2">
        <f t="shared" si="715"/>
        <v>45657</v>
      </c>
    </row>
    <row r="4856" spans="1:6" x14ac:dyDescent="0.25">
      <c r="A4856" s="1" t="s">
        <v>365</v>
      </c>
      <c r="B4856" s="1" t="s">
        <v>364</v>
      </c>
      <c r="C4856" s="1" t="s">
        <v>140</v>
      </c>
      <c r="D4856" s="3">
        <f t="shared" si="716"/>
        <v>7550</v>
      </c>
      <c r="E4856" s="2">
        <f t="shared" si="717"/>
        <v>41548</v>
      </c>
      <c r="F4856" s="2">
        <f t="shared" si="715"/>
        <v>45657</v>
      </c>
    </row>
    <row r="4857" spans="1:6" x14ac:dyDescent="0.25">
      <c r="A4857" s="1" t="s">
        <v>365</v>
      </c>
      <c r="B4857" s="1" t="s">
        <v>364</v>
      </c>
      <c r="C4857" s="1" t="s">
        <v>141</v>
      </c>
      <c r="D4857" s="3">
        <f t="shared" si="716"/>
        <v>7550</v>
      </c>
      <c r="E4857" s="2">
        <f t="shared" si="717"/>
        <v>41548</v>
      </c>
      <c r="F4857" s="2">
        <f t="shared" si="715"/>
        <v>45657</v>
      </c>
    </row>
    <row r="4858" spans="1:6" x14ac:dyDescent="0.25">
      <c r="A4858" s="1" t="s">
        <v>365</v>
      </c>
      <c r="B4858" s="1" t="s">
        <v>364</v>
      </c>
      <c r="C4858" s="1" t="s">
        <v>46</v>
      </c>
      <c r="D4858" s="3">
        <f t="shared" si="716"/>
        <v>7550</v>
      </c>
      <c r="E4858" s="2">
        <f t="shared" si="717"/>
        <v>41548</v>
      </c>
      <c r="F4858" s="2">
        <f t="shared" si="715"/>
        <v>45657</v>
      </c>
    </row>
    <row r="4859" spans="1:6" x14ac:dyDescent="0.25">
      <c r="A4859" s="1" t="s">
        <v>365</v>
      </c>
      <c r="B4859" s="1" t="s">
        <v>364</v>
      </c>
      <c r="C4859" s="1" t="s">
        <v>87</v>
      </c>
      <c r="D4859" s="3">
        <f t="shared" si="716"/>
        <v>7550</v>
      </c>
      <c r="E4859" s="2">
        <f t="shared" si="717"/>
        <v>41548</v>
      </c>
      <c r="F4859" s="2">
        <f t="shared" si="715"/>
        <v>45657</v>
      </c>
    </row>
    <row r="4860" spans="1:6" x14ac:dyDescent="0.25">
      <c r="A4860" s="1" t="s">
        <v>365</v>
      </c>
      <c r="B4860" s="1" t="s">
        <v>364</v>
      </c>
      <c r="C4860" s="1" t="s">
        <v>14</v>
      </c>
      <c r="D4860" s="3">
        <f t="shared" si="716"/>
        <v>7550</v>
      </c>
      <c r="E4860" s="2">
        <f t="shared" si="717"/>
        <v>41548</v>
      </c>
      <c r="F4860" s="2">
        <f t="shared" si="715"/>
        <v>45657</v>
      </c>
    </row>
    <row r="4861" spans="1:6" x14ac:dyDescent="0.25">
      <c r="A4861" s="1" t="s">
        <v>365</v>
      </c>
      <c r="B4861" s="1" t="s">
        <v>364</v>
      </c>
      <c r="C4861" s="1" t="s">
        <v>66</v>
      </c>
      <c r="D4861" s="3">
        <f t="shared" si="716"/>
        <v>7550</v>
      </c>
      <c r="E4861" s="2">
        <f t="shared" si="717"/>
        <v>41548</v>
      </c>
      <c r="F4861" s="2">
        <f t="shared" ref="F4861:F4888" si="718">DATEVALUE("31-12-2024")</f>
        <v>45657</v>
      </c>
    </row>
    <row r="4862" spans="1:6" x14ac:dyDescent="0.25">
      <c r="A4862" s="1" t="s">
        <v>365</v>
      </c>
      <c r="B4862" s="1" t="s">
        <v>364</v>
      </c>
      <c r="C4862" s="1" t="s">
        <v>15</v>
      </c>
      <c r="D4862" s="3">
        <f t="shared" si="716"/>
        <v>7550</v>
      </c>
      <c r="E4862" s="2">
        <f t="shared" si="717"/>
        <v>41548</v>
      </c>
      <c r="F4862" s="2">
        <f t="shared" si="718"/>
        <v>45657</v>
      </c>
    </row>
    <row r="4863" spans="1:6" x14ac:dyDescent="0.25">
      <c r="A4863" s="1" t="s">
        <v>365</v>
      </c>
      <c r="B4863" s="1" t="s">
        <v>364</v>
      </c>
      <c r="C4863" s="1" t="s">
        <v>16</v>
      </c>
      <c r="D4863" s="3">
        <f t="shared" si="716"/>
        <v>7550</v>
      </c>
      <c r="E4863" s="2">
        <f t="shared" si="717"/>
        <v>41548</v>
      </c>
      <c r="F4863" s="2">
        <f t="shared" si="718"/>
        <v>45657</v>
      </c>
    </row>
    <row r="4864" spans="1:6" x14ac:dyDescent="0.25">
      <c r="A4864" s="1" t="s">
        <v>365</v>
      </c>
      <c r="B4864" s="1" t="s">
        <v>364</v>
      </c>
      <c r="C4864" s="1" t="s">
        <v>290</v>
      </c>
      <c r="D4864" s="3">
        <f t="shared" si="716"/>
        <v>7550</v>
      </c>
      <c r="E4864" s="2">
        <f t="shared" si="717"/>
        <v>41548</v>
      </c>
      <c r="F4864" s="2">
        <f t="shared" si="718"/>
        <v>45657</v>
      </c>
    </row>
    <row r="4865" spans="1:6" x14ac:dyDescent="0.25">
      <c r="A4865" s="1" t="s">
        <v>365</v>
      </c>
      <c r="B4865" s="1" t="s">
        <v>364</v>
      </c>
      <c r="C4865" s="1" t="s">
        <v>88</v>
      </c>
      <c r="D4865" s="3">
        <f t="shared" si="716"/>
        <v>7550</v>
      </c>
      <c r="E4865" s="2">
        <f t="shared" si="717"/>
        <v>41548</v>
      </c>
      <c r="F4865" s="2">
        <f t="shared" si="718"/>
        <v>45657</v>
      </c>
    </row>
    <row r="4866" spans="1:6" x14ac:dyDescent="0.25">
      <c r="A4866" s="1" t="s">
        <v>365</v>
      </c>
      <c r="B4866" s="1" t="s">
        <v>364</v>
      </c>
      <c r="C4866" s="1" t="s">
        <v>17</v>
      </c>
      <c r="D4866" s="3">
        <f t="shared" si="716"/>
        <v>7550</v>
      </c>
      <c r="E4866" s="2">
        <f t="shared" si="717"/>
        <v>41548</v>
      </c>
      <c r="F4866" s="2">
        <f t="shared" si="718"/>
        <v>45657</v>
      </c>
    </row>
    <row r="4867" spans="1:6" x14ac:dyDescent="0.25">
      <c r="A4867" s="1" t="s">
        <v>365</v>
      </c>
      <c r="B4867" s="1" t="s">
        <v>364</v>
      </c>
      <c r="C4867" s="1" t="s">
        <v>22</v>
      </c>
      <c r="D4867" s="3">
        <f t="shared" si="716"/>
        <v>7550</v>
      </c>
      <c r="E4867" s="2">
        <f t="shared" si="717"/>
        <v>41548</v>
      </c>
      <c r="F4867" s="2">
        <f t="shared" si="718"/>
        <v>45657</v>
      </c>
    </row>
    <row r="4868" spans="1:6" x14ac:dyDescent="0.25">
      <c r="A4868" s="1" t="s">
        <v>365</v>
      </c>
      <c r="B4868" s="1" t="s">
        <v>364</v>
      </c>
      <c r="C4868" s="1" t="s">
        <v>146</v>
      </c>
      <c r="D4868" s="3">
        <f t="shared" si="716"/>
        <v>7550</v>
      </c>
      <c r="E4868" s="2">
        <f t="shared" si="717"/>
        <v>41548</v>
      </c>
      <c r="F4868" s="2">
        <f t="shared" si="718"/>
        <v>45657</v>
      </c>
    </row>
    <row r="4869" spans="1:6" x14ac:dyDescent="0.25">
      <c r="A4869" s="1" t="s">
        <v>365</v>
      </c>
      <c r="B4869" s="1" t="s">
        <v>364</v>
      </c>
      <c r="C4869" s="1" t="s">
        <v>67</v>
      </c>
      <c r="D4869" s="3">
        <f t="shared" si="716"/>
        <v>7550</v>
      </c>
      <c r="E4869" s="2">
        <f t="shared" si="717"/>
        <v>41548</v>
      </c>
      <c r="F4869" s="2">
        <f t="shared" si="718"/>
        <v>45657</v>
      </c>
    </row>
    <row r="4870" spans="1:6" x14ac:dyDescent="0.25">
      <c r="A4870" s="1" t="s">
        <v>365</v>
      </c>
      <c r="B4870" s="1" t="s">
        <v>364</v>
      </c>
      <c r="C4870" s="1" t="s">
        <v>148</v>
      </c>
      <c r="D4870" s="3">
        <f t="shared" si="716"/>
        <v>7550</v>
      </c>
      <c r="E4870" s="2">
        <f t="shared" si="717"/>
        <v>41548</v>
      </c>
      <c r="F4870" s="2">
        <f t="shared" si="718"/>
        <v>45657</v>
      </c>
    </row>
    <row r="4871" spans="1:6" x14ac:dyDescent="0.25">
      <c r="A4871" s="1" t="s">
        <v>365</v>
      </c>
      <c r="B4871" s="1" t="s">
        <v>364</v>
      </c>
      <c r="C4871" s="1" t="s">
        <v>151</v>
      </c>
      <c r="D4871" s="3">
        <f t="shared" si="716"/>
        <v>7550</v>
      </c>
      <c r="E4871" s="2">
        <f t="shared" si="717"/>
        <v>41548</v>
      </c>
      <c r="F4871" s="2">
        <f t="shared" si="718"/>
        <v>45657</v>
      </c>
    </row>
    <row r="4872" spans="1:6" x14ac:dyDescent="0.25">
      <c r="A4872" s="1" t="s">
        <v>365</v>
      </c>
      <c r="B4872" s="1" t="s">
        <v>364</v>
      </c>
      <c r="C4872" s="1" t="s">
        <v>366</v>
      </c>
      <c r="D4872" s="3">
        <f t="shared" si="716"/>
        <v>7550</v>
      </c>
      <c r="E4872" s="2">
        <f t="shared" si="717"/>
        <v>41548</v>
      </c>
      <c r="F4872" s="2">
        <f t="shared" si="718"/>
        <v>45657</v>
      </c>
    </row>
    <row r="4873" spans="1:6" x14ac:dyDescent="0.25">
      <c r="A4873" s="1" t="s">
        <v>365</v>
      </c>
      <c r="B4873" s="1" t="s">
        <v>364</v>
      </c>
      <c r="C4873" s="1" t="s">
        <v>367</v>
      </c>
      <c r="D4873" s="3">
        <f t="shared" si="716"/>
        <v>7550</v>
      </c>
      <c r="E4873" s="2">
        <f t="shared" si="717"/>
        <v>41548</v>
      </c>
      <c r="F4873" s="2">
        <f t="shared" si="718"/>
        <v>45657</v>
      </c>
    </row>
    <row r="4874" spans="1:6" x14ac:dyDescent="0.25">
      <c r="A4874" s="1" t="s">
        <v>365</v>
      </c>
      <c r="B4874" s="1" t="s">
        <v>364</v>
      </c>
      <c r="C4874" s="1" t="s">
        <v>155</v>
      </c>
      <c r="D4874" s="3">
        <f t="shared" si="716"/>
        <v>7550</v>
      </c>
      <c r="E4874" s="2">
        <f t="shared" si="717"/>
        <v>41548</v>
      </c>
      <c r="F4874" s="2">
        <f t="shared" si="718"/>
        <v>45657</v>
      </c>
    </row>
    <row r="4875" spans="1:6" x14ac:dyDescent="0.25">
      <c r="A4875" s="1" t="s">
        <v>365</v>
      </c>
      <c r="B4875" s="1" t="s">
        <v>364</v>
      </c>
      <c r="C4875" s="1" t="s">
        <v>24</v>
      </c>
      <c r="D4875" s="3">
        <f t="shared" si="716"/>
        <v>7550</v>
      </c>
      <c r="E4875" s="2">
        <f t="shared" si="717"/>
        <v>41548</v>
      </c>
      <c r="F4875" s="2">
        <f t="shared" si="718"/>
        <v>45657</v>
      </c>
    </row>
    <row r="4876" spans="1:6" x14ac:dyDescent="0.25">
      <c r="A4876" s="1" t="s">
        <v>365</v>
      </c>
      <c r="B4876" s="1" t="s">
        <v>364</v>
      </c>
      <c r="C4876" s="1" t="s">
        <v>368</v>
      </c>
      <c r="D4876" s="3">
        <f t="shared" si="716"/>
        <v>7550</v>
      </c>
      <c r="E4876" s="2">
        <f t="shared" si="717"/>
        <v>41548</v>
      </c>
      <c r="F4876" s="2">
        <f t="shared" si="718"/>
        <v>45657</v>
      </c>
    </row>
    <row r="4877" spans="1:6" x14ac:dyDescent="0.25">
      <c r="A4877" s="1" t="s">
        <v>365</v>
      </c>
      <c r="B4877" s="1" t="s">
        <v>364</v>
      </c>
      <c r="C4877" s="1" t="s">
        <v>26</v>
      </c>
      <c r="D4877" s="3">
        <f t="shared" si="716"/>
        <v>7550</v>
      </c>
      <c r="E4877" s="2">
        <f t="shared" si="717"/>
        <v>41548</v>
      </c>
      <c r="F4877" s="2">
        <f t="shared" si="718"/>
        <v>45657</v>
      </c>
    </row>
    <row r="4878" spans="1:6" x14ac:dyDescent="0.25">
      <c r="A4878" s="1" t="s">
        <v>365</v>
      </c>
      <c r="B4878" s="1" t="s">
        <v>364</v>
      </c>
      <c r="C4878" s="1" t="s">
        <v>216</v>
      </c>
      <c r="D4878" s="3">
        <f t="shared" si="716"/>
        <v>7550</v>
      </c>
      <c r="E4878" s="2">
        <f t="shared" si="717"/>
        <v>41548</v>
      </c>
      <c r="F4878" s="2">
        <f t="shared" si="718"/>
        <v>45657</v>
      </c>
    </row>
    <row r="4879" spans="1:6" x14ac:dyDescent="0.25">
      <c r="A4879" s="1" t="s">
        <v>365</v>
      </c>
      <c r="B4879" s="1" t="s">
        <v>364</v>
      </c>
      <c r="C4879" s="1" t="s">
        <v>52</v>
      </c>
      <c r="D4879" s="3">
        <f t="shared" si="716"/>
        <v>7550</v>
      </c>
      <c r="E4879" s="2">
        <f t="shared" si="717"/>
        <v>41548</v>
      </c>
      <c r="F4879" s="2">
        <f t="shared" si="718"/>
        <v>45657</v>
      </c>
    </row>
    <row r="4880" spans="1:6" x14ac:dyDescent="0.25">
      <c r="A4880" s="1" t="s">
        <v>365</v>
      </c>
      <c r="B4880" s="1" t="s">
        <v>364</v>
      </c>
      <c r="C4880" s="1" t="s">
        <v>241</v>
      </c>
      <c r="D4880" s="3">
        <f t="shared" si="716"/>
        <v>7550</v>
      </c>
      <c r="E4880" s="2">
        <f t="shared" si="717"/>
        <v>41548</v>
      </c>
      <c r="F4880" s="2">
        <f t="shared" si="718"/>
        <v>45657</v>
      </c>
    </row>
    <row r="4881" spans="1:6" x14ac:dyDescent="0.25">
      <c r="A4881" s="1" t="s">
        <v>365</v>
      </c>
      <c r="B4881" s="1" t="s">
        <v>364</v>
      </c>
      <c r="C4881" s="1" t="s">
        <v>303</v>
      </c>
      <c r="D4881" s="3">
        <f t="shared" si="716"/>
        <v>7550</v>
      </c>
      <c r="E4881" s="2">
        <f t="shared" si="717"/>
        <v>41548</v>
      </c>
      <c r="F4881" s="2">
        <f t="shared" si="718"/>
        <v>45657</v>
      </c>
    </row>
    <row r="4882" spans="1:6" x14ac:dyDescent="0.25">
      <c r="A4882" s="1" t="s">
        <v>365</v>
      </c>
      <c r="B4882" s="1" t="s">
        <v>364</v>
      </c>
      <c r="C4882" s="1" t="s">
        <v>160</v>
      </c>
      <c r="D4882" s="3">
        <f t="shared" si="716"/>
        <v>7550</v>
      </c>
      <c r="E4882" s="2">
        <f t="shared" si="717"/>
        <v>41548</v>
      </c>
      <c r="F4882" s="2">
        <f t="shared" si="718"/>
        <v>45657</v>
      </c>
    </row>
    <row r="4883" spans="1:6" x14ac:dyDescent="0.25">
      <c r="A4883" s="1" t="s">
        <v>365</v>
      </c>
      <c r="B4883" s="1" t="s">
        <v>364</v>
      </c>
      <c r="C4883" s="1" t="s">
        <v>369</v>
      </c>
      <c r="D4883" s="3">
        <f t="shared" si="716"/>
        <v>7550</v>
      </c>
      <c r="E4883" s="2">
        <f t="shared" si="717"/>
        <v>41548</v>
      </c>
      <c r="F4883" s="2">
        <f t="shared" si="718"/>
        <v>45657</v>
      </c>
    </row>
    <row r="4884" spans="1:6" x14ac:dyDescent="0.25">
      <c r="A4884" s="1" t="s">
        <v>365</v>
      </c>
      <c r="B4884" s="1" t="s">
        <v>364</v>
      </c>
      <c r="C4884" s="1" t="s">
        <v>162</v>
      </c>
      <c r="D4884" s="3">
        <f t="shared" si="716"/>
        <v>7550</v>
      </c>
      <c r="E4884" s="2">
        <f t="shared" si="717"/>
        <v>41548</v>
      </c>
      <c r="F4884" s="2">
        <f t="shared" si="718"/>
        <v>45657</v>
      </c>
    </row>
    <row r="4885" spans="1:6" x14ac:dyDescent="0.25">
      <c r="A4885" s="1" t="s">
        <v>365</v>
      </c>
      <c r="B4885" s="1" t="s">
        <v>364</v>
      </c>
      <c r="C4885" s="1" t="s">
        <v>34</v>
      </c>
      <c r="D4885" s="3">
        <f t="shared" si="716"/>
        <v>7550</v>
      </c>
      <c r="E4885" s="2">
        <f t="shared" si="717"/>
        <v>41548</v>
      </c>
      <c r="F4885" s="2">
        <f t="shared" si="718"/>
        <v>45657</v>
      </c>
    </row>
    <row r="4886" spans="1:6" x14ac:dyDescent="0.25">
      <c r="A4886" s="1" t="s">
        <v>365</v>
      </c>
      <c r="B4886" s="1" t="s">
        <v>364</v>
      </c>
      <c r="C4886" s="1" t="s">
        <v>55</v>
      </c>
      <c r="D4886" s="3">
        <f t="shared" si="716"/>
        <v>7550</v>
      </c>
      <c r="E4886" s="2">
        <f t="shared" si="717"/>
        <v>41548</v>
      </c>
      <c r="F4886" s="2">
        <f t="shared" si="718"/>
        <v>45657</v>
      </c>
    </row>
    <row r="4887" spans="1:6" x14ac:dyDescent="0.25">
      <c r="A4887" s="1" t="s">
        <v>365</v>
      </c>
      <c r="B4887" s="1" t="s">
        <v>364</v>
      </c>
      <c r="C4887" s="1" t="s">
        <v>310</v>
      </c>
      <c r="D4887" s="3">
        <f t="shared" si="716"/>
        <v>7550</v>
      </c>
      <c r="E4887" s="2">
        <f t="shared" si="717"/>
        <v>41548</v>
      </c>
      <c r="F4887" s="2">
        <f t="shared" si="718"/>
        <v>45657</v>
      </c>
    </row>
    <row r="4888" spans="1:6" x14ac:dyDescent="0.25">
      <c r="A4888" s="1" t="s">
        <v>365</v>
      </c>
      <c r="B4888" s="1" t="s">
        <v>364</v>
      </c>
      <c r="C4888" s="1" t="s">
        <v>308</v>
      </c>
      <c r="D4888" s="3">
        <f t="shared" si="716"/>
        <v>7550</v>
      </c>
      <c r="E4888" s="2">
        <f t="shared" si="717"/>
        <v>41548</v>
      </c>
      <c r="F4888" s="2">
        <f t="shared" si="718"/>
        <v>45657</v>
      </c>
    </row>
    <row r="4889" spans="1:6" x14ac:dyDescent="0.25">
      <c r="A4889" s="1" t="s">
        <v>365</v>
      </c>
      <c r="B4889" s="1" t="s">
        <v>1888</v>
      </c>
      <c r="C4889" s="1" t="s">
        <v>7</v>
      </c>
      <c r="D4889" s="3">
        <f t="shared" ref="D4889:D4920" si="719">VALUE("7265")</f>
        <v>7265</v>
      </c>
      <c r="E4889" s="2">
        <f t="shared" ref="E4889:E4920" si="720">DATEVALUE("1-1-2012")</f>
        <v>40909</v>
      </c>
      <c r="F4889" s="2">
        <f t="shared" ref="F4889:F4920" si="721">DATEVALUE("31-7-2016")</f>
        <v>42582</v>
      </c>
    </row>
    <row r="4890" spans="1:6" x14ac:dyDescent="0.25">
      <c r="A4890" s="1" t="s">
        <v>365</v>
      </c>
      <c r="B4890" s="1" t="s">
        <v>1888</v>
      </c>
      <c r="C4890" s="1" t="s">
        <v>6</v>
      </c>
      <c r="D4890" s="3">
        <f t="shared" si="719"/>
        <v>7265</v>
      </c>
      <c r="E4890" s="2">
        <f t="shared" si="720"/>
        <v>40909</v>
      </c>
      <c r="F4890" s="2">
        <f t="shared" si="721"/>
        <v>42582</v>
      </c>
    </row>
    <row r="4891" spans="1:6" x14ac:dyDescent="0.25">
      <c r="A4891" s="1" t="s">
        <v>365</v>
      </c>
      <c r="B4891" s="1" t="s">
        <v>1888</v>
      </c>
      <c r="C4891" s="1" t="s">
        <v>39</v>
      </c>
      <c r="D4891" s="3">
        <f t="shared" si="719"/>
        <v>7265</v>
      </c>
      <c r="E4891" s="2">
        <f t="shared" si="720"/>
        <v>40909</v>
      </c>
      <c r="F4891" s="2">
        <f t="shared" si="721"/>
        <v>42582</v>
      </c>
    </row>
    <row r="4892" spans="1:6" x14ac:dyDescent="0.25">
      <c r="A4892" s="1" t="s">
        <v>365</v>
      </c>
      <c r="B4892" s="1" t="s">
        <v>1888</v>
      </c>
      <c r="C4892" s="1" t="s">
        <v>41</v>
      </c>
      <c r="D4892" s="3">
        <f t="shared" si="719"/>
        <v>7265</v>
      </c>
      <c r="E4892" s="2">
        <f t="shared" si="720"/>
        <v>40909</v>
      </c>
      <c r="F4892" s="2">
        <f t="shared" si="721"/>
        <v>42582</v>
      </c>
    </row>
    <row r="4893" spans="1:6" x14ac:dyDescent="0.25">
      <c r="A4893" s="1" t="s">
        <v>365</v>
      </c>
      <c r="B4893" s="1" t="s">
        <v>1888</v>
      </c>
      <c r="C4893" s="1" t="s">
        <v>202</v>
      </c>
      <c r="D4893" s="3">
        <f t="shared" si="719"/>
        <v>7265</v>
      </c>
      <c r="E4893" s="2">
        <f t="shared" si="720"/>
        <v>40909</v>
      </c>
      <c r="F4893" s="2">
        <f t="shared" si="721"/>
        <v>42582</v>
      </c>
    </row>
    <row r="4894" spans="1:6" x14ac:dyDescent="0.25">
      <c r="A4894" s="1" t="s">
        <v>365</v>
      </c>
      <c r="B4894" s="1" t="s">
        <v>1888</v>
      </c>
      <c r="C4894" s="1" t="s">
        <v>203</v>
      </c>
      <c r="D4894" s="3">
        <f t="shared" si="719"/>
        <v>7265</v>
      </c>
      <c r="E4894" s="2">
        <f t="shared" si="720"/>
        <v>40909</v>
      </c>
      <c r="F4894" s="2">
        <f t="shared" si="721"/>
        <v>42582</v>
      </c>
    </row>
    <row r="4895" spans="1:6" x14ac:dyDescent="0.25">
      <c r="A4895" s="1" t="s">
        <v>365</v>
      </c>
      <c r="B4895" s="1" t="s">
        <v>1888</v>
      </c>
      <c r="C4895" s="1" t="s">
        <v>438</v>
      </c>
      <c r="D4895" s="3">
        <f t="shared" si="719"/>
        <v>7265</v>
      </c>
      <c r="E4895" s="2">
        <f t="shared" si="720"/>
        <v>40909</v>
      </c>
      <c r="F4895" s="2">
        <f t="shared" si="721"/>
        <v>42582</v>
      </c>
    </row>
    <row r="4896" spans="1:6" x14ac:dyDescent="0.25">
      <c r="A4896" s="1" t="s">
        <v>365</v>
      </c>
      <c r="B4896" s="1" t="s">
        <v>1888</v>
      </c>
      <c r="C4896" s="1" t="s">
        <v>1889</v>
      </c>
      <c r="D4896" s="3">
        <f t="shared" si="719"/>
        <v>7265</v>
      </c>
      <c r="E4896" s="2">
        <f t="shared" si="720"/>
        <v>40909</v>
      </c>
      <c r="F4896" s="2">
        <f t="shared" si="721"/>
        <v>42582</v>
      </c>
    </row>
    <row r="4897" spans="1:6" x14ac:dyDescent="0.25">
      <c r="A4897" s="1" t="s">
        <v>365</v>
      </c>
      <c r="B4897" s="1" t="s">
        <v>1888</v>
      </c>
      <c r="C4897" s="1" t="s">
        <v>8</v>
      </c>
      <c r="D4897" s="3">
        <f t="shared" si="719"/>
        <v>7265</v>
      </c>
      <c r="E4897" s="2">
        <f t="shared" si="720"/>
        <v>40909</v>
      </c>
      <c r="F4897" s="2">
        <f t="shared" si="721"/>
        <v>42582</v>
      </c>
    </row>
    <row r="4898" spans="1:6" x14ac:dyDescent="0.25">
      <c r="A4898" s="1" t="s">
        <v>365</v>
      </c>
      <c r="B4898" s="1" t="s">
        <v>1888</v>
      </c>
      <c r="C4898" s="1" t="s">
        <v>10</v>
      </c>
      <c r="D4898" s="3">
        <f t="shared" si="719"/>
        <v>7265</v>
      </c>
      <c r="E4898" s="2">
        <f t="shared" si="720"/>
        <v>40909</v>
      </c>
      <c r="F4898" s="2">
        <f t="shared" si="721"/>
        <v>42582</v>
      </c>
    </row>
    <row r="4899" spans="1:6" x14ac:dyDescent="0.25">
      <c r="A4899" s="1" t="s">
        <v>365</v>
      </c>
      <c r="B4899" s="1" t="s">
        <v>1888</v>
      </c>
      <c r="C4899" s="1" t="s">
        <v>11</v>
      </c>
      <c r="D4899" s="3">
        <f t="shared" si="719"/>
        <v>7265</v>
      </c>
      <c r="E4899" s="2">
        <f t="shared" si="720"/>
        <v>40909</v>
      </c>
      <c r="F4899" s="2">
        <f t="shared" si="721"/>
        <v>42582</v>
      </c>
    </row>
    <row r="4900" spans="1:6" x14ac:dyDescent="0.25">
      <c r="A4900" s="1" t="s">
        <v>365</v>
      </c>
      <c r="B4900" s="1" t="s">
        <v>1888</v>
      </c>
      <c r="C4900" s="1" t="s">
        <v>12</v>
      </c>
      <c r="D4900" s="3">
        <f t="shared" si="719"/>
        <v>7265</v>
      </c>
      <c r="E4900" s="2">
        <f t="shared" si="720"/>
        <v>40909</v>
      </c>
      <c r="F4900" s="2">
        <f t="shared" si="721"/>
        <v>42582</v>
      </c>
    </row>
    <row r="4901" spans="1:6" x14ac:dyDescent="0.25">
      <c r="A4901" s="1" t="s">
        <v>365</v>
      </c>
      <c r="B4901" s="1" t="s">
        <v>1888</v>
      </c>
      <c r="C4901" s="1" t="s">
        <v>61</v>
      </c>
      <c r="D4901" s="3">
        <f t="shared" si="719"/>
        <v>7265</v>
      </c>
      <c r="E4901" s="2">
        <f t="shared" si="720"/>
        <v>40909</v>
      </c>
      <c r="F4901" s="2">
        <f t="shared" si="721"/>
        <v>42582</v>
      </c>
    </row>
    <row r="4902" spans="1:6" x14ac:dyDescent="0.25">
      <c r="A4902" s="1" t="s">
        <v>365</v>
      </c>
      <c r="B4902" s="1" t="s">
        <v>1888</v>
      </c>
      <c r="C4902" s="1" t="s">
        <v>346</v>
      </c>
      <c r="D4902" s="3">
        <f t="shared" si="719"/>
        <v>7265</v>
      </c>
      <c r="E4902" s="2">
        <f t="shared" si="720"/>
        <v>40909</v>
      </c>
      <c r="F4902" s="2">
        <f t="shared" si="721"/>
        <v>42582</v>
      </c>
    </row>
    <row r="4903" spans="1:6" x14ac:dyDescent="0.25">
      <c r="A4903" s="1" t="s">
        <v>365</v>
      </c>
      <c r="B4903" s="1" t="s">
        <v>1888</v>
      </c>
      <c r="C4903" s="1" t="s">
        <v>347</v>
      </c>
      <c r="D4903" s="3">
        <f t="shared" si="719"/>
        <v>7265</v>
      </c>
      <c r="E4903" s="2">
        <f t="shared" si="720"/>
        <v>40909</v>
      </c>
      <c r="F4903" s="2">
        <f t="shared" si="721"/>
        <v>42582</v>
      </c>
    </row>
    <row r="4904" spans="1:6" x14ac:dyDescent="0.25">
      <c r="A4904" s="1" t="s">
        <v>365</v>
      </c>
      <c r="B4904" s="1" t="s">
        <v>1888</v>
      </c>
      <c r="C4904" s="1" t="s">
        <v>1859</v>
      </c>
      <c r="D4904" s="3">
        <f t="shared" si="719"/>
        <v>7265</v>
      </c>
      <c r="E4904" s="2">
        <f t="shared" si="720"/>
        <v>40909</v>
      </c>
      <c r="F4904" s="2">
        <f t="shared" si="721"/>
        <v>42582</v>
      </c>
    </row>
    <row r="4905" spans="1:6" x14ac:dyDescent="0.25">
      <c r="A4905" s="1" t="s">
        <v>365</v>
      </c>
      <c r="B4905" s="1" t="s">
        <v>1888</v>
      </c>
      <c r="C4905" s="1" t="s">
        <v>375</v>
      </c>
      <c r="D4905" s="3">
        <f t="shared" si="719"/>
        <v>7265</v>
      </c>
      <c r="E4905" s="2">
        <f t="shared" si="720"/>
        <v>40909</v>
      </c>
      <c r="F4905" s="2">
        <f t="shared" si="721"/>
        <v>42582</v>
      </c>
    </row>
    <row r="4906" spans="1:6" x14ac:dyDescent="0.25">
      <c r="A4906" s="1" t="s">
        <v>365</v>
      </c>
      <c r="B4906" s="1" t="s">
        <v>1888</v>
      </c>
      <c r="C4906" s="1" t="s">
        <v>45</v>
      </c>
      <c r="D4906" s="3">
        <f t="shared" si="719"/>
        <v>7265</v>
      </c>
      <c r="E4906" s="2">
        <f t="shared" si="720"/>
        <v>40909</v>
      </c>
      <c r="F4906" s="2">
        <f t="shared" si="721"/>
        <v>42582</v>
      </c>
    </row>
    <row r="4907" spans="1:6" x14ac:dyDescent="0.25">
      <c r="A4907" s="1" t="s">
        <v>365</v>
      </c>
      <c r="B4907" s="1" t="s">
        <v>1888</v>
      </c>
      <c r="C4907" s="1" t="s">
        <v>86</v>
      </c>
      <c r="D4907" s="3">
        <f t="shared" si="719"/>
        <v>7265</v>
      </c>
      <c r="E4907" s="2">
        <f t="shared" si="720"/>
        <v>40909</v>
      </c>
      <c r="F4907" s="2">
        <f t="shared" si="721"/>
        <v>42582</v>
      </c>
    </row>
    <row r="4908" spans="1:6" x14ac:dyDescent="0.25">
      <c r="A4908" s="1" t="s">
        <v>365</v>
      </c>
      <c r="B4908" s="1" t="s">
        <v>1888</v>
      </c>
      <c r="C4908" s="1" t="s">
        <v>46</v>
      </c>
      <c r="D4908" s="3">
        <f t="shared" si="719"/>
        <v>7265</v>
      </c>
      <c r="E4908" s="2">
        <f t="shared" si="720"/>
        <v>40909</v>
      </c>
      <c r="F4908" s="2">
        <f t="shared" si="721"/>
        <v>42582</v>
      </c>
    </row>
    <row r="4909" spans="1:6" x14ac:dyDescent="0.25">
      <c r="A4909" s="1" t="s">
        <v>365</v>
      </c>
      <c r="B4909" s="1" t="s">
        <v>1888</v>
      </c>
      <c r="C4909" s="1" t="s">
        <v>14</v>
      </c>
      <c r="D4909" s="3">
        <f t="shared" si="719"/>
        <v>7265</v>
      </c>
      <c r="E4909" s="2">
        <f t="shared" si="720"/>
        <v>40909</v>
      </c>
      <c r="F4909" s="2">
        <f t="shared" si="721"/>
        <v>42582</v>
      </c>
    </row>
    <row r="4910" spans="1:6" x14ac:dyDescent="0.25">
      <c r="A4910" s="1" t="s">
        <v>365</v>
      </c>
      <c r="B4910" s="1" t="s">
        <v>1888</v>
      </c>
      <c r="C4910" s="1" t="s">
        <v>66</v>
      </c>
      <c r="D4910" s="3">
        <f t="shared" si="719"/>
        <v>7265</v>
      </c>
      <c r="E4910" s="2">
        <f t="shared" si="720"/>
        <v>40909</v>
      </c>
      <c r="F4910" s="2">
        <f t="shared" si="721"/>
        <v>42582</v>
      </c>
    </row>
    <row r="4911" spans="1:6" x14ac:dyDescent="0.25">
      <c r="A4911" s="1" t="s">
        <v>365</v>
      </c>
      <c r="B4911" s="1" t="s">
        <v>1888</v>
      </c>
      <c r="C4911" s="1" t="s">
        <v>15</v>
      </c>
      <c r="D4911" s="3">
        <f t="shared" si="719"/>
        <v>7265</v>
      </c>
      <c r="E4911" s="2">
        <f t="shared" si="720"/>
        <v>40909</v>
      </c>
      <c r="F4911" s="2">
        <f t="shared" si="721"/>
        <v>42582</v>
      </c>
    </row>
    <row r="4912" spans="1:6" x14ac:dyDescent="0.25">
      <c r="A4912" s="1" t="s">
        <v>365</v>
      </c>
      <c r="B4912" s="1" t="s">
        <v>1888</v>
      </c>
      <c r="C4912" s="1" t="s">
        <v>16</v>
      </c>
      <c r="D4912" s="3">
        <f t="shared" si="719"/>
        <v>7265</v>
      </c>
      <c r="E4912" s="2">
        <f t="shared" si="720"/>
        <v>40909</v>
      </c>
      <c r="F4912" s="2">
        <f t="shared" si="721"/>
        <v>42582</v>
      </c>
    </row>
    <row r="4913" spans="1:6" x14ac:dyDescent="0.25">
      <c r="A4913" s="1" t="s">
        <v>365</v>
      </c>
      <c r="B4913" s="1" t="s">
        <v>1888</v>
      </c>
      <c r="C4913" s="1" t="s">
        <v>88</v>
      </c>
      <c r="D4913" s="3">
        <f t="shared" si="719"/>
        <v>7265</v>
      </c>
      <c r="E4913" s="2">
        <f t="shared" si="720"/>
        <v>40909</v>
      </c>
      <c r="F4913" s="2">
        <f t="shared" si="721"/>
        <v>42582</v>
      </c>
    </row>
    <row r="4914" spans="1:6" x14ac:dyDescent="0.25">
      <c r="A4914" s="1" t="s">
        <v>365</v>
      </c>
      <c r="B4914" s="1" t="s">
        <v>1888</v>
      </c>
      <c r="C4914" s="1" t="s">
        <v>89</v>
      </c>
      <c r="D4914" s="3">
        <f t="shared" si="719"/>
        <v>7265</v>
      </c>
      <c r="E4914" s="2">
        <f t="shared" si="720"/>
        <v>40909</v>
      </c>
      <c r="F4914" s="2">
        <f t="shared" si="721"/>
        <v>42582</v>
      </c>
    </row>
    <row r="4915" spans="1:6" x14ac:dyDescent="0.25">
      <c r="A4915" s="1" t="s">
        <v>365</v>
      </c>
      <c r="B4915" s="1" t="s">
        <v>1888</v>
      </c>
      <c r="C4915" s="1" t="s">
        <v>17</v>
      </c>
      <c r="D4915" s="3">
        <f t="shared" si="719"/>
        <v>7265</v>
      </c>
      <c r="E4915" s="2">
        <f t="shared" si="720"/>
        <v>40909</v>
      </c>
      <c r="F4915" s="2">
        <f t="shared" si="721"/>
        <v>42582</v>
      </c>
    </row>
    <row r="4916" spans="1:6" x14ac:dyDescent="0.25">
      <c r="A4916" s="1" t="s">
        <v>365</v>
      </c>
      <c r="B4916" s="1" t="s">
        <v>1888</v>
      </c>
      <c r="C4916" s="1" t="s">
        <v>20</v>
      </c>
      <c r="D4916" s="3">
        <f t="shared" si="719"/>
        <v>7265</v>
      </c>
      <c r="E4916" s="2">
        <f t="shared" si="720"/>
        <v>40909</v>
      </c>
      <c r="F4916" s="2">
        <f t="shared" si="721"/>
        <v>42582</v>
      </c>
    </row>
    <row r="4917" spans="1:6" x14ac:dyDescent="0.25">
      <c r="A4917" s="1" t="s">
        <v>365</v>
      </c>
      <c r="B4917" s="1" t="s">
        <v>1888</v>
      </c>
      <c r="C4917" s="1" t="s">
        <v>418</v>
      </c>
      <c r="D4917" s="3">
        <f t="shared" si="719"/>
        <v>7265</v>
      </c>
      <c r="E4917" s="2">
        <f t="shared" si="720"/>
        <v>40909</v>
      </c>
      <c r="F4917" s="2">
        <f t="shared" si="721"/>
        <v>42582</v>
      </c>
    </row>
    <row r="4918" spans="1:6" x14ac:dyDescent="0.25">
      <c r="A4918" s="1" t="s">
        <v>365</v>
      </c>
      <c r="B4918" s="1" t="s">
        <v>1888</v>
      </c>
      <c r="C4918" s="1" t="s">
        <v>22</v>
      </c>
      <c r="D4918" s="3">
        <f t="shared" si="719"/>
        <v>7265</v>
      </c>
      <c r="E4918" s="2">
        <f t="shared" si="720"/>
        <v>40909</v>
      </c>
      <c r="F4918" s="2">
        <f t="shared" si="721"/>
        <v>42582</v>
      </c>
    </row>
    <row r="4919" spans="1:6" x14ac:dyDescent="0.25">
      <c r="A4919" s="1" t="s">
        <v>365</v>
      </c>
      <c r="B4919" s="1" t="s">
        <v>1888</v>
      </c>
      <c r="C4919" s="1" t="s">
        <v>150</v>
      </c>
      <c r="D4919" s="3">
        <f t="shared" si="719"/>
        <v>7265</v>
      </c>
      <c r="E4919" s="2">
        <f t="shared" si="720"/>
        <v>40909</v>
      </c>
      <c r="F4919" s="2">
        <f t="shared" si="721"/>
        <v>42582</v>
      </c>
    </row>
    <row r="4920" spans="1:6" x14ac:dyDescent="0.25">
      <c r="A4920" s="1" t="s">
        <v>365</v>
      </c>
      <c r="B4920" s="1" t="s">
        <v>1888</v>
      </c>
      <c r="C4920" s="1" t="s">
        <v>92</v>
      </c>
      <c r="D4920" s="3">
        <f t="shared" si="719"/>
        <v>7265</v>
      </c>
      <c r="E4920" s="2">
        <f t="shared" si="720"/>
        <v>40909</v>
      </c>
      <c r="F4920" s="2">
        <f t="shared" si="721"/>
        <v>42582</v>
      </c>
    </row>
    <row r="4921" spans="1:6" x14ac:dyDescent="0.25">
      <c r="A4921" s="1" t="s">
        <v>365</v>
      </c>
      <c r="B4921" s="1" t="s">
        <v>1888</v>
      </c>
      <c r="C4921" s="1" t="s">
        <v>654</v>
      </c>
      <c r="D4921" s="3">
        <f t="shared" ref="D4921:D4944" si="722">VALUE("7265")</f>
        <v>7265</v>
      </c>
      <c r="E4921" s="2">
        <f t="shared" ref="E4921:E4945" si="723">DATEVALUE("1-1-2012")</f>
        <v>40909</v>
      </c>
      <c r="F4921" s="2">
        <f t="shared" ref="F4921:F4945" si="724">DATEVALUE("31-7-2016")</f>
        <v>42582</v>
      </c>
    </row>
    <row r="4922" spans="1:6" x14ac:dyDescent="0.25">
      <c r="A4922" s="1" t="s">
        <v>365</v>
      </c>
      <c r="B4922" s="1" t="s">
        <v>1888</v>
      </c>
      <c r="C4922" s="1" t="s">
        <v>330</v>
      </c>
      <c r="D4922" s="3">
        <f t="shared" si="722"/>
        <v>7265</v>
      </c>
      <c r="E4922" s="2">
        <f t="shared" si="723"/>
        <v>40909</v>
      </c>
      <c r="F4922" s="2">
        <f t="shared" si="724"/>
        <v>42582</v>
      </c>
    </row>
    <row r="4923" spans="1:6" x14ac:dyDescent="0.25">
      <c r="A4923" s="1" t="s">
        <v>365</v>
      </c>
      <c r="B4923" s="1" t="s">
        <v>1888</v>
      </c>
      <c r="C4923" s="1" t="s">
        <v>24</v>
      </c>
      <c r="D4923" s="3">
        <f t="shared" si="722"/>
        <v>7265</v>
      </c>
      <c r="E4923" s="2">
        <f t="shared" si="723"/>
        <v>40909</v>
      </c>
      <c r="F4923" s="2">
        <f t="shared" si="724"/>
        <v>42582</v>
      </c>
    </row>
    <row r="4924" spans="1:6" x14ac:dyDescent="0.25">
      <c r="A4924" s="1" t="s">
        <v>365</v>
      </c>
      <c r="B4924" s="1" t="s">
        <v>1888</v>
      </c>
      <c r="C4924" s="1" t="s">
        <v>50</v>
      </c>
      <c r="D4924" s="3">
        <f t="shared" si="722"/>
        <v>7265</v>
      </c>
      <c r="E4924" s="2">
        <f t="shared" si="723"/>
        <v>40909</v>
      </c>
      <c r="F4924" s="2">
        <f t="shared" si="724"/>
        <v>42582</v>
      </c>
    </row>
    <row r="4925" spans="1:6" x14ac:dyDescent="0.25">
      <c r="A4925" s="1" t="s">
        <v>365</v>
      </c>
      <c r="B4925" s="1" t="s">
        <v>1888</v>
      </c>
      <c r="C4925" s="1" t="s">
        <v>70</v>
      </c>
      <c r="D4925" s="3">
        <f t="shared" si="722"/>
        <v>7265</v>
      </c>
      <c r="E4925" s="2">
        <f t="shared" si="723"/>
        <v>40909</v>
      </c>
      <c r="F4925" s="2">
        <f t="shared" si="724"/>
        <v>42582</v>
      </c>
    </row>
    <row r="4926" spans="1:6" x14ac:dyDescent="0.25">
      <c r="A4926" s="1" t="s">
        <v>365</v>
      </c>
      <c r="B4926" s="1" t="s">
        <v>1888</v>
      </c>
      <c r="C4926" s="1" t="s">
        <v>25</v>
      </c>
      <c r="D4926" s="3">
        <f t="shared" si="722"/>
        <v>7265</v>
      </c>
      <c r="E4926" s="2">
        <f t="shared" si="723"/>
        <v>40909</v>
      </c>
      <c r="F4926" s="2">
        <f t="shared" si="724"/>
        <v>42582</v>
      </c>
    </row>
    <row r="4927" spans="1:6" x14ac:dyDescent="0.25">
      <c r="A4927" s="1" t="s">
        <v>365</v>
      </c>
      <c r="B4927" s="1" t="s">
        <v>1888</v>
      </c>
      <c r="C4927" s="1" t="s">
        <v>262</v>
      </c>
      <c r="D4927" s="3">
        <f t="shared" si="722"/>
        <v>7265</v>
      </c>
      <c r="E4927" s="2">
        <f t="shared" si="723"/>
        <v>40909</v>
      </c>
      <c r="F4927" s="2">
        <f t="shared" si="724"/>
        <v>42582</v>
      </c>
    </row>
    <row r="4928" spans="1:6" x14ac:dyDescent="0.25">
      <c r="A4928" s="1" t="s">
        <v>365</v>
      </c>
      <c r="B4928" s="1" t="s">
        <v>1888</v>
      </c>
      <c r="C4928" s="1" t="s">
        <v>51</v>
      </c>
      <c r="D4928" s="3">
        <f t="shared" si="722"/>
        <v>7265</v>
      </c>
      <c r="E4928" s="2">
        <f t="shared" si="723"/>
        <v>40909</v>
      </c>
      <c r="F4928" s="2">
        <f t="shared" si="724"/>
        <v>42582</v>
      </c>
    </row>
    <row r="4929" spans="1:6" x14ac:dyDescent="0.25">
      <c r="A4929" s="1" t="s">
        <v>365</v>
      </c>
      <c r="B4929" s="1" t="s">
        <v>1888</v>
      </c>
      <c r="C4929" s="1" t="s">
        <v>52</v>
      </c>
      <c r="D4929" s="3">
        <f t="shared" si="722"/>
        <v>7265</v>
      </c>
      <c r="E4929" s="2">
        <f t="shared" si="723"/>
        <v>40909</v>
      </c>
      <c r="F4929" s="2">
        <f t="shared" si="724"/>
        <v>42582</v>
      </c>
    </row>
    <row r="4930" spans="1:6" x14ac:dyDescent="0.25">
      <c r="A4930" s="1" t="s">
        <v>365</v>
      </c>
      <c r="B4930" s="1" t="s">
        <v>1888</v>
      </c>
      <c r="C4930" s="1" t="s">
        <v>32</v>
      </c>
      <c r="D4930" s="3">
        <f t="shared" si="722"/>
        <v>7265</v>
      </c>
      <c r="E4930" s="2">
        <f t="shared" si="723"/>
        <v>40909</v>
      </c>
      <c r="F4930" s="2">
        <f t="shared" si="724"/>
        <v>42582</v>
      </c>
    </row>
    <row r="4931" spans="1:6" x14ac:dyDescent="0.25">
      <c r="A4931" s="1" t="s">
        <v>365</v>
      </c>
      <c r="B4931" s="1" t="s">
        <v>1888</v>
      </c>
      <c r="C4931" s="1" t="s">
        <v>111</v>
      </c>
      <c r="D4931" s="3">
        <f t="shared" si="722"/>
        <v>7265</v>
      </c>
      <c r="E4931" s="2">
        <f t="shared" si="723"/>
        <v>40909</v>
      </c>
      <c r="F4931" s="2">
        <f t="shared" si="724"/>
        <v>42582</v>
      </c>
    </row>
    <row r="4932" spans="1:6" x14ac:dyDescent="0.25">
      <c r="A4932" s="1" t="s">
        <v>365</v>
      </c>
      <c r="B4932" s="1" t="s">
        <v>1888</v>
      </c>
      <c r="C4932" s="1" t="s">
        <v>33</v>
      </c>
      <c r="D4932" s="3">
        <f t="shared" si="722"/>
        <v>7265</v>
      </c>
      <c r="E4932" s="2">
        <f t="shared" si="723"/>
        <v>40909</v>
      </c>
      <c r="F4932" s="2">
        <f t="shared" si="724"/>
        <v>42582</v>
      </c>
    </row>
    <row r="4933" spans="1:6" x14ac:dyDescent="0.25">
      <c r="A4933" s="1" t="s">
        <v>365</v>
      </c>
      <c r="B4933" s="1" t="s">
        <v>1888</v>
      </c>
      <c r="C4933" s="1" t="s">
        <v>333</v>
      </c>
      <c r="D4933" s="3">
        <f t="shared" si="722"/>
        <v>7265</v>
      </c>
      <c r="E4933" s="2">
        <f t="shared" si="723"/>
        <v>40909</v>
      </c>
      <c r="F4933" s="2">
        <f t="shared" si="724"/>
        <v>42582</v>
      </c>
    </row>
    <row r="4934" spans="1:6" x14ac:dyDescent="0.25">
      <c r="A4934" s="1" t="s">
        <v>365</v>
      </c>
      <c r="B4934" s="1" t="s">
        <v>1888</v>
      </c>
      <c r="C4934" s="1" t="s">
        <v>185</v>
      </c>
      <c r="D4934" s="3">
        <f t="shared" si="722"/>
        <v>7265</v>
      </c>
      <c r="E4934" s="2">
        <f t="shared" si="723"/>
        <v>40909</v>
      </c>
      <c r="F4934" s="2">
        <f t="shared" si="724"/>
        <v>42582</v>
      </c>
    </row>
    <row r="4935" spans="1:6" x14ac:dyDescent="0.25">
      <c r="A4935" s="1" t="s">
        <v>365</v>
      </c>
      <c r="B4935" s="1" t="s">
        <v>1888</v>
      </c>
      <c r="C4935" s="1" t="s">
        <v>392</v>
      </c>
      <c r="D4935" s="3">
        <f t="shared" si="722"/>
        <v>7265</v>
      </c>
      <c r="E4935" s="2">
        <f t="shared" si="723"/>
        <v>40909</v>
      </c>
      <c r="F4935" s="2">
        <f t="shared" si="724"/>
        <v>42582</v>
      </c>
    </row>
    <row r="4936" spans="1:6" x14ac:dyDescent="0.25">
      <c r="A4936" s="1" t="s">
        <v>365</v>
      </c>
      <c r="B4936" s="1" t="s">
        <v>1888</v>
      </c>
      <c r="C4936" s="1" t="s">
        <v>352</v>
      </c>
      <c r="D4936" s="3">
        <f t="shared" si="722"/>
        <v>7265</v>
      </c>
      <c r="E4936" s="2">
        <f t="shared" si="723"/>
        <v>40909</v>
      </c>
      <c r="F4936" s="2">
        <f t="shared" si="724"/>
        <v>42582</v>
      </c>
    </row>
    <row r="4937" spans="1:6" x14ac:dyDescent="0.25">
      <c r="A4937" s="1" t="s">
        <v>365</v>
      </c>
      <c r="B4937" s="1" t="s">
        <v>1888</v>
      </c>
      <c r="C4937" s="1" t="s">
        <v>426</v>
      </c>
      <c r="D4937" s="3">
        <f t="shared" si="722"/>
        <v>7265</v>
      </c>
      <c r="E4937" s="2">
        <f t="shared" si="723"/>
        <v>40909</v>
      </c>
      <c r="F4937" s="2">
        <f t="shared" si="724"/>
        <v>42582</v>
      </c>
    </row>
    <row r="4938" spans="1:6" x14ac:dyDescent="0.25">
      <c r="A4938" s="1" t="s">
        <v>365</v>
      </c>
      <c r="B4938" s="1" t="s">
        <v>1888</v>
      </c>
      <c r="C4938" s="1" t="s">
        <v>34</v>
      </c>
      <c r="D4938" s="3">
        <f t="shared" si="722"/>
        <v>7265</v>
      </c>
      <c r="E4938" s="2">
        <f t="shared" si="723"/>
        <v>40909</v>
      </c>
      <c r="F4938" s="2">
        <f t="shared" si="724"/>
        <v>42582</v>
      </c>
    </row>
    <row r="4939" spans="1:6" x14ac:dyDescent="0.25">
      <c r="A4939" s="1" t="s">
        <v>365</v>
      </c>
      <c r="B4939" s="1" t="s">
        <v>1888</v>
      </c>
      <c r="C4939" s="1" t="s">
        <v>519</v>
      </c>
      <c r="D4939" s="3">
        <f t="shared" si="722"/>
        <v>7265</v>
      </c>
      <c r="E4939" s="2">
        <f t="shared" si="723"/>
        <v>40909</v>
      </c>
      <c r="F4939" s="2">
        <f t="shared" si="724"/>
        <v>42582</v>
      </c>
    </row>
    <row r="4940" spans="1:6" x14ac:dyDescent="0.25">
      <c r="A4940" s="1" t="s">
        <v>365</v>
      </c>
      <c r="B4940" s="1" t="s">
        <v>1888</v>
      </c>
      <c r="C4940" s="1" t="s">
        <v>1874</v>
      </c>
      <c r="D4940" s="3">
        <f t="shared" si="722"/>
        <v>7265</v>
      </c>
      <c r="E4940" s="2">
        <f t="shared" si="723"/>
        <v>40909</v>
      </c>
      <c r="F4940" s="2">
        <f t="shared" si="724"/>
        <v>42582</v>
      </c>
    </row>
    <row r="4941" spans="1:6" x14ac:dyDescent="0.25">
      <c r="A4941" s="1" t="s">
        <v>365</v>
      </c>
      <c r="B4941" s="1" t="s">
        <v>1888</v>
      </c>
      <c r="C4941" s="1" t="s">
        <v>56</v>
      </c>
      <c r="D4941" s="3">
        <f t="shared" si="722"/>
        <v>7265</v>
      </c>
      <c r="E4941" s="2">
        <f t="shared" si="723"/>
        <v>40909</v>
      </c>
      <c r="F4941" s="2">
        <f t="shared" si="724"/>
        <v>42582</v>
      </c>
    </row>
    <row r="4942" spans="1:6" x14ac:dyDescent="0.25">
      <c r="A4942" s="1" t="s">
        <v>365</v>
      </c>
      <c r="B4942" s="1" t="s">
        <v>1888</v>
      </c>
      <c r="C4942" s="1" t="s">
        <v>57</v>
      </c>
      <c r="D4942" s="3">
        <f t="shared" si="722"/>
        <v>7265</v>
      </c>
      <c r="E4942" s="2">
        <f t="shared" si="723"/>
        <v>40909</v>
      </c>
      <c r="F4942" s="2">
        <f t="shared" si="724"/>
        <v>42582</v>
      </c>
    </row>
    <row r="4943" spans="1:6" x14ac:dyDescent="0.25">
      <c r="A4943" s="1" t="s">
        <v>365</v>
      </c>
      <c r="B4943" s="1" t="s">
        <v>1888</v>
      </c>
      <c r="C4943" s="1" t="s">
        <v>173</v>
      </c>
      <c r="D4943" s="3">
        <f t="shared" si="722"/>
        <v>7265</v>
      </c>
      <c r="E4943" s="2">
        <f t="shared" si="723"/>
        <v>40909</v>
      </c>
      <c r="F4943" s="2">
        <f t="shared" si="724"/>
        <v>42582</v>
      </c>
    </row>
    <row r="4944" spans="1:6" x14ac:dyDescent="0.25">
      <c r="A4944" s="1" t="s">
        <v>365</v>
      </c>
      <c r="B4944" s="1" t="s">
        <v>1888</v>
      </c>
      <c r="C4944" s="1" t="s">
        <v>36</v>
      </c>
      <c r="D4944" s="3">
        <f t="shared" si="722"/>
        <v>7265</v>
      </c>
      <c r="E4944" s="2">
        <f t="shared" si="723"/>
        <v>40909</v>
      </c>
      <c r="F4944" s="2">
        <f t="shared" si="724"/>
        <v>42582</v>
      </c>
    </row>
    <row r="4945" spans="1:6" x14ac:dyDescent="0.25">
      <c r="A4945" s="1" t="s">
        <v>365</v>
      </c>
      <c r="B4945" s="1" t="s">
        <v>2122</v>
      </c>
      <c r="C4945" s="1" t="s">
        <v>45</v>
      </c>
      <c r="D4945" s="3">
        <f>VALUE("7266")</f>
        <v>7266</v>
      </c>
      <c r="E4945" s="2">
        <f t="shared" si="723"/>
        <v>40909</v>
      </c>
      <c r="F4945" s="2">
        <f t="shared" si="724"/>
        <v>42582</v>
      </c>
    </row>
    <row r="4946" spans="1:6" x14ac:dyDescent="0.25">
      <c r="A4946" s="1" t="s">
        <v>365</v>
      </c>
      <c r="B4946" s="1" t="s">
        <v>1888</v>
      </c>
      <c r="C4946" s="1" t="s">
        <v>78</v>
      </c>
      <c r="D4946" s="3">
        <f t="shared" ref="D4946:D4992" si="725">VALUE("6095")</f>
        <v>6095</v>
      </c>
      <c r="E4946" s="2">
        <f t="shared" ref="E4946:E4993" si="726">DATEVALUE("1-5-2008")</f>
        <v>39569</v>
      </c>
      <c r="F4946" s="2">
        <f t="shared" ref="F4946:F4993" si="727">DATEVALUE("31-12-2011")</f>
        <v>40908</v>
      </c>
    </row>
    <row r="4947" spans="1:6" x14ac:dyDescent="0.25">
      <c r="A4947" s="1" t="s">
        <v>365</v>
      </c>
      <c r="B4947" s="1" t="s">
        <v>1888</v>
      </c>
      <c r="C4947" s="1" t="s">
        <v>79</v>
      </c>
      <c r="D4947" s="3">
        <f t="shared" si="725"/>
        <v>6095</v>
      </c>
      <c r="E4947" s="2">
        <f t="shared" si="726"/>
        <v>39569</v>
      </c>
      <c r="F4947" s="2">
        <f t="shared" si="727"/>
        <v>40908</v>
      </c>
    </row>
    <row r="4948" spans="1:6" x14ac:dyDescent="0.25">
      <c r="A4948" s="1" t="s">
        <v>365</v>
      </c>
      <c r="B4948" s="1" t="s">
        <v>1888</v>
      </c>
      <c r="C4948" s="1" t="s">
        <v>80</v>
      </c>
      <c r="D4948" s="3">
        <f t="shared" si="725"/>
        <v>6095</v>
      </c>
      <c r="E4948" s="2">
        <f t="shared" si="726"/>
        <v>39569</v>
      </c>
      <c r="F4948" s="2">
        <f t="shared" si="727"/>
        <v>40908</v>
      </c>
    </row>
    <row r="4949" spans="1:6" x14ac:dyDescent="0.25">
      <c r="A4949" s="1" t="s">
        <v>365</v>
      </c>
      <c r="B4949" s="1" t="s">
        <v>1888</v>
      </c>
      <c r="C4949" s="1" t="s">
        <v>39</v>
      </c>
      <c r="D4949" s="3">
        <f t="shared" si="725"/>
        <v>6095</v>
      </c>
      <c r="E4949" s="2">
        <f t="shared" si="726"/>
        <v>39569</v>
      </c>
      <c r="F4949" s="2">
        <f t="shared" si="727"/>
        <v>40908</v>
      </c>
    </row>
    <row r="4950" spans="1:6" x14ac:dyDescent="0.25">
      <c r="A4950" s="1" t="s">
        <v>365</v>
      </c>
      <c r="B4950" s="1" t="s">
        <v>1888</v>
      </c>
      <c r="C4950" s="1" t="s">
        <v>60</v>
      </c>
      <c r="D4950" s="3">
        <f t="shared" si="725"/>
        <v>6095</v>
      </c>
      <c r="E4950" s="2">
        <f t="shared" si="726"/>
        <v>39569</v>
      </c>
      <c r="F4950" s="2">
        <f t="shared" si="727"/>
        <v>40908</v>
      </c>
    </row>
    <row r="4951" spans="1:6" x14ac:dyDescent="0.25">
      <c r="A4951" s="1" t="s">
        <v>365</v>
      </c>
      <c r="B4951" s="1" t="s">
        <v>1888</v>
      </c>
      <c r="C4951" s="1" t="s">
        <v>82</v>
      </c>
      <c r="D4951" s="3">
        <f t="shared" si="725"/>
        <v>6095</v>
      </c>
      <c r="E4951" s="2">
        <f t="shared" si="726"/>
        <v>39569</v>
      </c>
      <c r="F4951" s="2">
        <f t="shared" si="727"/>
        <v>40908</v>
      </c>
    </row>
    <row r="4952" spans="1:6" x14ac:dyDescent="0.25">
      <c r="A4952" s="1" t="s">
        <v>365</v>
      </c>
      <c r="B4952" s="1" t="s">
        <v>1888</v>
      </c>
      <c r="C4952" s="1" t="s">
        <v>42</v>
      </c>
      <c r="D4952" s="3">
        <f t="shared" si="725"/>
        <v>6095</v>
      </c>
      <c r="E4952" s="2">
        <f t="shared" si="726"/>
        <v>39569</v>
      </c>
      <c r="F4952" s="2">
        <f t="shared" si="727"/>
        <v>40908</v>
      </c>
    </row>
    <row r="4953" spans="1:6" x14ac:dyDescent="0.25">
      <c r="A4953" s="1" t="s">
        <v>365</v>
      </c>
      <c r="B4953" s="1" t="s">
        <v>1888</v>
      </c>
      <c r="C4953" s="1" t="s">
        <v>1889</v>
      </c>
      <c r="D4953" s="3">
        <f t="shared" si="725"/>
        <v>6095</v>
      </c>
      <c r="E4953" s="2">
        <f t="shared" si="726"/>
        <v>39569</v>
      </c>
      <c r="F4953" s="2">
        <f t="shared" si="727"/>
        <v>40908</v>
      </c>
    </row>
    <row r="4954" spans="1:6" x14ac:dyDescent="0.25">
      <c r="A4954" s="1" t="s">
        <v>365</v>
      </c>
      <c r="B4954" s="1" t="s">
        <v>1888</v>
      </c>
      <c r="C4954" s="1" t="s">
        <v>8</v>
      </c>
      <c r="D4954" s="3">
        <f t="shared" si="725"/>
        <v>6095</v>
      </c>
      <c r="E4954" s="2">
        <f t="shared" si="726"/>
        <v>39569</v>
      </c>
      <c r="F4954" s="2">
        <f t="shared" si="727"/>
        <v>40908</v>
      </c>
    </row>
    <row r="4955" spans="1:6" x14ac:dyDescent="0.25">
      <c r="A4955" s="1" t="s">
        <v>365</v>
      </c>
      <c r="B4955" s="1" t="s">
        <v>1888</v>
      </c>
      <c r="C4955" s="1" t="s">
        <v>10</v>
      </c>
      <c r="D4955" s="3">
        <f t="shared" si="725"/>
        <v>6095</v>
      </c>
      <c r="E4955" s="2">
        <f t="shared" si="726"/>
        <v>39569</v>
      </c>
      <c r="F4955" s="2">
        <f t="shared" si="727"/>
        <v>40908</v>
      </c>
    </row>
    <row r="4956" spans="1:6" x14ac:dyDescent="0.25">
      <c r="A4956" s="1" t="s">
        <v>365</v>
      </c>
      <c r="B4956" s="1" t="s">
        <v>1888</v>
      </c>
      <c r="C4956" s="1" t="s">
        <v>11</v>
      </c>
      <c r="D4956" s="3">
        <f t="shared" si="725"/>
        <v>6095</v>
      </c>
      <c r="E4956" s="2">
        <f t="shared" si="726"/>
        <v>39569</v>
      </c>
      <c r="F4956" s="2">
        <f t="shared" si="727"/>
        <v>40908</v>
      </c>
    </row>
    <row r="4957" spans="1:6" x14ac:dyDescent="0.25">
      <c r="A4957" s="1" t="s">
        <v>365</v>
      </c>
      <c r="B4957" s="1" t="s">
        <v>1888</v>
      </c>
      <c r="C4957" s="1" t="s">
        <v>12</v>
      </c>
      <c r="D4957" s="3">
        <f t="shared" si="725"/>
        <v>6095</v>
      </c>
      <c r="E4957" s="2">
        <f t="shared" si="726"/>
        <v>39569</v>
      </c>
      <c r="F4957" s="2">
        <f t="shared" si="727"/>
        <v>40908</v>
      </c>
    </row>
    <row r="4958" spans="1:6" x14ac:dyDescent="0.25">
      <c r="A4958" s="1" t="s">
        <v>365</v>
      </c>
      <c r="B4958" s="1" t="s">
        <v>1888</v>
      </c>
      <c r="C4958" s="1" t="s">
        <v>83</v>
      </c>
      <c r="D4958" s="3">
        <f t="shared" si="725"/>
        <v>6095</v>
      </c>
      <c r="E4958" s="2">
        <f t="shared" si="726"/>
        <v>39569</v>
      </c>
      <c r="F4958" s="2">
        <f t="shared" si="727"/>
        <v>40908</v>
      </c>
    </row>
    <row r="4959" spans="1:6" x14ac:dyDescent="0.25">
      <c r="A4959" s="1" t="s">
        <v>365</v>
      </c>
      <c r="B4959" s="1" t="s">
        <v>1888</v>
      </c>
      <c r="C4959" s="1" t="s">
        <v>43</v>
      </c>
      <c r="D4959" s="3">
        <f t="shared" si="725"/>
        <v>6095</v>
      </c>
      <c r="E4959" s="2">
        <f t="shared" si="726"/>
        <v>39569</v>
      </c>
      <c r="F4959" s="2">
        <f t="shared" si="727"/>
        <v>40908</v>
      </c>
    </row>
    <row r="4960" spans="1:6" x14ac:dyDescent="0.25">
      <c r="A4960" s="1" t="s">
        <v>365</v>
      </c>
      <c r="B4960" s="1" t="s">
        <v>1888</v>
      </c>
      <c r="C4960" s="1" t="s">
        <v>45</v>
      </c>
      <c r="D4960" s="3">
        <f t="shared" si="725"/>
        <v>6095</v>
      </c>
      <c r="E4960" s="2">
        <f t="shared" si="726"/>
        <v>39569</v>
      </c>
      <c r="F4960" s="2">
        <f t="shared" si="727"/>
        <v>40908</v>
      </c>
    </row>
    <row r="4961" spans="1:6" x14ac:dyDescent="0.25">
      <c r="A4961" s="1" t="s">
        <v>365</v>
      </c>
      <c r="B4961" s="1" t="s">
        <v>1888</v>
      </c>
      <c r="C4961" s="1" t="s">
        <v>86</v>
      </c>
      <c r="D4961" s="3">
        <f t="shared" si="725"/>
        <v>6095</v>
      </c>
      <c r="E4961" s="2">
        <f t="shared" si="726"/>
        <v>39569</v>
      </c>
      <c r="F4961" s="2">
        <f t="shared" si="727"/>
        <v>40908</v>
      </c>
    </row>
    <row r="4962" spans="1:6" x14ac:dyDescent="0.25">
      <c r="A4962" s="1" t="s">
        <v>365</v>
      </c>
      <c r="B4962" s="1" t="s">
        <v>1888</v>
      </c>
      <c r="C4962" s="1" t="s">
        <v>46</v>
      </c>
      <c r="D4962" s="3">
        <f t="shared" si="725"/>
        <v>6095</v>
      </c>
      <c r="E4962" s="2">
        <f t="shared" si="726"/>
        <v>39569</v>
      </c>
      <c r="F4962" s="2">
        <f t="shared" si="727"/>
        <v>40908</v>
      </c>
    </row>
    <row r="4963" spans="1:6" x14ac:dyDescent="0.25">
      <c r="A4963" s="1" t="s">
        <v>365</v>
      </c>
      <c r="B4963" s="1" t="s">
        <v>1888</v>
      </c>
      <c r="C4963" s="1" t="s">
        <v>66</v>
      </c>
      <c r="D4963" s="3">
        <f t="shared" si="725"/>
        <v>6095</v>
      </c>
      <c r="E4963" s="2">
        <f t="shared" si="726"/>
        <v>39569</v>
      </c>
      <c r="F4963" s="2">
        <f t="shared" si="727"/>
        <v>40908</v>
      </c>
    </row>
    <row r="4964" spans="1:6" x14ac:dyDescent="0.25">
      <c r="A4964" s="1" t="s">
        <v>365</v>
      </c>
      <c r="B4964" s="1" t="s">
        <v>1888</v>
      </c>
      <c r="C4964" s="1" t="s">
        <v>16</v>
      </c>
      <c r="D4964" s="3">
        <f t="shared" si="725"/>
        <v>6095</v>
      </c>
      <c r="E4964" s="2">
        <f t="shared" si="726"/>
        <v>39569</v>
      </c>
      <c r="F4964" s="2">
        <f t="shared" si="727"/>
        <v>40908</v>
      </c>
    </row>
    <row r="4965" spans="1:6" x14ac:dyDescent="0.25">
      <c r="A4965" s="1" t="s">
        <v>365</v>
      </c>
      <c r="B4965" s="1" t="s">
        <v>1888</v>
      </c>
      <c r="C4965" s="1" t="s">
        <v>88</v>
      </c>
      <c r="D4965" s="3">
        <f t="shared" si="725"/>
        <v>6095</v>
      </c>
      <c r="E4965" s="2">
        <f t="shared" si="726"/>
        <v>39569</v>
      </c>
      <c r="F4965" s="2">
        <f t="shared" si="727"/>
        <v>40908</v>
      </c>
    </row>
    <row r="4966" spans="1:6" x14ac:dyDescent="0.25">
      <c r="A4966" s="1" t="s">
        <v>365</v>
      </c>
      <c r="B4966" s="1" t="s">
        <v>1888</v>
      </c>
      <c r="C4966" s="1" t="s">
        <v>89</v>
      </c>
      <c r="D4966" s="3">
        <f t="shared" si="725"/>
        <v>6095</v>
      </c>
      <c r="E4966" s="2">
        <f t="shared" si="726"/>
        <v>39569</v>
      </c>
      <c r="F4966" s="2">
        <f t="shared" si="727"/>
        <v>40908</v>
      </c>
    </row>
    <row r="4967" spans="1:6" x14ac:dyDescent="0.25">
      <c r="A4967" s="1" t="s">
        <v>365</v>
      </c>
      <c r="B4967" s="1" t="s">
        <v>1888</v>
      </c>
      <c r="C4967" s="1" t="s">
        <v>17</v>
      </c>
      <c r="D4967" s="3">
        <f t="shared" si="725"/>
        <v>6095</v>
      </c>
      <c r="E4967" s="2">
        <f t="shared" si="726"/>
        <v>39569</v>
      </c>
      <c r="F4967" s="2">
        <f t="shared" si="727"/>
        <v>40908</v>
      </c>
    </row>
    <row r="4968" spans="1:6" x14ac:dyDescent="0.25">
      <c r="A4968" s="1" t="s">
        <v>365</v>
      </c>
      <c r="B4968" s="1" t="s">
        <v>1888</v>
      </c>
      <c r="C4968" s="1" t="s">
        <v>25</v>
      </c>
      <c r="D4968" s="3">
        <f t="shared" si="725"/>
        <v>6095</v>
      </c>
      <c r="E4968" s="2">
        <f t="shared" si="726"/>
        <v>39569</v>
      </c>
      <c r="F4968" s="2">
        <f t="shared" si="727"/>
        <v>40908</v>
      </c>
    </row>
    <row r="4969" spans="1:6" x14ac:dyDescent="0.25">
      <c r="A4969" s="1" t="s">
        <v>365</v>
      </c>
      <c r="B4969" s="1" t="s">
        <v>1888</v>
      </c>
      <c r="C4969" s="1" t="s">
        <v>97</v>
      </c>
      <c r="D4969" s="3">
        <f t="shared" si="725"/>
        <v>6095</v>
      </c>
      <c r="E4969" s="2">
        <f t="shared" si="726"/>
        <v>39569</v>
      </c>
      <c r="F4969" s="2">
        <f t="shared" si="727"/>
        <v>40908</v>
      </c>
    </row>
    <row r="4970" spans="1:6" x14ac:dyDescent="0.25">
      <c r="A4970" s="1" t="s">
        <v>365</v>
      </c>
      <c r="B4970" s="1" t="s">
        <v>1888</v>
      </c>
      <c r="C4970" s="1" t="s">
        <v>98</v>
      </c>
      <c r="D4970" s="3">
        <f t="shared" si="725"/>
        <v>6095</v>
      </c>
      <c r="E4970" s="2">
        <f t="shared" si="726"/>
        <v>39569</v>
      </c>
      <c r="F4970" s="2">
        <f t="shared" si="727"/>
        <v>40908</v>
      </c>
    </row>
    <row r="4971" spans="1:6" x14ac:dyDescent="0.25">
      <c r="A4971" s="1" t="s">
        <v>365</v>
      </c>
      <c r="B4971" s="1" t="s">
        <v>1888</v>
      </c>
      <c r="C4971" s="1" t="s">
        <v>99</v>
      </c>
      <c r="D4971" s="3">
        <f t="shared" si="725"/>
        <v>6095</v>
      </c>
      <c r="E4971" s="2">
        <f t="shared" si="726"/>
        <v>39569</v>
      </c>
      <c r="F4971" s="2">
        <f t="shared" si="727"/>
        <v>40908</v>
      </c>
    </row>
    <row r="4972" spans="1:6" x14ac:dyDescent="0.25">
      <c r="A4972" s="1" t="s">
        <v>365</v>
      </c>
      <c r="B4972" s="1" t="s">
        <v>1888</v>
      </c>
      <c r="C4972" s="1" t="s">
        <v>71</v>
      </c>
      <c r="D4972" s="3">
        <f t="shared" si="725"/>
        <v>6095</v>
      </c>
      <c r="E4972" s="2">
        <f t="shared" si="726"/>
        <v>39569</v>
      </c>
      <c r="F4972" s="2">
        <f t="shared" si="727"/>
        <v>40908</v>
      </c>
    </row>
    <row r="4973" spans="1:6" x14ac:dyDescent="0.25">
      <c r="A4973" s="1" t="s">
        <v>365</v>
      </c>
      <c r="B4973" s="1" t="s">
        <v>1888</v>
      </c>
      <c r="C4973" s="1" t="s">
        <v>100</v>
      </c>
      <c r="D4973" s="3">
        <f t="shared" si="725"/>
        <v>6095</v>
      </c>
      <c r="E4973" s="2">
        <f t="shared" si="726"/>
        <v>39569</v>
      </c>
      <c r="F4973" s="2">
        <f t="shared" si="727"/>
        <v>40908</v>
      </c>
    </row>
    <row r="4974" spans="1:6" x14ac:dyDescent="0.25">
      <c r="A4974" s="1" t="s">
        <v>365</v>
      </c>
      <c r="B4974" s="1" t="s">
        <v>1888</v>
      </c>
      <c r="C4974" s="1" t="s">
        <v>51</v>
      </c>
      <c r="D4974" s="3">
        <f t="shared" si="725"/>
        <v>6095</v>
      </c>
      <c r="E4974" s="2">
        <f t="shared" si="726"/>
        <v>39569</v>
      </c>
      <c r="F4974" s="2">
        <f t="shared" si="727"/>
        <v>40908</v>
      </c>
    </row>
    <row r="4975" spans="1:6" x14ac:dyDescent="0.25">
      <c r="A4975" s="1" t="s">
        <v>365</v>
      </c>
      <c r="B4975" s="1" t="s">
        <v>1888</v>
      </c>
      <c r="C4975" s="1" t="s">
        <v>105</v>
      </c>
      <c r="D4975" s="3">
        <f t="shared" si="725"/>
        <v>6095</v>
      </c>
      <c r="E4975" s="2">
        <f t="shared" si="726"/>
        <v>39569</v>
      </c>
      <c r="F4975" s="2">
        <f t="shared" si="727"/>
        <v>40908</v>
      </c>
    </row>
    <row r="4976" spans="1:6" x14ac:dyDescent="0.25">
      <c r="A4976" s="1" t="s">
        <v>365</v>
      </c>
      <c r="B4976" s="1" t="s">
        <v>1888</v>
      </c>
      <c r="C4976" s="1" t="s">
        <v>106</v>
      </c>
      <c r="D4976" s="3">
        <f t="shared" si="725"/>
        <v>6095</v>
      </c>
      <c r="E4976" s="2">
        <f t="shared" si="726"/>
        <v>39569</v>
      </c>
      <c r="F4976" s="2">
        <f t="shared" si="727"/>
        <v>40908</v>
      </c>
    </row>
    <row r="4977" spans="1:6" x14ac:dyDescent="0.25">
      <c r="A4977" s="1" t="s">
        <v>365</v>
      </c>
      <c r="B4977" s="1" t="s">
        <v>1888</v>
      </c>
      <c r="C4977" s="1" t="s">
        <v>107</v>
      </c>
      <c r="D4977" s="3">
        <f t="shared" si="725"/>
        <v>6095</v>
      </c>
      <c r="E4977" s="2">
        <f t="shared" si="726"/>
        <v>39569</v>
      </c>
      <c r="F4977" s="2">
        <f t="shared" si="727"/>
        <v>40908</v>
      </c>
    </row>
    <row r="4978" spans="1:6" x14ac:dyDescent="0.25">
      <c r="A4978" s="1" t="s">
        <v>365</v>
      </c>
      <c r="B4978" s="1" t="s">
        <v>1888</v>
      </c>
      <c r="C4978" s="1" t="s">
        <v>32</v>
      </c>
      <c r="D4978" s="3">
        <f t="shared" si="725"/>
        <v>6095</v>
      </c>
      <c r="E4978" s="2">
        <f t="shared" si="726"/>
        <v>39569</v>
      </c>
      <c r="F4978" s="2">
        <f t="shared" si="727"/>
        <v>40908</v>
      </c>
    </row>
    <row r="4979" spans="1:6" x14ac:dyDescent="0.25">
      <c r="A4979" s="1" t="s">
        <v>365</v>
      </c>
      <c r="B4979" s="1" t="s">
        <v>1888</v>
      </c>
      <c r="C4979" s="1" t="s">
        <v>108</v>
      </c>
      <c r="D4979" s="3">
        <f t="shared" si="725"/>
        <v>6095</v>
      </c>
      <c r="E4979" s="2">
        <f t="shared" si="726"/>
        <v>39569</v>
      </c>
      <c r="F4979" s="2">
        <f t="shared" si="727"/>
        <v>40908</v>
      </c>
    </row>
    <row r="4980" spans="1:6" x14ac:dyDescent="0.25">
      <c r="A4980" s="1" t="s">
        <v>365</v>
      </c>
      <c r="B4980" s="1" t="s">
        <v>1888</v>
      </c>
      <c r="C4980" s="1" t="s">
        <v>109</v>
      </c>
      <c r="D4980" s="3">
        <f t="shared" si="725"/>
        <v>6095</v>
      </c>
      <c r="E4980" s="2">
        <f t="shared" si="726"/>
        <v>39569</v>
      </c>
      <c r="F4980" s="2">
        <f t="shared" si="727"/>
        <v>40908</v>
      </c>
    </row>
    <row r="4981" spans="1:6" x14ac:dyDescent="0.25">
      <c r="A4981" s="1" t="s">
        <v>365</v>
      </c>
      <c r="B4981" s="1" t="s">
        <v>1888</v>
      </c>
      <c r="C4981" s="1" t="s">
        <v>110</v>
      </c>
      <c r="D4981" s="3">
        <f t="shared" si="725"/>
        <v>6095</v>
      </c>
      <c r="E4981" s="2">
        <f t="shared" si="726"/>
        <v>39569</v>
      </c>
      <c r="F4981" s="2">
        <f t="shared" si="727"/>
        <v>40908</v>
      </c>
    </row>
    <row r="4982" spans="1:6" x14ac:dyDescent="0.25">
      <c r="A4982" s="1" t="s">
        <v>365</v>
      </c>
      <c r="B4982" s="1" t="s">
        <v>1888</v>
      </c>
      <c r="C4982" s="1" t="s">
        <v>111</v>
      </c>
      <c r="D4982" s="3">
        <f t="shared" si="725"/>
        <v>6095</v>
      </c>
      <c r="E4982" s="2">
        <f t="shared" si="726"/>
        <v>39569</v>
      </c>
      <c r="F4982" s="2">
        <f t="shared" si="727"/>
        <v>40908</v>
      </c>
    </row>
    <row r="4983" spans="1:6" x14ac:dyDescent="0.25">
      <c r="A4983" s="1" t="s">
        <v>365</v>
      </c>
      <c r="B4983" s="1" t="s">
        <v>1888</v>
      </c>
      <c r="C4983" s="1" t="s">
        <v>112</v>
      </c>
      <c r="D4983" s="3">
        <f t="shared" si="725"/>
        <v>6095</v>
      </c>
      <c r="E4983" s="2">
        <f t="shared" si="726"/>
        <v>39569</v>
      </c>
      <c r="F4983" s="2">
        <f t="shared" si="727"/>
        <v>40908</v>
      </c>
    </row>
    <row r="4984" spans="1:6" x14ac:dyDescent="0.25">
      <c r="A4984" s="1" t="s">
        <v>365</v>
      </c>
      <c r="B4984" s="1" t="s">
        <v>1888</v>
      </c>
      <c r="C4984" s="1" t="s">
        <v>113</v>
      </c>
      <c r="D4984" s="3">
        <f t="shared" si="725"/>
        <v>6095</v>
      </c>
      <c r="E4984" s="2">
        <f t="shared" si="726"/>
        <v>39569</v>
      </c>
      <c r="F4984" s="2">
        <f t="shared" si="727"/>
        <v>40908</v>
      </c>
    </row>
    <row r="4985" spans="1:6" x14ac:dyDescent="0.25">
      <c r="A4985" s="1" t="s">
        <v>365</v>
      </c>
      <c r="B4985" s="1" t="s">
        <v>1888</v>
      </c>
      <c r="C4985" s="1" t="s">
        <v>33</v>
      </c>
      <c r="D4985" s="3">
        <f t="shared" si="725"/>
        <v>6095</v>
      </c>
      <c r="E4985" s="2">
        <f t="shared" si="726"/>
        <v>39569</v>
      </c>
      <c r="F4985" s="2">
        <f t="shared" si="727"/>
        <v>40908</v>
      </c>
    </row>
    <row r="4986" spans="1:6" x14ac:dyDescent="0.25">
      <c r="A4986" s="1" t="s">
        <v>365</v>
      </c>
      <c r="B4986" s="1" t="s">
        <v>1888</v>
      </c>
      <c r="C4986" s="1" t="s">
        <v>114</v>
      </c>
      <c r="D4986" s="3">
        <f t="shared" si="725"/>
        <v>6095</v>
      </c>
      <c r="E4986" s="2">
        <f t="shared" si="726"/>
        <v>39569</v>
      </c>
      <c r="F4986" s="2">
        <f t="shared" si="727"/>
        <v>40908</v>
      </c>
    </row>
    <row r="4987" spans="1:6" x14ac:dyDescent="0.25">
      <c r="A4987" s="1" t="s">
        <v>365</v>
      </c>
      <c r="B4987" s="1" t="s">
        <v>1888</v>
      </c>
      <c r="C4987" s="1" t="s">
        <v>333</v>
      </c>
      <c r="D4987" s="3">
        <f t="shared" si="725"/>
        <v>6095</v>
      </c>
      <c r="E4987" s="2">
        <f t="shared" si="726"/>
        <v>39569</v>
      </c>
      <c r="F4987" s="2">
        <f t="shared" si="727"/>
        <v>40908</v>
      </c>
    </row>
    <row r="4988" spans="1:6" x14ac:dyDescent="0.25">
      <c r="A4988" s="1" t="s">
        <v>365</v>
      </c>
      <c r="B4988" s="1" t="s">
        <v>1888</v>
      </c>
      <c r="C4988" s="1" t="s">
        <v>185</v>
      </c>
      <c r="D4988" s="3">
        <f t="shared" si="725"/>
        <v>6095</v>
      </c>
      <c r="E4988" s="2">
        <f t="shared" si="726"/>
        <v>39569</v>
      </c>
      <c r="F4988" s="2">
        <f t="shared" si="727"/>
        <v>40908</v>
      </c>
    </row>
    <row r="4989" spans="1:6" x14ac:dyDescent="0.25">
      <c r="A4989" s="1" t="s">
        <v>365</v>
      </c>
      <c r="B4989" s="1" t="s">
        <v>1888</v>
      </c>
      <c r="C4989" s="1" t="s">
        <v>1874</v>
      </c>
      <c r="D4989" s="3">
        <f t="shared" si="725"/>
        <v>6095</v>
      </c>
      <c r="E4989" s="2">
        <f t="shared" si="726"/>
        <v>39569</v>
      </c>
      <c r="F4989" s="2">
        <f t="shared" si="727"/>
        <v>40908</v>
      </c>
    </row>
    <row r="4990" spans="1:6" x14ac:dyDescent="0.25">
      <c r="A4990" s="1" t="s">
        <v>365</v>
      </c>
      <c r="B4990" s="1" t="s">
        <v>1888</v>
      </c>
      <c r="C4990" s="1" t="s">
        <v>116</v>
      </c>
      <c r="D4990" s="3">
        <f t="shared" si="725"/>
        <v>6095</v>
      </c>
      <c r="E4990" s="2">
        <f t="shared" si="726"/>
        <v>39569</v>
      </c>
      <c r="F4990" s="2">
        <f t="shared" si="727"/>
        <v>40908</v>
      </c>
    </row>
    <row r="4991" spans="1:6" x14ac:dyDescent="0.25">
      <c r="A4991" s="1" t="s">
        <v>365</v>
      </c>
      <c r="B4991" s="1" t="s">
        <v>1888</v>
      </c>
      <c r="C4991" s="1" t="s">
        <v>57</v>
      </c>
      <c r="D4991" s="3">
        <f t="shared" si="725"/>
        <v>6095</v>
      </c>
      <c r="E4991" s="2">
        <f t="shared" si="726"/>
        <v>39569</v>
      </c>
      <c r="F4991" s="2">
        <f t="shared" si="727"/>
        <v>40908</v>
      </c>
    </row>
    <row r="4992" spans="1:6" x14ac:dyDescent="0.25">
      <c r="A4992" s="1" t="s">
        <v>365</v>
      </c>
      <c r="B4992" s="1" t="s">
        <v>1888</v>
      </c>
      <c r="C4992" s="1" t="s">
        <v>36</v>
      </c>
      <c r="D4992" s="3">
        <f t="shared" si="725"/>
        <v>6095</v>
      </c>
      <c r="E4992" s="2">
        <f t="shared" si="726"/>
        <v>39569</v>
      </c>
      <c r="F4992" s="2">
        <f t="shared" si="727"/>
        <v>40908</v>
      </c>
    </row>
    <row r="4993" spans="1:6" x14ac:dyDescent="0.25">
      <c r="A4993" s="1" t="s">
        <v>365</v>
      </c>
      <c r="B4993" s="1" t="s">
        <v>2532</v>
      </c>
      <c r="C4993" s="1" t="s">
        <v>45</v>
      </c>
      <c r="D4993" s="3">
        <f>VALUE("6096")</f>
        <v>6096</v>
      </c>
      <c r="E4993" s="2">
        <f t="shared" si="726"/>
        <v>39569</v>
      </c>
      <c r="F4993" s="2">
        <f t="shared" si="727"/>
        <v>40908</v>
      </c>
    </row>
    <row r="4994" spans="1:6" x14ac:dyDescent="0.25">
      <c r="A4994" s="1" t="s">
        <v>1618</v>
      </c>
      <c r="B4994" s="1" t="s">
        <v>1617</v>
      </c>
      <c r="C4994" s="1" t="s">
        <v>485</v>
      </c>
      <c r="D4994" s="3">
        <f t="shared" ref="D4994:D5018" si="728">VALUE("8796")</f>
        <v>8796</v>
      </c>
      <c r="E4994" s="2">
        <f t="shared" ref="E4994:E5018" si="729">DATEVALUE("1-6-2020")</f>
        <v>43983</v>
      </c>
      <c r="F4994" s="2">
        <f t="shared" ref="F4994:F5018" si="730">DATEVALUE("30-9-2020")</f>
        <v>44104</v>
      </c>
    </row>
    <row r="4995" spans="1:6" x14ac:dyDescent="0.25">
      <c r="A4995" s="1" t="s">
        <v>1618</v>
      </c>
      <c r="B4995" s="1" t="s">
        <v>1617</v>
      </c>
      <c r="C4995" s="1" t="s">
        <v>14</v>
      </c>
      <c r="D4995" s="3">
        <f t="shared" si="728"/>
        <v>8796</v>
      </c>
      <c r="E4995" s="2">
        <f t="shared" si="729"/>
        <v>43983</v>
      </c>
      <c r="F4995" s="2">
        <f t="shared" si="730"/>
        <v>44104</v>
      </c>
    </row>
    <row r="4996" spans="1:6" x14ac:dyDescent="0.25">
      <c r="A4996" s="1" t="s">
        <v>1618</v>
      </c>
      <c r="B4996" s="1" t="s">
        <v>1617</v>
      </c>
      <c r="C4996" s="1" t="s">
        <v>15</v>
      </c>
      <c r="D4996" s="3">
        <f t="shared" si="728"/>
        <v>8796</v>
      </c>
      <c r="E4996" s="2">
        <f t="shared" si="729"/>
        <v>43983</v>
      </c>
      <c r="F4996" s="2">
        <f t="shared" si="730"/>
        <v>44104</v>
      </c>
    </row>
    <row r="4997" spans="1:6" x14ac:dyDescent="0.25">
      <c r="A4997" s="1" t="s">
        <v>1618</v>
      </c>
      <c r="B4997" s="1" t="s">
        <v>1617</v>
      </c>
      <c r="C4997" s="1" t="s">
        <v>89</v>
      </c>
      <c r="D4997" s="3">
        <f t="shared" si="728"/>
        <v>8796</v>
      </c>
      <c r="E4997" s="2">
        <f t="shared" si="729"/>
        <v>43983</v>
      </c>
      <c r="F4997" s="2">
        <f t="shared" si="730"/>
        <v>44104</v>
      </c>
    </row>
    <row r="4998" spans="1:6" x14ac:dyDescent="0.25">
      <c r="A4998" s="1" t="s">
        <v>1618</v>
      </c>
      <c r="B4998" s="1" t="s">
        <v>1617</v>
      </c>
      <c r="C4998" s="1" t="s">
        <v>17</v>
      </c>
      <c r="D4998" s="3">
        <f t="shared" si="728"/>
        <v>8796</v>
      </c>
      <c r="E4998" s="2">
        <f t="shared" si="729"/>
        <v>43983</v>
      </c>
      <c r="F4998" s="2">
        <f t="shared" si="730"/>
        <v>44104</v>
      </c>
    </row>
    <row r="4999" spans="1:6" x14ac:dyDescent="0.25">
      <c r="A4999" s="1" t="s">
        <v>1618</v>
      </c>
      <c r="B4999" s="1" t="s">
        <v>1617</v>
      </c>
      <c r="C4999" s="1" t="s">
        <v>257</v>
      </c>
      <c r="D4999" s="3">
        <f t="shared" si="728"/>
        <v>8796</v>
      </c>
      <c r="E4999" s="2">
        <f t="shared" si="729"/>
        <v>43983</v>
      </c>
      <c r="F4999" s="2">
        <f t="shared" si="730"/>
        <v>44104</v>
      </c>
    </row>
    <row r="5000" spans="1:6" x14ac:dyDescent="0.25">
      <c r="A5000" s="1" t="s">
        <v>1618</v>
      </c>
      <c r="B5000" s="1" t="s">
        <v>1617</v>
      </c>
      <c r="C5000" s="1" t="s">
        <v>127</v>
      </c>
      <c r="D5000" s="3">
        <f t="shared" si="728"/>
        <v>8796</v>
      </c>
      <c r="E5000" s="2">
        <f t="shared" si="729"/>
        <v>43983</v>
      </c>
      <c r="F5000" s="2">
        <f t="shared" si="730"/>
        <v>44104</v>
      </c>
    </row>
    <row r="5001" spans="1:6" x14ac:dyDescent="0.25">
      <c r="A5001" s="1" t="s">
        <v>1618</v>
      </c>
      <c r="B5001" s="1" t="s">
        <v>1617</v>
      </c>
      <c r="C5001" s="1" t="s">
        <v>167</v>
      </c>
      <c r="D5001" s="3">
        <f t="shared" si="728"/>
        <v>8796</v>
      </c>
      <c r="E5001" s="2">
        <f t="shared" si="729"/>
        <v>43983</v>
      </c>
      <c r="F5001" s="2">
        <f t="shared" si="730"/>
        <v>44104</v>
      </c>
    </row>
    <row r="5002" spans="1:6" x14ac:dyDescent="0.25">
      <c r="A5002" s="1" t="s">
        <v>1618</v>
      </c>
      <c r="B5002" s="1" t="s">
        <v>1617</v>
      </c>
      <c r="C5002" s="1" t="s">
        <v>258</v>
      </c>
      <c r="D5002" s="3">
        <f t="shared" si="728"/>
        <v>8796</v>
      </c>
      <c r="E5002" s="2">
        <f t="shared" si="729"/>
        <v>43983</v>
      </c>
      <c r="F5002" s="2">
        <f t="shared" si="730"/>
        <v>44104</v>
      </c>
    </row>
    <row r="5003" spans="1:6" x14ac:dyDescent="0.25">
      <c r="A5003" s="1" t="s">
        <v>1618</v>
      </c>
      <c r="B5003" s="1" t="s">
        <v>1617</v>
      </c>
      <c r="C5003" s="1" t="s">
        <v>383</v>
      </c>
      <c r="D5003" s="3">
        <f t="shared" si="728"/>
        <v>8796</v>
      </c>
      <c r="E5003" s="2">
        <f t="shared" si="729"/>
        <v>43983</v>
      </c>
      <c r="F5003" s="2">
        <f t="shared" si="730"/>
        <v>44104</v>
      </c>
    </row>
    <row r="5004" spans="1:6" x14ac:dyDescent="0.25">
      <c r="A5004" s="1" t="s">
        <v>1618</v>
      </c>
      <c r="B5004" s="1" t="s">
        <v>1617</v>
      </c>
      <c r="C5004" s="1" t="s">
        <v>146</v>
      </c>
      <c r="D5004" s="3">
        <f t="shared" si="728"/>
        <v>8796</v>
      </c>
      <c r="E5004" s="2">
        <f t="shared" si="729"/>
        <v>43983</v>
      </c>
      <c r="F5004" s="2">
        <f t="shared" si="730"/>
        <v>44104</v>
      </c>
    </row>
    <row r="5005" spans="1:6" x14ac:dyDescent="0.25">
      <c r="A5005" s="1" t="s">
        <v>1618</v>
      </c>
      <c r="B5005" s="1" t="s">
        <v>1617</v>
      </c>
      <c r="C5005" s="1" t="s">
        <v>67</v>
      </c>
      <c r="D5005" s="3">
        <f t="shared" si="728"/>
        <v>8796</v>
      </c>
      <c r="E5005" s="2">
        <f t="shared" si="729"/>
        <v>43983</v>
      </c>
      <c r="F5005" s="2">
        <f t="shared" si="730"/>
        <v>44104</v>
      </c>
    </row>
    <row r="5006" spans="1:6" x14ac:dyDescent="0.25">
      <c r="A5006" s="1" t="s">
        <v>1618</v>
      </c>
      <c r="B5006" s="1" t="s">
        <v>1617</v>
      </c>
      <c r="C5006" s="1" t="s">
        <v>386</v>
      </c>
      <c r="D5006" s="3">
        <f t="shared" si="728"/>
        <v>8796</v>
      </c>
      <c r="E5006" s="2">
        <f t="shared" si="729"/>
        <v>43983</v>
      </c>
      <c r="F5006" s="2">
        <f t="shared" si="730"/>
        <v>44104</v>
      </c>
    </row>
    <row r="5007" spans="1:6" x14ac:dyDescent="0.25">
      <c r="A5007" s="1" t="s">
        <v>1618</v>
      </c>
      <c r="B5007" s="1" t="s">
        <v>1617</v>
      </c>
      <c r="C5007" s="1" t="s">
        <v>387</v>
      </c>
      <c r="D5007" s="3">
        <f t="shared" si="728"/>
        <v>8796</v>
      </c>
      <c r="E5007" s="2">
        <f t="shared" si="729"/>
        <v>43983</v>
      </c>
      <c r="F5007" s="2">
        <f t="shared" si="730"/>
        <v>44104</v>
      </c>
    </row>
    <row r="5008" spans="1:6" x14ac:dyDescent="0.25">
      <c r="A5008" s="1" t="s">
        <v>1618</v>
      </c>
      <c r="B5008" s="1" t="s">
        <v>1617</v>
      </c>
      <c r="C5008" s="1" t="s">
        <v>388</v>
      </c>
      <c r="D5008" s="3">
        <f t="shared" si="728"/>
        <v>8796</v>
      </c>
      <c r="E5008" s="2">
        <f t="shared" si="729"/>
        <v>43983</v>
      </c>
      <c r="F5008" s="2">
        <f t="shared" si="730"/>
        <v>44104</v>
      </c>
    </row>
    <row r="5009" spans="1:6" x14ac:dyDescent="0.25">
      <c r="A5009" s="1" t="s">
        <v>1618</v>
      </c>
      <c r="B5009" s="1" t="s">
        <v>1617</v>
      </c>
      <c r="C5009" s="1" t="s">
        <v>390</v>
      </c>
      <c r="D5009" s="3">
        <f t="shared" si="728"/>
        <v>8796</v>
      </c>
      <c r="E5009" s="2">
        <f t="shared" si="729"/>
        <v>43983</v>
      </c>
      <c r="F5009" s="2">
        <f t="shared" si="730"/>
        <v>44104</v>
      </c>
    </row>
    <row r="5010" spans="1:6" x14ac:dyDescent="0.25">
      <c r="A5010" s="1" t="s">
        <v>1618</v>
      </c>
      <c r="B5010" s="1" t="s">
        <v>1617</v>
      </c>
      <c r="C5010" s="1" t="s">
        <v>24</v>
      </c>
      <c r="D5010" s="3">
        <f t="shared" si="728"/>
        <v>8796</v>
      </c>
      <c r="E5010" s="2">
        <f t="shared" si="729"/>
        <v>43983</v>
      </c>
      <c r="F5010" s="2">
        <f t="shared" si="730"/>
        <v>44104</v>
      </c>
    </row>
    <row r="5011" spans="1:6" x14ac:dyDescent="0.25">
      <c r="A5011" s="1" t="s">
        <v>1618</v>
      </c>
      <c r="B5011" s="1" t="s">
        <v>1617</v>
      </c>
      <c r="C5011" s="1" t="s">
        <v>1241</v>
      </c>
      <c r="D5011" s="3">
        <f t="shared" si="728"/>
        <v>8796</v>
      </c>
      <c r="E5011" s="2">
        <f t="shared" si="729"/>
        <v>43983</v>
      </c>
      <c r="F5011" s="2">
        <f t="shared" si="730"/>
        <v>44104</v>
      </c>
    </row>
    <row r="5012" spans="1:6" x14ac:dyDescent="0.25">
      <c r="A5012" s="1" t="s">
        <v>1618</v>
      </c>
      <c r="B5012" s="1" t="s">
        <v>1617</v>
      </c>
      <c r="C5012" s="1" t="s">
        <v>457</v>
      </c>
      <c r="D5012" s="3">
        <f t="shared" si="728"/>
        <v>8796</v>
      </c>
      <c r="E5012" s="2">
        <f t="shared" si="729"/>
        <v>43983</v>
      </c>
      <c r="F5012" s="2">
        <f t="shared" si="730"/>
        <v>44104</v>
      </c>
    </row>
    <row r="5013" spans="1:6" x14ac:dyDescent="0.25">
      <c r="A5013" s="1" t="s">
        <v>1618</v>
      </c>
      <c r="B5013" s="1" t="s">
        <v>1617</v>
      </c>
      <c r="C5013" s="1" t="s">
        <v>34</v>
      </c>
      <c r="D5013" s="3">
        <f t="shared" si="728"/>
        <v>8796</v>
      </c>
      <c r="E5013" s="2">
        <f t="shared" si="729"/>
        <v>43983</v>
      </c>
      <c r="F5013" s="2">
        <f t="shared" si="730"/>
        <v>44104</v>
      </c>
    </row>
    <row r="5014" spans="1:6" x14ac:dyDescent="0.25">
      <c r="A5014" s="1" t="s">
        <v>1618</v>
      </c>
      <c r="B5014" s="1" t="s">
        <v>1617</v>
      </c>
      <c r="C5014" s="1" t="s">
        <v>397</v>
      </c>
      <c r="D5014" s="3">
        <f t="shared" si="728"/>
        <v>8796</v>
      </c>
      <c r="E5014" s="2">
        <f t="shared" si="729"/>
        <v>43983</v>
      </c>
      <c r="F5014" s="2">
        <f t="shared" si="730"/>
        <v>44104</v>
      </c>
    </row>
    <row r="5015" spans="1:6" x14ac:dyDescent="0.25">
      <c r="A5015" s="1" t="s">
        <v>1618</v>
      </c>
      <c r="B5015" s="1" t="s">
        <v>1617</v>
      </c>
      <c r="C5015" s="1" t="s">
        <v>131</v>
      </c>
      <c r="D5015" s="3">
        <f t="shared" si="728"/>
        <v>8796</v>
      </c>
      <c r="E5015" s="2">
        <f t="shared" si="729"/>
        <v>43983</v>
      </c>
      <c r="F5015" s="2">
        <f t="shared" si="730"/>
        <v>44104</v>
      </c>
    </row>
    <row r="5016" spans="1:6" x14ac:dyDescent="0.25">
      <c r="A5016" s="1" t="s">
        <v>1618</v>
      </c>
      <c r="B5016" s="1" t="s">
        <v>1617</v>
      </c>
      <c r="C5016" s="1" t="s">
        <v>133</v>
      </c>
      <c r="D5016" s="3">
        <f t="shared" si="728"/>
        <v>8796</v>
      </c>
      <c r="E5016" s="2">
        <f t="shared" si="729"/>
        <v>43983</v>
      </c>
      <c r="F5016" s="2">
        <f t="shared" si="730"/>
        <v>44104</v>
      </c>
    </row>
    <row r="5017" spans="1:6" x14ac:dyDescent="0.25">
      <c r="A5017" s="1" t="s">
        <v>1618</v>
      </c>
      <c r="B5017" s="1" t="s">
        <v>1617</v>
      </c>
      <c r="C5017" s="1" t="s">
        <v>520</v>
      </c>
      <c r="D5017" s="3">
        <f t="shared" si="728"/>
        <v>8796</v>
      </c>
      <c r="E5017" s="2">
        <f t="shared" si="729"/>
        <v>43983</v>
      </c>
      <c r="F5017" s="2">
        <f t="shared" si="730"/>
        <v>44104</v>
      </c>
    </row>
    <row r="5018" spans="1:6" x14ac:dyDescent="0.25">
      <c r="A5018" s="1" t="s">
        <v>1618</v>
      </c>
      <c r="B5018" s="1" t="s">
        <v>1617</v>
      </c>
      <c r="C5018" s="1" t="s">
        <v>170</v>
      </c>
      <c r="D5018" s="3">
        <f t="shared" si="728"/>
        <v>8796</v>
      </c>
      <c r="E5018" s="2">
        <f t="shared" si="729"/>
        <v>43983</v>
      </c>
      <c r="F5018" s="2">
        <f t="shared" si="730"/>
        <v>44104</v>
      </c>
    </row>
    <row r="5019" spans="1:6" x14ac:dyDescent="0.25">
      <c r="A5019" s="1" t="s">
        <v>1328</v>
      </c>
      <c r="B5019" s="1" t="s">
        <v>1327</v>
      </c>
      <c r="C5019" s="1" t="s">
        <v>511</v>
      </c>
      <c r="D5019" s="3">
        <f t="shared" ref="D5019:D5051" si="731">VALUE("8556")</f>
        <v>8556</v>
      </c>
      <c r="E5019" s="2">
        <f t="shared" ref="E5019:E5051" si="732">DATEVALUE("1-2-2020")</f>
        <v>43862</v>
      </c>
      <c r="F5019" s="2">
        <f t="shared" ref="F5019:F5056" si="733">DATEVALUE("31-12-2020")</f>
        <v>44196</v>
      </c>
    </row>
    <row r="5020" spans="1:6" x14ac:dyDescent="0.25">
      <c r="A5020" s="1" t="s">
        <v>1328</v>
      </c>
      <c r="B5020" s="1" t="s">
        <v>1327</v>
      </c>
      <c r="C5020" s="1" t="s">
        <v>39</v>
      </c>
      <c r="D5020" s="3">
        <f t="shared" si="731"/>
        <v>8556</v>
      </c>
      <c r="E5020" s="2">
        <f t="shared" si="732"/>
        <v>43862</v>
      </c>
      <c r="F5020" s="2">
        <f t="shared" si="733"/>
        <v>44196</v>
      </c>
    </row>
    <row r="5021" spans="1:6" x14ac:dyDescent="0.25">
      <c r="A5021" s="1" t="s">
        <v>1328</v>
      </c>
      <c r="B5021" s="1" t="s">
        <v>1327</v>
      </c>
      <c r="C5021" s="1" t="s">
        <v>40</v>
      </c>
      <c r="D5021" s="3">
        <f t="shared" si="731"/>
        <v>8556</v>
      </c>
      <c r="E5021" s="2">
        <f t="shared" si="732"/>
        <v>43862</v>
      </c>
      <c r="F5021" s="2">
        <f t="shared" si="733"/>
        <v>44196</v>
      </c>
    </row>
    <row r="5022" spans="1:6" x14ac:dyDescent="0.25">
      <c r="A5022" s="1" t="s">
        <v>1328</v>
      </c>
      <c r="B5022" s="1" t="s">
        <v>1327</v>
      </c>
      <c r="C5022" s="1" t="s">
        <v>41</v>
      </c>
      <c r="D5022" s="3">
        <f t="shared" si="731"/>
        <v>8556</v>
      </c>
      <c r="E5022" s="2">
        <f t="shared" si="732"/>
        <v>43862</v>
      </c>
      <c r="F5022" s="2">
        <f t="shared" si="733"/>
        <v>44196</v>
      </c>
    </row>
    <row r="5023" spans="1:6" x14ac:dyDescent="0.25">
      <c r="A5023" s="1" t="s">
        <v>1328</v>
      </c>
      <c r="B5023" s="1" t="s">
        <v>1327</v>
      </c>
      <c r="C5023" s="1" t="s">
        <v>256</v>
      </c>
      <c r="D5023" s="3">
        <f t="shared" si="731"/>
        <v>8556</v>
      </c>
      <c r="E5023" s="2">
        <f t="shared" si="732"/>
        <v>43862</v>
      </c>
      <c r="F5023" s="2">
        <f t="shared" si="733"/>
        <v>44196</v>
      </c>
    </row>
    <row r="5024" spans="1:6" x14ac:dyDescent="0.25">
      <c r="A5024" s="1" t="s">
        <v>1328</v>
      </c>
      <c r="B5024" s="1" t="s">
        <v>1327</v>
      </c>
      <c r="C5024" s="1" t="s">
        <v>43</v>
      </c>
      <c r="D5024" s="3">
        <f t="shared" si="731"/>
        <v>8556</v>
      </c>
      <c r="E5024" s="2">
        <f t="shared" si="732"/>
        <v>43862</v>
      </c>
      <c r="F5024" s="2">
        <f t="shared" si="733"/>
        <v>44196</v>
      </c>
    </row>
    <row r="5025" spans="1:6" x14ac:dyDescent="0.25">
      <c r="A5025" s="1" t="s">
        <v>1328</v>
      </c>
      <c r="B5025" s="1" t="s">
        <v>1327</v>
      </c>
      <c r="C5025" s="1" t="s">
        <v>346</v>
      </c>
      <c r="D5025" s="3">
        <f t="shared" si="731"/>
        <v>8556</v>
      </c>
      <c r="E5025" s="2">
        <f t="shared" si="732"/>
        <v>43862</v>
      </c>
      <c r="F5025" s="2">
        <f t="shared" si="733"/>
        <v>44196</v>
      </c>
    </row>
    <row r="5026" spans="1:6" x14ac:dyDescent="0.25">
      <c r="A5026" s="1" t="s">
        <v>1328</v>
      </c>
      <c r="B5026" s="1" t="s">
        <v>1327</v>
      </c>
      <c r="C5026" s="1" t="s">
        <v>141</v>
      </c>
      <c r="D5026" s="3">
        <f t="shared" si="731"/>
        <v>8556</v>
      </c>
      <c r="E5026" s="2">
        <f t="shared" si="732"/>
        <v>43862</v>
      </c>
      <c r="F5026" s="2">
        <f t="shared" si="733"/>
        <v>44196</v>
      </c>
    </row>
    <row r="5027" spans="1:6" x14ac:dyDescent="0.25">
      <c r="A5027" s="1" t="s">
        <v>1328</v>
      </c>
      <c r="B5027" s="1" t="s">
        <v>1327</v>
      </c>
      <c r="C5027" s="1" t="s">
        <v>14</v>
      </c>
      <c r="D5027" s="3">
        <f t="shared" si="731"/>
        <v>8556</v>
      </c>
      <c r="E5027" s="2">
        <f t="shared" si="732"/>
        <v>43862</v>
      </c>
      <c r="F5027" s="2">
        <f t="shared" si="733"/>
        <v>44196</v>
      </c>
    </row>
    <row r="5028" spans="1:6" x14ac:dyDescent="0.25">
      <c r="A5028" s="1" t="s">
        <v>1328</v>
      </c>
      <c r="B5028" s="1" t="s">
        <v>1327</v>
      </c>
      <c r="C5028" s="1" t="s">
        <v>15</v>
      </c>
      <c r="D5028" s="3">
        <f t="shared" si="731"/>
        <v>8556</v>
      </c>
      <c r="E5028" s="2">
        <f t="shared" si="732"/>
        <v>43862</v>
      </c>
      <c r="F5028" s="2">
        <f t="shared" si="733"/>
        <v>44196</v>
      </c>
    </row>
    <row r="5029" spans="1:6" x14ac:dyDescent="0.25">
      <c r="A5029" s="1" t="s">
        <v>1328</v>
      </c>
      <c r="B5029" s="1" t="s">
        <v>1327</v>
      </c>
      <c r="C5029" s="1" t="s">
        <v>17</v>
      </c>
      <c r="D5029" s="3">
        <f t="shared" si="731"/>
        <v>8556</v>
      </c>
      <c r="E5029" s="2">
        <f t="shared" si="732"/>
        <v>43862</v>
      </c>
      <c r="F5029" s="2">
        <f t="shared" si="733"/>
        <v>44196</v>
      </c>
    </row>
    <row r="5030" spans="1:6" x14ac:dyDescent="0.25">
      <c r="A5030" s="1" t="s">
        <v>1328</v>
      </c>
      <c r="B5030" s="1" t="s">
        <v>1327</v>
      </c>
      <c r="C5030" s="1" t="s">
        <v>22</v>
      </c>
      <c r="D5030" s="3">
        <f t="shared" si="731"/>
        <v>8556</v>
      </c>
      <c r="E5030" s="2">
        <f t="shared" si="732"/>
        <v>43862</v>
      </c>
      <c r="F5030" s="2">
        <f t="shared" si="733"/>
        <v>44196</v>
      </c>
    </row>
    <row r="5031" spans="1:6" x14ac:dyDescent="0.25">
      <c r="A5031" s="1" t="s">
        <v>1328</v>
      </c>
      <c r="B5031" s="1" t="s">
        <v>1327</v>
      </c>
      <c r="C5031" s="1" t="s">
        <v>67</v>
      </c>
      <c r="D5031" s="3">
        <f t="shared" si="731"/>
        <v>8556</v>
      </c>
      <c r="E5031" s="2">
        <f t="shared" si="732"/>
        <v>43862</v>
      </c>
      <c r="F5031" s="2">
        <f t="shared" si="733"/>
        <v>44196</v>
      </c>
    </row>
    <row r="5032" spans="1:6" x14ac:dyDescent="0.25">
      <c r="A5032" s="1" t="s">
        <v>1328</v>
      </c>
      <c r="B5032" s="1" t="s">
        <v>1327</v>
      </c>
      <c r="C5032" s="1" t="s">
        <v>384</v>
      </c>
      <c r="D5032" s="3">
        <f t="shared" si="731"/>
        <v>8556</v>
      </c>
      <c r="E5032" s="2">
        <f t="shared" si="732"/>
        <v>43862</v>
      </c>
      <c r="F5032" s="2">
        <f t="shared" si="733"/>
        <v>44196</v>
      </c>
    </row>
    <row r="5033" spans="1:6" x14ac:dyDescent="0.25">
      <c r="A5033" s="1" t="s">
        <v>1328</v>
      </c>
      <c r="B5033" s="1" t="s">
        <v>1327</v>
      </c>
      <c r="C5033" s="1" t="s">
        <v>151</v>
      </c>
      <c r="D5033" s="3">
        <f t="shared" si="731"/>
        <v>8556</v>
      </c>
      <c r="E5033" s="2">
        <f t="shared" si="732"/>
        <v>43862</v>
      </c>
      <c r="F5033" s="2">
        <f t="shared" si="733"/>
        <v>44196</v>
      </c>
    </row>
    <row r="5034" spans="1:6" x14ac:dyDescent="0.25">
      <c r="A5034" s="1" t="s">
        <v>1328</v>
      </c>
      <c r="B5034" s="1" t="s">
        <v>1327</v>
      </c>
      <c r="C5034" s="1" t="s">
        <v>768</v>
      </c>
      <c r="D5034" s="3">
        <f t="shared" si="731"/>
        <v>8556</v>
      </c>
      <c r="E5034" s="2">
        <f t="shared" si="732"/>
        <v>43862</v>
      </c>
      <c r="F5034" s="2">
        <f t="shared" si="733"/>
        <v>44196</v>
      </c>
    </row>
    <row r="5035" spans="1:6" x14ac:dyDescent="0.25">
      <c r="A5035" s="1" t="s">
        <v>1328</v>
      </c>
      <c r="B5035" s="1" t="s">
        <v>1327</v>
      </c>
      <c r="C5035" s="1" t="s">
        <v>1249</v>
      </c>
      <c r="D5035" s="3">
        <f t="shared" si="731"/>
        <v>8556</v>
      </c>
      <c r="E5035" s="2">
        <f t="shared" si="732"/>
        <v>43862</v>
      </c>
      <c r="F5035" s="2">
        <f t="shared" si="733"/>
        <v>44196</v>
      </c>
    </row>
    <row r="5036" spans="1:6" x14ac:dyDescent="0.25">
      <c r="A5036" s="1" t="s">
        <v>1328</v>
      </c>
      <c r="B5036" s="1" t="s">
        <v>1327</v>
      </c>
      <c r="C5036" s="1" t="s">
        <v>94</v>
      </c>
      <c r="D5036" s="3">
        <f t="shared" si="731"/>
        <v>8556</v>
      </c>
      <c r="E5036" s="2">
        <f t="shared" si="732"/>
        <v>43862</v>
      </c>
      <c r="F5036" s="2">
        <f t="shared" si="733"/>
        <v>44196</v>
      </c>
    </row>
    <row r="5037" spans="1:6" x14ac:dyDescent="0.25">
      <c r="A5037" s="1" t="s">
        <v>1328</v>
      </c>
      <c r="B5037" s="1" t="s">
        <v>1327</v>
      </c>
      <c r="C5037" s="1" t="s">
        <v>24</v>
      </c>
      <c r="D5037" s="3">
        <f t="shared" si="731"/>
        <v>8556</v>
      </c>
      <c r="E5037" s="2">
        <f t="shared" si="732"/>
        <v>43862</v>
      </c>
      <c r="F5037" s="2">
        <f t="shared" si="733"/>
        <v>44196</v>
      </c>
    </row>
    <row r="5038" spans="1:6" x14ac:dyDescent="0.25">
      <c r="A5038" s="1" t="s">
        <v>1328</v>
      </c>
      <c r="B5038" s="1" t="s">
        <v>1327</v>
      </c>
      <c r="C5038" s="1" t="s">
        <v>50</v>
      </c>
      <c r="D5038" s="3">
        <f t="shared" si="731"/>
        <v>8556</v>
      </c>
      <c r="E5038" s="2">
        <f t="shared" si="732"/>
        <v>43862</v>
      </c>
      <c r="F5038" s="2">
        <f t="shared" si="733"/>
        <v>44196</v>
      </c>
    </row>
    <row r="5039" spans="1:6" x14ac:dyDescent="0.25">
      <c r="A5039" s="1" t="s">
        <v>1328</v>
      </c>
      <c r="B5039" s="1" t="s">
        <v>1327</v>
      </c>
      <c r="C5039" s="1" t="s">
        <v>494</v>
      </c>
      <c r="D5039" s="3">
        <f t="shared" si="731"/>
        <v>8556</v>
      </c>
      <c r="E5039" s="2">
        <f t="shared" si="732"/>
        <v>43862</v>
      </c>
      <c r="F5039" s="2">
        <f t="shared" si="733"/>
        <v>44196</v>
      </c>
    </row>
    <row r="5040" spans="1:6" x14ac:dyDescent="0.25">
      <c r="A5040" s="1" t="s">
        <v>1328</v>
      </c>
      <c r="B5040" s="1" t="s">
        <v>1327</v>
      </c>
      <c r="C5040" s="1" t="s">
        <v>100</v>
      </c>
      <c r="D5040" s="3">
        <f t="shared" si="731"/>
        <v>8556</v>
      </c>
      <c r="E5040" s="2">
        <f t="shared" si="732"/>
        <v>43862</v>
      </c>
      <c r="F5040" s="2">
        <f t="shared" si="733"/>
        <v>44196</v>
      </c>
    </row>
    <row r="5041" spans="1:6" x14ac:dyDescent="0.25">
      <c r="A5041" s="1" t="s">
        <v>1328</v>
      </c>
      <c r="B5041" s="1" t="s">
        <v>1327</v>
      </c>
      <c r="C5041" s="1" t="s">
        <v>495</v>
      </c>
      <c r="D5041" s="3">
        <f t="shared" si="731"/>
        <v>8556</v>
      </c>
      <c r="E5041" s="2">
        <f t="shared" si="732"/>
        <v>43862</v>
      </c>
      <c r="F5041" s="2">
        <f t="shared" si="733"/>
        <v>44196</v>
      </c>
    </row>
    <row r="5042" spans="1:6" x14ac:dyDescent="0.25">
      <c r="A5042" s="1" t="s">
        <v>1328</v>
      </c>
      <c r="B5042" s="1" t="s">
        <v>1327</v>
      </c>
      <c r="C5042" s="1" t="s">
        <v>104</v>
      </c>
      <c r="D5042" s="3">
        <f t="shared" si="731"/>
        <v>8556</v>
      </c>
      <c r="E5042" s="2">
        <f t="shared" si="732"/>
        <v>43862</v>
      </c>
      <c r="F5042" s="2">
        <f t="shared" si="733"/>
        <v>44196</v>
      </c>
    </row>
    <row r="5043" spans="1:6" x14ac:dyDescent="0.25">
      <c r="A5043" s="1" t="s">
        <v>1328</v>
      </c>
      <c r="B5043" s="1" t="s">
        <v>1327</v>
      </c>
      <c r="C5043" s="1" t="s">
        <v>350</v>
      </c>
      <c r="D5043" s="3">
        <f t="shared" si="731"/>
        <v>8556</v>
      </c>
      <c r="E5043" s="2">
        <f t="shared" si="732"/>
        <v>43862</v>
      </c>
      <c r="F5043" s="2">
        <f t="shared" si="733"/>
        <v>44196</v>
      </c>
    </row>
    <row r="5044" spans="1:6" x14ac:dyDescent="0.25">
      <c r="A5044" s="1" t="s">
        <v>1328</v>
      </c>
      <c r="B5044" s="1" t="s">
        <v>1327</v>
      </c>
      <c r="C5044" s="1" t="s">
        <v>1250</v>
      </c>
      <c r="D5044" s="3">
        <f t="shared" si="731"/>
        <v>8556</v>
      </c>
      <c r="E5044" s="2">
        <f t="shared" si="732"/>
        <v>43862</v>
      </c>
      <c r="F5044" s="2">
        <f t="shared" si="733"/>
        <v>44196</v>
      </c>
    </row>
    <row r="5045" spans="1:6" x14ac:dyDescent="0.25">
      <c r="A5045" s="1" t="s">
        <v>1328</v>
      </c>
      <c r="B5045" s="1" t="s">
        <v>1327</v>
      </c>
      <c r="C5045" s="1" t="s">
        <v>160</v>
      </c>
      <c r="D5045" s="3">
        <f t="shared" si="731"/>
        <v>8556</v>
      </c>
      <c r="E5045" s="2">
        <f t="shared" si="732"/>
        <v>43862</v>
      </c>
      <c r="F5045" s="2">
        <f t="shared" si="733"/>
        <v>44196</v>
      </c>
    </row>
    <row r="5046" spans="1:6" x14ac:dyDescent="0.25">
      <c r="A5046" s="1" t="s">
        <v>1328</v>
      </c>
      <c r="B5046" s="1" t="s">
        <v>1327</v>
      </c>
      <c r="C5046" s="1" t="s">
        <v>34</v>
      </c>
      <c r="D5046" s="3">
        <f t="shared" si="731"/>
        <v>8556</v>
      </c>
      <c r="E5046" s="2">
        <f t="shared" si="732"/>
        <v>43862</v>
      </c>
      <c r="F5046" s="2">
        <f t="shared" si="733"/>
        <v>44196</v>
      </c>
    </row>
    <row r="5047" spans="1:6" x14ac:dyDescent="0.25">
      <c r="A5047" s="1" t="s">
        <v>1328</v>
      </c>
      <c r="B5047" s="1" t="s">
        <v>1327</v>
      </c>
      <c r="C5047" s="1" t="s">
        <v>115</v>
      </c>
      <c r="D5047" s="3">
        <f t="shared" si="731"/>
        <v>8556</v>
      </c>
      <c r="E5047" s="2">
        <f t="shared" si="732"/>
        <v>43862</v>
      </c>
      <c r="F5047" s="2">
        <f t="shared" si="733"/>
        <v>44196</v>
      </c>
    </row>
    <row r="5048" spans="1:6" x14ac:dyDescent="0.25">
      <c r="A5048" s="1" t="s">
        <v>1328</v>
      </c>
      <c r="B5048" s="1" t="s">
        <v>1327</v>
      </c>
      <c r="C5048" s="1" t="s">
        <v>519</v>
      </c>
      <c r="D5048" s="3">
        <f t="shared" si="731"/>
        <v>8556</v>
      </c>
      <c r="E5048" s="2">
        <f t="shared" si="732"/>
        <v>43862</v>
      </c>
      <c r="F5048" s="2">
        <f t="shared" si="733"/>
        <v>44196</v>
      </c>
    </row>
    <row r="5049" spans="1:6" x14ac:dyDescent="0.25">
      <c r="A5049" s="1" t="s">
        <v>1328</v>
      </c>
      <c r="B5049" s="1" t="s">
        <v>1327</v>
      </c>
      <c r="C5049" s="1" t="s">
        <v>57</v>
      </c>
      <c r="D5049" s="3">
        <f t="shared" si="731"/>
        <v>8556</v>
      </c>
      <c r="E5049" s="2">
        <f t="shared" si="732"/>
        <v>43862</v>
      </c>
      <c r="F5049" s="2">
        <f t="shared" si="733"/>
        <v>44196</v>
      </c>
    </row>
    <row r="5050" spans="1:6" x14ac:dyDescent="0.25">
      <c r="A5050" s="1" t="s">
        <v>1328</v>
      </c>
      <c r="B5050" s="1" t="s">
        <v>1327</v>
      </c>
      <c r="C5050" s="1" t="s">
        <v>170</v>
      </c>
      <c r="D5050" s="3">
        <f t="shared" si="731"/>
        <v>8556</v>
      </c>
      <c r="E5050" s="2">
        <f t="shared" si="732"/>
        <v>43862</v>
      </c>
      <c r="F5050" s="2">
        <f t="shared" si="733"/>
        <v>44196</v>
      </c>
    </row>
    <row r="5051" spans="1:6" x14ac:dyDescent="0.25">
      <c r="A5051" s="1" t="s">
        <v>1328</v>
      </c>
      <c r="B5051" s="1" t="s">
        <v>1327</v>
      </c>
      <c r="C5051" s="1" t="s">
        <v>117</v>
      </c>
      <c r="D5051" s="3">
        <f t="shared" si="731"/>
        <v>8556</v>
      </c>
      <c r="E5051" s="2">
        <f t="shared" si="732"/>
        <v>43862</v>
      </c>
      <c r="F5051" s="2">
        <f t="shared" si="733"/>
        <v>44196</v>
      </c>
    </row>
    <row r="5052" spans="1:6" x14ac:dyDescent="0.25">
      <c r="A5052" s="1" t="s">
        <v>1352</v>
      </c>
      <c r="B5052" s="1" t="s">
        <v>1351</v>
      </c>
      <c r="C5052" s="1" t="s">
        <v>89</v>
      </c>
      <c r="D5052" s="3">
        <f>VALUE("8585")</f>
        <v>8585</v>
      </c>
      <c r="E5052" s="2">
        <f>DATEVALUE("1-11-2019")</f>
        <v>43770</v>
      </c>
      <c r="F5052" s="2">
        <f t="shared" si="733"/>
        <v>44196</v>
      </c>
    </row>
    <row r="5053" spans="1:6" x14ac:dyDescent="0.25">
      <c r="A5053" s="1" t="s">
        <v>1352</v>
      </c>
      <c r="B5053" s="1" t="s">
        <v>1351</v>
      </c>
      <c r="C5053" s="1" t="s">
        <v>146</v>
      </c>
      <c r="D5053" s="3">
        <f>VALUE("8585")</f>
        <v>8585</v>
      </c>
      <c r="E5053" s="2">
        <f>DATEVALUE("1-11-2019")</f>
        <v>43770</v>
      </c>
      <c r="F5053" s="2">
        <f t="shared" si="733"/>
        <v>44196</v>
      </c>
    </row>
    <row r="5054" spans="1:6" x14ac:dyDescent="0.25">
      <c r="A5054" s="1" t="s">
        <v>1352</v>
      </c>
      <c r="B5054" s="1" t="s">
        <v>1351</v>
      </c>
      <c r="C5054" s="1" t="s">
        <v>67</v>
      </c>
      <c r="D5054" s="3">
        <f>VALUE("8585")</f>
        <v>8585</v>
      </c>
      <c r="E5054" s="2">
        <f>DATEVALUE("1-11-2019")</f>
        <v>43770</v>
      </c>
      <c r="F5054" s="2">
        <f t="shared" si="733"/>
        <v>44196</v>
      </c>
    </row>
    <row r="5055" spans="1:6" x14ac:dyDescent="0.25">
      <c r="A5055" s="1" t="s">
        <v>1352</v>
      </c>
      <c r="B5055" s="1" t="s">
        <v>1351</v>
      </c>
      <c r="C5055" s="1" t="s">
        <v>1353</v>
      </c>
      <c r="D5055" s="3">
        <f>VALUE("8585")</f>
        <v>8585</v>
      </c>
      <c r="E5055" s="2">
        <f>DATEVALUE("1-11-2019")</f>
        <v>43770</v>
      </c>
      <c r="F5055" s="2">
        <f t="shared" si="733"/>
        <v>44196</v>
      </c>
    </row>
    <row r="5056" spans="1:6" x14ac:dyDescent="0.25">
      <c r="A5056" s="1" t="s">
        <v>1352</v>
      </c>
      <c r="B5056" s="1" t="s">
        <v>1351</v>
      </c>
      <c r="C5056" s="1" t="s">
        <v>1354</v>
      </c>
      <c r="D5056" s="3">
        <f>VALUE("8585")</f>
        <v>8585</v>
      </c>
      <c r="E5056" s="2">
        <f>DATEVALUE("1-11-2019")</f>
        <v>43770</v>
      </c>
      <c r="F5056" s="2">
        <f t="shared" si="733"/>
        <v>44196</v>
      </c>
    </row>
    <row r="5057" spans="1:6" x14ac:dyDescent="0.25">
      <c r="A5057" s="1" t="s">
        <v>481</v>
      </c>
      <c r="B5057" s="1" t="s">
        <v>1807</v>
      </c>
      <c r="C5057" s="1" t="s">
        <v>14</v>
      </c>
      <c r="D5057" s="3">
        <f t="shared" ref="D5057:D5069" si="734">VALUE("8508")</f>
        <v>8508</v>
      </c>
      <c r="E5057" s="2">
        <f t="shared" ref="E5057:E5069" si="735">DATEVALUE("1-7-2019")</f>
        <v>43647</v>
      </c>
      <c r="F5057" s="2">
        <f t="shared" ref="F5057:F5069" si="736">DATEVALUE("29-2-2020")</f>
        <v>43890</v>
      </c>
    </row>
    <row r="5058" spans="1:6" x14ac:dyDescent="0.25">
      <c r="A5058" s="1" t="s">
        <v>481</v>
      </c>
      <c r="B5058" s="1" t="s">
        <v>1807</v>
      </c>
      <c r="C5058" s="1" t="s">
        <v>66</v>
      </c>
      <c r="D5058" s="3">
        <f t="shared" si="734"/>
        <v>8508</v>
      </c>
      <c r="E5058" s="2">
        <f t="shared" si="735"/>
        <v>43647</v>
      </c>
      <c r="F5058" s="2">
        <f t="shared" si="736"/>
        <v>43890</v>
      </c>
    </row>
    <row r="5059" spans="1:6" x14ac:dyDescent="0.25">
      <c r="A5059" s="1" t="s">
        <v>481</v>
      </c>
      <c r="B5059" s="1" t="s">
        <v>1807</v>
      </c>
      <c r="C5059" s="1" t="s">
        <v>15</v>
      </c>
      <c r="D5059" s="3">
        <f t="shared" si="734"/>
        <v>8508</v>
      </c>
      <c r="E5059" s="2">
        <f t="shared" si="735"/>
        <v>43647</v>
      </c>
      <c r="F5059" s="2">
        <f t="shared" si="736"/>
        <v>43890</v>
      </c>
    </row>
    <row r="5060" spans="1:6" x14ac:dyDescent="0.25">
      <c r="A5060" s="1" t="s">
        <v>481</v>
      </c>
      <c r="B5060" s="1" t="s">
        <v>1807</v>
      </c>
      <c r="C5060" s="1" t="s">
        <v>16</v>
      </c>
      <c r="D5060" s="3">
        <f t="shared" si="734"/>
        <v>8508</v>
      </c>
      <c r="E5060" s="2">
        <f t="shared" si="735"/>
        <v>43647</v>
      </c>
      <c r="F5060" s="2">
        <f t="shared" si="736"/>
        <v>43890</v>
      </c>
    </row>
    <row r="5061" spans="1:6" x14ac:dyDescent="0.25">
      <c r="A5061" s="1" t="s">
        <v>481</v>
      </c>
      <c r="B5061" s="1" t="s">
        <v>1807</v>
      </c>
      <c r="C5061" s="1" t="s">
        <v>17</v>
      </c>
      <c r="D5061" s="3">
        <f t="shared" si="734"/>
        <v>8508</v>
      </c>
      <c r="E5061" s="2">
        <f t="shared" si="735"/>
        <v>43647</v>
      </c>
      <c r="F5061" s="2">
        <f t="shared" si="736"/>
        <v>43890</v>
      </c>
    </row>
    <row r="5062" spans="1:6" x14ac:dyDescent="0.25">
      <c r="A5062" s="1" t="s">
        <v>481</v>
      </c>
      <c r="B5062" s="1" t="s">
        <v>1807</v>
      </c>
      <c r="C5062" s="1" t="s">
        <v>167</v>
      </c>
      <c r="D5062" s="3">
        <f t="shared" si="734"/>
        <v>8508</v>
      </c>
      <c r="E5062" s="2">
        <f t="shared" si="735"/>
        <v>43647</v>
      </c>
      <c r="F5062" s="2">
        <f t="shared" si="736"/>
        <v>43890</v>
      </c>
    </row>
    <row r="5063" spans="1:6" x14ac:dyDescent="0.25">
      <c r="A5063" s="1" t="s">
        <v>481</v>
      </c>
      <c r="B5063" s="1" t="s">
        <v>1807</v>
      </c>
      <c r="C5063" s="1" t="s">
        <v>168</v>
      </c>
      <c r="D5063" s="3">
        <f t="shared" si="734"/>
        <v>8508</v>
      </c>
      <c r="E5063" s="2">
        <f t="shared" si="735"/>
        <v>43647</v>
      </c>
      <c r="F5063" s="2">
        <f t="shared" si="736"/>
        <v>43890</v>
      </c>
    </row>
    <row r="5064" spans="1:6" x14ac:dyDescent="0.25">
      <c r="A5064" s="1" t="s">
        <v>481</v>
      </c>
      <c r="B5064" s="1" t="s">
        <v>1807</v>
      </c>
      <c r="C5064" s="1" t="s">
        <v>92</v>
      </c>
      <c r="D5064" s="3">
        <f t="shared" si="734"/>
        <v>8508</v>
      </c>
      <c r="E5064" s="2">
        <f t="shared" si="735"/>
        <v>43647</v>
      </c>
      <c r="F5064" s="2">
        <f t="shared" si="736"/>
        <v>43890</v>
      </c>
    </row>
    <row r="5065" spans="1:6" x14ac:dyDescent="0.25">
      <c r="A5065" s="1" t="s">
        <v>481</v>
      </c>
      <c r="B5065" s="1" t="s">
        <v>1807</v>
      </c>
      <c r="C5065" s="1" t="s">
        <v>24</v>
      </c>
      <c r="D5065" s="3">
        <f t="shared" si="734"/>
        <v>8508</v>
      </c>
      <c r="E5065" s="2">
        <f t="shared" si="735"/>
        <v>43647</v>
      </c>
      <c r="F5065" s="2">
        <f t="shared" si="736"/>
        <v>43890</v>
      </c>
    </row>
    <row r="5066" spans="1:6" x14ac:dyDescent="0.25">
      <c r="A5066" s="1" t="s">
        <v>481</v>
      </c>
      <c r="B5066" s="1" t="s">
        <v>1807</v>
      </c>
      <c r="C5066" s="1" t="s">
        <v>73</v>
      </c>
      <c r="D5066" s="3">
        <f t="shared" si="734"/>
        <v>8508</v>
      </c>
      <c r="E5066" s="2">
        <f t="shared" si="735"/>
        <v>43647</v>
      </c>
      <c r="F5066" s="2">
        <f t="shared" si="736"/>
        <v>43890</v>
      </c>
    </row>
    <row r="5067" spans="1:6" x14ac:dyDescent="0.25">
      <c r="A5067" s="1" t="s">
        <v>481</v>
      </c>
      <c r="B5067" s="1" t="s">
        <v>1807</v>
      </c>
      <c r="C5067" s="1" t="s">
        <v>34</v>
      </c>
      <c r="D5067" s="3">
        <f t="shared" si="734"/>
        <v>8508</v>
      </c>
      <c r="E5067" s="2">
        <f t="shared" si="735"/>
        <v>43647</v>
      </c>
      <c r="F5067" s="2">
        <f t="shared" si="736"/>
        <v>43890</v>
      </c>
    </row>
    <row r="5068" spans="1:6" x14ac:dyDescent="0.25">
      <c r="A5068" s="1" t="s">
        <v>481</v>
      </c>
      <c r="B5068" s="1" t="s">
        <v>1807</v>
      </c>
      <c r="C5068" s="1" t="s">
        <v>379</v>
      </c>
      <c r="D5068" s="3">
        <f t="shared" si="734"/>
        <v>8508</v>
      </c>
      <c r="E5068" s="2">
        <f t="shared" si="735"/>
        <v>43647</v>
      </c>
      <c r="F5068" s="2">
        <f t="shared" si="736"/>
        <v>43890</v>
      </c>
    </row>
    <row r="5069" spans="1:6" x14ac:dyDescent="0.25">
      <c r="A5069" s="1" t="s">
        <v>481</v>
      </c>
      <c r="B5069" s="1" t="s">
        <v>1807</v>
      </c>
      <c r="C5069" s="1" t="s">
        <v>170</v>
      </c>
      <c r="D5069" s="3">
        <f t="shared" si="734"/>
        <v>8508</v>
      </c>
      <c r="E5069" s="2">
        <f t="shared" si="735"/>
        <v>43647</v>
      </c>
      <c r="F5069" s="2">
        <f t="shared" si="736"/>
        <v>43890</v>
      </c>
    </row>
    <row r="5070" spans="1:6" x14ac:dyDescent="0.25">
      <c r="A5070" s="1" t="s">
        <v>481</v>
      </c>
      <c r="B5070" s="1" t="s">
        <v>1277</v>
      </c>
      <c r="C5070" s="1" t="s">
        <v>39</v>
      </c>
      <c r="D5070" s="3">
        <f t="shared" ref="D5070:D5109" si="737">VALUE("8533")</f>
        <v>8533</v>
      </c>
      <c r="E5070" s="2">
        <f t="shared" ref="E5070:E5109" si="738">DATEVALUE("1-6-2019")</f>
        <v>43617</v>
      </c>
      <c r="F5070" s="2">
        <f t="shared" ref="F5070:F5109" si="739">DATEVALUE("31-5-2025")</f>
        <v>45808</v>
      </c>
    </row>
    <row r="5071" spans="1:6" x14ac:dyDescent="0.25">
      <c r="A5071" s="1" t="s">
        <v>481</v>
      </c>
      <c r="B5071" s="1" t="s">
        <v>1277</v>
      </c>
      <c r="C5071" s="1" t="s">
        <v>40</v>
      </c>
      <c r="D5071" s="3">
        <f t="shared" si="737"/>
        <v>8533</v>
      </c>
      <c r="E5071" s="2">
        <f t="shared" si="738"/>
        <v>43617</v>
      </c>
      <c r="F5071" s="2">
        <f t="shared" si="739"/>
        <v>45808</v>
      </c>
    </row>
    <row r="5072" spans="1:6" x14ac:dyDescent="0.25">
      <c r="A5072" s="1" t="s">
        <v>481</v>
      </c>
      <c r="B5072" s="1" t="s">
        <v>1277</v>
      </c>
      <c r="C5072" s="1" t="s">
        <v>41</v>
      </c>
      <c r="D5072" s="3">
        <f t="shared" si="737"/>
        <v>8533</v>
      </c>
      <c r="E5072" s="2">
        <f t="shared" si="738"/>
        <v>43617</v>
      </c>
      <c r="F5072" s="2">
        <f t="shared" si="739"/>
        <v>45808</v>
      </c>
    </row>
    <row r="5073" spans="1:6" x14ac:dyDescent="0.25">
      <c r="A5073" s="1" t="s">
        <v>481</v>
      </c>
      <c r="B5073" s="1" t="s">
        <v>1277</v>
      </c>
      <c r="C5073" s="1" t="s">
        <v>61</v>
      </c>
      <c r="D5073" s="3">
        <f t="shared" si="737"/>
        <v>8533</v>
      </c>
      <c r="E5073" s="2">
        <f t="shared" si="738"/>
        <v>43617</v>
      </c>
      <c r="F5073" s="2">
        <f t="shared" si="739"/>
        <v>45808</v>
      </c>
    </row>
    <row r="5074" spans="1:6" x14ac:dyDescent="0.25">
      <c r="A5074" s="1" t="s">
        <v>481</v>
      </c>
      <c r="B5074" s="1" t="s">
        <v>1277</v>
      </c>
      <c r="C5074" s="1" t="s">
        <v>346</v>
      </c>
      <c r="D5074" s="3">
        <f t="shared" si="737"/>
        <v>8533</v>
      </c>
      <c r="E5074" s="2">
        <f t="shared" si="738"/>
        <v>43617</v>
      </c>
      <c r="F5074" s="2">
        <f t="shared" si="739"/>
        <v>45808</v>
      </c>
    </row>
    <row r="5075" spans="1:6" x14ac:dyDescent="0.25">
      <c r="A5075" s="1" t="s">
        <v>481</v>
      </c>
      <c r="B5075" s="1" t="s">
        <v>1277</v>
      </c>
      <c r="C5075" s="1" t="s">
        <v>138</v>
      </c>
      <c r="D5075" s="3">
        <f t="shared" si="737"/>
        <v>8533</v>
      </c>
      <c r="E5075" s="2">
        <f t="shared" si="738"/>
        <v>43617</v>
      </c>
      <c r="F5075" s="2">
        <f t="shared" si="739"/>
        <v>45808</v>
      </c>
    </row>
    <row r="5076" spans="1:6" x14ac:dyDescent="0.25">
      <c r="A5076" s="1" t="s">
        <v>481</v>
      </c>
      <c r="B5076" s="1" t="s">
        <v>1277</v>
      </c>
      <c r="C5076" s="1" t="s">
        <v>375</v>
      </c>
      <c r="D5076" s="3">
        <f t="shared" si="737"/>
        <v>8533</v>
      </c>
      <c r="E5076" s="2">
        <f t="shared" si="738"/>
        <v>43617</v>
      </c>
      <c r="F5076" s="2">
        <f t="shared" si="739"/>
        <v>45808</v>
      </c>
    </row>
    <row r="5077" spans="1:6" x14ac:dyDescent="0.25">
      <c r="A5077" s="1" t="s">
        <v>481</v>
      </c>
      <c r="B5077" s="1" t="s">
        <v>1277</v>
      </c>
      <c r="C5077" s="1" t="s">
        <v>63</v>
      </c>
      <c r="D5077" s="3">
        <f t="shared" si="737"/>
        <v>8533</v>
      </c>
      <c r="E5077" s="2">
        <f t="shared" si="738"/>
        <v>43617</v>
      </c>
      <c r="F5077" s="2">
        <f t="shared" si="739"/>
        <v>45808</v>
      </c>
    </row>
    <row r="5078" spans="1:6" x14ac:dyDescent="0.25">
      <c r="A5078" s="1" t="s">
        <v>481</v>
      </c>
      <c r="B5078" s="1" t="s">
        <v>1277</v>
      </c>
      <c r="C5078" s="1" t="s">
        <v>65</v>
      </c>
      <c r="D5078" s="3">
        <f t="shared" si="737"/>
        <v>8533</v>
      </c>
      <c r="E5078" s="2">
        <f t="shared" si="738"/>
        <v>43617</v>
      </c>
      <c r="F5078" s="2">
        <f t="shared" si="739"/>
        <v>45808</v>
      </c>
    </row>
    <row r="5079" spans="1:6" x14ac:dyDescent="0.25">
      <c r="A5079" s="1" t="s">
        <v>481</v>
      </c>
      <c r="B5079" s="1" t="s">
        <v>1277</v>
      </c>
      <c r="C5079" s="1" t="s">
        <v>14</v>
      </c>
      <c r="D5079" s="3">
        <f t="shared" si="737"/>
        <v>8533</v>
      </c>
      <c r="E5079" s="2">
        <f t="shared" si="738"/>
        <v>43617</v>
      </c>
      <c r="F5079" s="2">
        <f t="shared" si="739"/>
        <v>45808</v>
      </c>
    </row>
    <row r="5080" spans="1:6" x14ac:dyDescent="0.25">
      <c r="A5080" s="1" t="s">
        <v>481</v>
      </c>
      <c r="B5080" s="1" t="s">
        <v>1277</v>
      </c>
      <c r="C5080" s="1" t="s">
        <v>15</v>
      </c>
      <c r="D5080" s="3">
        <f t="shared" si="737"/>
        <v>8533</v>
      </c>
      <c r="E5080" s="2">
        <f t="shared" si="738"/>
        <v>43617</v>
      </c>
      <c r="F5080" s="2">
        <f t="shared" si="739"/>
        <v>45808</v>
      </c>
    </row>
    <row r="5081" spans="1:6" x14ac:dyDescent="0.25">
      <c r="A5081" s="1" t="s">
        <v>481</v>
      </c>
      <c r="B5081" s="1" t="s">
        <v>1277</v>
      </c>
      <c r="C5081" s="1" t="s">
        <v>17</v>
      </c>
      <c r="D5081" s="3">
        <f t="shared" si="737"/>
        <v>8533</v>
      </c>
      <c r="E5081" s="2">
        <f t="shared" si="738"/>
        <v>43617</v>
      </c>
      <c r="F5081" s="2">
        <f t="shared" si="739"/>
        <v>45808</v>
      </c>
    </row>
    <row r="5082" spans="1:6" x14ac:dyDescent="0.25">
      <c r="A5082" s="1" t="s">
        <v>481</v>
      </c>
      <c r="B5082" s="1" t="s">
        <v>1277</v>
      </c>
      <c r="C5082" s="1" t="s">
        <v>127</v>
      </c>
      <c r="D5082" s="3">
        <f t="shared" si="737"/>
        <v>8533</v>
      </c>
      <c r="E5082" s="2">
        <f t="shared" si="738"/>
        <v>43617</v>
      </c>
      <c r="F5082" s="2">
        <f t="shared" si="739"/>
        <v>45808</v>
      </c>
    </row>
    <row r="5083" spans="1:6" x14ac:dyDescent="0.25">
      <c r="A5083" s="1" t="s">
        <v>481</v>
      </c>
      <c r="B5083" s="1" t="s">
        <v>1277</v>
      </c>
      <c r="C5083" s="1" t="s">
        <v>47</v>
      </c>
      <c r="D5083" s="3">
        <f t="shared" si="737"/>
        <v>8533</v>
      </c>
      <c r="E5083" s="2">
        <f t="shared" si="738"/>
        <v>43617</v>
      </c>
      <c r="F5083" s="2">
        <f t="shared" si="739"/>
        <v>45808</v>
      </c>
    </row>
    <row r="5084" spans="1:6" x14ac:dyDescent="0.25">
      <c r="A5084" s="1" t="s">
        <v>481</v>
      </c>
      <c r="B5084" s="1" t="s">
        <v>1277</v>
      </c>
      <c r="C5084" s="1" t="s">
        <v>291</v>
      </c>
      <c r="D5084" s="3">
        <f t="shared" si="737"/>
        <v>8533</v>
      </c>
      <c r="E5084" s="2">
        <f t="shared" si="738"/>
        <v>43617</v>
      </c>
      <c r="F5084" s="2">
        <f t="shared" si="739"/>
        <v>45808</v>
      </c>
    </row>
    <row r="5085" spans="1:6" x14ac:dyDescent="0.25">
      <c r="A5085" s="1" t="s">
        <v>481</v>
      </c>
      <c r="B5085" s="1" t="s">
        <v>1277</v>
      </c>
      <c r="C5085" s="1" t="s">
        <v>417</v>
      </c>
      <c r="D5085" s="3">
        <f t="shared" si="737"/>
        <v>8533</v>
      </c>
      <c r="E5085" s="2">
        <f t="shared" si="738"/>
        <v>43617</v>
      </c>
      <c r="F5085" s="2">
        <f t="shared" si="739"/>
        <v>45808</v>
      </c>
    </row>
    <row r="5086" spans="1:6" x14ac:dyDescent="0.25">
      <c r="A5086" s="1" t="s">
        <v>481</v>
      </c>
      <c r="B5086" s="1" t="s">
        <v>1277</v>
      </c>
      <c r="C5086" s="1" t="s">
        <v>22</v>
      </c>
      <c r="D5086" s="3">
        <f t="shared" si="737"/>
        <v>8533</v>
      </c>
      <c r="E5086" s="2">
        <f t="shared" si="738"/>
        <v>43617</v>
      </c>
      <c r="F5086" s="2">
        <f t="shared" si="739"/>
        <v>45808</v>
      </c>
    </row>
    <row r="5087" spans="1:6" x14ac:dyDescent="0.25">
      <c r="A5087" s="1" t="s">
        <v>481</v>
      </c>
      <c r="B5087" s="1" t="s">
        <v>1277</v>
      </c>
      <c r="C5087" s="1" t="s">
        <v>146</v>
      </c>
      <c r="D5087" s="3">
        <f t="shared" si="737"/>
        <v>8533</v>
      </c>
      <c r="E5087" s="2">
        <f t="shared" si="738"/>
        <v>43617</v>
      </c>
      <c r="F5087" s="2">
        <f t="shared" si="739"/>
        <v>45808</v>
      </c>
    </row>
    <row r="5088" spans="1:6" x14ac:dyDescent="0.25">
      <c r="A5088" s="1" t="s">
        <v>481</v>
      </c>
      <c r="B5088" s="1" t="s">
        <v>1277</v>
      </c>
      <c r="C5088" s="1" t="s">
        <v>67</v>
      </c>
      <c r="D5088" s="3">
        <f t="shared" si="737"/>
        <v>8533</v>
      </c>
      <c r="E5088" s="2">
        <f t="shared" si="738"/>
        <v>43617</v>
      </c>
      <c r="F5088" s="2">
        <f t="shared" si="739"/>
        <v>45808</v>
      </c>
    </row>
    <row r="5089" spans="1:6" x14ac:dyDescent="0.25">
      <c r="A5089" s="1" t="s">
        <v>481</v>
      </c>
      <c r="B5089" s="1" t="s">
        <v>1277</v>
      </c>
      <c r="C5089" s="1" t="s">
        <v>384</v>
      </c>
      <c r="D5089" s="3">
        <f t="shared" si="737"/>
        <v>8533</v>
      </c>
      <c r="E5089" s="2">
        <f t="shared" si="738"/>
        <v>43617</v>
      </c>
      <c r="F5089" s="2">
        <f t="shared" si="739"/>
        <v>45808</v>
      </c>
    </row>
    <row r="5090" spans="1:6" x14ac:dyDescent="0.25">
      <c r="A5090" s="1" t="s">
        <v>481</v>
      </c>
      <c r="B5090" s="1" t="s">
        <v>1277</v>
      </c>
      <c r="C5090" s="1" t="s">
        <v>147</v>
      </c>
      <c r="D5090" s="3">
        <f t="shared" si="737"/>
        <v>8533</v>
      </c>
      <c r="E5090" s="2">
        <f t="shared" si="738"/>
        <v>43617</v>
      </c>
      <c r="F5090" s="2">
        <f t="shared" si="739"/>
        <v>45808</v>
      </c>
    </row>
    <row r="5091" spans="1:6" x14ac:dyDescent="0.25">
      <c r="A5091" s="1" t="s">
        <v>481</v>
      </c>
      <c r="B5091" s="1" t="s">
        <v>1277</v>
      </c>
      <c r="C5091" s="1" t="s">
        <v>148</v>
      </c>
      <c r="D5091" s="3">
        <f t="shared" si="737"/>
        <v>8533</v>
      </c>
      <c r="E5091" s="2">
        <f t="shared" si="738"/>
        <v>43617</v>
      </c>
      <c r="F5091" s="2">
        <f t="shared" si="739"/>
        <v>45808</v>
      </c>
    </row>
    <row r="5092" spans="1:6" x14ac:dyDescent="0.25">
      <c r="A5092" s="1" t="s">
        <v>481</v>
      </c>
      <c r="B5092" s="1" t="s">
        <v>1277</v>
      </c>
      <c r="C5092" s="1" t="s">
        <v>149</v>
      </c>
      <c r="D5092" s="3">
        <f t="shared" si="737"/>
        <v>8533</v>
      </c>
      <c r="E5092" s="2">
        <f t="shared" si="738"/>
        <v>43617</v>
      </c>
      <c r="F5092" s="2">
        <f t="shared" si="739"/>
        <v>45808</v>
      </c>
    </row>
    <row r="5093" spans="1:6" x14ac:dyDescent="0.25">
      <c r="A5093" s="1" t="s">
        <v>481</v>
      </c>
      <c r="B5093" s="1" t="s">
        <v>1277</v>
      </c>
      <c r="C5093" s="1" t="s">
        <v>386</v>
      </c>
      <c r="D5093" s="3">
        <f t="shared" si="737"/>
        <v>8533</v>
      </c>
      <c r="E5093" s="2">
        <f t="shared" si="738"/>
        <v>43617</v>
      </c>
      <c r="F5093" s="2">
        <f t="shared" si="739"/>
        <v>45808</v>
      </c>
    </row>
    <row r="5094" spans="1:6" x14ac:dyDescent="0.25">
      <c r="A5094" s="1" t="s">
        <v>481</v>
      </c>
      <c r="B5094" s="1" t="s">
        <v>1277</v>
      </c>
      <c r="C5094" s="1" t="s">
        <v>387</v>
      </c>
      <c r="D5094" s="3">
        <f t="shared" si="737"/>
        <v>8533</v>
      </c>
      <c r="E5094" s="2">
        <f t="shared" si="738"/>
        <v>43617</v>
      </c>
      <c r="F5094" s="2">
        <f t="shared" si="739"/>
        <v>45808</v>
      </c>
    </row>
    <row r="5095" spans="1:6" x14ac:dyDescent="0.25">
      <c r="A5095" s="1" t="s">
        <v>481</v>
      </c>
      <c r="B5095" s="1" t="s">
        <v>1277</v>
      </c>
      <c r="C5095" s="1" t="s">
        <v>388</v>
      </c>
      <c r="D5095" s="3">
        <f t="shared" si="737"/>
        <v>8533</v>
      </c>
      <c r="E5095" s="2">
        <f t="shared" si="738"/>
        <v>43617</v>
      </c>
      <c r="F5095" s="2">
        <f t="shared" si="739"/>
        <v>45808</v>
      </c>
    </row>
    <row r="5096" spans="1:6" x14ac:dyDescent="0.25">
      <c r="A5096" s="1" t="s">
        <v>481</v>
      </c>
      <c r="B5096" s="1" t="s">
        <v>1277</v>
      </c>
      <c r="C5096" s="1" t="s">
        <v>92</v>
      </c>
      <c r="D5096" s="3">
        <f t="shared" si="737"/>
        <v>8533</v>
      </c>
      <c r="E5096" s="2">
        <f t="shared" si="738"/>
        <v>43617</v>
      </c>
      <c r="F5096" s="2">
        <f t="shared" si="739"/>
        <v>45808</v>
      </c>
    </row>
    <row r="5097" spans="1:6" x14ac:dyDescent="0.25">
      <c r="A5097" s="1" t="s">
        <v>481</v>
      </c>
      <c r="B5097" s="1" t="s">
        <v>1277</v>
      </c>
      <c r="C5097" s="1" t="s">
        <v>24</v>
      </c>
      <c r="D5097" s="3">
        <f t="shared" si="737"/>
        <v>8533</v>
      </c>
      <c r="E5097" s="2">
        <f t="shared" si="738"/>
        <v>43617</v>
      </c>
      <c r="F5097" s="2">
        <f t="shared" si="739"/>
        <v>45808</v>
      </c>
    </row>
    <row r="5098" spans="1:6" x14ac:dyDescent="0.25">
      <c r="A5098" s="1" t="s">
        <v>481</v>
      </c>
      <c r="B5098" s="1" t="s">
        <v>1277</v>
      </c>
      <c r="C5098" s="1" t="s">
        <v>50</v>
      </c>
      <c r="D5098" s="3">
        <f t="shared" si="737"/>
        <v>8533</v>
      </c>
      <c r="E5098" s="2">
        <f t="shared" si="738"/>
        <v>43617</v>
      </c>
      <c r="F5098" s="2">
        <f t="shared" si="739"/>
        <v>45808</v>
      </c>
    </row>
    <row r="5099" spans="1:6" x14ac:dyDescent="0.25">
      <c r="A5099" s="1" t="s">
        <v>481</v>
      </c>
      <c r="B5099" s="1" t="s">
        <v>1277</v>
      </c>
      <c r="C5099" s="1" t="s">
        <v>70</v>
      </c>
      <c r="D5099" s="3">
        <f t="shared" si="737"/>
        <v>8533</v>
      </c>
      <c r="E5099" s="2">
        <f t="shared" si="738"/>
        <v>43617</v>
      </c>
      <c r="F5099" s="2">
        <f t="shared" si="739"/>
        <v>45808</v>
      </c>
    </row>
    <row r="5100" spans="1:6" x14ac:dyDescent="0.25">
      <c r="A5100" s="1" t="s">
        <v>481</v>
      </c>
      <c r="B5100" s="1" t="s">
        <v>1277</v>
      </c>
      <c r="C5100" s="1" t="s">
        <v>72</v>
      </c>
      <c r="D5100" s="3">
        <f t="shared" si="737"/>
        <v>8533</v>
      </c>
      <c r="E5100" s="2">
        <f t="shared" si="738"/>
        <v>43617</v>
      </c>
      <c r="F5100" s="2">
        <f t="shared" si="739"/>
        <v>45808</v>
      </c>
    </row>
    <row r="5101" spans="1:6" x14ac:dyDescent="0.25">
      <c r="A5101" s="1" t="s">
        <v>481</v>
      </c>
      <c r="B5101" s="1" t="s">
        <v>1277</v>
      </c>
      <c r="C5101" s="1" t="s">
        <v>73</v>
      </c>
      <c r="D5101" s="3">
        <f t="shared" si="737"/>
        <v>8533</v>
      </c>
      <c r="E5101" s="2">
        <f t="shared" si="738"/>
        <v>43617</v>
      </c>
      <c r="F5101" s="2">
        <f t="shared" si="739"/>
        <v>45808</v>
      </c>
    </row>
    <row r="5102" spans="1:6" x14ac:dyDescent="0.25">
      <c r="A5102" s="1" t="s">
        <v>481</v>
      </c>
      <c r="B5102" s="1" t="s">
        <v>1277</v>
      </c>
      <c r="C5102" s="1" t="s">
        <v>52</v>
      </c>
      <c r="D5102" s="3">
        <f t="shared" si="737"/>
        <v>8533</v>
      </c>
      <c r="E5102" s="2">
        <f t="shared" si="738"/>
        <v>43617</v>
      </c>
      <c r="F5102" s="2">
        <f t="shared" si="739"/>
        <v>45808</v>
      </c>
    </row>
    <row r="5103" spans="1:6" x14ac:dyDescent="0.25">
      <c r="A5103" s="1" t="s">
        <v>481</v>
      </c>
      <c r="B5103" s="1" t="s">
        <v>1277</v>
      </c>
      <c r="C5103" s="1" t="s">
        <v>378</v>
      </c>
      <c r="D5103" s="3">
        <f t="shared" si="737"/>
        <v>8533</v>
      </c>
      <c r="E5103" s="2">
        <f t="shared" si="738"/>
        <v>43617</v>
      </c>
      <c r="F5103" s="2">
        <f t="shared" si="739"/>
        <v>45808</v>
      </c>
    </row>
    <row r="5104" spans="1:6" x14ac:dyDescent="0.25">
      <c r="A5104" s="1" t="s">
        <v>481</v>
      </c>
      <c r="B5104" s="1" t="s">
        <v>1277</v>
      </c>
      <c r="C5104" s="1" t="s">
        <v>34</v>
      </c>
      <c r="D5104" s="3">
        <f t="shared" si="737"/>
        <v>8533</v>
      </c>
      <c r="E5104" s="2">
        <f t="shared" si="738"/>
        <v>43617</v>
      </c>
      <c r="F5104" s="2">
        <f t="shared" si="739"/>
        <v>45808</v>
      </c>
    </row>
    <row r="5105" spans="1:6" x14ac:dyDescent="0.25">
      <c r="A5105" s="1" t="s">
        <v>481</v>
      </c>
      <c r="B5105" s="1" t="s">
        <v>1277</v>
      </c>
      <c r="C5105" s="1" t="s">
        <v>306</v>
      </c>
      <c r="D5105" s="3">
        <f t="shared" si="737"/>
        <v>8533</v>
      </c>
      <c r="E5105" s="2">
        <f t="shared" si="738"/>
        <v>43617</v>
      </c>
      <c r="F5105" s="2">
        <f t="shared" si="739"/>
        <v>45808</v>
      </c>
    </row>
    <row r="5106" spans="1:6" x14ac:dyDescent="0.25">
      <c r="A5106" s="1" t="s">
        <v>481</v>
      </c>
      <c r="B5106" s="1" t="s">
        <v>1277</v>
      </c>
      <c r="C5106" s="1" t="s">
        <v>131</v>
      </c>
      <c r="D5106" s="3">
        <f t="shared" si="737"/>
        <v>8533</v>
      </c>
      <c r="E5106" s="2">
        <f t="shared" si="738"/>
        <v>43617</v>
      </c>
      <c r="F5106" s="2">
        <f t="shared" si="739"/>
        <v>45808</v>
      </c>
    </row>
    <row r="5107" spans="1:6" x14ac:dyDescent="0.25">
      <c r="A5107" s="1" t="s">
        <v>481</v>
      </c>
      <c r="B5107" s="1" t="s">
        <v>1277</v>
      </c>
      <c r="C5107" s="1" t="s">
        <v>56</v>
      </c>
      <c r="D5107" s="3">
        <f t="shared" si="737"/>
        <v>8533</v>
      </c>
      <c r="E5107" s="2">
        <f t="shared" si="738"/>
        <v>43617</v>
      </c>
      <c r="F5107" s="2">
        <f t="shared" si="739"/>
        <v>45808</v>
      </c>
    </row>
    <row r="5108" spans="1:6" x14ac:dyDescent="0.25">
      <c r="A5108" s="1" t="s">
        <v>481</v>
      </c>
      <c r="B5108" s="1" t="s">
        <v>1277</v>
      </c>
      <c r="C5108" s="1" t="s">
        <v>173</v>
      </c>
      <c r="D5108" s="3">
        <f t="shared" si="737"/>
        <v>8533</v>
      </c>
      <c r="E5108" s="2">
        <f t="shared" si="738"/>
        <v>43617</v>
      </c>
      <c r="F5108" s="2">
        <f t="shared" si="739"/>
        <v>45808</v>
      </c>
    </row>
    <row r="5109" spans="1:6" x14ac:dyDescent="0.25">
      <c r="A5109" s="1" t="s">
        <v>481</v>
      </c>
      <c r="B5109" s="1" t="s">
        <v>1277</v>
      </c>
      <c r="C5109" s="1" t="s">
        <v>36</v>
      </c>
      <c r="D5109" s="3">
        <f t="shared" si="737"/>
        <v>8533</v>
      </c>
      <c r="E5109" s="2">
        <f t="shared" si="738"/>
        <v>43617</v>
      </c>
      <c r="F5109" s="2">
        <f t="shared" si="739"/>
        <v>45808</v>
      </c>
    </row>
    <row r="5110" spans="1:6" x14ac:dyDescent="0.25">
      <c r="A5110" s="1" t="s">
        <v>481</v>
      </c>
      <c r="B5110" s="1" t="s">
        <v>1270</v>
      </c>
      <c r="C5110" s="1" t="s">
        <v>140</v>
      </c>
      <c r="D5110" s="3">
        <f t="shared" ref="D5110:D5124" si="740">VALUE("8522")</f>
        <v>8522</v>
      </c>
      <c r="E5110" s="2">
        <f t="shared" ref="E5110:E5124" si="741">DATEVALUE("1-5-2019")</f>
        <v>43586</v>
      </c>
      <c r="F5110" s="2">
        <f t="shared" ref="F5110:F5124" si="742">DATEVALUE("30-6-2021")</f>
        <v>44377</v>
      </c>
    </row>
    <row r="5111" spans="1:6" x14ac:dyDescent="0.25">
      <c r="A5111" s="1" t="s">
        <v>481</v>
      </c>
      <c r="B5111" s="1" t="s">
        <v>1270</v>
      </c>
      <c r="C5111" s="1" t="s">
        <v>141</v>
      </c>
      <c r="D5111" s="3">
        <f t="shared" si="740"/>
        <v>8522</v>
      </c>
      <c r="E5111" s="2">
        <f t="shared" si="741"/>
        <v>43586</v>
      </c>
      <c r="F5111" s="2">
        <f t="shared" si="742"/>
        <v>44377</v>
      </c>
    </row>
    <row r="5112" spans="1:6" x14ac:dyDescent="0.25">
      <c r="A5112" s="1" t="s">
        <v>481</v>
      </c>
      <c r="B5112" s="1" t="s">
        <v>1270</v>
      </c>
      <c r="C5112" s="1" t="s">
        <v>87</v>
      </c>
      <c r="D5112" s="3">
        <f t="shared" si="740"/>
        <v>8522</v>
      </c>
      <c r="E5112" s="2">
        <f t="shared" si="741"/>
        <v>43586</v>
      </c>
      <c r="F5112" s="2">
        <f t="shared" si="742"/>
        <v>44377</v>
      </c>
    </row>
    <row r="5113" spans="1:6" x14ac:dyDescent="0.25">
      <c r="A5113" s="1" t="s">
        <v>481</v>
      </c>
      <c r="B5113" s="1" t="s">
        <v>1270</v>
      </c>
      <c r="C5113" s="1" t="s">
        <v>14</v>
      </c>
      <c r="D5113" s="3">
        <f t="shared" si="740"/>
        <v>8522</v>
      </c>
      <c r="E5113" s="2">
        <f t="shared" si="741"/>
        <v>43586</v>
      </c>
      <c r="F5113" s="2">
        <f t="shared" si="742"/>
        <v>44377</v>
      </c>
    </row>
    <row r="5114" spans="1:6" x14ac:dyDescent="0.25">
      <c r="A5114" s="1" t="s">
        <v>481</v>
      </c>
      <c r="B5114" s="1" t="s">
        <v>1270</v>
      </c>
      <c r="C5114" s="1" t="s">
        <v>15</v>
      </c>
      <c r="D5114" s="3">
        <f t="shared" si="740"/>
        <v>8522</v>
      </c>
      <c r="E5114" s="2">
        <f t="shared" si="741"/>
        <v>43586</v>
      </c>
      <c r="F5114" s="2">
        <f t="shared" si="742"/>
        <v>44377</v>
      </c>
    </row>
    <row r="5115" spans="1:6" x14ac:dyDescent="0.25">
      <c r="A5115" s="1" t="s">
        <v>481</v>
      </c>
      <c r="B5115" s="1" t="s">
        <v>1270</v>
      </c>
      <c r="C5115" s="1" t="s">
        <v>16</v>
      </c>
      <c r="D5115" s="3">
        <f t="shared" si="740"/>
        <v>8522</v>
      </c>
      <c r="E5115" s="2">
        <f t="shared" si="741"/>
        <v>43586</v>
      </c>
      <c r="F5115" s="2">
        <f t="shared" si="742"/>
        <v>44377</v>
      </c>
    </row>
    <row r="5116" spans="1:6" x14ac:dyDescent="0.25">
      <c r="A5116" s="1" t="s">
        <v>481</v>
      </c>
      <c r="B5116" s="1" t="s">
        <v>1270</v>
      </c>
      <c r="C5116" s="1" t="s">
        <v>89</v>
      </c>
      <c r="D5116" s="3">
        <f t="shared" si="740"/>
        <v>8522</v>
      </c>
      <c r="E5116" s="2">
        <f t="shared" si="741"/>
        <v>43586</v>
      </c>
      <c r="F5116" s="2">
        <f t="shared" si="742"/>
        <v>44377</v>
      </c>
    </row>
    <row r="5117" spans="1:6" x14ac:dyDescent="0.25">
      <c r="A5117" s="1" t="s">
        <v>481</v>
      </c>
      <c r="B5117" s="1" t="s">
        <v>1270</v>
      </c>
      <c r="C5117" s="1" t="s">
        <v>17</v>
      </c>
      <c r="D5117" s="3">
        <f t="shared" si="740"/>
        <v>8522</v>
      </c>
      <c r="E5117" s="2">
        <f t="shared" si="741"/>
        <v>43586</v>
      </c>
      <c r="F5117" s="2">
        <f t="shared" si="742"/>
        <v>44377</v>
      </c>
    </row>
    <row r="5118" spans="1:6" x14ac:dyDescent="0.25">
      <c r="A5118" s="1" t="s">
        <v>481</v>
      </c>
      <c r="B5118" s="1" t="s">
        <v>1270</v>
      </c>
      <c r="C5118" s="1" t="s">
        <v>22</v>
      </c>
      <c r="D5118" s="3">
        <f t="shared" si="740"/>
        <v>8522</v>
      </c>
      <c r="E5118" s="2">
        <f t="shared" si="741"/>
        <v>43586</v>
      </c>
      <c r="F5118" s="2">
        <f t="shared" si="742"/>
        <v>44377</v>
      </c>
    </row>
    <row r="5119" spans="1:6" x14ac:dyDescent="0.25">
      <c r="A5119" s="1" t="s">
        <v>481</v>
      </c>
      <c r="B5119" s="1" t="s">
        <v>1270</v>
      </c>
      <c r="C5119" s="1" t="s">
        <v>146</v>
      </c>
      <c r="D5119" s="3">
        <f t="shared" si="740"/>
        <v>8522</v>
      </c>
      <c r="E5119" s="2">
        <f t="shared" si="741"/>
        <v>43586</v>
      </c>
      <c r="F5119" s="2">
        <f t="shared" si="742"/>
        <v>44377</v>
      </c>
    </row>
    <row r="5120" spans="1:6" x14ac:dyDescent="0.25">
      <c r="A5120" s="1" t="s">
        <v>481</v>
      </c>
      <c r="B5120" s="1" t="s">
        <v>1270</v>
      </c>
      <c r="C5120" s="1" t="s">
        <v>67</v>
      </c>
      <c r="D5120" s="3">
        <f t="shared" si="740"/>
        <v>8522</v>
      </c>
      <c r="E5120" s="2">
        <f t="shared" si="741"/>
        <v>43586</v>
      </c>
      <c r="F5120" s="2">
        <f t="shared" si="742"/>
        <v>44377</v>
      </c>
    </row>
    <row r="5121" spans="1:6" x14ac:dyDescent="0.25">
      <c r="A5121" s="1" t="s">
        <v>481</v>
      </c>
      <c r="B5121" s="1" t="s">
        <v>1270</v>
      </c>
      <c r="C5121" s="1" t="s">
        <v>151</v>
      </c>
      <c r="D5121" s="3">
        <f t="shared" si="740"/>
        <v>8522</v>
      </c>
      <c r="E5121" s="2">
        <f t="shared" si="741"/>
        <v>43586</v>
      </c>
      <c r="F5121" s="2">
        <f t="shared" si="742"/>
        <v>44377</v>
      </c>
    </row>
    <row r="5122" spans="1:6" x14ac:dyDescent="0.25">
      <c r="A5122" s="1" t="s">
        <v>481</v>
      </c>
      <c r="B5122" s="1" t="s">
        <v>1270</v>
      </c>
      <c r="C5122" s="1" t="s">
        <v>24</v>
      </c>
      <c r="D5122" s="3">
        <f t="shared" si="740"/>
        <v>8522</v>
      </c>
      <c r="E5122" s="2">
        <f t="shared" si="741"/>
        <v>43586</v>
      </c>
      <c r="F5122" s="2">
        <f t="shared" si="742"/>
        <v>44377</v>
      </c>
    </row>
    <row r="5123" spans="1:6" x14ac:dyDescent="0.25">
      <c r="A5123" s="1" t="s">
        <v>481</v>
      </c>
      <c r="B5123" s="1" t="s">
        <v>1270</v>
      </c>
      <c r="C5123" s="1" t="s">
        <v>73</v>
      </c>
      <c r="D5123" s="3">
        <f t="shared" si="740"/>
        <v>8522</v>
      </c>
      <c r="E5123" s="2">
        <f t="shared" si="741"/>
        <v>43586</v>
      </c>
      <c r="F5123" s="2">
        <f t="shared" si="742"/>
        <v>44377</v>
      </c>
    </row>
    <row r="5124" spans="1:6" x14ac:dyDescent="0.25">
      <c r="A5124" s="1" t="s">
        <v>481</v>
      </c>
      <c r="B5124" s="1" t="s">
        <v>1270</v>
      </c>
      <c r="C5124" s="1" t="s">
        <v>34</v>
      </c>
      <c r="D5124" s="3">
        <f t="shared" si="740"/>
        <v>8522</v>
      </c>
      <c r="E5124" s="2">
        <f t="shared" si="741"/>
        <v>43586</v>
      </c>
      <c r="F5124" s="2">
        <f t="shared" si="742"/>
        <v>44377</v>
      </c>
    </row>
    <row r="5125" spans="1:6" x14ac:dyDescent="0.25">
      <c r="A5125" s="1" t="s">
        <v>481</v>
      </c>
      <c r="B5125" s="1" t="s">
        <v>1240</v>
      </c>
      <c r="C5125" s="1" t="s">
        <v>7</v>
      </c>
      <c r="D5125" s="3">
        <f t="shared" ref="D5125:D5150" si="743">VALUE("8492")</f>
        <v>8492</v>
      </c>
      <c r="E5125" s="2">
        <f t="shared" ref="E5125:E5150" si="744">DATEVALUE("1-4-2019")</f>
        <v>43556</v>
      </c>
      <c r="F5125" s="2">
        <f t="shared" ref="F5125:F5150" si="745">DATEVALUE("31-12-2020")</f>
        <v>44196</v>
      </c>
    </row>
    <row r="5126" spans="1:6" x14ac:dyDescent="0.25">
      <c r="A5126" s="1" t="s">
        <v>481</v>
      </c>
      <c r="B5126" s="1" t="s">
        <v>1240</v>
      </c>
      <c r="C5126" s="1" t="s">
        <v>184</v>
      </c>
      <c r="D5126" s="3">
        <f t="shared" si="743"/>
        <v>8492</v>
      </c>
      <c r="E5126" s="2">
        <f t="shared" si="744"/>
        <v>43556</v>
      </c>
      <c r="F5126" s="2">
        <f t="shared" si="745"/>
        <v>44196</v>
      </c>
    </row>
    <row r="5127" spans="1:6" x14ac:dyDescent="0.25">
      <c r="A5127" s="1" t="s">
        <v>481</v>
      </c>
      <c r="B5127" s="1" t="s">
        <v>1240</v>
      </c>
      <c r="C5127" s="1" t="s">
        <v>375</v>
      </c>
      <c r="D5127" s="3">
        <f t="shared" si="743"/>
        <v>8492</v>
      </c>
      <c r="E5127" s="2">
        <f t="shared" si="744"/>
        <v>43556</v>
      </c>
      <c r="F5127" s="2">
        <f t="shared" si="745"/>
        <v>44196</v>
      </c>
    </row>
    <row r="5128" spans="1:6" x14ac:dyDescent="0.25">
      <c r="A5128" s="1" t="s">
        <v>481</v>
      </c>
      <c r="B5128" s="1" t="s">
        <v>1240</v>
      </c>
      <c r="C5128" s="1" t="s">
        <v>141</v>
      </c>
      <c r="D5128" s="3">
        <f t="shared" si="743"/>
        <v>8492</v>
      </c>
      <c r="E5128" s="2">
        <f t="shared" si="744"/>
        <v>43556</v>
      </c>
      <c r="F5128" s="2">
        <f t="shared" si="745"/>
        <v>44196</v>
      </c>
    </row>
    <row r="5129" spans="1:6" x14ac:dyDescent="0.25">
      <c r="A5129" s="1" t="s">
        <v>481</v>
      </c>
      <c r="B5129" s="1" t="s">
        <v>1240</v>
      </c>
      <c r="C5129" s="1" t="s">
        <v>14</v>
      </c>
      <c r="D5129" s="3">
        <f t="shared" si="743"/>
        <v>8492</v>
      </c>
      <c r="E5129" s="2">
        <f t="shared" si="744"/>
        <v>43556</v>
      </c>
      <c r="F5129" s="2">
        <f t="shared" si="745"/>
        <v>44196</v>
      </c>
    </row>
    <row r="5130" spans="1:6" x14ac:dyDescent="0.25">
      <c r="A5130" s="1" t="s">
        <v>481</v>
      </c>
      <c r="B5130" s="1" t="s">
        <v>1240</v>
      </c>
      <c r="C5130" s="1" t="s">
        <v>15</v>
      </c>
      <c r="D5130" s="3">
        <f t="shared" si="743"/>
        <v>8492</v>
      </c>
      <c r="E5130" s="2">
        <f t="shared" si="744"/>
        <v>43556</v>
      </c>
      <c r="F5130" s="2">
        <f t="shared" si="745"/>
        <v>44196</v>
      </c>
    </row>
    <row r="5131" spans="1:6" x14ac:dyDescent="0.25">
      <c r="A5131" s="1" t="s">
        <v>481</v>
      </c>
      <c r="B5131" s="1" t="s">
        <v>1240</v>
      </c>
      <c r="C5131" s="1" t="s">
        <v>17</v>
      </c>
      <c r="D5131" s="3">
        <f t="shared" si="743"/>
        <v>8492</v>
      </c>
      <c r="E5131" s="2">
        <f t="shared" si="744"/>
        <v>43556</v>
      </c>
      <c r="F5131" s="2">
        <f t="shared" si="745"/>
        <v>44196</v>
      </c>
    </row>
    <row r="5132" spans="1:6" x14ac:dyDescent="0.25">
      <c r="A5132" s="1" t="s">
        <v>481</v>
      </c>
      <c r="B5132" s="1" t="s">
        <v>1240</v>
      </c>
      <c r="C5132" s="1" t="s">
        <v>47</v>
      </c>
      <c r="D5132" s="3">
        <f t="shared" si="743"/>
        <v>8492</v>
      </c>
      <c r="E5132" s="2">
        <f t="shared" si="744"/>
        <v>43556</v>
      </c>
      <c r="F5132" s="2">
        <f t="shared" si="745"/>
        <v>44196</v>
      </c>
    </row>
    <row r="5133" spans="1:6" x14ac:dyDescent="0.25">
      <c r="A5133" s="1" t="s">
        <v>481</v>
      </c>
      <c r="B5133" s="1" t="s">
        <v>1240</v>
      </c>
      <c r="C5133" s="1" t="s">
        <v>291</v>
      </c>
      <c r="D5133" s="3">
        <f t="shared" si="743"/>
        <v>8492</v>
      </c>
      <c r="E5133" s="2">
        <f t="shared" si="744"/>
        <v>43556</v>
      </c>
      <c r="F5133" s="2">
        <f t="shared" si="745"/>
        <v>44196</v>
      </c>
    </row>
    <row r="5134" spans="1:6" x14ac:dyDescent="0.25">
      <c r="A5134" s="1" t="s">
        <v>481</v>
      </c>
      <c r="B5134" s="1" t="s">
        <v>1240</v>
      </c>
      <c r="C5134" s="1" t="s">
        <v>22</v>
      </c>
      <c r="D5134" s="3">
        <f t="shared" si="743"/>
        <v>8492</v>
      </c>
      <c r="E5134" s="2">
        <f t="shared" si="744"/>
        <v>43556</v>
      </c>
      <c r="F5134" s="2">
        <f t="shared" si="745"/>
        <v>44196</v>
      </c>
    </row>
    <row r="5135" spans="1:6" x14ac:dyDescent="0.25">
      <c r="A5135" s="1" t="s">
        <v>481</v>
      </c>
      <c r="B5135" s="1" t="s">
        <v>1240</v>
      </c>
      <c r="C5135" s="1" t="s">
        <v>146</v>
      </c>
      <c r="D5135" s="3">
        <f t="shared" si="743"/>
        <v>8492</v>
      </c>
      <c r="E5135" s="2">
        <f t="shared" si="744"/>
        <v>43556</v>
      </c>
      <c r="F5135" s="2">
        <f t="shared" si="745"/>
        <v>44196</v>
      </c>
    </row>
    <row r="5136" spans="1:6" x14ac:dyDescent="0.25">
      <c r="A5136" s="1" t="s">
        <v>481</v>
      </c>
      <c r="B5136" s="1" t="s">
        <v>1240</v>
      </c>
      <c r="C5136" s="1" t="s">
        <v>67</v>
      </c>
      <c r="D5136" s="3">
        <f t="shared" si="743"/>
        <v>8492</v>
      </c>
      <c r="E5136" s="2">
        <f t="shared" si="744"/>
        <v>43556</v>
      </c>
      <c r="F5136" s="2">
        <f t="shared" si="745"/>
        <v>44196</v>
      </c>
    </row>
    <row r="5137" spans="1:6" x14ac:dyDescent="0.25">
      <c r="A5137" s="1" t="s">
        <v>481</v>
      </c>
      <c r="B5137" s="1" t="s">
        <v>1240</v>
      </c>
      <c r="C5137" s="1" t="s">
        <v>386</v>
      </c>
      <c r="D5137" s="3">
        <f t="shared" si="743"/>
        <v>8492</v>
      </c>
      <c r="E5137" s="2">
        <f t="shared" si="744"/>
        <v>43556</v>
      </c>
      <c r="F5137" s="2">
        <f t="shared" si="745"/>
        <v>44196</v>
      </c>
    </row>
    <row r="5138" spans="1:6" x14ac:dyDescent="0.25">
      <c r="A5138" s="1" t="s">
        <v>481</v>
      </c>
      <c r="B5138" s="1" t="s">
        <v>1240</v>
      </c>
      <c r="C5138" s="1" t="s">
        <v>387</v>
      </c>
      <c r="D5138" s="3">
        <f t="shared" si="743"/>
        <v>8492</v>
      </c>
      <c r="E5138" s="2">
        <f t="shared" si="744"/>
        <v>43556</v>
      </c>
      <c r="F5138" s="2">
        <f t="shared" si="745"/>
        <v>44196</v>
      </c>
    </row>
    <row r="5139" spans="1:6" x14ac:dyDescent="0.25">
      <c r="A5139" s="1" t="s">
        <v>481</v>
      </c>
      <c r="B5139" s="1" t="s">
        <v>1240</v>
      </c>
      <c r="C5139" s="1" t="s">
        <v>388</v>
      </c>
      <c r="D5139" s="3">
        <f t="shared" si="743"/>
        <v>8492</v>
      </c>
      <c r="E5139" s="2">
        <f t="shared" si="744"/>
        <v>43556</v>
      </c>
      <c r="F5139" s="2">
        <f t="shared" si="745"/>
        <v>44196</v>
      </c>
    </row>
    <row r="5140" spans="1:6" x14ac:dyDescent="0.25">
      <c r="A5140" s="1" t="s">
        <v>481</v>
      </c>
      <c r="B5140" s="1" t="s">
        <v>1240</v>
      </c>
      <c r="C5140" s="1" t="s">
        <v>92</v>
      </c>
      <c r="D5140" s="3">
        <f t="shared" si="743"/>
        <v>8492</v>
      </c>
      <c r="E5140" s="2">
        <f t="shared" si="744"/>
        <v>43556</v>
      </c>
      <c r="F5140" s="2">
        <f t="shared" si="745"/>
        <v>44196</v>
      </c>
    </row>
    <row r="5141" spans="1:6" x14ac:dyDescent="0.25">
      <c r="A5141" s="1" t="s">
        <v>481</v>
      </c>
      <c r="B5141" s="1" t="s">
        <v>1240</v>
      </c>
      <c r="C5141" s="1" t="s">
        <v>70</v>
      </c>
      <c r="D5141" s="3">
        <f t="shared" si="743"/>
        <v>8492</v>
      </c>
      <c r="E5141" s="2">
        <f t="shared" si="744"/>
        <v>43556</v>
      </c>
      <c r="F5141" s="2">
        <f t="shared" si="745"/>
        <v>44196</v>
      </c>
    </row>
    <row r="5142" spans="1:6" x14ac:dyDescent="0.25">
      <c r="A5142" s="1" t="s">
        <v>481</v>
      </c>
      <c r="B5142" s="1" t="s">
        <v>1240</v>
      </c>
      <c r="C5142" s="1" t="s">
        <v>1241</v>
      </c>
      <c r="D5142" s="3">
        <f t="shared" si="743"/>
        <v>8492</v>
      </c>
      <c r="E5142" s="2">
        <f t="shared" si="744"/>
        <v>43556</v>
      </c>
      <c r="F5142" s="2">
        <f t="shared" si="745"/>
        <v>44196</v>
      </c>
    </row>
    <row r="5143" spans="1:6" x14ac:dyDescent="0.25">
      <c r="A5143" s="1" t="s">
        <v>481</v>
      </c>
      <c r="B5143" s="1" t="s">
        <v>1240</v>
      </c>
      <c r="C5143" s="1" t="s">
        <v>283</v>
      </c>
      <c r="D5143" s="3">
        <f t="shared" si="743"/>
        <v>8492</v>
      </c>
      <c r="E5143" s="2">
        <f t="shared" si="744"/>
        <v>43556</v>
      </c>
      <c r="F5143" s="2">
        <f t="shared" si="745"/>
        <v>44196</v>
      </c>
    </row>
    <row r="5144" spans="1:6" x14ac:dyDescent="0.25">
      <c r="A5144" s="1" t="s">
        <v>481</v>
      </c>
      <c r="B5144" s="1" t="s">
        <v>1240</v>
      </c>
      <c r="C5144" s="1" t="s">
        <v>378</v>
      </c>
      <c r="D5144" s="3">
        <f t="shared" si="743"/>
        <v>8492</v>
      </c>
      <c r="E5144" s="2">
        <f t="shared" si="744"/>
        <v>43556</v>
      </c>
      <c r="F5144" s="2">
        <f t="shared" si="745"/>
        <v>44196</v>
      </c>
    </row>
    <row r="5145" spans="1:6" x14ac:dyDescent="0.25">
      <c r="A5145" s="1" t="s">
        <v>481</v>
      </c>
      <c r="B5145" s="1" t="s">
        <v>1240</v>
      </c>
      <c r="C5145" s="1" t="s">
        <v>34</v>
      </c>
      <c r="D5145" s="3">
        <f t="shared" si="743"/>
        <v>8492</v>
      </c>
      <c r="E5145" s="2">
        <f t="shared" si="744"/>
        <v>43556</v>
      </c>
      <c r="F5145" s="2">
        <f t="shared" si="745"/>
        <v>44196</v>
      </c>
    </row>
    <row r="5146" spans="1:6" x14ac:dyDescent="0.25">
      <c r="A5146" s="1" t="s">
        <v>481</v>
      </c>
      <c r="B5146" s="1" t="s">
        <v>1240</v>
      </c>
      <c r="C5146" s="1" t="s">
        <v>306</v>
      </c>
      <c r="D5146" s="3">
        <f t="shared" si="743"/>
        <v>8492</v>
      </c>
      <c r="E5146" s="2">
        <f t="shared" si="744"/>
        <v>43556</v>
      </c>
      <c r="F5146" s="2">
        <f t="shared" si="745"/>
        <v>44196</v>
      </c>
    </row>
    <row r="5147" spans="1:6" x14ac:dyDescent="0.25">
      <c r="A5147" s="1" t="s">
        <v>481</v>
      </c>
      <c r="B5147" s="1" t="s">
        <v>1240</v>
      </c>
      <c r="C5147" s="1" t="s">
        <v>379</v>
      </c>
      <c r="D5147" s="3">
        <f t="shared" si="743"/>
        <v>8492</v>
      </c>
      <c r="E5147" s="2">
        <f t="shared" si="744"/>
        <v>43556</v>
      </c>
      <c r="F5147" s="2">
        <f t="shared" si="745"/>
        <v>44196</v>
      </c>
    </row>
    <row r="5148" spans="1:6" x14ac:dyDescent="0.25">
      <c r="A5148" s="1" t="s">
        <v>481</v>
      </c>
      <c r="B5148" s="1" t="s">
        <v>1240</v>
      </c>
      <c r="C5148" s="1" t="s">
        <v>380</v>
      </c>
      <c r="D5148" s="3">
        <f t="shared" si="743"/>
        <v>8492</v>
      </c>
      <c r="E5148" s="2">
        <f t="shared" si="744"/>
        <v>43556</v>
      </c>
      <c r="F5148" s="2">
        <f t="shared" si="745"/>
        <v>44196</v>
      </c>
    </row>
    <row r="5149" spans="1:6" x14ac:dyDescent="0.25">
      <c r="A5149" s="1" t="s">
        <v>481</v>
      </c>
      <c r="B5149" s="1" t="s">
        <v>1240</v>
      </c>
      <c r="C5149" s="1" t="s">
        <v>381</v>
      </c>
      <c r="D5149" s="3">
        <f t="shared" si="743"/>
        <v>8492</v>
      </c>
      <c r="E5149" s="2">
        <f t="shared" si="744"/>
        <v>43556</v>
      </c>
      <c r="F5149" s="2">
        <f t="shared" si="745"/>
        <v>44196</v>
      </c>
    </row>
    <row r="5150" spans="1:6" x14ac:dyDescent="0.25">
      <c r="A5150" s="1" t="s">
        <v>481</v>
      </c>
      <c r="B5150" s="1" t="s">
        <v>1240</v>
      </c>
      <c r="C5150" s="1" t="s">
        <v>170</v>
      </c>
      <c r="D5150" s="3">
        <f t="shared" si="743"/>
        <v>8492</v>
      </c>
      <c r="E5150" s="2">
        <f t="shared" si="744"/>
        <v>43556</v>
      </c>
      <c r="F5150" s="2">
        <f t="shared" si="745"/>
        <v>44196</v>
      </c>
    </row>
    <row r="5151" spans="1:6" x14ac:dyDescent="0.25">
      <c r="A5151" s="1" t="s">
        <v>481</v>
      </c>
      <c r="B5151" s="1" t="s">
        <v>1179</v>
      </c>
      <c r="C5151" s="1" t="s">
        <v>6</v>
      </c>
      <c r="D5151" s="3">
        <f t="shared" ref="D5151:D5172" si="746">VALUE("8449")</f>
        <v>8449</v>
      </c>
      <c r="E5151" s="2">
        <f t="shared" ref="E5151:E5172" si="747">DATEVALUE("1-3-2019")</f>
        <v>43525</v>
      </c>
      <c r="F5151" s="2">
        <f t="shared" ref="F5151:F5172" si="748">DATEVALUE("31-5-2021")</f>
        <v>44347</v>
      </c>
    </row>
    <row r="5152" spans="1:6" x14ac:dyDescent="0.25">
      <c r="A5152" s="1" t="s">
        <v>481</v>
      </c>
      <c r="B5152" s="1" t="s">
        <v>1179</v>
      </c>
      <c r="C5152" s="1" t="s">
        <v>39</v>
      </c>
      <c r="D5152" s="3">
        <f t="shared" si="746"/>
        <v>8449</v>
      </c>
      <c r="E5152" s="2">
        <f t="shared" si="747"/>
        <v>43525</v>
      </c>
      <c r="F5152" s="2">
        <f t="shared" si="748"/>
        <v>44347</v>
      </c>
    </row>
    <row r="5153" spans="1:6" x14ac:dyDescent="0.25">
      <c r="A5153" s="1" t="s">
        <v>481</v>
      </c>
      <c r="B5153" s="1" t="s">
        <v>1179</v>
      </c>
      <c r="C5153" s="1" t="s">
        <v>61</v>
      </c>
      <c r="D5153" s="3">
        <f t="shared" si="746"/>
        <v>8449</v>
      </c>
      <c r="E5153" s="2">
        <f t="shared" si="747"/>
        <v>43525</v>
      </c>
      <c r="F5153" s="2">
        <f t="shared" si="748"/>
        <v>44347</v>
      </c>
    </row>
    <row r="5154" spans="1:6" x14ac:dyDescent="0.25">
      <c r="A5154" s="1" t="s">
        <v>481</v>
      </c>
      <c r="B5154" s="1" t="s">
        <v>1179</v>
      </c>
      <c r="C5154" s="1" t="s">
        <v>43</v>
      </c>
      <c r="D5154" s="3">
        <f t="shared" si="746"/>
        <v>8449</v>
      </c>
      <c r="E5154" s="2">
        <f t="shared" si="747"/>
        <v>43525</v>
      </c>
      <c r="F5154" s="2">
        <f t="shared" si="748"/>
        <v>44347</v>
      </c>
    </row>
    <row r="5155" spans="1:6" x14ac:dyDescent="0.25">
      <c r="A5155" s="1" t="s">
        <v>481</v>
      </c>
      <c r="B5155" s="1" t="s">
        <v>1179</v>
      </c>
      <c r="C5155" s="1" t="s">
        <v>45</v>
      </c>
      <c r="D5155" s="3">
        <f t="shared" si="746"/>
        <v>8449</v>
      </c>
      <c r="E5155" s="2">
        <f t="shared" si="747"/>
        <v>43525</v>
      </c>
      <c r="F5155" s="2">
        <f t="shared" si="748"/>
        <v>44347</v>
      </c>
    </row>
    <row r="5156" spans="1:6" x14ac:dyDescent="0.25">
      <c r="A5156" s="1" t="s">
        <v>481</v>
      </c>
      <c r="B5156" s="1" t="s">
        <v>1179</v>
      </c>
      <c r="C5156" s="1" t="s">
        <v>44</v>
      </c>
      <c r="D5156" s="3">
        <f t="shared" si="746"/>
        <v>8449</v>
      </c>
      <c r="E5156" s="2">
        <f t="shared" si="747"/>
        <v>43525</v>
      </c>
      <c r="F5156" s="2">
        <f t="shared" si="748"/>
        <v>44347</v>
      </c>
    </row>
    <row r="5157" spans="1:6" x14ac:dyDescent="0.25">
      <c r="A5157" s="1" t="s">
        <v>481</v>
      </c>
      <c r="B5157" s="1" t="s">
        <v>1179</v>
      </c>
      <c r="C5157" s="1" t="s">
        <v>14</v>
      </c>
      <c r="D5157" s="3">
        <f t="shared" si="746"/>
        <v>8449</v>
      </c>
      <c r="E5157" s="2">
        <f t="shared" si="747"/>
        <v>43525</v>
      </c>
      <c r="F5157" s="2">
        <f t="shared" si="748"/>
        <v>44347</v>
      </c>
    </row>
    <row r="5158" spans="1:6" x14ac:dyDescent="0.25">
      <c r="A5158" s="1" t="s">
        <v>481</v>
      </c>
      <c r="B5158" s="1" t="s">
        <v>1179</v>
      </c>
      <c r="C5158" s="1" t="s">
        <v>15</v>
      </c>
      <c r="D5158" s="3">
        <f t="shared" si="746"/>
        <v>8449</v>
      </c>
      <c r="E5158" s="2">
        <f t="shared" si="747"/>
        <v>43525</v>
      </c>
      <c r="F5158" s="2">
        <f t="shared" si="748"/>
        <v>44347</v>
      </c>
    </row>
    <row r="5159" spans="1:6" x14ac:dyDescent="0.25">
      <c r="A5159" s="1" t="s">
        <v>481</v>
      </c>
      <c r="B5159" s="1" t="s">
        <v>1179</v>
      </c>
      <c r="C5159" s="1" t="s">
        <v>17</v>
      </c>
      <c r="D5159" s="3">
        <f t="shared" si="746"/>
        <v>8449</v>
      </c>
      <c r="E5159" s="2">
        <f t="shared" si="747"/>
        <v>43525</v>
      </c>
      <c r="F5159" s="2">
        <f t="shared" si="748"/>
        <v>44347</v>
      </c>
    </row>
    <row r="5160" spans="1:6" x14ac:dyDescent="0.25">
      <c r="A5160" s="1" t="s">
        <v>481</v>
      </c>
      <c r="B5160" s="1" t="s">
        <v>1179</v>
      </c>
      <c r="C5160" s="1" t="s">
        <v>22</v>
      </c>
      <c r="D5160" s="3">
        <f t="shared" si="746"/>
        <v>8449</v>
      </c>
      <c r="E5160" s="2">
        <f t="shared" si="747"/>
        <v>43525</v>
      </c>
      <c r="F5160" s="2">
        <f t="shared" si="748"/>
        <v>44347</v>
      </c>
    </row>
    <row r="5161" spans="1:6" x14ac:dyDescent="0.25">
      <c r="A5161" s="1" t="s">
        <v>481</v>
      </c>
      <c r="B5161" s="1" t="s">
        <v>1179</v>
      </c>
      <c r="C5161" s="1" t="s">
        <v>146</v>
      </c>
      <c r="D5161" s="3">
        <f t="shared" si="746"/>
        <v>8449</v>
      </c>
      <c r="E5161" s="2">
        <f t="shared" si="747"/>
        <v>43525</v>
      </c>
      <c r="F5161" s="2">
        <f t="shared" si="748"/>
        <v>44347</v>
      </c>
    </row>
    <row r="5162" spans="1:6" x14ac:dyDescent="0.25">
      <c r="A5162" s="1" t="s">
        <v>481</v>
      </c>
      <c r="B5162" s="1" t="s">
        <v>1179</v>
      </c>
      <c r="C5162" s="1" t="s">
        <v>67</v>
      </c>
      <c r="D5162" s="3">
        <f t="shared" si="746"/>
        <v>8449</v>
      </c>
      <c r="E5162" s="2">
        <f t="shared" si="747"/>
        <v>43525</v>
      </c>
      <c r="F5162" s="2">
        <f t="shared" si="748"/>
        <v>44347</v>
      </c>
    </row>
    <row r="5163" spans="1:6" x14ac:dyDescent="0.25">
      <c r="A5163" s="1" t="s">
        <v>481</v>
      </c>
      <c r="B5163" s="1" t="s">
        <v>1179</v>
      </c>
      <c r="C5163" s="1" t="s">
        <v>400</v>
      </c>
      <c r="D5163" s="3">
        <f t="shared" si="746"/>
        <v>8449</v>
      </c>
      <c r="E5163" s="2">
        <f t="shared" si="747"/>
        <v>43525</v>
      </c>
      <c r="F5163" s="2">
        <f t="shared" si="748"/>
        <v>44347</v>
      </c>
    </row>
    <row r="5164" spans="1:6" x14ac:dyDescent="0.25">
      <c r="A5164" s="1" t="s">
        <v>481</v>
      </c>
      <c r="B5164" s="1" t="s">
        <v>1179</v>
      </c>
      <c r="C5164" s="1" t="s">
        <v>451</v>
      </c>
      <c r="D5164" s="3">
        <f t="shared" si="746"/>
        <v>8449</v>
      </c>
      <c r="E5164" s="2">
        <f t="shared" si="747"/>
        <v>43525</v>
      </c>
      <c r="F5164" s="2">
        <f t="shared" si="748"/>
        <v>44347</v>
      </c>
    </row>
    <row r="5165" spans="1:6" x14ac:dyDescent="0.25">
      <c r="A5165" s="1" t="s">
        <v>481</v>
      </c>
      <c r="B5165" s="1" t="s">
        <v>1179</v>
      </c>
      <c r="C5165" s="1" t="s">
        <v>157</v>
      </c>
      <c r="D5165" s="3">
        <f t="shared" si="746"/>
        <v>8449</v>
      </c>
      <c r="E5165" s="2">
        <f t="shared" si="747"/>
        <v>43525</v>
      </c>
      <c r="F5165" s="2">
        <f t="shared" si="748"/>
        <v>44347</v>
      </c>
    </row>
    <row r="5166" spans="1:6" x14ac:dyDescent="0.25">
      <c r="A5166" s="1" t="s">
        <v>481</v>
      </c>
      <c r="B5166" s="1" t="s">
        <v>1179</v>
      </c>
      <c r="C5166" s="1" t="s">
        <v>157</v>
      </c>
      <c r="D5166" s="3">
        <f t="shared" si="746"/>
        <v>8449</v>
      </c>
      <c r="E5166" s="2">
        <f t="shared" si="747"/>
        <v>43525</v>
      </c>
      <c r="F5166" s="2">
        <f t="shared" si="748"/>
        <v>44347</v>
      </c>
    </row>
    <row r="5167" spans="1:6" x14ac:dyDescent="0.25">
      <c r="A5167" s="1" t="s">
        <v>481</v>
      </c>
      <c r="B5167" s="1" t="s">
        <v>1179</v>
      </c>
      <c r="C5167" s="1" t="s">
        <v>548</v>
      </c>
      <c r="D5167" s="3">
        <f t="shared" si="746"/>
        <v>8449</v>
      </c>
      <c r="E5167" s="2">
        <f t="shared" si="747"/>
        <v>43525</v>
      </c>
      <c r="F5167" s="2">
        <f t="shared" si="748"/>
        <v>44347</v>
      </c>
    </row>
    <row r="5168" spans="1:6" x14ac:dyDescent="0.25">
      <c r="A5168" s="1" t="s">
        <v>481</v>
      </c>
      <c r="B5168" s="1" t="s">
        <v>1179</v>
      </c>
      <c r="C5168" s="1" t="s">
        <v>73</v>
      </c>
      <c r="D5168" s="3">
        <f t="shared" si="746"/>
        <v>8449</v>
      </c>
      <c r="E5168" s="2">
        <f t="shared" si="747"/>
        <v>43525</v>
      </c>
      <c r="F5168" s="2">
        <f t="shared" si="748"/>
        <v>44347</v>
      </c>
    </row>
    <row r="5169" spans="1:6" x14ac:dyDescent="0.25">
      <c r="A5169" s="1" t="s">
        <v>481</v>
      </c>
      <c r="B5169" s="1" t="s">
        <v>1179</v>
      </c>
      <c r="C5169" s="1" t="s">
        <v>52</v>
      </c>
      <c r="D5169" s="3">
        <f t="shared" si="746"/>
        <v>8449</v>
      </c>
      <c r="E5169" s="2">
        <f t="shared" si="747"/>
        <v>43525</v>
      </c>
      <c r="F5169" s="2">
        <f t="shared" si="748"/>
        <v>44347</v>
      </c>
    </row>
    <row r="5170" spans="1:6" x14ac:dyDescent="0.25">
      <c r="A5170" s="1" t="s">
        <v>481</v>
      </c>
      <c r="B5170" s="1" t="s">
        <v>1179</v>
      </c>
      <c r="C5170" s="1" t="s">
        <v>34</v>
      </c>
      <c r="D5170" s="3">
        <f t="shared" si="746"/>
        <v>8449</v>
      </c>
      <c r="E5170" s="2">
        <f t="shared" si="747"/>
        <v>43525</v>
      </c>
      <c r="F5170" s="2">
        <f t="shared" si="748"/>
        <v>44347</v>
      </c>
    </row>
    <row r="5171" spans="1:6" x14ac:dyDescent="0.25">
      <c r="A5171" s="1" t="s">
        <v>481</v>
      </c>
      <c r="B5171" s="1" t="s">
        <v>1179</v>
      </c>
      <c r="C5171" s="1" t="s">
        <v>55</v>
      </c>
      <c r="D5171" s="3">
        <f t="shared" si="746"/>
        <v>8449</v>
      </c>
      <c r="E5171" s="2">
        <f t="shared" si="747"/>
        <v>43525</v>
      </c>
      <c r="F5171" s="2">
        <f t="shared" si="748"/>
        <v>44347</v>
      </c>
    </row>
    <row r="5172" spans="1:6" x14ac:dyDescent="0.25">
      <c r="A5172" s="1" t="s">
        <v>481</v>
      </c>
      <c r="B5172" s="1" t="s">
        <v>1179</v>
      </c>
      <c r="C5172" s="1" t="s">
        <v>57</v>
      </c>
      <c r="D5172" s="3">
        <f t="shared" si="746"/>
        <v>8449</v>
      </c>
      <c r="E5172" s="2">
        <f t="shared" si="747"/>
        <v>43525</v>
      </c>
      <c r="F5172" s="2">
        <f t="shared" si="748"/>
        <v>44347</v>
      </c>
    </row>
    <row r="5173" spans="1:6" x14ac:dyDescent="0.25">
      <c r="A5173" s="1" t="s">
        <v>481</v>
      </c>
      <c r="B5173" s="1" t="s">
        <v>2324</v>
      </c>
      <c r="C5173" s="1" t="s">
        <v>14</v>
      </c>
      <c r="D5173" s="3">
        <f t="shared" ref="D5173:D5188" si="749">VALUE("8170")</f>
        <v>8170</v>
      </c>
      <c r="E5173" s="2">
        <f t="shared" ref="E5173:E5188" si="750">DATEVALUE("1-4-2018")</f>
        <v>43191</v>
      </c>
      <c r="F5173" s="2">
        <f t="shared" ref="F5173:F5188" si="751">DATEVALUE("29-2-2020")</f>
        <v>43890</v>
      </c>
    </row>
    <row r="5174" spans="1:6" x14ac:dyDescent="0.25">
      <c r="A5174" s="1" t="s">
        <v>481</v>
      </c>
      <c r="B5174" s="1" t="s">
        <v>2324</v>
      </c>
      <c r="C5174" s="1" t="s">
        <v>66</v>
      </c>
      <c r="D5174" s="3">
        <f t="shared" si="749"/>
        <v>8170</v>
      </c>
      <c r="E5174" s="2">
        <f t="shared" si="750"/>
        <v>43191</v>
      </c>
      <c r="F5174" s="2">
        <f t="shared" si="751"/>
        <v>43890</v>
      </c>
    </row>
    <row r="5175" spans="1:6" x14ac:dyDescent="0.25">
      <c r="A5175" s="1" t="s">
        <v>481</v>
      </c>
      <c r="B5175" s="1" t="s">
        <v>2324</v>
      </c>
      <c r="C5175" s="1" t="s">
        <v>15</v>
      </c>
      <c r="D5175" s="3">
        <f t="shared" si="749"/>
        <v>8170</v>
      </c>
      <c r="E5175" s="2">
        <f t="shared" si="750"/>
        <v>43191</v>
      </c>
      <c r="F5175" s="2">
        <f t="shared" si="751"/>
        <v>43890</v>
      </c>
    </row>
    <row r="5176" spans="1:6" x14ac:dyDescent="0.25">
      <c r="A5176" s="1" t="s">
        <v>481</v>
      </c>
      <c r="B5176" s="1" t="s">
        <v>2324</v>
      </c>
      <c r="C5176" s="1" t="s">
        <v>89</v>
      </c>
      <c r="D5176" s="3">
        <f t="shared" si="749"/>
        <v>8170</v>
      </c>
      <c r="E5176" s="2">
        <f t="shared" si="750"/>
        <v>43191</v>
      </c>
      <c r="F5176" s="2">
        <f t="shared" si="751"/>
        <v>43890</v>
      </c>
    </row>
    <row r="5177" spans="1:6" x14ac:dyDescent="0.25">
      <c r="A5177" s="1" t="s">
        <v>481</v>
      </c>
      <c r="B5177" s="1" t="s">
        <v>2324</v>
      </c>
      <c r="C5177" s="1" t="s">
        <v>17</v>
      </c>
      <c r="D5177" s="3">
        <f t="shared" si="749"/>
        <v>8170</v>
      </c>
      <c r="E5177" s="2">
        <f t="shared" si="750"/>
        <v>43191</v>
      </c>
      <c r="F5177" s="2">
        <f t="shared" si="751"/>
        <v>43890</v>
      </c>
    </row>
    <row r="5178" spans="1:6" x14ac:dyDescent="0.25">
      <c r="A5178" s="1" t="s">
        <v>481</v>
      </c>
      <c r="B5178" s="1" t="s">
        <v>2324</v>
      </c>
      <c r="C5178" s="1" t="s">
        <v>22</v>
      </c>
      <c r="D5178" s="3">
        <f t="shared" si="749"/>
        <v>8170</v>
      </c>
      <c r="E5178" s="2">
        <f t="shared" si="750"/>
        <v>43191</v>
      </c>
      <c r="F5178" s="2">
        <f t="shared" si="751"/>
        <v>43890</v>
      </c>
    </row>
    <row r="5179" spans="1:6" x14ac:dyDescent="0.25">
      <c r="A5179" s="1" t="s">
        <v>481</v>
      </c>
      <c r="B5179" s="1" t="s">
        <v>2324</v>
      </c>
      <c r="C5179" s="1" t="s">
        <v>146</v>
      </c>
      <c r="D5179" s="3">
        <f t="shared" si="749"/>
        <v>8170</v>
      </c>
      <c r="E5179" s="2">
        <f t="shared" si="750"/>
        <v>43191</v>
      </c>
      <c r="F5179" s="2">
        <f t="shared" si="751"/>
        <v>43890</v>
      </c>
    </row>
    <row r="5180" spans="1:6" x14ac:dyDescent="0.25">
      <c r="A5180" s="1" t="s">
        <v>481</v>
      </c>
      <c r="B5180" s="1" t="s">
        <v>2324</v>
      </c>
      <c r="C5180" s="1" t="s">
        <v>148</v>
      </c>
      <c r="D5180" s="3">
        <f t="shared" si="749"/>
        <v>8170</v>
      </c>
      <c r="E5180" s="2">
        <f t="shared" si="750"/>
        <v>43191</v>
      </c>
      <c r="F5180" s="2">
        <f t="shared" si="751"/>
        <v>43890</v>
      </c>
    </row>
    <row r="5181" spans="1:6" x14ac:dyDescent="0.25">
      <c r="A5181" s="1" t="s">
        <v>481</v>
      </c>
      <c r="B5181" s="1" t="s">
        <v>2324</v>
      </c>
      <c r="C5181" s="1" t="s">
        <v>386</v>
      </c>
      <c r="D5181" s="3">
        <f t="shared" si="749"/>
        <v>8170</v>
      </c>
      <c r="E5181" s="2">
        <f t="shared" si="750"/>
        <v>43191</v>
      </c>
      <c r="F5181" s="2">
        <f t="shared" si="751"/>
        <v>43890</v>
      </c>
    </row>
    <row r="5182" spans="1:6" x14ac:dyDescent="0.25">
      <c r="A5182" s="1" t="s">
        <v>481</v>
      </c>
      <c r="B5182" s="1" t="s">
        <v>2324</v>
      </c>
      <c r="C5182" s="1" t="s">
        <v>387</v>
      </c>
      <c r="D5182" s="3">
        <f t="shared" si="749"/>
        <v>8170</v>
      </c>
      <c r="E5182" s="2">
        <f t="shared" si="750"/>
        <v>43191</v>
      </c>
      <c r="F5182" s="2">
        <f t="shared" si="751"/>
        <v>43890</v>
      </c>
    </row>
    <row r="5183" spans="1:6" x14ac:dyDescent="0.25">
      <c r="A5183" s="1" t="s">
        <v>481</v>
      </c>
      <c r="B5183" s="1" t="s">
        <v>2324</v>
      </c>
      <c r="C5183" s="1" t="s">
        <v>388</v>
      </c>
      <c r="D5183" s="3">
        <f t="shared" si="749"/>
        <v>8170</v>
      </c>
      <c r="E5183" s="2">
        <f t="shared" si="750"/>
        <v>43191</v>
      </c>
      <c r="F5183" s="2">
        <f t="shared" si="751"/>
        <v>43890</v>
      </c>
    </row>
    <row r="5184" spans="1:6" x14ac:dyDescent="0.25">
      <c r="A5184" s="1" t="s">
        <v>481</v>
      </c>
      <c r="B5184" s="1" t="s">
        <v>2324</v>
      </c>
      <c r="C5184" s="1" t="s">
        <v>92</v>
      </c>
      <c r="D5184" s="3">
        <f t="shared" si="749"/>
        <v>8170</v>
      </c>
      <c r="E5184" s="2">
        <f t="shared" si="750"/>
        <v>43191</v>
      </c>
      <c r="F5184" s="2">
        <f t="shared" si="751"/>
        <v>43890</v>
      </c>
    </row>
    <row r="5185" spans="1:6" x14ac:dyDescent="0.25">
      <c r="A5185" s="1" t="s">
        <v>481</v>
      </c>
      <c r="B5185" s="1" t="s">
        <v>2324</v>
      </c>
      <c r="C5185" s="1" t="s">
        <v>94</v>
      </c>
      <c r="D5185" s="3">
        <f t="shared" si="749"/>
        <v>8170</v>
      </c>
      <c r="E5185" s="2">
        <f t="shared" si="750"/>
        <v>43191</v>
      </c>
      <c r="F5185" s="2">
        <f t="shared" si="751"/>
        <v>43890</v>
      </c>
    </row>
    <row r="5186" spans="1:6" x14ac:dyDescent="0.25">
      <c r="A5186" s="1" t="s">
        <v>481</v>
      </c>
      <c r="B5186" s="1" t="s">
        <v>2324</v>
      </c>
      <c r="C5186" s="1" t="s">
        <v>24</v>
      </c>
      <c r="D5186" s="3">
        <f t="shared" si="749"/>
        <v>8170</v>
      </c>
      <c r="E5186" s="2">
        <f t="shared" si="750"/>
        <v>43191</v>
      </c>
      <c r="F5186" s="2">
        <f t="shared" si="751"/>
        <v>43890</v>
      </c>
    </row>
    <row r="5187" spans="1:6" x14ac:dyDescent="0.25">
      <c r="A5187" s="1" t="s">
        <v>481</v>
      </c>
      <c r="B5187" s="1" t="s">
        <v>2324</v>
      </c>
      <c r="C5187" s="1" t="s">
        <v>70</v>
      </c>
      <c r="D5187" s="3">
        <f t="shared" si="749"/>
        <v>8170</v>
      </c>
      <c r="E5187" s="2">
        <f t="shared" si="750"/>
        <v>43191</v>
      </c>
      <c r="F5187" s="2">
        <f t="shared" si="751"/>
        <v>43890</v>
      </c>
    </row>
    <row r="5188" spans="1:6" x14ac:dyDescent="0.25">
      <c r="A5188" s="1" t="s">
        <v>481</v>
      </c>
      <c r="B5188" s="1" t="s">
        <v>2324</v>
      </c>
      <c r="C5188" s="1" t="s">
        <v>34</v>
      </c>
      <c r="D5188" s="3">
        <f t="shared" si="749"/>
        <v>8170</v>
      </c>
      <c r="E5188" s="2">
        <f t="shared" si="750"/>
        <v>43191</v>
      </c>
      <c r="F5188" s="2">
        <f t="shared" si="751"/>
        <v>43890</v>
      </c>
    </row>
    <row r="5189" spans="1:6" x14ac:dyDescent="0.25">
      <c r="A5189" s="1" t="s">
        <v>481</v>
      </c>
      <c r="B5189" s="1" t="s">
        <v>2331</v>
      </c>
      <c r="C5189" s="1" t="s">
        <v>6</v>
      </c>
      <c r="D5189" s="3">
        <f t="shared" ref="D5189:D5204" si="752">VALUE("8178")</f>
        <v>8178</v>
      </c>
      <c r="E5189" s="2">
        <f t="shared" ref="E5189:E5204" si="753">DATEVALUE("1-12-2017")</f>
        <v>43070</v>
      </c>
      <c r="F5189" s="2">
        <f t="shared" ref="F5189:F5204" si="754">DATEVALUE("31-3-2019")</f>
        <v>43555</v>
      </c>
    </row>
    <row r="5190" spans="1:6" x14ac:dyDescent="0.25">
      <c r="A5190" s="1" t="s">
        <v>481</v>
      </c>
      <c r="B5190" s="1" t="s">
        <v>2331</v>
      </c>
      <c r="C5190" s="1" t="s">
        <v>8</v>
      </c>
      <c r="D5190" s="3">
        <f t="shared" si="752"/>
        <v>8178</v>
      </c>
      <c r="E5190" s="2">
        <f t="shared" si="753"/>
        <v>43070</v>
      </c>
      <c r="F5190" s="2">
        <f t="shared" si="754"/>
        <v>43555</v>
      </c>
    </row>
    <row r="5191" spans="1:6" x14ac:dyDescent="0.25">
      <c r="A5191" s="1" t="s">
        <v>481</v>
      </c>
      <c r="B5191" s="1" t="s">
        <v>2331</v>
      </c>
      <c r="C5191" s="1" t="s">
        <v>141</v>
      </c>
      <c r="D5191" s="3">
        <f t="shared" si="752"/>
        <v>8178</v>
      </c>
      <c r="E5191" s="2">
        <f t="shared" si="753"/>
        <v>43070</v>
      </c>
      <c r="F5191" s="2">
        <f t="shared" si="754"/>
        <v>43555</v>
      </c>
    </row>
    <row r="5192" spans="1:6" x14ac:dyDescent="0.25">
      <c r="A5192" s="1" t="s">
        <v>481</v>
      </c>
      <c r="B5192" s="1" t="s">
        <v>2331</v>
      </c>
      <c r="C5192" s="1" t="s">
        <v>14</v>
      </c>
      <c r="D5192" s="3">
        <f t="shared" si="752"/>
        <v>8178</v>
      </c>
      <c r="E5192" s="2">
        <f t="shared" si="753"/>
        <v>43070</v>
      </c>
      <c r="F5192" s="2">
        <f t="shared" si="754"/>
        <v>43555</v>
      </c>
    </row>
    <row r="5193" spans="1:6" x14ac:dyDescent="0.25">
      <c r="A5193" s="1" t="s">
        <v>481</v>
      </c>
      <c r="B5193" s="1" t="s">
        <v>2331</v>
      </c>
      <c r="C5193" s="1" t="s">
        <v>15</v>
      </c>
      <c r="D5193" s="3">
        <f t="shared" si="752"/>
        <v>8178</v>
      </c>
      <c r="E5193" s="2">
        <f t="shared" si="753"/>
        <v>43070</v>
      </c>
      <c r="F5193" s="2">
        <f t="shared" si="754"/>
        <v>43555</v>
      </c>
    </row>
    <row r="5194" spans="1:6" x14ac:dyDescent="0.25">
      <c r="A5194" s="1" t="s">
        <v>481</v>
      </c>
      <c r="B5194" s="1" t="s">
        <v>2331</v>
      </c>
      <c r="C5194" s="1" t="s">
        <v>17</v>
      </c>
      <c r="D5194" s="3">
        <f t="shared" si="752"/>
        <v>8178</v>
      </c>
      <c r="E5194" s="2">
        <f t="shared" si="753"/>
        <v>43070</v>
      </c>
      <c r="F5194" s="2">
        <f t="shared" si="754"/>
        <v>43555</v>
      </c>
    </row>
    <row r="5195" spans="1:6" x14ac:dyDescent="0.25">
      <c r="A5195" s="1" t="s">
        <v>481</v>
      </c>
      <c r="B5195" s="1" t="s">
        <v>2331</v>
      </c>
      <c r="C5195" s="1" t="s">
        <v>19</v>
      </c>
      <c r="D5195" s="3">
        <f t="shared" si="752"/>
        <v>8178</v>
      </c>
      <c r="E5195" s="2">
        <f t="shared" si="753"/>
        <v>43070</v>
      </c>
      <c r="F5195" s="2">
        <f t="shared" si="754"/>
        <v>43555</v>
      </c>
    </row>
    <row r="5196" spans="1:6" x14ac:dyDescent="0.25">
      <c r="A5196" s="1" t="s">
        <v>481</v>
      </c>
      <c r="B5196" s="1" t="s">
        <v>2331</v>
      </c>
      <c r="C5196" s="1" t="s">
        <v>20</v>
      </c>
      <c r="D5196" s="3">
        <f t="shared" si="752"/>
        <v>8178</v>
      </c>
      <c r="E5196" s="2">
        <f t="shared" si="753"/>
        <v>43070</v>
      </c>
      <c r="F5196" s="2">
        <f t="shared" si="754"/>
        <v>43555</v>
      </c>
    </row>
    <row r="5197" spans="1:6" x14ac:dyDescent="0.25">
      <c r="A5197" s="1" t="s">
        <v>481</v>
      </c>
      <c r="B5197" s="1" t="s">
        <v>2331</v>
      </c>
      <c r="C5197" s="1" t="s">
        <v>21</v>
      </c>
      <c r="D5197" s="3">
        <f t="shared" si="752"/>
        <v>8178</v>
      </c>
      <c r="E5197" s="2">
        <f t="shared" si="753"/>
        <v>43070</v>
      </c>
      <c r="F5197" s="2">
        <f t="shared" si="754"/>
        <v>43555</v>
      </c>
    </row>
    <row r="5198" spans="1:6" x14ac:dyDescent="0.25">
      <c r="A5198" s="1" t="s">
        <v>481</v>
      </c>
      <c r="B5198" s="1" t="s">
        <v>2331</v>
      </c>
      <c r="C5198" s="1" t="s">
        <v>22</v>
      </c>
      <c r="D5198" s="3">
        <f t="shared" si="752"/>
        <v>8178</v>
      </c>
      <c r="E5198" s="2">
        <f t="shared" si="753"/>
        <v>43070</v>
      </c>
      <c r="F5198" s="2">
        <f t="shared" si="754"/>
        <v>43555</v>
      </c>
    </row>
    <row r="5199" spans="1:6" x14ac:dyDescent="0.25">
      <c r="A5199" s="1" t="s">
        <v>481</v>
      </c>
      <c r="B5199" s="1" t="s">
        <v>2331</v>
      </c>
      <c r="C5199" s="1" t="s">
        <v>329</v>
      </c>
      <c r="D5199" s="3">
        <f t="shared" si="752"/>
        <v>8178</v>
      </c>
      <c r="E5199" s="2">
        <f t="shared" si="753"/>
        <v>43070</v>
      </c>
      <c r="F5199" s="2">
        <f t="shared" si="754"/>
        <v>43555</v>
      </c>
    </row>
    <row r="5200" spans="1:6" x14ac:dyDescent="0.25">
      <c r="A5200" s="1" t="s">
        <v>481</v>
      </c>
      <c r="B5200" s="1" t="s">
        <v>2331</v>
      </c>
      <c r="C5200" s="1" t="s">
        <v>151</v>
      </c>
      <c r="D5200" s="3">
        <f t="shared" si="752"/>
        <v>8178</v>
      </c>
      <c r="E5200" s="2">
        <f t="shared" si="753"/>
        <v>43070</v>
      </c>
      <c r="F5200" s="2">
        <f t="shared" si="754"/>
        <v>43555</v>
      </c>
    </row>
    <row r="5201" spans="1:6" x14ac:dyDescent="0.25">
      <c r="A5201" s="1" t="s">
        <v>481</v>
      </c>
      <c r="B5201" s="1" t="s">
        <v>2331</v>
      </c>
      <c r="C5201" s="1" t="s">
        <v>72</v>
      </c>
      <c r="D5201" s="3">
        <f t="shared" si="752"/>
        <v>8178</v>
      </c>
      <c r="E5201" s="2">
        <f t="shared" si="753"/>
        <v>43070</v>
      </c>
      <c r="F5201" s="2">
        <f t="shared" si="754"/>
        <v>43555</v>
      </c>
    </row>
    <row r="5202" spans="1:6" x14ac:dyDescent="0.25">
      <c r="A5202" s="1" t="s">
        <v>481</v>
      </c>
      <c r="B5202" s="1" t="s">
        <v>2331</v>
      </c>
      <c r="C5202" s="1" t="s">
        <v>73</v>
      </c>
      <c r="D5202" s="3">
        <f t="shared" si="752"/>
        <v>8178</v>
      </c>
      <c r="E5202" s="2">
        <f t="shared" si="753"/>
        <v>43070</v>
      </c>
      <c r="F5202" s="2">
        <f t="shared" si="754"/>
        <v>43555</v>
      </c>
    </row>
    <row r="5203" spans="1:6" x14ac:dyDescent="0.25">
      <c r="A5203" s="1" t="s">
        <v>481</v>
      </c>
      <c r="B5203" s="1" t="s">
        <v>2331</v>
      </c>
      <c r="C5203" s="1" t="s">
        <v>52</v>
      </c>
      <c r="D5203" s="3">
        <f t="shared" si="752"/>
        <v>8178</v>
      </c>
      <c r="E5203" s="2">
        <f t="shared" si="753"/>
        <v>43070</v>
      </c>
      <c r="F5203" s="2">
        <f t="shared" si="754"/>
        <v>43555</v>
      </c>
    </row>
    <row r="5204" spans="1:6" x14ac:dyDescent="0.25">
      <c r="A5204" s="1" t="s">
        <v>481</v>
      </c>
      <c r="B5204" s="1" t="s">
        <v>2331</v>
      </c>
      <c r="C5204" s="1" t="s">
        <v>34</v>
      </c>
      <c r="D5204" s="3">
        <f t="shared" si="752"/>
        <v>8178</v>
      </c>
      <c r="E5204" s="2">
        <f t="shared" si="753"/>
        <v>43070</v>
      </c>
      <c r="F5204" s="2">
        <f t="shared" si="754"/>
        <v>43555</v>
      </c>
    </row>
    <row r="5205" spans="1:6" x14ac:dyDescent="0.25">
      <c r="A5205" s="1" t="s">
        <v>481</v>
      </c>
      <c r="B5205" s="1" t="s">
        <v>911</v>
      </c>
      <c r="C5205" s="1" t="s">
        <v>7</v>
      </c>
      <c r="D5205" s="3">
        <f t="shared" ref="D5205:D5225" si="755">VALUE("8176")</f>
        <v>8176</v>
      </c>
      <c r="E5205" s="2">
        <f t="shared" ref="E5205:E5225" si="756">DATEVALUE("1-11-2017")</f>
        <v>43040</v>
      </c>
      <c r="F5205" s="2">
        <f t="shared" ref="F5205:F5225" si="757">DATEVALUE("31-10-2020")</f>
        <v>44135</v>
      </c>
    </row>
    <row r="5206" spans="1:6" x14ac:dyDescent="0.25">
      <c r="A5206" s="1" t="s">
        <v>481</v>
      </c>
      <c r="B5206" s="1" t="s">
        <v>911</v>
      </c>
      <c r="C5206" s="1" t="s">
        <v>39</v>
      </c>
      <c r="D5206" s="3">
        <f t="shared" si="755"/>
        <v>8176</v>
      </c>
      <c r="E5206" s="2">
        <f t="shared" si="756"/>
        <v>43040</v>
      </c>
      <c r="F5206" s="2">
        <f t="shared" si="757"/>
        <v>44135</v>
      </c>
    </row>
    <row r="5207" spans="1:6" x14ac:dyDescent="0.25">
      <c r="A5207" s="1" t="s">
        <v>481</v>
      </c>
      <c r="B5207" s="1" t="s">
        <v>911</v>
      </c>
      <c r="C5207" s="1" t="s">
        <v>484</v>
      </c>
      <c r="D5207" s="3">
        <f t="shared" si="755"/>
        <v>8176</v>
      </c>
      <c r="E5207" s="2">
        <f t="shared" si="756"/>
        <v>43040</v>
      </c>
      <c r="F5207" s="2">
        <f t="shared" si="757"/>
        <v>44135</v>
      </c>
    </row>
    <row r="5208" spans="1:6" x14ac:dyDescent="0.25">
      <c r="A5208" s="1" t="s">
        <v>481</v>
      </c>
      <c r="B5208" s="1" t="s">
        <v>911</v>
      </c>
      <c r="C5208" s="1" t="s">
        <v>346</v>
      </c>
      <c r="D5208" s="3">
        <f t="shared" si="755"/>
        <v>8176</v>
      </c>
      <c r="E5208" s="2">
        <f t="shared" si="756"/>
        <v>43040</v>
      </c>
      <c r="F5208" s="2">
        <f t="shared" si="757"/>
        <v>44135</v>
      </c>
    </row>
    <row r="5209" spans="1:6" x14ac:dyDescent="0.25">
      <c r="A5209" s="1" t="s">
        <v>481</v>
      </c>
      <c r="B5209" s="1" t="s">
        <v>911</v>
      </c>
      <c r="C5209" s="1" t="s">
        <v>14</v>
      </c>
      <c r="D5209" s="3">
        <f t="shared" si="755"/>
        <v>8176</v>
      </c>
      <c r="E5209" s="2">
        <f t="shared" si="756"/>
        <v>43040</v>
      </c>
      <c r="F5209" s="2">
        <f t="shared" si="757"/>
        <v>44135</v>
      </c>
    </row>
    <row r="5210" spans="1:6" x14ac:dyDescent="0.25">
      <c r="A5210" s="1" t="s">
        <v>481</v>
      </c>
      <c r="B5210" s="1" t="s">
        <v>911</v>
      </c>
      <c r="C5210" s="1" t="s">
        <v>15</v>
      </c>
      <c r="D5210" s="3">
        <f t="shared" si="755"/>
        <v>8176</v>
      </c>
      <c r="E5210" s="2">
        <f t="shared" si="756"/>
        <v>43040</v>
      </c>
      <c r="F5210" s="2">
        <f t="shared" si="757"/>
        <v>44135</v>
      </c>
    </row>
    <row r="5211" spans="1:6" x14ac:dyDescent="0.25">
      <c r="A5211" s="1" t="s">
        <v>481</v>
      </c>
      <c r="B5211" s="1" t="s">
        <v>911</v>
      </c>
      <c r="C5211" s="1" t="s">
        <v>17</v>
      </c>
      <c r="D5211" s="3">
        <f t="shared" si="755"/>
        <v>8176</v>
      </c>
      <c r="E5211" s="2">
        <f t="shared" si="756"/>
        <v>43040</v>
      </c>
      <c r="F5211" s="2">
        <f t="shared" si="757"/>
        <v>44135</v>
      </c>
    </row>
    <row r="5212" spans="1:6" x14ac:dyDescent="0.25">
      <c r="A5212" s="1" t="s">
        <v>481</v>
      </c>
      <c r="B5212" s="1" t="s">
        <v>911</v>
      </c>
      <c r="C5212" s="1" t="s">
        <v>417</v>
      </c>
      <c r="D5212" s="3">
        <f t="shared" si="755"/>
        <v>8176</v>
      </c>
      <c r="E5212" s="2">
        <f t="shared" si="756"/>
        <v>43040</v>
      </c>
      <c r="F5212" s="2">
        <f t="shared" si="757"/>
        <v>44135</v>
      </c>
    </row>
    <row r="5213" spans="1:6" x14ac:dyDescent="0.25">
      <c r="A5213" s="1" t="s">
        <v>481</v>
      </c>
      <c r="B5213" s="1" t="s">
        <v>911</v>
      </c>
      <c r="C5213" s="1" t="s">
        <v>22</v>
      </c>
      <c r="D5213" s="3">
        <f t="shared" si="755"/>
        <v>8176</v>
      </c>
      <c r="E5213" s="2">
        <f t="shared" si="756"/>
        <v>43040</v>
      </c>
      <c r="F5213" s="2">
        <f t="shared" si="757"/>
        <v>44135</v>
      </c>
    </row>
    <row r="5214" spans="1:6" x14ac:dyDescent="0.25">
      <c r="A5214" s="1" t="s">
        <v>481</v>
      </c>
      <c r="B5214" s="1" t="s">
        <v>911</v>
      </c>
      <c r="C5214" s="1" t="s">
        <v>146</v>
      </c>
      <c r="D5214" s="3">
        <f t="shared" si="755"/>
        <v>8176</v>
      </c>
      <c r="E5214" s="2">
        <f t="shared" si="756"/>
        <v>43040</v>
      </c>
      <c r="F5214" s="2">
        <f t="shared" si="757"/>
        <v>44135</v>
      </c>
    </row>
    <row r="5215" spans="1:6" x14ac:dyDescent="0.25">
      <c r="A5215" s="1" t="s">
        <v>481</v>
      </c>
      <c r="B5215" s="1" t="s">
        <v>911</v>
      </c>
      <c r="C5215" s="1" t="s">
        <v>384</v>
      </c>
      <c r="D5215" s="3">
        <f t="shared" si="755"/>
        <v>8176</v>
      </c>
      <c r="E5215" s="2">
        <f t="shared" si="756"/>
        <v>43040</v>
      </c>
      <c r="F5215" s="2">
        <f t="shared" si="757"/>
        <v>44135</v>
      </c>
    </row>
    <row r="5216" spans="1:6" x14ac:dyDescent="0.25">
      <c r="A5216" s="1" t="s">
        <v>481</v>
      </c>
      <c r="B5216" s="1" t="s">
        <v>911</v>
      </c>
      <c r="C5216" s="1" t="s">
        <v>147</v>
      </c>
      <c r="D5216" s="3">
        <f t="shared" si="755"/>
        <v>8176</v>
      </c>
      <c r="E5216" s="2">
        <f t="shared" si="756"/>
        <v>43040</v>
      </c>
      <c r="F5216" s="2">
        <f t="shared" si="757"/>
        <v>44135</v>
      </c>
    </row>
    <row r="5217" spans="1:6" x14ac:dyDescent="0.25">
      <c r="A5217" s="1" t="s">
        <v>481</v>
      </c>
      <c r="B5217" s="1" t="s">
        <v>911</v>
      </c>
      <c r="C5217" s="1" t="s">
        <v>148</v>
      </c>
      <c r="D5217" s="3">
        <f t="shared" si="755"/>
        <v>8176</v>
      </c>
      <c r="E5217" s="2">
        <f t="shared" si="756"/>
        <v>43040</v>
      </c>
      <c r="F5217" s="2">
        <f t="shared" si="757"/>
        <v>44135</v>
      </c>
    </row>
    <row r="5218" spans="1:6" x14ac:dyDescent="0.25">
      <c r="A5218" s="1" t="s">
        <v>481</v>
      </c>
      <c r="B5218" s="1" t="s">
        <v>911</v>
      </c>
      <c r="C5218" s="1" t="s">
        <v>24</v>
      </c>
      <c r="D5218" s="3">
        <f t="shared" si="755"/>
        <v>8176</v>
      </c>
      <c r="E5218" s="2">
        <f t="shared" si="756"/>
        <v>43040</v>
      </c>
      <c r="F5218" s="2">
        <f t="shared" si="757"/>
        <v>44135</v>
      </c>
    </row>
    <row r="5219" spans="1:6" x14ac:dyDescent="0.25">
      <c r="A5219" s="1" t="s">
        <v>481</v>
      </c>
      <c r="B5219" s="1" t="s">
        <v>911</v>
      </c>
      <c r="C5219" s="1" t="s">
        <v>70</v>
      </c>
      <c r="D5219" s="3">
        <f t="shared" si="755"/>
        <v>8176</v>
      </c>
      <c r="E5219" s="2">
        <f t="shared" si="756"/>
        <v>43040</v>
      </c>
      <c r="F5219" s="2">
        <f t="shared" si="757"/>
        <v>44135</v>
      </c>
    </row>
    <row r="5220" spans="1:6" x14ac:dyDescent="0.25">
      <c r="A5220" s="1" t="s">
        <v>481</v>
      </c>
      <c r="B5220" s="1" t="s">
        <v>911</v>
      </c>
      <c r="C5220" s="1" t="s">
        <v>72</v>
      </c>
      <c r="D5220" s="3">
        <f t="shared" si="755"/>
        <v>8176</v>
      </c>
      <c r="E5220" s="2">
        <f t="shared" si="756"/>
        <v>43040</v>
      </c>
      <c r="F5220" s="2">
        <f t="shared" si="757"/>
        <v>44135</v>
      </c>
    </row>
    <row r="5221" spans="1:6" x14ac:dyDescent="0.25">
      <c r="A5221" s="1" t="s">
        <v>481</v>
      </c>
      <c r="B5221" s="1" t="s">
        <v>911</v>
      </c>
      <c r="C5221" s="1" t="s">
        <v>52</v>
      </c>
      <c r="D5221" s="3">
        <f t="shared" si="755"/>
        <v>8176</v>
      </c>
      <c r="E5221" s="2">
        <f t="shared" si="756"/>
        <v>43040</v>
      </c>
      <c r="F5221" s="2">
        <f t="shared" si="757"/>
        <v>44135</v>
      </c>
    </row>
    <row r="5222" spans="1:6" x14ac:dyDescent="0.25">
      <c r="A5222" s="1" t="s">
        <v>481</v>
      </c>
      <c r="B5222" s="1" t="s">
        <v>911</v>
      </c>
      <c r="C5222" s="1" t="s">
        <v>34</v>
      </c>
      <c r="D5222" s="3">
        <f t="shared" si="755"/>
        <v>8176</v>
      </c>
      <c r="E5222" s="2">
        <f t="shared" si="756"/>
        <v>43040</v>
      </c>
      <c r="F5222" s="2">
        <f t="shared" si="757"/>
        <v>44135</v>
      </c>
    </row>
    <row r="5223" spans="1:6" x14ac:dyDescent="0.25">
      <c r="A5223" s="1" t="s">
        <v>481</v>
      </c>
      <c r="B5223" s="1" t="s">
        <v>911</v>
      </c>
      <c r="C5223" s="1" t="s">
        <v>56</v>
      </c>
      <c r="D5223" s="3">
        <f t="shared" si="755"/>
        <v>8176</v>
      </c>
      <c r="E5223" s="2">
        <f t="shared" si="756"/>
        <v>43040</v>
      </c>
      <c r="F5223" s="2">
        <f t="shared" si="757"/>
        <v>44135</v>
      </c>
    </row>
    <row r="5224" spans="1:6" x14ac:dyDescent="0.25">
      <c r="A5224" s="1" t="s">
        <v>481</v>
      </c>
      <c r="B5224" s="1" t="s">
        <v>911</v>
      </c>
      <c r="C5224" s="1" t="s">
        <v>173</v>
      </c>
      <c r="D5224" s="3">
        <f t="shared" si="755"/>
        <v>8176</v>
      </c>
      <c r="E5224" s="2">
        <f t="shared" si="756"/>
        <v>43040</v>
      </c>
      <c r="F5224" s="2">
        <f t="shared" si="757"/>
        <v>44135</v>
      </c>
    </row>
    <row r="5225" spans="1:6" x14ac:dyDescent="0.25">
      <c r="A5225" s="1" t="s">
        <v>481</v>
      </c>
      <c r="B5225" s="1" t="s">
        <v>911</v>
      </c>
      <c r="C5225" s="1" t="s">
        <v>36</v>
      </c>
      <c r="D5225" s="3">
        <f t="shared" si="755"/>
        <v>8176</v>
      </c>
      <c r="E5225" s="2">
        <f t="shared" si="756"/>
        <v>43040</v>
      </c>
      <c r="F5225" s="2">
        <f t="shared" si="757"/>
        <v>44135</v>
      </c>
    </row>
    <row r="5226" spans="1:6" x14ac:dyDescent="0.25">
      <c r="A5226" s="1" t="s">
        <v>481</v>
      </c>
      <c r="B5226" s="1" t="s">
        <v>496</v>
      </c>
      <c r="C5226" s="1" t="s">
        <v>6</v>
      </c>
      <c r="D5226" s="3">
        <f t="shared" ref="D5226:D5257" si="758">VALUE("7682")</f>
        <v>7682</v>
      </c>
      <c r="E5226" s="2">
        <f t="shared" ref="E5226:E5257" si="759">DATEVALUE("1-11-2014")</f>
        <v>41944</v>
      </c>
      <c r="F5226" s="2">
        <f t="shared" ref="F5226:F5257" si="760">DATEVALUE("31-10-2024")</f>
        <v>45596</v>
      </c>
    </row>
    <row r="5227" spans="1:6" x14ac:dyDescent="0.25">
      <c r="A5227" s="1" t="s">
        <v>481</v>
      </c>
      <c r="B5227" s="1" t="s">
        <v>496</v>
      </c>
      <c r="C5227" s="1" t="s">
        <v>39</v>
      </c>
      <c r="D5227" s="3">
        <f t="shared" si="758"/>
        <v>7682</v>
      </c>
      <c r="E5227" s="2">
        <f t="shared" si="759"/>
        <v>41944</v>
      </c>
      <c r="F5227" s="2">
        <f t="shared" si="760"/>
        <v>45596</v>
      </c>
    </row>
    <row r="5228" spans="1:6" x14ac:dyDescent="0.25">
      <c r="A5228" s="1" t="s">
        <v>481</v>
      </c>
      <c r="B5228" s="1" t="s">
        <v>496</v>
      </c>
      <c r="C5228" s="1" t="s">
        <v>41</v>
      </c>
      <c r="D5228" s="3">
        <f t="shared" si="758"/>
        <v>7682</v>
      </c>
      <c r="E5228" s="2">
        <f t="shared" si="759"/>
        <v>41944</v>
      </c>
      <c r="F5228" s="2">
        <f t="shared" si="760"/>
        <v>45596</v>
      </c>
    </row>
    <row r="5229" spans="1:6" x14ac:dyDescent="0.25">
      <c r="A5229" s="1" t="s">
        <v>481</v>
      </c>
      <c r="B5229" s="1" t="s">
        <v>496</v>
      </c>
      <c r="C5229" s="1" t="s">
        <v>10</v>
      </c>
      <c r="D5229" s="3">
        <f t="shared" si="758"/>
        <v>7682</v>
      </c>
      <c r="E5229" s="2">
        <f t="shared" si="759"/>
        <v>41944</v>
      </c>
      <c r="F5229" s="2">
        <f t="shared" si="760"/>
        <v>45596</v>
      </c>
    </row>
    <row r="5230" spans="1:6" x14ac:dyDescent="0.25">
      <c r="A5230" s="1" t="s">
        <v>481</v>
      </c>
      <c r="B5230" s="1" t="s">
        <v>496</v>
      </c>
      <c r="C5230" s="1" t="s">
        <v>61</v>
      </c>
      <c r="D5230" s="3">
        <f t="shared" si="758"/>
        <v>7682</v>
      </c>
      <c r="E5230" s="2">
        <f t="shared" si="759"/>
        <v>41944</v>
      </c>
      <c r="F5230" s="2">
        <f t="shared" si="760"/>
        <v>45596</v>
      </c>
    </row>
    <row r="5231" spans="1:6" x14ac:dyDescent="0.25">
      <c r="A5231" s="1" t="s">
        <v>481</v>
      </c>
      <c r="B5231" s="1" t="s">
        <v>496</v>
      </c>
      <c r="C5231" s="1" t="s">
        <v>43</v>
      </c>
      <c r="D5231" s="3">
        <f t="shared" si="758"/>
        <v>7682</v>
      </c>
      <c r="E5231" s="2">
        <f t="shared" si="759"/>
        <v>41944</v>
      </c>
      <c r="F5231" s="2">
        <f t="shared" si="760"/>
        <v>45596</v>
      </c>
    </row>
    <row r="5232" spans="1:6" x14ac:dyDescent="0.25">
      <c r="A5232" s="1" t="s">
        <v>481</v>
      </c>
      <c r="B5232" s="1" t="s">
        <v>496</v>
      </c>
      <c r="C5232" s="1" t="s">
        <v>484</v>
      </c>
      <c r="D5232" s="3">
        <f t="shared" si="758"/>
        <v>7682</v>
      </c>
      <c r="E5232" s="2">
        <f t="shared" si="759"/>
        <v>41944</v>
      </c>
      <c r="F5232" s="2">
        <f t="shared" si="760"/>
        <v>45596</v>
      </c>
    </row>
    <row r="5233" spans="1:6" x14ac:dyDescent="0.25">
      <c r="A5233" s="1" t="s">
        <v>481</v>
      </c>
      <c r="B5233" s="1" t="s">
        <v>496</v>
      </c>
      <c r="C5233" s="1" t="s">
        <v>346</v>
      </c>
      <c r="D5233" s="3">
        <f t="shared" si="758"/>
        <v>7682</v>
      </c>
      <c r="E5233" s="2">
        <f t="shared" si="759"/>
        <v>41944</v>
      </c>
      <c r="F5233" s="2">
        <f t="shared" si="760"/>
        <v>45596</v>
      </c>
    </row>
    <row r="5234" spans="1:6" x14ac:dyDescent="0.25">
      <c r="A5234" s="1" t="s">
        <v>481</v>
      </c>
      <c r="B5234" s="1" t="s">
        <v>496</v>
      </c>
      <c r="C5234" s="1" t="s">
        <v>485</v>
      </c>
      <c r="D5234" s="3">
        <f t="shared" si="758"/>
        <v>7682</v>
      </c>
      <c r="E5234" s="2">
        <f t="shared" si="759"/>
        <v>41944</v>
      </c>
      <c r="F5234" s="2">
        <f t="shared" si="760"/>
        <v>45596</v>
      </c>
    </row>
    <row r="5235" spans="1:6" x14ac:dyDescent="0.25">
      <c r="A5235" s="1" t="s">
        <v>481</v>
      </c>
      <c r="B5235" s="1" t="s">
        <v>496</v>
      </c>
      <c r="C5235" s="1" t="s">
        <v>375</v>
      </c>
      <c r="D5235" s="3">
        <f t="shared" si="758"/>
        <v>7682</v>
      </c>
      <c r="E5235" s="2">
        <f t="shared" si="759"/>
        <v>41944</v>
      </c>
      <c r="F5235" s="2">
        <f t="shared" si="760"/>
        <v>45596</v>
      </c>
    </row>
    <row r="5236" spans="1:6" x14ac:dyDescent="0.25">
      <c r="A5236" s="1" t="s">
        <v>481</v>
      </c>
      <c r="B5236" s="1" t="s">
        <v>496</v>
      </c>
      <c r="C5236" s="1" t="s">
        <v>62</v>
      </c>
      <c r="D5236" s="3">
        <f t="shared" si="758"/>
        <v>7682</v>
      </c>
      <c r="E5236" s="2">
        <f t="shared" si="759"/>
        <v>41944</v>
      </c>
      <c r="F5236" s="2">
        <f t="shared" si="760"/>
        <v>45596</v>
      </c>
    </row>
    <row r="5237" spans="1:6" x14ac:dyDescent="0.25">
      <c r="A5237" s="1" t="s">
        <v>481</v>
      </c>
      <c r="B5237" s="1" t="s">
        <v>496</v>
      </c>
      <c r="C5237" s="1" t="s">
        <v>63</v>
      </c>
      <c r="D5237" s="3">
        <f t="shared" si="758"/>
        <v>7682</v>
      </c>
      <c r="E5237" s="2">
        <f t="shared" si="759"/>
        <v>41944</v>
      </c>
      <c r="F5237" s="2">
        <f t="shared" si="760"/>
        <v>45596</v>
      </c>
    </row>
    <row r="5238" spans="1:6" x14ac:dyDescent="0.25">
      <c r="A5238" s="1" t="s">
        <v>481</v>
      </c>
      <c r="B5238" s="1" t="s">
        <v>496</v>
      </c>
      <c r="C5238" s="1" t="s">
        <v>45</v>
      </c>
      <c r="D5238" s="3">
        <f t="shared" si="758"/>
        <v>7682</v>
      </c>
      <c r="E5238" s="2">
        <f t="shared" si="759"/>
        <v>41944</v>
      </c>
      <c r="F5238" s="2">
        <f t="shared" si="760"/>
        <v>45596</v>
      </c>
    </row>
    <row r="5239" spans="1:6" x14ac:dyDescent="0.25">
      <c r="A5239" s="1" t="s">
        <v>481</v>
      </c>
      <c r="B5239" s="1" t="s">
        <v>496</v>
      </c>
      <c r="C5239" s="1" t="s">
        <v>44</v>
      </c>
      <c r="D5239" s="3">
        <f t="shared" si="758"/>
        <v>7682</v>
      </c>
      <c r="E5239" s="2">
        <f t="shared" si="759"/>
        <v>41944</v>
      </c>
      <c r="F5239" s="2">
        <f t="shared" si="760"/>
        <v>45596</v>
      </c>
    </row>
    <row r="5240" spans="1:6" x14ac:dyDescent="0.25">
      <c r="A5240" s="1" t="s">
        <v>481</v>
      </c>
      <c r="B5240" s="1" t="s">
        <v>496</v>
      </c>
      <c r="C5240" s="1" t="s">
        <v>65</v>
      </c>
      <c r="D5240" s="3">
        <f t="shared" si="758"/>
        <v>7682</v>
      </c>
      <c r="E5240" s="2">
        <f t="shared" si="759"/>
        <v>41944</v>
      </c>
      <c r="F5240" s="2">
        <f t="shared" si="760"/>
        <v>45596</v>
      </c>
    </row>
    <row r="5241" spans="1:6" x14ac:dyDescent="0.25">
      <c r="A5241" s="1" t="s">
        <v>481</v>
      </c>
      <c r="B5241" s="1" t="s">
        <v>496</v>
      </c>
      <c r="C5241" s="1" t="s">
        <v>14</v>
      </c>
      <c r="D5241" s="3">
        <f t="shared" si="758"/>
        <v>7682</v>
      </c>
      <c r="E5241" s="2">
        <f t="shared" si="759"/>
        <v>41944</v>
      </c>
      <c r="F5241" s="2">
        <f t="shared" si="760"/>
        <v>45596</v>
      </c>
    </row>
    <row r="5242" spans="1:6" x14ac:dyDescent="0.25">
      <c r="A5242" s="1" t="s">
        <v>481</v>
      </c>
      <c r="B5242" s="1" t="s">
        <v>496</v>
      </c>
      <c r="C5242" s="1" t="s">
        <v>15</v>
      </c>
      <c r="D5242" s="3">
        <f t="shared" si="758"/>
        <v>7682</v>
      </c>
      <c r="E5242" s="2">
        <f t="shared" si="759"/>
        <v>41944</v>
      </c>
      <c r="F5242" s="2">
        <f t="shared" si="760"/>
        <v>45596</v>
      </c>
    </row>
    <row r="5243" spans="1:6" x14ac:dyDescent="0.25">
      <c r="A5243" s="1" t="s">
        <v>481</v>
      </c>
      <c r="B5243" s="1" t="s">
        <v>496</v>
      </c>
      <c r="C5243" s="1" t="s">
        <v>88</v>
      </c>
      <c r="D5243" s="3">
        <f t="shared" si="758"/>
        <v>7682</v>
      </c>
      <c r="E5243" s="2">
        <f t="shared" si="759"/>
        <v>41944</v>
      </c>
      <c r="F5243" s="2">
        <f t="shared" si="760"/>
        <v>45596</v>
      </c>
    </row>
    <row r="5244" spans="1:6" x14ac:dyDescent="0.25">
      <c r="A5244" s="1" t="s">
        <v>481</v>
      </c>
      <c r="B5244" s="1" t="s">
        <v>496</v>
      </c>
      <c r="C5244" s="1" t="s">
        <v>17</v>
      </c>
      <c r="D5244" s="3">
        <f t="shared" si="758"/>
        <v>7682</v>
      </c>
      <c r="E5244" s="2">
        <f t="shared" si="759"/>
        <v>41944</v>
      </c>
      <c r="F5244" s="2">
        <f t="shared" si="760"/>
        <v>45596</v>
      </c>
    </row>
    <row r="5245" spans="1:6" x14ac:dyDescent="0.25">
      <c r="A5245" s="1" t="s">
        <v>481</v>
      </c>
      <c r="B5245" s="1" t="s">
        <v>496</v>
      </c>
      <c r="C5245" s="1" t="s">
        <v>127</v>
      </c>
      <c r="D5245" s="3">
        <f t="shared" si="758"/>
        <v>7682</v>
      </c>
      <c r="E5245" s="2">
        <f t="shared" si="759"/>
        <v>41944</v>
      </c>
      <c r="F5245" s="2">
        <f t="shared" si="760"/>
        <v>45596</v>
      </c>
    </row>
    <row r="5246" spans="1:6" x14ac:dyDescent="0.25">
      <c r="A5246" s="1" t="s">
        <v>481</v>
      </c>
      <c r="B5246" s="1" t="s">
        <v>496</v>
      </c>
      <c r="C5246" s="1" t="s">
        <v>167</v>
      </c>
      <c r="D5246" s="3">
        <f t="shared" si="758"/>
        <v>7682</v>
      </c>
      <c r="E5246" s="2">
        <f t="shared" si="759"/>
        <v>41944</v>
      </c>
      <c r="F5246" s="2">
        <f t="shared" si="760"/>
        <v>45596</v>
      </c>
    </row>
    <row r="5247" spans="1:6" x14ac:dyDescent="0.25">
      <c r="A5247" s="1" t="s">
        <v>481</v>
      </c>
      <c r="B5247" s="1" t="s">
        <v>496</v>
      </c>
      <c r="C5247" s="1" t="s">
        <v>168</v>
      </c>
      <c r="D5247" s="3">
        <f t="shared" si="758"/>
        <v>7682</v>
      </c>
      <c r="E5247" s="2">
        <f t="shared" si="759"/>
        <v>41944</v>
      </c>
      <c r="F5247" s="2">
        <f t="shared" si="760"/>
        <v>45596</v>
      </c>
    </row>
    <row r="5248" spans="1:6" x14ac:dyDescent="0.25">
      <c r="A5248" s="1" t="s">
        <v>481</v>
      </c>
      <c r="B5248" s="1" t="s">
        <v>496</v>
      </c>
      <c r="C5248" s="1" t="s">
        <v>488</v>
      </c>
      <c r="D5248" s="3">
        <f t="shared" si="758"/>
        <v>7682</v>
      </c>
      <c r="E5248" s="2">
        <f t="shared" si="759"/>
        <v>41944</v>
      </c>
      <c r="F5248" s="2">
        <f t="shared" si="760"/>
        <v>45596</v>
      </c>
    </row>
    <row r="5249" spans="1:6" x14ac:dyDescent="0.25">
      <c r="A5249" s="1" t="s">
        <v>481</v>
      </c>
      <c r="B5249" s="1" t="s">
        <v>496</v>
      </c>
      <c r="C5249" s="1" t="s">
        <v>19</v>
      </c>
      <c r="D5249" s="3">
        <f t="shared" si="758"/>
        <v>7682</v>
      </c>
      <c r="E5249" s="2">
        <f t="shared" si="759"/>
        <v>41944</v>
      </c>
      <c r="F5249" s="2">
        <f t="shared" si="760"/>
        <v>45596</v>
      </c>
    </row>
    <row r="5250" spans="1:6" x14ac:dyDescent="0.25">
      <c r="A5250" s="1" t="s">
        <v>481</v>
      </c>
      <c r="B5250" s="1" t="s">
        <v>496</v>
      </c>
      <c r="C5250" s="1" t="s">
        <v>20</v>
      </c>
      <c r="D5250" s="3">
        <f t="shared" si="758"/>
        <v>7682</v>
      </c>
      <c r="E5250" s="2">
        <f t="shared" si="759"/>
        <v>41944</v>
      </c>
      <c r="F5250" s="2">
        <f t="shared" si="760"/>
        <v>45596</v>
      </c>
    </row>
    <row r="5251" spans="1:6" x14ac:dyDescent="0.25">
      <c r="A5251" s="1" t="s">
        <v>481</v>
      </c>
      <c r="B5251" s="1" t="s">
        <v>496</v>
      </c>
      <c r="C5251" s="1" t="s">
        <v>21</v>
      </c>
      <c r="D5251" s="3">
        <f t="shared" si="758"/>
        <v>7682</v>
      </c>
      <c r="E5251" s="2">
        <f t="shared" si="759"/>
        <v>41944</v>
      </c>
      <c r="F5251" s="2">
        <f t="shared" si="760"/>
        <v>45596</v>
      </c>
    </row>
    <row r="5252" spans="1:6" x14ac:dyDescent="0.25">
      <c r="A5252" s="1" t="s">
        <v>481</v>
      </c>
      <c r="B5252" s="1" t="s">
        <v>496</v>
      </c>
      <c r="C5252" s="1" t="s">
        <v>47</v>
      </c>
      <c r="D5252" s="3">
        <f t="shared" si="758"/>
        <v>7682</v>
      </c>
      <c r="E5252" s="2">
        <f t="shared" si="759"/>
        <v>41944</v>
      </c>
      <c r="F5252" s="2">
        <f t="shared" si="760"/>
        <v>45596</v>
      </c>
    </row>
    <row r="5253" spans="1:6" x14ac:dyDescent="0.25">
      <c r="A5253" s="1" t="s">
        <v>481</v>
      </c>
      <c r="B5253" s="1" t="s">
        <v>496</v>
      </c>
      <c r="C5253" s="1" t="s">
        <v>291</v>
      </c>
      <c r="D5253" s="3">
        <f t="shared" si="758"/>
        <v>7682</v>
      </c>
      <c r="E5253" s="2">
        <f t="shared" si="759"/>
        <v>41944</v>
      </c>
      <c r="F5253" s="2">
        <f t="shared" si="760"/>
        <v>45596</v>
      </c>
    </row>
    <row r="5254" spans="1:6" x14ac:dyDescent="0.25">
      <c r="A5254" s="1" t="s">
        <v>481</v>
      </c>
      <c r="B5254" s="1" t="s">
        <v>496</v>
      </c>
      <c r="C5254" s="1" t="s">
        <v>417</v>
      </c>
      <c r="D5254" s="3">
        <f t="shared" si="758"/>
        <v>7682</v>
      </c>
      <c r="E5254" s="2">
        <f t="shared" si="759"/>
        <v>41944</v>
      </c>
      <c r="F5254" s="2">
        <f t="shared" si="760"/>
        <v>45596</v>
      </c>
    </row>
    <row r="5255" spans="1:6" x14ac:dyDescent="0.25">
      <c r="A5255" s="1" t="s">
        <v>481</v>
      </c>
      <c r="B5255" s="1" t="s">
        <v>496</v>
      </c>
      <c r="C5255" s="1" t="s">
        <v>144</v>
      </c>
      <c r="D5255" s="3">
        <f t="shared" si="758"/>
        <v>7682</v>
      </c>
      <c r="E5255" s="2">
        <f t="shared" si="759"/>
        <v>41944</v>
      </c>
      <c r="F5255" s="2">
        <f t="shared" si="760"/>
        <v>45596</v>
      </c>
    </row>
    <row r="5256" spans="1:6" x14ac:dyDescent="0.25">
      <c r="A5256" s="1" t="s">
        <v>481</v>
      </c>
      <c r="B5256" s="1" t="s">
        <v>496</v>
      </c>
      <c r="C5256" s="1" t="s">
        <v>22</v>
      </c>
      <c r="D5256" s="3">
        <f t="shared" si="758"/>
        <v>7682</v>
      </c>
      <c r="E5256" s="2">
        <f t="shared" si="759"/>
        <v>41944</v>
      </c>
      <c r="F5256" s="2">
        <f t="shared" si="760"/>
        <v>45596</v>
      </c>
    </row>
    <row r="5257" spans="1:6" x14ac:dyDescent="0.25">
      <c r="A5257" s="1" t="s">
        <v>481</v>
      </c>
      <c r="B5257" s="1" t="s">
        <v>496</v>
      </c>
      <c r="C5257" s="1" t="s">
        <v>258</v>
      </c>
      <c r="D5257" s="3">
        <f t="shared" si="758"/>
        <v>7682</v>
      </c>
      <c r="E5257" s="2">
        <f t="shared" si="759"/>
        <v>41944</v>
      </c>
      <c r="F5257" s="2">
        <f t="shared" si="760"/>
        <v>45596</v>
      </c>
    </row>
    <row r="5258" spans="1:6" x14ac:dyDescent="0.25">
      <c r="A5258" s="1" t="s">
        <v>481</v>
      </c>
      <c r="B5258" s="1" t="s">
        <v>496</v>
      </c>
      <c r="C5258" s="1" t="s">
        <v>146</v>
      </c>
      <c r="D5258" s="3">
        <f t="shared" ref="D5258:D5289" si="761">VALUE("7682")</f>
        <v>7682</v>
      </c>
      <c r="E5258" s="2">
        <f t="shared" ref="E5258:E5289" si="762">DATEVALUE("1-11-2014")</f>
        <v>41944</v>
      </c>
      <c r="F5258" s="2">
        <f t="shared" ref="F5258:F5289" si="763">DATEVALUE("31-10-2024")</f>
        <v>45596</v>
      </c>
    </row>
    <row r="5259" spans="1:6" x14ac:dyDescent="0.25">
      <c r="A5259" s="1" t="s">
        <v>481</v>
      </c>
      <c r="B5259" s="1" t="s">
        <v>496</v>
      </c>
      <c r="C5259" s="1" t="s">
        <v>67</v>
      </c>
      <c r="D5259" s="3">
        <f t="shared" si="761"/>
        <v>7682</v>
      </c>
      <c r="E5259" s="2">
        <f t="shared" si="762"/>
        <v>41944</v>
      </c>
      <c r="F5259" s="2">
        <f t="shared" si="763"/>
        <v>45596</v>
      </c>
    </row>
    <row r="5260" spans="1:6" x14ac:dyDescent="0.25">
      <c r="A5260" s="1" t="s">
        <v>481</v>
      </c>
      <c r="B5260" s="1" t="s">
        <v>496</v>
      </c>
      <c r="C5260" s="1" t="s">
        <v>259</v>
      </c>
      <c r="D5260" s="3">
        <f t="shared" si="761"/>
        <v>7682</v>
      </c>
      <c r="E5260" s="2">
        <f t="shared" si="762"/>
        <v>41944</v>
      </c>
      <c r="F5260" s="2">
        <f t="shared" si="763"/>
        <v>45596</v>
      </c>
    </row>
    <row r="5261" spans="1:6" x14ac:dyDescent="0.25">
      <c r="A5261" s="1" t="s">
        <v>481</v>
      </c>
      <c r="B5261" s="1" t="s">
        <v>496</v>
      </c>
      <c r="C5261" s="1" t="s">
        <v>384</v>
      </c>
      <c r="D5261" s="3">
        <f t="shared" si="761"/>
        <v>7682</v>
      </c>
      <c r="E5261" s="2">
        <f t="shared" si="762"/>
        <v>41944</v>
      </c>
      <c r="F5261" s="2">
        <f t="shared" si="763"/>
        <v>45596</v>
      </c>
    </row>
    <row r="5262" spans="1:6" x14ac:dyDescent="0.25">
      <c r="A5262" s="1" t="s">
        <v>481</v>
      </c>
      <c r="B5262" s="1" t="s">
        <v>496</v>
      </c>
      <c r="C5262" s="1" t="s">
        <v>386</v>
      </c>
      <c r="D5262" s="3">
        <f t="shared" si="761"/>
        <v>7682</v>
      </c>
      <c r="E5262" s="2">
        <f t="shared" si="762"/>
        <v>41944</v>
      </c>
      <c r="F5262" s="2">
        <f t="shared" si="763"/>
        <v>45596</v>
      </c>
    </row>
    <row r="5263" spans="1:6" x14ac:dyDescent="0.25">
      <c r="A5263" s="1" t="s">
        <v>481</v>
      </c>
      <c r="B5263" s="1" t="s">
        <v>496</v>
      </c>
      <c r="C5263" s="1" t="s">
        <v>387</v>
      </c>
      <c r="D5263" s="3">
        <f t="shared" si="761"/>
        <v>7682</v>
      </c>
      <c r="E5263" s="2">
        <f t="shared" si="762"/>
        <v>41944</v>
      </c>
      <c r="F5263" s="2">
        <f t="shared" si="763"/>
        <v>45596</v>
      </c>
    </row>
    <row r="5264" spans="1:6" x14ac:dyDescent="0.25">
      <c r="A5264" s="1" t="s">
        <v>481</v>
      </c>
      <c r="B5264" s="1" t="s">
        <v>496</v>
      </c>
      <c r="C5264" s="1" t="s">
        <v>388</v>
      </c>
      <c r="D5264" s="3">
        <f t="shared" si="761"/>
        <v>7682</v>
      </c>
      <c r="E5264" s="2">
        <f t="shared" si="762"/>
        <v>41944</v>
      </c>
      <c r="F5264" s="2">
        <f t="shared" si="763"/>
        <v>45596</v>
      </c>
    </row>
    <row r="5265" spans="1:6" x14ac:dyDescent="0.25">
      <c r="A5265" s="1" t="s">
        <v>481</v>
      </c>
      <c r="B5265" s="1" t="s">
        <v>496</v>
      </c>
      <c r="C5265" s="1" t="s">
        <v>472</v>
      </c>
      <c r="D5265" s="3">
        <f t="shared" si="761"/>
        <v>7682</v>
      </c>
      <c r="E5265" s="2">
        <f t="shared" si="762"/>
        <v>41944</v>
      </c>
      <c r="F5265" s="2">
        <f t="shared" si="763"/>
        <v>45596</v>
      </c>
    </row>
    <row r="5266" spans="1:6" x14ac:dyDescent="0.25">
      <c r="A5266" s="1" t="s">
        <v>481</v>
      </c>
      <c r="B5266" s="1" t="s">
        <v>496</v>
      </c>
      <c r="C5266" s="1" t="s">
        <v>92</v>
      </c>
      <c r="D5266" s="3">
        <f t="shared" si="761"/>
        <v>7682</v>
      </c>
      <c r="E5266" s="2">
        <f t="shared" si="762"/>
        <v>41944</v>
      </c>
      <c r="F5266" s="2">
        <f t="shared" si="763"/>
        <v>45596</v>
      </c>
    </row>
    <row r="5267" spans="1:6" x14ac:dyDescent="0.25">
      <c r="A5267" s="1" t="s">
        <v>481</v>
      </c>
      <c r="B5267" s="1" t="s">
        <v>496</v>
      </c>
      <c r="C5267" s="1" t="s">
        <v>94</v>
      </c>
      <c r="D5267" s="3">
        <f t="shared" si="761"/>
        <v>7682</v>
      </c>
      <c r="E5267" s="2">
        <f t="shared" si="762"/>
        <v>41944</v>
      </c>
      <c r="F5267" s="2">
        <f t="shared" si="763"/>
        <v>45596</v>
      </c>
    </row>
    <row r="5268" spans="1:6" x14ac:dyDescent="0.25">
      <c r="A5268" s="1" t="s">
        <v>481</v>
      </c>
      <c r="B5268" s="1" t="s">
        <v>496</v>
      </c>
      <c r="C5268" s="1" t="s">
        <v>69</v>
      </c>
      <c r="D5268" s="3">
        <f t="shared" si="761"/>
        <v>7682</v>
      </c>
      <c r="E5268" s="2">
        <f t="shared" si="762"/>
        <v>41944</v>
      </c>
      <c r="F5268" s="2">
        <f t="shared" si="763"/>
        <v>45596</v>
      </c>
    </row>
    <row r="5269" spans="1:6" x14ac:dyDescent="0.25">
      <c r="A5269" s="1" t="s">
        <v>481</v>
      </c>
      <c r="B5269" s="1" t="s">
        <v>496</v>
      </c>
      <c r="C5269" s="1" t="s">
        <v>24</v>
      </c>
      <c r="D5269" s="3">
        <f t="shared" si="761"/>
        <v>7682</v>
      </c>
      <c r="E5269" s="2">
        <f t="shared" si="762"/>
        <v>41944</v>
      </c>
      <c r="F5269" s="2">
        <f t="shared" si="763"/>
        <v>45596</v>
      </c>
    </row>
    <row r="5270" spans="1:6" x14ac:dyDescent="0.25">
      <c r="A5270" s="1" t="s">
        <v>481</v>
      </c>
      <c r="B5270" s="1" t="s">
        <v>496</v>
      </c>
      <c r="C5270" s="1" t="s">
        <v>50</v>
      </c>
      <c r="D5270" s="3">
        <f t="shared" si="761"/>
        <v>7682</v>
      </c>
      <c r="E5270" s="2">
        <f t="shared" si="762"/>
        <v>41944</v>
      </c>
      <c r="F5270" s="2">
        <f t="shared" si="763"/>
        <v>45596</v>
      </c>
    </row>
    <row r="5271" spans="1:6" x14ac:dyDescent="0.25">
      <c r="A5271" s="1" t="s">
        <v>481</v>
      </c>
      <c r="B5271" s="1" t="s">
        <v>496</v>
      </c>
      <c r="C5271" s="1" t="s">
        <v>70</v>
      </c>
      <c r="D5271" s="3">
        <f t="shared" si="761"/>
        <v>7682</v>
      </c>
      <c r="E5271" s="2">
        <f t="shared" si="762"/>
        <v>41944</v>
      </c>
      <c r="F5271" s="2">
        <f t="shared" si="763"/>
        <v>45596</v>
      </c>
    </row>
    <row r="5272" spans="1:6" x14ac:dyDescent="0.25">
      <c r="A5272" s="1" t="s">
        <v>481</v>
      </c>
      <c r="B5272" s="1" t="s">
        <v>496</v>
      </c>
      <c r="C5272" s="1" t="s">
        <v>26</v>
      </c>
      <c r="D5272" s="3">
        <f t="shared" si="761"/>
        <v>7682</v>
      </c>
      <c r="E5272" s="2">
        <f t="shared" si="762"/>
        <v>41944</v>
      </c>
      <c r="F5272" s="2">
        <f t="shared" si="763"/>
        <v>45596</v>
      </c>
    </row>
    <row r="5273" spans="1:6" x14ac:dyDescent="0.25">
      <c r="A5273" s="1" t="s">
        <v>481</v>
      </c>
      <c r="B5273" s="1" t="s">
        <v>496</v>
      </c>
      <c r="C5273" s="1" t="s">
        <v>260</v>
      </c>
      <c r="D5273" s="3">
        <f t="shared" si="761"/>
        <v>7682</v>
      </c>
      <c r="E5273" s="2">
        <f t="shared" si="762"/>
        <v>41944</v>
      </c>
      <c r="F5273" s="2">
        <f t="shared" si="763"/>
        <v>45596</v>
      </c>
    </row>
    <row r="5274" spans="1:6" x14ac:dyDescent="0.25">
      <c r="A5274" s="1" t="s">
        <v>481</v>
      </c>
      <c r="B5274" s="1" t="s">
        <v>496</v>
      </c>
      <c r="C5274" s="1" t="s">
        <v>261</v>
      </c>
      <c r="D5274" s="3">
        <f t="shared" si="761"/>
        <v>7682</v>
      </c>
      <c r="E5274" s="2">
        <f t="shared" si="762"/>
        <v>41944</v>
      </c>
      <c r="F5274" s="2">
        <f t="shared" si="763"/>
        <v>45596</v>
      </c>
    </row>
    <row r="5275" spans="1:6" x14ac:dyDescent="0.25">
      <c r="A5275" s="1" t="s">
        <v>481</v>
      </c>
      <c r="B5275" s="1" t="s">
        <v>496</v>
      </c>
      <c r="C5275" s="1" t="s">
        <v>27</v>
      </c>
      <c r="D5275" s="3">
        <f t="shared" si="761"/>
        <v>7682</v>
      </c>
      <c r="E5275" s="2">
        <f t="shared" si="762"/>
        <v>41944</v>
      </c>
      <c r="F5275" s="2">
        <f t="shared" si="763"/>
        <v>45596</v>
      </c>
    </row>
    <row r="5276" spans="1:6" x14ac:dyDescent="0.25">
      <c r="A5276" s="1" t="s">
        <v>481</v>
      </c>
      <c r="B5276" s="1" t="s">
        <v>496</v>
      </c>
      <c r="C5276" s="1" t="s">
        <v>262</v>
      </c>
      <c r="D5276" s="3">
        <f t="shared" si="761"/>
        <v>7682</v>
      </c>
      <c r="E5276" s="2">
        <f t="shared" si="762"/>
        <v>41944</v>
      </c>
      <c r="F5276" s="2">
        <f t="shared" si="763"/>
        <v>45596</v>
      </c>
    </row>
    <row r="5277" spans="1:6" x14ac:dyDescent="0.25">
      <c r="A5277" s="1" t="s">
        <v>481</v>
      </c>
      <c r="B5277" s="1" t="s">
        <v>496</v>
      </c>
      <c r="C5277" s="1" t="s">
        <v>457</v>
      </c>
      <c r="D5277" s="3">
        <f t="shared" si="761"/>
        <v>7682</v>
      </c>
      <c r="E5277" s="2">
        <f t="shared" si="762"/>
        <v>41944</v>
      </c>
      <c r="F5277" s="2">
        <f t="shared" si="763"/>
        <v>45596</v>
      </c>
    </row>
    <row r="5278" spans="1:6" x14ac:dyDescent="0.25">
      <c r="A5278" s="1" t="s">
        <v>481</v>
      </c>
      <c r="B5278" s="1" t="s">
        <v>496</v>
      </c>
      <c r="C5278" s="1" t="s">
        <v>51</v>
      </c>
      <c r="D5278" s="3">
        <f t="shared" si="761"/>
        <v>7682</v>
      </c>
      <c r="E5278" s="2">
        <f t="shared" si="762"/>
        <v>41944</v>
      </c>
      <c r="F5278" s="2">
        <f t="shared" si="763"/>
        <v>45596</v>
      </c>
    </row>
    <row r="5279" spans="1:6" x14ac:dyDescent="0.25">
      <c r="A5279" s="1" t="s">
        <v>481</v>
      </c>
      <c r="B5279" s="1" t="s">
        <v>496</v>
      </c>
      <c r="C5279" s="1" t="s">
        <v>73</v>
      </c>
      <c r="D5279" s="3">
        <f t="shared" si="761"/>
        <v>7682</v>
      </c>
      <c r="E5279" s="2">
        <f t="shared" si="762"/>
        <v>41944</v>
      </c>
      <c r="F5279" s="2">
        <f t="shared" si="763"/>
        <v>45596</v>
      </c>
    </row>
    <row r="5280" spans="1:6" x14ac:dyDescent="0.25">
      <c r="A5280" s="1" t="s">
        <v>481</v>
      </c>
      <c r="B5280" s="1" t="s">
        <v>496</v>
      </c>
      <c r="C5280" s="1" t="s">
        <v>296</v>
      </c>
      <c r="D5280" s="3">
        <f t="shared" si="761"/>
        <v>7682</v>
      </c>
      <c r="E5280" s="2">
        <f t="shared" si="762"/>
        <v>41944</v>
      </c>
      <c r="F5280" s="2">
        <f t="shared" si="763"/>
        <v>45596</v>
      </c>
    </row>
    <row r="5281" spans="1:6" x14ac:dyDescent="0.25">
      <c r="A5281" s="1" t="s">
        <v>481</v>
      </c>
      <c r="B5281" s="1" t="s">
        <v>496</v>
      </c>
      <c r="C5281" s="1" t="s">
        <v>300</v>
      </c>
      <c r="D5281" s="3">
        <f t="shared" si="761"/>
        <v>7682</v>
      </c>
      <c r="E5281" s="2">
        <f t="shared" si="762"/>
        <v>41944</v>
      </c>
      <c r="F5281" s="2">
        <f t="shared" si="763"/>
        <v>45596</v>
      </c>
    </row>
    <row r="5282" spans="1:6" x14ac:dyDescent="0.25">
      <c r="A5282" s="1" t="s">
        <v>481</v>
      </c>
      <c r="B5282" s="1" t="s">
        <v>496</v>
      </c>
      <c r="C5282" s="1" t="s">
        <v>52</v>
      </c>
      <c r="D5282" s="3">
        <f t="shared" si="761"/>
        <v>7682</v>
      </c>
      <c r="E5282" s="2">
        <f t="shared" si="762"/>
        <v>41944</v>
      </c>
      <c r="F5282" s="2">
        <f t="shared" si="763"/>
        <v>45596</v>
      </c>
    </row>
    <row r="5283" spans="1:6" x14ac:dyDescent="0.25">
      <c r="A5283" s="1" t="s">
        <v>481</v>
      </c>
      <c r="B5283" s="1" t="s">
        <v>496</v>
      </c>
      <c r="C5283" s="1" t="s">
        <v>349</v>
      </c>
      <c r="D5283" s="3">
        <f t="shared" si="761"/>
        <v>7682</v>
      </c>
      <c r="E5283" s="2">
        <f t="shared" si="762"/>
        <v>41944</v>
      </c>
      <c r="F5283" s="2">
        <f t="shared" si="763"/>
        <v>45596</v>
      </c>
    </row>
    <row r="5284" spans="1:6" x14ac:dyDescent="0.25">
      <c r="A5284" s="1" t="s">
        <v>481</v>
      </c>
      <c r="B5284" s="1" t="s">
        <v>496</v>
      </c>
      <c r="C5284" s="1" t="s">
        <v>350</v>
      </c>
      <c r="D5284" s="3">
        <f t="shared" si="761"/>
        <v>7682</v>
      </c>
      <c r="E5284" s="2">
        <f t="shared" si="762"/>
        <v>41944</v>
      </c>
      <c r="F5284" s="2">
        <f t="shared" si="763"/>
        <v>45596</v>
      </c>
    </row>
    <row r="5285" spans="1:6" x14ac:dyDescent="0.25">
      <c r="A5285" s="1" t="s">
        <v>481</v>
      </c>
      <c r="B5285" s="1" t="s">
        <v>496</v>
      </c>
      <c r="C5285" s="1" t="s">
        <v>351</v>
      </c>
      <c r="D5285" s="3">
        <f t="shared" si="761"/>
        <v>7682</v>
      </c>
      <c r="E5285" s="2">
        <f t="shared" si="762"/>
        <v>41944</v>
      </c>
      <c r="F5285" s="2">
        <f t="shared" si="763"/>
        <v>45596</v>
      </c>
    </row>
    <row r="5286" spans="1:6" x14ac:dyDescent="0.25">
      <c r="A5286" s="1" t="s">
        <v>481</v>
      </c>
      <c r="B5286" s="1" t="s">
        <v>496</v>
      </c>
      <c r="C5286" s="1" t="s">
        <v>160</v>
      </c>
      <c r="D5286" s="3">
        <f t="shared" si="761"/>
        <v>7682</v>
      </c>
      <c r="E5286" s="2">
        <f t="shared" si="762"/>
        <v>41944</v>
      </c>
      <c r="F5286" s="2">
        <f t="shared" si="763"/>
        <v>45596</v>
      </c>
    </row>
    <row r="5287" spans="1:6" x14ac:dyDescent="0.25">
      <c r="A5287" s="1" t="s">
        <v>481</v>
      </c>
      <c r="B5287" s="1" t="s">
        <v>496</v>
      </c>
      <c r="C5287" s="1" t="s">
        <v>378</v>
      </c>
      <c r="D5287" s="3">
        <f t="shared" si="761"/>
        <v>7682</v>
      </c>
      <c r="E5287" s="2">
        <f t="shared" si="762"/>
        <v>41944</v>
      </c>
      <c r="F5287" s="2">
        <f t="shared" si="763"/>
        <v>45596</v>
      </c>
    </row>
    <row r="5288" spans="1:6" x14ac:dyDescent="0.25">
      <c r="A5288" s="1" t="s">
        <v>481</v>
      </c>
      <c r="B5288" s="1" t="s">
        <v>496</v>
      </c>
      <c r="C5288" s="1" t="s">
        <v>497</v>
      </c>
      <c r="D5288" s="3">
        <f t="shared" si="761"/>
        <v>7682</v>
      </c>
      <c r="E5288" s="2">
        <f t="shared" si="762"/>
        <v>41944</v>
      </c>
      <c r="F5288" s="2">
        <f t="shared" si="763"/>
        <v>45596</v>
      </c>
    </row>
    <row r="5289" spans="1:6" x14ac:dyDescent="0.25">
      <c r="A5289" s="1" t="s">
        <v>481</v>
      </c>
      <c r="B5289" s="1" t="s">
        <v>496</v>
      </c>
      <c r="C5289" s="1" t="s">
        <v>392</v>
      </c>
      <c r="D5289" s="3">
        <f t="shared" si="761"/>
        <v>7682</v>
      </c>
      <c r="E5289" s="2">
        <f t="shared" si="762"/>
        <v>41944</v>
      </c>
      <c r="F5289" s="2">
        <f t="shared" si="763"/>
        <v>45596</v>
      </c>
    </row>
    <row r="5290" spans="1:6" x14ac:dyDescent="0.25">
      <c r="A5290" s="1" t="s">
        <v>481</v>
      </c>
      <c r="B5290" s="1" t="s">
        <v>496</v>
      </c>
      <c r="C5290" s="1" t="s">
        <v>352</v>
      </c>
      <c r="D5290" s="3">
        <f t="shared" ref="D5290:D5304" si="764">VALUE("7682")</f>
        <v>7682</v>
      </c>
      <c r="E5290" s="2">
        <f t="shared" ref="E5290:E5304" si="765">DATEVALUE("1-11-2014")</f>
        <v>41944</v>
      </c>
      <c r="F5290" s="2">
        <f t="shared" ref="F5290:F5304" si="766">DATEVALUE("31-10-2024")</f>
        <v>45596</v>
      </c>
    </row>
    <row r="5291" spans="1:6" x14ac:dyDescent="0.25">
      <c r="A5291" s="1" t="s">
        <v>481</v>
      </c>
      <c r="B5291" s="1" t="s">
        <v>496</v>
      </c>
      <c r="C5291" s="1" t="s">
        <v>426</v>
      </c>
      <c r="D5291" s="3">
        <f t="shared" si="764"/>
        <v>7682</v>
      </c>
      <c r="E5291" s="2">
        <f t="shared" si="765"/>
        <v>41944</v>
      </c>
      <c r="F5291" s="2">
        <f t="shared" si="766"/>
        <v>45596</v>
      </c>
    </row>
    <row r="5292" spans="1:6" x14ac:dyDescent="0.25">
      <c r="A5292" s="1" t="s">
        <v>481</v>
      </c>
      <c r="B5292" s="1" t="s">
        <v>496</v>
      </c>
      <c r="C5292" s="1" t="s">
        <v>34</v>
      </c>
      <c r="D5292" s="3">
        <f t="shared" si="764"/>
        <v>7682</v>
      </c>
      <c r="E5292" s="2">
        <f t="shared" si="765"/>
        <v>41944</v>
      </c>
      <c r="F5292" s="2">
        <f t="shared" si="766"/>
        <v>45596</v>
      </c>
    </row>
    <row r="5293" spans="1:6" x14ac:dyDescent="0.25">
      <c r="A5293" s="1" t="s">
        <v>481</v>
      </c>
      <c r="B5293" s="1" t="s">
        <v>496</v>
      </c>
      <c r="C5293" s="1" t="s">
        <v>55</v>
      </c>
      <c r="D5293" s="3">
        <f t="shared" si="764"/>
        <v>7682</v>
      </c>
      <c r="E5293" s="2">
        <f t="shared" si="765"/>
        <v>41944</v>
      </c>
      <c r="F5293" s="2">
        <f t="shared" si="766"/>
        <v>45596</v>
      </c>
    </row>
    <row r="5294" spans="1:6" x14ac:dyDescent="0.25">
      <c r="A5294" s="1" t="s">
        <v>481</v>
      </c>
      <c r="B5294" s="1" t="s">
        <v>496</v>
      </c>
      <c r="C5294" s="1" t="s">
        <v>306</v>
      </c>
      <c r="D5294" s="3">
        <f t="shared" si="764"/>
        <v>7682</v>
      </c>
      <c r="E5294" s="2">
        <f t="shared" si="765"/>
        <v>41944</v>
      </c>
      <c r="F5294" s="2">
        <f t="shared" si="766"/>
        <v>45596</v>
      </c>
    </row>
    <row r="5295" spans="1:6" x14ac:dyDescent="0.25">
      <c r="A5295" s="1" t="s">
        <v>481</v>
      </c>
      <c r="B5295" s="1" t="s">
        <v>496</v>
      </c>
      <c r="C5295" s="1" t="s">
        <v>379</v>
      </c>
      <c r="D5295" s="3">
        <f t="shared" si="764"/>
        <v>7682</v>
      </c>
      <c r="E5295" s="2">
        <f t="shared" si="765"/>
        <v>41944</v>
      </c>
      <c r="F5295" s="2">
        <f t="shared" si="766"/>
        <v>45596</v>
      </c>
    </row>
    <row r="5296" spans="1:6" x14ac:dyDescent="0.25">
      <c r="A5296" s="1" t="s">
        <v>481</v>
      </c>
      <c r="B5296" s="1" t="s">
        <v>496</v>
      </c>
      <c r="C5296" s="1" t="s">
        <v>131</v>
      </c>
      <c r="D5296" s="3">
        <f t="shared" si="764"/>
        <v>7682</v>
      </c>
      <c r="E5296" s="2">
        <f t="shared" si="765"/>
        <v>41944</v>
      </c>
      <c r="F5296" s="2">
        <f t="shared" si="766"/>
        <v>45596</v>
      </c>
    </row>
    <row r="5297" spans="1:6" x14ac:dyDescent="0.25">
      <c r="A5297" s="1" t="s">
        <v>481</v>
      </c>
      <c r="B5297" s="1" t="s">
        <v>496</v>
      </c>
      <c r="C5297" s="1" t="s">
        <v>132</v>
      </c>
      <c r="D5297" s="3">
        <f t="shared" si="764"/>
        <v>7682</v>
      </c>
      <c r="E5297" s="2">
        <f t="shared" si="765"/>
        <v>41944</v>
      </c>
      <c r="F5297" s="2">
        <f t="shared" si="766"/>
        <v>45596</v>
      </c>
    </row>
    <row r="5298" spans="1:6" x14ac:dyDescent="0.25">
      <c r="A5298" s="1" t="s">
        <v>481</v>
      </c>
      <c r="B5298" s="1" t="s">
        <v>496</v>
      </c>
      <c r="C5298" s="1" t="s">
        <v>380</v>
      </c>
      <c r="D5298" s="3">
        <f t="shared" si="764"/>
        <v>7682</v>
      </c>
      <c r="E5298" s="2">
        <f t="shared" si="765"/>
        <v>41944</v>
      </c>
      <c r="F5298" s="2">
        <f t="shared" si="766"/>
        <v>45596</v>
      </c>
    </row>
    <row r="5299" spans="1:6" x14ac:dyDescent="0.25">
      <c r="A5299" s="1" t="s">
        <v>481</v>
      </c>
      <c r="B5299" s="1" t="s">
        <v>496</v>
      </c>
      <c r="C5299" s="1" t="s">
        <v>381</v>
      </c>
      <c r="D5299" s="3">
        <f t="shared" si="764"/>
        <v>7682</v>
      </c>
      <c r="E5299" s="2">
        <f t="shared" si="765"/>
        <v>41944</v>
      </c>
      <c r="F5299" s="2">
        <f t="shared" si="766"/>
        <v>45596</v>
      </c>
    </row>
    <row r="5300" spans="1:6" x14ac:dyDescent="0.25">
      <c r="A5300" s="1" t="s">
        <v>481</v>
      </c>
      <c r="B5300" s="1" t="s">
        <v>496</v>
      </c>
      <c r="C5300" s="1" t="s">
        <v>56</v>
      </c>
      <c r="D5300" s="3">
        <f t="shared" si="764"/>
        <v>7682</v>
      </c>
      <c r="E5300" s="2">
        <f t="shared" si="765"/>
        <v>41944</v>
      </c>
      <c r="F5300" s="2">
        <f t="shared" si="766"/>
        <v>45596</v>
      </c>
    </row>
    <row r="5301" spans="1:6" x14ac:dyDescent="0.25">
      <c r="A5301" s="1" t="s">
        <v>481</v>
      </c>
      <c r="B5301" s="1" t="s">
        <v>496</v>
      </c>
      <c r="C5301" s="1" t="s">
        <v>173</v>
      </c>
      <c r="D5301" s="3">
        <f t="shared" si="764"/>
        <v>7682</v>
      </c>
      <c r="E5301" s="2">
        <f t="shared" si="765"/>
        <v>41944</v>
      </c>
      <c r="F5301" s="2">
        <f t="shared" si="766"/>
        <v>45596</v>
      </c>
    </row>
    <row r="5302" spans="1:6" x14ac:dyDescent="0.25">
      <c r="A5302" s="1" t="s">
        <v>481</v>
      </c>
      <c r="B5302" s="1" t="s">
        <v>496</v>
      </c>
      <c r="C5302" s="1" t="s">
        <v>36</v>
      </c>
      <c r="D5302" s="3">
        <f t="shared" si="764"/>
        <v>7682</v>
      </c>
      <c r="E5302" s="2">
        <f t="shared" si="765"/>
        <v>41944</v>
      </c>
      <c r="F5302" s="2">
        <f t="shared" si="766"/>
        <v>45596</v>
      </c>
    </row>
    <row r="5303" spans="1:6" x14ac:dyDescent="0.25">
      <c r="A5303" s="1" t="s">
        <v>481</v>
      </c>
      <c r="B5303" s="1" t="s">
        <v>496</v>
      </c>
      <c r="C5303" s="1" t="s">
        <v>133</v>
      </c>
      <c r="D5303" s="3">
        <f t="shared" si="764"/>
        <v>7682</v>
      </c>
      <c r="E5303" s="2">
        <f t="shared" si="765"/>
        <v>41944</v>
      </c>
      <c r="F5303" s="2">
        <f t="shared" si="766"/>
        <v>45596</v>
      </c>
    </row>
    <row r="5304" spans="1:6" x14ac:dyDescent="0.25">
      <c r="A5304" s="1" t="s">
        <v>481</v>
      </c>
      <c r="B5304" s="1" t="s">
        <v>496</v>
      </c>
      <c r="C5304" s="1" t="s">
        <v>170</v>
      </c>
      <c r="D5304" s="3">
        <f t="shared" si="764"/>
        <v>7682</v>
      </c>
      <c r="E5304" s="2">
        <f t="shared" si="765"/>
        <v>41944</v>
      </c>
      <c r="F5304" s="2">
        <f t="shared" si="766"/>
        <v>45596</v>
      </c>
    </row>
    <row r="5305" spans="1:6" x14ac:dyDescent="0.25">
      <c r="A5305" s="1" t="s">
        <v>481</v>
      </c>
      <c r="B5305" s="1" t="s">
        <v>480</v>
      </c>
      <c r="C5305" s="1" t="s">
        <v>482</v>
      </c>
      <c r="D5305" s="3">
        <f t="shared" ref="D5305:D5336" si="767">VALUE("7665")</f>
        <v>7665</v>
      </c>
      <c r="E5305" s="2">
        <f t="shared" ref="E5305:E5336" si="768">DATEVALUE("1-9-2014")</f>
        <v>41883</v>
      </c>
      <c r="F5305" s="2">
        <f t="shared" ref="F5305:F5336" si="769">DATEVALUE("31-8-2024")</f>
        <v>45535</v>
      </c>
    </row>
    <row r="5306" spans="1:6" x14ac:dyDescent="0.25">
      <c r="A5306" s="1" t="s">
        <v>481</v>
      </c>
      <c r="B5306" s="1" t="s">
        <v>480</v>
      </c>
      <c r="C5306" s="1" t="s">
        <v>483</v>
      </c>
      <c r="D5306" s="3">
        <f t="shared" si="767"/>
        <v>7665</v>
      </c>
      <c r="E5306" s="2">
        <f t="shared" si="768"/>
        <v>41883</v>
      </c>
      <c r="F5306" s="2">
        <f t="shared" si="769"/>
        <v>45535</v>
      </c>
    </row>
    <row r="5307" spans="1:6" x14ac:dyDescent="0.25">
      <c r="A5307" s="1" t="s">
        <v>481</v>
      </c>
      <c r="B5307" s="1" t="s">
        <v>480</v>
      </c>
      <c r="C5307" s="1" t="s">
        <v>80</v>
      </c>
      <c r="D5307" s="3">
        <f t="shared" si="767"/>
        <v>7665</v>
      </c>
      <c r="E5307" s="2">
        <f t="shared" si="768"/>
        <v>41883</v>
      </c>
      <c r="F5307" s="2">
        <f t="shared" si="769"/>
        <v>45535</v>
      </c>
    </row>
    <row r="5308" spans="1:6" x14ac:dyDescent="0.25">
      <c r="A5308" s="1" t="s">
        <v>481</v>
      </c>
      <c r="B5308" s="1" t="s">
        <v>480</v>
      </c>
      <c r="C5308" s="1" t="s">
        <v>39</v>
      </c>
      <c r="D5308" s="3">
        <f t="shared" si="767"/>
        <v>7665</v>
      </c>
      <c r="E5308" s="2">
        <f t="shared" si="768"/>
        <v>41883</v>
      </c>
      <c r="F5308" s="2">
        <f t="shared" si="769"/>
        <v>45535</v>
      </c>
    </row>
    <row r="5309" spans="1:6" x14ac:dyDescent="0.25">
      <c r="A5309" s="1" t="s">
        <v>481</v>
      </c>
      <c r="B5309" s="1" t="s">
        <v>480</v>
      </c>
      <c r="C5309" s="1" t="s">
        <v>40</v>
      </c>
      <c r="D5309" s="3">
        <f t="shared" si="767"/>
        <v>7665</v>
      </c>
      <c r="E5309" s="2">
        <f t="shared" si="768"/>
        <v>41883</v>
      </c>
      <c r="F5309" s="2">
        <f t="shared" si="769"/>
        <v>45535</v>
      </c>
    </row>
    <row r="5310" spans="1:6" x14ac:dyDescent="0.25">
      <c r="A5310" s="1" t="s">
        <v>481</v>
      </c>
      <c r="B5310" s="1" t="s">
        <v>480</v>
      </c>
      <c r="C5310" s="1" t="s">
        <v>41</v>
      </c>
      <c r="D5310" s="3">
        <f t="shared" si="767"/>
        <v>7665</v>
      </c>
      <c r="E5310" s="2">
        <f t="shared" si="768"/>
        <v>41883</v>
      </c>
      <c r="F5310" s="2">
        <f t="shared" si="769"/>
        <v>45535</v>
      </c>
    </row>
    <row r="5311" spans="1:6" x14ac:dyDescent="0.25">
      <c r="A5311" s="1" t="s">
        <v>481</v>
      </c>
      <c r="B5311" s="1" t="s">
        <v>480</v>
      </c>
      <c r="C5311" s="1" t="s">
        <v>61</v>
      </c>
      <c r="D5311" s="3">
        <f t="shared" si="767"/>
        <v>7665</v>
      </c>
      <c r="E5311" s="2">
        <f t="shared" si="768"/>
        <v>41883</v>
      </c>
      <c r="F5311" s="2">
        <f t="shared" si="769"/>
        <v>45535</v>
      </c>
    </row>
    <row r="5312" spans="1:6" x14ac:dyDescent="0.25">
      <c r="A5312" s="1" t="s">
        <v>481</v>
      </c>
      <c r="B5312" s="1" t="s">
        <v>480</v>
      </c>
      <c r="C5312" s="1" t="s">
        <v>484</v>
      </c>
      <c r="D5312" s="3">
        <f t="shared" si="767"/>
        <v>7665</v>
      </c>
      <c r="E5312" s="2">
        <f t="shared" si="768"/>
        <v>41883</v>
      </c>
      <c r="F5312" s="2">
        <f t="shared" si="769"/>
        <v>45535</v>
      </c>
    </row>
    <row r="5313" spans="1:6" x14ac:dyDescent="0.25">
      <c r="A5313" s="1" t="s">
        <v>481</v>
      </c>
      <c r="B5313" s="1" t="s">
        <v>480</v>
      </c>
      <c r="C5313" s="1" t="s">
        <v>346</v>
      </c>
      <c r="D5313" s="3">
        <f t="shared" si="767"/>
        <v>7665</v>
      </c>
      <c r="E5313" s="2">
        <f t="shared" si="768"/>
        <v>41883</v>
      </c>
      <c r="F5313" s="2">
        <f t="shared" si="769"/>
        <v>45535</v>
      </c>
    </row>
    <row r="5314" spans="1:6" x14ac:dyDescent="0.25">
      <c r="A5314" s="1" t="s">
        <v>481</v>
      </c>
      <c r="B5314" s="1" t="s">
        <v>480</v>
      </c>
      <c r="C5314" s="1" t="s">
        <v>485</v>
      </c>
      <c r="D5314" s="3">
        <f t="shared" si="767"/>
        <v>7665</v>
      </c>
      <c r="E5314" s="2">
        <f t="shared" si="768"/>
        <v>41883</v>
      </c>
      <c r="F5314" s="2">
        <f t="shared" si="769"/>
        <v>45535</v>
      </c>
    </row>
    <row r="5315" spans="1:6" x14ac:dyDescent="0.25">
      <c r="A5315" s="1" t="s">
        <v>481</v>
      </c>
      <c r="B5315" s="1" t="s">
        <v>480</v>
      </c>
      <c r="C5315" s="1" t="s">
        <v>486</v>
      </c>
      <c r="D5315" s="3">
        <f t="shared" si="767"/>
        <v>7665</v>
      </c>
      <c r="E5315" s="2">
        <f t="shared" si="768"/>
        <v>41883</v>
      </c>
      <c r="F5315" s="2">
        <f t="shared" si="769"/>
        <v>45535</v>
      </c>
    </row>
    <row r="5316" spans="1:6" x14ac:dyDescent="0.25">
      <c r="A5316" s="1" t="s">
        <v>481</v>
      </c>
      <c r="B5316" s="1" t="s">
        <v>480</v>
      </c>
      <c r="C5316" s="1" t="s">
        <v>289</v>
      </c>
      <c r="D5316" s="3">
        <f t="shared" si="767"/>
        <v>7665</v>
      </c>
      <c r="E5316" s="2">
        <f t="shared" si="768"/>
        <v>41883</v>
      </c>
      <c r="F5316" s="2">
        <f t="shared" si="769"/>
        <v>45535</v>
      </c>
    </row>
    <row r="5317" spans="1:6" x14ac:dyDescent="0.25">
      <c r="A5317" s="1" t="s">
        <v>481</v>
      </c>
      <c r="B5317" s="1" t="s">
        <v>480</v>
      </c>
      <c r="C5317" s="1" t="s">
        <v>184</v>
      </c>
      <c r="D5317" s="3">
        <f t="shared" si="767"/>
        <v>7665</v>
      </c>
      <c r="E5317" s="2">
        <f t="shared" si="768"/>
        <v>41883</v>
      </c>
      <c r="F5317" s="2">
        <f t="shared" si="769"/>
        <v>45535</v>
      </c>
    </row>
    <row r="5318" spans="1:6" x14ac:dyDescent="0.25">
      <c r="A5318" s="1" t="s">
        <v>481</v>
      </c>
      <c r="B5318" s="1" t="s">
        <v>480</v>
      </c>
      <c r="C5318" s="1" t="s">
        <v>375</v>
      </c>
      <c r="D5318" s="3">
        <f t="shared" si="767"/>
        <v>7665</v>
      </c>
      <c r="E5318" s="2">
        <f t="shared" si="768"/>
        <v>41883</v>
      </c>
      <c r="F5318" s="2">
        <f t="shared" si="769"/>
        <v>45535</v>
      </c>
    </row>
    <row r="5319" spans="1:6" x14ac:dyDescent="0.25">
      <c r="A5319" s="1" t="s">
        <v>481</v>
      </c>
      <c r="B5319" s="1" t="s">
        <v>480</v>
      </c>
      <c r="C5319" s="1" t="s">
        <v>62</v>
      </c>
      <c r="D5319" s="3">
        <f t="shared" si="767"/>
        <v>7665</v>
      </c>
      <c r="E5319" s="2">
        <f t="shared" si="768"/>
        <v>41883</v>
      </c>
      <c r="F5319" s="2">
        <f t="shared" si="769"/>
        <v>45535</v>
      </c>
    </row>
    <row r="5320" spans="1:6" x14ac:dyDescent="0.25">
      <c r="A5320" s="1" t="s">
        <v>481</v>
      </c>
      <c r="B5320" s="1" t="s">
        <v>480</v>
      </c>
      <c r="C5320" s="1" t="s">
        <v>63</v>
      </c>
      <c r="D5320" s="3">
        <f t="shared" si="767"/>
        <v>7665</v>
      </c>
      <c r="E5320" s="2">
        <f t="shared" si="768"/>
        <v>41883</v>
      </c>
      <c r="F5320" s="2">
        <f t="shared" si="769"/>
        <v>45535</v>
      </c>
    </row>
    <row r="5321" spans="1:6" x14ac:dyDescent="0.25">
      <c r="A5321" s="1" t="s">
        <v>481</v>
      </c>
      <c r="B5321" s="1" t="s">
        <v>480</v>
      </c>
      <c r="C5321" s="1" t="s">
        <v>414</v>
      </c>
      <c r="D5321" s="3">
        <f t="shared" si="767"/>
        <v>7665</v>
      </c>
      <c r="E5321" s="2">
        <f t="shared" si="768"/>
        <v>41883</v>
      </c>
      <c r="F5321" s="2">
        <f t="shared" si="769"/>
        <v>45535</v>
      </c>
    </row>
    <row r="5322" spans="1:6" x14ac:dyDescent="0.25">
      <c r="A5322" s="1" t="s">
        <v>481</v>
      </c>
      <c r="B5322" s="1" t="s">
        <v>480</v>
      </c>
      <c r="C5322" s="1" t="s">
        <v>487</v>
      </c>
      <c r="D5322" s="3">
        <f t="shared" si="767"/>
        <v>7665</v>
      </c>
      <c r="E5322" s="2">
        <f t="shared" si="768"/>
        <v>41883</v>
      </c>
      <c r="F5322" s="2">
        <f t="shared" si="769"/>
        <v>45535</v>
      </c>
    </row>
    <row r="5323" spans="1:6" x14ac:dyDescent="0.25">
      <c r="A5323" s="1" t="s">
        <v>481</v>
      </c>
      <c r="B5323" s="1" t="s">
        <v>480</v>
      </c>
      <c r="C5323" s="1" t="s">
        <v>65</v>
      </c>
      <c r="D5323" s="3">
        <f t="shared" si="767"/>
        <v>7665</v>
      </c>
      <c r="E5323" s="2">
        <f t="shared" si="768"/>
        <v>41883</v>
      </c>
      <c r="F5323" s="2">
        <f t="shared" si="769"/>
        <v>45535</v>
      </c>
    </row>
    <row r="5324" spans="1:6" x14ac:dyDescent="0.25">
      <c r="A5324" s="1" t="s">
        <v>481</v>
      </c>
      <c r="B5324" s="1" t="s">
        <v>480</v>
      </c>
      <c r="C5324" s="1" t="s">
        <v>14</v>
      </c>
      <c r="D5324" s="3">
        <f t="shared" si="767"/>
        <v>7665</v>
      </c>
      <c r="E5324" s="2">
        <f t="shared" si="768"/>
        <v>41883</v>
      </c>
      <c r="F5324" s="2">
        <f t="shared" si="769"/>
        <v>45535</v>
      </c>
    </row>
    <row r="5325" spans="1:6" x14ac:dyDescent="0.25">
      <c r="A5325" s="1" t="s">
        <v>481</v>
      </c>
      <c r="B5325" s="1" t="s">
        <v>480</v>
      </c>
      <c r="C5325" s="1" t="s">
        <v>66</v>
      </c>
      <c r="D5325" s="3">
        <f t="shared" si="767"/>
        <v>7665</v>
      </c>
      <c r="E5325" s="2">
        <f t="shared" si="768"/>
        <v>41883</v>
      </c>
      <c r="F5325" s="2">
        <f t="shared" si="769"/>
        <v>45535</v>
      </c>
    </row>
    <row r="5326" spans="1:6" x14ac:dyDescent="0.25">
      <c r="A5326" s="1" t="s">
        <v>481</v>
      </c>
      <c r="B5326" s="1" t="s">
        <v>480</v>
      </c>
      <c r="C5326" s="1" t="s">
        <v>15</v>
      </c>
      <c r="D5326" s="3">
        <f t="shared" si="767"/>
        <v>7665</v>
      </c>
      <c r="E5326" s="2">
        <f t="shared" si="768"/>
        <v>41883</v>
      </c>
      <c r="F5326" s="2">
        <f t="shared" si="769"/>
        <v>45535</v>
      </c>
    </row>
    <row r="5327" spans="1:6" x14ac:dyDescent="0.25">
      <c r="A5327" s="1" t="s">
        <v>481</v>
      </c>
      <c r="B5327" s="1" t="s">
        <v>480</v>
      </c>
      <c r="C5327" s="1" t="s">
        <v>16</v>
      </c>
      <c r="D5327" s="3">
        <f t="shared" si="767"/>
        <v>7665</v>
      </c>
      <c r="E5327" s="2">
        <f t="shared" si="768"/>
        <v>41883</v>
      </c>
      <c r="F5327" s="2">
        <f t="shared" si="769"/>
        <v>45535</v>
      </c>
    </row>
    <row r="5328" spans="1:6" x14ac:dyDescent="0.25">
      <c r="A5328" s="1" t="s">
        <v>481</v>
      </c>
      <c r="B5328" s="1" t="s">
        <v>480</v>
      </c>
      <c r="C5328" s="1" t="s">
        <v>17</v>
      </c>
      <c r="D5328" s="3">
        <f t="shared" si="767"/>
        <v>7665</v>
      </c>
      <c r="E5328" s="2">
        <f t="shared" si="768"/>
        <v>41883</v>
      </c>
      <c r="F5328" s="2">
        <f t="shared" si="769"/>
        <v>45535</v>
      </c>
    </row>
    <row r="5329" spans="1:6" x14ac:dyDescent="0.25">
      <c r="A5329" s="1" t="s">
        <v>481</v>
      </c>
      <c r="B5329" s="1" t="s">
        <v>480</v>
      </c>
      <c r="C5329" s="1" t="s">
        <v>488</v>
      </c>
      <c r="D5329" s="3">
        <f t="shared" si="767"/>
        <v>7665</v>
      </c>
      <c r="E5329" s="2">
        <f t="shared" si="768"/>
        <v>41883</v>
      </c>
      <c r="F5329" s="2">
        <f t="shared" si="769"/>
        <v>45535</v>
      </c>
    </row>
    <row r="5330" spans="1:6" x14ac:dyDescent="0.25">
      <c r="A5330" s="1" t="s">
        <v>481</v>
      </c>
      <c r="B5330" s="1" t="s">
        <v>480</v>
      </c>
      <c r="C5330" s="1" t="s">
        <v>47</v>
      </c>
      <c r="D5330" s="3">
        <f t="shared" si="767"/>
        <v>7665</v>
      </c>
      <c r="E5330" s="2">
        <f t="shared" si="768"/>
        <v>41883</v>
      </c>
      <c r="F5330" s="2">
        <f t="shared" si="769"/>
        <v>45535</v>
      </c>
    </row>
    <row r="5331" spans="1:6" x14ac:dyDescent="0.25">
      <c r="A5331" s="1" t="s">
        <v>481</v>
      </c>
      <c r="B5331" s="1" t="s">
        <v>480</v>
      </c>
      <c r="C5331" s="1" t="s">
        <v>291</v>
      </c>
      <c r="D5331" s="3">
        <f t="shared" si="767"/>
        <v>7665</v>
      </c>
      <c r="E5331" s="2">
        <f t="shared" si="768"/>
        <v>41883</v>
      </c>
      <c r="F5331" s="2">
        <f t="shared" si="769"/>
        <v>45535</v>
      </c>
    </row>
    <row r="5332" spans="1:6" x14ac:dyDescent="0.25">
      <c r="A5332" s="1" t="s">
        <v>481</v>
      </c>
      <c r="B5332" s="1" t="s">
        <v>480</v>
      </c>
      <c r="C5332" s="1" t="s">
        <v>470</v>
      </c>
      <c r="D5332" s="3">
        <f t="shared" si="767"/>
        <v>7665</v>
      </c>
      <c r="E5332" s="2">
        <f t="shared" si="768"/>
        <v>41883</v>
      </c>
      <c r="F5332" s="2">
        <f t="shared" si="769"/>
        <v>45535</v>
      </c>
    </row>
    <row r="5333" spans="1:6" x14ac:dyDescent="0.25">
      <c r="A5333" s="1" t="s">
        <v>481</v>
      </c>
      <c r="B5333" s="1" t="s">
        <v>480</v>
      </c>
      <c r="C5333" s="1" t="s">
        <v>417</v>
      </c>
      <c r="D5333" s="3">
        <f t="shared" si="767"/>
        <v>7665</v>
      </c>
      <c r="E5333" s="2">
        <f t="shared" si="768"/>
        <v>41883</v>
      </c>
      <c r="F5333" s="2">
        <f t="shared" si="769"/>
        <v>45535</v>
      </c>
    </row>
    <row r="5334" spans="1:6" x14ac:dyDescent="0.25">
      <c r="A5334" s="1" t="s">
        <v>481</v>
      </c>
      <c r="B5334" s="1" t="s">
        <v>480</v>
      </c>
      <c r="C5334" s="1" t="s">
        <v>471</v>
      </c>
      <c r="D5334" s="3">
        <f t="shared" si="767"/>
        <v>7665</v>
      </c>
      <c r="E5334" s="2">
        <f t="shared" si="768"/>
        <v>41883</v>
      </c>
      <c r="F5334" s="2">
        <f t="shared" si="769"/>
        <v>45535</v>
      </c>
    </row>
    <row r="5335" spans="1:6" x14ac:dyDescent="0.25">
      <c r="A5335" s="1" t="s">
        <v>481</v>
      </c>
      <c r="B5335" s="1" t="s">
        <v>480</v>
      </c>
      <c r="C5335" s="1" t="s">
        <v>144</v>
      </c>
      <c r="D5335" s="3">
        <f t="shared" si="767"/>
        <v>7665</v>
      </c>
      <c r="E5335" s="2">
        <f t="shared" si="768"/>
        <v>41883</v>
      </c>
      <c r="F5335" s="2">
        <f t="shared" si="769"/>
        <v>45535</v>
      </c>
    </row>
    <row r="5336" spans="1:6" x14ac:dyDescent="0.25">
      <c r="A5336" s="1" t="s">
        <v>481</v>
      </c>
      <c r="B5336" s="1" t="s">
        <v>480</v>
      </c>
      <c r="C5336" s="1" t="s">
        <v>22</v>
      </c>
      <c r="D5336" s="3">
        <f t="shared" si="767"/>
        <v>7665</v>
      </c>
      <c r="E5336" s="2">
        <f t="shared" si="768"/>
        <v>41883</v>
      </c>
      <c r="F5336" s="2">
        <f t="shared" si="769"/>
        <v>45535</v>
      </c>
    </row>
    <row r="5337" spans="1:6" x14ac:dyDescent="0.25">
      <c r="A5337" s="1" t="s">
        <v>481</v>
      </c>
      <c r="B5337" s="1" t="s">
        <v>480</v>
      </c>
      <c r="C5337" s="1" t="s">
        <v>258</v>
      </c>
      <c r="D5337" s="3">
        <f t="shared" ref="D5337:D5368" si="770">VALUE("7665")</f>
        <v>7665</v>
      </c>
      <c r="E5337" s="2">
        <f t="shared" ref="E5337:E5368" si="771">DATEVALUE("1-9-2014")</f>
        <v>41883</v>
      </c>
      <c r="F5337" s="2">
        <f t="shared" ref="F5337:F5368" si="772">DATEVALUE("31-8-2024")</f>
        <v>45535</v>
      </c>
    </row>
    <row r="5338" spans="1:6" x14ac:dyDescent="0.25">
      <c r="A5338" s="1" t="s">
        <v>481</v>
      </c>
      <c r="B5338" s="1" t="s">
        <v>480</v>
      </c>
      <c r="C5338" s="1" t="s">
        <v>146</v>
      </c>
      <c r="D5338" s="3">
        <f t="shared" si="770"/>
        <v>7665</v>
      </c>
      <c r="E5338" s="2">
        <f t="shared" si="771"/>
        <v>41883</v>
      </c>
      <c r="F5338" s="2">
        <f t="shared" si="772"/>
        <v>45535</v>
      </c>
    </row>
    <row r="5339" spans="1:6" x14ac:dyDescent="0.25">
      <c r="A5339" s="1" t="s">
        <v>481</v>
      </c>
      <c r="B5339" s="1" t="s">
        <v>480</v>
      </c>
      <c r="C5339" s="1" t="s">
        <v>67</v>
      </c>
      <c r="D5339" s="3">
        <f t="shared" si="770"/>
        <v>7665</v>
      </c>
      <c r="E5339" s="2">
        <f t="shared" si="771"/>
        <v>41883</v>
      </c>
      <c r="F5339" s="2">
        <f t="shared" si="772"/>
        <v>45535</v>
      </c>
    </row>
    <row r="5340" spans="1:6" x14ac:dyDescent="0.25">
      <c r="A5340" s="1" t="s">
        <v>481</v>
      </c>
      <c r="B5340" s="1" t="s">
        <v>480</v>
      </c>
      <c r="C5340" s="1" t="s">
        <v>259</v>
      </c>
      <c r="D5340" s="3">
        <f t="shared" si="770"/>
        <v>7665</v>
      </c>
      <c r="E5340" s="2">
        <f t="shared" si="771"/>
        <v>41883</v>
      </c>
      <c r="F5340" s="2">
        <f t="shared" si="772"/>
        <v>45535</v>
      </c>
    </row>
    <row r="5341" spans="1:6" x14ac:dyDescent="0.25">
      <c r="A5341" s="1" t="s">
        <v>481</v>
      </c>
      <c r="B5341" s="1" t="s">
        <v>480</v>
      </c>
      <c r="C5341" s="1" t="s">
        <v>384</v>
      </c>
      <c r="D5341" s="3">
        <f t="shared" si="770"/>
        <v>7665</v>
      </c>
      <c r="E5341" s="2">
        <f t="shared" si="771"/>
        <v>41883</v>
      </c>
      <c r="F5341" s="2">
        <f t="shared" si="772"/>
        <v>45535</v>
      </c>
    </row>
    <row r="5342" spans="1:6" x14ac:dyDescent="0.25">
      <c r="A5342" s="1" t="s">
        <v>481</v>
      </c>
      <c r="B5342" s="1" t="s">
        <v>480</v>
      </c>
      <c r="C5342" s="1" t="s">
        <v>147</v>
      </c>
      <c r="D5342" s="3">
        <f t="shared" si="770"/>
        <v>7665</v>
      </c>
      <c r="E5342" s="2">
        <f t="shared" si="771"/>
        <v>41883</v>
      </c>
      <c r="F5342" s="2">
        <f t="shared" si="772"/>
        <v>45535</v>
      </c>
    </row>
    <row r="5343" spans="1:6" x14ac:dyDescent="0.25">
      <c r="A5343" s="1" t="s">
        <v>481</v>
      </c>
      <c r="B5343" s="1" t="s">
        <v>480</v>
      </c>
      <c r="C5343" s="1" t="s">
        <v>386</v>
      </c>
      <c r="D5343" s="3">
        <f t="shared" si="770"/>
        <v>7665</v>
      </c>
      <c r="E5343" s="2">
        <f t="shared" si="771"/>
        <v>41883</v>
      </c>
      <c r="F5343" s="2">
        <f t="shared" si="772"/>
        <v>45535</v>
      </c>
    </row>
    <row r="5344" spans="1:6" x14ac:dyDescent="0.25">
      <c r="A5344" s="1" t="s">
        <v>481</v>
      </c>
      <c r="B5344" s="1" t="s">
        <v>480</v>
      </c>
      <c r="C5344" s="1" t="s">
        <v>387</v>
      </c>
      <c r="D5344" s="3">
        <f t="shared" si="770"/>
        <v>7665</v>
      </c>
      <c r="E5344" s="2">
        <f t="shared" si="771"/>
        <v>41883</v>
      </c>
      <c r="F5344" s="2">
        <f t="shared" si="772"/>
        <v>45535</v>
      </c>
    </row>
    <row r="5345" spans="1:6" x14ac:dyDescent="0.25">
      <c r="A5345" s="1" t="s">
        <v>481</v>
      </c>
      <c r="B5345" s="1" t="s">
        <v>480</v>
      </c>
      <c r="C5345" s="1" t="s">
        <v>388</v>
      </c>
      <c r="D5345" s="3">
        <f t="shared" si="770"/>
        <v>7665</v>
      </c>
      <c r="E5345" s="2">
        <f t="shared" si="771"/>
        <v>41883</v>
      </c>
      <c r="F5345" s="2">
        <f t="shared" si="772"/>
        <v>45535</v>
      </c>
    </row>
    <row r="5346" spans="1:6" x14ac:dyDescent="0.25">
      <c r="A5346" s="1" t="s">
        <v>481</v>
      </c>
      <c r="B5346" s="1" t="s">
        <v>480</v>
      </c>
      <c r="C5346" s="1" t="s">
        <v>92</v>
      </c>
      <c r="D5346" s="3">
        <f t="shared" si="770"/>
        <v>7665</v>
      </c>
      <c r="E5346" s="2">
        <f t="shared" si="771"/>
        <v>41883</v>
      </c>
      <c r="F5346" s="2">
        <f t="shared" si="772"/>
        <v>45535</v>
      </c>
    </row>
    <row r="5347" spans="1:6" x14ac:dyDescent="0.25">
      <c r="A5347" s="1" t="s">
        <v>481</v>
      </c>
      <c r="B5347" s="1" t="s">
        <v>480</v>
      </c>
      <c r="C5347" s="1" t="s">
        <v>475</v>
      </c>
      <c r="D5347" s="3">
        <f t="shared" si="770"/>
        <v>7665</v>
      </c>
      <c r="E5347" s="2">
        <f t="shared" si="771"/>
        <v>41883</v>
      </c>
      <c r="F5347" s="2">
        <f t="shared" si="772"/>
        <v>45535</v>
      </c>
    </row>
    <row r="5348" spans="1:6" x14ac:dyDescent="0.25">
      <c r="A5348" s="1" t="s">
        <v>481</v>
      </c>
      <c r="B5348" s="1" t="s">
        <v>480</v>
      </c>
      <c r="C5348" s="1" t="s">
        <v>24</v>
      </c>
      <c r="D5348" s="3">
        <f t="shared" si="770"/>
        <v>7665</v>
      </c>
      <c r="E5348" s="2">
        <f t="shared" si="771"/>
        <v>41883</v>
      </c>
      <c r="F5348" s="2">
        <f t="shared" si="772"/>
        <v>45535</v>
      </c>
    </row>
    <row r="5349" spans="1:6" x14ac:dyDescent="0.25">
      <c r="A5349" s="1" t="s">
        <v>481</v>
      </c>
      <c r="B5349" s="1" t="s">
        <v>480</v>
      </c>
      <c r="C5349" s="1" t="s">
        <v>50</v>
      </c>
      <c r="D5349" s="3">
        <f t="shared" si="770"/>
        <v>7665</v>
      </c>
      <c r="E5349" s="2">
        <f t="shared" si="771"/>
        <v>41883</v>
      </c>
      <c r="F5349" s="2">
        <f t="shared" si="772"/>
        <v>45535</v>
      </c>
    </row>
    <row r="5350" spans="1:6" x14ac:dyDescent="0.25">
      <c r="A5350" s="1" t="s">
        <v>481</v>
      </c>
      <c r="B5350" s="1" t="s">
        <v>480</v>
      </c>
      <c r="C5350" s="1" t="s">
        <v>70</v>
      </c>
      <c r="D5350" s="3">
        <f t="shared" si="770"/>
        <v>7665</v>
      </c>
      <c r="E5350" s="2">
        <f t="shared" si="771"/>
        <v>41883</v>
      </c>
      <c r="F5350" s="2">
        <f t="shared" si="772"/>
        <v>45535</v>
      </c>
    </row>
    <row r="5351" spans="1:6" x14ac:dyDescent="0.25">
      <c r="A5351" s="1" t="s">
        <v>481</v>
      </c>
      <c r="B5351" s="1" t="s">
        <v>480</v>
      </c>
      <c r="C5351" s="1" t="s">
        <v>26</v>
      </c>
      <c r="D5351" s="3">
        <f t="shared" si="770"/>
        <v>7665</v>
      </c>
      <c r="E5351" s="2">
        <f t="shared" si="771"/>
        <v>41883</v>
      </c>
      <c r="F5351" s="2">
        <f t="shared" si="772"/>
        <v>45535</v>
      </c>
    </row>
    <row r="5352" spans="1:6" x14ac:dyDescent="0.25">
      <c r="A5352" s="1" t="s">
        <v>481</v>
      </c>
      <c r="B5352" s="1" t="s">
        <v>480</v>
      </c>
      <c r="C5352" s="1" t="s">
        <v>260</v>
      </c>
      <c r="D5352" s="3">
        <f t="shared" si="770"/>
        <v>7665</v>
      </c>
      <c r="E5352" s="2">
        <f t="shared" si="771"/>
        <v>41883</v>
      </c>
      <c r="F5352" s="2">
        <f t="shared" si="772"/>
        <v>45535</v>
      </c>
    </row>
    <row r="5353" spans="1:6" x14ac:dyDescent="0.25">
      <c r="A5353" s="1" t="s">
        <v>481</v>
      </c>
      <c r="B5353" s="1" t="s">
        <v>480</v>
      </c>
      <c r="C5353" s="1" t="s">
        <v>261</v>
      </c>
      <c r="D5353" s="3">
        <f t="shared" si="770"/>
        <v>7665</v>
      </c>
      <c r="E5353" s="2">
        <f t="shared" si="771"/>
        <v>41883</v>
      </c>
      <c r="F5353" s="2">
        <f t="shared" si="772"/>
        <v>45535</v>
      </c>
    </row>
    <row r="5354" spans="1:6" x14ac:dyDescent="0.25">
      <c r="A5354" s="1" t="s">
        <v>481</v>
      </c>
      <c r="B5354" s="1" t="s">
        <v>480</v>
      </c>
      <c r="C5354" s="1" t="s">
        <v>72</v>
      </c>
      <c r="D5354" s="3">
        <f t="shared" si="770"/>
        <v>7665</v>
      </c>
      <c r="E5354" s="2">
        <f t="shared" si="771"/>
        <v>41883</v>
      </c>
      <c r="F5354" s="2">
        <f t="shared" si="772"/>
        <v>45535</v>
      </c>
    </row>
    <row r="5355" spans="1:6" x14ac:dyDescent="0.25">
      <c r="A5355" s="1" t="s">
        <v>481</v>
      </c>
      <c r="B5355" s="1" t="s">
        <v>480</v>
      </c>
      <c r="C5355" s="1" t="s">
        <v>27</v>
      </c>
      <c r="D5355" s="3">
        <f t="shared" si="770"/>
        <v>7665</v>
      </c>
      <c r="E5355" s="2">
        <f t="shared" si="771"/>
        <v>41883</v>
      </c>
      <c r="F5355" s="2">
        <f t="shared" si="772"/>
        <v>45535</v>
      </c>
    </row>
    <row r="5356" spans="1:6" x14ac:dyDescent="0.25">
      <c r="A5356" s="1" t="s">
        <v>481</v>
      </c>
      <c r="B5356" s="1" t="s">
        <v>480</v>
      </c>
      <c r="C5356" s="1" t="s">
        <v>262</v>
      </c>
      <c r="D5356" s="3">
        <f t="shared" si="770"/>
        <v>7665</v>
      </c>
      <c r="E5356" s="2">
        <f t="shared" si="771"/>
        <v>41883</v>
      </c>
      <c r="F5356" s="2">
        <f t="shared" si="772"/>
        <v>45535</v>
      </c>
    </row>
    <row r="5357" spans="1:6" x14ac:dyDescent="0.25">
      <c r="A5357" s="1" t="s">
        <v>481</v>
      </c>
      <c r="B5357" s="1" t="s">
        <v>480</v>
      </c>
      <c r="C5357" s="1" t="s">
        <v>457</v>
      </c>
      <c r="D5357" s="3">
        <f t="shared" si="770"/>
        <v>7665</v>
      </c>
      <c r="E5357" s="2">
        <f t="shared" si="771"/>
        <v>41883</v>
      </c>
      <c r="F5357" s="2">
        <f t="shared" si="772"/>
        <v>45535</v>
      </c>
    </row>
    <row r="5358" spans="1:6" x14ac:dyDescent="0.25">
      <c r="A5358" s="1" t="s">
        <v>481</v>
      </c>
      <c r="B5358" s="1" t="s">
        <v>480</v>
      </c>
      <c r="C5358" s="1" t="s">
        <v>51</v>
      </c>
      <c r="D5358" s="3">
        <f t="shared" si="770"/>
        <v>7665</v>
      </c>
      <c r="E5358" s="2">
        <f t="shared" si="771"/>
        <v>41883</v>
      </c>
      <c r="F5358" s="2">
        <f t="shared" si="772"/>
        <v>45535</v>
      </c>
    </row>
    <row r="5359" spans="1:6" x14ac:dyDescent="0.25">
      <c r="A5359" s="1" t="s">
        <v>481</v>
      </c>
      <c r="B5359" s="1" t="s">
        <v>480</v>
      </c>
      <c r="C5359" s="1" t="s">
        <v>73</v>
      </c>
      <c r="D5359" s="3">
        <f t="shared" si="770"/>
        <v>7665</v>
      </c>
      <c r="E5359" s="2">
        <f t="shared" si="771"/>
        <v>41883</v>
      </c>
      <c r="F5359" s="2">
        <f t="shared" si="772"/>
        <v>45535</v>
      </c>
    </row>
    <row r="5360" spans="1:6" x14ac:dyDescent="0.25">
      <c r="A5360" s="1" t="s">
        <v>481</v>
      </c>
      <c r="B5360" s="1" t="s">
        <v>480</v>
      </c>
      <c r="C5360" s="1" t="s">
        <v>52</v>
      </c>
      <c r="D5360" s="3">
        <f t="shared" si="770"/>
        <v>7665</v>
      </c>
      <c r="E5360" s="2">
        <f t="shared" si="771"/>
        <v>41883</v>
      </c>
      <c r="F5360" s="2">
        <f t="shared" si="772"/>
        <v>45535</v>
      </c>
    </row>
    <row r="5361" spans="1:6" x14ac:dyDescent="0.25">
      <c r="A5361" s="1" t="s">
        <v>481</v>
      </c>
      <c r="B5361" s="1" t="s">
        <v>480</v>
      </c>
      <c r="C5361" s="1" t="s">
        <v>303</v>
      </c>
      <c r="D5361" s="3">
        <f t="shared" si="770"/>
        <v>7665</v>
      </c>
      <c r="E5361" s="2">
        <f t="shared" si="771"/>
        <v>41883</v>
      </c>
      <c r="F5361" s="2">
        <f t="shared" si="772"/>
        <v>45535</v>
      </c>
    </row>
    <row r="5362" spans="1:6" x14ac:dyDescent="0.25">
      <c r="A5362" s="1" t="s">
        <v>481</v>
      </c>
      <c r="B5362" s="1" t="s">
        <v>480</v>
      </c>
      <c r="C5362" s="1" t="s">
        <v>378</v>
      </c>
      <c r="D5362" s="3">
        <f t="shared" si="770"/>
        <v>7665</v>
      </c>
      <c r="E5362" s="2">
        <f t="shared" si="771"/>
        <v>41883</v>
      </c>
      <c r="F5362" s="2">
        <f t="shared" si="772"/>
        <v>45535</v>
      </c>
    </row>
    <row r="5363" spans="1:6" x14ac:dyDescent="0.25">
      <c r="A5363" s="1" t="s">
        <v>481</v>
      </c>
      <c r="B5363" s="1" t="s">
        <v>480</v>
      </c>
      <c r="C5363" s="1" t="s">
        <v>352</v>
      </c>
      <c r="D5363" s="3">
        <f t="shared" si="770"/>
        <v>7665</v>
      </c>
      <c r="E5363" s="2">
        <f t="shared" si="771"/>
        <v>41883</v>
      </c>
      <c r="F5363" s="2">
        <f t="shared" si="772"/>
        <v>45535</v>
      </c>
    </row>
    <row r="5364" spans="1:6" x14ac:dyDescent="0.25">
      <c r="A5364" s="1" t="s">
        <v>481</v>
      </c>
      <c r="B5364" s="1" t="s">
        <v>480</v>
      </c>
      <c r="C5364" s="1" t="s">
        <v>426</v>
      </c>
      <c r="D5364" s="3">
        <f t="shared" si="770"/>
        <v>7665</v>
      </c>
      <c r="E5364" s="2">
        <f t="shared" si="771"/>
        <v>41883</v>
      </c>
      <c r="F5364" s="2">
        <f t="shared" si="772"/>
        <v>45535</v>
      </c>
    </row>
    <row r="5365" spans="1:6" x14ac:dyDescent="0.25">
      <c r="A5365" s="1" t="s">
        <v>481</v>
      </c>
      <c r="B5365" s="1" t="s">
        <v>480</v>
      </c>
      <c r="C5365" s="1" t="s">
        <v>34</v>
      </c>
      <c r="D5365" s="3">
        <f t="shared" si="770"/>
        <v>7665</v>
      </c>
      <c r="E5365" s="2">
        <f t="shared" si="771"/>
        <v>41883</v>
      </c>
      <c r="F5365" s="2">
        <f t="shared" si="772"/>
        <v>45535</v>
      </c>
    </row>
    <row r="5366" spans="1:6" x14ac:dyDescent="0.25">
      <c r="A5366" s="1" t="s">
        <v>481</v>
      </c>
      <c r="B5366" s="1" t="s">
        <v>480</v>
      </c>
      <c r="C5366" s="1" t="s">
        <v>55</v>
      </c>
      <c r="D5366" s="3">
        <f t="shared" si="770"/>
        <v>7665</v>
      </c>
      <c r="E5366" s="2">
        <f t="shared" si="771"/>
        <v>41883</v>
      </c>
      <c r="F5366" s="2">
        <f t="shared" si="772"/>
        <v>45535</v>
      </c>
    </row>
    <row r="5367" spans="1:6" x14ac:dyDescent="0.25">
      <c r="A5367" s="1" t="s">
        <v>481</v>
      </c>
      <c r="B5367" s="1" t="s">
        <v>480</v>
      </c>
      <c r="C5367" s="1" t="s">
        <v>306</v>
      </c>
      <c r="D5367" s="3">
        <f t="shared" si="770"/>
        <v>7665</v>
      </c>
      <c r="E5367" s="2">
        <f t="shared" si="771"/>
        <v>41883</v>
      </c>
      <c r="F5367" s="2">
        <f t="shared" si="772"/>
        <v>45535</v>
      </c>
    </row>
    <row r="5368" spans="1:6" x14ac:dyDescent="0.25">
      <c r="A5368" s="1" t="s">
        <v>481</v>
      </c>
      <c r="B5368" s="1" t="s">
        <v>480</v>
      </c>
      <c r="C5368" s="1" t="s">
        <v>131</v>
      </c>
      <c r="D5368" s="3">
        <f t="shared" si="770"/>
        <v>7665</v>
      </c>
      <c r="E5368" s="2">
        <f t="shared" si="771"/>
        <v>41883</v>
      </c>
      <c r="F5368" s="2">
        <f t="shared" si="772"/>
        <v>45535</v>
      </c>
    </row>
    <row r="5369" spans="1:6" x14ac:dyDescent="0.25">
      <c r="A5369" s="1" t="s">
        <v>481</v>
      </c>
      <c r="B5369" s="1" t="s">
        <v>480</v>
      </c>
      <c r="C5369" s="1" t="s">
        <v>132</v>
      </c>
      <c r="D5369" s="3">
        <f t="shared" ref="D5369:D5376" si="773">VALUE("7665")</f>
        <v>7665</v>
      </c>
      <c r="E5369" s="2">
        <f t="shared" ref="E5369:E5376" si="774">DATEVALUE("1-9-2014")</f>
        <v>41883</v>
      </c>
      <c r="F5369" s="2">
        <f t="shared" ref="F5369:F5376" si="775">DATEVALUE("31-8-2024")</f>
        <v>45535</v>
      </c>
    </row>
    <row r="5370" spans="1:6" x14ac:dyDescent="0.25">
      <c r="A5370" s="1" t="s">
        <v>481</v>
      </c>
      <c r="B5370" s="1" t="s">
        <v>480</v>
      </c>
      <c r="C5370" s="1" t="s">
        <v>380</v>
      </c>
      <c r="D5370" s="3">
        <f t="shared" si="773"/>
        <v>7665</v>
      </c>
      <c r="E5370" s="2">
        <f t="shared" si="774"/>
        <v>41883</v>
      </c>
      <c r="F5370" s="2">
        <f t="shared" si="775"/>
        <v>45535</v>
      </c>
    </row>
    <row r="5371" spans="1:6" x14ac:dyDescent="0.25">
      <c r="A5371" s="1" t="s">
        <v>481</v>
      </c>
      <c r="B5371" s="1" t="s">
        <v>480</v>
      </c>
      <c r="C5371" s="1" t="s">
        <v>381</v>
      </c>
      <c r="D5371" s="3">
        <f t="shared" si="773"/>
        <v>7665</v>
      </c>
      <c r="E5371" s="2">
        <f t="shared" si="774"/>
        <v>41883</v>
      </c>
      <c r="F5371" s="2">
        <f t="shared" si="775"/>
        <v>45535</v>
      </c>
    </row>
    <row r="5372" spans="1:6" x14ac:dyDescent="0.25">
      <c r="A5372" s="1" t="s">
        <v>481</v>
      </c>
      <c r="B5372" s="1" t="s">
        <v>480</v>
      </c>
      <c r="C5372" s="1" t="s">
        <v>56</v>
      </c>
      <c r="D5372" s="3">
        <f t="shared" si="773"/>
        <v>7665</v>
      </c>
      <c r="E5372" s="2">
        <f t="shared" si="774"/>
        <v>41883</v>
      </c>
      <c r="F5372" s="2">
        <f t="shared" si="775"/>
        <v>45535</v>
      </c>
    </row>
    <row r="5373" spans="1:6" x14ac:dyDescent="0.25">
      <c r="A5373" s="1" t="s">
        <v>481</v>
      </c>
      <c r="B5373" s="1" t="s">
        <v>480</v>
      </c>
      <c r="C5373" s="1" t="s">
        <v>173</v>
      </c>
      <c r="D5373" s="3">
        <f t="shared" si="773"/>
        <v>7665</v>
      </c>
      <c r="E5373" s="2">
        <f t="shared" si="774"/>
        <v>41883</v>
      </c>
      <c r="F5373" s="2">
        <f t="shared" si="775"/>
        <v>45535</v>
      </c>
    </row>
    <row r="5374" spans="1:6" x14ac:dyDescent="0.25">
      <c r="A5374" s="1" t="s">
        <v>481</v>
      </c>
      <c r="B5374" s="1" t="s">
        <v>480</v>
      </c>
      <c r="C5374" s="1" t="s">
        <v>36</v>
      </c>
      <c r="D5374" s="3">
        <f t="shared" si="773"/>
        <v>7665</v>
      </c>
      <c r="E5374" s="2">
        <f t="shared" si="774"/>
        <v>41883</v>
      </c>
      <c r="F5374" s="2">
        <f t="shared" si="775"/>
        <v>45535</v>
      </c>
    </row>
    <row r="5375" spans="1:6" x14ac:dyDescent="0.25">
      <c r="A5375" s="1" t="s">
        <v>481</v>
      </c>
      <c r="B5375" s="1" t="s">
        <v>480</v>
      </c>
      <c r="C5375" s="1" t="s">
        <v>169</v>
      </c>
      <c r="D5375" s="3">
        <f t="shared" si="773"/>
        <v>7665</v>
      </c>
      <c r="E5375" s="2">
        <f t="shared" si="774"/>
        <v>41883</v>
      </c>
      <c r="F5375" s="2">
        <f t="shared" si="775"/>
        <v>45535</v>
      </c>
    </row>
    <row r="5376" spans="1:6" x14ac:dyDescent="0.25">
      <c r="A5376" s="1" t="s">
        <v>481</v>
      </c>
      <c r="B5376" s="1" t="s">
        <v>480</v>
      </c>
      <c r="C5376" s="1" t="s">
        <v>170</v>
      </c>
      <c r="D5376" s="3">
        <f t="shared" si="773"/>
        <v>7665</v>
      </c>
      <c r="E5376" s="2">
        <f t="shared" si="774"/>
        <v>41883</v>
      </c>
      <c r="F5376" s="2">
        <f t="shared" si="775"/>
        <v>45535</v>
      </c>
    </row>
    <row r="5377" spans="1:6" x14ac:dyDescent="0.25">
      <c r="A5377" s="1" t="s">
        <v>481</v>
      </c>
      <c r="B5377" s="1" t="s">
        <v>2750</v>
      </c>
      <c r="C5377" s="1" t="s">
        <v>80</v>
      </c>
      <c r="D5377" s="3">
        <f t="shared" ref="D5377:D5395" si="776">VALUE("7560")</f>
        <v>7560</v>
      </c>
      <c r="E5377" s="2">
        <f t="shared" ref="E5377:E5395" si="777">DATEVALUE("1-11-2013")</f>
        <v>41579</v>
      </c>
      <c r="F5377" s="2">
        <f t="shared" ref="F5377:F5395" si="778">DATEVALUE("31-10-2014")</f>
        <v>41943</v>
      </c>
    </row>
    <row r="5378" spans="1:6" x14ac:dyDescent="0.25">
      <c r="A5378" s="1" t="s">
        <v>481</v>
      </c>
      <c r="B5378" s="1" t="s">
        <v>2750</v>
      </c>
      <c r="C5378" s="1" t="s">
        <v>39</v>
      </c>
      <c r="D5378" s="3">
        <f t="shared" si="776"/>
        <v>7560</v>
      </c>
      <c r="E5378" s="2">
        <f t="shared" si="777"/>
        <v>41579</v>
      </c>
      <c r="F5378" s="2">
        <f t="shared" si="778"/>
        <v>41943</v>
      </c>
    </row>
    <row r="5379" spans="1:6" x14ac:dyDescent="0.25">
      <c r="A5379" s="1" t="s">
        <v>481</v>
      </c>
      <c r="B5379" s="1" t="s">
        <v>2750</v>
      </c>
      <c r="C5379" s="1" t="s">
        <v>12</v>
      </c>
      <c r="D5379" s="3">
        <f t="shared" si="776"/>
        <v>7560</v>
      </c>
      <c r="E5379" s="2">
        <f t="shared" si="777"/>
        <v>41579</v>
      </c>
      <c r="F5379" s="2">
        <f t="shared" si="778"/>
        <v>41943</v>
      </c>
    </row>
    <row r="5380" spans="1:6" x14ac:dyDescent="0.25">
      <c r="A5380" s="1" t="s">
        <v>481</v>
      </c>
      <c r="B5380" s="1" t="s">
        <v>2750</v>
      </c>
      <c r="C5380" s="1" t="s">
        <v>484</v>
      </c>
      <c r="D5380" s="3">
        <f t="shared" si="776"/>
        <v>7560</v>
      </c>
      <c r="E5380" s="2">
        <f t="shared" si="777"/>
        <v>41579</v>
      </c>
      <c r="F5380" s="2">
        <f t="shared" si="778"/>
        <v>41943</v>
      </c>
    </row>
    <row r="5381" spans="1:6" x14ac:dyDescent="0.25">
      <c r="A5381" s="1" t="s">
        <v>481</v>
      </c>
      <c r="B5381" s="1" t="s">
        <v>2750</v>
      </c>
      <c r="C5381" s="1" t="s">
        <v>63</v>
      </c>
      <c r="D5381" s="3">
        <f t="shared" si="776"/>
        <v>7560</v>
      </c>
      <c r="E5381" s="2">
        <f t="shared" si="777"/>
        <v>41579</v>
      </c>
      <c r="F5381" s="2">
        <f t="shared" si="778"/>
        <v>41943</v>
      </c>
    </row>
    <row r="5382" spans="1:6" x14ac:dyDescent="0.25">
      <c r="A5382" s="1" t="s">
        <v>481</v>
      </c>
      <c r="B5382" s="1" t="s">
        <v>2750</v>
      </c>
      <c r="C5382" s="1" t="s">
        <v>65</v>
      </c>
      <c r="D5382" s="3">
        <f t="shared" si="776"/>
        <v>7560</v>
      </c>
      <c r="E5382" s="2">
        <f t="shared" si="777"/>
        <v>41579</v>
      </c>
      <c r="F5382" s="2">
        <f t="shared" si="778"/>
        <v>41943</v>
      </c>
    </row>
    <row r="5383" spans="1:6" x14ac:dyDescent="0.25">
      <c r="A5383" s="1" t="s">
        <v>481</v>
      </c>
      <c r="B5383" s="1" t="s">
        <v>2750</v>
      </c>
      <c r="C5383" s="1" t="s">
        <v>46</v>
      </c>
      <c r="D5383" s="3">
        <f t="shared" si="776"/>
        <v>7560</v>
      </c>
      <c r="E5383" s="2">
        <f t="shared" si="777"/>
        <v>41579</v>
      </c>
      <c r="F5383" s="2">
        <f t="shared" si="778"/>
        <v>41943</v>
      </c>
    </row>
    <row r="5384" spans="1:6" x14ac:dyDescent="0.25">
      <c r="A5384" s="1" t="s">
        <v>481</v>
      </c>
      <c r="B5384" s="1" t="s">
        <v>2750</v>
      </c>
      <c r="C5384" s="1" t="s">
        <v>66</v>
      </c>
      <c r="D5384" s="3">
        <f t="shared" si="776"/>
        <v>7560</v>
      </c>
      <c r="E5384" s="2">
        <f t="shared" si="777"/>
        <v>41579</v>
      </c>
      <c r="F5384" s="2">
        <f t="shared" si="778"/>
        <v>41943</v>
      </c>
    </row>
    <row r="5385" spans="1:6" x14ac:dyDescent="0.25">
      <c r="A5385" s="1" t="s">
        <v>481</v>
      </c>
      <c r="B5385" s="1" t="s">
        <v>2750</v>
      </c>
      <c r="C5385" s="1" t="s">
        <v>15</v>
      </c>
      <c r="D5385" s="3">
        <f t="shared" si="776"/>
        <v>7560</v>
      </c>
      <c r="E5385" s="2">
        <f t="shared" si="777"/>
        <v>41579</v>
      </c>
      <c r="F5385" s="2">
        <f t="shared" si="778"/>
        <v>41943</v>
      </c>
    </row>
    <row r="5386" spans="1:6" x14ac:dyDescent="0.25">
      <c r="A5386" s="1" t="s">
        <v>481</v>
      </c>
      <c r="B5386" s="1" t="s">
        <v>2750</v>
      </c>
      <c r="C5386" s="1" t="s">
        <v>88</v>
      </c>
      <c r="D5386" s="3">
        <f t="shared" si="776"/>
        <v>7560</v>
      </c>
      <c r="E5386" s="2">
        <f t="shared" si="777"/>
        <v>41579</v>
      </c>
      <c r="F5386" s="2">
        <f t="shared" si="778"/>
        <v>41943</v>
      </c>
    </row>
    <row r="5387" spans="1:6" x14ac:dyDescent="0.25">
      <c r="A5387" s="1" t="s">
        <v>481</v>
      </c>
      <c r="B5387" s="1" t="s">
        <v>2750</v>
      </c>
      <c r="C5387" s="1" t="s">
        <v>17</v>
      </c>
      <c r="D5387" s="3">
        <f t="shared" si="776"/>
        <v>7560</v>
      </c>
      <c r="E5387" s="2">
        <f t="shared" si="777"/>
        <v>41579</v>
      </c>
      <c r="F5387" s="2">
        <f t="shared" si="778"/>
        <v>41943</v>
      </c>
    </row>
    <row r="5388" spans="1:6" x14ac:dyDescent="0.25">
      <c r="A5388" s="1" t="s">
        <v>481</v>
      </c>
      <c r="B5388" s="1" t="s">
        <v>2750</v>
      </c>
      <c r="C5388" s="1" t="s">
        <v>20</v>
      </c>
      <c r="D5388" s="3">
        <f t="shared" si="776"/>
        <v>7560</v>
      </c>
      <c r="E5388" s="2">
        <f t="shared" si="777"/>
        <v>41579</v>
      </c>
      <c r="F5388" s="2">
        <f t="shared" si="778"/>
        <v>41943</v>
      </c>
    </row>
    <row r="5389" spans="1:6" x14ac:dyDescent="0.25">
      <c r="A5389" s="1" t="s">
        <v>481</v>
      </c>
      <c r="B5389" s="1" t="s">
        <v>2750</v>
      </c>
      <c r="C5389" s="1" t="s">
        <v>22</v>
      </c>
      <c r="D5389" s="3">
        <f t="shared" si="776"/>
        <v>7560</v>
      </c>
      <c r="E5389" s="2">
        <f t="shared" si="777"/>
        <v>41579</v>
      </c>
      <c r="F5389" s="2">
        <f t="shared" si="778"/>
        <v>41943</v>
      </c>
    </row>
    <row r="5390" spans="1:6" x14ac:dyDescent="0.25">
      <c r="A5390" s="1" t="s">
        <v>481</v>
      </c>
      <c r="B5390" s="1" t="s">
        <v>2750</v>
      </c>
      <c r="C5390" s="1" t="s">
        <v>50</v>
      </c>
      <c r="D5390" s="3">
        <f t="shared" si="776"/>
        <v>7560</v>
      </c>
      <c r="E5390" s="2">
        <f t="shared" si="777"/>
        <v>41579</v>
      </c>
      <c r="F5390" s="2">
        <f t="shared" si="778"/>
        <v>41943</v>
      </c>
    </row>
    <row r="5391" spans="1:6" x14ac:dyDescent="0.25">
      <c r="A5391" s="1" t="s">
        <v>481</v>
      </c>
      <c r="B5391" s="1" t="s">
        <v>2750</v>
      </c>
      <c r="C5391" s="1" t="s">
        <v>27</v>
      </c>
      <c r="D5391" s="3">
        <f t="shared" si="776"/>
        <v>7560</v>
      </c>
      <c r="E5391" s="2">
        <f t="shared" si="777"/>
        <v>41579</v>
      </c>
      <c r="F5391" s="2">
        <f t="shared" si="778"/>
        <v>41943</v>
      </c>
    </row>
    <row r="5392" spans="1:6" x14ac:dyDescent="0.25">
      <c r="A5392" s="1" t="s">
        <v>481</v>
      </c>
      <c r="B5392" s="1" t="s">
        <v>2750</v>
      </c>
      <c r="C5392" s="1" t="s">
        <v>262</v>
      </c>
      <c r="D5392" s="3">
        <f t="shared" si="776"/>
        <v>7560</v>
      </c>
      <c r="E5392" s="2">
        <f t="shared" si="777"/>
        <v>41579</v>
      </c>
      <c r="F5392" s="2">
        <f t="shared" si="778"/>
        <v>41943</v>
      </c>
    </row>
    <row r="5393" spans="1:6" x14ac:dyDescent="0.25">
      <c r="A5393" s="1" t="s">
        <v>481</v>
      </c>
      <c r="B5393" s="1" t="s">
        <v>2750</v>
      </c>
      <c r="C5393" s="1" t="s">
        <v>306</v>
      </c>
      <c r="D5393" s="3">
        <f t="shared" si="776"/>
        <v>7560</v>
      </c>
      <c r="E5393" s="2">
        <f t="shared" si="777"/>
        <v>41579</v>
      </c>
      <c r="F5393" s="2">
        <f t="shared" si="778"/>
        <v>41943</v>
      </c>
    </row>
    <row r="5394" spans="1:6" x14ac:dyDescent="0.25">
      <c r="A5394" s="1" t="s">
        <v>481</v>
      </c>
      <c r="B5394" s="1" t="s">
        <v>2750</v>
      </c>
      <c r="C5394" s="1" t="s">
        <v>173</v>
      </c>
      <c r="D5394" s="3">
        <f t="shared" si="776"/>
        <v>7560</v>
      </c>
      <c r="E5394" s="2">
        <f t="shared" si="777"/>
        <v>41579</v>
      </c>
      <c r="F5394" s="2">
        <f t="shared" si="778"/>
        <v>41943</v>
      </c>
    </row>
    <row r="5395" spans="1:6" x14ac:dyDescent="0.25">
      <c r="A5395" s="1" t="s">
        <v>481</v>
      </c>
      <c r="B5395" s="1" t="s">
        <v>2750</v>
      </c>
      <c r="C5395" s="1" t="s">
        <v>36</v>
      </c>
      <c r="D5395" s="3">
        <f t="shared" si="776"/>
        <v>7560</v>
      </c>
      <c r="E5395" s="2">
        <f t="shared" si="777"/>
        <v>41579</v>
      </c>
      <c r="F5395" s="2">
        <f t="shared" si="778"/>
        <v>41943</v>
      </c>
    </row>
    <row r="5396" spans="1:6" x14ac:dyDescent="0.25">
      <c r="A5396" s="1" t="s">
        <v>481</v>
      </c>
      <c r="B5396" s="1" t="s">
        <v>2159</v>
      </c>
      <c r="C5396" s="1" t="s">
        <v>80</v>
      </c>
      <c r="D5396" s="3">
        <f t="shared" ref="D5396:D5420" si="779">VALUE("7541")</f>
        <v>7541</v>
      </c>
      <c r="E5396" s="2">
        <f t="shared" ref="E5396:E5420" si="780">DATEVALUE("1-10-2013")</f>
        <v>41548</v>
      </c>
      <c r="F5396" s="2">
        <f t="shared" ref="F5396:F5420" si="781">DATEVALUE("30-6-2016")</f>
        <v>42551</v>
      </c>
    </row>
    <row r="5397" spans="1:6" x14ac:dyDescent="0.25">
      <c r="A5397" s="1" t="s">
        <v>481</v>
      </c>
      <c r="B5397" s="1" t="s">
        <v>2159</v>
      </c>
      <c r="C5397" s="1" t="s">
        <v>39</v>
      </c>
      <c r="D5397" s="3">
        <f t="shared" si="779"/>
        <v>7541</v>
      </c>
      <c r="E5397" s="2">
        <f t="shared" si="780"/>
        <v>41548</v>
      </c>
      <c r="F5397" s="2">
        <f t="shared" si="781"/>
        <v>42551</v>
      </c>
    </row>
    <row r="5398" spans="1:6" x14ac:dyDescent="0.25">
      <c r="A5398" s="1" t="s">
        <v>481</v>
      </c>
      <c r="B5398" s="1" t="s">
        <v>2159</v>
      </c>
      <c r="C5398" s="1" t="s">
        <v>12</v>
      </c>
      <c r="D5398" s="3">
        <f t="shared" si="779"/>
        <v>7541</v>
      </c>
      <c r="E5398" s="2">
        <f t="shared" si="780"/>
        <v>41548</v>
      </c>
      <c r="F5398" s="2">
        <f t="shared" si="781"/>
        <v>42551</v>
      </c>
    </row>
    <row r="5399" spans="1:6" x14ac:dyDescent="0.25">
      <c r="A5399" s="1" t="s">
        <v>481</v>
      </c>
      <c r="B5399" s="1" t="s">
        <v>2159</v>
      </c>
      <c r="C5399" s="1" t="s">
        <v>61</v>
      </c>
      <c r="D5399" s="3">
        <f t="shared" si="779"/>
        <v>7541</v>
      </c>
      <c r="E5399" s="2">
        <f t="shared" si="780"/>
        <v>41548</v>
      </c>
      <c r="F5399" s="2">
        <f t="shared" si="781"/>
        <v>42551</v>
      </c>
    </row>
    <row r="5400" spans="1:6" x14ac:dyDescent="0.25">
      <c r="A5400" s="1" t="s">
        <v>481</v>
      </c>
      <c r="B5400" s="1" t="s">
        <v>2159</v>
      </c>
      <c r="C5400" s="1" t="s">
        <v>484</v>
      </c>
      <c r="D5400" s="3">
        <f t="shared" si="779"/>
        <v>7541</v>
      </c>
      <c r="E5400" s="2">
        <f t="shared" si="780"/>
        <v>41548</v>
      </c>
      <c r="F5400" s="2">
        <f t="shared" si="781"/>
        <v>42551</v>
      </c>
    </row>
    <row r="5401" spans="1:6" x14ac:dyDescent="0.25">
      <c r="A5401" s="1" t="s">
        <v>481</v>
      </c>
      <c r="B5401" s="1" t="s">
        <v>2159</v>
      </c>
      <c r="C5401" s="1" t="s">
        <v>346</v>
      </c>
      <c r="D5401" s="3">
        <f t="shared" si="779"/>
        <v>7541</v>
      </c>
      <c r="E5401" s="2">
        <f t="shared" si="780"/>
        <v>41548</v>
      </c>
      <c r="F5401" s="2">
        <f t="shared" si="781"/>
        <v>42551</v>
      </c>
    </row>
    <row r="5402" spans="1:6" x14ac:dyDescent="0.25">
      <c r="A5402" s="1" t="s">
        <v>481</v>
      </c>
      <c r="B5402" s="1" t="s">
        <v>2159</v>
      </c>
      <c r="C5402" s="1" t="s">
        <v>587</v>
      </c>
      <c r="D5402" s="3">
        <f t="shared" si="779"/>
        <v>7541</v>
      </c>
      <c r="E5402" s="2">
        <f t="shared" si="780"/>
        <v>41548</v>
      </c>
      <c r="F5402" s="2">
        <f t="shared" si="781"/>
        <v>42551</v>
      </c>
    </row>
    <row r="5403" spans="1:6" x14ac:dyDescent="0.25">
      <c r="A5403" s="1" t="s">
        <v>481</v>
      </c>
      <c r="B5403" s="1" t="s">
        <v>2159</v>
      </c>
      <c r="C5403" s="1" t="s">
        <v>46</v>
      </c>
      <c r="D5403" s="3">
        <f t="shared" si="779"/>
        <v>7541</v>
      </c>
      <c r="E5403" s="2">
        <f t="shared" si="780"/>
        <v>41548</v>
      </c>
      <c r="F5403" s="2">
        <f t="shared" si="781"/>
        <v>42551</v>
      </c>
    </row>
    <row r="5404" spans="1:6" x14ac:dyDescent="0.25">
      <c r="A5404" s="1" t="s">
        <v>481</v>
      </c>
      <c r="B5404" s="1" t="s">
        <v>2159</v>
      </c>
      <c r="C5404" s="1" t="s">
        <v>14</v>
      </c>
      <c r="D5404" s="3">
        <f t="shared" si="779"/>
        <v>7541</v>
      </c>
      <c r="E5404" s="2">
        <f t="shared" si="780"/>
        <v>41548</v>
      </c>
      <c r="F5404" s="2">
        <f t="shared" si="781"/>
        <v>42551</v>
      </c>
    </row>
    <row r="5405" spans="1:6" x14ac:dyDescent="0.25">
      <c r="A5405" s="1" t="s">
        <v>481</v>
      </c>
      <c r="B5405" s="1" t="s">
        <v>2159</v>
      </c>
      <c r="C5405" s="1" t="s">
        <v>66</v>
      </c>
      <c r="D5405" s="3">
        <f t="shared" si="779"/>
        <v>7541</v>
      </c>
      <c r="E5405" s="2">
        <f t="shared" si="780"/>
        <v>41548</v>
      </c>
      <c r="F5405" s="2">
        <f t="shared" si="781"/>
        <v>42551</v>
      </c>
    </row>
    <row r="5406" spans="1:6" x14ac:dyDescent="0.25">
      <c r="A5406" s="1" t="s">
        <v>481</v>
      </c>
      <c r="B5406" s="1" t="s">
        <v>2159</v>
      </c>
      <c r="C5406" s="1" t="s">
        <v>15</v>
      </c>
      <c r="D5406" s="3">
        <f t="shared" si="779"/>
        <v>7541</v>
      </c>
      <c r="E5406" s="2">
        <f t="shared" si="780"/>
        <v>41548</v>
      </c>
      <c r="F5406" s="2">
        <f t="shared" si="781"/>
        <v>42551</v>
      </c>
    </row>
    <row r="5407" spans="1:6" x14ac:dyDescent="0.25">
      <c r="A5407" s="1" t="s">
        <v>481</v>
      </c>
      <c r="B5407" s="1" t="s">
        <v>2159</v>
      </c>
      <c r="C5407" s="1" t="s">
        <v>16</v>
      </c>
      <c r="D5407" s="3">
        <f t="shared" si="779"/>
        <v>7541</v>
      </c>
      <c r="E5407" s="2">
        <f t="shared" si="780"/>
        <v>41548</v>
      </c>
      <c r="F5407" s="2">
        <f t="shared" si="781"/>
        <v>42551</v>
      </c>
    </row>
    <row r="5408" spans="1:6" x14ac:dyDescent="0.25">
      <c r="A5408" s="1" t="s">
        <v>481</v>
      </c>
      <c r="B5408" s="1" t="s">
        <v>2159</v>
      </c>
      <c r="C5408" s="1" t="s">
        <v>290</v>
      </c>
      <c r="D5408" s="3">
        <f t="shared" si="779"/>
        <v>7541</v>
      </c>
      <c r="E5408" s="2">
        <f t="shared" si="780"/>
        <v>41548</v>
      </c>
      <c r="F5408" s="2">
        <f t="shared" si="781"/>
        <v>42551</v>
      </c>
    </row>
    <row r="5409" spans="1:6" x14ac:dyDescent="0.25">
      <c r="A5409" s="1" t="s">
        <v>481</v>
      </c>
      <c r="B5409" s="1" t="s">
        <v>2159</v>
      </c>
      <c r="C5409" s="1" t="s">
        <v>88</v>
      </c>
      <c r="D5409" s="3">
        <f t="shared" si="779"/>
        <v>7541</v>
      </c>
      <c r="E5409" s="2">
        <f t="shared" si="780"/>
        <v>41548</v>
      </c>
      <c r="F5409" s="2">
        <f t="shared" si="781"/>
        <v>42551</v>
      </c>
    </row>
    <row r="5410" spans="1:6" x14ac:dyDescent="0.25">
      <c r="A5410" s="1" t="s">
        <v>481</v>
      </c>
      <c r="B5410" s="1" t="s">
        <v>2159</v>
      </c>
      <c r="C5410" s="1" t="s">
        <v>17</v>
      </c>
      <c r="D5410" s="3">
        <f t="shared" si="779"/>
        <v>7541</v>
      </c>
      <c r="E5410" s="2">
        <f t="shared" si="780"/>
        <v>41548</v>
      </c>
      <c r="F5410" s="2">
        <f t="shared" si="781"/>
        <v>42551</v>
      </c>
    </row>
    <row r="5411" spans="1:6" x14ac:dyDescent="0.25">
      <c r="A5411" s="1" t="s">
        <v>481</v>
      </c>
      <c r="B5411" s="1" t="s">
        <v>2159</v>
      </c>
      <c r="C5411" s="1" t="s">
        <v>20</v>
      </c>
      <c r="D5411" s="3">
        <f t="shared" si="779"/>
        <v>7541</v>
      </c>
      <c r="E5411" s="2">
        <f t="shared" si="780"/>
        <v>41548</v>
      </c>
      <c r="F5411" s="2">
        <f t="shared" si="781"/>
        <v>42551</v>
      </c>
    </row>
    <row r="5412" spans="1:6" x14ac:dyDescent="0.25">
      <c r="A5412" s="1" t="s">
        <v>481</v>
      </c>
      <c r="B5412" s="1" t="s">
        <v>2159</v>
      </c>
      <c r="C5412" s="1" t="s">
        <v>22</v>
      </c>
      <c r="D5412" s="3">
        <f t="shared" si="779"/>
        <v>7541</v>
      </c>
      <c r="E5412" s="2">
        <f t="shared" si="780"/>
        <v>41548</v>
      </c>
      <c r="F5412" s="2">
        <f t="shared" si="781"/>
        <v>42551</v>
      </c>
    </row>
    <row r="5413" spans="1:6" x14ac:dyDescent="0.25">
      <c r="A5413" s="1" t="s">
        <v>481</v>
      </c>
      <c r="B5413" s="1" t="s">
        <v>2159</v>
      </c>
      <c r="C5413" s="1" t="s">
        <v>474</v>
      </c>
      <c r="D5413" s="3">
        <f t="shared" si="779"/>
        <v>7541</v>
      </c>
      <c r="E5413" s="2">
        <f t="shared" si="780"/>
        <v>41548</v>
      </c>
      <c r="F5413" s="2">
        <f t="shared" si="781"/>
        <v>42551</v>
      </c>
    </row>
    <row r="5414" spans="1:6" x14ac:dyDescent="0.25">
      <c r="A5414" s="1" t="s">
        <v>481</v>
      </c>
      <c r="B5414" s="1" t="s">
        <v>2159</v>
      </c>
      <c r="C5414" s="1" t="s">
        <v>27</v>
      </c>
      <c r="D5414" s="3">
        <f t="shared" si="779"/>
        <v>7541</v>
      </c>
      <c r="E5414" s="2">
        <f t="shared" si="780"/>
        <v>41548</v>
      </c>
      <c r="F5414" s="2">
        <f t="shared" si="781"/>
        <v>42551</v>
      </c>
    </row>
    <row r="5415" spans="1:6" x14ac:dyDescent="0.25">
      <c r="A5415" s="1" t="s">
        <v>481</v>
      </c>
      <c r="B5415" s="1" t="s">
        <v>2159</v>
      </c>
      <c r="C5415" s="1" t="s">
        <v>262</v>
      </c>
      <c r="D5415" s="3">
        <f t="shared" si="779"/>
        <v>7541</v>
      </c>
      <c r="E5415" s="2">
        <f t="shared" si="780"/>
        <v>41548</v>
      </c>
      <c r="F5415" s="2">
        <f t="shared" si="781"/>
        <v>42551</v>
      </c>
    </row>
    <row r="5416" spans="1:6" x14ac:dyDescent="0.25">
      <c r="A5416" s="1" t="s">
        <v>481</v>
      </c>
      <c r="B5416" s="1" t="s">
        <v>2159</v>
      </c>
      <c r="C5416" s="1" t="s">
        <v>52</v>
      </c>
      <c r="D5416" s="3">
        <f t="shared" si="779"/>
        <v>7541</v>
      </c>
      <c r="E5416" s="2">
        <f t="shared" si="780"/>
        <v>41548</v>
      </c>
      <c r="F5416" s="2">
        <f t="shared" si="781"/>
        <v>42551</v>
      </c>
    </row>
    <row r="5417" spans="1:6" x14ac:dyDescent="0.25">
      <c r="A5417" s="1" t="s">
        <v>481</v>
      </c>
      <c r="B5417" s="1" t="s">
        <v>2159</v>
      </c>
      <c r="C5417" s="1" t="s">
        <v>426</v>
      </c>
      <c r="D5417" s="3">
        <f t="shared" si="779"/>
        <v>7541</v>
      </c>
      <c r="E5417" s="2">
        <f t="shared" si="780"/>
        <v>41548</v>
      </c>
      <c r="F5417" s="2">
        <f t="shared" si="781"/>
        <v>42551</v>
      </c>
    </row>
    <row r="5418" spans="1:6" x14ac:dyDescent="0.25">
      <c r="A5418" s="1" t="s">
        <v>481</v>
      </c>
      <c r="B5418" s="1" t="s">
        <v>2159</v>
      </c>
      <c r="C5418" s="1" t="s">
        <v>56</v>
      </c>
      <c r="D5418" s="3">
        <f t="shared" si="779"/>
        <v>7541</v>
      </c>
      <c r="E5418" s="2">
        <f t="shared" si="780"/>
        <v>41548</v>
      </c>
      <c r="F5418" s="2">
        <f t="shared" si="781"/>
        <v>42551</v>
      </c>
    </row>
    <row r="5419" spans="1:6" x14ac:dyDescent="0.25">
      <c r="A5419" s="1" t="s">
        <v>481</v>
      </c>
      <c r="B5419" s="1" t="s">
        <v>2159</v>
      </c>
      <c r="C5419" s="1" t="s">
        <v>173</v>
      </c>
      <c r="D5419" s="3">
        <f t="shared" si="779"/>
        <v>7541</v>
      </c>
      <c r="E5419" s="2">
        <f t="shared" si="780"/>
        <v>41548</v>
      </c>
      <c r="F5419" s="2">
        <f t="shared" si="781"/>
        <v>42551</v>
      </c>
    </row>
    <row r="5420" spans="1:6" x14ac:dyDescent="0.25">
      <c r="A5420" s="1" t="s">
        <v>481</v>
      </c>
      <c r="B5420" s="1" t="s">
        <v>2159</v>
      </c>
      <c r="C5420" s="1" t="s">
        <v>36</v>
      </c>
      <c r="D5420" s="3">
        <f t="shared" si="779"/>
        <v>7541</v>
      </c>
      <c r="E5420" s="2">
        <f t="shared" si="780"/>
        <v>41548</v>
      </c>
      <c r="F5420" s="2">
        <f t="shared" si="781"/>
        <v>42551</v>
      </c>
    </row>
    <row r="5421" spans="1:6" x14ac:dyDescent="0.25">
      <c r="A5421" s="1" t="s">
        <v>481</v>
      </c>
      <c r="B5421" s="1" t="s">
        <v>1866</v>
      </c>
      <c r="C5421" s="1" t="s">
        <v>45</v>
      </c>
      <c r="D5421" s="3">
        <f>VALUE("6125")</f>
        <v>6125</v>
      </c>
      <c r="E5421" s="2">
        <f t="shared" ref="E5421:E5426" si="782">DATEVALUE("1-9-2008")</f>
        <v>39692</v>
      </c>
      <c r="F5421" s="2">
        <f>DATEVALUE("30-9-2018")</f>
        <v>43373</v>
      </c>
    </row>
    <row r="5422" spans="1:6" x14ac:dyDescent="0.25">
      <c r="A5422" s="1" t="s">
        <v>481</v>
      </c>
      <c r="B5422" s="1" t="s">
        <v>1866</v>
      </c>
      <c r="C5422" s="1" t="s">
        <v>44</v>
      </c>
      <c r="D5422" s="3">
        <f>VALUE("6125")</f>
        <v>6125</v>
      </c>
      <c r="E5422" s="2">
        <f t="shared" si="782"/>
        <v>39692</v>
      </c>
      <c r="F5422" s="2">
        <f>DATEVALUE("30-9-2018")</f>
        <v>43373</v>
      </c>
    </row>
    <row r="5423" spans="1:6" x14ac:dyDescent="0.25">
      <c r="A5423" s="1" t="s">
        <v>481</v>
      </c>
      <c r="B5423" s="1" t="s">
        <v>1866</v>
      </c>
      <c r="C5423" s="1" t="s">
        <v>14</v>
      </c>
      <c r="D5423" s="3">
        <f>VALUE("6125")</f>
        <v>6125</v>
      </c>
      <c r="E5423" s="2">
        <f t="shared" si="782"/>
        <v>39692</v>
      </c>
      <c r="F5423" s="2">
        <f>DATEVALUE("30-9-2018")</f>
        <v>43373</v>
      </c>
    </row>
    <row r="5424" spans="1:6" x14ac:dyDescent="0.25">
      <c r="A5424" s="1" t="s">
        <v>481</v>
      </c>
      <c r="B5424" s="1" t="s">
        <v>1866</v>
      </c>
      <c r="C5424" s="1" t="s">
        <v>24</v>
      </c>
      <c r="D5424" s="3">
        <f>VALUE("6125")</f>
        <v>6125</v>
      </c>
      <c r="E5424" s="2">
        <f t="shared" si="782"/>
        <v>39692</v>
      </c>
      <c r="F5424" s="2">
        <f>DATEVALUE("30-9-2018")</f>
        <v>43373</v>
      </c>
    </row>
    <row r="5425" spans="1:6" x14ac:dyDescent="0.25">
      <c r="A5425" s="1" t="s">
        <v>481</v>
      </c>
      <c r="B5425" s="1" t="s">
        <v>1866</v>
      </c>
      <c r="C5425" s="1" t="s">
        <v>34</v>
      </c>
      <c r="D5425" s="3">
        <f>VALUE("6125")</f>
        <v>6125</v>
      </c>
      <c r="E5425" s="2">
        <f t="shared" si="782"/>
        <v>39692</v>
      </c>
      <c r="F5425" s="2">
        <f>DATEVALUE("30-9-2018")</f>
        <v>43373</v>
      </c>
    </row>
    <row r="5426" spans="1:6" x14ac:dyDescent="0.25">
      <c r="A5426" s="1" t="s">
        <v>481</v>
      </c>
      <c r="B5426" s="1" t="s">
        <v>1867</v>
      </c>
      <c r="C5426" s="1" t="s">
        <v>51</v>
      </c>
      <c r="D5426" s="3">
        <f>VALUE("6129")</f>
        <v>6129</v>
      </c>
      <c r="E5426" s="2">
        <f t="shared" si="782"/>
        <v>39692</v>
      </c>
      <c r="F5426" s="2">
        <f>DATEVALUE("31-12-2018")</f>
        <v>43465</v>
      </c>
    </row>
    <row r="5427" spans="1:6" x14ac:dyDescent="0.25">
      <c r="A5427" s="1" t="s">
        <v>2161</v>
      </c>
      <c r="B5427" s="1" t="s">
        <v>2427</v>
      </c>
      <c r="C5427" s="1" t="s">
        <v>2428</v>
      </c>
      <c r="D5427" s="3">
        <f>VALUE("8481")</f>
        <v>8481</v>
      </c>
      <c r="E5427" s="2">
        <f>DATEVALUE("1-3-2019")</f>
        <v>43525</v>
      </c>
      <c r="F5427" s="2">
        <f>DATEVALUE("29-2-2020")</f>
        <v>43890</v>
      </c>
    </row>
    <row r="5428" spans="1:6" x14ac:dyDescent="0.25">
      <c r="A5428" s="1" t="s">
        <v>2161</v>
      </c>
      <c r="B5428" s="1" t="s">
        <v>2160</v>
      </c>
      <c r="C5428" s="1" t="s">
        <v>39</v>
      </c>
      <c r="D5428" s="3">
        <f t="shared" ref="D5428:D5445" si="783">VALUE("7545")</f>
        <v>7545</v>
      </c>
      <c r="E5428" s="2">
        <f t="shared" ref="E5428:E5445" si="784">DATEVALUE("1-2-2014")</f>
        <v>41671</v>
      </c>
      <c r="F5428" s="2">
        <f t="shared" ref="F5428:F5445" si="785">DATEVALUE("31-12-2017")</f>
        <v>43100</v>
      </c>
    </row>
    <row r="5429" spans="1:6" x14ac:dyDescent="0.25">
      <c r="A5429" s="1" t="s">
        <v>2161</v>
      </c>
      <c r="B5429" s="1" t="s">
        <v>2160</v>
      </c>
      <c r="C5429" s="1" t="s">
        <v>346</v>
      </c>
      <c r="D5429" s="3">
        <f t="shared" si="783"/>
        <v>7545</v>
      </c>
      <c r="E5429" s="2">
        <f t="shared" si="784"/>
        <v>41671</v>
      </c>
      <c r="F5429" s="2">
        <f t="shared" si="785"/>
        <v>43100</v>
      </c>
    </row>
    <row r="5430" spans="1:6" x14ac:dyDescent="0.25">
      <c r="A5430" s="1" t="s">
        <v>2161</v>
      </c>
      <c r="B5430" s="1" t="s">
        <v>2160</v>
      </c>
      <c r="C5430" s="1" t="s">
        <v>1859</v>
      </c>
      <c r="D5430" s="3">
        <f t="shared" si="783"/>
        <v>7545</v>
      </c>
      <c r="E5430" s="2">
        <f t="shared" si="784"/>
        <v>41671</v>
      </c>
      <c r="F5430" s="2">
        <f t="shared" si="785"/>
        <v>43100</v>
      </c>
    </row>
    <row r="5431" spans="1:6" x14ac:dyDescent="0.25">
      <c r="A5431" s="1" t="s">
        <v>2161</v>
      </c>
      <c r="B5431" s="1" t="s">
        <v>2160</v>
      </c>
      <c r="C5431" s="1" t="s">
        <v>45</v>
      </c>
      <c r="D5431" s="3">
        <f t="shared" si="783"/>
        <v>7545</v>
      </c>
      <c r="E5431" s="2">
        <f t="shared" si="784"/>
        <v>41671</v>
      </c>
      <c r="F5431" s="2">
        <f t="shared" si="785"/>
        <v>43100</v>
      </c>
    </row>
    <row r="5432" spans="1:6" x14ac:dyDescent="0.25">
      <c r="A5432" s="1" t="s">
        <v>2161</v>
      </c>
      <c r="B5432" s="1" t="s">
        <v>2160</v>
      </c>
      <c r="C5432" s="1" t="s">
        <v>46</v>
      </c>
      <c r="D5432" s="3">
        <f t="shared" si="783"/>
        <v>7545</v>
      </c>
      <c r="E5432" s="2">
        <f t="shared" si="784"/>
        <v>41671</v>
      </c>
      <c r="F5432" s="2">
        <f t="shared" si="785"/>
        <v>43100</v>
      </c>
    </row>
    <row r="5433" spans="1:6" x14ac:dyDescent="0.25">
      <c r="A5433" s="1" t="s">
        <v>2161</v>
      </c>
      <c r="B5433" s="1" t="s">
        <v>2160</v>
      </c>
      <c r="C5433" s="1" t="s">
        <v>87</v>
      </c>
      <c r="D5433" s="3">
        <f t="shared" si="783"/>
        <v>7545</v>
      </c>
      <c r="E5433" s="2">
        <f t="shared" si="784"/>
        <v>41671</v>
      </c>
      <c r="F5433" s="2">
        <f t="shared" si="785"/>
        <v>43100</v>
      </c>
    </row>
    <row r="5434" spans="1:6" x14ac:dyDescent="0.25">
      <c r="A5434" s="1" t="s">
        <v>2161</v>
      </c>
      <c r="B5434" s="1" t="s">
        <v>2160</v>
      </c>
      <c r="C5434" s="1" t="s">
        <v>14</v>
      </c>
      <c r="D5434" s="3">
        <f t="shared" si="783"/>
        <v>7545</v>
      </c>
      <c r="E5434" s="2">
        <f t="shared" si="784"/>
        <v>41671</v>
      </c>
      <c r="F5434" s="2">
        <f t="shared" si="785"/>
        <v>43100</v>
      </c>
    </row>
    <row r="5435" spans="1:6" x14ac:dyDescent="0.25">
      <c r="A5435" s="1" t="s">
        <v>2161</v>
      </c>
      <c r="B5435" s="1" t="s">
        <v>2160</v>
      </c>
      <c r="C5435" s="1" t="s">
        <v>15</v>
      </c>
      <c r="D5435" s="3">
        <f t="shared" si="783"/>
        <v>7545</v>
      </c>
      <c r="E5435" s="2">
        <f t="shared" si="784"/>
        <v>41671</v>
      </c>
      <c r="F5435" s="2">
        <f t="shared" si="785"/>
        <v>43100</v>
      </c>
    </row>
    <row r="5436" spans="1:6" x14ac:dyDescent="0.25">
      <c r="A5436" s="1" t="s">
        <v>2161</v>
      </c>
      <c r="B5436" s="1" t="s">
        <v>2160</v>
      </c>
      <c r="C5436" s="1" t="s">
        <v>290</v>
      </c>
      <c r="D5436" s="3">
        <f t="shared" si="783"/>
        <v>7545</v>
      </c>
      <c r="E5436" s="2">
        <f t="shared" si="784"/>
        <v>41671</v>
      </c>
      <c r="F5436" s="2">
        <f t="shared" si="785"/>
        <v>43100</v>
      </c>
    </row>
    <row r="5437" spans="1:6" x14ac:dyDescent="0.25">
      <c r="A5437" s="1" t="s">
        <v>2161</v>
      </c>
      <c r="B5437" s="1" t="s">
        <v>2160</v>
      </c>
      <c r="C5437" s="1" t="s">
        <v>17</v>
      </c>
      <c r="D5437" s="3">
        <f t="shared" si="783"/>
        <v>7545</v>
      </c>
      <c r="E5437" s="2">
        <f t="shared" si="784"/>
        <v>41671</v>
      </c>
      <c r="F5437" s="2">
        <f t="shared" si="785"/>
        <v>43100</v>
      </c>
    </row>
    <row r="5438" spans="1:6" x14ac:dyDescent="0.25">
      <c r="A5438" s="1" t="s">
        <v>2161</v>
      </c>
      <c r="B5438" s="1" t="s">
        <v>2160</v>
      </c>
      <c r="C5438" s="1" t="s">
        <v>20</v>
      </c>
      <c r="D5438" s="3">
        <f t="shared" si="783"/>
        <v>7545</v>
      </c>
      <c r="E5438" s="2">
        <f t="shared" si="784"/>
        <v>41671</v>
      </c>
      <c r="F5438" s="2">
        <f t="shared" si="785"/>
        <v>43100</v>
      </c>
    </row>
    <row r="5439" spans="1:6" x14ac:dyDescent="0.25">
      <c r="A5439" s="1" t="s">
        <v>2161</v>
      </c>
      <c r="B5439" s="1" t="s">
        <v>2160</v>
      </c>
      <c r="C5439" s="1" t="s">
        <v>21</v>
      </c>
      <c r="D5439" s="3">
        <f t="shared" si="783"/>
        <v>7545</v>
      </c>
      <c r="E5439" s="2">
        <f t="shared" si="784"/>
        <v>41671</v>
      </c>
      <c r="F5439" s="2">
        <f t="shared" si="785"/>
        <v>43100</v>
      </c>
    </row>
    <row r="5440" spans="1:6" x14ac:dyDescent="0.25">
      <c r="A5440" s="1" t="s">
        <v>2161</v>
      </c>
      <c r="B5440" s="1" t="s">
        <v>2160</v>
      </c>
      <c r="C5440" s="1" t="s">
        <v>22</v>
      </c>
      <c r="D5440" s="3">
        <f t="shared" si="783"/>
        <v>7545</v>
      </c>
      <c r="E5440" s="2">
        <f t="shared" si="784"/>
        <v>41671</v>
      </c>
      <c r="F5440" s="2">
        <f t="shared" si="785"/>
        <v>43100</v>
      </c>
    </row>
    <row r="5441" spans="1:6" x14ac:dyDescent="0.25">
      <c r="A5441" s="1" t="s">
        <v>2161</v>
      </c>
      <c r="B5441" s="1" t="s">
        <v>2160</v>
      </c>
      <c r="C5441" s="1" t="s">
        <v>50</v>
      </c>
      <c r="D5441" s="3">
        <f t="shared" si="783"/>
        <v>7545</v>
      </c>
      <c r="E5441" s="2">
        <f t="shared" si="784"/>
        <v>41671</v>
      </c>
      <c r="F5441" s="2">
        <f t="shared" si="785"/>
        <v>43100</v>
      </c>
    </row>
    <row r="5442" spans="1:6" x14ac:dyDescent="0.25">
      <c r="A5442" s="1" t="s">
        <v>2161</v>
      </c>
      <c r="B5442" s="1" t="s">
        <v>2160</v>
      </c>
      <c r="C5442" s="1" t="s">
        <v>51</v>
      </c>
      <c r="D5442" s="3">
        <f t="shared" si="783"/>
        <v>7545</v>
      </c>
      <c r="E5442" s="2">
        <f t="shared" si="784"/>
        <v>41671</v>
      </c>
      <c r="F5442" s="2">
        <f t="shared" si="785"/>
        <v>43100</v>
      </c>
    </row>
    <row r="5443" spans="1:6" x14ac:dyDescent="0.25">
      <c r="A5443" s="1" t="s">
        <v>2161</v>
      </c>
      <c r="B5443" s="1" t="s">
        <v>2160</v>
      </c>
      <c r="C5443" s="1" t="s">
        <v>73</v>
      </c>
      <c r="D5443" s="3">
        <f t="shared" si="783"/>
        <v>7545</v>
      </c>
      <c r="E5443" s="2">
        <f t="shared" si="784"/>
        <v>41671</v>
      </c>
      <c r="F5443" s="2">
        <f t="shared" si="785"/>
        <v>43100</v>
      </c>
    </row>
    <row r="5444" spans="1:6" x14ac:dyDescent="0.25">
      <c r="A5444" s="1" t="s">
        <v>2161</v>
      </c>
      <c r="B5444" s="1" t="s">
        <v>2160</v>
      </c>
      <c r="C5444" s="1" t="s">
        <v>56</v>
      </c>
      <c r="D5444" s="3">
        <f t="shared" si="783"/>
        <v>7545</v>
      </c>
      <c r="E5444" s="2">
        <f t="shared" si="784"/>
        <v>41671</v>
      </c>
      <c r="F5444" s="2">
        <f t="shared" si="785"/>
        <v>43100</v>
      </c>
    </row>
    <row r="5445" spans="1:6" x14ac:dyDescent="0.25">
      <c r="A5445" s="1" t="s">
        <v>2161</v>
      </c>
      <c r="B5445" s="1" t="s">
        <v>2160</v>
      </c>
      <c r="C5445" s="1" t="s">
        <v>173</v>
      </c>
      <c r="D5445" s="3">
        <f t="shared" si="783"/>
        <v>7545</v>
      </c>
      <c r="E5445" s="2">
        <f t="shared" si="784"/>
        <v>41671</v>
      </c>
      <c r="F5445" s="2">
        <f t="shared" si="785"/>
        <v>43100</v>
      </c>
    </row>
    <row r="5446" spans="1:6" x14ac:dyDescent="0.25">
      <c r="A5446" s="1" t="s">
        <v>2067</v>
      </c>
      <c r="B5446" s="1" t="s">
        <v>2415</v>
      </c>
      <c r="C5446" s="1" t="s">
        <v>14</v>
      </c>
      <c r="D5446" s="3">
        <f t="shared" ref="D5446:D5454" si="786">VALUE("8413")</f>
        <v>8413</v>
      </c>
      <c r="E5446" s="2">
        <f t="shared" ref="E5446:E5454" si="787">DATEVALUE("1-2-2019")</f>
        <v>43497</v>
      </c>
      <c r="F5446" s="2">
        <f t="shared" ref="F5446:F5454" si="788">DATEVALUE("30-6-2019")</f>
        <v>43646</v>
      </c>
    </row>
    <row r="5447" spans="1:6" x14ac:dyDescent="0.25">
      <c r="A5447" s="1" t="s">
        <v>2067</v>
      </c>
      <c r="B5447" s="1" t="s">
        <v>2415</v>
      </c>
      <c r="C5447" s="1" t="s">
        <v>15</v>
      </c>
      <c r="D5447" s="3">
        <f t="shared" si="786"/>
        <v>8413</v>
      </c>
      <c r="E5447" s="2">
        <f t="shared" si="787"/>
        <v>43497</v>
      </c>
      <c r="F5447" s="2">
        <f t="shared" si="788"/>
        <v>43646</v>
      </c>
    </row>
    <row r="5448" spans="1:6" x14ac:dyDescent="0.25">
      <c r="A5448" s="1" t="s">
        <v>2067</v>
      </c>
      <c r="B5448" s="1" t="s">
        <v>2415</v>
      </c>
      <c r="C5448" s="1" t="s">
        <v>17</v>
      </c>
      <c r="D5448" s="3">
        <f t="shared" si="786"/>
        <v>8413</v>
      </c>
      <c r="E5448" s="2">
        <f t="shared" si="787"/>
        <v>43497</v>
      </c>
      <c r="F5448" s="2">
        <f t="shared" si="788"/>
        <v>43646</v>
      </c>
    </row>
    <row r="5449" spans="1:6" x14ac:dyDescent="0.25">
      <c r="A5449" s="1" t="s">
        <v>2067</v>
      </c>
      <c r="B5449" s="1" t="s">
        <v>2415</v>
      </c>
      <c r="C5449" s="1" t="s">
        <v>22</v>
      </c>
      <c r="D5449" s="3">
        <f t="shared" si="786"/>
        <v>8413</v>
      </c>
      <c r="E5449" s="2">
        <f t="shared" si="787"/>
        <v>43497</v>
      </c>
      <c r="F5449" s="2">
        <f t="shared" si="788"/>
        <v>43646</v>
      </c>
    </row>
    <row r="5450" spans="1:6" x14ac:dyDescent="0.25">
      <c r="A5450" s="1" t="s">
        <v>2067</v>
      </c>
      <c r="B5450" s="1" t="s">
        <v>2415</v>
      </c>
      <c r="C5450" s="1" t="s">
        <v>146</v>
      </c>
      <c r="D5450" s="3">
        <f t="shared" si="786"/>
        <v>8413</v>
      </c>
      <c r="E5450" s="2">
        <f t="shared" si="787"/>
        <v>43497</v>
      </c>
      <c r="F5450" s="2">
        <f t="shared" si="788"/>
        <v>43646</v>
      </c>
    </row>
    <row r="5451" spans="1:6" x14ac:dyDescent="0.25">
      <c r="A5451" s="1" t="s">
        <v>2067</v>
      </c>
      <c r="B5451" s="1" t="s">
        <v>2415</v>
      </c>
      <c r="C5451" s="1" t="s">
        <v>67</v>
      </c>
      <c r="D5451" s="3">
        <f t="shared" si="786"/>
        <v>8413</v>
      </c>
      <c r="E5451" s="2">
        <f t="shared" si="787"/>
        <v>43497</v>
      </c>
      <c r="F5451" s="2">
        <f t="shared" si="788"/>
        <v>43646</v>
      </c>
    </row>
    <row r="5452" spans="1:6" x14ac:dyDescent="0.25">
      <c r="A5452" s="1" t="s">
        <v>2067</v>
      </c>
      <c r="B5452" s="1" t="s">
        <v>2415</v>
      </c>
      <c r="C5452" s="1" t="s">
        <v>24</v>
      </c>
      <c r="D5452" s="3">
        <f t="shared" si="786"/>
        <v>8413</v>
      </c>
      <c r="E5452" s="2">
        <f t="shared" si="787"/>
        <v>43497</v>
      </c>
      <c r="F5452" s="2">
        <f t="shared" si="788"/>
        <v>43646</v>
      </c>
    </row>
    <row r="5453" spans="1:6" x14ac:dyDescent="0.25">
      <c r="A5453" s="1" t="s">
        <v>2067</v>
      </c>
      <c r="B5453" s="1" t="s">
        <v>2415</v>
      </c>
      <c r="C5453" s="1" t="s">
        <v>160</v>
      </c>
      <c r="D5453" s="3">
        <f t="shared" si="786"/>
        <v>8413</v>
      </c>
      <c r="E5453" s="2">
        <f t="shared" si="787"/>
        <v>43497</v>
      </c>
      <c r="F5453" s="2">
        <f t="shared" si="788"/>
        <v>43646</v>
      </c>
    </row>
    <row r="5454" spans="1:6" x14ac:dyDescent="0.25">
      <c r="A5454" s="1" t="s">
        <v>2067</v>
      </c>
      <c r="B5454" s="1" t="s">
        <v>2415</v>
      </c>
      <c r="C5454" s="1" t="s">
        <v>34</v>
      </c>
      <c r="D5454" s="3">
        <f t="shared" si="786"/>
        <v>8413</v>
      </c>
      <c r="E5454" s="2">
        <f t="shared" si="787"/>
        <v>43497</v>
      </c>
      <c r="F5454" s="2">
        <f t="shared" si="788"/>
        <v>43646</v>
      </c>
    </row>
    <row r="5455" spans="1:6" x14ac:dyDescent="0.25">
      <c r="A5455" s="1" t="s">
        <v>2067</v>
      </c>
      <c r="B5455" s="1" t="s">
        <v>2066</v>
      </c>
      <c r="C5455" s="1" t="s">
        <v>184</v>
      </c>
      <c r="D5455" s="3">
        <f t="shared" ref="D5455:D5465" si="789">VALUE("8277")</f>
        <v>8277</v>
      </c>
      <c r="E5455" s="2">
        <f t="shared" ref="E5455:E5465" si="790">DATEVALUE("1-6-2018")</f>
        <v>43252</v>
      </c>
      <c r="F5455" s="2">
        <f t="shared" ref="F5455:F5465" si="791">DATEVALUE("30-11-2018")</f>
        <v>43434</v>
      </c>
    </row>
    <row r="5456" spans="1:6" x14ac:dyDescent="0.25">
      <c r="A5456" s="1" t="s">
        <v>2067</v>
      </c>
      <c r="B5456" s="1" t="s">
        <v>2066</v>
      </c>
      <c r="C5456" s="1" t="s">
        <v>14</v>
      </c>
      <c r="D5456" s="3">
        <f t="shared" si="789"/>
        <v>8277</v>
      </c>
      <c r="E5456" s="2">
        <f t="shared" si="790"/>
        <v>43252</v>
      </c>
      <c r="F5456" s="2">
        <f t="shared" si="791"/>
        <v>43434</v>
      </c>
    </row>
    <row r="5457" spans="1:6" x14ac:dyDescent="0.25">
      <c r="A5457" s="1" t="s">
        <v>2067</v>
      </c>
      <c r="B5457" s="1" t="s">
        <v>2066</v>
      </c>
      <c r="C5457" s="1" t="s">
        <v>15</v>
      </c>
      <c r="D5457" s="3">
        <f t="shared" si="789"/>
        <v>8277</v>
      </c>
      <c r="E5457" s="2">
        <f t="shared" si="790"/>
        <v>43252</v>
      </c>
      <c r="F5457" s="2">
        <f t="shared" si="791"/>
        <v>43434</v>
      </c>
    </row>
    <row r="5458" spans="1:6" x14ac:dyDescent="0.25">
      <c r="A5458" s="1" t="s">
        <v>2067</v>
      </c>
      <c r="B5458" s="1" t="s">
        <v>2066</v>
      </c>
      <c r="C5458" s="1" t="s">
        <v>17</v>
      </c>
      <c r="D5458" s="3">
        <f t="shared" si="789"/>
        <v>8277</v>
      </c>
      <c r="E5458" s="2">
        <f t="shared" si="790"/>
        <v>43252</v>
      </c>
      <c r="F5458" s="2">
        <f t="shared" si="791"/>
        <v>43434</v>
      </c>
    </row>
    <row r="5459" spans="1:6" x14ac:dyDescent="0.25">
      <c r="A5459" s="1" t="s">
        <v>2067</v>
      </c>
      <c r="B5459" s="1" t="s">
        <v>2066</v>
      </c>
      <c r="C5459" s="1" t="s">
        <v>22</v>
      </c>
      <c r="D5459" s="3">
        <f t="shared" si="789"/>
        <v>8277</v>
      </c>
      <c r="E5459" s="2">
        <f t="shared" si="790"/>
        <v>43252</v>
      </c>
      <c r="F5459" s="2">
        <f t="shared" si="791"/>
        <v>43434</v>
      </c>
    </row>
    <row r="5460" spans="1:6" x14ac:dyDescent="0.25">
      <c r="A5460" s="1" t="s">
        <v>2067</v>
      </c>
      <c r="B5460" s="1" t="s">
        <v>2066</v>
      </c>
      <c r="C5460" s="1" t="s">
        <v>146</v>
      </c>
      <c r="D5460" s="3">
        <f t="shared" si="789"/>
        <v>8277</v>
      </c>
      <c r="E5460" s="2">
        <f t="shared" si="790"/>
        <v>43252</v>
      </c>
      <c r="F5460" s="2">
        <f t="shared" si="791"/>
        <v>43434</v>
      </c>
    </row>
    <row r="5461" spans="1:6" x14ac:dyDescent="0.25">
      <c r="A5461" s="1" t="s">
        <v>2067</v>
      </c>
      <c r="B5461" s="1" t="s">
        <v>2066</v>
      </c>
      <c r="C5461" s="1" t="s">
        <v>24</v>
      </c>
      <c r="D5461" s="3">
        <f t="shared" si="789"/>
        <v>8277</v>
      </c>
      <c r="E5461" s="2">
        <f t="shared" si="790"/>
        <v>43252</v>
      </c>
      <c r="F5461" s="2">
        <f t="shared" si="791"/>
        <v>43434</v>
      </c>
    </row>
    <row r="5462" spans="1:6" x14ac:dyDescent="0.25">
      <c r="A5462" s="1" t="s">
        <v>2067</v>
      </c>
      <c r="B5462" s="1" t="s">
        <v>2066</v>
      </c>
      <c r="C5462" s="1" t="s">
        <v>303</v>
      </c>
      <c r="D5462" s="3">
        <f t="shared" si="789"/>
        <v>8277</v>
      </c>
      <c r="E5462" s="2">
        <f t="shared" si="790"/>
        <v>43252</v>
      </c>
      <c r="F5462" s="2">
        <f t="shared" si="791"/>
        <v>43434</v>
      </c>
    </row>
    <row r="5463" spans="1:6" x14ac:dyDescent="0.25">
      <c r="A5463" s="1" t="s">
        <v>2067</v>
      </c>
      <c r="B5463" s="1" t="s">
        <v>2066</v>
      </c>
      <c r="C5463" s="1" t="s">
        <v>160</v>
      </c>
      <c r="D5463" s="3">
        <f t="shared" si="789"/>
        <v>8277</v>
      </c>
      <c r="E5463" s="2">
        <f t="shared" si="790"/>
        <v>43252</v>
      </c>
      <c r="F5463" s="2">
        <f t="shared" si="791"/>
        <v>43434</v>
      </c>
    </row>
    <row r="5464" spans="1:6" x14ac:dyDescent="0.25">
      <c r="A5464" s="1" t="s">
        <v>2067</v>
      </c>
      <c r="B5464" s="1" t="s">
        <v>2066</v>
      </c>
      <c r="C5464" s="1" t="s">
        <v>34</v>
      </c>
      <c r="D5464" s="3">
        <f t="shared" si="789"/>
        <v>8277</v>
      </c>
      <c r="E5464" s="2">
        <f t="shared" si="790"/>
        <v>43252</v>
      </c>
      <c r="F5464" s="2">
        <f t="shared" si="791"/>
        <v>43434</v>
      </c>
    </row>
    <row r="5465" spans="1:6" x14ac:dyDescent="0.25">
      <c r="A5465" s="1" t="s">
        <v>2067</v>
      </c>
      <c r="B5465" s="1" t="s">
        <v>2066</v>
      </c>
      <c r="C5465" s="1" t="s">
        <v>170</v>
      </c>
      <c r="D5465" s="3">
        <f t="shared" si="789"/>
        <v>8277</v>
      </c>
      <c r="E5465" s="2">
        <f t="shared" si="790"/>
        <v>43252</v>
      </c>
      <c r="F5465" s="2">
        <f t="shared" si="791"/>
        <v>43434</v>
      </c>
    </row>
    <row r="5466" spans="1:6" x14ac:dyDescent="0.25">
      <c r="A5466" s="1" t="s">
        <v>2316</v>
      </c>
      <c r="B5466" s="1" t="s">
        <v>2315</v>
      </c>
      <c r="C5466" s="1" t="s">
        <v>2317</v>
      </c>
      <c r="D5466" s="3">
        <f t="shared" ref="D5466:D5478" si="792">VALUE("8150")</f>
        <v>8150</v>
      </c>
      <c r="E5466" s="2">
        <f t="shared" ref="E5466:E5478" si="793">DATEVALUE("1-1-2018")</f>
        <v>43101</v>
      </c>
      <c r="F5466" s="2">
        <f t="shared" ref="F5466:F5478" si="794">DATEVALUE("30-4-2020")</f>
        <v>43951</v>
      </c>
    </row>
    <row r="5467" spans="1:6" x14ac:dyDescent="0.25">
      <c r="A5467" s="1" t="s">
        <v>2316</v>
      </c>
      <c r="B5467" s="1" t="s">
        <v>2315</v>
      </c>
      <c r="C5467" s="1" t="s">
        <v>14</v>
      </c>
      <c r="D5467" s="3">
        <f t="shared" si="792"/>
        <v>8150</v>
      </c>
      <c r="E5467" s="2">
        <f t="shared" si="793"/>
        <v>43101</v>
      </c>
      <c r="F5467" s="2">
        <f t="shared" si="794"/>
        <v>43951</v>
      </c>
    </row>
    <row r="5468" spans="1:6" x14ac:dyDescent="0.25">
      <c r="A5468" s="1" t="s">
        <v>2316</v>
      </c>
      <c r="B5468" s="1" t="s">
        <v>2315</v>
      </c>
      <c r="C5468" s="1" t="s">
        <v>66</v>
      </c>
      <c r="D5468" s="3">
        <f t="shared" si="792"/>
        <v>8150</v>
      </c>
      <c r="E5468" s="2">
        <f t="shared" si="793"/>
        <v>43101</v>
      </c>
      <c r="F5468" s="2">
        <f t="shared" si="794"/>
        <v>43951</v>
      </c>
    </row>
    <row r="5469" spans="1:6" x14ac:dyDescent="0.25">
      <c r="A5469" s="1" t="s">
        <v>2316</v>
      </c>
      <c r="B5469" s="1" t="s">
        <v>2315</v>
      </c>
      <c r="C5469" s="1" t="s">
        <v>15</v>
      </c>
      <c r="D5469" s="3">
        <f t="shared" si="792"/>
        <v>8150</v>
      </c>
      <c r="E5469" s="2">
        <f t="shared" si="793"/>
        <v>43101</v>
      </c>
      <c r="F5469" s="2">
        <f t="shared" si="794"/>
        <v>43951</v>
      </c>
    </row>
    <row r="5470" spans="1:6" x14ac:dyDescent="0.25">
      <c r="A5470" s="1" t="s">
        <v>2316</v>
      </c>
      <c r="B5470" s="1" t="s">
        <v>2315</v>
      </c>
      <c r="C5470" s="1" t="s">
        <v>17</v>
      </c>
      <c r="D5470" s="3">
        <f t="shared" si="792"/>
        <v>8150</v>
      </c>
      <c r="E5470" s="2">
        <f t="shared" si="793"/>
        <v>43101</v>
      </c>
      <c r="F5470" s="2">
        <f t="shared" si="794"/>
        <v>43951</v>
      </c>
    </row>
    <row r="5471" spans="1:6" x14ac:dyDescent="0.25">
      <c r="A5471" s="1" t="s">
        <v>2316</v>
      </c>
      <c r="B5471" s="1" t="s">
        <v>2315</v>
      </c>
      <c r="C5471" s="1" t="s">
        <v>22</v>
      </c>
      <c r="D5471" s="3">
        <f t="shared" si="792"/>
        <v>8150</v>
      </c>
      <c r="E5471" s="2">
        <f t="shared" si="793"/>
        <v>43101</v>
      </c>
      <c r="F5471" s="2">
        <f t="shared" si="794"/>
        <v>43951</v>
      </c>
    </row>
    <row r="5472" spans="1:6" x14ac:dyDescent="0.25">
      <c r="A5472" s="1" t="s">
        <v>2316</v>
      </c>
      <c r="B5472" s="1" t="s">
        <v>2315</v>
      </c>
      <c r="C5472" s="1" t="s">
        <v>146</v>
      </c>
      <c r="D5472" s="3">
        <f t="shared" si="792"/>
        <v>8150</v>
      </c>
      <c r="E5472" s="2">
        <f t="shared" si="793"/>
        <v>43101</v>
      </c>
      <c r="F5472" s="2">
        <f t="shared" si="794"/>
        <v>43951</v>
      </c>
    </row>
    <row r="5473" spans="1:6" x14ac:dyDescent="0.25">
      <c r="A5473" s="1" t="s">
        <v>2316</v>
      </c>
      <c r="B5473" s="1" t="s">
        <v>2315</v>
      </c>
      <c r="C5473" s="1" t="s">
        <v>148</v>
      </c>
      <c r="D5473" s="3">
        <f t="shared" si="792"/>
        <v>8150</v>
      </c>
      <c r="E5473" s="2">
        <f t="shared" si="793"/>
        <v>43101</v>
      </c>
      <c r="F5473" s="2">
        <f t="shared" si="794"/>
        <v>43951</v>
      </c>
    </row>
    <row r="5474" spans="1:6" x14ac:dyDescent="0.25">
      <c r="A5474" s="1" t="s">
        <v>2316</v>
      </c>
      <c r="B5474" s="1" t="s">
        <v>2315</v>
      </c>
      <c r="C5474" s="1" t="s">
        <v>24</v>
      </c>
      <c r="D5474" s="3">
        <f t="shared" si="792"/>
        <v>8150</v>
      </c>
      <c r="E5474" s="2">
        <f t="shared" si="793"/>
        <v>43101</v>
      </c>
      <c r="F5474" s="2">
        <f t="shared" si="794"/>
        <v>43951</v>
      </c>
    </row>
    <row r="5475" spans="1:6" x14ac:dyDescent="0.25">
      <c r="A5475" s="1" t="s">
        <v>2316</v>
      </c>
      <c r="B5475" s="1" t="s">
        <v>2315</v>
      </c>
      <c r="C5475" s="1" t="s">
        <v>160</v>
      </c>
      <c r="D5475" s="3">
        <f t="shared" si="792"/>
        <v>8150</v>
      </c>
      <c r="E5475" s="2">
        <f t="shared" si="793"/>
        <v>43101</v>
      </c>
      <c r="F5475" s="2">
        <f t="shared" si="794"/>
        <v>43951</v>
      </c>
    </row>
    <row r="5476" spans="1:6" x14ac:dyDescent="0.25">
      <c r="A5476" s="1" t="s">
        <v>2316</v>
      </c>
      <c r="B5476" s="1" t="s">
        <v>2315</v>
      </c>
      <c r="C5476" s="1" t="s">
        <v>54</v>
      </c>
      <c r="D5476" s="3">
        <f t="shared" si="792"/>
        <v>8150</v>
      </c>
      <c r="E5476" s="2">
        <f t="shared" si="793"/>
        <v>43101</v>
      </c>
      <c r="F5476" s="2">
        <f t="shared" si="794"/>
        <v>43951</v>
      </c>
    </row>
    <row r="5477" spans="1:6" x14ac:dyDescent="0.25">
      <c r="A5477" s="1" t="s">
        <v>2316</v>
      </c>
      <c r="B5477" s="1" t="s">
        <v>2315</v>
      </c>
      <c r="C5477" s="1" t="s">
        <v>34</v>
      </c>
      <c r="D5477" s="3">
        <f t="shared" si="792"/>
        <v>8150</v>
      </c>
      <c r="E5477" s="2">
        <f t="shared" si="793"/>
        <v>43101</v>
      </c>
      <c r="F5477" s="2">
        <f t="shared" si="794"/>
        <v>43951</v>
      </c>
    </row>
    <row r="5478" spans="1:6" x14ac:dyDescent="0.25">
      <c r="A5478" s="1" t="s">
        <v>2316</v>
      </c>
      <c r="B5478" s="1" t="s">
        <v>2315</v>
      </c>
      <c r="C5478" s="1" t="s">
        <v>170</v>
      </c>
      <c r="D5478" s="3">
        <f t="shared" si="792"/>
        <v>8150</v>
      </c>
      <c r="E5478" s="2">
        <f t="shared" si="793"/>
        <v>43101</v>
      </c>
      <c r="F5478" s="2">
        <f t="shared" si="794"/>
        <v>43951</v>
      </c>
    </row>
    <row r="5479" spans="1:6" x14ac:dyDescent="0.25">
      <c r="A5479" s="1" t="s">
        <v>2448</v>
      </c>
      <c r="B5479" s="1" t="s">
        <v>2447</v>
      </c>
      <c r="C5479" s="1" t="s">
        <v>14</v>
      </c>
      <c r="D5479" s="3">
        <f t="shared" ref="D5479:D5488" si="795">VALUE("8516")</f>
        <v>8516</v>
      </c>
      <c r="E5479" s="2">
        <f t="shared" ref="E5479:E5488" si="796">DATEVALUE("1-6-2019")</f>
        <v>43617</v>
      </c>
      <c r="F5479" s="2">
        <f t="shared" ref="F5479:F5488" si="797">DATEVALUE("31-12-2019")</f>
        <v>43830</v>
      </c>
    </row>
    <row r="5480" spans="1:6" x14ac:dyDescent="0.25">
      <c r="A5480" s="1" t="s">
        <v>2448</v>
      </c>
      <c r="B5480" s="1" t="s">
        <v>2447</v>
      </c>
      <c r="C5480" s="1" t="s">
        <v>66</v>
      </c>
      <c r="D5480" s="3">
        <f t="shared" si="795"/>
        <v>8516</v>
      </c>
      <c r="E5480" s="2">
        <f t="shared" si="796"/>
        <v>43617</v>
      </c>
      <c r="F5480" s="2">
        <f t="shared" si="797"/>
        <v>43830</v>
      </c>
    </row>
    <row r="5481" spans="1:6" x14ac:dyDescent="0.25">
      <c r="A5481" s="1" t="s">
        <v>2448</v>
      </c>
      <c r="B5481" s="1" t="s">
        <v>2447</v>
      </c>
      <c r="C5481" s="1" t="s">
        <v>15</v>
      </c>
      <c r="D5481" s="3">
        <f t="shared" si="795"/>
        <v>8516</v>
      </c>
      <c r="E5481" s="2">
        <f t="shared" si="796"/>
        <v>43617</v>
      </c>
      <c r="F5481" s="2">
        <f t="shared" si="797"/>
        <v>43830</v>
      </c>
    </row>
    <row r="5482" spans="1:6" x14ac:dyDescent="0.25">
      <c r="A5482" s="1" t="s">
        <v>2448</v>
      </c>
      <c r="B5482" s="1" t="s">
        <v>2447</v>
      </c>
      <c r="C5482" s="1" t="s">
        <v>17</v>
      </c>
      <c r="D5482" s="3">
        <f t="shared" si="795"/>
        <v>8516</v>
      </c>
      <c r="E5482" s="2">
        <f t="shared" si="796"/>
        <v>43617</v>
      </c>
      <c r="F5482" s="2">
        <f t="shared" si="797"/>
        <v>43830</v>
      </c>
    </row>
    <row r="5483" spans="1:6" x14ac:dyDescent="0.25">
      <c r="A5483" s="1" t="s">
        <v>2448</v>
      </c>
      <c r="B5483" s="1" t="s">
        <v>2447</v>
      </c>
      <c r="C5483" s="1" t="s">
        <v>22</v>
      </c>
      <c r="D5483" s="3">
        <f t="shared" si="795"/>
        <v>8516</v>
      </c>
      <c r="E5483" s="2">
        <f t="shared" si="796"/>
        <v>43617</v>
      </c>
      <c r="F5483" s="2">
        <f t="shared" si="797"/>
        <v>43830</v>
      </c>
    </row>
    <row r="5484" spans="1:6" x14ac:dyDescent="0.25">
      <c r="A5484" s="1" t="s">
        <v>2448</v>
      </c>
      <c r="B5484" s="1" t="s">
        <v>2447</v>
      </c>
      <c r="C5484" s="1" t="s">
        <v>146</v>
      </c>
      <c r="D5484" s="3">
        <f t="shared" si="795"/>
        <v>8516</v>
      </c>
      <c r="E5484" s="2">
        <f t="shared" si="796"/>
        <v>43617</v>
      </c>
      <c r="F5484" s="2">
        <f t="shared" si="797"/>
        <v>43830</v>
      </c>
    </row>
    <row r="5485" spans="1:6" x14ac:dyDescent="0.25">
      <c r="A5485" s="1" t="s">
        <v>2448</v>
      </c>
      <c r="B5485" s="1" t="s">
        <v>2447</v>
      </c>
      <c r="C5485" s="1" t="s">
        <v>67</v>
      </c>
      <c r="D5485" s="3">
        <f t="shared" si="795"/>
        <v>8516</v>
      </c>
      <c r="E5485" s="2">
        <f t="shared" si="796"/>
        <v>43617</v>
      </c>
      <c r="F5485" s="2">
        <f t="shared" si="797"/>
        <v>43830</v>
      </c>
    </row>
    <row r="5486" spans="1:6" x14ac:dyDescent="0.25">
      <c r="A5486" s="1" t="s">
        <v>2448</v>
      </c>
      <c r="B5486" s="1" t="s">
        <v>2447</v>
      </c>
      <c r="C5486" s="1" t="s">
        <v>160</v>
      </c>
      <c r="D5486" s="3">
        <f t="shared" si="795"/>
        <v>8516</v>
      </c>
      <c r="E5486" s="2">
        <f t="shared" si="796"/>
        <v>43617</v>
      </c>
      <c r="F5486" s="2">
        <f t="shared" si="797"/>
        <v>43830</v>
      </c>
    </row>
    <row r="5487" spans="1:6" x14ac:dyDescent="0.25">
      <c r="A5487" s="1" t="s">
        <v>2448</v>
      </c>
      <c r="B5487" s="1" t="s">
        <v>2447</v>
      </c>
      <c r="C5487" s="1" t="s">
        <v>54</v>
      </c>
      <c r="D5487" s="3">
        <f t="shared" si="795"/>
        <v>8516</v>
      </c>
      <c r="E5487" s="2">
        <f t="shared" si="796"/>
        <v>43617</v>
      </c>
      <c r="F5487" s="2">
        <f t="shared" si="797"/>
        <v>43830</v>
      </c>
    </row>
    <row r="5488" spans="1:6" x14ac:dyDescent="0.25">
      <c r="A5488" s="1" t="s">
        <v>2448</v>
      </c>
      <c r="B5488" s="1" t="s">
        <v>2447</v>
      </c>
      <c r="C5488" s="1" t="s">
        <v>34</v>
      </c>
      <c r="D5488" s="3">
        <f t="shared" si="795"/>
        <v>8516</v>
      </c>
      <c r="E5488" s="2">
        <f t="shared" si="796"/>
        <v>43617</v>
      </c>
      <c r="F5488" s="2">
        <f t="shared" si="797"/>
        <v>43830</v>
      </c>
    </row>
    <row r="5489" spans="1:6" x14ac:dyDescent="0.25">
      <c r="A5489" s="1" t="s">
        <v>1016</v>
      </c>
      <c r="B5489" s="1" t="s">
        <v>1015</v>
      </c>
      <c r="C5489" s="1" t="s">
        <v>141</v>
      </c>
      <c r="D5489" s="3">
        <f t="shared" ref="D5489:D5506" si="798">VALUE("8301")</f>
        <v>8301</v>
      </c>
      <c r="E5489" s="2">
        <f t="shared" ref="E5489:E5506" si="799">DATEVALUE("1-4-2019")</f>
        <v>43556</v>
      </c>
      <c r="F5489" s="2">
        <f t="shared" ref="F5489:F5506" si="800">DATEVALUE("31-12-2022")</f>
        <v>44926</v>
      </c>
    </row>
    <row r="5490" spans="1:6" x14ac:dyDescent="0.25">
      <c r="A5490" s="1" t="s">
        <v>1016</v>
      </c>
      <c r="B5490" s="1" t="s">
        <v>1015</v>
      </c>
      <c r="C5490" s="1" t="s">
        <v>142</v>
      </c>
      <c r="D5490" s="3">
        <f t="shared" si="798"/>
        <v>8301</v>
      </c>
      <c r="E5490" s="2">
        <f t="shared" si="799"/>
        <v>43556</v>
      </c>
      <c r="F5490" s="2">
        <f t="shared" si="800"/>
        <v>44926</v>
      </c>
    </row>
    <row r="5491" spans="1:6" x14ac:dyDescent="0.25">
      <c r="A5491" s="1" t="s">
        <v>1016</v>
      </c>
      <c r="B5491" s="1" t="s">
        <v>1015</v>
      </c>
      <c r="C5491" s="1" t="s">
        <v>14</v>
      </c>
      <c r="D5491" s="3">
        <f t="shared" si="798"/>
        <v>8301</v>
      </c>
      <c r="E5491" s="2">
        <f t="shared" si="799"/>
        <v>43556</v>
      </c>
      <c r="F5491" s="2">
        <f t="shared" si="800"/>
        <v>44926</v>
      </c>
    </row>
    <row r="5492" spans="1:6" x14ac:dyDescent="0.25">
      <c r="A5492" s="1" t="s">
        <v>1016</v>
      </c>
      <c r="B5492" s="1" t="s">
        <v>1015</v>
      </c>
      <c r="C5492" s="1" t="s">
        <v>15</v>
      </c>
      <c r="D5492" s="3">
        <f t="shared" si="798"/>
        <v>8301</v>
      </c>
      <c r="E5492" s="2">
        <f t="shared" si="799"/>
        <v>43556</v>
      </c>
      <c r="F5492" s="2">
        <f t="shared" si="800"/>
        <v>44926</v>
      </c>
    </row>
    <row r="5493" spans="1:6" x14ac:dyDescent="0.25">
      <c r="A5493" s="1" t="s">
        <v>1016</v>
      </c>
      <c r="B5493" s="1" t="s">
        <v>1015</v>
      </c>
      <c r="C5493" s="1" t="s">
        <v>17</v>
      </c>
      <c r="D5493" s="3">
        <f t="shared" si="798"/>
        <v>8301</v>
      </c>
      <c r="E5493" s="2">
        <f t="shared" si="799"/>
        <v>43556</v>
      </c>
      <c r="F5493" s="2">
        <f t="shared" si="800"/>
        <v>44926</v>
      </c>
    </row>
    <row r="5494" spans="1:6" x14ac:dyDescent="0.25">
      <c r="A5494" s="1" t="s">
        <v>1016</v>
      </c>
      <c r="B5494" s="1" t="s">
        <v>1015</v>
      </c>
      <c r="C5494" s="1" t="s">
        <v>22</v>
      </c>
      <c r="D5494" s="3">
        <f t="shared" si="798"/>
        <v>8301</v>
      </c>
      <c r="E5494" s="2">
        <f t="shared" si="799"/>
        <v>43556</v>
      </c>
      <c r="F5494" s="2">
        <f t="shared" si="800"/>
        <v>44926</v>
      </c>
    </row>
    <row r="5495" spans="1:6" x14ac:dyDescent="0.25">
      <c r="A5495" s="1" t="s">
        <v>1016</v>
      </c>
      <c r="B5495" s="1" t="s">
        <v>1015</v>
      </c>
      <c r="C5495" s="1" t="s">
        <v>146</v>
      </c>
      <c r="D5495" s="3">
        <f t="shared" si="798"/>
        <v>8301</v>
      </c>
      <c r="E5495" s="2">
        <f t="shared" si="799"/>
        <v>43556</v>
      </c>
      <c r="F5495" s="2">
        <f t="shared" si="800"/>
        <v>44926</v>
      </c>
    </row>
    <row r="5496" spans="1:6" x14ac:dyDescent="0.25">
      <c r="A5496" s="1" t="s">
        <v>1016</v>
      </c>
      <c r="B5496" s="1" t="s">
        <v>1015</v>
      </c>
      <c r="C5496" s="1" t="s">
        <v>67</v>
      </c>
      <c r="D5496" s="3">
        <f t="shared" si="798"/>
        <v>8301</v>
      </c>
      <c r="E5496" s="2">
        <f t="shared" si="799"/>
        <v>43556</v>
      </c>
      <c r="F5496" s="2">
        <f t="shared" si="800"/>
        <v>44926</v>
      </c>
    </row>
    <row r="5497" spans="1:6" x14ac:dyDescent="0.25">
      <c r="A5497" s="1" t="s">
        <v>1016</v>
      </c>
      <c r="B5497" s="1" t="s">
        <v>1015</v>
      </c>
      <c r="C5497" s="1" t="s">
        <v>148</v>
      </c>
      <c r="D5497" s="3">
        <f t="shared" si="798"/>
        <v>8301</v>
      </c>
      <c r="E5497" s="2">
        <f t="shared" si="799"/>
        <v>43556</v>
      </c>
      <c r="F5497" s="2">
        <f t="shared" si="800"/>
        <v>44926</v>
      </c>
    </row>
    <row r="5498" spans="1:6" x14ac:dyDescent="0.25">
      <c r="A5498" s="1" t="s">
        <v>1016</v>
      </c>
      <c r="B5498" s="1" t="s">
        <v>1015</v>
      </c>
      <c r="C5498" s="1" t="s">
        <v>149</v>
      </c>
      <c r="D5498" s="3">
        <f t="shared" si="798"/>
        <v>8301</v>
      </c>
      <c r="E5498" s="2">
        <f t="shared" si="799"/>
        <v>43556</v>
      </c>
      <c r="F5498" s="2">
        <f t="shared" si="800"/>
        <v>44926</v>
      </c>
    </row>
    <row r="5499" spans="1:6" x14ac:dyDescent="0.25">
      <c r="A5499" s="1" t="s">
        <v>1016</v>
      </c>
      <c r="B5499" s="1" t="s">
        <v>1015</v>
      </c>
      <c r="C5499" s="1" t="s">
        <v>24</v>
      </c>
      <c r="D5499" s="3">
        <f t="shared" si="798"/>
        <v>8301</v>
      </c>
      <c r="E5499" s="2">
        <f t="shared" si="799"/>
        <v>43556</v>
      </c>
      <c r="F5499" s="2">
        <f t="shared" si="800"/>
        <v>44926</v>
      </c>
    </row>
    <row r="5500" spans="1:6" x14ac:dyDescent="0.25">
      <c r="A5500" s="1" t="s">
        <v>1016</v>
      </c>
      <c r="B5500" s="1" t="s">
        <v>1015</v>
      </c>
      <c r="C5500" s="1" t="s">
        <v>72</v>
      </c>
      <c r="D5500" s="3">
        <f t="shared" si="798"/>
        <v>8301</v>
      </c>
      <c r="E5500" s="2">
        <f t="shared" si="799"/>
        <v>43556</v>
      </c>
      <c r="F5500" s="2">
        <f t="shared" si="800"/>
        <v>44926</v>
      </c>
    </row>
    <row r="5501" spans="1:6" x14ac:dyDescent="0.25">
      <c r="A5501" s="1" t="s">
        <v>1016</v>
      </c>
      <c r="B5501" s="1" t="s">
        <v>1015</v>
      </c>
      <c r="C5501" s="1" t="s">
        <v>73</v>
      </c>
      <c r="D5501" s="3">
        <f t="shared" si="798"/>
        <v>8301</v>
      </c>
      <c r="E5501" s="2">
        <f t="shared" si="799"/>
        <v>43556</v>
      </c>
      <c r="F5501" s="2">
        <f t="shared" si="800"/>
        <v>44926</v>
      </c>
    </row>
    <row r="5502" spans="1:6" x14ac:dyDescent="0.25">
      <c r="A5502" s="1" t="s">
        <v>1016</v>
      </c>
      <c r="B5502" s="1" t="s">
        <v>1015</v>
      </c>
      <c r="C5502" s="1" t="s">
        <v>52</v>
      </c>
      <c r="D5502" s="3">
        <f t="shared" si="798"/>
        <v>8301</v>
      </c>
      <c r="E5502" s="2">
        <f t="shared" si="799"/>
        <v>43556</v>
      </c>
      <c r="F5502" s="2">
        <f t="shared" si="800"/>
        <v>44926</v>
      </c>
    </row>
    <row r="5503" spans="1:6" x14ac:dyDescent="0.25">
      <c r="A5503" s="1" t="s">
        <v>1016</v>
      </c>
      <c r="B5503" s="1" t="s">
        <v>1015</v>
      </c>
      <c r="C5503" s="1" t="s">
        <v>160</v>
      </c>
      <c r="D5503" s="3">
        <f t="shared" si="798"/>
        <v>8301</v>
      </c>
      <c r="E5503" s="2">
        <f t="shared" si="799"/>
        <v>43556</v>
      </c>
      <c r="F5503" s="2">
        <f t="shared" si="800"/>
        <v>44926</v>
      </c>
    </row>
    <row r="5504" spans="1:6" x14ac:dyDescent="0.25">
      <c r="A5504" s="1" t="s">
        <v>1016</v>
      </c>
      <c r="B5504" s="1" t="s">
        <v>1015</v>
      </c>
      <c r="C5504" s="1" t="s">
        <v>34</v>
      </c>
      <c r="D5504" s="3">
        <f t="shared" si="798"/>
        <v>8301</v>
      </c>
      <c r="E5504" s="2">
        <f t="shared" si="799"/>
        <v>43556</v>
      </c>
      <c r="F5504" s="2">
        <f t="shared" si="800"/>
        <v>44926</v>
      </c>
    </row>
    <row r="5505" spans="1:6" x14ac:dyDescent="0.25">
      <c r="A5505" s="1" t="s">
        <v>1016</v>
      </c>
      <c r="B5505" s="1" t="s">
        <v>1015</v>
      </c>
      <c r="C5505" s="1" t="s">
        <v>56</v>
      </c>
      <c r="D5505" s="3">
        <f t="shared" si="798"/>
        <v>8301</v>
      </c>
      <c r="E5505" s="2">
        <f t="shared" si="799"/>
        <v>43556</v>
      </c>
      <c r="F5505" s="2">
        <f t="shared" si="800"/>
        <v>44926</v>
      </c>
    </row>
    <row r="5506" spans="1:6" x14ac:dyDescent="0.25">
      <c r="A5506" s="1" t="s">
        <v>1016</v>
      </c>
      <c r="B5506" s="1" t="s">
        <v>1015</v>
      </c>
      <c r="C5506" s="1" t="s">
        <v>173</v>
      </c>
      <c r="D5506" s="3">
        <f t="shared" si="798"/>
        <v>8301</v>
      </c>
      <c r="E5506" s="2">
        <f t="shared" si="799"/>
        <v>43556</v>
      </c>
      <c r="F5506" s="2">
        <f t="shared" si="800"/>
        <v>44926</v>
      </c>
    </row>
    <row r="5507" spans="1:6" x14ac:dyDescent="0.25">
      <c r="A5507" s="1" t="s">
        <v>1016</v>
      </c>
      <c r="B5507" s="1" t="s">
        <v>2201</v>
      </c>
      <c r="C5507" s="1" t="s">
        <v>7</v>
      </c>
      <c r="D5507" s="3">
        <f>VALUE("7792")</f>
        <v>7792</v>
      </c>
      <c r="E5507" s="2">
        <f>DATEVALUE("1-10-2015")</f>
        <v>42278</v>
      </c>
      <c r="F5507" s="2">
        <f>DATEVALUE("30-6-2018")</f>
        <v>43281</v>
      </c>
    </row>
    <row r="5508" spans="1:6" x14ac:dyDescent="0.25">
      <c r="A5508" s="1" t="s">
        <v>1016</v>
      </c>
      <c r="B5508" s="1" t="s">
        <v>2201</v>
      </c>
      <c r="C5508" s="1" t="s">
        <v>73</v>
      </c>
      <c r="D5508" s="3">
        <f>VALUE("7792")</f>
        <v>7792</v>
      </c>
      <c r="E5508" s="2">
        <f>DATEVALUE("1-10-2015")</f>
        <v>42278</v>
      </c>
      <c r="F5508" s="2">
        <f>DATEVALUE("30-6-2018")</f>
        <v>43281</v>
      </c>
    </row>
    <row r="5509" spans="1:6" x14ac:dyDescent="0.25">
      <c r="A5509" s="1" t="s">
        <v>1016</v>
      </c>
      <c r="B5509" s="1" t="s">
        <v>1476</v>
      </c>
      <c r="C5509" s="1" t="s">
        <v>7</v>
      </c>
      <c r="D5509" s="3">
        <f t="shared" ref="D5509:D5539" si="801">VALUE("7575")</f>
        <v>7575</v>
      </c>
      <c r="E5509" s="2">
        <f t="shared" ref="E5509:E5539" si="802">DATEVALUE("1-7-2014")</f>
        <v>41821</v>
      </c>
      <c r="F5509" s="2">
        <f t="shared" ref="F5509:F5539" si="803">DATEVALUE("31-12-2019")</f>
        <v>43830</v>
      </c>
    </row>
    <row r="5510" spans="1:6" x14ac:dyDescent="0.25">
      <c r="A5510" s="1" t="s">
        <v>1016</v>
      </c>
      <c r="B5510" s="1" t="s">
        <v>1476</v>
      </c>
      <c r="C5510" s="1" t="s">
        <v>1478</v>
      </c>
      <c r="D5510" s="3">
        <f t="shared" si="801"/>
        <v>7575</v>
      </c>
      <c r="E5510" s="2">
        <f t="shared" si="802"/>
        <v>41821</v>
      </c>
      <c r="F5510" s="2">
        <f t="shared" si="803"/>
        <v>43830</v>
      </c>
    </row>
    <row r="5511" spans="1:6" x14ac:dyDescent="0.25">
      <c r="A5511" s="1" t="s">
        <v>1016</v>
      </c>
      <c r="B5511" s="1" t="s">
        <v>1476</v>
      </c>
      <c r="C5511" s="1" t="s">
        <v>1285</v>
      </c>
      <c r="D5511" s="3">
        <f t="shared" si="801"/>
        <v>7575</v>
      </c>
      <c r="E5511" s="2">
        <f t="shared" si="802"/>
        <v>41821</v>
      </c>
      <c r="F5511" s="2">
        <f t="shared" si="803"/>
        <v>43830</v>
      </c>
    </row>
    <row r="5512" spans="1:6" x14ac:dyDescent="0.25">
      <c r="A5512" s="1" t="s">
        <v>1016</v>
      </c>
      <c r="B5512" s="1" t="s">
        <v>1476</v>
      </c>
      <c r="C5512" s="1" t="s">
        <v>439</v>
      </c>
      <c r="D5512" s="3">
        <f t="shared" si="801"/>
        <v>7575</v>
      </c>
      <c r="E5512" s="2">
        <f t="shared" si="802"/>
        <v>41821</v>
      </c>
      <c r="F5512" s="2">
        <f t="shared" si="803"/>
        <v>43830</v>
      </c>
    </row>
    <row r="5513" spans="1:6" x14ac:dyDescent="0.25">
      <c r="A5513" s="1" t="s">
        <v>1016</v>
      </c>
      <c r="B5513" s="1" t="s">
        <v>1476</v>
      </c>
      <c r="C5513" s="1" t="s">
        <v>440</v>
      </c>
      <c r="D5513" s="3">
        <f t="shared" si="801"/>
        <v>7575</v>
      </c>
      <c r="E5513" s="2">
        <f t="shared" si="802"/>
        <v>41821</v>
      </c>
      <c r="F5513" s="2">
        <f t="shared" si="803"/>
        <v>43830</v>
      </c>
    </row>
    <row r="5514" spans="1:6" x14ac:dyDescent="0.25">
      <c r="A5514" s="1" t="s">
        <v>1016</v>
      </c>
      <c r="B5514" s="1" t="s">
        <v>1476</v>
      </c>
      <c r="C5514" s="1" t="s">
        <v>46</v>
      </c>
      <c r="D5514" s="3">
        <f t="shared" si="801"/>
        <v>7575</v>
      </c>
      <c r="E5514" s="2">
        <f t="shared" si="802"/>
        <v>41821</v>
      </c>
      <c r="F5514" s="2">
        <f t="shared" si="803"/>
        <v>43830</v>
      </c>
    </row>
    <row r="5515" spans="1:6" x14ac:dyDescent="0.25">
      <c r="A5515" s="1" t="s">
        <v>1016</v>
      </c>
      <c r="B5515" s="1" t="s">
        <v>1476</v>
      </c>
      <c r="C5515" s="1" t="s">
        <v>14</v>
      </c>
      <c r="D5515" s="3">
        <f t="shared" si="801"/>
        <v>7575</v>
      </c>
      <c r="E5515" s="2">
        <f t="shared" si="802"/>
        <v>41821</v>
      </c>
      <c r="F5515" s="2">
        <f t="shared" si="803"/>
        <v>43830</v>
      </c>
    </row>
    <row r="5516" spans="1:6" x14ac:dyDescent="0.25">
      <c r="A5516" s="1" t="s">
        <v>1016</v>
      </c>
      <c r="B5516" s="1" t="s">
        <v>1476</v>
      </c>
      <c r="C5516" s="1" t="s">
        <v>15</v>
      </c>
      <c r="D5516" s="3">
        <f t="shared" si="801"/>
        <v>7575</v>
      </c>
      <c r="E5516" s="2">
        <f t="shared" si="802"/>
        <v>41821</v>
      </c>
      <c r="F5516" s="2">
        <f t="shared" si="803"/>
        <v>43830</v>
      </c>
    </row>
    <row r="5517" spans="1:6" x14ac:dyDescent="0.25">
      <c r="A5517" s="1" t="s">
        <v>1016</v>
      </c>
      <c r="B5517" s="1" t="s">
        <v>1476</v>
      </c>
      <c r="C5517" s="1" t="s">
        <v>16</v>
      </c>
      <c r="D5517" s="3">
        <f t="shared" si="801"/>
        <v>7575</v>
      </c>
      <c r="E5517" s="2">
        <f t="shared" si="802"/>
        <v>41821</v>
      </c>
      <c r="F5517" s="2">
        <f t="shared" si="803"/>
        <v>43830</v>
      </c>
    </row>
    <row r="5518" spans="1:6" x14ac:dyDescent="0.25">
      <c r="A5518" s="1" t="s">
        <v>1016</v>
      </c>
      <c r="B5518" s="1" t="s">
        <v>1476</v>
      </c>
      <c r="C5518" s="1" t="s">
        <v>17</v>
      </c>
      <c r="D5518" s="3">
        <f t="shared" si="801"/>
        <v>7575</v>
      </c>
      <c r="E5518" s="2">
        <f t="shared" si="802"/>
        <v>41821</v>
      </c>
      <c r="F5518" s="2">
        <f t="shared" si="803"/>
        <v>43830</v>
      </c>
    </row>
    <row r="5519" spans="1:6" x14ac:dyDescent="0.25">
      <c r="A5519" s="1" t="s">
        <v>1016</v>
      </c>
      <c r="B5519" s="1" t="s">
        <v>1476</v>
      </c>
      <c r="C5519" s="1" t="s">
        <v>257</v>
      </c>
      <c r="D5519" s="3">
        <f t="shared" si="801"/>
        <v>7575</v>
      </c>
      <c r="E5519" s="2">
        <f t="shared" si="802"/>
        <v>41821</v>
      </c>
      <c r="F5519" s="2">
        <f t="shared" si="803"/>
        <v>43830</v>
      </c>
    </row>
    <row r="5520" spans="1:6" x14ac:dyDescent="0.25">
      <c r="A5520" s="1" t="s">
        <v>1016</v>
      </c>
      <c r="B5520" s="1" t="s">
        <v>1476</v>
      </c>
      <c r="C5520" s="1" t="s">
        <v>22</v>
      </c>
      <c r="D5520" s="3">
        <f t="shared" si="801"/>
        <v>7575</v>
      </c>
      <c r="E5520" s="2">
        <f t="shared" si="802"/>
        <v>41821</v>
      </c>
      <c r="F5520" s="2">
        <f t="shared" si="803"/>
        <v>43830</v>
      </c>
    </row>
    <row r="5521" spans="1:6" x14ac:dyDescent="0.25">
      <c r="A5521" s="1" t="s">
        <v>1016</v>
      </c>
      <c r="B5521" s="1" t="s">
        <v>1476</v>
      </c>
      <c r="C5521" s="1" t="s">
        <v>146</v>
      </c>
      <c r="D5521" s="3">
        <f t="shared" si="801"/>
        <v>7575</v>
      </c>
      <c r="E5521" s="2">
        <f t="shared" si="802"/>
        <v>41821</v>
      </c>
      <c r="F5521" s="2">
        <f t="shared" si="803"/>
        <v>43830</v>
      </c>
    </row>
    <row r="5522" spans="1:6" x14ac:dyDescent="0.25">
      <c r="A5522" s="1" t="s">
        <v>1016</v>
      </c>
      <c r="B5522" s="1" t="s">
        <v>1476</v>
      </c>
      <c r="C5522" s="1" t="s">
        <v>148</v>
      </c>
      <c r="D5522" s="3">
        <f t="shared" si="801"/>
        <v>7575</v>
      </c>
      <c r="E5522" s="2">
        <f t="shared" si="802"/>
        <v>41821</v>
      </c>
      <c r="F5522" s="2">
        <f t="shared" si="803"/>
        <v>43830</v>
      </c>
    </row>
    <row r="5523" spans="1:6" x14ac:dyDescent="0.25">
      <c r="A5523" s="1" t="s">
        <v>1016</v>
      </c>
      <c r="B5523" s="1" t="s">
        <v>1476</v>
      </c>
      <c r="C5523" s="1" t="s">
        <v>150</v>
      </c>
      <c r="D5523" s="3">
        <f t="shared" si="801"/>
        <v>7575</v>
      </c>
      <c r="E5523" s="2">
        <f t="shared" si="802"/>
        <v>41821</v>
      </c>
      <c r="F5523" s="2">
        <f t="shared" si="803"/>
        <v>43830</v>
      </c>
    </row>
    <row r="5524" spans="1:6" x14ac:dyDescent="0.25">
      <c r="A5524" s="1" t="s">
        <v>1016</v>
      </c>
      <c r="B5524" s="1" t="s">
        <v>1476</v>
      </c>
      <c r="C5524" s="1" t="s">
        <v>172</v>
      </c>
      <c r="D5524" s="3">
        <f t="shared" si="801"/>
        <v>7575</v>
      </c>
      <c r="E5524" s="2">
        <f t="shared" si="802"/>
        <v>41821</v>
      </c>
      <c r="F5524" s="2">
        <f t="shared" si="803"/>
        <v>43830</v>
      </c>
    </row>
    <row r="5525" spans="1:6" x14ac:dyDescent="0.25">
      <c r="A5525" s="1" t="s">
        <v>1016</v>
      </c>
      <c r="B5525" s="1" t="s">
        <v>1476</v>
      </c>
      <c r="C5525" s="1" t="s">
        <v>211</v>
      </c>
      <c r="D5525" s="3">
        <f t="shared" si="801"/>
        <v>7575</v>
      </c>
      <c r="E5525" s="2">
        <f t="shared" si="802"/>
        <v>41821</v>
      </c>
      <c r="F5525" s="2">
        <f t="shared" si="803"/>
        <v>43830</v>
      </c>
    </row>
    <row r="5526" spans="1:6" x14ac:dyDescent="0.25">
      <c r="A5526" s="1" t="s">
        <v>1016</v>
      </c>
      <c r="B5526" s="1" t="s">
        <v>1476</v>
      </c>
      <c r="C5526" s="1" t="s">
        <v>92</v>
      </c>
      <c r="D5526" s="3">
        <f t="shared" si="801"/>
        <v>7575</v>
      </c>
      <c r="E5526" s="2">
        <f t="shared" si="802"/>
        <v>41821</v>
      </c>
      <c r="F5526" s="2">
        <f t="shared" si="803"/>
        <v>43830</v>
      </c>
    </row>
    <row r="5527" spans="1:6" x14ac:dyDescent="0.25">
      <c r="A5527" s="1" t="s">
        <v>1016</v>
      </c>
      <c r="B5527" s="1" t="s">
        <v>1476</v>
      </c>
      <c r="C5527" s="1" t="s">
        <v>329</v>
      </c>
      <c r="D5527" s="3">
        <f t="shared" si="801"/>
        <v>7575</v>
      </c>
      <c r="E5527" s="2">
        <f t="shared" si="802"/>
        <v>41821</v>
      </c>
      <c r="F5527" s="2">
        <f t="shared" si="803"/>
        <v>43830</v>
      </c>
    </row>
    <row r="5528" spans="1:6" x14ac:dyDescent="0.25">
      <c r="A5528" s="1" t="s">
        <v>1016</v>
      </c>
      <c r="B5528" s="1" t="s">
        <v>1476</v>
      </c>
      <c r="C5528" s="1" t="s">
        <v>1479</v>
      </c>
      <c r="D5528" s="3">
        <f t="shared" si="801"/>
        <v>7575</v>
      </c>
      <c r="E5528" s="2">
        <f t="shared" si="802"/>
        <v>41821</v>
      </c>
      <c r="F5528" s="2">
        <f t="shared" si="803"/>
        <v>43830</v>
      </c>
    </row>
    <row r="5529" spans="1:6" x14ac:dyDescent="0.25">
      <c r="A5529" s="1" t="s">
        <v>1016</v>
      </c>
      <c r="B5529" s="1" t="s">
        <v>1476</v>
      </c>
      <c r="C5529" s="1" t="s">
        <v>212</v>
      </c>
      <c r="D5529" s="3">
        <f t="shared" si="801"/>
        <v>7575</v>
      </c>
      <c r="E5529" s="2">
        <f t="shared" si="802"/>
        <v>41821</v>
      </c>
      <c r="F5529" s="2">
        <f t="shared" si="803"/>
        <v>43830</v>
      </c>
    </row>
    <row r="5530" spans="1:6" x14ac:dyDescent="0.25">
      <c r="A5530" s="1" t="s">
        <v>1016</v>
      </c>
      <c r="B5530" s="1" t="s">
        <v>1476</v>
      </c>
      <c r="C5530" s="1" t="s">
        <v>27</v>
      </c>
      <c r="D5530" s="3">
        <f t="shared" si="801"/>
        <v>7575</v>
      </c>
      <c r="E5530" s="2">
        <f t="shared" si="802"/>
        <v>41821</v>
      </c>
      <c r="F5530" s="2">
        <f t="shared" si="803"/>
        <v>43830</v>
      </c>
    </row>
    <row r="5531" spans="1:6" x14ac:dyDescent="0.25">
      <c r="A5531" s="1" t="s">
        <v>1016</v>
      </c>
      <c r="B5531" s="1" t="s">
        <v>1476</v>
      </c>
      <c r="C5531" s="1" t="s">
        <v>262</v>
      </c>
      <c r="D5531" s="3">
        <f t="shared" si="801"/>
        <v>7575</v>
      </c>
      <c r="E5531" s="2">
        <f t="shared" si="802"/>
        <v>41821</v>
      </c>
      <c r="F5531" s="2">
        <f t="shared" si="803"/>
        <v>43830</v>
      </c>
    </row>
    <row r="5532" spans="1:6" x14ac:dyDescent="0.25">
      <c r="A5532" s="1" t="s">
        <v>1016</v>
      </c>
      <c r="B5532" s="1" t="s">
        <v>1476</v>
      </c>
      <c r="C5532" s="1" t="s">
        <v>1480</v>
      </c>
      <c r="D5532" s="3">
        <f t="shared" si="801"/>
        <v>7575</v>
      </c>
      <c r="E5532" s="2">
        <f t="shared" si="802"/>
        <v>41821</v>
      </c>
      <c r="F5532" s="2">
        <f t="shared" si="803"/>
        <v>43830</v>
      </c>
    </row>
    <row r="5533" spans="1:6" x14ac:dyDescent="0.25">
      <c r="A5533" s="1" t="s">
        <v>1016</v>
      </c>
      <c r="B5533" s="1" t="s">
        <v>1476</v>
      </c>
      <c r="C5533" s="1" t="s">
        <v>73</v>
      </c>
      <c r="D5533" s="3">
        <f t="shared" si="801"/>
        <v>7575</v>
      </c>
      <c r="E5533" s="2">
        <f t="shared" si="802"/>
        <v>41821</v>
      </c>
      <c r="F5533" s="2">
        <f t="shared" si="803"/>
        <v>43830</v>
      </c>
    </row>
    <row r="5534" spans="1:6" x14ac:dyDescent="0.25">
      <c r="A5534" s="1" t="s">
        <v>1016</v>
      </c>
      <c r="B5534" s="1" t="s">
        <v>1476</v>
      </c>
      <c r="C5534" s="1" t="s">
        <v>52</v>
      </c>
      <c r="D5534" s="3">
        <f t="shared" si="801"/>
        <v>7575</v>
      </c>
      <c r="E5534" s="2">
        <f t="shared" si="802"/>
        <v>41821</v>
      </c>
      <c r="F5534" s="2">
        <f t="shared" si="803"/>
        <v>43830</v>
      </c>
    </row>
    <row r="5535" spans="1:6" x14ac:dyDescent="0.25">
      <c r="A5535" s="1" t="s">
        <v>1016</v>
      </c>
      <c r="B5535" s="1" t="s">
        <v>1476</v>
      </c>
      <c r="C5535" s="1" t="s">
        <v>160</v>
      </c>
      <c r="D5535" s="3">
        <f t="shared" si="801"/>
        <v>7575</v>
      </c>
      <c r="E5535" s="2">
        <f t="shared" si="802"/>
        <v>41821</v>
      </c>
      <c r="F5535" s="2">
        <f t="shared" si="803"/>
        <v>43830</v>
      </c>
    </row>
    <row r="5536" spans="1:6" x14ac:dyDescent="0.25">
      <c r="A5536" s="1" t="s">
        <v>1016</v>
      </c>
      <c r="B5536" s="1" t="s">
        <v>1476</v>
      </c>
      <c r="C5536" s="1" t="s">
        <v>310</v>
      </c>
      <c r="D5536" s="3">
        <f t="shared" si="801"/>
        <v>7575</v>
      </c>
      <c r="E5536" s="2">
        <f t="shared" si="802"/>
        <v>41821</v>
      </c>
      <c r="F5536" s="2">
        <f t="shared" si="803"/>
        <v>43830</v>
      </c>
    </row>
    <row r="5537" spans="1:6" x14ac:dyDescent="0.25">
      <c r="A5537" s="1" t="s">
        <v>1016</v>
      </c>
      <c r="B5537" s="1" t="s">
        <v>1476</v>
      </c>
      <c r="C5537" s="1" t="s">
        <v>433</v>
      </c>
      <c r="D5537" s="3">
        <f t="shared" si="801"/>
        <v>7575</v>
      </c>
      <c r="E5537" s="2">
        <f t="shared" si="802"/>
        <v>41821</v>
      </c>
      <c r="F5537" s="2">
        <f t="shared" si="803"/>
        <v>43830</v>
      </c>
    </row>
    <row r="5538" spans="1:6" x14ac:dyDescent="0.25">
      <c r="A5538" s="1" t="s">
        <v>1016</v>
      </c>
      <c r="B5538" s="1" t="s">
        <v>1476</v>
      </c>
      <c r="C5538" s="1" t="s">
        <v>56</v>
      </c>
      <c r="D5538" s="3">
        <f t="shared" si="801"/>
        <v>7575</v>
      </c>
      <c r="E5538" s="2">
        <f t="shared" si="802"/>
        <v>41821</v>
      </c>
      <c r="F5538" s="2">
        <f t="shared" si="803"/>
        <v>43830</v>
      </c>
    </row>
    <row r="5539" spans="1:6" x14ac:dyDescent="0.25">
      <c r="A5539" s="1" t="s">
        <v>1016</v>
      </c>
      <c r="B5539" s="1" t="s">
        <v>1476</v>
      </c>
      <c r="C5539" s="1" t="s">
        <v>173</v>
      </c>
      <c r="D5539" s="3">
        <f t="shared" si="801"/>
        <v>7575</v>
      </c>
      <c r="E5539" s="2">
        <f t="shared" si="802"/>
        <v>41821</v>
      </c>
      <c r="F5539" s="2">
        <f t="shared" si="803"/>
        <v>43830</v>
      </c>
    </row>
    <row r="5540" spans="1:6" x14ac:dyDescent="0.25">
      <c r="A5540" s="1" t="s">
        <v>1145</v>
      </c>
      <c r="B5540" s="1" t="s">
        <v>1144</v>
      </c>
      <c r="C5540" s="1" t="s">
        <v>1147</v>
      </c>
      <c r="D5540" s="3">
        <f>VALUE("8424")</f>
        <v>8424</v>
      </c>
      <c r="E5540" s="2">
        <f>DATEVALUE("1-1-2019")</f>
        <v>43466</v>
      </c>
      <c r="F5540" s="2">
        <f>DATEVALUE("31-3-2021")</f>
        <v>44286</v>
      </c>
    </row>
    <row r="5541" spans="1:6" x14ac:dyDescent="0.25">
      <c r="A5541" s="1" t="s">
        <v>1145</v>
      </c>
      <c r="B5541" s="1" t="s">
        <v>1144</v>
      </c>
      <c r="C5541" s="1" t="s">
        <v>1146</v>
      </c>
      <c r="D5541" s="3">
        <f>VALUE("8424")</f>
        <v>8424</v>
      </c>
      <c r="E5541" s="2">
        <f>DATEVALUE("1-1-2019")</f>
        <v>43466</v>
      </c>
      <c r="F5541" s="2">
        <f>DATEVALUE("31-3-2021")</f>
        <v>44286</v>
      </c>
    </row>
    <row r="5542" spans="1:6" x14ac:dyDescent="0.25">
      <c r="A5542" s="1" t="s">
        <v>866</v>
      </c>
      <c r="B5542" s="1" t="s">
        <v>865</v>
      </c>
      <c r="C5542" s="1" t="s">
        <v>7</v>
      </c>
      <c r="D5542" s="3">
        <f t="shared" ref="D5542:D5565" si="804">VALUE("8083")</f>
        <v>8083</v>
      </c>
      <c r="E5542" s="2">
        <f t="shared" ref="E5542:E5565" si="805">DATEVALUE("1-5-2017")</f>
        <v>42856</v>
      </c>
      <c r="F5542" s="2">
        <f t="shared" ref="F5542:F5565" si="806">DATEVALUE("31-12-2024")</f>
        <v>45657</v>
      </c>
    </row>
    <row r="5543" spans="1:6" x14ac:dyDescent="0.25">
      <c r="A5543" s="1" t="s">
        <v>866</v>
      </c>
      <c r="B5543" s="1" t="s">
        <v>865</v>
      </c>
      <c r="C5543" s="1" t="s">
        <v>81</v>
      </c>
      <c r="D5543" s="3">
        <f t="shared" si="804"/>
        <v>8083</v>
      </c>
      <c r="E5543" s="2">
        <f t="shared" si="805"/>
        <v>42856</v>
      </c>
      <c r="F5543" s="2">
        <f t="shared" si="806"/>
        <v>45657</v>
      </c>
    </row>
    <row r="5544" spans="1:6" x14ac:dyDescent="0.25">
      <c r="A5544" s="1" t="s">
        <v>866</v>
      </c>
      <c r="B5544" s="1" t="s">
        <v>865</v>
      </c>
      <c r="C5544" s="1" t="s">
        <v>40</v>
      </c>
      <c r="D5544" s="3">
        <f t="shared" si="804"/>
        <v>8083</v>
      </c>
      <c r="E5544" s="2">
        <f t="shared" si="805"/>
        <v>42856</v>
      </c>
      <c r="F5544" s="2">
        <f t="shared" si="806"/>
        <v>45657</v>
      </c>
    </row>
    <row r="5545" spans="1:6" x14ac:dyDescent="0.25">
      <c r="A5545" s="1" t="s">
        <v>866</v>
      </c>
      <c r="B5545" s="1" t="s">
        <v>865</v>
      </c>
      <c r="C5545" s="1" t="s">
        <v>41</v>
      </c>
      <c r="D5545" s="3">
        <f t="shared" si="804"/>
        <v>8083</v>
      </c>
      <c r="E5545" s="2">
        <f t="shared" si="805"/>
        <v>42856</v>
      </c>
      <c r="F5545" s="2">
        <f t="shared" si="806"/>
        <v>45657</v>
      </c>
    </row>
    <row r="5546" spans="1:6" x14ac:dyDescent="0.25">
      <c r="A5546" s="1" t="s">
        <v>866</v>
      </c>
      <c r="B5546" s="1" t="s">
        <v>865</v>
      </c>
      <c r="C5546" s="1" t="s">
        <v>8</v>
      </c>
      <c r="D5546" s="3">
        <f t="shared" si="804"/>
        <v>8083</v>
      </c>
      <c r="E5546" s="2">
        <f t="shared" si="805"/>
        <v>42856</v>
      </c>
      <c r="F5546" s="2">
        <f t="shared" si="806"/>
        <v>45657</v>
      </c>
    </row>
    <row r="5547" spans="1:6" x14ac:dyDescent="0.25">
      <c r="A5547" s="1" t="s">
        <v>866</v>
      </c>
      <c r="B5547" s="1" t="s">
        <v>865</v>
      </c>
      <c r="C5547" s="1" t="s">
        <v>61</v>
      </c>
      <c r="D5547" s="3">
        <f t="shared" si="804"/>
        <v>8083</v>
      </c>
      <c r="E5547" s="2">
        <f t="shared" si="805"/>
        <v>42856</v>
      </c>
      <c r="F5547" s="2">
        <f t="shared" si="806"/>
        <v>45657</v>
      </c>
    </row>
    <row r="5548" spans="1:6" x14ac:dyDescent="0.25">
      <c r="A5548" s="1" t="s">
        <v>866</v>
      </c>
      <c r="B5548" s="1" t="s">
        <v>865</v>
      </c>
      <c r="C5548" s="1" t="s">
        <v>44</v>
      </c>
      <c r="D5548" s="3">
        <f t="shared" si="804"/>
        <v>8083</v>
      </c>
      <c r="E5548" s="2">
        <f t="shared" si="805"/>
        <v>42856</v>
      </c>
      <c r="F5548" s="2">
        <f t="shared" si="806"/>
        <v>45657</v>
      </c>
    </row>
    <row r="5549" spans="1:6" x14ac:dyDescent="0.25">
      <c r="A5549" s="1" t="s">
        <v>866</v>
      </c>
      <c r="B5549" s="1" t="s">
        <v>865</v>
      </c>
      <c r="C5549" s="1" t="s">
        <v>14</v>
      </c>
      <c r="D5549" s="3">
        <f t="shared" si="804"/>
        <v>8083</v>
      </c>
      <c r="E5549" s="2">
        <f t="shared" si="805"/>
        <v>42856</v>
      </c>
      <c r="F5549" s="2">
        <f t="shared" si="806"/>
        <v>45657</v>
      </c>
    </row>
    <row r="5550" spans="1:6" x14ac:dyDescent="0.25">
      <c r="A5550" s="1" t="s">
        <v>866</v>
      </c>
      <c r="B5550" s="1" t="s">
        <v>865</v>
      </c>
      <c r="C5550" s="1" t="s">
        <v>17</v>
      </c>
      <c r="D5550" s="3">
        <f t="shared" si="804"/>
        <v>8083</v>
      </c>
      <c r="E5550" s="2">
        <f t="shared" si="805"/>
        <v>42856</v>
      </c>
      <c r="F5550" s="2">
        <f t="shared" si="806"/>
        <v>45657</v>
      </c>
    </row>
    <row r="5551" spans="1:6" x14ac:dyDescent="0.25">
      <c r="A5551" s="1" t="s">
        <v>866</v>
      </c>
      <c r="B5551" s="1" t="s">
        <v>865</v>
      </c>
      <c r="C5551" s="1" t="s">
        <v>22</v>
      </c>
      <c r="D5551" s="3">
        <f t="shared" si="804"/>
        <v>8083</v>
      </c>
      <c r="E5551" s="2">
        <f t="shared" si="805"/>
        <v>42856</v>
      </c>
      <c r="F5551" s="2">
        <f t="shared" si="806"/>
        <v>45657</v>
      </c>
    </row>
    <row r="5552" spans="1:6" x14ac:dyDescent="0.25">
      <c r="A5552" s="1" t="s">
        <v>866</v>
      </c>
      <c r="B5552" s="1" t="s">
        <v>865</v>
      </c>
      <c r="C5552" s="1" t="s">
        <v>571</v>
      </c>
      <c r="D5552" s="3">
        <f t="shared" si="804"/>
        <v>8083</v>
      </c>
      <c r="E5552" s="2">
        <f t="shared" si="805"/>
        <v>42856</v>
      </c>
      <c r="F5552" s="2">
        <f t="shared" si="806"/>
        <v>45657</v>
      </c>
    </row>
    <row r="5553" spans="1:6" x14ac:dyDescent="0.25">
      <c r="A5553" s="1" t="s">
        <v>866</v>
      </c>
      <c r="B5553" s="1" t="s">
        <v>865</v>
      </c>
      <c r="C5553" s="1" t="s">
        <v>572</v>
      </c>
      <c r="D5553" s="3">
        <f t="shared" si="804"/>
        <v>8083</v>
      </c>
      <c r="E5553" s="2">
        <f t="shared" si="805"/>
        <v>42856</v>
      </c>
      <c r="F5553" s="2">
        <f t="shared" si="806"/>
        <v>45657</v>
      </c>
    </row>
    <row r="5554" spans="1:6" x14ac:dyDescent="0.25">
      <c r="A5554" s="1" t="s">
        <v>866</v>
      </c>
      <c r="B5554" s="1" t="s">
        <v>865</v>
      </c>
      <c r="C5554" s="1" t="s">
        <v>573</v>
      </c>
      <c r="D5554" s="3">
        <f t="shared" si="804"/>
        <v>8083</v>
      </c>
      <c r="E5554" s="2">
        <f t="shared" si="805"/>
        <v>42856</v>
      </c>
      <c r="F5554" s="2">
        <f t="shared" si="806"/>
        <v>45657</v>
      </c>
    </row>
    <row r="5555" spans="1:6" x14ac:dyDescent="0.25">
      <c r="A5555" s="1" t="s">
        <v>866</v>
      </c>
      <c r="B5555" s="1" t="s">
        <v>865</v>
      </c>
      <c r="C5555" s="1" t="s">
        <v>69</v>
      </c>
      <c r="D5555" s="3">
        <f t="shared" si="804"/>
        <v>8083</v>
      </c>
      <c r="E5555" s="2">
        <f t="shared" si="805"/>
        <v>42856</v>
      </c>
      <c r="F5555" s="2">
        <f t="shared" si="806"/>
        <v>45657</v>
      </c>
    </row>
    <row r="5556" spans="1:6" x14ac:dyDescent="0.25">
      <c r="A5556" s="1" t="s">
        <v>866</v>
      </c>
      <c r="B5556" s="1" t="s">
        <v>865</v>
      </c>
      <c r="C5556" s="1" t="s">
        <v>212</v>
      </c>
      <c r="D5556" s="3">
        <f t="shared" si="804"/>
        <v>8083</v>
      </c>
      <c r="E5556" s="2">
        <f t="shared" si="805"/>
        <v>42856</v>
      </c>
      <c r="F5556" s="2">
        <f t="shared" si="806"/>
        <v>45657</v>
      </c>
    </row>
    <row r="5557" spans="1:6" x14ac:dyDescent="0.25">
      <c r="A5557" s="1" t="s">
        <v>866</v>
      </c>
      <c r="B5557" s="1" t="s">
        <v>865</v>
      </c>
      <c r="C5557" s="1" t="s">
        <v>24</v>
      </c>
      <c r="D5557" s="3">
        <f t="shared" si="804"/>
        <v>8083</v>
      </c>
      <c r="E5557" s="2">
        <f t="shared" si="805"/>
        <v>42856</v>
      </c>
      <c r="F5557" s="2">
        <f t="shared" si="806"/>
        <v>45657</v>
      </c>
    </row>
    <row r="5558" spans="1:6" x14ac:dyDescent="0.25">
      <c r="A5558" s="1" t="s">
        <v>866</v>
      </c>
      <c r="B5558" s="1" t="s">
        <v>865</v>
      </c>
      <c r="C5558" s="1" t="s">
        <v>503</v>
      </c>
      <c r="D5558" s="3">
        <f t="shared" si="804"/>
        <v>8083</v>
      </c>
      <c r="E5558" s="2">
        <f t="shared" si="805"/>
        <v>42856</v>
      </c>
      <c r="F5558" s="2">
        <f t="shared" si="806"/>
        <v>45657</v>
      </c>
    </row>
    <row r="5559" spans="1:6" x14ac:dyDescent="0.25">
      <c r="A5559" s="1" t="s">
        <v>866</v>
      </c>
      <c r="B5559" s="1" t="s">
        <v>865</v>
      </c>
      <c r="C5559" s="1" t="s">
        <v>99</v>
      </c>
      <c r="D5559" s="3">
        <f t="shared" si="804"/>
        <v>8083</v>
      </c>
      <c r="E5559" s="2">
        <f t="shared" si="805"/>
        <v>42856</v>
      </c>
      <c r="F5559" s="2">
        <f t="shared" si="806"/>
        <v>45657</v>
      </c>
    </row>
    <row r="5560" spans="1:6" x14ac:dyDescent="0.25">
      <c r="A5560" s="1" t="s">
        <v>866</v>
      </c>
      <c r="B5560" s="1" t="s">
        <v>865</v>
      </c>
      <c r="C5560" s="1" t="s">
        <v>72</v>
      </c>
      <c r="D5560" s="3">
        <f t="shared" si="804"/>
        <v>8083</v>
      </c>
      <c r="E5560" s="2">
        <f t="shared" si="805"/>
        <v>42856</v>
      </c>
      <c r="F5560" s="2">
        <f t="shared" si="806"/>
        <v>45657</v>
      </c>
    </row>
    <row r="5561" spans="1:6" x14ac:dyDescent="0.25">
      <c r="A5561" s="1" t="s">
        <v>866</v>
      </c>
      <c r="B5561" s="1" t="s">
        <v>865</v>
      </c>
      <c r="C5561" s="1" t="s">
        <v>73</v>
      </c>
      <c r="D5561" s="3">
        <f t="shared" si="804"/>
        <v>8083</v>
      </c>
      <c r="E5561" s="2">
        <f t="shared" si="805"/>
        <v>42856</v>
      </c>
      <c r="F5561" s="2">
        <f t="shared" si="806"/>
        <v>45657</v>
      </c>
    </row>
    <row r="5562" spans="1:6" x14ac:dyDescent="0.25">
      <c r="A5562" s="1" t="s">
        <v>866</v>
      </c>
      <c r="B5562" s="1" t="s">
        <v>865</v>
      </c>
      <c r="C5562" s="1" t="s">
        <v>52</v>
      </c>
      <c r="D5562" s="3">
        <f t="shared" si="804"/>
        <v>8083</v>
      </c>
      <c r="E5562" s="2">
        <f t="shared" si="805"/>
        <v>42856</v>
      </c>
      <c r="F5562" s="2">
        <f t="shared" si="806"/>
        <v>45657</v>
      </c>
    </row>
    <row r="5563" spans="1:6" x14ac:dyDescent="0.25">
      <c r="A5563" s="1" t="s">
        <v>866</v>
      </c>
      <c r="B5563" s="1" t="s">
        <v>865</v>
      </c>
      <c r="C5563" s="1" t="s">
        <v>34</v>
      </c>
      <c r="D5563" s="3">
        <f t="shared" si="804"/>
        <v>8083</v>
      </c>
      <c r="E5563" s="2">
        <f t="shared" si="805"/>
        <v>42856</v>
      </c>
      <c r="F5563" s="2">
        <f t="shared" si="806"/>
        <v>45657</v>
      </c>
    </row>
    <row r="5564" spans="1:6" x14ac:dyDescent="0.25">
      <c r="A5564" s="1" t="s">
        <v>866</v>
      </c>
      <c r="B5564" s="1" t="s">
        <v>865</v>
      </c>
      <c r="C5564" s="1" t="s">
        <v>170</v>
      </c>
      <c r="D5564" s="3">
        <f t="shared" si="804"/>
        <v>8083</v>
      </c>
      <c r="E5564" s="2">
        <f t="shared" si="805"/>
        <v>42856</v>
      </c>
      <c r="F5564" s="2">
        <f t="shared" si="806"/>
        <v>45657</v>
      </c>
    </row>
    <row r="5565" spans="1:6" x14ac:dyDescent="0.25">
      <c r="A5565" s="1" t="s">
        <v>866</v>
      </c>
      <c r="B5565" s="1" t="s">
        <v>865</v>
      </c>
      <c r="C5565" s="1" t="s">
        <v>117</v>
      </c>
      <c r="D5565" s="3">
        <f t="shared" si="804"/>
        <v>8083</v>
      </c>
      <c r="E5565" s="2">
        <f t="shared" si="805"/>
        <v>42856</v>
      </c>
      <c r="F5565" s="2">
        <f t="shared" si="806"/>
        <v>45657</v>
      </c>
    </row>
    <row r="5566" spans="1:6" x14ac:dyDescent="0.25">
      <c r="A5566" s="1" t="s">
        <v>1482</v>
      </c>
      <c r="B5566" s="1" t="s">
        <v>1536</v>
      </c>
      <c r="C5566" s="1" t="s">
        <v>14</v>
      </c>
      <c r="D5566" s="3">
        <f t="shared" ref="D5566:D5571" si="807">VALUE("8725")</f>
        <v>8725</v>
      </c>
      <c r="E5566" s="2">
        <f t="shared" ref="E5566:E5583" si="808">DATEVALUE("1-4-2020")</f>
        <v>43922</v>
      </c>
      <c r="F5566" s="2">
        <f t="shared" ref="F5566:F5571" si="809">DATEVALUE("30-9-2020")</f>
        <v>44104</v>
      </c>
    </row>
    <row r="5567" spans="1:6" x14ac:dyDescent="0.25">
      <c r="A5567" s="1" t="s">
        <v>1482</v>
      </c>
      <c r="B5567" s="1" t="s">
        <v>1536</v>
      </c>
      <c r="C5567" s="1" t="s">
        <v>197</v>
      </c>
      <c r="D5567" s="3">
        <f t="shared" si="807"/>
        <v>8725</v>
      </c>
      <c r="E5567" s="2">
        <f t="shared" si="808"/>
        <v>43922</v>
      </c>
      <c r="F5567" s="2">
        <f t="shared" si="809"/>
        <v>44104</v>
      </c>
    </row>
    <row r="5568" spans="1:6" x14ac:dyDescent="0.25">
      <c r="A5568" s="1" t="s">
        <v>1482</v>
      </c>
      <c r="B5568" s="1" t="s">
        <v>1536</v>
      </c>
      <c r="C5568" s="1" t="s">
        <v>22</v>
      </c>
      <c r="D5568" s="3">
        <f t="shared" si="807"/>
        <v>8725</v>
      </c>
      <c r="E5568" s="2">
        <f t="shared" si="808"/>
        <v>43922</v>
      </c>
      <c r="F5568" s="2">
        <f t="shared" si="809"/>
        <v>44104</v>
      </c>
    </row>
    <row r="5569" spans="1:6" x14ac:dyDescent="0.25">
      <c r="A5569" s="1" t="s">
        <v>1482</v>
      </c>
      <c r="B5569" s="1" t="s">
        <v>1536</v>
      </c>
      <c r="C5569" s="1" t="s">
        <v>67</v>
      </c>
      <c r="D5569" s="3">
        <f t="shared" si="807"/>
        <v>8725</v>
      </c>
      <c r="E5569" s="2">
        <f t="shared" si="808"/>
        <v>43922</v>
      </c>
      <c r="F5569" s="2">
        <f t="shared" si="809"/>
        <v>44104</v>
      </c>
    </row>
    <row r="5570" spans="1:6" x14ac:dyDescent="0.25">
      <c r="A5570" s="1" t="s">
        <v>1482</v>
      </c>
      <c r="B5570" s="1" t="s">
        <v>1536</v>
      </c>
      <c r="C5570" s="1" t="s">
        <v>94</v>
      </c>
      <c r="D5570" s="3">
        <f t="shared" si="807"/>
        <v>8725</v>
      </c>
      <c r="E5570" s="2">
        <f t="shared" si="808"/>
        <v>43922</v>
      </c>
      <c r="F5570" s="2">
        <f t="shared" si="809"/>
        <v>44104</v>
      </c>
    </row>
    <row r="5571" spans="1:6" x14ac:dyDescent="0.25">
      <c r="A5571" s="1" t="s">
        <v>1482</v>
      </c>
      <c r="B5571" s="1" t="s">
        <v>1536</v>
      </c>
      <c r="C5571" s="1" t="s">
        <v>34</v>
      </c>
      <c r="D5571" s="3">
        <f t="shared" si="807"/>
        <v>8725</v>
      </c>
      <c r="E5571" s="2">
        <f t="shared" si="808"/>
        <v>43922</v>
      </c>
      <c r="F5571" s="2">
        <f t="shared" si="809"/>
        <v>44104</v>
      </c>
    </row>
    <row r="5572" spans="1:6" x14ac:dyDescent="0.25">
      <c r="A5572" s="1" t="s">
        <v>1482</v>
      </c>
      <c r="B5572" s="1" t="s">
        <v>1561</v>
      </c>
      <c r="C5572" s="1" t="s">
        <v>140</v>
      </c>
      <c r="D5572" s="3">
        <f t="shared" ref="D5572:D5583" si="810">VALUE("8741")</f>
        <v>8741</v>
      </c>
      <c r="E5572" s="2">
        <f t="shared" si="808"/>
        <v>43922</v>
      </c>
      <c r="F5572" s="2">
        <f t="shared" ref="F5572:F5583" si="811">DATEVALUE("31-10-2020")</f>
        <v>44135</v>
      </c>
    </row>
    <row r="5573" spans="1:6" x14ac:dyDescent="0.25">
      <c r="A5573" s="1" t="s">
        <v>1482</v>
      </c>
      <c r="B5573" s="1" t="s">
        <v>1561</v>
      </c>
      <c r="C5573" s="1" t="s">
        <v>248</v>
      </c>
      <c r="D5573" s="3">
        <f t="shared" si="810"/>
        <v>8741</v>
      </c>
      <c r="E5573" s="2">
        <f t="shared" si="808"/>
        <v>43922</v>
      </c>
      <c r="F5573" s="2">
        <f t="shared" si="811"/>
        <v>44135</v>
      </c>
    </row>
    <row r="5574" spans="1:6" x14ac:dyDescent="0.25">
      <c r="A5574" s="1" t="s">
        <v>1482</v>
      </c>
      <c r="B5574" s="1" t="s">
        <v>1561</v>
      </c>
      <c r="C5574" s="1" t="s">
        <v>14</v>
      </c>
      <c r="D5574" s="3">
        <f t="shared" si="810"/>
        <v>8741</v>
      </c>
      <c r="E5574" s="2">
        <f t="shared" si="808"/>
        <v>43922</v>
      </c>
      <c r="F5574" s="2">
        <f t="shared" si="811"/>
        <v>44135</v>
      </c>
    </row>
    <row r="5575" spans="1:6" x14ac:dyDescent="0.25">
      <c r="A5575" s="1" t="s">
        <v>1482</v>
      </c>
      <c r="B5575" s="1" t="s">
        <v>1561</v>
      </c>
      <c r="C5575" s="1" t="s">
        <v>15</v>
      </c>
      <c r="D5575" s="3">
        <f t="shared" si="810"/>
        <v>8741</v>
      </c>
      <c r="E5575" s="2">
        <f t="shared" si="808"/>
        <v>43922</v>
      </c>
      <c r="F5575" s="2">
        <f t="shared" si="811"/>
        <v>44135</v>
      </c>
    </row>
    <row r="5576" spans="1:6" x14ac:dyDescent="0.25">
      <c r="A5576" s="1" t="s">
        <v>1482</v>
      </c>
      <c r="B5576" s="1" t="s">
        <v>1561</v>
      </c>
      <c r="C5576" s="1" t="s">
        <v>17</v>
      </c>
      <c r="D5576" s="3">
        <f t="shared" si="810"/>
        <v>8741</v>
      </c>
      <c r="E5576" s="2">
        <f t="shared" si="808"/>
        <v>43922</v>
      </c>
      <c r="F5576" s="2">
        <f t="shared" si="811"/>
        <v>44135</v>
      </c>
    </row>
    <row r="5577" spans="1:6" x14ac:dyDescent="0.25">
      <c r="A5577" s="1" t="s">
        <v>1482</v>
      </c>
      <c r="B5577" s="1" t="s">
        <v>1561</v>
      </c>
      <c r="C5577" s="1" t="s">
        <v>146</v>
      </c>
      <c r="D5577" s="3">
        <f t="shared" si="810"/>
        <v>8741</v>
      </c>
      <c r="E5577" s="2">
        <f t="shared" si="808"/>
        <v>43922</v>
      </c>
      <c r="F5577" s="2">
        <f t="shared" si="811"/>
        <v>44135</v>
      </c>
    </row>
    <row r="5578" spans="1:6" x14ac:dyDescent="0.25">
      <c r="A5578" s="1" t="s">
        <v>1482</v>
      </c>
      <c r="B5578" s="1" t="s">
        <v>1561</v>
      </c>
      <c r="C5578" s="1" t="s">
        <v>151</v>
      </c>
      <c r="D5578" s="3">
        <f t="shared" si="810"/>
        <v>8741</v>
      </c>
      <c r="E5578" s="2">
        <f t="shared" si="808"/>
        <v>43922</v>
      </c>
      <c r="F5578" s="2">
        <f t="shared" si="811"/>
        <v>44135</v>
      </c>
    </row>
    <row r="5579" spans="1:6" x14ac:dyDescent="0.25">
      <c r="A5579" s="1" t="s">
        <v>1482</v>
      </c>
      <c r="B5579" s="1" t="s">
        <v>1561</v>
      </c>
      <c r="C5579" s="1" t="s">
        <v>367</v>
      </c>
      <c r="D5579" s="3">
        <f t="shared" si="810"/>
        <v>8741</v>
      </c>
      <c r="E5579" s="2">
        <f t="shared" si="808"/>
        <v>43922</v>
      </c>
      <c r="F5579" s="2">
        <f t="shared" si="811"/>
        <v>44135</v>
      </c>
    </row>
    <row r="5580" spans="1:6" x14ac:dyDescent="0.25">
      <c r="A5580" s="1" t="s">
        <v>1482</v>
      </c>
      <c r="B5580" s="1" t="s">
        <v>1561</v>
      </c>
      <c r="C5580" s="1" t="s">
        <v>24</v>
      </c>
      <c r="D5580" s="3">
        <f t="shared" si="810"/>
        <v>8741</v>
      </c>
      <c r="E5580" s="2">
        <f t="shared" si="808"/>
        <v>43922</v>
      </c>
      <c r="F5580" s="2">
        <f t="shared" si="811"/>
        <v>44135</v>
      </c>
    </row>
    <row r="5581" spans="1:6" x14ac:dyDescent="0.25">
      <c r="A5581" s="1" t="s">
        <v>1482</v>
      </c>
      <c r="B5581" s="1" t="s">
        <v>1561</v>
      </c>
      <c r="C5581" s="1" t="s">
        <v>160</v>
      </c>
      <c r="D5581" s="3">
        <f t="shared" si="810"/>
        <v>8741</v>
      </c>
      <c r="E5581" s="2">
        <f t="shared" si="808"/>
        <v>43922</v>
      </c>
      <c r="F5581" s="2">
        <f t="shared" si="811"/>
        <v>44135</v>
      </c>
    </row>
    <row r="5582" spans="1:6" x14ac:dyDescent="0.25">
      <c r="A5582" s="1" t="s">
        <v>1482</v>
      </c>
      <c r="B5582" s="1" t="s">
        <v>1561</v>
      </c>
      <c r="C5582" s="1" t="s">
        <v>54</v>
      </c>
      <c r="D5582" s="3">
        <f t="shared" si="810"/>
        <v>8741</v>
      </c>
      <c r="E5582" s="2">
        <f t="shared" si="808"/>
        <v>43922</v>
      </c>
      <c r="F5582" s="2">
        <f t="shared" si="811"/>
        <v>44135</v>
      </c>
    </row>
    <row r="5583" spans="1:6" x14ac:dyDescent="0.25">
      <c r="A5583" s="1" t="s">
        <v>1482</v>
      </c>
      <c r="B5583" s="1" t="s">
        <v>1561</v>
      </c>
      <c r="C5583" s="1" t="s">
        <v>34</v>
      </c>
      <c r="D5583" s="3">
        <f t="shared" si="810"/>
        <v>8741</v>
      </c>
      <c r="E5583" s="2">
        <f t="shared" si="808"/>
        <v>43922</v>
      </c>
      <c r="F5583" s="2">
        <f t="shared" si="811"/>
        <v>44135</v>
      </c>
    </row>
    <row r="5584" spans="1:6" x14ac:dyDescent="0.25">
      <c r="A5584" s="1" t="s">
        <v>1482</v>
      </c>
      <c r="B5584" s="1" t="s">
        <v>1481</v>
      </c>
      <c r="C5584" s="1" t="s">
        <v>6</v>
      </c>
      <c r="D5584" s="3">
        <f t="shared" ref="D5584:D5605" si="812">VALUE("8670")</f>
        <v>8670</v>
      </c>
      <c r="E5584" s="2">
        <f t="shared" ref="E5584:E5615" si="813">DATEVALUE("1-1-2020")</f>
        <v>43831</v>
      </c>
      <c r="F5584" s="2">
        <f t="shared" ref="F5584:F5605" si="814">DATEVALUE("31-12-2020")</f>
        <v>44196</v>
      </c>
    </row>
    <row r="5585" spans="1:6" x14ac:dyDescent="0.25">
      <c r="A5585" s="1" t="s">
        <v>1482</v>
      </c>
      <c r="B5585" s="1" t="s">
        <v>1481</v>
      </c>
      <c r="C5585" s="1" t="s">
        <v>45</v>
      </c>
      <c r="D5585" s="3">
        <f t="shared" si="812"/>
        <v>8670</v>
      </c>
      <c r="E5585" s="2">
        <f t="shared" si="813"/>
        <v>43831</v>
      </c>
      <c r="F5585" s="2">
        <f t="shared" si="814"/>
        <v>44196</v>
      </c>
    </row>
    <row r="5586" spans="1:6" x14ac:dyDescent="0.25">
      <c r="A5586" s="1" t="s">
        <v>1482</v>
      </c>
      <c r="B5586" s="1" t="s">
        <v>1481</v>
      </c>
      <c r="C5586" s="1" t="s">
        <v>44</v>
      </c>
      <c r="D5586" s="3">
        <f t="shared" si="812"/>
        <v>8670</v>
      </c>
      <c r="E5586" s="2">
        <f t="shared" si="813"/>
        <v>43831</v>
      </c>
      <c r="F5586" s="2">
        <f t="shared" si="814"/>
        <v>44196</v>
      </c>
    </row>
    <row r="5587" spans="1:6" x14ac:dyDescent="0.25">
      <c r="A5587" s="1" t="s">
        <v>1482</v>
      </c>
      <c r="B5587" s="1" t="s">
        <v>1481</v>
      </c>
      <c r="C5587" s="1" t="s">
        <v>140</v>
      </c>
      <c r="D5587" s="3">
        <f t="shared" si="812"/>
        <v>8670</v>
      </c>
      <c r="E5587" s="2">
        <f t="shared" si="813"/>
        <v>43831</v>
      </c>
      <c r="F5587" s="2">
        <f t="shared" si="814"/>
        <v>44196</v>
      </c>
    </row>
    <row r="5588" spans="1:6" x14ac:dyDescent="0.25">
      <c r="A5588" s="1" t="s">
        <v>1482</v>
      </c>
      <c r="B5588" s="1" t="s">
        <v>1481</v>
      </c>
      <c r="C5588" s="1" t="s">
        <v>141</v>
      </c>
      <c r="D5588" s="3">
        <f t="shared" si="812"/>
        <v>8670</v>
      </c>
      <c r="E5588" s="2">
        <f t="shared" si="813"/>
        <v>43831</v>
      </c>
      <c r="F5588" s="2">
        <f t="shared" si="814"/>
        <v>44196</v>
      </c>
    </row>
    <row r="5589" spans="1:6" x14ac:dyDescent="0.25">
      <c r="A5589" s="1" t="s">
        <v>1482</v>
      </c>
      <c r="B5589" s="1" t="s">
        <v>1481</v>
      </c>
      <c r="C5589" s="1" t="s">
        <v>142</v>
      </c>
      <c r="D5589" s="3">
        <f t="shared" si="812"/>
        <v>8670</v>
      </c>
      <c r="E5589" s="2">
        <f t="shared" si="813"/>
        <v>43831</v>
      </c>
      <c r="F5589" s="2">
        <f t="shared" si="814"/>
        <v>44196</v>
      </c>
    </row>
    <row r="5590" spans="1:6" x14ac:dyDescent="0.25">
      <c r="A5590" s="1" t="s">
        <v>1482</v>
      </c>
      <c r="B5590" s="1" t="s">
        <v>1481</v>
      </c>
      <c r="C5590" s="1" t="s">
        <v>14</v>
      </c>
      <c r="D5590" s="3">
        <f t="shared" si="812"/>
        <v>8670</v>
      </c>
      <c r="E5590" s="2">
        <f t="shared" si="813"/>
        <v>43831</v>
      </c>
      <c r="F5590" s="2">
        <f t="shared" si="814"/>
        <v>44196</v>
      </c>
    </row>
    <row r="5591" spans="1:6" x14ac:dyDescent="0.25">
      <c r="A5591" s="1" t="s">
        <v>1482</v>
      </c>
      <c r="B5591" s="1" t="s">
        <v>1481</v>
      </c>
      <c r="C5591" s="1" t="s">
        <v>15</v>
      </c>
      <c r="D5591" s="3">
        <f t="shared" si="812"/>
        <v>8670</v>
      </c>
      <c r="E5591" s="2">
        <f t="shared" si="813"/>
        <v>43831</v>
      </c>
      <c r="F5591" s="2">
        <f t="shared" si="814"/>
        <v>44196</v>
      </c>
    </row>
    <row r="5592" spans="1:6" x14ac:dyDescent="0.25">
      <c r="A5592" s="1" t="s">
        <v>1482</v>
      </c>
      <c r="B5592" s="1" t="s">
        <v>1481</v>
      </c>
      <c r="C5592" s="1" t="s">
        <v>17</v>
      </c>
      <c r="D5592" s="3">
        <f t="shared" si="812"/>
        <v>8670</v>
      </c>
      <c r="E5592" s="2">
        <f t="shared" si="813"/>
        <v>43831</v>
      </c>
      <c r="F5592" s="2">
        <f t="shared" si="814"/>
        <v>44196</v>
      </c>
    </row>
    <row r="5593" spans="1:6" x14ac:dyDescent="0.25">
      <c r="A5593" s="1" t="s">
        <v>1482</v>
      </c>
      <c r="B5593" s="1" t="s">
        <v>1481</v>
      </c>
      <c r="C5593" s="1" t="s">
        <v>22</v>
      </c>
      <c r="D5593" s="3">
        <f t="shared" si="812"/>
        <v>8670</v>
      </c>
      <c r="E5593" s="2">
        <f t="shared" si="813"/>
        <v>43831</v>
      </c>
      <c r="F5593" s="2">
        <f t="shared" si="814"/>
        <v>44196</v>
      </c>
    </row>
    <row r="5594" spans="1:6" x14ac:dyDescent="0.25">
      <c r="A5594" s="1" t="s">
        <v>1482</v>
      </c>
      <c r="B5594" s="1" t="s">
        <v>1481</v>
      </c>
      <c r="C5594" s="1" t="s">
        <v>146</v>
      </c>
      <c r="D5594" s="3">
        <f t="shared" si="812"/>
        <v>8670</v>
      </c>
      <c r="E5594" s="2">
        <f t="shared" si="813"/>
        <v>43831</v>
      </c>
      <c r="F5594" s="2">
        <f t="shared" si="814"/>
        <v>44196</v>
      </c>
    </row>
    <row r="5595" spans="1:6" x14ac:dyDescent="0.25">
      <c r="A5595" s="1" t="s">
        <v>1482</v>
      </c>
      <c r="B5595" s="1" t="s">
        <v>1481</v>
      </c>
      <c r="C5595" s="1" t="s">
        <v>222</v>
      </c>
      <c r="D5595" s="3">
        <f t="shared" si="812"/>
        <v>8670</v>
      </c>
      <c r="E5595" s="2">
        <f t="shared" si="813"/>
        <v>43831</v>
      </c>
      <c r="F5595" s="2">
        <f t="shared" si="814"/>
        <v>44196</v>
      </c>
    </row>
    <row r="5596" spans="1:6" x14ac:dyDescent="0.25">
      <c r="A5596" s="1" t="s">
        <v>1482</v>
      </c>
      <c r="B5596" s="1" t="s">
        <v>1481</v>
      </c>
      <c r="C5596" s="1" t="s">
        <v>151</v>
      </c>
      <c r="D5596" s="3">
        <f t="shared" si="812"/>
        <v>8670</v>
      </c>
      <c r="E5596" s="2">
        <f t="shared" si="813"/>
        <v>43831</v>
      </c>
      <c r="F5596" s="2">
        <f t="shared" si="814"/>
        <v>44196</v>
      </c>
    </row>
    <row r="5597" spans="1:6" x14ac:dyDescent="0.25">
      <c r="A5597" s="1" t="s">
        <v>1482</v>
      </c>
      <c r="B5597" s="1" t="s">
        <v>1481</v>
      </c>
      <c r="C5597" s="1" t="s">
        <v>94</v>
      </c>
      <c r="D5597" s="3">
        <f t="shared" si="812"/>
        <v>8670</v>
      </c>
      <c r="E5597" s="2">
        <f t="shared" si="813"/>
        <v>43831</v>
      </c>
      <c r="F5597" s="2">
        <f t="shared" si="814"/>
        <v>44196</v>
      </c>
    </row>
    <row r="5598" spans="1:6" x14ac:dyDescent="0.25">
      <c r="A5598" s="1" t="s">
        <v>1482</v>
      </c>
      <c r="B5598" s="1" t="s">
        <v>1481</v>
      </c>
      <c r="C5598" s="1" t="s">
        <v>240</v>
      </c>
      <c r="D5598" s="3">
        <f t="shared" si="812"/>
        <v>8670</v>
      </c>
      <c r="E5598" s="2">
        <f t="shared" si="813"/>
        <v>43831</v>
      </c>
      <c r="F5598" s="2">
        <f t="shared" si="814"/>
        <v>44196</v>
      </c>
    </row>
    <row r="5599" spans="1:6" x14ac:dyDescent="0.25">
      <c r="A5599" s="1" t="s">
        <v>1482</v>
      </c>
      <c r="B5599" s="1" t="s">
        <v>1481</v>
      </c>
      <c r="C5599" s="1" t="s">
        <v>453</v>
      </c>
      <c r="D5599" s="3">
        <f t="shared" si="812"/>
        <v>8670</v>
      </c>
      <c r="E5599" s="2">
        <f t="shared" si="813"/>
        <v>43831</v>
      </c>
      <c r="F5599" s="2">
        <f t="shared" si="814"/>
        <v>44196</v>
      </c>
    </row>
    <row r="5600" spans="1:6" x14ac:dyDescent="0.25">
      <c r="A5600" s="1" t="s">
        <v>1482</v>
      </c>
      <c r="B5600" s="1" t="s">
        <v>1481</v>
      </c>
      <c r="C5600" s="1" t="s">
        <v>160</v>
      </c>
      <c r="D5600" s="3">
        <f t="shared" si="812"/>
        <v>8670</v>
      </c>
      <c r="E5600" s="2">
        <f t="shared" si="813"/>
        <v>43831</v>
      </c>
      <c r="F5600" s="2">
        <f t="shared" si="814"/>
        <v>44196</v>
      </c>
    </row>
    <row r="5601" spans="1:6" x14ac:dyDescent="0.25">
      <c r="A5601" s="1" t="s">
        <v>1482</v>
      </c>
      <c r="B5601" s="1" t="s">
        <v>1481</v>
      </c>
      <c r="C5601" s="1" t="s">
        <v>369</v>
      </c>
      <c r="D5601" s="3">
        <f t="shared" si="812"/>
        <v>8670</v>
      </c>
      <c r="E5601" s="2">
        <f t="shared" si="813"/>
        <v>43831</v>
      </c>
      <c r="F5601" s="2">
        <f t="shared" si="814"/>
        <v>44196</v>
      </c>
    </row>
    <row r="5602" spans="1:6" x14ac:dyDescent="0.25">
      <c r="A5602" s="1" t="s">
        <v>1482</v>
      </c>
      <c r="B5602" s="1" t="s">
        <v>1481</v>
      </c>
      <c r="C5602" s="1" t="s">
        <v>34</v>
      </c>
      <c r="D5602" s="3">
        <f t="shared" si="812"/>
        <v>8670</v>
      </c>
      <c r="E5602" s="2">
        <f t="shared" si="813"/>
        <v>43831</v>
      </c>
      <c r="F5602" s="2">
        <f t="shared" si="814"/>
        <v>44196</v>
      </c>
    </row>
    <row r="5603" spans="1:6" x14ac:dyDescent="0.25">
      <c r="A5603" s="1" t="s">
        <v>1482</v>
      </c>
      <c r="B5603" s="1" t="s">
        <v>1481</v>
      </c>
      <c r="C5603" s="1" t="s">
        <v>310</v>
      </c>
      <c r="D5603" s="3">
        <f t="shared" si="812"/>
        <v>8670</v>
      </c>
      <c r="E5603" s="2">
        <f t="shared" si="813"/>
        <v>43831</v>
      </c>
      <c r="F5603" s="2">
        <f t="shared" si="814"/>
        <v>44196</v>
      </c>
    </row>
    <row r="5604" spans="1:6" x14ac:dyDescent="0.25">
      <c r="A5604" s="1" t="s">
        <v>1482</v>
      </c>
      <c r="B5604" s="1" t="s">
        <v>1481</v>
      </c>
      <c r="C5604" s="1" t="s">
        <v>1483</v>
      </c>
      <c r="D5604" s="3">
        <f t="shared" si="812"/>
        <v>8670</v>
      </c>
      <c r="E5604" s="2">
        <f t="shared" si="813"/>
        <v>43831</v>
      </c>
      <c r="F5604" s="2">
        <f t="shared" si="814"/>
        <v>44196</v>
      </c>
    </row>
    <row r="5605" spans="1:6" x14ac:dyDescent="0.25">
      <c r="A5605" s="1" t="s">
        <v>1482</v>
      </c>
      <c r="B5605" s="1" t="s">
        <v>1481</v>
      </c>
      <c r="C5605" s="1" t="s">
        <v>170</v>
      </c>
      <c r="D5605" s="3">
        <f t="shared" si="812"/>
        <v>8670</v>
      </c>
      <c r="E5605" s="2">
        <f t="shared" si="813"/>
        <v>43831</v>
      </c>
      <c r="F5605" s="2">
        <f t="shared" si="814"/>
        <v>44196</v>
      </c>
    </row>
    <row r="5606" spans="1:6" x14ac:dyDescent="0.25">
      <c r="A5606" s="1" t="s">
        <v>1482</v>
      </c>
      <c r="B5606" s="1" t="s">
        <v>2489</v>
      </c>
      <c r="C5606" s="1" t="s">
        <v>6</v>
      </c>
      <c r="D5606" s="3">
        <f t="shared" ref="D5606:D5613" si="815">VALUE("8671")</f>
        <v>8671</v>
      </c>
      <c r="E5606" s="2">
        <f t="shared" si="813"/>
        <v>43831</v>
      </c>
      <c r="F5606" s="2">
        <f t="shared" ref="F5606:F5637" si="816">DATEVALUE("31-3-2020")</f>
        <v>43921</v>
      </c>
    </row>
    <row r="5607" spans="1:6" x14ac:dyDescent="0.25">
      <c r="A5607" s="1" t="s">
        <v>1482</v>
      </c>
      <c r="B5607" s="1" t="s">
        <v>2489</v>
      </c>
      <c r="C5607" s="1" t="s">
        <v>45</v>
      </c>
      <c r="D5607" s="3">
        <f t="shared" si="815"/>
        <v>8671</v>
      </c>
      <c r="E5607" s="2">
        <f t="shared" si="813"/>
        <v>43831</v>
      </c>
      <c r="F5607" s="2">
        <f t="shared" si="816"/>
        <v>43921</v>
      </c>
    </row>
    <row r="5608" spans="1:6" x14ac:dyDescent="0.25">
      <c r="A5608" s="1" t="s">
        <v>1482</v>
      </c>
      <c r="B5608" s="1" t="s">
        <v>2489</v>
      </c>
      <c r="C5608" s="1" t="s">
        <v>14</v>
      </c>
      <c r="D5608" s="3">
        <f t="shared" si="815"/>
        <v>8671</v>
      </c>
      <c r="E5608" s="2">
        <f t="shared" si="813"/>
        <v>43831</v>
      </c>
      <c r="F5608" s="2">
        <f t="shared" si="816"/>
        <v>43921</v>
      </c>
    </row>
    <row r="5609" spans="1:6" x14ac:dyDescent="0.25">
      <c r="A5609" s="1" t="s">
        <v>1482</v>
      </c>
      <c r="B5609" s="1" t="s">
        <v>2489</v>
      </c>
      <c r="C5609" s="1" t="s">
        <v>259</v>
      </c>
      <c r="D5609" s="3">
        <f t="shared" si="815"/>
        <v>8671</v>
      </c>
      <c r="E5609" s="2">
        <f t="shared" si="813"/>
        <v>43831</v>
      </c>
      <c r="F5609" s="2">
        <f t="shared" si="816"/>
        <v>43921</v>
      </c>
    </row>
    <row r="5610" spans="1:6" x14ac:dyDescent="0.25">
      <c r="A5610" s="1" t="s">
        <v>1482</v>
      </c>
      <c r="B5610" s="1" t="s">
        <v>2489</v>
      </c>
      <c r="C5610" s="1" t="s">
        <v>260</v>
      </c>
      <c r="D5610" s="3">
        <f t="shared" si="815"/>
        <v>8671</v>
      </c>
      <c r="E5610" s="2">
        <f t="shared" si="813"/>
        <v>43831</v>
      </c>
      <c r="F5610" s="2">
        <f t="shared" si="816"/>
        <v>43921</v>
      </c>
    </row>
    <row r="5611" spans="1:6" x14ac:dyDescent="0.25">
      <c r="A5611" s="1" t="s">
        <v>1482</v>
      </c>
      <c r="B5611" s="1" t="s">
        <v>2489</v>
      </c>
      <c r="C5611" s="1" t="s">
        <v>261</v>
      </c>
      <c r="D5611" s="3">
        <f t="shared" si="815"/>
        <v>8671</v>
      </c>
      <c r="E5611" s="2">
        <f t="shared" si="813"/>
        <v>43831</v>
      </c>
      <c r="F5611" s="2">
        <f t="shared" si="816"/>
        <v>43921</v>
      </c>
    </row>
    <row r="5612" spans="1:6" x14ac:dyDescent="0.25">
      <c r="A5612" s="1" t="s">
        <v>1482</v>
      </c>
      <c r="B5612" s="1" t="s">
        <v>2489</v>
      </c>
      <c r="C5612" s="1" t="s">
        <v>652</v>
      </c>
      <c r="D5612" s="3">
        <f t="shared" si="815"/>
        <v>8671</v>
      </c>
      <c r="E5612" s="2">
        <f t="shared" si="813"/>
        <v>43831</v>
      </c>
      <c r="F5612" s="2">
        <f t="shared" si="816"/>
        <v>43921</v>
      </c>
    </row>
    <row r="5613" spans="1:6" x14ac:dyDescent="0.25">
      <c r="A5613" s="1" t="s">
        <v>1482</v>
      </c>
      <c r="B5613" s="1" t="s">
        <v>2489</v>
      </c>
      <c r="C5613" s="1" t="s">
        <v>34</v>
      </c>
      <c r="D5613" s="3">
        <f t="shared" si="815"/>
        <v>8671</v>
      </c>
      <c r="E5613" s="2">
        <f t="shared" si="813"/>
        <v>43831</v>
      </c>
      <c r="F5613" s="2">
        <f t="shared" si="816"/>
        <v>43921</v>
      </c>
    </row>
    <row r="5614" spans="1:6" x14ac:dyDescent="0.25">
      <c r="A5614" s="1" t="s">
        <v>1482</v>
      </c>
      <c r="B5614" s="1" t="s">
        <v>2490</v>
      </c>
      <c r="C5614" s="1" t="s">
        <v>6</v>
      </c>
      <c r="D5614" s="3">
        <f t="shared" ref="D5614:D5637" si="817">VALUE("8672")</f>
        <v>8672</v>
      </c>
      <c r="E5614" s="2">
        <f t="shared" si="813"/>
        <v>43831</v>
      </c>
      <c r="F5614" s="2">
        <f t="shared" si="816"/>
        <v>43921</v>
      </c>
    </row>
    <row r="5615" spans="1:6" x14ac:dyDescent="0.25">
      <c r="A5615" s="1" t="s">
        <v>1482</v>
      </c>
      <c r="B5615" s="1" t="s">
        <v>2490</v>
      </c>
      <c r="C5615" s="1" t="s">
        <v>43</v>
      </c>
      <c r="D5615" s="3">
        <f t="shared" si="817"/>
        <v>8672</v>
      </c>
      <c r="E5615" s="2">
        <f t="shared" si="813"/>
        <v>43831</v>
      </c>
      <c r="F5615" s="2">
        <f t="shared" si="816"/>
        <v>43921</v>
      </c>
    </row>
    <row r="5616" spans="1:6" x14ac:dyDescent="0.25">
      <c r="A5616" s="1" t="s">
        <v>1482</v>
      </c>
      <c r="B5616" s="1" t="s">
        <v>2490</v>
      </c>
      <c r="C5616" s="1" t="s">
        <v>14</v>
      </c>
      <c r="D5616" s="3">
        <f t="shared" si="817"/>
        <v>8672</v>
      </c>
      <c r="E5616" s="2">
        <f t="shared" ref="E5616:E5647" si="818">DATEVALUE("1-1-2020")</f>
        <v>43831</v>
      </c>
      <c r="F5616" s="2">
        <f t="shared" si="816"/>
        <v>43921</v>
      </c>
    </row>
    <row r="5617" spans="1:6" x14ac:dyDescent="0.25">
      <c r="A5617" s="1" t="s">
        <v>1482</v>
      </c>
      <c r="B5617" s="1" t="s">
        <v>2490</v>
      </c>
      <c r="C5617" s="1" t="s">
        <v>66</v>
      </c>
      <c r="D5617" s="3">
        <f t="shared" si="817"/>
        <v>8672</v>
      </c>
      <c r="E5617" s="2">
        <f t="shared" si="818"/>
        <v>43831</v>
      </c>
      <c r="F5617" s="2">
        <f t="shared" si="816"/>
        <v>43921</v>
      </c>
    </row>
    <row r="5618" spans="1:6" x14ac:dyDescent="0.25">
      <c r="A5618" s="1" t="s">
        <v>1482</v>
      </c>
      <c r="B5618" s="1" t="s">
        <v>2490</v>
      </c>
      <c r="C5618" s="1" t="s">
        <v>15</v>
      </c>
      <c r="D5618" s="3">
        <f t="shared" si="817"/>
        <v>8672</v>
      </c>
      <c r="E5618" s="2">
        <f t="shared" si="818"/>
        <v>43831</v>
      </c>
      <c r="F5618" s="2">
        <f t="shared" si="816"/>
        <v>43921</v>
      </c>
    </row>
    <row r="5619" spans="1:6" x14ac:dyDescent="0.25">
      <c r="A5619" s="1" t="s">
        <v>1482</v>
      </c>
      <c r="B5619" s="1" t="s">
        <v>2490</v>
      </c>
      <c r="C5619" s="1" t="s">
        <v>88</v>
      </c>
      <c r="D5619" s="3">
        <f t="shared" si="817"/>
        <v>8672</v>
      </c>
      <c r="E5619" s="2">
        <f t="shared" si="818"/>
        <v>43831</v>
      </c>
      <c r="F5619" s="2">
        <f t="shared" si="816"/>
        <v>43921</v>
      </c>
    </row>
    <row r="5620" spans="1:6" x14ac:dyDescent="0.25">
      <c r="A5620" s="1" t="s">
        <v>1482</v>
      </c>
      <c r="B5620" s="1" t="s">
        <v>2490</v>
      </c>
      <c r="C5620" s="1" t="s">
        <v>89</v>
      </c>
      <c r="D5620" s="3">
        <f t="shared" si="817"/>
        <v>8672</v>
      </c>
      <c r="E5620" s="2">
        <f t="shared" si="818"/>
        <v>43831</v>
      </c>
      <c r="F5620" s="2">
        <f t="shared" si="816"/>
        <v>43921</v>
      </c>
    </row>
    <row r="5621" spans="1:6" x14ac:dyDescent="0.25">
      <c r="A5621" s="1" t="s">
        <v>1482</v>
      </c>
      <c r="B5621" s="1" t="s">
        <v>2490</v>
      </c>
      <c r="C5621" s="1" t="s">
        <v>17</v>
      </c>
      <c r="D5621" s="3">
        <f t="shared" si="817"/>
        <v>8672</v>
      </c>
      <c r="E5621" s="2">
        <f t="shared" si="818"/>
        <v>43831</v>
      </c>
      <c r="F5621" s="2">
        <f t="shared" si="816"/>
        <v>43921</v>
      </c>
    </row>
    <row r="5622" spans="1:6" x14ac:dyDescent="0.25">
      <c r="A5622" s="1" t="s">
        <v>1482</v>
      </c>
      <c r="B5622" s="1" t="s">
        <v>2490</v>
      </c>
      <c r="C5622" s="1" t="s">
        <v>19</v>
      </c>
      <c r="D5622" s="3">
        <f t="shared" si="817"/>
        <v>8672</v>
      </c>
      <c r="E5622" s="2">
        <f t="shared" si="818"/>
        <v>43831</v>
      </c>
      <c r="F5622" s="2">
        <f t="shared" si="816"/>
        <v>43921</v>
      </c>
    </row>
    <row r="5623" spans="1:6" x14ac:dyDescent="0.25">
      <c r="A5623" s="1" t="s">
        <v>1482</v>
      </c>
      <c r="B5623" s="1" t="s">
        <v>2490</v>
      </c>
      <c r="C5623" s="1" t="s">
        <v>193</v>
      </c>
      <c r="D5623" s="3">
        <f t="shared" si="817"/>
        <v>8672</v>
      </c>
      <c r="E5623" s="2">
        <f t="shared" si="818"/>
        <v>43831</v>
      </c>
      <c r="F5623" s="2">
        <f t="shared" si="816"/>
        <v>43921</v>
      </c>
    </row>
    <row r="5624" spans="1:6" x14ac:dyDescent="0.25">
      <c r="A5624" s="1" t="s">
        <v>1482</v>
      </c>
      <c r="B5624" s="1" t="s">
        <v>2490</v>
      </c>
      <c r="C5624" s="1" t="s">
        <v>20</v>
      </c>
      <c r="D5624" s="3">
        <f t="shared" si="817"/>
        <v>8672</v>
      </c>
      <c r="E5624" s="2">
        <f t="shared" si="818"/>
        <v>43831</v>
      </c>
      <c r="F5624" s="2">
        <f t="shared" si="816"/>
        <v>43921</v>
      </c>
    </row>
    <row r="5625" spans="1:6" x14ac:dyDescent="0.25">
      <c r="A5625" s="1" t="s">
        <v>1482</v>
      </c>
      <c r="B5625" s="1" t="s">
        <v>2490</v>
      </c>
      <c r="C5625" s="1" t="s">
        <v>22</v>
      </c>
      <c r="D5625" s="3">
        <f t="shared" si="817"/>
        <v>8672</v>
      </c>
      <c r="E5625" s="2">
        <f t="shared" si="818"/>
        <v>43831</v>
      </c>
      <c r="F5625" s="2">
        <f t="shared" si="816"/>
        <v>43921</v>
      </c>
    </row>
    <row r="5626" spans="1:6" x14ac:dyDescent="0.25">
      <c r="A5626" s="1" t="s">
        <v>1482</v>
      </c>
      <c r="B5626" s="1" t="s">
        <v>2490</v>
      </c>
      <c r="C5626" s="1" t="s">
        <v>67</v>
      </c>
      <c r="D5626" s="3">
        <f t="shared" si="817"/>
        <v>8672</v>
      </c>
      <c r="E5626" s="2">
        <f t="shared" si="818"/>
        <v>43831</v>
      </c>
      <c r="F5626" s="2">
        <f t="shared" si="816"/>
        <v>43921</v>
      </c>
    </row>
    <row r="5627" spans="1:6" x14ac:dyDescent="0.25">
      <c r="A5627" s="1" t="s">
        <v>1482</v>
      </c>
      <c r="B5627" s="1" t="s">
        <v>2490</v>
      </c>
      <c r="C5627" s="1" t="s">
        <v>155</v>
      </c>
      <c r="D5627" s="3">
        <f t="shared" si="817"/>
        <v>8672</v>
      </c>
      <c r="E5627" s="2">
        <f t="shared" si="818"/>
        <v>43831</v>
      </c>
      <c r="F5627" s="2">
        <f t="shared" si="816"/>
        <v>43921</v>
      </c>
    </row>
    <row r="5628" spans="1:6" x14ac:dyDescent="0.25">
      <c r="A5628" s="1" t="s">
        <v>1482</v>
      </c>
      <c r="B5628" s="1" t="s">
        <v>2490</v>
      </c>
      <c r="C5628" s="1" t="s">
        <v>474</v>
      </c>
      <c r="D5628" s="3">
        <f t="shared" si="817"/>
        <v>8672</v>
      </c>
      <c r="E5628" s="2">
        <f t="shared" si="818"/>
        <v>43831</v>
      </c>
      <c r="F5628" s="2">
        <f t="shared" si="816"/>
        <v>43921</v>
      </c>
    </row>
    <row r="5629" spans="1:6" x14ac:dyDescent="0.25">
      <c r="A5629" s="1" t="s">
        <v>1482</v>
      </c>
      <c r="B5629" s="1" t="s">
        <v>2490</v>
      </c>
      <c r="C5629" s="1" t="s">
        <v>475</v>
      </c>
      <c r="D5629" s="3">
        <f t="shared" si="817"/>
        <v>8672</v>
      </c>
      <c r="E5629" s="2">
        <f t="shared" si="818"/>
        <v>43831</v>
      </c>
      <c r="F5629" s="2">
        <f t="shared" si="816"/>
        <v>43921</v>
      </c>
    </row>
    <row r="5630" spans="1:6" x14ac:dyDescent="0.25">
      <c r="A5630" s="1" t="s">
        <v>1482</v>
      </c>
      <c r="B5630" s="1" t="s">
        <v>2490</v>
      </c>
      <c r="C5630" s="1" t="s">
        <v>493</v>
      </c>
      <c r="D5630" s="3">
        <f t="shared" si="817"/>
        <v>8672</v>
      </c>
      <c r="E5630" s="2">
        <f t="shared" si="818"/>
        <v>43831</v>
      </c>
      <c r="F5630" s="2">
        <f t="shared" si="816"/>
        <v>43921</v>
      </c>
    </row>
    <row r="5631" spans="1:6" x14ac:dyDescent="0.25">
      <c r="A5631" s="1" t="s">
        <v>1482</v>
      </c>
      <c r="B5631" s="1" t="s">
        <v>2490</v>
      </c>
      <c r="C5631" s="1" t="s">
        <v>52</v>
      </c>
      <c r="D5631" s="3">
        <f t="shared" si="817"/>
        <v>8672</v>
      </c>
      <c r="E5631" s="2">
        <f t="shared" si="818"/>
        <v>43831</v>
      </c>
      <c r="F5631" s="2">
        <f t="shared" si="816"/>
        <v>43921</v>
      </c>
    </row>
    <row r="5632" spans="1:6" x14ac:dyDescent="0.25">
      <c r="A5632" s="1" t="s">
        <v>1482</v>
      </c>
      <c r="B5632" s="1" t="s">
        <v>2490</v>
      </c>
      <c r="C5632" s="1" t="s">
        <v>303</v>
      </c>
      <c r="D5632" s="3">
        <f t="shared" si="817"/>
        <v>8672</v>
      </c>
      <c r="E5632" s="2">
        <f t="shared" si="818"/>
        <v>43831</v>
      </c>
      <c r="F5632" s="2">
        <f t="shared" si="816"/>
        <v>43921</v>
      </c>
    </row>
    <row r="5633" spans="1:6" x14ac:dyDescent="0.25">
      <c r="A5633" s="1" t="s">
        <v>1482</v>
      </c>
      <c r="B5633" s="1" t="s">
        <v>2490</v>
      </c>
      <c r="C5633" s="1" t="s">
        <v>160</v>
      </c>
      <c r="D5633" s="3">
        <f t="shared" si="817"/>
        <v>8672</v>
      </c>
      <c r="E5633" s="2">
        <f t="shared" si="818"/>
        <v>43831</v>
      </c>
      <c r="F5633" s="2">
        <f t="shared" si="816"/>
        <v>43921</v>
      </c>
    </row>
    <row r="5634" spans="1:6" x14ac:dyDescent="0.25">
      <c r="A5634" s="1" t="s">
        <v>1482</v>
      </c>
      <c r="B5634" s="1" t="s">
        <v>2490</v>
      </c>
      <c r="C5634" s="1" t="s">
        <v>393</v>
      </c>
      <c r="D5634" s="3">
        <f t="shared" si="817"/>
        <v>8672</v>
      </c>
      <c r="E5634" s="2">
        <f t="shared" si="818"/>
        <v>43831</v>
      </c>
      <c r="F5634" s="2">
        <f t="shared" si="816"/>
        <v>43921</v>
      </c>
    </row>
    <row r="5635" spans="1:6" x14ac:dyDescent="0.25">
      <c r="A5635" s="1" t="s">
        <v>1482</v>
      </c>
      <c r="B5635" s="1" t="s">
        <v>2490</v>
      </c>
      <c r="C5635" s="1" t="s">
        <v>395</v>
      </c>
      <c r="D5635" s="3">
        <f t="shared" si="817"/>
        <v>8672</v>
      </c>
      <c r="E5635" s="2">
        <f t="shared" si="818"/>
        <v>43831</v>
      </c>
      <c r="F5635" s="2">
        <f t="shared" si="816"/>
        <v>43921</v>
      </c>
    </row>
    <row r="5636" spans="1:6" x14ac:dyDescent="0.25">
      <c r="A5636" s="1" t="s">
        <v>1482</v>
      </c>
      <c r="B5636" s="1" t="s">
        <v>2490</v>
      </c>
      <c r="C5636" s="1" t="s">
        <v>162</v>
      </c>
      <c r="D5636" s="3">
        <f t="shared" si="817"/>
        <v>8672</v>
      </c>
      <c r="E5636" s="2">
        <f t="shared" si="818"/>
        <v>43831</v>
      </c>
      <c r="F5636" s="2">
        <f t="shared" si="816"/>
        <v>43921</v>
      </c>
    </row>
    <row r="5637" spans="1:6" x14ac:dyDescent="0.25">
      <c r="A5637" s="1" t="s">
        <v>1482</v>
      </c>
      <c r="B5637" s="1" t="s">
        <v>2490</v>
      </c>
      <c r="C5637" s="1" t="s">
        <v>34</v>
      </c>
      <c r="D5637" s="3">
        <f t="shared" si="817"/>
        <v>8672</v>
      </c>
      <c r="E5637" s="2">
        <f t="shared" si="818"/>
        <v>43831</v>
      </c>
      <c r="F5637" s="2">
        <f t="shared" si="816"/>
        <v>43921</v>
      </c>
    </row>
    <row r="5638" spans="1:6" x14ac:dyDescent="0.25">
      <c r="A5638" s="1" t="s">
        <v>1207</v>
      </c>
      <c r="B5638" s="1" t="s">
        <v>1206</v>
      </c>
      <c r="C5638" s="1" t="s">
        <v>61</v>
      </c>
      <c r="D5638" s="3">
        <f t="shared" ref="D5638:D5661" si="819">VALUE("8471")</f>
        <v>8471</v>
      </c>
      <c r="E5638" s="2">
        <f t="shared" si="818"/>
        <v>43831</v>
      </c>
      <c r="F5638" s="2">
        <f t="shared" ref="F5638:F5661" si="820">DATEVALUE("31-12-2020")</f>
        <v>44196</v>
      </c>
    </row>
    <row r="5639" spans="1:6" x14ac:dyDescent="0.25">
      <c r="A5639" s="1" t="s">
        <v>1207</v>
      </c>
      <c r="B5639" s="1" t="s">
        <v>1206</v>
      </c>
      <c r="C5639" s="1" t="s">
        <v>66</v>
      </c>
      <c r="D5639" s="3">
        <f t="shared" si="819"/>
        <v>8471</v>
      </c>
      <c r="E5639" s="2">
        <f t="shared" si="818"/>
        <v>43831</v>
      </c>
      <c r="F5639" s="2">
        <f t="shared" si="820"/>
        <v>44196</v>
      </c>
    </row>
    <row r="5640" spans="1:6" x14ac:dyDescent="0.25">
      <c r="A5640" s="1" t="s">
        <v>1207</v>
      </c>
      <c r="B5640" s="1" t="s">
        <v>1206</v>
      </c>
      <c r="C5640" s="1" t="s">
        <v>15</v>
      </c>
      <c r="D5640" s="3">
        <f t="shared" si="819"/>
        <v>8471</v>
      </c>
      <c r="E5640" s="2">
        <f t="shared" si="818"/>
        <v>43831</v>
      </c>
      <c r="F5640" s="2">
        <f t="shared" si="820"/>
        <v>44196</v>
      </c>
    </row>
    <row r="5641" spans="1:6" x14ac:dyDescent="0.25">
      <c r="A5641" s="1" t="s">
        <v>1207</v>
      </c>
      <c r="B5641" s="1" t="s">
        <v>1206</v>
      </c>
      <c r="C5641" s="1" t="s">
        <v>89</v>
      </c>
      <c r="D5641" s="3">
        <f t="shared" si="819"/>
        <v>8471</v>
      </c>
      <c r="E5641" s="2">
        <f t="shared" si="818"/>
        <v>43831</v>
      </c>
      <c r="F5641" s="2">
        <f t="shared" si="820"/>
        <v>44196</v>
      </c>
    </row>
    <row r="5642" spans="1:6" x14ac:dyDescent="0.25">
      <c r="A5642" s="1" t="s">
        <v>1207</v>
      </c>
      <c r="B5642" s="1" t="s">
        <v>1206</v>
      </c>
      <c r="C5642" s="1" t="s">
        <v>17</v>
      </c>
      <c r="D5642" s="3">
        <f t="shared" si="819"/>
        <v>8471</v>
      </c>
      <c r="E5642" s="2">
        <f t="shared" si="818"/>
        <v>43831</v>
      </c>
      <c r="F5642" s="2">
        <f t="shared" si="820"/>
        <v>44196</v>
      </c>
    </row>
    <row r="5643" spans="1:6" x14ac:dyDescent="0.25">
      <c r="A5643" s="1" t="s">
        <v>1207</v>
      </c>
      <c r="B5643" s="1" t="s">
        <v>1206</v>
      </c>
      <c r="C5643" s="1" t="s">
        <v>91</v>
      </c>
      <c r="D5643" s="3">
        <f t="shared" si="819"/>
        <v>8471</v>
      </c>
      <c r="E5643" s="2">
        <f t="shared" si="818"/>
        <v>43831</v>
      </c>
      <c r="F5643" s="2">
        <f t="shared" si="820"/>
        <v>44196</v>
      </c>
    </row>
    <row r="5644" spans="1:6" x14ac:dyDescent="0.25">
      <c r="A5644" s="1" t="s">
        <v>1207</v>
      </c>
      <c r="B5644" s="1" t="s">
        <v>1206</v>
      </c>
      <c r="C5644" s="1" t="s">
        <v>488</v>
      </c>
      <c r="D5644" s="3">
        <f t="shared" si="819"/>
        <v>8471</v>
      </c>
      <c r="E5644" s="2">
        <f t="shared" si="818"/>
        <v>43831</v>
      </c>
      <c r="F5644" s="2">
        <f t="shared" si="820"/>
        <v>44196</v>
      </c>
    </row>
    <row r="5645" spans="1:6" x14ac:dyDescent="0.25">
      <c r="A5645" s="1" t="s">
        <v>1207</v>
      </c>
      <c r="B5645" s="1" t="s">
        <v>1206</v>
      </c>
      <c r="C5645" s="1" t="s">
        <v>501</v>
      </c>
      <c r="D5645" s="3">
        <f t="shared" si="819"/>
        <v>8471</v>
      </c>
      <c r="E5645" s="2">
        <f t="shared" si="818"/>
        <v>43831</v>
      </c>
      <c r="F5645" s="2">
        <f t="shared" si="820"/>
        <v>44196</v>
      </c>
    </row>
    <row r="5646" spans="1:6" x14ac:dyDescent="0.25">
      <c r="A5646" s="1" t="s">
        <v>1207</v>
      </c>
      <c r="B5646" s="1" t="s">
        <v>1206</v>
      </c>
      <c r="C5646" s="1" t="s">
        <v>145</v>
      </c>
      <c r="D5646" s="3">
        <f t="shared" si="819"/>
        <v>8471</v>
      </c>
      <c r="E5646" s="2">
        <f t="shared" si="818"/>
        <v>43831</v>
      </c>
      <c r="F5646" s="2">
        <f t="shared" si="820"/>
        <v>44196</v>
      </c>
    </row>
    <row r="5647" spans="1:6" x14ac:dyDescent="0.25">
      <c r="A5647" s="1" t="s">
        <v>1207</v>
      </c>
      <c r="B5647" s="1" t="s">
        <v>1206</v>
      </c>
      <c r="C5647" s="1" t="s">
        <v>144</v>
      </c>
      <c r="D5647" s="3">
        <f t="shared" si="819"/>
        <v>8471</v>
      </c>
      <c r="E5647" s="2">
        <f t="shared" si="818"/>
        <v>43831</v>
      </c>
      <c r="F5647" s="2">
        <f t="shared" si="820"/>
        <v>44196</v>
      </c>
    </row>
    <row r="5648" spans="1:6" x14ac:dyDescent="0.25">
      <c r="A5648" s="1" t="s">
        <v>1207</v>
      </c>
      <c r="B5648" s="1" t="s">
        <v>1206</v>
      </c>
      <c r="C5648" s="1" t="s">
        <v>22</v>
      </c>
      <c r="D5648" s="3">
        <f t="shared" si="819"/>
        <v>8471</v>
      </c>
      <c r="E5648" s="2">
        <f t="shared" ref="E5648:E5661" si="821">DATEVALUE("1-1-2020")</f>
        <v>43831</v>
      </c>
      <c r="F5648" s="2">
        <f t="shared" si="820"/>
        <v>44196</v>
      </c>
    </row>
    <row r="5649" spans="1:6" x14ac:dyDescent="0.25">
      <c r="A5649" s="1" t="s">
        <v>1207</v>
      </c>
      <c r="B5649" s="1" t="s">
        <v>1206</v>
      </c>
      <c r="C5649" s="1" t="s">
        <v>146</v>
      </c>
      <c r="D5649" s="3">
        <f t="shared" si="819"/>
        <v>8471</v>
      </c>
      <c r="E5649" s="2">
        <f t="shared" si="821"/>
        <v>43831</v>
      </c>
      <c r="F5649" s="2">
        <f t="shared" si="820"/>
        <v>44196</v>
      </c>
    </row>
    <row r="5650" spans="1:6" x14ac:dyDescent="0.25">
      <c r="A5650" s="1" t="s">
        <v>1207</v>
      </c>
      <c r="B5650" s="1" t="s">
        <v>1206</v>
      </c>
      <c r="C5650" s="1" t="s">
        <v>67</v>
      </c>
      <c r="D5650" s="3">
        <f t="shared" si="819"/>
        <v>8471</v>
      </c>
      <c r="E5650" s="2">
        <f t="shared" si="821"/>
        <v>43831</v>
      </c>
      <c r="F5650" s="2">
        <f t="shared" si="820"/>
        <v>44196</v>
      </c>
    </row>
    <row r="5651" spans="1:6" x14ac:dyDescent="0.25">
      <c r="A5651" s="1" t="s">
        <v>1207</v>
      </c>
      <c r="B5651" s="1" t="s">
        <v>1206</v>
      </c>
      <c r="C5651" s="1" t="s">
        <v>539</v>
      </c>
      <c r="D5651" s="3">
        <f t="shared" si="819"/>
        <v>8471</v>
      </c>
      <c r="E5651" s="2">
        <f t="shared" si="821"/>
        <v>43831</v>
      </c>
      <c r="F5651" s="2">
        <f t="shared" si="820"/>
        <v>44196</v>
      </c>
    </row>
    <row r="5652" spans="1:6" x14ac:dyDescent="0.25">
      <c r="A5652" s="1" t="s">
        <v>1207</v>
      </c>
      <c r="B5652" s="1" t="s">
        <v>1206</v>
      </c>
      <c r="C5652" s="1" t="s">
        <v>92</v>
      </c>
      <c r="D5652" s="3">
        <f t="shared" si="819"/>
        <v>8471</v>
      </c>
      <c r="E5652" s="2">
        <f t="shared" si="821"/>
        <v>43831</v>
      </c>
      <c r="F5652" s="2">
        <f t="shared" si="820"/>
        <v>44196</v>
      </c>
    </row>
    <row r="5653" spans="1:6" x14ac:dyDescent="0.25">
      <c r="A5653" s="1" t="s">
        <v>1207</v>
      </c>
      <c r="B5653" s="1" t="s">
        <v>1206</v>
      </c>
      <c r="C5653" s="1" t="s">
        <v>70</v>
      </c>
      <c r="D5653" s="3">
        <f t="shared" si="819"/>
        <v>8471</v>
      </c>
      <c r="E5653" s="2">
        <f t="shared" si="821"/>
        <v>43831</v>
      </c>
      <c r="F5653" s="2">
        <f t="shared" si="820"/>
        <v>44196</v>
      </c>
    </row>
    <row r="5654" spans="1:6" x14ac:dyDescent="0.25">
      <c r="A5654" s="1" t="s">
        <v>1207</v>
      </c>
      <c r="B5654" s="1" t="s">
        <v>1206</v>
      </c>
      <c r="C5654" s="1" t="s">
        <v>73</v>
      </c>
      <c r="D5654" s="3">
        <f t="shared" si="819"/>
        <v>8471</v>
      </c>
      <c r="E5654" s="2">
        <f t="shared" si="821"/>
        <v>43831</v>
      </c>
      <c r="F5654" s="2">
        <f t="shared" si="820"/>
        <v>44196</v>
      </c>
    </row>
    <row r="5655" spans="1:6" x14ac:dyDescent="0.25">
      <c r="A5655" s="1" t="s">
        <v>1207</v>
      </c>
      <c r="B5655" s="1" t="s">
        <v>1206</v>
      </c>
      <c r="C5655" s="1" t="s">
        <v>52</v>
      </c>
      <c r="D5655" s="3">
        <f t="shared" si="819"/>
        <v>8471</v>
      </c>
      <c r="E5655" s="2">
        <f t="shared" si="821"/>
        <v>43831</v>
      </c>
      <c r="F5655" s="2">
        <f t="shared" si="820"/>
        <v>44196</v>
      </c>
    </row>
    <row r="5656" spans="1:6" x14ac:dyDescent="0.25">
      <c r="A5656" s="1" t="s">
        <v>1207</v>
      </c>
      <c r="B5656" s="1" t="s">
        <v>1206</v>
      </c>
      <c r="C5656" s="1" t="s">
        <v>376</v>
      </c>
      <c r="D5656" s="3">
        <f t="shared" si="819"/>
        <v>8471</v>
      </c>
      <c r="E5656" s="2">
        <f t="shared" si="821"/>
        <v>43831</v>
      </c>
      <c r="F5656" s="2">
        <f t="shared" si="820"/>
        <v>44196</v>
      </c>
    </row>
    <row r="5657" spans="1:6" x14ac:dyDescent="0.25">
      <c r="A5657" s="1" t="s">
        <v>1207</v>
      </c>
      <c r="B5657" s="1" t="s">
        <v>1206</v>
      </c>
      <c r="C5657" s="1" t="s">
        <v>160</v>
      </c>
      <c r="D5657" s="3">
        <f t="shared" si="819"/>
        <v>8471</v>
      </c>
      <c r="E5657" s="2">
        <f t="shared" si="821"/>
        <v>43831</v>
      </c>
      <c r="F5657" s="2">
        <f t="shared" si="820"/>
        <v>44196</v>
      </c>
    </row>
    <row r="5658" spans="1:6" x14ac:dyDescent="0.25">
      <c r="A5658" s="1" t="s">
        <v>1207</v>
      </c>
      <c r="B5658" s="1" t="s">
        <v>1206</v>
      </c>
      <c r="C5658" s="1" t="s">
        <v>378</v>
      </c>
      <c r="D5658" s="3">
        <f t="shared" si="819"/>
        <v>8471</v>
      </c>
      <c r="E5658" s="2">
        <f t="shared" si="821"/>
        <v>43831</v>
      </c>
      <c r="F5658" s="2">
        <f t="shared" si="820"/>
        <v>44196</v>
      </c>
    </row>
    <row r="5659" spans="1:6" x14ac:dyDescent="0.25">
      <c r="A5659" s="1" t="s">
        <v>1207</v>
      </c>
      <c r="B5659" s="1" t="s">
        <v>1206</v>
      </c>
      <c r="C5659" s="1" t="s">
        <v>380</v>
      </c>
      <c r="D5659" s="3">
        <f t="shared" si="819"/>
        <v>8471</v>
      </c>
      <c r="E5659" s="2">
        <f t="shared" si="821"/>
        <v>43831</v>
      </c>
      <c r="F5659" s="2">
        <f t="shared" si="820"/>
        <v>44196</v>
      </c>
    </row>
    <row r="5660" spans="1:6" x14ac:dyDescent="0.25">
      <c r="A5660" s="1" t="s">
        <v>1207</v>
      </c>
      <c r="B5660" s="1" t="s">
        <v>1206</v>
      </c>
      <c r="C5660" s="1" t="s">
        <v>381</v>
      </c>
      <c r="D5660" s="3">
        <f t="shared" si="819"/>
        <v>8471</v>
      </c>
      <c r="E5660" s="2">
        <f t="shared" si="821"/>
        <v>43831</v>
      </c>
      <c r="F5660" s="2">
        <f t="shared" si="820"/>
        <v>44196</v>
      </c>
    </row>
    <row r="5661" spans="1:6" x14ac:dyDescent="0.25">
      <c r="A5661" s="1" t="s">
        <v>1207</v>
      </c>
      <c r="B5661" s="1" t="s">
        <v>1206</v>
      </c>
      <c r="C5661" s="1" t="s">
        <v>170</v>
      </c>
      <c r="D5661" s="3">
        <f t="shared" si="819"/>
        <v>8471</v>
      </c>
      <c r="E5661" s="2">
        <f t="shared" si="821"/>
        <v>43831</v>
      </c>
      <c r="F5661" s="2">
        <f t="shared" si="820"/>
        <v>44196</v>
      </c>
    </row>
    <row r="5662" spans="1:6" x14ac:dyDescent="0.25">
      <c r="A5662" s="1" t="s">
        <v>1183</v>
      </c>
      <c r="B5662" s="1" t="s">
        <v>1182</v>
      </c>
      <c r="C5662" s="1" t="s">
        <v>15</v>
      </c>
      <c r="D5662" s="3">
        <f t="shared" ref="D5662:D5679" si="822">VALUE("8453")</f>
        <v>8453</v>
      </c>
      <c r="E5662" s="2">
        <f t="shared" ref="E5662:E5679" si="823">DATEVALUE("1-5-2019")</f>
        <v>43586</v>
      </c>
      <c r="F5662" s="2">
        <f t="shared" ref="F5662:F5679" si="824">DATEVALUE("28-2-2021")</f>
        <v>44255</v>
      </c>
    </row>
    <row r="5663" spans="1:6" x14ac:dyDescent="0.25">
      <c r="A5663" s="1" t="s">
        <v>1183</v>
      </c>
      <c r="B5663" s="1" t="s">
        <v>1182</v>
      </c>
      <c r="C5663" s="1" t="s">
        <v>88</v>
      </c>
      <c r="D5663" s="3">
        <f t="shared" si="822"/>
        <v>8453</v>
      </c>
      <c r="E5663" s="2">
        <f t="shared" si="823"/>
        <v>43586</v>
      </c>
      <c r="F5663" s="2">
        <f t="shared" si="824"/>
        <v>44255</v>
      </c>
    </row>
    <row r="5664" spans="1:6" x14ac:dyDescent="0.25">
      <c r="A5664" s="1" t="s">
        <v>1183</v>
      </c>
      <c r="B5664" s="1" t="s">
        <v>1182</v>
      </c>
      <c r="C5664" s="1" t="s">
        <v>17</v>
      </c>
      <c r="D5664" s="3">
        <f t="shared" si="822"/>
        <v>8453</v>
      </c>
      <c r="E5664" s="2">
        <f t="shared" si="823"/>
        <v>43586</v>
      </c>
      <c r="F5664" s="2">
        <f t="shared" si="824"/>
        <v>44255</v>
      </c>
    </row>
    <row r="5665" spans="1:6" x14ac:dyDescent="0.25">
      <c r="A5665" s="1" t="s">
        <v>1183</v>
      </c>
      <c r="B5665" s="1" t="s">
        <v>1182</v>
      </c>
      <c r="C5665" s="1" t="s">
        <v>91</v>
      </c>
      <c r="D5665" s="3">
        <f t="shared" si="822"/>
        <v>8453</v>
      </c>
      <c r="E5665" s="2">
        <f t="shared" si="823"/>
        <v>43586</v>
      </c>
      <c r="F5665" s="2">
        <f t="shared" si="824"/>
        <v>44255</v>
      </c>
    </row>
    <row r="5666" spans="1:6" x14ac:dyDescent="0.25">
      <c r="A5666" s="1" t="s">
        <v>1183</v>
      </c>
      <c r="B5666" s="1" t="s">
        <v>1182</v>
      </c>
      <c r="C5666" s="1" t="s">
        <v>501</v>
      </c>
      <c r="D5666" s="3">
        <f t="shared" si="822"/>
        <v>8453</v>
      </c>
      <c r="E5666" s="2">
        <f t="shared" si="823"/>
        <v>43586</v>
      </c>
      <c r="F5666" s="2">
        <f t="shared" si="824"/>
        <v>44255</v>
      </c>
    </row>
    <row r="5667" spans="1:6" x14ac:dyDescent="0.25">
      <c r="A5667" s="1" t="s">
        <v>1183</v>
      </c>
      <c r="B5667" s="1" t="s">
        <v>1182</v>
      </c>
      <c r="C5667" s="1" t="s">
        <v>22</v>
      </c>
      <c r="D5667" s="3">
        <f t="shared" si="822"/>
        <v>8453</v>
      </c>
      <c r="E5667" s="2">
        <f t="shared" si="823"/>
        <v>43586</v>
      </c>
      <c r="F5667" s="2">
        <f t="shared" si="824"/>
        <v>44255</v>
      </c>
    </row>
    <row r="5668" spans="1:6" x14ac:dyDescent="0.25">
      <c r="A5668" s="1" t="s">
        <v>1183</v>
      </c>
      <c r="B5668" s="1" t="s">
        <v>1182</v>
      </c>
      <c r="C5668" s="1" t="s">
        <v>146</v>
      </c>
      <c r="D5668" s="3">
        <f t="shared" si="822"/>
        <v>8453</v>
      </c>
      <c r="E5668" s="2">
        <f t="shared" si="823"/>
        <v>43586</v>
      </c>
      <c r="F5668" s="2">
        <f t="shared" si="824"/>
        <v>44255</v>
      </c>
    </row>
    <row r="5669" spans="1:6" x14ac:dyDescent="0.25">
      <c r="A5669" s="1" t="s">
        <v>1183</v>
      </c>
      <c r="B5669" s="1" t="s">
        <v>1182</v>
      </c>
      <c r="C5669" s="1" t="s">
        <v>67</v>
      </c>
      <c r="D5669" s="3">
        <f t="shared" si="822"/>
        <v>8453</v>
      </c>
      <c r="E5669" s="2">
        <f t="shared" si="823"/>
        <v>43586</v>
      </c>
      <c r="F5669" s="2">
        <f t="shared" si="824"/>
        <v>44255</v>
      </c>
    </row>
    <row r="5670" spans="1:6" x14ac:dyDescent="0.25">
      <c r="A5670" s="1" t="s">
        <v>1183</v>
      </c>
      <c r="B5670" s="1" t="s">
        <v>1182</v>
      </c>
      <c r="C5670" s="1" t="s">
        <v>573</v>
      </c>
      <c r="D5670" s="3">
        <f t="shared" si="822"/>
        <v>8453</v>
      </c>
      <c r="E5670" s="2">
        <f t="shared" si="823"/>
        <v>43586</v>
      </c>
      <c r="F5670" s="2">
        <f t="shared" si="824"/>
        <v>44255</v>
      </c>
    </row>
    <row r="5671" spans="1:6" x14ac:dyDescent="0.25">
      <c r="A5671" s="1" t="s">
        <v>1183</v>
      </c>
      <c r="B5671" s="1" t="s">
        <v>1182</v>
      </c>
      <c r="C5671" s="1" t="s">
        <v>73</v>
      </c>
      <c r="D5671" s="3">
        <f t="shared" si="822"/>
        <v>8453</v>
      </c>
      <c r="E5671" s="2">
        <f t="shared" si="823"/>
        <v>43586</v>
      </c>
      <c r="F5671" s="2">
        <f t="shared" si="824"/>
        <v>44255</v>
      </c>
    </row>
    <row r="5672" spans="1:6" x14ac:dyDescent="0.25">
      <c r="A5672" s="1" t="s">
        <v>1183</v>
      </c>
      <c r="B5672" s="1" t="s">
        <v>1182</v>
      </c>
      <c r="C5672" s="1" t="s">
        <v>52</v>
      </c>
      <c r="D5672" s="3">
        <f t="shared" si="822"/>
        <v>8453</v>
      </c>
      <c r="E5672" s="2">
        <f t="shared" si="823"/>
        <v>43586</v>
      </c>
      <c r="F5672" s="2">
        <f t="shared" si="824"/>
        <v>44255</v>
      </c>
    </row>
    <row r="5673" spans="1:6" x14ac:dyDescent="0.25">
      <c r="A5673" s="1" t="s">
        <v>1183</v>
      </c>
      <c r="B5673" s="1" t="s">
        <v>1182</v>
      </c>
      <c r="C5673" s="1" t="s">
        <v>376</v>
      </c>
      <c r="D5673" s="3">
        <f t="shared" si="822"/>
        <v>8453</v>
      </c>
      <c r="E5673" s="2">
        <f t="shared" si="823"/>
        <v>43586</v>
      </c>
      <c r="F5673" s="2">
        <f t="shared" si="824"/>
        <v>44255</v>
      </c>
    </row>
    <row r="5674" spans="1:6" x14ac:dyDescent="0.25">
      <c r="A5674" s="1" t="s">
        <v>1183</v>
      </c>
      <c r="B5674" s="1" t="s">
        <v>1182</v>
      </c>
      <c r="C5674" s="1" t="s">
        <v>377</v>
      </c>
      <c r="D5674" s="3">
        <f t="shared" si="822"/>
        <v>8453</v>
      </c>
      <c r="E5674" s="2">
        <f t="shared" si="823"/>
        <v>43586</v>
      </c>
      <c r="F5674" s="2">
        <f t="shared" si="824"/>
        <v>44255</v>
      </c>
    </row>
    <row r="5675" spans="1:6" x14ac:dyDescent="0.25">
      <c r="A5675" s="1" t="s">
        <v>1183</v>
      </c>
      <c r="B5675" s="1" t="s">
        <v>1182</v>
      </c>
      <c r="C5675" s="1" t="s">
        <v>160</v>
      </c>
      <c r="D5675" s="3">
        <f t="shared" si="822"/>
        <v>8453</v>
      </c>
      <c r="E5675" s="2">
        <f t="shared" si="823"/>
        <v>43586</v>
      </c>
      <c r="F5675" s="2">
        <f t="shared" si="824"/>
        <v>44255</v>
      </c>
    </row>
    <row r="5676" spans="1:6" x14ac:dyDescent="0.25">
      <c r="A5676" s="1" t="s">
        <v>1183</v>
      </c>
      <c r="B5676" s="1" t="s">
        <v>1182</v>
      </c>
      <c r="C5676" s="1" t="s">
        <v>378</v>
      </c>
      <c r="D5676" s="3">
        <f t="shared" si="822"/>
        <v>8453</v>
      </c>
      <c r="E5676" s="2">
        <f t="shared" si="823"/>
        <v>43586</v>
      </c>
      <c r="F5676" s="2">
        <f t="shared" si="824"/>
        <v>44255</v>
      </c>
    </row>
    <row r="5677" spans="1:6" x14ac:dyDescent="0.25">
      <c r="A5677" s="1" t="s">
        <v>1183</v>
      </c>
      <c r="B5677" s="1" t="s">
        <v>1182</v>
      </c>
      <c r="C5677" s="1" t="s">
        <v>379</v>
      </c>
      <c r="D5677" s="3">
        <f t="shared" si="822"/>
        <v>8453</v>
      </c>
      <c r="E5677" s="2">
        <f t="shared" si="823"/>
        <v>43586</v>
      </c>
      <c r="F5677" s="2">
        <f t="shared" si="824"/>
        <v>44255</v>
      </c>
    </row>
    <row r="5678" spans="1:6" x14ac:dyDescent="0.25">
      <c r="A5678" s="1" t="s">
        <v>1183</v>
      </c>
      <c r="B5678" s="1" t="s">
        <v>1182</v>
      </c>
      <c r="C5678" s="1" t="s">
        <v>380</v>
      </c>
      <c r="D5678" s="3">
        <f t="shared" si="822"/>
        <v>8453</v>
      </c>
      <c r="E5678" s="2">
        <f t="shared" si="823"/>
        <v>43586</v>
      </c>
      <c r="F5678" s="2">
        <f t="shared" si="824"/>
        <v>44255</v>
      </c>
    </row>
    <row r="5679" spans="1:6" x14ac:dyDescent="0.25">
      <c r="A5679" s="1" t="s">
        <v>1183</v>
      </c>
      <c r="B5679" s="1" t="s">
        <v>1182</v>
      </c>
      <c r="C5679" s="1" t="s">
        <v>381</v>
      </c>
      <c r="D5679" s="3">
        <f t="shared" si="822"/>
        <v>8453</v>
      </c>
      <c r="E5679" s="2">
        <f t="shared" si="823"/>
        <v>43586</v>
      </c>
      <c r="F5679" s="2">
        <f t="shared" si="824"/>
        <v>44255</v>
      </c>
    </row>
    <row r="5680" spans="1:6" x14ac:dyDescent="0.25">
      <c r="A5680" s="1" t="s">
        <v>851</v>
      </c>
      <c r="B5680" s="1" t="s">
        <v>850</v>
      </c>
      <c r="C5680" s="1" t="s">
        <v>864</v>
      </c>
      <c r="D5680" s="3">
        <f t="shared" ref="D5680:D5707" si="825">VALUE("8079")</f>
        <v>8079</v>
      </c>
      <c r="E5680" s="2">
        <f t="shared" ref="E5680:E5707" si="826">DATEVALUE("1-5-2017")</f>
        <v>42856</v>
      </c>
      <c r="F5680" s="2">
        <f t="shared" ref="F5680:F5707" si="827">DATEVALUE("31-3-2025")</f>
        <v>45747</v>
      </c>
    </row>
    <row r="5681" spans="1:6" x14ac:dyDescent="0.25">
      <c r="A5681" s="1" t="s">
        <v>851</v>
      </c>
      <c r="B5681" s="1" t="s">
        <v>850</v>
      </c>
      <c r="C5681" s="1" t="s">
        <v>852</v>
      </c>
      <c r="D5681" s="3">
        <f t="shared" si="825"/>
        <v>8079</v>
      </c>
      <c r="E5681" s="2">
        <f t="shared" si="826"/>
        <v>42856</v>
      </c>
      <c r="F5681" s="2">
        <f t="shared" si="827"/>
        <v>45747</v>
      </c>
    </row>
    <row r="5682" spans="1:6" x14ac:dyDescent="0.25">
      <c r="A5682" s="1" t="s">
        <v>851</v>
      </c>
      <c r="B5682" s="1" t="s">
        <v>850</v>
      </c>
      <c r="C5682" s="1" t="s">
        <v>853</v>
      </c>
      <c r="D5682" s="3">
        <f t="shared" si="825"/>
        <v>8079</v>
      </c>
      <c r="E5682" s="2">
        <f t="shared" si="826"/>
        <v>42856</v>
      </c>
      <c r="F5682" s="2">
        <f t="shared" si="827"/>
        <v>45747</v>
      </c>
    </row>
    <row r="5683" spans="1:6" x14ac:dyDescent="0.25">
      <c r="A5683" s="1" t="s">
        <v>851</v>
      </c>
      <c r="B5683" s="1" t="s">
        <v>850</v>
      </c>
      <c r="C5683" s="1" t="s">
        <v>854</v>
      </c>
      <c r="D5683" s="3">
        <f t="shared" si="825"/>
        <v>8079</v>
      </c>
      <c r="E5683" s="2">
        <f t="shared" si="826"/>
        <v>42856</v>
      </c>
      <c r="F5683" s="2">
        <f t="shared" si="827"/>
        <v>45747</v>
      </c>
    </row>
    <row r="5684" spans="1:6" x14ac:dyDescent="0.25">
      <c r="A5684" s="1" t="s">
        <v>851</v>
      </c>
      <c r="B5684" s="1" t="s">
        <v>850</v>
      </c>
      <c r="C5684" s="1" t="s">
        <v>855</v>
      </c>
      <c r="D5684" s="3">
        <f t="shared" si="825"/>
        <v>8079</v>
      </c>
      <c r="E5684" s="2">
        <f t="shared" si="826"/>
        <v>42856</v>
      </c>
      <c r="F5684" s="2">
        <f t="shared" si="827"/>
        <v>45747</v>
      </c>
    </row>
    <row r="5685" spans="1:6" x14ac:dyDescent="0.25">
      <c r="A5685" s="1" t="s">
        <v>851</v>
      </c>
      <c r="B5685" s="1" t="s">
        <v>850</v>
      </c>
      <c r="C5685" s="1" t="s">
        <v>856</v>
      </c>
      <c r="D5685" s="3">
        <f t="shared" si="825"/>
        <v>8079</v>
      </c>
      <c r="E5685" s="2">
        <f t="shared" si="826"/>
        <v>42856</v>
      </c>
      <c r="F5685" s="2">
        <f t="shared" si="827"/>
        <v>45747</v>
      </c>
    </row>
    <row r="5686" spans="1:6" x14ac:dyDescent="0.25">
      <c r="A5686" s="1" t="s">
        <v>851</v>
      </c>
      <c r="B5686" s="1" t="s">
        <v>850</v>
      </c>
      <c r="C5686" s="1" t="s">
        <v>857</v>
      </c>
      <c r="D5686" s="3">
        <f t="shared" si="825"/>
        <v>8079</v>
      </c>
      <c r="E5686" s="2">
        <f t="shared" si="826"/>
        <v>42856</v>
      </c>
      <c r="F5686" s="2">
        <f t="shared" si="827"/>
        <v>45747</v>
      </c>
    </row>
    <row r="5687" spans="1:6" x14ac:dyDescent="0.25">
      <c r="A5687" s="1" t="s">
        <v>851</v>
      </c>
      <c r="B5687" s="1" t="s">
        <v>850</v>
      </c>
      <c r="C5687" s="1" t="s">
        <v>858</v>
      </c>
      <c r="D5687" s="3">
        <f t="shared" si="825"/>
        <v>8079</v>
      </c>
      <c r="E5687" s="2">
        <f t="shared" si="826"/>
        <v>42856</v>
      </c>
      <c r="F5687" s="2">
        <f t="shared" si="827"/>
        <v>45747</v>
      </c>
    </row>
    <row r="5688" spans="1:6" x14ac:dyDescent="0.25">
      <c r="A5688" s="1" t="s">
        <v>851</v>
      </c>
      <c r="B5688" s="1" t="s">
        <v>850</v>
      </c>
      <c r="C5688" s="1" t="s">
        <v>859</v>
      </c>
      <c r="D5688" s="3">
        <f t="shared" si="825"/>
        <v>8079</v>
      </c>
      <c r="E5688" s="2">
        <f t="shared" si="826"/>
        <v>42856</v>
      </c>
      <c r="F5688" s="2">
        <f t="shared" si="827"/>
        <v>45747</v>
      </c>
    </row>
    <row r="5689" spans="1:6" x14ac:dyDescent="0.25">
      <c r="A5689" s="1" t="s">
        <v>851</v>
      </c>
      <c r="B5689" s="1" t="s">
        <v>850</v>
      </c>
      <c r="C5689" s="1" t="s">
        <v>860</v>
      </c>
      <c r="D5689" s="3">
        <f t="shared" si="825"/>
        <v>8079</v>
      </c>
      <c r="E5689" s="2">
        <f t="shared" si="826"/>
        <v>42856</v>
      </c>
      <c r="F5689" s="2">
        <f t="shared" si="827"/>
        <v>45747</v>
      </c>
    </row>
    <row r="5690" spans="1:6" x14ac:dyDescent="0.25">
      <c r="A5690" s="1" t="s">
        <v>851</v>
      </c>
      <c r="B5690" s="1" t="s">
        <v>850</v>
      </c>
      <c r="C5690" s="1" t="s">
        <v>861</v>
      </c>
      <c r="D5690" s="3">
        <f t="shared" si="825"/>
        <v>8079</v>
      </c>
      <c r="E5690" s="2">
        <f t="shared" si="826"/>
        <v>42856</v>
      </c>
      <c r="F5690" s="2">
        <f t="shared" si="827"/>
        <v>45747</v>
      </c>
    </row>
    <row r="5691" spans="1:6" x14ac:dyDescent="0.25">
      <c r="A5691" s="1" t="s">
        <v>851</v>
      </c>
      <c r="B5691" s="1" t="s">
        <v>850</v>
      </c>
      <c r="C5691" s="1" t="s">
        <v>862</v>
      </c>
      <c r="D5691" s="3">
        <f t="shared" si="825"/>
        <v>8079</v>
      </c>
      <c r="E5691" s="2">
        <f t="shared" si="826"/>
        <v>42856</v>
      </c>
      <c r="F5691" s="2">
        <f t="shared" si="827"/>
        <v>45747</v>
      </c>
    </row>
    <row r="5692" spans="1:6" x14ac:dyDescent="0.25">
      <c r="A5692" s="1" t="s">
        <v>851</v>
      </c>
      <c r="B5692" s="1" t="s">
        <v>850</v>
      </c>
      <c r="C5692" s="1" t="s">
        <v>61</v>
      </c>
      <c r="D5692" s="3">
        <f t="shared" si="825"/>
        <v>8079</v>
      </c>
      <c r="E5692" s="2">
        <f t="shared" si="826"/>
        <v>42856</v>
      </c>
      <c r="F5692" s="2">
        <f t="shared" si="827"/>
        <v>45747</v>
      </c>
    </row>
    <row r="5693" spans="1:6" x14ac:dyDescent="0.25">
      <c r="A5693" s="1" t="s">
        <v>851</v>
      </c>
      <c r="B5693" s="1" t="s">
        <v>850</v>
      </c>
      <c r="C5693" s="1" t="s">
        <v>863</v>
      </c>
      <c r="D5693" s="3">
        <f t="shared" si="825"/>
        <v>8079</v>
      </c>
      <c r="E5693" s="2">
        <f t="shared" si="826"/>
        <v>42856</v>
      </c>
      <c r="F5693" s="2">
        <f t="shared" si="827"/>
        <v>45747</v>
      </c>
    </row>
    <row r="5694" spans="1:6" x14ac:dyDescent="0.25">
      <c r="A5694" s="1" t="s">
        <v>851</v>
      </c>
      <c r="B5694" s="1" t="s">
        <v>850</v>
      </c>
      <c r="C5694" s="1" t="s">
        <v>14</v>
      </c>
      <c r="D5694" s="3">
        <f t="shared" si="825"/>
        <v>8079</v>
      </c>
      <c r="E5694" s="2">
        <f t="shared" si="826"/>
        <v>42856</v>
      </c>
      <c r="F5694" s="2">
        <f t="shared" si="827"/>
        <v>45747</v>
      </c>
    </row>
    <row r="5695" spans="1:6" x14ac:dyDescent="0.25">
      <c r="A5695" s="1" t="s">
        <v>851</v>
      </c>
      <c r="B5695" s="1" t="s">
        <v>850</v>
      </c>
      <c r="C5695" s="1" t="s">
        <v>66</v>
      </c>
      <c r="D5695" s="3">
        <f t="shared" si="825"/>
        <v>8079</v>
      </c>
      <c r="E5695" s="2">
        <f t="shared" si="826"/>
        <v>42856</v>
      </c>
      <c r="F5695" s="2">
        <f t="shared" si="827"/>
        <v>45747</v>
      </c>
    </row>
    <row r="5696" spans="1:6" x14ac:dyDescent="0.25">
      <c r="A5696" s="1" t="s">
        <v>851</v>
      </c>
      <c r="B5696" s="1" t="s">
        <v>850</v>
      </c>
      <c r="C5696" s="1" t="s">
        <v>17</v>
      </c>
      <c r="D5696" s="3">
        <f t="shared" si="825"/>
        <v>8079</v>
      </c>
      <c r="E5696" s="2">
        <f t="shared" si="826"/>
        <v>42856</v>
      </c>
      <c r="F5696" s="2">
        <f t="shared" si="827"/>
        <v>45747</v>
      </c>
    </row>
    <row r="5697" spans="1:6" x14ac:dyDescent="0.25">
      <c r="A5697" s="1" t="s">
        <v>851</v>
      </c>
      <c r="B5697" s="1" t="s">
        <v>850</v>
      </c>
      <c r="C5697" s="1" t="s">
        <v>257</v>
      </c>
      <c r="D5697" s="3">
        <f t="shared" si="825"/>
        <v>8079</v>
      </c>
      <c r="E5697" s="2">
        <f t="shared" si="826"/>
        <v>42856</v>
      </c>
      <c r="F5697" s="2">
        <f t="shared" si="827"/>
        <v>45747</v>
      </c>
    </row>
    <row r="5698" spans="1:6" x14ac:dyDescent="0.25">
      <c r="A5698" s="1" t="s">
        <v>851</v>
      </c>
      <c r="B5698" s="1" t="s">
        <v>850</v>
      </c>
      <c r="C5698" s="1" t="s">
        <v>22</v>
      </c>
      <c r="D5698" s="3">
        <f t="shared" si="825"/>
        <v>8079</v>
      </c>
      <c r="E5698" s="2">
        <f t="shared" si="826"/>
        <v>42856</v>
      </c>
      <c r="F5698" s="2">
        <f t="shared" si="827"/>
        <v>45747</v>
      </c>
    </row>
    <row r="5699" spans="1:6" x14ac:dyDescent="0.25">
      <c r="A5699" s="1" t="s">
        <v>851</v>
      </c>
      <c r="B5699" s="1" t="s">
        <v>850</v>
      </c>
      <c r="C5699" s="1" t="s">
        <v>172</v>
      </c>
      <c r="D5699" s="3">
        <f t="shared" si="825"/>
        <v>8079</v>
      </c>
      <c r="E5699" s="2">
        <f t="shared" si="826"/>
        <v>42856</v>
      </c>
      <c r="F5699" s="2">
        <f t="shared" si="827"/>
        <v>45747</v>
      </c>
    </row>
    <row r="5700" spans="1:6" x14ac:dyDescent="0.25">
      <c r="A5700" s="1" t="s">
        <v>851</v>
      </c>
      <c r="B5700" s="1" t="s">
        <v>850</v>
      </c>
      <c r="C5700" s="1" t="s">
        <v>472</v>
      </c>
      <c r="D5700" s="3">
        <f t="shared" si="825"/>
        <v>8079</v>
      </c>
      <c r="E5700" s="2">
        <f t="shared" si="826"/>
        <v>42856</v>
      </c>
      <c r="F5700" s="2">
        <f t="shared" si="827"/>
        <v>45747</v>
      </c>
    </row>
    <row r="5701" spans="1:6" x14ac:dyDescent="0.25">
      <c r="A5701" s="1" t="s">
        <v>851</v>
      </c>
      <c r="B5701" s="1" t="s">
        <v>850</v>
      </c>
      <c r="C5701" s="1" t="s">
        <v>92</v>
      </c>
      <c r="D5701" s="3">
        <f t="shared" si="825"/>
        <v>8079</v>
      </c>
      <c r="E5701" s="2">
        <f t="shared" si="826"/>
        <v>42856</v>
      </c>
      <c r="F5701" s="2">
        <f t="shared" si="827"/>
        <v>45747</v>
      </c>
    </row>
    <row r="5702" spans="1:6" x14ac:dyDescent="0.25">
      <c r="A5702" s="1" t="s">
        <v>851</v>
      </c>
      <c r="B5702" s="1" t="s">
        <v>850</v>
      </c>
      <c r="C5702" s="1" t="s">
        <v>26</v>
      </c>
      <c r="D5702" s="3">
        <f t="shared" si="825"/>
        <v>8079</v>
      </c>
      <c r="E5702" s="2">
        <f t="shared" si="826"/>
        <v>42856</v>
      </c>
      <c r="F5702" s="2">
        <f t="shared" si="827"/>
        <v>45747</v>
      </c>
    </row>
    <row r="5703" spans="1:6" x14ac:dyDescent="0.25">
      <c r="A5703" s="1" t="s">
        <v>851</v>
      </c>
      <c r="B5703" s="1" t="s">
        <v>850</v>
      </c>
      <c r="C5703" s="1" t="s">
        <v>72</v>
      </c>
      <c r="D5703" s="3">
        <f t="shared" si="825"/>
        <v>8079</v>
      </c>
      <c r="E5703" s="2">
        <f t="shared" si="826"/>
        <v>42856</v>
      </c>
      <c r="F5703" s="2">
        <f t="shared" si="827"/>
        <v>45747</v>
      </c>
    </row>
    <row r="5704" spans="1:6" x14ac:dyDescent="0.25">
      <c r="A5704" s="1" t="s">
        <v>851</v>
      </c>
      <c r="B5704" s="1" t="s">
        <v>850</v>
      </c>
      <c r="C5704" s="1" t="s">
        <v>73</v>
      </c>
      <c r="D5704" s="3">
        <f t="shared" si="825"/>
        <v>8079</v>
      </c>
      <c r="E5704" s="2">
        <f t="shared" si="826"/>
        <v>42856</v>
      </c>
      <c r="F5704" s="2">
        <f t="shared" si="827"/>
        <v>45747</v>
      </c>
    </row>
    <row r="5705" spans="1:6" x14ac:dyDescent="0.25">
      <c r="A5705" s="1" t="s">
        <v>851</v>
      </c>
      <c r="B5705" s="1" t="s">
        <v>850</v>
      </c>
      <c r="C5705" s="1" t="s">
        <v>297</v>
      </c>
      <c r="D5705" s="3">
        <f t="shared" si="825"/>
        <v>8079</v>
      </c>
      <c r="E5705" s="2">
        <f t="shared" si="826"/>
        <v>42856</v>
      </c>
      <c r="F5705" s="2">
        <f t="shared" si="827"/>
        <v>45747</v>
      </c>
    </row>
    <row r="5706" spans="1:6" x14ac:dyDescent="0.25">
      <c r="A5706" s="1" t="s">
        <v>851</v>
      </c>
      <c r="B5706" s="1" t="s">
        <v>850</v>
      </c>
      <c r="C5706" s="1" t="s">
        <v>52</v>
      </c>
      <c r="D5706" s="3">
        <f t="shared" si="825"/>
        <v>8079</v>
      </c>
      <c r="E5706" s="2">
        <f t="shared" si="826"/>
        <v>42856</v>
      </c>
      <c r="F5706" s="2">
        <f t="shared" si="827"/>
        <v>45747</v>
      </c>
    </row>
    <row r="5707" spans="1:6" x14ac:dyDescent="0.25">
      <c r="A5707" s="1" t="s">
        <v>851</v>
      </c>
      <c r="B5707" s="1" t="s">
        <v>850</v>
      </c>
      <c r="C5707" s="1" t="s">
        <v>54</v>
      </c>
      <c r="D5707" s="3">
        <f t="shared" si="825"/>
        <v>8079</v>
      </c>
      <c r="E5707" s="2">
        <f t="shared" si="826"/>
        <v>42856</v>
      </c>
      <c r="F5707" s="2">
        <f t="shared" si="827"/>
        <v>45747</v>
      </c>
    </row>
    <row r="5708" spans="1:6" x14ac:dyDescent="0.25">
      <c r="A5708" s="1" t="s">
        <v>2718</v>
      </c>
      <c r="B5708" s="1" t="s">
        <v>2717</v>
      </c>
      <c r="C5708" s="1" t="s">
        <v>7</v>
      </c>
      <c r="D5708" s="3">
        <f>VALUE("7464")</f>
        <v>7464</v>
      </c>
      <c r="E5708" s="2">
        <f>DATEVALUE("1-2-2014")</f>
        <v>41671</v>
      </c>
      <c r="F5708" s="2">
        <f>DATEVALUE("31-10-2014")</f>
        <v>41943</v>
      </c>
    </row>
    <row r="5709" spans="1:6" x14ac:dyDescent="0.25">
      <c r="A5709" s="1" t="s">
        <v>2718</v>
      </c>
      <c r="B5709" s="1" t="s">
        <v>2717</v>
      </c>
      <c r="C5709" s="1" t="s">
        <v>6</v>
      </c>
      <c r="D5709" s="3">
        <f>VALUE("7464")</f>
        <v>7464</v>
      </c>
      <c r="E5709" s="2">
        <f>DATEVALUE("1-2-2014")</f>
        <v>41671</v>
      </c>
      <c r="F5709" s="2">
        <f>DATEVALUE("31-10-2014")</f>
        <v>41943</v>
      </c>
    </row>
    <row r="5710" spans="1:6" x14ac:dyDescent="0.25">
      <c r="A5710" s="1" t="s">
        <v>2718</v>
      </c>
      <c r="B5710" s="1" t="s">
        <v>2717</v>
      </c>
      <c r="C5710" s="1" t="s">
        <v>23</v>
      </c>
      <c r="D5710" s="3">
        <f>VALUE("7464")</f>
        <v>7464</v>
      </c>
      <c r="E5710" s="2">
        <f>DATEVALUE("1-2-2014")</f>
        <v>41671</v>
      </c>
      <c r="F5710" s="2">
        <f>DATEVALUE("31-10-2014")</f>
        <v>41943</v>
      </c>
    </row>
    <row r="5711" spans="1:6" x14ac:dyDescent="0.25">
      <c r="A5711" s="1" t="s">
        <v>2718</v>
      </c>
      <c r="B5711" s="1" t="s">
        <v>2717</v>
      </c>
      <c r="C5711" s="1" t="s">
        <v>240</v>
      </c>
      <c r="D5711" s="3">
        <f>VALUE("7464")</f>
        <v>7464</v>
      </c>
      <c r="E5711" s="2">
        <f>DATEVALUE("1-2-2014")</f>
        <v>41671</v>
      </c>
      <c r="F5711" s="2">
        <f>DATEVALUE("31-10-2014")</f>
        <v>41943</v>
      </c>
    </row>
    <row r="5712" spans="1:6" x14ac:dyDescent="0.25">
      <c r="A5712" s="1" t="s">
        <v>2248</v>
      </c>
      <c r="B5712" s="1" t="s">
        <v>2247</v>
      </c>
      <c r="C5712" s="1" t="s">
        <v>17</v>
      </c>
      <c r="D5712" s="3">
        <f>VALUE("7951")</f>
        <v>7951</v>
      </c>
      <c r="E5712" s="2">
        <f>DATEVALUE("1-8-2017")</f>
        <v>42948</v>
      </c>
      <c r="F5712" s="2">
        <f>DATEVALUE("31-12-2017")</f>
        <v>43100</v>
      </c>
    </row>
    <row r="5713" spans="1:6" x14ac:dyDescent="0.25">
      <c r="A5713" s="1" t="s">
        <v>2248</v>
      </c>
      <c r="B5713" s="1" t="s">
        <v>2247</v>
      </c>
      <c r="C5713" s="1" t="s">
        <v>94</v>
      </c>
      <c r="D5713" s="3">
        <f>VALUE("7951")</f>
        <v>7951</v>
      </c>
      <c r="E5713" s="2">
        <f>DATEVALUE("1-8-2017")</f>
        <v>42948</v>
      </c>
      <c r="F5713" s="2">
        <f>DATEVALUE("31-12-2017")</f>
        <v>43100</v>
      </c>
    </row>
    <row r="5714" spans="1:6" x14ac:dyDescent="0.25">
      <c r="A5714" s="1" t="s">
        <v>2248</v>
      </c>
      <c r="B5714" s="1" t="s">
        <v>2247</v>
      </c>
      <c r="C5714" s="1" t="s">
        <v>170</v>
      </c>
      <c r="D5714" s="3">
        <f>VALUE("7951")</f>
        <v>7951</v>
      </c>
      <c r="E5714" s="2">
        <f>DATEVALUE("1-8-2017")</f>
        <v>42948</v>
      </c>
      <c r="F5714" s="2">
        <f>DATEVALUE("31-12-2017")</f>
        <v>43100</v>
      </c>
    </row>
    <row r="5715" spans="1:6" x14ac:dyDescent="0.25">
      <c r="A5715" s="1" t="s">
        <v>2406</v>
      </c>
      <c r="B5715" s="1" t="s">
        <v>2405</v>
      </c>
      <c r="C5715" s="1" t="s">
        <v>2407</v>
      </c>
      <c r="D5715" s="3">
        <f t="shared" ref="D5715:D5720" si="828">VALUE("8400")</f>
        <v>8400</v>
      </c>
      <c r="E5715" s="2">
        <f t="shared" ref="E5715:E5720" si="829">DATEVALUE("1-12-2018")</f>
        <v>43435</v>
      </c>
      <c r="F5715" s="2">
        <f t="shared" ref="F5715:F5720" si="830">DATEVALUE("31-10-2019")</f>
        <v>43769</v>
      </c>
    </row>
    <row r="5716" spans="1:6" x14ac:dyDescent="0.25">
      <c r="A5716" s="1" t="s">
        <v>2406</v>
      </c>
      <c r="B5716" s="1" t="s">
        <v>2405</v>
      </c>
      <c r="C5716" s="1" t="s">
        <v>2408</v>
      </c>
      <c r="D5716" s="3">
        <f t="shared" si="828"/>
        <v>8400</v>
      </c>
      <c r="E5716" s="2">
        <f t="shared" si="829"/>
        <v>43435</v>
      </c>
      <c r="F5716" s="2">
        <f t="shared" si="830"/>
        <v>43769</v>
      </c>
    </row>
    <row r="5717" spans="1:6" x14ac:dyDescent="0.25">
      <c r="A5717" s="1" t="s">
        <v>2406</v>
      </c>
      <c r="B5717" s="1" t="s">
        <v>2405</v>
      </c>
      <c r="C5717" s="1" t="s">
        <v>2409</v>
      </c>
      <c r="D5717" s="3">
        <f t="shared" si="828"/>
        <v>8400</v>
      </c>
      <c r="E5717" s="2">
        <f t="shared" si="829"/>
        <v>43435</v>
      </c>
      <c r="F5717" s="2">
        <f t="shared" si="830"/>
        <v>43769</v>
      </c>
    </row>
    <row r="5718" spans="1:6" x14ac:dyDescent="0.25">
      <c r="A5718" s="1" t="s">
        <v>2406</v>
      </c>
      <c r="B5718" s="1" t="s">
        <v>2405</v>
      </c>
      <c r="C5718" s="1" t="s">
        <v>2410</v>
      </c>
      <c r="D5718" s="3">
        <f t="shared" si="828"/>
        <v>8400</v>
      </c>
      <c r="E5718" s="2">
        <f t="shared" si="829"/>
        <v>43435</v>
      </c>
      <c r="F5718" s="2">
        <f t="shared" si="830"/>
        <v>43769</v>
      </c>
    </row>
    <row r="5719" spans="1:6" x14ac:dyDescent="0.25">
      <c r="A5719" s="1" t="s">
        <v>2406</v>
      </c>
      <c r="B5719" s="1" t="s">
        <v>2405</v>
      </c>
      <c r="C5719" s="1" t="s">
        <v>2411</v>
      </c>
      <c r="D5719" s="3">
        <f t="shared" si="828"/>
        <v>8400</v>
      </c>
      <c r="E5719" s="2">
        <f t="shared" si="829"/>
        <v>43435</v>
      </c>
      <c r="F5719" s="2">
        <f t="shared" si="830"/>
        <v>43769</v>
      </c>
    </row>
    <row r="5720" spans="1:6" x14ac:dyDescent="0.25">
      <c r="A5720" s="1" t="s">
        <v>2406</v>
      </c>
      <c r="B5720" s="1" t="s">
        <v>2405</v>
      </c>
      <c r="C5720" s="1" t="s">
        <v>2412</v>
      </c>
      <c r="D5720" s="3">
        <f t="shared" si="828"/>
        <v>8400</v>
      </c>
      <c r="E5720" s="2">
        <f t="shared" si="829"/>
        <v>43435</v>
      </c>
      <c r="F5720" s="2">
        <f t="shared" si="830"/>
        <v>43769</v>
      </c>
    </row>
    <row r="5721" spans="1:6" x14ac:dyDescent="0.25">
      <c r="A5721" s="1" t="s">
        <v>937</v>
      </c>
      <c r="B5721" s="1" t="s">
        <v>1219</v>
      </c>
      <c r="C5721" s="1" t="s">
        <v>84</v>
      </c>
      <c r="D5721" s="3">
        <f>VALUE("8484")</f>
        <v>8484</v>
      </c>
      <c r="E5721" s="2">
        <f>DATEVALUE("1-12-2019")</f>
        <v>43800</v>
      </c>
      <c r="F5721" s="2">
        <f>DATEVALUE("28-2-2021")</f>
        <v>44255</v>
      </c>
    </row>
    <row r="5722" spans="1:6" x14ac:dyDescent="0.25">
      <c r="A5722" s="1" t="s">
        <v>937</v>
      </c>
      <c r="B5722" s="1" t="s">
        <v>936</v>
      </c>
      <c r="C5722" s="1" t="s">
        <v>85</v>
      </c>
      <c r="D5722" s="3">
        <f>VALUE("8206")</f>
        <v>8206</v>
      </c>
      <c r="E5722" s="2">
        <f>DATEVALUE("1-1-2018")</f>
        <v>43101</v>
      </c>
      <c r="F5722" s="2">
        <f>DATEVALUE("31-3-2021")</f>
        <v>44286</v>
      </c>
    </row>
    <row r="5723" spans="1:6" x14ac:dyDescent="0.25">
      <c r="A5723" s="1" t="s">
        <v>937</v>
      </c>
      <c r="B5723" s="1" t="s">
        <v>936</v>
      </c>
      <c r="C5723" s="1" t="s">
        <v>84</v>
      </c>
      <c r="D5723" s="3">
        <f>VALUE("8206")</f>
        <v>8206</v>
      </c>
      <c r="E5723" s="2">
        <f>DATEVALUE("1-1-2018")</f>
        <v>43101</v>
      </c>
      <c r="F5723" s="2">
        <f>DATEVALUE("31-3-2021")</f>
        <v>44286</v>
      </c>
    </row>
    <row r="5724" spans="1:6" x14ac:dyDescent="0.25">
      <c r="A5724" s="1" t="s">
        <v>937</v>
      </c>
      <c r="B5724" s="1" t="s">
        <v>936</v>
      </c>
      <c r="C5724" s="1" t="s">
        <v>371</v>
      </c>
      <c r="D5724" s="3">
        <f>VALUE("8206")</f>
        <v>8206</v>
      </c>
      <c r="E5724" s="2">
        <f>DATEVALUE("1-1-2018")</f>
        <v>43101</v>
      </c>
      <c r="F5724" s="2">
        <f>DATEVALUE("31-3-2021")</f>
        <v>44286</v>
      </c>
    </row>
    <row r="5725" spans="1:6" x14ac:dyDescent="0.25">
      <c r="A5725" s="1" t="s">
        <v>2344</v>
      </c>
      <c r="B5725" s="1" t="s">
        <v>2343</v>
      </c>
      <c r="C5725" s="1" t="s">
        <v>146</v>
      </c>
      <c r="D5725" s="3">
        <f>VALUE("8207")</f>
        <v>8207</v>
      </c>
      <c r="E5725" s="2">
        <f>DATEVALUE("1-7-2018")</f>
        <v>43282</v>
      </c>
      <c r="F5725" s="2">
        <f>DATEVALUE("31-1-2019")</f>
        <v>43496</v>
      </c>
    </row>
    <row r="5726" spans="1:6" x14ac:dyDescent="0.25">
      <c r="A5726" s="1" t="s">
        <v>2344</v>
      </c>
      <c r="B5726" s="1" t="s">
        <v>2343</v>
      </c>
      <c r="C5726" s="1" t="s">
        <v>53</v>
      </c>
      <c r="D5726" s="3">
        <f>VALUE("8207")</f>
        <v>8207</v>
      </c>
      <c r="E5726" s="2">
        <f>DATEVALUE("1-7-2018")</f>
        <v>43282</v>
      </c>
      <c r="F5726" s="2">
        <f>DATEVALUE("31-1-2019")</f>
        <v>43496</v>
      </c>
    </row>
    <row r="5727" spans="1:6" x14ac:dyDescent="0.25">
      <c r="A5727" s="1" t="s">
        <v>1977</v>
      </c>
      <c r="B5727" s="1" t="s">
        <v>1976</v>
      </c>
      <c r="C5727" s="1" t="s">
        <v>62</v>
      </c>
      <c r="D5727" s="3">
        <f t="shared" ref="D5727:D5735" si="831">VALUE("7749")</f>
        <v>7749</v>
      </c>
      <c r="E5727" s="2">
        <f t="shared" ref="E5727:E5735" si="832">DATEVALUE("1-5-2015")</f>
        <v>42125</v>
      </c>
      <c r="F5727" s="2">
        <f t="shared" ref="F5727:F5735" si="833">DATEVALUE("30-11-2018")</f>
        <v>43434</v>
      </c>
    </row>
    <row r="5728" spans="1:6" x14ac:dyDescent="0.25">
      <c r="A5728" s="1" t="s">
        <v>1977</v>
      </c>
      <c r="B5728" s="1" t="s">
        <v>1976</v>
      </c>
      <c r="C5728" s="1" t="s">
        <v>487</v>
      </c>
      <c r="D5728" s="3">
        <f t="shared" si="831"/>
        <v>7749</v>
      </c>
      <c r="E5728" s="2">
        <f t="shared" si="832"/>
        <v>42125</v>
      </c>
      <c r="F5728" s="2">
        <f t="shared" si="833"/>
        <v>43434</v>
      </c>
    </row>
    <row r="5729" spans="1:6" x14ac:dyDescent="0.25">
      <c r="A5729" s="1" t="s">
        <v>1977</v>
      </c>
      <c r="B5729" s="1" t="s">
        <v>1976</v>
      </c>
      <c r="C5729" s="1" t="s">
        <v>14</v>
      </c>
      <c r="D5729" s="3">
        <f t="shared" si="831"/>
        <v>7749</v>
      </c>
      <c r="E5729" s="2">
        <f t="shared" si="832"/>
        <v>42125</v>
      </c>
      <c r="F5729" s="2">
        <f t="shared" si="833"/>
        <v>43434</v>
      </c>
    </row>
    <row r="5730" spans="1:6" x14ac:dyDescent="0.25">
      <c r="A5730" s="1" t="s">
        <v>1977</v>
      </c>
      <c r="B5730" s="1" t="s">
        <v>1976</v>
      </c>
      <c r="C5730" s="1" t="s">
        <v>17</v>
      </c>
      <c r="D5730" s="3">
        <f t="shared" si="831"/>
        <v>7749</v>
      </c>
      <c r="E5730" s="2">
        <f t="shared" si="832"/>
        <v>42125</v>
      </c>
      <c r="F5730" s="2">
        <f t="shared" si="833"/>
        <v>43434</v>
      </c>
    </row>
    <row r="5731" spans="1:6" x14ac:dyDescent="0.25">
      <c r="A5731" s="1" t="s">
        <v>1977</v>
      </c>
      <c r="B5731" s="1" t="s">
        <v>1976</v>
      </c>
      <c r="C5731" s="1" t="s">
        <v>193</v>
      </c>
      <c r="D5731" s="3">
        <f t="shared" si="831"/>
        <v>7749</v>
      </c>
      <c r="E5731" s="2">
        <f t="shared" si="832"/>
        <v>42125</v>
      </c>
      <c r="F5731" s="2">
        <f t="shared" si="833"/>
        <v>43434</v>
      </c>
    </row>
    <row r="5732" spans="1:6" x14ac:dyDescent="0.25">
      <c r="A5732" s="1" t="s">
        <v>1977</v>
      </c>
      <c r="B5732" s="1" t="s">
        <v>1976</v>
      </c>
      <c r="C5732" s="1" t="s">
        <v>20</v>
      </c>
      <c r="D5732" s="3">
        <f t="shared" si="831"/>
        <v>7749</v>
      </c>
      <c r="E5732" s="2">
        <f t="shared" si="832"/>
        <v>42125</v>
      </c>
      <c r="F5732" s="2">
        <f t="shared" si="833"/>
        <v>43434</v>
      </c>
    </row>
    <row r="5733" spans="1:6" x14ac:dyDescent="0.25">
      <c r="A5733" s="1" t="s">
        <v>1977</v>
      </c>
      <c r="B5733" s="1" t="s">
        <v>1976</v>
      </c>
      <c r="C5733" s="1" t="s">
        <v>24</v>
      </c>
      <c r="D5733" s="3">
        <f t="shared" si="831"/>
        <v>7749</v>
      </c>
      <c r="E5733" s="2">
        <f t="shared" si="832"/>
        <v>42125</v>
      </c>
      <c r="F5733" s="2">
        <f t="shared" si="833"/>
        <v>43434</v>
      </c>
    </row>
    <row r="5734" spans="1:6" x14ac:dyDescent="0.25">
      <c r="A5734" s="1" t="s">
        <v>1977</v>
      </c>
      <c r="B5734" s="1" t="s">
        <v>1976</v>
      </c>
      <c r="C5734" s="1" t="s">
        <v>34</v>
      </c>
      <c r="D5734" s="3">
        <f t="shared" si="831"/>
        <v>7749</v>
      </c>
      <c r="E5734" s="2">
        <f t="shared" si="832"/>
        <v>42125</v>
      </c>
      <c r="F5734" s="2">
        <f t="shared" si="833"/>
        <v>43434</v>
      </c>
    </row>
    <row r="5735" spans="1:6" x14ac:dyDescent="0.25">
      <c r="A5735" s="1" t="s">
        <v>1977</v>
      </c>
      <c r="B5735" s="1" t="s">
        <v>1976</v>
      </c>
      <c r="C5735" s="1" t="s">
        <v>55</v>
      </c>
      <c r="D5735" s="3">
        <f t="shared" si="831"/>
        <v>7749</v>
      </c>
      <c r="E5735" s="2">
        <f t="shared" si="832"/>
        <v>42125</v>
      </c>
      <c r="F5735" s="2">
        <f t="shared" si="833"/>
        <v>43434</v>
      </c>
    </row>
    <row r="5736" spans="1:6" x14ac:dyDescent="0.25">
      <c r="A5736" s="1" t="s">
        <v>1977</v>
      </c>
      <c r="B5736" s="1" t="s">
        <v>2633</v>
      </c>
      <c r="C5736" s="1" t="s">
        <v>8</v>
      </c>
      <c r="D5736" s="3">
        <f>VALUE("7254")</f>
        <v>7254</v>
      </c>
      <c r="E5736" s="2">
        <f>DATEVALUE("1-11-2011")</f>
        <v>40848</v>
      </c>
      <c r="F5736" s="2">
        <f>DATEVALUE("31-5-2012")</f>
        <v>41060</v>
      </c>
    </row>
    <row r="5737" spans="1:6" x14ac:dyDescent="0.25">
      <c r="A5737" s="1" t="s">
        <v>1977</v>
      </c>
      <c r="B5737" s="1" t="s">
        <v>2633</v>
      </c>
      <c r="C5737" s="1" t="s">
        <v>10</v>
      </c>
      <c r="D5737" s="3">
        <f>VALUE("7254")</f>
        <v>7254</v>
      </c>
      <c r="E5737" s="2">
        <f>DATEVALUE("1-11-2011")</f>
        <v>40848</v>
      </c>
      <c r="F5737" s="2">
        <f>DATEVALUE("31-5-2012")</f>
        <v>41060</v>
      </c>
    </row>
    <row r="5738" spans="1:6" x14ac:dyDescent="0.25">
      <c r="A5738" s="1" t="s">
        <v>1977</v>
      </c>
      <c r="B5738" s="1" t="s">
        <v>2633</v>
      </c>
      <c r="C5738" s="1" t="s">
        <v>11</v>
      </c>
      <c r="D5738" s="3">
        <f>VALUE("7254")</f>
        <v>7254</v>
      </c>
      <c r="E5738" s="2">
        <f>DATEVALUE("1-11-2011")</f>
        <v>40848</v>
      </c>
      <c r="F5738" s="2">
        <f>DATEVALUE("31-5-2012")</f>
        <v>41060</v>
      </c>
    </row>
    <row r="5739" spans="1:6" x14ac:dyDescent="0.25">
      <c r="A5739" s="1" t="s">
        <v>1977</v>
      </c>
      <c r="B5739" s="1" t="s">
        <v>2633</v>
      </c>
      <c r="C5739" s="1" t="s">
        <v>12</v>
      </c>
      <c r="D5739" s="3">
        <f>VALUE("7254")</f>
        <v>7254</v>
      </c>
      <c r="E5739" s="2">
        <f>DATEVALUE("1-11-2011")</f>
        <v>40848</v>
      </c>
      <c r="F5739" s="2">
        <f>DATEVALUE("31-5-2012")</f>
        <v>41060</v>
      </c>
    </row>
    <row r="5740" spans="1:6" x14ac:dyDescent="0.25">
      <c r="A5740" s="1" t="s">
        <v>1977</v>
      </c>
      <c r="B5740" s="1" t="s">
        <v>2633</v>
      </c>
      <c r="C5740" s="1" t="s">
        <v>32</v>
      </c>
      <c r="D5740" s="3">
        <f>VALUE("7254")</f>
        <v>7254</v>
      </c>
      <c r="E5740" s="2">
        <f>DATEVALUE("1-11-2011")</f>
        <v>40848</v>
      </c>
      <c r="F5740" s="2">
        <f>DATEVALUE("31-5-2012")</f>
        <v>41060</v>
      </c>
    </row>
    <row r="5741" spans="1:6" x14ac:dyDescent="0.25">
      <c r="A5741" s="1" t="s">
        <v>1018</v>
      </c>
      <c r="B5741" s="1" t="s">
        <v>1017</v>
      </c>
      <c r="C5741" s="1" t="s">
        <v>8</v>
      </c>
      <c r="D5741" s="3">
        <f t="shared" ref="D5741:D5776" si="834">VALUE("8303")</f>
        <v>8303</v>
      </c>
      <c r="E5741" s="2">
        <f t="shared" ref="E5741:E5776" si="835">DATEVALUE("1-8-2018")</f>
        <v>43313</v>
      </c>
      <c r="F5741" s="2">
        <f t="shared" ref="F5741:F5776" si="836">DATEVALUE("31-3-2021")</f>
        <v>44286</v>
      </c>
    </row>
    <row r="5742" spans="1:6" x14ac:dyDescent="0.25">
      <c r="A5742" s="1" t="s">
        <v>1018</v>
      </c>
      <c r="B5742" s="1" t="s">
        <v>1017</v>
      </c>
      <c r="C5742" s="1" t="s">
        <v>61</v>
      </c>
      <c r="D5742" s="3">
        <f t="shared" si="834"/>
        <v>8303</v>
      </c>
      <c r="E5742" s="2">
        <f t="shared" si="835"/>
        <v>43313</v>
      </c>
      <c r="F5742" s="2">
        <f t="shared" si="836"/>
        <v>44286</v>
      </c>
    </row>
    <row r="5743" spans="1:6" x14ac:dyDescent="0.25">
      <c r="A5743" s="1" t="s">
        <v>1018</v>
      </c>
      <c r="B5743" s="1" t="s">
        <v>1017</v>
      </c>
      <c r="C5743" s="1" t="s">
        <v>319</v>
      </c>
      <c r="D5743" s="3">
        <f t="shared" si="834"/>
        <v>8303</v>
      </c>
      <c r="E5743" s="2">
        <f t="shared" si="835"/>
        <v>43313</v>
      </c>
      <c r="F5743" s="2">
        <f t="shared" si="836"/>
        <v>44286</v>
      </c>
    </row>
    <row r="5744" spans="1:6" x14ac:dyDescent="0.25">
      <c r="A5744" s="1" t="s">
        <v>1018</v>
      </c>
      <c r="B5744" s="1" t="s">
        <v>1017</v>
      </c>
      <c r="C5744" s="1" t="s">
        <v>65</v>
      </c>
      <c r="D5744" s="3">
        <f t="shared" si="834"/>
        <v>8303</v>
      </c>
      <c r="E5744" s="2">
        <f t="shared" si="835"/>
        <v>43313</v>
      </c>
      <c r="F5744" s="2">
        <f t="shared" si="836"/>
        <v>44286</v>
      </c>
    </row>
    <row r="5745" spans="1:6" x14ac:dyDescent="0.25">
      <c r="A5745" s="1" t="s">
        <v>1018</v>
      </c>
      <c r="B5745" s="1" t="s">
        <v>1017</v>
      </c>
      <c r="C5745" s="1" t="s">
        <v>399</v>
      </c>
      <c r="D5745" s="3">
        <f t="shared" si="834"/>
        <v>8303</v>
      </c>
      <c r="E5745" s="2">
        <f t="shared" si="835"/>
        <v>43313</v>
      </c>
      <c r="F5745" s="2">
        <f t="shared" si="836"/>
        <v>44286</v>
      </c>
    </row>
    <row r="5746" spans="1:6" x14ac:dyDescent="0.25">
      <c r="A5746" s="1" t="s">
        <v>1018</v>
      </c>
      <c r="B5746" s="1" t="s">
        <v>1017</v>
      </c>
      <c r="C5746" s="1" t="s">
        <v>14</v>
      </c>
      <c r="D5746" s="3">
        <f t="shared" si="834"/>
        <v>8303</v>
      </c>
      <c r="E5746" s="2">
        <f t="shared" si="835"/>
        <v>43313</v>
      </c>
      <c r="F5746" s="2">
        <f t="shared" si="836"/>
        <v>44286</v>
      </c>
    </row>
    <row r="5747" spans="1:6" x14ac:dyDescent="0.25">
      <c r="A5747" s="1" t="s">
        <v>1018</v>
      </c>
      <c r="B5747" s="1" t="s">
        <v>1017</v>
      </c>
      <c r="C5747" s="1" t="s">
        <v>15</v>
      </c>
      <c r="D5747" s="3">
        <f t="shared" si="834"/>
        <v>8303</v>
      </c>
      <c r="E5747" s="2">
        <f t="shared" si="835"/>
        <v>43313</v>
      </c>
      <c r="F5747" s="2">
        <f t="shared" si="836"/>
        <v>44286</v>
      </c>
    </row>
    <row r="5748" spans="1:6" x14ac:dyDescent="0.25">
      <c r="A5748" s="1" t="s">
        <v>1018</v>
      </c>
      <c r="B5748" s="1" t="s">
        <v>1017</v>
      </c>
      <c r="C5748" s="1" t="s">
        <v>89</v>
      </c>
      <c r="D5748" s="3">
        <f t="shared" si="834"/>
        <v>8303</v>
      </c>
      <c r="E5748" s="2">
        <f t="shared" si="835"/>
        <v>43313</v>
      </c>
      <c r="F5748" s="2">
        <f t="shared" si="836"/>
        <v>44286</v>
      </c>
    </row>
    <row r="5749" spans="1:6" x14ac:dyDescent="0.25">
      <c r="A5749" s="1" t="s">
        <v>1018</v>
      </c>
      <c r="B5749" s="1" t="s">
        <v>1017</v>
      </c>
      <c r="C5749" s="1" t="s">
        <v>17</v>
      </c>
      <c r="D5749" s="3">
        <f t="shared" si="834"/>
        <v>8303</v>
      </c>
      <c r="E5749" s="2">
        <f t="shared" si="835"/>
        <v>43313</v>
      </c>
      <c r="F5749" s="2">
        <f t="shared" si="836"/>
        <v>44286</v>
      </c>
    </row>
    <row r="5750" spans="1:6" x14ac:dyDescent="0.25">
      <c r="A5750" s="1" t="s">
        <v>1018</v>
      </c>
      <c r="B5750" s="1" t="s">
        <v>1017</v>
      </c>
      <c r="C5750" s="1" t="s">
        <v>19</v>
      </c>
      <c r="D5750" s="3">
        <f t="shared" si="834"/>
        <v>8303</v>
      </c>
      <c r="E5750" s="2">
        <f t="shared" si="835"/>
        <v>43313</v>
      </c>
      <c r="F5750" s="2">
        <f t="shared" si="836"/>
        <v>44286</v>
      </c>
    </row>
    <row r="5751" spans="1:6" x14ac:dyDescent="0.25">
      <c r="A5751" s="1" t="s">
        <v>1018</v>
      </c>
      <c r="B5751" s="1" t="s">
        <v>1017</v>
      </c>
      <c r="C5751" s="1" t="s">
        <v>20</v>
      </c>
      <c r="D5751" s="3">
        <f t="shared" si="834"/>
        <v>8303</v>
      </c>
      <c r="E5751" s="2">
        <f t="shared" si="835"/>
        <v>43313</v>
      </c>
      <c r="F5751" s="2">
        <f t="shared" si="836"/>
        <v>44286</v>
      </c>
    </row>
    <row r="5752" spans="1:6" x14ac:dyDescent="0.25">
      <c r="A5752" s="1" t="s">
        <v>1018</v>
      </c>
      <c r="B5752" s="1" t="s">
        <v>1017</v>
      </c>
      <c r="C5752" s="1" t="s">
        <v>326</v>
      </c>
      <c r="D5752" s="3">
        <f t="shared" si="834"/>
        <v>8303</v>
      </c>
      <c r="E5752" s="2">
        <f t="shared" si="835"/>
        <v>43313</v>
      </c>
      <c r="F5752" s="2">
        <f t="shared" si="836"/>
        <v>44286</v>
      </c>
    </row>
    <row r="5753" spans="1:6" x14ac:dyDescent="0.25">
      <c r="A5753" s="1" t="s">
        <v>1018</v>
      </c>
      <c r="B5753" s="1" t="s">
        <v>1017</v>
      </c>
      <c r="C5753" s="1" t="s">
        <v>22</v>
      </c>
      <c r="D5753" s="3">
        <f t="shared" si="834"/>
        <v>8303</v>
      </c>
      <c r="E5753" s="2">
        <f t="shared" si="835"/>
        <v>43313</v>
      </c>
      <c r="F5753" s="2">
        <f t="shared" si="836"/>
        <v>44286</v>
      </c>
    </row>
    <row r="5754" spans="1:6" x14ac:dyDescent="0.25">
      <c r="A5754" s="1" t="s">
        <v>1018</v>
      </c>
      <c r="B5754" s="1" t="s">
        <v>1017</v>
      </c>
      <c r="C5754" s="1" t="s">
        <v>67</v>
      </c>
      <c r="D5754" s="3">
        <f t="shared" si="834"/>
        <v>8303</v>
      </c>
      <c r="E5754" s="2">
        <f t="shared" si="835"/>
        <v>43313</v>
      </c>
      <c r="F5754" s="2">
        <f t="shared" si="836"/>
        <v>44286</v>
      </c>
    </row>
    <row r="5755" spans="1:6" x14ac:dyDescent="0.25">
      <c r="A5755" s="1" t="s">
        <v>1018</v>
      </c>
      <c r="B5755" s="1" t="s">
        <v>1017</v>
      </c>
      <c r="C5755" s="1" t="s">
        <v>149</v>
      </c>
      <c r="D5755" s="3">
        <f t="shared" si="834"/>
        <v>8303</v>
      </c>
      <c r="E5755" s="2">
        <f t="shared" si="835"/>
        <v>43313</v>
      </c>
      <c r="F5755" s="2">
        <f t="shared" si="836"/>
        <v>44286</v>
      </c>
    </row>
    <row r="5756" spans="1:6" x14ac:dyDescent="0.25">
      <c r="A5756" s="1" t="s">
        <v>1018</v>
      </c>
      <c r="B5756" s="1" t="s">
        <v>1017</v>
      </c>
      <c r="C5756" s="1" t="s">
        <v>92</v>
      </c>
      <c r="D5756" s="3">
        <f t="shared" si="834"/>
        <v>8303</v>
      </c>
      <c r="E5756" s="2">
        <f t="shared" si="835"/>
        <v>43313</v>
      </c>
      <c r="F5756" s="2">
        <f t="shared" si="836"/>
        <v>44286</v>
      </c>
    </row>
    <row r="5757" spans="1:6" x14ac:dyDescent="0.25">
      <c r="A5757" s="1" t="s">
        <v>1018</v>
      </c>
      <c r="B5757" s="1" t="s">
        <v>1017</v>
      </c>
      <c r="C5757" s="1" t="s">
        <v>571</v>
      </c>
      <c r="D5757" s="3">
        <f t="shared" si="834"/>
        <v>8303</v>
      </c>
      <c r="E5757" s="2">
        <f t="shared" si="835"/>
        <v>43313</v>
      </c>
      <c r="F5757" s="2">
        <f t="shared" si="836"/>
        <v>44286</v>
      </c>
    </row>
    <row r="5758" spans="1:6" x14ac:dyDescent="0.25">
      <c r="A5758" s="1" t="s">
        <v>1018</v>
      </c>
      <c r="B5758" s="1" t="s">
        <v>1017</v>
      </c>
      <c r="C5758" s="1" t="s">
        <v>573</v>
      </c>
      <c r="D5758" s="3">
        <f t="shared" si="834"/>
        <v>8303</v>
      </c>
      <c r="E5758" s="2">
        <f t="shared" si="835"/>
        <v>43313</v>
      </c>
      <c r="F5758" s="2">
        <f t="shared" si="836"/>
        <v>44286</v>
      </c>
    </row>
    <row r="5759" spans="1:6" x14ac:dyDescent="0.25">
      <c r="A5759" s="1" t="s">
        <v>1018</v>
      </c>
      <c r="B5759" s="1" t="s">
        <v>1017</v>
      </c>
      <c r="C5759" s="1" t="s">
        <v>475</v>
      </c>
      <c r="D5759" s="3">
        <f t="shared" si="834"/>
        <v>8303</v>
      </c>
      <c r="E5759" s="2">
        <f t="shared" si="835"/>
        <v>43313</v>
      </c>
      <c r="F5759" s="2">
        <f t="shared" si="836"/>
        <v>44286</v>
      </c>
    </row>
    <row r="5760" spans="1:6" x14ac:dyDescent="0.25">
      <c r="A5760" s="1" t="s">
        <v>1018</v>
      </c>
      <c r="B5760" s="1" t="s">
        <v>1017</v>
      </c>
      <c r="C5760" s="1" t="s">
        <v>50</v>
      </c>
      <c r="D5760" s="3">
        <f t="shared" si="834"/>
        <v>8303</v>
      </c>
      <c r="E5760" s="2">
        <f t="shared" si="835"/>
        <v>43313</v>
      </c>
      <c r="F5760" s="2">
        <f t="shared" si="836"/>
        <v>44286</v>
      </c>
    </row>
    <row r="5761" spans="1:6" x14ac:dyDescent="0.25">
      <c r="A5761" s="1" t="s">
        <v>1018</v>
      </c>
      <c r="B5761" s="1" t="s">
        <v>1017</v>
      </c>
      <c r="C5761" s="1" t="s">
        <v>70</v>
      </c>
      <c r="D5761" s="3">
        <f t="shared" si="834"/>
        <v>8303</v>
      </c>
      <c r="E5761" s="2">
        <f t="shared" si="835"/>
        <v>43313</v>
      </c>
      <c r="F5761" s="2">
        <f t="shared" si="836"/>
        <v>44286</v>
      </c>
    </row>
    <row r="5762" spans="1:6" x14ac:dyDescent="0.25">
      <c r="A5762" s="1" t="s">
        <v>1018</v>
      </c>
      <c r="B5762" s="1" t="s">
        <v>1017</v>
      </c>
      <c r="C5762" s="1" t="s">
        <v>72</v>
      </c>
      <c r="D5762" s="3">
        <f t="shared" si="834"/>
        <v>8303</v>
      </c>
      <c r="E5762" s="2">
        <f t="shared" si="835"/>
        <v>43313</v>
      </c>
      <c r="F5762" s="2">
        <f t="shared" si="836"/>
        <v>44286</v>
      </c>
    </row>
    <row r="5763" spans="1:6" x14ac:dyDescent="0.25">
      <c r="A5763" s="1" t="s">
        <v>1018</v>
      </c>
      <c r="B5763" s="1" t="s">
        <v>1017</v>
      </c>
      <c r="C5763" s="1" t="s">
        <v>73</v>
      </c>
      <c r="D5763" s="3">
        <f t="shared" si="834"/>
        <v>8303</v>
      </c>
      <c r="E5763" s="2">
        <f t="shared" si="835"/>
        <v>43313</v>
      </c>
      <c r="F5763" s="2">
        <f t="shared" si="836"/>
        <v>44286</v>
      </c>
    </row>
    <row r="5764" spans="1:6" x14ac:dyDescent="0.25">
      <c r="A5764" s="1" t="s">
        <v>1018</v>
      </c>
      <c r="B5764" s="1" t="s">
        <v>1017</v>
      </c>
      <c r="C5764" s="1" t="s">
        <v>266</v>
      </c>
      <c r="D5764" s="3">
        <f t="shared" si="834"/>
        <v>8303</v>
      </c>
      <c r="E5764" s="2">
        <f t="shared" si="835"/>
        <v>43313</v>
      </c>
      <c r="F5764" s="2">
        <f t="shared" si="836"/>
        <v>44286</v>
      </c>
    </row>
    <row r="5765" spans="1:6" x14ac:dyDescent="0.25">
      <c r="A5765" s="1" t="s">
        <v>1018</v>
      </c>
      <c r="B5765" s="1" t="s">
        <v>1017</v>
      </c>
      <c r="C5765" s="1" t="s">
        <v>267</v>
      </c>
      <c r="D5765" s="3">
        <f t="shared" si="834"/>
        <v>8303</v>
      </c>
      <c r="E5765" s="2">
        <f t="shared" si="835"/>
        <v>43313</v>
      </c>
      <c r="F5765" s="2">
        <f t="shared" si="836"/>
        <v>44286</v>
      </c>
    </row>
    <row r="5766" spans="1:6" x14ac:dyDescent="0.25">
      <c r="A5766" s="1" t="s">
        <v>1018</v>
      </c>
      <c r="B5766" s="1" t="s">
        <v>1017</v>
      </c>
      <c r="C5766" s="1" t="s">
        <v>268</v>
      </c>
      <c r="D5766" s="3">
        <f t="shared" si="834"/>
        <v>8303</v>
      </c>
      <c r="E5766" s="2">
        <f t="shared" si="835"/>
        <v>43313</v>
      </c>
      <c r="F5766" s="2">
        <f t="shared" si="836"/>
        <v>44286</v>
      </c>
    </row>
    <row r="5767" spans="1:6" x14ac:dyDescent="0.25">
      <c r="A5767" s="1" t="s">
        <v>1018</v>
      </c>
      <c r="B5767" s="1" t="s">
        <v>1017</v>
      </c>
      <c r="C5767" s="1" t="s">
        <v>269</v>
      </c>
      <c r="D5767" s="3">
        <f t="shared" si="834"/>
        <v>8303</v>
      </c>
      <c r="E5767" s="2">
        <f t="shared" si="835"/>
        <v>43313</v>
      </c>
      <c r="F5767" s="2">
        <f t="shared" si="836"/>
        <v>44286</v>
      </c>
    </row>
    <row r="5768" spans="1:6" x14ac:dyDescent="0.25">
      <c r="A5768" s="1" t="s">
        <v>1018</v>
      </c>
      <c r="B5768" s="1" t="s">
        <v>1017</v>
      </c>
      <c r="C5768" s="1" t="s">
        <v>270</v>
      </c>
      <c r="D5768" s="3">
        <f t="shared" si="834"/>
        <v>8303</v>
      </c>
      <c r="E5768" s="2">
        <f t="shared" si="835"/>
        <v>43313</v>
      </c>
      <c r="F5768" s="2">
        <f t="shared" si="836"/>
        <v>44286</v>
      </c>
    </row>
    <row r="5769" spans="1:6" x14ac:dyDescent="0.25">
      <c r="A5769" s="1" t="s">
        <v>1018</v>
      </c>
      <c r="B5769" s="1" t="s">
        <v>1017</v>
      </c>
      <c r="C5769" s="1" t="s">
        <v>271</v>
      </c>
      <c r="D5769" s="3">
        <f t="shared" si="834"/>
        <v>8303</v>
      </c>
      <c r="E5769" s="2">
        <f t="shared" si="835"/>
        <v>43313</v>
      </c>
      <c r="F5769" s="2">
        <f t="shared" si="836"/>
        <v>44286</v>
      </c>
    </row>
    <row r="5770" spans="1:6" x14ac:dyDescent="0.25">
      <c r="A5770" s="1" t="s">
        <v>1018</v>
      </c>
      <c r="B5770" s="1" t="s">
        <v>1017</v>
      </c>
      <c r="C5770" s="1" t="s">
        <v>272</v>
      </c>
      <c r="D5770" s="3">
        <f t="shared" si="834"/>
        <v>8303</v>
      </c>
      <c r="E5770" s="2">
        <f t="shared" si="835"/>
        <v>43313</v>
      </c>
      <c r="F5770" s="2">
        <f t="shared" si="836"/>
        <v>44286</v>
      </c>
    </row>
    <row r="5771" spans="1:6" x14ac:dyDescent="0.25">
      <c r="A5771" s="1" t="s">
        <v>1018</v>
      </c>
      <c r="B5771" s="1" t="s">
        <v>1017</v>
      </c>
      <c r="C5771" s="1" t="s">
        <v>274</v>
      </c>
      <c r="D5771" s="3">
        <f t="shared" si="834"/>
        <v>8303</v>
      </c>
      <c r="E5771" s="2">
        <f t="shared" si="835"/>
        <v>43313</v>
      </c>
      <c r="F5771" s="2">
        <f t="shared" si="836"/>
        <v>44286</v>
      </c>
    </row>
    <row r="5772" spans="1:6" x14ac:dyDescent="0.25">
      <c r="A5772" s="1" t="s">
        <v>1018</v>
      </c>
      <c r="B5772" s="1" t="s">
        <v>1017</v>
      </c>
      <c r="C5772" s="1" t="s">
        <v>52</v>
      </c>
      <c r="D5772" s="3">
        <f t="shared" si="834"/>
        <v>8303</v>
      </c>
      <c r="E5772" s="2">
        <f t="shared" si="835"/>
        <v>43313</v>
      </c>
      <c r="F5772" s="2">
        <f t="shared" si="836"/>
        <v>44286</v>
      </c>
    </row>
    <row r="5773" spans="1:6" x14ac:dyDescent="0.25">
      <c r="A5773" s="1" t="s">
        <v>1018</v>
      </c>
      <c r="B5773" s="1" t="s">
        <v>1017</v>
      </c>
      <c r="C5773" s="1" t="s">
        <v>160</v>
      </c>
      <c r="D5773" s="3">
        <f t="shared" si="834"/>
        <v>8303</v>
      </c>
      <c r="E5773" s="2">
        <f t="shared" si="835"/>
        <v>43313</v>
      </c>
      <c r="F5773" s="2">
        <f t="shared" si="836"/>
        <v>44286</v>
      </c>
    </row>
    <row r="5774" spans="1:6" x14ac:dyDescent="0.25">
      <c r="A5774" s="1" t="s">
        <v>1018</v>
      </c>
      <c r="B5774" s="1" t="s">
        <v>1017</v>
      </c>
      <c r="C5774" s="1" t="s">
        <v>378</v>
      </c>
      <c r="D5774" s="3">
        <f t="shared" si="834"/>
        <v>8303</v>
      </c>
      <c r="E5774" s="2">
        <f t="shared" si="835"/>
        <v>43313</v>
      </c>
      <c r="F5774" s="2">
        <f t="shared" si="836"/>
        <v>44286</v>
      </c>
    </row>
    <row r="5775" spans="1:6" x14ac:dyDescent="0.25">
      <c r="A5775" s="1" t="s">
        <v>1018</v>
      </c>
      <c r="B5775" s="1" t="s">
        <v>1017</v>
      </c>
      <c r="C5775" s="1" t="s">
        <v>369</v>
      </c>
      <c r="D5775" s="3">
        <f t="shared" si="834"/>
        <v>8303</v>
      </c>
      <c r="E5775" s="2">
        <f t="shared" si="835"/>
        <v>43313</v>
      </c>
      <c r="F5775" s="2">
        <f t="shared" si="836"/>
        <v>44286</v>
      </c>
    </row>
    <row r="5776" spans="1:6" x14ac:dyDescent="0.25">
      <c r="A5776" s="1" t="s">
        <v>1018</v>
      </c>
      <c r="B5776" s="1" t="s">
        <v>1017</v>
      </c>
      <c r="C5776" s="1" t="s">
        <v>34</v>
      </c>
      <c r="D5776" s="3">
        <f t="shared" si="834"/>
        <v>8303</v>
      </c>
      <c r="E5776" s="2">
        <f t="shared" si="835"/>
        <v>43313</v>
      </c>
      <c r="F5776" s="2">
        <f t="shared" si="836"/>
        <v>44286</v>
      </c>
    </row>
    <row r="5777" spans="1:6" x14ac:dyDescent="0.25">
      <c r="A5777" s="1" t="s">
        <v>1543</v>
      </c>
      <c r="B5777" s="1" t="s">
        <v>1542</v>
      </c>
      <c r="C5777" s="1" t="s">
        <v>506</v>
      </c>
      <c r="D5777" s="3">
        <f t="shared" ref="D5777:D5791" si="837">VALUE("8731")</f>
        <v>8731</v>
      </c>
      <c r="E5777" s="2">
        <f t="shared" ref="E5777:E5791" si="838">DATEVALUE("1-4-2020")</f>
        <v>43922</v>
      </c>
      <c r="F5777" s="2">
        <f t="shared" ref="F5777:F5791" si="839">DATEVALUE("30-4-2021")</f>
        <v>44316</v>
      </c>
    </row>
    <row r="5778" spans="1:6" x14ac:dyDescent="0.25">
      <c r="A5778" s="1" t="s">
        <v>1543</v>
      </c>
      <c r="B5778" s="1" t="s">
        <v>1542</v>
      </c>
      <c r="C5778" s="1" t="s">
        <v>65</v>
      </c>
      <c r="D5778" s="3">
        <f t="shared" si="837"/>
        <v>8731</v>
      </c>
      <c r="E5778" s="2">
        <f t="shared" si="838"/>
        <v>43922</v>
      </c>
      <c r="F5778" s="2">
        <f t="shared" si="839"/>
        <v>44316</v>
      </c>
    </row>
    <row r="5779" spans="1:6" x14ac:dyDescent="0.25">
      <c r="A5779" s="1" t="s">
        <v>1543</v>
      </c>
      <c r="B5779" s="1" t="s">
        <v>1542</v>
      </c>
      <c r="C5779" s="1" t="s">
        <v>14</v>
      </c>
      <c r="D5779" s="3">
        <f t="shared" si="837"/>
        <v>8731</v>
      </c>
      <c r="E5779" s="2">
        <f t="shared" si="838"/>
        <v>43922</v>
      </c>
      <c r="F5779" s="2">
        <f t="shared" si="839"/>
        <v>44316</v>
      </c>
    </row>
    <row r="5780" spans="1:6" x14ac:dyDescent="0.25">
      <c r="A5780" s="1" t="s">
        <v>1543</v>
      </c>
      <c r="B5780" s="1" t="s">
        <v>1542</v>
      </c>
      <c r="C5780" s="1" t="s">
        <v>15</v>
      </c>
      <c r="D5780" s="3">
        <f t="shared" si="837"/>
        <v>8731</v>
      </c>
      <c r="E5780" s="2">
        <f t="shared" si="838"/>
        <v>43922</v>
      </c>
      <c r="F5780" s="2">
        <f t="shared" si="839"/>
        <v>44316</v>
      </c>
    </row>
    <row r="5781" spans="1:6" x14ac:dyDescent="0.25">
      <c r="A5781" s="1" t="s">
        <v>1543</v>
      </c>
      <c r="B5781" s="1" t="s">
        <v>1542</v>
      </c>
      <c r="C5781" s="1" t="s">
        <v>17</v>
      </c>
      <c r="D5781" s="3">
        <f t="shared" si="837"/>
        <v>8731</v>
      </c>
      <c r="E5781" s="2">
        <f t="shared" si="838"/>
        <v>43922</v>
      </c>
      <c r="F5781" s="2">
        <f t="shared" si="839"/>
        <v>44316</v>
      </c>
    </row>
    <row r="5782" spans="1:6" x14ac:dyDescent="0.25">
      <c r="A5782" s="1" t="s">
        <v>1543</v>
      </c>
      <c r="B5782" s="1" t="s">
        <v>1542</v>
      </c>
      <c r="C5782" s="1" t="s">
        <v>257</v>
      </c>
      <c r="D5782" s="3">
        <f t="shared" si="837"/>
        <v>8731</v>
      </c>
      <c r="E5782" s="2">
        <f t="shared" si="838"/>
        <v>43922</v>
      </c>
      <c r="F5782" s="2">
        <f t="shared" si="839"/>
        <v>44316</v>
      </c>
    </row>
    <row r="5783" spans="1:6" x14ac:dyDescent="0.25">
      <c r="A5783" s="1" t="s">
        <v>1543</v>
      </c>
      <c r="B5783" s="1" t="s">
        <v>1542</v>
      </c>
      <c r="C5783" s="1" t="s">
        <v>22</v>
      </c>
      <c r="D5783" s="3">
        <f t="shared" si="837"/>
        <v>8731</v>
      </c>
      <c r="E5783" s="2">
        <f t="shared" si="838"/>
        <v>43922</v>
      </c>
      <c r="F5783" s="2">
        <f t="shared" si="839"/>
        <v>44316</v>
      </c>
    </row>
    <row r="5784" spans="1:6" x14ac:dyDescent="0.25">
      <c r="A5784" s="1" t="s">
        <v>1543</v>
      </c>
      <c r="B5784" s="1" t="s">
        <v>1542</v>
      </c>
      <c r="C5784" s="1" t="s">
        <v>67</v>
      </c>
      <c r="D5784" s="3">
        <f t="shared" si="837"/>
        <v>8731</v>
      </c>
      <c r="E5784" s="2">
        <f t="shared" si="838"/>
        <v>43922</v>
      </c>
      <c r="F5784" s="2">
        <f t="shared" si="839"/>
        <v>44316</v>
      </c>
    </row>
    <row r="5785" spans="1:6" x14ac:dyDescent="0.25">
      <c r="A5785" s="1" t="s">
        <v>1543</v>
      </c>
      <c r="B5785" s="1" t="s">
        <v>1542</v>
      </c>
      <c r="C5785" s="1" t="s">
        <v>147</v>
      </c>
      <c r="D5785" s="3">
        <f t="shared" si="837"/>
        <v>8731</v>
      </c>
      <c r="E5785" s="2">
        <f t="shared" si="838"/>
        <v>43922</v>
      </c>
      <c r="F5785" s="2">
        <f t="shared" si="839"/>
        <v>44316</v>
      </c>
    </row>
    <row r="5786" spans="1:6" x14ac:dyDescent="0.25">
      <c r="A5786" s="1" t="s">
        <v>1543</v>
      </c>
      <c r="B5786" s="1" t="s">
        <v>1542</v>
      </c>
      <c r="C5786" s="1" t="s">
        <v>92</v>
      </c>
      <c r="D5786" s="3">
        <f t="shared" si="837"/>
        <v>8731</v>
      </c>
      <c r="E5786" s="2">
        <f t="shared" si="838"/>
        <v>43922</v>
      </c>
      <c r="F5786" s="2">
        <f t="shared" si="839"/>
        <v>44316</v>
      </c>
    </row>
    <row r="5787" spans="1:6" x14ac:dyDescent="0.25">
      <c r="A5787" s="1" t="s">
        <v>1543</v>
      </c>
      <c r="B5787" s="1" t="s">
        <v>1542</v>
      </c>
      <c r="C5787" s="1" t="s">
        <v>70</v>
      </c>
      <c r="D5787" s="3">
        <f t="shared" si="837"/>
        <v>8731</v>
      </c>
      <c r="E5787" s="2">
        <f t="shared" si="838"/>
        <v>43922</v>
      </c>
      <c r="F5787" s="2">
        <f t="shared" si="839"/>
        <v>44316</v>
      </c>
    </row>
    <row r="5788" spans="1:6" x14ac:dyDescent="0.25">
      <c r="A5788" s="1" t="s">
        <v>1543</v>
      </c>
      <c r="B5788" s="1" t="s">
        <v>1542</v>
      </c>
      <c r="C5788" s="1" t="s">
        <v>26</v>
      </c>
      <c r="D5788" s="3">
        <f t="shared" si="837"/>
        <v>8731</v>
      </c>
      <c r="E5788" s="2">
        <f t="shared" si="838"/>
        <v>43922</v>
      </c>
      <c r="F5788" s="2">
        <f t="shared" si="839"/>
        <v>44316</v>
      </c>
    </row>
    <row r="5789" spans="1:6" x14ac:dyDescent="0.25">
      <c r="A5789" s="1" t="s">
        <v>1543</v>
      </c>
      <c r="B5789" s="1" t="s">
        <v>1542</v>
      </c>
      <c r="C5789" s="1" t="s">
        <v>52</v>
      </c>
      <c r="D5789" s="3">
        <f t="shared" si="837"/>
        <v>8731</v>
      </c>
      <c r="E5789" s="2">
        <f t="shared" si="838"/>
        <v>43922</v>
      </c>
      <c r="F5789" s="2">
        <f t="shared" si="839"/>
        <v>44316</v>
      </c>
    </row>
    <row r="5790" spans="1:6" x14ac:dyDescent="0.25">
      <c r="A5790" s="1" t="s">
        <v>1543</v>
      </c>
      <c r="B5790" s="1" t="s">
        <v>1542</v>
      </c>
      <c r="C5790" s="1" t="s">
        <v>34</v>
      </c>
      <c r="D5790" s="3">
        <f t="shared" si="837"/>
        <v>8731</v>
      </c>
      <c r="E5790" s="2">
        <f t="shared" si="838"/>
        <v>43922</v>
      </c>
      <c r="F5790" s="2">
        <f t="shared" si="839"/>
        <v>44316</v>
      </c>
    </row>
    <row r="5791" spans="1:6" x14ac:dyDescent="0.25">
      <c r="A5791" s="1" t="s">
        <v>1543</v>
      </c>
      <c r="B5791" s="1" t="s">
        <v>1542</v>
      </c>
      <c r="C5791" s="1" t="s">
        <v>306</v>
      </c>
      <c r="D5791" s="3">
        <f t="shared" si="837"/>
        <v>8731</v>
      </c>
      <c r="E5791" s="2">
        <f t="shared" si="838"/>
        <v>43922</v>
      </c>
      <c r="F5791" s="2">
        <f t="shared" si="839"/>
        <v>44316</v>
      </c>
    </row>
    <row r="5792" spans="1:6" x14ac:dyDescent="0.25">
      <c r="A5792" s="1" t="s">
        <v>675</v>
      </c>
      <c r="B5792" s="1" t="s">
        <v>1843</v>
      </c>
      <c r="C5792" s="1" t="s">
        <v>69</v>
      </c>
      <c r="D5792" s="3">
        <f>VALUE("8762")</f>
        <v>8762</v>
      </c>
      <c r="E5792" s="2">
        <f>DATEVALUE("1-5-2020")</f>
        <v>43952</v>
      </c>
      <c r="F5792" s="2">
        <f>DATEVALUE("31-7-2020")</f>
        <v>44043</v>
      </c>
    </row>
    <row r="5793" spans="1:6" x14ac:dyDescent="0.25">
      <c r="A5793" s="1" t="s">
        <v>675</v>
      </c>
      <c r="B5793" s="1" t="s">
        <v>982</v>
      </c>
      <c r="C5793" s="1" t="s">
        <v>39</v>
      </c>
      <c r="D5793" s="3">
        <f t="shared" ref="D5793:D5823" si="840">VALUE("8276")</f>
        <v>8276</v>
      </c>
      <c r="E5793" s="2">
        <f t="shared" ref="E5793:E5823" si="841">DATEVALUE("1-4-2018")</f>
        <v>43191</v>
      </c>
      <c r="F5793" s="2">
        <f t="shared" ref="F5793:F5823" si="842">DATEVALUE("31-12-2020")</f>
        <v>44196</v>
      </c>
    </row>
    <row r="5794" spans="1:6" x14ac:dyDescent="0.25">
      <c r="A5794" s="1" t="s">
        <v>675</v>
      </c>
      <c r="B5794" s="1" t="s">
        <v>982</v>
      </c>
      <c r="C5794" s="1" t="s">
        <v>40</v>
      </c>
      <c r="D5794" s="3">
        <f t="shared" si="840"/>
        <v>8276</v>
      </c>
      <c r="E5794" s="2">
        <f t="shared" si="841"/>
        <v>43191</v>
      </c>
      <c r="F5794" s="2">
        <f t="shared" si="842"/>
        <v>44196</v>
      </c>
    </row>
    <row r="5795" spans="1:6" x14ac:dyDescent="0.25">
      <c r="A5795" s="1" t="s">
        <v>675</v>
      </c>
      <c r="B5795" s="1" t="s">
        <v>982</v>
      </c>
      <c r="C5795" s="1" t="s">
        <v>41</v>
      </c>
      <c r="D5795" s="3">
        <f t="shared" si="840"/>
        <v>8276</v>
      </c>
      <c r="E5795" s="2">
        <f t="shared" si="841"/>
        <v>43191</v>
      </c>
      <c r="F5795" s="2">
        <f t="shared" si="842"/>
        <v>44196</v>
      </c>
    </row>
    <row r="5796" spans="1:6" x14ac:dyDescent="0.25">
      <c r="A5796" s="1" t="s">
        <v>675</v>
      </c>
      <c r="B5796" s="1" t="s">
        <v>982</v>
      </c>
      <c r="C5796" s="1" t="s">
        <v>43</v>
      </c>
      <c r="D5796" s="3">
        <f t="shared" si="840"/>
        <v>8276</v>
      </c>
      <c r="E5796" s="2">
        <f t="shared" si="841"/>
        <v>43191</v>
      </c>
      <c r="F5796" s="2">
        <f t="shared" si="842"/>
        <v>44196</v>
      </c>
    </row>
    <row r="5797" spans="1:6" x14ac:dyDescent="0.25">
      <c r="A5797" s="1" t="s">
        <v>675</v>
      </c>
      <c r="B5797" s="1" t="s">
        <v>982</v>
      </c>
      <c r="C5797" s="1" t="s">
        <v>62</v>
      </c>
      <c r="D5797" s="3">
        <f t="shared" si="840"/>
        <v>8276</v>
      </c>
      <c r="E5797" s="2">
        <f t="shared" si="841"/>
        <v>43191</v>
      </c>
      <c r="F5797" s="2">
        <f t="shared" si="842"/>
        <v>44196</v>
      </c>
    </row>
    <row r="5798" spans="1:6" x14ac:dyDescent="0.25">
      <c r="A5798" s="1" t="s">
        <v>675</v>
      </c>
      <c r="B5798" s="1" t="s">
        <v>982</v>
      </c>
      <c r="C5798" s="1" t="s">
        <v>63</v>
      </c>
      <c r="D5798" s="3">
        <f t="shared" si="840"/>
        <v>8276</v>
      </c>
      <c r="E5798" s="2">
        <f t="shared" si="841"/>
        <v>43191</v>
      </c>
      <c r="F5798" s="2">
        <f t="shared" si="842"/>
        <v>44196</v>
      </c>
    </row>
    <row r="5799" spans="1:6" x14ac:dyDescent="0.25">
      <c r="A5799" s="1" t="s">
        <v>675</v>
      </c>
      <c r="B5799" s="1" t="s">
        <v>982</v>
      </c>
      <c r="C5799" s="1" t="s">
        <v>45</v>
      </c>
      <c r="D5799" s="3">
        <f t="shared" si="840"/>
        <v>8276</v>
      </c>
      <c r="E5799" s="2">
        <f t="shared" si="841"/>
        <v>43191</v>
      </c>
      <c r="F5799" s="2">
        <f t="shared" si="842"/>
        <v>44196</v>
      </c>
    </row>
    <row r="5800" spans="1:6" x14ac:dyDescent="0.25">
      <c r="A5800" s="1" t="s">
        <v>675</v>
      </c>
      <c r="B5800" s="1" t="s">
        <v>982</v>
      </c>
      <c r="C5800" s="1" t="s">
        <v>44</v>
      </c>
      <c r="D5800" s="3">
        <f t="shared" si="840"/>
        <v>8276</v>
      </c>
      <c r="E5800" s="2">
        <f t="shared" si="841"/>
        <v>43191</v>
      </c>
      <c r="F5800" s="2">
        <f t="shared" si="842"/>
        <v>44196</v>
      </c>
    </row>
    <row r="5801" spans="1:6" x14ac:dyDescent="0.25">
      <c r="A5801" s="1" t="s">
        <v>675</v>
      </c>
      <c r="B5801" s="1" t="s">
        <v>982</v>
      </c>
      <c r="C5801" s="1" t="s">
        <v>65</v>
      </c>
      <c r="D5801" s="3">
        <f t="shared" si="840"/>
        <v>8276</v>
      </c>
      <c r="E5801" s="2">
        <f t="shared" si="841"/>
        <v>43191</v>
      </c>
      <c r="F5801" s="2">
        <f t="shared" si="842"/>
        <v>44196</v>
      </c>
    </row>
    <row r="5802" spans="1:6" x14ac:dyDescent="0.25">
      <c r="A5802" s="1" t="s">
        <v>675</v>
      </c>
      <c r="B5802" s="1" t="s">
        <v>982</v>
      </c>
      <c r="C5802" s="1" t="s">
        <v>14</v>
      </c>
      <c r="D5802" s="3">
        <f t="shared" si="840"/>
        <v>8276</v>
      </c>
      <c r="E5802" s="2">
        <f t="shared" si="841"/>
        <v>43191</v>
      </c>
      <c r="F5802" s="2">
        <f t="shared" si="842"/>
        <v>44196</v>
      </c>
    </row>
    <row r="5803" spans="1:6" x14ac:dyDescent="0.25">
      <c r="A5803" s="1" t="s">
        <v>675</v>
      </c>
      <c r="B5803" s="1" t="s">
        <v>982</v>
      </c>
      <c r="C5803" s="1" t="s">
        <v>16</v>
      </c>
      <c r="D5803" s="3">
        <f t="shared" si="840"/>
        <v>8276</v>
      </c>
      <c r="E5803" s="2">
        <f t="shared" si="841"/>
        <v>43191</v>
      </c>
      <c r="F5803" s="2">
        <f t="shared" si="842"/>
        <v>44196</v>
      </c>
    </row>
    <row r="5804" spans="1:6" x14ac:dyDescent="0.25">
      <c r="A5804" s="1" t="s">
        <v>675</v>
      </c>
      <c r="B5804" s="1" t="s">
        <v>982</v>
      </c>
      <c r="C5804" s="1" t="s">
        <v>17</v>
      </c>
      <c r="D5804" s="3">
        <f t="shared" si="840"/>
        <v>8276</v>
      </c>
      <c r="E5804" s="2">
        <f t="shared" si="841"/>
        <v>43191</v>
      </c>
      <c r="F5804" s="2">
        <f t="shared" si="842"/>
        <v>44196</v>
      </c>
    </row>
    <row r="5805" spans="1:6" x14ac:dyDescent="0.25">
      <c r="A5805" s="1" t="s">
        <v>675</v>
      </c>
      <c r="B5805" s="1" t="s">
        <v>982</v>
      </c>
      <c r="C5805" s="1" t="s">
        <v>67</v>
      </c>
      <c r="D5805" s="3">
        <f t="shared" si="840"/>
        <v>8276</v>
      </c>
      <c r="E5805" s="2">
        <f t="shared" si="841"/>
        <v>43191</v>
      </c>
      <c r="F5805" s="2">
        <f t="shared" si="842"/>
        <v>44196</v>
      </c>
    </row>
    <row r="5806" spans="1:6" x14ac:dyDescent="0.25">
      <c r="A5806" s="1" t="s">
        <v>675</v>
      </c>
      <c r="B5806" s="1" t="s">
        <v>982</v>
      </c>
      <c r="C5806" s="1" t="s">
        <v>149</v>
      </c>
      <c r="D5806" s="3">
        <f t="shared" si="840"/>
        <v>8276</v>
      </c>
      <c r="E5806" s="2">
        <f t="shared" si="841"/>
        <v>43191</v>
      </c>
      <c r="F5806" s="2">
        <f t="shared" si="842"/>
        <v>44196</v>
      </c>
    </row>
    <row r="5807" spans="1:6" x14ac:dyDescent="0.25">
      <c r="A5807" s="1" t="s">
        <v>675</v>
      </c>
      <c r="B5807" s="1" t="s">
        <v>982</v>
      </c>
      <c r="C5807" s="1" t="s">
        <v>329</v>
      </c>
      <c r="D5807" s="3">
        <f t="shared" si="840"/>
        <v>8276</v>
      </c>
      <c r="E5807" s="2">
        <f t="shared" si="841"/>
        <v>43191</v>
      </c>
      <c r="F5807" s="2">
        <f t="shared" si="842"/>
        <v>44196</v>
      </c>
    </row>
    <row r="5808" spans="1:6" x14ac:dyDescent="0.25">
      <c r="A5808" s="1" t="s">
        <v>675</v>
      </c>
      <c r="B5808" s="1" t="s">
        <v>982</v>
      </c>
      <c r="C5808" s="1" t="s">
        <v>50</v>
      </c>
      <c r="D5808" s="3">
        <f t="shared" si="840"/>
        <v>8276</v>
      </c>
      <c r="E5808" s="2">
        <f t="shared" si="841"/>
        <v>43191</v>
      </c>
      <c r="F5808" s="2">
        <f t="shared" si="842"/>
        <v>44196</v>
      </c>
    </row>
    <row r="5809" spans="1:6" x14ac:dyDescent="0.25">
      <c r="A5809" s="1" t="s">
        <v>675</v>
      </c>
      <c r="B5809" s="1" t="s">
        <v>982</v>
      </c>
      <c r="C5809" s="1" t="s">
        <v>70</v>
      </c>
      <c r="D5809" s="3">
        <f t="shared" si="840"/>
        <v>8276</v>
      </c>
      <c r="E5809" s="2">
        <f t="shared" si="841"/>
        <v>43191</v>
      </c>
      <c r="F5809" s="2">
        <f t="shared" si="842"/>
        <v>44196</v>
      </c>
    </row>
    <row r="5810" spans="1:6" x14ac:dyDescent="0.25">
      <c r="A5810" s="1" t="s">
        <v>675</v>
      </c>
      <c r="B5810" s="1" t="s">
        <v>982</v>
      </c>
      <c r="C5810" s="1" t="s">
        <v>99</v>
      </c>
      <c r="D5810" s="3">
        <f t="shared" si="840"/>
        <v>8276</v>
      </c>
      <c r="E5810" s="2">
        <f t="shared" si="841"/>
        <v>43191</v>
      </c>
      <c r="F5810" s="2">
        <f t="shared" si="842"/>
        <v>44196</v>
      </c>
    </row>
    <row r="5811" spans="1:6" x14ac:dyDescent="0.25">
      <c r="A5811" s="1" t="s">
        <v>675</v>
      </c>
      <c r="B5811" s="1" t="s">
        <v>982</v>
      </c>
      <c r="C5811" s="1" t="s">
        <v>72</v>
      </c>
      <c r="D5811" s="3">
        <f t="shared" si="840"/>
        <v>8276</v>
      </c>
      <c r="E5811" s="2">
        <f t="shared" si="841"/>
        <v>43191</v>
      </c>
      <c r="F5811" s="2">
        <f t="shared" si="842"/>
        <v>44196</v>
      </c>
    </row>
    <row r="5812" spans="1:6" x14ac:dyDescent="0.25">
      <c r="A5812" s="1" t="s">
        <v>675</v>
      </c>
      <c r="B5812" s="1" t="s">
        <v>982</v>
      </c>
      <c r="C5812" s="1" t="s">
        <v>27</v>
      </c>
      <c r="D5812" s="3">
        <f t="shared" si="840"/>
        <v>8276</v>
      </c>
      <c r="E5812" s="2">
        <f t="shared" si="841"/>
        <v>43191</v>
      </c>
      <c r="F5812" s="2">
        <f t="shared" si="842"/>
        <v>44196</v>
      </c>
    </row>
    <row r="5813" spans="1:6" x14ac:dyDescent="0.25">
      <c r="A5813" s="1" t="s">
        <v>675</v>
      </c>
      <c r="B5813" s="1" t="s">
        <v>982</v>
      </c>
      <c r="C5813" s="1" t="s">
        <v>262</v>
      </c>
      <c r="D5813" s="3">
        <f t="shared" si="840"/>
        <v>8276</v>
      </c>
      <c r="E5813" s="2">
        <f t="shared" si="841"/>
        <v>43191</v>
      </c>
      <c r="F5813" s="2">
        <f t="shared" si="842"/>
        <v>44196</v>
      </c>
    </row>
    <row r="5814" spans="1:6" x14ac:dyDescent="0.25">
      <c r="A5814" s="1" t="s">
        <v>675</v>
      </c>
      <c r="B5814" s="1" t="s">
        <v>982</v>
      </c>
      <c r="C5814" s="1" t="s">
        <v>104</v>
      </c>
      <c r="D5814" s="3">
        <f t="shared" si="840"/>
        <v>8276</v>
      </c>
      <c r="E5814" s="2">
        <f t="shared" si="841"/>
        <v>43191</v>
      </c>
      <c r="F5814" s="2">
        <f t="shared" si="842"/>
        <v>44196</v>
      </c>
    </row>
    <row r="5815" spans="1:6" x14ac:dyDescent="0.25">
      <c r="A5815" s="1" t="s">
        <v>675</v>
      </c>
      <c r="B5815" s="1" t="s">
        <v>982</v>
      </c>
      <c r="C5815" s="1" t="s">
        <v>52</v>
      </c>
      <c r="D5815" s="3">
        <f t="shared" si="840"/>
        <v>8276</v>
      </c>
      <c r="E5815" s="2">
        <f t="shared" si="841"/>
        <v>43191</v>
      </c>
      <c r="F5815" s="2">
        <f t="shared" si="842"/>
        <v>44196</v>
      </c>
    </row>
    <row r="5816" spans="1:6" x14ac:dyDescent="0.25">
      <c r="A5816" s="1" t="s">
        <v>675</v>
      </c>
      <c r="B5816" s="1" t="s">
        <v>982</v>
      </c>
      <c r="C5816" s="1" t="s">
        <v>303</v>
      </c>
      <c r="D5816" s="3">
        <f t="shared" si="840"/>
        <v>8276</v>
      </c>
      <c r="E5816" s="2">
        <f t="shared" si="841"/>
        <v>43191</v>
      </c>
      <c r="F5816" s="2">
        <f t="shared" si="842"/>
        <v>44196</v>
      </c>
    </row>
    <row r="5817" spans="1:6" x14ac:dyDescent="0.25">
      <c r="A5817" s="1" t="s">
        <v>675</v>
      </c>
      <c r="B5817" s="1" t="s">
        <v>982</v>
      </c>
      <c r="C5817" s="1" t="s">
        <v>983</v>
      </c>
      <c r="D5817" s="3">
        <f t="shared" si="840"/>
        <v>8276</v>
      </c>
      <c r="E5817" s="2">
        <f t="shared" si="841"/>
        <v>43191</v>
      </c>
      <c r="F5817" s="2">
        <f t="shared" si="842"/>
        <v>44196</v>
      </c>
    </row>
    <row r="5818" spans="1:6" x14ac:dyDescent="0.25">
      <c r="A5818" s="1" t="s">
        <v>675</v>
      </c>
      <c r="B5818" s="1" t="s">
        <v>982</v>
      </c>
      <c r="C5818" s="1" t="s">
        <v>34</v>
      </c>
      <c r="D5818" s="3">
        <f t="shared" si="840"/>
        <v>8276</v>
      </c>
      <c r="E5818" s="2">
        <f t="shared" si="841"/>
        <v>43191</v>
      </c>
      <c r="F5818" s="2">
        <f t="shared" si="842"/>
        <v>44196</v>
      </c>
    </row>
    <row r="5819" spans="1:6" x14ac:dyDescent="0.25">
      <c r="A5819" s="1" t="s">
        <v>675</v>
      </c>
      <c r="B5819" s="1" t="s">
        <v>982</v>
      </c>
      <c r="C5819" s="1" t="s">
        <v>490</v>
      </c>
      <c r="D5819" s="3">
        <f t="shared" si="840"/>
        <v>8276</v>
      </c>
      <c r="E5819" s="2">
        <f t="shared" si="841"/>
        <v>43191</v>
      </c>
      <c r="F5819" s="2">
        <f t="shared" si="842"/>
        <v>44196</v>
      </c>
    </row>
    <row r="5820" spans="1:6" x14ac:dyDescent="0.25">
      <c r="A5820" s="1" t="s">
        <v>675</v>
      </c>
      <c r="B5820" s="1" t="s">
        <v>982</v>
      </c>
      <c r="C5820" s="1" t="s">
        <v>115</v>
      </c>
      <c r="D5820" s="3">
        <f t="shared" si="840"/>
        <v>8276</v>
      </c>
      <c r="E5820" s="2">
        <f t="shared" si="841"/>
        <v>43191</v>
      </c>
      <c r="F5820" s="2">
        <f t="shared" si="842"/>
        <v>44196</v>
      </c>
    </row>
    <row r="5821" spans="1:6" x14ac:dyDescent="0.25">
      <c r="A5821" s="1" t="s">
        <v>675</v>
      </c>
      <c r="B5821" s="1" t="s">
        <v>982</v>
      </c>
      <c r="C5821" s="1" t="s">
        <v>57</v>
      </c>
      <c r="D5821" s="3">
        <f t="shared" si="840"/>
        <v>8276</v>
      </c>
      <c r="E5821" s="2">
        <f t="shared" si="841"/>
        <v>43191</v>
      </c>
      <c r="F5821" s="2">
        <f t="shared" si="842"/>
        <v>44196</v>
      </c>
    </row>
    <row r="5822" spans="1:6" x14ac:dyDescent="0.25">
      <c r="A5822" s="1" t="s">
        <v>675</v>
      </c>
      <c r="B5822" s="1" t="s">
        <v>982</v>
      </c>
      <c r="C5822" s="1" t="s">
        <v>36</v>
      </c>
      <c r="D5822" s="3">
        <f t="shared" si="840"/>
        <v>8276</v>
      </c>
      <c r="E5822" s="2">
        <f t="shared" si="841"/>
        <v>43191</v>
      </c>
      <c r="F5822" s="2">
        <f t="shared" si="842"/>
        <v>44196</v>
      </c>
    </row>
    <row r="5823" spans="1:6" x14ac:dyDescent="0.25">
      <c r="A5823" s="1" t="s">
        <v>675</v>
      </c>
      <c r="B5823" s="1" t="s">
        <v>982</v>
      </c>
      <c r="C5823" s="1" t="s">
        <v>117</v>
      </c>
      <c r="D5823" s="3">
        <f t="shared" si="840"/>
        <v>8276</v>
      </c>
      <c r="E5823" s="2">
        <f t="shared" si="841"/>
        <v>43191</v>
      </c>
      <c r="F5823" s="2">
        <f t="shared" si="842"/>
        <v>44196</v>
      </c>
    </row>
    <row r="5824" spans="1:6" x14ac:dyDescent="0.25">
      <c r="A5824" s="1" t="s">
        <v>675</v>
      </c>
      <c r="B5824" s="1" t="s">
        <v>1757</v>
      </c>
      <c r="C5824" s="1" t="s">
        <v>17</v>
      </c>
      <c r="D5824" s="3">
        <f>VALUE("7998")</f>
        <v>7998</v>
      </c>
      <c r="E5824" s="2">
        <f>DATEVALUE("1-1-2018")</f>
        <v>43101</v>
      </c>
      <c r="F5824" s="2">
        <f>DATEVALUE("31-1-2019")</f>
        <v>43496</v>
      </c>
    </row>
    <row r="5825" spans="1:6" x14ac:dyDescent="0.25">
      <c r="A5825" s="1" t="s">
        <v>675</v>
      </c>
      <c r="B5825" s="1" t="s">
        <v>1757</v>
      </c>
      <c r="C5825" s="1" t="s">
        <v>144</v>
      </c>
      <c r="D5825" s="3">
        <f>VALUE("7998")</f>
        <v>7998</v>
      </c>
      <c r="E5825" s="2">
        <f>DATEVALUE("1-1-2018")</f>
        <v>43101</v>
      </c>
      <c r="F5825" s="2">
        <f>DATEVALUE("31-1-2019")</f>
        <v>43496</v>
      </c>
    </row>
    <row r="5826" spans="1:6" x14ac:dyDescent="0.25">
      <c r="A5826" s="1" t="s">
        <v>675</v>
      </c>
      <c r="B5826" s="1" t="s">
        <v>1757</v>
      </c>
      <c r="C5826" s="1" t="s">
        <v>50</v>
      </c>
      <c r="D5826" s="3">
        <f>VALUE("7998")</f>
        <v>7998</v>
      </c>
      <c r="E5826" s="2">
        <f>DATEVALUE("1-1-2018")</f>
        <v>43101</v>
      </c>
      <c r="F5826" s="2">
        <f>DATEVALUE("31-1-2019")</f>
        <v>43496</v>
      </c>
    </row>
    <row r="5827" spans="1:6" x14ac:dyDescent="0.25">
      <c r="A5827" s="1" t="s">
        <v>675</v>
      </c>
      <c r="B5827" s="1" t="s">
        <v>2306</v>
      </c>
      <c r="C5827" s="1" t="s">
        <v>45</v>
      </c>
      <c r="D5827" s="3">
        <f>VALUE("8128")</f>
        <v>8128</v>
      </c>
      <c r="E5827" s="2">
        <f>DATEVALUE("1-8-2017")</f>
        <v>42948</v>
      </c>
      <c r="F5827" s="2">
        <f>DATEVALUE("30-9-2017")</f>
        <v>43008</v>
      </c>
    </row>
    <row r="5828" spans="1:6" x14ac:dyDescent="0.25">
      <c r="A5828" s="1" t="s">
        <v>675</v>
      </c>
      <c r="B5828" s="1" t="s">
        <v>2306</v>
      </c>
      <c r="C5828" s="1" t="s">
        <v>329</v>
      </c>
      <c r="D5828" s="3">
        <f>VALUE("8128")</f>
        <v>8128</v>
      </c>
      <c r="E5828" s="2">
        <f>DATEVALUE("1-8-2017")</f>
        <v>42948</v>
      </c>
      <c r="F5828" s="2">
        <f>DATEVALUE("30-9-2017")</f>
        <v>43008</v>
      </c>
    </row>
    <row r="5829" spans="1:6" x14ac:dyDescent="0.25">
      <c r="A5829" s="1" t="s">
        <v>675</v>
      </c>
      <c r="B5829" s="1" t="s">
        <v>2306</v>
      </c>
      <c r="C5829" s="1" t="s">
        <v>72</v>
      </c>
      <c r="D5829" s="3">
        <f>VALUE("8128")</f>
        <v>8128</v>
      </c>
      <c r="E5829" s="2">
        <f>DATEVALUE("1-8-2017")</f>
        <v>42948</v>
      </c>
      <c r="F5829" s="2">
        <f>DATEVALUE("30-9-2017")</f>
        <v>43008</v>
      </c>
    </row>
    <row r="5830" spans="1:6" x14ac:dyDescent="0.25">
      <c r="A5830" s="1" t="s">
        <v>675</v>
      </c>
      <c r="B5830" s="1" t="s">
        <v>2306</v>
      </c>
      <c r="C5830" s="1" t="s">
        <v>52</v>
      </c>
      <c r="D5830" s="3">
        <f>VALUE("8128")</f>
        <v>8128</v>
      </c>
      <c r="E5830" s="2">
        <f>DATEVALUE("1-8-2017")</f>
        <v>42948</v>
      </c>
      <c r="F5830" s="2">
        <f>DATEVALUE("30-9-2017")</f>
        <v>43008</v>
      </c>
    </row>
    <row r="5831" spans="1:6" x14ac:dyDescent="0.25">
      <c r="A5831" s="1" t="s">
        <v>675</v>
      </c>
      <c r="B5831" s="1" t="s">
        <v>2306</v>
      </c>
      <c r="C5831" s="1" t="s">
        <v>303</v>
      </c>
      <c r="D5831" s="3">
        <f>VALUE("8128")</f>
        <v>8128</v>
      </c>
      <c r="E5831" s="2">
        <f>DATEVALUE("1-8-2017")</f>
        <v>42948</v>
      </c>
      <c r="F5831" s="2">
        <f>DATEVALUE("30-9-2017")</f>
        <v>43008</v>
      </c>
    </row>
    <row r="5832" spans="1:6" x14ac:dyDescent="0.25">
      <c r="A5832" s="1" t="s">
        <v>675</v>
      </c>
      <c r="B5832" s="1" t="s">
        <v>2052</v>
      </c>
      <c r="C5832" s="1" t="s">
        <v>45</v>
      </c>
      <c r="D5832" s="3">
        <f>VALUE("8114")</f>
        <v>8114</v>
      </c>
      <c r="E5832" s="2">
        <f>DATEVALUE("1-6-2017")</f>
        <v>42887</v>
      </c>
      <c r="F5832" s="2">
        <f>DATEVALUE("31-8-2017")</f>
        <v>42978</v>
      </c>
    </row>
    <row r="5833" spans="1:6" x14ac:dyDescent="0.25">
      <c r="A5833" s="1" t="s">
        <v>675</v>
      </c>
      <c r="B5833" s="1" t="s">
        <v>2019</v>
      </c>
      <c r="C5833" s="1" t="s">
        <v>39</v>
      </c>
      <c r="D5833" s="3">
        <f t="shared" ref="D5833:D5848" si="843">VALUE("7995")</f>
        <v>7995</v>
      </c>
      <c r="E5833" s="2">
        <f t="shared" ref="E5833:E5848" si="844">DATEVALUE("1-12-2016")</f>
        <v>42705</v>
      </c>
      <c r="F5833" s="2">
        <f t="shared" ref="F5833:F5848" si="845">DATEVALUE("30-9-2017")</f>
        <v>43008</v>
      </c>
    </row>
    <row r="5834" spans="1:6" x14ac:dyDescent="0.25">
      <c r="A5834" s="1" t="s">
        <v>675</v>
      </c>
      <c r="B5834" s="1" t="s">
        <v>2019</v>
      </c>
      <c r="C5834" s="1" t="s">
        <v>43</v>
      </c>
      <c r="D5834" s="3">
        <f t="shared" si="843"/>
        <v>7995</v>
      </c>
      <c r="E5834" s="2">
        <f t="shared" si="844"/>
        <v>42705</v>
      </c>
      <c r="F5834" s="2">
        <f t="shared" si="845"/>
        <v>43008</v>
      </c>
    </row>
    <row r="5835" spans="1:6" x14ac:dyDescent="0.25">
      <c r="A5835" s="1" t="s">
        <v>675</v>
      </c>
      <c r="B5835" s="1" t="s">
        <v>2019</v>
      </c>
      <c r="C5835" s="1" t="s">
        <v>62</v>
      </c>
      <c r="D5835" s="3">
        <f t="shared" si="843"/>
        <v>7995</v>
      </c>
      <c r="E5835" s="2">
        <f t="shared" si="844"/>
        <v>42705</v>
      </c>
      <c r="F5835" s="2">
        <f t="shared" si="845"/>
        <v>43008</v>
      </c>
    </row>
    <row r="5836" spans="1:6" x14ac:dyDescent="0.25">
      <c r="A5836" s="1" t="s">
        <v>675</v>
      </c>
      <c r="B5836" s="1" t="s">
        <v>2019</v>
      </c>
      <c r="C5836" s="1" t="s">
        <v>63</v>
      </c>
      <c r="D5836" s="3">
        <f t="shared" si="843"/>
        <v>7995</v>
      </c>
      <c r="E5836" s="2">
        <f t="shared" si="844"/>
        <v>42705</v>
      </c>
      <c r="F5836" s="2">
        <f t="shared" si="845"/>
        <v>43008</v>
      </c>
    </row>
    <row r="5837" spans="1:6" x14ac:dyDescent="0.25">
      <c r="A5837" s="1" t="s">
        <v>675</v>
      </c>
      <c r="B5837" s="1" t="s">
        <v>2019</v>
      </c>
      <c r="C5837" s="1" t="s">
        <v>414</v>
      </c>
      <c r="D5837" s="3">
        <f t="shared" si="843"/>
        <v>7995</v>
      </c>
      <c r="E5837" s="2">
        <f t="shared" si="844"/>
        <v>42705</v>
      </c>
      <c r="F5837" s="2">
        <f t="shared" si="845"/>
        <v>43008</v>
      </c>
    </row>
    <row r="5838" spans="1:6" x14ac:dyDescent="0.25">
      <c r="A5838" s="1" t="s">
        <v>675</v>
      </c>
      <c r="B5838" s="1" t="s">
        <v>2019</v>
      </c>
      <c r="C5838" s="1" t="s">
        <v>65</v>
      </c>
      <c r="D5838" s="3">
        <f t="shared" si="843"/>
        <v>7995</v>
      </c>
      <c r="E5838" s="2">
        <f t="shared" si="844"/>
        <v>42705</v>
      </c>
      <c r="F5838" s="2">
        <f t="shared" si="845"/>
        <v>43008</v>
      </c>
    </row>
    <row r="5839" spans="1:6" x14ac:dyDescent="0.25">
      <c r="A5839" s="1" t="s">
        <v>675</v>
      </c>
      <c r="B5839" s="1" t="s">
        <v>2019</v>
      </c>
      <c r="C5839" s="1" t="s">
        <v>46</v>
      </c>
      <c r="D5839" s="3">
        <f t="shared" si="843"/>
        <v>7995</v>
      </c>
      <c r="E5839" s="2">
        <f t="shared" si="844"/>
        <v>42705</v>
      </c>
      <c r="F5839" s="2">
        <f t="shared" si="845"/>
        <v>43008</v>
      </c>
    </row>
    <row r="5840" spans="1:6" x14ac:dyDescent="0.25">
      <c r="A5840" s="1" t="s">
        <v>675</v>
      </c>
      <c r="B5840" s="1" t="s">
        <v>2019</v>
      </c>
      <c r="C5840" s="1" t="s">
        <v>14</v>
      </c>
      <c r="D5840" s="3">
        <f t="shared" si="843"/>
        <v>7995</v>
      </c>
      <c r="E5840" s="2">
        <f t="shared" si="844"/>
        <v>42705</v>
      </c>
      <c r="F5840" s="2">
        <f t="shared" si="845"/>
        <v>43008</v>
      </c>
    </row>
    <row r="5841" spans="1:6" x14ac:dyDescent="0.25">
      <c r="A5841" s="1" t="s">
        <v>675</v>
      </c>
      <c r="B5841" s="1" t="s">
        <v>2019</v>
      </c>
      <c r="C5841" s="1" t="s">
        <v>17</v>
      </c>
      <c r="D5841" s="3">
        <f t="shared" si="843"/>
        <v>7995</v>
      </c>
      <c r="E5841" s="2">
        <f t="shared" si="844"/>
        <v>42705</v>
      </c>
      <c r="F5841" s="2">
        <f t="shared" si="845"/>
        <v>43008</v>
      </c>
    </row>
    <row r="5842" spans="1:6" x14ac:dyDescent="0.25">
      <c r="A5842" s="1" t="s">
        <v>675</v>
      </c>
      <c r="B5842" s="1" t="s">
        <v>2019</v>
      </c>
      <c r="C5842" s="1" t="s">
        <v>22</v>
      </c>
      <c r="D5842" s="3">
        <f t="shared" si="843"/>
        <v>7995</v>
      </c>
      <c r="E5842" s="2">
        <f t="shared" si="844"/>
        <v>42705</v>
      </c>
      <c r="F5842" s="2">
        <f t="shared" si="845"/>
        <v>43008</v>
      </c>
    </row>
    <row r="5843" spans="1:6" x14ac:dyDescent="0.25">
      <c r="A5843" s="1" t="s">
        <v>675</v>
      </c>
      <c r="B5843" s="1" t="s">
        <v>2019</v>
      </c>
      <c r="C5843" s="1" t="s">
        <v>99</v>
      </c>
      <c r="D5843" s="3">
        <f t="shared" si="843"/>
        <v>7995</v>
      </c>
      <c r="E5843" s="2">
        <f t="shared" si="844"/>
        <v>42705</v>
      </c>
      <c r="F5843" s="2">
        <f t="shared" si="845"/>
        <v>43008</v>
      </c>
    </row>
    <row r="5844" spans="1:6" x14ac:dyDescent="0.25">
      <c r="A5844" s="1" t="s">
        <v>675</v>
      </c>
      <c r="B5844" s="1" t="s">
        <v>2019</v>
      </c>
      <c r="C5844" s="1" t="s">
        <v>72</v>
      </c>
      <c r="D5844" s="3">
        <f t="shared" si="843"/>
        <v>7995</v>
      </c>
      <c r="E5844" s="2">
        <f t="shared" si="844"/>
        <v>42705</v>
      </c>
      <c r="F5844" s="2">
        <f t="shared" si="845"/>
        <v>43008</v>
      </c>
    </row>
    <row r="5845" spans="1:6" x14ac:dyDescent="0.25">
      <c r="A5845" s="1" t="s">
        <v>675</v>
      </c>
      <c r="B5845" s="1" t="s">
        <v>2019</v>
      </c>
      <c r="C5845" s="1" t="s">
        <v>52</v>
      </c>
      <c r="D5845" s="3">
        <f t="shared" si="843"/>
        <v>7995</v>
      </c>
      <c r="E5845" s="2">
        <f t="shared" si="844"/>
        <v>42705</v>
      </c>
      <c r="F5845" s="2">
        <f t="shared" si="845"/>
        <v>43008</v>
      </c>
    </row>
    <row r="5846" spans="1:6" x14ac:dyDescent="0.25">
      <c r="A5846" s="1" t="s">
        <v>675</v>
      </c>
      <c r="B5846" s="1" t="s">
        <v>2019</v>
      </c>
      <c r="C5846" s="1" t="s">
        <v>303</v>
      </c>
      <c r="D5846" s="3">
        <f t="shared" si="843"/>
        <v>7995</v>
      </c>
      <c r="E5846" s="2">
        <f t="shared" si="844"/>
        <v>42705</v>
      </c>
      <c r="F5846" s="2">
        <f t="shared" si="845"/>
        <v>43008</v>
      </c>
    </row>
    <row r="5847" spans="1:6" x14ac:dyDescent="0.25">
      <c r="A5847" s="1" t="s">
        <v>675</v>
      </c>
      <c r="B5847" s="1" t="s">
        <v>2019</v>
      </c>
      <c r="C5847" s="1" t="s">
        <v>57</v>
      </c>
      <c r="D5847" s="3">
        <f t="shared" si="843"/>
        <v>7995</v>
      </c>
      <c r="E5847" s="2">
        <f t="shared" si="844"/>
        <v>42705</v>
      </c>
      <c r="F5847" s="2">
        <f t="shared" si="845"/>
        <v>43008</v>
      </c>
    </row>
    <row r="5848" spans="1:6" x14ac:dyDescent="0.25">
      <c r="A5848" s="1" t="s">
        <v>675</v>
      </c>
      <c r="B5848" s="1" t="s">
        <v>2019</v>
      </c>
      <c r="C5848" s="1" t="s">
        <v>36</v>
      </c>
      <c r="D5848" s="3">
        <f t="shared" si="843"/>
        <v>7995</v>
      </c>
      <c r="E5848" s="2">
        <f t="shared" si="844"/>
        <v>42705</v>
      </c>
      <c r="F5848" s="2">
        <f t="shared" si="845"/>
        <v>43008</v>
      </c>
    </row>
    <row r="5849" spans="1:6" x14ac:dyDescent="0.25">
      <c r="A5849" s="1" t="s">
        <v>675</v>
      </c>
      <c r="B5849" s="1" t="s">
        <v>1873</v>
      </c>
      <c r="C5849" s="1" t="s">
        <v>78</v>
      </c>
      <c r="D5849" s="3">
        <f t="shared" ref="D5849:D5890" si="846">VALUE("7878")</f>
        <v>7878</v>
      </c>
      <c r="E5849" s="2">
        <f t="shared" ref="E5849:E5880" si="847">DATEVALUE("1-4-2016")</f>
        <v>42461</v>
      </c>
      <c r="F5849" s="2">
        <f t="shared" ref="F5849:F5890" si="848">DATEVALUE("31-7-2017")</f>
        <v>42947</v>
      </c>
    </row>
    <row r="5850" spans="1:6" x14ac:dyDescent="0.25">
      <c r="A5850" s="1" t="s">
        <v>675</v>
      </c>
      <c r="B5850" s="1" t="s">
        <v>1873</v>
      </c>
      <c r="C5850" s="1" t="s">
        <v>79</v>
      </c>
      <c r="D5850" s="3">
        <f t="shared" si="846"/>
        <v>7878</v>
      </c>
      <c r="E5850" s="2">
        <f t="shared" si="847"/>
        <v>42461</v>
      </c>
      <c r="F5850" s="2">
        <f t="shared" si="848"/>
        <v>42947</v>
      </c>
    </row>
    <row r="5851" spans="1:6" x14ac:dyDescent="0.25">
      <c r="A5851" s="1" t="s">
        <v>675</v>
      </c>
      <c r="B5851" s="1" t="s">
        <v>1873</v>
      </c>
      <c r="C5851" s="1" t="s">
        <v>80</v>
      </c>
      <c r="D5851" s="3">
        <f t="shared" si="846"/>
        <v>7878</v>
      </c>
      <c r="E5851" s="2">
        <f t="shared" si="847"/>
        <v>42461</v>
      </c>
      <c r="F5851" s="2">
        <f t="shared" si="848"/>
        <v>42947</v>
      </c>
    </row>
    <row r="5852" spans="1:6" x14ac:dyDescent="0.25">
      <c r="A5852" s="1" t="s">
        <v>675</v>
      </c>
      <c r="B5852" s="1" t="s">
        <v>1873</v>
      </c>
      <c r="C5852" s="1" t="s">
        <v>39</v>
      </c>
      <c r="D5852" s="3">
        <f t="shared" si="846"/>
        <v>7878</v>
      </c>
      <c r="E5852" s="2">
        <f t="shared" si="847"/>
        <v>42461</v>
      </c>
      <c r="F5852" s="2">
        <f t="shared" si="848"/>
        <v>42947</v>
      </c>
    </row>
    <row r="5853" spans="1:6" x14ac:dyDescent="0.25">
      <c r="A5853" s="1" t="s">
        <v>675</v>
      </c>
      <c r="B5853" s="1" t="s">
        <v>1873</v>
      </c>
      <c r="C5853" s="1" t="s">
        <v>60</v>
      </c>
      <c r="D5853" s="3">
        <f t="shared" si="846"/>
        <v>7878</v>
      </c>
      <c r="E5853" s="2">
        <f t="shared" si="847"/>
        <v>42461</v>
      </c>
      <c r="F5853" s="2">
        <f t="shared" si="848"/>
        <v>42947</v>
      </c>
    </row>
    <row r="5854" spans="1:6" x14ac:dyDescent="0.25">
      <c r="A5854" s="1" t="s">
        <v>675</v>
      </c>
      <c r="B5854" s="1" t="s">
        <v>1873</v>
      </c>
      <c r="C5854" s="1" t="s">
        <v>82</v>
      </c>
      <c r="D5854" s="3">
        <f t="shared" si="846"/>
        <v>7878</v>
      </c>
      <c r="E5854" s="2">
        <f t="shared" si="847"/>
        <v>42461</v>
      </c>
      <c r="F5854" s="2">
        <f t="shared" si="848"/>
        <v>42947</v>
      </c>
    </row>
    <row r="5855" spans="1:6" x14ac:dyDescent="0.25">
      <c r="A5855" s="1" t="s">
        <v>675</v>
      </c>
      <c r="B5855" s="1" t="s">
        <v>1873</v>
      </c>
      <c r="C5855" s="1" t="s">
        <v>42</v>
      </c>
      <c r="D5855" s="3">
        <f t="shared" si="846"/>
        <v>7878</v>
      </c>
      <c r="E5855" s="2">
        <f t="shared" si="847"/>
        <v>42461</v>
      </c>
      <c r="F5855" s="2">
        <f t="shared" si="848"/>
        <v>42947</v>
      </c>
    </row>
    <row r="5856" spans="1:6" x14ac:dyDescent="0.25">
      <c r="A5856" s="1" t="s">
        <v>675</v>
      </c>
      <c r="B5856" s="1" t="s">
        <v>1873</v>
      </c>
      <c r="C5856" s="1" t="s">
        <v>83</v>
      </c>
      <c r="D5856" s="3">
        <f t="shared" si="846"/>
        <v>7878</v>
      </c>
      <c r="E5856" s="2">
        <f t="shared" si="847"/>
        <v>42461</v>
      </c>
      <c r="F5856" s="2">
        <f t="shared" si="848"/>
        <v>42947</v>
      </c>
    </row>
    <row r="5857" spans="1:6" x14ac:dyDescent="0.25">
      <c r="A5857" s="1" t="s">
        <v>675</v>
      </c>
      <c r="B5857" s="1" t="s">
        <v>1873</v>
      </c>
      <c r="C5857" s="1" t="s">
        <v>43</v>
      </c>
      <c r="D5857" s="3">
        <f t="shared" si="846"/>
        <v>7878</v>
      </c>
      <c r="E5857" s="2">
        <f t="shared" si="847"/>
        <v>42461</v>
      </c>
      <c r="F5857" s="2">
        <f t="shared" si="848"/>
        <v>42947</v>
      </c>
    </row>
    <row r="5858" spans="1:6" x14ac:dyDescent="0.25">
      <c r="A5858" s="1" t="s">
        <v>675</v>
      </c>
      <c r="B5858" s="1" t="s">
        <v>1873</v>
      </c>
      <c r="C5858" s="1" t="s">
        <v>347</v>
      </c>
      <c r="D5858" s="3">
        <f t="shared" si="846"/>
        <v>7878</v>
      </c>
      <c r="E5858" s="2">
        <f t="shared" si="847"/>
        <v>42461</v>
      </c>
      <c r="F5858" s="2">
        <f t="shared" si="848"/>
        <v>42947</v>
      </c>
    </row>
    <row r="5859" spans="1:6" x14ac:dyDescent="0.25">
      <c r="A5859" s="1" t="s">
        <v>675</v>
      </c>
      <c r="B5859" s="1" t="s">
        <v>1873</v>
      </c>
      <c r="C5859" s="1" t="s">
        <v>45</v>
      </c>
      <c r="D5859" s="3">
        <f t="shared" si="846"/>
        <v>7878</v>
      </c>
      <c r="E5859" s="2">
        <f t="shared" si="847"/>
        <v>42461</v>
      </c>
      <c r="F5859" s="2">
        <f t="shared" si="848"/>
        <v>42947</v>
      </c>
    </row>
    <row r="5860" spans="1:6" x14ac:dyDescent="0.25">
      <c r="A5860" s="1" t="s">
        <v>675</v>
      </c>
      <c r="B5860" s="1" t="s">
        <v>1873</v>
      </c>
      <c r="C5860" s="1" t="s">
        <v>66</v>
      </c>
      <c r="D5860" s="3">
        <f t="shared" si="846"/>
        <v>7878</v>
      </c>
      <c r="E5860" s="2">
        <f t="shared" si="847"/>
        <v>42461</v>
      </c>
      <c r="F5860" s="2">
        <f t="shared" si="848"/>
        <v>42947</v>
      </c>
    </row>
    <row r="5861" spans="1:6" x14ac:dyDescent="0.25">
      <c r="A5861" s="1" t="s">
        <v>675</v>
      </c>
      <c r="B5861" s="1" t="s">
        <v>1873</v>
      </c>
      <c r="C5861" s="1" t="s">
        <v>16</v>
      </c>
      <c r="D5861" s="3">
        <f t="shared" si="846"/>
        <v>7878</v>
      </c>
      <c r="E5861" s="2">
        <f t="shared" si="847"/>
        <v>42461</v>
      </c>
      <c r="F5861" s="2">
        <f t="shared" si="848"/>
        <v>42947</v>
      </c>
    </row>
    <row r="5862" spans="1:6" x14ac:dyDescent="0.25">
      <c r="A5862" s="1" t="s">
        <v>675</v>
      </c>
      <c r="B5862" s="1" t="s">
        <v>1873</v>
      </c>
      <c r="C5862" s="1" t="s">
        <v>88</v>
      </c>
      <c r="D5862" s="3">
        <f t="shared" si="846"/>
        <v>7878</v>
      </c>
      <c r="E5862" s="2">
        <f t="shared" si="847"/>
        <v>42461</v>
      </c>
      <c r="F5862" s="2">
        <f t="shared" si="848"/>
        <v>42947</v>
      </c>
    </row>
    <row r="5863" spans="1:6" x14ac:dyDescent="0.25">
      <c r="A5863" s="1" t="s">
        <v>675</v>
      </c>
      <c r="B5863" s="1" t="s">
        <v>1873</v>
      </c>
      <c r="C5863" s="1" t="s">
        <v>89</v>
      </c>
      <c r="D5863" s="3">
        <f t="shared" si="846"/>
        <v>7878</v>
      </c>
      <c r="E5863" s="2">
        <f t="shared" si="847"/>
        <v>42461</v>
      </c>
      <c r="F5863" s="2">
        <f t="shared" si="848"/>
        <v>42947</v>
      </c>
    </row>
    <row r="5864" spans="1:6" x14ac:dyDescent="0.25">
      <c r="A5864" s="1" t="s">
        <v>675</v>
      </c>
      <c r="B5864" s="1" t="s">
        <v>1873</v>
      </c>
      <c r="C5864" s="1" t="s">
        <v>17</v>
      </c>
      <c r="D5864" s="3">
        <f t="shared" si="846"/>
        <v>7878</v>
      </c>
      <c r="E5864" s="2">
        <f t="shared" si="847"/>
        <v>42461</v>
      </c>
      <c r="F5864" s="2">
        <f t="shared" si="848"/>
        <v>42947</v>
      </c>
    </row>
    <row r="5865" spans="1:6" x14ac:dyDescent="0.25">
      <c r="A5865" s="1" t="s">
        <v>675</v>
      </c>
      <c r="B5865" s="1" t="s">
        <v>1873</v>
      </c>
      <c r="C5865" s="1" t="s">
        <v>328</v>
      </c>
      <c r="D5865" s="3">
        <f t="shared" si="846"/>
        <v>7878</v>
      </c>
      <c r="E5865" s="2">
        <f t="shared" si="847"/>
        <v>42461</v>
      </c>
      <c r="F5865" s="2">
        <f t="shared" si="848"/>
        <v>42947</v>
      </c>
    </row>
    <row r="5866" spans="1:6" x14ac:dyDescent="0.25">
      <c r="A5866" s="1" t="s">
        <v>675</v>
      </c>
      <c r="B5866" s="1" t="s">
        <v>1873</v>
      </c>
      <c r="C5866" s="1" t="s">
        <v>418</v>
      </c>
      <c r="D5866" s="3">
        <f t="shared" si="846"/>
        <v>7878</v>
      </c>
      <c r="E5866" s="2">
        <f t="shared" si="847"/>
        <v>42461</v>
      </c>
      <c r="F5866" s="2">
        <f t="shared" si="848"/>
        <v>42947</v>
      </c>
    </row>
    <row r="5867" spans="1:6" x14ac:dyDescent="0.25">
      <c r="A5867" s="1" t="s">
        <v>675</v>
      </c>
      <c r="B5867" s="1" t="s">
        <v>1873</v>
      </c>
      <c r="C5867" s="1" t="s">
        <v>22</v>
      </c>
      <c r="D5867" s="3">
        <f t="shared" si="846"/>
        <v>7878</v>
      </c>
      <c r="E5867" s="2">
        <f t="shared" si="847"/>
        <v>42461</v>
      </c>
      <c r="F5867" s="2">
        <f t="shared" si="848"/>
        <v>42947</v>
      </c>
    </row>
    <row r="5868" spans="1:6" x14ac:dyDescent="0.25">
      <c r="A5868" s="1" t="s">
        <v>675</v>
      </c>
      <c r="B5868" s="1" t="s">
        <v>1873</v>
      </c>
      <c r="C5868" s="1" t="s">
        <v>329</v>
      </c>
      <c r="D5868" s="3">
        <f t="shared" si="846"/>
        <v>7878</v>
      </c>
      <c r="E5868" s="2">
        <f t="shared" si="847"/>
        <v>42461</v>
      </c>
      <c r="F5868" s="2">
        <f t="shared" si="848"/>
        <v>42947</v>
      </c>
    </row>
    <row r="5869" spans="1:6" x14ac:dyDescent="0.25">
      <c r="A5869" s="1" t="s">
        <v>675</v>
      </c>
      <c r="B5869" s="1" t="s">
        <v>1873</v>
      </c>
      <c r="C5869" s="1" t="s">
        <v>330</v>
      </c>
      <c r="D5869" s="3">
        <f t="shared" si="846"/>
        <v>7878</v>
      </c>
      <c r="E5869" s="2">
        <f t="shared" si="847"/>
        <v>42461</v>
      </c>
      <c r="F5869" s="2">
        <f t="shared" si="848"/>
        <v>42947</v>
      </c>
    </row>
    <row r="5870" spans="1:6" x14ac:dyDescent="0.25">
      <c r="A5870" s="1" t="s">
        <v>675</v>
      </c>
      <c r="B5870" s="1" t="s">
        <v>1873</v>
      </c>
      <c r="C5870" s="1" t="s">
        <v>97</v>
      </c>
      <c r="D5870" s="3">
        <f t="shared" si="846"/>
        <v>7878</v>
      </c>
      <c r="E5870" s="2">
        <f t="shared" si="847"/>
        <v>42461</v>
      </c>
      <c r="F5870" s="2">
        <f t="shared" si="848"/>
        <v>42947</v>
      </c>
    </row>
    <row r="5871" spans="1:6" x14ac:dyDescent="0.25">
      <c r="A5871" s="1" t="s">
        <v>675</v>
      </c>
      <c r="B5871" s="1" t="s">
        <v>1873</v>
      </c>
      <c r="C5871" s="1" t="s">
        <v>98</v>
      </c>
      <c r="D5871" s="3">
        <f t="shared" si="846"/>
        <v>7878</v>
      </c>
      <c r="E5871" s="2">
        <f t="shared" si="847"/>
        <v>42461</v>
      </c>
      <c r="F5871" s="2">
        <f t="shared" si="848"/>
        <v>42947</v>
      </c>
    </row>
    <row r="5872" spans="1:6" x14ac:dyDescent="0.25">
      <c r="A5872" s="1" t="s">
        <v>675</v>
      </c>
      <c r="B5872" s="1" t="s">
        <v>1873</v>
      </c>
      <c r="C5872" s="1" t="s">
        <v>99</v>
      </c>
      <c r="D5872" s="3">
        <f t="shared" si="846"/>
        <v>7878</v>
      </c>
      <c r="E5872" s="2">
        <f t="shared" si="847"/>
        <v>42461</v>
      </c>
      <c r="F5872" s="2">
        <f t="shared" si="848"/>
        <v>42947</v>
      </c>
    </row>
    <row r="5873" spans="1:6" x14ac:dyDescent="0.25">
      <c r="A5873" s="1" t="s">
        <v>675</v>
      </c>
      <c r="B5873" s="1" t="s">
        <v>1873</v>
      </c>
      <c r="C5873" s="1" t="s">
        <v>71</v>
      </c>
      <c r="D5873" s="3">
        <f t="shared" si="846"/>
        <v>7878</v>
      </c>
      <c r="E5873" s="2">
        <f t="shared" si="847"/>
        <v>42461</v>
      </c>
      <c r="F5873" s="2">
        <f t="shared" si="848"/>
        <v>42947</v>
      </c>
    </row>
    <row r="5874" spans="1:6" x14ac:dyDescent="0.25">
      <c r="A5874" s="1" t="s">
        <v>675</v>
      </c>
      <c r="B5874" s="1" t="s">
        <v>1873</v>
      </c>
      <c r="C5874" s="1" t="s">
        <v>100</v>
      </c>
      <c r="D5874" s="3">
        <f t="shared" si="846"/>
        <v>7878</v>
      </c>
      <c r="E5874" s="2">
        <f t="shared" si="847"/>
        <v>42461</v>
      </c>
      <c r="F5874" s="2">
        <f t="shared" si="848"/>
        <v>42947</v>
      </c>
    </row>
    <row r="5875" spans="1:6" x14ac:dyDescent="0.25">
      <c r="A5875" s="1" t="s">
        <v>675</v>
      </c>
      <c r="B5875" s="1" t="s">
        <v>1873</v>
      </c>
      <c r="C5875" s="1" t="s">
        <v>27</v>
      </c>
      <c r="D5875" s="3">
        <f t="shared" si="846"/>
        <v>7878</v>
      </c>
      <c r="E5875" s="2">
        <f t="shared" si="847"/>
        <v>42461</v>
      </c>
      <c r="F5875" s="2">
        <f t="shared" si="848"/>
        <v>42947</v>
      </c>
    </row>
    <row r="5876" spans="1:6" x14ac:dyDescent="0.25">
      <c r="A5876" s="1" t="s">
        <v>675</v>
      </c>
      <c r="B5876" s="1" t="s">
        <v>1873</v>
      </c>
      <c r="C5876" s="1" t="s">
        <v>262</v>
      </c>
      <c r="D5876" s="3">
        <f t="shared" si="846"/>
        <v>7878</v>
      </c>
      <c r="E5876" s="2">
        <f t="shared" si="847"/>
        <v>42461</v>
      </c>
      <c r="F5876" s="2">
        <f t="shared" si="848"/>
        <v>42947</v>
      </c>
    </row>
    <row r="5877" spans="1:6" x14ac:dyDescent="0.25">
      <c r="A5877" s="1" t="s">
        <v>675</v>
      </c>
      <c r="B5877" s="1" t="s">
        <v>1873</v>
      </c>
      <c r="C5877" s="1" t="s">
        <v>52</v>
      </c>
      <c r="D5877" s="3">
        <f t="shared" si="846"/>
        <v>7878</v>
      </c>
      <c r="E5877" s="2">
        <f t="shared" si="847"/>
        <v>42461</v>
      </c>
      <c r="F5877" s="2">
        <f t="shared" si="848"/>
        <v>42947</v>
      </c>
    </row>
    <row r="5878" spans="1:6" x14ac:dyDescent="0.25">
      <c r="A5878" s="1" t="s">
        <v>675</v>
      </c>
      <c r="B5878" s="1" t="s">
        <v>1873</v>
      </c>
      <c r="C5878" s="1" t="s">
        <v>105</v>
      </c>
      <c r="D5878" s="3">
        <f t="shared" si="846"/>
        <v>7878</v>
      </c>
      <c r="E5878" s="2">
        <f t="shared" si="847"/>
        <v>42461</v>
      </c>
      <c r="F5878" s="2">
        <f t="shared" si="848"/>
        <v>42947</v>
      </c>
    </row>
    <row r="5879" spans="1:6" x14ac:dyDescent="0.25">
      <c r="A5879" s="1" t="s">
        <v>675</v>
      </c>
      <c r="B5879" s="1" t="s">
        <v>1873</v>
      </c>
      <c r="C5879" s="1" t="s">
        <v>106</v>
      </c>
      <c r="D5879" s="3">
        <f t="shared" si="846"/>
        <v>7878</v>
      </c>
      <c r="E5879" s="2">
        <f t="shared" si="847"/>
        <v>42461</v>
      </c>
      <c r="F5879" s="2">
        <f t="shared" si="848"/>
        <v>42947</v>
      </c>
    </row>
    <row r="5880" spans="1:6" x14ac:dyDescent="0.25">
      <c r="A5880" s="1" t="s">
        <v>675</v>
      </c>
      <c r="B5880" s="1" t="s">
        <v>1873</v>
      </c>
      <c r="C5880" s="1" t="s">
        <v>110</v>
      </c>
      <c r="D5880" s="3">
        <f t="shared" si="846"/>
        <v>7878</v>
      </c>
      <c r="E5880" s="2">
        <f t="shared" si="847"/>
        <v>42461</v>
      </c>
      <c r="F5880" s="2">
        <f t="shared" si="848"/>
        <v>42947</v>
      </c>
    </row>
    <row r="5881" spans="1:6" x14ac:dyDescent="0.25">
      <c r="A5881" s="1" t="s">
        <v>675</v>
      </c>
      <c r="B5881" s="1" t="s">
        <v>1873</v>
      </c>
      <c r="C5881" s="1" t="s">
        <v>111</v>
      </c>
      <c r="D5881" s="3">
        <f t="shared" si="846"/>
        <v>7878</v>
      </c>
      <c r="E5881" s="2">
        <f t="shared" ref="E5881:E5912" si="849">DATEVALUE("1-4-2016")</f>
        <v>42461</v>
      </c>
      <c r="F5881" s="2">
        <f t="shared" si="848"/>
        <v>42947</v>
      </c>
    </row>
    <row r="5882" spans="1:6" x14ac:dyDescent="0.25">
      <c r="A5882" s="1" t="s">
        <v>675</v>
      </c>
      <c r="B5882" s="1" t="s">
        <v>1873</v>
      </c>
      <c r="C5882" s="1" t="s">
        <v>112</v>
      </c>
      <c r="D5882" s="3">
        <f t="shared" si="846"/>
        <v>7878</v>
      </c>
      <c r="E5882" s="2">
        <f t="shared" si="849"/>
        <v>42461</v>
      </c>
      <c r="F5882" s="2">
        <f t="shared" si="848"/>
        <v>42947</v>
      </c>
    </row>
    <row r="5883" spans="1:6" x14ac:dyDescent="0.25">
      <c r="A5883" s="1" t="s">
        <v>675</v>
      </c>
      <c r="B5883" s="1" t="s">
        <v>1873</v>
      </c>
      <c r="C5883" s="1" t="s">
        <v>113</v>
      </c>
      <c r="D5883" s="3">
        <f t="shared" si="846"/>
        <v>7878</v>
      </c>
      <c r="E5883" s="2">
        <f t="shared" si="849"/>
        <v>42461</v>
      </c>
      <c r="F5883" s="2">
        <f t="shared" si="848"/>
        <v>42947</v>
      </c>
    </row>
    <row r="5884" spans="1:6" x14ac:dyDescent="0.25">
      <c r="A5884" s="1" t="s">
        <v>675</v>
      </c>
      <c r="B5884" s="1" t="s">
        <v>1873</v>
      </c>
      <c r="C5884" s="1" t="s">
        <v>303</v>
      </c>
      <c r="D5884" s="3">
        <f t="shared" si="846"/>
        <v>7878</v>
      </c>
      <c r="E5884" s="2">
        <f t="shared" si="849"/>
        <v>42461</v>
      </c>
      <c r="F5884" s="2">
        <f t="shared" si="848"/>
        <v>42947</v>
      </c>
    </row>
    <row r="5885" spans="1:6" x14ac:dyDescent="0.25">
      <c r="A5885" s="1" t="s">
        <v>675</v>
      </c>
      <c r="B5885" s="1" t="s">
        <v>1873</v>
      </c>
      <c r="C5885" s="1" t="s">
        <v>114</v>
      </c>
      <c r="D5885" s="3">
        <f t="shared" si="846"/>
        <v>7878</v>
      </c>
      <c r="E5885" s="2">
        <f t="shared" si="849"/>
        <v>42461</v>
      </c>
      <c r="F5885" s="2">
        <f t="shared" si="848"/>
        <v>42947</v>
      </c>
    </row>
    <row r="5886" spans="1:6" x14ac:dyDescent="0.25">
      <c r="A5886" s="1" t="s">
        <v>675</v>
      </c>
      <c r="B5886" s="1" t="s">
        <v>1873</v>
      </c>
      <c r="C5886" s="1" t="s">
        <v>185</v>
      </c>
      <c r="D5886" s="3">
        <f t="shared" si="846"/>
        <v>7878</v>
      </c>
      <c r="E5886" s="2">
        <f t="shared" si="849"/>
        <v>42461</v>
      </c>
      <c r="F5886" s="2">
        <f t="shared" si="848"/>
        <v>42947</v>
      </c>
    </row>
    <row r="5887" spans="1:6" x14ac:dyDescent="0.25">
      <c r="A5887" s="1" t="s">
        <v>675</v>
      </c>
      <c r="B5887" s="1" t="s">
        <v>1873</v>
      </c>
      <c r="C5887" s="1" t="s">
        <v>1874</v>
      </c>
      <c r="D5887" s="3">
        <f t="shared" si="846"/>
        <v>7878</v>
      </c>
      <c r="E5887" s="2">
        <f t="shared" si="849"/>
        <v>42461</v>
      </c>
      <c r="F5887" s="2">
        <f t="shared" si="848"/>
        <v>42947</v>
      </c>
    </row>
    <row r="5888" spans="1:6" x14ac:dyDescent="0.25">
      <c r="A5888" s="1" t="s">
        <v>675</v>
      </c>
      <c r="B5888" s="1" t="s">
        <v>1873</v>
      </c>
      <c r="C5888" s="1" t="s">
        <v>116</v>
      </c>
      <c r="D5888" s="3">
        <f t="shared" si="846"/>
        <v>7878</v>
      </c>
      <c r="E5888" s="2">
        <f t="shared" si="849"/>
        <v>42461</v>
      </c>
      <c r="F5888" s="2">
        <f t="shared" si="848"/>
        <v>42947</v>
      </c>
    </row>
    <row r="5889" spans="1:6" x14ac:dyDescent="0.25">
      <c r="A5889" s="1" t="s">
        <v>675</v>
      </c>
      <c r="B5889" s="1" t="s">
        <v>1873</v>
      </c>
      <c r="C5889" s="1" t="s">
        <v>57</v>
      </c>
      <c r="D5889" s="3">
        <f t="shared" si="846"/>
        <v>7878</v>
      </c>
      <c r="E5889" s="2">
        <f t="shared" si="849"/>
        <v>42461</v>
      </c>
      <c r="F5889" s="2">
        <f t="shared" si="848"/>
        <v>42947</v>
      </c>
    </row>
    <row r="5890" spans="1:6" x14ac:dyDescent="0.25">
      <c r="A5890" s="1" t="s">
        <v>675</v>
      </c>
      <c r="B5890" s="1" t="s">
        <v>1873</v>
      </c>
      <c r="C5890" s="1" t="s">
        <v>36</v>
      </c>
      <c r="D5890" s="3">
        <f t="shared" si="846"/>
        <v>7878</v>
      </c>
      <c r="E5890" s="2">
        <f t="shared" si="849"/>
        <v>42461</v>
      </c>
      <c r="F5890" s="2">
        <f t="shared" si="848"/>
        <v>42947</v>
      </c>
    </row>
    <row r="5891" spans="1:6" x14ac:dyDescent="0.25">
      <c r="A5891" s="1" t="s">
        <v>675</v>
      </c>
      <c r="B5891" s="1" t="s">
        <v>674</v>
      </c>
      <c r="C5891" s="1" t="s">
        <v>7</v>
      </c>
      <c r="D5891" s="3">
        <f t="shared" ref="D5891:D5929" si="850">VALUE("7879")</f>
        <v>7879</v>
      </c>
      <c r="E5891" s="2">
        <f t="shared" si="849"/>
        <v>42461</v>
      </c>
      <c r="F5891" s="2">
        <f t="shared" ref="F5891:F5929" si="851">DATEVALUE("31-12-2024")</f>
        <v>45657</v>
      </c>
    </row>
    <row r="5892" spans="1:6" x14ac:dyDescent="0.25">
      <c r="A5892" s="1" t="s">
        <v>675</v>
      </c>
      <c r="B5892" s="1" t="s">
        <v>674</v>
      </c>
      <c r="C5892" s="1" t="s">
        <v>6</v>
      </c>
      <c r="D5892" s="3">
        <f t="shared" si="850"/>
        <v>7879</v>
      </c>
      <c r="E5892" s="2">
        <f t="shared" si="849"/>
        <v>42461</v>
      </c>
      <c r="F5892" s="2">
        <f t="shared" si="851"/>
        <v>45657</v>
      </c>
    </row>
    <row r="5893" spans="1:6" x14ac:dyDescent="0.25">
      <c r="A5893" s="1" t="s">
        <v>675</v>
      </c>
      <c r="B5893" s="1" t="s">
        <v>674</v>
      </c>
      <c r="C5893" s="1" t="s">
        <v>39</v>
      </c>
      <c r="D5893" s="3">
        <f t="shared" si="850"/>
        <v>7879</v>
      </c>
      <c r="E5893" s="2">
        <f t="shared" si="849"/>
        <v>42461</v>
      </c>
      <c r="F5893" s="2">
        <f t="shared" si="851"/>
        <v>45657</v>
      </c>
    </row>
    <row r="5894" spans="1:6" x14ac:dyDescent="0.25">
      <c r="A5894" s="1" t="s">
        <v>675</v>
      </c>
      <c r="B5894" s="1" t="s">
        <v>674</v>
      </c>
      <c r="C5894" s="1" t="s">
        <v>40</v>
      </c>
      <c r="D5894" s="3">
        <f t="shared" si="850"/>
        <v>7879</v>
      </c>
      <c r="E5894" s="2">
        <f t="shared" si="849"/>
        <v>42461</v>
      </c>
      <c r="F5894" s="2">
        <f t="shared" si="851"/>
        <v>45657</v>
      </c>
    </row>
    <row r="5895" spans="1:6" x14ac:dyDescent="0.25">
      <c r="A5895" s="1" t="s">
        <v>675</v>
      </c>
      <c r="B5895" s="1" t="s">
        <v>674</v>
      </c>
      <c r="C5895" s="1" t="s">
        <v>41</v>
      </c>
      <c r="D5895" s="3">
        <f t="shared" si="850"/>
        <v>7879</v>
      </c>
      <c r="E5895" s="2">
        <f t="shared" si="849"/>
        <v>42461</v>
      </c>
      <c r="F5895" s="2">
        <f t="shared" si="851"/>
        <v>45657</v>
      </c>
    </row>
    <row r="5896" spans="1:6" x14ac:dyDescent="0.25">
      <c r="A5896" s="1" t="s">
        <v>675</v>
      </c>
      <c r="B5896" s="1" t="s">
        <v>674</v>
      </c>
      <c r="C5896" s="1" t="s">
        <v>43</v>
      </c>
      <c r="D5896" s="3">
        <f t="shared" si="850"/>
        <v>7879</v>
      </c>
      <c r="E5896" s="2">
        <f t="shared" si="849"/>
        <v>42461</v>
      </c>
      <c r="F5896" s="2">
        <f t="shared" si="851"/>
        <v>45657</v>
      </c>
    </row>
    <row r="5897" spans="1:6" x14ac:dyDescent="0.25">
      <c r="A5897" s="1" t="s">
        <v>675</v>
      </c>
      <c r="B5897" s="1" t="s">
        <v>674</v>
      </c>
      <c r="C5897" s="1" t="s">
        <v>289</v>
      </c>
      <c r="D5897" s="3">
        <f t="shared" si="850"/>
        <v>7879</v>
      </c>
      <c r="E5897" s="2">
        <f t="shared" si="849"/>
        <v>42461</v>
      </c>
      <c r="F5897" s="2">
        <f t="shared" si="851"/>
        <v>45657</v>
      </c>
    </row>
    <row r="5898" spans="1:6" x14ac:dyDescent="0.25">
      <c r="A5898" s="1" t="s">
        <v>675</v>
      </c>
      <c r="B5898" s="1" t="s">
        <v>674</v>
      </c>
      <c r="C5898" s="1" t="s">
        <v>62</v>
      </c>
      <c r="D5898" s="3">
        <f t="shared" si="850"/>
        <v>7879</v>
      </c>
      <c r="E5898" s="2">
        <f t="shared" si="849"/>
        <v>42461</v>
      </c>
      <c r="F5898" s="2">
        <f t="shared" si="851"/>
        <v>45657</v>
      </c>
    </row>
    <row r="5899" spans="1:6" x14ac:dyDescent="0.25">
      <c r="A5899" s="1" t="s">
        <v>675</v>
      </c>
      <c r="B5899" s="1" t="s">
        <v>674</v>
      </c>
      <c r="C5899" s="1" t="s">
        <v>63</v>
      </c>
      <c r="D5899" s="3">
        <f t="shared" si="850"/>
        <v>7879</v>
      </c>
      <c r="E5899" s="2">
        <f t="shared" si="849"/>
        <v>42461</v>
      </c>
      <c r="F5899" s="2">
        <f t="shared" si="851"/>
        <v>45657</v>
      </c>
    </row>
    <row r="5900" spans="1:6" x14ac:dyDescent="0.25">
      <c r="A5900" s="1" t="s">
        <v>675</v>
      </c>
      <c r="B5900" s="1" t="s">
        <v>674</v>
      </c>
      <c r="C5900" s="1" t="s">
        <v>676</v>
      </c>
      <c r="D5900" s="3">
        <f t="shared" si="850"/>
        <v>7879</v>
      </c>
      <c r="E5900" s="2">
        <f t="shared" si="849"/>
        <v>42461</v>
      </c>
      <c r="F5900" s="2">
        <f t="shared" si="851"/>
        <v>45657</v>
      </c>
    </row>
    <row r="5901" spans="1:6" x14ac:dyDescent="0.25">
      <c r="A5901" s="1" t="s">
        <v>675</v>
      </c>
      <c r="B5901" s="1" t="s">
        <v>674</v>
      </c>
      <c r="C5901" s="1" t="s">
        <v>45</v>
      </c>
      <c r="D5901" s="3">
        <f t="shared" si="850"/>
        <v>7879</v>
      </c>
      <c r="E5901" s="2">
        <f t="shared" si="849"/>
        <v>42461</v>
      </c>
      <c r="F5901" s="2">
        <f t="shared" si="851"/>
        <v>45657</v>
      </c>
    </row>
    <row r="5902" spans="1:6" x14ac:dyDescent="0.25">
      <c r="A5902" s="1" t="s">
        <v>675</v>
      </c>
      <c r="B5902" s="1" t="s">
        <v>674</v>
      </c>
      <c r="C5902" s="1" t="s">
        <v>44</v>
      </c>
      <c r="D5902" s="3">
        <f t="shared" si="850"/>
        <v>7879</v>
      </c>
      <c r="E5902" s="2">
        <f t="shared" si="849"/>
        <v>42461</v>
      </c>
      <c r="F5902" s="2">
        <f t="shared" si="851"/>
        <v>45657</v>
      </c>
    </row>
    <row r="5903" spans="1:6" x14ac:dyDescent="0.25">
      <c r="A5903" s="1" t="s">
        <v>675</v>
      </c>
      <c r="B5903" s="1" t="s">
        <v>674</v>
      </c>
      <c r="C5903" s="1" t="s">
        <v>65</v>
      </c>
      <c r="D5903" s="3">
        <f t="shared" si="850"/>
        <v>7879</v>
      </c>
      <c r="E5903" s="2">
        <f t="shared" si="849"/>
        <v>42461</v>
      </c>
      <c r="F5903" s="2">
        <f t="shared" si="851"/>
        <v>45657</v>
      </c>
    </row>
    <row r="5904" spans="1:6" x14ac:dyDescent="0.25">
      <c r="A5904" s="1" t="s">
        <v>675</v>
      </c>
      <c r="B5904" s="1" t="s">
        <v>674</v>
      </c>
      <c r="C5904" s="1" t="s">
        <v>46</v>
      </c>
      <c r="D5904" s="3">
        <f t="shared" si="850"/>
        <v>7879</v>
      </c>
      <c r="E5904" s="2">
        <f t="shared" si="849"/>
        <v>42461</v>
      </c>
      <c r="F5904" s="2">
        <f t="shared" si="851"/>
        <v>45657</v>
      </c>
    </row>
    <row r="5905" spans="1:6" x14ac:dyDescent="0.25">
      <c r="A5905" s="1" t="s">
        <v>675</v>
      </c>
      <c r="B5905" s="1" t="s">
        <v>674</v>
      </c>
      <c r="C5905" s="1" t="s">
        <v>14</v>
      </c>
      <c r="D5905" s="3">
        <f t="shared" si="850"/>
        <v>7879</v>
      </c>
      <c r="E5905" s="2">
        <f t="shared" si="849"/>
        <v>42461</v>
      </c>
      <c r="F5905" s="2">
        <f t="shared" si="851"/>
        <v>45657</v>
      </c>
    </row>
    <row r="5906" spans="1:6" x14ac:dyDescent="0.25">
      <c r="A5906" s="1" t="s">
        <v>675</v>
      </c>
      <c r="B5906" s="1" t="s">
        <v>674</v>
      </c>
      <c r="C5906" s="1" t="s">
        <v>66</v>
      </c>
      <c r="D5906" s="3">
        <f t="shared" si="850"/>
        <v>7879</v>
      </c>
      <c r="E5906" s="2">
        <f t="shared" si="849"/>
        <v>42461</v>
      </c>
      <c r="F5906" s="2">
        <f t="shared" si="851"/>
        <v>45657</v>
      </c>
    </row>
    <row r="5907" spans="1:6" x14ac:dyDescent="0.25">
      <c r="A5907" s="1" t="s">
        <v>675</v>
      </c>
      <c r="B5907" s="1" t="s">
        <v>674</v>
      </c>
      <c r="C5907" s="1" t="s">
        <v>16</v>
      </c>
      <c r="D5907" s="3">
        <f t="shared" si="850"/>
        <v>7879</v>
      </c>
      <c r="E5907" s="2">
        <f t="shared" si="849"/>
        <v>42461</v>
      </c>
      <c r="F5907" s="2">
        <f t="shared" si="851"/>
        <v>45657</v>
      </c>
    </row>
    <row r="5908" spans="1:6" x14ac:dyDescent="0.25">
      <c r="A5908" s="1" t="s">
        <v>675</v>
      </c>
      <c r="B5908" s="1" t="s">
        <v>674</v>
      </c>
      <c r="C5908" s="1" t="s">
        <v>290</v>
      </c>
      <c r="D5908" s="3">
        <f t="shared" si="850"/>
        <v>7879</v>
      </c>
      <c r="E5908" s="2">
        <f t="shared" si="849"/>
        <v>42461</v>
      </c>
      <c r="F5908" s="2">
        <f t="shared" si="851"/>
        <v>45657</v>
      </c>
    </row>
    <row r="5909" spans="1:6" x14ac:dyDescent="0.25">
      <c r="A5909" s="1" t="s">
        <v>675</v>
      </c>
      <c r="B5909" s="1" t="s">
        <v>674</v>
      </c>
      <c r="C5909" s="1" t="s">
        <v>17</v>
      </c>
      <c r="D5909" s="3">
        <f t="shared" si="850"/>
        <v>7879</v>
      </c>
      <c r="E5909" s="2">
        <f t="shared" si="849"/>
        <v>42461</v>
      </c>
      <c r="F5909" s="2">
        <f t="shared" si="851"/>
        <v>45657</v>
      </c>
    </row>
    <row r="5910" spans="1:6" x14ac:dyDescent="0.25">
      <c r="A5910" s="1" t="s">
        <v>675</v>
      </c>
      <c r="B5910" s="1" t="s">
        <v>674</v>
      </c>
      <c r="C5910" s="1" t="s">
        <v>22</v>
      </c>
      <c r="D5910" s="3">
        <f t="shared" si="850"/>
        <v>7879</v>
      </c>
      <c r="E5910" s="2">
        <f t="shared" si="849"/>
        <v>42461</v>
      </c>
      <c r="F5910" s="2">
        <f t="shared" si="851"/>
        <v>45657</v>
      </c>
    </row>
    <row r="5911" spans="1:6" x14ac:dyDescent="0.25">
      <c r="A5911" s="1" t="s">
        <v>675</v>
      </c>
      <c r="B5911" s="1" t="s">
        <v>674</v>
      </c>
      <c r="C5911" s="1" t="s">
        <v>146</v>
      </c>
      <c r="D5911" s="3">
        <f t="shared" si="850"/>
        <v>7879</v>
      </c>
      <c r="E5911" s="2">
        <f t="shared" si="849"/>
        <v>42461</v>
      </c>
      <c r="F5911" s="2">
        <f t="shared" si="851"/>
        <v>45657</v>
      </c>
    </row>
    <row r="5912" spans="1:6" x14ac:dyDescent="0.25">
      <c r="A5912" s="1" t="s">
        <v>675</v>
      </c>
      <c r="B5912" s="1" t="s">
        <v>674</v>
      </c>
      <c r="C5912" s="1" t="s">
        <v>148</v>
      </c>
      <c r="D5912" s="3">
        <f t="shared" si="850"/>
        <v>7879</v>
      </c>
      <c r="E5912" s="2">
        <f t="shared" si="849"/>
        <v>42461</v>
      </c>
      <c r="F5912" s="2">
        <f t="shared" si="851"/>
        <v>45657</v>
      </c>
    </row>
    <row r="5913" spans="1:6" x14ac:dyDescent="0.25">
      <c r="A5913" s="1" t="s">
        <v>675</v>
      </c>
      <c r="B5913" s="1" t="s">
        <v>674</v>
      </c>
      <c r="C5913" s="1" t="s">
        <v>149</v>
      </c>
      <c r="D5913" s="3">
        <f t="shared" si="850"/>
        <v>7879</v>
      </c>
      <c r="E5913" s="2">
        <f t="shared" ref="E5913:E5943" si="852">DATEVALUE("1-4-2016")</f>
        <v>42461</v>
      </c>
      <c r="F5913" s="2">
        <f t="shared" si="851"/>
        <v>45657</v>
      </c>
    </row>
    <row r="5914" spans="1:6" x14ac:dyDescent="0.25">
      <c r="A5914" s="1" t="s">
        <v>675</v>
      </c>
      <c r="B5914" s="1" t="s">
        <v>674</v>
      </c>
      <c r="C5914" s="1" t="s">
        <v>329</v>
      </c>
      <c r="D5914" s="3">
        <f t="shared" si="850"/>
        <v>7879</v>
      </c>
      <c r="E5914" s="2">
        <f t="shared" si="852"/>
        <v>42461</v>
      </c>
      <c r="F5914" s="2">
        <f t="shared" si="851"/>
        <v>45657</v>
      </c>
    </row>
    <row r="5915" spans="1:6" x14ac:dyDescent="0.25">
      <c r="A5915" s="1" t="s">
        <v>675</v>
      </c>
      <c r="B5915" s="1" t="s">
        <v>674</v>
      </c>
      <c r="C5915" s="1" t="s">
        <v>654</v>
      </c>
      <c r="D5915" s="3">
        <f t="shared" si="850"/>
        <v>7879</v>
      </c>
      <c r="E5915" s="2">
        <f t="shared" si="852"/>
        <v>42461</v>
      </c>
      <c r="F5915" s="2">
        <f t="shared" si="851"/>
        <v>45657</v>
      </c>
    </row>
    <row r="5916" spans="1:6" x14ac:dyDescent="0.25">
      <c r="A5916" s="1" t="s">
        <v>675</v>
      </c>
      <c r="B5916" s="1" t="s">
        <v>674</v>
      </c>
      <c r="C5916" s="1" t="s">
        <v>69</v>
      </c>
      <c r="D5916" s="3">
        <f t="shared" si="850"/>
        <v>7879</v>
      </c>
      <c r="E5916" s="2">
        <f t="shared" si="852"/>
        <v>42461</v>
      </c>
      <c r="F5916" s="2">
        <f t="shared" si="851"/>
        <v>45657</v>
      </c>
    </row>
    <row r="5917" spans="1:6" x14ac:dyDescent="0.25">
      <c r="A5917" s="1" t="s">
        <v>675</v>
      </c>
      <c r="B5917" s="1" t="s">
        <v>674</v>
      </c>
      <c r="C5917" s="1" t="s">
        <v>70</v>
      </c>
      <c r="D5917" s="3">
        <f t="shared" si="850"/>
        <v>7879</v>
      </c>
      <c r="E5917" s="2">
        <f t="shared" si="852"/>
        <v>42461</v>
      </c>
      <c r="F5917" s="2">
        <f t="shared" si="851"/>
        <v>45657</v>
      </c>
    </row>
    <row r="5918" spans="1:6" x14ac:dyDescent="0.25">
      <c r="A5918" s="1" t="s">
        <v>675</v>
      </c>
      <c r="B5918" s="1" t="s">
        <v>674</v>
      </c>
      <c r="C5918" s="1" t="s">
        <v>99</v>
      </c>
      <c r="D5918" s="3">
        <f t="shared" si="850"/>
        <v>7879</v>
      </c>
      <c r="E5918" s="2">
        <f t="shared" si="852"/>
        <v>42461</v>
      </c>
      <c r="F5918" s="2">
        <f t="shared" si="851"/>
        <v>45657</v>
      </c>
    </row>
    <row r="5919" spans="1:6" x14ac:dyDescent="0.25">
      <c r="A5919" s="1" t="s">
        <v>675</v>
      </c>
      <c r="B5919" s="1" t="s">
        <v>674</v>
      </c>
      <c r="C5919" s="1" t="s">
        <v>27</v>
      </c>
      <c r="D5919" s="3">
        <f t="shared" si="850"/>
        <v>7879</v>
      </c>
      <c r="E5919" s="2">
        <f t="shared" si="852"/>
        <v>42461</v>
      </c>
      <c r="F5919" s="2">
        <f t="shared" si="851"/>
        <v>45657</v>
      </c>
    </row>
    <row r="5920" spans="1:6" x14ac:dyDescent="0.25">
      <c r="A5920" s="1" t="s">
        <v>675</v>
      </c>
      <c r="B5920" s="1" t="s">
        <v>674</v>
      </c>
      <c r="C5920" s="1" t="s">
        <v>262</v>
      </c>
      <c r="D5920" s="3">
        <f t="shared" si="850"/>
        <v>7879</v>
      </c>
      <c r="E5920" s="2">
        <f t="shared" si="852"/>
        <v>42461</v>
      </c>
      <c r="F5920" s="2">
        <f t="shared" si="851"/>
        <v>45657</v>
      </c>
    </row>
    <row r="5921" spans="1:6" x14ac:dyDescent="0.25">
      <c r="A5921" s="1" t="s">
        <v>675</v>
      </c>
      <c r="B5921" s="1" t="s">
        <v>674</v>
      </c>
      <c r="C5921" s="1" t="s">
        <v>104</v>
      </c>
      <c r="D5921" s="3">
        <f t="shared" si="850"/>
        <v>7879</v>
      </c>
      <c r="E5921" s="2">
        <f t="shared" si="852"/>
        <v>42461</v>
      </c>
      <c r="F5921" s="2">
        <f t="shared" si="851"/>
        <v>45657</v>
      </c>
    </row>
    <row r="5922" spans="1:6" x14ac:dyDescent="0.25">
      <c r="A5922" s="1" t="s">
        <v>675</v>
      </c>
      <c r="B5922" s="1" t="s">
        <v>674</v>
      </c>
      <c r="C5922" s="1" t="s">
        <v>73</v>
      </c>
      <c r="D5922" s="3">
        <f t="shared" si="850"/>
        <v>7879</v>
      </c>
      <c r="E5922" s="2">
        <f t="shared" si="852"/>
        <v>42461</v>
      </c>
      <c r="F5922" s="2">
        <f t="shared" si="851"/>
        <v>45657</v>
      </c>
    </row>
    <row r="5923" spans="1:6" x14ac:dyDescent="0.25">
      <c r="A5923" s="1" t="s">
        <v>675</v>
      </c>
      <c r="B5923" s="1" t="s">
        <v>674</v>
      </c>
      <c r="C5923" s="1" t="s">
        <v>52</v>
      </c>
      <c r="D5923" s="3">
        <f t="shared" si="850"/>
        <v>7879</v>
      </c>
      <c r="E5923" s="2">
        <f t="shared" si="852"/>
        <v>42461</v>
      </c>
      <c r="F5923" s="2">
        <f t="shared" si="851"/>
        <v>45657</v>
      </c>
    </row>
    <row r="5924" spans="1:6" x14ac:dyDescent="0.25">
      <c r="A5924" s="1" t="s">
        <v>675</v>
      </c>
      <c r="B5924" s="1" t="s">
        <v>674</v>
      </c>
      <c r="C5924" s="1" t="s">
        <v>490</v>
      </c>
      <c r="D5924" s="3">
        <f t="shared" si="850"/>
        <v>7879</v>
      </c>
      <c r="E5924" s="2">
        <f t="shared" si="852"/>
        <v>42461</v>
      </c>
      <c r="F5924" s="2">
        <f t="shared" si="851"/>
        <v>45657</v>
      </c>
    </row>
    <row r="5925" spans="1:6" x14ac:dyDescent="0.25">
      <c r="A5925" s="1" t="s">
        <v>675</v>
      </c>
      <c r="B5925" s="1" t="s">
        <v>674</v>
      </c>
      <c r="C5925" s="1" t="s">
        <v>334</v>
      </c>
      <c r="D5925" s="3">
        <f t="shared" si="850"/>
        <v>7879</v>
      </c>
      <c r="E5925" s="2">
        <f t="shared" si="852"/>
        <v>42461</v>
      </c>
      <c r="F5925" s="2">
        <f t="shared" si="851"/>
        <v>45657</v>
      </c>
    </row>
    <row r="5926" spans="1:6" x14ac:dyDescent="0.25">
      <c r="A5926" s="1" t="s">
        <v>675</v>
      </c>
      <c r="B5926" s="1" t="s">
        <v>674</v>
      </c>
      <c r="C5926" s="1" t="s">
        <v>115</v>
      </c>
      <c r="D5926" s="3">
        <f t="shared" si="850"/>
        <v>7879</v>
      </c>
      <c r="E5926" s="2">
        <f t="shared" si="852"/>
        <v>42461</v>
      </c>
      <c r="F5926" s="2">
        <f t="shared" si="851"/>
        <v>45657</v>
      </c>
    </row>
    <row r="5927" spans="1:6" x14ac:dyDescent="0.25">
      <c r="A5927" s="1" t="s">
        <v>675</v>
      </c>
      <c r="B5927" s="1" t="s">
        <v>674</v>
      </c>
      <c r="C5927" s="1" t="s">
        <v>57</v>
      </c>
      <c r="D5927" s="3">
        <f t="shared" si="850"/>
        <v>7879</v>
      </c>
      <c r="E5927" s="2">
        <f t="shared" si="852"/>
        <v>42461</v>
      </c>
      <c r="F5927" s="2">
        <f t="shared" si="851"/>
        <v>45657</v>
      </c>
    </row>
    <row r="5928" spans="1:6" x14ac:dyDescent="0.25">
      <c r="A5928" s="1" t="s">
        <v>675</v>
      </c>
      <c r="B5928" s="1" t="s">
        <v>674</v>
      </c>
      <c r="C5928" s="1" t="s">
        <v>36</v>
      </c>
      <c r="D5928" s="3">
        <f t="shared" si="850"/>
        <v>7879</v>
      </c>
      <c r="E5928" s="2">
        <f t="shared" si="852"/>
        <v>42461</v>
      </c>
      <c r="F5928" s="2">
        <f t="shared" si="851"/>
        <v>45657</v>
      </c>
    </row>
    <row r="5929" spans="1:6" x14ac:dyDescent="0.25">
      <c r="A5929" s="1" t="s">
        <v>675</v>
      </c>
      <c r="B5929" s="1" t="s">
        <v>674</v>
      </c>
      <c r="C5929" s="1" t="s">
        <v>117</v>
      </c>
      <c r="D5929" s="3">
        <f t="shared" si="850"/>
        <v>7879</v>
      </c>
      <c r="E5929" s="2">
        <f t="shared" si="852"/>
        <v>42461</v>
      </c>
      <c r="F5929" s="2">
        <f t="shared" si="851"/>
        <v>45657</v>
      </c>
    </row>
    <row r="5930" spans="1:6" x14ac:dyDescent="0.25">
      <c r="A5930" s="1" t="s">
        <v>675</v>
      </c>
      <c r="B5930" s="1" t="s">
        <v>2230</v>
      </c>
      <c r="C5930" s="1" t="s">
        <v>7</v>
      </c>
      <c r="D5930" s="3">
        <f t="shared" ref="D5930:D5943" si="853">VALUE("7880")</f>
        <v>7880</v>
      </c>
      <c r="E5930" s="2">
        <f t="shared" si="852"/>
        <v>42461</v>
      </c>
      <c r="F5930" s="2">
        <f t="shared" ref="F5930:F5943" si="854">DATEVALUE("31-12-2016")</f>
        <v>42735</v>
      </c>
    </row>
    <row r="5931" spans="1:6" x14ac:dyDescent="0.25">
      <c r="A5931" s="1" t="s">
        <v>675</v>
      </c>
      <c r="B5931" s="1" t="s">
        <v>2230</v>
      </c>
      <c r="C5931" s="1" t="s">
        <v>80</v>
      </c>
      <c r="D5931" s="3">
        <f t="shared" si="853"/>
        <v>7880</v>
      </c>
      <c r="E5931" s="2">
        <f t="shared" si="852"/>
        <v>42461</v>
      </c>
      <c r="F5931" s="2">
        <f t="shared" si="854"/>
        <v>42735</v>
      </c>
    </row>
    <row r="5932" spans="1:6" x14ac:dyDescent="0.25">
      <c r="A5932" s="1" t="s">
        <v>675</v>
      </c>
      <c r="B5932" s="1" t="s">
        <v>2230</v>
      </c>
      <c r="C5932" s="1" t="s">
        <v>83</v>
      </c>
      <c r="D5932" s="3">
        <f t="shared" si="853"/>
        <v>7880</v>
      </c>
      <c r="E5932" s="2">
        <f t="shared" si="852"/>
        <v>42461</v>
      </c>
      <c r="F5932" s="2">
        <f t="shared" si="854"/>
        <v>42735</v>
      </c>
    </row>
    <row r="5933" spans="1:6" x14ac:dyDescent="0.25">
      <c r="A5933" s="1" t="s">
        <v>675</v>
      </c>
      <c r="B5933" s="1" t="s">
        <v>2230</v>
      </c>
      <c r="C5933" s="1" t="s">
        <v>599</v>
      </c>
      <c r="D5933" s="3">
        <f t="shared" si="853"/>
        <v>7880</v>
      </c>
      <c r="E5933" s="2">
        <f t="shared" si="852"/>
        <v>42461</v>
      </c>
      <c r="F5933" s="2">
        <f t="shared" si="854"/>
        <v>42735</v>
      </c>
    </row>
    <row r="5934" spans="1:6" x14ac:dyDescent="0.25">
      <c r="A5934" s="1" t="s">
        <v>675</v>
      </c>
      <c r="B5934" s="1" t="s">
        <v>2230</v>
      </c>
      <c r="C5934" s="1" t="s">
        <v>17</v>
      </c>
      <c r="D5934" s="3">
        <f t="shared" si="853"/>
        <v>7880</v>
      </c>
      <c r="E5934" s="2">
        <f t="shared" si="852"/>
        <v>42461</v>
      </c>
      <c r="F5934" s="2">
        <f t="shared" si="854"/>
        <v>42735</v>
      </c>
    </row>
    <row r="5935" spans="1:6" x14ac:dyDescent="0.25">
      <c r="A5935" s="1" t="s">
        <v>675</v>
      </c>
      <c r="B5935" s="1" t="s">
        <v>2230</v>
      </c>
      <c r="C5935" s="1" t="s">
        <v>149</v>
      </c>
      <c r="D5935" s="3">
        <f t="shared" si="853"/>
        <v>7880</v>
      </c>
      <c r="E5935" s="2">
        <f t="shared" si="852"/>
        <v>42461</v>
      </c>
      <c r="F5935" s="2">
        <f t="shared" si="854"/>
        <v>42735</v>
      </c>
    </row>
    <row r="5936" spans="1:6" x14ac:dyDescent="0.25">
      <c r="A5936" s="1" t="s">
        <v>675</v>
      </c>
      <c r="B5936" s="1" t="s">
        <v>2230</v>
      </c>
      <c r="C5936" s="1" t="s">
        <v>654</v>
      </c>
      <c r="D5936" s="3">
        <f t="shared" si="853"/>
        <v>7880</v>
      </c>
      <c r="E5936" s="2">
        <f t="shared" si="852"/>
        <v>42461</v>
      </c>
      <c r="F5936" s="2">
        <f t="shared" si="854"/>
        <v>42735</v>
      </c>
    </row>
    <row r="5937" spans="1:6" x14ac:dyDescent="0.25">
      <c r="A5937" s="1" t="s">
        <v>675</v>
      </c>
      <c r="B5937" s="1" t="s">
        <v>2230</v>
      </c>
      <c r="C5937" s="1" t="s">
        <v>97</v>
      </c>
      <c r="D5937" s="3">
        <f t="shared" si="853"/>
        <v>7880</v>
      </c>
      <c r="E5937" s="2">
        <f t="shared" si="852"/>
        <v>42461</v>
      </c>
      <c r="F5937" s="2">
        <f t="shared" si="854"/>
        <v>42735</v>
      </c>
    </row>
    <row r="5938" spans="1:6" x14ac:dyDescent="0.25">
      <c r="A5938" s="1" t="s">
        <v>675</v>
      </c>
      <c r="B5938" s="1" t="s">
        <v>2230</v>
      </c>
      <c r="C5938" s="1" t="s">
        <v>72</v>
      </c>
      <c r="D5938" s="3">
        <f t="shared" si="853"/>
        <v>7880</v>
      </c>
      <c r="E5938" s="2">
        <f t="shared" si="852"/>
        <v>42461</v>
      </c>
      <c r="F5938" s="2">
        <f t="shared" si="854"/>
        <v>42735</v>
      </c>
    </row>
    <row r="5939" spans="1:6" x14ac:dyDescent="0.25">
      <c r="A5939" s="1" t="s">
        <v>675</v>
      </c>
      <c r="B5939" s="1" t="s">
        <v>2230</v>
      </c>
      <c r="C5939" s="1" t="s">
        <v>73</v>
      </c>
      <c r="D5939" s="3">
        <f t="shared" si="853"/>
        <v>7880</v>
      </c>
      <c r="E5939" s="2">
        <f t="shared" si="852"/>
        <v>42461</v>
      </c>
      <c r="F5939" s="2">
        <f t="shared" si="854"/>
        <v>42735</v>
      </c>
    </row>
    <row r="5940" spans="1:6" x14ac:dyDescent="0.25">
      <c r="A5940" s="1" t="s">
        <v>675</v>
      </c>
      <c r="B5940" s="1" t="s">
        <v>2230</v>
      </c>
      <c r="C5940" s="1" t="s">
        <v>52</v>
      </c>
      <c r="D5940" s="3">
        <f t="shared" si="853"/>
        <v>7880</v>
      </c>
      <c r="E5940" s="2">
        <f t="shared" si="852"/>
        <v>42461</v>
      </c>
      <c r="F5940" s="2">
        <f t="shared" si="854"/>
        <v>42735</v>
      </c>
    </row>
    <row r="5941" spans="1:6" x14ac:dyDescent="0.25">
      <c r="A5941" s="1" t="s">
        <v>675</v>
      </c>
      <c r="B5941" s="1" t="s">
        <v>2230</v>
      </c>
      <c r="C5941" s="1" t="s">
        <v>1971</v>
      </c>
      <c r="D5941" s="3">
        <f t="shared" si="853"/>
        <v>7880</v>
      </c>
      <c r="E5941" s="2">
        <f t="shared" si="852"/>
        <v>42461</v>
      </c>
      <c r="F5941" s="2">
        <f t="shared" si="854"/>
        <v>42735</v>
      </c>
    </row>
    <row r="5942" spans="1:6" x14ac:dyDescent="0.25">
      <c r="A5942" s="1" t="s">
        <v>675</v>
      </c>
      <c r="B5942" s="1" t="s">
        <v>2230</v>
      </c>
      <c r="C5942" s="1" t="s">
        <v>116</v>
      </c>
      <c r="D5942" s="3">
        <f t="shared" si="853"/>
        <v>7880</v>
      </c>
      <c r="E5942" s="2">
        <f t="shared" si="852"/>
        <v>42461</v>
      </c>
      <c r="F5942" s="2">
        <f t="shared" si="854"/>
        <v>42735</v>
      </c>
    </row>
    <row r="5943" spans="1:6" x14ac:dyDescent="0.25">
      <c r="A5943" s="1" t="s">
        <v>675</v>
      </c>
      <c r="B5943" s="1" t="s">
        <v>2230</v>
      </c>
      <c r="C5943" s="1" t="s">
        <v>36</v>
      </c>
      <c r="D5943" s="3">
        <f t="shared" si="853"/>
        <v>7880</v>
      </c>
      <c r="E5943" s="2">
        <f t="shared" si="852"/>
        <v>42461</v>
      </c>
      <c r="F5943" s="2">
        <f t="shared" si="854"/>
        <v>42735</v>
      </c>
    </row>
    <row r="5944" spans="1:6" x14ac:dyDescent="0.25">
      <c r="A5944" s="1" t="s">
        <v>1430</v>
      </c>
      <c r="B5944" s="1" t="s">
        <v>1429</v>
      </c>
      <c r="C5944" s="1" t="s">
        <v>14</v>
      </c>
      <c r="D5944" s="3">
        <f t="shared" ref="D5944:D5949" si="855">VALUE("8646")</f>
        <v>8646</v>
      </c>
      <c r="E5944" s="2">
        <f t="shared" ref="E5944:E5949" si="856">DATEVALUE("1-12-2019")</f>
        <v>43800</v>
      </c>
      <c r="F5944" s="2">
        <f t="shared" ref="F5944:F5949" si="857">DATEVALUE("30-11-2020")</f>
        <v>44165</v>
      </c>
    </row>
    <row r="5945" spans="1:6" x14ac:dyDescent="0.25">
      <c r="A5945" s="1" t="s">
        <v>1430</v>
      </c>
      <c r="B5945" s="1" t="s">
        <v>1429</v>
      </c>
      <c r="C5945" s="1" t="s">
        <v>17</v>
      </c>
      <c r="D5945" s="3">
        <f t="shared" si="855"/>
        <v>8646</v>
      </c>
      <c r="E5945" s="2">
        <f t="shared" si="856"/>
        <v>43800</v>
      </c>
      <c r="F5945" s="2">
        <f t="shared" si="857"/>
        <v>44165</v>
      </c>
    </row>
    <row r="5946" spans="1:6" x14ac:dyDescent="0.25">
      <c r="A5946" s="1" t="s">
        <v>1430</v>
      </c>
      <c r="B5946" s="1" t="s">
        <v>1429</v>
      </c>
      <c r="C5946" s="1" t="s">
        <v>417</v>
      </c>
      <c r="D5946" s="3">
        <f t="shared" si="855"/>
        <v>8646</v>
      </c>
      <c r="E5946" s="2">
        <f t="shared" si="856"/>
        <v>43800</v>
      </c>
      <c r="F5946" s="2">
        <f t="shared" si="857"/>
        <v>44165</v>
      </c>
    </row>
    <row r="5947" spans="1:6" x14ac:dyDescent="0.25">
      <c r="A5947" s="1" t="s">
        <v>1430</v>
      </c>
      <c r="B5947" s="1" t="s">
        <v>1429</v>
      </c>
      <c r="C5947" s="1" t="s">
        <v>73</v>
      </c>
      <c r="D5947" s="3">
        <f t="shared" si="855"/>
        <v>8646</v>
      </c>
      <c r="E5947" s="2">
        <f t="shared" si="856"/>
        <v>43800</v>
      </c>
      <c r="F5947" s="2">
        <f t="shared" si="857"/>
        <v>44165</v>
      </c>
    </row>
    <row r="5948" spans="1:6" x14ac:dyDescent="0.25">
      <c r="A5948" s="1" t="s">
        <v>1430</v>
      </c>
      <c r="B5948" s="1" t="s">
        <v>1429</v>
      </c>
      <c r="C5948" s="1" t="s">
        <v>369</v>
      </c>
      <c r="D5948" s="3">
        <f t="shared" si="855"/>
        <v>8646</v>
      </c>
      <c r="E5948" s="2">
        <f t="shared" si="856"/>
        <v>43800</v>
      </c>
      <c r="F5948" s="2">
        <f t="shared" si="857"/>
        <v>44165</v>
      </c>
    </row>
    <row r="5949" spans="1:6" x14ac:dyDescent="0.25">
      <c r="A5949" s="1" t="s">
        <v>1430</v>
      </c>
      <c r="B5949" s="1" t="s">
        <v>1429</v>
      </c>
      <c r="C5949" s="1" t="s">
        <v>34</v>
      </c>
      <c r="D5949" s="3">
        <f t="shared" si="855"/>
        <v>8646</v>
      </c>
      <c r="E5949" s="2">
        <f t="shared" si="856"/>
        <v>43800</v>
      </c>
      <c r="F5949" s="2">
        <f t="shared" si="857"/>
        <v>44165</v>
      </c>
    </row>
    <row r="5950" spans="1:6" x14ac:dyDescent="0.25">
      <c r="A5950" s="1" t="s">
        <v>1140</v>
      </c>
      <c r="B5950" s="1" t="s">
        <v>2461</v>
      </c>
      <c r="C5950" s="1" t="s">
        <v>466</v>
      </c>
      <c r="D5950" s="3">
        <f t="shared" ref="D5950:D5958" si="858">VALUE("8550")</f>
        <v>8550</v>
      </c>
      <c r="E5950" s="2">
        <f t="shared" ref="E5950:E5958" si="859">DATEVALUE("1-8-2019")</f>
        <v>43678</v>
      </c>
      <c r="F5950" s="2">
        <f t="shared" ref="F5950:F5958" si="860">DATEVALUE("29-2-2020")</f>
        <v>43890</v>
      </c>
    </row>
    <row r="5951" spans="1:6" x14ac:dyDescent="0.25">
      <c r="A5951" s="1" t="s">
        <v>1140</v>
      </c>
      <c r="B5951" s="1" t="s">
        <v>2461</v>
      </c>
      <c r="C5951" s="1" t="s">
        <v>467</v>
      </c>
      <c r="D5951" s="3">
        <f t="shared" si="858"/>
        <v>8550</v>
      </c>
      <c r="E5951" s="2">
        <f t="shared" si="859"/>
        <v>43678</v>
      </c>
      <c r="F5951" s="2">
        <f t="shared" si="860"/>
        <v>43890</v>
      </c>
    </row>
    <row r="5952" spans="1:6" x14ac:dyDescent="0.25">
      <c r="A5952" s="1" t="s">
        <v>1140</v>
      </c>
      <c r="B5952" s="1" t="s">
        <v>2461</v>
      </c>
      <c r="C5952" s="1" t="s">
        <v>468</v>
      </c>
      <c r="D5952" s="3">
        <f t="shared" si="858"/>
        <v>8550</v>
      </c>
      <c r="E5952" s="2">
        <f t="shared" si="859"/>
        <v>43678</v>
      </c>
      <c r="F5952" s="2">
        <f t="shared" si="860"/>
        <v>43890</v>
      </c>
    </row>
    <row r="5953" spans="1:6" x14ac:dyDescent="0.25">
      <c r="A5953" s="1" t="s">
        <v>1140</v>
      </c>
      <c r="B5953" s="1" t="s">
        <v>2461</v>
      </c>
      <c r="C5953" s="1" t="s">
        <v>65</v>
      </c>
      <c r="D5953" s="3">
        <f t="shared" si="858"/>
        <v>8550</v>
      </c>
      <c r="E5953" s="2">
        <f t="shared" si="859"/>
        <v>43678</v>
      </c>
      <c r="F5953" s="2">
        <f t="shared" si="860"/>
        <v>43890</v>
      </c>
    </row>
    <row r="5954" spans="1:6" x14ac:dyDescent="0.25">
      <c r="A5954" s="1" t="s">
        <v>1140</v>
      </c>
      <c r="B5954" s="1" t="s">
        <v>2461</v>
      </c>
      <c r="C5954" s="1" t="s">
        <v>384</v>
      </c>
      <c r="D5954" s="3">
        <f t="shared" si="858"/>
        <v>8550</v>
      </c>
      <c r="E5954" s="2">
        <f t="shared" si="859"/>
        <v>43678</v>
      </c>
      <c r="F5954" s="2">
        <f t="shared" si="860"/>
        <v>43890</v>
      </c>
    </row>
    <row r="5955" spans="1:6" x14ac:dyDescent="0.25">
      <c r="A5955" s="1" t="s">
        <v>1140</v>
      </c>
      <c r="B5955" s="1" t="s">
        <v>2461</v>
      </c>
      <c r="C5955" s="1" t="s">
        <v>147</v>
      </c>
      <c r="D5955" s="3">
        <f t="shared" si="858"/>
        <v>8550</v>
      </c>
      <c r="E5955" s="2">
        <f t="shared" si="859"/>
        <v>43678</v>
      </c>
      <c r="F5955" s="2">
        <f t="shared" si="860"/>
        <v>43890</v>
      </c>
    </row>
    <row r="5956" spans="1:6" x14ac:dyDescent="0.25">
      <c r="A5956" s="1" t="s">
        <v>1140</v>
      </c>
      <c r="B5956" s="1" t="s">
        <v>2461</v>
      </c>
      <c r="C5956" s="1" t="s">
        <v>314</v>
      </c>
      <c r="D5956" s="3">
        <f t="shared" si="858"/>
        <v>8550</v>
      </c>
      <c r="E5956" s="2">
        <f t="shared" si="859"/>
        <v>43678</v>
      </c>
      <c r="F5956" s="2">
        <f t="shared" si="860"/>
        <v>43890</v>
      </c>
    </row>
    <row r="5957" spans="1:6" x14ac:dyDescent="0.25">
      <c r="A5957" s="1" t="s">
        <v>1140</v>
      </c>
      <c r="B5957" s="1" t="s">
        <v>2461</v>
      </c>
      <c r="C5957" s="1" t="s">
        <v>315</v>
      </c>
      <c r="D5957" s="3">
        <f t="shared" si="858"/>
        <v>8550</v>
      </c>
      <c r="E5957" s="2">
        <f t="shared" si="859"/>
        <v>43678</v>
      </c>
      <c r="F5957" s="2">
        <f t="shared" si="860"/>
        <v>43890</v>
      </c>
    </row>
    <row r="5958" spans="1:6" x14ac:dyDescent="0.25">
      <c r="A5958" s="1" t="s">
        <v>1140</v>
      </c>
      <c r="B5958" s="1" t="s">
        <v>2461</v>
      </c>
      <c r="C5958" s="1" t="s">
        <v>70</v>
      </c>
      <c r="D5958" s="3">
        <f t="shared" si="858"/>
        <v>8550</v>
      </c>
      <c r="E5958" s="2">
        <f t="shared" si="859"/>
        <v>43678</v>
      </c>
      <c r="F5958" s="2">
        <f t="shared" si="860"/>
        <v>43890</v>
      </c>
    </row>
    <row r="5959" spans="1:6" x14ac:dyDescent="0.25">
      <c r="A5959" s="1" t="s">
        <v>1140</v>
      </c>
      <c r="B5959" s="1" t="s">
        <v>1139</v>
      </c>
      <c r="C5959" s="1" t="s">
        <v>466</v>
      </c>
      <c r="D5959" s="3">
        <f t="shared" ref="D5959:D5974" si="861">VALUE("8420")</f>
        <v>8420</v>
      </c>
      <c r="E5959" s="2">
        <f t="shared" ref="E5959:E5974" si="862">DATEVALUE("1-2-2019")</f>
        <v>43497</v>
      </c>
      <c r="F5959" s="2">
        <f t="shared" ref="F5959:F5974" si="863">DATEVALUE("31-1-2022")</f>
        <v>44592</v>
      </c>
    </row>
    <row r="5960" spans="1:6" x14ac:dyDescent="0.25">
      <c r="A5960" s="1" t="s">
        <v>1140</v>
      </c>
      <c r="B5960" s="1" t="s">
        <v>1139</v>
      </c>
      <c r="C5960" s="1" t="s">
        <v>467</v>
      </c>
      <c r="D5960" s="3">
        <f t="shared" si="861"/>
        <v>8420</v>
      </c>
      <c r="E5960" s="2">
        <f t="shared" si="862"/>
        <v>43497</v>
      </c>
      <c r="F5960" s="2">
        <f t="shared" si="863"/>
        <v>44592</v>
      </c>
    </row>
    <row r="5961" spans="1:6" x14ac:dyDescent="0.25">
      <c r="A5961" s="1" t="s">
        <v>1140</v>
      </c>
      <c r="B5961" s="1" t="s">
        <v>1139</v>
      </c>
      <c r="C5961" s="1" t="s">
        <v>468</v>
      </c>
      <c r="D5961" s="3">
        <f t="shared" si="861"/>
        <v>8420</v>
      </c>
      <c r="E5961" s="2">
        <f t="shared" si="862"/>
        <v>43497</v>
      </c>
      <c r="F5961" s="2">
        <f t="shared" si="863"/>
        <v>44592</v>
      </c>
    </row>
    <row r="5962" spans="1:6" x14ac:dyDescent="0.25">
      <c r="A5962" s="1" t="s">
        <v>1140</v>
      </c>
      <c r="B5962" s="1" t="s">
        <v>1139</v>
      </c>
      <c r="C5962" s="1" t="s">
        <v>469</v>
      </c>
      <c r="D5962" s="3">
        <f t="shared" si="861"/>
        <v>8420</v>
      </c>
      <c r="E5962" s="2">
        <f t="shared" si="862"/>
        <v>43497</v>
      </c>
      <c r="F5962" s="2">
        <f t="shared" si="863"/>
        <v>44592</v>
      </c>
    </row>
    <row r="5963" spans="1:6" x14ac:dyDescent="0.25">
      <c r="A5963" s="1" t="s">
        <v>1140</v>
      </c>
      <c r="B5963" s="1" t="s">
        <v>1139</v>
      </c>
      <c r="C5963" s="1" t="s">
        <v>62</v>
      </c>
      <c r="D5963" s="3">
        <f t="shared" si="861"/>
        <v>8420</v>
      </c>
      <c r="E5963" s="2">
        <f t="shared" si="862"/>
        <v>43497</v>
      </c>
      <c r="F5963" s="2">
        <f t="shared" si="863"/>
        <v>44592</v>
      </c>
    </row>
    <row r="5964" spans="1:6" x14ac:dyDescent="0.25">
      <c r="A5964" s="1" t="s">
        <v>1140</v>
      </c>
      <c r="B5964" s="1" t="s">
        <v>1139</v>
      </c>
      <c r="C5964" s="1" t="s">
        <v>63</v>
      </c>
      <c r="D5964" s="3">
        <f t="shared" si="861"/>
        <v>8420</v>
      </c>
      <c r="E5964" s="2">
        <f t="shared" si="862"/>
        <v>43497</v>
      </c>
      <c r="F5964" s="2">
        <f t="shared" si="863"/>
        <v>44592</v>
      </c>
    </row>
    <row r="5965" spans="1:6" x14ac:dyDescent="0.25">
      <c r="A5965" s="1" t="s">
        <v>1140</v>
      </c>
      <c r="B5965" s="1" t="s">
        <v>1139</v>
      </c>
      <c r="C5965" s="1" t="s">
        <v>414</v>
      </c>
      <c r="D5965" s="3">
        <f t="shared" si="861"/>
        <v>8420</v>
      </c>
      <c r="E5965" s="2">
        <f t="shared" si="862"/>
        <v>43497</v>
      </c>
      <c r="F5965" s="2">
        <f t="shared" si="863"/>
        <v>44592</v>
      </c>
    </row>
    <row r="5966" spans="1:6" x14ac:dyDescent="0.25">
      <c r="A5966" s="1" t="s">
        <v>1140</v>
      </c>
      <c r="B5966" s="1" t="s">
        <v>1139</v>
      </c>
      <c r="C5966" s="1" t="s">
        <v>65</v>
      </c>
      <c r="D5966" s="3">
        <f t="shared" si="861"/>
        <v>8420</v>
      </c>
      <c r="E5966" s="2">
        <f t="shared" si="862"/>
        <v>43497</v>
      </c>
      <c r="F5966" s="2">
        <f t="shared" si="863"/>
        <v>44592</v>
      </c>
    </row>
    <row r="5967" spans="1:6" x14ac:dyDescent="0.25">
      <c r="A5967" s="1" t="s">
        <v>1140</v>
      </c>
      <c r="B5967" s="1" t="s">
        <v>1139</v>
      </c>
      <c r="C5967" s="1" t="s">
        <v>17</v>
      </c>
      <c r="D5967" s="3">
        <f t="shared" si="861"/>
        <v>8420</v>
      </c>
      <c r="E5967" s="2">
        <f t="shared" si="862"/>
        <v>43497</v>
      </c>
      <c r="F5967" s="2">
        <f t="shared" si="863"/>
        <v>44592</v>
      </c>
    </row>
    <row r="5968" spans="1:6" x14ac:dyDescent="0.25">
      <c r="A5968" s="1" t="s">
        <v>1140</v>
      </c>
      <c r="B5968" s="1" t="s">
        <v>1139</v>
      </c>
      <c r="C5968" s="1" t="s">
        <v>22</v>
      </c>
      <c r="D5968" s="3">
        <f t="shared" si="861"/>
        <v>8420</v>
      </c>
      <c r="E5968" s="2">
        <f t="shared" si="862"/>
        <v>43497</v>
      </c>
      <c r="F5968" s="2">
        <f t="shared" si="863"/>
        <v>44592</v>
      </c>
    </row>
    <row r="5969" spans="1:6" x14ac:dyDescent="0.25">
      <c r="A5969" s="1" t="s">
        <v>1140</v>
      </c>
      <c r="B5969" s="1" t="s">
        <v>1139</v>
      </c>
      <c r="C5969" s="1" t="s">
        <v>146</v>
      </c>
      <c r="D5969" s="3">
        <f t="shared" si="861"/>
        <v>8420</v>
      </c>
      <c r="E5969" s="2">
        <f t="shared" si="862"/>
        <v>43497</v>
      </c>
      <c r="F5969" s="2">
        <f t="shared" si="863"/>
        <v>44592</v>
      </c>
    </row>
    <row r="5970" spans="1:6" x14ac:dyDescent="0.25">
      <c r="A5970" s="1" t="s">
        <v>1140</v>
      </c>
      <c r="B5970" s="1" t="s">
        <v>1139</v>
      </c>
      <c r="C5970" s="1" t="s">
        <v>147</v>
      </c>
      <c r="D5970" s="3">
        <f t="shared" si="861"/>
        <v>8420</v>
      </c>
      <c r="E5970" s="2">
        <f t="shared" si="862"/>
        <v>43497</v>
      </c>
      <c r="F5970" s="2">
        <f t="shared" si="863"/>
        <v>44592</v>
      </c>
    </row>
    <row r="5971" spans="1:6" x14ac:dyDescent="0.25">
      <c r="A5971" s="1" t="s">
        <v>1140</v>
      </c>
      <c r="B5971" s="1" t="s">
        <v>1139</v>
      </c>
      <c r="C5971" s="1" t="s">
        <v>314</v>
      </c>
      <c r="D5971" s="3">
        <f t="shared" si="861"/>
        <v>8420</v>
      </c>
      <c r="E5971" s="2">
        <f t="shared" si="862"/>
        <v>43497</v>
      </c>
      <c r="F5971" s="2">
        <f t="shared" si="863"/>
        <v>44592</v>
      </c>
    </row>
    <row r="5972" spans="1:6" x14ac:dyDescent="0.25">
      <c r="A5972" s="1" t="s">
        <v>1140</v>
      </c>
      <c r="B5972" s="1" t="s">
        <v>1139</v>
      </c>
      <c r="C5972" s="1" t="s">
        <v>315</v>
      </c>
      <c r="D5972" s="3">
        <f t="shared" si="861"/>
        <v>8420</v>
      </c>
      <c r="E5972" s="2">
        <f t="shared" si="862"/>
        <v>43497</v>
      </c>
      <c r="F5972" s="2">
        <f t="shared" si="863"/>
        <v>44592</v>
      </c>
    </row>
    <row r="5973" spans="1:6" x14ac:dyDescent="0.25">
      <c r="A5973" s="1" t="s">
        <v>1140</v>
      </c>
      <c r="B5973" s="1" t="s">
        <v>1139</v>
      </c>
      <c r="C5973" s="1" t="s">
        <v>70</v>
      </c>
      <c r="D5973" s="3">
        <f t="shared" si="861"/>
        <v>8420</v>
      </c>
      <c r="E5973" s="2">
        <f t="shared" si="862"/>
        <v>43497</v>
      </c>
      <c r="F5973" s="2">
        <f t="shared" si="863"/>
        <v>44592</v>
      </c>
    </row>
    <row r="5974" spans="1:6" x14ac:dyDescent="0.25">
      <c r="A5974" s="1" t="s">
        <v>1140</v>
      </c>
      <c r="B5974" s="1" t="s">
        <v>1139</v>
      </c>
      <c r="C5974" s="1" t="s">
        <v>1141</v>
      </c>
      <c r="D5974" s="3">
        <f t="shared" si="861"/>
        <v>8420</v>
      </c>
      <c r="E5974" s="2">
        <f t="shared" si="862"/>
        <v>43497</v>
      </c>
      <c r="F5974" s="2">
        <f t="shared" si="863"/>
        <v>44592</v>
      </c>
    </row>
    <row r="5975" spans="1:6" x14ac:dyDescent="0.25">
      <c r="A5975" s="1" t="s">
        <v>1140</v>
      </c>
      <c r="B5975" s="1" t="s">
        <v>2373</v>
      </c>
      <c r="C5975" s="1" t="s">
        <v>65</v>
      </c>
      <c r="D5975" s="3">
        <f t="shared" ref="D5975:D5984" si="864">VALUE("8300")</f>
        <v>8300</v>
      </c>
      <c r="E5975" s="2">
        <f t="shared" ref="E5975:E5984" si="865">DATEVALUE("1-12-2018")</f>
        <v>43435</v>
      </c>
      <c r="F5975" s="2">
        <f t="shared" ref="F5975:F5984" si="866">DATEVALUE("31-5-2019")</f>
        <v>43616</v>
      </c>
    </row>
    <row r="5976" spans="1:6" x14ac:dyDescent="0.25">
      <c r="A5976" s="1" t="s">
        <v>1140</v>
      </c>
      <c r="B5976" s="1" t="s">
        <v>2373</v>
      </c>
      <c r="C5976" s="1" t="s">
        <v>15</v>
      </c>
      <c r="D5976" s="3">
        <f t="shared" si="864"/>
        <v>8300</v>
      </c>
      <c r="E5976" s="2">
        <f t="shared" si="865"/>
        <v>43435</v>
      </c>
      <c r="F5976" s="2">
        <f t="shared" si="866"/>
        <v>43616</v>
      </c>
    </row>
    <row r="5977" spans="1:6" x14ac:dyDescent="0.25">
      <c r="A5977" s="1" t="s">
        <v>1140</v>
      </c>
      <c r="B5977" s="1" t="s">
        <v>2373</v>
      </c>
      <c r="C5977" s="1" t="s">
        <v>88</v>
      </c>
      <c r="D5977" s="3">
        <f t="shared" si="864"/>
        <v>8300</v>
      </c>
      <c r="E5977" s="2">
        <f t="shared" si="865"/>
        <v>43435</v>
      </c>
      <c r="F5977" s="2">
        <f t="shared" si="866"/>
        <v>43616</v>
      </c>
    </row>
    <row r="5978" spans="1:6" x14ac:dyDescent="0.25">
      <c r="A5978" s="1" t="s">
        <v>1140</v>
      </c>
      <c r="B5978" s="1" t="s">
        <v>2373</v>
      </c>
      <c r="C5978" s="1" t="s">
        <v>17</v>
      </c>
      <c r="D5978" s="3">
        <f t="shared" si="864"/>
        <v>8300</v>
      </c>
      <c r="E5978" s="2">
        <f t="shared" si="865"/>
        <v>43435</v>
      </c>
      <c r="F5978" s="2">
        <f t="shared" si="866"/>
        <v>43616</v>
      </c>
    </row>
    <row r="5979" spans="1:6" x14ac:dyDescent="0.25">
      <c r="A5979" s="1" t="s">
        <v>1140</v>
      </c>
      <c r="B5979" s="1" t="s">
        <v>2373</v>
      </c>
      <c r="C5979" s="1" t="s">
        <v>22</v>
      </c>
      <c r="D5979" s="3">
        <f t="shared" si="864"/>
        <v>8300</v>
      </c>
      <c r="E5979" s="2">
        <f t="shared" si="865"/>
        <v>43435</v>
      </c>
      <c r="F5979" s="2">
        <f t="shared" si="866"/>
        <v>43616</v>
      </c>
    </row>
    <row r="5980" spans="1:6" x14ac:dyDescent="0.25">
      <c r="A5980" s="1" t="s">
        <v>1140</v>
      </c>
      <c r="B5980" s="1" t="s">
        <v>2373</v>
      </c>
      <c r="C5980" s="1" t="s">
        <v>146</v>
      </c>
      <c r="D5980" s="3">
        <f t="shared" si="864"/>
        <v>8300</v>
      </c>
      <c r="E5980" s="2">
        <f t="shared" si="865"/>
        <v>43435</v>
      </c>
      <c r="F5980" s="2">
        <f t="shared" si="866"/>
        <v>43616</v>
      </c>
    </row>
    <row r="5981" spans="1:6" x14ac:dyDescent="0.25">
      <c r="A5981" s="1" t="s">
        <v>1140</v>
      </c>
      <c r="B5981" s="1" t="s">
        <v>2373</v>
      </c>
      <c r="C5981" s="1" t="s">
        <v>67</v>
      </c>
      <c r="D5981" s="3">
        <f t="shared" si="864"/>
        <v>8300</v>
      </c>
      <c r="E5981" s="2">
        <f t="shared" si="865"/>
        <v>43435</v>
      </c>
      <c r="F5981" s="2">
        <f t="shared" si="866"/>
        <v>43616</v>
      </c>
    </row>
    <row r="5982" spans="1:6" x14ac:dyDescent="0.25">
      <c r="A5982" s="1" t="s">
        <v>1140</v>
      </c>
      <c r="B5982" s="1" t="s">
        <v>2373</v>
      </c>
      <c r="C5982" s="1" t="s">
        <v>92</v>
      </c>
      <c r="D5982" s="3">
        <f t="shared" si="864"/>
        <v>8300</v>
      </c>
      <c r="E5982" s="2">
        <f t="shared" si="865"/>
        <v>43435</v>
      </c>
      <c r="F5982" s="2">
        <f t="shared" si="866"/>
        <v>43616</v>
      </c>
    </row>
    <row r="5983" spans="1:6" x14ac:dyDescent="0.25">
      <c r="A5983" s="1" t="s">
        <v>1140</v>
      </c>
      <c r="B5983" s="1" t="s">
        <v>2373</v>
      </c>
      <c r="C5983" s="1" t="s">
        <v>70</v>
      </c>
      <c r="D5983" s="3">
        <f t="shared" si="864"/>
        <v>8300</v>
      </c>
      <c r="E5983" s="2">
        <f t="shared" si="865"/>
        <v>43435</v>
      </c>
      <c r="F5983" s="2">
        <f t="shared" si="866"/>
        <v>43616</v>
      </c>
    </row>
    <row r="5984" spans="1:6" x14ac:dyDescent="0.25">
      <c r="A5984" s="1" t="s">
        <v>1140</v>
      </c>
      <c r="B5984" s="1" t="s">
        <v>2373</v>
      </c>
      <c r="C5984" s="1" t="s">
        <v>423</v>
      </c>
      <c r="D5984" s="3">
        <f t="shared" si="864"/>
        <v>8300</v>
      </c>
      <c r="E5984" s="2">
        <f t="shared" si="865"/>
        <v>43435</v>
      </c>
      <c r="F5984" s="2">
        <f t="shared" si="866"/>
        <v>43616</v>
      </c>
    </row>
    <row r="5985" spans="1:6" x14ac:dyDescent="0.25">
      <c r="A5985" s="1" t="s">
        <v>1140</v>
      </c>
      <c r="B5985" s="1" t="s">
        <v>2358</v>
      </c>
      <c r="C5985" s="1" t="s">
        <v>65</v>
      </c>
      <c r="D5985" s="3">
        <f t="shared" ref="D5985:D5994" si="867">VALUE("8234")</f>
        <v>8234</v>
      </c>
      <c r="E5985" s="2">
        <f t="shared" ref="E5985:E5994" si="868">DATEVALUE("1-2-2018")</f>
        <v>43132</v>
      </c>
      <c r="F5985" s="2">
        <f t="shared" ref="F5985:F6008" si="869">DATEVALUE("30-6-2018")</f>
        <v>43281</v>
      </c>
    </row>
    <row r="5986" spans="1:6" x14ac:dyDescent="0.25">
      <c r="A5986" s="1" t="s">
        <v>1140</v>
      </c>
      <c r="B5986" s="1" t="s">
        <v>2358</v>
      </c>
      <c r="C5986" s="1" t="s">
        <v>14</v>
      </c>
      <c r="D5986" s="3">
        <f t="shared" si="867"/>
        <v>8234</v>
      </c>
      <c r="E5986" s="2">
        <f t="shared" si="868"/>
        <v>43132</v>
      </c>
      <c r="F5986" s="2">
        <f t="shared" si="869"/>
        <v>43281</v>
      </c>
    </row>
    <row r="5987" spans="1:6" x14ac:dyDescent="0.25">
      <c r="A5987" s="1" t="s">
        <v>1140</v>
      </c>
      <c r="B5987" s="1" t="s">
        <v>2358</v>
      </c>
      <c r="C5987" s="1" t="s">
        <v>89</v>
      </c>
      <c r="D5987" s="3">
        <f t="shared" si="867"/>
        <v>8234</v>
      </c>
      <c r="E5987" s="2">
        <f t="shared" si="868"/>
        <v>43132</v>
      </c>
      <c r="F5987" s="2">
        <f t="shared" si="869"/>
        <v>43281</v>
      </c>
    </row>
    <row r="5988" spans="1:6" x14ac:dyDescent="0.25">
      <c r="A5988" s="1" t="s">
        <v>1140</v>
      </c>
      <c r="B5988" s="1" t="s">
        <v>2358</v>
      </c>
      <c r="C5988" s="1" t="s">
        <v>17</v>
      </c>
      <c r="D5988" s="3">
        <f t="shared" si="867"/>
        <v>8234</v>
      </c>
      <c r="E5988" s="2">
        <f t="shared" si="868"/>
        <v>43132</v>
      </c>
      <c r="F5988" s="2">
        <f t="shared" si="869"/>
        <v>43281</v>
      </c>
    </row>
    <row r="5989" spans="1:6" x14ac:dyDescent="0.25">
      <c r="A5989" s="1" t="s">
        <v>1140</v>
      </c>
      <c r="B5989" s="1" t="s">
        <v>2358</v>
      </c>
      <c r="C5989" s="1" t="s">
        <v>22</v>
      </c>
      <c r="D5989" s="3">
        <f t="shared" si="867"/>
        <v>8234</v>
      </c>
      <c r="E5989" s="2">
        <f t="shared" si="868"/>
        <v>43132</v>
      </c>
      <c r="F5989" s="2">
        <f t="shared" si="869"/>
        <v>43281</v>
      </c>
    </row>
    <row r="5990" spans="1:6" x14ac:dyDescent="0.25">
      <c r="A5990" s="1" t="s">
        <v>1140</v>
      </c>
      <c r="B5990" s="1" t="s">
        <v>2358</v>
      </c>
      <c r="C5990" s="1" t="s">
        <v>384</v>
      </c>
      <c r="D5990" s="3">
        <f t="shared" si="867"/>
        <v>8234</v>
      </c>
      <c r="E5990" s="2">
        <f t="shared" si="868"/>
        <v>43132</v>
      </c>
      <c r="F5990" s="2">
        <f t="shared" si="869"/>
        <v>43281</v>
      </c>
    </row>
    <row r="5991" spans="1:6" x14ac:dyDescent="0.25">
      <c r="A5991" s="1" t="s">
        <v>1140</v>
      </c>
      <c r="B5991" s="1" t="s">
        <v>2358</v>
      </c>
      <c r="C5991" s="1" t="s">
        <v>147</v>
      </c>
      <c r="D5991" s="3">
        <f t="shared" si="867"/>
        <v>8234</v>
      </c>
      <c r="E5991" s="2">
        <f t="shared" si="868"/>
        <v>43132</v>
      </c>
      <c r="F5991" s="2">
        <f t="shared" si="869"/>
        <v>43281</v>
      </c>
    </row>
    <row r="5992" spans="1:6" x14ac:dyDescent="0.25">
      <c r="A5992" s="1" t="s">
        <v>1140</v>
      </c>
      <c r="B5992" s="1" t="s">
        <v>2358</v>
      </c>
      <c r="C5992" s="1" t="s">
        <v>92</v>
      </c>
      <c r="D5992" s="3">
        <f t="shared" si="867"/>
        <v>8234</v>
      </c>
      <c r="E5992" s="2">
        <f t="shared" si="868"/>
        <v>43132</v>
      </c>
      <c r="F5992" s="2">
        <f t="shared" si="869"/>
        <v>43281</v>
      </c>
    </row>
    <row r="5993" spans="1:6" x14ac:dyDescent="0.25">
      <c r="A5993" s="1" t="s">
        <v>1140</v>
      </c>
      <c r="B5993" s="1" t="s">
        <v>2358</v>
      </c>
      <c r="C5993" s="1" t="s">
        <v>70</v>
      </c>
      <c r="D5993" s="3">
        <f t="shared" si="867"/>
        <v>8234</v>
      </c>
      <c r="E5993" s="2">
        <f t="shared" si="868"/>
        <v>43132</v>
      </c>
      <c r="F5993" s="2">
        <f t="shared" si="869"/>
        <v>43281</v>
      </c>
    </row>
    <row r="5994" spans="1:6" x14ac:dyDescent="0.25">
      <c r="A5994" s="1" t="s">
        <v>1140</v>
      </c>
      <c r="B5994" s="1" t="s">
        <v>2358</v>
      </c>
      <c r="C5994" s="1" t="s">
        <v>306</v>
      </c>
      <c r="D5994" s="3">
        <f t="shared" si="867"/>
        <v>8234</v>
      </c>
      <c r="E5994" s="2">
        <f t="shared" si="868"/>
        <v>43132</v>
      </c>
      <c r="F5994" s="2">
        <f t="shared" si="869"/>
        <v>43281</v>
      </c>
    </row>
    <row r="5995" spans="1:6" x14ac:dyDescent="0.25">
      <c r="A5995" s="1" t="s">
        <v>1140</v>
      </c>
      <c r="B5995" s="1" t="s">
        <v>2356</v>
      </c>
      <c r="C5995" s="1" t="s">
        <v>2275</v>
      </c>
      <c r="D5995" s="3">
        <f t="shared" ref="D5995:D6008" si="870">VALUE("8230")</f>
        <v>8230</v>
      </c>
      <c r="E5995" s="2">
        <f t="shared" ref="E5995:E6008" si="871">DATEVALUE("1-1-2018")</f>
        <v>43101</v>
      </c>
      <c r="F5995" s="2">
        <f t="shared" si="869"/>
        <v>43281</v>
      </c>
    </row>
    <row r="5996" spans="1:6" x14ac:dyDescent="0.25">
      <c r="A5996" s="1" t="s">
        <v>1140</v>
      </c>
      <c r="B5996" s="1" t="s">
        <v>2356</v>
      </c>
      <c r="C5996" s="1" t="s">
        <v>2276</v>
      </c>
      <c r="D5996" s="3">
        <f t="shared" si="870"/>
        <v>8230</v>
      </c>
      <c r="E5996" s="2">
        <f t="shared" si="871"/>
        <v>43101</v>
      </c>
      <c r="F5996" s="2">
        <f t="shared" si="869"/>
        <v>43281</v>
      </c>
    </row>
    <row r="5997" spans="1:6" x14ac:dyDescent="0.25">
      <c r="A5997" s="1" t="s">
        <v>1140</v>
      </c>
      <c r="B5997" s="1" t="s">
        <v>2356</v>
      </c>
      <c r="C5997" s="1" t="s">
        <v>2277</v>
      </c>
      <c r="D5997" s="3">
        <f t="shared" si="870"/>
        <v>8230</v>
      </c>
      <c r="E5997" s="2">
        <f t="shared" si="871"/>
        <v>43101</v>
      </c>
      <c r="F5997" s="2">
        <f t="shared" si="869"/>
        <v>43281</v>
      </c>
    </row>
    <row r="5998" spans="1:6" x14ac:dyDescent="0.25">
      <c r="A5998" s="1" t="s">
        <v>1140</v>
      </c>
      <c r="B5998" s="1" t="s">
        <v>2356</v>
      </c>
      <c r="C5998" s="1" t="s">
        <v>63</v>
      </c>
      <c r="D5998" s="3">
        <f t="shared" si="870"/>
        <v>8230</v>
      </c>
      <c r="E5998" s="2">
        <f t="shared" si="871"/>
        <v>43101</v>
      </c>
      <c r="F5998" s="2">
        <f t="shared" si="869"/>
        <v>43281</v>
      </c>
    </row>
    <row r="5999" spans="1:6" x14ac:dyDescent="0.25">
      <c r="A5999" s="1" t="s">
        <v>1140</v>
      </c>
      <c r="B5999" s="1" t="s">
        <v>2356</v>
      </c>
      <c r="C5999" s="1" t="s">
        <v>414</v>
      </c>
      <c r="D5999" s="3">
        <f t="shared" si="870"/>
        <v>8230</v>
      </c>
      <c r="E5999" s="2">
        <f t="shared" si="871"/>
        <v>43101</v>
      </c>
      <c r="F5999" s="2">
        <f t="shared" si="869"/>
        <v>43281</v>
      </c>
    </row>
    <row r="6000" spans="1:6" x14ac:dyDescent="0.25">
      <c r="A6000" s="1" t="s">
        <v>1140</v>
      </c>
      <c r="B6000" s="1" t="s">
        <v>2356</v>
      </c>
      <c r="C6000" s="1" t="s">
        <v>65</v>
      </c>
      <c r="D6000" s="3">
        <f t="shared" si="870"/>
        <v>8230</v>
      </c>
      <c r="E6000" s="2">
        <f t="shared" si="871"/>
        <v>43101</v>
      </c>
      <c r="F6000" s="2">
        <f t="shared" si="869"/>
        <v>43281</v>
      </c>
    </row>
    <row r="6001" spans="1:6" x14ac:dyDescent="0.25">
      <c r="A6001" s="1" t="s">
        <v>1140</v>
      </c>
      <c r="B6001" s="1" t="s">
        <v>2356</v>
      </c>
      <c r="C6001" s="1" t="s">
        <v>14</v>
      </c>
      <c r="D6001" s="3">
        <f t="shared" si="870"/>
        <v>8230</v>
      </c>
      <c r="E6001" s="2">
        <f t="shared" si="871"/>
        <v>43101</v>
      </c>
      <c r="F6001" s="2">
        <f t="shared" si="869"/>
        <v>43281</v>
      </c>
    </row>
    <row r="6002" spans="1:6" x14ac:dyDescent="0.25">
      <c r="A6002" s="1" t="s">
        <v>1140</v>
      </c>
      <c r="B6002" s="1" t="s">
        <v>2356</v>
      </c>
      <c r="C6002" s="1" t="s">
        <v>17</v>
      </c>
      <c r="D6002" s="3">
        <f t="shared" si="870"/>
        <v>8230</v>
      </c>
      <c r="E6002" s="2">
        <f t="shared" si="871"/>
        <v>43101</v>
      </c>
      <c r="F6002" s="2">
        <f t="shared" si="869"/>
        <v>43281</v>
      </c>
    </row>
    <row r="6003" spans="1:6" x14ac:dyDescent="0.25">
      <c r="A6003" s="1" t="s">
        <v>1140</v>
      </c>
      <c r="B6003" s="1" t="s">
        <v>2356</v>
      </c>
      <c r="C6003" s="1" t="s">
        <v>384</v>
      </c>
      <c r="D6003" s="3">
        <f t="shared" si="870"/>
        <v>8230</v>
      </c>
      <c r="E6003" s="2">
        <f t="shared" si="871"/>
        <v>43101</v>
      </c>
      <c r="F6003" s="2">
        <f t="shared" si="869"/>
        <v>43281</v>
      </c>
    </row>
    <row r="6004" spans="1:6" x14ac:dyDescent="0.25">
      <c r="A6004" s="1" t="s">
        <v>1140</v>
      </c>
      <c r="B6004" s="1" t="s">
        <v>2356</v>
      </c>
      <c r="C6004" s="1" t="s">
        <v>147</v>
      </c>
      <c r="D6004" s="3">
        <f t="shared" si="870"/>
        <v>8230</v>
      </c>
      <c r="E6004" s="2">
        <f t="shared" si="871"/>
        <v>43101</v>
      </c>
      <c r="F6004" s="2">
        <f t="shared" si="869"/>
        <v>43281</v>
      </c>
    </row>
    <row r="6005" spans="1:6" x14ac:dyDescent="0.25">
      <c r="A6005" s="1" t="s">
        <v>1140</v>
      </c>
      <c r="B6005" s="1" t="s">
        <v>2356</v>
      </c>
      <c r="C6005" s="1" t="s">
        <v>24</v>
      </c>
      <c r="D6005" s="3">
        <f t="shared" si="870"/>
        <v>8230</v>
      </c>
      <c r="E6005" s="2">
        <f t="shared" si="871"/>
        <v>43101</v>
      </c>
      <c r="F6005" s="2">
        <f t="shared" si="869"/>
        <v>43281</v>
      </c>
    </row>
    <row r="6006" spans="1:6" x14ac:dyDescent="0.25">
      <c r="A6006" s="1" t="s">
        <v>1140</v>
      </c>
      <c r="B6006" s="1" t="s">
        <v>2356</v>
      </c>
      <c r="C6006" s="1" t="s">
        <v>70</v>
      </c>
      <c r="D6006" s="3">
        <f t="shared" si="870"/>
        <v>8230</v>
      </c>
      <c r="E6006" s="2">
        <f t="shared" si="871"/>
        <v>43101</v>
      </c>
      <c r="F6006" s="2">
        <f t="shared" si="869"/>
        <v>43281</v>
      </c>
    </row>
    <row r="6007" spans="1:6" x14ac:dyDescent="0.25">
      <c r="A6007" s="1" t="s">
        <v>1140</v>
      </c>
      <c r="B6007" s="1" t="s">
        <v>2356</v>
      </c>
      <c r="C6007" s="1" t="s">
        <v>34</v>
      </c>
      <c r="D6007" s="3">
        <f t="shared" si="870"/>
        <v>8230</v>
      </c>
      <c r="E6007" s="2">
        <f t="shared" si="871"/>
        <v>43101</v>
      </c>
      <c r="F6007" s="2">
        <f t="shared" si="869"/>
        <v>43281</v>
      </c>
    </row>
    <row r="6008" spans="1:6" x14ac:dyDescent="0.25">
      <c r="A6008" s="1" t="s">
        <v>1140</v>
      </c>
      <c r="B6008" s="1" t="s">
        <v>2356</v>
      </c>
      <c r="C6008" s="1" t="s">
        <v>306</v>
      </c>
      <c r="D6008" s="3">
        <f t="shared" si="870"/>
        <v>8230</v>
      </c>
      <c r="E6008" s="2">
        <f t="shared" si="871"/>
        <v>43101</v>
      </c>
      <c r="F6008" s="2">
        <f t="shared" si="869"/>
        <v>43281</v>
      </c>
    </row>
    <row r="6009" spans="1:6" x14ac:dyDescent="0.25">
      <c r="A6009" s="1" t="s">
        <v>1140</v>
      </c>
      <c r="B6009" s="1" t="s">
        <v>2308</v>
      </c>
      <c r="C6009" s="1" t="s">
        <v>486</v>
      </c>
      <c r="D6009" s="3">
        <f t="shared" ref="D6009:D6017" si="872">VALUE("8131")</f>
        <v>8131</v>
      </c>
      <c r="E6009" s="2">
        <f t="shared" ref="E6009:E6017" si="873">DATEVALUE("1-8-2017")</f>
        <v>42948</v>
      </c>
      <c r="F6009" s="2">
        <f t="shared" ref="F6009:F6017" si="874">DATEVALUE("30-9-2018")</f>
        <v>43373</v>
      </c>
    </row>
    <row r="6010" spans="1:6" x14ac:dyDescent="0.25">
      <c r="A6010" s="1" t="s">
        <v>1140</v>
      </c>
      <c r="B6010" s="1" t="s">
        <v>2308</v>
      </c>
      <c r="C6010" s="1" t="s">
        <v>414</v>
      </c>
      <c r="D6010" s="3">
        <f t="shared" si="872"/>
        <v>8131</v>
      </c>
      <c r="E6010" s="2">
        <f t="shared" si="873"/>
        <v>42948</v>
      </c>
      <c r="F6010" s="2">
        <f t="shared" si="874"/>
        <v>43373</v>
      </c>
    </row>
    <row r="6011" spans="1:6" x14ac:dyDescent="0.25">
      <c r="A6011" s="1" t="s">
        <v>1140</v>
      </c>
      <c r="B6011" s="1" t="s">
        <v>2308</v>
      </c>
      <c r="C6011" s="1" t="s">
        <v>65</v>
      </c>
      <c r="D6011" s="3">
        <f t="shared" si="872"/>
        <v>8131</v>
      </c>
      <c r="E6011" s="2">
        <f t="shared" si="873"/>
        <v>42948</v>
      </c>
      <c r="F6011" s="2">
        <f t="shared" si="874"/>
        <v>43373</v>
      </c>
    </row>
    <row r="6012" spans="1:6" x14ac:dyDescent="0.25">
      <c r="A6012" s="1" t="s">
        <v>1140</v>
      </c>
      <c r="B6012" s="1" t="s">
        <v>2308</v>
      </c>
      <c r="C6012" s="1" t="s">
        <v>17</v>
      </c>
      <c r="D6012" s="3">
        <f t="shared" si="872"/>
        <v>8131</v>
      </c>
      <c r="E6012" s="2">
        <f t="shared" si="873"/>
        <v>42948</v>
      </c>
      <c r="F6012" s="2">
        <f t="shared" si="874"/>
        <v>43373</v>
      </c>
    </row>
    <row r="6013" spans="1:6" x14ac:dyDescent="0.25">
      <c r="A6013" s="1" t="s">
        <v>1140</v>
      </c>
      <c r="B6013" s="1" t="s">
        <v>2308</v>
      </c>
      <c r="C6013" s="1" t="s">
        <v>146</v>
      </c>
      <c r="D6013" s="3">
        <f t="shared" si="872"/>
        <v>8131</v>
      </c>
      <c r="E6013" s="2">
        <f t="shared" si="873"/>
        <v>42948</v>
      </c>
      <c r="F6013" s="2">
        <f t="shared" si="874"/>
        <v>43373</v>
      </c>
    </row>
    <row r="6014" spans="1:6" x14ac:dyDescent="0.25">
      <c r="A6014" s="1" t="s">
        <v>1140</v>
      </c>
      <c r="B6014" s="1" t="s">
        <v>2308</v>
      </c>
      <c r="C6014" s="1" t="s">
        <v>147</v>
      </c>
      <c r="D6014" s="3">
        <f t="shared" si="872"/>
        <v>8131</v>
      </c>
      <c r="E6014" s="2">
        <f t="shared" si="873"/>
        <v>42948</v>
      </c>
      <c r="F6014" s="2">
        <f t="shared" si="874"/>
        <v>43373</v>
      </c>
    </row>
    <row r="6015" spans="1:6" x14ac:dyDescent="0.25">
      <c r="A6015" s="1" t="s">
        <v>1140</v>
      </c>
      <c r="B6015" s="1" t="s">
        <v>2308</v>
      </c>
      <c r="C6015" s="1" t="s">
        <v>148</v>
      </c>
      <c r="D6015" s="3">
        <f t="shared" si="872"/>
        <v>8131</v>
      </c>
      <c r="E6015" s="2">
        <f t="shared" si="873"/>
        <v>42948</v>
      </c>
      <c r="F6015" s="2">
        <f t="shared" si="874"/>
        <v>43373</v>
      </c>
    </row>
    <row r="6016" spans="1:6" x14ac:dyDescent="0.25">
      <c r="A6016" s="1" t="s">
        <v>1140</v>
      </c>
      <c r="B6016" s="1" t="s">
        <v>2308</v>
      </c>
      <c r="C6016" s="1" t="s">
        <v>70</v>
      </c>
      <c r="D6016" s="3">
        <f t="shared" si="872"/>
        <v>8131</v>
      </c>
      <c r="E6016" s="2">
        <f t="shared" si="873"/>
        <v>42948</v>
      </c>
      <c r="F6016" s="2">
        <f t="shared" si="874"/>
        <v>43373</v>
      </c>
    </row>
    <row r="6017" spans="1:6" x14ac:dyDescent="0.25">
      <c r="A6017" s="1" t="s">
        <v>1140</v>
      </c>
      <c r="B6017" s="1" t="s">
        <v>2308</v>
      </c>
      <c r="C6017" s="1" t="s">
        <v>306</v>
      </c>
      <c r="D6017" s="3">
        <f t="shared" si="872"/>
        <v>8131</v>
      </c>
      <c r="E6017" s="2">
        <f t="shared" si="873"/>
        <v>42948</v>
      </c>
      <c r="F6017" s="2">
        <f t="shared" si="874"/>
        <v>43373</v>
      </c>
    </row>
    <row r="6018" spans="1:6" x14ac:dyDescent="0.25">
      <c r="A6018" s="1" t="s">
        <v>1140</v>
      </c>
      <c r="B6018" s="1" t="s">
        <v>2273</v>
      </c>
      <c r="C6018" s="1" t="s">
        <v>2278</v>
      </c>
      <c r="D6018" s="3">
        <f t="shared" ref="D6018:D6027" si="875">VALUE("8046")</f>
        <v>8046</v>
      </c>
      <c r="E6018" s="2">
        <f t="shared" ref="E6018:E6027" si="876">DATEVALUE("1-6-2017")</f>
        <v>42887</v>
      </c>
      <c r="F6018" s="2">
        <f t="shared" ref="F6018:F6027" si="877">DATEVALUE("31-1-2019")</f>
        <v>43496</v>
      </c>
    </row>
    <row r="6019" spans="1:6" x14ac:dyDescent="0.25">
      <c r="A6019" s="1" t="s">
        <v>1140</v>
      </c>
      <c r="B6019" s="1" t="s">
        <v>2273</v>
      </c>
      <c r="C6019" s="1" t="s">
        <v>2274</v>
      </c>
      <c r="D6019" s="3">
        <f t="shared" si="875"/>
        <v>8046</v>
      </c>
      <c r="E6019" s="2">
        <f t="shared" si="876"/>
        <v>42887</v>
      </c>
      <c r="F6019" s="2">
        <f t="shared" si="877"/>
        <v>43496</v>
      </c>
    </row>
    <row r="6020" spans="1:6" x14ac:dyDescent="0.25">
      <c r="A6020" s="1" t="s">
        <v>1140</v>
      </c>
      <c r="B6020" s="1" t="s">
        <v>2273</v>
      </c>
      <c r="C6020" s="1" t="s">
        <v>139</v>
      </c>
      <c r="D6020" s="3">
        <f t="shared" si="875"/>
        <v>8046</v>
      </c>
      <c r="E6020" s="2">
        <f t="shared" si="876"/>
        <v>42887</v>
      </c>
      <c r="F6020" s="2">
        <f t="shared" si="877"/>
        <v>43496</v>
      </c>
    </row>
    <row r="6021" spans="1:6" x14ac:dyDescent="0.25">
      <c r="A6021" s="1" t="s">
        <v>1140</v>
      </c>
      <c r="B6021" s="1" t="s">
        <v>2273</v>
      </c>
      <c r="C6021" s="1" t="s">
        <v>466</v>
      </c>
      <c r="D6021" s="3">
        <f t="shared" si="875"/>
        <v>8046</v>
      </c>
      <c r="E6021" s="2">
        <f t="shared" si="876"/>
        <v>42887</v>
      </c>
      <c r="F6021" s="2">
        <f t="shared" si="877"/>
        <v>43496</v>
      </c>
    </row>
    <row r="6022" spans="1:6" x14ac:dyDescent="0.25">
      <c r="A6022" s="1" t="s">
        <v>1140</v>
      </c>
      <c r="B6022" s="1" t="s">
        <v>2273</v>
      </c>
      <c r="C6022" s="1" t="s">
        <v>467</v>
      </c>
      <c r="D6022" s="3">
        <f t="shared" si="875"/>
        <v>8046</v>
      </c>
      <c r="E6022" s="2">
        <f t="shared" si="876"/>
        <v>42887</v>
      </c>
      <c r="F6022" s="2">
        <f t="shared" si="877"/>
        <v>43496</v>
      </c>
    </row>
    <row r="6023" spans="1:6" x14ac:dyDescent="0.25">
      <c r="A6023" s="1" t="s">
        <v>1140</v>
      </c>
      <c r="B6023" s="1" t="s">
        <v>2273</v>
      </c>
      <c r="C6023" s="1" t="s">
        <v>2275</v>
      </c>
      <c r="D6023" s="3">
        <f t="shared" si="875"/>
        <v>8046</v>
      </c>
      <c r="E6023" s="2">
        <f t="shared" si="876"/>
        <v>42887</v>
      </c>
      <c r="F6023" s="2">
        <f t="shared" si="877"/>
        <v>43496</v>
      </c>
    </row>
    <row r="6024" spans="1:6" x14ac:dyDescent="0.25">
      <c r="A6024" s="1" t="s">
        <v>1140</v>
      </c>
      <c r="B6024" s="1" t="s">
        <v>2273</v>
      </c>
      <c r="C6024" s="1" t="s">
        <v>468</v>
      </c>
      <c r="D6024" s="3">
        <f t="shared" si="875"/>
        <v>8046</v>
      </c>
      <c r="E6024" s="2">
        <f t="shared" si="876"/>
        <v>42887</v>
      </c>
      <c r="F6024" s="2">
        <f t="shared" si="877"/>
        <v>43496</v>
      </c>
    </row>
    <row r="6025" spans="1:6" x14ac:dyDescent="0.25">
      <c r="A6025" s="1" t="s">
        <v>1140</v>
      </c>
      <c r="B6025" s="1" t="s">
        <v>2273</v>
      </c>
      <c r="C6025" s="1" t="s">
        <v>2276</v>
      </c>
      <c r="D6025" s="3">
        <f t="shared" si="875"/>
        <v>8046</v>
      </c>
      <c r="E6025" s="2">
        <f t="shared" si="876"/>
        <v>42887</v>
      </c>
      <c r="F6025" s="2">
        <f t="shared" si="877"/>
        <v>43496</v>
      </c>
    </row>
    <row r="6026" spans="1:6" x14ac:dyDescent="0.25">
      <c r="A6026" s="1" t="s">
        <v>1140</v>
      </c>
      <c r="B6026" s="1" t="s">
        <v>2273</v>
      </c>
      <c r="C6026" s="1" t="s">
        <v>2277</v>
      </c>
      <c r="D6026" s="3">
        <f t="shared" si="875"/>
        <v>8046</v>
      </c>
      <c r="E6026" s="2">
        <f t="shared" si="876"/>
        <v>42887</v>
      </c>
      <c r="F6026" s="2">
        <f t="shared" si="877"/>
        <v>43496</v>
      </c>
    </row>
    <row r="6027" spans="1:6" x14ac:dyDescent="0.25">
      <c r="A6027" s="1" t="s">
        <v>1140</v>
      </c>
      <c r="B6027" s="1" t="s">
        <v>2273</v>
      </c>
      <c r="C6027" s="1" t="s">
        <v>147</v>
      </c>
      <c r="D6027" s="3">
        <f t="shared" si="875"/>
        <v>8046</v>
      </c>
      <c r="E6027" s="2">
        <f t="shared" si="876"/>
        <v>42887</v>
      </c>
      <c r="F6027" s="2">
        <f t="shared" si="877"/>
        <v>43496</v>
      </c>
    </row>
    <row r="6028" spans="1:6" x14ac:dyDescent="0.25">
      <c r="A6028" s="1" t="s">
        <v>1140</v>
      </c>
      <c r="B6028" s="1" t="s">
        <v>2288</v>
      </c>
      <c r="C6028" s="1" t="s">
        <v>63</v>
      </c>
      <c r="D6028" s="3">
        <f t="shared" ref="D6028:D6048" si="878">VALUE("8084")</f>
        <v>8084</v>
      </c>
      <c r="E6028" s="2">
        <f t="shared" ref="E6028:E6048" si="879">DATEVALUE("1-5-2017")</f>
        <v>42856</v>
      </c>
      <c r="F6028" s="2">
        <f t="shared" ref="F6028:F6048" si="880">DATEVALUE("28-2-2018")</f>
        <v>43159</v>
      </c>
    </row>
    <row r="6029" spans="1:6" x14ac:dyDescent="0.25">
      <c r="A6029" s="1" t="s">
        <v>1140</v>
      </c>
      <c r="B6029" s="1" t="s">
        <v>2288</v>
      </c>
      <c r="C6029" s="1" t="s">
        <v>414</v>
      </c>
      <c r="D6029" s="3">
        <f t="shared" si="878"/>
        <v>8084</v>
      </c>
      <c r="E6029" s="2">
        <f t="shared" si="879"/>
        <v>42856</v>
      </c>
      <c r="F6029" s="2">
        <f t="shared" si="880"/>
        <v>43159</v>
      </c>
    </row>
    <row r="6030" spans="1:6" x14ac:dyDescent="0.25">
      <c r="A6030" s="1" t="s">
        <v>1140</v>
      </c>
      <c r="B6030" s="1" t="s">
        <v>2288</v>
      </c>
      <c r="C6030" s="1" t="s">
        <v>65</v>
      </c>
      <c r="D6030" s="3">
        <f t="shared" si="878"/>
        <v>8084</v>
      </c>
      <c r="E6030" s="2">
        <f t="shared" si="879"/>
        <v>42856</v>
      </c>
      <c r="F6030" s="2">
        <f t="shared" si="880"/>
        <v>43159</v>
      </c>
    </row>
    <row r="6031" spans="1:6" x14ac:dyDescent="0.25">
      <c r="A6031" s="1" t="s">
        <v>1140</v>
      </c>
      <c r="B6031" s="1" t="s">
        <v>2288</v>
      </c>
      <c r="C6031" s="1" t="s">
        <v>14</v>
      </c>
      <c r="D6031" s="3">
        <f t="shared" si="878"/>
        <v>8084</v>
      </c>
      <c r="E6031" s="2">
        <f t="shared" si="879"/>
        <v>42856</v>
      </c>
      <c r="F6031" s="2">
        <f t="shared" si="880"/>
        <v>43159</v>
      </c>
    </row>
    <row r="6032" spans="1:6" x14ac:dyDescent="0.25">
      <c r="A6032" s="1" t="s">
        <v>1140</v>
      </c>
      <c r="B6032" s="1" t="s">
        <v>2288</v>
      </c>
      <c r="C6032" s="1" t="s">
        <v>17</v>
      </c>
      <c r="D6032" s="3">
        <f t="shared" si="878"/>
        <v>8084</v>
      </c>
      <c r="E6032" s="2">
        <f t="shared" si="879"/>
        <v>42856</v>
      </c>
      <c r="F6032" s="2">
        <f t="shared" si="880"/>
        <v>43159</v>
      </c>
    </row>
    <row r="6033" spans="1:6" x14ac:dyDescent="0.25">
      <c r="A6033" s="1" t="s">
        <v>1140</v>
      </c>
      <c r="B6033" s="1" t="s">
        <v>2288</v>
      </c>
      <c r="C6033" s="1" t="s">
        <v>168</v>
      </c>
      <c r="D6033" s="3">
        <f t="shared" si="878"/>
        <v>8084</v>
      </c>
      <c r="E6033" s="2">
        <f t="shared" si="879"/>
        <v>42856</v>
      </c>
      <c r="F6033" s="2">
        <f t="shared" si="880"/>
        <v>43159</v>
      </c>
    </row>
    <row r="6034" spans="1:6" x14ac:dyDescent="0.25">
      <c r="A6034" s="1" t="s">
        <v>1140</v>
      </c>
      <c r="B6034" s="1" t="s">
        <v>2288</v>
      </c>
      <c r="C6034" s="1" t="s">
        <v>384</v>
      </c>
      <c r="D6034" s="3">
        <f t="shared" si="878"/>
        <v>8084</v>
      </c>
      <c r="E6034" s="2">
        <f t="shared" si="879"/>
        <v>42856</v>
      </c>
      <c r="F6034" s="2">
        <f t="shared" si="880"/>
        <v>43159</v>
      </c>
    </row>
    <row r="6035" spans="1:6" x14ac:dyDescent="0.25">
      <c r="A6035" s="1" t="s">
        <v>1140</v>
      </c>
      <c r="B6035" s="1" t="s">
        <v>2288</v>
      </c>
      <c r="C6035" s="1" t="s">
        <v>385</v>
      </c>
      <c r="D6035" s="3">
        <f t="shared" si="878"/>
        <v>8084</v>
      </c>
      <c r="E6035" s="2">
        <f t="shared" si="879"/>
        <v>42856</v>
      </c>
      <c r="F6035" s="2">
        <f t="shared" si="880"/>
        <v>43159</v>
      </c>
    </row>
    <row r="6036" spans="1:6" x14ac:dyDescent="0.25">
      <c r="A6036" s="1" t="s">
        <v>1140</v>
      </c>
      <c r="B6036" s="1" t="s">
        <v>2288</v>
      </c>
      <c r="C6036" s="1" t="s">
        <v>386</v>
      </c>
      <c r="D6036" s="3">
        <f t="shared" si="878"/>
        <v>8084</v>
      </c>
      <c r="E6036" s="2">
        <f t="shared" si="879"/>
        <v>42856</v>
      </c>
      <c r="F6036" s="2">
        <f t="shared" si="880"/>
        <v>43159</v>
      </c>
    </row>
    <row r="6037" spans="1:6" x14ac:dyDescent="0.25">
      <c r="A6037" s="1" t="s">
        <v>1140</v>
      </c>
      <c r="B6037" s="1" t="s">
        <v>2288</v>
      </c>
      <c r="C6037" s="1" t="s">
        <v>387</v>
      </c>
      <c r="D6037" s="3">
        <f t="shared" si="878"/>
        <v>8084</v>
      </c>
      <c r="E6037" s="2">
        <f t="shared" si="879"/>
        <v>42856</v>
      </c>
      <c r="F6037" s="2">
        <f t="shared" si="880"/>
        <v>43159</v>
      </c>
    </row>
    <row r="6038" spans="1:6" x14ac:dyDescent="0.25">
      <c r="A6038" s="1" t="s">
        <v>1140</v>
      </c>
      <c r="B6038" s="1" t="s">
        <v>2288</v>
      </c>
      <c r="C6038" s="1" t="s">
        <v>388</v>
      </c>
      <c r="D6038" s="3">
        <f t="shared" si="878"/>
        <v>8084</v>
      </c>
      <c r="E6038" s="2">
        <f t="shared" si="879"/>
        <v>42856</v>
      </c>
      <c r="F6038" s="2">
        <f t="shared" si="880"/>
        <v>43159</v>
      </c>
    </row>
    <row r="6039" spans="1:6" x14ac:dyDescent="0.25">
      <c r="A6039" s="1" t="s">
        <v>1140</v>
      </c>
      <c r="B6039" s="1" t="s">
        <v>2288</v>
      </c>
      <c r="C6039" s="1" t="s">
        <v>456</v>
      </c>
      <c r="D6039" s="3">
        <f t="shared" si="878"/>
        <v>8084</v>
      </c>
      <c r="E6039" s="2">
        <f t="shared" si="879"/>
        <v>42856</v>
      </c>
      <c r="F6039" s="2">
        <f t="shared" si="880"/>
        <v>43159</v>
      </c>
    </row>
    <row r="6040" spans="1:6" x14ac:dyDescent="0.25">
      <c r="A6040" s="1" t="s">
        <v>1140</v>
      </c>
      <c r="B6040" s="1" t="s">
        <v>2288</v>
      </c>
      <c r="C6040" s="1" t="s">
        <v>389</v>
      </c>
      <c r="D6040" s="3">
        <f t="shared" si="878"/>
        <v>8084</v>
      </c>
      <c r="E6040" s="2">
        <f t="shared" si="879"/>
        <v>42856</v>
      </c>
      <c r="F6040" s="2">
        <f t="shared" si="880"/>
        <v>43159</v>
      </c>
    </row>
    <row r="6041" spans="1:6" x14ac:dyDescent="0.25">
      <c r="A6041" s="1" t="s">
        <v>1140</v>
      </c>
      <c r="B6041" s="1" t="s">
        <v>2288</v>
      </c>
      <c r="C6041" s="1" t="s">
        <v>390</v>
      </c>
      <c r="D6041" s="3">
        <f t="shared" si="878"/>
        <v>8084</v>
      </c>
      <c r="E6041" s="2">
        <f t="shared" si="879"/>
        <v>42856</v>
      </c>
      <c r="F6041" s="2">
        <f t="shared" si="880"/>
        <v>43159</v>
      </c>
    </row>
    <row r="6042" spans="1:6" x14ac:dyDescent="0.25">
      <c r="A6042" s="1" t="s">
        <v>1140</v>
      </c>
      <c r="B6042" s="1" t="s">
        <v>2288</v>
      </c>
      <c r="C6042" s="1" t="s">
        <v>24</v>
      </c>
      <c r="D6042" s="3">
        <f t="shared" si="878"/>
        <v>8084</v>
      </c>
      <c r="E6042" s="2">
        <f t="shared" si="879"/>
        <v>42856</v>
      </c>
      <c r="F6042" s="2">
        <f t="shared" si="880"/>
        <v>43159</v>
      </c>
    </row>
    <row r="6043" spans="1:6" x14ac:dyDescent="0.25">
      <c r="A6043" s="1" t="s">
        <v>1140</v>
      </c>
      <c r="B6043" s="1" t="s">
        <v>2288</v>
      </c>
      <c r="C6043" s="1" t="s">
        <v>50</v>
      </c>
      <c r="D6043" s="3">
        <f t="shared" si="878"/>
        <v>8084</v>
      </c>
      <c r="E6043" s="2">
        <f t="shared" si="879"/>
        <v>42856</v>
      </c>
      <c r="F6043" s="2">
        <f t="shared" si="880"/>
        <v>43159</v>
      </c>
    </row>
    <row r="6044" spans="1:6" x14ac:dyDescent="0.25">
      <c r="A6044" s="1" t="s">
        <v>1140</v>
      </c>
      <c r="B6044" s="1" t="s">
        <v>2288</v>
      </c>
      <c r="C6044" s="1" t="s">
        <v>70</v>
      </c>
      <c r="D6044" s="3">
        <f t="shared" si="878"/>
        <v>8084</v>
      </c>
      <c r="E6044" s="2">
        <f t="shared" si="879"/>
        <v>42856</v>
      </c>
      <c r="F6044" s="2">
        <f t="shared" si="880"/>
        <v>43159</v>
      </c>
    </row>
    <row r="6045" spans="1:6" x14ac:dyDescent="0.25">
      <c r="A6045" s="1" t="s">
        <v>1140</v>
      </c>
      <c r="B6045" s="1" t="s">
        <v>2288</v>
      </c>
      <c r="C6045" s="1" t="s">
        <v>457</v>
      </c>
      <c r="D6045" s="3">
        <f t="shared" si="878"/>
        <v>8084</v>
      </c>
      <c r="E6045" s="2">
        <f t="shared" si="879"/>
        <v>42856</v>
      </c>
      <c r="F6045" s="2">
        <f t="shared" si="880"/>
        <v>43159</v>
      </c>
    </row>
    <row r="6046" spans="1:6" x14ac:dyDescent="0.25">
      <c r="A6046" s="1" t="s">
        <v>1140</v>
      </c>
      <c r="B6046" s="1" t="s">
        <v>2288</v>
      </c>
      <c r="C6046" s="1" t="s">
        <v>73</v>
      </c>
      <c r="D6046" s="3">
        <f t="shared" si="878"/>
        <v>8084</v>
      </c>
      <c r="E6046" s="2">
        <f t="shared" si="879"/>
        <v>42856</v>
      </c>
      <c r="F6046" s="2">
        <f t="shared" si="880"/>
        <v>43159</v>
      </c>
    </row>
    <row r="6047" spans="1:6" x14ac:dyDescent="0.25">
      <c r="A6047" s="1" t="s">
        <v>1140</v>
      </c>
      <c r="B6047" s="1" t="s">
        <v>2288</v>
      </c>
      <c r="C6047" s="1" t="s">
        <v>34</v>
      </c>
      <c r="D6047" s="3">
        <f t="shared" si="878"/>
        <v>8084</v>
      </c>
      <c r="E6047" s="2">
        <f t="shared" si="879"/>
        <v>42856</v>
      </c>
      <c r="F6047" s="2">
        <f t="shared" si="880"/>
        <v>43159</v>
      </c>
    </row>
    <row r="6048" spans="1:6" x14ac:dyDescent="0.25">
      <c r="A6048" s="1" t="s">
        <v>1140</v>
      </c>
      <c r="B6048" s="1" t="s">
        <v>2288</v>
      </c>
      <c r="C6048" s="1" t="s">
        <v>306</v>
      </c>
      <c r="D6048" s="3">
        <f t="shared" si="878"/>
        <v>8084</v>
      </c>
      <c r="E6048" s="2">
        <f t="shared" si="879"/>
        <v>42856</v>
      </c>
      <c r="F6048" s="2">
        <f t="shared" si="880"/>
        <v>43159</v>
      </c>
    </row>
    <row r="6049" spans="1:6" x14ac:dyDescent="0.25">
      <c r="A6049" s="1" t="s">
        <v>1140</v>
      </c>
      <c r="B6049" s="1" t="s">
        <v>1755</v>
      </c>
      <c r="C6049" s="1" t="s">
        <v>15</v>
      </c>
      <c r="D6049" s="3">
        <f>VALUE("7983")</f>
        <v>7983</v>
      </c>
      <c r="E6049" s="2">
        <f>DATEVALUE("1-11-2016")</f>
        <v>42675</v>
      </c>
      <c r="F6049" s="2">
        <f>DATEVALUE("30-6-2017")</f>
        <v>42916</v>
      </c>
    </row>
    <row r="6050" spans="1:6" x14ac:dyDescent="0.25">
      <c r="A6050" s="1" t="s">
        <v>1140</v>
      </c>
      <c r="B6050" s="1" t="s">
        <v>1755</v>
      </c>
      <c r="C6050" s="1" t="s">
        <v>17</v>
      </c>
      <c r="D6050" s="3">
        <f>VALUE("7983")</f>
        <v>7983</v>
      </c>
      <c r="E6050" s="2">
        <f>DATEVALUE("1-11-2016")</f>
        <v>42675</v>
      </c>
      <c r="F6050" s="2">
        <f>DATEVALUE("30-6-2017")</f>
        <v>42916</v>
      </c>
    </row>
    <row r="6051" spans="1:6" x14ac:dyDescent="0.25">
      <c r="A6051" s="1" t="s">
        <v>1140</v>
      </c>
      <c r="B6051" s="1" t="s">
        <v>1755</v>
      </c>
      <c r="C6051" s="1" t="s">
        <v>148</v>
      </c>
      <c r="D6051" s="3">
        <f>VALUE("7983")</f>
        <v>7983</v>
      </c>
      <c r="E6051" s="2">
        <f>DATEVALUE("1-11-2016")</f>
        <v>42675</v>
      </c>
      <c r="F6051" s="2">
        <f>DATEVALUE("30-6-2017")</f>
        <v>42916</v>
      </c>
    </row>
    <row r="6052" spans="1:6" x14ac:dyDescent="0.25">
      <c r="A6052" s="1" t="s">
        <v>1140</v>
      </c>
      <c r="B6052" s="1" t="s">
        <v>1755</v>
      </c>
      <c r="C6052" s="1" t="s">
        <v>149</v>
      </c>
      <c r="D6052" s="3">
        <f>VALUE("7983")</f>
        <v>7983</v>
      </c>
      <c r="E6052" s="2">
        <f>DATEVALUE("1-11-2016")</f>
        <v>42675</v>
      </c>
      <c r="F6052" s="2">
        <f>DATEVALUE("30-6-2017")</f>
        <v>42916</v>
      </c>
    </row>
    <row r="6053" spans="1:6" x14ac:dyDescent="0.25">
      <c r="A6053" s="1" t="s">
        <v>1140</v>
      </c>
      <c r="B6053" s="1" t="s">
        <v>2246</v>
      </c>
      <c r="C6053" s="1" t="s">
        <v>63</v>
      </c>
      <c r="D6053" s="3">
        <f>VALUE("7948")</f>
        <v>7948</v>
      </c>
      <c r="E6053" s="2">
        <f>DATEVALUE("1-9-2016")</f>
        <v>42614</v>
      </c>
      <c r="F6053" s="2">
        <f>DATEVALUE("30-9-2017")</f>
        <v>43008</v>
      </c>
    </row>
    <row r="6054" spans="1:6" x14ac:dyDescent="0.25">
      <c r="A6054" s="1" t="s">
        <v>1140</v>
      </c>
      <c r="B6054" s="1" t="s">
        <v>2246</v>
      </c>
      <c r="C6054" s="1" t="s">
        <v>50</v>
      </c>
      <c r="D6054" s="3">
        <f>VALUE("7948")</f>
        <v>7948</v>
      </c>
      <c r="E6054" s="2">
        <f>DATEVALUE("1-9-2016")</f>
        <v>42614</v>
      </c>
      <c r="F6054" s="2">
        <f>DATEVALUE("30-9-2017")</f>
        <v>43008</v>
      </c>
    </row>
    <row r="6055" spans="1:6" x14ac:dyDescent="0.25">
      <c r="A6055" s="1" t="s">
        <v>1140</v>
      </c>
      <c r="B6055" s="1" t="s">
        <v>2246</v>
      </c>
      <c r="C6055" s="1" t="s">
        <v>73</v>
      </c>
      <c r="D6055" s="3">
        <f>VALUE("7948")</f>
        <v>7948</v>
      </c>
      <c r="E6055" s="2">
        <f>DATEVALUE("1-9-2016")</f>
        <v>42614</v>
      </c>
      <c r="F6055" s="2">
        <f>DATEVALUE("30-9-2017")</f>
        <v>43008</v>
      </c>
    </row>
    <row r="6056" spans="1:6" x14ac:dyDescent="0.25">
      <c r="A6056" s="1" t="s">
        <v>1140</v>
      </c>
      <c r="B6056" s="1" t="s">
        <v>2246</v>
      </c>
      <c r="C6056" s="1" t="s">
        <v>52</v>
      </c>
      <c r="D6056" s="3">
        <f>VALUE("7948")</f>
        <v>7948</v>
      </c>
      <c r="E6056" s="2">
        <f>DATEVALUE("1-9-2016")</f>
        <v>42614</v>
      </c>
      <c r="F6056" s="2">
        <f>DATEVALUE("30-9-2017")</f>
        <v>43008</v>
      </c>
    </row>
    <row r="6057" spans="1:6" x14ac:dyDescent="0.25">
      <c r="A6057" s="1" t="s">
        <v>1140</v>
      </c>
      <c r="B6057" s="1" t="s">
        <v>2246</v>
      </c>
      <c r="C6057" s="1" t="s">
        <v>306</v>
      </c>
      <c r="D6057" s="3">
        <f>VALUE("7948")</f>
        <v>7948</v>
      </c>
      <c r="E6057" s="2">
        <f>DATEVALUE("1-9-2016")</f>
        <v>42614</v>
      </c>
      <c r="F6057" s="2">
        <f>DATEVALUE("30-9-2017")</f>
        <v>43008</v>
      </c>
    </row>
    <row r="6058" spans="1:6" x14ac:dyDescent="0.25">
      <c r="A6058" s="1" t="s">
        <v>1140</v>
      </c>
      <c r="B6058" s="1" t="s">
        <v>1754</v>
      </c>
      <c r="C6058" s="1" t="s">
        <v>63</v>
      </c>
      <c r="D6058" s="3">
        <f t="shared" ref="D6058:D6068" si="881">VALUE("7909")</f>
        <v>7909</v>
      </c>
      <c r="E6058" s="2">
        <f t="shared" ref="E6058:E6068" si="882">DATEVALUE("1-7-2016")</f>
        <v>42552</v>
      </c>
      <c r="F6058" s="2">
        <f t="shared" ref="F6058:F6068" si="883">DATEVALUE("31-1-2017")</f>
        <v>42766</v>
      </c>
    </row>
    <row r="6059" spans="1:6" x14ac:dyDescent="0.25">
      <c r="A6059" s="1" t="s">
        <v>1140</v>
      </c>
      <c r="B6059" s="1" t="s">
        <v>1754</v>
      </c>
      <c r="C6059" s="1" t="s">
        <v>414</v>
      </c>
      <c r="D6059" s="3">
        <f t="shared" si="881"/>
        <v>7909</v>
      </c>
      <c r="E6059" s="2">
        <f t="shared" si="882"/>
        <v>42552</v>
      </c>
      <c r="F6059" s="2">
        <f t="shared" si="883"/>
        <v>42766</v>
      </c>
    </row>
    <row r="6060" spans="1:6" x14ac:dyDescent="0.25">
      <c r="A6060" s="1" t="s">
        <v>1140</v>
      </c>
      <c r="B6060" s="1" t="s">
        <v>1754</v>
      </c>
      <c r="C6060" s="1" t="s">
        <v>65</v>
      </c>
      <c r="D6060" s="3">
        <f t="shared" si="881"/>
        <v>7909</v>
      </c>
      <c r="E6060" s="2">
        <f t="shared" si="882"/>
        <v>42552</v>
      </c>
      <c r="F6060" s="2">
        <f t="shared" si="883"/>
        <v>42766</v>
      </c>
    </row>
    <row r="6061" spans="1:6" x14ac:dyDescent="0.25">
      <c r="A6061" s="1" t="s">
        <v>1140</v>
      </c>
      <c r="B6061" s="1" t="s">
        <v>1754</v>
      </c>
      <c r="C6061" s="1" t="s">
        <v>22</v>
      </c>
      <c r="D6061" s="3">
        <f t="shared" si="881"/>
        <v>7909</v>
      </c>
      <c r="E6061" s="2">
        <f t="shared" si="882"/>
        <v>42552</v>
      </c>
      <c r="F6061" s="2">
        <f t="shared" si="883"/>
        <v>42766</v>
      </c>
    </row>
    <row r="6062" spans="1:6" x14ac:dyDescent="0.25">
      <c r="A6062" s="1" t="s">
        <v>1140</v>
      </c>
      <c r="B6062" s="1" t="s">
        <v>1754</v>
      </c>
      <c r="C6062" s="1" t="s">
        <v>384</v>
      </c>
      <c r="D6062" s="3">
        <f t="shared" si="881"/>
        <v>7909</v>
      </c>
      <c r="E6062" s="2">
        <f t="shared" si="882"/>
        <v>42552</v>
      </c>
      <c r="F6062" s="2">
        <f t="shared" si="883"/>
        <v>42766</v>
      </c>
    </row>
    <row r="6063" spans="1:6" x14ac:dyDescent="0.25">
      <c r="A6063" s="1" t="s">
        <v>1140</v>
      </c>
      <c r="B6063" s="1" t="s">
        <v>1754</v>
      </c>
      <c r="C6063" s="1" t="s">
        <v>147</v>
      </c>
      <c r="D6063" s="3">
        <f t="shared" si="881"/>
        <v>7909</v>
      </c>
      <c r="E6063" s="2">
        <f t="shared" si="882"/>
        <v>42552</v>
      </c>
      <c r="F6063" s="2">
        <f t="shared" si="883"/>
        <v>42766</v>
      </c>
    </row>
    <row r="6064" spans="1:6" x14ac:dyDescent="0.25">
      <c r="A6064" s="1" t="s">
        <v>1140</v>
      </c>
      <c r="B6064" s="1" t="s">
        <v>1754</v>
      </c>
      <c r="C6064" s="1" t="s">
        <v>149</v>
      </c>
      <c r="D6064" s="3">
        <f t="shared" si="881"/>
        <v>7909</v>
      </c>
      <c r="E6064" s="2">
        <f t="shared" si="882"/>
        <v>42552</v>
      </c>
      <c r="F6064" s="2">
        <f t="shared" si="883"/>
        <v>42766</v>
      </c>
    </row>
    <row r="6065" spans="1:6" x14ac:dyDescent="0.25">
      <c r="A6065" s="1" t="s">
        <v>1140</v>
      </c>
      <c r="B6065" s="1" t="s">
        <v>1754</v>
      </c>
      <c r="C6065" s="1" t="s">
        <v>70</v>
      </c>
      <c r="D6065" s="3">
        <f t="shared" si="881"/>
        <v>7909</v>
      </c>
      <c r="E6065" s="2">
        <f t="shared" si="882"/>
        <v>42552</v>
      </c>
      <c r="F6065" s="2">
        <f t="shared" si="883"/>
        <v>42766</v>
      </c>
    </row>
    <row r="6066" spans="1:6" x14ac:dyDescent="0.25">
      <c r="A6066" s="1" t="s">
        <v>1140</v>
      </c>
      <c r="B6066" s="1" t="s">
        <v>1754</v>
      </c>
      <c r="C6066" s="1" t="s">
        <v>52</v>
      </c>
      <c r="D6066" s="3">
        <f t="shared" si="881"/>
        <v>7909</v>
      </c>
      <c r="E6066" s="2">
        <f t="shared" si="882"/>
        <v>42552</v>
      </c>
      <c r="F6066" s="2">
        <f t="shared" si="883"/>
        <v>42766</v>
      </c>
    </row>
    <row r="6067" spans="1:6" x14ac:dyDescent="0.25">
      <c r="A6067" s="1" t="s">
        <v>1140</v>
      </c>
      <c r="B6067" s="1" t="s">
        <v>1754</v>
      </c>
      <c r="C6067" s="1" t="s">
        <v>241</v>
      </c>
      <c r="D6067" s="3">
        <f t="shared" si="881"/>
        <v>7909</v>
      </c>
      <c r="E6067" s="2">
        <f t="shared" si="882"/>
        <v>42552</v>
      </c>
      <c r="F6067" s="2">
        <f t="shared" si="883"/>
        <v>42766</v>
      </c>
    </row>
    <row r="6068" spans="1:6" x14ac:dyDescent="0.25">
      <c r="A6068" s="1" t="s">
        <v>1140</v>
      </c>
      <c r="B6068" s="1" t="s">
        <v>1754</v>
      </c>
      <c r="C6068" s="1" t="s">
        <v>306</v>
      </c>
      <c r="D6068" s="3">
        <f t="shared" si="881"/>
        <v>7909</v>
      </c>
      <c r="E6068" s="2">
        <f t="shared" si="882"/>
        <v>42552</v>
      </c>
      <c r="F6068" s="2">
        <f t="shared" si="883"/>
        <v>42766</v>
      </c>
    </row>
    <row r="6069" spans="1:6" x14ac:dyDescent="0.25">
      <c r="A6069" s="1" t="s">
        <v>1140</v>
      </c>
      <c r="B6069" s="1" t="s">
        <v>1999</v>
      </c>
      <c r="C6069" s="1" t="s">
        <v>63</v>
      </c>
      <c r="D6069" s="3">
        <f t="shared" ref="D6069:D6086" si="884">VALUE("7819")</f>
        <v>7819</v>
      </c>
      <c r="E6069" s="2">
        <f t="shared" ref="E6069:E6086" si="885">DATEVALUE("1-11-2015")</f>
        <v>42309</v>
      </c>
      <c r="F6069" s="2">
        <f t="shared" ref="F6069:F6086" si="886">DATEVALUE("31-8-2016")</f>
        <v>42613</v>
      </c>
    </row>
    <row r="6070" spans="1:6" x14ac:dyDescent="0.25">
      <c r="A6070" s="1" t="s">
        <v>1140</v>
      </c>
      <c r="B6070" s="1" t="s">
        <v>1999</v>
      </c>
      <c r="C6070" s="1" t="s">
        <v>414</v>
      </c>
      <c r="D6070" s="3">
        <f t="shared" si="884"/>
        <v>7819</v>
      </c>
      <c r="E6070" s="2">
        <f t="shared" si="885"/>
        <v>42309</v>
      </c>
      <c r="F6070" s="2">
        <f t="shared" si="886"/>
        <v>42613</v>
      </c>
    </row>
    <row r="6071" spans="1:6" x14ac:dyDescent="0.25">
      <c r="A6071" s="1" t="s">
        <v>1140</v>
      </c>
      <c r="B6071" s="1" t="s">
        <v>1999</v>
      </c>
      <c r="C6071" s="1" t="s">
        <v>65</v>
      </c>
      <c r="D6071" s="3">
        <f t="shared" si="884"/>
        <v>7819</v>
      </c>
      <c r="E6071" s="2">
        <f t="shared" si="885"/>
        <v>42309</v>
      </c>
      <c r="F6071" s="2">
        <f t="shared" si="886"/>
        <v>42613</v>
      </c>
    </row>
    <row r="6072" spans="1:6" x14ac:dyDescent="0.25">
      <c r="A6072" s="1" t="s">
        <v>1140</v>
      </c>
      <c r="B6072" s="1" t="s">
        <v>1999</v>
      </c>
      <c r="C6072" s="1" t="s">
        <v>14</v>
      </c>
      <c r="D6072" s="3">
        <f t="shared" si="884"/>
        <v>7819</v>
      </c>
      <c r="E6072" s="2">
        <f t="shared" si="885"/>
        <v>42309</v>
      </c>
      <c r="F6072" s="2">
        <f t="shared" si="886"/>
        <v>42613</v>
      </c>
    </row>
    <row r="6073" spans="1:6" x14ac:dyDescent="0.25">
      <c r="A6073" s="1" t="s">
        <v>1140</v>
      </c>
      <c r="B6073" s="1" t="s">
        <v>1999</v>
      </c>
      <c r="C6073" s="1" t="s">
        <v>15</v>
      </c>
      <c r="D6073" s="3">
        <f t="shared" si="884"/>
        <v>7819</v>
      </c>
      <c r="E6073" s="2">
        <f t="shared" si="885"/>
        <v>42309</v>
      </c>
      <c r="F6073" s="2">
        <f t="shared" si="886"/>
        <v>42613</v>
      </c>
    </row>
    <row r="6074" spans="1:6" x14ac:dyDescent="0.25">
      <c r="A6074" s="1" t="s">
        <v>1140</v>
      </c>
      <c r="B6074" s="1" t="s">
        <v>1999</v>
      </c>
      <c r="C6074" s="1" t="s">
        <v>17</v>
      </c>
      <c r="D6074" s="3">
        <f t="shared" si="884"/>
        <v>7819</v>
      </c>
      <c r="E6074" s="2">
        <f t="shared" si="885"/>
        <v>42309</v>
      </c>
      <c r="F6074" s="2">
        <f t="shared" si="886"/>
        <v>42613</v>
      </c>
    </row>
    <row r="6075" spans="1:6" x14ac:dyDescent="0.25">
      <c r="A6075" s="1" t="s">
        <v>1140</v>
      </c>
      <c r="B6075" s="1" t="s">
        <v>1999</v>
      </c>
      <c r="C6075" s="1" t="s">
        <v>22</v>
      </c>
      <c r="D6075" s="3">
        <f t="shared" si="884"/>
        <v>7819</v>
      </c>
      <c r="E6075" s="2">
        <f t="shared" si="885"/>
        <v>42309</v>
      </c>
      <c r="F6075" s="2">
        <f t="shared" si="886"/>
        <v>42613</v>
      </c>
    </row>
    <row r="6076" spans="1:6" x14ac:dyDescent="0.25">
      <c r="A6076" s="1" t="s">
        <v>1140</v>
      </c>
      <c r="B6076" s="1" t="s">
        <v>1999</v>
      </c>
      <c r="C6076" s="1" t="s">
        <v>384</v>
      </c>
      <c r="D6076" s="3">
        <f t="shared" si="884"/>
        <v>7819</v>
      </c>
      <c r="E6076" s="2">
        <f t="shared" si="885"/>
        <v>42309</v>
      </c>
      <c r="F6076" s="2">
        <f t="shared" si="886"/>
        <v>42613</v>
      </c>
    </row>
    <row r="6077" spans="1:6" x14ac:dyDescent="0.25">
      <c r="A6077" s="1" t="s">
        <v>1140</v>
      </c>
      <c r="B6077" s="1" t="s">
        <v>1999</v>
      </c>
      <c r="C6077" s="1" t="s">
        <v>147</v>
      </c>
      <c r="D6077" s="3">
        <f t="shared" si="884"/>
        <v>7819</v>
      </c>
      <c r="E6077" s="2">
        <f t="shared" si="885"/>
        <v>42309</v>
      </c>
      <c r="F6077" s="2">
        <f t="shared" si="886"/>
        <v>42613</v>
      </c>
    </row>
    <row r="6078" spans="1:6" x14ac:dyDescent="0.25">
      <c r="A6078" s="1" t="s">
        <v>1140</v>
      </c>
      <c r="B6078" s="1" t="s">
        <v>1999</v>
      </c>
      <c r="C6078" s="1" t="s">
        <v>148</v>
      </c>
      <c r="D6078" s="3">
        <f t="shared" si="884"/>
        <v>7819</v>
      </c>
      <c r="E6078" s="2">
        <f t="shared" si="885"/>
        <v>42309</v>
      </c>
      <c r="F6078" s="2">
        <f t="shared" si="886"/>
        <v>42613</v>
      </c>
    </row>
    <row r="6079" spans="1:6" x14ac:dyDescent="0.25">
      <c r="A6079" s="1" t="s">
        <v>1140</v>
      </c>
      <c r="B6079" s="1" t="s">
        <v>1999</v>
      </c>
      <c r="C6079" s="1" t="s">
        <v>92</v>
      </c>
      <c r="D6079" s="3">
        <f t="shared" si="884"/>
        <v>7819</v>
      </c>
      <c r="E6079" s="2">
        <f t="shared" si="885"/>
        <v>42309</v>
      </c>
      <c r="F6079" s="2">
        <f t="shared" si="886"/>
        <v>42613</v>
      </c>
    </row>
    <row r="6080" spans="1:6" x14ac:dyDescent="0.25">
      <c r="A6080" s="1" t="s">
        <v>1140</v>
      </c>
      <c r="B6080" s="1" t="s">
        <v>1999</v>
      </c>
      <c r="C6080" s="1" t="s">
        <v>24</v>
      </c>
      <c r="D6080" s="3">
        <f t="shared" si="884"/>
        <v>7819</v>
      </c>
      <c r="E6080" s="2">
        <f t="shared" si="885"/>
        <v>42309</v>
      </c>
      <c r="F6080" s="2">
        <f t="shared" si="886"/>
        <v>42613</v>
      </c>
    </row>
    <row r="6081" spans="1:6" x14ac:dyDescent="0.25">
      <c r="A6081" s="1" t="s">
        <v>1140</v>
      </c>
      <c r="B6081" s="1" t="s">
        <v>1999</v>
      </c>
      <c r="C6081" s="1" t="s">
        <v>70</v>
      </c>
      <c r="D6081" s="3">
        <f t="shared" si="884"/>
        <v>7819</v>
      </c>
      <c r="E6081" s="2">
        <f t="shared" si="885"/>
        <v>42309</v>
      </c>
      <c r="F6081" s="2">
        <f t="shared" si="886"/>
        <v>42613</v>
      </c>
    </row>
    <row r="6082" spans="1:6" x14ac:dyDescent="0.25">
      <c r="A6082" s="1" t="s">
        <v>1140</v>
      </c>
      <c r="B6082" s="1" t="s">
        <v>1999</v>
      </c>
      <c r="C6082" s="1" t="s">
        <v>73</v>
      </c>
      <c r="D6082" s="3">
        <f t="shared" si="884"/>
        <v>7819</v>
      </c>
      <c r="E6082" s="2">
        <f t="shared" si="885"/>
        <v>42309</v>
      </c>
      <c r="F6082" s="2">
        <f t="shared" si="886"/>
        <v>42613</v>
      </c>
    </row>
    <row r="6083" spans="1:6" x14ac:dyDescent="0.25">
      <c r="A6083" s="1" t="s">
        <v>1140</v>
      </c>
      <c r="B6083" s="1" t="s">
        <v>1999</v>
      </c>
      <c r="C6083" s="1" t="s">
        <v>52</v>
      </c>
      <c r="D6083" s="3">
        <f t="shared" si="884"/>
        <v>7819</v>
      </c>
      <c r="E6083" s="2">
        <f t="shared" si="885"/>
        <v>42309</v>
      </c>
      <c r="F6083" s="2">
        <f t="shared" si="886"/>
        <v>42613</v>
      </c>
    </row>
    <row r="6084" spans="1:6" x14ac:dyDescent="0.25">
      <c r="A6084" s="1" t="s">
        <v>1140</v>
      </c>
      <c r="B6084" s="1" t="s">
        <v>1999</v>
      </c>
      <c r="C6084" s="1" t="s">
        <v>394</v>
      </c>
      <c r="D6084" s="3">
        <f t="shared" si="884"/>
        <v>7819</v>
      </c>
      <c r="E6084" s="2">
        <f t="shared" si="885"/>
        <v>42309</v>
      </c>
      <c r="F6084" s="2">
        <f t="shared" si="886"/>
        <v>42613</v>
      </c>
    </row>
    <row r="6085" spans="1:6" x14ac:dyDescent="0.25">
      <c r="A6085" s="1" t="s">
        <v>1140</v>
      </c>
      <c r="B6085" s="1" t="s">
        <v>1999</v>
      </c>
      <c r="C6085" s="1" t="s">
        <v>34</v>
      </c>
      <c r="D6085" s="3">
        <f t="shared" si="884"/>
        <v>7819</v>
      </c>
      <c r="E6085" s="2">
        <f t="shared" si="885"/>
        <v>42309</v>
      </c>
      <c r="F6085" s="2">
        <f t="shared" si="886"/>
        <v>42613</v>
      </c>
    </row>
    <row r="6086" spans="1:6" x14ac:dyDescent="0.25">
      <c r="A6086" s="1" t="s">
        <v>1140</v>
      </c>
      <c r="B6086" s="1" t="s">
        <v>1999</v>
      </c>
      <c r="C6086" s="1" t="s">
        <v>306</v>
      </c>
      <c r="D6086" s="3">
        <f t="shared" si="884"/>
        <v>7819</v>
      </c>
      <c r="E6086" s="2">
        <f t="shared" si="885"/>
        <v>42309</v>
      </c>
      <c r="F6086" s="2">
        <f t="shared" si="886"/>
        <v>42613</v>
      </c>
    </row>
    <row r="6087" spans="1:6" x14ac:dyDescent="0.25">
      <c r="A6087" s="1" t="s">
        <v>1140</v>
      </c>
      <c r="B6087" s="1" t="s">
        <v>1937</v>
      </c>
      <c r="C6087" s="1" t="s">
        <v>39</v>
      </c>
      <c r="D6087" s="3">
        <f t="shared" ref="D6087:D6096" si="887">VALUE("7638")</f>
        <v>7638</v>
      </c>
      <c r="E6087" s="2">
        <f t="shared" ref="E6087:E6096" si="888">DATEVALUE("1-7-2014")</f>
        <v>41821</v>
      </c>
      <c r="F6087" s="2">
        <f t="shared" ref="F6087:F6096" si="889">DATEVALUE("28-2-2015")</f>
        <v>42063</v>
      </c>
    </row>
    <row r="6088" spans="1:6" x14ac:dyDescent="0.25">
      <c r="A6088" s="1" t="s">
        <v>1140</v>
      </c>
      <c r="B6088" s="1" t="s">
        <v>1937</v>
      </c>
      <c r="C6088" s="1" t="s">
        <v>43</v>
      </c>
      <c r="D6088" s="3">
        <f t="shared" si="887"/>
        <v>7638</v>
      </c>
      <c r="E6088" s="2">
        <f t="shared" si="888"/>
        <v>41821</v>
      </c>
      <c r="F6088" s="2">
        <f t="shared" si="889"/>
        <v>42063</v>
      </c>
    </row>
    <row r="6089" spans="1:6" x14ac:dyDescent="0.25">
      <c r="A6089" s="1" t="s">
        <v>1140</v>
      </c>
      <c r="B6089" s="1" t="s">
        <v>1937</v>
      </c>
      <c r="C6089" s="1" t="s">
        <v>63</v>
      </c>
      <c r="D6089" s="3">
        <f t="shared" si="887"/>
        <v>7638</v>
      </c>
      <c r="E6089" s="2">
        <f t="shared" si="888"/>
        <v>41821</v>
      </c>
      <c r="F6089" s="2">
        <f t="shared" si="889"/>
        <v>42063</v>
      </c>
    </row>
    <row r="6090" spans="1:6" x14ac:dyDescent="0.25">
      <c r="A6090" s="1" t="s">
        <v>1140</v>
      </c>
      <c r="B6090" s="1" t="s">
        <v>1937</v>
      </c>
      <c r="C6090" s="1" t="s">
        <v>414</v>
      </c>
      <c r="D6090" s="3">
        <f t="shared" si="887"/>
        <v>7638</v>
      </c>
      <c r="E6090" s="2">
        <f t="shared" si="888"/>
        <v>41821</v>
      </c>
      <c r="F6090" s="2">
        <f t="shared" si="889"/>
        <v>42063</v>
      </c>
    </row>
    <row r="6091" spans="1:6" x14ac:dyDescent="0.25">
      <c r="A6091" s="1" t="s">
        <v>1140</v>
      </c>
      <c r="B6091" s="1" t="s">
        <v>1937</v>
      </c>
      <c r="C6091" s="1" t="s">
        <v>65</v>
      </c>
      <c r="D6091" s="3">
        <f t="shared" si="887"/>
        <v>7638</v>
      </c>
      <c r="E6091" s="2">
        <f t="shared" si="888"/>
        <v>41821</v>
      </c>
      <c r="F6091" s="2">
        <f t="shared" si="889"/>
        <v>42063</v>
      </c>
    </row>
    <row r="6092" spans="1:6" x14ac:dyDescent="0.25">
      <c r="A6092" s="1" t="s">
        <v>1140</v>
      </c>
      <c r="B6092" s="1" t="s">
        <v>1937</v>
      </c>
      <c r="C6092" s="1" t="s">
        <v>17</v>
      </c>
      <c r="D6092" s="3">
        <f t="shared" si="887"/>
        <v>7638</v>
      </c>
      <c r="E6092" s="2">
        <f t="shared" si="888"/>
        <v>41821</v>
      </c>
      <c r="F6092" s="2">
        <f t="shared" si="889"/>
        <v>42063</v>
      </c>
    </row>
    <row r="6093" spans="1:6" x14ac:dyDescent="0.25">
      <c r="A6093" s="1" t="s">
        <v>1140</v>
      </c>
      <c r="B6093" s="1" t="s">
        <v>1937</v>
      </c>
      <c r="C6093" s="1" t="s">
        <v>384</v>
      </c>
      <c r="D6093" s="3">
        <f t="shared" si="887"/>
        <v>7638</v>
      </c>
      <c r="E6093" s="2">
        <f t="shared" si="888"/>
        <v>41821</v>
      </c>
      <c r="F6093" s="2">
        <f t="shared" si="889"/>
        <v>42063</v>
      </c>
    </row>
    <row r="6094" spans="1:6" x14ac:dyDescent="0.25">
      <c r="A6094" s="1" t="s">
        <v>1140</v>
      </c>
      <c r="B6094" s="1" t="s">
        <v>1937</v>
      </c>
      <c r="C6094" s="1" t="s">
        <v>50</v>
      </c>
      <c r="D6094" s="3">
        <f t="shared" si="887"/>
        <v>7638</v>
      </c>
      <c r="E6094" s="2">
        <f t="shared" si="888"/>
        <v>41821</v>
      </c>
      <c r="F6094" s="2">
        <f t="shared" si="889"/>
        <v>42063</v>
      </c>
    </row>
    <row r="6095" spans="1:6" x14ac:dyDescent="0.25">
      <c r="A6095" s="1" t="s">
        <v>1140</v>
      </c>
      <c r="B6095" s="1" t="s">
        <v>1937</v>
      </c>
      <c r="C6095" s="1" t="s">
        <v>70</v>
      </c>
      <c r="D6095" s="3">
        <f t="shared" si="887"/>
        <v>7638</v>
      </c>
      <c r="E6095" s="2">
        <f t="shared" si="888"/>
        <v>41821</v>
      </c>
      <c r="F6095" s="2">
        <f t="shared" si="889"/>
        <v>42063</v>
      </c>
    </row>
    <row r="6096" spans="1:6" x14ac:dyDescent="0.25">
      <c r="A6096" s="1" t="s">
        <v>1140</v>
      </c>
      <c r="B6096" s="1" t="s">
        <v>1937</v>
      </c>
      <c r="C6096" s="1" t="s">
        <v>262</v>
      </c>
      <c r="D6096" s="3">
        <f t="shared" si="887"/>
        <v>7638</v>
      </c>
      <c r="E6096" s="2">
        <f t="shared" si="888"/>
        <v>41821</v>
      </c>
      <c r="F6096" s="2">
        <f t="shared" si="889"/>
        <v>42063</v>
      </c>
    </row>
    <row r="6097" spans="1:6" x14ac:dyDescent="0.25">
      <c r="A6097" s="1" t="s">
        <v>1140</v>
      </c>
      <c r="B6097" s="1" t="s">
        <v>2694</v>
      </c>
      <c r="C6097" s="1" t="s">
        <v>418</v>
      </c>
      <c r="D6097" s="3">
        <f t="shared" ref="D6097:D6103" si="890">VALUE("7414")</f>
        <v>7414</v>
      </c>
      <c r="E6097" s="2">
        <f t="shared" ref="E6097:E6103" si="891">DATEVALUE("1-11-2012")</f>
        <v>41214</v>
      </c>
      <c r="F6097" s="2">
        <f t="shared" ref="F6097:F6103" si="892">DATEVALUE("30-4-2013")</f>
        <v>41394</v>
      </c>
    </row>
    <row r="6098" spans="1:6" x14ac:dyDescent="0.25">
      <c r="A6098" s="1" t="s">
        <v>1140</v>
      </c>
      <c r="B6098" s="1" t="s">
        <v>2694</v>
      </c>
      <c r="C6098" s="1" t="s">
        <v>330</v>
      </c>
      <c r="D6098" s="3">
        <f t="shared" si="890"/>
        <v>7414</v>
      </c>
      <c r="E6098" s="2">
        <f t="shared" si="891"/>
        <v>41214</v>
      </c>
      <c r="F6098" s="2">
        <f t="shared" si="892"/>
        <v>41394</v>
      </c>
    </row>
    <row r="6099" spans="1:6" x14ac:dyDescent="0.25">
      <c r="A6099" s="1" t="s">
        <v>1140</v>
      </c>
      <c r="B6099" s="1" t="s">
        <v>2694</v>
      </c>
      <c r="C6099" s="1" t="s">
        <v>331</v>
      </c>
      <c r="D6099" s="3">
        <f t="shared" si="890"/>
        <v>7414</v>
      </c>
      <c r="E6099" s="2">
        <f t="shared" si="891"/>
        <v>41214</v>
      </c>
      <c r="F6099" s="2">
        <f t="shared" si="892"/>
        <v>41394</v>
      </c>
    </row>
    <row r="6100" spans="1:6" x14ac:dyDescent="0.25">
      <c r="A6100" s="1" t="s">
        <v>1140</v>
      </c>
      <c r="B6100" s="1" t="s">
        <v>2694</v>
      </c>
      <c r="C6100" s="1" t="s">
        <v>73</v>
      </c>
      <c r="D6100" s="3">
        <f t="shared" si="890"/>
        <v>7414</v>
      </c>
      <c r="E6100" s="2">
        <f t="shared" si="891"/>
        <v>41214</v>
      </c>
      <c r="F6100" s="2">
        <f t="shared" si="892"/>
        <v>41394</v>
      </c>
    </row>
    <row r="6101" spans="1:6" x14ac:dyDescent="0.25">
      <c r="A6101" s="1" t="s">
        <v>1140</v>
      </c>
      <c r="B6101" s="1" t="s">
        <v>2694</v>
      </c>
      <c r="C6101" s="1" t="s">
        <v>161</v>
      </c>
      <c r="D6101" s="3">
        <f t="shared" si="890"/>
        <v>7414</v>
      </c>
      <c r="E6101" s="2">
        <f t="shared" si="891"/>
        <v>41214</v>
      </c>
      <c r="F6101" s="2">
        <f t="shared" si="892"/>
        <v>41394</v>
      </c>
    </row>
    <row r="6102" spans="1:6" x14ac:dyDescent="0.25">
      <c r="A6102" s="1" t="s">
        <v>1140</v>
      </c>
      <c r="B6102" s="1" t="s">
        <v>2694</v>
      </c>
      <c r="C6102" s="1" t="s">
        <v>333</v>
      </c>
      <c r="D6102" s="3">
        <f t="shared" si="890"/>
        <v>7414</v>
      </c>
      <c r="E6102" s="2">
        <f t="shared" si="891"/>
        <v>41214</v>
      </c>
      <c r="F6102" s="2">
        <f t="shared" si="892"/>
        <v>41394</v>
      </c>
    </row>
    <row r="6103" spans="1:6" x14ac:dyDescent="0.25">
      <c r="A6103" s="1" t="s">
        <v>1140</v>
      </c>
      <c r="B6103" s="1" t="s">
        <v>2694</v>
      </c>
      <c r="C6103" s="1" t="s">
        <v>185</v>
      </c>
      <c r="D6103" s="3">
        <f t="shared" si="890"/>
        <v>7414</v>
      </c>
      <c r="E6103" s="2">
        <f t="shared" si="891"/>
        <v>41214</v>
      </c>
      <c r="F6103" s="2">
        <f t="shared" si="892"/>
        <v>41394</v>
      </c>
    </row>
    <row r="6104" spans="1:6" x14ac:dyDescent="0.25">
      <c r="A6104" s="1" t="s">
        <v>1140</v>
      </c>
      <c r="B6104" s="1" t="s">
        <v>2637</v>
      </c>
      <c r="C6104" s="1" t="s">
        <v>39</v>
      </c>
      <c r="D6104" s="3">
        <f t="shared" ref="D6104:D6120" si="893">VALUE("7260")</f>
        <v>7260</v>
      </c>
      <c r="E6104" s="2">
        <f t="shared" ref="E6104:E6120" si="894">DATEVALUE("1-1-2012")</f>
        <v>40909</v>
      </c>
      <c r="F6104" s="2">
        <f t="shared" ref="F6104:F6120" si="895">DATEVALUE("28-2-2013")</f>
        <v>41333</v>
      </c>
    </row>
    <row r="6105" spans="1:6" x14ac:dyDescent="0.25">
      <c r="A6105" s="1" t="s">
        <v>1140</v>
      </c>
      <c r="B6105" s="1" t="s">
        <v>2637</v>
      </c>
      <c r="C6105" s="1" t="s">
        <v>256</v>
      </c>
      <c r="D6105" s="3">
        <f t="shared" si="893"/>
        <v>7260</v>
      </c>
      <c r="E6105" s="2">
        <f t="shared" si="894"/>
        <v>40909</v>
      </c>
      <c r="F6105" s="2">
        <f t="shared" si="895"/>
        <v>41333</v>
      </c>
    </row>
    <row r="6106" spans="1:6" x14ac:dyDescent="0.25">
      <c r="A6106" s="1" t="s">
        <v>1140</v>
      </c>
      <c r="B6106" s="1" t="s">
        <v>2637</v>
      </c>
      <c r="C6106" s="1" t="s">
        <v>43</v>
      </c>
      <c r="D6106" s="3">
        <f t="shared" si="893"/>
        <v>7260</v>
      </c>
      <c r="E6106" s="2">
        <f t="shared" si="894"/>
        <v>40909</v>
      </c>
      <c r="F6106" s="2">
        <f t="shared" si="895"/>
        <v>41333</v>
      </c>
    </row>
    <row r="6107" spans="1:6" x14ac:dyDescent="0.25">
      <c r="A6107" s="1" t="s">
        <v>1140</v>
      </c>
      <c r="B6107" s="1" t="s">
        <v>2637</v>
      </c>
      <c r="C6107" s="1" t="s">
        <v>418</v>
      </c>
      <c r="D6107" s="3">
        <f t="shared" si="893"/>
        <v>7260</v>
      </c>
      <c r="E6107" s="2">
        <f t="shared" si="894"/>
        <v>40909</v>
      </c>
      <c r="F6107" s="2">
        <f t="shared" si="895"/>
        <v>41333</v>
      </c>
    </row>
    <row r="6108" spans="1:6" x14ac:dyDescent="0.25">
      <c r="A6108" s="1" t="s">
        <v>1140</v>
      </c>
      <c r="B6108" s="1" t="s">
        <v>2637</v>
      </c>
      <c r="C6108" s="1" t="s">
        <v>330</v>
      </c>
      <c r="D6108" s="3">
        <f t="shared" si="893"/>
        <v>7260</v>
      </c>
      <c r="E6108" s="2">
        <f t="shared" si="894"/>
        <v>40909</v>
      </c>
      <c r="F6108" s="2">
        <f t="shared" si="895"/>
        <v>41333</v>
      </c>
    </row>
    <row r="6109" spans="1:6" x14ac:dyDescent="0.25">
      <c r="A6109" s="1" t="s">
        <v>1140</v>
      </c>
      <c r="B6109" s="1" t="s">
        <v>2637</v>
      </c>
      <c r="C6109" s="1" t="s">
        <v>331</v>
      </c>
      <c r="D6109" s="3">
        <f t="shared" si="893"/>
        <v>7260</v>
      </c>
      <c r="E6109" s="2">
        <f t="shared" si="894"/>
        <v>40909</v>
      </c>
      <c r="F6109" s="2">
        <f t="shared" si="895"/>
        <v>41333</v>
      </c>
    </row>
    <row r="6110" spans="1:6" x14ac:dyDescent="0.25">
      <c r="A6110" s="1" t="s">
        <v>1140</v>
      </c>
      <c r="B6110" s="1" t="s">
        <v>2637</v>
      </c>
      <c r="C6110" s="1" t="s">
        <v>27</v>
      </c>
      <c r="D6110" s="3">
        <f t="shared" si="893"/>
        <v>7260</v>
      </c>
      <c r="E6110" s="2">
        <f t="shared" si="894"/>
        <v>40909</v>
      </c>
      <c r="F6110" s="2">
        <f t="shared" si="895"/>
        <v>41333</v>
      </c>
    </row>
    <row r="6111" spans="1:6" x14ac:dyDescent="0.25">
      <c r="A6111" s="1" t="s">
        <v>1140</v>
      </c>
      <c r="B6111" s="1" t="s">
        <v>2637</v>
      </c>
      <c r="C6111" s="1" t="s">
        <v>262</v>
      </c>
      <c r="D6111" s="3">
        <f t="shared" si="893"/>
        <v>7260</v>
      </c>
      <c r="E6111" s="2">
        <f t="shared" si="894"/>
        <v>40909</v>
      </c>
      <c r="F6111" s="2">
        <f t="shared" si="895"/>
        <v>41333</v>
      </c>
    </row>
    <row r="6112" spans="1:6" x14ac:dyDescent="0.25">
      <c r="A6112" s="1" t="s">
        <v>1140</v>
      </c>
      <c r="B6112" s="1" t="s">
        <v>2637</v>
      </c>
      <c r="C6112" s="1" t="s">
        <v>73</v>
      </c>
      <c r="D6112" s="3">
        <f t="shared" si="893"/>
        <v>7260</v>
      </c>
      <c r="E6112" s="2">
        <f t="shared" si="894"/>
        <v>40909</v>
      </c>
      <c r="F6112" s="2">
        <f t="shared" si="895"/>
        <v>41333</v>
      </c>
    </row>
    <row r="6113" spans="1:6" x14ac:dyDescent="0.25">
      <c r="A6113" s="1" t="s">
        <v>1140</v>
      </c>
      <c r="B6113" s="1" t="s">
        <v>2637</v>
      </c>
      <c r="C6113" s="1" t="s">
        <v>303</v>
      </c>
      <c r="D6113" s="3">
        <f t="shared" si="893"/>
        <v>7260</v>
      </c>
      <c r="E6113" s="2">
        <f t="shared" si="894"/>
        <v>40909</v>
      </c>
      <c r="F6113" s="2">
        <f t="shared" si="895"/>
        <v>41333</v>
      </c>
    </row>
    <row r="6114" spans="1:6" x14ac:dyDescent="0.25">
      <c r="A6114" s="1" t="s">
        <v>1140</v>
      </c>
      <c r="B6114" s="1" t="s">
        <v>2637</v>
      </c>
      <c r="C6114" s="1" t="s">
        <v>1971</v>
      </c>
      <c r="D6114" s="3">
        <f t="shared" si="893"/>
        <v>7260</v>
      </c>
      <c r="E6114" s="2">
        <f t="shared" si="894"/>
        <v>40909</v>
      </c>
      <c r="F6114" s="2">
        <f t="shared" si="895"/>
        <v>41333</v>
      </c>
    </row>
    <row r="6115" spans="1:6" x14ac:dyDescent="0.25">
      <c r="A6115" s="1" t="s">
        <v>1140</v>
      </c>
      <c r="B6115" s="1" t="s">
        <v>2637</v>
      </c>
      <c r="C6115" s="1" t="s">
        <v>594</v>
      </c>
      <c r="D6115" s="3">
        <f t="shared" si="893"/>
        <v>7260</v>
      </c>
      <c r="E6115" s="2">
        <f t="shared" si="894"/>
        <v>40909</v>
      </c>
      <c r="F6115" s="2">
        <f t="shared" si="895"/>
        <v>41333</v>
      </c>
    </row>
    <row r="6116" spans="1:6" x14ac:dyDescent="0.25">
      <c r="A6116" s="1" t="s">
        <v>1140</v>
      </c>
      <c r="B6116" s="1" t="s">
        <v>2637</v>
      </c>
      <c r="C6116" s="1" t="s">
        <v>595</v>
      </c>
      <c r="D6116" s="3">
        <f t="shared" si="893"/>
        <v>7260</v>
      </c>
      <c r="E6116" s="2">
        <f t="shared" si="894"/>
        <v>40909</v>
      </c>
      <c r="F6116" s="2">
        <f t="shared" si="895"/>
        <v>41333</v>
      </c>
    </row>
    <row r="6117" spans="1:6" x14ac:dyDescent="0.25">
      <c r="A6117" s="1" t="s">
        <v>1140</v>
      </c>
      <c r="B6117" s="1" t="s">
        <v>2637</v>
      </c>
      <c r="C6117" s="1" t="s">
        <v>161</v>
      </c>
      <c r="D6117" s="3">
        <f t="shared" si="893"/>
        <v>7260</v>
      </c>
      <c r="E6117" s="2">
        <f t="shared" si="894"/>
        <v>40909</v>
      </c>
      <c r="F6117" s="2">
        <f t="shared" si="895"/>
        <v>41333</v>
      </c>
    </row>
    <row r="6118" spans="1:6" x14ac:dyDescent="0.25">
      <c r="A6118" s="1" t="s">
        <v>1140</v>
      </c>
      <c r="B6118" s="1" t="s">
        <v>2637</v>
      </c>
      <c r="C6118" s="1" t="s">
        <v>333</v>
      </c>
      <c r="D6118" s="3">
        <f t="shared" si="893"/>
        <v>7260</v>
      </c>
      <c r="E6118" s="2">
        <f t="shared" si="894"/>
        <v>40909</v>
      </c>
      <c r="F6118" s="2">
        <f t="shared" si="895"/>
        <v>41333</v>
      </c>
    </row>
    <row r="6119" spans="1:6" x14ac:dyDescent="0.25">
      <c r="A6119" s="1" t="s">
        <v>1140</v>
      </c>
      <c r="B6119" s="1" t="s">
        <v>2637</v>
      </c>
      <c r="C6119" s="1" t="s">
        <v>185</v>
      </c>
      <c r="D6119" s="3">
        <f t="shared" si="893"/>
        <v>7260</v>
      </c>
      <c r="E6119" s="2">
        <f t="shared" si="894"/>
        <v>40909</v>
      </c>
      <c r="F6119" s="2">
        <f t="shared" si="895"/>
        <v>41333</v>
      </c>
    </row>
    <row r="6120" spans="1:6" x14ac:dyDescent="0.25">
      <c r="A6120" s="1" t="s">
        <v>1140</v>
      </c>
      <c r="B6120" s="1" t="s">
        <v>2637</v>
      </c>
      <c r="C6120" s="1" t="s">
        <v>57</v>
      </c>
      <c r="D6120" s="3">
        <f t="shared" si="893"/>
        <v>7260</v>
      </c>
      <c r="E6120" s="2">
        <f t="shared" si="894"/>
        <v>40909</v>
      </c>
      <c r="F6120" s="2">
        <f t="shared" si="895"/>
        <v>41333</v>
      </c>
    </row>
    <row r="6121" spans="1:6" x14ac:dyDescent="0.25">
      <c r="A6121" s="1" t="s">
        <v>1140</v>
      </c>
      <c r="B6121" s="1" t="s">
        <v>2560</v>
      </c>
      <c r="C6121" s="1" t="s">
        <v>330</v>
      </c>
      <c r="D6121" s="3">
        <f>VALUE("7043")</f>
        <v>7043</v>
      </c>
      <c r="E6121" s="2">
        <f>DATEVALUE("1-9-2011")</f>
        <v>40787</v>
      </c>
      <c r="F6121" s="2">
        <f>DATEVALUE("31-12-2011")</f>
        <v>40908</v>
      </c>
    </row>
    <row r="6122" spans="1:6" x14ac:dyDescent="0.25">
      <c r="A6122" s="1" t="s">
        <v>1140</v>
      </c>
      <c r="B6122" s="1" t="s">
        <v>2560</v>
      </c>
      <c r="C6122" s="1" t="s">
        <v>333</v>
      </c>
      <c r="D6122" s="3">
        <f>VALUE("7043")</f>
        <v>7043</v>
      </c>
      <c r="E6122" s="2">
        <f>DATEVALUE("1-9-2011")</f>
        <v>40787</v>
      </c>
      <c r="F6122" s="2">
        <f>DATEVALUE("31-12-2011")</f>
        <v>40908</v>
      </c>
    </row>
    <row r="6123" spans="1:6" x14ac:dyDescent="0.25">
      <c r="A6123" s="1" t="s">
        <v>1140</v>
      </c>
      <c r="B6123" s="1" t="s">
        <v>2560</v>
      </c>
      <c r="C6123" s="1" t="s">
        <v>185</v>
      </c>
      <c r="D6123" s="3">
        <f>VALUE("7043")</f>
        <v>7043</v>
      </c>
      <c r="E6123" s="2">
        <f>DATEVALUE("1-9-2011")</f>
        <v>40787</v>
      </c>
      <c r="F6123" s="2">
        <f>DATEVALUE("31-12-2011")</f>
        <v>40908</v>
      </c>
    </row>
    <row r="6124" spans="1:6" x14ac:dyDescent="0.25">
      <c r="A6124" s="1" t="s">
        <v>2383</v>
      </c>
      <c r="B6124" s="1" t="s">
        <v>2382</v>
      </c>
      <c r="C6124" s="1" t="s">
        <v>7</v>
      </c>
      <c r="D6124" s="3">
        <f>VALUE("8319")</f>
        <v>8319</v>
      </c>
      <c r="E6124" s="2">
        <f>DATEVALUE("1-7-2018")</f>
        <v>43282</v>
      </c>
      <c r="F6124" s="2">
        <f>DATEVALUE("30-9-2018")</f>
        <v>43373</v>
      </c>
    </row>
    <row r="6125" spans="1:6" x14ac:dyDescent="0.25">
      <c r="A6125" s="1" t="s">
        <v>2383</v>
      </c>
      <c r="B6125" s="1" t="s">
        <v>2382</v>
      </c>
      <c r="C6125" s="1" t="s">
        <v>599</v>
      </c>
      <c r="D6125" s="3">
        <f>VALUE("8319")</f>
        <v>8319</v>
      </c>
      <c r="E6125" s="2">
        <f>DATEVALUE("1-7-2018")</f>
        <v>43282</v>
      </c>
      <c r="F6125" s="2">
        <f>DATEVALUE("30-9-2018")</f>
        <v>43373</v>
      </c>
    </row>
    <row r="6126" spans="1:6" x14ac:dyDescent="0.25">
      <c r="A6126" s="1" t="s">
        <v>2383</v>
      </c>
      <c r="B6126" s="1" t="s">
        <v>2382</v>
      </c>
      <c r="C6126" s="1" t="s">
        <v>2384</v>
      </c>
      <c r="D6126" s="3">
        <f>VALUE("8319")</f>
        <v>8319</v>
      </c>
      <c r="E6126" s="2">
        <f>DATEVALUE("1-7-2018")</f>
        <v>43282</v>
      </c>
      <c r="F6126" s="2">
        <f>DATEVALUE("30-9-2018")</f>
        <v>43373</v>
      </c>
    </row>
    <row r="6127" spans="1:6" x14ac:dyDescent="0.25">
      <c r="A6127" s="1" t="s">
        <v>1534</v>
      </c>
      <c r="B6127" s="1" t="s">
        <v>1533</v>
      </c>
      <c r="C6127" s="1" t="s">
        <v>1535</v>
      </c>
      <c r="D6127" s="3">
        <f>VALUE("8723")</f>
        <v>8723</v>
      </c>
      <c r="E6127" s="2">
        <f>DATEVALUE("1-3-2020")</f>
        <v>43891</v>
      </c>
      <c r="F6127" s="2">
        <f>DATEVALUE("31-12-2020")</f>
        <v>44196</v>
      </c>
    </row>
    <row r="6128" spans="1:6" x14ac:dyDescent="0.25">
      <c r="A6128" s="1" t="s">
        <v>2380</v>
      </c>
      <c r="B6128" s="1" t="s">
        <v>2379</v>
      </c>
      <c r="C6128" s="1" t="s">
        <v>7</v>
      </c>
      <c r="D6128" s="3">
        <f>VALUE("8318")</f>
        <v>8318</v>
      </c>
      <c r="E6128" s="2">
        <f>DATEVALUE("1-7-2018")</f>
        <v>43282</v>
      </c>
      <c r="F6128" s="2">
        <f>DATEVALUE("30-11-2018")</f>
        <v>43434</v>
      </c>
    </row>
    <row r="6129" spans="1:6" x14ac:dyDescent="0.25">
      <c r="A6129" s="1" t="s">
        <v>2380</v>
      </c>
      <c r="B6129" s="1" t="s">
        <v>2379</v>
      </c>
      <c r="C6129" s="1" t="s">
        <v>221</v>
      </c>
      <c r="D6129" s="3">
        <f>VALUE("8318")</f>
        <v>8318</v>
      </c>
      <c r="E6129" s="2">
        <f>DATEVALUE("1-7-2018")</f>
        <v>43282</v>
      </c>
      <c r="F6129" s="2">
        <f>DATEVALUE("30-11-2018")</f>
        <v>43434</v>
      </c>
    </row>
    <row r="6130" spans="1:6" x14ac:dyDescent="0.25">
      <c r="A6130" s="1" t="s">
        <v>1062</v>
      </c>
      <c r="B6130" s="1" t="s">
        <v>1268</v>
      </c>
      <c r="C6130" s="1" t="s">
        <v>191</v>
      </c>
      <c r="D6130" s="3">
        <f t="shared" ref="D6130:D6157" si="896">VALUE("8519")</f>
        <v>8519</v>
      </c>
      <c r="E6130" s="2">
        <f t="shared" ref="E6130:E6157" si="897">DATEVALUE("1-6-2019")</f>
        <v>43617</v>
      </c>
      <c r="F6130" s="2">
        <f t="shared" ref="F6130:F6157" si="898">DATEVALUE("31-12-2023")</f>
        <v>45291</v>
      </c>
    </row>
    <row r="6131" spans="1:6" x14ac:dyDescent="0.25">
      <c r="A6131" s="1" t="s">
        <v>1062</v>
      </c>
      <c r="B6131" s="1" t="s">
        <v>1268</v>
      </c>
      <c r="C6131" s="1" t="s">
        <v>184</v>
      </c>
      <c r="D6131" s="3">
        <f t="shared" si="896"/>
        <v>8519</v>
      </c>
      <c r="E6131" s="2">
        <f t="shared" si="897"/>
        <v>43617</v>
      </c>
      <c r="F6131" s="2">
        <f t="shared" si="898"/>
        <v>45291</v>
      </c>
    </row>
    <row r="6132" spans="1:6" x14ac:dyDescent="0.25">
      <c r="A6132" s="1" t="s">
        <v>1062</v>
      </c>
      <c r="B6132" s="1" t="s">
        <v>1268</v>
      </c>
      <c r="C6132" s="1" t="s">
        <v>416</v>
      </c>
      <c r="D6132" s="3">
        <f t="shared" si="896"/>
        <v>8519</v>
      </c>
      <c r="E6132" s="2">
        <f t="shared" si="897"/>
        <v>43617</v>
      </c>
      <c r="F6132" s="2">
        <f t="shared" si="898"/>
        <v>45291</v>
      </c>
    </row>
    <row r="6133" spans="1:6" x14ac:dyDescent="0.25">
      <c r="A6133" s="1" t="s">
        <v>1062</v>
      </c>
      <c r="B6133" s="1" t="s">
        <v>1268</v>
      </c>
      <c r="C6133" s="1" t="s">
        <v>14</v>
      </c>
      <c r="D6133" s="3">
        <f t="shared" si="896"/>
        <v>8519</v>
      </c>
      <c r="E6133" s="2">
        <f t="shared" si="897"/>
        <v>43617</v>
      </c>
      <c r="F6133" s="2">
        <f t="shared" si="898"/>
        <v>45291</v>
      </c>
    </row>
    <row r="6134" spans="1:6" x14ac:dyDescent="0.25">
      <c r="A6134" s="1" t="s">
        <v>1062</v>
      </c>
      <c r="B6134" s="1" t="s">
        <v>1268</v>
      </c>
      <c r="C6134" s="1" t="s">
        <v>16</v>
      </c>
      <c r="D6134" s="3">
        <f t="shared" si="896"/>
        <v>8519</v>
      </c>
      <c r="E6134" s="2">
        <f t="shared" si="897"/>
        <v>43617</v>
      </c>
      <c r="F6134" s="2">
        <f t="shared" si="898"/>
        <v>45291</v>
      </c>
    </row>
    <row r="6135" spans="1:6" x14ac:dyDescent="0.25">
      <c r="A6135" s="1" t="s">
        <v>1062</v>
      </c>
      <c r="B6135" s="1" t="s">
        <v>1268</v>
      </c>
      <c r="C6135" s="1" t="s">
        <v>17</v>
      </c>
      <c r="D6135" s="3">
        <f t="shared" si="896"/>
        <v>8519</v>
      </c>
      <c r="E6135" s="2">
        <f t="shared" si="897"/>
        <v>43617</v>
      </c>
      <c r="F6135" s="2">
        <f t="shared" si="898"/>
        <v>45291</v>
      </c>
    </row>
    <row r="6136" spans="1:6" x14ac:dyDescent="0.25">
      <c r="A6136" s="1" t="s">
        <v>1062</v>
      </c>
      <c r="B6136" s="1" t="s">
        <v>1268</v>
      </c>
      <c r="C6136" s="1" t="s">
        <v>257</v>
      </c>
      <c r="D6136" s="3">
        <f t="shared" si="896"/>
        <v>8519</v>
      </c>
      <c r="E6136" s="2">
        <f t="shared" si="897"/>
        <v>43617</v>
      </c>
      <c r="F6136" s="2">
        <f t="shared" si="898"/>
        <v>45291</v>
      </c>
    </row>
    <row r="6137" spans="1:6" x14ac:dyDescent="0.25">
      <c r="A6137" s="1" t="s">
        <v>1062</v>
      </c>
      <c r="B6137" s="1" t="s">
        <v>1268</v>
      </c>
      <c r="C6137" s="1" t="s">
        <v>22</v>
      </c>
      <c r="D6137" s="3">
        <f t="shared" si="896"/>
        <v>8519</v>
      </c>
      <c r="E6137" s="2">
        <f t="shared" si="897"/>
        <v>43617</v>
      </c>
      <c r="F6137" s="2">
        <f t="shared" si="898"/>
        <v>45291</v>
      </c>
    </row>
    <row r="6138" spans="1:6" x14ac:dyDescent="0.25">
      <c r="A6138" s="1" t="s">
        <v>1062</v>
      </c>
      <c r="B6138" s="1" t="s">
        <v>1268</v>
      </c>
      <c r="C6138" s="1" t="s">
        <v>146</v>
      </c>
      <c r="D6138" s="3">
        <f t="shared" si="896"/>
        <v>8519</v>
      </c>
      <c r="E6138" s="2">
        <f t="shared" si="897"/>
        <v>43617</v>
      </c>
      <c r="F6138" s="2">
        <f t="shared" si="898"/>
        <v>45291</v>
      </c>
    </row>
    <row r="6139" spans="1:6" x14ac:dyDescent="0.25">
      <c r="A6139" s="1" t="s">
        <v>1062</v>
      </c>
      <c r="B6139" s="1" t="s">
        <v>1268</v>
      </c>
      <c r="C6139" s="1" t="s">
        <v>67</v>
      </c>
      <c r="D6139" s="3">
        <f t="shared" si="896"/>
        <v>8519</v>
      </c>
      <c r="E6139" s="2">
        <f t="shared" si="897"/>
        <v>43617</v>
      </c>
      <c r="F6139" s="2">
        <f t="shared" si="898"/>
        <v>45291</v>
      </c>
    </row>
    <row r="6140" spans="1:6" x14ac:dyDescent="0.25">
      <c r="A6140" s="1" t="s">
        <v>1062</v>
      </c>
      <c r="B6140" s="1" t="s">
        <v>1268</v>
      </c>
      <c r="C6140" s="1" t="s">
        <v>147</v>
      </c>
      <c r="D6140" s="3">
        <f t="shared" si="896"/>
        <v>8519</v>
      </c>
      <c r="E6140" s="2">
        <f t="shared" si="897"/>
        <v>43617</v>
      </c>
      <c r="F6140" s="2">
        <f t="shared" si="898"/>
        <v>45291</v>
      </c>
    </row>
    <row r="6141" spans="1:6" x14ac:dyDescent="0.25">
      <c r="A6141" s="1" t="s">
        <v>1062</v>
      </c>
      <c r="B6141" s="1" t="s">
        <v>1268</v>
      </c>
      <c r="C6141" s="1" t="s">
        <v>148</v>
      </c>
      <c r="D6141" s="3">
        <f t="shared" si="896"/>
        <v>8519</v>
      </c>
      <c r="E6141" s="2">
        <f t="shared" si="897"/>
        <v>43617</v>
      </c>
      <c r="F6141" s="2">
        <f t="shared" si="898"/>
        <v>45291</v>
      </c>
    </row>
    <row r="6142" spans="1:6" x14ac:dyDescent="0.25">
      <c r="A6142" s="1" t="s">
        <v>1062</v>
      </c>
      <c r="B6142" s="1" t="s">
        <v>1268</v>
      </c>
      <c r="C6142" s="1" t="s">
        <v>149</v>
      </c>
      <c r="D6142" s="3">
        <f t="shared" si="896"/>
        <v>8519</v>
      </c>
      <c r="E6142" s="2">
        <f t="shared" si="897"/>
        <v>43617</v>
      </c>
      <c r="F6142" s="2">
        <f t="shared" si="898"/>
        <v>45291</v>
      </c>
    </row>
    <row r="6143" spans="1:6" x14ac:dyDescent="0.25">
      <c r="A6143" s="1" t="s">
        <v>1062</v>
      </c>
      <c r="B6143" s="1" t="s">
        <v>1268</v>
      </c>
      <c r="C6143" s="1" t="s">
        <v>172</v>
      </c>
      <c r="D6143" s="3">
        <f t="shared" si="896"/>
        <v>8519</v>
      </c>
      <c r="E6143" s="2">
        <f t="shared" si="897"/>
        <v>43617</v>
      </c>
      <c r="F6143" s="2">
        <f t="shared" si="898"/>
        <v>45291</v>
      </c>
    </row>
    <row r="6144" spans="1:6" x14ac:dyDescent="0.25">
      <c r="A6144" s="1" t="s">
        <v>1062</v>
      </c>
      <c r="B6144" s="1" t="s">
        <v>1268</v>
      </c>
      <c r="C6144" s="1" t="s">
        <v>92</v>
      </c>
      <c r="D6144" s="3">
        <f t="shared" si="896"/>
        <v>8519</v>
      </c>
      <c r="E6144" s="2">
        <f t="shared" si="897"/>
        <v>43617</v>
      </c>
      <c r="F6144" s="2">
        <f t="shared" si="898"/>
        <v>45291</v>
      </c>
    </row>
    <row r="6145" spans="1:6" x14ac:dyDescent="0.25">
      <c r="A6145" s="1" t="s">
        <v>1062</v>
      </c>
      <c r="B6145" s="1" t="s">
        <v>1268</v>
      </c>
      <c r="C6145" s="1" t="s">
        <v>616</v>
      </c>
      <c r="D6145" s="3">
        <f t="shared" si="896"/>
        <v>8519</v>
      </c>
      <c r="E6145" s="2">
        <f t="shared" si="897"/>
        <v>43617</v>
      </c>
      <c r="F6145" s="2">
        <f t="shared" si="898"/>
        <v>45291</v>
      </c>
    </row>
    <row r="6146" spans="1:6" x14ac:dyDescent="0.25">
      <c r="A6146" s="1" t="s">
        <v>1062</v>
      </c>
      <c r="B6146" s="1" t="s">
        <v>1268</v>
      </c>
      <c r="C6146" s="1" t="s">
        <v>155</v>
      </c>
      <c r="D6146" s="3">
        <f t="shared" si="896"/>
        <v>8519</v>
      </c>
      <c r="E6146" s="2">
        <f t="shared" si="897"/>
        <v>43617</v>
      </c>
      <c r="F6146" s="2">
        <f t="shared" si="898"/>
        <v>45291</v>
      </c>
    </row>
    <row r="6147" spans="1:6" x14ac:dyDescent="0.25">
      <c r="A6147" s="1" t="s">
        <v>1062</v>
      </c>
      <c r="B6147" s="1" t="s">
        <v>1268</v>
      </c>
      <c r="C6147" s="1" t="s">
        <v>24</v>
      </c>
      <c r="D6147" s="3">
        <f t="shared" si="896"/>
        <v>8519</v>
      </c>
      <c r="E6147" s="2">
        <f t="shared" si="897"/>
        <v>43617</v>
      </c>
      <c r="F6147" s="2">
        <f t="shared" si="898"/>
        <v>45291</v>
      </c>
    </row>
    <row r="6148" spans="1:6" x14ac:dyDescent="0.25">
      <c r="A6148" s="1" t="s">
        <v>1062</v>
      </c>
      <c r="B6148" s="1" t="s">
        <v>1268</v>
      </c>
      <c r="C6148" s="1" t="s">
        <v>70</v>
      </c>
      <c r="D6148" s="3">
        <f t="shared" si="896"/>
        <v>8519</v>
      </c>
      <c r="E6148" s="2">
        <f t="shared" si="897"/>
        <v>43617</v>
      </c>
      <c r="F6148" s="2">
        <f t="shared" si="898"/>
        <v>45291</v>
      </c>
    </row>
    <row r="6149" spans="1:6" x14ac:dyDescent="0.25">
      <c r="A6149" s="1" t="s">
        <v>1062</v>
      </c>
      <c r="B6149" s="1" t="s">
        <v>1268</v>
      </c>
      <c r="C6149" s="1" t="s">
        <v>72</v>
      </c>
      <c r="D6149" s="3">
        <f t="shared" si="896"/>
        <v>8519</v>
      </c>
      <c r="E6149" s="2">
        <f t="shared" si="897"/>
        <v>43617</v>
      </c>
      <c r="F6149" s="2">
        <f t="shared" si="898"/>
        <v>45291</v>
      </c>
    </row>
    <row r="6150" spans="1:6" x14ac:dyDescent="0.25">
      <c r="A6150" s="1" t="s">
        <v>1062</v>
      </c>
      <c r="B6150" s="1" t="s">
        <v>1268</v>
      </c>
      <c r="C6150" s="1" t="s">
        <v>51</v>
      </c>
      <c r="D6150" s="3">
        <f t="shared" si="896"/>
        <v>8519</v>
      </c>
      <c r="E6150" s="2">
        <f t="shared" si="897"/>
        <v>43617</v>
      </c>
      <c r="F6150" s="2">
        <f t="shared" si="898"/>
        <v>45291</v>
      </c>
    </row>
    <row r="6151" spans="1:6" x14ac:dyDescent="0.25">
      <c r="A6151" s="1" t="s">
        <v>1062</v>
      </c>
      <c r="B6151" s="1" t="s">
        <v>1268</v>
      </c>
      <c r="C6151" s="1" t="s">
        <v>158</v>
      </c>
      <c r="D6151" s="3">
        <f t="shared" si="896"/>
        <v>8519</v>
      </c>
      <c r="E6151" s="2">
        <f t="shared" si="897"/>
        <v>43617</v>
      </c>
      <c r="F6151" s="2">
        <f t="shared" si="898"/>
        <v>45291</v>
      </c>
    </row>
    <row r="6152" spans="1:6" x14ac:dyDescent="0.25">
      <c r="A6152" s="1" t="s">
        <v>1062</v>
      </c>
      <c r="B6152" s="1" t="s">
        <v>1268</v>
      </c>
      <c r="C6152" s="1" t="s">
        <v>620</v>
      </c>
      <c r="D6152" s="3">
        <f t="shared" si="896"/>
        <v>8519</v>
      </c>
      <c r="E6152" s="2">
        <f t="shared" si="897"/>
        <v>43617</v>
      </c>
      <c r="F6152" s="2">
        <f t="shared" si="898"/>
        <v>45291</v>
      </c>
    </row>
    <row r="6153" spans="1:6" x14ac:dyDescent="0.25">
      <c r="A6153" s="1" t="s">
        <v>1062</v>
      </c>
      <c r="B6153" s="1" t="s">
        <v>1268</v>
      </c>
      <c r="C6153" s="1" t="s">
        <v>52</v>
      </c>
      <c r="D6153" s="3">
        <f t="shared" si="896"/>
        <v>8519</v>
      </c>
      <c r="E6153" s="2">
        <f t="shared" si="897"/>
        <v>43617</v>
      </c>
      <c r="F6153" s="2">
        <f t="shared" si="898"/>
        <v>45291</v>
      </c>
    </row>
    <row r="6154" spans="1:6" x14ac:dyDescent="0.25">
      <c r="A6154" s="1" t="s">
        <v>1062</v>
      </c>
      <c r="B6154" s="1" t="s">
        <v>1268</v>
      </c>
      <c r="C6154" s="1" t="s">
        <v>160</v>
      </c>
      <c r="D6154" s="3">
        <f t="shared" si="896"/>
        <v>8519</v>
      </c>
      <c r="E6154" s="2">
        <f t="shared" si="897"/>
        <v>43617</v>
      </c>
      <c r="F6154" s="2">
        <f t="shared" si="898"/>
        <v>45291</v>
      </c>
    </row>
    <row r="6155" spans="1:6" x14ac:dyDescent="0.25">
      <c r="A6155" s="1" t="s">
        <v>1062</v>
      </c>
      <c r="B6155" s="1" t="s">
        <v>1268</v>
      </c>
      <c r="C6155" s="1" t="s">
        <v>448</v>
      </c>
      <c r="D6155" s="3">
        <f t="shared" si="896"/>
        <v>8519</v>
      </c>
      <c r="E6155" s="2">
        <f t="shared" si="897"/>
        <v>43617</v>
      </c>
      <c r="F6155" s="2">
        <f t="shared" si="898"/>
        <v>45291</v>
      </c>
    </row>
    <row r="6156" spans="1:6" x14ac:dyDescent="0.25">
      <c r="A6156" s="1" t="s">
        <v>1062</v>
      </c>
      <c r="B6156" s="1" t="s">
        <v>1268</v>
      </c>
      <c r="C6156" s="1" t="s">
        <v>162</v>
      </c>
      <c r="D6156" s="3">
        <f t="shared" si="896"/>
        <v>8519</v>
      </c>
      <c r="E6156" s="2">
        <f t="shared" si="897"/>
        <v>43617</v>
      </c>
      <c r="F6156" s="2">
        <f t="shared" si="898"/>
        <v>45291</v>
      </c>
    </row>
    <row r="6157" spans="1:6" x14ac:dyDescent="0.25">
      <c r="A6157" s="1" t="s">
        <v>1062</v>
      </c>
      <c r="B6157" s="1" t="s">
        <v>1268</v>
      </c>
      <c r="C6157" s="1" t="s">
        <v>34</v>
      </c>
      <c r="D6157" s="3">
        <f t="shared" si="896"/>
        <v>8519</v>
      </c>
      <c r="E6157" s="2">
        <f t="shared" si="897"/>
        <v>43617</v>
      </c>
      <c r="F6157" s="2">
        <f t="shared" si="898"/>
        <v>45291</v>
      </c>
    </row>
    <row r="6158" spans="1:6" x14ac:dyDescent="0.25">
      <c r="A6158" s="1" t="s">
        <v>1062</v>
      </c>
      <c r="B6158" s="1" t="s">
        <v>1061</v>
      </c>
      <c r="C6158" s="1" t="s">
        <v>85</v>
      </c>
      <c r="D6158" s="3">
        <f t="shared" ref="D6158:D6178" si="899">VALUE("8340")</f>
        <v>8340</v>
      </c>
      <c r="E6158" s="2">
        <f t="shared" ref="E6158:E6178" si="900">DATEVALUE("1-9-2018")</f>
        <v>43344</v>
      </c>
      <c r="F6158" s="2">
        <f t="shared" ref="F6158:F6178" si="901">DATEVALUE("30-6-2025")</f>
        <v>45838</v>
      </c>
    </row>
    <row r="6159" spans="1:6" x14ac:dyDescent="0.25">
      <c r="A6159" s="1" t="s">
        <v>1062</v>
      </c>
      <c r="B6159" s="1" t="s">
        <v>1061</v>
      </c>
      <c r="C6159" s="1" t="s">
        <v>84</v>
      </c>
      <c r="D6159" s="3">
        <f t="shared" si="899"/>
        <v>8340</v>
      </c>
      <c r="E6159" s="2">
        <f t="shared" si="900"/>
        <v>43344</v>
      </c>
      <c r="F6159" s="2">
        <f t="shared" si="901"/>
        <v>45838</v>
      </c>
    </row>
    <row r="6160" spans="1:6" x14ac:dyDescent="0.25">
      <c r="A6160" s="1" t="s">
        <v>1062</v>
      </c>
      <c r="B6160" s="1" t="s">
        <v>1061</v>
      </c>
      <c r="C6160" s="1" t="s">
        <v>14</v>
      </c>
      <c r="D6160" s="3">
        <f t="shared" si="899"/>
        <v>8340</v>
      </c>
      <c r="E6160" s="2">
        <f t="shared" si="900"/>
        <v>43344</v>
      </c>
      <c r="F6160" s="2">
        <f t="shared" si="901"/>
        <v>45838</v>
      </c>
    </row>
    <row r="6161" spans="1:6" x14ac:dyDescent="0.25">
      <c r="A6161" s="1" t="s">
        <v>1062</v>
      </c>
      <c r="B6161" s="1" t="s">
        <v>1061</v>
      </c>
      <c r="C6161" s="1" t="s">
        <v>17</v>
      </c>
      <c r="D6161" s="3">
        <f t="shared" si="899"/>
        <v>8340</v>
      </c>
      <c r="E6161" s="2">
        <f t="shared" si="900"/>
        <v>43344</v>
      </c>
      <c r="F6161" s="2">
        <f t="shared" si="901"/>
        <v>45838</v>
      </c>
    </row>
    <row r="6162" spans="1:6" x14ac:dyDescent="0.25">
      <c r="A6162" s="1" t="s">
        <v>1062</v>
      </c>
      <c r="B6162" s="1" t="s">
        <v>1061</v>
      </c>
      <c r="C6162" s="1" t="s">
        <v>197</v>
      </c>
      <c r="D6162" s="3">
        <f t="shared" si="899"/>
        <v>8340</v>
      </c>
      <c r="E6162" s="2">
        <f t="shared" si="900"/>
        <v>43344</v>
      </c>
      <c r="F6162" s="2">
        <f t="shared" si="901"/>
        <v>45838</v>
      </c>
    </row>
    <row r="6163" spans="1:6" x14ac:dyDescent="0.25">
      <c r="A6163" s="1" t="s">
        <v>1062</v>
      </c>
      <c r="B6163" s="1" t="s">
        <v>1061</v>
      </c>
      <c r="C6163" s="1" t="s">
        <v>22</v>
      </c>
      <c r="D6163" s="3">
        <f t="shared" si="899"/>
        <v>8340</v>
      </c>
      <c r="E6163" s="2">
        <f t="shared" si="900"/>
        <v>43344</v>
      </c>
      <c r="F6163" s="2">
        <f t="shared" si="901"/>
        <v>45838</v>
      </c>
    </row>
    <row r="6164" spans="1:6" x14ac:dyDescent="0.25">
      <c r="A6164" s="1" t="s">
        <v>1062</v>
      </c>
      <c r="B6164" s="1" t="s">
        <v>1061</v>
      </c>
      <c r="C6164" s="1" t="s">
        <v>146</v>
      </c>
      <c r="D6164" s="3">
        <f t="shared" si="899"/>
        <v>8340</v>
      </c>
      <c r="E6164" s="2">
        <f t="shared" si="900"/>
        <v>43344</v>
      </c>
      <c r="F6164" s="2">
        <f t="shared" si="901"/>
        <v>45838</v>
      </c>
    </row>
    <row r="6165" spans="1:6" x14ac:dyDescent="0.25">
      <c r="A6165" s="1" t="s">
        <v>1062</v>
      </c>
      <c r="B6165" s="1" t="s">
        <v>1061</v>
      </c>
      <c r="C6165" s="1" t="s">
        <v>67</v>
      </c>
      <c r="D6165" s="3">
        <f t="shared" si="899"/>
        <v>8340</v>
      </c>
      <c r="E6165" s="2">
        <f t="shared" si="900"/>
        <v>43344</v>
      </c>
      <c r="F6165" s="2">
        <f t="shared" si="901"/>
        <v>45838</v>
      </c>
    </row>
    <row r="6166" spans="1:6" x14ac:dyDescent="0.25">
      <c r="A6166" s="1" t="s">
        <v>1062</v>
      </c>
      <c r="B6166" s="1" t="s">
        <v>1061</v>
      </c>
      <c r="C6166" s="1" t="s">
        <v>148</v>
      </c>
      <c r="D6166" s="3">
        <f t="shared" si="899"/>
        <v>8340</v>
      </c>
      <c r="E6166" s="2">
        <f t="shared" si="900"/>
        <v>43344</v>
      </c>
      <c r="F6166" s="2">
        <f t="shared" si="901"/>
        <v>45838</v>
      </c>
    </row>
    <row r="6167" spans="1:6" x14ac:dyDescent="0.25">
      <c r="A6167" s="1" t="s">
        <v>1062</v>
      </c>
      <c r="B6167" s="1" t="s">
        <v>1061</v>
      </c>
      <c r="C6167" s="1" t="s">
        <v>149</v>
      </c>
      <c r="D6167" s="3">
        <f t="shared" si="899"/>
        <v>8340</v>
      </c>
      <c r="E6167" s="2">
        <f t="shared" si="900"/>
        <v>43344</v>
      </c>
      <c r="F6167" s="2">
        <f t="shared" si="901"/>
        <v>45838</v>
      </c>
    </row>
    <row r="6168" spans="1:6" x14ac:dyDescent="0.25">
      <c r="A6168" s="1" t="s">
        <v>1062</v>
      </c>
      <c r="B6168" s="1" t="s">
        <v>1061</v>
      </c>
      <c r="C6168" s="1" t="s">
        <v>92</v>
      </c>
      <c r="D6168" s="3">
        <f t="shared" si="899"/>
        <v>8340</v>
      </c>
      <c r="E6168" s="2">
        <f t="shared" si="900"/>
        <v>43344</v>
      </c>
      <c r="F6168" s="2">
        <f t="shared" si="901"/>
        <v>45838</v>
      </c>
    </row>
    <row r="6169" spans="1:6" x14ac:dyDescent="0.25">
      <c r="A6169" s="1" t="s">
        <v>1062</v>
      </c>
      <c r="B6169" s="1" t="s">
        <v>1061</v>
      </c>
      <c r="C6169" s="1" t="s">
        <v>128</v>
      </c>
      <c r="D6169" s="3">
        <f t="shared" si="899"/>
        <v>8340</v>
      </c>
      <c r="E6169" s="2">
        <f t="shared" si="900"/>
        <v>43344</v>
      </c>
      <c r="F6169" s="2">
        <f t="shared" si="901"/>
        <v>45838</v>
      </c>
    </row>
    <row r="6170" spans="1:6" x14ac:dyDescent="0.25">
      <c r="A6170" s="1" t="s">
        <v>1062</v>
      </c>
      <c r="B6170" s="1" t="s">
        <v>1061</v>
      </c>
      <c r="C6170" s="1" t="s">
        <v>93</v>
      </c>
      <c r="D6170" s="3">
        <f t="shared" si="899"/>
        <v>8340</v>
      </c>
      <c r="E6170" s="2">
        <f t="shared" si="900"/>
        <v>43344</v>
      </c>
      <c r="F6170" s="2">
        <f t="shared" si="901"/>
        <v>45838</v>
      </c>
    </row>
    <row r="6171" spans="1:6" x14ac:dyDescent="0.25">
      <c r="A6171" s="1" t="s">
        <v>1062</v>
      </c>
      <c r="B6171" s="1" t="s">
        <v>1061</v>
      </c>
      <c r="C6171" s="1" t="s">
        <v>1063</v>
      </c>
      <c r="D6171" s="3">
        <f t="shared" si="899"/>
        <v>8340</v>
      </c>
      <c r="E6171" s="2">
        <f t="shared" si="900"/>
        <v>43344</v>
      </c>
      <c r="F6171" s="2">
        <f t="shared" si="901"/>
        <v>45838</v>
      </c>
    </row>
    <row r="6172" spans="1:6" x14ac:dyDescent="0.25">
      <c r="A6172" s="1" t="s">
        <v>1062</v>
      </c>
      <c r="B6172" s="1" t="s">
        <v>1061</v>
      </c>
      <c r="C6172" s="1" t="s">
        <v>965</v>
      </c>
      <c r="D6172" s="3">
        <f t="shared" si="899"/>
        <v>8340</v>
      </c>
      <c r="E6172" s="2">
        <f t="shared" si="900"/>
        <v>43344</v>
      </c>
      <c r="F6172" s="2">
        <f t="shared" si="901"/>
        <v>45838</v>
      </c>
    </row>
    <row r="6173" spans="1:6" x14ac:dyDescent="0.25">
      <c r="A6173" s="1" t="s">
        <v>1062</v>
      </c>
      <c r="B6173" s="1" t="s">
        <v>1061</v>
      </c>
      <c r="C6173" s="1" t="s">
        <v>24</v>
      </c>
      <c r="D6173" s="3">
        <f t="shared" si="899"/>
        <v>8340</v>
      </c>
      <c r="E6173" s="2">
        <f t="shared" si="900"/>
        <v>43344</v>
      </c>
      <c r="F6173" s="2">
        <f t="shared" si="901"/>
        <v>45838</v>
      </c>
    </row>
    <row r="6174" spans="1:6" x14ac:dyDescent="0.25">
      <c r="A6174" s="1" t="s">
        <v>1062</v>
      </c>
      <c r="B6174" s="1" t="s">
        <v>1061</v>
      </c>
      <c r="C6174" s="1" t="s">
        <v>72</v>
      </c>
      <c r="D6174" s="3">
        <f t="shared" si="899"/>
        <v>8340</v>
      </c>
      <c r="E6174" s="2">
        <f t="shared" si="900"/>
        <v>43344</v>
      </c>
      <c r="F6174" s="2">
        <f t="shared" si="901"/>
        <v>45838</v>
      </c>
    </row>
    <row r="6175" spans="1:6" x14ac:dyDescent="0.25">
      <c r="A6175" s="1" t="s">
        <v>1062</v>
      </c>
      <c r="B6175" s="1" t="s">
        <v>1061</v>
      </c>
      <c r="C6175" s="1" t="s">
        <v>52</v>
      </c>
      <c r="D6175" s="3">
        <f t="shared" si="899"/>
        <v>8340</v>
      </c>
      <c r="E6175" s="2">
        <f t="shared" si="900"/>
        <v>43344</v>
      </c>
      <c r="F6175" s="2">
        <f t="shared" si="901"/>
        <v>45838</v>
      </c>
    </row>
    <row r="6176" spans="1:6" x14ac:dyDescent="0.25">
      <c r="A6176" s="1" t="s">
        <v>1062</v>
      </c>
      <c r="B6176" s="1" t="s">
        <v>1061</v>
      </c>
      <c r="C6176" s="1" t="s">
        <v>160</v>
      </c>
      <c r="D6176" s="3">
        <f t="shared" si="899"/>
        <v>8340</v>
      </c>
      <c r="E6176" s="2">
        <f t="shared" si="900"/>
        <v>43344</v>
      </c>
      <c r="F6176" s="2">
        <f t="shared" si="901"/>
        <v>45838</v>
      </c>
    </row>
    <row r="6177" spans="1:6" x14ac:dyDescent="0.25">
      <c r="A6177" s="1" t="s">
        <v>1062</v>
      </c>
      <c r="B6177" s="1" t="s">
        <v>1061</v>
      </c>
      <c r="C6177" s="1" t="s">
        <v>34</v>
      </c>
      <c r="D6177" s="3">
        <f t="shared" si="899"/>
        <v>8340</v>
      </c>
      <c r="E6177" s="2">
        <f t="shared" si="900"/>
        <v>43344</v>
      </c>
      <c r="F6177" s="2">
        <f t="shared" si="901"/>
        <v>45838</v>
      </c>
    </row>
    <row r="6178" spans="1:6" x14ac:dyDescent="0.25">
      <c r="A6178" s="1" t="s">
        <v>1062</v>
      </c>
      <c r="B6178" s="1" t="s">
        <v>1061</v>
      </c>
      <c r="C6178" s="1" t="s">
        <v>170</v>
      </c>
      <c r="D6178" s="3">
        <f t="shared" si="899"/>
        <v>8340</v>
      </c>
      <c r="E6178" s="2">
        <f t="shared" si="900"/>
        <v>43344</v>
      </c>
      <c r="F6178" s="2">
        <f t="shared" si="901"/>
        <v>45838</v>
      </c>
    </row>
    <row r="6179" spans="1:6" x14ac:dyDescent="0.25">
      <c r="A6179" s="1" t="s">
        <v>2457</v>
      </c>
      <c r="B6179" s="1" t="s">
        <v>2456</v>
      </c>
      <c r="C6179" s="1" t="s">
        <v>45</v>
      </c>
      <c r="D6179" s="3">
        <f>VALUE("8536")</f>
        <v>8536</v>
      </c>
      <c r="E6179" s="2">
        <f>DATEVALUE("1-6-2019")</f>
        <v>43617</v>
      </c>
      <c r="F6179" s="2">
        <f>DATEVALUE("30-6-2019")</f>
        <v>43646</v>
      </c>
    </row>
    <row r="6180" spans="1:6" x14ac:dyDescent="0.25">
      <c r="A6180" s="1" t="s">
        <v>2457</v>
      </c>
      <c r="B6180" s="1" t="s">
        <v>2652</v>
      </c>
      <c r="C6180" s="1" t="s">
        <v>45</v>
      </c>
      <c r="D6180" s="3">
        <f>VALUE("7567")</f>
        <v>7567</v>
      </c>
      <c r="E6180" s="2">
        <f>DATEVALUE("1-12-2013")</f>
        <v>41609</v>
      </c>
      <c r="F6180" s="2">
        <f>DATEVALUE("31-12-2013")</f>
        <v>41639</v>
      </c>
    </row>
    <row r="6181" spans="1:6" x14ac:dyDescent="0.25">
      <c r="A6181" s="1" t="s">
        <v>2457</v>
      </c>
      <c r="B6181" s="1" t="s">
        <v>2652</v>
      </c>
      <c r="C6181" s="1" t="s">
        <v>45</v>
      </c>
      <c r="D6181" s="3">
        <f>VALUE("7300")</f>
        <v>7300</v>
      </c>
      <c r="E6181" s="2">
        <f>DATEVALUE("1-6-2012")</f>
        <v>41061</v>
      </c>
      <c r="F6181" s="2">
        <f>DATEVALUE("30-11-2012")</f>
        <v>41243</v>
      </c>
    </row>
    <row r="6182" spans="1:6" x14ac:dyDescent="0.25">
      <c r="A6182" s="1" t="s">
        <v>505</v>
      </c>
      <c r="B6182" s="1" t="s">
        <v>504</v>
      </c>
      <c r="C6182" s="1" t="s">
        <v>506</v>
      </c>
      <c r="D6182" s="3">
        <f t="shared" ref="D6182:D6208" si="902">VALUE("7688")</f>
        <v>7688</v>
      </c>
      <c r="E6182" s="2">
        <f t="shared" ref="E6182:E6208" si="903">DATEVALUE("1-1-2015")</f>
        <v>42005</v>
      </c>
      <c r="F6182" s="2">
        <f t="shared" ref="F6182:F6208" si="904">DATEVALUE("31-3-2025")</f>
        <v>45747</v>
      </c>
    </row>
    <row r="6183" spans="1:6" x14ac:dyDescent="0.25">
      <c r="A6183" s="1" t="s">
        <v>505</v>
      </c>
      <c r="B6183" s="1" t="s">
        <v>504</v>
      </c>
      <c r="C6183" s="1" t="s">
        <v>8</v>
      </c>
      <c r="D6183" s="3">
        <f t="shared" si="902"/>
        <v>7688</v>
      </c>
      <c r="E6183" s="2">
        <f t="shared" si="903"/>
        <v>42005</v>
      </c>
      <c r="F6183" s="2">
        <f t="shared" si="904"/>
        <v>45747</v>
      </c>
    </row>
    <row r="6184" spans="1:6" x14ac:dyDescent="0.25">
      <c r="A6184" s="1" t="s">
        <v>505</v>
      </c>
      <c r="B6184" s="1" t="s">
        <v>504</v>
      </c>
      <c r="C6184" s="1" t="s">
        <v>410</v>
      </c>
      <c r="D6184" s="3">
        <f t="shared" si="902"/>
        <v>7688</v>
      </c>
      <c r="E6184" s="2">
        <f t="shared" si="903"/>
        <v>42005</v>
      </c>
      <c r="F6184" s="2">
        <f t="shared" si="904"/>
        <v>45747</v>
      </c>
    </row>
    <row r="6185" spans="1:6" x14ac:dyDescent="0.25">
      <c r="A6185" s="1" t="s">
        <v>505</v>
      </c>
      <c r="B6185" s="1" t="s">
        <v>504</v>
      </c>
      <c r="C6185" s="1" t="s">
        <v>10</v>
      </c>
      <c r="D6185" s="3">
        <f t="shared" si="902"/>
        <v>7688</v>
      </c>
      <c r="E6185" s="2">
        <f t="shared" si="903"/>
        <v>42005</v>
      </c>
      <c r="F6185" s="2">
        <f t="shared" si="904"/>
        <v>45747</v>
      </c>
    </row>
    <row r="6186" spans="1:6" x14ac:dyDescent="0.25">
      <c r="A6186" s="1" t="s">
        <v>505</v>
      </c>
      <c r="B6186" s="1" t="s">
        <v>504</v>
      </c>
      <c r="C6186" s="1" t="s">
        <v>184</v>
      </c>
      <c r="D6186" s="3">
        <f t="shared" si="902"/>
        <v>7688</v>
      </c>
      <c r="E6186" s="2">
        <f t="shared" si="903"/>
        <v>42005</v>
      </c>
      <c r="F6186" s="2">
        <f t="shared" si="904"/>
        <v>45747</v>
      </c>
    </row>
    <row r="6187" spans="1:6" x14ac:dyDescent="0.25">
      <c r="A6187" s="1" t="s">
        <v>505</v>
      </c>
      <c r="B6187" s="1" t="s">
        <v>504</v>
      </c>
      <c r="C6187" s="1" t="s">
        <v>469</v>
      </c>
      <c r="D6187" s="3">
        <f t="shared" si="902"/>
        <v>7688</v>
      </c>
      <c r="E6187" s="2">
        <f t="shared" si="903"/>
        <v>42005</v>
      </c>
      <c r="F6187" s="2">
        <f t="shared" si="904"/>
        <v>45747</v>
      </c>
    </row>
    <row r="6188" spans="1:6" x14ac:dyDescent="0.25">
      <c r="A6188" s="1" t="s">
        <v>505</v>
      </c>
      <c r="B6188" s="1" t="s">
        <v>504</v>
      </c>
      <c r="C6188" s="1" t="s">
        <v>45</v>
      </c>
      <c r="D6188" s="3">
        <f t="shared" si="902"/>
        <v>7688</v>
      </c>
      <c r="E6188" s="2">
        <f t="shared" si="903"/>
        <v>42005</v>
      </c>
      <c r="F6188" s="2">
        <f t="shared" si="904"/>
        <v>45747</v>
      </c>
    </row>
    <row r="6189" spans="1:6" x14ac:dyDescent="0.25">
      <c r="A6189" s="1" t="s">
        <v>505</v>
      </c>
      <c r="B6189" s="1" t="s">
        <v>504</v>
      </c>
      <c r="C6189" s="1" t="s">
        <v>44</v>
      </c>
      <c r="D6189" s="3">
        <f t="shared" si="902"/>
        <v>7688</v>
      </c>
      <c r="E6189" s="2">
        <f t="shared" si="903"/>
        <v>42005</v>
      </c>
      <c r="F6189" s="2">
        <f t="shared" si="904"/>
        <v>45747</v>
      </c>
    </row>
    <row r="6190" spans="1:6" x14ac:dyDescent="0.25">
      <c r="A6190" s="1" t="s">
        <v>505</v>
      </c>
      <c r="B6190" s="1" t="s">
        <v>504</v>
      </c>
      <c r="C6190" s="1" t="s">
        <v>14</v>
      </c>
      <c r="D6190" s="3">
        <f t="shared" si="902"/>
        <v>7688</v>
      </c>
      <c r="E6190" s="2">
        <f t="shared" si="903"/>
        <v>42005</v>
      </c>
      <c r="F6190" s="2">
        <f t="shared" si="904"/>
        <v>45747</v>
      </c>
    </row>
    <row r="6191" spans="1:6" x14ac:dyDescent="0.25">
      <c r="A6191" s="1" t="s">
        <v>505</v>
      </c>
      <c r="B6191" s="1" t="s">
        <v>504</v>
      </c>
      <c r="C6191" s="1" t="s">
        <v>15</v>
      </c>
      <c r="D6191" s="3">
        <f t="shared" si="902"/>
        <v>7688</v>
      </c>
      <c r="E6191" s="2">
        <f t="shared" si="903"/>
        <v>42005</v>
      </c>
      <c r="F6191" s="2">
        <f t="shared" si="904"/>
        <v>45747</v>
      </c>
    </row>
    <row r="6192" spans="1:6" x14ac:dyDescent="0.25">
      <c r="A6192" s="1" t="s">
        <v>505</v>
      </c>
      <c r="B6192" s="1" t="s">
        <v>504</v>
      </c>
      <c r="C6192" s="1" t="s">
        <v>17</v>
      </c>
      <c r="D6192" s="3">
        <f t="shared" si="902"/>
        <v>7688</v>
      </c>
      <c r="E6192" s="2">
        <f t="shared" si="903"/>
        <v>42005</v>
      </c>
      <c r="F6192" s="2">
        <f t="shared" si="904"/>
        <v>45747</v>
      </c>
    </row>
    <row r="6193" spans="1:6" x14ac:dyDescent="0.25">
      <c r="A6193" s="1" t="s">
        <v>505</v>
      </c>
      <c r="B6193" s="1" t="s">
        <v>504</v>
      </c>
      <c r="C6193" s="1" t="s">
        <v>441</v>
      </c>
      <c r="D6193" s="3">
        <f t="shared" si="902"/>
        <v>7688</v>
      </c>
      <c r="E6193" s="2">
        <f t="shared" si="903"/>
        <v>42005</v>
      </c>
      <c r="F6193" s="2">
        <f t="shared" si="904"/>
        <v>45747</v>
      </c>
    </row>
    <row r="6194" spans="1:6" x14ac:dyDescent="0.25">
      <c r="A6194" s="1" t="s">
        <v>505</v>
      </c>
      <c r="B6194" s="1" t="s">
        <v>504</v>
      </c>
      <c r="C6194" s="1" t="s">
        <v>257</v>
      </c>
      <c r="D6194" s="3">
        <f t="shared" si="902"/>
        <v>7688</v>
      </c>
      <c r="E6194" s="2">
        <f t="shared" si="903"/>
        <v>42005</v>
      </c>
      <c r="F6194" s="2">
        <f t="shared" si="904"/>
        <v>45747</v>
      </c>
    </row>
    <row r="6195" spans="1:6" x14ac:dyDescent="0.25">
      <c r="A6195" s="1" t="s">
        <v>505</v>
      </c>
      <c r="B6195" s="1" t="s">
        <v>504</v>
      </c>
      <c r="C6195" s="1" t="s">
        <v>22</v>
      </c>
      <c r="D6195" s="3">
        <f t="shared" si="902"/>
        <v>7688</v>
      </c>
      <c r="E6195" s="2">
        <f t="shared" si="903"/>
        <v>42005</v>
      </c>
      <c r="F6195" s="2">
        <f t="shared" si="904"/>
        <v>45747</v>
      </c>
    </row>
    <row r="6196" spans="1:6" x14ac:dyDescent="0.25">
      <c r="A6196" s="1" t="s">
        <v>505</v>
      </c>
      <c r="B6196" s="1" t="s">
        <v>504</v>
      </c>
      <c r="C6196" s="1" t="s">
        <v>67</v>
      </c>
      <c r="D6196" s="3">
        <f t="shared" si="902"/>
        <v>7688</v>
      </c>
      <c r="E6196" s="2">
        <f t="shared" si="903"/>
        <v>42005</v>
      </c>
      <c r="F6196" s="2">
        <f t="shared" si="904"/>
        <v>45747</v>
      </c>
    </row>
    <row r="6197" spans="1:6" x14ac:dyDescent="0.25">
      <c r="A6197" s="1" t="s">
        <v>505</v>
      </c>
      <c r="B6197" s="1" t="s">
        <v>504</v>
      </c>
      <c r="C6197" s="1" t="s">
        <v>149</v>
      </c>
      <c r="D6197" s="3">
        <f t="shared" si="902"/>
        <v>7688</v>
      </c>
      <c r="E6197" s="2">
        <f t="shared" si="903"/>
        <v>42005</v>
      </c>
      <c r="F6197" s="2">
        <f t="shared" si="904"/>
        <v>45747</v>
      </c>
    </row>
    <row r="6198" spans="1:6" x14ac:dyDescent="0.25">
      <c r="A6198" s="1" t="s">
        <v>505</v>
      </c>
      <c r="B6198" s="1" t="s">
        <v>504</v>
      </c>
      <c r="C6198" s="1" t="s">
        <v>472</v>
      </c>
      <c r="D6198" s="3">
        <f t="shared" si="902"/>
        <v>7688</v>
      </c>
      <c r="E6198" s="2">
        <f t="shared" si="903"/>
        <v>42005</v>
      </c>
      <c r="F6198" s="2">
        <f t="shared" si="904"/>
        <v>45747</v>
      </c>
    </row>
    <row r="6199" spans="1:6" x14ac:dyDescent="0.25">
      <c r="A6199" s="1" t="s">
        <v>505</v>
      </c>
      <c r="B6199" s="1" t="s">
        <v>504</v>
      </c>
      <c r="C6199" s="1" t="s">
        <v>92</v>
      </c>
      <c r="D6199" s="3">
        <f t="shared" si="902"/>
        <v>7688</v>
      </c>
      <c r="E6199" s="2">
        <f t="shared" si="903"/>
        <v>42005</v>
      </c>
      <c r="F6199" s="2">
        <f t="shared" si="904"/>
        <v>45747</v>
      </c>
    </row>
    <row r="6200" spans="1:6" x14ac:dyDescent="0.25">
      <c r="A6200" s="1" t="s">
        <v>505</v>
      </c>
      <c r="B6200" s="1" t="s">
        <v>504</v>
      </c>
      <c r="C6200" s="1" t="s">
        <v>332</v>
      </c>
      <c r="D6200" s="3">
        <f t="shared" si="902"/>
        <v>7688</v>
      </c>
      <c r="E6200" s="2">
        <f t="shared" si="903"/>
        <v>42005</v>
      </c>
      <c r="F6200" s="2">
        <f t="shared" si="904"/>
        <v>45747</v>
      </c>
    </row>
    <row r="6201" spans="1:6" x14ac:dyDescent="0.25">
      <c r="A6201" s="1" t="s">
        <v>505</v>
      </c>
      <c r="B6201" s="1" t="s">
        <v>504</v>
      </c>
      <c r="C6201" s="1" t="s">
        <v>24</v>
      </c>
      <c r="D6201" s="3">
        <f t="shared" si="902"/>
        <v>7688</v>
      </c>
      <c r="E6201" s="2">
        <f t="shared" si="903"/>
        <v>42005</v>
      </c>
      <c r="F6201" s="2">
        <f t="shared" si="904"/>
        <v>45747</v>
      </c>
    </row>
    <row r="6202" spans="1:6" x14ac:dyDescent="0.25">
      <c r="A6202" s="1" t="s">
        <v>505</v>
      </c>
      <c r="B6202" s="1" t="s">
        <v>504</v>
      </c>
      <c r="C6202" s="1" t="s">
        <v>70</v>
      </c>
      <c r="D6202" s="3">
        <f t="shared" si="902"/>
        <v>7688</v>
      </c>
      <c r="E6202" s="2">
        <f t="shared" si="903"/>
        <v>42005</v>
      </c>
      <c r="F6202" s="2">
        <f t="shared" si="904"/>
        <v>45747</v>
      </c>
    </row>
    <row r="6203" spans="1:6" x14ac:dyDescent="0.25">
      <c r="A6203" s="1" t="s">
        <v>505</v>
      </c>
      <c r="B6203" s="1" t="s">
        <v>504</v>
      </c>
      <c r="C6203" s="1" t="s">
        <v>72</v>
      </c>
      <c r="D6203" s="3">
        <f t="shared" si="902"/>
        <v>7688</v>
      </c>
      <c r="E6203" s="2">
        <f t="shared" si="903"/>
        <v>42005</v>
      </c>
      <c r="F6203" s="2">
        <f t="shared" si="904"/>
        <v>45747</v>
      </c>
    </row>
    <row r="6204" spans="1:6" x14ac:dyDescent="0.25">
      <c r="A6204" s="1" t="s">
        <v>505</v>
      </c>
      <c r="B6204" s="1" t="s">
        <v>504</v>
      </c>
      <c r="C6204" s="1" t="s">
        <v>283</v>
      </c>
      <c r="D6204" s="3">
        <f t="shared" si="902"/>
        <v>7688</v>
      </c>
      <c r="E6204" s="2">
        <f t="shared" si="903"/>
        <v>42005</v>
      </c>
      <c r="F6204" s="2">
        <f t="shared" si="904"/>
        <v>45747</v>
      </c>
    </row>
    <row r="6205" spans="1:6" x14ac:dyDescent="0.25">
      <c r="A6205" s="1" t="s">
        <v>505</v>
      </c>
      <c r="B6205" s="1" t="s">
        <v>504</v>
      </c>
      <c r="C6205" s="1" t="s">
        <v>52</v>
      </c>
      <c r="D6205" s="3">
        <f t="shared" si="902"/>
        <v>7688</v>
      </c>
      <c r="E6205" s="2">
        <f t="shared" si="903"/>
        <v>42005</v>
      </c>
      <c r="F6205" s="2">
        <f t="shared" si="904"/>
        <v>45747</v>
      </c>
    </row>
    <row r="6206" spans="1:6" x14ac:dyDescent="0.25">
      <c r="A6206" s="1" t="s">
        <v>505</v>
      </c>
      <c r="B6206" s="1" t="s">
        <v>504</v>
      </c>
      <c r="C6206" s="1" t="s">
        <v>303</v>
      </c>
      <c r="D6206" s="3">
        <f t="shared" si="902"/>
        <v>7688</v>
      </c>
      <c r="E6206" s="2">
        <f t="shared" si="903"/>
        <v>42005</v>
      </c>
      <c r="F6206" s="2">
        <f t="shared" si="904"/>
        <v>45747</v>
      </c>
    </row>
    <row r="6207" spans="1:6" x14ac:dyDescent="0.25">
      <c r="A6207" s="1" t="s">
        <v>505</v>
      </c>
      <c r="B6207" s="1" t="s">
        <v>504</v>
      </c>
      <c r="C6207" s="1" t="s">
        <v>34</v>
      </c>
      <c r="D6207" s="3">
        <f t="shared" si="902"/>
        <v>7688</v>
      </c>
      <c r="E6207" s="2">
        <f t="shared" si="903"/>
        <v>42005</v>
      </c>
      <c r="F6207" s="2">
        <f t="shared" si="904"/>
        <v>45747</v>
      </c>
    </row>
    <row r="6208" spans="1:6" x14ac:dyDescent="0.25">
      <c r="A6208" s="1" t="s">
        <v>505</v>
      </c>
      <c r="B6208" s="1" t="s">
        <v>504</v>
      </c>
      <c r="C6208" s="1" t="s">
        <v>36</v>
      </c>
      <c r="D6208" s="3">
        <f t="shared" si="902"/>
        <v>7688</v>
      </c>
      <c r="E6208" s="2">
        <f t="shared" si="903"/>
        <v>42005</v>
      </c>
      <c r="F6208" s="2">
        <f t="shared" si="904"/>
        <v>45747</v>
      </c>
    </row>
    <row r="6209" spans="1:6" x14ac:dyDescent="0.25">
      <c r="A6209" s="1" t="s">
        <v>1367</v>
      </c>
      <c r="B6209" s="1" t="s">
        <v>1366</v>
      </c>
      <c r="C6209" s="1" t="s">
        <v>17</v>
      </c>
      <c r="D6209" s="3">
        <f>VALUE("8593")</f>
        <v>8593</v>
      </c>
      <c r="E6209" s="2">
        <f>DATEVALUE("1-10-2019")</f>
        <v>43739</v>
      </c>
      <c r="F6209" s="2">
        <f>DATEVALUE("30-11-2024")</f>
        <v>45626</v>
      </c>
    </row>
    <row r="6210" spans="1:6" x14ac:dyDescent="0.25">
      <c r="A6210" s="1" t="s">
        <v>1541</v>
      </c>
      <c r="B6210" s="1" t="s">
        <v>1540</v>
      </c>
      <c r="C6210" s="1" t="s">
        <v>137</v>
      </c>
      <c r="D6210" s="3">
        <f t="shared" ref="D6210:D6219" si="905">VALUE("8729")</f>
        <v>8729</v>
      </c>
      <c r="E6210" s="2">
        <f t="shared" ref="E6210:E6219" si="906">DATEVALUE("1-3-2020")</f>
        <v>43891</v>
      </c>
      <c r="F6210" s="2">
        <f t="shared" ref="F6210:F6219" si="907">DATEVALUE("28-2-2021")</f>
        <v>44255</v>
      </c>
    </row>
    <row r="6211" spans="1:6" x14ac:dyDescent="0.25">
      <c r="A6211" s="1" t="s">
        <v>1541</v>
      </c>
      <c r="B6211" s="1" t="s">
        <v>1540</v>
      </c>
      <c r="C6211" s="1" t="s">
        <v>14</v>
      </c>
      <c r="D6211" s="3">
        <f t="shared" si="905"/>
        <v>8729</v>
      </c>
      <c r="E6211" s="2">
        <f t="shared" si="906"/>
        <v>43891</v>
      </c>
      <c r="F6211" s="2">
        <f t="shared" si="907"/>
        <v>44255</v>
      </c>
    </row>
    <row r="6212" spans="1:6" x14ac:dyDescent="0.25">
      <c r="A6212" s="1" t="s">
        <v>1541</v>
      </c>
      <c r="B6212" s="1" t="s">
        <v>1540</v>
      </c>
      <c r="C6212" s="1" t="s">
        <v>15</v>
      </c>
      <c r="D6212" s="3">
        <f t="shared" si="905"/>
        <v>8729</v>
      </c>
      <c r="E6212" s="2">
        <f t="shared" si="906"/>
        <v>43891</v>
      </c>
      <c r="F6212" s="2">
        <f t="shared" si="907"/>
        <v>44255</v>
      </c>
    </row>
    <row r="6213" spans="1:6" x14ac:dyDescent="0.25">
      <c r="A6213" s="1" t="s">
        <v>1541</v>
      </c>
      <c r="B6213" s="1" t="s">
        <v>1540</v>
      </c>
      <c r="C6213" s="1" t="s">
        <v>88</v>
      </c>
      <c r="D6213" s="3">
        <f t="shared" si="905"/>
        <v>8729</v>
      </c>
      <c r="E6213" s="2">
        <f t="shared" si="906"/>
        <v>43891</v>
      </c>
      <c r="F6213" s="2">
        <f t="shared" si="907"/>
        <v>44255</v>
      </c>
    </row>
    <row r="6214" spans="1:6" x14ac:dyDescent="0.25">
      <c r="A6214" s="1" t="s">
        <v>1541</v>
      </c>
      <c r="B6214" s="1" t="s">
        <v>1540</v>
      </c>
      <c r="C6214" s="1" t="s">
        <v>17</v>
      </c>
      <c r="D6214" s="3">
        <f t="shared" si="905"/>
        <v>8729</v>
      </c>
      <c r="E6214" s="2">
        <f t="shared" si="906"/>
        <v>43891</v>
      </c>
      <c r="F6214" s="2">
        <f t="shared" si="907"/>
        <v>44255</v>
      </c>
    </row>
    <row r="6215" spans="1:6" x14ac:dyDescent="0.25">
      <c r="A6215" s="1" t="s">
        <v>1541</v>
      </c>
      <c r="B6215" s="1" t="s">
        <v>1540</v>
      </c>
      <c r="C6215" s="1" t="s">
        <v>22</v>
      </c>
      <c r="D6215" s="3">
        <f t="shared" si="905"/>
        <v>8729</v>
      </c>
      <c r="E6215" s="2">
        <f t="shared" si="906"/>
        <v>43891</v>
      </c>
      <c r="F6215" s="2">
        <f t="shared" si="907"/>
        <v>44255</v>
      </c>
    </row>
    <row r="6216" spans="1:6" x14ac:dyDescent="0.25">
      <c r="A6216" s="1" t="s">
        <v>1541</v>
      </c>
      <c r="B6216" s="1" t="s">
        <v>1540</v>
      </c>
      <c r="C6216" s="1" t="s">
        <v>367</v>
      </c>
      <c r="D6216" s="3">
        <f t="shared" si="905"/>
        <v>8729</v>
      </c>
      <c r="E6216" s="2">
        <f t="shared" si="906"/>
        <v>43891</v>
      </c>
      <c r="F6216" s="2">
        <f t="shared" si="907"/>
        <v>44255</v>
      </c>
    </row>
    <row r="6217" spans="1:6" x14ac:dyDescent="0.25">
      <c r="A6217" s="1" t="s">
        <v>1541</v>
      </c>
      <c r="B6217" s="1" t="s">
        <v>1540</v>
      </c>
      <c r="C6217" s="1" t="s">
        <v>24</v>
      </c>
      <c r="D6217" s="3">
        <f t="shared" si="905"/>
        <v>8729</v>
      </c>
      <c r="E6217" s="2">
        <f t="shared" si="906"/>
        <v>43891</v>
      </c>
      <c r="F6217" s="2">
        <f t="shared" si="907"/>
        <v>44255</v>
      </c>
    </row>
    <row r="6218" spans="1:6" x14ac:dyDescent="0.25">
      <c r="A6218" s="1" t="s">
        <v>1541</v>
      </c>
      <c r="B6218" s="1" t="s">
        <v>1540</v>
      </c>
      <c r="C6218" s="1" t="s">
        <v>73</v>
      </c>
      <c r="D6218" s="3">
        <f t="shared" si="905"/>
        <v>8729</v>
      </c>
      <c r="E6218" s="2">
        <f t="shared" si="906"/>
        <v>43891</v>
      </c>
      <c r="F6218" s="2">
        <f t="shared" si="907"/>
        <v>44255</v>
      </c>
    </row>
    <row r="6219" spans="1:6" x14ac:dyDescent="0.25">
      <c r="A6219" s="1" t="s">
        <v>1541</v>
      </c>
      <c r="B6219" s="1" t="s">
        <v>1540</v>
      </c>
      <c r="C6219" s="1" t="s">
        <v>34</v>
      </c>
      <c r="D6219" s="3">
        <f t="shared" si="905"/>
        <v>8729</v>
      </c>
      <c r="E6219" s="2">
        <f t="shared" si="906"/>
        <v>43891</v>
      </c>
      <c r="F6219" s="2">
        <f t="shared" si="907"/>
        <v>44255</v>
      </c>
    </row>
    <row r="6220" spans="1:6" x14ac:dyDescent="0.25">
      <c r="A6220" s="1" t="s">
        <v>1586</v>
      </c>
      <c r="B6220" s="1" t="s">
        <v>1585</v>
      </c>
      <c r="C6220" s="1" t="s">
        <v>1587</v>
      </c>
      <c r="D6220" s="3">
        <f>VALUE("8772")</f>
        <v>8772</v>
      </c>
      <c r="E6220" s="2">
        <f>DATEVALUE("1-5-2020")</f>
        <v>43952</v>
      </c>
      <c r="F6220" s="2">
        <f>DATEVALUE("30-4-2021")</f>
        <v>44316</v>
      </c>
    </row>
    <row r="6221" spans="1:6" x14ac:dyDescent="0.25">
      <c r="A6221" s="1" t="s">
        <v>1586</v>
      </c>
      <c r="B6221" s="1" t="s">
        <v>2044</v>
      </c>
      <c r="C6221" s="1" t="s">
        <v>451</v>
      </c>
      <c r="D6221" s="3">
        <f>VALUE("8076")</f>
        <v>8076</v>
      </c>
      <c r="E6221" s="2">
        <f>DATEVALUE("1-5-2017")</f>
        <v>42856</v>
      </c>
      <c r="F6221" s="2">
        <f>DATEVALUE("30-6-2017")</f>
        <v>42916</v>
      </c>
    </row>
    <row r="6222" spans="1:6" x14ac:dyDescent="0.25">
      <c r="A6222" s="1" t="s">
        <v>1586</v>
      </c>
      <c r="B6222" s="1" t="s">
        <v>2044</v>
      </c>
      <c r="C6222" s="1" t="s">
        <v>157</v>
      </c>
      <c r="D6222" s="3">
        <f>VALUE("8076")</f>
        <v>8076</v>
      </c>
      <c r="E6222" s="2">
        <f>DATEVALUE("1-5-2017")</f>
        <v>42856</v>
      </c>
      <c r="F6222" s="2">
        <f>DATEVALUE("30-6-2017")</f>
        <v>42916</v>
      </c>
    </row>
    <row r="6223" spans="1:6" x14ac:dyDescent="0.25">
      <c r="A6223" s="1" t="s">
        <v>1586</v>
      </c>
      <c r="B6223" s="1" t="s">
        <v>2044</v>
      </c>
      <c r="C6223" s="1" t="s">
        <v>157</v>
      </c>
      <c r="D6223" s="3">
        <f>VALUE("8076")</f>
        <v>8076</v>
      </c>
      <c r="E6223" s="2">
        <f>DATEVALUE("1-5-2017")</f>
        <v>42856</v>
      </c>
      <c r="F6223" s="2">
        <f>DATEVALUE("30-6-2017")</f>
        <v>42916</v>
      </c>
    </row>
    <row r="6224" spans="1:6" x14ac:dyDescent="0.25">
      <c r="A6224" s="1" t="s">
        <v>1586</v>
      </c>
      <c r="B6224" s="1" t="s">
        <v>2044</v>
      </c>
      <c r="C6224" s="1" t="s">
        <v>131</v>
      </c>
      <c r="D6224" s="3">
        <f>VALUE("8076")</f>
        <v>8076</v>
      </c>
      <c r="E6224" s="2">
        <f>DATEVALUE("1-5-2017")</f>
        <v>42856</v>
      </c>
      <c r="F6224" s="2">
        <f>DATEVALUE("30-6-2017")</f>
        <v>42916</v>
      </c>
    </row>
    <row r="6225" spans="1:6" x14ac:dyDescent="0.25">
      <c r="A6225" s="1" t="s">
        <v>1586</v>
      </c>
      <c r="B6225" s="1" t="s">
        <v>2044</v>
      </c>
      <c r="C6225" s="1" t="s">
        <v>132</v>
      </c>
      <c r="D6225" s="3">
        <f>VALUE("8076")</f>
        <v>8076</v>
      </c>
      <c r="E6225" s="2">
        <f>DATEVALUE("1-5-2017")</f>
        <v>42856</v>
      </c>
      <c r="F6225" s="2">
        <f>DATEVALUE("30-6-2017")</f>
        <v>42916</v>
      </c>
    </row>
    <row r="6226" spans="1:6" x14ac:dyDescent="0.25">
      <c r="A6226" s="1" t="s">
        <v>779</v>
      </c>
      <c r="B6226" s="1" t="s">
        <v>1677</v>
      </c>
      <c r="C6226" s="1" t="s">
        <v>618</v>
      </c>
      <c r="D6226" s="3">
        <f>VALUE("8863")</f>
        <v>8863</v>
      </c>
      <c r="E6226" s="2">
        <f>DATEVALUE("1-10-2020")</f>
        <v>44105</v>
      </c>
      <c r="F6226" s="2">
        <f>DATEVALUE("30-9-2023")</f>
        <v>45199</v>
      </c>
    </row>
    <row r="6227" spans="1:6" x14ac:dyDescent="0.25">
      <c r="A6227" s="1" t="s">
        <v>779</v>
      </c>
      <c r="B6227" s="1" t="s">
        <v>1443</v>
      </c>
      <c r="C6227" s="1" t="s">
        <v>7</v>
      </c>
      <c r="D6227" s="3">
        <f>VALUE("8661")</f>
        <v>8661</v>
      </c>
      <c r="E6227" s="2">
        <f>DATEVALUE("1-1-2020")</f>
        <v>43831</v>
      </c>
      <c r="F6227" s="2">
        <f>DATEVALUE("31-3-2021")</f>
        <v>44286</v>
      </c>
    </row>
    <row r="6228" spans="1:6" x14ac:dyDescent="0.25">
      <c r="A6228" s="1" t="s">
        <v>779</v>
      </c>
      <c r="B6228" s="1" t="s">
        <v>1443</v>
      </c>
      <c r="C6228" s="1" t="s">
        <v>740</v>
      </c>
      <c r="D6228" s="3">
        <f>VALUE("8661")</f>
        <v>8661</v>
      </c>
      <c r="E6228" s="2">
        <f>DATEVALUE("1-1-2020")</f>
        <v>43831</v>
      </c>
      <c r="F6228" s="2">
        <f>DATEVALUE("31-3-2021")</f>
        <v>44286</v>
      </c>
    </row>
    <row r="6229" spans="1:6" x14ac:dyDescent="0.25">
      <c r="A6229" s="1" t="s">
        <v>779</v>
      </c>
      <c r="B6229" s="1" t="s">
        <v>1443</v>
      </c>
      <c r="C6229" s="1" t="s">
        <v>741</v>
      </c>
      <c r="D6229" s="3">
        <f>VALUE("8661")</f>
        <v>8661</v>
      </c>
      <c r="E6229" s="2">
        <f>DATEVALUE("1-1-2020")</f>
        <v>43831</v>
      </c>
      <c r="F6229" s="2">
        <f>DATEVALUE("31-3-2021")</f>
        <v>44286</v>
      </c>
    </row>
    <row r="6230" spans="1:6" x14ac:dyDescent="0.25">
      <c r="A6230" s="1" t="s">
        <v>779</v>
      </c>
      <c r="B6230" s="1" t="s">
        <v>1443</v>
      </c>
      <c r="C6230" s="1" t="s">
        <v>52</v>
      </c>
      <c r="D6230" s="3">
        <f>VALUE("8661")</f>
        <v>8661</v>
      </c>
      <c r="E6230" s="2">
        <f>DATEVALUE("1-1-2020")</f>
        <v>43831</v>
      </c>
      <c r="F6230" s="2">
        <f>DATEVALUE("31-3-2021")</f>
        <v>44286</v>
      </c>
    </row>
    <row r="6231" spans="1:6" x14ac:dyDescent="0.25">
      <c r="A6231" s="1" t="s">
        <v>779</v>
      </c>
      <c r="B6231" s="1" t="s">
        <v>1344</v>
      </c>
      <c r="C6231" s="1" t="s">
        <v>15</v>
      </c>
      <c r="D6231" s="3">
        <f>VALUE("8575")</f>
        <v>8575</v>
      </c>
      <c r="E6231" s="2">
        <f t="shared" ref="E6231:E6238" si="908">DATEVALUE("1-8-2019")</f>
        <v>43678</v>
      </c>
      <c r="F6231" s="2">
        <f>DATEVALUE("31-12-2020")</f>
        <v>44196</v>
      </c>
    </row>
    <row r="6232" spans="1:6" x14ac:dyDescent="0.25">
      <c r="A6232" s="1" t="s">
        <v>779</v>
      </c>
      <c r="B6232" s="1" t="s">
        <v>1344</v>
      </c>
      <c r="C6232" s="1" t="s">
        <v>17</v>
      </c>
      <c r="D6232" s="3">
        <f>VALUE("8575")</f>
        <v>8575</v>
      </c>
      <c r="E6232" s="2">
        <f t="shared" si="908"/>
        <v>43678</v>
      </c>
      <c r="F6232" s="2">
        <f>DATEVALUE("31-12-2020")</f>
        <v>44196</v>
      </c>
    </row>
    <row r="6233" spans="1:6" x14ac:dyDescent="0.25">
      <c r="A6233" s="1" t="s">
        <v>779</v>
      </c>
      <c r="B6233" s="1" t="s">
        <v>2467</v>
      </c>
      <c r="C6233" s="1" t="s">
        <v>14</v>
      </c>
      <c r="D6233" s="3">
        <f t="shared" ref="D6233:D6238" si="909">VALUE("8588")</f>
        <v>8588</v>
      </c>
      <c r="E6233" s="2">
        <f t="shared" si="908"/>
        <v>43678</v>
      </c>
      <c r="F6233" s="2">
        <f t="shared" ref="F6233:F6238" si="910">DATEVALUE("31-3-2020")</f>
        <v>43921</v>
      </c>
    </row>
    <row r="6234" spans="1:6" x14ac:dyDescent="0.25">
      <c r="A6234" s="1" t="s">
        <v>779</v>
      </c>
      <c r="B6234" s="1" t="s">
        <v>2467</v>
      </c>
      <c r="C6234" s="1" t="s">
        <v>16</v>
      </c>
      <c r="D6234" s="3">
        <f t="shared" si="909"/>
        <v>8588</v>
      </c>
      <c r="E6234" s="2">
        <f t="shared" si="908"/>
        <v>43678</v>
      </c>
      <c r="F6234" s="2">
        <f t="shared" si="910"/>
        <v>43921</v>
      </c>
    </row>
    <row r="6235" spans="1:6" x14ac:dyDescent="0.25">
      <c r="A6235" s="1" t="s">
        <v>779</v>
      </c>
      <c r="B6235" s="1" t="s">
        <v>2467</v>
      </c>
      <c r="C6235" s="1" t="s">
        <v>17</v>
      </c>
      <c r="D6235" s="3">
        <f t="shared" si="909"/>
        <v>8588</v>
      </c>
      <c r="E6235" s="2">
        <f t="shared" si="908"/>
        <v>43678</v>
      </c>
      <c r="F6235" s="2">
        <f t="shared" si="910"/>
        <v>43921</v>
      </c>
    </row>
    <row r="6236" spans="1:6" x14ac:dyDescent="0.25">
      <c r="A6236" s="1" t="s">
        <v>779</v>
      </c>
      <c r="B6236" s="1" t="s">
        <v>2467</v>
      </c>
      <c r="C6236" s="1" t="s">
        <v>22</v>
      </c>
      <c r="D6236" s="3">
        <f t="shared" si="909"/>
        <v>8588</v>
      </c>
      <c r="E6236" s="2">
        <f t="shared" si="908"/>
        <v>43678</v>
      </c>
      <c r="F6236" s="2">
        <f t="shared" si="910"/>
        <v>43921</v>
      </c>
    </row>
    <row r="6237" spans="1:6" x14ac:dyDescent="0.25">
      <c r="A6237" s="1" t="s">
        <v>779</v>
      </c>
      <c r="B6237" s="1" t="s">
        <v>2467</v>
      </c>
      <c r="C6237" s="1" t="s">
        <v>24</v>
      </c>
      <c r="D6237" s="3">
        <f t="shared" si="909"/>
        <v>8588</v>
      </c>
      <c r="E6237" s="2">
        <f t="shared" si="908"/>
        <v>43678</v>
      </c>
      <c r="F6237" s="2">
        <f t="shared" si="910"/>
        <v>43921</v>
      </c>
    </row>
    <row r="6238" spans="1:6" x14ac:dyDescent="0.25">
      <c r="A6238" s="1" t="s">
        <v>779</v>
      </c>
      <c r="B6238" s="1" t="s">
        <v>2467</v>
      </c>
      <c r="C6238" s="1" t="s">
        <v>34</v>
      </c>
      <c r="D6238" s="3">
        <f t="shared" si="909"/>
        <v>8588</v>
      </c>
      <c r="E6238" s="2">
        <f t="shared" si="908"/>
        <v>43678</v>
      </c>
      <c r="F6238" s="2">
        <f t="shared" si="910"/>
        <v>43921</v>
      </c>
    </row>
    <row r="6239" spans="1:6" x14ac:dyDescent="0.25">
      <c r="A6239" s="1" t="s">
        <v>779</v>
      </c>
      <c r="B6239" s="1" t="s">
        <v>1286</v>
      </c>
      <c r="C6239" s="1" t="s">
        <v>87</v>
      </c>
      <c r="D6239" s="3">
        <f t="shared" ref="D6239:D6250" si="911">VALUE("8544")</f>
        <v>8544</v>
      </c>
      <c r="E6239" s="2">
        <f t="shared" ref="E6239:E6250" si="912">DATEVALUE("1-6-2019")</f>
        <v>43617</v>
      </c>
      <c r="F6239" s="2">
        <f t="shared" ref="F6239:F6250" si="913">DATEVALUE("30-6-2021")</f>
        <v>44377</v>
      </c>
    </row>
    <row r="6240" spans="1:6" x14ac:dyDescent="0.25">
      <c r="A6240" s="1" t="s">
        <v>779</v>
      </c>
      <c r="B6240" s="1" t="s">
        <v>1286</v>
      </c>
      <c r="C6240" s="1" t="s">
        <v>14</v>
      </c>
      <c r="D6240" s="3">
        <f t="shared" si="911"/>
        <v>8544</v>
      </c>
      <c r="E6240" s="2">
        <f t="shared" si="912"/>
        <v>43617</v>
      </c>
      <c r="F6240" s="2">
        <f t="shared" si="913"/>
        <v>44377</v>
      </c>
    </row>
    <row r="6241" spans="1:6" x14ac:dyDescent="0.25">
      <c r="A6241" s="1" t="s">
        <v>779</v>
      </c>
      <c r="B6241" s="1" t="s">
        <v>1286</v>
      </c>
      <c r="C6241" s="1" t="s">
        <v>15</v>
      </c>
      <c r="D6241" s="3">
        <f t="shared" si="911"/>
        <v>8544</v>
      </c>
      <c r="E6241" s="2">
        <f t="shared" si="912"/>
        <v>43617</v>
      </c>
      <c r="F6241" s="2">
        <f t="shared" si="913"/>
        <v>44377</v>
      </c>
    </row>
    <row r="6242" spans="1:6" x14ac:dyDescent="0.25">
      <c r="A6242" s="1" t="s">
        <v>779</v>
      </c>
      <c r="B6242" s="1" t="s">
        <v>1286</v>
      </c>
      <c r="C6242" s="1" t="s">
        <v>17</v>
      </c>
      <c r="D6242" s="3">
        <f t="shared" si="911"/>
        <v>8544</v>
      </c>
      <c r="E6242" s="2">
        <f t="shared" si="912"/>
        <v>43617</v>
      </c>
      <c r="F6242" s="2">
        <f t="shared" si="913"/>
        <v>44377</v>
      </c>
    </row>
    <row r="6243" spans="1:6" x14ac:dyDescent="0.25">
      <c r="A6243" s="1" t="s">
        <v>779</v>
      </c>
      <c r="B6243" s="1" t="s">
        <v>1286</v>
      </c>
      <c r="C6243" s="1" t="s">
        <v>146</v>
      </c>
      <c r="D6243" s="3">
        <f t="shared" si="911"/>
        <v>8544</v>
      </c>
      <c r="E6243" s="2">
        <f t="shared" si="912"/>
        <v>43617</v>
      </c>
      <c r="F6243" s="2">
        <f t="shared" si="913"/>
        <v>44377</v>
      </c>
    </row>
    <row r="6244" spans="1:6" x14ac:dyDescent="0.25">
      <c r="A6244" s="1" t="s">
        <v>779</v>
      </c>
      <c r="B6244" s="1" t="s">
        <v>1286</v>
      </c>
      <c r="C6244" s="1" t="s">
        <v>67</v>
      </c>
      <c r="D6244" s="3">
        <f t="shared" si="911"/>
        <v>8544</v>
      </c>
      <c r="E6244" s="2">
        <f t="shared" si="912"/>
        <v>43617</v>
      </c>
      <c r="F6244" s="2">
        <f t="shared" si="913"/>
        <v>44377</v>
      </c>
    </row>
    <row r="6245" spans="1:6" x14ac:dyDescent="0.25">
      <c r="A6245" s="1" t="s">
        <v>779</v>
      </c>
      <c r="B6245" s="1" t="s">
        <v>1286</v>
      </c>
      <c r="C6245" s="1" t="s">
        <v>147</v>
      </c>
      <c r="D6245" s="3">
        <f t="shared" si="911"/>
        <v>8544</v>
      </c>
      <c r="E6245" s="2">
        <f t="shared" si="912"/>
        <v>43617</v>
      </c>
      <c r="F6245" s="2">
        <f t="shared" si="913"/>
        <v>44377</v>
      </c>
    </row>
    <row r="6246" spans="1:6" x14ac:dyDescent="0.25">
      <c r="A6246" s="1" t="s">
        <v>779</v>
      </c>
      <c r="B6246" s="1" t="s">
        <v>1286</v>
      </c>
      <c r="C6246" s="1" t="s">
        <v>24</v>
      </c>
      <c r="D6246" s="3">
        <f t="shared" si="911"/>
        <v>8544</v>
      </c>
      <c r="E6246" s="2">
        <f t="shared" si="912"/>
        <v>43617</v>
      </c>
      <c r="F6246" s="2">
        <f t="shared" si="913"/>
        <v>44377</v>
      </c>
    </row>
    <row r="6247" spans="1:6" x14ac:dyDescent="0.25">
      <c r="A6247" s="1" t="s">
        <v>779</v>
      </c>
      <c r="B6247" s="1" t="s">
        <v>1286</v>
      </c>
      <c r="C6247" s="1" t="s">
        <v>72</v>
      </c>
      <c r="D6247" s="3">
        <f t="shared" si="911"/>
        <v>8544</v>
      </c>
      <c r="E6247" s="2">
        <f t="shared" si="912"/>
        <v>43617</v>
      </c>
      <c r="F6247" s="2">
        <f t="shared" si="913"/>
        <v>44377</v>
      </c>
    </row>
    <row r="6248" spans="1:6" x14ac:dyDescent="0.25">
      <c r="A6248" s="1" t="s">
        <v>779</v>
      </c>
      <c r="B6248" s="1" t="s">
        <v>1286</v>
      </c>
      <c r="C6248" s="1" t="s">
        <v>52</v>
      </c>
      <c r="D6248" s="3">
        <f t="shared" si="911"/>
        <v>8544</v>
      </c>
      <c r="E6248" s="2">
        <f t="shared" si="912"/>
        <v>43617</v>
      </c>
      <c r="F6248" s="2">
        <f t="shared" si="913"/>
        <v>44377</v>
      </c>
    </row>
    <row r="6249" spans="1:6" x14ac:dyDescent="0.25">
      <c r="A6249" s="1" t="s">
        <v>779</v>
      </c>
      <c r="B6249" s="1" t="s">
        <v>1286</v>
      </c>
      <c r="C6249" s="1" t="s">
        <v>160</v>
      </c>
      <c r="D6249" s="3">
        <f t="shared" si="911"/>
        <v>8544</v>
      </c>
      <c r="E6249" s="2">
        <f t="shared" si="912"/>
        <v>43617</v>
      </c>
      <c r="F6249" s="2">
        <f t="shared" si="913"/>
        <v>44377</v>
      </c>
    </row>
    <row r="6250" spans="1:6" x14ac:dyDescent="0.25">
      <c r="A6250" s="1" t="s">
        <v>779</v>
      </c>
      <c r="B6250" s="1" t="s">
        <v>1286</v>
      </c>
      <c r="C6250" s="1" t="s">
        <v>34</v>
      </c>
      <c r="D6250" s="3">
        <f t="shared" si="911"/>
        <v>8544</v>
      </c>
      <c r="E6250" s="2">
        <f t="shared" si="912"/>
        <v>43617</v>
      </c>
      <c r="F6250" s="2">
        <f t="shared" si="913"/>
        <v>44377</v>
      </c>
    </row>
    <row r="6251" spans="1:6" x14ac:dyDescent="0.25">
      <c r="A6251" s="1" t="s">
        <v>779</v>
      </c>
      <c r="B6251" s="1" t="s">
        <v>2389</v>
      </c>
      <c r="C6251" s="1" t="s">
        <v>16</v>
      </c>
      <c r="D6251" s="3">
        <f>VALUE("8346")</f>
        <v>8346</v>
      </c>
      <c r="E6251" s="2">
        <f>DATEVALUE("1-1-2019")</f>
        <v>43466</v>
      </c>
      <c r="F6251" s="2">
        <f t="shared" ref="F6251:F6266" si="914">DATEVALUE("30-6-2019")</f>
        <v>43646</v>
      </c>
    </row>
    <row r="6252" spans="1:6" x14ac:dyDescent="0.25">
      <c r="A6252" s="1" t="s">
        <v>779</v>
      </c>
      <c r="B6252" s="1" t="s">
        <v>2389</v>
      </c>
      <c r="C6252" s="1" t="s">
        <v>22</v>
      </c>
      <c r="D6252" s="3">
        <f>VALUE("8346")</f>
        <v>8346</v>
      </c>
      <c r="E6252" s="2">
        <f>DATEVALUE("1-1-2019")</f>
        <v>43466</v>
      </c>
      <c r="F6252" s="2">
        <f t="shared" si="914"/>
        <v>43646</v>
      </c>
    </row>
    <row r="6253" spans="1:6" x14ac:dyDescent="0.25">
      <c r="A6253" s="1" t="s">
        <v>779</v>
      </c>
      <c r="B6253" s="1" t="s">
        <v>2389</v>
      </c>
      <c r="C6253" s="1" t="s">
        <v>146</v>
      </c>
      <c r="D6253" s="3">
        <f>VALUE("8346")</f>
        <v>8346</v>
      </c>
      <c r="E6253" s="2">
        <f>DATEVALUE("1-1-2019")</f>
        <v>43466</v>
      </c>
      <c r="F6253" s="2">
        <f t="shared" si="914"/>
        <v>43646</v>
      </c>
    </row>
    <row r="6254" spans="1:6" x14ac:dyDescent="0.25">
      <c r="A6254" s="1" t="s">
        <v>779</v>
      </c>
      <c r="B6254" s="1" t="s">
        <v>2389</v>
      </c>
      <c r="C6254" s="1" t="s">
        <v>148</v>
      </c>
      <c r="D6254" s="3">
        <f>VALUE("8346")</f>
        <v>8346</v>
      </c>
      <c r="E6254" s="2">
        <f>DATEVALUE("1-1-2019")</f>
        <v>43466</v>
      </c>
      <c r="F6254" s="2">
        <f t="shared" si="914"/>
        <v>43646</v>
      </c>
    </row>
    <row r="6255" spans="1:6" x14ac:dyDescent="0.25">
      <c r="A6255" s="1" t="s">
        <v>779</v>
      </c>
      <c r="B6255" s="1" t="s">
        <v>2389</v>
      </c>
      <c r="C6255" s="1" t="s">
        <v>92</v>
      </c>
      <c r="D6255" s="3">
        <f>VALUE("8346")</f>
        <v>8346</v>
      </c>
      <c r="E6255" s="2">
        <f>DATEVALUE("1-1-2019")</f>
        <v>43466</v>
      </c>
      <c r="F6255" s="2">
        <f t="shared" si="914"/>
        <v>43646</v>
      </c>
    </row>
    <row r="6256" spans="1:6" x14ac:dyDescent="0.25">
      <c r="A6256" s="1" t="s">
        <v>779</v>
      </c>
      <c r="B6256" s="1" t="s">
        <v>2398</v>
      </c>
      <c r="C6256" s="1" t="s">
        <v>87</v>
      </c>
      <c r="D6256" s="3">
        <f t="shared" ref="D6256:D6266" si="915">VALUE("8378")</f>
        <v>8378</v>
      </c>
      <c r="E6256" s="2">
        <f t="shared" ref="E6256:E6266" si="916">DATEVALUE("1-10-2018")</f>
        <v>43374</v>
      </c>
      <c r="F6256" s="2">
        <f t="shared" si="914"/>
        <v>43646</v>
      </c>
    </row>
    <row r="6257" spans="1:6" x14ac:dyDescent="0.25">
      <c r="A6257" s="1" t="s">
        <v>779</v>
      </c>
      <c r="B6257" s="1" t="s">
        <v>2398</v>
      </c>
      <c r="C6257" s="1" t="s">
        <v>14</v>
      </c>
      <c r="D6257" s="3">
        <f t="shared" si="915"/>
        <v>8378</v>
      </c>
      <c r="E6257" s="2">
        <f t="shared" si="916"/>
        <v>43374</v>
      </c>
      <c r="F6257" s="2">
        <f t="shared" si="914"/>
        <v>43646</v>
      </c>
    </row>
    <row r="6258" spans="1:6" x14ac:dyDescent="0.25">
      <c r="A6258" s="1" t="s">
        <v>779</v>
      </c>
      <c r="B6258" s="1" t="s">
        <v>2398</v>
      </c>
      <c r="C6258" s="1" t="s">
        <v>15</v>
      </c>
      <c r="D6258" s="3">
        <f t="shared" si="915"/>
        <v>8378</v>
      </c>
      <c r="E6258" s="2">
        <f t="shared" si="916"/>
        <v>43374</v>
      </c>
      <c r="F6258" s="2">
        <f t="shared" si="914"/>
        <v>43646</v>
      </c>
    </row>
    <row r="6259" spans="1:6" x14ac:dyDescent="0.25">
      <c r="A6259" s="1" t="s">
        <v>779</v>
      </c>
      <c r="B6259" s="1" t="s">
        <v>2398</v>
      </c>
      <c r="C6259" s="1" t="s">
        <v>17</v>
      </c>
      <c r="D6259" s="3">
        <f t="shared" si="915"/>
        <v>8378</v>
      </c>
      <c r="E6259" s="2">
        <f t="shared" si="916"/>
        <v>43374</v>
      </c>
      <c r="F6259" s="2">
        <f t="shared" si="914"/>
        <v>43646</v>
      </c>
    </row>
    <row r="6260" spans="1:6" x14ac:dyDescent="0.25">
      <c r="A6260" s="1" t="s">
        <v>779</v>
      </c>
      <c r="B6260" s="1" t="s">
        <v>2398</v>
      </c>
      <c r="C6260" s="1" t="s">
        <v>146</v>
      </c>
      <c r="D6260" s="3">
        <f t="shared" si="915"/>
        <v>8378</v>
      </c>
      <c r="E6260" s="2">
        <f t="shared" si="916"/>
        <v>43374</v>
      </c>
      <c r="F6260" s="2">
        <f t="shared" si="914"/>
        <v>43646</v>
      </c>
    </row>
    <row r="6261" spans="1:6" x14ac:dyDescent="0.25">
      <c r="A6261" s="1" t="s">
        <v>779</v>
      </c>
      <c r="B6261" s="1" t="s">
        <v>2398</v>
      </c>
      <c r="C6261" s="1" t="s">
        <v>67</v>
      </c>
      <c r="D6261" s="3">
        <f t="shared" si="915"/>
        <v>8378</v>
      </c>
      <c r="E6261" s="2">
        <f t="shared" si="916"/>
        <v>43374</v>
      </c>
      <c r="F6261" s="2">
        <f t="shared" si="914"/>
        <v>43646</v>
      </c>
    </row>
    <row r="6262" spans="1:6" x14ac:dyDescent="0.25">
      <c r="A6262" s="1" t="s">
        <v>779</v>
      </c>
      <c r="B6262" s="1" t="s">
        <v>2398</v>
      </c>
      <c r="C6262" s="1" t="s">
        <v>24</v>
      </c>
      <c r="D6262" s="3">
        <f t="shared" si="915"/>
        <v>8378</v>
      </c>
      <c r="E6262" s="2">
        <f t="shared" si="916"/>
        <v>43374</v>
      </c>
      <c r="F6262" s="2">
        <f t="shared" si="914"/>
        <v>43646</v>
      </c>
    </row>
    <row r="6263" spans="1:6" x14ac:dyDescent="0.25">
      <c r="A6263" s="1" t="s">
        <v>779</v>
      </c>
      <c r="B6263" s="1" t="s">
        <v>2398</v>
      </c>
      <c r="C6263" s="1" t="s">
        <v>72</v>
      </c>
      <c r="D6263" s="3">
        <f t="shared" si="915"/>
        <v>8378</v>
      </c>
      <c r="E6263" s="2">
        <f t="shared" si="916"/>
        <v>43374</v>
      </c>
      <c r="F6263" s="2">
        <f t="shared" si="914"/>
        <v>43646</v>
      </c>
    </row>
    <row r="6264" spans="1:6" x14ac:dyDescent="0.25">
      <c r="A6264" s="1" t="s">
        <v>779</v>
      </c>
      <c r="B6264" s="1" t="s">
        <v>2398</v>
      </c>
      <c r="C6264" s="1" t="s">
        <v>52</v>
      </c>
      <c r="D6264" s="3">
        <f t="shared" si="915"/>
        <v>8378</v>
      </c>
      <c r="E6264" s="2">
        <f t="shared" si="916"/>
        <v>43374</v>
      </c>
      <c r="F6264" s="2">
        <f t="shared" si="914"/>
        <v>43646</v>
      </c>
    </row>
    <row r="6265" spans="1:6" x14ac:dyDescent="0.25">
      <c r="A6265" s="1" t="s">
        <v>779</v>
      </c>
      <c r="B6265" s="1" t="s">
        <v>2398</v>
      </c>
      <c r="C6265" s="1" t="s">
        <v>160</v>
      </c>
      <c r="D6265" s="3">
        <f t="shared" si="915"/>
        <v>8378</v>
      </c>
      <c r="E6265" s="2">
        <f t="shared" si="916"/>
        <v>43374</v>
      </c>
      <c r="F6265" s="2">
        <f t="shared" si="914"/>
        <v>43646</v>
      </c>
    </row>
    <row r="6266" spans="1:6" x14ac:dyDescent="0.25">
      <c r="A6266" s="1" t="s">
        <v>779</v>
      </c>
      <c r="B6266" s="1" t="s">
        <v>2398</v>
      </c>
      <c r="C6266" s="1" t="s">
        <v>34</v>
      </c>
      <c r="D6266" s="3">
        <f t="shared" si="915"/>
        <v>8378</v>
      </c>
      <c r="E6266" s="2">
        <f t="shared" si="916"/>
        <v>43374</v>
      </c>
      <c r="F6266" s="2">
        <f t="shared" si="914"/>
        <v>43646</v>
      </c>
    </row>
    <row r="6267" spans="1:6" x14ac:dyDescent="0.25">
      <c r="A6267" s="1" t="s">
        <v>779</v>
      </c>
      <c r="B6267" s="1" t="s">
        <v>1033</v>
      </c>
      <c r="C6267" s="1" t="s">
        <v>1034</v>
      </c>
      <c r="D6267" s="3">
        <f>VALUE("8312")</f>
        <v>8312</v>
      </c>
      <c r="E6267" s="2">
        <f>DATEVALUE("1-6-2018")</f>
        <v>43252</v>
      </c>
      <c r="F6267" s="2">
        <f>DATEVALUE("31-12-2019")</f>
        <v>43830</v>
      </c>
    </row>
    <row r="6268" spans="1:6" x14ac:dyDescent="0.25">
      <c r="A6268" s="1" t="s">
        <v>779</v>
      </c>
      <c r="B6268" s="1" t="s">
        <v>1033</v>
      </c>
      <c r="C6268" s="1" t="s">
        <v>1035</v>
      </c>
      <c r="D6268" s="3">
        <f>VALUE("8312")</f>
        <v>8312</v>
      </c>
      <c r="E6268" s="2">
        <f>DATEVALUE("1-6-2018")</f>
        <v>43252</v>
      </c>
      <c r="F6268" s="2">
        <f>DATEVALUE("31-12-2019")</f>
        <v>43830</v>
      </c>
    </row>
    <row r="6269" spans="1:6" x14ac:dyDescent="0.25">
      <c r="A6269" s="1" t="s">
        <v>779</v>
      </c>
      <c r="B6269" s="1" t="s">
        <v>963</v>
      </c>
      <c r="C6269" s="1" t="s">
        <v>22</v>
      </c>
      <c r="D6269" s="3">
        <f>VALUE("8257")</f>
        <v>8257</v>
      </c>
      <c r="E6269" s="2">
        <f t="shared" ref="E6269:E6274" si="917">DATEVALUE("1-3-2018")</f>
        <v>43160</v>
      </c>
      <c r="F6269" s="2">
        <f>DATEVALUE("31-12-2020")</f>
        <v>44196</v>
      </c>
    </row>
    <row r="6270" spans="1:6" x14ac:dyDescent="0.25">
      <c r="A6270" s="1" t="s">
        <v>779</v>
      </c>
      <c r="B6270" s="1" t="s">
        <v>963</v>
      </c>
      <c r="C6270" s="1" t="s">
        <v>92</v>
      </c>
      <c r="D6270" s="3">
        <f>VALUE("8257")</f>
        <v>8257</v>
      </c>
      <c r="E6270" s="2">
        <f t="shared" si="917"/>
        <v>43160</v>
      </c>
      <c r="F6270" s="2">
        <f>DATEVALUE("31-12-2020")</f>
        <v>44196</v>
      </c>
    </row>
    <row r="6271" spans="1:6" x14ac:dyDescent="0.25">
      <c r="A6271" s="1" t="s">
        <v>779</v>
      </c>
      <c r="B6271" s="1" t="s">
        <v>2364</v>
      </c>
      <c r="C6271" s="1" t="s">
        <v>2365</v>
      </c>
      <c r="D6271" s="3">
        <f>VALUE("8258")</f>
        <v>8258</v>
      </c>
      <c r="E6271" s="2">
        <f t="shared" si="917"/>
        <v>43160</v>
      </c>
      <c r="F6271" s="2">
        <f>DATEVALUE("31-10-2018")</f>
        <v>43404</v>
      </c>
    </row>
    <row r="6272" spans="1:6" x14ac:dyDescent="0.25">
      <c r="A6272" s="1" t="s">
        <v>779</v>
      </c>
      <c r="B6272" s="1" t="s">
        <v>2364</v>
      </c>
      <c r="C6272" s="1" t="s">
        <v>17</v>
      </c>
      <c r="D6272" s="3">
        <f>VALUE("8258")</f>
        <v>8258</v>
      </c>
      <c r="E6272" s="2">
        <f t="shared" si="917"/>
        <v>43160</v>
      </c>
      <c r="F6272" s="2">
        <f>DATEVALUE("31-10-2018")</f>
        <v>43404</v>
      </c>
    </row>
    <row r="6273" spans="1:6" x14ac:dyDescent="0.25">
      <c r="A6273" s="1" t="s">
        <v>779</v>
      </c>
      <c r="B6273" s="1" t="s">
        <v>2364</v>
      </c>
      <c r="C6273" s="1" t="s">
        <v>92</v>
      </c>
      <c r="D6273" s="3">
        <f>VALUE("8258")</f>
        <v>8258</v>
      </c>
      <c r="E6273" s="2">
        <f t="shared" si="917"/>
        <v>43160</v>
      </c>
      <c r="F6273" s="2">
        <f>DATEVALUE("31-10-2018")</f>
        <v>43404</v>
      </c>
    </row>
    <row r="6274" spans="1:6" x14ac:dyDescent="0.25">
      <c r="A6274" s="1" t="s">
        <v>779</v>
      </c>
      <c r="B6274" s="1" t="s">
        <v>2364</v>
      </c>
      <c r="C6274" s="1" t="s">
        <v>2366</v>
      </c>
      <c r="D6274" s="3">
        <f>VALUE("8258")</f>
        <v>8258</v>
      </c>
      <c r="E6274" s="2">
        <f t="shared" si="917"/>
        <v>43160</v>
      </c>
      <c r="F6274" s="2">
        <f>DATEVALUE("31-10-2018")</f>
        <v>43404</v>
      </c>
    </row>
    <row r="6275" spans="1:6" x14ac:dyDescent="0.25">
      <c r="A6275" s="1" t="s">
        <v>779</v>
      </c>
      <c r="B6275" s="1" t="s">
        <v>2290</v>
      </c>
      <c r="C6275" s="1" t="s">
        <v>148</v>
      </c>
      <c r="D6275" s="3">
        <f>VALUE("8091")</f>
        <v>8091</v>
      </c>
      <c r="E6275" s="2">
        <f>DATEVALUE("1-5-2017")</f>
        <v>42856</v>
      </c>
      <c r="F6275" s="2">
        <f>DATEVALUE("31-8-2017")</f>
        <v>42978</v>
      </c>
    </row>
    <row r="6276" spans="1:6" x14ac:dyDescent="0.25">
      <c r="A6276" s="1" t="s">
        <v>779</v>
      </c>
      <c r="B6276" s="1" t="s">
        <v>2291</v>
      </c>
      <c r="C6276" s="1" t="s">
        <v>22</v>
      </c>
      <c r="D6276" s="3">
        <f>VALUE("8092")</f>
        <v>8092</v>
      </c>
      <c r="E6276" s="2">
        <f>DATEVALUE("1-5-2017")</f>
        <v>42856</v>
      </c>
      <c r="F6276" s="2">
        <f>DATEVALUE("31-10-2018")</f>
        <v>43404</v>
      </c>
    </row>
    <row r="6277" spans="1:6" x14ac:dyDescent="0.25">
      <c r="A6277" s="1" t="s">
        <v>779</v>
      </c>
      <c r="B6277" s="1" t="s">
        <v>2291</v>
      </c>
      <c r="C6277" s="1" t="s">
        <v>146</v>
      </c>
      <c r="D6277" s="3">
        <f>VALUE("8092")</f>
        <v>8092</v>
      </c>
      <c r="E6277" s="2">
        <f>DATEVALUE("1-5-2017")</f>
        <v>42856</v>
      </c>
      <c r="F6277" s="2">
        <f>DATEVALUE("31-10-2018")</f>
        <v>43404</v>
      </c>
    </row>
    <row r="6278" spans="1:6" x14ac:dyDescent="0.25">
      <c r="A6278" s="1" t="s">
        <v>779</v>
      </c>
      <c r="B6278" s="1" t="s">
        <v>2291</v>
      </c>
      <c r="C6278" s="1" t="s">
        <v>148</v>
      </c>
      <c r="D6278" s="3">
        <f>VALUE("8092")</f>
        <v>8092</v>
      </c>
      <c r="E6278" s="2">
        <f>DATEVALUE("1-5-2017")</f>
        <v>42856</v>
      </c>
      <c r="F6278" s="2">
        <f>DATEVALUE("31-10-2018")</f>
        <v>43404</v>
      </c>
    </row>
    <row r="6279" spans="1:6" x14ac:dyDescent="0.25">
      <c r="A6279" s="1" t="s">
        <v>779</v>
      </c>
      <c r="B6279" s="1" t="s">
        <v>2291</v>
      </c>
      <c r="C6279" s="1" t="s">
        <v>92</v>
      </c>
      <c r="D6279" s="3">
        <f>VALUE("8092")</f>
        <v>8092</v>
      </c>
      <c r="E6279" s="2">
        <f>DATEVALUE("1-5-2017")</f>
        <v>42856</v>
      </c>
      <c r="F6279" s="2">
        <f>DATEVALUE("31-10-2018")</f>
        <v>43404</v>
      </c>
    </row>
    <row r="6280" spans="1:6" x14ac:dyDescent="0.25">
      <c r="A6280" s="1" t="s">
        <v>779</v>
      </c>
      <c r="B6280" s="1" t="s">
        <v>794</v>
      </c>
      <c r="C6280" s="1" t="s">
        <v>15</v>
      </c>
      <c r="D6280" s="3">
        <f>VALUE("8016")</f>
        <v>8016</v>
      </c>
      <c r="E6280" s="2">
        <f>DATEVALUE("1-3-2017")</f>
        <v>42795</v>
      </c>
      <c r="F6280" s="2">
        <f>DATEVALUE("31-12-2020")</f>
        <v>44196</v>
      </c>
    </row>
    <row r="6281" spans="1:6" x14ac:dyDescent="0.25">
      <c r="A6281" s="1" t="s">
        <v>779</v>
      </c>
      <c r="B6281" s="1" t="s">
        <v>794</v>
      </c>
      <c r="C6281" s="1" t="s">
        <v>155</v>
      </c>
      <c r="D6281" s="3">
        <f>VALUE("8016")</f>
        <v>8016</v>
      </c>
      <c r="E6281" s="2">
        <f>DATEVALUE("1-3-2017")</f>
        <v>42795</v>
      </c>
      <c r="F6281" s="2">
        <f>DATEVALUE("31-12-2020")</f>
        <v>44196</v>
      </c>
    </row>
    <row r="6282" spans="1:6" x14ac:dyDescent="0.25">
      <c r="A6282" s="1" t="s">
        <v>779</v>
      </c>
      <c r="B6282" s="1" t="s">
        <v>794</v>
      </c>
      <c r="C6282" s="1" t="s">
        <v>162</v>
      </c>
      <c r="D6282" s="3">
        <f>VALUE("8016")</f>
        <v>8016</v>
      </c>
      <c r="E6282" s="2">
        <f>DATEVALUE("1-3-2017")</f>
        <v>42795</v>
      </c>
      <c r="F6282" s="2">
        <f>DATEVALUE("31-12-2020")</f>
        <v>44196</v>
      </c>
    </row>
    <row r="6283" spans="1:6" x14ac:dyDescent="0.25">
      <c r="A6283" s="1" t="s">
        <v>779</v>
      </c>
      <c r="B6283" s="1" t="s">
        <v>778</v>
      </c>
      <c r="C6283" s="1" t="s">
        <v>617</v>
      </c>
      <c r="D6283" s="3">
        <f>VALUE("7985")</f>
        <v>7985</v>
      </c>
      <c r="E6283" s="2">
        <f>DATEVALUE("1-11-2016")</f>
        <v>42675</v>
      </c>
      <c r="F6283" s="2">
        <f>DATEVALUE("31-1-2024")</f>
        <v>45322</v>
      </c>
    </row>
    <row r="6284" spans="1:6" x14ac:dyDescent="0.25">
      <c r="A6284" s="1" t="s">
        <v>779</v>
      </c>
      <c r="B6284" s="1" t="s">
        <v>778</v>
      </c>
      <c r="C6284" s="1" t="s">
        <v>618</v>
      </c>
      <c r="D6284" s="3">
        <f>VALUE("7985")</f>
        <v>7985</v>
      </c>
      <c r="E6284" s="2">
        <f>DATEVALUE("1-11-2016")</f>
        <v>42675</v>
      </c>
      <c r="F6284" s="2">
        <f>DATEVALUE("31-1-2024")</f>
        <v>45322</v>
      </c>
    </row>
    <row r="6285" spans="1:6" x14ac:dyDescent="0.25">
      <c r="A6285" s="1" t="s">
        <v>779</v>
      </c>
      <c r="B6285" s="1" t="s">
        <v>2253</v>
      </c>
      <c r="C6285" s="1" t="s">
        <v>22</v>
      </c>
      <c r="D6285" s="3">
        <f>VALUE("7967")</f>
        <v>7967</v>
      </c>
      <c r="E6285" s="2">
        <f>DATEVALUE("1-10-2016")</f>
        <v>42644</v>
      </c>
      <c r="F6285" s="2">
        <f>DATEVALUE("30-6-2018")</f>
        <v>43281</v>
      </c>
    </row>
    <row r="6286" spans="1:6" x14ac:dyDescent="0.25">
      <c r="A6286" s="1" t="s">
        <v>779</v>
      </c>
      <c r="B6286" s="1" t="s">
        <v>2253</v>
      </c>
      <c r="C6286" s="1" t="s">
        <v>146</v>
      </c>
      <c r="D6286" s="3">
        <f>VALUE("7967")</f>
        <v>7967</v>
      </c>
      <c r="E6286" s="2">
        <f>DATEVALUE("1-10-2016")</f>
        <v>42644</v>
      </c>
      <c r="F6286" s="2">
        <f>DATEVALUE("30-6-2018")</f>
        <v>43281</v>
      </c>
    </row>
    <row r="6287" spans="1:6" x14ac:dyDescent="0.25">
      <c r="A6287" s="1" t="s">
        <v>779</v>
      </c>
      <c r="B6287" s="1" t="s">
        <v>2253</v>
      </c>
      <c r="C6287" s="1" t="s">
        <v>148</v>
      </c>
      <c r="D6287" s="3">
        <f>VALUE("7967")</f>
        <v>7967</v>
      </c>
      <c r="E6287" s="2">
        <f>DATEVALUE("1-10-2016")</f>
        <v>42644</v>
      </c>
      <c r="F6287" s="2">
        <f>DATEVALUE("30-6-2018")</f>
        <v>43281</v>
      </c>
    </row>
    <row r="6288" spans="1:6" x14ac:dyDescent="0.25">
      <c r="A6288" s="1" t="s">
        <v>779</v>
      </c>
      <c r="B6288" s="1" t="s">
        <v>2253</v>
      </c>
      <c r="C6288" s="1" t="s">
        <v>92</v>
      </c>
      <c r="D6288" s="3">
        <f>VALUE("7967")</f>
        <v>7967</v>
      </c>
      <c r="E6288" s="2">
        <f>DATEVALUE("1-10-2016")</f>
        <v>42644</v>
      </c>
      <c r="F6288" s="2">
        <f>DATEVALUE("30-6-2018")</f>
        <v>43281</v>
      </c>
    </row>
    <row r="6289" spans="1:6" x14ac:dyDescent="0.25">
      <c r="A6289" s="1" t="s">
        <v>779</v>
      </c>
      <c r="B6289" s="1" t="s">
        <v>2014</v>
      </c>
      <c r="C6289" s="1" t="s">
        <v>17</v>
      </c>
      <c r="D6289" s="3">
        <f>VALUE("7949")</f>
        <v>7949</v>
      </c>
      <c r="E6289" s="2">
        <f>DATEVALUE("1-8-2016")</f>
        <v>42583</v>
      </c>
      <c r="F6289" s="2">
        <f>DATEVALUE("31-12-2016")</f>
        <v>42735</v>
      </c>
    </row>
    <row r="6290" spans="1:6" x14ac:dyDescent="0.25">
      <c r="A6290" s="1" t="s">
        <v>779</v>
      </c>
      <c r="B6290" s="1" t="s">
        <v>2014</v>
      </c>
      <c r="C6290" s="1" t="s">
        <v>22</v>
      </c>
      <c r="D6290" s="3">
        <f>VALUE("7949")</f>
        <v>7949</v>
      </c>
      <c r="E6290" s="2">
        <f>DATEVALUE("1-8-2016")</f>
        <v>42583</v>
      </c>
      <c r="F6290" s="2">
        <f>DATEVALUE("31-12-2016")</f>
        <v>42735</v>
      </c>
    </row>
    <row r="6291" spans="1:6" x14ac:dyDescent="0.25">
      <c r="A6291" s="1" t="s">
        <v>779</v>
      </c>
      <c r="B6291" s="1" t="s">
        <v>2014</v>
      </c>
      <c r="C6291" s="1" t="s">
        <v>92</v>
      </c>
      <c r="D6291" s="3">
        <f>VALUE("7949")</f>
        <v>7949</v>
      </c>
      <c r="E6291" s="2">
        <f>DATEVALUE("1-8-2016")</f>
        <v>42583</v>
      </c>
      <c r="F6291" s="2">
        <f>DATEVALUE("31-12-2016")</f>
        <v>42735</v>
      </c>
    </row>
    <row r="6292" spans="1:6" x14ac:dyDescent="0.25">
      <c r="A6292" s="1" t="s">
        <v>779</v>
      </c>
      <c r="B6292" s="1" t="s">
        <v>2014</v>
      </c>
      <c r="C6292" s="1" t="s">
        <v>70</v>
      </c>
      <c r="D6292" s="3">
        <f>VALUE("7949")</f>
        <v>7949</v>
      </c>
      <c r="E6292" s="2">
        <f>DATEVALUE("1-8-2016")</f>
        <v>42583</v>
      </c>
      <c r="F6292" s="2">
        <f>DATEVALUE("31-12-2016")</f>
        <v>42735</v>
      </c>
    </row>
    <row r="6293" spans="1:6" x14ac:dyDescent="0.25">
      <c r="A6293" s="1" t="s">
        <v>779</v>
      </c>
      <c r="B6293" s="1" t="s">
        <v>2238</v>
      </c>
      <c r="C6293" s="1" t="s">
        <v>22</v>
      </c>
      <c r="D6293" s="3">
        <f>VALUE("7923")</f>
        <v>7923</v>
      </c>
      <c r="E6293" s="2">
        <f>DATEVALUE("1-7-2016")</f>
        <v>42552</v>
      </c>
      <c r="F6293" s="2">
        <f>DATEVALUE("30-4-2017")</f>
        <v>42855</v>
      </c>
    </row>
    <row r="6294" spans="1:6" x14ac:dyDescent="0.25">
      <c r="A6294" s="1" t="s">
        <v>779</v>
      </c>
      <c r="B6294" s="1" t="s">
        <v>2238</v>
      </c>
      <c r="C6294" s="1" t="s">
        <v>148</v>
      </c>
      <c r="D6294" s="3">
        <f>VALUE("7923")</f>
        <v>7923</v>
      </c>
      <c r="E6294" s="2">
        <f>DATEVALUE("1-7-2016")</f>
        <v>42552</v>
      </c>
      <c r="F6294" s="2">
        <f>DATEVALUE("30-4-2017")</f>
        <v>42855</v>
      </c>
    </row>
    <row r="6295" spans="1:6" x14ac:dyDescent="0.25">
      <c r="A6295" s="1" t="s">
        <v>779</v>
      </c>
      <c r="B6295" s="1" t="s">
        <v>2238</v>
      </c>
      <c r="C6295" s="1" t="s">
        <v>92</v>
      </c>
      <c r="D6295" s="3">
        <f>VALUE("7923")</f>
        <v>7923</v>
      </c>
      <c r="E6295" s="2">
        <f>DATEVALUE("1-7-2016")</f>
        <v>42552</v>
      </c>
      <c r="F6295" s="2">
        <f>DATEVALUE("30-4-2017")</f>
        <v>42855</v>
      </c>
    </row>
    <row r="6296" spans="1:6" x14ac:dyDescent="0.25">
      <c r="A6296" s="1" t="s">
        <v>779</v>
      </c>
      <c r="B6296" s="1" t="s">
        <v>2229</v>
      </c>
      <c r="C6296" s="1" t="s">
        <v>22</v>
      </c>
      <c r="D6296" s="3">
        <f>VALUE("7869")</f>
        <v>7869</v>
      </c>
      <c r="E6296" s="2">
        <f>DATEVALUE("1-4-2016")</f>
        <v>42461</v>
      </c>
      <c r="F6296" s="2">
        <f>DATEVALUE("28-2-2017")</f>
        <v>42794</v>
      </c>
    </row>
    <row r="6297" spans="1:6" x14ac:dyDescent="0.25">
      <c r="A6297" s="1" t="s">
        <v>779</v>
      </c>
      <c r="B6297" s="1" t="s">
        <v>2229</v>
      </c>
      <c r="C6297" s="1" t="s">
        <v>148</v>
      </c>
      <c r="D6297" s="3">
        <f>VALUE("7869")</f>
        <v>7869</v>
      </c>
      <c r="E6297" s="2">
        <f>DATEVALUE("1-4-2016")</f>
        <v>42461</v>
      </c>
      <c r="F6297" s="2">
        <f>DATEVALUE("28-2-2017")</f>
        <v>42794</v>
      </c>
    </row>
    <row r="6298" spans="1:6" x14ac:dyDescent="0.25">
      <c r="A6298" s="1" t="s">
        <v>779</v>
      </c>
      <c r="B6298" s="1" t="s">
        <v>2229</v>
      </c>
      <c r="C6298" s="1" t="s">
        <v>92</v>
      </c>
      <c r="D6298" s="3">
        <f>VALUE("7869")</f>
        <v>7869</v>
      </c>
      <c r="E6298" s="2">
        <f>DATEVALUE("1-4-2016")</f>
        <v>42461</v>
      </c>
      <c r="F6298" s="2">
        <f>DATEVALUE("28-2-2017")</f>
        <v>42794</v>
      </c>
    </row>
    <row r="6299" spans="1:6" x14ac:dyDescent="0.25">
      <c r="A6299" s="1" t="s">
        <v>779</v>
      </c>
      <c r="B6299" s="1" t="s">
        <v>2168</v>
      </c>
      <c r="C6299" s="1" t="s">
        <v>148</v>
      </c>
      <c r="D6299" s="3">
        <f>VALUE("7624")</f>
        <v>7624</v>
      </c>
      <c r="E6299" s="2">
        <f>DATEVALUE("1-5-2014")</f>
        <v>41760</v>
      </c>
      <c r="F6299" s="2">
        <f>DATEVALUE("30-6-2016")</f>
        <v>42551</v>
      </c>
    </row>
    <row r="6300" spans="1:6" x14ac:dyDescent="0.25">
      <c r="A6300" s="1" t="s">
        <v>779</v>
      </c>
      <c r="B6300" s="1" t="s">
        <v>2168</v>
      </c>
      <c r="C6300" s="1" t="s">
        <v>92</v>
      </c>
      <c r="D6300" s="3">
        <f>VALUE("7624")</f>
        <v>7624</v>
      </c>
      <c r="E6300" s="2">
        <f>DATEVALUE("1-5-2014")</f>
        <v>41760</v>
      </c>
      <c r="F6300" s="2">
        <f>DATEVALUE("30-6-2016")</f>
        <v>42551</v>
      </c>
    </row>
    <row r="6301" spans="1:6" x14ac:dyDescent="0.25">
      <c r="A6301" s="1" t="s">
        <v>779</v>
      </c>
      <c r="B6301" s="1" t="s">
        <v>2547</v>
      </c>
      <c r="C6301" s="1" t="s">
        <v>86</v>
      </c>
      <c r="D6301" s="3">
        <f>VALUE("6179")</f>
        <v>6179</v>
      </c>
      <c r="E6301" s="2">
        <f>DATEVALUE("1-9-2009")</f>
        <v>40057</v>
      </c>
      <c r="F6301" s="2">
        <f>DATEVALUE("31-3-2012")</f>
        <v>40999</v>
      </c>
    </row>
    <row r="6302" spans="1:6" x14ac:dyDescent="0.25">
      <c r="A6302" s="1" t="s">
        <v>779</v>
      </c>
      <c r="B6302" s="1" t="s">
        <v>2547</v>
      </c>
      <c r="C6302" s="1" t="s">
        <v>1314</v>
      </c>
      <c r="D6302" s="3">
        <f>VALUE("6179")</f>
        <v>6179</v>
      </c>
      <c r="E6302" s="2">
        <f>DATEVALUE("1-9-2009")</f>
        <v>40057</v>
      </c>
      <c r="F6302" s="2">
        <f>DATEVALUE("31-3-2012")</f>
        <v>40999</v>
      </c>
    </row>
    <row r="6303" spans="1:6" x14ac:dyDescent="0.25">
      <c r="A6303" s="1" t="s">
        <v>779</v>
      </c>
      <c r="B6303" s="1" t="s">
        <v>2547</v>
      </c>
      <c r="C6303" s="1" t="s">
        <v>145</v>
      </c>
      <c r="D6303" s="3">
        <f>VALUE("6179")</f>
        <v>6179</v>
      </c>
      <c r="E6303" s="2">
        <f>DATEVALUE("1-9-2009")</f>
        <v>40057</v>
      </c>
      <c r="F6303" s="2">
        <f>DATEVALUE("31-3-2012")</f>
        <v>40999</v>
      </c>
    </row>
    <row r="6304" spans="1:6" x14ac:dyDescent="0.25">
      <c r="A6304" s="1" t="s">
        <v>779</v>
      </c>
      <c r="B6304" s="1" t="s">
        <v>2547</v>
      </c>
      <c r="C6304" s="1" t="s">
        <v>149</v>
      </c>
      <c r="D6304" s="3">
        <f>VALUE("6179")</f>
        <v>6179</v>
      </c>
      <c r="E6304" s="2">
        <f>DATEVALUE("1-9-2009")</f>
        <v>40057</v>
      </c>
      <c r="F6304" s="2">
        <f>DATEVALUE("31-3-2012")</f>
        <v>40999</v>
      </c>
    </row>
    <row r="6305" spans="1:6" x14ac:dyDescent="0.25">
      <c r="A6305" s="1" t="s">
        <v>611</v>
      </c>
      <c r="B6305" s="1" t="s">
        <v>2338</v>
      </c>
      <c r="C6305" s="1" t="s">
        <v>479</v>
      </c>
      <c r="D6305" s="3">
        <f>VALUE("8187")</f>
        <v>8187</v>
      </c>
      <c r="E6305" s="2">
        <f>DATEVALUE("1-11-2017")</f>
        <v>43040</v>
      </c>
      <c r="F6305" s="2">
        <f>DATEVALUE("30-6-2019")</f>
        <v>43646</v>
      </c>
    </row>
    <row r="6306" spans="1:6" x14ac:dyDescent="0.25">
      <c r="A6306" s="1" t="s">
        <v>611</v>
      </c>
      <c r="B6306" s="1" t="s">
        <v>2286</v>
      </c>
      <c r="C6306" s="1" t="s">
        <v>14</v>
      </c>
      <c r="D6306" s="3">
        <f>VALUE("8078")</f>
        <v>8078</v>
      </c>
      <c r="E6306" s="2">
        <f>DATEVALUE("1-6-2017")</f>
        <v>42887</v>
      </c>
      <c r="F6306" s="2">
        <f>DATEVALUE("31-12-2018")</f>
        <v>43465</v>
      </c>
    </row>
    <row r="6307" spans="1:6" x14ac:dyDescent="0.25">
      <c r="A6307" s="1" t="s">
        <v>611</v>
      </c>
      <c r="B6307" s="1" t="s">
        <v>2286</v>
      </c>
      <c r="C6307" s="1" t="s">
        <v>617</v>
      </c>
      <c r="D6307" s="3">
        <f>VALUE("8078")</f>
        <v>8078</v>
      </c>
      <c r="E6307" s="2">
        <f>DATEVALUE("1-6-2017")</f>
        <v>42887</v>
      </c>
      <c r="F6307" s="2">
        <f>DATEVALUE("31-12-2018")</f>
        <v>43465</v>
      </c>
    </row>
    <row r="6308" spans="1:6" x14ac:dyDescent="0.25">
      <c r="A6308" s="1" t="s">
        <v>611</v>
      </c>
      <c r="B6308" s="1" t="s">
        <v>2286</v>
      </c>
      <c r="C6308" s="1" t="s">
        <v>24</v>
      </c>
      <c r="D6308" s="3">
        <f>VALUE("8078")</f>
        <v>8078</v>
      </c>
      <c r="E6308" s="2">
        <f>DATEVALUE("1-6-2017")</f>
        <v>42887</v>
      </c>
      <c r="F6308" s="2">
        <f>DATEVALUE("31-12-2018")</f>
        <v>43465</v>
      </c>
    </row>
    <row r="6309" spans="1:6" x14ac:dyDescent="0.25">
      <c r="A6309" s="1" t="s">
        <v>611</v>
      </c>
      <c r="B6309" s="1" t="s">
        <v>2286</v>
      </c>
      <c r="C6309" s="1" t="s">
        <v>618</v>
      </c>
      <c r="D6309" s="3">
        <f>VALUE("8078")</f>
        <v>8078</v>
      </c>
      <c r="E6309" s="2">
        <f>DATEVALUE("1-6-2017")</f>
        <v>42887</v>
      </c>
      <c r="F6309" s="2">
        <f>DATEVALUE("31-12-2018")</f>
        <v>43465</v>
      </c>
    </row>
    <row r="6310" spans="1:6" x14ac:dyDescent="0.25">
      <c r="A6310" s="1" t="s">
        <v>611</v>
      </c>
      <c r="B6310" s="1" t="s">
        <v>2286</v>
      </c>
      <c r="C6310" s="1" t="s">
        <v>34</v>
      </c>
      <c r="D6310" s="3">
        <f>VALUE("8078")</f>
        <v>8078</v>
      </c>
      <c r="E6310" s="2">
        <f>DATEVALUE("1-6-2017")</f>
        <v>42887</v>
      </c>
      <c r="F6310" s="2">
        <f>DATEVALUE("31-12-2018")</f>
        <v>43465</v>
      </c>
    </row>
    <row r="6311" spans="1:6" x14ac:dyDescent="0.25">
      <c r="A6311" s="1" t="s">
        <v>611</v>
      </c>
      <c r="B6311" s="1" t="s">
        <v>766</v>
      </c>
      <c r="C6311" s="1" t="s">
        <v>184</v>
      </c>
      <c r="D6311" s="3">
        <f t="shared" ref="D6311:D6319" si="918">VALUE("7956")</f>
        <v>7956</v>
      </c>
      <c r="E6311" s="2">
        <f t="shared" ref="E6311:E6319" si="919">DATEVALUE("1-12-2016")</f>
        <v>42705</v>
      </c>
      <c r="F6311" s="2">
        <f t="shared" ref="F6311:F6319" si="920">DATEVALUE("31-1-2025")</f>
        <v>45688</v>
      </c>
    </row>
    <row r="6312" spans="1:6" x14ac:dyDescent="0.25">
      <c r="A6312" s="1" t="s">
        <v>611</v>
      </c>
      <c r="B6312" s="1" t="s">
        <v>766</v>
      </c>
      <c r="C6312" s="1" t="s">
        <v>17</v>
      </c>
      <c r="D6312" s="3">
        <f t="shared" si="918"/>
        <v>7956</v>
      </c>
      <c r="E6312" s="2">
        <f t="shared" si="919"/>
        <v>42705</v>
      </c>
      <c r="F6312" s="2">
        <f t="shared" si="920"/>
        <v>45688</v>
      </c>
    </row>
    <row r="6313" spans="1:6" x14ac:dyDescent="0.25">
      <c r="A6313" s="1" t="s">
        <v>611</v>
      </c>
      <c r="B6313" s="1" t="s">
        <v>766</v>
      </c>
      <c r="C6313" s="1" t="s">
        <v>22</v>
      </c>
      <c r="D6313" s="3">
        <f t="shared" si="918"/>
        <v>7956</v>
      </c>
      <c r="E6313" s="2">
        <f t="shared" si="919"/>
        <v>42705</v>
      </c>
      <c r="F6313" s="2">
        <f t="shared" si="920"/>
        <v>45688</v>
      </c>
    </row>
    <row r="6314" spans="1:6" x14ac:dyDescent="0.25">
      <c r="A6314" s="1" t="s">
        <v>611</v>
      </c>
      <c r="B6314" s="1" t="s">
        <v>766</v>
      </c>
      <c r="C6314" s="1" t="s">
        <v>146</v>
      </c>
      <c r="D6314" s="3">
        <f t="shared" si="918"/>
        <v>7956</v>
      </c>
      <c r="E6314" s="2">
        <f t="shared" si="919"/>
        <v>42705</v>
      </c>
      <c r="F6314" s="2">
        <f t="shared" si="920"/>
        <v>45688</v>
      </c>
    </row>
    <row r="6315" spans="1:6" x14ac:dyDescent="0.25">
      <c r="A6315" s="1" t="s">
        <v>611</v>
      </c>
      <c r="B6315" s="1" t="s">
        <v>766</v>
      </c>
      <c r="C6315" s="1" t="s">
        <v>147</v>
      </c>
      <c r="D6315" s="3">
        <f t="shared" si="918"/>
        <v>7956</v>
      </c>
      <c r="E6315" s="2">
        <f t="shared" si="919"/>
        <v>42705</v>
      </c>
      <c r="F6315" s="2">
        <f t="shared" si="920"/>
        <v>45688</v>
      </c>
    </row>
    <row r="6316" spans="1:6" x14ac:dyDescent="0.25">
      <c r="A6316" s="1" t="s">
        <v>611</v>
      </c>
      <c r="B6316" s="1" t="s">
        <v>766</v>
      </c>
      <c r="C6316" s="1" t="s">
        <v>148</v>
      </c>
      <c r="D6316" s="3">
        <f t="shared" si="918"/>
        <v>7956</v>
      </c>
      <c r="E6316" s="2">
        <f t="shared" si="919"/>
        <v>42705</v>
      </c>
      <c r="F6316" s="2">
        <f t="shared" si="920"/>
        <v>45688</v>
      </c>
    </row>
    <row r="6317" spans="1:6" x14ac:dyDescent="0.25">
      <c r="A6317" s="1" t="s">
        <v>611</v>
      </c>
      <c r="B6317" s="1" t="s">
        <v>766</v>
      </c>
      <c r="C6317" s="1" t="s">
        <v>92</v>
      </c>
      <c r="D6317" s="3">
        <f t="shared" si="918"/>
        <v>7956</v>
      </c>
      <c r="E6317" s="2">
        <f t="shared" si="919"/>
        <v>42705</v>
      </c>
      <c r="F6317" s="2">
        <f t="shared" si="920"/>
        <v>45688</v>
      </c>
    </row>
    <row r="6318" spans="1:6" x14ac:dyDescent="0.25">
      <c r="A6318" s="1" t="s">
        <v>611</v>
      </c>
      <c r="B6318" s="1" t="s">
        <v>766</v>
      </c>
      <c r="C6318" s="1" t="s">
        <v>617</v>
      </c>
      <c r="D6318" s="3">
        <f t="shared" si="918"/>
        <v>7956</v>
      </c>
      <c r="E6318" s="2">
        <f t="shared" si="919"/>
        <v>42705</v>
      </c>
      <c r="F6318" s="2">
        <f t="shared" si="920"/>
        <v>45688</v>
      </c>
    </row>
    <row r="6319" spans="1:6" x14ac:dyDescent="0.25">
      <c r="A6319" s="1" t="s">
        <v>611</v>
      </c>
      <c r="B6319" s="1" t="s">
        <v>766</v>
      </c>
      <c r="C6319" s="1" t="s">
        <v>618</v>
      </c>
      <c r="D6319" s="3">
        <f t="shared" si="918"/>
        <v>7956</v>
      </c>
      <c r="E6319" s="2">
        <f t="shared" si="919"/>
        <v>42705</v>
      </c>
      <c r="F6319" s="2">
        <f t="shared" si="920"/>
        <v>45688</v>
      </c>
    </row>
    <row r="6320" spans="1:6" x14ac:dyDescent="0.25">
      <c r="A6320" s="1" t="s">
        <v>611</v>
      </c>
      <c r="B6320" s="1" t="s">
        <v>610</v>
      </c>
      <c r="C6320" s="1" t="s">
        <v>612</v>
      </c>
      <c r="D6320" s="3">
        <f t="shared" ref="D6320:D6360" si="921">VALUE("7830")</f>
        <v>7830</v>
      </c>
      <c r="E6320" s="2">
        <f t="shared" ref="E6320:E6360" si="922">DATEVALUE("1-1-2016")</f>
        <v>42370</v>
      </c>
      <c r="F6320" s="2">
        <f t="shared" ref="F6320:F6360" si="923">DATEVALUE("30-11-2024")</f>
        <v>45626</v>
      </c>
    </row>
    <row r="6321" spans="1:6" x14ac:dyDescent="0.25">
      <c r="A6321" s="1" t="s">
        <v>611</v>
      </c>
      <c r="B6321" s="1" t="s">
        <v>610</v>
      </c>
      <c r="C6321" s="1" t="s">
        <v>613</v>
      </c>
      <c r="D6321" s="3">
        <f t="shared" si="921"/>
        <v>7830</v>
      </c>
      <c r="E6321" s="2">
        <f t="shared" si="922"/>
        <v>42370</v>
      </c>
      <c r="F6321" s="2">
        <f t="shared" si="923"/>
        <v>45626</v>
      </c>
    </row>
    <row r="6322" spans="1:6" x14ac:dyDescent="0.25">
      <c r="A6322" s="1" t="s">
        <v>611</v>
      </c>
      <c r="B6322" s="1" t="s">
        <v>610</v>
      </c>
      <c r="C6322" s="1" t="s">
        <v>191</v>
      </c>
      <c r="D6322" s="3">
        <f t="shared" si="921"/>
        <v>7830</v>
      </c>
      <c r="E6322" s="2">
        <f t="shared" si="922"/>
        <v>42370</v>
      </c>
      <c r="F6322" s="2">
        <f t="shared" si="923"/>
        <v>45626</v>
      </c>
    </row>
    <row r="6323" spans="1:6" x14ac:dyDescent="0.25">
      <c r="A6323" s="1" t="s">
        <v>611</v>
      </c>
      <c r="B6323" s="1" t="s">
        <v>610</v>
      </c>
      <c r="C6323" s="1" t="s">
        <v>61</v>
      </c>
      <c r="D6323" s="3">
        <f t="shared" si="921"/>
        <v>7830</v>
      </c>
      <c r="E6323" s="2">
        <f t="shared" si="922"/>
        <v>42370</v>
      </c>
      <c r="F6323" s="2">
        <f t="shared" si="923"/>
        <v>45626</v>
      </c>
    </row>
    <row r="6324" spans="1:6" x14ac:dyDescent="0.25">
      <c r="A6324" s="1" t="s">
        <v>611</v>
      </c>
      <c r="B6324" s="1" t="s">
        <v>610</v>
      </c>
      <c r="C6324" s="1" t="s">
        <v>138</v>
      </c>
      <c r="D6324" s="3">
        <f t="shared" si="921"/>
        <v>7830</v>
      </c>
      <c r="E6324" s="2">
        <f t="shared" si="922"/>
        <v>42370</v>
      </c>
      <c r="F6324" s="2">
        <f t="shared" si="923"/>
        <v>45626</v>
      </c>
    </row>
    <row r="6325" spans="1:6" x14ac:dyDescent="0.25">
      <c r="A6325" s="1" t="s">
        <v>611</v>
      </c>
      <c r="B6325" s="1" t="s">
        <v>610</v>
      </c>
      <c r="C6325" s="1" t="s">
        <v>614</v>
      </c>
      <c r="D6325" s="3">
        <f t="shared" si="921"/>
        <v>7830</v>
      </c>
      <c r="E6325" s="2">
        <f t="shared" si="922"/>
        <v>42370</v>
      </c>
      <c r="F6325" s="2">
        <f t="shared" si="923"/>
        <v>45626</v>
      </c>
    </row>
    <row r="6326" spans="1:6" x14ac:dyDescent="0.25">
      <c r="A6326" s="1" t="s">
        <v>611</v>
      </c>
      <c r="B6326" s="1" t="s">
        <v>610</v>
      </c>
      <c r="C6326" s="1" t="s">
        <v>184</v>
      </c>
      <c r="D6326" s="3">
        <f t="shared" si="921"/>
        <v>7830</v>
      </c>
      <c r="E6326" s="2">
        <f t="shared" si="922"/>
        <v>42370</v>
      </c>
      <c r="F6326" s="2">
        <f t="shared" si="923"/>
        <v>45626</v>
      </c>
    </row>
    <row r="6327" spans="1:6" x14ac:dyDescent="0.25">
      <c r="A6327" s="1" t="s">
        <v>611</v>
      </c>
      <c r="B6327" s="1" t="s">
        <v>610</v>
      </c>
      <c r="C6327" s="1" t="s">
        <v>469</v>
      </c>
      <c r="D6327" s="3">
        <f t="shared" si="921"/>
        <v>7830</v>
      </c>
      <c r="E6327" s="2">
        <f t="shared" si="922"/>
        <v>42370</v>
      </c>
      <c r="F6327" s="2">
        <f t="shared" si="923"/>
        <v>45626</v>
      </c>
    </row>
    <row r="6328" spans="1:6" x14ac:dyDescent="0.25">
      <c r="A6328" s="1" t="s">
        <v>611</v>
      </c>
      <c r="B6328" s="1" t="s">
        <v>610</v>
      </c>
      <c r="C6328" s="1" t="s">
        <v>615</v>
      </c>
      <c r="D6328" s="3">
        <f t="shared" si="921"/>
        <v>7830</v>
      </c>
      <c r="E6328" s="2">
        <f t="shared" si="922"/>
        <v>42370</v>
      </c>
      <c r="F6328" s="2">
        <f t="shared" si="923"/>
        <v>45626</v>
      </c>
    </row>
    <row r="6329" spans="1:6" x14ac:dyDescent="0.25">
      <c r="A6329" s="1" t="s">
        <v>611</v>
      </c>
      <c r="B6329" s="1" t="s">
        <v>610</v>
      </c>
      <c r="C6329" s="1" t="s">
        <v>319</v>
      </c>
      <c r="D6329" s="3">
        <f t="shared" si="921"/>
        <v>7830</v>
      </c>
      <c r="E6329" s="2">
        <f t="shared" si="922"/>
        <v>42370</v>
      </c>
      <c r="F6329" s="2">
        <f t="shared" si="923"/>
        <v>45626</v>
      </c>
    </row>
    <row r="6330" spans="1:6" x14ac:dyDescent="0.25">
      <c r="A6330" s="1" t="s">
        <v>611</v>
      </c>
      <c r="B6330" s="1" t="s">
        <v>610</v>
      </c>
      <c r="C6330" s="1" t="s">
        <v>415</v>
      </c>
      <c r="D6330" s="3">
        <f t="shared" si="921"/>
        <v>7830</v>
      </c>
      <c r="E6330" s="2">
        <f t="shared" si="922"/>
        <v>42370</v>
      </c>
      <c r="F6330" s="2">
        <f t="shared" si="923"/>
        <v>45626</v>
      </c>
    </row>
    <row r="6331" spans="1:6" x14ac:dyDescent="0.25">
      <c r="A6331" s="1" t="s">
        <v>611</v>
      </c>
      <c r="B6331" s="1" t="s">
        <v>610</v>
      </c>
      <c r="C6331" s="1" t="s">
        <v>416</v>
      </c>
      <c r="D6331" s="3">
        <f t="shared" si="921"/>
        <v>7830</v>
      </c>
      <c r="E6331" s="2">
        <f t="shared" si="922"/>
        <v>42370</v>
      </c>
      <c r="F6331" s="2">
        <f t="shared" si="923"/>
        <v>45626</v>
      </c>
    </row>
    <row r="6332" spans="1:6" x14ac:dyDescent="0.25">
      <c r="A6332" s="1" t="s">
        <v>611</v>
      </c>
      <c r="B6332" s="1" t="s">
        <v>610</v>
      </c>
      <c r="C6332" s="1" t="s">
        <v>14</v>
      </c>
      <c r="D6332" s="3">
        <f t="shared" si="921"/>
        <v>7830</v>
      </c>
      <c r="E6332" s="2">
        <f t="shared" si="922"/>
        <v>42370</v>
      </c>
      <c r="F6332" s="2">
        <f t="shared" si="923"/>
        <v>45626</v>
      </c>
    </row>
    <row r="6333" spans="1:6" x14ac:dyDescent="0.25">
      <c r="A6333" s="1" t="s">
        <v>611</v>
      </c>
      <c r="B6333" s="1" t="s">
        <v>610</v>
      </c>
      <c r="C6333" s="1" t="s">
        <v>15</v>
      </c>
      <c r="D6333" s="3">
        <f t="shared" si="921"/>
        <v>7830</v>
      </c>
      <c r="E6333" s="2">
        <f t="shared" si="922"/>
        <v>42370</v>
      </c>
      <c r="F6333" s="2">
        <f t="shared" si="923"/>
        <v>45626</v>
      </c>
    </row>
    <row r="6334" spans="1:6" x14ac:dyDescent="0.25">
      <c r="A6334" s="1" t="s">
        <v>611</v>
      </c>
      <c r="B6334" s="1" t="s">
        <v>610</v>
      </c>
      <c r="C6334" s="1" t="s">
        <v>17</v>
      </c>
      <c r="D6334" s="3">
        <f t="shared" si="921"/>
        <v>7830</v>
      </c>
      <c r="E6334" s="2">
        <f t="shared" si="922"/>
        <v>42370</v>
      </c>
      <c r="F6334" s="2">
        <f t="shared" si="923"/>
        <v>45626</v>
      </c>
    </row>
    <row r="6335" spans="1:6" x14ac:dyDescent="0.25">
      <c r="A6335" s="1" t="s">
        <v>611</v>
      </c>
      <c r="B6335" s="1" t="s">
        <v>610</v>
      </c>
      <c r="C6335" s="1" t="s">
        <v>22</v>
      </c>
      <c r="D6335" s="3">
        <f t="shared" si="921"/>
        <v>7830</v>
      </c>
      <c r="E6335" s="2">
        <f t="shared" si="922"/>
        <v>42370</v>
      </c>
      <c r="F6335" s="2">
        <f t="shared" si="923"/>
        <v>45626</v>
      </c>
    </row>
    <row r="6336" spans="1:6" x14ac:dyDescent="0.25">
      <c r="A6336" s="1" t="s">
        <v>611</v>
      </c>
      <c r="B6336" s="1" t="s">
        <v>610</v>
      </c>
      <c r="C6336" s="1" t="s">
        <v>146</v>
      </c>
      <c r="D6336" s="3">
        <f t="shared" si="921"/>
        <v>7830</v>
      </c>
      <c r="E6336" s="2">
        <f t="shared" si="922"/>
        <v>42370</v>
      </c>
      <c r="F6336" s="2">
        <f t="shared" si="923"/>
        <v>45626</v>
      </c>
    </row>
    <row r="6337" spans="1:6" x14ac:dyDescent="0.25">
      <c r="A6337" s="1" t="s">
        <v>611</v>
      </c>
      <c r="B6337" s="1" t="s">
        <v>610</v>
      </c>
      <c r="C6337" s="1" t="s">
        <v>384</v>
      </c>
      <c r="D6337" s="3">
        <f t="shared" si="921"/>
        <v>7830</v>
      </c>
      <c r="E6337" s="2">
        <f t="shared" si="922"/>
        <v>42370</v>
      </c>
      <c r="F6337" s="2">
        <f t="shared" si="923"/>
        <v>45626</v>
      </c>
    </row>
    <row r="6338" spans="1:6" x14ac:dyDescent="0.25">
      <c r="A6338" s="1" t="s">
        <v>611</v>
      </c>
      <c r="B6338" s="1" t="s">
        <v>610</v>
      </c>
      <c r="C6338" s="1" t="s">
        <v>147</v>
      </c>
      <c r="D6338" s="3">
        <f t="shared" si="921"/>
        <v>7830</v>
      </c>
      <c r="E6338" s="2">
        <f t="shared" si="922"/>
        <v>42370</v>
      </c>
      <c r="F6338" s="2">
        <f t="shared" si="923"/>
        <v>45626</v>
      </c>
    </row>
    <row r="6339" spans="1:6" x14ac:dyDescent="0.25">
      <c r="A6339" s="1" t="s">
        <v>611</v>
      </c>
      <c r="B6339" s="1" t="s">
        <v>610</v>
      </c>
      <c r="C6339" s="1" t="s">
        <v>148</v>
      </c>
      <c r="D6339" s="3">
        <f t="shared" si="921"/>
        <v>7830</v>
      </c>
      <c r="E6339" s="2">
        <f t="shared" si="922"/>
        <v>42370</v>
      </c>
      <c r="F6339" s="2">
        <f t="shared" si="923"/>
        <v>45626</v>
      </c>
    </row>
    <row r="6340" spans="1:6" x14ac:dyDescent="0.25">
      <c r="A6340" s="1" t="s">
        <v>611</v>
      </c>
      <c r="B6340" s="1" t="s">
        <v>610</v>
      </c>
      <c r="C6340" s="1" t="s">
        <v>386</v>
      </c>
      <c r="D6340" s="3">
        <f t="shared" si="921"/>
        <v>7830</v>
      </c>
      <c r="E6340" s="2">
        <f t="shared" si="922"/>
        <v>42370</v>
      </c>
      <c r="F6340" s="2">
        <f t="shared" si="923"/>
        <v>45626</v>
      </c>
    </row>
    <row r="6341" spans="1:6" x14ac:dyDescent="0.25">
      <c r="A6341" s="1" t="s">
        <v>611</v>
      </c>
      <c r="B6341" s="1" t="s">
        <v>610</v>
      </c>
      <c r="C6341" s="1" t="s">
        <v>387</v>
      </c>
      <c r="D6341" s="3">
        <f t="shared" si="921"/>
        <v>7830</v>
      </c>
      <c r="E6341" s="2">
        <f t="shared" si="922"/>
        <v>42370</v>
      </c>
      <c r="F6341" s="2">
        <f t="shared" si="923"/>
        <v>45626</v>
      </c>
    </row>
    <row r="6342" spans="1:6" x14ac:dyDescent="0.25">
      <c r="A6342" s="1" t="s">
        <v>611</v>
      </c>
      <c r="B6342" s="1" t="s">
        <v>610</v>
      </c>
      <c r="C6342" s="1" t="s">
        <v>388</v>
      </c>
      <c r="D6342" s="3">
        <f t="shared" si="921"/>
        <v>7830</v>
      </c>
      <c r="E6342" s="2">
        <f t="shared" si="922"/>
        <v>42370</v>
      </c>
      <c r="F6342" s="2">
        <f t="shared" si="923"/>
        <v>45626</v>
      </c>
    </row>
    <row r="6343" spans="1:6" x14ac:dyDescent="0.25">
      <c r="A6343" s="1" t="s">
        <v>611</v>
      </c>
      <c r="B6343" s="1" t="s">
        <v>610</v>
      </c>
      <c r="C6343" s="1" t="s">
        <v>92</v>
      </c>
      <c r="D6343" s="3">
        <f t="shared" si="921"/>
        <v>7830</v>
      </c>
      <c r="E6343" s="2">
        <f t="shared" si="922"/>
        <v>42370</v>
      </c>
      <c r="F6343" s="2">
        <f t="shared" si="923"/>
        <v>45626</v>
      </c>
    </row>
    <row r="6344" spans="1:6" x14ac:dyDescent="0.25">
      <c r="A6344" s="1" t="s">
        <v>611</v>
      </c>
      <c r="B6344" s="1" t="s">
        <v>610</v>
      </c>
      <c r="C6344" s="1" t="s">
        <v>616</v>
      </c>
      <c r="D6344" s="3">
        <f t="shared" si="921"/>
        <v>7830</v>
      </c>
      <c r="E6344" s="2">
        <f t="shared" si="922"/>
        <v>42370</v>
      </c>
      <c r="F6344" s="2">
        <f t="shared" si="923"/>
        <v>45626</v>
      </c>
    </row>
    <row r="6345" spans="1:6" x14ac:dyDescent="0.25">
      <c r="A6345" s="1" t="s">
        <v>611</v>
      </c>
      <c r="B6345" s="1" t="s">
        <v>610</v>
      </c>
      <c r="C6345" s="1" t="s">
        <v>617</v>
      </c>
      <c r="D6345" s="3">
        <f t="shared" si="921"/>
        <v>7830</v>
      </c>
      <c r="E6345" s="2">
        <f t="shared" si="922"/>
        <v>42370</v>
      </c>
      <c r="F6345" s="2">
        <f t="shared" si="923"/>
        <v>45626</v>
      </c>
    </row>
    <row r="6346" spans="1:6" x14ac:dyDescent="0.25">
      <c r="A6346" s="1" t="s">
        <v>611</v>
      </c>
      <c r="B6346" s="1" t="s">
        <v>610</v>
      </c>
      <c r="C6346" s="1" t="s">
        <v>94</v>
      </c>
      <c r="D6346" s="3">
        <f t="shared" si="921"/>
        <v>7830</v>
      </c>
      <c r="E6346" s="2">
        <f t="shared" si="922"/>
        <v>42370</v>
      </c>
      <c r="F6346" s="2">
        <f t="shared" si="923"/>
        <v>45626</v>
      </c>
    </row>
    <row r="6347" spans="1:6" x14ac:dyDescent="0.25">
      <c r="A6347" s="1" t="s">
        <v>611</v>
      </c>
      <c r="B6347" s="1" t="s">
        <v>610</v>
      </c>
      <c r="C6347" s="1" t="s">
        <v>69</v>
      </c>
      <c r="D6347" s="3">
        <f t="shared" si="921"/>
        <v>7830</v>
      </c>
      <c r="E6347" s="2">
        <f t="shared" si="922"/>
        <v>42370</v>
      </c>
      <c r="F6347" s="2">
        <f t="shared" si="923"/>
        <v>45626</v>
      </c>
    </row>
    <row r="6348" spans="1:6" x14ac:dyDescent="0.25">
      <c r="A6348" s="1" t="s">
        <v>611</v>
      </c>
      <c r="B6348" s="1" t="s">
        <v>610</v>
      </c>
      <c r="C6348" s="1" t="s">
        <v>24</v>
      </c>
      <c r="D6348" s="3">
        <f t="shared" si="921"/>
        <v>7830</v>
      </c>
      <c r="E6348" s="2">
        <f t="shared" si="922"/>
        <v>42370</v>
      </c>
      <c r="F6348" s="2">
        <f t="shared" si="923"/>
        <v>45626</v>
      </c>
    </row>
    <row r="6349" spans="1:6" x14ac:dyDescent="0.25">
      <c r="A6349" s="1" t="s">
        <v>611</v>
      </c>
      <c r="B6349" s="1" t="s">
        <v>610</v>
      </c>
      <c r="C6349" s="1" t="s">
        <v>50</v>
      </c>
      <c r="D6349" s="3">
        <f t="shared" si="921"/>
        <v>7830</v>
      </c>
      <c r="E6349" s="2">
        <f t="shared" si="922"/>
        <v>42370</v>
      </c>
      <c r="F6349" s="2">
        <f t="shared" si="923"/>
        <v>45626</v>
      </c>
    </row>
    <row r="6350" spans="1:6" x14ac:dyDescent="0.25">
      <c r="A6350" s="1" t="s">
        <v>611</v>
      </c>
      <c r="B6350" s="1" t="s">
        <v>610</v>
      </c>
      <c r="C6350" s="1" t="s">
        <v>70</v>
      </c>
      <c r="D6350" s="3">
        <f t="shared" si="921"/>
        <v>7830</v>
      </c>
      <c r="E6350" s="2">
        <f t="shared" si="922"/>
        <v>42370</v>
      </c>
      <c r="F6350" s="2">
        <f t="shared" si="923"/>
        <v>45626</v>
      </c>
    </row>
    <row r="6351" spans="1:6" x14ac:dyDescent="0.25">
      <c r="A6351" s="1" t="s">
        <v>611</v>
      </c>
      <c r="B6351" s="1" t="s">
        <v>610</v>
      </c>
      <c r="C6351" s="1" t="s">
        <v>422</v>
      </c>
      <c r="D6351" s="3">
        <f t="shared" si="921"/>
        <v>7830</v>
      </c>
      <c r="E6351" s="2">
        <f t="shared" si="922"/>
        <v>42370</v>
      </c>
      <c r="F6351" s="2">
        <f t="shared" si="923"/>
        <v>45626</v>
      </c>
    </row>
    <row r="6352" spans="1:6" x14ac:dyDescent="0.25">
      <c r="A6352" s="1" t="s">
        <v>611</v>
      </c>
      <c r="B6352" s="1" t="s">
        <v>610</v>
      </c>
      <c r="C6352" s="1" t="s">
        <v>72</v>
      </c>
      <c r="D6352" s="3">
        <f t="shared" si="921"/>
        <v>7830</v>
      </c>
      <c r="E6352" s="2">
        <f t="shared" si="922"/>
        <v>42370</v>
      </c>
      <c r="F6352" s="2">
        <f t="shared" si="923"/>
        <v>45626</v>
      </c>
    </row>
    <row r="6353" spans="1:6" x14ac:dyDescent="0.25">
      <c r="A6353" s="1" t="s">
        <v>611</v>
      </c>
      <c r="B6353" s="1" t="s">
        <v>610</v>
      </c>
      <c r="C6353" s="1" t="s">
        <v>73</v>
      </c>
      <c r="D6353" s="3">
        <f t="shared" si="921"/>
        <v>7830</v>
      </c>
      <c r="E6353" s="2">
        <f t="shared" si="922"/>
        <v>42370</v>
      </c>
      <c r="F6353" s="2">
        <f t="shared" si="923"/>
        <v>45626</v>
      </c>
    </row>
    <row r="6354" spans="1:6" x14ac:dyDescent="0.25">
      <c r="A6354" s="1" t="s">
        <v>611</v>
      </c>
      <c r="B6354" s="1" t="s">
        <v>610</v>
      </c>
      <c r="C6354" s="1" t="s">
        <v>52</v>
      </c>
      <c r="D6354" s="3">
        <f t="shared" si="921"/>
        <v>7830</v>
      </c>
      <c r="E6354" s="2">
        <f t="shared" si="922"/>
        <v>42370</v>
      </c>
      <c r="F6354" s="2">
        <f t="shared" si="923"/>
        <v>45626</v>
      </c>
    </row>
    <row r="6355" spans="1:6" x14ac:dyDescent="0.25">
      <c r="A6355" s="1" t="s">
        <v>611</v>
      </c>
      <c r="B6355" s="1" t="s">
        <v>610</v>
      </c>
      <c r="C6355" s="1" t="s">
        <v>618</v>
      </c>
      <c r="D6355" s="3">
        <f t="shared" si="921"/>
        <v>7830</v>
      </c>
      <c r="E6355" s="2">
        <f t="shared" si="922"/>
        <v>42370</v>
      </c>
      <c r="F6355" s="2">
        <f t="shared" si="923"/>
        <v>45626</v>
      </c>
    </row>
    <row r="6356" spans="1:6" x14ac:dyDescent="0.25">
      <c r="A6356" s="1" t="s">
        <v>611</v>
      </c>
      <c r="B6356" s="1" t="s">
        <v>610</v>
      </c>
      <c r="C6356" s="1" t="s">
        <v>479</v>
      </c>
      <c r="D6356" s="3">
        <f t="shared" si="921"/>
        <v>7830</v>
      </c>
      <c r="E6356" s="2">
        <f t="shared" si="922"/>
        <v>42370</v>
      </c>
      <c r="F6356" s="2">
        <f t="shared" si="923"/>
        <v>45626</v>
      </c>
    </row>
    <row r="6357" spans="1:6" x14ac:dyDescent="0.25">
      <c r="A6357" s="1" t="s">
        <v>611</v>
      </c>
      <c r="B6357" s="1" t="s">
        <v>610</v>
      </c>
      <c r="C6357" s="1" t="s">
        <v>393</v>
      </c>
      <c r="D6357" s="3">
        <f t="shared" si="921"/>
        <v>7830</v>
      </c>
      <c r="E6357" s="2">
        <f t="shared" si="922"/>
        <v>42370</v>
      </c>
      <c r="F6357" s="2">
        <f t="shared" si="923"/>
        <v>45626</v>
      </c>
    </row>
    <row r="6358" spans="1:6" x14ac:dyDescent="0.25">
      <c r="A6358" s="1" t="s">
        <v>611</v>
      </c>
      <c r="B6358" s="1" t="s">
        <v>610</v>
      </c>
      <c r="C6358" s="1" t="s">
        <v>34</v>
      </c>
      <c r="D6358" s="3">
        <f t="shared" si="921"/>
        <v>7830</v>
      </c>
      <c r="E6358" s="2">
        <f t="shared" si="922"/>
        <v>42370</v>
      </c>
      <c r="F6358" s="2">
        <f t="shared" si="923"/>
        <v>45626</v>
      </c>
    </row>
    <row r="6359" spans="1:6" x14ac:dyDescent="0.25">
      <c r="A6359" s="1" t="s">
        <v>611</v>
      </c>
      <c r="B6359" s="1" t="s">
        <v>610</v>
      </c>
      <c r="C6359" s="1" t="s">
        <v>306</v>
      </c>
      <c r="D6359" s="3">
        <f t="shared" si="921"/>
        <v>7830</v>
      </c>
      <c r="E6359" s="2">
        <f t="shared" si="922"/>
        <v>42370</v>
      </c>
      <c r="F6359" s="2">
        <f t="shared" si="923"/>
        <v>45626</v>
      </c>
    </row>
    <row r="6360" spans="1:6" x14ac:dyDescent="0.25">
      <c r="A6360" s="1" t="s">
        <v>611</v>
      </c>
      <c r="B6360" s="1" t="s">
        <v>610</v>
      </c>
      <c r="C6360" s="1" t="s">
        <v>36</v>
      </c>
      <c r="D6360" s="3">
        <f t="shared" si="921"/>
        <v>7830</v>
      </c>
      <c r="E6360" s="2">
        <f t="shared" si="922"/>
        <v>42370</v>
      </c>
      <c r="F6360" s="2">
        <f t="shared" si="923"/>
        <v>45626</v>
      </c>
    </row>
    <row r="6361" spans="1:6" x14ac:dyDescent="0.25">
      <c r="A6361" s="1" t="s">
        <v>313</v>
      </c>
      <c r="B6361" s="1" t="s">
        <v>1650</v>
      </c>
      <c r="C6361" s="1" t="s">
        <v>1651</v>
      </c>
      <c r="D6361" s="3">
        <f t="shared" ref="D6361:D6366" si="924">VALUE("8825")</f>
        <v>8825</v>
      </c>
      <c r="E6361" s="2">
        <f t="shared" ref="E6361:E6366" si="925">DATEVALUE("1-8-2020")</f>
        <v>44044</v>
      </c>
      <c r="F6361" s="2">
        <f t="shared" ref="F6361:F6366" si="926">DATEVALUE("31-12-2020")</f>
        <v>44196</v>
      </c>
    </row>
    <row r="6362" spans="1:6" x14ac:dyDescent="0.25">
      <c r="A6362" s="1" t="s">
        <v>313</v>
      </c>
      <c r="B6362" s="1" t="s">
        <v>1650</v>
      </c>
      <c r="C6362" s="1" t="s">
        <v>17</v>
      </c>
      <c r="D6362" s="3">
        <f t="shared" si="924"/>
        <v>8825</v>
      </c>
      <c r="E6362" s="2">
        <f t="shared" si="925"/>
        <v>44044</v>
      </c>
      <c r="F6362" s="2">
        <f t="shared" si="926"/>
        <v>44196</v>
      </c>
    </row>
    <row r="6363" spans="1:6" x14ac:dyDescent="0.25">
      <c r="A6363" s="1" t="s">
        <v>313</v>
      </c>
      <c r="B6363" s="1" t="s">
        <v>1650</v>
      </c>
      <c r="C6363" s="1" t="s">
        <v>22</v>
      </c>
      <c r="D6363" s="3">
        <f t="shared" si="924"/>
        <v>8825</v>
      </c>
      <c r="E6363" s="2">
        <f t="shared" si="925"/>
        <v>44044</v>
      </c>
      <c r="F6363" s="2">
        <f t="shared" si="926"/>
        <v>44196</v>
      </c>
    </row>
    <row r="6364" spans="1:6" x14ac:dyDescent="0.25">
      <c r="A6364" s="1" t="s">
        <v>313</v>
      </c>
      <c r="B6364" s="1" t="s">
        <v>1650</v>
      </c>
      <c r="C6364" s="1" t="s">
        <v>146</v>
      </c>
      <c r="D6364" s="3">
        <f t="shared" si="924"/>
        <v>8825</v>
      </c>
      <c r="E6364" s="2">
        <f t="shared" si="925"/>
        <v>44044</v>
      </c>
      <c r="F6364" s="2">
        <f t="shared" si="926"/>
        <v>44196</v>
      </c>
    </row>
    <row r="6365" spans="1:6" x14ac:dyDescent="0.25">
      <c r="A6365" s="1" t="s">
        <v>313</v>
      </c>
      <c r="B6365" s="1" t="s">
        <v>1650</v>
      </c>
      <c r="C6365" s="1" t="s">
        <v>67</v>
      </c>
      <c r="D6365" s="3">
        <f t="shared" si="924"/>
        <v>8825</v>
      </c>
      <c r="E6365" s="2">
        <f t="shared" si="925"/>
        <v>44044</v>
      </c>
      <c r="F6365" s="2">
        <f t="shared" si="926"/>
        <v>44196</v>
      </c>
    </row>
    <row r="6366" spans="1:6" x14ac:dyDescent="0.25">
      <c r="A6366" s="1" t="s">
        <v>313</v>
      </c>
      <c r="B6366" s="1" t="s">
        <v>1650</v>
      </c>
      <c r="C6366" s="1" t="s">
        <v>160</v>
      </c>
      <c r="D6366" s="3">
        <f t="shared" si="924"/>
        <v>8825</v>
      </c>
      <c r="E6366" s="2">
        <f t="shared" si="925"/>
        <v>44044</v>
      </c>
      <c r="F6366" s="2">
        <f t="shared" si="926"/>
        <v>44196</v>
      </c>
    </row>
    <row r="6367" spans="1:6" x14ac:dyDescent="0.25">
      <c r="A6367" s="1" t="s">
        <v>313</v>
      </c>
      <c r="B6367" s="1" t="s">
        <v>1835</v>
      </c>
      <c r="C6367" s="1" t="s">
        <v>40</v>
      </c>
      <c r="D6367" s="3">
        <f t="shared" ref="D6367:D6375" si="927">VALUE("8733")</f>
        <v>8733</v>
      </c>
      <c r="E6367" s="2">
        <f t="shared" ref="E6367:E6380" si="928">DATEVALUE("1-4-2020")</f>
        <v>43922</v>
      </c>
      <c r="F6367" s="2">
        <f t="shared" ref="F6367:F6375" si="929">DATEVALUE("30-6-2020")</f>
        <v>44012</v>
      </c>
    </row>
    <row r="6368" spans="1:6" x14ac:dyDescent="0.25">
      <c r="A6368" s="1" t="s">
        <v>313</v>
      </c>
      <c r="B6368" s="1" t="s">
        <v>1835</v>
      </c>
      <c r="C6368" s="1" t="s">
        <v>41</v>
      </c>
      <c r="D6368" s="3">
        <f t="shared" si="927"/>
        <v>8733</v>
      </c>
      <c r="E6368" s="2">
        <f t="shared" si="928"/>
        <v>43922</v>
      </c>
      <c r="F6368" s="2">
        <f t="shared" si="929"/>
        <v>44012</v>
      </c>
    </row>
    <row r="6369" spans="1:6" x14ac:dyDescent="0.25">
      <c r="A6369" s="1" t="s">
        <v>313</v>
      </c>
      <c r="B6369" s="1" t="s">
        <v>1835</v>
      </c>
      <c r="C6369" s="1" t="s">
        <v>346</v>
      </c>
      <c r="D6369" s="3">
        <f t="shared" si="927"/>
        <v>8733</v>
      </c>
      <c r="E6369" s="2">
        <f t="shared" si="928"/>
        <v>43922</v>
      </c>
      <c r="F6369" s="2">
        <f t="shared" si="929"/>
        <v>44012</v>
      </c>
    </row>
    <row r="6370" spans="1:6" x14ac:dyDescent="0.25">
      <c r="A6370" s="1" t="s">
        <v>313</v>
      </c>
      <c r="B6370" s="1" t="s">
        <v>1835</v>
      </c>
      <c r="C6370" s="1" t="s">
        <v>17</v>
      </c>
      <c r="D6370" s="3">
        <f t="shared" si="927"/>
        <v>8733</v>
      </c>
      <c r="E6370" s="2">
        <f t="shared" si="928"/>
        <v>43922</v>
      </c>
      <c r="F6370" s="2">
        <f t="shared" si="929"/>
        <v>44012</v>
      </c>
    </row>
    <row r="6371" spans="1:6" x14ac:dyDescent="0.25">
      <c r="A6371" s="1" t="s">
        <v>313</v>
      </c>
      <c r="B6371" s="1" t="s">
        <v>1835</v>
      </c>
      <c r="C6371" s="1" t="s">
        <v>146</v>
      </c>
      <c r="D6371" s="3">
        <f t="shared" si="927"/>
        <v>8733</v>
      </c>
      <c r="E6371" s="2">
        <f t="shared" si="928"/>
        <v>43922</v>
      </c>
      <c r="F6371" s="2">
        <f t="shared" si="929"/>
        <v>44012</v>
      </c>
    </row>
    <row r="6372" spans="1:6" x14ac:dyDescent="0.25">
      <c r="A6372" s="1" t="s">
        <v>313</v>
      </c>
      <c r="B6372" s="1" t="s">
        <v>1835</v>
      </c>
      <c r="C6372" s="1" t="s">
        <v>67</v>
      </c>
      <c r="D6372" s="3">
        <f t="shared" si="927"/>
        <v>8733</v>
      </c>
      <c r="E6372" s="2">
        <f t="shared" si="928"/>
        <v>43922</v>
      </c>
      <c r="F6372" s="2">
        <f t="shared" si="929"/>
        <v>44012</v>
      </c>
    </row>
    <row r="6373" spans="1:6" x14ac:dyDescent="0.25">
      <c r="A6373" s="1" t="s">
        <v>313</v>
      </c>
      <c r="B6373" s="1" t="s">
        <v>1835</v>
      </c>
      <c r="C6373" s="1" t="s">
        <v>73</v>
      </c>
      <c r="D6373" s="3">
        <f t="shared" si="927"/>
        <v>8733</v>
      </c>
      <c r="E6373" s="2">
        <f t="shared" si="928"/>
        <v>43922</v>
      </c>
      <c r="F6373" s="2">
        <f t="shared" si="929"/>
        <v>44012</v>
      </c>
    </row>
    <row r="6374" spans="1:6" x14ac:dyDescent="0.25">
      <c r="A6374" s="1" t="s">
        <v>313</v>
      </c>
      <c r="B6374" s="1" t="s">
        <v>1835</v>
      </c>
      <c r="C6374" s="1" t="s">
        <v>160</v>
      </c>
      <c r="D6374" s="3">
        <f t="shared" si="927"/>
        <v>8733</v>
      </c>
      <c r="E6374" s="2">
        <f t="shared" si="928"/>
        <v>43922</v>
      </c>
      <c r="F6374" s="2">
        <f t="shared" si="929"/>
        <v>44012</v>
      </c>
    </row>
    <row r="6375" spans="1:6" x14ac:dyDescent="0.25">
      <c r="A6375" s="1" t="s">
        <v>313</v>
      </c>
      <c r="B6375" s="1" t="s">
        <v>1835</v>
      </c>
      <c r="C6375" s="1" t="s">
        <v>56</v>
      </c>
      <c r="D6375" s="3">
        <f t="shared" si="927"/>
        <v>8733</v>
      </c>
      <c r="E6375" s="2">
        <f t="shared" si="928"/>
        <v>43922</v>
      </c>
      <c r="F6375" s="2">
        <f t="shared" si="929"/>
        <v>44012</v>
      </c>
    </row>
    <row r="6376" spans="1:6" x14ac:dyDescent="0.25">
      <c r="A6376" s="1" t="s">
        <v>313</v>
      </c>
      <c r="B6376" s="1" t="s">
        <v>1569</v>
      </c>
      <c r="C6376" s="1" t="s">
        <v>45</v>
      </c>
      <c r="D6376" s="3">
        <f>VALUE("8751")</f>
        <v>8751</v>
      </c>
      <c r="E6376" s="2">
        <f t="shared" si="928"/>
        <v>43922</v>
      </c>
      <c r="F6376" s="2">
        <f>DATEVALUE("31-12-2020")</f>
        <v>44196</v>
      </c>
    </row>
    <row r="6377" spans="1:6" x14ac:dyDescent="0.25">
      <c r="A6377" s="1" t="s">
        <v>313</v>
      </c>
      <c r="B6377" s="1" t="s">
        <v>1569</v>
      </c>
      <c r="C6377" s="1" t="s">
        <v>44</v>
      </c>
      <c r="D6377" s="3">
        <f>VALUE("8751")</f>
        <v>8751</v>
      </c>
      <c r="E6377" s="2">
        <f t="shared" si="928"/>
        <v>43922</v>
      </c>
      <c r="F6377" s="2">
        <f>DATEVALUE("31-12-2020")</f>
        <v>44196</v>
      </c>
    </row>
    <row r="6378" spans="1:6" x14ac:dyDescent="0.25">
      <c r="A6378" s="1" t="s">
        <v>313</v>
      </c>
      <c r="B6378" s="1" t="s">
        <v>1569</v>
      </c>
      <c r="C6378" s="1" t="s">
        <v>146</v>
      </c>
      <c r="D6378" s="3">
        <f>VALUE("8751")</f>
        <v>8751</v>
      </c>
      <c r="E6378" s="2">
        <f t="shared" si="928"/>
        <v>43922</v>
      </c>
      <c r="F6378" s="2">
        <f>DATEVALUE("31-12-2020")</f>
        <v>44196</v>
      </c>
    </row>
    <row r="6379" spans="1:6" x14ac:dyDescent="0.25">
      <c r="A6379" s="1" t="s">
        <v>313</v>
      </c>
      <c r="B6379" s="1" t="s">
        <v>1569</v>
      </c>
      <c r="C6379" s="1" t="s">
        <v>67</v>
      </c>
      <c r="D6379" s="3">
        <f>VALUE("8751")</f>
        <v>8751</v>
      </c>
      <c r="E6379" s="2">
        <f t="shared" si="928"/>
        <v>43922</v>
      </c>
      <c r="F6379" s="2">
        <f>DATEVALUE("31-12-2020")</f>
        <v>44196</v>
      </c>
    </row>
    <row r="6380" spans="1:6" x14ac:dyDescent="0.25">
      <c r="A6380" s="1" t="s">
        <v>313</v>
      </c>
      <c r="B6380" s="1" t="s">
        <v>1569</v>
      </c>
      <c r="C6380" s="1" t="s">
        <v>160</v>
      </c>
      <c r="D6380" s="3">
        <f>VALUE("8751")</f>
        <v>8751</v>
      </c>
      <c r="E6380" s="2">
        <f t="shared" si="928"/>
        <v>43922</v>
      </c>
      <c r="F6380" s="2">
        <f>DATEVALUE("31-12-2020")</f>
        <v>44196</v>
      </c>
    </row>
    <row r="6381" spans="1:6" x14ac:dyDescent="0.25">
      <c r="A6381" s="1" t="s">
        <v>313</v>
      </c>
      <c r="B6381" s="1" t="s">
        <v>1237</v>
      </c>
      <c r="C6381" s="1" t="s">
        <v>1238</v>
      </c>
      <c r="D6381" s="3">
        <f t="shared" ref="D6381:D6393" si="930">VALUE("8488")</f>
        <v>8488</v>
      </c>
      <c r="E6381" s="2">
        <f t="shared" ref="E6381:E6393" si="931">DATEVALUE("1-4-2019")</f>
        <v>43556</v>
      </c>
      <c r="F6381" s="2">
        <f t="shared" ref="F6381:F6393" si="932">DATEVALUE("30-6-2021")</f>
        <v>44377</v>
      </c>
    </row>
    <row r="6382" spans="1:6" x14ac:dyDescent="0.25">
      <c r="A6382" s="1" t="s">
        <v>313</v>
      </c>
      <c r="B6382" s="1" t="s">
        <v>1237</v>
      </c>
      <c r="C6382" s="1" t="s">
        <v>83</v>
      </c>
      <c r="D6382" s="3">
        <f t="shared" si="930"/>
        <v>8488</v>
      </c>
      <c r="E6382" s="2">
        <f t="shared" si="931"/>
        <v>43556</v>
      </c>
      <c r="F6382" s="2">
        <f t="shared" si="932"/>
        <v>44377</v>
      </c>
    </row>
    <row r="6383" spans="1:6" x14ac:dyDescent="0.25">
      <c r="A6383" s="1" t="s">
        <v>313</v>
      </c>
      <c r="B6383" s="1" t="s">
        <v>1237</v>
      </c>
      <c r="C6383" s="1" t="s">
        <v>43</v>
      </c>
      <c r="D6383" s="3">
        <f t="shared" si="930"/>
        <v>8488</v>
      </c>
      <c r="E6383" s="2">
        <f t="shared" si="931"/>
        <v>43556</v>
      </c>
      <c r="F6383" s="2">
        <f t="shared" si="932"/>
        <v>44377</v>
      </c>
    </row>
    <row r="6384" spans="1:6" x14ac:dyDescent="0.25">
      <c r="A6384" s="1" t="s">
        <v>313</v>
      </c>
      <c r="B6384" s="1" t="s">
        <v>1237</v>
      </c>
      <c r="C6384" s="1" t="s">
        <v>45</v>
      </c>
      <c r="D6384" s="3">
        <f t="shared" si="930"/>
        <v>8488</v>
      </c>
      <c r="E6384" s="2">
        <f t="shared" si="931"/>
        <v>43556</v>
      </c>
      <c r="F6384" s="2">
        <f t="shared" si="932"/>
        <v>44377</v>
      </c>
    </row>
    <row r="6385" spans="1:6" x14ac:dyDescent="0.25">
      <c r="A6385" s="1" t="s">
        <v>313</v>
      </c>
      <c r="B6385" s="1" t="s">
        <v>1237</v>
      </c>
      <c r="C6385" s="1" t="s">
        <v>44</v>
      </c>
      <c r="D6385" s="3">
        <f t="shared" si="930"/>
        <v>8488</v>
      </c>
      <c r="E6385" s="2">
        <f t="shared" si="931"/>
        <v>43556</v>
      </c>
      <c r="F6385" s="2">
        <f t="shared" si="932"/>
        <v>44377</v>
      </c>
    </row>
    <row r="6386" spans="1:6" x14ac:dyDescent="0.25">
      <c r="A6386" s="1" t="s">
        <v>313</v>
      </c>
      <c r="B6386" s="1" t="s">
        <v>1237</v>
      </c>
      <c r="C6386" s="1" t="s">
        <v>89</v>
      </c>
      <c r="D6386" s="3">
        <f t="shared" si="930"/>
        <v>8488</v>
      </c>
      <c r="E6386" s="2">
        <f t="shared" si="931"/>
        <v>43556</v>
      </c>
      <c r="F6386" s="2">
        <f t="shared" si="932"/>
        <v>44377</v>
      </c>
    </row>
    <row r="6387" spans="1:6" x14ac:dyDescent="0.25">
      <c r="A6387" s="1" t="s">
        <v>313</v>
      </c>
      <c r="B6387" s="1" t="s">
        <v>1237</v>
      </c>
      <c r="C6387" s="1" t="s">
        <v>17</v>
      </c>
      <c r="D6387" s="3">
        <f t="shared" si="930"/>
        <v>8488</v>
      </c>
      <c r="E6387" s="2">
        <f t="shared" si="931"/>
        <v>43556</v>
      </c>
      <c r="F6387" s="2">
        <f t="shared" si="932"/>
        <v>44377</v>
      </c>
    </row>
    <row r="6388" spans="1:6" x14ac:dyDescent="0.25">
      <c r="A6388" s="1" t="s">
        <v>313</v>
      </c>
      <c r="B6388" s="1" t="s">
        <v>1237</v>
      </c>
      <c r="C6388" s="1" t="s">
        <v>18</v>
      </c>
      <c r="D6388" s="3">
        <f t="shared" si="930"/>
        <v>8488</v>
      </c>
      <c r="E6388" s="2">
        <f t="shared" si="931"/>
        <v>43556</v>
      </c>
      <c r="F6388" s="2">
        <f t="shared" si="932"/>
        <v>44377</v>
      </c>
    </row>
    <row r="6389" spans="1:6" x14ac:dyDescent="0.25">
      <c r="A6389" s="1" t="s">
        <v>313</v>
      </c>
      <c r="B6389" s="1" t="s">
        <v>1237</v>
      </c>
      <c r="C6389" s="1" t="s">
        <v>91</v>
      </c>
      <c r="D6389" s="3">
        <f t="shared" si="930"/>
        <v>8488</v>
      </c>
      <c r="E6389" s="2">
        <f t="shared" si="931"/>
        <v>43556</v>
      </c>
      <c r="F6389" s="2">
        <f t="shared" si="932"/>
        <v>44377</v>
      </c>
    </row>
    <row r="6390" spans="1:6" x14ac:dyDescent="0.25">
      <c r="A6390" s="1" t="s">
        <v>313</v>
      </c>
      <c r="B6390" s="1" t="s">
        <v>1237</v>
      </c>
      <c r="C6390" s="1" t="s">
        <v>146</v>
      </c>
      <c r="D6390" s="3">
        <f t="shared" si="930"/>
        <v>8488</v>
      </c>
      <c r="E6390" s="2">
        <f t="shared" si="931"/>
        <v>43556</v>
      </c>
      <c r="F6390" s="2">
        <f t="shared" si="932"/>
        <v>44377</v>
      </c>
    </row>
    <row r="6391" spans="1:6" x14ac:dyDescent="0.25">
      <c r="A6391" s="1" t="s">
        <v>313</v>
      </c>
      <c r="B6391" s="1" t="s">
        <v>1237</v>
      </c>
      <c r="C6391" s="1" t="s">
        <v>67</v>
      </c>
      <c r="D6391" s="3">
        <f t="shared" si="930"/>
        <v>8488</v>
      </c>
      <c r="E6391" s="2">
        <f t="shared" si="931"/>
        <v>43556</v>
      </c>
      <c r="F6391" s="2">
        <f t="shared" si="932"/>
        <v>44377</v>
      </c>
    </row>
    <row r="6392" spans="1:6" x14ac:dyDescent="0.25">
      <c r="A6392" s="1" t="s">
        <v>313</v>
      </c>
      <c r="B6392" s="1" t="s">
        <v>1237</v>
      </c>
      <c r="C6392" s="1" t="s">
        <v>515</v>
      </c>
      <c r="D6392" s="3">
        <f t="shared" si="930"/>
        <v>8488</v>
      </c>
      <c r="E6392" s="2">
        <f t="shared" si="931"/>
        <v>43556</v>
      </c>
      <c r="F6392" s="2">
        <f t="shared" si="932"/>
        <v>44377</v>
      </c>
    </row>
    <row r="6393" spans="1:6" x14ac:dyDescent="0.25">
      <c r="A6393" s="1" t="s">
        <v>313</v>
      </c>
      <c r="B6393" s="1" t="s">
        <v>1237</v>
      </c>
      <c r="C6393" s="1" t="s">
        <v>1239</v>
      </c>
      <c r="D6393" s="3">
        <f t="shared" si="930"/>
        <v>8488</v>
      </c>
      <c r="E6393" s="2">
        <f t="shared" si="931"/>
        <v>43556</v>
      </c>
      <c r="F6393" s="2">
        <f t="shared" si="932"/>
        <v>44377</v>
      </c>
    </row>
    <row r="6394" spans="1:6" x14ac:dyDescent="0.25">
      <c r="A6394" s="1" t="s">
        <v>313</v>
      </c>
      <c r="B6394" s="1" t="s">
        <v>2272</v>
      </c>
      <c r="C6394" s="1" t="s">
        <v>511</v>
      </c>
      <c r="D6394" s="3">
        <f t="shared" ref="D6394:D6429" si="933">VALUE("8409")</f>
        <v>8409</v>
      </c>
      <c r="E6394" s="2">
        <f t="shared" ref="E6394:E6429" si="934">DATEVALUE("1-1-2019")</f>
        <v>43466</v>
      </c>
      <c r="F6394" s="2">
        <f t="shared" ref="F6394:F6429" si="935">DATEVALUE("31-12-2019")</f>
        <v>43830</v>
      </c>
    </row>
    <row r="6395" spans="1:6" x14ac:dyDescent="0.25">
      <c r="A6395" s="1" t="s">
        <v>313</v>
      </c>
      <c r="B6395" s="1" t="s">
        <v>2272</v>
      </c>
      <c r="C6395" s="1" t="s">
        <v>39</v>
      </c>
      <c r="D6395" s="3">
        <f t="shared" si="933"/>
        <v>8409</v>
      </c>
      <c r="E6395" s="2">
        <f t="shared" si="934"/>
        <v>43466</v>
      </c>
      <c r="F6395" s="2">
        <f t="shared" si="935"/>
        <v>43830</v>
      </c>
    </row>
    <row r="6396" spans="1:6" x14ac:dyDescent="0.25">
      <c r="A6396" s="1" t="s">
        <v>313</v>
      </c>
      <c r="B6396" s="1" t="s">
        <v>2272</v>
      </c>
      <c r="C6396" s="1" t="s">
        <v>256</v>
      </c>
      <c r="D6396" s="3">
        <f t="shared" si="933"/>
        <v>8409</v>
      </c>
      <c r="E6396" s="2">
        <f t="shared" si="934"/>
        <v>43466</v>
      </c>
      <c r="F6396" s="2">
        <f t="shared" si="935"/>
        <v>43830</v>
      </c>
    </row>
    <row r="6397" spans="1:6" x14ac:dyDescent="0.25">
      <c r="A6397" s="1" t="s">
        <v>313</v>
      </c>
      <c r="B6397" s="1" t="s">
        <v>2272</v>
      </c>
      <c r="C6397" s="1" t="s">
        <v>43</v>
      </c>
      <c r="D6397" s="3">
        <f t="shared" si="933"/>
        <v>8409</v>
      </c>
      <c r="E6397" s="2">
        <f t="shared" si="934"/>
        <v>43466</v>
      </c>
      <c r="F6397" s="2">
        <f t="shared" si="935"/>
        <v>43830</v>
      </c>
    </row>
    <row r="6398" spans="1:6" x14ac:dyDescent="0.25">
      <c r="A6398" s="1" t="s">
        <v>313</v>
      </c>
      <c r="B6398" s="1" t="s">
        <v>2272</v>
      </c>
      <c r="C6398" s="1" t="s">
        <v>346</v>
      </c>
      <c r="D6398" s="3">
        <f t="shared" si="933"/>
        <v>8409</v>
      </c>
      <c r="E6398" s="2">
        <f t="shared" si="934"/>
        <v>43466</v>
      </c>
      <c r="F6398" s="2">
        <f t="shared" si="935"/>
        <v>43830</v>
      </c>
    </row>
    <row r="6399" spans="1:6" x14ac:dyDescent="0.25">
      <c r="A6399" s="1" t="s">
        <v>313</v>
      </c>
      <c r="B6399" s="1" t="s">
        <v>2272</v>
      </c>
      <c r="C6399" s="1" t="s">
        <v>140</v>
      </c>
      <c r="D6399" s="3">
        <f t="shared" si="933"/>
        <v>8409</v>
      </c>
      <c r="E6399" s="2">
        <f t="shared" si="934"/>
        <v>43466</v>
      </c>
      <c r="F6399" s="2">
        <f t="shared" si="935"/>
        <v>43830</v>
      </c>
    </row>
    <row r="6400" spans="1:6" x14ac:dyDescent="0.25">
      <c r="A6400" s="1" t="s">
        <v>313</v>
      </c>
      <c r="B6400" s="1" t="s">
        <v>2272</v>
      </c>
      <c r="C6400" s="1" t="s">
        <v>141</v>
      </c>
      <c r="D6400" s="3">
        <f t="shared" si="933"/>
        <v>8409</v>
      </c>
      <c r="E6400" s="2">
        <f t="shared" si="934"/>
        <v>43466</v>
      </c>
      <c r="F6400" s="2">
        <f t="shared" si="935"/>
        <v>43830</v>
      </c>
    </row>
    <row r="6401" spans="1:6" x14ac:dyDescent="0.25">
      <c r="A6401" s="1" t="s">
        <v>313</v>
      </c>
      <c r="B6401" s="1" t="s">
        <v>2272</v>
      </c>
      <c r="C6401" s="1" t="s">
        <v>14</v>
      </c>
      <c r="D6401" s="3">
        <f t="shared" si="933"/>
        <v>8409</v>
      </c>
      <c r="E6401" s="2">
        <f t="shared" si="934"/>
        <v>43466</v>
      </c>
      <c r="F6401" s="2">
        <f t="shared" si="935"/>
        <v>43830</v>
      </c>
    </row>
    <row r="6402" spans="1:6" x14ac:dyDescent="0.25">
      <c r="A6402" s="1" t="s">
        <v>313</v>
      </c>
      <c r="B6402" s="1" t="s">
        <v>2272</v>
      </c>
      <c r="C6402" s="1" t="s">
        <v>15</v>
      </c>
      <c r="D6402" s="3">
        <f t="shared" si="933"/>
        <v>8409</v>
      </c>
      <c r="E6402" s="2">
        <f t="shared" si="934"/>
        <v>43466</v>
      </c>
      <c r="F6402" s="2">
        <f t="shared" si="935"/>
        <v>43830</v>
      </c>
    </row>
    <row r="6403" spans="1:6" x14ac:dyDescent="0.25">
      <c r="A6403" s="1" t="s">
        <v>313</v>
      </c>
      <c r="B6403" s="1" t="s">
        <v>2272</v>
      </c>
      <c r="C6403" s="1" t="s">
        <v>17</v>
      </c>
      <c r="D6403" s="3">
        <f t="shared" si="933"/>
        <v>8409</v>
      </c>
      <c r="E6403" s="2">
        <f t="shared" si="934"/>
        <v>43466</v>
      </c>
      <c r="F6403" s="2">
        <f t="shared" si="935"/>
        <v>43830</v>
      </c>
    </row>
    <row r="6404" spans="1:6" x14ac:dyDescent="0.25">
      <c r="A6404" s="1" t="s">
        <v>313</v>
      </c>
      <c r="B6404" s="1" t="s">
        <v>2272</v>
      </c>
      <c r="C6404" s="1" t="s">
        <v>22</v>
      </c>
      <c r="D6404" s="3">
        <f t="shared" si="933"/>
        <v>8409</v>
      </c>
      <c r="E6404" s="2">
        <f t="shared" si="934"/>
        <v>43466</v>
      </c>
      <c r="F6404" s="2">
        <f t="shared" si="935"/>
        <v>43830</v>
      </c>
    </row>
    <row r="6405" spans="1:6" x14ac:dyDescent="0.25">
      <c r="A6405" s="1" t="s">
        <v>313</v>
      </c>
      <c r="B6405" s="1" t="s">
        <v>2272</v>
      </c>
      <c r="C6405" s="1" t="s">
        <v>146</v>
      </c>
      <c r="D6405" s="3">
        <f t="shared" si="933"/>
        <v>8409</v>
      </c>
      <c r="E6405" s="2">
        <f t="shared" si="934"/>
        <v>43466</v>
      </c>
      <c r="F6405" s="2">
        <f t="shared" si="935"/>
        <v>43830</v>
      </c>
    </row>
    <row r="6406" spans="1:6" x14ac:dyDescent="0.25">
      <c r="A6406" s="1" t="s">
        <v>313</v>
      </c>
      <c r="B6406" s="1" t="s">
        <v>2272</v>
      </c>
      <c r="C6406" s="1" t="s">
        <v>67</v>
      </c>
      <c r="D6406" s="3">
        <f t="shared" si="933"/>
        <v>8409</v>
      </c>
      <c r="E6406" s="2">
        <f t="shared" si="934"/>
        <v>43466</v>
      </c>
      <c r="F6406" s="2">
        <f t="shared" si="935"/>
        <v>43830</v>
      </c>
    </row>
    <row r="6407" spans="1:6" x14ac:dyDescent="0.25">
      <c r="A6407" s="1" t="s">
        <v>313</v>
      </c>
      <c r="B6407" s="1" t="s">
        <v>2272</v>
      </c>
      <c r="C6407" s="1" t="s">
        <v>384</v>
      </c>
      <c r="D6407" s="3">
        <f t="shared" si="933"/>
        <v>8409</v>
      </c>
      <c r="E6407" s="2">
        <f t="shared" si="934"/>
        <v>43466</v>
      </c>
      <c r="F6407" s="2">
        <f t="shared" si="935"/>
        <v>43830</v>
      </c>
    </row>
    <row r="6408" spans="1:6" x14ac:dyDescent="0.25">
      <c r="A6408" s="1" t="s">
        <v>313</v>
      </c>
      <c r="B6408" s="1" t="s">
        <v>2272</v>
      </c>
      <c r="C6408" s="1" t="s">
        <v>148</v>
      </c>
      <c r="D6408" s="3">
        <f t="shared" si="933"/>
        <v>8409</v>
      </c>
      <c r="E6408" s="2">
        <f t="shared" si="934"/>
        <v>43466</v>
      </c>
      <c r="F6408" s="2">
        <f t="shared" si="935"/>
        <v>43830</v>
      </c>
    </row>
    <row r="6409" spans="1:6" x14ac:dyDescent="0.25">
      <c r="A6409" s="1" t="s">
        <v>313</v>
      </c>
      <c r="B6409" s="1" t="s">
        <v>2272</v>
      </c>
      <c r="C6409" s="1" t="s">
        <v>149</v>
      </c>
      <c r="D6409" s="3">
        <f t="shared" si="933"/>
        <v>8409</v>
      </c>
      <c r="E6409" s="2">
        <f t="shared" si="934"/>
        <v>43466</v>
      </c>
      <c r="F6409" s="2">
        <f t="shared" si="935"/>
        <v>43830</v>
      </c>
    </row>
    <row r="6410" spans="1:6" x14ac:dyDescent="0.25">
      <c r="A6410" s="1" t="s">
        <v>313</v>
      </c>
      <c r="B6410" s="1" t="s">
        <v>2272</v>
      </c>
      <c r="C6410" s="1" t="s">
        <v>150</v>
      </c>
      <c r="D6410" s="3">
        <f t="shared" si="933"/>
        <v>8409</v>
      </c>
      <c r="E6410" s="2">
        <f t="shared" si="934"/>
        <v>43466</v>
      </c>
      <c r="F6410" s="2">
        <f t="shared" si="935"/>
        <v>43830</v>
      </c>
    </row>
    <row r="6411" spans="1:6" x14ac:dyDescent="0.25">
      <c r="A6411" s="1" t="s">
        <v>313</v>
      </c>
      <c r="B6411" s="1" t="s">
        <v>2272</v>
      </c>
      <c r="C6411" s="1" t="s">
        <v>151</v>
      </c>
      <c r="D6411" s="3">
        <f t="shared" si="933"/>
        <v>8409</v>
      </c>
      <c r="E6411" s="2">
        <f t="shared" si="934"/>
        <v>43466</v>
      </c>
      <c r="F6411" s="2">
        <f t="shared" si="935"/>
        <v>43830</v>
      </c>
    </row>
    <row r="6412" spans="1:6" x14ac:dyDescent="0.25">
      <c r="A6412" s="1" t="s">
        <v>313</v>
      </c>
      <c r="B6412" s="1" t="s">
        <v>2272</v>
      </c>
      <c r="C6412" s="1" t="s">
        <v>94</v>
      </c>
      <c r="D6412" s="3">
        <f t="shared" si="933"/>
        <v>8409</v>
      </c>
      <c r="E6412" s="2">
        <f t="shared" si="934"/>
        <v>43466</v>
      </c>
      <c r="F6412" s="2">
        <f t="shared" si="935"/>
        <v>43830</v>
      </c>
    </row>
    <row r="6413" spans="1:6" x14ac:dyDescent="0.25">
      <c r="A6413" s="1" t="s">
        <v>313</v>
      </c>
      <c r="B6413" s="1" t="s">
        <v>2272</v>
      </c>
      <c r="C6413" s="1" t="s">
        <v>95</v>
      </c>
      <c r="D6413" s="3">
        <f t="shared" si="933"/>
        <v>8409</v>
      </c>
      <c r="E6413" s="2">
        <f t="shared" si="934"/>
        <v>43466</v>
      </c>
      <c r="F6413" s="2">
        <f t="shared" si="935"/>
        <v>43830</v>
      </c>
    </row>
    <row r="6414" spans="1:6" x14ac:dyDescent="0.25">
      <c r="A6414" s="1" t="s">
        <v>313</v>
      </c>
      <c r="B6414" s="1" t="s">
        <v>2272</v>
      </c>
      <c r="C6414" s="1" t="s">
        <v>24</v>
      </c>
      <c r="D6414" s="3">
        <f t="shared" si="933"/>
        <v>8409</v>
      </c>
      <c r="E6414" s="2">
        <f t="shared" si="934"/>
        <v>43466</v>
      </c>
      <c r="F6414" s="2">
        <f t="shared" si="935"/>
        <v>43830</v>
      </c>
    </row>
    <row r="6415" spans="1:6" x14ac:dyDescent="0.25">
      <c r="A6415" s="1" t="s">
        <v>313</v>
      </c>
      <c r="B6415" s="1" t="s">
        <v>2272</v>
      </c>
      <c r="C6415" s="1" t="s">
        <v>50</v>
      </c>
      <c r="D6415" s="3">
        <f t="shared" si="933"/>
        <v>8409</v>
      </c>
      <c r="E6415" s="2">
        <f t="shared" si="934"/>
        <v>43466</v>
      </c>
      <c r="F6415" s="2">
        <f t="shared" si="935"/>
        <v>43830</v>
      </c>
    </row>
    <row r="6416" spans="1:6" x14ac:dyDescent="0.25">
      <c r="A6416" s="1" t="s">
        <v>313</v>
      </c>
      <c r="B6416" s="1" t="s">
        <v>2272</v>
      </c>
      <c r="C6416" s="1" t="s">
        <v>99</v>
      </c>
      <c r="D6416" s="3">
        <f t="shared" si="933"/>
        <v>8409</v>
      </c>
      <c r="E6416" s="2">
        <f t="shared" si="934"/>
        <v>43466</v>
      </c>
      <c r="F6416" s="2">
        <f t="shared" si="935"/>
        <v>43830</v>
      </c>
    </row>
    <row r="6417" spans="1:6" x14ac:dyDescent="0.25">
      <c r="A6417" s="1" t="s">
        <v>313</v>
      </c>
      <c r="B6417" s="1" t="s">
        <v>2272</v>
      </c>
      <c r="C6417" s="1" t="s">
        <v>100</v>
      </c>
      <c r="D6417" s="3">
        <f t="shared" si="933"/>
        <v>8409</v>
      </c>
      <c r="E6417" s="2">
        <f t="shared" si="934"/>
        <v>43466</v>
      </c>
      <c r="F6417" s="2">
        <f t="shared" si="935"/>
        <v>43830</v>
      </c>
    </row>
    <row r="6418" spans="1:6" x14ac:dyDescent="0.25">
      <c r="A6418" s="1" t="s">
        <v>313</v>
      </c>
      <c r="B6418" s="1" t="s">
        <v>2272</v>
      </c>
      <c r="C6418" s="1" t="s">
        <v>476</v>
      </c>
      <c r="D6418" s="3">
        <f t="shared" si="933"/>
        <v>8409</v>
      </c>
      <c r="E6418" s="2">
        <f t="shared" si="934"/>
        <v>43466</v>
      </c>
      <c r="F6418" s="2">
        <f t="shared" si="935"/>
        <v>43830</v>
      </c>
    </row>
    <row r="6419" spans="1:6" x14ac:dyDescent="0.25">
      <c r="A6419" s="1" t="s">
        <v>313</v>
      </c>
      <c r="B6419" s="1" t="s">
        <v>2272</v>
      </c>
      <c r="C6419" s="1" t="s">
        <v>350</v>
      </c>
      <c r="D6419" s="3">
        <f t="shared" si="933"/>
        <v>8409</v>
      </c>
      <c r="E6419" s="2">
        <f t="shared" si="934"/>
        <v>43466</v>
      </c>
      <c r="F6419" s="2">
        <f t="shared" si="935"/>
        <v>43830</v>
      </c>
    </row>
    <row r="6420" spans="1:6" x14ac:dyDescent="0.25">
      <c r="A6420" s="1" t="s">
        <v>313</v>
      </c>
      <c r="B6420" s="1" t="s">
        <v>2272</v>
      </c>
      <c r="C6420" s="1" t="s">
        <v>351</v>
      </c>
      <c r="D6420" s="3">
        <f t="shared" si="933"/>
        <v>8409</v>
      </c>
      <c r="E6420" s="2">
        <f t="shared" si="934"/>
        <v>43466</v>
      </c>
      <c r="F6420" s="2">
        <f t="shared" si="935"/>
        <v>43830</v>
      </c>
    </row>
    <row r="6421" spans="1:6" x14ac:dyDescent="0.25">
      <c r="A6421" s="1" t="s">
        <v>313</v>
      </c>
      <c r="B6421" s="1" t="s">
        <v>2272</v>
      </c>
      <c r="C6421" s="1" t="s">
        <v>160</v>
      </c>
      <c r="D6421" s="3">
        <f t="shared" si="933"/>
        <v>8409</v>
      </c>
      <c r="E6421" s="2">
        <f t="shared" si="934"/>
        <v>43466</v>
      </c>
      <c r="F6421" s="2">
        <f t="shared" si="935"/>
        <v>43830</v>
      </c>
    </row>
    <row r="6422" spans="1:6" x14ac:dyDescent="0.25">
      <c r="A6422" s="1" t="s">
        <v>313</v>
      </c>
      <c r="B6422" s="1" t="s">
        <v>2272</v>
      </c>
      <c r="C6422" s="1" t="s">
        <v>393</v>
      </c>
      <c r="D6422" s="3">
        <f t="shared" si="933"/>
        <v>8409</v>
      </c>
      <c r="E6422" s="2">
        <f t="shared" si="934"/>
        <v>43466</v>
      </c>
      <c r="F6422" s="2">
        <f t="shared" si="935"/>
        <v>43830</v>
      </c>
    </row>
    <row r="6423" spans="1:6" x14ac:dyDescent="0.25">
      <c r="A6423" s="1" t="s">
        <v>313</v>
      </c>
      <c r="B6423" s="1" t="s">
        <v>2272</v>
      </c>
      <c r="C6423" s="1" t="s">
        <v>394</v>
      </c>
      <c r="D6423" s="3">
        <f t="shared" si="933"/>
        <v>8409</v>
      </c>
      <c r="E6423" s="2">
        <f t="shared" si="934"/>
        <v>43466</v>
      </c>
      <c r="F6423" s="2">
        <f t="shared" si="935"/>
        <v>43830</v>
      </c>
    </row>
    <row r="6424" spans="1:6" x14ac:dyDescent="0.25">
      <c r="A6424" s="1" t="s">
        <v>313</v>
      </c>
      <c r="B6424" s="1" t="s">
        <v>2272</v>
      </c>
      <c r="C6424" s="1" t="s">
        <v>396</v>
      </c>
      <c r="D6424" s="3">
        <f t="shared" si="933"/>
        <v>8409</v>
      </c>
      <c r="E6424" s="2">
        <f t="shared" si="934"/>
        <v>43466</v>
      </c>
      <c r="F6424" s="2">
        <f t="shared" si="935"/>
        <v>43830</v>
      </c>
    </row>
    <row r="6425" spans="1:6" x14ac:dyDescent="0.25">
      <c r="A6425" s="1" t="s">
        <v>313</v>
      </c>
      <c r="B6425" s="1" t="s">
        <v>2272</v>
      </c>
      <c r="C6425" s="1" t="s">
        <v>34</v>
      </c>
      <c r="D6425" s="3">
        <f t="shared" si="933"/>
        <v>8409</v>
      </c>
      <c r="E6425" s="2">
        <f t="shared" si="934"/>
        <v>43466</v>
      </c>
      <c r="F6425" s="2">
        <f t="shared" si="935"/>
        <v>43830</v>
      </c>
    </row>
    <row r="6426" spans="1:6" x14ac:dyDescent="0.25">
      <c r="A6426" s="1" t="s">
        <v>313</v>
      </c>
      <c r="B6426" s="1" t="s">
        <v>2272</v>
      </c>
      <c r="C6426" s="1" t="s">
        <v>519</v>
      </c>
      <c r="D6426" s="3">
        <f t="shared" si="933"/>
        <v>8409</v>
      </c>
      <c r="E6426" s="2">
        <f t="shared" si="934"/>
        <v>43466</v>
      </c>
      <c r="F6426" s="2">
        <f t="shared" si="935"/>
        <v>43830</v>
      </c>
    </row>
    <row r="6427" spans="1:6" x14ac:dyDescent="0.25">
      <c r="A6427" s="1" t="s">
        <v>313</v>
      </c>
      <c r="B6427" s="1" t="s">
        <v>2272</v>
      </c>
      <c r="C6427" s="1" t="s">
        <v>57</v>
      </c>
      <c r="D6427" s="3">
        <f t="shared" si="933"/>
        <v>8409</v>
      </c>
      <c r="E6427" s="2">
        <f t="shared" si="934"/>
        <v>43466</v>
      </c>
      <c r="F6427" s="2">
        <f t="shared" si="935"/>
        <v>43830</v>
      </c>
    </row>
    <row r="6428" spans="1:6" x14ac:dyDescent="0.25">
      <c r="A6428" s="1" t="s">
        <v>313</v>
      </c>
      <c r="B6428" s="1" t="s">
        <v>2272</v>
      </c>
      <c r="C6428" s="1" t="s">
        <v>36</v>
      </c>
      <c r="D6428" s="3">
        <f t="shared" si="933"/>
        <v>8409</v>
      </c>
      <c r="E6428" s="2">
        <f t="shared" si="934"/>
        <v>43466</v>
      </c>
      <c r="F6428" s="2">
        <f t="shared" si="935"/>
        <v>43830</v>
      </c>
    </row>
    <row r="6429" spans="1:6" x14ac:dyDescent="0.25">
      <c r="A6429" s="1" t="s">
        <v>313</v>
      </c>
      <c r="B6429" s="1" t="s">
        <v>2272</v>
      </c>
      <c r="C6429" s="1" t="s">
        <v>170</v>
      </c>
      <c r="D6429" s="3">
        <f t="shared" si="933"/>
        <v>8409</v>
      </c>
      <c r="E6429" s="2">
        <f t="shared" si="934"/>
        <v>43466</v>
      </c>
      <c r="F6429" s="2">
        <f t="shared" si="935"/>
        <v>43830</v>
      </c>
    </row>
    <row r="6430" spans="1:6" x14ac:dyDescent="0.25">
      <c r="A6430" s="1" t="s">
        <v>313</v>
      </c>
      <c r="B6430" s="1" t="s">
        <v>2083</v>
      </c>
      <c r="C6430" s="1" t="s">
        <v>45</v>
      </c>
      <c r="D6430" s="3">
        <f>VALUE("8381")</f>
        <v>8381</v>
      </c>
      <c r="E6430" s="2">
        <f>DATEVALUE("1-12-2018")</f>
        <v>43435</v>
      </c>
      <c r="F6430" s="2">
        <f>DATEVALUE("31-3-2019")</f>
        <v>43555</v>
      </c>
    </row>
    <row r="6431" spans="1:6" x14ac:dyDescent="0.25">
      <c r="A6431" s="1" t="s">
        <v>313</v>
      </c>
      <c r="B6431" s="1" t="s">
        <v>2083</v>
      </c>
      <c r="C6431" s="1" t="s">
        <v>44</v>
      </c>
      <c r="D6431" s="3">
        <f>VALUE("8381")</f>
        <v>8381</v>
      </c>
      <c r="E6431" s="2">
        <f>DATEVALUE("1-12-2018")</f>
        <v>43435</v>
      </c>
      <c r="F6431" s="2">
        <f>DATEVALUE("31-3-2019")</f>
        <v>43555</v>
      </c>
    </row>
    <row r="6432" spans="1:6" x14ac:dyDescent="0.25">
      <c r="A6432" s="1" t="s">
        <v>313</v>
      </c>
      <c r="B6432" s="1" t="s">
        <v>1785</v>
      </c>
      <c r="C6432" s="1" t="s">
        <v>7</v>
      </c>
      <c r="D6432" s="3">
        <f t="shared" ref="D6432:D6444" si="936">VALUE("8368")</f>
        <v>8368</v>
      </c>
      <c r="E6432" s="2">
        <f t="shared" ref="E6432:E6444" si="937">DATEVALUE("1-9-2018")</f>
        <v>43344</v>
      </c>
      <c r="F6432" s="2">
        <f t="shared" ref="F6432:F6444" si="938">DATEVALUE("31-8-2020")</f>
        <v>44074</v>
      </c>
    </row>
    <row r="6433" spans="1:6" x14ac:dyDescent="0.25">
      <c r="A6433" s="1" t="s">
        <v>313</v>
      </c>
      <c r="B6433" s="1" t="s">
        <v>1785</v>
      </c>
      <c r="C6433" s="1" t="s">
        <v>599</v>
      </c>
      <c r="D6433" s="3">
        <f t="shared" si="936"/>
        <v>8368</v>
      </c>
      <c r="E6433" s="2">
        <f t="shared" si="937"/>
        <v>43344</v>
      </c>
      <c r="F6433" s="2">
        <f t="shared" si="938"/>
        <v>44074</v>
      </c>
    </row>
    <row r="6434" spans="1:6" x14ac:dyDescent="0.25">
      <c r="A6434" s="1" t="s">
        <v>313</v>
      </c>
      <c r="B6434" s="1" t="s">
        <v>1785</v>
      </c>
      <c r="C6434" s="1" t="s">
        <v>45</v>
      </c>
      <c r="D6434" s="3">
        <f t="shared" si="936"/>
        <v>8368</v>
      </c>
      <c r="E6434" s="2">
        <f t="shared" si="937"/>
        <v>43344</v>
      </c>
      <c r="F6434" s="2">
        <f t="shared" si="938"/>
        <v>44074</v>
      </c>
    </row>
    <row r="6435" spans="1:6" x14ac:dyDescent="0.25">
      <c r="A6435" s="1" t="s">
        <v>313</v>
      </c>
      <c r="B6435" s="1" t="s">
        <v>1785</v>
      </c>
      <c r="C6435" s="1" t="s">
        <v>44</v>
      </c>
      <c r="D6435" s="3">
        <f t="shared" si="936"/>
        <v>8368</v>
      </c>
      <c r="E6435" s="2">
        <f t="shared" si="937"/>
        <v>43344</v>
      </c>
      <c r="F6435" s="2">
        <f t="shared" si="938"/>
        <v>44074</v>
      </c>
    </row>
    <row r="6436" spans="1:6" x14ac:dyDescent="0.25">
      <c r="A6436" s="1" t="s">
        <v>313</v>
      </c>
      <c r="B6436" s="1" t="s">
        <v>1785</v>
      </c>
      <c r="C6436" s="1" t="s">
        <v>146</v>
      </c>
      <c r="D6436" s="3">
        <f t="shared" si="936"/>
        <v>8368</v>
      </c>
      <c r="E6436" s="2">
        <f t="shared" si="937"/>
        <v>43344</v>
      </c>
      <c r="F6436" s="2">
        <f t="shared" si="938"/>
        <v>44074</v>
      </c>
    </row>
    <row r="6437" spans="1:6" x14ac:dyDescent="0.25">
      <c r="A6437" s="1" t="s">
        <v>313</v>
      </c>
      <c r="B6437" s="1" t="s">
        <v>1785</v>
      </c>
      <c r="C6437" s="1" t="s">
        <v>67</v>
      </c>
      <c r="D6437" s="3">
        <f t="shared" si="936"/>
        <v>8368</v>
      </c>
      <c r="E6437" s="2">
        <f t="shared" si="937"/>
        <v>43344</v>
      </c>
      <c r="F6437" s="2">
        <f t="shared" si="938"/>
        <v>44074</v>
      </c>
    </row>
    <row r="6438" spans="1:6" x14ac:dyDescent="0.25">
      <c r="A6438" s="1" t="s">
        <v>313</v>
      </c>
      <c r="B6438" s="1" t="s">
        <v>1785</v>
      </c>
      <c r="C6438" s="1" t="s">
        <v>259</v>
      </c>
      <c r="D6438" s="3">
        <f t="shared" si="936"/>
        <v>8368</v>
      </c>
      <c r="E6438" s="2">
        <f t="shared" si="937"/>
        <v>43344</v>
      </c>
      <c r="F6438" s="2">
        <f t="shared" si="938"/>
        <v>44074</v>
      </c>
    </row>
    <row r="6439" spans="1:6" x14ac:dyDescent="0.25">
      <c r="A6439" s="1" t="s">
        <v>313</v>
      </c>
      <c r="B6439" s="1" t="s">
        <v>1785</v>
      </c>
      <c r="C6439" s="1" t="s">
        <v>1786</v>
      </c>
      <c r="D6439" s="3">
        <f t="shared" si="936"/>
        <v>8368</v>
      </c>
      <c r="E6439" s="2">
        <f t="shared" si="937"/>
        <v>43344</v>
      </c>
      <c r="F6439" s="2">
        <f t="shared" si="938"/>
        <v>44074</v>
      </c>
    </row>
    <row r="6440" spans="1:6" x14ac:dyDescent="0.25">
      <c r="A6440" s="1" t="s">
        <v>313</v>
      </c>
      <c r="B6440" s="1" t="s">
        <v>1785</v>
      </c>
      <c r="C6440" s="1" t="s">
        <v>1787</v>
      </c>
      <c r="D6440" s="3">
        <f t="shared" si="936"/>
        <v>8368</v>
      </c>
      <c r="E6440" s="2">
        <f t="shared" si="937"/>
        <v>43344</v>
      </c>
      <c r="F6440" s="2">
        <f t="shared" si="938"/>
        <v>44074</v>
      </c>
    </row>
    <row r="6441" spans="1:6" x14ac:dyDescent="0.25">
      <c r="A6441" s="1" t="s">
        <v>313</v>
      </c>
      <c r="B6441" s="1" t="s">
        <v>1785</v>
      </c>
      <c r="C6441" s="1" t="s">
        <v>1788</v>
      </c>
      <c r="D6441" s="3">
        <f t="shared" si="936"/>
        <v>8368</v>
      </c>
      <c r="E6441" s="2">
        <f t="shared" si="937"/>
        <v>43344</v>
      </c>
      <c r="F6441" s="2">
        <f t="shared" si="938"/>
        <v>44074</v>
      </c>
    </row>
    <row r="6442" spans="1:6" x14ac:dyDescent="0.25">
      <c r="A6442" s="1" t="s">
        <v>313</v>
      </c>
      <c r="B6442" s="1" t="s">
        <v>1785</v>
      </c>
      <c r="C6442" s="1" t="s">
        <v>1789</v>
      </c>
      <c r="D6442" s="3">
        <f t="shared" si="936"/>
        <v>8368</v>
      </c>
      <c r="E6442" s="2">
        <f t="shared" si="937"/>
        <v>43344</v>
      </c>
      <c r="F6442" s="2">
        <f t="shared" si="938"/>
        <v>44074</v>
      </c>
    </row>
    <row r="6443" spans="1:6" x14ac:dyDescent="0.25">
      <c r="A6443" s="1" t="s">
        <v>313</v>
      </c>
      <c r="B6443" s="1" t="s">
        <v>1785</v>
      </c>
      <c r="C6443" s="1" t="s">
        <v>260</v>
      </c>
      <c r="D6443" s="3">
        <f t="shared" si="936"/>
        <v>8368</v>
      </c>
      <c r="E6443" s="2">
        <f t="shared" si="937"/>
        <v>43344</v>
      </c>
      <c r="F6443" s="2">
        <f t="shared" si="938"/>
        <v>44074</v>
      </c>
    </row>
    <row r="6444" spans="1:6" x14ac:dyDescent="0.25">
      <c r="A6444" s="1" t="s">
        <v>313</v>
      </c>
      <c r="B6444" s="1" t="s">
        <v>1785</v>
      </c>
      <c r="C6444" s="1" t="s">
        <v>261</v>
      </c>
      <c r="D6444" s="3">
        <f t="shared" si="936"/>
        <v>8368</v>
      </c>
      <c r="E6444" s="2">
        <f t="shared" si="937"/>
        <v>43344</v>
      </c>
      <c r="F6444" s="2">
        <f t="shared" si="938"/>
        <v>44074</v>
      </c>
    </row>
    <row r="6445" spans="1:6" x14ac:dyDescent="0.25">
      <c r="A6445" s="1" t="s">
        <v>313</v>
      </c>
      <c r="B6445" s="1" t="s">
        <v>2394</v>
      </c>
      <c r="C6445" s="1" t="s">
        <v>8</v>
      </c>
      <c r="D6445" s="3">
        <f t="shared" ref="D6445:D6460" si="939">VALUE("8356")</f>
        <v>8356</v>
      </c>
      <c r="E6445" s="2">
        <f t="shared" ref="E6445:E6460" si="940">DATEVALUE("1-8-2018")</f>
        <v>43313</v>
      </c>
      <c r="F6445" s="2">
        <f t="shared" ref="F6445:F6460" si="941">DATEVALUE("30-4-2019")</f>
        <v>43585</v>
      </c>
    </row>
    <row r="6446" spans="1:6" x14ac:dyDescent="0.25">
      <c r="A6446" s="1" t="s">
        <v>313</v>
      </c>
      <c r="B6446" s="1" t="s">
        <v>2394</v>
      </c>
      <c r="C6446" s="1" t="s">
        <v>14</v>
      </c>
      <c r="D6446" s="3">
        <f t="shared" si="939"/>
        <v>8356</v>
      </c>
      <c r="E6446" s="2">
        <f t="shared" si="940"/>
        <v>43313</v>
      </c>
      <c r="F6446" s="2">
        <f t="shared" si="941"/>
        <v>43585</v>
      </c>
    </row>
    <row r="6447" spans="1:6" x14ac:dyDescent="0.25">
      <c r="A6447" s="1" t="s">
        <v>313</v>
      </c>
      <c r="B6447" s="1" t="s">
        <v>2394</v>
      </c>
      <c r="C6447" s="1" t="s">
        <v>15</v>
      </c>
      <c r="D6447" s="3">
        <f t="shared" si="939"/>
        <v>8356</v>
      </c>
      <c r="E6447" s="2">
        <f t="shared" si="940"/>
        <v>43313</v>
      </c>
      <c r="F6447" s="2">
        <f t="shared" si="941"/>
        <v>43585</v>
      </c>
    </row>
    <row r="6448" spans="1:6" x14ac:dyDescent="0.25">
      <c r="A6448" s="1" t="s">
        <v>313</v>
      </c>
      <c r="B6448" s="1" t="s">
        <v>2394</v>
      </c>
      <c r="C6448" s="1" t="s">
        <v>17</v>
      </c>
      <c r="D6448" s="3">
        <f t="shared" si="939"/>
        <v>8356</v>
      </c>
      <c r="E6448" s="2">
        <f t="shared" si="940"/>
        <v>43313</v>
      </c>
      <c r="F6448" s="2">
        <f t="shared" si="941"/>
        <v>43585</v>
      </c>
    </row>
    <row r="6449" spans="1:6" x14ac:dyDescent="0.25">
      <c r="A6449" s="1" t="s">
        <v>313</v>
      </c>
      <c r="B6449" s="1" t="s">
        <v>2394</v>
      </c>
      <c r="C6449" s="1" t="s">
        <v>22</v>
      </c>
      <c r="D6449" s="3">
        <f t="shared" si="939"/>
        <v>8356</v>
      </c>
      <c r="E6449" s="2">
        <f t="shared" si="940"/>
        <v>43313</v>
      </c>
      <c r="F6449" s="2">
        <f t="shared" si="941"/>
        <v>43585</v>
      </c>
    </row>
    <row r="6450" spans="1:6" x14ac:dyDescent="0.25">
      <c r="A6450" s="1" t="s">
        <v>313</v>
      </c>
      <c r="B6450" s="1" t="s">
        <v>2394</v>
      </c>
      <c r="C6450" s="1" t="s">
        <v>146</v>
      </c>
      <c r="D6450" s="3">
        <f t="shared" si="939"/>
        <v>8356</v>
      </c>
      <c r="E6450" s="2">
        <f t="shared" si="940"/>
        <v>43313</v>
      </c>
      <c r="F6450" s="2">
        <f t="shared" si="941"/>
        <v>43585</v>
      </c>
    </row>
    <row r="6451" spans="1:6" x14ac:dyDescent="0.25">
      <c r="A6451" s="1" t="s">
        <v>313</v>
      </c>
      <c r="B6451" s="1" t="s">
        <v>2394</v>
      </c>
      <c r="C6451" s="1" t="s">
        <v>67</v>
      </c>
      <c r="D6451" s="3">
        <f t="shared" si="939"/>
        <v>8356</v>
      </c>
      <c r="E6451" s="2">
        <f t="shared" si="940"/>
        <v>43313</v>
      </c>
      <c r="F6451" s="2">
        <f t="shared" si="941"/>
        <v>43585</v>
      </c>
    </row>
    <row r="6452" spans="1:6" x14ac:dyDescent="0.25">
      <c r="A6452" s="1" t="s">
        <v>313</v>
      </c>
      <c r="B6452" s="1" t="s">
        <v>2394</v>
      </c>
      <c r="C6452" s="1" t="s">
        <v>148</v>
      </c>
      <c r="D6452" s="3">
        <f t="shared" si="939"/>
        <v>8356</v>
      </c>
      <c r="E6452" s="2">
        <f t="shared" si="940"/>
        <v>43313</v>
      </c>
      <c r="F6452" s="2">
        <f t="shared" si="941"/>
        <v>43585</v>
      </c>
    </row>
    <row r="6453" spans="1:6" x14ac:dyDescent="0.25">
      <c r="A6453" s="1" t="s">
        <v>313</v>
      </c>
      <c r="B6453" s="1" t="s">
        <v>2394</v>
      </c>
      <c r="C6453" s="1" t="s">
        <v>149</v>
      </c>
      <c r="D6453" s="3">
        <f t="shared" si="939"/>
        <v>8356</v>
      </c>
      <c r="E6453" s="2">
        <f t="shared" si="940"/>
        <v>43313</v>
      </c>
      <c r="F6453" s="2">
        <f t="shared" si="941"/>
        <v>43585</v>
      </c>
    </row>
    <row r="6454" spans="1:6" x14ac:dyDescent="0.25">
      <c r="A6454" s="1" t="s">
        <v>313</v>
      </c>
      <c r="B6454" s="1" t="s">
        <v>2394</v>
      </c>
      <c r="C6454" s="1" t="s">
        <v>150</v>
      </c>
      <c r="D6454" s="3">
        <f t="shared" si="939"/>
        <v>8356</v>
      </c>
      <c r="E6454" s="2">
        <f t="shared" si="940"/>
        <v>43313</v>
      </c>
      <c r="F6454" s="2">
        <f t="shared" si="941"/>
        <v>43585</v>
      </c>
    </row>
    <row r="6455" spans="1:6" x14ac:dyDescent="0.25">
      <c r="A6455" s="1" t="s">
        <v>313</v>
      </c>
      <c r="B6455" s="1" t="s">
        <v>2394</v>
      </c>
      <c r="C6455" s="1" t="s">
        <v>24</v>
      </c>
      <c r="D6455" s="3">
        <f t="shared" si="939"/>
        <v>8356</v>
      </c>
      <c r="E6455" s="2">
        <f t="shared" si="940"/>
        <v>43313</v>
      </c>
      <c r="F6455" s="2">
        <f t="shared" si="941"/>
        <v>43585</v>
      </c>
    </row>
    <row r="6456" spans="1:6" x14ac:dyDescent="0.25">
      <c r="A6456" s="1" t="s">
        <v>313</v>
      </c>
      <c r="B6456" s="1" t="s">
        <v>2394</v>
      </c>
      <c r="C6456" s="1" t="s">
        <v>73</v>
      </c>
      <c r="D6456" s="3">
        <f t="shared" si="939"/>
        <v>8356</v>
      </c>
      <c r="E6456" s="2">
        <f t="shared" si="940"/>
        <v>43313</v>
      </c>
      <c r="F6456" s="2">
        <f t="shared" si="941"/>
        <v>43585</v>
      </c>
    </row>
    <row r="6457" spans="1:6" x14ac:dyDescent="0.25">
      <c r="A6457" s="1" t="s">
        <v>313</v>
      </c>
      <c r="B6457" s="1" t="s">
        <v>2394</v>
      </c>
      <c r="C6457" s="1" t="s">
        <v>160</v>
      </c>
      <c r="D6457" s="3">
        <f t="shared" si="939"/>
        <v>8356</v>
      </c>
      <c r="E6457" s="2">
        <f t="shared" si="940"/>
        <v>43313</v>
      </c>
      <c r="F6457" s="2">
        <f t="shared" si="941"/>
        <v>43585</v>
      </c>
    </row>
    <row r="6458" spans="1:6" x14ac:dyDescent="0.25">
      <c r="A6458" s="1" t="s">
        <v>313</v>
      </c>
      <c r="B6458" s="1" t="s">
        <v>2394</v>
      </c>
      <c r="C6458" s="1" t="s">
        <v>34</v>
      </c>
      <c r="D6458" s="3">
        <f t="shared" si="939"/>
        <v>8356</v>
      </c>
      <c r="E6458" s="2">
        <f t="shared" si="940"/>
        <v>43313</v>
      </c>
      <c r="F6458" s="2">
        <f t="shared" si="941"/>
        <v>43585</v>
      </c>
    </row>
    <row r="6459" spans="1:6" x14ac:dyDescent="0.25">
      <c r="A6459" s="1" t="s">
        <v>313</v>
      </c>
      <c r="B6459" s="1" t="s">
        <v>2394</v>
      </c>
      <c r="C6459" s="1" t="s">
        <v>380</v>
      </c>
      <c r="D6459" s="3">
        <f t="shared" si="939"/>
        <v>8356</v>
      </c>
      <c r="E6459" s="2">
        <f t="shared" si="940"/>
        <v>43313</v>
      </c>
      <c r="F6459" s="2">
        <f t="shared" si="941"/>
        <v>43585</v>
      </c>
    </row>
    <row r="6460" spans="1:6" x14ac:dyDescent="0.25">
      <c r="A6460" s="1" t="s">
        <v>313</v>
      </c>
      <c r="B6460" s="1" t="s">
        <v>2394</v>
      </c>
      <c r="C6460" s="1" t="s">
        <v>381</v>
      </c>
      <c r="D6460" s="3">
        <f t="shared" si="939"/>
        <v>8356</v>
      </c>
      <c r="E6460" s="2">
        <f t="shared" si="940"/>
        <v>43313</v>
      </c>
      <c r="F6460" s="2">
        <f t="shared" si="941"/>
        <v>43585</v>
      </c>
    </row>
    <row r="6461" spans="1:6" x14ac:dyDescent="0.25">
      <c r="A6461" s="1" t="s">
        <v>313</v>
      </c>
      <c r="B6461" s="1" t="s">
        <v>2069</v>
      </c>
      <c r="C6461" s="1" t="s">
        <v>41</v>
      </c>
      <c r="D6461" s="3">
        <f t="shared" ref="D6461:D6475" si="942">VALUE("8286")</f>
        <v>8286</v>
      </c>
      <c r="E6461" s="2">
        <f t="shared" ref="E6461:E6475" si="943">DATEVALUE("1-6-2018")</f>
        <v>43252</v>
      </c>
      <c r="F6461" s="2">
        <f t="shared" ref="F6461:F6475" si="944">DATEVALUE("28-2-2019")</f>
        <v>43524</v>
      </c>
    </row>
    <row r="6462" spans="1:6" x14ac:dyDescent="0.25">
      <c r="A6462" s="1" t="s">
        <v>313</v>
      </c>
      <c r="B6462" s="1" t="s">
        <v>2069</v>
      </c>
      <c r="C6462" s="1" t="s">
        <v>346</v>
      </c>
      <c r="D6462" s="3">
        <f t="shared" si="942"/>
        <v>8286</v>
      </c>
      <c r="E6462" s="2">
        <f t="shared" si="943"/>
        <v>43252</v>
      </c>
      <c r="F6462" s="2">
        <f t="shared" si="944"/>
        <v>43524</v>
      </c>
    </row>
    <row r="6463" spans="1:6" x14ac:dyDescent="0.25">
      <c r="A6463" s="1" t="s">
        <v>313</v>
      </c>
      <c r="B6463" s="1" t="s">
        <v>2069</v>
      </c>
      <c r="C6463" s="1" t="s">
        <v>15</v>
      </c>
      <c r="D6463" s="3">
        <f t="shared" si="942"/>
        <v>8286</v>
      </c>
      <c r="E6463" s="2">
        <f t="shared" si="943"/>
        <v>43252</v>
      </c>
      <c r="F6463" s="2">
        <f t="shared" si="944"/>
        <v>43524</v>
      </c>
    </row>
    <row r="6464" spans="1:6" x14ac:dyDescent="0.25">
      <c r="A6464" s="1" t="s">
        <v>313</v>
      </c>
      <c r="B6464" s="1" t="s">
        <v>2069</v>
      </c>
      <c r="C6464" s="1" t="s">
        <v>17</v>
      </c>
      <c r="D6464" s="3">
        <f t="shared" si="942"/>
        <v>8286</v>
      </c>
      <c r="E6464" s="2">
        <f t="shared" si="943"/>
        <v>43252</v>
      </c>
      <c r="F6464" s="2">
        <f t="shared" si="944"/>
        <v>43524</v>
      </c>
    </row>
    <row r="6465" spans="1:6" x14ac:dyDescent="0.25">
      <c r="A6465" s="1" t="s">
        <v>313</v>
      </c>
      <c r="B6465" s="1" t="s">
        <v>2069</v>
      </c>
      <c r="C6465" s="1" t="s">
        <v>146</v>
      </c>
      <c r="D6465" s="3">
        <f t="shared" si="942"/>
        <v>8286</v>
      </c>
      <c r="E6465" s="2">
        <f t="shared" si="943"/>
        <v>43252</v>
      </c>
      <c r="F6465" s="2">
        <f t="shared" si="944"/>
        <v>43524</v>
      </c>
    </row>
    <row r="6466" spans="1:6" x14ac:dyDescent="0.25">
      <c r="A6466" s="1" t="s">
        <v>313</v>
      </c>
      <c r="B6466" s="1" t="s">
        <v>2069</v>
      </c>
      <c r="C6466" s="1" t="s">
        <v>384</v>
      </c>
      <c r="D6466" s="3">
        <f t="shared" si="942"/>
        <v>8286</v>
      </c>
      <c r="E6466" s="2">
        <f t="shared" si="943"/>
        <v>43252</v>
      </c>
      <c r="F6466" s="2">
        <f t="shared" si="944"/>
        <v>43524</v>
      </c>
    </row>
    <row r="6467" spans="1:6" x14ac:dyDescent="0.25">
      <c r="A6467" s="1" t="s">
        <v>313</v>
      </c>
      <c r="B6467" s="1" t="s">
        <v>2069</v>
      </c>
      <c r="C6467" s="1" t="s">
        <v>155</v>
      </c>
      <c r="D6467" s="3">
        <f t="shared" si="942"/>
        <v>8286</v>
      </c>
      <c r="E6467" s="2">
        <f t="shared" si="943"/>
        <v>43252</v>
      </c>
      <c r="F6467" s="2">
        <f t="shared" si="944"/>
        <v>43524</v>
      </c>
    </row>
    <row r="6468" spans="1:6" x14ac:dyDescent="0.25">
      <c r="A6468" s="1" t="s">
        <v>313</v>
      </c>
      <c r="B6468" s="1" t="s">
        <v>2069</v>
      </c>
      <c r="C6468" s="1" t="s">
        <v>70</v>
      </c>
      <c r="D6468" s="3">
        <f t="shared" si="942"/>
        <v>8286</v>
      </c>
      <c r="E6468" s="2">
        <f t="shared" si="943"/>
        <v>43252</v>
      </c>
      <c r="F6468" s="2">
        <f t="shared" si="944"/>
        <v>43524</v>
      </c>
    </row>
    <row r="6469" spans="1:6" x14ac:dyDescent="0.25">
      <c r="A6469" s="1" t="s">
        <v>313</v>
      </c>
      <c r="B6469" s="1" t="s">
        <v>2069</v>
      </c>
      <c r="C6469" s="1" t="s">
        <v>516</v>
      </c>
      <c r="D6469" s="3">
        <f t="shared" si="942"/>
        <v>8286</v>
      </c>
      <c r="E6469" s="2">
        <f t="shared" si="943"/>
        <v>43252</v>
      </c>
      <c r="F6469" s="2">
        <f t="shared" si="944"/>
        <v>43524</v>
      </c>
    </row>
    <row r="6470" spans="1:6" x14ac:dyDescent="0.25">
      <c r="A6470" s="1" t="s">
        <v>313</v>
      </c>
      <c r="B6470" s="1" t="s">
        <v>2069</v>
      </c>
      <c r="C6470" s="1" t="s">
        <v>73</v>
      </c>
      <c r="D6470" s="3">
        <f t="shared" si="942"/>
        <v>8286</v>
      </c>
      <c r="E6470" s="2">
        <f t="shared" si="943"/>
        <v>43252</v>
      </c>
      <c r="F6470" s="2">
        <f t="shared" si="944"/>
        <v>43524</v>
      </c>
    </row>
    <row r="6471" spans="1:6" x14ac:dyDescent="0.25">
      <c r="A6471" s="1" t="s">
        <v>313</v>
      </c>
      <c r="B6471" s="1" t="s">
        <v>2069</v>
      </c>
      <c r="C6471" s="1" t="s">
        <v>52</v>
      </c>
      <c r="D6471" s="3">
        <f t="shared" si="942"/>
        <v>8286</v>
      </c>
      <c r="E6471" s="2">
        <f t="shared" si="943"/>
        <v>43252</v>
      </c>
      <c r="F6471" s="2">
        <f t="shared" si="944"/>
        <v>43524</v>
      </c>
    </row>
    <row r="6472" spans="1:6" x14ac:dyDescent="0.25">
      <c r="A6472" s="1" t="s">
        <v>313</v>
      </c>
      <c r="B6472" s="1" t="s">
        <v>2069</v>
      </c>
      <c r="C6472" s="1" t="s">
        <v>459</v>
      </c>
      <c r="D6472" s="3">
        <f t="shared" si="942"/>
        <v>8286</v>
      </c>
      <c r="E6472" s="2">
        <f t="shared" si="943"/>
        <v>43252</v>
      </c>
      <c r="F6472" s="2">
        <f t="shared" si="944"/>
        <v>43524</v>
      </c>
    </row>
    <row r="6473" spans="1:6" x14ac:dyDescent="0.25">
      <c r="A6473" s="1" t="s">
        <v>313</v>
      </c>
      <c r="B6473" s="1" t="s">
        <v>2069</v>
      </c>
      <c r="C6473" s="1" t="s">
        <v>162</v>
      </c>
      <c r="D6473" s="3">
        <f t="shared" si="942"/>
        <v>8286</v>
      </c>
      <c r="E6473" s="2">
        <f t="shared" si="943"/>
        <v>43252</v>
      </c>
      <c r="F6473" s="2">
        <f t="shared" si="944"/>
        <v>43524</v>
      </c>
    </row>
    <row r="6474" spans="1:6" x14ac:dyDescent="0.25">
      <c r="A6474" s="1" t="s">
        <v>313</v>
      </c>
      <c r="B6474" s="1" t="s">
        <v>2069</v>
      </c>
      <c r="C6474" s="1" t="s">
        <v>306</v>
      </c>
      <c r="D6474" s="3">
        <f t="shared" si="942"/>
        <v>8286</v>
      </c>
      <c r="E6474" s="2">
        <f t="shared" si="943"/>
        <v>43252</v>
      </c>
      <c r="F6474" s="2">
        <f t="shared" si="944"/>
        <v>43524</v>
      </c>
    </row>
    <row r="6475" spans="1:6" x14ac:dyDescent="0.25">
      <c r="A6475" s="1" t="s">
        <v>313</v>
      </c>
      <c r="B6475" s="1" t="s">
        <v>2069</v>
      </c>
      <c r="C6475" s="1" t="s">
        <v>170</v>
      </c>
      <c r="D6475" s="3">
        <f t="shared" si="942"/>
        <v>8286</v>
      </c>
      <c r="E6475" s="2">
        <f t="shared" si="943"/>
        <v>43252</v>
      </c>
      <c r="F6475" s="2">
        <f t="shared" si="944"/>
        <v>43524</v>
      </c>
    </row>
    <row r="6476" spans="1:6" x14ac:dyDescent="0.25">
      <c r="A6476" s="1" t="s">
        <v>313</v>
      </c>
      <c r="B6476" s="1" t="s">
        <v>2070</v>
      </c>
      <c r="C6476" s="1" t="s">
        <v>45</v>
      </c>
      <c r="D6476" s="3">
        <f>VALUE("8296")</f>
        <v>8296</v>
      </c>
      <c r="E6476" s="2">
        <f>DATEVALUE("1-5-2018")</f>
        <v>43221</v>
      </c>
      <c r="F6476" s="2">
        <f>DATEVALUE("31-3-2019")</f>
        <v>43555</v>
      </c>
    </row>
    <row r="6477" spans="1:6" x14ac:dyDescent="0.25">
      <c r="A6477" s="1" t="s">
        <v>313</v>
      </c>
      <c r="B6477" s="1" t="s">
        <v>2070</v>
      </c>
      <c r="C6477" s="1" t="s">
        <v>2071</v>
      </c>
      <c r="D6477" s="3">
        <f>VALUE("8296")</f>
        <v>8296</v>
      </c>
      <c r="E6477" s="2">
        <f>DATEVALUE("1-5-2018")</f>
        <v>43221</v>
      </c>
      <c r="F6477" s="2">
        <f>DATEVALUE("31-3-2019")</f>
        <v>43555</v>
      </c>
    </row>
    <row r="6478" spans="1:6" x14ac:dyDescent="0.25">
      <c r="A6478" s="1" t="s">
        <v>313</v>
      </c>
      <c r="B6478" s="1" t="s">
        <v>2363</v>
      </c>
      <c r="C6478" s="1" t="s">
        <v>17</v>
      </c>
      <c r="D6478" s="3">
        <f>VALUE("8255")</f>
        <v>8255</v>
      </c>
      <c r="E6478" s="2">
        <f>DATEVALUE("1-2-2018")</f>
        <v>43132</v>
      </c>
      <c r="F6478" s="2">
        <f>DATEVALUE("31-1-2019")</f>
        <v>43496</v>
      </c>
    </row>
    <row r="6479" spans="1:6" x14ac:dyDescent="0.25">
      <c r="A6479" s="1" t="s">
        <v>313</v>
      </c>
      <c r="B6479" s="1" t="s">
        <v>2363</v>
      </c>
      <c r="C6479" s="1" t="s">
        <v>475</v>
      </c>
      <c r="D6479" s="3">
        <f>VALUE("8255")</f>
        <v>8255</v>
      </c>
      <c r="E6479" s="2">
        <f>DATEVALUE("1-2-2018")</f>
        <v>43132</v>
      </c>
      <c r="F6479" s="2">
        <f>DATEVALUE("31-1-2019")</f>
        <v>43496</v>
      </c>
    </row>
    <row r="6480" spans="1:6" x14ac:dyDescent="0.25">
      <c r="A6480" s="1" t="s">
        <v>313</v>
      </c>
      <c r="B6480" s="1" t="s">
        <v>2363</v>
      </c>
      <c r="C6480" s="1" t="s">
        <v>52</v>
      </c>
      <c r="D6480" s="3">
        <f>VALUE("8255")</f>
        <v>8255</v>
      </c>
      <c r="E6480" s="2">
        <f>DATEVALUE("1-2-2018")</f>
        <v>43132</v>
      </c>
      <c r="F6480" s="2">
        <f>DATEVALUE("31-1-2019")</f>
        <v>43496</v>
      </c>
    </row>
    <row r="6481" spans="1:6" x14ac:dyDescent="0.25">
      <c r="A6481" s="1" t="s">
        <v>313</v>
      </c>
      <c r="B6481" s="1" t="s">
        <v>2218</v>
      </c>
      <c r="C6481" s="1" t="s">
        <v>325</v>
      </c>
      <c r="D6481" s="3">
        <f t="shared" ref="D6481:D6516" si="945">VALUE("8015")</f>
        <v>8015</v>
      </c>
      <c r="E6481" s="2">
        <f t="shared" ref="E6481:E6512" si="946">DATEVALUE("1-2-2017")</f>
        <v>42767</v>
      </c>
      <c r="F6481" s="2">
        <f t="shared" ref="F6481:F6516" si="947">DATEVALUE("30-9-2019")</f>
        <v>43738</v>
      </c>
    </row>
    <row r="6482" spans="1:6" x14ac:dyDescent="0.25">
      <c r="A6482" s="1" t="s">
        <v>313</v>
      </c>
      <c r="B6482" s="1" t="s">
        <v>2218</v>
      </c>
      <c r="C6482" s="1" t="s">
        <v>39</v>
      </c>
      <c r="D6482" s="3">
        <f t="shared" si="945"/>
        <v>8015</v>
      </c>
      <c r="E6482" s="2">
        <f t="shared" si="946"/>
        <v>42767</v>
      </c>
      <c r="F6482" s="2">
        <f t="shared" si="947"/>
        <v>43738</v>
      </c>
    </row>
    <row r="6483" spans="1:6" x14ac:dyDescent="0.25">
      <c r="A6483" s="1" t="s">
        <v>313</v>
      </c>
      <c r="B6483" s="1" t="s">
        <v>2218</v>
      </c>
      <c r="C6483" s="1" t="s">
        <v>256</v>
      </c>
      <c r="D6483" s="3">
        <f t="shared" si="945"/>
        <v>8015</v>
      </c>
      <c r="E6483" s="2">
        <f t="shared" si="946"/>
        <v>42767</v>
      </c>
      <c r="F6483" s="2">
        <f t="shared" si="947"/>
        <v>43738</v>
      </c>
    </row>
    <row r="6484" spans="1:6" x14ac:dyDescent="0.25">
      <c r="A6484" s="1" t="s">
        <v>313</v>
      </c>
      <c r="B6484" s="1" t="s">
        <v>2218</v>
      </c>
      <c r="C6484" s="1" t="s">
        <v>137</v>
      </c>
      <c r="D6484" s="3">
        <f t="shared" si="945"/>
        <v>8015</v>
      </c>
      <c r="E6484" s="2">
        <f t="shared" si="946"/>
        <v>42767</v>
      </c>
      <c r="F6484" s="2">
        <f t="shared" si="947"/>
        <v>43738</v>
      </c>
    </row>
    <row r="6485" spans="1:6" x14ac:dyDescent="0.25">
      <c r="A6485" s="1" t="s">
        <v>313</v>
      </c>
      <c r="B6485" s="1" t="s">
        <v>2218</v>
      </c>
      <c r="C6485" s="1" t="s">
        <v>83</v>
      </c>
      <c r="D6485" s="3">
        <f t="shared" si="945"/>
        <v>8015</v>
      </c>
      <c r="E6485" s="2">
        <f t="shared" si="946"/>
        <v>42767</v>
      </c>
      <c r="F6485" s="2">
        <f t="shared" si="947"/>
        <v>43738</v>
      </c>
    </row>
    <row r="6486" spans="1:6" x14ac:dyDescent="0.25">
      <c r="A6486" s="1" t="s">
        <v>313</v>
      </c>
      <c r="B6486" s="1" t="s">
        <v>2218</v>
      </c>
      <c r="C6486" s="1" t="s">
        <v>43</v>
      </c>
      <c r="D6486" s="3">
        <f t="shared" si="945"/>
        <v>8015</v>
      </c>
      <c r="E6486" s="2">
        <f t="shared" si="946"/>
        <v>42767</v>
      </c>
      <c r="F6486" s="2">
        <f t="shared" si="947"/>
        <v>43738</v>
      </c>
    </row>
    <row r="6487" spans="1:6" x14ac:dyDescent="0.25">
      <c r="A6487" s="1" t="s">
        <v>313</v>
      </c>
      <c r="B6487" s="1" t="s">
        <v>2218</v>
      </c>
      <c r="C6487" s="1" t="s">
        <v>346</v>
      </c>
      <c r="D6487" s="3">
        <f t="shared" si="945"/>
        <v>8015</v>
      </c>
      <c r="E6487" s="2">
        <f t="shared" si="946"/>
        <v>42767</v>
      </c>
      <c r="F6487" s="2">
        <f t="shared" si="947"/>
        <v>43738</v>
      </c>
    </row>
    <row r="6488" spans="1:6" x14ac:dyDescent="0.25">
      <c r="A6488" s="1" t="s">
        <v>313</v>
      </c>
      <c r="B6488" s="1" t="s">
        <v>2218</v>
      </c>
      <c r="C6488" s="1" t="s">
        <v>45</v>
      </c>
      <c r="D6488" s="3">
        <f t="shared" si="945"/>
        <v>8015</v>
      </c>
      <c r="E6488" s="2">
        <f t="shared" si="946"/>
        <v>42767</v>
      </c>
      <c r="F6488" s="2">
        <f t="shared" si="947"/>
        <v>43738</v>
      </c>
    </row>
    <row r="6489" spans="1:6" x14ac:dyDescent="0.25">
      <c r="A6489" s="1" t="s">
        <v>313</v>
      </c>
      <c r="B6489" s="1" t="s">
        <v>2218</v>
      </c>
      <c r="C6489" s="1" t="s">
        <v>44</v>
      </c>
      <c r="D6489" s="3">
        <f t="shared" si="945"/>
        <v>8015</v>
      </c>
      <c r="E6489" s="2">
        <f t="shared" si="946"/>
        <v>42767</v>
      </c>
      <c r="F6489" s="2">
        <f t="shared" si="947"/>
        <v>43738</v>
      </c>
    </row>
    <row r="6490" spans="1:6" x14ac:dyDescent="0.25">
      <c r="A6490" s="1" t="s">
        <v>313</v>
      </c>
      <c r="B6490" s="1" t="s">
        <v>2218</v>
      </c>
      <c r="C6490" s="1" t="s">
        <v>141</v>
      </c>
      <c r="D6490" s="3">
        <f t="shared" si="945"/>
        <v>8015</v>
      </c>
      <c r="E6490" s="2">
        <f t="shared" si="946"/>
        <v>42767</v>
      </c>
      <c r="F6490" s="2">
        <f t="shared" si="947"/>
        <v>43738</v>
      </c>
    </row>
    <row r="6491" spans="1:6" x14ac:dyDescent="0.25">
      <c r="A6491" s="1" t="s">
        <v>313</v>
      </c>
      <c r="B6491" s="1" t="s">
        <v>2218</v>
      </c>
      <c r="C6491" s="1" t="s">
        <v>46</v>
      </c>
      <c r="D6491" s="3">
        <f t="shared" si="945"/>
        <v>8015</v>
      </c>
      <c r="E6491" s="2">
        <f t="shared" si="946"/>
        <v>42767</v>
      </c>
      <c r="F6491" s="2">
        <f t="shared" si="947"/>
        <v>43738</v>
      </c>
    </row>
    <row r="6492" spans="1:6" x14ac:dyDescent="0.25">
      <c r="A6492" s="1" t="s">
        <v>313</v>
      </c>
      <c r="B6492" s="1" t="s">
        <v>2218</v>
      </c>
      <c r="C6492" s="1" t="s">
        <v>14</v>
      </c>
      <c r="D6492" s="3">
        <f t="shared" si="945"/>
        <v>8015</v>
      </c>
      <c r="E6492" s="2">
        <f t="shared" si="946"/>
        <v>42767</v>
      </c>
      <c r="F6492" s="2">
        <f t="shared" si="947"/>
        <v>43738</v>
      </c>
    </row>
    <row r="6493" spans="1:6" x14ac:dyDescent="0.25">
      <c r="A6493" s="1" t="s">
        <v>313</v>
      </c>
      <c r="B6493" s="1" t="s">
        <v>2218</v>
      </c>
      <c r="C6493" s="1" t="s">
        <v>15</v>
      </c>
      <c r="D6493" s="3">
        <f t="shared" si="945"/>
        <v>8015</v>
      </c>
      <c r="E6493" s="2">
        <f t="shared" si="946"/>
        <v>42767</v>
      </c>
      <c r="F6493" s="2">
        <f t="shared" si="947"/>
        <v>43738</v>
      </c>
    </row>
    <row r="6494" spans="1:6" x14ac:dyDescent="0.25">
      <c r="A6494" s="1" t="s">
        <v>313</v>
      </c>
      <c r="B6494" s="1" t="s">
        <v>2218</v>
      </c>
      <c r="C6494" s="1" t="s">
        <v>17</v>
      </c>
      <c r="D6494" s="3">
        <f t="shared" si="945"/>
        <v>8015</v>
      </c>
      <c r="E6494" s="2">
        <f t="shared" si="946"/>
        <v>42767</v>
      </c>
      <c r="F6494" s="2">
        <f t="shared" si="947"/>
        <v>43738</v>
      </c>
    </row>
    <row r="6495" spans="1:6" x14ac:dyDescent="0.25">
      <c r="A6495" s="1" t="s">
        <v>313</v>
      </c>
      <c r="B6495" s="1" t="s">
        <v>2218</v>
      </c>
      <c r="C6495" s="1" t="s">
        <v>22</v>
      </c>
      <c r="D6495" s="3">
        <f t="shared" si="945"/>
        <v>8015</v>
      </c>
      <c r="E6495" s="2">
        <f t="shared" si="946"/>
        <v>42767</v>
      </c>
      <c r="F6495" s="2">
        <f t="shared" si="947"/>
        <v>43738</v>
      </c>
    </row>
    <row r="6496" spans="1:6" x14ac:dyDescent="0.25">
      <c r="A6496" s="1" t="s">
        <v>313</v>
      </c>
      <c r="B6496" s="1" t="s">
        <v>2218</v>
      </c>
      <c r="C6496" s="1" t="s">
        <v>146</v>
      </c>
      <c r="D6496" s="3">
        <f t="shared" si="945"/>
        <v>8015</v>
      </c>
      <c r="E6496" s="2">
        <f t="shared" si="946"/>
        <v>42767</v>
      </c>
      <c r="F6496" s="2">
        <f t="shared" si="947"/>
        <v>43738</v>
      </c>
    </row>
    <row r="6497" spans="1:6" x14ac:dyDescent="0.25">
      <c r="A6497" s="1" t="s">
        <v>313</v>
      </c>
      <c r="B6497" s="1" t="s">
        <v>2218</v>
      </c>
      <c r="C6497" s="1" t="s">
        <v>67</v>
      </c>
      <c r="D6497" s="3">
        <f t="shared" si="945"/>
        <v>8015</v>
      </c>
      <c r="E6497" s="2">
        <f t="shared" si="946"/>
        <v>42767</v>
      </c>
      <c r="F6497" s="2">
        <f t="shared" si="947"/>
        <v>43738</v>
      </c>
    </row>
    <row r="6498" spans="1:6" x14ac:dyDescent="0.25">
      <c r="A6498" s="1" t="s">
        <v>313</v>
      </c>
      <c r="B6498" s="1" t="s">
        <v>2218</v>
      </c>
      <c r="C6498" s="1" t="s">
        <v>148</v>
      </c>
      <c r="D6498" s="3">
        <f t="shared" si="945"/>
        <v>8015</v>
      </c>
      <c r="E6498" s="2">
        <f t="shared" si="946"/>
        <v>42767</v>
      </c>
      <c r="F6498" s="2">
        <f t="shared" si="947"/>
        <v>43738</v>
      </c>
    </row>
    <row r="6499" spans="1:6" x14ac:dyDescent="0.25">
      <c r="A6499" s="1" t="s">
        <v>313</v>
      </c>
      <c r="B6499" s="1" t="s">
        <v>2218</v>
      </c>
      <c r="C6499" s="1" t="s">
        <v>149</v>
      </c>
      <c r="D6499" s="3">
        <f t="shared" si="945"/>
        <v>8015</v>
      </c>
      <c r="E6499" s="2">
        <f t="shared" si="946"/>
        <v>42767</v>
      </c>
      <c r="F6499" s="2">
        <f t="shared" si="947"/>
        <v>43738</v>
      </c>
    </row>
    <row r="6500" spans="1:6" x14ac:dyDescent="0.25">
      <c r="A6500" s="1" t="s">
        <v>313</v>
      </c>
      <c r="B6500" s="1" t="s">
        <v>2218</v>
      </c>
      <c r="C6500" s="1" t="s">
        <v>150</v>
      </c>
      <c r="D6500" s="3">
        <f t="shared" si="945"/>
        <v>8015</v>
      </c>
      <c r="E6500" s="2">
        <f t="shared" si="946"/>
        <v>42767</v>
      </c>
      <c r="F6500" s="2">
        <f t="shared" si="947"/>
        <v>43738</v>
      </c>
    </row>
    <row r="6501" spans="1:6" x14ac:dyDescent="0.25">
      <c r="A6501" s="1" t="s">
        <v>313</v>
      </c>
      <c r="B6501" s="1" t="s">
        <v>2218</v>
      </c>
      <c r="C6501" s="1" t="s">
        <v>151</v>
      </c>
      <c r="D6501" s="3">
        <f t="shared" si="945"/>
        <v>8015</v>
      </c>
      <c r="E6501" s="2">
        <f t="shared" si="946"/>
        <v>42767</v>
      </c>
      <c r="F6501" s="2">
        <f t="shared" si="947"/>
        <v>43738</v>
      </c>
    </row>
    <row r="6502" spans="1:6" x14ac:dyDescent="0.25">
      <c r="A6502" s="1" t="s">
        <v>313</v>
      </c>
      <c r="B6502" s="1" t="s">
        <v>2218</v>
      </c>
      <c r="C6502" s="1" t="s">
        <v>94</v>
      </c>
      <c r="D6502" s="3">
        <f t="shared" si="945"/>
        <v>8015</v>
      </c>
      <c r="E6502" s="2">
        <f t="shared" si="946"/>
        <v>42767</v>
      </c>
      <c r="F6502" s="2">
        <f t="shared" si="947"/>
        <v>43738</v>
      </c>
    </row>
    <row r="6503" spans="1:6" x14ac:dyDescent="0.25">
      <c r="A6503" s="1" t="s">
        <v>313</v>
      </c>
      <c r="B6503" s="1" t="s">
        <v>2218</v>
      </c>
      <c r="C6503" s="1" t="s">
        <v>24</v>
      </c>
      <c r="D6503" s="3">
        <f t="shared" si="945"/>
        <v>8015</v>
      </c>
      <c r="E6503" s="2">
        <f t="shared" si="946"/>
        <v>42767</v>
      </c>
      <c r="F6503" s="2">
        <f t="shared" si="947"/>
        <v>43738</v>
      </c>
    </row>
    <row r="6504" spans="1:6" x14ac:dyDescent="0.25">
      <c r="A6504" s="1" t="s">
        <v>313</v>
      </c>
      <c r="B6504" s="1" t="s">
        <v>2218</v>
      </c>
      <c r="C6504" s="1" t="s">
        <v>50</v>
      </c>
      <c r="D6504" s="3">
        <f t="shared" si="945"/>
        <v>8015</v>
      </c>
      <c r="E6504" s="2">
        <f t="shared" si="946"/>
        <v>42767</v>
      </c>
      <c r="F6504" s="2">
        <f t="shared" si="947"/>
        <v>43738</v>
      </c>
    </row>
    <row r="6505" spans="1:6" x14ac:dyDescent="0.25">
      <c r="A6505" s="1" t="s">
        <v>313</v>
      </c>
      <c r="B6505" s="1" t="s">
        <v>2218</v>
      </c>
      <c r="C6505" s="1" t="s">
        <v>160</v>
      </c>
      <c r="D6505" s="3">
        <f t="shared" si="945"/>
        <v>8015</v>
      </c>
      <c r="E6505" s="2">
        <f t="shared" si="946"/>
        <v>42767</v>
      </c>
      <c r="F6505" s="2">
        <f t="shared" si="947"/>
        <v>43738</v>
      </c>
    </row>
    <row r="6506" spans="1:6" x14ac:dyDescent="0.25">
      <c r="A6506" s="1" t="s">
        <v>313</v>
      </c>
      <c r="B6506" s="1" t="s">
        <v>2218</v>
      </c>
      <c r="C6506" s="1" t="s">
        <v>393</v>
      </c>
      <c r="D6506" s="3">
        <f t="shared" si="945"/>
        <v>8015</v>
      </c>
      <c r="E6506" s="2">
        <f t="shared" si="946"/>
        <v>42767</v>
      </c>
      <c r="F6506" s="2">
        <f t="shared" si="947"/>
        <v>43738</v>
      </c>
    </row>
    <row r="6507" spans="1:6" x14ac:dyDescent="0.25">
      <c r="A6507" s="1" t="s">
        <v>313</v>
      </c>
      <c r="B6507" s="1" t="s">
        <v>2218</v>
      </c>
      <c r="C6507" s="1" t="s">
        <v>394</v>
      </c>
      <c r="D6507" s="3">
        <f t="shared" si="945"/>
        <v>8015</v>
      </c>
      <c r="E6507" s="2">
        <f t="shared" si="946"/>
        <v>42767</v>
      </c>
      <c r="F6507" s="2">
        <f t="shared" si="947"/>
        <v>43738</v>
      </c>
    </row>
    <row r="6508" spans="1:6" x14ac:dyDescent="0.25">
      <c r="A6508" s="1" t="s">
        <v>313</v>
      </c>
      <c r="B6508" s="1" t="s">
        <v>2218</v>
      </c>
      <c r="C6508" s="1" t="s">
        <v>396</v>
      </c>
      <c r="D6508" s="3">
        <f t="shared" si="945"/>
        <v>8015</v>
      </c>
      <c r="E6508" s="2">
        <f t="shared" si="946"/>
        <v>42767</v>
      </c>
      <c r="F6508" s="2">
        <f t="shared" si="947"/>
        <v>43738</v>
      </c>
    </row>
    <row r="6509" spans="1:6" x14ac:dyDescent="0.25">
      <c r="A6509" s="1" t="s">
        <v>313</v>
      </c>
      <c r="B6509" s="1" t="s">
        <v>2218</v>
      </c>
      <c r="C6509" s="1" t="s">
        <v>34</v>
      </c>
      <c r="D6509" s="3">
        <f t="shared" si="945"/>
        <v>8015</v>
      </c>
      <c r="E6509" s="2">
        <f t="shared" si="946"/>
        <v>42767</v>
      </c>
      <c r="F6509" s="2">
        <f t="shared" si="947"/>
        <v>43738</v>
      </c>
    </row>
    <row r="6510" spans="1:6" x14ac:dyDescent="0.25">
      <c r="A6510" s="1" t="s">
        <v>313</v>
      </c>
      <c r="B6510" s="1" t="s">
        <v>2218</v>
      </c>
      <c r="C6510" s="1" t="s">
        <v>55</v>
      </c>
      <c r="D6510" s="3">
        <f t="shared" si="945"/>
        <v>8015</v>
      </c>
      <c r="E6510" s="2">
        <f t="shared" si="946"/>
        <v>42767</v>
      </c>
      <c r="F6510" s="2">
        <f t="shared" si="947"/>
        <v>43738</v>
      </c>
    </row>
    <row r="6511" spans="1:6" x14ac:dyDescent="0.25">
      <c r="A6511" s="1" t="s">
        <v>313</v>
      </c>
      <c r="B6511" s="1" t="s">
        <v>2218</v>
      </c>
      <c r="C6511" s="1" t="s">
        <v>519</v>
      </c>
      <c r="D6511" s="3">
        <f t="shared" si="945"/>
        <v>8015</v>
      </c>
      <c r="E6511" s="2">
        <f t="shared" si="946"/>
        <v>42767</v>
      </c>
      <c r="F6511" s="2">
        <f t="shared" si="947"/>
        <v>43738</v>
      </c>
    </row>
    <row r="6512" spans="1:6" x14ac:dyDescent="0.25">
      <c r="A6512" s="1" t="s">
        <v>313</v>
      </c>
      <c r="B6512" s="1" t="s">
        <v>2218</v>
      </c>
      <c r="C6512" s="1" t="s">
        <v>56</v>
      </c>
      <c r="D6512" s="3">
        <f t="shared" si="945"/>
        <v>8015</v>
      </c>
      <c r="E6512" s="2">
        <f t="shared" si="946"/>
        <v>42767</v>
      </c>
      <c r="F6512" s="2">
        <f t="shared" si="947"/>
        <v>43738</v>
      </c>
    </row>
    <row r="6513" spans="1:6" x14ac:dyDescent="0.25">
      <c r="A6513" s="1" t="s">
        <v>313</v>
      </c>
      <c r="B6513" s="1" t="s">
        <v>2218</v>
      </c>
      <c r="C6513" s="1" t="s">
        <v>57</v>
      </c>
      <c r="D6513" s="3">
        <f t="shared" si="945"/>
        <v>8015</v>
      </c>
      <c r="E6513" s="2">
        <f t="shared" ref="E6513:E6532" si="948">DATEVALUE("1-2-2017")</f>
        <v>42767</v>
      </c>
      <c r="F6513" s="2">
        <f t="shared" si="947"/>
        <v>43738</v>
      </c>
    </row>
    <row r="6514" spans="1:6" x14ac:dyDescent="0.25">
      <c r="A6514" s="1" t="s">
        <v>313</v>
      </c>
      <c r="B6514" s="1" t="s">
        <v>2218</v>
      </c>
      <c r="C6514" s="1" t="s">
        <v>36</v>
      </c>
      <c r="D6514" s="3">
        <f t="shared" si="945"/>
        <v>8015</v>
      </c>
      <c r="E6514" s="2">
        <f t="shared" si="948"/>
        <v>42767</v>
      </c>
      <c r="F6514" s="2">
        <f t="shared" si="947"/>
        <v>43738</v>
      </c>
    </row>
    <row r="6515" spans="1:6" x14ac:dyDescent="0.25">
      <c r="A6515" s="1" t="s">
        <v>313</v>
      </c>
      <c r="B6515" s="1" t="s">
        <v>2218</v>
      </c>
      <c r="C6515" s="1" t="s">
        <v>169</v>
      </c>
      <c r="D6515" s="3">
        <f t="shared" si="945"/>
        <v>8015</v>
      </c>
      <c r="E6515" s="2">
        <f t="shared" si="948"/>
        <v>42767</v>
      </c>
      <c r="F6515" s="2">
        <f t="shared" si="947"/>
        <v>43738</v>
      </c>
    </row>
    <row r="6516" spans="1:6" x14ac:dyDescent="0.25">
      <c r="A6516" s="1" t="s">
        <v>313</v>
      </c>
      <c r="B6516" s="1" t="s">
        <v>2218</v>
      </c>
      <c r="C6516" s="1" t="s">
        <v>170</v>
      </c>
      <c r="D6516" s="3">
        <f t="shared" si="945"/>
        <v>8015</v>
      </c>
      <c r="E6516" s="2">
        <f t="shared" si="948"/>
        <v>42767</v>
      </c>
      <c r="F6516" s="2">
        <f t="shared" si="947"/>
        <v>43738</v>
      </c>
    </row>
    <row r="6517" spans="1:6" x14ac:dyDescent="0.25">
      <c r="A6517" s="1" t="s">
        <v>313</v>
      </c>
      <c r="B6517" s="1" t="s">
        <v>800</v>
      </c>
      <c r="C6517" s="1" t="s">
        <v>8</v>
      </c>
      <c r="D6517" s="3">
        <f t="shared" ref="D6517:D6532" si="949">VALUE("8026")</f>
        <v>8026</v>
      </c>
      <c r="E6517" s="2">
        <f t="shared" si="948"/>
        <v>42767</v>
      </c>
      <c r="F6517" s="2">
        <f t="shared" ref="F6517:F6532" si="950">DATEVALUE("31-12-2020")</f>
        <v>44196</v>
      </c>
    </row>
    <row r="6518" spans="1:6" x14ac:dyDescent="0.25">
      <c r="A6518" s="1" t="s">
        <v>313</v>
      </c>
      <c r="B6518" s="1" t="s">
        <v>800</v>
      </c>
      <c r="C6518" s="1" t="s">
        <v>61</v>
      </c>
      <c r="D6518" s="3">
        <f t="shared" si="949"/>
        <v>8026</v>
      </c>
      <c r="E6518" s="2">
        <f t="shared" si="948"/>
        <v>42767</v>
      </c>
      <c r="F6518" s="2">
        <f t="shared" si="950"/>
        <v>44196</v>
      </c>
    </row>
    <row r="6519" spans="1:6" x14ac:dyDescent="0.25">
      <c r="A6519" s="1" t="s">
        <v>313</v>
      </c>
      <c r="B6519" s="1" t="s">
        <v>800</v>
      </c>
      <c r="C6519" s="1" t="s">
        <v>141</v>
      </c>
      <c r="D6519" s="3">
        <f t="shared" si="949"/>
        <v>8026</v>
      </c>
      <c r="E6519" s="2">
        <f t="shared" si="948"/>
        <v>42767</v>
      </c>
      <c r="F6519" s="2">
        <f t="shared" si="950"/>
        <v>44196</v>
      </c>
    </row>
    <row r="6520" spans="1:6" x14ac:dyDescent="0.25">
      <c r="A6520" s="1" t="s">
        <v>313</v>
      </c>
      <c r="B6520" s="1" t="s">
        <v>800</v>
      </c>
      <c r="C6520" s="1" t="s">
        <v>142</v>
      </c>
      <c r="D6520" s="3">
        <f t="shared" si="949"/>
        <v>8026</v>
      </c>
      <c r="E6520" s="2">
        <f t="shared" si="948"/>
        <v>42767</v>
      </c>
      <c r="F6520" s="2">
        <f t="shared" si="950"/>
        <v>44196</v>
      </c>
    </row>
    <row r="6521" spans="1:6" x14ac:dyDescent="0.25">
      <c r="A6521" s="1" t="s">
        <v>313</v>
      </c>
      <c r="B6521" s="1" t="s">
        <v>800</v>
      </c>
      <c r="C6521" s="1" t="s">
        <v>14</v>
      </c>
      <c r="D6521" s="3">
        <f t="shared" si="949"/>
        <v>8026</v>
      </c>
      <c r="E6521" s="2">
        <f t="shared" si="948"/>
        <v>42767</v>
      </c>
      <c r="F6521" s="2">
        <f t="shared" si="950"/>
        <v>44196</v>
      </c>
    </row>
    <row r="6522" spans="1:6" x14ac:dyDescent="0.25">
      <c r="A6522" s="1" t="s">
        <v>313</v>
      </c>
      <c r="B6522" s="1" t="s">
        <v>800</v>
      </c>
      <c r="C6522" s="1" t="s">
        <v>15</v>
      </c>
      <c r="D6522" s="3">
        <f t="shared" si="949"/>
        <v>8026</v>
      </c>
      <c r="E6522" s="2">
        <f t="shared" si="948"/>
        <v>42767</v>
      </c>
      <c r="F6522" s="2">
        <f t="shared" si="950"/>
        <v>44196</v>
      </c>
    </row>
    <row r="6523" spans="1:6" x14ac:dyDescent="0.25">
      <c r="A6523" s="1" t="s">
        <v>313</v>
      </c>
      <c r="B6523" s="1" t="s">
        <v>800</v>
      </c>
      <c r="C6523" s="1" t="s">
        <v>17</v>
      </c>
      <c r="D6523" s="3">
        <f t="shared" si="949"/>
        <v>8026</v>
      </c>
      <c r="E6523" s="2">
        <f t="shared" si="948"/>
        <v>42767</v>
      </c>
      <c r="F6523" s="2">
        <f t="shared" si="950"/>
        <v>44196</v>
      </c>
    </row>
    <row r="6524" spans="1:6" x14ac:dyDescent="0.25">
      <c r="A6524" s="1" t="s">
        <v>313</v>
      </c>
      <c r="B6524" s="1" t="s">
        <v>800</v>
      </c>
      <c r="C6524" s="1" t="s">
        <v>22</v>
      </c>
      <c r="D6524" s="3">
        <f t="shared" si="949"/>
        <v>8026</v>
      </c>
      <c r="E6524" s="2">
        <f t="shared" si="948"/>
        <v>42767</v>
      </c>
      <c r="F6524" s="2">
        <f t="shared" si="950"/>
        <v>44196</v>
      </c>
    </row>
    <row r="6525" spans="1:6" x14ac:dyDescent="0.25">
      <c r="A6525" s="1" t="s">
        <v>313</v>
      </c>
      <c r="B6525" s="1" t="s">
        <v>800</v>
      </c>
      <c r="C6525" s="1" t="s">
        <v>146</v>
      </c>
      <c r="D6525" s="3">
        <f t="shared" si="949"/>
        <v>8026</v>
      </c>
      <c r="E6525" s="2">
        <f t="shared" si="948"/>
        <v>42767</v>
      </c>
      <c r="F6525" s="2">
        <f t="shared" si="950"/>
        <v>44196</v>
      </c>
    </row>
    <row r="6526" spans="1:6" x14ac:dyDescent="0.25">
      <c r="A6526" s="1" t="s">
        <v>313</v>
      </c>
      <c r="B6526" s="1" t="s">
        <v>800</v>
      </c>
      <c r="C6526" s="1" t="s">
        <v>67</v>
      </c>
      <c r="D6526" s="3">
        <f t="shared" si="949"/>
        <v>8026</v>
      </c>
      <c r="E6526" s="2">
        <f t="shared" si="948"/>
        <v>42767</v>
      </c>
      <c r="F6526" s="2">
        <f t="shared" si="950"/>
        <v>44196</v>
      </c>
    </row>
    <row r="6527" spans="1:6" x14ac:dyDescent="0.25">
      <c r="A6527" s="1" t="s">
        <v>313</v>
      </c>
      <c r="B6527" s="1" t="s">
        <v>800</v>
      </c>
      <c r="C6527" s="1" t="s">
        <v>148</v>
      </c>
      <c r="D6527" s="3">
        <f t="shared" si="949"/>
        <v>8026</v>
      </c>
      <c r="E6527" s="2">
        <f t="shared" si="948"/>
        <v>42767</v>
      </c>
      <c r="F6527" s="2">
        <f t="shared" si="950"/>
        <v>44196</v>
      </c>
    </row>
    <row r="6528" spans="1:6" x14ac:dyDescent="0.25">
      <c r="A6528" s="1" t="s">
        <v>313</v>
      </c>
      <c r="B6528" s="1" t="s">
        <v>800</v>
      </c>
      <c r="C6528" s="1" t="s">
        <v>149</v>
      </c>
      <c r="D6528" s="3">
        <f t="shared" si="949"/>
        <v>8026</v>
      </c>
      <c r="E6528" s="2">
        <f t="shared" si="948"/>
        <v>42767</v>
      </c>
      <c r="F6528" s="2">
        <f t="shared" si="950"/>
        <v>44196</v>
      </c>
    </row>
    <row r="6529" spans="1:6" x14ac:dyDescent="0.25">
      <c r="A6529" s="1" t="s">
        <v>313</v>
      </c>
      <c r="B6529" s="1" t="s">
        <v>800</v>
      </c>
      <c r="C6529" s="1" t="s">
        <v>150</v>
      </c>
      <c r="D6529" s="3">
        <f t="shared" si="949"/>
        <v>8026</v>
      </c>
      <c r="E6529" s="2">
        <f t="shared" si="948"/>
        <v>42767</v>
      </c>
      <c r="F6529" s="2">
        <f t="shared" si="950"/>
        <v>44196</v>
      </c>
    </row>
    <row r="6530" spans="1:6" x14ac:dyDescent="0.25">
      <c r="A6530" s="1" t="s">
        <v>313</v>
      </c>
      <c r="B6530" s="1" t="s">
        <v>800</v>
      </c>
      <c r="C6530" s="1" t="s">
        <v>172</v>
      </c>
      <c r="D6530" s="3">
        <f t="shared" si="949"/>
        <v>8026</v>
      </c>
      <c r="E6530" s="2">
        <f t="shared" si="948"/>
        <v>42767</v>
      </c>
      <c r="F6530" s="2">
        <f t="shared" si="950"/>
        <v>44196</v>
      </c>
    </row>
    <row r="6531" spans="1:6" x14ac:dyDescent="0.25">
      <c r="A6531" s="1" t="s">
        <v>313</v>
      </c>
      <c r="B6531" s="1" t="s">
        <v>800</v>
      </c>
      <c r="C6531" s="1" t="s">
        <v>295</v>
      </c>
      <c r="D6531" s="3">
        <f t="shared" si="949"/>
        <v>8026</v>
      </c>
      <c r="E6531" s="2">
        <f t="shared" si="948"/>
        <v>42767</v>
      </c>
      <c r="F6531" s="2">
        <f t="shared" si="950"/>
        <v>44196</v>
      </c>
    </row>
    <row r="6532" spans="1:6" x14ac:dyDescent="0.25">
      <c r="A6532" s="1" t="s">
        <v>313</v>
      </c>
      <c r="B6532" s="1" t="s">
        <v>800</v>
      </c>
      <c r="C6532" s="1" t="s">
        <v>160</v>
      </c>
      <c r="D6532" s="3">
        <f t="shared" si="949"/>
        <v>8026</v>
      </c>
      <c r="E6532" s="2">
        <f t="shared" si="948"/>
        <v>42767</v>
      </c>
      <c r="F6532" s="2">
        <f t="shared" si="950"/>
        <v>44196</v>
      </c>
    </row>
    <row r="6533" spans="1:6" x14ac:dyDescent="0.25">
      <c r="A6533" s="1" t="s">
        <v>313</v>
      </c>
      <c r="B6533" s="1" t="s">
        <v>2264</v>
      </c>
      <c r="C6533" s="1" t="s">
        <v>361</v>
      </c>
      <c r="D6533" s="3">
        <f t="shared" ref="D6533:D6553" si="951">VALUE("8014")</f>
        <v>8014</v>
      </c>
      <c r="E6533" s="2">
        <f t="shared" ref="E6533:E6553" si="952">DATEVALUE("1-1-2017")</f>
        <v>42736</v>
      </c>
      <c r="F6533" s="2">
        <f t="shared" ref="F6533:F6553" si="953">DATEVALUE("30-9-2019")</f>
        <v>43738</v>
      </c>
    </row>
    <row r="6534" spans="1:6" x14ac:dyDescent="0.25">
      <c r="A6534" s="1" t="s">
        <v>313</v>
      </c>
      <c r="B6534" s="1" t="s">
        <v>2264</v>
      </c>
      <c r="C6534" s="1" t="s">
        <v>39</v>
      </c>
      <c r="D6534" s="3">
        <f t="shared" si="951"/>
        <v>8014</v>
      </c>
      <c r="E6534" s="2">
        <f t="shared" si="952"/>
        <v>42736</v>
      </c>
      <c r="F6534" s="2">
        <f t="shared" si="953"/>
        <v>43738</v>
      </c>
    </row>
    <row r="6535" spans="1:6" x14ac:dyDescent="0.25">
      <c r="A6535" s="1" t="s">
        <v>313</v>
      </c>
      <c r="B6535" s="1" t="s">
        <v>2264</v>
      </c>
      <c r="C6535" s="1" t="s">
        <v>137</v>
      </c>
      <c r="D6535" s="3">
        <f t="shared" si="951"/>
        <v>8014</v>
      </c>
      <c r="E6535" s="2">
        <f t="shared" si="952"/>
        <v>42736</v>
      </c>
      <c r="F6535" s="2">
        <f t="shared" si="953"/>
        <v>43738</v>
      </c>
    </row>
    <row r="6536" spans="1:6" x14ac:dyDescent="0.25">
      <c r="A6536" s="1" t="s">
        <v>313</v>
      </c>
      <c r="B6536" s="1" t="s">
        <v>2264</v>
      </c>
      <c r="C6536" s="1" t="s">
        <v>83</v>
      </c>
      <c r="D6536" s="3">
        <f t="shared" si="951"/>
        <v>8014</v>
      </c>
      <c r="E6536" s="2">
        <f t="shared" si="952"/>
        <v>42736</v>
      </c>
      <c r="F6536" s="2">
        <f t="shared" si="953"/>
        <v>43738</v>
      </c>
    </row>
    <row r="6537" spans="1:6" x14ac:dyDescent="0.25">
      <c r="A6537" s="1" t="s">
        <v>313</v>
      </c>
      <c r="B6537" s="1" t="s">
        <v>2264</v>
      </c>
      <c r="C6537" s="1" t="s">
        <v>411</v>
      </c>
      <c r="D6537" s="3">
        <f t="shared" si="951"/>
        <v>8014</v>
      </c>
      <c r="E6537" s="2">
        <f t="shared" si="952"/>
        <v>42736</v>
      </c>
      <c r="F6537" s="2">
        <f t="shared" si="953"/>
        <v>43738</v>
      </c>
    </row>
    <row r="6538" spans="1:6" x14ac:dyDescent="0.25">
      <c r="A6538" s="1" t="s">
        <v>313</v>
      </c>
      <c r="B6538" s="1" t="s">
        <v>2264</v>
      </c>
      <c r="C6538" s="1" t="s">
        <v>43</v>
      </c>
      <c r="D6538" s="3">
        <f t="shared" si="951"/>
        <v>8014</v>
      </c>
      <c r="E6538" s="2">
        <f t="shared" si="952"/>
        <v>42736</v>
      </c>
      <c r="F6538" s="2">
        <f t="shared" si="953"/>
        <v>43738</v>
      </c>
    </row>
    <row r="6539" spans="1:6" x14ac:dyDescent="0.25">
      <c r="A6539" s="1" t="s">
        <v>313</v>
      </c>
      <c r="B6539" s="1" t="s">
        <v>2264</v>
      </c>
      <c r="C6539" s="1" t="s">
        <v>412</v>
      </c>
      <c r="D6539" s="3">
        <f t="shared" si="951"/>
        <v>8014</v>
      </c>
      <c r="E6539" s="2">
        <f t="shared" si="952"/>
        <v>42736</v>
      </c>
      <c r="F6539" s="2">
        <f t="shared" si="953"/>
        <v>43738</v>
      </c>
    </row>
    <row r="6540" spans="1:6" x14ac:dyDescent="0.25">
      <c r="A6540" s="1" t="s">
        <v>313</v>
      </c>
      <c r="B6540" s="1" t="s">
        <v>2264</v>
      </c>
      <c r="C6540" s="1" t="s">
        <v>346</v>
      </c>
      <c r="D6540" s="3">
        <f t="shared" si="951"/>
        <v>8014</v>
      </c>
      <c r="E6540" s="2">
        <f t="shared" si="952"/>
        <v>42736</v>
      </c>
      <c r="F6540" s="2">
        <f t="shared" si="953"/>
        <v>43738</v>
      </c>
    </row>
    <row r="6541" spans="1:6" x14ac:dyDescent="0.25">
      <c r="A6541" s="1" t="s">
        <v>313</v>
      </c>
      <c r="B6541" s="1" t="s">
        <v>2264</v>
      </c>
      <c r="C6541" s="1" t="s">
        <v>45</v>
      </c>
      <c r="D6541" s="3">
        <f t="shared" si="951"/>
        <v>8014</v>
      </c>
      <c r="E6541" s="2">
        <f t="shared" si="952"/>
        <v>42736</v>
      </c>
      <c r="F6541" s="2">
        <f t="shared" si="953"/>
        <v>43738</v>
      </c>
    </row>
    <row r="6542" spans="1:6" x14ac:dyDescent="0.25">
      <c r="A6542" s="1" t="s">
        <v>313</v>
      </c>
      <c r="B6542" s="1" t="s">
        <v>2264</v>
      </c>
      <c r="C6542" s="1" t="s">
        <v>44</v>
      </c>
      <c r="D6542" s="3">
        <f t="shared" si="951"/>
        <v>8014</v>
      </c>
      <c r="E6542" s="2">
        <f t="shared" si="952"/>
        <v>42736</v>
      </c>
      <c r="F6542" s="2">
        <f t="shared" si="953"/>
        <v>43738</v>
      </c>
    </row>
    <row r="6543" spans="1:6" x14ac:dyDescent="0.25">
      <c r="A6543" s="1" t="s">
        <v>313</v>
      </c>
      <c r="B6543" s="1" t="s">
        <v>2264</v>
      </c>
      <c r="C6543" s="1" t="s">
        <v>46</v>
      </c>
      <c r="D6543" s="3">
        <f t="shared" si="951"/>
        <v>8014</v>
      </c>
      <c r="E6543" s="2">
        <f t="shared" si="952"/>
        <v>42736</v>
      </c>
      <c r="F6543" s="2">
        <f t="shared" si="953"/>
        <v>43738</v>
      </c>
    </row>
    <row r="6544" spans="1:6" x14ac:dyDescent="0.25">
      <c r="A6544" s="1" t="s">
        <v>313</v>
      </c>
      <c r="B6544" s="1" t="s">
        <v>2264</v>
      </c>
      <c r="C6544" s="1" t="s">
        <v>15</v>
      </c>
      <c r="D6544" s="3">
        <f t="shared" si="951"/>
        <v>8014</v>
      </c>
      <c r="E6544" s="2">
        <f t="shared" si="952"/>
        <v>42736</v>
      </c>
      <c r="F6544" s="2">
        <f t="shared" si="953"/>
        <v>43738</v>
      </c>
    </row>
    <row r="6545" spans="1:6" x14ac:dyDescent="0.25">
      <c r="A6545" s="1" t="s">
        <v>313</v>
      </c>
      <c r="B6545" s="1" t="s">
        <v>2264</v>
      </c>
      <c r="C6545" s="1" t="s">
        <v>17</v>
      </c>
      <c r="D6545" s="3">
        <f t="shared" si="951"/>
        <v>8014</v>
      </c>
      <c r="E6545" s="2">
        <f t="shared" si="952"/>
        <v>42736</v>
      </c>
      <c r="F6545" s="2">
        <f t="shared" si="953"/>
        <v>43738</v>
      </c>
    </row>
    <row r="6546" spans="1:6" x14ac:dyDescent="0.25">
      <c r="A6546" s="1" t="s">
        <v>313</v>
      </c>
      <c r="B6546" s="1" t="s">
        <v>2264</v>
      </c>
      <c r="C6546" s="1" t="s">
        <v>22</v>
      </c>
      <c r="D6546" s="3">
        <f t="shared" si="951"/>
        <v>8014</v>
      </c>
      <c r="E6546" s="2">
        <f t="shared" si="952"/>
        <v>42736</v>
      </c>
      <c r="F6546" s="2">
        <f t="shared" si="953"/>
        <v>43738</v>
      </c>
    </row>
    <row r="6547" spans="1:6" x14ac:dyDescent="0.25">
      <c r="A6547" s="1" t="s">
        <v>313</v>
      </c>
      <c r="B6547" s="1" t="s">
        <v>2264</v>
      </c>
      <c r="C6547" s="1" t="s">
        <v>146</v>
      </c>
      <c r="D6547" s="3">
        <f t="shared" si="951"/>
        <v>8014</v>
      </c>
      <c r="E6547" s="2">
        <f t="shared" si="952"/>
        <v>42736</v>
      </c>
      <c r="F6547" s="2">
        <f t="shared" si="953"/>
        <v>43738</v>
      </c>
    </row>
    <row r="6548" spans="1:6" x14ac:dyDescent="0.25">
      <c r="A6548" s="1" t="s">
        <v>313</v>
      </c>
      <c r="B6548" s="1" t="s">
        <v>2264</v>
      </c>
      <c r="C6548" s="1" t="s">
        <v>67</v>
      </c>
      <c r="D6548" s="3">
        <f t="shared" si="951"/>
        <v>8014</v>
      </c>
      <c r="E6548" s="2">
        <f t="shared" si="952"/>
        <v>42736</v>
      </c>
      <c r="F6548" s="2">
        <f t="shared" si="953"/>
        <v>43738</v>
      </c>
    </row>
    <row r="6549" spans="1:6" x14ac:dyDescent="0.25">
      <c r="A6549" s="1" t="s">
        <v>313</v>
      </c>
      <c r="B6549" s="1" t="s">
        <v>2264</v>
      </c>
      <c r="C6549" s="1" t="s">
        <v>148</v>
      </c>
      <c r="D6549" s="3">
        <f t="shared" si="951"/>
        <v>8014</v>
      </c>
      <c r="E6549" s="2">
        <f t="shared" si="952"/>
        <v>42736</v>
      </c>
      <c r="F6549" s="2">
        <f t="shared" si="953"/>
        <v>43738</v>
      </c>
    </row>
    <row r="6550" spans="1:6" x14ac:dyDescent="0.25">
      <c r="A6550" s="1" t="s">
        <v>313</v>
      </c>
      <c r="B6550" s="1" t="s">
        <v>2264</v>
      </c>
      <c r="C6550" s="1" t="s">
        <v>149</v>
      </c>
      <c r="D6550" s="3">
        <f t="shared" si="951"/>
        <v>8014</v>
      </c>
      <c r="E6550" s="2">
        <f t="shared" si="952"/>
        <v>42736</v>
      </c>
      <c r="F6550" s="2">
        <f t="shared" si="953"/>
        <v>43738</v>
      </c>
    </row>
    <row r="6551" spans="1:6" x14ac:dyDescent="0.25">
      <c r="A6551" s="1" t="s">
        <v>313</v>
      </c>
      <c r="B6551" s="1" t="s">
        <v>2264</v>
      </c>
      <c r="C6551" s="1" t="s">
        <v>216</v>
      </c>
      <c r="D6551" s="3">
        <f t="shared" si="951"/>
        <v>8014</v>
      </c>
      <c r="E6551" s="2">
        <f t="shared" si="952"/>
        <v>42736</v>
      </c>
      <c r="F6551" s="2">
        <f t="shared" si="953"/>
        <v>43738</v>
      </c>
    </row>
    <row r="6552" spans="1:6" x14ac:dyDescent="0.25">
      <c r="A6552" s="1" t="s">
        <v>313</v>
      </c>
      <c r="B6552" s="1" t="s">
        <v>2264</v>
      </c>
      <c r="C6552" s="1" t="s">
        <v>164</v>
      </c>
      <c r="D6552" s="3">
        <f t="shared" si="951"/>
        <v>8014</v>
      </c>
      <c r="E6552" s="2">
        <f t="shared" si="952"/>
        <v>42736</v>
      </c>
      <c r="F6552" s="2">
        <f t="shared" si="953"/>
        <v>43738</v>
      </c>
    </row>
    <row r="6553" spans="1:6" x14ac:dyDescent="0.25">
      <c r="A6553" s="1" t="s">
        <v>313</v>
      </c>
      <c r="B6553" s="1" t="s">
        <v>2264</v>
      </c>
      <c r="C6553" s="1" t="s">
        <v>519</v>
      </c>
      <c r="D6553" s="3">
        <f t="shared" si="951"/>
        <v>8014</v>
      </c>
      <c r="E6553" s="2">
        <f t="shared" si="952"/>
        <v>42736</v>
      </c>
      <c r="F6553" s="2">
        <f t="shared" si="953"/>
        <v>43738</v>
      </c>
    </row>
    <row r="6554" spans="1:6" x14ac:dyDescent="0.25">
      <c r="A6554" s="1" t="s">
        <v>313</v>
      </c>
      <c r="B6554" s="1" t="s">
        <v>2006</v>
      </c>
      <c r="C6554" s="1" t="s">
        <v>8</v>
      </c>
      <c r="D6554" s="3">
        <f t="shared" ref="D6554:D6564" si="954">VALUE("7892")</f>
        <v>7892</v>
      </c>
      <c r="E6554" s="2">
        <f t="shared" ref="E6554:E6564" si="955">DATEVALUE("1-8-2016")</f>
        <v>42583</v>
      </c>
      <c r="F6554" s="2">
        <f t="shared" ref="F6554:F6564" si="956">DATEVALUE("28-2-2018")</f>
        <v>43159</v>
      </c>
    </row>
    <row r="6555" spans="1:6" x14ac:dyDescent="0.25">
      <c r="A6555" s="1" t="s">
        <v>313</v>
      </c>
      <c r="B6555" s="1" t="s">
        <v>2006</v>
      </c>
      <c r="C6555" s="1" t="s">
        <v>256</v>
      </c>
      <c r="D6555" s="3">
        <f t="shared" si="954"/>
        <v>7892</v>
      </c>
      <c r="E6555" s="2">
        <f t="shared" si="955"/>
        <v>42583</v>
      </c>
      <c r="F6555" s="2">
        <f t="shared" si="956"/>
        <v>43159</v>
      </c>
    </row>
    <row r="6556" spans="1:6" x14ac:dyDescent="0.25">
      <c r="A6556" s="1" t="s">
        <v>313</v>
      </c>
      <c r="B6556" s="1" t="s">
        <v>2006</v>
      </c>
      <c r="C6556" s="1" t="s">
        <v>45</v>
      </c>
      <c r="D6556" s="3">
        <f t="shared" si="954"/>
        <v>7892</v>
      </c>
      <c r="E6556" s="2">
        <f t="shared" si="955"/>
        <v>42583</v>
      </c>
      <c r="F6556" s="2">
        <f t="shared" si="956"/>
        <v>43159</v>
      </c>
    </row>
    <row r="6557" spans="1:6" x14ac:dyDescent="0.25">
      <c r="A6557" s="1" t="s">
        <v>313</v>
      </c>
      <c r="B6557" s="1" t="s">
        <v>2006</v>
      </c>
      <c r="C6557" s="1" t="s">
        <v>15</v>
      </c>
      <c r="D6557" s="3">
        <f t="shared" si="954"/>
        <v>7892</v>
      </c>
      <c r="E6557" s="2">
        <f t="shared" si="955"/>
        <v>42583</v>
      </c>
      <c r="F6557" s="2">
        <f t="shared" si="956"/>
        <v>43159</v>
      </c>
    </row>
    <row r="6558" spans="1:6" x14ac:dyDescent="0.25">
      <c r="A6558" s="1" t="s">
        <v>313</v>
      </c>
      <c r="B6558" s="1" t="s">
        <v>2006</v>
      </c>
      <c r="C6558" s="1" t="s">
        <v>67</v>
      </c>
      <c r="D6558" s="3">
        <f t="shared" si="954"/>
        <v>7892</v>
      </c>
      <c r="E6558" s="2">
        <f t="shared" si="955"/>
        <v>42583</v>
      </c>
      <c r="F6558" s="2">
        <f t="shared" si="956"/>
        <v>43159</v>
      </c>
    </row>
    <row r="6559" spans="1:6" x14ac:dyDescent="0.25">
      <c r="A6559" s="1" t="s">
        <v>313</v>
      </c>
      <c r="B6559" s="1" t="s">
        <v>2006</v>
      </c>
      <c r="C6559" s="1" t="s">
        <v>149</v>
      </c>
      <c r="D6559" s="3">
        <f t="shared" si="954"/>
        <v>7892</v>
      </c>
      <c r="E6559" s="2">
        <f t="shared" si="955"/>
        <v>42583</v>
      </c>
      <c r="F6559" s="2">
        <f t="shared" si="956"/>
        <v>43159</v>
      </c>
    </row>
    <row r="6560" spans="1:6" x14ac:dyDescent="0.25">
      <c r="A6560" s="1" t="s">
        <v>313</v>
      </c>
      <c r="B6560" s="1" t="s">
        <v>2006</v>
      </c>
      <c r="C6560" s="1" t="s">
        <v>27</v>
      </c>
      <c r="D6560" s="3">
        <f t="shared" si="954"/>
        <v>7892</v>
      </c>
      <c r="E6560" s="2">
        <f t="shared" si="955"/>
        <v>42583</v>
      </c>
      <c r="F6560" s="2">
        <f t="shared" si="956"/>
        <v>43159</v>
      </c>
    </row>
    <row r="6561" spans="1:6" x14ac:dyDescent="0.25">
      <c r="A6561" s="1" t="s">
        <v>313</v>
      </c>
      <c r="B6561" s="1" t="s">
        <v>2006</v>
      </c>
      <c r="C6561" s="1" t="s">
        <v>121</v>
      </c>
      <c r="D6561" s="3">
        <f t="shared" si="954"/>
        <v>7892</v>
      </c>
      <c r="E6561" s="2">
        <f t="shared" si="955"/>
        <v>42583</v>
      </c>
      <c r="F6561" s="2">
        <f t="shared" si="956"/>
        <v>43159</v>
      </c>
    </row>
    <row r="6562" spans="1:6" x14ac:dyDescent="0.25">
      <c r="A6562" s="1" t="s">
        <v>313</v>
      </c>
      <c r="B6562" s="1" t="s">
        <v>2006</v>
      </c>
      <c r="C6562" s="1" t="s">
        <v>73</v>
      </c>
      <c r="D6562" s="3">
        <f t="shared" si="954"/>
        <v>7892</v>
      </c>
      <c r="E6562" s="2">
        <f t="shared" si="955"/>
        <v>42583</v>
      </c>
      <c r="F6562" s="2">
        <f t="shared" si="956"/>
        <v>43159</v>
      </c>
    </row>
    <row r="6563" spans="1:6" x14ac:dyDescent="0.25">
      <c r="A6563" s="1" t="s">
        <v>313</v>
      </c>
      <c r="B6563" s="1" t="s">
        <v>2006</v>
      </c>
      <c r="C6563" s="1" t="s">
        <v>52</v>
      </c>
      <c r="D6563" s="3">
        <f t="shared" si="954"/>
        <v>7892</v>
      </c>
      <c r="E6563" s="2">
        <f t="shared" si="955"/>
        <v>42583</v>
      </c>
      <c r="F6563" s="2">
        <f t="shared" si="956"/>
        <v>43159</v>
      </c>
    </row>
    <row r="6564" spans="1:6" x14ac:dyDescent="0.25">
      <c r="A6564" s="1" t="s">
        <v>313</v>
      </c>
      <c r="B6564" s="1" t="s">
        <v>2006</v>
      </c>
      <c r="C6564" s="1" t="s">
        <v>161</v>
      </c>
      <c r="D6564" s="3">
        <f t="shared" si="954"/>
        <v>7892</v>
      </c>
      <c r="E6564" s="2">
        <f t="shared" si="955"/>
        <v>42583</v>
      </c>
      <c r="F6564" s="2">
        <f t="shared" si="956"/>
        <v>43159</v>
      </c>
    </row>
    <row r="6565" spans="1:6" x14ac:dyDescent="0.25">
      <c r="A6565" s="1" t="s">
        <v>313</v>
      </c>
      <c r="B6565" s="1" t="s">
        <v>2232</v>
      </c>
      <c r="C6565" s="1" t="s">
        <v>255</v>
      </c>
      <c r="D6565" s="3">
        <f>VALUE("7890")</f>
        <v>7890</v>
      </c>
      <c r="E6565" s="2">
        <f>DATEVALUE("1-5-2016")</f>
        <v>42491</v>
      </c>
      <c r="F6565" s="2">
        <f>DATEVALUE("30-11-2017")</f>
        <v>43069</v>
      </c>
    </row>
    <row r="6566" spans="1:6" x14ac:dyDescent="0.25">
      <c r="A6566" s="1" t="s">
        <v>313</v>
      </c>
      <c r="B6566" s="1" t="s">
        <v>2232</v>
      </c>
      <c r="C6566" s="1" t="s">
        <v>511</v>
      </c>
      <c r="D6566" s="3">
        <f>VALUE("7890")</f>
        <v>7890</v>
      </c>
      <c r="E6566" s="2">
        <f>DATEVALUE("1-5-2016")</f>
        <v>42491</v>
      </c>
      <c r="F6566" s="2">
        <f>DATEVALUE("30-11-2017")</f>
        <v>43069</v>
      </c>
    </row>
    <row r="6567" spans="1:6" x14ac:dyDescent="0.25">
      <c r="A6567" s="1" t="s">
        <v>313</v>
      </c>
      <c r="B6567" s="1" t="s">
        <v>2232</v>
      </c>
      <c r="C6567" s="1" t="s">
        <v>17</v>
      </c>
      <c r="D6567" s="3">
        <f>VALUE("7890")</f>
        <v>7890</v>
      </c>
      <c r="E6567" s="2">
        <f>DATEVALUE("1-5-2016")</f>
        <v>42491</v>
      </c>
      <c r="F6567" s="2">
        <f>DATEVALUE("30-11-2017")</f>
        <v>43069</v>
      </c>
    </row>
    <row r="6568" spans="1:6" x14ac:dyDescent="0.25">
      <c r="A6568" s="1" t="s">
        <v>313</v>
      </c>
      <c r="B6568" s="1" t="s">
        <v>2232</v>
      </c>
      <c r="C6568" s="1" t="s">
        <v>92</v>
      </c>
      <c r="D6568" s="3">
        <f>VALUE("7890")</f>
        <v>7890</v>
      </c>
      <c r="E6568" s="2">
        <f>DATEVALUE("1-5-2016")</f>
        <v>42491</v>
      </c>
      <c r="F6568" s="2">
        <f>DATEVALUE("30-11-2017")</f>
        <v>43069</v>
      </c>
    </row>
    <row r="6569" spans="1:6" x14ac:dyDescent="0.25">
      <c r="A6569" s="1" t="s">
        <v>313</v>
      </c>
      <c r="B6569" s="1" t="s">
        <v>558</v>
      </c>
      <c r="C6569" s="1" t="s">
        <v>45</v>
      </c>
      <c r="D6569" s="3">
        <f>VALUE("7759")</f>
        <v>7759</v>
      </c>
      <c r="E6569" s="2">
        <f>DATEVALUE("1-6-2015")</f>
        <v>42156</v>
      </c>
      <c r="F6569" s="2">
        <f>DATEVALUE("30-11-2021")</f>
        <v>44530</v>
      </c>
    </row>
    <row r="6570" spans="1:6" x14ac:dyDescent="0.25">
      <c r="A6570" s="1" t="s">
        <v>313</v>
      </c>
      <c r="B6570" s="1" t="s">
        <v>558</v>
      </c>
      <c r="C6570" s="1" t="s">
        <v>44</v>
      </c>
      <c r="D6570" s="3">
        <f>VALUE("7759")</f>
        <v>7759</v>
      </c>
      <c r="E6570" s="2">
        <f>DATEVALUE("1-6-2015")</f>
        <v>42156</v>
      </c>
      <c r="F6570" s="2">
        <f>DATEVALUE("30-11-2021")</f>
        <v>44530</v>
      </c>
    </row>
    <row r="6571" spans="1:6" x14ac:dyDescent="0.25">
      <c r="A6571" s="1" t="s">
        <v>313</v>
      </c>
      <c r="B6571" s="1" t="s">
        <v>558</v>
      </c>
      <c r="C6571" s="1" t="s">
        <v>146</v>
      </c>
      <c r="D6571" s="3">
        <f>VALUE("7759")</f>
        <v>7759</v>
      </c>
      <c r="E6571" s="2">
        <f>DATEVALUE("1-6-2015")</f>
        <v>42156</v>
      </c>
      <c r="F6571" s="2">
        <f>DATEVALUE("30-11-2021")</f>
        <v>44530</v>
      </c>
    </row>
    <row r="6572" spans="1:6" x14ac:dyDescent="0.25">
      <c r="A6572" s="1" t="s">
        <v>313</v>
      </c>
      <c r="B6572" s="1" t="s">
        <v>558</v>
      </c>
      <c r="C6572" s="1" t="s">
        <v>67</v>
      </c>
      <c r="D6572" s="3">
        <f>VALUE("7759")</f>
        <v>7759</v>
      </c>
      <c r="E6572" s="2">
        <f>DATEVALUE("1-6-2015")</f>
        <v>42156</v>
      </c>
      <c r="F6572" s="2">
        <f>DATEVALUE("30-11-2021")</f>
        <v>44530</v>
      </c>
    </row>
    <row r="6573" spans="1:6" x14ac:dyDescent="0.25">
      <c r="A6573" s="1" t="s">
        <v>313</v>
      </c>
      <c r="B6573" s="1" t="s">
        <v>558</v>
      </c>
      <c r="C6573" s="1" t="s">
        <v>334</v>
      </c>
      <c r="D6573" s="3">
        <f>VALUE("7759")</f>
        <v>7759</v>
      </c>
      <c r="E6573" s="2">
        <f>DATEVALUE("1-6-2015")</f>
        <v>42156</v>
      </c>
      <c r="F6573" s="2">
        <f>DATEVALUE("30-11-2021")</f>
        <v>44530</v>
      </c>
    </row>
    <row r="6574" spans="1:6" x14ac:dyDescent="0.25">
      <c r="A6574" s="1" t="s">
        <v>313</v>
      </c>
      <c r="B6574" s="1" t="s">
        <v>1958</v>
      </c>
      <c r="C6574" s="1" t="s">
        <v>45</v>
      </c>
      <c r="D6574" s="3">
        <f>VALUE("7721")</f>
        <v>7721</v>
      </c>
      <c r="E6574" s="2">
        <f>DATEVALUE("1-2-2015")</f>
        <v>42036</v>
      </c>
      <c r="F6574" s="2">
        <f>DATEVALUE("31-12-2015")</f>
        <v>42369</v>
      </c>
    </row>
    <row r="6575" spans="1:6" x14ac:dyDescent="0.25">
      <c r="A6575" s="1" t="s">
        <v>313</v>
      </c>
      <c r="B6575" s="1" t="s">
        <v>1958</v>
      </c>
      <c r="C6575" s="1" t="s">
        <v>73</v>
      </c>
      <c r="D6575" s="3">
        <f>VALUE("7721")</f>
        <v>7721</v>
      </c>
      <c r="E6575" s="2">
        <f>DATEVALUE("1-2-2015")</f>
        <v>42036</v>
      </c>
      <c r="F6575" s="2">
        <f>DATEVALUE("31-12-2015")</f>
        <v>42369</v>
      </c>
    </row>
    <row r="6576" spans="1:6" x14ac:dyDescent="0.25">
      <c r="A6576" s="1" t="s">
        <v>313</v>
      </c>
      <c r="B6576" s="1" t="s">
        <v>1958</v>
      </c>
      <c r="C6576" s="1" t="s">
        <v>36</v>
      </c>
      <c r="D6576" s="3">
        <f>VALUE("7721")</f>
        <v>7721</v>
      </c>
      <c r="E6576" s="2">
        <f>DATEVALUE("1-2-2015")</f>
        <v>42036</v>
      </c>
      <c r="F6576" s="2">
        <f>DATEVALUE("31-12-2015")</f>
        <v>42369</v>
      </c>
    </row>
    <row r="6577" spans="1:6" x14ac:dyDescent="0.25">
      <c r="A6577" s="1" t="s">
        <v>313</v>
      </c>
      <c r="B6577" s="1" t="s">
        <v>2182</v>
      </c>
      <c r="C6577" s="1" t="s">
        <v>146</v>
      </c>
      <c r="D6577" s="3">
        <f>VALUE("7697")</f>
        <v>7697</v>
      </c>
      <c r="E6577" s="2">
        <f>DATEVALUE("1-12-2014")</f>
        <v>41974</v>
      </c>
      <c r="F6577" s="2">
        <f>DATEVALUE("31-1-2019")</f>
        <v>43496</v>
      </c>
    </row>
    <row r="6578" spans="1:6" x14ac:dyDescent="0.25">
      <c r="A6578" s="1" t="s">
        <v>313</v>
      </c>
      <c r="B6578" s="1" t="s">
        <v>2182</v>
      </c>
      <c r="C6578" s="1" t="s">
        <v>67</v>
      </c>
      <c r="D6578" s="3">
        <f>VALUE("7697")</f>
        <v>7697</v>
      </c>
      <c r="E6578" s="2">
        <f>DATEVALUE("1-12-2014")</f>
        <v>41974</v>
      </c>
      <c r="F6578" s="2">
        <f>DATEVALUE("31-1-2019")</f>
        <v>43496</v>
      </c>
    </row>
    <row r="6579" spans="1:6" x14ac:dyDescent="0.25">
      <c r="A6579" s="1" t="s">
        <v>313</v>
      </c>
      <c r="B6579" s="1" t="s">
        <v>2182</v>
      </c>
      <c r="C6579" s="1" t="s">
        <v>172</v>
      </c>
      <c r="D6579" s="3">
        <f>VALUE("7697")</f>
        <v>7697</v>
      </c>
      <c r="E6579" s="2">
        <f>DATEVALUE("1-12-2014")</f>
        <v>41974</v>
      </c>
      <c r="F6579" s="2">
        <f>DATEVALUE("31-1-2019")</f>
        <v>43496</v>
      </c>
    </row>
    <row r="6580" spans="1:6" x14ac:dyDescent="0.25">
      <c r="A6580" s="1" t="s">
        <v>313</v>
      </c>
      <c r="B6580" s="1" t="s">
        <v>2182</v>
      </c>
      <c r="C6580" s="1" t="s">
        <v>472</v>
      </c>
      <c r="D6580" s="3">
        <f>VALUE("7697")</f>
        <v>7697</v>
      </c>
      <c r="E6580" s="2">
        <f>DATEVALUE("1-12-2014")</f>
        <v>41974</v>
      </c>
      <c r="F6580" s="2">
        <f>DATEVALUE("31-1-2019")</f>
        <v>43496</v>
      </c>
    </row>
    <row r="6581" spans="1:6" x14ac:dyDescent="0.25">
      <c r="A6581" s="1" t="s">
        <v>313</v>
      </c>
      <c r="B6581" s="1" t="s">
        <v>1727</v>
      </c>
      <c r="C6581" s="1" t="s">
        <v>45</v>
      </c>
      <c r="D6581" s="3">
        <f>VALUE("7644")</f>
        <v>7644</v>
      </c>
      <c r="E6581" s="2">
        <f>DATEVALUE("1-6-2014")</f>
        <v>41791</v>
      </c>
      <c r="F6581" s="2">
        <f>DATEVALUE("30-11-2014")</f>
        <v>41973</v>
      </c>
    </row>
    <row r="6582" spans="1:6" x14ac:dyDescent="0.25">
      <c r="A6582" s="1" t="s">
        <v>313</v>
      </c>
      <c r="B6582" s="1" t="s">
        <v>1727</v>
      </c>
      <c r="C6582" s="1" t="s">
        <v>73</v>
      </c>
      <c r="D6582" s="3">
        <f>VALUE("7644")</f>
        <v>7644</v>
      </c>
      <c r="E6582" s="2">
        <f>DATEVALUE("1-6-2014")</f>
        <v>41791</v>
      </c>
      <c r="F6582" s="2">
        <f>DATEVALUE("30-11-2014")</f>
        <v>41973</v>
      </c>
    </row>
    <row r="6583" spans="1:6" x14ac:dyDescent="0.25">
      <c r="A6583" s="1" t="s">
        <v>313</v>
      </c>
      <c r="B6583" s="1" t="s">
        <v>2747</v>
      </c>
      <c r="C6583" s="1" t="s">
        <v>203</v>
      </c>
      <c r="D6583" s="3">
        <f t="shared" ref="D6583:D6588" si="957">VALUE("7554")</f>
        <v>7554</v>
      </c>
      <c r="E6583" s="2">
        <f t="shared" ref="E6583:E6588" si="958">DATEVALUE("1-11-2013")</f>
        <v>41579</v>
      </c>
      <c r="F6583" s="2">
        <f t="shared" ref="F6583:F6588" si="959">DATEVALUE("31-5-2014")</f>
        <v>41790</v>
      </c>
    </row>
    <row r="6584" spans="1:6" x14ac:dyDescent="0.25">
      <c r="A6584" s="1" t="s">
        <v>313</v>
      </c>
      <c r="B6584" s="1" t="s">
        <v>2747</v>
      </c>
      <c r="C6584" s="1" t="s">
        <v>46</v>
      </c>
      <c r="D6584" s="3">
        <f t="shared" si="957"/>
        <v>7554</v>
      </c>
      <c r="E6584" s="2">
        <f t="shared" si="958"/>
        <v>41579</v>
      </c>
      <c r="F6584" s="2">
        <f t="shared" si="959"/>
        <v>41790</v>
      </c>
    </row>
    <row r="6585" spans="1:6" x14ac:dyDescent="0.25">
      <c r="A6585" s="1" t="s">
        <v>313</v>
      </c>
      <c r="B6585" s="1" t="s">
        <v>2747</v>
      </c>
      <c r="C6585" s="1" t="s">
        <v>66</v>
      </c>
      <c r="D6585" s="3">
        <f t="shared" si="957"/>
        <v>7554</v>
      </c>
      <c r="E6585" s="2">
        <f t="shared" si="958"/>
        <v>41579</v>
      </c>
      <c r="F6585" s="2">
        <f t="shared" si="959"/>
        <v>41790</v>
      </c>
    </row>
    <row r="6586" spans="1:6" x14ac:dyDescent="0.25">
      <c r="A6586" s="1" t="s">
        <v>313</v>
      </c>
      <c r="B6586" s="1" t="s">
        <v>2747</v>
      </c>
      <c r="C6586" s="1" t="s">
        <v>15</v>
      </c>
      <c r="D6586" s="3">
        <f t="shared" si="957"/>
        <v>7554</v>
      </c>
      <c r="E6586" s="2">
        <f t="shared" si="958"/>
        <v>41579</v>
      </c>
      <c r="F6586" s="2">
        <f t="shared" si="959"/>
        <v>41790</v>
      </c>
    </row>
    <row r="6587" spans="1:6" x14ac:dyDescent="0.25">
      <c r="A6587" s="1" t="s">
        <v>313</v>
      </c>
      <c r="B6587" s="1" t="s">
        <v>2747</v>
      </c>
      <c r="C6587" s="1" t="s">
        <v>17</v>
      </c>
      <c r="D6587" s="3">
        <f t="shared" si="957"/>
        <v>7554</v>
      </c>
      <c r="E6587" s="2">
        <f t="shared" si="958"/>
        <v>41579</v>
      </c>
      <c r="F6587" s="2">
        <f t="shared" si="959"/>
        <v>41790</v>
      </c>
    </row>
    <row r="6588" spans="1:6" x14ac:dyDescent="0.25">
      <c r="A6588" s="1" t="s">
        <v>313</v>
      </c>
      <c r="B6588" s="1" t="s">
        <v>2747</v>
      </c>
      <c r="C6588" s="1" t="s">
        <v>211</v>
      </c>
      <c r="D6588" s="3">
        <f t="shared" si="957"/>
        <v>7554</v>
      </c>
      <c r="E6588" s="2">
        <f t="shared" si="958"/>
        <v>41579</v>
      </c>
      <c r="F6588" s="2">
        <f t="shared" si="959"/>
        <v>41790</v>
      </c>
    </row>
    <row r="6589" spans="1:6" x14ac:dyDescent="0.25">
      <c r="A6589" s="1" t="s">
        <v>313</v>
      </c>
      <c r="B6589" s="1" t="s">
        <v>2735</v>
      </c>
      <c r="C6589" s="1" t="s">
        <v>585</v>
      </c>
      <c r="D6589" s="3">
        <f t="shared" ref="D6589:D6602" si="960">VALUE("7535")</f>
        <v>7535</v>
      </c>
      <c r="E6589" s="2">
        <f t="shared" ref="E6589:E6602" si="961">DATEVALUE("1-8-2013")</f>
        <v>41487</v>
      </c>
      <c r="F6589" s="2">
        <f t="shared" ref="F6589:F6602" si="962">DATEVALUE("30-9-2013")</f>
        <v>41547</v>
      </c>
    </row>
    <row r="6590" spans="1:6" x14ac:dyDescent="0.25">
      <c r="A6590" s="1" t="s">
        <v>313</v>
      </c>
      <c r="B6590" s="1" t="s">
        <v>2735</v>
      </c>
      <c r="C6590" s="1" t="s">
        <v>83</v>
      </c>
      <c r="D6590" s="3">
        <f t="shared" si="960"/>
        <v>7535</v>
      </c>
      <c r="E6590" s="2">
        <f t="shared" si="961"/>
        <v>41487</v>
      </c>
      <c r="F6590" s="2">
        <f t="shared" si="962"/>
        <v>41547</v>
      </c>
    </row>
    <row r="6591" spans="1:6" x14ac:dyDescent="0.25">
      <c r="A6591" s="1" t="s">
        <v>313</v>
      </c>
      <c r="B6591" s="1" t="s">
        <v>2735</v>
      </c>
      <c r="C6591" s="1" t="s">
        <v>43</v>
      </c>
      <c r="D6591" s="3">
        <f t="shared" si="960"/>
        <v>7535</v>
      </c>
      <c r="E6591" s="2">
        <f t="shared" si="961"/>
        <v>41487</v>
      </c>
      <c r="F6591" s="2">
        <f t="shared" si="962"/>
        <v>41547</v>
      </c>
    </row>
    <row r="6592" spans="1:6" x14ac:dyDescent="0.25">
      <c r="A6592" s="1" t="s">
        <v>313</v>
      </c>
      <c r="B6592" s="1" t="s">
        <v>2735</v>
      </c>
      <c r="C6592" s="1" t="s">
        <v>347</v>
      </c>
      <c r="D6592" s="3">
        <f t="shared" si="960"/>
        <v>7535</v>
      </c>
      <c r="E6592" s="2">
        <f t="shared" si="961"/>
        <v>41487</v>
      </c>
      <c r="F6592" s="2">
        <f t="shared" si="962"/>
        <v>41547</v>
      </c>
    </row>
    <row r="6593" spans="1:6" x14ac:dyDescent="0.25">
      <c r="A6593" s="1" t="s">
        <v>313</v>
      </c>
      <c r="B6593" s="1" t="s">
        <v>2735</v>
      </c>
      <c r="C6593" s="1" t="s">
        <v>1859</v>
      </c>
      <c r="D6593" s="3">
        <f t="shared" si="960"/>
        <v>7535</v>
      </c>
      <c r="E6593" s="2">
        <f t="shared" si="961"/>
        <v>41487</v>
      </c>
      <c r="F6593" s="2">
        <f t="shared" si="962"/>
        <v>41547</v>
      </c>
    </row>
    <row r="6594" spans="1:6" x14ac:dyDescent="0.25">
      <c r="A6594" s="1" t="s">
        <v>313</v>
      </c>
      <c r="B6594" s="1" t="s">
        <v>2735</v>
      </c>
      <c r="C6594" s="1" t="s">
        <v>15</v>
      </c>
      <c r="D6594" s="3">
        <f t="shared" si="960"/>
        <v>7535</v>
      </c>
      <c r="E6594" s="2">
        <f t="shared" si="961"/>
        <v>41487</v>
      </c>
      <c r="F6594" s="2">
        <f t="shared" si="962"/>
        <v>41547</v>
      </c>
    </row>
    <row r="6595" spans="1:6" x14ac:dyDescent="0.25">
      <c r="A6595" s="1" t="s">
        <v>313</v>
      </c>
      <c r="B6595" s="1" t="s">
        <v>2735</v>
      </c>
      <c r="C6595" s="1" t="s">
        <v>17</v>
      </c>
      <c r="D6595" s="3">
        <f t="shared" si="960"/>
        <v>7535</v>
      </c>
      <c r="E6595" s="2">
        <f t="shared" si="961"/>
        <v>41487</v>
      </c>
      <c r="F6595" s="2">
        <f t="shared" si="962"/>
        <v>41547</v>
      </c>
    </row>
    <row r="6596" spans="1:6" x14ac:dyDescent="0.25">
      <c r="A6596" s="1" t="s">
        <v>313</v>
      </c>
      <c r="B6596" s="1" t="s">
        <v>2735</v>
      </c>
      <c r="C6596" s="1" t="s">
        <v>148</v>
      </c>
      <c r="D6596" s="3">
        <f t="shared" si="960"/>
        <v>7535</v>
      </c>
      <c r="E6596" s="2">
        <f t="shared" si="961"/>
        <v>41487</v>
      </c>
      <c r="F6596" s="2">
        <f t="shared" si="962"/>
        <v>41547</v>
      </c>
    </row>
    <row r="6597" spans="1:6" x14ac:dyDescent="0.25">
      <c r="A6597" s="1" t="s">
        <v>313</v>
      </c>
      <c r="B6597" s="1" t="s">
        <v>2735</v>
      </c>
      <c r="C6597" s="1" t="s">
        <v>149</v>
      </c>
      <c r="D6597" s="3">
        <f t="shared" si="960"/>
        <v>7535</v>
      </c>
      <c r="E6597" s="2">
        <f t="shared" si="961"/>
        <v>41487</v>
      </c>
      <c r="F6597" s="2">
        <f t="shared" si="962"/>
        <v>41547</v>
      </c>
    </row>
    <row r="6598" spans="1:6" x14ac:dyDescent="0.25">
      <c r="A6598" s="1" t="s">
        <v>313</v>
      </c>
      <c r="B6598" s="1" t="s">
        <v>2735</v>
      </c>
      <c r="C6598" s="1" t="s">
        <v>150</v>
      </c>
      <c r="D6598" s="3">
        <f t="shared" si="960"/>
        <v>7535</v>
      </c>
      <c r="E6598" s="2">
        <f t="shared" si="961"/>
        <v>41487</v>
      </c>
      <c r="F6598" s="2">
        <f t="shared" si="962"/>
        <v>41547</v>
      </c>
    </row>
    <row r="6599" spans="1:6" x14ac:dyDescent="0.25">
      <c r="A6599" s="1" t="s">
        <v>313</v>
      </c>
      <c r="B6599" s="1" t="s">
        <v>2735</v>
      </c>
      <c r="C6599" s="1" t="s">
        <v>172</v>
      </c>
      <c r="D6599" s="3">
        <f t="shared" si="960"/>
        <v>7535</v>
      </c>
      <c r="E6599" s="2">
        <f t="shared" si="961"/>
        <v>41487</v>
      </c>
      <c r="F6599" s="2">
        <f t="shared" si="962"/>
        <v>41547</v>
      </c>
    </row>
    <row r="6600" spans="1:6" x14ac:dyDescent="0.25">
      <c r="A6600" s="1" t="s">
        <v>313</v>
      </c>
      <c r="B6600" s="1" t="s">
        <v>2735</v>
      </c>
      <c r="C6600" s="1" t="s">
        <v>211</v>
      </c>
      <c r="D6600" s="3">
        <f t="shared" si="960"/>
        <v>7535</v>
      </c>
      <c r="E6600" s="2">
        <f t="shared" si="961"/>
        <v>41487</v>
      </c>
      <c r="F6600" s="2">
        <f t="shared" si="962"/>
        <v>41547</v>
      </c>
    </row>
    <row r="6601" spans="1:6" x14ac:dyDescent="0.25">
      <c r="A6601" s="1" t="s">
        <v>313</v>
      </c>
      <c r="B6601" s="1" t="s">
        <v>2735</v>
      </c>
      <c r="C6601" s="1" t="s">
        <v>73</v>
      </c>
      <c r="D6601" s="3">
        <f t="shared" si="960"/>
        <v>7535</v>
      </c>
      <c r="E6601" s="2">
        <f t="shared" si="961"/>
        <v>41487</v>
      </c>
      <c r="F6601" s="2">
        <f t="shared" si="962"/>
        <v>41547</v>
      </c>
    </row>
    <row r="6602" spans="1:6" x14ac:dyDescent="0.25">
      <c r="A6602" s="1" t="s">
        <v>313</v>
      </c>
      <c r="B6602" s="1" t="s">
        <v>2735</v>
      </c>
      <c r="C6602" s="1" t="s">
        <v>36</v>
      </c>
      <c r="D6602" s="3">
        <f t="shared" si="960"/>
        <v>7535</v>
      </c>
      <c r="E6602" s="2">
        <f t="shared" si="961"/>
        <v>41487</v>
      </c>
      <c r="F6602" s="2">
        <f t="shared" si="962"/>
        <v>41547</v>
      </c>
    </row>
    <row r="6603" spans="1:6" x14ac:dyDescent="0.25">
      <c r="A6603" s="1" t="s">
        <v>313</v>
      </c>
      <c r="B6603" s="1" t="s">
        <v>312</v>
      </c>
      <c r="C6603" s="1" t="s">
        <v>79</v>
      </c>
      <c r="D6603" s="3">
        <f t="shared" ref="D6603:D6618" si="963">VALUE("7354")</f>
        <v>7354</v>
      </c>
      <c r="E6603" s="2">
        <f t="shared" ref="E6603:E6618" si="964">DATEVALUE("1-6-2013")</f>
        <v>41426</v>
      </c>
      <c r="F6603" s="2">
        <f t="shared" ref="F6603:F6618" si="965">DATEVALUE("31-12-2020")</f>
        <v>44196</v>
      </c>
    </row>
    <row r="6604" spans="1:6" x14ac:dyDescent="0.25">
      <c r="A6604" s="1" t="s">
        <v>313</v>
      </c>
      <c r="B6604" s="1" t="s">
        <v>312</v>
      </c>
      <c r="C6604" s="1" t="s">
        <v>203</v>
      </c>
      <c r="D6604" s="3">
        <f t="shared" si="963"/>
        <v>7354</v>
      </c>
      <c r="E6604" s="2">
        <f t="shared" si="964"/>
        <v>41426</v>
      </c>
      <c r="F6604" s="2">
        <f t="shared" si="965"/>
        <v>44196</v>
      </c>
    </row>
    <row r="6605" spans="1:6" x14ac:dyDescent="0.25">
      <c r="A6605" s="1" t="s">
        <v>313</v>
      </c>
      <c r="B6605" s="1" t="s">
        <v>312</v>
      </c>
      <c r="C6605" s="1" t="s">
        <v>17</v>
      </c>
      <c r="D6605" s="3">
        <f t="shared" si="963"/>
        <v>7354</v>
      </c>
      <c r="E6605" s="2">
        <f t="shared" si="964"/>
        <v>41426</v>
      </c>
      <c r="F6605" s="2">
        <f t="shared" si="965"/>
        <v>44196</v>
      </c>
    </row>
    <row r="6606" spans="1:6" x14ac:dyDescent="0.25">
      <c r="A6606" s="1" t="s">
        <v>313</v>
      </c>
      <c r="B6606" s="1" t="s">
        <v>312</v>
      </c>
      <c r="C6606" s="1" t="s">
        <v>168</v>
      </c>
      <c r="D6606" s="3">
        <f t="shared" si="963"/>
        <v>7354</v>
      </c>
      <c r="E6606" s="2">
        <f t="shared" si="964"/>
        <v>41426</v>
      </c>
      <c r="F6606" s="2">
        <f t="shared" si="965"/>
        <v>44196</v>
      </c>
    </row>
    <row r="6607" spans="1:6" x14ac:dyDescent="0.25">
      <c r="A6607" s="1" t="s">
        <v>313</v>
      </c>
      <c r="B6607" s="1" t="s">
        <v>312</v>
      </c>
      <c r="C6607" s="1" t="s">
        <v>258</v>
      </c>
      <c r="D6607" s="3">
        <f t="shared" si="963"/>
        <v>7354</v>
      </c>
      <c r="E6607" s="2">
        <f t="shared" si="964"/>
        <v>41426</v>
      </c>
      <c r="F6607" s="2">
        <f t="shared" si="965"/>
        <v>44196</v>
      </c>
    </row>
    <row r="6608" spans="1:6" x14ac:dyDescent="0.25">
      <c r="A6608" s="1" t="s">
        <v>313</v>
      </c>
      <c r="B6608" s="1" t="s">
        <v>312</v>
      </c>
      <c r="C6608" s="1" t="s">
        <v>67</v>
      </c>
      <c r="D6608" s="3">
        <f t="shared" si="963"/>
        <v>7354</v>
      </c>
      <c r="E6608" s="2">
        <f t="shared" si="964"/>
        <v>41426</v>
      </c>
      <c r="F6608" s="2">
        <f t="shared" si="965"/>
        <v>44196</v>
      </c>
    </row>
    <row r="6609" spans="1:6" x14ac:dyDescent="0.25">
      <c r="A6609" s="1" t="s">
        <v>313</v>
      </c>
      <c r="B6609" s="1" t="s">
        <v>312</v>
      </c>
      <c r="C6609" s="1" t="s">
        <v>149</v>
      </c>
      <c r="D6609" s="3">
        <f t="shared" si="963"/>
        <v>7354</v>
      </c>
      <c r="E6609" s="2">
        <f t="shared" si="964"/>
        <v>41426</v>
      </c>
      <c r="F6609" s="2">
        <f t="shared" si="965"/>
        <v>44196</v>
      </c>
    </row>
    <row r="6610" spans="1:6" x14ac:dyDescent="0.25">
      <c r="A6610" s="1" t="s">
        <v>313</v>
      </c>
      <c r="B6610" s="1" t="s">
        <v>312</v>
      </c>
      <c r="C6610" s="1" t="s">
        <v>172</v>
      </c>
      <c r="D6610" s="3">
        <f t="shared" si="963"/>
        <v>7354</v>
      </c>
      <c r="E6610" s="2">
        <f t="shared" si="964"/>
        <v>41426</v>
      </c>
      <c r="F6610" s="2">
        <f t="shared" si="965"/>
        <v>44196</v>
      </c>
    </row>
    <row r="6611" spans="1:6" x14ac:dyDescent="0.25">
      <c r="A6611" s="1" t="s">
        <v>313</v>
      </c>
      <c r="B6611" s="1" t="s">
        <v>312</v>
      </c>
      <c r="C6611" s="1" t="s">
        <v>92</v>
      </c>
      <c r="D6611" s="3">
        <f t="shared" si="963"/>
        <v>7354</v>
      </c>
      <c r="E6611" s="2">
        <f t="shared" si="964"/>
        <v>41426</v>
      </c>
      <c r="F6611" s="2">
        <f t="shared" si="965"/>
        <v>44196</v>
      </c>
    </row>
    <row r="6612" spans="1:6" x14ac:dyDescent="0.25">
      <c r="A6612" s="1" t="s">
        <v>313</v>
      </c>
      <c r="B6612" s="1" t="s">
        <v>312</v>
      </c>
      <c r="C6612" s="1" t="s">
        <v>314</v>
      </c>
      <c r="D6612" s="3">
        <f t="shared" si="963"/>
        <v>7354</v>
      </c>
      <c r="E6612" s="2">
        <f t="shared" si="964"/>
        <v>41426</v>
      </c>
      <c r="F6612" s="2">
        <f t="shared" si="965"/>
        <v>44196</v>
      </c>
    </row>
    <row r="6613" spans="1:6" x14ac:dyDescent="0.25">
      <c r="A6613" s="1" t="s">
        <v>313</v>
      </c>
      <c r="B6613" s="1" t="s">
        <v>312</v>
      </c>
      <c r="C6613" s="1" t="s">
        <v>315</v>
      </c>
      <c r="D6613" s="3">
        <f t="shared" si="963"/>
        <v>7354</v>
      </c>
      <c r="E6613" s="2">
        <f t="shared" si="964"/>
        <v>41426</v>
      </c>
      <c r="F6613" s="2">
        <f t="shared" si="965"/>
        <v>44196</v>
      </c>
    </row>
    <row r="6614" spans="1:6" x14ac:dyDescent="0.25">
      <c r="A6614" s="1" t="s">
        <v>313</v>
      </c>
      <c r="B6614" s="1" t="s">
        <v>312</v>
      </c>
      <c r="C6614" s="1" t="s">
        <v>207</v>
      </c>
      <c r="D6614" s="3">
        <f t="shared" si="963"/>
        <v>7354</v>
      </c>
      <c r="E6614" s="2">
        <f t="shared" si="964"/>
        <v>41426</v>
      </c>
      <c r="F6614" s="2">
        <f t="shared" si="965"/>
        <v>44196</v>
      </c>
    </row>
    <row r="6615" spans="1:6" x14ac:dyDescent="0.25">
      <c r="A6615" s="1" t="s">
        <v>313</v>
      </c>
      <c r="B6615" s="1" t="s">
        <v>312</v>
      </c>
      <c r="C6615" s="1" t="s">
        <v>71</v>
      </c>
      <c r="D6615" s="3">
        <f t="shared" si="963"/>
        <v>7354</v>
      </c>
      <c r="E6615" s="2">
        <f t="shared" si="964"/>
        <v>41426</v>
      </c>
      <c r="F6615" s="2">
        <f t="shared" si="965"/>
        <v>44196</v>
      </c>
    </row>
    <row r="6616" spans="1:6" x14ac:dyDescent="0.25">
      <c r="A6616" s="1" t="s">
        <v>313</v>
      </c>
      <c r="B6616" s="1" t="s">
        <v>312</v>
      </c>
      <c r="C6616" s="1" t="s">
        <v>295</v>
      </c>
      <c r="D6616" s="3">
        <f t="shared" si="963"/>
        <v>7354</v>
      </c>
      <c r="E6616" s="2">
        <f t="shared" si="964"/>
        <v>41426</v>
      </c>
      <c r="F6616" s="2">
        <f t="shared" si="965"/>
        <v>44196</v>
      </c>
    </row>
    <row r="6617" spans="1:6" x14ac:dyDescent="0.25">
      <c r="A6617" s="1" t="s">
        <v>313</v>
      </c>
      <c r="B6617" s="1" t="s">
        <v>312</v>
      </c>
      <c r="C6617" s="1" t="s">
        <v>316</v>
      </c>
      <c r="D6617" s="3">
        <f t="shared" si="963"/>
        <v>7354</v>
      </c>
      <c r="E6617" s="2">
        <f t="shared" si="964"/>
        <v>41426</v>
      </c>
      <c r="F6617" s="2">
        <f t="shared" si="965"/>
        <v>44196</v>
      </c>
    </row>
    <row r="6618" spans="1:6" x14ac:dyDescent="0.25">
      <c r="A6618" s="1" t="s">
        <v>313</v>
      </c>
      <c r="B6618" s="1" t="s">
        <v>312</v>
      </c>
      <c r="C6618" s="1" t="s">
        <v>133</v>
      </c>
      <c r="D6618" s="3">
        <f t="shared" si="963"/>
        <v>7354</v>
      </c>
      <c r="E6618" s="2">
        <f t="shared" si="964"/>
        <v>41426</v>
      </c>
      <c r="F6618" s="2">
        <f t="shared" si="965"/>
        <v>44196</v>
      </c>
    </row>
    <row r="6619" spans="1:6" x14ac:dyDescent="0.25">
      <c r="A6619" s="1" t="s">
        <v>313</v>
      </c>
      <c r="B6619" s="1" t="s">
        <v>2648</v>
      </c>
      <c r="C6619" s="1" t="s">
        <v>15</v>
      </c>
      <c r="D6619" s="3">
        <f t="shared" ref="D6619:D6626" si="966">VALUE("7290")</f>
        <v>7290</v>
      </c>
      <c r="E6619" s="2">
        <f t="shared" ref="E6619:E6627" si="967">DATEVALUE("1-7-2012")</f>
        <v>41091</v>
      </c>
      <c r="F6619" s="2">
        <f t="shared" ref="F6619:F6626" si="968">DATEVALUE("31-7-2013")</f>
        <v>41486</v>
      </c>
    </row>
    <row r="6620" spans="1:6" x14ac:dyDescent="0.25">
      <c r="A6620" s="1" t="s">
        <v>313</v>
      </c>
      <c r="B6620" s="1" t="s">
        <v>2648</v>
      </c>
      <c r="C6620" s="1" t="s">
        <v>17</v>
      </c>
      <c r="D6620" s="3">
        <f t="shared" si="966"/>
        <v>7290</v>
      </c>
      <c r="E6620" s="2">
        <f t="shared" si="967"/>
        <v>41091</v>
      </c>
      <c r="F6620" s="2">
        <f t="shared" si="968"/>
        <v>41486</v>
      </c>
    </row>
    <row r="6621" spans="1:6" x14ac:dyDescent="0.25">
      <c r="A6621" s="1" t="s">
        <v>313</v>
      </c>
      <c r="B6621" s="1" t="s">
        <v>2648</v>
      </c>
      <c r="C6621" s="1" t="s">
        <v>148</v>
      </c>
      <c r="D6621" s="3">
        <f t="shared" si="966"/>
        <v>7290</v>
      </c>
      <c r="E6621" s="2">
        <f t="shared" si="967"/>
        <v>41091</v>
      </c>
      <c r="F6621" s="2">
        <f t="shared" si="968"/>
        <v>41486</v>
      </c>
    </row>
    <row r="6622" spans="1:6" x14ac:dyDescent="0.25">
      <c r="A6622" s="1" t="s">
        <v>313</v>
      </c>
      <c r="B6622" s="1" t="s">
        <v>2648</v>
      </c>
      <c r="C6622" s="1" t="s">
        <v>149</v>
      </c>
      <c r="D6622" s="3">
        <f t="shared" si="966"/>
        <v>7290</v>
      </c>
      <c r="E6622" s="2">
        <f t="shared" si="967"/>
        <v>41091</v>
      </c>
      <c r="F6622" s="2">
        <f t="shared" si="968"/>
        <v>41486</v>
      </c>
    </row>
    <row r="6623" spans="1:6" x14ac:dyDescent="0.25">
      <c r="A6623" s="1" t="s">
        <v>313</v>
      </c>
      <c r="B6623" s="1" t="s">
        <v>2648</v>
      </c>
      <c r="C6623" s="1" t="s">
        <v>150</v>
      </c>
      <c r="D6623" s="3">
        <f t="shared" si="966"/>
        <v>7290</v>
      </c>
      <c r="E6623" s="2">
        <f t="shared" si="967"/>
        <v>41091</v>
      </c>
      <c r="F6623" s="2">
        <f t="shared" si="968"/>
        <v>41486</v>
      </c>
    </row>
    <row r="6624" spans="1:6" x14ac:dyDescent="0.25">
      <c r="A6624" s="1" t="s">
        <v>313</v>
      </c>
      <c r="B6624" s="1" t="s">
        <v>2648</v>
      </c>
      <c r="C6624" s="1" t="s">
        <v>121</v>
      </c>
      <c r="D6624" s="3">
        <f t="shared" si="966"/>
        <v>7290</v>
      </c>
      <c r="E6624" s="2">
        <f t="shared" si="967"/>
        <v>41091</v>
      </c>
      <c r="F6624" s="2">
        <f t="shared" si="968"/>
        <v>41486</v>
      </c>
    </row>
    <row r="6625" spans="1:6" x14ac:dyDescent="0.25">
      <c r="A6625" s="1" t="s">
        <v>313</v>
      </c>
      <c r="B6625" s="1" t="s">
        <v>2648</v>
      </c>
      <c r="C6625" s="1" t="s">
        <v>73</v>
      </c>
      <c r="D6625" s="3">
        <f t="shared" si="966"/>
        <v>7290</v>
      </c>
      <c r="E6625" s="2">
        <f t="shared" si="967"/>
        <v>41091</v>
      </c>
      <c r="F6625" s="2">
        <f t="shared" si="968"/>
        <v>41486</v>
      </c>
    </row>
    <row r="6626" spans="1:6" x14ac:dyDescent="0.25">
      <c r="A6626" s="1" t="s">
        <v>313</v>
      </c>
      <c r="B6626" s="1" t="s">
        <v>2648</v>
      </c>
      <c r="C6626" s="1" t="s">
        <v>161</v>
      </c>
      <c r="D6626" s="3">
        <f t="shared" si="966"/>
        <v>7290</v>
      </c>
      <c r="E6626" s="2">
        <f t="shared" si="967"/>
        <v>41091</v>
      </c>
      <c r="F6626" s="2">
        <f t="shared" si="968"/>
        <v>41486</v>
      </c>
    </row>
    <row r="6627" spans="1:6" x14ac:dyDescent="0.25">
      <c r="A6627" s="1" t="s">
        <v>313</v>
      </c>
      <c r="B6627" s="1" t="s">
        <v>2662</v>
      </c>
      <c r="C6627" s="1" t="s">
        <v>45</v>
      </c>
      <c r="D6627" s="3">
        <f>VALUE("7319")</f>
        <v>7319</v>
      </c>
      <c r="E6627" s="2">
        <f t="shared" si="967"/>
        <v>41091</v>
      </c>
      <c r="F6627" s="2">
        <f>DATEVALUE("31-7-2012")</f>
        <v>41121</v>
      </c>
    </row>
    <row r="6628" spans="1:6" x14ac:dyDescent="0.25">
      <c r="A6628" s="1" t="s">
        <v>313</v>
      </c>
      <c r="B6628" s="1" t="s">
        <v>2650</v>
      </c>
      <c r="C6628" s="1" t="s">
        <v>7</v>
      </c>
      <c r="D6628" s="3">
        <f>VALUE("7295")</f>
        <v>7295</v>
      </c>
      <c r="E6628" s="2">
        <f>DATEVALUE("1-2-2012")</f>
        <v>40940</v>
      </c>
      <c r="F6628" s="2">
        <f>DATEVALUE("30-6-2012")</f>
        <v>41090</v>
      </c>
    </row>
    <row r="6629" spans="1:6" x14ac:dyDescent="0.25">
      <c r="A6629" s="1" t="s">
        <v>313</v>
      </c>
      <c r="B6629" s="1" t="s">
        <v>2650</v>
      </c>
      <c r="C6629" s="1" t="s">
        <v>27</v>
      </c>
      <c r="D6629" s="3">
        <f>VALUE("7295")</f>
        <v>7295</v>
      </c>
      <c r="E6629" s="2">
        <f>DATEVALUE("1-2-2012")</f>
        <v>40940</v>
      </c>
      <c r="F6629" s="2">
        <f>DATEVALUE("30-6-2012")</f>
        <v>41090</v>
      </c>
    </row>
    <row r="6630" spans="1:6" x14ac:dyDescent="0.25">
      <c r="A6630" s="1" t="s">
        <v>313</v>
      </c>
      <c r="B6630" s="1" t="s">
        <v>2650</v>
      </c>
      <c r="C6630" s="1" t="s">
        <v>262</v>
      </c>
      <c r="D6630" s="3">
        <f>VALUE("7295")</f>
        <v>7295</v>
      </c>
      <c r="E6630" s="2">
        <f>DATEVALUE("1-2-2012")</f>
        <v>40940</v>
      </c>
      <c r="F6630" s="2">
        <f>DATEVALUE("30-6-2012")</f>
        <v>41090</v>
      </c>
    </row>
    <row r="6631" spans="1:6" x14ac:dyDescent="0.25">
      <c r="A6631" s="1" t="s">
        <v>313</v>
      </c>
      <c r="B6631" s="1" t="s">
        <v>592</v>
      </c>
      <c r="C6631" s="1" t="s">
        <v>45</v>
      </c>
      <c r="D6631" s="3">
        <f>VALUE("8000")</f>
        <v>8000</v>
      </c>
      <c r="E6631" s="2">
        <f>DATEVALUE("1-1-2012")</f>
        <v>40909</v>
      </c>
      <c r="F6631" s="2">
        <f>DATEVALUE("31-12-2020")</f>
        <v>44196</v>
      </c>
    </row>
    <row r="6632" spans="1:6" x14ac:dyDescent="0.25">
      <c r="A6632" s="1" t="s">
        <v>313</v>
      </c>
      <c r="B6632" s="1" t="s">
        <v>592</v>
      </c>
      <c r="C6632" s="1" t="s">
        <v>44</v>
      </c>
      <c r="D6632" s="3">
        <f>VALUE("8000")</f>
        <v>8000</v>
      </c>
      <c r="E6632" s="2">
        <f>DATEVALUE("1-1-2012")</f>
        <v>40909</v>
      </c>
      <c r="F6632" s="2">
        <f>DATEVALUE("31-12-2020")</f>
        <v>44196</v>
      </c>
    </row>
    <row r="6633" spans="1:6" x14ac:dyDescent="0.25">
      <c r="A6633" s="1" t="s">
        <v>313</v>
      </c>
      <c r="B6633" s="1" t="s">
        <v>592</v>
      </c>
      <c r="C6633" s="1" t="s">
        <v>52</v>
      </c>
      <c r="D6633" s="3">
        <f>VALUE("8000")</f>
        <v>8000</v>
      </c>
      <c r="E6633" s="2">
        <f>DATEVALUE("1-1-2012")</f>
        <v>40909</v>
      </c>
      <c r="F6633" s="2">
        <f>DATEVALUE("31-12-2020")</f>
        <v>44196</v>
      </c>
    </row>
    <row r="6634" spans="1:6" x14ac:dyDescent="0.25">
      <c r="A6634" s="1" t="s">
        <v>313</v>
      </c>
      <c r="B6634" s="1" t="s">
        <v>592</v>
      </c>
      <c r="C6634" s="1" t="s">
        <v>56</v>
      </c>
      <c r="D6634" s="3">
        <f>VALUE("8000")</f>
        <v>8000</v>
      </c>
      <c r="E6634" s="2">
        <f>DATEVALUE("1-1-2012")</f>
        <v>40909</v>
      </c>
      <c r="F6634" s="2">
        <f>DATEVALUE("31-12-2020")</f>
        <v>44196</v>
      </c>
    </row>
    <row r="6635" spans="1:6" x14ac:dyDescent="0.25">
      <c r="A6635" s="1" t="s">
        <v>313</v>
      </c>
      <c r="B6635" s="1" t="s">
        <v>592</v>
      </c>
      <c r="C6635" s="1" t="s">
        <v>173</v>
      </c>
      <c r="D6635" s="3">
        <f>VALUE("8000")</f>
        <v>8000</v>
      </c>
      <c r="E6635" s="2">
        <f>DATEVALUE("1-1-2012")</f>
        <v>40909</v>
      </c>
      <c r="F6635" s="2">
        <f>DATEVALUE("31-12-2020")</f>
        <v>44196</v>
      </c>
    </row>
    <row r="6636" spans="1:6" x14ac:dyDescent="0.25">
      <c r="A6636" s="1" t="s">
        <v>313</v>
      </c>
      <c r="B6636" s="1" t="s">
        <v>2623</v>
      </c>
      <c r="C6636" s="1" t="s">
        <v>8</v>
      </c>
      <c r="D6636" s="3">
        <f t="shared" ref="D6636:D6646" si="969">VALUE("7231")</f>
        <v>7231</v>
      </c>
      <c r="E6636" s="2">
        <f t="shared" ref="E6636:E6646" si="970">DATEVALUE("1-9-2011")</f>
        <v>40787</v>
      </c>
      <c r="F6636" s="2">
        <f t="shared" ref="F6636:F6646" si="971">DATEVALUE("30-6-2012")</f>
        <v>41090</v>
      </c>
    </row>
    <row r="6637" spans="1:6" x14ac:dyDescent="0.25">
      <c r="A6637" s="1" t="s">
        <v>313</v>
      </c>
      <c r="B6637" s="1" t="s">
        <v>2623</v>
      </c>
      <c r="C6637" s="1" t="s">
        <v>10</v>
      </c>
      <c r="D6637" s="3">
        <f t="shared" si="969"/>
        <v>7231</v>
      </c>
      <c r="E6637" s="2">
        <f t="shared" si="970"/>
        <v>40787</v>
      </c>
      <c r="F6637" s="2">
        <f t="shared" si="971"/>
        <v>41090</v>
      </c>
    </row>
    <row r="6638" spans="1:6" x14ac:dyDescent="0.25">
      <c r="A6638" s="1" t="s">
        <v>313</v>
      </c>
      <c r="B6638" s="1" t="s">
        <v>2623</v>
      </c>
      <c r="C6638" s="1" t="s">
        <v>11</v>
      </c>
      <c r="D6638" s="3">
        <f t="shared" si="969"/>
        <v>7231</v>
      </c>
      <c r="E6638" s="2">
        <f t="shared" si="970"/>
        <v>40787</v>
      </c>
      <c r="F6638" s="2">
        <f t="shared" si="971"/>
        <v>41090</v>
      </c>
    </row>
    <row r="6639" spans="1:6" x14ac:dyDescent="0.25">
      <c r="A6639" s="1" t="s">
        <v>313</v>
      </c>
      <c r="B6639" s="1" t="s">
        <v>2623</v>
      </c>
      <c r="C6639" s="1" t="s">
        <v>12</v>
      </c>
      <c r="D6639" s="3">
        <f t="shared" si="969"/>
        <v>7231</v>
      </c>
      <c r="E6639" s="2">
        <f t="shared" si="970"/>
        <v>40787</v>
      </c>
      <c r="F6639" s="2">
        <f t="shared" si="971"/>
        <v>41090</v>
      </c>
    </row>
    <row r="6640" spans="1:6" x14ac:dyDescent="0.25">
      <c r="A6640" s="1" t="s">
        <v>313</v>
      </c>
      <c r="B6640" s="1" t="s">
        <v>2623</v>
      </c>
      <c r="C6640" s="1" t="s">
        <v>45</v>
      </c>
      <c r="D6640" s="3">
        <f t="shared" si="969"/>
        <v>7231</v>
      </c>
      <c r="E6640" s="2">
        <f t="shared" si="970"/>
        <v>40787</v>
      </c>
      <c r="F6640" s="2">
        <f t="shared" si="971"/>
        <v>41090</v>
      </c>
    </row>
    <row r="6641" spans="1:6" x14ac:dyDescent="0.25">
      <c r="A6641" s="1" t="s">
        <v>313</v>
      </c>
      <c r="B6641" s="1" t="s">
        <v>2623</v>
      </c>
      <c r="C6641" s="1" t="s">
        <v>207</v>
      </c>
      <c r="D6641" s="3">
        <f t="shared" si="969"/>
        <v>7231</v>
      </c>
      <c r="E6641" s="2">
        <f t="shared" si="970"/>
        <v>40787</v>
      </c>
      <c r="F6641" s="2">
        <f t="shared" si="971"/>
        <v>41090</v>
      </c>
    </row>
    <row r="6642" spans="1:6" x14ac:dyDescent="0.25">
      <c r="A6642" s="1" t="s">
        <v>313</v>
      </c>
      <c r="B6642" s="1" t="s">
        <v>2623</v>
      </c>
      <c r="C6642" s="1" t="s">
        <v>208</v>
      </c>
      <c r="D6642" s="3">
        <f t="shared" si="969"/>
        <v>7231</v>
      </c>
      <c r="E6642" s="2">
        <f t="shared" si="970"/>
        <v>40787</v>
      </c>
      <c r="F6642" s="2">
        <f t="shared" si="971"/>
        <v>41090</v>
      </c>
    </row>
    <row r="6643" spans="1:6" x14ac:dyDescent="0.25">
      <c r="A6643" s="1" t="s">
        <v>313</v>
      </c>
      <c r="B6643" s="1" t="s">
        <v>2623</v>
      </c>
      <c r="C6643" s="1" t="s">
        <v>121</v>
      </c>
      <c r="D6643" s="3">
        <f t="shared" si="969"/>
        <v>7231</v>
      </c>
      <c r="E6643" s="2">
        <f t="shared" si="970"/>
        <v>40787</v>
      </c>
      <c r="F6643" s="2">
        <f t="shared" si="971"/>
        <v>41090</v>
      </c>
    </row>
    <row r="6644" spans="1:6" x14ac:dyDescent="0.25">
      <c r="A6644" s="1" t="s">
        <v>313</v>
      </c>
      <c r="B6644" s="1" t="s">
        <v>2623</v>
      </c>
      <c r="C6644" s="1" t="s">
        <v>32</v>
      </c>
      <c r="D6644" s="3">
        <f t="shared" si="969"/>
        <v>7231</v>
      </c>
      <c r="E6644" s="2">
        <f t="shared" si="970"/>
        <v>40787</v>
      </c>
      <c r="F6644" s="2">
        <f t="shared" si="971"/>
        <v>41090</v>
      </c>
    </row>
    <row r="6645" spans="1:6" x14ac:dyDescent="0.25">
      <c r="A6645" s="1" t="s">
        <v>313</v>
      </c>
      <c r="B6645" s="1" t="s">
        <v>2623</v>
      </c>
      <c r="C6645" s="1" t="s">
        <v>33</v>
      </c>
      <c r="D6645" s="3">
        <f t="shared" si="969"/>
        <v>7231</v>
      </c>
      <c r="E6645" s="2">
        <f t="shared" si="970"/>
        <v>40787</v>
      </c>
      <c r="F6645" s="2">
        <f t="shared" si="971"/>
        <v>41090</v>
      </c>
    </row>
    <row r="6646" spans="1:6" x14ac:dyDescent="0.25">
      <c r="A6646" s="1" t="s">
        <v>313</v>
      </c>
      <c r="B6646" s="1" t="s">
        <v>2623</v>
      </c>
      <c r="C6646" s="1" t="s">
        <v>36</v>
      </c>
      <c r="D6646" s="3">
        <f t="shared" si="969"/>
        <v>7231</v>
      </c>
      <c r="E6646" s="2">
        <f t="shared" si="970"/>
        <v>40787</v>
      </c>
      <c r="F6646" s="2">
        <f t="shared" si="971"/>
        <v>41090</v>
      </c>
    </row>
    <row r="6647" spans="1:6" x14ac:dyDescent="0.25">
      <c r="A6647" s="1" t="s">
        <v>313</v>
      </c>
      <c r="B6647" s="1" t="s">
        <v>2608</v>
      </c>
      <c r="C6647" s="1" t="s">
        <v>45</v>
      </c>
      <c r="D6647" s="3">
        <f>VALUE("7207")</f>
        <v>7207</v>
      </c>
      <c r="E6647" s="2">
        <f>DATEVALUE("1-6-2011")</f>
        <v>40695</v>
      </c>
      <c r="F6647" s="2">
        <f>DATEVALUE("31-1-2012")</f>
        <v>40939</v>
      </c>
    </row>
    <row r="6648" spans="1:6" x14ac:dyDescent="0.25">
      <c r="A6648" s="1" t="s">
        <v>313</v>
      </c>
      <c r="B6648" s="1" t="s">
        <v>2609</v>
      </c>
      <c r="C6648" s="1" t="s">
        <v>586</v>
      </c>
      <c r="D6648" s="3">
        <f>VALUE("7208")</f>
        <v>7208</v>
      </c>
      <c r="E6648" s="2">
        <f>DATEVALUE("1-6-2011")</f>
        <v>40695</v>
      </c>
      <c r="F6648" s="2">
        <f>DATEVALUE("31-7-2013")</f>
        <v>41486</v>
      </c>
    </row>
    <row r="6649" spans="1:6" x14ac:dyDescent="0.25">
      <c r="A6649" s="1" t="s">
        <v>313</v>
      </c>
      <c r="B6649" s="1" t="s">
        <v>2501</v>
      </c>
      <c r="C6649" s="1" t="s">
        <v>345</v>
      </c>
      <c r="D6649" s="3">
        <f t="shared" ref="D6649:D6693" si="972">VALUE("6000")</f>
        <v>6000</v>
      </c>
      <c r="E6649" s="2">
        <f t="shared" ref="E6649:E6693" si="973">DATEVALUE("1-4-2008")</f>
        <v>39539</v>
      </c>
      <c r="F6649" s="2">
        <f t="shared" ref="F6649:F6693" si="974">DATEVALUE("31-12-2011")</f>
        <v>40908</v>
      </c>
    </row>
    <row r="6650" spans="1:6" x14ac:dyDescent="0.25">
      <c r="A6650" s="1" t="s">
        <v>313</v>
      </c>
      <c r="B6650" s="1" t="s">
        <v>2501</v>
      </c>
      <c r="C6650" s="1" t="s">
        <v>255</v>
      </c>
      <c r="D6650" s="3">
        <f t="shared" si="972"/>
        <v>6000</v>
      </c>
      <c r="E6650" s="2">
        <f t="shared" si="973"/>
        <v>39539</v>
      </c>
      <c r="F6650" s="2">
        <f t="shared" si="974"/>
        <v>40908</v>
      </c>
    </row>
    <row r="6651" spans="1:6" x14ac:dyDescent="0.25">
      <c r="A6651" s="1" t="s">
        <v>313</v>
      </c>
      <c r="B6651" s="1" t="s">
        <v>2501</v>
      </c>
      <c r="C6651" s="1" t="s">
        <v>81</v>
      </c>
      <c r="D6651" s="3">
        <f t="shared" si="972"/>
        <v>6000</v>
      </c>
      <c r="E6651" s="2">
        <f t="shared" si="973"/>
        <v>39539</v>
      </c>
      <c r="F6651" s="2">
        <f t="shared" si="974"/>
        <v>40908</v>
      </c>
    </row>
    <row r="6652" spans="1:6" x14ac:dyDescent="0.25">
      <c r="A6652" s="1" t="s">
        <v>313</v>
      </c>
      <c r="B6652" s="1" t="s">
        <v>2501</v>
      </c>
      <c r="C6652" s="1" t="s">
        <v>202</v>
      </c>
      <c r="D6652" s="3">
        <f t="shared" si="972"/>
        <v>6000</v>
      </c>
      <c r="E6652" s="2">
        <f t="shared" si="973"/>
        <v>39539</v>
      </c>
      <c r="F6652" s="2">
        <f t="shared" si="974"/>
        <v>40908</v>
      </c>
    </row>
    <row r="6653" spans="1:6" x14ac:dyDescent="0.25">
      <c r="A6653" s="1" t="s">
        <v>313</v>
      </c>
      <c r="B6653" s="1" t="s">
        <v>2501</v>
      </c>
      <c r="C6653" s="1" t="s">
        <v>203</v>
      </c>
      <c r="D6653" s="3">
        <f t="shared" si="972"/>
        <v>6000</v>
      </c>
      <c r="E6653" s="2">
        <f t="shared" si="973"/>
        <v>39539</v>
      </c>
      <c r="F6653" s="2">
        <f t="shared" si="974"/>
        <v>40908</v>
      </c>
    </row>
    <row r="6654" spans="1:6" x14ac:dyDescent="0.25">
      <c r="A6654" s="1" t="s">
        <v>313</v>
      </c>
      <c r="B6654" s="1" t="s">
        <v>2501</v>
      </c>
      <c r="C6654" s="1" t="s">
        <v>1889</v>
      </c>
      <c r="D6654" s="3">
        <f t="shared" si="972"/>
        <v>6000</v>
      </c>
      <c r="E6654" s="2">
        <f t="shared" si="973"/>
        <v>39539</v>
      </c>
      <c r="F6654" s="2">
        <f t="shared" si="974"/>
        <v>40908</v>
      </c>
    </row>
    <row r="6655" spans="1:6" x14ac:dyDescent="0.25">
      <c r="A6655" s="1" t="s">
        <v>313</v>
      </c>
      <c r="B6655" s="1" t="s">
        <v>2501</v>
      </c>
      <c r="C6655" s="1" t="s">
        <v>585</v>
      </c>
      <c r="D6655" s="3">
        <f t="shared" si="972"/>
        <v>6000</v>
      </c>
      <c r="E6655" s="2">
        <f t="shared" si="973"/>
        <v>39539</v>
      </c>
      <c r="F6655" s="2">
        <f t="shared" si="974"/>
        <v>40908</v>
      </c>
    </row>
    <row r="6656" spans="1:6" x14ac:dyDescent="0.25">
      <c r="A6656" s="1" t="s">
        <v>313</v>
      </c>
      <c r="B6656" s="1" t="s">
        <v>2501</v>
      </c>
      <c r="C6656" s="1" t="s">
        <v>586</v>
      </c>
      <c r="D6656" s="3">
        <f t="shared" si="972"/>
        <v>6000</v>
      </c>
      <c r="E6656" s="2">
        <f t="shared" si="973"/>
        <v>39539</v>
      </c>
      <c r="F6656" s="2">
        <f t="shared" si="974"/>
        <v>40908</v>
      </c>
    </row>
    <row r="6657" spans="1:6" x14ac:dyDescent="0.25">
      <c r="A6657" s="1" t="s">
        <v>313</v>
      </c>
      <c r="B6657" s="1" t="s">
        <v>2501</v>
      </c>
      <c r="C6657" s="1" t="s">
        <v>347</v>
      </c>
      <c r="D6657" s="3">
        <f t="shared" si="972"/>
        <v>6000</v>
      </c>
      <c r="E6657" s="2">
        <f t="shared" si="973"/>
        <v>39539</v>
      </c>
      <c r="F6657" s="2">
        <f t="shared" si="974"/>
        <v>40908</v>
      </c>
    </row>
    <row r="6658" spans="1:6" x14ac:dyDescent="0.25">
      <c r="A6658" s="1" t="s">
        <v>313</v>
      </c>
      <c r="B6658" s="1" t="s">
        <v>2501</v>
      </c>
      <c r="C6658" s="1" t="s">
        <v>1859</v>
      </c>
      <c r="D6658" s="3">
        <f t="shared" si="972"/>
        <v>6000</v>
      </c>
      <c r="E6658" s="2">
        <f t="shared" si="973"/>
        <v>39539</v>
      </c>
      <c r="F6658" s="2">
        <f t="shared" si="974"/>
        <v>40908</v>
      </c>
    </row>
    <row r="6659" spans="1:6" x14ac:dyDescent="0.25">
      <c r="A6659" s="1" t="s">
        <v>313</v>
      </c>
      <c r="B6659" s="1" t="s">
        <v>2501</v>
      </c>
      <c r="C6659" s="1" t="s">
        <v>597</v>
      </c>
      <c r="D6659" s="3">
        <f t="shared" si="972"/>
        <v>6000</v>
      </c>
      <c r="E6659" s="2">
        <f t="shared" si="973"/>
        <v>39539</v>
      </c>
      <c r="F6659" s="2">
        <f t="shared" si="974"/>
        <v>40908</v>
      </c>
    </row>
    <row r="6660" spans="1:6" x14ac:dyDescent="0.25">
      <c r="A6660" s="1" t="s">
        <v>313</v>
      </c>
      <c r="B6660" s="1" t="s">
        <v>2501</v>
      </c>
      <c r="C6660" s="1" t="s">
        <v>2502</v>
      </c>
      <c r="D6660" s="3">
        <f t="shared" si="972"/>
        <v>6000</v>
      </c>
      <c r="E6660" s="2">
        <f t="shared" si="973"/>
        <v>39539</v>
      </c>
      <c r="F6660" s="2">
        <f t="shared" si="974"/>
        <v>40908</v>
      </c>
    </row>
    <row r="6661" spans="1:6" x14ac:dyDescent="0.25">
      <c r="A6661" s="1" t="s">
        <v>313</v>
      </c>
      <c r="B6661" s="1" t="s">
        <v>2501</v>
      </c>
      <c r="C6661" s="1" t="s">
        <v>2149</v>
      </c>
      <c r="D6661" s="3">
        <f t="shared" si="972"/>
        <v>6000</v>
      </c>
      <c r="E6661" s="2">
        <f t="shared" si="973"/>
        <v>39539</v>
      </c>
      <c r="F6661" s="2">
        <f t="shared" si="974"/>
        <v>40908</v>
      </c>
    </row>
    <row r="6662" spans="1:6" x14ac:dyDescent="0.25">
      <c r="A6662" s="1" t="s">
        <v>313</v>
      </c>
      <c r="B6662" s="1" t="s">
        <v>2501</v>
      </c>
      <c r="C6662" s="1" t="s">
        <v>2503</v>
      </c>
      <c r="D6662" s="3">
        <f t="shared" si="972"/>
        <v>6000</v>
      </c>
      <c r="E6662" s="2">
        <f t="shared" si="973"/>
        <v>39539</v>
      </c>
      <c r="F6662" s="2">
        <f t="shared" si="974"/>
        <v>40908</v>
      </c>
    </row>
    <row r="6663" spans="1:6" x14ac:dyDescent="0.25">
      <c r="A6663" s="1" t="s">
        <v>313</v>
      </c>
      <c r="B6663" s="1" t="s">
        <v>2501</v>
      </c>
      <c r="C6663" s="1" t="s">
        <v>45</v>
      </c>
      <c r="D6663" s="3">
        <f t="shared" si="972"/>
        <v>6000</v>
      </c>
      <c r="E6663" s="2">
        <f t="shared" si="973"/>
        <v>39539</v>
      </c>
      <c r="F6663" s="2">
        <f t="shared" si="974"/>
        <v>40908</v>
      </c>
    </row>
    <row r="6664" spans="1:6" x14ac:dyDescent="0.25">
      <c r="A6664" s="1" t="s">
        <v>313</v>
      </c>
      <c r="B6664" s="1" t="s">
        <v>2501</v>
      </c>
      <c r="C6664" s="1" t="s">
        <v>2504</v>
      </c>
      <c r="D6664" s="3">
        <f t="shared" si="972"/>
        <v>6000</v>
      </c>
      <c r="E6664" s="2">
        <f t="shared" si="973"/>
        <v>39539</v>
      </c>
      <c r="F6664" s="2">
        <f t="shared" si="974"/>
        <v>40908</v>
      </c>
    </row>
    <row r="6665" spans="1:6" x14ac:dyDescent="0.25">
      <c r="A6665" s="1" t="s">
        <v>313</v>
      </c>
      <c r="B6665" s="1" t="s">
        <v>2501</v>
      </c>
      <c r="C6665" s="1" t="s">
        <v>615</v>
      </c>
      <c r="D6665" s="3">
        <f t="shared" si="972"/>
        <v>6000</v>
      </c>
      <c r="E6665" s="2">
        <f t="shared" si="973"/>
        <v>39539</v>
      </c>
      <c r="F6665" s="2">
        <f t="shared" si="974"/>
        <v>40908</v>
      </c>
    </row>
    <row r="6666" spans="1:6" x14ac:dyDescent="0.25">
      <c r="A6666" s="1" t="s">
        <v>313</v>
      </c>
      <c r="B6666" s="1" t="s">
        <v>2501</v>
      </c>
      <c r="C6666" s="1" t="s">
        <v>172</v>
      </c>
      <c r="D6666" s="3">
        <f t="shared" si="972"/>
        <v>6000</v>
      </c>
      <c r="E6666" s="2">
        <f t="shared" si="973"/>
        <v>39539</v>
      </c>
      <c r="F6666" s="2">
        <f t="shared" si="974"/>
        <v>40908</v>
      </c>
    </row>
    <row r="6667" spans="1:6" x14ac:dyDescent="0.25">
      <c r="A6667" s="1" t="s">
        <v>313</v>
      </c>
      <c r="B6667" s="1" t="s">
        <v>2501</v>
      </c>
      <c r="C6667" s="1" t="s">
        <v>211</v>
      </c>
      <c r="D6667" s="3">
        <f t="shared" si="972"/>
        <v>6000</v>
      </c>
      <c r="E6667" s="2">
        <f t="shared" si="973"/>
        <v>39539</v>
      </c>
      <c r="F6667" s="2">
        <f t="shared" si="974"/>
        <v>40908</v>
      </c>
    </row>
    <row r="6668" spans="1:6" x14ac:dyDescent="0.25">
      <c r="A6668" s="1" t="s">
        <v>313</v>
      </c>
      <c r="B6668" s="1" t="s">
        <v>2501</v>
      </c>
      <c r="C6668" s="1" t="s">
        <v>348</v>
      </c>
      <c r="D6668" s="3">
        <f t="shared" si="972"/>
        <v>6000</v>
      </c>
      <c r="E6668" s="2">
        <f t="shared" si="973"/>
        <v>39539</v>
      </c>
      <c r="F6668" s="2">
        <f t="shared" si="974"/>
        <v>40908</v>
      </c>
    </row>
    <row r="6669" spans="1:6" x14ac:dyDescent="0.25">
      <c r="A6669" s="1" t="s">
        <v>313</v>
      </c>
      <c r="B6669" s="1" t="s">
        <v>2501</v>
      </c>
      <c r="C6669" s="1" t="s">
        <v>69</v>
      </c>
      <c r="D6669" s="3">
        <f t="shared" si="972"/>
        <v>6000</v>
      </c>
      <c r="E6669" s="2">
        <f t="shared" si="973"/>
        <v>39539</v>
      </c>
      <c r="F6669" s="2">
        <f t="shared" si="974"/>
        <v>40908</v>
      </c>
    </row>
    <row r="6670" spans="1:6" x14ac:dyDescent="0.25">
      <c r="A6670" s="1" t="s">
        <v>313</v>
      </c>
      <c r="B6670" s="1" t="s">
        <v>2501</v>
      </c>
      <c r="C6670" s="1" t="s">
        <v>503</v>
      </c>
      <c r="D6670" s="3">
        <f t="shared" si="972"/>
        <v>6000</v>
      </c>
      <c r="E6670" s="2">
        <f t="shared" si="973"/>
        <v>39539</v>
      </c>
      <c r="F6670" s="2">
        <f t="shared" si="974"/>
        <v>40908</v>
      </c>
    </row>
    <row r="6671" spans="1:6" x14ac:dyDescent="0.25">
      <c r="A6671" s="1" t="s">
        <v>313</v>
      </c>
      <c r="B6671" s="1" t="s">
        <v>2501</v>
      </c>
      <c r="C6671" s="1" t="s">
        <v>207</v>
      </c>
      <c r="D6671" s="3">
        <f t="shared" si="972"/>
        <v>6000</v>
      </c>
      <c r="E6671" s="2">
        <f t="shared" si="973"/>
        <v>39539</v>
      </c>
      <c r="F6671" s="2">
        <f t="shared" si="974"/>
        <v>40908</v>
      </c>
    </row>
    <row r="6672" spans="1:6" x14ac:dyDescent="0.25">
      <c r="A6672" s="1" t="s">
        <v>313</v>
      </c>
      <c r="B6672" s="1" t="s">
        <v>2501</v>
      </c>
      <c r="C6672" s="1" t="s">
        <v>208</v>
      </c>
      <c r="D6672" s="3">
        <f t="shared" si="972"/>
        <v>6000</v>
      </c>
      <c r="E6672" s="2">
        <f t="shared" si="973"/>
        <v>39539</v>
      </c>
      <c r="F6672" s="2">
        <f t="shared" si="974"/>
        <v>40908</v>
      </c>
    </row>
    <row r="6673" spans="1:6" x14ac:dyDescent="0.25">
      <c r="A6673" s="1" t="s">
        <v>313</v>
      </c>
      <c r="B6673" s="1" t="s">
        <v>2501</v>
      </c>
      <c r="C6673" s="1" t="s">
        <v>2505</v>
      </c>
      <c r="D6673" s="3">
        <f t="shared" si="972"/>
        <v>6000</v>
      </c>
      <c r="E6673" s="2">
        <f t="shared" si="973"/>
        <v>39539</v>
      </c>
      <c r="F6673" s="2">
        <f t="shared" si="974"/>
        <v>40908</v>
      </c>
    </row>
    <row r="6674" spans="1:6" x14ac:dyDescent="0.25">
      <c r="A6674" s="1" t="s">
        <v>313</v>
      </c>
      <c r="B6674" s="1" t="s">
        <v>2501</v>
      </c>
      <c r="C6674" s="1" t="s">
        <v>51</v>
      </c>
      <c r="D6674" s="3">
        <f t="shared" si="972"/>
        <v>6000</v>
      </c>
      <c r="E6674" s="2">
        <f t="shared" si="973"/>
        <v>39539</v>
      </c>
      <c r="F6674" s="2">
        <f t="shared" si="974"/>
        <v>40908</v>
      </c>
    </row>
    <row r="6675" spans="1:6" x14ac:dyDescent="0.25">
      <c r="A6675" s="1" t="s">
        <v>313</v>
      </c>
      <c r="B6675" s="1" t="s">
        <v>2501</v>
      </c>
      <c r="C6675" s="1" t="s">
        <v>121</v>
      </c>
      <c r="D6675" s="3">
        <f t="shared" si="972"/>
        <v>6000</v>
      </c>
      <c r="E6675" s="2">
        <f t="shared" si="973"/>
        <v>39539</v>
      </c>
      <c r="F6675" s="2">
        <f t="shared" si="974"/>
        <v>40908</v>
      </c>
    </row>
    <row r="6676" spans="1:6" x14ac:dyDescent="0.25">
      <c r="A6676" s="1" t="s">
        <v>313</v>
      </c>
      <c r="B6676" s="1" t="s">
        <v>2501</v>
      </c>
      <c r="C6676" s="1" t="s">
        <v>349</v>
      </c>
      <c r="D6676" s="3">
        <f t="shared" si="972"/>
        <v>6000</v>
      </c>
      <c r="E6676" s="2">
        <f t="shared" si="973"/>
        <v>39539</v>
      </c>
      <c r="F6676" s="2">
        <f t="shared" si="974"/>
        <v>40908</v>
      </c>
    </row>
    <row r="6677" spans="1:6" x14ac:dyDescent="0.25">
      <c r="A6677" s="1" t="s">
        <v>313</v>
      </c>
      <c r="B6677" s="1" t="s">
        <v>2501</v>
      </c>
      <c r="C6677" s="1" t="s">
        <v>32</v>
      </c>
      <c r="D6677" s="3">
        <f t="shared" si="972"/>
        <v>6000</v>
      </c>
      <c r="E6677" s="2">
        <f t="shared" si="973"/>
        <v>39539</v>
      </c>
      <c r="F6677" s="2">
        <f t="shared" si="974"/>
        <v>40908</v>
      </c>
    </row>
    <row r="6678" spans="1:6" x14ac:dyDescent="0.25">
      <c r="A6678" s="1" t="s">
        <v>313</v>
      </c>
      <c r="B6678" s="1" t="s">
        <v>2501</v>
      </c>
      <c r="C6678" s="1" t="s">
        <v>111</v>
      </c>
      <c r="D6678" s="3">
        <f t="shared" si="972"/>
        <v>6000</v>
      </c>
      <c r="E6678" s="2">
        <f t="shared" si="973"/>
        <v>39539</v>
      </c>
      <c r="F6678" s="2">
        <f t="shared" si="974"/>
        <v>40908</v>
      </c>
    </row>
    <row r="6679" spans="1:6" x14ac:dyDescent="0.25">
      <c r="A6679" s="1" t="s">
        <v>313</v>
      </c>
      <c r="B6679" s="1" t="s">
        <v>2501</v>
      </c>
      <c r="C6679" s="1" t="s">
        <v>33</v>
      </c>
      <c r="D6679" s="3">
        <f t="shared" si="972"/>
        <v>6000</v>
      </c>
      <c r="E6679" s="2">
        <f t="shared" si="973"/>
        <v>39539</v>
      </c>
      <c r="F6679" s="2">
        <f t="shared" si="974"/>
        <v>40908</v>
      </c>
    </row>
    <row r="6680" spans="1:6" x14ac:dyDescent="0.25">
      <c r="A6680" s="1" t="s">
        <v>313</v>
      </c>
      <c r="B6680" s="1" t="s">
        <v>2501</v>
      </c>
      <c r="C6680" s="1" t="s">
        <v>2506</v>
      </c>
      <c r="D6680" s="3">
        <f t="shared" si="972"/>
        <v>6000</v>
      </c>
      <c r="E6680" s="2">
        <f t="shared" si="973"/>
        <v>39539</v>
      </c>
      <c r="F6680" s="2">
        <f t="shared" si="974"/>
        <v>40908</v>
      </c>
    </row>
    <row r="6681" spans="1:6" x14ac:dyDescent="0.25">
      <c r="A6681" s="1" t="s">
        <v>313</v>
      </c>
      <c r="B6681" s="1" t="s">
        <v>2501</v>
      </c>
      <c r="C6681" s="1" t="s">
        <v>2507</v>
      </c>
      <c r="D6681" s="3">
        <f t="shared" si="972"/>
        <v>6000</v>
      </c>
      <c r="E6681" s="2">
        <f t="shared" si="973"/>
        <v>39539</v>
      </c>
      <c r="F6681" s="2">
        <f t="shared" si="974"/>
        <v>40908</v>
      </c>
    </row>
    <row r="6682" spans="1:6" x14ac:dyDescent="0.25">
      <c r="A6682" s="1" t="s">
        <v>313</v>
      </c>
      <c r="B6682" s="1" t="s">
        <v>2501</v>
      </c>
      <c r="C6682" s="1" t="s">
        <v>2508</v>
      </c>
      <c r="D6682" s="3">
        <f t="shared" si="972"/>
        <v>6000</v>
      </c>
      <c r="E6682" s="2">
        <f t="shared" si="973"/>
        <v>39539</v>
      </c>
      <c r="F6682" s="2">
        <f t="shared" si="974"/>
        <v>40908</v>
      </c>
    </row>
    <row r="6683" spans="1:6" x14ac:dyDescent="0.25">
      <c r="A6683" s="1" t="s">
        <v>313</v>
      </c>
      <c r="B6683" s="1" t="s">
        <v>2501</v>
      </c>
      <c r="C6683" s="1" t="s">
        <v>2509</v>
      </c>
      <c r="D6683" s="3">
        <f t="shared" si="972"/>
        <v>6000</v>
      </c>
      <c r="E6683" s="2">
        <f t="shared" si="973"/>
        <v>39539</v>
      </c>
      <c r="F6683" s="2">
        <f t="shared" si="974"/>
        <v>40908</v>
      </c>
    </row>
    <row r="6684" spans="1:6" x14ac:dyDescent="0.25">
      <c r="A6684" s="1" t="s">
        <v>313</v>
      </c>
      <c r="B6684" s="1" t="s">
        <v>2501</v>
      </c>
      <c r="C6684" s="1" t="s">
        <v>2131</v>
      </c>
      <c r="D6684" s="3">
        <f t="shared" si="972"/>
        <v>6000</v>
      </c>
      <c r="E6684" s="2">
        <f t="shared" si="973"/>
        <v>39539</v>
      </c>
      <c r="F6684" s="2">
        <f t="shared" si="974"/>
        <v>40908</v>
      </c>
    </row>
    <row r="6685" spans="1:6" x14ac:dyDescent="0.25">
      <c r="A6685" s="1" t="s">
        <v>313</v>
      </c>
      <c r="B6685" s="1" t="s">
        <v>2501</v>
      </c>
      <c r="C6685" s="1" t="s">
        <v>2510</v>
      </c>
      <c r="D6685" s="3">
        <f t="shared" si="972"/>
        <v>6000</v>
      </c>
      <c r="E6685" s="2">
        <f t="shared" si="973"/>
        <v>39539</v>
      </c>
      <c r="F6685" s="2">
        <f t="shared" si="974"/>
        <v>40908</v>
      </c>
    </row>
    <row r="6686" spans="1:6" x14ac:dyDescent="0.25">
      <c r="A6686" s="1" t="s">
        <v>313</v>
      </c>
      <c r="B6686" s="1" t="s">
        <v>2501</v>
      </c>
      <c r="C6686" s="1" t="s">
        <v>2511</v>
      </c>
      <c r="D6686" s="3">
        <f t="shared" si="972"/>
        <v>6000</v>
      </c>
      <c r="E6686" s="2">
        <f t="shared" si="973"/>
        <v>39539</v>
      </c>
      <c r="F6686" s="2">
        <f t="shared" si="974"/>
        <v>40908</v>
      </c>
    </row>
    <row r="6687" spans="1:6" x14ac:dyDescent="0.25">
      <c r="A6687" s="1" t="s">
        <v>313</v>
      </c>
      <c r="B6687" s="1" t="s">
        <v>2501</v>
      </c>
      <c r="C6687" s="1" t="s">
        <v>2512</v>
      </c>
      <c r="D6687" s="3">
        <f t="shared" si="972"/>
        <v>6000</v>
      </c>
      <c r="E6687" s="2">
        <f t="shared" si="973"/>
        <v>39539</v>
      </c>
      <c r="F6687" s="2">
        <f t="shared" si="974"/>
        <v>40908</v>
      </c>
    </row>
    <row r="6688" spans="1:6" x14ac:dyDescent="0.25">
      <c r="A6688" s="1" t="s">
        <v>313</v>
      </c>
      <c r="B6688" s="1" t="s">
        <v>2501</v>
      </c>
      <c r="C6688" s="1" t="s">
        <v>2513</v>
      </c>
      <c r="D6688" s="3">
        <f t="shared" si="972"/>
        <v>6000</v>
      </c>
      <c r="E6688" s="2">
        <f t="shared" si="973"/>
        <v>39539</v>
      </c>
      <c r="F6688" s="2">
        <f t="shared" si="974"/>
        <v>40908</v>
      </c>
    </row>
    <row r="6689" spans="1:6" x14ac:dyDescent="0.25">
      <c r="A6689" s="1" t="s">
        <v>313</v>
      </c>
      <c r="B6689" s="1" t="s">
        <v>2501</v>
      </c>
      <c r="C6689" s="1" t="s">
        <v>2514</v>
      </c>
      <c r="D6689" s="3">
        <f t="shared" si="972"/>
        <v>6000</v>
      </c>
      <c r="E6689" s="2">
        <f t="shared" si="973"/>
        <v>39539</v>
      </c>
      <c r="F6689" s="2">
        <f t="shared" si="974"/>
        <v>40908</v>
      </c>
    </row>
    <row r="6690" spans="1:6" x14ac:dyDescent="0.25">
      <c r="A6690" s="1" t="s">
        <v>313</v>
      </c>
      <c r="B6690" s="1" t="s">
        <v>2501</v>
      </c>
      <c r="C6690" s="1" t="s">
        <v>2515</v>
      </c>
      <c r="D6690" s="3">
        <f t="shared" si="972"/>
        <v>6000</v>
      </c>
      <c r="E6690" s="2">
        <f t="shared" si="973"/>
        <v>39539</v>
      </c>
      <c r="F6690" s="2">
        <f t="shared" si="974"/>
        <v>40908</v>
      </c>
    </row>
    <row r="6691" spans="1:6" x14ac:dyDescent="0.25">
      <c r="A6691" s="1" t="s">
        <v>313</v>
      </c>
      <c r="B6691" s="1" t="s">
        <v>2501</v>
      </c>
      <c r="C6691" s="1" t="s">
        <v>519</v>
      </c>
      <c r="D6691" s="3">
        <f t="shared" si="972"/>
        <v>6000</v>
      </c>
      <c r="E6691" s="2">
        <f t="shared" si="973"/>
        <v>39539</v>
      </c>
      <c r="F6691" s="2">
        <f t="shared" si="974"/>
        <v>40908</v>
      </c>
    </row>
    <row r="6692" spans="1:6" x14ac:dyDescent="0.25">
      <c r="A6692" s="1" t="s">
        <v>313</v>
      </c>
      <c r="B6692" s="1" t="s">
        <v>2501</v>
      </c>
      <c r="C6692" s="1" t="s">
        <v>1874</v>
      </c>
      <c r="D6692" s="3">
        <f t="shared" si="972"/>
        <v>6000</v>
      </c>
      <c r="E6692" s="2">
        <f t="shared" si="973"/>
        <v>39539</v>
      </c>
      <c r="F6692" s="2">
        <f t="shared" si="974"/>
        <v>40908</v>
      </c>
    </row>
    <row r="6693" spans="1:6" x14ac:dyDescent="0.25">
      <c r="A6693" s="1" t="s">
        <v>313</v>
      </c>
      <c r="B6693" s="1" t="s">
        <v>2501</v>
      </c>
      <c r="C6693" s="1" t="s">
        <v>1697</v>
      </c>
      <c r="D6693" s="3">
        <f t="shared" si="972"/>
        <v>6000</v>
      </c>
      <c r="E6693" s="2">
        <f t="shared" si="973"/>
        <v>39539</v>
      </c>
      <c r="F6693" s="2">
        <f t="shared" si="974"/>
        <v>40908</v>
      </c>
    </row>
    <row r="6694" spans="1:6" x14ac:dyDescent="0.25">
      <c r="A6694" s="1" t="s">
        <v>344</v>
      </c>
      <c r="B6694" s="1" t="s">
        <v>1444</v>
      </c>
      <c r="C6694" s="1" t="s">
        <v>61</v>
      </c>
      <c r="D6694" s="3">
        <f t="shared" ref="D6694:D6702" si="975">VALUE("8659")</f>
        <v>8659</v>
      </c>
      <c r="E6694" s="2">
        <f t="shared" ref="E6694:E6731" si="976">DATEVALUE("1-2-2020")</f>
        <v>43862</v>
      </c>
      <c r="F6694" s="2">
        <f t="shared" ref="F6694:F6702" si="977">DATEVALUE("30-6-2022")</f>
        <v>44742</v>
      </c>
    </row>
    <row r="6695" spans="1:6" x14ac:dyDescent="0.25">
      <c r="A6695" s="1" t="s">
        <v>344</v>
      </c>
      <c r="B6695" s="1" t="s">
        <v>1444</v>
      </c>
      <c r="C6695" s="1" t="s">
        <v>14</v>
      </c>
      <c r="D6695" s="3">
        <f t="shared" si="975"/>
        <v>8659</v>
      </c>
      <c r="E6695" s="2">
        <f t="shared" si="976"/>
        <v>43862</v>
      </c>
      <c r="F6695" s="2">
        <f t="shared" si="977"/>
        <v>44742</v>
      </c>
    </row>
    <row r="6696" spans="1:6" x14ac:dyDescent="0.25">
      <c r="A6696" s="1" t="s">
        <v>344</v>
      </c>
      <c r="B6696" s="1" t="s">
        <v>1444</v>
      </c>
      <c r="C6696" s="1" t="s">
        <v>15</v>
      </c>
      <c r="D6696" s="3">
        <f t="shared" si="975"/>
        <v>8659</v>
      </c>
      <c r="E6696" s="2">
        <f t="shared" si="976"/>
        <v>43862</v>
      </c>
      <c r="F6696" s="2">
        <f t="shared" si="977"/>
        <v>44742</v>
      </c>
    </row>
    <row r="6697" spans="1:6" x14ac:dyDescent="0.25">
      <c r="A6697" s="1" t="s">
        <v>344</v>
      </c>
      <c r="B6697" s="1" t="s">
        <v>1444</v>
      </c>
      <c r="C6697" s="1" t="s">
        <v>17</v>
      </c>
      <c r="D6697" s="3">
        <f t="shared" si="975"/>
        <v>8659</v>
      </c>
      <c r="E6697" s="2">
        <f t="shared" si="976"/>
        <v>43862</v>
      </c>
      <c r="F6697" s="2">
        <f t="shared" si="977"/>
        <v>44742</v>
      </c>
    </row>
    <row r="6698" spans="1:6" x14ac:dyDescent="0.25">
      <c r="A6698" s="1" t="s">
        <v>344</v>
      </c>
      <c r="B6698" s="1" t="s">
        <v>1444</v>
      </c>
      <c r="C6698" s="1" t="s">
        <v>22</v>
      </c>
      <c r="D6698" s="3">
        <f t="shared" si="975"/>
        <v>8659</v>
      </c>
      <c r="E6698" s="2">
        <f t="shared" si="976"/>
        <v>43862</v>
      </c>
      <c r="F6698" s="2">
        <f t="shared" si="977"/>
        <v>44742</v>
      </c>
    </row>
    <row r="6699" spans="1:6" x14ac:dyDescent="0.25">
      <c r="A6699" s="1" t="s">
        <v>344</v>
      </c>
      <c r="B6699" s="1" t="s">
        <v>1444</v>
      </c>
      <c r="C6699" s="1" t="s">
        <v>1244</v>
      </c>
      <c r="D6699" s="3">
        <f t="shared" si="975"/>
        <v>8659</v>
      </c>
      <c r="E6699" s="2">
        <f t="shared" si="976"/>
        <v>43862</v>
      </c>
      <c r="F6699" s="2">
        <f t="shared" si="977"/>
        <v>44742</v>
      </c>
    </row>
    <row r="6700" spans="1:6" x14ac:dyDescent="0.25">
      <c r="A6700" s="1" t="s">
        <v>344</v>
      </c>
      <c r="B6700" s="1" t="s">
        <v>1444</v>
      </c>
      <c r="C6700" s="1" t="s">
        <v>73</v>
      </c>
      <c r="D6700" s="3">
        <f t="shared" si="975"/>
        <v>8659</v>
      </c>
      <c r="E6700" s="2">
        <f t="shared" si="976"/>
        <v>43862</v>
      </c>
      <c r="F6700" s="2">
        <f t="shared" si="977"/>
        <v>44742</v>
      </c>
    </row>
    <row r="6701" spans="1:6" x14ac:dyDescent="0.25">
      <c r="A6701" s="1" t="s">
        <v>344</v>
      </c>
      <c r="B6701" s="1" t="s">
        <v>1444</v>
      </c>
      <c r="C6701" s="1" t="s">
        <v>52</v>
      </c>
      <c r="D6701" s="3">
        <f t="shared" si="975"/>
        <v>8659</v>
      </c>
      <c r="E6701" s="2">
        <f t="shared" si="976"/>
        <v>43862</v>
      </c>
      <c r="F6701" s="2">
        <f t="shared" si="977"/>
        <v>44742</v>
      </c>
    </row>
    <row r="6702" spans="1:6" x14ac:dyDescent="0.25">
      <c r="A6702" s="1" t="s">
        <v>344</v>
      </c>
      <c r="B6702" s="1" t="s">
        <v>1444</v>
      </c>
      <c r="C6702" s="1" t="s">
        <v>34</v>
      </c>
      <c r="D6702" s="3">
        <f t="shared" si="975"/>
        <v>8659</v>
      </c>
      <c r="E6702" s="2">
        <f t="shared" si="976"/>
        <v>43862</v>
      </c>
      <c r="F6702" s="2">
        <f t="shared" si="977"/>
        <v>44742</v>
      </c>
    </row>
    <row r="6703" spans="1:6" x14ac:dyDescent="0.25">
      <c r="A6703" s="1" t="s">
        <v>344</v>
      </c>
      <c r="B6703" s="1" t="s">
        <v>1496</v>
      </c>
      <c r="C6703" s="1" t="s">
        <v>61</v>
      </c>
      <c r="D6703" s="3">
        <f t="shared" ref="D6703:D6731" si="978">VALUE("8692")</f>
        <v>8692</v>
      </c>
      <c r="E6703" s="2">
        <f t="shared" si="976"/>
        <v>43862</v>
      </c>
      <c r="F6703" s="2">
        <f t="shared" ref="F6703:F6731" si="979">DATEVALUE("31-1-2021")</f>
        <v>44227</v>
      </c>
    </row>
    <row r="6704" spans="1:6" x14ac:dyDescent="0.25">
      <c r="A6704" s="1" t="s">
        <v>344</v>
      </c>
      <c r="B6704" s="1" t="s">
        <v>1496</v>
      </c>
      <c r="C6704" s="1" t="s">
        <v>43</v>
      </c>
      <c r="D6704" s="3">
        <f t="shared" si="978"/>
        <v>8692</v>
      </c>
      <c r="E6704" s="2">
        <f t="shared" si="976"/>
        <v>43862</v>
      </c>
      <c r="F6704" s="2">
        <f t="shared" si="979"/>
        <v>44227</v>
      </c>
    </row>
    <row r="6705" spans="1:6" x14ac:dyDescent="0.25">
      <c r="A6705" s="1" t="s">
        <v>344</v>
      </c>
      <c r="B6705" s="1" t="s">
        <v>1496</v>
      </c>
      <c r="C6705" s="1" t="s">
        <v>346</v>
      </c>
      <c r="D6705" s="3">
        <f t="shared" si="978"/>
        <v>8692</v>
      </c>
      <c r="E6705" s="2">
        <f t="shared" si="976"/>
        <v>43862</v>
      </c>
      <c r="F6705" s="2">
        <f t="shared" si="979"/>
        <v>44227</v>
      </c>
    </row>
    <row r="6706" spans="1:6" x14ac:dyDescent="0.25">
      <c r="A6706" s="1" t="s">
        <v>344</v>
      </c>
      <c r="B6706" s="1" t="s">
        <v>1496</v>
      </c>
      <c r="C6706" s="1" t="s">
        <v>587</v>
      </c>
      <c r="D6706" s="3">
        <f t="shared" si="978"/>
        <v>8692</v>
      </c>
      <c r="E6706" s="2">
        <f t="shared" si="976"/>
        <v>43862</v>
      </c>
      <c r="F6706" s="2">
        <f t="shared" si="979"/>
        <v>44227</v>
      </c>
    </row>
    <row r="6707" spans="1:6" x14ac:dyDescent="0.25">
      <c r="A6707" s="1" t="s">
        <v>344</v>
      </c>
      <c r="B6707" s="1" t="s">
        <v>1496</v>
      </c>
      <c r="C6707" s="1" t="s">
        <v>676</v>
      </c>
      <c r="D6707" s="3">
        <f t="shared" si="978"/>
        <v>8692</v>
      </c>
      <c r="E6707" s="2">
        <f t="shared" si="976"/>
        <v>43862</v>
      </c>
      <c r="F6707" s="2">
        <f t="shared" si="979"/>
        <v>44227</v>
      </c>
    </row>
    <row r="6708" spans="1:6" x14ac:dyDescent="0.25">
      <c r="A6708" s="1" t="s">
        <v>344</v>
      </c>
      <c r="B6708" s="1" t="s">
        <v>1496</v>
      </c>
      <c r="C6708" s="1" t="s">
        <v>141</v>
      </c>
      <c r="D6708" s="3">
        <f t="shared" si="978"/>
        <v>8692</v>
      </c>
      <c r="E6708" s="2">
        <f t="shared" si="976"/>
        <v>43862</v>
      </c>
      <c r="F6708" s="2">
        <f t="shared" si="979"/>
        <v>44227</v>
      </c>
    </row>
    <row r="6709" spans="1:6" x14ac:dyDescent="0.25">
      <c r="A6709" s="1" t="s">
        <v>344</v>
      </c>
      <c r="B6709" s="1" t="s">
        <v>1496</v>
      </c>
      <c r="C6709" s="1" t="s">
        <v>142</v>
      </c>
      <c r="D6709" s="3">
        <f t="shared" si="978"/>
        <v>8692</v>
      </c>
      <c r="E6709" s="2">
        <f t="shared" si="976"/>
        <v>43862</v>
      </c>
      <c r="F6709" s="2">
        <f t="shared" si="979"/>
        <v>44227</v>
      </c>
    </row>
    <row r="6710" spans="1:6" x14ac:dyDescent="0.25">
      <c r="A6710" s="1" t="s">
        <v>344</v>
      </c>
      <c r="B6710" s="1" t="s">
        <v>1496</v>
      </c>
      <c r="C6710" s="1" t="s">
        <v>14</v>
      </c>
      <c r="D6710" s="3">
        <f t="shared" si="978"/>
        <v>8692</v>
      </c>
      <c r="E6710" s="2">
        <f t="shared" si="976"/>
        <v>43862</v>
      </c>
      <c r="F6710" s="2">
        <f t="shared" si="979"/>
        <v>44227</v>
      </c>
    </row>
    <row r="6711" spans="1:6" x14ac:dyDescent="0.25">
      <c r="A6711" s="1" t="s">
        <v>344</v>
      </c>
      <c r="B6711" s="1" t="s">
        <v>1496</v>
      </c>
      <c r="C6711" s="1" t="s">
        <v>15</v>
      </c>
      <c r="D6711" s="3">
        <f t="shared" si="978"/>
        <v>8692</v>
      </c>
      <c r="E6711" s="2">
        <f t="shared" si="976"/>
        <v>43862</v>
      </c>
      <c r="F6711" s="2">
        <f t="shared" si="979"/>
        <v>44227</v>
      </c>
    </row>
    <row r="6712" spans="1:6" x14ac:dyDescent="0.25">
      <c r="A6712" s="1" t="s">
        <v>344</v>
      </c>
      <c r="B6712" s="1" t="s">
        <v>1496</v>
      </c>
      <c r="C6712" s="1" t="s">
        <v>17</v>
      </c>
      <c r="D6712" s="3">
        <f t="shared" si="978"/>
        <v>8692</v>
      </c>
      <c r="E6712" s="2">
        <f t="shared" si="976"/>
        <v>43862</v>
      </c>
      <c r="F6712" s="2">
        <f t="shared" si="979"/>
        <v>44227</v>
      </c>
    </row>
    <row r="6713" spans="1:6" x14ac:dyDescent="0.25">
      <c r="A6713" s="1" t="s">
        <v>344</v>
      </c>
      <c r="B6713" s="1" t="s">
        <v>1496</v>
      </c>
      <c r="C6713" s="1" t="s">
        <v>22</v>
      </c>
      <c r="D6713" s="3">
        <f t="shared" si="978"/>
        <v>8692</v>
      </c>
      <c r="E6713" s="2">
        <f t="shared" si="976"/>
        <v>43862</v>
      </c>
      <c r="F6713" s="2">
        <f t="shared" si="979"/>
        <v>44227</v>
      </c>
    </row>
    <row r="6714" spans="1:6" x14ac:dyDescent="0.25">
      <c r="A6714" s="1" t="s">
        <v>344</v>
      </c>
      <c r="B6714" s="1" t="s">
        <v>1496</v>
      </c>
      <c r="C6714" s="1" t="s">
        <v>146</v>
      </c>
      <c r="D6714" s="3">
        <f t="shared" si="978"/>
        <v>8692</v>
      </c>
      <c r="E6714" s="2">
        <f t="shared" si="976"/>
        <v>43862</v>
      </c>
      <c r="F6714" s="2">
        <f t="shared" si="979"/>
        <v>44227</v>
      </c>
    </row>
    <row r="6715" spans="1:6" x14ac:dyDescent="0.25">
      <c r="A6715" s="1" t="s">
        <v>344</v>
      </c>
      <c r="B6715" s="1" t="s">
        <v>1496</v>
      </c>
      <c r="C6715" s="1" t="s">
        <v>67</v>
      </c>
      <c r="D6715" s="3">
        <f t="shared" si="978"/>
        <v>8692</v>
      </c>
      <c r="E6715" s="2">
        <f t="shared" si="976"/>
        <v>43862</v>
      </c>
      <c r="F6715" s="2">
        <f t="shared" si="979"/>
        <v>44227</v>
      </c>
    </row>
    <row r="6716" spans="1:6" x14ac:dyDescent="0.25">
      <c r="A6716" s="1" t="s">
        <v>344</v>
      </c>
      <c r="B6716" s="1" t="s">
        <v>1496</v>
      </c>
      <c r="C6716" s="1" t="s">
        <v>92</v>
      </c>
      <c r="D6716" s="3">
        <f t="shared" si="978"/>
        <v>8692</v>
      </c>
      <c r="E6716" s="2">
        <f t="shared" si="976"/>
        <v>43862</v>
      </c>
      <c r="F6716" s="2">
        <f t="shared" si="979"/>
        <v>44227</v>
      </c>
    </row>
    <row r="6717" spans="1:6" x14ac:dyDescent="0.25">
      <c r="A6717" s="1" t="s">
        <v>344</v>
      </c>
      <c r="B6717" s="1" t="s">
        <v>1496</v>
      </c>
      <c r="C6717" s="1" t="s">
        <v>24</v>
      </c>
      <c r="D6717" s="3">
        <f t="shared" si="978"/>
        <v>8692</v>
      </c>
      <c r="E6717" s="2">
        <f t="shared" si="976"/>
        <v>43862</v>
      </c>
      <c r="F6717" s="2">
        <f t="shared" si="979"/>
        <v>44227</v>
      </c>
    </row>
    <row r="6718" spans="1:6" x14ac:dyDescent="0.25">
      <c r="A6718" s="1" t="s">
        <v>344</v>
      </c>
      <c r="B6718" s="1" t="s">
        <v>1496</v>
      </c>
      <c r="C6718" s="1" t="s">
        <v>516</v>
      </c>
      <c r="D6718" s="3">
        <f t="shared" si="978"/>
        <v>8692</v>
      </c>
      <c r="E6718" s="2">
        <f t="shared" si="976"/>
        <v>43862</v>
      </c>
      <c r="F6718" s="2">
        <f t="shared" si="979"/>
        <v>44227</v>
      </c>
    </row>
    <row r="6719" spans="1:6" x14ac:dyDescent="0.25">
      <c r="A6719" s="1" t="s">
        <v>344</v>
      </c>
      <c r="B6719" s="1" t="s">
        <v>1496</v>
      </c>
      <c r="C6719" s="1" t="s">
        <v>293</v>
      </c>
      <c r="D6719" s="3">
        <f t="shared" si="978"/>
        <v>8692</v>
      </c>
      <c r="E6719" s="2">
        <f t="shared" si="976"/>
        <v>43862</v>
      </c>
      <c r="F6719" s="2">
        <f t="shared" si="979"/>
        <v>44227</v>
      </c>
    </row>
    <row r="6720" spans="1:6" x14ac:dyDescent="0.25">
      <c r="A6720" s="1" t="s">
        <v>344</v>
      </c>
      <c r="B6720" s="1" t="s">
        <v>1496</v>
      </c>
      <c r="C6720" s="1" t="s">
        <v>294</v>
      </c>
      <c r="D6720" s="3">
        <f t="shared" si="978"/>
        <v>8692</v>
      </c>
      <c r="E6720" s="2">
        <f t="shared" si="976"/>
        <v>43862</v>
      </c>
      <c r="F6720" s="2">
        <f t="shared" si="979"/>
        <v>44227</v>
      </c>
    </row>
    <row r="6721" spans="1:6" x14ac:dyDescent="0.25">
      <c r="A6721" s="1" t="s">
        <v>344</v>
      </c>
      <c r="B6721" s="1" t="s">
        <v>1496</v>
      </c>
      <c r="C6721" s="1" t="s">
        <v>73</v>
      </c>
      <c r="D6721" s="3">
        <f t="shared" si="978"/>
        <v>8692</v>
      </c>
      <c r="E6721" s="2">
        <f t="shared" si="976"/>
        <v>43862</v>
      </c>
      <c r="F6721" s="2">
        <f t="shared" si="979"/>
        <v>44227</v>
      </c>
    </row>
    <row r="6722" spans="1:6" x14ac:dyDescent="0.25">
      <c r="A6722" s="1" t="s">
        <v>344</v>
      </c>
      <c r="B6722" s="1" t="s">
        <v>1496</v>
      </c>
      <c r="C6722" s="1" t="s">
        <v>296</v>
      </c>
      <c r="D6722" s="3">
        <f t="shared" si="978"/>
        <v>8692</v>
      </c>
      <c r="E6722" s="2">
        <f t="shared" si="976"/>
        <v>43862</v>
      </c>
      <c r="F6722" s="2">
        <f t="shared" si="979"/>
        <v>44227</v>
      </c>
    </row>
    <row r="6723" spans="1:6" x14ac:dyDescent="0.25">
      <c r="A6723" s="1" t="s">
        <v>344</v>
      </c>
      <c r="B6723" s="1" t="s">
        <v>1496</v>
      </c>
      <c r="C6723" s="1" t="s">
        <v>297</v>
      </c>
      <c r="D6723" s="3">
        <f t="shared" si="978"/>
        <v>8692</v>
      </c>
      <c r="E6723" s="2">
        <f t="shared" si="976"/>
        <v>43862</v>
      </c>
      <c r="F6723" s="2">
        <f t="shared" si="979"/>
        <v>44227</v>
      </c>
    </row>
    <row r="6724" spans="1:6" x14ac:dyDescent="0.25">
      <c r="A6724" s="1" t="s">
        <v>344</v>
      </c>
      <c r="B6724" s="1" t="s">
        <v>1496</v>
      </c>
      <c r="C6724" s="1" t="s">
        <v>298</v>
      </c>
      <c r="D6724" s="3">
        <f t="shared" si="978"/>
        <v>8692</v>
      </c>
      <c r="E6724" s="2">
        <f t="shared" si="976"/>
        <v>43862</v>
      </c>
      <c r="F6724" s="2">
        <f t="shared" si="979"/>
        <v>44227</v>
      </c>
    </row>
    <row r="6725" spans="1:6" x14ac:dyDescent="0.25">
      <c r="A6725" s="1" t="s">
        <v>344</v>
      </c>
      <c r="B6725" s="1" t="s">
        <v>1496</v>
      </c>
      <c r="C6725" s="1" t="s">
        <v>299</v>
      </c>
      <c r="D6725" s="3">
        <f t="shared" si="978"/>
        <v>8692</v>
      </c>
      <c r="E6725" s="2">
        <f t="shared" si="976"/>
        <v>43862</v>
      </c>
      <c r="F6725" s="2">
        <f t="shared" si="979"/>
        <v>44227</v>
      </c>
    </row>
    <row r="6726" spans="1:6" x14ac:dyDescent="0.25">
      <c r="A6726" s="1" t="s">
        <v>344</v>
      </c>
      <c r="B6726" s="1" t="s">
        <v>1496</v>
      </c>
      <c r="C6726" s="1" t="s">
        <v>300</v>
      </c>
      <c r="D6726" s="3">
        <f t="shared" si="978"/>
        <v>8692</v>
      </c>
      <c r="E6726" s="2">
        <f t="shared" si="976"/>
        <v>43862</v>
      </c>
      <c r="F6726" s="2">
        <f t="shared" si="979"/>
        <v>44227</v>
      </c>
    </row>
    <row r="6727" spans="1:6" x14ac:dyDescent="0.25">
      <c r="A6727" s="1" t="s">
        <v>344</v>
      </c>
      <c r="B6727" s="1" t="s">
        <v>1496</v>
      </c>
      <c r="C6727" s="1" t="s">
        <v>301</v>
      </c>
      <c r="D6727" s="3">
        <f t="shared" si="978"/>
        <v>8692</v>
      </c>
      <c r="E6727" s="2">
        <f t="shared" si="976"/>
        <v>43862</v>
      </c>
      <c r="F6727" s="2">
        <f t="shared" si="979"/>
        <v>44227</v>
      </c>
    </row>
    <row r="6728" spans="1:6" x14ac:dyDescent="0.25">
      <c r="A6728" s="1" t="s">
        <v>344</v>
      </c>
      <c r="B6728" s="1" t="s">
        <v>1496</v>
      </c>
      <c r="C6728" s="1" t="s">
        <v>302</v>
      </c>
      <c r="D6728" s="3">
        <f t="shared" si="978"/>
        <v>8692</v>
      </c>
      <c r="E6728" s="2">
        <f t="shared" si="976"/>
        <v>43862</v>
      </c>
      <c r="F6728" s="2">
        <f t="shared" si="979"/>
        <v>44227</v>
      </c>
    </row>
    <row r="6729" spans="1:6" x14ac:dyDescent="0.25">
      <c r="A6729" s="1" t="s">
        <v>344</v>
      </c>
      <c r="B6729" s="1" t="s">
        <v>1496</v>
      </c>
      <c r="C6729" s="1" t="s">
        <v>52</v>
      </c>
      <c r="D6729" s="3">
        <f t="shared" si="978"/>
        <v>8692</v>
      </c>
      <c r="E6729" s="2">
        <f t="shared" si="976"/>
        <v>43862</v>
      </c>
      <c r="F6729" s="2">
        <f t="shared" si="979"/>
        <v>44227</v>
      </c>
    </row>
    <row r="6730" spans="1:6" x14ac:dyDescent="0.25">
      <c r="A6730" s="1" t="s">
        <v>344</v>
      </c>
      <c r="B6730" s="1" t="s">
        <v>1496</v>
      </c>
      <c r="C6730" s="1" t="s">
        <v>160</v>
      </c>
      <c r="D6730" s="3">
        <f t="shared" si="978"/>
        <v>8692</v>
      </c>
      <c r="E6730" s="2">
        <f t="shared" si="976"/>
        <v>43862</v>
      </c>
      <c r="F6730" s="2">
        <f t="shared" si="979"/>
        <v>44227</v>
      </c>
    </row>
    <row r="6731" spans="1:6" x14ac:dyDescent="0.25">
      <c r="A6731" s="1" t="s">
        <v>344</v>
      </c>
      <c r="B6731" s="1" t="s">
        <v>1496</v>
      </c>
      <c r="C6731" s="1" t="s">
        <v>34</v>
      </c>
      <c r="D6731" s="3">
        <f t="shared" si="978"/>
        <v>8692</v>
      </c>
      <c r="E6731" s="2">
        <f t="shared" si="976"/>
        <v>43862</v>
      </c>
      <c r="F6731" s="2">
        <f t="shared" si="979"/>
        <v>44227</v>
      </c>
    </row>
    <row r="6732" spans="1:6" x14ac:dyDescent="0.25">
      <c r="A6732" s="1" t="s">
        <v>344</v>
      </c>
      <c r="B6732" s="1" t="s">
        <v>1243</v>
      </c>
      <c r="C6732" s="1" t="s">
        <v>61</v>
      </c>
      <c r="D6732" s="3">
        <f t="shared" ref="D6732:D6738" si="980">VALUE("8493")</f>
        <v>8493</v>
      </c>
      <c r="E6732" s="2">
        <f t="shared" ref="E6732:E6738" si="981">DATEVALUE("1-4-2019")</f>
        <v>43556</v>
      </c>
      <c r="F6732" s="2">
        <f t="shared" ref="F6732:F6738" si="982">DATEVALUE("31-12-2020")</f>
        <v>44196</v>
      </c>
    </row>
    <row r="6733" spans="1:6" x14ac:dyDescent="0.25">
      <c r="A6733" s="1" t="s">
        <v>344</v>
      </c>
      <c r="B6733" s="1" t="s">
        <v>1243</v>
      </c>
      <c r="C6733" s="1" t="s">
        <v>146</v>
      </c>
      <c r="D6733" s="3">
        <f t="shared" si="980"/>
        <v>8493</v>
      </c>
      <c r="E6733" s="2">
        <f t="shared" si="981"/>
        <v>43556</v>
      </c>
      <c r="F6733" s="2">
        <f t="shared" si="982"/>
        <v>44196</v>
      </c>
    </row>
    <row r="6734" spans="1:6" x14ac:dyDescent="0.25">
      <c r="A6734" s="1" t="s">
        <v>344</v>
      </c>
      <c r="B6734" s="1" t="s">
        <v>1243</v>
      </c>
      <c r="C6734" s="1" t="s">
        <v>1244</v>
      </c>
      <c r="D6734" s="3">
        <f t="shared" si="980"/>
        <v>8493</v>
      </c>
      <c r="E6734" s="2">
        <f t="shared" si="981"/>
        <v>43556</v>
      </c>
      <c r="F6734" s="2">
        <f t="shared" si="982"/>
        <v>44196</v>
      </c>
    </row>
    <row r="6735" spans="1:6" x14ac:dyDescent="0.25">
      <c r="A6735" s="1" t="s">
        <v>344</v>
      </c>
      <c r="B6735" s="1" t="s">
        <v>1243</v>
      </c>
      <c r="C6735" s="1" t="s">
        <v>69</v>
      </c>
      <c r="D6735" s="3">
        <f t="shared" si="980"/>
        <v>8493</v>
      </c>
      <c r="E6735" s="2">
        <f t="shared" si="981"/>
        <v>43556</v>
      </c>
      <c r="F6735" s="2">
        <f t="shared" si="982"/>
        <v>44196</v>
      </c>
    </row>
    <row r="6736" spans="1:6" x14ac:dyDescent="0.25">
      <c r="A6736" s="1" t="s">
        <v>344</v>
      </c>
      <c r="B6736" s="1" t="s">
        <v>1243</v>
      </c>
      <c r="C6736" s="1" t="s">
        <v>73</v>
      </c>
      <c r="D6736" s="3">
        <f t="shared" si="980"/>
        <v>8493</v>
      </c>
      <c r="E6736" s="2">
        <f t="shared" si="981"/>
        <v>43556</v>
      </c>
      <c r="F6736" s="2">
        <f t="shared" si="982"/>
        <v>44196</v>
      </c>
    </row>
    <row r="6737" spans="1:6" x14ac:dyDescent="0.25">
      <c r="A6737" s="1" t="s">
        <v>344</v>
      </c>
      <c r="B6737" s="1" t="s">
        <v>1243</v>
      </c>
      <c r="C6737" s="1" t="s">
        <v>52</v>
      </c>
      <c r="D6737" s="3">
        <f t="shared" si="980"/>
        <v>8493</v>
      </c>
      <c r="E6737" s="2">
        <f t="shared" si="981"/>
        <v>43556</v>
      </c>
      <c r="F6737" s="2">
        <f t="shared" si="982"/>
        <v>44196</v>
      </c>
    </row>
    <row r="6738" spans="1:6" x14ac:dyDescent="0.25">
      <c r="A6738" s="1" t="s">
        <v>344</v>
      </c>
      <c r="B6738" s="1" t="s">
        <v>1243</v>
      </c>
      <c r="C6738" s="1" t="s">
        <v>1245</v>
      </c>
      <c r="D6738" s="3">
        <f t="shared" si="980"/>
        <v>8493</v>
      </c>
      <c r="E6738" s="2">
        <f t="shared" si="981"/>
        <v>43556</v>
      </c>
      <c r="F6738" s="2">
        <f t="shared" si="982"/>
        <v>44196</v>
      </c>
    </row>
    <row r="6739" spans="1:6" x14ac:dyDescent="0.25">
      <c r="A6739" s="1" t="s">
        <v>344</v>
      </c>
      <c r="B6739" s="1" t="s">
        <v>2057</v>
      </c>
      <c r="C6739" s="1" t="s">
        <v>346</v>
      </c>
      <c r="D6739" s="3">
        <f t="shared" ref="D6739:D6748" si="983">VALUE("8188")</f>
        <v>8188</v>
      </c>
      <c r="E6739" s="2">
        <f t="shared" ref="E6739:E6748" si="984">DATEVALUE("1-11-2017")</f>
        <v>43040</v>
      </c>
      <c r="F6739" s="2">
        <f t="shared" ref="F6739:F6748" si="985">DATEVALUE("31-3-2018")</f>
        <v>43190</v>
      </c>
    </row>
    <row r="6740" spans="1:6" x14ac:dyDescent="0.25">
      <c r="A6740" s="1" t="s">
        <v>344</v>
      </c>
      <c r="B6740" s="1" t="s">
        <v>2057</v>
      </c>
      <c r="C6740" s="1" t="s">
        <v>683</v>
      </c>
      <c r="D6740" s="3">
        <f t="shared" si="983"/>
        <v>8188</v>
      </c>
      <c r="E6740" s="2">
        <f t="shared" si="984"/>
        <v>43040</v>
      </c>
      <c r="F6740" s="2">
        <f t="shared" si="985"/>
        <v>43190</v>
      </c>
    </row>
    <row r="6741" spans="1:6" x14ac:dyDescent="0.25">
      <c r="A6741" s="1" t="s">
        <v>344</v>
      </c>
      <c r="B6741" s="1" t="s">
        <v>2057</v>
      </c>
      <c r="C6741" s="1" t="s">
        <v>14</v>
      </c>
      <c r="D6741" s="3">
        <f t="shared" si="983"/>
        <v>8188</v>
      </c>
      <c r="E6741" s="2">
        <f t="shared" si="984"/>
        <v>43040</v>
      </c>
      <c r="F6741" s="2">
        <f t="shared" si="985"/>
        <v>43190</v>
      </c>
    </row>
    <row r="6742" spans="1:6" x14ac:dyDescent="0.25">
      <c r="A6742" s="1" t="s">
        <v>344</v>
      </c>
      <c r="B6742" s="1" t="s">
        <v>2057</v>
      </c>
      <c r="C6742" s="1" t="s">
        <v>17</v>
      </c>
      <c r="D6742" s="3">
        <f t="shared" si="983"/>
        <v>8188</v>
      </c>
      <c r="E6742" s="2">
        <f t="shared" si="984"/>
        <v>43040</v>
      </c>
      <c r="F6742" s="2">
        <f t="shared" si="985"/>
        <v>43190</v>
      </c>
    </row>
    <row r="6743" spans="1:6" x14ac:dyDescent="0.25">
      <c r="A6743" s="1" t="s">
        <v>344</v>
      </c>
      <c r="B6743" s="1" t="s">
        <v>2057</v>
      </c>
      <c r="C6743" s="1" t="s">
        <v>22</v>
      </c>
      <c r="D6743" s="3">
        <f t="shared" si="983"/>
        <v>8188</v>
      </c>
      <c r="E6743" s="2">
        <f t="shared" si="984"/>
        <v>43040</v>
      </c>
      <c r="F6743" s="2">
        <f t="shared" si="985"/>
        <v>43190</v>
      </c>
    </row>
    <row r="6744" spans="1:6" x14ac:dyDescent="0.25">
      <c r="A6744" s="1" t="s">
        <v>344</v>
      </c>
      <c r="B6744" s="1" t="s">
        <v>2057</v>
      </c>
      <c r="C6744" s="1" t="s">
        <v>684</v>
      </c>
      <c r="D6744" s="3">
        <f t="shared" si="983"/>
        <v>8188</v>
      </c>
      <c r="E6744" s="2">
        <f t="shared" si="984"/>
        <v>43040</v>
      </c>
      <c r="F6744" s="2">
        <f t="shared" si="985"/>
        <v>43190</v>
      </c>
    </row>
    <row r="6745" spans="1:6" x14ac:dyDescent="0.25">
      <c r="A6745" s="1" t="s">
        <v>344</v>
      </c>
      <c r="B6745" s="1" t="s">
        <v>2057</v>
      </c>
      <c r="C6745" s="1" t="s">
        <v>476</v>
      </c>
      <c r="D6745" s="3">
        <f t="shared" si="983"/>
        <v>8188</v>
      </c>
      <c r="E6745" s="2">
        <f t="shared" si="984"/>
        <v>43040</v>
      </c>
      <c r="F6745" s="2">
        <f t="shared" si="985"/>
        <v>43190</v>
      </c>
    </row>
    <row r="6746" spans="1:6" x14ac:dyDescent="0.25">
      <c r="A6746" s="1" t="s">
        <v>344</v>
      </c>
      <c r="B6746" s="1" t="s">
        <v>2057</v>
      </c>
      <c r="C6746" s="1" t="s">
        <v>52</v>
      </c>
      <c r="D6746" s="3">
        <f t="shared" si="983"/>
        <v>8188</v>
      </c>
      <c r="E6746" s="2">
        <f t="shared" si="984"/>
        <v>43040</v>
      </c>
      <c r="F6746" s="2">
        <f t="shared" si="985"/>
        <v>43190</v>
      </c>
    </row>
    <row r="6747" spans="1:6" x14ac:dyDescent="0.25">
      <c r="A6747" s="1" t="s">
        <v>344</v>
      </c>
      <c r="B6747" s="1" t="s">
        <v>2057</v>
      </c>
      <c r="C6747" s="1" t="s">
        <v>350</v>
      </c>
      <c r="D6747" s="3">
        <f t="shared" si="983"/>
        <v>8188</v>
      </c>
      <c r="E6747" s="2">
        <f t="shared" si="984"/>
        <v>43040</v>
      </c>
      <c r="F6747" s="2">
        <f t="shared" si="985"/>
        <v>43190</v>
      </c>
    </row>
    <row r="6748" spans="1:6" x14ac:dyDescent="0.25">
      <c r="A6748" s="1" t="s">
        <v>344</v>
      </c>
      <c r="B6748" s="1" t="s">
        <v>2057</v>
      </c>
      <c r="C6748" s="1" t="s">
        <v>34</v>
      </c>
      <c r="D6748" s="3">
        <f t="shared" si="983"/>
        <v>8188</v>
      </c>
      <c r="E6748" s="2">
        <f t="shared" si="984"/>
        <v>43040</v>
      </c>
      <c r="F6748" s="2">
        <f t="shared" si="985"/>
        <v>43190</v>
      </c>
    </row>
    <row r="6749" spans="1:6" x14ac:dyDescent="0.25">
      <c r="A6749" s="1" t="s">
        <v>344</v>
      </c>
      <c r="B6749" s="1" t="s">
        <v>833</v>
      </c>
      <c r="C6749" s="1" t="s">
        <v>61</v>
      </c>
      <c r="D6749" s="3">
        <f t="shared" ref="D6749:D6778" si="986">VALUE("8060")</f>
        <v>8060</v>
      </c>
      <c r="E6749" s="2">
        <f t="shared" ref="E6749:E6778" si="987">DATEVALUE("1-7-2017")</f>
        <v>42917</v>
      </c>
      <c r="F6749" s="2">
        <f t="shared" ref="F6749:F6780" si="988">DATEVALUE("30-6-2022")</f>
        <v>44742</v>
      </c>
    </row>
    <row r="6750" spans="1:6" x14ac:dyDescent="0.25">
      <c r="A6750" s="1" t="s">
        <v>344</v>
      </c>
      <c r="B6750" s="1" t="s">
        <v>833</v>
      </c>
      <c r="C6750" s="1" t="s">
        <v>14</v>
      </c>
      <c r="D6750" s="3">
        <f t="shared" si="986"/>
        <v>8060</v>
      </c>
      <c r="E6750" s="2">
        <f t="shared" si="987"/>
        <v>42917</v>
      </c>
      <c r="F6750" s="2">
        <f t="shared" si="988"/>
        <v>44742</v>
      </c>
    </row>
    <row r="6751" spans="1:6" x14ac:dyDescent="0.25">
      <c r="A6751" s="1" t="s">
        <v>344</v>
      </c>
      <c r="B6751" s="1" t="s">
        <v>833</v>
      </c>
      <c r="C6751" s="1" t="s">
        <v>66</v>
      </c>
      <c r="D6751" s="3">
        <f t="shared" si="986"/>
        <v>8060</v>
      </c>
      <c r="E6751" s="2">
        <f t="shared" si="987"/>
        <v>42917</v>
      </c>
      <c r="F6751" s="2">
        <f t="shared" si="988"/>
        <v>44742</v>
      </c>
    </row>
    <row r="6752" spans="1:6" x14ac:dyDescent="0.25">
      <c r="A6752" s="1" t="s">
        <v>344</v>
      </c>
      <c r="B6752" s="1" t="s">
        <v>833</v>
      </c>
      <c r="C6752" s="1" t="s">
        <v>15</v>
      </c>
      <c r="D6752" s="3">
        <f t="shared" si="986"/>
        <v>8060</v>
      </c>
      <c r="E6752" s="2">
        <f t="shared" si="987"/>
        <v>42917</v>
      </c>
      <c r="F6752" s="2">
        <f t="shared" si="988"/>
        <v>44742</v>
      </c>
    </row>
    <row r="6753" spans="1:6" x14ac:dyDescent="0.25">
      <c r="A6753" s="1" t="s">
        <v>344</v>
      </c>
      <c r="B6753" s="1" t="s">
        <v>833</v>
      </c>
      <c r="C6753" s="1" t="s">
        <v>17</v>
      </c>
      <c r="D6753" s="3">
        <f t="shared" si="986"/>
        <v>8060</v>
      </c>
      <c r="E6753" s="2">
        <f t="shared" si="987"/>
        <v>42917</v>
      </c>
      <c r="F6753" s="2">
        <f t="shared" si="988"/>
        <v>44742</v>
      </c>
    </row>
    <row r="6754" spans="1:6" x14ac:dyDescent="0.25">
      <c r="A6754" s="1" t="s">
        <v>344</v>
      </c>
      <c r="B6754" s="1" t="s">
        <v>833</v>
      </c>
      <c r="C6754" s="1" t="s">
        <v>19</v>
      </c>
      <c r="D6754" s="3">
        <f t="shared" si="986"/>
        <v>8060</v>
      </c>
      <c r="E6754" s="2">
        <f t="shared" si="987"/>
        <v>42917</v>
      </c>
      <c r="F6754" s="2">
        <f t="shared" si="988"/>
        <v>44742</v>
      </c>
    </row>
    <row r="6755" spans="1:6" x14ac:dyDescent="0.25">
      <c r="A6755" s="1" t="s">
        <v>344</v>
      </c>
      <c r="B6755" s="1" t="s">
        <v>833</v>
      </c>
      <c r="C6755" s="1" t="s">
        <v>20</v>
      </c>
      <c r="D6755" s="3">
        <f t="shared" si="986"/>
        <v>8060</v>
      </c>
      <c r="E6755" s="2">
        <f t="shared" si="987"/>
        <v>42917</v>
      </c>
      <c r="F6755" s="2">
        <f t="shared" si="988"/>
        <v>44742</v>
      </c>
    </row>
    <row r="6756" spans="1:6" x14ac:dyDescent="0.25">
      <c r="A6756" s="1" t="s">
        <v>344</v>
      </c>
      <c r="B6756" s="1" t="s">
        <v>833</v>
      </c>
      <c r="C6756" s="1" t="s">
        <v>21</v>
      </c>
      <c r="D6756" s="3">
        <f t="shared" si="986"/>
        <v>8060</v>
      </c>
      <c r="E6756" s="2">
        <f t="shared" si="987"/>
        <v>42917</v>
      </c>
      <c r="F6756" s="2">
        <f t="shared" si="988"/>
        <v>44742</v>
      </c>
    </row>
    <row r="6757" spans="1:6" x14ac:dyDescent="0.25">
      <c r="A6757" s="1" t="s">
        <v>344</v>
      </c>
      <c r="B6757" s="1" t="s">
        <v>833</v>
      </c>
      <c r="C6757" s="1" t="s">
        <v>417</v>
      </c>
      <c r="D6757" s="3">
        <f t="shared" si="986"/>
        <v>8060</v>
      </c>
      <c r="E6757" s="2">
        <f t="shared" si="987"/>
        <v>42917</v>
      </c>
      <c r="F6757" s="2">
        <f t="shared" si="988"/>
        <v>44742</v>
      </c>
    </row>
    <row r="6758" spans="1:6" x14ac:dyDescent="0.25">
      <c r="A6758" s="1" t="s">
        <v>344</v>
      </c>
      <c r="B6758" s="1" t="s">
        <v>833</v>
      </c>
      <c r="C6758" s="1" t="s">
        <v>22</v>
      </c>
      <c r="D6758" s="3">
        <f t="shared" si="986"/>
        <v>8060</v>
      </c>
      <c r="E6758" s="2">
        <f t="shared" si="987"/>
        <v>42917</v>
      </c>
      <c r="F6758" s="2">
        <f t="shared" si="988"/>
        <v>44742</v>
      </c>
    </row>
    <row r="6759" spans="1:6" x14ac:dyDescent="0.25">
      <c r="A6759" s="1" t="s">
        <v>344</v>
      </c>
      <c r="B6759" s="1" t="s">
        <v>833</v>
      </c>
      <c r="C6759" s="1" t="s">
        <v>146</v>
      </c>
      <c r="D6759" s="3">
        <f t="shared" si="986"/>
        <v>8060</v>
      </c>
      <c r="E6759" s="2">
        <f t="shared" si="987"/>
        <v>42917</v>
      </c>
      <c r="F6759" s="2">
        <f t="shared" si="988"/>
        <v>44742</v>
      </c>
    </row>
    <row r="6760" spans="1:6" x14ac:dyDescent="0.25">
      <c r="A6760" s="1" t="s">
        <v>344</v>
      </c>
      <c r="B6760" s="1" t="s">
        <v>833</v>
      </c>
      <c r="C6760" s="1" t="s">
        <v>67</v>
      </c>
      <c r="D6760" s="3">
        <f t="shared" si="986"/>
        <v>8060</v>
      </c>
      <c r="E6760" s="2">
        <f t="shared" si="987"/>
        <v>42917</v>
      </c>
      <c r="F6760" s="2">
        <f t="shared" si="988"/>
        <v>44742</v>
      </c>
    </row>
    <row r="6761" spans="1:6" x14ac:dyDescent="0.25">
      <c r="A6761" s="1" t="s">
        <v>344</v>
      </c>
      <c r="B6761" s="1" t="s">
        <v>833</v>
      </c>
      <c r="C6761" s="1" t="s">
        <v>148</v>
      </c>
      <c r="D6761" s="3">
        <f t="shared" si="986"/>
        <v>8060</v>
      </c>
      <c r="E6761" s="2">
        <f t="shared" si="987"/>
        <v>42917</v>
      </c>
      <c r="F6761" s="2">
        <f t="shared" si="988"/>
        <v>44742</v>
      </c>
    </row>
    <row r="6762" spans="1:6" x14ac:dyDescent="0.25">
      <c r="A6762" s="1" t="s">
        <v>344</v>
      </c>
      <c r="B6762" s="1" t="s">
        <v>833</v>
      </c>
      <c r="C6762" s="1" t="s">
        <v>149</v>
      </c>
      <c r="D6762" s="3">
        <f t="shared" si="986"/>
        <v>8060</v>
      </c>
      <c r="E6762" s="2">
        <f t="shared" si="987"/>
        <v>42917</v>
      </c>
      <c r="F6762" s="2">
        <f t="shared" si="988"/>
        <v>44742</v>
      </c>
    </row>
    <row r="6763" spans="1:6" x14ac:dyDescent="0.25">
      <c r="A6763" s="1" t="s">
        <v>344</v>
      </c>
      <c r="B6763" s="1" t="s">
        <v>833</v>
      </c>
      <c r="C6763" s="1" t="s">
        <v>150</v>
      </c>
      <c r="D6763" s="3">
        <f t="shared" si="986"/>
        <v>8060</v>
      </c>
      <c r="E6763" s="2">
        <f t="shared" si="987"/>
        <v>42917</v>
      </c>
      <c r="F6763" s="2">
        <f t="shared" si="988"/>
        <v>44742</v>
      </c>
    </row>
    <row r="6764" spans="1:6" x14ac:dyDescent="0.25">
      <c r="A6764" s="1" t="s">
        <v>344</v>
      </c>
      <c r="B6764" s="1" t="s">
        <v>833</v>
      </c>
      <c r="C6764" s="1" t="s">
        <v>92</v>
      </c>
      <c r="D6764" s="3">
        <f t="shared" si="986"/>
        <v>8060</v>
      </c>
      <c r="E6764" s="2">
        <f t="shared" si="987"/>
        <v>42917</v>
      </c>
      <c r="F6764" s="2">
        <f t="shared" si="988"/>
        <v>44742</v>
      </c>
    </row>
    <row r="6765" spans="1:6" x14ac:dyDescent="0.25">
      <c r="A6765" s="1" t="s">
        <v>344</v>
      </c>
      <c r="B6765" s="1" t="s">
        <v>833</v>
      </c>
      <c r="C6765" s="1" t="s">
        <v>24</v>
      </c>
      <c r="D6765" s="3">
        <f t="shared" si="986"/>
        <v>8060</v>
      </c>
      <c r="E6765" s="2">
        <f t="shared" si="987"/>
        <v>42917</v>
      </c>
      <c r="F6765" s="2">
        <f t="shared" si="988"/>
        <v>44742</v>
      </c>
    </row>
    <row r="6766" spans="1:6" x14ac:dyDescent="0.25">
      <c r="A6766" s="1" t="s">
        <v>344</v>
      </c>
      <c r="B6766" s="1" t="s">
        <v>833</v>
      </c>
      <c r="C6766" s="1" t="s">
        <v>50</v>
      </c>
      <c r="D6766" s="3">
        <f t="shared" si="986"/>
        <v>8060</v>
      </c>
      <c r="E6766" s="2">
        <f t="shared" si="987"/>
        <v>42917</v>
      </c>
      <c r="F6766" s="2">
        <f t="shared" si="988"/>
        <v>44742</v>
      </c>
    </row>
    <row r="6767" spans="1:6" x14ac:dyDescent="0.25">
      <c r="A6767" s="1" t="s">
        <v>344</v>
      </c>
      <c r="B6767" s="1" t="s">
        <v>833</v>
      </c>
      <c r="C6767" s="1" t="s">
        <v>70</v>
      </c>
      <c r="D6767" s="3">
        <f t="shared" si="986"/>
        <v>8060</v>
      </c>
      <c r="E6767" s="2">
        <f t="shared" si="987"/>
        <v>42917</v>
      </c>
      <c r="F6767" s="2">
        <f t="shared" si="988"/>
        <v>44742</v>
      </c>
    </row>
    <row r="6768" spans="1:6" x14ac:dyDescent="0.25">
      <c r="A6768" s="1" t="s">
        <v>344</v>
      </c>
      <c r="B6768" s="1" t="s">
        <v>833</v>
      </c>
      <c r="C6768" s="1" t="s">
        <v>26</v>
      </c>
      <c r="D6768" s="3">
        <f t="shared" si="986"/>
        <v>8060</v>
      </c>
      <c r="E6768" s="2">
        <f t="shared" si="987"/>
        <v>42917</v>
      </c>
      <c r="F6768" s="2">
        <f t="shared" si="988"/>
        <v>44742</v>
      </c>
    </row>
    <row r="6769" spans="1:6" x14ac:dyDescent="0.25">
      <c r="A6769" s="1" t="s">
        <v>344</v>
      </c>
      <c r="B6769" s="1" t="s">
        <v>833</v>
      </c>
      <c r="C6769" s="1" t="s">
        <v>516</v>
      </c>
      <c r="D6769" s="3">
        <f t="shared" si="986"/>
        <v>8060</v>
      </c>
      <c r="E6769" s="2">
        <f t="shared" si="987"/>
        <v>42917</v>
      </c>
      <c r="F6769" s="2">
        <f t="shared" si="988"/>
        <v>44742</v>
      </c>
    </row>
    <row r="6770" spans="1:6" x14ac:dyDescent="0.25">
      <c r="A6770" s="1" t="s">
        <v>344</v>
      </c>
      <c r="B6770" s="1" t="s">
        <v>833</v>
      </c>
      <c r="C6770" s="1" t="s">
        <v>73</v>
      </c>
      <c r="D6770" s="3">
        <f t="shared" si="986"/>
        <v>8060</v>
      </c>
      <c r="E6770" s="2">
        <f t="shared" si="987"/>
        <v>42917</v>
      </c>
      <c r="F6770" s="2">
        <f t="shared" si="988"/>
        <v>44742</v>
      </c>
    </row>
    <row r="6771" spans="1:6" x14ac:dyDescent="0.25">
      <c r="A6771" s="1" t="s">
        <v>344</v>
      </c>
      <c r="B6771" s="1" t="s">
        <v>833</v>
      </c>
      <c r="C6771" s="1" t="s">
        <v>769</v>
      </c>
      <c r="D6771" s="3">
        <f t="shared" si="986"/>
        <v>8060</v>
      </c>
      <c r="E6771" s="2">
        <f t="shared" si="987"/>
        <v>42917</v>
      </c>
      <c r="F6771" s="2">
        <f t="shared" si="988"/>
        <v>44742</v>
      </c>
    </row>
    <row r="6772" spans="1:6" x14ac:dyDescent="0.25">
      <c r="A6772" s="1" t="s">
        <v>344</v>
      </c>
      <c r="B6772" s="1" t="s">
        <v>833</v>
      </c>
      <c r="C6772" s="1" t="s">
        <v>52</v>
      </c>
      <c r="D6772" s="3">
        <f t="shared" si="986"/>
        <v>8060</v>
      </c>
      <c r="E6772" s="2">
        <f t="shared" si="987"/>
        <v>42917</v>
      </c>
      <c r="F6772" s="2">
        <f t="shared" si="988"/>
        <v>44742</v>
      </c>
    </row>
    <row r="6773" spans="1:6" x14ac:dyDescent="0.25">
      <c r="A6773" s="1" t="s">
        <v>344</v>
      </c>
      <c r="B6773" s="1" t="s">
        <v>833</v>
      </c>
      <c r="C6773" s="1" t="s">
        <v>349</v>
      </c>
      <c r="D6773" s="3">
        <f t="shared" si="986"/>
        <v>8060</v>
      </c>
      <c r="E6773" s="2">
        <f t="shared" si="987"/>
        <v>42917</v>
      </c>
      <c r="F6773" s="2">
        <f t="shared" si="988"/>
        <v>44742</v>
      </c>
    </row>
    <row r="6774" spans="1:6" x14ac:dyDescent="0.25">
      <c r="A6774" s="1" t="s">
        <v>344</v>
      </c>
      <c r="B6774" s="1" t="s">
        <v>833</v>
      </c>
      <c r="C6774" s="1" t="s">
        <v>458</v>
      </c>
      <c r="D6774" s="3">
        <f t="shared" si="986"/>
        <v>8060</v>
      </c>
      <c r="E6774" s="2">
        <f t="shared" si="987"/>
        <v>42917</v>
      </c>
      <c r="F6774" s="2">
        <f t="shared" si="988"/>
        <v>44742</v>
      </c>
    </row>
    <row r="6775" spans="1:6" x14ac:dyDescent="0.25">
      <c r="A6775" s="1" t="s">
        <v>344</v>
      </c>
      <c r="B6775" s="1" t="s">
        <v>833</v>
      </c>
      <c r="C6775" s="1" t="s">
        <v>459</v>
      </c>
      <c r="D6775" s="3">
        <f t="shared" si="986"/>
        <v>8060</v>
      </c>
      <c r="E6775" s="2">
        <f t="shared" si="987"/>
        <v>42917</v>
      </c>
      <c r="F6775" s="2">
        <f t="shared" si="988"/>
        <v>44742</v>
      </c>
    </row>
    <row r="6776" spans="1:6" x14ac:dyDescent="0.25">
      <c r="A6776" s="1" t="s">
        <v>344</v>
      </c>
      <c r="B6776" s="1" t="s">
        <v>833</v>
      </c>
      <c r="C6776" s="1" t="s">
        <v>834</v>
      </c>
      <c r="D6776" s="3">
        <f t="shared" si="986"/>
        <v>8060</v>
      </c>
      <c r="E6776" s="2">
        <f t="shared" si="987"/>
        <v>42917</v>
      </c>
      <c r="F6776" s="2">
        <f t="shared" si="988"/>
        <v>44742</v>
      </c>
    </row>
    <row r="6777" spans="1:6" x14ac:dyDescent="0.25">
      <c r="A6777" s="1" t="s">
        <v>344</v>
      </c>
      <c r="B6777" s="1" t="s">
        <v>833</v>
      </c>
      <c r="C6777" s="1" t="s">
        <v>160</v>
      </c>
      <c r="D6777" s="3">
        <f t="shared" si="986"/>
        <v>8060</v>
      </c>
      <c r="E6777" s="2">
        <f t="shared" si="987"/>
        <v>42917</v>
      </c>
      <c r="F6777" s="2">
        <f t="shared" si="988"/>
        <v>44742</v>
      </c>
    </row>
    <row r="6778" spans="1:6" x14ac:dyDescent="0.25">
      <c r="A6778" s="1" t="s">
        <v>344</v>
      </c>
      <c r="B6778" s="1" t="s">
        <v>833</v>
      </c>
      <c r="C6778" s="1" t="s">
        <v>34</v>
      </c>
      <c r="D6778" s="3">
        <f t="shared" si="986"/>
        <v>8060</v>
      </c>
      <c r="E6778" s="2">
        <f t="shared" si="987"/>
        <v>42917</v>
      </c>
      <c r="F6778" s="2">
        <f t="shared" si="988"/>
        <v>44742</v>
      </c>
    </row>
    <row r="6779" spans="1:6" x14ac:dyDescent="0.25">
      <c r="A6779" s="1" t="s">
        <v>344</v>
      </c>
      <c r="B6779" s="1" t="s">
        <v>682</v>
      </c>
      <c r="C6779" s="1" t="s">
        <v>61</v>
      </c>
      <c r="D6779" s="3">
        <f t="shared" ref="D6779:D6797" si="989">VALUE("7885")</f>
        <v>7885</v>
      </c>
      <c r="E6779" s="2">
        <f t="shared" ref="E6779:E6797" si="990">DATEVALUE("1-5-2016")</f>
        <v>42491</v>
      </c>
      <c r="F6779" s="2">
        <f t="shared" si="988"/>
        <v>44742</v>
      </c>
    </row>
    <row r="6780" spans="1:6" x14ac:dyDescent="0.25">
      <c r="A6780" s="1" t="s">
        <v>344</v>
      </c>
      <c r="B6780" s="1" t="s">
        <v>682</v>
      </c>
      <c r="C6780" s="1" t="s">
        <v>43</v>
      </c>
      <c r="D6780" s="3">
        <f t="shared" si="989"/>
        <v>7885</v>
      </c>
      <c r="E6780" s="2">
        <f t="shared" si="990"/>
        <v>42491</v>
      </c>
      <c r="F6780" s="2">
        <f t="shared" si="988"/>
        <v>44742</v>
      </c>
    </row>
    <row r="6781" spans="1:6" x14ac:dyDescent="0.25">
      <c r="A6781" s="1" t="s">
        <v>344</v>
      </c>
      <c r="B6781" s="1" t="s">
        <v>682</v>
      </c>
      <c r="C6781" s="1" t="s">
        <v>346</v>
      </c>
      <c r="D6781" s="3">
        <f t="shared" si="989"/>
        <v>7885</v>
      </c>
      <c r="E6781" s="2">
        <f t="shared" si="990"/>
        <v>42491</v>
      </c>
      <c r="F6781" s="2">
        <f t="shared" ref="F6781:F6815" si="991">DATEVALUE("30-6-2022")</f>
        <v>44742</v>
      </c>
    </row>
    <row r="6782" spans="1:6" x14ac:dyDescent="0.25">
      <c r="A6782" s="1" t="s">
        <v>344</v>
      </c>
      <c r="B6782" s="1" t="s">
        <v>682</v>
      </c>
      <c r="C6782" s="1" t="s">
        <v>375</v>
      </c>
      <c r="D6782" s="3">
        <f t="shared" si="989"/>
        <v>7885</v>
      </c>
      <c r="E6782" s="2">
        <f t="shared" si="990"/>
        <v>42491</v>
      </c>
      <c r="F6782" s="2">
        <f t="shared" si="991"/>
        <v>44742</v>
      </c>
    </row>
    <row r="6783" spans="1:6" x14ac:dyDescent="0.25">
      <c r="A6783" s="1" t="s">
        <v>344</v>
      </c>
      <c r="B6783" s="1" t="s">
        <v>682</v>
      </c>
      <c r="C6783" s="1" t="s">
        <v>683</v>
      </c>
      <c r="D6783" s="3">
        <f t="shared" si="989"/>
        <v>7885</v>
      </c>
      <c r="E6783" s="2">
        <f t="shared" si="990"/>
        <v>42491</v>
      </c>
      <c r="F6783" s="2">
        <f t="shared" si="991"/>
        <v>44742</v>
      </c>
    </row>
    <row r="6784" spans="1:6" x14ac:dyDescent="0.25">
      <c r="A6784" s="1" t="s">
        <v>344</v>
      </c>
      <c r="B6784" s="1" t="s">
        <v>682</v>
      </c>
      <c r="C6784" s="1" t="s">
        <v>17</v>
      </c>
      <c r="D6784" s="3">
        <f t="shared" si="989"/>
        <v>7885</v>
      </c>
      <c r="E6784" s="2">
        <f t="shared" si="990"/>
        <v>42491</v>
      </c>
      <c r="F6784" s="2">
        <f t="shared" si="991"/>
        <v>44742</v>
      </c>
    </row>
    <row r="6785" spans="1:6" x14ac:dyDescent="0.25">
      <c r="A6785" s="1" t="s">
        <v>344</v>
      </c>
      <c r="B6785" s="1" t="s">
        <v>682</v>
      </c>
      <c r="C6785" s="1" t="s">
        <v>47</v>
      </c>
      <c r="D6785" s="3">
        <f t="shared" si="989"/>
        <v>7885</v>
      </c>
      <c r="E6785" s="2">
        <f t="shared" si="990"/>
        <v>42491</v>
      </c>
      <c r="F6785" s="2">
        <f t="shared" si="991"/>
        <v>44742</v>
      </c>
    </row>
    <row r="6786" spans="1:6" x14ac:dyDescent="0.25">
      <c r="A6786" s="1" t="s">
        <v>344</v>
      </c>
      <c r="B6786" s="1" t="s">
        <v>682</v>
      </c>
      <c r="C6786" s="1" t="s">
        <v>684</v>
      </c>
      <c r="D6786" s="3">
        <f t="shared" si="989"/>
        <v>7885</v>
      </c>
      <c r="E6786" s="2">
        <f t="shared" si="990"/>
        <v>42491</v>
      </c>
      <c r="F6786" s="2">
        <f t="shared" si="991"/>
        <v>44742</v>
      </c>
    </row>
    <row r="6787" spans="1:6" x14ac:dyDescent="0.25">
      <c r="A6787" s="1" t="s">
        <v>344</v>
      </c>
      <c r="B6787" s="1" t="s">
        <v>682</v>
      </c>
      <c r="C6787" s="1" t="s">
        <v>514</v>
      </c>
      <c r="D6787" s="3">
        <f t="shared" si="989"/>
        <v>7885</v>
      </c>
      <c r="E6787" s="2">
        <f t="shared" si="990"/>
        <v>42491</v>
      </c>
      <c r="F6787" s="2">
        <f t="shared" si="991"/>
        <v>44742</v>
      </c>
    </row>
    <row r="6788" spans="1:6" x14ac:dyDescent="0.25">
      <c r="A6788" s="1" t="s">
        <v>344</v>
      </c>
      <c r="B6788" s="1" t="s">
        <v>682</v>
      </c>
      <c r="C6788" s="1" t="s">
        <v>50</v>
      </c>
      <c r="D6788" s="3">
        <f t="shared" si="989"/>
        <v>7885</v>
      </c>
      <c r="E6788" s="2">
        <f t="shared" si="990"/>
        <v>42491</v>
      </c>
      <c r="F6788" s="2">
        <f t="shared" si="991"/>
        <v>44742</v>
      </c>
    </row>
    <row r="6789" spans="1:6" x14ac:dyDescent="0.25">
      <c r="A6789" s="1" t="s">
        <v>344</v>
      </c>
      <c r="B6789" s="1" t="s">
        <v>682</v>
      </c>
      <c r="C6789" s="1" t="s">
        <v>70</v>
      </c>
      <c r="D6789" s="3">
        <f t="shared" si="989"/>
        <v>7885</v>
      </c>
      <c r="E6789" s="2">
        <f t="shared" si="990"/>
        <v>42491</v>
      </c>
      <c r="F6789" s="2">
        <f t="shared" si="991"/>
        <v>44742</v>
      </c>
    </row>
    <row r="6790" spans="1:6" x14ac:dyDescent="0.25">
      <c r="A6790" s="1" t="s">
        <v>344</v>
      </c>
      <c r="B6790" s="1" t="s">
        <v>682</v>
      </c>
      <c r="C6790" s="1" t="s">
        <v>73</v>
      </c>
      <c r="D6790" s="3">
        <f t="shared" si="989"/>
        <v>7885</v>
      </c>
      <c r="E6790" s="2">
        <f t="shared" si="990"/>
        <v>42491</v>
      </c>
      <c r="F6790" s="2">
        <f t="shared" si="991"/>
        <v>44742</v>
      </c>
    </row>
    <row r="6791" spans="1:6" x14ac:dyDescent="0.25">
      <c r="A6791" s="1" t="s">
        <v>344</v>
      </c>
      <c r="B6791" s="1" t="s">
        <v>682</v>
      </c>
      <c r="C6791" s="1" t="s">
        <v>52</v>
      </c>
      <c r="D6791" s="3">
        <f t="shared" si="989"/>
        <v>7885</v>
      </c>
      <c r="E6791" s="2">
        <f t="shared" si="990"/>
        <v>42491</v>
      </c>
      <c r="F6791" s="2">
        <f t="shared" si="991"/>
        <v>44742</v>
      </c>
    </row>
    <row r="6792" spans="1:6" x14ac:dyDescent="0.25">
      <c r="A6792" s="1" t="s">
        <v>344</v>
      </c>
      <c r="B6792" s="1" t="s">
        <v>682</v>
      </c>
      <c r="C6792" s="1" t="s">
        <v>685</v>
      </c>
      <c r="D6792" s="3">
        <f t="shared" si="989"/>
        <v>7885</v>
      </c>
      <c r="E6792" s="2">
        <f t="shared" si="990"/>
        <v>42491</v>
      </c>
      <c r="F6792" s="2">
        <f t="shared" si="991"/>
        <v>44742</v>
      </c>
    </row>
    <row r="6793" spans="1:6" x14ac:dyDescent="0.25">
      <c r="A6793" s="1" t="s">
        <v>344</v>
      </c>
      <c r="B6793" s="1" t="s">
        <v>682</v>
      </c>
      <c r="C6793" s="1" t="s">
        <v>350</v>
      </c>
      <c r="D6793" s="3">
        <f t="shared" si="989"/>
        <v>7885</v>
      </c>
      <c r="E6793" s="2">
        <f t="shared" si="990"/>
        <v>42491</v>
      </c>
      <c r="F6793" s="2">
        <f t="shared" si="991"/>
        <v>44742</v>
      </c>
    </row>
    <row r="6794" spans="1:6" x14ac:dyDescent="0.25">
      <c r="A6794" s="1" t="s">
        <v>344</v>
      </c>
      <c r="B6794" s="1" t="s">
        <v>682</v>
      </c>
      <c r="C6794" s="1" t="s">
        <v>351</v>
      </c>
      <c r="D6794" s="3">
        <f t="shared" si="989"/>
        <v>7885</v>
      </c>
      <c r="E6794" s="2">
        <f t="shared" si="990"/>
        <v>42491</v>
      </c>
      <c r="F6794" s="2">
        <f t="shared" si="991"/>
        <v>44742</v>
      </c>
    </row>
    <row r="6795" spans="1:6" x14ac:dyDescent="0.25">
      <c r="A6795" s="1" t="s">
        <v>344</v>
      </c>
      <c r="B6795" s="1" t="s">
        <v>682</v>
      </c>
      <c r="C6795" s="1" t="s">
        <v>306</v>
      </c>
      <c r="D6795" s="3">
        <f t="shared" si="989"/>
        <v>7885</v>
      </c>
      <c r="E6795" s="2">
        <f t="shared" si="990"/>
        <v>42491</v>
      </c>
      <c r="F6795" s="2">
        <f t="shared" si="991"/>
        <v>44742</v>
      </c>
    </row>
    <row r="6796" spans="1:6" x14ac:dyDescent="0.25">
      <c r="A6796" s="1" t="s">
        <v>344</v>
      </c>
      <c r="B6796" s="1" t="s">
        <v>682</v>
      </c>
      <c r="C6796" s="1" t="s">
        <v>56</v>
      </c>
      <c r="D6796" s="3">
        <f t="shared" si="989"/>
        <v>7885</v>
      </c>
      <c r="E6796" s="2">
        <f t="shared" si="990"/>
        <v>42491</v>
      </c>
      <c r="F6796" s="2">
        <f t="shared" si="991"/>
        <v>44742</v>
      </c>
    </row>
    <row r="6797" spans="1:6" x14ac:dyDescent="0.25">
      <c r="A6797" s="1" t="s">
        <v>344</v>
      </c>
      <c r="B6797" s="1" t="s">
        <v>682</v>
      </c>
      <c r="C6797" s="1" t="s">
        <v>57</v>
      </c>
      <c r="D6797" s="3">
        <f t="shared" si="989"/>
        <v>7885</v>
      </c>
      <c r="E6797" s="2">
        <f t="shared" si="990"/>
        <v>42491</v>
      </c>
      <c r="F6797" s="2">
        <f t="shared" si="991"/>
        <v>44742</v>
      </c>
    </row>
    <row r="6798" spans="1:6" x14ac:dyDescent="0.25">
      <c r="A6798" s="1" t="s">
        <v>344</v>
      </c>
      <c r="B6798" s="1" t="s">
        <v>584</v>
      </c>
      <c r="C6798" s="1" t="s">
        <v>585</v>
      </c>
      <c r="D6798" s="3">
        <f t="shared" ref="D6798:D6815" si="992">VALUE("7778")</f>
        <v>7778</v>
      </c>
      <c r="E6798" s="2">
        <f t="shared" ref="E6798:E6815" si="993">DATEVALUE("1-8-2015")</f>
        <v>42217</v>
      </c>
      <c r="F6798" s="2">
        <f t="shared" si="991"/>
        <v>44742</v>
      </c>
    </row>
    <row r="6799" spans="1:6" x14ac:dyDescent="0.25">
      <c r="A6799" s="1" t="s">
        <v>344</v>
      </c>
      <c r="B6799" s="1" t="s">
        <v>584</v>
      </c>
      <c r="C6799" s="1" t="s">
        <v>12</v>
      </c>
      <c r="D6799" s="3">
        <f t="shared" si="992"/>
        <v>7778</v>
      </c>
      <c r="E6799" s="2">
        <f t="shared" si="993"/>
        <v>42217</v>
      </c>
      <c r="F6799" s="2">
        <f t="shared" si="991"/>
        <v>44742</v>
      </c>
    </row>
    <row r="6800" spans="1:6" x14ac:dyDescent="0.25">
      <c r="A6800" s="1" t="s">
        <v>344</v>
      </c>
      <c r="B6800" s="1" t="s">
        <v>584</v>
      </c>
      <c r="C6800" s="1" t="s">
        <v>586</v>
      </c>
      <c r="D6800" s="3">
        <f t="shared" si="992"/>
        <v>7778</v>
      </c>
      <c r="E6800" s="2">
        <f t="shared" si="993"/>
        <v>42217</v>
      </c>
      <c r="F6800" s="2">
        <f t="shared" si="991"/>
        <v>44742</v>
      </c>
    </row>
    <row r="6801" spans="1:6" x14ac:dyDescent="0.25">
      <c r="A6801" s="1" t="s">
        <v>344</v>
      </c>
      <c r="B6801" s="1" t="s">
        <v>584</v>
      </c>
      <c r="C6801" s="1" t="s">
        <v>346</v>
      </c>
      <c r="D6801" s="3">
        <f t="shared" si="992"/>
        <v>7778</v>
      </c>
      <c r="E6801" s="2">
        <f t="shared" si="993"/>
        <v>42217</v>
      </c>
      <c r="F6801" s="2">
        <f t="shared" si="991"/>
        <v>44742</v>
      </c>
    </row>
    <row r="6802" spans="1:6" x14ac:dyDescent="0.25">
      <c r="A6802" s="1" t="s">
        <v>344</v>
      </c>
      <c r="B6802" s="1" t="s">
        <v>584</v>
      </c>
      <c r="C6802" s="1" t="s">
        <v>587</v>
      </c>
      <c r="D6802" s="3">
        <f t="shared" si="992"/>
        <v>7778</v>
      </c>
      <c r="E6802" s="2">
        <f t="shared" si="993"/>
        <v>42217</v>
      </c>
      <c r="F6802" s="2">
        <f t="shared" si="991"/>
        <v>44742</v>
      </c>
    </row>
    <row r="6803" spans="1:6" x14ac:dyDescent="0.25">
      <c r="A6803" s="1" t="s">
        <v>344</v>
      </c>
      <c r="B6803" s="1" t="s">
        <v>584</v>
      </c>
      <c r="C6803" s="1" t="s">
        <v>347</v>
      </c>
      <c r="D6803" s="3">
        <f t="shared" si="992"/>
        <v>7778</v>
      </c>
      <c r="E6803" s="2">
        <f t="shared" si="993"/>
        <v>42217</v>
      </c>
      <c r="F6803" s="2">
        <f t="shared" si="991"/>
        <v>44742</v>
      </c>
    </row>
    <row r="6804" spans="1:6" x14ac:dyDescent="0.25">
      <c r="A6804" s="1" t="s">
        <v>344</v>
      </c>
      <c r="B6804" s="1" t="s">
        <v>584</v>
      </c>
      <c r="C6804" s="1" t="s">
        <v>14</v>
      </c>
      <c r="D6804" s="3">
        <f t="shared" si="992"/>
        <v>7778</v>
      </c>
      <c r="E6804" s="2">
        <f t="shared" si="993"/>
        <v>42217</v>
      </c>
      <c r="F6804" s="2">
        <f t="shared" si="991"/>
        <v>44742</v>
      </c>
    </row>
    <row r="6805" spans="1:6" x14ac:dyDescent="0.25">
      <c r="A6805" s="1" t="s">
        <v>344</v>
      </c>
      <c r="B6805" s="1" t="s">
        <v>584</v>
      </c>
      <c r="C6805" s="1" t="s">
        <v>66</v>
      </c>
      <c r="D6805" s="3">
        <f t="shared" si="992"/>
        <v>7778</v>
      </c>
      <c r="E6805" s="2">
        <f t="shared" si="993"/>
        <v>42217</v>
      </c>
      <c r="F6805" s="2">
        <f t="shared" si="991"/>
        <v>44742</v>
      </c>
    </row>
    <row r="6806" spans="1:6" x14ac:dyDescent="0.25">
      <c r="A6806" s="1" t="s">
        <v>344</v>
      </c>
      <c r="B6806" s="1" t="s">
        <v>584</v>
      </c>
      <c r="C6806" s="1" t="s">
        <v>88</v>
      </c>
      <c r="D6806" s="3">
        <f t="shared" si="992"/>
        <v>7778</v>
      </c>
      <c r="E6806" s="2">
        <f t="shared" si="993"/>
        <v>42217</v>
      </c>
      <c r="F6806" s="2">
        <f t="shared" si="991"/>
        <v>44742</v>
      </c>
    </row>
    <row r="6807" spans="1:6" x14ac:dyDescent="0.25">
      <c r="A6807" s="1" t="s">
        <v>344</v>
      </c>
      <c r="B6807" s="1" t="s">
        <v>584</v>
      </c>
      <c r="C6807" s="1" t="s">
        <v>17</v>
      </c>
      <c r="D6807" s="3">
        <f t="shared" si="992"/>
        <v>7778</v>
      </c>
      <c r="E6807" s="2">
        <f t="shared" si="993"/>
        <v>42217</v>
      </c>
      <c r="F6807" s="2">
        <f t="shared" si="991"/>
        <v>44742</v>
      </c>
    </row>
    <row r="6808" spans="1:6" x14ac:dyDescent="0.25">
      <c r="A6808" s="1" t="s">
        <v>344</v>
      </c>
      <c r="B6808" s="1" t="s">
        <v>584</v>
      </c>
      <c r="C6808" s="1" t="s">
        <v>24</v>
      </c>
      <c r="D6808" s="3">
        <f t="shared" si="992"/>
        <v>7778</v>
      </c>
      <c r="E6808" s="2">
        <f t="shared" si="993"/>
        <v>42217</v>
      </c>
      <c r="F6808" s="2">
        <f t="shared" si="991"/>
        <v>44742</v>
      </c>
    </row>
    <row r="6809" spans="1:6" x14ac:dyDescent="0.25">
      <c r="A6809" s="1" t="s">
        <v>344</v>
      </c>
      <c r="B6809" s="1" t="s">
        <v>584</v>
      </c>
      <c r="C6809" s="1" t="s">
        <v>27</v>
      </c>
      <c r="D6809" s="3">
        <f t="shared" si="992"/>
        <v>7778</v>
      </c>
      <c r="E6809" s="2">
        <f t="shared" si="993"/>
        <v>42217</v>
      </c>
      <c r="F6809" s="2">
        <f t="shared" si="991"/>
        <v>44742</v>
      </c>
    </row>
    <row r="6810" spans="1:6" x14ac:dyDescent="0.25">
      <c r="A6810" s="1" t="s">
        <v>344</v>
      </c>
      <c r="B6810" s="1" t="s">
        <v>584</v>
      </c>
      <c r="C6810" s="1" t="s">
        <v>262</v>
      </c>
      <c r="D6810" s="3">
        <f t="shared" si="992"/>
        <v>7778</v>
      </c>
      <c r="E6810" s="2">
        <f t="shared" si="993"/>
        <v>42217</v>
      </c>
      <c r="F6810" s="2">
        <f t="shared" si="991"/>
        <v>44742</v>
      </c>
    </row>
    <row r="6811" spans="1:6" x14ac:dyDescent="0.25">
      <c r="A6811" s="1" t="s">
        <v>344</v>
      </c>
      <c r="B6811" s="1" t="s">
        <v>584</v>
      </c>
      <c r="C6811" s="1" t="s">
        <v>52</v>
      </c>
      <c r="D6811" s="3">
        <f t="shared" si="992"/>
        <v>7778</v>
      </c>
      <c r="E6811" s="2">
        <f t="shared" si="993"/>
        <v>42217</v>
      </c>
      <c r="F6811" s="2">
        <f t="shared" si="991"/>
        <v>44742</v>
      </c>
    </row>
    <row r="6812" spans="1:6" x14ac:dyDescent="0.25">
      <c r="A6812" s="1" t="s">
        <v>344</v>
      </c>
      <c r="B6812" s="1" t="s">
        <v>584</v>
      </c>
      <c r="C6812" s="1" t="s">
        <v>349</v>
      </c>
      <c r="D6812" s="3">
        <f t="shared" si="992"/>
        <v>7778</v>
      </c>
      <c r="E6812" s="2">
        <f t="shared" si="993"/>
        <v>42217</v>
      </c>
      <c r="F6812" s="2">
        <f t="shared" si="991"/>
        <v>44742</v>
      </c>
    </row>
    <row r="6813" spans="1:6" x14ac:dyDescent="0.25">
      <c r="A6813" s="1" t="s">
        <v>344</v>
      </c>
      <c r="B6813" s="1" t="s">
        <v>584</v>
      </c>
      <c r="C6813" s="1" t="s">
        <v>458</v>
      </c>
      <c r="D6813" s="3">
        <f t="shared" si="992"/>
        <v>7778</v>
      </c>
      <c r="E6813" s="2">
        <f t="shared" si="993"/>
        <v>42217</v>
      </c>
      <c r="F6813" s="2">
        <f t="shared" si="991"/>
        <v>44742</v>
      </c>
    </row>
    <row r="6814" spans="1:6" x14ac:dyDescent="0.25">
      <c r="A6814" s="1" t="s">
        <v>344</v>
      </c>
      <c r="B6814" s="1" t="s">
        <v>584</v>
      </c>
      <c r="C6814" s="1" t="s">
        <v>352</v>
      </c>
      <c r="D6814" s="3">
        <f t="shared" si="992"/>
        <v>7778</v>
      </c>
      <c r="E6814" s="2">
        <f t="shared" si="993"/>
        <v>42217</v>
      </c>
      <c r="F6814" s="2">
        <f t="shared" si="991"/>
        <v>44742</v>
      </c>
    </row>
    <row r="6815" spans="1:6" x14ac:dyDescent="0.25">
      <c r="A6815" s="1" t="s">
        <v>344</v>
      </c>
      <c r="B6815" s="1" t="s">
        <v>584</v>
      </c>
      <c r="C6815" s="1" t="s">
        <v>34</v>
      </c>
      <c r="D6815" s="3">
        <f t="shared" si="992"/>
        <v>7778</v>
      </c>
      <c r="E6815" s="2">
        <f t="shared" si="993"/>
        <v>42217</v>
      </c>
      <c r="F6815" s="2">
        <f t="shared" si="991"/>
        <v>44742</v>
      </c>
    </row>
    <row r="6816" spans="1:6" x14ac:dyDescent="0.25">
      <c r="A6816" s="1" t="s">
        <v>344</v>
      </c>
      <c r="B6816" s="1" t="s">
        <v>1930</v>
      </c>
      <c r="C6816" s="1" t="s">
        <v>39</v>
      </c>
      <c r="D6816" s="3">
        <f t="shared" ref="D6816:D6833" si="994">VALUE("7599")</f>
        <v>7599</v>
      </c>
      <c r="E6816" s="2">
        <f t="shared" ref="E6816:E6839" si="995">DATEVALUE("1-4-2014")</f>
        <v>41730</v>
      </c>
      <c r="F6816" s="2">
        <f t="shared" ref="F6816:F6833" si="996">DATEVALUE("30-9-2015")</f>
        <v>42277</v>
      </c>
    </row>
    <row r="6817" spans="1:6" x14ac:dyDescent="0.25">
      <c r="A6817" s="1" t="s">
        <v>344</v>
      </c>
      <c r="B6817" s="1" t="s">
        <v>1930</v>
      </c>
      <c r="C6817" s="1" t="s">
        <v>43</v>
      </c>
      <c r="D6817" s="3">
        <f t="shared" si="994"/>
        <v>7599</v>
      </c>
      <c r="E6817" s="2">
        <f t="shared" si="995"/>
        <v>41730</v>
      </c>
      <c r="F6817" s="2">
        <f t="shared" si="996"/>
        <v>42277</v>
      </c>
    </row>
    <row r="6818" spans="1:6" x14ac:dyDescent="0.25">
      <c r="A6818" s="1" t="s">
        <v>344</v>
      </c>
      <c r="B6818" s="1" t="s">
        <v>1930</v>
      </c>
      <c r="C6818" s="1" t="s">
        <v>346</v>
      </c>
      <c r="D6818" s="3">
        <f t="shared" si="994"/>
        <v>7599</v>
      </c>
      <c r="E6818" s="2">
        <f t="shared" si="995"/>
        <v>41730</v>
      </c>
      <c r="F6818" s="2">
        <f t="shared" si="996"/>
        <v>42277</v>
      </c>
    </row>
    <row r="6819" spans="1:6" x14ac:dyDescent="0.25">
      <c r="A6819" s="1" t="s">
        <v>344</v>
      </c>
      <c r="B6819" s="1" t="s">
        <v>1930</v>
      </c>
      <c r="C6819" s="1" t="s">
        <v>375</v>
      </c>
      <c r="D6819" s="3">
        <f t="shared" si="994"/>
        <v>7599</v>
      </c>
      <c r="E6819" s="2">
        <f t="shared" si="995"/>
        <v>41730</v>
      </c>
      <c r="F6819" s="2">
        <f t="shared" si="996"/>
        <v>42277</v>
      </c>
    </row>
    <row r="6820" spans="1:6" x14ac:dyDescent="0.25">
      <c r="A6820" s="1" t="s">
        <v>344</v>
      </c>
      <c r="B6820" s="1" t="s">
        <v>1930</v>
      </c>
      <c r="C6820" s="1" t="s">
        <v>46</v>
      </c>
      <c r="D6820" s="3">
        <f t="shared" si="994"/>
        <v>7599</v>
      </c>
      <c r="E6820" s="2">
        <f t="shared" si="995"/>
        <v>41730</v>
      </c>
      <c r="F6820" s="2">
        <f t="shared" si="996"/>
        <v>42277</v>
      </c>
    </row>
    <row r="6821" spans="1:6" x14ac:dyDescent="0.25">
      <c r="A6821" s="1" t="s">
        <v>344</v>
      </c>
      <c r="B6821" s="1" t="s">
        <v>1930</v>
      </c>
      <c r="C6821" s="1" t="s">
        <v>17</v>
      </c>
      <c r="D6821" s="3">
        <f t="shared" si="994"/>
        <v>7599</v>
      </c>
      <c r="E6821" s="2">
        <f t="shared" si="995"/>
        <v>41730</v>
      </c>
      <c r="F6821" s="2">
        <f t="shared" si="996"/>
        <v>42277</v>
      </c>
    </row>
    <row r="6822" spans="1:6" x14ac:dyDescent="0.25">
      <c r="A6822" s="1" t="s">
        <v>344</v>
      </c>
      <c r="B6822" s="1" t="s">
        <v>1930</v>
      </c>
      <c r="C6822" s="1" t="s">
        <v>417</v>
      </c>
      <c r="D6822" s="3">
        <f t="shared" si="994"/>
        <v>7599</v>
      </c>
      <c r="E6822" s="2">
        <f t="shared" si="995"/>
        <v>41730</v>
      </c>
      <c r="F6822" s="2">
        <f t="shared" si="996"/>
        <v>42277</v>
      </c>
    </row>
    <row r="6823" spans="1:6" x14ac:dyDescent="0.25">
      <c r="A6823" s="1" t="s">
        <v>344</v>
      </c>
      <c r="B6823" s="1" t="s">
        <v>1930</v>
      </c>
      <c r="C6823" s="1" t="s">
        <v>384</v>
      </c>
      <c r="D6823" s="3">
        <f t="shared" si="994"/>
        <v>7599</v>
      </c>
      <c r="E6823" s="2">
        <f t="shared" si="995"/>
        <v>41730</v>
      </c>
      <c r="F6823" s="2">
        <f t="shared" si="996"/>
        <v>42277</v>
      </c>
    </row>
    <row r="6824" spans="1:6" x14ac:dyDescent="0.25">
      <c r="A6824" s="1" t="s">
        <v>344</v>
      </c>
      <c r="B6824" s="1" t="s">
        <v>1930</v>
      </c>
      <c r="C6824" s="1" t="s">
        <v>70</v>
      </c>
      <c r="D6824" s="3">
        <f t="shared" si="994"/>
        <v>7599</v>
      </c>
      <c r="E6824" s="2">
        <f t="shared" si="995"/>
        <v>41730</v>
      </c>
      <c r="F6824" s="2">
        <f t="shared" si="996"/>
        <v>42277</v>
      </c>
    </row>
    <row r="6825" spans="1:6" x14ac:dyDescent="0.25">
      <c r="A6825" s="1" t="s">
        <v>344</v>
      </c>
      <c r="B6825" s="1" t="s">
        <v>1930</v>
      </c>
      <c r="C6825" s="1" t="s">
        <v>99</v>
      </c>
      <c r="D6825" s="3">
        <f t="shared" si="994"/>
        <v>7599</v>
      </c>
      <c r="E6825" s="2">
        <f t="shared" si="995"/>
        <v>41730</v>
      </c>
      <c r="F6825" s="2">
        <f t="shared" si="996"/>
        <v>42277</v>
      </c>
    </row>
    <row r="6826" spans="1:6" x14ac:dyDescent="0.25">
      <c r="A6826" s="1" t="s">
        <v>344</v>
      </c>
      <c r="B6826" s="1" t="s">
        <v>1930</v>
      </c>
      <c r="C6826" s="1" t="s">
        <v>458</v>
      </c>
      <c r="D6826" s="3">
        <f t="shared" si="994"/>
        <v>7599</v>
      </c>
      <c r="E6826" s="2">
        <f t="shared" si="995"/>
        <v>41730</v>
      </c>
      <c r="F6826" s="2">
        <f t="shared" si="996"/>
        <v>42277</v>
      </c>
    </row>
    <row r="6827" spans="1:6" x14ac:dyDescent="0.25">
      <c r="A6827" s="1" t="s">
        <v>344</v>
      </c>
      <c r="B6827" s="1" t="s">
        <v>1930</v>
      </c>
      <c r="C6827" s="1" t="s">
        <v>351</v>
      </c>
      <c r="D6827" s="3">
        <f t="shared" si="994"/>
        <v>7599</v>
      </c>
      <c r="E6827" s="2">
        <f t="shared" si="995"/>
        <v>41730</v>
      </c>
      <c r="F6827" s="2">
        <f t="shared" si="996"/>
        <v>42277</v>
      </c>
    </row>
    <row r="6828" spans="1:6" x14ac:dyDescent="0.25">
      <c r="A6828" s="1" t="s">
        <v>344</v>
      </c>
      <c r="B6828" s="1" t="s">
        <v>1930</v>
      </c>
      <c r="C6828" s="1" t="s">
        <v>352</v>
      </c>
      <c r="D6828" s="3">
        <f t="shared" si="994"/>
        <v>7599</v>
      </c>
      <c r="E6828" s="2">
        <f t="shared" si="995"/>
        <v>41730</v>
      </c>
      <c r="F6828" s="2">
        <f t="shared" si="996"/>
        <v>42277</v>
      </c>
    </row>
    <row r="6829" spans="1:6" x14ac:dyDescent="0.25">
      <c r="A6829" s="1" t="s">
        <v>344</v>
      </c>
      <c r="B6829" s="1" t="s">
        <v>1930</v>
      </c>
      <c r="C6829" s="1" t="s">
        <v>425</v>
      </c>
      <c r="D6829" s="3">
        <f t="shared" si="994"/>
        <v>7599</v>
      </c>
      <c r="E6829" s="2">
        <f t="shared" si="995"/>
        <v>41730</v>
      </c>
      <c r="F6829" s="2">
        <f t="shared" si="996"/>
        <v>42277</v>
      </c>
    </row>
    <row r="6830" spans="1:6" x14ac:dyDescent="0.25">
      <c r="A6830" s="1" t="s">
        <v>344</v>
      </c>
      <c r="B6830" s="1" t="s">
        <v>1930</v>
      </c>
      <c r="C6830" s="1" t="s">
        <v>426</v>
      </c>
      <c r="D6830" s="3">
        <f t="shared" si="994"/>
        <v>7599</v>
      </c>
      <c r="E6830" s="2">
        <f t="shared" si="995"/>
        <v>41730</v>
      </c>
      <c r="F6830" s="2">
        <f t="shared" si="996"/>
        <v>42277</v>
      </c>
    </row>
    <row r="6831" spans="1:6" x14ac:dyDescent="0.25">
      <c r="A6831" s="1" t="s">
        <v>344</v>
      </c>
      <c r="B6831" s="1" t="s">
        <v>1930</v>
      </c>
      <c r="C6831" s="1" t="s">
        <v>519</v>
      </c>
      <c r="D6831" s="3">
        <f t="shared" si="994"/>
        <v>7599</v>
      </c>
      <c r="E6831" s="2">
        <f t="shared" si="995"/>
        <v>41730</v>
      </c>
      <c r="F6831" s="2">
        <f t="shared" si="996"/>
        <v>42277</v>
      </c>
    </row>
    <row r="6832" spans="1:6" x14ac:dyDescent="0.25">
      <c r="A6832" s="1" t="s">
        <v>344</v>
      </c>
      <c r="B6832" s="1" t="s">
        <v>1930</v>
      </c>
      <c r="C6832" s="1" t="s">
        <v>57</v>
      </c>
      <c r="D6832" s="3">
        <f t="shared" si="994"/>
        <v>7599</v>
      </c>
      <c r="E6832" s="2">
        <f t="shared" si="995"/>
        <v>41730</v>
      </c>
      <c r="F6832" s="2">
        <f t="shared" si="996"/>
        <v>42277</v>
      </c>
    </row>
    <row r="6833" spans="1:6" x14ac:dyDescent="0.25">
      <c r="A6833" s="1" t="s">
        <v>344</v>
      </c>
      <c r="B6833" s="1" t="s">
        <v>1930</v>
      </c>
      <c r="C6833" s="1" t="s">
        <v>36</v>
      </c>
      <c r="D6833" s="3">
        <f t="shared" si="994"/>
        <v>7599</v>
      </c>
      <c r="E6833" s="2">
        <f t="shared" si="995"/>
        <v>41730</v>
      </c>
      <c r="F6833" s="2">
        <f t="shared" si="996"/>
        <v>42277</v>
      </c>
    </row>
    <row r="6834" spans="1:6" x14ac:dyDescent="0.25">
      <c r="A6834" s="1" t="s">
        <v>344</v>
      </c>
      <c r="B6834" s="1" t="s">
        <v>1721</v>
      </c>
      <c r="C6834" s="1" t="s">
        <v>585</v>
      </c>
      <c r="D6834" s="3">
        <f>VALUE("7600")</f>
        <v>7600</v>
      </c>
      <c r="E6834" s="2">
        <f t="shared" si="995"/>
        <v>41730</v>
      </c>
      <c r="F6834" s="2">
        <f>DATEVALUE("31-12-2016")</f>
        <v>42735</v>
      </c>
    </row>
    <row r="6835" spans="1:6" x14ac:dyDescent="0.25">
      <c r="A6835" s="1" t="s">
        <v>344</v>
      </c>
      <c r="B6835" s="1" t="s">
        <v>1721</v>
      </c>
      <c r="C6835" s="1" t="s">
        <v>43</v>
      </c>
      <c r="D6835" s="3">
        <f>VALUE("7600")</f>
        <v>7600</v>
      </c>
      <c r="E6835" s="2">
        <f t="shared" si="995"/>
        <v>41730</v>
      </c>
      <c r="F6835" s="2">
        <f>DATEVALUE("31-12-2016")</f>
        <v>42735</v>
      </c>
    </row>
    <row r="6836" spans="1:6" x14ac:dyDescent="0.25">
      <c r="A6836" s="1" t="s">
        <v>344</v>
      </c>
      <c r="B6836" s="1" t="s">
        <v>1721</v>
      </c>
      <c r="C6836" s="1" t="s">
        <v>346</v>
      </c>
      <c r="D6836" s="3">
        <f>VALUE("7600")</f>
        <v>7600</v>
      </c>
      <c r="E6836" s="2">
        <f t="shared" si="995"/>
        <v>41730</v>
      </c>
      <c r="F6836" s="2">
        <f>DATEVALUE("31-12-2016")</f>
        <v>42735</v>
      </c>
    </row>
    <row r="6837" spans="1:6" x14ac:dyDescent="0.25">
      <c r="A6837" s="1" t="s">
        <v>344</v>
      </c>
      <c r="B6837" s="1" t="s">
        <v>1721</v>
      </c>
      <c r="C6837" s="1" t="s">
        <v>587</v>
      </c>
      <c r="D6837" s="3">
        <f>VALUE("7600")</f>
        <v>7600</v>
      </c>
      <c r="E6837" s="2">
        <f t="shared" si="995"/>
        <v>41730</v>
      </c>
      <c r="F6837" s="2">
        <f>DATEVALUE("31-12-2016")</f>
        <v>42735</v>
      </c>
    </row>
    <row r="6838" spans="1:6" x14ac:dyDescent="0.25">
      <c r="A6838" s="1" t="s">
        <v>344</v>
      </c>
      <c r="B6838" s="1" t="s">
        <v>1935</v>
      </c>
      <c r="C6838" s="1" t="s">
        <v>69</v>
      </c>
      <c r="D6838" s="3">
        <f>VALUE("7623")</f>
        <v>7623</v>
      </c>
      <c r="E6838" s="2">
        <f t="shared" si="995"/>
        <v>41730</v>
      </c>
      <c r="F6838" s="2">
        <f>DATEVALUE("31-3-2015")</f>
        <v>42094</v>
      </c>
    </row>
    <row r="6839" spans="1:6" x14ac:dyDescent="0.25">
      <c r="A6839" s="1" t="s">
        <v>344</v>
      </c>
      <c r="B6839" s="1" t="s">
        <v>1935</v>
      </c>
      <c r="C6839" s="1" t="s">
        <v>519</v>
      </c>
      <c r="D6839" s="3">
        <f>VALUE("7623")</f>
        <v>7623</v>
      </c>
      <c r="E6839" s="2">
        <f t="shared" si="995"/>
        <v>41730</v>
      </c>
      <c r="F6839" s="2">
        <f>DATEVALUE("31-3-2015")</f>
        <v>42094</v>
      </c>
    </row>
    <row r="6840" spans="1:6" x14ac:dyDescent="0.25">
      <c r="A6840" s="1" t="s">
        <v>344</v>
      </c>
      <c r="B6840" s="1" t="s">
        <v>343</v>
      </c>
      <c r="C6840" s="1" t="s">
        <v>345</v>
      </c>
      <c r="D6840" s="3">
        <f t="shared" ref="D6840:D6858" si="997">VALUE("7445")</f>
        <v>7445</v>
      </c>
      <c r="E6840" s="2">
        <f t="shared" ref="E6840:E6858" si="998">DATEVALUE("1-1-2013")</f>
        <v>41275</v>
      </c>
      <c r="F6840" s="2">
        <f t="shared" ref="F6840:F6858" si="999">DATEVALUE("30-6-2022")</f>
        <v>44742</v>
      </c>
    </row>
    <row r="6841" spans="1:6" x14ac:dyDescent="0.25">
      <c r="A6841" s="1" t="s">
        <v>344</v>
      </c>
      <c r="B6841" s="1" t="s">
        <v>343</v>
      </c>
      <c r="C6841" s="1" t="s">
        <v>12</v>
      </c>
      <c r="D6841" s="3">
        <f t="shared" si="997"/>
        <v>7445</v>
      </c>
      <c r="E6841" s="2">
        <f t="shared" si="998"/>
        <v>41275</v>
      </c>
      <c r="F6841" s="2">
        <f t="shared" si="999"/>
        <v>44742</v>
      </c>
    </row>
    <row r="6842" spans="1:6" x14ac:dyDescent="0.25">
      <c r="A6842" s="1" t="s">
        <v>344</v>
      </c>
      <c r="B6842" s="1" t="s">
        <v>343</v>
      </c>
      <c r="C6842" s="1" t="s">
        <v>61</v>
      </c>
      <c r="D6842" s="3">
        <f t="shared" si="997"/>
        <v>7445</v>
      </c>
      <c r="E6842" s="2">
        <f t="shared" si="998"/>
        <v>41275</v>
      </c>
      <c r="F6842" s="2">
        <f t="shared" si="999"/>
        <v>44742</v>
      </c>
    </row>
    <row r="6843" spans="1:6" x14ac:dyDescent="0.25">
      <c r="A6843" s="1" t="s">
        <v>344</v>
      </c>
      <c r="B6843" s="1" t="s">
        <v>343</v>
      </c>
      <c r="C6843" s="1" t="s">
        <v>346</v>
      </c>
      <c r="D6843" s="3">
        <f t="shared" si="997"/>
        <v>7445</v>
      </c>
      <c r="E6843" s="2">
        <f t="shared" si="998"/>
        <v>41275</v>
      </c>
      <c r="F6843" s="2">
        <f t="shared" si="999"/>
        <v>44742</v>
      </c>
    </row>
    <row r="6844" spans="1:6" x14ac:dyDescent="0.25">
      <c r="A6844" s="1" t="s">
        <v>344</v>
      </c>
      <c r="B6844" s="1" t="s">
        <v>343</v>
      </c>
      <c r="C6844" s="1" t="s">
        <v>347</v>
      </c>
      <c r="D6844" s="3">
        <f t="shared" si="997"/>
        <v>7445</v>
      </c>
      <c r="E6844" s="2">
        <f t="shared" si="998"/>
        <v>41275</v>
      </c>
      <c r="F6844" s="2">
        <f t="shared" si="999"/>
        <v>44742</v>
      </c>
    </row>
    <row r="6845" spans="1:6" x14ac:dyDescent="0.25">
      <c r="A6845" s="1" t="s">
        <v>344</v>
      </c>
      <c r="B6845" s="1" t="s">
        <v>343</v>
      </c>
      <c r="C6845" s="1" t="s">
        <v>46</v>
      </c>
      <c r="D6845" s="3">
        <f t="shared" si="997"/>
        <v>7445</v>
      </c>
      <c r="E6845" s="2">
        <f t="shared" si="998"/>
        <v>41275</v>
      </c>
      <c r="F6845" s="2">
        <f t="shared" si="999"/>
        <v>44742</v>
      </c>
    </row>
    <row r="6846" spans="1:6" x14ac:dyDescent="0.25">
      <c r="A6846" s="1" t="s">
        <v>344</v>
      </c>
      <c r="B6846" s="1" t="s">
        <v>343</v>
      </c>
      <c r="C6846" s="1" t="s">
        <v>66</v>
      </c>
      <c r="D6846" s="3">
        <f t="shared" si="997"/>
        <v>7445</v>
      </c>
      <c r="E6846" s="2">
        <f t="shared" si="998"/>
        <v>41275</v>
      </c>
      <c r="F6846" s="2">
        <f t="shared" si="999"/>
        <v>44742</v>
      </c>
    </row>
    <row r="6847" spans="1:6" x14ac:dyDescent="0.25">
      <c r="A6847" s="1" t="s">
        <v>344</v>
      </c>
      <c r="B6847" s="1" t="s">
        <v>343</v>
      </c>
      <c r="C6847" s="1" t="s">
        <v>88</v>
      </c>
      <c r="D6847" s="3">
        <f t="shared" si="997"/>
        <v>7445</v>
      </c>
      <c r="E6847" s="2">
        <f t="shared" si="998"/>
        <v>41275</v>
      </c>
      <c r="F6847" s="2">
        <f t="shared" si="999"/>
        <v>44742</v>
      </c>
    </row>
    <row r="6848" spans="1:6" x14ac:dyDescent="0.25">
      <c r="A6848" s="1" t="s">
        <v>344</v>
      </c>
      <c r="B6848" s="1" t="s">
        <v>343</v>
      </c>
      <c r="C6848" s="1" t="s">
        <v>17</v>
      </c>
      <c r="D6848" s="3">
        <f t="shared" si="997"/>
        <v>7445</v>
      </c>
      <c r="E6848" s="2">
        <f t="shared" si="998"/>
        <v>41275</v>
      </c>
      <c r="F6848" s="2">
        <f t="shared" si="999"/>
        <v>44742</v>
      </c>
    </row>
    <row r="6849" spans="1:6" x14ac:dyDescent="0.25">
      <c r="A6849" s="1" t="s">
        <v>344</v>
      </c>
      <c r="B6849" s="1" t="s">
        <v>343</v>
      </c>
      <c r="C6849" s="1" t="s">
        <v>348</v>
      </c>
      <c r="D6849" s="3">
        <f t="shared" si="997"/>
        <v>7445</v>
      </c>
      <c r="E6849" s="2">
        <f t="shared" si="998"/>
        <v>41275</v>
      </c>
      <c r="F6849" s="2">
        <f t="shared" si="999"/>
        <v>44742</v>
      </c>
    </row>
    <row r="6850" spans="1:6" x14ac:dyDescent="0.25">
      <c r="A6850" s="1" t="s">
        <v>344</v>
      </c>
      <c r="B6850" s="1" t="s">
        <v>343</v>
      </c>
      <c r="C6850" s="1" t="s">
        <v>27</v>
      </c>
      <c r="D6850" s="3">
        <f t="shared" si="997"/>
        <v>7445</v>
      </c>
      <c r="E6850" s="2">
        <f t="shared" si="998"/>
        <v>41275</v>
      </c>
      <c r="F6850" s="2">
        <f t="shared" si="999"/>
        <v>44742</v>
      </c>
    </row>
    <row r="6851" spans="1:6" x14ac:dyDescent="0.25">
      <c r="A6851" s="1" t="s">
        <v>344</v>
      </c>
      <c r="B6851" s="1" t="s">
        <v>343</v>
      </c>
      <c r="C6851" s="1" t="s">
        <v>262</v>
      </c>
      <c r="D6851" s="3">
        <f t="shared" si="997"/>
        <v>7445</v>
      </c>
      <c r="E6851" s="2">
        <f t="shared" si="998"/>
        <v>41275</v>
      </c>
      <c r="F6851" s="2">
        <f t="shared" si="999"/>
        <v>44742</v>
      </c>
    </row>
    <row r="6852" spans="1:6" x14ac:dyDescent="0.25">
      <c r="A6852" s="1" t="s">
        <v>344</v>
      </c>
      <c r="B6852" s="1" t="s">
        <v>343</v>
      </c>
      <c r="C6852" s="1" t="s">
        <v>52</v>
      </c>
      <c r="D6852" s="3">
        <f t="shared" si="997"/>
        <v>7445</v>
      </c>
      <c r="E6852" s="2">
        <f t="shared" si="998"/>
        <v>41275</v>
      </c>
      <c r="F6852" s="2">
        <f t="shared" si="999"/>
        <v>44742</v>
      </c>
    </row>
    <row r="6853" spans="1:6" x14ac:dyDescent="0.25">
      <c r="A6853" s="1" t="s">
        <v>344</v>
      </c>
      <c r="B6853" s="1" t="s">
        <v>343</v>
      </c>
      <c r="C6853" s="1" t="s">
        <v>349</v>
      </c>
      <c r="D6853" s="3">
        <f t="shared" si="997"/>
        <v>7445</v>
      </c>
      <c r="E6853" s="2">
        <f t="shared" si="998"/>
        <v>41275</v>
      </c>
      <c r="F6853" s="2">
        <f t="shared" si="999"/>
        <v>44742</v>
      </c>
    </row>
    <row r="6854" spans="1:6" x14ac:dyDescent="0.25">
      <c r="A6854" s="1" t="s">
        <v>344</v>
      </c>
      <c r="B6854" s="1" t="s">
        <v>343</v>
      </c>
      <c r="C6854" s="1" t="s">
        <v>350</v>
      </c>
      <c r="D6854" s="3">
        <f t="shared" si="997"/>
        <v>7445</v>
      </c>
      <c r="E6854" s="2">
        <f t="shared" si="998"/>
        <v>41275</v>
      </c>
      <c r="F6854" s="2">
        <f t="shared" si="999"/>
        <v>44742</v>
      </c>
    </row>
    <row r="6855" spans="1:6" x14ac:dyDescent="0.25">
      <c r="A6855" s="1" t="s">
        <v>344</v>
      </c>
      <c r="B6855" s="1" t="s">
        <v>343</v>
      </c>
      <c r="C6855" s="1" t="s">
        <v>351</v>
      </c>
      <c r="D6855" s="3">
        <f t="shared" si="997"/>
        <v>7445</v>
      </c>
      <c r="E6855" s="2">
        <f t="shared" si="998"/>
        <v>41275</v>
      </c>
      <c r="F6855" s="2">
        <f t="shared" si="999"/>
        <v>44742</v>
      </c>
    </row>
    <row r="6856" spans="1:6" x14ac:dyDescent="0.25">
      <c r="A6856" s="1" t="s">
        <v>344</v>
      </c>
      <c r="B6856" s="1" t="s">
        <v>343</v>
      </c>
      <c r="C6856" s="1" t="s">
        <v>352</v>
      </c>
      <c r="D6856" s="3">
        <f t="shared" si="997"/>
        <v>7445</v>
      </c>
      <c r="E6856" s="2">
        <f t="shared" si="998"/>
        <v>41275</v>
      </c>
      <c r="F6856" s="2">
        <f t="shared" si="999"/>
        <v>44742</v>
      </c>
    </row>
    <row r="6857" spans="1:6" x14ac:dyDescent="0.25">
      <c r="A6857" s="1" t="s">
        <v>344</v>
      </c>
      <c r="B6857" s="1" t="s">
        <v>343</v>
      </c>
      <c r="C6857" s="1" t="s">
        <v>56</v>
      </c>
      <c r="D6857" s="3">
        <f t="shared" si="997"/>
        <v>7445</v>
      </c>
      <c r="E6857" s="2">
        <f t="shared" si="998"/>
        <v>41275</v>
      </c>
      <c r="F6857" s="2">
        <f t="shared" si="999"/>
        <v>44742</v>
      </c>
    </row>
    <row r="6858" spans="1:6" x14ac:dyDescent="0.25">
      <c r="A6858" s="1" t="s">
        <v>344</v>
      </c>
      <c r="B6858" s="1" t="s">
        <v>343</v>
      </c>
      <c r="C6858" s="1" t="s">
        <v>173</v>
      </c>
      <c r="D6858" s="3">
        <f t="shared" si="997"/>
        <v>7445</v>
      </c>
      <c r="E6858" s="2">
        <f t="shared" si="998"/>
        <v>41275</v>
      </c>
      <c r="F6858" s="2">
        <f t="shared" si="999"/>
        <v>44742</v>
      </c>
    </row>
    <row r="6859" spans="1:6" x14ac:dyDescent="0.25">
      <c r="A6859" s="1" t="s">
        <v>344</v>
      </c>
      <c r="B6859" s="1" t="s">
        <v>2675</v>
      </c>
      <c r="C6859" s="1" t="s">
        <v>585</v>
      </c>
      <c r="D6859" s="3">
        <f t="shared" ref="D6859:D6866" si="1000">VALUE("7355")</f>
        <v>7355</v>
      </c>
      <c r="E6859" s="2">
        <f t="shared" ref="E6859:E6866" si="1001">DATEVALUE("1-7-2012")</f>
        <v>41091</v>
      </c>
      <c r="F6859" s="2">
        <f t="shared" ref="F6859:F6866" si="1002">DATEVALUE("30-6-2013")</f>
        <v>41455</v>
      </c>
    </row>
    <row r="6860" spans="1:6" x14ac:dyDescent="0.25">
      <c r="A6860" s="1" t="s">
        <v>344</v>
      </c>
      <c r="B6860" s="1" t="s">
        <v>2675</v>
      </c>
      <c r="C6860" s="1" t="s">
        <v>586</v>
      </c>
      <c r="D6860" s="3">
        <f t="shared" si="1000"/>
        <v>7355</v>
      </c>
      <c r="E6860" s="2">
        <f t="shared" si="1001"/>
        <v>41091</v>
      </c>
      <c r="F6860" s="2">
        <f t="shared" si="1002"/>
        <v>41455</v>
      </c>
    </row>
    <row r="6861" spans="1:6" x14ac:dyDescent="0.25">
      <c r="A6861" s="1" t="s">
        <v>344</v>
      </c>
      <c r="B6861" s="1" t="s">
        <v>2675</v>
      </c>
      <c r="C6861" s="1" t="s">
        <v>347</v>
      </c>
      <c r="D6861" s="3">
        <f t="shared" si="1000"/>
        <v>7355</v>
      </c>
      <c r="E6861" s="2">
        <f t="shared" si="1001"/>
        <v>41091</v>
      </c>
      <c r="F6861" s="2">
        <f t="shared" si="1002"/>
        <v>41455</v>
      </c>
    </row>
    <row r="6862" spans="1:6" x14ac:dyDescent="0.25">
      <c r="A6862" s="1" t="s">
        <v>344</v>
      </c>
      <c r="B6862" s="1" t="s">
        <v>2675</v>
      </c>
      <c r="C6862" s="1" t="s">
        <v>46</v>
      </c>
      <c r="D6862" s="3">
        <f t="shared" si="1000"/>
        <v>7355</v>
      </c>
      <c r="E6862" s="2">
        <f t="shared" si="1001"/>
        <v>41091</v>
      </c>
      <c r="F6862" s="2">
        <f t="shared" si="1002"/>
        <v>41455</v>
      </c>
    </row>
    <row r="6863" spans="1:6" x14ac:dyDescent="0.25">
      <c r="A6863" s="1" t="s">
        <v>344</v>
      </c>
      <c r="B6863" s="1" t="s">
        <v>2675</v>
      </c>
      <c r="C6863" s="1" t="s">
        <v>66</v>
      </c>
      <c r="D6863" s="3">
        <f t="shared" si="1000"/>
        <v>7355</v>
      </c>
      <c r="E6863" s="2">
        <f t="shared" si="1001"/>
        <v>41091</v>
      </c>
      <c r="F6863" s="2">
        <f t="shared" si="1002"/>
        <v>41455</v>
      </c>
    </row>
    <row r="6864" spans="1:6" x14ac:dyDescent="0.25">
      <c r="A6864" s="1" t="s">
        <v>344</v>
      </c>
      <c r="B6864" s="1" t="s">
        <v>2675</v>
      </c>
      <c r="C6864" s="1" t="s">
        <v>17</v>
      </c>
      <c r="D6864" s="3">
        <f t="shared" si="1000"/>
        <v>7355</v>
      </c>
      <c r="E6864" s="2">
        <f t="shared" si="1001"/>
        <v>41091</v>
      </c>
      <c r="F6864" s="2">
        <f t="shared" si="1002"/>
        <v>41455</v>
      </c>
    </row>
    <row r="6865" spans="1:6" x14ac:dyDescent="0.25">
      <c r="A6865" s="1" t="s">
        <v>344</v>
      </c>
      <c r="B6865" s="1" t="s">
        <v>2675</v>
      </c>
      <c r="C6865" s="1" t="s">
        <v>349</v>
      </c>
      <c r="D6865" s="3">
        <f t="shared" si="1000"/>
        <v>7355</v>
      </c>
      <c r="E6865" s="2">
        <f t="shared" si="1001"/>
        <v>41091</v>
      </c>
      <c r="F6865" s="2">
        <f t="shared" si="1002"/>
        <v>41455</v>
      </c>
    </row>
    <row r="6866" spans="1:6" x14ac:dyDescent="0.25">
      <c r="A6866" s="1" t="s">
        <v>344</v>
      </c>
      <c r="B6866" s="1" t="s">
        <v>2675</v>
      </c>
      <c r="C6866" s="1" t="s">
        <v>173</v>
      </c>
      <c r="D6866" s="3">
        <f t="shared" si="1000"/>
        <v>7355</v>
      </c>
      <c r="E6866" s="2">
        <f t="shared" si="1001"/>
        <v>41091</v>
      </c>
      <c r="F6866" s="2">
        <f t="shared" si="1002"/>
        <v>41455</v>
      </c>
    </row>
    <row r="6867" spans="1:6" x14ac:dyDescent="0.25">
      <c r="A6867" s="1" t="s">
        <v>344</v>
      </c>
      <c r="B6867" s="1" t="s">
        <v>2628</v>
      </c>
      <c r="C6867" s="1" t="s">
        <v>345</v>
      </c>
      <c r="D6867" s="3">
        <f t="shared" ref="D6867:D6881" si="1003">VALUE("7245")</f>
        <v>7245</v>
      </c>
      <c r="E6867" s="2">
        <f t="shared" ref="E6867:E6881" si="1004">DATEVALUE("1-10-2011")</f>
        <v>40817</v>
      </c>
      <c r="F6867" s="2">
        <f t="shared" ref="F6867:F6881" si="1005">DATEVALUE("31-5-2012")</f>
        <v>41060</v>
      </c>
    </row>
    <row r="6868" spans="1:6" x14ac:dyDescent="0.25">
      <c r="A6868" s="1" t="s">
        <v>344</v>
      </c>
      <c r="B6868" s="1" t="s">
        <v>2628</v>
      </c>
      <c r="C6868" s="1" t="s">
        <v>8</v>
      </c>
      <c r="D6868" s="3">
        <f t="shared" si="1003"/>
        <v>7245</v>
      </c>
      <c r="E6868" s="2">
        <f t="shared" si="1004"/>
        <v>40817</v>
      </c>
      <c r="F6868" s="2">
        <f t="shared" si="1005"/>
        <v>41060</v>
      </c>
    </row>
    <row r="6869" spans="1:6" x14ac:dyDescent="0.25">
      <c r="A6869" s="1" t="s">
        <v>344</v>
      </c>
      <c r="B6869" s="1" t="s">
        <v>2628</v>
      </c>
      <c r="C6869" s="1" t="s">
        <v>10</v>
      </c>
      <c r="D6869" s="3">
        <f t="shared" si="1003"/>
        <v>7245</v>
      </c>
      <c r="E6869" s="2">
        <f t="shared" si="1004"/>
        <v>40817</v>
      </c>
      <c r="F6869" s="2">
        <f t="shared" si="1005"/>
        <v>41060</v>
      </c>
    </row>
    <row r="6870" spans="1:6" x14ac:dyDescent="0.25">
      <c r="A6870" s="1" t="s">
        <v>344</v>
      </c>
      <c r="B6870" s="1" t="s">
        <v>2628</v>
      </c>
      <c r="C6870" s="1" t="s">
        <v>11</v>
      </c>
      <c r="D6870" s="3">
        <f t="shared" si="1003"/>
        <v>7245</v>
      </c>
      <c r="E6870" s="2">
        <f t="shared" si="1004"/>
        <v>40817</v>
      </c>
      <c r="F6870" s="2">
        <f t="shared" si="1005"/>
        <v>41060</v>
      </c>
    </row>
    <row r="6871" spans="1:6" x14ac:dyDescent="0.25">
      <c r="A6871" s="1" t="s">
        <v>344</v>
      </c>
      <c r="B6871" s="1" t="s">
        <v>2628</v>
      </c>
      <c r="C6871" s="1" t="s">
        <v>585</v>
      </c>
      <c r="D6871" s="3">
        <f t="shared" si="1003"/>
        <v>7245</v>
      </c>
      <c r="E6871" s="2">
        <f t="shared" si="1004"/>
        <v>40817</v>
      </c>
      <c r="F6871" s="2">
        <f t="shared" si="1005"/>
        <v>41060</v>
      </c>
    </row>
    <row r="6872" spans="1:6" x14ac:dyDescent="0.25">
      <c r="A6872" s="1" t="s">
        <v>344</v>
      </c>
      <c r="B6872" s="1" t="s">
        <v>2628</v>
      </c>
      <c r="C6872" s="1" t="s">
        <v>12</v>
      </c>
      <c r="D6872" s="3">
        <f t="shared" si="1003"/>
        <v>7245</v>
      </c>
      <c r="E6872" s="2">
        <f t="shared" si="1004"/>
        <v>40817</v>
      </c>
      <c r="F6872" s="2">
        <f t="shared" si="1005"/>
        <v>41060</v>
      </c>
    </row>
    <row r="6873" spans="1:6" x14ac:dyDescent="0.25">
      <c r="A6873" s="1" t="s">
        <v>344</v>
      </c>
      <c r="B6873" s="1" t="s">
        <v>2628</v>
      </c>
      <c r="C6873" s="1" t="s">
        <v>586</v>
      </c>
      <c r="D6873" s="3">
        <f t="shared" si="1003"/>
        <v>7245</v>
      </c>
      <c r="E6873" s="2">
        <f t="shared" si="1004"/>
        <v>40817</v>
      </c>
      <c r="F6873" s="2">
        <f t="shared" si="1005"/>
        <v>41060</v>
      </c>
    </row>
    <row r="6874" spans="1:6" x14ac:dyDescent="0.25">
      <c r="A6874" s="1" t="s">
        <v>344</v>
      </c>
      <c r="B6874" s="1" t="s">
        <v>2628</v>
      </c>
      <c r="C6874" s="1" t="s">
        <v>347</v>
      </c>
      <c r="D6874" s="3">
        <f t="shared" si="1003"/>
        <v>7245</v>
      </c>
      <c r="E6874" s="2">
        <f t="shared" si="1004"/>
        <v>40817</v>
      </c>
      <c r="F6874" s="2">
        <f t="shared" si="1005"/>
        <v>41060</v>
      </c>
    </row>
    <row r="6875" spans="1:6" x14ac:dyDescent="0.25">
      <c r="A6875" s="1" t="s">
        <v>344</v>
      </c>
      <c r="B6875" s="1" t="s">
        <v>2628</v>
      </c>
      <c r="C6875" s="1" t="s">
        <v>1859</v>
      </c>
      <c r="D6875" s="3">
        <f t="shared" si="1003"/>
        <v>7245</v>
      </c>
      <c r="E6875" s="2">
        <f t="shared" si="1004"/>
        <v>40817</v>
      </c>
      <c r="F6875" s="2">
        <f t="shared" si="1005"/>
        <v>41060</v>
      </c>
    </row>
    <row r="6876" spans="1:6" x14ac:dyDescent="0.25">
      <c r="A6876" s="1" t="s">
        <v>344</v>
      </c>
      <c r="B6876" s="1" t="s">
        <v>2628</v>
      </c>
      <c r="C6876" s="1" t="s">
        <v>348</v>
      </c>
      <c r="D6876" s="3">
        <f t="shared" si="1003"/>
        <v>7245</v>
      </c>
      <c r="E6876" s="2">
        <f t="shared" si="1004"/>
        <v>40817</v>
      </c>
      <c r="F6876" s="2">
        <f t="shared" si="1005"/>
        <v>41060</v>
      </c>
    </row>
    <row r="6877" spans="1:6" x14ac:dyDescent="0.25">
      <c r="A6877" s="1" t="s">
        <v>344</v>
      </c>
      <c r="B6877" s="1" t="s">
        <v>2628</v>
      </c>
      <c r="C6877" s="1" t="s">
        <v>349</v>
      </c>
      <c r="D6877" s="3">
        <f t="shared" si="1003"/>
        <v>7245</v>
      </c>
      <c r="E6877" s="2">
        <f t="shared" si="1004"/>
        <v>40817</v>
      </c>
      <c r="F6877" s="2">
        <f t="shared" si="1005"/>
        <v>41060</v>
      </c>
    </row>
    <row r="6878" spans="1:6" x14ac:dyDescent="0.25">
      <c r="A6878" s="1" t="s">
        <v>344</v>
      </c>
      <c r="B6878" s="1" t="s">
        <v>2628</v>
      </c>
      <c r="C6878" s="1" t="s">
        <v>32</v>
      </c>
      <c r="D6878" s="3">
        <f t="shared" si="1003"/>
        <v>7245</v>
      </c>
      <c r="E6878" s="2">
        <f t="shared" si="1004"/>
        <v>40817</v>
      </c>
      <c r="F6878" s="2">
        <f t="shared" si="1005"/>
        <v>41060</v>
      </c>
    </row>
    <row r="6879" spans="1:6" x14ac:dyDescent="0.25">
      <c r="A6879" s="1" t="s">
        <v>344</v>
      </c>
      <c r="B6879" s="1" t="s">
        <v>2628</v>
      </c>
      <c r="C6879" s="1" t="s">
        <v>33</v>
      </c>
      <c r="D6879" s="3">
        <f t="shared" si="1003"/>
        <v>7245</v>
      </c>
      <c r="E6879" s="2">
        <f t="shared" si="1004"/>
        <v>40817</v>
      </c>
      <c r="F6879" s="2">
        <f t="shared" si="1005"/>
        <v>41060</v>
      </c>
    </row>
    <row r="6880" spans="1:6" x14ac:dyDescent="0.25">
      <c r="A6880" s="1" t="s">
        <v>344</v>
      </c>
      <c r="B6880" s="1" t="s">
        <v>2628</v>
      </c>
      <c r="C6880" s="1" t="s">
        <v>1697</v>
      </c>
      <c r="D6880" s="3">
        <f t="shared" si="1003"/>
        <v>7245</v>
      </c>
      <c r="E6880" s="2">
        <f t="shared" si="1004"/>
        <v>40817</v>
      </c>
      <c r="F6880" s="2">
        <f t="shared" si="1005"/>
        <v>41060</v>
      </c>
    </row>
    <row r="6881" spans="1:6" x14ac:dyDescent="0.25">
      <c r="A6881" s="1" t="s">
        <v>344</v>
      </c>
      <c r="B6881" s="1" t="s">
        <v>2628</v>
      </c>
      <c r="C6881" s="1" t="s">
        <v>36</v>
      </c>
      <c r="D6881" s="3">
        <f t="shared" si="1003"/>
        <v>7245</v>
      </c>
      <c r="E6881" s="2">
        <f t="shared" si="1004"/>
        <v>40817</v>
      </c>
      <c r="F6881" s="2">
        <f t="shared" si="1005"/>
        <v>41060</v>
      </c>
    </row>
    <row r="6882" spans="1:6" x14ac:dyDescent="0.25">
      <c r="A6882" s="1" t="s">
        <v>2086</v>
      </c>
      <c r="B6882" s="1" t="s">
        <v>2435</v>
      </c>
      <c r="C6882" s="1" t="s">
        <v>2443</v>
      </c>
      <c r="D6882" s="3">
        <f t="shared" ref="D6882:D6891" si="1006">VALUE("8510")</f>
        <v>8510</v>
      </c>
      <c r="E6882" s="2">
        <f t="shared" ref="E6882:E6891" si="1007">DATEVALUE("1-7-2019")</f>
        <v>43647</v>
      </c>
      <c r="F6882" s="2">
        <f t="shared" ref="F6882:F6891" si="1008">DATEVALUE("30-11-2019")</f>
        <v>43799</v>
      </c>
    </row>
    <row r="6883" spans="1:6" x14ac:dyDescent="0.25">
      <c r="A6883" s="1" t="s">
        <v>2086</v>
      </c>
      <c r="B6883" s="1" t="s">
        <v>2435</v>
      </c>
      <c r="C6883" s="1" t="s">
        <v>2436</v>
      </c>
      <c r="D6883" s="3">
        <f t="shared" si="1006"/>
        <v>8510</v>
      </c>
      <c r="E6883" s="2">
        <f t="shared" si="1007"/>
        <v>43647</v>
      </c>
      <c r="F6883" s="2">
        <f t="shared" si="1008"/>
        <v>43799</v>
      </c>
    </row>
    <row r="6884" spans="1:6" x14ac:dyDescent="0.25">
      <c r="A6884" s="1" t="s">
        <v>2086</v>
      </c>
      <c r="B6884" s="1" t="s">
        <v>2435</v>
      </c>
      <c r="C6884" s="1" t="s">
        <v>2437</v>
      </c>
      <c r="D6884" s="3">
        <f t="shared" si="1006"/>
        <v>8510</v>
      </c>
      <c r="E6884" s="2">
        <f t="shared" si="1007"/>
        <v>43647</v>
      </c>
      <c r="F6884" s="2">
        <f t="shared" si="1008"/>
        <v>43799</v>
      </c>
    </row>
    <row r="6885" spans="1:6" x14ac:dyDescent="0.25">
      <c r="A6885" s="1" t="s">
        <v>2086</v>
      </c>
      <c r="B6885" s="1" t="s">
        <v>2435</v>
      </c>
      <c r="C6885" s="1" t="s">
        <v>2438</v>
      </c>
      <c r="D6885" s="3">
        <f t="shared" si="1006"/>
        <v>8510</v>
      </c>
      <c r="E6885" s="2">
        <f t="shared" si="1007"/>
        <v>43647</v>
      </c>
      <c r="F6885" s="2">
        <f t="shared" si="1008"/>
        <v>43799</v>
      </c>
    </row>
    <row r="6886" spans="1:6" x14ac:dyDescent="0.25">
      <c r="A6886" s="1" t="s">
        <v>2086</v>
      </c>
      <c r="B6886" s="1" t="s">
        <v>2435</v>
      </c>
      <c r="C6886" s="1" t="s">
        <v>2439</v>
      </c>
      <c r="D6886" s="3">
        <f t="shared" si="1006"/>
        <v>8510</v>
      </c>
      <c r="E6886" s="2">
        <f t="shared" si="1007"/>
        <v>43647</v>
      </c>
      <c r="F6886" s="2">
        <f t="shared" si="1008"/>
        <v>43799</v>
      </c>
    </row>
    <row r="6887" spans="1:6" x14ac:dyDescent="0.25">
      <c r="A6887" s="1" t="s">
        <v>2086</v>
      </c>
      <c r="B6887" s="1" t="s">
        <v>2435</v>
      </c>
      <c r="C6887" s="1" t="s">
        <v>2440</v>
      </c>
      <c r="D6887" s="3">
        <f t="shared" si="1006"/>
        <v>8510</v>
      </c>
      <c r="E6887" s="2">
        <f t="shared" si="1007"/>
        <v>43647</v>
      </c>
      <c r="F6887" s="2">
        <f t="shared" si="1008"/>
        <v>43799</v>
      </c>
    </row>
    <row r="6888" spans="1:6" x14ac:dyDescent="0.25">
      <c r="A6888" s="1" t="s">
        <v>2086</v>
      </c>
      <c r="B6888" s="1" t="s">
        <v>2435</v>
      </c>
      <c r="C6888" s="1" t="s">
        <v>2441</v>
      </c>
      <c r="D6888" s="3">
        <f t="shared" si="1006"/>
        <v>8510</v>
      </c>
      <c r="E6888" s="2">
        <f t="shared" si="1007"/>
        <v>43647</v>
      </c>
      <c r="F6888" s="2">
        <f t="shared" si="1008"/>
        <v>43799</v>
      </c>
    </row>
    <row r="6889" spans="1:6" x14ac:dyDescent="0.25">
      <c r="A6889" s="1" t="s">
        <v>2086</v>
      </c>
      <c r="B6889" s="1" t="s">
        <v>2435</v>
      </c>
      <c r="C6889" s="1" t="s">
        <v>2442</v>
      </c>
      <c r="D6889" s="3">
        <f t="shared" si="1006"/>
        <v>8510</v>
      </c>
      <c r="E6889" s="2">
        <f t="shared" si="1007"/>
        <v>43647</v>
      </c>
      <c r="F6889" s="2">
        <f t="shared" si="1008"/>
        <v>43799</v>
      </c>
    </row>
    <row r="6890" spans="1:6" x14ac:dyDescent="0.25">
      <c r="A6890" s="1" t="s">
        <v>2086</v>
      </c>
      <c r="B6890" s="1" t="s">
        <v>2435</v>
      </c>
      <c r="C6890" s="1" t="s">
        <v>567</v>
      </c>
      <c r="D6890" s="3">
        <f t="shared" si="1006"/>
        <v>8510</v>
      </c>
      <c r="E6890" s="2">
        <f t="shared" si="1007"/>
        <v>43647</v>
      </c>
      <c r="F6890" s="2">
        <f t="shared" si="1008"/>
        <v>43799</v>
      </c>
    </row>
    <row r="6891" spans="1:6" x14ac:dyDescent="0.25">
      <c r="A6891" s="1" t="s">
        <v>2086</v>
      </c>
      <c r="B6891" s="1" t="s">
        <v>2435</v>
      </c>
      <c r="C6891" s="1" t="s">
        <v>574</v>
      </c>
      <c r="D6891" s="3">
        <f t="shared" si="1006"/>
        <v>8510</v>
      </c>
      <c r="E6891" s="2">
        <f t="shared" si="1007"/>
        <v>43647</v>
      </c>
      <c r="F6891" s="2">
        <f t="shared" si="1008"/>
        <v>43799</v>
      </c>
    </row>
    <row r="6892" spans="1:6" x14ac:dyDescent="0.25">
      <c r="A6892" s="1" t="s">
        <v>2086</v>
      </c>
      <c r="B6892" s="1" t="s">
        <v>2085</v>
      </c>
      <c r="C6892" s="1" t="s">
        <v>1294</v>
      </c>
      <c r="D6892" s="3">
        <f t="shared" ref="D6892:D6897" si="1009">VALUE("8416")</f>
        <v>8416</v>
      </c>
      <c r="E6892" s="2">
        <f t="shared" ref="E6892:E6897" si="1010">DATEVALUE("1-12-2018")</f>
        <v>43435</v>
      </c>
      <c r="F6892" s="2">
        <f t="shared" ref="F6892:F6897" si="1011">DATEVALUE("31-3-2019")</f>
        <v>43555</v>
      </c>
    </row>
    <row r="6893" spans="1:6" x14ac:dyDescent="0.25">
      <c r="A6893" s="1" t="s">
        <v>2086</v>
      </c>
      <c r="B6893" s="1" t="s">
        <v>2085</v>
      </c>
      <c r="C6893" s="1" t="s">
        <v>2087</v>
      </c>
      <c r="D6893" s="3">
        <f t="shared" si="1009"/>
        <v>8416</v>
      </c>
      <c r="E6893" s="2">
        <f t="shared" si="1010"/>
        <v>43435</v>
      </c>
      <c r="F6893" s="2">
        <f t="shared" si="1011"/>
        <v>43555</v>
      </c>
    </row>
    <row r="6894" spans="1:6" x14ac:dyDescent="0.25">
      <c r="A6894" s="1" t="s">
        <v>2086</v>
      </c>
      <c r="B6894" s="1" t="s">
        <v>2085</v>
      </c>
      <c r="C6894" s="1" t="s">
        <v>2088</v>
      </c>
      <c r="D6894" s="3">
        <f t="shared" si="1009"/>
        <v>8416</v>
      </c>
      <c r="E6894" s="2">
        <f t="shared" si="1010"/>
        <v>43435</v>
      </c>
      <c r="F6894" s="2">
        <f t="shared" si="1011"/>
        <v>43555</v>
      </c>
    </row>
    <row r="6895" spans="1:6" x14ac:dyDescent="0.25">
      <c r="A6895" s="1" t="s">
        <v>2086</v>
      </c>
      <c r="B6895" s="1" t="s">
        <v>2085</v>
      </c>
      <c r="C6895" s="1" t="s">
        <v>1295</v>
      </c>
      <c r="D6895" s="3">
        <f t="shared" si="1009"/>
        <v>8416</v>
      </c>
      <c r="E6895" s="2">
        <f t="shared" si="1010"/>
        <v>43435</v>
      </c>
      <c r="F6895" s="2">
        <f t="shared" si="1011"/>
        <v>43555</v>
      </c>
    </row>
    <row r="6896" spans="1:6" x14ac:dyDescent="0.25">
      <c r="A6896" s="1" t="s">
        <v>2086</v>
      </c>
      <c r="B6896" s="1" t="s">
        <v>2085</v>
      </c>
      <c r="C6896" s="1" t="s">
        <v>2089</v>
      </c>
      <c r="D6896" s="3">
        <f t="shared" si="1009"/>
        <v>8416</v>
      </c>
      <c r="E6896" s="2">
        <f t="shared" si="1010"/>
        <v>43435</v>
      </c>
      <c r="F6896" s="2">
        <f t="shared" si="1011"/>
        <v>43555</v>
      </c>
    </row>
    <row r="6897" spans="1:6" x14ac:dyDescent="0.25">
      <c r="A6897" s="1" t="s">
        <v>2086</v>
      </c>
      <c r="B6897" s="1" t="s">
        <v>2085</v>
      </c>
      <c r="C6897" s="1" t="s">
        <v>2090</v>
      </c>
      <c r="D6897" s="3">
        <f t="shared" si="1009"/>
        <v>8416</v>
      </c>
      <c r="E6897" s="2">
        <f t="shared" si="1010"/>
        <v>43435</v>
      </c>
      <c r="F6897" s="2">
        <f t="shared" si="1011"/>
        <v>43555</v>
      </c>
    </row>
    <row r="6898" spans="1:6" x14ac:dyDescent="0.25">
      <c r="A6898" s="1" t="s">
        <v>2455</v>
      </c>
      <c r="B6898" s="1" t="s">
        <v>2454</v>
      </c>
      <c r="C6898" s="1" t="s">
        <v>7</v>
      </c>
      <c r="D6898" s="3">
        <f>VALUE("8528")</f>
        <v>8528</v>
      </c>
      <c r="E6898" s="2">
        <f>DATEVALUE("1-8-2019")</f>
        <v>43678</v>
      </c>
      <c r="F6898" s="2">
        <f>DATEVALUE("30-9-2019")</f>
        <v>43738</v>
      </c>
    </row>
    <row r="6899" spans="1:6" x14ac:dyDescent="0.25">
      <c r="A6899" s="1" t="s">
        <v>2455</v>
      </c>
      <c r="B6899" s="1" t="s">
        <v>2454</v>
      </c>
      <c r="C6899" s="1" t="s">
        <v>599</v>
      </c>
      <c r="D6899" s="3">
        <f>VALUE("8528")</f>
        <v>8528</v>
      </c>
      <c r="E6899" s="2">
        <f>DATEVALUE("1-8-2019")</f>
        <v>43678</v>
      </c>
      <c r="F6899" s="2">
        <f>DATEVALUE("30-9-2019")</f>
        <v>43738</v>
      </c>
    </row>
    <row r="6900" spans="1:6" x14ac:dyDescent="0.25">
      <c r="A6900" s="1" t="s">
        <v>2455</v>
      </c>
      <c r="B6900" s="1" t="s">
        <v>2454</v>
      </c>
      <c r="C6900" s="1" t="s">
        <v>212</v>
      </c>
      <c r="D6900" s="3">
        <f>VALUE("8528")</f>
        <v>8528</v>
      </c>
      <c r="E6900" s="2">
        <f>DATEVALUE("1-8-2019")</f>
        <v>43678</v>
      </c>
      <c r="F6900" s="2">
        <f>DATEVALUE("30-9-2019")</f>
        <v>43738</v>
      </c>
    </row>
    <row r="6901" spans="1:6" x14ac:dyDescent="0.25">
      <c r="A6901" s="1" t="s">
        <v>1217</v>
      </c>
      <c r="B6901" s="1" t="s">
        <v>1216</v>
      </c>
      <c r="C6901" s="1" t="s">
        <v>1218</v>
      </c>
      <c r="D6901" s="3">
        <f>VALUE("8479")</f>
        <v>8479</v>
      </c>
      <c r="E6901" s="2">
        <f>DATEVALUE("1-9-2020")</f>
        <v>44075</v>
      </c>
      <c r="F6901" s="2">
        <f>DATEVALUE("31-8-2025")</f>
        <v>45900</v>
      </c>
    </row>
    <row r="6902" spans="1:6" x14ac:dyDescent="0.25">
      <c r="A6902" s="1" t="s">
        <v>1217</v>
      </c>
      <c r="B6902" s="1" t="s">
        <v>2027</v>
      </c>
      <c r="C6902" s="1" t="s">
        <v>14</v>
      </c>
      <c r="D6902" s="3">
        <f t="shared" ref="D6902:D6907" si="1012">VALUE("8039")</f>
        <v>8039</v>
      </c>
      <c r="E6902" s="2">
        <f t="shared" ref="E6902:E6907" si="1013">DATEVALUE("1-2-2017")</f>
        <v>42767</v>
      </c>
      <c r="F6902" s="2">
        <f t="shared" ref="F6902:F6907" si="1014">DATEVALUE("30-4-2018")</f>
        <v>43220</v>
      </c>
    </row>
    <row r="6903" spans="1:6" x14ac:dyDescent="0.25">
      <c r="A6903" s="1" t="s">
        <v>1217</v>
      </c>
      <c r="B6903" s="1" t="s">
        <v>2027</v>
      </c>
      <c r="C6903" s="1" t="s">
        <v>91</v>
      </c>
      <c r="D6903" s="3">
        <f t="shared" si="1012"/>
        <v>8039</v>
      </c>
      <c r="E6903" s="2">
        <f t="shared" si="1013"/>
        <v>42767</v>
      </c>
      <c r="F6903" s="2">
        <f t="shared" si="1014"/>
        <v>43220</v>
      </c>
    </row>
    <row r="6904" spans="1:6" x14ac:dyDescent="0.25">
      <c r="A6904" s="1" t="s">
        <v>1217</v>
      </c>
      <c r="B6904" s="1" t="s">
        <v>2027</v>
      </c>
      <c r="C6904" s="1" t="s">
        <v>24</v>
      </c>
      <c r="D6904" s="3">
        <f t="shared" si="1012"/>
        <v>8039</v>
      </c>
      <c r="E6904" s="2">
        <f t="shared" si="1013"/>
        <v>42767</v>
      </c>
      <c r="F6904" s="2">
        <f t="shared" si="1014"/>
        <v>43220</v>
      </c>
    </row>
    <row r="6905" spans="1:6" x14ac:dyDescent="0.25">
      <c r="A6905" s="1" t="s">
        <v>1217</v>
      </c>
      <c r="B6905" s="1" t="s">
        <v>2027</v>
      </c>
      <c r="C6905" s="1" t="s">
        <v>102</v>
      </c>
      <c r="D6905" s="3">
        <f t="shared" si="1012"/>
        <v>8039</v>
      </c>
      <c r="E6905" s="2">
        <f t="shared" si="1013"/>
        <v>42767</v>
      </c>
      <c r="F6905" s="2">
        <f t="shared" si="1014"/>
        <v>43220</v>
      </c>
    </row>
    <row r="6906" spans="1:6" x14ac:dyDescent="0.25">
      <c r="A6906" s="1" t="s">
        <v>1217</v>
      </c>
      <c r="B6906" s="1" t="s">
        <v>2027</v>
      </c>
      <c r="C6906" s="1" t="s">
        <v>103</v>
      </c>
      <c r="D6906" s="3">
        <f t="shared" si="1012"/>
        <v>8039</v>
      </c>
      <c r="E6906" s="2">
        <f t="shared" si="1013"/>
        <v>42767</v>
      </c>
      <c r="F6906" s="2">
        <f t="shared" si="1014"/>
        <v>43220</v>
      </c>
    </row>
    <row r="6907" spans="1:6" x14ac:dyDescent="0.25">
      <c r="A6907" s="1" t="s">
        <v>1217</v>
      </c>
      <c r="B6907" s="1" t="s">
        <v>2027</v>
      </c>
      <c r="C6907" s="1" t="s">
        <v>34</v>
      </c>
      <c r="D6907" s="3">
        <f t="shared" si="1012"/>
        <v>8039</v>
      </c>
      <c r="E6907" s="2">
        <f t="shared" si="1013"/>
        <v>42767</v>
      </c>
      <c r="F6907" s="2">
        <f t="shared" si="1014"/>
        <v>43220</v>
      </c>
    </row>
    <row r="6908" spans="1:6" x14ac:dyDescent="0.25">
      <c r="A6908" s="1" t="s">
        <v>1217</v>
      </c>
      <c r="B6908" s="1" t="s">
        <v>2259</v>
      </c>
      <c r="C6908" s="1" t="s">
        <v>14</v>
      </c>
      <c r="D6908" s="3">
        <f t="shared" ref="D6908:D6913" si="1015">VALUE("7982")</f>
        <v>7982</v>
      </c>
      <c r="E6908" s="2">
        <f t="shared" ref="E6908:E6913" si="1016">DATEVALUE("1-11-2016")</f>
        <v>42675</v>
      </c>
      <c r="F6908" s="2">
        <f t="shared" ref="F6908:F6913" si="1017">DATEVALUE("28-2-2017")</f>
        <v>42794</v>
      </c>
    </row>
    <row r="6909" spans="1:6" x14ac:dyDescent="0.25">
      <c r="A6909" s="1" t="s">
        <v>1217</v>
      </c>
      <c r="B6909" s="1" t="s">
        <v>2259</v>
      </c>
      <c r="C6909" s="1" t="s">
        <v>91</v>
      </c>
      <c r="D6909" s="3">
        <f t="shared" si="1015"/>
        <v>7982</v>
      </c>
      <c r="E6909" s="2">
        <f t="shared" si="1016"/>
        <v>42675</v>
      </c>
      <c r="F6909" s="2">
        <f t="shared" si="1017"/>
        <v>42794</v>
      </c>
    </row>
    <row r="6910" spans="1:6" x14ac:dyDescent="0.25">
      <c r="A6910" s="1" t="s">
        <v>1217</v>
      </c>
      <c r="B6910" s="1" t="s">
        <v>2259</v>
      </c>
      <c r="C6910" s="1" t="s">
        <v>24</v>
      </c>
      <c r="D6910" s="3">
        <f t="shared" si="1015"/>
        <v>7982</v>
      </c>
      <c r="E6910" s="2">
        <f t="shared" si="1016"/>
        <v>42675</v>
      </c>
      <c r="F6910" s="2">
        <f t="shared" si="1017"/>
        <v>42794</v>
      </c>
    </row>
    <row r="6911" spans="1:6" x14ac:dyDescent="0.25">
      <c r="A6911" s="1" t="s">
        <v>1217</v>
      </c>
      <c r="B6911" s="1" t="s">
        <v>2259</v>
      </c>
      <c r="C6911" s="1" t="s">
        <v>102</v>
      </c>
      <c r="D6911" s="3">
        <f t="shared" si="1015"/>
        <v>7982</v>
      </c>
      <c r="E6911" s="2">
        <f t="shared" si="1016"/>
        <v>42675</v>
      </c>
      <c r="F6911" s="2">
        <f t="shared" si="1017"/>
        <v>42794</v>
      </c>
    </row>
    <row r="6912" spans="1:6" x14ac:dyDescent="0.25">
      <c r="A6912" s="1" t="s">
        <v>1217</v>
      </c>
      <c r="B6912" s="1" t="s">
        <v>2259</v>
      </c>
      <c r="C6912" s="1" t="s">
        <v>103</v>
      </c>
      <c r="D6912" s="3">
        <f t="shared" si="1015"/>
        <v>7982</v>
      </c>
      <c r="E6912" s="2">
        <f t="shared" si="1016"/>
        <v>42675</v>
      </c>
      <c r="F6912" s="2">
        <f t="shared" si="1017"/>
        <v>42794</v>
      </c>
    </row>
    <row r="6913" spans="1:6" x14ac:dyDescent="0.25">
      <c r="A6913" s="1" t="s">
        <v>1217</v>
      </c>
      <c r="B6913" s="1" t="s">
        <v>2259</v>
      </c>
      <c r="C6913" s="1" t="s">
        <v>34</v>
      </c>
      <c r="D6913" s="3">
        <f t="shared" si="1015"/>
        <v>7982</v>
      </c>
      <c r="E6913" s="2">
        <f t="shared" si="1016"/>
        <v>42675</v>
      </c>
      <c r="F6913" s="2">
        <f t="shared" si="1017"/>
        <v>42794</v>
      </c>
    </row>
    <row r="6914" spans="1:6" x14ac:dyDescent="0.25">
      <c r="A6914" s="1" t="s">
        <v>1217</v>
      </c>
      <c r="B6914" s="1" t="s">
        <v>1743</v>
      </c>
      <c r="C6914" s="1" t="s">
        <v>1744</v>
      </c>
      <c r="D6914" s="3">
        <f>VALUE("7817")</f>
        <v>7817</v>
      </c>
      <c r="E6914" s="2">
        <f>DATEVALUE("1-2-2016")</f>
        <v>42401</v>
      </c>
      <c r="F6914" s="2">
        <f>DATEVALUE("31-8-2016")</f>
        <v>42613</v>
      </c>
    </row>
    <row r="6915" spans="1:6" x14ac:dyDescent="0.25">
      <c r="A6915" s="1" t="s">
        <v>1217</v>
      </c>
      <c r="B6915" s="1" t="s">
        <v>2715</v>
      </c>
      <c r="C6915" s="1" t="s">
        <v>91</v>
      </c>
      <c r="D6915" s="3">
        <f>VALUE("7462")</f>
        <v>7462</v>
      </c>
      <c r="E6915" s="2">
        <f>DATEVALUE("1-2-2013")</f>
        <v>41306</v>
      </c>
      <c r="F6915" s="2">
        <f>DATEVALUE("30-6-2013")</f>
        <v>41455</v>
      </c>
    </row>
    <row r="6916" spans="1:6" x14ac:dyDescent="0.25">
      <c r="A6916" s="1" t="s">
        <v>1217</v>
      </c>
      <c r="B6916" s="1" t="s">
        <v>2715</v>
      </c>
      <c r="C6916" s="1" t="s">
        <v>148</v>
      </c>
      <c r="D6916" s="3">
        <f>VALUE("7462")</f>
        <v>7462</v>
      </c>
      <c r="E6916" s="2">
        <f>DATEVALUE("1-2-2013")</f>
        <v>41306</v>
      </c>
      <c r="F6916" s="2">
        <f>DATEVALUE("30-6-2013")</f>
        <v>41455</v>
      </c>
    </row>
    <row r="6917" spans="1:6" x14ac:dyDescent="0.25">
      <c r="A6917" s="1" t="s">
        <v>1217</v>
      </c>
      <c r="B6917" s="1" t="s">
        <v>2715</v>
      </c>
      <c r="C6917" s="1" t="s">
        <v>102</v>
      </c>
      <c r="D6917" s="3">
        <f>VALUE("7462")</f>
        <v>7462</v>
      </c>
      <c r="E6917" s="2">
        <f>DATEVALUE("1-2-2013")</f>
        <v>41306</v>
      </c>
      <c r="F6917" s="2">
        <f>DATEVALUE("30-6-2013")</f>
        <v>41455</v>
      </c>
    </row>
    <row r="6918" spans="1:6" x14ac:dyDescent="0.25">
      <c r="A6918" s="1" t="s">
        <v>1217</v>
      </c>
      <c r="B6918" s="1" t="s">
        <v>2715</v>
      </c>
      <c r="C6918" s="1" t="s">
        <v>103</v>
      </c>
      <c r="D6918" s="3">
        <f>VALUE("7462")</f>
        <v>7462</v>
      </c>
      <c r="E6918" s="2">
        <f>DATEVALUE("1-2-2013")</f>
        <v>41306</v>
      </c>
      <c r="F6918" s="2">
        <f>DATEVALUE("30-6-2013")</f>
        <v>41455</v>
      </c>
    </row>
    <row r="6919" spans="1:6" x14ac:dyDescent="0.25">
      <c r="A6919" s="1" t="s">
        <v>553</v>
      </c>
      <c r="B6919" s="1" t="s">
        <v>1842</v>
      </c>
      <c r="C6919" s="1" t="s">
        <v>15</v>
      </c>
      <c r="D6919" s="3">
        <f t="shared" ref="D6919:D6925" si="1018">VALUE("8759")</f>
        <v>8759</v>
      </c>
      <c r="E6919" s="2">
        <f t="shared" ref="E6919:E6925" si="1019">DATEVALUE("1-5-2020")</f>
        <v>43952</v>
      </c>
      <c r="F6919" s="2">
        <f t="shared" ref="F6919:F6925" si="1020">DATEVALUE("31-7-2020")</f>
        <v>44043</v>
      </c>
    </row>
    <row r="6920" spans="1:6" x14ac:dyDescent="0.25">
      <c r="A6920" s="1" t="s">
        <v>553</v>
      </c>
      <c r="B6920" s="1" t="s">
        <v>1842</v>
      </c>
      <c r="C6920" s="1" t="s">
        <v>17</v>
      </c>
      <c r="D6920" s="3">
        <f t="shared" si="1018"/>
        <v>8759</v>
      </c>
      <c r="E6920" s="2">
        <f t="shared" si="1019"/>
        <v>43952</v>
      </c>
      <c r="F6920" s="2">
        <f t="shared" si="1020"/>
        <v>44043</v>
      </c>
    </row>
    <row r="6921" spans="1:6" x14ac:dyDescent="0.25">
      <c r="A6921" s="1" t="s">
        <v>553</v>
      </c>
      <c r="B6921" s="1" t="s">
        <v>1842</v>
      </c>
      <c r="C6921" s="1" t="s">
        <v>146</v>
      </c>
      <c r="D6921" s="3">
        <f t="shared" si="1018"/>
        <v>8759</v>
      </c>
      <c r="E6921" s="2">
        <f t="shared" si="1019"/>
        <v>43952</v>
      </c>
      <c r="F6921" s="2">
        <f t="shared" si="1020"/>
        <v>44043</v>
      </c>
    </row>
    <row r="6922" spans="1:6" x14ac:dyDescent="0.25">
      <c r="A6922" s="1" t="s">
        <v>553</v>
      </c>
      <c r="B6922" s="1" t="s">
        <v>1842</v>
      </c>
      <c r="C6922" s="1" t="s">
        <v>67</v>
      </c>
      <c r="D6922" s="3">
        <f t="shared" si="1018"/>
        <v>8759</v>
      </c>
      <c r="E6922" s="2">
        <f t="shared" si="1019"/>
        <v>43952</v>
      </c>
      <c r="F6922" s="2">
        <f t="shared" si="1020"/>
        <v>44043</v>
      </c>
    </row>
    <row r="6923" spans="1:6" x14ac:dyDescent="0.25">
      <c r="A6923" s="1" t="s">
        <v>553</v>
      </c>
      <c r="B6923" s="1" t="s">
        <v>1842</v>
      </c>
      <c r="C6923" s="1" t="s">
        <v>70</v>
      </c>
      <c r="D6923" s="3">
        <f t="shared" si="1018"/>
        <v>8759</v>
      </c>
      <c r="E6923" s="2">
        <f t="shared" si="1019"/>
        <v>43952</v>
      </c>
      <c r="F6923" s="2">
        <f t="shared" si="1020"/>
        <v>44043</v>
      </c>
    </row>
    <row r="6924" spans="1:6" x14ac:dyDescent="0.25">
      <c r="A6924" s="1" t="s">
        <v>553</v>
      </c>
      <c r="B6924" s="1" t="s">
        <v>1842</v>
      </c>
      <c r="C6924" s="1" t="s">
        <v>52</v>
      </c>
      <c r="D6924" s="3">
        <f t="shared" si="1018"/>
        <v>8759</v>
      </c>
      <c r="E6924" s="2">
        <f t="shared" si="1019"/>
        <v>43952</v>
      </c>
      <c r="F6924" s="2">
        <f t="shared" si="1020"/>
        <v>44043</v>
      </c>
    </row>
    <row r="6925" spans="1:6" x14ac:dyDescent="0.25">
      <c r="A6925" s="1" t="s">
        <v>553</v>
      </c>
      <c r="B6925" s="1" t="s">
        <v>1842</v>
      </c>
      <c r="C6925" s="1" t="s">
        <v>303</v>
      </c>
      <c r="D6925" s="3">
        <f t="shared" si="1018"/>
        <v>8759</v>
      </c>
      <c r="E6925" s="2">
        <f t="shared" si="1019"/>
        <v>43952</v>
      </c>
      <c r="F6925" s="2">
        <f t="shared" si="1020"/>
        <v>44043</v>
      </c>
    </row>
    <row r="6926" spans="1:6" x14ac:dyDescent="0.25">
      <c r="A6926" s="1" t="s">
        <v>553</v>
      </c>
      <c r="B6926" s="1" t="s">
        <v>2434</v>
      </c>
      <c r="C6926" s="1" t="s">
        <v>140</v>
      </c>
      <c r="D6926" s="3">
        <f t="shared" ref="D6926:D6936" si="1021">VALUE("8507")</f>
        <v>8507</v>
      </c>
      <c r="E6926" s="2">
        <f t="shared" ref="E6926:E6936" si="1022">DATEVALUE("1-5-2019")</f>
        <v>43586</v>
      </c>
      <c r="F6926" s="2">
        <f t="shared" ref="F6926:F6936" si="1023">DATEVALUE("31-8-2019")</f>
        <v>43708</v>
      </c>
    </row>
    <row r="6927" spans="1:6" x14ac:dyDescent="0.25">
      <c r="A6927" s="1" t="s">
        <v>553</v>
      </c>
      <c r="B6927" s="1" t="s">
        <v>2434</v>
      </c>
      <c r="C6927" s="1" t="s">
        <v>141</v>
      </c>
      <c r="D6927" s="3">
        <f t="shared" si="1021"/>
        <v>8507</v>
      </c>
      <c r="E6927" s="2">
        <f t="shared" si="1022"/>
        <v>43586</v>
      </c>
      <c r="F6927" s="2">
        <f t="shared" si="1023"/>
        <v>43708</v>
      </c>
    </row>
    <row r="6928" spans="1:6" x14ac:dyDescent="0.25">
      <c r="A6928" s="1" t="s">
        <v>553</v>
      </c>
      <c r="B6928" s="1" t="s">
        <v>2434</v>
      </c>
      <c r="C6928" s="1" t="s">
        <v>14</v>
      </c>
      <c r="D6928" s="3">
        <f t="shared" si="1021"/>
        <v>8507</v>
      </c>
      <c r="E6928" s="2">
        <f t="shared" si="1022"/>
        <v>43586</v>
      </c>
      <c r="F6928" s="2">
        <f t="shared" si="1023"/>
        <v>43708</v>
      </c>
    </row>
    <row r="6929" spans="1:6" x14ac:dyDescent="0.25">
      <c r="A6929" s="1" t="s">
        <v>553</v>
      </c>
      <c r="B6929" s="1" t="s">
        <v>2434</v>
      </c>
      <c r="C6929" s="1" t="s">
        <v>15</v>
      </c>
      <c r="D6929" s="3">
        <f t="shared" si="1021"/>
        <v>8507</v>
      </c>
      <c r="E6929" s="2">
        <f t="shared" si="1022"/>
        <v>43586</v>
      </c>
      <c r="F6929" s="2">
        <f t="shared" si="1023"/>
        <v>43708</v>
      </c>
    </row>
    <row r="6930" spans="1:6" x14ac:dyDescent="0.25">
      <c r="A6930" s="1" t="s">
        <v>553</v>
      </c>
      <c r="B6930" s="1" t="s">
        <v>2434</v>
      </c>
      <c r="C6930" s="1" t="s">
        <v>250</v>
      </c>
      <c r="D6930" s="3">
        <f t="shared" si="1021"/>
        <v>8507</v>
      </c>
      <c r="E6930" s="2">
        <f t="shared" si="1022"/>
        <v>43586</v>
      </c>
      <c r="F6930" s="2">
        <f t="shared" si="1023"/>
        <v>43708</v>
      </c>
    </row>
    <row r="6931" spans="1:6" x14ac:dyDescent="0.25">
      <c r="A6931" s="1" t="s">
        <v>553</v>
      </c>
      <c r="B6931" s="1" t="s">
        <v>2434</v>
      </c>
      <c r="C6931" s="1" t="s">
        <v>146</v>
      </c>
      <c r="D6931" s="3">
        <f t="shared" si="1021"/>
        <v>8507</v>
      </c>
      <c r="E6931" s="2">
        <f t="shared" si="1022"/>
        <v>43586</v>
      </c>
      <c r="F6931" s="2">
        <f t="shared" si="1023"/>
        <v>43708</v>
      </c>
    </row>
    <row r="6932" spans="1:6" x14ac:dyDescent="0.25">
      <c r="A6932" s="1" t="s">
        <v>553</v>
      </c>
      <c r="B6932" s="1" t="s">
        <v>2434</v>
      </c>
      <c r="C6932" s="1" t="s">
        <v>67</v>
      </c>
      <c r="D6932" s="3">
        <f t="shared" si="1021"/>
        <v>8507</v>
      </c>
      <c r="E6932" s="2">
        <f t="shared" si="1022"/>
        <v>43586</v>
      </c>
      <c r="F6932" s="2">
        <f t="shared" si="1023"/>
        <v>43708</v>
      </c>
    </row>
    <row r="6933" spans="1:6" x14ac:dyDescent="0.25">
      <c r="A6933" s="1" t="s">
        <v>553</v>
      </c>
      <c r="B6933" s="1" t="s">
        <v>2434</v>
      </c>
      <c r="C6933" s="1" t="s">
        <v>24</v>
      </c>
      <c r="D6933" s="3">
        <f t="shared" si="1021"/>
        <v>8507</v>
      </c>
      <c r="E6933" s="2">
        <f t="shared" si="1022"/>
        <v>43586</v>
      </c>
      <c r="F6933" s="2">
        <f t="shared" si="1023"/>
        <v>43708</v>
      </c>
    </row>
    <row r="6934" spans="1:6" x14ac:dyDescent="0.25">
      <c r="A6934" s="1" t="s">
        <v>553</v>
      </c>
      <c r="B6934" s="1" t="s">
        <v>2434</v>
      </c>
      <c r="C6934" s="1" t="s">
        <v>52</v>
      </c>
      <c r="D6934" s="3">
        <f t="shared" si="1021"/>
        <v>8507</v>
      </c>
      <c r="E6934" s="2">
        <f t="shared" si="1022"/>
        <v>43586</v>
      </c>
      <c r="F6934" s="2">
        <f t="shared" si="1023"/>
        <v>43708</v>
      </c>
    </row>
    <row r="6935" spans="1:6" x14ac:dyDescent="0.25">
      <c r="A6935" s="1" t="s">
        <v>553</v>
      </c>
      <c r="B6935" s="1" t="s">
        <v>2434</v>
      </c>
      <c r="C6935" s="1" t="s">
        <v>160</v>
      </c>
      <c r="D6935" s="3">
        <f t="shared" si="1021"/>
        <v>8507</v>
      </c>
      <c r="E6935" s="2">
        <f t="shared" si="1022"/>
        <v>43586</v>
      </c>
      <c r="F6935" s="2">
        <f t="shared" si="1023"/>
        <v>43708</v>
      </c>
    </row>
    <row r="6936" spans="1:6" x14ac:dyDescent="0.25">
      <c r="A6936" s="1" t="s">
        <v>553</v>
      </c>
      <c r="B6936" s="1" t="s">
        <v>2434</v>
      </c>
      <c r="C6936" s="1" t="s">
        <v>34</v>
      </c>
      <c r="D6936" s="3">
        <f t="shared" si="1021"/>
        <v>8507</v>
      </c>
      <c r="E6936" s="2">
        <f t="shared" si="1022"/>
        <v>43586</v>
      </c>
      <c r="F6936" s="2">
        <f t="shared" si="1023"/>
        <v>43708</v>
      </c>
    </row>
    <row r="6937" spans="1:6" x14ac:dyDescent="0.25">
      <c r="A6937" s="1" t="s">
        <v>553</v>
      </c>
      <c r="B6937" s="1" t="s">
        <v>552</v>
      </c>
      <c r="C6937" s="1" t="s">
        <v>554</v>
      </c>
      <c r="D6937" s="3">
        <f>VALUE("7751")</f>
        <v>7751</v>
      </c>
      <c r="E6937" s="2">
        <f>DATEVALUE("1-5-2015")</f>
        <v>42125</v>
      </c>
      <c r="F6937" s="2">
        <f>DATEVALUE("30-6-2025")</f>
        <v>45838</v>
      </c>
    </row>
    <row r="6938" spans="1:6" x14ac:dyDescent="0.25">
      <c r="A6938" s="1" t="s">
        <v>553</v>
      </c>
      <c r="B6938" s="1" t="s">
        <v>552</v>
      </c>
      <c r="C6938" s="1" t="s">
        <v>555</v>
      </c>
      <c r="D6938" s="3">
        <f>VALUE("7751")</f>
        <v>7751</v>
      </c>
      <c r="E6938" s="2">
        <f>DATEVALUE("1-5-2015")</f>
        <v>42125</v>
      </c>
      <c r="F6938" s="2">
        <f>DATEVALUE("30-6-2025")</f>
        <v>45838</v>
      </c>
    </row>
    <row r="6939" spans="1:6" x14ac:dyDescent="0.25">
      <c r="A6939" s="1" t="s">
        <v>553</v>
      </c>
      <c r="B6939" s="1" t="s">
        <v>552</v>
      </c>
      <c r="C6939" s="1" t="s">
        <v>556</v>
      </c>
      <c r="D6939" s="3">
        <f>VALUE("7751")</f>
        <v>7751</v>
      </c>
      <c r="E6939" s="2">
        <f>DATEVALUE("1-5-2015")</f>
        <v>42125</v>
      </c>
      <c r="F6939" s="2">
        <f>DATEVALUE("30-6-2025")</f>
        <v>45838</v>
      </c>
    </row>
    <row r="6940" spans="1:6" x14ac:dyDescent="0.25">
      <c r="A6940" s="1" t="s">
        <v>553</v>
      </c>
      <c r="B6940" s="1" t="s">
        <v>2762</v>
      </c>
      <c r="C6940" s="1" t="s">
        <v>556</v>
      </c>
      <c r="D6940" s="3">
        <f>VALUE("7601")</f>
        <v>7601</v>
      </c>
      <c r="E6940" s="2">
        <f>DATEVALUE("1-6-2014")</f>
        <v>41791</v>
      </c>
      <c r="F6940" s="2">
        <f>DATEVALUE("30-6-2014")</f>
        <v>41820</v>
      </c>
    </row>
    <row r="6941" spans="1:6" x14ac:dyDescent="0.25">
      <c r="A6941" s="1" t="s">
        <v>553</v>
      </c>
      <c r="B6941" s="1" t="s">
        <v>2725</v>
      </c>
      <c r="C6941" s="1" t="s">
        <v>2726</v>
      </c>
      <c r="D6941" s="3">
        <f>VALUE("7499")</f>
        <v>7499</v>
      </c>
      <c r="E6941" s="2">
        <f>DATEVALUE("1-6-2013")</f>
        <v>41426</v>
      </c>
      <c r="F6941" s="2">
        <f>DATEVALUE("30-6-2013")</f>
        <v>41455</v>
      </c>
    </row>
    <row r="6942" spans="1:6" x14ac:dyDescent="0.25">
      <c r="A6942" s="1" t="s">
        <v>553</v>
      </c>
      <c r="B6942" s="1" t="s">
        <v>2725</v>
      </c>
      <c r="C6942" s="1" t="s">
        <v>556</v>
      </c>
      <c r="D6942" s="3">
        <f>VALUE("7499")</f>
        <v>7499</v>
      </c>
      <c r="E6942" s="2">
        <f>DATEVALUE("1-6-2013")</f>
        <v>41426</v>
      </c>
      <c r="F6942" s="2">
        <f>DATEVALUE("30-6-2013")</f>
        <v>41455</v>
      </c>
    </row>
    <row r="6943" spans="1:6" x14ac:dyDescent="0.25">
      <c r="A6943" s="1" t="s">
        <v>553</v>
      </c>
      <c r="B6943" s="1" t="s">
        <v>2660</v>
      </c>
      <c r="C6943" s="1" t="s">
        <v>556</v>
      </c>
      <c r="D6943" s="3">
        <f>VALUE("7314")</f>
        <v>7314</v>
      </c>
      <c r="E6943" s="2">
        <f>DATEVALUE("1-6-2012")</f>
        <v>41061</v>
      </c>
      <c r="F6943" s="2">
        <f>DATEVALUE("30-6-2012")</f>
        <v>41090</v>
      </c>
    </row>
    <row r="6944" spans="1:6" x14ac:dyDescent="0.25">
      <c r="A6944" s="1" t="s">
        <v>1500</v>
      </c>
      <c r="B6944" s="1" t="s">
        <v>1499</v>
      </c>
      <c r="C6944" s="1" t="s">
        <v>817</v>
      </c>
      <c r="D6944" s="3">
        <f t="shared" ref="D6944:D6957" si="1024">VALUE("8697")</f>
        <v>8697</v>
      </c>
      <c r="E6944" s="2">
        <f t="shared" ref="E6944:E6957" si="1025">DATEVALUE("1-3-2020")</f>
        <v>43891</v>
      </c>
      <c r="F6944" s="2">
        <f t="shared" ref="F6944:F6957" si="1026">DATEVALUE("31-8-2021")</f>
        <v>44439</v>
      </c>
    </row>
    <row r="6945" spans="1:6" x14ac:dyDescent="0.25">
      <c r="A6945" s="1" t="s">
        <v>1500</v>
      </c>
      <c r="B6945" s="1" t="s">
        <v>1499</v>
      </c>
      <c r="C6945" s="1" t="s">
        <v>818</v>
      </c>
      <c r="D6945" s="3">
        <f t="shared" si="1024"/>
        <v>8697</v>
      </c>
      <c r="E6945" s="2">
        <f t="shared" si="1025"/>
        <v>43891</v>
      </c>
      <c r="F6945" s="2">
        <f t="shared" si="1026"/>
        <v>44439</v>
      </c>
    </row>
    <row r="6946" spans="1:6" x14ac:dyDescent="0.25">
      <c r="A6946" s="1" t="s">
        <v>1500</v>
      </c>
      <c r="B6946" s="1" t="s">
        <v>1499</v>
      </c>
      <c r="C6946" s="1" t="s">
        <v>819</v>
      </c>
      <c r="D6946" s="3">
        <f t="shared" si="1024"/>
        <v>8697</v>
      </c>
      <c r="E6946" s="2">
        <f t="shared" si="1025"/>
        <v>43891</v>
      </c>
      <c r="F6946" s="2">
        <f t="shared" si="1026"/>
        <v>44439</v>
      </c>
    </row>
    <row r="6947" spans="1:6" x14ac:dyDescent="0.25">
      <c r="A6947" s="1" t="s">
        <v>1500</v>
      </c>
      <c r="B6947" s="1" t="s">
        <v>1499</v>
      </c>
      <c r="C6947" s="1" t="s">
        <v>820</v>
      </c>
      <c r="D6947" s="3">
        <f t="shared" si="1024"/>
        <v>8697</v>
      </c>
      <c r="E6947" s="2">
        <f t="shared" si="1025"/>
        <v>43891</v>
      </c>
      <c r="F6947" s="2">
        <f t="shared" si="1026"/>
        <v>44439</v>
      </c>
    </row>
    <row r="6948" spans="1:6" x14ac:dyDescent="0.25">
      <c r="A6948" s="1" t="s">
        <v>1500</v>
      </c>
      <c r="B6948" s="1" t="s">
        <v>1499</v>
      </c>
      <c r="C6948" s="1" t="s">
        <v>821</v>
      </c>
      <c r="D6948" s="3">
        <f t="shared" si="1024"/>
        <v>8697</v>
      </c>
      <c r="E6948" s="2">
        <f t="shared" si="1025"/>
        <v>43891</v>
      </c>
      <c r="F6948" s="2">
        <f t="shared" si="1026"/>
        <v>44439</v>
      </c>
    </row>
    <row r="6949" spans="1:6" x14ac:dyDescent="0.25">
      <c r="A6949" s="1" t="s">
        <v>1500</v>
      </c>
      <c r="B6949" s="1" t="s">
        <v>1499</v>
      </c>
      <c r="C6949" s="1" t="s">
        <v>822</v>
      </c>
      <c r="D6949" s="3">
        <f t="shared" si="1024"/>
        <v>8697</v>
      </c>
      <c r="E6949" s="2">
        <f t="shared" si="1025"/>
        <v>43891</v>
      </c>
      <c r="F6949" s="2">
        <f t="shared" si="1026"/>
        <v>44439</v>
      </c>
    </row>
    <row r="6950" spans="1:6" x14ac:dyDescent="0.25">
      <c r="A6950" s="1" t="s">
        <v>1500</v>
      </c>
      <c r="B6950" s="1" t="s">
        <v>1499</v>
      </c>
      <c r="C6950" s="1" t="s">
        <v>825</v>
      </c>
      <c r="D6950" s="3">
        <f t="shared" si="1024"/>
        <v>8697</v>
      </c>
      <c r="E6950" s="2">
        <f t="shared" si="1025"/>
        <v>43891</v>
      </c>
      <c r="F6950" s="2">
        <f t="shared" si="1026"/>
        <v>44439</v>
      </c>
    </row>
    <row r="6951" spans="1:6" x14ac:dyDescent="0.25">
      <c r="A6951" s="1" t="s">
        <v>1500</v>
      </c>
      <c r="B6951" s="1" t="s">
        <v>1499</v>
      </c>
      <c r="C6951" s="1" t="s">
        <v>823</v>
      </c>
      <c r="D6951" s="3">
        <f t="shared" si="1024"/>
        <v>8697</v>
      </c>
      <c r="E6951" s="2">
        <f t="shared" si="1025"/>
        <v>43891</v>
      </c>
      <c r="F6951" s="2">
        <f t="shared" si="1026"/>
        <v>44439</v>
      </c>
    </row>
    <row r="6952" spans="1:6" x14ac:dyDescent="0.25">
      <c r="A6952" s="1" t="s">
        <v>1500</v>
      </c>
      <c r="B6952" s="1" t="s">
        <v>1499</v>
      </c>
      <c r="C6952" s="1" t="s">
        <v>824</v>
      </c>
      <c r="D6952" s="3">
        <f t="shared" si="1024"/>
        <v>8697</v>
      </c>
      <c r="E6952" s="2">
        <f t="shared" si="1025"/>
        <v>43891</v>
      </c>
      <c r="F6952" s="2">
        <f t="shared" si="1026"/>
        <v>44439</v>
      </c>
    </row>
    <row r="6953" spans="1:6" x14ac:dyDescent="0.25">
      <c r="A6953" s="1" t="s">
        <v>1500</v>
      </c>
      <c r="B6953" s="1" t="s">
        <v>1499</v>
      </c>
      <c r="C6953" s="1" t="s">
        <v>826</v>
      </c>
      <c r="D6953" s="3">
        <f t="shared" si="1024"/>
        <v>8697</v>
      </c>
      <c r="E6953" s="2">
        <f t="shared" si="1025"/>
        <v>43891</v>
      </c>
      <c r="F6953" s="2">
        <f t="shared" si="1026"/>
        <v>44439</v>
      </c>
    </row>
    <row r="6954" spans="1:6" x14ac:dyDescent="0.25">
      <c r="A6954" s="1" t="s">
        <v>1500</v>
      </c>
      <c r="B6954" s="1" t="s">
        <v>1499</v>
      </c>
      <c r="C6954" s="1" t="s">
        <v>827</v>
      </c>
      <c r="D6954" s="3">
        <f t="shared" si="1024"/>
        <v>8697</v>
      </c>
      <c r="E6954" s="2">
        <f t="shared" si="1025"/>
        <v>43891</v>
      </c>
      <c r="F6954" s="2">
        <f t="shared" si="1026"/>
        <v>44439</v>
      </c>
    </row>
    <row r="6955" spans="1:6" x14ac:dyDescent="0.25">
      <c r="A6955" s="1" t="s">
        <v>1500</v>
      </c>
      <c r="B6955" s="1" t="s">
        <v>1499</v>
      </c>
      <c r="C6955" s="1" t="s">
        <v>829</v>
      </c>
      <c r="D6955" s="3">
        <f t="shared" si="1024"/>
        <v>8697</v>
      </c>
      <c r="E6955" s="2">
        <f t="shared" si="1025"/>
        <v>43891</v>
      </c>
      <c r="F6955" s="2">
        <f t="shared" si="1026"/>
        <v>44439</v>
      </c>
    </row>
    <row r="6956" spans="1:6" x14ac:dyDescent="0.25">
      <c r="A6956" s="1" t="s">
        <v>1500</v>
      </c>
      <c r="B6956" s="1" t="s">
        <v>1499</v>
      </c>
      <c r="C6956" s="1" t="s">
        <v>828</v>
      </c>
      <c r="D6956" s="3">
        <f t="shared" si="1024"/>
        <v>8697</v>
      </c>
      <c r="E6956" s="2">
        <f t="shared" si="1025"/>
        <v>43891</v>
      </c>
      <c r="F6956" s="2">
        <f t="shared" si="1026"/>
        <v>44439</v>
      </c>
    </row>
    <row r="6957" spans="1:6" x14ac:dyDescent="0.25">
      <c r="A6957" s="1" t="s">
        <v>1500</v>
      </c>
      <c r="B6957" s="1" t="s">
        <v>1499</v>
      </c>
      <c r="C6957" s="1" t="s">
        <v>830</v>
      </c>
      <c r="D6957" s="3">
        <f t="shared" si="1024"/>
        <v>8697</v>
      </c>
      <c r="E6957" s="2">
        <f t="shared" si="1025"/>
        <v>43891</v>
      </c>
      <c r="F6957" s="2">
        <f t="shared" si="1026"/>
        <v>44439</v>
      </c>
    </row>
    <row r="6958" spans="1:6" x14ac:dyDescent="0.25">
      <c r="A6958" s="1" t="s">
        <v>1500</v>
      </c>
      <c r="B6958" s="1" t="s">
        <v>1220</v>
      </c>
      <c r="C6958" s="1" t="s">
        <v>289</v>
      </c>
      <c r="D6958" s="3">
        <f>VALUE("7944")</f>
        <v>7944</v>
      </c>
      <c r="E6958" s="2">
        <f>DATEVALUE("1-8-2016")</f>
        <v>42583</v>
      </c>
      <c r="F6958" s="2">
        <f>DATEVALUE("30-9-2017")</f>
        <v>43008</v>
      </c>
    </row>
    <row r="6959" spans="1:6" x14ac:dyDescent="0.25">
      <c r="A6959" s="1" t="s">
        <v>1500</v>
      </c>
      <c r="B6959" s="1" t="s">
        <v>1220</v>
      </c>
      <c r="C6959" s="1" t="s">
        <v>139</v>
      </c>
      <c r="D6959" s="3">
        <f>VALUE("7944")</f>
        <v>7944</v>
      </c>
      <c r="E6959" s="2">
        <f>DATEVALUE("1-8-2016")</f>
        <v>42583</v>
      </c>
      <c r="F6959" s="2">
        <f>DATEVALUE("30-9-2017")</f>
        <v>43008</v>
      </c>
    </row>
    <row r="6960" spans="1:6" x14ac:dyDescent="0.25">
      <c r="A6960" s="1" t="s">
        <v>1500</v>
      </c>
      <c r="B6960" s="1" t="s">
        <v>1220</v>
      </c>
      <c r="C6960" s="1" t="s">
        <v>417</v>
      </c>
      <c r="D6960" s="3">
        <f>VALUE("7944")</f>
        <v>7944</v>
      </c>
      <c r="E6960" s="2">
        <f>DATEVALUE("1-8-2016")</f>
        <v>42583</v>
      </c>
      <c r="F6960" s="2">
        <f>DATEVALUE("30-9-2017")</f>
        <v>43008</v>
      </c>
    </row>
    <row r="6961" spans="1:6" x14ac:dyDescent="0.25">
      <c r="A6961" s="1" t="s">
        <v>1500</v>
      </c>
      <c r="B6961" s="1" t="s">
        <v>1220</v>
      </c>
      <c r="C6961" s="1" t="s">
        <v>73</v>
      </c>
      <c r="D6961" s="3">
        <f>VALUE("7944")</f>
        <v>7944</v>
      </c>
      <c r="E6961" s="2">
        <f>DATEVALUE("1-8-2016")</f>
        <v>42583</v>
      </c>
      <c r="F6961" s="2">
        <f>DATEVALUE("30-9-2017")</f>
        <v>43008</v>
      </c>
    </row>
    <row r="6962" spans="1:6" x14ac:dyDescent="0.25">
      <c r="A6962" s="1" t="s">
        <v>1362</v>
      </c>
      <c r="B6962" s="1" t="s">
        <v>1361</v>
      </c>
      <c r="C6962" s="1" t="s">
        <v>1365</v>
      </c>
      <c r="D6962" s="3">
        <f>VALUE("8592")</f>
        <v>8592</v>
      </c>
      <c r="E6962" s="2">
        <f>DATEVALUE("1-9-2019")</f>
        <v>43709</v>
      </c>
      <c r="F6962" s="2">
        <f>DATEVALUE("31-10-2020")</f>
        <v>44135</v>
      </c>
    </row>
    <row r="6963" spans="1:6" x14ac:dyDescent="0.25">
      <c r="A6963" s="1" t="s">
        <v>1362</v>
      </c>
      <c r="B6963" s="1" t="s">
        <v>1361</v>
      </c>
      <c r="C6963" s="1" t="s">
        <v>1363</v>
      </c>
      <c r="D6963" s="3">
        <f>VALUE("8592")</f>
        <v>8592</v>
      </c>
      <c r="E6963" s="2">
        <f>DATEVALUE("1-9-2019")</f>
        <v>43709</v>
      </c>
      <c r="F6963" s="2">
        <f>DATEVALUE("31-10-2020")</f>
        <v>44135</v>
      </c>
    </row>
    <row r="6964" spans="1:6" x14ac:dyDescent="0.25">
      <c r="A6964" s="1" t="s">
        <v>1362</v>
      </c>
      <c r="B6964" s="1" t="s">
        <v>1361</v>
      </c>
      <c r="C6964" s="1" t="s">
        <v>1364</v>
      </c>
      <c r="D6964" s="3">
        <f>VALUE("8592")</f>
        <v>8592</v>
      </c>
      <c r="E6964" s="2">
        <f>DATEVALUE("1-9-2019")</f>
        <v>43709</v>
      </c>
      <c r="F6964" s="2">
        <f>DATEVALUE("31-10-2020")</f>
        <v>44135</v>
      </c>
    </row>
    <row r="6965" spans="1:6" x14ac:dyDescent="0.25">
      <c r="A6965" s="1" t="s">
        <v>1418</v>
      </c>
      <c r="B6965" s="1" t="s">
        <v>1417</v>
      </c>
      <c r="C6965" s="1" t="s">
        <v>1419</v>
      </c>
      <c r="D6965" s="3">
        <f>VALUE("8635")</f>
        <v>8635</v>
      </c>
      <c r="E6965" s="2">
        <f>DATEVALUE("1-11-2019")</f>
        <v>43770</v>
      </c>
      <c r="F6965" s="2">
        <f>DATEVALUE("31-12-2021")</f>
        <v>44561</v>
      </c>
    </row>
    <row r="6966" spans="1:6" x14ac:dyDescent="0.25">
      <c r="A6966" s="1" t="s">
        <v>1418</v>
      </c>
      <c r="B6966" s="1" t="s">
        <v>1417</v>
      </c>
      <c r="C6966" s="1" t="s">
        <v>1420</v>
      </c>
      <c r="D6966" s="3">
        <f>VALUE("8635")</f>
        <v>8635</v>
      </c>
      <c r="E6966" s="2">
        <f>DATEVALUE("1-11-2019")</f>
        <v>43770</v>
      </c>
      <c r="F6966" s="2">
        <f>DATEVALUE("31-12-2021")</f>
        <v>44561</v>
      </c>
    </row>
    <row r="6967" spans="1:6" x14ac:dyDescent="0.25">
      <c r="A6967" s="1" t="s">
        <v>1418</v>
      </c>
      <c r="B6967" s="1" t="s">
        <v>1417</v>
      </c>
      <c r="C6967" s="1" t="s">
        <v>1315</v>
      </c>
      <c r="D6967" s="3">
        <f>VALUE("8635")</f>
        <v>8635</v>
      </c>
      <c r="E6967" s="2">
        <f>DATEVALUE("1-11-2019")</f>
        <v>43770</v>
      </c>
      <c r="F6967" s="2">
        <f>DATEVALUE("31-12-2021")</f>
        <v>44561</v>
      </c>
    </row>
    <row r="6968" spans="1:6" x14ac:dyDescent="0.25">
      <c r="A6968" s="1" t="s">
        <v>1418</v>
      </c>
      <c r="B6968" s="1" t="s">
        <v>1417</v>
      </c>
      <c r="C6968" s="1" t="s">
        <v>1421</v>
      </c>
      <c r="D6968" s="3">
        <f>VALUE("8635")</f>
        <v>8635</v>
      </c>
      <c r="E6968" s="2">
        <f>DATEVALUE("1-11-2019")</f>
        <v>43770</v>
      </c>
      <c r="F6968" s="2">
        <f>DATEVALUE("31-12-2021")</f>
        <v>44561</v>
      </c>
    </row>
    <row r="6969" spans="1:6" x14ac:dyDescent="0.25">
      <c r="A6969" s="1" t="s">
        <v>869</v>
      </c>
      <c r="B6969" s="1" t="s">
        <v>1616</v>
      </c>
      <c r="C6969" s="1" t="s">
        <v>85</v>
      </c>
      <c r="D6969" s="3">
        <f t="shared" ref="D6969:D6977" si="1027">VALUE("8795")</f>
        <v>8795</v>
      </c>
      <c r="E6969" s="2">
        <f t="shared" ref="E6969:E6977" si="1028">DATEVALUE("1-8-2020")</f>
        <v>44044</v>
      </c>
      <c r="F6969" s="2">
        <f t="shared" ref="F6969:F6977" si="1029">DATEVALUE("31-12-2020")</f>
        <v>44196</v>
      </c>
    </row>
    <row r="6970" spans="1:6" x14ac:dyDescent="0.25">
      <c r="A6970" s="1" t="s">
        <v>869</v>
      </c>
      <c r="B6970" s="1" t="s">
        <v>1616</v>
      </c>
      <c r="C6970" s="1" t="s">
        <v>84</v>
      </c>
      <c r="D6970" s="3">
        <f t="shared" si="1027"/>
        <v>8795</v>
      </c>
      <c r="E6970" s="2">
        <f t="shared" si="1028"/>
        <v>44044</v>
      </c>
      <c r="F6970" s="2">
        <f t="shared" si="1029"/>
        <v>44196</v>
      </c>
    </row>
    <row r="6971" spans="1:6" x14ac:dyDescent="0.25">
      <c r="A6971" s="1" t="s">
        <v>869</v>
      </c>
      <c r="B6971" s="1" t="s">
        <v>1616</v>
      </c>
      <c r="C6971" s="1" t="s">
        <v>14</v>
      </c>
      <c r="D6971" s="3">
        <f t="shared" si="1027"/>
        <v>8795</v>
      </c>
      <c r="E6971" s="2">
        <f t="shared" si="1028"/>
        <v>44044</v>
      </c>
      <c r="F6971" s="2">
        <f t="shared" si="1029"/>
        <v>44196</v>
      </c>
    </row>
    <row r="6972" spans="1:6" x14ac:dyDescent="0.25">
      <c r="A6972" s="1" t="s">
        <v>869</v>
      </c>
      <c r="B6972" s="1" t="s">
        <v>1616</v>
      </c>
      <c r="C6972" s="1" t="s">
        <v>89</v>
      </c>
      <c r="D6972" s="3">
        <f t="shared" si="1027"/>
        <v>8795</v>
      </c>
      <c r="E6972" s="2">
        <f t="shared" si="1028"/>
        <v>44044</v>
      </c>
      <c r="F6972" s="2">
        <f t="shared" si="1029"/>
        <v>44196</v>
      </c>
    </row>
    <row r="6973" spans="1:6" x14ac:dyDescent="0.25">
      <c r="A6973" s="1" t="s">
        <v>869</v>
      </c>
      <c r="B6973" s="1" t="s">
        <v>1616</v>
      </c>
      <c r="C6973" s="1" t="s">
        <v>146</v>
      </c>
      <c r="D6973" s="3">
        <f t="shared" si="1027"/>
        <v>8795</v>
      </c>
      <c r="E6973" s="2">
        <f t="shared" si="1028"/>
        <v>44044</v>
      </c>
      <c r="F6973" s="2">
        <f t="shared" si="1029"/>
        <v>44196</v>
      </c>
    </row>
    <row r="6974" spans="1:6" x14ac:dyDescent="0.25">
      <c r="A6974" s="1" t="s">
        <v>869</v>
      </c>
      <c r="B6974" s="1" t="s">
        <v>1616</v>
      </c>
      <c r="C6974" s="1" t="s">
        <v>148</v>
      </c>
      <c r="D6974" s="3">
        <f t="shared" si="1027"/>
        <v>8795</v>
      </c>
      <c r="E6974" s="2">
        <f t="shared" si="1028"/>
        <v>44044</v>
      </c>
      <c r="F6974" s="2">
        <f t="shared" si="1029"/>
        <v>44196</v>
      </c>
    </row>
    <row r="6975" spans="1:6" x14ac:dyDescent="0.25">
      <c r="A6975" s="1" t="s">
        <v>869</v>
      </c>
      <c r="B6975" s="1" t="s">
        <v>1616</v>
      </c>
      <c r="C6975" s="1" t="s">
        <v>400</v>
      </c>
      <c r="D6975" s="3">
        <f t="shared" si="1027"/>
        <v>8795</v>
      </c>
      <c r="E6975" s="2">
        <f t="shared" si="1028"/>
        <v>44044</v>
      </c>
      <c r="F6975" s="2">
        <f t="shared" si="1029"/>
        <v>44196</v>
      </c>
    </row>
    <row r="6976" spans="1:6" x14ac:dyDescent="0.25">
      <c r="A6976" s="1" t="s">
        <v>869</v>
      </c>
      <c r="B6976" s="1" t="s">
        <v>1616</v>
      </c>
      <c r="C6976" s="1" t="s">
        <v>160</v>
      </c>
      <c r="D6976" s="3">
        <f t="shared" si="1027"/>
        <v>8795</v>
      </c>
      <c r="E6976" s="2">
        <f t="shared" si="1028"/>
        <v>44044</v>
      </c>
      <c r="F6976" s="2">
        <f t="shared" si="1029"/>
        <v>44196</v>
      </c>
    </row>
    <row r="6977" spans="1:6" x14ac:dyDescent="0.25">
      <c r="A6977" s="1" t="s">
        <v>869</v>
      </c>
      <c r="B6977" s="1" t="s">
        <v>1616</v>
      </c>
      <c r="C6977" s="1" t="s">
        <v>55</v>
      </c>
      <c r="D6977" s="3">
        <f t="shared" si="1027"/>
        <v>8795</v>
      </c>
      <c r="E6977" s="2">
        <f t="shared" si="1028"/>
        <v>44044</v>
      </c>
      <c r="F6977" s="2">
        <f t="shared" si="1029"/>
        <v>44196</v>
      </c>
    </row>
    <row r="6978" spans="1:6" x14ac:dyDescent="0.25">
      <c r="A6978" s="1" t="s">
        <v>869</v>
      </c>
      <c r="B6978" s="1" t="s">
        <v>1570</v>
      </c>
      <c r="C6978" s="1" t="s">
        <v>17</v>
      </c>
      <c r="D6978" s="3">
        <f>VALUE("8754")</f>
        <v>8754</v>
      </c>
      <c r="E6978" s="2">
        <f>DATEVALUE("1-5-2020")</f>
        <v>43952</v>
      </c>
      <c r="F6978" s="2">
        <f>DATEVALUE("30-11-2020")</f>
        <v>44165</v>
      </c>
    </row>
    <row r="6979" spans="1:6" x14ac:dyDescent="0.25">
      <c r="A6979" s="1" t="s">
        <v>869</v>
      </c>
      <c r="B6979" s="1" t="s">
        <v>1570</v>
      </c>
      <c r="C6979" s="1" t="s">
        <v>146</v>
      </c>
      <c r="D6979" s="3">
        <f>VALUE("8754")</f>
        <v>8754</v>
      </c>
      <c r="E6979" s="2">
        <f>DATEVALUE("1-5-2020")</f>
        <v>43952</v>
      </c>
      <c r="F6979" s="2">
        <f>DATEVALUE("30-11-2020")</f>
        <v>44165</v>
      </c>
    </row>
    <row r="6980" spans="1:6" x14ac:dyDescent="0.25">
      <c r="A6980" s="1" t="s">
        <v>869</v>
      </c>
      <c r="B6980" s="1" t="s">
        <v>1570</v>
      </c>
      <c r="C6980" s="1" t="s">
        <v>67</v>
      </c>
      <c r="D6980" s="3">
        <f>VALUE("8754")</f>
        <v>8754</v>
      </c>
      <c r="E6980" s="2">
        <f>DATEVALUE("1-5-2020")</f>
        <v>43952</v>
      </c>
      <c r="F6980" s="2">
        <f>DATEVALUE("30-11-2020")</f>
        <v>44165</v>
      </c>
    </row>
    <row r="6981" spans="1:6" x14ac:dyDescent="0.25">
      <c r="A6981" s="1" t="s">
        <v>869</v>
      </c>
      <c r="B6981" s="1" t="s">
        <v>1570</v>
      </c>
      <c r="C6981" s="1" t="s">
        <v>400</v>
      </c>
      <c r="D6981" s="3">
        <f>VALUE("8754")</f>
        <v>8754</v>
      </c>
      <c r="E6981" s="2">
        <f>DATEVALUE("1-5-2020")</f>
        <v>43952</v>
      </c>
      <c r="F6981" s="2">
        <f>DATEVALUE("30-11-2020")</f>
        <v>44165</v>
      </c>
    </row>
    <row r="6982" spans="1:6" x14ac:dyDescent="0.25">
      <c r="A6982" s="1" t="s">
        <v>869</v>
      </c>
      <c r="B6982" s="1" t="s">
        <v>1830</v>
      </c>
      <c r="C6982" s="1" t="s">
        <v>1376</v>
      </c>
      <c r="D6982" s="3">
        <f t="shared" ref="D6982:D6988" si="1030">VALUE("8711")</f>
        <v>8711</v>
      </c>
      <c r="E6982" s="2">
        <f t="shared" ref="E6982:E6988" si="1031">DATEVALUE("1-3-2020")</f>
        <v>43891</v>
      </c>
      <c r="F6982" s="2">
        <f t="shared" ref="F6982:F6988" si="1032">DATEVALUE("30-6-2020")</f>
        <v>44012</v>
      </c>
    </row>
    <row r="6983" spans="1:6" x14ac:dyDescent="0.25">
      <c r="A6983" s="1" t="s">
        <v>869</v>
      </c>
      <c r="B6983" s="1" t="s">
        <v>1830</v>
      </c>
      <c r="C6983" s="1" t="s">
        <v>61</v>
      </c>
      <c r="D6983" s="3">
        <f t="shared" si="1030"/>
        <v>8711</v>
      </c>
      <c r="E6983" s="2">
        <f t="shared" si="1031"/>
        <v>43891</v>
      </c>
      <c r="F6983" s="2">
        <f t="shared" si="1032"/>
        <v>44012</v>
      </c>
    </row>
    <row r="6984" spans="1:6" x14ac:dyDescent="0.25">
      <c r="A6984" s="1" t="s">
        <v>869</v>
      </c>
      <c r="B6984" s="1" t="s">
        <v>1830</v>
      </c>
      <c r="C6984" s="1" t="s">
        <v>45</v>
      </c>
      <c r="D6984" s="3">
        <f t="shared" si="1030"/>
        <v>8711</v>
      </c>
      <c r="E6984" s="2">
        <f t="shared" si="1031"/>
        <v>43891</v>
      </c>
      <c r="F6984" s="2">
        <f t="shared" si="1032"/>
        <v>44012</v>
      </c>
    </row>
    <row r="6985" spans="1:6" x14ac:dyDescent="0.25">
      <c r="A6985" s="1" t="s">
        <v>869</v>
      </c>
      <c r="B6985" s="1" t="s">
        <v>1830</v>
      </c>
      <c r="C6985" s="1" t="s">
        <v>69</v>
      </c>
      <c r="D6985" s="3">
        <f t="shared" si="1030"/>
        <v>8711</v>
      </c>
      <c r="E6985" s="2">
        <f t="shared" si="1031"/>
        <v>43891</v>
      </c>
      <c r="F6985" s="2">
        <f t="shared" si="1032"/>
        <v>44012</v>
      </c>
    </row>
    <row r="6986" spans="1:6" x14ac:dyDescent="0.25">
      <c r="A6986" s="1" t="s">
        <v>869</v>
      </c>
      <c r="B6986" s="1" t="s">
        <v>1830</v>
      </c>
      <c r="C6986" s="1" t="s">
        <v>72</v>
      </c>
      <c r="D6986" s="3">
        <f t="shared" si="1030"/>
        <v>8711</v>
      </c>
      <c r="E6986" s="2">
        <f t="shared" si="1031"/>
        <v>43891</v>
      </c>
      <c r="F6986" s="2">
        <f t="shared" si="1032"/>
        <v>44012</v>
      </c>
    </row>
    <row r="6987" spans="1:6" x14ac:dyDescent="0.25">
      <c r="A6987" s="1" t="s">
        <v>869</v>
      </c>
      <c r="B6987" s="1" t="s">
        <v>1830</v>
      </c>
      <c r="C6987" s="1" t="s">
        <v>52</v>
      </c>
      <c r="D6987" s="3">
        <f t="shared" si="1030"/>
        <v>8711</v>
      </c>
      <c r="E6987" s="2">
        <f t="shared" si="1031"/>
        <v>43891</v>
      </c>
      <c r="F6987" s="2">
        <f t="shared" si="1032"/>
        <v>44012</v>
      </c>
    </row>
    <row r="6988" spans="1:6" x14ac:dyDescent="0.25">
      <c r="A6988" s="1" t="s">
        <v>869</v>
      </c>
      <c r="B6988" s="1" t="s">
        <v>1830</v>
      </c>
      <c r="C6988" s="1" t="s">
        <v>490</v>
      </c>
      <c r="D6988" s="3">
        <f t="shared" si="1030"/>
        <v>8711</v>
      </c>
      <c r="E6988" s="2">
        <f t="shared" si="1031"/>
        <v>43891</v>
      </c>
      <c r="F6988" s="2">
        <f t="shared" si="1032"/>
        <v>44012</v>
      </c>
    </row>
    <row r="6989" spans="1:6" x14ac:dyDescent="0.25">
      <c r="A6989" s="1" t="s">
        <v>869</v>
      </c>
      <c r="B6989" s="1" t="s">
        <v>868</v>
      </c>
      <c r="C6989" s="1" t="s">
        <v>84</v>
      </c>
      <c r="D6989" s="3">
        <f t="shared" ref="D6989:D6996" si="1033">VALUE("8089")</f>
        <v>8089</v>
      </c>
      <c r="E6989" s="2">
        <f t="shared" ref="E6989:E6996" si="1034">DATEVALUE("1-12-2019")</f>
        <v>43800</v>
      </c>
      <c r="F6989" s="2">
        <f t="shared" ref="F6989:F6996" si="1035">DATEVALUE("31-5-2021")</f>
        <v>44347</v>
      </c>
    </row>
    <row r="6990" spans="1:6" x14ac:dyDescent="0.25">
      <c r="A6990" s="1" t="s">
        <v>869</v>
      </c>
      <c r="B6990" s="1" t="s">
        <v>868</v>
      </c>
      <c r="C6990" s="1" t="s">
        <v>14</v>
      </c>
      <c r="D6990" s="3">
        <f t="shared" si="1033"/>
        <v>8089</v>
      </c>
      <c r="E6990" s="2">
        <f t="shared" si="1034"/>
        <v>43800</v>
      </c>
      <c r="F6990" s="2">
        <f t="shared" si="1035"/>
        <v>44347</v>
      </c>
    </row>
    <row r="6991" spans="1:6" x14ac:dyDescent="0.25">
      <c r="A6991" s="1" t="s">
        <v>869</v>
      </c>
      <c r="B6991" s="1" t="s">
        <v>868</v>
      </c>
      <c r="C6991" s="1" t="s">
        <v>89</v>
      </c>
      <c r="D6991" s="3">
        <f t="shared" si="1033"/>
        <v>8089</v>
      </c>
      <c r="E6991" s="2">
        <f t="shared" si="1034"/>
        <v>43800</v>
      </c>
      <c r="F6991" s="2">
        <f t="shared" si="1035"/>
        <v>44347</v>
      </c>
    </row>
    <row r="6992" spans="1:6" x14ac:dyDescent="0.25">
      <c r="A6992" s="1" t="s">
        <v>869</v>
      </c>
      <c r="B6992" s="1" t="s">
        <v>868</v>
      </c>
      <c r="C6992" s="1" t="s">
        <v>17</v>
      </c>
      <c r="D6992" s="3">
        <f t="shared" si="1033"/>
        <v>8089</v>
      </c>
      <c r="E6992" s="2">
        <f t="shared" si="1034"/>
        <v>43800</v>
      </c>
      <c r="F6992" s="2">
        <f t="shared" si="1035"/>
        <v>44347</v>
      </c>
    </row>
    <row r="6993" spans="1:6" x14ac:dyDescent="0.25">
      <c r="A6993" s="1" t="s">
        <v>869</v>
      </c>
      <c r="B6993" s="1" t="s">
        <v>868</v>
      </c>
      <c r="C6993" s="1" t="s">
        <v>128</v>
      </c>
      <c r="D6993" s="3">
        <f t="shared" si="1033"/>
        <v>8089</v>
      </c>
      <c r="E6993" s="2">
        <f t="shared" si="1034"/>
        <v>43800</v>
      </c>
      <c r="F6993" s="2">
        <f t="shared" si="1035"/>
        <v>44347</v>
      </c>
    </row>
    <row r="6994" spans="1:6" x14ac:dyDescent="0.25">
      <c r="A6994" s="1" t="s">
        <v>869</v>
      </c>
      <c r="B6994" s="1" t="s">
        <v>868</v>
      </c>
      <c r="C6994" s="1" t="s">
        <v>180</v>
      </c>
      <c r="D6994" s="3">
        <f t="shared" si="1033"/>
        <v>8089</v>
      </c>
      <c r="E6994" s="2">
        <f t="shared" si="1034"/>
        <v>43800</v>
      </c>
      <c r="F6994" s="2">
        <f t="shared" si="1035"/>
        <v>44347</v>
      </c>
    </row>
    <row r="6995" spans="1:6" x14ac:dyDescent="0.25">
      <c r="A6995" s="1" t="s">
        <v>869</v>
      </c>
      <c r="B6995" s="1" t="s">
        <v>868</v>
      </c>
      <c r="C6995" s="1" t="s">
        <v>24</v>
      </c>
      <c r="D6995" s="3">
        <f t="shared" si="1033"/>
        <v>8089</v>
      </c>
      <c r="E6995" s="2">
        <f t="shared" si="1034"/>
        <v>43800</v>
      </c>
      <c r="F6995" s="2">
        <f t="shared" si="1035"/>
        <v>44347</v>
      </c>
    </row>
    <row r="6996" spans="1:6" x14ac:dyDescent="0.25">
      <c r="A6996" s="1" t="s">
        <v>869</v>
      </c>
      <c r="B6996" s="1" t="s">
        <v>868</v>
      </c>
      <c r="C6996" s="1" t="s">
        <v>34</v>
      </c>
      <c r="D6996" s="3">
        <f t="shared" si="1033"/>
        <v>8089</v>
      </c>
      <c r="E6996" s="2">
        <f t="shared" si="1034"/>
        <v>43800</v>
      </c>
      <c r="F6996" s="2">
        <f t="shared" si="1035"/>
        <v>44347</v>
      </c>
    </row>
    <row r="6997" spans="1:6" x14ac:dyDescent="0.25">
      <c r="A6997" s="1" t="s">
        <v>869</v>
      </c>
      <c r="B6997" s="1" t="s">
        <v>1380</v>
      </c>
      <c r="C6997" s="1" t="s">
        <v>14</v>
      </c>
      <c r="D6997" s="3">
        <f t="shared" ref="D6997:D7004" si="1036">VALUE("8607")</f>
        <v>8607</v>
      </c>
      <c r="E6997" s="2">
        <f t="shared" ref="E6997:E7004" si="1037">DATEVALUE("1-11-2019")</f>
        <v>43770</v>
      </c>
      <c r="F6997" s="2">
        <f t="shared" ref="F6997:F7004" si="1038">DATEVALUE("31-7-2021")</f>
        <v>44408</v>
      </c>
    </row>
    <row r="6998" spans="1:6" x14ac:dyDescent="0.25">
      <c r="A6998" s="1" t="s">
        <v>869</v>
      </c>
      <c r="B6998" s="1" t="s">
        <v>1380</v>
      </c>
      <c r="C6998" s="1" t="s">
        <v>15</v>
      </c>
      <c r="D6998" s="3">
        <f t="shared" si="1036"/>
        <v>8607</v>
      </c>
      <c r="E6998" s="2">
        <f t="shared" si="1037"/>
        <v>43770</v>
      </c>
      <c r="F6998" s="2">
        <f t="shared" si="1038"/>
        <v>44408</v>
      </c>
    </row>
    <row r="6999" spans="1:6" x14ac:dyDescent="0.25">
      <c r="A6999" s="1" t="s">
        <v>869</v>
      </c>
      <c r="B6999" s="1" t="s">
        <v>1380</v>
      </c>
      <c r="C6999" s="1" t="s">
        <v>89</v>
      </c>
      <c r="D6999" s="3">
        <f t="shared" si="1036"/>
        <v>8607</v>
      </c>
      <c r="E6999" s="2">
        <f t="shared" si="1037"/>
        <v>43770</v>
      </c>
      <c r="F6999" s="2">
        <f t="shared" si="1038"/>
        <v>44408</v>
      </c>
    </row>
    <row r="7000" spans="1:6" x14ac:dyDescent="0.25">
      <c r="A7000" s="1" t="s">
        <v>869</v>
      </c>
      <c r="B7000" s="1" t="s">
        <v>1380</v>
      </c>
      <c r="C7000" s="1" t="s">
        <v>17</v>
      </c>
      <c r="D7000" s="3">
        <f t="shared" si="1036"/>
        <v>8607</v>
      </c>
      <c r="E7000" s="2">
        <f t="shared" si="1037"/>
        <v>43770</v>
      </c>
      <c r="F7000" s="2">
        <f t="shared" si="1038"/>
        <v>44408</v>
      </c>
    </row>
    <row r="7001" spans="1:6" x14ac:dyDescent="0.25">
      <c r="A7001" s="1" t="s">
        <v>869</v>
      </c>
      <c r="B7001" s="1" t="s">
        <v>1380</v>
      </c>
      <c r="C7001" s="1" t="s">
        <v>146</v>
      </c>
      <c r="D7001" s="3">
        <f t="shared" si="1036"/>
        <v>8607</v>
      </c>
      <c r="E7001" s="2">
        <f t="shared" si="1037"/>
        <v>43770</v>
      </c>
      <c r="F7001" s="2">
        <f t="shared" si="1038"/>
        <v>44408</v>
      </c>
    </row>
    <row r="7002" spans="1:6" x14ac:dyDescent="0.25">
      <c r="A7002" s="1" t="s">
        <v>869</v>
      </c>
      <c r="B7002" s="1" t="s">
        <v>1380</v>
      </c>
      <c r="C7002" s="1" t="s">
        <v>67</v>
      </c>
      <c r="D7002" s="3">
        <f t="shared" si="1036"/>
        <v>8607</v>
      </c>
      <c r="E7002" s="2">
        <f t="shared" si="1037"/>
        <v>43770</v>
      </c>
      <c r="F7002" s="2">
        <f t="shared" si="1038"/>
        <v>44408</v>
      </c>
    </row>
    <row r="7003" spans="1:6" x14ac:dyDescent="0.25">
      <c r="A7003" s="1" t="s">
        <v>869</v>
      </c>
      <c r="B7003" s="1" t="s">
        <v>1380</v>
      </c>
      <c r="C7003" s="1" t="s">
        <v>34</v>
      </c>
      <c r="D7003" s="3">
        <f t="shared" si="1036"/>
        <v>8607</v>
      </c>
      <c r="E7003" s="2">
        <f t="shared" si="1037"/>
        <v>43770</v>
      </c>
      <c r="F7003" s="2">
        <f t="shared" si="1038"/>
        <v>44408</v>
      </c>
    </row>
    <row r="7004" spans="1:6" x14ac:dyDescent="0.25">
      <c r="A7004" s="1" t="s">
        <v>869</v>
      </c>
      <c r="B7004" s="1" t="s">
        <v>1380</v>
      </c>
      <c r="C7004" s="1" t="s">
        <v>131</v>
      </c>
      <c r="D7004" s="3">
        <f t="shared" si="1036"/>
        <v>8607</v>
      </c>
      <c r="E7004" s="2">
        <f t="shared" si="1037"/>
        <v>43770</v>
      </c>
      <c r="F7004" s="2">
        <f t="shared" si="1038"/>
        <v>44408</v>
      </c>
    </row>
    <row r="7005" spans="1:6" x14ac:dyDescent="0.25">
      <c r="A7005" s="1" t="s">
        <v>869</v>
      </c>
      <c r="B7005" s="1" t="s">
        <v>1264</v>
      </c>
      <c r="C7005" s="1" t="s">
        <v>17</v>
      </c>
      <c r="D7005" s="3">
        <f t="shared" ref="D7005:D7010" si="1039">VALUE("8513")</f>
        <v>8513</v>
      </c>
      <c r="E7005" s="2">
        <f t="shared" ref="E7005:E7010" si="1040">DATEVALUE("1-5-2019")</f>
        <v>43586</v>
      </c>
      <c r="F7005" s="2">
        <f t="shared" ref="F7005:F7010" si="1041">DATEVALUE("30-6-2021")</f>
        <v>44377</v>
      </c>
    </row>
    <row r="7006" spans="1:6" x14ac:dyDescent="0.25">
      <c r="A7006" s="1" t="s">
        <v>869</v>
      </c>
      <c r="B7006" s="1" t="s">
        <v>1264</v>
      </c>
      <c r="C7006" s="1" t="s">
        <v>146</v>
      </c>
      <c r="D7006" s="3">
        <f t="shared" si="1039"/>
        <v>8513</v>
      </c>
      <c r="E7006" s="2">
        <f t="shared" si="1040"/>
        <v>43586</v>
      </c>
      <c r="F7006" s="2">
        <f t="shared" si="1041"/>
        <v>44377</v>
      </c>
    </row>
    <row r="7007" spans="1:6" x14ac:dyDescent="0.25">
      <c r="A7007" s="1" t="s">
        <v>869</v>
      </c>
      <c r="B7007" s="1" t="s">
        <v>1264</v>
      </c>
      <c r="C7007" s="1" t="s">
        <v>67</v>
      </c>
      <c r="D7007" s="3">
        <f t="shared" si="1039"/>
        <v>8513</v>
      </c>
      <c r="E7007" s="2">
        <f t="shared" si="1040"/>
        <v>43586</v>
      </c>
      <c r="F7007" s="2">
        <f t="shared" si="1041"/>
        <v>44377</v>
      </c>
    </row>
    <row r="7008" spans="1:6" x14ac:dyDescent="0.25">
      <c r="A7008" s="1" t="s">
        <v>869</v>
      </c>
      <c r="B7008" s="1" t="s">
        <v>1264</v>
      </c>
      <c r="C7008" s="1" t="s">
        <v>571</v>
      </c>
      <c r="D7008" s="3">
        <f t="shared" si="1039"/>
        <v>8513</v>
      </c>
      <c r="E7008" s="2">
        <f t="shared" si="1040"/>
        <v>43586</v>
      </c>
      <c r="F7008" s="2">
        <f t="shared" si="1041"/>
        <v>44377</v>
      </c>
    </row>
    <row r="7009" spans="1:6" x14ac:dyDescent="0.25">
      <c r="A7009" s="1" t="s">
        <v>869</v>
      </c>
      <c r="B7009" s="1" t="s">
        <v>1264</v>
      </c>
      <c r="C7009" s="1" t="s">
        <v>573</v>
      </c>
      <c r="D7009" s="3">
        <f t="shared" si="1039"/>
        <v>8513</v>
      </c>
      <c r="E7009" s="2">
        <f t="shared" si="1040"/>
        <v>43586</v>
      </c>
      <c r="F7009" s="2">
        <f t="shared" si="1041"/>
        <v>44377</v>
      </c>
    </row>
    <row r="7010" spans="1:6" x14ac:dyDescent="0.25">
      <c r="A7010" s="1" t="s">
        <v>869</v>
      </c>
      <c r="B7010" s="1" t="s">
        <v>1264</v>
      </c>
      <c r="C7010" s="1" t="s">
        <v>160</v>
      </c>
      <c r="D7010" s="3">
        <f t="shared" si="1039"/>
        <v>8513</v>
      </c>
      <c r="E7010" s="2">
        <f t="shared" si="1040"/>
        <v>43586</v>
      </c>
      <c r="F7010" s="2">
        <f t="shared" si="1041"/>
        <v>44377</v>
      </c>
    </row>
    <row r="7011" spans="1:6" x14ac:dyDescent="0.25">
      <c r="A7011" s="1" t="s">
        <v>869</v>
      </c>
      <c r="B7011" s="1" t="s">
        <v>1204</v>
      </c>
      <c r="C7011" s="1" t="s">
        <v>84</v>
      </c>
      <c r="D7011" s="3">
        <f t="shared" ref="D7011:D7030" si="1042">VALUE("8465")</f>
        <v>8465</v>
      </c>
      <c r="E7011" s="2">
        <f t="shared" ref="E7011:E7033" si="1043">DATEVALUE("1-4-2019")</f>
        <v>43556</v>
      </c>
      <c r="F7011" s="2">
        <f t="shared" ref="F7011:F7030" si="1044">DATEVALUE("31-3-2025")</f>
        <v>45747</v>
      </c>
    </row>
    <row r="7012" spans="1:6" x14ac:dyDescent="0.25">
      <c r="A7012" s="1" t="s">
        <v>869</v>
      </c>
      <c r="B7012" s="1" t="s">
        <v>1204</v>
      </c>
      <c r="C7012" s="1" t="s">
        <v>14</v>
      </c>
      <c r="D7012" s="3">
        <f t="shared" si="1042"/>
        <v>8465</v>
      </c>
      <c r="E7012" s="2">
        <f t="shared" si="1043"/>
        <v>43556</v>
      </c>
      <c r="F7012" s="2">
        <f t="shared" si="1044"/>
        <v>45747</v>
      </c>
    </row>
    <row r="7013" spans="1:6" x14ac:dyDescent="0.25">
      <c r="A7013" s="1" t="s">
        <v>869</v>
      </c>
      <c r="B7013" s="1" t="s">
        <v>1204</v>
      </c>
      <c r="C7013" s="1" t="s">
        <v>66</v>
      </c>
      <c r="D7013" s="3">
        <f t="shared" si="1042"/>
        <v>8465</v>
      </c>
      <c r="E7013" s="2">
        <f t="shared" si="1043"/>
        <v>43556</v>
      </c>
      <c r="F7013" s="2">
        <f t="shared" si="1044"/>
        <v>45747</v>
      </c>
    </row>
    <row r="7014" spans="1:6" x14ac:dyDescent="0.25">
      <c r="A7014" s="1" t="s">
        <v>869</v>
      </c>
      <c r="B7014" s="1" t="s">
        <v>1204</v>
      </c>
      <c r="C7014" s="1" t="s">
        <v>15</v>
      </c>
      <c r="D7014" s="3">
        <f t="shared" si="1042"/>
        <v>8465</v>
      </c>
      <c r="E7014" s="2">
        <f t="shared" si="1043"/>
        <v>43556</v>
      </c>
      <c r="F7014" s="2">
        <f t="shared" si="1044"/>
        <v>45747</v>
      </c>
    </row>
    <row r="7015" spans="1:6" x14ac:dyDescent="0.25">
      <c r="A7015" s="1" t="s">
        <v>869</v>
      </c>
      <c r="B7015" s="1" t="s">
        <v>1204</v>
      </c>
      <c r="C7015" s="1" t="s">
        <v>89</v>
      </c>
      <c r="D7015" s="3">
        <f t="shared" si="1042"/>
        <v>8465</v>
      </c>
      <c r="E7015" s="2">
        <f t="shared" si="1043"/>
        <v>43556</v>
      </c>
      <c r="F7015" s="2">
        <f t="shared" si="1044"/>
        <v>45747</v>
      </c>
    </row>
    <row r="7016" spans="1:6" x14ac:dyDescent="0.25">
      <c r="A7016" s="1" t="s">
        <v>869</v>
      </c>
      <c r="B7016" s="1" t="s">
        <v>1204</v>
      </c>
      <c r="C7016" s="1" t="s">
        <v>17</v>
      </c>
      <c r="D7016" s="3">
        <f t="shared" si="1042"/>
        <v>8465</v>
      </c>
      <c r="E7016" s="2">
        <f t="shared" si="1043"/>
        <v>43556</v>
      </c>
      <c r="F7016" s="2">
        <f t="shared" si="1044"/>
        <v>45747</v>
      </c>
    </row>
    <row r="7017" spans="1:6" x14ac:dyDescent="0.25">
      <c r="A7017" s="1" t="s">
        <v>869</v>
      </c>
      <c r="B7017" s="1" t="s">
        <v>1204</v>
      </c>
      <c r="C7017" s="1" t="s">
        <v>127</v>
      </c>
      <c r="D7017" s="3">
        <f t="shared" si="1042"/>
        <v>8465</v>
      </c>
      <c r="E7017" s="2">
        <f t="shared" si="1043"/>
        <v>43556</v>
      </c>
      <c r="F7017" s="2">
        <f t="shared" si="1044"/>
        <v>45747</v>
      </c>
    </row>
    <row r="7018" spans="1:6" x14ac:dyDescent="0.25">
      <c r="A7018" s="1" t="s">
        <v>869</v>
      </c>
      <c r="B7018" s="1" t="s">
        <v>1204</v>
      </c>
      <c r="C7018" s="1" t="s">
        <v>167</v>
      </c>
      <c r="D7018" s="3">
        <f t="shared" si="1042"/>
        <v>8465</v>
      </c>
      <c r="E7018" s="2">
        <f t="shared" si="1043"/>
        <v>43556</v>
      </c>
      <c r="F7018" s="2">
        <f t="shared" si="1044"/>
        <v>45747</v>
      </c>
    </row>
    <row r="7019" spans="1:6" x14ac:dyDescent="0.25">
      <c r="A7019" s="1" t="s">
        <v>869</v>
      </c>
      <c r="B7019" s="1" t="s">
        <v>1204</v>
      </c>
      <c r="C7019" s="1" t="s">
        <v>22</v>
      </c>
      <c r="D7019" s="3">
        <f t="shared" si="1042"/>
        <v>8465</v>
      </c>
      <c r="E7019" s="2">
        <f t="shared" si="1043"/>
        <v>43556</v>
      </c>
      <c r="F7019" s="2">
        <f t="shared" si="1044"/>
        <v>45747</v>
      </c>
    </row>
    <row r="7020" spans="1:6" x14ac:dyDescent="0.25">
      <c r="A7020" s="1" t="s">
        <v>869</v>
      </c>
      <c r="B7020" s="1" t="s">
        <v>1204</v>
      </c>
      <c r="C7020" s="1" t="s">
        <v>258</v>
      </c>
      <c r="D7020" s="3">
        <f t="shared" si="1042"/>
        <v>8465</v>
      </c>
      <c r="E7020" s="2">
        <f t="shared" si="1043"/>
        <v>43556</v>
      </c>
      <c r="F7020" s="2">
        <f t="shared" si="1044"/>
        <v>45747</v>
      </c>
    </row>
    <row r="7021" spans="1:6" x14ac:dyDescent="0.25">
      <c r="A7021" s="1" t="s">
        <v>869</v>
      </c>
      <c r="B7021" s="1" t="s">
        <v>1204</v>
      </c>
      <c r="C7021" s="1" t="s">
        <v>383</v>
      </c>
      <c r="D7021" s="3">
        <f t="shared" si="1042"/>
        <v>8465</v>
      </c>
      <c r="E7021" s="2">
        <f t="shared" si="1043"/>
        <v>43556</v>
      </c>
      <c r="F7021" s="2">
        <f t="shared" si="1044"/>
        <v>45747</v>
      </c>
    </row>
    <row r="7022" spans="1:6" x14ac:dyDescent="0.25">
      <c r="A7022" s="1" t="s">
        <v>869</v>
      </c>
      <c r="B7022" s="1" t="s">
        <v>1204</v>
      </c>
      <c r="C7022" s="1" t="s">
        <v>146</v>
      </c>
      <c r="D7022" s="3">
        <f t="shared" si="1042"/>
        <v>8465</v>
      </c>
      <c r="E7022" s="2">
        <f t="shared" si="1043"/>
        <v>43556</v>
      </c>
      <c r="F7022" s="2">
        <f t="shared" si="1044"/>
        <v>45747</v>
      </c>
    </row>
    <row r="7023" spans="1:6" x14ac:dyDescent="0.25">
      <c r="A7023" s="1" t="s">
        <v>869</v>
      </c>
      <c r="B7023" s="1" t="s">
        <v>1204</v>
      </c>
      <c r="C7023" s="1" t="s">
        <v>67</v>
      </c>
      <c r="D7023" s="3">
        <f t="shared" si="1042"/>
        <v>8465</v>
      </c>
      <c r="E7023" s="2">
        <f t="shared" si="1043"/>
        <v>43556</v>
      </c>
      <c r="F7023" s="2">
        <f t="shared" si="1044"/>
        <v>45747</v>
      </c>
    </row>
    <row r="7024" spans="1:6" x14ac:dyDescent="0.25">
      <c r="A7024" s="1" t="s">
        <v>869</v>
      </c>
      <c r="B7024" s="1" t="s">
        <v>1204</v>
      </c>
      <c r="C7024" s="1" t="s">
        <v>128</v>
      </c>
      <c r="D7024" s="3">
        <f t="shared" si="1042"/>
        <v>8465</v>
      </c>
      <c r="E7024" s="2">
        <f t="shared" si="1043"/>
        <v>43556</v>
      </c>
      <c r="F7024" s="2">
        <f t="shared" si="1044"/>
        <v>45747</v>
      </c>
    </row>
    <row r="7025" spans="1:6" x14ac:dyDescent="0.25">
      <c r="A7025" s="1" t="s">
        <v>869</v>
      </c>
      <c r="B7025" s="1" t="s">
        <v>1204</v>
      </c>
      <c r="C7025" s="1" t="s">
        <v>180</v>
      </c>
      <c r="D7025" s="3">
        <f t="shared" si="1042"/>
        <v>8465</v>
      </c>
      <c r="E7025" s="2">
        <f t="shared" si="1043"/>
        <v>43556</v>
      </c>
      <c r="F7025" s="2">
        <f t="shared" si="1044"/>
        <v>45747</v>
      </c>
    </row>
    <row r="7026" spans="1:6" x14ac:dyDescent="0.25">
      <c r="A7026" s="1" t="s">
        <v>869</v>
      </c>
      <c r="B7026" s="1" t="s">
        <v>1204</v>
      </c>
      <c r="C7026" s="1" t="s">
        <v>94</v>
      </c>
      <c r="D7026" s="3">
        <f t="shared" si="1042"/>
        <v>8465</v>
      </c>
      <c r="E7026" s="2">
        <f t="shared" si="1043"/>
        <v>43556</v>
      </c>
      <c r="F7026" s="2">
        <f t="shared" si="1044"/>
        <v>45747</v>
      </c>
    </row>
    <row r="7027" spans="1:6" x14ac:dyDescent="0.25">
      <c r="A7027" s="1" t="s">
        <v>869</v>
      </c>
      <c r="B7027" s="1" t="s">
        <v>1204</v>
      </c>
      <c r="C7027" s="1" t="s">
        <v>198</v>
      </c>
      <c r="D7027" s="3">
        <f t="shared" si="1042"/>
        <v>8465</v>
      </c>
      <c r="E7027" s="2">
        <f t="shared" si="1043"/>
        <v>43556</v>
      </c>
      <c r="F7027" s="2">
        <f t="shared" si="1044"/>
        <v>45747</v>
      </c>
    </row>
    <row r="7028" spans="1:6" x14ac:dyDescent="0.25">
      <c r="A7028" s="1" t="s">
        <v>869</v>
      </c>
      <c r="B7028" s="1" t="s">
        <v>1204</v>
      </c>
      <c r="C7028" s="1" t="s">
        <v>26</v>
      </c>
      <c r="D7028" s="3">
        <f t="shared" si="1042"/>
        <v>8465</v>
      </c>
      <c r="E7028" s="2">
        <f t="shared" si="1043"/>
        <v>43556</v>
      </c>
      <c r="F7028" s="2">
        <f t="shared" si="1044"/>
        <v>45747</v>
      </c>
    </row>
    <row r="7029" spans="1:6" x14ac:dyDescent="0.25">
      <c r="A7029" s="1" t="s">
        <v>869</v>
      </c>
      <c r="B7029" s="1" t="s">
        <v>1204</v>
      </c>
      <c r="C7029" s="1" t="s">
        <v>55</v>
      </c>
      <c r="D7029" s="3">
        <f t="shared" si="1042"/>
        <v>8465</v>
      </c>
      <c r="E7029" s="2">
        <f t="shared" si="1043"/>
        <v>43556</v>
      </c>
      <c r="F7029" s="2">
        <f t="shared" si="1044"/>
        <v>45747</v>
      </c>
    </row>
    <row r="7030" spans="1:6" x14ac:dyDescent="0.25">
      <c r="A7030" s="1" t="s">
        <v>869</v>
      </c>
      <c r="B7030" s="1" t="s">
        <v>1204</v>
      </c>
      <c r="C7030" s="1" t="s">
        <v>131</v>
      </c>
      <c r="D7030" s="3">
        <f t="shared" si="1042"/>
        <v>8465</v>
      </c>
      <c r="E7030" s="2">
        <f t="shared" si="1043"/>
        <v>43556</v>
      </c>
      <c r="F7030" s="2">
        <f t="shared" si="1044"/>
        <v>45747</v>
      </c>
    </row>
    <row r="7031" spans="1:6" x14ac:dyDescent="0.25">
      <c r="A7031" s="1" t="s">
        <v>869</v>
      </c>
      <c r="B7031" s="1" t="s">
        <v>1236</v>
      </c>
      <c r="C7031" s="1" t="s">
        <v>15</v>
      </c>
      <c r="D7031" s="3">
        <f>VALUE("8487")</f>
        <v>8487</v>
      </c>
      <c r="E7031" s="2">
        <f t="shared" si="1043"/>
        <v>43556</v>
      </c>
      <c r="F7031" s="2">
        <f>DATEVALUE("30-4-2021")</f>
        <v>44316</v>
      </c>
    </row>
    <row r="7032" spans="1:6" x14ac:dyDescent="0.25">
      <c r="A7032" s="1" t="s">
        <v>869</v>
      </c>
      <c r="B7032" s="1" t="s">
        <v>1236</v>
      </c>
      <c r="C7032" s="1" t="s">
        <v>17</v>
      </c>
      <c r="D7032" s="3">
        <f>VALUE("8487")</f>
        <v>8487</v>
      </c>
      <c r="E7032" s="2">
        <f t="shared" si="1043"/>
        <v>43556</v>
      </c>
      <c r="F7032" s="2">
        <f>DATEVALUE("30-4-2021")</f>
        <v>44316</v>
      </c>
    </row>
    <row r="7033" spans="1:6" x14ac:dyDescent="0.25">
      <c r="A7033" s="1" t="s">
        <v>869</v>
      </c>
      <c r="B7033" s="1" t="s">
        <v>1236</v>
      </c>
      <c r="C7033" s="1" t="s">
        <v>146</v>
      </c>
      <c r="D7033" s="3">
        <f>VALUE("8487")</f>
        <v>8487</v>
      </c>
      <c r="E7033" s="2">
        <f t="shared" si="1043"/>
        <v>43556</v>
      </c>
      <c r="F7033" s="2">
        <f>DATEVALUE("30-4-2021")</f>
        <v>44316</v>
      </c>
    </row>
    <row r="7034" spans="1:6" x14ac:dyDescent="0.25">
      <c r="A7034" s="1" t="s">
        <v>869</v>
      </c>
      <c r="B7034" s="1" t="s">
        <v>1208</v>
      </c>
      <c r="C7034" s="1" t="s">
        <v>14</v>
      </c>
      <c r="D7034" s="3">
        <f t="shared" ref="D7034:D7041" si="1045">VALUE("8472")</f>
        <v>8472</v>
      </c>
      <c r="E7034" s="2">
        <f t="shared" ref="E7034:E7041" si="1046">DATEVALUE("1-3-2019")</f>
        <v>43525</v>
      </c>
      <c r="F7034" s="2">
        <f t="shared" ref="F7034:F7041" si="1047">DATEVALUE("28-2-2021")</f>
        <v>44255</v>
      </c>
    </row>
    <row r="7035" spans="1:6" x14ac:dyDescent="0.25">
      <c r="A7035" s="1" t="s">
        <v>869</v>
      </c>
      <c r="B7035" s="1" t="s">
        <v>1208</v>
      </c>
      <c r="C7035" s="1" t="s">
        <v>66</v>
      </c>
      <c r="D7035" s="3">
        <f t="shared" si="1045"/>
        <v>8472</v>
      </c>
      <c r="E7035" s="2">
        <f t="shared" si="1046"/>
        <v>43525</v>
      </c>
      <c r="F7035" s="2">
        <f t="shared" si="1047"/>
        <v>44255</v>
      </c>
    </row>
    <row r="7036" spans="1:6" x14ac:dyDescent="0.25">
      <c r="A7036" s="1" t="s">
        <v>869</v>
      </c>
      <c r="B7036" s="1" t="s">
        <v>1208</v>
      </c>
      <c r="C7036" s="1" t="s">
        <v>17</v>
      </c>
      <c r="D7036" s="3">
        <f t="shared" si="1045"/>
        <v>8472</v>
      </c>
      <c r="E7036" s="2">
        <f t="shared" si="1046"/>
        <v>43525</v>
      </c>
      <c r="F7036" s="2">
        <f t="shared" si="1047"/>
        <v>44255</v>
      </c>
    </row>
    <row r="7037" spans="1:6" x14ac:dyDescent="0.25">
      <c r="A7037" s="1" t="s">
        <v>869</v>
      </c>
      <c r="B7037" s="1" t="s">
        <v>1208</v>
      </c>
      <c r="C7037" s="1" t="s">
        <v>22</v>
      </c>
      <c r="D7037" s="3">
        <f t="shared" si="1045"/>
        <v>8472</v>
      </c>
      <c r="E7037" s="2">
        <f t="shared" si="1046"/>
        <v>43525</v>
      </c>
      <c r="F7037" s="2">
        <f t="shared" si="1047"/>
        <v>44255</v>
      </c>
    </row>
    <row r="7038" spans="1:6" x14ac:dyDescent="0.25">
      <c r="A7038" s="1" t="s">
        <v>869</v>
      </c>
      <c r="B7038" s="1" t="s">
        <v>1208</v>
      </c>
      <c r="C7038" s="1" t="s">
        <v>146</v>
      </c>
      <c r="D7038" s="3">
        <f t="shared" si="1045"/>
        <v>8472</v>
      </c>
      <c r="E7038" s="2">
        <f t="shared" si="1046"/>
        <v>43525</v>
      </c>
      <c r="F7038" s="2">
        <f t="shared" si="1047"/>
        <v>44255</v>
      </c>
    </row>
    <row r="7039" spans="1:6" x14ac:dyDescent="0.25">
      <c r="A7039" s="1" t="s">
        <v>869</v>
      </c>
      <c r="B7039" s="1" t="s">
        <v>1208</v>
      </c>
      <c r="C7039" s="1" t="s">
        <v>67</v>
      </c>
      <c r="D7039" s="3">
        <f t="shared" si="1045"/>
        <v>8472</v>
      </c>
      <c r="E7039" s="2">
        <f t="shared" si="1046"/>
        <v>43525</v>
      </c>
      <c r="F7039" s="2">
        <f t="shared" si="1047"/>
        <v>44255</v>
      </c>
    </row>
    <row r="7040" spans="1:6" x14ac:dyDescent="0.25">
      <c r="A7040" s="1" t="s">
        <v>869</v>
      </c>
      <c r="B7040" s="1" t="s">
        <v>1208</v>
      </c>
      <c r="C7040" s="1" t="s">
        <v>160</v>
      </c>
      <c r="D7040" s="3">
        <f t="shared" si="1045"/>
        <v>8472</v>
      </c>
      <c r="E7040" s="2">
        <f t="shared" si="1046"/>
        <v>43525</v>
      </c>
      <c r="F7040" s="2">
        <f t="shared" si="1047"/>
        <v>44255</v>
      </c>
    </row>
    <row r="7041" spans="1:6" x14ac:dyDescent="0.25">
      <c r="A7041" s="1" t="s">
        <v>869</v>
      </c>
      <c r="B7041" s="1" t="s">
        <v>1208</v>
      </c>
      <c r="C7041" s="1" t="s">
        <v>55</v>
      </c>
      <c r="D7041" s="3">
        <f t="shared" si="1045"/>
        <v>8472</v>
      </c>
      <c r="E7041" s="2">
        <f t="shared" si="1046"/>
        <v>43525</v>
      </c>
      <c r="F7041" s="2">
        <f t="shared" si="1047"/>
        <v>44255</v>
      </c>
    </row>
    <row r="7042" spans="1:6" x14ac:dyDescent="0.25">
      <c r="A7042" s="1" t="s">
        <v>869</v>
      </c>
      <c r="B7042" s="1" t="s">
        <v>1076</v>
      </c>
      <c r="C7042" s="1" t="s">
        <v>15</v>
      </c>
      <c r="D7042" s="3">
        <f t="shared" ref="D7042:D7049" si="1048">VALUE("8363")</f>
        <v>8363</v>
      </c>
      <c r="E7042" s="2">
        <f t="shared" ref="E7042:E7049" si="1049">DATEVALUE("1-10-2018")</f>
        <v>43374</v>
      </c>
      <c r="F7042" s="2">
        <f t="shared" ref="F7042:F7049" si="1050">DATEVALUE("31-12-2020")</f>
        <v>44196</v>
      </c>
    </row>
    <row r="7043" spans="1:6" x14ac:dyDescent="0.25">
      <c r="A7043" s="1" t="s">
        <v>869</v>
      </c>
      <c r="B7043" s="1" t="s">
        <v>1076</v>
      </c>
      <c r="C7043" s="1" t="s">
        <v>17</v>
      </c>
      <c r="D7043" s="3">
        <f t="shared" si="1048"/>
        <v>8363</v>
      </c>
      <c r="E7043" s="2">
        <f t="shared" si="1049"/>
        <v>43374</v>
      </c>
      <c r="F7043" s="2">
        <f t="shared" si="1050"/>
        <v>44196</v>
      </c>
    </row>
    <row r="7044" spans="1:6" x14ac:dyDescent="0.25">
      <c r="A7044" s="1" t="s">
        <v>869</v>
      </c>
      <c r="B7044" s="1" t="s">
        <v>1076</v>
      </c>
      <c r="C7044" s="1" t="s">
        <v>742</v>
      </c>
      <c r="D7044" s="3">
        <f t="shared" si="1048"/>
        <v>8363</v>
      </c>
      <c r="E7044" s="2">
        <f t="shared" si="1049"/>
        <v>43374</v>
      </c>
      <c r="F7044" s="2">
        <f t="shared" si="1050"/>
        <v>44196</v>
      </c>
    </row>
    <row r="7045" spans="1:6" x14ac:dyDescent="0.25">
      <c r="A7045" s="1" t="s">
        <v>869</v>
      </c>
      <c r="B7045" s="1" t="s">
        <v>1076</v>
      </c>
      <c r="C7045" s="1" t="s">
        <v>258</v>
      </c>
      <c r="D7045" s="3">
        <f t="shared" si="1048"/>
        <v>8363</v>
      </c>
      <c r="E7045" s="2">
        <f t="shared" si="1049"/>
        <v>43374</v>
      </c>
      <c r="F7045" s="2">
        <f t="shared" si="1050"/>
        <v>44196</v>
      </c>
    </row>
    <row r="7046" spans="1:6" x14ac:dyDescent="0.25">
      <c r="A7046" s="1" t="s">
        <v>869</v>
      </c>
      <c r="B7046" s="1" t="s">
        <v>1076</v>
      </c>
      <c r="C7046" s="1" t="s">
        <v>386</v>
      </c>
      <c r="D7046" s="3">
        <f t="shared" si="1048"/>
        <v>8363</v>
      </c>
      <c r="E7046" s="2">
        <f t="shared" si="1049"/>
        <v>43374</v>
      </c>
      <c r="F7046" s="2">
        <f t="shared" si="1050"/>
        <v>44196</v>
      </c>
    </row>
    <row r="7047" spans="1:6" x14ac:dyDescent="0.25">
      <c r="A7047" s="1" t="s">
        <v>869</v>
      </c>
      <c r="B7047" s="1" t="s">
        <v>1076</v>
      </c>
      <c r="C7047" s="1" t="s">
        <v>387</v>
      </c>
      <c r="D7047" s="3">
        <f t="shared" si="1048"/>
        <v>8363</v>
      </c>
      <c r="E7047" s="2">
        <f t="shared" si="1049"/>
        <v>43374</v>
      </c>
      <c r="F7047" s="2">
        <f t="shared" si="1050"/>
        <v>44196</v>
      </c>
    </row>
    <row r="7048" spans="1:6" x14ac:dyDescent="0.25">
      <c r="A7048" s="1" t="s">
        <v>869</v>
      </c>
      <c r="B7048" s="1" t="s">
        <v>1076</v>
      </c>
      <c r="C7048" s="1" t="s">
        <v>73</v>
      </c>
      <c r="D7048" s="3">
        <f t="shared" si="1048"/>
        <v>8363</v>
      </c>
      <c r="E7048" s="2">
        <f t="shared" si="1049"/>
        <v>43374</v>
      </c>
      <c r="F7048" s="2">
        <f t="shared" si="1050"/>
        <v>44196</v>
      </c>
    </row>
    <row r="7049" spans="1:6" x14ac:dyDescent="0.25">
      <c r="A7049" s="1" t="s">
        <v>869</v>
      </c>
      <c r="B7049" s="1" t="s">
        <v>1076</v>
      </c>
      <c r="C7049" s="1" t="s">
        <v>131</v>
      </c>
      <c r="D7049" s="3">
        <f t="shared" si="1048"/>
        <v>8363</v>
      </c>
      <c r="E7049" s="2">
        <f t="shared" si="1049"/>
        <v>43374</v>
      </c>
      <c r="F7049" s="2">
        <f t="shared" si="1050"/>
        <v>44196</v>
      </c>
    </row>
    <row r="7050" spans="1:6" x14ac:dyDescent="0.25">
      <c r="A7050" s="1" t="s">
        <v>869</v>
      </c>
      <c r="B7050" s="1" t="s">
        <v>923</v>
      </c>
      <c r="C7050" s="1" t="s">
        <v>924</v>
      </c>
      <c r="D7050" s="3">
        <f>VALUE("8177")</f>
        <v>8177</v>
      </c>
      <c r="E7050" s="2">
        <f>DATEVALUE("1-9-2018")</f>
        <v>43344</v>
      </c>
      <c r="F7050" s="2">
        <f>DATEVALUE("28-2-2021")</f>
        <v>44255</v>
      </c>
    </row>
    <row r="7051" spans="1:6" x14ac:dyDescent="0.25">
      <c r="A7051" s="1" t="s">
        <v>869</v>
      </c>
      <c r="B7051" s="1" t="s">
        <v>923</v>
      </c>
      <c r="C7051" s="1" t="s">
        <v>198</v>
      </c>
      <c r="D7051" s="3">
        <f>VALUE("8177")</f>
        <v>8177</v>
      </c>
      <c r="E7051" s="2">
        <f>DATEVALUE("1-9-2018")</f>
        <v>43344</v>
      </c>
      <c r="F7051" s="2">
        <f>DATEVALUE("28-2-2021")</f>
        <v>44255</v>
      </c>
    </row>
    <row r="7052" spans="1:6" x14ac:dyDescent="0.25">
      <c r="A7052" s="1" t="s">
        <v>869</v>
      </c>
      <c r="B7052" s="1" t="s">
        <v>938</v>
      </c>
      <c r="C7052" s="1" t="s">
        <v>89</v>
      </c>
      <c r="D7052" s="3">
        <f>VALUE("8210")</f>
        <v>8210</v>
      </c>
      <c r="E7052" s="2">
        <f>DATEVALUE("1-1-2018")</f>
        <v>43101</v>
      </c>
      <c r="F7052" s="2">
        <f>DATEVALUE("30-6-2021")</f>
        <v>44377</v>
      </c>
    </row>
    <row r="7053" spans="1:6" x14ac:dyDescent="0.25">
      <c r="A7053" s="1" t="s">
        <v>869</v>
      </c>
      <c r="B7053" s="1" t="s">
        <v>938</v>
      </c>
      <c r="C7053" s="1" t="s">
        <v>571</v>
      </c>
      <c r="D7053" s="3">
        <f>VALUE("8210")</f>
        <v>8210</v>
      </c>
      <c r="E7053" s="2">
        <f>DATEVALUE("1-1-2018")</f>
        <v>43101</v>
      </c>
      <c r="F7053" s="2">
        <f>DATEVALUE("30-6-2021")</f>
        <v>44377</v>
      </c>
    </row>
    <row r="7054" spans="1:6" x14ac:dyDescent="0.25">
      <c r="A7054" s="1" t="s">
        <v>869</v>
      </c>
      <c r="B7054" s="1" t="s">
        <v>938</v>
      </c>
      <c r="C7054" s="1" t="s">
        <v>573</v>
      </c>
      <c r="D7054" s="3">
        <f>VALUE("8210")</f>
        <v>8210</v>
      </c>
      <c r="E7054" s="2">
        <f>DATEVALUE("1-1-2018")</f>
        <v>43101</v>
      </c>
      <c r="F7054" s="2">
        <f>DATEVALUE("30-6-2021")</f>
        <v>44377</v>
      </c>
    </row>
    <row r="7055" spans="1:6" x14ac:dyDescent="0.25">
      <c r="A7055" s="1" t="s">
        <v>869</v>
      </c>
      <c r="B7055" s="1" t="s">
        <v>938</v>
      </c>
      <c r="C7055" s="1" t="s">
        <v>198</v>
      </c>
      <c r="D7055" s="3">
        <f>VALUE("8210")</f>
        <v>8210</v>
      </c>
      <c r="E7055" s="2">
        <f>DATEVALUE("1-1-2018")</f>
        <v>43101</v>
      </c>
      <c r="F7055" s="2">
        <f>DATEVALUE("30-6-2021")</f>
        <v>44377</v>
      </c>
    </row>
    <row r="7056" spans="1:6" x14ac:dyDescent="0.25">
      <c r="A7056" s="1" t="s">
        <v>869</v>
      </c>
      <c r="B7056" s="1" t="s">
        <v>2204</v>
      </c>
      <c r="C7056" s="1" t="s">
        <v>14</v>
      </c>
      <c r="D7056" s="3">
        <f t="shared" ref="D7056:D7064" si="1051">VALUE("8140")</f>
        <v>8140</v>
      </c>
      <c r="E7056" s="2">
        <f t="shared" ref="E7056:E7064" si="1052">DATEVALUE("1-9-2017")</f>
        <v>42979</v>
      </c>
      <c r="F7056" s="2">
        <f t="shared" ref="F7056:F7064" si="1053">DATEVALUE("31-8-2018")</f>
        <v>43343</v>
      </c>
    </row>
    <row r="7057" spans="1:6" x14ac:dyDescent="0.25">
      <c r="A7057" s="1" t="s">
        <v>869</v>
      </c>
      <c r="B7057" s="1" t="s">
        <v>2204</v>
      </c>
      <c r="C7057" s="1" t="s">
        <v>88</v>
      </c>
      <c r="D7057" s="3">
        <f t="shared" si="1051"/>
        <v>8140</v>
      </c>
      <c r="E7057" s="2">
        <f t="shared" si="1052"/>
        <v>42979</v>
      </c>
      <c r="F7057" s="2">
        <f t="shared" si="1053"/>
        <v>43343</v>
      </c>
    </row>
    <row r="7058" spans="1:6" x14ac:dyDescent="0.25">
      <c r="A7058" s="1" t="s">
        <v>869</v>
      </c>
      <c r="B7058" s="1" t="s">
        <v>2204</v>
      </c>
      <c r="C7058" s="1" t="s">
        <v>89</v>
      </c>
      <c r="D7058" s="3">
        <f t="shared" si="1051"/>
        <v>8140</v>
      </c>
      <c r="E7058" s="2">
        <f t="shared" si="1052"/>
        <v>42979</v>
      </c>
      <c r="F7058" s="2">
        <f t="shared" si="1053"/>
        <v>43343</v>
      </c>
    </row>
    <row r="7059" spans="1:6" x14ac:dyDescent="0.25">
      <c r="A7059" s="1" t="s">
        <v>869</v>
      </c>
      <c r="B7059" s="1" t="s">
        <v>2204</v>
      </c>
      <c r="C7059" s="1" t="s">
        <v>146</v>
      </c>
      <c r="D7059" s="3">
        <f t="shared" si="1051"/>
        <v>8140</v>
      </c>
      <c r="E7059" s="2">
        <f t="shared" si="1052"/>
        <v>42979</v>
      </c>
      <c r="F7059" s="2">
        <f t="shared" si="1053"/>
        <v>43343</v>
      </c>
    </row>
    <row r="7060" spans="1:6" x14ac:dyDescent="0.25">
      <c r="A7060" s="1" t="s">
        <v>869</v>
      </c>
      <c r="B7060" s="1" t="s">
        <v>2204</v>
      </c>
      <c r="C7060" s="1" t="s">
        <v>148</v>
      </c>
      <c r="D7060" s="3">
        <f t="shared" si="1051"/>
        <v>8140</v>
      </c>
      <c r="E7060" s="2">
        <f t="shared" si="1052"/>
        <v>42979</v>
      </c>
      <c r="F7060" s="2">
        <f t="shared" si="1053"/>
        <v>43343</v>
      </c>
    </row>
    <row r="7061" spans="1:6" x14ac:dyDescent="0.25">
      <c r="A7061" s="1" t="s">
        <v>869</v>
      </c>
      <c r="B7061" s="1" t="s">
        <v>2204</v>
      </c>
      <c r="C7061" s="1" t="s">
        <v>571</v>
      </c>
      <c r="D7061" s="3">
        <f t="shared" si="1051"/>
        <v>8140</v>
      </c>
      <c r="E7061" s="2">
        <f t="shared" si="1052"/>
        <v>42979</v>
      </c>
      <c r="F7061" s="2">
        <f t="shared" si="1053"/>
        <v>43343</v>
      </c>
    </row>
    <row r="7062" spans="1:6" x14ac:dyDescent="0.25">
      <c r="A7062" s="1" t="s">
        <v>869</v>
      </c>
      <c r="B7062" s="1" t="s">
        <v>2204</v>
      </c>
      <c r="C7062" s="1" t="s">
        <v>198</v>
      </c>
      <c r="D7062" s="3">
        <f t="shared" si="1051"/>
        <v>8140</v>
      </c>
      <c r="E7062" s="2">
        <f t="shared" si="1052"/>
        <v>42979</v>
      </c>
      <c r="F7062" s="2">
        <f t="shared" si="1053"/>
        <v>43343</v>
      </c>
    </row>
    <row r="7063" spans="1:6" x14ac:dyDescent="0.25">
      <c r="A7063" s="1" t="s">
        <v>869</v>
      </c>
      <c r="B7063" s="1" t="s">
        <v>2204</v>
      </c>
      <c r="C7063" s="1" t="s">
        <v>34</v>
      </c>
      <c r="D7063" s="3">
        <f t="shared" si="1051"/>
        <v>8140</v>
      </c>
      <c r="E7063" s="2">
        <f t="shared" si="1052"/>
        <v>42979</v>
      </c>
      <c r="F7063" s="2">
        <f t="shared" si="1053"/>
        <v>43343</v>
      </c>
    </row>
    <row r="7064" spans="1:6" x14ac:dyDescent="0.25">
      <c r="A7064" s="1" t="s">
        <v>869</v>
      </c>
      <c r="B7064" s="1" t="s">
        <v>2204</v>
      </c>
      <c r="C7064" s="1" t="s">
        <v>170</v>
      </c>
      <c r="D7064" s="3">
        <f t="shared" si="1051"/>
        <v>8140</v>
      </c>
      <c r="E7064" s="2">
        <f t="shared" si="1052"/>
        <v>42979</v>
      </c>
      <c r="F7064" s="2">
        <f t="shared" si="1053"/>
        <v>43343</v>
      </c>
    </row>
    <row r="7065" spans="1:6" x14ac:dyDescent="0.25">
      <c r="A7065" s="1" t="s">
        <v>869</v>
      </c>
      <c r="B7065" s="1" t="s">
        <v>2313</v>
      </c>
      <c r="C7065" s="1" t="s">
        <v>45</v>
      </c>
      <c r="D7065" s="3">
        <f>VALUE("8143")</f>
        <v>8143</v>
      </c>
      <c r="E7065" s="2">
        <f>DATEVALUE("1-8-2017")</f>
        <v>42948</v>
      </c>
      <c r="F7065" s="2">
        <f>DATEVALUE("28-2-2018")</f>
        <v>43159</v>
      </c>
    </row>
    <row r="7066" spans="1:6" x14ac:dyDescent="0.25">
      <c r="A7066" s="1" t="s">
        <v>869</v>
      </c>
      <c r="B7066" s="1" t="s">
        <v>2026</v>
      </c>
      <c r="C7066" s="1" t="s">
        <v>45</v>
      </c>
      <c r="D7066" s="3">
        <f>VALUE("8037")</f>
        <v>8037</v>
      </c>
      <c r="E7066" s="2">
        <f>DATEVALUE("1-2-2017")</f>
        <v>42767</v>
      </c>
      <c r="F7066" s="2">
        <f>DATEVALUE("30-11-2017")</f>
        <v>43069</v>
      </c>
    </row>
    <row r="7067" spans="1:6" x14ac:dyDescent="0.25">
      <c r="A7067" s="1" t="s">
        <v>869</v>
      </c>
      <c r="B7067" s="1" t="s">
        <v>2228</v>
      </c>
      <c r="C7067" s="1" t="s">
        <v>14</v>
      </c>
      <c r="D7067" s="3">
        <f>VALUE("7862")</f>
        <v>7862</v>
      </c>
      <c r="E7067" s="2">
        <f>DATEVALUE("1-4-2016")</f>
        <v>42461</v>
      </c>
      <c r="F7067" s="2">
        <f>DATEVALUE("31-10-2017")</f>
        <v>43039</v>
      </c>
    </row>
    <row r="7068" spans="1:6" x14ac:dyDescent="0.25">
      <c r="A7068" s="1" t="s">
        <v>869</v>
      </c>
      <c r="B7068" s="1" t="s">
        <v>2228</v>
      </c>
      <c r="C7068" s="1" t="s">
        <v>91</v>
      </c>
      <c r="D7068" s="3">
        <f>VALUE("7862")</f>
        <v>7862</v>
      </c>
      <c r="E7068" s="2">
        <f>DATEVALUE("1-4-2016")</f>
        <v>42461</v>
      </c>
      <c r="F7068" s="2">
        <f>DATEVALUE("31-10-2017")</f>
        <v>43039</v>
      </c>
    </row>
    <row r="7069" spans="1:6" x14ac:dyDescent="0.25">
      <c r="A7069" s="1" t="s">
        <v>869</v>
      </c>
      <c r="B7069" s="1" t="s">
        <v>2228</v>
      </c>
      <c r="C7069" s="1" t="s">
        <v>102</v>
      </c>
      <c r="D7069" s="3">
        <f>VALUE("7862")</f>
        <v>7862</v>
      </c>
      <c r="E7069" s="2">
        <f>DATEVALUE("1-4-2016")</f>
        <v>42461</v>
      </c>
      <c r="F7069" s="2">
        <f>DATEVALUE("31-10-2017")</f>
        <v>43039</v>
      </c>
    </row>
    <row r="7070" spans="1:6" x14ac:dyDescent="0.25">
      <c r="A7070" s="1" t="s">
        <v>869</v>
      </c>
      <c r="B7070" s="1" t="s">
        <v>2228</v>
      </c>
      <c r="C7070" s="1" t="s">
        <v>103</v>
      </c>
      <c r="D7070" s="3">
        <f>VALUE("7862")</f>
        <v>7862</v>
      </c>
      <c r="E7070" s="2">
        <f>DATEVALUE("1-4-2016")</f>
        <v>42461</v>
      </c>
      <c r="F7070" s="2">
        <f>DATEVALUE("31-10-2017")</f>
        <v>43039</v>
      </c>
    </row>
    <row r="7071" spans="1:6" x14ac:dyDescent="0.25">
      <c r="A7071" s="1" t="s">
        <v>869</v>
      </c>
      <c r="B7071" s="1" t="s">
        <v>2228</v>
      </c>
      <c r="C7071" s="1" t="s">
        <v>73</v>
      </c>
      <c r="D7071" s="3">
        <f>VALUE("7862")</f>
        <v>7862</v>
      </c>
      <c r="E7071" s="2">
        <f>DATEVALUE("1-4-2016")</f>
        <v>42461</v>
      </c>
      <c r="F7071" s="2">
        <f>DATEVALUE("31-10-2017")</f>
        <v>43039</v>
      </c>
    </row>
    <row r="7072" spans="1:6" x14ac:dyDescent="0.25">
      <c r="A7072" s="1" t="s">
        <v>869</v>
      </c>
      <c r="B7072" s="1" t="s">
        <v>2211</v>
      </c>
      <c r="C7072" s="1" t="s">
        <v>85</v>
      </c>
      <c r="D7072" s="3">
        <f t="shared" ref="D7072:D7077" si="1054">VALUE("7816")</f>
        <v>7816</v>
      </c>
      <c r="E7072" s="2">
        <f t="shared" ref="E7072:E7077" si="1055">DATEVALUE("1-11-2015")</f>
        <v>42309</v>
      </c>
      <c r="F7072" s="2">
        <f t="shared" ref="F7072:F7077" si="1056">DATEVALUE("31-5-2016")</f>
        <v>42521</v>
      </c>
    </row>
    <row r="7073" spans="1:6" x14ac:dyDescent="0.25">
      <c r="A7073" s="1" t="s">
        <v>869</v>
      </c>
      <c r="B7073" s="1" t="s">
        <v>2211</v>
      </c>
      <c r="C7073" s="1" t="s">
        <v>84</v>
      </c>
      <c r="D7073" s="3">
        <f t="shared" si="1054"/>
        <v>7816</v>
      </c>
      <c r="E7073" s="2">
        <f t="shared" si="1055"/>
        <v>42309</v>
      </c>
      <c r="F7073" s="2">
        <f t="shared" si="1056"/>
        <v>42521</v>
      </c>
    </row>
    <row r="7074" spans="1:6" x14ac:dyDescent="0.25">
      <c r="A7074" s="1" t="s">
        <v>869</v>
      </c>
      <c r="B7074" s="1" t="s">
        <v>2211</v>
      </c>
      <c r="C7074" s="1" t="s">
        <v>15</v>
      </c>
      <c r="D7074" s="3">
        <f t="shared" si="1054"/>
        <v>7816</v>
      </c>
      <c r="E7074" s="2">
        <f t="shared" si="1055"/>
        <v>42309</v>
      </c>
      <c r="F7074" s="2">
        <f t="shared" si="1056"/>
        <v>42521</v>
      </c>
    </row>
    <row r="7075" spans="1:6" x14ac:dyDescent="0.25">
      <c r="A7075" s="1" t="s">
        <v>869</v>
      </c>
      <c r="B7075" s="1" t="s">
        <v>2211</v>
      </c>
      <c r="C7075" s="1" t="s">
        <v>168</v>
      </c>
      <c r="D7075" s="3">
        <f t="shared" si="1054"/>
        <v>7816</v>
      </c>
      <c r="E7075" s="2">
        <f t="shared" si="1055"/>
        <v>42309</v>
      </c>
      <c r="F7075" s="2">
        <f t="shared" si="1056"/>
        <v>42521</v>
      </c>
    </row>
    <row r="7076" spans="1:6" x14ac:dyDescent="0.25">
      <c r="A7076" s="1" t="s">
        <v>869</v>
      </c>
      <c r="B7076" s="1" t="s">
        <v>2211</v>
      </c>
      <c r="C7076" s="1" t="s">
        <v>148</v>
      </c>
      <c r="D7076" s="3">
        <f t="shared" si="1054"/>
        <v>7816</v>
      </c>
      <c r="E7076" s="2">
        <f t="shared" si="1055"/>
        <v>42309</v>
      </c>
      <c r="F7076" s="2">
        <f t="shared" si="1056"/>
        <v>42521</v>
      </c>
    </row>
    <row r="7077" spans="1:6" x14ac:dyDescent="0.25">
      <c r="A7077" s="1" t="s">
        <v>869</v>
      </c>
      <c r="B7077" s="1" t="s">
        <v>2211</v>
      </c>
      <c r="C7077" s="1" t="s">
        <v>320</v>
      </c>
      <c r="D7077" s="3">
        <f t="shared" si="1054"/>
        <v>7816</v>
      </c>
      <c r="E7077" s="2">
        <f t="shared" si="1055"/>
        <v>42309</v>
      </c>
      <c r="F7077" s="2">
        <f t="shared" si="1056"/>
        <v>42521</v>
      </c>
    </row>
    <row r="7078" spans="1:6" x14ac:dyDescent="0.25">
      <c r="A7078" s="1" t="s">
        <v>869</v>
      </c>
      <c r="B7078" s="1" t="s">
        <v>1987</v>
      </c>
      <c r="C7078" s="1" t="s">
        <v>14</v>
      </c>
      <c r="D7078" s="3">
        <f t="shared" ref="D7078:D7085" si="1057">VALUE("7775")</f>
        <v>7775</v>
      </c>
      <c r="E7078" s="2">
        <f t="shared" ref="E7078:E7085" si="1058">DATEVALUE("1-10-2015")</f>
        <v>42278</v>
      </c>
      <c r="F7078" s="2">
        <f t="shared" ref="F7078:F7085" si="1059">DATEVALUE("30-6-2017")</f>
        <v>42916</v>
      </c>
    </row>
    <row r="7079" spans="1:6" x14ac:dyDescent="0.25">
      <c r="A7079" s="1" t="s">
        <v>869</v>
      </c>
      <c r="B7079" s="1" t="s">
        <v>1987</v>
      </c>
      <c r="C7079" s="1" t="s">
        <v>17</v>
      </c>
      <c r="D7079" s="3">
        <f t="shared" si="1057"/>
        <v>7775</v>
      </c>
      <c r="E7079" s="2">
        <f t="shared" si="1058"/>
        <v>42278</v>
      </c>
      <c r="F7079" s="2">
        <f t="shared" si="1059"/>
        <v>42916</v>
      </c>
    </row>
    <row r="7080" spans="1:6" x14ac:dyDescent="0.25">
      <c r="A7080" s="1" t="s">
        <v>869</v>
      </c>
      <c r="B7080" s="1" t="s">
        <v>1987</v>
      </c>
      <c r="C7080" s="1" t="s">
        <v>148</v>
      </c>
      <c r="D7080" s="3">
        <f t="shared" si="1057"/>
        <v>7775</v>
      </c>
      <c r="E7080" s="2">
        <f t="shared" si="1058"/>
        <v>42278</v>
      </c>
      <c r="F7080" s="2">
        <f t="shared" si="1059"/>
        <v>42916</v>
      </c>
    </row>
    <row r="7081" spans="1:6" x14ac:dyDescent="0.25">
      <c r="A7081" s="1" t="s">
        <v>869</v>
      </c>
      <c r="B7081" s="1" t="s">
        <v>1987</v>
      </c>
      <c r="C7081" s="1" t="s">
        <v>320</v>
      </c>
      <c r="D7081" s="3">
        <f t="shared" si="1057"/>
        <v>7775</v>
      </c>
      <c r="E7081" s="2">
        <f t="shared" si="1058"/>
        <v>42278</v>
      </c>
      <c r="F7081" s="2">
        <f t="shared" si="1059"/>
        <v>42916</v>
      </c>
    </row>
    <row r="7082" spans="1:6" x14ac:dyDescent="0.25">
      <c r="A7082" s="1" t="s">
        <v>869</v>
      </c>
      <c r="B7082" s="1" t="s">
        <v>1987</v>
      </c>
      <c r="C7082" s="1" t="s">
        <v>24</v>
      </c>
      <c r="D7082" s="3">
        <f t="shared" si="1057"/>
        <v>7775</v>
      </c>
      <c r="E7082" s="2">
        <f t="shared" si="1058"/>
        <v>42278</v>
      </c>
      <c r="F7082" s="2">
        <f t="shared" si="1059"/>
        <v>42916</v>
      </c>
    </row>
    <row r="7083" spans="1:6" x14ac:dyDescent="0.25">
      <c r="A7083" s="1" t="s">
        <v>869</v>
      </c>
      <c r="B7083" s="1" t="s">
        <v>1987</v>
      </c>
      <c r="C7083" s="1" t="s">
        <v>73</v>
      </c>
      <c r="D7083" s="3">
        <f t="shared" si="1057"/>
        <v>7775</v>
      </c>
      <c r="E7083" s="2">
        <f t="shared" si="1058"/>
        <v>42278</v>
      </c>
      <c r="F7083" s="2">
        <f t="shared" si="1059"/>
        <v>42916</v>
      </c>
    </row>
    <row r="7084" spans="1:6" x14ac:dyDescent="0.25">
      <c r="A7084" s="1" t="s">
        <v>869</v>
      </c>
      <c r="B7084" s="1" t="s">
        <v>1987</v>
      </c>
      <c r="C7084" s="1" t="s">
        <v>34</v>
      </c>
      <c r="D7084" s="3">
        <f t="shared" si="1057"/>
        <v>7775</v>
      </c>
      <c r="E7084" s="2">
        <f t="shared" si="1058"/>
        <v>42278</v>
      </c>
      <c r="F7084" s="2">
        <f t="shared" si="1059"/>
        <v>42916</v>
      </c>
    </row>
    <row r="7085" spans="1:6" x14ac:dyDescent="0.25">
      <c r="A7085" s="1" t="s">
        <v>869</v>
      </c>
      <c r="B7085" s="1" t="s">
        <v>1987</v>
      </c>
      <c r="C7085" s="1" t="s">
        <v>55</v>
      </c>
      <c r="D7085" s="3">
        <f t="shared" si="1057"/>
        <v>7775</v>
      </c>
      <c r="E7085" s="2">
        <f t="shared" si="1058"/>
        <v>42278</v>
      </c>
      <c r="F7085" s="2">
        <f t="shared" si="1059"/>
        <v>42916</v>
      </c>
    </row>
    <row r="7086" spans="1:6" x14ac:dyDescent="0.25">
      <c r="A7086" s="1" t="s">
        <v>869</v>
      </c>
      <c r="B7086" s="1" t="s">
        <v>1738</v>
      </c>
      <c r="C7086" s="1" t="s">
        <v>46</v>
      </c>
      <c r="D7086" s="3">
        <f t="shared" ref="D7086:D7092" si="1060">VALUE("7774")</f>
        <v>7774</v>
      </c>
      <c r="E7086" s="2">
        <f t="shared" ref="E7086:E7092" si="1061">DATEVALUE("1-9-2015")</f>
        <v>42248</v>
      </c>
      <c r="F7086" s="2">
        <f t="shared" ref="F7086:F7092" si="1062">DATEVALUE("30-6-2016")</f>
        <v>42551</v>
      </c>
    </row>
    <row r="7087" spans="1:6" x14ac:dyDescent="0.25">
      <c r="A7087" s="1" t="s">
        <v>869</v>
      </c>
      <c r="B7087" s="1" t="s">
        <v>1738</v>
      </c>
      <c r="C7087" s="1" t="s">
        <v>14</v>
      </c>
      <c r="D7087" s="3">
        <f t="shared" si="1060"/>
        <v>7774</v>
      </c>
      <c r="E7087" s="2">
        <f t="shared" si="1061"/>
        <v>42248</v>
      </c>
      <c r="F7087" s="2">
        <f t="shared" si="1062"/>
        <v>42551</v>
      </c>
    </row>
    <row r="7088" spans="1:6" x14ac:dyDescent="0.25">
      <c r="A7088" s="1" t="s">
        <v>869</v>
      </c>
      <c r="B7088" s="1" t="s">
        <v>1738</v>
      </c>
      <c r="C7088" s="1" t="s">
        <v>17</v>
      </c>
      <c r="D7088" s="3">
        <f t="shared" si="1060"/>
        <v>7774</v>
      </c>
      <c r="E7088" s="2">
        <f t="shared" si="1061"/>
        <v>42248</v>
      </c>
      <c r="F7088" s="2">
        <f t="shared" si="1062"/>
        <v>42551</v>
      </c>
    </row>
    <row r="7089" spans="1:6" x14ac:dyDescent="0.25">
      <c r="A7089" s="1" t="s">
        <v>869</v>
      </c>
      <c r="B7089" s="1" t="s">
        <v>1738</v>
      </c>
      <c r="C7089" s="1" t="s">
        <v>148</v>
      </c>
      <c r="D7089" s="3">
        <f t="shared" si="1060"/>
        <v>7774</v>
      </c>
      <c r="E7089" s="2">
        <f t="shared" si="1061"/>
        <v>42248</v>
      </c>
      <c r="F7089" s="2">
        <f t="shared" si="1062"/>
        <v>42551</v>
      </c>
    </row>
    <row r="7090" spans="1:6" x14ac:dyDescent="0.25">
      <c r="A7090" s="1" t="s">
        <v>869</v>
      </c>
      <c r="B7090" s="1" t="s">
        <v>1738</v>
      </c>
      <c r="C7090" s="1" t="s">
        <v>149</v>
      </c>
      <c r="D7090" s="3">
        <f t="shared" si="1060"/>
        <v>7774</v>
      </c>
      <c r="E7090" s="2">
        <f t="shared" si="1061"/>
        <v>42248</v>
      </c>
      <c r="F7090" s="2">
        <f t="shared" si="1062"/>
        <v>42551</v>
      </c>
    </row>
    <row r="7091" spans="1:6" x14ac:dyDescent="0.25">
      <c r="A7091" s="1" t="s">
        <v>869</v>
      </c>
      <c r="B7091" s="1" t="s">
        <v>1738</v>
      </c>
      <c r="C7091" s="1" t="s">
        <v>320</v>
      </c>
      <c r="D7091" s="3">
        <f t="shared" si="1060"/>
        <v>7774</v>
      </c>
      <c r="E7091" s="2">
        <f t="shared" si="1061"/>
        <v>42248</v>
      </c>
      <c r="F7091" s="2">
        <f t="shared" si="1062"/>
        <v>42551</v>
      </c>
    </row>
    <row r="7092" spans="1:6" x14ac:dyDescent="0.25">
      <c r="A7092" s="1" t="s">
        <v>869</v>
      </c>
      <c r="B7092" s="1" t="s">
        <v>1738</v>
      </c>
      <c r="C7092" s="1" t="s">
        <v>73</v>
      </c>
      <c r="D7092" s="3">
        <f t="shared" si="1060"/>
        <v>7774</v>
      </c>
      <c r="E7092" s="2">
        <f t="shared" si="1061"/>
        <v>42248</v>
      </c>
      <c r="F7092" s="2">
        <f t="shared" si="1062"/>
        <v>42551</v>
      </c>
    </row>
    <row r="7093" spans="1:6" x14ac:dyDescent="0.25">
      <c r="A7093" s="1" t="s">
        <v>869</v>
      </c>
      <c r="B7093" s="1" t="s">
        <v>2186</v>
      </c>
      <c r="C7093" s="1" t="s">
        <v>14</v>
      </c>
      <c r="D7093" s="3">
        <f t="shared" ref="D7093:D7099" si="1063">VALUE("7726")</f>
        <v>7726</v>
      </c>
      <c r="E7093" s="2">
        <f t="shared" ref="E7093:E7099" si="1064">DATEVALUE("1-2-2015")</f>
        <v>42036</v>
      </c>
      <c r="F7093" s="2">
        <f t="shared" ref="F7093:F7099" si="1065">DATEVALUE("31-7-2016")</f>
        <v>42582</v>
      </c>
    </row>
    <row r="7094" spans="1:6" x14ac:dyDescent="0.25">
      <c r="A7094" s="1" t="s">
        <v>869</v>
      </c>
      <c r="B7094" s="1" t="s">
        <v>2186</v>
      </c>
      <c r="C7094" s="1" t="s">
        <v>17</v>
      </c>
      <c r="D7094" s="3">
        <f t="shared" si="1063"/>
        <v>7726</v>
      </c>
      <c r="E7094" s="2">
        <f t="shared" si="1064"/>
        <v>42036</v>
      </c>
      <c r="F7094" s="2">
        <f t="shared" si="1065"/>
        <v>42582</v>
      </c>
    </row>
    <row r="7095" spans="1:6" x14ac:dyDescent="0.25">
      <c r="A7095" s="1" t="s">
        <v>869</v>
      </c>
      <c r="B7095" s="1" t="s">
        <v>2186</v>
      </c>
      <c r="C7095" s="1" t="s">
        <v>148</v>
      </c>
      <c r="D7095" s="3">
        <f t="shared" si="1063"/>
        <v>7726</v>
      </c>
      <c r="E7095" s="2">
        <f t="shared" si="1064"/>
        <v>42036</v>
      </c>
      <c r="F7095" s="2">
        <f t="shared" si="1065"/>
        <v>42582</v>
      </c>
    </row>
    <row r="7096" spans="1:6" x14ac:dyDescent="0.25">
      <c r="A7096" s="1" t="s">
        <v>869</v>
      </c>
      <c r="B7096" s="1" t="s">
        <v>2186</v>
      </c>
      <c r="C7096" s="1" t="s">
        <v>149</v>
      </c>
      <c r="D7096" s="3">
        <f t="shared" si="1063"/>
        <v>7726</v>
      </c>
      <c r="E7096" s="2">
        <f t="shared" si="1064"/>
        <v>42036</v>
      </c>
      <c r="F7096" s="2">
        <f t="shared" si="1065"/>
        <v>42582</v>
      </c>
    </row>
    <row r="7097" spans="1:6" x14ac:dyDescent="0.25">
      <c r="A7097" s="1" t="s">
        <v>869</v>
      </c>
      <c r="B7097" s="1" t="s">
        <v>2186</v>
      </c>
      <c r="C7097" s="1" t="s">
        <v>320</v>
      </c>
      <c r="D7097" s="3">
        <f t="shared" si="1063"/>
        <v>7726</v>
      </c>
      <c r="E7097" s="2">
        <f t="shared" si="1064"/>
        <v>42036</v>
      </c>
      <c r="F7097" s="2">
        <f t="shared" si="1065"/>
        <v>42582</v>
      </c>
    </row>
    <row r="7098" spans="1:6" x14ac:dyDescent="0.25">
      <c r="A7098" s="1" t="s">
        <v>869</v>
      </c>
      <c r="B7098" s="1" t="s">
        <v>2186</v>
      </c>
      <c r="C7098" s="1" t="s">
        <v>24</v>
      </c>
      <c r="D7098" s="3">
        <f t="shared" si="1063"/>
        <v>7726</v>
      </c>
      <c r="E7098" s="2">
        <f t="shared" si="1064"/>
        <v>42036</v>
      </c>
      <c r="F7098" s="2">
        <f t="shared" si="1065"/>
        <v>42582</v>
      </c>
    </row>
    <row r="7099" spans="1:6" x14ac:dyDescent="0.25">
      <c r="A7099" s="1" t="s">
        <v>869</v>
      </c>
      <c r="B7099" s="1" t="s">
        <v>2186</v>
      </c>
      <c r="C7099" s="1" t="s">
        <v>34</v>
      </c>
      <c r="D7099" s="3">
        <f t="shared" si="1063"/>
        <v>7726</v>
      </c>
      <c r="E7099" s="2">
        <f t="shared" si="1064"/>
        <v>42036</v>
      </c>
      <c r="F7099" s="2">
        <f t="shared" si="1065"/>
        <v>42582</v>
      </c>
    </row>
    <row r="7100" spans="1:6" x14ac:dyDescent="0.25">
      <c r="A7100" s="1" t="s">
        <v>869</v>
      </c>
      <c r="B7100" s="1" t="s">
        <v>2682</v>
      </c>
      <c r="C7100" s="1" t="s">
        <v>325</v>
      </c>
      <c r="D7100" s="3">
        <f t="shared" ref="D7100:D7107" si="1066">VALUE("7375")</f>
        <v>7375</v>
      </c>
      <c r="E7100" s="2">
        <f t="shared" ref="E7100:E7107" si="1067">DATEVALUE("1-9-2012")</f>
        <v>41153</v>
      </c>
      <c r="F7100" s="2">
        <f t="shared" ref="F7100:F7107" si="1068">DATEVALUE("30-6-2013")</f>
        <v>41455</v>
      </c>
    </row>
    <row r="7101" spans="1:6" x14ac:dyDescent="0.25">
      <c r="A7101" s="1" t="s">
        <v>869</v>
      </c>
      <c r="B7101" s="1" t="s">
        <v>2682</v>
      </c>
      <c r="C7101" s="1" t="s">
        <v>46</v>
      </c>
      <c r="D7101" s="3">
        <f t="shared" si="1066"/>
        <v>7375</v>
      </c>
      <c r="E7101" s="2">
        <f t="shared" si="1067"/>
        <v>41153</v>
      </c>
      <c r="F7101" s="2">
        <f t="shared" si="1068"/>
        <v>41455</v>
      </c>
    </row>
    <row r="7102" spans="1:6" x14ac:dyDescent="0.25">
      <c r="A7102" s="1" t="s">
        <v>869</v>
      </c>
      <c r="B7102" s="1" t="s">
        <v>2682</v>
      </c>
      <c r="C7102" s="1" t="s">
        <v>15</v>
      </c>
      <c r="D7102" s="3">
        <f t="shared" si="1066"/>
        <v>7375</v>
      </c>
      <c r="E7102" s="2">
        <f t="shared" si="1067"/>
        <v>41153</v>
      </c>
      <c r="F7102" s="2">
        <f t="shared" si="1068"/>
        <v>41455</v>
      </c>
    </row>
    <row r="7103" spans="1:6" x14ac:dyDescent="0.25">
      <c r="A7103" s="1" t="s">
        <v>869</v>
      </c>
      <c r="B7103" s="1" t="s">
        <v>2682</v>
      </c>
      <c r="C7103" s="1" t="s">
        <v>17</v>
      </c>
      <c r="D7103" s="3">
        <f t="shared" si="1066"/>
        <v>7375</v>
      </c>
      <c r="E7103" s="2">
        <f t="shared" si="1067"/>
        <v>41153</v>
      </c>
      <c r="F7103" s="2">
        <f t="shared" si="1068"/>
        <v>41455</v>
      </c>
    </row>
    <row r="7104" spans="1:6" x14ac:dyDescent="0.25">
      <c r="A7104" s="1" t="s">
        <v>869</v>
      </c>
      <c r="B7104" s="1" t="s">
        <v>2682</v>
      </c>
      <c r="C7104" s="1" t="s">
        <v>148</v>
      </c>
      <c r="D7104" s="3">
        <f t="shared" si="1066"/>
        <v>7375</v>
      </c>
      <c r="E7104" s="2">
        <f t="shared" si="1067"/>
        <v>41153</v>
      </c>
      <c r="F7104" s="2">
        <f t="shared" si="1068"/>
        <v>41455</v>
      </c>
    </row>
    <row r="7105" spans="1:6" x14ac:dyDescent="0.25">
      <c r="A7105" s="1" t="s">
        <v>869</v>
      </c>
      <c r="B7105" s="1" t="s">
        <v>2682</v>
      </c>
      <c r="C7105" s="1" t="s">
        <v>149</v>
      </c>
      <c r="D7105" s="3">
        <f t="shared" si="1066"/>
        <v>7375</v>
      </c>
      <c r="E7105" s="2">
        <f t="shared" si="1067"/>
        <v>41153</v>
      </c>
      <c r="F7105" s="2">
        <f t="shared" si="1068"/>
        <v>41455</v>
      </c>
    </row>
    <row r="7106" spans="1:6" x14ac:dyDescent="0.25">
      <c r="A7106" s="1" t="s">
        <v>869</v>
      </c>
      <c r="B7106" s="1" t="s">
        <v>2682</v>
      </c>
      <c r="C7106" s="1" t="s">
        <v>216</v>
      </c>
      <c r="D7106" s="3">
        <f t="shared" si="1066"/>
        <v>7375</v>
      </c>
      <c r="E7106" s="2">
        <f t="shared" si="1067"/>
        <v>41153</v>
      </c>
      <c r="F7106" s="2">
        <f t="shared" si="1068"/>
        <v>41455</v>
      </c>
    </row>
    <row r="7107" spans="1:6" x14ac:dyDescent="0.25">
      <c r="A7107" s="1" t="s">
        <v>869</v>
      </c>
      <c r="B7107" s="1" t="s">
        <v>2682</v>
      </c>
      <c r="C7107" s="1" t="s">
        <v>134</v>
      </c>
      <c r="D7107" s="3">
        <f t="shared" si="1066"/>
        <v>7375</v>
      </c>
      <c r="E7107" s="2">
        <f t="shared" si="1067"/>
        <v>41153</v>
      </c>
      <c r="F7107" s="2">
        <f t="shared" si="1068"/>
        <v>41455</v>
      </c>
    </row>
    <row r="7108" spans="1:6" x14ac:dyDescent="0.25">
      <c r="A7108" s="1" t="s">
        <v>869</v>
      </c>
      <c r="B7108" s="1" t="s">
        <v>2651</v>
      </c>
      <c r="C7108" s="1" t="s">
        <v>15</v>
      </c>
      <c r="D7108" s="3">
        <f t="shared" ref="D7108:D7113" si="1069">VALUE("7297")</f>
        <v>7297</v>
      </c>
      <c r="E7108" s="2">
        <f t="shared" ref="E7108:E7113" si="1070">DATEVALUE("1-4-2012")</f>
        <v>41000</v>
      </c>
      <c r="F7108" s="2">
        <f t="shared" ref="F7108:F7113" si="1071">DATEVALUE("30-6-2014")</f>
        <v>41820</v>
      </c>
    </row>
    <row r="7109" spans="1:6" x14ac:dyDescent="0.25">
      <c r="A7109" s="1" t="s">
        <v>869</v>
      </c>
      <c r="B7109" s="1" t="s">
        <v>2651</v>
      </c>
      <c r="C7109" s="1" t="s">
        <v>148</v>
      </c>
      <c r="D7109" s="3">
        <f t="shared" si="1069"/>
        <v>7297</v>
      </c>
      <c r="E7109" s="2">
        <f t="shared" si="1070"/>
        <v>41000</v>
      </c>
      <c r="F7109" s="2">
        <f t="shared" si="1071"/>
        <v>41820</v>
      </c>
    </row>
    <row r="7110" spans="1:6" x14ac:dyDescent="0.25">
      <c r="A7110" s="1" t="s">
        <v>869</v>
      </c>
      <c r="B7110" s="1" t="s">
        <v>2651</v>
      </c>
      <c r="C7110" s="1" t="s">
        <v>320</v>
      </c>
      <c r="D7110" s="3">
        <f t="shared" si="1069"/>
        <v>7297</v>
      </c>
      <c r="E7110" s="2">
        <f t="shared" si="1070"/>
        <v>41000</v>
      </c>
      <c r="F7110" s="2">
        <f t="shared" si="1071"/>
        <v>41820</v>
      </c>
    </row>
    <row r="7111" spans="1:6" x14ac:dyDescent="0.25">
      <c r="A7111" s="1" t="s">
        <v>869</v>
      </c>
      <c r="B7111" s="1" t="s">
        <v>2651</v>
      </c>
      <c r="C7111" s="1" t="s">
        <v>25</v>
      </c>
      <c r="D7111" s="3">
        <f t="shared" si="1069"/>
        <v>7297</v>
      </c>
      <c r="E7111" s="2">
        <f t="shared" si="1070"/>
        <v>41000</v>
      </c>
      <c r="F7111" s="2">
        <f t="shared" si="1071"/>
        <v>41820</v>
      </c>
    </row>
    <row r="7112" spans="1:6" x14ac:dyDescent="0.25">
      <c r="A7112" s="1" t="s">
        <v>869</v>
      </c>
      <c r="B7112" s="1" t="s">
        <v>2651</v>
      </c>
      <c r="C7112" s="1" t="s">
        <v>73</v>
      </c>
      <c r="D7112" s="3">
        <f t="shared" si="1069"/>
        <v>7297</v>
      </c>
      <c r="E7112" s="2">
        <f t="shared" si="1070"/>
        <v>41000</v>
      </c>
      <c r="F7112" s="2">
        <f t="shared" si="1071"/>
        <v>41820</v>
      </c>
    </row>
    <row r="7113" spans="1:6" x14ac:dyDescent="0.25">
      <c r="A7113" s="1" t="s">
        <v>869</v>
      </c>
      <c r="B7113" s="1" t="s">
        <v>2651</v>
      </c>
      <c r="C7113" s="1" t="s">
        <v>161</v>
      </c>
      <c r="D7113" s="3">
        <f t="shared" si="1069"/>
        <v>7297</v>
      </c>
      <c r="E7113" s="2">
        <f t="shared" si="1070"/>
        <v>41000</v>
      </c>
      <c r="F7113" s="2">
        <f t="shared" si="1071"/>
        <v>41820</v>
      </c>
    </row>
    <row r="7114" spans="1:6" x14ac:dyDescent="0.25">
      <c r="A7114" s="1" t="s">
        <v>869</v>
      </c>
      <c r="B7114" s="1" t="s">
        <v>2125</v>
      </c>
      <c r="C7114" s="1" t="s">
        <v>80</v>
      </c>
      <c r="D7114" s="3">
        <f t="shared" ref="D7114:D7127" si="1072">VALUE("7273")</f>
        <v>7273</v>
      </c>
      <c r="E7114" s="2">
        <f t="shared" ref="E7114:E7127" si="1073">DATEVALUE("1-2-2012")</f>
        <v>40940</v>
      </c>
      <c r="F7114" s="2">
        <f t="shared" ref="F7114:F7127" si="1074">DATEVALUE("31-3-2016")</f>
        <v>42460</v>
      </c>
    </row>
    <row r="7115" spans="1:6" x14ac:dyDescent="0.25">
      <c r="A7115" s="1" t="s">
        <v>869</v>
      </c>
      <c r="B7115" s="1" t="s">
        <v>2125</v>
      </c>
      <c r="C7115" s="1" t="s">
        <v>409</v>
      </c>
      <c r="D7115" s="3">
        <f t="shared" si="1072"/>
        <v>7273</v>
      </c>
      <c r="E7115" s="2">
        <f t="shared" si="1073"/>
        <v>40940</v>
      </c>
      <c r="F7115" s="2">
        <f t="shared" si="1074"/>
        <v>42460</v>
      </c>
    </row>
    <row r="7116" spans="1:6" x14ac:dyDescent="0.25">
      <c r="A7116" s="1" t="s">
        <v>869</v>
      </c>
      <c r="B7116" s="1" t="s">
        <v>2125</v>
      </c>
      <c r="C7116" s="1" t="s">
        <v>10</v>
      </c>
      <c r="D7116" s="3">
        <f t="shared" si="1072"/>
        <v>7273</v>
      </c>
      <c r="E7116" s="2">
        <f t="shared" si="1073"/>
        <v>40940</v>
      </c>
      <c r="F7116" s="2">
        <f t="shared" si="1074"/>
        <v>42460</v>
      </c>
    </row>
    <row r="7117" spans="1:6" x14ac:dyDescent="0.25">
      <c r="A7117" s="1" t="s">
        <v>869</v>
      </c>
      <c r="B7117" s="1" t="s">
        <v>2125</v>
      </c>
      <c r="C7117" s="1" t="s">
        <v>83</v>
      </c>
      <c r="D7117" s="3">
        <f t="shared" si="1072"/>
        <v>7273</v>
      </c>
      <c r="E7117" s="2">
        <f t="shared" si="1073"/>
        <v>40940</v>
      </c>
      <c r="F7117" s="2">
        <f t="shared" si="1074"/>
        <v>42460</v>
      </c>
    </row>
    <row r="7118" spans="1:6" x14ac:dyDescent="0.25">
      <c r="A7118" s="1" t="s">
        <v>869</v>
      </c>
      <c r="B7118" s="1" t="s">
        <v>2125</v>
      </c>
      <c r="C7118" s="1" t="s">
        <v>327</v>
      </c>
      <c r="D7118" s="3">
        <f t="shared" si="1072"/>
        <v>7273</v>
      </c>
      <c r="E7118" s="2">
        <f t="shared" si="1073"/>
        <v>40940</v>
      </c>
      <c r="F7118" s="2">
        <f t="shared" si="1074"/>
        <v>42460</v>
      </c>
    </row>
    <row r="7119" spans="1:6" x14ac:dyDescent="0.25">
      <c r="A7119" s="1" t="s">
        <v>869</v>
      </c>
      <c r="B7119" s="1" t="s">
        <v>2125</v>
      </c>
      <c r="C7119" s="1" t="s">
        <v>148</v>
      </c>
      <c r="D7119" s="3">
        <f t="shared" si="1072"/>
        <v>7273</v>
      </c>
      <c r="E7119" s="2">
        <f t="shared" si="1073"/>
        <v>40940</v>
      </c>
      <c r="F7119" s="2">
        <f t="shared" si="1074"/>
        <v>42460</v>
      </c>
    </row>
    <row r="7120" spans="1:6" x14ac:dyDescent="0.25">
      <c r="A7120" s="1" t="s">
        <v>869</v>
      </c>
      <c r="B7120" s="1" t="s">
        <v>2125</v>
      </c>
      <c r="C7120" s="1" t="s">
        <v>320</v>
      </c>
      <c r="D7120" s="3">
        <f t="shared" si="1072"/>
        <v>7273</v>
      </c>
      <c r="E7120" s="2">
        <f t="shared" si="1073"/>
        <v>40940</v>
      </c>
      <c r="F7120" s="2">
        <f t="shared" si="1074"/>
        <v>42460</v>
      </c>
    </row>
    <row r="7121" spans="1:6" x14ac:dyDescent="0.25">
      <c r="A7121" s="1" t="s">
        <v>869</v>
      </c>
      <c r="B7121" s="1" t="s">
        <v>2125</v>
      </c>
      <c r="C7121" s="1" t="s">
        <v>93</v>
      </c>
      <c r="D7121" s="3">
        <f t="shared" si="1072"/>
        <v>7273</v>
      </c>
      <c r="E7121" s="2">
        <f t="shared" si="1073"/>
        <v>40940</v>
      </c>
      <c r="F7121" s="2">
        <f t="shared" si="1074"/>
        <v>42460</v>
      </c>
    </row>
    <row r="7122" spans="1:6" x14ac:dyDescent="0.25">
      <c r="A7122" s="1" t="s">
        <v>869</v>
      </c>
      <c r="B7122" s="1" t="s">
        <v>2125</v>
      </c>
      <c r="C7122" s="1" t="s">
        <v>177</v>
      </c>
      <c r="D7122" s="3">
        <f t="shared" si="1072"/>
        <v>7273</v>
      </c>
      <c r="E7122" s="2">
        <f t="shared" si="1073"/>
        <v>40940</v>
      </c>
      <c r="F7122" s="2">
        <f t="shared" si="1074"/>
        <v>42460</v>
      </c>
    </row>
    <row r="7123" spans="1:6" x14ac:dyDescent="0.25">
      <c r="A7123" s="1" t="s">
        <v>869</v>
      </c>
      <c r="B7123" s="1" t="s">
        <v>2125</v>
      </c>
      <c r="C7123" s="1" t="s">
        <v>97</v>
      </c>
      <c r="D7123" s="3">
        <f t="shared" si="1072"/>
        <v>7273</v>
      </c>
      <c r="E7123" s="2">
        <f t="shared" si="1073"/>
        <v>40940</v>
      </c>
      <c r="F7123" s="2">
        <f t="shared" si="1074"/>
        <v>42460</v>
      </c>
    </row>
    <row r="7124" spans="1:6" x14ac:dyDescent="0.25">
      <c r="A7124" s="1" t="s">
        <v>869</v>
      </c>
      <c r="B7124" s="1" t="s">
        <v>2125</v>
      </c>
      <c r="C7124" s="1" t="s">
        <v>98</v>
      </c>
      <c r="D7124" s="3">
        <f t="shared" si="1072"/>
        <v>7273</v>
      </c>
      <c r="E7124" s="2">
        <f t="shared" si="1073"/>
        <v>40940</v>
      </c>
      <c r="F7124" s="2">
        <f t="shared" si="1074"/>
        <v>42460</v>
      </c>
    </row>
    <row r="7125" spans="1:6" x14ac:dyDescent="0.25">
      <c r="A7125" s="1" t="s">
        <v>869</v>
      </c>
      <c r="B7125" s="1" t="s">
        <v>2125</v>
      </c>
      <c r="C7125" s="1" t="s">
        <v>114</v>
      </c>
      <c r="D7125" s="3">
        <f t="shared" si="1072"/>
        <v>7273</v>
      </c>
      <c r="E7125" s="2">
        <f t="shared" si="1073"/>
        <v>40940</v>
      </c>
      <c r="F7125" s="2">
        <f t="shared" si="1074"/>
        <v>42460</v>
      </c>
    </row>
    <row r="7126" spans="1:6" x14ac:dyDescent="0.25">
      <c r="A7126" s="1" t="s">
        <v>869</v>
      </c>
      <c r="B7126" s="1" t="s">
        <v>2125</v>
      </c>
      <c r="C7126" s="1" t="s">
        <v>116</v>
      </c>
      <c r="D7126" s="3">
        <f t="shared" si="1072"/>
        <v>7273</v>
      </c>
      <c r="E7126" s="2">
        <f t="shared" si="1073"/>
        <v>40940</v>
      </c>
      <c r="F7126" s="2">
        <f t="shared" si="1074"/>
        <v>42460</v>
      </c>
    </row>
    <row r="7127" spans="1:6" x14ac:dyDescent="0.25">
      <c r="A7127" s="1" t="s">
        <v>869</v>
      </c>
      <c r="B7127" s="1" t="s">
        <v>2125</v>
      </c>
      <c r="C7127" s="1" t="s">
        <v>36</v>
      </c>
      <c r="D7127" s="3">
        <f t="shared" si="1072"/>
        <v>7273</v>
      </c>
      <c r="E7127" s="2">
        <f t="shared" si="1073"/>
        <v>40940</v>
      </c>
      <c r="F7127" s="2">
        <f t="shared" si="1074"/>
        <v>42460</v>
      </c>
    </row>
    <row r="7128" spans="1:6" x14ac:dyDescent="0.25">
      <c r="A7128" s="1" t="s">
        <v>869</v>
      </c>
      <c r="B7128" s="1" t="s">
        <v>2641</v>
      </c>
      <c r="C7128" s="1" t="s">
        <v>80</v>
      </c>
      <c r="D7128" s="3">
        <f t="shared" ref="D7128:D7137" si="1075">VALUE("7276")</f>
        <v>7276</v>
      </c>
      <c r="E7128" s="2">
        <f t="shared" ref="E7128:E7137" si="1076">DATEVALUE("1-12-2011")</f>
        <v>40878</v>
      </c>
      <c r="F7128" s="2">
        <f t="shared" ref="F7128:F7137" si="1077">DATEVALUE("31-7-2012")</f>
        <v>41121</v>
      </c>
    </row>
    <row r="7129" spans="1:6" x14ac:dyDescent="0.25">
      <c r="A7129" s="1" t="s">
        <v>869</v>
      </c>
      <c r="B7129" s="1" t="s">
        <v>2641</v>
      </c>
      <c r="C7129" s="1" t="s">
        <v>8</v>
      </c>
      <c r="D7129" s="3">
        <f t="shared" si="1075"/>
        <v>7276</v>
      </c>
      <c r="E7129" s="2">
        <f t="shared" si="1076"/>
        <v>40878</v>
      </c>
      <c r="F7129" s="2">
        <f t="shared" si="1077"/>
        <v>41121</v>
      </c>
    </row>
    <row r="7130" spans="1:6" x14ac:dyDescent="0.25">
      <c r="A7130" s="1" t="s">
        <v>869</v>
      </c>
      <c r="B7130" s="1" t="s">
        <v>2641</v>
      </c>
      <c r="C7130" s="1" t="s">
        <v>10</v>
      </c>
      <c r="D7130" s="3">
        <f t="shared" si="1075"/>
        <v>7276</v>
      </c>
      <c r="E7130" s="2">
        <f t="shared" si="1076"/>
        <v>40878</v>
      </c>
      <c r="F7130" s="2">
        <f t="shared" si="1077"/>
        <v>41121</v>
      </c>
    </row>
    <row r="7131" spans="1:6" x14ac:dyDescent="0.25">
      <c r="A7131" s="1" t="s">
        <v>869</v>
      </c>
      <c r="B7131" s="1" t="s">
        <v>2641</v>
      </c>
      <c r="C7131" s="1" t="s">
        <v>11</v>
      </c>
      <c r="D7131" s="3">
        <f t="shared" si="1075"/>
        <v>7276</v>
      </c>
      <c r="E7131" s="2">
        <f t="shared" si="1076"/>
        <v>40878</v>
      </c>
      <c r="F7131" s="2">
        <f t="shared" si="1077"/>
        <v>41121</v>
      </c>
    </row>
    <row r="7132" spans="1:6" x14ac:dyDescent="0.25">
      <c r="A7132" s="1" t="s">
        <v>869</v>
      </c>
      <c r="B7132" s="1" t="s">
        <v>2641</v>
      </c>
      <c r="C7132" s="1" t="s">
        <v>320</v>
      </c>
      <c r="D7132" s="3">
        <f t="shared" si="1075"/>
        <v>7276</v>
      </c>
      <c r="E7132" s="2">
        <f t="shared" si="1076"/>
        <v>40878</v>
      </c>
      <c r="F7132" s="2">
        <f t="shared" si="1077"/>
        <v>41121</v>
      </c>
    </row>
    <row r="7133" spans="1:6" x14ac:dyDescent="0.25">
      <c r="A7133" s="1" t="s">
        <v>869</v>
      </c>
      <c r="B7133" s="1" t="s">
        <v>2641</v>
      </c>
      <c r="C7133" s="1" t="s">
        <v>69</v>
      </c>
      <c r="D7133" s="3">
        <f t="shared" si="1075"/>
        <v>7276</v>
      </c>
      <c r="E7133" s="2">
        <f t="shared" si="1076"/>
        <v>40878</v>
      </c>
      <c r="F7133" s="2">
        <f t="shared" si="1077"/>
        <v>41121</v>
      </c>
    </row>
    <row r="7134" spans="1:6" x14ac:dyDescent="0.25">
      <c r="A7134" s="1" t="s">
        <v>869</v>
      </c>
      <c r="B7134" s="1" t="s">
        <v>2641</v>
      </c>
      <c r="C7134" s="1" t="s">
        <v>102</v>
      </c>
      <c r="D7134" s="3">
        <f t="shared" si="1075"/>
        <v>7276</v>
      </c>
      <c r="E7134" s="2">
        <f t="shared" si="1076"/>
        <v>40878</v>
      </c>
      <c r="F7134" s="2">
        <f t="shared" si="1077"/>
        <v>41121</v>
      </c>
    </row>
    <row r="7135" spans="1:6" x14ac:dyDescent="0.25">
      <c r="A7135" s="1" t="s">
        <v>869</v>
      </c>
      <c r="B7135" s="1" t="s">
        <v>2641</v>
      </c>
      <c r="C7135" s="1" t="s">
        <v>103</v>
      </c>
      <c r="D7135" s="3">
        <f t="shared" si="1075"/>
        <v>7276</v>
      </c>
      <c r="E7135" s="2">
        <f t="shared" si="1076"/>
        <v>40878</v>
      </c>
      <c r="F7135" s="2">
        <f t="shared" si="1077"/>
        <v>41121</v>
      </c>
    </row>
    <row r="7136" spans="1:6" x14ac:dyDescent="0.25">
      <c r="A7136" s="1" t="s">
        <v>869</v>
      </c>
      <c r="B7136" s="1" t="s">
        <v>2641</v>
      </c>
      <c r="C7136" s="1" t="s">
        <v>121</v>
      </c>
      <c r="D7136" s="3">
        <f t="shared" si="1075"/>
        <v>7276</v>
      </c>
      <c r="E7136" s="2">
        <f t="shared" si="1076"/>
        <v>40878</v>
      </c>
      <c r="F7136" s="2">
        <f t="shared" si="1077"/>
        <v>41121</v>
      </c>
    </row>
    <row r="7137" spans="1:6" x14ac:dyDescent="0.25">
      <c r="A7137" s="1" t="s">
        <v>869</v>
      </c>
      <c r="B7137" s="1" t="s">
        <v>2641</v>
      </c>
      <c r="C7137" s="1" t="s">
        <v>36</v>
      </c>
      <c r="D7137" s="3">
        <f t="shared" si="1075"/>
        <v>7276</v>
      </c>
      <c r="E7137" s="2">
        <f t="shared" si="1076"/>
        <v>40878</v>
      </c>
      <c r="F7137" s="2">
        <f t="shared" si="1077"/>
        <v>41121</v>
      </c>
    </row>
    <row r="7138" spans="1:6" x14ac:dyDescent="0.25">
      <c r="A7138" s="1" t="s">
        <v>869</v>
      </c>
      <c r="B7138" s="1" t="s">
        <v>2580</v>
      </c>
      <c r="C7138" s="1" t="s">
        <v>80</v>
      </c>
      <c r="D7138" s="3">
        <f t="shared" ref="D7138:D7143" si="1078">VALUE("7135")</f>
        <v>7135</v>
      </c>
      <c r="E7138" s="2">
        <f t="shared" ref="E7138:E7143" si="1079">DATEVALUE("1-4-2011")</f>
        <v>40634</v>
      </c>
      <c r="F7138" s="2">
        <f t="shared" ref="F7138:F7143" si="1080">DATEVALUE("31-12-2012")</f>
        <v>41274</v>
      </c>
    </row>
    <row r="7139" spans="1:6" x14ac:dyDescent="0.25">
      <c r="A7139" s="1" t="s">
        <v>869</v>
      </c>
      <c r="B7139" s="1" t="s">
        <v>2580</v>
      </c>
      <c r="C7139" s="1" t="s">
        <v>39</v>
      </c>
      <c r="D7139" s="3">
        <f t="shared" si="1078"/>
        <v>7135</v>
      </c>
      <c r="E7139" s="2">
        <f t="shared" si="1079"/>
        <v>40634</v>
      </c>
      <c r="F7139" s="2">
        <f t="shared" si="1080"/>
        <v>41274</v>
      </c>
    </row>
    <row r="7140" spans="1:6" x14ac:dyDescent="0.25">
      <c r="A7140" s="1" t="s">
        <v>869</v>
      </c>
      <c r="B7140" s="1" t="s">
        <v>2580</v>
      </c>
      <c r="C7140" s="1" t="s">
        <v>126</v>
      </c>
      <c r="D7140" s="3">
        <f t="shared" si="1078"/>
        <v>7135</v>
      </c>
      <c r="E7140" s="2">
        <f t="shared" si="1079"/>
        <v>40634</v>
      </c>
      <c r="F7140" s="2">
        <f t="shared" si="1080"/>
        <v>41274</v>
      </c>
    </row>
    <row r="7141" spans="1:6" x14ac:dyDescent="0.25">
      <c r="A7141" s="1" t="s">
        <v>869</v>
      </c>
      <c r="B7141" s="1" t="s">
        <v>2580</v>
      </c>
      <c r="C7141" s="1" t="s">
        <v>15</v>
      </c>
      <c r="D7141" s="3">
        <f t="shared" si="1078"/>
        <v>7135</v>
      </c>
      <c r="E7141" s="2">
        <f t="shared" si="1079"/>
        <v>40634</v>
      </c>
      <c r="F7141" s="2">
        <f t="shared" si="1080"/>
        <v>41274</v>
      </c>
    </row>
    <row r="7142" spans="1:6" x14ac:dyDescent="0.25">
      <c r="A7142" s="1" t="s">
        <v>869</v>
      </c>
      <c r="B7142" s="1" t="s">
        <v>2580</v>
      </c>
      <c r="C7142" s="1" t="s">
        <v>106</v>
      </c>
      <c r="D7142" s="3">
        <f t="shared" si="1078"/>
        <v>7135</v>
      </c>
      <c r="E7142" s="2">
        <f t="shared" si="1079"/>
        <v>40634</v>
      </c>
      <c r="F7142" s="2">
        <f t="shared" si="1080"/>
        <v>41274</v>
      </c>
    </row>
    <row r="7143" spans="1:6" x14ac:dyDescent="0.25">
      <c r="A7143" s="1" t="s">
        <v>869</v>
      </c>
      <c r="B7143" s="1" t="s">
        <v>2580</v>
      </c>
      <c r="C7143" s="1" t="s">
        <v>134</v>
      </c>
      <c r="D7143" s="3">
        <f t="shared" si="1078"/>
        <v>7135</v>
      </c>
      <c r="E7143" s="2">
        <f t="shared" si="1079"/>
        <v>40634</v>
      </c>
      <c r="F7143" s="2">
        <f t="shared" si="1080"/>
        <v>41274</v>
      </c>
    </row>
    <row r="7144" spans="1:6" x14ac:dyDescent="0.25">
      <c r="A7144" s="1" t="s">
        <v>166</v>
      </c>
      <c r="B7144" s="1" t="s">
        <v>165</v>
      </c>
      <c r="C7144" s="1" t="s">
        <v>125</v>
      </c>
      <c r="D7144" s="3">
        <f t="shared" ref="D7144:D7165" si="1081">VALUE("7012")</f>
        <v>7012</v>
      </c>
      <c r="E7144" s="2">
        <f t="shared" ref="E7144:E7165" si="1082">DATEVALUE("1-4-2009")</f>
        <v>39904</v>
      </c>
      <c r="F7144" s="2">
        <f t="shared" ref="F7144:F7165" si="1083">DATEVALUE("31-12-2024")</f>
        <v>45657</v>
      </c>
    </row>
    <row r="7145" spans="1:6" x14ac:dyDescent="0.25">
      <c r="A7145" s="1" t="s">
        <v>166</v>
      </c>
      <c r="B7145" s="1" t="s">
        <v>165</v>
      </c>
      <c r="C7145" s="1" t="s">
        <v>126</v>
      </c>
      <c r="D7145" s="3">
        <f t="shared" si="1081"/>
        <v>7012</v>
      </c>
      <c r="E7145" s="2">
        <f t="shared" si="1082"/>
        <v>39904</v>
      </c>
      <c r="F7145" s="2">
        <f t="shared" si="1083"/>
        <v>45657</v>
      </c>
    </row>
    <row r="7146" spans="1:6" x14ac:dyDescent="0.25">
      <c r="A7146" s="1" t="s">
        <v>166</v>
      </c>
      <c r="B7146" s="1" t="s">
        <v>165</v>
      </c>
      <c r="C7146" s="1" t="s">
        <v>85</v>
      </c>
      <c r="D7146" s="3">
        <f t="shared" si="1081"/>
        <v>7012</v>
      </c>
      <c r="E7146" s="2">
        <f t="shared" si="1082"/>
        <v>39904</v>
      </c>
      <c r="F7146" s="2">
        <f t="shared" si="1083"/>
        <v>45657</v>
      </c>
    </row>
    <row r="7147" spans="1:6" x14ac:dyDescent="0.25">
      <c r="A7147" s="1" t="s">
        <v>166</v>
      </c>
      <c r="B7147" s="1" t="s">
        <v>165</v>
      </c>
      <c r="C7147" s="1" t="s">
        <v>84</v>
      </c>
      <c r="D7147" s="3">
        <f t="shared" si="1081"/>
        <v>7012</v>
      </c>
      <c r="E7147" s="2">
        <f t="shared" si="1082"/>
        <v>39904</v>
      </c>
      <c r="F7147" s="2">
        <f t="shared" si="1083"/>
        <v>45657</v>
      </c>
    </row>
    <row r="7148" spans="1:6" x14ac:dyDescent="0.25">
      <c r="A7148" s="1" t="s">
        <v>166</v>
      </c>
      <c r="B7148" s="1" t="s">
        <v>165</v>
      </c>
      <c r="C7148" s="1" t="s">
        <v>46</v>
      </c>
      <c r="D7148" s="3">
        <f t="shared" si="1081"/>
        <v>7012</v>
      </c>
      <c r="E7148" s="2">
        <f t="shared" si="1082"/>
        <v>39904</v>
      </c>
      <c r="F7148" s="2">
        <f t="shared" si="1083"/>
        <v>45657</v>
      </c>
    </row>
    <row r="7149" spans="1:6" x14ac:dyDescent="0.25">
      <c r="A7149" s="1" t="s">
        <v>166</v>
      </c>
      <c r="B7149" s="1" t="s">
        <v>165</v>
      </c>
      <c r="C7149" s="1" t="s">
        <v>87</v>
      </c>
      <c r="D7149" s="3">
        <f t="shared" si="1081"/>
        <v>7012</v>
      </c>
      <c r="E7149" s="2">
        <f t="shared" si="1082"/>
        <v>39904</v>
      </c>
      <c r="F7149" s="2">
        <f t="shared" si="1083"/>
        <v>45657</v>
      </c>
    </row>
    <row r="7150" spans="1:6" x14ac:dyDescent="0.25">
      <c r="A7150" s="1" t="s">
        <v>166</v>
      </c>
      <c r="B7150" s="1" t="s">
        <v>165</v>
      </c>
      <c r="C7150" s="1" t="s">
        <v>14</v>
      </c>
      <c r="D7150" s="3">
        <f t="shared" si="1081"/>
        <v>7012</v>
      </c>
      <c r="E7150" s="2">
        <f t="shared" si="1082"/>
        <v>39904</v>
      </c>
      <c r="F7150" s="2">
        <f t="shared" si="1083"/>
        <v>45657</v>
      </c>
    </row>
    <row r="7151" spans="1:6" x14ac:dyDescent="0.25">
      <c r="A7151" s="1" t="s">
        <v>166</v>
      </c>
      <c r="B7151" s="1" t="s">
        <v>165</v>
      </c>
      <c r="C7151" s="1" t="s">
        <v>15</v>
      </c>
      <c r="D7151" s="3">
        <f t="shared" si="1081"/>
        <v>7012</v>
      </c>
      <c r="E7151" s="2">
        <f t="shared" si="1082"/>
        <v>39904</v>
      </c>
      <c r="F7151" s="2">
        <f t="shared" si="1083"/>
        <v>45657</v>
      </c>
    </row>
    <row r="7152" spans="1:6" x14ac:dyDescent="0.25">
      <c r="A7152" s="1" t="s">
        <v>166</v>
      </c>
      <c r="B7152" s="1" t="s">
        <v>165</v>
      </c>
      <c r="C7152" s="1" t="s">
        <v>16</v>
      </c>
      <c r="D7152" s="3">
        <f t="shared" si="1081"/>
        <v>7012</v>
      </c>
      <c r="E7152" s="2">
        <f t="shared" si="1082"/>
        <v>39904</v>
      </c>
      <c r="F7152" s="2">
        <f t="shared" si="1083"/>
        <v>45657</v>
      </c>
    </row>
    <row r="7153" spans="1:6" x14ac:dyDescent="0.25">
      <c r="A7153" s="1" t="s">
        <v>166</v>
      </c>
      <c r="B7153" s="1" t="s">
        <v>165</v>
      </c>
      <c r="C7153" s="1" t="s">
        <v>89</v>
      </c>
      <c r="D7153" s="3">
        <f t="shared" si="1081"/>
        <v>7012</v>
      </c>
      <c r="E7153" s="2">
        <f t="shared" si="1082"/>
        <v>39904</v>
      </c>
      <c r="F7153" s="2">
        <f t="shared" si="1083"/>
        <v>45657</v>
      </c>
    </row>
    <row r="7154" spans="1:6" x14ac:dyDescent="0.25">
      <c r="A7154" s="1" t="s">
        <v>166</v>
      </c>
      <c r="B7154" s="1" t="s">
        <v>165</v>
      </c>
      <c r="C7154" s="1" t="s">
        <v>17</v>
      </c>
      <c r="D7154" s="3">
        <f t="shared" si="1081"/>
        <v>7012</v>
      </c>
      <c r="E7154" s="2">
        <f t="shared" si="1082"/>
        <v>39904</v>
      </c>
      <c r="F7154" s="2">
        <f t="shared" si="1083"/>
        <v>45657</v>
      </c>
    </row>
    <row r="7155" spans="1:6" x14ac:dyDescent="0.25">
      <c r="A7155" s="1" t="s">
        <v>166</v>
      </c>
      <c r="B7155" s="1" t="s">
        <v>165</v>
      </c>
      <c r="C7155" s="1" t="s">
        <v>127</v>
      </c>
      <c r="D7155" s="3">
        <f t="shared" si="1081"/>
        <v>7012</v>
      </c>
      <c r="E7155" s="2">
        <f t="shared" si="1082"/>
        <v>39904</v>
      </c>
      <c r="F7155" s="2">
        <f t="shared" si="1083"/>
        <v>45657</v>
      </c>
    </row>
    <row r="7156" spans="1:6" x14ac:dyDescent="0.25">
      <c r="A7156" s="1" t="s">
        <v>166</v>
      </c>
      <c r="B7156" s="1" t="s">
        <v>165</v>
      </c>
      <c r="C7156" s="1" t="s">
        <v>167</v>
      </c>
      <c r="D7156" s="3">
        <f t="shared" si="1081"/>
        <v>7012</v>
      </c>
      <c r="E7156" s="2">
        <f t="shared" si="1082"/>
        <v>39904</v>
      </c>
      <c r="F7156" s="2">
        <f t="shared" si="1083"/>
        <v>45657</v>
      </c>
    </row>
    <row r="7157" spans="1:6" x14ac:dyDescent="0.25">
      <c r="A7157" s="1" t="s">
        <v>166</v>
      </c>
      <c r="B7157" s="1" t="s">
        <v>165</v>
      </c>
      <c r="C7157" s="1" t="s">
        <v>168</v>
      </c>
      <c r="D7157" s="3">
        <f t="shared" si="1081"/>
        <v>7012</v>
      </c>
      <c r="E7157" s="2">
        <f t="shared" si="1082"/>
        <v>39904</v>
      </c>
      <c r="F7157" s="2">
        <f t="shared" si="1083"/>
        <v>45657</v>
      </c>
    </row>
    <row r="7158" spans="1:6" x14ac:dyDescent="0.25">
      <c r="A7158" s="1" t="s">
        <v>166</v>
      </c>
      <c r="B7158" s="1" t="s">
        <v>165</v>
      </c>
      <c r="C7158" s="1" t="s">
        <v>67</v>
      </c>
      <c r="D7158" s="3">
        <f t="shared" si="1081"/>
        <v>7012</v>
      </c>
      <c r="E7158" s="2">
        <f t="shared" si="1082"/>
        <v>39904</v>
      </c>
      <c r="F7158" s="2">
        <f t="shared" si="1083"/>
        <v>45657</v>
      </c>
    </row>
    <row r="7159" spans="1:6" x14ac:dyDescent="0.25">
      <c r="A7159" s="1" t="s">
        <v>166</v>
      </c>
      <c r="B7159" s="1" t="s">
        <v>165</v>
      </c>
      <c r="C7159" s="1" t="s">
        <v>149</v>
      </c>
      <c r="D7159" s="3">
        <f t="shared" si="1081"/>
        <v>7012</v>
      </c>
      <c r="E7159" s="2">
        <f t="shared" si="1082"/>
        <v>39904</v>
      </c>
      <c r="F7159" s="2">
        <f t="shared" si="1083"/>
        <v>45657</v>
      </c>
    </row>
    <row r="7160" spans="1:6" x14ac:dyDescent="0.25">
      <c r="A7160" s="1" t="s">
        <v>166</v>
      </c>
      <c r="B7160" s="1" t="s">
        <v>165</v>
      </c>
      <c r="C7160" s="1" t="s">
        <v>94</v>
      </c>
      <c r="D7160" s="3">
        <f t="shared" si="1081"/>
        <v>7012</v>
      </c>
      <c r="E7160" s="2">
        <f t="shared" si="1082"/>
        <v>39904</v>
      </c>
      <c r="F7160" s="2">
        <f t="shared" si="1083"/>
        <v>45657</v>
      </c>
    </row>
    <row r="7161" spans="1:6" x14ac:dyDescent="0.25">
      <c r="A7161" s="1" t="s">
        <v>166</v>
      </c>
      <c r="B7161" s="1" t="s">
        <v>165</v>
      </c>
      <c r="C7161" s="1" t="s">
        <v>73</v>
      </c>
      <c r="D7161" s="3">
        <f t="shared" si="1081"/>
        <v>7012</v>
      </c>
      <c r="E7161" s="2">
        <f t="shared" si="1082"/>
        <v>39904</v>
      </c>
      <c r="F7161" s="2">
        <f t="shared" si="1083"/>
        <v>45657</v>
      </c>
    </row>
    <row r="7162" spans="1:6" x14ac:dyDescent="0.25">
      <c r="A7162" s="1" t="s">
        <v>166</v>
      </c>
      <c r="B7162" s="1" t="s">
        <v>165</v>
      </c>
      <c r="C7162" s="1" t="s">
        <v>133</v>
      </c>
      <c r="D7162" s="3">
        <f t="shared" si="1081"/>
        <v>7012</v>
      </c>
      <c r="E7162" s="2">
        <f t="shared" si="1082"/>
        <v>39904</v>
      </c>
      <c r="F7162" s="2">
        <f t="shared" si="1083"/>
        <v>45657</v>
      </c>
    </row>
    <row r="7163" spans="1:6" x14ac:dyDescent="0.25">
      <c r="A7163" s="1" t="s">
        <v>166</v>
      </c>
      <c r="B7163" s="1" t="s">
        <v>165</v>
      </c>
      <c r="C7163" s="1" t="s">
        <v>134</v>
      </c>
      <c r="D7163" s="3">
        <f t="shared" si="1081"/>
        <v>7012</v>
      </c>
      <c r="E7163" s="2">
        <f t="shared" si="1082"/>
        <v>39904</v>
      </c>
      <c r="F7163" s="2">
        <f t="shared" si="1083"/>
        <v>45657</v>
      </c>
    </row>
    <row r="7164" spans="1:6" x14ac:dyDescent="0.25">
      <c r="A7164" s="1" t="s">
        <v>166</v>
      </c>
      <c r="B7164" s="1" t="s">
        <v>165</v>
      </c>
      <c r="C7164" s="1" t="s">
        <v>169</v>
      </c>
      <c r="D7164" s="3">
        <f t="shared" si="1081"/>
        <v>7012</v>
      </c>
      <c r="E7164" s="2">
        <f t="shared" si="1082"/>
        <v>39904</v>
      </c>
      <c r="F7164" s="2">
        <f t="shared" si="1083"/>
        <v>45657</v>
      </c>
    </row>
    <row r="7165" spans="1:6" x14ac:dyDescent="0.25">
      <c r="A7165" s="1" t="s">
        <v>166</v>
      </c>
      <c r="B7165" s="1" t="s">
        <v>165</v>
      </c>
      <c r="C7165" s="1" t="s">
        <v>170</v>
      </c>
      <c r="D7165" s="3">
        <f t="shared" si="1081"/>
        <v>7012</v>
      </c>
      <c r="E7165" s="2">
        <f t="shared" si="1082"/>
        <v>39904</v>
      </c>
      <c r="F7165" s="2">
        <f t="shared" si="1083"/>
        <v>45657</v>
      </c>
    </row>
    <row r="7166" spans="1:6" x14ac:dyDescent="0.25">
      <c r="A7166" s="1" t="s">
        <v>455</v>
      </c>
      <c r="B7166" s="1" t="s">
        <v>976</v>
      </c>
      <c r="C7166" s="1" t="s">
        <v>39</v>
      </c>
      <c r="D7166" s="3">
        <f t="shared" ref="D7166:D7197" si="1084">VALUE("8264")</f>
        <v>8264</v>
      </c>
      <c r="E7166" s="2">
        <f t="shared" ref="E7166:E7197" si="1085">DATEVALUE("1-3-2018")</f>
        <v>43160</v>
      </c>
      <c r="F7166" s="2">
        <f t="shared" ref="F7166:F7197" si="1086">DATEVALUE("28-2-2021")</f>
        <v>44255</v>
      </c>
    </row>
    <row r="7167" spans="1:6" x14ac:dyDescent="0.25">
      <c r="A7167" s="1" t="s">
        <v>455</v>
      </c>
      <c r="B7167" s="1" t="s">
        <v>976</v>
      </c>
      <c r="C7167" s="1" t="s">
        <v>43</v>
      </c>
      <c r="D7167" s="3">
        <f t="shared" si="1084"/>
        <v>8264</v>
      </c>
      <c r="E7167" s="2">
        <f t="shared" si="1085"/>
        <v>43160</v>
      </c>
      <c r="F7167" s="2">
        <f t="shared" si="1086"/>
        <v>44255</v>
      </c>
    </row>
    <row r="7168" spans="1:6" x14ac:dyDescent="0.25">
      <c r="A7168" s="1" t="s">
        <v>455</v>
      </c>
      <c r="B7168" s="1" t="s">
        <v>976</v>
      </c>
      <c r="C7168" s="1" t="s">
        <v>485</v>
      </c>
      <c r="D7168" s="3">
        <f t="shared" si="1084"/>
        <v>8264</v>
      </c>
      <c r="E7168" s="2">
        <f t="shared" si="1085"/>
        <v>43160</v>
      </c>
      <c r="F7168" s="2">
        <f t="shared" si="1086"/>
        <v>44255</v>
      </c>
    </row>
    <row r="7169" spans="1:6" x14ac:dyDescent="0.25">
      <c r="A7169" s="1" t="s">
        <v>455</v>
      </c>
      <c r="B7169" s="1" t="s">
        <v>976</v>
      </c>
      <c r="C7169" s="1" t="s">
        <v>14</v>
      </c>
      <c r="D7169" s="3">
        <f t="shared" si="1084"/>
        <v>8264</v>
      </c>
      <c r="E7169" s="2">
        <f t="shared" si="1085"/>
        <v>43160</v>
      </c>
      <c r="F7169" s="2">
        <f t="shared" si="1086"/>
        <v>44255</v>
      </c>
    </row>
    <row r="7170" spans="1:6" x14ac:dyDescent="0.25">
      <c r="A7170" s="1" t="s">
        <v>455</v>
      </c>
      <c r="B7170" s="1" t="s">
        <v>976</v>
      </c>
      <c r="C7170" s="1" t="s">
        <v>15</v>
      </c>
      <c r="D7170" s="3">
        <f t="shared" si="1084"/>
        <v>8264</v>
      </c>
      <c r="E7170" s="2">
        <f t="shared" si="1085"/>
        <v>43160</v>
      </c>
      <c r="F7170" s="2">
        <f t="shared" si="1086"/>
        <v>44255</v>
      </c>
    </row>
    <row r="7171" spans="1:6" x14ac:dyDescent="0.25">
      <c r="A7171" s="1" t="s">
        <v>455</v>
      </c>
      <c r="B7171" s="1" t="s">
        <v>976</v>
      </c>
      <c r="C7171" s="1" t="s">
        <v>17</v>
      </c>
      <c r="D7171" s="3">
        <f t="shared" si="1084"/>
        <v>8264</v>
      </c>
      <c r="E7171" s="2">
        <f t="shared" si="1085"/>
        <v>43160</v>
      </c>
      <c r="F7171" s="2">
        <f t="shared" si="1086"/>
        <v>44255</v>
      </c>
    </row>
    <row r="7172" spans="1:6" x14ac:dyDescent="0.25">
      <c r="A7172" s="1" t="s">
        <v>455</v>
      </c>
      <c r="B7172" s="1" t="s">
        <v>976</v>
      </c>
      <c r="C7172" s="1" t="s">
        <v>18</v>
      </c>
      <c r="D7172" s="3">
        <f t="shared" si="1084"/>
        <v>8264</v>
      </c>
      <c r="E7172" s="2">
        <f t="shared" si="1085"/>
        <v>43160</v>
      </c>
      <c r="F7172" s="2">
        <f t="shared" si="1086"/>
        <v>44255</v>
      </c>
    </row>
    <row r="7173" spans="1:6" x14ac:dyDescent="0.25">
      <c r="A7173" s="1" t="s">
        <v>455</v>
      </c>
      <c r="B7173" s="1" t="s">
        <v>976</v>
      </c>
      <c r="C7173" s="1" t="s">
        <v>977</v>
      </c>
      <c r="D7173" s="3">
        <f t="shared" si="1084"/>
        <v>8264</v>
      </c>
      <c r="E7173" s="2">
        <f t="shared" si="1085"/>
        <v>43160</v>
      </c>
      <c r="F7173" s="2">
        <f t="shared" si="1086"/>
        <v>44255</v>
      </c>
    </row>
    <row r="7174" spans="1:6" x14ac:dyDescent="0.25">
      <c r="A7174" s="1" t="s">
        <v>455</v>
      </c>
      <c r="B7174" s="1" t="s">
        <v>976</v>
      </c>
      <c r="C7174" s="1" t="s">
        <v>127</v>
      </c>
      <c r="D7174" s="3">
        <f t="shared" si="1084"/>
        <v>8264</v>
      </c>
      <c r="E7174" s="2">
        <f t="shared" si="1085"/>
        <v>43160</v>
      </c>
      <c r="F7174" s="2">
        <f t="shared" si="1086"/>
        <v>44255</v>
      </c>
    </row>
    <row r="7175" spans="1:6" x14ac:dyDescent="0.25">
      <c r="A7175" s="1" t="s">
        <v>455</v>
      </c>
      <c r="B7175" s="1" t="s">
        <v>976</v>
      </c>
      <c r="C7175" s="1" t="s">
        <v>167</v>
      </c>
      <c r="D7175" s="3">
        <f t="shared" si="1084"/>
        <v>8264</v>
      </c>
      <c r="E7175" s="2">
        <f t="shared" si="1085"/>
        <v>43160</v>
      </c>
      <c r="F7175" s="2">
        <f t="shared" si="1086"/>
        <v>44255</v>
      </c>
    </row>
    <row r="7176" spans="1:6" x14ac:dyDescent="0.25">
      <c r="A7176" s="1" t="s">
        <v>455</v>
      </c>
      <c r="B7176" s="1" t="s">
        <v>976</v>
      </c>
      <c r="C7176" s="1" t="s">
        <v>488</v>
      </c>
      <c r="D7176" s="3">
        <f t="shared" si="1084"/>
        <v>8264</v>
      </c>
      <c r="E7176" s="2">
        <f t="shared" si="1085"/>
        <v>43160</v>
      </c>
      <c r="F7176" s="2">
        <f t="shared" si="1086"/>
        <v>44255</v>
      </c>
    </row>
    <row r="7177" spans="1:6" x14ac:dyDescent="0.25">
      <c r="A7177" s="1" t="s">
        <v>455</v>
      </c>
      <c r="B7177" s="1" t="s">
        <v>976</v>
      </c>
      <c r="C7177" s="1" t="s">
        <v>291</v>
      </c>
      <c r="D7177" s="3">
        <f t="shared" si="1084"/>
        <v>8264</v>
      </c>
      <c r="E7177" s="2">
        <f t="shared" si="1085"/>
        <v>43160</v>
      </c>
      <c r="F7177" s="2">
        <f t="shared" si="1086"/>
        <v>44255</v>
      </c>
    </row>
    <row r="7178" spans="1:6" x14ac:dyDescent="0.25">
      <c r="A7178" s="1" t="s">
        <v>455</v>
      </c>
      <c r="B7178" s="1" t="s">
        <v>976</v>
      </c>
      <c r="C7178" s="1" t="s">
        <v>417</v>
      </c>
      <c r="D7178" s="3">
        <f t="shared" si="1084"/>
        <v>8264</v>
      </c>
      <c r="E7178" s="2">
        <f t="shared" si="1085"/>
        <v>43160</v>
      </c>
      <c r="F7178" s="2">
        <f t="shared" si="1086"/>
        <v>44255</v>
      </c>
    </row>
    <row r="7179" spans="1:6" x14ac:dyDescent="0.25">
      <c r="A7179" s="1" t="s">
        <v>455</v>
      </c>
      <c r="B7179" s="1" t="s">
        <v>976</v>
      </c>
      <c r="C7179" s="1" t="s">
        <v>146</v>
      </c>
      <c r="D7179" s="3">
        <f t="shared" si="1084"/>
        <v>8264</v>
      </c>
      <c r="E7179" s="2">
        <f t="shared" si="1085"/>
        <v>43160</v>
      </c>
      <c r="F7179" s="2">
        <f t="shared" si="1086"/>
        <v>44255</v>
      </c>
    </row>
    <row r="7180" spans="1:6" x14ac:dyDescent="0.25">
      <c r="A7180" s="1" t="s">
        <v>455</v>
      </c>
      <c r="B7180" s="1" t="s">
        <v>976</v>
      </c>
      <c r="C7180" s="1" t="s">
        <v>67</v>
      </c>
      <c r="D7180" s="3">
        <f t="shared" si="1084"/>
        <v>8264</v>
      </c>
      <c r="E7180" s="2">
        <f t="shared" si="1085"/>
        <v>43160</v>
      </c>
      <c r="F7180" s="2">
        <f t="shared" si="1086"/>
        <v>44255</v>
      </c>
    </row>
    <row r="7181" spans="1:6" x14ac:dyDescent="0.25">
      <c r="A7181" s="1" t="s">
        <v>455</v>
      </c>
      <c r="B7181" s="1" t="s">
        <v>976</v>
      </c>
      <c r="C7181" s="1" t="s">
        <v>147</v>
      </c>
      <c r="D7181" s="3">
        <f t="shared" si="1084"/>
        <v>8264</v>
      </c>
      <c r="E7181" s="2">
        <f t="shared" si="1085"/>
        <v>43160</v>
      </c>
      <c r="F7181" s="2">
        <f t="shared" si="1086"/>
        <v>44255</v>
      </c>
    </row>
    <row r="7182" spans="1:6" x14ac:dyDescent="0.25">
      <c r="A7182" s="1" t="s">
        <v>455</v>
      </c>
      <c r="B7182" s="1" t="s">
        <v>976</v>
      </c>
      <c r="C7182" s="1" t="s">
        <v>386</v>
      </c>
      <c r="D7182" s="3">
        <f t="shared" si="1084"/>
        <v>8264</v>
      </c>
      <c r="E7182" s="2">
        <f t="shared" si="1085"/>
        <v>43160</v>
      </c>
      <c r="F7182" s="2">
        <f t="shared" si="1086"/>
        <v>44255</v>
      </c>
    </row>
    <row r="7183" spans="1:6" x14ac:dyDescent="0.25">
      <c r="A7183" s="1" t="s">
        <v>455</v>
      </c>
      <c r="B7183" s="1" t="s">
        <v>976</v>
      </c>
      <c r="C7183" s="1" t="s">
        <v>387</v>
      </c>
      <c r="D7183" s="3">
        <f t="shared" si="1084"/>
        <v>8264</v>
      </c>
      <c r="E7183" s="2">
        <f t="shared" si="1085"/>
        <v>43160</v>
      </c>
      <c r="F7183" s="2">
        <f t="shared" si="1086"/>
        <v>44255</v>
      </c>
    </row>
    <row r="7184" spans="1:6" x14ac:dyDescent="0.25">
      <c r="A7184" s="1" t="s">
        <v>455</v>
      </c>
      <c r="B7184" s="1" t="s">
        <v>976</v>
      </c>
      <c r="C7184" s="1" t="s">
        <v>388</v>
      </c>
      <c r="D7184" s="3">
        <f t="shared" si="1084"/>
        <v>8264</v>
      </c>
      <c r="E7184" s="2">
        <f t="shared" si="1085"/>
        <v>43160</v>
      </c>
      <c r="F7184" s="2">
        <f t="shared" si="1086"/>
        <v>44255</v>
      </c>
    </row>
    <row r="7185" spans="1:6" x14ac:dyDescent="0.25">
      <c r="A7185" s="1" t="s">
        <v>455</v>
      </c>
      <c r="B7185" s="1" t="s">
        <v>976</v>
      </c>
      <c r="C7185" s="1" t="s">
        <v>92</v>
      </c>
      <c r="D7185" s="3">
        <f t="shared" si="1084"/>
        <v>8264</v>
      </c>
      <c r="E7185" s="2">
        <f t="shared" si="1085"/>
        <v>43160</v>
      </c>
      <c r="F7185" s="2">
        <f t="shared" si="1086"/>
        <v>44255</v>
      </c>
    </row>
    <row r="7186" spans="1:6" x14ac:dyDescent="0.25">
      <c r="A7186" s="1" t="s">
        <v>455</v>
      </c>
      <c r="B7186" s="1" t="s">
        <v>976</v>
      </c>
      <c r="C7186" s="1" t="s">
        <v>400</v>
      </c>
      <c r="D7186" s="3">
        <f t="shared" si="1084"/>
        <v>8264</v>
      </c>
      <c r="E7186" s="2">
        <f t="shared" si="1085"/>
        <v>43160</v>
      </c>
      <c r="F7186" s="2">
        <f t="shared" si="1086"/>
        <v>44255</v>
      </c>
    </row>
    <row r="7187" spans="1:6" x14ac:dyDescent="0.25">
      <c r="A7187" s="1" t="s">
        <v>455</v>
      </c>
      <c r="B7187" s="1" t="s">
        <v>976</v>
      </c>
      <c r="C7187" s="1" t="s">
        <v>24</v>
      </c>
      <c r="D7187" s="3">
        <f t="shared" si="1084"/>
        <v>8264</v>
      </c>
      <c r="E7187" s="2">
        <f t="shared" si="1085"/>
        <v>43160</v>
      </c>
      <c r="F7187" s="2">
        <f t="shared" si="1086"/>
        <v>44255</v>
      </c>
    </row>
    <row r="7188" spans="1:6" x14ac:dyDescent="0.25">
      <c r="A7188" s="1" t="s">
        <v>455</v>
      </c>
      <c r="B7188" s="1" t="s">
        <v>976</v>
      </c>
      <c r="C7188" s="1" t="s">
        <v>51</v>
      </c>
      <c r="D7188" s="3">
        <f t="shared" si="1084"/>
        <v>8264</v>
      </c>
      <c r="E7188" s="2">
        <f t="shared" si="1085"/>
        <v>43160</v>
      </c>
      <c r="F7188" s="2">
        <f t="shared" si="1086"/>
        <v>44255</v>
      </c>
    </row>
    <row r="7189" spans="1:6" x14ac:dyDescent="0.25">
      <c r="A7189" s="1" t="s">
        <v>455</v>
      </c>
      <c r="B7189" s="1" t="s">
        <v>976</v>
      </c>
      <c r="C7189" s="1" t="s">
        <v>73</v>
      </c>
      <c r="D7189" s="3">
        <f t="shared" si="1084"/>
        <v>8264</v>
      </c>
      <c r="E7189" s="2">
        <f t="shared" si="1085"/>
        <v>43160</v>
      </c>
      <c r="F7189" s="2">
        <f t="shared" si="1086"/>
        <v>44255</v>
      </c>
    </row>
    <row r="7190" spans="1:6" x14ac:dyDescent="0.25">
      <c r="A7190" s="1" t="s">
        <v>455</v>
      </c>
      <c r="B7190" s="1" t="s">
        <v>976</v>
      </c>
      <c r="C7190" s="1" t="s">
        <v>52</v>
      </c>
      <c r="D7190" s="3">
        <f t="shared" si="1084"/>
        <v>8264</v>
      </c>
      <c r="E7190" s="2">
        <f t="shared" si="1085"/>
        <v>43160</v>
      </c>
      <c r="F7190" s="2">
        <f t="shared" si="1086"/>
        <v>44255</v>
      </c>
    </row>
    <row r="7191" spans="1:6" x14ac:dyDescent="0.25">
      <c r="A7191" s="1" t="s">
        <v>455</v>
      </c>
      <c r="B7191" s="1" t="s">
        <v>976</v>
      </c>
      <c r="C7191" s="1" t="s">
        <v>378</v>
      </c>
      <c r="D7191" s="3">
        <f t="shared" si="1084"/>
        <v>8264</v>
      </c>
      <c r="E7191" s="2">
        <f t="shared" si="1085"/>
        <v>43160</v>
      </c>
      <c r="F7191" s="2">
        <f t="shared" si="1086"/>
        <v>44255</v>
      </c>
    </row>
    <row r="7192" spans="1:6" x14ac:dyDescent="0.25">
      <c r="A7192" s="1" t="s">
        <v>455</v>
      </c>
      <c r="B7192" s="1" t="s">
        <v>976</v>
      </c>
      <c r="C7192" s="1" t="s">
        <v>34</v>
      </c>
      <c r="D7192" s="3">
        <f t="shared" si="1084"/>
        <v>8264</v>
      </c>
      <c r="E7192" s="2">
        <f t="shared" si="1085"/>
        <v>43160</v>
      </c>
      <c r="F7192" s="2">
        <f t="shared" si="1086"/>
        <v>44255</v>
      </c>
    </row>
    <row r="7193" spans="1:6" x14ac:dyDescent="0.25">
      <c r="A7193" s="1" t="s">
        <v>455</v>
      </c>
      <c r="B7193" s="1" t="s">
        <v>976</v>
      </c>
      <c r="C7193" s="1" t="s">
        <v>306</v>
      </c>
      <c r="D7193" s="3">
        <f t="shared" si="1084"/>
        <v>8264</v>
      </c>
      <c r="E7193" s="2">
        <f t="shared" si="1085"/>
        <v>43160</v>
      </c>
      <c r="F7193" s="2">
        <f t="shared" si="1086"/>
        <v>44255</v>
      </c>
    </row>
    <row r="7194" spans="1:6" x14ac:dyDescent="0.25">
      <c r="A7194" s="1" t="s">
        <v>455</v>
      </c>
      <c r="B7194" s="1" t="s">
        <v>976</v>
      </c>
      <c r="C7194" s="1" t="s">
        <v>380</v>
      </c>
      <c r="D7194" s="3">
        <f t="shared" si="1084"/>
        <v>8264</v>
      </c>
      <c r="E7194" s="2">
        <f t="shared" si="1085"/>
        <v>43160</v>
      </c>
      <c r="F7194" s="2">
        <f t="shared" si="1086"/>
        <v>44255</v>
      </c>
    </row>
    <row r="7195" spans="1:6" x14ac:dyDescent="0.25">
      <c r="A7195" s="1" t="s">
        <v>455</v>
      </c>
      <c r="B7195" s="1" t="s">
        <v>976</v>
      </c>
      <c r="C7195" s="1" t="s">
        <v>381</v>
      </c>
      <c r="D7195" s="3">
        <f t="shared" si="1084"/>
        <v>8264</v>
      </c>
      <c r="E7195" s="2">
        <f t="shared" si="1085"/>
        <v>43160</v>
      </c>
      <c r="F7195" s="2">
        <f t="shared" si="1086"/>
        <v>44255</v>
      </c>
    </row>
    <row r="7196" spans="1:6" x14ac:dyDescent="0.25">
      <c r="A7196" s="1" t="s">
        <v>455</v>
      </c>
      <c r="B7196" s="1" t="s">
        <v>976</v>
      </c>
      <c r="C7196" s="1" t="s">
        <v>57</v>
      </c>
      <c r="D7196" s="3">
        <f t="shared" si="1084"/>
        <v>8264</v>
      </c>
      <c r="E7196" s="2">
        <f t="shared" si="1085"/>
        <v>43160</v>
      </c>
      <c r="F7196" s="2">
        <f t="shared" si="1086"/>
        <v>44255</v>
      </c>
    </row>
    <row r="7197" spans="1:6" x14ac:dyDescent="0.25">
      <c r="A7197" s="1" t="s">
        <v>455</v>
      </c>
      <c r="B7197" s="1" t="s">
        <v>976</v>
      </c>
      <c r="C7197" s="1" t="s">
        <v>170</v>
      </c>
      <c r="D7197" s="3">
        <f t="shared" si="1084"/>
        <v>8264</v>
      </c>
      <c r="E7197" s="2">
        <f t="shared" si="1085"/>
        <v>43160</v>
      </c>
      <c r="F7197" s="2">
        <f t="shared" si="1086"/>
        <v>44255</v>
      </c>
    </row>
    <row r="7198" spans="1:6" x14ac:dyDescent="0.25">
      <c r="A7198" s="1" t="s">
        <v>455</v>
      </c>
      <c r="B7198" s="1" t="s">
        <v>895</v>
      </c>
      <c r="C7198" s="1" t="s">
        <v>39</v>
      </c>
      <c r="D7198" s="3">
        <f t="shared" ref="D7198:D7239" si="1087">VALUE("8125")</f>
        <v>8125</v>
      </c>
      <c r="E7198" s="2">
        <f t="shared" ref="E7198:E7239" si="1088">DATEVALUE("1-7-2017")</f>
        <v>42917</v>
      </c>
      <c r="F7198" s="2">
        <f t="shared" ref="F7198:F7239" si="1089">DATEVALUE("31-12-2020")</f>
        <v>44196</v>
      </c>
    </row>
    <row r="7199" spans="1:6" x14ac:dyDescent="0.25">
      <c r="A7199" s="1" t="s">
        <v>455</v>
      </c>
      <c r="B7199" s="1" t="s">
        <v>895</v>
      </c>
      <c r="C7199" s="1" t="s">
        <v>43</v>
      </c>
      <c r="D7199" s="3">
        <f t="shared" si="1087"/>
        <v>8125</v>
      </c>
      <c r="E7199" s="2">
        <f t="shared" si="1088"/>
        <v>42917</v>
      </c>
      <c r="F7199" s="2">
        <f t="shared" si="1089"/>
        <v>44196</v>
      </c>
    </row>
    <row r="7200" spans="1:6" x14ac:dyDescent="0.25">
      <c r="A7200" s="1" t="s">
        <v>455</v>
      </c>
      <c r="B7200" s="1" t="s">
        <v>895</v>
      </c>
      <c r="C7200" s="1" t="s">
        <v>485</v>
      </c>
      <c r="D7200" s="3">
        <f t="shared" si="1087"/>
        <v>8125</v>
      </c>
      <c r="E7200" s="2">
        <f t="shared" si="1088"/>
        <v>42917</v>
      </c>
      <c r="F7200" s="2">
        <f t="shared" si="1089"/>
        <v>44196</v>
      </c>
    </row>
    <row r="7201" spans="1:6" x14ac:dyDescent="0.25">
      <c r="A7201" s="1" t="s">
        <v>455</v>
      </c>
      <c r="B7201" s="1" t="s">
        <v>895</v>
      </c>
      <c r="C7201" s="1" t="s">
        <v>139</v>
      </c>
      <c r="D7201" s="3">
        <f t="shared" si="1087"/>
        <v>8125</v>
      </c>
      <c r="E7201" s="2">
        <f t="shared" si="1088"/>
        <v>42917</v>
      </c>
      <c r="F7201" s="2">
        <f t="shared" si="1089"/>
        <v>44196</v>
      </c>
    </row>
    <row r="7202" spans="1:6" x14ac:dyDescent="0.25">
      <c r="A7202" s="1" t="s">
        <v>455</v>
      </c>
      <c r="B7202" s="1" t="s">
        <v>895</v>
      </c>
      <c r="C7202" s="1" t="s">
        <v>14</v>
      </c>
      <c r="D7202" s="3">
        <f t="shared" si="1087"/>
        <v>8125</v>
      </c>
      <c r="E7202" s="2">
        <f t="shared" si="1088"/>
        <v>42917</v>
      </c>
      <c r="F7202" s="2">
        <f t="shared" si="1089"/>
        <v>44196</v>
      </c>
    </row>
    <row r="7203" spans="1:6" x14ac:dyDescent="0.25">
      <c r="A7203" s="1" t="s">
        <v>455</v>
      </c>
      <c r="B7203" s="1" t="s">
        <v>895</v>
      </c>
      <c r="C7203" s="1" t="s">
        <v>15</v>
      </c>
      <c r="D7203" s="3">
        <f t="shared" si="1087"/>
        <v>8125</v>
      </c>
      <c r="E7203" s="2">
        <f t="shared" si="1088"/>
        <v>42917</v>
      </c>
      <c r="F7203" s="2">
        <f t="shared" si="1089"/>
        <v>44196</v>
      </c>
    </row>
    <row r="7204" spans="1:6" x14ac:dyDescent="0.25">
      <c r="A7204" s="1" t="s">
        <v>455</v>
      </c>
      <c r="B7204" s="1" t="s">
        <v>895</v>
      </c>
      <c r="C7204" s="1" t="s">
        <v>17</v>
      </c>
      <c r="D7204" s="3">
        <f t="shared" si="1087"/>
        <v>8125</v>
      </c>
      <c r="E7204" s="2">
        <f t="shared" si="1088"/>
        <v>42917</v>
      </c>
      <c r="F7204" s="2">
        <f t="shared" si="1089"/>
        <v>44196</v>
      </c>
    </row>
    <row r="7205" spans="1:6" x14ac:dyDescent="0.25">
      <c r="A7205" s="1" t="s">
        <v>455</v>
      </c>
      <c r="B7205" s="1" t="s">
        <v>895</v>
      </c>
      <c r="C7205" s="1" t="s">
        <v>488</v>
      </c>
      <c r="D7205" s="3">
        <f t="shared" si="1087"/>
        <v>8125</v>
      </c>
      <c r="E7205" s="2">
        <f t="shared" si="1088"/>
        <v>42917</v>
      </c>
      <c r="F7205" s="2">
        <f t="shared" si="1089"/>
        <v>44196</v>
      </c>
    </row>
    <row r="7206" spans="1:6" x14ac:dyDescent="0.25">
      <c r="A7206" s="1" t="s">
        <v>455</v>
      </c>
      <c r="B7206" s="1" t="s">
        <v>895</v>
      </c>
      <c r="C7206" s="1" t="s">
        <v>291</v>
      </c>
      <c r="D7206" s="3">
        <f t="shared" si="1087"/>
        <v>8125</v>
      </c>
      <c r="E7206" s="2">
        <f t="shared" si="1088"/>
        <v>42917</v>
      </c>
      <c r="F7206" s="2">
        <f t="shared" si="1089"/>
        <v>44196</v>
      </c>
    </row>
    <row r="7207" spans="1:6" x14ac:dyDescent="0.25">
      <c r="A7207" s="1" t="s">
        <v>455</v>
      </c>
      <c r="B7207" s="1" t="s">
        <v>895</v>
      </c>
      <c r="C7207" s="1" t="s">
        <v>417</v>
      </c>
      <c r="D7207" s="3">
        <f t="shared" si="1087"/>
        <v>8125</v>
      </c>
      <c r="E7207" s="2">
        <f t="shared" si="1088"/>
        <v>42917</v>
      </c>
      <c r="F7207" s="2">
        <f t="shared" si="1089"/>
        <v>44196</v>
      </c>
    </row>
    <row r="7208" spans="1:6" x14ac:dyDescent="0.25">
      <c r="A7208" s="1" t="s">
        <v>455</v>
      </c>
      <c r="B7208" s="1" t="s">
        <v>895</v>
      </c>
      <c r="C7208" s="1" t="s">
        <v>22</v>
      </c>
      <c r="D7208" s="3">
        <f t="shared" si="1087"/>
        <v>8125</v>
      </c>
      <c r="E7208" s="2">
        <f t="shared" si="1088"/>
        <v>42917</v>
      </c>
      <c r="F7208" s="2">
        <f t="shared" si="1089"/>
        <v>44196</v>
      </c>
    </row>
    <row r="7209" spans="1:6" x14ac:dyDescent="0.25">
      <c r="A7209" s="1" t="s">
        <v>455</v>
      </c>
      <c r="B7209" s="1" t="s">
        <v>895</v>
      </c>
      <c r="C7209" s="1" t="s">
        <v>258</v>
      </c>
      <c r="D7209" s="3">
        <f t="shared" si="1087"/>
        <v>8125</v>
      </c>
      <c r="E7209" s="2">
        <f t="shared" si="1088"/>
        <v>42917</v>
      </c>
      <c r="F7209" s="2">
        <f t="shared" si="1089"/>
        <v>44196</v>
      </c>
    </row>
    <row r="7210" spans="1:6" x14ac:dyDescent="0.25">
      <c r="A7210" s="1" t="s">
        <v>455</v>
      </c>
      <c r="B7210" s="1" t="s">
        <v>895</v>
      </c>
      <c r="C7210" s="1" t="s">
        <v>146</v>
      </c>
      <c r="D7210" s="3">
        <f t="shared" si="1087"/>
        <v>8125</v>
      </c>
      <c r="E7210" s="2">
        <f t="shared" si="1088"/>
        <v>42917</v>
      </c>
      <c r="F7210" s="2">
        <f t="shared" si="1089"/>
        <v>44196</v>
      </c>
    </row>
    <row r="7211" spans="1:6" x14ac:dyDescent="0.25">
      <c r="A7211" s="1" t="s">
        <v>455</v>
      </c>
      <c r="B7211" s="1" t="s">
        <v>895</v>
      </c>
      <c r="C7211" s="1" t="s">
        <v>67</v>
      </c>
      <c r="D7211" s="3">
        <f t="shared" si="1087"/>
        <v>8125</v>
      </c>
      <c r="E7211" s="2">
        <f t="shared" si="1088"/>
        <v>42917</v>
      </c>
      <c r="F7211" s="2">
        <f t="shared" si="1089"/>
        <v>44196</v>
      </c>
    </row>
    <row r="7212" spans="1:6" x14ac:dyDescent="0.25">
      <c r="A7212" s="1" t="s">
        <v>455</v>
      </c>
      <c r="B7212" s="1" t="s">
        <v>895</v>
      </c>
      <c r="C7212" s="1" t="s">
        <v>384</v>
      </c>
      <c r="D7212" s="3">
        <f t="shared" si="1087"/>
        <v>8125</v>
      </c>
      <c r="E7212" s="2">
        <f t="shared" si="1088"/>
        <v>42917</v>
      </c>
      <c r="F7212" s="2">
        <f t="shared" si="1089"/>
        <v>44196</v>
      </c>
    </row>
    <row r="7213" spans="1:6" x14ac:dyDescent="0.25">
      <c r="A7213" s="1" t="s">
        <v>455</v>
      </c>
      <c r="B7213" s="1" t="s">
        <v>895</v>
      </c>
      <c r="C7213" s="1" t="s">
        <v>147</v>
      </c>
      <c r="D7213" s="3">
        <f t="shared" si="1087"/>
        <v>8125</v>
      </c>
      <c r="E7213" s="2">
        <f t="shared" si="1088"/>
        <v>42917</v>
      </c>
      <c r="F7213" s="2">
        <f t="shared" si="1089"/>
        <v>44196</v>
      </c>
    </row>
    <row r="7214" spans="1:6" x14ac:dyDescent="0.25">
      <c r="A7214" s="1" t="s">
        <v>455</v>
      </c>
      <c r="B7214" s="1" t="s">
        <v>895</v>
      </c>
      <c r="C7214" s="1" t="s">
        <v>148</v>
      </c>
      <c r="D7214" s="3">
        <f t="shared" si="1087"/>
        <v>8125</v>
      </c>
      <c r="E7214" s="2">
        <f t="shared" si="1088"/>
        <v>42917</v>
      </c>
      <c r="F7214" s="2">
        <f t="shared" si="1089"/>
        <v>44196</v>
      </c>
    </row>
    <row r="7215" spans="1:6" x14ac:dyDescent="0.25">
      <c r="A7215" s="1" t="s">
        <v>455</v>
      </c>
      <c r="B7215" s="1" t="s">
        <v>895</v>
      </c>
      <c r="C7215" s="1" t="s">
        <v>386</v>
      </c>
      <c r="D7215" s="3">
        <f t="shared" si="1087"/>
        <v>8125</v>
      </c>
      <c r="E7215" s="2">
        <f t="shared" si="1088"/>
        <v>42917</v>
      </c>
      <c r="F7215" s="2">
        <f t="shared" si="1089"/>
        <v>44196</v>
      </c>
    </row>
    <row r="7216" spans="1:6" x14ac:dyDescent="0.25">
      <c r="A7216" s="1" t="s">
        <v>455</v>
      </c>
      <c r="B7216" s="1" t="s">
        <v>895</v>
      </c>
      <c r="C7216" s="1" t="s">
        <v>387</v>
      </c>
      <c r="D7216" s="3">
        <f t="shared" si="1087"/>
        <v>8125</v>
      </c>
      <c r="E7216" s="2">
        <f t="shared" si="1088"/>
        <v>42917</v>
      </c>
      <c r="F7216" s="2">
        <f t="shared" si="1089"/>
        <v>44196</v>
      </c>
    </row>
    <row r="7217" spans="1:6" x14ac:dyDescent="0.25">
      <c r="A7217" s="1" t="s">
        <v>455</v>
      </c>
      <c r="B7217" s="1" t="s">
        <v>895</v>
      </c>
      <c r="C7217" s="1" t="s">
        <v>388</v>
      </c>
      <c r="D7217" s="3">
        <f t="shared" si="1087"/>
        <v>8125</v>
      </c>
      <c r="E7217" s="2">
        <f t="shared" si="1088"/>
        <v>42917</v>
      </c>
      <c r="F7217" s="2">
        <f t="shared" si="1089"/>
        <v>44196</v>
      </c>
    </row>
    <row r="7218" spans="1:6" x14ac:dyDescent="0.25">
      <c r="A7218" s="1" t="s">
        <v>455</v>
      </c>
      <c r="B7218" s="1" t="s">
        <v>895</v>
      </c>
      <c r="C7218" s="1" t="s">
        <v>390</v>
      </c>
      <c r="D7218" s="3">
        <f t="shared" si="1087"/>
        <v>8125</v>
      </c>
      <c r="E7218" s="2">
        <f t="shared" si="1088"/>
        <v>42917</v>
      </c>
      <c r="F7218" s="2">
        <f t="shared" si="1089"/>
        <v>44196</v>
      </c>
    </row>
    <row r="7219" spans="1:6" x14ac:dyDescent="0.25">
      <c r="A7219" s="1" t="s">
        <v>455</v>
      </c>
      <c r="B7219" s="1" t="s">
        <v>895</v>
      </c>
      <c r="C7219" s="1" t="s">
        <v>92</v>
      </c>
      <c r="D7219" s="3">
        <f t="shared" si="1087"/>
        <v>8125</v>
      </c>
      <c r="E7219" s="2">
        <f t="shared" si="1088"/>
        <v>42917</v>
      </c>
      <c r="F7219" s="2">
        <f t="shared" si="1089"/>
        <v>44196</v>
      </c>
    </row>
    <row r="7220" spans="1:6" x14ac:dyDescent="0.25">
      <c r="A7220" s="1" t="s">
        <v>455</v>
      </c>
      <c r="B7220" s="1" t="s">
        <v>895</v>
      </c>
      <c r="C7220" s="1" t="s">
        <v>400</v>
      </c>
      <c r="D7220" s="3">
        <f t="shared" si="1087"/>
        <v>8125</v>
      </c>
      <c r="E7220" s="2">
        <f t="shared" si="1088"/>
        <v>42917</v>
      </c>
      <c r="F7220" s="2">
        <f t="shared" si="1089"/>
        <v>44196</v>
      </c>
    </row>
    <row r="7221" spans="1:6" x14ac:dyDescent="0.25">
      <c r="A7221" s="1" t="s">
        <v>455</v>
      </c>
      <c r="B7221" s="1" t="s">
        <v>895</v>
      </c>
      <c r="C7221" s="1" t="s">
        <v>94</v>
      </c>
      <c r="D7221" s="3">
        <f t="shared" si="1087"/>
        <v>8125</v>
      </c>
      <c r="E7221" s="2">
        <f t="shared" si="1088"/>
        <v>42917</v>
      </c>
      <c r="F7221" s="2">
        <f t="shared" si="1089"/>
        <v>44196</v>
      </c>
    </row>
    <row r="7222" spans="1:6" x14ac:dyDescent="0.25">
      <c r="A7222" s="1" t="s">
        <v>455</v>
      </c>
      <c r="B7222" s="1" t="s">
        <v>895</v>
      </c>
      <c r="C7222" s="1" t="s">
        <v>24</v>
      </c>
      <c r="D7222" s="3">
        <f t="shared" si="1087"/>
        <v>8125</v>
      </c>
      <c r="E7222" s="2">
        <f t="shared" si="1088"/>
        <v>42917</v>
      </c>
      <c r="F7222" s="2">
        <f t="shared" si="1089"/>
        <v>44196</v>
      </c>
    </row>
    <row r="7223" spans="1:6" x14ac:dyDescent="0.25">
      <c r="A7223" s="1" t="s">
        <v>455</v>
      </c>
      <c r="B7223" s="1" t="s">
        <v>895</v>
      </c>
      <c r="C7223" s="1" t="s">
        <v>70</v>
      </c>
      <c r="D7223" s="3">
        <f t="shared" si="1087"/>
        <v>8125</v>
      </c>
      <c r="E7223" s="2">
        <f t="shared" si="1088"/>
        <v>42917</v>
      </c>
      <c r="F7223" s="2">
        <f t="shared" si="1089"/>
        <v>44196</v>
      </c>
    </row>
    <row r="7224" spans="1:6" x14ac:dyDescent="0.25">
      <c r="A7224" s="1" t="s">
        <v>455</v>
      </c>
      <c r="B7224" s="1" t="s">
        <v>895</v>
      </c>
      <c r="C7224" s="1" t="s">
        <v>457</v>
      </c>
      <c r="D7224" s="3">
        <f t="shared" si="1087"/>
        <v>8125</v>
      </c>
      <c r="E7224" s="2">
        <f t="shared" si="1088"/>
        <v>42917</v>
      </c>
      <c r="F7224" s="2">
        <f t="shared" si="1089"/>
        <v>44196</v>
      </c>
    </row>
    <row r="7225" spans="1:6" x14ac:dyDescent="0.25">
      <c r="A7225" s="1" t="s">
        <v>455</v>
      </c>
      <c r="B7225" s="1" t="s">
        <v>895</v>
      </c>
      <c r="C7225" s="1" t="s">
        <v>516</v>
      </c>
      <c r="D7225" s="3">
        <f t="shared" si="1087"/>
        <v>8125</v>
      </c>
      <c r="E7225" s="2">
        <f t="shared" si="1088"/>
        <v>42917</v>
      </c>
      <c r="F7225" s="2">
        <f t="shared" si="1089"/>
        <v>44196</v>
      </c>
    </row>
    <row r="7226" spans="1:6" x14ac:dyDescent="0.25">
      <c r="A7226" s="1" t="s">
        <v>455</v>
      </c>
      <c r="B7226" s="1" t="s">
        <v>895</v>
      </c>
      <c r="C7226" s="1" t="s">
        <v>73</v>
      </c>
      <c r="D7226" s="3">
        <f t="shared" si="1087"/>
        <v>8125</v>
      </c>
      <c r="E7226" s="2">
        <f t="shared" si="1088"/>
        <v>42917</v>
      </c>
      <c r="F7226" s="2">
        <f t="shared" si="1089"/>
        <v>44196</v>
      </c>
    </row>
    <row r="7227" spans="1:6" x14ac:dyDescent="0.25">
      <c r="A7227" s="1" t="s">
        <v>455</v>
      </c>
      <c r="B7227" s="1" t="s">
        <v>895</v>
      </c>
      <c r="C7227" s="1" t="s">
        <v>52</v>
      </c>
      <c r="D7227" s="3">
        <f t="shared" si="1087"/>
        <v>8125</v>
      </c>
      <c r="E7227" s="2">
        <f t="shared" si="1088"/>
        <v>42917</v>
      </c>
      <c r="F7227" s="2">
        <f t="shared" si="1089"/>
        <v>44196</v>
      </c>
    </row>
    <row r="7228" spans="1:6" x14ac:dyDescent="0.25">
      <c r="A7228" s="1" t="s">
        <v>455</v>
      </c>
      <c r="B7228" s="1" t="s">
        <v>895</v>
      </c>
      <c r="C7228" s="1" t="s">
        <v>458</v>
      </c>
      <c r="D7228" s="3">
        <f t="shared" si="1087"/>
        <v>8125</v>
      </c>
      <c r="E7228" s="2">
        <f t="shared" si="1088"/>
        <v>42917</v>
      </c>
      <c r="F7228" s="2">
        <f t="shared" si="1089"/>
        <v>44196</v>
      </c>
    </row>
    <row r="7229" spans="1:6" x14ac:dyDescent="0.25">
      <c r="A7229" s="1" t="s">
        <v>455</v>
      </c>
      <c r="B7229" s="1" t="s">
        <v>895</v>
      </c>
      <c r="C7229" s="1" t="s">
        <v>459</v>
      </c>
      <c r="D7229" s="3">
        <f t="shared" si="1087"/>
        <v>8125</v>
      </c>
      <c r="E7229" s="2">
        <f t="shared" si="1088"/>
        <v>42917</v>
      </c>
      <c r="F7229" s="2">
        <f t="shared" si="1089"/>
        <v>44196</v>
      </c>
    </row>
    <row r="7230" spans="1:6" x14ac:dyDescent="0.25">
      <c r="A7230" s="1" t="s">
        <v>455</v>
      </c>
      <c r="B7230" s="1" t="s">
        <v>895</v>
      </c>
      <c r="C7230" s="1" t="s">
        <v>378</v>
      </c>
      <c r="D7230" s="3">
        <f t="shared" si="1087"/>
        <v>8125</v>
      </c>
      <c r="E7230" s="2">
        <f t="shared" si="1088"/>
        <v>42917</v>
      </c>
      <c r="F7230" s="2">
        <f t="shared" si="1089"/>
        <v>44196</v>
      </c>
    </row>
    <row r="7231" spans="1:6" x14ac:dyDescent="0.25">
      <c r="A7231" s="1" t="s">
        <v>455</v>
      </c>
      <c r="B7231" s="1" t="s">
        <v>895</v>
      </c>
      <c r="C7231" s="1" t="s">
        <v>34</v>
      </c>
      <c r="D7231" s="3">
        <f t="shared" si="1087"/>
        <v>8125</v>
      </c>
      <c r="E7231" s="2">
        <f t="shared" si="1088"/>
        <v>42917</v>
      </c>
      <c r="F7231" s="2">
        <f t="shared" si="1089"/>
        <v>44196</v>
      </c>
    </row>
    <row r="7232" spans="1:6" x14ac:dyDescent="0.25">
      <c r="A7232" s="1" t="s">
        <v>455</v>
      </c>
      <c r="B7232" s="1" t="s">
        <v>895</v>
      </c>
      <c r="C7232" s="1" t="s">
        <v>306</v>
      </c>
      <c r="D7232" s="3">
        <f t="shared" si="1087"/>
        <v>8125</v>
      </c>
      <c r="E7232" s="2">
        <f t="shared" si="1088"/>
        <v>42917</v>
      </c>
      <c r="F7232" s="2">
        <f t="shared" si="1089"/>
        <v>44196</v>
      </c>
    </row>
    <row r="7233" spans="1:6" x14ac:dyDescent="0.25">
      <c r="A7233" s="1" t="s">
        <v>455</v>
      </c>
      <c r="B7233" s="1" t="s">
        <v>895</v>
      </c>
      <c r="C7233" s="1" t="s">
        <v>379</v>
      </c>
      <c r="D7233" s="3">
        <f t="shared" si="1087"/>
        <v>8125</v>
      </c>
      <c r="E7233" s="2">
        <f t="shared" si="1088"/>
        <v>42917</v>
      </c>
      <c r="F7233" s="2">
        <f t="shared" si="1089"/>
        <v>44196</v>
      </c>
    </row>
    <row r="7234" spans="1:6" x14ac:dyDescent="0.25">
      <c r="A7234" s="1" t="s">
        <v>455</v>
      </c>
      <c r="B7234" s="1" t="s">
        <v>895</v>
      </c>
      <c r="C7234" s="1" t="s">
        <v>131</v>
      </c>
      <c r="D7234" s="3">
        <f t="shared" si="1087"/>
        <v>8125</v>
      </c>
      <c r="E7234" s="2">
        <f t="shared" si="1088"/>
        <v>42917</v>
      </c>
      <c r="F7234" s="2">
        <f t="shared" si="1089"/>
        <v>44196</v>
      </c>
    </row>
    <row r="7235" spans="1:6" x14ac:dyDescent="0.25">
      <c r="A7235" s="1" t="s">
        <v>455</v>
      </c>
      <c r="B7235" s="1" t="s">
        <v>895</v>
      </c>
      <c r="C7235" s="1" t="s">
        <v>132</v>
      </c>
      <c r="D7235" s="3">
        <f t="shared" si="1087"/>
        <v>8125</v>
      </c>
      <c r="E7235" s="2">
        <f t="shared" si="1088"/>
        <v>42917</v>
      </c>
      <c r="F7235" s="2">
        <f t="shared" si="1089"/>
        <v>44196</v>
      </c>
    </row>
    <row r="7236" spans="1:6" x14ac:dyDescent="0.25">
      <c r="A7236" s="1" t="s">
        <v>455</v>
      </c>
      <c r="B7236" s="1" t="s">
        <v>895</v>
      </c>
      <c r="C7236" s="1" t="s">
        <v>380</v>
      </c>
      <c r="D7236" s="3">
        <f t="shared" si="1087"/>
        <v>8125</v>
      </c>
      <c r="E7236" s="2">
        <f t="shared" si="1088"/>
        <v>42917</v>
      </c>
      <c r="F7236" s="2">
        <f t="shared" si="1089"/>
        <v>44196</v>
      </c>
    </row>
    <row r="7237" spans="1:6" x14ac:dyDescent="0.25">
      <c r="A7237" s="1" t="s">
        <v>455</v>
      </c>
      <c r="B7237" s="1" t="s">
        <v>895</v>
      </c>
      <c r="C7237" s="1" t="s">
        <v>381</v>
      </c>
      <c r="D7237" s="3">
        <f t="shared" si="1087"/>
        <v>8125</v>
      </c>
      <c r="E7237" s="2">
        <f t="shared" si="1088"/>
        <v>42917</v>
      </c>
      <c r="F7237" s="2">
        <f t="shared" si="1089"/>
        <v>44196</v>
      </c>
    </row>
    <row r="7238" spans="1:6" x14ac:dyDescent="0.25">
      <c r="A7238" s="1" t="s">
        <v>455</v>
      </c>
      <c r="B7238" s="1" t="s">
        <v>895</v>
      </c>
      <c r="C7238" s="1" t="s">
        <v>519</v>
      </c>
      <c r="D7238" s="3">
        <f t="shared" si="1087"/>
        <v>8125</v>
      </c>
      <c r="E7238" s="2">
        <f t="shared" si="1088"/>
        <v>42917</v>
      </c>
      <c r="F7238" s="2">
        <f t="shared" si="1089"/>
        <v>44196</v>
      </c>
    </row>
    <row r="7239" spans="1:6" x14ac:dyDescent="0.25">
      <c r="A7239" s="1" t="s">
        <v>455</v>
      </c>
      <c r="B7239" s="1" t="s">
        <v>895</v>
      </c>
      <c r="C7239" s="1" t="s">
        <v>170</v>
      </c>
      <c r="D7239" s="3">
        <f t="shared" si="1087"/>
        <v>8125</v>
      </c>
      <c r="E7239" s="2">
        <f t="shared" si="1088"/>
        <v>42917</v>
      </c>
      <c r="F7239" s="2">
        <f t="shared" si="1089"/>
        <v>44196</v>
      </c>
    </row>
    <row r="7240" spans="1:6" x14ac:dyDescent="0.25">
      <c r="A7240" s="1" t="s">
        <v>455</v>
      </c>
      <c r="B7240" s="1" t="s">
        <v>2294</v>
      </c>
      <c r="C7240" s="1" t="s">
        <v>14</v>
      </c>
      <c r="D7240" s="3">
        <f t="shared" ref="D7240:D7254" si="1090">VALUE("8100")</f>
        <v>8100</v>
      </c>
      <c r="E7240" s="2">
        <f t="shared" ref="E7240:E7254" si="1091">DATEVALUE("1-5-2017")</f>
        <v>42856</v>
      </c>
      <c r="F7240" s="2">
        <f t="shared" ref="F7240:F7254" si="1092">DATEVALUE("31-12-2017")</f>
        <v>43100</v>
      </c>
    </row>
    <row r="7241" spans="1:6" x14ac:dyDescent="0.25">
      <c r="A7241" s="1" t="s">
        <v>455</v>
      </c>
      <c r="B7241" s="1" t="s">
        <v>2294</v>
      </c>
      <c r="C7241" s="1" t="s">
        <v>15</v>
      </c>
      <c r="D7241" s="3">
        <f t="shared" si="1090"/>
        <v>8100</v>
      </c>
      <c r="E7241" s="2">
        <f t="shared" si="1091"/>
        <v>42856</v>
      </c>
      <c r="F7241" s="2">
        <f t="shared" si="1092"/>
        <v>43100</v>
      </c>
    </row>
    <row r="7242" spans="1:6" x14ac:dyDescent="0.25">
      <c r="A7242" s="1" t="s">
        <v>455</v>
      </c>
      <c r="B7242" s="1" t="s">
        <v>2294</v>
      </c>
      <c r="C7242" s="1" t="s">
        <v>17</v>
      </c>
      <c r="D7242" s="3">
        <f t="shared" si="1090"/>
        <v>8100</v>
      </c>
      <c r="E7242" s="2">
        <f t="shared" si="1091"/>
        <v>42856</v>
      </c>
      <c r="F7242" s="2">
        <f t="shared" si="1092"/>
        <v>43100</v>
      </c>
    </row>
    <row r="7243" spans="1:6" x14ac:dyDescent="0.25">
      <c r="A7243" s="1" t="s">
        <v>455</v>
      </c>
      <c r="B7243" s="1" t="s">
        <v>2294</v>
      </c>
      <c r="C7243" s="1" t="s">
        <v>18</v>
      </c>
      <c r="D7243" s="3">
        <f t="shared" si="1090"/>
        <v>8100</v>
      </c>
      <c r="E7243" s="2">
        <f t="shared" si="1091"/>
        <v>42856</v>
      </c>
      <c r="F7243" s="2">
        <f t="shared" si="1092"/>
        <v>43100</v>
      </c>
    </row>
    <row r="7244" spans="1:6" x14ac:dyDescent="0.25">
      <c r="A7244" s="1" t="s">
        <v>455</v>
      </c>
      <c r="B7244" s="1" t="s">
        <v>2294</v>
      </c>
      <c r="C7244" s="1" t="s">
        <v>146</v>
      </c>
      <c r="D7244" s="3">
        <f t="shared" si="1090"/>
        <v>8100</v>
      </c>
      <c r="E7244" s="2">
        <f t="shared" si="1091"/>
        <v>42856</v>
      </c>
      <c r="F7244" s="2">
        <f t="shared" si="1092"/>
        <v>43100</v>
      </c>
    </row>
    <row r="7245" spans="1:6" x14ac:dyDescent="0.25">
      <c r="A7245" s="1" t="s">
        <v>455</v>
      </c>
      <c r="B7245" s="1" t="s">
        <v>2294</v>
      </c>
      <c r="C7245" s="1" t="s">
        <v>148</v>
      </c>
      <c r="D7245" s="3">
        <f t="shared" si="1090"/>
        <v>8100</v>
      </c>
      <c r="E7245" s="2">
        <f t="shared" si="1091"/>
        <v>42856</v>
      </c>
      <c r="F7245" s="2">
        <f t="shared" si="1092"/>
        <v>43100</v>
      </c>
    </row>
    <row r="7246" spans="1:6" x14ac:dyDescent="0.25">
      <c r="A7246" s="1" t="s">
        <v>455</v>
      </c>
      <c r="B7246" s="1" t="s">
        <v>2294</v>
      </c>
      <c r="C7246" s="1" t="s">
        <v>385</v>
      </c>
      <c r="D7246" s="3">
        <f t="shared" si="1090"/>
        <v>8100</v>
      </c>
      <c r="E7246" s="2">
        <f t="shared" si="1091"/>
        <v>42856</v>
      </c>
      <c r="F7246" s="2">
        <f t="shared" si="1092"/>
        <v>43100</v>
      </c>
    </row>
    <row r="7247" spans="1:6" x14ac:dyDescent="0.25">
      <c r="A7247" s="1" t="s">
        <v>455</v>
      </c>
      <c r="B7247" s="1" t="s">
        <v>2294</v>
      </c>
      <c r="C7247" s="1" t="s">
        <v>386</v>
      </c>
      <c r="D7247" s="3">
        <f t="shared" si="1090"/>
        <v>8100</v>
      </c>
      <c r="E7247" s="2">
        <f t="shared" si="1091"/>
        <v>42856</v>
      </c>
      <c r="F7247" s="2">
        <f t="shared" si="1092"/>
        <v>43100</v>
      </c>
    </row>
    <row r="7248" spans="1:6" x14ac:dyDescent="0.25">
      <c r="A7248" s="1" t="s">
        <v>455</v>
      </c>
      <c r="B7248" s="1" t="s">
        <v>2294</v>
      </c>
      <c r="C7248" s="1" t="s">
        <v>387</v>
      </c>
      <c r="D7248" s="3">
        <f t="shared" si="1090"/>
        <v>8100</v>
      </c>
      <c r="E7248" s="2">
        <f t="shared" si="1091"/>
        <v>42856</v>
      </c>
      <c r="F7248" s="2">
        <f t="shared" si="1092"/>
        <v>43100</v>
      </c>
    </row>
    <row r="7249" spans="1:6" x14ac:dyDescent="0.25">
      <c r="A7249" s="1" t="s">
        <v>455</v>
      </c>
      <c r="B7249" s="1" t="s">
        <v>2294</v>
      </c>
      <c r="C7249" s="1" t="s">
        <v>388</v>
      </c>
      <c r="D7249" s="3">
        <f t="shared" si="1090"/>
        <v>8100</v>
      </c>
      <c r="E7249" s="2">
        <f t="shared" si="1091"/>
        <v>42856</v>
      </c>
      <c r="F7249" s="2">
        <f t="shared" si="1092"/>
        <v>43100</v>
      </c>
    </row>
    <row r="7250" spans="1:6" x14ac:dyDescent="0.25">
      <c r="A7250" s="1" t="s">
        <v>455</v>
      </c>
      <c r="B7250" s="1" t="s">
        <v>2294</v>
      </c>
      <c r="C7250" s="1" t="s">
        <v>456</v>
      </c>
      <c r="D7250" s="3">
        <f t="shared" si="1090"/>
        <v>8100</v>
      </c>
      <c r="E7250" s="2">
        <f t="shared" si="1091"/>
        <v>42856</v>
      </c>
      <c r="F7250" s="2">
        <f t="shared" si="1092"/>
        <v>43100</v>
      </c>
    </row>
    <row r="7251" spans="1:6" x14ac:dyDescent="0.25">
      <c r="A7251" s="1" t="s">
        <v>455</v>
      </c>
      <c r="B7251" s="1" t="s">
        <v>2294</v>
      </c>
      <c r="C7251" s="1" t="s">
        <v>389</v>
      </c>
      <c r="D7251" s="3">
        <f t="shared" si="1090"/>
        <v>8100</v>
      </c>
      <c r="E7251" s="2">
        <f t="shared" si="1091"/>
        <v>42856</v>
      </c>
      <c r="F7251" s="2">
        <f t="shared" si="1092"/>
        <v>43100</v>
      </c>
    </row>
    <row r="7252" spans="1:6" x14ac:dyDescent="0.25">
      <c r="A7252" s="1" t="s">
        <v>455</v>
      </c>
      <c r="B7252" s="1" t="s">
        <v>2294</v>
      </c>
      <c r="C7252" s="1" t="s">
        <v>92</v>
      </c>
      <c r="D7252" s="3">
        <f t="shared" si="1090"/>
        <v>8100</v>
      </c>
      <c r="E7252" s="2">
        <f t="shared" si="1091"/>
        <v>42856</v>
      </c>
      <c r="F7252" s="2">
        <f t="shared" si="1092"/>
        <v>43100</v>
      </c>
    </row>
    <row r="7253" spans="1:6" x14ac:dyDescent="0.25">
      <c r="A7253" s="1" t="s">
        <v>455</v>
      </c>
      <c r="B7253" s="1" t="s">
        <v>2294</v>
      </c>
      <c r="C7253" s="1" t="s">
        <v>24</v>
      </c>
      <c r="D7253" s="3">
        <f t="shared" si="1090"/>
        <v>8100</v>
      </c>
      <c r="E7253" s="2">
        <f t="shared" si="1091"/>
        <v>42856</v>
      </c>
      <c r="F7253" s="2">
        <f t="shared" si="1092"/>
        <v>43100</v>
      </c>
    </row>
    <row r="7254" spans="1:6" x14ac:dyDescent="0.25">
      <c r="A7254" s="1" t="s">
        <v>455</v>
      </c>
      <c r="B7254" s="1" t="s">
        <v>2294</v>
      </c>
      <c r="C7254" s="1" t="s">
        <v>34</v>
      </c>
      <c r="D7254" s="3">
        <f t="shared" si="1090"/>
        <v>8100</v>
      </c>
      <c r="E7254" s="2">
        <f t="shared" si="1091"/>
        <v>42856</v>
      </c>
      <c r="F7254" s="2">
        <f t="shared" si="1092"/>
        <v>43100</v>
      </c>
    </row>
    <row r="7255" spans="1:6" x14ac:dyDescent="0.25">
      <c r="A7255" s="1" t="s">
        <v>455</v>
      </c>
      <c r="B7255" s="1" t="s">
        <v>2258</v>
      </c>
      <c r="C7255" s="1" t="s">
        <v>14</v>
      </c>
      <c r="D7255" s="3">
        <f t="shared" ref="D7255:D7267" si="1093">VALUE("7981")</f>
        <v>7981</v>
      </c>
      <c r="E7255" s="2">
        <f t="shared" ref="E7255:E7267" si="1094">DATEVALUE("1-11-2016")</f>
        <v>42675</v>
      </c>
      <c r="F7255" s="2">
        <f t="shared" ref="F7255:F7267" si="1095">DATEVALUE("31-1-2017")</f>
        <v>42766</v>
      </c>
    </row>
    <row r="7256" spans="1:6" x14ac:dyDescent="0.25">
      <c r="A7256" s="1" t="s">
        <v>455</v>
      </c>
      <c r="B7256" s="1" t="s">
        <v>2258</v>
      </c>
      <c r="C7256" s="1" t="s">
        <v>15</v>
      </c>
      <c r="D7256" s="3">
        <f t="shared" si="1093"/>
        <v>7981</v>
      </c>
      <c r="E7256" s="2">
        <f t="shared" si="1094"/>
        <v>42675</v>
      </c>
      <c r="F7256" s="2">
        <f t="shared" si="1095"/>
        <v>42766</v>
      </c>
    </row>
    <row r="7257" spans="1:6" x14ac:dyDescent="0.25">
      <c r="A7257" s="1" t="s">
        <v>455</v>
      </c>
      <c r="B7257" s="1" t="s">
        <v>2258</v>
      </c>
      <c r="C7257" s="1" t="s">
        <v>17</v>
      </c>
      <c r="D7257" s="3">
        <f t="shared" si="1093"/>
        <v>7981</v>
      </c>
      <c r="E7257" s="2">
        <f t="shared" si="1094"/>
        <v>42675</v>
      </c>
      <c r="F7257" s="2">
        <f t="shared" si="1095"/>
        <v>42766</v>
      </c>
    </row>
    <row r="7258" spans="1:6" x14ac:dyDescent="0.25">
      <c r="A7258" s="1" t="s">
        <v>455</v>
      </c>
      <c r="B7258" s="1" t="s">
        <v>2258</v>
      </c>
      <c r="C7258" s="1" t="s">
        <v>258</v>
      </c>
      <c r="D7258" s="3">
        <f t="shared" si="1093"/>
        <v>7981</v>
      </c>
      <c r="E7258" s="2">
        <f t="shared" si="1094"/>
        <v>42675</v>
      </c>
      <c r="F7258" s="2">
        <f t="shared" si="1095"/>
        <v>42766</v>
      </c>
    </row>
    <row r="7259" spans="1:6" x14ac:dyDescent="0.25">
      <c r="A7259" s="1" t="s">
        <v>455</v>
      </c>
      <c r="B7259" s="1" t="s">
        <v>2258</v>
      </c>
      <c r="C7259" s="1" t="s">
        <v>148</v>
      </c>
      <c r="D7259" s="3">
        <f t="shared" si="1093"/>
        <v>7981</v>
      </c>
      <c r="E7259" s="2">
        <f t="shared" si="1094"/>
        <v>42675</v>
      </c>
      <c r="F7259" s="2">
        <f t="shared" si="1095"/>
        <v>42766</v>
      </c>
    </row>
    <row r="7260" spans="1:6" x14ac:dyDescent="0.25">
      <c r="A7260" s="1" t="s">
        <v>455</v>
      </c>
      <c r="B7260" s="1" t="s">
        <v>2258</v>
      </c>
      <c r="C7260" s="1" t="s">
        <v>92</v>
      </c>
      <c r="D7260" s="3">
        <f t="shared" si="1093"/>
        <v>7981</v>
      </c>
      <c r="E7260" s="2">
        <f t="shared" si="1094"/>
        <v>42675</v>
      </c>
      <c r="F7260" s="2">
        <f t="shared" si="1095"/>
        <v>42766</v>
      </c>
    </row>
    <row r="7261" spans="1:6" x14ac:dyDescent="0.25">
      <c r="A7261" s="1" t="s">
        <v>455</v>
      </c>
      <c r="B7261" s="1" t="s">
        <v>2258</v>
      </c>
      <c r="C7261" s="1" t="s">
        <v>24</v>
      </c>
      <c r="D7261" s="3">
        <f t="shared" si="1093"/>
        <v>7981</v>
      </c>
      <c r="E7261" s="2">
        <f t="shared" si="1094"/>
        <v>42675</v>
      </c>
      <c r="F7261" s="2">
        <f t="shared" si="1095"/>
        <v>42766</v>
      </c>
    </row>
    <row r="7262" spans="1:6" x14ac:dyDescent="0.25">
      <c r="A7262" s="1" t="s">
        <v>455</v>
      </c>
      <c r="B7262" s="1" t="s">
        <v>2258</v>
      </c>
      <c r="C7262" s="1" t="s">
        <v>457</v>
      </c>
      <c r="D7262" s="3">
        <f t="shared" si="1093"/>
        <v>7981</v>
      </c>
      <c r="E7262" s="2">
        <f t="shared" si="1094"/>
        <v>42675</v>
      </c>
      <c r="F7262" s="2">
        <f t="shared" si="1095"/>
        <v>42766</v>
      </c>
    </row>
    <row r="7263" spans="1:6" x14ac:dyDescent="0.25">
      <c r="A7263" s="1" t="s">
        <v>455</v>
      </c>
      <c r="B7263" s="1" t="s">
        <v>2258</v>
      </c>
      <c r="C7263" s="1" t="s">
        <v>73</v>
      </c>
      <c r="D7263" s="3">
        <f t="shared" si="1093"/>
        <v>7981</v>
      </c>
      <c r="E7263" s="2">
        <f t="shared" si="1094"/>
        <v>42675</v>
      </c>
      <c r="F7263" s="2">
        <f t="shared" si="1095"/>
        <v>42766</v>
      </c>
    </row>
    <row r="7264" spans="1:6" x14ac:dyDescent="0.25">
      <c r="A7264" s="1" t="s">
        <v>455</v>
      </c>
      <c r="B7264" s="1" t="s">
        <v>2258</v>
      </c>
      <c r="C7264" s="1" t="s">
        <v>378</v>
      </c>
      <c r="D7264" s="3">
        <f t="shared" si="1093"/>
        <v>7981</v>
      </c>
      <c r="E7264" s="2">
        <f t="shared" si="1094"/>
        <v>42675</v>
      </c>
      <c r="F7264" s="2">
        <f t="shared" si="1095"/>
        <v>42766</v>
      </c>
    </row>
    <row r="7265" spans="1:6" x14ac:dyDescent="0.25">
      <c r="A7265" s="1" t="s">
        <v>455</v>
      </c>
      <c r="B7265" s="1" t="s">
        <v>2258</v>
      </c>
      <c r="C7265" s="1" t="s">
        <v>34</v>
      </c>
      <c r="D7265" s="3">
        <f t="shared" si="1093"/>
        <v>7981</v>
      </c>
      <c r="E7265" s="2">
        <f t="shared" si="1094"/>
        <v>42675</v>
      </c>
      <c r="F7265" s="2">
        <f t="shared" si="1095"/>
        <v>42766</v>
      </c>
    </row>
    <row r="7266" spans="1:6" x14ac:dyDescent="0.25">
      <c r="A7266" s="1" t="s">
        <v>455</v>
      </c>
      <c r="B7266" s="1" t="s">
        <v>2258</v>
      </c>
      <c r="C7266" s="1" t="s">
        <v>169</v>
      </c>
      <c r="D7266" s="3">
        <f t="shared" si="1093"/>
        <v>7981</v>
      </c>
      <c r="E7266" s="2">
        <f t="shared" si="1094"/>
        <v>42675</v>
      </c>
      <c r="F7266" s="2">
        <f t="shared" si="1095"/>
        <v>42766</v>
      </c>
    </row>
    <row r="7267" spans="1:6" x14ac:dyDescent="0.25">
      <c r="A7267" s="1" t="s">
        <v>455</v>
      </c>
      <c r="B7267" s="1" t="s">
        <v>2258</v>
      </c>
      <c r="C7267" s="1" t="s">
        <v>170</v>
      </c>
      <c r="D7267" s="3">
        <f t="shared" si="1093"/>
        <v>7981</v>
      </c>
      <c r="E7267" s="2">
        <f t="shared" si="1094"/>
        <v>42675</v>
      </c>
      <c r="F7267" s="2">
        <f t="shared" si="1095"/>
        <v>42766</v>
      </c>
    </row>
    <row r="7268" spans="1:6" x14ac:dyDescent="0.25">
      <c r="A7268" s="1" t="s">
        <v>455</v>
      </c>
      <c r="B7268" s="1" t="s">
        <v>1973</v>
      </c>
      <c r="C7268" s="1" t="s">
        <v>85</v>
      </c>
      <c r="D7268" s="3">
        <f t="shared" ref="D7268:D7280" si="1096">VALUE("7744")</f>
        <v>7744</v>
      </c>
      <c r="E7268" s="2">
        <f t="shared" ref="E7268:E7280" si="1097">DATEVALUE("1-6-2015")</f>
        <v>42156</v>
      </c>
      <c r="F7268" s="2">
        <f t="shared" ref="F7268:F7280" si="1098">DATEVALUE("30-11-2016")</f>
        <v>42704</v>
      </c>
    </row>
    <row r="7269" spans="1:6" x14ac:dyDescent="0.25">
      <c r="A7269" s="1" t="s">
        <v>455</v>
      </c>
      <c r="B7269" s="1" t="s">
        <v>1973</v>
      </c>
      <c r="C7269" s="1" t="s">
        <v>84</v>
      </c>
      <c r="D7269" s="3">
        <f t="shared" si="1096"/>
        <v>7744</v>
      </c>
      <c r="E7269" s="2">
        <f t="shared" si="1097"/>
        <v>42156</v>
      </c>
      <c r="F7269" s="2">
        <f t="shared" si="1098"/>
        <v>42704</v>
      </c>
    </row>
    <row r="7270" spans="1:6" x14ac:dyDescent="0.25">
      <c r="A7270" s="1" t="s">
        <v>455</v>
      </c>
      <c r="B7270" s="1" t="s">
        <v>1973</v>
      </c>
      <c r="C7270" s="1" t="s">
        <v>14</v>
      </c>
      <c r="D7270" s="3">
        <f t="shared" si="1096"/>
        <v>7744</v>
      </c>
      <c r="E7270" s="2">
        <f t="shared" si="1097"/>
        <v>42156</v>
      </c>
      <c r="F7270" s="2">
        <f t="shared" si="1098"/>
        <v>42704</v>
      </c>
    </row>
    <row r="7271" spans="1:6" x14ac:dyDescent="0.25">
      <c r="A7271" s="1" t="s">
        <v>455</v>
      </c>
      <c r="B7271" s="1" t="s">
        <v>1973</v>
      </c>
      <c r="C7271" s="1" t="s">
        <v>66</v>
      </c>
      <c r="D7271" s="3">
        <f t="shared" si="1096"/>
        <v>7744</v>
      </c>
      <c r="E7271" s="2">
        <f t="shared" si="1097"/>
        <v>42156</v>
      </c>
      <c r="F7271" s="2">
        <f t="shared" si="1098"/>
        <v>42704</v>
      </c>
    </row>
    <row r="7272" spans="1:6" x14ac:dyDescent="0.25">
      <c r="A7272" s="1" t="s">
        <v>455</v>
      </c>
      <c r="B7272" s="1" t="s">
        <v>1973</v>
      </c>
      <c r="C7272" s="1" t="s">
        <v>15</v>
      </c>
      <c r="D7272" s="3">
        <f t="shared" si="1096"/>
        <v>7744</v>
      </c>
      <c r="E7272" s="2">
        <f t="shared" si="1097"/>
        <v>42156</v>
      </c>
      <c r="F7272" s="2">
        <f t="shared" si="1098"/>
        <v>42704</v>
      </c>
    </row>
    <row r="7273" spans="1:6" x14ac:dyDescent="0.25">
      <c r="A7273" s="1" t="s">
        <v>455</v>
      </c>
      <c r="B7273" s="1" t="s">
        <v>1973</v>
      </c>
      <c r="C7273" s="1" t="s">
        <v>17</v>
      </c>
      <c r="D7273" s="3">
        <f t="shared" si="1096"/>
        <v>7744</v>
      </c>
      <c r="E7273" s="2">
        <f t="shared" si="1097"/>
        <v>42156</v>
      </c>
      <c r="F7273" s="2">
        <f t="shared" si="1098"/>
        <v>42704</v>
      </c>
    </row>
    <row r="7274" spans="1:6" x14ac:dyDescent="0.25">
      <c r="A7274" s="1" t="s">
        <v>455</v>
      </c>
      <c r="B7274" s="1" t="s">
        <v>1973</v>
      </c>
      <c r="C7274" s="1" t="s">
        <v>18</v>
      </c>
      <c r="D7274" s="3">
        <f t="shared" si="1096"/>
        <v>7744</v>
      </c>
      <c r="E7274" s="2">
        <f t="shared" si="1097"/>
        <v>42156</v>
      </c>
      <c r="F7274" s="2">
        <f t="shared" si="1098"/>
        <v>42704</v>
      </c>
    </row>
    <row r="7275" spans="1:6" x14ac:dyDescent="0.25">
      <c r="A7275" s="1" t="s">
        <v>455</v>
      </c>
      <c r="B7275" s="1" t="s">
        <v>1973</v>
      </c>
      <c r="C7275" s="1" t="s">
        <v>92</v>
      </c>
      <c r="D7275" s="3">
        <f t="shared" si="1096"/>
        <v>7744</v>
      </c>
      <c r="E7275" s="2">
        <f t="shared" si="1097"/>
        <v>42156</v>
      </c>
      <c r="F7275" s="2">
        <f t="shared" si="1098"/>
        <v>42704</v>
      </c>
    </row>
    <row r="7276" spans="1:6" x14ac:dyDescent="0.25">
      <c r="A7276" s="1" t="s">
        <v>455</v>
      </c>
      <c r="B7276" s="1" t="s">
        <v>1973</v>
      </c>
      <c r="C7276" s="1" t="s">
        <v>371</v>
      </c>
      <c r="D7276" s="3">
        <f t="shared" si="1096"/>
        <v>7744</v>
      </c>
      <c r="E7276" s="2">
        <f t="shared" si="1097"/>
        <v>42156</v>
      </c>
      <c r="F7276" s="2">
        <f t="shared" si="1098"/>
        <v>42704</v>
      </c>
    </row>
    <row r="7277" spans="1:6" x14ac:dyDescent="0.25">
      <c r="A7277" s="1" t="s">
        <v>455</v>
      </c>
      <c r="B7277" s="1" t="s">
        <v>1973</v>
      </c>
      <c r="C7277" s="1" t="s">
        <v>24</v>
      </c>
      <c r="D7277" s="3">
        <f t="shared" si="1096"/>
        <v>7744</v>
      </c>
      <c r="E7277" s="2">
        <f t="shared" si="1097"/>
        <v>42156</v>
      </c>
      <c r="F7277" s="2">
        <f t="shared" si="1098"/>
        <v>42704</v>
      </c>
    </row>
    <row r="7278" spans="1:6" x14ac:dyDescent="0.25">
      <c r="A7278" s="1" t="s">
        <v>455</v>
      </c>
      <c r="B7278" s="1" t="s">
        <v>1973</v>
      </c>
      <c r="C7278" s="1" t="s">
        <v>73</v>
      </c>
      <c r="D7278" s="3">
        <f t="shared" si="1096"/>
        <v>7744</v>
      </c>
      <c r="E7278" s="2">
        <f t="shared" si="1097"/>
        <v>42156</v>
      </c>
      <c r="F7278" s="2">
        <f t="shared" si="1098"/>
        <v>42704</v>
      </c>
    </row>
    <row r="7279" spans="1:6" x14ac:dyDescent="0.25">
      <c r="A7279" s="1" t="s">
        <v>455</v>
      </c>
      <c r="B7279" s="1" t="s">
        <v>1973</v>
      </c>
      <c r="C7279" s="1" t="s">
        <v>303</v>
      </c>
      <c r="D7279" s="3">
        <f t="shared" si="1096"/>
        <v>7744</v>
      </c>
      <c r="E7279" s="2">
        <f t="shared" si="1097"/>
        <v>42156</v>
      </c>
      <c r="F7279" s="2">
        <f t="shared" si="1098"/>
        <v>42704</v>
      </c>
    </row>
    <row r="7280" spans="1:6" x14ac:dyDescent="0.25">
      <c r="A7280" s="1" t="s">
        <v>455</v>
      </c>
      <c r="B7280" s="1" t="s">
        <v>1973</v>
      </c>
      <c r="C7280" s="1" t="s">
        <v>34</v>
      </c>
      <c r="D7280" s="3">
        <f t="shared" si="1096"/>
        <v>7744</v>
      </c>
      <c r="E7280" s="2">
        <f t="shared" si="1097"/>
        <v>42156</v>
      </c>
      <c r="F7280" s="2">
        <f t="shared" si="1098"/>
        <v>42704</v>
      </c>
    </row>
    <row r="7281" spans="1:6" x14ac:dyDescent="0.25">
      <c r="A7281" s="1" t="s">
        <v>455</v>
      </c>
      <c r="B7281" s="1" t="s">
        <v>454</v>
      </c>
      <c r="C7281" s="1" t="s">
        <v>39</v>
      </c>
      <c r="D7281" s="3">
        <f t="shared" ref="D7281:D7319" si="1099">VALUE("7659")</f>
        <v>7659</v>
      </c>
      <c r="E7281" s="2">
        <f t="shared" ref="E7281:E7319" si="1100">DATEVALUE("1-9-2014")</f>
        <v>41883</v>
      </c>
      <c r="F7281" s="2">
        <f t="shared" ref="F7281:F7319" si="1101">DATEVALUE("31-12-2020")</f>
        <v>44196</v>
      </c>
    </row>
    <row r="7282" spans="1:6" x14ac:dyDescent="0.25">
      <c r="A7282" s="1" t="s">
        <v>455</v>
      </c>
      <c r="B7282" s="1" t="s">
        <v>454</v>
      </c>
      <c r="C7282" s="1" t="s">
        <v>43</v>
      </c>
      <c r="D7282" s="3">
        <f t="shared" si="1099"/>
        <v>7659</v>
      </c>
      <c r="E7282" s="2">
        <f t="shared" si="1100"/>
        <v>41883</v>
      </c>
      <c r="F7282" s="2">
        <f t="shared" si="1101"/>
        <v>44196</v>
      </c>
    </row>
    <row r="7283" spans="1:6" x14ac:dyDescent="0.25">
      <c r="A7283" s="1" t="s">
        <v>455</v>
      </c>
      <c r="B7283" s="1" t="s">
        <v>454</v>
      </c>
      <c r="C7283" s="1" t="s">
        <v>289</v>
      </c>
      <c r="D7283" s="3">
        <f t="shared" si="1099"/>
        <v>7659</v>
      </c>
      <c r="E7283" s="2">
        <f t="shared" si="1100"/>
        <v>41883</v>
      </c>
      <c r="F7283" s="2">
        <f t="shared" si="1101"/>
        <v>44196</v>
      </c>
    </row>
    <row r="7284" spans="1:6" x14ac:dyDescent="0.25">
      <c r="A7284" s="1" t="s">
        <v>455</v>
      </c>
      <c r="B7284" s="1" t="s">
        <v>454</v>
      </c>
      <c r="C7284" s="1" t="s">
        <v>375</v>
      </c>
      <c r="D7284" s="3">
        <f t="shared" si="1099"/>
        <v>7659</v>
      </c>
      <c r="E7284" s="2">
        <f t="shared" si="1100"/>
        <v>41883</v>
      </c>
      <c r="F7284" s="2">
        <f t="shared" si="1101"/>
        <v>44196</v>
      </c>
    </row>
    <row r="7285" spans="1:6" x14ac:dyDescent="0.25">
      <c r="A7285" s="1" t="s">
        <v>455</v>
      </c>
      <c r="B7285" s="1" t="s">
        <v>454</v>
      </c>
      <c r="C7285" s="1" t="s">
        <v>45</v>
      </c>
      <c r="D7285" s="3">
        <f t="shared" si="1099"/>
        <v>7659</v>
      </c>
      <c r="E7285" s="2">
        <f t="shared" si="1100"/>
        <v>41883</v>
      </c>
      <c r="F7285" s="2">
        <f t="shared" si="1101"/>
        <v>44196</v>
      </c>
    </row>
    <row r="7286" spans="1:6" x14ac:dyDescent="0.25">
      <c r="A7286" s="1" t="s">
        <v>455</v>
      </c>
      <c r="B7286" s="1" t="s">
        <v>454</v>
      </c>
      <c r="C7286" s="1" t="s">
        <v>44</v>
      </c>
      <c r="D7286" s="3">
        <f t="shared" si="1099"/>
        <v>7659</v>
      </c>
      <c r="E7286" s="2">
        <f t="shared" si="1100"/>
        <v>41883</v>
      </c>
      <c r="F7286" s="2">
        <f t="shared" si="1101"/>
        <v>44196</v>
      </c>
    </row>
    <row r="7287" spans="1:6" x14ac:dyDescent="0.25">
      <c r="A7287" s="1" t="s">
        <v>455</v>
      </c>
      <c r="B7287" s="1" t="s">
        <v>454</v>
      </c>
      <c r="C7287" s="1" t="s">
        <v>14</v>
      </c>
      <c r="D7287" s="3">
        <f t="shared" si="1099"/>
        <v>7659</v>
      </c>
      <c r="E7287" s="2">
        <f t="shared" si="1100"/>
        <v>41883</v>
      </c>
      <c r="F7287" s="2">
        <f t="shared" si="1101"/>
        <v>44196</v>
      </c>
    </row>
    <row r="7288" spans="1:6" x14ac:dyDescent="0.25">
      <c r="A7288" s="1" t="s">
        <v>455</v>
      </c>
      <c r="B7288" s="1" t="s">
        <v>454</v>
      </c>
      <c r="C7288" s="1" t="s">
        <v>15</v>
      </c>
      <c r="D7288" s="3">
        <f t="shared" si="1099"/>
        <v>7659</v>
      </c>
      <c r="E7288" s="2">
        <f t="shared" si="1100"/>
        <v>41883</v>
      </c>
      <c r="F7288" s="2">
        <f t="shared" si="1101"/>
        <v>44196</v>
      </c>
    </row>
    <row r="7289" spans="1:6" x14ac:dyDescent="0.25">
      <c r="A7289" s="1" t="s">
        <v>455</v>
      </c>
      <c r="B7289" s="1" t="s">
        <v>454</v>
      </c>
      <c r="C7289" s="1" t="s">
        <v>17</v>
      </c>
      <c r="D7289" s="3">
        <f t="shared" si="1099"/>
        <v>7659</v>
      </c>
      <c r="E7289" s="2">
        <f t="shared" si="1100"/>
        <v>41883</v>
      </c>
      <c r="F7289" s="2">
        <f t="shared" si="1101"/>
        <v>44196</v>
      </c>
    </row>
    <row r="7290" spans="1:6" x14ac:dyDescent="0.25">
      <c r="A7290" s="1" t="s">
        <v>455</v>
      </c>
      <c r="B7290" s="1" t="s">
        <v>454</v>
      </c>
      <c r="C7290" s="1" t="s">
        <v>47</v>
      </c>
      <c r="D7290" s="3">
        <f t="shared" si="1099"/>
        <v>7659</v>
      </c>
      <c r="E7290" s="2">
        <f t="shared" si="1100"/>
        <v>41883</v>
      </c>
      <c r="F7290" s="2">
        <f t="shared" si="1101"/>
        <v>44196</v>
      </c>
    </row>
    <row r="7291" spans="1:6" x14ac:dyDescent="0.25">
      <c r="A7291" s="1" t="s">
        <v>455</v>
      </c>
      <c r="B7291" s="1" t="s">
        <v>454</v>
      </c>
      <c r="C7291" s="1" t="s">
        <v>417</v>
      </c>
      <c r="D7291" s="3">
        <f t="shared" si="1099"/>
        <v>7659</v>
      </c>
      <c r="E7291" s="2">
        <f t="shared" si="1100"/>
        <v>41883</v>
      </c>
      <c r="F7291" s="2">
        <f t="shared" si="1101"/>
        <v>44196</v>
      </c>
    </row>
    <row r="7292" spans="1:6" x14ac:dyDescent="0.25">
      <c r="A7292" s="1" t="s">
        <v>455</v>
      </c>
      <c r="B7292" s="1" t="s">
        <v>454</v>
      </c>
      <c r="C7292" s="1" t="s">
        <v>146</v>
      </c>
      <c r="D7292" s="3">
        <f t="shared" si="1099"/>
        <v>7659</v>
      </c>
      <c r="E7292" s="2">
        <f t="shared" si="1100"/>
        <v>41883</v>
      </c>
      <c r="F7292" s="2">
        <f t="shared" si="1101"/>
        <v>44196</v>
      </c>
    </row>
    <row r="7293" spans="1:6" x14ac:dyDescent="0.25">
      <c r="A7293" s="1" t="s">
        <v>455</v>
      </c>
      <c r="B7293" s="1" t="s">
        <v>454</v>
      </c>
      <c r="C7293" s="1" t="s">
        <v>67</v>
      </c>
      <c r="D7293" s="3">
        <f t="shared" si="1099"/>
        <v>7659</v>
      </c>
      <c r="E7293" s="2">
        <f t="shared" si="1100"/>
        <v>41883</v>
      </c>
      <c r="F7293" s="2">
        <f t="shared" si="1101"/>
        <v>44196</v>
      </c>
    </row>
    <row r="7294" spans="1:6" x14ac:dyDescent="0.25">
      <c r="A7294" s="1" t="s">
        <v>455</v>
      </c>
      <c r="B7294" s="1" t="s">
        <v>454</v>
      </c>
      <c r="C7294" s="1" t="s">
        <v>384</v>
      </c>
      <c r="D7294" s="3">
        <f t="shared" si="1099"/>
        <v>7659</v>
      </c>
      <c r="E7294" s="2">
        <f t="shared" si="1100"/>
        <v>41883</v>
      </c>
      <c r="F7294" s="2">
        <f t="shared" si="1101"/>
        <v>44196</v>
      </c>
    </row>
    <row r="7295" spans="1:6" x14ac:dyDescent="0.25">
      <c r="A7295" s="1" t="s">
        <v>455</v>
      </c>
      <c r="B7295" s="1" t="s">
        <v>454</v>
      </c>
      <c r="C7295" s="1" t="s">
        <v>147</v>
      </c>
      <c r="D7295" s="3">
        <f t="shared" si="1099"/>
        <v>7659</v>
      </c>
      <c r="E7295" s="2">
        <f t="shared" si="1100"/>
        <v>41883</v>
      </c>
      <c r="F7295" s="2">
        <f t="shared" si="1101"/>
        <v>44196</v>
      </c>
    </row>
    <row r="7296" spans="1:6" x14ac:dyDescent="0.25">
      <c r="A7296" s="1" t="s">
        <v>455</v>
      </c>
      <c r="B7296" s="1" t="s">
        <v>454</v>
      </c>
      <c r="C7296" s="1" t="s">
        <v>148</v>
      </c>
      <c r="D7296" s="3">
        <f t="shared" si="1099"/>
        <v>7659</v>
      </c>
      <c r="E7296" s="2">
        <f t="shared" si="1100"/>
        <v>41883</v>
      </c>
      <c r="F7296" s="2">
        <f t="shared" si="1101"/>
        <v>44196</v>
      </c>
    </row>
    <row r="7297" spans="1:6" x14ac:dyDescent="0.25">
      <c r="A7297" s="1" t="s">
        <v>455</v>
      </c>
      <c r="B7297" s="1" t="s">
        <v>454</v>
      </c>
      <c r="C7297" s="1" t="s">
        <v>385</v>
      </c>
      <c r="D7297" s="3">
        <f t="shared" si="1099"/>
        <v>7659</v>
      </c>
      <c r="E7297" s="2">
        <f t="shared" si="1100"/>
        <v>41883</v>
      </c>
      <c r="F7297" s="2">
        <f t="shared" si="1101"/>
        <v>44196</v>
      </c>
    </row>
    <row r="7298" spans="1:6" x14ac:dyDescent="0.25">
      <c r="A7298" s="1" t="s">
        <v>455</v>
      </c>
      <c r="B7298" s="1" t="s">
        <v>454</v>
      </c>
      <c r="C7298" s="1" t="s">
        <v>386</v>
      </c>
      <c r="D7298" s="3">
        <f t="shared" si="1099"/>
        <v>7659</v>
      </c>
      <c r="E7298" s="2">
        <f t="shared" si="1100"/>
        <v>41883</v>
      </c>
      <c r="F7298" s="2">
        <f t="shared" si="1101"/>
        <v>44196</v>
      </c>
    </row>
    <row r="7299" spans="1:6" x14ac:dyDescent="0.25">
      <c r="A7299" s="1" t="s">
        <v>455</v>
      </c>
      <c r="B7299" s="1" t="s">
        <v>454</v>
      </c>
      <c r="C7299" s="1" t="s">
        <v>387</v>
      </c>
      <c r="D7299" s="3">
        <f t="shared" si="1099"/>
        <v>7659</v>
      </c>
      <c r="E7299" s="2">
        <f t="shared" si="1100"/>
        <v>41883</v>
      </c>
      <c r="F7299" s="2">
        <f t="shared" si="1101"/>
        <v>44196</v>
      </c>
    </row>
    <row r="7300" spans="1:6" x14ac:dyDescent="0.25">
      <c r="A7300" s="1" t="s">
        <v>455</v>
      </c>
      <c r="B7300" s="1" t="s">
        <v>454</v>
      </c>
      <c r="C7300" s="1" t="s">
        <v>388</v>
      </c>
      <c r="D7300" s="3">
        <f t="shared" si="1099"/>
        <v>7659</v>
      </c>
      <c r="E7300" s="2">
        <f t="shared" si="1100"/>
        <v>41883</v>
      </c>
      <c r="F7300" s="2">
        <f t="shared" si="1101"/>
        <v>44196</v>
      </c>
    </row>
    <row r="7301" spans="1:6" x14ac:dyDescent="0.25">
      <c r="A7301" s="1" t="s">
        <v>455</v>
      </c>
      <c r="B7301" s="1" t="s">
        <v>454</v>
      </c>
      <c r="C7301" s="1" t="s">
        <v>456</v>
      </c>
      <c r="D7301" s="3">
        <f t="shared" si="1099"/>
        <v>7659</v>
      </c>
      <c r="E7301" s="2">
        <f t="shared" si="1100"/>
        <v>41883</v>
      </c>
      <c r="F7301" s="2">
        <f t="shared" si="1101"/>
        <v>44196</v>
      </c>
    </row>
    <row r="7302" spans="1:6" x14ac:dyDescent="0.25">
      <c r="A7302" s="1" t="s">
        <v>455</v>
      </c>
      <c r="B7302" s="1" t="s">
        <v>454</v>
      </c>
      <c r="C7302" s="1" t="s">
        <v>389</v>
      </c>
      <c r="D7302" s="3">
        <f t="shared" si="1099"/>
        <v>7659</v>
      </c>
      <c r="E7302" s="2">
        <f t="shared" si="1100"/>
        <v>41883</v>
      </c>
      <c r="F7302" s="2">
        <f t="shared" si="1101"/>
        <v>44196</v>
      </c>
    </row>
    <row r="7303" spans="1:6" x14ac:dyDescent="0.25">
      <c r="A7303" s="1" t="s">
        <v>455</v>
      </c>
      <c r="B7303" s="1" t="s">
        <v>454</v>
      </c>
      <c r="C7303" s="1" t="s">
        <v>390</v>
      </c>
      <c r="D7303" s="3">
        <f t="shared" si="1099"/>
        <v>7659</v>
      </c>
      <c r="E7303" s="2">
        <f t="shared" si="1100"/>
        <v>41883</v>
      </c>
      <c r="F7303" s="2">
        <f t="shared" si="1101"/>
        <v>44196</v>
      </c>
    </row>
    <row r="7304" spans="1:6" x14ac:dyDescent="0.25">
      <c r="A7304" s="1" t="s">
        <v>455</v>
      </c>
      <c r="B7304" s="1" t="s">
        <v>454</v>
      </c>
      <c r="C7304" s="1" t="s">
        <v>92</v>
      </c>
      <c r="D7304" s="3">
        <f t="shared" si="1099"/>
        <v>7659</v>
      </c>
      <c r="E7304" s="2">
        <f t="shared" si="1100"/>
        <v>41883</v>
      </c>
      <c r="F7304" s="2">
        <f t="shared" si="1101"/>
        <v>44196</v>
      </c>
    </row>
    <row r="7305" spans="1:6" x14ac:dyDescent="0.25">
      <c r="A7305" s="1" t="s">
        <v>455</v>
      </c>
      <c r="B7305" s="1" t="s">
        <v>454</v>
      </c>
      <c r="C7305" s="1" t="s">
        <v>24</v>
      </c>
      <c r="D7305" s="3">
        <f t="shared" si="1099"/>
        <v>7659</v>
      </c>
      <c r="E7305" s="2">
        <f t="shared" si="1100"/>
        <v>41883</v>
      </c>
      <c r="F7305" s="2">
        <f t="shared" si="1101"/>
        <v>44196</v>
      </c>
    </row>
    <row r="7306" spans="1:6" x14ac:dyDescent="0.25">
      <c r="A7306" s="1" t="s">
        <v>455</v>
      </c>
      <c r="B7306" s="1" t="s">
        <v>454</v>
      </c>
      <c r="C7306" s="1" t="s">
        <v>50</v>
      </c>
      <c r="D7306" s="3">
        <f t="shared" si="1099"/>
        <v>7659</v>
      </c>
      <c r="E7306" s="2">
        <f t="shared" si="1100"/>
        <v>41883</v>
      </c>
      <c r="F7306" s="2">
        <f t="shared" si="1101"/>
        <v>44196</v>
      </c>
    </row>
    <row r="7307" spans="1:6" x14ac:dyDescent="0.25">
      <c r="A7307" s="1" t="s">
        <v>455</v>
      </c>
      <c r="B7307" s="1" t="s">
        <v>454</v>
      </c>
      <c r="C7307" s="1" t="s">
        <v>70</v>
      </c>
      <c r="D7307" s="3">
        <f t="shared" si="1099"/>
        <v>7659</v>
      </c>
      <c r="E7307" s="2">
        <f t="shared" si="1100"/>
        <v>41883</v>
      </c>
      <c r="F7307" s="2">
        <f t="shared" si="1101"/>
        <v>44196</v>
      </c>
    </row>
    <row r="7308" spans="1:6" x14ac:dyDescent="0.25">
      <c r="A7308" s="1" t="s">
        <v>455</v>
      </c>
      <c r="B7308" s="1" t="s">
        <v>454</v>
      </c>
      <c r="C7308" s="1" t="s">
        <v>457</v>
      </c>
      <c r="D7308" s="3">
        <f t="shared" si="1099"/>
        <v>7659</v>
      </c>
      <c r="E7308" s="2">
        <f t="shared" si="1100"/>
        <v>41883</v>
      </c>
      <c r="F7308" s="2">
        <f t="shared" si="1101"/>
        <v>44196</v>
      </c>
    </row>
    <row r="7309" spans="1:6" x14ac:dyDescent="0.25">
      <c r="A7309" s="1" t="s">
        <v>455</v>
      </c>
      <c r="B7309" s="1" t="s">
        <v>454</v>
      </c>
      <c r="C7309" s="1" t="s">
        <v>51</v>
      </c>
      <c r="D7309" s="3">
        <f t="shared" si="1099"/>
        <v>7659</v>
      </c>
      <c r="E7309" s="2">
        <f t="shared" si="1100"/>
        <v>41883</v>
      </c>
      <c r="F7309" s="2">
        <f t="shared" si="1101"/>
        <v>44196</v>
      </c>
    </row>
    <row r="7310" spans="1:6" x14ac:dyDescent="0.25">
      <c r="A7310" s="1" t="s">
        <v>455</v>
      </c>
      <c r="B7310" s="1" t="s">
        <v>454</v>
      </c>
      <c r="C7310" s="1" t="s">
        <v>73</v>
      </c>
      <c r="D7310" s="3">
        <f t="shared" si="1099"/>
        <v>7659</v>
      </c>
      <c r="E7310" s="2">
        <f t="shared" si="1100"/>
        <v>41883</v>
      </c>
      <c r="F7310" s="2">
        <f t="shared" si="1101"/>
        <v>44196</v>
      </c>
    </row>
    <row r="7311" spans="1:6" x14ac:dyDescent="0.25">
      <c r="A7311" s="1" t="s">
        <v>455</v>
      </c>
      <c r="B7311" s="1" t="s">
        <v>454</v>
      </c>
      <c r="C7311" s="1" t="s">
        <v>458</v>
      </c>
      <c r="D7311" s="3">
        <f t="shared" si="1099"/>
        <v>7659</v>
      </c>
      <c r="E7311" s="2">
        <f t="shared" si="1100"/>
        <v>41883</v>
      </c>
      <c r="F7311" s="2">
        <f t="shared" si="1101"/>
        <v>44196</v>
      </c>
    </row>
    <row r="7312" spans="1:6" x14ac:dyDescent="0.25">
      <c r="A7312" s="1" t="s">
        <v>455</v>
      </c>
      <c r="B7312" s="1" t="s">
        <v>454</v>
      </c>
      <c r="C7312" s="1" t="s">
        <v>459</v>
      </c>
      <c r="D7312" s="3">
        <f t="shared" si="1099"/>
        <v>7659</v>
      </c>
      <c r="E7312" s="2">
        <f t="shared" si="1100"/>
        <v>41883</v>
      </c>
      <c r="F7312" s="2">
        <f t="shared" si="1101"/>
        <v>44196</v>
      </c>
    </row>
    <row r="7313" spans="1:6" x14ac:dyDescent="0.25">
      <c r="A7313" s="1" t="s">
        <v>455</v>
      </c>
      <c r="B7313" s="1" t="s">
        <v>454</v>
      </c>
      <c r="C7313" s="1" t="s">
        <v>303</v>
      </c>
      <c r="D7313" s="3">
        <f t="shared" si="1099"/>
        <v>7659</v>
      </c>
      <c r="E7313" s="2">
        <f t="shared" si="1100"/>
        <v>41883</v>
      </c>
      <c r="F7313" s="2">
        <f t="shared" si="1101"/>
        <v>44196</v>
      </c>
    </row>
    <row r="7314" spans="1:6" x14ac:dyDescent="0.25">
      <c r="A7314" s="1" t="s">
        <v>455</v>
      </c>
      <c r="B7314" s="1" t="s">
        <v>454</v>
      </c>
      <c r="C7314" s="1" t="s">
        <v>34</v>
      </c>
      <c r="D7314" s="3">
        <f t="shared" si="1099"/>
        <v>7659</v>
      </c>
      <c r="E7314" s="2">
        <f t="shared" si="1100"/>
        <v>41883</v>
      </c>
      <c r="F7314" s="2">
        <f t="shared" si="1101"/>
        <v>44196</v>
      </c>
    </row>
    <row r="7315" spans="1:6" x14ac:dyDescent="0.25">
      <c r="A7315" s="1" t="s">
        <v>455</v>
      </c>
      <c r="B7315" s="1" t="s">
        <v>454</v>
      </c>
      <c r="C7315" s="1" t="s">
        <v>55</v>
      </c>
      <c r="D7315" s="3">
        <f t="shared" si="1099"/>
        <v>7659</v>
      </c>
      <c r="E7315" s="2">
        <f t="shared" si="1100"/>
        <v>41883</v>
      </c>
      <c r="F7315" s="2">
        <f t="shared" si="1101"/>
        <v>44196</v>
      </c>
    </row>
    <row r="7316" spans="1:6" x14ac:dyDescent="0.25">
      <c r="A7316" s="1" t="s">
        <v>455</v>
      </c>
      <c r="B7316" s="1" t="s">
        <v>454</v>
      </c>
      <c r="C7316" s="1" t="s">
        <v>306</v>
      </c>
      <c r="D7316" s="3">
        <f t="shared" si="1099"/>
        <v>7659</v>
      </c>
      <c r="E7316" s="2">
        <f t="shared" si="1100"/>
        <v>41883</v>
      </c>
      <c r="F7316" s="2">
        <f t="shared" si="1101"/>
        <v>44196</v>
      </c>
    </row>
    <row r="7317" spans="1:6" x14ac:dyDescent="0.25">
      <c r="A7317" s="1" t="s">
        <v>455</v>
      </c>
      <c r="B7317" s="1" t="s">
        <v>454</v>
      </c>
      <c r="C7317" s="1" t="s">
        <v>57</v>
      </c>
      <c r="D7317" s="3">
        <f t="shared" si="1099"/>
        <v>7659</v>
      </c>
      <c r="E7317" s="2">
        <f t="shared" si="1100"/>
        <v>41883</v>
      </c>
      <c r="F7317" s="2">
        <f t="shared" si="1101"/>
        <v>44196</v>
      </c>
    </row>
    <row r="7318" spans="1:6" x14ac:dyDescent="0.25">
      <c r="A7318" s="1" t="s">
        <v>455</v>
      </c>
      <c r="B7318" s="1" t="s">
        <v>454</v>
      </c>
      <c r="C7318" s="1" t="s">
        <v>169</v>
      </c>
      <c r="D7318" s="3">
        <f t="shared" si="1099"/>
        <v>7659</v>
      </c>
      <c r="E7318" s="2">
        <f t="shared" si="1100"/>
        <v>41883</v>
      </c>
      <c r="F7318" s="2">
        <f t="shared" si="1101"/>
        <v>44196</v>
      </c>
    </row>
    <row r="7319" spans="1:6" x14ac:dyDescent="0.25">
      <c r="A7319" s="1" t="s">
        <v>455</v>
      </c>
      <c r="B7319" s="1" t="s">
        <v>454</v>
      </c>
      <c r="C7319" s="1" t="s">
        <v>170</v>
      </c>
      <c r="D7319" s="3">
        <f t="shared" si="1099"/>
        <v>7659</v>
      </c>
      <c r="E7319" s="2">
        <f t="shared" si="1100"/>
        <v>41883</v>
      </c>
      <c r="F7319" s="2">
        <f t="shared" si="1101"/>
        <v>44196</v>
      </c>
    </row>
    <row r="7320" spans="1:6" x14ac:dyDescent="0.25">
      <c r="A7320" s="1" t="s">
        <v>340</v>
      </c>
      <c r="B7320" s="1" t="s">
        <v>1576</v>
      </c>
      <c r="C7320" s="1" t="s">
        <v>85</v>
      </c>
      <c r="D7320" s="3">
        <f>VALUE("8758")</f>
        <v>8758</v>
      </c>
      <c r="E7320" s="2">
        <f>DATEVALUE("1-10-2020")</f>
        <v>44105</v>
      </c>
      <c r="F7320" s="2">
        <f t="shared" ref="F7320:F7325" si="1102">DATEVALUE("31-7-2021")</f>
        <v>44408</v>
      </c>
    </row>
    <row r="7321" spans="1:6" x14ac:dyDescent="0.25">
      <c r="A7321" s="1" t="s">
        <v>340</v>
      </c>
      <c r="B7321" s="1" t="s">
        <v>1576</v>
      </c>
      <c r="C7321" s="1" t="s">
        <v>84</v>
      </c>
      <c r="D7321" s="3">
        <f>VALUE("8758")</f>
        <v>8758</v>
      </c>
      <c r="E7321" s="2">
        <f>DATEVALUE("1-10-2020")</f>
        <v>44105</v>
      </c>
      <c r="F7321" s="2">
        <f t="shared" si="1102"/>
        <v>44408</v>
      </c>
    </row>
    <row r="7322" spans="1:6" x14ac:dyDescent="0.25">
      <c r="A7322" s="1" t="s">
        <v>340</v>
      </c>
      <c r="B7322" s="1" t="s">
        <v>1576</v>
      </c>
      <c r="C7322" s="1" t="s">
        <v>128</v>
      </c>
      <c r="D7322" s="3">
        <f>VALUE("8758")</f>
        <v>8758</v>
      </c>
      <c r="E7322" s="2">
        <f>DATEVALUE("1-10-2020")</f>
        <v>44105</v>
      </c>
      <c r="F7322" s="2">
        <f t="shared" si="1102"/>
        <v>44408</v>
      </c>
    </row>
    <row r="7323" spans="1:6" x14ac:dyDescent="0.25">
      <c r="A7323" s="1" t="s">
        <v>340</v>
      </c>
      <c r="B7323" s="1" t="s">
        <v>1576</v>
      </c>
      <c r="C7323" s="1" t="s">
        <v>93</v>
      </c>
      <c r="D7323" s="3">
        <f>VALUE("8758")</f>
        <v>8758</v>
      </c>
      <c r="E7323" s="2">
        <f>DATEVALUE("1-10-2020")</f>
        <v>44105</v>
      </c>
      <c r="F7323" s="2">
        <f t="shared" si="1102"/>
        <v>44408</v>
      </c>
    </row>
    <row r="7324" spans="1:6" x14ac:dyDescent="0.25">
      <c r="A7324" s="1" t="s">
        <v>340</v>
      </c>
      <c r="B7324" s="1" t="s">
        <v>1414</v>
      </c>
      <c r="C7324" s="1" t="s">
        <v>84</v>
      </c>
      <c r="D7324" s="3">
        <f>VALUE("8630")</f>
        <v>8630</v>
      </c>
      <c r="E7324" s="2">
        <f>DATEVALUE("1-11-2019")</f>
        <v>43770</v>
      </c>
      <c r="F7324" s="2">
        <f t="shared" si="1102"/>
        <v>44408</v>
      </c>
    </row>
    <row r="7325" spans="1:6" x14ac:dyDescent="0.25">
      <c r="A7325" s="1" t="s">
        <v>340</v>
      </c>
      <c r="B7325" s="1" t="s">
        <v>1414</v>
      </c>
      <c r="C7325" s="1" t="s">
        <v>89</v>
      </c>
      <c r="D7325" s="3">
        <f>VALUE("8630")</f>
        <v>8630</v>
      </c>
      <c r="E7325" s="2">
        <f>DATEVALUE("1-11-2019")</f>
        <v>43770</v>
      </c>
      <c r="F7325" s="2">
        <f t="shared" si="1102"/>
        <v>44408</v>
      </c>
    </row>
    <row r="7326" spans="1:6" x14ac:dyDescent="0.25">
      <c r="A7326" s="1" t="s">
        <v>340</v>
      </c>
      <c r="B7326" s="1" t="s">
        <v>2375</v>
      </c>
      <c r="C7326" s="1" t="s">
        <v>85</v>
      </c>
      <c r="D7326" s="3">
        <f>VALUE("8311")</f>
        <v>8311</v>
      </c>
      <c r="E7326" s="2">
        <f>DATEVALUE("1-9-2018")</f>
        <v>43344</v>
      </c>
      <c r="F7326" s="2">
        <f>DATEVALUE("30-6-2020")</f>
        <v>44012</v>
      </c>
    </row>
    <row r="7327" spans="1:6" x14ac:dyDescent="0.25">
      <c r="A7327" s="1" t="s">
        <v>340</v>
      </c>
      <c r="B7327" s="1" t="s">
        <v>2375</v>
      </c>
      <c r="C7327" s="1" t="s">
        <v>84</v>
      </c>
      <c r="D7327" s="3">
        <f>VALUE("8311")</f>
        <v>8311</v>
      </c>
      <c r="E7327" s="2">
        <f>DATEVALUE("1-9-2018")</f>
        <v>43344</v>
      </c>
      <c r="F7327" s="2">
        <f>DATEVALUE("30-6-2020")</f>
        <v>44012</v>
      </c>
    </row>
    <row r="7328" spans="1:6" x14ac:dyDescent="0.25">
      <c r="A7328" s="1" t="s">
        <v>340</v>
      </c>
      <c r="B7328" s="1" t="s">
        <v>2375</v>
      </c>
      <c r="C7328" s="1" t="s">
        <v>89</v>
      </c>
      <c r="D7328" s="3">
        <f>VALUE("8311")</f>
        <v>8311</v>
      </c>
      <c r="E7328" s="2">
        <f>DATEVALUE("1-9-2018")</f>
        <v>43344</v>
      </c>
      <c r="F7328" s="2">
        <f>DATEVALUE("30-6-2020")</f>
        <v>44012</v>
      </c>
    </row>
    <row r="7329" spans="1:6" x14ac:dyDescent="0.25">
      <c r="A7329" s="1" t="s">
        <v>340</v>
      </c>
      <c r="B7329" s="1" t="s">
        <v>2311</v>
      </c>
      <c r="C7329" s="1" t="s">
        <v>85</v>
      </c>
      <c r="D7329" s="3">
        <f>VALUE("8136")</f>
        <v>8136</v>
      </c>
      <c r="E7329" s="2">
        <f>DATEVALUE("1-8-2017")</f>
        <v>42948</v>
      </c>
      <c r="F7329" s="2">
        <f>DATEVALUE("30-9-2017")</f>
        <v>43008</v>
      </c>
    </row>
    <row r="7330" spans="1:6" x14ac:dyDescent="0.25">
      <c r="A7330" s="1" t="s">
        <v>340</v>
      </c>
      <c r="B7330" s="1" t="s">
        <v>2311</v>
      </c>
      <c r="C7330" s="1" t="s">
        <v>84</v>
      </c>
      <c r="D7330" s="3">
        <f>VALUE("8136")</f>
        <v>8136</v>
      </c>
      <c r="E7330" s="2">
        <f>DATEVALUE("1-8-2017")</f>
        <v>42948</v>
      </c>
      <c r="F7330" s="2">
        <f>DATEVALUE("30-9-2017")</f>
        <v>43008</v>
      </c>
    </row>
    <row r="7331" spans="1:6" x14ac:dyDescent="0.25">
      <c r="A7331" s="1" t="s">
        <v>340</v>
      </c>
      <c r="B7331" s="1" t="s">
        <v>2241</v>
      </c>
      <c r="C7331" s="1" t="s">
        <v>85</v>
      </c>
      <c r="D7331" s="3">
        <f>VALUE("7933")</f>
        <v>7933</v>
      </c>
      <c r="E7331" s="2">
        <f>DATEVALUE("1-9-2016")</f>
        <v>42614</v>
      </c>
      <c r="F7331" s="2">
        <f>DATEVALUE("31-7-2017")</f>
        <v>42947</v>
      </c>
    </row>
    <row r="7332" spans="1:6" x14ac:dyDescent="0.25">
      <c r="A7332" s="1" t="s">
        <v>340</v>
      </c>
      <c r="B7332" s="1" t="s">
        <v>2241</v>
      </c>
      <c r="C7332" s="1" t="s">
        <v>84</v>
      </c>
      <c r="D7332" s="3">
        <f>VALUE("7933")</f>
        <v>7933</v>
      </c>
      <c r="E7332" s="2">
        <f>DATEVALUE("1-9-2016")</f>
        <v>42614</v>
      </c>
      <c r="F7332" s="2">
        <f>DATEVALUE("31-7-2017")</f>
        <v>42947</v>
      </c>
    </row>
    <row r="7333" spans="1:6" x14ac:dyDescent="0.25">
      <c r="A7333" s="1" t="s">
        <v>340</v>
      </c>
      <c r="B7333" s="1" t="s">
        <v>2241</v>
      </c>
      <c r="C7333" s="1" t="s">
        <v>89</v>
      </c>
      <c r="D7333" s="3">
        <f>VALUE("7933")</f>
        <v>7933</v>
      </c>
      <c r="E7333" s="2">
        <f>DATEVALUE("1-9-2016")</f>
        <v>42614</v>
      </c>
      <c r="F7333" s="2">
        <f>DATEVALUE("31-7-2017")</f>
        <v>42947</v>
      </c>
    </row>
    <row r="7334" spans="1:6" x14ac:dyDescent="0.25">
      <c r="A7334" s="1" t="s">
        <v>340</v>
      </c>
      <c r="B7334" s="1" t="s">
        <v>1739</v>
      </c>
      <c r="C7334" s="1" t="s">
        <v>85</v>
      </c>
      <c r="D7334" s="3">
        <f>VALUE("7790")</f>
        <v>7790</v>
      </c>
      <c r="E7334" s="2">
        <f>DATEVALUE("1-9-2015")</f>
        <v>42248</v>
      </c>
      <c r="F7334" s="2">
        <f>DATEVALUE("31-7-2016")</f>
        <v>42582</v>
      </c>
    </row>
    <row r="7335" spans="1:6" x14ac:dyDescent="0.25">
      <c r="A7335" s="1" t="s">
        <v>340</v>
      </c>
      <c r="B7335" s="1" t="s">
        <v>1739</v>
      </c>
      <c r="C7335" s="1" t="s">
        <v>84</v>
      </c>
      <c r="D7335" s="3">
        <f>VALUE("7790")</f>
        <v>7790</v>
      </c>
      <c r="E7335" s="2">
        <f>DATEVALUE("1-9-2015")</f>
        <v>42248</v>
      </c>
      <c r="F7335" s="2">
        <f>DATEVALUE("31-7-2016")</f>
        <v>42582</v>
      </c>
    </row>
    <row r="7336" spans="1:6" x14ac:dyDescent="0.25">
      <c r="A7336" s="1" t="s">
        <v>340</v>
      </c>
      <c r="B7336" s="1" t="s">
        <v>1903</v>
      </c>
      <c r="C7336" s="1" t="s">
        <v>39</v>
      </c>
      <c r="D7336" s="3">
        <f t="shared" ref="D7336:D7344" si="1103">VALUE("7424")</f>
        <v>7424</v>
      </c>
      <c r="E7336" s="2">
        <f t="shared" ref="E7336:E7344" si="1104">DATEVALUE("1-2-2013")</f>
        <v>41306</v>
      </c>
      <c r="F7336" s="2">
        <f t="shared" ref="F7336:F7344" si="1105">DATEVALUE("31-12-2015")</f>
        <v>42369</v>
      </c>
    </row>
    <row r="7337" spans="1:6" x14ac:dyDescent="0.25">
      <c r="A7337" s="1" t="s">
        <v>340</v>
      </c>
      <c r="B7337" s="1" t="s">
        <v>1903</v>
      </c>
      <c r="C7337" s="1" t="s">
        <v>256</v>
      </c>
      <c r="D7337" s="3">
        <f t="shared" si="1103"/>
        <v>7424</v>
      </c>
      <c r="E7337" s="2">
        <f t="shared" si="1104"/>
        <v>41306</v>
      </c>
      <c r="F7337" s="2">
        <f t="shared" si="1105"/>
        <v>42369</v>
      </c>
    </row>
    <row r="7338" spans="1:6" x14ac:dyDescent="0.25">
      <c r="A7338" s="1" t="s">
        <v>340</v>
      </c>
      <c r="B7338" s="1" t="s">
        <v>1903</v>
      </c>
      <c r="C7338" s="1" t="s">
        <v>43</v>
      </c>
      <c r="D7338" s="3">
        <f t="shared" si="1103"/>
        <v>7424</v>
      </c>
      <c r="E7338" s="2">
        <f t="shared" si="1104"/>
        <v>41306</v>
      </c>
      <c r="F7338" s="2">
        <f t="shared" si="1105"/>
        <v>42369</v>
      </c>
    </row>
    <row r="7339" spans="1:6" x14ac:dyDescent="0.25">
      <c r="A7339" s="1" t="s">
        <v>340</v>
      </c>
      <c r="B7339" s="1" t="s">
        <v>1903</v>
      </c>
      <c r="C7339" s="1" t="s">
        <v>16</v>
      </c>
      <c r="D7339" s="3">
        <f t="shared" si="1103"/>
        <v>7424</v>
      </c>
      <c r="E7339" s="2">
        <f t="shared" si="1104"/>
        <v>41306</v>
      </c>
      <c r="F7339" s="2">
        <f t="shared" si="1105"/>
        <v>42369</v>
      </c>
    </row>
    <row r="7340" spans="1:6" x14ac:dyDescent="0.25">
      <c r="A7340" s="1" t="s">
        <v>340</v>
      </c>
      <c r="B7340" s="1" t="s">
        <v>1903</v>
      </c>
      <c r="C7340" s="1" t="s">
        <v>89</v>
      </c>
      <c r="D7340" s="3">
        <f t="shared" si="1103"/>
        <v>7424</v>
      </c>
      <c r="E7340" s="2">
        <f t="shared" si="1104"/>
        <v>41306</v>
      </c>
      <c r="F7340" s="2">
        <f t="shared" si="1105"/>
        <v>42369</v>
      </c>
    </row>
    <row r="7341" spans="1:6" x14ac:dyDescent="0.25">
      <c r="A7341" s="1" t="s">
        <v>340</v>
      </c>
      <c r="B7341" s="1" t="s">
        <v>1903</v>
      </c>
      <c r="C7341" s="1" t="s">
        <v>17</v>
      </c>
      <c r="D7341" s="3">
        <f t="shared" si="1103"/>
        <v>7424</v>
      </c>
      <c r="E7341" s="2">
        <f t="shared" si="1104"/>
        <v>41306</v>
      </c>
      <c r="F7341" s="2">
        <f t="shared" si="1105"/>
        <v>42369</v>
      </c>
    </row>
    <row r="7342" spans="1:6" x14ac:dyDescent="0.25">
      <c r="A7342" s="1" t="s">
        <v>340</v>
      </c>
      <c r="B7342" s="1" t="s">
        <v>1903</v>
      </c>
      <c r="C7342" s="1" t="s">
        <v>97</v>
      </c>
      <c r="D7342" s="3">
        <f t="shared" si="1103"/>
        <v>7424</v>
      </c>
      <c r="E7342" s="2">
        <f t="shared" si="1104"/>
        <v>41306</v>
      </c>
      <c r="F7342" s="2">
        <f t="shared" si="1105"/>
        <v>42369</v>
      </c>
    </row>
    <row r="7343" spans="1:6" x14ac:dyDescent="0.25">
      <c r="A7343" s="1" t="s">
        <v>340</v>
      </c>
      <c r="B7343" s="1" t="s">
        <v>1903</v>
      </c>
      <c r="C7343" s="1" t="s">
        <v>57</v>
      </c>
      <c r="D7343" s="3">
        <f t="shared" si="1103"/>
        <v>7424</v>
      </c>
      <c r="E7343" s="2">
        <f t="shared" si="1104"/>
        <v>41306</v>
      </c>
      <c r="F7343" s="2">
        <f t="shared" si="1105"/>
        <v>42369</v>
      </c>
    </row>
    <row r="7344" spans="1:6" x14ac:dyDescent="0.25">
      <c r="A7344" s="1" t="s">
        <v>340</v>
      </c>
      <c r="B7344" s="1" t="s">
        <v>1903</v>
      </c>
      <c r="C7344" s="1" t="s">
        <v>35</v>
      </c>
      <c r="D7344" s="3">
        <f t="shared" si="1103"/>
        <v>7424</v>
      </c>
      <c r="E7344" s="2">
        <f t="shared" si="1104"/>
        <v>41306</v>
      </c>
      <c r="F7344" s="2">
        <f t="shared" si="1105"/>
        <v>42369</v>
      </c>
    </row>
    <row r="7345" spans="1:6" x14ac:dyDescent="0.25">
      <c r="A7345" s="1" t="s">
        <v>340</v>
      </c>
      <c r="B7345" s="1" t="s">
        <v>2109</v>
      </c>
      <c r="C7345" s="1" t="s">
        <v>81</v>
      </c>
      <c r="D7345" s="3">
        <f>VALUE("7008")</f>
        <v>7008</v>
      </c>
      <c r="E7345" s="2">
        <f>DATEVALUE("1-11-2009")</f>
        <v>40118</v>
      </c>
      <c r="F7345" s="2">
        <f>DATEVALUE("31-3-2017")</f>
        <v>42825</v>
      </c>
    </row>
    <row r="7346" spans="1:6" x14ac:dyDescent="0.25">
      <c r="A7346" s="1" t="s">
        <v>340</v>
      </c>
      <c r="B7346" s="1" t="s">
        <v>2109</v>
      </c>
      <c r="C7346" s="1" t="s">
        <v>85</v>
      </c>
      <c r="D7346" s="3">
        <f>VALUE("7008")</f>
        <v>7008</v>
      </c>
      <c r="E7346" s="2">
        <f>DATEVALUE("1-11-2009")</f>
        <v>40118</v>
      </c>
      <c r="F7346" s="2">
        <f>DATEVALUE("31-3-2017")</f>
        <v>42825</v>
      </c>
    </row>
    <row r="7347" spans="1:6" x14ac:dyDescent="0.25">
      <c r="A7347" s="1" t="s">
        <v>340</v>
      </c>
      <c r="B7347" s="1" t="s">
        <v>2109</v>
      </c>
      <c r="C7347" s="1" t="s">
        <v>93</v>
      </c>
      <c r="D7347" s="3">
        <f>VALUE("7008")</f>
        <v>7008</v>
      </c>
      <c r="E7347" s="2">
        <f>DATEVALUE("1-11-2009")</f>
        <v>40118</v>
      </c>
      <c r="F7347" s="2">
        <f>DATEVALUE("31-3-2017")</f>
        <v>42825</v>
      </c>
    </row>
    <row r="7348" spans="1:6" x14ac:dyDescent="0.25">
      <c r="A7348" s="1" t="s">
        <v>340</v>
      </c>
      <c r="B7348" s="1" t="s">
        <v>2109</v>
      </c>
      <c r="C7348" s="1" t="s">
        <v>129</v>
      </c>
      <c r="D7348" s="3">
        <f>VALUE("7008")</f>
        <v>7008</v>
      </c>
      <c r="E7348" s="2">
        <f>DATEVALUE("1-11-2009")</f>
        <v>40118</v>
      </c>
      <c r="F7348" s="2">
        <f>DATEVALUE("31-3-2017")</f>
        <v>42825</v>
      </c>
    </row>
    <row r="7349" spans="1:6" x14ac:dyDescent="0.25">
      <c r="A7349" s="1" t="s">
        <v>340</v>
      </c>
      <c r="B7349" s="1" t="s">
        <v>2109</v>
      </c>
      <c r="C7349" s="1" t="s">
        <v>130</v>
      </c>
      <c r="D7349" s="3">
        <f>VALUE("7008")</f>
        <v>7008</v>
      </c>
      <c r="E7349" s="2">
        <f>DATEVALUE("1-11-2009")</f>
        <v>40118</v>
      </c>
      <c r="F7349" s="2">
        <f>DATEVALUE("31-3-2017")</f>
        <v>42825</v>
      </c>
    </row>
    <row r="7350" spans="1:6" x14ac:dyDescent="0.25">
      <c r="A7350" s="1" t="s">
        <v>844</v>
      </c>
      <c r="B7350" s="1" t="s">
        <v>1516</v>
      </c>
      <c r="C7350" s="1" t="s">
        <v>184</v>
      </c>
      <c r="D7350" s="3">
        <f t="shared" ref="D7350:D7366" si="1106">VALUE("8714")</f>
        <v>8714</v>
      </c>
      <c r="E7350" s="2">
        <f t="shared" ref="E7350:E7366" si="1107">DATEVALUE("1-3-2020")</f>
        <v>43891</v>
      </c>
      <c r="F7350" s="2">
        <f t="shared" ref="F7350:F7366" si="1108">DATEVALUE("31-8-2021")</f>
        <v>44439</v>
      </c>
    </row>
    <row r="7351" spans="1:6" x14ac:dyDescent="0.25">
      <c r="A7351" s="1" t="s">
        <v>844</v>
      </c>
      <c r="B7351" s="1" t="s">
        <v>1516</v>
      </c>
      <c r="C7351" s="1" t="s">
        <v>15</v>
      </c>
      <c r="D7351" s="3">
        <f t="shared" si="1106"/>
        <v>8714</v>
      </c>
      <c r="E7351" s="2">
        <f t="shared" si="1107"/>
        <v>43891</v>
      </c>
      <c r="F7351" s="2">
        <f t="shared" si="1108"/>
        <v>44439</v>
      </c>
    </row>
    <row r="7352" spans="1:6" x14ac:dyDescent="0.25">
      <c r="A7352" s="1" t="s">
        <v>844</v>
      </c>
      <c r="B7352" s="1" t="s">
        <v>1516</v>
      </c>
      <c r="C7352" s="1" t="s">
        <v>89</v>
      </c>
      <c r="D7352" s="3">
        <f t="shared" si="1106"/>
        <v>8714</v>
      </c>
      <c r="E7352" s="2">
        <f t="shared" si="1107"/>
        <v>43891</v>
      </c>
      <c r="F7352" s="2">
        <f t="shared" si="1108"/>
        <v>44439</v>
      </c>
    </row>
    <row r="7353" spans="1:6" x14ac:dyDescent="0.25">
      <c r="A7353" s="1" t="s">
        <v>844</v>
      </c>
      <c r="B7353" s="1" t="s">
        <v>1516</v>
      </c>
      <c r="C7353" s="1" t="s">
        <v>17</v>
      </c>
      <c r="D7353" s="3">
        <f t="shared" si="1106"/>
        <v>8714</v>
      </c>
      <c r="E7353" s="2">
        <f t="shared" si="1107"/>
        <v>43891</v>
      </c>
      <c r="F7353" s="2">
        <f t="shared" si="1108"/>
        <v>44439</v>
      </c>
    </row>
    <row r="7354" spans="1:6" x14ac:dyDescent="0.25">
      <c r="A7354" s="1" t="s">
        <v>844</v>
      </c>
      <c r="B7354" s="1" t="s">
        <v>1516</v>
      </c>
      <c r="C7354" s="1" t="s">
        <v>257</v>
      </c>
      <c r="D7354" s="3">
        <f t="shared" si="1106"/>
        <v>8714</v>
      </c>
      <c r="E7354" s="2">
        <f t="shared" si="1107"/>
        <v>43891</v>
      </c>
      <c r="F7354" s="2">
        <f t="shared" si="1108"/>
        <v>44439</v>
      </c>
    </row>
    <row r="7355" spans="1:6" x14ac:dyDescent="0.25">
      <c r="A7355" s="1" t="s">
        <v>844</v>
      </c>
      <c r="B7355" s="1" t="s">
        <v>1516</v>
      </c>
      <c r="C7355" s="1" t="s">
        <v>90</v>
      </c>
      <c r="D7355" s="3">
        <f t="shared" si="1106"/>
        <v>8714</v>
      </c>
      <c r="E7355" s="2">
        <f t="shared" si="1107"/>
        <v>43891</v>
      </c>
      <c r="F7355" s="2">
        <f t="shared" si="1108"/>
        <v>44439</v>
      </c>
    </row>
    <row r="7356" spans="1:6" x14ac:dyDescent="0.25">
      <c r="A7356" s="1" t="s">
        <v>844</v>
      </c>
      <c r="B7356" s="1" t="s">
        <v>1516</v>
      </c>
      <c r="C7356" s="1" t="s">
        <v>488</v>
      </c>
      <c r="D7356" s="3">
        <f t="shared" si="1106"/>
        <v>8714</v>
      </c>
      <c r="E7356" s="2">
        <f t="shared" si="1107"/>
        <v>43891</v>
      </c>
      <c r="F7356" s="2">
        <f t="shared" si="1108"/>
        <v>44439</v>
      </c>
    </row>
    <row r="7357" spans="1:6" x14ac:dyDescent="0.25">
      <c r="A7357" s="1" t="s">
        <v>844</v>
      </c>
      <c r="B7357" s="1" t="s">
        <v>1516</v>
      </c>
      <c r="C7357" s="1" t="s">
        <v>291</v>
      </c>
      <c r="D7357" s="3">
        <f t="shared" si="1106"/>
        <v>8714</v>
      </c>
      <c r="E7357" s="2">
        <f t="shared" si="1107"/>
        <v>43891</v>
      </c>
      <c r="F7357" s="2">
        <f t="shared" si="1108"/>
        <v>44439</v>
      </c>
    </row>
    <row r="7358" spans="1:6" x14ac:dyDescent="0.25">
      <c r="A7358" s="1" t="s">
        <v>844</v>
      </c>
      <c r="B7358" s="1" t="s">
        <v>1516</v>
      </c>
      <c r="C7358" s="1" t="s">
        <v>144</v>
      </c>
      <c r="D7358" s="3">
        <f t="shared" si="1106"/>
        <v>8714</v>
      </c>
      <c r="E7358" s="2">
        <f t="shared" si="1107"/>
        <v>43891</v>
      </c>
      <c r="F7358" s="2">
        <f t="shared" si="1108"/>
        <v>44439</v>
      </c>
    </row>
    <row r="7359" spans="1:6" x14ac:dyDescent="0.25">
      <c r="A7359" s="1" t="s">
        <v>844</v>
      </c>
      <c r="B7359" s="1" t="s">
        <v>1516</v>
      </c>
      <c r="C7359" s="1" t="s">
        <v>22</v>
      </c>
      <c r="D7359" s="3">
        <f t="shared" si="1106"/>
        <v>8714</v>
      </c>
      <c r="E7359" s="2">
        <f t="shared" si="1107"/>
        <v>43891</v>
      </c>
      <c r="F7359" s="2">
        <f t="shared" si="1108"/>
        <v>44439</v>
      </c>
    </row>
    <row r="7360" spans="1:6" x14ac:dyDescent="0.25">
      <c r="A7360" s="1" t="s">
        <v>844</v>
      </c>
      <c r="B7360" s="1" t="s">
        <v>1516</v>
      </c>
      <c r="C7360" s="1" t="s">
        <v>146</v>
      </c>
      <c r="D7360" s="3">
        <f t="shared" si="1106"/>
        <v>8714</v>
      </c>
      <c r="E7360" s="2">
        <f t="shared" si="1107"/>
        <v>43891</v>
      </c>
      <c r="F7360" s="2">
        <f t="shared" si="1108"/>
        <v>44439</v>
      </c>
    </row>
    <row r="7361" spans="1:6" x14ac:dyDescent="0.25">
      <c r="A7361" s="1" t="s">
        <v>844</v>
      </c>
      <c r="B7361" s="1" t="s">
        <v>1516</v>
      </c>
      <c r="C7361" s="1" t="s">
        <v>539</v>
      </c>
      <c r="D7361" s="3">
        <f t="shared" si="1106"/>
        <v>8714</v>
      </c>
      <c r="E7361" s="2">
        <f t="shared" si="1107"/>
        <v>43891</v>
      </c>
      <c r="F7361" s="2">
        <f t="shared" si="1108"/>
        <v>44439</v>
      </c>
    </row>
    <row r="7362" spans="1:6" x14ac:dyDescent="0.25">
      <c r="A7362" s="1" t="s">
        <v>844</v>
      </c>
      <c r="B7362" s="1" t="s">
        <v>1516</v>
      </c>
      <c r="C7362" s="1" t="s">
        <v>148</v>
      </c>
      <c r="D7362" s="3">
        <f t="shared" si="1106"/>
        <v>8714</v>
      </c>
      <c r="E7362" s="2">
        <f t="shared" si="1107"/>
        <v>43891</v>
      </c>
      <c r="F7362" s="2">
        <f t="shared" si="1108"/>
        <v>44439</v>
      </c>
    </row>
    <row r="7363" spans="1:6" x14ac:dyDescent="0.25">
      <c r="A7363" s="1" t="s">
        <v>844</v>
      </c>
      <c r="B7363" s="1" t="s">
        <v>1516</v>
      </c>
      <c r="C7363" s="1" t="s">
        <v>92</v>
      </c>
      <c r="D7363" s="3">
        <f t="shared" si="1106"/>
        <v>8714</v>
      </c>
      <c r="E7363" s="2">
        <f t="shared" si="1107"/>
        <v>43891</v>
      </c>
      <c r="F7363" s="2">
        <f t="shared" si="1108"/>
        <v>44439</v>
      </c>
    </row>
    <row r="7364" spans="1:6" x14ac:dyDescent="0.25">
      <c r="A7364" s="1" t="s">
        <v>844</v>
      </c>
      <c r="B7364" s="1" t="s">
        <v>1516</v>
      </c>
      <c r="C7364" s="1" t="s">
        <v>73</v>
      </c>
      <c r="D7364" s="3">
        <f t="shared" si="1106"/>
        <v>8714</v>
      </c>
      <c r="E7364" s="2">
        <f t="shared" si="1107"/>
        <v>43891</v>
      </c>
      <c r="F7364" s="2">
        <f t="shared" si="1108"/>
        <v>44439</v>
      </c>
    </row>
    <row r="7365" spans="1:6" x14ac:dyDescent="0.25">
      <c r="A7365" s="1" t="s">
        <v>844</v>
      </c>
      <c r="B7365" s="1" t="s">
        <v>1516</v>
      </c>
      <c r="C7365" s="1" t="s">
        <v>378</v>
      </c>
      <c r="D7365" s="3">
        <f t="shared" si="1106"/>
        <v>8714</v>
      </c>
      <c r="E7365" s="2">
        <f t="shared" si="1107"/>
        <v>43891</v>
      </c>
      <c r="F7365" s="2">
        <f t="shared" si="1108"/>
        <v>44439</v>
      </c>
    </row>
    <row r="7366" spans="1:6" x14ac:dyDescent="0.25">
      <c r="A7366" s="1" t="s">
        <v>844</v>
      </c>
      <c r="B7366" s="1" t="s">
        <v>1516</v>
      </c>
      <c r="C7366" s="1" t="s">
        <v>369</v>
      </c>
      <c r="D7366" s="3">
        <f t="shared" si="1106"/>
        <v>8714</v>
      </c>
      <c r="E7366" s="2">
        <f t="shared" si="1107"/>
        <v>43891</v>
      </c>
      <c r="F7366" s="2">
        <f t="shared" si="1108"/>
        <v>44439</v>
      </c>
    </row>
    <row r="7367" spans="1:6" x14ac:dyDescent="0.25">
      <c r="A7367" s="1" t="s">
        <v>844</v>
      </c>
      <c r="B7367" s="1" t="s">
        <v>1197</v>
      </c>
      <c r="C7367" s="1" t="s">
        <v>14</v>
      </c>
      <c r="D7367" s="3">
        <f t="shared" ref="D7367:D7391" si="1109">VALUE("8462")</f>
        <v>8462</v>
      </c>
      <c r="E7367" s="2">
        <f t="shared" ref="E7367:E7391" si="1110">DATEVALUE("1-9-2019")</f>
        <v>43709</v>
      </c>
      <c r="F7367" s="2">
        <f t="shared" ref="F7367:F7391" si="1111">DATEVALUE("31-5-2021")</f>
        <v>44347</v>
      </c>
    </row>
    <row r="7368" spans="1:6" x14ac:dyDescent="0.25">
      <c r="A7368" s="1" t="s">
        <v>844</v>
      </c>
      <c r="B7368" s="1" t="s">
        <v>1197</v>
      </c>
      <c r="C7368" s="1" t="s">
        <v>15</v>
      </c>
      <c r="D7368" s="3">
        <f t="shared" si="1109"/>
        <v>8462</v>
      </c>
      <c r="E7368" s="2">
        <f t="shared" si="1110"/>
        <v>43709</v>
      </c>
      <c r="F7368" s="2">
        <f t="shared" si="1111"/>
        <v>44347</v>
      </c>
    </row>
    <row r="7369" spans="1:6" x14ac:dyDescent="0.25">
      <c r="A7369" s="1" t="s">
        <v>844</v>
      </c>
      <c r="B7369" s="1" t="s">
        <v>1197</v>
      </c>
      <c r="C7369" s="1" t="s">
        <v>89</v>
      </c>
      <c r="D7369" s="3">
        <f t="shared" si="1109"/>
        <v>8462</v>
      </c>
      <c r="E7369" s="2">
        <f t="shared" si="1110"/>
        <v>43709</v>
      </c>
      <c r="F7369" s="2">
        <f t="shared" si="1111"/>
        <v>44347</v>
      </c>
    </row>
    <row r="7370" spans="1:6" x14ac:dyDescent="0.25">
      <c r="A7370" s="1" t="s">
        <v>844</v>
      </c>
      <c r="B7370" s="1" t="s">
        <v>1197</v>
      </c>
      <c r="C7370" s="1" t="s">
        <v>17</v>
      </c>
      <c r="D7370" s="3">
        <f t="shared" si="1109"/>
        <v>8462</v>
      </c>
      <c r="E7370" s="2">
        <f t="shared" si="1110"/>
        <v>43709</v>
      </c>
      <c r="F7370" s="2">
        <f t="shared" si="1111"/>
        <v>44347</v>
      </c>
    </row>
    <row r="7371" spans="1:6" x14ac:dyDescent="0.25">
      <c r="A7371" s="1" t="s">
        <v>844</v>
      </c>
      <c r="B7371" s="1" t="s">
        <v>1197</v>
      </c>
      <c r="C7371" s="1" t="s">
        <v>442</v>
      </c>
      <c r="D7371" s="3">
        <f t="shared" si="1109"/>
        <v>8462</v>
      </c>
      <c r="E7371" s="2">
        <f t="shared" si="1110"/>
        <v>43709</v>
      </c>
      <c r="F7371" s="2">
        <f t="shared" si="1111"/>
        <v>44347</v>
      </c>
    </row>
    <row r="7372" spans="1:6" x14ac:dyDescent="0.25">
      <c r="A7372" s="1" t="s">
        <v>844</v>
      </c>
      <c r="B7372" s="1" t="s">
        <v>1197</v>
      </c>
      <c r="C7372" s="1" t="s">
        <v>488</v>
      </c>
      <c r="D7372" s="3">
        <f t="shared" si="1109"/>
        <v>8462</v>
      </c>
      <c r="E7372" s="2">
        <f t="shared" si="1110"/>
        <v>43709</v>
      </c>
      <c r="F7372" s="2">
        <f t="shared" si="1111"/>
        <v>44347</v>
      </c>
    </row>
    <row r="7373" spans="1:6" x14ac:dyDescent="0.25">
      <c r="A7373" s="1" t="s">
        <v>844</v>
      </c>
      <c r="B7373" s="1" t="s">
        <v>1197</v>
      </c>
      <c r="C7373" s="1" t="s">
        <v>291</v>
      </c>
      <c r="D7373" s="3">
        <f t="shared" si="1109"/>
        <v>8462</v>
      </c>
      <c r="E7373" s="2">
        <f t="shared" si="1110"/>
        <v>43709</v>
      </c>
      <c r="F7373" s="2">
        <f t="shared" si="1111"/>
        <v>44347</v>
      </c>
    </row>
    <row r="7374" spans="1:6" x14ac:dyDescent="0.25">
      <c r="A7374" s="1" t="s">
        <v>844</v>
      </c>
      <c r="B7374" s="1" t="s">
        <v>1197</v>
      </c>
      <c r="C7374" s="1" t="s">
        <v>326</v>
      </c>
      <c r="D7374" s="3">
        <f t="shared" si="1109"/>
        <v>8462</v>
      </c>
      <c r="E7374" s="2">
        <f t="shared" si="1110"/>
        <v>43709</v>
      </c>
      <c r="F7374" s="2">
        <f t="shared" si="1111"/>
        <v>44347</v>
      </c>
    </row>
    <row r="7375" spans="1:6" x14ac:dyDescent="0.25">
      <c r="A7375" s="1" t="s">
        <v>844</v>
      </c>
      <c r="B7375" s="1" t="s">
        <v>1197</v>
      </c>
      <c r="C7375" s="1" t="s">
        <v>144</v>
      </c>
      <c r="D7375" s="3">
        <f t="shared" si="1109"/>
        <v>8462</v>
      </c>
      <c r="E7375" s="2">
        <f t="shared" si="1110"/>
        <v>43709</v>
      </c>
      <c r="F7375" s="2">
        <f t="shared" si="1111"/>
        <v>44347</v>
      </c>
    </row>
    <row r="7376" spans="1:6" x14ac:dyDescent="0.25">
      <c r="A7376" s="1" t="s">
        <v>844</v>
      </c>
      <c r="B7376" s="1" t="s">
        <v>1197</v>
      </c>
      <c r="C7376" s="1" t="s">
        <v>22</v>
      </c>
      <c r="D7376" s="3">
        <f t="shared" si="1109"/>
        <v>8462</v>
      </c>
      <c r="E7376" s="2">
        <f t="shared" si="1110"/>
        <v>43709</v>
      </c>
      <c r="F7376" s="2">
        <f t="shared" si="1111"/>
        <v>44347</v>
      </c>
    </row>
    <row r="7377" spans="1:6" x14ac:dyDescent="0.25">
      <c r="A7377" s="1" t="s">
        <v>844</v>
      </c>
      <c r="B7377" s="1" t="s">
        <v>1197</v>
      </c>
      <c r="C7377" s="1" t="s">
        <v>146</v>
      </c>
      <c r="D7377" s="3">
        <f t="shared" si="1109"/>
        <v>8462</v>
      </c>
      <c r="E7377" s="2">
        <f t="shared" si="1110"/>
        <v>43709</v>
      </c>
      <c r="F7377" s="2">
        <f t="shared" si="1111"/>
        <v>44347</v>
      </c>
    </row>
    <row r="7378" spans="1:6" x14ac:dyDescent="0.25">
      <c r="A7378" s="1" t="s">
        <v>844</v>
      </c>
      <c r="B7378" s="1" t="s">
        <v>1197</v>
      </c>
      <c r="C7378" s="1" t="s">
        <v>148</v>
      </c>
      <c r="D7378" s="3">
        <f t="shared" si="1109"/>
        <v>8462</v>
      </c>
      <c r="E7378" s="2">
        <f t="shared" si="1110"/>
        <v>43709</v>
      </c>
      <c r="F7378" s="2">
        <f t="shared" si="1111"/>
        <v>44347</v>
      </c>
    </row>
    <row r="7379" spans="1:6" x14ac:dyDescent="0.25">
      <c r="A7379" s="1" t="s">
        <v>844</v>
      </c>
      <c r="B7379" s="1" t="s">
        <v>1197</v>
      </c>
      <c r="C7379" s="1" t="s">
        <v>386</v>
      </c>
      <c r="D7379" s="3">
        <f t="shared" si="1109"/>
        <v>8462</v>
      </c>
      <c r="E7379" s="2">
        <f t="shared" si="1110"/>
        <v>43709</v>
      </c>
      <c r="F7379" s="2">
        <f t="shared" si="1111"/>
        <v>44347</v>
      </c>
    </row>
    <row r="7380" spans="1:6" x14ac:dyDescent="0.25">
      <c r="A7380" s="1" t="s">
        <v>844</v>
      </c>
      <c r="B7380" s="1" t="s">
        <v>1197</v>
      </c>
      <c r="C7380" s="1" t="s">
        <v>388</v>
      </c>
      <c r="D7380" s="3">
        <f t="shared" si="1109"/>
        <v>8462</v>
      </c>
      <c r="E7380" s="2">
        <f t="shared" si="1110"/>
        <v>43709</v>
      </c>
      <c r="F7380" s="2">
        <f t="shared" si="1111"/>
        <v>44347</v>
      </c>
    </row>
    <row r="7381" spans="1:6" x14ac:dyDescent="0.25">
      <c r="A7381" s="1" t="s">
        <v>844</v>
      </c>
      <c r="B7381" s="1" t="s">
        <v>1197</v>
      </c>
      <c r="C7381" s="1" t="s">
        <v>92</v>
      </c>
      <c r="D7381" s="3">
        <f t="shared" si="1109"/>
        <v>8462</v>
      </c>
      <c r="E7381" s="2">
        <f t="shared" si="1110"/>
        <v>43709</v>
      </c>
      <c r="F7381" s="2">
        <f t="shared" si="1111"/>
        <v>44347</v>
      </c>
    </row>
    <row r="7382" spans="1:6" x14ac:dyDescent="0.25">
      <c r="A7382" s="1" t="s">
        <v>844</v>
      </c>
      <c r="B7382" s="1" t="s">
        <v>1197</v>
      </c>
      <c r="C7382" s="1" t="s">
        <v>1198</v>
      </c>
      <c r="D7382" s="3">
        <f t="shared" si="1109"/>
        <v>8462</v>
      </c>
      <c r="E7382" s="2">
        <f t="shared" si="1110"/>
        <v>43709</v>
      </c>
      <c r="F7382" s="2">
        <f t="shared" si="1111"/>
        <v>44347</v>
      </c>
    </row>
    <row r="7383" spans="1:6" x14ac:dyDescent="0.25">
      <c r="A7383" s="1" t="s">
        <v>844</v>
      </c>
      <c r="B7383" s="1" t="s">
        <v>1197</v>
      </c>
      <c r="C7383" s="1" t="s">
        <v>1199</v>
      </c>
      <c r="D7383" s="3">
        <f t="shared" si="1109"/>
        <v>8462</v>
      </c>
      <c r="E7383" s="2">
        <f t="shared" si="1110"/>
        <v>43709</v>
      </c>
      <c r="F7383" s="2">
        <f t="shared" si="1111"/>
        <v>44347</v>
      </c>
    </row>
    <row r="7384" spans="1:6" x14ac:dyDescent="0.25">
      <c r="A7384" s="1" t="s">
        <v>844</v>
      </c>
      <c r="B7384" s="1" t="s">
        <v>1197</v>
      </c>
      <c r="C7384" s="1" t="s">
        <v>1200</v>
      </c>
      <c r="D7384" s="3">
        <f t="shared" si="1109"/>
        <v>8462</v>
      </c>
      <c r="E7384" s="2">
        <f t="shared" si="1110"/>
        <v>43709</v>
      </c>
      <c r="F7384" s="2">
        <f t="shared" si="1111"/>
        <v>44347</v>
      </c>
    </row>
    <row r="7385" spans="1:6" x14ac:dyDescent="0.25">
      <c r="A7385" s="1" t="s">
        <v>844</v>
      </c>
      <c r="B7385" s="1" t="s">
        <v>1197</v>
      </c>
      <c r="C7385" s="1" t="s">
        <v>1201</v>
      </c>
      <c r="D7385" s="3">
        <f t="shared" si="1109"/>
        <v>8462</v>
      </c>
      <c r="E7385" s="2">
        <f t="shared" si="1110"/>
        <v>43709</v>
      </c>
      <c r="F7385" s="2">
        <f t="shared" si="1111"/>
        <v>44347</v>
      </c>
    </row>
    <row r="7386" spans="1:6" x14ac:dyDescent="0.25">
      <c r="A7386" s="1" t="s">
        <v>844</v>
      </c>
      <c r="B7386" s="1" t="s">
        <v>1197</v>
      </c>
      <c r="C7386" s="1" t="s">
        <v>26</v>
      </c>
      <c r="D7386" s="3">
        <f t="shared" si="1109"/>
        <v>8462</v>
      </c>
      <c r="E7386" s="2">
        <f t="shared" si="1110"/>
        <v>43709</v>
      </c>
      <c r="F7386" s="2">
        <f t="shared" si="1111"/>
        <v>44347</v>
      </c>
    </row>
    <row r="7387" spans="1:6" x14ac:dyDescent="0.25">
      <c r="A7387" s="1" t="s">
        <v>844</v>
      </c>
      <c r="B7387" s="1" t="s">
        <v>1197</v>
      </c>
      <c r="C7387" s="1" t="s">
        <v>457</v>
      </c>
      <c r="D7387" s="3">
        <f t="shared" si="1109"/>
        <v>8462</v>
      </c>
      <c r="E7387" s="2">
        <f t="shared" si="1110"/>
        <v>43709</v>
      </c>
      <c r="F7387" s="2">
        <f t="shared" si="1111"/>
        <v>44347</v>
      </c>
    </row>
    <row r="7388" spans="1:6" x14ac:dyDescent="0.25">
      <c r="A7388" s="1" t="s">
        <v>844</v>
      </c>
      <c r="B7388" s="1" t="s">
        <v>1197</v>
      </c>
      <c r="C7388" s="1" t="s">
        <v>73</v>
      </c>
      <c r="D7388" s="3">
        <f t="shared" si="1109"/>
        <v>8462</v>
      </c>
      <c r="E7388" s="2">
        <f t="shared" si="1110"/>
        <v>43709</v>
      </c>
      <c r="F7388" s="2">
        <f t="shared" si="1111"/>
        <v>44347</v>
      </c>
    </row>
    <row r="7389" spans="1:6" x14ac:dyDescent="0.25">
      <c r="A7389" s="1" t="s">
        <v>844</v>
      </c>
      <c r="B7389" s="1" t="s">
        <v>1197</v>
      </c>
      <c r="C7389" s="1" t="s">
        <v>391</v>
      </c>
      <c r="D7389" s="3">
        <f t="shared" si="1109"/>
        <v>8462</v>
      </c>
      <c r="E7389" s="2">
        <f t="shared" si="1110"/>
        <v>43709</v>
      </c>
      <c r="F7389" s="2">
        <f t="shared" si="1111"/>
        <v>44347</v>
      </c>
    </row>
    <row r="7390" spans="1:6" x14ac:dyDescent="0.25">
      <c r="A7390" s="1" t="s">
        <v>844</v>
      </c>
      <c r="B7390" s="1" t="s">
        <v>1197</v>
      </c>
      <c r="C7390" s="1" t="s">
        <v>160</v>
      </c>
      <c r="D7390" s="3">
        <f t="shared" si="1109"/>
        <v>8462</v>
      </c>
      <c r="E7390" s="2">
        <f t="shared" si="1110"/>
        <v>43709</v>
      </c>
      <c r="F7390" s="2">
        <f t="shared" si="1111"/>
        <v>44347</v>
      </c>
    </row>
    <row r="7391" spans="1:6" x14ac:dyDescent="0.25">
      <c r="A7391" s="1" t="s">
        <v>844</v>
      </c>
      <c r="B7391" s="1" t="s">
        <v>1197</v>
      </c>
      <c r="C7391" s="1" t="s">
        <v>378</v>
      </c>
      <c r="D7391" s="3">
        <f t="shared" si="1109"/>
        <v>8462</v>
      </c>
      <c r="E7391" s="2">
        <f t="shared" si="1110"/>
        <v>43709</v>
      </c>
      <c r="F7391" s="2">
        <f t="shared" si="1111"/>
        <v>44347</v>
      </c>
    </row>
    <row r="7392" spans="1:6" x14ac:dyDescent="0.25">
      <c r="A7392" s="1" t="s">
        <v>844</v>
      </c>
      <c r="B7392" s="1" t="s">
        <v>912</v>
      </c>
      <c r="C7392" s="1" t="s">
        <v>913</v>
      </c>
      <c r="D7392" s="3">
        <f t="shared" ref="D7392:D7406" si="1112">VALUE("8171")</f>
        <v>8171</v>
      </c>
      <c r="E7392" s="2">
        <f t="shared" ref="E7392:E7406" si="1113">DATEVALUE("1-11-2018")</f>
        <v>43405</v>
      </c>
      <c r="F7392" s="2">
        <f t="shared" ref="F7392:F7406" si="1114">DATEVALUE("30-4-2021")</f>
        <v>44316</v>
      </c>
    </row>
    <row r="7393" spans="1:6" x14ac:dyDescent="0.25">
      <c r="A7393" s="1" t="s">
        <v>844</v>
      </c>
      <c r="B7393" s="1" t="s">
        <v>912</v>
      </c>
      <c r="C7393" s="1" t="s">
        <v>914</v>
      </c>
      <c r="D7393" s="3">
        <f t="shared" si="1112"/>
        <v>8171</v>
      </c>
      <c r="E7393" s="2">
        <f t="shared" si="1113"/>
        <v>43405</v>
      </c>
      <c r="F7393" s="2">
        <f t="shared" si="1114"/>
        <v>44316</v>
      </c>
    </row>
    <row r="7394" spans="1:6" x14ac:dyDescent="0.25">
      <c r="A7394" s="1" t="s">
        <v>844</v>
      </c>
      <c r="B7394" s="1" t="s">
        <v>912</v>
      </c>
      <c r="C7394" s="1" t="s">
        <v>89</v>
      </c>
      <c r="D7394" s="3">
        <f t="shared" si="1112"/>
        <v>8171</v>
      </c>
      <c r="E7394" s="2">
        <f t="shared" si="1113"/>
        <v>43405</v>
      </c>
      <c r="F7394" s="2">
        <f t="shared" si="1114"/>
        <v>44316</v>
      </c>
    </row>
    <row r="7395" spans="1:6" x14ac:dyDescent="0.25">
      <c r="A7395" s="1" t="s">
        <v>844</v>
      </c>
      <c r="B7395" s="1" t="s">
        <v>912</v>
      </c>
      <c r="C7395" s="1" t="s">
        <v>17</v>
      </c>
      <c r="D7395" s="3">
        <f t="shared" si="1112"/>
        <v>8171</v>
      </c>
      <c r="E7395" s="2">
        <f t="shared" si="1113"/>
        <v>43405</v>
      </c>
      <c r="F7395" s="2">
        <f t="shared" si="1114"/>
        <v>44316</v>
      </c>
    </row>
    <row r="7396" spans="1:6" x14ac:dyDescent="0.25">
      <c r="A7396" s="1" t="s">
        <v>844</v>
      </c>
      <c r="B7396" s="1" t="s">
        <v>912</v>
      </c>
      <c r="C7396" s="1" t="s">
        <v>257</v>
      </c>
      <c r="D7396" s="3">
        <f t="shared" si="1112"/>
        <v>8171</v>
      </c>
      <c r="E7396" s="2">
        <f t="shared" si="1113"/>
        <v>43405</v>
      </c>
      <c r="F7396" s="2">
        <f t="shared" si="1114"/>
        <v>44316</v>
      </c>
    </row>
    <row r="7397" spans="1:6" x14ac:dyDescent="0.25">
      <c r="A7397" s="1" t="s">
        <v>844</v>
      </c>
      <c r="B7397" s="1" t="s">
        <v>912</v>
      </c>
      <c r="C7397" s="1" t="s">
        <v>67</v>
      </c>
      <c r="D7397" s="3">
        <f t="shared" si="1112"/>
        <v>8171</v>
      </c>
      <c r="E7397" s="2">
        <f t="shared" si="1113"/>
        <v>43405</v>
      </c>
      <c r="F7397" s="2">
        <f t="shared" si="1114"/>
        <v>44316</v>
      </c>
    </row>
    <row r="7398" spans="1:6" x14ac:dyDescent="0.25">
      <c r="A7398" s="1" t="s">
        <v>844</v>
      </c>
      <c r="B7398" s="1" t="s">
        <v>912</v>
      </c>
      <c r="C7398" s="1" t="s">
        <v>915</v>
      </c>
      <c r="D7398" s="3">
        <f t="shared" si="1112"/>
        <v>8171</v>
      </c>
      <c r="E7398" s="2">
        <f t="shared" si="1113"/>
        <v>43405</v>
      </c>
      <c r="F7398" s="2">
        <f t="shared" si="1114"/>
        <v>44316</v>
      </c>
    </row>
    <row r="7399" spans="1:6" x14ac:dyDescent="0.25">
      <c r="A7399" s="1" t="s">
        <v>844</v>
      </c>
      <c r="B7399" s="1" t="s">
        <v>912</v>
      </c>
      <c r="C7399" s="1" t="s">
        <v>916</v>
      </c>
      <c r="D7399" s="3">
        <f t="shared" si="1112"/>
        <v>8171</v>
      </c>
      <c r="E7399" s="2">
        <f t="shared" si="1113"/>
        <v>43405</v>
      </c>
      <c r="F7399" s="2">
        <f t="shared" si="1114"/>
        <v>44316</v>
      </c>
    </row>
    <row r="7400" spans="1:6" x14ac:dyDescent="0.25">
      <c r="A7400" s="1" t="s">
        <v>844</v>
      </c>
      <c r="B7400" s="1" t="s">
        <v>912</v>
      </c>
      <c r="C7400" s="1" t="s">
        <v>917</v>
      </c>
      <c r="D7400" s="3">
        <f t="shared" si="1112"/>
        <v>8171</v>
      </c>
      <c r="E7400" s="2">
        <f t="shared" si="1113"/>
        <v>43405</v>
      </c>
      <c r="F7400" s="2">
        <f t="shared" si="1114"/>
        <v>44316</v>
      </c>
    </row>
    <row r="7401" spans="1:6" x14ac:dyDescent="0.25">
      <c r="A7401" s="1" t="s">
        <v>844</v>
      </c>
      <c r="B7401" s="1" t="s">
        <v>912</v>
      </c>
      <c r="C7401" s="1" t="s">
        <v>918</v>
      </c>
      <c r="D7401" s="3">
        <f t="shared" si="1112"/>
        <v>8171</v>
      </c>
      <c r="E7401" s="2">
        <f t="shared" si="1113"/>
        <v>43405</v>
      </c>
      <c r="F7401" s="2">
        <f t="shared" si="1114"/>
        <v>44316</v>
      </c>
    </row>
    <row r="7402" spans="1:6" x14ac:dyDescent="0.25">
      <c r="A7402" s="1" t="s">
        <v>844</v>
      </c>
      <c r="B7402" s="1" t="s">
        <v>912</v>
      </c>
      <c r="C7402" s="1" t="s">
        <v>919</v>
      </c>
      <c r="D7402" s="3">
        <f t="shared" si="1112"/>
        <v>8171</v>
      </c>
      <c r="E7402" s="2">
        <f t="shared" si="1113"/>
        <v>43405</v>
      </c>
      <c r="F7402" s="2">
        <f t="shared" si="1114"/>
        <v>44316</v>
      </c>
    </row>
    <row r="7403" spans="1:6" x14ac:dyDescent="0.25">
      <c r="A7403" s="1" t="s">
        <v>844</v>
      </c>
      <c r="B7403" s="1" t="s">
        <v>912</v>
      </c>
      <c r="C7403" s="1" t="s">
        <v>920</v>
      </c>
      <c r="D7403" s="3">
        <f t="shared" si="1112"/>
        <v>8171</v>
      </c>
      <c r="E7403" s="2">
        <f t="shared" si="1113"/>
        <v>43405</v>
      </c>
      <c r="F7403" s="2">
        <f t="shared" si="1114"/>
        <v>44316</v>
      </c>
    </row>
    <row r="7404" spans="1:6" x14ac:dyDescent="0.25">
      <c r="A7404" s="1" t="s">
        <v>844</v>
      </c>
      <c r="B7404" s="1" t="s">
        <v>912</v>
      </c>
      <c r="C7404" s="1" t="s">
        <v>921</v>
      </c>
      <c r="D7404" s="3">
        <f t="shared" si="1112"/>
        <v>8171</v>
      </c>
      <c r="E7404" s="2">
        <f t="shared" si="1113"/>
        <v>43405</v>
      </c>
      <c r="F7404" s="2">
        <f t="shared" si="1114"/>
        <v>44316</v>
      </c>
    </row>
    <row r="7405" spans="1:6" x14ac:dyDescent="0.25">
      <c r="A7405" s="1" t="s">
        <v>844</v>
      </c>
      <c r="B7405" s="1" t="s">
        <v>912</v>
      </c>
      <c r="C7405" s="1" t="s">
        <v>922</v>
      </c>
      <c r="D7405" s="3">
        <f t="shared" si="1112"/>
        <v>8171</v>
      </c>
      <c r="E7405" s="2">
        <f t="shared" si="1113"/>
        <v>43405</v>
      </c>
      <c r="F7405" s="2">
        <f t="shared" si="1114"/>
        <v>44316</v>
      </c>
    </row>
    <row r="7406" spans="1:6" x14ac:dyDescent="0.25">
      <c r="A7406" s="1" t="s">
        <v>844</v>
      </c>
      <c r="B7406" s="1" t="s">
        <v>912</v>
      </c>
      <c r="C7406" s="1" t="s">
        <v>198</v>
      </c>
      <c r="D7406" s="3">
        <f t="shared" si="1112"/>
        <v>8171</v>
      </c>
      <c r="E7406" s="2">
        <f t="shared" si="1113"/>
        <v>43405</v>
      </c>
      <c r="F7406" s="2">
        <f t="shared" si="1114"/>
        <v>44316</v>
      </c>
    </row>
    <row r="7407" spans="1:6" x14ac:dyDescent="0.25">
      <c r="A7407" s="1" t="s">
        <v>844</v>
      </c>
      <c r="B7407" s="1" t="s">
        <v>908</v>
      </c>
      <c r="C7407" s="1" t="s">
        <v>15</v>
      </c>
      <c r="D7407" s="3">
        <f t="shared" ref="D7407:D7417" si="1115">VALUE("8160")</f>
        <v>8160</v>
      </c>
      <c r="E7407" s="2">
        <f t="shared" ref="E7407:E7417" si="1116">DATEVALUE("1-12-2017")</f>
        <v>43070</v>
      </c>
      <c r="F7407" s="2">
        <f t="shared" ref="F7407:F7417" si="1117">DATEVALUE("31-12-2022")</f>
        <v>44926</v>
      </c>
    </row>
    <row r="7408" spans="1:6" x14ac:dyDescent="0.25">
      <c r="A7408" s="1" t="s">
        <v>844</v>
      </c>
      <c r="B7408" s="1" t="s">
        <v>908</v>
      </c>
      <c r="C7408" s="1" t="s">
        <v>16</v>
      </c>
      <c r="D7408" s="3">
        <f t="shared" si="1115"/>
        <v>8160</v>
      </c>
      <c r="E7408" s="2">
        <f t="shared" si="1116"/>
        <v>43070</v>
      </c>
      <c r="F7408" s="2">
        <f t="shared" si="1117"/>
        <v>44926</v>
      </c>
    </row>
    <row r="7409" spans="1:6" x14ac:dyDescent="0.25">
      <c r="A7409" s="1" t="s">
        <v>844</v>
      </c>
      <c r="B7409" s="1" t="s">
        <v>908</v>
      </c>
      <c r="C7409" s="1" t="s">
        <v>89</v>
      </c>
      <c r="D7409" s="3">
        <f t="shared" si="1115"/>
        <v>8160</v>
      </c>
      <c r="E7409" s="2">
        <f t="shared" si="1116"/>
        <v>43070</v>
      </c>
      <c r="F7409" s="2">
        <f t="shared" si="1117"/>
        <v>44926</v>
      </c>
    </row>
    <row r="7410" spans="1:6" x14ac:dyDescent="0.25">
      <c r="A7410" s="1" t="s">
        <v>844</v>
      </c>
      <c r="B7410" s="1" t="s">
        <v>908</v>
      </c>
      <c r="C7410" s="1" t="s">
        <v>17</v>
      </c>
      <c r="D7410" s="3">
        <f t="shared" si="1115"/>
        <v>8160</v>
      </c>
      <c r="E7410" s="2">
        <f t="shared" si="1116"/>
        <v>43070</v>
      </c>
      <c r="F7410" s="2">
        <f t="shared" si="1117"/>
        <v>44926</v>
      </c>
    </row>
    <row r="7411" spans="1:6" x14ac:dyDescent="0.25">
      <c r="A7411" s="1" t="s">
        <v>844</v>
      </c>
      <c r="B7411" s="1" t="s">
        <v>908</v>
      </c>
      <c r="C7411" s="1" t="s">
        <v>442</v>
      </c>
      <c r="D7411" s="3">
        <f t="shared" si="1115"/>
        <v>8160</v>
      </c>
      <c r="E7411" s="2">
        <f t="shared" si="1116"/>
        <v>43070</v>
      </c>
      <c r="F7411" s="2">
        <f t="shared" si="1117"/>
        <v>44926</v>
      </c>
    </row>
    <row r="7412" spans="1:6" x14ac:dyDescent="0.25">
      <c r="A7412" s="1" t="s">
        <v>844</v>
      </c>
      <c r="B7412" s="1" t="s">
        <v>908</v>
      </c>
      <c r="C7412" s="1" t="s">
        <v>144</v>
      </c>
      <c r="D7412" s="3">
        <f t="shared" si="1115"/>
        <v>8160</v>
      </c>
      <c r="E7412" s="2">
        <f t="shared" si="1116"/>
        <v>43070</v>
      </c>
      <c r="F7412" s="2">
        <f t="shared" si="1117"/>
        <v>44926</v>
      </c>
    </row>
    <row r="7413" spans="1:6" x14ac:dyDescent="0.25">
      <c r="A7413" s="1" t="s">
        <v>844</v>
      </c>
      <c r="B7413" s="1" t="s">
        <v>908</v>
      </c>
      <c r="C7413" s="1" t="s">
        <v>67</v>
      </c>
      <c r="D7413" s="3">
        <f t="shared" si="1115"/>
        <v>8160</v>
      </c>
      <c r="E7413" s="2">
        <f t="shared" si="1116"/>
        <v>43070</v>
      </c>
      <c r="F7413" s="2">
        <f t="shared" si="1117"/>
        <v>44926</v>
      </c>
    </row>
    <row r="7414" spans="1:6" x14ac:dyDescent="0.25">
      <c r="A7414" s="1" t="s">
        <v>844</v>
      </c>
      <c r="B7414" s="1" t="s">
        <v>908</v>
      </c>
      <c r="C7414" s="1" t="s">
        <v>149</v>
      </c>
      <c r="D7414" s="3">
        <f t="shared" si="1115"/>
        <v>8160</v>
      </c>
      <c r="E7414" s="2">
        <f t="shared" si="1116"/>
        <v>43070</v>
      </c>
      <c r="F7414" s="2">
        <f t="shared" si="1117"/>
        <v>44926</v>
      </c>
    </row>
    <row r="7415" spans="1:6" x14ac:dyDescent="0.25">
      <c r="A7415" s="1" t="s">
        <v>844</v>
      </c>
      <c r="B7415" s="1" t="s">
        <v>908</v>
      </c>
      <c r="C7415" s="1" t="s">
        <v>92</v>
      </c>
      <c r="D7415" s="3">
        <f t="shared" si="1115"/>
        <v>8160</v>
      </c>
      <c r="E7415" s="2">
        <f t="shared" si="1116"/>
        <v>43070</v>
      </c>
      <c r="F7415" s="2">
        <f t="shared" si="1117"/>
        <v>44926</v>
      </c>
    </row>
    <row r="7416" spans="1:6" x14ac:dyDescent="0.25">
      <c r="A7416" s="1" t="s">
        <v>844</v>
      </c>
      <c r="B7416" s="1" t="s">
        <v>908</v>
      </c>
      <c r="C7416" s="1" t="s">
        <v>26</v>
      </c>
      <c r="D7416" s="3">
        <f t="shared" si="1115"/>
        <v>8160</v>
      </c>
      <c r="E7416" s="2">
        <f t="shared" si="1116"/>
        <v>43070</v>
      </c>
      <c r="F7416" s="2">
        <f t="shared" si="1117"/>
        <v>44926</v>
      </c>
    </row>
    <row r="7417" spans="1:6" x14ac:dyDescent="0.25">
      <c r="A7417" s="1" t="s">
        <v>844</v>
      </c>
      <c r="B7417" s="1" t="s">
        <v>908</v>
      </c>
      <c r="C7417" s="1" t="s">
        <v>378</v>
      </c>
      <c r="D7417" s="3">
        <f t="shared" si="1115"/>
        <v>8160</v>
      </c>
      <c r="E7417" s="2">
        <f t="shared" si="1116"/>
        <v>43070</v>
      </c>
      <c r="F7417" s="2">
        <f t="shared" si="1117"/>
        <v>44926</v>
      </c>
    </row>
    <row r="7418" spans="1:6" x14ac:dyDescent="0.25">
      <c r="A7418" s="1" t="s">
        <v>844</v>
      </c>
      <c r="B7418" s="1" t="s">
        <v>843</v>
      </c>
      <c r="C7418" s="1" t="s">
        <v>845</v>
      </c>
      <c r="D7418" s="3">
        <f t="shared" ref="D7418:D7438" si="1118">VALUE("8070")</f>
        <v>8070</v>
      </c>
      <c r="E7418" s="2">
        <f t="shared" ref="E7418:E7438" si="1119">DATEVALUE("1-5-2017")</f>
        <v>42856</v>
      </c>
      <c r="F7418" s="2">
        <f t="shared" ref="F7418:F7438" si="1120">DATEVALUE("30-11-2020")</f>
        <v>44165</v>
      </c>
    </row>
    <row r="7419" spans="1:6" x14ac:dyDescent="0.25">
      <c r="A7419" s="1" t="s">
        <v>844</v>
      </c>
      <c r="B7419" s="1" t="s">
        <v>843</v>
      </c>
      <c r="C7419" s="1" t="s">
        <v>846</v>
      </c>
      <c r="D7419" s="3">
        <f t="shared" si="1118"/>
        <v>8070</v>
      </c>
      <c r="E7419" s="2">
        <f t="shared" si="1119"/>
        <v>42856</v>
      </c>
      <c r="F7419" s="2">
        <f t="shared" si="1120"/>
        <v>44165</v>
      </c>
    </row>
    <row r="7420" spans="1:6" x14ac:dyDescent="0.25">
      <c r="A7420" s="1" t="s">
        <v>844</v>
      </c>
      <c r="B7420" s="1" t="s">
        <v>843</v>
      </c>
      <c r="C7420" s="1" t="s">
        <v>39</v>
      </c>
      <c r="D7420" s="3">
        <f t="shared" si="1118"/>
        <v>8070</v>
      </c>
      <c r="E7420" s="2">
        <f t="shared" si="1119"/>
        <v>42856</v>
      </c>
      <c r="F7420" s="2">
        <f t="shared" si="1120"/>
        <v>44165</v>
      </c>
    </row>
    <row r="7421" spans="1:6" x14ac:dyDescent="0.25">
      <c r="A7421" s="1" t="s">
        <v>844</v>
      </c>
      <c r="B7421" s="1" t="s">
        <v>843</v>
      </c>
      <c r="C7421" s="1" t="s">
        <v>8</v>
      </c>
      <c r="D7421" s="3">
        <f t="shared" si="1118"/>
        <v>8070</v>
      </c>
      <c r="E7421" s="2">
        <f t="shared" si="1119"/>
        <v>42856</v>
      </c>
      <c r="F7421" s="2">
        <f t="shared" si="1120"/>
        <v>44165</v>
      </c>
    </row>
    <row r="7422" spans="1:6" x14ac:dyDescent="0.25">
      <c r="A7422" s="1" t="s">
        <v>844</v>
      </c>
      <c r="B7422" s="1" t="s">
        <v>843</v>
      </c>
      <c r="C7422" s="1" t="s">
        <v>43</v>
      </c>
      <c r="D7422" s="3">
        <f t="shared" si="1118"/>
        <v>8070</v>
      </c>
      <c r="E7422" s="2">
        <f t="shared" si="1119"/>
        <v>42856</v>
      </c>
      <c r="F7422" s="2">
        <f t="shared" si="1120"/>
        <v>44165</v>
      </c>
    </row>
    <row r="7423" spans="1:6" x14ac:dyDescent="0.25">
      <c r="A7423" s="1" t="s">
        <v>844</v>
      </c>
      <c r="B7423" s="1" t="s">
        <v>843</v>
      </c>
      <c r="C7423" s="1" t="s">
        <v>15</v>
      </c>
      <c r="D7423" s="3">
        <f t="shared" si="1118"/>
        <v>8070</v>
      </c>
      <c r="E7423" s="2">
        <f t="shared" si="1119"/>
        <v>42856</v>
      </c>
      <c r="F7423" s="2">
        <f t="shared" si="1120"/>
        <v>44165</v>
      </c>
    </row>
    <row r="7424" spans="1:6" x14ac:dyDescent="0.25">
      <c r="A7424" s="1" t="s">
        <v>844</v>
      </c>
      <c r="B7424" s="1" t="s">
        <v>843</v>
      </c>
      <c r="C7424" s="1" t="s">
        <v>17</v>
      </c>
      <c r="D7424" s="3">
        <f t="shared" si="1118"/>
        <v>8070</v>
      </c>
      <c r="E7424" s="2">
        <f t="shared" si="1119"/>
        <v>42856</v>
      </c>
      <c r="F7424" s="2">
        <f t="shared" si="1120"/>
        <v>44165</v>
      </c>
    </row>
    <row r="7425" spans="1:6" x14ac:dyDescent="0.25">
      <c r="A7425" s="1" t="s">
        <v>844</v>
      </c>
      <c r="B7425" s="1" t="s">
        <v>843</v>
      </c>
      <c r="C7425" s="1" t="s">
        <v>488</v>
      </c>
      <c r="D7425" s="3">
        <f t="shared" si="1118"/>
        <v>8070</v>
      </c>
      <c r="E7425" s="2">
        <f t="shared" si="1119"/>
        <v>42856</v>
      </c>
      <c r="F7425" s="2">
        <f t="shared" si="1120"/>
        <v>44165</v>
      </c>
    </row>
    <row r="7426" spans="1:6" x14ac:dyDescent="0.25">
      <c r="A7426" s="1" t="s">
        <v>844</v>
      </c>
      <c r="B7426" s="1" t="s">
        <v>843</v>
      </c>
      <c r="C7426" s="1" t="s">
        <v>22</v>
      </c>
      <c r="D7426" s="3">
        <f t="shared" si="1118"/>
        <v>8070</v>
      </c>
      <c r="E7426" s="2">
        <f t="shared" si="1119"/>
        <v>42856</v>
      </c>
      <c r="F7426" s="2">
        <f t="shared" si="1120"/>
        <v>44165</v>
      </c>
    </row>
    <row r="7427" spans="1:6" x14ac:dyDescent="0.25">
      <c r="A7427" s="1" t="s">
        <v>844</v>
      </c>
      <c r="B7427" s="1" t="s">
        <v>843</v>
      </c>
      <c r="C7427" s="1" t="s">
        <v>146</v>
      </c>
      <c r="D7427" s="3">
        <f t="shared" si="1118"/>
        <v>8070</v>
      </c>
      <c r="E7427" s="2">
        <f t="shared" si="1119"/>
        <v>42856</v>
      </c>
      <c r="F7427" s="2">
        <f t="shared" si="1120"/>
        <v>44165</v>
      </c>
    </row>
    <row r="7428" spans="1:6" x14ac:dyDescent="0.25">
      <c r="A7428" s="1" t="s">
        <v>844</v>
      </c>
      <c r="B7428" s="1" t="s">
        <v>843</v>
      </c>
      <c r="C7428" s="1" t="s">
        <v>67</v>
      </c>
      <c r="D7428" s="3">
        <f t="shared" si="1118"/>
        <v>8070</v>
      </c>
      <c r="E7428" s="2">
        <f t="shared" si="1119"/>
        <v>42856</v>
      </c>
      <c r="F7428" s="2">
        <f t="shared" si="1120"/>
        <v>44165</v>
      </c>
    </row>
    <row r="7429" spans="1:6" x14ac:dyDescent="0.25">
      <c r="A7429" s="1" t="s">
        <v>844</v>
      </c>
      <c r="B7429" s="1" t="s">
        <v>843</v>
      </c>
      <c r="C7429" s="1" t="s">
        <v>148</v>
      </c>
      <c r="D7429" s="3">
        <f t="shared" si="1118"/>
        <v>8070</v>
      </c>
      <c r="E7429" s="2">
        <f t="shared" si="1119"/>
        <v>42856</v>
      </c>
      <c r="F7429" s="2">
        <f t="shared" si="1120"/>
        <v>44165</v>
      </c>
    </row>
    <row r="7430" spans="1:6" x14ac:dyDescent="0.25">
      <c r="A7430" s="1" t="s">
        <v>844</v>
      </c>
      <c r="B7430" s="1" t="s">
        <v>843</v>
      </c>
      <c r="C7430" s="1" t="s">
        <v>149</v>
      </c>
      <c r="D7430" s="3">
        <f t="shared" si="1118"/>
        <v>8070</v>
      </c>
      <c r="E7430" s="2">
        <f t="shared" si="1119"/>
        <v>42856</v>
      </c>
      <c r="F7430" s="2">
        <f t="shared" si="1120"/>
        <v>44165</v>
      </c>
    </row>
    <row r="7431" spans="1:6" x14ac:dyDescent="0.25">
      <c r="A7431" s="1" t="s">
        <v>844</v>
      </c>
      <c r="B7431" s="1" t="s">
        <v>843</v>
      </c>
      <c r="C7431" s="1" t="s">
        <v>92</v>
      </c>
      <c r="D7431" s="3">
        <f t="shared" si="1118"/>
        <v>8070</v>
      </c>
      <c r="E7431" s="2">
        <f t="shared" si="1119"/>
        <v>42856</v>
      </c>
      <c r="F7431" s="2">
        <f t="shared" si="1120"/>
        <v>44165</v>
      </c>
    </row>
    <row r="7432" spans="1:6" x14ac:dyDescent="0.25">
      <c r="A7432" s="1" t="s">
        <v>844</v>
      </c>
      <c r="B7432" s="1" t="s">
        <v>843</v>
      </c>
      <c r="C7432" s="1" t="s">
        <v>73</v>
      </c>
      <c r="D7432" s="3">
        <f t="shared" si="1118"/>
        <v>8070</v>
      </c>
      <c r="E7432" s="2">
        <f t="shared" si="1119"/>
        <v>42856</v>
      </c>
      <c r="F7432" s="2">
        <f t="shared" si="1120"/>
        <v>44165</v>
      </c>
    </row>
    <row r="7433" spans="1:6" x14ac:dyDescent="0.25">
      <c r="A7433" s="1" t="s">
        <v>844</v>
      </c>
      <c r="B7433" s="1" t="s">
        <v>843</v>
      </c>
      <c r="C7433" s="1" t="s">
        <v>402</v>
      </c>
      <c r="D7433" s="3">
        <f t="shared" si="1118"/>
        <v>8070</v>
      </c>
      <c r="E7433" s="2">
        <f t="shared" si="1119"/>
        <v>42856</v>
      </c>
      <c r="F7433" s="2">
        <f t="shared" si="1120"/>
        <v>44165</v>
      </c>
    </row>
    <row r="7434" spans="1:6" x14ac:dyDescent="0.25">
      <c r="A7434" s="1" t="s">
        <v>844</v>
      </c>
      <c r="B7434" s="1" t="s">
        <v>843</v>
      </c>
      <c r="C7434" s="1" t="s">
        <v>378</v>
      </c>
      <c r="D7434" s="3">
        <f t="shared" si="1118"/>
        <v>8070</v>
      </c>
      <c r="E7434" s="2">
        <f t="shared" si="1119"/>
        <v>42856</v>
      </c>
      <c r="F7434" s="2">
        <f t="shared" si="1120"/>
        <v>44165</v>
      </c>
    </row>
    <row r="7435" spans="1:6" x14ac:dyDescent="0.25">
      <c r="A7435" s="1" t="s">
        <v>844</v>
      </c>
      <c r="B7435" s="1" t="s">
        <v>843</v>
      </c>
      <c r="C7435" s="1" t="s">
        <v>403</v>
      </c>
      <c r="D7435" s="3">
        <f t="shared" si="1118"/>
        <v>8070</v>
      </c>
      <c r="E7435" s="2">
        <f t="shared" si="1119"/>
        <v>42856</v>
      </c>
      <c r="F7435" s="2">
        <f t="shared" si="1120"/>
        <v>44165</v>
      </c>
    </row>
    <row r="7436" spans="1:6" x14ac:dyDescent="0.25">
      <c r="A7436" s="1" t="s">
        <v>844</v>
      </c>
      <c r="B7436" s="1" t="s">
        <v>843</v>
      </c>
      <c r="C7436" s="1" t="s">
        <v>404</v>
      </c>
      <c r="D7436" s="3">
        <f t="shared" si="1118"/>
        <v>8070</v>
      </c>
      <c r="E7436" s="2">
        <f t="shared" si="1119"/>
        <v>42856</v>
      </c>
      <c r="F7436" s="2">
        <f t="shared" si="1120"/>
        <v>44165</v>
      </c>
    </row>
    <row r="7437" spans="1:6" x14ac:dyDescent="0.25">
      <c r="A7437" s="1" t="s">
        <v>844</v>
      </c>
      <c r="B7437" s="1" t="s">
        <v>843</v>
      </c>
      <c r="C7437" s="1" t="s">
        <v>306</v>
      </c>
      <c r="D7437" s="3">
        <f t="shared" si="1118"/>
        <v>8070</v>
      </c>
      <c r="E7437" s="2">
        <f t="shared" si="1119"/>
        <v>42856</v>
      </c>
      <c r="F7437" s="2">
        <f t="shared" si="1120"/>
        <v>44165</v>
      </c>
    </row>
    <row r="7438" spans="1:6" x14ac:dyDescent="0.25">
      <c r="A7438" s="1" t="s">
        <v>844</v>
      </c>
      <c r="B7438" s="1" t="s">
        <v>843</v>
      </c>
      <c r="C7438" s="1" t="s">
        <v>57</v>
      </c>
      <c r="D7438" s="3">
        <f t="shared" si="1118"/>
        <v>8070</v>
      </c>
      <c r="E7438" s="2">
        <f t="shared" si="1119"/>
        <v>42856</v>
      </c>
      <c r="F7438" s="2">
        <f t="shared" si="1120"/>
        <v>44165</v>
      </c>
    </row>
    <row r="7439" spans="1:6" x14ac:dyDescent="0.25">
      <c r="A7439" s="1" t="s">
        <v>844</v>
      </c>
      <c r="B7439" s="1" t="s">
        <v>1750</v>
      </c>
      <c r="C7439" s="1" t="s">
        <v>48</v>
      </c>
      <c r="D7439" s="3">
        <f>VALUE("7872")</f>
        <v>7872</v>
      </c>
      <c r="E7439" s="2">
        <f>DATEVALUE("1-3-2016")</f>
        <v>42430</v>
      </c>
      <c r="F7439" s="2">
        <f>DATEVALUE("30-11-2016")</f>
        <v>42704</v>
      </c>
    </row>
    <row r="7440" spans="1:6" x14ac:dyDescent="0.25">
      <c r="A7440" s="1" t="s">
        <v>844</v>
      </c>
      <c r="B7440" s="1" t="s">
        <v>1750</v>
      </c>
      <c r="C7440" s="1" t="s">
        <v>53</v>
      </c>
      <c r="D7440" s="3">
        <f>VALUE("7872")</f>
        <v>7872</v>
      </c>
      <c r="E7440" s="2">
        <f>DATEVALUE("1-3-2016")</f>
        <v>42430</v>
      </c>
      <c r="F7440" s="2">
        <f>DATEVALUE("30-11-2016")</f>
        <v>42704</v>
      </c>
    </row>
    <row r="7441" spans="1:6" x14ac:dyDescent="0.25">
      <c r="A7441" s="1" t="s">
        <v>844</v>
      </c>
      <c r="B7441" s="1" t="s">
        <v>1750</v>
      </c>
      <c r="C7441" s="1" t="s">
        <v>890</v>
      </c>
      <c r="D7441" s="3">
        <f>VALUE("7872")</f>
        <v>7872</v>
      </c>
      <c r="E7441" s="2">
        <f>DATEVALUE("1-3-2016")</f>
        <v>42430</v>
      </c>
      <c r="F7441" s="2">
        <f>DATEVALUE("30-11-2016")</f>
        <v>42704</v>
      </c>
    </row>
    <row r="7442" spans="1:6" x14ac:dyDescent="0.25">
      <c r="A7442" s="1" t="s">
        <v>844</v>
      </c>
      <c r="B7442" s="1" t="s">
        <v>2110</v>
      </c>
      <c r="C7442" s="1" t="s">
        <v>39</v>
      </c>
      <c r="D7442" s="3">
        <f t="shared" ref="D7442:D7475" si="1121">VALUE("7036")</f>
        <v>7036</v>
      </c>
      <c r="E7442" s="2">
        <f t="shared" ref="E7442:E7475" si="1122">DATEVALUE("1-4-2010")</f>
        <v>40269</v>
      </c>
      <c r="F7442" s="2">
        <f t="shared" ref="F7442:F7475" si="1123">DATEVALUE("30-6-2019")</f>
        <v>43646</v>
      </c>
    </row>
    <row r="7443" spans="1:6" x14ac:dyDescent="0.25">
      <c r="A7443" s="1" t="s">
        <v>844</v>
      </c>
      <c r="B7443" s="1" t="s">
        <v>2110</v>
      </c>
      <c r="C7443" s="1" t="s">
        <v>82</v>
      </c>
      <c r="D7443" s="3">
        <f t="shared" si="1121"/>
        <v>7036</v>
      </c>
      <c r="E7443" s="2">
        <f t="shared" si="1122"/>
        <v>40269</v>
      </c>
      <c r="F7443" s="2">
        <f t="shared" si="1123"/>
        <v>43646</v>
      </c>
    </row>
    <row r="7444" spans="1:6" x14ac:dyDescent="0.25">
      <c r="A7444" s="1" t="s">
        <v>844</v>
      </c>
      <c r="B7444" s="1" t="s">
        <v>2110</v>
      </c>
      <c r="C7444" s="1" t="s">
        <v>8</v>
      </c>
      <c r="D7444" s="3">
        <f t="shared" si="1121"/>
        <v>7036</v>
      </c>
      <c r="E7444" s="2">
        <f t="shared" si="1122"/>
        <v>40269</v>
      </c>
      <c r="F7444" s="2">
        <f t="shared" si="1123"/>
        <v>43646</v>
      </c>
    </row>
    <row r="7445" spans="1:6" x14ac:dyDescent="0.25">
      <c r="A7445" s="1" t="s">
        <v>844</v>
      </c>
      <c r="B7445" s="1" t="s">
        <v>2110</v>
      </c>
      <c r="C7445" s="1" t="s">
        <v>10</v>
      </c>
      <c r="D7445" s="3">
        <f t="shared" si="1121"/>
        <v>7036</v>
      </c>
      <c r="E7445" s="2">
        <f t="shared" si="1122"/>
        <v>40269</v>
      </c>
      <c r="F7445" s="2">
        <f t="shared" si="1123"/>
        <v>43646</v>
      </c>
    </row>
    <row r="7446" spans="1:6" x14ac:dyDescent="0.25">
      <c r="A7446" s="1" t="s">
        <v>844</v>
      </c>
      <c r="B7446" s="1" t="s">
        <v>2110</v>
      </c>
      <c r="C7446" s="1" t="s">
        <v>11</v>
      </c>
      <c r="D7446" s="3">
        <f t="shared" si="1121"/>
        <v>7036</v>
      </c>
      <c r="E7446" s="2">
        <f t="shared" si="1122"/>
        <v>40269</v>
      </c>
      <c r="F7446" s="2">
        <f t="shared" si="1123"/>
        <v>43646</v>
      </c>
    </row>
    <row r="7447" spans="1:6" x14ac:dyDescent="0.25">
      <c r="A7447" s="1" t="s">
        <v>844</v>
      </c>
      <c r="B7447" s="1" t="s">
        <v>2110</v>
      </c>
      <c r="C7447" s="1" t="s">
        <v>12</v>
      </c>
      <c r="D7447" s="3">
        <f t="shared" si="1121"/>
        <v>7036</v>
      </c>
      <c r="E7447" s="2">
        <f t="shared" si="1122"/>
        <v>40269</v>
      </c>
      <c r="F7447" s="2">
        <f t="shared" si="1123"/>
        <v>43646</v>
      </c>
    </row>
    <row r="7448" spans="1:6" x14ac:dyDescent="0.25">
      <c r="A7448" s="1" t="s">
        <v>844</v>
      </c>
      <c r="B7448" s="1" t="s">
        <v>2110</v>
      </c>
      <c r="C7448" s="1" t="s">
        <v>61</v>
      </c>
      <c r="D7448" s="3">
        <f t="shared" si="1121"/>
        <v>7036</v>
      </c>
      <c r="E7448" s="2">
        <f t="shared" si="1122"/>
        <v>40269</v>
      </c>
      <c r="F7448" s="2">
        <f t="shared" si="1123"/>
        <v>43646</v>
      </c>
    </row>
    <row r="7449" spans="1:6" x14ac:dyDescent="0.25">
      <c r="A7449" s="1" t="s">
        <v>844</v>
      </c>
      <c r="B7449" s="1" t="s">
        <v>2110</v>
      </c>
      <c r="C7449" s="1" t="s">
        <v>43</v>
      </c>
      <c r="D7449" s="3">
        <f t="shared" si="1121"/>
        <v>7036</v>
      </c>
      <c r="E7449" s="2">
        <f t="shared" si="1122"/>
        <v>40269</v>
      </c>
      <c r="F7449" s="2">
        <f t="shared" si="1123"/>
        <v>43646</v>
      </c>
    </row>
    <row r="7450" spans="1:6" x14ac:dyDescent="0.25">
      <c r="A7450" s="1" t="s">
        <v>844</v>
      </c>
      <c r="B7450" s="1" t="s">
        <v>2110</v>
      </c>
      <c r="C7450" s="1" t="s">
        <v>375</v>
      </c>
      <c r="D7450" s="3">
        <f t="shared" si="1121"/>
        <v>7036</v>
      </c>
      <c r="E7450" s="2">
        <f t="shared" si="1122"/>
        <v>40269</v>
      </c>
      <c r="F7450" s="2">
        <f t="shared" si="1123"/>
        <v>43646</v>
      </c>
    </row>
    <row r="7451" spans="1:6" x14ac:dyDescent="0.25">
      <c r="A7451" s="1" t="s">
        <v>844</v>
      </c>
      <c r="B7451" s="1" t="s">
        <v>2110</v>
      </c>
      <c r="C7451" s="1" t="s">
        <v>141</v>
      </c>
      <c r="D7451" s="3">
        <f t="shared" si="1121"/>
        <v>7036</v>
      </c>
      <c r="E7451" s="2">
        <f t="shared" si="1122"/>
        <v>40269</v>
      </c>
      <c r="F7451" s="2">
        <f t="shared" si="1123"/>
        <v>43646</v>
      </c>
    </row>
    <row r="7452" spans="1:6" x14ac:dyDescent="0.25">
      <c r="A7452" s="1" t="s">
        <v>844</v>
      </c>
      <c r="B7452" s="1" t="s">
        <v>2110</v>
      </c>
      <c r="C7452" s="1" t="s">
        <v>142</v>
      </c>
      <c r="D7452" s="3">
        <f t="shared" si="1121"/>
        <v>7036</v>
      </c>
      <c r="E7452" s="2">
        <f t="shared" si="1122"/>
        <v>40269</v>
      </c>
      <c r="F7452" s="2">
        <f t="shared" si="1123"/>
        <v>43646</v>
      </c>
    </row>
    <row r="7453" spans="1:6" x14ac:dyDescent="0.25">
      <c r="A7453" s="1" t="s">
        <v>844</v>
      </c>
      <c r="B7453" s="1" t="s">
        <v>2110</v>
      </c>
      <c r="C7453" s="1" t="s">
        <v>86</v>
      </c>
      <c r="D7453" s="3">
        <f t="shared" si="1121"/>
        <v>7036</v>
      </c>
      <c r="E7453" s="2">
        <f t="shared" si="1122"/>
        <v>40269</v>
      </c>
      <c r="F7453" s="2">
        <f t="shared" si="1123"/>
        <v>43646</v>
      </c>
    </row>
    <row r="7454" spans="1:6" x14ac:dyDescent="0.25">
      <c r="A7454" s="1" t="s">
        <v>844</v>
      </c>
      <c r="B7454" s="1" t="s">
        <v>2110</v>
      </c>
      <c r="C7454" s="1" t="s">
        <v>66</v>
      </c>
      <c r="D7454" s="3">
        <f t="shared" si="1121"/>
        <v>7036</v>
      </c>
      <c r="E7454" s="2">
        <f t="shared" si="1122"/>
        <v>40269</v>
      </c>
      <c r="F7454" s="2">
        <f t="shared" si="1123"/>
        <v>43646</v>
      </c>
    </row>
    <row r="7455" spans="1:6" x14ac:dyDescent="0.25">
      <c r="A7455" s="1" t="s">
        <v>844</v>
      </c>
      <c r="B7455" s="1" t="s">
        <v>2110</v>
      </c>
      <c r="C7455" s="1" t="s">
        <v>15</v>
      </c>
      <c r="D7455" s="3">
        <f t="shared" si="1121"/>
        <v>7036</v>
      </c>
      <c r="E7455" s="2">
        <f t="shared" si="1122"/>
        <v>40269</v>
      </c>
      <c r="F7455" s="2">
        <f t="shared" si="1123"/>
        <v>43646</v>
      </c>
    </row>
    <row r="7456" spans="1:6" x14ac:dyDescent="0.25">
      <c r="A7456" s="1" t="s">
        <v>844</v>
      </c>
      <c r="B7456" s="1" t="s">
        <v>2110</v>
      </c>
      <c r="C7456" s="1" t="s">
        <v>16</v>
      </c>
      <c r="D7456" s="3">
        <f t="shared" si="1121"/>
        <v>7036</v>
      </c>
      <c r="E7456" s="2">
        <f t="shared" si="1122"/>
        <v>40269</v>
      </c>
      <c r="F7456" s="2">
        <f t="shared" si="1123"/>
        <v>43646</v>
      </c>
    </row>
    <row r="7457" spans="1:6" x14ac:dyDescent="0.25">
      <c r="A7457" s="1" t="s">
        <v>844</v>
      </c>
      <c r="B7457" s="1" t="s">
        <v>2110</v>
      </c>
      <c r="C7457" s="1" t="s">
        <v>89</v>
      </c>
      <c r="D7457" s="3">
        <f t="shared" si="1121"/>
        <v>7036</v>
      </c>
      <c r="E7457" s="2">
        <f t="shared" si="1122"/>
        <v>40269</v>
      </c>
      <c r="F7457" s="2">
        <f t="shared" si="1123"/>
        <v>43646</v>
      </c>
    </row>
    <row r="7458" spans="1:6" x14ac:dyDescent="0.25">
      <c r="A7458" s="1" t="s">
        <v>844</v>
      </c>
      <c r="B7458" s="1" t="s">
        <v>2110</v>
      </c>
      <c r="C7458" s="1" t="s">
        <v>17</v>
      </c>
      <c r="D7458" s="3">
        <f t="shared" si="1121"/>
        <v>7036</v>
      </c>
      <c r="E7458" s="2">
        <f t="shared" si="1122"/>
        <v>40269</v>
      </c>
      <c r="F7458" s="2">
        <f t="shared" si="1123"/>
        <v>43646</v>
      </c>
    </row>
    <row r="7459" spans="1:6" x14ac:dyDescent="0.25">
      <c r="A7459" s="1" t="s">
        <v>844</v>
      </c>
      <c r="B7459" s="1" t="s">
        <v>2110</v>
      </c>
      <c r="C7459" s="1" t="s">
        <v>326</v>
      </c>
      <c r="D7459" s="3">
        <f t="shared" si="1121"/>
        <v>7036</v>
      </c>
      <c r="E7459" s="2">
        <f t="shared" si="1122"/>
        <v>40269</v>
      </c>
      <c r="F7459" s="2">
        <f t="shared" si="1123"/>
        <v>43646</v>
      </c>
    </row>
    <row r="7460" spans="1:6" x14ac:dyDescent="0.25">
      <c r="A7460" s="1" t="s">
        <v>844</v>
      </c>
      <c r="B7460" s="1" t="s">
        <v>2110</v>
      </c>
      <c r="C7460" s="1" t="s">
        <v>145</v>
      </c>
      <c r="D7460" s="3">
        <f t="shared" si="1121"/>
        <v>7036</v>
      </c>
      <c r="E7460" s="2">
        <f t="shared" si="1122"/>
        <v>40269</v>
      </c>
      <c r="F7460" s="2">
        <f t="shared" si="1123"/>
        <v>43646</v>
      </c>
    </row>
    <row r="7461" spans="1:6" x14ac:dyDescent="0.25">
      <c r="A7461" s="1" t="s">
        <v>844</v>
      </c>
      <c r="B7461" s="1" t="s">
        <v>2110</v>
      </c>
      <c r="C7461" s="1" t="s">
        <v>144</v>
      </c>
      <c r="D7461" s="3">
        <f t="shared" si="1121"/>
        <v>7036</v>
      </c>
      <c r="E7461" s="2">
        <f t="shared" si="1122"/>
        <v>40269</v>
      </c>
      <c r="F7461" s="2">
        <f t="shared" si="1123"/>
        <v>43646</v>
      </c>
    </row>
    <row r="7462" spans="1:6" x14ac:dyDescent="0.25">
      <c r="A7462" s="1" t="s">
        <v>844</v>
      </c>
      <c r="B7462" s="1" t="s">
        <v>2110</v>
      </c>
      <c r="C7462" s="1" t="s">
        <v>22</v>
      </c>
      <c r="D7462" s="3">
        <f t="shared" si="1121"/>
        <v>7036</v>
      </c>
      <c r="E7462" s="2">
        <f t="shared" si="1122"/>
        <v>40269</v>
      </c>
      <c r="F7462" s="2">
        <f t="shared" si="1123"/>
        <v>43646</v>
      </c>
    </row>
    <row r="7463" spans="1:6" x14ac:dyDescent="0.25">
      <c r="A7463" s="1" t="s">
        <v>844</v>
      </c>
      <c r="B7463" s="1" t="s">
        <v>2110</v>
      </c>
      <c r="C7463" s="1" t="s">
        <v>67</v>
      </c>
      <c r="D7463" s="3">
        <f t="shared" si="1121"/>
        <v>7036</v>
      </c>
      <c r="E7463" s="2">
        <f t="shared" si="1122"/>
        <v>40269</v>
      </c>
      <c r="F7463" s="2">
        <f t="shared" si="1123"/>
        <v>43646</v>
      </c>
    </row>
    <row r="7464" spans="1:6" x14ac:dyDescent="0.25">
      <c r="A7464" s="1" t="s">
        <v>844</v>
      </c>
      <c r="B7464" s="1" t="s">
        <v>2110</v>
      </c>
      <c r="C7464" s="1" t="s">
        <v>149</v>
      </c>
      <c r="D7464" s="3">
        <f t="shared" si="1121"/>
        <v>7036</v>
      </c>
      <c r="E7464" s="2">
        <f t="shared" si="1122"/>
        <v>40269</v>
      </c>
      <c r="F7464" s="2">
        <f t="shared" si="1123"/>
        <v>43646</v>
      </c>
    </row>
    <row r="7465" spans="1:6" x14ac:dyDescent="0.25">
      <c r="A7465" s="1" t="s">
        <v>844</v>
      </c>
      <c r="B7465" s="1" t="s">
        <v>2110</v>
      </c>
      <c r="C7465" s="1" t="s">
        <v>150</v>
      </c>
      <c r="D7465" s="3">
        <f t="shared" si="1121"/>
        <v>7036</v>
      </c>
      <c r="E7465" s="2">
        <f t="shared" si="1122"/>
        <v>40269</v>
      </c>
      <c r="F7465" s="2">
        <f t="shared" si="1123"/>
        <v>43646</v>
      </c>
    </row>
    <row r="7466" spans="1:6" x14ac:dyDescent="0.25">
      <c r="A7466" s="1" t="s">
        <v>844</v>
      </c>
      <c r="B7466" s="1" t="s">
        <v>2110</v>
      </c>
      <c r="C7466" s="1" t="s">
        <v>48</v>
      </c>
      <c r="D7466" s="3">
        <f t="shared" si="1121"/>
        <v>7036</v>
      </c>
      <c r="E7466" s="2">
        <f t="shared" si="1122"/>
        <v>40269</v>
      </c>
      <c r="F7466" s="2">
        <f t="shared" si="1123"/>
        <v>43646</v>
      </c>
    </row>
    <row r="7467" spans="1:6" x14ac:dyDescent="0.25">
      <c r="A7467" s="1" t="s">
        <v>844</v>
      </c>
      <c r="B7467" s="1" t="s">
        <v>2110</v>
      </c>
      <c r="C7467" s="1" t="s">
        <v>92</v>
      </c>
      <c r="D7467" s="3">
        <f t="shared" si="1121"/>
        <v>7036</v>
      </c>
      <c r="E7467" s="2">
        <f t="shared" si="1122"/>
        <v>40269</v>
      </c>
      <c r="F7467" s="2">
        <f t="shared" si="1123"/>
        <v>43646</v>
      </c>
    </row>
    <row r="7468" spans="1:6" x14ac:dyDescent="0.25">
      <c r="A7468" s="1" t="s">
        <v>844</v>
      </c>
      <c r="B7468" s="1" t="s">
        <v>2110</v>
      </c>
      <c r="C7468" s="1" t="s">
        <v>73</v>
      </c>
      <c r="D7468" s="3">
        <f t="shared" si="1121"/>
        <v>7036</v>
      </c>
      <c r="E7468" s="2">
        <f t="shared" si="1122"/>
        <v>40269</v>
      </c>
      <c r="F7468" s="2">
        <f t="shared" si="1123"/>
        <v>43646</v>
      </c>
    </row>
    <row r="7469" spans="1:6" x14ac:dyDescent="0.25">
      <c r="A7469" s="1" t="s">
        <v>844</v>
      </c>
      <c r="B7469" s="1" t="s">
        <v>2110</v>
      </c>
      <c r="C7469" s="1" t="s">
        <v>32</v>
      </c>
      <c r="D7469" s="3">
        <f t="shared" si="1121"/>
        <v>7036</v>
      </c>
      <c r="E7469" s="2">
        <f t="shared" si="1122"/>
        <v>40269</v>
      </c>
      <c r="F7469" s="2">
        <f t="shared" si="1123"/>
        <v>43646</v>
      </c>
    </row>
    <row r="7470" spans="1:6" x14ac:dyDescent="0.25">
      <c r="A7470" s="1" t="s">
        <v>844</v>
      </c>
      <c r="B7470" s="1" t="s">
        <v>2110</v>
      </c>
      <c r="C7470" s="1" t="s">
        <v>33</v>
      </c>
      <c r="D7470" s="3">
        <f t="shared" si="1121"/>
        <v>7036</v>
      </c>
      <c r="E7470" s="2">
        <f t="shared" si="1122"/>
        <v>40269</v>
      </c>
      <c r="F7470" s="2">
        <f t="shared" si="1123"/>
        <v>43646</v>
      </c>
    </row>
    <row r="7471" spans="1:6" x14ac:dyDescent="0.25">
      <c r="A7471" s="1" t="s">
        <v>844</v>
      </c>
      <c r="B7471" s="1" t="s">
        <v>2110</v>
      </c>
      <c r="C7471" s="1" t="s">
        <v>160</v>
      </c>
      <c r="D7471" s="3">
        <f t="shared" si="1121"/>
        <v>7036</v>
      </c>
      <c r="E7471" s="2">
        <f t="shared" si="1122"/>
        <v>40269</v>
      </c>
      <c r="F7471" s="2">
        <f t="shared" si="1123"/>
        <v>43646</v>
      </c>
    </row>
    <row r="7472" spans="1:6" x14ac:dyDescent="0.25">
      <c r="A7472" s="1" t="s">
        <v>844</v>
      </c>
      <c r="B7472" s="1" t="s">
        <v>2110</v>
      </c>
      <c r="C7472" s="1" t="s">
        <v>890</v>
      </c>
      <c r="D7472" s="3">
        <f t="shared" si="1121"/>
        <v>7036</v>
      </c>
      <c r="E7472" s="2">
        <f t="shared" si="1122"/>
        <v>40269</v>
      </c>
      <c r="F7472" s="2">
        <f t="shared" si="1123"/>
        <v>43646</v>
      </c>
    </row>
    <row r="7473" spans="1:6" x14ac:dyDescent="0.25">
      <c r="A7473" s="1" t="s">
        <v>844</v>
      </c>
      <c r="B7473" s="1" t="s">
        <v>2110</v>
      </c>
      <c r="C7473" s="1" t="s">
        <v>381</v>
      </c>
      <c r="D7473" s="3">
        <f t="shared" si="1121"/>
        <v>7036</v>
      </c>
      <c r="E7473" s="2">
        <f t="shared" si="1122"/>
        <v>40269</v>
      </c>
      <c r="F7473" s="2">
        <f t="shared" si="1123"/>
        <v>43646</v>
      </c>
    </row>
    <row r="7474" spans="1:6" x14ac:dyDescent="0.25">
      <c r="A7474" s="1" t="s">
        <v>844</v>
      </c>
      <c r="B7474" s="1" t="s">
        <v>2110</v>
      </c>
      <c r="C7474" s="1" t="s">
        <v>57</v>
      </c>
      <c r="D7474" s="3">
        <f t="shared" si="1121"/>
        <v>7036</v>
      </c>
      <c r="E7474" s="2">
        <f t="shared" si="1122"/>
        <v>40269</v>
      </c>
      <c r="F7474" s="2">
        <f t="shared" si="1123"/>
        <v>43646</v>
      </c>
    </row>
    <row r="7475" spans="1:6" x14ac:dyDescent="0.25">
      <c r="A7475" s="1" t="s">
        <v>844</v>
      </c>
      <c r="B7475" s="1" t="s">
        <v>2110</v>
      </c>
      <c r="C7475" s="1" t="s">
        <v>36</v>
      </c>
      <c r="D7475" s="3">
        <f t="shared" si="1121"/>
        <v>7036</v>
      </c>
      <c r="E7475" s="2">
        <f t="shared" si="1122"/>
        <v>40269</v>
      </c>
      <c r="F7475" s="2">
        <f t="shared" si="1123"/>
        <v>43646</v>
      </c>
    </row>
    <row r="7476" spans="1:6" x14ac:dyDescent="0.25">
      <c r="A7476" s="1" t="s">
        <v>985</v>
      </c>
      <c r="B7476" s="1" t="s">
        <v>1508</v>
      </c>
      <c r="C7476" s="1" t="s">
        <v>1514</v>
      </c>
      <c r="D7476" s="3">
        <f t="shared" ref="D7476:D7481" si="1124">VALUE("8682")</f>
        <v>8682</v>
      </c>
      <c r="E7476" s="2">
        <f t="shared" ref="E7476:E7481" si="1125">DATEVALUE("1-3-2020")</f>
        <v>43891</v>
      </c>
      <c r="F7476" s="2">
        <f t="shared" ref="F7476:F7481" si="1126">DATEVALUE("31-10-2021")</f>
        <v>44500</v>
      </c>
    </row>
    <row r="7477" spans="1:6" x14ac:dyDescent="0.25">
      <c r="A7477" s="1" t="s">
        <v>985</v>
      </c>
      <c r="B7477" s="1" t="s">
        <v>1508</v>
      </c>
      <c r="C7477" s="1" t="s">
        <v>1509</v>
      </c>
      <c r="D7477" s="3">
        <f t="shared" si="1124"/>
        <v>8682</v>
      </c>
      <c r="E7477" s="2">
        <f t="shared" si="1125"/>
        <v>43891</v>
      </c>
      <c r="F7477" s="2">
        <f t="shared" si="1126"/>
        <v>44500</v>
      </c>
    </row>
    <row r="7478" spans="1:6" x14ac:dyDescent="0.25">
      <c r="A7478" s="1" t="s">
        <v>985</v>
      </c>
      <c r="B7478" s="1" t="s">
        <v>1508</v>
      </c>
      <c r="C7478" s="1" t="s">
        <v>1510</v>
      </c>
      <c r="D7478" s="3">
        <f t="shared" si="1124"/>
        <v>8682</v>
      </c>
      <c r="E7478" s="2">
        <f t="shared" si="1125"/>
        <v>43891</v>
      </c>
      <c r="F7478" s="2">
        <f t="shared" si="1126"/>
        <v>44500</v>
      </c>
    </row>
    <row r="7479" spans="1:6" x14ac:dyDescent="0.25">
      <c r="A7479" s="1" t="s">
        <v>985</v>
      </c>
      <c r="B7479" s="1" t="s">
        <v>1508</v>
      </c>
      <c r="C7479" s="1" t="s">
        <v>1511</v>
      </c>
      <c r="D7479" s="3">
        <f t="shared" si="1124"/>
        <v>8682</v>
      </c>
      <c r="E7479" s="2">
        <f t="shared" si="1125"/>
        <v>43891</v>
      </c>
      <c r="F7479" s="2">
        <f t="shared" si="1126"/>
        <v>44500</v>
      </c>
    </row>
    <row r="7480" spans="1:6" x14ac:dyDescent="0.25">
      <c r="A7480" s="1" t="s">
        <v>985</v>
      </c>
      <c r="B7480" s="1" t="s">
        <v>1508</v>
      </c>
      <c r="C7480" s="1" t="s">
        <v>1512</v>
      </c>
      <c r="D7480" s="3">
        <f t="shared" si="1124"/>
        <v>8682</v>
      </c>
      <c r="E7480" s="2">
        <f t="shared" si="1125"/>
        <v>43891</v>
      </c>
      <c r="F7480" s="2">
        <f t="shared" si="1126"/>
        <v>44500</v>
      </c>
    </row>
    <row r="7481" spans="1:6" x14ac:dyDescent="0.25">
      <c r="A7481" s="1" t="s">
        <v>985</v>
      </c>
      <c r="B7481" s="1" t="s">
        <v>1508</v>
      </c>
      <c r="C7481" s="1" t="s">
        <v>1513</v>
      </c>
      <c r="D7481" s="3">
        <f t="shared" si="1124"/>
        <v>8682</v>
      </c>
      <c r="E7481" s="2">
        <f t="shared" si="1125"/>
        <v>43891</v>
      </c>
      <c r="F7481" s="2">
        <f t="shared" si="1126"/>
        <v>44500</v>
      </c>
    </row>
    <row r="7482" spans="1:6" x14ac:dyDescent="0.25">
      <c r="A7482" s="1" t="s">
        <v>985</v>
      </c>
      <c r="B7482" s="1" t="s">
        <v>1329</v>
      </c>
      <c r="C7482" s="1" t="s">
        <v>66</v>
      </c>
      <c r="D7482" s="3">
        <f>VALUE("8558")</f>
        <v>8558</v>
      </c>
      <c r="E7482" s="2">
        <f>DATEVALUE("1-8-2019")</f>
        <v>43678</v>
      </c>
      <c r="F7482" s="2">
        <f>DATEVALUE("31-3-2021")</f>
        <v>44286</v>
      </c>
    </row>
    <row r="7483" spans="1:6" x14ac:dyDescent="0.25">
      <c r="A7483" s="1" t="s">
        <v>985</v>
      </c>
      <c r="B7483" s="1" t="s">
        <v>1329</v>
      </c>
      <c r="C7483" s="1" t="s">
        <v>15</v>
      </c>
      <c r="D7483" s="3">
        <f>VALUE("8558")</f>
        <v>8558</v>
      </c>
      <c r="E7483" s="2">
        <f>DATEVALUE("1-8-2019")</f>
        <v>43678</v>
      </c>
      <c r="F7483" s="2">
        <f>DATEVALUE("31-3-2021")</f>
        <v>44286</v>
      </c>
    </row>
    <row r="7484" spans="1:6" x14ac:dyDescent="0.25">
      <c r="A7484" s="1" t="s">
        <v>985</v>
      </c>
      <c r="B7484" s="1" t="s">
        <v>1329</v>
      </c>
      <c r="C7484" s="1" t="s">
        <v>441</v>
      </c>
      <c r="D7484" s="3">
        <f>VALUE("8558")</f>
        <v>8558</v>
      </c>
      <c r="E7484" s="2">
        <f>DATEVALUE("1-8-2019")</f>
        <v>43678</v>
      </c>
      <c r="F7484" s="2">
        <f>DATEVALUE("31-3-2021")</f>
        <v>44286</v>
      </c>
    </row>
    <row r="7485" spans="1:6" x14ac:dyDescent="0.25">
      <c r="A7485" s="1" t="s">
        <v>985</v>
      </c>
      <c r="B7485" s="1" t="s">
        <v>1329</v>
      </c>
      <c r="C7485" s="1" t="s">
        <v>69</v>
      </c>
      <c r="D7485" s="3">
        <f>VALUE("8558")</f>
        <v>8558</v>
      </c>
      <c r="E7485" s="2">
        <f>DATEVALUE("1-8-2019")</f>
        <v>43678</v>
      </c>
      <c r="F7485" s="2">
        <f>DATEVALUE("31-3-2021")</f>
        <v>44286</v>
      </c>
    </row>
    <row r="7486" spans="1:6" x14ac:dyDescent="0.25">
      <c r="A7486" s="1" t="s">
        <v>985</v>
      </c>
      <c r="B7486" s="1" t="s">
        <v>1329</v>
      </c>
      <c r="C7486" s="1" t="s">
        <v>673</v>
      </c>
      <c r="D7486" s="3">
        <f>VALUE("8558")</f>
        <v>8558</v>
      </c>
      <c r="E7486" s="2">
        <f>DATEVALUE("1-8-2019")</f>
        <v>43678</v>
      </c>
      <c r="F7486" s="2">
        <f>DATEVALUE("31-3-2021")</f>
        <v>44286</v>
      </c>
    </row>
    <row r="7487" spans="1:6" x14ac:dyDescent="0.25">
      <c r="A7487" s="1" t="s">
        <v>985</v>
      </c>
      <c r="B7487" s="1" t="s">
        <v>984</v>
      </c>
      <c r="C7487" s="1" t="s">
        <v>993</v>
      </c>
      <c r="D7487" s="3">
        <f t="shared" ref="D7487:D7494" si="1127">VALUE("8280")</f>
        <v>8280</v>
      </c>
      <c r="E7487" s="2">
        <f t="shared" ref="E7487:E7515" si="1128">DATEVALUE("1-9-2018")</f>
        <v>43344</v>
      </c>
      <c r="F7487" s="2">
        <f t="shared" ref="F7487:F7494" si="1129">DATEVALUE("31-3-2020")</f>
        <v>43921</v>
      </c>
    </row>
    <row r="7488" spans="1:6" x14ac:dyDescent="0.25">
      <c r="A7488" s="1" t="s">
        <v>985</v>
      </c>
      <c r="B7488" s="1" t="s">
        <v>984</v>
      </c>
      <c r="C7488" s="1" t="s">
        <v>986</v>
      </c>
      <c r="D7488" s="3">
        <f t="shared" si="1127"/>
        <v>8280</v>
      </c>
      <c r="E7488" s="2">
        <f t="shared" si="1128"/>
        <v>43344</v>
      </c>
      <c r="F7488" s="2">
        <f t="shared" si="1129"/>
        <v>43921</v>
      </c>
    </row>
    <row r="7489" spans="1:6" x14ac:dyDescent="0.25">
      <c r="A7489" s="1" t="s">
        <v>985</v>
      </c>
      <c r="B7489" s="1" t="s">
        <v>984</v>
      </c>
      <c r="C7489" s="1" t="s">
        <v>987</v>
      </c>
      <c r="D7489" s="3">
        <f t="shared" si="1127"/>
        <v>8280</v>
      </c>
      <c r="E7489" s="2">
        <f t="shared" si="1128"/>
        <v>43344</v>
      </c>
      <c r="F7489" s="2">
        <f t="shared" si="1129"/>
        <v>43921</v>
      </c>
    </row>
    <row r="7490" spans="1:6" x14ac:dyDescent="0.25">
      <c r="A7490" s="1" t="s">
        <v>985</v>
      </c>
      <c r="B7490" s="1" t="s">
        <v>984</v>
      </c>
      <c r="C7490" s="1" t="s">
        <v>988</v>
      </c>
      <c r="D7490" s="3">
        <f t="shared" si="1127"/>
        <v>8280</v>
      </c>
      <c r="E7490" s="2">
        <f t="shared" si="1128"/>
        <v>43344</v>
      </c>
      <c r="F7490" s="2">
        <f t="shared" si="1129"/>
        <v>43921</v>
      </c>
    </row>
    <row r="7491" spans="1:6" x14ac:dyDescent="0.25">
      <c r="A7491" s="1" t="s">
        <v>985</v>
      </c>
      <c r="B7491" s="1" t="s">
        <v>984</v>
      </c>
      <c r="C7491" s="1" t="s">
        <v>989</v>
      </c>
      <c r="D7491" s="3">
        <f t="shared" si="1127"/>
        <v>8280</v>
      </c>
      <c r="E7491" s="2">
        <f t="shared" si="1128"/>
        <v>43344</v>
      </c>
      <c r="F7491" s="2">
        <f t="shared" si="1129"/>
        <v>43921</v>
      </c>
    </row>
    <row r="7492" spans="1:6" x14ac:dyDescent="0.25">
      <c r="A7492" s="1" t="s">
        <v>985</v>
      </c>
      <c r="B7492" s="1" t="s">
        <v>984</v>
      </c>
      <c r="C7492" s="1" t="s">
        <v>990</v>
      </c>
      <c r="D7492" s="3">
        <f t="shared" si="1127"/>
        <v>8280</v>
      </c>
      <c r="E7492" s="2">
        <f t="shared" si="1128"/>
        <v>43344</v>
      </c>
      <c r="F7492" s="2">
        <f t="shared" si="1129"/>
        <v>43921</v>
      </c>
    </row>
    <row r="7493" spans="1:6" x14ac:dyDescent="0.25">
      <c r="A7493" s="1" t="s">
        <v>985</v>
      </c>
      <c r="B7493" s="1" t="s">
        <v>984</v>
      </c>
      <c r="C7493" s="1" t="s">
        <v>991</v>
      </c>
      <c r="D7493" s="3">
        <f t="shared" si="1127"/>
        <v>8280</v>
      </c>
      <c r="E7493" s="2">
        <f t="shared" si="1128"/>
        <v>43344</v>
      </c>
      <c r="F7493" s="2">
        <f t="shared" si="1129"/>
        <v>43921</v>
      </c>
    </row>
    <row r="7494" spans="1:6" x14ac:dyDescent="0.25">
      <c r="A7494" s="1" t="s">
        <v>985</v>
      </c>
      <c r="B7494" s="1" t="s">
        <v>984</v>
      </c>
      <c r="C7494" s="1" t="s">
        <v>992</v>
      </c>
      <c r="D7494" s="3">
        <f t="shared" si="1127"/>
        <v>8280</v>
      </c>
      <c r="E7494" s="2">
        <f t="shared" si="1128"/>
        <v>43344</v>
      </c>
      <c r="F7494" s="2">
        <f t="shared" si="1129"/>
        <v>43921</v>
      </c>
    </row>
    <row r="7495" spans="1:6" x14ac:dyDescent="0.25">
      <c r="A7495" s="1" t="s">
        <v>985</v>
      </c>
      <c r="B7495" s="1" t="s">
        <v>1784</v>
      </c>
      <c r="C7495" s="1" t="s">
        <v>7</v>
      </c>
      <c r="D7495" s="3">
        <f t="shared" ref="D7495:D7515" si="1130">VALUE("8367")</f>
        <v>8367</v>
      </c>
      <c r="E7495" s="2">
        <f t="shared" si="1128"/>
        <v>43344</v>
      </c>
      <c r="F7495" s="2">
        <f t="shared" ref="F7495:F7515" si="1131">DATEVALUE("31-3-2019")</f>
        <v>43555</v>
      </c>
    </row>
    <row r="7496" spans="1:6" x14ac:dyDescent="0.25">
      <c r="A7496" s="1" t="s">
        <v>985</v>
      </c>
      <c r="B7496" s="1" t="s">
        <v>1784</v>
      </c>
      <c r="C7496" s="1" t="s">
        <v>375</v>
      </c>
      <c r="D7496" s="3">
        <f t="shared" si="1130"/>
        <v>8367</v>
      </c>
      <c r="E7496" s="2">
        <f t="shared" si="1128"/>
        <v>43344</v>
      </c>
      <c r="F7496" s="2">
        <f t="shared" si="1131"/>
        <v>43555</v>
      </c>
    </row>
    <row r="7497" spans="1:6" x14ac:dyDescent="0.25">
      <c r="A7497" s="1" t="s">
        <v>985</v>
      </c>
      <c r="B7497" s="1" t="s">
        <v>1784</v>
      </c>
      <c r="C7497" s="1" t="s">
        <v>141</v>
      </c>
      <c r="D7497" s="3">
        <f t="shared" si="1130"/>
        <v>8367</v>
      </c>
      <c r="E7497" s="2">
        <f t="shared" si="1128"/>
        <v>43344</v>
      </c>
      <c r="F7497" s="2">
        <f t="shared" si="1131"/>
        <v>43555</v>
      </c>
    </row>
    <row r="7498" spans="1:6" x14ac:dyDescent="0.25">
      <c r="A7498" s="1" t="s">
        <v>985</v>
      </c>
      <c r="B7498" s="1" t="s">
        <v>1784</v>
      </c>
      <c r="C7498" s="1" t="s">
        <v>14</v>
      </c>
      <c r="D7498" s="3">
        <f t="shared" si="1130"/>
        <v>8367</v>
      </c>
      <c r="E7498" s="2">
        <f t="shared" si="1128"/>
        <v>43344</v>
      </c>
      <c r="F7498" s="2">
        <f t="shared" si="1131"/>
        <v>43555</v>
      </c>
    </row>
    <row r="7499" spans="1:6" x14ac:dyDescent="0.25">
      <c r="A7499" s="1" t="s">
        <v>985</v>
      </c>
      <c r="B7499" s="1" t="s">
        <v>1784</v>
      </c>
      <c r="C7499" s="1" t="s">
        <v>15</v>
      </c>
      <c r="D7499" s="3">
        <f t="shared" si="1130"/>
        <v>8367</v>
      </c>
      <c r="E7499" s="2">
        <f t="shared" si="1128"/>
        <v>43344</v>
      </c>
      <c r="F7499" s="2">
        <f t="shared" si="1131"/>
        <v>43555</v>
      </c>
    </row>
    <row r="7500" spans="1:6" x14ac:dyDescent="0.25">
      <c r="A7500" s="1" t="s">
        <v>985</v>
      </c>
      <c r="B7500" s="1" t="s">
        <v>1784</v>
      </c>
      <c r="C7500" s="1" t="s">
        <v>17</v>
      </c>
      <c r="D7500" s="3">
        <f t="shared" si="1130"/>
        <v>8367</v>
      </c>
      <c r="E7500" s="2">
        <f t="shared" si="1128"/>
        <v>43344</v>
      </c>
      <c r="F7500" s="2">
        <f t="shared" si="1131"/>
        <v>43555</v>
      </c>
    </row>
    <row r="7501" spans="1:6" x14ac:dyDescent="0.25">
      <c r="A7501" s="1" t="s">
        <v>985</v>
      </c>
      <c r="B7501" s="1" t="s">
        <v>1784</v>
      </c>
      <c r="C7501" s="1" t="s">
        <v>47</v>
      </c>
      <c r="D7501" s="3">
        <f t="shared" si="1130"/>
        <v>8367</v>
      </c>
      <c r="E7501" s="2">
        <f t="shared" si="1128"/>
        <v>43344</v>
      </c>
      <c r="F7501" s="2">
        <f t="shared" si="1131"/>
        <v>43555</v>
      </c>
    </row>
    <row r="7502" spans="1:6" x14ac:dyDescent="0.25">
      <c r="A7502" s="1" t="s">
        <v>985</v>
      </c>
      <c r="B7502" s="1" t="s">
        <v>1784</v>
      </c>
      <c r="C7502" s="1" t="s">
        <v>291</v>
      </c>
      <c r="D7502" s="3">
        <f t="shared" si="1130"/>
        <v>8367</v>
      </c>
      <c r="E7502" s="2">
        <f t="shared" si="1128"/>
        <v>43344</v>
      </c>
      <c r="F7502" s="2">
        <f t="shared" si="1131"/>
        <v>43555</v>
      </c>
    </row>
    <row r="7503" spans="1:6" x14ac:dyDescent="0.25">
      <c r="A7503" s="1" t="s">
        <v>985</v>
      </c>
      <c r="B7503" s="1" t="s">
        <v>1784</v>
      </c>
      <c r="C7503" s="1" t="s">
        <v>22</v>
      </c>
      <c r="D7503" s="3">
        <f t="shared" si="1130"/>
        <v>8367</v>
      </c>
      <c r="E7503" s="2">
        <f t="shared" si="1128"/>
        <v>43344</v>
      </c>
      <c r="F7503" s="2">
        <f t="shared" si="1131"/>
        <v>43555</v>
      </c>
    </row>
    <row r="7504" spans="1:6" x14ac:dyDescent="0.25">
      <c r="A7504" s="1" t="s">
        <v>985</v>
      </c>
      <c r="B7504" s="1" t="s">
        <v>1784</v>
      </c>
      <c r="C7504" s="1" t="s">
        <v>146</v>
      </c>
      <c r="D7504" s="3">
        <f t="shared" si="1130"/>
        <v>8367</v>
      </c>
      <c r="E7504" s="2">
        <f t="shared" si="1128"/>
        <v>43344</v>
      </c>
      <c r="F7504" s="2">
        <f t="shared" si="1131"/>
        <v>43555</v>
      </c>
    </row>
    <row r="7505" spans="1:6" x14ac:dyDescent="0.25">
      <c r="A7505" s="1" t="s">
        <v>985</v>
      </c>
      <c r="B7505" s="1" t="s">
        <v>1784</v>
      </c>
      <c r="C7505" s="1" t="s">
        <v>67</v>
      </c>
      <c r="D7505" s="3">
        <f t="shared" si="1130"/>
        <v>8367</v>
      </c>
      <c r="E7505" s="2">
        <f t="shared" si="1128"/>
        <v>43344</v>
      </c>
      <c r="F7505" s="2">
        <f t="shared" si="1131"/>
        <v>43555</v>
      </c>
    </row>
    <row r="7506" spans="1:6" x14ac:dyDescent="0.25">
      <c r="A7506" s="1" t="s">
        <v>985</v>
      </c>
      <c r="B7506" s="1" t="s">
        <v>1784</v>
      </c>
      <c r="C7506" s="1" t="s">
        <v>386</v>
      </c>
      <c r="D7506" s="3">
        <f t="shared" si="1130"/>
        <v>8367</v>
      </c>
      <c r="E7506" s="2">
        <f t="shared" si="1128"/>
        <v>43344</v>
      </c>
      <c r="F7506" s="2">
        <f t="shared" si="1131"/>
        <v>43555</v>
      </c>
    </row>
    <row r="7507" spans="1:6" x14ac:dyDescent="0.25">
      <c r="A7507" s="1" t="s">
        <v>985</v>
      </c>
      <c r="B7507" s="1" t="s">
        <v>1784</v>
      </c>
      <c r="C7507" s="1" t="s">
        <v>388</v>
      </c>
      <c r="D7507" s="3">
        <f t="shared" si="1130"/>
        <v>8367</v>
      </c>
      <c r="E7507" s="2">
        <f t="shared" si="1128"/>
        <v>43344</v>
      </c>
      <c r="F7507" s="2">
        <f t="shared" si="1131"/>
        <v>43555</v>
      </c>
    </row>
    <row r="7508" spans="1:6" x14ac:dyDescent="0.25">
      <c r="A7508" s="1" t="s">
        <v>985</v>
      </c>
      <c r="B7508" s="1" t="s">
        <v>1784</v>
      </c>
      <c r="C7508" s="1" t="s">
        <v>92</v>
      </c>
      <c r="D7508" s="3">
        <f t="shared" si="1130"/>
        <v>8367</v>
      </c>
      <c r="E7508" s="2">
        <f t="shared" si="1128"/>
        <v>43344</v>
      </c>
      <c r="F7508" s="2">
        <f t="shared" si="1131"/>
        <v>43555</v>
      </c>
    </row>
    <row r="7509" spans="1:6" x14ac:dyDescent="0.25">
      <c r="A7509" s="1" t="s">
        <v>985</v>
      </c>
      <c r="B7509" s="1" t="s">
        <v>1784</v>
      </c>
      <c r="C7509" s="1" t="s">
        <v>70</v>
      </c>
      <c r="D7509" s="3">
        <f t="shared" si="1130"/>
        <v>8367</v>
      </c>
      <c r="E7509" s="2">
        <f t="shared" si="1128"/>
        <v>43344</v>
      </c>
      <c r="F7509" s="2">
        <f t="shared" si="1131"/>
        <v>43555</v>
      </c>
    </row>
    <row r="7510" spans="1:6" x14ac:dyDescent="0.25">
      <c r="A7510" s="1" t="s">
        <v>985</v>
      </c>
      <c r="B7510" s="1" t="s">
        <v>1784</v>
      </c>
      <c r="C7510" s="1" t="s">
        <v>283</v>
      </c>
      <c r="D7510" s="3">
        <f t="shared" si="1130"/>
        <v>8367</v>
      </c>
      <c r="E7510" s="2">
        <f t="shared" si="1128"/>
        <v>43344</v>
      </c>
      <c r="F7510" s="2">
        <f t="shared" si="1131"/>
        <v>43555</v>
      </c>
    </row>
    <row r="7511" spans="1:6" x14ac:dyDescent="0.25">
      <c r="A7511" s="1" t="s">
        <v>985</v>
      </c>
      <c r="B7511" s="1" t="s">
        <v>1784</v>
      </c>
      <c r="C7511" s="1" t="s">
        <v>378</v>
      </c>
      <c r="D7511" s="3">
        <f t="shared" si="1130"/>
        <v>8367</v>
      </c>
      <c r="E7511" s="2">
        <f t="shared" si="1128"/>
        <v>43344</v>
      </c>
      <c r="F7511" s="2">
        <f t="shared" si="1131"/>
        <v>43555</v>
      </c>
    </row>
    <row r="7512" spans="1:6" x14ac:dyDescent="0.25">
      <c r="A7512" s="1" t="s">
        <v>985</v>
      </c>
      <c r="B7512" s="1" t="s">
        <v>1784</v>
      </c>
      <c r="C7512" s="1" t="s">
        <v>34</v>
      </c>
      <c r="D7512" s="3">
        <f t="shared" si="1130"/>
        <v>8367</v>
      </c>
      <c r="E7512" s="2">
        <f t="shared" si="1128"/>
        <v>43344</v>
      </c>
      <c r="F7512" s="2">
        <f t="shared" si="1131"/>
        <v>43555</v>
      </c>
    </row>
    <row r="7513" spans="1:6" x14ac:dyDescent="0.25">
      <c r="A7513" s="1" t="s">
        <v>985</v>
      </c>
      <c r="B7513" s="1" t="s">
        <v>1784</v>
      </c>
      <c r="C7513" s="1" t="s">
        <v>306</v>
      </c>
      <c r="D7513" s="3">
        <f t="shared" si="1130"/>
        <v>8367</v>
      </c>
      <c r="E7513" s="2">
        <f t="shared" si="1128"/>
        <v>43344</v>
      </c>
      <c r="F7513" s="2">
        <f t="shared" si="1131"/>
        <v>43555</v>
      </c>
    </row>
    <row r="7514" spans="1:6" x14ac:dyDescent="0.25">
      <c r="A7514" s="1" t="s">
        <v>985</v>
      </c>
      <c r="B7514" s="1" t="s">
        <v>1784</v>
      </c>
      <c r="C7514" s="1" t="s">
        <v>380</v>
      </c>
      <c r="D7514" s="3">
        <f t="shared" si="1130"/>
        <v>8367</v>
      </c>
      <c r="E7514" s="2">
        <f t="shared" si="1128"/>
        <v>43344</v>
      </c>
      <c r="F7514" s="2">
        <f t="shared" si="1131"/>
        <v>43555</v>
      </c>
    </row>
    <row r="7515" spans="1:6" x14ac:dyDescent="0.25">
      <c r="A7515" s="1" t="s">
        <v>985</v>
      </c>
      <c r="B7515" s="1" t="s">
        <v>1784</v>
      </c>
      <c r="C7515" s="1" t="s">
        <v>381</v>
      </c>
      <c r="D7515" s="3">
        <f t="shared" si="1130"/>
        <v>8367</v>
      </c>
      <c r="E7515" s="2">
        <f t="shared" si="1128"/>
        <v>43344</v>
      </c>
      <c r="F7515" s="2">
        <f t="shared" si="1131"/>
        <v>43555</v>
      </c>
    </row>
    <row r="7516" spans="1:6" x14ac:dyDescent="0.25">
      <c r="A7516" s="1" t="s">
        <v>985</v>
      </c>
      <c r="B7516" s="1" t="s">
        <v>1003</v>
      </c>
      <c r="C7516" s="1" t="s">
        <v>14</v>
      </c>
      <c r="D7516" s="3">
        <f t="shared" ref="D7516:D7532" si="1132">VALUE("8287")</f>
        <v>8287</v>
      </c>
      <c r="E7516" s="2">
        <f t="shared" ref="E7516:E7532" si="1133">DATEVALUE("1-7-2018")</f>
        <v>43282</v>
      </c>
      <c r="F7516" s="2">
        <f t="shared" ref="F7516:F7534" si="1134">DATEVALUE("31-12-2020")</f>
        <v>44196</v>
      </c>
    </row>
    <row r="7517" spans="1:6" x14ac:dyDescent="0.25">
      <c r="A7517" s="1" t="s">
        <v>985</v>
      </c>
      <c r="B7517" s="1" t="s">
        <v>1003</v>
      </c>
      <c r="C7517" s="1" t="s">
        <v>15</v>
      </c>
      <c r="D7517" s="3">
        <f t="shared" si="1132"/>
        <v>8287</v>
      </c>
      <c r="E7517" s="2">
        <f t="shared" si="1133"/>
        <v>43282</v>
      </c>
      <c r="F7517" s="2">
        <f t="shared" si="1134"/>
        <v>44196</v>
      </c>
    </row>
    <row r="7518" spans="1:6" x14ac:dyDescent="0.25">
      <c r="A7518" s="1" t="s">
        <v>985</v>
      </c>
      <c r="B7518" s="1" t="s">
        <v>1003</v>
      </c>
      <c r="C7518" s="1" t="s">
        <v>17</v>
      </c>
      <c r="D7518" s="3">
        <f t="shared" si="1132"/>
        <v>8287</v>
      </c>
      <c r="E7518" s="2">
        <f t="shared" si="1133"/>
        <v>43282</v>
      </c>
      <c r="F7518" s="2">
        <f t="shared" si="1134"/>
        <v>44196</v>
      </c>
    </row>
    <row r="7519" spans="1:6" x14ac:dyDescent="0.25">
      <c r="A7519" s="1" t="s">
        <v>985</v>
      </c>
      <c r="B7519" s="1" t="s">
        <v>1003</v>
      </c>
      <c r="C7519" s="1" t="s">
        <v>22</v>
      </c>
      <c r="D7519" s="3">
        <f t="shared" si="1132"/>
        <v>8287</v>
      </c>
      <c r="E7519" s="2">
        <f t="shared" si="1133"/>
        <v>43282</v>
      </c>
      <c r="F7519" s="2">
        <f t="shared" si="1134"/>
        <v>44196</v>
      </c>
    </row>
    <row r="7520" spans="1:6" x14ac:dyDescent="0.25">
      <c r="A7520" s="1" t="s">
        <v>985</v>
      </c>
      <c r="B7520" s="1" t="s">
        <v>1003</v>
      </c>
      <c r="C7520" s="1" t="s">
        <v>146</v>
      </c>
      <c r="D7520" s="3">
        <f t="shared" si="1132"/>
        <v>8287</v>
      </c>
      <c r="E7520" s="2">
        <f t="shared" si="1133"/>
        <v>43282</v>
      </c>
      <c r="F7520" s="2">
        <f t="shared" si="1134"/>
        <v>44196</v>
      </c>
    </row>
    <row r="7521" spans="1:6" x14ac:dyDescent="0.25">
      <c r="A7521" s="1" t="s">
        <v>985</v>
      </c>
      <c r="B7521" s="1" t="s">
        <v>1003</v>
      </c>
      <c r="C7521" s="1" t="s">
        <v>67</v>
      </c>
      <c r="D7521" s="3">
        <f t="shared" si="1132"/>
        <v>8287</v>
      </c>
      <c r="E7521" s="2">
        <f t="shared" si="1133"/>
        <v>43282</v>
      </c>
      <c r="F7521" s="2">
        <f t="shared" si="1134"/>
        <v>44196</v>
      </c>
    </row>
    <row r="7522" spans="1:6" x14ac:dyDescent="0.25">
      <c r="A7522" s="1" t="s">
        <v>985</v>
      </c>
      <c r="B7522" s="1" t="s">
        <v>1003</v>
      </c>
      <c r="C7522" s="1" t="s">
        <v>24</v>
      </c>
      <c r="D7522" s="3">
        <f t="shared" si="1132"/>
        <v>8287</v>
      </c>
      <c r="E7522" s="2">
        <f t="shared" si="1133"/>
        <v>43282</v>
      </c>
      <c r="F7522" s="2">
        <f t="shared" si="1134"/>
        <v>44196</v>
      </c>
    </row>
    <row r="7523" spans="1:6" x14ac:dyDescent="0.25">
      <c r="A7523" s="1" t="s">
        <v>985</v>
      </c>
      <c r="B7523" s="1" t="s">
        <v>1003</v>
      </c>
      <c r="C7523" s="1" t="s">
        <v>451</v>
      </c>
      <c r="D7523" s="3">
        <f t="shared" si="1132"/>
        <v>8287</v>
      </c>
      <c r="E7523" s="2">
        <f t="shared" si="1133"/>
        <v>43282</v>
      </c>
      <c r="F7523" s="2">
        <f t="shared" si="1134"/>
        <v>44196</v>
      </c>
    </row>
    <row r="7524" spans="1:6" x14ac:dyDescent="0.25">
      <c r="A7524" s="1" t="s">
        <v>985</v>
      </c>
      <c r="B7524" s="1" t="s">
        <v>1003</v>
      </c>
      <c r="C7524" s="1" t="s">
        <v>157</v>
      </c>
      <c r="D7524" s="3">
        <f t="shared" si="1132"/>
        <v>8287</v>
      </c>
      <c r="E7524" s="2">
        <f t="shared" si="1133"/>
        <v>43282</v>
      </c>
      <c r="F7524" s="2">
        <f t="shared" si="1134"/>
        <v>44196</v>
      </c>
    </row>
    <row r="7525" spans="1:6" x14ac:dyDescent="0.25">
      <c r="A7525" s="1" t="s">
        <v>985</v>
      </c>
      <c r="B7525" s="1" t="s">
        <v>1003</v>
      </c>
      <c r="C7525" s="1" t="s">
        <v>157</v>
      </c>
      <c r="D7525" s="3">
        <f t="shared" si="1132"/>
        <v>8287</v>
      </c>
      <c r="E7525" s="2">
        <f t="shared" si="1133"/>
        <v>43282</v>
      </c>
      <c r="F7525" s="2">
        <f t="shared" si="1134"/>
        <v>44196</v>
      </c>
    </row>
    <row r="7526" spans="1:6" x14ac:dyDescent="0.25">
      <c r="A7526" s="1" t="s">
        <v>985</v>
      </c>
      <c r="B7526" s="1" t="s">
        <v>1003</v>
      </c>
      <c r="C7526" s="1" t="s">
        <v>72</v>
      </c>
      <c r="D7526" s="3">
        <f t="shared" si="1132"/>
        <v>8287</v>
      </c>
      <c r="E7526" s="2">
        <f t="shared" si="1133"/>
        <v>43282</v>
      </c>
      <c r="F7526" s="2">
        <f t="shared" si="1134"/>
        <v>44196</v>
      </c>
    </row>
    <row r="7527" spans="1:6" x14ac:dyDescent="0.25">
      <c r="A7527" s="1" t="s">
        <v>985</v>
      </c>
      <c r="B7527" s="1" t="s">
        <v>1003</v>
      </c>
      <c r="C7527" s="1" t="s">
        <v>548</v>
      </c>
      <c r="D7527" s="3">
        <f t="shared" si="1132"/>
        <v>8287</v>
      </c>
      <c r="E7527" s="2">
        <f t="shared" si="1133"/>
        <v>43282</v>
      </c>
      <c r="F7527" s="2">
        <f t="shared" si="1134"/>
        <v>44196</v>
      </c>
    </row>
    <row r="7528" spans="1:6" x14ac:dyDescent="0.25">
      <c r="A7528" s="1" t="s">
        <v>985</v>
      </c>
      <c r="B7528" s="1" t="s">
        <v>1003</v>
      </c>
      <c r="C7528" s="1" t="s">
        <v>1004</v>
      </c>
      <c r="D7528" s="3">
        <f t="shared" si="1132"/>
        <v>8287</v>
      </c>
      <c r="E7528" s="2">
        <f t="shared" si="1133"/>
        <v>43282</v>
      </c>
      <c r="F7528" s="2">
        <f t="shared" si="1134"/>
        <v>44196</v>
      </c>
    </row>
    <row r="7529" spans="1:6" x14ac:dyDescent="0.25">
      <c r="A7529" s="1" t="s">
        <v>985</v>
      </c>
      <c r="B7529" s="1" t="s">
        <v>1003</v>
      </c>
      <c r="C7529" s="1" t="s">
        <v>73</v>
      </c>
      <c r="D7529" s="3">
        <f t="shared" si="1132"/>
        <v>8287</v>
      </c>
      <c r="E7529" s="2">
        <f t="shared" si="1133"/>
        <v>43282</v>
      </c>
      <c r="F7529" s="2">
        <f t="shared" si="1134"/>
        <v>44196</v>
      </c>
    </row>
    <row r="7530" spans="1:6" x14ac:dyDescent="0.25">
      <c r="A7530" s="1" t="s">
        <v>985</v>
      </c>
      <c r="B7530" s="1" t="s">
        <v>1003</v>
      </c>
      <c r="C7530" s="1" t="s">
        <v>52</v>
      </c>
      <c r="D7530" s="3">
        <f t="shared" si="1132"/>
        <v>8287</v>
      </c>
      <c r="E7530" s="2">
        <f t="shared" si="1133"/>
        <v>43282</v>
      </c>
      <c r="F7530" s="2">
        <f t="shared" si="1134"/>
        <v>44196</v>
      </c>
    </row>
    <row r="7531" spans="1:6" x14ac:dyDescent="0.25">
      <c r="A7531" s="1" t="s">
        <v>985</v>
      </c>
      <c r="B7531" s="1" t="s">
        <v>1003</v>
      </c>
      <c r="C7531" s="1" t="s">
        <v>54</v>
      </c>
      <c r="D7531" s="3">
        <f t="shared" si="1132"/>
        <v>8287</v>
      </c>
      <c r="E7531" s="2">
        <f t="shared" si="1133"/>
        <v>43282</v>
      </c>
      <c r="F7531" s="2">
        <f t="shared" si="1134"/>
        <v>44196</v>
      </c>
    </row>
    <row r="7532" spans="1:6" x14ac:dyDescent="0.25">
      <c r="A7532" s="1" t="s">
        <v>985</v>
      </c>
      <c r="B7532" s="1" t="s">
        <v>1003</v>
      </c>
      <c r="C7532" s="1" t="s">
        <v>34</v>
      </c>
      <c r="D7532" s="3">
        <f t="shared" si="1132"/>
        <v>8287</v>
      </c>
      <c r="E7532" s="2">
        <f t="shared" si="1133"/>
        <v>43282</v>
      </c>
      <c r="F7532" s="2">
        <f t="shared" si="1134"/>
        <v>44196</v>
      </c>
    </row>
    <row r="7533" spans="1:6" x14ac:dyDescent="0.25">
      <c r="A7533" s="1" t="s">
        <v>1575</v>
      </c>
      <c r="B7533" s="1" t="s">
        <v>1574</v>
      </c>
      <c r="C7533" s="1" t="s">
        <v>84</v>
      </c>
      <c r="D7533" s="3">
        <f>VALUE("8756")</f>
        <v>8756</v>
      </c>
      <c r="E7533" s="2">
        <f>DATEVALUE("1-7-2020")</f>
        <v>44013</v>
      </c>
      <c r="F7533" s="2">
        <f t="shared" si="1134"/>
        <v>44196</v>
      </c>
    </row>
    <row r="7534" spans="1:6" x14ac:dyDescent="0.25">
      <c r="A7534" s="1" t="s">
        <v>1575</v>
      </c>
      <c r="B7534" s="1" t="s">
        <v>1574</v>
      </c>
      <c r="C7534" s="1" t="s">
        <v>89</v>
      </c>
      <c r="D7534" s="3">
        <f>VALUE("8756")</f>
        <v>8756</v>
      </c>
      <c r="E7534" s="2">
        <f>DATEVALUE("1-7-2020")</f>
        <v>44013</v>
      </c>
      <c r="F7534" s="2">
        <f t="shared" si="1134"/>
        <v>44196</v>
      </c>
    </row>
    <row r="7535" spans="1:6" x14ac:dyDescent="0.25">
      <c r="A7535" s="1" t="s">
        <v>945</v>
      </c>
      <c r="B7535" s="1" t="s">
        <v>944</v>
      </c>
      <c r="C7535" s="1" t="s">
        <v>215</v>
      </c>
      <c r="D7535" s="3">
        <f t="shared" ref="D7535:D7548" si="1135">VALUE("8224")</f>
        <v>8224</v>
      </c>
      <c r="E7535" s="2">
        <f t="shared" ref="E7535:E7548" si="1136">DATEVALUE("1-3-2018")</f>
        <v>43160</v>
      </c>
      <c r="F7535" s="2">
        <f t="shared" ref="F7535:F7548" si="1137">DATEVALUE("28-2-2021")</f>
        <v>44255</v>
      </c>
    </row>
    <row r="7536" spans="1:6" x14ac:dyDescent="0.25">
      <c r="A7536" s="1" t="s">
        <v>945</v>
      </c>
      <c r="B7536" s="1" t="s">
        <v>944</v>
      </c>
      <c r="C7536" s="1" t="s">
        <v>140</v>
      </c>
      <c r="D7536" s="3">
        <f t="shared" si="1135"/>
        <v>8224</v>
      </c>
      <c r="E7536" s="2">
        <f t="shared" si="1136"/>
        <v>43160</v>
      </c>
      <c r="F7536" s="2">
        <f t="shared" si="1137"/>
        <v>44255</v>
      </c>
    </row>
    <row r="7537" spans="1:6" x14ac:dyDescent="0.25">
      <c r="A7537" s="1" t="s">
        <v>945</v>
      </c>
      <c r="B7537" s="1" t="s">
        <v>944</v>
      </c>
      <c r="C7537" s="1" t="s">
        <v>141</v>
      </c>
      <c r="D7537" s="3">
        <f t="shared" si="1135"/>
        <v>8224</v>
      </c>
      <c r="E7537" s="2">
        <f t="shared" si="1136"/>
        <v>43160</v>
      </c>
      <c r="F7537" s="2">
        <f t="shared" si="1137"/>
        <v>44255</v>
      </c>
    </row>
    <row r="7538" spans="1:6" x14ac:dyDescent="0.25">
      <c r="A7538" s="1" t="s">
        <v>945</v>
      </c>
      <c r="B7538" s="1" t="s">
        <v>944</v>
      </c>
      <c r="C7538" s="1" t="s">
        <v>142</v>
      </c>
      <c r="D7538" s="3">
        <f t="shared" si="1135"/>
        <v>8224</v>
      </c>
      <c r="E7538" s="2">
        <f t="shared" si="1136"/>
        <v>43160</v>
      </c>
      <c r="F7538" s="2">
        <f t="shared" si="1137"/>
        <v>44255</v>
      </c>
    </row>
    <row r="7539" spans="1:6" x14ac:dyDescent="0.25">
      <c r="A7539" s="1" t="s">
        <v>945</v>
      </c>
      <c r="B7539" s="1" t="s">
        <v>944</v>
      </c>
      <c r="C7539" s="1" t="s">
        <v>14</v>
      </c>
      <c r="D7539" s="3">
        <f t="shared" si="1135"/>
        <v>8224</v>
      </c>
      <c r="E7539" s="2">
        <f t="shared" si="1136"/>
        <v>43160</v>
      </c>
      <c r="F7539" s="2">
        <f t="shared" si="1137"/>
        <v>44255</v>
      </c>
    </row>
    <row r="7540" spans="1:6" x14ac:dyDescent="0.25">
      <c r="A7540" s="1" t="s">
        <v>945</v>
      </c>
      <c r="B7540" s="1" t="s">
        <v>944</v>
      </c>
      <c r="C7540" s="1" t="s">
        <v>17</v>
      </c>
      <c r="D7540" s="3">
        <f t="shared" si="1135"/>
        <v>8224</v>
      </c>
      <c r="E7540" s="2">
        <f t="shared" si="1136"/>
        <v>43160</v>
      </c>
      <c r="F7540" s="2">
        <f t="shared" si="1137"/>
        <v>44255</v>
      </c>
    </row>
    <row r="7541" spans="1:6" x14ac:dyDescent="0.25">
      <c r="A7541" s="1" t="s">
        <v>945</v>
      </c>
      <c r="B7541" s="1" t="s">
        <v>944</v>
      </c>
      <c r="C7541" s="1" t="s">
        <v>22</v>
      </c>
      <c r="D7541" s="3">
        <f t="shared" si="1135"/>
        <v>8224</v>
      </c>
      <c r="E7541" s="2">
        <f t="shared" si="1136"/>
        <v>43160</v>
      </c>
      <c r="F7541" s="2">
        <f t="shared" si="1137"/>
        <v>44255</v>
      </c>
    </row>
    <row r="7542" spans="1:6" x14ac:dyDescent="0.25">
      <c r="A7542" s="1" t="s">
        <v>945</v>
      </c>
      <c r="B7542" s="1" t="s">
        <v>944</v>
      </c>
      <c r="C7542" s="1" t="s">
        <v>250</v>
      </c>
      <c r="D7542" s="3">
        <f t="shared" si="1135"/>
        <v>8224</v>
      </c>
      <c r="E7542" s="2">
        <f t="shared" si="1136"/>
        <v>43160</v>
      </c>
      <c r="F7542" s="2">
        <f t="shared" si="1137"/>
        <v>44255</v>
      </c>
    </row>
    <row r="7543" spans="1:6" x14ac:dyDescent="0.25">
      <c r="A7543" s="1" t="s">
        <v>945</v>
      </c>
      <c r="B7543" s="1" t="s">
        <v>944</v>
      </c>
      <c r="C7543" s="1" t="s">
        <v>146</v>
      </c>
      <c r="D7543" s="3">
        <f t="shared" si="1135"/>
        <v>8224</v>
      </c>
      <c r="E7543" s="2">
        <f t="shared" si="1136"/>
        <v>43160</v>
      </c>
      <c r="F7543" s="2">
        <f t="shared" si="1137"/>
        <v>44255</v>
      </c>
    </row>
    <row r="7544" spans="1:6" x14ac:dyDescent="0.25">
      <c r="A7544" s="1" t="s">
        <v>945</v>
      </c>
      <c r="B7544" s="1" t="s">
        <v>944</v>
      </c>
      <c r="C7544" s="1" t="s">
        <v>148</v>
      </c>
      <c r="D7544" s="3">
        <f t="shared" si="1135"/>
        <v>8224</v>
      </c>
      <c r="E7544" s="2">
        <f t="shared" si="1136"/>
        <v>43160</v>
      </c>
      <c r="F7544" s="2">
        <f t="shared" si="1137"/>
        <v>44255</v>
      </c>
    </row>
    <row r="7545" spans="1:6" x14ac:dyDescent="0.25">
      <c r="A7545" s="1" t="s">
        <v>945</v>
      </c>
      <c r="B7545" s="1" t="s">
        <v>944</v>
      </c>
      <c r="C7545" s="1" t="s">
        <v>24</v>
      </c>
      <c r="D7545" s="3">
        <f t="shared" si="1135"/>
        <v>8224</v>
      </c>
      <c r="E7545" s="2">
        <f t="shared" si="1136"/>
        <v>43160</v>
      </c>
      <c r="F7545" s="2">
        <f t="shared" si="1137"/>
        <v>44255</v>
      </c>
    </row>
    <row r="7546" spans="1:6" x14ac:dyDescent="0.25">
      <c r="A7546" s="1" t="s">
        <v>945</v>
      </c>
      <c r="B7546" s="1" t="s">
        <v>944</v>
      </c>
      <c r="C7546" s="1" t="s">
        <v>54</v>
      </c>
      <c r="D7546" s="3">
        <f t="shared" si="1135"/>
        <v>8224</v>
      </c>
      <c r="E7546" s="2">
        <f t="shared" si="1136"/>
        <v>43160</v>
      </c>
      <c r="F7546" s="2">
        <f t="shared" si="1137"/>
        <v>44255</v>
      </c>
    </row>
    <row r="7547" spans="1:6" x14ac:dyDescent="0.25">
      <c r="A7547" s="1" t="s">
        <v>945</v>
      </c>
      <c r="B7547" s="1" t="s">
        <v>944</v>
      </c>
      <c r="C7547" s="1" t="s">
        <v>34</v>
      </c>
      <c r="D7547" s="3">
        <f t="shared" si="1135"/>
        <v>8224</v>
      </c>
      <c r="E7547" s="2">
        <f t="shared" si="1136"/>
        <v>43160</v>
      </c>
      <c r="F7547" s="2">
        <f t="shared" si="1137"/>
        <v>44255</v>
      </c>
    </row>
    <row r="7548" spans="1:6" x14ac:dyDescent="0.25">
      <c r="A7548" s="1" t="s">
        <v>945</v>
      </c>
      <c r="B7548" s="1" t="s">
        <v>944</v>
      </c>
      <c r="C7548" s="1" t="s">
        <v>55</v>
      </c>
      <c r="D7548" s="3">
        <f t="shared" si="1135"/>
        <v>8224</v>
      </c>
      <c r="E7548" s="2">
        <f t="shared" si="1136"/>
        <v>43160</v>
      </c>
      <c r="F7548" s="2">
        <f t="shared" si="1137"/>
        <v>44255</v>
      </c>
    </row>
    <row r="7549" spans="1:6" x14ac:dyDescent="0.25">
      <c r="A7549" s="1" t="s">
        <v>2655</v>
      </c>
      <c r="B7549" s="1" t="s">
        <v>2654</v>
      </c>
      <c r="C7549" s="1" t="s">
        <v>212</v>
      </c>
      <c r="D7549" s="3">
        <f>VALUE("7303")</f>
        <v>7303</v>
      </c>
      <c r="E7549" s="2">
        <f>DATEVALUE("1-10-2012")</f>
        <v>41183</v>
      </c>
      <c r="F7549" s="2">
        <f>DATEVALUE("31-12-2013")</f>
        <v>41639</v>
      </c>
    </row>
    <row r="7550" spans="1:6" x14ac:dyDescent="0.25">
      <c r="A7550" s="1" t="s">
        <v>2655</v>
      </c>
      <c r="B7550" s="1" t="s">
        <v>2654</v>
      </c>
      <c r="C7550" s="1" t="s">
        <v>240</v>
      </c>
      <c r="D7550" s="3">
        <f>VALUE("7303")</f>
        <v>7303</v>
      </c>
      <c r="E7550" s="2">
        <f>DATEVALUE("1-10-2012")</f>
        <v>41183</v>
      </c>
      <c r="F7550" s="2">
        <f>DATEVALUE("31-12-2013")</f>
        <v>41639</v>
      </c>
    </row>
    <row r="7551" spans="1:6" x14ac:dyDescent="0.25">
      <c r="A7551" s="1" t="s">
        <v>2590</v>
      </c>
      <c r="B7551" s="1" t="s">
        <v>2589</v>
      </c>
      <c r="C7551" s="1" t="s">
        <v>102</v>
      </c>
      <c r="D7551" s="3">
        <f>VALUE("7160")</f>
        <v>7160</v>
      </c>
      <c r="E7551" s="2">
        <f>DATEVALUE("1-1-2011")</f>
        <v>40544</v>
      </c>
      <c r="F7551" s="2">
        <f>DATEVALUE("31-12-2011")</f>
        <v>40908</v>
      </c>
    </row>
    <row r="7552" spans="1:6" x14ac:dyDescent="0.25">
      <c r="A7552" s="1" t="s">
        <v>2590</v>
      </c>
      <c r="B7552" s="1" t="s">
        <v>2589</v>
      </c>
      <c r="C7552" s="1" t="s">
        <v>103</v>
      </c>
      <c r="D7552" s="3">
        <f>VALUE("7160")</f>
        <v>7160</v>
      </c>
      <c r="E7552" s="2">
        <f>DATEVALUE("1-1-2011")</f>
        <v>40544</v>
      </c>
      <c r="F7552" s="2">
        <f>DATEVALUE("31-12-2011")</f>
        <v>40908</v>
      </c>
    </row>
    <row r="7553" spans="1:6" x14ac:dyDescent="0.25">
      <c r="A7553" s="1" t="s">
        <v>1563</v>
      </c>
      <c r="B7553" s="1" t="s">
        <v>1562</v>
      </c>
      <c r="C7553" s="1" t="s">
        <v>1564</v>
      </c>
      <c r="D7553" s="3">
        <f>VALUE("8743")</f>
        <v>8743</v>
      </c>
      <c r="E7553" s="2">
        <f>DATEVALUE("1-4-2020")</f>
        <v>43922</v>
      </c>
      <c r="F7553" s="2">
        <f>DATEVALUE("31-12-2021")</f>
        <v>44561</v>
      </c>
    </row>
    <row r="7554" spans="1:6" x14ac:dyDescent="0.25">
      <c r="A7554" s="1" t="s">
        <v>1563</v>
      </c>
      <c r="B7554" s="1" t="s">
        <v>2620</v>
      </c>
      <c r="C7554" s="1" t="s">
        <v>46</v>
      </c>
      <c r="D7554" s="3">
        <f t="shared" ref="D7554:D7561" si="1138">VALUE("7227")</f>
        <v>7227</v>
      </c>
      <c r="E7554" s="2">
        <f t="shared" ref="E7554:E7561" si="1139">DATEVALUE("1-9-2011")</f>
        <v>40787</v>
      </c>
      <c r="F7554" s="2">
        <f t="shared" ref="F7554:F7561" si="1140">DATEVALUE("31-8-2014")</f>
        <v>41882</v>
      </c>
    </row>
    <row r="7555" spans="1:6" x14ac:dyDescent="0.25">
      <c r="A7555" s="1" t="s">
        <v>1563</v>
      </c>
      <c r="B7555" s="1" t="s">
        <v>2620</v>
      </c>
      <c r="C7555" s="1" t="s">
        <v>66</v>
      </c>
      <c r="D7555" s="3">
        <f t="shared" si="1138"/>
        <v>7227</v>
      </c>
      <c r="E7555" s="2">
        <f t="shared" si="1139"/>
        <v>40787</v>
      </c>
      <c r="F7555" s="2">
        <f t="shared" si="1140"/>
        <v>41882</v>
      </c>
    </row>
    <row r="7556" spans="1:6" x14ac:dyDescent="0.25">
      <c r="A7556" s="1" t="s">
        <v>1563</v>
      </c>
      <c r="B7556" s="1" t="s">
        <v>2620</v>
      </c>
      <c r="C7556" s="1" t="s">
        <v>148</v>
      </c>
      <c r="D7556" s="3">
        <f t="shared" si="1138"/>
        <v>7227</v>
      </c>
      <c r="E7556" s="2">
        <f t="shared" si="1139"/>
        <v>40787</v>
      </c>
      <c r="F7556" s="2">
        <f t="shared" si="1140"/>
        <v>41882</v>
      </c>
    </row>
    <row r="7557" spans="1:6" x14ac:dyDescent="0.25">
      <c r="A7557" s="1" t="s">
        <v>1563</v>
      </c>
      <c r="B7557" s="1" t="s">
        <v>2620</v>
      </c>
      <c r="C7557" s="1" t="s">
        <v>149</v>
      </c>
      <c r="D7557" s="3">
        <f t="shared" si="1138"/>
        <v>7227</v>
      </c>
      <c r="E7557" s="2">
        <f t="shared" si="1139"/>
        <v>40787</v>
      </c>
      <c r="F7557" s="2">
        <f t="shared" si="1140"/>
        <v>41882</v>
      </c>
    </row>
    <row r="7558" spans="1:6" x14ac:dyDescent="0.25">
      <c r="A7558" s="1" t="s">
        <v>1563</v>
      </c>
      <c r="B7558" s="1" t="s">
        <v>2620</v>
      </c>
      <c r="C7558" s="1" t="s">
        <v>150</v>
      </c>
      <c r="D7558" s="3">
        <f t="shared" si="1138"/>
        <v>7227</v>
      </c>
      <c r="E7558" s="2">
        <f t="shared" si="1139"/>
        <v>40787</v>
      </c>
      <c r="F7558" s="2">
        <f t="shared" si="1140"/>
        <v>41882</v>
      </c>
    </row>
    <row r="7559" spans="1:6" x14ac:dyDescent="0.25">
      <c r="A7559" s="1" t="s">
        <v>1563</v>
      </c>
      <c r="B7559" s="1" t="s">
        <v>2620</v>
      </c>
      <c r="C7559" s="1" t="s">
        <v>48</v>
      </c>
      <c r="D7559" s="3">
        <f t="shared" si="1138"/>
        <v>7227</v>
      </c>
      <c r="E7559" s="2">
        <f t="shared" si="1139"/>
        <v>40787</v>
      </c>
      <c r="F7559" s="2">
        <f t="shared" si="1140"/>
        <v>41882</v>
      </c>
    </row>
    <row r="7560" spans="1:6" x14ac:dyDescent="0.25">
      <c r="A7560" s="1" t="s">
        <v>1563</v>
      </c>
      <c r="B7560" s="1" t="s">
        <v>2620</v>
      </c>
      <c r="C7560" s="1" t="s">
        <v>308</v>
      </c>
      <c r="D7560" s="3">
        <f t="shared" si="1138"/>
        <v>7227</v>
      </c>
      <c r="E7560" s="2">
        <f t="shared" si="1139"/>
        <v>40787</v>
      </c>
      <c r="F7560" s="2">
        <f t="shared" si="1140"/>
        <v>41882</v>
      </c>
    </row>
    <row r="7561" spans="1:6" x14ac:dyDescent="0.25">
      <c r="A7561" s="1" t="s">
        <v>1563</v>
      </c>
      <c r="B7561" s="1" t="s">
        <v>2620</v>
      </c>
      <c r="C7561" s="1" t="s">
        <v>164</v>
      </c>
      <c r="D7561" s="3">
        <f t="shared" si="1138"/>
        <v>7227</v>
      </c>
      <c r="E7561" s="2">
        <f t="shared" si="1139"/>
        <v>40787</v>
      </c>
      <c r="F7561" s="2">
        <f t="shared" si="1140"/>
        <v>41882</v>
      </c>
    </row>
    <row r="7562" spans="1:6" x14ac:dyDescent="0.25">
      <c r="A7562" s="1" t="s">
        <v>1110</v>
      </c>
      <c r="B7562" s="1" t="s">
        <v>1109</v>
      </c>
      <c r="C7562" s="1" t="s">
        <v>1115</v>
      </c>
      <c r="D7562" s="3">
        <f>VALUE("8382")</f>
        <v>8382</v>
      </c>
      <c r="E7562" s="2">
        <f>DATEVALUE("1-12-2018")</f>
        <v>43435</v>
      </c>
      <c r="F7562" s="2">
        <f>DATEVALUE("31-12-2020")</f>
        <v>44196</v>
      </c>
    </row>
    <row r="7563" spans="1:6" x14ac:dyDescent="0.25">
      <c r="A7563" s="1" t="s">
        <v>1110</v>
      </c>
      <c r="B7563" s="1" t="s">
        <v>1109</v>
      </c>
      <c r="C7563" s="1" t="s">
        <v>1111</v>
      </c>
      <c r="D7563" s="3">
        <f>VALUE("8382")</f>
        <v>8382</v>
      </c>
      <c r="E7563" s="2">
        <f>DATEVALUE("1-12-2018")</f>
        <v>43435</v>
      </c>
      <c r="F7563" s="2">
        <f>DATEVALUE("31-12-2020")</f>
        <v>44196</v>
      </c>
    </row>
    <row r="7564" spans="1:6" x14ac:dyDescent="0.25">
      <c r="A7564" s="1" t="s">
        <v>1110</v>
      </c>
      <c r="B7564" s="1" t="s">
        <v>1109</v>
      </c>
      <c r="C7564" s="1" t="s">
        <v>1112</v>
      </c>
      <c r="D7564" s="3">
        <f>VALUE("8382")</f>
        <v>8382</v>
      </c>
      <c r="E7564" s="2">
        <f>DATEVALUE("1-12-2018")</f>
        <v>43435</v>
      </c>
      <c r="F7564" s="2">
        <f>DATEVALUE("31-12-2020")</f>
        <v>44196</v>
      </c>
    </row>
    <row r="7565" spans="1:6" x14ac:dyDescent="0.25">
      <c r="A7565" s="1" t="s">
        <v>1110</v>
      </c>
      <c r="B7565" s="1" t="s">
        <v>1109</v>
      </c>
      <c r="C7565" s="1" t="s">
        <v>1113</v>
      </c>
      <c r="D7565" s="3">
        <f>VALUE("8382")</f>
        <v>8382</v>
      </c>
      <c r="E7565" s="2">
        <f>DATEVALUE("1-12-2018")</f>
        <v>43435</v>
      </c>
      <c r="F7565" s="2">
        <f>DATEVALUE("31-12-2020")</f>
        <v>44196</v>
      </c>
    </row>
    <row r="7566" spans="1:6" x14ac:dyDescent="0.25">
      <c r="A7566" s="1" t="s">
        <v>1110</v>
      </c>
      <c r="B7566" s="1" t="s">
        <v>1109</v>
      </c>
      <c r="C7566" s="1" t="s">
        <v>1114</v>
      </c>
      <c r="D7566" s="3">
        <f>VALUE("8382")</f>
        <v>8382</v>
      </c>
      <c r="E7566" s="2">
        <f>DATEVALUE("1-12-2018")</f>
        <v>43435</v>
      </c>
      <c r="F7566" s="2">
        <f>DATEVALUE("31-12-2020")</f>
        <v>44196</v>
      </c>
    </row>
    <row r="7567" spans="1:6" x14ac:dyDescent="0.25">
      <c r="A7567" s="1" t="s">
        <v>2746</v>
      </c>
      <c r="B7567" s="1" t="s">
        <v>2742</v>
      </c>
      <c r="C7567" s="1" t="s">
        <v>7</v>
      </c>
      <c r="D7567" s="3">
        <f>VALUE("7552")</f>
        <v>7552</v>
      </c>
      <c r="E7567" s="2">
        <f>DATEVALUE("1-10-2013")</f>
        <v>41548</v>
      </c>
      <c r="F7567" s="2">
        <f>DATEVALUE("31-12-2013")</f>
        <v>41639</v>
      </c>
    </row>
    <row r="7568" spans="1:6" x14ac:dyDescent="0.25">
      <c r="A7568" s="1" t="s">
        <v>606</v>
      </c>
      <c r="B7568" s="1" t="s">
        <v>1504</v>
      </c>
      <c r="C7568" s="1" t="s">
        <v>1505</v>
      </c>
      <c r="D7568" s="3">
        <f t="shared" ref="D7568:D7574" si="1141">VALUE("8706")</f>
        <v>8706</v>
      </c>
      <c r="E7568" s="2">
        <f t="shared" ref="E7568:E7574" si="1142">DATEVALUE("1-2-2020")</f>
        <v>43862</v>
      </c>
      <c r="F7568" s="2">
        <f t="shared" ref="F7568:F7574" si="1143">DATEVALUE("31-12-2020")</f>
        <v>44196</v>
      </c>
    </row>
    <row r="7569" spans="1:6" x14ac:dyDescent="0.25">
      <c r="A7569" s="1" t="s">
        <v>606</v>
      </c>
      <c r="B7569" s="1" t="s">
        <v>1504</v>
      </c>
      <c r="C7569" s="1" t="s">
        <v>7</v>
      </c>
      <c r="D7569" s="3">
        <f t="shared" si="1141"/>
        <v>8706</v>
      </c>
      <c r="E7569" s="2">
        <f t="shared" si="1142"/>
        <v>43862</v>
      </c>
      <c r="F7569" s="2">
        <f t="shared" si="1143"/>
        <v>44196</v>
      </c>
    </row>
    <row r="7570" spans="1:6" x14ac:dyDescent="0.25">
      <c r="A7570" s="1" t="s">
        <v>606</v>
      </c>
      <c r="B7570" s="1" t="s">
        <v>1504</v>
      </c>
      <c r="C7570" s="1" t="s">
        <v>1397</v>
      </c>
      <c r="D7570" s="3">
        <f t="shared" si="1141"/>
        <v>8706</v>
      </c>
      <c r="E7570" s="2">
        <f t="shared" si="1142"/>
        <v>43862</v>
      </c>
      <c r="F7570" s="2">
        <f t="shared" si="1143"/>
        <v>44196</v>
      </c>
    </row>
    <row r="7571" spans="1:6" x14ac:dyDescent="0.25">
      <c r="A7571" s="1" t="s">
        <v>606</v>
      </c>
      <c r="B7571" s="1" t="s">
        <v>1504</v>
      </c>
      <c r="C7571" s="1" t="s">
        <v>17</v>
      </c>
      <c r="D7571" s="3">
        <f t="shared" si="1141"/>
        <v>8706</v>
      </c>
      <c r="E7571" s="2">
        <f t="shared" si="1142"/>
        <v>43862</v>
      </c>
      <c r="F7571" s="2">
        <f t="shared" si="1143"/>
        <v>44196</v>
      </c>
    </row>
    <row r="7572" spans="1:6" x14ac:dyDescent="0.25">
      <c r="A7572" s="1" t="s">
        <v>606</v>
      </c>
      <c r="B7572" s="1" t="s">
        <v>1504</v>
      </c>
      <c r="C7572" s="1" t="s">
        <v>654</v>
      </c>
      <c r="D7572" s="3">
        <f t="shared" si="1141"/>
        <v>8706</v>
      </c>
      <c r="E7572" s="2">
        <f t="shared" si="1142"/>
        <v>43862</v>
      </c>
      <c r="F7572" s="2">
        <f t="shared" si="1143"/>
        <v>44196</v>
      </c>
    </row>
    <row r="7573" spans="1:6" x14ac:dyDescent="0.25">
      <c r="A7573" s="1" t="s">
        <v>606</v>
      </c>
      <c r="B7573" s="1" t="s">
        <v>1504</v>
      </c>
      <c r="C7573" s="1" t="s">
        <v>72</v>
      </c>
      <c r="D7573" s="3">
        <f t="shared" si="1141"/>
        <v>8706</v>
      </c>
      <c r="E7573" s="2">
        <f t="shared" si="1142"/>
        <v>43862</v>
      </c>
      <c r="F7573" s="2">
        <f t="shared" si="1143"/>
        <v>44196</v>
      </c>
    </row>
    <row r="7574" spans="1:6" x14ac:dyDescent="0.25">
      <c r="A7574" s="1" t="s">
        <v>606</v>
      </c>
      <c r="B7574" s="1" t="s">
        <v>1504</v>
      </c>
      <c r="C7574" s="1" t="s">
        <v>52</v>
      </c>
      <c r="D7574" s="3">
        <f t="shared" si="1141"/>
        <v>8706</v>
      </c>
      <c r="E7574" s="2">
        <f t="shared" si="1142"/>
        <v>43862</v>
      </c>
      <c r="F7574" s="2">
        <f t="shared" si="1143"/>
        <v>44196</v>
      </c>
    </row>
    <row r="7575" spans="1:6" x14ac:dyDescent="0.25">
      <c r="A7575" s="1" t="s">
        <v>606</v>
      </c>
      <c r="B7575" s="1" t="s">
        <v>1423</v>
      </c>
      <c r="C7575" s="1" t="s">
        <v>1424</v>
      </c>
      <c r="D7575" s="3">
        <f>VALUE("8638")</f>
        <v>8638</v>
      </c>
      <c r="E7575" s="2">
        <f>DATEVALUE("1-12-2019")</f>
        <v>43800</v>
      </c>
      <c r="F7575" s="2">
        <f>DATEVALUE("31-3-2021")</f>
        <v>44286</v>
      </c>
    </row>
    <row r="7576" spans="1:6" x14ac:dyDescent="0.25">
      <c r="A7576" s="1" t="s">
        <v>606</v>
      </c>
      <c r="B7576" s="1" t="s">
        <v>2362</v>
      </c>
      <c r="C7576" s="1" t="s">
        <v>484</v>
      </c>
      <c r="D7576" s="3">
        <f>VALUE("8245")</f>
        <v>8245</v>
      </c>
      <c r="E7576" s="2">
        <f>DATEVALUE("1-2-2018")</f>
        <v>43132</v>
      </c>
      <c r="F7576" s="2">
        <f>DATEVALUE("30-6-2018")</f>
        <v>43281</v>
      </c>
    </row>
    <row r="7577" spans="1:6" x14ac:dyDescent="0.25">
      <c r="A7577" s="1" t="s">
        <v>606</v>
      </c>
      <c r="B7577" s="1" t="s">
        <v>2362</v>
      </c>
      <c r="C7577" s="1" t="s">
        <v>346</v>
      </c>
      <c r="D7577" s="3">
        <f>VALUE("8245")</f>
        <v>8245</v>
      </c>
      <c r="E7577" s="2">
        <f>DATEVALUE("1-2-2018")</f>
        <v>43132</v>
      </c>
      <c r="F7577" s="2">
        <f>DATEVALUE("30-6-2018")</f>
        <v>43281</v>
      </c>
    </row>
    <row r="7578" spans="1:6" x14ac:dyDescent="0.25">
      <c r="A7578" s="1" t="s">
        <v>606</v>
      </c>
      <c r="B7578" s="1" t="s">
        <v>2362</v>
      </c>
      <c r="C7578" s="1" t="s">
        <v>1478</v>
      </c>
      <c r="D7578" s="3">
        <f>VALUE("8245")</f>
        <v>8245</v>
      </c>
      <c r="E7578" s="2">
        <f>DATEVALUE("1-2-2018")</f>
        <v>43132</v>
      </c>
      <c r="F7578" s="2">
        <f>DATEVALUE("30-6-2018")</f>
        <v>43281</v>
      </c>
    </row>
    <row r="7579" spans="1:6" x14ac:dyDescent="0.25">
      <c r="A7579" s="1" t="s">
        <v>606</v>
      </c>
      <c r="B7579" s="1" t="s">
        <v>2362</v>
      </c>
      <c r="C7579" s="1" t="s">
        <v>863</v>
      </c>
      <c r="D7579" s="3">
        <f>VALUE("8245")</f>
        <v>8245</v>
      </c>
      <c r="E7579" s="2">
        <f>DATEVALUE("1-2-2018")</f>
        <v>43132</v>
      </c>
      <c r="F7579" s="2">
        <f>DATEVALUE("30-6-2018")</f>
        <v>43281</v>
      </c>
    </row>
    <row r="7580" spans="1:6" x14ac:dyDescent="0.25">
      <c r="A7580" s="1" t="s">
        <v>606</v>
      </c>
      <c r="B7580" s="1" t="s">
        <v>2362</v>
      </c>
      <c r="C7580" s="1" t="s">
        <v>17</v>
      </c>
      <c r="D7580" s="3">
        <f>VALUE("8245")</f>
        <v>8245</v>
      </c>
      <c r="E7580" s="2">
        <f>DATEVALUE("1-2-2018")</f>
        <v>43132</v>
      </c>
      <c r="F7580" s="2">
        <f>DATEVALUE("30-6-2018")</f>
        <v>43281</v>
      </c>
    </row>
    <row r="7581" spans="1:6" x14ac:dyDescent="0.25">
      <c r="A7581" s="1" t="s">
        <v>606</v>
      </c>
      <c r="B7581" s="1" t="s">
        <v>736</v>
      </c>
      <c r="C7581" s="1" t="s">
        <v>737</v>
      </c>
      <c r="D7581" s="3">
        <f t="shared" ref="D7581:D7588" si="1144">VALUE("7916")</f>
        <v>7916</v>
      </c>
      <c r="E7581" s="2">
        <f t="shared" ref="E7581:E7588" si="1145">DATEVALUE("1-6-2017")</f>
        <v>42887</v>
      </c>
      <c r="F7581" s="2">
        <f t="shared" ref="F7581:F7588" si="1146">DATEVALUE("31-12-2021")</f>
        <v>44561</v>
      </c>
    </row>
    <row r="7582" spans="1:6" x14ac:dyDescent="0.25">
      <c r="A7582" s="1" t="s">
        <v>606</v>
      </c>
      <c r="B7582" s="1" t="s">
        <v>736</v>
      </c>
      <c r="C7582" s="1" t="s">
        <v>39</v>
      </c>
      <c r="D7582" s="3">
        <f t="shared" si="1144"/>
        <v>7916</v>
      </c>
      <c r="E7582" s="2">
        <f t="shared" si="1145"/>
        <v>42887</v>
      </c>
      <c r="F7582" s="2">
        <f t="shared" si="1146"/>
        <v>44561</v>
      </c>
    </row>
    <row r="7583" spans="1:6" x14ac:dyDescent="0.25">
      <c r="A7583" s="1" t="s">
        <v>606</v>
      </c>
      <c r="B7583" s="1" t="s">
        <v>736</v>
      </c>
      <c r="C7583" s="1" t="s">
        <v>43</v>
      </c>
      <c r="D7583" s="3">
        <f t="shared" si="1144"/>
        <v>7916</v>
      </c>
      <c r="E7583" s="2">
        <f t="shared" si="1145"/>
        <v>42887</v>
      </c>
      <c r="F7583" s="2">
        <f t="shared" si="1146"/>
        <v>44561</v>
      </c>
    </row>
    <row r="7584" spans="1:6" x14ac:dyDescent="0.25">
      <c r="A7584" s="1" t="s">
        <v>606</v>
      </c>
      <c r="B7584" s="1" t="s">
        <v>736</v>
      </c>
      <c r="C7584" s="1" t="s">
        <v>15</v>
      </c>
      <c r="D7584" s="3">
        <f t="shared" si="1144"/>
        <v>7916</v>
      </c>
      <c r="E7584" s="2">
        <f t="shared" si="1145"/>
        <v>42887</v>
      </c>
      <c r="F7584" s="2">
        <f t="shared" si="1146"/>
        <v>44561</v>
      </c>
    </row>
    <row r="7585" spans="1:6" x14ac:dyDescent="0.25">
      <c r="A7585" s="1" t="s">
        <v>606</v>
      </c>
      <c r="B7585" s="1" t="s">
        <v>736</v>
      </c>
      <c r="C7585" s="1" t="s">
        <v>17</v>
      </c>
      <c r="D7585" s="3">
        <f t="shared" si="1144"/>
        <v>7916</v>
      </c>
      <c r="E7585" s="2">
        <f t="shared" si="1145"/>
        <v>42887</v>
      </c>
      <c r="F7585" s="2">
        <f t="shared" si="1146"/>
        <v>44561</v>
      </c>
    </row>
    <row r="7586" spans="1:6" x14ac:dyDescent="0.25">
      <c r="A7586" s="1" t="s">
        <v>606</v>
      </c>
      <c r="B7586" s="1" t="s">
        <v>736</v>
      </c>
      <c r="C7586" s="1" t="s">
        <v>52</v>
      </c>
      <c r="D7586" s="3">
        <f t="shared" si="1144"/>
        <v>7916</v>
      </c>
      <c r="E7586" s="2">
        <f t="shared" si="1145"/>
        <v>42887</v>
      </c>
      <c r="F7586" s="2">
        <f t="shared" si="1146"/>
        <v>44561</v>
      </c>
    </row>
    <row r="7587" spans="1:6" x14ac:dyDescent="0.25">
      <c r="A7587" s="1" t="s">
        <v>606</v>
      </c>
      <c r="B7587" s="1" t="s">
        <v>736</v>
      </c>
      <c r="C7587" s="1" t="s">
        <v>459</v>
      </c>
      <c r="D7587" s="3">
        <f t="shared" si="1144"/>
        <v>7916</v>
      </c>
      <c r="E7587" s="2">
        <f t="shared" si="1145"/>
        <v>42887</v>
      </c>
      <c r="F7587" s="2">
        <f t="shared" si="1146"/>
        <v>44561</v>
      </c>
    </row>
    <row r="7588" spans="1:6" x14ac:dyDescent="0.25">
      <c r="A7588" s="1" t="s">
        <v>606</v>
      </c>
      <c r="B7588" s="1" t="s">
        <v>736</v>
      </c>
      <c r="C7588" s="1" t="s">
        <v>57</v>
      </c>
      <c r="D7588" s="3">
        <f t="shared" si="1144"/>
        <v>7916</v>
      </c>
      <c r="E7588" s="2">
        <f t="shared" si="1145"/>
        <v>42887</v>
      </c>
      <c r="F7588" s="2">
        <f t="shared" si="1146"/>
        <v>44561</v>
      </c>
    </row>
    <row r="7589" spans="1:6" x14ac:dyDescent="0.25">
      <c r="A7589" s="1" t="s">
        <v>606</v>
      </c>
      <c r="B7589" s="1" t="s">
        <v>2013</v>
      </c>
      <c r="C7589" s="1" t="s">
        <v>45</v>
      </c>
      <c r="D7589" s="3">
        <f>VALUE("7941")</f>
        <v>7941</v>
      </c>
      <c r="E7589" s="2">
        <f>DATEVALUE("1-7-2016")</f>
        <v>42552</v>
      </c>
      <c r="F7589" s="2">
        <f>DATEVALUE("31-8-2016")</f>
        <v>42613</v>
      </c>
    </row>
    <row r="7590" spans="1:6" x14ac:dyDescent="0.25">
      <c r="A7590" s="1" t="s">
        <v>606</v>
      </c>
      <c r="B7590" s="1" t="s">
        <v>2233</v>
      </c>
      <c r="C7590" s="1" t="s">
        <v>7</v>
      </c>
      <c r="D7590" s="3">
        <f>VALUE("7895")</f>
        <v>7895</v>
      </c>
      <c r="E7590" s="2">
        <f>DATEVALUE("1-6-2016")</f>
        <v>42522</v>
      </c>
      <c r="F7590" s="2">
        <f>DATEVALUE("30-9-2016")</f>
        <v>42643</v>
      </c>
    </row>
    <row r="7591" spans="1:6" x14ac:dyDescent="0.25">
      <c r="A7591" s="1" t="s">
        <v>606</v>
      </c>
      <c r="B7591" s="1" t="s">
        <v>2233</v>
      </c>
      <c r="C7591" s="1" t="s">
        <v>6</v>
      </c>
      <c r="D7591" s="3">
        <f>VALUE("7895")</f>
        <v>7895</v>
      </c>
      <c r="E7591" s="2">
        <f>DATEVALUE("1-6-2016")</f>
        <v>42522</v>
      </c>
      <c r="F7591" s="2">
        <f>DATEVALUE("30-9-2016")</f>
        <v>42643</v>
      </c>
    </row>
    <row r="7592" spans="1:6" x14ac:dyDescent="0.25">
      <c r="A7592" s="1" t="s">
        <v>606</v>
      </c>
      <c r="B7592" s="1" t="s">
        <v>2233</v>
      </c>
      <c r="C7592" s="1" t="s">
        <v>45</v>
      </c>
      <c r="D7592" s="3">
        <f>VALUE("7895")</f>
        <v>7895</v>
      </c>
      <c r="E7592" s="2">
        <f>DATEVALUE("1-6-2016")</f>
        <v>42522</v>
      </c>
      <c r="F7592" s="2">
        <f>DATEVALUE("30-9-2016")</f>
        <v>42643</v>
      </c>
    </row>
    <row r="7593" spans="1:6" x14ac:dyDescent="0.25">
      <c r="A7593" s="1" t="s">
        <v>606</v>
      </c>
      <c r="B7593" s="1" t="s">
        <v>2233</v>
      </c>
      <c r="C7593" s="1" t="s">
        <v>14</v>
      </c>
      <c r="D7593" s="3">
        <f>VALUE("7895")</f>
        <v>7895</v>
      </c>
      <c r="E7593" s="2">
        <f>DATEVALUE("1-6-2016")</f>
        <v>42522</v>
      </c>
      <c r="F7593" s="2">
        <f>DATEVALUE("30-9-2016")</f>
        <v>42643</v>
      </c>
    </row>
    <row r="7594" spans="1:6" x14ac:dyDescent="0.25">
      <c r="A7594" s="1" t="s">
        <v>606</v>
      </c>
      <c r="B7594" s="1" t="s">
        <v>2233</v>
      </c>
      <c r="C7594" s="1" t="s">
        <v>17</v>
      </c>
      <c r="D7594" s="3">
        <f>VALUE("7895")</f>
        <v>7895</v>
      </c>
      <c r="E7594" s="2">
        <f>DATEVALUE("1-6-2016")</f>
        <v>42522</v>
      </c>
      <c r="F7594" s="2">
        <f>DATEVALUE("30-9-2016")</f>
        <v>42643</v>
      </c>
    </row>
    <row r="7595" spans="1:6" x14ac:dyDescent="0.25">
      <c r="A7595" s="1" t="s">
        <v>606</v>
      </c>
      <c r="B7595" s="1" t="s">
        <v>605</v>
      </c>
      <c r="C7595" s="1" t="s">
        <v>7</v>
      </c>
      <c r="D7595" s="3">
        <f t="shared" ref="D7595:D7611" si="1147">VALUE("7813")</f>
        <v>7813</v>
      </c>
      <c r="E7595" s="2">
        <f t="shared" ref="E7595:E7611" si="1148">DATEVALUE("1-11-2015")</f>
        <v>42309</v>
      </c>
      <c r="F7595" s="2">
        <f t="shared" ref="F7595:F7611" si="1149">DATEVALUE("31-12-2020")</f>
        <v>44196</v>
      </c>
    </row>
    <row r="7596" spans="1:6" x14ac:dyDescent="0.25">
      <c r="A7596" s="1" t="s">
        <v>606</v>
      </c>
      <c r="B7596" s="1" t="s">
        <v>605</v>
      </c>
      <c r="C7596" s="1" t="s">
        <v>6</v>
      </c>
      <c r="D7596" s="3">
        <f t="shared" si="1147"/>
        <v>7813</v>
      </c>
      <c r="E7596" s="2">
        <f t="shared" si="1148"/>
        <v>42309</v>
      </c>
      <c r="F7596" s="2">
        <f t="shared" si="1149"/>
        <v>44196</v>
      </c>
    </row>
    <row r="7597" spans="1:6" x14ac:dyDescent="0.25">
      <c r="A7597" s="1" t="s">
        <v>606</v>
      </c>
      <c r="B7597" s="1" t="s">
        <v>605</v>
      </c>
      <c r="C7597" s="1" t="s">
        <v>8</v>
      </c>
      <c r="D7597" s="3">
        <f t="shared" si="1147"/>
        <v>7813</v>
      </c>
      <c r="E7597" s="2">
        <f t="shared" si="1148"/>
        <v>42309</v>
      </c>
      <c r="F7597" s="2">
        <f t="shared" si="1149"/>
        <v>44196</v>
      </c>
    </row>
    <row r="7598" spans="1:6" x14ac:dyDescent="0.25">
      <c r="A7598" s="1" t="s">
        <v>606</v>
      </c>
      <c r="B7598" s="1" t="s">
        <v>605</v>
      </c>
      <c r="C7598" s="1" t="s">
        <v>61</v>
      </c>
      <c r="D7598" s="3">
        <f t="shared" si="1147"/>
        <v>7813</v>
      </c>
      <c r="E7598" s="2">
        <f t="shared" si="1148"/>
        <v>42309</v>
      </c>
      <c r="F7598" s="2">
        <f t="shared" si="1149"/>
        <v>44196</v>
      </c>
    </row>
    <row r="7599" spans="1:6" x14ac:dyDescent="0.25">
      <c r="A7599" s="1" t="s">
        <v>606</v>
      </c>
      <c r="B7599" s="1" t="s">
        <v>605</v>
      </c>
      <c r="C7599" s="1" t="s">
        <v>63</v>
      </c>
      <c r="D7599" s="3">
        <f t="shared" si="1147"/>
        <v>7813</v>
      </c>
      <c r="E7599" s="2">
        <f t="shared" si="1148"/>
        <v>42309</v>
      </c>
      <c r="F7599" s="2">
        <f t="shared" si="1149"/>
        <v>44196</v>
      </c>
    </row>
    <row r="7600" spans="1:6" x14ac:dyDescent="0.25">
      <c r="A7600" s="1" t="s">
        <v>606</v>
      </c>
      <c r="B7600" s="1" t="s">
        <v>605</v>
      </c>
      <c r="C7600" s="1" t="s">
        <v>45</v>
      </c>
      <c r="D7600" s="3">
        <f t="shared" si="1147"/>
        <v>7813</v>
      </c>
      <c r="E7600" s="2">
        <f t="shared" si="1148"/>
        <v>42309</v>
      </c>
      <c r="F7600" s="2">
        <f t="shared" si="1149"/>
        <v>44196</v>
      </c>
    </row>
    <row r="7601" spans="1:6" x14ac:dyDescent="0.25">
      <c r="A7601" s="1" t="s">
        <v>606</v>
      </c>
      <c r="B7601" s="1" t="s">
        <v>605</v>
      </c>
      <c r="C7601" s="1" t="s">
        <v>607</v>
      </c>
      <c r="D7601" s="3">
        <f t="shared" si="1147"/>
        <v>7813</v>
      </c>
      <c r="E7601" s="2">
        <f t="shared" si="1148"/>
        <v>42309</v>
      </c>
      <c r="F7601" s="2">
        <f t="shared" si="1149"/>
        <v>44196</v>
      </c>
    </row>
    <row r="7602" spans="1:6" x14ac:dyDescent="0.25">
      <c r="A7602" s="1" t="s">
        <v>606</v>
      </c>
      <c r="B7602" s="1" t="s">
        <v>605</v>
      </c>
      <c r="C7602" s="1" t="s">
        <v>44</v>
      </c>
      <c r="D7602" s="3">
        <f t="shared" si="1147"/>
        <v>7813</v>
      </c>
      <c r="E7602" s="2">
        <f t="shared" si="1148"/>
        <v>42309</v>
      </c>
      <c r="F7602" s="2">
        <f t="shared" si="1149"/>
        <v>44196</v>
      </c>
    </row>
    <row r="7603" spans="1:6" x14ac:dyDescent="0.25">
      <c r="A7603" s="1" t="s">
        <v>606</v>
      </c>
      <c r="B7603" s="1" t="s">
        <v>605</v>
      </c>
      <c r="C7603" s="1" t="s">
        <v>14</v>
      </c>
      <c r="D7603" s="3">
        <f t="shared" si="1147"/>
        <v>7813</v>
      </c>
      <c r="E7603" s="2">
        <f t="shared" si="1148"/>
        <v>42309</v>
      </c>
      <c r="F7603" s="2">
        <f t="shared" si="1149"/>
        <v>44196</v>
      </c>
    </row>
    <row r="7604" spans="1:6" x14ac:dyDescent="0.25">
      <c r="A7604" s="1" t="s">
        <v>606</v>
      </c>
      <c r="B7604" s="1" t="s">
        <v>605</v>
      </c>
      <c r="C7604" s="1" t="s">
        <v>17</v>
      </c>
      <c r="D7604" s="3">
        <f t="shared" si="1147"/>
        <v>7813</v>
      </c>
      <c r="E7604" s="2">
        <f t="shared" si="1148"/>
        <v>42309</v>
      </c>
      <c r="F7604" s="2">
        <f t="shared" si="1149"/>
        <v>44196</v>
      </c>
    </row>
    <row r="7605" spans="1:6" x14ac:dyDescent="0.25">
      <c r="A7605" s="1" t="s">
        <v>606</v>
      </c>
      <c r="B7605" s="1" t="s">
        <v>605</v>
      </c>
      <c r="C7605" s="1" t="s">
        <v>19</v>
      </c>
      <c r="D7605" s="3">
        <f t="shared" si="1147"/>
        <v>7813</v>
      </c>
      <c r="E7605" s="2">
        <f t="shared" si="1148"/>
        <v>42309</v>
      </c>
      <c r="F7605" s="2">
        <f t="shared" si="1149"/>
        <v>44196</v>
      </c>
    </row>
    <row r="7606" spans="1:6" x14ac:dyDescent="0.25">
      <c r="A7606" s="1" t="s">
        <v>606</v>
      </c>
      <c r="B7606" s="1" t="s">
        <v>605</v>
      </c>
      <c r="C7606" s="1" t="s">
        <v>20</v>
      </c>
      <c r="D7606" s="3">
        <f t="shared" si="1147"/>
        <v>7813</v>
      </c>
      <c r="E7606" s="2">
        <f t="shared" si="1148"/>
        <v>42309</v>
      </c>
      <c r="F7606" s="2">
        <f t="shared" si="1149"/>
        <v>44196</v>
      </c>
    </row>
    <row r="7607" spans="1:6" x14ac:dyDescent="0.25">
      <c r="A7607" s="1" t="s">
        <v>606</v>
      </c>
      <c r="B7607" s="1" t="s">
        <v>605</v>
      </c>
      <c r="C7607" s="1" t="s">
        <v>24</v>
      </c>
      <c r="D7607" s="3">
        <f t="shared" si="1147"/>
        <v>7813</v>
      </c>
      <c r="E7607" s="2">
        <f t="shared" si="1148"/>
        <v>42309</v>
      </c>
      <c r="F7607" s="2">
        <f t="shared" si="1149"/>
        <v>44196</v>
      </c>
    </row>
    <row r="7608" spans="1:6" x14ac:dyDescent="0.25">
      <c r="A7608" s="1" t="s">
        <v>606</v>
      </c>
      <c r="B7608" s="1" t="s">
        <v>605</v>
      </c>
      <c r="C7608" s="1" t="s">
        <v>73</v>
      </c>
      <c r="D7608" s="3">
        <f t="shared" si="1147"/>
        <v>7813</v>
      </c>
      <c r="E7608" s="2">
        <f t="shared" si="1148"/>
        <v>42309</v>
      </c>
      <c r="F7608" s="2">
        <f t="shared" si="1149"/>
        <v>44196</v>
      </c>
    </row>
    <row r="7609" spans="1:6" x14ac:dyDescent="0.25">
      <c r="A7609" s="1" t="s">
        <v>606</v>
      </c>
      <c r="B7609" s="1" t="s">
        <v>605</v>
      </c>
      <c r="C7609" s="1" t="s">
        <v>52</v>
      </c>
      <c r="D7609" s="3">
        <f t="shared" si="1147"/>
        <v>7813</v>
      </c>
      <c r="E7609" s="2">
        <f t="shared" si="1148"/>
        <v>42309</v>
      </c>
      <c r="F7609" s="2">
        <f t="shared" si="1149"/>
        <v>44196</v>
      </c>
    </row>
    <row r="7610" spans="1:6" x14ac:dyDescent="0.25">
      <c r="A7610" s="1" t="s">
        <v>606</v>
      </c>
      <c r="B7610" s="1" t="s">
        <v>605</v>
      </c>
      <c r="C7610" s="1" t="s">
        <v>34</v>
      </c>
      <c r="D7610" s="3">
        <f t="shared" si="1147"/>
        <v>7813</v>
      </c>
      <c r="E7610" s="2">
        <f t="shared" si="1148"/>
        <v>42309</v>
      </c>
      <c r="F7610" s="2">
        <f t="shared" si="1149"/>
        <v>44196</v>
      </c>
    </row>
    <row r="7611" spans="1:6" x14ac:dyDescent="0.25">
      <c r="A7611" s="1" t="s">
        <v>606</v>
      </c>
      <c r="B7611" s="1" t="s">
        <v>605</v>
      </c>
      <c r="C7611" s="1" t="s">
        <v>36</v>
      </c>
      <c r="D7611" s="3">
        <f t="shared" si="1147"/>
        <v>7813</v>
      </c>
      <c r="E7611" s="2">
        <f t="shared" si="1148"/>
        <v>42309</v>
      </c>
      <c r="F7611" s="2">
        <f t="shared" si="1149"/>
        <v>44196</v>
      </c>
    </row>
    <row r="7612" spans="1:6" x14ac:dyDescent="0.25">
      <c r="A7612" s="1" t="s">
        <v>606</v>
      </c>
      <c r="B7612" s="1" t="s">
        <v>1997</v>
      </c>
      <c r="C7612" s="1" t="s">
        <v>69</v>
      </c>
      <c r="D7612" s="3">
        <f>VALUE("7806")</f>
        <v>7806</v>
      </c>
      <c r="E7612" s="2">
        <f>DATEVALUE("1-10-2015")</f>
        <v>42278</v>
      </c>
      <c r="F7612" s="2">
        <f>DATEVALUE("30-11-2015")</f>
        <v>42338</v>
      </c>
    </row>
    <row r="7613" spans="1:6" x14ac:dyDescent="0.25">
      <c r="A7613" s="1" t="s">
        <v>606</v>
      </c>
      <c r="B7613" s="1" t="s">
        <v>1997</v>
      </c>
      <c r="C7613" s="1" t="s">
        <v>334</v>
      </c>
      <c r="D7613" s="3">
        <f>VALUE("7806")</f>
        <v>7806</v>
      </c>
      <c r="E7613" s="2">
        <f>DATEVALUE("1-10-2015")</f>
        <v>42278</v>
      </c>
      <c r="F7613" s="2">
        <f>DATEVALUE("30-11-2015")</f>
        <v>42338</v>
      </c>
    </row>
    <row r="7614" spans="1:6" x14ac:dyDescent="0.25">
      <c r="A7614" s="1" t="s">
        <v>606</v>
      </c>
      <c r="B7614" s="1" t="s">
        <v>1993</v>
      </c>
      <c r="C7614" s="1" t="s">
        <v>7</v>
      </c>
      <c r="D7614" s="3">
        <f>VALUE("7787")</f>
        <v>7787</v>
      </c>
      <c r="E7614" s="2">
        <f>DATEVALUE("1-8-2015")</f>
        <v>42217</v>
      </c>
      <c r="F7614" s="2">
        <f>DATEVALUE("31-12-2015")</f>
        <v>42369</v>
      </c>
    </row>
    <row r="7615" spans="1:6" x14ac:dyDescent="0.25">
      <c r="A7615" s="1" t="s">
        <v>606</v>
      </c>
      <c r="B7615" s="1" t="s">
        <v>1993</v>
      </c>
      <c r="C7615" s="1" t="s">
        <v>212</v>
      </c>
      <c r="D7615" s="3">
        <f>VALUE("7787")</f>
        <v>7787</v>
      </c>
      <c r="E7615" s="2">
        <f>DATEVALUE("1-8-2015")</f>
        <v>42217</v>
      </c>
      <c r="F7615" s="2">
        <f>DATEVALUE("31-12-2015")</f>
        <v>42369</v>
      </c>
    </row>
    <row r="7616" spans="1:6" x14ac:dyDescent="0.25">
      <c r="A7616" s="1" t="s">
        <v>606</v>
      </c>
      <c r="B7616" s="1" t="s">
        <v>1992</v>
      </c>
      <c r="C7616" s="1" t="s">
        <v>7</v>
      </c>
      <c r="D7616" s="3">
        <f>VALUE("7785")</f>
        <v>7785</v>
      </c>
      <c r="E7616" s="2">
        <f>DATEVALUE("1-7-2015")</f>
        <v>42186</v>
      </c>
      <c r="F7616" s="2">
        <f>DATEVALUE("31-10-2015")</f>
        <v>42308</v>
      </c>
    </row>
    <row r="7617" spans="1:6" x14ac:dyDescent="0.25">
      <c r="A7617" s="1" t="s">
        <v>606</v>
      </c>
      <c r="B7617" s="1" t="s">
        <v>1992</v>
      </c>
      <c r="C7617" s="1" t="s">
        <v>6</v>
      </c>
      <c r="D7617" s="3">
        <f>VALUE("7785")</f>
        <v>7785</v>
      </c>
      <c r="E7617" s="2">
        <f>DATEVALUE("1-7-2015")</f>
        <v>42186</v>
      </c>
      <c r="F7617" s="2">
        <f>DATEVALUE("31-10-2015")</f>
        <v>42308</v>
      </c>
    </row>
    <row r="7618" spans="1:6" x14ac:dyDescent="0.25">
      <c r="A7618" s="1" t="s">
        <v>606</v>
      </c>
      <c r="B7618" s="1" t="s">
        <v>1992</v>
      </c>
      <c r="C7618" s="1" t="s">
        <v>13</v>
      </c>
      <c r="D7618" s="3">
        <f>VALUE("7785")</f>
        <v>7785</v>
      </c>
      <c r="E7618" s="2">
        <f>DATEVALUE("1-7-2015")</f>
        <v>42186</v>
      </c>
      <c r="F7618" s="2">
        <f>DATEVALUE("31-10-2015")</f>
        <v>42308</v>
      </c>
    </row>
    <row r="7619" spans="1:6" x14ac:dyDescent="0.25">
      <c r="A7619" s="1" t="s">
        <v>606</v>
      </c>
      <c r="B7619" s="1" t="s">
        <v>1992</v>
      </c>
      <c r="C7619" s="1" t="s">
        <v>240</v>
      </c>
      <c r="D7619" s="3">
        <f>VALUE("7785")</f>
        <v>7785</v>
      </c>
      <c r="E7619" s="2">
        <f>DATEVALUE("1-7-2015")</f>
        <v>42186</v>
      </c>
      <c r="F7619" s="2">
        <f>DATEVALUE("31-10-2015")</f>
        <v>42308</v>
      </c>
    </row>
    <row r="7620" spans="1:6" x14ac:dyDescent="0.25">
      <c r="A7620" s="1" t="s">
        <v>606</v>
      </c>
      <c r="B7620" s="1" t="s">
        <v>1986</v>
      </c>
      <c r="C7620" s="1" t="s">
        <v>7</v>
      </c>
      <c r="D7620" s="3">
        <f t="shared" ref="D7620:D7643" si="1150">VALUE("7770")</f>
        <v>7770</v>
      </c>
      <c r="E7620" s="2">
        <f t="shared" ref="E7620:E7643" si="1151">DATEVALUE("1-6-2015")</f>
        <v>42156</v>
      </c>
      <c r="F7620" s="2">
        <f t="shared" ref="F7620:F7643" si="1152">DATEVALUE("31-12-2015")</f>
        <v>42369</v>
      </c>
    </row>
    <row r="7621" spans="1:6" x14ac:dyDescent="0.25">
      <c r="A7621" s="1" t="s">
        <v>606</v>
      </c>
      <c r="B7621" s="1" t="s">
        <v>1986</v>
      </c>
      <c r="C7621" s="1" t="s">
        <v>6</v>
      </c>
      <c r="D7621" s="3">
        <f t="shared" si="1150"/>
        <v>7770</v>
      </c>
      <c r="E7621" s="2">
        <f t="shared" si="1151"/>
        <v>42156</v>
      </c>
      <c r="F7621" s="2">
        <f t="shared" si="1152"/>
        <v>42369</v>
      </c>
    </row>
    <row r="7622" spans="1:6" x14ac:dyDescent="0.25">
      <c r="A7622" s="1" t="s">
        <v>606</v>
      </c>
      <c r="B7622" s="1" t="s">
        <v>1986</v>
      </c>
      <c r="C7622" s="1" t="s">
        <v>599</v>
      </c>
      <c r="D7622" s="3">
        <f t="shared" si="1150"/>
        <v>7770</v>
      </c>
      <c r="E7622" s="2">
        <f t="shared" si="1151"/>
        <v>42156</v>
      </c>
      <c r="F7622" s="2">
        <f t="shared" si="1152"/>
        <v>42369</v>
      </c>
    </row>
    <row r="7623" spans="1:6" x14ac:dyDescent="0.25">
      <c r="A7623" s="1" t="s">
        <v>606</v>
      </c>
      <c r="B7623" s="1" t="s">
        <v>1986</v>
      </c>
      <c r="C7623" s="1" t="s">
        <v>13</v>
      </c>
      <c r="D7623" s="3">
        <f t="shared" si="1150"/>
        <v>7770</v>
      </c>
      <c r="E7623" s="2">
        <f t="shared" si="1151"/>
        <v>42156</v>
      </c>
      <c r="F7623" s="2">
        <f t="shared" si="1152"/>
        <v>42369</v>
      </c>
    </row>
    <row r="7624" spans="1:6" x14ac:dyDescent="0.25">
      <c r="A7624" s="1" t="s">
        <v>606</v>
      </c>
      <c r="B7624" s="1" t="s">
        <v>1986</v>
      </c>
      <c r="C7624" s="1" t="s">
        <v>45</v>
      </c>
      <c r="D7624" s="3">
        <f t="shared" si="1150"/>
        <v>7770</v>
      </c>
      <c r="E7624" s="2">
        <f t="shared" si="1151"/>
        <v>42156</v>
      </c>
      <c r="F7624" s="2">
        <f t="shared" si="1152"/>
        <v>42369</v>
      </c>
    </row>
    <row r="7625" spans="1:6" x14ac:dyDescent="0.25">
      <c r="A7625" s="1" t="s">
        <v>606</v>
      </c>
      <c r="B7625" s="1" t="s">
        <v>1986</v>
      </c>
      <c r="C7625" s="1" t="s">
        <v>14</v>
      </c>
      <c r="D7625" s="3">
        <f t="shared" si="1150"/>
        <v>7770</v>
      </c>
      <c r="E7625" s="2">
        <f t="shared" si="1151"/>
        <v>42156</v>
      </c>
      <c r="F7625" s="2">
        <f t="shared" si="1152"/>
        <v>42369</v>
      </c>
    </row>
    <row r="7626" spans="1:6" x14ac:dyDescent="0.25">
      <c r="A7626" s="1" t="s">
        <v>606</v>
      </c>
      <c r="B7626" s="1" t="s">
        <v>1986</v>
      </c>
      <c r="C7626" s="1" t="s">
        <v>23</v>
      </c>
      <c r="D7626" s="3">
        <f t="shared" si="1150"/>
        <v>7770</v>
      </c>
      <c r="E7626" s="2">
        <f t="shared" si="1151"/>
        <v>42156</v>
      </c>
      <c r="F7626" s="2">
        <f t="shared" si="1152"/>
        <v>42369</v>
      </c>
    </row>
    <row r="7627" spans="1:6" x14ac:dyDescent="0.25">
      <c r="A7627" s="1" t="s">
        <v>606</v>
      </c>
      <c r="B7627" s="1" t="s">
        <v>1986</v>
      </c>
      <c r="C7627" s="1" t="s">
        <v>24</v>
      </c>
      <c r="D7627" s="3">
        <f t="shared" si="1150"/>
        <v>7770</v>
      </c>
      <c r="E7627" s="2">
        <f t="shared" si="1151"/>
        <v>42156</v>
      </c>
      <c r="F7627" s="2">
        <f t="shared" si="1152"/>
        <v>42369</v>
      </c>
    </row>
    <row r="7628" spans="1:6" x14ac:dyDescent="0.25">
      <c r="A7628" s="1" t="s">
        <v>606</v>
      </c>
      <c r="B7628" s="1" t="s">
        <v>1986</v>
      </c>
      <c r="C7628" s="1" t="s">
        <v>227</v>
      </c>
      <c r="D7628" s="3">
        <f t="shared" si="1150"/>
        <v>7770</v>
      </c>
      <c r="E7628" s="2">
        <f t="shared" si="1151"/>
        <v>42156</v>
      </c>
      <c r="F7628" s="2">
        <f t="shared" si="1152"/>
        <v>42369</v>
      </c>
    </row>
    <row r="7629" spans="1:6" x14ac:dyDescent="0.25">
      <c r="A7629" s="1" t="s">
        <v>606</v>
      </c>
      <c r="B7629" s="1" t="s">
        <v>1986</v>
      </c>
      <c r="C7629" s="1" t="s">
        <v>228</v>
      </c>
      <c r="D7629" s="3">
        <f t="shared" si="1150"/>
        <v>7770</v>
      </c>
      <c r="E7629" s="2">
        <f t="shared" si="1151"/>
        <v>42156</v>
      </c>
      <c r="F7629" s="2">
        <f t="shared" si="1152"/>
        <v>42369</v>
      </c>
    </row>
    <row r="7630" spans="1:6" x14ac:dyDescent="0.25">
      <c r="A7630" s="1" t="s">
        <v>606</v>
      </c>
      <c r="B7630" s="1" t="s">
        <v>1986</v>
      </c>
      <c r="C7630" s="1" t="s">
        <v>28</v>
      </c>
      <c r="D7630" s="3">
        <f t="shared" si="1150"/>
        <v>7770</v>
      </c>
      <c r="E7630" s="2">
        <f t="shared" si="1151"/>
        <v>42156</v>
      </c>
      <c r="F7630" s="2">
        <f t="shared" si="1152"/>
        <v>42369</v>
      </c>
    </row>
    <row r="7631" spans="1:6" x14ac:dyDescent="0.25">
      <c r="A7631" s="1" t="s">
        <v>606</v>
      </c>
      <c r="B7631" s="1" t="s">
        <v>1986</v>
      </c>
      <c r="C7631" s="1" t="s">
        <v>229</v>
      </c>
      <c r="D7631" s="3">
        <f t="shared" si="1150"/>
        <v>7770</v>
      </c>
      <c r="E7631" s="2">
        <f t="shared" si="1151"/>
        <v>42156</v>
      </c>
      <c r="F7631" s="2">
        <f t="shared" si="1152"/>
        <v>42369</v>
      </c>
    </row>
    <row r="7632" spans="1:6" x14ac:dyDescent="0.25">
      <c r="A7632" s="1" t="s">
        <v>606</v>
      </c>
      <c r="B7632" s="1" t="s">
        <v>1986</v>
      </c>
      <c r="C7632" s="1" t="s">
        <v>29</v>
      </c>
      <c r="D7632" s="3">
        <f t="shared" si="1150"/>
        <v>7770</v>
      </c>
      <c r="E7632" s="2">
        <f t="shared" si="1151"/>
        <v>42156</v>
      </c>
      <c r="F7632" s="2">
        <f t="shared" si="1152"/>
        <v>42369</v>
      </c>
    </row>
    <row r="7633" spans="1:6" x14ac:dyDescent="0.25">
      <c r="A7633" s="1" t="s">
        <v>606</v>
      </c>
      <c r="B7633" s="1" t="s">
        <v>1986</v>
      </c>
      <c r="C7633" s="1" t="s">
        <v>230</v>
      </c>
      <c r="D7633" s="3">
        <f t="shared" si="1150"/>
        <v>7770</v>
      </c>
      <c r="E7633" s="2">
        <f t="shared" si="1151"/>
        <v>42156</v>
      </c>
      <c r="F7633" s="2">
        <f t="shared" si="1152"/>
        <v>42369</v>
      </c>
    </row>
    <row r="7634" spans="1:6" x14ac:dyDescent="0.25">
      <c r="A7634" s="1" t="s">
        <v>606</v>
      </c>
      <c r="B7634" s="1" t="s">
        <v>1986</v>
      </c>
      <c r="C7634" s="1" t="s">
        <v>231</v>
      </c>
      <c r="D7634" s="3">
        <f t="shared" si="1150"/>
        <v>7770</v>
      </c>
      <c r="E7634" s="2">
        <f t="shared" si="1151"/>
        <v>42156</v>
      </c>
      <c r="F7634" s="2">
        <f t="shared" si="1152"/>
        <v>42369</v>
      </c>
    </row>
    <row r="7635" spans="1:6" x14ac:dyDescent="0.25">
      <c r="A7635" s="1" t="s">
        <v>606</v>
      </c>
      <c r="B7635" s="1" t="s">
        <v>1986</v>
      </c>
      <c r="C7635" s="1" t="s">
        <v>233</v>
      </c>
      <c r="D7635" s="3">
        <f t="shared" si="1150"/>
        <v>7770</v>
      </c>
      <c r="E7635" s="2">
        <f t="shared" si="1151"/>
        <v>42156</v>
      </c>
      <c r="F7635" s="2">
        <f t="shared" si="1152"/>
        <v>42369</v>
      </c>
    </row>
    <row r="7636" spans="1:6" x14ac:dyDescent="0.25">
      <c r="A7636" s="1" t="s">
        <v>606</v>
      </c>
      <c r="B7636" s="1" t="s">
        <v>1986</v>
      </c>
      <c r="C7636" s="1" t="s">
        <v>234</v>
      </c>
      <c r="D7636" s="3">
        <f t="shared" si="1150"/>
        <v>7770</v>
      </c>
      <c r="E7636" s="2">
        <f t="shared" si="1151"/>
        <v>42156</v>
      </c>
      <c r="F7636" s="2">
        <f t="shared" si="1152"/>
        <v>42369</v>
      </c>
    </row>
    <row r="7637" spans="1:6" x14ac:dyDescent="0.25">
      <c r="A7637" s="1" t="s">
        <v>606</v>
      </c>
      <c r="B7637" s="1" t="s">
        <v>1986</v>
      </c>
      <c r="C7637" s="1" t="s">
        <v>30</v>
      </c>
      <c r="D7637" s="3">
        <f t="shared" si="1150"/>
        <v>7770</v>
      </c>
      <c r="E7637" s="2">
        <f t="shared" si="1151"/>
        <v>42156</v>
      </c>
      <c r="F7637" s="2">
        <f t="shared" si="1152"/>
        <v>42369</v>
      </c>
    </row>
    <row r="7638" spans="1:6" x14ac:dyDescent="0.25">
      <c r="A7638" s="1" t="s">
        <v>606</v>
      </c>
      <c r="B7638" s="1" t="s">
        <v>1986</v>
      </c>
      <c r="C7638" s="1" t="s">
        <v>1839</v>
      </c>
      <c r="D7638" s="3">
        <f t="shared" si="1150"/>
        <v>7770</v>
      </c>
      <c r="E7638" s="2">
        <f t="shared" si="1151"/>
        <v>42156</v>
      </c>
      <c r="F7638" s="2">
        <f t="shared" si="1152"/>
        <v>42369</v>
      </c>
    </row>
    <row r="7639" spans="1:6" x14ac:dyDescent="0.25">
      <c r="A7639" s="1" t="s">
        <v>606</v>
      </c>
      <c r="B7639" s="1" t="s">
        <v>1986</v>
      </c>
      <c r="C7639" s="1" t="s">
        <v>238</v>
      </c>
      <c r="D7639" s="3">
        <f t="shared" si="1150"/>
        <v>7770</v>
      </c>
      <c r="E7639" s="2">
        <f t="shared" si="1151"/>
        <v>42156</v>
      </c>
      <c r="F7639" s="2">
        <f t="shared" si="1152"/>
        <v>42369</v>
      </c>
    </row>
    <row r="7640" spans="1:6" x14ac:dyDescent="0.25">
      <c r="A7640" s="1" t="s">
        <v>606</v>
      </c>
      <c r="B7640" s="1" t="s">
        <v>1986</v>
      </c>
      <c r="C7640" s="1" t="s">
        <v>239</v>
      </c>
      <c r="D7640" s="3">
        <f t="shared" si="1150"/>
        <v>7770</v>
      </c>
      <c r="E7640" s="2">
        <f t="shared" si="1151"/>
        <v>42156</v>
      </c>
      <c r="F7640" s="2">
        <f t="shared" si="1152"/>
        <v>42369</v>
      </c>
    </row>
    <row r="7641" spans="1:6" x14ac:dyDescent="0.25">
      <c r="A7641" s="1" t="s">
        <v>606</v>
      </c>
      <c r="B7641" s="1" t="s">
        <v>1986</v>
      </c>
      <c r="C7641" s="1" t="s">
        <v>593</v>
      </c>
      <c r="D7641" s="3">
        <f t="shared" si="1150"/>
        <v>7770</v>
      </c>
      <c r="E7641" s="2">
        <f t="shared" si="1151"/>
        <v>42156</v>
      </c>
      <c r="F7641" s="2">
        <f t="shared" si="1152"/>
        <v>42369</v>
      </c>
    </row>
    <row r="7642" spans="1:6" x14ac:dyDescent="0.25">
      <c r="A7642" s="1" t="s">
        <v>606</v>
      </c>
      <c r="B7642" s="1" t="s">
        <v>1986</v>
      </c>
      <c r="C7642" s="1" t="s">
        <v>34</v>
      </c>
      <c r="D7642" s="3">
        <f t="shared" si="1150"/>
        <v>7770</v>
      </c>
      <c r="E7642" s="2">
        <f t="shared" si="1151"/>
        <v>42156</v>
      </c>
      <c r="F7642" s="2">
        <f t="shared" si="1152"/>
        <v>42369</v>
      </c>
    </row>
    <row r="7643" spans="1:6" x14ac:dyDescent="0.25">
      <c r="A7643" s="1" t="s">
        <v>606</v>
      </c>
      <c r="B7643" s="1" t="s">
        <v>1986</v>
      </c>
      <c r="C7643" s="1" t="s">
        <v>1245</v>
      </c>
      <c r="D7643" s="3">
        <f t="shared" si="1150"/>
        <v>7770</v>
      </c>
      <c r="E7643" s="2">
        <f t="shared" si="1151"/>
        <v>42156</v>
      </c>
      <c r="F7643" s="2">
        <f t="shared" si="1152"/>
        <v>42369</v>
      </c>
    </row>
    <row r="7644" spans="1:6" x14ac:dyDescent="0.25">
      <c r="A7644" s="1" t="s">
        <v>606</v>
      </c>
      <c r="B7644" s="1" t="s">
        <v>1972</v>
      </c>
      <c r="C7644" s="1" t="s">
        <v>7</v>
      </c>
      <c r="D7644" s="3">
        <f t="shared" ref="D7644:D7649" si="1153">VALUE("7743")</f>
        <v>7743</v>
      </c>
      <c r="E7644" s="2">
        <f t="shared" ref="E7644:E7649" si="1154">DATEVALUE("1-4-2015")</f>
        <v>42095</v>
      </c>
      <c r="F7644" s="2">
        <f t="shared" ref="F7644:F7649" si="1155">DATEVALUE("30-6-2015")</f>
        <v>42185</v>
      </c>
    </row>
    <row r="7645" spans="1:6" x14ac:dyDescent="0.25">
      <c r="A7645" s="1" t="s">
        <v>606</v>
      </c>
      <c r="B7645" s="1" t="s">
        <v>1972</v>
      </c>
      <c r="C7645" s="1" t="s">
        <v>17</v>
      </c>
      <c r="D7645" s="3">
        <f t="shared" si="1153"/>
        <v>7743</v>
      </c>
      <c r="E7645" s="2">
        <f t="shared" si="1154"/>
        <v>42095</v>
      </c>
      <c r="F7645" s="2">
        <f t="shared" si="1155"/>
        <v>42185</v>
      </c>
    </row>
    <row r="7646" spans="1:6" x14ac:dyDescent="0.25">
      <c r="A7646" s="1" t="s">
        <v>606</v>
      </c>
      <c r="B7646" s="1" t="s">
        <v>1972</v>
      </c>
      <c r="C7646" s="1" t="s">
        <v>28</v>
      </c>
      <c r="D7646" s="3">
        <f t="shared" si="1153"/>
        <v>7743</v>
      </c>
      <c r="E7646" s="2">
        <f t="shared" si="1154"/>
        <v>42095</v>
      </c>
      <c r="F7646" s="2">
        <f t="shared" si="1155"/>
        <v>42185</v>
      </c>
    </row>
    <row r="7647" spans="1:6" x14ac:dyDescent="0.25">
      <c r="A7647" s="1" t="s">
        <v>606</v>
      </c>
      <c r="B7647" s="1" t="s">
        <v>1972</v>
      </c>
      <c r="C7647" s="1" t="s">
        <v>29</v>
      </c>
      <c r="D7647" s="3">
        <f t="shared" si="1153"/>
        <v>7743</v>
      </c>
      <c r="E7647" s="2">
        <f t="shared" si="1154"/>
        <v>42095</v>
      </c>
      <c r="F7647" s="2">
        <f t="shared" si="1155"/>
        <v>42185</v>
      </c>
    </row>
    <row r="7648" spans="1:6" x14ac:dyDescent="0.25">
      <c r="A7648" s="1" t="s">
        <v>606</v>
      </c>
      <c r="B7648" s="1" t="s">
        <v>1972</v>
      </c>
      <c r="C7648" s="1" t="s">
        <v>30</v>
      </c>
      <c r="D7648" s="3">
        <f t="shared" si="1153"/>
        <v>7743</v>
      </c>
      <c r="E7648" s="2">
        <f t="shared" si="1154"/>
        <v>42095</v>
      </c>
      <c r="F7648" s="2">
        <f t="shared" si="1155"/>
        <v>42185</v>
      </c>
    </row>
    <row r="7649" spans="1:6" x14ac:dyDescent="0.25">
      <c r="A7649" s="1" t="s">
        <v>606</v>
      </c>
      <c r="B7649" s="1" t="s">
        <v>1972</v>
      </c>
      <c r="C7649" s="1" t="s">
        <v>52</v>
      </c>
      <c r="D7649" s="3">
        <f t="shared" si="1153"/>
        <v>7743</v>
      </c>
      <c r="E7649" s="2">
        <f t="shared" si="1154"/>
        <v>42095</v>
      </c>
      <c r="F7649" s="2">
        <f t="shared" si="1155"/>
        <v>42185</v>
      </c>
    </row>
    <row r="7650" spans="1:6" x14ac:dyDescent="0.25">
      <c r="A7650" s="1" t="s">
        <v>606</v>
      </c>
      <c r="B7650" s="1" t="s">
        <v>1956</v>
      </c>
      <c r="C7650" s="1" t="s">
        <v>6</v>
      </c>
      <c r="D7650" s="3">
        <f>VALUE("7718")</f>
        <v>7718</v>
      </c>
      <c r="E7650" s="2">
        <f>DATEVALUE("1-2-2015")</f>
        <v>42036</v>
      </c>
      <c r="F7650" s="2">
        <f>DATEVALUE("31-3-2015")</f>
        <v>42094</v>
      </c>
    </row>
    <row r="7651" spans="1:6" x14ac:dyDescent="0.25">
      <c r="A7651" s="1" t="s">
        <v>606</v>
      </c>
      <c r="B7651" s="1" t="s">
        <v>1956</v>
      </c>
      <c r="C7651" s="1" t="s">
        <v>13</v>
      </c>
      <c r="D7651" s="3">
        <f>VALUE("7718")</f>
        <v>7718</v>
      </c>
      <c r="E7651" s="2">
        <f>DATEVALUE("1-2-2015")</f>
        <v>42036</v>
      </c>
      <c r="F7651" s="2">
        <f>DATEVALUE("31-3-2015")</f>
        <v>42094</v>
      </c>
    </row>
    <row r="7652" spans="1:6" x14ac:dyDescent="0.25">
      <c r="A7652" s="1" t="s">
        <v>606</v>
      </c>
      <c r="B7652" s="1" t="s">
        <v>1956</v>
      </c>
      <c r="C7652" s="1" t="s">
        <v>240</v>
      </c>
      <c r="D7652" s="3">
        <f>VALUE("7718")</f>
        <v>7718</v>
      </c>
      <c r="E7652" s="2">
        <f>DATEVALUE("1-2-2015")</f>
        <v>42036</v>
      </c>
      <c r="F7652" s="2">
        <f>DATEVALUE("31-3-2015")</f>
        <v>42094</v>
      </c>
    </row>
    <row r="7653" spans="1:6" x14ac:dyDescent="0.25">
      <c r="A7653" s="1" t="s">
        <v>606</v>
      </c>
      <c r="B7653" s="1" t="s">
        <v>2767</v>
      </c>
      <c r="C7653" s="1" t="s">
        <v>8</v>
      </c>
      <c r="D7653" s="3">
        <f>VALUE("7625")</f>
        <v>7625</v>
      </c>
      <c r="E7653" s="2">
        <f>DATEVALUE("1-9-2014")</f>
        <v>41883</v>
      </c>
      <c r="F7653" s="2">
        <f>DATEVALUE("31-12-2014")</f>
        <v>42004</v>
      </c>
    </row>
    <row r="7654" spans="1:6" x14ac:dyDescent="0.25">
      <c r="A7654" s="1" t="s">
        <v>606</v>
      </c>
      <c r="B7654" s="1" t="s">
        <v>2767</v>
      </c>
      <c r="C7654" s="1" t="s">
        <v>12</v>
      </c>
      <c r="D7654" s="3">
        <f>VALUE("7625")</f>
        <v>7625</v>
      </c>
      <c r="E7654" s="2">
        <f>DATEVALUE("1-9-2014")</f>
        <v>41883</v>
      </c>
      <c r="F7654" s="2">
        <f>DATEVALUE("31-12-2014")</f>
        <v>42004</v>
      </c>
    </row>
    <row r="7655" spans="1:6" x14ac:dyDescent="0.25">
      <c r="A7655" s="1" t="s">
        <v>606</v>
      </c>
      <c r="B7655" s="1" t="s">
        <v>2767</v>
      </c>
      <c r="C7655" s="1" t="s">
        <v>73</v>
      </c>
      <c r="D7655" s="3">
        <f>VALUE("7625")</f>
        <v>7625</v>
      </c>
      <c r="E7655" s="2">
        <f>DATEVALUE("1-9-2014")</f>
        <v>41883</v>
      </c>
      <c r="F7655" s="2">
        <f>DATEVALUE("31-12-2014")</f>
        <v>42004</v>
      </c>
    </row>
    <row r="7656" spans="1:6" x14ac:dyDescent="0.25">
      <c r="A7656" s="1" t="s">
        <v>606</v>
      </c>
      <c r="B7656" s="1" t="s">
        <v>2733</v>
      </c>
      <c r="C7656" s="1" t="s">
        <v>7</v>
      </c>
      <c r="D7656" s="3">
        <f t="shared" ref="D7656:D7672" si="1156">VALUE("7626")</f>
        <v>7626</v>
      </c>
      <c r="E7656" s="2">
        <f t="shared" ref="E7656:E7676" si="1157">DATEVALUE("1-7-2014")</f>
        <v>41821</v>
      </c>
      <c r="F7656" s="2">
        <f t="shared" ref="F7656:F7672" si="1158">DATEVALUE("30-11-2014")</f>
        <v>41973</v>
      </c>
    </row>
    <row r="7657" spans="1:6" x14ac:dyDescent="0.25">
      <c r="A7657" s="1" t="s">
        <v>606</v>
      </c>
      <c r="B7657" s="1" t="s">
        <v>2733</v>
      </c>
      <c r="C7657" s="1" t="s">
        <v>2155</v>
      </c>
      <c r="D7657" s="3">
        <f t="shared" si="1156"/>
        <v>7626</v>
      </c>
      <c r="E7657" s="2">
        <f t="shared" si="1157"/>
        <v>41821</v>
      </c>
      <c r="F7657" s="2">
        <f t="shared" si="1158"/>
        <v>41973</v>
      </c>
    </row>
    <row r="7658" spans="1:6" x14ac:dyDescent="0.25">
      <c r="A7658" s="1" t="s">
        <v>606</v>
      </c>
      <c r="B7658" s="1" t="s">
        <v>2733</v>
      </c>
      <c r="C7658" s="1" t="s">
        <v>222</v>
      </c>
      <c r="D7658" s="3">
        <f t="shared" si="1156"/>
        <v>7626</v>
      </c>
      <c r="E7658" s="2">
        <f t="shared" si="1157"/>
        <v>41821</v>
      </c>
      <c r="F7658" s="2">
        <f t="shared" si="1158"/>
        <v>41973</v>
      </c>
    </row>
    <row r="7659" spans="1:6" x14ac:dyDescent="0.25">
      <c r="A7659" s="1" t="s">
        <v>606</v>
      </c>
      <c r="B7659" s="1" t="s">
        <v>2733</v>
      </c>
      <c r="C7659" s="1" t="s">
        <v>212</v>
      </c>
      <c r="D7659" s="3">
        <f t="shared" si="1156"/>
        <v>7626</v>
      </c>
      <c r="E7659" s="2">
        <f t="shared" si="1157"/>
        <v>41821</v>
      </c>
      <c r="F7659" s="2">
        <f t="shared" si="1158"/>
        <v>41973</v>
      </c>
    </row>
    <row r="7660" spans="1:6" x14ac:dyDescent="0.25">
      <c r="A7660" s="1" t="s">
        <v>606</v>
      </c>
      <c r="B7660" s="1" t="s">
        <v>2733</v>
      </c>
      <c r="C7660" s="1" t="s">
        <v>227</v>
      </c>
      <c r="D7660" s="3">
        <f t="shared" si="1156"/>
        <v>7626</v>
      </c>
      <c r="E7660" s="2">
        <f t="shared" si="1157"/>
        <v>41821</v>
      </c>
      <c r="F7660" s="2">
        <f t="shared" si="1158"/>
        <v>41973</v>
      </c>
    </row>
    <row r="7661" spans="1:6" x14ac:dyDescent="0.25">
      <c r="A7661" s="1" t="s">
        <v>606</v>
      </c>
      <c r="B7661" s="1" t="s">
        <v>2733</v>
      </c>
      <c r="C7661" s="1" t="s">
        <v>228</v>
      </c>
      <c r="D7661" s="3">
        <f t="shared" si="1156"/>
        <v>7626</v>
      </c>
      <c r="E7661" s="2">
        <f t="shared" si="1157"/>
        <v>41821</v>
      </c>
      <c r="F7661" s="2">
        <f t="shared" si="1158"/>
        <v>41973</v>
      </c>
    </row>
    <row r="7662" spans="1:6" x14ac:dyDescent="0.25">
      <c r="A7662" s="1" t="s">
        <v>606</v>
      </c>
      <c r="B7662" s="1" t="s">
        <v>2733</v>
      </c>
      <c r="C7662" s="1" t="s">
        <v>28</v>
      </c>
      <c r="D7662" s="3">
        <f t="shared" si="1156"/>
        <v>7626</v>
      </c>
      <c r="E7662" s="2">
        <f t="shared" si="1157"/>
        <v>41821</v>
      </c>
      <c r="F7662" s="2">
        <f t="shared" si="1158"/>
        <v>41973</v>
      </c>
    </row>
    <row r="7663" spans="1:6" x14ac:dyDescent="0.25">
      <c r="A7663" s="1" t="s">
        <v>606</v>
      </c>
      <c r="B7663" s="1" t="s">
        <v>2733</v>
      </c>
      <c r="C7663" s="1" t="s">
        <v>229</v>
      </c>
      <c r="D7663" s="3">
        <f t="shared" si="1156"/>
        <v>7626</v>
      </c>
      <c r="E7663" s="2">
        <f t="shared" si="1157"/>
        <v>41821</v>
      </c>
      <c r="F7663" s="2">
        <f t="shared" si="1158"/>
        <v>41973</v>
      </c>
    </row>
    <row r="7664" spans="1:6" x14ac:dyDescent="0.25">
      <c r="A7664" s="1" t="s">
        <v>606</v>
      </c>
      <c r="B7664" s="1" t="s">
        <v>2733</v>
      </c>
      <c r="C7664" s="1" t="s">
        <v>29</v>
      </c>
      <c r="D7664" s="3">
        <f t="shared" si="1156"/>
        <v>7626</v>
      </c>
      <c r="E7664" s="2">
        <f t="shared" si="1157"/>
        <v>41821</v>
      </c>
      <c r="F7664" s="2">
        <f t="shared" si="1158"/>
        <v>41973</v>
      </c>
    </row>
    <row r="7665" spans="1:6" x14ac:dyDescent="0.25">
      <c r="A7665" s="1" t="s">
        <v>606</v>
      </c>
      <c r="B7665" s="1" t="s">
        <v>2733</v>
      </c>
      <c r="C7665" s="1" t="s">
        <v>230</v>
      </c>
      <c r="D7665" s="3">
        <f t="shared" si="1156"/>
        <v>7626</v>
      </c>
      <c r="E7665" s="2">
        <f t="shared" si="1157"/>
        <v>41821</v>
      </c>
      <c r="F7665" s="2">
        <f t="shared" si="1158"/>
        <v>41973</v>
      </c>
    </row>
    <row r="7666" spans="1:6" x14ac:dyDescent="0.25">
      <c r="A7666" s="1" t="s">
        <v>606</v>
      </c>
      <c r="B7666" s="1" t="s">
        <v>2733</v>
      </c>
      <c r="C7666" s="1" t="s">
        <v>231</v>
      </c>
      <c r="D7666" s="3">
        <f t="shared" si="1156"/>
        <v>7626</v>
      </c>
      <c r="E7666" s="2">
        <f t="shared" si="1157"/>
        <v>41821</v>
      </c>
      <c r="F7666" s="2">
        <f t="shared" si="1158"/>
        <v>41973</v>
      </c>
    </row>
    <row r="7667" spans="1:6" x14ac:dyDescent="0.25">
      <c r="A7667" s="1" t="s">
        <v>606</v>
      </c>
      <c r="B7667" s="1" t="s">
        <v>2733</v>
      </c>
      <c r="C7667" s="1" t="s">
        <v>233</v>
      </c>
      <c r="D7667" s="3">
        <f t="shared" si="1156"/>
        <v>7626</v>
      </c>
      <c r="E7667" s="2">
        <f t="shared" si="1157"/>
        <v>41821</v>
      </c>
      <c r="F7667" s="2">
        <f t="shared" si="1158"/>
        <v>41973</v>
      </c>
    </row>
    <row r="7668" spans="1:6" x14ac:dyDescent="0.25">
      <c r="A7668" s="1" t="s">
        <v>606</v>
      </c>
      <c r="B7668" s="1" t="s">
        <v>2733</v>
      </c>
      <c r="C7668" s="1" t="s">
        <v>234</v>
      </c>
      <c r="D7668" s="3">
        <f t="shared" si="1156"/>
        <v>7626</v>
      </c>
      <c r="E7668" s="2">
        <f t="shared" si="1157"/>
        <v>41821</v>
      </c>
      <c r="F7668" s="2">
        <f t="shared" si="1158"/>
        <v>41973</v>
      </c>
    </row>
    <row r="7669" spans="1:6" x14ac:dyDescent="0.25">
      <c r="A7669" s="1" t="s">
        <v>606</v>
      </c>
      <c r="B7669" s="1" t="s">
        <v>2733</v>
      </c>
      <c r="C7669" s="1" t="s">
        <v>30</v>
      </c>
      <c r="D7669" s="3">
        <f t="shared" si="1156"/>
        <v>7626</v>
      </c>
      <c r="E7669" s="2">
        <f t="shared" si="1157"/>
        <v>41821</v>
      </c>
      <c r="F7669" s="2">
        <f t="shared" si="1158"/>
        <v>41973</v>
      </c>
    </row>
    <row r="7670" spans="1:6" x14ac:dyDescent="0.25">
      <c r="A7670" s="1" t="s">
        <v>606</v>
      </c>
      <c r="B7670" s="1" t="s">
        <v>2733</v>
      </c>
      <c r="C7670" s="1" t="s">
        <v>1839</v>
      </c>
      <c r="D7670" s="3">
        <f t="shared" si="1156"/>
        <v>7626</v>
      </c>
      <c r="E7670" s="2">
        <f t="shared" si="1157"/>
        <v>41821</v>
      </c>
      <c r="F7670" s="2">
        <f t="shared" si="1158"/>
        <v>41973</v>
      </c>
    </row>
    <row r="7671" spans="1:6" x14ac:dyDescent="0.25">
      <c r="A7671" s="1" t="s">
        <v>606</v>
      </c>
      <c r="B7671" s="1" t="s">
        <v>2733</v>
      </c>
      <c r="C7671" s="1" t="s">
        <v>238</v>
      </c>
      <c r="D7671" s="3">
        <f t="shared" si="1156"/>
        <v>7626</v>
      </c>
      <c r="E7671" s="2">
        <f t="shared" si="1157"/>
        <v>41821</v>
      </c>
      <c r="F7671" s="2">
        <f t="shared" si="1158"/>
        <v>41973</v>
      </c>
    </row>
    <row r="7672" spans="1:6" x14ac:dyDescent="0.25">
      <c r="A7672" s="1" t="s">
        <v>606</v>
      </c>
      <c r="B7672" s="1" t="s">
        <v>2733</v>
      </c>
      <c r="C7672" s="1" t="s">
        <v>239</v>
      </c>
      <c r="D7672" s="3">
        <f t="shared" si="1156"/>
        <v>7626</v>
      </c>
      <c r="E7672" s="2">
        <f t="shared" si="1157"/>
        <v>41821</v>
      </c>
      <c r="F7672" s="2">
        <f t="shared" si="1158"/>
        <v>41973</v>
      </c>
    </row>
    <row r="7673" spans="1:6" x14ac:dyDescent="0.25">
      <c r="A7673" s="1" t="s">
        <v>606</v>
      </c>
      <c r="B7673" s="1" t="s">
        <v>2769</v>
      </c>
      <c r="C7673" s="1" t="s">
        <v>8</v>
      </c>
      <c r="D7673" s="3">
        <f>VALUE("7636")</f>
        <v>7636</v>
      </c>
      <c r="E7673" s="2">
        <f t="shared" si="1157"/>
        <v>41821</v>
      </c>
      <c r="F7673" s="2">
        <f>DATEVALUE("31-10-2014")</f>
        <v>41943</v>
      </c>
    </row>
    <row r="7674" spans="1:6" x14ac:dyDescent="0.25">
      <c r="A7674" s="1" t="s">
        <v>606</v>
      </c>
      <c r="B7674" s="1" t="s">
        <v>2769</v>
      </c>
      <c r="C7674" s="1" t="s">
        <v>12</v>
      </c>
      <c r="D7674" s="3">
        <f>VALUE("7636")</f>
        <v>7636</v>
      </c>
      <c r="E7674" s="2">
        <f t="shared" si="1157"/>
        <v>41821</v>
      </c>
      <c r="F7674" s="2">
        <f>DATEVALUE("31-10-2014")</f>
        <v>41943</v>
      </c>
    </row>
    <row r="7675" spans="1:6" x14ac:dyDescent="0.25">
      <c r="A7675" s="1" t="s">
        <v>606</v>
      </c>
      <c r="B7675" s="1" t="s">
        <v>2769</v>
      </c>
      <c r="C7675" s="1" t="s">
        <v>172</v>
      </c>
      <c r="D7675" s="3">
        <f>VALUE("7636")</f>
        <v>7636</v>
      </c>
      <c r="E7675" s="2">
        <f t="shared" si="1157"/>
        <v>41821</v>
      </c>
      <c r="F7675" s="2">
        <f>DATEVALUE("31-10-2014")</f>
        <v>41943</v>
      </c>
    </row>
    <row r="7676" spans="1:6" x14ac:dyDescent="0.25">
      <c r="A7676" s="1" t="s">
        <v>606</v>
      </c>
      <c r="B7676" s="1" t="s">
        <v>2769</v>
      </c>
      <c r="C7676" s="1" t="s">
        <v>36</v>
      </c>
      <c r="D7676" s="3">
        <f>VALUE("7636")</f>
        <v>7636</v>
      </c>
      <c r="E7676" s="2">
        <f t="shared" si="1157"/>
        <v>41821</v>
      </c>
      <c r="F7676" s="2">
        <f>DATEVALUE("31-10-2014")</f>
        <v>41943</v>
      </c>
    </row>
    <row r="7677" spans="1:6" x14ac:dyDescent="0.25">
      <c r="A7677" s="1" t="s">
        <v>606</v>
      </c>
      <c r="B7677" s="1" t="s">
        <v>2768</v>
      </c>
      <c r="C7677" s="1" t="s">
        <v>7</v>
      </c>
      <c r="D7677" s="3">
        <f t="shared" ref="D7677:D7684" si="1159">VALUE("7631")</f>
        <v>7631</v>
      </c>
      <c r="E7677" s="2">
        <f t="shared" ref="E7677:E7685" si="1160">DATEVALUE("1-5-2014")</f>
        <v>41760</v>
      </c>
      <c r="F7677" s="2">
        <f t="shared" ref="F7677:F7685" si="1161">DATEVALUE("31-8-2014")</f>
        <v>41882</v>
      </c>
    </row>
    <row r="7678" spans="1:6" x14ac:dyDescent="0.25">
      <c r="A7678" s="1" t="s">
        <v>606</v>
      </c>
      <c r="B7678" s="1" t="s">
        <v>2768</v>
      </c>
      <c r="C7678" s="1" t="s">
        <v>8</v>
      </c>
      <c r="D7678" s="3">
        <f t="shared" si="1159"/>
        <v>7631</v>
      </c>
      <c r="E7678" s="2">
        <f t="shared" si="1160"/>
        <v>41760</v>
      </c>
      <c r="F7678" s="2">
        <f t="shared" si="1161"/>
        <v>41882</v>
      </c>
    </row>
    <row r="7679" spans="1:6" x14ac:dyDescent="0.25">
      <c r="A7679" s="1" t="s">
        <v>606</v>
      </c>
      <c r="B7679" s="1" t="s">
        <v>2768</v>
      </c>
      <c r="C7679" s="1" t="s">
        <v>17</v>
      </c>
      <c r="D7679" s="3">
        <f t="shared" si="1159"/>
        <v>7631</v>
      </c>
      <c r="E7679" s="2">
        <f t="shared" si="1160"/>
        <v>41760</v>
      </c>
      <c r="F7679" s="2">
        <f t="shared" si="1161"/>
        <v>41882</v>
      </c>
    </row>
    <row r="7680" spans="1:6" x14ac:dyDescent="0.25">
      <c r="A7680" s="1" t="s">
        <v>606</v>
      </c>
      <c r="B7680" s="1" t="s">
        <v>2768</v>
      </c>
      <c r="C7680" s="1" t="s">
        <v>257</v>
      </c>
      <c r="D7680" s="3">
        <f t="shared" si="1159"/>
        <v>7631</v>
      </c>
      <c r="E7680" s="2">
        <f t="shared" si="1160"/>
        <v>41760</v>
      </c>
      <c r="F7680" s="2">
        <f t="shared" si="1161"/>
        <v>41882</v>
      </c>
    </row>
    <row r="7681" spans="1:6" x14ac:dyDescent="0.25">
      <c r="A7681" s="1" t="s">
        <v>606</v>
      </c>
      <c r="B7681" s="1" t="s">
        <v>2768</v>
      </c>
      <c r="C7681" s="1" t="s">
        <v>92</v>
      </c>
      <c r="D7681" s="3">
        <f t="shared" si="1159"/>
        <v>7631</v>
      </c>
      <c r="E7681" s="2">
        <f t="shared" si="1160"/>
        <v>41760</v>
      </c>
      <c r="F7681" s="2">
        <f t="shared" si="1161"/>
        <v>41882</v>
      </c>
    </row>
    <row r="7682" spans="1:6" x14ac:dyDescent="0.25">
      <c r="A7682" s="1" t="s">
        <v>606</v>
      </c>
      <c r="B7682" s="1" t="s">
        <v>2768</v>
      </c>
      <c r="C7682" s="1" t="s">
        <v>654</v>
      </c>
      <c r="D7682" s="3">
        <f t="shared" si="1159"/>
        <v>7631</v>
      </c>
      <c r="E7682" s="2">
        <f t="shared" si="1160"/>
        <v>41760</v>
      </c>
      <c r="F7682" s="2">
        <f t="shared" si="1161"/>
        <v>41882</v>
      </c>
    </row>
    <row r="7683" spans="1:6" x14ac:dyDescent="0.25">
      <c r="A7683" s="1" t="s">
        <v>606</v>
      </c>
      <c r="B7683" s="1" t="s">
        <v>2768</v>
      </c>
      <c r="C7683" s="1" t="s">
        <v>212</v>
      </c>
      <c r="D7683" s="3">
        <f t="shared" si="1159"/>
        <v>7631</v>
      </c>
      <c r="E7683" s="2">
        <f t="shared" si="1160"/>
        <v>41760</v>
      </c>
      <c r="F7683" s="2">
        <f t="shared" si="1161"/>
        <v>41882</v>
      </c>
    </row>
    <row r="7684" spans="1:6" x14ac:dyDescent="0.25">
      <c r="A7684" s="1" t="s">
        <v>606</v>
      </c>
      <c r="B7684" s="1" t="s">
        <v>2768</v>
      </c>
      <c r="C7684" s="1" t="s">
        <v>36</v>
      </c>
      <c r="D7684" s="3">
        <f t="shared" si="1159"/>
        <v>7631</v>
      </c>
      <c r="E7684" s="2">
        <f t="shared" si="1160"/>
        <v>41760</v>
      </c>
      <c r="F7684" s="2">
        <f t="shared" si="1161"/>
        <v>41882</v>
      </c>
    </row>
    <row r="7685" spans="1:6" x14ac:dyDescent="0.25">
      <c r="A7685" s="1" t="s">
        <v>606</v>
      </c>
      <c r="B7685" s="1" t="s">
        <v>2770</v>
      </c>
      <c r="C7685" s="1" t="s">
        <v>45</v>
      </c>
      <c r="D7685" s="3">
        <f>VALUE("7637")</f>
        <v>7637</v>
      </c>
      <c r="E7685" s="2">
        <f t="shared" si="1160"/>
        <v>41760</v>
      </c>
      <c r="F7685" s="2">
        <f t="shared" si="1161"/>
        <v>41882</v>
      </c>
    </row>
    <row r="7686" spans="1:6" x14ac:dyDescent="0.25">
      <c r="A7686" s="1" t="s">
        <v>606</v>
      </c>
      <c r="B7686" s="1" t="s">
        <v>2732</v>
      </c>
      <c r="C7686" s="1" t="s">
        <v>7</v>
      </c>
      <c r="D7686" s="3">
        <f>VALUE("7516")</f>
        <v>7516</v>
      </c>
      <c r="E7686" s="2">
        <f>DATEVALUE("1-11-2013")</f>
        <v>41579</v>
      </c>
      <c r="F7686" s="2">
        <f>DATEVALUE("30-9-2014")</f>
        <v>41912</v>
      </c>
    </row>
    <row r="7687" spans="1:6" x14ac:dyDescent="0.25">
      <c r="A7687" s="1" t="s">
        <v>606</v>
      </c>
      <c r="B7687" s="1" t="s">
        <v>2732</v>
      </c>
      <c r="C7687" s="1" t="s">
        <v>599</v>
      </c>
      <c r="D7687" s="3">
        <f>VALUE("7516")</f>
        <v>7516</v>
      </c>
      <c r="E7687" s="2">
        <f>DATEVALUE("1-11-2013")</f>
        <v>41579</v>
      </c>
      <c r="F7687" s="2">
        <f>DATEVALUE("30-9-2014")</f>
        <v>41912</v>
      </c>
    </row>
    <row r="7688" spans="1:6" x14ac:dyDescent="0.25">
      <c r="A7688" s="1" t="s">
        <v>606</v>
      </c>
      <c r="B7688" s="1" t="s">
        <v>2732</v>
      </c>
      <c r="C7688" s="1" t="s">
        <v>13</v>
      </c>
      <c r="D7688" s="3">
        <f>VALUE("7516")</f>
        <v>7516</v>
      </c>
      <c r="E7688" s="2">
        <f>DATEVALUE("1-11-2013")</f>
        <v>41579</v>
      </c>
      <c r="F7688" s="2">
        <f>DATEVALUE("30-9-2014")</f>
        <v>41912</v>
      </c>
    </row>
    <row r="7689" spans="1:6" x14ac:dyDescent="0.25">
      <c r="A7689" s="1" t="s">
        <v>606</v>
      </c>
      <c r="B7689" s="1" t="s">
        <v>2732</v>
      </c>
      <c r="C7689" s="1" t="s">
        <v>212</v>
      </c>
      <c r="D7689" s="3">
        <f>VALUE("7516")</f>
        <v>7516</v>
      </c>
      <c r="E7689" s="2">
        <f>DATEVALUE("1-11-2013")</f>
        <v>41579</v>
      </c>
      <c r="F7689" s="2">
        <f>DATEVALUE("30-9-2014")</f>
        <v>41912</v>
      </c>
    </row>
    <row r="7690" spans="1:6" x14ac:dyDescent="0.25">
      <c r="A7690" s="1" t="s">
        <v>606</v>
      </c>
      <c r="B7690" s="1" t="s">
        <v>2732</v>
      </c>
      <c r="C7690" s="1" t="s">
        <v>240</v>
      </c>
      <c r="D7690" s="3">
        <f>VALUE("7516")</f>
        <v>7516</v>
      </c>
      <c r="E7690" s="2">
        <f>DATEVALUE("1-11-2013")</f>
        <v>41579</v>
      </c>
      <c r="F7690" s="2">
        <f>DATEVALUE("30-9-2014")</f>
        <v>41912</v>
      </c>
    </row>
    <row r="7691" spans="1:6" x14ac:dyDescent="0.25">
      <c r="A7691" s="1" t="s">
        <v>606</v>
      </c>
      <c r="B7691" s="1" t="s">
        <v>2739</v>
      </c>
      <c r="C7691" s="1" t="s">
        <v>7</v>
      </c>
      <c r="D7691" s="3">
        <f t="shared" ref="D7691:D7706" si="1162">VALUE("7548")</f>
        <v>7548</v>
      </c>
      <c r="E7691" s="2">
        <f t="shared" ref="E7691:E7706" si="1163">DATEVALUE("1-10-2013")</f>
        <v>41548</v>
      </c>
      <c r="F7691" s="2">
        <f t="shared" ref="F7691:F7706" si="1164">DATEVALUE("28-2-2014")</f>
        <v>41698</v>
      </c>
    </row>
    <row r="7692" spans="1:6" x14ac:dyDescent="0.25">
      <c r="A7692" s="1" t="s">
        <v>606</v>
      </c>
      <c r="B7692" s="1" t="s">
        <v>2739</v>
      </c>
      <c r="C7692" s="1" t="s">
        <v>39</v>
      </c>
      <c r="D7692" s="3">
        <f t="shared" si="1162"/>
        <v>7548</v>
      </c>
      <c r="E7692" s="2">
        <f t="shared" si="1163"/>
        <v>41548</v>
      </c>
      <c r="F7692" s="2">
        <f t="shared" si="1164"/>
        <v>41698</v>
      </c>
    </row>
    <row r="7693" spans="1:6" x14ac:dyDescent="0.25">
      <c r="A7693" s="1" t="s">
        <v>606</v>
      </c>
      <c r="B7693" s="1" t="s">
        <v>2739</v>
      </c>
      <c r="C7693" s="1" t="s">
        <v>8</v>
      </c>
      <c r="D7693" s="3">
        <f t="shared" si="1162"/>
        <v>7548</v>
      </c>
      <c r="E7693" s="2">
        <f t="shared" si="1163"/>
        <v>41548</v>
      </c>
      <c r="F7693" s="2">
        <f t="shared" si="1164"/>
        <v>41698</v>
      </c>
    </row>
    <row r="7694" spans="1:6" x14ac:dyDescent="0.25">
      <c r="A7694" s="1" t="s">
        <v>606</v>
      </c>
      <c r="B7694" s="1" t="s">
        <v>2739</v>
      </c>
      <c r="C7694" s="1" t="s">
        <v>43</v>
      </c>
      <c r="D7694" s="3">
        <f t="shared" si="1162"/>
        <v>7548</v>
      </c>
      <c r="E7694" s="2">
        <f t="shared" si="1163"/>
        <v>41548</v>
      </c>
      <c r="F7694" s="2">
        <f t="shared" si="1164"/>
        <v>41698</v>
      </c>
    </row>
    <row r="7695" spans="1:6" x14ac:dyDescent="0.25">
      <c r="A7695" s="1" t="s">
        <v>606</v>
      </c>
      <c r="B7695" s="1" t="s">
        <v>2739</v>
      </c>
      <c r="C7695" s="1" t="s">
        <v>599</v>
      </c>
      <c r="D7695" s="3">
        <f t="shared" si="1162"/>
        <v>7548</v>
      </c>
      <c r="E7695" s="2">
        <f t="shared" si="1163"/>
        <v>41548</v>
      </c>
      <c r="F7695" s="2">
        <f t="shared" si="1164"/>
        <v>41698</v>
      </c>
    </row>
    <row r="7696" spans="1:6" x14ac:dyDescent="0.25">
      <c r="A7696" s="1" t="s">
        <v>606</v>
      </c>
      <c r="B7696" s="1" t="s">
        <v>2739</v>
      </c>
      <c r="C7696" s="1" t="s">
        <v>45</v>
      </c>
      <c r="D7696" s="3">
        <f t="shared" si="1162"/>
        <v>7548</v>
      </c>
      <c r="E7696" s="2">
        <f t="shared" si="1163"/>
        <v>41548</v>
      </c>
      <c r="F7696" s="2">
        <f t="shared" si="1164"/>
        <v>41698</v>
      </c>
    </row>
    <row r="7697" spans="1:6" x14ac:dyDescent="0.25">
      <c r="A7697" s="1" t="s">
        <v>606</v>
      </c>
      <c r="B7697" s="1" t="s">
        <v>2739</v>
      </c>
      <c r="C7697" s="1" t="s">
        <v>17</v>
      </c>
      <c r="D7697" s="3">
        <f t="shared" si="1162"/>
        <v>7548</v>
      </c>
      <c r="E7697" s="2">
        <f t="shared" si="1163"/>
        <v>41548</v>
      </c>
      <c r="F7697" s="2">
        <f t="shared" si="1164"/>
        <v>41698</v>
      </c>
    </row>
    <row r="7698" spans="1:6" x14ac:dyDescent="0.25">
      <c r="A7698" s="1" t="s">
        <v>606</v>
      </c>
      <c r="B7698" s="1" t="s">
        <v>2739</v>
      </c>
      <c r="C7698" s="1" t="s">
        <v>227</v>
      </c>
      <c r="D7698" s="3">
        <f t="shared" si="1162"/>
        <v>7548</v>
      </c>
      <c r="E7698" s="2">
        <f t="shared" si="1163"/>
        <v>41548</v>
      </c>
      <c r="F7698" s="2">
        <f t="shared" si="1164"/>
        <v>41698</v>
      </c>
    </row>
    <row r="7699" spans="1:6" x14ac:dyDescent="0.25">
      <c r="A7699" s="1" t="s">
        <v>606</v>
      </c>
      <c r="B7699" s="1" t="s">
        <v>2739</v>
      </c>
      <c r="C7699" s="1" t="s">
        <v>228</v>
      </c>
      <c r="D7699" s="3">
        <f t="shared" si="1162"/>
        <v>7548</v>
      </c>
      <c r="E7699" s="2">
        <f t="shared" si="1163"/>
        <v>41548</v>
      </c>
      <c r="F7699" s="2">
        <f t="shared" si="1164"/>
        <v>41698</v>
      </c>
    </row>
    <row r="7700" spans="1:6" x14ac:dyDescent="0.25">
      <c r="A7700" s="1" t="s">
        <v>606</v>
      </c>
      <c r="B7700" s="1" t="s">
        <v>2739</v>
      </c>
      <c r="C7700" s="1" t="s">
        <v>28</v>
      </c>
      <c r="D7700" s="3">
        <f t="shared" si="1162"/>
        <v>7548</v>
      </c>
      <c r="E7700" s="2">
        <f t="shared" si="1163"/>
        <v>41548</v>
      </c>
      <c r="F7700" s="2">
        <f t="shared" si="1164"/>
        <v>41698</v>
      </c>
    </row>
    <row r="7701" spans="1:6" x14ac:dyDescent="0.25">
      <c r="A7701" s="1" t="s">
        <v>606</v>
      </c>
      <c r="B7701" s="1" t="s">
        <v>2739</v>
      </c>
      <c r="C7701" s="1" t="s">
        <v>29</v>
      </c>
      <c r="D7701" s="3">
        <f t="shared" si="1162"/>
        <v>7548</v>
      </c>
      <c r="E7701" s="2">
        <f t="shared" si="1163"/>
        <v>41548</v>
      </c>
      <c r="F7701" s="2">
        <f t="shared" si="1164"/>
        <v>41698</v>
      </c>
    </row>
    <row r="7702" spans="1:6" x14ac:dyDescent="0.25">
      <c r="A7702" s="1" t="s">
        <v>606</v>
      </c>
      <c r="B7702" s="1" t="s">
        <v>2739</v>
      </c>
      <c r="C7702" s="1" t="s">
        <v>234</v>
      </c>
      <c r="D7702" s="3">
        <f t="shared" si="1162"/>
        <v>7548</v>
      </c>
      <c r="E7702" s="2">
        <f t="shared" si="1163"/>
        <v>41548</v>
      </c>
      <c r="F7702" s="2">
        <f t="shared" si="1164"/>
        <v>41698</v>
      </c>
    </row>
    <row r="7703" spans="1:6" x14ac:dyDescent="0.25">
      <c r="A7703" s="1" t="s">
        <v>606</v>
      </c>
      <c r="B7703" s="1" t="s">
        <v>2739</v>
      </c>
      <c r="C7703" s="1" t="s">
        <v>30</v>
      </c>
      <c r="D7703" s="3">
        <f t="shared" si="1162"/>
        <v>7548</v>
      </c>
      <c r="E7703" s="2">
        <f t="shared" si="1163"/>
        <v>41548</v>
      </c>
      <c r="F7703" s="2">
        <f t="shared" si="1164"/>
        <v>41698</v>
      </c>
    </row>
    <row r="7704" spans="1:6" x14ac:dyDescent="0.25">
      <c r="A7704" s="1" t="s">
        <v>606</v>
      </c>
      <c r="B7704" s="1" t="s">
        <v>2739</v>
      </c>
      <c r="C7704" s="1" t="s">
        <v>238</v>
      </c>
      <c r="D7704" s="3">
        <f t="shared" si="1162"/>
        <v>7548</v>
      </c>
      <c r="E7704" s="2">
        <f t="shared" si="1163"/>
        <v>41548</v>
      </c>
      <c r="F7704" s="2">
        <f t="shared" si="1164"/>
        <v>41698</v>
      </c>
    </row>
    <row r="7705" spans="1:6" x14ac:dyDescent="0.25">
      <c r="A7705" s="1" t="s">
        <v>606</v>
      </c>
      <c r="B7705" s="1" t="s">
        <v>2739</v>
      </c>
      <c r="C7705" s="1" t="s">
        <v>57</v>
      </c>
      <c r="D7705" s="3">
        <f t="shared" si="1162"/>
        <v>7548</v>
      </c>
      <c r="E7705" s="2">
        <f t="shared" si="1163"/>
        <v>41548</v>
      </c>
      <c r="F7705" s="2">
        <f t="shared" si="1164"/>
        <v>41698</v>
      </c>
    </row>
    <row r="7706" spans="1:6" x14ac:dyDescent="0.25">
      <c r="A7706" s="1" t="s">
        <v>606</v>
      </c>
      <c r="B7706" s="1" t="s">
        <v>2739</v>
      </c>
      <c r="C7706" s="1" t="s">
        <v>36</v>
      </c>
      <c r="D7706" s="3">
        <f t="shared" si="1162"/>
        <v>7548</v>
      </c>
      <c r="E7706" s="2">
        <f t="shared" si="1163"/>
        <v>41548</v>
      </c>
      <c r="F7706" s="2">
        <f t="shared" si="1164"/>
        <v>41698</v>
      </c>
    </row>
    <row r="7707" spans="1:6" x14ac:dyDescent="0.25">
      <c r="A7707" s="1" t="s">
        <v>606</v>
      </c>
      <c r="B7707" s="1" t="s">
        <v>2737</v>
      </c>
      <c r="C7707" s="1" t="s">
        <v>8</v>
      </c>
      <c r="D7707" s="3">
        <f t="shared" ref="D7707:D7714" si="1165">VALUE("7539")</f>
        <v>7539</v>
      </c>
      <c r="E7707" s="2">
        <f t="shared" ref="E7707:E7715" si="1166">DATEVALUE("1-9-2013")</f>
        <v>41518</v>
      </c>
      <c r="F7707" s="2">
        <f t="shared" ref="F7707:F7714" si="1167">DATEVALUE("31-5-2014")</f>
        <v>41790</v>
      </c>
    </row>
    <row r="7708" spans="1:6" x14ac:dyDescent="0.25">
      <c r="A7708" s="1" t="s">
        <v>606</v>
      </c>
      <c r="B7708" s="1" t="s">
        <v>2737</v>
      </c>
      <c r="C7708" s="1" t="s">
        <v>256</v>
      </c>
      <c r="D7708" s="3">
        <f t="shared" si="1165"/>
        <v>7539</v>
      </c>
      <c r="E7708" s="2">
        <f t="shared" si="1166"/>
        <v>41518</v>
      </c>
      <c r="F7708" s="2">
        <f t="shared" si="1167"/>
        <v>41790</v>
      </c>
    </row>
    <row r="7709" spans="1:6" x14ac:dyDescent="0.25">
      <c r="A7709" s="1" t="s">
        <v>606</v>
      </c>
      <c r="B7709" s="1" t="s">
        <v>2737</v>
      </c>
      <c r="C7709" s="1" t="s">
        <v>43</v>
      </c>
      <c r="D7709" s="3">
        <f t="shared" si="1165"/>
        <v>7539</v>
      </c>
      <c r="E7709" s="2">
        <f t="shared" si="1166"/>
        <v>41518</v>
      </c>
      <c r="F7709" s="2">
        <f t="shared" si="1167"/>
        <v>41790</v>
      </c>
    </row>
    <row r="7710" spans="1:6" x14ac:dyDescent="0.25">
      <c r="A7710" s="1" t="s">
        <v>606</v>
      </c>
      <c r="B7710" s="1" t="s">
        <v>2737</v>
      </c>
      <c r="C7710" s="1" t="s">
        <v>97</v>
      </c>
      <c r="D7710" s="3">
        <f t="shared" si="1165"/>
        <v>7539</v>
      </c>
      <c r="E7710" s="2">
        <f t="shared" si="1166"/>
        <v>41518</v>
      </c>
      <c r="F7710" s="2">
        <f t="shared" si="1167"/>
        <v>41790</v>
      </c>
    </row>
    <row r="7711" spans="1:6" x14ac:dyDescent="0.25">
      <c r="A7711" s="1" t="s">
        <v>606</v>
      </c>
      <c r="B7711" s="1" t="s">
        <v>2737</v>
      </c>
      <c r="C7711" s="1" t="s">
        <v>27</v>
      </c>
      <c r="D7711" s="3">
        <f t="shared" si="1165"/>
        <v>7539</v>
      </c>
      <c r="E7711" s="2">
        <f t="shared" si="1166"/>
        <v>41518</v>
      </c>
      <c r="F7711" s="2">
        <f t="shared" si="1167"/>
        <v>41790</v>
      </c>
    </row>
    <row r="7712" spans="1:6" x14ac:dyDescent="0.25">
      <c r="A7712" s="1" t="s">
        <v>606</v>
      </c>
      <c r="B7712" s="1" t="s">
        <v>2737</v>
      </c>
      <c r="C7712" s="1" t="s">
        <v>262</v>
      </c>
      <c r="D7712" s="3">
        <f t="shared" si="1165"/>
        <v>7539</v>
      </c>
      <c r="E7712" s="2">
        <f t="shared" si="1166"/>
        <v>41518</v>
      </c>
      <c r="F7712" s="2">
        <f t="shared" si="1167"/>
        <v>41790</v>
      </c>
    </row>
    <row r="7713" spans="1:6" x14ac:dyDescent="0.25">
      <c r="A7713" s="1" t="s">
        <v>606</v>
      </c>
      <c r="B7713" s="1" t="s">
        <v>2737</v>
      </c>
      <c r="C7713" s="1" t="s">
        <v>73</v>
      </c>
      <c r="D7713" s="3">
        <f t="shared" si="1165"/>
        <v>7539</v>
      </c>
      <c r="E7713" s="2">
        <f t="shared" si="1166"/>
        <v>41518</v>
      </c>
      <c r="F7713" s="2">
        <f t="shared" si="1167"/>
        <v>41790</v>
      </c>
    </row>
    <row r="7714" spans="1:6" x14ac:dyDescent="0.25">
      <c r="A7714" s="1" t="s">
        <v>606</v>
      </c>
      <c r="B7714" s="1" t="s">
        <v>2737</v>
      </c>
      <c r="C7714" s="1" t="s">
        <v>36</v>
      </c>
      <c r="D7714" s="3">
        <f t="shared" si="1165"/>
        <v>7539</v>
      </c>
      <c r="E7714" s="2">
        <f t="shared" si="1166"/>
        <v>41518</v>
      </c>
      <c r="F7714" s="2">
        <f t="shared" si="1167"/>
        <v>41790</v>
      </c>
    </row>
    <row r="7715" spans="1:6" x14ac:dyDescent="0.25">
      <c r="A7715" s="1" t="s">
        <v>606</v>
      </c>
      <c r="B7715" s="1" t="s">
        <v>2740</v>
      </c>
      <c r="C7715" s="1" t="s">
        <v>45</v>
      </c>
      <c r="D7715" s="3">
        <f>VALUE("7549")</f>
        <v>7549</v>
      </c>
      <c r="E7715" s="2">
        <f t="shared" si="1166"/>
        <v>41518</v>
      </c>
      <c r="F7715" s="2">
        <f>DATEVALUE("30-11-2013")</f>
        <v>41608</v>
      </c>
    </row>
    <row r="7716" spans="1:6" x14ac:dyDescent="0.25">
      <c r="A7716" s="1" t="s">
        <v>606</v>
      </c>
      <c r="B7716" s="1" t="s">
        <v>2733</v>
      </c>
      <c r="C7716" s="1" t="s">
        <v>7</v>
      </c>
      <c r="D7716" s="3">
        <f t="shared" ref="D7716:D7732" si="1168">VALUE("7520")</f>
        <v>7520</v>
      </c>
      <c r="E7716" s="2">
        <f t="shared" ref="E7716:E7732" si="1169">DATEVALUE("1-7-2013")</f>
        <v>41456</v>
      </c>
      <c r="F7716" s="2">
        <f t="shared" ref="F7716:F7732" si="1170">DATEVALUE("31-12-2013")</f>
        <v>41639</v>
      </c>
    </row>
    <row r="7717" spans="1:6" x14ac:dyDescent="0.25">
      <c r="A7717" s="1" t="s">
        <v>606</v>
      </c>
      <c r="B7717" s="1" t="s">
        <v>2733</v>
      </c>
      <c r="C7717" s="1" t="s">
        <v>2155</v>
      </c>
      <c r="D7717" s="3">
        <f t="shared" si="1168"/>
        <v>7520</v>
      </c>
      <c r="E7717" s="2">
        <f t="shared" si="1169"/>
        <v>41456</v>
      </c>
      <c r="F7717" s="2">
        <f t="shared" si="1170"/>
        <v>41639</v>
      </c>
    </row>
    <row r="7718" spans="1:6" x14ac:dyDescent="0.25">
      <c r="A7718" s="1" t="s">
        <v>606</v>
      </c>
      <c r="B7718" s="1" t="s">
        <v>2733</v>
      </c>
      <c r="C7718" s="1" t="s">
        <v>222</v>
      </c>
      <c r="D7718" s="3">
        <f t="shared" si="1168"/>
        <v>7520</v>
      </c>
      <c r="E7718" s="2">
        <f t="shared" si="1169"/>
        <v>41456</v>
      </c>
      <c r="F7718" s="2">
        <f t="shared" si="1170"/>
        <v>41639</v>
      </c>
    </row>
    <row r="7719" spans="1:6" x14ac:dyDescent="0.25">
      <c r="A7719" s="1" t="s">
        <v>606</v>
      </c>
      <c r="B7719" s="1" t="s">
        <v>2733</v>
      </c>
      <c r="C7719" s="1" t="s">
        <v>212</v>
      </c>
      <c r="D7719" s="3">
        <f t="shared" si="1168"/>
        <v>7520</v>
      </c>
      <c r="E7719" s="2">
        <f t="shared" si="1169"/>
        <v>41456</v>
      </c>
      <c r="F7719" s="2">
        <f t="shared" si="1170"/>
        <v>41639</v>
      </c>
    </row>
    <row r="7720" spans="1:6" x14ac:dyDescent="0.25">
      <c r="A7720" s="1" t="s">
        <v>606</v>
      </c>
      <c r="B7720" s="1" t="s">
        <v>2733</v>
      </c>
      <c r="C7720" s="1" t="s">
        <v>227</v>
      </c>
      <c r="D7720" s="3">
        <f t="shared" si="1168"/>
        <v>7520</v>
      </c>
      <c r="E7720" s="2">
        <f t="shared" si="1169"/>
        <v>41456</v>
      </c>
      <c r="F7720" s="2">
        <f t="shared" si="1170"/>
        <v>41639</v>
      </c>
    </row>
    <row r="7721" spans="1:6" x14ac:dyDescent="0.25">
      <c r="A7721" s="1" t="s">
        <v>606</v>
      </c>
      <c r="B7721" s="1" t="s">
        <v>2733</v>
      </c>
      <c r="C7721" s="1" t="s">
        <v>228</v>
      </c>
      <c r="D7721" s="3">
        <f t="shared" si="1168"/>
        <v>7520</v>
      </c>
      <c r="E7721" s="2">
        <f t="shared" si="1169"/>
        <v>41456</v>
      </c>
      <c r="F7721" s="2">
        <f t="shared" si="1170"/>
        <v>41639</v>
      </c>
    </row>
    <row r="7722" spans="1:6" x14ac:dyDescent="0.25">
      <c r="A7722" s="1" t="s">
        <v>606</v>
      </c>
      <c r="B7722" s="1" t="s">
        <v>2733</v>
      </c>
      <c r="C7722" s="1" t="s">
        <v>28</v>
      </c>
      <c r="D7722" s="3">
        <f t="shared" si="1168"/>
        <v>7520</v>
      </c>
      <c r="E7722" s="2">
        <f t="shared" si="1169"/>
        <v>41456</v>
      </c>
      <c r="F7722" s="2">
        <f t="shared" si="1170"/>
        <v>41639</v>
      </c>
    </row>
    <row r="7723" spans="1:6" x14ac:dyDescent="0.25">
      <c r="A7723" s="1" t="s">
        <v>606</v>
      </c>
      <c r="B7723" s="1" t="s">
        <v>2733</v>
      </c>
      <c r="C7723" s="1" t="s">
        <v>229</v>
      </c>
      <c r="D7723" s="3">
        <f t="shared" si="1168"/>
        <v>7520</v>
      </c>
      <c r="E7723" s="2">
        <f t="shared" si="1169"/>
        <v>41456</v>
      </c>
      <c r="F7723" s="2">
        <f t="shared" si="1170"/>
        <v>41639</v>
      </c>
    </row>
    <row r="7724" spans="1:6" x14ac:dyDescent="0.25">
      <c r="A7724" s="1" t="s">
        <v>606</v>
      </c>
      <c r="B7724" s="1" t="s">
        <v>2733</v>
      </c>
      <c r="C7724" s="1" t="s">
        <v>29</v>
      </c>
      <c r="D7724" s="3">
        <f t="shared" si="1168"/>
        <v>7520</v>
      </c>
      <c r="E7724" s="2">
        <f t="shared" si="1169"/>
        <v>41456</v>
      </c>
      <c r="F7724" s="2">
        <f t="shared" si="1170"/>
        <v>41639</v>
      </c>
    </row>
    <row r="7725" spans="1:6" x14ac:dyDescent="0.25">
      <c r="A7725" s="1" t="s">
        <v>606</v>
      </c>
      <c r="B7725" s="1" t="s">
        <v>2733</v>
      </c>
      <c r="C7725" s="1" t="s">
        <v>230</v>
      </c>
      <c r="D7725" s="3">
        <f t="shared" si="1168"/>
        <v>7520</v>
      </c>
      <c r="E7725" s="2">
        <f t="shared" si="1169"/>
        <v>41456</v>
      </c>
      <c r="F7725" s="2">
        <f t="shared" si="1170"/>
        <v>41639</v>
      </c>
    </row>
    <row r="7726" spans="1:6" x14ac:dyDescent="0.25">
      <c r="A7726" s="1" t="s">
        <v>606</v>
      </c>
      <c r="B7726" s="1" t="s">
        <v>2733</v>
      </c>
      <c r="C7726" s="1" t="s">
        <v>231</v>
      </c>
      <c r="D7726" s="3">
        <f t="shared" si="1168"/>
        <v>7520</v>
      </c>
      <c r="E7726" s="2">
        <f t="shared" si="1169"/>
        <v>41456</v>
      </c>
      <c r="F7726" s="2">
        <f t="shared" si="1170"/>
        <v>41639</v>
      </c>
    </row>
    <row r="7727" spans="1:6" x14ac:dyDescent="0.25">
      <c r="A7727" s="1" t="s">
        <v>606</v>
      </c>
      <c r="B7727" s="1" t="s">
        <v>2733</v>
      </c>
      <c r="C7727" s="1" t="s">
        <v>233</v>
      </c>
      <c r="D7727" s="3">
        <f t="shared" si="1168"/>
        <v>7520</v>
      </c>
      <c r="E7727" s="2">
        <f t="shared" si="1169"/>
        <v>41456</v>
      </c>
      <c r="F7727" s="2">
        <f t="shared" si="1170"/>
        <v>41639</v>
      </c>
    </row>
    <row r="7728" spans="1:6" x14ac:dyDescent="0.25">
      <c r="A7728" s="1" t="s">
        <v>606</v>
      </c>
      <c r="B7728" s="1" t="s">
        <v>2733</v>
      </c>
      <c r="C7728" s="1" t="s">
        <v>234</v>
      </c>
      <c r="D7728" s="3">
        <f t="shared" si="1168"/>
        <v>7520</v>
      </c>
      <c r="E7728" s="2">
        <f t="shared" si="1169"/>
        <v>41456</v>
      </c>
      <c r="F7728" s="2">
        <f t="shared" si="1170"/>
        <v>41639</v>
      </c>
    </row>
    <row r="7729" spans="1:6" x14ac:dyDescent="0.25">
      <c r="A7729" s="1" t="s">
        <v>606</v>
      </c>
      <c r="B7729" s="1" t="s">
        <v>2733</v>
      </c>
      <c r="C7729" s="1" t="s">
        <v>30</v>
      </c>
      <c r="D7729" s="3">
        <f t="shared" si="1168"/>
        <v>7520</v>
      </c>
      <c r="E7729" s="2">
        <f t="shared" si="1169"/>
        <v>41456</v>
      </c>
      <c r="F7729" s="2">
        <f t="shared" si="1170"/>
        <v>41639</v>
      </c>
    </row>
    <row r="7730" spans="1:6" x14ac:dyDescent="0.25">
      <c r="A7730" s="1" t="s">
        <v>606</v>
      </c>
      <c r="B7730" s="1" t="s">
        <v>2733</v>
      </c>
      <c r="C7730" s="1" t="s">
        <v>1839</v>
      </c>
      <c r="D7730" s="3">
        <f t="shared" si="1168"/>
        <v>7520</v>
      </c>
      <c r="E7730" s="2">
        <f t="shared" si="1169"/>
        <v>41456</v>
      </c>
      <c r="F7730" s="2">
        <f t="shared" si="1170"/>
        <v>41639</v>
      </c>
    </row>
    <row r="7731" spans="1:6" x14ac:dyDescent="0.25">
      <c r="A7731" s="1" t="s">
        <v>606</v>
      </c>
      <c r="B7731" s="1" t="s">
        <v>2733</v>
      </c>
      <c r="C7731" s="1" t="s">
        <v>238</v>
      </c>
      <c r="D7731" s="3">
        <f t="shared" si="1168"/>
        <v>7520</v>
      </c>
      <c r="E7731" s="2">
        <f t="shared" si="1169"/>
        <v>41456</v>
      </c>
      <c r="F7731" s="2">
        <f t="shared" si="1170"/>
        <v>41639</v>
      </c>
    </row>
    <row r="7732" spans="1:6" x14ac:dyDescent="0.25">
      <c r="A7732" s="1" t="s">
        <v>606</v>
      </c>
      <c r="B7732" s="1" t="s">
        <v>2733</v>
      </c>
      <c r="C7732" s="1" t="s">
        <v>239</v>
      </c>
      <c r="D7732" s="3">
        <f t="shared" si="1168"/>
        <v>7520</v>
      </c>
      <c r="E7732" s="2">
        <f t="shared" si="1169"/>
        <v>41456</v>
      </c>
      <c r="F7732" s="2">
        <f t="shared" si="1170"/>
        <v>41639</v>
      </c>
    </row>
    <row r="7733" spans="1:6" x14ac:dyDescent="0.25">
      <c r="A7733" s="1" t="s">
        <v>606</v>
      </c>
      <c r="B7733" s="1" t="s">
        <v>2729</v>
      </c>
      <c r="C7733" s="1" t="s">
        <v>7</v>
      </c>
      <c r="D7733" s="3">
        <f>VALUE("7510")</f>
        <v>7510</v>
      </c>
      <c r="E7733" s="2">
        <f t="shared" ref="E7733:E7739" si="1171">DATEVALUE("1-6-2013")</f>
        <v>41426</v>
      </c>
      <c r="F7733" s="2">
        <f>DATEVALUE("30-6-2013")</f>
        <v>41455</v>
      </c>
    </row>
    <row r="7734" spans="1:6" x14ac:dyDescent="0.25">
      <c r="A7734" s="1" t="s">
        <v>606</v>
      </c>
      <c r="B7734" s="1" t="s">
        <v>2729</v>
      </c>
      <c r="C7734" s="1" t="s">
        <v>27</v>
      </c>
      <c r="D7734" s="3">
        <f>VALUE("7510")</f>
        <v>7510</v>
      </c>
      <c r="E7734" s="2">
        <f t="shared" si="1171"/>
        <v>41426</v>
      </c>
      <c r="F7734" s="2">
        <f>DATEVALUE("30-6-2013")</f>
        <v>41455</v>
      </c>
    </row>
    <row r="7735" spans="1:6" x14ac:dyDescent="0.25">
      <c r="A7735" s="1" t="s">
        <v>606</v>
      </c>
      <c r="B7735" s="1" t="s">
        <v>2729</v>
      </c>
      <c r="C7735" s="1" t="s">
        <v>262</v>
      </c>
      <c r="D7735" s="3">
        <f>VALUE("7510")</f>
        <v>7510</v>
      </c>
      <c r="E7735" s="2">
        <f t="shared" si="1171"/>
        <v>41426</v>
      </c>
      <c r="F7735" s="2">
        <f>DATEVALUE("30-6-2013")</f>
        <v>41455</v>
      </c>
    </row>
    <row r="7736" spans="1:6" x14ac:dyDescent="0.25">
      <c r="A7736" s="1" t="s">
        <v>606</v>
      </c>
      <c r="B7736" s="1" t="s">
        <v>2602</v>
      </c>
      <c r="C7736" s="1" t="s">
        <v>8</v>
      </c>
      <c r="D7736" s="3">
        <f>VALUE("7514")</f>
        <v>7514</v>
      </c>
      <c r="E7736" s="2">
        <f t="shared" si="1171"/>
        <v>41426</v>
      </c>
      <c r="F7736" s="2">
        <f>DATEVALUE("31-7-2013")</f>
        <v>41486</v>
      </c>
    </row>
    <row r="7737" spans="1:6" x14ac:dyDescent="0.25">
      <c r="A7737" s="1" t="s">
        <v>606</v>
      </c>
      <c r="B7737" s="1" t="s">
        <v>2602</v>
      </c>
      <c r="C7737" s="1" t="s">
        <v>12</v>
      </c>
      <c r="D7737" s="3">
        <f>VALUE("7514")</f>
        <v>7514</v>
      </c>
      <c r="E7737" s="2">
        <f t="shared" si="1171"/>
        <v>41426</v>
      </c>
      <c r="F7737" s="2">
        <f>DATEVALUE("31-7-2013")</f>
        <v>41486</v>
      </c>
    </row>
    <row r="7738" spans="1:6" x14ac:dyDescent="0.25">
      <c r="A7738" s="1" t="s">
        <v>606</v>
      </c>
      <c r="B7738" s="1" t="s">
        <v>2602</v>
      </c>
      <c r="C7738" s="1" t="s">
        <v>172</v>
      </c>
      <c r="D7738" s="3">
        <f>VALUE("7514")</f>
        <v>7514</v>
      </c>
      <c r="E7738" s="2">
        <f t="shared" si="1171"/>
        <v>41426</v>
      </c>
      <c r="F7738" s="2">
        <f>DATEVALUE("31-7-2013")</f>
        <v>41486</v>
      </c>
    </row>
    <row r="7739" spans="1:6" x14ac:dyDescent="0.25">
      <c r="A7739" s="1" t="s">
        <v>606</v>
      </c>
      <c r="B7739" s="1" t="s">
        <v>2602</v>
      </c>
      <c r="C7739" s="1" t="s">
        <v>36</v>
      </c>
      <c r="D7739" s="3">
        <f>VALUE("7514")</f>
        <v>7514</v>
      </c>
      <c r="E7739" s="2">
        <f t="shared" si="1171"/>
        <v>41426</v>
      </c>
      <c r="F7739" s="2">
        <f>DATEVALUE("31-7-2013")</f>
        <v>41486</v>
      </c>
    </row>
    <row r="7740" spans="1:6" x14ac:dyDescent="0.25">
      <c r="A7740" s="1" t="s">
        <v>606</v>
      </c>
      <c r="B7740" s="1" t="s">
        <v>2061</v>
      </c>
      <c r="C7740" s="1" t="s">
        <v>7</v>
      </c>
      <c r="D7740" s="3">
        <f>VALUE("7432")</f>
        <v>7432</v>
      </c>
      <c r="E7740" s="2">
        <f>DATEVALUE("1-3-2013")</f>
        <v>41334</v>
      </c>
      <c r="F7740" s="2">
        <f>DATEVALUE("31-12-2014")</f>
        <v>42004</v>
      </c>
    </row>
    <row r="7741" spans="1:6" x14ac:dyDescent="0.25">
      <c r="A7741" s="1" t="s">
        <v>606</v>
      </c>
      <c r="B7741" s="1" t="s">
        <v>2061</v>
      </c>
      <c r="C7741" s="1" t="s">
        <v>8</v>
      </c>
      <c r="D7741" s="3">
        <f>VALUE("7432")</f>
        <v>7432</v>
      </c>
      <c r="E7741" s="2">
        <f>DATEVALUE("1-3-2013")</f>
        <v>41334</v>
      </c>
      <c r="F7741" s="2">
        <f>DATEVALUE("31-12-2014")</f>
        <v>42004</v>
      </c>
    </row>
    <row r="7742" spans="1:6" x14ac:dyDescent="0.25">
      <c r="A7742" s="1" t="s">
        <v>606</v>
      </c>
      <c r="B7742" s="1" t="s">
        <v>2699</v>
      </c>
      <c r="C7742" s="1" t="s">
        <v>227</v>
      </c>
      <c r="D7742" s="3">
        <f t="shared" ref="D7742:D7754" si="1172">VALUE("7421")</f>
        <v>7421</v>
      </c>
      <c r="E7742" s="2">
        <f t="shared" ref="E7742:E7754" si="1173">DATEVALUE("1-10-2012")</f>
        <v>41183</v>
      </c>
      <c r="F7742" s="2">
        <f t="shared" ref="F7742:F7754" si="1174">DATEVALUE("31-12-2012")</f>
        <v>41274</v>
      </c>
    </row>
    <row r="7743" spans="1:6" x14ac:dyDescent="0.25">
      <c r="A7743" s="1" t="s">
        <v>606</v>
      </c>
      <c r="B7743" s="1" t="s">
        <v>2699</v>
      </c>
      <c r="C7743" s="1" t="s">
        <v>228</v>
      </c>
      <c r="D7743" s="3">
        <f t="shared" si="1172"/>
        <v>7421</v>
      </c>
      <c r="E7743" s="2">
        <f t="shared" si="1173"/>
        <v>41183</v>
      </c>
      <c r="F7743" s="2">
        <f t="shared" si="1174"/>
        <v>41274</v>
      </c>
    </row>
    <row r="7744" spans="1:6" x14ac:dyDescent="0.25">
      <c r="A7744" s="1" t="s">
        <v>606</v>
      </c>
      <c r="B7744" s="1" t="s">
        <v>2699</v>
      </c>
      <c r="C7744" s="1" t="s">
        <v>28</v>
      </c>
      <c r="D7744" s="3">
        <f t="shared" si="1172"/>
        <v>7421</v>
      </c>
      <c r="E7744" s="2">
        <f t="shared" si="1173"/>
        <v>41183</v>
      </c>
      <c r="F7744" s="2">
        <f t="shared" si="1174"/>
        <v>41274</v>
      </c>
    </row>
    <row r="7745" spans="1:6" x14ac:dyDescent="0.25">
      <c r="A7745" s="1" t="s">
        <v>606</v>
      </c>
      <c r="B7745" s="1" t="s">
        <v>2699</v>
      </c>
      <c r="C7745" s="1" t="s">
        <v>229</v>
      </c>
      <c r="D7745" s="3">
        <f t="shared" si="1172"/>
        <v>7421</v>
      </c>
      <c r="E7745" s="2">
        <f t="shared" si="1173"/>
        <v>41183</v>
      </c>
      <c r="F7745" s="2">
        <f t="shared" si="1174"/>
        <v>41274</v>
      </c>
    </row>
    <row r="7746" spans="1:6" x14ac:dyDescent="0.25">
      <c r="A7746" s="1" t="s">
        <v>606</v>
      </c>
      <c r="B7746" s="1" t="s">
        <v>2699</v>
      </c>
      <c r="C7746" s="1" t="s">
        <v>29</v>
      </c>
      <c r="D7746" s="3">
        <f t="shared" si="1172"/>
        <v>7421</v>
      </c>
      <c r="E7746" s="2">
        <f t="shared" si="1173"/>
        <v>41183</v>
      </c>
      <c r="F7746" s="2">
        <f t="shared" si="1174"/>
        <v>41274</v>
      </c>
    </row>
    <row r="7747" spans="1:6" x14ac:dyDescent="0.25">
      <c r="A7747" s="1" t="s">
        <v>606</v>
      </c>
      <c r="B7747" s="1" t="s">
        <v>2699</v>
      </c>
      <c r="C7747" s="1" t="s">
        <v>230</v>
      </c>
      <c r="D7747" s="3">
        <f t="shared" si="1172"/>
        <v>7421</v>
      </c>
      <c r="E7747" s="2">
        <f t="shared" si="1173"/>
        <v>41183</v>
      </c>
      <c r="F7747" s="2">
        <f t="shared" si="1174"/>
        <v>41274</v>
      </c>
    </row>
    <row r="7748" spans="1:6" x14ac:dyDescent="0.25">
      <c r="A7748" s="1" t="s">
        <v>606</v>
      </c>
      <c r="B7748" s="1" t="s">
        <v>2699</v>
      </c>
      <c r="C7748" s="1" t="s">
        <v>231</v>
      </c>
      <c r="D7748" s="3">
        <f t="shared" si="1172"/>
        <v>7421</v>
      </c>
      <c r="E7748" s="2">
        <f t="shared" si="1173"/>
        <v>41183</v>
      </c>
      <c r="F7748" s="2">
        <f t="shared" si="1174"/>
        <v>41274</v>
      </c>
    </row>
    <row r="7749" spans="1:6" x14ac:dyDescent="0.25">
      <c r="A7749" s="1" t="s">
        <v>606</v>
      </c>
      <c r="B7749" s="1" t="s">
        <v>2699</v>
      </c>
      <c r="C7749" s="1" t="s">
        <v>233</v>
      </c>
      <c r="D7749" s="3">
        <f t="shared" si="1172"/>
        <v>7421</v>
      </c>
      <c r="E7749" s="2">
        <f t="shared" si="1173"/>
        <v>41183</v>
      </c>
      <c r="F7749" s="2">
        <f t="shared" si="1174"/>
        <v>41274</v>
      </c>
    </row>
    <row r="7750" spans="1:6" x14ac:dyDescent="0.25">
      <c r="A7750" s="1" t="s">
        <v>606</v>
      </c>
      <c r="B7750" s="1" t="s">
        <v>2699</v>
      </c>
      <c r="C7750" s="1" t="s">
        <v>234</v>
      </c>
      <c r="D7750" s="3">
        <f t="shared" si="1172"/>
        <v>7421</v>
      </c>
      <c r="E7750" s="2">
        <f t="shared" si="1173"/>
        <v>41183</v>
      </c>
      <c r="F7750" s="2">
        <f t="shared" si="1174"/>
        <v>41274</v>
      </c>
    </row>
    <row r="7751" spans="1:6" x14ac:dyDescent="0.25">
      <c r="A7751" s="1" t="s">
        <v>606</v>
      </c>
      <c r="B7751" s="1" t="s">
        <v>2699</v>
      </c>
      <c r="C7751" s="1" t="s">
        <v>30</v>
      </c>
      <c r="D7751" s="3">
        <f t="shared" si="1172"/>
        <v>7421</v>
      </c>
      <c r="E7751" s="2">
        <f t="shared" si="1173"/>
        <v>41183</v>
      </c>
      <c r="F7751" s="2">
        <f t="shared" si="1174"/>
        <v>41274</v>
      </c>
    </row>
    <row r="7752" spans="1:6" x14ac:dyDescent="0.25">
      <c r="A7752" s="1" t="s">
        <v>606</v>
      </c>
      <c r="B7752" s="1" t="s">
        <v>2699</v>
      </c>
      <c r="C7752" s="1" t="s">
        <v>1839</v>
      </c>
      <c r="D7752" s="3">
        <f t="shared" si="1172"/>
        <v>7421</v>
      </c>
      <c r="E7752" s="2">
        <f t="shared" si="1173"/>
        <v>41183</v>
      </c>
      <c r="F7752" s="2">
        <f t="shared" si="1174"/>
        <v>41274</v>
      </c>
    </row>
    <row r="7753" spans="1:6" x14ac:dyDescent="0.25">
      <c r="A7753" s="1" t="s">
        <v>606</v>
      </c>
      <c r="B7753" s="1" t="s">
        <v>2699</v>
      </c>
      <c r="C7753" s="1" t="s">
        <v>238</v>
      </c>
      <c r="D7753" s="3">
        <f t="shared" si="1172"/>
        <v>7421</v>
      </c>
      <c r="E7753" s="2">
        <f t="shared" si="1173"/>
        <v>41183</v>
      </c>
      <c r="F7753" s="2">
        <f t="shared" si="1174"/>
        <v>41274</v>
      </c>
    </row>
    <row r="7754" spans="1:6" x14ac:dyDescent="0.25">
      <c r="A7754" s="1" t="s">
        <v>606</v>
      </c>
      <c r="B7754" s="1" t="s">
        <v>2699</v>
      </c>
      <c r="C7754" s="1" t="s">
        <v>239</v>
      </c>
      <c r="D7754" s="3">
        <f t="shared" si="1172"/>
        <v>7421</v>
      </c>
      <c r="E7754" s="2">
        <f t="shared" si="1173"/>
        <v>41183</v>
      </c>
      <c r="F7754" s="2">
        <f t="shared" si="1174"/>
        <v>41274</v>
      </c>
    </row>
    <row r="7755" spans="1:6" x14ac:dyDescent="0.25">
      <c r="A7755" s="1" t="s">
        <v>1879</v>
      </c>
      <c r="B7755" s="1" t="s">
        <v>2727</v>
      </c>
      <c r="C7755" s="1" t="s">
        <v>7</v>
      </c>
      <c r="D7755" s="3">
        <f>VALUE("7500")</f>
        <v>7500</v>
      </c>
      <c r="E7755" s="2">
        <f>DATEVALUE("1-4-2013")</f>
        <v>41365</v>
      </c>
      <c r="F7755" s="2">
        <f>DATEVALUE("31-5-2013")</f>
        <v>41425</v>
      </c>
    </row>
    <row r="7756" spans="1:6" x14ac:dyDescent="0.25">
      <c r="A7756" s="1" t="s">
        <v>1879</v>
      </c>
      <c r="B7756" s="1" t="s">
        <v>2727</v>
      </c>
      <c r="C7756" s="1" t="s">
        <v>212</v>
      </c>
      <c r="D7756" s="3">
        <f>VALUE("7500")</f>
        <v>7500</v>
      </c>
      <c r="E7756" s="2">
        <f>DATEVALUE("1-4-2013")</f>
        <v>41365</v>
      </c>
      <c r="F7756" s="2">
        <f>DATEVALUE("31-5-2013")</f>
        <v>41425</v>
      </c>
    </row>
    <row r="7757" spans="1:6" x14ac:dyDescent="0.25">
      <c r="A7757" s="1" t="s">
        <v>1879</v>
      </c>
      <c r="B7757" s="1" t="s">
        <v>2722</v>
      </c>
      <c r="C7757" s="1" t="s">
        <v>7</v>
      </c>
      <c r="D7757" s="3">
        <f t="shared" ref="D7757:D7772" si="1175">VALUE("7480")</f>
        <v>7480</v>
      </c>
      <c r="E7757" s="2">
        <f t="shared" ref="E7757:E7772" si="1176">DATEVALUE("1-3-2013")</f>
        <v>41334</v>
      </c>
      <c r="F7757" s="2">
        <f t="shared" ref="F7757:F7772" si="1177">DATEVALUE("31-7-2013")</f>
        <v>41486</v>
      </c>
    </row>
    <row r="7758" spans="1:6" x14ac:dyDescent="0.25">
      <c r="A7758" s="1" t="s">
        <v>1879</v>
      </c>
      <c r="B7758" s="1" t="s">
        <v>2722</v>
      </c>
      <c r="C7758" s="1" t="s">
        <v>2155</v>
      </c>
      <c r="D7758" s="3">
        <f t="shared" si="1175"/>
        <v>7480</v>
      </c>
      <c r="E7758" s="2">
        <f t="shared" si="1176"/>
        <v>41334</v>
      </c>
      <c r="F7758" s="2">
        <f t="shared" si="1177"/>
        <v>41486</v>
      </c>
    </row>
    <row r="7759" spans="1:6" x14ac:dyDescent="0.25">
      <c r="A7759" s="1" t="s">
        <v>1879</v>
      </c>
      <c r="B7759" s="1" t="s">
        <v>2722</v>
      </c>
      <c r="C7759" s="1" t="s">
        <v>222</v>
      </c>
      <c r="D7759" s="3">
        <f t="shared" si="1175"/>
        <v>7480</v>
      </c>
      <c r="E7759" s="2">
        <f t="shared" si="1176"/>
        <v>41334</v>
      </c>
      <c r="F7759" s="2">
        <f t="shared" si="1177"/>
        <v>41486</v>
      </c>
    </row>
    <row r="7760" spans="1:6" x14ac:dyDescent="0.25">
      <c r="A7760" s="1" t="s">
        <v>1879</v>
      </c>
      <c r="B7760" s="1" t="s">
        <v>2722</v>
      </c>
      <c r="C7760" s="1" t="s">
        <v>227</v>
      </c>
      <c r="D7760" s="3">
        <f t="shared" si="1175"/>
        <v>7480</v>
      </c>
      <c r="E7760" s="2">
        <f t="shared" si="1176"/>
        <v>41334</v>
      </c>
      <c r="F7760" s="2">
        <f t="shared" si="1177"/>
        <v>41486</v>
      </c>
    </row>
    <row r="7761" spans="1:6" x14ac:dyDescent="0.25">
      <c r="A7761" s="1" t="s">
        <v>1879</v>
      </c>
      <c r="B7761" s="1" t="s">
        <v>2722</v>
      </c>
      <c r="C7761" s="1" t="s">
        <v>228</v>
      </c>
      <c r="D7761" s="3">
        <f t="shared" si="1175"/>
        <v>7480</v>
      </c>
      <c r="E7761" s="2">
        <f t="shared" si="1176"/>
        <v>41334</v>
      </c>
      <c r="F7761" s="2">
        <f t="shared" si="1177"/>
        <v>41486</v>
      </c>
    </row>
    <row r="7762" spans="1:6" x14ac:dyDescent="0.25">
      <c r="A7762" s="1" t="s">
        <v>1879</v>
      </c>
      <c r="B7762" s="1" t="s">
        <v>2722</v>
      </c>
      <c r="C7762" s="1" t="s">
        <v>28</v>
      </c>
      <c r="D7762" s="3">
        <f t="shared" si="1175"/>
        <v>7480</v>
      </c>
      <c r="E7762" s="2">
        <f t="shared" si="1176"/>
        <v>41334</v>
      </c>
      <c r="F7762" s="2">
        <f t="shared" si="1177"/>
        <v>41486</v>
      </c>
    </row>
    <row r="7763" spans="1:6" x14ac:dyDescent="0.25">
      <c r="A7763" s="1" t="s">
        <v>1879</v>
      </c>
      <c r="B7763" s="1" t="s">
        <v>2722</v>
      </c>
      <c r="C7763" s="1" t="s">
        <v>229</v>
      </c>
      <c r="D7763" s="3">
        <f t="shared" si="1175"/>
        <v>7480</v>
      </c>
      <c r="E7763" s="2">
        <f t="shared" si="1176"/>
        <v>41334</v>
      </c>
      <c r="F7763" s="2">
        <f t="shared" si="1177"/>
        <v>41486</v>
      </c>
    </row>
    <row r="7764" spans="1:6" x14ac:dyDescent="0.25">
      <c r="A7764" s="1" t="s">
        <v>1879</v>
      </c>
      <c r="B7764" s="1" t="s">
        <v>2722</v>
      </c>
      <c r="C7764" s="1" t="s">
        <v>29</v>
      </c>
      <c r="D7764" s="3">
        <f t="shared" si="1175"/>
        <v>7480</v>
      </c>
      <c r="E7764" s="2">
        <f t="shared" si="1176"/>
        <v>41334</v>
      </c>
      <c r="F7764" s="2">
        <f t="shared" si="1177"/>
        <v>41486</v>
      </c>
    </row>
    <row r="7765" spans="1:6" x14ac:dyDescent="0.25">
      <c r="A7765" s="1" t="s">
        <v>1879</v>
      </c>
      <c r="B7765" s="1" t="s">
        <v>2722</v>
      </c>
      <c r="C7765" s="1" t="s">
        <v>230</v>
      </c>
      <c r="D7765" s="3">
        <f t="shared" si="1175"/>
        <v>7480</v>
      </c>
      <c r="E7765" s="2">
        <f t="shared" si="1176"/>
        <v>41334</v>
      </c>
      <c r="F7765" s="2">
        <f t="shared" si="1177"/>
        <v>41486</v>
      </c>
    </row>
    <row r="7766" spans="1:6" x14ac:dyDescent="0.25">
      <c r="A7766" s="1" t="s">
        <v>1879</v>
      </c>
      <c r="B7766" s="1" t="s">
        <v>2722</v>
      </c>
      <c r="C7766" s="1" t="s">
        <v>231</v>
      </c>
      <c r="D7766" s="3">
        <f t="shared" si="1175"/>
        <v>7480</v>
      </c>
      <c r="E7766" s="2">
        <f t="shared" si="1176"/>
        <v>41334</v>
      </c>
      <c r="F7766" s="2">
        <f t="shared" si="1177"/>
        <v>41486</v>
      </c>
    </row>
    <row r="7767" spans="1:6" x14ac:dyDescent="0.25">
      <c r="A7767" s="1" t="s">
        <v>1879</v>
      </c>
      <c r="B7767" s="1" t="s">
        <v>2722</v>
      </c>
      <c r="C7767" s="1" t="s">
        <v>233</v>
      </c>
      <c r="D7767" s="3">
        <f t="shared" si="1175"/>
        <v>7480</v>
      </c>
      <c r="E7767" s="2">
        <f t="shared" si="1176"/>
        <v>41334</v>
      </c>
      <c r="F7767" s="2">
        <f t="shared" si="1177"/>
        <v>41486</v>
      </c>
    </row>
    <row r="7768" spans="1:6" x14ac:dyDescent="0.25">
      <c r="A7768" s="1" t="s">
        <v>1879</v>
      </c>
      <c r="B7768" s="1" t="s">
        <v>2722</v>
      </c>
      <c r="C7768" s="1" t="s">
        <v>234</v>
      </c>
      <c r="D7768" s="3">
        <f t="shared" si="1175"/>
        <v>7480</v>
      </c>
      <c r="E7768" s="2">
        <f t="shared" si="1176"/>
        <v>41334</v>
      </c>
      <c r="F7768" s="2">
        <f t="shared" si="1177"/>
        <v>41486</v>
      </c>
    </row>
    <row r="7769" spans="1:6" x14ac:dyDescent="0.25">
      <c r="A7769" s="1" t="s">
        <v>1879</v>
      </c>
      <c r="B7769" s="1" t="s">
        <v>2722</v>
      </c>
      <c r="C7769" s="1" t="s">
        <v>30</v>
      </c>
      <c r="D7769" s="3">
        <f t="shared" si="1175"/>
        <v>7480</v>
      </c>
      <c r="E7769" s="2">
        <f t="shared" si="1176"/>
        <v>41334</v>
      </c>
      <c r="F7769" s="2">
        <f t="shared" si="1177"/>
        <v>41486</v>
      </c>
    </row>
    <row r="7770" spans="1:6" x14ac:dyDescent="0.25">
      <c r="A7770" s="1" t="s">
        <v>1879</v>
      </c>
      <c r="B7770" s="1" t="s">
        <v>2722</v>
      </c>
      <c r="C7770" s="1" t="s">
        <v>1839</v>
      </c>
      <c r="D7770" s="3">
        <f t="shared" si="1175"/>
        <v>7480</v>
      </c>
      <c r="E7770" s="2">
        <f t="shared" si="1176"/>
        <v>41334</v>
      </c>
      <c r="F7770" s="2">
        <f t="shared" si="1177"/>
        <v>41486</v>
      </c>
    </row>
    <row r="7771" spans="1:6" x14ac:dyDescent="0.25">
      <c r="A7771" s="1" t="s">
        <v>1879</v>
      </c>
      <c r="B7771" s="1" t="s">
        <v>2722</v>
      </c>
      <c r="C7771" s="1" t="s">
        <v>238</v>
      </c>
      <c r="D7771" s="3">
        <f t="shared" si="1175"/>
        <v>7480</v>
      </c>
      <c r="E7771" s="2">
        <f t="shared" si="1176"/>
        <v>41334</v>
      </c>
      <c r="F7771" s="2">
        <f t="shared" si="1177"/>
        <v>41486</v>
      </c>
    </row>
    <row r="7772" spans="1:6" x14ac:dyDescent="0.25">
      <c r="A7772" s="1" t="s">
        <v>1879</v>
      </c>
      <c r="B7772" s="1" t="s">
        <v>2722</v>
      </c>
      <c r="C7772" s="1" t="s">
        <v>239</v>
      </c>
      <c r="D7772" s="3">
        <f t="shared" si="1175"/>
        <v>7480</v>
      </c>
      <c r="E7772" s="2">
        <f t="shared" si="1176"/>
        <v>41334</v>
      </c>
      <c r="F7772" s="2">
        <f t="shared" si="1177"/>
        <v>41486</v>
      </c>
    </row>
    <row r="7773" spans="1:6" x14ac:dyDescent="0.25">
      <c r="A7773" s="1" t="s">
        <v>1879</v>
      </c>
      <c r="B7773" s="1" t="s">
        <v>2706</v>
      </c>
      <c r="C7773" s="1" t="s">
        <v>222</v>
      </c>
      <c r="D7773" s="3">
        <f>VALUE("7437")</f>
        <v>7437</v>
      </c>
      <c r="E7773" s="2">
        <f>DATEVALUE("1-12-2012")</f>
        <v>41244</v>
      </c>
      <c r="F7773" s="2">
        <f>DATEVALUE("31-12-2012")</f>
        <v>41274</v>
      </c>
    </row>
    <row r="7774" spans="1:6" x14ac:dyDescent="0.25">
      <c r="A7774" s="1" t="s">
        <v>1879</v>
      </c>
      <c r="B7774" s="1" t="s">
        <v>2664</v>
      </c>
      <c r="C7774" s="1" t="s">
        <v>7</v>
      </c>
      <c r="D7774" s="3">
        <f>VALUE("7323")</f>
        <v>7323</v>
      </c>
      <c r="E7774" s="2">
        <f>DATEVALUE("1-10-2012")</f>
        <v>41183</v>
      </c>
      <c r="F7774" s="2">
        <f>DATEVALUE("31-12-2012")</f>
        <v>41274</v>
      </c>
    </row>
    <row r="7775" spans="1:6" x14ac:dyDescent="0.25">
      <c r="A7775" s="1" t="s">
        <v>1879</v>
      </c>
      <c r="B7775" s="1" t="s">
        <v>2664</v>
      </c>
      <c r="C7775" s="1" t="s">
        <v>2155</v>
      </c>
      <c r="D7775" s="3">
        <f>VALUE("7323")</f>
        <v>7323</v>
      </c>
      <c r="E7775" s="2">
        <f>DATEVALUE("1-10-2012")</f>
        <v>41183</v>
      </c>
      <c r="F7775" s="2">
        <f>DATEVALUE("31-12-2012")</f>
        <v>41274</v>
      </c>
    </row>
    <row r="7776" spans="1:6" x14ac:dyDescent="0.25">
      <c r="A7776" s="1" t="s">
        <v>1879</v>
      </c>
      <c r="B7776" s="1" t="s">
        <v>2683</v>
      </c>
      <c r="C7776" s="1" t="s">
        <v>7</v>
      </c>
      <c r="D7776" s="3">
        <f>VALUE("7377")</f>
        <v>7377</v>
      </c>
      <c r="E7776" s="2">
        <f>DATEVALUE("1-10-2012")</f>
        <v>41183</v>
      </c>
      <c r="F7776" s="2">
        <f>DATEVALUE("31-12-2012")</f>
        <v>41274</v>
      </c>
    </row>
    <row r="7777" spans="1:6" x14ac:dyDescent="0.25">
      <c r="A7777" s="1" t="s">
        <v>1879</v>
      </c>
      <c r="B7777" s="1" t="s">
        <v>2683</v>
      </c>
      <c r="C7777" s="1" t="s">
        <v>212</v>
      </c>
      <c r="D7777" s="3">
        <f>VALUE("7377")</f>
        <v>7377</v>
      </c>
      <c r="E7777" s="2">
        <f>DATEVALUE("1-10-2012")</f>
        <v>41183</v>
      </c>
      <c r="F7777" s="2">
        <f>DATEVALUE("31-12-2012")</f>
        <v>41274</v>
      </c>
    </row>
    <row r="7778" spans="1:6" x14ac:dyDescent="0.25">
      <c r="A7778" s="1" t="s">
        <v>1879</v>
      </c>
      <c r="B7778" s="1" t="s">
        <v>2659</v>
      </c>
      <c r="C7778" s="1" t="s">
        <v>7</v>
      </c>
      <c r="D7778" s="3">
        <f t="shared" ref="D7778:D7783" si="1178">VALUE("7310")</f>
        <v>7310</v>
      </c>
      <c r="E7778" s="2">
        <f t="shared" ref="E7778:E7784" si="1179">DATEVALUE("1-8-2012")</f>
        <v>41122</v>
      </c>
      <c r="F7778" s="2">
        <f t="shared" ref="F7778:F7783" si="1180">DATEVALUE("30-6-2014")</f>
        <v>41820</v>
      </c>
    </row>
    <row r="7779" spans="1:6" x14ac:dyDescent="0.25">
      <c r="A7779" s="1" t="s">
        <v>1879</v>
      </c>
      <c r="B7779" s="1" t="s">
        <v>2659</v>
      </c>
      <c r="C7779" s="1" t="s">
        <v>8</v>
      </c>
      <c r="D7779" s="3">
        <f t="shared" si="1178"/>
        <v>7310</v>
      </c>
      <c r="E7779" s="2">
        <f t="shared" si="1179"/>
        <v>41122</v>
      </c>
      <c r="F7779" s="2">
        <f t="shared" si="1180"/>
        <v>41820</v>
      </c>
    </row>
    <row r="7780" spans="1:6" x14ac:dyDescent="0.25">
      <c r="A7780" s="1" t="s">
        <v>1879</v>
      </c>
      <c r="B7780" s="1" t="s">
        <v>2659</v>
      </c>
      <c r="C7780" s="1" t="s">
        <v>15</v>
      </c>
      <c r="D7780" s="3">
        <f t="shared" si="1178"/>
        <v>7310</v>
      </c>
      <c r="E7780" s="2">
        <f t="shared" si="1179"/>
        <v>41122</v>
      </c>
      <c r="F7780" s="2">
        <f t="shared" si="1180"/>
        <v>41820</v>
      </c>
    </row>
    <row r="7781" spans="1:6" x14ac:dyDescent="0.25">
      <c r="A7781" s="1" t="s">
        <v>1879</v>
      </c>
      <c r="B7781" s="1" t="s">
        <v>2659</v>
      </c>
      <c r="C7781" s="1" t="s">
        <v>17</v>
      </c>
      <c r="D7781" s="3">
        <f t="shared" si="1178"/>
        <v>7310</v>
      </c>
      <c r="E7781" s="2">
        <f t="shared" si="1179"/>
        <v>41122</v>
      </c>
      <c r="F7781" s="2">
        <f t="shared" si="1180"/>
        <v>41820</v>
      </c>
    </row>
    <row r="7782" spans="1:6" x14ac:dyDescent="0.25">
      <c r="A7782" s="1" t="s">
        <v>1879</v>
      </c>
      <c r="B7782" s="1" t="s">
        <v>2659</v>
      </c>
      <c r="C7782" s="1" t="s">
        <v>2574</v>
      </c>
      <c r="D7782" s="3">
        <f t="shared" si="1178"/>
        <v>7310</v>
      </c>
      <c r="E7782" s="2">
        <f t="shared" si="1179"/>
        <v>41122</v>
      </c>
      <c r="F7782" s="2">
        <f t="shared" si="1180"/>
        <v>41820</v>
      </c>
    </row>
    <row r="7783" spans="1:6" x14ac:dyDescent="0.25">
      <c r="A7783" s="1" t="s">
        <v>1879</v>
      </c>
      <c r="B7783" s="1" t="s">
        <v>2659</v>
      </c>
      <c r="C7783" s="1" t="s">
        <v>33</v>
      </c>
      <c r="D7783" s="3">
        <f t="shared" si="1178"/>
        <v>7310</v>
      </c>
      <c r="E7783" s="2">
        <f t="shared" si="1179"/>
        <v>41122</v>
      </c>
      <c r="F7783" s="2">
        <f t="shared" si="1180"/>
        <v>41820</v>
      </c>
    </row>
    <row r="7784" spans="1:6" x14ac:dyDescent="0.25">
      <c r="A7784" s="1" t="s">
        <v>1879</v>
      </c>
      <c r="B7784" s="1" t="s">
        <v>2665</v>
      </c>
      <c r="C7784" s="1" t="s">
        <v>172</v>
      </c>
      <c r="D7784" s="3">
        <f>VALUE("7324")</f>
        <v>7324</v>
      </c>
      <c r="E7784" s="2">
        <f t="shared" si="1179"/>
        <v>41122</v>
      </c>
      <c r="F7784" s="2">
        <f>DATEVALUE("31-3-2013")</f>
        <v>41364</v>
      </c>
    </row>
    <row r="7785" spans="1:6" x14ac:dyDescent="0.25">
      <c r="A7785" s="1" t="s">
        <v>1879</v>
      </c>
      <c r="B7785" s="1" t="s">
        <v>2657</v>
      </c>
      <c r="C7785" s="1" t="s">
        <v>8</v>
      </c>
      <c r="D7785" s="3">
        <f>VALUE("7305")</f>
        <v>7305</v>
      </c>
      <c r="E7785" s="2">
        <f t="shared" ref="E7785:E7791" si="1181">DATEVALUE("1-7-2012")</f>
        <v>41091</v>
      </c>
      <c r="F7785" s="2">
        <f>DATEVALUE("31-7-2013")</f>
        <v>41486</v>
      </c>
    </row>
    <row r="7786" spans="1:6" x14ac:dyDescent="0.25">
      <c r="A7786" s="1" t="s">
        <v>1879</v>
      </c>
      <c r="B7786" s="1" t="s">
        <v>2657</v>
      </c>
      <c r="C7786" s="1" t="s">
        <v>12</v>
      </c>
      <c r="D7786" s="3">
        <f>VALUE("7305")</f>
        <v>7305</v>
      </c>
      <c r="E7786" s="2">
        <f t="shared" si="1181"/>
        <v>41091</v>
      </c>
      <c r="F7786" s="2">
        <f>DATEVALUE("31-7-2013")</f>
        <v>41486</v>
      </c>
    </row>
    <row r="7787" spans="1:6" x14ac:dyDescent="0.25">
      <c r="A7787" s="1" t="s">
        <v>1879</v>
      </c>
      <c r="B7787" s="1" t="s">
        <v>2657</v>
      </c>
      <c r="C7787" s="1" t="s">
        <v>46</v>
      </c>
      <c r="D7787" s="3">
        <f>VALUE("7305")</f>
        <v>7305</v>
      </c>
      <c r="E7787" s="2">
        <f t="shared" si="1181"/>
        <v>41091</v>
      </c>
      <c r="F7787" s="2">
        <f>DATEVALUE("31-7-2013")</f>
        <v>41486</v>
      </c>
    </row>
    <row r="7788" spans="1:6" x14ac:dyDescent="0.25">
      <c r="A7788" s="1" t="s">
        <v>1879</v>
      </c>
      <c r="B7788" s="1" t="s">
        <v>2657</v>
      </c>
      <c r="C7788" s="1" t="s">
        <v>17</v>
      </c>
      <c r="D7788" s="3">
        <f>VALUE("7305")</f>
        <v>7305</v>
      </c>
      <c r="E7788" s="2">
        <f t="shared" si="1181"/>
        <v>41091</v>
      </c>
      <c r="F7788" s="2">
        <f>DATEVALUE("31-7-2013")</f>
        <v>41486</v>
      </c>
    </row>
    <row r="7789" spans="1:6" x14ac:dyDescent="0.25">
      <c r="A7789" s="1" t="s">
        <v>1879</v>
      </c>
      <c r="B7789" s="1" t="s">
        <v>2657</v>
      </c>
      <c r="C7789" s="1" t="s">
        <v>36</v>
      </c>
      <c r="D7789" s="3">
        <f>VALUE("7305")</f>
        <v>7305</v>
      </c>
      <c r="E7789" s="2">
        <f t="shared" si="1181"/>
        <v>41091</v>
      </c>
      <c r="F7789" s="2">
        <f>DATEVALUE("31-7-2013")</f>
        <v>41486</v>
      </c>
    </row>
    <row r="7790" spans="1:6" x14ac:dyDescent="0.25">
      <c r="A7790" s="1" t="s">
        <v>1879</v>
      </c>
      <c r="B7790" s="1" t="s">
        <v>2688</v>
      </c>
      <c r="C7790" s="1" t="s">
        <v>7</v>
      </c>
      <c r="D7790" s="3">
        <f>VALUE("7386")</f>
        <v>7386</v>
      </c>
      <c r="E7790" s="2">
        <f t="shared" si="1181"/>
        <v>41091</v>
      </c>
      <c r="F7790" s="2">
        <f>DATEVALUE("30-9-2012")</f>
        <v>41182</v>
      </c>
    </row>
    <row r="7791" spans="1:6" x14ac:dyDescent="0.25">
      <c r="A7791" s="1" t="s">
        <v>1879</v>
      </c>
      <c r="B7791" s="1" t="s">
        <v>2688</v>
      </c>
      <c r="C7791" s="1" t="s">
        <v>212</v>
      </c>
      <c r="D7791" s="3">
        <f>VALUE("7386")</f>
        <v>7386</v>
      </c>
      <c r="E7791" s="2">
        <f t="shared" si="1181"/>
        <v>41091</v>
      </c>
      <c r="F7791" s="2">
        <f>DATEVALUE("30-9-2012")</f>
        <v>41182</v>
      </c>
    </row>
    <row r="7792" spans="1:6" x14ac:dyDescent="0.25">
      <c r="A7792" s="1" t="s">
        <v>1879</v>
      </c>
      <c r="B7792" s="1" t="s">
        <v>2656</v>
      </c>
      <c r="C7792" s="1" t="s">
        <v>2521</v>
      </c>
      <c r="D7792" s="3">
        <f>VALUE("7304")</f>
        <v>7304</v>
      </c>
      <c r="E7792" s="2">
        <f>DATEVALUE("1-6-2012")</f>
        <v>41061</v>
      </c>
      <c r="F7792" s="2">
        <f>DATEVALUE("31-12-2012")</f>
        <v>41274</v>
      </c>
    </row>
    <row r="7793" spans="1:6" x14ac:dyDescent="0.25">
      <c r="A7793" s="1" t="s">
        <v>1879</v>
      </c>
      <c r="B7793" s="1" t="s">
        <v>2656</v>
      </c>
      <c r="C7793" s="1" t="s">
        <v>45</v>
      </c>
      <c r="D7793" s="3">
        <f>VALUE("7304")</f>
        <v>7304</v>
      </c>
      <c r="E7793" s="2">
        <f>DATEVALUE("1-6-2012")</f>
        <v>41061</v>
      </c>
      <c r="F7793" s="2">
        <f>DATEVALUE("31-12-2012")</f>
        <v>41274</v>
      </c>
    </row>
    <row r="7794" spans="1:6" x14ac:dyDescent="0.25">
      <c r="A7794" s="1" t="s">
        <v>1879</v>
      </c>
      <c r="B7794" s="1" t="s">
        <v>2656</v>
      </c>
      <c r="C7794" s="1" t="s">
        <v>17</v>
      </c>
      <c r="D7794" s="3">
        <f>VALUE("7304")</f>
        <v>7304</v>
      </c>
      <c r="E7794" s="2">
        <f>DATEVALUE("1-6-2012")</f>
        <v>41061</v>
      </c>
      <c r="F7794" s="2">
        <f>DATEVALUE("31-12-2012")</f>
        <v>41274</v>
      </c>
    </row>
    <row r="7795" spans="1:6" x14ac:dyDescent="0.25">
      <c r="A7795" s="1" t="s">
        <v>1879</v>
      </c>
      <c r="B7795" s="1" t="s">
        <v>2656</v>
      </c>
      <c r="C7795" s="1" t="s">
        <v>27</v>
      </c>
      <c r="D7795" s="3">
        <f>VALUE("7304")</f>
        <v>7304</v>
      </c>
      <c r="E7795" s="2">
        <f>DATEVALUE("1-6-2012")</f>
        <v>41061</v>
      </c>
      <c r="F7795" s="2">
        <f>DATEVALUE("31-12-2012")</f>
        <v>41274</v>
      </c>
    </row>
    <row r="7796" spans="1:6" x14ac:dyDescent="0.25">
      <c r="A7796" s="1" t="s">
        <v>1879</v>
      </c>
      <c r="B7796" s="1" t="s">
        <v>2656</v>
      </c>
      <c r="C7796" s="1" t="s">
        <v>262</v>
      </c>
      <c r="D7796" s="3">
        <f>VALUE("7304")</f>
        <v>7304</v>
      </c>
      <c r="E7796" s="2">
        <f>DATEVALUE("1-6-2012")</f>
        <v>41061</v>
      </c>
      <c r="F7796" s="2">
        <f>DATEVALUE("31-12-2012")</f>
        <v>41274</v>
      </c>
    </row>
    <row r="7797" spans="1:6" x14ac:dyDescent="0.25">
      <c r="A7797" s="1" t="s">
        <v>1879</v>
      </c>
      <c r="B7797" s="1" t="s">
        <v>2644</v>
      </c>
      <c r="C7797" s="1" t="s">
        <v>45</v>
      </c>
      <c r="D7797" s="3">
        <f>VALUE("7279")</f>
        <v>7279</v>
      </c>
      <c r="E7797" s="2">
        <f t="shared" ref="E7797:E7802" si="1182">DATEVALUE("1-5-2012")</f>
        <v>41030</v>
      </c>
      <c r="F7797" s="2">
        <f t="shared" ref="F7797:F7802" si="1183">DATEVALUE("30-9-2012")</f>
        <v>41182</v>
      </c>
    </row>
    <row r="7798" spans="1:6" x14ac:dyDescent="0.25">
      <c r="A7798" s="1" t="s">
        <v>1879</v>
      </c>
      <c r="B7798" s="1" t="s">
        <v>2647</v>
      </c>
      <c r="C7798" s="1" t="s">
        <v>8</v>
      </c>
      <c r="D7798" s="3">
        <f>VALUE("7288")</f>
        <v>7288</v>
      </c>
      <c r="E7798" s="2">
        <f t="shared" si="1182"/>
        <v>41030</v>
      </c>
      <c r="F7798" s="2">
        <f t="shared" si="1183"/>
        <v>41182</v>
      </c>
    </row>
    <row r="7799" spans="1:6" x14ac:dyDescent="0.25">
      <c r="A7799" s="1" t="s">
        <v>1879</v>
      </c>
      <c r="B7799" s="1" t="s">
        <v>2647</v>
      </c>
      <c r="C7799" s="1" t="s">
        <v>12</v>
      </c>
      <c r="D7799" s="3">
        <f>VALUE("7288")</f>
        <v>7288</v>
      </c>
      <c r="E7799" s="2">
        <f t="shared" si="1182"/>
        <v>41030</v>
      </c>
      <c r="F7799" s="2">
        <f t="shared" si="1183"/>
        <v>41182</v>
      </c>
    </row>
    <row r="7800" spans="1:6" x14ac:dyDescent="0.25">
      <c r="A7800" s="1" t="s">
        <v>1879</v>
      </c>
      <c r="B7800" s="1" t="s">
        <v>2647</v>
      </c>
      <c r="C7800" s="1" t="s">
        <v>193</v>
      </c>
      <c r="D7800" s="3">
        <f>VALUE("7288")</f>
        <v>7288</v>
      </c>
      <c r="E7800" s="2">
        <f t="shared" si="1182"/>
        <v>41030</v>
      </c>
      <c r="F7800" s="2">
        <f t="shared" si="1183"/>
        <v>41182</v>
      </c>
    </row>
    <row r="7801" spans="1:6" x14ac:dyDescent="0.25">
      <c r="A7801" s="1" t="s">
        <v>1879</v>
      </c>
      <c r="B7801" s="1" t="s">
        <v>2647</v>
      </c>
      <c r="C7801" s="1" t="s">
        <v>20</v>
      </c>
      <c r="D7801" s="3">
        <f>VALUE("7288")</f>
        <v>7288</v>
      </c>
      <c r="E7801" s="2">
        <f t="shared" si="1182"/>
        <v>41030</v>
      </c>
      <c r="F7801" s="2">
        <f t="shared" si="1183"/>
        <v>41182</v>
      </c>
    </row>
    <row r="7802" spans="1:6" x14ac:dyDescent="0.25">
      <c r="A7802" s="1" t="s">
        <v>1879</v>
      </c>
      <c r="B7802" s="1" t="s">
        <v>2647</v>
      </c>
      <c r="C7802" s="1" t="s">
        <v>75</v>
      </c>
      <c r="D7802" s="3">
        <f>VALUE("7288")</f>
        <v>7288</v>
      </c>
      <c r="E7802" s="2">
        <f t="shared" si="1182"/>
        <v>41030</v>
      </c>
      <c r="F7802" s="2">
        <f t="shared" si="1183"/>
        <v>41182</v>
      </c>
    </row>
    <row r="7803" spans="1:6" x14ac:dyDescent="0.25">
      <c r="A7803" s="1" t="s">
        <v>1879</v>
      </c>
      <c r="B7803" s="1" t="s">
        <v>2645</v>
      </c>
      <c r="C7803" s="1" t="s">
        <v>7</v>
      </c>
      <c r="D7803" s="3">
        <f>VALUE("7283")</f>
        <v>7283</v>
      </c>
      <c r="E7803" s="2">
        <f>DATEVALUE("1-2-2012")</f>
        <v>40940</v>
      </c>
      <c r="F7803" s="2">
        <f>DATEVALUE("30-4-2012")</f>
        <v>41029</v>
      </c>
    </row>
    <row r="7804" spans="1:6" x14ac:dyDescent="0.25">
      <c r="A7804" s="1" t="s">
        <v>1879</v>
      </c>
      <c r="B7804" s="1" t="s">
        <v>2645</v>
      </c>
      <c r="C7804" s="1" t="s">
        <v>212</v>
      </c>
      <c r="D7804" s="3">
        <f>VALUE("7283")</f>
        <v>7283</v>
      </c>
      <c r="E7804" s="2">
        <f>DATEVALUE("1-2-2012")</f>
        <v>40940</v>
      </c>
      <c r="F7804" s="2">
        <f>DATEVALUE("30-4-2012")</f>
        <v>41029</v>
      </c>
    </row>
    <row r="7805" spans="1:6" x14ac:dyDescent="0.25">
      <c r="A7805" s="1" t="s">
        <v>1879</v>
      </c>
      <c r="B7805" s="1" t="s">
        <v>2643</v>
      </c>
      <c r="C7805" s="1" t="s">
        <v>347</v>
      </c>
      <c r="D7805" s="3">
        <f>VALUE("7278")</f>
        <v>7278</v>
      </c>
      <c r="E7805" s="2">
        <f>DATEVALUE("1-1-2012")</f>
        <v>40909</v>
      </c>
      <c r="F7805" s="2">
        <f>DATEVALUE("31-3-2012")</f>
        <v>40999</v>
      </c>
    </row>
    <row r="7806" spans="1:6" x14ac:dyDescent="0.25">
      <c r="A7806" s="1" t="s">
        <v>1879</v>
      </c>
      <c r="B7806" s="1" t="s">
        <v>2643</v>
      </c>
      <c r="C7806" s="1" t="s">
        <v>27</v>
      </c>
      <c r="D7806" s="3">
        <f>VALUE("7278")</f>
        <v>7278</v>
      </c>
      <c r="E7806" s="2">
        <f>DATEVALUE("1-1-2012")</f>
        <v>40909</v>
      </c>
      <c r="F7806" s="2">
        <f>DATEVALUE("31-3-2012")</f>
        <v>40999</v>
      </c>
    </row>
    <row r="7807" spans="1:6" x14ac:dyDescent="0.25">
      <c r="A7807" s="1" t="s">
        <v>1879</v>
      </c>
      <c r="B7807" s="1" t="s">
        <v>2643</v>
      </c>
      <c r="C7807" s="1" t="s">
        <v>262</v>
      </c>
      <c r="D7807" s="3">
        <f>VALUE("7278")</f>
        <v>7278</v>
      </c>
      <c r="E7807" s="2">
        <f>DATEVALUE("1-1-2012")</f>
        <v>40909</v>
      </c>
      <c r="F7807" s="2">
        <f>DATEVALUE("31-3-2012")</f>
        <v>40999</v>
      </c>
    </row>
    <row r="7808" spans="1:6" x14ac:dyDescent="0.25">
      <c r="A7808" s="1" t="s">
        <v>1879</v>
      </c>
      <c r="B7808" s="1" t="s">
        <v>2643</v>
      </c>
      <c r="C7808" s="1" t="s">
        <v>349</v>
      </c>
      <c r="D7808" s="3">
        <f>VALUE("7278")</f>
        <v>7278</v>
      </c>
      <c r="E7808" s="2">
        <f>DATEVALUE("1-1-2012")</f>
        <v>40909</v>
      </c>
      <c r="F7808" s="2">
        <f>DATEVALUE("31-3-2012")</f>
        <v>40999</v>
      </c>
    </row>
    <row r="7809" spans="1:6" x14ac:dyDescent="0.25">
      <c r="A7809" s="1" t="s">
        <v>1879</v>
      </c>
      <c r="B7809" s="1" t="s">
        <v>2639</v>
      </c>
      <c r="C7809" s="1" t="s">
        <v>7</v>
      </c>
      <c r="D7809" s="3">
        <f t="shared" ref="D7809:D7828" si="1184">VALUE("7269")</f>
        <v>7269</v>
      </c>
      <c r="E7809" s="2">
        <f t="shared" ref="E7809:E7828" si="1185">DATEVALUE("1-12-2011")</f>
        <v>40878</v>
      </c>
      <c r="F7809" s="2">
        <f t="shared" ref="F7809:F7828" si="1186">DATEVALUE("31-5-2012")</f>
        <v>41060</v>
      </c>
    </row>
    <row r="7810" spans="1:6" x14ac:dyDescent="0.25">
      <c r="A7810" s="1" t="s">
        <v>1879</v>
      </c>
      <c r="B7810" s="1" t="s">
        <v>2639</v>
      </c>
      <c r="C7810" s="1" t="s">
        <v>212</v>
      </c>
      <c r="D7810" s="3">
        <f t="shared" si="1184"/>
        <v>7269</v>
      </c>
      <c r="E7810" s="2">
        <f t="shared" si="1185"/>
        <v>40878</v>
      </c>
      <c r="F7810" s="2">
        <f t="shared" si="1186"/>
        <v>41060</v>
      </c>
    </row>
    <row r="7811" spans="1:6" x14ac:dyDescent="0.25">
      <c r="A7811" s="1" t="s">
        <v>1879</v>
      </c>
      <c r="B7811" s="1" t="s">
        <v>2639</v>
      </c>
      <c r="C7811" s="1" t="s">
        <v>227</v>
      </c>
      <c r="D7811" s="3">
        <f t="shared" si="1184"/>
        <v>7269</v>
      </c>
      <c r="E7811" s="2">
        <f t="shared" si="1185"/>
        <v>40878</v>
      </c>
      <c r="F7811" s="2">
        <f t="shared" si="1186"/>
        <v>41060</v>
      </c>
    </row>
    <row r="7812" spans="1:6" x14ac:dyDescent="0.25">
      <c r="A7812" s="1" t="s">
        <v>1879</v>
      </c>
      <c r="B7812" s="1" t="s">
        <v>2639</v>
      </c>
      <c r="C7812" s="1" t="s">
        <v>228</v>
      </c>
      <c r="D7812" s="3">
        <f t="shared" si="1184"/>
        <v>7269</v>
      </c>
      <c r="E7812" s="2">
        <f t="shared" si="1185"/>
        <v>40878</v>
      </c>
      <c r="F7812" s="2">
        <f t="shared" si="1186"/>
        <v>41060</v>
      </c>
    </row>
    <row r="7813" spans="1:6" x14ac:dyDescent="0.25">
      <c r="A7813" s="1" t="s">
        <v>1879</v>
      </c>
      <c r="B7813" s="1" t="s">
        <v>2639</v>
      </c>
      <c r="C7813" s="1" t="s">
        <v>28</v>
      </c>
      <c r="D7813" s="3">
        <f t="shared" si="1184"/>
        <v>7269</v>
      </c>
      <c r="E7813" s="2">
        <f t="shared" si="1185"/>
        <v>40878</v>
      </c>
      <c r="F7813" s="2">
        <f t="shared" si="1186"/>
        <v>41060</v>
      </c>
    </row>
    <row r="7814" spans="1:6" x14ac:dyDescent="0.25">
      <c r="A7814" s="1" t="s">
        <v>1879</v>
      </c>
      <c r="B7814" s="1" t="s">
        <v>2639</v>
      </c>
      <c r="C7814" s="1" t="s">
        <v>229</v>
      </c>
      <c r="D7814" s="3">
        <f t="shared" si="1184"/>
        <v>7269</v>
      </c>
      <c r="E7814" s="2">
        <f t="shared" si="1185"/>
        <v>40878</v>
      </c>
      <c r="F7814" s="2">
        <f t="shared" si="1186"/>
        <v>41060</v>
      </c>
    </row>
    <row r="7815" spans="1:6" x14ac:dyDescent="0.25">
      <c r="A7815" s="1" t="s">
        <v>1879</v>
      </c>
      <c r="B7815" s="1" t="s">
        <v>2639</v>
      </c>
      <c r="C7815" s="1" t="s">
        <v>29</v>
      </c>
      <c r="D7815" s="3">
        <f t="shared" si="1184"/>
        <v>7269</v>
      </c>
      <c r="E7815" s="2">
        <f t="shared" si="1185"/>
        <v>40878</v>
      </c>
      <c r="F7815" s="2">
        <f t="shared" si="1186"/>
        <v>41060</v>
      </c>
    </row>
    <row r="7816" spans="1:6" x14ac:dyDescent="0.25">
      <c r="A7816" s="1" t="s">
        <v>1879</v>
      </c>
      <c r="B7816" s="1" t="s">
        <v>2639</v>
      </c>
      <c r="C7816" s="1" t="s">
        <v>230</v>
      </c>
      <c r="D7816" s="3">
        <f t="shared" si="1184"/>
        <v>7269</v>
      </c>
      <c r="E7816" s="2">
        <f t="shared" si="1185"/>
        <v>40878</v>
      </c>
      <c r="F7816" s="2">
        <f t="shared" si="1186"/>
        <v>41060</v>
      </c>
    </row>
    <row r="7817" spans="1:6" x14ac:dyDescent="0.25">
      <c r="A7817" s="1" t="s">
        <v>1879</v>
      </c>
      <c r="B7817" s="1" t="s">
        <v>2639</v>
      </c>
      <c r="C7817" s="1" t="s">
        <v>231</v>
      </c>
      <c r="D7817" s="3">
        <f t="shared" si="1184"/>
        <v>7269</v>
      </c>
      <c r="E7817" s="2">
        <f t="shared" si="1185"/>
        <v>40878</v>
      </c>
      <c r="F7817" s="2">
        <f t="shared" si="1186"/>
        <v>41060</v>
      </c>
    </row>
    <row r="7818" spans="1:6" x14ac:dyDescent="0.25">
      <c r="A7818" s="1" t="s">
        <v>1879</v>
      </c>
      <c r="B7818" s="1" t="s">
        <v>2639</v>
      </c>
      <c r="C7818" s="1" t="s">
        <v>232</v>
      </c>
      <c r="D7818" s="3">
        <f t="shared" si="1184"/>
        <v>7269</v>
      </c>
      <c r="E7818" s="2">
        <f t="shared" si="1185"/>
        <v>40878</v>
      </c>
      <c r="F7818" s="2">
        <f t="shared" si="1186"/>
        <v>41060</v>
      </c>
    </row>
    <row r="7819" spans="1:6" x14ac:dyDescent="0.25">
      <c r="A7819" s="1" t="s">
        <v>1879</v>
      </c>
      <c r="B7819" s="1" t="s">
        <v>2639</v>
      </c>
      <c r="C7819" s="1" t="s">
        <v>233</v>
      </c>
      <c r="D7819" s="3">
        <f t="shared" si="1184"/>
        <v>7269</v>
      </c>
      <c r="E7819" s="2">
        <f t="shared" si="1185"/>
        <v>40878</v>
      </c>
      <c r="F7819" s="2">
        <f t="shared" si="1186"/>
        <v>41060</v>
      </c>
    </row>
    <row r="7820" spans="1:6" x14ac:dyDescent="0.25">
      <c r="A7820" s="1" t="s">
        <v>1879</v>
      </c>
      <c r="B7820" s="1" t="s">
        <v>2639</v>
      </c>
      <c r="C7820" s="1" t="s">
        <v>234</v>
      </c>
      <c r="D7820" s="3">
        <f t="shared" si="1184"/>
        <v>7269</v>
      </c>
      <c r="E7820" s="2">
        <f t="shared" si="1185"/>
        <v>40878</v>
      </c>
      <c r="F7820" s="2">
        <f t="shared" si="1186"/>
        <v>41060</v>
      </c>
    </row>
    <row r="7821" spans="1:6" x14ac:dyDescent="0.25">
      <c r="A7821" s="1" t="s">
        <v>1879</v>
      </c>
      <c r="B7821" s="1" t="s">
        <v>2639</v>
      </c>
      <c r="C7821" s="1" t="s">
        <v>596</v>
      </c>
      <c r="D7821" s="3">
        <f t="shared" si="1184"/>
        <v>7269</v>
      </c>
      <c r="E7821" s="2">
        <f t="shared" si="1185"/>
        <v>40878</v>
      </c>
      <c r="F7821" s="2">
        <f t="shared" si="1186"/>
        <v>41060</v>
      </c>
    </row>
    <row r="7822" spans="1:6" x14ac:dyDescent="0.25">
      <c r="A7822" s="1" t="s">
        <v>1879</v>
      </c>
      <c r="B7822" s="1" t="s">
        <v>2639</v>
      </c>
      <c r="C7822" s="1" t="s">
        <v>30</v>
      </c>
      <c r="D7822" s="3">
        <f t="shared" si="1184"/>
        <v>7269</v>
      </c>
      <c r="E7822" s="2">
        <f t="shared" si="1185"/>
        <v>40878</v>
      </c>
      <c r="F7822" s="2">
        <f t="shared" si="1186"/>
        <v>41060</v>
      </c>
    </row>
    <row r="7823" spans="1:6" x14ac:dyDescent="0.25">
      <c r="A7823" s="1" t="s">
        <v>1879</v>
      </c>
      <c r="B7823" s="1" t="s">
        <v>2639</v>
      </c>
      <c r="C7823" s="1" t="s">
        <v>235</v>
      </c>
      <c r="D7823" s="3">
        <f t="shared" si="1184"/>
        <v>7269</v>
      </c>
      <c r="E7823" s="2">
        <f t="shared" si="1185"/>
        <v>40878</v>
      </c>
      <c r="F7823" s="2">
        <f t="shared" si="1186"/>
        <v>41060</v>
      </c>
    </row>
    <row r="7824" spans="1:6" x14ac:dyDescent="0.25">
      <c r="A7824" s="1" t="s">
        <v>1879</v>
      </c>
      <c r="B7824" s="1" t="s">
        <v>2639</v>
      </c>
      <c r="C7824" s="1" t="s">
        <v>1839</v>
      </c>
      <c r="D7824" s="3">
        <f t="shared" si="1184"/>
        <v>7269</v>
      </c>
      <c r="E7824" s="2">
        <f t="shared" si="1185"/>
        <v>40878</v>
      </c>
      <c r="F7824" s="2">
        <f t="shared" si="1186"/>
        <v>41060</v>
      </c>
    </row>
    <row r="7825" spans="1:6" x14ac:dyDescent="0.25">
      <c r="A7825" s="1" t="s">
        <v>1879</v>
      </c>
      <c r="B7825" s="1" t="s">
        <v>2639</v>
      </c>
      <c r="C7825" s="1" t="s">
        <v>236</v>
      </c>
      <c r="D7825" s="3">
        <f t="shared" si="1184"/>
        <v>7269</v>
      </c>
      <c r="E7825" s="2">
        <f t="shared" si="1185"/>
        <v>40878</v>
      </c>
      <c r="F7825" s="2">
        <f t="shared" si="1186"/>
        <v>41060</v>
      </c>
    </row>
    <row r="7826" spans="1:6" x14ac:dyDescent="0.25">
      <c r="A7826" s="1" t="s">
        <v>1879</v>
      </c>
      <c r="B7826" s="1" t="s">
        <v>2639</v>
      </c>
      <c r="C7826" s="1" t="s">
        <v>237</v>
      </c>
      <c r="D7826" s="3">
        <f t="shared" si="1184"/>
        <v>7269</v>
      </c>
      <c r="E7826" s="2">
        <f t="shared" si="1185"/>
        <v>40878</v>
      </c>
      <c r="F7826" s="2">
        <f t="shared" si="1186"/>
        <v>41060</v>
      </c>
    </row>
    <row r="7827" spans="1:6" x14ac:dyDescent="0.25">
      <c r="A7827" s="1" t="s">
        <v>1879</v>
      </c>
      <c r="B7827" s="1" t="s">
        <v>2639</v>
      </c>
      <c r="C7827" s="1" t="s">
        <v>238</v>
      </c>
      <c r="D7827" s="3">
        <f t="shared" si="1184"/>
        <v>7269</v>
      </c>
      <c r="E7827" s="2">
        <f t="shared" si="1185"/>
        <v>40878</v>
      </c>
      <c r="F7827" s="2">
        <f t="shared" si="1186"/>
        <v>41060</v>
      </c>
    </row>
    <row r="7828" spans="1:6" x14ac:dyDescent="0.25">
      <c r="A7828" s="1" t="s">
        <v>1879</v>
      </c>
      <c r="B7828" s="1" t="s">
        <v>2639</v>
      </c>
      <c r="C7828" s="1" t="s">
        <v>239</v>
      </c>
      <c r="D7828" s="3">
        <f t="shared" si="1184"/>
        <v>7269</v>
      </c>
      <c r="E7828" s="2">
        <f t="shared" si="1185"/>
        <v>40878</v>
      </c>
      <c r="F7828" s="2">
        <f t="shared" si="1186"/>
        <v>41060</v>
      </c>
    </row>
    <row r="7829" spans="1:6" x14ac:dyDescent="0.25">
      <c r="A7829" s="1" t="s">
        <v>1879</v>
      </c>
      <c r="B7829" s="1" t="s">
        <v>2630</v>
      </c>
      <c r="C7829" s="1" t="s">
        <v>222</v>
      </c>
      <c r="D7829" s="3">
        <f>VALUE("7247")</f>
        <v>7247</v>
      </c>
      <c r="E7829" s="2">
        <f>DATEVALUE("1-11-2011")</f>
        <v>40848</v>
      </c>
      <c r="F7829" s="2">
        <f>DATEVALUE("31-12-2011")</f>
        <v>40908</v>
      </c>
    </row>
    <row r="7830" spans="1:6" x14ac:dyDescent="0.25">
      <c r="A7830" s="1" t="s">
        <v>1879</v>
      </c>
      <c r="B7830" s="1" t="s">
        <v>1878</v>
      </c>
      <c r="C7830" s="1" t="s">
        <v>7</v>
      </c>
      <c r="D7830" s="3">
        <f t="shared" ref="D7830:D7853" si="1187">VALUE("7220")</f>
        <v>7220</v>
      </c>
      <c r="E7830" s="2">
        <f t="shared" ref="E7830:E7853" si="1188">DATEVALUE("1-10-2011")</f>
        <v>40817</v>
      </c>
      <c r="F7830" s="2">
        <f t="shared" ref="F7830:F7853" si="1189">DATEVALUE("31-5-2012")</f>
        <v>41060</v>
      </c>
    </row>
    <row r="7831" spans="1:6" x14ac:dyDescent="0.25">
      <c r="A7831" s="1" t="s">
        <v>1879</v>
      </c>
      <c r="B7831" s="1" t="s">
        <v>1878</v>
      </c>
      <c r="C7831" s="1" t="s">
        <v>13</v>
      </c>
      <c r="D7831" s="3">
        <f t="shared" si="1187"/>
        <v>7220</v>
      </c>
      <c r="E7831" s="2">
        <f t="shared" si="1188"/>
        <v>40817</v>
      </c>
      <c r="F7831" s="2">
        <f t="shared" si="1189"/>
        <v>41060</v>
      </c>
    </row>
    <row r="7832" spans="1:6" x14ac:dyDescent="0.25">
      <c r="A7832" s="1" t="s">
        <v>1879</v>
      </c>
      <c r="B7832" s="1" t="s">
        <v>1878</v>
      </c>
      <c r="C7832" s="1" t="s">
        <v>212</v>
      </c>
      <c r="D7832" s="3">
        <f t="shared" si="1187"/>
        <v>7220</v>
      </c>
      <c r="E7832" s="2">
        <f t="shared" si="1188"/>
        <v>40817</v>
      </c>
      <c r="F7832" s="2">
        <f t="shared" si="1189"/>
        <v>41060</v>
      </c>
    </row>
    <row r="7833" spans="1:6" x14ac:dyDescent="0.25">
      <c r="A7833" s="1" t="s">
        <v>1879</v>
      </c>
      <c r="B7833" s="1" t="s">
        <v>1878</v>
      </c>
      <c r="C7833" s="1" t="s">
        <v>227</v>
      </c>
      <c r="D7833" s="3">
        <f t="shared" si="1187"/>
        <v>7220</v>
      </c>
      <c r="E7833" s="2">
        <f t="shared" si="1188"/>
        <v>40817</v>
      </c>
      <c r="F7833" s="2">
        <f t="shared" si="1189"/>
        <v>41060</v>
      </c>
    </row>
    <row r="7834" spans="1:6" x14ac:dyDescent="0.25">
      <c r="A7834" s="1" t="s">
        <v>1879</v>
      </c>
      <c r="B7834" s="1" t="s">
        <v>1878</v>
      </c>
      <c r="C7834" s="1" t="s">
        <v>228</v>
      </c>
      <c r="D7834" s="3">
        <f t="shared" si="1187"/>
        <v>7220</v>
      </c>
      <c r="E7834" s="2">
        <f t="shared" si="1188"/>
        <v>40817</v>
      </c>
      <c r="F7834" s="2">
        <f t="shared" si="1189"/>
        <v>41060</v>
      </c>
    </row>
    <row r="7835" spans="1:6" x14ac:dyDescent="0.25">
      <c r="A7835" s="1" t="s">
        <v>1879</v>
      </c>
      <c r="B7835" s="1" t="s">
        <v>1878</v>
      </c>
      <c r="C7835" s="1" t="s">
        <v>28</v>
      </c>
      <c r="D7835" s="3">
        <f t="shared" si="1187"/>
        <v>7220</v>
      </c>
      <c r="E7835" s="2">
        <f t="shared" si="1188"/>
        <v>40817</v>
      </c>
      <c r="F7835" s="2">
        <f t="shared" si="1189"/>
        <v>41060</v>
      </c>
    </row>
    <row r="7836" spans="1:6" x14ac:dyDescent="0.25">
      <c r="A7836" s="1" t="s">
        <v>1879</v>
      </c>
      <c r="B7836" s="1" t="s">
        <v>1878</v>
      </c>
      <c r="C7836" s="1" t="s">
        <v>229</v>
      </c>
      <c r="D7836" s="3">
        <f t="shared" si="1187"/>
        <v>7220</v>
      </c>
      <c r="E7836" s="2">
        <f t="shared" si="1188"/>
        <v>40817</v>
      </c>
      <c r="F7836" s="2">
        <f t="shared" si="1189"/>
        <v>41060</v>
      </c>
    </row>
    <row r="7837" spans="1:6" x14ac:dyDescent="0.25">
      <c r="A7837" s="1" t="s">
        <v>1879</v>
      </c>
      <c r="B7837" s="1" t="s">
        <v>1878</v>
      </c>
      <c r="C7837" s="1" t="s">
        <v>29</v>
      </c>
      <c r="D7837" s="3">
        <f t="shared" si="1187"/>
        <v>7220</v>
      </c>
      <c r="E7837" s="2">
        <f t="shared" si="1188"/>
        <v>40817</v>
      </c>
      <c r="F7837" s="2">
        <f t="shared" si="1189"/>
        <v>41060</v>
      </c>
    </row>
    <row r="7838" spans="1:6" x14ac:dyDescent="0.25">
      <c r="A7838" s="1" t="s">
        <v>1879</v>
      </c>
      <c r="B7838" s="1" t="s">
        <v>1878</v>
      </c>
      <c r="C7838" s="1" t="s">
        <v>230</v>
      </c>
      <c r="D7838" s="3">
        <f t="shared" si="1187"/>
        <v>7220</v>
      </c>
      <c r="E7838" s="2">
        <f t="shared" si="1188"/>
        <v>40817</v>
      </c>
      <c r="F7838" s="2">
        <f t="shared" si="1189"/>
        <v>41060</v>
      </c>
    </row>
    <row r="7839" spans="1:6" x14ac:dyDescent="0.25">
      <c r="A7839" s="1" t="s">
        <v>1879</v>
      </c>
      <c r="B7839" s="1" t="s">
        <v>1878</v>
      </c>
      <c r="C7839" s="1" t="s">
        <v>231</v>
      </c>
      <c r="D7839" s="3">
        <f t="shared" si="1187"/>
        <v>7220</v>
      </c>
      <c r="E7839" s="2">
        <f t="shared" si="1188"/>
        <v>40817</v>
      </c>
      <c r="F7839" s="2">
        <f t="shared" si="1189"/>
        <v>41060</v>
      </c>
    </row>
    <row r="7840" spans="1:6" x14ac:dyDescent="0.25">
      <c r="A7840" s="1" t="s">
        <v>1879</v>
      </c>
      <c r="B7840" s="1" t="s">
        <v>1878</v>
      </c>
      <c r="C7840" s="1" t="s">
        <v>232</v>
      </c>
      <c r="D7840" s="3">
        <f t="shared" si="1187"/>
        <v>7220</v>
      </c>
      <c r="E7840" s="2">
        <f t="shared" si="1188"/>
        <v>40817</v>
      </c>
      <c r="F7840" s="2">
        <f t="shared" si="1189"/>
        <v>41060</v>
      </c>
    </row>
    <row r="7841" spans="1:6" x14ac:dyDescent="0.25">
      <c r="A7841" s="1" t="s">
        <v>1879</v>
      </c>
      <c r="B7841" s="1" t="s">
        <v>1878</v>
      </c>
      <c r="C7841" s="1" t="s">
        <v>233</v>
      </c>
      <c r="D7841" s="3">
        <f t="shared" si="1187"/>
        <v>7220</v>
      </c>
      <c r="E7841" s="2">
        <f t="shared" si="1188"/>
        <v>40817</v>
      </c>
      <c r="F7841" s="2">
        <f t="shared" si="1189"/>
        <v>41060</v>
      </c>
    </row>
    <row r="7842" spans="1:6" x14ac:dyDescent="0.25">
      <c r="A7842" s="1" t="s">
        <v>1879</v>
      </c>
      <c r="B7842" s="1" t="s">
        <v>1878</v>
      </c>
      <c r="C7842" s="1" t="s">
        <v>234</v>
      </c>
      <c r="D7842" s="3">
        <f t="shared" si="1187"/>
        <v>7220</v>
      </c>
      <c r="E7842" s="2">
        <f t="shared" si="1188"/>
        <v>40817</v>
      </c>
      <c r="F7842" s="2">
        <f t="shared" si="1189"/>
        <v>41060</v>
      </c>
    </row>
    <row r="7843" spans="1:6" x14ac:dyDescent="0.25">
      <c r="A7843" s="1" t="s">
        <v>1879</v>
      </c>
      <c r="B7843" s="1" t="s">
        <v>1878</v>
      </c>
      <c r="C7843" s="1" t="s">
        <v>596</v>
      </c>
      <c r="D7843" s="3">
        <f t="shared" si="1187"/>
        <v>7220</v>
      </c>
      <c r="E7843" s="2">
        <f t="shared" si="1188"/>
        <v>40817</v>
      </c>
      <c r="F7843" s="2">
        <f t="shared" si="1189"/>
        <v>41060</v>
      </c>
    </row>
    <row r="7844" spans="1:6" x14ac:dyDescent="0.25">
      <c r="A7844" s="1" t="s">
        <v>1879</v>
      </c>
      <c r="B7844" s="1" t="s">
        <v>1878</v>
      </c>
      <c r="C7844" s="1" t="s">
        <v>30</v>
      </c>
      <c r="D7844" s="3">
        <f t="shared" si="1187"/>
        <v>7220</v>
      </c>
      <c r="E7844" s="2">
        <f t="shared" si="1188"/>
        <v>40817</v>
      </c>
      <c r="F7844" s="2">
        <f t="shared" si="1189"/>
        <v>41060</v>
      </c>
    </row>
    <row r="7845" spans="1:6" x14ac:dyDescent="0.25">
      <c r="A7845" s="1" t="s">
        <v>1879</v>
      </c>
      <c r="B7845" s="1" t="s">
        <v>1878</v>
      </c>
      <c r="C7845" s="1" t="s">
        <v>235</v>
      </c>
      <c r="D7845" s="3">
        <f t="shared" si="1187"/>
        <v>7220</v>
      </c>
      <c r="E7845" s="2">
        <f t="shared" si="1188"/>
        <v>40817</v>
      </c>
      <c r="F7845" s="2">
        <f t="shared" si="1189"/>
        <v>41060</v>
      </c>
    </row>
    <row r="7846" spans="1:6" x14ac:dyDescent="0.25">
      <c r="A7846" s="1" t="s">
        <v>1879</v>
      </c>
      <c r="B7846" s="1" t="s">
        <v>1878</v>
      </c>
      <c r="C7846" s="1" t="s">
        <v>1839</v>
      </c>
      <c r="D7846" s="3">
        <f t="shared" si="1187"/>
        <v>7220</v>
      </c>
      <c r="E7846" s="2">
        <f t="shared" si="1188"/>
        <v>40817</v>
      </c>
      <c r="F7846" s="2">
        <f t="shared" si="1189"/>
        <v>41060</v>
      </c>
    </row>
    <row r="7847" spans="1:6" x14ac:dyDescent="0.25">
      <c r="A7847" s="1" t="s">
        <v>1879</v>
      </c>
      <c r="B7847" s="1" t="s">
        <v>1878</v>
      </c>
      <c r="C7847" s="1" t="s">
        <v>236</v>
      </c>
      <c r="D7847" s="3">
        <f t="shared" si="1187"/>
        <v>7220</v>
      </c>
      <c r="E7847" s="2">
        <f t="shared" si="1188"/>
        <v>40817</v>
      </c>
      <c r="F7847" s="2">
        <f t="shared" si="1189"/>
        <v>41060</v>
      </c>
    </row>
    <row r="7848" spans="1:6" x14ac:dyDescent="0.25">
      <c r="A7848" s="1" t="s">
        <v>1879</v>
      </c>
      <c r="B7848" s="1" t="s">
        <v>1878</v>
      </c>
      <c r="C7848" s="1" t="s">
        <v>237</v>
      </c>
      <c r="D7848" s="3">
        <f t="shared" si="1187"/>
        <v>7220</v>
      </c>
      <c r="E7848" s="2">
        <f t="shared" si="1188"/>
        <v>40817</v>
      </c>
      <c r="F7848" s="2">
        <f t="shared" si="1189"/>
        <v>41060</v>
      </c>
    </row>
    <row r="7849" spans="1:6" x14ac:dyDescent="0.25">
      <c r="A7849" s="1" t="s">
        <v>1879</v>
      </c>
      <c r="B7849" s="1" t="s">
        <v>1878</v>
      </c>
      <c r="C7849" s="1" t="s">
        <v>238</v>
      </c>
      <c r="D7849" s="3">
        <f t="shared" si="1187"/>
        <v>7220</v>
      </c>
      <c r="E7849" s="2">
        <f t="shared" si="1188"/>
        <v>40817</v>
      </c>
      <c r="F7849" s="2">
        <f t="shared" si="1189"/>
        <v>41060</v>
      </c>
    </row>
    <row r="7850" spans="1:6" x14ac:dyDescent="0.25">
      <c r="A7850" s="1" t="s">
        <v>1879</v>
      </c>
      <c r="B7850" s="1" t="s">
        <v>1878</v>
      </c>
      <c r="C7850" s="1" t="s">
        <v>239</v>
      </c>
      <c r="D7850" s="3">
        <f t="shared" si="1187"/>
        <v>7220</v>
      </c>
      <c r="E7850" s="2">
        <f t="shared" si="1188"/>
        <v>40817</v>
      </c>
      <c r="F7850" s="2">
        <f t="shared" si="1189"/>
        <v>41060</v>
      </c>
    </row>
    <row r="7851" spans="1:6" x14ac:dyDescent="0.25">
      <c r="A7851" s="1" t="s">
        <v>1879</v>
      </c>
      <c r="B7851" s="1" t="s">
        <v>1878</v>
      </c>
      <c r="C7851" s="1" t="s">
        <v>240</v>
      </c>
      <c r="D7851" s="3">
        <f t="shared" si="1187"/>
        <v>7220</v>
      </c>
      <c r="E7851" s="2">
        <f t="shared" si="1188"/>
        <v>40817</v>
      </c>
      <c r="F7851" s="2">
        <f t="shared" si="1189"/>
        <v>41060</v>
      </c>
    </row>
    <row r="7852" spans="1:6" x14ac:dyDescent="0.25">
      <c r="A7852" s="1" t="s">
        <v>1879</v>
      </c>
      <c r="B7852" s="1" t="s">
        <v>1878</v>
      </c>
      <c r="C7852" s="1" t="s">
        <v>31</v>
      </c>
      <c r="D7852" s="3">
        <f t="shared" si="1187"/>
        <v>7220</v>
      </c>
      <c r="E7852" s="2">
        <f t="shared" si="1188"/>
        <v>40817</v>
      </c>
      <c r="F7852" s="2">
        <f t="shared" si="1189"/>
        <v>41060</v>
      </c>
    </row>
    <row r="7853" spans="1:6" x14ac:dyDescent="0.25">
      <c r="A7853" s="1" t="s">
        <v>1879</v>
      </c>
      <c r="B7853" s="1" t="s">
        <v>1878</v>
      </c>
      <c r="C7853" s="1" t="s">
        <v>213</v>
      </c>
      <c r="D7853" s="3">
        <f t="shared" si="1187"/>
        <v>7220</v>
      </c>
      <c r="E7853" s="2">
        <f t="shared" si="1188"/>
        <v>40817</v>
      </c>
      <c r="F7853" s="2">
        <f t="shared" si="1189"/>
        <v>41060</v>
      </c>
    </row>
    <row r="7854" spans="1:6" x14ac:dyDescent="0.25">
      <c r="A7854" s="1" t="s">
        <v>1879</v>
      </c>
      <c r="B7854" s="1" t="s">
        <v>2602</v>
      </c>
      <c r="C7854" s="1" t="s">
        <v>172</v>
      </c>
      <c r="D7854" s="3">
        <f>VALUE("7194")</f>
        <v>7194</v>
      </c>
      <c r="E7854" s="2">
        <f t="shared" ref="E7854:E7878" si="1190">DATEVALUE("1-7-2011")</f>
        <v>40725</v>
      </c>
      <c r="F7854" s="2">
        <f>DATEVALUE("31-3-2012")</f>
        <v>40999</v>
      </c>
    </row>
    <row r="7855" spans="1:6" x14ac:dyDescent="0.25">
      <c r="A7855" s="1" t="s">
        <v>1879</v>
      </c>
      <c r="B7855" s="1" t="s">
        <v>2611</v>
      </c>
      <c r="C7855" s="1" t="s">
        <v>105</v>
      </c>
      <c r="D7855" s="3">
        <f>VALUE("7212")</f>
        <v>7212</v>
      </c>
      <c r="E7855" s="2">
        <f t="shared" si="1190"/>
        <v>40725</v>
      </c>
      <c r="F7855" s="2">
        <f>DATEVALUE("31-10-2011")</f>
        <v>40847</v>
      </c>
    </row>
    <row r="7856" spans="1:6" x14ac:dyDescent="0.25">
      <c r="A7856" s="1" t="s">
        <v>1879</v>
      </c>
      <c r="B7856" s="1" t="s">
        <v>2611</v>
      </c>
      <c r="C7856" s="1" t="s">
        <v>32</v>
      </c>
      <c r="D7856" s="3">
        <f>VALUE("7212")</f>
        <v>7212</v>
      </c>
      <c r="E7856" s="2">
        <f t="shared" si="1190"/>
        <v>40725</v>
      </c>
      <c r="F7856" s="2">
        <f>DATEVALUE("31-10-2011")</f>
        <v>40847</v>
      </c>
    </row>
    <row r="7857" spans="1:6" x14ac:dyDescent="0.25">
      <c r="A7857" s="1" t="s">
        <v>1879</v>
      </c>
      <c r="B7857" s="1" t="s">
        <v>2611</v>
      </c>
      <c r="C7857" s="1" t="s">
        <v>109</v>
      </c>
      <c r="D7857" s="3">
        <f>VALUE("7212")</f>
        <v>7212</v>
      </c>
      <c r="E7857" s="2">
        <f t="shared" si="1190"/>
        <v>40725</v>
      </c>
      <c r="F7857" s="2">
        <f>DATEVALUE("31-10-2011")</f>
        <v>40847</v>
      </c>
    </row>
    <row r="7858" spans="1:6" x14ac:dyDescent="0.25">
      <c r="A7858" s="1" t="s">
        <v>1879</v>
      </c>
      <c r="B7858" s="1" t="s">
        <v>2611</v>
      </c>
      <c r="C7858" s="1" t="s">
        <v>33</v>
      </c>
      <c r="D7858" s="3">
        <f>VALUE("7212")</f>
        <v>7212</v>
      </c>
      <c r="E7858" s="2">
        <f t="shared" si="1190"/>
        <v>40725</v>
      </c>
      <c r="F7858" s="2">
        <f>DATEVALUE("31-10-2011")</f>
        <v>40847</v>
      </c>
    </row>
    <row r="7859" spans="1:6" x14ac:dyDescent="0.25">
      <c r="A7859" s="1" t="s">
        <v>1879</v>
      </c>
      <c r="B7859" s="1" t="s">
        <v>2614</v>
      </c>
      <c r="C7859" s="1" t="s">
        <v>8</v>
      </c>
      <c r="D7859" s="3">
        <f t="shared" ref="D7859:D7865" si="1191">VALUE("7219")</f>
        <v>7219</v>
      </c>
      <c r="E7859" s="2">
        <f t="shared" si="1190"/>
        <v>40725</v>
      </c>
      <c r="F7859" s="2">
        <f t="shared" ref="F7859:F7879" si="1192">DATEVALUE("31-12-2011")</f>
        <v>40908</v>
      </c>
    </row>
    <row r="7860" spans="1:6" x14ac:dyDescent="0.25">
      <c r="A7860" s="1" t="s">
        <v>1879</v>
      </c>
      <c r="B7860" s="1" t="s">
        <v>2614</v>
      </c>
      <c r="C7860" s="1" t="s">
        <v>10</v>
      </c>
      <c r="D7860" s="3">
        <f t="shared" si="1191"/>
        <v>7219</v>
      </c>
      <c r="E7860" s="2">
        <f t="shared" si="1190"/>
        <v>40725</v>
      </c>
      <c r="F7860" s="2">
        <f t="shared" si="1192"/>
        <v>40908</v>
      </c>
    </row>
    <row r="7861" spans="1:6" x14ac:dyDescent="0.25">
      <c r="A7861" s="1" t="s">
        <v>1879</v>
      </c>
      <c r="B7861" s="1" t="s">
        <v>2614</v>
      </c>
      <c r="C7861" s="1" t="s">
        <v>11</v>
      </c>
      <c r="D7861" s="3">
        <f t="shared" si="1191"/>
        <v>7219</v>
      </c>
      <c r="E7861" s="2">
        <f t="shared" si="1190"/>
        <v>40725</v>
      </c>
      <c r="F7861" s="2">
        <f t="shared" si="1192"/>
        <v>40908</v>
      </c>
    </row>
    <row r="7862" spans="1:6" x14ac:dyDescent="0.25">
      <c r="A7862" s="1" t="s">
        <v>1879</v>
      </c>
      <c r="B7862" s="1" t="s">
        <v>2614</v>
      </c>
      <c r="C7862" s="1" t="s">
        <v>12</v>
      </c>
      <c r="D7862" s="3">
        <f t="shared" si="1191"/>
        <v>7219</v>
      </c>
      <c r="E7862" s="2">
        <f t="shared" si="1190"/>
        <v>40725</v>
      </c>
      <c r="F7862" s="2">
        <f t="shared" si="1192"/>
        <v>40908</v>
      </c>
    </row>
    <row r="7863" spans="1:6" x14ac:dyDescent="0.25">
      <c r="A7863" s="1" t="s">
        <v>1879</v>
      </c>
      <c r="B7863" s="1" t="s">
        <v>2614</v>
      </c>
      <c r="C7863" s="1" t="s">
        <v>45</v>
      </c>
      <c r="D7863" s="3">
        <f t="shared" si="1191"/>
        <v>7219</v>
      </c>
      <c r="E7863" s="2">
        <f t="shared" si="1190"/>
        <v>40725</v>
      </c>
      <c r="F7863" s="2">
        <f t="shared" si="1192"/>
        <v>40908</v>
      </c>
    </row>
    <row r="7864" spans="1:6" x14ac:dyDescent="0.25">
      <c r="A7864" s="1" t="s">
        <v>1879</v>
      </c>
      <c r="B7864" s="1" t="s">
        <v>2614</v>
      </c>
      <c r="C7864" s="1" t="s">
        <v>121</v>
      </c>
      <c r="D7864" s="3">
        <f t="shared" si="1191"/>
        <v>7219</v>
      </c>
      <c r="E7864" s="2">
        <f t="shared" si="1190"/>
        <v>40725</v>
      </c>
      <c r="F7864" s="2">
        <f t="shared" si="1192"/>
        <v>40908</v>
      </c>
    </row>
    <row r="7865" spans="1:6" x14ac:dyDescent="0.25">
      <c r="A7865" s="1" t="s">
        <v>1879</v>
      </c>
      <c r="B7865" s="1" t="s">
        <v>2614</v>
      </c>
      <c r="C7865" s="1" t="s">
        <v>32</v>
      </c>
      <c r="D7865" s="3">
        <f t="shared" si="1191"/>
        <v>7219</v>
      </c>
      <c r="E7865" s="2">
        <f t="shared" si="1190"/>
        <v>40725</v>
      </c>
      <c r="F7865" s="2">
        <f t="shared" si="1192"/>
        <v>40908</v>
      </c>
    </row>
    <row r="7866" spans="1:6" x14ac:dyDescent="0.25">
      <c r="A7866" s="1" t="s">
        <v>1879</v>
      </c>
      <c r="B7866" s="1" t="s">
        <v>2615</v>
      </c>
      <c r="C7866" s="1" t="s">
        <v>227</v>
      </c>
      <c r="D7866" s="3">
        <f t="shared" ref="D7866:D7878" si="1193">VALUE("7221")</f>
        <v>7221</v>
      </c>
      <c r="E7866" s="2">
        <f t="shared" si="1190"/>
        <v>40725</v>
      </c>
      <c r="F7866" s="2">
        <f t="shared" si="1192"/>
        <v>40908</v>
      </c>
    </row>
    <row r="7867" spans="1:6" x14ac:dyDescent="0.25">
      <c r="A7867" s="1" t="s">
        <v>1879</v>
      </c>
      <c r="B7867" s="1" t="s">
        <v>2615</v>
      </c>
      <c r="C7867" s="1" t="s">
        <v>228</v>
      </c>
      <c r="D7867" s="3">
        <f t="shared" si="1193"/>
        <v>7221</v>
      </c>
      <c r="E7867" s="2">
        <f t="shared" si="1190"/>
        <v>40725</v>
      </c>
      <c r="F7867" s="2">
        <f t="shared" si="1192"/>
        <v>40908</v>
      </c>
    </row>
    <row r="7868" spans="1:6" x14ac:dyDescent="0.25">
      <c r="A7868" s="1" t="s">
        <v>1879</v>
      </c>
      <c r="B7868" s="1" t="s">
        <v>2615</v>
      </c>
      <c r="C7868" s="1" t="s">
        <v>28</v>
      </c>
      <c r="D7868" s="3">
        <f t="shared" si="1193"/>
        <v>7221</v>
      </c>
      <c r="E7868" s="2">
        <f t="shared" si="1190"/>
        <v>40725</v>
      </c>
      <c r="F7868" s="2">
        <f t="shared" si="1192"/>
        <v>40908</v>
      </c>
    </row>
    <row r="7869" spans="1:6" x14ac:dyDescent="0.25">
      <c r="A7869" s="1" t="s">
        <v>1879</v>
      </c>
      <c r="B7869" s="1" t="s">
        <v>2615</v>
      </c>
      <c r="C7869" s="1" t="s">
        <v>229</v>
      </c>
      <c r="D7869" s="3">
        <f t="shared" si="1193"/>
        <v>7221</v>
      </c>
      <c r="E7869" s="2">
        <f t="shared" si="1190"/>
        <v>40725</v>
      </c>
      <c r="F7869" s="2">
        <f t="shared" si="1192"/>
        <v>40908</v>
      </c>
    </row>
    <row r="7870" spans="1:6" x14ac:dyDescent="0.25">
      <c r="A7870" s="1" t="s">
        <v>1879</v>
      </c>
      <c r="B7870" s="1" t="s">
        <v>2615</v>
      </c>
      <c r="C7870" s="1" t="s">
        <v>29</v>
      </c>
      <c r="D7870" s="3">
        <f t="shared" si="1193"/>
        <v>7221</v>
      </c>
      <c r="E7870" s="2">
        <f t="shared" si="1190"/>
        <v>40725</v>
      </c>
      <c r="F7870" s="2">
        <f t="shared" si="1192"/>
        <v>40908</v>
      </c>
    </row>
    <row r="7871" spans="1:6" x14ac:dyDescent="0.25">
      <c r="A7871" s="1" t="s">
        <v>1879</v>
      </c>
      <c r="B7871" s="1" t="s">
        <v>2615</v>
      </c>
      <c r="C7871" s="1" t="s">
        <v>230</v>
      </c>
      <c r="D7871" s="3">
        <f t="shared" si="1193"/>
        <v>7221</v>
      </c>
      <c r="E7871" s="2">
        <f t="shared" si="1190"/>
        <v>40725</v>
      </c>
      <c r="F7871" s="2">
        <f t="shared" si="1192"/>
        <v>40908</v>
      </c>
    </row>
    <row r="7872" spans="1:6" x14ac:dyDescent="0.25">
      <c r="A7872" s="1" t="s">
        <v>1879</v>
      </c>
      <c r="B7872" s="1" t="s">
        <v>2615</v>
      </c>
      <c r="C7872" s="1" t="s">
        <v>231</v>
      </c>
      <c r="D7872" s="3">
        <f t="shared" si="1193"/>
        <v>7221</v>
      </c>
      <c r="E7872" s="2">
        <f t="shared" si="1190"/>
        <v>40725</v>
      </c>
      <c r="F7872" s="2">
        <f t="shared" si="1192"/>
        <v>40908</v>
      </c>
    </row>
    <row r="7873" spans="1:6" x14ac:dyDescent="0.25">
      <c r="A7873" s="1" t="s">
        <v>1879</v>
      </c>
      <c r="B7873" s="1" t="s">
        <v>2615</v>
      </c>
      <c r="C7873" s="1" t="s">
        <v>233</v>
      </c>
      <c r="D7873" s="3">
        <f t="shared" si="1193"/>
        <v>7221</v>
      </c>
      <c r="E7873" s="2">
        <f t="shared" si="1190"/>
        <v>40725</v>
      </c>
      <c r="F7873" s="2">
        <f t="shared" si="1192"/>
        <v>40908</v>
      </c>
    </row>
    <row r="7874" spans="1:6" x14ac:dyDescent="0.25">
      <c r="A7874" s="1" t="s">
        <v>1879</v>
      </c>
      <c r="B7874" s="1" t="s">
        <v>2615</v>
      </c>
      <c r="C7874" s="1" t="s">
        <v>234</v>
      </c>
      <c r="D7874" s="3">
        <f t="shared" si="1193"/>
        <v>7221</v>
      </c>
      <c r="E7874" s="2">
        <f t="shared" si="1190"/>
        <v>40725</v>
      </c>
      <c r="F7874" s="2">
        <f t="shared" si="1192"/>
        <v>40908</v>
      </c>
    </row>
    <row r="7875" spans="1:6" x14ac:dyDescent="0.25">
      <c r="A7875" s="1" t="s">
        <v>1879</v>
      </c>
      <c r="B7875" s="1" t="s">
        <v>2615</v>
      </c>
      <c r="C7875" s="1" t="s">
        <v>30</v>
      </c>
      <c r="D7875" s="3">
        <f t="shared" si="1193"/>
        <v>7221</v>
      </c>
      <c r="E7875" s="2">
        <f t="shared" si="1190"/>
        <v>40725</v>
      </c>
      <c r="F7875" s="2">
        <f t="shared" si="1192"/>
        <v>40908</v>
      </c>
    </row>
    <row r="7876" spans="1:6" x14ac:dyDescent="0.25">
      <c r="A7876" s="1" t="s">
        <v>1879</v>
      </c>
      <c r="B7876" s="1" t="s">
        <v>2615</v>
      </c>
      <c r="C7876" s="1" t="s">
        <v>1839</v>
      </c>
      <c r="D7876" s="3">
        <f t="shared" si="1193"/>
        <v>7221</v>
      </c>
      <c r="E7876" s="2">
        <f t="shared" si="1190"/>
        <v>40725</v>
      </c>
      <c r="F7876" s="2">
        <f t="shared" si="1192"/>
        <v>40908</v>
      </c>
    </row>
    <row r="7877" spans="1:6" x14ac:dyDescent="0.25">
      <c r="A7877" s="1" t="s">
        <v>1879</v>
      </c>
      <c r="B7877" s="1" t="s">
        <v>2615</v>
      </c>
      <c r="C7877" s="1" t="s">
        <v>238</v>
      </c>
      <c r="D7877" s="3">
        <f t="shared" si="1193"/>
        <v>7221</v>
      </c>
      <c r="E7877" s="2">
        <f t="shared" si="1190"/>
        <v>40725</v>
      </c>
      <c r="F7877" s="2">
        <f t="shared" si="1192"/>
        <v>40908</v>
      </c>
    </row>
    <row r="7878" spans="1:6" x14ac:dyDescent="0.25">
      <c r="A7878" s="1" t="s">
        <v>1879</v>
      </c>
      <c r="B7878" s="1" t="s">
        <v>2615</v>
      </c>
      <c r="C7878" s="1" t="s">
        <v>239</v>
      </c>
      <c r="D7878" s="3">
        <f t="shared" si="1193"/>
        <v>7221</v>
      </c>
      <c r="E7878" s="2">
        <f t="shared" si="1190"/>
        <v>40725</v>
      </c>
      <c r="F7878" s="2">
        <f t="shared" si="1192"/>
        <v>40908</v>
      </c>
    </row>
    <row r="7879" spans="1:6" x14ac:dyDescent="0.25">
      <c r="A7879" s="1" t="s">
        <v>1879</v>
      </c>
      <c r="B7879" s="1" t="s">
        <v>2584</v>
      </c>
      <c r="C7879" s="1" t="s">
        <v>45</v>
      </c>
      <c r="D7879" s="3">
        <f>VALUE("7142")</f>
        <v>7142</v>
      </c>
      <c r="E7879" s="2">
        <f>DATEVALUE("1-11-2010")</f>
        <v>40483</v>
      </c>
      <c r="F7879" s="2">
        <f t="shared" si="1192"/>
        <v>40908</v>
      </c>
    </row>
    <row r="7880" spans="1:6" x14ac:dyDescent="0.25">
      <c r="A7880" s="1" t="s">
        <v>1879</v>
      </c>
      <c r="B7880" s="1" t="s">
        <v>2565</v>
      </c>
      <c r="C7880" s="1" t="s">
        <v>7</v>
      </c>
      <c r="D7880" s="3">
        <f>VALUE("7080")</f>
        <v>7080</v>
      </c>
      <c r="E7880" s="2">
        <f>DATEVALUE("1-7-2010")</f>
        <v>40360</v>
      </c>
      <c r="F7880" s="2">
        <f>DATEVALUE("30-9-2012")</f>
        <v>41182</v>
      </c>
    </row>
    <row r="7881" spans="1:6" x14ac:dyDescent="0.25">
      <c r="A7881" s="1" t="s">
        <v>2433</v>
      </c>
      <c r="B7881" s="1" t="s">
        <v>2445</v>
      </c>
      <c r="C7881" s="1" t="s">
        <v>14</v>
      </c>
      <c r="D7881" s="3">
        <f t="shared" ref="D7881:D7901" si="1194">VALUE("8512")</f>
        <v>8512</v>
      </c>
      <c r="E7881" s="2">
        <f t="shared" ref="E7881:E7901" si="1195">DATEVALUE("1-5-2019")</f>
        <v>43586</v>
      </c>
      <c r="F7881" s="2">
        <f t="shared" ref="F7881:F7901" si="1196">DATEVALUE("31-8-2019")</f>
        <v>43708</v>
      </c>
    </row>
    <row r="7882" spans="1:6" x14ac:dyDescent="0.25">
      <c r="A7882" s="1" t="s">
        <v>2433</v>
      </c>
      <c r="B7882" s="1" t="s">
        <v>2445</v>
      </c>
      <c r="C7882" s="1" t="s">
        <v>15</v>
      </c>
      <c r="D7882" s="3">
        <f t="shared" si="1194"/>
        <v>8512</v>
      </c>
      <c r="E7882" s="2">
        <f t="shared" si="1195"/>
        <v>43586</v>
      </c>
      <c r="F7882" s="2">
        <f t="shared" si="1196"/>
        <v>43708</v>
      </c>
    </row>
    <row r="7883" spans="1:6" x14ac:dyDescent="0.25">
      <c r="A7883" s="1" t="s">
        <v>2433</v>
      </c>
      <c r="B7883" s="1" t="s">
        <v>2445</v>
      </c>
      <c r="C7883" s="1" t="s">
        <v>17</v>
      </c>
      <c r="D7883" s="3">
        <f t="shared" si="1194"/>
        <v>8512</v>
      </c>
      <c r="E7883" s="2">
        <f t="shared" si="1195"/>
        <v>43586</v>
      </c>
      <c r="F7883" s="2">
        <f t="shared" si="1196"/>
        <v>43708</v>
      </c>
    </row>
    <row r="7884" spans="1:6" x14ac:dyDescent="0.25">
      <c r="A7884" s="1" t="s">
        <v>2433</v>
      </c>
      <c r="B7884" s="1" t="s">
        <v>2445</v>
      </c>
      <c r="C7884" s="1" t="s">
        <v>18</v>
      </c>
      <c r="D7884" s="3">
        <f t="shared" si="1194"/>
        <v>8512</v>
      </c>
      <c r="E7884" s="2">
        <f t="shared" si="1195"/>
        <v>43586</v>
      </c>
      <c r="F7884" s="2">
        <f t="shared" si="1196"/>
        <v>43708</v>
      </c>
    </row>
    <row r="7885" spans="1:6" x14ac:dyDescent="0.25">
      <c r="A7885" s="1" t="s">
        <v>2433</v>
      </c>
      <c r="B7885" s="1" t="s">
        <v>2445</v>
      </c>
      <c r="C7885" s="1" t="s">
        <v>579</v>
      </c>
      <c r="D7885" s="3">
        <f t="shared" si="1194"/>
        <v>8512</v>
      </c>
      <c r="E7885" s="2">
        <f t="shared" si="1195"/>
        <v>43586</v>
      </c>
      <c r="F7885" s="2">
        <f t="shared" si="1196"/>
        <v>43708</v>
      </c>
    </row>
    <row r="7886" spans="1:6" x14ac:dyDescent="0.25">
      <c r="A7886" s="1" t="s">
        <v>2433</v>
      </c>
      <c r="B7886" s="1" t="s">
        <v>2445</v>
      </c>
      <c r="C7886" s="1" t="s">
        <v>512</v>
      </c>
      <c r="D7886" s="3">
        <f t="shared" si="1194"/>
        <v>8512</v>
      </c>
      <c r="E7886" s="2">
        <f t="shared" si="1195"/>
        <v>43586</v>
      </c>
      <c r="F7886" s="2">
        <f t="shared" si="1196"/>
        <v>43708</v>
      </c>
    </row>
    <row r="7887" spans="1:6" x14ac:dyDescent="0.25">
      <c r="A7887" s="1" t="s">
        <v>2433</v>
      </c>
      <c r="B7887" s="1" t="s">
        <v>2445</v>
      </c>
      <c r="C7887" s="1" t="s">
        <v>2214</v>
      </c>
      <c r="D7887" s="3">
        <f t="shared" si="1194"/>
        <v>8512</v>
      </c>
      <c r="E7887" s="2">
        <f t="shared" si="1195"/>
        <v>43586</v>
      </c>
      <c r="F7887" s="2">
        <f t="shared" si="1196"/>
        <v>43708</v>
      </c>
    </row>
    <row r="7888" spans="1:6" x14ac:dyDescent="0.25">
      <c r="A7888" s="1" t="s">
        <v>2433</v>
      </c>
      <c r="B7888" s="1" t="s">
        <v>2445</v>
      </c>
      <c r="C7888" s="1" t="s">
        <v>22</v>
      </c>
      <c r="D7888" s="3">
        <f t="shared" si="1194"/>
        <v>8512</v>
      </c>
      <c r="E7888" s="2">
        <f t="shared" si="1195"/>
        <v>43586</v>
      </c>
      <c r="F7888" s="2">
        <f t="shared" si="1196"/>
        <v>43708</v>
      </c>
    </row>
    <row r="7889" spans="1:6" x14ac:dyDescent="0.25">
      <c r="A7889" s="1" t="s">
        <v>2433</v>
      </c>
      <c r="B7889" s="1" t="s">
        <v>2445</v>
      </c>
      <c r="C7889" s="1" t="s">
        <v>146</v>
      </c>
      <c r="D7889" s="3">
        <f t="shared" si="1194"/>
        <v>8512</v>
      </c>
      <c r="E7889" s="2">
        <f t="shared" si="1195"/>
        <v>43586</v>
      </c>
      <c r="F7889" s="2">
        <f t="shared" si="1196"/>
        <v>43708</v>
      </c>
    </row>
    <row r="7890" spans="1:6" x14ac:dyDescent="0.25">
      <c r="A7890" s="1" t="s">
        <v>2433</v>
      </c>
      <c r="B7890" s="1" t="s">
        <v>2445</v>
      </c>
      <c r="C7890" s="1" t="s">
        <v>67</v>
      </c>
      <c r="D7890" s="3">
        <f t="shared" si="1194"/>
        <v>8512</v>
      </c>
      <c r="E7890" s="2">
        <f t="shared" si="1195"/>
        <v>43586</v>
      </c>
      <c r="F7890" s="2">
        <f t="shared" si="1196"/>
        <v>43708</v>
      </c>
    </row>
    <row r="7891" spans="1:6" x14ac:dyDescent="0.25">
      <c r="A7891" s="1" t="s">
        <v>2433</v>
      </c>
      <c r="B7891" s="1" t="s">
        <v>2445</v>
      </c>
      <c r="C7891" s="1" t="s">
        <v>539</v>
      </c>
      <c r="D7891" s="3">
        <f t="shared" si="1194"/>
        <v>8512</v>
      </c>
      <c r="E7891" s="2">
        <f t="shared" si="1195"/>
        <v>43586</v>
      </c>
      <c r="F7891" s="2">
        <f t="shared" si="1196"/>
        <v>43708</v>
      </c>
    </row>
    <row r="7892" spans="1:6" x14ac:dyDescent="0.25">
      <c r="A7892" s="1" t="s">
        <v>2433</v>
      </c>
      <c r="B7892" s="1" t="s">
        <v>2445</v>
      </c>
      <c r="C7892" s="1" t="s">
        <v>400</v>
      </c>
      <c r="D7892" s="3">
        <f t="shared" si="1194"/>
        <v>8512</v>
      </c>
      <c r="E7892" s="2">
        <f t="shared" si="1195"/>
        <v>43586</v>
      </c>
      <c r="F7892" s="2">
        <f t="shared" si="1196"/>
        <v>43708</v>
      </c>
    </row>
    <row r="7893" spans="1:6" x14ac:dyDescent="0.25">
      <c r="A7893" s="1" t="s">
        <v>2433</v>
      </c>
      <c r="B7893" s="1" t="s">
        <v>2445</v>
      </c>
      <c r="C7893" s="1" t="s">
        <v>2446</v>
      </c>
      <c r="D7893" s="3">
        <f t="shared" si="1194"/>
        <v>8512</v>
      </c>
      <c r="E7893" s="2">
        <f t="shared" si="1195"/>
        <v>43586</v>
      </c>
      <c r="F7893" s="2">
        <f t="shared" si="1196"/>
        <v>43708</v>
      </c>
    </row>
    <row r="7894" spans="1:6" x14ac:dyDescent="0.25">
      <c r="A7894" s="1" t="s">
        <v>2433</v>
      </c>
      <c r="B7894" s="1" t="s">
        <v>2445</v>
      </c>
      <c r="C7894" s="1" t="s">
        <v>24</v>
      </c>
      <c r="D7894" s="3">
        <f t="shared" si="1194"/>
        <v>8512</v>
      </c>
      <c r="E7894" s="2">
        <f t="shared" si="1195"/>
        <v>43586</v>
      </c>
      <c r="F7894" s="2">
        <f t="shared" si="1196"/>
        <v>43708</v>
      </c>
    </row>
    <row r="7895" spans="1:6" x14ac:dyDescent="0.25">
      <c r="A7895" s="1" t="s">
        <v>2433</v>
      </c>
      <c r="B7895" s="1" t="s">
        <v>2445</v>
      </c>
      <c r="C7895" s="1" t="s">
        <v>73</v>
      </c>
      <c r="D7895" s="3">
        <f t="shared" si="1194"/>
        <v>8512</v>
      </c>
      <c r="E7895" s="2">
        <f t="shared" si="1195"/>
        <v>43586</v>
      </c>
      <c r="F7895" s="2">
        <f t="shared" si="1196"/>
        <v>43708</v>
      </c>
    </row>
    <row r="7896" spans="1:6" x14ac:dyDescent="0.25">
      <c r="A7896" s="1" t="s">
        <v>2433</v>
      </c>
      <c r="B7896" s="1" t="s">
        <v>2445</v>
      </c>
      <c r="C7896" s="1" t="s">
        <v>910</v>
      </c>
      <c r="D7896" s="3">
        <f t="shared" si="1194"/>
        <v>8512</v>
      </c>
      <c r="E7896" s="2">
        <f t="shared" si="1195"/>
        <v>43586</v>
      </c>
      <c r="F7896" s="2">
        <f t="shared" si="1196"/>
        <v>43708</v>
      </c>
    </row>
    <row r="7897" spans="1:6" x14ac:dyDescent="0.25">
      <c r="A7897" s="1" t="s">
        <v>2433</v>
      </c>
      <c r="B7897" s="1" t="s">
        <v>2445</v>
      </c>
      <c r="C7897" s="1" t="s">
        <v>160</v>
      </c>
      <c r="D7897" s="3">
        <f t="shared" si="1194"/>
        <v>8512</v>
      </c>
      <c r="E7897" s="2">
        <f t="shared" si="1195"/>
        <v>43586</v>
      </c>
      <c r="F7897" s="2">
        <f t="shared" si="1196"/>
        <v>43708</v>
      </c>
    </row>
    <row r="7898" spans="1:6" x14ac:dyDescent="0.25">
      <c r="A7898" s="1" t="s">
        <v>2433</v>
      </c>
      <c r="B7898" s="1" t="s">
        <v>2445</v>
      </c>
      <c r="C7898" s="1" t="s">
        <v>394</v>
      </c>
      <c r="D7898" s="3">
        <f t="shared" si="1194"/>
        <v>8512</v>
      </c>
      <c r="E7898" s="2">
        <f t="shared" si="1195"/>
        <v>43586</v>
      </c>
      <c r="F7898" s="2">
        <f t="shared" si="1196"/>
        <v>43708</v>
      </c>
    </row>
    <row r="7899" spans="1:6" x14ac:dyDescent="0.25">
      <c r="A7899" s="1" t="s">
        <v>2433</v>
      </c>
      <c r="B7899" s="1" t="s">
        <v>2445</v>
      </c>
      <c r="C7899" s="1" t="s">
        <v>34</v>
      </c>
      <c r="D7899" s="3">
        <f t="shared" si="1194"/>
        <v>8512</v>
      </c>
      <c r="E7899" s="2">
        <f t="shared" si="1195"/>
        <v>43586</v>
      </c>
      <c r="F7899" s="2">
        <f t="shared" si="1196"/>
        <v>43708</v>
      </c>
    </row>
    <row r="7900" spans="1:6" x14ac:dyDescent="0.25">
      <c r="A7900" s="1" t="s">
        <v>2433</v>
      </c>
      <c r="B7900" s="1" t="s">
        <v>2445</v>
      </c>
      <c r="C7900" s="1" t="s">
        <v>380</v>
      </c>
      <c r="D7900" s="3">
        <f t="shared" si="1194"/>
        <v>8512</v>
      </c>
      <c r="E7900" s="2">
        <f t="shared" si="1195"/>
        <v>43586</v>
      </c>
      <c r="F7900" s="2">
        <f t="shared" si="1196"/>
        <v>43708</v>
      </c>
    </row>
    <row r="7901" spans="1:6" x14ac:dyDescent="0.25">
      <c r="A7901" s="1" t="s">
        <v>2433</v>
      </c>
      <c r="B7901" s="1" t="s">
        <v>2445</v>
      </c>
      <c r="C7901" s="1" t="s">
        <v>381</v>
      </c>
      <c r="D7901" s="3">
        <f t="shared" si="1194"/>
        <v>8512</v>
      </c>
      <c r="E7901" s="2">
        <f t="shared" si="1195"/>
        <v>43586</v>
      </c>
      <c r="F7901" s="2">
        <f t="shared" si="1196"/>
        <v>43708</v>
      </c>
    </row>
    <row r="7902" spans="1:6" x14ac:dyDescent="0.25">
      <c r="A7902" s="1" t="s">
        <v>2433</v>
      </c>
      <c r="B7902" s="1" t="s">
        <v>2432</v>
      </c>
      <c r="C7902" s="1" t="s">
        <v>7</v>
      </c>
      <c r="D7902" s="3">
        <f t="shared" ref="D7902:D7914" si="1197">VALUE("8503")</f>
        <v>8503</v>
      </c>
      <c r="E7902" s="2">
        <f t="shared" ref="E7902:E7914" si="1198">DATEVALUE("1-4-2019")</f>
        <v>43556</v>
      </c>
      <c r="F7902" s="2">
        <f t="shared" ref="F7902:F7914" si="1199">DATEVALUE("31-10-2019")</f>
        <v>43769</v>
      </c>
    </row>
    <row r="7903" spans="1:6" x14ac:dyDescent="0.25">
      <c r="A7903" s="1" t="s">
        <v>2433</v>
      </c>
      <c r="B7903" s="1" t="s">
        <v>2432</v>
      </c>
      <c r="C7903" s="1" t="s">
        <v>683</v>
      </c>
      <c r="D7903" s="3">
        <f t="shared" si="1197"/>
        <v>8503</v>
      </c>
      <c r="E7903" s="2">
        <f t="shared" si="1198"/>
        <v>43556</v>
      </c>
      <c r="F7903" s="2">
        <f t="shared" si="1199"/>
        <v>43769</v>
      </c>
    </row>
    <row r="7904" spans="1:6" x14ac:dyDescent="0.25">
      <c r="A7904" s="1" t="s">
        <v>2433</v>
      </c>
      <c r="B7904" s="1" t="s">
        <v>2432</v>
      </c>
      <c r="C7904" s="1" t="s">
        <v>676</v>
      </c>
      <c r="D7904" s="3">
        <f t="shared" si="1197"/>
        <v>8503</v>
      </c>
      <c r="E7904" s="2">
        <f t="shared" si="1198"/>
        <v>43556</v>
      </c>
      <c r="F7904" s="2">
        <f t="shared" si="1199"/>
        <v>43769</v>
      </c>
    </row>
    <row r="7905" spans="1:6" x14ac:dyDescent="0.25">
      <c r="A7905" s="1" t="s">
        <v>2433</v>
      </c>
      <c r="B7905" s="1" t="s">
        <v>2432</v>
      </c>
      <c r="C7905" s="1" t="s">
        <v>14</v>
      </c>
      <c r="D7905" s="3">
        <f t="shared" si="1197"/>
        <v>8503</v>
      </c>
      <c r="E7905" s="2">
        <f t="shared" si="1198"/>
        <v>43556</v>
      </c>
      <c r="F7905" s="2">
        <f t="shared" si="1199"/>
        <v>43769</v>
      </c>
    </row>
    <row r="7906" spans="1:6" x14ac:dyDescent="0.25">
      <c r="A7906" s="1" t="s">
        <v>2433</v>
      </c>
      <c r="B7906" s="1" t="s">
        <v>2432</v>
      </c>
      <c r="C7906" s="1" t="s">
        <v>17</v>
      </c>
      <c r="D7906" s="3">
        <f t="shared" si="1197"/>
        <v>8503</v>
      </c>
      <c r="E7906" s="2">
        <f t="shared" si="1198"/>
        <v>43556</v>
      </c>
      <c r="F7906" s="2">
        <f t="shared" si="1199"/>
        <v>43769</v>
      </c>
    </row>
    <row r="7907" spans="1:6" x14ac:dyDescent="0.25">
      <c r="A7907" s="1" t="s">
        <v>2433</v>
      </c>
      <c r="B7907" s="1" t="s">
        <v>2432</v>
      </c>
      <c r="C7907" s="1" t="s">
        <v>24</v>
      </c>
      <c r="D7907" s="3">
        <f t="shared" si="1197"/>
        <v>8503</v>
      </c>
      <c r="E7907" s="2">
        <f t="shared" si="1198"/>
        <v>43556</v>
      </c>
      <c r="F7907" s="2">
        <f t="shared" si="1199"/>
        <v>43769</v>
      </c>
    </row>
    <row r="7908" spans="1:6" x14ac:dyDescent="0.25">
      <c r="A7908" s="1" t="s">
        <v>2433</v>
      </c>
      <c r="B7908" s="1" t="s">
        <v>2432</v>
      </c>
      <c r="C7908" s="1" t="s">
        <v>72</v>
      </c>
      <c r="D7908" s="3">
        <f t="shared" si="1197"/>
        <v>8503</v>
      </c>
      <c r="E7908" s="2">
        <f t="shared" si="1198"/>
        <v>43556</v>
      </c>
      <c r="F7908" s="2">
        <f t="shared" si="1199"/>
        <v>43769</v>
      </c>
    </row>
    <row r="7909" spans="1:6" x14ac:dyDescent="0.25">
      <c r="A7909" s="1" t="s">
        <v>2433</v>
      </c>
      <c r="B7909" s="1" t="s">
        <v>2432</v>
      </c>
      <c r="C7909" s="1" t="s">
        <v>476</v>
      </c>
      <c r="D7909" s="3">
        <f t="shared" si="1197"/>
        <v>8503</v>
      </c>
      <c r="E7909" s="2">
        <f t="shared" si="1198"/>
        <v>43556</v>
      </c>
      <c r="F7909" s="2">
        <f t="shared" si="1199"/>
        <v>43769</v>
      </c>
    </row>
    <row r="7910" spans="1:6" x14ac:dyDescent="0.25">
      <c r="A7910" s="1" t="s">
        <v>2433</v>
      </c>
      <c r="B7910" s="1" t="s">
        <v>2432</v>
      </c>
      <c r="C7910" s="1" t="s">
        <v>52</v>
      </c>
      <c r="D7910" s="3">
        <f t="shared" si="1197"/>
        <v>8503</v>
      </c>
      <c r="E7910" s="2">
        <f t="shared" si="1198"/>
        <v>43556</v>
      </c>
      <c r="F7910" s="2">
        <f t="shared" si="1199"/>
        <v>43769</v>
      </c>
    </row>
    <row r="7911" spans="1:6" x14ac:dyDescent="0.25">
      <c r="A7911" s="1" t="s">
        <v>2433</v>
      </c>
      <c r="B7911" s="1" t="s">
        <v>2432</v>
      </c>
      <c r="C7911" s="1" t="s">
        <v>350</v>
      </c>
      <c r="D7911" s="3">
        <f t="shared" si="1197"/>
        <v>8503</v>
      </c>
      <c r="E7911" s="2">
        <f t="shared" si="1198"/>
        <v>43556</v>
      </c>
      <c r="F7911" s="2">
        <f t="shared" si="1199"/>
        <v>43769</v>
      </c>
    </row>
    <row r="7912" spans="1:6" x14ac:dyDescent="0.25">
      <c r="A7912" s="1" t="s">
        <v>2433</v>
      </c>
      <c r="B7912" s="1" t="s">
        <v>2432</v>
      </c>
      <c r="C7912" s="1" t="s">
        <v>351</v>
      </c>
      <c r="D7912" s="3">
        <f t="shared" si="1197"/>
        <v>8503</v>
      </c>
      <c r="E7912" s="2">
        <f t="shared" si="1198"/>
        <v>43556</v>
      </c>
      <c r="F7912" s="2">
        <f t="shared" si="1199"/>
        <v>43769</v>
      </c>
    </row>
    <row r="7913" spans="1:6" x14ac:dyDescent="0.25">
      <c r="A7913" s="1" t="s">
        <v>2433</v>
      </c>
      <c r="B7913" s="1" t="s">
        <v>2432</v>
      </c>
      <c r="C7913" s="1" t="s">
        <v>34</v>
      </c>
      <c r="D7913" s="3">
        <f t="shared" si="1197"/>
        <v>8503</v>
      </c>
      <c r="E7913" s="2">
        <f t="shared" si="1198"/>
        <v>43556</v>
      </c>
      <c r="F7913" s="2">
        <f t="shared" si="1199"/>
        <v>43769</v>
      </c>
    </row>
    <row r="7914" spans="1:6" x14ac:dyDescent="0.25">
      <c r="A7914" s="1" t="s">
        <v>2433</v>
      </c>
      <c r="B7914" s="1" t="s">
        <v>2432</v>
      </c>
      <c r="C7914" s="1" t="s">
        <v>519</v>
      </c>
      <c r="D7914" s="3">
        <f t="shared" si="1197"/>
        <v>8503</v>
      </c>
      <c r="E7914" s="2">
        <f t="shared" si="1198"/>
        <v>43556</v>
      </c>
      <c r="F7914" s="2">
        <f t="shared" si="1199"/>
        <v>43769</v>
      </c>
    </row>
    <row r="7915" spans="1:6" x14ac:dyDescent="0.25">
      <c r="A7915" s="1" t="s">
        <v>899</v>
      </c>
      <c r="B7915" s="1" t="s">
        <v>898</v>
      </c>
      <c r="C7915" s="1" t="s">
        <v>84</v>
      </c>
      <c r="D7915" s="3">
        <f t="shared" ref="D7915:D7928" si="1200">VALUE("8146")</f>
        <v>8146</v>
      </c>
      <c r="E7915" s="2">
        <f t="shared" ref="E7915:E7928" si="1201">DATEVALUE("1-12-2018")</f>
        <v>43435</v>
      </c>
      <c r="F7915" s="2">
        <f t="shared" ref="F7915:F7928" si="1202">DATEVALUE("30-11-2020")</f>
        <v>44165</v>
      </c>
    </row>
    <row r="7916" spans="1:6" x14ac:dyDescent="0.25">
      <c r="A7916" s="1" t="s">
        <v>899</v>
      </c>
      <c r="B7916" s="1" t="s">
        <v>898</v>
      </c>
      <c r="C7916" s="1" t="s">
        <v>45</v>
      </c>
      <c r="D7916" s="3">
        <f t="shared" si="1200"/>
        <v>8146</v>
      </c>
      <c r="E7916" s="2">
        <f t="shared" si="1201"/>
        <v>43435</v>
      </c>
      <c r="F7916" s="2">
        <f t="shared" si="1202"/>
        <v>44165</v>
      </c>
    </row>
    <row r="7917" spans="1:6" x14ac:dyDescent="0.25">
      <c r="A7917" s="1" t="s">
        <v>899</v>
      </c>
      <c r="B7917" s="1" t="s">
        <v>898</v>
      </c>
      <c r="C7917" s="1" t="s">
        <v>44</v>
      </c>
      <c r="D7917" s="3">
        <f t="shared" si="1200"/>
        <v>8146</v>
      </c>
      <c r="E7917" s="2">
        <f t="shared" si="1201"/>
        <v>43435</v>
      </c>
      <c r="F7917" s="2">
        <f t="shared" si="1202"/>
        <v>44165</v>
      </c>
    </row>
    <row r="7918" spans="1:6" x14ac:dyDescent="0.25">
      <c r="A7918" s="1" t="s">
        <v>899</v>
      </c>
      <c r="B7918" s="1" t="s">
        <v>898</v>
      </c>
      <c r="C7918" s="1" t="s">
        <v>141</v>
      </c>
      <c r="D7918" s="3">
        <f t="shared" si="1200"/>
        <v>8146</v>
      </c>
      <c r="E7918" s="2">
        <f t="shared" si="1201"/>
        <v>43435</v>
      </c>
      <c r="F7918" s="2">
        <f t="shared" si="1202"/>
        <v>44165</v>
      </c>
    </row>
    <row r="7919" spans="1:6" x14ac:dyDescent="0.25">
      <c r="A7919" s="1" t="s">
        <v>899</v>
      </c>
      <c r="B7919" s="1" t="s">
        <v>898</v>
      </c>
      <c r="C7919" s="1" t="s">
        <v>142</v>
      </c>
      <c r="D7919" s="3">
        <f t="shared" si="1200"/>
        <v>8146</v>
      </c>
      <c r="E7919" s="2">
        <f t="shared" si="1201"/>
        <v>43435</v>
      </c>
      <c r="F7919" s="2">
        <f t="shared" si="1202"/>
        <v>44165</v>
      </c>
    </row>
    <row r="7920" spans="1:6" x14ac:dyDescent="0.25">
      <c r="A7920" s="1" t="s">
        <v>899</v>
      </c>
      <c r="B7920" s="1" t="s">
        <v>898</v>
      </c>
      <c r="C7920" s="1" t="s">
        <v>89</v>
      </c>
      <c r="D7920" s="3">
        <f t="shared" si="1200"/>
        <v>8146</v>
      </c>
      <c r="E7920" s="2">
        <f t="shared" si="1201"/>
        <v>43435</v>
      </c>
      <c r="F7920" s="2">
        <f t="shared" si="1202"/>
        <v>44165</v>
      </c>
    </row>
    <row r="7921" spans="1:6" x14ac:dyDescent="0.25">
      <c r="A7921" s="1" t="s">
        <v>899</v>
      </c>
      <c r="B7921" s="1" t="s">
        <v>898</v>
      </c>
      <c r="C7921" s="1" t="s">
        <v>17</v>
      </c>
      <c r="D7921" s="3">
        <f t="shared" si="1200"/>
        <v>8146</v>
      </c>
      <c r="E7921" s="2">
        <f t="shared" si="1201"/>
        <v>43435</v>
      </c>
      <c r="F7921" s="2">
        <f t="shared" si="1202"/>
        <v>44165</v>
      </c>
    </row>
    <row r="7922" spans="1:6" x14ac:dyDescent="0.25">
      <c r="A7922" s="1" t="s">
        <v>899</v>
      </c>
      <c r="B7922" s="1" t="s">
        <v>898</v>
      </c>
      <c r="C7922" s="1" t="s">
        <v>91</v>
      </c>
      <c r="D7922" s="3">
        <f t="shared" si="1200"/>
        <v>8146</v>
      </c>
      <c r="E7922" s="2">
        <f t="shared" si="1201"/>
        <v>43435</v>
      </c>
      <c r="F7922" s="2">
        <f t="shared" si="1202"/>
        <v>44165</v>
      </c>
    </row>
    <row r="7923" spans="1:6" x14ac:dyDescent="0.25">
      <c r="A7923" s="1" t="s">
        <v>899</v>
      </c>
      <c r="B7923" s="1" t="s">
        <v>898</v>
      </c>
      <c r="C7923" s="1" t="s">
        <v>197</v>
      </c>
      <c r="D7923" s="3">
        <f t="shared" si="1200"/>
        <v>8146</v>
      </c>
      <c r="E7923" s="2">
        <f t="shared" si="1201"/>
        <v>43435</v>
      </c>
      <c r="F7923" s="2">
        <f t="shared" si="1202"/>
        <v>44165</v>
      </c>
    </row>
    <row r="7924" spans="1:6" x14ac:dyDescent="0.25">
      <c r="A7924" s="1" t="s">
        <v>899</v>
      </c>
      <c r="B7924" s="1" t="s">
        <v>898</v>
      </c>
      <c r="C7924" s="1" t="s">
        <v>172</v>
      </c>
      <c r="D7924" s="3">
        <f t="shared" si="1200"/>
        <v>8146</v>
      </c>
      <c r="E7924" s="2">
        <f t="shared" si="1201"/>
        <v>43435</v>
      </c>
      <c r="F7924" s="2">
        <f t="shared" si="1202"/>
        <v>44165</v>
      </c>
    </row>
    <row r="7925" spans="1:6" x14ac:dyDescent="0.25">
      <c r="A7925" s="1" t="s">
        <v>899</v>
      </c>
      <c r="B7925" s="1" t="s">
        <v>898</v>
      </c>
      <c r="C7925" s="1" t="s">
        <v>92</v>
      </c>
      <c r="D7925" s="3">
        <f t="shared" si="1200"/>
        <v>8146</v>
      </c>
      <c r="E7925" s="2">
        <f t="shared" si="1201"/>
        <v>43435</v>
      </c>
      <c r="F7925" s="2">
        <f t="shared" si="1202"/>
        <v>44165</v>
      </c>
    </row>
    <row r="7926" spans="1:6" x14ac:dyDescent="0.25">
      <c r="A7926" s="1" t="s">
        <v>899</v>
      </c>
      <c r="B7926" s="1" t="s">
        <v>898</v>
      </c>
      <c r="C7926" s="1" t="s">
        <v>102</v>
      </c>
      <c r="D7926" s="3">
        <f t="shared" si="1200"/>
        <v>8146</v>
      </c>
      <c r="E7926" s="2">
        <f t="shared" si="1201"/>
        <v>43435</v>
      </c>
      <c r="F7926" s="2">
        <f t="shared" si="1202"/>
        <v>44165</v>
      </c>
    </row>
    <row r="7927" spans="1:6" x14ac:dyDescent="0.25">
      <c r="A7927" s="1" t="s">
        <v>899</v>
      </c>
      <c r="B7927" s="1" t="s">
        <v>898</v>
      </c>
      <c r="C7927" s="1" t="s">
        <v>51</v>
      </c>
      <c r="D7927" s="3">
        <f t="shared" si="1200"/>
        <v>8146</v>
      </c>
      <c r="E7927" s="2">
        <f t="shared" si="1201"/>
        <v>43435</v>
      </c>
      <c r="F7927" s="2">
        <f t="shared" si="1202"/>
        <v>44165</v>
      </c>
    </row>
    <row r="7928" spans="1:6" x14ac:dyDescent="0.25">
      <c r="A7928" s="1" t="s">
        <v>899</v>
      </c>
      <c r="B7928" s="1" t="s">
        <v>898</v>
      </c>
      <c r="C7928" s="1" t="s">
        <v>369</v>
      </c>
      <c r="D7928" s="3">
        <f t="shared" si="1200"/>
        <v>8146</v>
      </c>
      <c r="E7928" s="2">
        <f t="shared" si="1201"/>
        <v>43435</v>
      </c>
      <c r="F7928" s="2">
        <f t="shared" si="1202"/>
        <v>44165</v>
      </c>
    </row>
    <row r="7929" spans="1:6" x14ac:dyDescent="0.25">
      <c r="A7929" s="1" t="s">
        <v>2329</v>
      </c>
      <c r="B7929" s="1" t="s">
        <v>2328</v>
      </c>
      <c r="C7929" s="1" t="s">
        <v>215</v>
      </c>
      <c r="D7929" s="3">
        <f t="shared" ref="D7929:D7939" si="1203">VALUE("8174")</f>
        <v>8174</v>
      </c>
      <c r="E7929" s="2">
        <f t="shared" ref="E7929:E7939" si="1204">DATEVALUE("1-7-2018")</f>
        <v>43282</v>
      </c>
      <c r="F7929" s="2">
        <f t="shared" ref="F7929:F7939" si="1205">DATEVALUE("30-6-2020")</f>
        <v>44012</v>
      </c>
    </row>
    <row r="7930" spans="1:6" x14ac:dyDescent="0.25">
      <c r="A7930" s="1" t="s">
        <v>2329</v>
      </c>
      <c r="B7930" s="1" t="s">
        <v>2328</v>
      </c>
      <c r="C7930" s="1" t="s">
        <v>140</v>
      </c>
      <c r="D7930" s="3">
        <f t="shared" si="1203"/>
        <v>8174</v>
      </c>
      <c r="E7930" s="2">
        <f t="shared" si="1204"/>
        <v>43282</v>
      </c>
      <c r="F7930" s="2">
        <f t="shared" si="1205"/>
        <v>44012</v>
      </c>
    </row>
    <row r="7931" spans="1:6" x14ac:dyDescent="0.25">
      <c r="A7931" s="1" t="s">
        <v>2329</v>
      </c>
      <c r="B7931" s="1" t="s">
        <v>2328</v>
      </c>
      <c r="C7931" s="1" t="s">
        <v>141</v>
      </c>
      <c r="D7931" s="3">
        <f t="shared" si="1203"/>
        <v>8174</v>
      </c>
      <c r="E7931" s="2">
        <f t="shared" si="1204"/>
        <v>43282</v>
      </c>
      <c r="F7931" s="2">
        <f t="shared" si="1205"/>
        <v>44012</v>
      </c>
    </row>
    <row r="7932" spans="1:6" x14ac:dyDescent="0.25">
      <c r="A7932" s="1" t="s">
        <v>2329</v>
      </c>
      <c r="B7932" s="1" t="s">
        <v>2328</v>
      </c>
      <c r="C7932" s="1" t="s">
        <v>250</v>
      </c>
      <c r="D7932" s="3">
        <f t="shared" si="1203"/>
        <v>8174</v>
      </c>
      <c r="E7932" s="2">
        <f t="shared" si="1204"/>
        <v>43282</v>
      </c>
      <c r="F7932" s="2">
        <f t="shared" si="1205"/>
        <v>44012</v>
      </c>
    </row>
    <row r="7933" spans="1:6" x14ac:dyDescent="0.25">
      <c r="A7933" s="1" t="s">
        <v>2329</v>
      </c>
      <c r="B7933" s="1" t="s">
        <v>2328</v>
      </c>
      <c r="C7933" s="1" t="s">
        <v>151</v>
      </c>
      <c r="D7933" s="3">
        <f t="shared" si="1203"/>
        <v>8174</v>
      </c>
      <c r="E7933" s="2">
        <f t="shared" si="1204"/>
        <v>43282</v>
      </c>
      <c r="F7933" s="2">
        <f t="shared" si="1205"/>
        <v>44012</v>
      </c>
    </row>
    <row r="7934" spans="1:6" x14ac:dyDescent="0.25">
      <c r="A7934" s="1" t="s">
        <v>2329</v>
      </c>
      <c r="B7934" s="1" t="s">
        <v>2328</v>
      </c>
      <c r="C7934" s="1" t="s">
        <v>1322</v>
      </c>
      <c r="D7934" s="3">
        <f t="shared" si="1203"/>
        <v>8174</v>
      </c>
      <c r="E7934" s="2">
        <f t="shared" si="1204"/>
        <v>43282</v>
      </c>
      <c r="F7934" s="2">
        <f t="shared" si="1205"/>
        <v>44012</v>
      </c>
    </row>
    <row r="7935" spans="1:6" x14ac:dyDescent="0.25">
      <c r="A7935" s="1" t="s">
        <v>2329</v>
      </c>
      <c r="B7935" s="1" t="s">
        <v>2328</v>
      </c>
      <c r="C7935" s="1" t="s">
        <v>24</v>
      </c>
      <c r="D7935" s="3">
        <f t="shared" si="1203"/>
        <v>8174</v>
      </c>
      <c r="E7935" s="2">
        <f t="shared" si="1204"/>
        <v>43282</v>
      </c>
      <c r="F7935" s="2">
        <f t="shared" si="1205"/>
        <v>44012</v>
      </c>
    </row>
    <row r="7936" spans="1:6" x14ac:dyDescent="0.25">
      <c r="A7936" s="1" t="s">
        <v>2329</v>
      </c>
      <c r="B7936" s="1" t="s">
        <v>2328</v>
      </c>
      <c r="C7936" s="1" t="s">
        <v>54</v>
      </c>
      <c r="D7936" s="3">
        <f t="shared" si="1203"/>
        <v>8174</v>
      </c>
      <c r="E7936" s="2">
        <f t="shared" si="1204"/>
        <v>43282</v>
      </c>
      <c r="F7936" s="2">
        <f t="shared" si="1205"/>
        <v>44012</v>
      </c>
    </row>
    <row r="7937" spans="1:6" x14ac:dyDescent="0.25">
      <c r="A7937" s="1" t="s">
        <v>2329</v>
      </c>
      <c r="B7937" s="1" t="s">
        <v>2328</v>
      </c>
      <c r="C7937" s="1" t="s">
        <v>34</v>
      </c>
      <c r="D7937" s="3">
        <f t="shared" si="1203"/>
        <v>8174</v>
      </c>
      <c r="E7937" s="2">
        <f t="shared" si="1204"/>
        <v>43282</v>
      </c>
      <c r="F7937" s="2">
        <f t="shared" si="1205"/>
        <v>44012</v>
      </c>
    </row>
    <row r="7938" spans="1:6" x14ac:dyDescent="0.25">
      <c r="A7938" s="1" t="s">
        <v>2329</v>
      </c>
      <c r="B7938" s="1" t="s">
        <v>2328</v>
      </c>
      <c r="C7938" s="1" t="s">
        <v>55</v>
      </c>
      <c r="D7938" s="3">
        <f t="shared" si="1203"/>
        <v>8174</v>
      </c>
      <c r="E7938" s="2">
        <f t="shared" si="1204"/>
        <v>43282</v>
      </c>
      <c r="F7938" s="2">
        <f t="shared" si="1205"/>
        <v>44012</v>
      </c>
    </row>
    <row r="7939" spans="1:6" x14ac:dyDescent="0.25">
      <c r="A7939" s="1" t="s">
        <v>2329</v>
      </c>
      <c r="B7939" s="1" t="s">
        <v>2328</v>
      </c>
      <c r="C7939" s="1" t="s">
        <v>1483</v>
      </c>
      <c r="D7939" s="3">
        <f t="shared" si="1203"/>
        <v>8174</v>
      </c>
      <c r="E7939" s="2">
        <f t="shared" si="1204"/>
        <v>43282</v>
      </c>
      <c r="F7939" s="2">
        <f t="shared" si="1205"/>
        <v>44012</v>
      </c>
    </row>
    <row r="7940" spans="1:6" x14ac:dyDescent="0.25">
      <c r="A7940" s="1" t="s">
        <v>762</v>
      </c>
      <c r="B7940" s="1" t="s">
        <v>790</v>
      </c>
      <c r="C7940" s="1" t="s">
        <v>14</v>
      </c>
      <c r="D7940" s="3">
        <f t="shared" ref="D7940:D7950" si="1206">VALUE("8009")</f>
        <v>8009</v>
      </c>
      <c r="E7940" s="2">
        <f t="shared" ref="E7940:E7950" si="1207">DATEVALUE("1-3-2017")</f>
        <v>42795</v>
      </c>
      <c r="F7940" s="2">
        <f t="shared" ref="F7940:F7950" si="1208">DATEVALUE("31-12-2021")</f>
        <v>44561</v>
      </c>
    </row>
    <row r="7941" spans="1:6" x14ac:dyDescent="0.25">
      <c r="A7941" s="1" t="s">
        <v>762</v>
      </c>
      <c r="B7941" s="1" t="s">
        <v>790</v>
      </c>
      <c r="C7941" s="1" t="s">
        <v>15</v>
      </c>
      <c r="D7941" s="3">
        <f t="shared" si="1206"/>
        <v>8009</v>
      </c>
      <c r="E7941" s="2">
        <f t="shared" si="1207"/>
        <v>42795</v>
      </c>
      <c r="F7941" s="2">
        <f t="shared" si="1208"/>
        <v>44561</v>
      </c>
    </row>
    <row r="7942" spans="1:6" x14ac:dyDescent="0.25">
      <c r="A7942" s="1" t="s">
        <v>762</v>
      </c>
      <c r="B7942" s="1" t="s">
        <v>790</v>
      </c>
      <c r="C7942" s="1" t="s">
        <v>17</v>
      </c>
      <c r="D7942" s="3">
        <f t="shared" si="1206"/>
        <v>8009</v>
      </c>
      <c r="E7942" s="2">
        <f t="shared" si="1207"/>
        <v>42795</v>
      </c>
      <c r="F7942" s="2">
        <f t="shared" si="1208"/>
        <v>44561</v>
      </c>
    </row>
    <row r="7943" spans="1:6" x14ac:dyDescent="0.25">
      <c r="A7943" s="1" t="s">
        <v>762</v>
      </c>
      <c r="B7943" s="1" t="s">
        <v>790</v>
      </c>
      <c r="C7943" s="1" t="s">
        <v>146</v>
      </c>
      <c r="D7943" s="3">
        <f t="shared" si="1206"/>
        <v>8009</v>
      </c>
      <c r="E7943" s="2">
        <f t="shared" si="1207"/>
        <v>42795</v>
      </c>
      <c r="F7943" s="2">
        <f t="shared" si="1208"/>
        <v>44561</v>
      </c>
    </row>
    <row r="7944" spans="1:6" x14ac:dyDescent="0.25">
      <c r="A7944" s="1" t="s">
        <v>762</v>
      </c>
      <c r="B7944" s="1" t="s">
        <v>790</v>
      </c>
      <c r="C7944" s="1" t="s">
        <v>148</v>
      </c>
      <c r="D7944" s="3">
        <f t="shared" si="1206"/>
        <v>8009</v>
      </c>
      <c r="E7944" s="2">
        <f t="shared" si="1207"/>
        <v>42795</v>
      </c>
      <c r="F7944" s="2">
        <f t="shared" si="1208"/>
        <v>44561</v>
      </c>
    </row>
    <row r="7945" spans="1:6" x14ac:dyDescent="0.25">
      <c r="A7945" s="1" t="s">
        <v>762</v>
      </c>
      <c r="B7945" s="1" t="s">
        <v>790</v>
      </c>
      <c r="C7945" s="1" t="s">
        <v>172</v>
      </c>
      <c r="D7945" s="3">
        <f t="shared" si="1206"/>
        <v>8009</v>
      </c>
      <c r="E7945" s="2">
        <f t="shared" si="1207"/>
        <v>42795</v>
      </c>
      <c r="F7945" s="2">
        <f t="shared" si="1208"/>
        <v>44561</v>
      </c>
    </row>
    <row r="7946" spans="1:6" x14ac:dyDescent="0.25">
      <c r="A7946" s="1" t="s">
        <v>762</v>
      </c>
      <c r="B7946" s="1" t="s">
        <v>790</v>
      </c>
      <c r="C7946" s="1" t="s">
        <v>24</v>
      </c>
      <c r="D7946" s="3">
        <f t="shared" si="1206"/>
        <v>8009</v>
      </c>
      <c r="E7946" s="2">
        <f t="shared" si="1207"/>
        <v>42795</v>
      </c>
      <c r="F7946" s="2">
        <f t="shared" si="1208"/>
        <v>44561</v>
      </c>
    </row>
    <row r="7947" spans="1:6" x14ac:dyDescent="0.25">
      <c r="A7947" s="1" t="s">
        <v>762</v>
      </c>
      <c r="B7947" s="1" t="s">
        <v>790</v>
      </c>
      <c r="C7947" s="1" t="s">
        <v>72</v>
      </c>
      <c r="D7947" s="3">
        <f t="shared" si="1206"/>
        <v>8009</v>
      </c>
      <c r="E7947" s="2">
        <f t="shared" si="1207"/>
        <v>42795</v>
      </c>
      <c r="F7947" s="2">
        <f t="shared" si="1208"/>
        <v>44561</v>
      </c>
    </row>
    <row r="7948" spans="1:6" x14ac:dyDescent="0.25">
      <c r="A7948" s="1" t="s">
        <v>762</v>
      </c>
      <c r="B7948" s="1" t="s">
        <v>790</v>
      </c>
      <c r="C7948" s="1" t="s">
        <v>52</v>
      </c>
      <c r="D7948" s="3">
        <f t="shared" si="1206"/>
        <v>8009</v>
      </c>
      <c r="E7948" s="2">
        <f t="shared" si="1207"/>
        <v>42795</v>
      </c>
      <c r="F7948" s="2">
        <f t="shared" si="1208"/>
        <v>44561</v>
      </c>
    </row>
    <row r="7949" spans="1:6" x14ac:dyDescent="0.25">
      <c r="A7949" s="1" t="s">
        <v>762</v>
      </c>
      <c r="B7949" s="1" t="s">
        <v>790</v>
      </c>
      <c r="C7949" s="1" t="s">
        <v>34</v>
      </c>
      <c r="D7949" s="3">
        <f t="shared" si="1206"/>
        <v>8009</v>
      </c>
      <c r="E7949" s="2">
        <f t="shared" si="1207"/>
        <v>42795</v>
      </c>
      <c r="F7949" s="2">
        <f t="shared" si="1208"/>
        <v>44561</v>
      </c>
    </row>
    <row r="7950" spans="1:6" x14ac:dyDescent="0.25">
      <c r="A7950" s="1" t="s">
        <v>762</v>
      </c>
      <c r="B7950" s="1" t="s">
        <v>790</v>
      </c>
      <c r="C7950" s="1" t="s">
        <v>55</v>
      </c>
      <c r="D7950" s="3">
        <f t="shared" si="1206"/>
        <v>8009</v>
      </c>
      <c r="E7950" s="2">
        <f t="shared" si="1207"/>
        <v>42795</v>
      </c>
      <c r="F7950" s="2">
        <f t="shared" si="1208"/>
        <v>44561</v>
      </c>
    </row>
    <row r="7951" spans="1:6" x14ac:dyDescent="0.25">
      <c r="A7951" s="1" t="s">
        <v>762</v>
      </c>
      <c r="B7951" s="1" t="s">
        <v>761</v>
      </c>
      <c r="C7951" s="1" t="s">
        <v>14</v>
      </c>
      <c r="D7951" s="3">
        <f t="shared" ref="D7951:D7960" si="1209">VALUE("7950")</f>
        <v>7950</v>
      </c>
      <c r="E7951" s="2">
        <f t="shared" ref="E7951:E7960" si="1210">DATEVALUE("1-11-2016")</f>
        <v>42675</v>
      </c>
      <c r="F7951" s="2">
        <f t="shared" ref="F7951:F7960" si="1211">DATEVALUE("31-1-2021")</f>
        <v>44227</v>
      </c>
    </row>
    <row r="7952" spans="1:6" x14ac:dyDescent="0.25">
      <c r="A7952" s="1" t="s">
        <v>762</v>
      </c>
      <c r="B7952" s="1" t="s">
        <v>761</v>
      </c>
      <c r="C7952" s="1" t="s">
        <v>15</v>
      </c>
      <c r="D7952" s="3">
        <f t="shared" si="1209"/>
        <v>7950</v>
      </c>
      <c r="E7952" s="2">
        <f t="shared" si="1210"/>
        <v>42675</v>
      </c>
      <c r="F7952" s="2">
        <f t="shared" si="1211"/>
        <v>44227</v>
      </c>
    </row>
    <row r="7953" spans="1:6" x14ac:dyDescent="0.25">
      <c r="A7953" s="1" t="s">
        <v>762</v>
      </c>
      <c r="B7953" s="1" t="s">
        <v>761</v>
      </c>
      <c r="C7953" s="1" t="s">
        <v>89</v>
      </c>
      <c r="D7953" s="3">
        <f t="shared" si="1209"/>
        <v>7950</v>
      </c>
      <c r="E7953" s="2">
        <f t="shared" si="1210"/>
        <v>42675</v>
      </c>
      <c r="F7953" s="2">
        <f t="shared" si="1211"/>
        <v>44227</v>
      </c>
    </row>
    <row r="7954" spans="1:6" x14ac:dyDescent="0.25">
      <c r="A7954" s="1" t="s">
        <v>762</v>
      </c>
      <c r="B7954" s="1" t="s">
        <v>761</v>
      </c>
      <c r="C7954" s="1" t="s">
        <v>17</v>
      </c>
      <c r="D7954" s="3">
        <f t="shared" si="1209"/>
        <v>7950</v>
      </c>
      <c r="E7954" s="2">
        <f t="shared" si="1210"/>
        <v>42675</v>
      </c>
      <c r="F7954" s="2">
        <f t="shared" si="1211"/>
        <v>44227</v>
      </c>
    </row>
    <row r="7955" spans="1:6" x14ac:dyDescent="0.25">
      <c r="A7955" s="1" t="s">
        <v>762</v>
      </c>
      <c r="B7955" s="1" t="s">
        <v>761</v>
      </c>
      <c r="C7955" s="1" t="s">
        <v>197</v>
      </c>
      <c r="D7955" s="3">
        <f t="shared" si="1209"/>
        <v>7950</v>
      </c>
      <c r="E7955" s="2">
        <f t="shared" si="1210"/>
        <v>42675</v>
      </c>
      <c r="F7955" s="2">
        <f t="shared" si="1211"/>
        <v>44227</v>
      </c>
    </row>
    <row r="7956" spans="1:6" x14ac:dyDescent="0.25">
      <c r="A7956" s="1" t="s">
        <v>762</v>
      </c>
      <c r="B7956" s="1" t="s">
        <v>761</v>
      </c>
      <c r="C7956" s="1" t="s">
        <v>146</v>
      </c>
      <c r="D7956" s="3">
        <f t="shared" si="1209"/>
        <v>7950</v>
      </c>
      <c r="E7956" s="2">
        <f t="shared" si="1210"/>
        <v>42675</v>
      </c>
      <c r="F7956" s="2">
        <f t="shared" si="1211"/>
        <v>44227</v>
      </c>
    </row>
    <row r="7957" spans="1:6" x14ac:dyDescent="0.25">
      <c r="A7957" s="1" t="s">
        <v>762</v>
      </c>
      <c r="B7957" s="1" t="s">
        <v>761</v>
      </c>
      <c r="C7957" s="1" t="s">
        <v>148</v>
      </c>
      <c r="D7957" s="3">
        <f t="shared" si="1209"/>
        <v>7950</v>
      </c>
      <c r="E7957" s="2">
        <f t="shared" si="1210"/>
        <v>42675</v>
      </c>
      <c r="F7957" s="2">
        <f t="shared" si="1211"/>
        <v>44227</v>
      </c>
    </row>
    <row r="7958" spans="1:6" x14ac:dyDescent="0.25">
      <c r="A7958" s="1" t="s">
        <v>762</v>
      </c>
      <c r="B7958" s="1" t="s">
        <v>761</v>
      </c>
      <c r="C7958" s="1" t="s">
        <v>24</v>
      </c>
      <c r="D7958" s="3">
        <f t="shared" si="1209"/>
        <v>7950</v>
      </c>
      <c r="E7958" s="2">
        <f t="shared" si="1210"/>
        <v>42675</v>
      </c>
      <c r="F7958" s="2">
        <f t="shared" si="1211"/>
        <v>44227</v>
      </c>
    </row>
    <row r="7959" spans="1:6" x14ac:dyDescent="0.25">
      <c r="A7959" s="1" t="s">
        <v>762</v>
      </c>
      <c r="B7959" s="1" t="s">
        <v>761</v>
      </c>
      <c r="C7959" s="1" t="s">
        <v>652</v>
      </c>
      <c r="D7959" s="3">
        <f t="shared" si="1209"/>
        <v>7950</v>
      </c>
      <c r="E7959" s="2">
        <f t="shared" si="1210"/>
        <v>42675</v>
      </c>
      <c r="F7959" s="2">
        <f t="shared" si="1211"/>
        <v>44227</v>
      </c>
    </row>
    <row r="7960" spans="1:6" x14ac:dyDescent="0.25">
      <c r="A7960" s="1" t="s">
        <v>762</v>
      </c>
      <c r="B7960" s="1" t="s">
        <v>761</v>
      </c>
      <c r="C7960" s="1" t="s">
        <v>34</v>
      </c>
      <c r="D7960" s="3">
        <f t="shared" si="1209"/>
        <v>7950</v>
      </c>
      <c r="E7960" s="2">
        <f t="shared" si="1210"/>
        <v>42675</v>
      </c>
      <c r="F7960" s="2">
        <f t="shared" si="1211"/>
        <v>44227</v>
      </c>
    </row>
    <row r="7961" spans="1:6" x14ac:dyDescent="0.25">
      <c r="A7961" s="1" t="s">
        <v>762</v>
      </c>
      <c r="B7961" s="1" t="s">
        <v>2167</v>
      </c>
      <c r="C7961" s="1" t="s">
        <v>8</v>
      </c>
      <c r="D7961" s="3">
        <f t="shared" ref="D7961:D7968" si="1212">VALUE("7613")</f>
        <v>7613</v>
      </c>
      <c r="E7961" s="2">
        <f t="shared" ref="E7961:E7968" si="1213">DATEVALUE("1-5-2014")</f>
        <v>41760</v>
      </c>
      <c r="F7961" s="2">
        <f t="shared" ref="F7961:F7968" si="1214">DATEVALUE("31-3-2017")</f>
        <v>42825</v>
      </c>
    </row>
    <row r="7962" spans="1:6" x14ac:dyDescent="0.25">
      <c r="A7962" s="1" t="s">
        <v>762</v>
      </c>
      <c r="B7962" s="1" t="s">
        <v>2167</v>
      </c>
      <c r="C7962" s="1" t="s">
        <v>46</v>
      </c>
      <c r="D7962" s="3">
        <f t="shared" si="1212"/>
        <v>7613</v>
      </c>
      <c r="E7962" s="2">
        <f t="shared" si="1213"/>
        <v>41760</v>
      </c>
      <c r="F7962" s="2">
        <f t="shared" si="1214"/>
        <v>42825</v>
      </c>
    </row>
    <row r="7963" spans="1:6" x14ac:dyDescent="0.25">
      <c r="A7963" s="1" t="s">
        <v>762</v>
      </c>
      <c r="B7963" s="1" t="s">
        <v>2167</v>
      </c>
      <c r="C7963" s="1" t="s">
        <v>15</v>
      </c>
      <c r="D7963" s="3">
        <f t="shared" si="1212"/>
        <v>7613</v>
      </c>
      <c r="E7963" s="2">
        <f t="shared" si="1213"/>
        <v>41760</v>
      </c>
      <c r="F7963" s="2">
        <f t="shared" si="1214"/>
        <v>42825</v>
      </c>
    </row>
    <row r="7964" spans="1:6" x14ac:dyDescent="0.25">
      <c r="A7964" s="1" t="s">
        <v>762</v>
      </c>
      <c r="B7964" s="1" t="s">
        <v>2167</v>
      </c>
      <c r="C7964" s="1" t="s">
        <v>17</v>
      </c>
      <c r="D7964" s="3">
        <f t="shared" si="1212"/>
        <v>7613</v>
      </c>
      <c r="E7964" s="2">
        <f t="shared" si="1213"/>
        <v>41760</v>
      </c>
      <c r="F7964" s="2">
        <f t="shared" si="1214"/>
        <v>42825</v>
      </c>
    </row>
    <row r="7965" spans="1:6" x14ac:dyDescent="0.25">
      <c r="A7965" s="1" t="s">
        <v>762</v>
      </c>
      <c r="B7965" s="1" t="s">
        <v>2167</v>
      </c>
      <c r="C7965" s="1" t="s">
        <v>148</v>
      </c>
      <c r="D7965" s="3">
        <f t="shared" si="1212"/>
        <v>7613</v>
      </c>
      <c r="E7965" s="2">
        <f t="shared" si="1213"/>
        <v>41760</v>
      </c>
      <c r="F7965" s="2">
        <f t="shared" si="1214"/>
        <v>42825</v>
      </c>
    </row>
    <row r="7966" spans="1:6" x14ac:dyDescent="0.25">
      <c r="A7966" s="1" t="s">
        <v>762</v>
      </c>
      <c r="B7966" s="1" t="s">
        <v>2167</v>
      </c>
      <c r="C7966" s="1" t="s">
        <v>157</v>
      </c>
      <c r="D7966" s="3">
        <f t="shared" si="1212"/>
        <v>7613</v>
      </c>
      <c r="E7966" s="2">
        <f t="shared" si="1213"/>
        <v>41760</v>
      </c>
      <c r="F7966" s="2">
        <f t="shared" si="1214"/>
        <v>42825</v>
      </c>
    </row>
    <row r="7967" spans="1:6" x14ac:dyDescent="0.25">
      <c r="A7967" s="1" t="s">
        <v>762</v>
      </c>
      <c r="B7967" s="1" t="s">
        <v>2167</v>
      </c>
      <c r="C7967" s="1" t="s">
        <v>157</v>
      </c>
      <c r="D7967" s="3">
        <f t="shared" si="1212"/>
        <v>7613</v>
      </c>
      <c r="E7967" s="2">
        <f t="shared" si="1213"/>
        <v>41760</v>
      </c>
      <c r="F7967" s="2">
        <f t="shared" si="1214"/>
        <v>42825</v>
      </c>
    </row>
    <row r="7968" spans="1:6" x14ac:dyDescent="0.25">
      <c r="A7968" s="1" t="s">
        <v>762</v>
      </c>
      <c r="B7968" s="1" t="s">
        <v>2167</v>
      </c>
      <c r="C7968" s="1" t="s">
        <v>548</v>
      </c>
      <c r="D7968" s="3">
        <f t="shared" si="1212"/>
        <v>7613</v>
      </c>
      <c r="E7968" s="2">
        <f t="shared" si="1213"/>
        <v>41760</v>
      </c>
      <c r="F7968" s="2">
        <f t="shared" si="1214"/>
        <v>42825</v>
      </c>
    </row>
    <row r="7969" spans="1:6" x14ac:dyDescent="0.25">
      <c r="A7969" s="1" t="s">
        <v>547</v>
      </c>
      <c r="B7969" s="1" t="s">
        <v>2307</v>
      </c>
      <c r="C7969" s="1" t="s">
        <v>137</v>
      </c>
      <c r="D7969" s="3">
        <f t="shared" ref="D7969:D7983" si="1215">VALUE("8130")</f>
        <v>8130</v>
      </c>
      <c r="E7969" s="2">
        <f t="shared" ref="E7969:E7983" si="1216">DATEVALUE("1-9-2017")</f>
        <v>42979</v>
      </c>
      <c r="F7969" s="2">
        <f t="shared" ref="F7969:F7983" si="1217">DATEVALUE("30-6-2019")</f>
        <v>43646</v>
      </c>
    </row>
    <row r="7970" spans="1:6" x14ac:dyDescent="0.25">
      <c r="A7970" s="1" t="s">
        <v>547</v>
      </c>
      <c r="B7970" s="1" t="s">
        <v>2307</v>
      </c>
      <c r="C7970" s="1" t="s">
        <v>87</v>
      </c>
      <c r="D7970" s="3">
        <f t="shared" si="1215"/>
        <v>8130</v>
      </c>
      <c r="E7970" s="2">
        <f t="shared" si="1216"/>
        <v>42979</v>
      </c>
      <c r="F7970" s="2">
        <f t="shared" si="1217"/>
        <v>43646</v>
      </c>
    </row>
    <row r="7971" spans="1:6" x14ac:dyDescent="0.25">
      <c r="A7971" s="1" t="s">
        <v>547</v>
      </c>
      <c r="B7971" s="1" t="s">
        <v>2307</v>
      </c>
      <c r="C7971" s="1" t="s">
        <v>14</v>
      </c>
      <c r="D7971" s="3">
        <f t="shared" si="1215"/>
        <v>8130</v>
      </c>
      <c r="E7971" s="2">
        <f t="shared" si="1216"/>
        <v>42979</v>
      </c>
      <c r="F7971" s="2">
        <f t="shared" si="1217"/>
        <v>43646</v>
      </c>
    </row>
    <row r="7972" spans="1:6" x14ac:dyDescent="0.25">
      <c r="A7972" s="1" t="s">
        <v>547</v>
      </c>
      <c r="B7972" s="1" t="s">
        <v>2307</v>
      </c>
      <c r="C7972" s="1" t="s">
        <v>17</v>
      </c>
      <c r="D7972" s="3">
        <f t="shared" si="1215"/>
        <v>8130</v>
      </c>
      <c r="E7972" s="2">
        <f t="shared" si="1216"/>
        <v>42979</v>
      </c>
      <c r="F7972" s="2">
        <f t="shared" si="1217"/>
        <v>43646</v>
      </c>
    </row>
    <row r="7973" spans="1:6" x14ac:dyDescent="0.25">
      <c r="A7973" s="1" t="s">
        <v>547</v>
      </c>
      <c r="B7973" s="1" t="s">
        <v>2307</v>
      </c>
      <c r="C7973" s="1" t="s">
        <v>146</v>
      </c>
      <c r="D7973" s="3">
        <f t="shared" si="1215"/>
        <v>8130</v>
      </c>
      <c r="E7973" s="2">
        <f t="shared" si="1216"/>
        <v>42979</v>
      </c>
      <c r="F7973" s="2">
        <f t="shared" si="1217"/>
        <v>43646</v>
      </c>
    </row>
    <row r="7974" spans="1:6" x14ac:dyDescent="0.25">
      <c r="A7974" s="1" t="s">
        <v>547</v>
      </c>
      <c r="B7974" s="1" t="s">
        <v>2307</v>
      </c>
      <c r="C7974" s="1" t="s">
        <v>148</v>
      </c>
      <c r="D7974" s="3">
        <f t="shared" si="1215"/>
        <v>8130</v>
      </c>
      <c r="E7974" s="2">
        <f t="shared" si="1216"/>
        <v>42979</v>
      </c>
      <c r="F7974" s="2">
        <f t="shared" si="1217"/>
        <v>43646</v>
      </c>
    </row>
    <row r="7975" spans="1:6" x14ac:dyDescent="0.25">
      <c r="A7975" s="1" t="s">
        <v>547</v>
      </c>
      <c r="B7975" s="1" t="s">
        <v>2307</v>
      </c>
      <c r="C7975" s="1" t="s">
        <v>150</v>
      </c>
      <c r="D7975" s="3">
        <f t="shared" si="1215"/>
        <v>8130</v>
      </c>
      <c r="E7975" s="2">
        <f t="shared" si="1216"/>
        <v>42979</v>
      </c>
      <c r="F7975" s="2">
        <f t="shared" si="1217"/>
        <v>43646</v>
      </c>
    </row>
    <row r="7976" spans="1:6" x14ac:dyDescent="0.25">
      <c r="A7976" s="1" t="s">
        <v>547</v>
      </c>
      <c r="B7976" s="1" t="s">
        <v>2307</v>
      </c>
      <c r="C7976" s="1" t="s">
        <v>531</v>
      </c>
      <c r="D7976" s="3">
        <f t="shared" si="1215"/>
        <v>8130</v>
      </c>
      <c r="E7976" s="2">
        <f t="shared" si="1216"/>
        <v>42979</v>
      </c>
      <c r="F7976" s="2">
        <f t="shared" si="1217"/>
        <v>43646</v>
      </c>
    </row>
    <row r="7977" spans="1:6" x14ac:dyDescent="0.25">
      <c r="A7977" s="1" t="s">
        <v>547</v>
      </c>
      <c r="B7977" s="1" t="s">
        <v>2307</v>
      </c>
      <c r="C7977" s="1" t="s">
        <v>532</v>
      </c>
      <c r="D7977" s="3">
        <f t="shared" si="1215"/>
        <v>8130</v>
      </c>
      <c r="E7977" s="2">
        <f t="shared" si="1216"/>
        <v>42979</v>
      </c>
      <c r="F7977" s="2">
        <f t="shared" si="1217"/>
        <v>43646</v>
      </c>
    </row>
    <row r="7978" spans="1:6" x14ac:dyDescent="0.25">
      <c r="A7978" s="1" t="s">
        <v>547</v>
      </c>
      <c r="B7978" s="1" t="s">
        <v>2307</v>
      </c>
      <c r="C7978" s="1" t="s">
        <v>24</v>
      </c>
      <c r="D7978" s="3">
        <f t="shared" si="1215"/>
        <v>8130</v>
      </c>
      <c r="E7978" s="2">
        <f t="shared" si="1216"/>
        <v>42979</v>
      </c>
      <c r="F7978" s="2">
        <f t="shared" si="1217"/>
        <v>43646</v>
      </c>
    </row>
    <row r="7979" spans="1:6" x14ac:dyDescent="0.25">
      <c r="A7979" s="1" t="s">
        <v>547</v>
      </c>
      <c r="B7979" s="1" t="s">
        <v>2307</v>
      </c>
      <c r="C7979" s="1" t="s">
        <v>160</v>
      </c>
      <c r="D7979" s="3">
        <f t="shared" si="1215"/>
        <v>8130</v>
      </c>
      <c r="E7979" s="2">
        <f t="shared" si="1216"/>
        <v>42979</v>
      </c>
      <c r="F7979" s="2">
        <f t="shared" si="1217"/>
        <v>43646</v>
      </c>
    </row>
    <row r="7980" spans="1:6" x14ac:dyDescent="0.25">
      <c r="A7980" s="1" t="s">
        <v>547</v>
      </c>
      <c r="B7980" s="1" t="s">
        <v>2307</v>
      </c>
      <c r="C7980" s="1" t="s">
        <v>34</v>
      </c>
      <c r="D7980" s="3">
        <f t="shared" si="1215"/>
        <v>8130</v>
      </c>
      <c r="E7980" s="2">
        <f t="shared" si="1216"/>
        <v>42979</v>
      </c>
      <c r="F7980" s="2">
        <f t="shared" si="1217"/>
        <v>43646</v>
      </c>
    </row>
    <row r="7981" spans="1:6" x14ac:dyDescent="0.25">
      <c r="A7981" s="1" t="s">
        <v>547</v>
      </c>
      <c r="B7981" s="1" t="s">
        <v>2307</v>
      </c>
      <c r="C7981" s="1" t="s">
        <v>131</v>
      </c>
      <c r="D7981" s="3">
        <f t="shared" si="1215"/>
        <v>8130</v>
      </c>
      <c r="E7981" s="2">
        <f t="shared" si="1216"/>
        <v>42979</v>
      </c>
      <c r="F7981" s="2">
        <f t="shared" si="1217"/>
        <v>43646</v>
      </c>
    </row>
    <row r="7982" spans="1:6" x14ac:dyDescent="0.25">
      <c r="A7982" s="1" t="s">
        <v>547</v>
      </c>
      <c r="B7982" s="1" t="s">
        <v>2307</v>
      </c>
      <c r="C7982" s="1" t="s">
        <v>132</v>
      </c>
      <c r="D7982" s="3">
        <f t="shared" si="1215"/>
        <v>8130</v>
      </c>
      <c r="E7982" s="2">
        <f t="shared" si="1216"/>
        <v>42979</v>
      </c>
      <c r="F7982" s="2">
        <f t="shared" si="1217"/>
        <v>43646</v>
      </c>
    </row>
    <row r="7983" spans="1:6" x14ac:dyDescent="0.25">
      <c r="A7983" s="1" t="s">
        <v>547</v>
      </c>
      <c r="B7983" s="1" t="s">
        <v>2307</v>
      </c>
      <c r="C7983" s="1" t="s">
        <v>164</v>
      </c>
      <c r="D7983" s="3">
        <f t="shared" si="1215"/>
        <v>8130</v>
      </c>
      <c r="E7983" s="2">
        <f t="shared" si="1216"/>
        <v>42979</v>
      </c>
      <c r="F7983" s="2">
        <f t="shared" si="1217"/>
        <v>43646</v>
      </c>
    </row>
    <row r="7984" spans="1:6" x14ac:dyDescent="0.25">
      <c r="A7984" s="1" t="s">
        <v>547</v>
      </c>
      <c r="B7984" s="1" t="s">
        <v>546</v>
      </c>
      <c r="C7984" s="1" t="s">
        <v>7</v>
      </c>
      <c r="D7984" s="3">
        <f t="shared" ref="D7984:D8016" si="1218">VALUE("7747")</f>
        <v>7747</v>
      </c>
      <c r="E7984" s="2">
        <f t="shared" ref="E7984:E8016" si="1219">DATEVALUE("1-4-2015")</f>
        <v>42095</v>
      </c>
      <c r="F7984" s="2">
        <f t="shared" ref="F7984:F8016" si="1220">DATEVALUE("30-6-2025")</f>
        <v>45838</v>
      </c>
    </row>
    <row r="7985" spans="1:6" x14ac:dyDescent="0.25">
      <c r="A7985" s="1" t="s">
        <v>547</v>
      </c>
      <c r="B7985" s="1" t="s">
        <v>546</v>
      </c>
      <c r="C7985" s="1" t="s">
        <v>8</v>
      </c>
      <c r="D7985" s="3">
        <f t="shared" si="1218"/>
        <v>7747</v>
      </c>
      <c r="E7985" s="2">
        <f t="shared" si="1219"/>
        <v>42095</v>
      </c>
      <c r="F7985" s="2">
        <f t="shared" si="1220"/>
        <v>45838</v>
      </c>
    </row>
    <row r="7986" spans="1:6" x14ac:dyDescent="0.25">
      <c r="A7986" s="1" t="s">
        <v>547</v>
      </c>
      <c r="B7986" s="1" t="s">
        <v>546</v>
      </c>
      <c r="C7986" s="1" t="s">
        <v>10</v>
      </c>
      <c r="D7986" s="3">
        <f t="shared" si="1218"/>
        <v>7747</v>
      </c>
      <c r="E7986" s="2">
        <f t="shared" si="1219"/>
        <v>42095</v>
      </c>
      <c r="F7986" s="2">
        <f t="shared" si="1220"/>
        <v>45838</v>
      </c>
    </row>
    <row r="7987" spans="1:6" x14ac:dyDescent="0.25">
      <c r="A7987" s="1" t="s">
        <v>547</v>
      </c>
      <c r="B7987" s="1" t="s">
        <v>546</v>
      </c>
      <c r="C7987" s="1" t="s">
        <v>43</v>
      </c>
      <c r="D7987" s="3">
        <f t="shared" si="1218"/>
        <v>7747</v>
      </c>
      <c r="E7987" s="2">
        <f t="shared" si="1219"/>
        <v>42095</v>
      </c>
      <c r="F7987" s="2">
        <f t="shared" si="1220"/>
        <v>45838</v>
      </c>
    </row>
    <row r="7988" spans="1:6" x14ac:dyDescent="0.25">
      <c r="A7988" s="1" t="s">
        <v>547</v>
      </c>
      <c r="B7988" s="1" t="s">
        <v>546</v>
      </c>
      <c r="C7988" s="1" t="s">
        <v>45</v>
      </c>
      <c r="D7988" s="3">
        <f t="shared" si="1218"/>
        <v>7747</v>
      </c>
      <c r="E7988" s="2">
        <f t="shared" si="1219"/>
        <v>42095</v>
      </c>
      <c r="F7988" s="2">
        <f t="shared" si="1220"/>
        <v>45838</v>
      </c>
    </row>
    <row r="7989" spans="1:6" x14ac:dyDescent="0.25">
      <c r="A7989" s="1" t="s">
        <v>547</v>
      </c>
      <c r="B7989" s="1" t="s">
        <v>546</v>
      </c>
      <c r="C7989" s="1" t="s">
        <v>44</v>
      </c>
      <c r="D7989" s="3">
        <f t="shared" si="1218"/>
        <v>7747</v>
      </c>
      <c r="E7989" s="2">
        <f t="shared" si="1219"/>
        <v>42095</v>
      </c>
      <c r="F7989" s="2">
        <f t="shared" si="1220"/>
        <v>45838</v>
      </c>
    </row>
    <row r="7990" spans="1:6" x14ac:dyDescent="0.25">
      <c r="A7990" s="1" t="s">
        <v>547</v>
      </c>
      <c r="B7990" s="1" t="s">
        <v>546</v>
      </c>
      <c r="C7990" s="1" t="s">
        <v>141</v>
      </c>
      <c r="D7990" s="3">
        <f t="shared" si="1218"/>
        <v>7747</v>
      </c>
      <c r="E7990" s="2">
        <f t="shared" si="1219"/>
        <v>42095</v>
      </c>
      <c r="F7990" s="2">
        <f t="shared" si="1220"/>
        <v>45838</v>
      </c>
    </row>
    <row r="7991" spans="1:6" x14ac:dyDescent="0.25">
      <c r="A7991" s="1" t="s">
        <v>547</v>
      </c>
      <c r="B7991" s="1" t="s">
        <v>546</v>
      </c>
      <c r="C7991" s="1" t="s">
        <v>142</v>
      </c>
      <c r="D7991" s="3">
        <f t="shared" si="1218"/>
        <v>7747</v>
      </c>
      <c r="E7991" s="2">
        <f t="shared" si="1219"/>
        <v>42095</v>
      </c>
      <c r="F7991" s="2">
        <f t="shared" si="1220"/>
        <v>45838</v>
      </c>
    </row>
    <row r="7992" spans="1:6" x14ac:dyDescent="0.25">
      <c r="A7992" s="1" t="s">
        <v>547</v>
      </c>
      <c r="B7992" s="1" t="s">
        <v>546</v>
      </c>
      <c r="C7992" s="1" t="s">
        <v>46</v>
      </c>
      <c r="D7992" s="3">
        <f t="shared" si="1218"/>
        <v>7747</v>
      </c>
      <c r="E7992" s="2">
        <f t="shared" si="1219"/>
        <v>42095</v>
      </c>
      <c r="F7992" s="2">
        <f t="shared" si="1220"/>
        <v>45838</v>
      </c>
    </row>
    <row r="7993" spans="1:6" x14ac:dyDescent="0.25">
      <c r="A7993" s="1" t="s">
        <v>547</v>
      </c>
      <c r="B7993" s="1" t="s">
        <v>546</v>
      </c>
      <c r="C7993" s="1" t="s">
        <v>14</v>
      </c>
      <c r="D7993" s="3">
        <f t="shared" si="1218"/>
        <v>7747</v>
      </c>
      <c r="E7993" s="2">
        <f t="shared" si="1219"/>
        <v>42095</v>
      </c>
      <c r="F7993" s="2">
        <f t="shared" si="1220"/>
        <v>45838</v>
      </c>
    </row>
    <row r="7994" spans="1:6" x14ac:dyDescent="0.25">
      <c r="A7994" s="1" t="s">
        <v>547</v>
      </c>
      <c r="B7994" s="1" t="s">
        <v>546</v>
      </c>
      <c r="C7994" s="1" t="s">
        <v>15</v>
      </c>
      <c r="D7994" s="3">
        <f t="shared" si="1218"/>
        <v>7747</v>
      </c>
      <c r="E7994" s="2">
        <f t="shared" si="1219"/>
        <v>42095</v>
      </c>
      <c r="F7994" s="2">
        <f t="shared" si="1220"/>
        <v>45838</v>
      </c>
    </row>
    <row r="7995" spans="1:6" x14ac:dyDescent="0.25">
      <c r="A7995" s="1" t="s">
        <v>547</v>
      </c>
      <c r="B7995" s="1" t="s">
        <v>546</v>
      </c>
      <c r="C7995" s="1" t="s">
        <v>16</v>
      </c>
      <c r="D7995" s="3">
        <f t="shared" si="1218"/>
        <v>7747</v>
      </c>
      <c r="E7995" s="2">
        <f t="shared" si="1219"/>
        <v>42095</v>
      </c>
      <c r="F7995" s="2">
        <f t="shared" si="1220"/>
        <v>45838</v>
      </c>
    </row>
    <row r="7996" spans="1:6" x14ac:dyDescent="0.25">
      <c r="A7996" s="1" t="s">
        <v>547</v>
      </c>
      <c r="B7996" s="1" t="s">
        <v>546</v>
      </c>
      <c r="C7996" s="1" t="s">
        <v>17</v>
      </c>
      <c r="D7996" s="3">
        <f t="shared" si="1218"/>
        <v>7747</v>
      </c>
      <c r="E7996" s="2">
        <f t="shared" si="1219"/>
        <v>42095</v>
      </c>
      <c r="F7996" s="2">
        <f t="shared" si="1220"/>
        <v>45838</v>
      </c>
    </row>
    <row r="7997" spans="1:6" x14ac:dyDescent="0.25">
      <c r="A7997" s="1" t="s">
        <v>547</v>
      </c>
      <c r="B7997" s="1" t="s">
        <v>546</v>
      </c>
      <c r="C7997" s="1" t="s">
        <v>19</v>
      </c>
      <c r="D7997" s="3">
        <f t="shared" si="1218"/>
        <v>7747</v>
      </c>
      <c r="E7997" s="2">
        <f t="shared" si="1219"/>
        <v>42095</v>
      </c>
      <c r="F7997" s="2">
        <f t="shared" si="1220"/>
        <v>45838</v>
      </c>
    </row>
    <row r="7998" spans="1:6" x14ac:dyDescent="0.25">
      <c r="A7998" s="1" t="s">
        <v>547</v>
      </c>
      <c r="B7998" s="1" t="s">
        <v>546</v>
      </c>
      <c r="C7998" s="1" t="s">
        <v>193</v>
      </c>
      <c r="D7998" s="3">
        <f t="shared" si="1218"/>
        <v>7747</v>
      </c>
      <c r="E7998" s="2">
        <f t="shared" si="1219"/>
        <v>42095</v>
      </c>
      <c r="F7998" s="2">
        <f t="shared" si="1220"/>
        <v>45838</v>
      </c>
    </row>
    <row r="7999" spans="1:6" x14ac:dyDescent="0.25">
      <c r="A7999" s="1" t="s">
        <v>547</v>
      </c>
      <c r="B7999" s="1" t="s">
        <v>546</v>
      </c>
      <c r="C7999" s="1" t="s">
        <v>20</v>
      </c>
      <c r="D7999" s="3">
        <f t="shared" si="1218"/>
        <v>7747</v>
      </c>
      <c r="E7999" s="2">
        <f t="shared" si="1219"/>
        <v>42095</v>
      </c>
      <c r="F7999" s="2">
        <f t="shared" si="1220"/>
        <v>45838</v>
      </c>
    </row>
    <row r="8000" spans="1:6" x14ac:dyDescent="0.25">
      <c r="A8000" s="1" t="s">
        <v>547</v>
      </c>
      <c r="B8000" s="1" t="s">
        <v>546</v>
      </c>
      <c r="C8000" s="1" t="s">
        <v>22</v>
      </c>
      <c r="D8000" s="3">
        <f t="shared" si="1218"/>
        <v>7747</v>
      </c>
      <c r="E8000" s="2">
        <f t="shared" si="1219"/>
        <v>42095</v>
      </c>
      <c r="F8000" s="2">
        <f t="shared" si="1220"/>
        <v>45838</v>
      </c>
    </row>
    <row r="8001" spans="1:6" x14ac:dyDescent="0.25">
      <c r="A8001" s="1" t="s">
        <v>547</v>
      </c>
      <c r="B8001" s="1" t="s">
        <v>546</v>
      </c>
      <c r="C8001" s="1" t="s">
        <v>146</v>
      </c>
      <c r="D8001" s="3">
        <f t="shared" si="1218"/>
        <v>7747</v>
      </c>
      <c r="E8001" s="2">
        <f t="shared" si="1219"/>
        <v>42095</v>
      </c>
      <c r="F8001" s="2">
        <f t="shared" si="1220"/>
        <v>45838</v>
      </c>
    </row>
    <row r="8002" spans="1:6" x14ac:dyDescent="0.25">
      <c r="A8002" s="1" t="s">
        <v>547</v>
      </c>
      <c r="B8002" s="1" t="s">
        <v>546</v>
      </c>
      <c r="C8002" s="1" t="s">
        <v>67</v>
      </c>
      <c r="D8002" s="3">
        <f t="shared" si="1218"/>
        <v>7747</v>
      </c>
      <c r="E8002" s="2">
        <f t="shared" si="1219"/>
        <v>42095</v>
      </c>
      <c r="F8002" s="2">
        <f t="shared" si="1220"/>
        <v>45838</v>
      </c>
    </row>
    <row r="8003" spans="1:6" x14ac:dyDescent="0.25">
      <c r="A8003" s="1" t="s">
        <v>547</v>
      </c>
      <c r="B8003" s="1" t="s">
        <v>546</v>
      </c>
      <c r="C8003" s="1" t="s">
        <v>148</v>
      </c>
      <c r="D8003" s="3">
        <f t="shared" si="1218"/>
        <v>7747</v>
      </c>
      <c r="E8003" s="2">
        <f t="shared" si="1219"/>
        <v>42095</v>
      </c>
      <c r="F8003" s="2">
        <f t="shared" si="1220"/>
        <v>45838</v>
      </c>
    </row>
    <row r="8004" spans="1:6" x14ac:dyDescent="0.25">
      <c r="A8004" s="1" t="s">
        <v>547</v>
      </c>
      <c r="B8004" s="1" t="s">
        <v>546</v>
      </c>
      <c r="C8004" s="1" t="s">
        <v>149</v>
      </c>
      <c r="D8004" s="3">
        <f t="shared" si="1218"/>
        <v>7747</v>
      </c>
      <c r="E8004" s="2">
        <f t="shared" si="1219"/>
        <v>42095</v>
      </c>
      <c r="F8004" s="2">
        <f t="shared" si="1220"/>
        <v>45838</v>
      </c>
    </row>
    <row r="8005" spans="1:6" x14ac:dyDescent="0.25">
      <c r="A8005" s="1" t="s">
        <v>547</v>
      </c>
      <c r="B8005" s="1" t="s">
        <v>546</v>
      </c>
      <c r="C8005" s="1" t="s">
        <v>151</v>
      </c>
      <c r="D8005" s="3">
        <f t="shared" si="1218"/>
        <v>7747</v>
      </c>
      <c r="E8005" s="2">
        <f t="shared" si="1219"/>
        <v>42095</v>
      </c>
      <c r="F8005" s="2">
        <f t="shared" si="1220"/>
        <v>45838</v>
      </c>
    </row>
    <row r="8006" spans="1:6" x14ac:dyDescent="0.25">
      <c r="A8006" s="1" t="s">
        <v>547</v>
      </c>
      <c r="B8006" s="1" t="s">
        <v>546</v>
      </c>
      <c r="C8006" s="1" t="s">
        <v>24</v>
      </c>
      <c r="D8006" s="3">
        <f t="shared" si="1218"/>
        <v>7747</v>
      </c>
      <c r="E8006" s="2">
        <f t="shared" si="1219"/>
        <v>42095</v>
      </c>
      <c r="F8006" s="2">
        <f t="shared" si="1220"/>
        <v>45838</v>
      </c>
    </row>
    <row r="8007" spans="1:6" x14ac:dyDescent="0.25">
      <c r="A8007" s="1" t="s">
        <v>547</v>
      </c>
      <c r="B8007" s="1" t="s">
        <v>546</v>
      </c>
      <c r="C8007" s="1" t="s">
        <v>451</v>
      </c>
      <c r="D8007" s="3">
        <f t="shared" si="1218"/>
        <v>7747</v>
      </c>
      <c r="E8007" s="2">
        <f t="shared" si="1219"/>
        <v>42095</v>
      </c>
      <c r="F8007" s="2">
        <f t="shared" si="1220"/>
        <v>45838</v>
      </c>
    </row>
    <row r="8008" spans="1:6" x14ac:dyDescent="0.25">
      <c r="A8008" s="1" t="s">
        <v>547</v>
      </c>
      <c r="B8008" s="1" t="s">
        <v>546</v>
      </c>
      <c r="C8008" s="1" t="s">
        <v>157</v>
      </c>
      <c r="D8008" s="3">
        <f t="shared" si="1218"/>
        <v>7747</v>
      </c>
      <c r="E8008" s="2">
        <f t="shared" si="1219"/>
        <v>42095</v>
      </c>
      <c r="F8008" s="2">
        <f t="shared" si="1220"/>
        <v>45838</v>
      </c>
    </row>
    <row r="8009" spans="1:6" x14ac:dyDescent="0.25">
      <c r="A8009" s="1" t="s">
        <v>547</v>
      </c>
      <c r="B8009" s="1" t="s">
        <v>546</v>
      </c>
      <c r="C8009" s="1" t="s">
        <v>157</v>
      </c>
      <c r="D8009" s="3">
        <f t="shared" si="1218"/>
        <v>7747</v>
      </c>
      <c r="E8009" s="2">
        <f t="shared" si="1219"/>
        <v>42095</v>
      </c>
      <c r="F8009" s="2">
        <f t="shared" si="1220"/>
        <v>45838</v>
      </c>
    </row>
    <row r="8010" spans="1:6" x14ac:dyDescent="0.25">
      <c r="A8010" s="1" t="s">
        <v>547</v>
      </c>
      <c r="B8010" s="1" t="s">
        <v>546</v>
      </c>
      <c r="C8010" s="1" t="s">
        <v>548</v>
      </c>
      <c r="D8010" s="3">
        <f t="shared" si="1218"/>
        <v>7747</v>
      </c>
      <c r="E8010" s="2">
        <f t="shared" si="1219"/>
        <v>42095</v>
      </c>
      <c r="F8010" s="2">
        <f t="shared" si="1220"/>
        <v>45838</v>
      </c>
    </row>
    <row r="8011" spans="1:6" x14ac:dyDescent="0.25">
      <c r="A8011" s="1" t="s">
        <v>547</v>
      </c>
      <c r="B8011" s="1" t="s">
        <v>546</v>
      </c>
      <c r="C8011" s="1" t="s">
        <v>73</v>
      </c>
      <c r="D8011" s="3">
        <f t="shared" si="1218"/>
        <v>7747</v>
      </c>
      <c r="E8011" s="2">
        <f t="shared" si="1219"/>
        <v>42095</v>
      </c>
      <c r="F8011" s="2">
        <f t="shared" si="1220"/>
        <v>45838</v>
      </c>
    </row>
    <row r="8012" spans="1:6" x14ac:dyDescent="0.25">
      <c r="A8012" s="1" t="s">
        <v>547</v>
      </c>
      <c r="B8012" s="1" t="s">
        <v>546</v>
      </c>
      <c r="C8012" s="1" t="s">
        <v>74</v>
      </c>
      <c r="D8012" s="3">
        <f t="shared" si="1218"/>
        <v>7747</v>
      </c>
      <c r="E8012" s="2">
        <f t="shared" si="1219"/>
        <v>42095</v>
      </c>
      <c r="F8012" s="2">
        <f t="shared" si="1220"/>
        <v>45838</v>
      </c>
    </row>
    <row r="8013" spans="1:6" x14ac:dyDescent="0.25">
      <c r="A8013" s="1" t="s">
        <v>547</v>
      </c>
      <c r="B8013" s="1" t="s">
        <v>546</v>
      </c>
      <c r="C8013" s="1" t="s">
        <v>34</v>
      </c>
      <c r="D8013" s="3">
        <f t="shared" si="1218"/>
        <v>7747</v>
      </c>
      <c r="E8013" s="2">
        <f t="shared" si="1219"/>
        <v>42095</v>
      </c>
      <c r="F8013" s="2">
        <f t="shared" si="1220"/>
        <v>45838</v>
      </c>
    </row>
    <row r="8014" spans="1:6" x14ac:dyDescent="0.25">
      <c r="A8014" s="1" t="s">
        <v>547</v>
      </c>
      <c r="B8014" s="1" t="s">
        <v>546</v>
      </c>
      <c r="C8014" s="1" t="s">
        <v>310</v>
      </c>
      <c r="D8014" s="3">
        <f t="shared" si="1218"/>
        <v>7747</v>
      </c>
      <c r="E8014" s="2">
        <f t="shared" si="1219"/>
        <v>42095</v>
      </c>
      <c r="F8014" s="2">
        <f t="shared" si="1220"/>
        <v>45838</v>
      </c>
    </row>
    <row r="8015" spans="1:6" x14ac:dyDescent="0.25">
      <c r="A8015" s="1" t="s">
        <v>547</v>
      </c>
      <c r="B8015" s="1" t="s">
        <v>546</v>
      </c>
      <c r="C8015" s="1" t="s">
        <v>57</v>
      </c>
      <c r="D8015" s="3">
        <f t="shared" si="1218"/>
        <v>7747</v>
      </c>
      <c r="E8015" s="2">
        <f t="shared" si="1219"/>
        <v>42095</v>
      </c>
      <c r="F8015" s="2">
        <f t="shared" si="1220"/>
        <v>45838</v>
      </c>
    </row>
    <row r="8016" spans="1:6" x14ac:dyDescent="0.25">
      <c r="A8016" s="1" t="s">
        <v>547</v>
      </c>
      <c r="B8016" s="1" t="s">
        <v>546</v>
      </c>
      <c r="C8016" s="1" t="s">
        <v>36</v>
      </c>
      <c r="D8016" s="3">
        <f t="shared" si="1218"/>
        <v>7747</v>
      </c>
      <c r="E8016" s="2">
        <f t="shared" si="1219"/>
        <v>42095</v>
      </c>
      <c r="F8016" s="2">
        <f t="shared" si="1220"/>
        <v>45838</v>
      </c>
    </row>
    <row r="8017" spans="1:6" x14ac:dyDescent="0.25">
      <c r="A8017" s="1" t="s">
        <v>547</v>
      </c>
      <c r="B8017" s="1" t="s">
        <v>1928</v>
      </c>
      <c r="C8017" s="1" t="s">
        <v>7</v>
      </c>
      <c r="D8017" s="3">
        <f t="shared" ref="D8017:D8026" si="1221">VALUE("7593")</f>
        <v>7593</v>
      </c>
      <c r="E8017" s="2">
        <f t="shared" ref="E8017:E8026" si="1222">DATEVALUE("1-3-2014")</f>
        <v>41699</v>
      </c>
      <c r="F8017" s="2">
        <f t="shared" ref="F8017:F8026" si="1223">DATEVALUE("30-4-2015")</f>
        <v>42124</v>
      </c>
    </row>
    <row r="8018" spans="1:6" x14ac:dyDescent="0.25">
      <c r="A8018" s="1" t="s">
        <v>547</v>
      </c>
      <c r="B8018" s="1" t="s">
        <v>1928</v>
      </c>
      <c r="C8018" s="1" t="s">
        <v>8</v>
      </c>
      <c r="D8018" s="3">
        <f t="shared" si="1221"/>
        <v>7593</v>
      </c>
      <c r="E8018" s="2">
        <f t="shared" si="1222"/>
        <v>41699</v>
      </c>
      <c r="F8018" s="2">
        <f t="shared" si="1223"/>
        <v>42124</v>
      </c>
    </row>
    <row r="8019" spans="1:6" x14ac:dyDescent="0.25">
      <c r="A8019" s="1" t="s">
        <v>547</v>
      </c>
      <c r="B8019" s="1" t="s">
        <v>1928</v>
      </c>
      <c r="C8019" s="1" t="s">
        <v>10</v>
      </c>
      <c r="D8019" s="3">
        <f t="shared" si="1221"/>
        <v>7593</v>
      </c>
      <c r="E8019" s="2">
        <f t="shared" si="1222"/>
        <v>41699</v>
      </c>
      <c r="F8019" s="2">
        <f t="shared" si="1223"/>
        <v>42124</v>
      </c>
    </row>
    <row r="8020" spans="1:6" x14ac:dyDescent="0.25">
      <c r="A8020" s="1" t="s">
        <v>547</v>
      </c>
      <c r="B8020" s="1" t="s">
        <v>1928</v>
      </c>
      <c r="C8020" s="1" t="s">
        <v>46</v>
      </c>
      <c r="D8020" s="3">
        <f t="shared" si="1221"/>
        <v>7593</v>
      </c>
      <c r="E8020" s="2">
        <f t="shared" si="1222"/>
        <v>41699</v>
      </c>
      <c r="F8020" s="2">
        <f t="shared" si="1223"/>
        <v>42124</v>
      </c>
    </row>
    <row r="8021" spans="1:6" x14ac:dyDescent="0.25">
      <c r="A8021" s="1" t="s">
        <v>547</v>
      </c>
      <c r="B8021" s="1" t="s">
        <v>1928</v>
      </c>
      <c r="C8021" s="1" t="s">
        <v>17</v>
      </c>
      <c r="D8021" s="3">
        <f t="shared" si="1221"/>
        <v>7593</v>
      </c>
      <c r="E8021" s="2">
        <f t="shared" si="1222"/>
        <v>41699</v>
      </c>
      <c r="F8021" s="2">
        <f t="shared" si="1223"/>
        <v>42124</v>
      </c>
    </row>
    <row r="8022" spans="1:6" x14ac:dyDescent="0.25">
      <c r="A8022" s="1" t="s">
        <v>547</v>
      </c>
      <c r="B8022" s="1" t="s">
        <v>1928</v>
      </c>
      <c r="C8022" s="1" t="s">
        <v>193</v>
      </c>
      <c r="D8022" s="3">
        <f t="shared" si="1221"/>
        <v>7593</v>
      </c>
      <c r="E8022" s="2">
        <f t="shared" si="1222"/>
        <v>41699</v>
      </c>
      <c r="F8022" s="2">
        <f t="shared" si="1223"/>
        <v>42124</v>
      </c>
    </row>
    <row r="8023" spans="1:6" x14ac:dyDescent="0.25">
      <c r="A8023" s="1" t="s">
        <v>547</v>
      </c>
      <c r="B8023" s="1" t="s">
        <v>1928</v>
      </c>
      <c r="C8023" s="1" t="s">
        <v>20</v>
      </c>
      <c r="D8023" s="3">
        <f t="shared" si="1221"/>
        <v>7593</v>
      </c>
      <c r="E8023" s="2">
        <f t="shared" si="1222"/>
        <v>41699</v>
      </c>
      <c r="F8023" s="2">
        <f t="shared" si="1223"/>
        <v>42124</v>
      </c>
    </row>
    <row r="8024" spans="1:6" x14ac:dyDescent="0.25">
      <c r="A8024" s="1" t="s">
        <v>547</v>
      </c>
      <c r="B8024" s="1" t="s">
        <v>1928</v>
      </c>
      <c r="C8024" s="1" t="s">
        <v>22</v>
      </c>
      <c r="D8024" s="3">
        <f t="shared" si="1221"/>
        <v>7593</v>
      </c>
      <c r="E8024" s="2">
        <f t="shared" si="1222"/>
        <v>41699</v>
      </c>
      <c r="F8024" s="2">
        <f t="shared" si="1223"/>
        <v>42124</v>
      </c>
    </row>
    <row r="8025" spans="1:6" x14ac:dyDescent="0.25">
      <c r="A8025" s="1" t="s">
        <v>547</v>
      </c>
      <c r="B8025" s="1" t="s">
        <v>1928</v>
      </c>
      <c r="C8025" s="1" t="s">
        <v>336</v>
      </c>
      <c r="D8025" s="3">
        <f t="shared" si="1221"/>
        <v>7593</v>
      </c>
      <c r="E8025" s="2">
        <f t="shared" si="1222"/>
        <v>41699</v>
      </c>
      <c r="F8025" s="2">
        <f t="shared" si="1223"/>
        <v>42124</v>
      </c>
    </row>
    <row r="8026" spans="1:6" x14ac:dyDescent="0.25">
      <c r="A8026" s="1" t="s">
        <v>547</v>
      </c>
      <c r="B8026" s="1" t="s">
        <v>1928</v>
      </c>
      <c r="C8026" s="1" t="s">
        <v>332</v>
      </c>
      <c r="D8026" s="3">
        <f t="shared" si="1221"/>
        <v>7593</v>
      </c>
      <c r="E8026" s="2">
        <f t="shared" si="1222"/>
        <v>41699</v>
      </c>
      <c r="F8026" s="2">
        <f t="shared" si="1223"/>
        <v>42124</v>
      </c>
    </row>
    <row r="8027" spans="1:6" x14ac:dyDescent="0.25">
      <c r="A8027" s="1" t="s">
        <v>547</v>
      </c>
      <c r="B8027" s="1" t="s">
        <v>2640</v>
      </c>
      <c r="C8027" s="1" t="s">
        <v>2607</v>
      </c>
      <c r="D8027" s="3">
        <f t="shared" ref="D8027:D8033" si="1224">VALUE("7271")</f>
        <v>7271</v>
      </c>
      <c r="E8027" s="2">
        <f t="shared" ref="E8027:E8033" si="1225">DATEVALUE("1-4-2012")</f>
        <v>41000</v>
      </c>
      <c r="F8027" s="2">
        <f t="shared" ref="F8027:F8033" si="1226">DATEVALUE("30-11-2012")</f>
        <v>41243</v>
      </c>
    </row>
    <row r="8028" spans="1:6" x14ac:dyDescent="0.25">
      <c r="A8028" s="1" t="s">
        <v>547</v>
      </c>
      <c r="B8028" s="1" t="s">
        <v>2640</v>
      </c>
      <c r="C8028" s="1" t="s">
        <v>105</v>
      </c>
      <c r="D8028" s="3">
        <f t="shared" si="1224"/>
        <v>7271</v>
      </c>
      <c r="E8028" s="2">
        <f t="shared" si="1225"/>
        <v>41000</v>
      </c>
      <c r="F8028" s="2">
        <f t="shared" si="1226"/>
        <v>41243</v>
      </c>
    </row>
    <row r="8029" spans="1:6" x14ac:dyDescent="0.25">
      <c r="A8029" s="1" t="s">
        <v>547</v>
      </c>
      <c r="B8029" s="1" t="s">
        <v>2640</v>
      </c>
      <c r="C8029" s="1" t="s">
        <v>106</v>
      </c>
      <c r="D8029" s="3">
        <f t="shared" si="1224"/>
        <v>7271</v>
      </c>
      <c r="E8029" s="2">
        <f t="shared" si="1225"/>
        <v>41000</v>
      </c>
      <c r="F8029" s="2">
        <f t="shared" si="1226"/>
        <v>41243</v>
      </c>
    </row>
    <row r="8030" spans="1:6" x14ac:dyDescent="0.25">
      <c r="A8030" s="1" t="s">
        <v>547</v>
      </c>
      <c r="B8030" s="1" t="s">
        <v>2640</v>
      </c>
      <c r="C8030" s="1" t="s">
        <v>32</v>
      </c>
      <c r="D8030" s="3">
        <f t="shared" si="1224"/>
        <v>7271</v>
      </c>
      <c r="E8030" s="2">
        <f t="shared" si="1225"/>
        <v>41000</v>
      </c>
      <c r="F8030" s="2">
        <f t="shared" si="1226"/>
        <v>41243</v>
      </c>
    </row>
    <row r="8031" spans="1:6" x14ac:dyDescent="0.25">
      <c r="A8031" s="1" t="s">
        <v>547</v>
      </c>
      <c r="B8031" s="1" t="s">
        <v>2640</v>
      </c>
      <c r="C8031" s="1" t="s">
        <v>113</v>
      </c>
      <c r="D8031" s="3">
        <f t="shared" si="1224"/>
        <v>7271</v>
      </c>
      <c r="E8031" s="2">
        <f t="shared" si="1225"/>
        <v>41000</v>
      </c>
      <c r="F8031" s="2">
        <f t="shared" si="1226"/>
        <v>41243</v>
      </c>
    </row>
    <row r="8032" spans="1:6" x14ac:dyDescent="0.25">
      <c r="A8032" s="1" t="s">
        <v>547</v>
      </c>
      <c r="B8032" s="1" t="s">
        <v>2640</v>
      </c>
      <c r="C8032" s="1" t="s">
        <v>33</v>
      </c>
      <c r="D8032" s="3">
        <f t="shared" si="1224"/>
        <v>7271</v>
      </c>
      <c r="E8032" s="2">
        <f t="shared" si="1225"/>
        <v>41000</v>
      </c>
      <c r="F8032" s="2">
        <f t="shared" si="1226"/>
        <v>41243</v>
      </c>
    </row>
    <row r="8033" spans="1:6" x14ac:dyDescent="0.25">
      <c r="A8033" s="1" t="s">
        <v>547</v>
      </c>
      <c r="B8033" s="1" t="s">
        <v>2640</v>
      </c>
      <c r="C8033" s="1" t="s">
        <v>164</v>
      </c>
      <c r="D8033" s="3">
        <f t="shared" si="1224"/>
        <v>7271</v>
      </c>
      <c r="E8033" s="2">
        <f t="shared" si="1225"/>
        <v>41000</v>
      </c>
      <c r="F8033" s="2">
        <f t="shared" si="1226"/>
        <v>41243</v>
      </c>
    </row>
    <row r="8034" spans="1:6" x14ac:dyDescent="0.25">
      <c r="A8034" s="1" t="s">
        <v>547</v>
      </c>
      <c r="B8034" s="1" t="s">
        <v>2606</v>
      </c>
      <c r="C8034" s="1" t="s">
        <v>2607</v>
      </c>
      <c r="D8034" s="3">
        <f t="shared" ref="D8034:D8040" si="1227">VALUE("7205")</f>
        <v>7205</v>
      </c>
      <c r="E8034" s="2">
        <f t="shared" ref="E8034:E8040" si="1228">DATEVALUE("1-5-2011")</f>
        <v>40664</v>
      </c>
      <c r="F8034" s="2">
        <f t="shared" ref="F8034:F8040" si="1229">DATEVALUE("31-8-2013")</f>
        <v>41517</v>
      </c>
    </row>
    <row r="8035" spans="1:6" x14ac:dyDescent="0.25">
      <c r="A8035" s="1" t="s">
        <v>547</v>
      </c>
      <c r="B8035" s="1" t="s">
        <v>2606</v>
      </c>
      <c r="C8035" s="1" t="s">
        <v>105</v>
      </c>
      <c r="D8035" s="3">
        <f t="shared" si="1227"/>
        <v>7205</v>
      </c>
      <c r="E8035" s="2">
        <f t="shared" si="1228"/>
        <v>40664</v>
      </c>
      <c r="F8035" s="2">
        <f t="shared" si="1229"/>
        <v>41517</v>
      </c>
    </row>
    <row r="8036" spans="1:6" x14ac:dyDescent="0.25">
      <c r="A8036" s="1" t="s">
        <v>547</v>
      </c>
      <c r="B8036" s="1" t="s">
        <v>2606</v>
      </c>
      <c r="C8036" s="1" t="s">
        <v>106</v>
      </c>
      <c r="D8036" s="3">
        <f t="shared" si="1227"/>
        <v>7205</v>
      </c>
      <c r="E8036" s="2">
        <f t="shared" si="1228"/>
        <v>40664</v>
      </c>
      <c r="F8036" s="2">
        <f t="shared" si="1229"/>
        <v>41517</v>
      </c>
    </row>
    <row r="8037" spans="1:6" x14ac:dyDescent="0.25">
      <c r="A8037" s="1" t="s">
        <v>547</v>
      </c>
      <c r="B8037" s="1" t="s">
        <v>2606</v>
      </c>
      <c r="C8037" s="1" t="s">
        <v>32</v>
      </c>
      <c r="D8037" s="3">
        <f t="shared" si="1227"/>
        <v>7205</v>
      </c>
      <c r="E8037" s="2">
        <f t="shared" si="1228"/>
        <v>40664</v>
      </c>
      <c r="F8037" s="2">
        <f t="shared" si="1229"/>
        <v>41517</v>
      </c>
    </row>
    <row r="8038" spans="1:6" x14ac:dyDescent="0.25">
      <c r="A8038" s="1" t="s">
        <v>547</v>
      </c>
      <c r="B8038" s="1" t="s">
        <v>2606</v>
      </c>
      <c r="C8038" s="1" t="s">
        <v>113</v>
      </c>
      <c r="D8038" s="3">
        <f t="shared" si="1227"/>
        <v>7205</v>
      </c>
      <c r="E8038" s="2">
        <f t="shared" si="1228"/>
        <v>40664</v>
      </c>
      <c r="F8038" s="2">
        <f t="shared" si="1229"/>
        <v>41517</v>
      </c>
    </row>
    <row r="8039" spans="1:6" x14ac:dyDescent="0.25">
      <c r="A8039" s="1" t="s">
        <v>547</v>
      </c>
      <c r="B8039" s="1" t="s">
        <v>2606</v>
      </c>
      <c r="C8039" s="1" t="s">
        <v>33</v>
      </c>
      <c r="D8039" s="3">
        <f t="shared" si="1227"/>
        <v>7205</v>
      </c>
      <c r="E8039" s="2">
        <f t="shared" si="1228"/>
        <v>40664</v>
      </c>
      <c r="F8039" s="2">
        <f t="shared" si="1229"/>
        <v>41517</v>
      </c>
    </row>
    <row r="8040" spans="1:6" x14ac:dyDescent="0.25">
      <c r="A8040" s="1" t="s">
        <v>547</v>
      </c>
      <c r="B8040" s="1" t="s">
        <v>2606</v>
      </c>
      <c r="C8040" s="1" t="s">
        <v>164</v>
      </c>
      <c r="D8040" s="3">
        <f t="shared" si="1227"/>
        <v>7205</v>
      </c>
      <c r="E8040" s="2">
        <f t="shared" si="1228"/>
        <v>40664</v>
      </c>
      <c r="F8040" s="2">
        <f t="shared" si="1229"/>
        <v>41517</v>
      </c>
    </row>
    <row r="8041" spans="1:6" x14ac:dyDescent="0.25">
      <c r="A8041" s="1" t="s">
        <v>547</v>
      </c>
      <c r="B8041" s="1" t="s">
        <v>1928</v>
      </c>
      <c r="C8041" s="1" t="s">
        <v>7</v>
      </c>
      <c r="D8041" s="3">
        <f t="shared" ref="D8041:D8056" si="1230">VALUE("7152")</f>
        <v>7152</v>
      </c>
      <c r="E8041" s="2">
        <f t="shared" ref="E8041:E8056" si="1231">DATEVALUE("1-12-2010")</f>
        <v>40513</v>
      </c>
      <c r="F8041" s="2">
        <f t="shared" ref="F8041:F8056" si="1232">DATEVALUE("30-4-2014")</f>
        <v>41759</v>
      </c>
    </row>
    <row r="8042" spans="1:6" x14ac:dyDescent="0.25">
      <c r="A8042" s="1" t="s">
        <v>547</v>
      </c>
      <c r="B8042" s="1" t="s">
        <v>1928</v>
      </c>
      <c r="C8042" s="1" t="s">
        <v>42</v>
      </c>
      <c r="D8042" s="3">
        <f t="shared" si="1230"/>
        <v>7152</v>
      </c>
      <c r="E8042" s="2">
        <f t="shared" si="1231"/>
        <v>40513</v>
      </c>
      <c r="F8042" s="2">
        <f t="shared" si="1232"/>
        <v>41759</v>
      </c>
    </row>
    <row r="8043" spans="1:6" x14ac:dyDescent="0.25">
      <c r="A8043" s="1" t="s">
        <v>547</v>
      </c>
      <c r="B8043" s="1" t="s">
        <v>1928</v>
      </c>
      <c r="C8043" s="1" t="s">
        <v>8</v>
      </c>
      <c r="D8043" s="3">
        <f t="shared" si="1230"/>
        <v>7152</v>
      </c>
      <c r="E8043" s="2">
        <f t="shared" si="1231"/>
        <v>40513</v>
      </c>
      <c r="F8043" s="2">
        <f t="shared" si="1232"/>
        <v>41759</v>
      </c>
    </row>
    <row r="8044" spans="1:6" x14ac:dyDescent="0.25">
      <c r="A8044" s="1" t="s">
        <v>547</v>
      </c>
      <c r="B8044" s="1" t="s">
        <v>1928</v>
      </c>
      <c r="C8044" s="1" t="s">
        <v>10</v>
      </c>
      <c r="D8044" s="3">
        <f t="shared" si="1230"/>
        <v>7152</v>
      </c>
      <c r="E8044" s="2">
        <f t="shared" si="1231"/>
        <v>40513</v>
      </c>
      <c r="F8044" s="2">
        <f t="shared" si="1232"/>
        <v>41759</v>
      </c>
    </row>
    <row r="8045" spans="1:6" x14ac:dyDescent="0.25">
      <c r="A8045" s="1" t="s">
        <v>547</v>
      </c>
      <c r="B8045" s="1" t="s">
        <v>1928</v>
      </c>
      <c r="C8045" s="1" t="s">
        <v>11</v>
      </c>
      <c r="D8045" s="3">
        <f t="shared" si="1230"/>
        <v>7152</v>
      </c>
      <c r="E8045" s="2">
        <f t="shared" si="1231"/>
        <v>40513</v>
      </c>
      <c r="F8045" s="2">
        <f t="shared" si="1232"/>
        <v>41759</v>
      </c>
    </row>
    <row r="8046" spans="1:6" x14ac:dyDescent="0.25">
      <c r="A8046" s="1" t="s">
        <v>547</v>
      </c>
      <c r="B8046" s="1" t="s">
        <v>1928</v>
      </c>
      <c r="C8046" s="1" t="s">
        <v>12</v>
      </c>
      <c r="D8046" s="3">
        <f t="shared" si="1230"/>
        <v>7152</v>
      </c>
      <c r="E8046" s="2">
        <f t="shared" si="1231"/>
        <v>40513</v>
      </c>
      <c r="F8046" s="2">
        <f t="shared" si="1232"/>
        <v>41759</v>
      </c>
    </row>
    <row r="8047" spans="1:6" x14ac:dyDescent="0.25">
      <c r="A8047" s="1" t="s">
        <v>547</v>
      </c>
      <c r="B8047" s="1" t="s">
        <v>1928</v>
      </c>
      <c r="C8047" s="1" t="s">
        <v>17</v>
      </c>
      <c r="D8047" s="3">
        <f t="shared" si="1230"/>
        <v>7152</v>
      </c>
      <c r="E8047" s="2">
        <f t="shared" si="1231"/>
        <v>40513</v>
      </c>
      <c r="F8047" s="2">
        <f t="shared" si="1232"/>
        <v>41759</v>
      </c>
    </row>
    <row r="8048" spans="1:6" x14ac:dyDescent="0.25">
      <c r="A8048" s="1" t="s">
        <v>547</v>
      </c>
      <c r="B8048" s="1" t="s">
        <v>1928</v>
      </c>
      <c r="C8048" s="1" t="s">
        <v>97</v>
      </c>
      <c r="D8048" s="3">
        <f t="shared" si="1230"/>
        <v>7152</v>
      </c>
      <c r="E8048" s="2">
        <f t="shared" si="1231"/>
        <v>40513</v>
      </c>
      <c r="F8048" s="2">
        <f t="shared" si="1232"/>
        <v>41759</v>
      </c>
    </row>
    <row r="8049" spans="1:6" x14ac:dyDescent="0.25">
      <c r="A8049" s="1" t="s">
        <v>547</v>
      </c>
      <c r="B8049" s="1" t="s">
        <v>1928</v>
      </c>
      <c r="C8049" s="1" t="s">
        <v>107</v>
      </c>
      <c r="D8049" s="3">
        <f t="shared" si="1230"/>
        <v>7152</v>
      </c>
      <c r="E8049" s="2">
        <f t="shared" si="1231"/>
        <v>40513</v>
      </c>
      <c r="F8049" s="2">
        <f t="shared" si="1232"/>
        <v>41759</v>
      </c>
    </row>
    <row r="8050" spans="1:6" x14ac:dyDescent="0.25">
      <c r="A8050" s="1" t="s">
        <v>547</v>
      </c>
      <c r="B8050" s="1" t="s">
        <v>1928</v>
      </c>
      <c r="C8050" s="1" t="s">
        <v>32</v>
      </c>
      <c r="D8050" s="3">
        <f t="shared" si="1230"/>
        <v>7152</v>
      </c>
      <c r="E8050" s="2">
        <f t="shared" si="1231"/>
        <v>40513</v>
      </c>
      <c r="F8050" s="2">
        <f t="shared" si="1232"/>
        <v>41759</v>
      </c>
    </row>
    <row r="8051" spans="1:6" x14ac:dyDescent="0.25">
      <c r="A8051" s="1" t="s">
        <v>547</v>
      </c>
      <c r="B8051" s="1" t="s">
        <v>1928</v>
      </c>
      <c r="C8051" s="1" t="s">
        <v>109</v>
      </c>
      <c r="D8051" s="3">
        <f t="shared" si="1230"/>
        <v>7152</v>
      </c>
      <c r="E8051" s="2">
        <f t="shared" si="1231"/>
        <v>40513</v>
      </c>
      <c r="F8051" s="2">
        <f t="shared" si="1232"/>
        <v>41759</v>
      </c>
    </row>
    <row r="8052" spans="1:6" x14ac:dyDescent="0.25">
      <c r="A8052" s="1" t="s">
        <v>547</v>
      </c>
      <c r="B8052" s="1" t="s">
        <v>1928</v>
      </c>
      <c r="C8052" s="1" t="s">
        <v>113</v>
      </c>
      <c r="D8052" s="3">
        <f t="shared" si="1230"/>
        <v>7152</v>
      </c>
      <c r="E8052" s="2">
        <f t="shared" si="1231"/>
        <v>40513</v>
      </c>
      <c r="F8052" s="2">
        <f t="shared" si="1232"/>
        <v>41759</v>
      </c>
    </row>
    <row r="8053" spans="1:6" x14ac:dyDescent="0.25">
      <c r="A8053" s="1" t="s">
        <v>547</v>
      </c>
      <c r="B8053" s="1" t="s">
        <v>1928</v>
      </c>
      <c r="C8053" s="1" t="s">
        <v>33</v>
      </c>
      <c r="D8053" s="3">
        <f t="shared" si="1230"/>
        <v>7152</v>
      </c>
      <c r="E8053" s="2">
        <f t="shared" si="1231"/>
        <v>40513</v>
      </c>
      <c r="F8053" s="2">
        <f t="shared" si="1232"/>
        <v>41759</v>
      </c>
    </row>
    <row r="8054" spans="1:6" x14ac:dyDescent="0.25">
      <c r="A8054" s="1" t="s">
        <v>547</v>
      </c>
      <c r="B8054" s="1" t="s">
        <v>1928</v>
      </c>
      <c r="C8054" s="1" t="s">
        <v>116</v>
      </c>
      <c r="D8054" s="3">
        <f t="shared" si="1230"/>
        <v>7152</v>
      </c>
      <c r="E8054" s="2">
        <f t="shared" si="1231"/>
        <v>40513</v>
      </c>
      <c r="F8054" s="2">
        <f t="shared" si="1232"/>
        <v>41759</v>
      </c>
    </row>
    <row r="8055" spans="1:6" x14ac:dyDescent="0.25">
      <c r="A8055" s="1" t="s">
        <v>547</v>
      </c>
      <c r="B8055" s="1" t="s">
        <v>1928</v>
      </c>
      <c r="C8055" s="1" t="s">
        <v>57</v>
      </c>
      <c r="D8055" s="3">
        <f t="shared" si="1230"/>
        <v>7152</v>
      </c>
      <c r="E8055" s="2">
        <f t="shared" si="1231"/>
        <v>40513</v>
      </c>
      <c r="F8055" s="2">
        <f t="shared" si="1232"/>
        <v>41759</v>
      </c>
    </row>
    <row r="8056" spans="1:6" x14ac:dyDescent="0.25">
      <c r="A8056" s="1" t="s">
        <v>547</v>
      </c>
      <c r="B8056" s="1" t="s">
        <v>1928</v>
      </c>
      <c r="C8056" s="1" t="s">
        <v>36</v>
      </c>
      <c r="D8056" s="3">
        <f t="shared" si="1230"/>
        <v>7152</v>
      </c>
      <c r="E8056" s="2">
        <f t="shared" si="1231"/>
        <v>40513</v>
      </c>
      <c r="F8056" s="2">
        <f t="shared" si="1232"/>
        <v>41759</v>
      </c>
    </row>
    <row r="8057" spans="1:6" x14ac:dyDescent="0.25">
      <c r="A8057" s="1" t="s">
        <v>2165</v>
      </c>
      <c r="B8057" s="1" t="s">
        <v>2164</v>
      </c>
      <c r="C8057" s="1" t="s">
        <v>325</v>
      </c>
      <c r="D8057" s="3">
        <f t="shared" ref="D8057:D8093" si="1233">VALUE("7586")</f>
        <v>7586</v>
      </c>
      <c r="E8057" s="2">
        <f t="shared" ref="E8057:E8093" si="1234">DATEVALUE("1-4-2014")</f>
        <v>41730</v>
      </c>
      <c r="F8057" s="2">
        <f t="shared" ref="F8057:F8093" si="1235">DATEVALUE("30-9-2018")</f>
        <v>43373</v>
      </c>
    </row>
    <row r="8058" spans="1:6" x14ac:dyDescent="0.25">
      <c r="A8058" s="1" t="s">
        <v>2165</v>
      </c>
      <c r="B8058" s="1" t="s">
        <v>2164</v>
      </c>
      <c r="C8058" s="1" t="s">
        <v>39</v>
      </c>
      <c r="D8058" s="3">
        <f t="shared" si="1233"/>
        <v>7586</v>
      </c>
      <c r="E8058" s="2">
        <f t="shared" si="1234"/>
        <v>41730</v>
      </c>
      <c r="F8058" s="2">
        <f t="shared" si="1235"/>
        <v>43373</v>
      </c>
    </row>
    <row r="8059" spans="1:6" x14ac:dyDescent="0.25">
      <c r="A8059" s="1" t="s">
        <v>2165</v>
      </c>
      <c r="B8059" s="1" t="s">
        <v>2164</v>
      </c>
      <c r="C8059" s="1" t="s">
        <v>8</v>
      </c>
      <c r="D8059" s="3">
        <f t="shared" si="1233"/>
        <v>7586</v>
      </c>
      <c r="E8059" s="2">
        <f t="shared" si="1234"/>
        <v>41730</v>
      </c>
      <c r="F8059" s="2">
        <f t="shared" si="1235"/>
        <v>43373</v>
      </c>
    </row>
    <row r="8060" spans="1:6" x14ac:dyDescent="0.25">
      <c r="A8060" s="1" t="s">
        <v>2165</v>
      </c>
      <c r="B8060" s="1" t="s">
        <v>2164</v>
      </c>
      <c r="C8060" s="1" t="s">
        <v>9</v>
      </c>
      <c r="D8060" s="3">
        <f t="shared" si="1233"/>
        <v>7586</v>
      </c>
      <c r="E8060" s="2">
        <f t="shared" si="1234"/>
        <v>41730</v>
      </c>
      <c r="F8060" s="2">
        <f t="shared" si="1235"/>
        <v>43373</v>
      </c>
    </row>
    <row r="8061" spans="1:6" x14ac:dyDescent="0.25">
      <c r="A8061" s="1" t="s">
        <v>2165</v>
      </c>
      <c r="B8061" s="1" t="s">
        <v>2164</v>
      </c>
      <c r="C8061" s="1" t="s">
        <v>10</v>
      </c>
      <c r="D8061" s="3">
        <f t="shared" si="1233"/>
        <v>7586</v>
      </c>
      <c r="E8061" s="2">
        <f t="shared" si="1234"/>
        <v>41730</v>
      </c>
      <c r="F8061" s="2">
        <f t="shared" si="1235"/>
        <v>43373</v>
      </c>
    </row>
    <row r="8062" spans="1:6" x14ac:dyDescent="0.25">
      <c r="A8062" s="1" t="s">
        <v>2165</v>
      </c>
      <c r="B8062" s="1" t="s">
        <v>2164</v>
      </c>
      <c r="C8062" s="1" t="s">
        <v>11</v>
      </c>
      <c r="D8062" s="3">
        <f t="shared" si="1233"/>
        <v>7586</v>
      </c>
      <c r="E8062" s="2">
        <f t="shared" si="1234"/>
        <v>41730</v>
      </c>
      <c r="F8062" s="2">
        <f t="shared" si="1235"/>
        <v>43373</v>
      </c>
    </row>
    <row r="8063" spans="1:6" x14ac:dyDescent="0.25">
      <c r="A8063" s="1" t="s">
        <v>2165</v>
      </c>
      <c r="B8063" s="1" t="s">
        <v>2164</v>
      </c>
      <c r="C8063" s="1" t="s">
        <v>12</v>
      </c>
      <c r="D8063" s="3">
        <f t="shared" si="1233"/>
        <v>7586</v>
      </c>
      <c r="E8063" s="2">
        <f t="shared" si="1234"/>
        <v>41730</v>
      </c>
      <c r="F8063" s="2">
        <f t="shared" si="1235"/>
        <v>43373</v>
      </c>
    </row>
    <row r="8064" spans="1:6" x14ac:dyDescent="0.25">
      <c r="A8064" s="1" t="s">
        <v>2165</v>
      </c>
      <c r="B8064" s="1" t="s">
        <v>2164</v>
      </c>
      <c r="C8064" s="1" t="s">
        <v>43</v>
      </c>
      <c r="D8064" s="3">
        <f t="shared" si="1233"/>
        <v>7586</v>
      </c>
      <c r="E8064" s="2">
        <f t="shared" si="1234"/>
        <v>41730</v>
      </c>
      <c r="F8064" s="2">
        <f t="shared" si="1235"/>
        <v>43373</v>
      </c>
    </row>
    <row r="8065" spans="1:6" x14ac:dyDescent="0.25">
      <c r="A8065" s="1" t="s">
        <v>2165</v>
      </c>
      <c r="B8065" s="1" t="s">
        <v>2164</v>
      </c>
      <c r="C8065" s="1" t="s">
        <v>62</v>
      </c>
      <c r="D8065" s="3">
        <f t="shared" si="1233"/>
        <v>7586</v>
      </c>
      <c r="E8065" s="2">
        <f t="shared" si="1234"/>
        <v>41730</v>
      </c>
      <c r="F8065" s="2">
        <f t="shared" si="1235"/>
        <v>43373</v>
      </c>
    </row>
    <row r="8066" spans="1:6" x14ac:dyDescent="0.25">
      <c r="A8066" s="1" t="s">
        <v>2165</v>
      </c>
      <c r="B8066" s="1" t="s">
        <v>2164</v>
      </c>
      <c r="C8066" s="1" t="s">
        <v>63</v>
      </c>
      <c r="D8066" s="3">
        <f t="shared" si="1233"/>
        <v>7586</v>
      </c>
      <c r="E8066" s="2">
        <f t="shared" si="1234"/>
        <v>41730</v>
      </c>
      <c r="F8066" s="2">
        <f t="shared" si="1235"/>
        <v>43373</v>
      </c>
    </row>
    <row r="8067" spans="1:6" x14ac:dyDescent="0.25">
      <c r="A8067" s="1" t="s">
        <v>2165</v>
      </c>
      <c r="B8067" s="1" t="s">
        <v>2164</v>
      </c>
      <c r="C8067" s="1" t="s">
        <v>45</v>
      </c>
      <c r="D8067" s="3">
        <f t="shared" si="1233"/>
        <v>7586</v>
      </c>
      <c r="E8067" s="2">
        <f t="shared" si="1234"/>
        <v>41730</v>
      </c>
      <c r="F8067" s="2">
        <f t="shared" si="1235"/>
        <v>43373</v>
      </c>
    </row>
    <row r="8068" spans="1:6" x14ac:dyDescent="0.25">
      <c r="A8068" s="1" t="s">
        <v>2165</v>
      </c>
      <c r="B8068" s="1" t="s">
        <v>2164</v>
      </c>
      <c r="C8068" s="1" t="s">
        <v>46</v>
      </c>
      <c r="D8068" s="3">
        <f t="shared" si="1233"/>
        <v>7586</v>
      </c>
      <c r="E8068" s="2">
        <f t="shared" si="1234"/>
        <v>41730</v>
      </c>
      <c r="F8068" s="2">
        <f t="shared" si="1235"/>
        <v>43373</v>
      </c>
    </row>
    <row r="8069" spans="1:6" x14ac:dyDescent="0.25">
      <c r="A8069" s="1" t="s">
        <v>2165</v>
      </c>
      <c r="B8069" s="1" t="s">
        <v>2164</v>
      </c>
      <c r="C8069" s="1" t="s">
        <v>14</v>
      </c>
      <c r="D8069" s="3">
        <f t="shared" si="1233"/>
        <v>7586</v>
      </c>
      <c r="E8069" s="2">
        <f t="shared" si="1234"/>
        <v>41730</v>
      </c>
      <c r="F8069" s="2">
        <f t="shared" si="1235"/>
        <v>43373</v>
      </c>
    </row>
    <row r="8070" spans="1:6" x14ac:dyDescent="0.25">
      <c r="A8070" s="1" t="s">
        <v>2165</v>
      </c>
      <c r="B8070" s="1" t="s">
        <v>2164</v>
      </c>
      <c r="C8070" s="1" t="s">
        <v>17</v>
      </c>
      <c r="D8070" s="3">
        <f t="shared" si="1233"/>
        <v>7586</v>
      </c>
      <c r="E8070" s="2">
        <f t="shared" si="1234"/>
        <v>41730</v>
      </c>
      <c r="F8070" s="2">
        <f t="shared" si="1235"/>
        <v>43373</v>
      </c>
    </row>
    <row r="8071" spans="1:6" x14ac:dyDescent="0.25">
      <c r="A8071" s="1" t="s">
        <v>2165</v>
      </c>
      <c r="B8071" s="1" t="s">
        <v>2164</v>
      </c>
      <c r="C8071" s="1" t="s">
        <v>20</v>
      </c>
      <c r="D8071" s="3">
        <f t="shared" si="1233"/>
        <v>7586</v>
      </c>
      <c r="E8071" s="2">
        <f t="shared" si="1234"/>
        <v>41730</v>
      </c>
      <c r="F8071" s="2">
        <f t="shared" si="1235"/>
        <v>43373</v>
      </c>
    </row>
    <row r="8072" spans="1:6" x14ac:dyDescent="0.25">
      <c r="A8072" s="1" t="s">
        <v>2165</v>
      </c>
      <c r="B8072" s="1" t="s">
        <v>2164</v>
      </c>
      <c r="C8072" s="1" t="s">
        <v>328</v>
      </c>
      <c r="D8072" s="3">
        <f t="shared" si="1233"/>
        <v>7586</v>
      </c>
      <c r="E8072" s="2">
        <f t="shared" si="1234"/>
        <v>41730</v>
      </c>
      <c r="F8072" s="2">
        <f t="shared" si="1235"/>
        <v>43373</v>
      </c>
    </row>
    <row r="8073" spans="1:6" x14ac:dyDescent="0.25">
      <c r="A8073" s="1" t="s">
        <v>2165</v>
      </c>
      <c r="B8073" s="1" t="s">
        <v>2164</v>
      </c>
      <c r="C8073" s="1" t="s">
        <v>418</v>
      </c>
      <c r="D8073" s="3">
        <f t="shared" si="1233"/>
        <v>7586</v>
      </c>
      <c r="E8073" s="2">
        <f t="shared" si="1234"/>
        <v>41730</v>
      </c>
      <c r="F8073" s="2">
        <f t="shared" si="1235"/>
        <v>43373</v>
      </c>
    </row>
    <row r="8074" spans="1:6" x14ac:dyDescent="0.25">
      <c r="A8074" s="1" t="s">
        <v>2165</v>
      </c>
      <c r="B8074" s="1" t="s">
        <v>2164</v>
      </c>
      <c r="C8074" s="1" t="s">
        <v>327</v>
      </c>
      <c r="D8074" s="3">
        <f t="shared" si="1233"/>
        <v>7586</v>
      </c>
      <c r="E8074" s="2">
        <f t="shared" si="1234"/>
        <v>41730</v>
      </c>
      <c r="F8074" s="2">
        <f t="shared" si="1235"/>
        <v>43373</v>
      </c>
    </row>
    <row r="8075" spans="1:6" x14ac:dyDescent="0.25">
      <c r="A8075" s="1" t="s">
        <v>2165</v>
      </c>
      <c r="B8075" s="1" t="s">
        <v>2164</v>
      </c>
      <c r="C8075" s="1" t="s">
        <v>22</v>
      </c>
      <c r="D8075" s="3">
        <f t="shared" si="1233"/>
        <v>7586</v>
      </c>
      <c r="E8075" s="2">
        <f t="shared" si="1234"/>
        <v>41730</v>
      </c>
      <c r="F8075" s="2">
        <f t="shared" si="1235"/>
        <v>43373</v>
      </c>
    </row>
    <row r="8076" spans="1:6" x14ac:dyDescent="0.25">
      <c r="A8076" s="1" t="s">
        <v>2165</v>
      </c>
      <c r="B8076" s="1" t="s">
        <v>2164</v>
      </c>
      <c r="C8076" s="1" t="s">
        <v>336</v>
      </c>
      <c r="D8076" s="3">
        <f t="shared" si="1233"/>
        <v>7586</v>
      </c>
      <c r="E8076" s="2">
        <f t="shared" si="1234"/>
        <v>41730</v>
      </c>
      <c r="F8076" s="2">
        <f t="shared" si="1235"/>
        <v>43373</v>
      </c>
    </row>
    <row r="8077" spans="1:6" x14ac:dyDescent="0.25">
      <c r="A8077" s="1" t="s">
        <v>2165</v>
      </c>
      <c r="B8077" s="1" t="s">
        <v>2164</v>
      </c>
      <c r="C8077" s="1" t="s">
        <v>329</v>
      </c>
      <c r="D8077" s="3">
        <f t="shared" si="1233"/>
        <v>7586</v>
      </c>
      <c r="E8077" s="2">
        <f t="shared" si="1234"/>
        <v>41730</v>
      </c>
      <c r="F8077" s="2">
        <f t="shared" si="1235"/>
        <v>43373</v>
      </c>
    </row>
    <row r="8078" spans="1:6" x14ac:dyDescent="0.25">
      <c r="A8078" s="1" t="s">
        <v>2165</v>
      </c>
      <c r="B8078" s="1" t="s">
        <v>2164</v>
      </c>
      <c r="C8078" s="1" t="s">
        <v>330</v>
      </c>
      <c r="D8078" s="3">
        <f t="shared" si="1233"/>
        <v>7586</v>
      </c>
      <c r="E8078" s="2">
        <f t="shared" si="1234"/>
        <v>41730</v>
      </c>
      <c r="F8078" s="2">
        <f t="shared" si="1235"/>
        <v>43373</v>
      </c>
    </row>
    <row r="8079" spans="1:6" x14ac:dyDescent="0.25">
      <c r="A8079" s="1" t="s">
        <v>2165</v>
      </c>
      <c r="B8079" s="1" t="s">
        <v>2164</v>
      </c>
      <c r="C8079" s="1" t="s">
        <v>331</v>
      </c>
      <c r="D8079" s="3">
        <f t="shared" si="1233"/>
        <v>7586</v>
      </c>
      <c r="E8079" s="2">
        <f t="shared" si="1234"/>
        <v>41730</v>
      </c>
      <c r="F8079" s="2">
        <f t="shared" si="1235"/>
        <v>43373</v>
      </c>
    </row>
    <row r="8080" spans="1:6" x14ac:dyDescent="0.25">
      <c r="A8080" s="1" t="s">
        <v>2165</v>
      </c>
      <c r="B8080" s="1" t="s">
        <v>2164</v>
      </c>
      <c r="C8080" s="1" t="s">
        <v>332</v>
      </c>
      <c r="D8080" s="3">
        <f t="shared" si="1233"/>
        <v>7586</v>
      </c>
      <c r="E8080" s="2">
        <f t="shared" si="1234"/>
        <v>41730</v>
      </c>
      <c r="F8080" s="2">
        <f t="shared" si="1235"/>
        <v>43373</v>
      </c>
    </row>
    <row r="8081" spans="1:6" x14ac:dyDescent="0.25">
      <c r="A8081" s="1" t="s">
        <v>2165</v>
      </c>
      <c r="B8081" s="1" t="s">
        <v>2164</v>
      </c>
      <c r="C8081" s="1" t="s">
        <v>69</v>
      </c>
      <c r="D8081" s="3">
        <f t="shared" si="1233"/>
        <v>7586</v>
      </c>
      <c r="E8081" s="2">
        <f t="shared" si="1234"/>
        <v>41730</v>
      </c>
      <c r="F8081" s="2">
        <f t="shared" si="1235"/>
        <v>43373</v>
      </c>
    </row>
    <row r="8082" spans="1:6" x14ac:dyDescent="0.25">
      <c r="A8082" s="1" t="s">
        <v>2165</v>
      </c>
      <c r="B8082" s="1" t="s">
        <v>2164</v>
      </c>
      <c r="C8082" s="1" t="s">
        <v>475</v>
      </c>
      <c r="D8082" s="3">
        <f t="shared" si="1233"/>
        <v>7586</v>
      </c>
      <c r="E8082" s="2">
        <f t="shared" si="1234"/>
        <v>41730</v>
      </c>
      <c r="F8082" s="2">
        <f t="shared" si="1235"/>
        <v>43373</v>
      </c>
    </row>
    <row r="8083" spans="1:6" x14ac:dyDescent="0.25">
      <c r="A8083" s="1" t="s">
        <v>2165</v>
      </c>
      <c r="B8083" s="1" t="s">
        <v>2164</v>
      </c>
      <c r="C8083" s="1" t="s">
        <v>493</v>
      </c>
      <c r="D8083" s="3">
        <f t="shared" si="1233"/>
        <v>7586</v>
      </c>
      <c r="E8083" s="2">
        <f t="shared" si="1234"/>
        <v>41730</v>
      </c>
      <c r="F8083" s="2">
        <f t="shared" si="1235"/>
        <v>43373</v>
      </c>
    </row>
    <row r="8084" spans="1:6" x14ac:dyDescent="0.25">
      <c r="A8084" s="1" t="s">
        <v>2165</v>
      </c>
      <c r="B8084" s="1" t="s">
        <v>2164</v>
      </c>
      <c r="C8084" s="1" t="s">
        <v>24</v>
      </c>
      <c r="D8084" s="3">
        <f t="shared" si="1233"/>
        <v>7586</v>
      </c>
      <c r="E8084" s="2">
        <f t="shared" si="1234"/>
        <v>41730</v>
      </c>
      <c r="F8084" s="2">
        <f t="shared" si="1235"/>
        <v>43373</v>
      </c>
    </row>
    <row r="8085" spans="1:6" x14ac:dyDescent="0.25">
      <c r="A8085" s="1" t="s">
        <v>2165</v>
      </c>
      <c r="B8085" s="1" t="s">
        <v>2164</v>
      </c>
      <c r="C8085" s="1" t="s">
        <v>50</v>
      </c>
      <c r="D8085" s="3">
        <f t="shared" si="1233"/>
        <v>7586</v>
      </c>
      <c r="E8085" s="2">
        <f t="shared" si="1234"/>
        <v>41730</v>
      </c>
      <c r="F8085" s="2">
        <f t="shared" si="1235"/>
        <v>43373</v>
      </c>
    </row>
    <row r="8086" spans="1:6" x14ac:dyDescent="0.25">
      <c r="A8086" s="1" t="s">
        <v>2165</v>
      </c>
      <c r="B8086" s="1" t="s">
        <v>2164</v>
      </c>
      <c r="C8086" s="1" t="s">
        <v>70</v>
      </c>
      <c r="D8086" s="3">
        <f t="shared" si="1233"/>
        <v>7586</v>
      </c>
      <c r="E8086" s="2">
        <f t="shared" si="1234"/>
        <v>41730</v>
      </c>
      <c r="F8086" s="2">
        <f t="shared" si="1235"/>
        <v>43373</v>
      </c>
    </row>
    <row r="8087" spans="1:6" x14ac:dyDescent="0.25">
      <c r="A8087" s="1" t="s">
        <v>2165</v>
      </c>
      <c r="B8087" s="1" t="s">
        <v>2164</v>
      </c>
      <c r="C8087" s="1" t="s">
        <v>100</v>
      </c>
      <c r="D8087" s="3">
        <f t="shared" si="1233"/>
        <v>7586</v>
      </c>
      <c r="E8087" s="2">
        <f t="shared" si="1234"/>
        <v>41730</v>
      </c>
      <c r="F8087" s="2">
        <f t="shared" si="1235"/>
        <v>43373</v>
      </c>
    </row>
    <row r="8088" spans="1:6" x14ac:dyDescent="0.25">
      <c r="A8088" s="1" t="s">
        <v>2165</v>
      </c>
      <c r="B8088" s="1" t="s">
        <v>2164</v>
      </c>
      <c r="C8088" s="1" t="s">
        <v>27</v>
      </c>
      <c r="D8088" s="3">
        <f t="shared" si="1233"/>
        <v>7586</v>
      </c>
      <c r="E8088" s="2">
        <f t="shared" si="1234"/>
        <v>41730</v>
      </c>
      <c r="F8088" s="2">
        <f t="shared" si="1235"/>
        <v>43373</v>
      </c>
    </row>
    <row r="8089" spans="1:6" x14ac:dyDescent="0.25">
      <c r="A8089" s="1" t="s">
        <v>2165</v>
      </c>
      <c r="B8089" s="1" t="s">
        <v>2164</v>
      </c>
      <c r="C8089" s="1" t="s">
        <v>216</v>
      </c>
      <c r="D8089" s="3">
        <f t="shared" si="1233"/>
        <v>7586</v>
      </c>
      <c r="E8089" s="2">
        <f t="shared" si="1234"/>
        <v>41730</v>
      </c>
      <c r="F8089" s="2">
        <f t="shared" si="1235"/>
        <v>43373</v>
      </c>
    </row>
    <row r="8090" spans="1:6" x14ac:dyDescent="0.25">
      <c r="A8090" s="1" t="s">
        <v>2165</v>
      </c>
      <c r="B8090" s="1" t="s">
        <v>2164</v>
      </c>
      <c r="C8090" s="1" t="s">
        <v>52</v>
      </c>
      <c r="D8090" s="3">
        <f t="shared" si="1233"/>
        <v>7586</v>
      </c>
      <c r="E8090" s="2">
        <f t="shared" si="1234"/>
        <v>41730</v>
      </c>
      <c r="F8090" s="2">
        <f t="shared" si="1235"/>
        <v>43373</v>
      </c>
    </row>
    <row r="8091" spans="1:6" x14ac:dyDescent="0.25">
      <c r="A8091" s="1" t="s">
        <v>2165</v>
      </c>
      <c r="B8091" s="1" t="s">
        <v>2164</v>
      </c>
      <c r="C8091" s="1" t="s">
        <v>34</v>
      </c>
      <c r="D8091" s="3">
        <f t="shared" si="1233"/>
        <v>7586</v>
      </c>
      <c r="E8091" s="2">
        <f t="shared" si="1234"/>
        <v>41730</v>
      </c>
      <c r="F8091" s="2">
        <f t="shared" si="1235"/>
        <v>43373</v>
      </c>
    </row>
    <row r="8092" spans="1:6" x14ac:dyDescent="0.25">
      <c r="A8092" s="1" t="s">
        <v>2165</v>
      </c>
      <c r="B8092" s="1" t="s">
        <v>2164</v>
      </c>
      <c r="C8092" s="1" t="s">
        <v>57</v>
      </c>
      <c r="D8092" s="3">
        <f t="shared" si="1233"/>
        <v>7586</v>
      </c>
      <c r="E8092" s="2">
        <f t="shared" si="1234"/>
        <v>41730</v>
      </c>
      <c r="F8092" s="2">
        <f t="shared" si="1235"/>
        <v>43373</v>
      </c>
    </row>
    <row r="8093" spans="1:6" x14ac:dyDescent="0.25">
      <c r="A8093" s="1" t="s">
        <v>2165</v>
      </c>
      <c r="B8093" s="1" t="s">
        <v>2164</v>
      </c>
      <c r="C8093" s="1" t="s">
        <v>36</v>
      </c>
      <c r="D8093" s="3">
        <f t="shared" si="1233"/>
        <v>7586</v>
      </c>
      <c r="E8093" s="2">
        <f t="shared" si="1234"/>
        <v>41730</v>
      </c>
      <c r="F8093" s="2">
        <f t="shared" si="1235"/>
        <v>43373</v>
      </c>
    </row>
    <row r="8094" spans="1:6" x14ac:dyDescent="0.25">
      <c r="A8094" s="1" t="s">
        <v>1138</v>
      </c>
      <c r="B8094" s="1" t="s">
        <v>1137</v>
      </c>
      <c r="C8094" s="1" t="s">
        <v>61</v>
      </c>
      <c r="D8094" s="3">
        <f>VALUE("8417")</f>
        <v>8417</v>
      </c>
      <c r="E8094" s="2">
        <f>DATEVALUE("1-2-2019")</f>
        <v>43497</v>
      </c>
      <c r="F8094" s="2">
        <f>DATEVALUE("31-12-2019")</f>
        <v>43830</v>
      </c>
    </row>
    <row r="8095" spans="1:6" x14ac:dyDescent="0.25">
      <c r="A8095" s="1" t="s">
        <v>1138</v>
      </c>
      <c r="B8095" s="1" t="s">
        <v>1137</v>
      </c>
      <c r="C8095" s="1" t="s">
        <v>45</v>
      </c>
      <c r="D8095" s="3">
        <f>VALUE("8417")</f>
        <v>8417</v>
      </c>
      <c r="E8095" s="2">
        <f>DATEVALUE("1-2-2019")</f>
        <v>43497</v>
      </c>
      <c r="F8095" s="2">
        <f>DATEVALUE("31-12-2019")</f>
        <v>43830</v>
      </c>
    </row>
    <row r="8096" spans="1:6" x14ac:dyDescent="0.25">
      <c r="A8096" s="1" t="s">
        <v>1138</v>
      </c>
      <c r="B8096" s="1" t="s">
        <v>1137</v>
      </c>
      <c r="C8096" s="1" t="s">
        <v>146</v>
      </c>
      <c r="D8096" s="3">
        <f>VALUE("8417")</f>
        <v>8417</v>
      </c>
      <c r="E8096" s="2">
        <f>DATEVALUE("1-2-2019")</f>
        <v>43497</v>
      </c>
      <c r="F8096" s="2">
        <f>DATEVALUE("31-12-2019")</f>
        <v>43830</v>
      </c>
    </row>
    <row r="8097" spans="1:6" x14ac:dyDescent="0.25">
      <c r="A8097" s="1" t="s">
        <v>1138</v>
      </c>
      <c r="B8097" s="1" t="s">
        <v>1137</v>
      </c>
      <c r="C8097" s="1" t="s">
        <v>67</v>
      </c>
      <c r="D8097" s="3">
        <f>VALUE("8417")</f>
        <v>8417</v>
      </c>
      <c r="E8097" s="2">
        <f>DATEVALUE("1-2-2019")</f>
        <v>43497</v>
      </c>
      <c r="F8097" s="2">
        <f>DATEVALUE("31-12-2019")</f>
        <v>43830</v>
      </c>
    </row>
    <row r="8098" spans="1:6" x14ac:dyDescent="0.25">
      <c r="A8098" s="1" t="s">
        <v>1138</v>
      </c>
      <c r="B8098" s="1" t="s">
        <v>1137</v>
      </c>
      <c r="C8098" s="1" t="s">
        <v>52</v>
      </c>
      <c r="D8098" s="3">
        <f>VALUE("8417")</f>
        <v>8417</v>
      </c>
      <c r="E8098" s="2">
        <f>DATEVALUE("1-2-2019")</f>
        <v>43497</v>
      </c>
      <c r="F8098" s="2">
        <f>DATEVALUE("31-12-2019")</f>
        <v>43830</v>
      </c>
    </row>
    <row r="8099" spans="1:6" x14ac:dyDescent="0.25">
      <c r="A8099" s="1" t="s">
        <v>1580</v>
      </c>
      <c r="B8099" s="1" t="s">
        <v>1579</v>
      </c>
      <c r="C8099" s="1" t="s">
        <v>1581</v>
      </c>
      <c r="D8099" s="3">
        <f>VALUE("8763")</f>
        <v>8763</v>
      </c>
      <c r="E8099" s="2">
        <f>DATEVALUE("1-7-2020")</f>
        <v>44013</v>
      </c>
      <c r="F8099" s="2">
        <f>DATEVALUE("31-12-2020")</f>
        <v>44196</v>
      </c>
    </row>
    <row r="8100" spans="1:6" x14ac:dyDescent="0.25">
      <c r="A8100" s="1" t="s">
        <v>1580</v>
      </c>
      <c r="B8100" s="1" t="s">
        <v>1579</v>
      </c>
      <c r="C8100" s="1" t="s">
        <v>863</v>
      </c>
      <c r="D8100" s="3">
        <f>VALUE("8763")</f>
        <v>8763</v>
      </c>
      <c r="E8100" s="2">
        <f>DATEVALUE("1-7-2020")</f>
        <v>44013</v>
      </c>
      <c r="F8100" s="2">
        <f>DATEVALUE("31-12-2020")</f>
        <v>44196</v>
      </c>
    </row>
    <row r="8101" spans="1:6" x14ac:dyDescent="0.25">
      <c r="A8101" s="1" t="s">
        <v>1580</v>
      </c>
      <c r="B8101" s="1" t="s">
        <v>2774</v>
      </c>
      <c r="C8101" s="1" t="s">
        <v>1700</v>
      </c>
      <c r="D8101" s="3">
        <f t="shared" ref="D8101:D8109" si="1236">VALUE("7658")</f>
        <v>7658</v>
      </c>
      <c r="E8101" s="2">
        <f t="shared" ref="E8101:E8109" si="1237">DATEVALUE("1-8-2014")</f>
        <v>41852</v>
      </c>
      <c r="F8101" s="2">
        <f t="shared" ref="F8101:F8109" si="1238">DATEVALUE("31-10-2014")</f>
        <v>41943</v>
      </c>
    </row>
    <row r="8102" spans="1:6" x14ac:dyDescent="0.25">
      <c r="A8102" s="1" t="s">
        <v>1580</v>
      </c>
      <c r="B8102" s="1" t="s">
        <v>2774</v>
      </c>
      <c r="C8102" s="1" t="s">
        <v>45</v>
      </c>
      <c r="D8102" s="3">
        <f t="shared" si="1236"/>
        <v>7658</v>
      </c>
      <c r="E8102" s="2">
        <f t="shared" si="1237"/>
        <v>41852</v>
      </c>
      <c r="F8102" s="2">
        <f t="shared" si="1238"/>
        <v>41943</v>
      </c>
    </row>
    <row r="8103" spans="1:6" x14ac:dyDescent="0.25">
      <c r="A8103" s="1" t="s">
        <v>1580</v>
      </c>
      <c r="B8103" s="1" t="s">
        <v>2774</v>
      </c>
      <c r="C8103" s="1" t="s">
        <v>46</v>
      </c>
      <c r="D8103" s="3">
        <f t="shared" si="1236"/>
        <v>7658</v>
      </c>
      <c r="E8103" s="2">
        <f t="shared" si="1237"/>
        <v>41852</v>
      </c>
      <c r="F8103" s="2">
        <f t="shared" si="1238"/>
        <v>41943</v>
      </c>
    </row>
    <row r="8104" spans="1:6" x14ac:dyDescent="0.25">
      <c r="A8104" s="1" t="s">
        <v>1580</v>
      </c>
      <c r="B8104" s="1" t="s">
        <v>2774</v>
      </c>
      <c r="C8104" s="1" t="s">
        <v>88</v>
      </c>
      <c r="D8104" s="3">
        <f t="shared" si="1236"/>
        <v>7658</v>
      </c>
      <c r="E8104" s="2">
        <f t="shared" si="1237"/>
        <v>41852</v>
      </c>
      <c r="F8104" s="2">
        <f t="shared" si="1238"/>
        <v>41943</v>
      </c>
    </row>
    <row r="8105" spans="1:6" x14ac:dyDescent="0.25">
      <c r="A8105" s="1" t="s">
        <v>1580</v>
      </c>
      <c r="B8105" s="1" t="s">
        <v>2774</v>
      </c>
      <c r="C8105" s="1" t="s">
        <v>17</v>
      </c>
      <c r="D8105" s="3">
        <f t="shared" si="1236"/>
        <v>7658</v>
      </c>
      <c r="E8105" s="2">
        <f t="shared" si="1237"/>
        <v>41852</v>
      </c>
      <c r="F8105" s="2">
        <f t="shared" si="1238"/>
        <v>41943</v>
      </c>
    </row>
    <row r="8106" spans="1:6" x14ac:dyDescent="0.25">
      <c r="A8106" s="1" t="s">
        <v>1580</v>
      </c>
      <c r="B8106" s="1" t="s">
        <v>2774</v>
      </c>
      <c r="C8106" s="1" t="s">
        <v>22</v>
      </c>
      <c r="D8106" s="3">
        <f t="shared" si="1236"/>
        <v>7658</v>
      </c>
      <c r="E8106" s="2">
        <f t="shared" si="1237"/>
        <v>41852</v>
      </c>
      <c r="F8106" s="2">
        <f t="shared" si="1238"/>
        <v>41943</v>
      </c>
    </row>
    <row r="8107" spans="1:6" x14ac:dyDescent="0.25">
      <c r="A8107" s="1" t="s">
        <v>1580</v>
      </c>
      <c r="B8107" s="1" t="s">
        <v>2774</v>
      </c>
      <c r="C8107" s="1" t="s">
        <v>27</v>
      </c>
      <c r="D8107" s="3">
        <f t="shared" si="1236"/>
        <v>7658</v>
      </c>
      <c r="E8107" s="2">
        <f t="shared" si="1237"/>
        <v>41852</v>
      </c>
      <c r="F8107" s="2">
        <f t="shared" si="1238"/>
        <v>41943</v>
      </c>
    </row>
    <row r="8108" spans="1:6" x14ac:dyDescent="0.25">
      <c r="A8108" s="1" t="s">
        <v>1580</v>
      </c>
      <c r="B8108" s="1" t="s">
        <v>2774</v>
      </c>
      <c r="C8108" s="1" t="s">
        <v>73</v>
      </c>
      <c r="D8108" s="3">
        <f t="shared" si="1236"/>
        <v>7658</v>
      </c>
      <c r="E8108" s="2">
        <f t="shared" si="1237"/>
        <v>41852</v>
      </c>
      <c r="F8108" s="2">
        <f t="shared" si="1238"/>
        <v>41943</v>
      </c>
    </row>
    <row r="8109" spans="1:6" x14ac:dyDescent="0.25">
      <c r="A8109" s="1" t="s">
        <v>1580</v>
      </c>
      <c r="B8109" s="1" t="s">
        <v>2774</v>
      </c>
      <c r="C8109" s="1" t="s">
        <v>162</v>
      </c>
      <c r="D8109" s="3">
        <f t="shared" si="1236"/>
        <v>7658</v>
      </c>
      <c r="E8109" s="2">
        <f t="shared" si="1237"/>
        <v>41852</v>
      </c>
      <c r="F8109" s="2">
        <f t="shared" si="1238"/>
        <v>41943</v>
      </c>
    </row>
    <row r="8110" spans="1:6" x14ac:dyDescent="0.25">
      <c r="A8110" s="1" t="s">
        <v>1580</v>
      </c>
      <c r="B8110" s="1" t="s">
        <v>2154</v>
      </c>
      <c r="C8110" s="1" t="s">
        <v>7</v>
      </c>
      <c r="D8110" s="3">
        <f t="shared" ref="D8110:D8145" si="1239">VALUE("7506")</f>
        <v>7506</v>
      </c>
      <c r="E8110" s="2">
        <f t="shared" ref="E8110:E8145" si="1240">DATEVALUE("1-6-2013")</f>
        <v>41426</v>
      </c>
      <c r="F8110" s="2">
        <f t="shared" ref="F8110:F8145" si="1241">DATEVALUE("30-9-2017")</f>
        <v>43008</v>
      </c>
    </row>
    <row r="8111" spans="1:6" x14ac:dyDescent="0.25">
      <c r="A8111" s="1" t="s">
        <v>1580</v>
      </c>
      <c r="B8111" s="1" t="s">
        <v>2154</v>
      </c>
      <c r="C8111" s="1" t="s">
        <v>2155</v>
      </c>
      <c r="D8111" s="3">
        <f t="shared" si="1239"/>
        <v>7506</v>
      </c>
      <c r="E8111" s="2">
        <f t="shared" si="1240"/>
        <v>41426</v>
      </c>
      <c r="F8111" s="2">
        <f t="shared" si="1241"/>
        <v>43008</v>
      </c>
    </row>
    <row r="8112" spans="1:6" x14ac:dyDescent="0.25">
      <c r="A8112" s="1" t="s">
        <v>1580</v>
      </c>
      <c r="B8112" s="1" t="s">
        <v>2154</v>
      </c>
      <c r="C8112" s="1" t="s">
        <v>6</v>
      </c>
      <c r="D8112" s="3">
        <f t="shared" si="1239"/>
        <v>7506</v>
      </c>
      <c r="E8112" s="2">
        <f t="shared" si="1240"/>
        <v>41426</v>
      </c>
      <c r="F8112" s="2">
        <f t="shared" si="1241"/>
        <v>43008</v>
      </c>
    </row>
    <row r="8113" spans="1:6" x14ac:dyDescent="0.25">
      <c r="A8113" s="1" t="s">
        <v>1580</v>
      </c>
      <c r="B8113" s="1" t="s">
        <v>2154</v>
      </c>
      <c r="C8113" s="1" t="s">
        <v>8</v>
      </c>
      <c r="D8113" s="3">
        <f t="shared" si="1239"/>
        <v>7506</v>
      </c>
      <c r="E8113" s="2">
        <f t="shared" si="1240"/>
        <v>41426</v>
      </c>
      <c r="F8113" s="2">
        <f t="shared" si="1241"/>
        <v>43008</v>
      </c>
    </row>
    <row r="8114" spans="1:6" x14ac:dyDescent="0.25">
      <c r="A8114" s="1" t="s">
        <v>1580</v>
      </c>
      <c r="B8114" s="1" t="s">
        <v>2154</v>
      </c>
      <c r="C8114" s="1" t="s">
        <v>10</v>
      </c>
      <c r="D8114" s="3">
        <f t="shared" si="1239"/>
        <v>7506</v>
      </c>
      <c r="E8114" s="2">
        <f t="shared" si="1240"/>
        <v>41426</v>
      </c>
      <c r="F8114" s="2">
        <f t="shared" si="1241"/>
        <v>43008</v>
      </c>
    </row>
    <row r="8115" spans="1:6" x14ac:dyDescent="0.25">
      <c r="A8115" s="1" t="s">
        <v>1580</v>
      </c>
      <c r="B8115" s="1" t="s">
        <v>2154</v>
      </c>
      <c r="C8115" s="1" t="s">
        <v>13</v>
      </c>
      <c r="D8115" s="3">
        <f t="shared" si="1239"/>
        <v>7506</v>
      </c>
      <c r="E8115" s="2">
        <f t="shared" si="1240"/>
        <v>41426</v>
      </c>
      <c r="F8115" s="2">
        <f t="shared" si="1241"/>
        <v>43008</v>
      </c>
    </row>
    <row r="8116" spans="1:6" x14ac:dyDescent="0.25">
      <c r="A8116" s="1" t="s">
        <v>1580</v>
      </c>
      <c r="B8116" s="1" t="s">
        <v>2154</v>
      </c>
      <c r="C8116" s="1" t="s">
        <v>45</v>
      </c>
      <c r="D8116" s="3">
        <f t="shared" si="1239"/>
        <v>7506</v>
      </c>
      <c r="E8116" s="2">
        <f t="shared" si="1240"/>
        <v>41426</v>
      </c>
      <c r="F8116" s="2">
        <f t="shared" si="1241"/>
        <v>43008</v>
      </c>
    </row>
    <row r="8117" spans="1:6" x14ac:dyDescent="0.25">
      <c r="A8117" s="1" t="s">
        <v>1580</v>
      </c>
      <c r="B8117" s="1" t="s">
        <v>2154</v>
      </c>
      <c r="C8117" s="1" t="s">
        <v>46</v>
      </c>
      <c r="D8117" s="3">
        <f t="shared" si="1239"/>
        <v>7506</v>
      </c>
      <c r="E8117" s="2">
        <f t="shared" si="1240"/>
        <v>41426</v>
      </c>
      <c r="F8117" s="2">
        <f t="shared" si="1241"/>
        <v>43008</v>
      </c>
    </row>
    <row r="8118" spans="1:6" x14ac:dyDescent="0.25">
      <c r="A8118" s="1" t="s">
        <v>1580</v>
      </c>
      <c r="B8118" s="1" t="s">
        <v>2154</v>
      </c>
      <c r="C8118" s="1" t="s">
        <v>14</v>
      </c>
      <c r="D8118" s="3">
        <f t="shared" si="1239"/>
        <v>7506</v>
      </c>
      <c r="E8118" s="2">
        <f t="shared" si="1240"/>
        <v>41426</v>
      </c>
      <c r="F8118" s="2">
        <f t="shared" si="1241"/>
        <v>43008</v>
      </c>
    </row>
    <row r="8119" spans="1:6" x14ac:dyDescent="0.25">
      <c r="A8119" s="1" t="s">
        <v>1580</v>
      </c>
      <c r="B8119" s="1" t="s">
        <v>2154</v>
      </c>
      <c r="C8119" s="1" t="s">
        <v>15</v>
      </c>
      <c r="D8119" s="3">
        <f t="shared" si="1239"/>
        <v>7506</v>
      </c>
      <c r="E8119" s="2">
        <f t="shared" si="1240"/>
        <v>41426</v>
      </c>
      <c r="F8119" s="2">
        <f t="shared" si="1241"/>
        <v>43008</v>
      </c>
    </row>
    <row r="8120" spans="1:6" x14ac:dyDescent="0.25">
      <c r="A8120" s="1" t="s">
        <v>1580</v>
      </c>
      <c r="B8120" s="1" t="s">
        <v>2154</v>
      </c>
      <c r="C8120" s="1" t="s">
        <v>16</v>
      </c>
      <c r="D8120" s="3">
        <f t="shared" si="1239"/>
        <v>7506</v>
      </c>
      <c r="E8120" s="2">
        <f t="shared" si="1240"/>
        <v>41426</v>
      </c>
      <c r="F8120" s="2">
        <f t="shared" si="1241"/>
        <v>43008</v>
      </c>
    </row>
    <row r="8121" spans="1:6" x14ac:dyDescent="0.25">
      <c r="A8121" s="1" t="s">
        <v>1580</v>
      </c>
      <c r="B8121" s="1" t="s">
        <v>2154</v>
      </c>
      <c r="C8121" s="1" t="s">
        <v>17</v>
      </c>
      <c r="D8121" s="3">
        <f t="shared" si="1239"/>
        <v>7506</v>
      </c>
      <c r="E8121" s="2">
        <f t="shared" si="1240"/>
        <v>41426</v>
      </c>
      <c r="F8121" s="2">
        <f t="shared" si="1241"/>
        <v>43008</v>
      </c>
    </row>
    <row r="8122" spans="1:6" x14ac:dyDescent="0.25">
      <c r="A8122" s="1" t="s">
        <v>1580</v>
      </c>
      <c r="B8122" s="1" t="s">
        <v>2154</v>
      </c>
      <c r="C8122" s="1" t="s">
        <v>22</v>
      </c>
      <c r="D8122" s="3">
        <f t="shared" si="1239"/>
        <v>7506</v>
      </c>
      <c r="E8122" s="2">
        <f t="shared" si="1240"/>
        <v>41426</v>
      </c>
      <c r="F8122" s="2">
        <f t="shared" si="1241"/>
        <v>43008</v>
      </c>
    </row>
    <row r="8123" spans="1:6" x14ac:dyDescent="0.25">
      <c r="A8123" s="1" t="s">
        <v>1580</v>
      </c>
      <c r="B8123" s="1" t="s">
        <v>2154</v>
      </c>
      <c r="C8123" s="1" t="s">
        <v>222</v>
      </c>
      <c r="D8123" s="3">
        <f t="shared" si="1239"/>
        <v>7506</v>
      </c>
      <c r="E8123" s="2">
        <f t="shared" si="1240"/>
        <v>41426</v>
      </c>
      <c r="F8123" s="2">
        <f t="shared" si="1241"/>
        <v>43008</v>
      </c>
    </row>
    <row r="8124" spans="1:6" x14ac:dyDescent="0.25">
      <c r="A8124" s="1" t="s">
        <v>1580</v>
      </c>
      <c r="B8124" s="1" t="s">
        <v>2154</v>
      </c>
      <c r="C8124" s="1" t="s">
        <v>23</v>
      </c>
      <c r="D8124" s="3">
        <f t="shared" si="1239"/>
        <v>7506</v>
      </c>
      <c r="E8124" s="2">
        <f t="shared" si="1240"/>
        <v>41426</v>
      </c>
      <c r="F8124" s="2">
        <f t="shared" si="1241"/>
        <v>43008</v>
      </c>
    </row>
    <row r="8125" spans="1:6" x14ac:dyDescent="0.25">
      <c r="A8125" s="1" t="s">
        <v>1580</v>
      </c>
      <c r="B8125" s="1" t="s">
        <v>2154</v>
      </c>
      <c r="C8125" s="1" t="s">
        <v>212</v>
      </c>
      <c r="D8125" s="3">
        <f t="shared" si="1239"/>
        <v>7506</v>
      </c>
      <c r="E8125" s="2">
        <f t="shared" si="1240"/>
        <v>41426</v>
      </c>
      <c r="F8125" s="2">
        <f t="shared" si="1241"/>
        <v>43008</v>
      </c>
    </row>
    <row r="8126" spans="1:6" x14ac:dyDescent="0.25">
      <c r="A8126" s="1" t="s">
        <v>1580</v>
      </c>
      <c r="B8126" s="1" t="s">
        <v>2154</v>
      </c>
      <c r="C8126" s="1" t="s">
        <v>227</v>
      </c>
      <c r="D8126" s="3">
        <f t="shared" si="1239"/>
        <v>7506</v>
      </c>
      <c r="E8126" s="2">
        <f t="shared" si="1240"/>
        <v>41426</v>
      </c>
      <c r="F8126" s="2">
        <f t="shared" si="1241"/>
        <v>43008</v>
      </c>
    </row>
    <row r="8127" spans="1:6" x14ac:dyDescent="0.25">
      <c r="A8127" s="1" t="s">
        <v>1580</v>
      </c>
      <c r="B8127" s="1" t="s">
        <v>2154</v>
      </c>
      <c r="C8127" s="1" t="s">
        <v>228</v>
      </c>
      <c r="D8127" s="3">
        <f t="shared" si="1239"/>
        <v>7506</v>
      </c>
      <c r="E8127" s="2">
        <f t="shared" si="1240"/>
        <v>41426</v>
      </c>
      <c r="F8127" s="2">
        <f t="shared" si="1241"/>
        <v>43008</v>
      </c>
    </row>
    <row r="8128" spans="1:6" x14ac:dyDescent="0.25">
      <c r="A8128" s="1" t="s">
        <v>1580</v>
      </c>
      <c r="B8128" s="1" t="s">
        <v>2154</v>
      </c>
      <c r="C8128" s="1" t="s">
        <v>28</v>
      </c>
      <c r="D8128" s="3">
        <f t="shared" si="1239"/>
        <v>7506</v>
      </c>
      <c r="E8128" s="2">
        <f t="shared" si="1240"/>
        <v>41426</v>
      </c>
      <c r="F8128" s="2">
        <f t="shared" si="1241"/>
        <v>43008</v>
      </c>
    </row>
    <row r="8129" spans="1:6" x14ac:dyDescent="0.25">
      <c r="A8129" s="1" t="s">
        <v>1580</v>
      </c>
      <c r="B8129" s="1" t="s">
        <v>2154</v>
      </c>
      <c r="C8129" s="1" t="s">
        <v>229</v>
      </c>
      <c r="D8129" s="3">
        <f t="shared" si="1239"/>
        <v>7506</v>
      </c>
      <c r="E8129" s="2">
        <f t="shared" si="1240"/>
        <v>41426</v>
      </c>
      <c r="F8129" s="2">
        <f t="shared" si="1241"/>
        <v>43008</v>
      </c>
    </row>
    <row r="8130" spans="1:6" x14ac:dyDescent="0.25">
      <c r="A8130" s="1" t="s">
        <v>1580</v>
      </c>
      <c r="B8130" s="1" t="s">
        <v>2154</v>
      </c>
      <c r="C8130" s="1" t="s">
        <v>29</v>
      </c>
      <c r="D8130" s="3">
        <f t="shared" si="1239"/>
        <v>7506</v>
      </c>
      <c r="E8130" s="2">
        <f t="shared" si="1240"/>
        <v>41426</v>
      </c>
      <c r="F8130" s="2">
        <f t="shared" si="1241"/>
        <v>43008</v>
      </c>
    </row>
    <row r="8131" spans="1:6" x14ac:dyDescent="0.25">
      <c r="A8131" s="1" t="s">
        <v>1580</v>
      </c>
      <c r="B8131" s="1" t="s">
        <v>2154</v>
      </c>
      <c r="C8131" s="1" t="s">
        <v>230</v>
      </c>
      <c r="D8131" s="3">
        <f t="shared" si="1239"/>
        <v>7506</v>
      </c>
      <c r="E8131" s="2">
        <f t="shared" si="1240"/>
        <v>41426</v>
      </c>
      <c r="F8131" s="2">
        <f t="shared" si="1241"/>
        <v>43008</v>
      </c>
    </row>
    <row r="8132" spans="1:6" x14ac:dyDescent="0.25">
      <c r="A8132" s="1" t="s">
        <v>1580</v>
      </c>
      <c r="B8132" s="1" t="s">
        <v>2154</v>
      </c>
      <c r="C8132" s="1" t="s">
        <v>231</v>
      </c>
      <c r="D8132" s="3">
        <f t="shared" si="1239"/>
        <v>7506</v>
      </c>
      <c r="E8132" s="2">
        <f t="shared" si="1240"/>
        <v>41426</v>
      </c>
      <c r="F8132" s="2">
        <f t="shared" si="1241"/>
        <v>43008</v>
      </c>
    </row>
    <row r="8133" spans="1:6" x14ac:dyDescent="0.25">
      <c r="A8133" s="1" t="s">
        <v>1580</v>
      </c>
      <c r="B8133" s="1" t="s">
        <v>2154</v>
      </c>
      <c r="C8133" s="1" t="s">
        <v>232</v>
      </c>
      <c r="D8133" s="3">
        <f t="shared" si="1239"/>
        <v>7506</v>
      </c>
      <c r="E8133" s="2">
        <f t="shared" si="1240"/>
        <v>41426</v>
      </c>
      <c r="F8133" s="2">
        <f t="shared" si="1241"/>
        <v>43008</v>
      </c>
    </row>
    <row r="8134" spans="1:6" x14ac:dyDescent="0.25">
      <c r="A8134" s="1" t="s">
        <v>1580</v>
      </c>
      <c r="B8134" s="1" t="s">
        <v>2154</v>
      </c>
      <c r="C8134" s="1" t="s">
        <v>234</v>
      </c>
      <c r="D8134" s="3">
        <f t="shared" si="1239"/>
        <v>7506</v>
      </c>
      <c r="E8134" s="2">
        <f t="shared" si="1240"/>
        <v>41426</v>
      </c>
      <c r="F8134" s="2">
        <f t="shared" si="1241"/>
        <v>43008</v>
      </c>
    </row>
    <row r="8135" spans="1:6" x14ac:dyDescent="0.25">
      <c r="A8135" s="1" t="s">
        <v>1580</v>
      </c>
      <c r="B8135" s="1" t="s">
        <v>2154</v>
      </c>
      <c r="C8135" s="1" t="s">
        <v>596</v>
      </c>
      <c r="D8135" s="3">
        <f t="shared" si="1239"/>
        <v>7506</v>
      </c>
      <c r="E8135" s="2">
        <f t="shared" si="1240"/>
        <v>41426</v>
      </c>
      <c r="F8135" s="2">
        <f t="shared" si="1241"/>
        <v>43008</v>
      </c>
    </row>
    <row r="8136" spans="1:6" x14ac:dyDescent="0.25">
      <c r="A8136" s="1" t="s">
        <v>1580</v>
      </c>
      <c r="B8136" s="1" t="s">
        <v>2154</v>
      </c>
      <c r="C8136" s="1" t="s">
        <v>30</v>
      </c>
      <c r="D8136" s="3">
        <f t="shared" si="1239"/>
        <v>7506</v>
      </c>
      <c r="E8136" s="2">
        <f t="shared" si="1240"/>
        <v>41426</v>
      </c>
      <c r="F8136" s="2">
        <f t="shared" si="1241"/>
        <v>43008</v>
      </c>
    </row>
    <row r="8137" spans="1:6" x14ac:dyDescent="0.25">
      <c r="A8137" s="1" t="s">
        <v>1580</v>
      </c>
      <c r="B8137" s="1" t="s">
        <v>2154</v>
      </c>
      <c r="C8137" s="1" t="s">
        <v>235</v>
      </c>
      <c r="D8137" s="3">
        <f t="shared" si="1239"/>
        <v>7506</v>
      </c>
      <c r="E8137" s="2">
        <f t="shared" si="1240"/>
        <v>41426</v>
      </c>
      <c r="F8137" s="2">
        <f t="shared" si="1241"/>
        <v>43008</v>
      </c>
    </row>
    <row r="8138" spans="1:6" x14ac:dyDescent="0.25">
      <c r="A8138" s="1" t="s">
        <v>1580</v>
      </c>
      <c r="B8138" s="1" t="s">
        <v>2154</v>
      </c>
      <c r="C8138" s="1" t="s">
        <v>1839</v>
      </c>
      <c r="D8138" s="3">
        <f t="shared" si="1239"/>
        <v>7506</v>
      </c>
      <c r="E8138" s="2">
        <f t="shared" si="1240"/>
        <v>41426</v>
      </c>
      <c r="F8138" s="2">
        <f t="shared" si="1241"/>
        <v>43008</v>
      </c>
    </row>
    <row r="8139" spans="1:6" x14ac:dyDescent="0.25">
      <c r="A8139" s="1" t="s">
        <v>1580</v>
      </c>
      <c r="B8139" s="1" t="s">
        <v>2154</v>
      </c>
      <c r="C8139" s="1" t="s">
        <v>237</v>
      </c>
      <c r="D8139" s="3">
        <f t="shared" si="1239"/>
        <v>7506</v>
      </c>
      <c r="E8139" s="2">
        <f t="shared" si="1240"/>
        <v>41426</v>
      </c>
      <c r="F8139" s="2">
        <f t="shared" si="1241"/>
        <v>43008</v>
      </c>
    </row>
    <row r="8140" spans="1:6" x14ac:dyDescent="0.25">
      <c r="A8140" s="1" t="s">
        <v>1580</v>
      </c>
      <c r="B8140" s="1" t="s">
        <v>2154</v>
      </c>
      <c r="C8140" s="1" t="s">
        <v>238</v>
      </c>
      <c r="D8140" s="3">
        <f t="shared" si="1239"/>
        <v>7506</v>
      </c>
      <c r="E8140" s="2">
        <f t="shared" si="1240"/>
        <v>41426</v>
      </c>
      <c r="F8140" s="2">
        <f t="shared" si="1241"/>
        <v>43008</v>
      </c>
    </row>
    <row r="8141" spans="1:6" x14ac:dyDescent="0.25">
      <c r="A8141" s="1" t="s">
        <v>1580</v>
      </c>
      <c r="B8141" s="1" t="s">
        <v>2154</v>
      </c>
      <c r="C8141" s="1" t="s">
        <v>239</v>
      </c>
      <c r="D8141" s="3">
        <f t="shared" si="1239"/>
        <v>7506</v>
      </c>
      <c r="E8141" s="2">
        <f t="shared" si="1240"/>
        <v>41426</v>
      </c>
      <c r="F8141" s="2">
        <f t="shared" si="1241"/>
        <v>43008</v>
      </c>
    </row>
    <row r="8142" spans="1:6" x14ac:dyDescent="0.25">
      <c r="A8142" s="1" t="s">
        <v>1580</v>
      </c>
      <c r="B8142" s="1" t="s">
        <v>2154</v>
      </c>
      <c r="C8142" s="1" t="s">
        <v>240</v>
      </c>
      <c r="D8142" s="3">
        <f t="shared" si="1239"/>
        <v>7506</v>
      </c>
      <c r="E8142" s="2">
        <f t="shared" si="1240"/>
        <v>41426</v>
      </c>
      <c r="F8142" s="2">
        <f t="shared" si="1241"/>
        <v>43008</v>
      </c>
    </row>
    <row r="8143" spans="1:6" x14ac:dyDescent="0.25">
      <c r="A8143" s="1" t="s">
        <v>1580</v>
      </c>
      <c r="B8143" s="1" t="s">
        <v>2154</v>
      </c>
      <c r="C8143" s="1" t="s">
        <v>31</v>
      </c>
      <c r="D8143" s="3">
        <f t="shared" si="1239"/>
        <v>7506</v>
      </c>
      <c r="E8143" s="2">
        <f t="shared" si="1240"/>
        <v>41426</v>
      </c>
      <c r="F8143" s="2">
        <f t="shared" si="1241"/>
        <v>43008</v>
      </c>
    </row>
    <row r="8144" spans="1:6" x14ac:dyDescent="0.25">
      <c r="A8144" s="1" t="s">
        <v>1580</v>
      </c>
      <c r="B8144" s="1" t="s">
        <v>2154</v>
      </c>
      <c r="C8144" s="1" t="s">
        <v>213</v>
      </c>
      <c r="D8144" s="3">
        <f t="shared" si="1239"/>
        <v>7506</v>
      </c>
      <c r="E8144" s="2">
        <f t="shared" si="1240"/>
        <v>41426</v>
      </c>
      <c r="F8144" s="2">
        <f t="shared" si="1241"/>
        <v>43008</v>
      </c>
    </row>
    <row r="8145" spans="1:6" x14ac:dyDescent="0.25">
      <c r="A8145" s="1" t="s">
        <v>1580</v>
      </c>
      <c r="B8145" s="1" t="s">
        <v>2154</v>
      </c>
      <c r="C8145" s="1" t="s">
        <v>36</v>
      </c>
      <c r="D8145" s="3">
        <f t="shared" si="1239"/>
        <v>7506</v>
      </c>
      <c r="E8145" s="2">
        <f t="shared" si="1240"/>
        <v>41426</v>
      </c>
      <c r="F8145" s="2">
        <f t="shared" si="1241"/>
        <v>43008</v>
      </c>
    </row>
    <row r="8146" spans="1:6" x14ac:dyDescent="0.25">
      <c r="A8146" s="1" t="s">
        <v>1580</v>
      </c>
      <c r="B8146" s="1" t="s">
        <v>1912</v>
      </c>
      <c r="C8146" s="1" t="s">
        <v>17</v>
      </c>
      <c r="D8146" s="3">
        <f>VALUE("7482")</f>
        <v>7482</v>
      </c>
      <c r="E8146" s="2">
        <f>DATEVALUE("1-3-2013")</f>
        <v>41334</v>
      </c>
      <c r="F8146" s="2">
        <f>DATEVALUE("31-5-2015")</f>
        <v>42155</v>
      </c>
    </row>
    <row r="8147" spans="1:6" x14ac:dyDescent="0.25">
      <c r="A8147" s="1" t="s">
        <v>1580</v>
      </c>
      <c r="B8147" s="1" t="s">
        <v>1912</v>
      </c>
      <c r="C8147" s="1" t="s">
        <v>207</v>
      </c>
      <c r="D8147" s="3">
        <f>VALUE("7482")</f>
        <v>7482</v>
      </c>
      <c r="E8147" s="2">
        <f>DATEVALUE("1-3-2013")</f>
        <v>41334</v>
      </c>
      <c r="F8147" s="2">
        <f>DATEVALUE("31-5-2015")</f>
        <v>42155</v>
      </c>
    </row>
    <row r="8148" spans="1:6" x14ac:dyDescent="0.25">
      <c r="A8148" s="1" t="s">
        <v>1580</v>
      </c>
      <c r="B8148" s="1" t="s">
        <v>1912</v>
      </c>
      <c r="C8148" s="1" t="s">
        <v>208</v>
      </c>
      <c r="D8148" s="3">
        <f>VALUE("7482")</f>
        <v>7482</v>
      </c>
      <c r="E8148" s="2">
        <f>DATEVALUE("1-3-2013")</f>
        <v>41334</v>
      </c>
      <c r="F8148" s="2">
        <f>DATEVALUE("31-5-2015")</f>
        <v>42155</v>
      </c>
    </row>
    <row r="8149" spans="1:6" x14ac:dyDescent="0.25">
      <c r="A8149" s="1" t="s">
        <v>1580</v>
      </c>
      <c r="B8149" s="1" t="s">
        <v>1881</v>
      </c>
      <c r="C8149" s="1" t="s">
        <v>13</v>
      </c>
      <c r="D8149" s="3">
        <f>VALUE("7233")</f>
        <v>7233</v>
      </c>
      <c r="E8149" s="2">
        <f>DATEVALUE("1-2-2012")</f>
        <v>40940</v>
      </c>
      <c r="F8149" s="2">
        <f>DATEVALUE("30-11-2015")</f>
        <v>42338</v>
      </c>
    </row>
    <row r="8150" spans="1:6" x14ac:dyDescent="0.25">
      <c r="A8150" s="1" t="s">
        <v>1580</v>
      </c>
      <c r="B8150" s="1" t="s">
        <v>1881</v>
      </c>
      <c r="C8150" s="1" t="s">
        <v>1882</v>
      </c>
      <c r="D8150" s="3">
        <f>VALUE("7233")</f>
        <v>7233</v>
      </c>
      <c r="E8150" s="2">
        <f>DATEVALUE("1-2-2012")</f>
        <v>40940</v>
      </c>
      <c r="F8150" s="2">
        <f>DATEVALUE("30-11-2015")</f>
        <v>42338</v>
      </c>
    </row>
    <row r="8151" spans="1:6" x14ac:dyDescent="0.25">
      <c r="A8151" s="1" t="s">
        <v>1400</v>
      </c>
      <c r="B8151" s="1" t="s">
        <v>1399</v>
      </c>
      <c r="C8151" s="1" t="s">
        <v>14</v>
      </c>
      <c r="D8151" s="3">
        <f>VALUE("8620")</f>
        <v>8620</v>
      </c>
      <c r="E8151" s="2">
        <f>DATEVALUE("1-10-2019")</f>
        <v>43739</v>
      </c>
      <c r="F8151" s="2">
        <f>DATEVALUE("31-5-2021")</f>
        <v>44347</v>
      </c>
    </row>
    <row r="8152" spans="1:6" x14ac:dyDescent="0.25">
      <c r="A8152" s="1" t="s">
        <v>1400</v>
      </c>
      <c r="B8152" s="1" t="s">
        <v>1399</v>
      </c>
      <c r="C8152" s="1" t="s">
        <v>1161</v>
      </c>
      <c r="D8152" s="3">
        <f>VALUE("8620")</f>
        <v>8620</v>
      </c>
      <c r="E8152" s="2">
        <f>DATEVALUE("1-10-2019")</f>
        <v>43739</v>
      </c>
      <c r="F8152" s="2">
        <f>DATEVALUE("31-5-2021")</f>
        <v>44347</v>
      </c>
    </row>
    <row r="8153" spans="1:6" x14ac:dyDescent="0.25">
      <c r="A8153" s="1" t="s">
        <v>1400</v>
      </c>
      <c r="B8153" s="1" t="s">
        <v>1399</v>
      </c>
      <c r="C8153" s="1" t="s">
        <v>54</v>
      </c>
      <c r="D8153" s="3">
        <f>VALUE("8620")</f>
        <v>8620</v>
      </c>
      <c r="E8153" s="2">
        <f>DATEVALUE("1-10-2019")</f>
        <v>43739</v>
      </c>
      <c r="F8153" s="2">
        <f>DATEVALUE("31-5-2021")</f>
        <v>44347</v>
      </c>
    </row>
    <row r="8154" spans="1:6" x14ac:dyDescent="0.25">
      <c r="A8154" s="1" t="s">
        <v>1400</v>
      </c>
      <c r="B8154" s="1" t="s">
        <v>1779</v>
      </c>
      <c r="C8154" s="1" t="s">
        <v>7</v>
      </c>
      <c r="D8154" s="3">
        <f t="shared" ref="D8154:D8162" si="1242">VALUE("8322")</f>
        <v>8322</v>
      </c>
      <c r="E8154" s="2">
        <f t="shared" ref="E8154:E8162" si="1243">DATEVALUE("1-6-2018")</f>
        <v>43252</v>
      </c>
      <c r="F8154" s="2">
        <f t="shared" ref="F8154:F8162" si="1244">DATEVALUE("30-6-2020")</f>
        <v>44012</v>
      </c>
    </row>
    <row r="8155" spans="1:6" x14ac:dyDescent="0.25">
      <c r="A8155" s="1" t="s">
        <v>1400</v>
      </c>
      <c r="B8155" s="1" t="s">
        <v>1779</v>
      </c>
      <c r="C8155" s="1" t="s">
        <v>6</v>
      </c>
      <c r="D8155" s="3">
        <f t="shared" si="1242"/>
        <v>8322</v>
      </c>
      <c r="E8155" s="2">
        <f t="shared" si="1243"/>
        <v>43252</v>
      </c>
      <c r="F8155" s="2">
        <f t="shared" si="1244"/>
        <v>44012</v>
      </c>
    </row>
    <row r="8156" spans="1:6" x14ac:dyDescent="0.25">
      <c r="A8156" s="1" t="s">
        <v>1400</v>
      </c>
      <c r="B8156" s="1" t="s">
        <v>1779</v>
      </c>
      <c r="C8156" s="1" t="s">
        <v>17</v>
      </c>
      <c r="D8156" s="3">
        <f t="shared" si="1242"/>
        <v>8322</v>
      </c>
      <c r="E8156" s="2">
        <f t="shared" si="1243"/>
        <v>43252</v>
      </c>
      <c r="F8156" s="2">
        <f t="shared" si="1244"/>
        <v>44012</v>
      </c>
    </row>
    <row r="8157" spans="1:6" x14ac:dyDescent="0.25">
      <c r="A8157" s="1" t="s">
        <v>1400</v>
      </c>
      <c r="B8157" s="1" t="s">
        <v>1779</v>
      </c>
      <c r="C8157" s="1" t="s">
        <v>22</v>
      </c>
      <c r="D8157" s="3">
        <f t="shared" si="1242"/>
        <v>8322</v>
      </c>
      <c r="E8157" s="2">
        <f t="shared" si="1243"/>
        <v>43252</v>
      </c>
      <c r="F8157" s="2">
        <f t="shared" si="1244"/>
        <v>44012</v>
      </c>
    </row>
    <row r="8158" spans="1:6" x14ac:dyDescent="0.25">
      <c r="A8158" s="1" t="s">
        <v>1400</v>
      </c>
      <c r="B8158" s="1" t="s">
        <v>1779</v>
      </c>
      <c r="C8158" s="1" t="s">
        <v>67</v>
      </c>
      <c r="D8158" s="3">
        <f t="shared" si="1242"/>
        <v>8322</v>
      </c>
      <c r="E8158" s="2">
        <f t="shared" si="1243"/>
        <v>43252</v>
      </c>
      <c r="F8158" s="2">
        <f t="shared" si="1244"/>
        <v>44012</v>
      </c>
    </row>
    <row r="8159" spans="1:6" x14ac:dyDescent="0.25">
      <c r="A8159" s="1" t="s">
        <v>1400</v>
      </c>
      <c r="B8159" s="1" t="s">
        <v>1779</v>
      </c>
      <c r="C8159" s="1" t="s">
        <v>148</v>
      </c>
      <c r="D8159" s="3">
        <f t="shared" si="1242"/>
        <v>8322</v>
      </c>
      <c r="E8159" s="2">
        <f t="shared" si="1243"/>
        <v>43252</v>
      </c>
      <c r="F8159" s="2">
        <f t="shared" si="1244"/>
        <v>44012</v>
      </c>
    </row>
    <row r="8160" spans="1:6" x14ac:dyDescent="0.25">
      <c r="A8160" s="1" t="s">
        <v>1400</v>
      </c>
      <c r="B8160" s="1" t="s">
        <v>1779</v>
      </c>
      <c r="C8160" s="1" t="s">
        <v>149</v>
      </c>
      <c r="D8160" s="3">
        <f t="shared" si="1242"/>
        <v>8322</v>
      </c>
      <c r="E8160" s="2">
        <f t="shared" si="1243"/>
        <v>43252</v>
      </c>
      <c r="F8160" s="2">
        <f t="shared" si="1244"/>
        <v>44012</v>
      </c>
    </row>
    <row r="8161" spans="1:6" x14ac:dyDescent="0.25">
      <c r="A8161" s="1" t="s">
        <v>1400</v>
      </c>
      <c r="B8161" s="1" t="s">
        <v>1779</v>
      </c>
      <c r="C8161" s="1" t="s">
        <v>654</v>
      </c>
      <c r="D8161" s="3">
        <f t="shared" si="1242"/>
        <v>8322</v>
      </c>
      <c r="E8161" s="2">
        <f t="shared" si="1243"/>
        <v>43252</v>
      </c>
      <c r="F8161" s="2">
        <f t="shared" si="1244"/>
        <v>44012</v>
      </c>
    </row>
    <row r="8162" spans="1:6" x14ac:dyDescent="0.25">
      <c r="A8162" s="1" t="s">
        <v>1400</v>
      </c>
      <c r="B8162" s="1" t="s">
        <v>1779</v>
      </c>
      <c r="C8162" s="1" t="s">
        <v>73</v>
      </c>
      <c r="D8162" s="3">
        <f t="shared" si="1242"/>
        <v>8322</v>
      </c>
      <c r="E8162" s="2">
        <f t="shared" si="1243"/>
        <v>43252</v>
      </c>
      <c r="F8162" s="2">
        <f t="shared" si="1244"/>
        <v>44012</v>
      </c>
    </row>
    <row r="8163" spans="1:6" x14ac:dyDescent="0.25">
      <c r="A8163" s="1" t="s">
        <v>1400</v>
      </c>
      <c r="B8163" s="1" t="s">
        <v>2303</v>
      </c>
      <c r="C8163" s="1" t="s">
        <v>7</v>
      </c>
      <c r="D8163" s="3">
        <f t="shared" ref="D8163:D8179" si="1245">VALUE("8118")</f>
        <v>8118</v>
      </c>
      <c r="E8163" s="2">
        <f t="shared" ref="E8163:E8179" si="1246">DATEVALUE("1-9-2017")</f>
        <v>42979</v>
      </c>
      <c r="F8163" s="2">
        <f t="shared" ref="F8163:F8179" si="1247">DATEVALUE("31-5-2019")</f>
        <v>43616</v>
      </c>
    </row>
    <row r="8164" spans="1:6" x14ac:dyDescent="0.25">
      <c r="A8164" s="1" t="s">
        <v>1400</v>
      </c>
      <c r="B8164" s="1" t="s">
        <v>2303</v>
      </c>
      <c r="C8164" s="1" t="s">
        <v>8</v>
      </c>
      <c r="D8164" s="3">
        <f t="shared" si="1245"/>
        <v>8118</v>
      </c>
      <c r="E8164" s="2">
        <f t="shared" si="1246"/>
        <v>42979</v>
      </c>
      <c r="F8164" s="2">
        <f t="shared" si="1247"/>
        <v>43616</v>
      </c>
    </row>
    <row r="8165" spans="1:6" x14ac:dyDescent="0.25">
      <c r="A8165" s="1" t="s">
        <v>1400</v>
      </c>
      <c r="B8165" s="1" t="s">
        <v>2303</v>
      </c>
      <c r="C8165" s="1" t="s">
        <v>10</v>
      </c>
      <c r="D8165" s="3">
        <f t="shared" si="1245"/>
        <v>8118</v>
      </c>
      <c r="E8165" s="2">
        <f t="shared" si="1246"/>
        <v>42979</v>
      </c>
      <c r="F8165" s="2">
        <f t="shared" si="1247"/>
        <v>43616</v>
      </c>
    </row>
    <row r="8166" spans="1:6" x14ac:dyDescent="0.25">
      <c r="A8166" s="1" t="s">
        <v>1400</v>
      </c>
      <c r="B8166" s="1" t="s">
        <v>2303</v>
      </c>
      <c r="C8166" s="1" t="s">
        <v>16</v>
      </c>
      <c r="D8166" s="3">
        <f t="shared" si="1245"/>
        <v>8118</v>
      </c>
      <c r="E8166" s="2">
        <f t="shared" si="1246"/>
        <v>42979</v>
      </c>
      <c r="F8166" s="2">
        <f t="shared" si="1247"/>
        <v>43616</v>
      </c>
    </row>
    <row r="8167" spans="1:6" x14ac:dyDescent="0.25">
      <c r="A8167" s="1" t="s">
        <v>1400</v>
      </c>
      <c r="B8167" s="1" t="s">
        <v>2303</v>
      </c>
      <c r="C8167" s="1" t="s">
        <v>17</v>
      </c>
      <c r="D8167" s="3">
        <f t="shared" si="1245"/>
        <v>8118</v>
      </c>
      <c r="E8167" s="2">
        <f t="shared" si="1246"/>
        <v>42979</v>
      </c>
      <c r="F8167" s="2">
        <f t="shared" si="1247"/>
        <v>43616</v>
      </c>
    </row>
    <row r="8168" spans="1:6" x14ac:dyDescent="0.25">
      <c r="A8168" s="1" t="s">
        <v>1400</v>
      </c>
      <c r="B8168" s="1" t="s">
        <v>2303</v>
      </c>
      <c r="C8168" s="1" t="s">
        <v>22</v>
      </c>
      <c r="D8168" s="3">
        <f t="shared" si="1245"/>
        <v>8118</v>
      </c>
      <c r="E8168" s="2">
        <f t="shared" si="1246"/>
        <v>42979</v>
      </c>
      <c r="F8168" s="2">
        <f t="shared" si="1247"/>
        <v>43616</v>
      </c>
    </row>
    <row r="8169" spans="1:6" x14ac:dyDescent="0.25">
      <c r="A8169" s="1" t="s">
        <v>1400</v>
      </c>
      <c r="B8169" s="1" t="s">
        <v>2303</v>
      </c>
      <c r="C8169" s="1" t="s">
        <v>259</v>
      </c>
      <c r="D8169" s="3">
        <f t="shared" si="1245"/>
        <v>8118</v>
      </c>
      <c r="E8169" s="2">
        <f t="shared" si="1246"/>
        <v>42979</v>
      </c>
      <c r="F8169" s="2">
        <f t="shared" si="1247"/>
        <v>43616</v>
      </c>
    </row>
    <row r="8170" spans="1:6" x14ac:dyDescent="0.25">
      <c r="A8170" s="1" t="s">
        <v>1400</v>
      </c>
      <c r="B8170" s="1" t="s">
        <v>2303</v>
      </c>
      <c r="C8170" s="1" t="s">
        <v>222</v>
      </c>
      <c r="D8170" s="3">
        <f t="shared" si="1245"/>
        <v>8118</v>
      </c>
      <c r="E8170" s="2">
        <f t="shared" si="1246"/>
        <v>42979</v>
      </c>
      <c r="F8170" s="2">
        <f t="shared" si="1247"/>
        <v>43616</v>
      </c>
    </row>
    <row r="8171" spans="1:6" x14ac:dyDescent="0.25">
      <c r="A8171" s="1" t="s">
        <v>1400</v>
      </c>
      <c r="B8171" s="1" t="s">
        <v>2303</v>
      </c>
      <c r="C8171" s="1" t="s">
        <v>260</v>
      </c>
      <c r="D8171" s="3">
        <f t="shared" si="1245"/>
        <v>8118</v>
      </c>
      <c r="E8171" s="2">
        <f t="shared" si="1246"/>
        <v>42979</v>
      </c>
      <c r="F8171" s="2">
        <f t="shared" si="1247"/>
        <v>43616</v>
      </c>
    </row>
    <row r="8172" spans="1:6" x14ac:dyDescent="0.25">
      <c r="A8172" s="1" t="s">
        <v>1400</v>
      </c>
      <c r="B8172" s="1" t="s">
        <v>2303</v>
      </c>
      <c r="C8172" s="1" t="s">
        <v>261</v>
      </c>
      <c r="D8172" s="3">
        <f t="shared" si="1245"/>
        <v>8118</v>
      </c>
      <c r="E8172" s="2">
        <f t="shared" si="1246"/>
        <v>42979</v>
      </c>
      <c r="F8172" s="2">
        <f t="shared" si="1247"/>
        <v>43616</v>
      </c>
    </row>
    <row r="8173" spans="1:6" x14ac:dyDescent="0.25">
      <c r="A8173" s="1" t="s">
        <v>1400</v>
      </c>
      <c r="B8173" s="1" t="s">
        <v>2303</v>
      </c>
      <c r="C8173" s="1" t="s">
        <v>228</v>
      </c>
      <c r="D8173" s="3">
        <f t="shared" si="1245"/>
        <v>8118</v>
      </c>
      <c r="E8173" s="2">
        <f t="shared" si="1246"/>
        <v>42979</v>
      </c>
      <c r="F8173" s="2">
        <f t="shared" si="1247"/>
        <v>43616</v>
      </c>
    </row>
    <row r="8174" spans="1:6" x14ac:dyDescent="0.25">
      <c r="A8174" s="1" t="s">
        <v>1400</v>
      </c>
      <c r="B8174" s="1" t="s">
        <v>2303</v>
      </c>
      <c r="C8174" s="1" t="s">
        <v>28</v>
      </c>
      <c r="D8174" s="3">
        <f t="shared" si="1245"/>
        <v>8118</v>
      </c>
      <c r="E8174" s="2">
        <f t="shared" si="1246"/>
        <v>42979</v>
      </c>
      <c r="F8174" s="2">
        <f t="shared" si="1247"/>
        <v>43616</v>
      </c>
    </row>
    <row r="8175" spans="1:6" x14ac:dyDescent="0.25">
      <c r="A8175" s="1" t="s">
        <v>1400</v>
      </c>
      <c r="B8175" s="1" t="s">
        <v>2303</v>
      </c>
      <c r="C8175" s="1" t="s">
        <v>234</v>
      </c>
      <c r="D8175" s="3">
        <f t="shared" si="1245"/>
        <v>8118</v>
      </c>
      <c r="E8175" s="2">
        <f t="shared" si="1246"/>
        <v>42979</v>
      </c>
      <c r="F8175" s="2">
        <f t="shared" si="1247"/>
        <v>43616</v>
      </c>
    </row>
    <row r="8176" spans="1:6" x14ac:dyDescent="0.25">
      <c r="A8176" s="1" t="s">
        <v>1400</v>
      </c>
      <c r="B8176" s="1" t="s">
        <v>2303</v>
      </c>
      <c r="C8176" s="1" t="s">
        <v>30</v>
      </c>
      <c r="D8176" s="3">
        <f t="shared" si="1245"/>
        <v>8118</v>
      </c>
      <c r="E8176" s="2">
        <f t="shared" si="1246"/>
        <v>42979</v>
      </c>
      <c r="F8176" s="2">
        <f t="shared" si="1247"/>
        <v>43616</v>
      </c>
    </row>
    <row r="8177" spans="1:6" x14ac:dyDescent="0.25">
      <c r="A8177" s="1" t="s">
        <v>1400</v>
      </c>
      <c r="B8177" s="1" t="s">
        <v>2303</v>
      </c>
      <c r="C8177" s="1" t="s">
        <v>238</v>
      </c>
      <c r="D8177" s="3">
        <f t="shared" si="1245"/>
        <v>8118</v>
      </c>
      <c r="E8177" s="2">
        <f t="shared" si="1246"/>
        <v>42979</v>
      </c>
      <c r="F8177" s="2">
        <f t="shared" si="1247"/>
        <v>43616</v>
      </c>
    </row>
    <row r="8178" spans="1:6" x14ac:dyDescent="0.25">
      <c r="A8178" s="1" t="s">
        <v>1400</v>
      </c>
      <c r="B8178" s="1" t="s">
        <v>2303</v>
      </c>
      <c r="C8178" s="1" t="s">
        <v>240</v>
      </c>
      <c r="D8178" s="3">
        <f t="shared" si="1245"/>
        <v>8118</v>
      </c>
      <c r="E8178" s="2">
        <f t="shared" si="1246"/>
        <v>42979</v>
      </c>
      <c r="F8178" s="2">
        <f t="shared" si="1247"/>
        <v>43616</v>
      </c>
    </row>
    <row r="8179" spans="1:6" x14ac:dyDescent="0.25">
      <c r="A8179" s="1" t="s">
        <v>1400</v>
      </c>
      <c r="B8179" s="1" t="s">
        <v>2303</v>
      </c>
      <c r="C8179" s="1" t="s">
        <v>36</v>
      </c>
      <c r="D8179" s="3">
        <f t="shared" si="1245"/>
        <v>8118</v>
      </c>
      <c r="E8179" s="2">
        <f t="shared" si="1246"/>
        <v>42979</v>
      </c>
      <c r="F8179" s="2">
        <f t="shared" si="1247"/>
        <v>43616</v>
      </c>
    </row>
    <row r="8180" spans="1:6" x14ac:dyDescent="0.25">
      <c r="A8180" s="1" t="s">
        <v>1863</v>
      </c>
      <c r="B8180" s="1" t="s">
        <v>1970</v>
      </c>
      <c r="C8180" s="1" t="s">
        <v>7</v>
      </c>
      <c r="D8180" s="3">
        <f t="shared" ref="D8180:D8192" si="1248">VALUE("7742")</f>
        <v>7742</v>
      </c>
      <c r="E8180" s="2">
        <f t="shared" ref="E8180:E8192" si="1249">DATEVALUE("1-2-2016")</f>
        <v>42401</v>
      </c>
      <c r="F8180" s="2">
        <f t="shared" ref="F8180:F8192" si="1250">DATEVALUE("31-3-2016")</f>
        <v>42460</v>
      </c>
    </row>
    <row r="8181" spans="1:6" x14ac:dyDescent="0.25">
      <c r="A8181" s="1" t="s">
        <v>1863</v>
      </c>
      <c r="B8181" s="1" t="s">
        <v>1970</v>
      </c>
      <c r="C8181" s="1" t="s">
        <v>80</v>
      </c>
      <c r="D8181" s="3">
        <f t="shared" si="1248"/>
        <v>7742</v>
      </c>
      <c r="E8181" s="2">
        <f t="shared" si="1249"/>
        <v>42401</v>
      </c>
      <c r="F8181" s="2">
        <f t="shared" si="1250"/>
        <v>42460</v>
      </c>
    </row>
    <row r="8182" spans="1:6" x14ac:dyDescent="0.25">
      <c r="A8182" s="1" t="s">
        <v>1863</v>
      </c>
      <c r="B8182" s="1" t="s">
        <v>1970</v>
      </c>
      <c r="C8182" s="1" t="s">
        <v>83</v>
      </c>
      <c r="D8182" s="3">
        <f t="shared" si="1248"/>
        <v>7742</v>
      </c>
      <c r="E8182" s="2">
        <f t="shared" si="1249"/>
        <v>42401</v>
      </c>
      <c r="F8182" s="2">
        <f t="shared" si="1250"/>
        <v>42460</v>
      </c>
    </row>
    <row r="8183" spans="1:6" x14ac:dyDescent="0.25">
      <c r="A8183" s="1" t="s">
        <v>1863</v>
      </c>
      <c r="B8183" s="1" t="s">
        <v>1970</v>
      </c>
      <c r="C8183" s="1" t="s">
        <v>599</v>
      </c>
      <c r="D8183" s="3">
        <f t="shared" si="1248"/>
        <v>7742</v>
      </c>
      <c r="E8183" s="2">
        <f t="shared" si="1249"/>
        <v>42401</v>
      </c>
      <c r="F8183" s="2">
        <f t="shared" si="1250"/>
        <v>42460</v>
      </c>
    </row>
    <row r="8184" spans="1:6" x14ac:dyDescent="0.25">
      <c r="A8184" s="1" t="s">
        <v>1863</v>
      </c>
      <c r="B8184" s="1" t="s">
        <v>1970</v>
      </c>
      <c r="C8184" s="1" t="s">
        <v>17</v>
      </c>
      <c r="D8184" s="3">
        <f t="shared" si="1248"/>
        <v>7742</v>
      </c>
      <c r="E8184" s="2">
        <f t="shared" si="1249"/>
        <v>42401</v>
      </c>
      <c r="F8184" s="2">
        <f t="shared" si="1250"/>
        <v>42460</v>
      </c>
    </row>
    <row r="8185" spans="1:6" x14ac:dyDescent="0.25">
      <c r="A8185" s="1" t="s">
        <v>1863</v>
      </c>
      <c r="B8185" s="1" t="s">
        <v>1970</v>
      </c>
      <c r="C8185" s="1" t="s">
        <v>149</v>
      </c>
      <c r="D8185" s="3">
        <f t="shared" si="1248"/>
        <v>7742</v>
      </c>
      <c r="E8185" s="2">
        <f t="shared" si="1249"/>
        <v>42401</v>
      </c>
      <c r="F8185" s="2">
        <f t="shared" si="1250"/>
        <v>42460</v>
      </c>
    </row>
    <row r="8186" spans="1:6" x14ac:dyDescent="0.25">
      <c r="A8186" s="1" t="s">
        <v>1863</v>
      </c>
      <c r="B8186" s="1" t="s">
        <v>1970</v>
      </c>
      <c r="C8186" s="1" t="s">
        <v>97</v>
      </c>
      <c r="D8186" s="3">
        <f t="shared" si="1248"/>
        <v>7742</v>
      </c>
      <c r="E8186" s="2">
        <f t="shared" si="1249"/>
        <v>42401</v>
      </c>
      <c r="F8186" s="2">
        <f t="shared" si="1250"/>
        <v>42460</v>
      </c>
    </row>
    <row r="8187" spans="1:6" x14ac:dyDescent="0.25">
      <c r="A8187" s="1" t="s">
        <v>1863</v>
      </c>
      <c r="B8187" s="1" t="s">
        <v>1970</v>
      </c>
      <c r="C8187" s="1" t="s">
        <v>72</v>
      </c>
      <c r="D8187" s="3">
        <f t="shared" si="1248"/>
        <v>7742</v>
      </c>
      <c r="E8187" s="2">
        <f t="shared" si="1249"/>
        <v>42401</v>
      </c>
      <c r="F8187" s="2">
        <f t="shared" si="1250"/>
        <v>42460</v>
      </c>
    </row>
    <row r="8188" spans="1:6" x14ac:dyDescent="0.25">
      <c r="A8188" s="1" t="s">
        <v>1863</v>
      </c>
      <c r="B8188" s="1" t="s">
        <v>1970</v>
      </c>
      <c r="C8188" s="1" t="s">
        <v>73</v>
      </c>
      <c r="D8188" s="3">
        <f t="shared" si="1248"/>
        <v>7742</v>
      </c>
      <c r="E8188" s="2">
        <f t="shared" si="1249"/>
        <v>42401</v>
      </c>
      <c r="F8188" s="2">
        <f t="shared" si="1250"/>
        <v>42460</v>
      </c>
    </row>
    <row r="8189" spans="1:6" x14ac:dyDescent="0.25">
      <c r="A8189" s="1" t="s">
        <v>1863</v>
      </c>
      <c r="B8189" s="1" t="s">
        <v>1970</v>
      </c>
      <c r="C8189" s="1" t="s">
        <v>52</v>
      </c>
      <c r="D8189" s="3">
        <f t="shared" si="1248"/>
        <v>7742</v>
      </c>
      <c r="E8189" s="2">
        <f t="shared" si="1249"/>
        <v>42401</v>
      </c>
      <c r="F8189" s="2">
        <f t="shared" si="1250"/>
        <v>42460</v>
      </c>
    </row>
    <row r="8190" spans="1:6" x14ac:dyDescent="0.25">
      <c r="A8190" s="1" t="s">
        <v>1863</v>
      </c>
      <c r="B8190" s="1" t="s">
        <v>1970</v>
      </c>
      <c r="C8190" s="1" t="s">
        <v>1971</v>
      </c>
      <c r="D8190" s="3">
        <f t="shared" si="1248"/>
        <v>7742</v>
      </c>
      <c r="E8190" s="2">
        <f t="shared" si="1249"/>
        <v>42401</v>
      </c>
      <c r="F8190" s="2">
        <f t="shared" si="1250"/>
        <v>42460</v>
      </c>
    </row>
    <row r="8191" spans="1:6" x14ac:dyDescent="0.25">
      <c r="A8191" s="1" t="s">
        <v>1863</v>
      </c>
      <c r="B8191" s="1" t="s">
        <v>1970</v>
      </c>
      <c r="C8191" s="1" t="s">
        <v>116</v>
      </c>
      <c r="D8191" s="3">
        <f t="shared" si="1248"/>
        <v>7742</v>
      </c>
      <c r="E8191" s="2">
        <f t="shared" si="1249"/>
        <v>42401</v>
      </c>
      <c r="F8191" s="2">
        <f t="shared" si="1250"/>
        <v>42460</v>
      </c>
    </row>
    <row r="8192" spans="1:6" x14ac:dyDescent="0.25">
      <c r="A8192" s="1" t="s">
        <v>1863</v>
      </c>
      <c r="B8192" s="1" t="s">
        <v>1970</v>
      </c>
      <c r="C8192" s="1" t="s">
        <v>36</v>
      </c>
      <c r="D8192" s="3">
        <f t="shared" si="1248"/>
        <v>7742</v>
      </c>
      <c r="E8192" s="2">
        <f t="shared" si="1249"/>
        <v>42401</v>
      </c>
      <c r="F8192" s="2">
        <f t="shared" si="1250"/>
        <v>42460</v>
      </c>
    </row>
    <row r="8193" spans="1:6" x14ac:dyDescent="0.25">
      <c r="A8193" s="1" t="s">
        <v>1863</v>
      </c>
      <c r="B8193" s="1" t="s">
        <v>2777</v>
      </c>
      <c r="C8193" s="1" t="s">
        <v>45</v>
      </c>
      <c r="D8193" s="3">
        <f>VALUE("7702")</f>
        <v>7702</v>
      </c>
      <c r="E8193" s="2">
        <f>DATEVALUE("1-1-2015")</f>
        <v>42005</v>
      </c>
      <c r="F8193" s="2">
        <f>DATEVALUE("30-6-2015")</f>
        <v>42185</v>
      </c>
    </row>
    <row r="8194" spans="1:6" x14ac:dyDescent="0.25">
      <c r="A8194" s="1" t="s">
        <v>1863</v>
      </c>
      <c r="B8194" s="1" t="s">
        <v>674</v>
      </c>
      <c r="C8194" s="1" t="s">
        <v>7</v>
      </c>
      <c r="D8194" s="3">
        <f t="shared" ref="D8194:D8217" si="1251">VALUE("7596")</f>
        <v>7596</v>
      </c>
      <c r="E8194" s="2">
        <f t="shared" ref="E8194:E8217" si="1252">DATEVALUE("1-8-2014")</f>
        <v>41852</v>
      </c>
      <c r="F8194" s="2">
        <f t="shared" ref="F8194:F8217" si="1253">DATEVALUE("31-3-2016")</f>
        <v>42460</v>
      </c>
    </row>
    <row r="8195" spans="1:6" x14ac:dyDescent="0.25">
      <c r="A8195" s="1" t="s">
        <v>1863</v>
      </c>
      <c r="B8195" s="1" t="s">
        <v>674</v>
      </c>
      <c r="C8195" s="1" t="s">
        <v>6</v>
      </c>
      <c r="D8195" s="3">
        <f t="shared" si="1251"/>
        <v>7596</v>
      </c>
      <c r="E8195" s="2">
        <f t="shared" si="1252"/>
        <v>41852</v>
      </c>
      <c r="F8195" s="2">
        <f t="shared" si="1253"/>
        <v>42460</v>
      </c>
    </row>
    <row r="8196" spans="1:6" x14ac:dyDescent="0.25">
      <c r="A8196" s="1" t="s">
        <v>1863</v>
      </c>
      <c r="B8196" s="1" t="s">
        <v>674</v>
      </c>
      <c r="C8196" s="1" t="s">
        <v>289</v>
      </c>
      <c r="D8196" s="3">
        <f t="shared" si="1251"/>
        <v>7596</v>
      </c>
      <c r="E8196" s="2">
        <f t="shared" si="1252"/>
        <v>41852</v>
      </c>
      <c r="F8196" s="2">
        <f t="shared" si="1253"/>
        <v>42460</v>
      </c>
    </row>
    <row r="8197" spans="1:6" x14ac:dyDescent="0.25">
      <c r="A8197" s="1" t="s">
        <v>1863</v>
      </c>
      <c r="B8197" s="1" t="s">
        <v>674</v>
      </c>
      <c r="C8197" s="1" t="s">
        <v>62</v>
      </c>
      <c r="D8197" s="3">
        <f t="shared" si="1251"/>
        <v>7596</v>
      </c>
      <c r="E8197" s="2">
        <f t="shared" si="1252"/>
        <v>41852</v>
      </c>
      <c r="F8197" s="2">
        <f t="shared" si="1253"/>
        <v>42460</v>
      </c>
    </row>
    <row r="8198" spans="1:6" x14ac:dyDescent="0.25">
      <c r="A8198" s="1" t="s">
        <v>1863</v>
      </c>
      <c r="B8198" s="1" t="s">
        <v>674</v>
      </c>
      <c r="C8198" s="1" t="s">
        <v>63</v>
      </c>
      <c r="D8198" s="3">
        <f t="shared" si="1251"/>
        <v>7596</v>
      </c>
      <c r="E8198" s="2">
        <f t="shared" si="1252"/>
        <v>41852</v>
      </c>
      <c r="F8198" s="2">
        <f t="shared" si="1253"/>
        <v>42460</v>
      </c>
    </row>
    <row r="8199" spans="1:6" x14ac:dyDescent="0.25">
      <c r="A8199" s="1" t="s">
        <v>1863</v>
      </c>
      <c r="B8199" s="1" t="s">
        <v>674</v>
      </c>
      <c r="C8199" s="1" t="s">
        <v>45</v>
      </c>
      <c r="D8199" s="3">
        <f t="shared" si="1251"/>
        <v>7596</v>
      </c>
      <c r="E8199" s="2">
        <f t="shared" si="1252"/>
        <v>41852</v>
      </c>
      <c r="F8199" s="2">
        <f t="shared" si="1253"/>
        <v>42460</v>
      </c>
    </row>
    <row r="8200" spans="1:6" x14ac:dyDescent="0.25">
      <c r="A8200" s="1" t="s">
        <v>1863</v>
      </c>
      <c r="B8200" s="1" t="s">
        <v>674</v>
      </c>
      <c r="C8200" s="1" t="s">
        <v>65</v>
      </c>
      <c r="D8200" s="3">
        <f t="shared" si="1251"/>
        <v>7596</v>
      </c>
      <c r="E8200" s="2">
        <f t="shared" si="1252"/>
        <v>41852</v>
      </c>
      <c r="F8200" s="2">
        <f t="shared" si="1253"/>
        <v>42460</v>
      </c>
    </row>
    <row r="8201" spans="1:6" x14ac:dyDescent="0.25">
      <c r="A8201" s="1" t="s">
        <v>1863</v>
      </c>
      <c r="B8201" s="1" t="s">
        <v>674</v>
      </c>
      <c r="C8201" s="1" t="s">
        <v>46</v>
      </c>
      <c r="D8201" s="3">
        <f t="shared" si="1251"/>
        <v>7596</v>
      </c>
      <c r="E8201" s="2">
        <f t="shared" si="1252"/>
        <v>41852</v>
      </c>
      <c r="F8201" s="2">
        <f t="shared" si="1253"/>
        <v>42460</v>
      </c>
    </row>
    <row r="8202" spans="1:6" x14ac:dyDescent="0.25">
      <c r="A8202" s="1" t="s">
        <v>1863</v>
      </c>
      <c r="B8202" s="1" t="s">
        <v>674</v>
      </c>
      <c r="C8202" s="1" t="s">
        <v>66</v>
      </c>
      <c r="D8202" s="3">
        <f t="shared" si="1251"/>
        <v>7596</v>
      </c>
      <c r="E8202" s="2">
        <f t="shared" si="1252"/>
        <v>41852</v>
      </c>
      <c r="F8202" s="2">
        <f t="shared" si="1253"/>
        <v>42460</v>
      </c>
    </row>
    <row r="8203" spans="1:6" x14ac:dyDescent="0.25">
      <c r="A8203" s="1" t="s">
        <v>1863</v>
      </c>
      <c r="B8203" s="1" t="s">
        <v>674</v>
      </c>
      <c r="C8203" s="1" t="s">
        <v>16</v>
      </c>
      <c r="D8203" s="3">
        <f t="shared" si="1251"/>
        <v>7596</v>
      </c>
      <c r="E8203" s="2">
        <f t="shared" si="1252"/>
        <v>41852</v>
      </c>
      <c r="F8203" s="2">
        <f t="shared" si="1253"/>
        <v>42460</v>
      </c>
    </row>
    <row r="8204" spans="1:6" x14ac:dyDescent="0.25">
      <c r="A8204" s="1" t="s">
        <v>1863</v>
      </c>
      <c r="B8204" s="1" t="s">
        <v>674</v>
      </c>
      <c r="C8204" s="1" t="s">
        <v>17</v>
      </c>
      <c r="D8204" s="3">
        <f t="shared" si="1251"/>
        <v>7596</v>
      </c>
      <c r="E8204" s="2">
        <f t="shared" si="1252"/>
        <v>41852</v>
      </c>
      <c r="F8204" s="2">
        <f t="shared" si="1253"/>
        <v>42460</v>
      </c>
    </row>
    <row r="8205" spans="1:6" x14ac:dyDescent="0.25">
      <c r="A8205" s="1" t="s">
        <v>1863</v>
      </c>
      <c r="B8205" s="1" t="s">
        <v>674</v>
      </c>
      <c r="C8205" s="1" t="s">
        <v>22</v>
      </c>
      <c r="D8205" s="3">
        <f t="shared" si="1251"/>
        <v>7596</v>
      </c>
      <c r="E8205" s="2">
        <f t="shared" si="1252"/>
        <v>41852</v>
      </c>
      <c r="F8205" s="2">
        <f t="shared" si="1253"/>
        <v>42460</v>
      </c>
    </row>
    <row r="8206" spans="1:6" x14ac:dyDescent="0.25">
      <c r="A8206" s="1" t="s">
        <v>1863</v>
      </c>
      <c r="B8206" s="1" t="s">
        <v>674</v>
      </c>
      <c r="C8206" s="1" t="s">
        <v>148</v>
      </c>
      <c r="D8206" s="3">
        <f t="shared" si="1251"/>
        <v>7596</v>
      </c>
      <c r="E8206" s="2">
        <f t="shared" si="1252"/>
        <v>41852</v>
      </c>
      <c r="F8206" s="2">
        <f t="shared" si="1253"/>
        <v>42460</v>
      </c>
    </row>
    <row r="8207" spans="1:6" x14ac:dyDescent="0.25">
      <c r="A8207" s="1" t="s">
        <v>1863</v>
      </c>
      <c r="B8207" s="1" t="s">
        <v>674</v>
      </c>
      <c r="C8207" s="1" t="s">
        <v>149</v>
      </c>
      <c r="D8207" s="3">
        <f t="shared" si="1251"/>
        <v>7596</v>
      </c>
      <c r="E8207" s="2">
        <f t="shared" si="1252"/>
        <v>41852</v>
      </c>
      <c r="F8207" s="2">
        <f t="shared" si="1253"/>
        <v>42460</v>
      </c>
    </row>
    <row r="8208" spans="1:6" x14ac:dyDescent="0.25">
      <c r="A8208" s="1" t="s">
        <v>1863</v>
      </c>
      <c r="B8208" s="1" t="s">
        <v>674</v>
      </c>
      <c r="C8208" s="1" t="s">
        <v>329</v>
      </c>
      <c r="D8208" s="3">
        <f t="shared" si="1251"/>
        <v>7596</v>
      </c>
      <c r="E8208" s="2">
        <f t="shared" si="1252"/>
        <v>41852</v>
      </c>
      <c r="F8208" s="2">
        <f t="shared" si="1253"/>
        <v>42460</v>
      </c>
    </row>
    <row r="8209" spans="1:6" x14ac:dyDescent="0.25">
      <c r="A8209" s="1" t="s">
        <v>1863</v>
      </c>
      <c r="B8209" s="1" t="s">
        <v>674</v>
      </c>
      <c r="C8209" s="1" t="s">
        <v>654</v>
      </c>
      <c r="D8209" s="3">
        <f t="shared" si="1251"/>
        <v>7596</v>
      </c>
      <c r="E8209" s="2">
        <f t="shared" si="1252"/>
        <v>41852</v>
      </c>
      <c r="F8209" s="2">
        <f t="shared" si="1253"/>
        <v>42460</v>
      </c>
    </row>
    <row r="8210" spans="1:6" x14ac:dyDescent="0.25">
      <c r="A8210" s="1" t="s">
        <v>1863</v>
      </c>
      <c r="B8210" s="1" t="s">
        <v>674</v>
      </c>
      <c r="C8210" s="1" t="s">
        <v>69</v>
      </c>
      <c r="D8210" s="3">
        <f t="shared" si="1251"/>
        <v>7596</v>
      </c>
      <c r="E8210" s="2">
        <f t="shared" si="1252"/>
        <v>41852</v>
      </c>
      <c r="F8210" s="2">
        <f t="shared" si="1253"/>
        <v>42460</v>
      </c>
    </row>
    <row r="8211" spans="1:6" x14ac:dyDescent="0.25">
      <c r="A8211" s="1" t="s">
        <v>1863</v>
      </c>
      <c r="B8211" s="1" t="s">
        <v>674</v>
      </c>
      <c r="C8211" s="1" t="s">
        <v>70</v>
      </c>
      <c r="D8211" s="3">
        <f t="shared" si="1251"/>
        <v>7596</v>
      </c>
      <c r="E8211" s="2">
        <f t="shared" si="1252"/>
        <v>41852</v>
      </c>
      <c r="F8211" s="2">
        <f t="shared" si="1253"/>
        <v>42460</v>
      </c>
    </row>
    <row r="8212" spans="1:6" x14ac:dyDescent="0.25">
      <c r="A8212" s="1" t="s">
        <v>1863</v>
      </c>
      <c r="B8212" s="1" t="s">
        <v>674</v>
      </c>
      <c r="C8212" s="1" t="s">
        <v>27</v>
      </c>
      <c r="D8212" s="3">
        <f t="shared" si="1251"/>
        <v>7596</v>
      </c>
      <c r="E8212" s="2">
        <f t="shared" si="1252"/>
        <v>41852</v>
      </c>
      <c r="F8212" s="2">
        <f t="shared" si="1253"/>
        <v>42460</v>
      </c>
    </row>
    <row r="8213" spans="1:6" x14ac:dyDescent="0.25">
      <c r="A8213" s="1" t="s">
        <v>1863</v>
      </c>
      <c r="B8213" s="1" t="s">
        <v>674</v>
      </c>
      <c r="C8213" s="1" t="s">
        <v>262</v>
      </c>
      <c r="D8213" s="3">
        <f t="shared" si="1251"/>
        <v>7596</v>
      </c>
      <c r="E8213" s="2">
        <f t="shared" si="1252"/>
        <v>41852</v>
      </c>
      <c r="F8213" s="2">
        <f t="shared" si="1253"/>
        <v>42460</v>
      </c>
    </row>
    <row r="8214" spans="1:6" x14ac:dyDescent="0.25">
      <c r="A8214" s="1" t="s">
        <v>1863</v>
      </c>
      <c r="B8214" s="1" t="s">
        <v>674</v>
      </c>
      <c r="C8214" s="1" t="s">
        <v>73</v>
      </c>
      <c r="D8214" s="3">
        <f t="shared" si="1251"/>
        <v>7596</v>
      </c>
      <c r="E8214" s="2">
        <f t="shared" si="1252"/>
        <v>41852</v>
      </c>
      <c r="F8214" s="2">
        <f t="shared" si="1253"/>
        <v>42460</v>
      </c>
    </row>
    <row r="8215" spans="1:6" x14ac:dyDescent="0.25">
      <c r="A8215" s="1" t="s">
        <v>1863</v>
      </c>
      <c r="B8215" s="1" t="s">
        <v>674</v>
      </c>
      <c r="C8215" s="1" t="s">
        <v>52</v>
      </c>
      <c r="D8215" s="3">
        <f t="shared" si="1251"/>
        <v>7596</v>
      </c>
      <c r="E8215" s="2">
        <f t="shared" si="1252"/>
        <v>41852</v>
      </c>
      <c r="F8215" s="2">
        <f t="shared" si="1253"/>
        <v>42460</v>
      </c>
    </row>
    <row r="8216" spans="1:6" x14ac:dyDescent="0.25">
      <c r="A8216" s="1" t="s">
        <v>1863</v>
      </c>
      <c r="B8216" s="1" t="s">
        <v>674</v>
      </c>
      <c r="C8216" s="1" t="s">
        <v>334</v>
      </c>
      <c r="D8216" s="3">
        <f t="shared" si="1251"/>
        <v>7596</v>
      </c>
      <c r="E8216" s="2">
        <f t="shared" si="1252"/>
        <v>41852</v>
      </c>
      <c r="F8216" s="2">
        <f t="shared" si="1253"/>
        <v>42460</v>
      </c>
    </row>
    <row r="8217" spans="1:6" x14ac:dyDescent="0.25">
      <c r="A8217" s="1" t="s">
        <v>1863</v>
      </c>
      <c r="B8217" s="1" t="s">
        <v>674</v>
      </c>
      <c r="C8217" s="1" t="s">
        <v>36</v>
      </c>
      <c r="D8217" s="3">
        <f t="shared" si="1251"/>
        <v>7596</v>
      </c>
      <c r="E8217" s="2">
        <f t="shared" si="1252"/>
        <v>41852</v>
      </c>
      <c r="F8217" s="2">
        <f t="shared" si="1253"/>
        <v>42460</v>
      </c>
    </row>
    <row r="8218" spans="1:6" x14ac:dyDescent="0.25">
      <c r="A8218" s="1" t="s">
        <v>1863</v>
      </c>
      <c r="B8218" s="1" t="s">
        <v>1939</v>
      </c>
      <c r="C8218" s="1" t="s">
        <v>66</v>
      </c>
      <c r="D8218" s="3">
        <f t="shared" ref="D8218:D8223" si="1254">VALUE("7640")</f>
        <v>7640</v>
      </c>
      <c r="E8218" s="2">
        <f t="shared" ref="E8218:E8223" si="1255">DATEVALUE("1-6-2014")</f>
        <v>41791</v>
      </c>
      <c r="F8218" s="2">
        <f t="shared" ref="F8218:F8223" si="1256">DATEVALUE("31-5-2015")</f>
        <v>42155</v>
      </c>
    </row>
    <row r="8219" spans="1:6" x14ac:dyDescent="0.25">
      <c r="A8219" s="1" t="s">
        <v>1863</v>
      </c>
      <c r="B8219" s="1" t="s">
        <v>1939</v>
      </c>
      <c r="C8219" s="1" t="s">
        <v>15</v>
      </c>
      <c r="D8219" s="3">
        <f t="shared" si="1254"/>
        <v>7640</v>
      </c>
      <c r="E8219" s="2">
        <f t="shared" si="1255"/>
        <v>41791</v>
      </c>
      <c r="F8219" s="2">
        <f t="shared" si="1256"/>
        <v>42155</v>
      </c>
    </row>
    <row r="8220" spans="1:6" x14ac:dyDescent="0.25">
      <c r="A8220" s="1" t="s">
        <v>1863</v>
      </c>
      <c r="B8220" s="1" t="s">
        <v>1939</v>
      </c>
      <c r="C8220" s="1" t="s">
        <v>88</v>
      </c>
      <c r="D8220" s="3">
        <f t="shared" si="1254"/>
        <v>7640</v>
      </c>
      <c r="E8220" s="2">
        <f t="shared" si="1255"/>
        <v>41791</v>
      </c>
      <c r="F8220" s="2">
        <f t="shared" si="1256"/>
        <v>42155</v>
      </c>
    </row>
    <row r="8221" spans="1:6" x14ac:dyDescent="0.25">
      <c r="A8221" s="1" t="s">
        <v>1863</v>
      </c>
      <c r="B8221" s="1" t="s">
        <v>1939</v>
      </c>
      <c r="C8221" s="1" t="s">
        <v>17</v>
      </c>
      <c r="D8221" s="3">
        <f t="shared" si="1254"/>
        <v>7640</v>
      </c>
      <c r="E8221" s="2">
        <f t="shared" si="1255"/>
        <v>41791</v>
      </c>
      <c r="F8221" s="2">
        <f t="shared" si="1256"/>
        <v>42155</v>
      </c>
    </row>
    <row r="8222" spans="1:6" x14ac:dyDescent="0.25">
      <c r="A8222" s="1" t="s">
        <v>1863</v>
      </c>
      <c r="B8222" s="1" t="s">
        <v>1939</v>
      </c>
      <c r="C8222" s="1" t="s">
        <v>172</v>
      </c>
      <c r="D8222" s="3">
        <f t="shared" si="1254"/>
        <v>7640</v>
      </c>
      <c r="E8222" s="2">
        <f t="shared" si="1255"/>
        <v>41791</v>
      </c>
      <c r="F8222" s="2">
        <f t="shared" si="1256"/>
        <v>42155</v>
      </c>
    </row>
    <row r="8223" spans="1:6" x14ac:dyDescent="0.25">
      <c r="A8223" s="1" t="s">
        <v>1863</v>
      </c>
      <c r="B8223" s="1" t="s">
        <v>1939</v>
      </c>
      <c r="C8223" s="1" t="s">
        <v>211</v>
      </c>
      <c r="D8223" s="3">
        <f t="shared" si="1254"/>
        <v>7640</v>
      </c>
      <c r="E8223" s="2">
        <f t="shared" si="1255"/>
        <v>41791</v>
      </c>
      <c r="F8223" s="2">
        <f t="shared" si="1256"/>
        <v>42155</v>
      </c>
    </row>
    <row r="8224" spans="1:6" x14ac:dyDescent="0.25">
      <c r="A8224" s="1" t="s">
        <v>1863</v>
      </c>
      <c r="B8224" s="1" t="s">
        <v>69</v>
      </c>
      <c r="C8224" s="1" t="s">
        <v>69</v>
      </c>
      <c r="D8224" s="3">
        <f>VALUE("7612")</f>
        <v>7612</v>
      </c>
      <c r="E8224" s="2">
        <f>DATEVALUE("1-4-2014")</f>
        <v>41730</v>
      </c>
      <c r="F8224" s="2">
        <f>DATEVALUE("31-7-2014")</f>
        <v>41851</v>
      </c>
    </row>
    <row r="8225" spans="1:6" x14ac:dyDescent="0.25">
      <c r="A8225" s="1" t="s">
        <v>1863</v>
      </c>
      <c r="B8225" s="1" t="s">
        <v>2754</v>
      </c>
      <c r="C8225" s="1" t="s">
        <v>8</v>
      </c>
      <c r="D8225" s="3">
        <f>VALUE("7572")</f>
        <v>7572</v>
      </c>
      <c r="E8225" s="2">
        <f>DATEVALUE("1-11-2013")</f>
        <v>41579</v>
      </c>
      <c r="F8225" s="2">
        <f>DATEVALUE("31-3-2014")</f>
        <v>41729</v>
      </c>
    </row>
    <row r="8226" spans="1:6" x14ac:dyDescent="0.25">
      <c r="A8226" s="1" t="s">
        <v>1863</v>
      </c>
      <c r="B8226" s="1" t="s">
        <v>2754</v>
      </c>
      <c r="C8226" s="1" t="s">
        <v>330</v>
      </c>
      <c r="D8226" s="3">
        <f>VALUE("7572")</f>
        <v>7572</v>
      </c>
      <c r="E8226" s="2">
        <f>DATEVALUE("1-11-2013")</f>
        <v>41579</v>
      </c>
      <c r="F8226" s="2">
        <f>DATEVALUE("31-3-2014")</f>
        <v>41729</v>
      </c>
    </row>
    <row r="8227" spans="1:6" x14ac:dyDescent="0.25">
      <c r="A8227" s="1" t="s">
        <v>1863</v>
      </c>
      <c r="B8227" s="1" t="s">
        <v>2754</v>
      </c>
      <c r="C8227" s="1" t="s">
        <v>331</v>
      </c>
      <c r="D8227" s="3">
        <f>VALUE("7572")</f>
        <v>7572</v>
      </c>
      <c r="E8227" s="2">
        <f>DATEVALUE("1-11-2013")</f>
        <v>41579</v>
      </c>
      <c r="F8227" s="2">
        <f>DATEVALUE("31-3-2014")</f>
        <v>41729</v>
      </c>
    </row>
    <row r="8228" spans="1:6" x14ac:dyDescent="0.25">
      <c r="A8228" s="1" t="s">
        <v>1863</v>
      </c>
      <c r="B8228" s="1" t="s">
        <v>2579</v>
      </c>
      <c r="C8228" s="1" t="s">
        <v>121</v>
      </c>
      <c r="D8228" s="3">
        <f>VALUE("7129")</f>
        <v>7129</v>
      </c>
      <c r="E8228" s="2">
        <f>DATEVALUE("1-6-2013")</f>
        <v>41426</v>
      </c>
      <c r="F8228" s="2">
        <f>DATEVALUE("30-9-2013")</f>
        <v>41547</v>
      </c>
    </row>
    <row r="8229" spans="1:6" x14ac:dyDescent="0.25">
      <c r="A8229" s="1" t="s">
        <v>1863</v>
      </c>
      <c r="B8229" s="1" t="s">
        <v>2719</v>
      </c>
      <c r="C8229" s="1" t="s">
        <v>8</v>
      </c>
      <c r="D8229" s="3">
        <f t="shared" ref="D8229:D8237" si="1257">VALUE("7469")</f>
        <v>7469</v>
      </c>
      <c r="E8229" s="2">
        <f t="shared" ref="E8229:E8237" si="1258">DATEVALUE("1-3-2013")</f>
        <v>41334</v>
      </c>
      <c r="F8229" s="2">
        <f t="shared" ref="F8229:F8237" si="1259">DATEVALUE("30-6-2014")</f>
        <v>41820</v>
      </c>
    </row>
    <row r="8230" spans="1:6" x14ac:dyDescent="0.25">
      <c r="A8230" s="1" t="s">
        <v>1863</v>
      </c>
      <c r="B8230" s="1" t="s">
        <v>2719</v>
      </c>
      <c r="C8230" s="1" t="s">
        <v>10</v>
      </c>
      <c r="D8230" s="3">
        <f t="shared" si="1257"/>
        <v>7469</v>
      </c>
      <c r="E8230" s="2">
        <f t="shared" si="1258"/>
        <v>41334</v>
      </c>
      <c r="F8230" s="2">
        <f t="shared" si="1259"/>
        <v>41820</v>
      </c>
    </row>
    <row r="8231" spans="1:6" x14ac:dyDescent="0.25">
      <c r="A8231" s="1" t="s">
        <v>1863</v>
      </c>
      <c r="B8231" s="1" t="s">
        <v>2719</v>
      </c>
      <c r="C8231" s="1" t="s">
        <v>12</v>
      </c>
      <c r="D8231" s="3">
        <f t="shared" si="1257"/>
        <v>7469</v>
      </c>
      <c r="E8231" s="2">
        <f t="shared" si="1258"/>
        <v>41334</v>
      </c>
      <c r="F8231" s="2">
        <f t="shared" si="1259"/>
        <v>41820</v>
      </c>
    </row>
    <row r="8232" spans="1:6" x14ac:dyDescent="0.25">
      <c r="A8232" s="1" t="s">
        <v>1863</v>
      </c>
      <c r="B8232" s="1" t="s">
        <v>2719</v>
      </c>
      <c r="C8232" s="1" t="s">
        <v>45</v>
      </c>
      <c r="D8232" s="3">
        <f t="shared" si="1257"/>
        <v>7469</v>
      </c>
      <c r="E8232" s="2">
        <f t="shared" si="1258"/>
        <v>41334</v>
      </c>
      <c r="F8232" s="2">
        <f t="shared" si="1259"/>
        <v>41820</v>
      </c>
    </row>
    <row r="8233" spans="1:6" x14ac:dyDescent="0.25">
      <c r="A8233" s="1" t="s">
        <v>1863</v>
      </c>
      <c r="B8233" s="1" t="s">
        <v>2719</v>
      </c>
      <c r="C8233" s="1" t="s">
        <v>17</v>
      </c>
      <c r="D8233" s="3">
        <f t="shared" si="1257"/>
        <v>7469</v>
      </c>
      <c r="E8233" s="2">
        <f t="shared" si="1258"/>
        <v>41334</v>
      </c>
      <c r="F8233" s="2">
        <f t="shared" si="1259"/>
        <v>41820</v>
      </c>
    </row>
    <row r="8234" spans="1:6" x14ac:dyDescent="0.25">
      <c r="A8234" s="1" t="s">
        <v>1863</v>
      </c>
      <c r="B8234" s="1" t="s">
        <v>2719</v>
      </c>
      <c r="C8234" s="1" t="s">
        <v>328</v>
      </c>
      <c r="D8234" s="3">
        <f t="shared" si="1257"/>
        <v>7469</v>
      </c>
      <c r="E8234" s="2">
        <f t="shared" si="1258"/>
        <v>41334</v>
      </c>
      <c r="F8234" s="2">
        <f t="shared" si="1259"/>
        <v>41820</v>
      </c>
    </row>
    <row r="8235" spans="1:6" x14ac:dyDescent="0.25">
      <c r="A8235" s="1" t="s">
        <v>1863</v>
      </c>
      <c r="B8235" s="1" t="s">
        <v>2719</v>
      </c>
      <c r="C8235" s="1" t="s">
        <v>418</v>
      </c>
      <c r="D8235" s="3">
        <f t="shared" si="1257"/>
        <v>7469</v>
      </c>
      <c r="E8235" s="2">
        <f t="shared" si="1258"/>
        <v>41334</v>
      </c>
      <c r="F8235" s="2">
        <f t="shared" si="1259"/>
        <v>41820</v>
      </c>
    </row>
    <row r="8236" spans="1:6" x14ac:dyDescent="0.25">
      <c r="A8236" s="1" t="s">
        <v>1863</v>
      </c>
      <c r="B8236" s="1" t="s">
        <v>2719</v>
      </c>
      <c r="C8236" s="1" t="s">
        <v>327</v>
      </c>
      <c r="D8236" s="3">
        <f t="shared" si="1257"/>
        <v>7469</v>
      </c>
      <c r="E8236" s="2">
        <f t="shared" si="1258"/>
        <v>41334</v>
      </c>
      <c r="F8236" s="2">
        <f t="shared" si="1259"/>
        <v>41820</v>
      </c>
    </row>
    <row r="8237" spans="1:6" x14ac:dyDescent="0.25">
      <c r="A8237" s="1" t="s">
        <v>1863</v>
      </c>
      <c r="B8237" s="1" t="s">
        <v>2719</v>
      </c>
      <c r="C8237" s="1" t="s">
        <v>22</v>
      </c>
      <c r="D8237" s="3">
        <f t="shared" si="1257"/>
        <v>7469</v>
      </c>
      <c r="E8237" s="2">
        <f t="shared" si="1258"/>
        <v>41334</v>
      </c>
      <c r="F8237" s="2">
        <f t="shared" si="1259"/>
        <v>41820</v>
      </c>
    </row>
    <row r="8238" spans="1:6" x14ac:dyDescent="0.25">
      <c r="A8238" s="1" t="s">
        <v>1863</v>
      </c>
      <c r="B8238" s="1" t="s">
        <v>2702</v>
      </c>
      <c r="C8238" s="1" t="s">
        <v>7</v>
      </c>
      <c r="D8238" s="3">
        <f t="shared" ref="D8238:D8245" si="1260">VALUE("7427")</f>
        <v>7427</v>
      </c>
      <c r="E8238" s="2">
        <f t="shared" ref="E8238:E8245" si="1261">DATEVALUE("1-11-2012")</f>
        <v>41214</v>
      </c>
      <c r="F8238" s="2">
        <f t="shared" ref="F8238:F8245" si="1262">DATEVALUE("31-7-2013")</f>
        <v>41486</v>
      </c>
    </row>
    <row r="8239" spans="1:6" x14ac:dyDescent="0.25">
      <c r="A8239" s="1" t="s">
        <v>1863</v>
      </c>
      <c r="B8239" s="1" t="s">
        <v>2702</v>
      </c>
      <c r="C8239" s="1" t="s">
        <v>8</v>
      </c>
      <c r="D8239" s="3">
        <f t="shared" si="1260"/>
        <v>7427</v>
      </c>
      <c r="E8239" s="2">
        <f t="shared" si="1261"/>
        <v>41214</v>
      </c>
      <c r="F8239" s="2">
        <f t="shared" si="1262"/>
        <v>41486</v>
      </c>
    </row>
    <row r="8240" spans="1:6" x14ac:dyDescent="0.25">
      <c r="A8240" s="1" t="s">
        <v>1863</v>
      </c>
      <c r="B8240" s="1" t="s">
        <v>2702</v>
      </c>
      <c r="C8240" s="1" t="s">
        <v>12</v>
      </c>
      <c r="D8240" s="3">
        <f t="shared" si="1260"/>
        <v>7427</v>
      </c>
      <c r="E8240" s="2">
        <f t="shared" si="1261"/>
        <v>41214</v>
      </c>
      <c r="F8240" s="2">
        <f t="shared" si="1262"/>
        <v>41486</v>
      </c>
    </row>
    <row r="8241" spans="1:6" x14ac:dyDescent="0.25">
      <c r="A8241" s="1" t="s">
        <v>1863</v>
      </c>
      <c r="B8241" s="1" t="s">
        <v>2702</v>
      </c>
      <c r="C8241" s="1" t="s">
        <v>45</v>
      </c>
      <c r="D8241" s="3">
        <f t="shared" si="1260"/>
        <v>7427</v>
      </c>
      <c r="E8241" s="2">
        <f t="shared" si="1261"/>
        <v>41214</v>
      </c>
      <c r="F8241" s="2">
        <f t="shared" si="1262"/>
        <v>41486</v>
      </c>
    </row>
    <row r="8242" spans="1:6" x14ac:dyDescent="0.25">
      <c r="A8242" s="1" t="s">
        <v>1863</v>
      </c>
      <c r="B8242" s="1" t="s">
        <v>2702</v>
      </c>
      <c r="C8242" s="1" t="s">
        <v>20</v>
      </c>
      <c r="D8242" s="3">
        <f t="shared" si="1260"/>
        <v>7427</v>
      </c>
      <c r="E8242" s="2">
        <f t="shared" si="1261"/>
        <v>41214</v>
      </c>
      <c r="F8242" s="2">
        <f t="shared" si="1262"/>
        <v>41486</v>
      </c>
    </row>
    <row r="8243" spans="1:6" x14ac:dyDescent="0.25">
      <c r="A8243" s="1" t="s">
        <v>1863</v>
      </c>
      <c r="B8243" s="1" t="s">
        <v>2702</v>
      </c>
      <c r="C8243" s="1" t="s">
        <v>328</v>
      </c>
      <c r="D8243" s="3">
        <f t="shared" si="1260"/>
        <v>7427</v>
      </c>
      <c r="E8243" s="2">
        <f t="shared" si="1261"/>
        <v>41214</v>
      </c>
      <c r="F8243" s="2">
        <f t="shared" si="1262"/>
        <v>41486</v>
      </c>
    </row>
    <row r="8244" spans="1:6" x14ac:dyDescent="0.25">
      <c r="A8244" s="1" t="s">
        <v>1863</v>
      </c>
      <c r="B8244" s="1" t="s">
        <v>2702</v>
      </c>
      <c r="C8244" s="1" t="s">
        <v>327</v>
      </c>
      <c r="D8244" s="3">
        <f t="shared" si="1260"/>
        <v>7427</v>
      </c>
      <c r="E8244" s="2">
        <f t="shared" si="1261"/>
        <v>41214</v>
      </c>
      <c r="F8244" s="2">
        <f t="shared" si="1262"/>
        <v>41486</v>
      </c>
    </row>
    <row r="8245" spans="1:6" x14ac:dyDescent="0.25">
      <c r="A8245" s="1" t="s">
        <v>1863</v>
      </c>
      <c r="B8245" s="1" t="s">
        <v>2702</v>
      </c>
      <c r="C8245" s="1" t="s">
        <v>22</v>
      </c>
      <c r="D8245" s="3">
        <f t="shared" si="1260"/>
        <v>7427</v>
      </c>
      <c r="E8245" s="2">
        <f t="shared" si="1261"/>
        <v>41214</v>
      </c>
      <c r="F8245" s="2">
        <f t="shared" si="1262"/>
        <v>41486</v>
      </c>
    </row>
    <row r="8246" spans="1:6" x14ac:dyDescent="0.25">
      <c r="A8246" s="1" t="s">
        <v>1863</v>
      </c>
      <c r="B8246" s="1" t="s">
        <v>2587</v>
      </c>
      <c r="C8246" s="1" t="s">
        <v>102</v>
      </c>
      <c r="D8246" s="3">
        <f>VALUE("7153")</f>
        <v>7153</v>
      </c>
      <c r="E8246" s="2">
        <f>DATEVALUE("1-3-2011")</f>
        <v>40603</v>
      </c>
      <c r="F8246" s="2">
        <f>DATEVALUE("30-4-2013")</f>
        <v>41394</v>
      </c>
    </row>
    <row r="8247" spans="1:6" x14ac:dyDescent="0.25">
      <c r="A8247" s="1" t="s">
        <v>1863</v>
      </c>
      <c r="B8247" s="1" t="s">
        <v>1873</v>
      </c>
      <c r="C8247" s="1" t="s">
        <v>78</v>
      </c>
      <c r="D8247" s="3">
        <f t="shared" ref="D8247:D8287" si="1263">VALUE("7169")</f>
        <v>7169</v>
      </c>
      <c r="E8247" s="2">
        <f t="shared" ref="E8247:E8287" si="1264">DATEVALUE("1-2-2011")</f>
        <v>40575</v>
      </c>
      <c r="F8247" s="2">
        <f t="shared" ref="F8247:F8287" si="1265">DATEVALUE("31-3-2016")</f>
        <v>42460</v>
      </c>
    </row>
    <row r="8248" spans="1:6" x14ac:dyDescent="0.25">
      <c r="A8248" s="1" t="s">
        <v>1863</v>
      </c>
      <c r="B8248" s="1" t="s">
        <v>1873</v>
      </c>
      <c r="C8248" s="1" t="s">
        <v>79</v>
      </c>
      <c r="D8248" s="3">
        <f t="shared" si="1263"/>
        <v>7169</v>
      </c>
      <c r="E8248" s="2">
        <f t="shared" si="1264"/>
        <v>40575</v>
      </c>
      <c r="F8248" s="2">
        <f t="shared" si="1265"/>
        <v>42460</v>
      </c>
    </row>
    <row r="8249" spans="1:6" x14ac:dyDescent="0.25">
      <c r="A8249" s="1" t="s">
        <v>1863</v>
      </c>
      <c r="B8249" s="1" t="s">
        <v>1873</v>
      </c>
      <c r="C8249" s="1" t="s">
        <v>80</v>
      </c>
      <c r="D8249" s="3">
        <f t="shared" si="1263"/>
        <v>7169</v>
      </c>
      <c r="E8249" s="2">
        <f t="shared" si="1264"/>
        <v>40575</v>
      </c>
      <c r="F8249" s="2">
        <f t="shared" si="1265"/>
        <v>42460</v>
      </c>
    </row>
    <row r="8250" spans="1:6" x14ac:dyDescent="0.25">
      <c r="A8250" s="1" t="s">
        <v>1863</v>
      </c>
      <c r="B8250" s="1" t="s">
        <v>1873</v>
      </c>
      <c r="C8250" s="1" t="s">
        <v>39</v>
      </c>
      <c r="D8250" s="3">
        <f t="shared" si="1263"/>
        <v>7169</v>
      </c>
      <c r="E8250" s="2">
        <f t="shared" si="1264"/>
        <v>40575</v>
      </c>
      <c r="F8250" s="2">
        <f t="shared" si="1265"/>
        <v>42460</v>
      </c>
    </row>
    <row r="8251" spans="1:6" x14ac:dyDescent="0.25">
      <c r="A8251" s="1" t="s">
        <v>1863</v>
      </c>
      <c r="B8251" s="1" t="s">
        <v>1873</v>
      </c>
      <c r="C8251" s="1" t="s">
        <v>60</v>
      </c>
      <c r="D8251" s="3">
        <f t="shared" si="1263"/>
        <v>7169</v>
      </c>
      <c r="E8251" s="2">
        <f t="shared" si="1264"/>
        <v>40575</v>
      </c>
      <c r="F8251" s="2">
        <f t="shared" si="1265"/>
        <v>42460</v>
      </c>
    </row>
    <row r="8252" spans="1:6" x14ac:dyDescent="0.25">
      <c r="A8252" s="1" t="s">
        <v>1863</v>
      </c>
      <c r="B8252" s="1" t="s">
        <v>1873</v>
      </c>
      <c r="C8252" s="1" t="s">
        <v>82</v>
      </c>
      <c r="D8252" s="3">
        <f t="shared" si="1263"/>
        <v>7169</v>
      </c>
      <c r="E8252" s="2">
        <f t="shared" si="1264"/>
        <v>40575</v>
      </c>
      <c r="F8252" s="2">
        <f t="shared" si="1265"/>
        <v>42460</v>
      </c>
    </row>
    <row r="8253" spans="1:6" x14ac:dyDescent="0.25">
      <c r="A8253" s="1" t="s">
        <v>1863</v>
      </c>
      <c r="B8253" s="1" t="s">
        <v>1873</v>
      </c>
      <c r="C8253" s="1" t="s">
        <v>42</v>
      </c>
      <c r="D8253" s="3">
        <f t="shared" si="1263"/>
        <v>7169</v>
      </c>
      <c r="E8253" s="2">
        <f t="shared" si="1264"/>
        <v>40575</v>
      </c>
      <c r="F8253" s="2">
        <f t="shared" si="1265"/>
        <v>42460</v>
      </c>
    </row>
    <row r="8254" spans="1:6" x14ac:dyDescent="0.25">
      <c r="A8254" s="1" t="s">
        <v>1863</v>
      </c>
      <c r="B8254" s="1" t="s">
        <v>1873</v>
      </c>
      <c r="C8254" s="1" t="s">
        <v>83</v>
      </c>
      <c r="D8254" s="3">
        <f t="shared" si="1263"/>
        <v>7169</v>
      </c>
      <c r="E8254" s="2">
        <f t="shared" si="1264"/>
        <v>40575</v>
      </c>
      <c r="F8254" s="2">
        <f t="shared" si="1265"/>
        <v>42460</v>
      </c>
    </row>
    <row r="8255" spans="1:6" x14ac:dyDescent="0.25">
      <c r="A8255" s="1" t="s">
        <v>1863</v>
      </c>
      <c r="B8255" s="1" t="s">
        <v>1873</v>
      </c>
      <c r="C8255" s="1" t="s">
        <v>43</v>
      </c>
      <c r="D8255" s="3">
        <f t="shared" si="1263"/>
        <v>7169</v>
      </c>
      <c r="E8255" s="2">
        <f t="shared" si="1264"/>
        <v>40575</v>
      </c>
      <c r="F8255" s="2">
        <f t="shared" si="1265"/>
        <v>42460</v>
      </c>
    </row>
    <row r="8256" spans="1:6" x14ac:dyDescent="0.25">
      <c r="A8256" s="1" t="s">
        <v>1863</v>
      </c>
      <c r="B8256" s="1" t="s">
        <v>1873</v>
      </c>
      <c r="C8256" s="1" t="s">
        <v>347</v>
      </c>
      <c r="D8256" s="3">
        <f t="shared" si="1263"/>
        <v>7169</v>
      </c>
      <c r="E8256" s="2">
        <f t="shared" si="1264"/>
        <v>40575</v>
      </c>
      <c r="F8256" s="2">
        <f t="shared" si="1265"/>
        <v>42460</v>
      </c>
    </row>
    <row r="8257" spans="1:6" x14ac:dyDescent="0.25">
      <c r="A8257" s="1" t="s">
        <v>1863</v>
      </c>
      <c r="B8257" s="1" t="s">
        <v>1873</v>
      </c>
      <c r="C8257" s="1" t="s">
        <v>45</v>
      </c>
      <c r="D8257" s="3">
        <f t="shared" si="1263"/>
        <v>7169</v>
      </c>
      <c r="E8257" s="2">
        <f t="shared" si="1264"/>
        <v>40575</v>
      </c>
      <c r="F8257" s="2">
        <f t="shared" si="1265"/>
        <v>42460</v>
      </c>
    </row>
    <row r="8258" spans="1:6" x14ac:dyDescent="0.25">
      <c r="A8258" s="1" t="s">
        <v>1863</v>
      </c>
      <c r="B8258" s="1" t="s">
        <v>1873</v>
      </c>
      <c r="C8258" s="1" t="s">
        <v>66</v>
      </c>
      <c r="D8258" s="3">
        <f t="shared" si="1263"/>
        <v>7169</v>
      </c>
      <c r="E8258" s="2">
        <f t="shared" si="1264"/>
        <v>40575</v>
      </c>
      <c r="F8258" s="2">
        <f t="shared" si="1265"/>
        <v>42460</v>
      </c>
    </row>
    <row r="8259" spans="1:6" x14ac:dyDescent="0.25">
      <c r="A8259" s="1" t="s">
        <v>1863</v>
      </c>
      <c r="B8259" s="1" t="s">
        <v>1873</v>
      </c>
      <c r="C8259" s="1" t="s">
        <v>16</v>
      </c>
      <c r="D8259" s="3">
        <f t="shared" si="1263"/>
        <v>7169</v>
      </c>
      <c r="E8259" s="2">
        <f t="shared" si="1264"/>
        <v>40575</v>
      </c>
      <c r="F8259" s="2">
        <f t="shared" si="1265"/>
        <v>42460</v>
      </c>
    </row>
    <row r="8260" spans="1:6" x14ac:dyDescent="0.25">
      <c r="A8260" s="1" t="s">
        <v>1863</v>
      </c>
      <c r="B8260" s="1" t="s">
        <v>1873</v>
      </c>
      <c r="C8260" s="1" t="s">
        <v>88</v>
      </c>
      <c r="D8260" s="3">
        <f t="shared" si="1263"/>
        <v>7169</v>
      </c>
      <c r="E8260" s="2">
        <f t="shared" si="1264"/>
        <v>40575</v>
      </c>
      <c r="F8260" s="2">
        <f t="shared" si="1265"/>
        <v>42460</v>
      </c>
    </row>
    <row r="8261" spans="1:6" x14ac:dyDescent="0.25">
      <c r="A8261" s="1" t="s">
        <v>1863</v>
      </c>
      <c r="B8261" s="1" t="s">
        <v>1873</v>
      </c>
      <c r="C8261" s="1" t="s">
        <v>89</v>
      </c>
      <c r="D8261" s="3">
        <f t="shared" si="1263"/>
        <v>7169</v>
      </c>
      <c r="E8261" s="2">
        <f t="shared" si="1264"/>
        <v>40575</v>
      </c>
      <c r="F8261" s="2">
        <f t="shared" si="1265"/>
        <v>42460</v>
      </c>
    </row>
    <row r="8262" spans="1:6" x14ac:dyDescent="0.25">
      <c r="A8262" s="1" t="s">
        <v>1863</v>
      </c>
      <c r="B8262" s="1" t="s">
        <v>1873</v>
      </c>
      <c r="C8262" s="1" t="s">
        <v>17</v>
      </c>
      <c r="D8262" s="3">
        <f t="shared" si="1263"/>
        <v>7169</v>
      </c>
      <c r="E8262" s="2">
        <f t="shared" si="1264"/>
        <v>40575</v>
      </c>
      <c r="F8262" s="2">
        <f t="shared" si="1265"/>
        <v>42460</v>
      </c>
    </row>
    <row r="8263" spans="1:6" x14ac:dyDescent="0.25">
      <c r="A8263" s="1" t="s">
        <v>1863</v>
      </c>
      <c r="B8263" s="1" t="s">
        <v>1873</v>
      </c>
      <c r="C8263" s="1" t="s">
        <v>328</v>
      </c>
      <c r="D8263" s="3">
        <f t="shared" si="1263"/>
        <v>7169</v>
      </c>
      <c r="E8263" s="2">
        <f t="shared" si="1264"/>
        <v>40575</v>
      </c>
      <c r="F8263" s="2">
        <f t="shared" si="1265"/>
        <v>42460</v>
      </c>
    </row>
    <row r="8264" spans="1:6" x14ac:dyDescent="0.25">
      <c r="A8264" s="1" t="s">
        <v>1863</v>
      </c>
      <c r="B8264" s="1" t="s">
        <v>1873</v>
      </c>
      <c r="C8264" s="1" t="s">
        <v>418</v>
      </c>
      <c r="D8264" s="3">
        <f t="shared" si="1263"/>
        <v>7169</v>
      </c>
      <c r="E8264" s="2">
        <f t="shared" si="1264"/>
        <v>40575</v>
      </c>
      <c r="F8264" s="2">
        <f t="shared" si="1265"/>
        <v>42460</v>
      </c>
    </row>
    <row r="8265" spans="1:6" x14ac:dyDescent="0.25">
      <c r="A8265" s="1" t="s">
        <v>1863</v>
      </c>
      <c r="B8265" s="1" t="s">
        <v>1873</v>
      </c>
      <c r="C8265" s="1" t="s">
        <v>22</v>
      </c>
      <c r="D8265" s="3">
        <f t="shared" si="1263"/>
        <v>7169</v>
      </c>
      <c r="E8265" s="2">
        <f t="shared" si="1264"/>
        <v>40575</v>
      </c>
      <c r="F8265" s="2">
        <f t="shared" si="1265"/>
        <v>42460</v>
      </c>
    </row>
    <row r="8266" spans="1:6" x14ac:dyDescent="0.25">
      <c r="A8266" s="1" t="s">
        <v>1863</v>
      </c>
      <c r="B8266" s="1" t="s">
        <v>1873</v>
      </c>
      <c r="C8266" s="1" t="s">
        <v>329</v>
      </c>
      <c r="D8266" s="3">
        <f t="shared" si="1263"/>
        <v>7169</v>
      </c>
      <c r="E8266" s="2">
        <f t="shared" si="1264"/>
        <v>40575</v>
      </c>
      <c r="F8266" s="2">
        <f t="shared" si="1265"/>
        <v>42460</v>
      </c>
    </row>
    <row r="8267" spans="1:6" x14ac:dyDescent="0.25">
      <c r="A8267" s="1" t="s">
        <v>1863</v>
      </c>
      <c r="B8267" s="1" t="s">
        <v>1873</v>
      </c>
      <c r="C8267" s="1" t="s">
        <v>330</v>
      </c>
      <c r="D8267" s="3">
        <f t="shared" si="1263"/>
        <v>7169</v>
      </c>
      <c r="E8267" s="2">
        <f t="shared" si="1264"/>
        <v>40575</v>
      </c>
      <c r="F8267" s="2">
        <f t="shared" si="1265"/>
        <v>42460</v>
      </c>
    </row>
    <row r="8268" spans="1:6" x14ac:dyDescent="0.25">
      <c r="A8268" s="1" t="s">
        <v>1863</v>
      </c>
      <c r="B8268" s="1" t="s">
        <v>1873</v>
      </c>
      <c r="C8268" s="1" t="s">
        <v>97</v>
      </c>
      <c r="D8268" s="3">
        <f t="shared" si="1263"/>
        <v>7169</v>
      </c>
      <c r="E8268" s="2">
        <f t="shared" si="1264"/>
        <v>40575</v>
      </c>
      <c r="F8268" s="2">
        <f t="shared" si="1265"/>
        <v>42460</v>
      </c>
    </row>
    <row r="8269" spans="1:6" x14ac:dyDescent="0.25">
      <c r="A8269" s="1" t="s">
        <v>1863</v>
      </c>
      <c r="B8269" s="1" t="s">
        <v>1873</v>
      </c>
      <c r="C8269" s="1" t="s">
        <v>98</v>
      </c>
      <c r="D8269" s="3">
        <f t="shared" si="1263"/>
        <v>7169</v>
      </c>
      <c r="E8269" s="2">
        <f t="shared" si="1264"/>
        <v>40575</v>
      </c>
      <c r="F8269" s="2">
        <f t="shared" si="1265"/>
        <v>42460</v>
      </c>
    </row>
    <row r="8270" spans="1:6" x14ac:dyDescent="0.25">
      <c r="A8270" s="1" t="s">
        <v>1863</v>
      </c>
      <c r="B8270" s="1" t="s">
        <v>1873</v>
      </c>
      <c r="C8270" s="1" t="s">
        <v>99</v>
      </c>
      <c r="D8270" s="3">
        <f t="shared" si="1263"/>
        <v>7169</v>
      </c>
      <c r="E8270" s="2">
        <f t="shared" si="1264"/>
        <v>40575</v>
      </c>
      <c r="F8270" s="2">
        <f t="shared" si="1265"/>
        <v>42460</v>
      </c>
    </row>
    <row r="8271" spans="1:6" x14ac:dyDescent="0.25">
      <c r="A8271" s="1" t="s">
        <v>1863</v>
      </c>
      <c r="B8271" s="1" t="s">
        <v>1873</v>
      </c>
      <c r="C8271" s="1" t="s">
        <v>71</v>
      </c>
      <c r="D8271" s="3">
        <f t="shared" si="1263"/>
        <v>7169</v>
      </c>
      <c r="E8271" s="2">
        <f t="shared" si="1264"/>
        <v>40575</v>
      </c>
      <c r="F8271" s="2">
        <f t="shared" si="1265"/>
        <v>42460</v>
      </c>
    </row>
    <row r="8272" spans="1:6" x14ac:dyDescent="0.25">
      <c r="A8272" s="1" t="s">
        <v>1863</v>
      </c>
      <c r="B8272" s="1" t="s">
        <v>1873</v>
      </c>
      <c r="C8272" s="1" t="s">
        <v>100</v>
      </c>
      <c r="D8272" s="3">
        <f t="shared" si="1263"/>
        <v>7169</v>
      </c>
      <c r="E8272" s="2">
        <f t="shared" si="1264"/>
        <v>40575</v>
      </c>
      <c r="F8272" s="2">
        <f t="shared" si="1265"/>
        <v>42460</v>
      </c>
    </row>
    <row r="8273" spans="1:6" x14ac:dyDescent="0.25">
      <c r="A8273" s="1" t="s">
        <v>1863</v>
      </c>
      <c r="B8273" s="1" t="s">
        <v>1873</v>
      </c>
      <c r="C8273" s="1" t="s">
        <v>27</v>
      </c>
      <c r="D8273" s="3">
        <f t="shared" si="1263"/>
        <v>7169</v>
      </c>
      <c r="E8273" s="2">
        <f t="shared" si="1264"/>
        <v>40575</v>
      </c>
      <c r="F8273" s="2">
        <f t="shared" si="1265"/>
        <v>42460</v>
      </c>
    </row>
    <row r="8274" spans="1:6" x14ac:dyDescent="0.25">
      <c r="A8274" s="1" t="s">
        <v>1863</v>
      </c>
      <c r="B8274" s="1" t="s">
        <v>1873</v>
      </c>
      <c r="C8274" s="1" t="s">
        <v>262</v>
      </c>
      <c r="D8274" s="3">
        <f t="shared" si="1263"/>
        <v>7169</v>
      </c>
      <c r="E8274" s="2">
        <f t="shared" si="1264"/>
        <v>40575</v>
      </c>
      <c r="F8274" s="2">
        <f t="shared" si="1265"/>
        <v>42460</v>
      </c>
    </row>
    <row r="8275" spans="1:6" x14ac:dyDescent="0.25">
      <c r="A8275" s="1" t="s">
        <v>1863</v>
      </c>
      <c r="B8275" s="1" t="s">
        <v>1873</v>
      </c>
      <c r="C8275" s="1" t="s">
        <v>105</v>
      </c>
      <c r="D8275" s="3">
        <f t="shared" si="1263"/>
        <v>7169</v>
      </c>
      <c r="E8275" s="2">
        <f t="shared" si="1264"/>
        <v>40575</v>
      </c>
      <c r="F8275" s="2">
        <f t="shared" si="1265"/>
        <v>42460</v>
      </c>
    </row>
    <row r="8276" spans="1:6" x14ac:dyDescent="0.25">
      <c r="A8276" s="1" t="s">
        <v>1863</v>
      </c>
      <c r="B8276" s="1" t="s">
        <v>1873</v>
      </c>
      <c r="C8276" s="1" t="s">
        <v>106</v>
      </c>
      <c r="D8276" s="3">
        <f t="shared" si="1263"/>
        <v>7169</v>
      </c>
      <c r="E8276" s="2">
        <f t="shared" si="1264"/>
        <v>40575</v>
      </c>
      <c r="F8276" s="2">
        <f t="shared" si="1265"/>
        <v>42460</v>
      </c>
    </row>
    <row r="8277" spans="1:6" x14ac:dyDescent="0.25">
      <c r="A8277" s="1" t="s">
        <v>1863</v>
      </c>
      <c r="B8277" s="1" t="s">
        <v>1873</v>
      </c>
      <c r="C8277" s="1" t="s">
        <v>110</v>
      </c>
      <c r="D8277" s="3">
        <f t="shared" si="1263"/>
        <v>7169</v>
      </c>
      <c r="E8277" s="2">
        <f t="shared" si="1264"/>
        <v>40575</v>
      </c>
      <c r="F8277" s="2">
        <f t="shared" si="1265"/>
        <v>42460</v>
      </c>
    </row>
    <row r="8278" spans="1:6" x14ac:dyDescent="0.25">
      <c r="A8278" s="1" t="s">
        <v>1863</v>
      </c>
      <c r="B8278" s="1" t="s">
        <v>1873</v>
      </c>
      <c r="C8278" s="1" t="s">
        <v>111</v>
      </c>
      <c r="D8278" s="3">
        <f t="shared" si="1263"/>
        <v>7169</v>
      </c>
      <c r="E8278" s="2">
        <f t="shared" si="1264"/>
        <v>40575</v>
      </c>
      <c r="F8278" s="2">
        <f t="shared" si="1265"/>
        <v>42460</v>
      </c>
    </row>
    <row r="8279" spans="1:6" x14ac:dyDescent="0.25">
      <c r="A8279" s="1" t="s">
        <v>1863</v>
      </c>
      <c r="B8279" s="1" t="s">
        <v>1873</v>
      </c>
      <c r="C8279" s="1" t="s">
        <v>112</v>
      </c>
      <c r="D8279" s="3">
        <f t="shared" si="1263"/>
        <v>7169</v>
      </c>
      <c r="E8279" s="2">
        <f t="shared" si="1264"/>
        <v>40575</v>
      </c>
      <c r="F8279" s="2">
        <f t="shared" si="1265"/>
        <v>42460</v>
      </c>
    </row>
    <row r="8280" spans="1:6" x14ac:dyDescent="0.25">
      <c r="A8280" s="1" t="s">
        <v>1863</v>
      </c>
      <c r="B8280" s="1" t="s">
        <v>1873</v>
      </c>
      <c r="C8280" s="1" t="s">
        <v>113</v>
      </c>
      <c r="D8280" s="3">
        <f t="shared" si="1263"/>
        <v>7169</v>
      </c>
      <c r="E8280" s="2">
        <f t="shared" si="1264"/>
        <v>40575</v>
      </c>
      <c r="F8280" s="2">
        <f t="shared" si="1265"/>
        <v>42460</v>
      </c>
    </row>
    <row r="8281" spans="1:6" x14ac:dyDescent="0.25">
      <c r="A8281" s="1" t="s">
        <v>1863</v>
      </c>
      <c r="B8281" s="1" t="s">
        <v>1873</v>
      </c>
      <c r="C8281" s="1" t="s">
        <v>303</v>
      </c>
      <c r="D8281" s="3">
        <f t="shared" si="1263"/>
        <v>7169</v>
      </c>
      <c r="E8281" s="2">
        <f t="shared" si="1264"/>
        <v>40575</v>
      </c>
      <c r="F8281" s="2">
        <f t="shared" si="1265"/>
        <v>42460</v>
      </c>
    </row>
    <row r="8282" spans="1:6" x14ac:dyDescent="0.25">
      <c r="A8282" s="1" t="s">
        <v>1863</v>
      </c>
      <c r="B8282" s="1" t="s">
        <v>1873</v>
      </c>
      <c r="C8282" s="1" t="s">
        <v>114</v>
      </c>
      <c r="D8282" s="3">
        <f t="shared" si="1263"/>
        <v>7169</v>
      </c>
      <c r="E8282" s="2">
        <f t="shared" si="1264"/>
        <v>40575</v>
      </c>
      <c r="F8282" s="2">
        <f t="shared" si="1265"/>
        <v>42460</v>
      </c>
    </row>
    <row r="8283" spans="1:6" x14ac:dyDescent="0.25">
      <c r="A8283" s="1" t="s">
        <v>1863</v>
      </c>
      <c r="B8283" s="1" t="s">
        <v>1873</v>
      </c>
      <c r="C8283" s="1" t="s">
        <v>185</v>
      </c>
      <c r="D8283" s="3">
        <f t="shared" si="1263"/>
        <v>7169</v>
      </c>
      <c r="E8283" s="2">
        <f t="shared" si="1264"/>
        <v>40575</v>
      </c>
      <c r="F8283" s="2">
        <f t="shared" si="1265"/>
        <v>42460</v>
      </c>
    </row>
    <row r="8284" spans="1:6" x14ac:dyDescent="0.25">
      <c r="A8284" s="1" t="s">
        <v>1863</v>
      </c>
      <c r="B8284" s="1" t="s">
        <v>1873</v>
      </c>
      <c r="C8284" s="1" t="s">
        <v>1874</v>
      </c>
      <c r="D8284" s="3">
        <f t="shared" si="1263"/>
        <v>7169</v>
      </c>
      <c r="E8284" s="2">
        <f t="shared" si="1264"/>
        <v>40575</v>
      </c>
      <c r="F8284" s="2">
        <f t="shared" si="1265"/>
        <v>42460</v>
      </c>
    </row>
    <row r="8285" spans="1:6" x14ac:dyDescent="0.25">
      <c r="A8285" s="1" t="s">
        <v>1863</v>
      </c>
      <c r="B8285" s="1" t="s">
        <v>1873</v>
      </c>
      <c r="C8285" s="1" t="s">
        <v>116</v>
      </c>
      <c r="D8285" s="3">
        <f t="shared" si="1263"/>
        <v>7169</v>
      </c>
      <c r="E8285" s="2">
        <f t="shared" si="1264"/>
        <v>40575</v>
      </c>
      <c r="F8285" s="2">
        <f t="shared" si="1265"/>
        <v>42460</v>
      </c>
    </row>
    <row r="8286" spans="1:6" x14ac:dyDescent="0.25">
      <c r="A8286" s="1" t="s">
        <v>1863</v>
      </c>
      <c r="B8286" s="1" t="s">
        <v>1873</v>
      </c>
      <c r="C8286" s="1" t="s">
        <v>57</v>
      </c>
      <c r="D8286" s="3">
        <f t="shared" si="1263"/>
        <v>7169</v>
      </c>
      <c r="E8286" s="2">
        <f t="shared" si="1264"/>
        <v>40575</v>
      </c>
      <c r="F8286" s="2">
        <f t="shared" si="1265"/>
        <v>42460</v>
      </c>
    </row>
    <row r="8287" spans="1:6" x14ac:dyDescent="0.25">
      <c r="A8287" s="1" t="s">
        <v>1863</v>
      </c>
      <c r="B8287" s="1" t="s">
        <v>1873</v>
      </c>
      <c r="C8287" s="1" t="s">
        <v>36</v>
      </c>
      <c r="D8287" s="3">
        <f t="shared" si="1263"/>
        <v>7169</v>
      </c>
      <c r="E8287" s="2">
        <f t="shared" si="1264"/>
        <v>40575</v>
      </c>
      <c r="F8287" s="2">
        <f t="shared" si="1265"/>
        <v>42460</v>
      </c>
    </row>
    <row r="8288" spans="1:6" x14ac:dyDescent="0.25">
      <c r="A8288" s="1" t="s">
        <v>1863</v>
      </c>
      <c r="B8288" s="1" t="s">
        <v>1862</v>
      </c>
      <c r="C8288" s="1" t="s">
        <v>7</v>
      </c>
      <c r="D8288" s="3">
        <f t="shared" ref="D8288:D8319" si="1266">VALUE("6089")</f>
        <v>6089</v>
      </c>
      <c r="E8288" s="2">
        <f t="shared" ref="E8288:E8319" si="1267">DATEVALUE("1-3-2008")</f>
        <v>39508</v>
      </c>
      <c r="F8288" s="2">
        <f t="shared" ref="F8288:F8319" si="1268">DATEVALUE("31-7-2015")</f>
        <v>42216</v>
      </c>
    </row>
    <row r="8289" spans="1:6" x14ac:dyDescent="0.25">
      <c r="A8289" s="1" t="s">
        <v>1863</v>
      </c>
      <c r="B8289" s="1" t="s">
        <v>1862</v>
      </c>
      <c r="C8289" s="1" t="s">
        <v>325</v>
      </c>
      <c r="D8289" s="3">
        <f t="shared" si="1266"/>
        <v>6089</v>
      </c>
      <c r="E8289" s="2">
        <f t="shared" si="1267"/>
        <v>39508</v>
      </c>
      <c r="F8289" s="2">
        <f t="shared" si="1268"/>
        <v>42216</v>
      </c>
    </row>
    <row r="8290" spans="1:6" x14ac:dyDescent="0.25">
      <c r="A8290" s="1" t="s">
        <v>1863</v>
      </c>
      <c r="B8290" s="1" t="s">
        <v>1862</v>
      </c>
      <c r="C8290" s="1" t="s">
        <v>78</v>
      </c>
      <c r="D8290" s="3">
        <f t="shared" si="1266"/>
        <v>6089</v>
      </c>
      <c r="E8290" s="2">
        <f t="shared" si="1267"/>
        <v>39508</v>
      </c>
      <c r="F8290" s="2">
        <f t="shared" si="1268"/>
        <v>42216</v>
      </c>
    </row>
    <row r="8291" spans="1:6" x14ac:dyDescent="0.25">
      <c r="A8291" s="1" t="s">
        <v>1863</v>
      </c>
      <c r="B8291" s="1" t="s">
        <v>1862</v>
      </c>
      <c r="C8291" s="1" t="s">
        <v>79</v>
      </c>
      <c r="D8291" s="3">
        <f t="shared" si="1266"/>
        <v>6089</v>
      </c>
      <c r="E8291" s="2">
        <f t="shared" si="1267"/>
        <v>39508</v>
      </c>
      <c r="F8291" s="2">
        <f t="shared" si="1268"/>
        <v>42216</v>
      </c>
    </row>
    <row r="8292" spans="1:6" x14ac:dyDescent="0.25">
      <c r="A8292" s="1" t="s">
        <v>1863</v>
      </c>
      <c r="B8292" s="1" t="s">
        <v>1862</v>
      </c>
      <c r="C8292" s="1" t="s">
        <v>80</v>
      </c>
      <c r="D8292" s="3">
        <f t="shared" si="1266"/>
        <v>6089</v>
      </c>
      <c r="E8292" s="2">
        <f t="shared" si="1267"/>
        <v>39508</v>
      </c>
      <c r="F8292" s="2">
        <f t="shared" si="1268"/>
        <v>42216</v>
      </c>
    </row>
    <row r="8293" spans="1:6" x14ac:dyDescent="0.25">
      <c r="A8293" s="1" t="s">
        <v>1863</v>
      </c>
      <c r="B8293" s="1" t="s">
        <v>1862</v>
      </c>
      <c r="C8293" s="1" t="s">
        <v>39</v>
      </c>
      <c r="D8293" s="3">
        <f t="shared" si="1266"/>
        <v>6089</v>
      </c>
      <c r="E8293" s="2">
        <f t="shared" si="1267"/>
        <v>39508</v>
      </c>
      <c r="F8293" s="2">
        <f t="shared" si="1268"/>
        <v>42216</v>
      </c>
    </row>
    <row r="8294" spans="1:6" x14ac:dyDescent="0.25">
      <c r="A8294" s="1" t="s">
        <v>1863</v>
      </c>
      <c r="B8294" s="1" t="s">
        <v>1862</v>
      </c>
      <c r="C8294" s="1" t="s">
        <v>60</v>
      </c>
      <c r="D8294" s="3">
        <f t="shared" si="1266"/>
        <v>6089</v>
      </c>
      <c r="E8294" s="2">
        <f t="shared" si="1267"/>
        <v>39508</v>
      </c>
      <c r="F8294" s="2">
        <f t="shared" si="1268"/>
        <v>42216</v>
      </c>
    </row>
    <row r="8295" spans="1:6" x14ac:dyDescent="0.25">
      <c r="A8295" s="1" t="s">
        <v>1863</v>
      </c>
      <c r="B8295" s="1" t="s">
        <v>1862</v>
      </c>
      <c r="C8295" s="1" t="s">
        <v>82</v>
      </c>
      <c r="D8295" s="3">
        <f t="shared" si="1266"/>
        <v>6089</v>
      </c>
      <c r="E8295" s="2">
        <f t="shared" si="1267"/>
        <v>39508</v>
      </c>
      <c r="F8295" s="2">
        <f t="shared" si="1268"/>
        <v>42216</v>
      </c>
    </row>
    <row r="8296" spans="1:6" x14ac:dyDescent="0.25">
      <c r="A8296" s="1" t="s">
        <v>1863</v>
      </c>
      <c r="B8296" s="1" t="s">
        <v>1862</v>
      </c>
      <c r="C8296" s="1" t="s">
        <v>42</v>
      </c>
      <c r="D8296" s="3">
        <f t="shared" si="1266"/>
        <v>6089</v>
      </c>
      <c r="E8296" s="2">
        <f t="shared" si="1267"/>
        <v>39508</v>
      </c>
      <c r="F8296" s="2">
        <f t="shared" si="1268"/>
        <v>42216</v>
      </c>
    </row>
    <row r="8297" spans="1:6" x14ac:dyDescent="0.25">
      <c r="A8297" s="1" t="s">
        <v>1863</v>
      </c>
      <c r="B8297" s="1" t="s">
        <v>1862</v>
      </c>
      <c r="C8297" s="1" t="s">
        <v>8</v>
      </c>
      <c r="D8297" s="3">
        <f t="shared" si="1266"/>
        <v>6089</v>
      </c>
      <c r="E8297" s="2">
        <f t="shared" si="1267"/>
        <v>39508</v>
      </c>
      <c r="F8297" s="2">
        <f t="shared" si="1268"/>
        <v>42216</v>
      </c>
    </row>
    <row r="8298" spans="1:6" x14ac:dyDescent="0.25">
      <c r="A8298" s="1" t="s">
        <v>1863</v>
      </c>
      <c r="B8298" s="1" t="s">
        <v>1862</v>
      </c>
      <c r="C8298" s="1" t="s">
        <v>10</v>
      </c>
      <c r="D8298" s="3">
        <f t="shared" si="1266"/>
        <v>6089</v>
      </c>
      <c r="E8298" s="2">
        <f t="shared" si="1267"/>
        <v>39508</v>
      </c>
      <c r="F8298" s="2">
        <f t="shared" si="1268"/>
        <v>42216</v>
      </c>
    </row>
    <row r="8299" spans="1:6" x14ac:dyDescent="0.25">
      <c r="A8299" s="1" t="s">
        <v>1863</v>
      </c>
      <c r="B8299" s="1" t="s">
        <v>1862</v>
      </c>
      <c r="C8299" s="1" t="s">
        <v>11</v>
      </c>
      <c r="D8299" s="3">
        <f t="shared" si="1266"/>
        <v>6089</v>
      </c>
      <c r="E8299" s="2">
        <f t="shared" si="1267"/>
        <v>39508</v>
      </c>
      <c r="F8299" s="2">
        <f t="shared" si="1268"/>
        <v>42216</v>
      </c>
    </row>
    <row r="8300" spans="1:6" x14ac:dyDescent="0.25">
      <c r="A8300" s="1" t="s">
        <v>1863</v>
      </c>
      <c r="B8300" s="1" t="s">
        <v>1862</v>
      </c>
      <c r="C8300" s="1" t="s">
        <v>12</v>
      </c>
      <c r="D8300" s="3">
        <f t="shared" si="1266"/>
        <v>6089</v>
      </c>
      <c r="E8300" s="2">
        <f t="shared" si="1267"/>
        <v>39508</v>
      </c>
      <c r="F8300" s="2">
        <f t="shared" si="1268"/>
        <v>42216</v>
      </c>
    </row>
    <row r="8301" spans="1:6" x14ac:dyDescent="0.25">
      <c r="A8301" s="1" t="s">
        <v>1863</v>
      </c>
      <c r="B8301" s="1" t="s">
        <v>1862</v>
      </c>
      <c r="C8301" s="1" t="s">
        <v>83</v>
      </c>
      <c r="D8301" s="3">
        <f t="shared" si="1266"/>
        <v>6089</v>
      </c>
      <c r="E8301" s="2">
        <f t="shared" si="1267"/>
        <v>39508</v>
      </c>
      <c r="F8301" s="2">
        <f t="shared" si="1268"/>
        <v>42216</v>
      </c>
    </row>
    <row r="8302" spans="1:6" x14ac:dyDescent="0.25">
      <c r="A8302" s="1" t="s">
        <v>1863</v>
      </c>
      <c r="B8302" s="1" t="s">
        <v>1862</v>
      </c>
      <c r="C8302" s="1" t="s">
        <v>43</v>
      </c>
      <c r="D8302" s="3">
        <f t="shared" si="1266"/>
        <v>6089</v>
      </c>
      <c r="E8302" s="2">
        <f t="shared" si="1267"/>
        <v>39508</v>
      </c>
      <c r="F8302" s="2">
        <f t="shared" si="1268"/>
        <v>42216</v>
      </c>
    </row>
    <row r="8303" spans="1:6" x14ac:dyDescent="0.25">
      <c r="A8303" s="1" t="s">
        <v>1863</v>
      </c>
      <c r="B8303" s="1" t="s">
        <v>1862</v>
      </c>
      <c r="C8303" s="1" t="s">
        <v>45</v>
      </c>
      <c r="D8303" s="3">
        <f t="shared" si="1266"/>
        <v>6089</v>
      </c>
      <c r="E8303" s="2">
        <f t="shared" si="1267"/>
        <v>39508</v>
      </c>
      <c r="F8303" s="2">
        <f t="shared" si="1268"/>
        <v>42216</v>
      </c>
    </row>
    <row r="8304" spans="1:6" x14ac:dyDescent="0.25">
      <c r="A8304" s="1" t="s">
        <v>1863</v>
      </c>
      <c r="B8304" s="1" t="s">
        <v>1862</v>
      </c>
      <c r="C8304" s="1" t="s">
        <v>46</v>
      </c>
      <c r="D8304" s="3">
        <f t="shared" si="1266"/>
        <v>6089</v>
      </c>
      <c r="E8304" s="2">
        <f t="shared" si="1267"/>
        <v>39508</v>
      </c>
      <c r="F8304" s="2">
        <f t="shared" si="1268"/>
        <v>42216</v>
      </c>
    </row>
    <row r="8305" spans="1:6" x14ac:dyDescent="0.25">
      <c r="A8305" s="1" t="s">
        <v>1863</v>
      </c>
      <c r="B8305" s="1" t="s">
        <v>1862</v>
      </c>
      <c r="C8305" s="1" t="s">
        <v>66</v>
      </c>
      <c r="D8305" s="3">
        <f t="shared" si="1266"/>
        <v>6089</v>
      </c>
      <c r="E8305" s="2">
        <f t="shared" si="1267"/>
        <v>39508</v>
      </c>
      <c r="F8305" s="2">
        <f t="shared" si="1268"/>
        <v>42216</v>
      </c>
    </row>
    <row r="8306" spans="1:6" x14ac:dyDescent="0.25">
      <c r="A8306" s="1" t="s">
        <v>1863</v>
      </c>
      <c r="B8306" s="1" t="s">
        <v>1862</v>
      </c>
      <c r="C8306" s="1" t="s">
        <v>16</v>
      </c>
      <c r="D8306" s="3">
        <f t="shared" si="1266"/>
        <v>6089</v>
      </c>
      <c r="E8306" s="2">
        <f t="shared" si="1267"/>
        <v>39508</v>
      </c>
      <c r="F8306" s="2">
        <f t="shared" si="1268"/>
        <v>42216</v>
      </c>
    </row>
    <row r="8307" spans="1:6" x14ac:dyDescent="0.25">
      <c r="A8307" s="1" t="s">
        <v>1863</v>
      </c>
      <c r="B8307" s="1" t="s">
        <v>1862</v>
      </c>
      <c r="C8307" s="1" t="s">
        <v>88</v>
      </c>
      <c r="D8307" s="3">
        <f t="shared" si="1266"/>
        <v>6089</v>
      </c>
      <c r="E8307" s="2">
        <f t="shared" si="1267"/>
        <v>39508</v>
      </c>
      <c r="F8307" s="2">
        <f t="shared" si="1268"/>
        <v>42216</v>
      </c>
    </row>
    <row r="8308" spans="1:6" x14ac:dyDescent="0.25">
      <c r="A8308" s="1" t="s">
        <v>1863</v>
      </c>
      <c r="B8308" s="1" t="s">
        <v>1862</v>
      </c>
      <c r="C8308" s="1" t="s">
        <v>89</v>
      </c>
      <c r="D8308" s="3">
        <f t="shared" si="1266"/>
        <v>6089</v>
      </c>
      <c r="E8308" s="2">
        <f t="shared" si="1267"/>
        <v>39508</v>
      </c>
      <c r="F8308" s="2">
        <f t="shared" si="1268"/>
        <v>42216</v>
      </c>
    </row>
    <row r="8309" spans="1:6" x14ac:dyDescent="0.25">
      <c r="A8309" s="1" t="s">
        <v>1863</v>
      </c>
      <c r="B8309" s="1" t="s">
        <v>1862</v>
      </c>
      <c r="C8309" s="1" t="s">
        <v>17</v>
      </c>
      <c r="D8309" s="3">
        <f t="shared" si="1266"/>
        <v>6089</v>
      </c>
      <c r="E8309" s="2">
        <f t="shared" si="1267"/>
        <v>39508</v>
      </c>
      <c r="F8309" s="2">
        <f t="shared" si="1268"/>
        <v>42216</v>
      </c>
    </row>
    <row r="8310" spans="1:6" x14ac:dyDescent="0.25">
      <c r="A8310" s="1" t="s">
        <v>1863</v>
      </c>
      <c r="B8310" s="1" t="s">
        <v>1862</v>
      </c>
      <c r="C8310" s="1" t="s">
        <v>193</v>
      </c>
      <c r="D8310" s="3">
        <f t="shared" si="1266"/>
        <v>6089</v>
      </c>
      <c r="E8310" s="2">
        <f t="shared" si="1267"/>
        <v>39508</v>
      </c>
      <c r="F8310" s="2">
        <f t="shared" si="1268"/>
        <v>42216</v>
      </c>
    </row>
    <row r="8311" spans="1:6" x14ac:dyDescent="0.25">
      <c r="A8311" s="1" t="s">
        <v>1863</v>
      </c>
      <c r="B8311" s="1" t="s">
        <v>1862</v>
      </c>
      <c r="C8311" s="1" t="s">
        <v>20</v>
      </c>
      <c r="D8311" s="3">
        <f t="shared" si="1266"/>
        <v>6089</v>
      </c>
      <c r="E8311" s="2">
        <f t="shared" si="1267"/>
        <v>39508</v>
      </c>
      <c r="F8311" s="2">
        <f t="shared" si="1268"/>
        <v>42216</v>
      </c>
    </row>
    <row r="8312" spans="1:6" x14ac:dyDescent="0.25">
      <c r="A8312" s="1" t="s">
        <v>1863</v>
      </c>
      <c r="B8312" s="1" t="s">
        <v>1862</v>
      </c>
      <c r="C8312" s="1" t="s">
        <v>328</v>
      </c>
      <c r="D8312" s="3">
        <f t="shared" si="1266"/>
        <v>6089</v>
      </c>
      <c r="E8312" s="2">
        <f t="shared" si="1267"/>
        <v>39508</v>
      </c>
      <c r="F8312" s="2">
        <f t="shared" si="1268"/>
        <v>42216</v>
      </c>
    </row>
    <row r="8313" spans="1:6" x14ac:dyDescent="0.25">
      <c r="A8313" s="1" t="s">
        <v>1863</v>
      </c>
      <c r="B8313" s="1" t="s">
        <v>1862</v>
      </c>
      <c r="C8313" s="1" t="s">
        <v>418</v>
      </c>
      <c r="D8313" s="3">
        <f t="shared" si="1266"/>
        <v>6089</v>
      </c>
      <c r="E8313" s="2">
        <f t="shared" si="1267"/>
        <v>39508</v>
      </c>
      <c r="F8313" s="2">
        <f t="shared" si="1268"/>
        <v>42216</v>
      </c>
    </row>
    <row r="8314" spans="1:6" x14ac:dyDescent="0.25">
      <c r="A8314" s="1" t="s">
        <v>1863</v>
      </c>
      <c r="B8314" s="1" t="s">
        <v>1862</v>
      </c>
      <c r="C8314" s="1" t="s">
        <v>327</v>
      </c>
      <c r="D8314" s="3">
        <f t="shared" si="1266"/>
        <v>6089</v>
      </c>
      <c r="E8314" s="2">
        <f t="shared" si="1267"/>
        <v>39508</v>
      </c>
      <c r="F8314" s="2">
        <f t="shared" si="1268"/>
        <v>42216</v>
      </c>
    </row>
    <row r="8315" spans="1:6" x14ac:dyDescent="0.25">
      <c r="A8315" s="1" t="s">
        <v>1863</v>
      </c>
      <c r="B8315" s="1" t="s">
        <v>1862</v>
      </c>
      <c r="C8315" s="1" t="s">
        <v>329</v>
      </c>
      <c r="D8315" s="3">
        <f t="shared" si="1266"/>
        <v>6089</v>
      </c>
      <c r="E8315" s="2">
        <f t="shared" si="1267"/>
        <v>39508</v>
      </c>
      <c r="F8315" s="2">
        <f t="shared" si="1268"/>
        <v>42216</v>
      </c>
    </row>
    <row r="8316" spans="1:6" x14ac:dyDescent="0.25">
      <c r="A8316" s="1" t="s">
        <v>1863</v>
      </c>
      <c r="B8316" s="1" t="s">
        <v>1862</v>
      </c>
      <c r="C8316" s="1" t="s">
        <v>330</v>
      </c>
      <c r="D8316" s="3">
        <f t="shared" si="1266"/>
        <v>6089</v>
      </c>
      <c r="E8316" s="2">
        <f t="shared" si="1267"/>
        <v>39508</v>
      </c>
      <c r="F8316" s="2">
        <f t="shared" si="1268"/>
        <v>42216</v>
      </c>
    </row>
    <row r="8317" spans="1:6" x14ac:dyDescent="0.25">
      <c r="A8317" s="1" t="s">
        <v>1863</v>
      </c>
      <c r="B8317" s="1" t="s">
        <v>1862</v>
      </c>
      <c r="C8317" s="1" t="s">
        <v>331</v>
      </c>
      <c r="D8317" s="3">
        <f t="shared" si="1266"/>
        <v>6089</v>
      </c>
      <c r="E8317" s="2">
        <f t="shared" si="1267"/>
        <v>39508</v>
      </c>
      <c r="F8317" s="2">
        <f t="shared" si="1268"/>
        <v>42216</v>
      </c>
    </row>
    <row r="8318" spans="1:6" x14ac:dyDescent="0.25">
      <c r="A8318" s="1" t="s">
        <v>1863</v>
      </c>
      <c r="B8318" s="1" t="s">
        <v>1862</v>
      </c>
      <c r="C8318" s="1" t="s">
        <v>69</v>
      </c>
      <c r="D8318" s="3">
        <f t="shared" si="1266"/>
        <v>6089</v>
      </c>
      <c r="E8318" s="2">
        <f t="shared" si="1267"/>
        <v>39508</v>
      </c>
      <c r="F8318" s="2">
        <f t="shared" si="1268"/>
        <v>42216</v>
      </c>
    </row>
    <row r="8319" spans="1:6" x14ac:dyDescent="0.25">
      <c r="A8319" s="1" t="s">
        <v>1863</v>
      </c>
      <c r="B8319" s="1" t="s">
        <v>1862</v>
      </c>
      <c r="C8319" s="1" t="s">
        <v>50</v>
      </c>
      <c r="D8319" s="3">
        <f t="shared" si="1266"/>
        <v>6089</v>
      </c>
      <c r="E8319" s="2">
        <f t="shared" si="1267"/>
        <v>39508</v>
      </c>
      <c r="F8319" s="2">
        <f t="shared" si="1268"/>
        <v>42216</v>
      </c>
    </row>
    <row r="8320" spans="1:6" x14ac:dyDescent="0.25">
      <c r="A8320" s="1" t="s">
        <v>1863</v>
      </c>
      <c r="B8320" s="1" t="s">
        <v>1862</v>
      </c>
      <c r="C8320" s="1" t="s">
        <v>70</v>
      </c>
      <c r="D8320" s="3">
        <f t="shared" ref="D8320:D8348" si="1269">VALUE("6089")</f>
        <v>6089</v>
      </c>
      <c r="E8320" s="2">
        <f t="shared" ref="E8320:E8348" si="1270">DATEVALUE("1-3-2008")</f>
        <v>39508</v>
      </c>
      <c r="F8320" s="2">
        <f t="shared" ref="F8320:F8348" si="1271">DATEVALUE("31-7-2015")</f>
        <v>42216</v>
      </c>
    </row>
    <row r="8321" spans="1:6" x14ac:dyDescent="0.25">
      <c r="A8321" s="1" t="s">
        <v>1863</v>
      </c>
      <c r="B8321" s="1" t="s">
        <v>1862</v>
      </c>
      <c r="C8321" s="1" t="s">
        <v>97</v>
      </c>
      <c r="D8321" s="3">
        <f t="shared" si="1269"/>
        <v>6089</v>
      </c>
      <c r="E8321" s="2">
        <f t="shared" si="1270"/>
        <v>39508</v>
      </c>
      <c r="F8321" s="2">
        <f t="shared" si="1271"/>
        <v>42216</v>
      </c>
    </row>
    <row r="8322" spans="1:6" x14ac:dyDescent="0.25">
      <c r="A8322" s="1" t="s">
        <v>1863</v>
      </c>
      <c r="B8322" s="1" t="s">
        <v>1862</v>
      </c>
      <c r="C8322" s="1" t="s">
        <v>98</v>
      </c>
      <c r="D8322" s="3">
        <f t="shared" si="1269"/>
        <v>6089</v>
      </c>
      <c r="E8322" s="2">
        <f t="shared" si="1270"/>
        <v>39508</v>
      </c>
      <c r="F8322" s="2">
        <f t="shared" si="1271"/>
        <v>42216</v>
      </c>
    </row>
    <row r="8323" spans="1:6" x14ac:dyDescent="0.25">
      <c r="A8323" s="1" t="s">
        <v>1863</v>
      </c>
      <c r="B8323" s="1" t="s">
        <v>1862</v>
      </c>
      <c r="C8323" s="1" t="s">
        <v>99</v>
      </c>
      <c r="D8323" s="3">
        <f t="shared" si="1269"/>
        <v>6089</v>
      </c>
      <c r="E8323" s="2">
        <f t="shared" si="1270"/>
        <v>39508</v>
      </c>
      <c r="F8323" s="2">
        <f t="shared" si="1271"/>
        <v>42216</v>
      </c>
    </row>
    <row r="8324" spans="1:6" x14ac:dyDescent="0.25">
      <c r="A8324" s="1" t="s">
        <v>1863</v>
      </c>
      <c r="B8324" s="1" t="s">
        <v>1862</v>
      </c>
      <c r="C8324" s="1" t="s">
        <v>194</v>
      </c>
      <c r="D8324" s="3">
        <f t="shared" si="1269"/>
        <v>6089</v>
      </c>
      <c r="E8324" s="2">
        <f t="shared" si="1270"/>
        <v>39508</v>
      </c>
      <c r="F8324" s="2">
        <f t="shared" si="1271"/>
        <v>42216</v>
      </c>
    </row>
    <row r="8325" spans="1:6" x14ac:dyDescent="0.25">
      <c r="A8325" s="1" t="s">
        <v>1863</v>
      </c>
      <c r="B8325" s="1" t="s">
        <v>1862</v>
      </c>
      <c r="C8325" s="1" t="s">
        <v>71</v>
      </c>
      <c r="D8325" s="3">
        <f t="shared" si="1269"/>
        <v>6089</v>
      </c>
      <c r="E8325" s="2">
        <f t="shared" si="1270"/>
        <v>39508</v>
      </c>
      <c r="F8325" s="2">
        <f t="shared" si="1271"/>
        <v>42216</v>
      </c>
    </row>
    <row r="8326" spans="1:6" x14ac:dyDescent="0.25">
      <c r="A8326" s="1" t="s">
        <v>1863</v>
      </c>
      <c r="B8326" s="1" t="s">
        <v>1862</v>
      </c>
      <c r="C8326" s="1" t="s">
        <v>100</v>
      </c>
      <c r="D8326" s="3">
        <f t="shared" si="1269"/>
        <v>6089</v>
      </c>
      <c r="E8326" s="2">
        <f t="shared" si="1270"/>
        <v>39508</v>
      </c>
      <c r="F8326" s="2">
        <f t="shared" si="1271"/>
        <v>42216</v>
      </c>
    </row>
    <row r="8327" spans="1:6" x14ac:dyDescent="0.25">
      <c r="A8327" s="1" t="s">
        <v>1863</v>
      </c>
      <c r="B8327" s="1" t="s">
        <v>1862</v>
      </c>
      <c r="C8327" s="1" t="s">
        <v>27</v>
      </c>
      <c r="D8327" s="3">
        <f t="shared" si="1269"/>
        <v>6089</v>
      </c>
      <c r="E8327" s="2">
        <f t="shared" si="1270"/>
        <v>39508</v>
      </c>
      <c r="F8327" s="2">
        <f t="shared" si="1271"/>
        <v>42216</v>
      </c>
    </row>
    <row r="8328" spans="1:6" x14ac:dyDescent="0.25">
      <c r="A8328" s="1" t="s">
        <v>1863</v>
      </c>
      <c r="B8328" s="1" t="s">
        <v>1862</v>
      </c>
      <c r="C8328" s="1" t="s">
        <v>262</v>
      </c>
      <c r="D8328" s="3">
        <f t="shared" si="1269"/>
        <v>6089</v>
      </c>
      <c r="E8328" s="2">
        <f t="shared" si="1270"/>
        <v>39508</v>
      </c>
      <c r="F8328" s="2">
        <f t="shared" si="1271"/>
        <v>42216</v>
      </c>
    </row>
    <row r="8329" spans="1:6" x14ac:dyDescent="0.25">
      <c r="A8329" s="1" t="s">
        <v>1863</v>
      </c>
      <c r="B8329" s="1" t="s">
        <v>1862</v>
      </c>
      <c r="C8329" s="1" t="s">
        <v>216</v>
      </c>
      <c r="D8329" s="3">
        <f t="shared" si="1269"/>
        <v>6089</v>
      </c>
      <c r="E8329" s="2">
        <f t="shared" si="1270"/>
        <v>39508</v>
      </c>
      <c r="F8329" s="2">
        <f t="shared" si="1271"/>
        <v>42216</v>
      </c>
    </row>
    <row r="8330" spans="1:6" x14ac:dyDescent="0.25">
      <c r="A8330" s="1" t="s">
        <v>1863</v>
      </c>
      <c r="B8330" s="1" t="s">
        <v>1862</v>
      </c>
      <c r="C8330" s="1" t="s">
        <v>105</v>
      </c>
      <c r="D8330" s="3">
        <f t="shared" si="1269"/>
        <v>6089</v>
      </c>
      <c r="E8330" s="2">
        <f t="shared" si="1270"/>
        <v>39508</v>
      </c>
      <c r="F8330" s="2">
        <f t="shared" si="1271"/>
        <v>42216</v>
      </c>
    </row>
    <row r="8331" spans="1:6" x14ac:dyDescent="0.25">
      <c r="A8331" s="1" t="s">
        <v>1863</v>
      </c>
      <c r="B8331" s="1" t="s">
        <v>1862</v>
      </c>
      <c r="C8331" s="1" t="s">
        <v>106</v>
      </c>
      <c r="D8331" s="3">
        <f t="shared" si="1269"/>
        <v>6089</v>
      </c>
      <c r="E8331" s="2">
        <f t="shared" si="1270"/>
        <v>39508</v>
      </c>
      <c r="F8331" s="2">
        <f t="shared" si="1271"/>
        <v>42216</v>
      </c>
    </row>
    <row r="8332" spans="1:6" x14ac:dyDescent="0.25">
      <c r="A8332" s="1" t="s">
        <v>1863</v>
      </c>
      <c r="B8332" s="1" t="s">
        <v>1862</v>
      </c>
      <c r="C8332" s="1" t="s">
        <v>107</v>
      </c>
      <c r="D8332" s="3">
        <f t="shared" si="1269"/>
        <v>6089</v>
      </c>
      <c r="E8332" s="2">
        <f t="shared" si="1270"/>
        <v>39508</v>
      </c>
      <c r="F8332" s="2">
        <f t="shared" si="1271"/>
        <v>42216</v>
      </c>
    </row>
    <row r="8333" spans="1:6" x14ac:dyDescent="0.25">
      <c r="A8333" s="1" t="s">
        <v>1863</v>
      </c>
      <c r="B8333" s="1" t="s">
        <v>1862</v>
      </c>
      <c r="C8333" s="1" t="s">
        <v>32</v>
      </c>
      <c r="D8333" s="3">
        <f t="shared" si="1269"/>
        <v>6089</v>
      </c>
      <c r="E8333" s="2">
        <f t="shared" si="1270"/>
        <v>39508</v>
      </c>
      <c r="F8333" s="2">
        <f t="shared" si="1271"/>
        <v>42216</v>
      </c>
    </row>
    <row r="8334" spans="1:6" x14ac:dyDescent="0.25">
      <c r="A8334" s="1" t="s">
        <v>1863</v>
      </c>
      <c r="B8334" s="1" t="s">
        <v>1862</v>
      </c>
      <c r="C8334" s="1" t="s">
        <v>108</v>
      </c>
      <c r="D8334" s="3">
        <f t="shared" si="1269"/>
        <v>6089</v>
      </c>
      <c r="E8334" s="2">
        <f t="shared" si="1270"/>
        <v>39508</v>
      </c>
      <c r="F8334" s="2">
        <f t="shared" si="1271"/>
        <v>42216</v>
      </c>
    </row>
    <row r="8335" spans="1:6" x14ac:dyDescent="0.25">
      <c r="A8335" s="1" t="s">
        <v>1863</v>
      </c>
      <c r="B8335" s="1" t="s">
        <v>1862</v>
      </c>
      <c r="C8335" s="1" t="s">
        <v>109</v>
      </c>
      <c r="D8335" s="3">
        <f t="shared" si="1269"/>
        <v>6089</v>
      </c>
      <c r="E8335" s="2">
        <f t="shared" si="1270"/>
        <v>39508</v>
      </c>
      <c r="F8335" s="2">
        <f t="shared" si="1271"/>
        <v>42216</v>
      </c>
    </row>
    <row r="8336" spans="1:6" x14ac:dyDescent="0.25">
      <c r="A8336" s="1" t="s">
        <v>1863</v>
      </c>
      <c r="B8336" s="1" t="s">
        <v>1862</v>
      </c>
      <c r="C8336" s="1" t="s">
        <v>110</v>
      </c>
      <c r="D8336" s="3">
        <f t="shared" si="1269"/>
        <v>6089</v>
      </c>
      <c r="E8336" s="2">
        <f t="shared" si="1270"/>
        <v>39508</v>
      </c>
      <c r="F8336" s="2">
        <f t="shared" si="1271"/>
        <v>42216</v>
      </c>
    </row>
    <row r="8337" spans="1:6" x14ac:dyDescent="0.25">
      <c r="A8337" s="1" t="s">
        <v>1863</v>
      </c>
      <c r="B8337" s="1" t="s">
        <v>1862</v>
      </c>
      <c r="C8337" s="1" t="s">
        <v>111</v>
      </c>
      <c r="D8337" s="3">
        <f t="shared" si="1269"/>
        <v>6089</v>
      </c>
      <c r="E8337" s="2">
        <f t="shared" si="1270"/>
        <v>39508</v>
      </c>
      <c r="F8337" s="2">
        <f t="shared" si="1271"/>
        <v>42216</v>
      </c>
    </row>
    <row r="8338" spans="1:6" x14ac:dyDescent="0.25">
      <c r="A8338" s="1" t="s">
        <v>1863</v>
      </c>
      <c r="B8338" s="1" t="s">
        <v>1862</v>
      </c>
      <c r="C8338" s="1" t="s">
        <v>112</v>
      </c>
      <c r="D8338" s="3">
        <f t="shared" si="1269"/>
        <v>6089</v>
      </c>
      <c r="E8338" s="2">
        <f t="shared" si="1270"/>
        <v>39508</v>
      </c>
      <c r="F8338" s="2">
        <f t="shared" si="1271"/>
        <v>42216</v>
      </c>
    </row>
    <row r="8339" spans="1:6" x14ac:dyDescent="0.25">
      <c r="A8339" s="1" t="s">
        <v>1863</v>
      </c>
      <c r="B8339" s="1" t="s">
        <v>1862</v>
      </c>
      <c r="C8339" s="1" t="s">
        <v>113</v>
      </c>
      <c r="D8339" s="3">
        <f t="shared" si="1269"/>
        <v>6089</v>
      </c>
      <c r="E8339" s="2">
        <f t="shared" si="1270"/>
        <v>39508</v>
      </c>
      <c r="F8339" s="2">
        <f t="shared" si="1271"/>
        <v>42216</v>
      </c>
    </row>
    <row r="8340" spans="1:6" x14ac:dyDescent="0.25">
      <c r="A8340" s="1" t="s">
        <v>1863</v>
      </c>
      <c r="B8340" s="1" t="s">
        <v>1862</v>
      </c>
      <c r="C8340" s="1" t="s">
        <v>33</v>
      </c>
      <c r="D8340" s="3">
        <f t="shared" si="1269"/>
        <v>6089</v>
      </c>
      <c r="E8340" s="2">
        <f t="shared" si="1270"/>
        <v>39508</v>
      </c>
      <c r="F8340" s="2">
        <f t="shared" si="1271"/>
        <v>42216</v>
      </c>
    </row>
    <row r="8341" spans="1:6" x14ac:dyDescent="0.25">
      <c r="A8341" s="1" t="s">
        <v>1863</v>
      </c>
      <c r="B8341" s="1" t="s">
        <v>1862</v>
      </c>
      <c r="C8341" s="1" t="s">
        <v>114</v>
      </c>
      <c r="D8341" s="3">
        <f t="shared" si="1269"/>
        <v>6089</v>
      </c>
      <c r="E8341" s="2">
        <f t="shared" si="1270"/>
        <v>39508</v>
      </c>
      <c r="F8341" s="2">
        <f t="shared" si="1271"/>
        <v>42216</v>
      </c>
    </row>
    <row r="8342" spans="1:6" x14ac:dyDescent="0.25">
      <c r="A8342" s="1" t="s">
        <v>1863</v>
      </c>
      <c r="B8342" s="1" t="s">
        <v>1862</v>
      </c>
      <c r="C8342" s="1" t="s">
        <v>1864</v>
      </c>
      <c r="D8342" s="3">
        <f t="shared" si="1269"/>
        <v>6089</v>
      </c>
      <c r="E8342" s="2">
        <f t="shared" si="1270"/>
        <v>39508</v>
      </c>
      <c r="F8342" s="2">
        <f t="shared" si="1271"/>
        <v>42216</v>
      </c>
    </row>
    <row r="8343" spans="1:6" x14ac:dyDescent="0.25">
      <c r="A8343" s="1" t="s">
        <v>1863</v>
      </c>
      <c r="B8343" s="1" t="s">
        <v>1862</v>
      </c>
      <c r="C8343" s="1" t="s">
        <v>333</v>
      </c>
      <c r="D8343" s="3">
        <f t="shared" si="1269"/>
        <v>6089</v>
      </c>
      <c r="E8343" s="2">
        <f t="shared" si="1270"/>
        <v>39508</v>
      </c>
      <c r="F8343" s="2">
        <f t="shared" si="1271"/>
        <v>42216</v>
      </c>
    </row>
    <row r="8344" spans="1:6" x14ac:dyDescent="0.25">
      <c r="A8344" s="1" t="s">
        <v>1863</v>
      </c>
      <c r="B8344" s="1" t="s">
        <v>1862</v>
      </c>
      <c r="C8344" s="1" t="s">
        <v>185</v>
      </c>
      <c r="D8344" s="3">
        <f t="shared" si="1269"/>
        <v>6089</v>
      </c>
      <c r="E8344" s="2">
        <f t="shared" si="1270"/>
        <v>39508</v>
      </c>
      <c r="F8344" s="2">
        <f t="shared" si="1271"/>
        <v>42216</v>
      </c>
    </row>
    <row r="8345" spans="1:6" x14ac:dyDescent="0.25">
      <c r="A8345" s="1" t="s">
        <v>1863</v>
      </c>
      <c r="B8345" s="1" t="s">
        <v>1862</v>
      </c>
      <c r="C8345" s="1" t="s">
        <v>334</v>
      </c>
      <c r="D8345" s="3">
        <f t="shared" si="1269"/>
        <v>6089</v>
      </c>
      <c r="E8345" s="2">
        <f t="shared" si="1270"/>
        <v>39508</v>
      </c>
      <c r="F8345" s="2">
        <f t="shared" si="1271"/>
        <v>42216</v>
      </c>
    </row>
    <row r="8346" spans="1:6" x14ac:dyDescent="0.25">
      <c r="A8346" s="1" t="s">
        <v>1863</v>
      </c>
      <c r="B8346" s="1" t="s">
        <v>1862</v>
      </c>
      <c r="C8346" s="1" t="s">
        <v>116</v>
      </c>
      <c r="D8346" s="3">
        <f t="shared" si="1269"/>
        <v>6089</v>
      </c>
      <c r="E8346" s="2">
        <f t="shared" si="1270"/>
        <v>39508</v>
      </c>
      <c r="F8346" s="2">
        <f t="shared" si="1271"/>
        <v>42216</v>
      </c>
    </row>
    <row r="8347" spans="1:6" x14ac:dyDescent="0.25">
      <c r="A8347" s="1" t="s">
        <v>1863</v>
      </c>
      <c r="B8347" s="1" t="s">
        <v>1862</v>
      </c>
      <c r="C8347" s="1" t="s">
        <v>57</v>
      </c>
      <c r="D8347" s="3">
        <f t="shared" si="1269"/>
        <v>6089</v>
      </c>
      <c r="E8347" s="2">
        <f t="shared" si="1270"/>
        <v>39508</v>
      </c>
      <c r="F8347" s="2">
        <f t="shared" si="1271"/>
        <v>42216</v>
      </c>
    </row>
    <row r="8348" spans="1:6" x14ac:dyDescent="0.25">
      <c r="A8348" s="1" t="s">
        <v>1863</v>
      </c>
      <c r="B8348" s="1" t="s">
        <v>1862</v>
      </c>
      <c r="C8348" s="1" t="s">
        <v>36</v>
      </c>
      <c r="D8348" s="3">
        <f t="shared" si="1269"/>
        <v>6089</v>
      </c>
      <c r="E8348" s="2">
        <f t="shared" si="1270"/>
        <v>39508</v>
      </c>
      <c r="F8348" s="2">
        <f t="shared" si="1271"/>
        <v>42216</v>
      </c>
    </row>
    <row r="8349" spans="1:6" x14ac:dyDescent="0.25">
      <c r="A8349" s="1" t="s">
        <v>2051</v>
      </c>
      <c r="B8349" s="1" t="s">
        <v>2050</v>
      </c>
      <c r="C8349" s="1" t="s">
        <v>7</v>
      </c>
      <c r="D8349" s="3">
        <f>VALUE("8103")</f>
        <v>8103</v>
      </c>
      <c r="E8349" s="2">
        <f>DATEVALUE("1-6-2017")</f>
        <v>42887</v>
      </c>
      <c r="F8349" s="2">
        <f>DATEVALUE("31-1-2018")</f>
        <v>43131</v>
      </c>
    </row>
    <row r="8350" spans="1:6" x14ac:dyDescent="0.25">
      <c r="A8350" s="1" t="s">
        <v>2051</v>
      </c>
      <c r="B8350" s="1" t="s">
        <v>2050</v>
      </c>
      <c r="C8350" s="1" t="s">
        <v>13</v>
      </c>
      <c r="D8350" s="3">
        <f>VALUE("8103")</f>
        <v>8103</v>
      </c>
      <c r="E8350" s="2">
        <f>DATEVALUE("1-6-2017")</f>
        <v>42887</v>
      </c>
      <c r="F8350" s="2">
        <f>DATEVALUE("31-1-2018")</f>
        <v>43131</v>
      </c>
    </row>
    <row r="8351" spans="1:6" x14ac:dyDescent="0.25">
      <c r="A8351" s="1" t="s">
        <v>2051</v>
      </c>
      <c r="B8351" s="1" t="s">
        <v>2050</v>
      </c>
      <c r="C8351" s="1" t="s">
        <v>240</v>
      </c>
      <c r="D8351" s="3">
        <f>VALUE("8103")</f>
        <v>8103</v>
      </c>
      <c r="E8351" s="2">
        <f>DATEVALUE("1-6-2017")</f>
        <v>42887</v>
      </c>
      <c r="F8351" s="2">
        <f>DATEVALUE("31-1-2018")</f>
        <v>43131</v>
      </c>
    </row>
    <row r="8352" spans="1:6" x14ac:dyDescent="0.25">
      <c r="A8352" s="1" t="s">
        <v>2051</v>
      </c>
      <c r="B8352" s="1" t="s">
        <v>2297</v>
      </c>
      <c r="C8352" s="1" t="s">
        <v>2298</v>
      </c>
      <c r="D8352" s="3">
        <f>VALUE("8107")</f>
        <v>8107</v>
      </c>
      <c r="E8352" s="2">
        <f>DATEVALUE("1-6-2017")</f>
        <v>42887</v>
      </c>
      <c r="F8352" s="2">
        <f>DATEVALUE("28-2-2018")</f>
        <v>43159</v>
      </c>
    </row>
    <row r="8353" spans="1:6" x14ac:dyDescent="0.25">
      <c r="A8353" s="1" t="s">
        <v>1172</v>
      </c>
      <c r="B8353" s="1" t="s">
        <v>1620</v>
      </c>
      <c r="C8353" s="1" t="s">
        <v>43</v>
      </c>
      <c r="D8353" s="3">
        <f t="shared" ref="D8353:D8361" si="1272">VALUE("8798")</f>
        <v>8798</v>
      </c>
      <c r="E8353" s="2">
        <f t="shared" ref="E8353:E8361" si="1273">DATEVALUE("1-6-2020")</f>
        <v>43983</v>
      </c>
      <c r="F8353" s="2">
        <f t="shared" ref="F8353:F8361" si="1274">DATEVALUE("31-10-2020")</f>
        <v>44135</v>
      </c>
    </row>
    <row r="8354" spans="1:6" x14ac:dyDescent="0.25">
      <c r="A8354" s="1" t="s">
        <v>1172</v>
      </c>
      <c r="B8354" s="1" t="s">
        <v>1620</v>
      </c>
      <c r="C8354" s="1" t="s">
        <v>683</v>
      </c>
      <c r="D8354" s="3">
        <f t="shared" si="1272"/>
        <v>8798</v>
      </c>
      <c r="E8354" s="2">
        <f t="shared" si="1273"/>
        <v>43983</v>
      </c>
      <c r="F8354" s="2">
        <f t="shared" si="1274"/>
        <v>44135</v>
      </c>
    </row>
    <row r="8355" spans="1:6" x14ac:dyDescent="0.25">
      <c r="A8355" s="1" t="s">
        <v>1172</v>
      </c>
      <c r="B8355" s="1" t="s">
        <v>1620</v>
      </c>
      <c r="C8355" s="1" t="s">
        <v>676</v>
      </c>
      <c r="D8355" s="3">
        <f t="shared" si="1272"/>
        <v>8798</v>
      </c>
      <c r="E8355" s="2">
        <f t="shared" si="1273"/>
        <v>43983</v>
      </c>
      <c r="F8355" s="2">
        <f t="shared" si="1274"/>
        <v>44135</v>
      </c>
    </row>
    <row r="8356" spans="1:6" x14ac:dyDescent="0.25">
      <c r="A8356" s="1" t="s">
        <v>1172</v>
      </c>
      <c r="B8356" s="1" t="s">
        <v>1620</v>
      </c>
      <c r="C8356" s="1" t="s">
        <v>14</v>
      </c>
      <c r="D8356" s="3">
        <f t="shared" si="1272"/>
        <v>8798</v>
      </c>
      <c r="E8356" s="2">
        <f t="shared" si="1273"/>
        <v>43983</v>
      </c>
      <c r="F8356" s="2">
        <f t="shared" si="1274"/>
        <v>44135</v>
      </c>
    </row>
    <row r="8357" spans="1:6" x14ac:dyDescent="0.25">
      <c r="A8357" s="1" t="s">
        <v>1172</v>
      </c>
      <c r="B8357" s="1" t="s">
        <v>1620</v>
      </c>
      <c r="C8357" s="1" t="s">
        <v>17</v>
      </c>
      <c r="D8357" s="3">
        <f t="shared" si="1272"/>
        <v>8798</v>
      </c>
      <c r="E8357" s="2">
        <f t="shared" si="1273"/>
        <v>43983</v>
      </c>
      <c r="F8357" s="2">
        <f t="shared" si="1274"/>
        <v>44135</v>
      </c>
    </row>
    <row r="8358" spans="1:6" x14ac:dyDescent="0.25">
      <c r="A8358" s="1" t="s">
        <v>1172</v>
      </c>
      <c r="B8358" s="1" t="s">
        <v>1620</v>
      </c>
      <c r="C8358" s="1" t="s">
        <v>24</v>
      </c>
      <c r="D8358" s="3">
        <f t="shared" si="1272"/>
        <v>8798</v>
      </c>
      <c r="E8358" s="2">
        <f t="shared" si="1273"/>
        <v>43983</v>
      </c>
      <c r="F8358" s="2">
        <f t="shared" si="1274"/>
        <v>44135</v>
      </c>
    </row>
    <row r="8359" spans="1:6" x14ac:dyDescent="0.25">
      <c r="A8359" s="1" t="s">
        <v>1172</v>
      </c>
      <c r="B8359" s="1" t="s">
        <v>1620</v>
      </c>
      <c r="C8359" s="1" t="s">
        <v>52</v>
      </c>
      <c r="D8359" s="3">
        <f t="shared" si="1272"/>
        <v>8798</v>
      </c>
      <c r="E8359" s="2">
        <f t="shared" si="1273"/>
        <v>43983</v>
      </c>
      <c r="F8359" s="2">
        <f t="shared" si="1274"/>
        <v>44135</v>
      </c>
    </row>
    <row r="8360" spans="1:6" x14ac:dyDescent="0.25">
      <c r="A8360" s="1" t="s">
        <v>1172</v>
      </c>
      <c r="B8360" s="1" t="s">
        <v>1620</v>
      </c>
      <c r="C8360" s="1" t="s">
        <v>34</v>
      </c>
      <c r="D8360" s="3">
        <f t="shared" si="1272"/>
        <v>8798</v>
      </c>
      <c r="E8360" s="2">
        <f t="shared" si="1273"/>
        <v>43983</v>
      </c>
      <c r="F8360" s="2">
        <f t="shared" si="1274"/>
        <v>44135</v>
      </c>
    </row>
    <row r="8361" spans="1:6" x14ac:dyDescent="0.25">
      <c r="A8361" s="1" t="s">
        <v>1172</v>
      </c>
      <c r="B8361" s="1" t="s">
        <v>1620</v>
      </c>
      <c r="C8361" s="1" t="s">
        <v>57</v>
      </c>
      <c r="D8361" s="3">
        <f t="shared" si="1272"/>
        <v>8798</v>
      </c>
      <c r="E8361" s="2">
        <f t="shared" si="1273"/>
        <v>43983</v>
      </c>
      <c r="F8361" s="2">
        <f t="shared" si="1274"/>
        <v>44135</v>
      </c>
    </row>
    <row r="8362" spans="1:6" x14ac:dyDescent="0.25">
      <c r="A8362" s="1" t="s">
        <v>1172</v>
      </c>
      <c r="B8362" s="1" t="s">
        <v>2095</v>
      </c>
      <c r="C8362" s="1" t="s">
        <v>197</v>
      </c>
      <c r="D8362" s="3">
        <f>VALUE("8532")</f>
        <v>8532</v>
      </c>
      <c r="E8362" s="2">
        <f>DATEVALUE("1-7-2019")</f>
        <v>43647</v>
      </c>
      <c r="F8362" s="2">
        <f>DATEVALUE("30-11-2019")</f>
        <v>43799</v>
      </c>
    </row>
    <row r="8363" spans="1:6" x14ac:dyDescent="0.25">
      <c r="A8363" s="1" t="s">
        <v>1172</v>
      </c>
      <c r="B8363" s="1" t="s">
        <v>1171</v>
      </c>
      <c r="C8363" s="1" t="s">
        <v>61</v>
      </c>
      <c r="D8363" s="3">
        <f>VALUE("8444")</f>
        <v>8444</v>
      </c>
      <c r="E8363" s="2">
        <f>DATEVALUE("1-4-2019")</f>
        <v>43556</v>
      </c>
      <c r="F8363" s="2">
        <f>DATEVALUE("31-12-2019")</f>
        <v>43830</v>
      </c>
    </row>
    <row r="8364" spans="1:6" x14ac:dyDescent="0.25">
      <c r="A8364" s="1" t="s">
        <v>1172</v>
      </c>
      <c r="B8364" s="1" t="s">
        <v>1171</v>
      </c>
      <c r="C8364" s="1" t="s">
        <v>15</v>
      </c>
      <c r="D8364" s="3">
        <f>VALUE("8444")</f>
        <v>8444</v>
      </c>
      <c r="E8364" s="2">
        <f>DATEVALUE("1-4-2019")</f>
        <v>43556</v>
      </c>
      <c r="F8364" s="2">
        <f>DATEVALUE("31-12-2019")</f>
        <v>43830</v>
      </c>
    </row>
    <row r="8365" spans="1:6" x14ac:dyDescent="0.25">
      <c r="A8365" s="1" t="s">
        <v>1172</v>
      </c>
      <c r="B8365" s="1" t="s">
        <v>1171</v>
      </c>
      <c r="C8365" s="1" t="s">
        <v>17</v>
      </c>
      <c r="D8365" s="3">
        <f>VALUE("8444")</f>
        <v>8444</v>
      </c>
      <c r="E8365" s="2">
        <f>DATEVALUE("1-4-2019")</f>
        <v>43556</v>
      </c>
      <c r="F8365" s="2">
        <f>DATEVALUE("31-12-2019")</f>
        <v>43830</v>
      </c>
    </row>
    <row r="8366" spans="1:6" x14ac:dyDescent="0.25">
      <c r="A8366" s="1" t="s">
        <v>1172</v>
      </c>
      <c r="B8366" s="1" t="s">
        <v>1171</v>
      </c>
      <c r="C8366" s="1" t="s">
        <v>72</v>
      </c>
      <c r="D8366" s="3">
        <f>VALUE("8444")</f>
        <v>8444</v>
      </c>
      <c r="E8366" s="2">
        <f>DATEVALUE("1-4-2019")</f>
        <v>43556</v>
      </c>
      <c r="F8366" s="2">
        <f>DATEVALUE("31-12-2019")</f>
        <v>43830</v>
      </c>
    </row>
    <row r="8367" spans="1:6" x14ac:dyDescent="0.25">
      <c r="A8367" s="1" t="s">
        <v>1172</v>
      </c>
      <c r="B8367" s="1" t="s">
        <v>1171</v>
      </c>
      <c r="C8367" s="1" t="s">
        <v>52</v>
      </c>
      <c r="D8367" s="3">
        <f>VALUE("8444")</f>
        <v>8444</v>
      </c>
      <c r="E8367" s="2">
        <f>DATEVALUE("1-4-2019")</f>
        <v>43556</v>
      </c>
      <c r="F8367" s="2">
        <f>DATEVALUE("31-12-2019")</f>
        <v>43830</v>
      </c>
    </row>
    <row r="8368" spans="1:6" x14ac:dyDescent="0.25">
      <c r="A8368" s="1" t="s">
        <v>1172</v>
      </c>
      <c r="B8368" s="1" t="s">
        <v>2077</v>
      </c>
      <c r="C8368" s="1" t="s">
        <v>7</v>
      </c>
      <c r="D8368" s="3">
        <f t="shared" ref="D8368:D8374" si="1275">VALUE("8320")</f>
        <v>8320</v>
      </c>
      <c r="E8368" s="2">
        <f t="shared" ref="E8368:E8374" si="1276">DATEVALUE("1-7-2018")</f>
        <v>43282</v>
      </c>
      <c r="F8368" s="2">
        <f t="shared" ref="F8368:F8374" si="1277">DATEVALUE("31-3-2019")</f>
        <v>43555</v>
      </c>
    </row>
    <row r="8369" spans="1:6" x14ac:dyDescent="0.25">
      <c r="A8369" s="1" t="s">
        <v>1172</v>
      </c>
      <c r="B8369" s="1" t="s">
        <v>2077</v>
      </c>
      <c r="C8369" s="1" t="s">
        <v>17</v>
      </c>
      <c r="D8369" s="3">
        <f t="shared" si="1275"/>
        <v>8320</v>
      </c>
      <c r="E8369" s="2">
        <f t="shared" si="1276"/>
        <v>43282</v>
      </c>
      <c r="F8369" s="2">
        <f t="shared" si="1277"/>
        <v>43555</v>
      </c>
    </row>
    <row r="8370" spans="1:6" x14ac:dyDescent="0.25">
      <c r="A8370" s="1" t="s">
        <v>1172</v>
      </c>
      <c r="B8370" s="1" t="s">
        <v>2077</v>
      </c>
      <c r="C8370" s="1" t="s">
        <v>22</v>
      </c>
      <c r="D8370" s="3">
        <f t="shared" si="1275"/>
        <v>8320</v>
      </c>
      <c r="E8370" s="2">
        <f t="shared" si="1276"/>
        <v>43282</v>
      </c>
      <c r="F8370" s="2">
        <f t="shared" si="1277"/>
        <v>43555</v>
      </c>
    </row>
    <row r="8371" spans="1:6" x14ac:dyDescent="0.25">
      <c r="A8371" s="1" t="s">
        <v>1172</v>
      </c>
      <c r="B8371" s="1" t="s">
        <v>2077</v>
      </c>
      <c r="C8371" s="1" t="s">
        <v>2078</v>
      </c>
      <c r="D8371" s="3">
        <f t="shared" si="1275"/>
        <v>8320</v>
      </c>
      <c r="E8371" s="2">
        <f t="shared" si="1276"/>
        <v>43282</v>
      </c>
      <c r="F8371" s="2">
        <f t="shared" si="1277"/>
        <v>43555</v>
      </c>
    </row>
    <row r="8372" spans="1:6" x14ac:dyDescent="0.25">
      <c r="A8372" s="1" t="s">
        <v>1172</v>
      </c>
      <c r="B8372" s="1" t="s">
        <v>2077</v>
      </c>
      <c r="C8372" s="1" t="s">
        <v>72</v>
      </c>
      <c r="D8372" s="3">
        <f t="shared" si="1275"/>
        <v>8320</v>
      </c>
      <c r="E8372" s="2">
        <f t="shared" si="1276"/>
        <v>43282</v>
      </c>
      <c r="F8372" s="2">
        <f t="shared" si="1277"/>
        <v>43555</v>
      </c>
    </row>
    <row r="8373" spans="1:6" x14ac:dyDescent="0.25">
      <c r="A8373" s="1" t="s">
        <v>1172</v>
      </c>
      <c r="B8373" s="1" t="s">
        <v>2077</v>
      </c>
      <c r="C8373" s="1" t="s">
        <v>73</v>
      </c>
      <c r="D8373" s="3">
        <f t="shared" si="1275"/>
        <v>8320</v>
      </c>
      <c r="E8373" s="2">
        <f t="shared" si="1276"/>
        <v>43282</v>
      </c>
      <c r="F8373" s="2">
        <f t="shared" si="1277"/>
        <v>43555</v>
      </c>
    </row>
    <row r="8374" spans="1:6" x14ac:dyDescent="0.25">
      <c r="A8374" s="1" t="s">
        <v>1172</v>
      </c>
      <c r="B8374" s="1" t="s">
        <v>2077</v>
      </c>
      <c r="C8374" s="1" t="s">
        <v>52</v>
      </c>
      <c r="D8374" s="3">
        <f t="shared" si="1275"/>
        <v>8320</v>
      </c>
      <c r="E8374" s="2">
        <f t="shared" si="1276"/>
        <v>43282</v>
      </c>
      <c r="F8374" s="2">
        <f t="shared" si="1277"/>
        <v>43555</v>
      </c>
    </row>
    <row r="8375" spans="1:6" x14ac:dyDescent="0.25">
      <c r="A8375" s="1" t="s">
        <v>1172</v>
      </c>
      <c r="B8375" s="1" t="s">
        <v>2330</v>
      </c>
      <c r="C8375" s="1" t="s">
        <v>70</v>
      </c>
      <c r="D8375" s="3">
        <f>VALUE("8175")</f>
        <v>8175</v>
      </c>
      <c r="E8375" s="2">
        <f>DATEVALUE("1-11-2017")</f>
        <v>43040</v>
      </c>
      <c r="F8375" s="2">
        <f>DATEVALUE("31-7-2018")</f>
        <v>43312</v>
      </c>
    </row>
    <row r="8376" spans="1:6" x14ac:dyDescent="0.25">
      <c r="A8376" s="1" t="s">
        <v>1172</v>
      </c>
      <c r="B8376" s="1" t="s">
        <v>2330</v>
      </c>
      <c r="C8376" s="1" t="s">
        <v>52</v>
      </c>
      <c r="D8376" s="3">
        <f>VALUE("8175")</f>
        <v>8175</v>
      </c>
      <c r="E8376" s="2">
        <f>DATEVALUE("1-11-2017")</f>
        <v>43040</v>
      </c>
      <c r="F8376" s="2">
        <f>DATEVALUE("31-7-2018")</f>
        <v>43312</v>
      </c>
    </row>
    <row r="8377" spans="1:6" x14ac:dyDescent="0.25">
      <c r="A8377" s="1" t="s">
        <v>1172</v>
      </c>
      <c r="B8377" s="1" t="s">
        <v>2053</v>
      </c>
      <c r="C8377" s="1" t="s">
        <v>2054</v>
      </c>
      <c r="D8377" s="3">
        <f t="shared" ref="D8377:D8392" si="1278">VALUE("8115")</f>
        <v>8115</v>
      </c>
      <c r="E8377" s="2">
        <f t="shared" ref="E8377:E8392" si="1279">DATEVALUE("1-6-2017")</f>
        <v>42887</v>
      </c>
      <c r="F8377" s="2">
        <f t="shared" ref="F8377:F8392" si="1280">DATEVALUE("31-8-2018")</f>
        <v>43343</v>
      </c>
    </row>
    <row r="8378" spans="1:6" x14ac:dyDescent="0.25">
      <c r="A8378" s="1" t="s">
        <v>1172</v>
      </c>
      <c r="B8378" s="1" t="s">
        <v>2053</v>
      </c>
      <c r="C8378" s="1" t="s">
        <v>7</v>
      </c>
      <c r="D8378" s="3">
        <f t="shared" si="1278"/>
        <v>8115</v>
      </c>
      <c r="E8378" s="2">
        <f t="shared" si="1279"/>
        <v>42887</v>
      </c>
      <c r="F8378" s="2">
        <f t="shared" si="1280"/>
        <v>43343</v>
      </c>
    </row>
    <row r="8379" spans="1:6" x14ac:dyDescent="0.25">
      <c r="A8379" s="1" t="s">
        <v>1172</v>
      </c>
      <c r="B8379" s="1" t="s">
        <v>2053</v>
      </c>
      <c r="C8379" s="1" t="s">
        <v>62</v>
      </c>
      <c r="D8379" s="3">
        <f t="shared" si="1278"/>
        <v>8115</v>
      </c>
      <c r="E8379" s="2">
        <f t="shared" si="1279"/>
        <v>42887</v>
      </c>
      <c r="F8379" s="2">
        <f t="shared" si="1280"/>
        <v>43343</v>
      </c>
    </row>
    <row r="8380" spans="1:6" x14ac:dyDescent="0.25">
      <c r="A8380" s="1" t="s">
        <v>1172</v>
      </c>
      <c r="B8380" s="1" t="s">
        <v>2053</v>
      </c>
      <c r="C8380" s="1" t="s">
        <v>141</v>
      </c>
      <c r="D8380" s="3">
        <f t="shared" si="1278"/>
        <v>8115</v>
      </c>
      <c r="E8380" s="2">
        <f t="shared" si="1279"/>
        <v>42887</v>
      </c>
      <c r="F8380" s="2">
        <f t="shared" si="1280"/>
        <v>43343</v>
      </c>
    </row>
    <row r="8381" spans="1:6" x14ac:dyDescent="0.25">
      <c r="A8381" s="1" t="s">
        <v>1172</v>
      </c>
      <c r="B8381" s="1" t="s">
        <v>2053</v>
      </c>
      <c r="C8381" s="1" t="s">
        <v>14</v>
      </c>
      <c r="D8381" s="3">
        <f t="shared" si="1278"/>
        <v>8115</v>
      </c>
      <c r="E8381" s="2">
        <f t="shared" si="1279"/>
        <v>42887</v>
      </c>
      <c r="F8381" s="2">
        <f t="shared" si="1280"/>
        <v>43343</v>
      </c>
    </row>
    <row r="8382" spans="1:6" x14ac:dyDescent="0.25">
      <c r="A8382" s="1" t="s">
        <v>1172</v>
      </c>
      <c r="B8382" s="1" t="s">
        <v>2053</v>
      </c>
      <c r="C8382" s="1" t="s">
        <v>17</v>
      </c>
      <c r="D8382" s="3">
        <f t="shared" si="1278"/>
        <v>8115</v>
      </c>
      <c r="E8382" s="2">
        <f t="shared" si="1279"/>
        <v>42887</v>
      </c>
      <c r="F8382" s="2">
        <f t="shared" si="1280"/>
        <v>43343</v>
      </c>
    </row>
    <row r="8383" spans="1:6" x14ac:dyDescent="0.25">
      <c r="A8383" s="1" t="s">
        <v>1172</v>
      </c>
      <c r="B8383" s="1" t="s">
        <v>2053</v>
      </c>
      <c r="C8383" s="1" t="s">
        <v>20</v>
      </c>
      <c r="D8383" s="3">
        <f t="shared" si="1278"/>
        <v>8115</v>
      </c>
      <c r="E8383" s="2">
        <f t="shared" si="1279"/>
        <v>42887</v>
      </c>
      <c r="F8383" s="2">
        <f t="shared" si="1280"/>
        <v>43343</v>
      </c>
    </row>
    <row r="8384" spans="1:6" x14ac:dyDescent="0.25">
      <c r="A8384" s="1" t="s">
        <v>1172</v>
      </c>
      <c r="B8384" s="1" t="s">
        <v>2053</v>
      </c>
      <c r="C8384" s="1" t="s">
        <v>21</v>
      </c>
      <c r="D8384" s="3">
        <f t="shared" si="1278"/>
        <v>8115</v>
      </c>
      <c r="E8384" s="2">
        <f t="shared" si="1279"/>
        <v>42887</v>
      </c>
      <c r="F8384" s="2">
        <f t="shared" si="1280"/>
        <v>43343</v>
      </c>
    </row>
    <row r="8385" spans="1:6" x14ac:dyDescent="0.25">
      <c r="A8385" s="1" t="s">
        <v>1172</v>
      </c>
      <c r="B8385" s="1" t="s">
        <v>2053</v>
      </c>
      <c r="C8385" s="1" t="s">
        <v>328</v>
      </c>
      <c r="D8385" s="3">
        <f t="shared" si="1278"/>
        <v>8115</v>
      </c>
      <c r="E8385" s="2">
        <f t="shared" si="1279"/>
        <v>42887</v>
      </c>
      <c r="F8385" s="2">
        <f t="shared" si="1280"/>
        <v>43343</v>
      </c>
    </row>
    <row r="8386" spans="1:6" x14ac:dyDescent="0.25">
      <c r="A8386" s="1" t="s">
        <v>1172</v>
      </c>
      <c r="B8386" s="1" t="s">
        <v>2053</v>
      </c>
      <c r="C8386" s="1" t="s">
        <v>146</v>
      </c>
      <c r="D8386" s="3">
        <f t="shared" si="1278"/>
        <v>8115</v>
      </c>
      <c r="E8386" s="2">
        <f t="shared" si="1279"/>
        <v>42887</v>
      </c>
      <c r="F8386" s="2">
        <f t="shared" si="1280"/>
        <v>43343</v>
      </c>
    </row>
    <row r="8387" spans="1:6" x14ac:dyDescent="0.25">
      <c r="A8387" s="1" t="s">
        <v>1172</v>
      </c>
      <c r="B8387" s="1" t="s">
        <v>2053</v>
      </c>
      <c r="C8387" s="1" t="s">
        <v>67</v>
      </c>
      <c r="D8387" s="3">
        <f t="shared" si="1278"/>
        <v>8115</v>
      </c>
      <c r="E8387" s="2">
        <f t="shared" si="1279"/>
        <v>42887</v>
      </c>
      <c r="F8387" s="2">
        <f t="shared" si="1280"/>
        <v>43343</v>
      </c>
    </row>
    <row r="8388" spans="1:6" x14ac:dyDescent="0.25">
      <c r="A8388" s="1" t="s">
        <v>1172</v>
      </c>
      <c r="B8388" s="1" t="s">
        <v>2053</v>
      </c>
      <c r="C8388" s="1" t="s">
        <v>148</v>
      </c>
      <c r="D8388" s="3">
        <f t="shared" si="1278"/>
        <v>8115</v>
      </c>
      <c r="E8388" s="2">
        <f t="shared" si="1279"/>
        <v>42887</v>
      </c>
      <c r="F8388" s="2">
        <f t="shared" si="1280"/>
        <v>43343</v>
      </c>
    </row>
    <row r="8389" spans="1:6" x14ac:dyDescent="0.25">
      <c r="A8389" s="1" t="s">
        <v>1172</v>
      </c>
      <c r="B8389" s="1" t="s">
        <v>2053</v>
      </c>
      <c r="C8389" s="1" t="s">
        <v>24</v>
      </c>
      <c r="D8389" s="3">
        <f t="shared" si="1278"/>
        <v>8115</v>
      </c>
      <c r="E8389" s="2">
        <f t="shared" si="1279"/>
        <v>42887</v>
      </c>
      <c r="F8389" s="2">
        <f t="shared" si="1280"/>
        <v>43343</v>
      </c>
    </row>
    <row r="8390" spans="1:6" x14ac:dyDescent="0.25">
      <c r="A8390" s="1" t="s">
        <v>1172</v>
      </c>
      <c r="B8390" s="1" t="s">
        <v>2053</v>
      </c>
      <c r="C8390" s="1" t="s">
        <v>70</v>
      </c>
      <c r="D8390" s="3">
        <f t="shared" si="1278"/>
        <v>8115</v>
      </c>
      <c r="E8390" s="2">
        <f t="shared" si="1279"/>
        <v>42887</v>
      </c>
      <c r="F8390" s="2">
        <f t="shared" si="1280"/>
        <v>43343</v>
      </c>
    </row>
    <row r="8391" spans="1:6" x14ac:dyDescent="0.25">
      <c r="A8391" s="1" t="s">
        <v>1172</v>
      </c>
      <c r="B8391" s="1" t="s">
        <v>2053</v>
      </c>
      <c r="C8391" s="1" t="s">
        <v>52</v>
      </c>
      <c r="D8391" s="3">
        <f t="shared" si="1278"/>
        <v>8115</v>
      </c>
      <c r="E8391" s="2">
        <f t="shared" si="1279"/>
        <v>42887</v>
      </c>
      <c r="F8391" s="2">
        <f t="shared" si="1280"/>
        <v>43343</v>
      </c>
    </row>
    <row r="8392" spans="1:6" x14ac:dyDescent="0.25">
      <c r="A8392" s="1" t="s">
        <v>1172</v>
      </c>
      <c r="B8392" s="1" t="s">
        <v>2053</v>
      </c>
      <c r="C8392" s="1" t="s">
        <v>34</v>
      </c>
      <c r="D8392" s="3">
        <f t="shared" si="1278"/>
        <v>8115</v>
      </c>
      <c r="E8392" s="2">
        <f t="shared" si="1279"/>
        <v>42887</v>
      </c>
      <c r="F8392" s="2">
        <f t="shared" si="1280"/>
        <v>43343</v>
      </c>
    </row>
    <row r="8393" spans="1:6" x14ac:dyDescent="0.25">
      <c r="A8393" s="1" t="s">
        <v>1172</v>
      </c>
      <c r="B8393" s="1" t="s">
        <v>2029</v>
      </c>
      <c r="C8393" s="1" t="s">
        <v>62</v>
      </c>
      <c r="D8393" s="3">
        <f t="shared" ref="D8393:D8409" si="1281">VALUE("8042")</f>
        <v>8042</v>
      </c>
      <c r="E8393" s="2">
        <f t="shared" ref="E8393:E8409" si="1282">DATEVALUE("1-2-2017")</f>
        <v>42767</v>
      </c>
      <c r="F8393" s="2">
        <f t="shared" ref="F8393:F8409" si="1283">DATEVALUE("31-1-2018")</f>
        <v>43131</v>
      </c>
    </row>
    <row r="8394" spans="1:6" x14ac:dyDescent="0.25">
      <c r="A8394" s="1" t="s">
        <v>1172</v>
      </c>
      <c r="B8394" s="1" t="s">
        <v>2029</v>
      </c>
      <c r="C8394" s="1" t="s">
        <v>14</v>
      </c>
      <c r="D8394" s="3">
        <f t="shared" si="1281"/>
        <v>8042</v>
      </c>
      <c r="E8394" s="2">
        <f t="shared" si="1282"/>
        <v>42767</v>
      </c>
      <c r="F8394" s="2">
        <f t="shared" si="1283"/>
        <v>43131</v>
      </c>
    </row>
    <row r="8395" spans="1:6" x14ac:dyDescent="0.25">
      <c r="A8395" s="1" t="s">
        <v>1172</v>
      </c>
      <c r="B8395" s="1" t="s">
        <v>2029</v>
      </c>
      <c r="C8395" s="1" t="s">
        <v>89</v>
      </c>
      <c r="D8395" s="3">
        <f t="shared" si="1281"/>
        <v>8042</v>
      </c>
      <c r="E8395" s="2">
        <f t="shared" si="1282"/>
        <v>42767</v>
      </c>
      <c r="F8395" s="2">
        <f t="shared" si="1283"/>
        <v>43131</v>
      </c>
    </row>
    <row r="8396" spans="1:6" x14ac:dyDescent="0.25">
      <c r="A8396" s="1" t="s">
        <v>1172</v>
      </c>
      <c r="B8396" s="1" t="s">
        <v>2029</v>
      </c>
      <c r="C8396" s="1" t="s">
        <v>17</v>
      </c>
      <c r="D8396" s="3">
        <f t="shared" si="1281"/>
        <v>8042</v>
      </c>
      <c r="E8396" s="2">
        <f t="shared" si="1282"/>
        <v>42767</v>
      </c>
      <c r="F8396" s="2">
        <f t="shared" si="1283"/>
        <v>43131</v>
      </c>
    </row>
    <row r="8397" spans="1:6" x14ac:dyDescent="0.25">
      <c r="A8397" s="1" t="s">
        <v>1172</v>
      </c>
      <c r="B8397" s="1" t="s">
        <v>2029</v>
      </c>
      <c r="C8397" s="1" t="s">
        <v>20</v>
      </c>
      <c r="D8397" s="3">
        <f t="shared" si="1281"/>
        <v>8042</v>
      </c>
      <c r="E8397" s="2">
        <f t="shared" si="1282"/>
        <v>42767</v>
      </c>
      <c r="F8397" s="2">
        <f t="shared" si="1283"/>
        <v>43131</v>
      </c>
    </row>
    <row r="8398" spans="1:6" x14ac:dyDescent="0.25">
      <c r="A8398" s="1" t="s">
        <v>1172</v>
      </c>
      <c r="B8398" s="1" t="s">
        <v>2029</v>
      </c>
      <c r="C8398" s="1" t="s">
        <v>21</v>
      </c>
      <c r="D8398" s="3">
        <f t="shared" si="1281"/>
        <v>8042</v>
      </c>
      <c r="E8398" s="2">
        <f t="shared" si="1282"/>
        <v>42767</v>
      </c>
      <c r="F8398" s="2">
        <f t="shared" si="1283"/>
        <v>43131</v>
      </c>
    </row>
    <row r="8399" spans="1:6" x14ac:dyDescent="0.25">
      <c r="A8399" s="1" t="s">
        <v>1172</v>
      </c>
      <c r="B8399" s="1" t="s">
        <v>2029</v>
      </c>
      <c r="C8399" s="1" t="s">
        <v>328</v>
      </c>
      <c r="D8399" s="3">
        <f t="shared" si="1281"/>
        <v>8042</v>
      </c>
      <c r="E8399" s="2">
        <f t="shared" si="1282"/>
        <v>42767</v>
      </c>
      <c r="F8399" s="2">
        <f t="shared" si="1283"/>
        <v>43131</v>
      </c>
    </row>
    <row r="8400" spans="1:6" x14ac:dyDescent="0.25">
      <c r="A8400" s="1" t="s">
        <v>1172</v>
      </c>
      <c r="B8400" s="1" t="s">
        <v>2029</v>
      </c>
      <c r="C8400" s="1" t="s">
        <v>22</v>
      </c>
      <c r="D8400" s="3">
        <f t="shared" si="1281"/>
        <v>8042</v>
      </c>
      <c r="E8400" s="2">
        <f t="shared" si="1282"/>
        <v>42767</v>
      </c>
      <c r="F8400" s="2">
        <f t="shared" si="1283"/>
        <v>43131</v>
      </c>
    </row>
    <row r="8401" spans="1:6" x14ac:dyDescent="0.25">
      <c r="A8401" s="1" t="s">
        <v>1172</v>
      </c>
      <c r="B8401" s="1" t="s">
        <v>2029</v>
      </c>
      <c r="C8401" s="1" t="s">
        <v>50</v>
      </c>
      <c r="D8401" s="3">
        <f t="shared" si="1281"/>
        <v>8042</v>
      </c>
      <c r="E8401" s="2">
        <f t="shared" si="1282"/>
        <v>42767</v>
      </c>
      <c r="F8401" s="2">
        <f t="shared" si="1283"/>
        <v>43131</v>
      </c>
    </row>
    <row r="8402" spans="1:6" x14ac:dyDescent="0.25">
      <c r="A8402" s="1" t="s">
        <v>1172</v>
      </c>
      <c r="B8402" s="1" t="s">
        <v>2029</v>
      </c>
      <c r="C8402" s="1" t="s">
        <v>70</v>
      </c>
      <c r="D8402" s="3">
        <f t="shared" si="1281"/>
        <v>8042</v>
      </c>
      <c r="E8402" s="2">
        <f t="shared" si="1282"/>
        <v>42767</v>
      </c>
      <c r="F8402" s="2">
        <f t="shared" si="1283"/>
        <v>43131</v>
      </c>
    </row>
    <row r="8403" spans="1:6" x14ac:dyDescent="0.25">
      <c r="A8403" s="1" t="s">
        <v>1172</v>
      </c>
      <c r="B8403" s="1" t="s">
        <v>2029</v>
      </c>
      <c r="C8403" s="1" t="s">
        <v>72</v>
      </c>
      <c r="D8403" s="3">
        <f t="shared" si="1281"/>
        <v>8042</v>
      </c>
      <c r="E8403" s="2">
        <f t="shared" si="1282"/>
        <v>42767</v>
      </c>
      <c r="F8403" s="2">
        <f t="shared" si="1283"/>
        <v>43131</v>
      </c>
    </row>
    <row r="8404" spans="1:6" x14ac:dyDescent="0.25">
      <c r="A8404" s="1" t="s">
        <v>1172</v>
      </c>
      <c r="B8404" s="1" t="s">
        <v>2029</v>
      </c>
      <c r="C8404" s="1" t="s">
        <v>73</v>
      </c>
      <c r="D8404" s="3">
        <f t="shared" si="1281"/>
        <v>8042</v>
      </c>
      <c r="E8404" s="2">
        <f t="shared" si="1282"/>
        <v>42767</v>
      </c>
      <c r="F8404" s="2">
        <f t="shared" si="1283"/>
        <v>43131</v>
      </c>
    </row>
    <row r="8405" spans="1:6" x14ac:dyDescent="0.25">
      <c r="A8405" s="1" t="s">
        <v>1172</v>
      </c>
      <c r="B8405" s="1" t="s">
        <v>2029</v>
      </c>
      <c r="C8405" s="1" t="s">
        <v>52</v>
      </c>
      <c r="D8405" s="3">
        <f t="shared" si="1281"/>
        <v>8042</v>
      </c>
      <c r="E8405" s="2">
        <f t="shared" si="1282"/>
        <v>42767</v>
      </c>
      <c r="F8405" s="2">
        <f t="shared" si="1283"/>
        <v>43131</v>
      </c>
    </row>
    <row r="8406" spans="1:6" x14ac:dyDescent="0.25">
      <c r="A8406" s="1" t="s">
        <v>1172</v>
      </c>
      <c r="B8406" s="1" t="s">
        <v>2029</v>
      </c>
      <c r="C8406" s="1" t="s">
        <v>393</v>
      </c>
      <c r="D8406" s="3">
        <f t="shared" si="1281"/>
        <v>8042</v>
      </c>
      <c r="E8406" s="2">
        <f t="shared" si="1282"/>
        <v>42767</v>
      </c>
      <c r="F8406" s="2">
        <f t="shared" si="1283"/>
        <v>43131</v>
      </c>
    </row>
    <row r="8407" spans="1:6" x14ac:dyDescent="0.25">
      <c r="A8407" s="1" t="s">
        <v>1172</v>
      </c>
      <c r="B8407" s="1" t="s">
        <v>2029</v>
      </c>
      <c r="C8407" s="1" t="s">
        <v>541</v>
      </c>
      <c r="D8407" s="3">
        <f t="shared" si="1281"/>
        <v>8042</v>
      </c>
      <c r="E8407" s="2">
        <f t="shared" si="1282"/>
        <v>42767</v>
      </c>
      <c r="F8407" s="2">
        <f t="shared" si="1283"/>
        <v>43131</v>
      </c>
    </row>
    <row r="8408" spans="1:6" x14ac:dyDescent="0.25">
      <c r="A8408" s="1" t="s">
        <v>1172</v>
      </c>
      <c r="B8408" s="1" t="s">
        <v>2029</v>
      </c>
      <c r="C8408" s="1" t="s">
        <v>396</v>
      </c>
      <c r="D8408" s="3">
        <f t="shared" si="1281"/>
        <v>8042</v>
      </c>
      <c r="E8408" s="2">
        <f t="shared" si="1282"/>
        <v>42767</v>
      </c>
      <c r="F8408" s="2">
        <f t="shared" si="1283"/>
        <v>43131</v>
      </c>
    </row>
    <row r="8409" spans="1:6" x14ac:dyDescent="0.25">
      <c r="A8409" s="1" t="s">
        <v>1172</v>
      </c>
      <c r="B8409" s="1" t="s">
        <v>2029</v>
      </c>
      <c r="C8409" s="1" t="s">
        <v>34</v>
      </c>
      <c r="D8409" s="3">
        <f t="shared" si="1281"/>
        <v>8042</v>
      </c>
      <c r="E8409" s="2">
        <f t="shared" si="1282"/>
        <v>42767</v>
      </c>
      <c r="F8409" s="2">
        <f t="shared" si="1283"/>
        <v>43131</v>
      </c>
    </row>
    <row r="8410" spans="1:6" x14ac:dyDescent="0.25">
      <c r="A8410" s="1" t="s">
        <v>1172</v>
      </c>
      <c r="B8410" s="1" t="s">
        <v>2249</v>
      </c>
      <c r="C8410" s="1" t="s">
        <v>14</v>
      </c>
      <c r="D8410" s="3">
        <f t="shared" ref="D8410:D8416" si="1284">VALUE("7958")</f>
        <v>7958</v>
      </c>
      <c r="E8410" s="2">
        <f t="shared" ref="E8410:E8416" si="1285">DATEVALUE("1-10-2016")</f>
        <v>42644</v>
      </c>
      <c r="F8410" s="2">
        <f t="shared" ref="F8410:F8416" si="1286">DATEVALUE("31-1-2017")</f>
        <v>42766</v>
      </c>
    </row>
    <row r="8411" spans="1:6" x14ac:dyDescent="0.25">
      <c r="A8411" s="1" t="s">
        <v>1172</v>
      </c>
      <c r="B8411" s="1" t="s">
        <v>2249</v>
      </c>
      <c r="C8411" s="1" t="s">
        <v>17</v>
      </c>
      <c r="D8411" s="3">
        <f t="shared" si="1284"/>
        <v>7958</v>
      </c>
      <c r="E8411" s="2">
        <f t="shared" si="1285"/>
        <v>42644</v>
      </c>
      <c r="F8411" s="2">
        <f t="shared" si="1286"/>
        <v>42766</v>
      </c>
    </row>
    <row r="8412" spans="1:6" x14ac:dyDescent="0.25">
      <c r="A8412" s="1" t="s">
        <v>1172</v>
      </c>
      <c r="B8412" s="1" t="s">
        <v>2249</v>
      </c>
      <c r="C8412" s="1" t="s">
        <v>24</v>
      </c>
      <c r="D8412" s="3">
        <f t="shared" si="1284"/>
        <v>7958</v>
      </c>
      <c r="E8412" s="2">
        <f t="shared" si="1285"/>
        <v>42644</v>
      </c>
      <c r="F8412" s="2">
        <f t="shared" si="1286"/>
        <v>42766</v>
      </c>
    </row>
    <row r="8413" spans="1:6" x14ac:dyDescent="0.25">
      <c r="A8413" s="1" t="s">
        <v>1172</v>
      </c>
      <c r="B8413" s="1" t="s">
        <v>2249</v>
      </c>
      <c r="C8413" s="1" t="s">
        <v>70</v>
      </c>
      <c r="D8413" s="3">
        <f t="shared" si="1284"/>
        <v>7958</v>
      </c>
      <c r="E8413" s="2">
        <f t="shared" si="1285"/>
        <v>42644</v>
      </c>
      <c r="F8413" s="2">
        <f t="shared" si="1286"/>
        <v>42766</v>
      </c>
    </row>
    <row r="8414" spans="1:6" x14ac:dyDescent="0.25">
      <c r="A8414" s="1" t="s">
        <v>1172</v>
      </c>
      <c r="B8414" s="1" t="s">
        <v>2249</v>
      </c>
      <c r="C8414" s="1" t="s">
        <v>72</v>
      </c>
      <c r="D8414" s="3">
        <f t="shared" si="1284"/>
        <v>7958</v>
      </c>
      <c r="E8414" s="2">
        <f t="shared" si="1285"/>
        <v>42644</v>
      </c>
      <c r="F8414" s="2">
        <f t="shared" si="1286"/>
        <v>42766</v>
      </c>
    </row>
    <row r="8415" spans="1:6" x14ac:dyDescent="0.25">
      <c r="A8415" s="1" t="s">
        <v>1172</v>
      </c>
      <c r="B8415" s="1" t="s">
        <v>2249</v>
      </c>
      <c r="C8415" s="1" t="s">
        <v>52</v>
      </c>
      <c r="D8415" s="3">
        <f t="shared" si="1284"/>
        <v>7958</v>
      </c>
      <c r="E8415" s="2">
        <f t="shared" si="1285"/>
        <v>42644</v>
      </c>
      <c r="F8415" s="2">
        <f t="shared" si="1286"/>
        <v>42766</v>
      </c>
    </row>
    <row r="8416" spans="1:6" x14ac:dyDescent="0.25">
      <c r="A8416" s="1" t="s">
        <v>1172</v>
      </c>
      <c r="B8416" s="1" t="s">
        <v>2249</v>
      </c>
      <c r="C8416" s="1" t="s">
        <v>34</v>
      </c>
      <c r="D8416" s="3">
        <f t="shared" si="1284"/>
        <v>7958</v>
      </c>
      <c r="E8416" s="2">
        <f t="shared" si="1285"/>
        <v>42644</v>
      </c>
      <c r="F8416" s="2">
        <f t="shared" si="1286"/>
        <v>42766</v>
      </c>
    </row>
    <row r="8417" spans="1:6" x14ac:dyDescent="0.25">
      <c r="A8417" s="1" t="s">
        <v>1172</v>
      </c>
      <c r="B8417" s="1" t="s">
        <v>2226</v>
      </c>
      <c r="C8417" s="1" t="s">
        <v>346</v>
      </c>
      <c r="D8417" s="3">
        <f t="shared" ref="D8417:D8425" si="1287">VALUE("7852")</f>
        <v>7852</v>
      </c>
      <c r="E8417" s="2">
        <f t="shared" ref="E8417:E8425" si="1288">DATEVALUE("1-1-2016")</f>
        <v>42370</v>
      </c>
      <c r="F8417" s="2">
        <f t="shared" ref="F8417:F8425" si="1289">DATEVALUE("30-4-2016")</f>
        <v>42490</v>
      </c>
    </row>
    <row r="8418" spans="1:6" x14ac:dyDescent="0.25">
      <c r="A8418" s="1" t="s">
        <v>1172</v>
      </c>
      <c r="B8418" s="1" t="s">
        <v>2226</v>
      </c>
      <c r="C8418" s="1" t="s">
        <v>14</v>
      </c>
      <c r="D8418" s="3">
        <f t="shared" si="1287"/>
        <v>7852</v>
      </c>
      <c r="E8418" s="2">
        <f t="shared" si="1288"/>
        <v>42370</v>
      </c>
      <c r="F8418" s="2">
        <f t="shared" si="1289"/>
        <v>42490</v>
      </c>
    </row>
    <row r="8419" spans="1:6" x14ac:dyDescent="0.25">
      <c r="A8419" s="1" t="s">
        <v>1172</v>
      </c>
      <c r="B8419" s="1" t="s">
        <v>2226</v>
      </c>
      <c r="C8419" s="1" t="s">
        <v>15</v>
      </c>
      <c r="D8419" s="3">
        <f t="shared" si="1287"/>
        <v>7852</v>
      </c>
      <c r="E8419" s="2">
        <f t="shared" si="1288"/>
        <v>42370</v>
      </c>
      <c r="F8419" s="2">
        <f t="shared" si="1289"/>
        <v>42490</v>
      </c>
    </row>
    <row r="8420" spans="1:6" x14ac:dyDescent="0.25">
      <c r="A8420" s="1" t="s">
        <v>1172</v>
      </c>
      <c r="B8420" s="1" t="s">
        <v>2226</v>
      </c>
      <c r="C8420" s="1" t="s">
        <v>17</v>
      </c>
      <c r="D8420" s="3">
        <f t="shared" si="1287"/>
        <v>7852</v>
      </c>
      <c r="E8420" s="2">
        <f t="shared" si="1288"/>
        <v>42370</v>
      </c>
      <c r="F8420" s="2">
        <f t="shared" si="1289"/>
        <v>42490</v>
      </c>
    </row>
    <row r="8421" spans="1:6" x14ac:dyDescent="0.25">
      <c r="A8421" s="1" t="s">
        <v>1172</v>
      </c>
      <c r="B8421" s="1" t="s">
        <v>2226</v>
      </c>
      <c r="C8421" s="1" t="s">
        <v>24</v>
      </c>
      <c r="D8421" s="3">
        <f t="shared" si="1287"/>
        <v>7852</v>
      </c>
      <c r="E8421" s="2">
        <f t="shared" si="1288"/>
        <v>42370</v>
      </c>
      <c r="F8421" s="2">
        <f t="shared" si="1289"/>
        <v>42490</v>
      </c>
    </row>
    <row r="8422" spans="1:6" x14ac:dyDescent="0.25">
      <c r="A8422" s="1" t="s">
        <v>1172</v>
      </c>
      <c r="B8422" s="1" t="s">
        <v>2226</v>
      </c>
      <c r="C8422" s="1" t="s">
        <v>393</v>
      </c>
      <c r="D8422" s="3">
        <f t="shared" si="1287"/>
        <v>7852</v>
      </c>
      <c r="E8422" s="2">
        <f t="shared" si="1288"/>
        <v>42370</v>
      </c>
      <c r="F8422" s="2">
        <f t="shared" si="1289"/>
        <v>42490</v>
      </c>
    </row>
    <row r="8423" spans="1:6" x14ac:dyDescent="0.25">
      <c r="A8423" s="1" t="s">
        <v>1172</v>
      </c>
      <c r="B8423" s="1" t="s">
        <v>2226</v>
      </c>
      <c r="C8423" s="1" t="s">
        <v>394</v>
      </c>
      <c r="D8423" s="3">
        <f t="shared" si="1287"/>
        <v>7852</v>
      </c>
      <c r="E8423" s="2">
        <f t="shared" si="1288"/>
        <v>42370</v>
      </c>
      <c r="F8423" s="2">
        <f t="shared" si="1289"/>
        <v>42490</v>
      </c>
    </row>
    <row r="8424" spans="1:6" x14ac:dyDescent="0.25">
      <c r="A8424" s="1" t="s">
        <v>1172</v>
      </c>
      <c r="B8424" s="1" t="s">
        <v>2226</v>
      </c>
      <c r="C8424" s="1" t="s">
        <v>396</v>
      </c>
      <c r="D8424" s="3">
        <f t="shared" si="1287"/>
        <v>7852</v>
      </c>
      <c r="E8424" s="2">
        <f t="shared" si="1288"/>
        <v>42370</v>
      </c>
      <c r="F8424" s="2">
        <f t="shared" si="1289"/>
        <v>42490</v>
      </c>
    </row>
    <row r="8425" spans="1:6" x14ac:dyDescent="0.25">
      <c r="A8425" s="1" t="s">
        <v>1172</v>
      </c>
      <c r="B8425" s="1" t="s">
        <v>2226</v>
      </c>
      <c r="C8425" s="1" t="s">
        <v>34</v>
      </c>
      <c r="D8425" s="3">
        <f t="shared" si="1287"/>
        <v>7852</v>
      </c>
      <c r="E8425" s="2">
        <f t="shared" si="1288"/>
        <v>42370</v>
      </c>
      <c r="F8425" s="2">
        <f t="shared" si="1289"/>
        <v>42490</v>
      </c>
    </row>
    <row r="8426" spans="1:6" x14ac:dyDescent="0.25">
      <c r="A8426" s="1" t="s">
        <v>1172</v>
      </c>
      <c r="B8426" s="1" t="s">
        <v>2776</v>
      </c>
      <c r="C8426" s="1" t="s">
        <v>8</v>
      </c>
      <c r="D8426" s="3">
        <f t="shared" ref="D8426:D8439" si="1290">VALUE("7667")</f>
        <v>7667</v>
      </c>
      <c r="E8426" s="2">
        <f t="shared" ref="E8426:E8439" si="1291">DATEVALUE("1-8-2014")</f>
        <v>41852</v>
      </c>
      <c r="F8426" s="2">
        <f t="shared" ref="F8426:F8439" si="1292">DATEVALUE("30-11-2014")</f>
        <v>41973</v>
      </c>
    </row>
    <row r="8427" spans="1:6" x14ac:dyDescent="0.25">
      <c r="A8427" s="1" t="s">
        <v>1172</v>
      </c>
      <c r="B8427" s="1" t="s">
        <v>2776</v>
      </c>
      <c r="C8427" s="1" t="s">
        <v>9</v>
      </c>
      <c r="D8427" s="3">
        <f t="shared" si="1290"/>
        <v>7667</v>
      </c>
      <c r="E8427" s="2">
        <f t="shared" si="1291"/>
        <v>41852</v>
      </c>
      <c r="F8427" s="2">
        <f t="shared" si="1292"/>
        <v>41973</v>
      </c>
    </row>
    <row r="8428" spans="1:6" x14ac:dyDescent="0.25">
      <c r="A8428" s="1" t="s">
        <v>1172</v>
      </c>
      <c r="B8428" s="1" t="s">
        <v>2776</v>
      </c>
      <c r="C8428" s="1" t="s">
        <v>87</v>
      </c>
      <c r="D8428" s="3">
        <f t="shared" si="1290"/>
        <v>7667</v>
      </c>
      <c r="E8428" s="2">
        <f t="shared" si="1291"/>
        <v>41852</v>
      </c>
      <c r="F8428" s="2">
        <f t="shared" si="1292"/>
        <v>41973</v>
      </c>
    </row>
    <row r="8429" spans="1:6" x14ac:dyDescent="0.25">
      <c r="A8429" s="1" t="s">
        <v>1172</v>
      </c>
      <c r="B8429" s="1" t="s">
        <v>2776</v>
      </c>
      <c r="C8429" s="1" t="s">
        <v>14</v>
      </c>
      <c r="D8429" s="3">
        <f t="shared" si="1290"/>
        <v>7667</v>
      </c>
      <c r="E8429" s="2">
        <f t="shared" si="1291"/>
        <v>41852</v>
      </c>
      <c r="F8429" s="2">
        <f t="shared" si="1292"/>
        <v>41973</v>
      </c>
    </row>
    <row r="8430" spans="1:6" x14ac:dyDescent="0.25">
      <c r="A8430" s="1" t="s">
        <v>1172</v>
      </c>
      <c r="B8430" s="1" t="s">
        <v>2776</v>
      </c>
      <c r="C8430" s="1" t="s">
        <v>15</v>
      </c>
      <c r="D8430" s="3">
        <f t="shared" si="1290"/>
        <v>7667</v>
      </c>
      <c r="E8430" s="2">
        <f t="shared" si="1291"/>
        <v>41852</v>
      </c>
      <c r="F8430" s="2">
        <f t="shared" si="1292"/>
        <v>41973</v>
      </c>
    </row>
    <row r="8431" spans="1:6" x14ac:dyDescent="0.25">
      <c r="A8431" s="1" t="s">
        <v>1172</v>
      </c>
      <c r="B8431" s="1" t="s">
        <v>2776</v>
      </c>
      <c r="C8431" s="1" t="s">
        <v>17</v>
      </c>
      <c r="D8431" s="3">
        <f t="shared" si="1290"/>
        <v>7667</v>
      </c>
      <c r="E8431" s="2">
        <f t="shared" si="1291"/>
        <v>41852</v>
      </c>
      <c r="F8431" s="2">
        <f t="shared" si="1292"/>
        <v>41973</v>
      </c>
    </row>
    <row r="8432" spans="1:6" x14ac:dyDescent="0.25">
      <c r="A8432" s="1" t="s">
        <v>1172</v>
      </c>
      <c r="B8432" s="1" t="s">
        <v>2776</v>
      </c>
      <c r="C8432" s="1" t="s">
        <v>193</v>
      </c>
      <c r="D8432" s="3">
        <f t="shared" si="1290"/>
        <v>7667</v>
      </c>
      <c r="E8432" s="2">
        <f t="shared" si="1291"/>
        <v>41852</v>
      </c>
      <c r="F8432" s="2">
        <f t="shared" si="1292"/>
        <v>41973</v>
      </c>
    </row>
    <row r="8433" spans="1:6" x14ac:dyDescent="0.25">
      <c r="A8433" s="1" t="s">
        <v>1172</v>
      </c>
      <c r="B8433" s="1" t="s">
        <v>2776</v>
      </c>
      <c r="C8433" s="1" t="s">
        <v>20</v>
      </c>
      <c r="D8433" s="3">
        <f t="shared" si="1290"/>
        <v>7667</v>
      </c>
      <c r="E8433" s="2">
        <f t="shared" si="1291"/>
        <v>41852</v>
      </c>
      <c r="F8433" s="2">
        <f t="shared" si="1292"/>
        <v>41973</v>
      </c>
    </row>
    <row r="8434" spans="1:6" x14ac:dyDescent="0.25">
      <c r="A8434" s="1" t="s">
        <v>1172</v>
      </c>
      <c r="B8434" s="1" t="s">
        <v>2776</v>
      </c>
      <c r="C8434" s="1" t="s">
        <v>22</v>
      </c>
      <c r="D8434" s="3">
        <f t="shared" si="1290"/>
        <v>7667</v>
      </c>
      <c r="E8434" s="2">
        <f t="shared" si="1291"/>
        <v>41852</v>
      </c>
      <c r="F8434" s="2">
        <f t="shared" si="1292"/>
        <v>41973</v>
      </c>
    </row>
    <row r="8435" spans="1:6" x14ac:dyDescent="0.25">
      <c r="A8435" s="1" t="s">
        <v>1172</v>
      </c>
      <c r="B8435" s="1" t="s">
        <v>2776</v>
      </c>
      <c r="C8435" s="1" t="s">
        <v>148</v>
      </c>
      <c r="D8435" s="3">
        <f t="shared" si="1290"/>
        <v>7667</v>
      </c>
      <c r="E8435" s="2">
        <f t="shared" si="1291"/>
        <v>41852</v>
      </c>
      <c r="F8435" s="2">
        <f t="shared" si="1292"/>
        <v>41973</v>
      </c>
    </row>
    <row r="8436" spans="1:6" x14ac:dyDescent="0.25">
      <c r="A8436" s="1" t="s">
        <v>1172</v>
      </c>
      <c r="B8436" s="1" t="s">
        <v>2776</v>
      </c>
      <c r="C8436" s="1" t="s">
        <v>336</v>
      </c>
      <c r="D8436" s="3">
        <f t="shared" si="1290"/>
        <v>7667</v>
      </c>
      <c r="E8436" s="2">
        <f t="shared" si="1291"/>
        <v>41852</v>
      </c>
      <c r="F8436" s="2">
        <f t="shared" si="1292"/>
        <v>41973</v>
      </c>
    </row>
    <row r="8437" spans="1:6" x14ac:dyDescent="0.25">
      <c r="A8437" s="1" t="s">
        <v>1172</v>
      </c>
      <c r="B8437" s="1" t="s">
        <v>2776</v>
      </c>
      <c r="C8437" s="1" t="s">
        <v>24</v>
      </c>
      <c r="D8437" s="3">
        <f t="shared" si="1290"/>
        <v>7667</v>
      </c>
      <c r="E8437" s="2">
        <f t="shared" si="1291"/>
        <v>41852</v>
      </c>
      <c r="F8437" s="2">
        <f t="shared" si="1292"/>
        <v>41973</v>
      </c>
    </row>
    <row r="8438" spans="1:6" x14ac:dyDescent="0.25">
      <c r="A8438" s="1" t="s">
        <v>1172</v>
      </c>
      <c r="B8438" s="1" t="s">
        <v>2776</v>
      </c>
      <c r="C8438" s="1" t="s">
        <v>73</v>
      </c>
      <c r="D8438" s="3">
        <f t="shared" si="1290"/>
        <v>7667</v>
      </c>
      <c r="E8438" s="2">
        <f t="shared" si="1291"/>
        <v>41852</v>
      </c>
      <c r="F8438" s="2">
        <f t="shared" si="1292"/>
        <v>41973</v>
      </c>
    </row>
    <row r="8439" spans="1:6" x14ac:dyDescent="0.25">
      <c r="A8439" s="1" t="s">
        <v>1172</v>
      </c>
      <c r="B8439" s="1" t="s">
        <v>2776</v>
      </c>
      <c r="C8439" s="1" t="s">
        <v>34</v>
      </c>
      <c r="D8439" s="3">
        <f t="shared" si="1290"/>
        <v>7667</v>
      </c>
      <c r="E8439" s="2">
        <f t="shared" si="1291"/>
        <v>41852</v>
      </c>
      <c r="F8439" s="2">
        <f t="shared" si="1292"/>
        <v>41973</v>
      </c>
    </row>
    <row r="8440" spans="1:6" x14ac:dyDescent="0.25">
      <c r="A8440" s="1" t="s">
        <v>1172</v>
      </c>
      <c r="B8440" s="1" t="s">
        <v>1929</v>
      </c>
      <c r="C8440" s="1" t="s">
        <v>39</v>
      </c>
      <c r="D8440" s="3">
        <f t="shared" ref="D8440:D8454" si="1293">VALUE("7598")</f>
        <v>7598</v>
      </c>
      <c r="E8440" s="2">
        <f t="shared" ref="E8440:E8454" si="1294">DATEVALUE("1-4-2014")</f>
        <v>41730</v>
      </c>
      <c r="F8440" s="2">
        <f t="shared" ref="F8440:F8454" si="1295">DATEVALUE("30-9-2014")</f>
        <v>41912</v>
      </c>
    </row>
    <row r="8441" spans="1:6" x14ac:dyDescent="0.25">
      <c r="A8441" s="1" t="s">
        <v>1172</v>
      </c>
      <c r="B8441" s="1" t="s">
        <v>1929</v>
      </c>
      <c r="C8441" s="1" t="s">
        <v>43</v>
      </c>
      <c r="D8441" s="3">
        <f t="shared" si="1293"/>
        <v>7598</v>
      </c>
      <c r="E8441" s="2">
        <f t="shared" si="1294"/>
        <v>41730</v>
      </c>
      <c r="F8441" s="2">
        <f t="shared" si="1295"/>
        <v>41912</v>
      </c>
    </row>
    <row r="8442" spans="1:6" x14ac:dyDescent="0.25">
      <c r="A8442" s="1" t="s">
        <v>1172</v>
      </c>
      <c r="B8442" s="1" t="s">
        <v>1929</v>
      </c>
      <c r="C8442" s="1" t="s">
        <v>375</v>
      </c>
      <c r="D8442" s="3">
        <f t="shared" si="1293"/>
        <v>7598</v>
      </c>
      <c r="E8442" s="2">
        <f t="shared" si="1294"/>
        <v>41730</v>
      </c>
      <c r="F8442" s="2">
        <f t="shared" si="1295"/>
        <v>41912</v>
      </c>
    </row>
    <row r="8443" spans="1:6" x14ac:dyDescent="0.25">
      <c r="A8443" s="1" t="s">
        <v>1172</v>
      </c>
      <c r="B8443" s="1" t="s">
        <v>1929</v>
      </c>
      <c r="C8443" s="1" t="s">
        <v>46</v>
      </c>
      <c r="D8443" s="3">
        <f t="shared" si="1293"/>
        <v>7598</v>
      </c>
      <c r="E8443" s="2">
        <f t="shared" si="1294"/>
        <v>41730</v>
      </c>
      <c r="F8443" s="2">
        <f t="shared" si="1295"/>
        <v>41912</v>
      </c>
    </row>
    <row r="8444" spans="1:6" x14ac:dyDescent="0.25">
      <c r="A8444" s="1" t="s">
        <v>1172</v>
      </c>
      <c r="B8444" s="1" t="s">
        <v>1929</v>
      </c>
      <c r="C8444" s="1" t="s">
        <v>15</v>
      </c>
      <c r="D8444" s="3">
        <f t="shared" si="1293"/>
        <v>7598</v>
      </c>
      <c r="E8444" s="2">
        <f t="shared" si="1294"/>
        <v>41730</v>
      </c>
      <c r="F8444" s="2">
        <f t="shared" si="1295"/>
        <v>41912</v>
      </c>
    </row>
    <row r="8445" spans="1:6" x14ac:dyDescent="0.25">
      <c r="A8445" s="1" t="s">
        <v>1172</v>
      </c>
      <c r="B8445" s="1" t="s">
        <v>1929</v>
      </c>
      <c r="C8445" s="1" t="s">
        <v>16</v>
      </c>
      <c r="D8445" s="3">
        <f t="shared" si="1293"/>
        <v>7598</v>
      </c>
      <c r="E8445" s="2">
        <f t="shared" si="1294"/>
        <v>41730</v>
      </c>
      <c r="F8445" s="2">
        <f t="shared" si="1295"/>
        <v>41912</v>
      </c>
    </row>
    <row r="8446" spans="1:6" x14ac:dyDescent="0.25">
      <c r="A8446" s="1" t="s">
        <v>1172</v>
      </c>
      <c r="B8446" s="1" t="s">
        <v>1929</v>
      </c>
      <c r="C8446" s="1" t="s">
        <v>89</v>
      </c>
      <c r="D8446" s="3">
        <f t="shared" si="1293"/>
        <v>7598</v>
      </c>
      <c r="E8446" s="2">
        <f t="shared" si="1294"/>
        <v>41730</v>
      </c>
      <c r="F8446" s="2">
        <f t="shared" si="1295"/>
        <v>41912</v>
      </c>
    </row>
    <row r="8447" spans="1:6" x14ac:dyDescent="0.25">
      <c r="A8447" s="1" t="s">
        <v>1172</v>
      </c>
      <c r="B8447" s="1" t="s">
        <v>1929</v>
      </c>
      <c r="C8447" s="1" t="s">
        <v>17</v>
      </c>
      <c r="D8447" s="3">
        <f t="shared" si="1293"/>
        <v>7598</v>
      </c>
      <c r="E8447" s="2">
        <f t="shared" si="1294"/>
        <v>41730</v>
      </c>
      <c r="F8447" s="2">
        <f t="shared" si="1295"/>
        <v>41912</v>
      </c>
    </row>
    <row r="8448" spans="1:6" x14ac:dyDescent="0.25">
      <c r="A8448" s="1" t="s">
        <v>1172</v>
      </c>
      <c r="B8448" s="1" t="s">
        <v>1929</v>
      </c>
      <c r="C8448" s="1" t="s">
        <v>257</v>
      </c>
      <c r="D8448" s="3">
        <f t="shared" si="1293"/>
        <v>7598</v>
      </c>
      <c r="E8448" s="2">
        <f t="shared" si="1294"/>
        <v>41730</v>
      </c>
      <c r="F8448" s="2">
        <f t="shared" si="1295"/>
        <v>41912</v>
      </c>
    </row>
    <row r="8449" spans="1:6" x14ac:dyDescent="0.25">
      <c r="A8449" s="1" t="s">
        <v>1172</v>
      </c>
      <c r="B8449" s="1" t="s">
        <v>1929</v>
      </c>
      <c r="C8449" s="1" t="s">
        <v>148</v>
      </c>
      <c r="D8449" s="3">
        <f t="shared" si="1293"/>
        <v>7598</v>
      </c>
      <c r="E8449" s="2">
        <f t="shared" si="1294"/>
        <v>41730</v>
      </c>
      <c r="F8449" s="2">
        <f t="shared" si="1295"/>
        <v>41912</v>
      </c>
    </row>
    <row r="8450" spans="1:6" x14ac:dyDescent="0.25">
      <c r="A8450" s="1" t="s">
        <v>1172</v>
      </c>
      <c r="B8450" s="1" t="s">
        <v>1929</v>
      </c>
      <c r="C8450" s="1" t="s">
        <v>149</v>
      </c>
      <c r="D8450" s="3">
        <f t="shared" si="1293"/>
        <v>7598</v>
      </c>
      <c r="E8450" s="2">
        <f t="shared" si="1294"/>
        <v>41730</v>
      </c>
      <c r="F8450" s="2">
        <f t="shared" si="1295"/>
        <v>41912</v>
      </c>
    </row>
    <row r="8451" spans="1:6" x14ac:dyDescent="0.25">
      <c r="A8451" s="1" t="s">
        <v>1172</v>
      </c>
      <c r="B8451" s="1" t="s">
        <v>1929</v>
      </c>
      <c r="C8451" s="1" t="s">
        <v>150</v>
      </c>
      <c r="D8451" s="3">
        <f t="shared" si="1293"/>
        <v>7598</v>
      </c>
      <c r="E8451" s="2">
        <f t="shared" si="1294"/>
        <v>41730</v>
      </c>
      <c r="F8451" s="2">
        <f t="shared" si="1295"/>
        <v>41912</v>
      </c>
    </row>
    <row r="8452" spans="1:6" x14ac:dyDescent="0.25">
      <c r="A8452" s="1" t="s">
        <v>1172</v>
      </c>
      <c r="B8452" s="1" t="s">
        <v>1929</v>
      </c>
      <c r="C8452" s="1" t="s">
        <v>349</v>
      </c>
      <c r="D8452" s="3">
        <f t="shared" si="1293"/>
        <v>7598</v>
      </c>
      <c r="E8452" s="2">
        <f t="shared" si="1294"/>
        <v>41730</v>
      </c>
      <c r="F8452" s="2">
        <f t="shared" si="1295"/>
        <v>41912</v>
      </c>
    </row>
    <row r="8453" spans="1:6" x14ac:dyDescent="0.25">
      <c r="A8453" s="1" t="s">
        <v>1172</v>
      </c>
      <c r="B8453" s="1" t="s">
        <v>1929</v>
      </c>
      <c r="C8453" s="1" t="s">
        <v>425</v>
      </c>
      <c r="D8453" s="3">
        <f t="shared" si="1293"/>
        <v>7598</v>
      </c>
      <c r="E8453" s="2">
        <f t="shared" si="1294"/>
        <v>41730</v>
      </c>
      <c r="F8453" s="2">
        <f t="shared" si="1295"/>
        <v>41912</v>
      </c>
    </row>
    <row r="8454" spans="1:6" x14ac:dyDescent="0.25">
      <c r="A8454" s="1" t="s">
        <v>1172</v>
      </c>
      <c r="B8454" s="1" t="s">
        <v>1929</v>
      </c>
      <c r="C8454" s="1" t="s">
        <v>57</v>
      </c>
      <c r="D8454" s="3">
        <f t="shared" si="1293"/>
        <v>7598</v>
      </c>
      <c r="E8454" s="2">
        <f t="shared" si="1294"/>
        <v>41730</v>
      </c>
      <c r="F8454" s="2">
        <f t="shared" si="1295"/>
        <v>41912</v>
      </c>
    </row>
    <row r="8455" spans="1:6" x14ac:dyDescent="0.25">
      <c r="A8455" s="1" t="s">
        <v>1172</v>
      </c>
      <c r="B8455" s="1" t="s">
        <v>2761</v>
      </c>
      <c r="C8455" s="1" t="s">
        <v>88</v>
      </c>
      <c r="D8455" s="3">
        <f>VALUE("7597")</f>
        <v>7597</v>
      </c>
      <c r="E8455" s="2">
        <f>DATEVALUE("1-3-2014")</f>
        <v>41699</v>
      </c>
      <c r="F8455" s="2">
        <f>DATEVALUE("31-10-2014")</f>
        <v>41943</v>
      </c>
    </row>
    <row r="8456" spans="1:6" x14ac:dyDescent="0.25">
      <c r="A8456" s="1" t="s">
        <v>1172</v>
      </c>
      <c r="B8456" s="1" t="s">
        <v>2761</v>
      </c>
      <c r="C8456" s="1" t="s">
        <v>89</v>
      </c>
      <c r="D8456" s="3">
        <f>VALUE("7597")</f>
        <v>7597</v>
      </c>
      <c r="E8456" s="2">
        <f>DATEVALUE("1-3-2014")</f>
        <v>41699</v>
      </c>
      <c r="F8456" s="2">
        <f>DATEVALUE("31-10-2014")</f>
        <v>41943</v>
      </c>
    </row>
    <row r="8457" spans="1:6" x14ac:dyDescent="0.25">
      <c r="A8457" s="1" t="s">
        <v>1172</v>
      </c>
      <c r="B8457" s="1" t="s">
        <v>2761</v>
      </c>
      <c r="C8457" s="1" t="s">
        <v>17</v>
      </c>
      <c r="D8457" s="3">
        <f>VALUE("7597")</f>
        <v>7597</v>
      </c>
      <c r="E8457" s="2">
        <f>DATEVALUE("1-3-2014")</f>
        <v>41699</v>
      </c>
      <c r="F8457" s="2">
        <f>DATEVALUE("31-10-2014")</f>
        <v>41943</v>
      </c>
    </row>
    <row r="8458" spans="1:6" x14ac:dyDescent="0.25">
      <c r="A8458" s="1" t="s">
        <v>1172</v>
      </c>
      <c r="B8458" s="1" t="s">
        <v>2723</v>
      </c>
      <c r="C8458" s="1" t="s">
        <v>46</v>
      </c>
      <c r="D8458" s="3">
        <f>VALUE("7491")</f>
        <v>7491</v>
      </c>
      <c r="E8458" s="2">
        <f>DATEVALUE("1-4-2013")</f>
        <v>41365</v>
      </c>
      <c r="F8458" s="2">
        <f>DATEVALUE("31-7-2013")</f>
        <v>41486</v>
      </c>
    </row>
    <row r="8459" spans="1:6" x14ac:dyDescent="0.25">
      <c r="A8459" s="1" t="s">
        <v>1172</v>
      </c>
      <c r="B8459" s="1" t="s">
        <v>2723</v>
      </c>
      <c r="C8459" s="1" t="s">
        <v>17</v>
      </c>
      <c r="D8459" s="3">
        <f>VALUE("7491")</f>
        <v>7491</v>
      </c>
      <c r="E8459" s="2">
        <f>DATEVALUE("1-4-2013")</f>
        <v>41365</v>
      </c>
      <c r="F8459" s="2">
        <f>DATEVALUE("31-7-2013")</f>
        <v>41486</v>
      </c>
    </row>
    <row r="8460" spans="1:6" x14ac:dyDescent="0.25">
      <c r="A8460" s="1" t="s">
        <v>1172</v>
      </c>
      <c r="B8460" s="1" t="s">
        <v>2723</v>
      </c>
      <c r="C8460" s="1" t="s">
        <v>36</v>
      </c>
      <c r="D8460" s="3">
        <f>VALUE("7491")</f>
        <v>7491</v>
      </c>
      <c r="E8460" s="2">
        <f>DATEVALUE("1-4-2013")</f>
        <v>41365</v>
      </c>
      <c r="F8460" s="2">
        <f>DATEVALUE("31-7-2013")</f>
        <v>41486</v>
      </c>
    </row>
    <row r="8461" spans="1:6" x14ac:dyDescent="0.25">
      <c r="A8461" s="1" t="s">
        <v>1172</v>
      </c>
      <c r="B8461" s="1" t="s">
        <v>2661</v>
      </c>
      <c r="C8461" s="1" t="s">
        <v>66</v>
      </c>
      <c r="D8461" s="3">
        <f>VALUE("7315")</f>
        <v>7315</v>
      </c>
      <c r="E8461" s="2">
        <f>DATEVALUE("1-3-2013")</f>
        <v>41334</v>
      </c>
      <c r="F8461" s="2">
        <f>DATEVALUE("31-5-2013")</f>
        <v>41425</v>
      </c>
    </row>
    <row r="8462" spans="1:6" x14ac:dyDescent="0.25">
      <c r="A8462" s="1" t="s">
        <v>1172</v>
      </c>
      <c r="B8462" s="1" t="s">
        <v>2661</v>
      </c>
      <c r="C8462" s="1" t="s">
        <v>17</v>
      </c>
      <c r="D8462" s="3">
        <f>VALUE("7315")</f>
        <v>7315</v>
      </c>
      <c r="E8462" s="2">
        <f>DATEVALUE("1-3-2013")</f>
        <v>41334</v>
      </c>
      <c r="F8462" s="2">
        <f>DATEVALUE("31-5-2013")</f>
        <v>41425</v>
      </c>
    </row>
    <row r="8463" spans="1:6" x14ac:dyDescent="0.25">
      <c r="A8463" s="1" t="s">
        <v>1172</v>
      </c>
      <c r="B8463" s="1" t="s">
        <v>2661</v>
      </c>
      <c r="C8463" s="1" t="s">
        <v>145</v>
      </c>
      <c r="D8463" s="3">
        <f>VALUE("7315")</f>
        <v>7315</v>
      </c>
      <c r="E8463" s="2">
        <f>DATEVALUE("1-3-2013")</f>
        <v>41334</v>
      </c>
      <c r="F8463" s="2">
        <f>DATEVALUE("31-5-2013")</f>
        <v>41425</v>
      </c>
    </row>
    <row r="8464" spans="1:6" x14ac:dyDescent="0.25">
      <c r="A8464" s="1" t="s">
        <v>1172</v>
      </c>
      <c r="B8464" s="1" t="s">
        <v>2661</v>
      </c>
      <c r="C8464" s="1" t="s">
        <v>22</v>
      </c>
      <c r="D8464" s="3">
        <f>VALUE("7315")</f>
        <v>7315</v>
      </c>
      <c r="E8464" s="2">
        <f>DATEVALUE("1-3-2013")</f>
        <v>41334</v>
      </c>
      <c r="F8464" s="2">
        <f>DATEVALUE("31-5-2013")</f>
        <v>41425</v>
      </c>
    </row>
    <row r="8465" spans="1:6" x14ac:dyDescent="0.25">
      <c r="A8465" s="1" t="s">
        <v>1172</v>
      </c>
      <c r="B8465" s="1" t="s">
        <v>2703</v>
      </c>
      <c r="C8465" s="1" t="s">
        <v>2704</v>
      </c>
      <c r="D8465" s="3">
        <f t="shared" ref="D8465:D8478" si="1296">VALUE("7429")</f>
        <v>7429</v>
      </c>
      <c r="E8465" s="2">
        <f t="shared" ref="E8465:E8478" si="1297">DATEVALUE("1-12-2012")</f>
        <v>41244</v>
      </c>
      <c r="F8465" s="2">
        <f t="shared" ref="F8465:F8478" si="1298">DATEVALUE("30-6-2013")</f>
        <v>41455</v>
      </c>
    </row>
    <row r="8466" spans="1:6" x14ac:dyDescent="0.25">
      <c r="A8466" s="1" t="s">
        <v>1172</v>
      </c>
      <c r="B8466" s="1" t="s">
        <v>2703</v>
      </c>
      <c r="C8466" s="1" t="s">
        <v>66</v>
      </c>
      <c r="D8466" s="3">
        <f t="shared" si="1296"/>
        <v>7429</v>
      </c>
      <c r="E8466" s="2">
        <f t="shared" si="1297"/>
        <v>41244</v>
      </c>
      <c r="F8466" s="2">
        <f t="shared" si="1298"/>
        <v>41455</v>
      </c>
    </row>
    <row r="8467" spans="1:6" x14ac:dyDescent="0.25">
      <c r="A8467" s="1" t="s">
        <v>1172</v>
      </c>
      <c r="B8467" s="1" t="s">
        <v>2703</v>
      </c>
      <c r="C8467" s="1" t="s">
        <v>15</v>
      </c>
      <c r="D8467" s="3">
        <f t="shared" si="1296"/>
        <v>7429</v>
      </c>
      <c r="E8467" s="2">
        <f t="shared" si="1297"/>
        <v>41244</v>
      </c>
      <c r="F8467" s="2">
        <f t="shared" si="1298"/>
        <v>41455</v>
      </c>
    </row>
    <row r="8468" spans="1:6" x14ac:dyDescent="0.25">
      <c r="A8468" s="1" t="s">
        <v>1172</v>
      </c>
      <c r="B8468" s="1" t="s">
        <v>2703</v>
      </c>
      <c r="C8468" s="1" t="s">
        <v>16</v>
      </c>
      <c r="D8468" s="3">
        <f t="shared" si="1296"/>
        <v>7429</v>
      </c>
      <c r="E8468" s="2">
        <f t="shared" si="1297"/>
        <v>41244</v>
      </c>
      <c r="F8468" s="2">
        <f t="shared" si="1298"/>
        <v>41455</v>
      </c>
    </row>
    <row r="8469" spans="1:6" x14ac:dyDescent="0.25">
      <c r="A8469" s="1" t="s">
        <v>1172</v>
      </c>
      <c r="B8469" s="1" t="s">
        <v>2703</v>
      </c>
      <c r="C8469" s="1" t="s">
        <v>290</v>
      </c>
      <c r="D8469" s="3">
        <f t="shared" si="1296"/>
        <v>7429</v>
      </c>
      <c r="E8469" s="2">
        <f t="shared" si="1297"/>
        <v>41244</v>
      </c>
      <c r="F8469" s="2">
        <f t="shared" si="1298"/>
        <v>41455</v>
      </c>
    </row>
    <row r="8470" spans="1:6" x14ac:dyDescent="0.25">
      <c r="A8470" s="1" t="s">
        <v>1172</v>
      </c>
      <c r="B8470" s="1" t="s">
        <v>2703</v>
      </c>
      <c r="C8470" s="1" t="s">
        <v>89</v>
      </c>
      <c r="D8470" s="3">
        <f t="shared" si="1296"/>
        <v>7429</v>
      </c>
      <c r="E8470" s="2">
        <f t="shared" si="1297"/>
        <v>41244</v>
      </c>
      <c r="F8470" s="2">
        <f t="shared" si="1298"/>
        <v>41455</v>
      </c>
    </row>
    <row r="8471" spans="1:6" x14ac:dyDescent="0.25">
      <c r="A8471" s="1" t="s">
        <v>1172</v>
      </c>
      <c r="B8471" s="1" t="s">
        <v>2703</v>
      </c>
      <c r="C8471" s="1" t="s">
        <v>17</v>
      </c>
      <c r="D8471" s="3">
        <f t="shared" si="1296"/>
        <v>7429</v>
      </c>
      <c r="E8471" s="2">
        <f t="shared" si="1297"/>
        <v>41244</v>
      </c>
      <c r="F8471" s="2">
        <f t="shared" si="1298"/>
        <v>41455</v>
      </c>
    </row>
    <row r="8472" spans="1:6" x14ac:dyDescent="0.25">
      <c r="A8472" s="1" t="s">
        <v>1172</v>
      </c>
      <c r="B8472" s="1" t="s">
        <v>2703</v>
      </c>
      <c r="C8472" s="1" t="s">
        <v>22</v>
      </c>
      <c r="D8472" s="3">
        <f t="shared" si="1296"/>
        <v>7429</v>
      </c>
      <c r="E8472" s="2">
        <f t="shared" si="1297"/>
        <v>41244</v>
      </c>
      <c r="F8472" s="2">
        <f t="shared" si="1298"/>
        <v>41455</v>
      </c>
    </row>
    <row r="8473" spans="1:6" x14ac:dyDescent="0.25">
      <c r="A8473" s="1" t="s">
        <v>1172</v>
      </c>
      <c r="B8473" s="1" t="s">
        <v>2703</v>
      </c>
      <c r="C8473" s="1" t="s">
        <v>27</v>
      </c>
      <c r="D8473" s="3">
        <f t="shared" si="1296"/>
        <v>7429</v>
      </c>
      <c r="E8473" s="2">
        <f t="shared" si="1297"/>
        <v>41244</v>
      </c>
      <c r="F8473" s="2">
        <f t="shared" si="1298"/>
        <v>41455</v>
      </c>
    </row>
    <row r="8474" spans="1:6" x14ac:dyDescent="0.25">
      <c r="A8474" s="1" t="s">
        <v>1172</v>
      </c>
      <c r="B8474" s="1" t="s">
        <v>2703</v>
      </c>
      <c r="C8474" s="1" t="s">
        <v>73</v>
      </c>
      <c r="D8474" s="3">
        <f t="shared" si="1296"/>
        <v>7429</v>
      </c>
      <c r="E8474" s="2">
        <f t="shared" si="1297"/>
        <v>41244</v>
      </c>
      <c r="F8474" s="2">
        <f t="shared" si="1298"/>
        <v>41455</v>
      </c>
    </row>
    <row r="8475" spans="1:6" x14ac:dyDescent="0.25">
      <c r="A8475" s="1" t="s">
        <v>1172</v>
      </c>
      <c r="B8475" s="1" t="s">
        <v>2703</v>
      </c>
      <c r="C8475" s="1" t="s">
        <v>303</v>
      </c>
      <c r="D8475" s="3">
        <f t="shared" si="1296"/>
        <v>7429</v>
      </c>
      <c r="E8475" s="2">
        <f t="shared" si="1297"/>
        <v>41244</v>
      </c>
      <c r="F8475" s="2">
        <f t="shared" si="1298"/>
        <v>41455</v>
      </c>
    </row>
    <row r="8476" spans="1:6" x14ac:dyDescent="0.25">
      <c r="A8476" s="1" t="s">
        <v>1172</v>
      </c>
      <c r="B8476" s="1" t="s">
        <v>2703</v>
      </c>
      <c r="C8476" s="1" t="s">
        <v>161</v>
      </c>
      <c r="D8476" s="3">
        <f t="shared" si="1296"/>
        <v>7429</v>
      </c>
      <c r="E8476" s="2">
        <f t="shared" si="1297"/>
        <v>41244</v>
      </c>
      <c r="F8476" s="2">
        <f t="shared" si="1298"/>
        <v>41455</v>
      </c>
    </row>
    <row r="8477" spans="1:6" x14ac:dyDescent="0.25">
      <c r="A8477" s="1" t="s">
        <v>1172</v>
      </c>
      <c r="B8477" s="1" t="s">
        <v>2703</v>
      </c>
      <c r="C8477" s="1" t="s">
        <v>35</v>
      </c>
      <c r="D8477" s="3">
        <f t="shared" si="1296"/>
        <v>7429</v>
      </c>
      <c r="E8477" s="2">
        <f t="shared" si="1297"/>
        <v>41244</v>
      </c>
      <c r="F8477" s="2">
        <f t="shared" si="1298"/>
        <v>41455</v>
      </c>
    </row>
    <row r="8478" spans="1:6" x14ac:dyDescent="0.25">
      <c r="A8478" s="1" t="s">
        <v>1172</v>
      </c>
      <c r="B8478" s="1" t="s">
        <v>2703</v>
      </c>
      <c r="C8478" s="1" t="s">
        <v>36</v>
      </c>
      <c r="D8478" s="3">
        <f t="shared" si="1296"/>
        <v>7429</v>
      </c>
      <c r="E8478" s="2">
        <f t="shared" si="1297"/>
        <v>41244</v>
      </c>
      <c r="F8478" s="2">
        <f t="shared" si="1298"/>
        <v>41455</v>
      </c>
    </row>
    <row r="8479" spans="1:6" x14ac:dyDescent="0.25">
      <c r="A8479" s="1" t="s">
        <v>1172</v>
      </c>
      <c r="B8479" s="1" t="s">
        <v>2690</v>
      </c>
      <c r="C8479" s="1" t="s">
        <v>347</v>
      </c>
      <c r="D8479" s="3">
        <f>VALUE("7399")</f>
        <v>7399</v>
      </c>
      <c r="E8479" s="2">
        <f>DATEVALUE("1-8-2012")</f>
        <v>41122</v>
      </c>
      <c r="F8479" s="2">
        <f>DATEVALUE("30-9-2012")</f>
        <v>41182</v>
      </c>
    </row>
    <row r="8480" spans="1:6" x14ac:dyDescent="0.25">
      <c r="A8480" s="1" t="s">
        <v>1172</v>
      </c>
      <c r="B8480" s="1" t="s">
        <v>2690</v>
      </c>
      <c r="C8480" s="1" t="s">
        <v>46</v>
      </c>
      <c r="D8480" s="3">
        <f>VALUE("7399")</f>
        <v>7399</v>
      </c>
      <c r="E8480" s="2">
        <f>DATEVALUE("1-8-2012")</f>
        <v>41122</v>
      </c>
      <c r="F8480" s="2">
        <f>DATEVALUE("30-9-2012")</f>
        <v>41182</v>
      </c>
    </row>
    <row r="8481" spans="1:6" x14ac:dyDescent="0.25">
      <c r="A8481" s="1" t="s">
        <v>1172</v>
      </c>
      <c r="B8481" s="1" t="s">
        <v>2690</v>
      </c>
      <c r="C8481" s="1" t="s">
        <v>17</v>
      </c>
      <c r="D8481" s="3">
        <f>VALUE("7399")</f>
        <v>7399</v>
      </c>
      <c r="E8481" s="2">
        <f>DATEVALUE("1-8-2012")</f>
        <v>41122</v>
      </c>
      <c r="F8481" s="2">
        <f>DATEVALUE("30-9-2012")</f>
        <v>41182</v>
      </c>
    </row>
    <row r="8482" spans="1:6" x14ac:dyDescent="0.25">
      <c r="A8482" s="1" t="s">
        <v>1172</v>
      </c>
      <c r="B8482" s="1" t="s">
        <v>2690</v>
      </c>
      <c r="C8482" s="1" t="s">
        <v>349</v>
      </c>
      <c r="D8482" s="3">
        <f>VALUE("7399")</f>
        <v>7399</v>
      </c>
      <c r="E8482" s="2">
        <f>DATEVALUE("1-8-2012")</f>
        <v>41122</v>
      </c>
      <c r="F8482" s="2">
        <f>DATEVALUE("30-9-2012")</f>
        <v>41182</v>
      </c>
    </row>
    <row r="8483" spans="1:6" x14ac:dyDescent="0.25">
      <c r="A8483" s="1" t="s">
        <v>1172</v>
      </c>
      <c r="B8483" s="1" t="s">
        <v>2671</v>
      </c>
      <c r="C8483" s="1" t="s">
        <v>39</v>
      </c>
      <c r="D8483" s="3">
        <f t="shared" ref="D8483:D8489" si="1299">VALUE("7340")</f>
        <v>7340</v>
      </c>
      <c r="E8483" s="2">
        <f t="shared" ref="E8483:E8489" si="1300">DATEVALUE("1-7-2012")</f>
        <v>41091</v>
      </c>
      <c r="F8483" s="2">
        <f t="shared" ref="F8483:F8489" si="1301">DATEVALUE("31-8-2012")</f>
        <v>41152</v>
      </c>
    </row>
    <row r="8484" spans="1:6" x14ac:dyDescent="0.25">
      <c r="A8484" s="1" t="s">
        <v>1172</v>
      </c>
      <c r="B8484" s="1" t="s">
        <v>2671</v>
      </c>
      <c r="C8484" s="1" t="s">
        <v>10</v>
      </c>
      <c r="D8484" s="3">
        <f t="shared" si="1299"/>
        <v>7340</v>
      </c>
      <c r="E8484" s="2">
        <f t="shared" si="1300"/>
        <v>41091</v>
      </c>
      <c r="F8484" s="2">
        <f t="shared" si="1301"/>
        <v>41152</v>
      </c>
    </row>
    <row r="8485" spans="1:6" x14ac:dyDescent="0.25">
      <c r="A8485" s="1" t="s">
        <v>1172</v>
      </c>
      <c r="B8485" s="1" t="s">
        <v>2671</v>
      </c>
      <c r="C8485" s="1" t="s">
        <v>12</v>
      </c>
      <c r="D8485" s="3">
        <f t="shared" si="1299"/>
        <v>7340</v>
      </c>
      <c r="E8485" s="2">
        <f t="shared" si="1300"/>
        <v>41091</v>
      </c>
      <c r="F8485" s="2">
        <f t="shared" si="1301"/>
        <v>41152</v>
      </c>
    </row>
    <row r="8486" spans="1:6" x14ac:dyDescent="0.25">
      <c r="A8486" s="1" t="s">
        <v>1172</v>
      </c>
      <c r="B8486" s="1" t="s">
        <v>2671</v>
      </c>
      <c r="C8486" s="1" t="s">
        <v>347</v>
      </c>
      <c r="D8486" s="3">
        <f t="shared" si="1299"/>
        <v>7340</v>
      </c>
      <c r="E8486" s="2">
        <f t="shared" si="1300"/>
        <v>41091</v>
      </c>
      <c r="F8486" s="2">
        <f t="shared" si="1301"/>
        <v>41152</v>
      </c>
    </row>
    <row r="8487" spans="1:6" x14ac:dyDescent="0.25">
      <c r="A8487" s="1" t="s">
        <v>1172</v>
      </c>
      <c r="B8487" s="1" t="s">
        <v>2671</v>
      </c>
      <c r="C8487" s="1" t="s">
        <v>27</v>
      </c>
      <c r="D8487" s="3">
        <f t="shared" si="1299"/>
        <v>7340</v>
      </c>
      <c r="E8487" s="2">
        <f t="shared" si="1300"/>
        <v>41091</v>
      </c>
      <c r="F8487" s="2">
        <f t="shared" si="1301"/>
        <v>41152</v>
      </c>
    </row>
    <row r="8488" spans="1:6" x14ac:dyDescent="0.25">
      <c r="A8488" s="1" t="s">
        <v>1172</v>
      </c>
      <c r="B8488" s="1" t="s">
        <v>2671</v>
      </c>
      <c r="C8488" s="1" t="s">
        <v>262</v>
      </c>
      <c r="D8488" s="3">
        <f t="shared" si="1299"/>
        <v>7340</v>
      </c>
      <c r="E8488" s="2">
        <f t="shared" si="1300"/>
        <v>41091</v>
      </c>
      <c r="F8488" s="2">
        <f t="shared" si="1301"/>
        <v>41152</v>
      </c>
    </row>
    <row r="8489" spans="1:6" x14ac:dyDescent="0.25">
      <c r="A8489" s="1" t="s">
        <v>1172</v>
      </c>
      <c r="B8489" s="1" t="s">
        <v>2671</v>
      </c>
      <c r="C8489" s="1" t="s">
        <v>1874</v>
      </c>
      <c r="D8489" s="3">
        <f t="shared" si="1299"/>
        <v>7340</v>
      </c>
      <c r="E8489" s="2">
        <f t="shared" si="1300"/>
        <v>41091</v>
      </c>
      <c r="F8489" s="2">
        <f t="shared" si="1301"/>
        <v>41152</v>
      </c>
    </row>
    <row r="8490" spans="1:6" x14ac:dyDescent="0.25">
      <c r="A8490" s="1" t="s">
        <v>1172</v>
      </c>
      <c r="B8490" s="1" t="s">
        <v>2649</v>
      </c>
      <c r="C8490" s="1" t="s">
        <v>27</v>
      </c>
      <c r="D8490" s="3">
        <f>VALUE("7292")</f>
        <v>7292</v>
      </c>
      <c r="E8490" s="2">
        <f>DATEVALUE("1-3-2012")</f>
        <v>40969</v>
      </c>
      <c r="F8490" s="2">
        <f>DATEVALUE("31-7-2012")</f>
        <v>41121</v>
      </c>
    </row>
    <row r="8491" spans="1:6" x14ac:dyDescent="0.25">
      <c r="A8491" s="1" t="s">
        <v>1172</v>
      </c>
      <c r="B8491" s="1" t="s">
        <v>2649</v>
      </c>
      <c r="C8491" s="1" t="s">
        <v>262</v>
      </c>
      <c r="D8491" s="3">
        <f>VALUE("7292")</f>
        <v>7292</v>
      </c>
      <c r="E8491" s="2">
        <f>DATEVALUE("1-3-2012")</f>
        <v>40969</v>
      </c>
      <c r="F8491" s="2">
        <f>DATEVALUE("31-7-2012")</f>
        <v>41121</v>
      </c>
    </row>
    <row r="8492" spans="1:6" x14ac:dyDescent="0.25">
      <c r="A8492" s="1" t="s">
        <v>1172</v>
      </c>
      <c r="B8492" s="1" t="s">
        <v>2613</v>
      </c>
      <c r="C8492" s="1" t="s">
        <v>80</v>
      </c>
      <c r="D8492" s="3">
        <f t="shared" ref="D8492:D8515" si="1302">VALUE("7217")</f>
        <v>7217</v>
      </c>
      <c r="E8492" s="2">
        <f t="shared" ref="E8492:E8515" si="1303">DATEVALUE("1-8-2011")</f>
        <v>40756</v>
      </c>
      <c r="F8492" s="2">
        <f t="shared" ref="F8492:F8515" si="1304">DATEVALUE("30-11-2012")</f>
        <v>41243</v>
      </c>
    </row>
    <row r="8493" spans="1:6" x14ac:dyDescent="0.25">
      <c r="A8493" s="1" t="s">
        <v>1172</v>
      </c>
      <c r="B8493" s="1" t="s">
        <v>2613</v>
      </c>
      <c r="C8493" s="1" t="s">
        <v>39</v>
      </c>
      <c r="D8493" s="3">
        <f t="shared" si="1302"/>
        <v>7217</v>
      </c>
      <c r="E8493" s="2">
        <f t="shared" si="1303"/>
        <v>40756</v>
      </c>
      <c r="F8493" s="2">
        <f t="shared" si="1304"/>
        <v>41243</v>
      </c>
    </row>
    <row r="8494" spans="1:6" x14ac:dyDescent="0.25">
      <c r="A8494" s="1" t="s">
        <v>1172</v>
      </c>
      <c r="B8494" s="1" t="s">
        <v>2613</v>
      </c>
      <c r="C8494" s="1" t="s">
        <v>60</v>
      </c>
      <c r="D8494" s="3">
        <f t="shared" si="1302"/>
        <v>7217</v>
      </c>
      <c r="E8494" s="2">
        <f t="shared" si="1303"/>
        <v>40756</v>
      </c>
      <c r="F8494" s="2">
        <f t="shared" si="1304"/>
        <v>41243</v>
      </c>
    </row>
    <row r="8495" spans="1:6" x14ac:dyDescent="0.25">
      <c r="A8495" s="1" t="s">
        <v>1172</v>
      </c>
      <c r="B8495" s="1" t="s">
        <v>2613</v>
      </c>
      <c r="C8495" s="1" t="s">
        <v>82</v>
      </c>
      <c r="D8495" s="3">
        <f t="shared" si="1302"/>
        <v>7217</v>
      </c>
      <c r="E8495" s="2">
        <f t="shared" si="1303"/>
        <v>40756</v>
      </c>
      <c r="F8495" s="2">
        <f t="shared" si="1304"/>
        <v>41243</v>
      </c>
    </row>
    <row r="8496" spans="1:6" x14ac:dyDescent="0.25">
      <c r="A8496" s="1" t="s">
        <v>1172</v>
      </c>
      <c r="B8496" s="1" t="s">
        <v>2613</v>
      </c>
      <c r="C8496" s="1" t="s">
        <v>8</v>
      </c>
      <c r="D8496" s="3">
        <f t="shared" si="1302"/>
        <v>7217</v>
      </c>
      <c r="E8496" s="2">
        <f t="shared" si="1303"/>
        <v>40756</v>
      </c>
      <c r="F8496" s="2">
        <f t="shared" si="1304"/>
        <v>41243</v>
      </c>
    </row>
    <row r="8497" spans="1:6" x14ac:dyDescent="0.25">
      <c r="A8497" s="1" t="s">
        <v>1172</v>
      </c>
      <c r="B8497" s="1" t="s">
        <v>2613</v>
      </c>
      <c r="C8497" s="1" t="s">
        <v>10</v>
      </c>
      <c r="D8497" s="3">
        <f t="shared" si="1302"/>
        <v>7217</v>
      </c>
      <c r="E8497" s="2">
        <f t="shared" si="1303"/>
        <v>40756</v>
      </c>
      <c r="F8497" s="2">
        <f t="shared" si="1304"/>
        <v>41243</v>
      </c>
    </row>
    <row r="8498" spans="1:6" x14ac:dyDescent="0.25">
      <c r="A8498" s="1" t="s">
        <v>1172</v>
      </c>
      <c r="B8498" s="1" t="s">
        <v>2613</v>
      </c>
      <c r="C8498" s="1" t="s">
        <v>11</v>
      </c>
      <c r="D8498" s="3">
        <f t="shared" si="1302"/>
        <v>7217</v>
      </c>
      <c r="E8498" s="2">
        <f t="shared" si="1303"/>
        <v>40756</v>
      </c>
      <c r="F8498" s="2">
        <f t="shared" si="1304"/>
        <v>41243</v>
      </c>
    </row>
    <row r="8499" spans="1:6" x14ac:dyDescent="0.25">
      <c r="A8499" s="1" t="s">
        <v>1172</v>
      </c>
      <c r="B8499" s="1" t="s">
        <v>2613</v>
      </c>
      <c r="C8499" s="1" t="s">
        <v>12</v>
      </c>
      <c r="D8499" s="3">
        <f t="shared" si="1302"/>
        <v>7217</v>
      </c>
      <c r="E8499" s="2">
        <f t="shared" si="1303"/>
        <v>40756</v>
      </c>
      <c r="F8499" s="2">
        <f t="shared" si="1304"/>
        <v>41243</v>
      </c>
    </row>
    <row r="8500" spans="1:6" x14ac:dyDescent="0.25">
      <c r="A8500" s="1" t="s">
        <v>1172</v>
      </c>
      <c r="B8500" s="1" t="s">
        <v>2613</v>
      </c>
      <c r="C8500" s="1" t="s">
        <v>83</v>
      </c>
      <c r="D8500" s="3">
        <f t="shared" si="1302"/>
        <v>7217</v>
      </c>
      <c r="E8500" s="2">
        <f t="shared" si="1303"/>
        <v>40756</v>
      </c>
      <c r="F8500" s="2">
        <f t="shared" si="1304"/>
        <v>41243</v>
      </c>
    </row>
    <row r="8501" spans="1:6" x14ac:dyDescent="0.25">
      <c r="A8501" s="1" t="s">
        <v>1172</v>
      </c>
      <c r="B8501" s="1" t="s">
        <v>2613</v>
      </c>
      <c r="C8501" s="1" t="s">
        <v>43</v>
      </c>
      <c r="D8501" s="3">
        <f t="shared" si="1302"/>
        <v>7217</v>
      </c>
      <c r="E8501" s="2">
        <f t="shared" si="1303"/>
        <v>40756</v>
      </c>
      <c r="F8501" s="2">
        <f t="shared" si="1304"/>
        <v>41243</v>
      </c>
    </row>
    <row r="8502" spans="1:6" x14ac:dyDescent="0.25">
      <c r="A8502" s="1" t="s">
        <v>1172</v>
      </c>
      <c r="B8502" s="1" t="s">
        <v>2613</v>
      </c>
      <c r="C8502" s="1" t="s">
        <v>25</v>
      </c>
      <c r="D8502" s="3">
        <f t="shared" si="1302"/>
        <v>7217</v>
      </c>
      <c r="E8502" s="2">
        <f t="shared" si="1303"/>
        <v>40756</v>
      </c>
      <c r="F8502" s="2">
        <f t="shared" si="1304"/>
        <v>41243</v>
      </c>
    </row>
    <row r="8503" spans="1:6" x14ac:dyDescent="0.25">
      <c r="A8503" s="1" t="s">
        <v>1172</v>
      </c>
      <c r="B8503" s="1" t="s">
        <v>2613</v>
      </c>
      <c r="C8503" s="1" t="s">
        <v>98</v>
      </c>
      <c r="D8503" s="3">
        <f t="shared" si="1302"/>
        <v>7217</v>
      </c>
      <c r="E8503" s="2">
        <f t="shared" si="1303"/>
        <v>40756</v>
      </c>
      <c r="F8503" s="2">
        <f t="shared" si="1304"/>
        <v>41243</v>
      </c>
    </row>
    <row r="8504" spans="1:6" x14ac:dyDescent="0.25">
      <c r="A8504" s="1" t="s">
        <v>1172</v>
      </c>
      <c r="B8504" s="1" t="s">
        <v>2613</v>
      </c>
      <c r="C8504" s="1" t="s">
        <v>99</v>
      </c>
      <c r="D8504" s="3">
        <f t="shared" si="1302"/>
        <v>7217</v>
      </c>
      <c r="E8504" s="2">
        <f t="shared" si="1303"/>
        <v>40756</v>
      </c>
      <c r="F8504" s="2">
        <f t="shared" si="1304"/>
        <v>41243</v>
      </c>
    </row>
    <row r="8505" spans="1:6" x14ac:dyDescent="0.25">
      <c r="A8505" s="1" t="s">
        <v>1172</v>
      </c>
      <c r="B8505" s="1" t="s">
        <v>2613</v>
      </c>
      <c r="C8505" s="1" t="s">
        <v>26</v>
      </c>
      <c r="D8505" s="3">
        <f t="shared" si="1302"/>
        <v>7217</v>
      </c>
      <c r="E8505" s="2">
        <f t="shared" si="1303"/>
        <v>40756</v>
      </c>
      <c r="F8505" s="2">
        <f t="shared" si="1304"/>
        <v>41243</v>
      </c>
    </row>
    <row r="8506" spans="1:6" x14ac:dyDescent="0.25">
      <c r="A8506" s="1" t="s">
        <v>1172</v>
      </c>
      <c r="B8506" s="1" t="s">
        <v>2613</v>
      </c>
      <c r="C8506" s="1" t="s">
        <v>71</v>
      </c>
      <c r="D8506" s="3">
        <f t="shared" si="1302"/>
        <v>7217</v>
      </c>
      <c r="E8506" s="2">
        <f t="shared" si="1303"/>
        <v>40756</v>
      </c>
      <c r="F8506" s="2">
        <f t="shared" si="1304"/>
        <v>41243</v>
      </c>
    </row>
    <row r="8507" spans="1:6" x14ac:dyDescent="0.25">
      <c r="A8507" s="1" t="s">
        <v>1172</v>
      </c>
      <c r="B8507" s="1" t="s">
        <v>2613</v>
      </c>
      <c r="C8507" s="1" t="s">
        <v>100</v>
      </c>
      <c r="D8507" s="3">
        <f t="shared" si="1302"/>
        <v>7217</v>
      </c>
      <c r="E8507" s="2">
        <f t="shared" si="1303"/>
        <v>40756</v>
      </c>
      <c r="F8507" s="2">
        <f t="shared" si="1304"/>
        <v>41243</v>
      </c>
    </row>
    <row r="8508" spans="1:6" x14ac:dyDescent="0.25">
      <c r="A8508" s="1" t="s">
        <v>1172</v>
      </c>
      <c r="B8508" s="1" t="s">
        <v>2613</v>
      </c>
      <c r="C8508" s="1" t="s">
        <v>105</v>
      </c>
      <c r="D8508" s="3">
        <f t="shared" si="1302"/>
        <v>7217</v>
      </c>
      <c r="E8508" s="2">
        <f t="shared" si="1303"/>
        <v>40756</v>
      </c>
      <c r="F8508" s="2">
        <f t="shared" si="1304"/>
        <v>41243</v>
      </c>
    </row>
    <row r="8509" spans="1:6" x14ac:dyDescent="0.25">
      <c r="A8509" s="1" t="s">
        <v>1172</v>
      </c>
      <c r="B8509" s="1" t="s">
        <v>2613</v>
      </c>
      <c r="C8509" s="1" t="s">
        <v>106</v>
      </c>
      <c r="D8509" s="3">
        <f t="shared" si="1302"/>
        <v>7217</v>
      </c>
      <c r="E8509" s="2">
        <f t="shared" si="1303"/>
        <v>40756</v>
      </c>
      <c r="F8509" s="2">
        <f t="shared" si="1304"/>
        <v>41243</v>
      </c>
    </row>
    <row r="8510" spans="1:6" x14ac:dyDescent="0.25">
      <c r="A8510" s="1" t="s">
        <v>1172</v>
      </c>
      <c r="B8510" s="1" t="s">
        <v>2613</v>
      </c>
      <c r="C8510" s="1" t="s">
        <v>32</v>
      </c>
      <c r="D8510" s="3">
        <f t="shared" si="1302"/>
        <v>7217</v>
      </c>
      <c r="E8510" s="2">
        <f t="shared" si="1303"/>
        <v>40756</v>
      </c>
      <c r="F8510" s="2">
        <f t="shared" si="1304"/>
        <v>41243</v>
      </c>
    </row>
    <row r="8511" spans="1:6" x14ac:dyDescent="0.25">
      <c r="A8511" s="1" t="s">
        <v>1172</v>
      </c>
      <c r="B8511" s="1" t="s">
        <v>2613</v>
      </c>
      <c r="C8511" s="1" t="s">
        <v>113</v>
      </c>
      <c r="D8511" s="3">
        <f t="shared" si="1302"/>
        <v>7217</v>
      </c>
      <c r="E8511" s="2">
        <f t="shared" si="1303"/>
        <v>40756</v>
      </c>
      <c r="F8511" s="2">
        <f t="shared" si="1304"/>
        <v>41243</v>
      </c>
    </row>
    <row r="8512" spans="1:6" x14ac:dyDescent="0.25">
      <c r="A8512" s="1" t="s">
        <v>1172</v>
      </c>
      <c r="B8512" s="1" t="s">
        <v>2613</v>
      </c>
      <c r="C8512" s="1" t="s">
        <v>33</v>
      </c>
      <c r="D8512" s="3">
        <f t="shared" si="1302"/>
        <v>7217</v>
      </c>
      <c r="E8512" s="2">
        <f t="shared" si="1303"/>
        <v>40756</v>
      </c>
      <c r="F8512" s="2">
        <f t="shared" si="1304"/>
        <v>41243</v>
      </c>
    </row>
    <row r="8513" spans="1:6" x14ac:dyDescent="0.25">
      <c r="A8513" s="1" t="s">
        <v>1172</v>
      </c>
      <c r="B8513" s="1" t="s">
        <v>2613</v>
      </c>
      <c r="C8513" s="1" t="s">
        <v>116</v>
      </c>
      <c r="D8513" s="3">
        <f t="shared" si="1302"/>
        <v>7217</v>
      </c>
      <c r="E8513" s="2">
        <f t="shared" si="1303"/>
        <v>40756</v>
      </c>
      <c r="F8513" s="2">
        <f t="shared" si="1304"/>
        <v>41243</v>
      </c>
    </row>
    <row r="8514" spans="1:6" x14ac:dyDescent="0.25">
      <c r="A8514" s="1" t="s">
        <v>1172</v>
      </c>
      <c r="B8514" s="1" t="s">
        <v>2613</v>
      </c>
      <c r="C8514" s="1" t="s">
        <v>57</v>
      </c>
      <c r="D8514" s="3">
        <f t="shared" si="1302"/>
        <v>7217</v>
      </c>
      <c r="E8514" s="2">
        <f t="shared" si="1303"/>
        <v>40756</v>
      </c>
      <c r="F8514" s="2">
        <f t="shared" si="1304"/>
        <v>41243</v>
      </c>
    </row>
    <row r="8515" spans="1:6" x14ac:dyDescent="0.25">
      <c r="A8515" s="1" t="s">
        <v>1172</v>
      </c>
      <c r="B8515" s="1" t="s">
        <v>2613</v>
      </c>
      <c r="C8515" s="1" t="s">
        <v>36</v>
      </c>
      <c r="D8515" s="3">
        <f t="shared" si="1302"/>
        <v>7217</v>
      </c>
      <c r="E8515" s="2">
        <f t="shared" si="1303"/>
        <v>40756</v>
      </c>
      <c r="F8515" s="2">
        <f t="shared" si="1304"/>
        <v>41243</v>
      </c>
    </row>
    <row r="8516" spans="1:6" x14ac:dyDescent="0.25">
      <c r="A8516" s="1" t="s">
        <v>1338</v>
      </c>
      <c r="B8516" s="1" t="s">
        <v>1337</v>
      </c>
      <c r="C8516" s="1" t="s">
        <v>1339</v>
      </c>
      <c r="D8516" s="3">
        <f>VALUE("8570")</f>
        <v>8570</v>
      </c>
      <c r="E8516" s="2">
        <f>DATEVALUE("1-7-2019")</f>
        <v>43647</v>
      </c>
      <c r="F8516" s="2">
        <f>DATEVALUE("30-9-2020")</f>
        <v>44104</v>
      </c>
    </row>
    <row r="8517" spans="1:6" x14ac:dyDescent="0.25">
      <c r="A8517" s="1" t="s">
        <v>1338</v>
      </c>
      <c r="B8517" s="1" t="s">
        <v>1337</v>
      </c>
      <c r="C8517" s="1" t="s">
        <v>43</v>
      </c>
      <c r="D8517" s="3">
        <f>VALUE("8570")</f>
        <v>8570</v>
      </c>
      <c r="E8517" s="2">
        <f>DATEVALUE("1-7-2019")</f>
        <v>43647</v>
      </c>
      <c r="F8517" s="2">
        <f>DATEVALUE("30-9-2020")</f>
        <v>44104</v>
      </c>
    </row>
    <row r="8518" spans="1:6" x14ac:dyDescent="0.25">
      <c r="A8518" s="1" t="s">
        <v>1338</v>
      </c>
      <c r="B8518" s="1" t="s">
        <v>1337</v>
      </c>
      <c r="C8518" s="1" t="s">
        <v>16</v>
      </c>
      <c r="D8518" s="3">
        <f>VALUE("8570")</f>
        <v>8570</v>
      </c>
      <c r="E8518" s="2">
        <f>DATEVALUE("1-7-2019")</f>
        <v>43647</v>
      </c>
      <c r="F8518" s="2">
        <f>DATEVALUE("30-9-2020")</f>
        <v>44104</v>
      </c>
    </row>
    <row r="8519" spans="1:6" x14ac:dyDescent="0.25">
      <c r="A8519" s="1" t="s">
        <v>1338</v>
      </c>
      <c r="B8519" s="1" t="s">
        <v>1337</v>
      </c>
      <c r="C8519" s="1" t="s">
        <v>1340</v>
      </c>
      <c r="D8519" s="3">
        <f>VALUE("8570")</f>
        <v>8570</v>
      </c>
      <c r="E8519" s="2">
        <f>DATEVALUE("1-7-2019")</f>
        <v>43647</v>
      </c>
      <c r="F8519" s="2">
        <f>DATEVALUE("30-9-2020")</f>
        <v>44104</v>
      </c>
    </row>
    <row r="8520" spans="1:6" x14ac:dyDescent="0.25">
      <c r="A8520" s="1" t="s">
        <v>1338</v>
      </c>
      <c r="B8520" s="1" t="s">
        <v>1337</v>
      </c>
      <c r="C8520" s="1" t="s">
        <v>70</v>
      </c>
      <c r="D8520" s="3">
        <f>VALUE("8570")</f>
        <v>8570</v>
      </c>
      <c r="E8520" s="2">
        <f>DATEVALUE("1-7-2019")</f>
        <v>43647</v>
      </c>
      <c r="F8520" s="2">
        <f>DATEVALUE("30-9-2020")</f>
        <v>44104</v>
      </c>
    </row>
    <row r="8521" spans="1:6" x14ac:dyDescent="0.25">
      <c r="A8521" s="1" t="s">
        <v>1820</v>
      </c>
      <c r="B8521" s="1" t="s">
        <v>1819</v>
      </c>
      <c r="C8521" s="1" t="s">
        <v>140</v>
      </c>
      <c r="D8521" s="3">
        <f t="shared" ref="D8521:D8530" si="1305">VALUE("8574")</f>
        <v>8574</v>
      </c>
      <c r="E8521" s="2">
        <f t="shared" ref="E8521:E8530" si="1306">DATEVALUE("1-8-2019")</f>
        <v>43678</v>
      </c>
      <c r="F8521" s="2">
        <f t="shared" ref="F8521:F8530" si="1307">DATEVALUE("30-6-2020")</f>
        <v>44012</v>
      </c>
    </row>
    <row r="8522" spans="1:6" x14ac:dyDescent="0.25">
      <c r="A8522" s="1" t="s">
        <v>1820</v>
      </c>
      <c r="B8522" s="1" t="s">
        <v>1819</v>
      </c>
      <c r="C8522" s="1" t="s">
        <v>14</v>
      </c>
      <c r="D8522" s="3">
        <f t="shared" si="1305"/>
        <v>8574</v>
      </c>
      <c r="E8522" s="2">
        <f t="shared" si="1306"/>
        <v>43678</v>
      </c>
      <c r="F8522" s="2">
        <f t="shared" si="1307"/>
        <v>44012</v>
      </c>
    </row>
    <row r="8523" spans="1:6" x14ac:dyDescent="0.25">
      <c r="A8523" s="1" t="s">
        <v>1820</v>
      </c>
      <c r="B8523" s="1" t="s">
        <v>1819</v>
      </c>
      <c r="C8523" s="1" t="s">
        <v>15</v>
      </c>
      <c r="D8523" s="3">
        <f t="shared" si="1305"/>
        <v>8574</v>
      </c>
      <c r="E8523" s="2">
        <f t="shared" si="1306"/>
        <v>43678</v>
      </c>
      <c r="F8523" s="2">
        <f t="shared" si="1307"/>
        <v>44012</v>
      </c>
    </row>
    <row r="8524" spans="1:6" x14ac:dyDescent="0.25">
      <c r="A8524" s="1" t="s">
        <v>1820</v>
      </c>
      <c r="B8524" s="1" t="s">
        <v>1819</v>
      </c>
      <c r="C8524" s="1" t="s">
        <v>17</v>
      </c>
      <c r="D8524" s="3">
        <f t="shared" si="1305"/>
        <v>8574</v>
      </c>
      <c r="E8524" s="2">
        <f t="shared" si="1306"/>
        <v>43678</v>
      </c>
      <c r="F8524" s="2">
        <f t="shared" si="1307"/>
        <v>44012</v>
      </c>
    </row>
    <row r="8525" spans="1:6" x14ac:dyDescent="0.25">
      <c r="A8525" s="1" t="s">
        <v>1820</v>
      </c>
      <c r="B8525" s="1" t="s">
        <v>1819</v>
      </c>
      <c r="C8525" s="1" t="s">
        <v>22</v>
      </c>
      <c r="D8525" s="3">
        <f t="shared" si="1305"/>
        <v>8574</v>
      </c>
      <c r="E8525" s="2">
        <f t="shared" si="1306"/>
        <v>43678</v>
      </c>
      <c r="F8525" s="2">
        <f t="shared" si="1307"/>
        <v>44012</v>
      </c>
    </row>
    <row r="8526" spans="1:6" x14ac:dyDescent="0.25">
      <c r="A8526" s="1" t="s">
        <v>1820</v>
      </c>
      <c r="B8526" s="1" t="s">
        <v>1819</v>
      </c>
      <c r="C8526" s="1" t="s">
        <v>146</v>
      </c>
      <c r="D8526" s="3">
        <f t="shared" si="1305"/>
        <v>8574</v>
      </c>
      <c r="E8526" s="2">
        <f t="shared" si="1306"/>
        <v>43678</v>
      </c>
      <c r="F8526" s="2">
        <f t="shared" si="1307"/>
        <v>44012</v>
      </c>
    </row>
    <row r="8527" spans="1:6" x14ac:dyDescent="0.25">
      <c r="A8527" s="1" t="s">
        <v>1820</v>
      </c>
      <c r="B8527" s="1" t="s">
        <v>1819</v>
      </c>
      <c r="C8527" s="1" t="s">
        <v>67</v>
      </c>
      <c r="D8527" s="3">
        <f t="shared" si="1305"/>
        <v>8574</v>
      </c>
      <c r="E8527" s="2">
        <f t="shared" si="1306"/>
        <v>43678</v>
      </c>
      <c r="F8527" s="2">
        <f t="shared" si="1307"/>
        <v>44012</v>
      </c>
    </row>
    <row r="8528" spans="1:6" x14ac:dyDescent="0.25">
      <c r="A8528" s="1" t="s">
        <v>1820</v>
      </c>
      <c r="B8528" s="1" t="s">
        <v>1819</v>
      </c>
      <c r="C8528" s="1" t="s">
        <v>24</v>
      </c>
      <c r="D8528" s="3">
        <f t="shared" si="1305"/>
        <v>8574</v>
      </c>
      <c r="E8528" s="2">
        <f t="shared" si="1306"/>
        <v>43678</v>
      </c>
      <c r="F8528" s="2">
        <f t="shared" si="1307"/>
        <v>44012</v>
      </c>
    </row>
    <row r="8529" spans="1:6" x14ac:dyDescent="0.25">
      <c r="A8529" s="1" t="s">
        <v>1820</v>
      </c>
      <c r="B8529" s="1" t="s">
        <v>1819</v>
      </c>
      <c r="C8529" s="1" t="s">
        <v>303</v>
      </c>
      <c r="D8529" s="3">
        <f t="shared" si="1305"/>
        <v>8574</v>
      </c>
      <c r="E8529" s="2">
        <f t="shared" si="1306"/>
        <v>43678</v>
      </c>
      <c r="F8529" s="2">
        <f t="shared" si="1307"/>
        <v>44012</v>
      </c>
    </row>
    <row r="8530" spans="1:6" x14ac:dyDescent="0.25">
      <c r="A8530" s="1" t="s">
        <v>1820</v>
      </c>
      <c r="B8530" s="1" t="s">
        <v>1819</v>
      </c>
      <c r="C8530" s="1" t="s">
        <v>34</v>
      </c>
      <c r="D8530" s="3">
        <f t="shared" si="1305"/>
        <v>8574</v>
      </c>
      <c r="E8530" s="2">
        <f t="shared" si="1306"/>
        <v>43678</v>
      </c>
      <c r="F8530" s="2">
        <f t="shared" si="1307"/>
        <v>44012</v>
      </c>
    </row>
    <row r="8531" spans="1:6" x14ac:dyDescent="0.25">
      <c r="A8531" s="1" t="s">
        <v>962</v>
      </c>
      <c r="B8531" s="1" t="s">
        <v>1398</v>
      </c>
      <c r="C8531" s="1" t="s">
        <v>1212</v>
      </c>
      <c r="D8531" s="3">
        <f t="shared" ref="D8531:D8543" si="1308">VALUE("8622")</f>
        <v>8622</v>
      </c>
      <c r="E8531" s="2">
        <f t="shared" ref="E8531:E8543" si="1309">DATEVALUE("1-10-2019")</f>
        <v>43739</v>
      </c>
      <c r="F8531" s="2">
        <f t="shared" ref="F8531:F8560" si="1310">DATEVALUE("31-12-2020")</f>
        <v>44196</v>
      </c>
    </row>
    <row r="8532" spans="1:6" x14ac:dyDescent="0.25">
      <c r="A8532" s="1" t="s">
        <v>962</v>
      </c>
      <c r="B8532" s="1" t="s">
        <v>1398</v>
      </c>
      <c r="C8532" s="1" t="s">
        <v>1213</v>
      </c>
      <c r="D8532" s="3">
        <f t="shared" si="1308"/>
        <v>8622</v>
      </c>
      <c r="E8532" s="2">
        <f t="shared" si="1309"/>
        <v>43739</v>
      </c>
      <c r="F8532" s="2">
        <f t="shared" si="1310"/>
        <v>44196</v>
      </c>
    </row>
    <row r="8533" spans="1:6" x14ac:dyDescent="0.25">
      <c r="A8533" s="1" t="s">
        <v>962</v>
      </c>
      <c r="B8533" s="1" t="s">
        <v>1398</v>
      </c>
      <c r="C8533" s="1" t="s">
        <v>1214</v>
      </c>
      <c r="D8533" s="3">
        <f t="shared" si="1308"/>
        <v>8622</v>
      </c>
      <c r="E8533" s="2">
        <f t="shared" si="1309"/>
        <v>43739</v>
      </c>
      <c r="F8533" s="2">
        <f t="shared" si="1310"/>
        <v>44196</v>
      </c>
    </row>
    <row r="8534" spans="1:6" x14ac:dyDescent="0.25">
      <c r="A8534" s="1" t="s">
        <v>962</v>
      </c>
      <c r="B8534" s="1" t="s">
        <v>1398</v>
      </c>
      <c r="C8534" s="1" t="s">
        <v>62</v>
      </c>
      <c r="D8534" s="3">
        <f t="shared" si="1308"/>
        <v>8622</v>
      </c>
      <c r="E8534" s="2">
        <f t="shared" si="1309"/>
        <v>43739</v>
      </c>
      <c r="F8534" s="2">
        <f t="shared" si="1310"/>
        <v>44196</v>
      </c>
    </row>
    <row r="8535" spans="1:6" x14ac:dyDescent="0.25">
      <c r="A8535" s="1" t="s">
        <v>962</v>
      </c>
      <c r="B8535" s="1" t="s">
        <v>1398</v>
      </c>
      <c r="C8535" s="1" t="s">
        <v>63</v>
      </c>
      <c r="D8535" s="3">
        <f t="shared" si="1308"/>
        <v>8622</v>
      </c>
      <c r="E8535" s="2">
        <f t="shared" si="1309"/>
        <v>43739</v>
      </c>
      <c r="F8535" s="2">
        <f t="shared" si="1310"/>
        <v>44196</v>
      </c>
    </row>
    <row r="8536" spans="1:6" x14ac:dyDescent="0.25">
      <c r="A8536" s="1" t="s">
        <v>962</v>
      </c>
      <c r="B8536" s="1" t="s">
        <v>1398</v>
      </c>
      <c r="C8536" s="1" t="s">
        <v>65</v>
      </c>
      <c r="D8536" s="3">
        <f t="shared" si="1308"/>
        <v>8622</v>
      </c>
      <c r="E8536" s="2">
        <f t="shared" si="1309"/>
        <v>43739</v>
      </c>
      <c r="F8536" s="2">
        <f t="shared" si="1310"/>
        <v>44196</v>
      </c>
    </row>
    <row r="8537" spans="1:6" x14ac:dyDescent="0.25">
      <c r="A8537" s="1" t="s">
        <v>962</v>
      </c>
      <c r="B8537" s="1" t="s">
        <v>1398</v>
      </c>
      <c r="C8537" s="1" t="s">
        <v>16</v>
      </c>
      <c r="D8537" s="3">
        <f t="shared" si="1308"/>
        <v>8622</v>
      </c>
      <c r="E8537" s="2">
        <f t="shared" si="1309"/>
        <v>43739</v>
      </c>
      <c r="F8537" s="2">
        <f t="shared" si="1310"/>
        <v>44196</v>
      </c>
    </row>
    <row r="8538" spans="1:6" x14ac:dyDescent="0.25">
      <c r="A8538" s="1" t="s">
        <v>962</v>
      </c>
      <c r="B8538" s="1" t="s">
        <v>1398</v>
      </c>
      <c r="C8538" s="1" t="s">
        <v>17</v>
      </c>
      <c r="D8538" s="3">
        <f t="shared" si="1308"/>
        <v>8622</v>
      </c>
      <c r="E8538" s="2">
        <f t="shared" si="1309"/>
        <v>43739</v>
      </c>
      <c r="F8538" s="2">
        <f t="shared" si="1310"/>
        <v>44196</v>
      </c>
    </row>
    <row r="8539" spans="1:6" x14ac:dyDescent="0.25">
      <c r="A8539" s="1" t="s">
        <v>962</v>
      </c>
      <c r="B8539" s="1" t="s">
        <v>1398</v>
      </c>
      <c r="C8539" s="1" t="s">
        <v>22</v>
      </c>
      <c r="D8539" s="3">
        <f t="shared" si="1308"/>
        <v>8622</v>
      </c>
      <c r="E8539" s="2">
        <f t="shared" si="1309"/>
        <v>43739</v>
      </c>
      <c r="F8539" s="2">
        <f t="shared" si="1310"/>
        <v>44196</v>
      </c>
    </row>
    <row r="8540" spans="1:6" x14ac:dyDescent="0.25">
      <c r="A8540" s="1" t="s">
        <v>962</v>
      </c>
      <c r="B8540" s="1" t="s">
        <v>1398</v>
      </c>
      <c r="C8540" s="1" t="s">
        <v>67</v>
      </c>
      <c r="D8540" s="3">
        <f t="shared" si="1308"/>
        <v>8622</v>
      </c>
      <c r="E8540" s="2">
        <f t="shared" si="1309"/>
        <v>43739</v>
      </c>
      <c r="F8540" s="2">
        <f t="shared" si="1310"/>
        <v>44196</v>
      </c>
    </row>
    <row r="8541" spans="1:6" x14ac:dyDescent="0.25">
      <c r="A8541" s="1" t="s">
        <v>962</v>
      </c>
      <c r="B8541" s="1" t="s">
        <v>1398</v>
      </c>
      <c r="C8541" s="1" t="s">
        <v>92</v>
      </c>
      <c r="D8541" s="3">
        <f t="shared" si="1308"/>
        <v>8622</v>
      </c>
      <c r="E8541" s="2">
        <f t="shared" si="1309"/>
        <v>43739</v>
      </c>
      <c r="F8541" s="2">
        <f t="shared" si="1310"/>
        <v>44196</v>
      </c>
    </row>
    <row r="8542" spans="1:6" x14ac:dyDescent="0.25">
      <c r="A8542" s="1" t="s">
        <v>962</v>
      </c>
      <c r="B8542" s="1" t="s">
        <v>1398</v>
      </c>
      <c r="C8542" s="1" t="s">
        <v>50</v>
      </c>
      <c r="D8542" s="3">
        <f t="shared" si="1308"/>
        <v>8622</v>
      </c>
      <c r="E8542" s="2">
        <f t="shared" si="1309"/>
        <v>43739</v>
      </c>
      <c r="F8542" s="2">
        <f t="shared" si="1310"/>
        <v>44196</v>
      </c>
    </row>
    <row r="8543" spans="1:6" x14ac:dyDescent="0.25">
      <c r="A8543" s="1" t="s">
        <v>962</v>
      </c>
      <c r="B8543" s="1" t="s">
        <v>1398</v>
      </c>
      <c r="C8543" s="1" t="s">
        <v>70</v>
      </c>
      <c r="D8543" s="3">
        <f t="shared" si="1308"/>
        <v>8622</v>
      </c>
      <c r="E8543" s="2">
        <f t="shared" si="1309"/>
        <v>43739</v>
      </c>
      <c r="F8543" s="2">
        <f t="shared" si="1310"/>
        <v>44196</v>
      </c>
    </row>
    <row r="8544" spans="1:6" x14ac:dyDescent="0.25">
      <c r="A8544" s="1" t="s">
        <v>962</v>
      </c>
      <c r="B8544" s="1" t="s">
        <v>961</v>
      </c>
      <c r="C8544" s="1" t="s">
        <v>184</v>
      </c>
      <c r="D8544" s="3">
        <f t="shared" ref="D8544:D8560" si="1311">VALUE("8254")</f>
        <v>8254</v>
      </c>
      <c r="E8544" s="2">
        <f t="shared" ref="E8544:E8560" si="1312">DATEVALUE("1-3-2018")</f>
        <v>43160</v>
      </c>
      <c r="F8544" s="2">
        <f t="shared" si="1310"/>
        <v>44196</v>
      </c>
    </row>
    <row r="8545" spans="1:6" x14ac:dyDescent="0.25">
      <c r="A8545" s="1" t="s">
        <v>962</v>
      </c>
      <c r="B8545" s="1" t="s">
        <v>961</v>
      </c>
      <c r="C8545" s="1" t="s">
        <v>62</v>
      </c>
      <c r="D8545" s="3">
        <f t="shared" si="1311"/>
        <v>8254</v>
      </c>
      <c r="E8545" s="2">
        <f t="shared" si="1312"/>
        <v>43160</v>
      </c>
      <c r="F8545" s="2">
        <f t="shared" si="1310"/>
        <v>44196</v>
      </c>
    </row>
    <row r="8546" spans="1:6" x14ac:dyDescent="0.25">
      <c r="A8546" s="1" t="s">
        <v>962</v>
      </c>
      <c r="B8546" s="1" t="s">
        <v>961</v>
      </c>
      <c r="C8546" s="1" t="s">
        <v>63</v>
      </c>
      <c r="D8546" s="3">
        <f t="shared" si="1311"/>
        <v>8254</v>
      </c>
      <c r="E8546" s="2">
        <f t="shared" si="1312"/>
        <v>43160</v>
      </c>
      <c r="F8546" s="2">
        <f t="shared" si="1310"/>
        <v>44196</v>
      </c>
    </row>
    <row r="8547" spans="1:6" x14ac:dyDescent="0.25">
      <c r="A8547" s="1" t="s">
        <v>962</v>
      </c>
      <c r="B8547" s="1" t="s">
        <v>961</v>
      </c>
      <c r="C8547" s="1" t="s">
        <v>65</v>
      </c>
      <c r="D8547" s="3">
        <f t="shared" si="1311"/>
        <v>8254</v>
      </c>
      <c r="E8547" s="2">
        <f t="shared" si="1312"/>
        <v>43160</v>
      </c>
      <c r="F8547" s="2">
        <f t="shared" si="1310"/>
        <v>44196</v>
      </c>
    </row>
    <row r="8548" spans="1:6" x14ac:dyDescent="0.25">
      <c r="A8548" s="1" t="s">
        <v>962</v>
      </c>
      <c r="B8548" s="1" t="s">
        <v>961</v>
      </c>
      <c r="C8548" s="1" t="s">
        <v>15</v>
      </c>
      <c r="D8548" s="3">
        <f t="shared" si="1311"/>
        <v>8254</v>
      </c>
      <c r="E8548" s="2">
        <f t="shared" si="1312"/>
        <v>43160</v>
      </c>
      <c r="F8548" s="2">
        <f t="shared" si="1310"/>
        <v>44196</v>
      </c>
    </row>
    <row r="8549" spans="1:6" x14ac:dyDescent="0.25">
      <c r="A8549" s="1" t="s">
        <v>962</v>
      </c>
      <c r="B8549" s="1" t="s">
        <v>961</v>
      </c>
      <c r="C8549" s="1" t="s">
        <v>16</v>
      </c>
      <c r="D8549" s="3">
        <f t="shared" si="1311"/>
        <v>8254</v>
      </c>
      <c r="E8549" s="2">
        <f t="shared" si="1312"/>
        <v>43160</v>
      </c>
      <c r="F8549" s="2">
        <f t="shared" si="1310"/>
        <v>44196</v>
      </c>
    </row>
    <row r="8550" spans="1:6" x14ac:dyDescent="0.25">
      <c r="A8550" s="1" t="s">
        <v>962</v>
      </c>
      <c r="B8550" s="1" t="s">
        <v>961</v>
      </c>
      <c r="C8550" s="1" t="s">
        <v>17</v>
      </c>
      <c r="D8550" s="3">
        <f t="shared" si="1311"/>
        <v>8254</v>
      </c>
      <c r="E8550" s="2">
        <f t="shared" si="1312"/>
        <v>43160</v>
      </c>
      <c r="F8550" s="2">
        <f t="shared" si="1310"/>
        <v>44196</v>
      </c>
    </row>
    <row r="8551" spans="1:6" x14ac:dyDescent="0.25">
      <c r="A8551" s="1" t="s">
        <v>962</v>
      </c>
      <c r="B8551" s="1" t="s">
        <v>961</v>
      </c>
      <c r="C8551" s="1" t="s">
        <v>22</v>
      </c>
      <c r="D8551" s="3">
        <f t="shared" si="1311"/>
        <v>8254</v>
      </c>
      <c r="E8551" s="2">
        <f t="shared" si="1312"/>
        <v>43160</v>
      </c>
      <c r="F8551" s="2">
        <f t="shared" si="1310"/>
        <v>44196</v>
      </c>
    </row>
    <row r="8552" spans="1:6" x14ac:dyDescent="0.25">
      <c r="A8552" s="1" t="s">
        <v>962</v>
      </c>
      <c r="B8552" s="1" t="s">
        <v>961</v>
      </c>
      <c r="C8552" s="1" t="s">
        <v>146</v>
      </c>
      <c r="D8552" s="3">
        <f t="shared" si="1311"/>
        <v>8254</v>
      </c>
      <c r="E8552" s="2">
        <f t="shared" si="1312"/>
        <v>43160</v>
      </c>
      <c r="F8552" s="2">
        <f t="shared" si="1310"/>
        <v>44196</v>
      </c>
    </row>
    <row r="8553" spans="1:6" x14ac:dyDescent="0.25">
      <c r="A8553" s="1" t="s">
        <v>962</v>
      </c>
      <c r="B8553" s="1" t="s">
        <v>961</v>
      </c>
      <c r="C8553" s="1" t="s">
        <v>67</v>
      </c>
      <c r="D8553" s="3">
        <f t="shared" si="1311"/>
        <v>8254</v>
      </c>
      <c r="E8553" s="2">
        <f t="shared" si="1312"/>
        <v>43160</v>
      </c>
      <c r="F8553" s="2">
        <f t="shared" si="1310"/>
        <v>44196</v>
      </c>
    </row>
    <row r="8554" spans="1:6" x14ac:dyDescent="0.25">
      <c r="A8554" s="1" t="s">
        <v>962</v>
      </c>
      <c r="B8554" s="1" t="s">
        <v>961</v>
      </c>
      <c r="C8554" s="1" t="s">
        <v>148</v>
      </c>
      <c r="D8554" s="3">
        <f t="shared" si="1311"/>
        <v>8254</v>
      </c>
      <c r="E8554" s="2">
        <f t="shared" si="1312"/>
        <v>43160</v>
      </c>
      <c r="F8554" s="2">
        <f t="shared" si="1310"/>
        <v>44196</v>
      </c>
    </row>
    <row r="8555" spans="1:6" x14ac:dyDescent="0.25">
      <c r="A8555" s="1" t="s">
        <v>962</v>
      </c>
      <c r="B8555" s="1" t="s">
        <v>961</v>
      </c>
      <c r="C8555" s="1" t="s">
        <v>149</v>
      </c>
      <c r="D8555" s="3">
        <f t="shared" si="1311"/>
        <v>8254</v>
      </c>
      <c r="E8555" s="2">
        <f t="shared" si="1312"/>
        <v>43160</v>
      </c>
      <c r="F8555" s="2">
        <f t="shared" si="1310"/>
        <v>44196</v>
      </c>
    </row>
    <row r="8556" spans="1:6" x14ac:dyDescent="0.25">
      <c r="A8556" s="1" t="s">
        <v>962</v>
      </c>
      <c r="B8556" s="1" t="s">
        <v>961</v>
      </c>
      <c r="C8556" s="1" t="s">
        <v>92</v>
      </c>
      <c r="D8556" s="3">
        <f t="shared" si="1311"/>
        <v>8254</v>
      </c>
      <c r="E8556" s="2">
        <f t="shared" si="1312"/>
        <v>43160</v>
      </c>
      <c r="F8556" s="2">
        <f t="shared" si="1310"/>
        <v>44196</v>
      </c>
    </row>
    <row r="8557" spans="1:6" x14ac:dyDescent="0.25">
      <c r="A8557" s="1" t="s">
        <v>962</v>
      </c>
      <c r="B8557" s="1" t="s">
        <v>961</v>
      </c>
      <c r="C8557" s="1" t="s">
        <v>50</v>
      </c>
      <c r="D8557" s="3">
        <f t="shared" si="1311"/>
        <v>8254</v>
      </c>
      <c r="E8557" s="2">
        <f t="shared" si="1312"/>
        <v>43160</v>
      </c>
      <c r="F8557" s="2">
        <f t="shared" si="1310"/>
        <v>44196</v>
      </c>
    </row>
    <row r="8558" spans="1:6" x14ac:dyDescent="0.25">
      <c r="A8558" s="1" t="s">
        <v>962</v>
      </c>
      <c r="B8558" s="1" t="s">
        <v>961</v>
      </c>
      <c r="C8558" s="1" t="s">
        <v>70</v>
      </c>
      <c r="D8558" s="3">
        <f t="shared" si="1311"/>
        <v>8254</v>
      </c>
      <c r="E8558" s="2">
        <f t="shared" si="1312"/>
        <v>43160</v>
      </c>
      <c r="F8558" s="2">
        <f t="shared" si="1310"/>
        <v>44196</v>
      </c>
    </row>
    <row r="8559" spans="1:6" x14ac:dyDescent="0.25">
      <c r="A8559" s="1" t="s">
        <v>962</v>
      </c>
      <c r="B8559" s="1" t="s">
        <v>961</v>
      </c>
      <c r="C8559" s="1" t="s">
        <v>73</v>
      </c>
      <c r="D8559" s="3">
        <f t="shared" si="1311"/>
        <v>8254</v>
      </c>
      <c r="E8559" s="2">
        <f t="shared" si="1312"/>
        <v>43160</v>
      </c>
      <c r="F8559" s="2">
        <f t="shared" si="1310"/>
        <v>44196</v>
      </c>
    </row>
    <row r="8560" spans="1:6" x14ac:dyDescent="0.25">
      <c r="A8560" s="1" t="s">
        <v>962</v>
      </c>
      <c r="B8560" s="1" t="s">
        <v>961</v>
      </c>
      <c r="C8560" s="1" t="s">
        <v>52</v>
      </c>
      <c r="D8560" s="3">
        <f t="shared" si="1311"/>
        <v>8254</v>
      </c>
      <c r="E8560" s="2">
        <f t="shared" si="1312"/>
        <v>43160</v>
      </c>
      <c r="F8560" s="2">
        <f t="shared" si="1310"/>
        <v>44196</v>
      </c>
    </row>
    <row r="8561" spans="1:6" x14ac:dyDescent="0.25">
      <c r="A8561" s="1" t="s">
        <v>2377</v>
      </c>
      <c r="B8561" s="1" t="s">
        <v>2376</v>
      </c>
      <c r="C8561" s="1" t="s">
        <v>6</v>
      </c>
      <c r="D8561" s="3">
        <f t="shared" ref="D8561:D8567" si="1313">VALUE("8313")</f>
        <v>8313</v>
      </c>
      <c r="E8561" s="2">
        <f t="shared" ref="E8561:E8567" si="1314">DATEVALUE("1-8-2018")</f>
        <v>43313</v>
      </c>
      <c r="F8561" s="2">
        <f t="shared" ref="F8561:F8567" si="1315">DATEVALUE("31-10-2018")</f>
        <v>43404</v>
      </c>
    </row>
    <row r="8562" spans="1:6" x14ac:dyDescent="0.25">
      <c r="A8562" s="1" t="s">
        <v>2377</v>
      </c>
      <c r="B8562" s="1" t="s">
        <v>2376</v>
      </c>
      <c r="C8562" s="1" t="s">
        <v>14</v>
      </c>
      <c r="D8562" s="3">
        <f t="shared" si="1313"/>
        <v>8313</v>
      </c>
      <c r="E8562" s="2">
        <f t="shared" si="1314"/>
        <v>43313</v>
      </c>
      <c r="F8562" s="2">
        <f t="shared" si="1315"/>
        <v>43404</v>
      </c>
    </row>
    <row r="8563" spans="1:6" x14ac:dyDescent="0.25">
      <c r="A8563" s="1" t="s">
        <v>2377</v>
      </c>
      <c r="B8563" s="1" t="s">
        <v>2376</v>
      </c>
      <c r="C8563" s="1" t="s">
        <v>17</v>
      </c>
      <c r="D8563" s="3">
        <f t="shared" si="1313"/>
        <v>8313</v>
      </c>
      <c r="E8563" s="2">
        <f t="shared" si="1314"/>
        <v>43313</v>
      </c>
      <c r="F8563" s="2">
        <f t="shared" si="1315"/>
        <v>43404</v>
      </c>
    </row>
    <row r="8564" spans="1:6" x14ac:dyDescent="0.25">
      <c r="A8564" s="1" t="s">
        <v>2377</v>
      </c>
      <c r="B8564" s="1" t="s">
        <v>2376</v>
      </c>
      <c r="C8564" s="1" t="s">
        <v>22</v>
      </c>
      <c r="D8564" s="3">
        <f t="shared" si="1313"/>
        <v>8313</v>
      </c>
      <c r="E8564" s="2">
        <f t="shared" si="1314"/>
        <v>43313</v>
      </c>
      <c r="F8564" s="2">
        <f t="shared" si="1315"/>
        <v>43404</v>
      </c>
    </row>
    <row r="8565" spans="1:6" x14ac:dyDescent="0.25">
      <c r="A8565" s="1" t="s">
        <v>2377</v>
      </c>
      <c r="B8565" s="1" t="s">
        <v>2376</v>
      </c>
      <c r="C8565" s="1" t="s">
        <v>24</v>
      </c>
      <c r="D8565" s="3">
        <f t="shared" si="1313"/>
        <v>8313</v>
      </c>
      <c r="E8565" s="2">
        <f t="shared" si="1314"/>
        <v>43313</v>
      </c>
      <c r="F8565" s="2">
        <f t="shared" si="1315"/>
        <v>43404</v>
      </c>
    </row>
    <row r="8566" spans="1:6" x14ac:dyDescent="0.25">
      <c r="A8566" s="1" t="s">
        <v>2377</v>
      </c>
      <c r="B8566" s="1" t="s">
        <v>2376</v>
      </c>
      <c r="C8566" s="1" t="s">
        <v>52</v>
      </c>
      <c r="D8566" s="3">
        <f t="shared" si="1313"/>
        <v>8313</v>
      </c>
      <c r="E8566" s="2">
        <f t="shared" si="1314"/>
        <v>43313</v>
      </c>
      <c r="F8566" s="2">
        <f t="shared" si="1315"/>
        <v>43404</v>
      </c>
    </row>
    <row r="8567" spans="1:6" x14ac:dyDescent="0.25">
      <c r="A8567" s="1" t="s">
        <v>2377</v>
      </c>
      <c r="B8567" s="1" t="s">
        <v>2376</v>
      </c>
      <c r="C8567" s="1" t="s">
        <v>34</v>
      </c>
      <c r="D8567" s="3">
        <f t="shared" si="1313"/>
        <v>8313</v>
      </c>
      <c r="E8567" s="2">
        <f t="shared" si="1314"/>
        <v>43313</v>
      </c>
      <c r="F8567" s="2">
        <f t="shared" si="1315"/>
        <v>43404</v>
      </c>
    </row>
    <row r="8568" spans="1:6" x14ac:dyDescent="0.25">
      <c r="A8568" s="1" t="s">
        <v>1275</v>
      </c>
      <c r="B8568" s="1" t="s">
        <v>2466</v>
      </c>
      <c r="C8568" s="1" t="s">
        <v>140</v>
      </c>
      <c r="D8568" s="3">
        <f t="shared" ref="D8568:D8577" si="1316">VALUE("8569")</f>
        <v>8569</v>
      </c>
      <c r="E8568" s="2">
        <f t="shared" ref="E8568:E8577" si="1317">DATEVALUE("1-8-2019")</f>
        <v>43678</v>
      </c>
      <c r="F8568" s="2">
        <f t="shared" ref="F8568:F8577" si="1318">DATEVALUE("29-2-2020")</f>
        <v>43890</v>
      </c>
    </row>
    <row r="8569" spans="1:6" x14ac:dyDescent="0.25">
      <c r="A8569" s="1" t="s">
        <v>1275</v>
      </c>
      <c r="B8569" s="1" t="s">
        <v>2466</v>
      </c>
      <c r="C8569" s="1" t="s">
        <v>141</v>
      </c>
      <c r="D8569" s="3">
        <f t="shared" si="1316"/>
        <v>8569</v>
      </c>
      <c r="E8569" s="2">
        <f t="shared" si="1317"/>
        <v>43678</v>
      </c>
      <c r="F8569" s="2">
        <f t="shared" si="1318"/>
        <v>43890</v>
      </c>
    </row>
    <row r="8570" spans="1:6" x14ac:dyDescent="0.25">
      <c r="A8570" s="1" t="s">
        <v>1275</v>
      </c>
      <c r="B8570" s="1" t="s">
        <v>2466</v>
      </c>
      <c r="C8570" s="1" t="s">
        <v>14</v>
      </c>
      <c r="D8570" s="3">
        <f t="shared" si="1316"/>
        <v>8569</v>
      </c>
      <c r="E8570" s="2">
        <f t="shared" si="1317"/>
        <v>43678</v>
      </c>
      <c r="F8570" s="2">
        <f t="shared" si="1318"/>
        <v>43890</v>
      </c>
    </row>
    <row r="8571" spans="1:6" x14ac:dyDescent="0.25">
      <c r="A8571" s="1" t="s">
        <v>1275</v>
      </c>
      <c r="B8571" s="1" t="s">
        <v>2466</v>
      </c>
      <c r="C8571" s="1" t="s">
        <v>15</v>
      </c>
      <c r="D8571" s="3">
        <f t="shared" si="1316"/>
        <v>8569</v>
      </c>
      <c r="E8571" s="2">
        <f t="shared" si="1317"/>
        <v>43678</v>
      </c>
      <c r="F8571" s="2">
        <f t="shared" si="1318"/>
        <v>43890</v>
      </c>
    </row>
    <row r="8572" spans="1:6" x14ac:dyDescent="0.25">
      <c r="A8572" s="1" t="s">
        <v>1275</v>
      </c>
      <c r="B8572" s="1" t="s">
        <v>2466</v>
      </c>
      <c r="C8572" s="1" t="s">
        <v>17</v>
      </c>
      <c r="D8572" s="3">
        <f t="shared" si="1316"/>
        <v>8569</v>
      </c>
      <c r="E8572" s="2">
        <f t="shared" si="1317"/>
        <v>43678</v>
      </c>
      <c r="F8572" s="2">
        <f t="shared" si="1318"/>
        <v>43890</v>
      </c>
    </row>
    <row r="8573" spans="1:6" x14ac:dyDescent="0.25">
      <c r="A8573" s="1" t="s">
        <v>1275</v>
      </c>
      <c r="B8573" s="1" t="s">
        <v>2466</v>
      </c>
      <c r="C8573" s="1" t="s">
        <v>67</v>
      </c>
      <c r="D8573" s="3">
        <f t="shared" si="1316"/>
        <v>8569</v>
      </c>
      <c r="E8573" s="2">
        <f t="shared" si="1317"/>
        <v>43678</v>
      </c>
      <c r="F8573" s="2">
        <f t="shared" si="1318"/>
        <v>43890</v>
      </c>
    </row>
    <row r="8574" spans="1:6" x14ac:dyDescent="0.25">
      <c r="A8574" s="1" t="s">
        <v>1275</v>
      </c>
      <c r="B8574" s="1" t="s">
        <v>2466</v>
      </c>
      <c r="C8574" s="1" t="s">
        <v>151</v>
      </c>
      <c r="D8574" s="3">
        <f t="shared" si="1316"/>
        <v>8569</v>
      </c>
      <c r="E8574" s="2">
        <f t="shared" si="1317"/>
        <v>43678</v>
      </c>
      <c r="F8574" s="2">
        <f t="shared" si="1318"/>
        <v>43890</v>
      </c>
    </row>
    <row r="8575" spans="1:6" x14ac:dyDescent="0.25">
      <c r="A8575" s="1" t="s">
        <v>1275</v>
      </c>
      <c r="B8575" s="1" t="s">
        <v>2466</v>
      </c>
      <c r="C8575" s="1" t="s">
        <v>24</v>
      </c>
      <c r="D8575" s="3">
        <f t="shared" si="1316"/>
        <v>8569</v>
      </c>
      <c r="E8575" s="2">
        <f t="shared" si="1317"/>
        <v>43678</v>
      </c>
      <c r="F8575" s="2">
        <f t="shared" si="1318"/>
        <v>43890</v>
      </c>
    </row>
    <row r="8576" spans="1:6" x14ac:dyDescent="0.25">
      <c r="A8576" s="1" t="s">
        <v>1275</v>
      </c>
      <c r="B8576" s="1" t="s">
        <v>2466</v>
      </c>
      <c r="C8576" s="1" t="s">
        <v>160</v>
      </c>
      <c r="D8576" s="3">
        <f t="shared" si="1316"/>
        <v>8569</v>
      </c>
      <c r="E8576" s="2">
        <f t="shared" si="1317"/>
        <v>43678</v>
      </c>
      <c r="F8576" s="2">
        <f t="shared" si="1318"/>
        <v>43890</v>
      </c>
    </row>
    <row r="8577" spans="1:6" x14ac:dyDescent="0.25">
      <c r="A8577" s="1" t="s">
        <v>1275</v>
      </c>
      <c r="B8577" s="1" t="s">
        <v>2466</v>
      </c>
      <c r="C8577" s="1" t="s">
        <v>34</v>
      </c>
      <c r="D8577" s="3">
        <f t="shared" si="1316"/>
        <v>8569</v>
      </c>
      <c r="E8577" s="2">
        <f t="shared" si="1317"/>
        <v>43678</v>
      </c>
      <c r="F8577" s="2">
        <f t="shared" si="1318"/>
        <v>43890</v>
      </c>
    </row>
    <row r="8578" spans="1:6" x14ac:dyDescent="0.25">
      <c r="A8578" s="1" t="s">
        <v>1275</v>
      </c>
      <c r="B8578" s="1" t="s">
        <v>1274</v>
      </c>
      <c r="C8578" s="1" t="s">
        <v>140</v>
      </c>
      <c r="D8578" s="3">
        <f t="shared" ref="D8578:D8585" si="1319">VALUE("8525")</f>
        <v>8525</v>
      </c>
      <c r="E8578" s="2">
        <f t="shared" ref="E8578:E8585" si="1320">DATEVALUE("1-6-2019")</f>
        <v>43617</v>
      </c>
      <c r="F8578" s="2">
        <f t="shared" ref="F8578:F8585" si="1321">DATEVALUE("30-11-2020")</f>
        <v>44165</v>
      </c>
    </row>
    <row r="8579" spans="1:6" x14ac:dyDescent="0.25">
      <c r="A8579" s="1" t="s">
        <v>1275</v>
      </c>
      <c r="B8579" s="1" t="s">
        <v>1274</v>
      </c>
      <c r="C8579" s="1" t="s">
        <v>141</v>
      </c>
      <c r="D8579" s="3">
        <f t="shared" si="1319"/>
        <v>8525</v>
      </c>
      <c r="E8579" s="2">
        <f t="shared" si="1320"/>
        <v>43617</v>
      </c>
      <c r="F8579" s="2">
        <f t="shared" si="1321"/>
        <v>44165</v>
      </c>
    </row>
    <row r="8580" spans="1:6" x14ac:dyDescent="0.25">
      <c r="A8580" s="1" t="s">
        <v>1275</v>
      </c>
      <c r="B8580" s="1" t="s">
        <v>1274</v>
      </c>
      <c r="C8580" s="1" t="s">
        <v>14</v>
      </c>
      <c r="D8580" s="3">
        <f t="shared" si="1319"/>
        <v>8525</v>
      </c>
      <c r="E8580" s="2">
        <f t="shared" si="1320"/>
        <v>43617</v>
      </c>
      <c r="F8580" s="2">
        <f t="shared" si="1321"/>
        <v>44165</v>
      </c>
    </row>
    <row r="8581" spans="1:6" x14ac:dyDescent="0.25">
      <c r="A8581" s="1" t="s">
        <v>1275</v>
      </c>
      <c r="B8581" s="1" t="s">
        <v>1274</v>
      </c>
      <c r="C8581" s="1" t="s">
        <v>15</v>
      </c>
      <c r="D8581" s="3">
        <f t="shared" si="1319"/>
        <v>8525</v>
      </c>
      <c r="E8581" s="2">
        <f t="shared" si="1320"/>
        <v>43617</v>
      </c>
      <c r="F8581" s="2">
        <f t="shared" si="1321"/>
        <v>44165</v>
      </c>
    </row>
    <row r="8582" spans="1:6" x14ac:dyDescent="0.25">
      <c r="A8582" s="1" t="s">
        <v>1275</v>
      </c>
      <c r="B8582" s="1" t="s">
        <v>1274</v>
      </c>
      <c r="C8582" s="1" t="s">
        <v>17</v>
      </c>
      <c r="D8582" s="3">
        <f t="shared" si="1319"/>
        <v>8525</v>
      </c>
      <c r="E8582" s="2">
        <f t="shared" si="1320"/>
        <v>43617</v>
      </c>
      <c r="F8582" s="2">
        <f t="shared" si="1321"/>
        <v>44165</v>
      </c>
    </row>
    <row r="8583" spans="1:6" x14ac:dyDescent="0.25">
      <c r="A8583" s="1" t="s">
        <v>1275</v>
      </c>
      <c r="B8583" s="1" t="s">
        <v>1274</v>
      </c>
      <c r="C8583" s="1" t="s">
        <v>151</v>
      </c>
      <c r="D8583" s="3">
        <f t="shared" si="1319"/>
        <v>8525</v>
      </c>
      <c r="E8583" s="2">
        <f t="shared" si="1320"/>
        <v>43617</v>
      </c>
      <c r="F8583" s="2">
        <f t="shared" si="1321"/>
        <v>44165</v>
      </c>
    </row>
    <row r="8584" spans="1:6" x14ac:dyDescent="0.25">
      <c r="A8584" s="1" t="s">
        <v>1275</v>
      </c>
      <c r="B8584" s="1" t="s">
        <v>1274</v>
      </c>
      <c r="C8584" s="1" t="s">
        <v>24</v>
      </c>
      <c r="D8584" s="3">
        <f t="shared" si="1319"/>
        <v>8525</v>
      </c>
      <c r="E8584" s="2">
        <f t="shared" si="1320"/>
        <v>43617</v>
      </c>
      <c r="F8584" s="2">
        <f t="shared" si="1321"/>
        <v>44165</v>
      </c>
    </row>
    <row r="8585" spans="1:6" x14ac:dyDescent="0.25">
      <c r="A8585" s="1" t="s">
        <v>1275</v>
      </c>
      <c r="B8585" s="1" t="s">
        <v>1274</v>
      </c>
      <c r="C8585" s="1" t="s">
        <v>34</v>
      </c>
      <c r="D8585" s="3">
        <f t="shared" si="1319"/>
        <v>8525</v>
      </c>
      <c r="E8585" s="2">
        <f t="shared" si="1320"/>
        <v>43617</v>
      </c>
      <c r="F8585" s="2">
        <f t="shared" si="1321"/>
        <v>44165</v>
      </c>
    </row>
    <row r="8586" spans="1:6" x14ac:dyDescent="0.25">
      <c r="A8586" s="1" t="s">
        <v>1275</v>
      </c>
      <c r="B8586" s="1" t="s">
        <v>2092</v>
      </c>
      <c r="C8586" s="1" t="s">
        <v>39</v>
      </c>
      <c r="D8586" s="3">
        <f t="shared" ref="D8586:D8605" si="1322">VALUE("8483")</f>
        <v>8483</v>
      </c>
      <c r="E8586" s="2">
        <f t="shared" ref="E8586:E8605" si="1323">DATEVALUE("1-3-2019")</f>
        <v>43525</v>
      </c>
      <c r="F8586" s="2">
        <f t="shared" ref="F8586:F8605" si="1324">DATEVALUE("30-6-2019")</f>
        <v>43646</v>
      </c>
    </row>
    <row r="8587" spans="1:6" x14ac:dyDescent="0.25">
      <c r="A8587" s="1" t="s">
        <v>1275</v>
      </c>
      <c r="B8587" s="1" t="s">
        <v>2092</v>
      </c>
      <c r="C8587" s="1" t="s">
        <v>43</v>
      </c>
      <c r="D8587" s="3">
        <f t="shared" si="1322"/>
        <v>8483</v>
      </c>
      <c r="E8587" s="2">
        <f t="shared" si="1323"/>
        <v>43525</v>
      </c>
      <c r="F8587" s="2">
        <f t="shared" si="1324"/>
        <v>43646</v>
      </c>
    </row>
    <row r="8588" spans="1:6" x14ac:dyDescent="0.25">
      <c r="A8588" s="1" t="s">
        <v>1275</v>
      </c>
      <c r="B8588" s="1" t="s">
        <v>2092</v>
      </c>
      <c r="C8588" s="1" t="s">
        <v>140</v>
      </c>
      <c r="D8588" s="3">
        <f t="shared" si="1322"/>
        <v>8483</v>
      </c>
      <c r="E8588" s="2">
        <f t="shared" si="1323"/>
        <v>43525</v>
      </c>
      <c r="F8588" s="2">
        <f t="shared" si="1324"/>
        <v>43646</v>
      </c>
    </row>
    <row r="8589" spans="1:6" x14ac:dyDescent="0.25">
      <c r="A8589" s="1" t="s">
        <v>1275</v>
      </c>
      <c r="B8589" s="1" t="s">
        <v>2092</v>
      </c>
      <c r="C8589" s="1" t="s">
        <v>141</v>
      </c>
      <c r="D8589" s="3">
        <f t="shared" si="1322"/>
        <v>8483</v>
      </c>
      <c r="E8589" s="2">
        <f t="shared" si="1323"/>
        <v>43525</v>
      </c>
      <c r="F8589" s="2">
        <f t="shared" si="1324"/>
        <v>43646</v>
      </c>
    </row>
    <row r="8590" spans="1:6" x14ac:dyDescent="0.25">
      <c r="A8590" s="1" t="s">
        <v>1275</v>
      </c>
      <c r="B8590" s="1" t="s">
        <v>2092</v>
      </c>
      <c r="C8590" s="1" t="s">
        <v>14</v>
      </c>
      <c r="D8590" s="3">
        <f t="shared" si="1322"/>
        <v>8483</v>
      </c>
      <c r="E8590" s="2">
        <f t="shared" si="1323"/>
        <v>43525</v>
      </c>
      <c r="F8590" s="2">
        <f t="shared" si="1324"/>
        <v>43646</v>
      </c>
    </row>
    <row r="8591" spans="1:6" x14ac:dyDescent="0.25">
      <c r="A8591" s="1" t="s">
        <v>1275</v>
      </c>
      <c r="B8591" s="1" t="s">
        <v>2092</v>
      </c>
      <c r="C8591" s="1" t="s">
        <v>15</v>
      </c>
      <c r="D8591" s="3">
        <f t="shared" si="1322"/>
        <v>8483</v>
      </c>
      <c r="E8591" s="2">
        <f t="shared" si="1323"/>
        <v>43525</v>
      </c>
      <c r="F8591" s="2">
        <f t="shared" si="1324"/>
        <v>43646</v>
      </c>
    </row>
    <row r="8592" spans="1:6" x14ac:dyDescent="0.25">
      <c r="A8592" s="1" t="s">
        <v>1275</v>
      </c>
      <c r="B8592" s="1" t="s">
        <v>2092</v>
      </c>
      <c r="C8592" s="1" t="s">
        <v>17</v>
      </c>
      <c r="D8592" s="3">
        <f t="shared" si="1322"/>
        <v>8483</v>
      </c>
      <c r="E8592" s="2">
        <f t="shared" si="1323"/>
        <v>43525</v>
      </c>
      <c r="F8592" s="2">
        <f t="shared" si="1324"/>
        <v>43646</v>
      </c>
    </row>
    <row r="8593" spans="1:6" x14ac:dyDescent="0.25">
      <c r="A8593" s="1" t="s">
        <v>1275</v>
      </c>
      <c r="B8593" s="1" t="s">
        <v>2092</v>
      </c>
      <c r="C8593" s="1" t="s">
        <v>146</v>
      </c>
      <c r="D8593" s="3">
        <f t="shared" si="1322"/>
        <v>8483</v>
      </c>
      <c r="E8593" s="2">
        <f t="shared" si="1323"/>
        <v>43525</v>
      </c>
      <c r="F8593" s="2">
        <f t="shared" si="1324"/>
        <v>43646</v>
      </c>
    </row>
    <row r="8594" spans="1:6" x14ac:dyDescent="0.25">
      <c r="A8594" s="1" t="s">
        <v>1275</v>
      </c>
      <c r="B8594" s="1" t="s">
        <v>2092</v>
      </c>
      <c r="C8594" s="1" t="s">
        <v>148</v>
      </c>
      <c r="D8594" s="3">
        <f t="shared" si="1322"/>
        <v>8483</v>
      </c>
      <c r="E8594" s="2">
        <f t="shared" si="1323"/>
        <v>43525</v>
      </c>
      <c r="F8594" s="2">
        <f t="shared" si="1324"/>
        <v>43646</v>
      </c>
    </row>
    <row r="8595" spans="1:6" x14ac:dyDescent="0.25">
      <c r="A8595" s="1" t="s">
        <v>1275</v>
      </c>
      <c r="B8595" s="1" t="s">
        <v>2092</v>
      </c>
      <c r="C8595" s="1" t="s">
        <v>151</v>
      </c>
      <c r="D8595" s="3">
        <f t="shared" si="1322"/>
        <v>8483</v>
      </c>
      <c r="E8595" s="2">
        <f t="shared" si="1323"/>
        <v>43525</v>
      </c>
      <c r="F8595" s="2">
        <f t="shared" si="1324"/>
        <v>43646</v>
      </c>
    </row>
    <row r="8596" spans="1:6" x14ac:dyDescent="0.25">
      <c r="A8596" s="1" t="s">
        <v>1275</v>
      </c>
      <c r="B8596" s="1" t="s">
        <v>2092</v>
      </c>
      <c r="C8596" s="1" t="s">
        <v>2093</v>
      </c>
      <c r="D8596" s="3">
        <f t="shared" si="1322"/>
        <v>8483</v>
      </c>
      <c r="E8596" s="2">
        <f t="shared" si="1323"/>
        <v>43525</v>
      </c>
      <c r="F8596" s="2">
        <f t="shared" si="1324"/>
        <v>43646</v>
      </c>
    </row>
    <row r="8597" spans="1:6" x14ac:dyDescent="0.25">
      <c r="A8597" s="1" t="s">
        <v>1275</v>
      </c>
      <c r="B8597" s="1" t="s">
        <v>2092</v>
      </c>
      <c r="C8597" s="1" t="s">
        <v>531</v>
      </c>
      <c r="D8597" s="3">
        <f t="shared" si="1322"/>
        <v>8483</v>
      </c>
      <c r="E8597" s="2">
        <f t="shared" si="1323"/>
        <v>43525</v>
      </c>
      <c r="F8597" s="2">
        <f t="shared" si="1324"/>
        <v>43646</v>
      </c>
    </row>
    <row r="8598" spans="1:6" x14ac:dyDescent="0.25">
      <c r="A8598" s="1" t="s">
        <v>1275</v>
      </c>
      <c r="B8598" s="1" t="s">
        <v>2092</v>
      </c>
      <c r="C8598" s="1" t="s">
        <v>1805</v>
      </c>
      <c r="D8598" s="3">
        <f t="shared" si="1322"/>
        <v>8483</v>
      </c>
      <c r="E8598" s="2">
        <f t="shared" si="1323"/>
        <v>43525</v>
      </c>
      <c r="F8598" s="2">
        <f t="shared" si="1324"/>
        <v>43646</v>
      </c>
    </row>
    <row r="8599" spans="1:6" x14ac:dyDescent="0.25">
      <c r="A8599" s="1" t="s">
        <v>1275</v>
      </c>
      <c r="B8599" s="1" t="s">
        <v>2092</v>
      </c>
      <c r="C8599" s="1" t="s">
        <v>1083</v>
      </c>
      <c r="D8599" s="3">
        <f t="shared" si="1322"/>
        <v>8483</v>
      </c>
      <c r="E8599" s="2">
        <f t="shared" si="1323"/>
        <v>43525</v>
      </c>
      <c r="F8599" s="2">
        <f t="shared" si="1324"/>
        <v>43646</v>
      </c>
    </row>
    <row r="8600" spans="1:6" x14ac:dyDescent="0.25">
      <c r="A8600" s="1" t="s">
        <v>1275</v>
      </c>
      <c r="B8600" s="1" t="s">
        <v>2092</v>
      </c>
      <c r="C8600" s="1" t="s">
        <v>1806</v>
      </c>
      <c r="D8600" s="3">
        <f t="shared" si="1322"/>
        <v>8483</v>
      </c>
      <c r="E8600" s="2">
        <f t="shared" si="1323"/>
        <v>43525</v>
      </c>
      <c r="F8600" s="2">
        <f t="shared" si="1324"/>
        <v>43646</v>
      </c>
    </row>
    <row r="8601" spans="1:6" x14ac:dyDescent="0.25">
      <c r="A8601" s="1" t="s">
        <v>1275</v>
      </c>
      <c r="B8601" s="1" t="s">
        <v>2092</v>
      </c>
      <c r="C8601" s="1" t="s">
        <v>1323</v>
      </c>
      <c r="D8601" s="3">
        <f t="shared" si="1322"/>
        <v>8483</v>
      </c>
      <c r="E8601" s="2">
        <f t="shared" si="1323"/>
        <v>43525</v>
      </c>
      <c r="F8601" s="2">
        <f t="shared" si="1324"/>
        <v>43646</v>
      </c>
    </row>
    <row r="8602" spans="1:6" x14ac:dyDescent="0.25">
      <c r="A8602" s="1" t="s">
        <v>1275</v>
      </c>
      <c r="B8602" s="1" t="s">
        <v>2092</v>
      </c>
      <c r="C8602" s="1" t="s">
        <v>532</v>
      </c>
      <c r="D8602" s="3">
        <f t="shared" si="1322"/>
        <v>8483</v>
      </c>
      <c r="E8602" s="2">
        <f t="shared" si="1323"/>
        <v>43525</v>
      </c>
      <c r="F8602" s="2">
        <f t="shared" si="1324"/>
        <v>43646</v>
      </c>
    </row>
    <row r="8603" spans="1:6" x14ac:dyDescent="0.25">
      <c r="A8603" s="1" t="s">
        <v>1275</v>
      </c>
      <c r="B8603" s="1" t="s">
        <v>2092</v>
      </c>
      <c r="C8603" s="1" t="s">
        <v>24</v>
      </c>
      <c r="D8603" s="3">
        <f t="shared" si="1322"/>
        <v>8483</v>
      </c>
      <c r="E8603" s="2">
        <f t="shared" si="1323"/>
        <v>43525</v>
      </c>
      <c r="F8603" s="2">
        <f t="shared" si="1324"/>
        <v>43646</v>
      </c>
    </row>
    <row r="8604" spans="1:6" x14ac:dyDescent="0.25">
      <c r="A8604" s="1" t="s">
        <v>1275</v>
      </c>
      <c r="B8604" s="1" t="s">
        <v>2092</v>
      </c>
      <c r="C8604" s="1" t="s">
        <v>34</v>
      </c>
      <c r="D8604" s="3">
        <f t="shared" si="1322"/>
        <v>8483</v>
      </c>
      <c r="E8604" s="2">
        <f t="shared" si="1323"/>
        <v>43525</v>
      </c>
      <c r="F8604" s="2">
        <f t="shared" si="1324"/>
        <v>43646</v>
      </c>
    </row>
    <row r="8605" spans="1:6" x14ac:dyDescent="0.25">
      <c r="A8605" s="1" t="s">
        <v>1275</v>
      </c>
      <c r="B8605" s="1" t="s">
        <v>2092</v>
      </c>
      <c r="C8605" s="1" t="s">
        <v>57</v>
      </c>
      <c r="D8605" s="3">
        <f t="shared" si="1322"/>
        <v>8483</v>
      </c>
      <c r="E8605" s="2">
        <f t="shared" si="1323"/>
        <v>43525</v>
      </c>
      <c r="F8605" s="2">
        <f t="shared" si="1324"/>
        <v>43646</v>
      </c>
    </row>
    <row r="8606" spans="1:6" x14ac:dyDescent="0.25">
      <c r="A8606" s="1" t="s">
        <v>1275</v>
      </c>
      <c r="B8606" s="1" t="s">
        <v>2341</v>
      </c>
      <c r="C8606" s="1" t="s">
        <v>140</v>
      </c>
      <c r="D8606" s="3">
        <f t="shared" ref="D8606:D8615" si="1325">VALUE("8198")</f>
        <v>8198</v>
      </c>
      <c r="E8606" s="2">
        <f t="shared" ref="E8606:E8615" si="1326">DATEVALUE("1-12-2017")</f>
        <v>43070</v>
      </c>
      <c r="F8606" s="2">
        <f t="shared" ref="F8606:F8615" si="1327">DATEVALUE("31-1-2019")</f>
        <v>43496</v>
      </c>
    </row>
    <row r="8607" spans="1:6" x14ac:dyDescent="0.25">
      <c r="A8607" s="1" t="s">
        <v>1275</v>
      </c>
      <c r="B8607" s="1" t="s">
        <v>2341</v>
      </c>
      <c r="C8607" s="1" t="s">
        <v>14</v>
      </c>
      <c r="D8607" s="3">
        <f t="shared" si="1325"/>
        <v>8198</v>
      </c>
      <c r="E8607" s="2">
        <f t="shared" si="1326"/>
        <v>43070</v>
      </c>
      <c r="F8607" s="2">
        <f t="shared" si="1327"/>
        <v>43496</v>
      </c>
    </row>
    <row r="8608" spans="1:6" x14ac:dyDescent="0.25">
      <c r="A8608" s="1" t="s">
        <v>1275</v>
      </c>
      <c r="B8608" s="1" t="s">
        <v>2341</v>
      </c>
      <c r="C8608" s="1" t="s">
        <v>15</v>
      </c>
      <c r="D8608" s="3">
        <f t="shared" si="1325"/>
        <v>8198</v>
      </c>
      <c r="E8608" s="2">
        <f t="shared" si="1326"/>
        <v>43070</v>
      </c>
      <c r="F8608" s="2">
        <f t="shared" si="1327"/>
        <v>43496</v>
      </c>
    </row>
    <row r="8609" spans="1:6" x14ac:dyDescent="0.25">
      <c r="A8609" s="1" t="s">
        <v>1275</v>
      </c>
      <c r="B8609" s="1" t="s">
        <v>2341</v>
      </c>
      <c r="C8609" s="1" t="s">
        <v>89</v>
      </c>
      <c r="D8609" s="3">
        <f t="shared" si="1325"/>
        <v>8198</v>
      </c>
      <c r="E8609" s="2">
        <f t="shared" si="1326"/>
        <v>43070</v>
      </c>
      <c r="F8609" s="2">
        <f t="shared" si="1327"/>
        <v>43496</v>
      </c>
    </row>
    <row r="8610" spans="1:6" x14ac:dyDescent="0.25">
      <c r="A8610" s="1" t="s">
        <v>1275</v>
      </c>
      <c r="B8610" s="1" t="s">
        <v>2341</v>
      </c>
      <c r="C8610" s="1" t="s">
        <v>17</v>
      </c>
      <c r="D8610" s="3">
        <f t="shared" si="1325"/>
        <v>8198</v>
      </c>
      <c r="E8610" s="2">
        <f t="shared" si="1326"/>
        <v>43070</v>
      </c>
      <c r="F8610" s="2">
        <f t="shared" si="1327"/>
        <v>43496</v>
      </c>
    </row>
    <row r="8611" spans="1:6" x14ac:dyDescent="0.25">
      <c r="A8611" s="1" t="s">
        <v>1275</v>
      </c>
      <c r="B8611" s="1" t="s">
        <v>2341</v>
      </c>
      <c r="C8611" s="1" t="s">
        <v>22</v>
      </c>
      <c r="D8611" s="3">
        <f t="shared" si="1325"/>
        <v>8198</v>
      </c>
      <c r="E8611" s="2">
        <f t="shared" si="1326"/>
        <v>43070</v>
      </c>
      <c r="F8611" s="2">
        <f t="shared" si="1327"/>
        <v>43496</v>
      </c>
    </row>
    <row r="8612" spans="1:6" x14ac:dyDescent="0.25">
      <c r="A8612" s="1" t="s">
        <v>1275</v>
      </c>
      <c r="B8612" s="1" t="s">
        <v>2341</v>
      </c>
      <c r="C8612" s="1" t="s">
        <v>146</v>
      </c>
      <c r="D8612" s="3">
        <f t="shared" si="1325"/>
        <v>8198</v>
      </c>
      <c r="E8612" s="2">
        <f t="shared" si="1326"/>
        <v>43070</v>
      </c>
      <c r="F8612" s="2">
        <f t="shared" si="1327"/>
        <v>43496</v>
      </c>
    </row>
    <row r="8613" spans="1:6" x14ac:dyDescent="0.25">
      <c r="A8613" s="1" t="s">
        <v>1275</v>
      </c>
      <c r="B8613" s="1" t="s">
        <v>2341</v>
      </c>
      <c r="C8613" s="1" t="s">
        <v>148</v>
      </c>
      <c r="D8613" s="3">
        <f t="shared" si="1325"/>
        <v>8198</v>
      </c>
      <c r="E8613" s="2">
        <f t="shared" si="1326"/>
        <v>43070</v>
      </c>
      <c r="F8613" s="2">
        <f t="shared" si="1327"/>
        <v>43496</v>
      </c>
    </row>
    <row r="8614" spans="1:6" x14ac:dyDescent="0.25">
      <c r="A8614" s="1" t="s">
        <v>1275</v>
      </c>
      <c r="B8614" s="1" t="s">
        <v>2341</v>
      </c>
      <c r="C8614" s="1" t="s">
        <v>24</v>
      </c>
      <c r="D8614" s="3">
        <f t="shared" si="1325"/>
        <v>8198</v>
      </c>
      <c r="E8614" s="2">
        <f t="shared" si="1326"/>
        <v>43070</v>
      </c>
      <c r="F8614" s="2">
        <f t="shared" si="1327"/>
        <v>43496</v>
      </c>
    </row>
    <row r="8615" spans="1:6" x14ac:dyDescent="0.25">
      <c r="A8615" s="1" t="s">
        <v>1275</v>
      </c>
      <c r="B8615" s="1" t="s">
        <v>2341</v>
      </c>
      <c r="C8615" s="1" t="s">
        <v>34</v>
      </c>
      <c r="D8615" s="3">
        <f t="shared" si="1325"/>
        <v>8198</v>
      </c>
      <c r="E8615" s="2">
        <f t="shared" si="1326"/>
        <v>43070</v>
      </c>
      <c r="F8615" s="2">
        <f t="shared" si="1327"/>
        <v>43496</v>
      </c>
    </row>
    <row r="8616" spans="1:6" x14ac:dyDescent="0.25">
      <c r="A8616" s="1" t="s">
        <v>1275</v>
      </c>
      <c r="B8616" s="1" t="s">
        <v>2312</v>
      </c>
      <c r="C8616" s="1" t="s">
        <v>140</v>
      </c>
      <c r="D8616" s="3">
        <f t="shared" ref="D8616:D8623" si="1328">VALUE("8137")</f>
        <v>8137</v>
      </c>
      <c r="E8616" s="2">
        <f t="shared" ref="E8616:E8623" si="1329">DATEVALUE("1-9-2017")</f>
        <v>42979</v>
      </c>
      <c r="F8616" s="2">
        <f t="shared" ref="F8616:F8623" si="1330">DATEVALUE("31-7-2018")</f>
        <v>43312</v>
      </c>
    </row>
    <row r="8617" spans="1:6" x14ac:dyDescent="0.25">
      <c r="A8617" s="1" t="s">
        <v>1275</v>
      </c>
      <c r="B8617" s="1" t="s">
        <v>2312</v>
      </c>
      <c r="C8617" s="1" t="s">
        <v>14</v>
      </c>
      <c r="D8617" s="3">
        <f t="shared" si="1328"/>
        <v>8137</v>
      </c>
      <c r="E8617" s="2">
        <f t="shared" si="1329"/>
        <v>42979</v>
      </c>
      <c r="F8617" s="2">
        <f t="shared" si="1330"/>
        <v>43312</v>
      </c>
    </row>
    <row r="8618" spans="1:6" x14ac:dyDescent="0.25">
      <c r="A8618" s="1" t="s">
        <v>1275</v>
      </c>
      <c r="B8618" s="1" t="s">
        <v>2312</v>
      </c>
      <c r="C8618" s="1" t="s">
        <v>15</v>
      </c>
      <c r="D8618" s="3">
        <f t="shared" si="1328"/>
        <v>8137</v>
      </c>
      <c r="E8618" s="2">
        <f t="shared" si="1329"/>
        <v>42979</v>
      </c>
      <c r="F8618" s="2">
        <f t="shared" si="1330"/>
        <v>43312</v>
      </c>
    </row>
    <row r="8619" spans="1:6" x14ac:dyDescent="0.25">
      <c r="A8619" s="1" t="s">
        <v>1275</v>
      </c>
      <c r="B8619" s="1" t="s">
        <v>2312</v>
      </c>
      <c r="C8619" s="1" t="s">
        <v>89</v>
      </c>
      <c r="D8619" s="3">
        <f t="shared" si="1328"/>
        <v>8137</v>
      </c>
      <c r="E8619" s="2">
        <f t="shared" si="1329"/>
        <v>42979</v>
      </c>
      <c r="F8619" s="2">
        <f t="shared" si="1330"/>
        <v>43312</v>
      </c>
    </row>
    <row r="8620" spans="1:6" x14ac:dyDescent="0.25">
      <c r="A8620" s="1" t="s">
        <v>1275</v>
      </c>
      <c r="B8620" s="1" t="s">
        <v>2312</v>
      </c>
      <c r="C8620" s="1" t="s">
        <v>17</v>
      </c>
      <c r="D8620" s="3">
        <f t="shared" si="1328"/>
        <v>8137</v>
      </c>
      <c r="E8620" s="2">
        <f t="shared" si="1329"/>
        <v>42979</v>
      </c>
      <c r="F8620" s="2">
        <f t="shared" si="1330"/>
        <v>43312</v>
      </c>
    </row>
    <row r="8621" spans="1:6" x14ac:dyDescent="0.25">
      <c r="A8621" s="1" t="s">
        <v>1275</v>
      </c>
      <c r="B8621" s="1" t="s">
        <v>2312</v>
      </c>
      <c r="C8621" s="1" t="s">
        <v>151</v>
      </c>
      <c r="D8621" s="3">
        <f t="shared" si="1328"/>
        <v>8137</v>
      </c>
      <c r="E8621" s="2">
        <f t="shared" si="1329"/>
        <v>42979</v>
      </c>
      <c r="F8621" s="2">
        <f t="shared" si="1330"/>
        <v>43312</v>
      </c>
    </row>
    <row r="8622" spans="1:6" x14ac:dyDescent="0.25">
      <c r="A8622" s="1" t="s">
        <v>1275</v>
      </c>
      <c r="B8622" s="1" t="s">
        <v>2312</v>
      </c>
      <c r="C8622" s="1" t="s">
        <v>24</v>
      </c>
      <c r="D8622" s="3">
        <f t="shared" si="1328"/>
        <v>8137</v>
      </c>
      <c r="E8622" s="2">
        <f t="shared" si="1329"/>
        <v>42979</v>
      </c>
      <c r="F8622" s="2">
        <f t="shared" si="1330"/>
        <v>43312</v>
      </c>
    </row>
    <row r="8623" spans="1:6" x14ac:dyDescent="0.25">
      <c r="A8623" s="1" t="s">
        <v>1275</v>
      </c>
      <c r="B8623" s="1" t="s">
        <v>2312</v>
      </c>
      <c r="C8623" s="1" t="s">
        <v>34</v>
      </c>
      <c r="D8623" s="3">
        <f t="shared" si="1328"/>
        <v>8137</v>
      </c>
      <c r="E8623" s="2">
        <f t="shared" si="1329"/>
        <v>42979</v>
      </c>
      <c r="F8623" s="2">
        <f t="shared" si="1330"/>
        <v>43312</v>
      </c>
    </row>
    <row r="8624" spans="1:6" x14ac:dyDescent="0.25">
      <c r="A8624" s="1" t="s">
        <v>1275</v>
      </c>
      <c r="B8624" s="1" t="s">
        <v>2265</v>
      </c>
      <c r="C8624" s="1" t="s">
        <v>39</v>
      </c>
      <c r="D8624" s="3">
        <f t="shared" ref="D8624:D8640" si="1331">VALUE("8020")</f>
        <v>8020</v>
      </c>
      <c r="E8624" s="2">
        <f t="shared" ref="E8624:E8640" si="1332">DATEVALUE("1-2-2017")</f>
        <v>42767</v>
      </c>
      <c r="F8624" s="2">
        <f t="shared" ref="F8624:F8640" si="1333">DATEVALUE("31-10-2017")</f>
        <v>43039</v>
      </c>
    </row>
    <row r="8625" spans="1:6" x14ac:dyDescent="0.25">
      <c r="A8625" s="1" t="s">
        <v>1275</v>
      </c>
      <c r="B8625" s="1" t="s">
        <v>2265</v>
      </c>
      <c r="C8625" s="1" t="s">
        <v>43</v>
      </c>
      <c r="D8625" s="3">
        <f t="shared" si="1331"/>
        <v>8020</v>
      </c>
      <c r="E8625" s="2">
        <f t="shared" si="1332"/>
        <v>42767</v>
      </c>
      <c r="F8625" s="2">
        <f t="shared" si="1333"/>
        <v>43039</v>
      </c>
    </row>
    <row r="8626" spans="1:6" x14ac:dyDescent="0.25">
      <c r="A8626" s="1" t="s">
        <v>1275</v>
      </c>
      <c r="B8626" s="1" t="s">
        <v>2265</v>
      </c>
      <c r="C8626" s="1" t="s">
        <v>140</v>
      </c>
      <c r="D8626" s="3">
        <f t="shared" si="1331"/>
        <v>8020</v>
      </c>
      <c r="E8626" s="2">
        <f t="shared" si="1332"/>
        <v>42767</v>
      </c>
      <c r="F8626" s="2">
        <f t="shared" si="1333"/>
        <v>43039</v>
      </c>
    </row>
    <row r="8627" spans="1:6" x14ac:dyDescent="0.25">
      <c r="A8627" s="1" t="s">
        <v>1275</v>
      </c>
      <c r="B8627" s="1" t="s">
        <v>2265</v>
      </c>
      <c r="C8627" s="1" t="s">
        <v>141</v>
      </c>
      <c r="D8627" s="3">
        <f t="shared" si="1331"/>
        <v>8020</v>
      </c>
      <c r="E8627" s="2">
        <f t="shared" si="1332"/>
        <v>42767</v>
      </c>
      <c r="F8627" s="2">
        <f t="shared" si="1333"/>
        <v>43039</v>
      </c>
    </row>
    <row r="8628" spans="1:6" x14ac:dyDescent="0.25">
      <c r="A8628" s="1" t="s">
        <v>1275</v>
      </c>
      <c r="B8628" s="1" t="s">
        <v>2265</v>
      </c>
      <c r="C8628" s="1" t="s">
        <v>14</v>
      </c>
      <c r="D8628" s="3">
        <f t="shared" si="1331"/>
        <v>8020</v>
      </c>
      <c r="E8628" s="2">
        <f t="shared" si="1332"/>
        <v>42767</v>
      </c>
      <c r="F8628" s="2">
        <f t="shared" si="1333"/>
        <v>43039</v>
      </c>
    </row>
    <row r="8629" spans="1:6" x14ac:dyDescent="0.25">
      <c r="A8629" s="1" t="s">
        <v>1275</v>
      </c>
      <c r="B8629" s="1" t="s">
        <v>2265</v>
      </c>
      <c r="C8629" s="1" t="s">
        <v>15</v>
      </c>
      <c r="D8629" s="3">
        <f t="shared" si="1331"/>
        <v>8020</v>
      </c>
      <c r="E8629" s="2">
        <f t="shared" si="1332"/>
        <v>42767</v>
      </c>
      <c r="F8629" s="2">
        <f t="shared" si="1333"/>
        <v>43039</v>
      </c>
    </row>
    <row r="8630" spans="1:6" x14ac:dyDescent="0.25">
      <c r="A8630" s="1" t="s">
        <v>1275</v>
      </c>
      <c r="B8630" s="1" t="s">
        <v>2265</v>
      </c>
      <c r="C8630" s="1" t="s">
        <v>17</v>
      </c>
      <c r="D8630" s="3">
        <f t="shared" si="1331"/>
        <v>8020</v>
      </c>
      <c r="E8630" s="2">
        <f t="shared" si="1332"/>
        <v>42767</v>
      </c>
      <c r="F8630" s="2">
        <f t="shared" si="1333"/>
        <v>43039</v>
      </c>
    </row>
    <row r="8631" spans="1:6" x14ac:dyDescent="0.25">
      <c r="A8631" s="1" t="s">
        <v>1275</v>
      </c>
      <c r="B8631" s="1" t="s">
        <v>2265</v>
      </c>
      <c r="C8631" s="1" t="s">
        <v>146</v>
      </c>
      <c r="D8631" s="3">
        <f t="shared" si="1331"/>
        <v>8020</v>
      </c>
      <c r="E8631" s="2">
        <f t="shared" si="1332"/>
        <v>42767</v>
      </c>
      <c r="F8631" s="2">
        <f t="shared" si="1333"/>
        <v>43039</v>
      </c>
    </row>
    <row r="8632" spans="1:6" x14ac:dyDescent="0.25">
      <c r="A8632" s="1" t="s">
        <v>1275</v>
      </c>
      <c r="B8632" s="1" t="s">
        <v>2265</v>
      </c>
      <c r="C8632" s="1" t="s">
        <v>67</v>
      </c>
      <c r="D8632" s="3">
        <f t="shared" si="1331"/>
        <v>8020</v>
      </c>
      <c r="E8632" s="2">
        <f t="shared" si="1332"/>
        <v>42767</v>
      </c>
      <c r="F8632" s="2">
        <f t="shared" si="1333"/>
        <v>43039</v>
      </c>
    </row>
    <row r="8633" spans="1:6" x14ac:dyDescent="0.25">
      <c r="A8633" s="1" t="s">
        <v>1275</v>
      </c>
      <c r="B8633" s="1" t="s">
        <v>2265</v>
      </c>
      <c r="C8633" s="1" t="s">
        <v>148</v>
      </c>
      <c r="D8633" s="3">
        <f t="shared" si="1331"/>
        <v>8020</v>
      </c>
      <c r="E8633" s="2">
        <f t="shared" si="1332"/>
        <v>42767</v>
      </c>
      <c r="F8633" s="2">
        <f t="shared" si="1333"/>
        <v>43039</v>
      </c>
    </row>
    <row r="8634" spans="1:6" x14ac:dyDescent="0.25">
      <c r="A8634" s="1" t="s">
        <v>1275</v>
      </c>
      <c r="B8634" s="1" t="s">
        <v>2265</v>
      </c>
      <c r="C8634" s="1" t="s">
        <v>149</v>
      </c>
      <c r="D8634" s="3">
        <f t="shared" si="1331"/>
        <v>8020</v>
      </c>
      <c r="E8634" s="2">
        <f t="shared" si="1332"/>
        <v>42767</v>
      </c>
      <c r="F8634" s="2">
        <f t="shared" si="1333"/>
        <v>43039</v>
      </c>
    </row>
    <row r="8635" spans="1:6" x14ac:dyDescent="0.25">
      <c r="A8635" s="1" t="s">
        <v>1275</v>
      </c>
      <c r="B8635" s="1" t="s">
        <v>2265</v>
      </c>
      <c r="C8635" s="1" t="s">
        <v>151</v>
      </c>
      <c r="D8635" s="3">
        <f t="shared" si="1331"/>
        <v>8020</v>
      </c>
      <c r="E8635" s="2">
        <f t="shared" si="1332"/>
        <v>42767</v>
      </c>
      <c r="F8635" s="2">
        <f t="shared" si="1333"/>
        <v>43039</v>
      </c>
    </row>
    <row r="8636" spans="1:6" x14ac:dyDescent="0.25">
      <c r="A8636" s="1" t="s">
        <v>1275</v>
      </c>
      <c r="B8636" s="1" t="s">
        <v>2265</v>
      </c>
      <c r="C8636" s="1" t="s">
        <v>514</v>
      </c>
      <c r="D8636" s="3">
        <f t="shared" si="1331"/>
        <v>8020</v>
      </c>
      <c r="E8636" s="2">
        <f t="shared" si="1332"/>
        <v>42767</v>
      </c>
      <c r="F8636" s="2">
        <f t="shared" si="1333"/>
        <v>43039</v>
      </c>
    </row>
    <row r="8637" spans="1:6" x14ac:dyDescent="0.25">
      <c r="A8637" s="1" t="s">
        <v>1275</v>
      </c>
      <c r="B8637" s="1" t="s">
        <v>2265</v>
      </c>
      <c r="C8637" s="1" t="s">
        <v>515</v>
      </c>
      <c r="D8637" s="3">
        <f t="shared" si="1331"/>
        <v>8020</v>
      </c>
      <c r="E8637" s="2">
        <f t="shared" si="1332"/>
        <v>42767</v>
      </c>
      <c r="F8637" s="2">
        <f t="shared" si="1333"/>
        <v>43039</v>
      </c>
    </row>
    <row r="8638" spans="1:6" x14ac:dyDescent="0.25">
      <c r="A8638" s="1" t="s">
        <v>1275</v>
      </c>
      <c r="B8638" s="1" t="s">
        <v>2265</v>
      </c>
      <c r="C8638" s="1" t="s">
        <v>775</v>
      </c>
      <c r="D8638" s="3">
        <f t="shared" si="1331"/>
        <v>8020</v>
      </c>
      <c r="E8638" s="2">
        <f t="shared" si="1332"/>
        <v>42767</v>
      </c>
      <c r="F8638" s="2">
        <f t="shared" si="1333"/>
        <v>43039</v>
      </c>
    </row>
    <row r="8639" spans="1:6" x14ac:dyDescent="0.25">
      <c r="A8639" s="1" t="s">
        <v>1275</v>
      </c>
      <c r="B8639" s="1" t="s">
        <v>2265</v>
      </c>
      <c r="C8639" s="1" t="s">
        <v>381</v>
      </c>
      <c r="D8639" s="3">
        <f t="shared" si="1331"/>
        <v>8020</v>
      </c>
      <c r="E8639" s="2">
        <f t="shared" si="1332"/>
        <v>42767</v>
      </c>
      <c r="F8639" s="2">
        <f t="shared" si="1333"/>
        <v>43039</v>
      </c>
    </row>
    <row r="8640" spans="1:6" x14ac:dyDescent="0.25">
      <c r="A8640" s="1" t="s">
        <v>1275</v>
      </c>
      <c r="B8640" s="1" t="s">
        <v>2265</v>
      </c>
      <c r="C8640" s="1" t="s">
        <v>57</v>
      </c>
      <c r="D8640" s="3">
        <f t="shared" si="1331"/>
        <v>8020</v>
      </c>
      <c r="E8640" s="2">
        <f t="shared" si="1332"/>
        <v>42767</v>
      </c>
      <c r="F8640" s="2">
        <f t="shared" si="1333"/>
        <v>43039</v>
      </c>
    </row>
    <row r="8641" spans="1:6" x14ac:dyDescent="0.25">
      <c r="A8641" s="1" t="s">
        <v>1275</v>
      </c>
      <c r="B8641" s="1" t="s">
        <v>2269</v>
      </c>
      <c r="C8641" s="1" t="s">
        <v>14</v>
      </c>
      <c r="D8641" s="3">
        <f>VALUE("8033")</f>
        <v>8033</v>
      </c>
      <c r="E8641" s="2">
        <f>DATEVALUE("1-1-2017")</f>
        <v>42736</v>
      </c>
      <c r="F8641" s="2">
        <f>DATEVALUE("28-2-2017")</f>
        <v>42794</v>
      </c>
    </row>
    <row r="8642" spans="1:6" x14ac:dyDescent="0.25">
      <c r="A8642" s="1" t="s">
        <v>1275</v>
      </c>
      <c r="B8642" s="1" t="s">
        <v>2269</v>
      </c>
      <c r="C8642" s="1" t="s">
        <v>17</v>
      </c>
      <c r="D8642" s="3">
        <f>VALUE("8033")</f>
        <v>8033</v>
      </c>
      <c r="E8642" s="2">
        <f>DATEVALUE("1-1-2017")</f>
        <v>42736</v>
      </c>
      <c r="F8642" s="2">
        <f>DATEVALUE("28-2-2017")</f>
        <v>42794</v>
      </c>
    </row>
    <row r="8643" spans="1:6" x14ac:dyDescent="0.25">
      <c r="A8643" s="1" t="s">
        <v>1275</v>
      </c>
      <c r="B8643" s="1" t="s">
        <v>2269</v>
      </c>
      <c r="C8643" s="1" t="s">
        <v>148</v>
      </c>
      <c r="D8643" s="3">
        <f>VALUE("8033")</f>
        <v>8033</v>
      </c>
      <c r="E8643" s="2">
        <f>DATEVALUE("1-1-2017")</f>
        <v>42736</v>
      </c>
      <c r="F8643" s="2">
        <f>DATEVALUE("28-2-2017")</f>
        <v>42794</v>
      </c>
    </row>
    <row r="8644" spans="1:6" x14ac:dyDescent="0.25">
      <c r="A8644" s="1" t="s">
        <v>1275</v>
      </c>
      <c r="B8644" s="1" t="s">
        <v>2256</v>
      </c>
      <c r="C8644" s="1" t="s">
        <v>140</v>
      </c>
      <c r="D8644" s="3">
        <f t="shared" ref="D8644:D8653" si="1334">VALUE("7978")</f>
        <v>7978</v>
      </c>
      <c r="E8644" s="2">
        <f t="shared" ref="E8644:E8653" si="1335">DATEVALUE("1-12-2016")</f>
        <v>42705</v>
      </c>
      <c r="F8644" s="2">
        <f t="shared" ref="F8644:F8653" si="1336">DATEVALUE("30-4-2020")</f>
        <v>43951</v>
      </c>
    </row>
    <row r="8645" spans="1:6" x14ac:dyDescent="0.25">
      <c r="A8645" s="1" t="s">
        <v>1275</v>
      </c>
      <c r="B8645" s="1" t="s">
        <v>2256</v>
      </c>
      <c r="C8645" s="1" t="s">
        <v>141</v>
      </c>
      <c r="D8645" s="3">
        <f t="shared" si="1334"/>
        <v>7978</v>
      </c>
      <c r="E8645" s="2">
        <f t="shared" si="1335"/>
        <v>42705</v>
      </c>
      <c r="F8645" s="2">
        <f t="shared" si="1336"/>
        <v>43951</v>
      </c>
    </row>
    <row r="8646" spans="1:6" x14ac:dyDescent="0.25">
      <c r="A8646" s="1" t="s">
        <v>1275</v>
      </c>
      <c r="B8646" s="1" t="s">
        <v>2256</v>
      </c>
      <c r="C8646" s="1" t="s">
        <v>14</v>
      </c>
      <c r="D8646" s="3">
        <f t="shared" si="1334"/>
        <v>7978</v>
      </c>
      <c r="E8646" s="2">
        <f t="shared" si="1335"/>
        <v>42705</v>
      </c>
      <c r="F8646" s="2">
        <f t="shared" si="1336"/>
        <v>43951</v>
      </c>
    </row>
    <row r="8647" spans="1:6" x14ac:dyDescent="0.25">
      <c r="A8647" s="1" t="s">
        <v>1275</v>
      </c>
      <c r="B8647" s="1" t="s">
        <v>2256</v>
      </c>
      <c r="C8647" s="1" t="s">
        <v>15</v>
      </c>
      <c r="D8647" s="3">
        <f t="shared" si="1334"/>
        <v>7978</v>
      </c>
      <c r="E8647" s="2">
        <f t="shared" si="1335"/>
        <v>42705</v>
      </c>
      <c r="F8647" s="2">
        <f t="shared" si="1336"/>
        <v>43951</v>
      </c>
    </row>
    <row r="8648" spans="1:6" x14ac:dyDescent="0.25">
      <c r="A8648" s="1" t="s">
        <v>1275</v>
      </c>
      <c r="B8648" s="1" t="s">
        <v>2256</v>
      </c>
      <c r="C8648" s="1" t="s">
        <v>17</v>
      </c>
      <c r="D8648" s="3">
        <f t="shared" si="1334"/>
        <v>7978</v>
      </c>
      <c r="E8648" s="2">
        <f t="shared" si="1335"/>
        <v>42705</v>
      </c>
      <c r="F8648" s="2">
        <f t="shared" si="1336"/>
        <v>43951</v>
      </c>
    </row>
    <row r="8649" spans="1:6" x14ac:dyDescent="0.25">
      <c r="A8649" s="1" t="s">
        <v>1275</v>
      </c>
      <c r="B8649" s="1" t="s">
        <v>2256</v>
      </c>
      <c r="C8649" s="1" t="s">
        <v>417</v>
      </c>
      <c r="D8649" s="3">
        <f t="shared" si="1334"/>
        <v>7978</v>
      </c>
      <c r="E8649" s="2">
        <f t="shared" si="1335"/>
        <v>42705</v>
      </c>
      <c r="F8649" s="2">
        <f t="shared" si="1336"/>
        <v>43951</v>
      </c>
    </row>
    <row r="8650" spans="1:6" x14ac:dyDescent="0.25">
      <c r="A8650" s="1" t="s">
        <v>1275</v>
      </c>
      <c r="B8650" s="1" t="s">
        <v>2256</v>
      </c>
      <c r="C8650" s="1" t="s">
        <v>67</v>
      </c>
      <c r="D8650" s="3">
        <f t="shared" si="1334"/>
        <v>7978</v>
      </c>
      <c r="E8650" s="2">
        <f t="shared" si="1335"/>
        <v>42705</v>
      </c>
      <c r="F8650" s="2">
        <f t="shared" si="1336"/>
        <v>43951</v>
      </c>
    </row>
    <row r="8651" spans="1:6" x14ac:dyDescent="0.25">
      <c r="A8651" s="1" t="s">
        <v>1275</v>
      </c>
      <c r="B8651" s="1" t="s">
        <v>2256</v>
      </c>
      <c r="C8651" s="1" t="s">
        <v>149</v>
      </c>
      <c r="D8651" s="3">
        <f t="shared" si="1334"/>
        <v>7978</v>
      </c>
      <c r="E8651" s="2">
        <f t="shared" si="1335"/>
        <v>42705</v>
      </c>
      <c r="F8651" s="2">
        <f t="shared" si="1336"/>
        <v>43951</v>
      </c>
    </row>
    <row r="8652" spans="1:6" x14ac:dyDescent="0.25">
      <c r="A8652" s="1" t="s">
        <v>1275</v>
      </c>
      <c r="B8652" s="1" t="s">
        <v>2256</v>
      </c>
      <c r="C8652" s="1" t="s">
        <v>151</v>
      </c>
      <c r="D8652" s="3">
        <f t="shared" si="1334"/>
        <v>7978</v>
      </c>
      <c r="E8652" s="2">
        <f t="shared" si="1335"/>
        <v>42705</v>
      </c>
      <c r="F8652" s="2">
        <f t="shared" si="1336"/>
        <v>43951</v>
      </c>
    </row>
    <row r="8653" spans="1:6" x14ac:dyDescent="0.25">
      <c r="A8653" s="1" t="s">
        <v>1275</v>
      </c>
      <c r="B8653" s="1" t="s">
        <v>2256</v>
      </c>
      <c r="C8653" s="1" t="s">
        <v>34</v>
      </c>
      <c r="D8653" s="3">
        <f t="shared" si="1334"/>
        <v>7978</v>
      </c>
      <c r="E8653" s="2">
        <f t="shared" si="1335"/>
        <v>42705</v>
      </c>
      <c r="F8653" s="2">
        <f t="shared" si="1336"/>
        <v>43951</v>
      </c>
    </row>
    <row r="8654" spans="1:6" x14ac:dyDescent="0.25">
      <c r="A8654" s="1" t="s">
        <v>1275</v>
      </c>
      <c r="B8654" s="1" t="s">
        <v>2223</v>
      </c>
      <c r="C8654" s="1" t="s">
        <v>137</v>
      </c>
      <c r="D8654" s="3">
        <f t="shared" ref="D8654:D8663" si="1337">VALUE("7849")</f>
        <v>7849</v>
      </c>
      <c r="E8654" s="2">
        <f t="shared" ref="E8654:E8663" si="1338">DATEVALUE("1-7-2016")</f>
        <v>42552</v>
      </c>
      <c r="F8654" s="2">
        <f t="shared" ref="F8654:F8663" si="1339">DATEVALUE("30-6-2017")</f>
        <v>42916</v>
      </c>
    </row>
    <row r="8655" spans="1:6" x14ac:dyDescent="0.25">
      <c r="A8655" s="1" t="s">
        <v>1275</v>
      </c>
      <c r="B8655" s="1" t="s">
        <v>2223</v>
      </c>
      <c r="C8655" s="1" t="s">
        <v>46</v>
      </c>
      <c r="D8655" s="3">
        <f t="shared" si="1337"/>
        <v>7849</v>
      </c>
      <c r="E8655" s="2">
        <f t="shared" si="1338"/>
        <v>42552</v>
      </c>
      <c r="F8655" s="2">
        <f t="shared" si="1339"/>
        <v>42916</v>
      </c>
    </row>
    <row r="8656" spans="1:6" x14ac:dyDescent="0.25">
      <c r="A8656" s="1" t="s">
        <v>1275</v>
      </c>
      <c r="B8656" s="1" t="s">
        <v>2223</v>
      </c>
      <c r="C8656" s="1" t="s">
        <v>87</v>
      </c>
      <c r="D8656" s="3">
        <f t="shared" si="1337"/>
        <v>7849</v>
      </c>
      <c r="E8656" s="2">
        <f t="shared" si="1338"/>
        <v>42552</v>
      </c>
      <c r="F8656" s="2">
        <f t="shared" si="1339"/>
        <v>42916</v>
      </c>
    </row>
    <row r="8657" spans="1:6" x14ac:dyDescent="0.25">
      <c r="A8657" s="1" t="s">
        <v>1275</v>
      </c>
      <c r="B8657" s="1" t="s">
        <v>2223</v>
      </c>
      <c r="C8657" s="1" t="s">
        <v>14</v>
      </c>
      <c r="D8657" s="3">
        <f t="shared" si="1337"/>
        <v>7849</v>
      </c>
      <c r="E8657" s="2">
        <f t="shared" si="1338"/>
        <v>42552</v>
      </c>
      <c r="F8657" s="2">
        <f t="shared" si="1339"/>
        <v>42916</v>
      </c>
    </row>
    <row r="8658" spans="1:6" x14ac:dyDescent="0.25">
      <c r="A8658" s="1" t="s">
        <v>1275</v>
      </c>
      <c r="B8658" s="1" t="s">
        <v>2223</v>
      </c>
      <c r="C8658" s="1" t="s">
        <v>15</v>
      </c>
      <c r="D8658" s="3">
        <f t="shared" si="1337"/>
        <v>7849</v>
      </c>
      <c r="E8658" s="2">
        <f t="shared" si="1338"/>
        <v>42552</v>
      </c>
      <c r="F8658" s="2">
        <f t="shared" si="1339"/>
        <v>42916</v>
      </c>
    </row>
    <row r="8659" spans="1:6" x14ac:dyDescent="0.25">
      <c r="A8659" s="1" t="s">
        <v>1275</v>
      </c>
      <c r="B8659" s="1" t="s">
        <v>2223</v>
      </c>
      <c r="C8659" s="1" t="s">
        <v>17</v>
      </c>
      <c r="D8659" s="3">
        <f t="shared" si="1337"/>
        <v>7849</v>
      </c>
      <c r="E8659" s="2">
        <f t="shared" si="1338"/>
        <v>42552</v>
      </c>
      <c r="F8659" s="2">
        <f t="shared" si="1339"/>
        <v>42916</v>
      </c>
    </row>
    <row r="8660" spans="1:6" x14ac:dyDescent="0.25">
      <c r="A8660" s="1" t="s">
        <v>1275</v>
      </c>
      <c r="B8660" s="1" t="s">
        <v>2223</v>
      </c>
      <c r="C8660" s="1" t="s">
        <v>258</v>
      </c>
      <c r="D8660" s="3">
        <f t="shared" si="1337"/>
        <v>7849</v>
      </c>
      <c r="E8660" s="2">
        <f t="shared" si="1338"/>
        <v>42552</v>
      </c>
      <c r="F8660" s="2">
        <f t="shared" si="1339"/>
        <v>42916</v>
      </c>
    </row>
    <row r="8661" spans="1:6" x14ac:dyDescent="0.25">
      <c r="A8661" s="1" t="s">
        <v>1275</v>
      </c>
      <c r="B8661" s="1" t="s">
        <v>2223</v>
      </c>
      <c r="C8661" s="1" t="s">
        <v>148</v>
      </c>
      <c r="D8661" s="3">
        <f t="shared" si="1337"/>
        <v>7849</v>
      </c>
      <c r="E8661" s="2">
        <f t="shared" si="1338"/>
        <v>42552</v>
      </c>
      <c r="F8661" s="2">
        <f t="shared" si="1339"/>
        <v>42916</v>
      </c>
    </row>
    <row r="8662" spans="1:6" x14ac:dyDescent="0.25">
      <c r="A8662" s="1" t="s">
        <v>1275</v>
      </c>
      <c r="B8662" s="1" t="s">
        <v>2223</v>
      </c>
      <c r="C8662" s="1" t="s">
        <v>150</v>
      </c>
      <c r="D8662" s="3">
        <f t="shared" si="1337"/>
        <v>7849</v>
      </c>
      <c r="E8662" s="2">
        <f t="shared" si="1338"/>
        <v>42552</v>
      </c>
      <c r="F8662" s="2">
        <f t="shared" si="1339"/>
        <v>42916</v>
      </c>
    </row>
    <row r="8663" spans="1:6" x14ac:dyDescent="0.25">
      <c r="A8663" s="1" t="s">
        <v>1275</v>
      </c>
      <c r="B8663" s="1" t="s">
        <v>2223</v>
      </c>
      <c r="C8663" s="1" t="s">
        <v>164</v>
      </c>
      <c r="D8663" s="3">
        <f t="shared" si="1337"/>
        <v>7849</v>
      </c>
      <c r="E8663" s="2">
        <f t="shared" si="1338"/>
        <v>42552</v>
      </c>
      <c r="F8663" s="2">
        <f t="shared" si="1339"/>
        <v>42916</v>
      </c>
    </row>
    <row r="8664" spans="1:6" x14ac:dyDescent="0.25">
      <c r="A8664" s="1" t="s">
        <v>1275</v>
      </c>
      <c r="B8664" s="1" t="s">
        <v>2221</v>
      </c>
      <c r="C8664" s="1" t="s">
        <v>8</v>
      </c>
      <c r="D8664" s="3">
        <f t="shared" ref="D8664:D8672" si="1340">VALUE("7836")</f>
        <v>7836</v>
      </c>
      <c r="E8664" s="2">
        <f t="shared" ref="E8664:E8672" si="1341">DATEVALUE("1-1-2016")</f>
        <v>42370</v>
      </c>
      <c r="F8664" s="2">
        <f t="shared" ref="F8664:F8672" si="1342">DATEVALUE("31-12-2016")</f>
        <v>42735</v>
      </c>
    </row>
    <row r="8665" spans="1:6" x14ac:dyDescent="0.25">
      <c r="A8665" s="1" t="s">
        <v>1275</v>
      </c>
      <c r="B8665" s="1" t="s">
        <v>2221</v>
      </c>
      <c r="C8665" s="1" t="s">
        <v>14</v>
      </c>
      <c r="D8665" s="3">
        <f t="shared" si="1340"/>
        <v>7836</v>
      </c>
      <c r="E8665" s="2">
        <f t="shared" si="1341"/>
        <v>42370</v>
      </c>
      <c r="F8665" s="2">
        <f t="shared" si="1342"/>
        <v>42735</v>
      </c>
    </row>
    <row r="8666" spans="1:6" x14ac:dyDescent="0.25">
      <c r="A8666" s="1" t="s">
        <v>1275</v>
      </c>
      <c r="B8666" s="1" t="s">
        <v>2221</v>
      </c>
      <c r="C8666" s="1" t="s">
        <v>15</v>
      </c>
      <c r="D8666" s="3">
        <f t="shared" si="1340"/>
        <v>7836</v>
      </c>
      <c r="E8666" s="2">
        <f t="shared" si="1341"/>
        <v>42370</v>
      </c>
      <c r="F8666" s="2">
        <f t="shared" si="1342"/>
        <v>42735</v>
      </c>
    </row>
    <row r="8667" spans="1:6" x14ac:dyDescent="0.25">
      <c r="A8667" s="1" t="s">
        <v>1275</v>
      </c>
      <c r="B8667" s="1" t="s">
        <v>2221</v>
      </c>
      <c r="C8667" s="1" t="s">
        <v>17</v>
      </c>
      <c r="D8667" s="3">
        <f t="shared" si="1340"/>
        <v>7836</v>
      </c>
      <c r="E8667" s="2">
        <f t="shared" si="1341"/>
        <v>42370</v>
      </c>
      <c r="F8667" s="2">
        <f t="shared" si="1342"/>
        <v>42735</v>
      </c>
    </row>
    <row r="8668" spans="1:6" x14ac:dyDescent="0.25">
      <c r="A8668" s="1" t="s">
        <v>1275</v>
      </c>
      <c r="B8668" s="1" t="s">
        <v>2221</v>
      </c>
      <c r="C8668" s="1" t="s">
        <v>22</v>
      </c>
      <c r="D8668" s="3">
        <f t="shared" si="1340"/>
        <v>7836</v>
      </c>
      <c r="E8668" s="2">
        <f t="shared" si="1341"/>
        <v>42370</v>
      </c>
      <c r="F8668" s="2">
        <f t="shared" si="1342"/>
        <v>42735</v>
      </c>
    </row>
    <row r="8669" spans="1:6" x14ac:dyDescent="0.25">
      <c r="A8669" s="1" t="s">
        <v>1275</v>
      </c>
      <c r="B8669" s="1" t="s">
        <v>2221</v>
      </c>
      <c r="C8669" s="1" t="s">
        <v>148</v>
      </c>
      <c r="D8669" s="3">
        <f t="shared" si="1340"/>
        <v>7836</v>
      </c>
      <c r="E8669" s="2">
        <f t="shared" si="1341"/>
        <v>42370</v>
      </c>
      <c r="F8669" s="2">
        <f t="shared" si="1342"/>
        <v>42735</v>
      </c>
    </row>
    <row r="8670" spans="1:6" x14ac:dyDescent="0.25">
      <c r="A8670" s="1" t="s">
        <v>1275</v>
      </c>
      <c r="B8670" s="1" t="s">
        <v>2221</v>
      </c>
      <c r="C8670" s="1" t="s">
        <v>149</v>
      </c>
      <c r="D8670" s="3">
        <f t="shared" si="1340"/>
        <v>7836</v>
      </c>
      <c r="E8670" s="2">
        <f t="shared" si="1341"/>
        <v>42370</v>
      </c>
      <c r="F8670" s="2">
        <f t="shared" si="1342"/>
        <v>42735</v>
      </c>
    </row>
    <row r="8671" spans="1:6" x14ac:dyDescent="0.25">
      <c r="A8671" s="1" t="s">
        <v>1275</v>
      </c>
      <c r="B8671" s="1" t="s">
        <v>2221</v>
      </c>
      <c r="C8671" s="1" t="s">
        <v>24</v>
      </c>
      <c r="D8671" s="3">
        <f t="shared" si="1340"/>
        <v>7836</v>
      </c>
      <c r="E8671" s="2">
        <f t="shared" si="1341"/>
        <v>42370</v>
      </c>
      <c r="F8671" s="2">
        <f t="shared" si="1342"/>
        <v>42735</v>
      </c>
    </row>
    <row r="8672" spans="1:6" x14ac:dyDescent="0.25">
      <c r="A8672" s="1" t="s">
        <v>1275</v>
      </c>
      <c r="B8672" s="1" t="s">
        <v>2221</v>
      </c>
      <c r="C8672" s="1" t="s">
        <v>34</v>
      </c>
      <c r="D8672" s="3">
        <f t="shared" si="1340"/>
        <v>7836</v>
      </c>
      <c r="E8672" s="2">
        <f t="shared" si="1341"/>
        <v>42370</v>
      </c>
      <c r="F8672" s="2">
        <f t="shared" si="1342"/>
        <v>42735</v>
      </c>
    </row>
    <row r="8673" spans="1:6" x14ac:dyDescent="0.25">
      <c r="A8673" s="1" t="s">
        <v>1275</v>
      </c>
      <c r="B8673" s="1" t="s">
        <v>2216</v>
      </c>
      <c r="C8673" s="1" t="s">
        <v>137</v>
      </c>
      <c r="D8673" s="3">
        <f t="shared" ref="D8673:D8683" si="1343">VALUE("7827")</f>
        <v>7827</v>
      </c>
      <c r="E8673" s="2">
        <f t="shared" ref="E8673:E8683" si="1344">DATEVALUE("1-12-2015")</f>
        <v>42339</v>
      </c>
      <c r="F8673" s="2">
        <f t="shared" ref="F8673:F8683" si="1345">DATEVALUE("31-5-2016")</f>
        <v>42521</v>
      </c>
    </row>
    <row r="8674" spans="1:6" x14ac:dyDescent="0.25">
      <c r="A8674" s="1" t="s">
        <v>1275</v>
      </c>
      <c r="B8674" s="1" t="s">
        <v>2216</v>
      </c>
      <c r="C8674" s="1" t="s">
        <v>485</v>
      </c>
      <c r="D8674" s="3">
        <f t="shared" si="1343"/>
        <v>7827</v>
      </c>
      <c r="E8674" s="2">
        <f t="shared" si="1344"/>
        <v>42339</v>
      </c>
      <c r="F8674" s="2">
        <f t="shared" si="1345"/>
        <v>42521</v>
      </c>
    </row>
    <row r="8675" spans="1:6" x14ac:dyDescent="0.25">
      <c r="A8675" s="1" t="s">
        <v>1275</v>
      </c>
      <c r="B8675" s="1" t="s">
        <v>2216</v>
      </c>
      <c r="C8675" s="1" t="s">
        <v>141</v>
      </c>
      <c r="D8675" s="3">
        <f t="shared" si="1343"/>
        <v>7827</v>
      </c>
      <c r="E8675" s="2">
        <f t="shared" si="1344"/>
        <v>42339</v>
      </c>
      <c r="F8675" s="2">
        <f t="shared" si="1345"/>
        <v>42521</v>
      </c>
    </row>
    <row r="8676" spans="1:6" x14ac:dyDescent="0.25">
      <c r="A8676" s="1" t="s">
        <v>1275</v>
      </c>
      <c r="B8676" s="1" t="s">
        <v>2216</v>
      </c>
      <c r="C8676" s="1" t="s">
        <v>14</v>
      </c>
      <c r="D8676" s="3">
        <f t="shared" si="1343"/>
        <v>7827</v>
      </c>
      <c r="E8676" s="2">
        <f t="shared" si="1344"/>
        <v>42339</v>
      </c>
      <c r="F8676" s="2">
        <f t="shared" si="1345"/>
        <v>42521</v>
      </c>
    </row>
    <row r="8677" spans="1:6" x14ac:dyDescent="0.25">
      <c r="A8677" s="1" t="s">
        <v>1275</v>
      </c>
      <c r="B8677" s="1" t="s">
        <v>2216</v>
      </c>
      <c r="C8677" s="1" t="s">
        <v>15</v>
      </c>
      <c r="D8677" s="3">
        <f t="shared" si="1343"/>
        <v>7827</v>
      </c>
      <c r="E8677" s="2">
        <f t="shared" si="1344"/>
        <v>42339</v>
      </c>
      <c r="F8677" s="2">
        <f t="shared" si="1345"/>
        <v>42521</v>
      </c>
    </row>
    <row r="8678" spans="1:6" x14ac:dyDescent="0.25">
      <c r="A8678" s="1" t="s">
        <v>1275</v>
      </c>
      <c r="B8678" s="1" t="s">
        <v>2216</v>
      </c>
      <c r="C8678" s="1" t="s">
        <v>17</v>
      </c>
      <c r="D8678" s="3">
        <f t="shared" si="1343"/>
        <v>7827</v>
      </c>
      <c r="E8678" s="2">
        <f t="shared" si="1344"/>
        <v>42339</v>
      </c>
      <c r="F8678" s="2">
        <f t="shared" si="1345"/>
        <v>42521</v>
      </c>
    </row>
    <row r="8679" spans="1:6" x14ac:dyDescent="0.25">
      <c r="A8679" s="1" t="s">
        <v>1275</v>
      </c>
      <c r="B8679" s="1" t="s">
        <v>2216</v>
      </c>
      <c r="C8679" s="1" t="s">
        <v>197</v>
      </c>
      <c r="D8679" s="3">
        <f t="shared" si="1343"/>
        <v>7827</v>
      </c>
      <c r="E8679" s="2">
        <f t="shared" si="1344"/>
        <v>42339</v>
      </c>
      <c r="F8679" s="2">
        <f t="shared" si="1345"/>
        <v>42521</v>
      </c>
    </row>
    <row r="8680" spans="1:6" x14ac:dyDescent="0.25">
      <c r="A8680" s="1" t="s">
        <v>1275</v>
      </c>
      <c r="B8680" s="1" t="s">
        <v>2216</v>
      </c>
      <c r="C8680" s="1" t="s">
        <v>258</v>
      </c>
      <c r="D8680" s="3">
        <f t="shared" si="1343"/>
        <v>7827</v>
      </c>
      <c r="E8680" s="2">
        <f t="shared" si="1344"/>
        <v>42339</v>
      </c>
      <c r="F8680" s="2">
        <f t="shared" si="1345"/>
        <v>42521</v>
      </c>
    </row>
    <row r="8681" spans="1:6" x14ac:dyDescent="0.25">
      <c r="A8681" s="1" t="s">
        <v>1275</v>
      </c>
      <c r="B8681" s="1" t="s">
        <v>2216</v>
      </c>
      <c r="C8681" s="1" t="s">
        <v>148</v>
      </c>
      <c r="D8681" s="3">
        <f t="shared" si="1343"/>
        <v>7827</v>
      </c>
      <c r="E8681" s="2">
        <f t="shared" si="1344"/>
        <v>42339</v>
      </c>
      <c r="F8681" s="2">
        <f t="shared" si="1345"/>
        <v>42521</v>
      </c>
    </row>
    <row r="8682" spans="1:6" x14ac:dyDescent="0.25">
      <c r="A8682" s="1" t="s">
        <v>1275</v>
      </c>
      <c r="B8682" s="1" t="s">
        <v>2216</v>
      </c>
      <c r="C8682" s="1" t="s">
        <v>150</v>
      </c>
      <c r="D8682" s="3">
        <f t="shared" si="1343"/>
        <v>7827</v>
      </c>
      <c r="E8682" s="2">
        <f t="shared" si="1344"/>
        <v>42339</v>
      </c>
      <c r="F8682" s="2">
        <f t="shared" si="1345"/>
        <v>42521</v>
      </c>
    </row>
    <row r="8683" spans="1:6" x14ac:dyDescent="0.25">
      <c r="A8683" s="1" t="s">
        <v>1275</v>
      </c>
      <c r="B8683" s="1" t="s">
        <v>2216</v>
      </c>
      <c r="C8683" s="1" t="s">
        <v>310</v>
      </c>
      <c r="D8683" s="3">
        <f t="shared" si="1343"/>
        <v>7827</v>
      </c>
      <c r="E8683" s="2">
        <f t="shared" si="1344"/>
        <v>42339</v>
      </c>
      <c r="F8683" s="2">
        <f t="shared" si="1345"/>
        <v>42521</v>
      </c>
    </row>
    <row r="8684" spans="1:6" x14ac:dyDescent="0.25">
      <c r="A8684" s="1" t="s">
        <v>1275</v>
      </c>
      <c r="B8684" s="1" t="s">
        <v>1984</v>
      </c>
      <c r="C8684" s="1" t="s">
        <v>39</v>
      </c>
      <c r="D8684" s="3">
        <f t="shared" ref="D8684:D8696" si="1346">VALUE("7763")</f>
        <v>7763</v>
      </c>
      <c r="E8684" s="2">
        <f t="shared" ref="E8684:E8696" si="1347">DATEVALUE("1-6-2015")</f>
        <v>42156</v>
      </c>
      <c r="F8684" s="2">
        <f t="shared" ref="F8684:F8696" si="1348">DATEVALUE("30-11-2015")</f>
        <v>42338</v>
      </c>
    </row>
    <row r="8685" spans="1:6" x14ac:dyDescent="0.25">
      <c r="A8685" s="1" t="s">
        <v>1275</v>
      </c>
      <c r="B8685" s="1" t="s">
        <v>1984</v>
      </c>
      <c r="C8685" s="1" t="s">
        <v>8</v>
      </c>
      <c r="D8685" s="3">
        <f t="shared" si="1346"/>
        <v>7763</v>
      </c>
      <c r="E8685" s="2">
        <f t="shared" si="1347"/>
        <v>42156</v>
      </c>
      <c r="F8685" s="2">
        <f t="shared" si="1348"/>
        <v>42338</v>
      </c>
    </row>
    <row r="8686" spans="1:6" x14ac:dyDescent="0.25">
      <c r="A8686" s="1" t="s">
        <v>1275</v>
      </c>
      <c r="B8686" s="1" t="s">
        <v>1984</v>
      </c>
      <c r="C8686" s="1" t="s">
        <v>43</v>
      </c>
      <c r="D8686" s="3">
        <f t="shared" si="1346"/>
        <v>7763</v>
      </c>
      <c r="E8686" s="2">
        <f t="shared" si="1347"/>
        <v>42156</v>
      </c>
      <c r="F8686" s="2">
        <f t="shared" si="1348"/>
        <v>42338</v>
      </c>
    </row>
    <row r="8687" spans="1:6" x14ac:dyDescent="0.25">
      <c r="A8687" s="1" t="s">
        <v>1275</v>
      </c>
      <c r="B8687" s="1" t="s">
        <v>1984</v>
      </c>
      <c r="C8687" s="1" t="s">
        <v>141</v>
      </c>
      <c r="D8687" s="3">
        <f t="shared" si="1346"/>
        <v>7763</v>
      </c>
      <c r="E8687" s="2">
        <f t="shared" si="1347"/>
        <v>42156</v>
      </c>
      <c r="F8687" s="2">
        <f t="shared" si="1348"/>
        <v>42338</v>
      </c>
    </row>
    <row r="8688" spans="1:6" x14ac:dyDescent="0.25">
      <c r="A8688" s="1" t="s">
        <v>1275</v>
      </c>
      <c r="B8688" s="1" t="s">
        <v>1984</v>
      </c>
      <c r="C8688" s="1" t="s">
        <v>142</v>
      </c>
      <c r="D8688" s="3">
        <f t="shared" si="1346"/>
        <v>7763</v>
      </c>
      <c r="E8688" s="2">
        <f t="shared" si="1347"/>
        <v>42156</v>
      </c>
      <c r="F8688" s="2">
        <f t="shared" si="1348"/>
        <v>42338</v>
      </c>
    </row>
    <row r="8689" spans="1:6" x14ac:dyDescent="0.25">
      <c r="A8689" s="1" t="s">
        <v>1275</v>
      </c>
      <c r="B8689" s="1" t="s">
        <v>1984</v>
      </c>
      <c r="C8689" s="1" t="s">
        <v>14</v>
      </c>
      <c r="D8689" s="3">
        <f t="shared" si="1346"/>
        <v>7763</v>
      </c>
      <c r="E8689" s="2">
        <f t="shared" si="1347"/>
        <v>42156</v>
      </c>
      <c r="F8689" s="2">
        <f t="shared" si="1348"/>
        <v>42338</v>
      </c>
    </row>
    <row r="8690" spans="1:6" x14ac:dyDescent="0.25">
      <c r="A8690" s="1" t="s">
        <v>1275</v>
      </c>
      <c r="B8690" s="1" t="s">
        <v>1984</v>
      </c>
      <c r="C8690" s="1" t="s">
        <v>16</v>
      </c>
      <c r="D8690" s="3">
        <f t="shared" si="1346"/>
        <v>7763</v>
      </c>
      <c r="E8690" s="2">
        <f t="shared" si="1347"/>
        <v>42156</v>
      </c>
      <c r="F8690" s="2">
        <f t="shared" si="1348"/>
        <v>42338</v>
      </c>
    </row>
    <row r="8691" spans="1:6" x14ac:dyDescent="0.25">
      <c r="A8691" s="1" t="s">
        <v>1275</v>
      </c>
      <c r="B8691" s="1" t="s">
        <v>1984</v>
      </c>
      <c r="C8691" s="1" t="s">
        <v>17</v>
      </c>
      <c r="D8691" s="3">
        <f t="shared" si="1346"/>
        <v>7763</v>
      </c>
      <c r="E8691" s="2">
        <f t="shared" si="1347"/>
        <v>42156</v>
      </c>
      <c r="F8691" s="2">
        <f t="shared" si="1348"/>
        <v>42338</v>
      </c>
    </row>
    <row r="8692" spans="1:6" x14ac:dyDescent="0.25">
      <c r="A8692" s="1" t="s">
        <v>1275</v>
      </c>
      <c r="B8692" s="1" t="s">
        <v>1984</v>
      </c>
      <c r="C8692" s="1" t="s">
        <v>148</v>
      </c>
      <c r="D8692" s="3">
        <f t="shared" si="1346"/>
        <v>7763</v>
      </c>
      <c r="E8692" s="2">
        <f t="shared" si="1347"/>
        <v>42156</v>
      </c>
      <c r="F8692" s="2">
        <f t="shared" si="1348"/>
        <v>42338</v>
      </c>
    </row>
    <row r="8693" spans="1:6" x14ac:dyDescent="0.25">
      <c r="A8693" s="1" t="s">
        <v>1275</v>
      </c>
      <c r="B8693" s="1" t="s">
        <v>1984</v>
      </c>
      <c r="C8693" s="1" t="s">
        <v>150</v>
      </c>
      <c r="D8693" s="3">
        <f t="shared" si="1346"/>
        <v>7763</v>
      </c>
      <c r="E8693" s="2">
        <f t="shared" si="1347"/>
        <v>42156</v>
      </c>
      <c r="F8693" s="2">
        <f t="shared" si="1348"/>
        <v>42338</v>
      </c>
    </row>
    <row r="8694" spans="1:6" x14ac:dyDescent="0.25">
      <c r="A8694" s="1" t="s">
        <v>1275</v>
      </c>
      <c r="B8694" s="1" t="s">
        <v>1984</v>
      </c>
      <c r="C8694" s="1" t="s">
        <v>73</v>
      </c>
      <c r="D8694" s="3">
        <f t="shared" si="1346"/>
        <v>7763</v>
      </c>
      <c r="E8694" s="2">
        <f t="shared" si="1347"/>
        <v>42156</v>
      </c>
      <c r="F8694" s="2">
        <f t="shared" si="1348"/>
        <v>42338</v>
      </c>
    </row>
    <row r="8695" spans="1:6" x14ac:dyDescent="0.25">
      <c r="A8695" s="1" t="s">
        <v>1275</v>
      </c>
      <c r="B8695" s="1" t="s">
        <v>1984</v>
      </c>
      <c r="C8695" s="1" t="s">
        <v>306</v>
      </c>
      <c r="D8695" s="3">
        <f t="shared" si="1346"/>
        <v>7763</v>
      </c>
      <c r="E8695" s="2">
        <f t="shared" si="1347"/>
        <v>42156</v>
      </c>
      <c r="F8695" s="2">
        <f t="shared" si="1348"/>
        <v>42338</v>
      </c>
    </row>
    <row r="8696" spans="1:6" x14ac:dyDescent="0.25">
      <c r="A8696" s="1" t="s">
        <v>1275</v>
      </c>
      <c r="B8696" s="1" t="s">
        <v>1984</v>
      </c>
      <c r="C8696" s="1" t="s">
        <v>57</v>
      </c>
      <c r="D8696" s="3">
        <f t="shared" si="1346"/>
        <v>7763</v>
      </c>
      <c r="E8696" s="2">
        <f t="shared" si="1347"/>
        <v>42156</v>
      </c>
      <c r="F8696" s="2">
        <f t="shared" si="1348"/>
        <v>42338</v>
      </c>
    </row>
    <row r="8697" spans="1:6" x14ac:dyDescent="0.25">
      <c r="A8697" s="1" t="s">
        <v>1275</v>
      </c>
      <c r="B8697" s="1" t="s">
        <v>1968</v>
      </c>
      <c r="C8697" s="1" t="s">
        <v>137</v>
      </c>
      <c r="D8697" s="3">
        <f t="shared" ref="D8697:D8705" si="1349">VALUE("7733")</f>
        <v>7733</v>
      </c>
      <c r="E8697" s="2">
        <f t="shared" ref="E8697:E8705" si="1350">DATEVALUE("1-5-2015")</f>
        <v>42125</v>
      </c>
      <c r="F8697" s="2">
        <f t="shared" ref="F8697:F8705" si="1351">DATEVALUE("30-4-2016")</f>
        <v>42490</v>
      </c>
    </row>
    <row r="8698" spans="1:6" x14ac:dyDescent="0.25">
      <c r="A8698" s="1" t="s">
        <v>1275</v>
      </c>
      <c r="B8698" s="1" t="s">
        <v>1968</v>
      </c>
      <c r="C8698" s="1" t="s">
        <v>46</v>
      </c>
      <c r="D8698" s="3">
        <f t="shared" si="1349"/>
        <v>7733</v>
      </c>
      <c r="E8698" s="2">
        <f t="shared" si="1350"/>
        <v>42125</v>
      </c>
      <c r="F8698" s="2">
        <f t="shared" si="1351"/>
        <v>42490</v>
      </c>
    </row>
    <row r="8699" spans="1:6" x14ac:dyDescent="0.25">
      <c r="A8699" s="1" t="s">
        <v>1275</v>
      </c>
      <c r="B8699" s="1" t="s">
        <v>1968</v>
      </c>
      <c r="C8699" s="1" t="s">
        <v>15</v>
      </c>
      <c r="D8699" s="3">
        <f t="shared" si="1349"/>
        <v>7733</v>
      </c>
      <c r="E8699" s="2">
        <f t="shared" si="1350"/>
        <v>42125</v>
      </c>
      <c r="F8699" s="2">
        <f t="shared" si="1351"/>
        <v>42490</v>
      </c>
    </row>
    <row r="8700" spans="1:6" x14ac:dyDescent="0.25">
      <c r="A8700" s="1" t="s">
        <v>1275</v>
      </c>
      <c r="B8700" s="1" t="s">
        <v>1968</v>
      </c>
      <c r="C8700" s="1" t="s">
        <v>17</v>
      </c>
      <c r="D8700" s="3">
        <f t="shared" si="1349"/>
        <v>7733</v>
      </c>
      <c r="E8700" s="2">
        <f t="shared" si="1350"/>
        <v>42125</v>
      </c>
      <c r="F8700" s="2">
        <f t="shared" si="1351"/>
        <v>42490</v>
      </c>
    </row>
    <row r="8701" spans="1:6" x14ac:dyDescent="0.25">
      <c r="A8701" s="1" t="s">
        <v>1275</v>
      </c>
      <c r="B8701" s="1" t="s">
        <v>1968</v>
      </c>
      <c r="C8701" s="1" t="s">
        <v>168</v>
      </c>
      <c r="D8701" s="3">
        <f t="shared" si="1349"/>
        <v>7733</v>
      </c>
      <c r="E8701" s="2">
        <f t="shared" si="1350"/>
        <v>42125</v>
      </c>
      <c r="F8701" s="2">
        <f t="shared" si="1351"/>
        <v>42490</v>
      </c>
    </row>
    <row r="8702" spans="1:6" x14ac:dyDescent="0.25">
      <c r="A8702" s="1" t="s">
        <v>1275</v>
      </c>
      <c r="B8702" s="1" t="s">
        <v>1968</v>
      </c>
      <c r="C8702" s="1" t="s">
        <v>197</v>
      </c>
      <c r="D8702" s="3">
        <f t="shared" si="1349"/>
        <v>7733</v>
      </c>
      <c r="E8702" s="2">
        <f t="shared" si="1350"/>
        <v>42125</v>
      </c>
      <c r="F8702" s="2">
        <f t="shared" si="1351"/>
        <v>42490</v>
      </c>
    </row>
    <row r="8703" spans="1:6" x14ac:dyDescent="0.25">
      <c r="A8703" s="1" t="s">
        <v>1275</v>
      </c>
      <c r="B8703" s="1" t="s">
        <v>1968</v>
      </c>
      <c r="C8703" s="1" t="s">
        <v>258</v>
      </c>
      <c r="D8703" s="3">
        <f t="shared" si="1349"/>
        <v>7733</v>
      </c>
      <c r="E8703" s="2">
        <f t="shared" si="1350"/>
        <v>42125</v>
      </c>
      <c r="F8703" s="2">
        <f t="shared" si="1351"/>
        <v>42490</v>
      </c>
    </row>
    <row r="8704" spans="1:6" x14ac:dyDescent="0.25">
      <c r="A8704" s="1" t="s">
        <v>1275</v>
      </c>
      <c r="B8704" s="1" t="s">
        <v>1968</v>
      </c>
      <c r="C8704" s="1" t="s">
        <v>148</v>
      </c>
      <c r="D8704" s="3">
        <f t="shared" si="1349"/>
        <v>7733</v>
      </c>
      <c r="E8704" s="2">
        <f t="shared" si="1350"/>
        <v>42125</v>
      </c>
      <c r="F8704" s="2">
        <f t="shared" si="1351"/>
        <v>42490</v>
      </c>
    </row>
    <row r="8705" spans="1:6" x14ac:dyDescent="0.25">
      <c r="A8705" s="1" t="s">
        <v>1275</v>
      </c>
      <c r="B8705" s="1" t="s">
        <v>1968</v>
      </c>
      <c r="C8705" s="1" t="s">
        <v>150</v>
      </c>
      <c r="D8705" s="3">
        <f t="shared" si="1349"/>
        <v>7733</v>
      </c>
      <c r="E8705" s="2">
        <f t="shared" si="1350"/>
        <v>42125</v>
      </c>
      <c r="F8705" s="2">
        <f t="shared" si="1351"/>
        <v>42490</v>
      </c>
    </row>
    <row r="8706" spans="1:6" x14ac:dyDescent="0.25">
      <c r="A8706" s="1" t="s">
        <v>1275</v>
      </c>
      <c r="B8706" s="1" t="s">
        <v>1732</v>
      </c>
      <c r="C8706" s="1" t="s">
        <v>39</v>
      </c>
      <c r="D8706" s="3">
        <f t="shared" ref="D8706:D8717" si="1352">VALUE("7703")</f>
        <v>7703</v>
      </c>
      <c r="E8706" s="2">
        <f t="shared" ref="E8706:E8717" si="1353">DATEVALUE("1-1-2015")</f>
        <v>42005</v>
      </c>
      <c r="F8706" s="2">
        <f t="shared" ref="F8706:F8717" si="1354">DATEVALUE("30-11-2015")</f>
        <v>42338</v>
      </c>
    </row>
    <row r="8707" spans="1:6" x14ac:dyDescent="0.25">
      <c r="A8707" s="1" t="s">
        <v>1275</v>
      </c>
      <c r="B8707" s="1" t="s">
        <v>1732</v>
      </c>
      <c r="C8707" s="1" t="s">
        <v>137</v>
      </c>
      <c r="D8707" s="3">
        <f t="shared" si="1352"/>
        <v>7703</v>
      </c>
      <c r="E8707" s="2">
        <f t="shared" si="1353"/>
        <v>42005</v>
      </c>
      <c r="F8707" s="2">
        <f t="shared" si="1354"/>
        <v>42338</v>
      </c>
    </row>
    <row r="8708" spans="1:6" x14ac:dyDescent="0.25">
      <c r="A8708" s="1" t="s">
        <v>1275</v>
      </c>
      <c r="B8708" s="1" t="s">
        <v>1732</v>
      </c>
      <c r="C8708" s="1" t="s">
        <v>43</v>
      </c>
      <c r="D8708" s="3">
        <f t="shared" si="1352"/>
        <v>7703</v>
      </c>
      <c r="E8708" s="2">
        <f t="shared" si="1353"/>
        <v>42005</v>
      </c>
      <c r="F8708" s="2">
        <f t="shared" si="1354"/>
        <v>42338</v>
      </c>
    </row>
    <row r="8709" spans="1:6" x14ac:dyDescent="0.25">
      <c r="A8709" s="1" t="s">
        <v>1275</v>
      </c>
      <c r="B8709" s="1" t="s">
        <v>1732</v>
      </c>
      <c r="C8709" s="1" t="s">
        <v>46</v>
      </c>
      <c r="D8709" s="3">
        <f t="shared" si="1352"/>
        <v>7703</v>
      </c>
      <c r="E8709" s="2">
        <f t="shared" si="1353"/>
        <v>42005</v>
      </c>
      <c r="F8709" s="2">
        <f t="shared" si="1354"/>
        <v>42338</v>
      </c>
    </row>
    <row r="8710" spans="1:6" x14ac:dyDescent="0.25">
      <c r="A8710" s="1" t="s">
        <v>1275</v>
      </c>
      <c r="B8710" s="1" t="s">
        <v>1732</v>
      </c>
      <c r="C8710" s="1" t="s">
        <v>15</v>
      </c>
      <c r="D8710" s="3">
        <f t="shared" si="1352"/>
        <v>7703</v>
      </c>
      <c r="E8710" s="2">
        <f t="shared" si="1353"/>
        <v>42005</v>
      </c>
      <c r="F8710" s="2">
        <f t="shared" si="1354"/>
        <v>42338</v>
      </c>
    </row>
    <row r="8711" spans="1:6" x14ac:dyDescent="0.25">
      <c r="A8711" s="1" t="s">
        <v>1275</v>
      </c>
      <c r="B8711" s="1" t="s">
        <v>1732</v>
      </c>
      <c r="C8711" s="1" t="s">
        <v>17</v>
      </c>
      <c r="D8711" s="3">
        <f t="shared" si="1352"/>
        <v>7703</v>
      </c>
      <c r="E8711" s="2">
        <f t="shared" si="1353"/>
        <v>42005</v>
      </c>
      <c r="F8711" s="2">
        <f t="shared" si="1354"/>
        <v>42338</v>
      </c>
    </row>
    <row r="8712" spans="1:6" x14ac:dyDescent="0.25">
      <c r="A8712" s="1" t="s">
        <v>1275</v>
      </c>
      <c r="B8712" s="1" t="s">
        <v>1732</v>
      </c>
      <c r="C8712" s="1" t="s">
        <v>148</v>
      </c>
      <c r="D8712" s="3">
        <f t="shared" si="1352"/>
        <v>7703</v>
      </c>
      <c r="E8712" s="2">
        <f t="shared" si="1353"/>
        <v>42005</v>
      </c>
      <c r="F8712" s="2">
        <f t="shared" si="1354"/>
        <v>42338</v>
      </c>
    </row>
    <row r="8713" spans="1:6" x14ac:dyDescent="0.25">
      <c r="A8713" s="1" t="s">
        <v>1275</v>
      </c>
      <c r="B8713" s="1" t="s">
        <v>1732</v>
      </c>
      <c r="C8713" s="1" t="s">
        <v>149</v>
      </c>
      <c r="D8713" s="3">
        <f t="shared" si="1352"/>
        <v>7703</v>
      </c>
      <c r="E8713" s="2">
        <f t="shared" si="1353"/>
        <v>42005</v>
      </c>
      <c r="F8713" s="2">
        <f t="shared" si="1354"/>
        <v>42338</v>
      </c>
    </row>
    <row r="8714" spans="1:6" x14ac:dyDescent="0.25">
      <c r="A8714" s="1" t="s">
        <v>1275</v>
      </c>
      <c r="B8714" s="1" t="s">
        <v>1732</v>
      </c>
      <c r="C8714" s="1" t="s">
        <v>425</v>
      </c>
      <c r="D8714" s="3">
        <f t="shared" si="1352"/>
        <v>7703</v>
      </c>
      <c r="E8714" s="2">
        <f t="shared" si="1353"/>
        <v>42005</v>
      </c>
      <c r="F8714" s="2">
        <f t="shared" si="1354"/>
        <v>42338</v>
      </c>
    </row>
    <row r="8715" spans="1:6" x14ac:dyDescent="0.25">
      <c r="A8715" s="1" t="s">
        <v>1275</v>
      </c>
      <c r="B8715" s="1" t="s">
        <v>1732</v>
      </c>
      <c r="C8715" s="1" t="s">
        <v>164</v>
      </c>
      <c r="D8715" s="3">
        <f t="shared" si="1352"/>
        <v>7703</v>
      </c>
      <c r="E8715" s="2">
        <f t="shared" si="1353"/>
        <v>42005</v>
      </c>
      <c r="F8715" s="2">
        <f t="shared" si="1354"/>
        <v>42338</v>
      </c>
    </row>
    <row r="8716" spans="1:6" x14ac:dyDescent="0.25">
      <c r="A8716" s="1" t="s">
        <v>1275</v>
      </c>
      <c r="B8716" s="1" t="s">
        <v>1732</v>
      </c>
      <c r="C8716" s="1" t="s">
        <v>381</v>
      </c>
      <c r="D8716" s="3">
        <f t="shared" si="1352"/>
        <v>7703</v>
      </c>
      <c r="E8716" s="2">
        <f t="shared" si="1353"/>
        <v>42005</v>
      </c>
      <c r="F8716" s="2">
        <f t="shared" si="1354"/>
        <v>42338</v>
      </c>
    </row>
    <row r="8717" spans="1:6" x14ac:dyDescent="0.25">
      <c r="A8717" s="1" t="s">
        <v>1275</v>
      </c>
      <c r="B8717" s="1" t="s">
        <v>1732</v>
      </c>
      <c r="C8717" s="1" t="s">
        <v>57</v>
      </c>
      <c r="D8717" s="3">
        <f t="shared" si="1352"/>
        <v>7703</v>
      </c>
      <c r="E8717" s="2">
        <f t="shared" si="1353"/>
        <v>42005</v>
      </c>
      <c r="F8717" s="2">
        <f t="shared" si="1354"/>
        <v>42338</v>
      </c>
    </row>
    <row r="8718" spans="1:6" x14ac:dyDescent="0.25">
      <c r="A8718" s="1" t="s">
        <v>1275</v>
      </c>
      <c r="B8718" s="1" t="s">
        <v>1941</v>
      </c>
      <c r="C8718" s="1" t="s">
        <v>249</v>
      </c>
      <c r="D8718" s="3">
        <f t="shared" ref="D8718:D8725" si="1355">VALUE("7651")</f>
        <v>7651</v>
      </c>
      <c r="E8718" s="2">
        <f t="shared" ref="E8718:E8725" si="1356">DATEVALUE("1-7-2014")</f>
        <v>41821</v>
      </c>
      <c r="F8718" s="2">
        <f t="shared" ref="F8718:F8725" si="1357">DATEVALUE("31-3-2015")</f>
        <v>42094</v>
      </c>
    </row>
    <row r="8719" spans="1:6" x14ac:dyDescent="0.25">
      <c r="A8719" s="1" t="s">
        <v>1275</v>
      </c>
      <c r="B8719" s="1" t="s">
        <v>1941</v>
      </c>
      <c r="C8719" s="1" t="s">
        <v>46</v>
      </c>
      <c r="D8719" s="3">
        <f t="shared" si="1355"/>
        <v>7651</v>
      </c>
      <c r="E8719" s="2">
        <f t="shared" si="1356"/>
        <v>41821</v>
      </c>
      <c r="F8719" s="2">
        <f t="shared" si="1357"/>
        <v>42094</v>
      </c>
    </row>
    <row r="8720" spans="1:6" x14ac:dyDescent="0.25">
      <c r="A8720" s="1" t="s">
        <v>1275</v>
      </c>
      <c r="B8720" s="1" t="s">
        <v>1941</v>
      </c>
      <c r="C8720" s="1" t="s">
        <v>15</v>
      </c>
      <c r="D8720" s="3">
        <f t="shared" si="1355"/>
        <v>7651</v>
      </c>
      <c r="E8720" s="2">
        <f t="shared" si="1356"/>
        <v>41821</v>
      </c>
      <c r="F8720" s="2">
        <f t="shared" si="1357"/>
        <v>42094</v>
      </c>
    </row>
    <row r="8721" spans="1:6" x14ac:dyDescent="0.25">
      <c r="A8721" s="1" t="s">
        <v>1275</v>
      </c>
      <c r="B8721" s="1" t="s">
        <v>1941</v>
      </c>
      <c r="C8721" s="1" t="s">
        <v>17</v>
      </c>
      <c r="D8721" s="3">
        <f t="shared" si="1355"/>
        <v>7651</v>
      </c>
      <c r="E8721" s="2">
        <f t="shared" si="1356"/>
        <v>41821</v>
      </c>
      <c r="F8721" s="2">
        <f t="shared" si="1357"/>
        <v>42094</v>
      </c>
    </row>
    <row r="8722" spans="1:6" x14ac:dyDescent="0.25">
      <c r="A8722" s="1" t="s">
        <v>1275</v>
      </c>
      <c r="B8722" s="1" t="s">
        <v>1941</v>
      </c>
      <c r="C8722" s="1" t="s">
        <v>148</v>
      </c>
      <c r="D8722" s="3">
        <f t="shared" si="1355"/>
        <v>7651</v>
      </c>
      <c r="E8722" s="2">
        <f t="shared" si="1356"/>
        <v>41821</v>
      </c>
      <c r="F8722" s="2">
        <f t="shared" si="1357"/>
        <v>42094</v>
      </c>
    </row>
    <row r="8723" spans="1:6" x14ac:dyDescent="0.25">
      <c r="A8723" s="1" t="s">
        <v>1275</v>
      </c>
      <c r="B8723" s="1" t="s">
        <v>1941</v>
      </c>
      <c r="C8723" s="1" t="s">
        <v>149</v>
      </c>
      <c r="D8723" s="3">
        <f t="shared" si="1355"/>
        <v>7651</v>
      </c>
      <c r="E8723" s="2">
        <f t="shared" si="1356"/>
        <v>41821</v>
      </c>
      <c r="F8723" s="2">
        <f t="shared" si="1357"/>
        <v>42094</v>
      </c>
    </row>
    <row r="8724" spans="1:6" x14ac:dyDescent="0.25">
      <c r="A8724" s="1" t="s">
        <v>1275</v>
      </c>
      <c r="B8724" s="1" t="s">
        <v>1941</v>
      </c>
      <c r="C8724" s="1" t="s">
        <v>216</v>
      </c>
      <c r="D8724" s="3">
        <f t="shared" si="1355"/>
        <v>7651</v>
      </c>
      <c r="E8724" s="2">
        <f t="shared" si="1356"/>
        <v>41821</v>
      </c>
      <c r="F8724" s="2">
        <f t="shared" si="1357"/>
        <v>42094</v>
      </c>
    </row>
    <row r="8725" spans="1:6" x14ac:dyDescent="0.25">
      <c r="A8725" s="1" t="s">
        <v>1275</v>
      </c>
      <c r="B8725" s="1" t="s">
        <v>1941</v>
      </c>
      <c r="C8725" s="1" t="s">
        <v>308</v>
      </c>
      <c r="D8725" s="3">
        <f t="shared" si="1355"/>
        <v>7651</v>
      </c>
      <c r="E8725" s="2">
        <f t="shared" si="1356"/>
        <v>41821</v>
      </c>
      <c r="F8725" s="2">
        <f t="shared" si="1357"/>
        <v>42094</v>
      </c>
    </row>
    <row r="8726" spans="1:6" x14ac:dyDescent="0.25">
      <c r="A8726" s="1" t="s">
        <v>1275</v>
      </c>
      <c r="B8726" s="1" t="s">
        <v>2730</v>
      </c>
      <c r="C8726" s="1" t="s">
        <v>39</v>
      </c>
      <c r="D8726" s="3">
        <f t="shared" ref="D8726:D8733" si="1358">VALUE("7512")</f>
        <v>7512</v>
      </c>
      <c r="E8726" s="2">
        <f t="shared" ref="E8726:E8733" si="1359">DATEVALUE("1-7-2013")</f>
        <v>41456</v>
      </c>
      <c r="F8726" s="2">
        <f t="shared" ref="F8726:F8733" si="1360">DATEVALUE("30-4-2014")</f>
        <v>41759</v>
      </c>
    </row>
    <row r="8727" spans="1:6" x14ac:dyDescent="0.25">
      <c r="A8727" s="1" t="s">
        <v>1275</v>
      </c>
      <c r="B8727" s="1" t="s">
        <v>2730</v>
      </c>
      <c r="C8727" s="1" t="s">
        <v>8</v>
      </c>
      <c r="D8727" s="3">
        <f t="shared" si="1358"/>
        <v>7512</v>
      </c>
      <c r="E8727" s="2">
        <f t="shared" si="1359"/>
        <v>41456</v>
      </c>
      <c r="F8727" s="2">
        <f t="shared" si="1360"/>
        <v>41759</v>
      </c>
    </row>
    <row r="8728" spans="1:6" x14ac:dyDescent="0.25">
      <c r="A8728" s="1" t="s">
        <v>1275</v>
      </c>
      <c r="B8728" s="1" t="s">
        <v>2730</v>
      </c>
      <c r="C8728" s="1" t="s">
        <v>256</v>
      </c>
      <c r="D8728" s="3">
        <f t="shared" si="1358"/>
        <v>7512</v>
      </c>
      <c r="E8728" s="2">
        <f t="shared" si="1359"/>
        <v>41456</v>
      </c>
      <c r="F8728" s="2">
        <f t="shared" si="1360"/>
        <v>41759</v>
      </c>
    </row>
    <row r="8729" spans="1:6" x14ac:dyDescent="0.25">
      <c r="A8729" s="1" t="s">
        <v>1275</v>
      </c>
      <c r="B8729" s="1" t="s">
        <v>2730</v>
      </c>
      <c r="C8729" s="1" t="s">
        <v>12</v>
      </c>
      <c r="D8729" s="3">
        <f t="shared" si="1358"/>
        <v>7512</v>
      </c>
      <c r="E8729" s="2">
        <f t="shared" si="1359"/>
        <v>41456</v>
      </c>
      <c r="F8729" s="2">
        <f t="shared" si="1360"/>
        <v>41759</v>
      </c>
    </row>
    <row r="8730" spans="1:6" x14ac:dyDescent="0.25">
      <c r="A8730" s="1" t="s">
        <v>1275</v>
      </c>
      <c r="B8730" s="1" t="s">
        <v>2730</v>
      </c>
      <c r="C8730" s="1" t="s">
        <v>17</v>
      </c>
      <c r="D8730" s="3">
        <f t="shared" si="1358"/>
        <v>7512</v>
      </c>
      <c r="E8730" s="2">
        <f t="shared" si="1359"/>
        <v>41456</v>
      </c>
      <c r="F8730" s="2">
        <f t="shared" si="1360"/>
        <v>41759</v>
      </c>
    </row>
    <row r="8731" spans="1:6" x14ac:dyDescent="0.25">
      <c r="A8731" s="1" t="s">
        <v>1275</v>
      </c>
      <c r="B8731" s="1" t="s">
        <v>2730</v>
      </c>
      <c r="C8731" s="1" t="s">
        <v>474</v>
      </c>
      <c r="D8731" s="3">
        <f t="shared" si="1358"/>
        <v>7512</v>
      </c>
      <c r="E8731" s="2">
        <f t="shared" si="1359"/>
        <v>41456</v>
      </c>
      <c r="F8731" s="2">
        <f t="shared" si="1360"/>
        <v>41759</v>
      </c>
    </row>
    <row r="8732" spans="1:6" x14ac:dyDescent="0.25">
      <c r="A8732" s="1" t="s">
        <v>1275</v>
      </c>
      <c r="B8732" s="1" t="s">
        <v>2730</v>
      </c>
      <c r="C8732" s="1" t="s">
        <v>475</v>
      </c>
      <c r="D8732" s="3">
        <f t="shared" si="1358"/>
        <v>7512</v>
      </c>
      <c r="E8732" s="2">
        <f t="shared" si="1359"/>
        <v>41456</v>
      </c>
      <c r="F8732" s="2">
        <f t="shared" si="1360"/>
        <v>41759</v>
      </c>
    </row>
    <row r="8733" spans="1:6" x14ac:dyDescent="0.25">
      <c r="A8733" s="1" t="s">
        <v>1275</v>
      </c>
      <c r="B8733" s="1" t="s">
        <v>2730</v>
      </c>
      <c r="C8733" s="1" t="s">
        <v>503</v>
      </c>
      <c r="D8733" s="3">
        <f t="shared" si="1358"/>
        <v>7512</v>
      </c>
      <c r="E8733" s="2">
        <f t="shared" si="1359"/>
        <v>41456</v>
      </c>
      <c r="F8733" s="2">
        <f t="shared" si="1360"/>
        <v>41759</v>
      </c>
    </row>
    <row r="8734" spans="1:6" x14ac:dyDescent="0.25">
      <c r="A8734" s="1" t="s">
        <v>1275</v>
      </c>
      <c r="B8734" s="1" t="s">
        <v>2701</v>
      </c>
      <c r="C8734" s="1" t="s">
        <v>85</v>
      </c>
      <c r="D8734" s="3">
        <f>VALUE("7426")</f>
        <v>7426</v>
      </c>
      <c r="E8734" s="2">
        <f>DATEVALUE("1-11-2012")</f>
        <v>41214</v>
      </c>
      <c r="F8734" s="2">
        <f>DATEVALUE("28-2-2013")</f>
        <v>41333</v>
      </c>
    </row>
    <row r="8735" spans="1:6" x14ac:dyDescent="0.25">
      <c r="A8735" s="1" t="s">
        <v>1275</v>
      </c>
      <c r="B8735" s="1" t="s">
        <v>2701</v>
      </c>
      <c r="C8735" s="1" t="s">
        <v>102</v>
      </c>
      <c r="D8735" s="3">
        <f>VALUE("7426")</f>
        <v>7426</v>
      </c>
      <c r="E8735" s="2">
        <f>DATEVALUE("1-11-2012")</f>
        <v>41214</v>
      </c>
      <c r="F8735" s="2">
        <f>DATEVALUE("28-2-2013")</f>
        <v>41333</v>
      </c>
    </row>
    <row r="8736" spans="1:6" x14ac:dyDescent="0.25">
      <c r="A8736" s="1" t="s">
        <v>1275</v>
      </c>
      <c r="B8736" s="1" t="s">
        <v>2701</v>
      </c>
      <c r="C8736" s="1" t="s">
        <v>103</v>
      </c>
      <c r="D8736" s="3">
        <f>VALUE("7426")</f>
        <v>7426</v>
      </c>
      <c r="E8736" s="2">
        <f>DATEVALUE("1-11-2012")</f>
        <v>41214</v>
      </c>
      <c r="F8736" s="2">
        <f>DATEVALUE("28-2-2013")</f>
        <v>41333</v>
      </c>
    </row>
    <row r="8737" spans="1:6" x14ac:dyDescent="0.25">
      <c r="A8737" s="1" t="s">
        <v>1275</v>
      </c>
      <c r="B8737" s="1" t="s">
        <v>2673</v>
      </c>
      <c r="C8737" s="1" t="s">
        <v>249</v>
      </c>
      <c r="D8737" s="3">
        <f>VALUE("7350")</f>
        <v>7350</v>
      </c>
      <c r="E8737" s="2">
        <f>DATEVALUE("1-8-2012")</f>
        <v>41122</v>
      </c>
      <c r="F8737" s="2">
        <f>DATEVALUE("30-11-2012")</f>
        <v>41243</v>
      </c>
    </row>
    <row r="8738" spans="1:6" x14ac:dyDescent="0.25">
      <c r="A8738" s="1" t="s">
        <v>1275</v>
      </c>
      <c r="B8738" s="1" t="s">
        <v>2663</v>
      </c>
      <c r="C8738" s="1" t="s">
        <v>8</v>
      </c>
      <c r="D8738" s="3">
        <f t="shared" ref="D8738:D8745" si="1361">VALUE("7322")</f>
        <v>7322</v>
      </c>
      <c r="E8738" s="2">
        <f t="shared" ref="E8738:E8745" si="1362">DATEVALUE("1-7-2012")</f>
        <v>41091</v>
      </c>
      <c r="F8738" s="2">
        <f t="shared" ref="F8738:F8745" si="1363">DATEVALUE("31-12-2012")</f>
        <v>41274</v>
      </c>
    </row>
    <row r="8739" spans="1:6" x14ac:dyDescent="0.25">
      <c r="A8739" s="1" t="s">
        <v>1275</v>
      </c>
      <c r="B8739" s="1" t="s">
        <v>2663</v>
      </c>
      <c r="C8739" s="1" t="s">
        <v>256</v>
      </c>
      <c r="D8739" s="3">
        <f t="shared" si="1361"/>
        <v>7322</v>
      </c>
      <c r="E8739" s="2">
        <f t="shared" si="1362"/>
        <v>41091</v>
      </c>
      <c r="F8739" s="2">
        <f t="shared" si="1363"/>
        <v>41274</v>
      </c>
    </row>
    <row r="8740" spans="1:6" x14ac:dyDescent="0.25">
      <c r="A8740" s="1" t="s">
        <v>1275</v>
      </c>
      <c r="B8740" s="1" t="s">
        <v>2663</v>
      </c>
      <c r="C8740" s="1" t="s">
        <v>12</v>
      </c>
      <c r="D8740" s="3">
        <f t="shared" si="1361"/>
        <v>7322</v>
      </c>
      <c r="E8740" s="2">
        <f t="shared" si="1362"/>
        <v>41091</v>
      </c>
      <c r="F8740" s="2">
        <f t="shared" si="1363"/>
        <v>41274</v>
      </c>
    </row>
    <row r="8741" spans="1:6" x14ac:dyDescent="0.25">
      <c r="A8741" s="1" t="s">
        <v>1275</v>
      </c>
      <c r="B8741" s="1" t="s">
        <v>2663</v>
      </c>
      <c r="C8741" s="1" t="s">
        <v>88</v>
      </c>
      <c r="D8741" s="3">
        <f t="shared" si="1361"/>
        <v>7322</v>
      </c>
      <c r="E8741" s="2">
        <f t="shared" si="1362"/>
        <v>41091</v>
      </c>
      <c r="F8741" s="2">
        <f t="shared" si="1363"/>
        <v>41274</v>
      </c>
    </row>
    <row r="8742" spans="1:6" x14ac:dyDescent="0.25">
      <c r="A8742" s="1" t="s">
        <v>1275</v>
      </c>
      <c r="B8742" s="1" t="s">
        <v>2663</v>
      </c>
      <c r="C8742" s="1" t="s">
        <v>17</v>
      </c>
      <c r="D8742" s="3">
        <f t="shared" si="1361"/>
        <v>7322</v>
      </c>
      <c r="E8742" s="2">
        <f t="shared" si="1362"/>
        <v>41091</v>
      </c>
      <c r="F8742" s="2">
        <f t="shared" si="1363"/>
        <v>41274</v>
      </c>
    </row>
    <row r="8743" spans="1:6" x14ac:dyDescent="0.25">
      <c r="A8743" s="1" t="s">
        <v>1275</v>
      </c>
      <c r="B8743" s="1" t="s">
        <v>2663</v>
      </c>
      <c r="C8743" s="1" t="s">
        <v>474</v>
      </c>
      <c r="D8743" s="3">
        <f t="shared" si="1361"/>
        <v>7322</v>
      </c>
      <c r="E8743" s="2">
        <f t="shared" si="1362"/>
        <v>41091</v>
      </c>
      <c r="F8743" s="2">
        <f t="shared" si="1363"/>
        <v>41274</v>
      </c>
    </row>
    <row r="8744" spans="1:6" x14ac:dyDescent="0.25">
      <c r="A8744" s="1" t="s">
        <v>1275</v>
      </c>
      <c r="B8744" s="1" t="s">
        <v>2663</v>
      </c>
      <c r="C8744" s="1" t="s">
        <v>475</v>
      </c>
      <c r="D8744" s="3">
        <f t="shared" si="1361"/>
        <v>7322</v>
      </c>
      <c r="E8744" s="2">
        <f t="shared" si="1362"/>
        <v>41091</v>
      </c>
      <c r="F8744" s="2">
        <f t="shared" si="1363"/>
        <v>41274</v>
      </c>
    </row>
    <row r="8745" spans="1:6" x14ac:dyDescent="0.25">
      <c r="A8745" s="1" t="s">
        <v>1275</v>
      </c>
      <c r="B8745" s="1" t="s">
        <v>2663</v>
      </c>
      <c r="C8745" s="1" t="s">
        <v>36</v>
      </c>
      <c r="D8745" s="3">
        <f t="shared" si="1361"/>
        <v>7322</v>
      </c>
      <c r="E8745" s="2">
        <f t="shared" si="1362"/>
        <v>41091</v>
      </c>
      <c r="F8745" s="2">
        <f t="shared" si="1363"/>
        <v>41274</v>
      </c>
    </row>
    <row r="8746" spans="1:6" x14ac:dyDescent="0.25">
      <c r="A8746" s="1" t="s">
        <v>1275</v>
      </c>
      <c r="B8746" s="1" t="s">
        <v>2610</v>
      </c>
      <c r="C8746" s="1" t="s">
        <v>249</v>
      </c>
      <c r="D8746" s="3">
        <f>VALUE("7209")</f>
        <v>7209</v>
      </c>
      <c r="E8746" s="2">
        <f>DATEVALUE("1-11-2011")</f>
        <v>40848</v>
      </c>
      <c r="F8746" s="2">
        <f>DATEVALUE("31-3-2012")</f>
        <v>40999</v>
      </c>
    </row>
    <row r="8747" spans="1:6" x14ac:dyDescent="0.25">
      <c r="A8747" s="1" t="s">
        <v>187</v>
      </c>
      <c r="B8747" s="1" t="s">
        <v>1486</v>
      </c>
      <c r="C8747" s="1" t="s">
        <v>66</v>
      </c>
      <c r="D8747" s="3">
        <f t="shared" ref="D8747:D8764" si="1364">VALUE("8669")</f>
        <v>8669</v>
      </c>
      <c r="E8747" s="2">
        <f t="shared" ref="E8747:E8764" si="1365">DATEVALUE("1-2-2020")</f>
        <v>43862</v>
      </c>
      <c r="F8747" s="2">
        <f t="shared" ref="F8747:F8764" si="1366">DATEVALUE("31-1-2021")</f>
        <v>44227</v>
      </c>
    </row>
    <row r="8748" spans="1:6" x14ac:dyDescent="0.25">
      <c r="A8748" s="1" t="s">
        <v>187</v>
      </c>
      <c r="B8748" s="1" t="s">
        <v>1486</v>
      </c>
      <c r="C8748" s="1" t="s">
        <v>17</v>
      </c>
      <c r="D8748" s="3">
        <f t="shared" si="1364"/>
        <v>8669</v>
      </c>
      <c r="E8748" s="2">
        <f t="shared" si="1365"/>
        <v>43862</v>
      </c>
      <c r="F8748" s="2">
        <f t="shared" si="1366"/>
        <v>44227</v>
      </c>
    </row>
    <row r="8749" spans="1:6" x14ac:dyDescent="0.25">
      <c r="A8749" s="1" t="s">
        <v>187</v>
      </c>
      <c r="B8749" s="1" t="s">
        <v>1486</v>
      </c>
      <c r="C8749" s="1" t="s">
        <v>91</v>
      </c>
      <c r="D8749" s="3">
        <f t="shared" si="1364"/>
        <v>8669</v>
      </c>
      <c r="E8749" s="2">
        <f t="shared" si="1365"/>
        <v>43862</v>
      </c>
      <c r="F8749" s="2">
        <f t="shared" si="1366"/>
        <v>44227</v>
      </c>
    </row>
    <row r="8750" spans="1:6" x14ac:dyDescent="0.25">
      <c r="A8750" s="1" t="s">
        <v>187</v>
      </c>
      <c r="B8750" s="1" t="s">
        <v>1486</v>
      </c>
      <c r="C8750" s="1" t="s">
        <v>501</v>
      </c>
      <c r="D8750" s="3">
        <f t="shared" si="1364"/>
        <v>8669</v>
      </c>
      <c r="E8750" s="2">
        <f t="shared" si="1365"/>
        <v>43862</v>
      </c>
      <c r="F8750" s="2">
        <f t="shared" si="1366"/>
        <v>44227</v>
      </c>
    </row>
    <row r="8751" spans="1:6" x14ac:dyDescent="0.25">
      <c r="A8751" s="1" t="s">
        <v>187</v>
      </c>
      <c r="B8751" s="1" t="s">
        <v>1486</v>
      </c>
      <c r="C8751" s="1" t="s">
        <v>22</v>
      </c>
      <c r="D8751" s="3">
        <f t="shared" si="1364"/>
        <v>8669</v>
      </c>
      <c r="E8751" s="2">
        <f t="shared" si="1365"/>
        <v>43862</v>
      </c>
      <c r="F8751" s="2">
        <f t="shared" si="1366"/>
        <v>44227</v>
      </c>
    </row>
    <row r="8752" spans="1:6" x14ac:dyDescent="0.25">
      <c r="A8752" s="1" t="s">
        <v>187</v>
      </c>
      <c r="B8752" s="1" t="s">
        <v>1486</v>
      </c>
      <c r="C8752" s="1" t="s">
        <v>146</v>
      </c>
      <c r="D8752" s="3">
        <f t="shared" si="1364"/>
        <v>8669</v>
      </c>
      <c r="E8752" s="2">
        <f t="shared" si="1365"/>
        <v>43862</v>
      </c>
      <c r="F8752" s="2">
        <f t="shared" si="1366"/>
        <v>44227</v>
      </c>
    </row>
    <row r="8753" spans="1:6" x14ac:dyDescent="0.25">
      <c r="A8753" s="1" t="s">
        <v>187</v>
      </c>
      <c r="B8753" s="1" t="s">
        <v>1486</v>
      </c>
      <c r="C8753" s="1" t="s">
        <v>67</v>
      </c>
      <c r="D8753" s="3">
        <f t="shared" si="1364"/>
        <v>8669</v>
      </c>
      <c r="E8753" s="2">
        <f t="shared" si="1365"/>
        <v>43862</v>
      </c>
      <c r="F8753" s="2">
        <f t="shared" si="1366"/>
        <v>44227</v>
      </c>
    </row>
    <row r="8754" spans="1:6" x14ac:dyDescent="0.25">
      <c r="A8754" s="1" t="s">
        <v>187</v>
      </c>
      <c r="B8754" s="1" t="s">
        <v>1486</v>
      </c>
      <c r="C8754" s="1" t="s">
        <v>148</v>
      </c>
      <c r="D8754" s="3">
        <f t="shared" si="1364"/>
        <v>8669</v>
      </c>
      <c r="E8754" s="2">
        <f t="shared" si="1365"/>
        <v>43862</v>
      </c>
      <c r="F8754" s="2">
        <f t="shared" si="1366"/>
        <v>44227</v>
      </c>
    </row>
    <row r="8755" spans="1:6" x14ac:dyDescent="0.25">
      <c r="A8755" s="1" t="s">
        <v>187</v>
      </c>
      <c r="B8755" s="1" t="s">
        <v>1486</v>
      </c>
      <c r="C8755" s="1" t="s">
        <v>149</v>
      </c>
      <c r="D8755" s="3">
        <f t="shared" si="1364"/>
        <v>8669</v>
      </c>
      <c r="E8755" s="2">
        <f t="shared" si="1365"/>
        <v>43862</v>
      </c>
      <c r="F8755" s="2">
        <f t="shared" si="1366"/>
        <v>44227</v>
      </c>
    </row>
    <row r="8756" spans="1:6" x14ac:dyDescent="0.25">
      <c r="A8756" s="1" t="s">
        <v>187</v>
      </c>
      <c r="B8756" s="1" t="s">
        <v>1486</v>
      </c>
      <c r="C8756" s="1" t="s">
        <v>172</v>
      </c>
      <c r="D8756" s="3">
        <f t="shared" si="1364"/>
        <v>8669</v>
      </c>
      <c r="E8756" s="2">
        <f t="shared" si="1365"/>
        <v>43862</v>
      </c>
      <c r="F8756" s="2">
        <f t="shared" si="1366"/>
        <v>44227</v>
      </c>
    </row>
    <row r="8757" spans="1:6" x14ac:dyDescent="0.25">
      <c r="A8757" s="1" t="s">
        <v>187</v>
      </c>
      <c r="B8757" s="1" t="s">
        <v>1486</v>
      </c>
      <c r="C8757" s="1" t="s">
        <v>400</v>
      </c>
      <c r="D8757" s="3">
        <f t="shared" si="1364"/>
        <v>8669</v>
      </c>
      <c r="E8757" s="2">
        <f t="shared" si="1365"/>
        <v>43862</v>
      </c>
      <c r="F8757" s="2">
        <f t="shared" si="1366"/>
        <v>44227</v>
      </c>
    </row>
    <row r="8758" spans="1:6" x14ac:dyDescent="0.25">
      <c r="A8758" s="1" t="s">
        <v>187</v>
      </c>
      <c r="B8758" s="1" t="s">
        <v>1486</v>
      </c>
      <c r="C8758" s="1" t="s">
        <v>94</v>
      </c>
      <c r="D8758" s="3">
        <f t="shared" si="1364"/>
        <v>8669</v>
      </c>
      <c r="E8758" s="2">
        <f t="shared" si="1365"/>
        <v>43862</v>
      </c>
      <c r="F8758" s="2">
        <f t="shared" si="1366"/>
        <v>44227</v>
      </c>
    </row>
    <row r="8759" spans="1:6" x14ac:dyDescent="0.25">
      <c r="A8759" s="1" t="s">
        <v>187</v>
      </c>
      <c r="B8759" s="1" t="s">
        <v>1486</v>
      </c>
      <c r="C8759" s="1" t="s">
        <v>102</v>
      </c>
      <c r="D8759" s="3">
        <f t="shared" si="1364"/>
        <v>8669</v>
      </c>
      <c r="E8759" s="2">
        <f t="shared" si="1365"/>
        <v>43862</v>
      </c>
      <c r="F8759" s="2">
        <f t="shared" si="1366"/>
        <v>44227</v>
      </c>
    </row>
    <row r="8760" spans="1:6" x14ac:dyDescent="0.25">
      <c r="A8760" s="1" t="s">
        <v>187</v>
      </c>
      <c r="B8760" s="1" t="s">
        <v>1486</v>
      </c>
      <c r="C8760" s="1" t="s">
        <v>103</v>
      </c>
      <c r="D8760" s="3">
        <f t="shared" si="1364"/>
        <v>8669</v>
      </c>
      <c r="E8760" s="2">
        <f t="shared" si="1365"/>
        <v>43862</v>
      </c>
      <c r="F8760" s="2">
        <f t="shared" si="1366"/>
        <v>44227</v>
      </c>
    </row>
    <row r="8761" spans="1:6" x14ac:dyDescent="0.25">
      <c r="A8761" s="1" t="s">
        <v>187</v>
      </c>
      <c r="B8761" s="1" t="s">
        <v>1486</v>
      </c>
      <c r="C8761" s="1" t="s">
        <v>73</v>
      </c>
      <c r="D8761" s="3">
        <f t="shared" si="1364"/>
        <v>8669</v>
      </c>
      <c r="E8761" s="2">
        <f t="shared" si="1365"/>
        <v>43862</v>
      </c>
      <c r="F8761" s="2">
        <f t="shared" si="1366"/>
        <v>44227</v>
      </c>
    </row>
    <row r="8762" spans="1:6" x14ac:dyDescent="0.25">
      <c r="A8762" s="1" t="s">
        <v>187</v>
      </c>
      <c r="B8762" s="1" t="s">
        <v>1486</v>
      </c>
      <c r="C8762" s="1" t="s">
        <v>160</v>
      </c>
      <c r="D8762" s="3">
        <f t="shared" si="1364"/>
        <v>8669</v>
      </c>
      <c r="E8762" s="2">
        <f t="shared" si="1365"/>
        <v>43862</v>
      </c>
      <c r="F8762" s="2">
        <f t="shared" si="1366"/>
        <v>44227</v>
      </c>
    </row>
    <row r="8763" spans="1:6" x14ac:dyDescent="0.25">
      <c r="A8763" s="1" t="s">
        <v>187</v>
      </c>
      <c r="B8763" s="1" t="s">
        <v>1486</v>
      </c>
      <c r="C8763" s="1" t="s">
        <v>520</v>
      </c>
      <c r="D8763" s="3">
        <f t="shared" si="1364"/>
        <v>8669</v>
      </c>
      <c r="E8763" s="2">
        <f t="shared" si="1365"/>
        <v>43862</v>
      </c>
      <c r="F8763" s="2">
        <f t="shared" si="1366"/>
        <v>44227</v>
      </c>
    </row>
    <row r="8764" spans="1:6" x14ac:dyDescent="0.25">
      <c r="A8764" s="1" t="s">
        <v>187</v>
      </c>
      <c r="B8764" s="1" t="s">
        <v>1486</v>
      </c>
      <c r="C8764" s="1" t="s">
        <v>170</v>
      </c>
      <c r="D8764" s="3">
        <f t="shared" si="1364"/>
        <v>8669</v>
      </c>
      <c r="E8764" s="2">
        <f t="shared" si="1365"/>
        <v>43862</v>
      </c>
      <c r="F8764" s="2">
        <f t="shared" si="1366"/>
        <v>44227</v>
      </c>
    </row>
    <row r="8765" spans="1:6" x14ac:dyDescent="0.25">
      <c r="A8765" s="1" t="s">
        <v>187</v>
      </c>
      <c r="B8765" s="1" t="s">
        <v>1293</v>
      </c>
      <c r="C8765" s="1" t="s">
        <v>1178</v>
      </c>
      <c r="D8765" s="3">
        <f t="shared" ref="D8765:D8796" si="1367">VALUE("8552")</f>
        <v>8552</v>
      </c>
      <c r="E8765" s="2">
        <f t="shared" ref="E8765:E8796" si="1368">DATEVALUE("1-10-2019")</f>
        <v>43739</v>
      </c>
      <c r="F8765" s="2">
        <f t="shared" ref="F8765:F8796" si="1369">DATEVALUE("31-12-2023")</f>
        <v>45291</v>
      </c>
    </row>
    <row r="8766" spans="1:6" x14ac:dyDescent="0.25">
      <c r="A8766" s="1" t="s">
        <v>187</v>
      </c>
      <c r="B8766" s="1" t="s">
        <v>1293</v>
      </c>
      <c r="C8766" s="1" t="s">
        <v>140</v>
      </c>
      <c r="D8766" s="3">
        <f t="shared" si="1367"/>
        <v>8552</v>
      </c>
      <c r="E8766" s="2">
        <f t="shared" si="1368"/>
        <v>43739</v>
      </c>
      <c r="F8766" s="2">
        <f t="shared" si="1369"/>
        <v>45291</v>
      </c>
    </row>
    <row r="8767" spans="1:6" x14ac:dyDescent="0.25">
      <c r="A8767" s="1" t="s">
        <v>187</v>
      </c>
      <c r="B8767" s="1" t="s">
        <v>1293</v>
      </c>
      <c r="C8767" s="1" t="s">
        <v>14</v>
      </c>
      <c r="D8767" s="3">
        <f t="shared" si="1367"/>
        <v>8552</v>
      </c>
      <c r="E8767" s="2">
        <f t="shared" si="1368"/>
        <v>43739</v>
      </c>
      <c r="F8767" s="2">
        <f t="shared" si="1369"/>
        <v>45291</v>
      </c>
    </row>
    <row r="8768" spans="1:6" x14ac:dyDescent="0.25">
      <c r="A8768" s="1" t="s">
        <v>187</v>
      </c>
      <c r="B8768" s="1" t="s">
        <v>1293</v>
      </c>
      <c r="C8768" s="1" t="s">
        <v>15</v>
      </c>
      <c r="D8768" s="3">
        <f t="shared" si="1367"/>
        <v>8552</v>
      </c>
      <c r="E8768" s="2">
        <f t="shared" si="1368"/>
        <v>43739</v>
      </c>
      <c r="F8768" s="2">
        <f t="shared" si="1369"/>
        <v>45291</v>
      </c>
    </row>
    <row r="8769" spans="1:6" x14ac:dyDescent="0.25">
      <c r="A8769" s="1" t="s">
        <v>187</v>
      </c>
      <c r="B8769" s="1" t="s">
        <v>1293</v>
      </c>
      <c r="C8769" s="1" t="s">
        <v>874</v>
      </c>
      <c r="D8769" s="3">
        <f t="shared" si="1367"/>
        <v>8552</v>
      </c>
      <c r="E8769" s="2">
        <f t="shared" si="1368"/>
        <v>43739</v>
      </c>
      <c r="F8769" s="2">
        <f t="shared" si="1369"/>
        <v>45291</v>
      </c>
    </row>
    <row r="8770" spans="1:6" x14ac:dyDescent="0.25">
      <c r="A8770" s="1" t="s">
        <v>187</v>
      </c>
      <c r="B8770" s="1" t="s">
        <v>1293</v>
      </c>
      <c r="C8770" s="1" t="s">
        <v>89</v>
      </c>
      <c r="D8770" s="3">
        <f t="shared" si="1367"/>
        <v>8552</v>
      </c>
      <c r="E8770" s="2">
        <f t="shared" si="1368"/>
        <v>43739</v>
      </c>
      <c r="F8770" s="2">
        <f t="shared" si="1369"/>
        <v>45291</v>
      </c>
    </row>
    <row r="8771" spans="1:6" x14ac:dyDescent="0.25">
      <c r="A8771" s="1" t="s">
        <v>187</v>
      </c>
      <c r="B8771" s="1" t="s">
        <v>1293</v>
      </c>
      <c r="C8771" s="1" t="s">
        <v>17</v>
      </c>
      <c r="D8771" s="3">
        <f t="shared" si="1367"/>
        <v>8552</v>
      </c>
      <c r="E8771" s="2">
        <f t="shared" si="1368"/>
        <v>43739</v>
      </c>
      <c r="F8771" s="2">
        <f t="shared" si="1369"/>
        <v>45291</v>
      </c>
    </row>
    <row r="8772" spans="1:6" x14ac:dyDescent="0.25">
      <c r="A8772" s="1" t="s">
        <v>187</v>
      </c>
      <c r="B8772" s="1" t="s">
        <v>1293</v>
      </c>
      <c r="C8772" s="1" t="s">
        <v>18</v>
      </c>
      <c r="D8772" s="3">
        <f t="shared" si="1367"/>
        <v>8552</v>
      </c>
      <c r="E8772" s="2">
        <f t="shared" si="1368"/>
        <v>43739</v>
      </c>
      <c r="F8772" s="2">
        <f t="shared" si="1369"/>
        <v>45291</v>
      </c>
    </row>
    <row r="8773" spans="1:6" x14ac:dyDescent="0.25">
      <c r="A8773" s="1" t="s">
        <v>187</v>
      </c>
      <c r="B8773" s="1" t="s">
        <v>1293</v>
      </c>
      <c r="C8773" s="1" t="s">
        <v>91</v>
      </c>
      <c r="D8773" s="3">
        <f t="shared" si="1367"/>
        <v>8552</v>
      </c>
      <c r="E8773" s="2">
        <f t="shared" si="1368"/>
        <v>43739</v>
      </c>
      <c r="F8773" s="2">
        <f t="shared" si="1369"/>
        <v>45291</v>
      </c>
    </row>
    <row r="8774" spans="1:6" x14ac:dyDescent="0.25">
      <c r="A8774" s="1" t="s">
        <v>187</v>
      </c>
      <c r="B8774" s="1" t="s">
        <v>1293</v>
      </c>
      <c r="C8774" s="1" t="s">
        <v>488</v>
      </c>
      <c r="D8774" s="3">
        <f t="shared" si="1367"/>
        <v>8552</v>
      </c>
      <c r="E8774" s="2">
        <f t="shared" si="1368"/>
        <v>43739</v>
      </c>
      <c r="F8774" s="2">
        <f t="shared" si="1369"/>
        <v>45291</v>
      </c>
    </row>
    <row r="8775" spans="1:6" x14ac:dyDescent="0.25">
      <c r="A8775" s="1" t="s">
        <v>187</v>
      </c>
      <c r="B8775" s="1" t="s">
        <v>1293</v>
      </c>
      <c r="C8775" s="1" t="s">
        <v>197</v>
      </c>
      <c r="D8775" s="3">
        <f t="shared" si="1367"/>
        <v>8552</v>
      </c>
      <c r="E8775" s="2">
        <f t="shared" si="1368"/>
        <v>43739</v>
      </c>
      <c r="F8775" s="2">
        <f t="shared" si="1369"/>
        <v>45291</v>
      </c>
    </row>
    <row r="8776" spans="1:6" x14ac:dyDescent="0.25">
      <c r="A8776" s="1" t="s">
        <v>187</v>
      </c>
      <c r="B8776" s="1" t="s">
        <v>1293</v>
      </c>
      <c r="C8776" s="1" t="s">
        <v>499</v>
      </c>
      <c r="D8776" s="3">
        <f t="shared" si="1367"/>
        <v>8552</v>
      </c>
      <c r="E8776" s="2">
        <f t="shared" si="1368"/>
        <v>43739</v>
      </c>
      <c r="F8776" s="2">
        <f t="shared" si="1369"/>
        <v>45291</v>
      </c>
    </row>
    <row r="8777" spans="1:6" x14ac:dyDescent="0.25">
      <c r="A8777" s="1" t="s">
        <v>187</v>
      </c>
      <c r="B8777" s="1" t="s">
        <v>1293</v>
      </c>
      <c r="C8777" s="1" t="s">
        <v>501</v>
      </c>
      <c r="D8777" s="3">
        <f t="shared" si="1367"/>
        <v>8552</v>
      </c>
      <c r="E8777" s="2">
        <f t="shared" si="1368"/>
        <v>43739</v>
      </c>
      <c r="F8777" s="2">
        <f t="shared" si="1369"/>
        <v>45291</v>
      </c>
    </row>
    <row r="8778" spans="1:6" x14ac:dyDescent="0.25">
      <c r="A8778" s="1" t="s">
        <v>187</v>
      </c>
      <c r="B8778" s="1" t="s">
        <v>1293</v>
      </c>
      <c r="C8778" s="1" t="s">
        <v>22</v>
      </c>
      <c r="D8778" s="3">
        <f t="shared" si="1367"/>
        <v>8552</v>
      </c>
      <c r="E8778" s="2">
        <f t="shared" si="1368"/>
        <v>43739</v>
      </c>
      <c r="F8778" s="2">
        <f t="shared" si="1369"/>
        <v>45291</v>
      </c>
    </row>
    <row r="8779" spans="1:6" x14ac:dyDescent="0.25">
      <c r="A8779" s="1" t="s">
        <v>187</v>
      </c>
      <c r="B8779" s="1" t="s">
        <v>1293</v>
      </c>
      <c r="C8779" s="1" t="s">
        <v>1294</v>
      </c>
      <c r="D8779" s="3">
        <f t="shared" si="1367"/>
        <v>8552</v>
      </c>
      <c r="E8779" s="2">
        <f t="shared" si="1368"/>
        <v>43739</v>
      </c>
      <c r="F8779" s="2">
        <f t="shared" si="1369"/>
        <v>45291</v>
      </c>
    </row>
    <row r="8780" spans="1:6" x14ac:dyDescent="0.25">
      <c r="A8780" s="1" t="s">
        <v>187</v>
      </c>
      <c r="B8780" s="1" t="s">
        <v>1293</v>
      </c>
      <c r="C8780" s="1" t="s">
        <v>146</v>
      </c>
      <c r="D8780" s="3">
        <f t="shared" si="1367"/>
        <v>8552</v>
      </c>
      <c r="E8780" s="2">
        <f t="shared" si="1368"/>
        <v>43739</v>
      </c>
      <c r="F8780" s="2">
        <f t="shared" si="1369"/>
        <v>45291</v>
      </c>
    </row>
    <row r="8781" spans="1:6" x14ac:dyDescent="0.25">
      <c r="A8781" s="1" t="s">
        <v>187</v>
      </c>
      <c r="B8781" s="1" t="s">
        <v>1293</v>
      </c>
      <c r="C8781" s="1" t="s">
        <v>386</v>
      </c>
      <c r="D8781" s="3">
        <f t="shared" si="1367"/>
        <v>8552</v>
      </c>
      <c r="E8781" s="2">
        <f t="shared" si="1368"/>
        <v>43739</v>
      </c>
      <c r="F8781" s="2">
        <f t="shared" si="1369"/>
        <v>45291</v>
      </c>
    </row>
    <row r="8782" spans="1:6" x14ac:dyDescent="0.25">
      <c r="A8782" s="1" t="s">
        <v>187</v>
      </c>
      <c r="B8782" s="1" t="s">
        <v>1293</v>
      </c>
      <c r="C8782" s="1" t="s">
        <v>387</v>
      </c>
      <c r="D8782" s="3">
        <f t="shared" si="1367"/>
        <v>8552</v>
      </c>
      <c r="E8782" s="2">
        <f t="shared" si="1368"/>
        <v>43739</v>
      </c>
      <c r="F8782" s="2">
        <f t="shared" si="1369"/>
        <v>45291</v>
      </c>
    </row>
    <row r="8783" spans="1:6" x14ac:dyDescent="0.25">
      <c r="A8783" s="1" t="s">
        <v>187</v>
      </c>
      <c r="B8783" s="1" t="s">
        <v>1293</v>
      </c>
      <c r="C8783" s="1" t="s">
        <v>92</v>
      </c>
      <c r="D8783" s="3">
        <f t="shared" si="1367"/>
        <v>8552</v>
      </c>
      <c r="E8783" s="2">
        <f t="shared" si="1368"/>
        <v>43739</v>
      </c>
      <c r="F8783" s="2">
        <f t="shared" si="1369"/>
        <v>45291</v>
      </c>
    </row>
    <row r="8784" spans="1:6" x14ac:dyDescent="0.25">
      <c r="A8784" s="1" t="s">
        <v>187</v>
      </c>
      <c r="B8784" s="1" t="s">
        <v>1293</v>
      </c>
      <c r="C8784" s="1" t="s">
        <v>1177</v>
      </c>
      <c r="D8784" s="3">
        <f t="shared" si="1367"/>
        <v>8552</v>
      </c>
      <c r="E8784" s="2">
        <f t="shared" si="1368"/>
        <v>43739</v>
      </c>
      <c r="F8784" s="2">
        <f t="shared" si="1369"/>
        <v>45291</v>
      </c>
    </row>
    <row r="8785" spans="1:6" x14ac:dyDescent="0.25">
      <c r="A8785" s="1" t="s">
        <v>187</v>
      </c>
      <c r="B8785" s="1" t="s">
        <v>1293</v>
      </c>
      <c r="C8785" s="1" t="s">
        <v>1295</v>
      </c>
      <c r="D8785" s="3">
        <f t="shared" si="1367"/>
        <v>8552</v>
      </c>
      <c r="E8785" s="2">
        <f t="shared" si="1368"/>
        <v>43739</v>
      </c>
      <c r="F8785" s="2">
        <f t="shared" si="1369"/>
        <v>45291</v>
      </c>
    </row>
    <row r="8786" spans="1:6" x14ac:dyDescent="0.25">
      <c r="A8786" s="1" t="s">
        <v>187</v>
      </c>
      <c r="B8786" s="1" t="s">
        <v>1293</v>
      </c>
      <c r="C8786" s="1" t="s">
        <v>94</v>
      </c>
      <c r="D8786" s="3">
        <f t="shared" si="1367"/>
        <v>8552</v>
      </c>
      <c r="E8786" s="2">
        <f t="shared" si="1368"/>
        <v>43739</v>
      </c>
      <c r="F8786" s="2">
        <f t="shared" si="1369"/>
        <v>45291</v>
      </c>
    </row>
    <row r="8787" spans="1:6" x14ac:dyDescent="0.25">
      <c r="A8787" s="1" t="s">
        <v>187</v>
      </c>
      <c r="B8787" s="1" t="s">
        <v>1293</v>
      </c>
      <c r="C8787" s="1" t="s">
        <v>155</v>
      </c>
      <c r="D8787" s="3">
        <f t="shared" si="1367"/>
        <v>8552</v>
      </c>
      <c r="E8787" s="2">
        <f t="shared" si="1368"/>
        <v>43739</v>
      </c>
      <c r="F8787" s="2">
        <f t="shared" si="1369"/>
        <v>45291</v>
      </c>
    </row>
    <row r="8788" spans="1:6" x14ac:dyDescent="0.25">
      <c r="A8788" s="1" t="s">
        <v>187</v>
      </c>
      <c r="B8788" s="1" t="s">
        <v>1293</v>
      </c>
      <c r="C8788" s="1" t="s">
        <v>532</v>
      </c>
      <c r="D8788" s="3">
        <f t="shared" si="1367"/>
        <v>8552</v>
      </c>
      <c r="E8788" s="2">
        <f t="shared" si="1368"/>
        <v>43739</v>
      </c>
      <c r="F8788" s="2">
        <f t="shared" si="1369"/>
        <v>45291</v>
      </c>
    </row>
    <row r="8789" spans="1:6" x14ac:dyDescent="0.25">
      <c r="A8789" s="1" t="s">
        <v>187</v>
      </c>
      <c r="B8789" s="1" t="s">
        <v>1293</v>
      </c>
      <c r="C8789" s="1" t="s">
        <v>24</v>
      </c>
      <c r="D8789" s="3">
        <f t="shared" si="1367"/>
        <v>8552</v>
      </c>
      <c r="E8789" s="2">
        <f t="shared" si="1368"/>
        <v>43739</v>
      </c>
      <c r="F8789" s="2">
        <f t="shared" si="1369"/>
        <v>45291</v>
      </c>
    </row>
    <row r="8790" spans="1:6" x14ac:dyDescent="0.25">
      <c r="A8790" s="1" t="s">
        <v>187</v>
      </c>
      <c r="B8790" s="1" t="s">
        <v>1293</v>
      </c>
      <c r="C8790" s="1" t="s">
        <v>548</v>
      </c>
      <c r="D8790" s="3">
        <f t="shared" si="1367"/>
        <v>8552</v>
      </c>
      <c r="E8790" s="2">
        <f t="shared" si="1368"/>
        <v>43739</v>
      </c>
      <c r="F8790" s="2">
        <f t="shared" si="1369"/>
        <v>45291</v>
      </c>
    </row>
    <row r="8791" spans="1:6" x14ac:dyDescent="0.25">
      <c r="A8791" s="1" t="s">
        <v>187</v>
      </c>
      <c r="B8791" s="1" t="s">
        <v>1293</v>
      </c>
      <c r="C8791" s="1" t="s">
        <v>73</v>
      </c>
      <c r="D8791" s="3">
        <f t="shared" si="1367"/>
        <v>8552</v>
      </c>
      <c r="E8791" s="2">
        <f t="shared" si="1368"/>
        <v>43739</v>
      </c>
      <c r="F8791" s="2">
        <f t="shared" si="1369"/>
        <v>45291</v>
      </c>
    </row>
    <row r="8792" spans="1:6" x14ac:dyDescent="0.25">
      <c r="A8792" s="1" t="s">
        <v>187</v>
      </c>
      <c r="B8792" s="1" t="s">
        <v>1293</v>
      </c>
      <c r="C8792" s="1" t="s">
        <v>391</v>
      </c>
      <c r="D8792" s="3">
        <f t="shared" si="1367"/>
        <v>8552</v>
      </c>
      <c r="E8792" s="2">
        <f t="shared" si="1368"/>
        <v>43739</v>
      </c>
      <c r="F8792" s="2">
        <f t="shared" si="1369"/>
        <v>45291</v>
      </c>
    </row>
    <row r="8793" spans="1:6" x14ac:dyDescent="0.25">
      <c r="A8793" s="1" t="s">
        <v>187</v>
      </c>
      <c r="B8793" s="1" t="s">
        <v>1293</v>
      </c>
      <c r="C8793" s="1" t="s">
        <v>52</v>
      </c>
      <c r="D8793" s="3">
        <f t="shared" si="1367"/>
        <v>8552</v>
      </c>
      <c r="E8793" s="2">
        <f t="shared" si="1368"/>
        <v>43739</v>
      </c>
      <c r="F8793" s="2">
        <f t="shared" si="1369"/>
        <v>45291</v>
      </c>
    </row>
    <row r="8794" spans="1:6" x14ac:dyDescent="0.25">
      <c r="A8794" s="1" t="s">
        <v>187</v>
      </c>
      <c r="B8794" s="1" t="s">
        <v>1293</v>
      </c>
      <c r="C8794" s="1" t="s">
        <v>1060</v>
      </c>
      <c r="D8794" s="3">
        <f t="shared" si="1367"/>
        <v>8552</v>
      </c>
      <c r="E8794" s="2">
        <f t="shared" si="1368"/>
        <v>43739</v>
      </c>
      <c r="F8794" s="2">
        <f t="shared" si="1369"/>
        <v>45291</v>
      </c>
    </row>
    <row r="8795" spans="1:6" x14ac:dyDescent="0.25">
      <c r="A8795" s="1" t="s">
        <v>187</v>
      </c>
      <c r="B8795" s="1" t="s">
        <v>1293</v>
      </c>
      <c r="C8795" s="1" t="s">
        <v>160</v>
      </c>
      <c r="D8795" s="3">
        <f t="shared" si="1367"/>
        <v>8552</v>
      </c>
      <c r="E8795" s="2">
        <f t="shared" si="1368"/>
        <v>43739</v>
      </c>
      <c r="F8795" s="2">
        <f t="shared" si="1369"/>
        <v>45291</v>
      </c>
    </row>
    <row r="8796" spans="1:6" x14ac:dyDescent="0.25">
      <c r="A8796" s="1" t="s">
        <v>187</v>
      </c>
      <c r="B8796" s="1" t="s">
        <v>1293</v>
      </c>
      <c r="C8796" s="1" t="s">
        <v>378</v>
      </c>
      <c r="D8796" s="3">
        <f t="shared" si="1367"/>
        <v>8552</v>
      </c>
      <c r="E8796" s="2">
        <f t="shared" si="1368"/>
        <v>43739</v>
      </c>
      <c r="F8796" s="2">
        <f t="shared" si="1369"/>
        <v>45291</v>
      </c>
    </row>
    <row r="8797" spans="1:6" x14ac:dyDescent="0.25">
      <c r="A8797" s="1" t="s">
        <v>187</v>
      </c>
      <c r="B8797" s="1" t="s">
        <v>1293</v>
      </c>
      <c r="C8797" s="1" t="s">
        <v>162</v>
      </c>
      <c r="D8797" s="3">
        <f t="shared" ref="D8797:D8813" si="1370">VALUE("8552")</f>
        <v>8552</v>
      </c>
      <c r="E8797" s="2">
        <f t="shared" ref="E8797:E8813" si="1371">DATEVALUE("1-10-2019")</f>
        <v>43739</v>
      </c>
      <c r="F8797" s="2">
        <f t="shared" ref="F8797:F8813" si="1372">DATEVALUE("31-12-2023")</f>
        <v>45291</v>
      </c>
    </row>
    <row r="8798" spans="1:6" x14ac:dyDescent="0.25">
      <c r="A8798" s="1" t="s">
        <v>187</v>
      </c>
      <c r="B8798" s="1" t="s">
        <v>1293</v>
      </c>
      <c r="C8798" s="1" t="s">
        <v>34</v>
      </c>
      <c r="D8798" s="3">
        <f t="shared" si="1370"/>
        <v>8552</v>
      </c>
      <c r="E8798" s="2">
        <f t="shared" si="1371"/>
        <v>43739</v>
      </c>
      <c r="F8798" s="2">
        <f t="shared" si="1372"/>
        <v>45291</v>
      </c>
    </row>
    <row r="8799" spans="1:6" x14ac:dyDescent="0.25">
      <c r="A8799" s="1" t="s">
        <v>187</v>
      </c>
      <c r="B8799" s="1" t="s">
        <v>1293</v>
      </c>
      <c r="C8799" s="1" t="s">
        <v>574</v>
      </c>
      <c r="D8799" s="3">
        <f t="shared" si="1370"/>
        <v>8552</v>
      </c>
      <c r="E8799" s="2">
        <f t="shared" si="1371"/>
        <v>43739</v>
      </c>
      <c r="F8799" s="2">
        <f t="shared" si="1372"/>
        <v>45291</v>
      </c>
    </row>
    <row r="8800" spans="1:6" x14ac:dyDescent="0.25">
      <c r="A8800" s="1" t="s">
        <v>187</v>
      </c>
      <c r="B8800" s="1" t="s">
        <v>1293</v>
      </c>
      <c r="C8800" s="1" t="s">
        <v>875</v>
      </c>
      <c r="D8800" s="3">
        <f t="shared" si="1370"/>
        <v>8552</v>
      </c>
      <c r="E8800" s="2">
        <f t="shared" si="1371"/>
        <v>43739</v>
      </c>
      <c r="F8800" s="2">
        <f t="shared" si="1372"/>
        <v>45291</v>
      </c>
    </row>
    <row r="8801" spans="1:6" x14ac:dyDescent="0.25">
      <c r="A8801" s="1" t="s">
        <v>187</v>
      </c>
      <c r="B8801" s="1" t="s">
        <v>1293</v>
      </c>
      <c r="C8801" s="1" t="s">
        <v>876</v>
      </c>
      <c r="D8801" s="3">
        <f t="shared" si="1370"/>
        <v>8552</v>
      </c>
      <c r="E8801" s="2">
        <f t="shared" si="1371"/>
        <v>43739</v>
      </c>
      <c r="F8801" s="2">
        <f t="shared" si="1372"/>
        <v>45291</v>
      </c>
    </row>
    <row r="8802" spans="1:6" x14ac:dyDescent="0.25">
      <c r="A8802" s="1" t="s">
        <v>187</v>
      </c>
      <c r="B8802" s="1" t="s">
        <v>1293</v>
      </c>
      <c r="C8802" s="1" t="s">
        <v>877</v>
      </c>
      <c r="D8802" s="3">
        <f t="shared" si="1370"/>
        <v>8552</v>
      </c>
      <c r="E8802" s="2">
        <f t="shared" si="1371"/>
        <v>43739</v>
      </c>
      <c r="F8802" s="2">
        <f t="shared" si="1372"/>
        <v>45291</v>
      </c>
    </row>
    <row r="8803" spans="1:6" x14ac:dyDescent="0.25">
      <c r="A8803" s="1" t="s">
        <v>187</v>
      </c>
      <c r="B8803" s="1" t="s">
        <v>1293</v>
      </c>
      <c r="C8803" s="1" t="s">
        <v>878</v>
      </c>
      <c r="D8803" s="3">
        <f t="shared" si="1370"/>
        <v>8552</v>
      </c>
      <c r="E8803" s="2">
        <f t="shared" si="1371"/>
        <v>43739</v>
      </c>
      <c r="F8803" s="2">
        <f t="shared" si="1372"/>
        <v>45291</v>
      </c>
    </row>
    <row r="8804" spans="1:6" x14ac:dyDescent="0.25">
      <c r="A8804" s="1" t="s">
        <v>187</v>
      </c>
      <c r="B8804" s="1" t="s">
        <v>1293</v>
      </c>
      <c r="C8804" s="1" t="s">
        <v>575</v>
      </c>
      <c r="D8804" s="3">
        <f t="shared" si="1370"/>
        <v>8552</v>
      </c>
      <c r="E8804" s="2">
        <f t="shared" si="1371"/>
        <v>43739</v>
      </c>
      <c r="F8804" s="2">
        <f t="shared" si="1372"/>
        <v>45291</v>
      </c>
    </row>
    <row r="8805" spans="1:6" x14ac:dyDescent="0.25">
      <c r="A8805" s="1" t="s">
        <v>187</v>
      </c>
      <c r="B8805" s="1" t="s">
        <v>1293</v>
      </c>
      <c r="C8805" s="1" t="s">
        <v>576</v>
      </c>
      <c r="D8805" s="3">
        <f t="shared" si="1370"/>
        <v>8552</v>
      </c>
      <c r="E8805" s="2">
        <f t="shared" si="1371"/>
        <v>43739</v>
      </c>
      <c r="F8805" s="2">
        <f t="shared" si="1372"/>
        <v>45291</v>
      </c>
    </row>
    <row r="8806" spans="1:6" x14ac:dyDescent="0.25">
      <c r="A8806" s="1" t="s">
        <v>187</v>
      </c>
      <c r="B8806" s="1" t="s">
        <v>1293</v>
      </c>
      <c r="C8806" s="1" t="s">
        <v>577</v>
      </c>
      <c r="D8806" s="3">
        <f t="shared" si="1370"/>
        <v>8552</v>
      </c>
      <c r="E8806" s="2">
        <f t="shared" si="1371"/>
        <v>43739</v>
      </c>
      <c r="F8806" s="2">
        <f t="shared" si="1372"/>
        <v>45291</v>
      </c>
    </row>
    <row r="8807" spans="1:6" x14ac:dyDescent="0.25">
      <c r="A8807" s="1" t="s">
        <v>187</v>
      </c>
      <c r="B8807" s="1" t="s">
        <v>1293</v>
      </c>
      <c r="C8807" s="1" t="s">
        <v>879</v>
      </c>
      <c r="D8807" s="3">
        <f t="shared" si="1370"/>
        <v>8552</v>
      </c>
      <c r="E8807" s="2">
        <f t="shared" si="1371"/>
        <v>43739</v>
      </c>
      <c r="F8807" s="2">
        <f t="shared" si="1372"/>
        <v>45291</v>
      </c>
    </row>
    <row r="8808" spans="1:6" x14ac:dyDescent="0.25">
      <c r="A8808" s="1" t="s">
        <v>187</v>
      </c>
      <c r="B8808" s="1" t="s">
        <v>1293</v>
      </c>
      <c r="C8808" s="1" t="s">
        <v>663</v>
      </c>
      <c r="D8808" s="3">
        <f t="shared" si="1370"/>
        <v>8552</v>
      </c>
      <c r="E8808" s="2">
        <f t="shared" si="1371"/>
        <v>43739</v>
      </c>
      <c r="F8808" s="2">
        <f t="shared" si="1372"/>
        <v>45291</v>
      </c>
    </row>
    <row r="8809" spans="1:6" x14ac:dyDescent="0.25">
      <c r="A8809" s="1" t="s">
        <v>187</v>
      </c>
      <c r="B8809" s="1" t="s">
        <v>1293</v>
      </c>
      <c r="C8809" s="1" t="s">
        <v>664</v>
      </c>
      <c r="D8809" s="3">
        <f t="shared" si="1370"/>
        <v>8552</v>
      </c>
      <c r="E8809" s="2">
        <f t="shared" si="1371"/>
        <v>43739</v>
      </c>
      <c r="F8809" s="2">
        <f t="shared" si="1372"/>
        <v>45291</v>
      </c>
    </row>
    <row r="8810" spans="1:6" x14ac:dyDescent="0.25">
      <c r="A8810" s="1" t="s">
        <v>187</v>
      </c>
      <c r="B8810" s="1" t="s">
        <v>1293</v>
      </c>
      <c r="C8810" s="1" t="s">
        <v>379</v>
      </c>
      <c r="D8810" s="3">
        <f t="shared" si="1370"/>
        <v>8552</v>
      </c>
      <c r="E8810" s="2">
        <f t="shared" si="1371"/>
        <v>43739</v>
      </c>
      <c r="F8810" s="2">
        <f t="shared" si="1372"/>
        <v>45291</v>
      </c>
    </row>
    <row r="8811" spans="1:6" x14ac:dyDescent="0.25">
      <c r="A8811" s="1" t="s">
        <v>187</v>
      </c>
      <c r="B8811" s="1" t="s">
        <v>1293</v>
      </c>
      <c r="C8811" s="1" t="s">
        <v>380</v>
      </c>
      <c r="D8811" s="3">
        <f t="shared" si="1370"/>
        <v>8552</v>
      </c>
      <c r="E8811" s="2">
        <f t="shared" si="1371"/>
        <v>43739</v>
      </c>
      <c r="F8811" s="2">
        <f t="shared" si="1372"/>
        <v>45291</v>
      </c>
    </row>
    <row r="8812" spans="1:6" x14ac:dyDescent="0.25">
      <c r="A8812" s="1" t="s">
        <v>187</v>
      </c>
      <c r="B8812" s="1" t="s">
        <v>1293</v>
      </c>
      <c r="C8812" s="1" t="s">
        <v>381</v>
      </c>
      <c r="D8812" s="3">
        <f t="shared" si="1370"/>
        <v>8552</v>
      </c>
      <c r="E8812" s="2">
        <f t="shared" si="1371"/>
        <v>43739</v>
      </c>
      <c r="F8812" s="2">
        <f t="shared" si="1372"/>
        <v>45291</v>
      </c>
    </row>
    <row r="8813" spans="1:6" x14ac:dyDescent="0.25">
      <c r="A8813" s="1" t="s">
        <v>187</v>
      </c>
      <c r="B8813" s="1" t="s">
        <v>1293</v>
      </c>
      <c r="C8813" s="1" t="s">
        <v>170</v>
      </c>
      <c r="D8813" s="3">
        <f t="shared" si="1370"/>
        <v>8552</v>
      </c>
      <c r="E8813" s="2">
        <f t="shared" si="1371"/>
        <v>43739</v>
      </c>
      <c r="F8813" s="2">
        <f t="shared" si="1372"/>
        <v>45291</v>
      </c>
    </row>
    <row r="8814" spans="1:6" x14ac:dyDescent="0.25">
      <c r="A8814" s="1" t="s">
        <v>187</v>
      </c>
      <c r="B8814" s="1" t="s">
        <v>1002</v>
      </c>
      <c r="C8814" s="1" t="s">
        <v>14</v>
      </c>
      <c r="D8814" s="3">
        <f t="shared" ref="D8814:D8821" si="1373">VALUE("8285")</f>
        <v>8285</v>
      </c>
      <c r="E8814" s="2">
        <f t="shared" ref="E8814:E8821" si="1374">DATEVALUE("1-1-2019")</f>
        <v>43466</v>
      </c>
      <c r="F8814" s="2">
        <f t="shared" ref="F8814:F8821" si="1375">DATEVALUE("31-8-2021")</f>
        <v>44439</v>
      </c>
    </row>
    <row r="8815" spans="1:6" x14ac:dyDescent="0.25">
      <c r="A8815" s="1" t="s">
        <v>187</v>
      </c>
      <c r="B8815" s="1" t="s">
        <v>1002</v>
      </c>
      <c r="C8815" s="1" t="s">
        <v>17</v>
      </c>
      <c r="D8815" s="3">
        <f t="shared" si="1373"/>
        <v>8285</v>
      </c>
      <c r="E8815" s="2">
        <f t="shared" si="1374"/>
        <v>43466</v>
      </c>
      <c r="F8815" s="2">
        <f t="shared" si="1375"/>
        <v>44439</v>
      </c>
    </row>
    <row r="8816" spans="1:6" x14ac:dyDescent="0.25">
      <c r="A8816" s="1" t="s">
        <v>187</v>
      </c>
      <c r="B8816" s="1" t="s">
        <v>1002</v>
      </c>
      <c r="C8816" s="1" t="s">
        <v>128</v>
      </c>
      <c r="D8816" s="3">
        <f t="shared" si="1373"/>
        <v>8285</v>
      </c>
      <c r="E8816" s="2">
        <f t="shared" si="1374"/>
        <v>43466</v>
      </c>
      <c r="F8816" s="2">
        <f t="shared" si="1375"/>
        <v>44439</v>
      </c>
    </row>
    <row r="8817" spans="1:6" x14ac:dyDescent="0.25">
      <c r="A8817" s="1" t="s">
        <v>187</v>
      </c>
      <c r="B8817" s="1" t="s">
        <v>1002</v>
      </c>
      <c r="C8817" s="1" t="s">
        <v>180</v>
      </c>
      <c r="D8817" s="3">
        <f t="shared" si="1373"/>
        <v>8285</v>
      </c>
      <c r="E8817" s="2">
        <f t="shared" si="1374"/>
        <v>43466</v>
      </c>
      <c r="F8817" s="2">
        <f t="shared" si="1375"/>
        <v>44439</v>
      </c>
    </row>
    <row r="8818" spans="1:6" x14ac:dyDescent="0.25">
      <c r="A8818" s="1" t="s">
        <v>187</v>
      </c>
      <c r="B8818" s="1" t="s">
        <v>1002</v>
      </c>
      <c r="C8818" s="1" t="s">
        <v>93</v>
      </c>
      <c r="D8818" s="3">
        <f t="shared" si="1373"/>
        <v>8285</v>
      </c>
      <c r="E8818" s="2">
        <f t="shared" si="1374"/>
        <v>43466</v>
      </c>
      <c r="F8818" s="2">
        <f t="shared" si="1375"/>
        <v>44439</v>
      </c>
    </row>
    <row r="8819" spans="1:6" x14ac:dyDescent="0.25">
      <c r="A8819" s="1" t="s">
        <v>187</v>
      </c>
      <c r="B8819" s="1" t="s">
        <v>1002</v>
      </c>
      <c r="C8819" s="1" t="s">
        <v>129</v>
      </c>
      <c r="D8819" s="3">
        <f t="shared" si="1373"/>
        <v>8285</v>
      </c>
      <c r="E8819" s="2">
        <f t="shared" si="1374"/>
        <v>43466</v>
      </c>
      <c r="F8819" s="2">
        <f t="shared" si="1375"/>
        <v>44439</v>
      </c>
    </row>
    <row r="8820" spans="1:6" x14ac:dyDescent="0.25">
      <c r="A8820" s="1" t="s">
        <v>187</v>
      </c>
      <c r="B8820" s="1" t="s">
        <v>1002</v>
      </c>
      <c r="C8820" s="1" t="s">
        <v>24</v>
      </c>
      <c r="D8820" s="3">
        <f t="shared" si="1373"/>
        <v>8285</v>
      </c>
      <c r="E8820" s="2">
        <f t="shared" si="1374"/>
        <v>43466</v>
      </c>
      <c r="F8820" s="2">
        <f t="shared" si="1375"/>
        <v>44439</v>
      </c>
    </row>
    <row r="8821" spans="1:6" x14ac:dyDescent="0.25">
      <c r="A8821" s="1" t="s">
        <v>187</v>
      </c>
      <c r="B8821" s="1" t="s">
        <v>1002</v>
      </c>
      <c r="C8821" s="1" t="s">
        <v>34</v>
      </c>
      <c r="D8821" s="3">
        <f t="shared" si="1373"/>
        <v>8285</v>
      </c>
      <c r="E8821" s="2">
        <f t="shared" si="1374"/>
        <v>43466</v>
      </c>
      <c r="F8821" s="2">
        <f t="shared" si="1375"/>
        <v>44439</v>
      </c>
    </row>
    <row r="8822" spans="1:6" x14ac:dyDescent="0.25">
      <c r="A8822" s="1" t="s">
        <v>187</v>
      </c>
      <c r="B8822" s="1" t="s">
        <v>932</v>
      </c>
      <c r="C8822" s="1" t="s">
        <v>17</v>
      </c>
      <c r="D8822" s="3">
        <f t="shared" ref="D8822:D8827" si="1376">VALUE("8196")</f>
        <v>8196</v>
      </c>
      <c r="E8822" s="2">
        <f t="shared" ref="E8822:E8838" si="1377">DATEVALUE("1-9-2018")</f>
        <v>43344</v>
      </c>
      <c r="F8822" s="2">
        <f t="shared" ref="F8822:F8827" si="1378">DATEVALUE("31-12-2020")</f>
        <v>44196</v>
      </c>
    </row>
    <row r="8823" spans="1:6" x14ac:dyDescent="0.25">
      <c r="A8823" s="1" t="s">
        <v>187</v>
      </c>
      <c r="B8823" s="1" t="s">
        <v>932</v>
      </c>
      <c r="C8823" s="1" t="s">
        <v>128</v>
      </c>
      <c r="D8823" s="3">
        <f t="shared" si="1376"/>
        <v>8196</v>
      </c>
      <c r="E8823" s="2">
        <f t="shared" si="1377"/>
        <v>43344</v>
      </c>
      <c r="F8823" s="2">
        <f t="shared" si="1378"/>
        <v>44196</v>
      </c>
    </row>
    <row r="8824" spans="1:6" x14ac:dyDescent="0.25">
      <c r="A8824" s="1" t="s">
        <v>187</v>
      </c>
      <c r="B8824" s="1" t="s">
        <v>932</v>
      </c>
      <c r="C8824" s="1" t="s">
        <v>180</v>
      </c>
      <c r="D8824" s="3">
        <f t="shared" si="1376"/>
        <v>8196</v>
      </c>
      <c r="E8824" s="2">
        <f t="shared" si="1377"/>
        <v>43344</v>
      </c>
      <c r="F8824" s="2">
        <f t="shared" si="1378"/>
        <v>44196</v>
      </c>
    </row>
    <row r="8825" spans="1:6" x14ac:dyDescent="0.25">
      <c r="A8825" s="1" t="s">
        <v>187</v>
      </c>
      <c r="B8825" s="1" t="s">
        <v>932</v>
      </c>
      <c r="C8825" s="1" t="s">
        <v>93</v>
      </c>
      <c r="D8825" s="3">
        <f t="shared" si="1376"/>
        <v>8196</v>
      </c>
      <c r="E8825" s="2">
        <f t="shared" si="1377"/>
        <v>43344</v>
      </c>
      <c r="F8825" s="2">
        <f t="shared" si="1378"/>
        <v>44196</v>
      </c>
    </row>
    <row r="8826" spans="1:6" x14ac:dyDescent="0.25">
      <c r="A8826" s="1" t="s">
        <v>187</v>
      </c>
      <c r="B8826" s="1" t="s">
        <v>932</v>
      </c>
      <c r="C8826" s="1" t="s">
        <v>129</v>
      </c>
      <c r="D8826" s="3">
        <f t="shared" si="1376"/>
        <v>8196</v>
      </c>
      <c r="E8826" s="2">
        <f t="shared" si="1377"/>
        <v>43344</v>
      </c>
      <c r="F8826" s="2">
        <f t="shared" si="1378"/>
        <v>44196</v>
      </c>
    </row>
    <row r="8827" spans="1:6" x14ac:dyDescent="0.25">
      <c r="A8827" s="1" t="s">
        <v>187</v>
      </c>
      <c r="B8827" s="1" t="s">
        <v>932</v>
      </c>
      <c r="C8827" s="1" t="s">
        <v>130</v>
      </c>
      <c r="D8827" s="3">
        <f t="shared" si="1376"/>
        <v>8196</v>
      </c>
      <c r="E8827" s="2">
        <f t="shared" si="1377"/>
        <v>43344</v>
      </c>
      <c r="F8827" s="2">
        <f t="shared" si="1378"/>
        <v>44196</v>
      </c>
    </row>
    <row r="8828" spans="1:6" x14ac:dyDescent="0.25">
      <c r="A8828" s="1" t="s">
        <v>187</v>
      </c>
      <c r="B8828" s="1" t="s">
        <v>1042</v>
      </c>
      <c r="C8828" s="1" t="s">
        <v>85</v>
      </c>
      <c r="D8828" s="3">
        <f t="shared" ref="D8828:D8838" si="1379">VALUE("8326")</f>
        <v>8326</v>
      </c>
      <c r="E8828" s="2">
        <f t="shared" si="1377"/>
        <v>43344</v>
      </c>
      <c r="F8828" s="2">
        <f t="shared" ref="F8828:F8838" si="1380">DATEVALUE("31-8-2021")</f>
        <v>44439</v>
      </c>
    </row>
    <row r="8829" spans="1:6" x14ac:dyDescent="0.25">
      <c r="A8829" s="1" t="s">
        <v>187</v>
      </c>
      <c r="B8829" s="1" t="s">
        <v>1042</v>
      </c>
      <c r="C8829" s="1" t="s">
        <v>84</v>
      </c>
      <c r="D8829" s="3">
        <f t="shared" si="1379"/>
        <v>8326</v>
      </c>
      <c r="E8829" s="2">
        <f t="shared" si="1377"/>
        <v>43344</v>
      </c>
      <c r="F8829" s="2">
        <f t="shared" si="1380"/>
        <v>44439</v>
      </c>
    </row>
    <row r="8830" spans="1:6" x14ac:dyDescent="0.25">
      <c r="A8830" s="1" t="s">
        <v>187</v>
      </c>
      <c r="B8830" s="1" t="s">
        <v>1042</v>
      </c>
      <c r="C8830" s="1" t="s">
        <v>89</v>
      </c>
      <c r="D8830" s="3">
        <f t="shared" si="1379"/>
        <v>8326</v>
      </c>
      <c r="E8830" s="2">
        <f t="shared" si="1377"/>
        <v>43344</v>
      </c>
      <c r="F8830" s="2">
        <f t="shared" si="1380"/>
        <v>44439</v>
      </c>
    </row>
    <row r="8831" spans="1:6" x14ac:dyDescent="0.25">
      <c r="A8831" s="1" t="s">
        <v>187</v>
      </c>
      <c r="B8831" s="1" t="s">
        <v>1042</v>
      </c>
      <c r="C8831" s="1" t="s">
        <v>17</v>
      </c>
      <c r="D8831" s="3">
        <f t="shared" si="1379"/>
        <v>8326</v>
      </c>
      <c r="E8831" s="2">
        <f t="shared" si="1377"/>
        <v>43344</v>
      </c>
      <c r="F8831" s="2">
        <f t="shared" si="1380"/>
        <v>44439</v>
      </c>
    </row>
    <row r="8832" spans="1:6" x14ac:dyDescent="0.25">
      <c r="A8832" s="1" t="s">
        <v>187</v>
      </c>
      <c r="B8832" s="1" t="s">
        <v>1042</v>
      </c>
      <c r="C8832" s="1" t="s">
        <v>92</v>
      </c>
      <c r="D8832" s="3">
        <f t="shared" si="1379"/>
        <v>8326</v>
      </c>
      <c r="E8832" s="2">
        <f t="shared" si="1377"/>
        <v>43344</v>
      </c>
      <c r="F8832" s="2">
        <f t="shared" si="1380"/>
        <v>44439</v>
      </c>
    </row>
    <row r="8833" spans="1:6" x14ac:dyDescent="0.25">
      <c r="A8833" s="1" t="s">
        <v>187</v>
      </c>
      <c r="B8833" s="1" t="s">
        <v>1042</v>
      </c>
      <c r="C8833" s="1" t="s">
        <v>128</v>
      </c>
      <c r="D8833" s="3">
        <f t="shared" si="1379"/>
        <v>8326</v>
      </c>
      <c r="E8833" s="2">
        <f t="shared" si="1377"/>
        <v>43344</v>
      </c>
      <c r="F8833" s="2">
        <f t="shared" si="1380"/>
        <v>44439</v>
      </c>
    </row>
    <row r="8834" spans="1:6" x14ac:dyDescent="0.25">
      <c r="A8834" s="1" t="s">
        <v>187</v>
      </c>
      <c r="B8834" s="1" t="s">
        <v>1042</v>
      </c>
      <c r="C8834" s="1" t="s">
        <v>180</v>
      </c>
      <c r="D8834" s="3">
        <f t="shared" si="1379"/>
        <v>8326</v>
      </c>
      <c r="E8834" s="2">
        <f t="shared" si="1377"/>
        <v>43344</v>
      </c>
      <c r="F8834" s="2">
        <f t="shared" si="1380"/>
        <v>44439</v>
      </c>
    </row>
    <row r="8835" spans="1:6" x14ac:dyDescent="0.25">
      <c r="A8835" s="1" t="s">
        <v>187</v>
      </c>
      <c r="B8835" s="1" t="s">
        <v>1042</v>
      </c>
      <c r="C8835" s="1" t="s">
        <v>93</v>
      </c>
      <c r="D8835" s="3">
        <f t="shared" si="1379"/>
        <v>8326</v>
      </c>
      <c r="E8835" s="2">
        <f t="shared" si="1377"/>
        <v>43344</v>
      </c>
      <c r="F8835" s="2">
        <f t="shared" si="1380"/>
        <v>44439</v>
      </c>
    </row>
    <row r="8836" spans="1:6" x14ac:dyDescent="0.25">
      <c r="A8836" s="1" t="s">
        <v>187</v>
      </c>
      <c r="B8836" s="1" t="s">
        <v>1042</v>
      </c>
      <c r="C8836" s="1" t="s">
        <v>129</v>
      </c>
      <c r="D8836" s="3">
        <f t="shared" si="1379"/>
        <v>8326</v>
      </c>
      <c r="E8836" s="2">
        <f t="shared" si="1377"/>
        <v>43344</v>
      </c>
      <c r="F8836" s="2">
        <f t="shared" si="1380"/>
        <v>44439</v>
      </c>
    </row>
    <row r="8837" spans="1:6" x14ac:dyDescent="0.25">
      <c r="A8837" s="1" t="s">
        <v>187</v>
      </c>
      <c r="B8837" s="1" t="s">
        <v>1042</v>
      </c>
      <c r="C8837" s="1" t="s">
        <v>198</v>
      </c>
      <c r="D8837" s="3">
        <f t="shared" si="1379"/>
        <v>8326</v>
      </c>
      <c r="E8837" s="2">
        <f t="shared" si="1377"/>
        <v>43344</v>
      </c>
      <c r="F8837" s="2">
        <f t="shared" si="1380"/>
        <v>44439</v>
      </c>
    </row>
    <row r="8838" spans="1:6" x14ac:dyDescent="0.25">
      <c r="A8838" s="1" t="s">
        <v>187</v>
      </c>
      <c r="B8838" s="1" t="s">
        <v>1042</v>
      </c>
      <c r="C8838" s="1" t="s">
        <v>283</v>
      </c>
      <c r="D8838" s="3">
        <f t="shared" si="1379"/>
        <v>8326</v>
      </c>
      <c r="E8838" s="2">
        <f t="shared" si="1377"/>
        <v>43344</v>
      </c>
      <c r="F8838" s="2">
        <f t="shared" si="1380"/>
        <v>44439</v>
      </c>
    </row>
    <row r="8839" spans="1:6" x14ac:dyDescent="0.25">
      <c r="A8839" s="1" t="s">
        <v>187</v>
      </c>
      <c r="B8839" s="1" t="s">
        <v>873</v>
      </c>
      <c r="C8839" s="1" t="s">
        <v>14</v>
      </c>
      <c r="D8839" s="3">
        <f t="shared" ref="D8839:D8871" si="1381">VALUE("8099")</f>
        <v>8099</v>
      </c>
      <c r="E8839" s="2">
        <f t="shared" ref="E8839:E8871" si="1382">DATEVALUE("1-9-2017")</f>
        <v>42979</v>
      </c>
      <c r="F8839" s="2">
        <f t="shared" ref="F8839:F8872" si="1383">DATEVALUE("31-12-2020")</f>
        <v>44196</v>
      </c>
    </row>
    <row r="8840" spans="1:6" x14ac:dyDescent="0.25">
      <c r="A8840" s="1" t="s">
        <v>187</v>
      </c>
      <c r="B8840" s="1" t="s">
        <v>873</v>
      </c>
      <c r="C8840" s="1" t="s">
        <v>66</v>
      </c>
      <c r="D8840" s="3">
        <f t="shared" si="1381"/>
        <v>8099</v>
      </c>
      <c r="E8840" s="2">
        <f t="shared" si="1382"/>
        <v>42979</v>
      </c>
      <c r="F8840" s="2">
        <f t="shared" si="1383"/>
        <v>44196</v>
      </c>
    </row>
    <row r="8841" spans="1:6" x14ac:dyDescent="0.25">
      <c r="A8841" s="1" t="s">
        <v>187</v>
      </c>
      <c r="B8841" s="1" t="s">
        <v>873</v>
      </c>
      <c r="C8841" s="1" t="s">
        <v>15</v>
      </c>
      <c r="D8841" s="3">
        <f t="shared" si="1381"/>
        <v>8099</v>
      </c>
      <c r="E8841" s="2">
        <f t="shared" si="1382"/>
        <v>42979</v>
      </c>
      <c r="F8841" s="2">
        <f t="shared" si="1383"/>
        <v>44196</v>
      </c>
    </row>
    <row r="8842" spans="1:6" x14ac:dyDescent="0.25">
      <c r="A8842" s="1" t="s">
        <v>187</v>
      </c>
      <c r="B8842" s="1" t="s">
        <v>873</v>
      </c>
      <c r="C8842" s="1" t="s">
        <v>874</v>
      </c>
      <c r="D8842" s="3">
        <f t="shared" si="1381"/>
        <v>8099</v>
      </c>
      <c r="E8842" s="2">
        <f t="shared" si="1382"/>
        <v>42979</v>
      </c>
      <c r="F8842" s="2">
        <f t="shared" si="1383"/>
        <v>44196</v>
      </c>
    </row>
    <row r="8843" spans="1:6" x14ac:dyDescent="0.25">
      <c r="A8843" s="1" t="s">
        <v>187</v>
      </c>
      <c r="B8843" s="1" t="s">
        <v>873</v>
      </c>
      <c r="C8843" s="1" t="s">
        <v>17</v>
      </c>
      <c r="D8843" s="3">
        <f t="shared" si="1381"/>
        <v>8099</v>
      </c>
      <c r="E8843" s="2">
        <f t="shared" si="1382"/>
        <v>42979</v>
      </c>
      <c r="F8843" s="2">
        <f t="shared" si="1383"/>
        <v>44196</v>
      </c>
    </row>
    <row r="8844" spans="1:6" x14ac:dyDescent="0.25">
      <c r="A8844" s="1" t="s">
        <v>187</v>
      </c>
      <c r="B8844" s="1" t="s">
        <v>873</v>
      </c>
      <c r="C8844" s="1" t="s">
        <v>91</v>
      </c>
      <c r="D8844" s="3">
        <f t="shared" si="1381"/>
        <v>8099</v>
      </c>
      <c r="E8844" s="2">
        <f t="shared" si="1382"/>
        <v>42979</v>
      </c>
      <c r="F8844" s="2">
        <f t="shared" si="1383"/>
        <v>44196</v>
      </c>
    </row>
    <row r="8845" spans="1:6" x14ac:dyDescent="0.25">
      <c r="A8845" s="1" t="s">
        <v>187</v>
      </c>
      <c r="B8845" s="1" t="s">
        <v>873</v>
      </c>
      <c r="C8845" s="1" t="s">
        <v>22</v>
      </c>
      <c r="D8845" s="3">
        <f t="shared" si="1381"/>
        <v>8099</v>
      </c>
      <c r="E8845" s="2">
        <f t="shared" si="1382"/>
        <v>42979</v>
      </c>
      <c r="F8845" s="2">
        <f t="shared" si="1383"/>
        <v>44196</v>
      </c>
    </row>
    <row r="8846" spans="1:6" x14ac:dyDescent="0.25">
      <c r="A8846" s="1" t="s">
        <v>187</v>
      </c>
      <c r="B8846" s="1" t="s">
        <v>873</v>
      </c>
      <c r="C8846" s="1" t="s">
        <v>146</v>
      </c>
      <c r="D8846" s="3">
        <f t="shared" si="1381"/>
        <v>8099</v>
      </c>
      <c r="E8846" s="2">
        <f t="shared" si="1382"/>
        <v>42979</v>
      </c>
      <c r="F8846" s="2">
        <f t="shared" si="1383"/>
        <v>44196</v>
      </c>
    </row>
    <row r="8847" spans="1:6" x14ac:dyDescent="0.25">
      <c r="A8847" s="1" t="s">
        <v>187</v>
      </c>
      <c r="B8847" s="1" t="s">
        <v>873</v>
      </c>
      <c r="C8847" s="1" t="s">
        <v>67</v>
      </c>
      <c r="D8847" s="3">
        <f t="shared" si="1381"/>
        <v>8099</v>
      </c>
      <c r="E8847" s="2">
        <f t="shared" si="1382"/>
        <v>42979</v>
      </c>
      <c r="F8847" s="2">
        <f t="shared" si="1383"/>
        <v>44196</v>
      </c>
    </row>
    <row r="8848" spans="1:6" x14ac:dyDescent="0.25">
      <c r="A8848" s="1" t="s">
        <v>187</v>
      </c>
      <c r="B8848" s="1" t="s">
        <v>873</v>
      </c>
      <c r="C8848" s="1" t="s">
        <v>92</v>
      </c>
      <c r="D8848" s="3">
        <f t="shared" si="1381"/>
        <v>8099</v>
      </c>
      <c r="E8848" s="2">
        <f t="shared" si="1382"/>
        <v>42979</v>
      </c>
      <c r="F8848" s="2">
        <f t="shared" si="1383"/>
        <v>44196</v>
      </c>
    </row>
    <row r="8849" spans="1:6" x14ac:dyDescent="0.25">
      <c r="A8849" s="1" t="s">
        <v>187</v>
      </c>
      <c r="B8849" s="1" t="s">
        <v>873</v>
      </c>
      <c r="C8849" s="1" t="s">
        <v>371</v>
      </c>
      <c r="D8849" s="3">
        <f t="shared" si="1381"/>
        <v>8099</v>
      </c>
      <c r="E8849" s="2">
        <f t="shared" si="1382"/>
        <v>42979</v>
      </c>
      <c r="F8849" s="2">
        <f t="shared" si="1383"/>
        <v>44196</v>
      </c>
    </row>
    <row r="8850" spans="1:6" x14ac:dyDescent="0.25">
      <c r="A8850" s="1" t="s">
        <v>187</v>
      </c>
      <c r="B8850" s="1" t="s">
        <v>873</v>
      </c>
      <c r="C8850" s="1" t="s">
        <v>94</v>
      </c>
      <c r="D8850" s="3">
        <f t="shared" si="1381"/>
        <v>8099</v>
      </c>
      <c r="E8850" s="2">
        <f t="shared" si="1382"/>
        <v>42979</v>
      </c>
      <c r="F8850" s="2">
        <f t="shared" si="1383"/>
        <v>44196</v>
      </c>
    </row>
    <row r="8851" spans="1:6" x14ac:dyDescent="0.25">
      <c r="A8851" s="1" t="s">
        <v>187</v>
      </c>
      <c r="B8851" s="1" t="s">
        <v>873</v>
      </c>
      <c r="C8851" s="1" t="s">
        <v>532</v>
      </c>
      <c r="D8851" s="3">
        <f t="shared" si="1381"/>
        <v>8099</v>
      </c>
      <c r="E8851" s="2">
        <f t="shared" si="1382"/>
        <v>42979</v>
      </c>
      <c r="F8851" s="2">
        <f t="shared" si="1383"/>
        <v>44196</v>
      </c>
    </row>
    <row r="8852" spans="1:6" x14ac:dyDescent="0.25">
      <c r="A8852" s="1" t="s">
        <v>187</v>
      </c>
      <c r="B8852" s="1" t="s">
        <v>873</v>
      </c>
      <c r="C8852" s="1" t="s">
        <v>24</v>
      </c>
      <c r="D8852" s="3">
        <f t="shared" si="1381"/>
        <v>8099</v>
      </c>
      <c r="E8852" s="2">
        <f t="shared" si="1382"/>
        <v>42979</v>
      </c>
      <c r="F8852" s="2">
        <f t="shared" si="1383"/>
        <v>44196</v>
      </c>
    </row>
    <row r="8853" spans="1:6" x14ac:dyDescent="0.25">
      <c r="A8853" s="1" t="s">
        <v>187</v>
      </c>
      <c r="B8853" s="1" t="s">
        <v>873</v>
      </c>
      <c r="C8853" s="1" t="s">
        <v>73</v>
      </c>
      <c r="D8853" s="3">
        <f t="shared" si="1381"/>
        <v>8099</v>
      </c>
      <c r="E8853" s="2">
        <f t="shared" si="1382"/>
        <v>42979</v>
      </c>
      <c r="F8853" s="2">
        <f t="shared" si="1383"/>
        <v>44196</v>
      </c>
    </row>
    <row r="8854" spans="1:6" x14ac:dyDescent="0.25">
      <c r="A8854" s="1" t="s">
        <v>187</v>
      </c>
      <c r="B8854" s="1" t="s">
        <v>873</v>
      </c>
      <c r="C8854" s="1" t="s">
        <v>160</v>
      </c>
      <c r="D8854" s="3">
        <f t="shared" si="1381"/>
        <v>8099</v>
      </c>
      <c r="E8854" s="2">
        <f t="shared" si="1382"/>
        <v>42979</v>
      </c>
      <c r="F8854" s="2">
        <f t="shared" si="1383"/>
        <v>44196</v>
      </c>
    </row>
    <row r="8855" spans="1:6" x14ac:dyDescent="0.25">
      <c r="A8855" s="1" t="s">
        <v>187</v>
      </c>
      <c r="B8855" s="1" t="s">
        <v>873</v>
      </c>
      <c r="C8855" s="1" t="s">
        <v>34</v>
      </c>
      <c r="D8855" s="3">
        <f t="shared" si="1381"/>
        <v>8099</v>
      </c>
      <c r="E8855" s="2">
        <f t="shared" si="1382"/>
        <v>42979</v>
      </c>
      <c r="F8855" s="2">
        <f t="shared" si="1383"/>
        <v>44196</v>
      </c>
    </row>
    <row r="8856" spans="1:6" x14ac:dyDescent="0.25">
      <c r="A8856" s="1" t="s">
        <v>187</v>
      </c>
      <c r="B8856" s="1" t="s">
        <v>873</v>
      </c>
      <c r="C8856" s="1" t="s">
        <v>55</v>
      </c>
      <c r="D8856" s="3">
        <f t="shared" si="1381"/>
        <v>8099</v>
      </c>
      <c r="E8856" s="2">
        <f t="shared" si="1382"/>
        <v>42979</v>
      </c>
      <c r="F8856" s="2">
        <f t="shared" si="1383"/>
        <v>44196</v>
      </c>
    </row>
    <row r="8857" spans="1:6" x14ac:dyDescent="0.25">
      <c r="A8857" s="1" t="s">
        <v>187</v>
      </c>
      <c r="B8857" s="1" t="s">
        <v>873</v>
      </c>
      <c r="C8857" s="1" t="s">
        <v>574</v>
      </c>
      <c r="D8857" s="3">
        <f t="shared" si="1381"/>
        <v>8099</v>
      </c>
      <c r="E8857" s="2">
        <f t="shared" si="1382"/>
        <v>42979</v>
      </c>
      <c r="F8857" s="2">
        <f t="shared" si="1383"/>
        <v>44196</v>
      </c>
    </row>
    <row r="8858" spans="1:6" x14ac:dyDescent="0.25">
      <c r="A8858" s="1" t="s">
        <v>187</v>
      </c>
      <c r="B8858" s="1" t="s">
        <v>873</v>
      </c>
      <c r="C8858" s="1" t="s">
        <v>875</v>
      </c>
      <c r="D8858" s="3">
        <f t="shared" si="1381"/>
        <v>8099</v>
      </c>
      <c r="E8858" s="2">
        <f t="shared" si="1382"/>
        <v>42979</v>
      </c>
      <c r="F8858" s="2">
        <f t="shared" si="1383"/>
        <v>44196</v>
      </c>
    </row>
    <row r="8859" spans="1:6" x14ac:dyDescent="0.25">
      <c r="A8859" s="1" t="s">
        <v>187</v>
      </c>
      <c r="B8859" s="1" t="s">
        <v>873</v>
      </c>
      <c r="C8859" s="1" t="s">
        <v>876</v>
      </c>
      <c r="D8859" s="3">
        <f t="shared" si="1381"/>
        <v>8099</v>
      </c>
      <c r="E8859" s="2">
        <f t="shared" si="1382"/>
        <v>42979</v>
      </c>
      <c r="F8859" s="2">
        <f t="shared" si="1383"/>
        <v>44196</v>
      </c>
    </row>
    <row r="8860" spans="1:6" x14ac:dyDescent="0.25">
      <c r="A8860" s="1" t="s">
        <v>187</v>
      </c>
      <c r="B8860" s="1" t="s">
        <v>873</v>
      </c>
      <c r="C8860" s="1" t="s">
        <v>877</v>
      </c>
      <c r="D8860" s="3">
        <f t="shared" si="1381"/>
        <v>8099</v>
      </c>
      <c r="E8860" s="2">
        <f t="shared" si="1382"/>
        <v>42979</v>
      </c>
      <c r="F8860" s="2">
        <f t="shared" si="1383"/>
        <v>44196</v>
      </c>
    </row>
    <row r="8861" spans="1:6" x14ac:dyDescent="0.25">
      <c r="A8861" s="1" t="s">
        <v>187</v>
      </c>
      <c r="B8861" s="1" t="s">
        <v>873</v>
      </c>
      <c r="C8861" s="1" t="s">
        <v>878</v>
      </c>
      <c r="D8861" s="3">
        <f t="shared" si="1381"/>
        <v>8099</v>
      </c>
      <c r="E8861" s="2">
        <f t="shared" si="1382"/>
        <v>42979</v>
      </c>
      <c r="F8861" s="2">
        <f t="shared" si="1383"/>
        <v>44196</v>
      </c>
    </row>
    <row r="8862" spans="1:6" x14ac:dyDescent="0.25">
      <c r="A8862" s="1" t="s">
        <v>187</v>
      </c>
      <c r="B8862" s="1" t="s">
        <v>873</v>
      </c>
      <c r="C8862" s="1" t="s">
        <v>575</v>
      </c>
      <c r="D8862" s="3">
        <f t="shared" si="1381"/>
        <v>8099</v>
      </c>
      <c r="E8862" s="2">
        <f t="shared" si="1382"/>
        <v>42979</v>
      </c>
      <c r="F8862" s="2">
        <f t="shared" si="1383"/>
        <v>44196</v>
      </c>
    </row>
    <row r="8863" spans="1:6" x14ac:dyDescent="0.25">
      <c r="A8863" s="1" t="s">
        <v>187</v>
      </c>
      <c r="B8863" s="1" t="s">
        <v>873</v>
      </c>
      <c r="C8863" s="1" t="s">
        <v>576</v>
      </c>
      <c r="D8863" s="3">
        <f t="shared" si="1381"/>
        <v>8099</v>
      </c>
      <c r="E8863" s="2">
        <f t="shared" si="1382"/>
        <v>42979</v>
      </c>
      <c r="F8863" s="2">
        <f t="shared" si="1383"/>
        <v>44196</v>
      </c>
    </row>
    <row r="8864" spans="1:6" x14ac:dyDescent="0.25">
      <c r="A8864" s="1" t="s">
        <v>187</v>
      </c>
      <c r="B8864" s="1" t="s">
        <v>873</v>
      </c>
      <c r="C8864" s="1" t="s">
        <v>577</v>
      </c>
      <c r="D8864" s="3">
        <f t="shared" si="1381"/>
        <v>8099</v>
      </c>
      <c r="E8864" s="2">
        <f t="shared" si="1382"/>
        <v>42979</v>
      </c>
      <c r="F8864" s="2">
        <f t="shared" si="1383"/>
        <v>44196</v>
      </c>
    </row>
    <row r="8865" spans="1:6" x14ac:dyDescent="0.25">
      <c r="A8865" s="1" t="s">
        <v>187</v>
      </c>
      <c r="B8865" s="1" t="s">
        <v>873</v>
      </c>
      <c r="C8865" s="1" t="s">
        <v>879</v>
      </c>
      <c r="D8865" s="3">
        <f t="shared" si="1381"/>
        <v>8099</v>
      </c>
      <c r="E8865" s="2">
        <f t="shared" si="1382"/>
        <v>42979</v>
      </c>
      <c r="F8865" s="2">
        <f t="shared" si="1383"/>
        <v>44196</v>
      </c>
    </row>
    <row r="8866" spans="1:6" x14ac:dyDescent="0.25">
      <c r="A8866" s="1" t="s">
        <v>187</v>
      </c>
      <c r="B8866" s="1" t="s">
        <v>873</v>
      </c>
      <c r="C8866" s="1" t="s">
        <v>663</v>
      </c>
      <c r="D8866" s="3">
        <f t="shared" si="1381"/>
        <v>8099</v>
      </c>
      <c r="E8866" s="2">
        <f t="shared" si="1382"/>
        <v>42979</v>
      </c>
      <c r="F8866" s="2">
        <f t="shared" si="1383"/>
        <v>44196</v>
      </c>
    </row>
    <row r="8867" spans="1:6" x14ac:dyDescent="0.25">
      <c r="A8867" s="1" t="s">
        <v>187</v>
      </c>
      <c r="B8867" s="1" t="s">
        <v>873</v>
      </c>
      <c r="C8867" s="1" t="s">
        <v>664</v>
      </c>
      <c r="D8867" s="3">
        <f t="shared" si="1381"/>
        <v>8099</v>
      </c>
      <c r="E8867" s="2">
        <f t="shared" si="1382"/>
        <v>42979</v>
      </c>
      <c r="F8867" s="2">
        <f t="shared" si="1383"/>
        <v>44196</v>
      </c>
    </row>
    <row r="8868" spans="1:6" x14ac:dyDescent="0.25">
      <c r="A8868" s="1" t="s">
        <v>187</v>
      </c>
      <c r="B8868" s="1" t="s">
        <v>873</v>
      </c>
      <c r="C8868" s="1" t="s">
        <v>379</v>
      </c>
      <c r="D8868" s="3">
        <f t="shared" si="1381"/>
        <v>8099</v>
      </c>
      <c r="E8868" s="2">
        <f t="shared" si="1382"/>
        <v>42979</v>
      </c>
      <c r="F8868" s="2">
        <f t="shared" si="1383"/>
        <v>44196</v>
      </c>
    </row>
    <row r="8869" spans="1:6" x14ac:dyDescent="0.25">
      <c r="A8869" s="1" t="s">
        <v>187</v>
      </c>
      <c r="B8869" s="1" t="s">
        <v>873</v>
      </c>
      <c r="C8869" s="1" t="s">
        <v>380</v>
      </c>
      <c r="D8869" s="3">
        <f t="shared" si="1381"/>
        <v>8099</v>
      </c>
      <c r="E8869" s="2">
        <f t="shared" si="1382"/>
        <v>42979</v>
      </c>
      <c r="F8869" s="2">
        <f t="shared" si="1383"/>
        <v>44196</v>
      </c>
    </row>
    <row r="8870" spans="1:6" x14ac:dyDescent="0.25">
      <c r="A8870" s="1" t="s">
        <v>187</v>
      </c>
      <c r="B8870" s="1" t="s">
        <v>873</v>
      </c>
      <c r="C8870" s="1" t="s">
        <v>381</v>
      </c>
      <c r="D8870" s="3">
        <f t="shared" si="1381"/>
        <v>8099</v>
      </c>
      <c r="E8870" s="2">
        <f t="shared" si="1382"/>
        <v>42979</v>
      </c>
      <c r="F8870" s="2">
        <f t="shared" si="1383"/>
        <v>44196</v>
      </c>
    </row>
    <row r="8871" spans="1:6" x14ac:dyDescent="0.25">
      <c r="A8871" s="1" t="s">
        <v>187</v>
      </c>
      <c r="B8871" s="1" t="s">
        <v>873</v>
      </c>
      <c r="C8871" s="1" t="s">
        <v>170</v>
      </c>
      <c r="D8871" s="3">
        <f t="shared" si="1381"/>
        <v>8099</v>
      </c>
      <c r="E8871" s="2">
        <f t="shared" si="1382"/>
        <v>42979</v>
      </c>
      <c r="F8871" s="2">
        <f t="shared" si="1383"/>
        <v>44196</v>
      </c>
    </row>
    <row r="8872" spans="1:6" x14ac:dyDescent="0.25">
      <c r="A8872" s="1" t="s">
        <v>187</v>
      </c>
      <c r="B8872" s="1" t="s">
        <v>776</v>
      </c>
      <c r="C8872" s="1" t="s">
        <v>777</v>
      </c>
      <c r="D8872" s="3">
        <f>VALUE("7975")</f>
        <v>7975</v>
      </c>
      <c r="E8872" s="2">
        <f>DATEVALUE("1-3-2017")</f>
        <v>42795</v>
      </c>
      <c r="F8872" s="2">
        <f t="shared" si="1383"/>
        <v>44196</v>
      </c>
    </row>
    <row r="8873" spans="1:6" x14ac:dyDescent="0.25">
      <c r="A8873" s="1" t="s">
        <v>187</v>
      </c>
      <c r="B8873" s="1" t="s">
        <v>2235</v>
      </c>
      <c r="C8873" s="1" t="s">
        <v>14</v>
      </c>
      <c r="D8873" s="3">
        <f t="shared" ref="D8873:D8879" si="1384">VALUE("7908")</f>
        <v>7908</v>
      </c>
      <c r="E8873" s="2">
        <f t="shared" ref="E8873:E8879" si="1385">DATEVALUE("1-2-2017")</f>
        <v>42767</v>
      </c>
      <c r="F8873" s="2">
        <f t="shared" ref="F8873:F8879" si="1386">DATEVALUE("31-3-2020")</f>
        <v>43921</v>
      </c>
    </row>
    <row r="8874" spans="1:6" x14ac:dyDescent="0.25">
      <c r="A8874" s="1" t="s">
        <v>187</v>
      </c>
      <c r="B8874" s="1" t="s">
        <v>2235</v>
      </c>
      <c r="C8874" s="1" t="s">
        <v>15</v>
      </c>
      <c r="D8874" s="3">
        <f t="shared" si="1384"/>
        <v>7908</v>
      </c>
      <c r="E8874" s="2">
        <f t="shared" si="1385"/>
        <v>42767</v>
      </c>
      <c r="F8874" s="2">
        <f t="shared" si="1386"/>
        <v>43921</v>
      </c>
    </row>
    <row r="8875" spans="1:6" x14ac:dyDescent="0.25">
      <c r="A8875" s="1" t="s">
        <v>187</v>
      </c>
      <c r="B8875" s="1" t="s">
        <v>2235</v>
      </c>
      <c r="C8875" s="1" t="s">
        <v>17</v>
      </c>
      <c r="D8875" s="3">
        <f t="shared" si="1384"/>
        <v>7908</v>
      </c>
      <c r="E8875" s="2">
        <f t="shared" si="1385"/>
        <v>42767</v>
      </c>
      <c r="F8875" s="2">
        <f t="shared" si="1386"/>
        <v>43921</v>
      </c>
    </row>
    <row r="8876" spans="1:6" x14ac:dyDescent="0.25">
      <c r="A8876" s="1" t="s">
        <v>187</v>
      </c>
      <c r="B8876" s="1" t="s">
        <v>2235</v>
      </c>
      <c r="C8876" s="1" t="s">
        <v>22</v>
      </c>
      <c r="D8876" s="3">
        <f t="shared" si="1384"/>
        <v>7908</v>
      </c>
      <c r="E8876" s="2">
        <f t="shared" si="1385"/>
        <v>42767</v>
      </c>
      <c r="F8876" s="2">
        <f t="shared" si="1386"/>
        <v>43921</v>
      </c>
    </row>
    <row r="8877" spans="1:6" x14ac:dyDescent="0.25">
      <c r="A8877" s="1" t="s">
        <v>187</v>
      </c>
      <c r="B8877" s="1" t="s">
        <v>2235</v>
      </c>
      <c r="C8877" s="1" t="s">
        <v>146</v>
      </c>
      <c r="D8877" s="3">
        <f t="shared" si="1384"/>
        <v>7908</v>
      </c>
      <c r="E8877" s="2">
        <f t="shared" si="1385"/>
        <v>42767</v>
      </c>
      <c r="F8877" s="2">
        <f t="shared" si="1386"/>
        <v>43921</v>
      </c>
    </row>
    <row r="8878" spans="1:6" x14ac:dyDescent="0.25">
      <c r="A8878" s="1" t="s">
        <v>187</v>
      </c>
      <c r="B8878" s="1" t="s">
        <v>2235</v>
      </c>
      <c r="C8878" s="1" t="s">
        <v>148</v>
      </c>
      <c r="D8878" s="3">
        <f t="shared" si="1384"/>
        <v>7908</v>
      </c>
      <c r="E8878" s="2">
        <f t="shared" si="1385"/>
        <v>42767</v>
      </c>
      <c r="F8878" s="2">
        <f t="shared" si="1386"/>
        <v>43921</v>
      </c>
    </row>
    <row r="8879" spans="1:6" x14ac:dyDescent="0.25">
      <c r="A8879" s="1" t="s">
        <v>187</v>
      </c>
      <c r="B8879" s="1" t="s">
        <v>2235</v>
      </c>
      <c r="C8879" s="1" t="s">
        <v>198</v>
      </c>
      <c r="D8879" s="3">
        <f t="shared" si="1384"/>
        <v>7908</v>
      </c>
      <c r="E8879" s="2">
        <f t="shared" si="1385"/>
        <v>42767</v>
      </c>
      <c r="F8879" s="2">
        <f t="shared" si="1386"/>
        <v>43921</v>
      </c>
    </row>
    <row r="8880" spans="1:6" x14ac:dyDescent="0.25">
      <c r="A8880" s="1" t="s">
        <v>187</v>
      </c>
      <c r="B8880" s="1" t="s">
        <v>2254</v>
      </c>
      <c r="C8880" s="1" t="s">
        <v>2255</v>
      </c>
      <c r="D8880" s="3">
        <f t="shared" ref="D8880:D8899" si="1387">VALUE("7974")</f>
        <v>7974</v>
      </c>
      <c r="E8880" s="2">
        <f t="shared" ref="E8880:E8899" si="1388">DATEVALUE("1-12-2016")</f>
        <v>42705</v>
      </c>
      <c r="F8880" s="2">
        <f t="shared" ref="F8880:F8899" si="1389">DATEVALUE("30-6-2019")</f>
        <v>43646</v>
      </c>
    </row>
    <row r="8881" spans="1:6" x14ac:dyDescent="0.25">
      <c r="A8881" s="1" t="s">
        <v>187</v>
      </c>
      <c r="B8881" s="1" t="s">
        <v>2254</v>
      </c>
      <c r="C8881" s="1" t="s">
        <v>14</v>
      </c>
      <c r="D8881" s="3">
        <f t="shared" si="1387"/>
        <v>7974</v>
      </c>
      <c r="E8881" s="2">
        <f t="shared" si="1388"/>
        <v>42705</v>
      </c>
      <c r="F8881" s="2">
        <f t="shared" si="1389"/>
        <v>43646</v>
      </c>
    </row>
    <row r="8882" spans="1:6" x14ac:dyDescent="0.25">
      <c r="A8882" s="1" t="s">
        <v>187</v>
      </c>
      <c r="B8882" s="1" t="s">
        <v>2254</v>
      </c>
      <c r="C8882" s="1" t="s">
        <v>66</v>
      </c>
      <c r="D8882" s="3">
        <f t="shared" si="1387"/>
        <v>7974</v>
      </c>
      <c r="E8882" s="2">
        <f t="shared" si="1388"/>
        <v>42705</v>
      </c>
      <c r="F8882" s="2">
        <f t="shared" si="1389"/>
        <v>43646</v>
      </c>
    </row>
    <row r="8883" spans="1:6" x14ac:dyDescent="0.25">
      <c r="A8883" s="1" t="s">
        <v>187</v>
      </c>
      <c r="B8883" s="1" t="s">
        <v>2254</v>
      </c>
      <c r="C8883" s="1" t="s">
        <v>15</v>
      </c>
      <c r="D8883" s="3">
        <f t="shared" si="1387"/>
        <v>7974</v>
      </c>
      <c r="E8883" s="2">
        <f t="shared" si="1388"/>
        <v>42705</v>
      </c>
      <c r="F8883" s="2">
        <f t="shared" si="1389"/>
        <v>43646</v>
      </c>
    </row>
    <row r="8884" spans="1:6" x14ac:dyDescent="0.25">
      <c r="A8884" s="1" t="s">
        <v>187</v>
      </c>
      <c r="B8884" s="1" t="s">
        <v>2254</v>
      </c>
      <c r="C8884" s="1" t="s">
        <v>89</v>
      </c>
      <c r="D8884" s="3">
        <f t="shared" si="1387"/>
        <v>7974</v>
      </c>
      <c r="E8884" s="2">
        <f t="shared" si="1388"/>
        <v>42705</v>
      </c>
      <c r="F8884" s="2">
        <f t="shared" si="1389"/>
        <v>43646</v>
      </c>
    </row>
    <row r="8885" spans="1:6" x14ac:dyDescent="0.25">
      <c r="A8885" s="1" t="s">
        <v>187</v>
      </c>
      <c r="B8885" s="1" t="s">
        <v>2254</v>
      </c>
      <c r="C8885" s="1" t="s">
        <v>17</v>
      </c>
      <c r="D8885" s="3">
        <f t="shared" si="1387"/>
        <v>7974</v>
      </c>
      <c r="E8885" s="2">
        <f t="shared" si="1388"/>
        <v>42705</v>
      </c>
      <c r="F8885" s="2">
        <f t="shared" si="1389"/>
        <v>43646</v>
      </c>
    </row>
    <row r="8886" spans="1:6" x14ac:dyDescent="0.25">
      <c r="A8886" s="1" t="s">
        <v>187</v>
      </c>
      <c r="B8886" s="1" t="s">
        <v>2254</v>
      </c>
      <c r="C8886" s="1" t="s">
        <v>146</v>
      </c>
      <c r="D8886" s="3">
        <f t="shared" si="1387"/>
        <v>7974</v>
      </c>
      <c r="E8886" s="2">
        <f t="shared" si="1388"/>
        <v>42705</v>
      </c>
      <c r="F8886" s="2">
        <f t="shared" si="1389"/>
        <v>43646</v>
      </c>
    </row>
    <row r="8887" spans="1:6" x14ac:dyDescent="0.25">
      <c r="A8887" s="1" t="s">
        <v>187</v>
      </c>
      <c r="B8887" s="1" t="s">
        <v>2254</v>
      </c>
      <c r="C8887" s="1" t="s">
        <v>67</v>
      </c>
      <c r="D8887" s="3">
        <f t="shared" si="1387"/>
        <v>7974</v>
      </c>
      <c r="E8887" s="2">
        <f t="shared" si="1388"/>
        <v>42705</v>
      </c>
      <c r="F8887" s="2">
        <f t="shared" si="1389"/>
        <v>43646</v>
      </c>
    </row>
    <row r="8888" spans="1:6" x14ac:dyDescent="0.25">
      <c r="A8888" s="1" t="s">
        <v>187</v>
      </c>
      <c r="B8888" s="1" t="s">
        <v>2254</v>
      </c>
      <c r="C8888" s="1" t="s">
        <v>148</v>
      </c>
      <c r="D8888" s="3">
        <f t="shared" si="1387"/>
        <v>7974</v>
      </c>
      <c r="E8888" s="2">
        <f t="shared" si="1388"/>
        <v>42705</v>
      </c>
      <c r="F8888" s="2">
        <f t="shared" si="1389"/>
        <v>43646</v>
      </c>
    </row>
    <row r="8889" spans="1:6" x14ac:dyDescent="0.25">
      <c r="A8889" s="1" t="s">
        <v>187</v>
      </c>
      <c r="B8889" s="1" t="s">
        <v>2254</v>
      </c>
      <c r="C8889" s="1" t="s">
        <v>149</v>
      </c>
      <c r="D8889" s="3">
        <f t="shared" si="1387"/>
        <v>7974</v>
      </c>
      <c r="E8889" s="2">
        <f t="shared" si="1388"/>
        <v>42705</v>
      </c>
      <c r="F8889" s="2">
        <f t="shared" si="1389"/>
        <v>43646</v>
      </c>
    </row>
    <row r="8890" spans="1:6" x14ac:dyDescent="0.25">
      <c r="A8890" s="1" t="s">
        <v>187</v>
      </c>
      <c r="B8890" s="1" t="s">
        <v>2254</v>
      </c>
      <c r="C8890" s="1" t="s">
        <v>150</v>
      </c>
      <c r="D8890" s="3">
        <f t="shared" si="1387"/>
        <v>7974</v>
      </c>
      <c r="E8890" s="2">
        <f t="shared" si="1388"/>
        <v>42705</v>
      </c>
      <c r="F8890" s="2">
        <f t="shared" si="1389"/>
        <v>43646</v>
      </c>
    </row>
    <row r="8891" spans="1:6" x14ac:dyDescent="0.25">
      <c r="A8891" s="1" t="s">
        <v>187</v>
      </c>
      <c r="B8891" s="1" t="s">
        <v>2254</v>
      </c>
      <c r="C8891" s="1" t="s">
        <v>92</v>
      </c>
      <c r="D8891" s="3">
        <f t="shared" si="1387"/>
        <v>7974</v>
      </c>
      <c r="E8891" s="2">
        <f t="shared" si="1388"/>
        <v>42705</v>
      </c>
      <c r="F8891" s="2">
        <f t="shared" si="1389"/>
        <v>43646</v>
      </c>
    </row>
    <row r="8892" spans="1:6" x14ac:dyDescent="0.25">
      <c r="A8892" s="1" t="s">
        <v>187</v>
      </c>
      <c r="B8892" s="1" t="s">
        <v>2254</v>
      </c>
      <c r="C8892" s="1" t="s">
        <v>94</v>
      </c>
      <c r="D8892" s="3">
        <f t="shared" si="1387"/>
        <v>7974</v>
      </c>
      <c r="E8892" s="2">
        <f t="shared" si="1388"/>
        <v>42705</v>
      </c>
      <c r="F8892" s="2">
        <f t="shared" si="1389"/>
        <v>43646</v>
      </c>
    </row>
    <row r="8893" spans="1:6" x14ac:dyDescent="0.25">
      <c r="A8893" s="1" t="s">
        <v>187</v>
      </c>
      <c r="B8893" s="1" t="s">
        <v>2254</v>
      </c>
      <c r="C8893" s="1" t="s">
        <v>24</v>
      </c>
      <c r="D8893" s="3">
        <f t="shared" si="1387"/>
        <v>7974</v>
      </c>
      <c r="E8893" s="2">
        <f t="shared" si="1388"/>
        <v>42705</v>
      </c>
      <c r="F8893" s="2">
        <f t="shared" si="1389"/>
        <v>43646</v>
      </c>
    </row>
    <row r="8894" spans="1:6" x14ac:dyDescent="0.25">
      <c r="A8894" s="1" t="s">
        <v>187</v>
      </c>
      <c r="B8894" s="1" t="s">
        <v>2254</v>
      </c>
      <c r="C8894" s="1" t="s">
        <v>160</v>
      </c>
      <c r="D8894" s="3">
        <f t="shared" si="1387"/>
        <v>7974</v>
      </c>
      <c r="E8894" s="2">
        <f t="shared" si="1388"/>
        <v>42705</v>
      </c>
      <c r="F8894" s="2">
        <f t="shared" si="1389"/>
        <v>43646</v>
      </c>
    </row>
    <row r="8895" spans="1:6" x14ac:dyDescent="0.25">
      <c r="A8895" s="1" t="s">
        <v>187</v>
      </c>
      <c r="B8895" s="1" t="s">
        <v>2254</v>
      </c>
      <c r="C8895" s="1" t="s">
        <v>34</v>
      </c>
      <c r="D8895" s="3">
        <f t="shared" si="1387"/>
        <v>7974</v>
      </c>
      <c r="E8895" s="2">
        <f t="shared" si="1388"/>
        <v>42705</v>
      </c>
      <c r="F8895" s="2">
        <f t="shared" si="1389"/>
        <v>43646</v>
      </c>
    </row>
    <row r="8896" spans="1:6" x14ac:dyDescent="0.25">
      <c r="A8896" s="1" t="s">
        <v>187</v>
      </c>
      <c r="B8896" s="1" t="s">
        <v>2254</v>
      </c>
      <c r="C8896" s="1" t="s">
        <v>55</v>
      </c>
      <c r="D8896" s="3">
        <f t="shared" si="1387"/>
        <v>7974</v>
      </c>
      <c r="E8896" s="2">
        <f t="shared" si="1388"/>
        <v>42705</v>
      </c>
      <c r="F8896" s="2">
        <f t="shared" si="1389"/>
        <v>43646</v>
      </c>
    </row>
    <row r="8897" spans="1:6" x14ac:dyDescent="0.25">
      <c r="A8897" s="1" t="s">
        <v>187</v>
      </c>
      <c r="B8897" s="1" t="s">
        <v>2254</v>
      </c>
      <c r="C8897" s="1" t="s">
        <v>310</v>
      </c>
      <c r="D8897" s="3">
        <f t="shared" si="1387"/>
        <v>7974</v>
      </c>
      <c r="E8897" s="2">
        <f t="shared" si="1388"/>
        <v>42705</v>
      </c>
      <c r="F8897" s="2">
        <f t="shared" si="1389"/>
        <v>43646</v>
      </c>
    </row>
    <row r="8898" spans="1:6" x14ac:dyDescent="0.25">
      <c r="A8898" s="1" t="s">
        <v>187</v>
      </c>
      <c r="B8898" s="1" t="s">
        <v>2254</v>
      </c>
      <c r="C8898" s="1" t="s">
        <v>169</v>
      </c>
      <c r="D8898" s="3">
        <f t="shared" si="1387"/>
        <v>7974</v>
      </c>
      <c r="E8898" s="2">
        <f t="shared" si="1388"/>
        <v>42705</v>
      </c>
      <c r="F8898" s="2">
        <f t="shared" si="1389"/>
        <v>43646</v>
      </c>
    </row>
    <row r="8899" spans="1:6" x14ac:dyDescent="0.25">
      <c r="A8899" s="1" t="s">
        <v>187</v>
      </c>
      <c r="B8899" s="1" t="s">
        <v>2254</v>
      </c>
      <c r="C8899" s="1" t="s">
        <v>170</v>
      </c>
      <c r="D8899" s="3">
        <f t="shared" si="1387"/>
        <v>7974</v>
      </c>
      <c r="E8899" s="2">
        <f t="shared" si="1388"/>
        <v>42705</v>
      </c>
      <c r="F8899" s="2">
        <f t="shared" si="1389"/>
        <v>43646</v>
      </c>
    </row>
    <row r="8900" spans="1:6" x14ac:dyDescent="0.25">
      <c r="A8900" s="1" t="s">
        <v>187</v>
      </c>
      <c r="B8900" s="1" t="s">
        <v>1057</v>
      </c>
      <c r="C8900" s="1" t="s">
        <v>8</v>
      </c>
      <c r="D8900" s="3">
        <f t="shared" ref="D8900:D8917" si="1390">VALUE("7874")</f>
        <v>7874</v>
      </c>
      <c r="E8900" s="2">
        <f t="shared" ref="E8900:E8917" si="1391">DATEVALUE("1-7-2016")</f>
        <v>42552</v>
      </c>
      <c r="F8900" s="2">
        <f t="shared" ref="F8900:F8917" si="1392">DATEVALUE("30-6-2018")</f>
        <v>43281</v>
      </c>
    </row>
    <row r="8901" spans="1:6" x14ac:dyDescent="0.25">
      <c r="A8901" s="1" t="s">
        <v>187</v>
      </c>
      <c r="B8901" s="1" t="s">
        <v>1057</v>
      </c>
      <c r="C8901" s="1" t="s">
        <v>85</v>
      </c>
      <c r="D8901" s="3">
        <f t="shared" si="1390"/>
        <v>7874</v>
      </c>
      <c r="E8901" s="2">
        <f t="shared" si="1391"/>
        <v>42552</v>
      </c>
      <c r="F8901" s="2">
        <f t="shared" si="1392"/>
        <v>43281</v>
      </c>
    </row>
    <row r="8902" spans="1:6" x14ac:dyDescent="0.25">
      <c r="A8902" s="1" t="s">
        <v>187</v>
      </c>
      <c r="B8902" s="1" t="s">
        <v>1057</v>
      </c>
      <c r="C8902" s="1" t="s">
        <v>84</v>
      </c>
      <c r="D8902" s="3">
        <f t="shared" si="1390"/>
        <v>7874</v>
      </c>
      <c r="E8902" s="2">
        <f t="shared" si="1391"/>
        <v>42552</v>
      </c>
      <c r="F8902" s="2">
        <f t="shared" si="1392"/>
        <v>43281</v>
      </c>
    </row>
    <row r="8903" spans="1:6" x14ac:dyDescent="0.25">
      <c r="A8903" s="1" t="s">
        <v>187</v>
      </c>
      <c r="B8903" s="1" t="s">
        <v>1057</v>
      </c>
      <c r="C8903" s="1" t="s">
        <v>14</v>
      </c>
      <c r="D8903" s="3">
        <f t="shared" si="1390"/>
        <v>7874</v>
      </c>
      <c r="E8903" s="2">
        <f t="shared" si="1391"/>
        <v>42552</v>
      </c>
      <c r="F8903" s="2">
        <f t="shared" si="1392"/>
        <v>43281</v>
      </c>
    </row>
    <row r="8904" spans="1:6" x14ac:dyDescent="0.25">
      <c r="A8904" s="1" t="s">
        <v>187</v>
      </c>
      <c r="B8904" s="1" t="s">
        <v>1057</v>
      </c>
      <c r="C8904" s="1" t="s">
        <v>66</v>
      </c>
      <c r="D8904" s="3">
        <f t="shared" si="1390"/>
        <v>7874</v>
      </c>
      <c r="E8904" s="2">
        <f t="shared" si="1391"/>
        <v>42552</v>
      </c>
      <c r="F8904" s="2">
        <f t="shared" si="1392"/>
        <v>43281</v>
      </c>
    </row>
    <row r="8905" spans="1:6" x14ac:dyDescent="0.25">
      <c r="A8905" s="1" t="s">
        <v>187</v>
      </c>
      <c r="B8905" s="1" t="s">
        <v>1057</v>
      </c>
      <c r="C8905" s="1" t="s">
        <v>89</v>
      </c>
      <c r="D8905" s="3">
        <f t="shared" si="1390"/>
        <v>7874</v>
      </c>
      <c r="E8905" s="2">
        <f t="shared" si="1391"/>
        <v>42552</v>
      </c>
      <c r="F8905" s="2">
        <f t="shared" si="1392"/>
        <v>43281</v>
      </c>
    </row>
    <row r="8906" spans="1:6" x14ac:dyDescent="0.25">
      <c r="A8906" s="1" t="s">
        <v>187</v>
      </c>
      <c r="B8906" s="1" t="s">
        <v>1057</v>
      </c>
      <c r="C8906" s="1" t="s">
        <v>17</v>
      </c>
      <c r="D8906" s="3">
        <f t="shared" si="1390"/>
        <v>7874</v>
      </c>
      <c r="E8906" s="2">
        <f t="shared" si="1391"/>
        <v>42552</v>
      </c>
      <c r="F8906" s="2">
        <f t="shared" si="1392"/>
        <v>43281</v>
      </c>
    </row>
    <row r="8907" spans="1:6" x14ac:dyDescent="0.25">
      <c r="A8907" s="1" t="s">
        <v>187</v>
      </c>
      <c r="B8907" s="1" t="s">
        <v>1057</v>
      </c>
      <c r="C8907" s="1" t="s">
        <v>197</v>
      </c>
      <c r="D8907" s="3">
        <f t="shared" si="1390"/>
        <v>7874</v>
      </c>
      <c r="E8907" s="2">
        <f t="shared" si="1391"/>
        <v>42552</v>
      </c>
      <c r="F8907" s="2">
        <f t="shared" si="1392"/>
        <v>43281</v>
      </c>
    </row>
    <row r="8908" spans="1:6" x14ac:dyDescent="0.25">
      <c r="A8908" s="1" t="s">
        <v>187</v>
      </c>
      <c r="B8908" s="1" t="s">
        <v>1057</v>
      </c>
      <c r="C8908" s="1" t="s">
        <v>22</v>
      </c>
      <c r="D8908" s="3">
        <f t="shared" si="1390"/>
        <v>7874</v>
      </c>
      <c r="E8908" s="2">
        <f t="shared" si="1391"/>
        <v>42552</v>
      </c>
      <c r="F8908" s="2">
        <f t="shared" si="1392"/>
        <v>43281</v>
      </c>
    </row>
    <row r="8909" spans="1:6" x14ac:dyDescent="0.25">
      <c r="A8909" s="1" t="s">
        <v>187</v>
      </c>
      <c r="B8909" s="1" t="s">
        <v>1057</v>
      </c>
      <c r="C8909" s="1" t="s">
        <v>146</v>
      </c>
      <c r="D8909" s="3">
        <f t="shared" si="1390"/>
        <v>7874</v>
      </c>
      <c r="E8909" s="2">
        <f t="shared" si="1391"/>
        <v>42552</v>
      </c>
      <c r="F8909" s="2">
        <f t="shared" si="1392"/>
        <v>43281</v>
      </c>
    </row>
    <row r="8910" spans="1:6" x14ac:dyDescent="0.25">
      <c r="A8910" s="1" t="s">
        <v>187</v>
      </c>
      <c r="B8910" s="1" t="s">
        <v>1057</v>
      </c>
      <c r="C8910" s="1" t="s">
        <v>148</v>
      </c>
      <c r="D8910" s="3">
        <f t="shared" si="1390"/>
        <v>7874</v>
      </c>
      <c r="E8910" s="2">
        <f t="shared" si="1391"/>
        <v>42552</v>
      </c>
      <c r="F8910" s="2">
        <f t="shared" si="1392"/>
        <v>43281</v>
      </c>
    </row>
    <row r="8911" spans="1:6" x14ac:dyDescent="0.25">
      <c r="A8911" s="1" t="s">
        <v>187</v>
      </c>
      <c r="B8911" s="1" t="s">
        <v>1057</v>
      </c>
      <c r="C8911" s="1" t="s">
        <v>92</v>
      </c>
      <c r="D8911" s="3">
        <f t="shared" si="1390"/>
        <v>7874</v>
      </c>
      <c r="E8911" s="2">
        <f t="shared" si="1391"/>
        <v>42552</v>
      </c>
      <c r="F8911" s="2">
        <f t="shared" si="1392"/>
        <v>43281</v>
      </c>
    </row>
    <row r="8912" spans="1:6" x14ac:dyDescent="0.25">
      <c r="A8912" s="1" t="s">
        <v>187</v>
      </c>
      <c r="B8912" s="1" t="s">
        <v>1057</v>
      </c>
      <c r="C8912" s="1" t="s">
        <v>94</v>
      </c>
      <c r="D8912" s="3">
        <f t="shared" si="1390"/>
        <v>7874</v>
      </c>
      <c r="E8912" s="2">
        <f t="shared" si="1391"/>
        <v>42552</v>
      </c>
      <c r="F8912" s="2">
        <f t="shared" si="1392"/>
        <v>43281</v>
      </c>
    </row>
    <row r="8913" spans="1:6" x14ac:dyDescent="0.25">
      <c r="A8913" s="1" t="s">
        <v>187</v>
      </c>
      <c r="B8913" s="1" t="s">
        <v>1057</v>
      </c>
      <c r="C8913" s="1" t="s">
        <v>24</v>
      </c>
      <c r="D8913" s="3">
        <f t="shared" si="1390"/>
        <v>7874</v>
      </c>
      <c r="E8913" s="2">
        <f t="shared" si="1391"/>
        <v>42552</v>
      </c>
      <c r="F8913" s="2">
        <f t="shared" si="1392"/>
        <v>43281</v>
      </c>
    </row>
    <row r="8914" spans="1:6" x14ac:dyDescent="0.25">
      <c r="A8914" s="1" t="s">
        <v>187</v>
      </c>
      <c r="B8914" s="1" t="s">
        <v>1057</v>
      </c>
      <c r="C8914" s="1" t="s">
        <v>283</v>
      </c>
      <c r="D8914" s="3">
        <f t="shared" si="1390"/>
        <v>7874</v>
      </c>
      <c r="E8914" s="2">
        <f t="shared" si="1391"/>
        <v>42552</v>
      </c>
      <c r="F8914" s="2">
        <f t="shared" si="1392"/>
        <v>43281</v>
      </c>
    </row>
    <row r="8915" spans="1:6" x14ac:dyDescent="0.25">
      <c r="A8915" s="1" t="s">
        <v>187</v>
      </c>
      <c r="B8915" s="1" t="s">
        <v>1057</v>
      </c>
      <c r="C8915" s="1" t="s">
        <v>34</v>
      </c>
      <c r="D8915" s="3">
        <f t="shared" si="1390"/>
        <v>7874</v>
      </c>
      <c r="E8915" s="2">
        <f t="shared" si="1391"/>
        <v>42552</v>
      </c>
      <c r="F8915" s="2">
        <f t="shared" si="1392"/>
        <v>43281</v>
      </c>
    </row>
    <row r="8916" spans="1:6" x14ac:dyDescent="0.25">
      <c r="A8916" s="1" t="s">
        <v>187</v>
      </c>
      <c r="B8916" s="1" t="s">
        <v>1057</v>
      </c>
      <c r="C8916" s="1" t="s">
        <v>55</v>
      </c>
      <c r="D8916" s="3">
        <f t="shared" si="1390"/>
        <v>7874</v>
      </c>
      <c r="E8916" s="2">
        <f t="shared" si="1391"/>
        <v>42552</v>
      </c>
      <c r="F8916" s="2">
        <f t="shared" si="1392"/>
        <v>43281</v>
      </c>
    </row>
    <row r="8917" spans="1:6" x14ac:dyDescent="0.25">
      <c r="A8917" s="1" t="s">
        <v>187</v>
      </c>
      <c r="B8917" s="1" t="s">
        <v>1057</v>
      </c>
      <c r="C8917" s="1" t="s">
        <v>36</v>
      </c>
      <c r="D8917" s="3">
        <f t="shared" si="1390"/>
        <v>7874</v>
      </c>
      <c r="E8917" s="2">
        <f t="shared" si="1391"/>
        <v>42552</v>
      </c>
      <c r="F8917" s="2">
        <f t="shared" si="1392"/>
        <v>43281</v>
      </c>
    </row>
    <row r="8918" spans="1:6" x14ac:dyDescent="0.25">
      <c r="A8918" s="1" t="s">
        <v>187</v>
      </c>
      <c r="B8918" s="1" t="s">
        <v>621</v>
      </c>
      <c r="C8918" s="1" t="s">
        <v>8</v>
      </c>
      <c r="D8918" s="3">
        <f t="shared" ref="D8918:D8923" si="1393">VALUE("7839")</f>
        <v>7839</v>
      </c>
      <c r="E8918" s="2">
        <f t="shared" ref="E8918:E8923" si="1394">DATEVALUE("1-3-2016")</f>
        <v>42430</v>
      </c>
      <c r="F8918" s="2">
        <f t="shared" ref="F8918:F8940" si="1395">DATEVALUE("31-12-2021")</f>
        <v>44561</v>
      </c>
    </row>
    <row r="8919" spans="1:6" x14ac:dyDescent="0.25">
      <c r="A8919" s="1" t="s">
        <v>187</v>
      </c>
      <c r="B8919" s="1" t="s">
        <v>621</v>
      </c>
      <c r="C8919" s="1" t="s">
        <v>61</v>
      </c>
      <c r="D8919" s="3">
        <f t="shared" si="1393"/>
        <v>7839</v>
      </c>
      <c r="E8919" s="2">
        <f t="shared" si="1394"/>
        <v>42430</v>
      </c>
      <c r="F8919" s="2">
        <f t="shared" si="1395"/>
        <v>44561</v>
      </c>
    </row>
    <row r="8920" spans="1:6" x14ac:dyDescent="0.25">
      <c r="A8920" s="1" t="s">
        <v>187</v>
      </c>
      <c r="B8920" s="1" t="s">
        <v>621</v>
      </c>
      <c r="C8920" s="1" t="s">
        <v>89</v>
      </c>
      <c r="D8920" s="3">
        <f t="shared" si="1393"/>
        <v>7839</v>
      </c>
      <c r="E8920" s="2">
        <f t="shared" si="1394"/>
        <v>42430</v>
      </c>
      <c r="F8920" s="2">
        <f t="shared" si="1395"/>
        <v>44561</v>
      </c>
    </row>
    <row r="8921" spans="1:6" x14ac:dyDescent="0.25">
      <c r="A8921" s="1" t="s">
        <v>187</v>
      </c>
      <c r="B8921" s="1" t="s">
        <v>621</v>
      </c>
      <c r="C8921" s="1" t="s">
        <v>17</v>
      </c>
      <c r="D8921" s="3">
        <f t="shared" si="1393"/>
        <v>7839</v>
      </c>
      <c r="E8921" s="2">
        <f t="shared" si="1394"/>
        <v>42430</v>
      </c>
      <c r="F8921" s="2">
        <f t="shared" si="1395"/>
        <v>44561</v>
      </c>
    </row>
    <row r="8922" spans="1:6" x14ac:dyDescent="0.25">
      <c r="A8922" s="1" t="s">
        <v>187</v>
      </c>
      <c r="B8922" s="1" t="s">
        <v>621</v>
      </c>
      <c r="C8922" s="1" t="s">
        <v>146</v>
      </c>
      <c r="D8922" s="3">
        <f t="shared" si="1393"/>
        <v>7839</v>
      </c>
      <c r="E8922" s="2">
        <f t="shared" si="1394"/>
        <v>42430</v>
      </c>
      <c r="F8922" s="2">
        <f t="shared" si="1395"/>
        <v>44561</v>
      </c>
    </row>
    <row r="8923" spans="1:6" x14ac:dyDescent="0.25">
      <c r="A8923" s="1" t="s">
        <v>187</v>
      </c>
      <c r="B8923" s="1" t="s">
        <v>621</v>
      </c>
      <c r="C8923" s="1" t="s">
        <v>148</v>
      </c>
      <c r="D8923" s="3">
        <f t="shared" si="1393"/>
        <v>7839</v>
      </c>
      <c r="E8923" s="2">
        <f t="shared" si="1394"/>
        <v>42430</v>
      </c>
      <c r="F8923" s="2">
        <f t="shared" si="1395"/>
        <v>44561</v>
      </c>
    </row>
    <row r="8924" spans="1:6" x14ac:dyDescent="0.25">
      <c r="A8924" s="1" t="s">
        <v>187</v>
      </c>
      <c r="B8924" s="1" t="s">
        <v>649</v>
      </c>
      <c r="C8924" s="1" t="s">
        <v>46</v>
      </c>
      <c r="D8924" s="3">
        <f t="shared" ref="D8924:D8940" si="1396">VALUE("7855")</f>
        <v>7855</v>
      </c>
      <c r="E8924" s="2">
        <f t="shared" ref="E8924:E8940" si="1397">DATEVALUE("1-2-2016")</f>
        <v>42401</v>
      </c>
      <c r="F8924" s="2">
        <f t="shared" si="1395"/>
        <v>44561</v>
      </c>
    </row>
    <row r="8925" spans="1:6" x14ac:dyDescent="0.25">
      <c r="A8925" s="1" t="s">
        <v>187</v>
      </c>
      <c r="B8925" s="1" t="s">
        <v>649</v>
      </c>
      <c r="C8925" s="1" t="s">
        <v>14</v>
      </c>
      <c r="D8925" s="3">
        <f t="shared" si="1396"/>
        <v>7855</v>
      </c>
      <c r="E8925" s="2">
        <f t="shared" si="1397"/>
        <v>42401</v>
      </c>
      <c r="F8925" s="2">
        <f t="shared" si="1395"/>
        <v>44561</v>
      </c>
    </row>
    <row r="8926" spans="1:6" x14ac:dyDescent="0.25">
      <c r="A8926" s="1" t="s">
        <v>187</v>
      </c>
      <c r="B8926" s="1" t="s">
        <v>649</v>
      </c>
      <c r="C8926" s="1" t="s">
        <v>66</v>
      </c>
      <c r="D8926" s="3">
        <f t="shared" si="1396"/>
        <v>7855</v>
      </c>
      <c r="E8926" s="2">
        <f t="shared" si="1397"/>
        <v>42401</v>
      </c>
      <c r="F8926" s="2">
        <f t="shared" si="1395"/>
        <v>44561</v>
      </c>
    </row>
    <row r="8927" spans="1:6" x14ac:dyDescent="0.25">
      <c r="A8927" s="1" t="s">
        <v>187</v>
      </c>
      <c r="B8927" s="1" t="s">
        <v>649</v>
      </c>
      <c r="C8927" s="1" t="s">
        <v>15</v>
      </c>
      <c r="D8927" s="3">
        <f t="shared" si="1396"/>
        <v>7855</v>
      </c>
      <c r="E8927" s="2">
        <f t="shared" si="1397"/>
        <v>42401</v>
      </c>
      <c r="F8927" s="2">
        <f t="shared" si="1395"/>
        <v>44561</v>
      </c>
    </row>
    <row r="8928" spans="1:6" x14ac:dyDescent="0.25">
      <c r="A8928" s="1" t="s">
        <v>187</v>
      </c>
      <c r="B8928" s="1" t="s">
        <v>649</v>
      </c>
      <c r="C8928" s="1" t="s">
        <v>17</v>
      </c>
      <c r="D8928" s="3">
        <f t="shared" si="1396"/>
        <v>7855</v>
      </c>
      <c r="E8928" s="2">
        <f t="shared" si="1397"/>
        <v>42401</v>
      </c>
      <c r="F8928" s="2">
        <f t="shared" si="1395"/>
        <v>44561</v>
      </c>
    </row>
    <row r="8929" spans="1:6" x14ac:dyDescent="0.25">
      <c r="A8929" s="1" t="s">
        <v>187</v>
      </c>
      <c r="B8929" s="1" t="s">
        <v>649</v>
      </c>
      <c r="C8929" s="1" t="s">
        <v>197</v>
      </c>
      <c r="D8929" s="3">
        <f t="shared" si="1396"/>
        <v>7855</v>
      </c>
      <c r="E8929" s="2">
        <f t="shared" si="1397"/>
        <v>42401</v>
      </c>
      <c r="F8929" s="2">
        <f t="shared" si="1395"/>
        <v>44561</v>
      </c>
    </row>
    <row r="8930" spans="1:6" x14ac:dyDescent="0.25">
      <c r="A8930" s="1" t="s">
        <v>187</v>
      </c>
      <c r="B8930" s="1" t="s">
        <v>649</v>
      </c>
      <c r="C8930" s="1" t="s">
        <v>22</v>
      </c>
      <c r="D8930" s="3">
        <f t="shared" si="1396"/>
        <v>7855</v>
      </c>
      <c r="E8930" s="2">
        <f t="shared" si="1397"/>
        <v>42401</v>
      </c>
      <c r="F8930" s="2">
        <f t="shared" si="1395"/>
        <v>44561</v>
      </c>
    </row>
    <row r="8931" spans="1:6" x14ac:dyDescent="0.25">
      <c r="A8931" s="1" t="s">
        <v>187</v>
      </c>
      <c r="B8931" s="1" t="s">
        <v>649</v>
      </c>
      <c r="C8931" s="1" t="s">
        <v>146</v>
      </c>
      <c r="D8931" s="3">
        <f t="shared" si="1396"/>
        <v>7855</v>
      </c>
      <c r="E8931" s="2">
        <f t="shared" si="1397"/>
        <v>42401</v>
      </c>
      <c r="F8931" s="2">
        <f t="shared" si="1395"/>
        <v>44561</v>
      </c>
    </row>
    <row r="8932" spans="1:6" x14ac:dyDescent="0.25">
      <c r="A8932" s="1" t="s">
        <v>187</v>
      </c>
      <c r="B8932" s="1" t="s">
        <v>649</v>
      </c>
      <c r="C8932" s="1" t="s">
        <v>148</v>
      </c>
      <c r="D8932" s="3">
        <f t="shared" si="1396"/>
        <v>7855</v>
      </c>
      <c r="E8932" s="2">
        <f t="shared" si="1397"/>
        <v>42401</v>
      </c>
      <c r="F8932" s="2">
        <f t="shared" si="1395"/>
        <v>44561</v>
      </c>
    </row>
    <row r="8933" spans="1:6" x14ac:dyDescent="0.25">
      <c r="A8933" s="1" t="s">
        <v>187</v>
      </c>
      <c r="B8933" s="1" t="s">
        <v>649</v>
      </c>
      <c r="C8933" s="1" t="s">
        <v>149</v>
      </c>
      <c r="D8933" s="3">
        <f t="shared" si="1396"/>
        <v>7855</v>
      </c>
      <c r="E8933" s="2">
        <f t="shared" si="1397"/>
        <v>42401</v>
      </c>
      <c r="F8933" s="2">
        <f t="shared" si="1395"/>
        <v>44561</v>
      </c>
    </row>
    <row r="8934" spans="1:6" x14ac:dyDescent="0.25">
      <c r="A8934" s="1" t="s">
        <v>187</v>
      </c>
      <c r="B8934" s="1" t="s">
        <v>649</v>
      </c>
      <c r="C8934" s="1" t="s">
        <v>150</v>
      </c>
      <c r="D8934" s="3">
        <f t="shared" si="1396"/>
        <v>7855</v>
      </c>
      <c r="E8934" s="2">
        <f t="shared" si="1397"/>
        <v>42401</v>
      </c>
      <c r="F8934" s="2">
        <f t="shared" si="1395"/>
        <v>44561</v>
      </c>
    </row>
    <row r="8935" spans="1:6" x14ac:dyDescent="0.25">
      <c r="A8935" s="1" t="s">
        <v>187</v>
      </c>
      <c r="B8935" s="1" t="s">
        <v>649</v>
      </c>
      <c r="C8935" s="1" t="s">
        <v>94</v>
      </c>
      <c r="D8935" s="3">
        <f t="shared" si="1396"/>
        <v>7855</v>
      </c>
      <c r="E8935" s="2">
        <f t="shared" si="1397"/>
        <v>42401</v>
      </c>
      <c r="F8935" s="2">
        <f t="shared" si="1395"/>
        <v>44561</v>
      </c>
    </row>
    <row r="8936" spans="1:6" x14ac:dyDescent="0.25">
      <c r="A8936" s="1" t="s">
        <v>187</v>
      </c>
      <c r="B8936" s="1" t="s">
        <v>649</v>
      </c>
      <c r="C8936" s="1" t="s">
        <v>475</v>
      </c>
      <c r="D8936" s="3">
        <f t="shared" si="1396"/>
        <v>7855</v>
      </c>
      <c r="E8936" s="2">
        <f t="shared" si="1397"/>
        <v>42401</v>
      </c>
      <c r="F8936" s="2">
        <f t="shared" si="1395"/>
        <v>44561</v>
      </c>
    </row>
    <row r="8937" spans="1:6" x14ac:dyDescent="0.25">
      <c r="A8937" s="1" t="s">
        <v>187</v>
      </c>
      <c r="B8937" s="1" t="s">
        <v>649</v>
      </c>
      <c r="C8937" s="1" t="s">
        <v>24</v>
      </c>
      <c r="D8937" s="3">
        <f t="shared" si="1396"/>
        <v>7855</v>
      </c>
      <c r="E8937" s="2">
        <f t="shared" si="1397"/>
        <v>42401</v>
      </c>
      <c r="F8937" s="2">
        <f t="shared" si="1395"/>
        <v>44561</v>
      </c>
    </row>
    <row r="8938" spans="1:6" x14ac:dyDescent="0.25">
      <c r="A8938" s="1" t="s">
        <v>187</v>
      </c>
      <c r="B8938" s="1" t="s">
        <v>649</v>
      </c>
      <c r="C8938" s="1" t="s">
        <v>160</v>
      </c>
      <c r="D8938" s="3">
        <f t="shared" si="1396"/>
        <v>7855</v>
      </c>
      <c r="E8938" s="2">
        <f t="shared" si="1397"/>
        <v>42401</v>
      </c>
      <c r="F8938" s="2">
        <f t="shared" si="1395"/>
        <v>44561</v>
      </c>
    </row>
    <row r="8939" spans="1:6" x14ac:dyDescent="0.25">
      <c r="A8939" s="1" t="s">
        <v>187</v>
      </c>
      <c r="B8939" s="1" t="s">
        <v>649</v>
      </c>
      <c r="C8939" s="1" t="s">
        <v>54</v>
      </c>
      <c r="D8939" s="3">
        <f t="shared" si="1396"/>
        <v>7855</v>
      </c>
      <c r="E8939" s="2">
        <f t="shared" si="1397"/>
        <v>42401</v>
      </c>
      <c r="F8939" s="2">
        <f t="shared" si="1395"/>
        <v>44561</v>
      </c>
    </row>
    <row r="8940" spans="1:6" x14ac:dyDescent="0.25">
      <c r="A8940" s="1" t="s">
        <v>187</v>
      </c>
      <c r="B8940" s="1" t="s">
        <v>649</v>
      </c>
      <c r="C8940" s="1" t="s">
        <v>34</v>
      </c>
      <c r="D8940" s="3">
        <f t="shared" si="1396"/>
        <v>7855</v>
      </c>
      <c r="E8940" s="2">
        <f t="shared" si="1397"/>
        <v>42401</v>
      </c>
      <c r="F8940" s="2">
        <f t="shared" si="1395"/>
        <v>44561</v>
      </c>
    </row>
    <row r="8941" spans="1:6" x14ac:dyDescent="0.25">
      <c r="A8941" s="1" t="s">
        <v>187</v>
      </c>
      <c r="B8941" s="1" t="s">
        <v>2000</v>
      </c>
      <c r="C8941" s="1" t="s">
        <v>14</v>
      </c>
      <c r="D8941" s="3">
        <f t="shared" ref="D8941:D8952" si="1398">VALUE("7834")</f>
        <v>7834</v>
      </c>
      <c r="E8941" s="2">
        <f t="shared" ref="E8941:E8952" si="1399">DATEVALUE("1-12-2015")</f>
        <v>42339</v>
      </c>
      <c r="F8941" s="2">
        <f t="shared" ref="F8941:F8952" si="1400">DATEVALUE("31-1-2020")</f>
        <v>43861</v>
      </c>
    </row>
    <row r="8942" spans="1:6" x14ac:dyDescent="0.25">
      <c r="A8942" s="1" t="s">
        <v>187</v>
      </c>
      <c r="B8942" s="1" t="s">
        <v>2000</v>
      </c>
      <c r="C8942" s="1" t="s">
        <v>91</v>
      </c>
      <c r="D8942" s="3">
        <f t="shared" si="1398"/>
        <v>7834</v>
      </c>
      <c r="E8942" s="2">
        <f t="shared" si="1399"/>
        <v>42339</v>
      </c>
      <c r="F8942" s="2">
        <f t="shared" si="1400"/>
        <v>43861</v>
      </c>
    </row>
    <row r="8943" spans="1:6" x14ac:dyDescent="0.25">
      <c r="A8943" s="1" t="s">
        <v>187</v>
      </c>
      <c r="B8943" s="1" t="s">
        <v>2000</v>
      </c>
      <c r="C8943" s="1" t="s">
        <v>543</v>
      </c>
      <c r="D8943" s="3">
        <f t="shared" si="1398"/>
        <v>7834</v>
      </c>
      <c r="E8943" s="2">
        <f t="shared" si="1399"/>
        <v>42339</v>
      </c>
      <c r="F8943" s="2">
        <f t="shared" si="1400"/>
        <v>43861</v>
      </c>
    </row>
    <row r="8944" spans="1:6" x14ac:dyDescent="0.25">
      <c r="A8944" s="1" t="s">
        <v>187</v>
      </c>
      <c r="B8944" s="1" t="s">
        <v>2000</v>
      </c>
      <c r="C8944" s="1" t="s">
        <v>146</v>
      </c>
      <c r="D8944" s="3">
        <f t="shared" si="1398"/>
        <v>7834</v>
      </c>
      <c r="E8944" s="2">
        <f t="shared" si="1399"/>
        <v>42339</v>
      </c>
      <c r="F8944" s="2">
        <f t="shared" si="1400"/>
        <v>43861</v>
      </c>
    </row>
    <row r="8945" spans="1:6" x14ac:dyDescent="0.25">
      <c r="A8945" s="1" t="s">
        <v>187</v>
      </c>
      <c r="B8945" s="1" t="s">
        <v>2000</v>
      </c>
      <c r="C8945" s="1" t="s">
        <v>67</v>
      </c>
      <c r="D8945" s="3">
        <f t="shared" si="1398"/>
        <v>7834</v>
      </c>
      <c r="E8945" s="2">
        <f t="shared" si="1399"/>
        <v>42339</v>
      </c>
      <c r="F8945" s="2">
        <f t="shared" si="1400"/>
        <v>43861</v>
      </c>
    </row>
    <row r="8946" spans="1:6" x14ac:dyDescent="0.25">
      <c r="A8946" s="1" t="s">
        <v>187</v>
      </c>
      <c r="B8946" s="1" t="s">
        <v>2000</v>
      </c>
      <c r="C8946" s="1" t="s">
        <v>148</v>
      </c>
      <c r="D8946" s="3">
        <f t="shared" si="1398"/>
        <v>7834</v>
      </c>
      <c r="E8946" s="2">
        <f t="shared" si="1399"/>
        <v>42339</v>
      </c>
      <c r="F8946" s="2">
        <f t="shared" si="1400"/>
        <v>43861</v>
      </c>
    </row>
    <row r="8947" spans="1:6" x14ac:dyDescent="0.25">
      <c r="A8947" s="1" t="s">
        <v>187</v>
      </c>
      <c r="B8947" s="1" t="s">
        <v>2000</v>
      </c>
      <c r="C8947" s="1" t="s">
        <v>149</v>
      </c>
      <c r="D8947" s="3">
        <f t="shared" si="1398"/>
        <v>7834</v>
      </c>
      <c r="E8947" s="2">
        <f t="shared" si="1399"/>
        <v>42339</v>
      </c>
      <c r="F8947" s="2">
        <f t="shared" si="1400"/>
        <v>43861</v>
      </c>
    </row>
    <row r="8948" spans="1:6" x14ac:dyDescent="0.25">
      <c r="A8948" s="1" t="s">
        <v>187</v>
      </c>
      <c r="B8948" s="1" t="s">
        <v>2000</v>
      </c>
      <c r="C8948" s="1" t="s">
        <v>24</v>
      </c>
      <c r="D8948" s="3">
        <f t="shared" si="1398"/>
        <v>7834</v>
      </c>
      <c r="E8948" s="2">
        <f t="shared" si="1399"/>
        <v>42339</v>
      </c>
      <c r="F8948" s="2">
        <f t="shared" si="1400"/>
        <v>43861</v>
      </c>
    </row>
    <row r="8949" spans="1:6" x14ac:dyDescent="0.25">
      <c r="A8949" s="1" t="s">
        <v>187</v>
      </c>
      <c r="B8949" s="1" t="s">
        <v>2000</v>
      </c>
      <c r="C8949" s="1" t="s">
        <v>102</v>
      </c>
      <c r="D8949" s="3">
        <f t="shared" si="1398"/>
        <v>7834</v>
      </c>
      <c r="E8949" s="2">
        <f t="shared" si="1399"/>
        <v>42339</v>
      </c>
      <c r="F8949" s="2">
        <f t="shared" si="1400"/>
        <v>43861</v>
      </c>
    </row>
    <row r="8950" spans="1:6" x14ac:dyDescent="0.25">
      <c r="A8950" s="1" t="s">
        <v>187</v>
      </c>
      <c r="B8950" s="1" t="s">
        <v>2000</v>
      </c>
      <c r="C8950" s="1" t="s">
        <v>103</v>
      </c>
      <c r="D8950" s="3">
        <f t="shared" si="1398"/>
        <v>7834</v>
      </c>
      <c r="E8950" s="2">
        <f t="shared" si="1399"/>
        <v>42339</v>
      </c>
      <c r="F8950" s="2">
        <f t="shared" si="1400"/>
        <v>43861</v>
      </c>
    </row>
    <row r="8951" spans="1:6" x14ac:dyDescent="0.25">
      <c r="A8951" s="1" t="s">
        <v>187</v>
      </c>
      <c r="B8951" s="1" t="s">
        <v>2000</v>
      </c>
      <c r="C8951" s="1" t="s">
        <v>34</v>
      </c>
      <c r="D8951" s="3">
        <f t="shared" si="1398"/>
        <v>7834</v>
      </c>
      <c r="E8951" s="2">
        <f t="shared" si="1399"/>
        <v>42339</v>
      </c>
      <c r="F8951" s="2">
        <f t="shared" si="1400"/>
        <v>43861</v>
      </c>
    </row>
    <row r="8952" spans="1:6" x14ac:dyDescent="0.25">
      <c r="A8952" s="1" t="s">
        <v>187</v>
      </c>
      <c r="B8952" s="1" t="s">
        <v>2000</v>
      </c>
      <c r="C8952" s="1" t="s">
        <v>55</v>
      </c>
      <c r="D8952" s="3">
        <f t="shared" si="1398"/>
        <v>7834</v>
      </c>
      <c r="E8952" s="2">
        <f t="shared" si="1399"/>
        <v>42339</v>
      </c>
      <c r="F8952" s="2">
        <f t="shared" si="1400"/>
        <v>43861</v>
      </c>
    </row>
    <row r="8953" spans="1:6" x14ac:dyDescent="0.25">
      <c r="A8953" s="1" t="s">
        <v>187</v>
      </c>
      <c r="B8953" s="1" t="s">
        <v>557</v>
      </c>
      <c r="C8953" s="1" t="s">
        <v>15</v>
      </c>
      <c r="D8953" s="3">
        <f t="shared" ref="D8953:D8964" si="1401">VALUE("7758")</f>
        <v>7758</v>
      </c>
      <c r="E8953" s="2">
        <f t="shared" ref="E8953:E8964" si="1402">DATEVALUE("1-11-2015")</f>
        <v>42309</v>
      </c>
      <c r="F8953" s="2">
        <f t="shared" ref="F8953:F8964" si="1403">DATEVALUE("31-12-2020")</f>
        <v>44196</v>
      </c>
    </row>
    <row r="8954" spans="1:6" x14ac:dyDescent="0.25">
      <c r="A8954" s="1" t="s">
        <v>187</v>
      </c>
      <c r="B8954" s="1" t="s">
        <v>557</v>
      </c>
      <c r="C8954" s="1" t="s">
        <v>16</v>
      </c>
      <c r="D8954" s="3">
        <f t="shared" si="1401"/>
        <v>7758</v>
      </c>
      <c r="E8954" s="2">
        <f t="shared" si="1402"/>
        <v>42309</v>
      </c>
      <c r="F8954" s="2">
        <f t="shared" si="1403"/>
        <v>44196</v>
      </c>
    </row>
    <row r="8955" spans="1:6" x14ac:dyDescent="0.25">
      <c r="A8955" s="1" t="s">
        <v>187</v>
      </c>
      <c r="B8955" s="1" t="s">
        <v>557</v>
      </c>
      <c r="C8955" s="1" t="s">
        <v>89</v>
      </c>
      <c r="D8955" s="3">
        <f t="shared" si="1401"/>
        <v>7758</v>
      </c>
      <c r="E8955" s="2">
        <f t="shared" si="1402"/>
        <v>42309</v>
      </c>
      <c r="F8955" s="2">
        <f t="shared" si="1403"/>
        <v>44196</v>
      </c>
    </row>
    <row r="8956" spans="1:6" x14ac:dyDescent="0.25">
      <c r="A8956" s="1" t="s">
        <v>187</v>
      </c>
      <c r="B8956" s="1" t="s">
        <v>557</v>
      </c>
      <c r="C8956" s="1" t="s">
        <v>22</v>
      </c>
      <c r="D8956" s="3">
        <f t="shared" si="1401"/>
        <v>7758</v>
      </c>
      <c r="E8956" s="2">
        <f t="shared" si="1402"/>
        <v>42309</v>
      </c>
      <c r="F8956" s="2">
        <f t="shared" si="1403"/>
        <v>44196</v>
      </c>
    </row>
    <row r="8957" spans="1:6" x14ac:dyDescent="0.25">
      <c r="A8957" s="1" t="s">
        <v>187</v>
      </c>
      <c r="B8957" s="1" t="s">
        <v>557</v>
      </c>
      <c r="C8957" s="1" t="s">
        <v>146</v>
      </c>
      <c r="D8957" s="3">
        <f t="shared" si="1401"/>
        <v>7758</v>
      </c>
      <c r="E8957" s="2">
        <f t="shared" si="1402"/>
        <v>42309</v>
      </c>
      <c r="F8957" s="2">
        <f t="shared" si="1403"/>
        <v>44196</v>
      </c>
    </row>
    <row r="8958" spans="1:6" x14ac:dyDescent="0.25">
      <c r="A8958" s="1" t="s">
        <v>187</v>
      </c>
      <c r="B8958" s="1" t="s">
        <v>557</v>
      </c>
      <c r="C8958" s="1" t="s">
        <v>148</v>
      </c>
      <c r="D8958" s="3">
        <f t="shared" si="1401"/>
        <v>7758</v>
      </c>
      <c r="E8958" s="2">
        <f t="shared" si="1402"/>
        <v>42309</v>
      </c>
      <c r="F8958" s="2">
        <f t="shared" si="1403"/>
        <v>44196</v>
      </c>
    </row>
    <row r="8959" spans="1:6" x14ac:dyDescent="0.25">
      <c r="A8959" s="1" t="s">
        <v>187</v>
      </c>
      <c r="B8959" s="1" t="s">
        <v>557</v>
      </c>
      <c r="C8959" s="1" t="s">
        <v>150</v>
      </c>
      <c r="D8959" s="3">
        <f t="shared" si="1401"/>
        <v>7758</v>
      </c>
      <c r="E8959" s="2">
        <f t="shared" si="1402"/>
        <v>42309</v>
      </c>
      <c r="F8959" s="2">
        <f t="shared" si="1403"/>
        <v>44196</v>
      </c>
    </row>
    <row r="8960" spans="1:6" x14ac:dyDescent="0.25">
      <c r="A8960" s="1" t="s">
        <v>187</v>
      </c>
      <c r="B8960" s="1" t="s">
        <v>557</v>
      </c>
      <c r="C8960" s="1" t="s">
        <v>92</v>
      </c>
      <c r="D8960" s="3">
        <f t="shared" si="1401"/>
        <v>7758</v>
      </c>
      <c r="E8960" s="2">
        <f t="shared" si="1402"/>
        <v>42309</v>
      </c>
      <c r="F8960" s="2">
        <f t="shared" si="1403"/>
        <v>44196</v>
      </c>
    </row>
    <row r="8961" spans="1:6" x14ac:dyDescent="0.25">
      <c r="A8961" s="1" t="s">
        <v>187</v>
      </c>
      <c r="B8961" s="1" t="s">
        <v>557</v>
      </c>
      <c r="C8961" s="1" t="s">
        <v>93</v>
      </c>
      <c r="D8961" s="3">
        <f t="shared" si="1401"/>
        <v>7758</v>
      </c>
      <c r="E8961" s="2">
        <f t="shared" si="1402"/>
        <v>42309</v>
      </c>
      <c r="F8961" s="2">
        <f t="shared" si="1403"/>
        <v>44196</v>
      </c>
    </row>
    <row r="8962" spans="1:6" x14ac:dyDescent="0.25">
      <c r="A8962" s="1" t="s">
        <v>187</v>
      </c>
      <c r="B8962" s="1" t="s">
        <v>557</v>
      </c>
      <c r="C8962" s="1" t="s">
        <v>129</v>
      </c>
      <c r="D8962" s="3">
        <f t="shared" si="1401"/>
        <v>7758</v>
      </c>
      <c r="E8962" s="2">
        <f t="shared" si="1402"/>
        <v>42309</v>
      </c>
      <c r="F8962" s="2">
        <f t="shared" si="1403"/>
        <v>44196</v>
      </c>
    </row>
    <row r="8963" spans="1:6" x14ac:dyDescent="0.25">
      <c r="A8963" s="1" t="s">
        <v>187</v>
      </c>
      <c r="B8963" s="1" t="s">
        <v>557</v>
      </c>
      <c r="C8963" s="1" t="s">
        <v>283</v>
      </c>
      <c r="D8963" s="3">
        <f t="shared" si="1401"/>
        <v>7758</v>
      </c>
      <c r="E8963" s="2">
        <f t="shared" si="1402"/>
        <v>42309</v>
      </c>
      <c r="F8963" s="2">
        <f t="shared" si="1403"/>
        <v>44196</v>
      </c>
    </row>
    <row r="8964" spans="1:6" x14ac:dyDescent="0.25">
      <c r="A8964" s="1" t="s">
        <v>187</v>
      </c>
      <c r="B8964" s="1" t="s">
        <v>557</v>
      </c>
      <c r="C8964" s="1" t="s">
        <v>160</v>
      </c>
      <c r="D8964" s="3">
        <f t="shared" si="1401"/>
        <v>7758</v>
      </c>
      <c r="E8964" s="2">
        <f t="shared" si="1402"/>
        <v>42309</v>
      </c>
      <c r="F8964" s="2">
        <f t="shared" si="1403"/>
        <v>44196</v>
      </c>
    </row>
    <row r="8965" spans="1:6" x14ac:dyDescent="0.25">
      <c r="A8965" s="1" t="s">
        <v>187</v>
      </c>
      <c r="B8965" s="1" t="s">
        <v>559</v>
      </c>
      <c r="C8965" s="1" t="s">
        <v>14</v>
      </c>
      <c r="D8965" s="3">
        <f t="shared" ref="D8965:D8992" si="1404">VALUE("7764")</f>
        <v>7764</v>
      </c>
      <c r="E8965" s="2">
        <f t="shared" ref="E8965:E8992" si="1405">DATEVALUE("1-9-2015")</f>
        <v>42248</v>
      </c>
      <c r="F8965" s="2">
        <f t="shared" ref="F8965:F8996" si="1406">DATEVALUE("30-4-2020")</f>
        <v>43951</v>
      </c>
    </row>
    <row r="8966" spans="1:6" x14ac:dyDescent="0.25">
      <c r="A8966" s="1" t="s">
        <v>187</v>
      </c>
      <c r="B8966" s="1" t="s">
        <v>559</v>
      </c>
      <c r="C8966" s="1" t="s">
        <v>66</v>
      </c>
      <c r="D8966" s="3">
        <f t="shared" si="1404"/>
        <v>7764</v>
      </c>
      <c r="E8966" s="2">
        <f t="shared" si="1405"/>
        <v>42248</v>
      </c>
      <c r="F8966" s="2">
        <f t="shared" si="1406"/>
        <v>43951</v>
      </c>
    </row>
    <row r="8967" spans="1:6" x14ac:dyDescent="0.25">
      <c r="A8967" s="1" t="s">
        <v>187</v>
      </c>
      <c r="B8967" s="1" t="s">
        <v>559</v>
      </c>
      <c r="C8967" s="1" t="s">
        <v>15</v>
      </c>
      <c r="D8967" s="3">
        <f t="shared" si="1404"/>
        <v>7764</v>
      </c>
      <c r="E8967" s="2">
        <f t="shared" si="1405"/>
        <v>42248</v>
      </c>
      <c r="F8967" s="2">
        <f t="shared" si="1406"/>
        <v>43951</v>
      </c>
    </row>
    <row r="8968" spans="1:6" x14ac:dyDescent="0.25">
      <c r="A8968" s="1" t="s">
        <v>187</v>
      </c>
      <c r="B8968" s="1" t="s">
        <v>559</v>
      </c>
      <c r="C8968" s="1" t="s">
        <v>89</v>
      </c>
      <c r="D8968" s="3">
        <f t="shared" si="1404"/>
        <v>7764</v>
      </c>
      <c r="E8968" s="2">
        <f t="shared" si="1405"/>
        <v>42248</v>
      </c>
      <c r="F8968" s="2">
        <f t="shared" si="1406"/>
        <v>43951</v>
      </c>
    </row>
    <row r="8969" spans="1:6" x14ac:dyDescent="0.25">
      <c r="A8969" s="1" t="s">
        <v>187</v>
      </c>
      <c r="B8969" s="1" t="s">
        <v>559</v>
      </c>
      <c r="C8969" s="1" t="s">
        <v>17</v>
      </c>
      <c r="D8969" s="3">
        <f t="shared" si="1404"/>
        <v>7764</v>
      </c>
      <c r="E8969" s="2">
        <f t="shared" si="1405"/>
        <v>42248</v>
      </c>
      <c r="F8969" s="2">
        <f t="shared" si="1406"/>
        <v>43951</v>
      </c>
    </row>
    <row r="8970" spans="1:6" x14ac:dyDescent="0.25">
      <c r="A8970" s="1" t="s">
        <v>187</v>
      </c>
      <c r="B8970" s="1" t="s">
        <v>559</v>
      </c>
      <c r="C8970" s="1" t="s">
        <v>91</v>
      </c>
      <c r="D8970" s="3">
        <f t="shared" si="1404"/>
        <v>7764</v>
      </c>
      <c r="E8970" s="2">
        <f t="shared" si="1405"/>
        <v>42248</v>
      </c>
      <c r="F8970" s="2">
        <f t="shared" si="1406"/>
        <v>43951</v>
      </c>
    </row>
    <row r="8971" spans="1:6" x14ac:dyDescent="0.25">
      <c r="A8971" s="1" t="s">
        <v>187</v>
      </c>
      <c r="B8971" s="1" t="s">
        <v>559</v>
      </c>
      <c r="C8971" s="1" t="s">
        <v>543</v>
      </c>
      <c r="D8971" s="3">
        <f t="shared" si="1404"/>
        <v>7764</v>
      </c>
      <c r="E8971" s="2">
        <f t="shared" si="1405"/>
        <v>42248</v>
      </c>
      <c r="F8971" s="2">
        <f t="shared" si="1406"/>
        <v>43951</v>
      </c>
    </row>
    <row r="8972" spans="1:6" x14ac:dyDescent="0.25">
      <c r="A8972" s="1" t="s">
        <v>187</v>
      </c>
      <c r="B8972" s="1" t="s">
        <v>559</v>
      </c>
      <c r="C8972" s="1" t="s">
        <v>197</v>
      </c>
      <c r="D8972" s="3">
        <f t="shared" si="1404"/>
        <v>7764</v>
      </c>
      <c r="E8972" s="2">
        <f t="shared" si="1405"/>
        <v>42248</v>
      </c>
      <c r="F8972" s="2">
        <f t="shared" si="1406"/>
        <v>43951</v>
      </c>
    </row>
    <row r="8973" spans="1:6" x14ac:dyDescent="0.25">
      <c r="A8973" s="1" t="s">
        <v>187</v>
      </c>
      <c r="B8973" s="1" t="s">
        <v>559</v>
      </c>
      <c r="C8973" s="1" t="s">
        <v>22</v>
      </c>
      <c r="D8973" s="3">
        <f t="shared" si="1404"/>
        <v>7764</v>
      </c>
      <c r="E8973" s="2">
        <f t="shared" si="1405"/>
        <v>42248</v>
      </c>
      <c r="F8973" s="2">
        <f t="shared" si="1406"/>
        <v>43951</v>
      </c>
    </row>
    <row r="8974" spans="1:6" x14ac:dyDescent="0.25">
      <c r="A8974" s="1" t="s">
        <v>187</v>
      </c>
      <c r="B8974" s="1" t="s">
        <v>559</v>
      </c>
      <c r="C8974" s="1" t="s">
        <v>146</v>
      </c>
      <c r="D8974" s="3">
        <f t="shared" si="1404"/>
        <v>7764</v>
      </c>
      <c r="E8974" s="2">
        <f t="shared" si="1405"/>
        <v>42248</v>
      </c>
      <c r="F8974" s="2">
        <f t="shared" si="1406"/>
        <v>43951</v>
      </c>
    </row>
    <row r="8975" spans="1:6" x14ac:dyDescent="0.25">
      <c r="A8975" s="1" t="s">
        <v>187</v>
      </c>
      <c r="B8975" s="1" t="s">
        <v>559</v>
      </c>
      <c r="C8975" s="1" t="s">
        <v>67</v>
      </c>
      <c r="D8975" s="3">
        <f t="shared" si="1404"/>
        <v>7764</v>
      </c>
      <c r="E8975" s="2">
        <f t="shared" si="1405"/>
        <v>42248</v>
      </c>
      <c r="F8975" s="2">
        <f t="shared" si="1406"/>
        <v>43951</v>
      </c>
    </row>
    <row r="8976" spans="1:6" x14ac:dyDescent="0.25">
      <c r="A8976" s="1" t="s">
        <v>187</v>
      </c>
      <c r="B8976" s="1" t="s">
        <v>559</v>
      </c>
      <c r="C8976" s="1" t="s">
        <v>148</v>
      </c>
      <c r="D8976" s="3">
        <f t="shared" si="1404"/>
        <v>7764</v>
      </c>
      <c r="E8976" s="2">
        <f t="shared" si="1405"/>
        <v>42248</v>
      </c>
      <c r="F8976" s="2">
        <f t="shared" si="1406"/>
        <v>43951</v>
      </c>
    </row>
    <row r="8977" spans="1:6" x14ac:dyDescent="0.25">
      <c r="A8977" s="1" t="s">
        <v>187</v>
      </c>
      <c r="B8977" s="1" t="s">
        <v>559</v>
      </c>
      <c r="C8977" s="1" t="s">
        <v>149</v>
      </c>
      <c r="D8977" s="3">
        <f t="shared" si="1404"/>
        <v>7764</v>
      </c>
      <c r="E8977" s="2">
        <f t="shared" si="1405"/>
        <v>42248</v>
      </c>
      <c r="F8977" s="2">
        <f t="shared" si="1406"/>
        <v>43951</v>
      </c>
    </row>
    <row r="8978" spans="1:6" x14ac:dyDescent="0.25">
      <c r="A8978" s="1" t="s">
        <v>187</v>
      </c>
      <c r="B8978" s="1" t="s">
        <v>559</v>
      </c>
      <c r="C8978" s="1" t="s">
        <v>150</v>
      </c>
      <c r="D8978" s="3">
        <f t="shared" si="1404"/>
        <v>7764</v>
      </c>
      <c r="E8978" s="2">
        <f t="shared" si="1405"/>
        <v>42248</v>
      </c>
      <c r="F8978" s="2">
        <f t="shared" si="1406"/>
        <v>43951</v>
      </c>
    </row>
    <row r="8979" spans="1:6" x14ac:dyDescent="0.25">
      <c r="A8979" s="1" t="s">
        <v>187</v>
      </c>
      <c r="B8979" s="1" t="s">
        <v>559</v>
      </c>
      <c r="C8979" s="1" t="s">
        <v>560</v>
      </c>
      <c r="D8979" s="3">
        <f t="shared" si="1404"/>
        <v>7764</v>
      </c>
      <c r="E8979" s="2">
        <f t="shared" si="1405"/>
        <v>42248</v>
      </c>
      <c r="F8979" s="2">
        <f t="shared" si="1406"/>
        <v>43951</v>
      </c>
    </row>
    <row r="8980" spans="1:6" x14ac:dyDescent="0.25">
      <c r="A8980" s="1" t="s">
        <v>187</v>
      </c>
      <c r="B8980" s="1" t="s">
        <v>559</v>
      </c>
      <c r="C8980" s="1" t="s">
        <v>561</v>
      </c>
      <c r="D8980" s="3">
        <f t="shared" si="1404"/>
        <v>7764</v>
      </c>
      <c r="E8980" s="2">
        <f t="shared" si="1405"/>
        <v>42248</v>
      </c>
      <c r="F8980" s="2">
        <f t="shared" si="1406"/>
        <v>43951</v>
      </c>
    </row>
    <row r="8981" spans="1:6" x14ac:dyDescent="0.25">
      <c r="A8981" s="1" t="s">
        <v>187</v>
      </c>
      <c r="B8981" s="1" t="s">
        <v>559</v>
      </c>
      <c r="C8981" s="1" t="s">
        <v>320</v>
      </c>
      <c r="D8981" s="3">
        <f t="shared" si="1404"/>
        <v>7764</v>
      </c>
      <c r="E8981" s="2">
        <f t="shared" si="1405"/>
        <v>42248</v>
      </c>
      <c r="F8981" s="2">
        <f t="shared" si="1406"/>
        <v>43951</v>
      </c>
    </row>
    <row r="8982" spans="1:6" x14ac:dyDescent="0.25">
      <c r="A8982" s="1" t="s">
        <v>187</v>
      </c>
      <c r="B8982" s="1" t="s">
        <v>559</v>
      </c>
      <c r="C8982" s="1" t="s">
        <v>562</v>
      </c>
      <c r="D8982" s="3">
        <f t="shared" si="1404"/>
        <v>7764</v>
      </c>
      <c r="E8982" s="2">
        <f t="shared" si="1405"/>
        <v>42248</v>
      </c>
      <c r="F8982" s="2">
        <f t="shared" si="1406"/>
        <v>43951</v>
      </c>
    </row>
    <row r="8983" spans="1:6" x14ac:dyDescent="0.25">
      <c r="A8983" s="1" t="s">
        <v>187</v>
      </c>
      <c r="B8983" s="1" t="s">
        <v>559</v>
      </c>
      <c r="C8983" s="1" t="s">
        <v>93</v>
      </c>
      <c r="D8983" s="3">
        <f t="shared" si="1404"/>
        <v>7764</v>
      </c>
      <c r="E8983" s="2">
        <f t="shared" si="1405"/>
        <v>42248</v>
      </c>
      <c r="F8983" s="2">
        <f t="shared" si="1406"/>
        <v>43951</v>
      </c>
    </row>
    <row r="8984" spans="1:6" x14ac:dyDescent="0.25">
      <c r="A8984" s="1" t="s">
        <v>187</v>
      </c>
      <c r="B8984" s="1" t="s">
        <v>559</v>
      </c>
      <c r="C8984" s="1" t="s">
        <v>129</v>
      </c>
      <c r="D8984" s="3">
        <f t="shared" si="1404"/>
        <v>7764</v>
      </c>
      <c r="E8984" s="2">
        <f t="shared" si="1405"/>
        <v>42248</v>
      </c>
      <c r="F8984" s="2">
        <f t="shared" si="1406"/>
        <v>43951</v>
      </c>
    </row>
    <row r="8985" spans="1:6" x14ac:dyDescent="0.25">
      <c r="A8985" s="1" t="s">
        <v>187</v>
      </c>
      <c r="B8985" s="1" t="s">
        <v>559</v>
      </c>
      <c r="C8985" s="1" t="s">
        <v>177</v>
      </c>
      <c r="D8985" s="3">
        <f t="shared" si="1404"/>
        <v>7764</v>
      </c>
      <c r="E8985" s="2">
        <f t="shared" si="1405"/>
        <v>42248</v>
      </c>
      <c r="F8985" s="2">
        <f t="shared" si="1406"/>
        <v>43951</v>
      </c>
    </row>
    <row r="8986" spans="1:6" x14ac:dyDescent="0.25">
      <c r="A8986" s="1" t="s">
        <v>187</v>
      </c>
      <c r="B8986" s="1" t="s">
        <v>559</v>
      </c>
      <c r="C8986" s="1" t="s">
        <v>181</v>
      </c>
      <c r="D8986" s="3">
        <f t="shared" si="1404"/>
        <v>7764</v>
      </c>
      <c r="E8986" s="2">
        <f t="shared" si="1405"/>
        <v>42248</v>
      </c>
      <c r="F8986" s="2">
        <f t="shared" si="1406"/>
        <v>43951</v>
      </c>
    </row>
    <row r="8987" spans="1:6" x14ac:dyDescent="0.25">
      <c r="A8987" s="1" t="s">
        <v>187</v>
      </c>
      <c r="B8987" s="1" t="s">
        <v>559</v>
      </c>
      <c r="C8987" s="1" t="s">
        <v>176</v>
      </c>
      <c r="D8987" s="3">
        <f t="shared" si="1404"/>
        <v>7764</v>
      </c>
      <c r="E8987" s="2">
        <f t="shared" si="1405"/>
        <v>42248</v>
      </c>
      <c r="F8987" s="2">
        <f t="shared" si="1406"/>
        <v>43951</v>
      </c>
    </row>
    <row r="8988" spans="1:6" x14ac:dyDescent="0.25">
      <c r="A8988" s="1" t="s">
        <v>187</v>
      </c>
      <c r="B8988" s="1" t="s">
        <v>559</v>
      </c>
      <c r="C8988" s="1" t="s">
        <v>130</v>
      </c>
      <c r="D8988" s="3">
        <f t="shared" si="1404"/>
        <v>7764</v>
      </c>
      <c r="E8988" s="2">
        <f t="shared" si="1405"/>
        <v>42248</v>
      </c>
      <c r="F8988" s="2">
        <f t="shared" si="1406"/>
        <v>43951</v>
      </c>
    </row>
    <row r="8989" spans="1:6" x14ac:dyDescent="0.25">
      <c r="A8989" s="1" t="s">
        <v>187</v>
      </c>
      <c r="B8989" s="1" t="s">
        <v>559</v>
      </c>
      <c r="C8989" s="1" t="s">
        <v>94</v>
      </c>
      <c r="D8989" s="3">
        <f t="shared" si="1404"/>
        <v>7764</v>
      </c>
      <c r="E8989" s="2">
        <f t="shared" si="1405"/>
        <v>42248</v>
      </c>
      <c r="F8989" s="2">
        <f t="shared" si="1406"/>
        <v>43951</v>
      </c>
    </row>
    <row r="8990" spans="1:6" x14ac:dyDescent="0.25">
      <c r="A8990" s="1" t="s">
        <v>187</v>
      </c>
      <c r="B8990" s="1" t="s">
        <v>559</v>
      </c>
      <c r="C8990" s="1" t="s">
        <v>24</v>
      </c>
      <c r="D8990" s="3">
        <f t="shared" si="1404"/>
        <v>7764</v>
      </c>
      <c r="E8990" s="2">
        <f t="shared" si="1405"/>
        <v>42248</v>
      </c>
      <c r="F8990" s="2">
        <f t="shared" si="1406"/>
        <v>43951</v>
      </c>
    </row>
    <row r="8991" spans="1:6" x14ac:dyDescent="0.25">
      <c r="A8991" s="1" t="s">
        <v>187</v>
      </c>
      <c r="B8991" s="1" t="s">
        <v>559</v>
      </c>
      <c r="C8991" s="1" t="s">
        <v>160</v>
      </c>
      <c r="D8991" s="3">
        <f t="shared" si="1404"/>
        <v>7764</v>
      </c>
      <c r="E8991" s="2">
        <f t="shared" si="1405"/>
        <v>42248</v>
      </c>
      <c r="F8991" s="2">
        <f t="shared" si="1406"/>
        <v>43951</v>
      </c>
    </row>
    <row r="8992" spans="1:6" x14ac:dyDescent="0.25">
      <c r="A8992" s="1" t="s">
        <v>187</v>
      </c>
      <c r="B8992" s="1" t="s">
        <v>559</v>
      </c>
      <c r="C8992" s="1" t="s">
        <v>34</v>
      </c>
      <c r="D8992" s="3">
        <f t="shared" si="1404"/>
        <v>7764</v>
      </c>
      <c r="E8992" s="2">
        <f t="shared" si="1405"/>
        <v>42248</v>
      </c>
      <c r="F8992" s="2">
        <f t="shared" si="1406"/>
        <v>43951</v>
      </c>
    </row>
    <row r="8993" spans="1:6" x14ac:dyDescent="0.25">
      <c r="A8993" s="1" t="s">
        <v>187</v>
      </c>
      <c r="B8993" s="1" t="s">
        <v>549</v>
      </c>
      <c r="C8993" s="1" t="s">
        <v>8</v>
      </c>
      <c r="D8993" s="3">
        <f t="shared" ref="D8993:D9020" si="1407">VALUE("7750")</f>
        <v>7750</v>
      </c>
      <c r="E8993" s="2">
        <f t="shared" ref="E8993:E9024" si="1408">DATEVALUE("1-8-2015")</f>
        <v>42217</v>
      </c>
      <c r="F8993" s="2">
        <f t="shared" si="1406"/>
        <v>43951</v>
      </c>
    </row>
    <row r="8994" spans="1:6" x14ac:dyDescent="0.25">
      <c r="A8994" s="1" t="s">
        <v>187</v>
      </c>
      <c r="B8994" s="1" t="s">
        <v>549</v>
      </c>
      <c r="C8994" s="1" t="s">
        <v>61</v>
      </c>
      <c r="D8994" s="3">
        <f t="shared" si="1407"/>
        <v>7750</v>
      </c>
      <c r="E8994" s="2">
        <f t="shared" si="1408"/>
        <v>42217</v>
      </c>
      <c r="F8994" s="2">
        <f t="shared" si="1406"/>
        <v>43951</v>
      </c>
    </row>
    <row r="8995" spans="1:6" x14ac:dyDescent="0.25">
      <c r="A8995" s="1" t="s">
        <v>187</v>
      </c>
      <c r="B8995" s="1" t="s">
        <v>549</v>
      </c>
      <c r="C8995" s="1" t="s">
        <v>141</v>
      </c>
      <c r="D8995" s="3">
        <f t="shared" si="1407"/>
        <v>7750</v>
      </c>
      <c r="E8995" s="2">
        <f t="shared" si="1408"/>
        <v>42217</v>
      </c>
      <c r="F8995" s="2">
        <f t="shared" si="1406"/>
        <v>43951</v>
      </c>
    </row>
    <row r="8996" spans="1:6" x14ac:dyDescent="0.25">
      <c r="A8996" s="1" t="s">
        <v>187</v>
      </c>
      <c r="B8996" s="1" t="s">
        <v>549</v>
      </c>
      <c r="C8996" s="1" t="s">
        <v>14</v>
      </c>
      <c r="D8996" s="3">
        <f t="shared" si="1407"/>
        <v>7750</v>
      </c>
      <c r="E8996" s="2">
        <f t="shared" si="1408"/>
        <v>42217</v>
      </c>
      <c r="F8996" s="2">
        <f t="shared" si="1406"/>
        <v>43951</v>
      </c>
    </row>
    <row r="8997" spans="1:6" x14ac:dyDescent="0.25">
      <c r="A8997" s="1" t="s">
        <v>187</v>
      </c>
      <c r="B8997" s="1" t="s">
        <v>549</v>
      </c>
      <c r="C8997" s="1" t="s">
        <v>89</v>
      </c>
      <c r="D8997" s="3">
        <f t="shared" si="1407"/>
        <v>7750</v>
      </c>
      <c r="E8997" s="2">
        <f t="shared" si="1408"/>
        <v>42217</v>
      </c>
      <c r="F8997" s="2">
        <f t="shared" ref="F8997:F9020" si="1409">DATEVALUE("30-4-2020")</f>
        <v>43951</v>
      </c>
    </row>
    <row r="8998" spans="1:6" x14ac:dyDescent="0.25">
      <c r="A8998" s="1" t="s">
        <v>187</v>
      </c>
      <c r="B8998" s="1" t="s">
        <v>549</v>
      </c>
      <c r="C8998" s="1" t="s">
        <v>17</v>
      </c>
      <c r="D8998" s="3">
        <f t="shared" si="1407"/>
        <v>7750</v>
      </c>
      <c r="E8998" s="2">
        <f t="shared" si="1408"/>
        <v>42217</v>
      </c>
      <c r="F8998" s="2">
        <f t="shared" si="1409"/>
        <v>43951</v>
      </c>
    </row>
    <row r="8999" spans="1:6" x14ac:dyDescent="0.25">
      <c r="A8999" s="1" t="s">
        <v>187</v>
      </c>
      <c r="B8999" s="1" t="s">
        <v>549</v>
      </c>
      <c r="C8999" s="1" t="s">
        <v>91</v>
      </c>
      <c r="D8999" s="3">
        <f t="shared" si="1407"/>
        <v>7750</v>
      </c>
      <c r="E8999" s="2">
        <f t="shared" si="1408"/>
        <v>42217</v>
      </c>
      <c r="F8999" s="2">
        <f t="shared" si="1409"/>
        <v>43951</v>
      </c>
    </row>
    <row r="9000" spans="1:6" x14ac:dyDescent="0.25">
      <c r="A9000" s="1" t="s">
        <v>187</v>
      </c>
      <c r="B9000" s="1" t="s">
        <v>549</v>
      </c>
      <c r="C9000" s="1" t="s">
        <v>543</v>
      </c>
      <c r="D9000" s="3">
        <f t="shared" si="1407"/>
        <v>7750</v>
      </c>
      <c r="E9000" s="2">
        <f t="shared" si="1408"/>
        <v>42217</v>
      </c>
      <c r="F9000" s="2">
        <f t="shared" si="1409"/>
        <v>43951</v>
      </c>
    </row>
    <row r="9001" spans="1:6" x14ac:dyDescent="0.25">
      <c r="A9001" s="1" t="s">
        <v>187</v>
      </c>
      <c r="B9001" s="1" t="s">
        <v>549</v>
      </c>
      <c r="C9001" s="1" t="s">
        <v>197</v>
      </c>
      <c r="D9001" s="3">
        <f t="shared" si="1407"/>
        <v>7750</v>
      </c>
      <c r="E9001" s="2">
        <f t="shared" si="1408"/>
        <v>42217</v>
      </c>
      <c r="F9001" s="2">
        <f t="shared" si="1409"/>
        <v>43951</v>
      </c>
    </row>
    <row r="9002" spans="1:6" x14ac:dyDescent="0.25">
      <c r="A9002" s="1" t="s">
        <v>187</v>
      </c>
      <c r="B9002" s="1" t="s">
        <v>549</v>
      </c>
      <c r="C9002" s="1" t="s">
        <v>22</v>
      </c>
      <c r="D9002" s="3">
        <f t="shared" si="1407"/>
        <v>7750</v>
      </c>
      <c r="E9002" s="2">
        <f t="shared" si="1408"/>
        <v>42217</v>
      </c>
      <c r="F9002" s="2">
        <f t="shared" si="1409"/>
        <v>43951</v>
      </c>
    </row>
    <row r="9003" spans="1:6" x14ac:dyDescent="0.25">
      <c r="A9003" s="1" t="s">
        <v>187</v>
      </c>
      <c r="B9003" s="1" t="s">
        <v>549</v>
      </c>
      <c r="C9003" s="1" t="s">
        <v>146</v>
      </c>
      <c r="D9003" s="3">
        <f t="shared" si="1407"/>
        <v>7750</v>
      </c>
      <c r="E9003" s="2">
        <f t="shared" si="1408"/>
        <v>42217</v>
      </c>
      <c r="F9003" s="2">
        <f t="shared" si="1409"/>
        <v>43951</v>
      </c>
    </row>
    <row r="9004" spans="1:6" x14ac:dyDescent="0.25">
      <c r="A9004" s="1" t="s">
        <v>187</v>
      </c>
      <c r="B9004" s="1" t="s">
        <v>549</v>
      </c>
      <c r="C9004" s="1" t="s">
        <v>67</v>
      </c>
      <c r="D9004" s="3">
        <f t="shared" si="1407"/>
        <v>7750</v>
      </c>
      <c r="E9004" s="2">
        <f t="shared" si="1408"/>
        <v>42217</v>
      </c>
      <c r="F9004" s="2">
        <f t="shared" si="1409"/>
        <v>43951</v>
      </c>
    </row>
    <row r="9005" spans="1:6" x14ac:dyDescent="0.25">
      <c r="A9005" s="1" t="s">
        <v>187</v>
      </c>
      <c r="B9005" s="1" t="s">
        <v>549</v>
      </c>
      <c r="C9005" s="1" t="s">
        <v>148</v>
      </c>
      <c r="D9005" s="3">
        <f t="shared" si="1407"/>
        <v>7750</v>
      </c>
      <c r="E9005" s="2">
        <f t="shared" si="1408"/>
        <v>42217</v>
      </c>
      <c r="F9005" s="2">
        <f t="shared" si="1409"/>
        <v>43951</v>
      </c>
    </row>
    <row r="9006" spans="1:6" x14ac:dyDescent="0.25">
      <c r="A9006" s="1" t="s">
        <v>187</v>
      </c>
      <c r="B9006" s="1" t="s">
        <v>549</v>
      </c>
      <c r="C9006" s="1" t="s">
        <v>149</v>
      </c>
      <c r="D9006" s="3">
        <f t="shared" si="1407"/>
        <v>7750</v>
      </c>
      <c r="E9006" s="2">
        <f t="shared" si="1408"/>
        <v>42217</v>
      </c>
      <c r="F9006" s="2">
        <f t="shared" si="1409"/>
        <v>43951</v>
      </c>
    </row>
    <row r="9007" spans="1:6" x14ac:dyDescent="0.25">
      <c r="A9007" s="1" t="s">
        <v>187</v>
      </c>
      <c r="B9007" s="1" t="s">
        <v>549</v>
      </c>
      <c r="C9007" s="1" t="s">
        <v>150</v>
      </c>
      <c r="D9007" s="3">
        <f t="shared" si="1407"/>
        <v>7750</v>
      </c>
      <c r="E9007" s="2">
        <f t="shared" si="1408"/>
        <v>42217</v>
      </c>
      <c r="F9007" s="2">
        <f t="shared" si="1409"/>
        <v>43951</v>
      </c>
    </row>
    <row r="9008" spans="1:6" x14ac:dyDescent="0.25">
      <c r="A9008" s="1" t="s">
        <v>187</v>
      </c>
      <c r="B9008" s="1" t="s">
        <v>549</v>
      </c>
      <c r="C9008" s="1" t="s">
        <v>92</v>
      </c>
      <c r="D9008" s="3">
        <f t="shared" si="1407"/>
        <v>7750</v>
      </c>
      <c r="E9008" s="2">
        <f t="shared" si="1408"/>
        <v>42217</v>
      </c>
      <c r="F9008" s="2">
        <f t="shared" si="1409"/>
        <v>43951</v>
      </c>
    </row>
    <row r="9009" spans="1:6" x14ac:dyDescent="0.25">
      <c r="A9009" s="1" t="s">
        <v>187</v>
      </c>
      <c r="B9009" s="1" t="s">
        <v>549</v>
      </c>
      <c r="C9009" s="1" t="s">
        <v>205</v>
      </c>
      <c r="D9009" s="3">
        <f t="shared" si="1407"/>
        <v>7750</v>
      </c>
      <c r="E9009" s="2">
        <f t="shared" si="1408"/>
        <v>42217</v>
      </c>
      <c r="F9009" s="2">
        <f t="shared" si="1409"/>
        <v>43951</v>
      </c>
    </row>
    <row r="9010" spans="1:6" x14ac:dyDescent="0.25">
      <c r="A9010" s="1" t="s">
        <v>187</v>
      </c>
      <c r="B9010" s="1" t="s">
        <v>549</v>
      </c>
      <c r="C9010" s="1" t="s">
        <v>204</v>
      </c>
      <c r="D9010" s="3">
        <f t="shared" si="1407"/>
        <v>7750</v>
      </c>
      <c r="E9010" s="2">
        <f t="shared" si="1408"/>
        <v>42217</v>
      </c>
      <c r="F9010" s="2">
        <f t="shared" si="1409"/>
        <v>43951</v>
      </c>
    </row>
    <row r="9011" spans="1:6" x14ac:dyDescent="0.25">
      <c r="A9011" s="1" t="s">
        <v>187</v>
      </c>
      <c r="B9011" s="1" t="s">
        <v>549</v>
      </c>
      <c r="C9011" s="1" t="s">
        <v>550</v>
      </c>
      <c r="D9011" s="3">
        <f t="shared" si="1407"/>
        <v>7750</v>
      </c>
      <c r="E9011" s="2">
        <f t="shared" si="1408"/>
        <v>42217</v>
      </c>
      <c r="F9011" s="2">
        <f t="shared" si="1409"/>
        <v>43951</v>
      </c>
    </row>
    <row r="9012" spans="1:6" x14ac:dyDescent="0.25">
      <c r="A9012" s="1" t="s">
        <v>187</v>
      </c>
      <c r="B9012" s="1" t="s">
        <v>549</v>
      </c>
      <c r="C9012" s="1" t="s">
        <v>551</v>
      </c>
      <c r="D9012" s="3">
        <f t="shared" si="1407"/>
        <v>7750</v>
      </c>
      <c r="E9012" s="2">
        <f t="shared" si="1408"/>
        <v>42217</v>
      </c>
      <c r="F9012" s="2">
        <f t="shared" si="1409"/>
        <v>43951</v>
      </c>
    </row>
    <row r="9013" spans="1:6" x14ac:dyDescent="0.25">
      <c r="A9013" s="1" t="s">
        <v>187</v>
      </c>
      <c r="B9013" s="1" t="s">
        <v>549</v>
      </c>
      <c r="C9013" s="1" t="s">
        <v>24</v>
      </c>
      <c r="D9013" s="3">
        <f t="shared" si="1407"/>
        <v>7750</v>
      </c>
      <c r="E9013" s="2">
        <f t="shared" si="1408"/>
        <v>42217</v>
      </c>
      <c r="F9013" s="2">
        <f t="shared" si="1409"/>
        <v>43951</v>
      </c>
    </row>
    <row r="9014" spans="1:6" x14ac:dyDescent="0.25">
      <c r="A9014" s="1" t="s">
        <v>187</v>
      </c>
      <c r="B9014" s="1" t="s">
        <v>549</v>
      </c>
      <c r="C9014" s="1" t="s">
        <v>198</v>
      </c>
      <c r="D9014" s="3">
        <f t="shared" si="1407"/>
        <v>7750</v>
      </c>
      <c r="E9014" s="2">
        <f t="shared" si="1408"/>
        <v>42217</v>
      </c>
      <c r="F9014" s="2">
        <f t="shared" si="1409"/>
        <v>43951</v>
      </c>
    </row>
    <row r="9015" spans="1:6" x14ac:dyDescent="0.25">
      <c r="A9015" s="1" t="s">
        <v>187</v>
      </c>
      <c r="B9015" s="1" t="s">
        <v>549</v>
      </c>
      <c r="C9015" s="1" t="s">
        <v>102</v>
      </c>
      <c r="D9015" s="3">
        <f t="shared" si="1407"/>
        <v>7750</v>
      </c>
      <c r="E9015" s="2">
        <f t="shared" si="1408"/>
        <v>42217</v>
      </c>
      <c r="F9015" s="2">
        <f t="shared" si="1409"/>
        <v>43951</v>
      </c>
    </row>
    <row r="9016" spans="1:6" x14ac:dyDescent="0.25">
      <c r="A9016" s="1" t="s">
        <v>187</v>
      </c>
      <c r="B9016" s="1" t="s">
        <v>549</v>
      </c>
      <c r="C9016" s="1" t="s">
        <v>103</v>
      </c>
      <c r="D9016" s="3">
        <f t="shared" si="1407"/>
        <v>7750</v>
      </c>
      <c r="E9016" s="2">
        <f t="shared" si="1408"/>
        <v>42217</v>
      </c>
      <c r="F9016" s="2">
        <f t="shared" si="1409"/>
        <v>43951</v>
      </c>
    </row>
    <row r="9017" spans="1:6" x14ac:dyDescent="0.25">
      <c r="A9017" s="1" t="s">
        <v>187</v>
      </c>
      <c r="B9017" s="1" t="s">
        <v>549</v>
      </c>
      <c r="C9017" s="1" t="s">
        <v>160</v>
      </c>
      <c r="D9017" s="3">
        <f t="shared" si="1407"/>
        <v>7750</v>
      </c>
      <c r="E9017" s="2">
        <f t="shared" si="1408"/>
        <v>42217</v>
      </c>
      <c r="F9017" s="2">
        <f t="shared" si="1409"/>
        <v>43951</v>
      </c>
    </row>
    <row r="9018" spans="1:6" x14ac:dyDescent="0.25">
      <c r="A9018" s="1" t="s">
        <v>187</v>
      </c>
      <c r="B9018" s="1" t="s">
        <v>549</v>
      </c>
      <c r="C9018" s="1" t="s">
        <v>34</v>
      </c>
      <c r="D9018" s="3">
        <f t="shared" si="1407"/>
        <v>7750</v>
      </c>
      <c r="E9018" s="2">
        <f t="shared" si="1408"/>
        <v>42217</v>
      </c>
      <c r="F9018" s="2">
        <f t="shared" si="1409"/>
        <v>43951</v>
      </c>
    </row>
    <row r="9019" spans="1:6" x14ac:dyDescent="0.25">
      <c r="A9019" s="1" t="s">
        <v>187</v>
      </c>
      <c r="B9019" s="1" t="s">
        <v>549</v>
      </c>
      <c r="C9019" s="1" t="s">
        <v>169</v>
      </c>
      <c r="D9019" s="3">
        <f t="shared" si="1407"/>
        <v>7750</v>
      </c>
      <c r="E9019" s="2">
        <f t="shared" si="1408"/>
        <v>42217</v>
      </c>
      <c r="F9019" s="2">
        <f t="shared" si="1409"/>
        <v>43951</v>
      </c>
    </row>
    <row r="9020" spans="1:6" x14ac:dyDescent="0.25">
      <c r="A9020" s="1" t="s">
        <v>187</v>
      </c>
      <c r="B9020" s="1" t="s">
        <v>549</v>
      </c>
      <c r="C9020" s="1" t="s">
        <v>170</v>
      </c>
      <c r="D9020" s="3">
        <f t="shared" si="1407"/>
        <v>7750</v>
      </c>
      <c r="E9020" s="2">
        <f t="shared" si="1408"/>
        <v>42217</v>
      </c>
      <c r="F9020" s="2">
        <f t="shared" si="1409"/>
        <v>43951</v>
      </c>
    </row>
    <row r="9021" spans="1:6" x14ac:dyDescent="0.25">
      <c r="A9021" s="1" t="s">
        <v>187</v>
      </c>
      <c r="B9021" s="1" t="s">
        <v>578</v>
      </c>
      <c r="C9021" s="1" t="s">
        <v>137</v>
      </c>
      <c r="D9021" s="3">
        <f t="shared" ref="D9021:D9064" si="1410">VALUE("7767")</f>
        <v>7767</v>
      </c>
      <c r="E9021" s="2">
        <f t="shared" si="1408"/>
        <v>42217</v>
      </c>
      <c r="F9021" s="2">
        <f t="shared" ref="F9021:F9052" si="1411">DATEVALUE("31-12-2020")</f>
        <v>44196</v>
      </c>
    </row>
    <row r="9022" spans="1:6" x14ac:dyDescent="0.25">
      <c r="A9022" s="1" t="s">
        <v>187</v>
      </c>
      <c r="B9022" s="1" t="s">
        <v>578</v>
      </c>
      <c r="C9022" s="1" t="s">
        <v>85</v>
      </c>
      <c r="D9022" s="3">
        <f t="shared" si="1410"/>
        <v>7767</v>
      </c>
      <c r="E9022" s="2">
        <f t="shared" si="1408"/>
        <v>42217</v>
      </c>
      <c r="F9022" s="2">
        <f t="shared" si="1411"/>
        <v>44196</v>
      </c>
    </row>
    <row r="9023" spans="1:6" x14ac:dyDescent="0.25">
      <c r="A9023" s="1" t="s">
        <v>187</v>
      </c>
      <c r="B9023" s="1" t="s">
        <v>578</v>
      </c>
      <c r="C9023" s="1" t="s">
        <v>84</v>
      </c>
      <c r="D9023" s="3">
        <f t="shared" si="1410"/>
        <v>7767</v>
      </c>
      <c r="E9023" s="2">
        <f t="shared" si="1408"/>
        <v>42217</v>
      </c>
      <c r="F9023" s="2">
        <f t="shared" si="1411"/>
        <v>44196</v>
      </c>
    </row>
    <row r="9024" spans="1:6" x14ac:dyDescent="0.25">
      <c r="A9024" s="1" t="s">
        <v>187</v>
      </c>
      <c r="B9024" s="1" t="s">
        <v>578</v>
      </c>
      <c r="C9024" s="1" t="s">
        <v>46</v>
      </c>
      <c r="D9024" s="3">
        <f t="shared" si="1410"/>
        <v>7767</v>
      </c>
      <c r="E9024" s="2">
        <f t="shared" si="1408"/>
        <v>42217</v>
      </c>
      <c r="F9024" s="2">
        <f t="shared" si="1411"/>
        <v>44196</v>
      </c>
    </row>
    <row r="9025" spans="1:6" x14ac:dyDescent="0.25">
      <c r="A9025" s="1" t="s">
        <v>187</v>
      </c>
      <c r="B9025" s="1" t="s">
        <v>578</v>
      </c>
      <c r="C9025" s="1" t="s">
        <v>14</v>
      </c>
      <c r="D9025" s="3">
        <f t="shared" si="1410"/>
        <v>7767</v>
      </c>
      <c r="E9025" s="2">
        <f t="shared" ref="E9025:E9056" si="1412">DATEVALUE("1-8-2015")</f>
        <v>42217</v>
      </c>
      <c r="F9025" s="2">
        <f t="shared" si="1411"/>
        <v>44196</v>
      </c>
    </row>
    <row r="9026" spans="1:6" x14ac:dyDescent="0.25">
      <c r="A9026" s="1" t="s">
        <v>187</v>
      </c>
      <c r="B9026" s="1" t="s">
        <v>578</v>
      </c>
      <c r="C9026" s="1" t="s">
        <v>15</v>
      </c>
      <c r="D9026" s="3">
        <f t="shared" si="1410"/>
        <v>7767</v>
      </c>
      <c r="E9026" s="2">
        <f t="shared" si="1412"/>
        <v>42217</v>
      </c>
      <c r="F9026" s="2">
        <f t="shared" si="1411"/>
        <v>44196</v>
      </c>
    </row>
    <row r="9027" spans="1:6" x14ac:dyDescent="0.25">
      <c r="A9027" s="1" t="s">
        <v>187</v>
      </c>
      <c r="B9027" s="1" t="s">
        <v>578</v>
      </c>
      <c r="C9027" s="1" t="s">
        <v>89</v>
      </c>
      <c r="D9027" s="3">
        <f t="shared" si="1410"/>
        <v>7767</v>
      </c>
      <c r="E9027" s="2">
        <f t="shared" si="1412"/>
        <v>42217</v>
      </c>
      <c r="F9027" s="2">
        <f t="shared" si="1411"/>
        <v>44196</v>
      </c>
    </row>
    <row r="9028" spans="1:6" x14ac:dyDescent="0.25">
      <c r="A9028" s="1" t="s">
        <v>187</v>
      </c>
      <c r="B9028" s="1" t="s">
        <v>578</v>
      </c>
      <c r="C9028" s="1" t="s">
        <v>17</v>
      </c>
      <c r="D9028" s="3">
        <f t="shared" si="1410"/>
        <v>7767</v>
      </c>
      <c r="E9028" s="2">
        <f t="shared" si="1412"/>
        <v>42217</v>
      </c>
      <c r="F9028" s="2">
        <f t="shared" si="1411"/>
        <v>44196</v>
      </c>
    </row>
    <row r="9029" spans="1:6" x14ac:dyDescent="0.25">
      <c r="A9029" s="1" t="s">
        <v>187</v>
      </c>
      <c r="B9029" s="1" t="s">
        <v>578</v>
      </c>
      <c r="C9029" s="1" t="s">
        <v>18</v>
      </c>
      <c r="D9029" s="3">
        <f t="shared" si="1410"/>
        <v>7767</v>
      </c>
      <c r="E9029" s="2">
        <f t="shared" si="1412"/>
        <v>42217</v>
      </c>
      <c r="F9029" s="2">
        <f t="shared" si="1411"/>
        <v>44196</v>
      </c>
    </row>
    <row r="9030" spans="1:6" x14ac:dyDescent="0.25">
      <c r="A9030" s="1" t="s">
        <v>187</v>
      </c>
      <c r="B9030" s="1" t="s">
        <v>578</v>
      </c>
      <c r="C9030" s="1" t="s">
        <v>257</v>
      </c>
      <c r="D9030" s="3">
        <f t="shared" si="1410"/>
        <v>7767</v>
      </c>
      <c r="E9030" s="2">
        <f t="shared" si="1412"/>
        <v>42217</v>
      </c>
      <c r="F9030" s="2">
        <f t="shared" si="1411"/>
        <v>44196</v>
      </c>
    </row>
    <row r="9031" spans="1:6" x14ac:dyDescent="0.25">
      <c r="A9031" s="1" t="s">
        <v>187</v>
      </c>
      <c r="B9031" s="1" t="s">
        <v>578</v>
      </c>
      <c r="C9031" s="1" t="s">
        <v>579</v>
      </c>
      <c r="D9031" s="3">
        <f t="shared" si="1410"/>
        <v>7767</v>
      </c>
      <c r="E9031" s="2">
        <f t="shared" si="1412"/>
        <v>42217</v>
      </c>
      <c r="F9031" s="2">
        <f t="shared" si="1411"/>
        <v>44196</v>
      </c>
    </row>
    <row r="9032" spans="1:6" x14ac:dyDescent="0.25">
      <c r="A9032" s="1" t="s">
        <v>187</v>
      </c>
      <c r="B9032" s="1" t="s">
        <v>578</v>
      </c>
      <c r="C9032" s="1" t="s">
        <v>127</v>
      </c>
      <c r="D9032" s="3">
        <f t="shared" si="1410"/>
        <v>7767</v>
      </c>
      <c r="E9032" s="2">
        <f t="shared" si="1412"/>
        <v>42217</v>
      </c>
      <c r="F9032" s="2">
        <f t="shared" si="1411"/>
        <v>44196</v>
      </c>
    </row>
    <row r="9033" spans="1:6" x14ac:dyDescent="0.25">
      <c r="A9033" s="1" t="s">
        <v>187</v>
      </c>
      <c r="B9033" s="1" t="s">
        <v>578</v>
      </c>
      <c r="C9033" s="1" t="s">
        <v>168</v>
      </c>
      <c r="D9033" s="3">
        <f t="shared" si="1410"/>
        <v>7767</v>
      </c>
      <c r="E9033" s="2">
        <f t="shared" si="1412"/>
        <v>42217</v>
      </c>
      <c r="F9033" s="2">
        <f t="shared" si="1411"/>
        <v>44196</v>
      </c>
    </row>
    <row r="9034" spans="1:6" x14ac:dyDescent="0.25">
      <c r="A9034" s="1" t="s">
        <v>187</v>
      </c>
      <c r="B9034" s="1" t="s">
        <v>578</v>
      </c>
      <c r="C9034" s="1" t="s">
        <v>91</v>
      </c>
      <c r="D9034" s="3">
        <f t="shared" si="1410"/>
        <v>7767</v>
      </c>
      <c r="E9034" s="2">
        <f t="shared" si="1412"/>
        <v>42217</v>
      </c>
      <c r="F9034" s="2">
        <f t="shared" si="1411"/>
        <v>44196</v>
      </c>
    </row>
    <row r="9035" spans="1:6" x14ac:dyDescent="0.25">
      <c r="A9035" s="1" t="s">
        <v>187</v>
      </c>
      <c r="B9035" s="1" t="s">
        <v>578</v>
      </c>
      <c r="C9035" s="1" t="s">
        <v>543</v>
      </c>
      <c r="D9035" s="3">
        <f t="shared" si="1410"/>
        <v>7767</v>
      </c>
      <c r="E9035" s="2">
        <f t="shared" si="1412"/>
        <v>42217</v>
      </c>
      <c r="F9035" s="2">
        <f t="shared" si="1411"/>
        <v>44196</v>
      </c>
    </row>
    <row r="9036" spans="1:6" x14ac:dyDescent="0.25">
      <c r="A9036" s="1" t="s">
        <v>187</v>
      </c>
      <c r="B9036" s="1" t="s">
        <v>578</v>
      </c>
      <c r="C9036" s="1" t="s">
        <v>197</v>
      </c>
      <c r="D9036" s="3">
        <f t="shared" si="1410"/>
        <v>7767</v>
      </c>
      <c r="E9036" s="2">
        <f t="shared" si="1412"/>
        <v>42217</v>
      </c>
      <c r="F9036" s="2">
        <f t="shared" si="1411"/>
        <v>44196</v>
      </c>
    </row>
    <row r="9037" spans="1:6" x14ac:dyDescent="0.25">
      <c r="A9037" s="1" t="s">
        <v>187</v>
      </c>
      <c r="B9037" s="1" t="s">
        <v>578</v>
      </c>
      <c r="C9037" s="1" t="s">
        <v>258</v>
      </c>
      <c r="D9037" s="3">
        <f t="shared" si="1410"/>
        <v>7767</v>
      </c>
      <c r="E9037" s="2">
        <f t="shared" si="1412"/>
        <v>42217</v>
      </c>
      <c r="F9037" s="2">
        <f t="shared" si="1411"/>
        <v>44196</v>
      </c>
    </row>
    <row r="9038" spans="1:6" x14ac:dyDescent="0.25">
      <c r="A9038" s="1" t="s">
        <v>187</v>
      </c>
      <c r="B9038" s="1" t="s">
        <v>578</v>
      </c>
      <c r="C9038" s="1" t="s">
        <v>146</v>
      </c>
      <c r="D9038" s="3">
        <f t="shared" si="1410"/>
        <v>7767</v>
      </c>
      <c r="E9038" s="2">
        <f t="shared" si="1412"/>
        <v>42217</v>
      </c>
      <c r="F9038" s="2">
        <f t="shared" si="1411"/>
        <v>44196</v>
      </c>
    </row>
    <row r="9039" spans="1:6" x14ac:dyDescent="0.25">
      <c r="A9039" s="1" t="s">
        <v>187</v>
      </c>
      <c r="B9039" s="1" t="s">
        <v>578</v>
      </c>
      <c r="C9039" s="1" t="s">
        <v>67</v>
      </c>
      <c r="D9039" s="3">
        <f t="shared" si="1410"/>
        <v>7767</v>
      </c>
      <c r="E9039" s="2">
        <f t="shared" si="1412"/>
        <v>42217</v>
      </c>
      <c r="F9039" s="2">
        <f t="shared" si="1411"/>
        <v>44196</v>
      </c>
    </row>
    <row r="9040" spans="1:6" x14ac:dyDescent="0.25">
      <c r="A9040" s="1" t="s">
        <v>187</v>
      </c>
      <c r="B9040" s="1" t="s">
        <v>578</v>
      </c>
      <c r="C9040" s="1" t="s">
        <v>148</v>
      </c>
      <c r="D9040" s="3">
        <f t="shared" si="1410"/>
        <v>7767</v>
      </c>
      <c r="E9040" s="2">
        <f t="shared" si="1412"/>
        <v>42217</v>
      </c>
      <c r="F9040" s="2">
        <f t="shared" si="1411"/>
        <v>44196</v>
      </c>
    </row>
    <row r="9041" spans="1:6" x14ac:dyDescent="0.25">
      <c r="A9041" s="1" t="s">
        <v>187</v>
      </c>
      <c r="B9041" s="1" t="s">
        <v>578</v>
      </c>
      <c r="C9041" s="1" t="s">
        <v>150</v>
      </c>
      <c r="D9041" s="3">
        <f t="shared" si="1410"/>
        <v>7767</v>
      </c>
      <c r="E9041" s="2">
        <f t="shared" si="1412"/>
        <v>42217</v>
      </c>
      <c r="F9041" s="2">
        <f t="shared" si="1411"/>
        <v>44196</v>
      </c>
    </row>
    <row r="9042" spans="1:6" x14ac:dyDescent="0.25">
      <c r="A9042" s="1" t="s">
        <v>187</v>
      </c>
      <c r="B9042" s="1" t="s">
        <v>578</v>
      </c>
      <c r="C9042" s="1" t="s">
        <v>92</v>
      </c>
      <c r="D9042" s="3">
        <f t="shared" si="1410"/>
        <v>7767</v>
      </c>
      <c r="E9042" s="2">
        <f t="shared" si="1412"/>
        <v>42217</v>
      </c>
      <c r="F9042" s="2">
        <f t="shared" si="1411"/>
        <v>44196</v>
      </c>
    </row>
    <row r="9043" spans="1:6" x14ac:dyDescent="0.25">
      <c r="A9043" s="1" t="s">
        <v>187</v>
      </c>
      <c r="B9043" s="1" t="s">
        <v>578</v>
      </c>
      <c r="C9043" s="1" t="s">
        <v>128</v>
      </c>
      <c r="D9043" s="3">
        <f t="shared" si="1410"/>
        <v>7767</v>
      </c>
      <c r="E9043" s="2">
        <f t="shared" si="1412"/>
        <v>42217</v>
      </c>
      <c r="F9043" s="2">
        <f t="shared" si="1411"/>
        <v>44196</v>
      </c>
    </row>
    <row r="9044" spans="1:6" x14ac:dyDescent="0.25">
      <c r="A9044" s="1" t="s">
        <v>187</v>
      </c>
      <c r="B9044" s="1" t="s">
        <v>578</v>
      </c>
      <c r="C9044" s="1" t="s">
        <v>180</v>
      </c>
      <c r="D9044" s="3">
        <f t="shared" si="1410"/>
        <v>7767</v>
      </c>
      <c r="E9044" s="2">
        <f t="shared" si="1412"/>
        <v>42217</v>
      </c>
      <c r="F9044" s="2">
        <f t="shared" si="1411"/>
        <v>44196</v>
      </c>
    </row>
    <row r="9045" spans="1:6" x14ac:dyDescent="0.25">
      <c r="A9045" s="1" t="s">
        <v>187</v>
      </c>
      <c r="B9045" s="1" t="s">
        <v>578</v>
      </c>
      <c r="C9045" s="1" t="s">
        <v>562</v>
      </c>
      <c r="D9045" s="3">
        <f t="shared" si="1410"/>
        <v>7767</v>
      </c>
      <c r="E9045" s="2">
        <f t="shared" si="1412"/>
        <v>42217</v>
      </c>
      <c r="F9045" s="2">
        <f t="shared" si="1411"/>
        <v>44196</v>
      </c>
    </row>
    <row r="9046" spans="1:6" x14ac:dyDescent="0.25">
      <c r="A9046" s="1" t="s">
        <v>187</v>
      </c>
      <c r="B9046" s="1" t="s">
        <v>578</v>
      </c>
      <c r="C9046" s="1" t="s">
        <v>93</v>
      </c>
      <c r="D9046" s="3">
        <f t="shared" si="1410"/>
        <v>7767</v>
      </c>
      <c r="E9046" s="2">
        <f t="shared" si="1412"/>
        <v>42217</v>
      </c>
      <c r="F9046" s="2">
        <f t="shared" si="1411"/>
        <v>44196</v>
      </c>
    </row>
    <row r="9047" spans="1:6" x14ac:dyDescent="0.25">
      <c r="A9047" s="1" t="s">
        <v>187</v>
      </c>
      <c r="B9047" s="1" t="s">
        <v>578</v>
      </c>
      <c r="C9047" s="1" t="s">
        <v>129</v>
      </c>
      <c r="D9047" s="3">
        <f t="shared" si="1410"/>
        <v>7767</v>
      </c>
      <c r="E9047" s="2">
        <f t="shared" si="1412"/>
        <v>42217</v>
      </c>
      <c r="F9047" s="2">
        <f t="shared" si="1411"/>
        <v>44196</v>
      </c>
    </row>
    <row r="9048" spans="1:6" x14ac:dyDescent="0.25">
      <c r="A9048" s="1" t="s">
        <v>187</v>
      </c>
      <c r="B9048" s="1" t="s">
        <v>578</v>
      </c>
      <c r="C9048" s="1" t="s">
        <v>177</v>
      </c>
      <c r="D9048" s="3">
        <f t="shared" si="1410"/>
        <v>7767</v>
      </c>
      <c r="E9048" s="2">
        <f t="shared" si="1412"/>
        <v>42217</v>
      </c>
      <c r="F9048" s="2">
        <f t="shared" si="1411"/>
        <v>44196</v>
      </c>
    </row>
    <row r="9049" spans="1:6" x14ac:dyDescent="0.25">
      <c r="A9049" s="1" t="s">
        <v>187</v>
      </c>
      <c r="B9049" s="1" t="s">
        <v>578</v>
      </c>
      <c r="C9049" s="1" t="s">
        <v>580</v>
      </c>
      <c r="D9049" s="3">
        <f t="shared" si="1410"/>
        <v>7767</v>
      </c>
      <c r="E9049" s="2">
        <f t="shared" si="1412"/>
        <v>42217</v>
      </c>
      <c r="F9049" s="2">
        <f t="shared" si="1411"/>
        <v>44196</v>
      </c>
    </row>
    <row r="9050" spans="1:6" x14ac:dyDescent="0.25">
      <c r="A9050" s="1" t="s">
        <v>187</v>
      </c>
      <c r="B9050" s="1" t="s">
        <v>578</v>
      </c>
      <c r="C9050" s="1" t="s">
        <v>94</v>
      </c>
      <c r="D9050" s="3">
        <f t="shared" si="1410"/>
        <v>7767</v>
      </c>
      <c r="E9050" s="2">
        <f t="shared" si="1412"/>
        <v>42217</v>
      </c>
      <c r="F9050" s="2">
        <f t="shared" si="1411"/>
        <v>44196</v>
      </c>
    </row>
    <row r="9051" spans="1:6" x14ac:dyDescent="0.25">
      <c r="A9051" s="1" t="s">
        <v>187</v>
      </c>
      <c r="B9051" s="1" t="s">
        <v>578</v>
      </c>
      <c r="C9051" s="1" t="s">
        <v>531</v>
      </c>
      <c r="D9051" s="3">
        <f t="shared" si="1410"/>
        <v>7767</v>
      </c>
      <c r="E9051" s="2">
        <f t="shared" si="1412"/>
        <v>42217</v>
      </c>
      <c r="F9051" s="2">
        <f t="shared" si="1411"/>
        <v>44196</v>
      </c>
    </row>
    <row r="9052" spans="1:6" x14ac:dyDescent="0.25">
      <c r="A9052" s="1" t="s">
        <v>187</v>
      </c>
      <c r="B9052" s="1" t="s">
        <v>578</v>
      </c>
      <c r="C9052" s="1" t="s">
        <v>532</v>
      </c>
      <c r="D9052" s="3">
        <f t="shared" si="1410"/>
        <v>7767</v>
      </c>
      <c r="E9052" s="2">
        <f t="shared" si="1412"/>
        <v>42217</v>
      </c>
      <c r="F9052" s="2">
        <f t="shared" si="1411"/>
        <v>44196</v>
      </c>
    </row>
    <row r="9053" spans="1:6" x14ac:dyDescent="0.25">
      <c r="A9053" s="1" t="s">
        <v>187</v>
      </c>
      <c r="B9053" s="1" t="s">
        <v>578</v>
      </c>
      <c r="C9053" s="1" t="s">
        <v>24</v>
      </c>
      <c r="D9053" s="3">
        <f t="shared" si="1410"/>
        <v>7767</v>
      </c>
      <c r="E9053" s="2">
        <f t="shared" si="1412"/>
        <v>42217</v>
      </c>
      <c r="F9053" s="2">
        <f t="shared" ref="F9053:F9085" si="1413">DATEVALUE("31-12-2020")</f>
        <v>44196</v>
      </c>
    </row>
    <row r="9054" spans="1:6" x14ac:dyDescent="0.25">
      <c r="A9054" s="1" t="s">
        <v>187</v>
      </c>
      <c r="B9054" s="1" t="s">
        <v>578</v>
      </c>
      <c r="C9054" s="1" t="s">
        <v>26</v>
      </c>
      <c r="D9054" s="3">
        <f t="shared" si="1410"/>
        <v>7767</v>
      </c>
      <c r="E9054" s="2">
        <f t="shared" si="1412"/>
        <v>42217</v>
      </c>
      <c r="F9054" s="2">
        <f t="shared" si="1413"/>
        <v>44196</v>
      </c>
    </row>
    <row r="9055" spans="1:6" x14ac:dyDescent="0.25">
      <c r="A9055" s="1" t="s">
        <v>187</v>
      </c>
      <c r="B9055" s="1" t="s">
        <v>578</v>
      </c>
      <c r="C9055" s="1" t="s">
        <v>102</v>
      </c>
      <c r="D9055" s="3">
        <f t="shared" si="1410"/>
        <v>7767</v>
      </c>
      <c r="E9055" s="2">
        <f t="shared" si="1412"/>
        <v>42217</v>
      </c>
      <c r="F9055" s="2">
        <f t="shared" si="1413"/>
        <v>44196</v>
      </c>
    </row>
    <row r="9056" spans="1:6" x14ac:dyDescent="0.25">
      <c r="A9056" s="1" t="s">
        <v>187</v>
      </c>
      <c r="B9056" s="1" t="s">
        <v>578</v>
      </c>
      <c r="C9056" s="1" t="s">
        <v>103</v>
      </c>
      <c r="D9056" s="3">
        <f t="shared" si="1410"/>
        <v>7767</v>
      </c>
      <c r="E9056" s="2">
        <f t="shared" si="1412"/>
        <v>42217</v>
      </c>
      <c r="F9056" s="2">
        <f t="shared" si="1413"/>
        <v>44196</v>
      </c>
    </row>
    <row r="9057" spans="1:6" x14ac:dyDescent="0.25">
      <c r="A9057" s="1" t="s">
        <v>187</v>
      </c>
      <c r="B9057" s="1" t="s">
        <v>578</v>
      </c>
      <c r="C9057" s="1" t="s">
        <v>160</v>
      </c>
      <c r="D9057" s="3">
        <f t="shared" si="1410"/>
        <v>7767</v>
      </c>
      <c r="E9057" s="2">
        <f t="shared" ref="E9057:E9085" si="1414">DATEVALUE("1-8-2015")</f>
        <v>42217</v>
      </c>
      <c r="F9057" s="2">
        <f t="shared" si="1413"/>
        <v>44196</v>
      </c>
    </row>
    <row r="9058" spans="1:6" x14ac:dyDescent="0.25">
      <c r="A9058" s="1" t="s">
        <v>187</v>
      </c>
      <c r="B9058" s="1" t="s">
        <v>578</v>
      </c>
      <c r="C9058" s="1" t="s">
        <v>34</v>
      </c>
      <c r="D9058" s="3">
        <f t="shared" si="1410"/>
        <v>7767</v>
      </c>
      <c r="E9058" s="2">
        <f t="shared" si="1414"/>
        <v>42217</v>
      </c>
      <c r="F9058" s="2">
        <f t="shared" si="1413"/>
        <v>44196</v>
      </c>
    </row>
    <row r="9059" spans="1:6" x14ac:dyDescent="0.25">
      <c r="A9059" s="1" t="s">
        <v>187</v>
      </c>
      <c r="B9059" s="1" t="s">
        <v>578</v>
      </c>
      <c r="C9059" s="1" t="s">
        <v>310</v>
      </c>
      <c r="D9059" s="3">
        <f t="shared" si="1410"/>
        <v>7767</v>
      </c>
      <c r="E9059" s="2">
        <f t="shared" si="1414"/>
        <v>42217</v>
      </c>
      <c r="F9059" s="2">
        <f t="shared" si="1413"/>
        <v>44196</v>
      </c>
    </row>
    <row r="9060" spans="1:6" x14ac:dyDescent="0.25">
      <c r="A9060" s="1" t="s">
        <v>187</v>
      </c>
      <c r="B9060" s="1" t="s">
        <v>578</v>
      </c>
      <c r="C9060" s="1" t="s">
        <v>164</v>
      </c>
      <c r="D9060" s="3">
        <f t="shared" si="1410"/>
        <v>7767</v>
      </c>
      <c r="E9060" s="2">
        <f t="shared" si="1414"/>
        <v>42217</v>
      </c>
      <c r="F9060" s="2">
        <f t="shared" si="1413"/>
        <v>44196</v>
      </c>
    </row>
    <row r="9061" spans="1:6" x14ac:dyDescent="0.25">
      <c r="A9061" s="1" t="s">
        <v>187</v>
      </c>
      <c r="B9061" s="1" t="s">
        <v>578</v>
      </c>
      <c r="C9061" s="1" t="s">
        <v>133</v>
      </c>
      <c r="D9061" s="3">
        <f t="shared" si="1410"/>
        <v>7767</v>
      </c>
      <c r="E9061" s="2">
        <f t="shared" si="1414"/>
        <v>42217</v>
      </c>
      <c r="F9061" s="2">
        <f t="shared" si="1413"/>
        <v>44196</v>
      </c>
    </row>
    <row r="9062" spans="1:6" x14ac:dyDescent="0.25">
      <c r="A9062" s="1" t="s">
        <v>187</v>
      </c>
      <c r="B9062" s="1" t="s">
        <v>578</v>
      </c>
      <c r="C9062" s="1" t="s">
        <v>134</v>
      </c>
      <c r="D9062" s="3">
        <f t="shared" si="1410"/>
        <v>7767</v>
      </c>
      <c r="E9062" s="2">
        <f t="shared" si="1414"/>
        <v>42217</v>
      </c>
      <c r="F9062" s="2">
        <f t="shared" si="1413"/>
        <v>44196</v>
      </c>
    </row>
    <row r="9063" spans="1:6" x14ac:dyDescent="0.25">
      <c r="A9063" s="1" t="s">
        <v>187</v>
      </c>
      <c r="B9063" s="1" t="s">
        <v>578</v>
      </c>
      <c r="C9063" s="1" t="s">
        <v>169</v>
      </c>
      <c r="D9063" s="3">
        <f t="shared" si="1410"/>
        <v>7767</v>
      </c>
      <c r="E9063" s="2">
        <f t="shared" si="1414"/>
        <v>42217</v>
      </c>
      <c r="F9063" s="2">
        <f t="shared" si="1413"/>
        <v>44196</v>
      </c>
    </row>
    <row r="9064" spans="1:6" x14ac:dyDescent="0.25">
      <c r="A9064" s="1" t="s">
        <v>187</v>
      </c>
      <c r="B9064" s="1" t="s">
        <v>578</v>
      </c>
      <c r="C9064" s="1" t="s">
        <v>170</v>
      </c>
      <c r="D9064" s="3">
        <f t="shared" si="1410"/>
        <v>7767</v>
      </c>
      <c r="E9064" s="2">
        <f t="shared" si="1414"/>
        <v>42217</v>
      </c>
      <c r="F9064" s="2">
        <f t="shared" si="1413"/>
        <v>44196</v>
      </c>
    </row>
    <row r="9065" spans="1:6" x14ac:dyDescent="0.25">
      <c r="A9065" s="1" t="s">
        <v>187</v>
      </c>
      <c r="B9065" s="1" t="s">
        <v>589</v>
      </c>
      <c r="C9065" s="1" t="s">
        <v>8</v>
      </c>
      <c r="D9065" s="3">
        <f t="shared" ref="D9065:D9085" si="1415">VALUE("7789")</f>
        <v>7789</v>
      </c>
      <c r="E9065" s="2">
        <f t="shared" si="1414"/>
        <v>42217</v>
      </c>
      <c r="F9065" s="2">
        <f t="shared" si="1413"/>
        <v>44196</v>
      </c>
    </row>
    <row r="9066" spans="1:6" x14ac:dyDescent="0.25">
      <c r="A9066" s="1" t="s">
        <v>187</v>
      </c>
      <c r="B9066" s="1" t="s">
        <v>589</v>
      </c>
      <c r="C9066" s="1" t="s">
        <v>14</v>
      </c>
      <c r="D9066" s="3">
        <f t="shared" si="1415"/>
        <v>7789</v>
      </c>
      <c r="E9066" s="2">
        <f t="shared" si="1414"/>
        <v>42217</v>
      </c>
      <c r="F9066" s="2">
        <f t="shared" si="1413"/>
        <v>44196</v>
      </c>
    </row>
    <row r="9067" spans="1:6" x14ac:dyDescent="0.25">
      <c r="A9067" s="1" t="s">
        <v>187</v>
      </c>
      <c r="B9067" s="1" t="s">
        <v>589</v>
      </c>
      <c r="C9067" s="1" t="s">
        <v>15</v>
      </c>
      <c r="D9067" s="3">
        <f t="shared" si="1415"/>
        <v>7789</v>
      </c>
      <c r="E9067" s="2">
        <f t="shared" si="1414"/>
        <v>42217</v>
      </c>
      <c r="F9067" s="2">
        <f t="shared" si="1413"/>
        <v>44196</v>
      </c>
    </row>
    <row r="9068" spans="1:6" x14ac:dyDescent="0.25">
      <c r="A9068" s="1" t="s">
        <v>187</v>
      </c>
      <c r="B9068" s="1" t="s">
        <v>589</v>
      </c>
      <c r="C9068" s="1" t="s">
        <v>89</v>
      </c>
      <c r="D9068" s="3">
        <f t="shared" si="1415"/>
        <v>7789</v>
      </c>
      <c r="E9068" s="2">
        <f t="shared" si="1414"/>
        <v>42217</v>
      </c>
      <c r="F9068" s="2">
        <f t="shared" si="1413"/>
        <v>44196</v>
      </c>
    </row>
    <row r="9069" spans="1:6" x14ac:dyDescent="0.25">
      <c r="A9069" s="1" t="s">
        <v>187</v>
      </c>
      <c r="B9069" s="1" t="s">
        <v>589</v>
      </c>
      <c r="C9069" s="1" t="s">
        <v>17</v>
      </c>
      <c r="D9069" s="3">
        <f t="shared" si="1415"/>
        <v>7789</v>
      </c>
      <c r="E9069" s="2">
        <f t="shared" si="1414"/>
        <v>42217</v>
      </c>
      <c r="F9069" s="2">
        <f t="shared" si="1413"/>
        <v>44196</v>
      </c>
    </row>
    <row r="9070" spans="1:6" x14ac:dyDescent="0.25">
      <c r="A9070" s="1" t="s">
        <v>187</v>
      </c>
      <c r="B9070" s="1" t="s">
        <v>589</v>
      </c>
      <c r="C9070" s="1" t="s">
        <v>91</v>
      </c>
      <c r="D9070" s="3">
        <f t="shared" si="1415"/>
        <v>7789</v>
      </c>
      <c r="E9070" s="2">
        <f t="shared" si="1414"/>
        <v>42217</v>
      </c>
      <c r="F9070" s="2">
        <f t="shared" si="1413"/>
        <v>44196</v>
      </c>
    </row>
    <row r="9071" spans="1:6" x14ac:dyDescent="0.25">
      <c r="A9071" s="1" t="s">
        <v>187</v>
      </c>
      <c r="B9071" s="1" t="s">
        <v>589</v>
      </c>
      <c r="C9071" s="1" t="s">
        <v>197</v>
      </c>
      <c r="D9071" s="3">
        <f t="shared" si="1415"/>
        <v>7789</v>
      </c>
      <c r="E9071" s="2">
        <f t="shared" si="1414"/>
        <v>42217</v>
      </c>
      <c r="F9071" s="2">
        <f t="shared" si="1413"/>
        <v>44196</v>
      </c>
    </row>
    <row r="9072" spans="1:6" x14ac:dyDescent="0.25">
      <c r="A9072" s="1" t="s">
        <v>187</v>
      </c>
      <c r="B9072" s="1" t="s">
        <v>589</v>
      </c>
      <c r="C9072" s="1" t="s">
        <v>22</v>
      </c>
      <c r="D9072" s="3">
        <f t="shared" si="1415"/>
        <v>7789</v>
      </c>
      <c r="E9072" s="2">
        <f t="shared" si="1414"/>
        <v>42217</v>
      </c>
      <c r="F9072" s="2">
        <f t="shared" si="1413"/>
        <v>44196</v>
      </c>
    </row>
    <row r="9073" spans="1:6" x14ac:dyDescent="0.25">
      <c r="A9073" s="1" t="s">
        <v>187</v>
      </c>
      <c r="B9073" s="1" t="s">
        <v>589</v>
      </c>
      <c r="C9073" s="1" t="s">
        <v>146</v>
      </c>
      <c r="D9073" s="3">
        <f t="shared" si="1415"/>
        <v>7789</v>
      </c>
      <c r="E9073" s="2">
        <f t="shared" si="1414"/>
        <v>42217</v>
      </c>
      <c r="F9073" s="2">
        <f t="shared" si="1413"/>
        <v>44196</v>
      </c>
    </row>
    <row r="9074" spans="1:6" x14ac:dyDescent="0.25">
      <c r="A9074" s="1" t="s">
        <v>187</v>
      </c>
      <c r="B9074" s="1" t="s">
        <v>589</v>
      </c>
      <c r="C9074" s="1" t="s">
        <v>148</v>
      </c>
      <c r="D9074" s="3">
        <f t="shared" si="1415"/>
        <v>7789</v>
      </c>
      <c r="E9074" s="2">
        <f t="shared" si="1414"/>
        <v>42217</v>
      </c>
      <c r="F9074" s="2">
        <f t="shared" si="1413"/>
        <v>44196</v>
      </c>
    </row>
    <row r="9075" spans="1:6" x14ac:dyDescent="0.25">
      <c r="A9075" s="1" t="s">
        <v>187</v>
      </c>
      <c r="B9075" s="1" t="s">
        <v>589</v>
      </c>
      <c r="C9075" s="1" t="s">
        <v>150</v>
      </c>
      <c r="D9075" s="3">
        <f t="shared" si="1415"/>
        <v>7789</v>
      </c>
      <c r="E9075" s="2">
        <f t="shared" si="1414"/>
        <v>42217</v>
      </c>
      <c r="F9075" s="2">
        <f t="shared" si="1413"/>
        <v>44196</v>
      </c>
    </row>
    <row r="9076" spans="1:6" x14ac:dyDescent="0.25">
      <c r="A9076" s="1" t="s">
        <v>187</v>
      </c>
      <c r="B9076" s="1" t="s">
        <v>589</v>
      </c>
      <c r="C9076" s="1" t="s">
        <v>48</v>
      </c>
      <c r="D9076" s="3">
        <f t="shared" si="1415"/>
        <v>7789</v>
      </c>
      <c r="E9076" s="2">
        <f t="shared" si="1414"/>
        <v>42217</v>
      </c>
      <c r="F9076" s="2">
        <f t="shared" si="1413"/>
        <v>44196</v>
      </c>
    </row>
    <row r="9077" spans="1:6" x14ac:dyDescent="0.25">
      <c r="A9077" s="1" t="s">
        <v>187</v>
      </c>
      <c r="B9077" s="1" t="s">
        <v>589</v>
      </c>
      <c r="C9077" s="1" t="s">
        <v>94</v>
      </c>
      <c r="D9077" s="3">
        <f t="shared" si="1415"/>
        <v>7789</v>
      </c>
      <c r="E9077" s="2">
        <f t="shared" si="1414"/>
        <v>42217</v>
      </c>
      <c r="F9077" s="2">
        <f t="shared" si="1413"/>
        <v>44196</v>
      </c>
    </row>
    <row r="9078" spans="1:6" x14ac:dyDescent="0.25">
      <c r="A9078" s="1" t="s">
        <v>187</v>
      </c>
      <c r="B9078" s="1" t="s">
        <v>589</v>
      </c>
      <c r="C9078" s="1" t="s">
        <v>24</v>
      </c>
      <c r="D9078" s="3">
        <f t="shared" si="1415"/>
        <v>7789</v>
      </c>
      <c r="E9078" s="2">
        <f t="shared" si="1414"/>
        <v>42217</v>
      </c>
      <c r="F9078" s="2">
        <f t="shared" si="1413"/>
        <v>44196</v>
      </c>
    </row>
    <row r="9079" spans="1:6" x14ac:dyDescent="0.25">
      <c r="A9079" s="1" t="s">
        <v>187</v>
      </c>
      <c r="B9079" s="1" t="s">
        <v>589</v>
      </c>
      <c r="C9079" s="1" t="s">
        <v>102</v>
      </c>
      <c r="D9079" s="3">
        <f t="shared" si="1415"/>
        <v>7789</v>
      </c>
      <c r="E9079" s="2">
        <f t="shared" si="1414"/>
        <v>42217</v>
      </c>
      <c r="F9079" s="2">
        <f t="shared" si="1413"/>
        <v>44196</v>
      </c>
    </row>
    <row r="9080" spans="1:6" x14ac:dyDescent="0.25">
      <c r="A9080" s="1" t="s">
        <v>187</v>
      </c>
      <c r="B9080" s="1" t="s">
        <v>589</v>
      </c>
      <c r="C9080" s="1" t="s">
        <v>103</v>
      </c>
      <c r="D9080" s="3">
        <f t="shared" si="1415"/>
        <v>7789</v>
      </c>
      <c r="E9080" s="2">
        <f t="shared" si="1414"/>
        <v>42217</v>
      </c>
      <c r="F9080" s="2">
        <f t="shared" si="1413"/>
        <v>44196</v>
      </c>
    </row>
    <row r="9081" spans="1:6" x14ac:dyDescent="0.25">
      <c r="A9081" s="1" t="s">
        <v>187</v>
      </c>
      <c r="B9081" s="1" t="s">
        <v>589</v>
      </c>
      <c r="C9081" s="1" t="s">
        <v>73</v>
      </c>
      <c r="D9081" s="3">
        <f t="shared" si="1415"/>
        <v>7789</v>
      </c>
      <c r="E9081" s="2">
        <f t="shared" si="1414"/>
        <v>42217</v>
      </c>
      <c r="F9081" s="2">
        <f t="shared" si="1413"/>
        <v>44196</v>
      </c>
    </row>
    <row r="9082" spans="1:6" x14ac:dyDescent="0.25">
      <c r="A9082" s="1" t="s">
        <v>187</v>
      </c>
      <c r="B9082" s="1" t="s">
        <v>589</v>
      </c>
      <c r="C9082" s="1" t="s">
        <v>160</v>
      </c>
      <c r="D9082" s="3">
        <f t="shared" si="1415"/>
        <v>7789</v>
      </c>
      <c r="E9082" s="2">
        <f t="shared" si="1414"/>
        <v>42217</v>
      </c>
      <c r="F9082" s="2">
        <f t="shared" si="1413"/>
        <v>44196</v>
      </c>
    </row>
    <row r="9083" spans="1:6" x14ac:dyDescent="0.25">
      <c r="A9083" s="1" t="s">
        <v>187</v>
      </c>
      <c r="B9083" s="1" t="s">
        <v>589</v>
      </c>
      <c r="C9083" s="1" t="s">
        <v>53</v>
      </c>
      <c r="D9083" s="3">
        <f t="shared" si="1415"/>
        <v>7789</v>
      </c>
      <c r="E9083" s="2">
        <f t="shared" si="1414"/>
        <v>42217</v>
      </c>
      <c r="F9083" s="2">
        <f t="shared" si="1413"/>
        <v>44196</v>
      </c>
    </row>
    <row r="9084" spans="1:6" x14ac:dyDescent="0.25">
      <c r="A9084" s="1" t="s">
        <v>187</v>
      </c>
      <c r="B9084" s="1" t="s">
        <v>589</v>
      </c>
      <c r="C9084" s="1" t="s">
        <v>34</v>
      </c>
      <c r="D9084" s="3">
        <f t="shared" si="1415"/>
        <v>7789</v>
      </c>
      <c r="E9084" s="2">
        <f t="shared" si="1414"/>
        <v>42217</v>
      </c>
      <c r="F9084" s="2">
        <f t="shared" si="1413"/>
        <v>44196</v>
      </c>
    </row>
    <row r="9085" spans="1:6" x14ac:dyDescent="0.25">
      <c r="A9085" s="1" t="s">
        <v>187</v>
      </c>
      <c r="B9085" s="1" t="s">
        <v>589</v>
      </c>
      <c r="C9085" s="1" t="s">
        <v>55</v>
      </c>
      <c r="D9085" s="3">
        <f t="shared" si="1415"/>
        <v>7789</v>
      </c>
      <c r="E9085" s="2">
        <f t="shared" si="1414"/>
        <v>42217</v>
      </c>
      <c r="F9085" s="2">
        <f t="shared" si="1413"/>
        <v>44196</v>
      </c>
    </row>
    <row r="9086" spans="1:6" x14ac:dyDescent="0.25">
      <c r="A9086" s="1" t="s">
        <v>187</v>
      </c>
      <c r="B9086" s="1" t="s">
        <v>563</v>
      </c>
      <c r="C9086" s="1" t="s">
        <v>564</v>
      </c>
      <c r="D9086" s="3">
        <f t="shared" ref="D9086:D9120" si="1416">VALUE("7765")</f>
        <v>7765</v>
      </c>
      <c r="E9086" s="2">
        <f t="shared" ref="E9086:E9120" si="1417">DATEVALUE("1-7-2015")</f>
        <v>42186</v>
      </c>
      <c r="F9086" s="2">
        <f t="shared" ref="F9086:F9120" si="1418">DATEVALUE("28-2-2025")</f>
        <v>45716</v>
      </c>
    </row>
    <row r="9087" spans="1:6" x14ac:dyDescent="0.25">
      <c r="A9087" s="1" t="s">
        <v>187</v>
      </c>
      <c r="B9087" s="1" t="s">
        <v>563</v>
      </c>
      <c r="C9087" s="1" t="s">
        <v>565</v>
      </c>
      <c r="D9087" s="3">
        <f t="shared" si="1416"/>
        <v>7765</v>
      </c>
      <c r="E9087" s="2">
        <f t="shared" si="1417"/>
        <v>42186</v>
      </c>
      <c r="F9087" s="2">
        <f t="shared" si="1418"/>
        <v>45716</v>
      </c>
    </row>
    <row r="9088" spans="1:6" x14ac:dyDescent="0.25">
      <c r="A9088" s="1" t="s">
        <v>187</v>
      </c>
      <c r="B9088" s="1" t="s">
        <v>563</v>
      </c>
      <c r="C9088" s="1" t="s">
        <v>566</v>
      </c>
      <c r="D9088" s="3">
        <f t="shared" si="1416"/>
        <v>7765</v>
      </c>
      <c r="E9088" s="2">
        <f t="shared" si="1417"/>
        <v>42186</v>
      </c>
      <c r="F9088" s="2">
        <f t="shared" si="1418"/>
        <v>45716</v>
      </c>
    </row>
    <row r="9089" spans="1:6" x14ac:dyDescent="0.25">
      <c r="A9089" s="1" t="s">
        <v>187</v>
      </c>
      <c r="B9089" s="1" t="s">
        <v>563</v>
      </c>
      <c r="C9089" s="1" t="s">
        <v>276</v>
      </c>
      <c r="D9089" s="3">
        <f t="shared" si="1416"/>
        <v>7765</v>
      </c>
      <c r="E9089" s="2">
        <f t="shared" si="1417"/>
        <v>42186</v>
      </c>
      <c r="F9089" s="2">
        <f t="shared" si="1418"/>
        <v>45716</v>
      </c>
    </row>
    <row r="9090" spans="1:6" x14ac:dyDescent="0.25">
      <c r="A9090" s="1" t="s">
        <v>187</v>
      </c>
      <c r="B9090" s="1" t="s">
        <v>563</v>
      </c>
      <c r="C9090" s="1" t="s">
        <v>85</v>
      </c>
      <c r="D9090" s="3">
        <f t="shared" si="1416"/>
        <v>7765</v>
      </c>
      <c r="E9090" s="2">
        <f t="shared" si="1417"/>
        <v>42186</v>
      </c>
      <c r="F9090" s="2">
        <f t="shared" si="1418"/>
        <v>45716</v>
      </c>
    </row>
    <row r="9091" spans="1:6" x14ac:dyDescent="0.25">
      <c r="A9091" s="1" t="s">
        <v>187</v>
      </c>
      <c r="B9091" s="1" t="s">
        <v>563</v>
      </c>
      <c r="C9091" s="1" t="s">
        <v>84</v>
      </c>
      <c r="D9091" s="3">
        <f t="shared" si="1416"/>
        <v>7765</v>
      </c>
      <c r="E9091" s="2">
        <f t="shared" si="1417"/>
        <v>42186</v>
      </c>
      <c r="F9091" s="2">
        <f t="shared" si="1418"/>
        <v>45716</v>
      </c>
    </row>
    <row r="9092" spans="1:6" x14ac:dyDescent="0.25">
      <c r="A9092" s="1" t="s">
        <v>187</v>
      </c>
      <c r="B9092" s="1" t="s">
        <v>563</v>
      </c>
      <c r="C9092" s="1" t="s">
        <v>14</v>
      </c>
      <c r="D9092" s="3">
        <f t="shared" si="1416"/>
        <v>7765</v>
      </c>
      <c r="E9092" s="2">
        <f t="shared" si="1417"/>
        <v>42186</v>
      </c>
      <c r="F9092" s="2">
        <f t="shared" si="1418"/>
        <v>45716</v>
      </c>
    </row>
    <row r="9093" spans="1:6" x14ac:dyDescent="0.25">
      <c r="A9093" s="1" t="s">
        <v>187</v>
      </c>
      <c r="B9093" s="1" t="s">
        <v>563</v>
      </c>
      <c r="C9093" s="1" t="s">
        <v>89</v>
      </c>
      <c r="D9093" s="3">
        <f t="shared" si="1416"/>
        <v>7765</v>
      </c>
      <c r="E9093" s="2">
        <f t="shared" si="1417"/>
        <v>42186</v>
      </c>
      <c r="F9093" s="2">
        <f t="shared" si="1418"/>
        <v>45716</v>
      </c>
    </row>
    <row r="9094" spans="1:6" x14ac:dyDescent="0.25">
      <c r="A9094" s="1" t="s">
        <v>187</v>
      </c>
      <c r="B9094" s="1" t="s">
        <v>563</v>
      </c>
      <c r="C9094" s="1" t="s">
        <v>17</v>
      </c>
      <c r="D9094" s="3">
        <f t="shared" si="1416"/>
        <v>7765</v>
      </c>
      <c r="E9094" s="2">
        <f t="shared" si="1417"/>
        <v>42186</v>
      </c>
      <c r="F9094" s="2">
        <f t="shared" si="1418"/>
        <v>45716</v>
      </c>
    </row>
    <row r="9095" spans="1:6" x14ac:dyDescent="0.25">
      <c r="A9095" s="1" t="s">
        <v>187</v>
      </c>
      <c r="B9095" s="1" t="s">
        <v>563</v>
      </c>
      <c r="C9095" s="1" t="s">
        <v>127</v>
      </c>
      <c r="D9095" s="3">
        <f t="shared" si="1416"/>
        <v>7765</v>
      </c>
      <c r="E9095" s="2">
        <f t="shared" si="1417"/>
        <v>42186</v>
      </c>
      <c r="F9095" s="2">
        <f t="shared" si="1418"/>
        <v>45716</v>
      </c>
    </row>
    <row r="9096" spans="1:6" x14ac:dyDescent="0.25">
      <c r="A9096" s="1" t="s">
        <v>187</v>
      </c>
      <c r="B9096" s="1" t="s">
        <v>563</v>
      </c>
      <c r="C9096" s="1" t="s">
        <v>91</v>
      </c>
      <c r="D9096" s="3">
        <f t="shared" si="1416"/>
        <v>7765</v>
      </c>
      <c r="E9096" s="2">
        <f t="shared" si="1417"/>
        <v>42186</v>
      </c>
      <c r="F9096" s="2">
        <f t="shared" si="1418"/>
        <v>45716</v>
      </c>
    </row>
    <row r="9097" spans="1:6" x14ac:dyDescent="0.25">
      <c r="A9097" s="1" t="s">
        <v>187</v>
      </c>
      <c r="B9097" s="1" t="s">
        <v>563</v>
      </c>
      <c r="C9097" s="1" t="s">
        <v>22</v>
      </c>
      <c r="D9097" s="3">
        <f t="shared" si="1416"/>
        <v>7765</v>
      </c>
      <c r="E9097" s="2">
        <f t="shared" si="1417"/>
        <v>42186</v>
      </c>
      <c r="F9097" s="2">
        <f t="shared" si="1418"/>
        <v>45716</v>
      </c>
    </row>
    <row r="9098" spans="1:6" x14ac:dyDescent="0.25">
      <c r="A9098" s="1" t="s">
        <v>187</v>
      </c>
      <c r="B9098" s="1" t="s">
        <v>563</v>
      </c>
      <c r="C9098" s="1" t="s">
        <v>92</v>
      </c>
      <c r="D9098" s="3">
        <f t="shared" si="1416"/>
        <v>7765</v>
      </c>
      <c r="E9098" s="2">
        <f t="shared" si="1417"/>
        <v>42186</v>
      </c>
      <c r="F9098" s="2">
        <f t="shared" si="1418"/>
        <v>45716</v>
      </c>
    </row>
    <row r="9099" spans="1:6" x14ac:dyDescent="0.25">
      <c r="A9099" s="1" t="s">
        <v>187</v>
      </c>
      <c r="B9099" s="1" t="s">
        <v>563</v>
      </c>
      <c r="C9099" s="1" t="s">
        <v>128</v>
      </c>
      <c r="D9099" s="3">
        <f t="shared" si="1416"/>
        <v>7765</v>
      </c>
      <c r="E9099" s="2">
        <f t="shared" si="1417"/>
        <v>42186</v>
      </c>
      <c r="F9099" s="2">
        <f t="shared" si="1418"/>
        <v>45716</v>
      </c>
    </row>
    <row r="9100" spans="1:6" x14ac:dyDescent="0.25">
      <c r="A9100" s="1" t="s">
        <v>187</v>
      </c>
      <c r="B9100" s="1" t="s">
        <v>563</v>
      </c>
      <c r="C9100" s="1" t="s">
        <v>180</v>
      </c>
      <c r="D9100" s="3">
        <f t="shared" si="1416"/>
        <v>7765</v>
      </c>
      <c r="E9100" s="2">
        <f t="shared" si="1417"/>
        <v>42186</v>
      </c>
      <c r="F9100" s="2">
        <f t="shared" si="1418"/>
        <v>45716</v>
      </c>
    </row>
    <row r="9101" spans="1:6" x14ac:dyDescent="0.25">
      <c r="A9101" s="1" t="s">
        <v>187</v>
      </c>
      <c r="B9101" s="1" t="s">
        <v>563</v>
      </c>
      <c r="C9101" s="1" t="s">
        <v>371</v>
      </c>
      <c r="D9101" s="3">
        <f t="shared" si="1416"/>
        <v>7765</v>
      </c>
      <c r="E9101" s="2">
        <f t="shared" si="1417"/>
        <v>42186</v>
      </c>
      <c r="F9101" s="2">
        <f t="shared" si="1418"/>
        <v>45716</v>
      </c>
    </row>
    <row r="9102" spans="1:6" x14ac:dyDescent="0.25">
      <c r="A9102" s="1" t="s">
        <v>187</v>
      </c>
      <c r="B9102" s="1" t="s">
        <v>563</v>
      </c>
      <c r="C9102" s="1" t="s">
        <v>93</v>
      </c>
      <c r="D9102" s="3">
        <f t="shared" si="1416"/>
        <v>7765</v>
      </c>
      <c r="E9102" s="2">
        <f t="shared" si="1417"/>
        <v>42186</v>
      </c>
      <c r="F9102" s="2">
        <f t="shared" si="1418"/>
        <v>45716</v>
      </c>
    </row>
    <row r="9103" spans="1:6" x14ac:dyDescent="0.25">
      <c r="A9103" s="1" t="s">
        <v>187</v>
      </c>
      <c r="B9103" s="1" t="s">
        <v>563</v>
      </c>
      <c r="C9103" s="1" t="s">
        <v>129</v>
      </c>
      <c r="D9103" s="3">
        <f t="shared" si="1416"/>
        <v>7765</v>
      </c>
      <c r="E9103" s="2">
        <f t="shared" si="1417"/>
        <v>42186</v>
      </c>
      <c r="F9103" s="2">
        <f t="shared" si="1418"/>
        <v>45716</v>
      </c>
    </row>
    <row r="9104" spans="1:6" x14ac:dyDescent="0.25">
      <c r="A9104" s="1" t="s">
        <v>187</v>
      </c>
      <c r="B9104" s="1" t="s">
        <v>563</v>
      </c>
      <c r="C9104" s="1" t="s">
        <v>177</v>
      </c>
      <c r="D9104" s="3">
        <f t="shared" si="1416"/>
        <v>7765</v>
      </c>
      <c r="E9104" s="2">
        <f t="shared" si="1417"/>
        <v>42186</v>
      </c>
      <c r="F9104" s="2">
        <f t="shared" si="1418"/>
        <v>45716</v>
      </c>
    </row>
    <row r="9105" spans="1:6" x14ac:dyDescent="0.25">
      <c r="A9105" s="1" t="s">
        <v>187</v>
      </c>
      <c r="B9105" s="1" t="s">
        <v>563</v>
      </c>
      <c r="C9105" s="1" t="s">
        <v>181</v>
      </c>
      <c r="D9105" s="3">
        <f t="shared" si="1416"/>
        <v>7765</v>
      </c>
      <c r="E9105" s="2">
        <f t="shared" si="1417"/>
        <v>42186</v>
      </c>
      <c r="F9105" s="2">
        <f t="shared" si="1418"/>
        <v>45716</v>
      </c>
    </row>
    <row r="9106" spans="1:6" x14ac:dyDescent="0.25">
      <c r="A9106" s="1" t="s">
        <v>187</v>
      </c>
      <c r="B9106" s="1" t="s">
        <v>563</v>
      </c>
      <c r="C9106" s="1" t="s">
        <v>130</v>
      </c>
      <c r="D9106" s="3">
        <f t="shared" si="1416"/>
        <v>7765</v>
      </c>
      <c r="E9106" s="2">
        <f t="shared" si="1417"/>
        <v>42186</v>
      </c>
      <c r="F9106" s="2">
        <f t="shared" si="1418"/>
        <v>45716</v>
      </c>
    </row>
    <row r="9107" spans="1:6" x14ac:dyDescent="0.25">
      <c r="A9107" s="1" t="s">
        <v>187</v>
      </c>
      <c r="B9107" s="1" t="s">
        <v>563</v>
      </c>
      <c r="C9107" s="1" t="s">
        <v>567</v>
      </c>
      <c r="D9107" s="3">
        <f t="shared" si="1416"/>
        <v>7765</v>
      </c>
      <c r="E9107" s="2">
        <f t="shared" si="1417"/>
        <v>42186</v>
      </c>
      <c r="F9107" s="2">
        <f t="shared" si="1418"/>
        <v>45716</v>
      </c>
    </row>
    <row r="9108" spans="1:6" x14ac:dyDescent="0.25">
      <c r="A9108" s="1" t="s">
        <v>187</v>
      </c>
      <c r="B9108" s="1" t="s">
        <v>563</v>
      </c>
      <c r="C9108" s="1" t="s">
        <v>568</v>
      </c>
      <c r="D9108" s="3">
        <f t="shared" si="1416"/>
        <v>7765</v>
      </c>
      <c r="E9108" s="2">
        <f t="shared" si="1417"/>
        <v>42186</v>
      </c>
      <c r="F9108" s="2">
        <f t="shared" si="1418"/>
        <v>45716</v>
      </c>
    </row>
    <row r="9109" spans="1:6" x14ac:dyDescent="0.25">
      <c r="A9109" s="1" t="s">
        <v>187</v>
      </c>
      <c r="B9109" s="1" t="s">
        <v>563</v>
      </c>
      <c r="C9109" s="1" t="s">
        <v>569</v>
      </c>
      <c r="D9109" s="3">
        <f t="shared" si="1416"/>
        <v>7765</v>
      </c>
      <c r="E9109" s="2">
        <f t="shared" si="1417"/>
        <v>42186</v>
      </c>
      <c r="F9109" s="2">
        <f t="shared" si="1418"/>
        <v>45716</v>
      </c>
    </row>
    <row r="9110" spans="1:6" x14ac:dyDescent="0.25">
      <c r="A9110" s="1" t="s">
        <v>187</v>
      </c>
      <c r="B9110" s="1" t="s">
        <v>563</v>
      </c>
      <c r="C9110" s="1" t="s">
        <v>570</v>
      </c>
      <c r="D9110" s="3">
        <f t="shared" si="1416"/>
        <v>7765</v>
      </c>
      <c r="E9110" s="2">
        <f t="shared" si="1417"/>
        <v>42186</v>
      </c>
      <c r="F9110" s="2">
        <f t="shared" si="1418"/>
        <v>45716</v>
      </c>
    </row>
    <row r="9111" spans="1:6" x14ac:dyDescent="0.25">
      <c r="A9111" s="1" t="s">
        <v>187</v>
      </c>
      <c r="B9111" s="1" t="s">
        <v>563</v>
      </c>
      <c r="C9111" s="1" t="s">
        <v>571</v>
      </c>
      <c r="D9111" s="3">
        <f t="shared" si="1416"/>
        <v>7765</v>
      </c>
      <c r="E9111" s="2">
        <f t="shared" si="1417"/>
        <v>42186</v>
      </c>
      <c r="F9111" s="2">
        <f t="shared" si="1418"/>
        <v>45716</v>
      </c>
    </row>
    <row r="9112" spans="1:6" x14ac:dyDescent="0.25">
      <c r="A9112" s="1" t="s">
        <v>187</v>
      </c>
      <c r="B9112" s="1" t="s">
        <v>563</v>
      </c>
      <c r="C9112" s="1" t="s">
        <v>572</v>
      </c>
      <c r="D9112" s="3">
        <f t="shared" si="1416"/>
        <v>7765</v>
      </c>
      <c r="E9112" s="2">
        <f t="shared" si="1417"/>
        <v>42186</v>
      </c>
      <c r="F9112" s="2">
        <f t="shared" si="1418"/>
        <v>45716</v>
      </c>
    </row>
    <row r="9113" spans="1:6" x14ac:dyDescent="0.25">
      <c r="A9113" s="1" t="s">
        <v>187</v>
      </c>
      <c r="B9113" s="1" t="s">
        <v>563</v>
      </c>
      <c r="C9113" s="1" t="s">
        <v>573</v>
      </c>
      <c r="D9113" s="3">
        <f t="shared" si="1416"/>
        <v>7765</v>
      </c>
      <c r="E9113" s="2">
        <f t="shared" si="1417"/>
        <v>42186</v>
      </c>
      <c r="F9113" s="2">
        <f t="shared" si="1418"/>
        <v>45716</v>
      </c>
    </row>
    <row r="9114" spans="1:6" x14ac:dyDescent="0.25">
      <c r="A9114" s="1" t="s">
        <v>187</v>
      </c>
      <c r="B9114" s="1" t="s">
        <v>563</v>
      </c>
      <c r="C9114" s="1" t="s">
        <v>24</v>
      </c>
      <c r="D9114" s="3">
        <f t="shared" si="1416"/>
        <v>7765</v>
      </c>
      <c r="E9114" s="2">
        <f t="shared" si="1417"/>
        <v>42186</v>
      </c>
      <c r="F9114" s="2">
        <f t="shared" si="1418"/>
        <v>45716</v>
      </c>
    </row>
    <row r="9115" spans="1:6" x14ac:dyDescent="0.25">
      <c r="A9115" s="1" t="s">
        <v>187</v>
      </c>
      <c r="B9115" s="1" t="s">
        <v>563</v>
      </c>
      <c r="C9115" s="1" t="s">
        <v>103</v>
      </c>
      <c r="D9115" s="3">
        <f t="shared" si="1416"/>
        <v>7765</v>
      </c>
      <c r="E9115" s="2">
        <f t="shared" si="1417"/>
        <v>42186</v>
      </c>
      <c r="F9115" s="2">
        <f t="shared" si="1418"/>
        <v>45716</v>
      </c>
    </row>
    <row r="9116" spans="1:6" x14ac:dyDescent="0.25">
      <c r="A9116" s="1" t="s">
        <v>187</v>
      </c>
      <c r="B9116" s="1" t="s">
        <v>563</v>
      </c>
      <c r="C9116" s="1" t="s">
        <v>34</v>
      </c>
      <c r="D9116" s="3">
        <f t="shared" si="1416"/>
        <v>7765</v>
      </c>
      <c r="E9116" s="2">
        <f t="shared" si="1417"/>
        <v>42186</v>
      </c>
      <c r="F9116" s="2">
        <f t="shared" si="1418"/>
        <v>45716</v>
      </c>
    </row>
    <row r="9117" spans="1:6" x14ac:dyDescent="0.25">
      <c r="A9117" s="1" t="s">
        <v>187</v>
      </c>
      <c r="B9117" s="1" t="s">
        <v>563</v>
      </c>
      <c r="C9117" s="1" t="s">
        <v>574</v>
      </c>
      <c r="D9117" s="3">
        <f t="shared" si="1416"/>
        <v>7765</v>
      </c>
      <c r="E9117" s="2">
        <f t="shared" si="1417"/>
        <v>42186</v>
      </c>
      <c r="F9117" s="2">
        <f t="shared" si="1418"/>
        <v>45716</v>
      </c>
    </row>
    <row r="9118" spans="1:6" x14ac:dyDescent="0.25">
      <c r="A9118" s="1" t="s">
        <v>187</v>
      </c>
      <c r="B9118" s="1" t="s">
        <v>563</v>
      </c>
      <c r="C9118" s="1" t="s">
        <v>575</v>
      </c>
      <c r="D9118" s="3">
        <f t="shared" si="1416"/>
        <v>7765</v>
      </c>
      <c r="E9118" s="2">
        <f t="shared" si="1417"/>
        <v>42186</v>
      </c>
      <c r="F9118" s="2">
        <f t="shared" si="1418"/>
        <v>45716</v>
      </c>
    </row>
    <row r="9119" spans="1:6" x14ac:dyDescent="0.25">
      <c r="A9119" s="1" t="s">
        <v>187</v>
      </c>
      <c r="B9119" s="1" t="s">
        <v>563</v>
      </c>
      <c r="C9119" s="1" t="s">
        <v>576</v>
      </c>
      <c r="D9119" s="3">
        <f t="shared" si="1416"/>
        <v>7765</v>
      </c>
      <c r="E9119" s="2">
        <f t="shared" si="1417"/>
        <v>42186</v>
      </c>
      <c r="F9119" s="2">
        <f t="shared" si="1418"/>
        <v>45716</v>
      </c>
    </row>
    <row r="9120" spans="1:6" x14ac:dyDescent="0.25">
      <c r="A9120" s="1" t="s">
        <v>187</v>
      </c>
      <c r="B9120" s="1" t="s">
        <v>563</v>
      </c>
      <c r="C9120" s="1" t="s">
        <v>577</v>
      </c>
      <c r="D9120" s="3">
        <f t="shared" si="1416"/>
        <v>7765</v>
      </c>
      <c r="E9120" s="2">
        <f t="shared" si="1417"/>
        <v>42186</v>
      </c>
      <c r="F9120" s="2">
        <f t="shared" si="1418"/>
        <v>45716</v>
      </c>
    </row>
    <row r="9121" spans="1:6" x14ac:dyDescent="0.25">
      <c r="A9121" s="1" t="s">
        <v>187</v>
      </c>
      <c r="B9121" s="1" t="s">
        <v>542</v>
      </c>
      <c r="C9121" s="1" t="s">
        <v>91</v>
      </c>
      <c r="D9121" s="3">
        <f>VALUE("7719")</f>
        <v>7719</v>
      </c>
      <c r="E9121" s="2">
        <f>DATEVALUE("1-5-2015")</f>
        <v>42125</v>
      </c>
      <c r="F9121" s="2">
        <f>DATEVALUE("30-4-2025")</f>
        <v>45777</v>
      </c>
    </row>
    <row r="9122" spans="1:6" x14ac:dyDescent="0.25">
      <c r="A9122" s="1" t="s">
        <v>187</v>
      </c>
      <c r="B9122" s="1" t="s">
        <v>542</v>
      </c>
      <c r="C9122" s="1" t="s">
        <v>543</v>
      </c>
      <c r="D9122" s="3">
        <f>VALUE("7719")</f>
        <v>7719</v>
      </c>
      <c r="E9122" s="2">
        <f>DATEVALUE("1-5-2015")</f>
        <v>42125</v>
      </c>
      <c r="F9122" s="2">
        <f>DATEVALUE("30-4-2025")</f>
        <v>45777</v>
      </c>
    </row>
    <row r="9123" spans="1:6" x14ac:dyDescent="0.25">
      <c r="A9123" s="1" t="s">
        <v>187</v>
      </c>
      <c r="B9123" s="1" t="s">
        <v>542</v>
      </c>
      <c r="C9123" s="1" t="s">
        <v>102</v>
      </c>
      <c r="D9123" s="3">
        <f>VALUE("7719")</f>
        <v>7719</v>
      </c>
      <c r="E9123" s="2">
        <f>DATEVALUE("1-5-2015")</f>
        <v>42125</v>
      </c>
      <c r="F9123" s="2">
        <f>DATEVALUE("30-4-2025")</f>
        <v>45777</v>
      </c>
    </row>
    <row r="9124" spans="1:6" x14ac:dyDescent="0.25">
      <c r="A9124" s="1" t="s">
        <v>187</v>
      </c>
      <c r="B9124" s="1" t="s">
        <v>542</v>
      </c>
      <c r="C9124" s="1" t="s">
        <v>103</v>
      </c>
      <c r="D9124" s="3">
        <f>VALUE("7719")</f>
        <v>7719</v>
      </c>
      <c r="E9124" s="2">
        <f>DATEVALUE("1-5-2015")</f>
        <v>42125</v>
      </c>
      <c r="F9124" s="2">
        <f>DATEVALUE("30-4-2025")</f>
        <v>45777</v>
      </c>
    </row>
    <row r="9125" spans="1:6" x14ac:dyDescent="0.25">
      <c r="A9125" s="1" t="s">
        <v>187</v>
      </c>
      <c r="B9125" s="1" t="s">
        <v>318</v>
      </c>
      <c r="C9125" s="1" t="s">
        <v>8</v>
      </c>
      <c r="D9125" s="3">
        <f t="shared" ref="D9125:D9133" si="1419">VALUE("7407")</f>
        <v>7407</v>
      </c>
      <c r="E9125" s="2">
        <f t="shared" ref="E9125:E9133" si="1420">DATEVALUE("1-3-2015")</f>
        <v>42064</v>
      </c>
      <c r="F9125" s="2">
        <f t="shared" ref="F9125:F9133" si="1421">DATEVALUE("30-6-2025")</f>
        <v>45838</v>
      </c>
    </row>
    <row r="9126" spans="1:6" x14ac:dyDescent="0.25">
      <c r="A9126" s="1" t="s">
        <v>187</v>
      </c>
      <c r="B9126" s="1" t="s">
        <v>318</v>
      </c>
      <c r="C9126" s="1" t="s">
        <v>85</v>
      </c>
      <c r="D9126" s="3">
        <f t="shared" si="1419"/>
        <v>7407</v>
      </c>
      <c r="E9126" s="2">
        <f t="shared" si="1420"/>
        <v>42064</v>
      </c>
      <c r="F9126" s="2">
        <f t="shared" si="1421"/>
        <v>45838</v>
      </c>
    </row>
    <row r="9127" spans="1:6" x14ac:dyDescent="0.25">
      <c r="A9127" s="1" t="s">
        <v>187</v>
      </c>
      <c r="B9127" s="1" t="s">
        <v>318</v>
      </c>
      <c r="C9127" s="1" t="s">
        <v>84</v>
      </c>
      <c r="D9127" s="3">
        <f t="shared" si="1419"/>
        <v>7407</v>
      </c>
      <c r="E9127" s="2">
        <f t="shared" si="1420"/>
        <v>42064</v>
      </c>
      <c r="F9127" s="2">
        <f t="shared" si="1421"/>
        <v>45838</v>
      </c>
    </row>
    <row r="9128" spans="1:6" x14ac:dyDescent="0.25">
      <c r="A9128" s="1" t="s">
        <v>187</v>
      </c>
      <c r="B9128" s="1" t="s">
        <v>318</v>
      </c>
      <c r="C9128" s="1" t="s">
        <v>319</v>
      </c>
      <c r="D9128" s="3">
        <f t="shared" si="1419"/>
        <v>7407</v>
      </c>
      <c r="E9128" s="2">
        <f t="shared" si="1420"/>
        <v>42064</v>
      </c>
      <c r="F9128" s="2">
        <f t="shared" si="1421"/>
        <v>45838</v>
      </c>
    </row>
    <row r="9129" spans="1:6" x14ac:dyDescent="0.25">
      <c r="A9129" s="1" t="s">
        <v>187</v>
      </c>
      <c r="B9129" s="1" t="s">
        <v>318</v>
      </c>
      <c r="C9129" s="1" t="s">
        <v>17</v>
      </c>
      <c r="D9129" s="3">
        <f t="shared" si="1419"/>
        <v>7407</v>
      </c>
      <c r="E9129" s="2">
        <f t="shared" si="1420"/>
        <v>42064</v>
      </c>
      <c r="F9129" s="2">
        <f t="shared" si="1421"/>
        <v>45838</v>
      </c>
    </row>
    <row r="9130" spans="1:6" x14ac:dyDescent="0.25">
      <c r="A9130" s="1" t="s">
        <v>187</v>
      </c>
      <c r="B9130" s="1" t="s">
        <v>318</v>
      </c>
      <c r="C9130" s="1" t="s">
        <v>320</v>
      </c>
      <c r="D9130" s="3">
        <f t="shared" si="1419"/>
        <v>7407</v>
      </c>
      <c r="E9130" s="2">
        <f t="shared" si="1420"/>
        <v>42064</v>
      </c>
      <c r="F9130" s="2">
        <f t="shared" si="1421"/>
        <v>45838</v>
      </c>
    </row>
    <row r="9131" spans="1:6" x14ac:dyDescent="0.25">
      <c r="A9131" s="1" t="s">
        <v>187</v>
      </c>
      <c r="B9131" s="1" t="s">
        <v>318</v>
      </c>
      <c r="C9131" s="1" t="s">
        <v>72</v>
      </c>
      <c r="D9131" s="3">
        <f t="shared" si="1419"/>
        <v>7407</v>
      </c>
      <c r="E9131" s="2">
        <f t="shared" si="1420"/>
        <v>42064</v>
      </c>
      <c r="F9131" s="2">
        <f t="shared" si="1421"/>
        <v>45838</v>
      </c>
    </row>
    <row r="9132" spans="1:6" x14ac:dyDescent="0.25">
      <c r="A9132" s="1" t="s">
        <v>187</v>
      </c>
      <c r="B9132" s="1" t="s">
        <v>318</v>
      </c>
      <c r="C9132" s="1" t="s">
        <v>52</v>
      </c>
      <c r="D9132" s="3">
        <f t="shared" si="1419"/>
        <v>7407</v>
      </c>
      <c r="E9132" s="2">
        <f t="shared" si="1420"/>
        <v>42064</v>
      </c>
      <c r="F9132" s="2">
        <f t="shared" si="1421"/>
        <v>45838</v>
      </c>
    </row>
    <row r="9133" spans="1:6" x14ac:dyDescent="0.25">
      <c r="A9133" s="1" t="s">
        <v>187</v>
      </c>
      <c r="B9133" s="1" t="s">
        <v>318</v>
      </c>
      <c r="C9133" s="1" t="s">
        <v>36</v>
      </c>
      <c r="D9133" s="3">
        <f t="shared" si="1419"/>
        <v>7407</v>
      </c>
      <c r="E9133" s="2">
        <f t="shared" si="1420"/>
        <v>42064</v>
      </c>
      <c r="F9133" s="2">
        <f t="shared" si="1421"/>
        <v>45838</v>
      </c>
    </row>
    <row r="9134" spans="1:6" x14ac:dyDescent="0.25">
      <c r="A9134" s="1" t="s">
        <v>187</v>
      </c>
      <c r="B9134" s="1" t="s">
        <v>2181</v>
      </c>
      <c r="C9134" s="1" t="s">
        <v>46</v>
      </c>
      <c r="D9134" s="3">
        <f t="shared" ref="D9134:D9143" si="1422">VALUE("7691")</f>
        <v>7691</v>
      </c>
      <c r="E9134" s="2">
        <f t="shared" ref="E9134:E9143" si="1423">DATEVALUE("1-1-2015")</f>
        <v>42005</v>
      </c>
      <c r="F9134" s="2">
        <f t="shared" ref="F9134:F9143" si="1424">DATEVALUE("31-1-2018")</f>
        <v>43131</v>
      </c>
    </row>
    <row r="9135" spans="1:6" x14ac:dyDescent="0.25">
      <c r="A9135" s="1" t="s">
        <v>187</v>
      </c>
      <c r="B9135" s="1" t="s">
        <v>2181</v>
      </c>
      <c r="C9135" s="1" t="s">
        <v>14</v>
      </c>
      <c r="D9135" s="3">
        <f t="shared" si="1422"/>
        <v>7691</v>
      </c>
      <c r="E9135" s="2">
        <f t="shared" si="1423"/>
        <v>42005</v>
      </c>
      <c r="F9135" s="2">
        <f t="shared" si="1424"/>
        <v>43131</v>
      </c>
    </row>
    <row r="9136" spans="1:6" x14ac:dyDescent="0.25">
      <c r="A9136" s="1" t="s">
        <v>187</v>
      </c>
      <c r="B9136" s="1" t="s">
        <v>2181</v>
      </c>
      <c r="C9136" s="1" t="s">
        <v>15</v>
      </c>
      <c r="D9136" s="3">
        <f t="shared" si="1422"/>
        <v>7691</v>
      </c>
      <c r="E9136" s="2">
        <f t="shared" si="1423"/>
        <v>42005</v>
      </c>
      <c r="F9136" s="2">
        <f t="shared" si="1424"/>
        <v>43131</v>
      </c>
    </row>
    <row r="9137" spans="1:6" x14ac:dyDescent="0.25">
      <c r="A9137" s="1" t="s">
        <v>187</v>
      </c>
      <c r="B9137" s="1" t="s">
        <v>2181</v>
      </c>
      <c r="C9137" s="1" t="s">
        <v>17</v>
      </c>
      <c r="D9137" s="3">
        <f t="shared" si="1422"/>
        <v>7691</v>
      </c>
      <c r="E9137" s="2">
        <f t="shared" si="1423"/>
        <v>42005</v>
      </c>
      <c r="F9137" s="2">
        <f t="shared" si="1424"/>
        <v>43131</v>
      </c>
    </row>
    <row r="9138" spans="1:6" x14ac:dyDescent="0.25">
      <c r="A9138" s="1" t="s">
        <v>187</v>
      </c>
      <c r="B9138" s="1" t="s">
        <v>2181</v>
      </c>
      <c r="C9138" s="1" t="s">
        <v>197</v>
      </c>
      <c r="D9138" s="3">
        <f t="shared" si="1422"/>
        <v>7691</v>
      </c>
      <c r="E9138" s="2">
        <f t="shared" si="1423"/>
        <v>42005</v>
      </c>
      <c r="F9138" s="2">
        <f t="shared" si="1424"/>
        <v>43131</v>
      </c>
    </row>
    <row r="9139" spans="1:6" x14ac:dyDescent="0.25">
      <c r="A9139" s="1" t="s">
        <v>187</v>
      </c>
      <c r="B9139" s="1" t="s">
        <v>2181</v>
      </c>
      <c r="C9139" s="1" t="s">
        <v>22</v>
      </c>
      <c r="D9139" s="3">
        <f t="shared" si="1422"/>
        <v>7691</v>
      </c>
      <c r="E9139" s="2">
        <f t="shared" si="1423"/>
        <v>42005</v>
      </c>
      <c r="F9139" s="2">
        <f t="shared" si="1424"/>
        <v>43131</v>
      </c>
    </row>
    <row r="9140" spans="1:6" x14ac:dyDescent="0.25">
      <c r="A9140" s="1" t="s">
        <v>187</v>
      </c>
      <c r="B9140" s="1" t="s">
        <v>2181</v>
      </c>
      <c r="C9140" s="1" t="s">
        <v>146</v>
      </c>
      <c r="D9140" s="3">
        <f t="shared" si="1422"/>
        <v>7691</v>
      </c>
      <c r="E9140" s="2">
        <f t="shared" si="1423"/>
        <v>42005</v>
      </c>
      <c r="F9140" s="2">
        <f t="shared" si="1424"/>
        <v>43131</v>
      </c>
    </row>
    <row r="9141" spans="1:6" x14ac:dyDescent="0.25">
      <c r="A9141" s="1" t="s">
        <v>187</v>
      </c>
      <c r="B9141" s="1" t="s">
        <v>2181</v>
      </c>
      <c r="C9141" s="1" t="s">
        <v>148</v>
      </c>
      <c r="D9141" s="3">
        <f t="shared" si="1422"/>
        <v>7691</v>
      </c>
      <c r="E9141" s="2">
        <f t="shared" si="1423"/>
        <v>42005</v>
      </c>
      <c r="F9141" s="2">
        <f t="shared" si="1424"/>
        <v>43131</v>
      </c>
    </row>
    <row r="9142" spans="1:6" x14ac:dyDescent="0.25">
      <c r="A9142" s="1" t="s">
        <v>187</v>
      </c>
      <c r="B9142" s="1" t="s">
        <v>2181</v>
      </c>
      <c r="C9142" s="1" t="s">
        <v>532</v>
      </c>
      <c r="D9142" s="3">
        <f t="shared" si="1422"/>
        <v>7691</v>
      </c>
      <c r="E9142" s="2">
        <f t="shared" si="1423"/>
        <v>42005</v>
      </c>
      <c r="F9142" s="2">
        <f t="shared" si="1424"/>
        <v>43131</v>
      </c>
    </row>
    <row r="9143" spans="1:6" x14ac:dyDescent="0.25">
      <c r="A9143" s="1" t="s">
        <v>187</v>
      </c>
      <c r="B9143" s="1" t="s">
        <v>2181</v>
      </c>
      <c r="C9143" s="1" t="s">
        <v>169</v>
      </c>
      <c r="D9143" s="3">
        <f t="shared" si="1422"/>
        <v>7691</v>
      </c>
      <c r="E9143" s="2">
        <f t="shared" si="1423"/>
        <v>42005</v>
      </c>
      <c r="F9143" s="2">
        <f t="shared" si="1424"/>
        <v>43131</v>
      </c>
    </row>
    <row r="9144" spans="1:6" x14ac:dyDescent="0.25">
      <c r="A9144" s="1" t="s">
        <v>187</v>
      </c>
      <c r="B9144" s="1" t="s">
        <v>2170</v>
      </c>
      <c r="C9144" s="1" t="s">
        <v>46</v>
      </c>
      <c r="D9144" s="3">
        <f t="shared" ref="D9144:D9149" si="1425">VALUE("7649")</f>
        <v>7649</v>
      </c>
      <c r="E9144" s="2">
        <f t="shared" ref="E9144:E9149" si="1426">DATEVALUE("1-11-2014")</f>
        <v>41944</v>
      </c>
      <c r="F9144" s="2">
        <f t="shared" ref="F9144:F9149" si="1427">DATEVALUE("30-6-2018")</f>
        <v>43281</v>
      </c>
    </row>
    <row r="9145" spans="1:6" x14ac:dyDescent="0.25">
      <c r="A9145" s="1" t="s">
        <v>187</v>
      </c>
      <c r="B9145" s="1" t="s">
        <v>2170</v>
      </c>
      <c r="C9145" s="1" t="s">
        <v>17</v>
      </c>
      <c r="D9145" s="3">
        <f t="shared" si="1425"/>
        <v>7649</v>
      </c>
      <c r="E9145" s="2">
        <f t="shared" si="1426"/>
        <v>41944</v>
      </c>
      <c r="F9145" s="2">
        <f t="shared" si="1427"/>
        <v>43281</v>
      </c>
    </row>
    <row r="9146" spans="1:6" x14ac:dyDescent="0.25">
      <c r="A9146" s="1" t="s">
        <v>187</v>
      </c>
      <c r="B9146" s="1" t="s">
        <v>2170</v>
      </c>
      <c r="C9146" s="1" t="s">
        <v>197</v>
      </c>
      <c r="D9146" s="3">
        <f t="shared" si="1425"/>
        <v>7649</v>
      </c>
      <c r="E9146" s="2">
        <f t="shared" si="1426"/>
        <v>41944</v>
      </c>
      <c r="F9146" s="2">
        <f t="shared" si="1427"/>
        <v>43281</v>
      </c>
    </row>
    <row r="9147" spans="1:6" x14ac:dyDescent="0.25">
      <c r="A9147" s="1" t="s">
        <v>187</v>
      </c>
      <c r="B9147" s="1" t="s">
        <v>2170</v>
      </c>
      <c r="C9147" s="1" t="s">
        <v>258</v>
      </c>
      <c r="D9147" s="3">
        <f t="shared" si="1425"/>
        <v>7649</v>
      </c>
      <c r="E9147" s="2">
        <f t="shared" si="1426"/>
        <v>41944</v>
      </c>
      <c r="F9147" s="2">
        <f t="shared" si="1427"/>
        <v>43281</v>
      </c>
    </row>
    <row r="9148" spans="1:6" x14ac:dyDescent="0.25">
      <c r="A9148" s="1" t="s">
        <v>187</v>
      </c>
      <c r="B9148" s="1" t="s">
        <v>2170</v>
      </c>
      <c r="C9148" s="1" t="s">
        <v>94</v>
      </c>
      <c r="D9148" s="3">
        <f t="shared" si="1425"/>
        <v>7649</v>
      </c>
      <c r="E9148" s="2">
        <f t="shared" si="1426"/>
        <v>41944</v>
      </c>
      <c r="F9148" s="2">
        <f t="shared" si="1427"/>
        <v>43281</v>
      </c>
    </row>
    <row r="9149" spans="1:6" x14ac:dyDescent="0.25">
      <c r="A9149" s="1" t="s">
        <v>187</v>
      </c>
      <c r="B9149" s="1" t="s">
        <v>2170</v>
      </c>
      <c r="C9149" s="1" t="s">
        <v>73</v>
      </c>
      <c r="D9149" s="3">
        <f t="shared" si="1425"/>
        <v>7649</v>
      </c>
      <c r="E9149" s="2">
        <f t="shared" si="1426"/>
        <v>41944</v>
      </c>
      <c r="F9149" s="2">
        <f t="shared" si="1427"/>
        <v>43281</v>
      </c>
    </row>
    <row r="9150" spans="1:6" x14ac:dyDescent="0.25">
      <c r="A9150" s="1" t="s">
        <v>187</v>
      </c>
      <c r="B9150" s="1" t="s">
        <v>363</v>
      </c>
      <c r="C9150" s="1" t="s">
        <v>85</v>
      </c>
      <c r="D9150" s="3">
        <f t="shared" ref="D9150:D9155" si="1428">VALUE("7544")</f>
        <v>7544</v>
      </c>
      <c r="E9150" s="2">
        <f t="shared" ref="E9150:E9155" si="1429">DATEVALUE("1-8-2014")</f>
        <v>41852</v>
      </c>
      <c r="F9150" s="2">
        <f t="shared" ref="F9150:F9155" si="1430">DATEVALUE("31-7-2021")</f>
        <v>44408</v>
      </c>
    </row>
    <row r="9151" spans="1:6" x14ac:dyDescent="0.25">
      <c r="A9151" s="1" t="s">
        <v>187</v>
      </c>
      <c r="B9151" s="1" t="s">
        <v>363</v>
      </c>
      <c r="C9151" s="1" t="s">
        <v>66</v>
      </c>
      <c r="D9151" s="3">
        <f t="shared" si="1428"/>
        <v>7544</v>
      </c>
      <c r="E9151" s="2">
        <f t="shared" si="1429"/>
        <v>41852</v>
      </c>
      <c r="F9151" s="2">
        <f t="shared" si="1430"/>
        <v>44408</v>
      </c>
    </row>
    <row r="9152" spans="1:6" x14ac:dyDescent="0.25">
      <c r="A9152" s="1" t="s">
        <v>187</v>
      </c>
      <c r="B9152" s="1" t="s">
        <v>363</v>
      </c>
      <c r="C9152" s="1" t="s">
        <v>16</v>
      </c>
      <c r="D9152" s="3">
        <f t="shared" si="1428"/>
        <v>7544</v>
      </c>
      <c r="E9152" s="2">
        <f t="shared" si="1429"/>
        <v>41852</v>
      </c>
      <c r="F9152" s="2">
        <f t="shared" si="1430"/>
        <v>44408</v>
      </c>
    </row>
    <row r="9153" spans="1:6" x14ac:dyDescent="0.25">
      <c r="A9153" s="1" t="s">
        <v>187</v>
      </c>
      <c r="B9153" s="1" t="s">
        <v>363</v>
      </c>
      <c r="C9153" s="1" t="s">
        <v>17</v>
      </c>
      <c r="D9153" s="3">
        <f t="shared" si="1428"/>
        <v>7544</v>
      </c>
      <c r="E9153" s="2">
        <f t="shared" si="1429"/>
        <v>41852</v>
      </c>
      <c r="F9153" s="2">
        <f t="shared" si="1430"/>
        <v>44408</v>
      </c>
    </row>
    <row r="9154" spans="1:6" x14ac:dyDescent="0.25">
      <c r="A9154" s="1" t="s">
        <v>187</v>
      </c>
      <c r="B9154" s="1" t="s">
        <v>363</v>
      </c>
      <c r="C9154" s="1" t="s">
        <v>26</v>
      </c>
      <c r="D9154" s="3">
        <f t="shared" si="1428"/>
        <v>7544</v>
      </c>
      <c r="E9154" s="2">
        <f t="shared" si="1429"/>
        <v>41852</v>
      </c>
      <c r="F9154" s="2">
        <f t="shared" si="1430"/>
        <v>44408</v>
      </c>
    </row>
    <row r="9155" spans="1:6" x14ac:dyDescent="0.25">
      <c r="A9155" s="1" t="s">
        <v>187</v>
      </c>
      <c r="B9155" s="1" t="s">
        <v>363</v>
      </c>
      <c r="C9155" s="1" t="s">
        <v>73</v>
      </c>
      <c r="D9155" s="3">
        <f t="shared" si="1428"/>
        <v>7544</v>
      </c>
      <c r="E9155" s="2">
        <f t="shared" si="1429"/>
        <v>41852</v>
      </c>
      <c r="F9155" s="2">
        <f t="shared" si="1430"/>
        <v>44408</v>
      </c>
    </row>
    <row r="9156" spans="1:6" x14ac:dyDescent="0.25">
      <c r="A9156" s="1" t="s">
        <v>187</v>
      </c>
      <c r="B9156" s="1" t="s">
        <v>1926</v>
      </c>
      <c r="C9156" s="1" t="s">
        <v>85</v>
      </c>
      <c r="D9156" s="3">
        <f>VALUE("7585")</f>
        <v>7585</v>
      </c>
      <c r="E9156" s="2">
        <f>DATEVALUE("1-2-2014")</f>
        <v>41671</v>
      </c>
      <c r="F9156" s="2">
        <f>DATEVALUE("29-2-2016")</f>
        <v>42429</v>
      </c>
    </row>
    <row r="9157" spans="1:6" x14ac:dyDescent="0.25">
      <c r="A9157" s="1" t="s">
        <v>187</v>
      </c>
      <c r="B9157" s="1" t="s">
        <v>1926</v>
      </c>
      <c r="C9157" s="1" t="s">
        <v>46</v>
      </c>
      <c r="D9157" s="3">
        <f>VALUE("7585")</f>
        <v>7585</v>
      </c>
      <c r="E9157" s="2">
        <f>DATEVALUE("1-2-2014")</f>
        <v>41671</v>
      </c>
      <c r="F9157" s="2">
        <f>DATEVALUE("29-2-2016")</f>
        <v>42429</v>
      </c>
    </row>
    <row r="9158" spans="1:6" x14ac:dyDescent="0.25">
      <c r="A9158" s="1" t="s">
        <v>187</v>
      </c>
      <c r="B9158" s="1" t="s">
        <v>1926</v>
      </c>
      <c r="C9158" s="1" t="s">
        <v>17</v>
      </c>
      <c r="D9158" s="3">
        <f>VALUE("7585")</f>
        <v>7585</v>
      </c>
      <c r="E9158" s="2">
        <f>DATEVALUE("1-2-2014")</f>
        <v>41671</v>
      </c>
      <c r="F9158" s="2">
        <f>DATEVALUE("29-2-2016")</f>
        <v>42429</v>
      </c>
    </row>
    <row r="9159" spans="1:6" x14ac:dyDescent="0.25">
      <c r="A9159" s="1" t="s">
        <v>187</v>
      </c>
      <c r="B9159" s="1" t="s">
        <v>2716</v>
      </c>
      <c r="C9159" s="1" t="s">
        <v>85</v>
      </c>
      <c r="D9159" s="3">
        <f>VALUE("7463")</f>
        <v>7463</v>
      </c>
      <c r="E9159" s="2">
        <f>DATEVALUE("1-1-2014")</f>
        <v>41640</v>
      </c>
      <c r="F9159" s="2">
        <f>DATEVALUE("31-3-2014")</f>
        <v>41729</v>
      </c>
    </row>
    <row r="9160" spans="1:6" x14ac:dyDescent="0.25">
      <c r="A9160" s="1" t="s">
        <v>187</v>
      </c>
      <c r="B9160" s="1" t="s">
        <v>2716</v>
      </c>
      <c r="C9160" s="1" t="s">
        <v>17</v>
      </c>
      <c r="D9160" s="3">
        <f>VALUE("7463")</f>
        <v>7463</v>
      </c>
      <c r="E9160" s="2">
        <f>DATEVALUE("1-1-2014")</f>
        <v>41640</v>
      </c>
      <c r="F9160" s="2">
        <f>DATEVALUE("31-3-2014")</f>
        <v>41729</v>
      </c>
    </row>
    <row r="9161" spans="1:6" x14ac:dyDescent="0.25">
      <c r="A9161" s="1" t="s">
        <v>187</v>
      </c>
      <c r="B9161" s="1" t="s">
        <v>2716</v>
      </c>
      <c r="C9161" s="1" t="s">
        <v>172</v>
      </c>
      <c r="D9161" s="3">
        <f>VALUE("7463")</f>
        <v>7463</v>
      </c>
      <c r="E9161" s="2">
        <f>DATEVALUE("1-1-2014")</f>
        <v>41640</v>
      </c>
      <c r="F9161" s="2">
        <f>DATEVALUE("31-3-2014")</f>
        <v>41729</v>
      </c>
    </row>
    <row r="9162" spans="1:6" x14ac:dyDescent="0.25">
      <c r="A9162" s="1" t="s">
        <v>187</v>
      </c>
      <c r="B9162" s="1" t="s">
        <v>2716</v>
      </c>
      <c r="C9162" s="1" t="s">
        <v>208</v>
      </c>
      <c r="D9162" s="3">
        <f>VALUE("7463")</f>
        <v>7463</v>
      </c>
      <c r="E9162" s="2">
        <f>DATEVALUE("1-1-2014")</f>
        <v>41640</v>
      </c>
      <c r="F9162" s="2">
        <f>DATEVALUE("31-3-2014")</f>
        <v>41729</v>
      </c>
    </row>
    <row r="9163" spans="1:6" x14ac:dyDescent="0.25">
      <c r="A9163" s="1" t="s">
        <v>187</v>
      </c>
      <c r="B9163" s="1" t="s">
        <v>1919</v>
      </c>
      <c r="C9163" s="1" t="s">
        <v>46</v>
      </c>
      <c r="D9163" s="3">
        <f>VALUE("7531")</f>
        <v>7531</v>
      </c>
      <c r="E9163" s="2">
        <f>DATEVALUE("1-8-2013")</f>
        <v>41487</v>
      </c>
      <c r="F9163" s="2">
        <f>DATEVALUE("29-2-2016")</f>
        <v>42429</v>
      </c>
    </row>
    <row r="9164" spans="1:6" x14ac:dyDescent="0.25">
      <c r="A9164" s="1" t="s">
        <v>187</v>
      </c>
      <c r="B9164" s="1" t="s">
        <v>1919</v>
      </c>
      <c r="C9164" s="1" t="s">
        <v>17</v>
      </c>
      <c r="D9164" s="3">
        <f>VALUE("7531")</f>
        <v>7531</v>
      </c>
      <c r="E9164" s="2">
        <f>DATEVALUE("1-8-2013")</f>
        <v>41487</v>
      </c>
      <c r="F9164" s="2">
        <f>DATEVALUE("29-2-2016")</f>
        <v>42429</v>
      </c>
    </row>
    <row r="9165" spans="1:6" x14ac:dyDescent="0.25">
      <c r="A9165" s="1" t="s">
        <v>187</v>
      </c>
      <c r="B9165" s="1" t="s">
        <v>1919</v>
      </c>
      <c r="C9165" s="1" t="s">
        <v>48</v>
      </c>
      <c r="D9165" s="3">
        <f>VALUE("7531")</f>
        <v>7531</v>
      </c>
      <c r="E9165" s="2">
        <f>DATEVALUE("1-8-2013")</f>
        <v>41487</v>
      </c>
      <c r="F9165" s="2">
        <f>DATEVALUE("29-2-2016")</f>
        <v>42429</v>
      </c>
    </row>
    <row r="9166" spans="1:6" x14ac:dyDescent="0.25">
      <c r="A9166" s="1" t="s">
        <v>187</v>
      </c>
      <c r="B9166" s="1" t="s">
        <v>1919</v>
      </c>
      <c r="C9166" s="1" t="s">
        <v>216</v>
      </c>
      <c r="D9166" s="3">
        <f>VALUE("7531")</f>
        <v>7531</v>
      </c>
      <c r="E9166" s="2">
        <f>DATEVALUE("1-8-2013")</f>
        <v>41487</v>
      </c>
      <c r="F9166" s="2">
        <f>DATEVALUE("29-2-2016")</f>
        <v>42429</v>
      </c>
    </row>
    <row r="9167" spans="1:6" x14ac:dyDescent="0.25">
      <c r="A9167" s="1" t="s">
        <v>187</v>
      </c>
      <c r="B9167" s="1" t="s">
        <v>1919</v>
      </c>
      <c r="C9167" s="1" t="s">
        <v>310</v>
      </c>
      <c r="D9167" s="3">
        <f>VALUE("7531")</f>
        <v>7531</v>
      </c>
      <c r="E9167" s="2">
        <f>DATEVALUE("1-8-2013")</f>
        <v>41487</v>
      </c>
      <c r="F9167" s="2">
        <f>DATEVALUE("29-2-2016")</f>
        <v>42429</v>
      </c>
    </row>
    <row r="9168" spans="1:6" x14ac:dyDescent="0.25">
      <c r="A9168" s="1" t="s">
        <v>187</v>
      </c>
      <c r="B9168" s="1" t="s">
        <v>1918</v>
      </c>
      <c r="C9168" s="1" t="s">
        <v>85</v>
      </c>
      <c r="D9168" s="3">
        <f t="shared" ref="D9168:D9175" si="1431">VALUE("7523")</f>
        <v>7523</v>
      </c>
      <c r="E9168" s="2">
        <f t="shared" ref="E9168:E9175" si="1432">DATEVALUE("1-7-2013")</f>
        <v>41456</v>
      </c>
      <c r="F9168" s="2">
        <f t="shared" ref="F9168:F9175" si="1433">DATEVALUE("31-5-2015")</f>
        <v>42155</v>
      </c>
    </row>
    <row r="9169" spans="1:6" x14ac:dyDescent="0.25">
      <c r="A9169" s="1" t="s">
        <v>187</v>
      </c>
      <c r="B9169" s="1" t="s">
        <v>1918</v>
      </c>
      <c r="C9169" s="1" t="s">
        <v>84</v>
      </c>
      <c r="D9169" s="3">
        <f t="shared" si="1431"/>
        <v>7523</v>
      </c>
      <c r="E9169" s="2">
        <f t="shared" si="1432"/>
        <v>41456</v>
      </c>
      <c r="F9169" s="2">
        <f t="shared" si="1433"/>
        <v>42155</v>
      </c>
    </row>
    <row r="9170" spans="1:6" x14ac:dyDescent="0.25">
      <c r="A9170" s="1" t="s">
        <v>187</v>
      </c>
      <c r="B9170" s="1" t="s">
        <v>1918</v>
      </c>
      <c r="C9170" s="1" t="s">
        <v>46</v>
      </c>
      <c r="D9170" s="3">
        <f t="shared" si="1431"/>
        <v>7523</v>
      </c>
      <c r="E9170" s="2">
        <f t="shared" si="1432"/>
        <v>41456</v>
      </c>
      <c r="F9170" s="2">
        <f t="shared" si="1433"/>
        <v>42155</v>
      </c>
    </row>
    <row r="9171" spans="1:6" x14ac:dyDescent="0.25">
      <c r="A9171" s="1" t="s">
        <v>187</v>
      </c>
      <c r="B9171" s="1" t="s">
        <v>1918</v>
      </c>
      <c r="C9171" s="1" t="s">
        <v>14</v>
      </c>
      <c r="D9171" s="3">
        <f t="shared" si="1431"/>
        <v>7523</v>
      </c>
      <c r="E9171" s="2">
        <f t="shared" si="1432"/>
        <v>41456</v>
      </c>
      <c r="F9171" s="2">
        <f t="shared" si="1433"/>
        <v>42155</v>
      </c>
    </row>
    <row r="9172" spans="1:6" x14ac:dyDescent="0.25">
      <c r="A9172" s="1" t="s">
        <v>187</v>
      </c>
      <c r="B9172" s="1" t="s">
        <v>1918</v>
      </c>
      <c r="C9172" s="1" t="s">
        <v>17</v>
      </c>
      <c r="D9172" s="3">
        <f t="shared" si="1431"/>
        <v>7523</v>
      </c>
      <c r="E9172" s="2">
        <f t="shared" si="1432"/>
        <v>41456</v>
      </c>
      <c r="F9172" s="2">
        <f t="shared" si="1433"/>
        <v>42155</v>
      </c>
    </row>
    <row r="9173" spans="1:6" x14ac:dyDescent="0.25">
      <c r="A9173" s="1" t="s">
        <v>187</v>
      </c>
      <c r="B9173" s="1" t="s">
        <v>1918</v>
      </c>
      <c r="C9173" s="1" t="s">
        <v>24</v>
      </c>
      <c r="D9173" s="3">
        <f t="shared" si="1431"/>
        <v>7523</v>
      </c>
      <c r="E9173" s="2">
        <f t="shared" si="1432"/>
        <v>41456</v>
      </c>
      <c r="F9173" s="2">
        <f t="shared" si="1433"/>
        <v>42155</v>
      </c>
    </row>
    <row r="9174" spans="1:6" x14ac:dyDescent="0.25">
      <c r="A9174" s="1" t="s">
        <v>187</v>
      </c>
      <c r="B9174" s="1" t="s">
        <v>1918</v>
      </c>
      <c r="C9174" s="1" t="s">
        <v>34</v>
      </c>
      <c r="D9174" s="3">
        <f t="shared" si="1431"/>
        <v>7523</v>
      </c>
      <c r="E9174" s="2">
        <f t="shared" si="1432"/>
        <v>41456</v>
      </c>
      <c r="F9174" s="2">
        <f t="shared" si="1433"/>
        <v>42155</v>
      </c>
    </row>
    <row r="9175" spans="1:6" x14ac:dyDescent="0.25">
      <c r="A9175" s="1" t="s">
        <v>187</v>
      </c>
      <c r="B9175" s="1" t="s">
        <v>1918</v>
      </c>
      <c r="C9175" s="1" t="s">
        <v>55</v>
      </c>
      <c r="D9175" s="3">
        <f t="shared" si="1431"/>
        <v>7523</v>
      </c>
      <c r="E9175" s="2">
        <f t="shared" si="1432"/>
        <v>41456</v>
      </c>
      <c r="F9175" s="2">
        <f t="shared" si="1433"/>
        <v>42155</v>
      </c>
    </row>
    <row r="9176" spans="1:6" x14ac:dyDescent="0.25">
      <c r="A9176" s="1" t="s">
        <v>187</v>
      </c>
      <c r="B9176" s="1" t="s">
        <v>2591</v>
      </c>
      <c r="C9176" s="1" t="s">
        <v>46</v>
      </c>
      <c r="D9176" s="3">
        <f>VALUE("7162")</f>
        <v>7162</v>
      </c>
      <c r="E9176" s="2">
        <f>DATEVALUE("1-4-2013")</f>
        <v>41365</v>
      </c>
      <c r="F9176" s="2">
        <f>DATEVALUE("30-6-2014")</f>
        <v>41820</v>
      </c>
    </row>
    <row r="9177" spans="1:6" x14ac:dyDescent="0.25">
      <c r="A9177" s="1" t="s">
        <v>187</v>
      </c>
      <c r="B9177" s="1" t="s">
        <v>2591</v>
      </c>
      <c r="C9177" s="1" t="s">
        <v>17</v>
      </c>
      <c r="D9177" s="3">
        <f>VALUE("7162")</f>
        <v>7162</v>
      </c>
      <c r="E9177" s="2">
        <f>DATEVALUE("1-4-2013")</f>
        <v>41365</v>
      </c>
      <c r="F9177" s="2">
        <f>DATEVALUE("30-6-2014")</f>
        <v>41820</v>
      </c>
    </row>
    <row r="9178" spans="1:6" x14ac:dyDescent="0.25">
      <c r="A9178" s="1" t="s">
        <v>187</v>
      </c>
      <c r="B9178" s="1" t="s">
        <v>2591</v>
      </c>
      <c r="C9178" s="1" t="s">
        <v>320</v>
      </c>
      <c r="D9178" s="3">
        <f>VALUE("7162")</f>
        <v>7162</v>
      </c>
      <c r="E9178" s="2">
        <f>DATEVALUE("1-4-2013")</f>
        <v>41365</v>
      </c>
      <c r="F9178" s="2">
        <f>DATEVALUE("30-6-2014")</f>
        <v>41820</v>
      </c>
    </row>
    <row r="9179" spans="1:6" x14ac:dyDescent="0.25">
      <c r="A9179" s="1" t="s">
        <v>187</v>
      </c>
      <c r="B9179" s="1" t="s">
        <v>1901</v>
      </c>
      <c r="C9179" s="1" t="s">
        <v>85</v>
      </c>
      <c r="D9179" s="3">
        <f>VALUE("7396")</f>
        <v>7396</v>
      </c>
      <c r="E9179" s="2">
        <f>DATEVALUE("1-10-2012")</f>
        <v>41183</v>
      </c>
      <c r="F9179" s="2">
        <f>DATEVALUE("30-4-2015")</f>
        <v>42124</v>
      </c>
    </row>
    <row r="9180" spans="1:6" x14ac:dyDescent="0.25">
      <c r="A9180" s="1" t="s">
        <v>187</v>
      </c>
      <c r="B9180" s="1" t="s">
        <v>1901</v>
      </c>
      <c r="C9180" s="1" t="s">
        <v>46</v>
      </c>
      <c r="D9180" s="3">
        <f>VALUE("7396")</f>
        <v>7396</v>
      </c>
      <c r="E9180" s="2">
        <f>DATEVALUE("1-10-2012")</f>
        <v>41183</v>
      </c>
      <c r="F9180" s="2">
        <f>DATEVALUE("30-4-2015")</f>
        <v>42124</v>
      </c>
    </row>
    <row r="9181" spans="1:6" x14ac:dyDescent="0.25">
      <c r="A9181" s="1" t="s">
        <v>187</v>
      </c>
      <c r="B9181" s="1" t="s">
        <v>1901</v>
      </c>
      <c r="C9181" s="1" t="s">
        <v>89</v>
      </c>
      <c r="D9181" s="3">
        <f>VALUE("7396")</f>
        <v>7396</v>
      </c>
      <c r="E9181" s="2">
        <f>DATEVALUE("1-10-2012")</f>
        <v>41183</v>
      </c>
      <c r="F9181" s="2">
        <f>DATEVALUE("30-4-2015")</f>
        <v>42124</v>
      </c>
    </row>
    <row r="9182" spans="1:6" x14ac:dyDescent="0.25">
      <c r="A9182" s="1" t="s">
        <v>187</v>
      </c>
      <c r="B9182" s="1" t="s">
        <v>1901</v>
      </c>
      <c r="C9182" s="1" t="s">
        <v>17</v>
      </c>
      <c r="D9182" s="3">
        <f>VALUE("7396")</f>
        <v>7396</v>
      </c>
      <c r="E9182" s="2">
        <f>DATEVALUE("1-10-2012")</f>
        <v>41183</v>
      </c>
      <c r="F9182" s="2">
        <f>DATEVALUE("30-4-2015")</f>
        <v>42124</v>
      </c>
    </row>
    <row r="9183" spans="1:6" x14ac:dyDescent="0.25">
      <c r="A9183" s="1" t="s">
        <v>187</v>
      </c>
      <c r="B9183" s="1" t="s">
        <v>1901</v>
      </c>
      <c r="C9183" s="1" t="s">
        <v>371</v>
      </c>
      <c r="D9183" s="3">
        <f>VALUE("7396")</f>
        <v>7396</v>
      </c>
      <c r="E9183" s="2">
        <f>DATEVALUE("1-10-2012")</f>
        <v>41183</v>
      </c>
      <c r="F9183" s="2">
        <f>DATEVALUE("30-4-2015")</f>
        <v>42124</v>
      </c>
    </row>
    <row r="9184" spans="1:6" x14ac:dyDescent="0.25">
      <c r="A9184" s="1" t="s">
        <v>187</v>
      </c>
      <c r="B9184" s="1" t="s">
        <v>1705</v>
      </c>
      <c r="C9184" s="1" t="s">
        <v>125</v>
      </c>
      <c r="D9184" s="3">
        <f t="shared" ref="D9184:D9207" si="1434">VALUE("7309")</f>
        <v>7309</v>
      </c>
      <c r="E9184" s="2">
        <f t="shared" ref="E9184:E9207" si="1435">DATEVALUE("1-4-2012")</f>
        <v>41000</v>
      </c>
      <c r="F9184" s="2">
        <f t="shared" ref="F9184:F9207" si="1436">DATEVALUE("30-9-2015")</f>
        <v>42277</v>
      </c>
    </row>
    <row r="9185" spans="1:6" x14ac:dyDescent="0.25">
      <c r="A9185" s="1" t="s">
        <v>187</v>
      </c>
      <c r="B9185" s="1" t="s">
        <v>1705</v>
      </c>
      <c r="C9185" s="1" t="s">
        <v>126</v>
      </c>
      <c r="D9185" s="3">
        <f t="shared" si="1434"/>
        <v>7309</v>
      </c>
      <c r="E9185" s="2">
        <f t="shared" si="1435"/>
        <v>41000</v>
      </c>
      <c r="F9185" s="2">
        <f t="shared" si="1436"/>
        <v>42277</v>
      </c>
    </row>
    <row r="9186" spans="1:6" x14ac:dyDescent="0.25">
      <c r="A9186" s="1" t="s">
        <v>187</v>
      </c>
      <c r="B9186" s="1" t="s">
        <v>1705</v>
      </c>
      <c r="C9186" s="1" t="s">
        <v>85</v>
      </c>
      <c r="D9186" s="3">
        <f t="shared" si="1434"/>
        <v>7309</v>
      </c>
      <c r="E9186" s="2">
        <f t="shared" si="1435"/>
        <v>41000</v>
      </c>
      <c r="F9186" s="2">
        <f t="shared" si="1436"/>
        <v>42277</v>
      </c>
    </row>
    <row r="9187" spans="1:6" x14ac:dyDescent="0.25">
      <c r="A9187" s="1" t="s">
        <v>187</v>
      </c>
      <c r="B9187" s="1" t="s">
        <v>1705</v>
      </c>
      <c r="C9187" s="1" t="s">
        <v>14</v>
      </c>
      <c r="D9187" s="3">
        <f t="shared" si="1434"/>
        <v>7309</v>
      </c>
      <c r="E9187" s="2">
        <f t="shared" si="1435"/>
        <v>41000</v>
      </c>
      <c r="F9187" s="2">
        <f t="shared" si="1436"/>
        <v>42277</v>
      </c>
    </row>
    <row r="9188" spans="1:6" x14ac:dyDescent="0.25">
      <c r="A9188" s="1" t="s">
        <v>187</v>
      </c>
      <c r="B9188" s="1" t="s">
        <v>1705</v>
      </c>
      <c r="C9188" s="1" t="s">
        <v>66</v>
      </c>
      <c r="D9188" s="3">
        <f t="shared" si="1434"/>
        <v>7309</v>
      </c>
      <c r="E9188" s="2">
        <f t="shared" si="1435"/>
        <v>41000</v>
      </c>
      <c r="F9188" s="2">
        <f t="shared" si="1436"/>
        <v>42277</v>
      </c>
    </row>
    <row r="9189" spans="1:6" x14ac:dyDescent="0.25">
      <c r="A9189" s="1" t="s">
        <v>187</v>
      </c>
      <c r="B9189" s="1" t="s">
        <v>1705</v>
      </c>
      <c r="C9189" s="1" t="s">
        <v>15</v>
      </c>
      <c r="D9189" s="3">
        <f t="shared" si="1434"/>
        <v>7309</v>
      </c>
      <c r="E9189" s="2">
        <f t="shared" si="1435"/>
        <v>41000</v>
      </c>
      <c r="F9189" s="2">
        <f t="shared" si="1436"/>
        <v>42277</v>
      </c>
    </row>
    <row r="9190" spans="1:6" x14ac:dyDescent="0.25">
      <c r="A9190" s="1" t="s">
        <v>187</v>
      </c>
      <c r="B9190" s="1" t="s">
        <v>1705</v>
      </c>
      <c r="C9190" s="1" t="s">
        <v>89</v>
      </c>
      <c r="D9190" s="3">
        <f t="shared" si="1434"/>
        <v>7309</v>
      </c>
      <c r="E9190" s="2">
        <f t="shared" si="1435"/>
        <v>41000</v>
      </c>
      <c r="F9190" s="2">
        <f t="shared" si="1436"/>
        <v>42277</v>
      </c>
    </row>
    <row r="9191" spans="1:6" x14ac:dyDescent="0.25">
      <c r="A9191" s="1" t="s">
        <v>187</v>
      </c>
      <c r="B9191" s="1" t="s">
        <v>1705</v>
      </c>
      <c r="C9191" s="1" t="s">
        <v>17</v>
      </c>
      <c r="D9191" s="3">
        <f t="shared" si="1434"/>
        <v>7309</v>
      </c>
      <c r="E9191" s="2">
        <f t="shared" si="1435"/>
        <v>41000</v>
      </c>
      <c r="F9191" s="2">
        <f t="shared" si="1436"/>
        <v>42277</v>
      </c>
    </row>
    <row r="9192" spans="1:6" x14ac:dyDescent="0.25">
      <c r="A9192" s="1" t="s">
        <v>187</v>
      </c>
      <c r="B9192" s="1" t="s">
        <v>1705</v>
      </c>
      <c r="C9192" s="1" t="s">
        <v>91</v>
      </c>
      <c r="D9192" s="3">
        <f t="shared" si="1434"/>
        <v>7309</v>
      </c>
      <c r="E9192" s="2">
        <f t="shared" si="1435"/>
        <v>41000</v>
      </c>
      <c r="F9192" s="2">
        <f t="shared" si="1436"/>
        <v>42277</v>
      </c>
    </row>
    <row r="9193" spans="1:6" x14ac:dyDescent="0.25">
      <c r="A9193" s="1" t="s">
        <v>187</v>
      </c>
      <c r="B9193" s="1" t="s">
        <v>1705</v>
      </c>
      <c r="C9193" s="1" t="s">
        <v>22</v>
      </c>
      <c r="D9193" s="3">
        <f t="shared" si="1434"/>
        <v>7309</v>
      </c>
      <c r="E9193" s="2">
        <f t="shared" si="1435"/>
        <v>41000</v>
      </c>
      <c r="F9193" s="2">
        <f t="shared" si="1436"/>
        <v>42277</v>
      </c>
    </row>
    <row r="9194" spans="1:6" x14ac:dyDescent="0.25">
      <c r="A9194" s="1" t="s">
        <v>187</v>
      </c>
      <c r="B9194" s="1" t="s">
        <v>1705</v>
      </c>
      <c r="C9194" s="1" t="s">
        <v>148</v>
      </c>
      <c r="D9194" s="3">
        <f t="shared" si="1434"/>
        <v>7309</v>
      </c>
      <c r="E9194" s="2">
        <f t="shared" si="1435"/>
        <v>41000</v>
      </c>
      <c r="F9194" s="2">
        <f t="shared" si="1436"/>
        <v>42277</v>
      </c>
    </row>
    <row r="9195" spans="1:6" x14ac:dyDescent="0.25">
      <c r="A9195" s="1" t="s">
        <v>187</v>
      </c>
      <c r="B9195" s="1" t="s">
        <v>1705</v>
      </c>
      <c r="C9195" s="1" t="s">
        <v>150</v>
      </c>
      <c r="D9195" s="3">
        <f t="shared" si="1434"/>
        <v>7309</v>
      </c>
      <c r="E9195" s="2">
        <f t="shared" si="1435"/>
        <v>41000</v>
      </c>
      <c r="F9195" s="2">
        <f t="shared" si="1436"/>
        <v>42277</v>
      </c>
    </row>
    <row r="9196" spans="1:6" x14ac:dyDescent="0.25">
      <c r="A9196" s="1" t="s">
        <v>187</v>
      </c>
      <c r="B9196" s="1" t="s">
        <v>1705</v>
      </c>
      <c r="C9196" s="1" t="s">
        <v>320</v>
      </c>
      <c r="D9196" s="3">
        <f t="shared" si="1434"/>
        <v>7309</v>
      </c>
      <c r="E9196" s="2">
        <f t="shared" si="1435"/>
        <v>41000</v>
      </c>
      <c r="F9196" s="2">
        <f t="shared" si="1436"/>
        <v>42277</v>
      </c>
    </row>
    <row r="9197" spans="1:6" x14ac:dyDescent="0.25">
      <c r="A9197" s="1" t="s">
        <v>187</v>
      </c>
      <c r="B9197" s="1" t="s">
        <v>1705</v>
      </c>
      <c r="C9197" s="1" t="s">
        <v>93</v>
      </c>
      <c r="D9197" s="3">
        <f t="shared" si="1434"/>
        <v>7309</v>
      </c>
      <c r="E9197" s="2">
        <f t="shared" si="1435"/>
        <v>41000</v>
      </c>
      <c r="F9197" s="2">
        <f t="shared" si="1436"/>
        <v>42277</v>
      </c>
    </row>
    <row r="9198" spans="1:6" x14ac:dyDescent="0.25">
      <c r="A9198" s="1" t="s">
        <v>187</v>
      </c>
      <c r="B9198" s="1" t="s">
        <v>1705</v>
      </c>
      <c r="C9198" s="1" t="s">
        <v>129</v>
      </c>
      <c r="D9198" s="3">
        <f t="shared" si="1434"/>
        <v>7309</v>
      </c>
      <c r="E9198" s="2">
        <f t="shared" si="1435"/>
        <v>41000</v>
      </c>
      <c r="F9198" s="2">
        <f t="shared" si="1436"/>
        <v>42277</v>
      </c>
    </row>
    <row r="9199" spans="1:6" x14ac:dyDescent="0.25">
      <c r="A9199" s="1" t="s">
        <v>187</v>
      </c>
      <c r="B9199" s="1" t="s">
        <v>1705</v>
      </c>
      <c r="C9199" s="1" t="s">
        <v>177</v>
      </c>
      <c r="D9199" s="3">
        <f t="shared" si="1434"/>
        <v>7309</v>
      </c>
      <c r="E9199" s="2">
        <f t="shared" si="1435"/>
        <v>41000</v>
      </c>
      <c r="F9199" s="2">
        <f t="shared" si="1436"/>
        <v>42277</v>
      </c>
    </row>
    <row r="9200" spans="1:6" x14ac:dyDescent="0.25">
      <c r="A9200" s="1" t="s">
        <v>187</v>
      </c>
      <c r="B9200" s="1" t="s">
        <v>1705</v>
      </c>
      <c r="C9200" s="1" t="s">
        <v>181</v>
      </c>
      <c r="D9200" s="3">
        <f t="shared" si="1434"/>
        <v>7309</v>
      </c>
      <c r="E9200" s="2">
        <f t="shared" si="1435"/>
        <v>41000</v>
      </c>
      <c r="F9200" s="2">
        <f t="shared" si="1436"/>
        <v>42277</v>
      </c>
    </row>
    <row r="9201" spans="1:6" x14ac:dyDescent="0.25">
      <c r="A9201" s="1" t="s">
        <v>187</v>
      </c>
      <c r="B9201" s="1" t="s">
        <v>1705</v>
      </c>
      <c r="C9201" s="1" t="s">
        <v>130</v>
      </c>
      <c r="D9201" s="3">
        <f t="shared" si="1434"/>
        <v>7309</v>
      </c>
      <c r="E9201" s="2">
        <f t="shared" si="1435"/>
        <v>41000</v>
      </c>
      <c r="F9201" s="2">
        <f t="shared" si="1436"/>
        <v>42277</v>
      </c>
    </row>
    <row r="9202" spans="1:6" x14ac:dyDescent="0.25">
      <c r="A9202" s="1" t="s">
        <v>187</v>
      </c>
      <c r="B9202" s="1" t="s">
        <v>1705</v>
      </c>
      <c r="C9202" s="1" t="s">
        <v>94</v>
      </c>
      <c r="D9202" s="3">
        <f t="shared" si="1434"/>
        <v>7309</v>
      </c>
      <c r="E9202" s="2">
        <f t="shared" si="1435"/>
        <v>41000</v>
      </c>
      <c r="F9202" s="2">
        <f t="shared" si="1436"/>
        <v>42277</v>
      </c>
    </row>
    <row r="9203" spans="1:6" x14ac:dyDescent="0.25">
      <c r="A9203" s="1" t="s">
        <v>187</v>
      </c>
      <c r="B9203" s="1" t="s">
        <v>1705</v>
      </c>
      <c r="C9203" s="1" t="s">
        <v>102</v>
      </c>
      <c r="D9203" s="3">
        <f t="shared" si="1434"/>
        <v>7309</v>
      </c>
      <c r="E9203" s="2">
        <f t="shared" si="1435"/>
        <v>41000</v>
      </c>
      <c r="F9203" s="2">
        <f t="shared" si="1436"/>
        <v>42277</v>
      </c>
    </row>
    <row r="9204" spans="1:6" x14ac:dyDescent="0.25">
      <c r="A9204" s="1" t="s">
        <v>187</v>
      </c>
      <c r="B9204" s="1" t="s">
        <v>1705</v>
      </c>
      <c r="C9204" s="1" t="s">
        <v>103</v>
      </c>
      <c r="D9204" s="3">
        <f t="shared" si="1434"/>
        <v>7309</v>
      </c>
      <c r="E9204" s="2">
        <f t="shared" si="1435"/>
        <v>41000</v>
      </c>
      <c r="F9204" s="2">
        <f t="shared" si="1436"/>
        <v>42277</v>
      </c>
    </row>
    <row r="9205" spans="1:6" x14ac:dyDescent="0.25">
      <c r="A9205" s="1" t="s">
        <v>187</v>
      </c>
      <c r="B9205" s="1" t="s">
        <v>1705</v>
      </c>
      <c r="C9205" s="1" t="s">
        <v>310</v>
      </c>
      <c r="D9205" s="3">
        <f t="shared" si="1434"/>
        <v>7309</v>
      </c>
      <c r="E9205" s="2">
        <f t="shared" si="1435"/>
        <v>41000</v>
      </c>
      <c r="F9205" s="2">
        <f t="shared" si="1436"/>
        <v>42277</v>
      </c>
    </row>
    <row r="9206" spans="1:6" x14ac:dyDescent="0.25">
      <c r="A9206" s="1" t="s">
        <v>187</v>
      </c>
      <c r="B9206" s="1" t="s">
        <v>1705</v>
      </c>
      <c r="C9206" s="1" t="s">
        <v>133</v>
      </c>
      <c r="D9206" s="3">
        <f t="shared" si="1434"/>
        <v>7309</v>
      </c>
      <c r="E9206" s="2">
        <f t="shared" si="1435"/>
        <v>41000</v>
      </c>
      <c r="F9206" s="2">
        <f t="shared" si="1436"/>
        <v>42277</v>
      </c>
    </row>
    <row r="9207" spans="1:6" x14ac:dyDescent="0.25">
      <c r="A9207" s="1" t="s">
        <v>187</v>
      </c>
      <c r="B9207" s="1" t="s">
        <v>1705</v>
      </c>
      <c r="C9207" s="1" t="s">
        <v>134</v>
      </c>
      <c r="D9207" s="3">
        <f t="shared" si="1434"/>
        <v>7309</v>
      </c>
      <c r="E9207" s="2">
        <f t="shared" si="1435"/>
        <v>41000</v>
      </c>
      <c r="F9207" s="2">
        <f t="shared" si="1436"/>
        <v>42277</v>
      </c>
    </row>
    <row r="9208" spans="1:6" x14ac:dyDescent="0.25">
      <c r="A9208" s="1" t="s">
        <v>187</v>
      </c>
      <c r="B9208" s="1" t="s">
        <v>275</v>
      </c>
      <c r="C9208" s="1" t="s">
        <v>276</v>
      </c>
      <c r="D9208" s="3">
        <f t="shared" ref="D9208:D9248" si="1437">VALUE("7267")</f>
        <v>7267</v>
      </c>
      <c r="E9208" s="2">
        <f t="shared" ref="E9208:E9248" si="1438">DATEVALUE("1-12-2011")</f>
        <v>40878</v>
      </c>
      <c r="F9208" s="2">
        <f t="shared" ref="F9208:F9248" si="1439">DATEVALUE("30-11-2025")</f>
        <v>45991</v>
      </c>
    </row>
    <row r="9209" spans="1:6" x14ac:dyDescent="0.25">
      <c r="A9209" s="1" t="s">
        <v>187</v>
      </c>
      <c r="B9209" s="1" t="s">
        <v>275</v>
      </c>
      <c r="C9209" s="1" t="s">
        <v>85</v>
      </c>
      <c r="D9209" s="3">
        <f t="shared" si="1437"/>
        <v>7267</v>
      </c>
      <c r="E9209" s="2">
        <f t="shared" si="1438"/>
        <v>40878</v>
      </c>
      <c r="F9209" s="2">
        <f t="shared" si="1439"/>
        <v>45991</v>
      </c>
    </row>
    <row r="9210" spans="1:6" x14ac:dyDescent="0.25">
      <c r="A9210" s="1" t="s">
        <v>187</v>
      </c>
      <c r="B9210" s="1" t="s">
        <v>275</v>
      </c>
      <c r="C9210" s="1" t="s">
        <v>84</v>
      </c>
      <c r="D9210" s="3">
        <f t="shared" si="1437"/>
        <v>7267</v>
      </c>
      <c r="E9210" s="2">
        <f t="shared" si="1438"/>
        <v>40878</v>
      </c>
      <c r="F9210" s="2">
        <f t="shared" si="1439"/>
        <v>45991</v>
      </c>
    </row>
    <row r="9211" spans="1:6" x14ac:dyDescent="0.25">
      <c r="A9211" s="1" t="s">
        <v>187</v>
      </c>
      <c r="B9211" s="1" t="s">
        <v>275</v>
      </c>
      <c r="C9211" s="1" t="s">
        <v>46</v>
      </c>
      <c r="D9211" s="3">
        <f t="shared" si="1437"/>
        <v>7267</v>
      </c>
      <c r="E9211" s="2">
        <f t="shared" si="1438"/>
        <v>40878</v>
      </c>
      <c r="F9211" s="2">
        <f t="shared" si="1439"/>
        <v>45991</v>
      </c>
    </row>
    <row r="9212" spans="1:6" x14ac:dyDescent="0.25">
      <c r="A9212" s="1" t="s">
        <v>187</v>
      </c>
      <c r="B9212" s="1" t="s">
        <v>275</v>
      </c>
      <c r="C9212" s="1" t="s">
        <v>87</v>
      </c>
      <c r="D9212" s="3">
        <f t="shared" si="1437"/>
        <v>7267</v>
      </c>
      <c r="E9212" s="2">
        <f t="shared" si="1438"/>
        <v>40878</v>
      </c>
      <c r="F9212" s="2">
        <f t="shared" si="1439"/>
        <v>45991</v>
      </c>
    </row>
    <row r="9213" spans="1:6" x14ac:dyDescent="0.25">
      <c r="A9213" s="1" t="s">
        <v>187</v>
      </c>
      <c r="B9213" s="1" t="s">
        <v>275</v>
      </c>
      <c r="C9213" s="1" t="s">
        <v>14</v>
      </c>
      <c r="D9213" s="3">
        <f t="shared" si="1437"/>
        <v>7267</v>
      </c>
      <c r="E9213" s="2">
        <f t="shared" si="1438"/>
        <v>40878</v>
      </c>
      <c r="F9213" s="2">
        <f t="shared" si="1439"/>
        <v>45991</v>
      </c>
    </row>
    <row r="9214" spans="1:6" x14ac:dyDescent="0.25">
      <c r="A9214" s="1" t="s">
        <v>187</v>
      </c>
      <c r="B9214" s="1" t="s">
        <v>275</v>
      </c>
      <c r="C9214" s="1" t="s">
        <v>66</v>
      </c>
      <c r="D9214" s="3">
        <f t="shared" si="1437"/>
        <v>7267</v>
      </c>
      <c r="E9214" s="2">
        <f t="shared" si="1438"/>
        <v>40878</v>
      </c>
      <c r="F9214" s="2">
        <f t="shared" si="1439"/>
        <v>45991</v>
      </c>
    </row>
    <row r="9215" spans="1:6" x14ac:dyDescent="0.25">
      <c r="A9215" s="1" t="s">
        <v>187</v>
      </c>
      <c r="B9215" s="1" t="s">
        <v>275</v>
      </c>
      <c r="C9215" s="1" t="s">
        <v>15</v>
      </c>
      <c r="D9215" s="3">
        <f t="shared" si="1437"/>
        <v>7267</v>
      </c>
      <c r="E9215" s="2">
        <f t="shared" si="1438"/>
        <v>40878</v>
      </c>
      <c r="F9215" s="2">
        <f t="shared" si="1439"/>
        <v>45991</v>
      </c>
    </row>
    <row r="9216" spans="1:6" x14ac:dyDescent="0.25">
      <c r="A9216" s="1" t="s">
        <v>187</v>
      </c>
      <c r="B9216" s="1" t="s">
        <v>275</v>
      </c>
      <c r="C9216" s="1" t="s">
        <v>16</v>
      </c>
      <c r="D9216" s="3">
        <f t="shared" si="1437"/>
        <v>7267</v>
      </c>
      <c r="E9216" s="2">
        <f t="shared" si="1438"/>
        <v>40878</v>
      </c>
      <c r="F9216" s="2">
        <f t="shared" si="1439"/>
        <v>45991</v>
      </c>
    </row>
    <row r="9217" spans="1:6" x14ac:dyDescent="0.25">
      <c r="A9217" s="1" t="s">
        <v>187</v>
      </c>
      <c r="B9217" s="1" t="s">
        <v>275</v>
      </c>
      <c r="C9217" s="1" t="s">
        <v>89</v>
      </c>
      <c r="D9217" s="3">
        <f t="shared" si="1437"/>
        <v>7267</v>
      </c>
      <c r="E9217" s="2">
        <f t="shared" si="1438"/>
        <v>40878</v>
      </c>
      <c r="F9217" s="2">
        <f t="shared" si="1439"/>
        <v>45991</v>
      </c>
    </row>
    <row r="9218" spans="1:6" x14ac:dyDescent="0.25">
      <c r="A9218" s="1" t="s">
        <v>187</v>
      </c>
      <c r="B9218" s="1" t="s">
        <v>275</v>
      </c>
      <c r="C9218" s="1" t="s">
        <v>17</v>
      </c>
      <c r="D9218" s="3">
        <f t="shared" si="1437"/>
        <v>7267</v>
      </c>
      <c r="E9218" s="2">
        <f t="shared" si="1438"/>
        <v>40878</v>
      </c>
      <c r="F9218" s="2">
        <f t="shared" si="1439"/>
        <v>45991</v>
      </c>
    </row>
    <row r="9219" spans="1:6" x14ac:dyDescent="0.25">
      <c r="A9219" s="1" t="s">
        <v>187</v>
      </c>
      <c r="B9219" s="1" t="s">
        <v>275</v>
      </c>
      <c r="C9219" s="1" t="s">
        <v>91</v>
      </c>
      <c r="D9219" s="3">
        <f t="shared" si="1437"/>
        <v>7267</v>
      </c>
      <c r="E9219" s="2">
        <f t="shared" si="1438"/>
        <v>40878</v>
      </c>
      <c r="F9219" s="2">
        <f t="shared" si="1439"/>
        <v>45991</v>
      </c>
    </row>
    <row r="9220" spans="1:6" x14ac:dyDescent="0.25">
      <c r="A9220" s="1" t="s">
        <v>187</v>
      </c>
      <c r="B9220" s="1" t="s">
        <v>275</v>
      </c>
      <c r="C9220" s="1" t="s">
        <v>197</v>
      </c>
      <c r="D9220" s="3">
        <f t="shared" si="1437"/>
        <v>7267</v>
      </c>
      <c r="E9220" s="2">
        <f t="shared" si="1438"/>
        <v>40878</v>
      </c>
      <c r="F9220" s="2">
        <f t="shared" si="1439"/>
        <v>45991</v>
      </c>
    </row>
    <row r="9221" spans="1:6" x14ac:dyDescent="0.25">
      <c r="A9221" s="1" t="s">
        <v>187</v>
      </c>
      <c r="B9221" s="1" t="s">
        <v>275</v>
      </c>
      <c r="C9221" s="1" t="s">
        <v>22</v>
      </c>
      <c r="D9221" s="3">
        <f t="shared" si="1437"/>
        <v>7267</v>
      </c>
      <c r="E9221" s="2">
        <f t="shared" si="1438"/>
        <v>40878</v>
      </c>
      <c r="F9221" s="2">
        <f t="shared" si="1439"/>
        <v>45991</v>
      </c>
    </row>
    <row r="9222" spans="1:6" x14ac:dyDescent="0.25">
      <c r="A9222" s="1" t="s">
        <v>187</v>
      </c>
      <c r="B9222" s="1" t="s">
        <v>275</v>
      </c>
      <c r="C9222" s="1" t="s">
        <v>146</v>
      </c>
      <c r="D9222" s="3">
        <f t="shared" si="1437"/>
        <v>7267</v>
      </c>
      <c r="E9222" s="2">
        <f t="shared" si="1438"/>
        <v>40878</v>
      </c>
      <c r="F9222" s="2">
        <f t="shared" si="1439"/>
        <v>45991</v>
      </c>
    </row>
    <row r="9223" spans="1:6" x14ac:dyDescent="0.25">
      <c r="A9223" s="1" t="s">
        <v>187</v>
      </c>
      <c r="B9223" s="1" t="s">
        <v>275</v>
      </c>
      <c r="C9223" s="1" t="s">
        <v>148</v>
      </c>
      <c r="D9223" s="3">
        <f t="shared" si="1437"/>
        <v>7267</v>
      </c>
      <c r="E9223" s="2">
        <f t="shared" si="1438"/>
        <v>40878</v>
      </c>
      <c r="F9223" s="2">
        <f t="shared" si="1439"/>
        <v>45991</v>
      </c>
    </row>
    <row r="9224" spans="1:6" x14ac:dyDescent="0.25">
      <c r="A9224" s="1" t="s">
        <v>187</v>
      </c>
      <c r="B9224" s="1" t="s">
        <v>275</v>
      </c>
      <c r="C9224" s="1" t="s">
        <v>149</v>
      </c>
      <c r="D9224" s="3">
        <f t="shared" si="1437"/>
        <v>7267</v>
      </c>
      <c r="E9224" s="2">
        <f t="shared" si="1438"/>
        <v>40878</v>
      </c>
      <c r="F9224" s="2">
        <f t="shared" si="1439"/>
        <v>45991</v>
      </c>
    </row>
    <row r="9225" spans="1:6" x14ac:dyDescent="0.25">
      <c r="A9225" s="1" t="s">
        <v>187</v>
      </c>
      <c r="B9225" s="1" t="s">
        <v>275</v>
      </c>
      <c r="C9225" s="1" t="s">
        <v>92</v>
      </c>
      <c r="D9225" s="3">
        <f t="shared" si="1437"/>
        <v>7267</v>
      </c>
      <c r="E9225" s="2">
        <f t="shared" si="1438"/>
        <v>40878</v>
      </c>
      <c r="F9225" s="2">
        <f t="shared" si="1439"/>
        <v>45991</v>
      </c>
    </row>
    <row r="9226" spans="1:6" x14ac:dyDescent="0.25">
      <c r="A9226" s="1" t="s">
        <v>187</v>
      </c>
      <c r="B9226" s="1" t="s">
        <v>275</v>
      </c>
      <c r="C9226" s="1" t="s">
        <v>128</v>
      </c>
      <c r="D9226" s="3">
        <f t="shared" si="1437"/>
        <v>7267</v>
      </c>
      <c r="E9226" s="2">
        <f t="shared" si="1438"/>
        <v>40878</v>
      </c>
      <c r="F9226" s="2">
        <f t="shared" si="1439"/>
        <v>45991</v>
      </c>
    </row>
    <row r="9227" spans="1:6" x14ac:dyDescent="0.25">
      <c r="A9227" s="1" t="s">
        <v>187</v>
      </c>
      <c r="B9227" s="1" t="s">
        <v>275</v>
      </c>
      <c r="C9227" s="1" t="s">
        <v>180</v>
      </c>
      <c r="D9227" s="3">
        <f t="shared" si="1437"/>
        <v>7267</v>
      </c>
      <c r="E9227" s="2">
        <f t="shared" si="1438"/>
        <v>40878</v>
      </c>
      <c r="F9227" s="2">
        <f t="shared" si="1439"/>
        <v>45991</v>
      </c>
    </row>
    <row r="9228" spans="1:6" x14ac:dyDescent="0.25">
      <c r="A9228" s="1" t="s">
        <v>187</v>
      </c>
      <c r="B9228" s="1" t="s">
        <v>275</v>
      </c>
      <c r="C9228" s="1" t="s">
        <v>277</v>
      </c>
      <c r="D9228" s="3">
        <f t="shared" si="1437"/>
        <v>7267</v>
      </c>
      <c r="E9228" s="2">
        <f t="shared" si="1438"/>
        <v>40878</v>
      </c>
      <c r="F9228" s="2">
        <f t="shared" si="1439"/>
        <v>45991</v>
      </c>
    </row>
    <row r="9229" spans="1:6" x14ac:dyDescent="0.25">
      <c r="A9229" s="1" t="s">
        <v>187</v>
      </c>
      <c r="B9229" s="1" t="s">
        <v>275</v>
      </c>
      <c r="C9229" s="1" t="s">
        <v>278</v>
      </c>
      <c r="D9229" s="3">
        <f t="shared" si="1437"/>
        <v>7267</v>
      </c>
      <c r="E9229" s="2">
        <f t="shared" si="1438"/>
        <v>40878</v>
      </c>
      <c r="F9229" s="2">
        <f t="shared" si="1439"/>
        <v>45991</v>
      </c>
    </row>
    <row r="9230" spans="1:6" x14ac:dyDescent="0.25">
      <c r="A9230" s="1" t="s">
        <v>187</v>
      </c>
      <c r="B9230" s="1" t="s">
        <v>275</v>
      </c>
      <c r="C9230" s="1" t="s">
        <v>279</v>
      </c>
      <c r="D9230" s="3">
        <f t="shared" si="1437"/>
        <v>7267</v>
      </c>
      <c r="E9230" s="2">
        <f t="shared" si="1438"/>
        <v>40878</v>
      </c>
      <c r="F9230" s="2">
        <f t="shared" si="1439"/>
        <v>45991</v>
      </c>
    </row>
    <row r="9231" spans="1:6" x14ac:dyDescent="0.25">
      <c r="A9231" s="1" t="s">
        <v>187</v>
      </c>
      <c r="B9231" s="1" t="s">
        <v>275</v>
      </c>
      <c r="C9231" s="1" t="s">
        <v>280</v>
      </c>
      <c r="D9231" s="3">
        <f t="shared" si="1437"/>
        <v>7267</v>
      </c>
      <c r="E9231" s="2">
        <f t="shared" si="1438"/>
        <v>40878</v>
      </c>
      <c r="F9231" s="2">
        <f t="shared" si="1439"/>
        <v>45991</v>
      </c>
    </row>
    <row r="9232" spans="1:6" x14ac:dyDescent="0.25">
      <c r="A9232" s="1" t="s">
        <v>187</v>
      </c>
      <c r="B9232" s="1" t="s">
        <v>275</v>
      </c>
      <c r="C9232" s="1" t="s">
        <v>281</v>
      </c>
      <c r="D9232" s="3">
        <f t="shared" si="1437"/>
        <v>7267</v>
      </c>
      <c r="E9232" s="2">
        <f t="shared" si="1438"/>
        <v>40878</v>
      </c>
      <c r="F9232" s="2">
        <f t="shared" si="1439"/>
        <v>45991</v>
      </c>
    </row>
    <row r="9233" spans="1:6" x14ac:dyDescent="0.25">
      <c r="A9233" s="1" t="s">
        <v>187</v>
      </c>
      <c r="B9233" s="1" t="s">
        <v>275</v>
      </c>
      <c r="C9233" s="1" t="s">
        <v>282</v>
      </c>
      <c r="D9233" s="3">
        <f t="shared" si="1437"/>
        <v>7267</v>
      </c>
      <c r="E9233" s="2">
        <f t="shared" si="1438"/>
        <v>40878</v>
      </c>
      <c r="F9233" s="2">
        <f t="shared" si="1439"/>
        <v>45991</v>
      </c>
    </row>
    <row r="9234" spans="1:6" x14ac:dyDescent="0.25">
      <c r="A9234" s="1" t="s">
        <v>187</v>
      </c>
      <c r="B9234" s="1" t="s">
        <v>275</v>
      </c>
      <c r="C9234" s="1" t="s">
        <v>94</v>
      </c>
      <c r="D9234" s="3">
        <f t="shared" si="1437"/>
        <v>7267</v>
      </c>
      <c r="E9234" s="2">
        <f t="shared" si="1438"/>
        <v>40878</v>
      </c>
      <c r="F9234" s="2">
        <f t="shared" si="1439"/>
        <v>45991</v>
      </c>
    </row>
    <row r="9235" spans="1:6" x14ac:dyDescent="0.25">
      <c r="A9235" s="1" t="s">
        <v>187</v>
      </c>
      <c r="B9235" s="1" t="s">
        <v>275</v>
      </c>
      <c r="C9235" s="1" t="s">
        <v>24</v>
      </c>
      <c r="D9235" s="3">
        <f t="shared" si="1437"/>
        <v>7267</v>
      </c>
      <c r="E9235" s="2">
        <f t="shared" si="1438"/>
        <v>40878</v>
      </c>
      <c r="F9235" s="2">
        <f t="shared" si="1439"/>
        <v>45991</v>
      </c>
    </row>
    <row r="9236" spans="1:6" x14ac:dyDescent="0.25">
      <c r="A9236" s="1" t="s">
        <v>187</v>
      </c>
      <c r="B9236" s="1" t="s">
        <v>275</v>
      </c>
      <c r="C9236" s="1" t="s">
        <v>102</v>
      </c>
      <c r="D9236" s="3">
        <f t="shared" si="1437"/>
        <v>7267</v>
      </c>
      <c r="E9236" s="2">
        <f t="shared" si="1438"/>
        <v>40878</v>
      </c>
      <c r="F9236" s="2">
        <f t="shared" si="1439"/>
        <v>45991</v>
      </c>
    </row>
    <row r="9237" spans="1:6" x14ac:dyDescent="0.25">
      <c r="A9237" s="1" t="s">
        <v>187</v>
      </c>
      <c r="B9237" s="1" t="s">
        <v>275</v>
      </c>
      <c r="C9237" s="1" t="s">
        <v>103</v>
      </c>
      <c r="D9237" s="3">
        <f t="shared" si="1437"/>
        <v>7267</v>
      </c>
      <c r="E9237" s="2">
        <f t="shared" si="1438"/>
        <v>40878</v>
      </c>
      <c r="F9237" s="2">
        <f t="shared" si="1439"/>
        <v>45991</v>
      </c>
    </row>
    <row r="9238" spans="1:6" x14ac:dyDescent="0.25">
      <c r="A9238" s="1" t="s">
        <v>187</v>
      </c>
      <c r="B9238" s="1" t="s">
        <v>275</v>
      </c>
      <c r="C9238" s="1" t="s">
        <v>283</v>
      </c>
      <c r="D9238" s="3">
        <f t="shared" si="1437"/>
        <v>7267</v>
      </c>
      <c r="E9238" s="2">
        <f t="shared" si="1438"/>
        <v>40878</v>
      </c>
      <c r="F9238" s="2">
        <f t="shared" si="1439"/>
        <v>45991</v>
      </c>
    </row>
    <row r="9239" spans="1:6" x14ac:dyDescent="0.25">
      <c r="A9239" s="1" t="s">
        <v>187</v>
      </c>
      <c r="B9239" s="1" t="s">
        <v>275</v>
      </c>
      <c r="C9239" s="1" t="s">
        <v>121</v>
      </c>
      <c r="D9239" s="3">
        <f t="shared" si="1437"/>
        <v>7267</v>
      </c>
      <c r="E9239" s="2">
        <f t="shared" si="1438"/>
        <v>40878</v>
      </c>
      <c r="F9239" s="2">
        <f t="shared" si="1439"/>
        <v>45991</v>
      </c>
    </row>
    <row r="9240" spans="1:6" x14ac:dyDescent="0.25">
      <c r="A9240" s="1" t="s">
        <v>187</v>
      </c>
      <c r="B9240" s="1" t="s">
        <v>275</v>
      </c>
      <c r="C9240" s="1" t="s">
        <v>73</v>
      </c>
      <c r="D9240" s="3">
        <f t="shared" si="1437"/>
        <v>7267</v>
      </c>
      <c r="E9240" s="2">
        <f t="shared" si="1438"/>
        <v>40878</v>
      </c>
      <c r="F9240" s="2">
        <f t="shared" si="1439"/>
        <v>45991</v>
      </c>
    </row>
    <row r="9241" spans="1:6" x14ac:dyDescent="0.25">
      <c r="A9241" s="1" t="s">
        <v>187</v>
      </c>
      <c r="B9241" s="1" t="s">
        <v>275</v>
      </c>
      <c r="C9241" s="1" t="s">
        <v>74</v>
      </c>
      <c r="D9241" s="3">
        <f t="shared" si="1437"/>
        <v>7267</v>
      </c>
      <c r="E9241" s="2">
        <f t="shared" si="1438"/>
        <v>40878</v>
      </c>
      <c r="F9241" s="2">
        <f t="shared" si="1439"/>
        <v>45991</v>
      </c>
    </row>
    <row r="9242" spans="1:6" x14ac:dyDescent="0.25">
      <c r="A9242" s="1" t="s">
        <v>187</v>
      </c>
      <c r="B9242" s="1" t="s">
        <v>275</v>
      </c>
      <c r="C9242" s="1" t="s">
        <v>160</v>
      </c>
      <c r="D9242" s="3">
        <f t="shared" si="1437"/>
        <v>7267</v>
      </c>
      <c r="E9242" s="2">
        <f t="shared" si="1438"/>
        <v>40878</v>
      </c>
      <c r="F9242" s="2">
        <f t="shared" si="1439"/>
        <v>45991</v>
      </c>
    </row>
    <row r="9243" spans="1:6" x14ac:dyDescent="0.25">
      <c r="A9243" s="1" t="s">
        <v>187</v>
      </c>
      <c r="B9243" s="1" t="s">
        <v>275</v>
      </c>
      <c r="C9243" s="1" t="s">
        <v>54</v>
      </c>
      <c r="D9243" s="3">
        <f t="shared" si="1437"/>
        <v>7267</v>
      </c>
      <c r="E9243" s="2">
        <f t="shared" si="1438"/>
        <v>40878</v>
      </c>
      <c r="F9243" s="2">
        <f t="shared" si="1439"/>
        <v>45991</v>
      </c>
    </row>
    <row r="9244" spans="1:6" x14ac:dyDescent="0.25">
      <c r="A9244" s="1" t="s">
        <v>187</v>
      </c>
      <c r="B9244" s="1" t="s">
        <v>275</v>
      </c>
      <c r="C9244" s="1" t="s">
        <v>34</v>
      </c>
      <c r="D9244" s="3">
        <f t="shared" si="1437"/>
        <v>7267</v>
      </c>
      <c r="E9244" s="2">
        <f t="shared" si="1438"/>
        <v>40878</v>
      </c>
      <c r="F9244" s="2">
        <f t="shared" si="1439"/>
        <v>45991</v>
      </c>
    </row>
    <row r="9245" spans="1:6" x14ac:dyDescent="0.25">
      <c r="A9245" s="1" t="s">
        <v>187</v>
      </c>
      <c r="B9245" s="1" t="s">
        <v>275</v>
      </c>
      <c r="C9245" s="1" t="s">
        <v>55</v>
      </c>
      <c r="D9245" s="3">
        <f t="shared" si="1437"/>
        <v>7267</v>
      </c>
      <c r="E9245" s="2">
        <f t="shared" si="1438"/>
        <v>40878</v>
      </c>
      <c r="F9245" s="2">
        <f t="shared" si="1439"/>
        <v>45991</v>
      </c>
    </row>
    <row r="9246" spans="1:6" x14ac:dyDescent="0.25">
      <c r="A9246" s="1" t="s">
        <v>187</v>
      </c>
      <c r="B9246" s="1" t="s">
        <v>275</v>
      </c>
      <c r="C9246" s="1" t="s">
        <v>163</v>
      </c>
      <c r="D9246" s="3">
        <f t="shared" si="1437"/>
        <v>7267</v>
      </c>
      <c r="E9246" s="2">
        <f t="shared" si="1438"/>
        <v>40878</v>
      </c>
      <c r="F9246" s="2">
        <f t="shared" si="1439"/>
        <v>45991</v>
      </c>
    </row>
    <row r="9247" spans="1:6" x14ac:dyDescent="0.25">
      <c r="A9247" s="1" t="s">
        <v>187</v>
      </c>
      <c r="B9247" s="1" t="s">
        <v>275</v>
      </c>
      <c r="C9247" s="1" t="s">
        <v>164</v>
      </c>
      <c r="D9247" s="3">
        <f t="shared" si="1437"/>
        <v>7267</v>
      </c>
      <c r="E9247" s="2">
        <f t="shared" si="1438"/>
        <v>40878</v>
      </c>
      <c r="F9247" s="2">
        <f t="shared" si="1439"/>
        <v>45991</v>
      </c>
    </row>
    <row r="9248" spans="1:6" x14ac:dyDescent="0.25">
      <c r="A9248" s="1" t="s">
        <v>187</v>
      </c>
      <c r="B9248" s="1" t="s">
        <v>275</v>
      </c>
      <c r="C9248" s="1" t="s">
        <v>170</v>
      </c>
      <c r="D9248" s="3">
        <f t="shared" si="1437"/>
        <v>7267</v>
      </c>
      <c r="E9248" s="2">
        <f t="shared" si="1438"/>
        <v>40878</v>
      </c>
      <c r="F9248" s="2">
        <f t="shared" si="1439"/>
        <v>45991</v>
      </c>
    </row>
    <row r="9249" spans="1:6" x14ac:dyDescent="0.25">
      <c r="A9249" s="1" t="s">
        <v>187</v>
      </c>
      <c r="B9249" s="1" t="s">
        <v>2619</v>
      </c>
      <c r="C9249" s="1" t="s">
        <v>325</v>
      </c>
      <c r="D9249" s="3">
        <f>VALUE("7226")</f>
        <v>7226</v>
      </c>
      <c r="E9249" s="2">
        <f>DATEVALUE("1-9-2011")</f>
        <v>40787</v>
      </c>
      <c r="F9249" s="2">
        <f>DATEVALUE("31-7-2012")</f>
        <v>41121</v>
      </c>
    </row>
    <row r="9250" spans="1:6" x14ac:dyDescent="0.25">
      <c r="A9250" s="1" t="s">
        <v>187</v>
      </c>
      <c r="B9250" s="1" t="s">
        <v>2619</v>
      </c>
      <c r="C9250" s="1" t="s">
        <v>85</v>
      </c>
      <c r="D9250" s="3">
        <f>VALUE("7226")</f>
        <v>7226</v>
      </c>
      <c r="E9250" s="2">
        <f>DATEVALUE("1-9-2011")</f>
        <v>40787</v>
      </c>
      <c r="F9250" s="2">
        <f>DATEVALUE("31-7-2012")</f>
        <v>41121</v>
      </c>
    </row>
    <row r="9251" spans="1:6" x14ac:dyDescent="0.25">
      <c r="A9251" s="1" t="s">
        <v>187</v>
      </c>
      <c r="B9251" s="1" t="s">
        <v>2619</v>
      </c>
      <c r="C9251" s="1" t="s">
        <v>46</v>
      </c>
      <c r="D9251" s="3">
        <f>VALUE("7226")</f>
        <v>7226</v>
      </c>
      <c r="E9251" s="2">
        <f>DATEVALUE("1-9-2011")</f>
        <v>40787</v>
      </c>
      <c r="F9251" s="2">
        <f>DATEVALUE("31-7-2012")</f>
        <v>41121</v>
      </c>
    </row>
    <row r="9252" spans="1:6" x14ac:dyDescent="0.25">
      <c r="A9252" s="1" t="s">
        <v>187</v>
      </c>
      <c r="B9252" s="1" t="s">
        <v>2619</v>
      </c>
      <c r="C9252" s="1" t="s">
        <v>17</v>
      </c>
      <c r="D9252" s="3">
        <f>VALUE("7226")</f>
        <v>7226</v>
      </c>
      <c r="E9252" s="2">
        <f>DATEVALUE("1-9-2011")</f>
        <v>40787</v>
      </c>
      <c r="F9252" s="2">
        <f>DATEVALUE("31-7-2012")</f>
        <v>41121</v>
      </c>
    </row>
    <row r="9253" spans="1:6" x14ac:dyDescent="0.25">
      <c r="A9253" s="1" t="s">
        <v>187</v>
      </c>
      <c r="B9253" s="1" t="s">
        <v>2619</v>
      </c>
      <c r="C9253" s="1" t="s">
        <v>216</v>
      </c>
      <c r="D9253" s="3">
        <f>VALUE("7226")</f>
        <v>7226</v>
      </c>
      <c r="E9253" s="2">
        <f>DATEVALUE("1-9-2011")</f>
        <v>40787</v>
      </c>
      <c r="F9253" s="2">
        <f>DATEVALUE("31-7-2012")</f>
        <v>41121</v>
      </c>
    </row>
    <row r="9254" spans="1:6" x14ac:dyDescent="0.25">
      <c r="A9254" s="1" t="s">
        <v>187</v>
      </c>
      <c r="B9254" s="1" t="s">
        <v>2571</v>
      </c>
      <c r="C9254" s="1" t="s">
        <v>85</v>
      </c>
      <c r="D9254" s="3">
        <f t="shared" ref="D9254:D9261" si="1440">VALUE("7105")</f>
        <v>7105</v>
      </c>
      <c r="E9254" s="2">
        <f t="shared" ref="E9254:E9261" si="1441">DATEVALUE("1-6-2011")</f>
        <v>40695</v>
      </c>
      <c r="F9254" s="2">
        <f t="shared" ref="F9254:F9261" si="1442">DATEVALUE("31-5-2012")</f>
        <v>41060</v>
      </c>
    </row>
    <row r="9255" spans="1:6" x14ac:dyDescent="0.25">
      <c r="A9255" s="1" t="s">
        <v>187</v>
      </c>
      <c r="B9255" s="1" t="s">
        <v>2571</v>
      </c>
      <c r="C9255" s="1" t="s">
        <v>320</v>
      </c>
      <c r="D9255" s="3">
        <f t="shared" si="1440"/>
        <v>7105</v>
      </c>
      <c r="E9255" s="2">
        <f t="shared" si="1441"/>
        <v>40695</v>
      </c>
      <c r="F9255" s="2">
        <f t="shared" si="1442"/>
        <v>41060</v>
      </c>
    </row>
    <row r="9256" spans="1:6" x14ac:dyDescent="0.25">
      <c r="A9256" s="1" t="s">
        <v>187</v>
      </c>
      <c r="B9256" s="1" t="s">
        <v>2571</v>
      </c>
      <c r="C9256" s="1" t="s">
        <v>330</v>
      </c>
      <c r="D9256" s="3">
        <f t="shared" si="1440"/>
        <v>7105</v>
      </c>
      <c r="E9256" s="2">
        <f t="shared" si="1441"/>
        <v>40695</v>
      </c>
      <c r="F9256" s="2">
        <f t="shared" si="1442"/>
        <v>41060</v>
      </c>
    </row>
    <row r="9257" spans="1:6" x14ac:dyDescent="0.25">
      <c r="A9257" s="1" t="s">
        <v>187</v>
      </c>
      <c r="B9257" s="1" t="s">
        <v>2571</v>
      </c>
      <c r="C9257" s="1" t="s">
        <v>331</v>
      </c>
      <c r="D9257" s="3">
        <f t="shared" si="1440"/>
        <v>7105</v>
      </c>
      <c r="E9257" s="2">
        <f t="shared" si="1441"/>
        <v>40695</v>
      </c>
      <c r="F9257" s="2">
        <f t="shared" si="1442"/>
        <v>41060</v>
      </c>
    </row>
    <row r="9258" spans="1:6" x14ac:dyDescent="0.25">
      <c r="A9258" s="1" t="s">
        <v>187</v>
      </c>
      <c r="B9258" s="1" t="s">
        <v>2571</v>
      </c>
      <c r="C9258" s="1" t="s">
        <v>25</v>
      </c>
      <c r="D9258" s="3">
        <f t="shared" si="1440"/>
        <v>7105</v>
      </c>
      <c r="E9258" s="2">
        <f t="shared" si="1441"/>
        <v>40695</v>
      </c>
      <c r="F9258" s="2">
        <f t="shared" si="1442"/>
        <v>41060</v>
      </c>
    </row>
    <row r="9259" spans="1:6" x14ac:dyDescent="0.25">
      <c r="A9259" s="1" t="s">
        <v>187</v>
      </c>
      <c r="B9259" s="1" t="s">
        <v>2571</v>
      </c>
      <c r="C9259" s="1" t="s">
        <v>121</v>
      </c>
      <c r="D9259" s="3">
        <f t="shared" si="1440"/>
        <v>7105</v>
      </c>
      <c r="E9259" s="2">
        <f t="shared" si="1441"/>
        <v>40695</v>
      </c>
      <c r="F9259" s="2">
        <f t="shared" si="1442"/>
        <v>41060</v>
      </c>
    </row>
    <row r="9260" spans="1:6" x14ac:dyDescent="0.25">
      <c r="A9260" s="1" t="s">
        <v>187</v>
      </c>
      <c r="B9260" s="1" t="s">
        <v>2571</v>
      </c>
      <c r="C9260" s="1" t="s">
        <v>333</v>
      </c>
      <c r="D9260" s="3">
        <f t="shared" si="1440"/>
        <v>7105</v>
      </c>
      <c r="E9260" s="2">
        <f t="shared" si="1441"/>
        <v>40695</v>
      </c>
      <c r="F9260" s="2">
        <f t="shared" si="1442"/>
        <v>41060</v>
      </c>
    </row>
    <row r="9261" spans="1:6" x14ac:dyDescent="0.25">
      <c r="A9261" s="1" t="s">
        <v>187</v>
      </c>
      <c r="B9261" s="1" t="s">
        <v>2571</v>
      </c>
      <c r="C9261" s="1" t="s">
        <v>185</v>
      </c>
      <c r="D9261" s="3">
        <f t="shared" si="1440"/>
        <v>7105</v>
      </c>
      <c r="E9261" s="2">
        <f t="shared" si="1441"/>
        <v>40695</v>
      </c>
      <c r="F9261" s="2">
        <f t="shared" si="1442"/>
        <v>41060</v>
      </c>
    </row>
    <row r="9262" spans="1:6" x14ac:dyDescent="0.25">
      <c r="A9262" s="1" t="s">
        <v>187</v>
      </c>
      <c r="B9262" s="1" t="s">
        <v>1703</v>
      </c>
      <c r="C9262" s="1" t="s">
        <v>85</v>
      </c>
      <c r="D9262" s="3">
        <f>VALUE("7190")</f>
        <v>7190</v>
      </c>
      <c r="E9262" s="2">
        <f>DATEVALUE("1-4-2011")</f>
        <v>40634</v>
      </c>
      <c r="F9262" s="2">
        <f>DATEVALUE("30-6-2015")</f>
        <v>42185</v>
      </c>
    </row>
    <row r="9263" spans="1:6" x14ac:dyDescent="0.25">
      <c r="A9263" s="1" t="s">
        <v>187</v>
      </c>
      <c r="B9263" s="1" t="s">
        <v>1703</v>
      </c>
      <c r="C9263" s="1" t="s">
        <v>320</v>
      </c>
      <c r="D9263" s="3">
        <f>VALUE("7190")</f>
        <v>7190</v>
      </c>
      <c r="E9263" s="2">
        <f>DATEVALUE("1-4-2011")</f>
        <v>40634</v>
      </c>
      <c r="F9263" s="2">
        <f>DATEVALUE("30-6-2015")</f>
        <v>42185</v>
      </c>
    </row>
    <row r="9264" spans="1:6" x14ac:dyDescent="0.25">
      <c r="A9264" s="1" t="s">
        <v>187</v>
      </c>
      <c r="B9264" s="1" t="s">
        <v>1703</v>
      </c>
      <c r="C9264" s="1" t="s">
        <v>93</v>
      </c>
      <c r="D9264" s="3">
        <f>VALUE("7190")</f>
        <v>7190</v>
      </c>
      <c r="E9264" s="2">
        <f>DATEVALUE("1-4-2011")</f>
        <v>40634</v>
      </c>
      <c r="F9264" s="2">
        <f>DATEVALUE("30-6-2015")</f>
        <v>42185</v>
      </c>
    </row>
    <row r="9265" spans="1:6" x14ac:dyDescent="0.25">
      <c r="A9265" s="1" t="s">
        <v>187</v>
      </c>
      <c r="B9265" s="1" t="s">
        <v>1703</v>
      </c>
      <c r="C9265" s="1" t="s">
        <v>129</v>
      </c>
      <c r="D9265" s="3">
        <f>VALUE("7190")</f>
        <v>7190</v>
      </c>
      <c r="E9265" s="2">
        <f>DATEVALUE("1-4-2011")</f>
        <v>40634</v>
      </c>
      <c r="F9265" s="2">
        <f>DATEVALUE("30-6-2015")</f>
        <v>42185</v>
      </c>
    </row>
    <row r="9266" spans="1:6" x14ac:dyDescent="0.25">
      <c r="A9266" s="1" t="s">
        <v>187</v>
      </c>
      <c r="B9266" s="1" t="s">
        <v>1703</v>
      </c>
      <c r="C9266" s="1" t="s">
        <v>177</v>
      </c>
      <c r="D9266" s="3">
        <f>VALUE("7190")</f>
        <v>7190</v>
      </c>
      <c r="E9266" s="2">
        <f>DATEVALUE("1-4-2011")</f>
        <v>40634</v>
      </c>
      <c r="F9266" s="2">
        <f>DATEVALUE("30-6-2015")</f>
        <v>42185</v>
      </c>
    </row>
    <row r="9267" spans="1:6" x14ac:dyDescent="0.25">
      <c r="A9267" s="1" t="s">
        <v>187</v>
      </c>
      <c r="B9267" s="1" t="s">
        <v>2586</v>
      </c>
      <c r="C9267" s="1" t="s">
        <v>125</v>
      </c>
      <c r="D9267" s="3">
        <f t="shared" ref="D9267:D9280" si="1443">VALUE("7149")</f>
        <v>7149</v>
      </c>
      <c r="E9267" s="2">
        <f t="shared" ref="E9267:E9280" si="1444">DATEVALUE("1-3-2011")</f>
        <v>40603</v>
      </c>
      <c r="F9267" s="2">
        <f t="shared" ref="F9267:F9280" si="1445">DATEVALUE("30-6-2014")</f>
        <v>41820</v>
      </c>
    </row>
    <row r="9268" spans="1:6" x14ac:dyDescent="0.25">
      <c r="A9268" s="1" t="s">
        <v>187</v>
      </c>
      <c r="B9268" s="1" t="s">
        <v>2586</v>
      </c>
      <c r="C9268" s="1" t="s">
        <v>126</v>
      </c>
      <c r="D9268" s="3">
        <f t="shared" si="1443"/>
        <v>7149</v>
      </c>
      <c r="E9268" s="2">
        <f t="shared" si="1444"/>
        <v>40603</v>
      </c>
      <c r="F9268" s="2">
        <f t="shared" si="1445"/>
        <v>41820</v>
      </c>
    </row>
    <row r="9269" spans="1:6" x14ac:dyDescent="0.25">
      <c r="A9269" s="1" t="s">
        <v>187</v>
      </c>
      <c r="B9269" s="1" t="s">
        <v>2586</v>
      </c>
      <c r="C9269" s="1" t="s">
        <v>85</v>
      </c>
      <c r="D9269" s="3">
        <f t="shared" si="1443"/>
        <v>7149</v>
      </c>
      <c r="E9269" s="2">
        <f t="shared" si="1444"/>
        <v>40603</v>
      </c>
      <c r="F9269" s="2">
        <f t="shared" si="1445"/>
        <v>41820</v>
      </c>
    </row>
    <row r="9270" spans="1:6" x14ac:dyDescent="0.25">
      <c r="A9270" s="1" t="s">
        <v>187</v>
      </c>
      <c r="B9270" s="1" t="s">
        <v>2586</v>
      </c>
      <c r="C9270" s="1" t="s">
        <v>560</v>
      </c>
      <c r="D9270" s="3">
        <f t="shared" si="1443"/>
        <v>7149</v>
      </c>
      <c r="E9270" s="2">
        <f t="shared" si="1444"/>
        <v>40603</v>
      </c>
      <c r="F9270" s="2">
        <f t="shared" si="1445"/>
        <v>41820</v>
      </c>
    </row>
    <row r="9271" spans="1:6" x14ac:dyDescent="0.25">
      <c r="A9271" s="1" t="s">
        <v>187</v>
      </c>
      <c r="B9271" s="1" t="s">
        <v>2586</v>
      </c>
      <c r="C9271" s="1" t="s">
        <v>561</v>
      </c>
      <c r="D9271" s="3">
        <f t="shared" si="1443"/>
        <v>7149</v>
      </c>
      <c r="E9271" s="2">
        <f t="shared" si="1444"/>
        <v>40603</v>
      </c>
      <c r="F9271" s="2">
        <f t="shared" si="1445"/>
        <v>41820</v>
      </c>
    </row>
    <row r="9272" spans="1:6" x14ac:dyDescent="0.25">
      <c r="A9272" s="1" t="s">
        <v>187</v>
      </c>
      <c r="B9272" s="1" t="s">
        <v>2586</v>
      </c>
      <c r="C9272" s="1" t="s">
        <v>562</v>
      </c>
      <c r="D9272" s="3">
        <f t="shared" si="1443"/>
        <v>7149</v>
      </c>
      <c r="E9272" s="2">
        <f t="shared" si="1444"/>
        <v>40603</v>
      </c>
      <c r="F9272" s="2">
        <f t="shared" si="1445"/>
        <v>41820</v>
      </c>
    </row>
    <row r="9273" spans="1:6" x14ac:dyDescent="0.25">
      <c r="A9273" s="1" t="s">
        <v>187</v>
      </c>
      <c r="B9273" s="1" t="s">
        <v>2586</v>
      </c>
      <c r="C9273" s="1" t="s">
        <v>93</v>
      </c>
      <c r="D9273" s="3">
        <f t="shared" si="1443"/>
        <v>7149</v>
      </c>
      <c r="E9273" s="2">
        <f t="shared" si="1444"/>
        <v>40603</v>
      </c>
      <c r="F9273" s="2">
        <f t="shared" si="1445"/>
        <v>41820</v>
      </c>
    </row>
    <row r="9274" spans="1:6" x14ac:dyDescent="0.25">
      <c r="A9274" s="1" t="s">
        <v>187</v>
      </c>
      <c r="B9274" s="1" t="s">
        <v>2586</v>
      </c>
      <c r="C9274" s="1" t="s">
        <v>129</v>
      </c>
      <c r="D9274" s="3">
        <f t="shared" si="1443"/>
        <v>7149</v>
      </c>
      <c r="E9274" s="2">
        <f t="shared" si="1444"/>
        <v>40603</v>
      </c>
      <c r="F9274" s="2">
        <f t="shared" si="1445"/>
        <v>41820</v>
      </c>
    </row>
    <row r="9275" spans="1:6" x14ac:dyDescent="0.25">
      <c r="A9275" s="1" t="s">
        <v>187</v>
      </c>
      <c r="B9275" s="1" t="s">
        <v>2586</v>
      </c>
      <c r="C9275" s="1" t="s">
        <v>177</v>
      </c>
      <c r="D9275" s="3">
        <f t="shared" si="1443"/>
        <v>7149</v>
      </c>
      <c r="E9275" s="2">
        <f t="shared" si="1444"/>
        <v>40603</v>
      </c>
      <c r="F9275" s="2">
        <f t="shared" si="1445"/>
        <v>41820</v>
      </c>
    </row>
    <row r="9276" spans="1:6" x14ac:dyDescent="0.25">
      <c r="A9276" s="1" t="s">
        <v>187</v>
      </c>
      <c r="B9276" s="1" t="s">
        <v>2586</v>
      </c>
      <c r="C9276" s="1" t="s">
        <v>130</v>
      </c>
      <c r="D9276" s="3">
        <f t="shared" si="1443"/>
        <v>7149</v>
      </c>
      <c r="E9276" s="2">
        <f t="shared" si="1444"/>
        <v>40603</v>
      </c>
      <c r="F9276" s="2">
        <f t="shared" si="1445"/>
        <v>41820</v>
      </c>
    </row>
    <row r="9277" spans="1:6" x14ac:dyDescent="0.25">
      <c r="A9277" s="1" t="s">
        <v>187</v>
      </c>
      <c r="B9277" s="1" t="s">
        <v>2586</v>
      </c>
      <c r="C9277" s="1" t="s">
        <v>94</v>
      </c>
      <c r="D9277" s="3">
        <f t="shared" si="1443"/>
        <v>7149</v>
      </c>
      <c r="E9277" s="2">
        <f t="shared" si="1444"/>
        <v>40603</v>
      </c>
      <c r="F9277" s="2">
        <f t="shared" si="1445"/>
        <v>41820</v>
      </c>
    </row>
    <row r="9278" spans="1:6" x14ac:dyDescent="0.25">
      <c r="A9278" s="1" t="s">
        <v>187</v>
      </c>
      <c r="B9278" s="1" t="s">
        <v>2586</v>
      </c>
      <c r="C9278" s="1" t="s">
        <v>283</v>
      </c>
      <c r="D9278" s="3">
        <f t="shared" si="1443"/>
        <v>7149</v>
      </c>
      <c r="E9278" s="2">
        <f t="shared" si="1444"/>
        <v>40603</v>
      </c>
      <c r="F9278" s="2">
        <f t="shared" si="1445"/>
        <v>41820</v>
      </c>
    </row>
    <row r="9279" spans="1:6" x14ac:dyDescent="0.25">
      <c r="A9279" s="1" t="s">
        <v>187</v>
      </c>
      <c r="B9279" s="1" t="s">
        <v>2586</v>
      </c>
      <c r="C9279" s="1" t="s">
        <v>133</v>
      </c>
      <c r="D9279" s="3">
        <f t="shared" si="1443"/>
        <v>7149</v>
      </c>
      <c r="E9279" s="2">
        <f t="shared" si="1444"/>
        <v>40603</v>
      </c>
      <c r="F9279" s="2">
        <f t="shared" si="1445"/>
        <v>41820</v>
      </c>
    </row>
    <row r="9280" spans="1:6" x14ac:dyDescent="0.25">
      <c r="A9280" s="1" t="s">
        <v>187</v>
      </c>
      <c r="B9280" s="1" t="s">
        <v>2586</v>
      </c>
      <c r="C9280" s="1" t="s">
        <v>134</v>
      </c>
      <c r="D9280" s="3">
        <f t="shared" si="1443"/>
        <v>7149</v>
      </c>
      <c r="E9280" s="2">
        <f t="shared" si="1444"/>
        <v>40603</v>
      </c>
      <c r="F9280" s="2">
        <f t="shared" si="1445"/>
        <v>41820</v>
      </c>
    </row>
    <row r="9281" spans="1:6" x14ac:dyDescent="0.25">
      <c r="A9281" s="1" t="s">
        <v>187</v>
      </c>
      <c r="B9281" s="1" t="s">
        <v>2115</v>
      </c>
      <c r="C9281" s="1" t="s">
        <v>125</v>
      </c>
      <c r="D9281" s="3">
        <f t="shared" ref="D9281:D9292" si="1446">VALUE("7131")</f>
        <v>7131</v>
      </c>
      <c r="E9281" s="2">
        <f t="shared" ref="E9281:E9292" si="1447">DATEVALUE("1-1-2011")</f>
        <v>40544</v>
      </c>
      <c r="F9281" s="2">
        <f t="shared" ref="F9281:F9292" si="1448">DATEVALUE("31-3-2016")</f>
        <v>42460</v>
      </c>
    </row>
    <row r="9282" spans="1:6" x14ac:dyDescent="0.25">
      <c r="A9282" s="1" t="s">
        <v>187</v>
      </c>
      <c r="B9282" s="1" t="s">
        <v>2115</v>
      </c>
      <c r="C9282" s="1" t="s">
        <v>126</v>
      </c>
      <c r="D9282" s="3">
        <f t="shared" si="1446"/>
        <v>7131</v>
      </c>
      <c r="E9282" s="2">
        <f t="shared" si="1447"/>
        <v>40544</v>
      </c>
      <c r="F9282" s="2">
        <f t="shared" si="1448"/>
        <v>42460</v>
      </c>
    </row>
    <row r="9283" spans="1:6" x14ac:dyDescent="0.25">
      <c r="A9283" s="1" t="s">
        <v>187</v>
      </c>
      <c r="B9283" s="1" t="s">
        <v>2115</v>
      </c>
      <c r="C9283" s="1" t="s">
        <v>85</v>
      </c>
      <c r="D9283" s="3">
        <f t="shared" si="1446"/>
        <v>7131</v>
      </c>
      <c r="E9283" s="2">
        <f t="shared" si="1447"/>
        <v>40544</v>
      </c>
      <c r="F9283" s="2">
        <f t="shared" si="1448"/>
        <v>42460</v>
      </c>
    </row>
    <row r="9284" spans="1:6" x14ac:dyDescent="0.25">
      <c r="A9284" s="1" t="s">
        <v>187</v>
      </c>
      <c r="B9284" s="1" t="s">
        <v>2115</v>
      </c>
      <c r="C9284" s="1" t="s">
        <v>45</v>
      </c>
      <c r="D9284" s="3">
        <f t="shared" si="1446"/>
        <v>7131</v>
      </c>
      <c r="E9284" s="2">
        <f t="shared" si="1447"/>
        <v>40544</v>
      </c>
      <c r="F9284" s="2">
        <f t="shared" si="1448"/>
        <v>42460</v>
      </c>
    </row>
    <row r="9285" spans="1:6" x14ac:dyDescent="0.25">
      <c r="A9285" s="1" t="s">
        <v>187</v>
      </c>
      <c r="B9285" s="1" t="s">
        <v>2115</v>
      </c>
      <c r="C9285" s="1" t="s">
        <v>93</v>
      </c>
      <c r="D9285" s="3">
        <f t="shared" si="1446"/>
        <v>7131</v>
      </c>
      <c r="E9285" s="2">
        <f t="shared" si="1447"/>
        <v>40544</v>
      </c>
      <c r="F9285" s="2">
        <f t="shared" si="1448"/>
        <v>42460</v>
      </c>
    </row>
    <row r="9286" spans="1:6" x14ac:dyDescent="0.25">
      <c r="A9286" s="1" t="s">
        <v>187</v>
      </c>
      <c r="B9286" s="1" t="s">
        <v>2115</v>
      </c>
      <c r="C9286" s="1" t="s">
        <v>129</v>
      </c>
      <c r="D9286" s="3">
        <f t="shared" si="1446"/>
        <v>7131</v>
      </c>
      <c r="E9286" s="2">
        <f t="shared" si="1447"/>
        <v>40544</v>
      </c>
      <c r="F9286" s="2">
        <f t="shared" si="1448"/>
        <v>42460</v>
      </c>
    </row>
    <row r="9287" spans="1:6" x14ac:dyDescent="0.25">
      <c r="A9287" s="1" t="s">
        <v>187</v>
      </c>
      <c r="B9287" s="1" t="s">
        <v>2115</v>
      </c>
      <c r="C9287" s="1" t="s">
        <v>177</v>
      </c>
      <c r="D9287" s="3">
        <f t="shared" si="1446"/>
        <v>7131</v>
      </c>
      <c r="E9287" s="2">
        <f t="shared" si="1447"/>
        <v>40544</v>
      </c>
      <c r="F9287" s="2">
        <f t="shared" si="1448"/>
        <v>42460</v>
      </c>
    </row>
    <row r="9288" spans="1:6" x14ac:dyDescent="0.25">
      <c r="A9288" s="1" t="s">
        <v>187</v>
      </c>
      <c r="B9288" s="1" t="s">
        <v>2115</v>
      </c>
      <c r="C9288" s="1" t="s">
        <v>130</v>
      </c>
      <c r="D9288" s="3">
        <f t="shared" si="1446"/>
        <v>7131</v>
      </c>
      <c r="E9288" s="2">
        <f t="shared" si="1447"/>
        <v>40544</v>
      </c>
      <c r="F9288" s="2">
        <f t="shared" si="1448"/>
        <v>42460</v>
      </c>
    </row>
    <row r="9289" spans="1:6" x14ac:dyDescent="0.25">
      <c r="A9289" s="1" t="s">
        <v>187</v>
      </c>
      <c r="B9289" s="1" t="s">
        <v>2115</v>
      </c>
      <c r="C9289" s="1" t="s">
        <v>51</v>
      </c>
      <c r="D9289" s="3">
        <f t="shared" si="1446"/>
        <v>7131</v>
      </c>
      <c r="E9289" s="2">
        <f t="shared" si="1447"/>
        <v>40544</v>
      </c>
      <c r="F9289" s="2">
        <f t="shared" si="1448"/>
        <v>42460</v>
      </c>
    </row>
    <row r="9290" spans="1:6" x14ac:dyDescent="0.25">
      <c r="A9290" s="1" t="s">
        <v>187</v>
      </c>
      <c r="B9290" s="1" t="s">
        <v>2115</v>
      </c>
      <c r="C9290" s="1" t="s">
        <v>2116</v>
      </c>
      <c r="D9290" s="3">
        <f t="shared" si="1446"/>
        <v>7131</v>
      </c>
      <c r="E9290" s="2">
        <f t="shared" si="1447"/>
        <v>40544</v>
      </c>
      <c r="F9290" s="2">
        <f t="shared" si="1448"/>
        <v>42460</v>
      </c>
    </row>
    <row r="9291" spans="1:6" x14ac:dyDescent="0.25">
      <c r="A9291" s="1" t="s">
        <v>187</v>
      </c>
      <c r="B9291" s="1" t="s">
        <v>2115</v>
      </c>
      <c r="C9291" s="1" t="s">
        <v>133</v>
      </c>
      <c r="D9291" s="3">
        <f t="shared" si="1446"/>
        <v>7131</v>
      </c>
      <c r="E9291" s="2">
        <f t="shared" si="1447"/>
        <v>40544</v>
      </c>
      <c r="F9291" s="2">
        <f t="shared" si="1448"/>
        <v>42460</v>
      </c>
    </row>
    <row r="9292" spans="1:6" x14ac:dyDescent="0.25">
      <c r="A9292" s="1" t="s">
        <v>187</v>
      </c>
      <c r="B9292" s="1" t="s">
        <v>2115</v>
      </c>
      <c r="C9292" s="1" t="s">
        <v>134</v>
      </c>
      <c r="D9292" s="3">
        <f t="shared" si="1446"/>
        <v>7131</v>
      </c>
      <c r="E9292" s="2">
        <f t="shared" si="1447"/>
        <v>40544</v>
      </c>
      <c r="F9292" s="2">
        <f t="shared" si="1448"/>
        <v>42460</v>
      </c>
    </row>
    <row r="9293" spans="1:6" x14ac:dyDescent="0.25">
      <c r="A9293" s="1" t="s">
        <v>187</v>
      </c>
      <c r="B9293" s="1" t="s">
        <v>2578</v>
      </c>
      <c r="C9293" s="1" t="s">
        <v>85</v>
      </c>
      <c r="D9293" s="3">
        <f>VALUE("7124")</f>
        <v>7124</v>
      </c>
      <c r="E9293" s="2">
        <f>DATEVALUE("1-12-2010")</f>
        <v>40513</v>
      </c>
      <c r="F9293" s="2">
        <f>DATEVALUE("31-12-2012")</f>
        <v>41274</v>
      </c>
    </row>
    <row r="9294" spans="1:6" x14ac:dyDescent="0.25">
      <c r="A9294" s="1" t="s">
        <v>187</v>
      </c>
      <c r="B9294" s="1" t="s">
        <v>186</v>
      </c>
      <c r="C9294" s="1" t="s">
        <v>85</v>
      </c>
      <c r="D9294" s="3">
        <f t="shared" ref="D9294:D9300" si="1449">VALUE("7032")</f>
        <v>7032</v>
      </c>
      <c r="E9294" s="2">
        <f t="shared" ref="E9294:E9300" si="1450">DATEVALUE("1-4-2010")</f>
        <v>40269</v>
      </c>
      <c r="F9294" s="2">
        <f t="shared" ref="F9294:F9300" si="1451">DATEVALUE("31-12-2025")</f>
        <v>46022</v>
      </c>
    </row>
    <row r="9295" spans="1:6" x14ac:dyDescent="0.25">
      <c r="A9295" s="1" t="s">
        <v>187</v>
      </c>
      <c r="B9295" s="1" t="s">
        <v>186</v>
      </c>
      <c r="C9295" s="1" t="s">
        <v>84</v>
      </c>
      <c r="D9295" s="3">
        <f t="shared" si="1449"/>
        <v>7032</v>
      </c>
      <c r="E9295" s="2">
        <f t="shared" si="1450"/>
        <v>40269</v>
      </c>
      <c r="F9295" s="2">
        <f t="shared" si="1451"/>
        <v>46022</v>
      </c>
    </row>
    <row r="9296" spans="1:6" x14ac:dyDescent="0.25">
      <c r="A9296" s="1" t="s">
        <v>187</v>
      </c>
      <c r="B9296" s="1" t="s">
        <v>186</v>
      </c>
      <c r="C9296" s="1" t="s">
        <v>14</v>
      </c>
      <c r="D9296" s="3">
        <f t="shared" si="1449"/>
        <v>7032</v>
      </c>
      <c r="E9296" s="2">
        <f t="shared" si="1450"/>
        <v>40269</v>
      </c>
      <c r="F9296" s="2">
        <f t="shared" si="1451"/>
        <v>46022</v>
      </c>
    </row>
    <row r="9297" spans="1:6" x14ac:dyDescent="0.25">
      <c r="A9297" s="1" t="s">
        <v>187</v>
      </c>
      <c r="B9297" s="1" t="s">
        <v>186</v>
      </c>
      <c r="C9297" s="1" t="s">
        <v>89</v>
      </c>
      <c r="D9297" s="3">
        <f t="shared" si="1449"/>
        <v>7032</v>
      </c>
      <c r="E9297" s="2">
        <f t="shared" si="1450"/>
        <v>40269</v>
      </c>
      <c r="F9297" s="2">
        <f t="shared" si="1451"/>
        <v>46022</v>
      </c>
    </row>
    <row r="9298" spans="1:6" x14ac:dyDescent="0.25">
      <c r="A9298" s="1" t="s">
        <v>187</v>
      </c>
      <c r="B9298" s="1" t="s">
        <v>186</v>
      </c>
      <c r="C9298" s="1" t="s">
        <v>17</v>
      </c>
      <c r="D9298" s="3">
        <f t="shared" si="1449"/>
        <v>7032</v>
      </c>
      <c r="E9298" s="2">
        <f t="shared" si="1450"/>
        <v>40269</v>
      </c>
      <c r="F9298" s="2">
        <f t="shared" si="1451"/>
        <v>46022</v>
      </c>
    </row>
    <row r="9299" spans="1:6" x14ac:dyDescent="0.25">
      <c r="A9299" s="1" t="s">
        <v>187</v>
      </c>
      <c r="B9299" s="1" t="s">
        <v>186</v>
      </c>
      <c r="C9299" s="1" t="s">
        <v>24</v>
      </c>
      <c r="D9299" s="3">
        <f t="shared" si="1449"/>
        <v>7032</v>
      </c>
      <c r="E9299" s="2">
        <f t="shared" si="1450"/>
        <v>40269</v>
      </c>
      <c r="F9299" s="2">
        <f t="shared" si="1451"/>
        <v>46022</v>
      </c>
    </row>
    <row r="9300" spans="1:6" x14ac:dyDescent="0.25">
      <c r="A9300" s="1" t="s">
        <v>187</v>
      </c>
      <c r="B9300" s="1" t="s">
        <v>186</v>
      </c>
      <c r="C9300" s="1" t="s">
        <v>34</v>
      </c>
      <c r="D9300" s="3">
        <f t="shared" si="1449"/>
        <v>7032</v>
      </c>
      <c r="E9300" s="2">
        <f t="shared" si="1450"/>
        <v>40269</v>
      </c>
      <c r="F9300" s="2">
        <f t="shared" si="1451"/>
        <v>46022</v>
      </c>
    </row>
    <row r="9301" spans="1:6" x14ac:dyDescent="0.25">
      <c r="A9301" s="1" t="s">
        <v>187</v>
      </c>
      <c r="B9301" s="1" t="s">
        <v>2554</v>
      </c>
      <c r="C9301" s="1" t="s">
        <v>125</v>
      </c>
      <c r="D9301" s="3">
        <f t="shared" ref="D9301:D9310" si="1452">VALUE("7027")</f>
        <v>7027</v>
      </c>
      <c r="E9301" s="2">
        <f t="shared" ref="E9301:E9310" si="1453">DATEVALUE("1-2-2010")</f>
        <v>40210</v>
      </c>
      <c r="F9301" s="2">
        <f t="shared" ref="F9301:F9310" si="1454">DATEVALUE("30-6-2013")</f>
        <v>41455</v>
      </c>
    </row>
    <row r="9302" spans="1:6" x14ac:dyDescent="0.25">
      <c r="A9302" s="1" t="s">
        <v>187</v>
      </c>
      <c r="B9302" s="1" t="s">
        <v>2554</v>
      </c>
      <c r="C9302" s="1" t="s">
        <v>126</v>
      </c>
      <c r="D9302" s="3">
        <f t="shared" si="1452"/>
        <v>7027</v>
      </c>
      <c r="E9302" s="2">
        <f t="shared" si="1453"/>
        <v>40210</v>
      </c>
      <c r="F9302" s="2">
        <f t="shared" si="1454"/>
        <v>41455</v>
      </c>
    </row>
    <row r="9303" spans="1:6" x14ac:dyDescent="0.25">
      <c r="A9303" s="1" t="s">
        <v>187</v>
      </c>
      <c r="B9303" s="1" t="s">
        <v>2554</v>
      </c>
      <c r="C9303" s="1" t="s">
        <v>85</v>
      </c>
      <c r="D9303" s="3">
        <f t="shared" si="1452"/>
        <v>7027</v>
      </c>
      <c r="E9303" s="2">
        <f t="shared" si="1453"/>
        <v>40210</v>
      </c>
      <c r="F9303" s="2">
        <f t="shared" si="1454"/>
        <v>41455</v>
      </c>
    </row>
    <row r="9304" spans="1:6" x14ac:dyDescent="0.25">
      <c r="A9304" s="1" t="s">
        <v>187</v>
      </c>
      <c r="B9304" s="1" t="s">
        <v>2554</v>
      </c>
      <c r="C9304" s="1" t="s">
        <v>93</v>
      </c>
      <c r="D9304" s="3">
        <f t="shared" si="1452"/>
        <v>7027</v>
      </c>
      <c r="E9304" s="2">
        <f t="shared" si="1453"/>
        <v>40210</v>
      </c>
      <c r="F9304" s="2">
        <f t="shared" si="1454"/>
        <v>41455</v>
      </c>
    </row>
    <row r="9305" spans="1:6" x14ac:dyDescent="0.25">
      <c r="A9305" s="1" t="s">
        <v>187</v>
      </c>
      <c r="B9305" s="1" t="s">
        <v>2554</v>
      </c>
      <c r="C9305" s="1" t="s">
        <v>129</v>
      </c>
      <c r="D9305" s="3">
        <f t="shared" si="1452"/>
        <v>7027</v>
      </c>
      <c r="E9305" s="2">
        <f t="shared" si="1453"/>
        <v>40210</v>
      </c>
      <c r="F9305" s="2">
        <f t="shared" si="1454"/>
        <v>41455</v>
      </c>
    </row>
    <row r="9306" spans="1:6" x14ac:dyDescent="0.25">
      <c r="A9306" s="1" t="s">
        <v>187</v>
      </c>
      <c r="B9306" s="1" t="s">
        <v>2554</v>
      </c>
      <c r="C9306" s="1" t="s">
        <v>177</v>
      </c>
      <c r="D9306" s="3">
        <f t="shared" si="1452"/>
        <v>7027</v>
      </c>
      <c r="E9306" s="2">
        <f t="shared" si="1453"/>
        <v>40210</v>
      </c>
      <c r="F9306" s="2">
        <f t="shared" si="1454"/>
        <v>41455</v>
      </c>
    </row>
    <row r="9307" spans="1:6" x14ac:dyDescent="0.25">
      <c r="A9307" s="1" t="s">
        <v>187</v>
      </c>
      <c r="B9307" s="1" t="s">
        <v>2554</v>
      </c>
      <c r="C9307" s="1" t="s">
        <v>176</v>
      </c>
      <c r="D9307" s="3">
        <f t="shared" si="1452"/>
        <v>7027</v>
      </c>
      <c r="E9307" s="2">
        <f t="shared" si="1453"/>
        <v>40210</v>
      </c>
      <c r="F9307" s="2">
        <f t="shared" si="1454"/>
        <v>41455</v>
      </c>
    </row>
    <row r="9308" spans="1:6" x14ac:dyDescent="0.25">
      <c r="A9308" s="1" t="s">
        <v>187</v>
      </c>
      <c r="B9308" s="1" t="s">
        <v>2554</v>
      </c>
      <c r="C9308" s="1" t="s">
        <v>130</v>
      </c>
      <c r="D9308" s="3">
        <f t="shared" si="1452"/>
        <v>7027</v>
      </c>
      <c r="E9308" s="2">
        <f t="shared" si="1453"/>
        <v>40210</v>
      </c>
      <c r="F9308" s="2">
        <f t="shared" si="1454"/>
        <v>41455</v>
      </c>
    </row>
    <row r="9309" spans="1:6" x14ac:dyDescent="0.25">
      <c r="A9309" s="1" t="s">
        <v>187</v>
      </c>
      <c r="B9309" s="1" t="s">
        <v>2554</v>
      </c>
      <c r="C9309" s="1" t="s">
        <v>133</v>
      </c>
      <c r="D9309" s="3">
        <f t="shared" si="1452"/>
        <v>7027</v>
      </c>
      <c r="E9309" s="2">
        <f t="shared" si="1453"/>
        <v>40210</v>
      </c>
      <c r="F9309" s="2">
        <f t="shared" si="1454"/>
        <v>41455</v>
      </c>
    </row>
    <row r="9310" spans="1:6" x14ac:dyDescent="0.25">
      <c r="A9310" s="1" t="s">
        <v>187</v>
      </c>
      <c r="B9310" s="1" t="s">
        <v>2554</v>
      </c>
      <c r="C9310" s="1" t="s">
        <v>134</v>
      </c>
      <c r="D9310" s="3">
        <f t="shared" si="1452"/>
        <v>7027</v>
      </c>
      <c r="E9310" s="2">
        <f t="shared" si="1453"/>
        <v>40210</v>
      </c>
      <c r="F9310" s="2">
        <f t="shared" si="1454"/>
        <v>41455</v>
      </c>
    </row>
    <row r="9311" spans="1:6" x14ac:dyDescent="0.25">
      <c r="A9311" s="1" t="s">
        <v>187</v>
      </c>
      <c r="B9311" s="1" t="s">
        <v>2546</v>
      </c>
      <c r="C9311" s="1" t="s">
        <v>85</v>
      </c>
      <c r="D9311" s="3">
        <f>VALUE("6176")</f>
        <v>6176</v>
      </c>
      <c r="E9311" s="2">
        <f>DATEVALUE("1-6-2009")</f>
        <v>39965</v>
      </c>
      <c r="F9311" s="2">
        <f>DATEVALUE("31-12-2011")</f>
        <v>40908</v>
      </c>
    </row>
    <row r="9312" spans="1:6" x14ac:dyDescent="0.25">
      <c r="A9312" s="1" t="s">
        <v>187</v>
      </c>
      <c r="B9312" s="1" t="s">
        <v>2546</v>
      </c>
      <c r="C9312" s="1" t="s">
        <v>503</v>
      </c>
      <c r="D9312" s="3">
        <f>VALUE("6176")</f>
        <v>6176</v>
      </c>
      <c r="E9312" s="2">
        <f>DATEVALUE("1-6-2009")</f>
        <v>39965</v>
      </c>
      <c r="F9312" s="2">
        <f>DATEVALUE("31-12-2011")</f>
        <v>40908</v>
      </c>
    </row>
    <row r="9313" spans="1:6" x14ac:dyDescent="0.25">
      <c r="A9313" s="1" t="s">
        <v>187</v>
      </c>
      <c r="B9313" s="1" t="s">
        <v>2546</v>
      </c>
      <c r="C9313" s="1" t="s">
        <v>102</v>
      </c>
      <c r="D9313" s="3">
        <f>VALUE("6176")</f>
        <v>6176</v>
      </c>
      <c r="E9313" s="2">
        <f>DATEVALUE("1-6-2009")</f>
        <v>39965</v>
      </c>
      <c r="F9313" s="2">
        <f>DATEVALUE("31-12-2011")</f>
        <v>40908</v>
      </c>
    </row>
    <row r="9314" spans="1:6" x14ac:dyDescent="0.25">
      <c r="A9314" s="1" t="s">
        <v>187</v>
      </c>
      <c r="B9314" s="1" t="s">
        <v>2546</v>
      </c>
      <c r="C9314" s="1" t="s">
        <v>103</v>
      </c>
      <c r="D9314" s="3">
        <f>VALUE("6176")</f>
        <v>6176</v>
      </c>
      <c r="E9314" s="2">
        <f>DATEVALUE("1-6-2009")</f>
        <v>39965</v>
      </c>
      <c r="F9314" s="2">
        <f>DATEVALUE("31-12-2011")</f>
        <v>40908</v>
      </c>
    </row>
    <row r="9315" spans="1:6" x14ac:dyDescent="0.25">
      <c r="A9315" s="1" t="s">
        <v>187</v>
      </c>
      <c r="B9315" s="1" t="s">
        <v>2539</v>
      </c>
      <c r="C9315" s="1" t="s">
        <v>85</v>
      </c>
      <c r="D9315" s="3">
        <f>VALUE("6126")</f>
        <v>6126</v>
      </c>
      <c r="E9315" s="2">
        <f>DATEVALUE("1-9-2008")</f>
        <v>39692</v>
      </c>
      <c r="F9315" s="2">
        <f>DATEVALUE("31-3-2013")</f>
        <v>41364</v>
      </c>
    </row>
    <row r="9316" spans="1:6" x14ac:dyDescent="0.25">
      <c r="A9316" s="1" t="s">
        <v>187</v>
      </c>
      <c r="B9316" s="1" t="s">
        <v>2539</v>
      </c>
      <c r="C9316" s="1" t="s">
        <v>93</v>
      </c>
      <c r="D9316" s="3">
        <f>VALUE("6126")</f>
        <v>6126</v>
      </c>
      <c r="E9316" s="2">
        <f>DATEVALUE("1-9-2008")</f>
        <v>39692</v>
      </c>
      <c r="F9316" s="2">
        <f>DATEVALUE("31-3-2013")</f>
        <v>41364</v>
      </c>
    </row>
    <row r="9317" spans="1:6" x14ac:dyDescent="0.25">
      <c r="A9317" s="1" t="s">
        <v>187</v>
      </c>
      <c r="B9317" s="1" t="s">
        <v>2539</v>
      </c>
      <c r="C9317" s="1" t="s">
        <v>176</v>
      </c>
      <c r="D9317" s="3">
        <f>VALUE("6126")</f>
        <v>6126</v>
      </c>
      <c r="E9317" s="2">
        <f>DATEVALUE("1-9-2008")</f>
        <v>39692</v>
      </c>
      <c r="F9317" s="2">
        <f>DATEVALUE("31-3-2013")</f>
        <v>41364</v>
      </c>
    </row>
    <row r="9318" spans="1:6" x14ac:dyDescent="0.25">
      <c r="A9318" s="1" t="s">
        <v>187</v>
      </c>
      <c r="B9318" s="1" t="s">
        <v>2539</v>
      </c>
      <c r="C9318" s="1" t="s">
        <v>102</v>
      </c>
      <c r="D9318" s="3">
        <f>VALUE("6126")</f>
        <v>6126</v>
      </c>
      <c r="E9318" s="2">
        <f>DATEVALUE("1-9-2008")</f>
        <v>39692</v>
      </c>
      <c r="F9318" s="2">
        <f>DATEVALUE("31-3-2013")</f>
        <v>41364</v>
      </c>
    </row>
    <row r="9319" spans="1:6" x14ac:dyDescent="0.25">
      <c r="A9319" s="1" t="s">
        <v>187</v>
      </c>
      <c r="B9319" s="1" t="s">
        <v>2539</v>
      </c>
      <c r="C9319" s="1" t="s">
        <v>103</v>
      </c>
      <c r="D9319" s="3">
        <f>VALUE("6126")</f>
        <v>6126</v>
      </c>
      <c r="E9319" s="2">
        <f>DATEVALUE("1-9-2008")</f>
        <v>39692</v>
      </c>
      <c r="F9319" s="2">
        <f>DATEVALUE("31-3-2013")</f>
        <v>41364</v>
      </c>
    </row>
    <row r="9320" spans="1:6" x14ac:dyDescent="0.25">
      <c r="A9320" s="1" t="s">
        <v>187</v>
      </c>
      <c r="B9320" s="1" t="s">
        <v>2533</v>
      </c>
      <c r="C9320" s="1" t="s">
        <v>93</v>
      </c>
      <c r="D9320" s="3">
        <f>VALUE("6103")</f>
        <v>6103</v>
      </c>
      <c r="E9320" s="2">
        <f>DATEVALUE("1-6-2008")</f>
        <v>39600</v>
      </c>
      <c r="F9320" s="2">
        <f>DATEVALUE("30-4-2014")</f>
        <v>41759</v>
      </c>
    </row>
    <row r="9321" spans="1:6" x14ac:dyDescent="0.25">
      <c r="A9321" s="1" t="s">
        <v>187</v>
      </c>
      <c r="B9321" s="1" t="s">
        <v>2533</v>
      </c>
      <c r="C9321" s="1" t="s">
        <v>129</v>
      </c>
      <c r="D9321" s="3">
        <f>VALUE("6103")</f>
        <v>6103</v>
      </c>
      <c r="E9321" s="2">
        <f>DATEVALUE("1-6-2008")</f>
        <v>39600</v>
      </c>
      <c r="F9321" s="2">
        <f>DATEVALUE("30-4-2014")</f>
        <v>41759</v>
      </c>
    </row>
    <row r="9322" spans="1:6" x14ac:dyDescent="0.25">
      <c r="A9322" s="1" t="s">
        <v>187</v>
      </c>
      <c r="B9322" s="1" t="s">
        <v>2533</v>
      </c>
      <c r="C9322" s="1" t="s">
        <v>177</v>
      </c>
      <c r="D9322" s="3">
        <f>VALUE("6103")</f>
        <v>6103</v>
      </c>
      <c r="E9322" s="2">
        <f>DATEVALUE("1-6-2008")</f>
        <v>39600</v>
      </c>
      <c r="F9322" s="2">
        <f>DATEVALUE("30-4-2014")</f>
        <v>41759</v>
      </c>
    </row>
    <row r="9323" spans="1:6" x14ac:dyDescent="0.25">
      <c r="A9323" s="1" t="s">
        <v>187</v>
      </c>
      <c r="B9323" s="1" t="s">
        <v>2533</v>
      </c>
      <c r="C9323" s="1" t="s">
        <v>176</v>
      </c>
      <c r="D9323" s="3">
        <f>VALUE("6103")</f>
        <v>6103</v>
      </c>
      <c r="E9323" s="2">
        <f>DATEVALUE("1-6-2008")</f>
        <v>39600</v>
      </c>
      <c r="F9323" s="2">
        <f>DATEVALUE("30-4-2014")</f>
        <v>41759</v>
      </c>
    </row>
    <row r="9324" spans="1:6" x14ac:dyDescent="0.25">
      <c r="A9324" s="1" t="s">
        <v>187</v>
      </c>
      <c r="B9324" s="1" t="s">
        <v>2533</v>
      </c>
      <c r="C9324" s="1" t="s">
        <v>130</v>
      </c>
      <c r="D9324" s="3">
        <f>VALUE("6103")</f>
        <v>6103</v>
      </c>
      <c r="E9324" s="2">
        <f>DATEVALUE("1-6-2008")</f>
        <v>39600</v>
      </c>
      <c r="F9324" s="2">
        <f>DATEVALUE("30-4-2014")</f>
        <v>41759</v>
      </c>
    </row>
    <row r="9325" spans="1:6" x14ac:dyDescent="0.25">
      <c r="A9325" s="1" t="s">
        <v>187</v>
      </c>
      <c r="B9325" s="1" t="s">
        <v>1861</v>
      </c>
      <c r="C9325" s="1" t="s">
        <v>46</v>
      </c>
      <c r="D9325" s="3">
        <f t="shared" ref="D9325:D9338" si="1455">VALUE("6076")</f>
        <v>6076</v>
      </c>
      <c r="E9325" s="2">
        <f t="shared" ref="E9325:E9338" si="1456">DATEVALUE("1-1-2008")</f>
        <v>39448</v>
      </c>
      <c r="F9325" s="2">
        <f t="shared" ref="F9325:F9338" si="1457">DATEVALUE("31-5-2015")</f>
        <v>42155</v>
      </c>
    </row>
    <row r="9326" spans="1:6" x14ac:dyDescent="0.25">
      <c r="A9326" s="1" t="s">
        <v>187</v>
      </c>
      <c r="B9326" s="1" t="s">
        <v>1861</v>
      </c>
      <c r="C9326" s="1" t="s">
        <v>91</v>
      </c>
      <c r="D9326" s="3">
        <f t="shared" si="1455"/>
        <v>6076</v>
      </c>
      <c r="E9326" s="2">
        <f t="shared" si="1456"/>
        <v>39448</v>
      </c>
      <c r="F9326" s="2">
        <f t="shared" si="1457"/>
        <v>42155</v>
      </c>
    </row>
    <row r="9327" spans="1:6" x14ac:dyDescent="0.25">
      <c r="A9327" s="1" t="s">
        <v>187</v>
      </c>
      <c r="B9327" s="1" t="s">
        <v>1861</v>
      </c>
      <c r="C9327" s="1" t="s">
        <v>148</v>
      </c>
      <c r="D9327" s="3">
        <f t="shared" si="1455"/>
        <v>6076</v>
      </c>
      <c r="E9327" s="2">
        <f t="shared" si="1456"/>
        <v>39448</v>
      </c>
      <c r="F9327" s="2">
        <f t="shared" si="1457"/>
        <v>42155</v>
      </c>
    </row>
    <row r="9328" spans="1:6" x14ac:dyDescent="0.25">
      <c r="A9328" s="1" t="s">
        <v>187</v>
      </c>
      <c r="B9328" s="1" t="s">
        <v>1861</v>
      </c>
      <c r="C9328" s="1" t="s">
        <v>149</v>
      </c>
      <c r="D9328" s="3">
        <f t="shared" si="1455"/>
        <v>6076</v>
      </c>
      <c r="E9328" s="2">
        <f t="shared" si="1456"/>
        <v>39448</v>
      </c>
      <c r="F9328" s="2">
        <f t="shared" si="1457"/>
        <v>42155</v>
      </c>
    </row>
    <row r="9329" spans="1:6" x14ac:dyDescent="0.25">
      <c r="A9329" s="1" t="s">
        <v>187</v>
      </c>
      <c r="B9329" s="1" t="s">
        <v>1861</v>
      </c>
      <c r="C9329" s="1" t="s">
        <v>93</v>
      </c>
      <c r="D9329" s="3">
        <f t="shared" si="1455"/>
        <v>6076</v>
      </c>
      <c r="E9329" s="2">
        <f t="shared" si="1456"/>
        <v>39448</v>
      </c>
      <c r="F9329" s="2">
        <f t="shared" si="1457"/>
        <v>42155</v>
      </c>
    </row>
    <row r="9330" spans="1:6" x14ac:dyDescent="0.25">
      <c r="A9330" s="1" t="s">
        <v>187</v>
      </c>
      <c r="B9330" s="1" t="s">
        <v>1861</v>
      </c>
      <c r="C9330" s="1" t="s">
        <v>129</v>
      </c>
      <c r="D9330" s="3">
        <f t="shared" si="1455"/>
        <v>6076</v>
      </c>
      <c r="E9330" s="2">
        <f t="shared" si="1456"/>
        <v>39448</v>
      </c>
      <c r="F9330" s="2">
        <f t="shared" si="1457"/>
        <v>42155</v>
      </c>
    </row>
    <row r="9331" spans="1:6" x14ac:dyDescent="0.25">
      <c r="A9331" s="1" t="s">
        <v>187</v>
      </c>
      <c r="B9331" s="1" t="s">
        <v>1861</v>
      </c>
      <c r="C9331" s="1" t="s">
        <v>181</v>
      </c>
      <c r="D9331" s="3">
        <f t="shared" si="1455"/>
        <v>6076</v>
      </c>
      <c r="E9331" s="2">
        <f t="shared" si="1456"/>
        <v>39448</v>
      </c>
      <c r="F9331" s="2">
        <f t="shared" si="1457"/>
        <v>42155</v>
      </c>
    </row>
    <row r="9332" spans="1:6" x14ac:dyDescent="0.25">
      <c r="A9332" s="1" t="s">
        <v>187</v>
      </c>
      <c r="B9332" s="1" t="s">
        <v>1861</v>
      </c>
      <c r="C9332" s="1" t="s">
        <v>130</v>
      </c>
      <c r="D9332" s="3">
        <f t="shared" si="1455"/>
        <v>6076</v>
      </c>
      <c r="E9332" s="2">
        <f t="shared" si="1456"/>
        <v>39448</v>
      </c>
      <c r="F9332" s="2">
        <f t="shared" si="1457"/>
        <v>42155</v>
      </c>
    </row>
    <row r="9333" spans="1:6" x14ac:dyDescent="0.25">
      <c r="A9333" s="1" t="s">
        <v>187</v>
      </c>
      <c r="B9333" s="1" t="s">
        <v>1861</v>
      </c>
      <c r="C9333" s="1" t="s">
        <v>25</v>
      </c>
      <c r="D9333" s="3">
        <f t="shared" si="1455"/>
        <v>6076</v>
      </c>
      <c r="E9333" s="2">
        <f t="shared" si="1456"/>
        <v>39448</v>
      </c>
      <c r="F9333" s="2">
        <f t="shared" si="1457"/>
        <v>42155</v>
      </c>
    </row>
    <row r="9334" spans="1:6" x14ac:dyDescent="0.25">
      <c r="A9334" s="1" t="s">
        <v>187</v>
      </c>
      <c r="B9334" s="1" t="s">
        <v>1861</v>
      </c>
      <c r="C9334" s="1" t="s">
        <v>121</v>
      </c>
      <c r="D9334" s="3">
        <f t="shared" si="1455"/>
        <v>6076</v>
      </c>
      <c r="E9334" s="2">
        <f t="shared" si="1456"/>
        <v>39448</v>
      </c>
      <c r="F9334" s="2">
        <f t="shared" si="1457"/>
        <v>42155</v>
      </c>
    </row>
    <row r="9335" spans="1:6" x14ac:dyDescent="0.25">
      <c r="A9335" s="1" t="s">
        <v>187</v>
      </c>
      <c r="B9335" s="1" t="s">
        <v>1861</v>
      </c>
      <c r="C9335" s="1" t="s">
        <v>73</v>
      </c>
      <c r="D9335" s="3">
        <f t="shared" si="1455"/>
        <v>6076</v>
      </c>
      <c r="E9335" s="2">
        <f t="shared" si="1456"/>
        <v>39448</v>
      </c>
      <c r="F9335" s="2">
        <f t="shared" si="1457"/>
        <v>42155</v>
      </c>
    </row>
    <row r="9336" spans="1:6" x14ac:dyDescent="0.25">
      <c r="A9336" s="1" t="s">
        <v>187</v>
      </c>
      <c r="B9336" s="1" t="s">
        <v>1861</v>
      </c>
      <c r="C9336" s="1" t="s">
        <v>161</v>
      </c>
      <c r="D9336" s="3">
        <f t="shared" si="1455"/>
        <v>6076</v>
      </c>
      <c r="E9336" s="2">
        <f t="shared" si="1456"/>
        <v>39448</v>
      </c>
      <c r="F9336" s="2">
        <f t="shared" si="1457"/>
        <v>42155</v>
      </c>
    </row>
    <row r="9337" spans="1:6" x14ac:dyDescent="0.25">
      <c r="A9337" s="1" t="s">
        <v>187</v>
      </c>
      <c r="B9337" s="1" t="s">
        <v>1861</v>
      </c>
      <c r="C9337" s="1" t="s">
        <v>133</v>
      </c>
      <c r="D9337" s="3">
        <f t="shared" si="1455"/>
        <v>6076</v>
      </c>
      <c r="E9337" s="2">
        <f t="shared" si="1456"/>
        <v>39448</v>
      </c>
      <c r="F9337" s="2">
        <f t="shared" si="1457"/>
        <v>42155</v>
      </c>
    </row>
    <row r="9338" spans="1:6" x14ac:dyDescent="0.25">
      <c r="A9338" s="1" t="s">
        <v>187</v>
      </c>
      <c r="B9338" s="1" t="s">
        <v>1861</v>
      </c>
      <c r="C9338" s="1" t="s">
        <v>134</v>
      </c>
      <c r="D9338" s="3">
        <f t="shared" si="1455"/>
        <v>6076</v>
      </c>
      <c r="E9338" s="2">
        <f t="shared" si="1456"/>
        <v>39448</v>
      </c>
      <c r="F9338" s="2">
        <f t="shared" si="1457"/>
        <v>42155</v>
      </c>
    </row>
    <row r="9339" spans="1:6" x14ac:dyDescent="0.25">
      <c r="A9339" s="1" t="s">
        <v>187</v>
      </c>
      <c r="B9339" s="1" t="s">
        <v>1857</v>
      </c>
      <c r="C9339" s="1" t="s">
        <v>85</v>
      </c>
      <c r="D9339" s="3">
        <f>VALUE("6027")</f>
        <v>6027</v>
      </c>
      <c r="E9339" s="2">
        <f>DATEVALUE("1-4-2007")</f>
        <v>39173</v>
      </c>
      <c r="F9339" s="2">
        <f>DATEVALUE("31-8-2012")</f>
        <v>41152</v>
      </c>
    </row>
    <row r="9340" spans="1:6" x14ac:dyDescent="0.25">
      <c r="A9340" s="1" t="s">
        <v>1692</v>
      </c>
      <c r="B9340" s="1" t="s">
        <v>2061</v>
      </c>
      <c r="C9340" s="1" t="s">
        <v>7</v>
      </c>
      <c r="D9340" s="3">
        <f>VALUE("7838")</f>
        <v>7838</v>
      </c>
      <c r="E9340" s="2">
        <f>DATEVALUE("1-4-2016")</f>
        <v>42461</v>
      </c>
      <c r="F9340" s="2">
        <f>DATEVALUE("31-10-2016")</f>
        <v>42674</v>
      </c>
    </row>
    <row r="9341" spans="1:6" x14ac:dyDescent="0.25">
      <c r="A9341" s="1" t="s">
        <v>1692</v>
      </c>
      <c r="B9341" s="1" t="s">
        <v>2061</v>
      </c>
      <c r="C9341" s="1" t="s">
        <v>8</v>
      </c>
      <c r="D9341" s="3">
        <f>VALUE("7838")</f>
        <v>7838</v>
      </c>
      <c r="E9341" s="2">
        <f>DATEVALUE("1-4-2016")</f>
        <v>42461</v>
      </c>
      <c r="F9341" s="2">
        <f>DATEVALUE("31-10-2016")</f>
        <v>42674</v>
      </c>
    </row>
    <row r="9342" spans="1:6" x14ac:dyDescent="0.25">
      <c r="A9342" s="1" t="s">
        <v>1692</v>
      </c>
      <c r="B9342" s="1" t="s">
        <v>2061</v>
      </c>
      <c r="C9342" s="1" t="s">
        <v>28</v>
      </c>
      <c r="D9342" s="3">
        <f>VALUE("7838")</f>
        <v>7838</v>
      </c>
      <c r="E9342" s="2">
        <f>DATEVALUE("1-4-2016")</f>
        <v>42461</v>
      </c>
      <c r="F9342" s="2">
        <f>DATEVALUE("31-10-2016")</f>
        <v>42674</v>
      </c>
    </row>
    <row r="9343" spans="1:6" x14ac:dyDescent="0.25">
      <c r="A9343" s="1" t="s">
        <v>1692</v>
      </c>
      <c r="B9343" s="1" t="s">
        <v>2061</v>
      </c>
      <c r="C9343" s="1" t="s">
        <v>30</v>
      </c>
      <c r="D9343" s="3">
        <f>VALUE("7838")</f>
        <v>7838</v>
      </c>
      <c r="E9343" s="2">
        <f>DATEVALUE("1-4-2016")</f>
        <v>42461</v>
      </c>
      <c r="F9343" s="2">
        <f>DATEVALUE("31-10-2016")</f>
        <v>42674</v>
      </c>
    </row>
    <row r="9344" spans="1:6" x14ac:dyDescent="0.25">
      <c r="A9344" s="1" t="s">
        <v>1692</v>
      </c>
      <c r="B9344" s="1" t="s">
        <v>2666</v>
      </c>
      <c r="C9344" s="1" t="s">
        <v>172</v>
      </c>
      <c r="D9344" s="3">
        <f>VALUE("7328")</f>
        <v>7328</v>
      </c>
      <c r="E9344" s="2">
        <f>DATEVALUE("1-2-2013")</f>
        <v>41306</v>
      </c>
      <c r="F9344" s="2">
        <f>DATEVALUE("31-3-2013")</f>
        <v>41364</v>
      </c>
    </row>
    <row r="9345" spans="1:6" x14ac:dyDescent="0.25">
      <c r="A9345" s="1" t="s">
        <v>1692</v>
      </c>
      <c r="B9345" s="1" t="s">
        <v>1895</v>
      </c>
      <c r="C9345" s="1" t="s">
        <v>325</v>
      </c>
      <c r="D9345" s="3">
        <f t="shared" ref="D9345:D9355" si="1458">VALUE("7316")</f>
        <v>7316</v>
      </c>
      <c r="E9345" s="2">
        <f t="shared" ref="E9345:E9355" si="1459">DATEVALUE("1-5-2012")</f>
        <v>41030</v>
      </c>
      <c r="F9345" s="2">
        <f t="shared" ref="F9345:F9355" si="1460">DATEVALUE("30-4-2015")</f>
        <v>42124</v>
      </c>
    </row>
    <row r="9346" spans="1:6" x14ac:dyDescent="0.25">
      <c r="A9346" s="1" t="s">
        <v>1692</v>
      </c>
      <c r="B9346" s="1" t="s">
        <v>1895</v>
      </c>
      <c r="C9346" s="1" t="s">
        <v>15</v>
      </c>
      <c r="D9346" s="3">
        <f t="shared" si="1458"/>
        <v>7316</v>
      </c>
      <c r="E9346" s="2">
        <f t="shared" si="1459"/>
        <v>41030</v>
      </c>
      <c r="F9346" s="2">
        <f t="shared" si="1460"/>
        <v>42124</v>
      </c>
    </row>
    <row r="9347" spans="1:6" x14ac:dyDescent="0.25">
      <c r="A9347" s="1" t="s">
        <v>1692</v>
      </c>
      <c r="B9347" s="1" t="s">
        <v>1895</v>
      </c>
      <c r="C9347" s="1" t="s">
        <v>90</v>
      </c>
      <c r="D9347" s="3">
        <f t="shared" si="1458"/>
        <v>7316</v>
      </c>
      <c r="E9347" s="2">
        <f t="shared" si="1459"/>
        <v>41030</v>
      </c>
      <c r="F9347" s="2">
        <f t="shared" si="1460"/>
        <v>42124</v>
      </c>
    </row>
    <row r="9348" spans="1:6" x14ac:dyDescent="0.25">
      <c r="A9348" s="1" t="s">
        <v>1692</v>
      </c>
      <c r="B9348" s="1" t="s">
        <v>1895</v>
      </c>
      <c r="C9348" s="1" t="s">
        <v>25</v>
      </c>
      <c r="D9348" s="3">
        <f t="shared" si="1458"/>
        <v>7316</v>
      </c>
      <c r="E9348" s="2">
        <f t="shared" si="1459"/>
        <v>41030</v>
      </c>
      <c r="F9348" s="2">
        <f t="shared" si="1460"/>
        <v>42124</v>
      </c>
    </row>
    <row r="9349" spans="1:6" x14ac:dyDescent="0.25">
      <c r="A9349" s="1" t="s">
        <v>1692</v>
      </c>
      <c r="B9349" s="1" t="s">
        <v>1895</v>
      </c>
      <c r="C9349" s="1" t="s">
        <v>216</v>
      </c>
      <c r="D9349" s="3">
        <f t="shared" si="1458"/>
        <v>7316</v>
      </c>
      <c r="E9349" s="2">
        <f t="shared" si="1459"/>
        <v>41030</v>
      </c>
      <c r="F9349" s="2">
        <f t="shared" si="1460"/>
        <v>42124</v>
      </c>
    </row>
    <row r="9350" spans="1:6" x14ac:dyDescent="0.25">
      <c r="A9350" s="1" t="s">
        <v>1692</v>
      </c>
      <c r="B9350" s="1" t="s">
        <v>1895</v>
      </c>
      <c r="C9350" s="1" t="s">
        <v>121</v>
      </c>
      <c r="D9350" s="3">
        <f t="shared" si="1458"/>
        <v>7316</v>
      </c>
      <c r="E9350" s="2">
        <f t="shared" si="1459"/>
        <v>41030</v>
      </c>
      <c r="F9350" s="2">
        <f t="shared" si="1460"/>
        <v>42124</v>
      </c>
    </row>
    <row r="9351" spans="1:6" x14ac:dyDescent="0.25">
      <c r="A9351" s="1" t="s">
        <v>1692</v>
      </c>
      <c r="B9351" s="1" t="s">
        <v>1895</v>
      </c>
      <c r="C9351" s="1" t="s">
        <v>105</v>
      </c>
      <c r="D9351" s="3">
        <f t="shared" si="1458"/>
        <v>7316</v>
      </c>
      <c r="E9351" s="2">
        <f t="shared" si="1459"/>
        <v>41030</v>
      </c>
      <c r="F9351" s="2">
        <f t="shared" si="1460"/>
        <v>42124</v>
      </c>
    </row>
    <row r="9352" spans="1:6" x14ac:dyDescent="0.25">
      <c r="A9352" s="1" t="s">
        <v>1692</v>
      </c>
      <c r="B9352" s="1" t="s">
        <v>1895</v>
      </c>
      <c r="C9352" s="1" t="s">
        <v>106</v>
      </c>
      <c r="D9352" s="3">
        <f t="shared" si="1458"/>
        <v>7316</v>
      </c>
      <c r="E9352" s="2">
        <f t="shared" si="1459"/>
        <v>41030</v>
      </c>
      <c r="F9352" s="2">
        <f t="shared" si="1460"/>
        <v>42124</v>
      </c>
    </row>
    <row r="9353" spans="1:6" x14ac:dyDescent="0.25">
      <c r="A9353" s="1" t="s">
        <v>1692</v>
      </c>
      <c r="B9353" s="1" t="s">
        <v>1895</v>
      </c>
      <c r="C9353" s="1" t="s">
        <v>32</v>
      </c>
      <c r="D9353" s="3">
        <f t="shared" si="1458"/>
        <v>7316</v>
      </c>
      <c r="E9353" s="2">
        <f t="shared" si="1459"/>
        <v>41030</v>
      </c>
      <c r="F9353" s="2">
        <f t="shared" si="1460"/>
        <v>42124</v>
      </c>
    </row>
    <row r="9354" spans="1:6" x14ac:dyDescent="0.25">
      <c r="A9354" s="1" t="s">
        <v>1692</v>
      </c>
      <c r="B9354" s="1" t="s">
        <v>1895</v>
      </c>
      <c r="C9354" s="1" t="s">
        <v>113</v>
      </c>
      <c r="D9354" s="3">
        <f t="shared" si="1458"/>
        <v>7316</v>
      </c>
      <c r="E9354" s="2">
        <f t="shared" si="1459"/>
        <v>41030</v>
      </c>
      <c r="F9354" s="2">
        <f t="shared" si="1460"/>
        <v>42124</v>
      </c>
    </row>
    <row r="9355" spans="1:6" x14ac:dyDescent="0.25">
      <c r="A9355" s="1" t="s">
        <v>1692</v>
      </c>
      <c r="B9355" s="1" t="s">
        <v>1895</v>
      </c>
      <c r="C9355" s="1" t="s">
        <v>33</v>
      </c>
      <c r="D9355" s="3">
        <f t="shared" si="1458"/>
        <v>7316</v>
      </c>
      <c r="E9355" s="2">
        <f t="shared" si="1459"/>
        <v>41030</v>
      </c>
      <c r="F9355" s="2">
        <f t="shared" si="1460"/>
        <v>42124</v>
      </c>
    </row>
    <row r="9356" spans="1:6" x14ac:dyDescent="0.25">
      <c r="A9356" s="1" t="s">
        <v>1692</v>
      </c>
      <c r="B9356" s="1" t="s">
        <v>2627</v>
      </c>
      <c r="C9356" s="1" t="s">
        <v>13</v>
      </c>
      <c r="D9356" s="3">
        <f>VALUE("7243")</f>
        <v>7243</v>
      </c>
      <c r="E9356" s="2">
        <f>DATEVALUE("1-9-2011")</f>
        <v>40787</v>
      </c>
      <c r="F9356" s="2">
        <f>DATEVALUE("31-12-2012")</f>
        <v>41274</v>
      </c>
    </row>
    <row r="9357" spans="1:6" x14ac:dyDescent="0.25">
      <c r="A9357" s="1" t="s">
        <v>1692</v>
      </c>
      <c r="B9357" s="1" t="s">
        <v>1880</v>
      </c>
      <c r="C9357" s="1" t="s">
        <v>8</v>
      </c>
      <c r="D9357" s="3">
        <f t="shared" ref="D9357:D9374" si="1461">VALUE("7232")</f>
        <v>7232</v>
      </c>
      <c r="E9357" s="2">
        <f t="shared" ref="E9357:E9374" si="1462">DATEVALUE("1-8-2011")</f>
        <v>40756</v>
      </c>
      <c r="F9357" s="2">
        <f t="shared" ref="F9357:F9374" si="1463">DATEVALUE("31-7-2016")</f>
        <v>42582</v>
      </c>
    </row>
    <row r="9358" spans="1:6" x14ac:dyDescent="0.25">
      <c r="A9358" s="1" t="s">
        <v>1692</v>
      </c>
      <c r="B9358" s="1" t="s">
        <v>1880</v>
      </c>
      <c r="C9358" s="1" t="s">
        <v>10</v>
      </c>
      <c r="D9358" s="3">
        <f t="shared" si="1461"/>
        <v>7232</v>
      </c>
      <c r="E9358" s="2">
        <f t="shared" si="1462"/>
        <v>40756</v>
      </c>
      <c r="F9358" s="2">
        <f t="shared" si="1463"/>
        <v>42582</v>
      </c>
    </row>
    <row r="9359" spans="1:6" x14ac:dyDescent="0.25">
      <c r="A9359" s="1" t="s">
        <v>1692</v>
      </c>
      <c r="B9359" s="1" t="s">
        <v>1880</v>
      </c>
      <c r="C9359" s="1" t="s">
        <v>11</v>
      </c>
      <c r="D9359" s="3">
        <f t="shared" si="1461"/>
        <v>7232</v>
      </c>
      <c r="E9359" s="2">
        <f t="shared" si="1462"/>
        <v>40756</v>
      </c>
      <c r="F9359" s="2">
        <f t="shared" si="1463"/>
        <v>42582</v>
      </c>
    </row>
    <row r="9360" spans="1:6" x14ac:dyDescent="0.25">
      <c r="A9360" s="1" t="s">
        <v>1692</v>
      </c>
      <c r="B9360" s="1" t="s">
        <v>1880</v>
      </c>
      <c r="C9360" s="1" t="s">
        <v>12</v>
      </c>
      <c r="D9360" s="3">
        <f t="shared" si="1461"/>
        <v>7232</v>
      </c>
      <c r="E9360" s="2">
        <f t="shared" si="1462"/>
        <v>40756</v>
      </c>
      <c r="F9360" s="2">
        <f t="shared" si="1463"/>
        <v>42582</v>
      </c>
    </row>
    <row r="9361" spans="1:6" x14ac:dyDescent="0.25">
      <c r="A9361" s="1" t="s">
        <v>1692</v>
      </c>
      <c r="B9361" s="1" t="s">
        <v>1880</v>
      </c>
      <c r="C9361" s="1" t="s">
        <v>46</v>
      </c>
      <c r="D9361" s="3">
        <f t="shared" si="1461"/>
        <v>7232</v>
      </c>
      <c r="E9361" s="2">
        <f t="shared" si="1462"/>
        <v>40756</v>
      </c>
      <c r="F9361" s="2">
        <f t="shared" si="1463"/>
        <v>42582</v>
      </c>
    </row>
    <row r="9362" spans="1:6" x14ac:dyDescent="0.25">
      <c r="A9362" s="1" t="s">
        <v>1692</v>
      </c>
      <c r="B9362" s="1" t="s">
        <v>1880</v>
      </c>
      <c r="C9362" s="1" t="s">
        <v>66</v>
      </c>
      <c r="D9362" s="3">
        <f t="shared" si="1461"/>
        <v>7232</v>
      </c>
      <c r="E9362" s="2">
        <f t="shared" si="1462"/>
        <v>40756</v>
      </c>
      <c r="F9362" s="2">
        <f t="shared" si="1463"/>
        <v>42582</v>
      </c>
    </row>
    <row r="9363" spans="1:6" x14ac:dyDescent="0.25">
      <c r="A9363" s="1" t="s">
        <v>1692</v>
      </c>
      <c r="B9363" s="1" t="s">
        <v>1880</v>
      </c>
      <c r="C9363" s="1" t="s">
        <v>16</v>
      </c>
      <c r="D9363" s="3">
        <f t="shared" si="1461"/>
        <v>7232</v>
      </c>
      <c r="E9363" s="2">
        <f t="shared" si="1462"/>
        <v>40756</v>
      </c>
      <c r="F9363" s="2">
        <f t="shared" si="1463"/>
        <v>42582</v>
      </c>
    </row>
    <row r="9364" spans="1:6" x14ac:dyDescent="0.25">
      <c r="A9364" s="1" t="s">
        <v>1692</v>
      </c>
      <c r="B9364" s="1" t="s">
        <v>1880</v>
      </c>
      <c r="C9364" s="1" t="s">
        <v>88</v>
      </c>
      <c r="D9364" s="3">
        <f t="shared" si="1461"/>
        <v>7232</v>
      </c>
      <c r="E9364" s="2">
        <f t="shared" si="1462"/>
        <v>40756</v>
      </c>
      <c r="F9364" s="2">
        <f t="shared" si="1463"/>
        <v>42582</v>
      </c>
    </row>
    <row r="9365" spans="1:6" x14ac:dyDescent="0.25">
      <c r="A9365" s="1" t="s">
        <v>1692</v>
      </c>
      <c r="B9365" s="1" t="s">
        <v>1880</v>
      </c>
      <c r="C9365" s="1" t="s">
        <v>89</v>
      </c>
      <c r="D9365" s="3">
        <f t="shared" si="1461"/>
        <v>7232</v>
      </c>
      <c r="E9365" s="2">
        <f t="shared" si="1462"/>
        <v>40756</v>
      </c>
      <c r="F9365" s="2">
        <f t="shared" si="1463"/>
        <v>42582</v>
      </c>
    </row>
    <row r="9366" spans="1:6" x14ac:dyDescent="0.25">
      <c r="A9366" s="1" t="s">
        <v>1692</v>
      </c>
      <c r="B9366" s="1" t="s">
        <v>1880</v>
      </c>
      <c r="C9366" s="1" t="s">
        <v>17</v>
      </c>
      <c r="D9366" s="3">
        <f t="shared" si="1461"/>
        <v>7232</v>
      </c>
      <c r="E9366" s="2">
        <f t="shared" si="1462"/>
        <v>40756</v>
      </c>
      <c r="F9366" s="2">
        <f t="shared" si="1463"/>
        <v>42582</v>
      </c>
    </row>
    <row r="9367" spans="1:6" x14ac:dyDescent="0.25">
      <c r="A9367" s="1" t="s">
        <v>1692</v>
      </c>
      <c r="B9367" s="1" t="s">
        <v>1880</v>
      </c>
      <c r="C9367" s="1" t="s">
        <v>328</v>
      </c>
      <c r="D9367" s="3">
        <f t="shared" si="1461"/>
        <v>7232</v>
      </c>
      <c r="E9367" s="2">
        <f t="shared" si="1462"/>
        <v>40756</v>
      </c>
      <c r="F9367" s="2">
        <f t="shared" si="1463"/>
        <v>42582</v>
      </c>
    </row>
    <row r="9368" spans="1:6" x14ac:dyDescent="0.25">
      <c r="A9368" s="1" t="s">
        <v>1692</v>
      </c>
      <c r="B9368" s="1" t="s">
        <v>1880</v>
      </c>
      <c r="C9368" s="1" t="s">
        <v>25</v>
      </c>
      <c r="D9368" s="3">
        <f t="shared" si="1461"/>
        <v>7232</v>
      </c>
      <c r="E9368" s="2">
        <f t="shared" si="1462"/>
        <v>40756</v>
      </c>
      <c r="F9368" s="2">
        <f t="shared" si="1463"/>
        <v>42582</v>
      </c>
    </row>
    <row r="9369" spans="1:6" x14ac:dyDescent="0.25">
      <c r="A9369" s="1" t="s">
        <v>1692</v>
      </c>
      <c r="B9369" s="1" t="s">
        <v>1880</v>
      </c>
      <c r="C9369" s="1" t="s">
        <v>26</v>
      </c>
      <c r="D9369" s="3">
        <f t="shared" si="1461"/>
        <v>7232</v>
      </c>
      <c r="E9369" s="2">
        <f t="shared" si="1462"/>
        <v>40756</v>
      </c>
      <c r="F9369" s="2">
        <f t="shared" si="1463"/>
        <v>42582</v>
      </c>
    </row>
    <row r="9370" spans="1:6" x14ac:dyDescent="0.25">
      <c r="A9370" s="1" t="s">
        <v>1692</v>
      </c>
      <c r="B9370" s="1" t="s">
        <v>1880</v>
      </c>
      <c r="C9370" s="1" t="s">
        <v>121</v>
      </c>
      <c r="D9370" s="3">
        <f t="shared" si="1461"/>
        <v>7232</v>
      </c>
      <c r="E9370" s="2">
        <f t="shared" si="1462"/>
        <v>40756</v>
      </c>
      <c r="F9370" s="2">
        <f t="shared" si="1463"/>
        <v>42582</v>
      </c>
    </row>
    <row r="9371" spans="1:6" x14ac:dyDescent="0.25">
      <c r="A9371" s="1" t="s">
        <v>1692</v>
      </c>
      <c r="B9371" s="1" t="s">
        <v>1880</v>
      </c>
      <c r="C9371" s="1" t="s">
        <v>32</v>
      </c>
      <c r="D9371" s="3">
        <f t="shared" si="1461"/>
        <v>7232</v>
      </c>
      <c r="E9371" s="2">
        <f t="shared" si="1462"/>
        <v>40756</v>
      </c>
      <c r="F9371" s="2">
        <f t="shared" si="1463"/>
        <v>42582</v>
      </c>
    </row>
    <row r="9372" spans="1:6" x14ac:dyDescent="0.25">
      <c r="A9372" s="1" t="s">
        <v>1692</v>
      </c>
      <c r="B9372" s="1" t="s">
        <v>1880</v>
      </c>
      <c r="C9372" s="1" t="s">
        <v>111</v>
      </c>
      <c r="D9372" s="3">
        <f t="shared" si="1461"/>
        <v>7232</v>
      </c>
      <c r="E9372" s="2">
        <f t="shared" si="1462"/>
        <v>40756</v>
      </c>
      <c r="F9372" s="2">
        <f t="shared" si="1463"/>
        <v>42582</v>
      </c>
    </row>
    <row r="9373" spans="1:6" x14ac:dyDescent="0.25">
      <c r="A9373" s="1" t="s">
        <v>1692</v>
      </c>
      <c r="B9373" s="1" t="s">
        <v>1880</v>
      </c>
      <c r="C9373" s="1" t="s">
        <v>33</v>
      </c>
      <c r="D9373" s="3">
        <f t="shared" si="1461"/>
        <v>7232</v>
      </c>
      <c r="E9373" s="2">
        <f t="shared" si="1462"/>
        <v>40756</v>
      </c>
      <c r="F9373" s="2">
        <f t="shared" si="1463"/>
        <v>42582</v>
      </c>
    </row>
    <row r="9374" spans="1:6" x14ac:dyDescent="0.25">
      <c r="A9374" s="1" t="s">
        <v>1692</v>
      </c>
      <c r="B9374" s="1" t="s">
        <v>1880</v>
      </c>
      <c r="C9374" s="1" t="s">
        <v>36</v>
      </c>
      <c r="D9374" s="3">
        <f t="shared" si="1461"/>
        <v>7232</v>
      </c>
      <c r="E9374" s="2">
        <f t="shared" si="1462"/>
        <v>40756</v>
      </c>
      <c r="F9374" s="2">
        <f t="shared" si="1463"/>
        <v>42582</v>
      </c>
    </row>
    <row r="9375" spans="1:6" x14ac:dyDescent="0.25">
      <c r="A9375" s="1" t="s">
        <v>1692</v>
      </c>
      <c r="B9375" s="1" t="s">
        <v>2549</v>
      </c>
      <c r="C9375" s="1" t="s">
        <v>13</v>
      </c>
      <c r="D9375" s="3">
        <f>VALUE("7014")</f>
        <v>7014</v>
      </c>
      <c r="E9375" s="2">
        <f>DATEVALUE("1-1-2010")</f>
        <v>40179</v>
      </c>
      <c r="F9375" s="2">
        <f t="shared" ref="F9375:F9380" si="1464">DATEVALUE("31-3-2013")</f>
        <v>41364</v>
      </c>
    </row>
    <row r="9376" spans="1:6" x14ac:dyDescent="0.25">
      <c r="A9376" s="1" t="s">
        <v>1692</v>
      </c>
      <c r="B9376" s="1" t="s">
        <v>2535</v>
      </c>
      <c r="C9376" s="1" t="s">
        <v>8</v>
      </c>
      <c r="D9376" s="3">
        <f>VALUE("6107")</f>
        <v>6107</v>
      </c>
      <c r="E9376" s="2">
        <f>DATEVALUE("1-9-2008")</f>
        <v>39692</v>
      </c>
      <c r="F9376" s="2">
        <f t="shared" si="1464"/>
        <v>41364</v>
      </c>
    </row>
    <row r="9377" spans="1:6" x14ac:dyDescent="0.25">
      <c r="A9377" s="1" t="s">
        <v>1692</v>
      </c>
      <c r="B9377" s="1" t="s">
        <v>2535</v>
      </c>
      <c r="C9377" s="1" t="s">
        <v>10</v>
      </c>
      <c r="D9377" s="3">
        <f>VALUE("6107")</f>
        <v>6107</v>
      </c>
      <c r="E9377" s="2">
        <f>DATEVALUE("1-9-2008")</f>
        <v>39692</v>
      </c>
      <c r="F9377" s="2">
        <f t="shared" si="1464"/>
        <v>41364</v>
      </c>
    </row>
    <row r="9378" spans="1:6" x14ac:dyDescent="0.25">
      <c r="A9378" s="1" t="s">
        <v>1692</v>
      </c>
      <c r="B9378" s="1" t="s">
        <v>2535</v>
      </c>
      <c r="C9378" s="1" t="s">
        <v>11</v>
      </c>
      <c r="D9378" s="3">
        <f>VALUE("6107")</f>
        <v>6107</v>
      </c>
      <c r="E9378" s="2">
        <f>DATEVALUE("1-9-2008")</f>
        <v>39692</v>
      </c>
      <c r="F9378" s="2">
        <f t="shared" si="1464"/>
        <v>41364</v>
      </c>
    </row>
    <row r="9379" spans="1:6" x14ac:dyDescent="0.25">
      <c r="A9379" s="1" t="s">
        <v>1692</v>
      </c>
      <c r="B9379" s="1" t="s">
        <v>2535</v>
      </c>
      <c r="C9379" s="1" t="s">
        <v>12</v>
      </c>
      <c r="D9379" s="3">
        <f>VALUE("6107")</f>
        <v>6107</v>
      </c>
      <c r="E9379" s="2">
        <f>DATEVALUE("1-9-2008")</f>
        <v>39692</v>
      </c>
      <c r="F9379" s="2">
        <f t="shared" si="1464"/>
        <v>41364</v>
      </c>
    </row>
    <row r="9380" spans="1:6" x14ac:dyDescent="0.25">
      <c r="A9380" s="1" t="s">
        <v>1692</v>
      </c>
      <c r="B9380" s="1" t="s">
        <v>2535</v>
      </c>
      <c r="C9380" s="1" t="s">
        <v>32</v>
      </c>
      <c r="D9380" s="3">
        <f>VALUE("6107")</f>
        <v>6107</v>
      </c>
      <c r="E9380" s="2">
        <f>DATEVALUE("1-9-2008")</f>
        <v>39692</v>
      </c>
      <c r="F9380" s="2">
        <f t="shared" si="1464"/>
        <v>41364</v>
      </c>
    </row>
    <row r="9381" spans="1:6" x14ac:dyDescent="0.25">
      <c r="A9381" s="1" t="s">
        <v>1692</v>
      </c>
      <c r="B9381" s="1" t="s">
        <v>1691</v>
      </c>
      <c r="C9381" s="1" t="s">
        <v>7</v>
      </c>
      <c r="D9381" s="3">
        <f t="shared" ref="D9381:D9386" si="1465">VALUE("6028")</f>
        <v>6028</v>
      </c>
      <c r="E9381" s="2">
        <f t="shared" ref="E9381:E9386" si="1466">DATEVALUE("1-3-2007")</f>
        <v>39142</v>
      </c>
      <c r="F9381" s="2">
        <f t="shared" ref="F9381:F9386" si="1467">DATEVALUE("31-3-2015")</f>
        <v>42094</v>
      </c>
    </row>
    <row r="9382" spans="1:6" x14ac:dyDescent="0.25">
      <c r="A9382" s="1" t="s">
        <v>1692</v>
      </c>
      <c r="B9382" s="1" t="s">
        <v>1691</v>
      </c>
      <c r="C9382" s="1" t="s">
        <v>8</v>
      </c>
      <c r="D9382" s="3">
        <f t="shared" si="1465"/>
        <v>6028</v>
      </c>
      <c r="E9382" s="2">
        <f t="shared" si="1466"/>
        <v>39142</v>
      </c>
      <c r="F9382" s="2">
        <f t="shared" si="1467"/>
        <v>42094</v>
      </c>
    </row>
    <row r="9383" spans="1:6" x14ac:dyDescent="0.25">
      <c r="A9383" s="1" t="s">
        <v>1692</v>
      </c>
      <c r="B9383" s="1" t="s">
        <v>1691</v>
      </c>
      <c r="C9383" s="1" t="s">
        <v>10</v>
      </c>
      <c r="D9383" s="3">
        <f t="shared" si="1465"/>
        <v>6028</v>
      </c>
      <c r="E9383" s="2">
        <f t="shared" si="1466"/>
        <v>39142</v>
      </c>
      <c r="F9383" s="2">
        <f t="shared" si="1467"/>
        <v>42094</v>
      </c>
    </row>
    <row r="9384" spans="1:6" x14ac:dyDescent="0.25">
      <c r="A9384" s="1" t="s">
        <v>1692</v>
      </c>
      <c r="B9384" s="1" t="s">
        <v>1691</v>
      </c>
      <c r="C9384" s="1" t="s">
        <v>11</v>
      </c>
      <c r="D9384" s="3">
        <f t="shared" si="1465"/>
        <v>6028</v>
      </c>
      <c r="E9384" s="2">
        <f t="shared" si="1466"/>
        <v>39142</v>
      </c>
      <c r="F9384" s="2">
        <f t="shared" si="1467"/>
        <v>42094</v>
      </c>
    </row>
    <row r="9385" spans="1:6" x14ac:dyDescent="0.25">
      <c r="A9385" s="1" t="s">
        <v>1692</v>
      </c>
      <c r="B9385" s="1" t="s">
        <v>1691</v>
      </c>
      <c r="C9385" s="1" t="s">
        <v>12</v>
      </c>
      <c r="D9385" s="3">
        <f t="shared" si="1465"/>
        <v>6028</v>
      </c>
      <c r="E9385" s="2">
        <f t="shared" si="1466"/>
        <v>39142</v>
      </c>
      <c r="F9385" s="2">
        <f t="shared" si="1467"/>
        <v>42094</v>
      </c>
    </row>
    <row r="9386" spans="1:6" x14ac:dyDescent="0.25">
      <c r="A9386" s="1" t="s">
        <v>1692</v>
      </c>
      <c r="B9386" s="1" t="s">
        <v>1691</v>
      </c>
      <c r="C9386" s="1" t="s">
        <v>32</v>
      </c>
      <c r="D9386" s="3">
        <f t="shared" si="1465"/>
        <v>6028</v>
      </c>
      <c r="E9386" s="2">
        <f t="shared" si="1466"/>
        <v>39142</v>
      </c>
      <c r="F9386" s="2">
        <f t="shared" si="1467"/>
        <v>42094</v>
      </c>
    </row>
    <row r="9387" spans="1:6" x14ac:dyDescent="0.25">
      <c r="A9387" s="1" t="s">
        <v>972</v>
      </c>
      <c r="B9387" s="1" t="s">
        <v>971</v>
      </c>
      <c r="C9387" s="1" t="s">
        <v>7</v>
      </c>
      <c r="D9387" s="3">
        <f t="shared" ref="D9387:D9392" si="1468">VALUE("8260")</f>
        <v>8260</v>
      </c>
      <c r="E9387" s="2">
        <f t="shared" ref="E9387:E9392" si="1469">DATEVALUE("1-4-2018")</f>
        <v>43191</v>
      </c>
      <c r="F9387" s="2">
        <f t="shared" ref="F9387:F9392" si="1470">DATEVALUE("31-3-2021")</f>
        <v>44286</v>
      </c>
    </row>
    <row r="9388" spans="1:6" x14ac:dyDescent="0.25">
      <c r="A9388" s="1" t="s">
        <v>972</v>
      </c>
      <c r="B9388" s="1" t="s">
        <v>971</v>
      </c>
      <c r="C9388" s="1" t="s">
        <v>63</v>
      </c>
      <c r="D9388" s="3">
        <f t="shared" si="1468"/>
        <v>8260</v>
      </c>
      <c r="E9388" s="2">
        <f t="shared" si="1469"/>
        <v>43191</v>
      </c>
      <c r="F9388" s="2">
        <f t="shared" si="1470"/>
        <v>44286</v>
      </c>
    </row>
    <row r="9389" spans="1:6" x14ac:dyDescent="0.25">
      <c r="A9389" s="1" t="s">
        <v>972</v>
      </c>
      <c r="B9389" s="1" t="s">
        <v>971</v>
      </c>
      <c r="C9389" s="1" t="s">
        <v>329</v>
      </c>
      <c r="D9389" s="3">
        <f t="shared" si="1468"/>
        <v>8260</v>
      </c>
      <c r="E9389" s="2">
        <f t="shared" si="1469"/>
        <v>43191</v>
      </c>
      <c r="F9389" s="2">
        <f t="shared" si="1470"/>
        <v>44286</v>
      </c>
    </row>
    <row r="9390" spans="1:6" x14ac:dyDescent="0.25">
      <c r="A9390" s="1" t="s">
        <v>972</v>
      </c>
      <c r="B9390" s="1" t="s">
        <v>971</v>
      </c>
      <c r="C9390" s="1" t="s">
        <v>69</v>
      </c>
      <c r="D9390" s="3">
        <f t="shared" si="1468"/>
        <v>8260</v>
      </c>
      <c r="E9390" s="2">
        <f t="shared" si="1469"/>
        <v>43191</v>
      </c>
      <c r="F9390" s="2">
        <f t="shared" si="1470"/>
        <v>44286</v>
      </c>
    </row>
    <row r="9391" spans="1:6" x14ac:dyDescent="0.25">
      <c r="A9391" s="1" t="s">
        <v>972</v>
      </c>
      <c r="B9391" s="1" t="s">
        <v>971</v>
      </c>
      <c r="C9391" s="1" t="s">
        <v>72</v>
      </c>
      <c r="D9391" s="3">
        <f t="shared" si="1468"/>
        <v>8260</v>
      </c>
      <c r="E9391" s="2">
        <f t="shared" si="1469"/>
        <v>43191</v>
      </c>
      <c r="F9391" s="2">
        <f t="shared" si="1470"/>
        <v>44286</v>
      </c>
    </row>
    <row r="9392" spans="1:6" x14ac:dyDescent="0.25">
      <c r="A9392" s="1" t="s">
        <v>972</v>
      </c>
      <c r="B9392" s="1" t="s">
        <v>971</v>
      </c>
      <c r="C9392" s="1" t="s">
        <v>52</v>
      </c>
      <c r="D9392" s="3">
        <f t="shared" si="1468"/>
        <v>8260</v>
      </c>
      <c r="E9392" s="2">
        <f t="shared" si="1469"/>
        <v>43191</v>
      </c>
      <c r="F9392" s="2">
        <f t="shared" si="1470"/>
        <v>44286</v>
      </c>
    </row>
    <row r="9393" spans="1:6" x14ac:dyDescent="0.25">
      <c r="A9393" s="1" t="s">
        <v>972</v>
      </c>
      <c r="B9393" s="1" t="s">
        <v>1946</v>
      </c>
      <c r="C9393" s="1" t="s">
        <v>13</v>
      </c>
      <c r="D9393" s="3">
        <f>VALUE("7668")</f>
        <v>7668</v>
      </c>
      <c r="E9393" s="2">
        <f>DATEVALUE("1-12-2014")</f>
        <v>41974</v>
      </c>
      <c r="F9393" s="2">
        <f>DATEVALUE("31-5-2015")</f>
        <v>42155</v>
      </c>
    </row>
    <row r="9394" spans="1:6" x14ac:dyDescent="0.25">
      <c r="A9394" s="1" t="s">
        <v>1107</v>
      </c>
      <c r="B9394" s="1" t="s">
        <v>1828</v>
      </c>
      <c r="C9394" s="1" t="s">
        <v>140</v>
      </c>
      <c r="D9394" s="3">
        <f>VALUE("8699")</f>
        <v>8699</v>
      </c>
      <c r="E9394" s="2">
        <f>DATEVALUE("1-2-2020")</f>
        <v>43862</v>
      </c>
      <c r="F9394" s="2">
        <f>DATEVALUE("31-8-2020")</f>
        <v>44074</v>
      </c>
    </row>
    <row r="9395" spans="1:6" x14ac:dyDescent="0.25">
      <c r="A9395" s="1" t="s">
        <v>1107</v>
      </c>
      <c r="B9395" s="1" t="s">
        <v>1106</v>
      </c>
      <c r="C9395" s="1" t="s">
        <v>7</v>
      </c>
      <c r="D9395" s="3">
        <f t="shared" ref="D9395:D9416" si="1471">VALUE("8379")</f>
        <v>8379</v>
      </c>
      <c r="E9395" s="2">
        <f t="shared" ref="E9395:E9416" si="1472">DATEVALUE("1-12-2018")</f>
        <v>43435</v>
      </c>
      <c r="F9395" s="2">
        <f t="shared" ref="F9395:F9416" si="1473">DATEVALUE("31-10-2025")</f>
        <v>45961</v>
      </c>
    </row>
    <row r="9396" spans="1:6" x14ac:dyDescent="0.25">
      <c r="A9396" s="1" t="s">
        <v>1107</v>
      </c>
      <c r="B9396" s="1" t="s">
        <v>1106</v>
      </c>
      <c r="C9396" s="1" t="s">
        <v>8</v>
      </c>
      <c r="D9396" s="3">
        <f t="shared" si="1471"/>
        <v>8379</v>
      </c>
      <c r="E9396" s="2">
        <f t="shared" si="1472"/>
        <v>43435</v>
      </c>
      <c r="F9396" s="2">
        <f t="shared" si="1473"/>
        <v>45961</v>
      </c>
    </row>
    <row r="9397" spans="1:6" x14ac:dyDescent="0.25">
      <c r="A9397" s="1" t="s">
        <v>1107</v>
      </c>
      <c r="B9397" s="1" t="s">
        <v>1106</v>
      </c>
      <c r="C9397" s="1" t="s">
        <v>43</v>
      </c>
      <c r="D9397" s="3">
        <f t="shared" si="1471"/>
        <v>8379</v>
      </c>
      <c r="E9397" s="2">
        <f t="shared" si="1472"/>
        <v>43435</v>
      </c>
      <c r="F9397" s="2">
        <f t="shared" si="1473"/>
        <v>45961</v>
      </c>
    </row>
    <row r="9398" spans="1:6" x14ac:dyDescent="0.25">
      <c r="A9398" s="1" t="s">
        <v>1107</v>
      </c>
      <c r="B9398" s="1" t="s">
        <v>1106</v>
      </c>
      <c r="C9398" s="1" t="s">
        <v>13</v>
      </c>
      <c r="D9398" s="3">
        <f t="shared" si="1471"/>
        <v>8379</v>
      </c>
      <c r="E9398" s="2">
        <f t="shared" si="1472"/>
        <v>43435</v>
      </c>
      <c r="F9398" s="2">
        <f t="shared" si="1473"/>
        <v>45961</v>
      </c>
    </row>
    <row r="9399" spans="1:6" x14ac:dyDescent="0.25">
      <c r="A9399" s="1" t="s">
        <v>1107</v>
      </c>
      <c r="B9399" s="1" t="s">
        <v>1106</v>
      </c>
      <c r="C9399" s="1" t="s">
        <v>45</v>
      </c>
      <c r="D9399" s="3">
        <f t="shared" si="1471"/>
        <v>8379</v>
      </c>
      <c r="E9399" s="2">
        <f t="shared" si="1472"/>
        <v>43435</v>
      </c>
      <c r="F9399" s="2">
        <f t="shared" si="1473"/>
        <v>45961</v>
      </c>
    </row>
    <row r="9400" spans="1:6" x14ac:dyDescent="0.25">
      <c r="A9400" s="1" t="s">
        <v>1107</v>
      </c>
      <c r="B9400" s="1" t="s">
        <v>1106</v>
      </c>
      <c r="C9400" s="1" t="s">
        <v>44</v>
      </c>
      <c r="D9400" s="3">
        <f t="shared" si="1471"/>
        <v>8379</v>
      </c>
      <c r="E9400" s="2">
        <f t="shared" si="1472"/>
        <v>43435</v>
      </c>
      <c r="F9400" s="2">
        <f t="shared" si="1473"/>
        <v>45961</v>
      </c>
    </row>
    <row r="9401" spans="1:6" x14ac:dyDescent="0.25">
      <c r="A9401" s="1" t="s">
        <v>1107</v>
      </c>
      <c r="B9401" s="1" t="s">
        <v>1106</v>
      </c>
      <c r="C9401" s="1" t="s">
        <v>66</v>
      </c>
      <c r="D9401" s="3">
        <f t="shared" si="1471"/>
        <v>8379</v>
      </c>
      <c r="E9401" s="2">
        <f t="shared" si="1472"/>
        <v>43435</v>
      </c>
      <c r="F9401" s="2">
        <f t="shared" si="1473"/>
        <v>45961</v>
      </c>
    </row>
    <row r="9402" spans="1:6" x14ac:dyDescent="0.25">
      <c r="A9402" s="1" t="s">
        <v>1107</v>
      </c>
      <c r="B9402" s="1" t="s">
        <v>1106</v>
      </c>
      <c r="C9402" s="1" t="s">
        <v>17</v>
      </c>
      <c r="D9402" s="3">
        <f t="shared" si="1471"/>
        <v>8379</v>
      </c>
      <c r="E9402" s="2">
        <f t="shared" si="1472"/>
        <v>43435</v>
      </c>
      <c r="F9402" s="2">
        <f t="shared" si="1473"/>
        <v>45961</v>
      </c>
    </row>
    <row r="9403" spans="1:6" x14ac:dyDescent="0.25">
      <c r="A9403" s="1" t="s">
        <v>1107</v>
      </c>
      <c r="B9403" s="1" t="s">
        <v>1106</v>
      </c>
      <c r="C9403" s="1" t="s">
        <v>441</v>
      </c>
      <c r="D9403" s="3">
        <f t="shared" si="1471"/>
        <v>8379</v>
      </c>
      <c r="E9403" s="2">
        <f t="shared" si="1472"/>
        <v>43435</v>
      </c>
      <c r="F9403" s="2">
        <f t="shared" si="1473"/>
        <v>45961</v>
      </c>
    </row>
    <row r="9404" spans="1:6" x14ac:dyDescent="0.25">
      <c r="A9404" s="1" t="s">
        <v>1107</v>
      </c>
      <c r="B9404" s="1" t="s">
        <v>1106</v>
      </c>
      <c r="C9404" s="1" t="s">
        <v>22</v>
      </c>
      <c r="D9404" s="3">
        <f t="shared" si="1471"/>
        <v>8379</v>
      </c>
      <c r="E9404" s="2">
        <f t="shared" si="1472"/>
        <v>43435</v>
      </c>
      <c r="F9404" s="2">
        <f t="shared" si="1473"/>
        <v>45961</v>
      </c>
    </row>
    <row r="9405" spans="1:6" x14ac:dyDescent="0.25">
      <c r="A9405" s="1" t="s">
        <v>1107</v>
      </c>
      <c r="B9405" s="1" t="s">
        <v>1106</v>
      </c>
      <c r="C9405" s="1" t="s">
        <v>92</v>
      </c>
      <c r="D9405" s="3">
        <f t="shared" si="1471"/>
        <v>8379</v>
      </c>
      <c r="E9405" s="2">
        <f t="shared" si="1472"/>
        <v>43435</v>
      </c>
      <c r="F9405" s="2">
        <f t="shared" si="1473"/>
        <v>45961</v>
      </c>
    </row>
    <row r="9406" spans="1:6" x14ac:dyDescent="0.25">
      <c r="A9406" s="1" t="s">
        <v>1107</v>
      </c>
      <c r="B9406" s="1" t="s">
        <v>1106</v>
      </c>
      <c r="C9406" s="1" t="s">
        <v>155</v>
      </c>
      <c r="D9406" s="3">
        <f t="shared" si="1471"/>
        <v>8379</v>
      </c>
      <c r="E9406" s="2">
        <f t="shared" si="1472"/>
        <v>43435</v>
      </c>
      <c r="F9406" s="2">
        <f t="shared" si="1473"/>
        <v>45961</v>
      </c>
    </row>
    <row r="9407" spans="1:6" x14ac:dyDescent="0.25">
      <c r="A9407" s="1" t="s">
        <v>1107</v>
      </c>
      <c r="B9407" s="1" t="s">
        <v>1106</v>
      </c>
      <c r="C9407" s="1" t="s">
        <v>212</v>
      </c>
      <c r="D9407" s="3">
        <f t="shared" si="1471"/>
        <v>8379</v>
      </c>
      <c r="E9407" s="2">
        <f t="shared" si="1472"/>
        <v>43435</v>
      </c>
      <c r="F9407" s="2">
        <f t="shared" si="1473"/>
        <v>45961</v>
      </c>
    </row>
    <row r="9408" spans="1:6" x14ac:dyDescent="0.25">
      <c r="A9408" s="1" t="s">
        <v>1107</v>
      </c>
      <c r="B9408" s="1" t="s">
        <v>1106</v>
      </c>
      <c r="C9408" s="1" t="s">
        <v>26</v>
      </c>
      <c r="D9408" s="3">
        <f t="shared" si="1471"/>
        <v>8379</v>
      </c>
      <c r="E9408" s="2">
        <f t="shared" si="1472"/>
        <v>43435</v>
      </c>
      <c r="F9408" s="2">
        <f t="shared" si="1473"/>
        <v>45961</v>
      </c>
    </row>
    <row r="9409" spans="1:6" x14ac:dyDescent="0.25">
      <c r="A9409" s="1" t="s">
        <v>1107</v>
      </c>
      <c r="B9409" s="1" t="s">
        <v>1106</v>
      </c>
      <c r="C9409" s="1" t="s">
        <v>72</v>
      </c>
      <c r="D9409" s="3">
        <f t="shared" si="1471"/>
        <v>8379</v>
      </c>
      <c r="E9409" s="2">
        <f t="shared" si="1472"/>
        <v>43435</v>
      </c>
      <c r="F9409" s="2">
        <f t="shared" si="1473"/>
        <v>45961</v>
      </c>
    </row>
    <row r="9410" spans="1:6" x14ac:dyDescent="0.25">
      <c r="A9410" s="1" t="s">
        <v>1107</v>
      </c>
      <c r="B9410" s="1" t="s">
        <v>1106</v>
      </c>
      <c r="C9410" s="1" t="s">
        <v>517</v>
      </c>
      <c r="D9410" s="3">
        <f t="shared" si="1471"/>
        <v>8379</v>
      </c>
      <c r="E9410" s="2">
        <f t="shared" si="1472"/>
        <v>43435</v>
      </c>
      <c r="F9410" s="2">
        <f t="shared" si="1473"/>
        <v>45961</v>
      </c>
    </row>
    <row r="9411" spans="1:6" x14ac:dyDescent="0.25">
      <c r="A9411" s="1" t="s">
        <v>1107</v>
      </c>
      <c r="B9411" s="1" t="s">
        <v>1106</v>
      </c>
      <c r="C9411" s="1" t="s">
        <v>31</v>
      </c>
      <c r="D9411" s="3">
        <f t="shared" si="1471"/>
        <v>8379</v>
      </c>
      <c r="E9411" s="2">
        <f t="shared" si="1472"/>
        <v>43435</v>
      </c>
      <c r="F9411" s="2">
        <f t="shared" si="1473"/>
        <v>45961</v>
      </c>
    </row>
    <row r="9412" spans="1:6" x14ac:dyDescent="0.25">
      <c r="A9412" s="1" t="s">
        <v>1107</v>
      </c>
      <c r="B9412" s="1" t="s">
        <v>1106</v>
      </c>
      <c r="C9412" s="1" t="s">
        <v>52</v>
      </c>
      <c r="D9412" s="3">
        <f t="shared" si="1471"/>
        <v>8379</v>
      </c>
      <c r="E9412" s="2">
        <f t="shared" si="1472"/>
        <v>43435</v>
      </c>
      <c r="F9412" s="2">
        <f t="shared" si="1473"/>
        <v>45961</v>
      </c>
    </row>
    <row r="9413" spans="1:6" x14ac:dyDescent="0.25">
      <c r="A9413" s="1" t="s">
        <v>1107</v>
      </c>
      <c r="B9413" s="1" t="s">
        <v>1106</v>
      </c>
      <c r="C9413" s="1" t="s">
        <v>1108</v>
      </c>
      <c r="D9413" s="3">
        <f t="shared" si="1471"/>
        <v>8379</v>
      </c>
      <c r="E9413" s="2">
        <f t="shared" si="1472"/>
        <v>43435</v>
      </c>
      <c r="F9413" s="2">
        <f t="shared" si="1473"/>
        <v>45961</v>
      </c>
    </row>
    <row r="9414" spans="1:6" x14ac:dyDescent="0.25">
      <c r="A9414" s="1" t="s">
        <v>1107</v>
      </c>
      <c r="B9414" s="1" t="s">
        <v>1106</v>
      </c>
      <c r="C9414" s="1" t="s">
        <v>162</v>
      </c>
      <c r="D9414" s="3">
        <f t="shared" si="1471"/>
        <v>8379</v>
      </c>
      <c r="E9414" s="2">
        <f t="shared" si="1472"/>
        <v>43435</v>
      </c>
      <c r="F9414" s="2">
        <f t="shared" si="1473"/>
        <v>45961</v>
      </c>
    </row>
    <row r="9415" spans="1:6" x14ac:dyDescent="0.25">
      <c r="A9415" s="1" t="s">
        <v>1107</v>
      </c>
      <c r="B9415" s="1" t="s">
        <v>1106</v>
      </c>
      <c r="C9415" s="1" t="s">
        <v>334</v>
      </c>
      <c r="D9415" s="3">
        <f t="shared" si="1471"/>
        <v>8379</v>
      </c>
      <c r="E9415" s="2">
        <f t="shared" si="1472"/>
        <v>43435</v>
      </c>
      <c r="F9415" s="2">
        <f t="shared" si="1473"/>
        <v>45961</v>
      </c>
    </row>
    <row r="9416" spans="1:6" x14ac:dyDescent="0.25">
      <c r="A9416" s="1" t="s">
        <v>1107</v>
      </c>
      <c r="B9416" s="1" t="s">
        <v>1106</v>
      </c>
      <c r="C9416" s="1" t="s">
        <v>57</v>
      </c>
      <c r="D9416" s="3">
        <f t="shared" si="1471"/>
        <v>8379</v>
      </c>
      <c r="E9416" s="2">
        <f t="shared" si="1472"/>
        <v>43435</v>
      </c>
      <c r="F9416" s="2">
        <f t="shared" si="1473"/>
        <v>45961</v>
      </c>
    </row>
    <row r="9417" spans="1:6" x14ac:dyDescent="0.25">
      <c r="A9417" s="1" t="s">
        <v>974</v>
      </c>
      <c r="B9417" s="1" t="s">
        <v>2399</v>
      </c>
      <c r="C9417" s="1" t="s">
        <v>1948</v>
      </c>
      <c r="D9417" s="3">
        <f>VALUE("8383")</f>
        <v>8383</v>
      </c>
      <c r="E9417" s="2">
        <f>DATEVALUE("1-3-2019")</f>
        <v>43525</v>
      </c>
      <c r="F9417" s="2">
        <f>DATEVALUE("31-8-2019")</f>
        <v>43708</v>
      </c>
    </row>
    <row r="9418" spans="1:6" x14ac:dyDescent="0.25">
      <c r="A9418" s="1" t="s">
        <v>974</v>
      </c>
      <c r="B9418" s="1" t="s">
        <v>2399</v>
      </c>
      <c r="C9418" s="1" t="s">
        <v>466</v>
      </c>
      <c r="D9418" s="3">
        <f>VALUE("8383")</f>
        <v>8383</v>
      </c>
      <c r="E9418" s="2">
        <f>DATEVALUE("1-3-2019")</f>
        <v>43525</v>
      </c>
      <c r="F9418" s="2">
        <f>DATEVALUE("31-8-2019")</f>
        <v>43708</v>
      </c>
    </row>
    <row r="9419" spans="1:6" x14ac:dyDescent="0.25">
      <c r="A9419" s="1" t="s">
        <v>974</v>
      </c>
      <c r="B9419" s="1" t="s">
        <v>2399</v>
      </c>
      <c r="C9419" s="1" t="s">
        <v>467</v>
      </c>
      <c r="D9419" s="3">
        <f>VALUE("8383")</f>
        <v>8383</v>
      </c>
      <c r="E9419" s="2">
        <f>DATEVALUE("1-3-2019")</f>
        <v>43525</v>
      </c>
      <c r="F9419" s="2">
        <f>DATEVALUE("31-8-2019")</f>
        <v>43708</v>
      </c>
    </row>
    <row r="9420" spans="1:6" x14ac:dyDescent="0.25">
      <c r="A9420" s="1" t="s">
        <v>974</v>
      </c>
      <c r="B9420" s="1" t="s">
        <v>2399</v>
      </c>
      <c r="C9420" s="1" t="s">
        <v>468</v>
      </c>
      <c r="D9420" s="3">
        <f>VALUE("8383")</f>
        <v>8383</v>
      </c>
      <c r="E9420" s="2">
        <f>DATEVALUE("1-3-2019")</f>
        <v>43525</v>
      </c>
      <c r="F9420" s="2">
        <f>DATEVALUE("31-8-2019")</f>
        <v>43708</v>
      </c>
    </row>
    <row r="9421" spans="1:6" x14ac:dyDescent="0.25">
      <c r="A9421" s="1" t="s">
        <v>974</v>
      </c>
      <c r="B9421" s="1" t="s">
        <v>973</v>
      </c>
      <c r="C9421" s="1" t="s">
        <v>415</v>
      </c>
      <c r="D9421" s="3">
        <f>VALUE("8261")</f>
        <v>8261</v>
      </c>
      <c r="E9421" s="2">
        <f>DATEVALUE("1-4-2018")</f>
        <v>43191</v>
      </c>
      <c r="F9421" s="2">
        <f>DATEVALUE("31-12-2019")</f>
        <v>43830</v>
      </c>
    </row>
    <row r="9422" spans="1:6" x14ac:dyDescent="0.25">
      <c r="A9422" s="1" t="s">
        <v>974</v>
      </c>
      <c r="B9422" s="1" t="s">
        <v>973</v>
      </c>
      <c r="C9422" s="1" t="s">
        <v>65</v>
      </c>
      <c r="D9422" s="3">
        <f>VALUE("8261")</f>
        <v>8261</v>
      </c>
      <c r="E9422" s="2">
        <f>DATEVALUE("1-4-2018")</f>
        <v>43191</v>
      </c>
      <c r="F9422" s="2">
        <f>DATEVALUE("31-12-2019")</f>
        <v>43830</v>
      </c>
    </row>
    <row r="9423" spans="1:6" x14ac:dyDescent="0.25">
      <c r="A9423" s="1" t="s">
        <v>974</v>
      </c>
      <c r="B9423" s="1" t="s">
        <v>973</v>
      </c>
      <c r="C9423" s="1" t="s">
        <v>416</v>
      </c>
      <c r="D9423" s="3">
        <f>VALUE("8261")</f>
        <v>8261</v>
      </c>
      <c r="E9423" s="2">
        <f>DATEVALUE("1-4-2018")</f>
        <v>43191</v>
      </c>
      <c r="F9423" s="2">
        <f>DATEVALUE("31-12-2019")</f>
        <v>43830</v>
      </c>
    </row>
    <row r="9424" spans="1:6" x14ac:dyDescent="0.25">
      <c r="A9424" s="1" t="s">
        <v>974</v>
      </c>
      <c r="B9424" s="1" t="s">
        <v>1733</v>
      </c>
      <c r="C9424" s="1" t="s">
        <v>469</v>
      </c>
      <c r="D9424" s="3">
        <f>VALUE("7706")</f>
        <v>7706</v>
      </c>
      <c r="E9424" s="2">
        <f>DATEVALUE("1-9-2015")</f>
        <v>42248</v>
      </c>
      <c r="F9424" s="2">
        <f>DATEVALUE("28-2-2017")</f>
        <v>42794</v>
      </c>
    </row>
    <row r="9425" spans="1:6" x14ac:dyDescent="0.25">
      <c r="A9425" s="1" t="s">
        <v>974</v>
      </c>
      <c r="B9425" s="1" t="s">
        <v>1985</v>
      </c>
      <c r="C9425" s="1" t="s">
        <v>1948</v>
      </c>
      <c r="D9425" s="3">
        <f>VALUE("7768")</f>
        <v>7768</v>
      </c>
      <c r="E9425" s="2">
        <f>DATEVALUE("1-8-2015")</f>
        <v>42217</v>
      </c>
      <c r="F9425" s="2">
        <f>DATEVALUE("31-1-2016")</f>
        <v>42400</v>
      </c>
    </row>
    <row r="9426" spans="1:6" x14ac:dyDescent="0.25">
      <c r="A9426" s="1" t="s">
        <v>974</v>
      </c>
      <c r="B9426" s="1" t="s">
        <v>1947</v>
      </c>
      <c r="C9426" s="1" t="s">
        <v>1948</v>
      </c>
      <c r="D9426" s="3">
        <f>VALUE("7689")</f>
        <v>7689</v>
      </c>
      <c r="E9426" s="2">
        <f>DATEVALUE("1-12-2014")</f>
        <v>41974</v>
      </c>
      <c r="F9426" s="2">
        <f>DATEVALUE("31-5-2015")</f>
        <v>42155</v>
      </c>
    </row>
    <row r="9427" spans="1:6" x14ac:dyDescent="0.25">
      <c r="A9427" s="1" t="s">
        <v>974</v>
      </c>
      <c r="B9427" s="1" t="s">
        <v>2684</v>
      </c>
      <c r="C9427" s="1" t="s">
        <v>1948</v>
      </c>
      <c r="D9427" s="3">
        <f>VALUE("7378")</f>
        <v>7378</v>
      </c>
      <c r="E9427" s="2">
        <f>DATEVALUE("1-8-2013")</f>
        <v>41487</v>
      </c>
      <c r="F9427" s="2">
        <f>DATEVALUE("31-5-2014")</f>
        <v>41790</v>
      </c>
    </row>
    <row r="9428" spans="1:6" x14ac:dyDescent="0.25">
      <c r="A9428" s="1" t="s">
        <v>974</v>
      </c>
      <c r="B9428" s="1" t="s">
        <v>2622</v>
      </c>
      <c r="C9428" s="1" t="s">
        <v>1948</v>
      </c>
      <c r="D9428" s="3">
        <f>VALUE("7230")</f>
        <v>7230</v>
      </c>
      <c r="E9428" s="2">
        <f>DATEVALUE("1-3-2012")</f>
        <v>40969</v>
      </c>
      <c r="F9428" s="2">
        <f>DATEVALUE("31-8-2013")</f>
        <v>41517</v>
      </c>
    </row>
    <row r="9429" spans="1:6" x14ac:dyDescent="0.25">
      <c r="A9429" s="1" t="s">
        <v>324</v>
      </c>
      <c r="B9429" s="1" t="s">
        <v>1537</v>
      </c>
      <c r="C9429" s="1" t="s">
        <v>8</v>
      </c>
      <c r="D9429" s="3">
        <f t="shared" ref="D9429:D9452" si="1474">VALUE("8724")</f>
        <v>8724</v>
      </c>
      <c r="E9429" s="2">
        <f t="shared" ref="E9429:E9452" si="1475">DATEVALUE("1-4-2020")</f>
        <v>43922</v>
      </c>
      <c r="F9429" s="2">
        <f t="shared" ref="F9429:F9452" si="1476">DATEVALUE("30-9-2022")</f>
        <v>44834</v>
      </c>
    </row>
    <row r="9430" spans="1:6" x14ac:dyDescent="0.25">
      <c r="A9430" s="1" t="s">
        <v>324</v>
      </c>
      <c r="B9430" s="1" t="s">
        <v>1537</v>
      </c>
      <c r="C9430" s="1" t="s">
        <v>256</v>
      </c>
      <c r="D9430" s="3">
        <f t="shared" si="1474"/>
        <v>8724</v>
      </c>
      <c r="E9430" s="2">
        <f t="shared" si="1475"/>
        <v>43922</v>
      </c>
      <c r="F9430" s="2">
        <f t="shared" si="1476"/>
        <v>44834</v>
      </c>
    </row>
    <row r="9431" spans="1:6" x14ac:dyDescent="0.25">
      <c r="A9431" s="1" t="s">
        <v>324</v>
      </c>
      <c r="B9431" s="1" t="s">
        <v>1537</v>
      </c>
      <c r="C9431" s="1" t="s">
        <v>1192</v>
      </c>
      <c r="D9431" s="3">
        <f t="shared" si="1474"/>
        <v>8724</v>
      </c>
      <c r="E9431" s="2">
        <f t="shared" si="1475"/>
        <v>43922</v>
      </c>
      <c r="F9431" s="2">
        <f t="shared" si="1476"/>
        <v>44834</v>
      </c>
    </row>
    <row r="9432" spans="1:6" x14ac:dyDescent="0.25">
      <c r="A9432" s="1" t="s">
        <v>324</v>
      </c>
      <c r="B9432" s="1" t="s">
        <v>1537</v>
      </c>
      <c r="C9432" s="1" t="s">
        <v>140</v>
      </c>
      <c r="D9432" s="3">
        <f t="shared" si="1474"/>
        <v>8724</v>
      </c>
      <c r="E9432" s="2">
        <f t="shared" si="1475"/>
        <v>43922</v>
      </c>
      <c r="F9432" s="2">
        <f t="shared" si="1476"/>
        <v>44834</v>
      </c>
    </row>
    <row r="9433" spans="1:6" x14ac:dyDescent="0.25">
      <c r="A9433" s="1" t="s">
        <v>324</v>
      </c>
      <c r="B9433" s="1" t="s">
        <v>1537</v>
      </c>
      <c r="C9433" s="1" t="s">
        <v>142</v>
      </c>
      <c r="D9433" s="3">
        <f t="shared" si="1474"/>
        <v>8724</v>
      </c>
      <c r="E9433" s="2">
        <f t="shared" si="1475"/>
        <v>43922</v>
      </c>
      <c r="F9433" s="2">
        <f t="shared" si="1476"/>
        <v>44834</v>
      </c>
    </row>
    <row r="9434" spans="1:6" x14ac:dyDescent="0.25">
      <c r="A9434" s="1" t="s">
        <v>324</v>
      </c>
      <c r="B9434" s="1" t="s">
        <v>1537</v>
      </c>
      <c r="C9434" s="1" t="s">
        <v>14</v>
      </c>
      <c r="D9434" s="3">
        <f t="shared" si="1474"/>
        <v>8724</v>
      </c>
      <c r="E9434" s="2">
        <f t="shared" si="1475"/>
        <v>43922</v>
      </c>
      <c r="F9434" s="2">
        <f t="shared" si="1476"/>
        <v>44834</v>
      </c>
    </row>
    <row r="9435" spans="1:6" x14ac:dyDescent="0.25">
      <c r="A9435" s="1" t="s">
        <v>324</v>
      </c>
      <c r="B9435" s="1" t="s">
        <v>1537</v>
      </c>
      <c r="C9435" s="1" t="s">
        <v>66</v>
      </c>
      <c r="D9435" s="3">
        <f t="shared" si="1474"/>
        <v>8724</v>
      </c>
      <c r="E9435" s="2">
        <f t="shared" si="1475"/>
        <v>43922</v>
      </c>
      <c r="F9435" s="2">
        <f t="shared" si="1476"/>
        <v>44834</v>
      </c>
    </row>
    <row r="9436" spans="1:6" x14ac:dyDescent="0.25">
      <c r="A9436" s="1" t="s">
        <v>324</v>
      </c>
      <c r="B9436" s="1" t="s">
        <v>1537</v>
      </c>
      <c r="C9436" s="1" t="s">
        <v>15</v>
      </c>
      <c r="D9436" s="3">
        <f t="shared" si="1474"/>
        <v>8724</v>
      </c>
      <c r="E9436" s="2">
        <f t="shared" si="1475"/>
        <v>43922</v>
      </c>
      <c r="F9436" s="2">
        <f t="shared" si="1476"/>
        <v>44834</v>
      </c>
    </row>
    <row r="9437" spans="1:6" x14ac:dyDescent="0.25">
      <c r="A9437" s="1" t="s">
        <v>324</v>
      </c>
      <c r="B9437" s="1" t="s">
        <v>1537</v>
      </c>
      <c r="C9437" s="1" t="s">
        <v>89</v>
      </c>
      <c r="D9437" s="3">
        <f t="shared" si="1474"/>
        <v>8724</v>
      </c>
      <c r="E9437" s="2">
        <f t="shared" si="1475"/>
        <v>43922</v>
      </c>
      <c r="F9437" s="2">
        <f t="shared" si="1476"/>
        <v>44834</v>
      </c>
    </row>
    <row r="9438" spans="1:6" x14ac:dyDescent="0.25">
      <c r="A9438" s="1" t="s">
        <v>324</v>
      </c>
      <c r="B9438" s="1" t="s">
        <v>1537</v>
      </c>
      <c r="C9438" s="1" t="s">
        <v>17</v>
      </c>
      <c r="D9438" s="3">
        <f t="shared" si="1474"/>
        <v>8724</v>
      </c>
      <c r="E9438" s="2">
        <f t="shared" si="1475"/>
        <v>43922</v>
      </c>
      <c r="F9438" s="2">
        <f t="shared" si="1476"/>
        <v>44834</v>
      </c>
    </row>
    <row r="9439" spans="1:6" x14ac:dyDescent="0.25">
      <c r="A9439" s="1" t="s">
        <v>324</v>
      </c>
      <c r="B9439" s="1" t="s">
        <v>1537</v>
      </c>
      <c r="C9439" s="1" t="s">
        <v>441</v>
      </c>
      <c r="D9439" s="3">
        <f t="shared" si="1474"/>
        <v>8724</v>
      </c>
      <c r="E9439" s="2">
        <f t="shared" si="1475"/>
        <v>43922</v>
      </c>
      <c r="F9439" s="2">
        <f t="shared" si="1476"/>
        <v>44834</v>
      </c>
    </row>
    <row r="9440" spans="1:6" x14ac:dyDescent="0.25">
      <c r="A9440" s="1" t="s">
        <v>324</v>
      </c>
      <c r="B9440" s="1" t="s">
        <v>1537</v>
      </c>
      <c r="C9440" s="1" t="s">
        <v>22</v>
      </c>
      <c r="D9440" s="3">
        <f t="shared" si="1474"/>
        <v>8724</v>
      </c>
      <c r="E9440" s="2">
        <f t="shared" si="1475"/>
        <v>43922</v>
      </c>
      <c r="F9440" s="2">
        <f t="shared" si="1476"/>
        <v>44834</v>
      </c>
    </row>
    <row r="9441" spans="1:6" x14ac:dyDescent="0.25">
      <c r="A9441" s="1" t="s">
        <v>324</v>
      </c>
      <c r="B9441" s="1" t="s">
        <v>1537</v>
      </c>
      <c r="C9441" s="1" t="s">
        <v>146</v>
      </c>
      <c r="D9441" s="3">
        <f t="shared" si="1474"/>
        <v>8724</v>
      </c>
      <c r="E9441" s="2">
        <f t="shared" si="1475"/>
        <v>43922</v>
      </c>
      <c r="F9441" s="2">
        <f t="shared" si="1476"/>
        <v>44834</v>
      </c>
    </row>
    <row r="9442" spans="1:6" x14ac:dyDescent="0.25">
      <c r="A9442" s="1" t="s">
        <v>324</v>
      </c>
      <c r="B9442" s="1" t="s">
        <v>1537</v>
      </c>
      <c r="C9442" s="1" t="s">
        <v>67</v>
      </c>
      <c r="D9442" s="3">
        <f t="shared" si="1474"/>
        <v>8724</v>
      </c>
      <c r="E9442" s="2">
        <f t="shared" si="1475"/>
        <v>43922</v>
      </c>
      <c r="F9442" s="2">
        <f t="shared" si="1476"/>
        <v>44834</v>
      </c>
    </row>
    <row r="9443" spans="1:6" x14ac:dyDescent="0.25">
      <c r="A9443" s="1" t="s">
        <v>324</v>
      </c>
      <c r="B9443" s="1" t="s">
        <v>1537</v>
      </c>
      <c r="C9443" s="1" t="s">
        <v>148</v>
      </c>
      <c r="D9443" s="3">
        <f t="shared" si="1474"/>
        <v>8724</v>
      </c>
      <c r="E9443" s="2">
        <f t="shared" si="1475"/>
        <v>43922</v>
      </c>
      <c r="F9443" s="2">
        <f t="shared" si="1476"/>
        <v>44834</v>
      </c>
    </row>
    <row r="9444" spans="1:6" x14ac:dyDescent="0.25">
      <c r="A9444" s="1" t="s">
        <v>324</v>
      </c>
      <c r="B9444" s="1" t="s">
        <v>1537</v>
      </c>
      <c r="C9444" s="1" t="s">
        <v>149</v>
      </c>
      <c r="D9444" s="3">
        <f t="shared" si="1474"/>
        <v>8724</v>
      </c>
      <c r="E9444" s="2">
        <f t="shared" si="1475"/>
        <v>43922</v>
      </c>
      <c r="F9444" s="2">
        <f t="shared" si="1476"/>
        <v>44834</v>
      </c>
    </row>
    <row r="9445" spans="1:6" x14ac:dyDescent="0.25">
      <c r="A9445" s="1" t="s">
        <v>324</v>
      </c>
      <c r="B9445" s="1" t="s">
        <v>1537</v>
      </c>
      <c r="C9445" s="1" t="s">
        <v>92</v>
      </c>
      <c r="D9445" s="3">
        <f t="shared" si="1474"/>
        <v>8724</v>
      </c>
      <c r="E9445" s="2">
        <f t="shared" si="1475"/>
        <v>43922</v>
      </c>
      <c r="F9445" s="2">
        <f t="shared" si="1476"/>
        <v>44834</v>
      </c>
    </row>
    <row r="9446" spans="1:6" x14ac:dyDescent="0.25">
      <c r="A9446" s="1" t="s">
        <v>324</v>
      </c>
      <c r="B9446" s="1" t="s">
        <v>1537</v>
      </c>
      <c r="C9446" s="1" t="s">
        <v>24</v>
      </c>
      <c r="D9446" s="3">
        <f t="shared" si="1474"/>
        <v>8724</v>
      </c>
      <c r="E9446" s="2">
        <f t="shared" si="1475"/>
        <v>43922</v>
      </c>
      <c r="F9446" s="2">
        <f t="shared" si="1476"/>
        <v>44834</v>
      </c>
    </row>
    <row r="9447" spans="1:6" x14ac:dyDescent="0.25">
      <c r="A9447" s="1" t="s">
        <v>324</v>
      </c>
      <c r="B9447" s="1" t="s">
        <v>1537</v>
      </c>
      <c r="C9447" s="1" t="s">
        <v>26</v>
      </c>
      <c r="D9447" s="3">
        <f t="shared" si="1474"/>
        <v>8724</v>
      </c>
      <c r="E9447" s="2">
        <f t="shared" si="1475"/>
        <v>43922</v>
      </c>
      <c r="F9447" s="2">
        <f t="shared" si="1476"/>
        <v>44834</v>
      </c>
    </row>
    <row r="9448" spans="1:6" x14ac:dyDescent="0.25">
      <c r="A9448" s="1" t="s">
        <v>324</v>
      </c>
      <c r="B9448" s="1" t="s">
        <v>1537</v>
      </c>
      <c r="C9448" s="1" t="s">
        <v>72</v>
      </c>
      <c r="D9448" s="3">
        <f t="shared" si="1474"/>
        <v>8724</v>
      </c>
      <c r="E9448" s="2">
        <f t="shared" si="1475"/>
        <v>43922</v>
      </c>
      <c r="F9448" s="2">
        <f t="shared" si="1476"/>
        <v>44834</v>
      </c>
    </row>
    <row r="9449" spans="1:6" x14ac:dyDescent="0.25">
      <c r="A9449" s="1" t="s">
        <v>324</v>
      </c>
      <c r="B9449" s="1" t="s">
        <v>1537</v>
      </c>
      <c r="C9449" s="1" t="s">
        <v>52</v>
      </c>
      <c r="D9449" s="3">
        <f t="shared" si="1474"/>
        <v>8724</v>
      </c>
      <c r="E9449" s="2">
        <f t="shared" si="1475"/>
        <v>43922</v>
      </c>
      <c r="F9449" s="2">
        <f t="shared" si="1476"/>
        <v>44834</v>
      </c>
    </row>
    <row r="9450" spans="1:6" x14ac:dyDescent="0.25">
      <c r="A9450" s="1" t="s">
        <v>324</v>
      </c>
      <c r="B9450" s="1" t="s">
        <v>1537</v>
      </c>
      <c r="C9450" s="1" t="s">
        <v>369</v>
      </c>
      <c r="D9450" s="3">
        <f t="shared" si="1474"/>
        <v>8724</v>
      </c>
      <c r="E9450" s="2">
        <f t="shared" si="1475"/>
        <v>43922</v>
      </c>
      <c r="F9450" s="2">
        <f t="shared" si="1476"/>
        <v>44834</v>
      </c>
    </row>
    <row r="9451" spans="1:6" x14ac:dyDescent="0.25">
      <c r="A9451" s="1" t="s">
        <v>324</v>
      </c>
      <c r="B9451" s="1" t="s">
        <v>1537</v>
      </c>
      <c r="C9451" s="1" t="s">
        <v>54</v>
      </c>
      <c r="D9451" s="3">
        <f t="shared" si="1474"/>
        <v>8724</v>
      </c>
      <c r="E9451" s="2">
        <f t="shared" si="1475"/>
        <v>43922</v>
      </c>
      <c r="F9451" s="2">
        <f t="shared" si="1476"/>
        <v>44834</v>
      </c>
    </row>
    <row r="9452" spans="1:6" x14ac:dyDescent="0.25">
      <c r="A9452" s="1" t="s">
        <v>324</v>
      </c>
      <c r="B9452" s="1" t="s">
        <v>1537</v>
      </c>
      <c r="C9452" s="1" t="s">
        <v>34</v>
      </c>
      <c r="D9452" s="3">
        <f t="shared" si="1474"/>
        <v>8724</v>
      </c>
      <c r="E9452" s="2">
        <f t="shared" si="1475"/>
        <v>43922</v>
      </c>
      <c r="F9452" s="2">
        <f t="shared" si="1476"/>
        <v>44834</v>
      </c>
    </row>
    <row r="9453" spans="1:6" x14ac:dyDescent="0.25">
      <c r="A9453" s="1" t="s">
        <v>324</v>
      </c>
      <c r="B9453" s="1" t="s">
        <v>1497</v>
      </c>
      <c r="C9453" s="1" t="s">
        <v>61</v>
      </c>
      <c r="D9453" s="3">
        <f t="shared" ref="D9453:D9469" si="1477">VALUE("8696")</f>
        <v>8696</v>
      </c>
      <c r="E9453" s="2">
        <f t="shared" ref="E9453:E9469" si="1478">DATEVALUE("1-3-2020")</f>
        <v>43891</v>
      </c>
      <c r="F9453" s="2">
        <f t="shared" ref="F9453:F9469" si="1479">DATEVALUE("31-3-2021")</f>
        <v>44286</v>
      </c>
    </row>
    <row r="9454" spans="1:6" x14ac:dyDescent="0.25">
      <c r="A9454" s="1" t="s">
        <v>324</v>
      </c>
      <c r="B9454" s="1" t="s">
        <v>1497</v>
      </c>
      <c r="C9454" s="1" t="s">
        <v>62</v>
      </c>
      <c r="D9454" s="3">
        <f t="shared" si="1477"/>
        <v>8696</v>
      </c>
      <c r="E9454" s="2">
        <f t="shared" si="1478"/>
        <v>43891</v>
      </c>
      <c r="F9454" s="2">
        <f t="shared" si="1479"/>
        <v>44286</v>
      </c>
    </row>
    <row r="9455" spans="1:6" x14ac:dyDescent="0.25">
      <c r="A9455" s="1" t="s">
        <v>324</v>
      </c>
      <c r="B9455" s="1" t="s">
        <v>1497</v>
      </c>
      <c r="C9455" s="1" t="s">
        <v>63</v>
      </c>
      <c r="D9455" s="3">
        <f t="shared" si="1477"/>
        <v>8696</v>
      </c>
      <c r="E9455" s="2">
        <f t="shared" si="1478"/>
        <v>43891</v>
      </c>
      <c r="F9455" s="2">
        <f t="shared" si="1479"/>
        <v>44286</v>
      </c>
    </row>
    <row r="9456" spans="1:6" x14ac:dyDescent="0.25">
      <c r="A9456" s="1" t="s">
        <v>324</v>
      </c>
      <c r="B9456" s="1" t="s">
        <v>1497</v>
      </c>
      <c r="C9456" s="1" t="s">
        <v>14</v>
      </c>
      <c r="D9456" s="3">
        <f t="shared" si="1477"/>
        <v>8696</v>
      </c>
      <c r="E9456" s="2">
        <f t="shared" si="1478"/>
        <v>43891</v>
      </c>
      <c r="F9456" s="2">
        <f t="shared" si="1479"/>
        <v>44286</v>
      </c>
    </row>
    <row r="9457" spans="1:6" x14ac:dyDescent="0.25">
      <c r="A9457" s="1" t="s">
        <v>324</v>
      </c>
      <c r="B9457" s="1" t="s">
        <v>1497</v>
      </c>
      <c r="C9457" s="1" t="s">
        <v>15</v>
      </c>
      <c r="D9457" s="3">
        <f t="shared" si="1477"/>
        <v>8696</v>
      </c>
      <c r="E9457" s="2">
        <f t="shared" si="1478"/>
        <v>43891</v>
      </c>
      <c r="F9457" s="2">
        <f t="shared" si="1479"/>
        <v>44286</v>
      </c>
    </row>
    <row r="9458" spans="1:6" x14ac:dyDescent="0.25">
      <c r="A9458" s="1" t="s">
        <v>324</v>
      </c>
      <c r="B9458" s="1" t="s">
        <v>1497</v>
      </c>
      <c r="C9458" s="1" t="s">
        <v>290</v>
      </c>
      <c r="D9458" s="3">
        <f t="shared" si="1477"/>
        <v>8696</v>
      </c>
      <c r="E9458" s="2">
        <f t="shared" si="1478"/>
        <v>43891</v>
      </c>
      <c r="F9458" s="2">
        <f t="shared" si="1479"/>
        <v>44286</v>
      </c>
    </row>
    <row r="9459" spans="1:6" x14ac:dyDescent="0.25">
      <c r="A9459" s="1" t="s">
        <v>324</v>
      </c>
      <c r="B9459" s="1" t="s">
        <v>1497</v>
      </c>
      <c r="C9459" s="1" t="s">
        <v>17</v>
      </c>
      <c r="D9459" s="3">
        <f t="shared" si="1477"/>
        <v>8696</v>
      </c>
      <c r="E9459" s="2">
        <f t="shared" si="1478"/>
        <v>43891</v>
      </c>
      <c r="F9459" s="2">
        <f t="shared" si="1479"/>
        <v>44286</v>
      </c>
    </row>
    <row r="9460" spans="1:6" x14ac:dyDescent="0.25">
      <c r="A9460" s="1" t="s">
        <v>324</v>
      </c>
      <c r="B9460" s="1" t="s">
        <v>1497</v>
      </c>
      <c r="C9460" s="1" t="s">
        <v>326</v>
      </c>
      <c r="D9460" s="3">
        <f t="shared" si="1477"/>
        <v>8696</v>
      </c>
      <c r="E9460" s="2">
        <f t="shared" si="1478"/>
        <v>43891</v>
      </c>
      <c r="F9460" s="2">
        <f t="shared" si="1479"/>
        <v>44286</v>
      </c>
    </row>
    <row r="9461" spans="1:6" x14ac:dyDescent="0.25">
      <c r="A9461" s="1" t="s">
        <v>324</v>
      </c>
      <c r="B9461" s="1" t="s">
        <v>1497</v>
      </c>
      <c r="C9461" s="1" t="s">
        <v>22</v>
      </c>
      <c r="D9461" s="3">
        <f t="shared" si="1477"/>
        <v>8696</v>
      </c>
      <c r="E9461" s="2">
        <f t="shared" si="1478"/>
        <v>43891</v>
      </c>
      <c r="F9461" s="2">
        <f t="shared" si="1479"/>
        <v>44286</v>
      </c>
    </row>
    <row r="9462" spans="1:6" x14ac:dyDescent="0.25">
      <c r="A9462" s="1" t="s">
        <v>324</v>
      </c>
      <c r="B9462" s="1" t="s">
        <v>1497</v>
      </c>
      <c r="C9462" s="1" t="s">
        <v>67</v>
      </c>
      <c r="D9462" s="3">
        <f t="shared" si="1477"/>
        <v>8696</v>
      </c>
      <c r="E9462" s="2">
        <f t="shared" si="1478"/>
        <v>43891</v>
      </c>
      <c r="F9462" s="2">
        <f t="shared" si="1479"/>
        <v>44286</v>
      </c>
    </row>
    <row r="9463" spans="1:6" x14ac:dyDescent="0.25">
      <c r="A9463" s="1" t="s">
        <v>324</v>
      </c>
      <c r="B9463" s="1" t="s">
        <v>1497</v>
      </c>
      <c r="C9463" s="1" t="s">
        <v>149</v>
      </c>
      <c r="D9463" s="3">
        <f t="shared" si="1477"/>
        <v>8696</v>
      </c>
      <c r="E9463" s="2">
        <f t="shared" si="1478"/>
        <v>43891</v>
      </c>
      <c r="F9463" s="2">
        <f t="shared" si="1479"/>
        <v>44286</v>
      </c>
    </row>
    <row r="9464" spans="1:6" x14ac:dyDescent="0.25">
      <c r="A9464" s="1" t="s">
        <v>324</v>
      </c>
      <c r="B9464" s="1" t="s">
        <v>1497</v>
      </c>
      <c r="C9464" s="1" t="s">
        <v>70</v>
      </c>
      <c r="D9464" s="3">
        <f t="shared" si="1477"/>
        <v>8696</v>
      </c>
      <c r="E9464" s="2">
        <f t="shared" si="1478"/>
        <v>43891</v>
      </c>
      <c r="F9464" s="2">
        <f t="shared" si="1479"/>
        <v>44286</v>
      </c>
    </row>
    <row r="9465" spans="1:6" x14ac:dyDescent="0.25">
      <c r="A9465" s="1" t="s">
        <v>324</v>
      </c>
      <c r="B9465" s="1" t="s">
        <v>1497</v>
      </c>
      <c r="C9465" s="1" t="s">
        <v>72</v>
      </c>
      <c r="D9465" s="3">
        <f t="shared" si="1477"/>
        <v>8696</v>
      </c>
      <c r="E9465" s="2">
        <f t="shared" si="1478"/>
        <v>43891</v>
      </c>
      <c r="F9465" s="2">
        <f t="shared" si="1479"/>
        <v>44286</v>
      </c>
    </row>
    <row r="9466" spans="1:6" x14ac:dyDescent="0.25">
      <c r="A9466" s="1" t="s">
        <v>324</v>
      </c>
      <c r="B9466" s="1" t="s">
        <v>1497</v>
      </c>
      <c r="C9466" s="1" t="s">
        <v>73</v>
      </c>
      <c r="D9466" s="3">
        <f t="shared" si="1477"/>
        <v>8696</v>
      </c>
      <c r="E9466" s="2">
        <f t="shared" si="1478"/>
        <v>43891</v>
      </c>
      <c r="F9466" s="2">
        <f t="shared" si="1479"/>
        <v>44286</v>
      </c>
    </row>
    <row r="9467" spans="1:6" x14ac:dyDescent="0.25">
      <c r="A9467" s="1" t="s">
        <v>324</v>
      </c>
      <c r="B9467" s="1" t="s">
        <v>1497</v>
      </c>
      <c r="C9467" s="1" t="s">
        <v>52</v>
      </c>
      <c r="D9467" s="3">
        <f t="shared" si="1477"/>
        <v>8696</v>
      </c>
      <c r="E9467" s="2">
        <f t="shared" si="1478"/>
        <v>43891</v>
      </c>
      <c r="F9467" s="2">
        <f t="shared" si="1479"/>
        <v>44286</v>
      </c>
    </row>
    <row r="9468" spans="1:6" x14ac:dyDescent="0.25">
      <c r="A9468" s="1" t="s">
        <v>324</v>
      </c>
      <c r="B9468" s="1" t="s">
        <v>1497</v>
      </c>
      <c r="C9468" s="1" t="s">
        <v>338</v>
      </c>
      <c r="D9468" s="3">
        <f t="shared" si="1477"/>
        <v>8696</v>
      </c>
      <c r="E9468" s="2">
        <f t="shared" si="1478"/>
        <v>43891</v>
      </c>
      <c r="F9468" s="2">
        <f t="shared" si="1479"/>
        <v>44286</v>
      </c>
    </row>
    <row r="9469" spans="1:6" x14ac:dyDescent="0.25">
      <c r="A9469" s="1" t="s">
        <v>324</v>
      </c>
      <c r="B9469" s="1" t="s">
        <v>1497</v>
      </c>
      <c r="C9469" s="1" t="s">
        <v>34</v>
      </c>
      <c r="D9469" s="3">
        <f t="shared" si="1477"/>
        <v>8696</v>
      </c>
      <c r="E9469" s="2">
        <f t="shared" si="1478"/>
        <v>43891</v>
      </c>
      <c r="F9469" s="2">
        <f t="shared" si="1479"/>
        <v>44286</v>
      </c>
    </row>
    <row r="9470" spans="1:6" x14ac:dyDescent="0.25">
      <c r="A9470" s="1" t="s">
        <v>324</v>
      </c>
      <c r="B9470" s="1" t="s">
        <v>1284</v>
      </c>
      <c r="C9470" s="1" t="s">
        <v>215</v>
      </c>
      <c r="D9470" s="3">
        <f t="shared" ref="D9470:D9490" si="1480">VALUE("8543")</f>
        <v>8543</v>
      </c>
      <c r="E9470" s="2">
        <f t="shared" ref="E9470:E9490" si="1481">DATEVALUE("1-9-2019")</f>
        <v>43709</v>
      </c>
      <c r="F9470" s="2">
        <f t="shared" ref="F9470:F9490" si="1482">DATEVALUE("31-8-2022")</f>
        <v>44804</v>
      </c>
    </row>
    <row r="9471" spans="1:6" x14ac:dyDescent="0.25">
      <c r="A9471" s="1" t="s">
        <v>324</v>
      </c>
      <c r="B9471" s="1" t="s">
        <v>1284</v>
      </c>
      <c r="C9471" s="1" t="s">
        <v>1285</v>
      </c>
      <c r="D9471" s="3">
        <f t="shared" si="1480"/>
        <v>8543</v>
      </c>
      <c r="E9471" s="2">
        <f t="shared" si="1481"/>
        <v>43709</v>
      </c>
      <c r="F9471" s="2">
        <f t="shared" si="1482"/>
        <v>44804</v>
      </c>
    </row>
    <row r="9472" spans="1:6" x14ac:dyDescent="0.25">
      <c r="A9472" s="1" t="s">
        <v>324</v>
      </c>
      <c r="B9472" s="1" t="s">
        <v>1284</v>
      </c>
      <c r="C9472" s="1" t="s">
        <v>439</v>
      </c>
      <c r="D9472" s="3">
        <f t="shared" si="1480"/>
        <v>8543</v>
      </c>
      <c r="E9472" s="2">
        <f t="shared" si="1481"/>
        <v>43709</v>
      </c>
      <c r="F9472" s="2">
        <f t="shared" si="1482"/>
        <v>44804</v>
      </c>
    </row>
    <row r="9473" spans="1:6" x14ac:dyDescent="0.25">
      <c r="A9473" s="1" t="s">
        <v>324</v>
      </c>
      <c r="B9473" s="1" t="s">
        <v>1284</v>
      </c>
      <c r="C9473" s="1" t="s">
        <v>440</v>
      </c>
      <c r="D9473" s="3">
        <f t="shared" si="1480"/>
        <v>8543</v>
      </c>
      <c r="E9473" s="2">
        <f t="shared" si="1481"/>
        <v>43709</v>
      </c>
      <c r="F9473" s="2">
        <f t="shared" si="1482"/>
        <v>44804</v>
      </c>
    </row>
    <row r="9474" spans="1:6" x14ac:dyDescent="0.25">
      <c r="A9474" s="1" t="s">
        <v>324</v>
      </c>
      <c r="B9474" s="1" t="s">
        <v>1284</v>
      </c>
      <c r="C9474" s="1" t="s">
        <v>140</v>
      </c>
      <c r="D9474" s="3">
        <f t="shared" si="1480"/>
        <v>8543</v>
      </c>
      <c r="E9474" s="2">
        <f t="shared" si="1481"/>
        <v>43709</v>
      </c>
      <c r="F9474" s="2">
        <f t="shared" si="1482"/>
        <v>44804</v>
      </c>
    </row>
    <row r="9475" spans="1:6" x14ac:dyDescent="0.25">
      <c r="A9475" s="1" t="s">
        <v>324</v>
      </c>
      <c r="B9475" s="1" t="s">
        <v>1284</v>
      </c>
      <c r="C9475" s="1" t="s">
        <v>141</v>
      </c>
      <c r="D9475" s="3">
        <f t="shared" si="1480"/>
        <v>8543</v>
      </c>
      <c r="E9475" s="2">
        <f t="shared" si="1481"/>
        <v>43709</v>
      </c>
      <c r="F9475" s="2">
        <f t="shared" si="1482"/>
        <v>44804</v>
      </c>
    </row>
    <row r="9476" spans="1:6" x14ac:dyDescent="0.25">
      <c r="A9476" s="1" t="s">
        <v>324</v>
      </c>
      <c r="B9476" s="1" t="s">
        <v>1284</v>
      </c>
      <c r="C9476" s="1" t="s">
        <v>142</v>
      </c>
      <c r="D9476" s="3">
        <f t="shared" si="1480"/>
        <v>8543</v>
      </c>
      <c r="E9476" s="2">
        <f t="shared" si="1481"/>
        <v>43709</v>
      </c>
      <c r="F9476" s="2">
        <f t="shared" si="1482"/>
        <v>44804</v>
      </c>
    </row>
    <row r="9477" spans="1:6" x14ac:dyDescent="0.25">
      <c r="A9477" s="1" t="s">
        <v>324</v>
      </c>
      <c r="B9477" s="1" t="s">
        <v>1284</v>
      </c>
      <c r="C9477" s="1" t="s">
        <v>14</v>
      </c>
      <c r="D9477" s="3">
        <f t="shared" si="1480"/>
        <v>8543</v>
      </c>
      <c r="E9477" s="2">
        <f t="shared" si="1481"/>
        <v>43709</v>
      </c>
      <c r="F9477" s="2">
        <f t="shared" si="1482"/>
        <v>44804</v>
      </c>
    </row>
    <row r="9478" spans="1:6" x14ac:dyDescent="0.25">
      <c r="A9478" s="1" t="s">
        <v>324</v>
      </c>
      <c r="B9478" s="1" t="s">
        <v>1284</v>
      </c>
      <c r="C9478" s="1" t="s">
        <v>15</v>
      </c>
      <c r="D9478" s="3">
        <f t="shared" si="1480"/>
        <v>8543</v>
      </c>
      <c r="E9478" s="2">
        <f t="shared" si="1481"/>
        <v>43709</v>
      </c>
      <c r="F9478" s="2">
        <f t="shared" si="1482"/>
        <v>44804</v>
      </c>
    </row>
    <row r="9479" spans="1:6" x14ac:dyDescent="0.25">
      <c r="A9479" s="1" t="s">
        <v>324</v>
      </c>
      <c r="B9479" s="1" t="s">
        <v>1284</v>
      </c>
      <c r="C9479" s="1" t="s">
        <v>17</v>
      </c>
      <c r="D9479" s="3">
        <f t="shared" si="1480"/>
        <v>8543</v>
      </c>
      <c r="E9479" s="2">
        <f t="shared" si="1481"/>
        <v>43709</v>
      </c>
      <c r="F9479" s="2">
        <f t="shared" si="1482"/>
        <v>44804</v>
      </c>
    </row>
    <row r="9480" spans="1:6" x14ac:dyDescent="0.25">
      <c r="A9480" s="1" t="s">
        <v>324</v>
      </c>
      <c r="B9480" s="1" t="s">
        <v>1284</v>
      </c>
      <c r="C9480" s="1" t="s">
        <v>19</v>
      </c>
      <c r="D9480" s="3">
        <f t="shared" si="1480"/>
        <v>8543</v>
      </c>
      <c r="E9480" s="2">
        <f t="shared" si="1481"/>
        <v>43709</v>
      </c>
      <c r="F9480" s="2">
        <f t="shared" si="1482"/>
        <v>44804</v>
      </c>
    </row>
    <row r="9481" spans="1:6" x14ac:dyDescent="0.25">
      <c r="A9481" s="1" t="s">
        <v>324</v>
      </c>
      <c r="B9481" s="1" t="s">
        <v>1284</v>
      </c>
      <c r="C9481" s="1" t="s">
        <v>22</v>
      </c>
      <c r="D9481" s="3">
        <f t="shared" si="1480"/>
        <v>8543</v>
      </c>
      <c r="E9481" s="2">
        <f t="shared" si="1481"/>
        <v>43709</v>
      </c>
      <c r="F9481" s="2">
        <f t="shared" si="1482"/>
        <v>44804</v>
      </c>
    </row>
    <row r="9482" spans="1:6" x14ac:dyDescent="0.25">
      <c r="A9482" s="1" t="s">
        <v>324</v>
      </c>
      <c r="B9482" s="1" t="s">
        <v>1284</v>
      </c>
      <c r="C9482" s="1" t="s">
        <v>146</v>
      </c>
      <c r="D9482" s="3">
        <f t="shared" si="1480"/>
        <v>8543</v>
      </c>
      <c r="E9482" s="2">
        <f t="shared" si="1481"/>
        <v>43709</v>
      </c>
      <c r="F9482" s="2">
        <f t="shared" si="1482"/>
        <v>44804</v>
      </c>
    </row>
    <row r="9483" spans="1:6" x14ac:dyDescent="0.25">
      <c r="A9483" s="1" t="s">
        <v>324</v>
      </c>
      <c r="B9483" s="1" t="s">
        <v>1284</v>
      </c>
      <c r="C9483" s="1" t="s">
        <v>67</v>
      </c>
      <c r="D9483" s="3">
        <f t="shared" si="1480"/>
        <v>8543</v>
      </c>
      <c r="E9483" s="2">
        <f t="shared" si="1481"/>
        <v>43709</v>
      </c>
      <c r="F9483" s="2">
        <f t="shared" si="1482"/>
        <v>44804</v>
      </c>
    </row>
    <row r="9484" spans="1:6" x14ac:dyDescent="0.25">
      <c r="A9484" s="1" t="s">
        <v>324</v>
      </c>
      <c r="B9484" s="1" t="s">
        <v>1284</v>
      </c>
      <c r="C9484" s="1" t="s">
        <v>148</v>
      </c>
      <c r="D9484" s="3">
        <f t="shared" si="1480"/>
        <v>8543</v>
      </c>
      <c r="E9484" s="2">
        <f t="shared" si="1481"/>
        <v>43709</v>
      </c>
      <c r="F9484" s="2">
        <f t="shared" si="1482"/>
        <v>44804</v>
      </c>
    </row>
    <row r="9485" spans="1:6" x14ac:dyDescent="0.25">
      <c r="A9485" s="1" t="s">
        <v>324</v>
      </c>
      <c r="B9485" s="1" t="s">
        <v>1284</v>
      </c>
      <c r="C9485" s="1" t="s">
        <v>149</v>
      </c>
      <c r="D9485" s="3">
        <f t="shared" si="1480"/>
        <v>8543</v>
      </c>
      <c r="E9485" s="2">
        <f t="shared" si="1481"/>
        <v>43709</v>
      </c>
      <c r="F9485" s="2">
        <f t="shared" si="1482"/>
        <v>44804</v>
      </c>
    </row>
    <row r="9486" spans="1:6" x14ac:dyDescent="0.25">
      <c r="A9486" s="1" t="s">
        <v>324</v>
      </c>
      <c r="B9486" s="1" t="s">
        <v>1284</v>
      </c>
      <c r="C9486" s="1" t="s">
        <v>151</v>
      </c>
      <c r="D9486" s="3">
        <f t="shared" si="1480"/>
        <v>8543</v>
      </c>
      <c r="E9486" s="2">
        <f t="shared" si="1481"/>
        <v>43709</v>
      </c>
      <c r="F9486" s="2">
        <f t="shared" si="1482"/>
        <v>44804</v>
      </c>
    </row>
    <row r="9487" spans="1:6" x14ac:dyDescent="0.25">
      <c r="A9487" s="1" t="s">
        <v>324</v>
      </c>
      <c r="B9487" s="1" t="s">
        <v>1284</v>
      </c>
      <c r="C9487" s="1" t="s">
        <v>24</v>
      </c>
      <c r="D9487" s="3">
        <f t="shared" si="1480"/>
        <v>8543</v>
      </c>
      <c r="E9487" s="2">
        <f t="shared" si="1481"/>
        <v>43709</v>
      </c>
      <c r="F9487" s="2">
        <f t="shared" si="1482"/>
        <v>44804</v>
      </c>
    </row>
    <row r="9488" spans="1:6" x14ac:dyDescent="0.25">
      <c r="A9488" s="1" t="s">
        <v>324</v>
      </c>
      <c r="B9488" s="1" t="s">
        <v>1284</v>
      </c>
      <c r="C9488" s="1" t="s">
        <v>160</v>
      </c>
      <c r="D9488" s="3">
        <f t="shared" si="1480"/>
        <v>8543</v>
      </c>
      <c r="E9488" s="2">
        <f t="shared" si="1481"/>
        <v>43709</v>
      </c>
      <c r="F9488" s="2">
        <f t="shared" si="1482"/>
        <v>44804</v>
      </c>
    </row>
    <row r="9489" spans="1:6" x14ac:dyDescent="0.25">
      <c r="A9489" s="1" t="s">
        <v>324</v>
      </c>
      <c r="B9489" s="1" t="s">
        <v>1284</v>
      </c>
      <c r="C9489" s="1" t="s">
        <v>34</v>
      </c>
      <c r="D9489" s="3">
        <f t="shared" si="1480"/>
        <v>8543</v>
      </c>
      <c r="E9489" s="2">
        <f t="shared" si="1481"/>
        <v>43709</v>
      </c>
      <c r="F9489" s="2">
        <f t="shared" si="1482"/>
        <v>44804</v>
      </c>
    </row>
    <row r="9490" spans="1:6" x14ac:dyDescent="0.25">
      <c r="A9490" s="1" t="s">
        <v>324</v>
      </c>
      <c r="B9490" s="1" t="s">
        <v>1284</v>
      </c>
      <c r="C9490" s="1" t="s">
        <v>310</v>
      </c>
      <c r="D9490" s="3">
        <f t="shared" si="1480"/>
        <v>8543</v>
      </c>
      <c r="E9490" s="2">
        <f t="shared" si="1481"/>
        <v>43709</v>
      </c>
      <c r="F9490" s="2">
        <f t="shared" si="1482"/>
        <v>44804</v>
      </c>
    </row>
    <row r="9491" spans="1:6" x14ac:dyDescent="0.25">
      <c r="A9491" s="1" t="s">
        <v>324</v>
      </c>
      <c r="B9491" s="1" t="s">
        <v>847</v>
      </c>
      <c r="D9491" s="3">
        <f>VALUE("8077")</f>
        <v>8077</v>
      </c>
      <c r="E9491" s="2">
        <f>DATEVALUE("1-3-2018")</f>
        <v>43160</v>
      </c>
      <c r="F9491" s="2">
        <f>DATEVALUE("30-6-2022")</f>
        <v>44742</v>
      </c>
    </row>
    <row r="9492" spans="1:6" x14ac:dyDescent="0.25">
      <c r="A9492" s="1" t="s">
        <v>324</v>
      </c>
      <c r="B9492" s="1" t="s">
        <v>847</v>
      </c>
      <c r="C9492" s="1" t="s">
        <v>848</v>
      </c>
      <c r="D9492" s="3">
        <f>VALUE("8077")</f>
        <v>8077</v>
      </c>
      <c r="E9492" s="2">
        <f>DATEVALUE("1-3-2018")</f>
        <v>43160</v>
      </c>
      <c r="F9492" s="2">
        <f>DATEVALUE("30-6-2022")</f>
        <v>44742</v>
      </c>
    </row>
    <row r="9493" spans="1:6" x14ac:dyDescent="0.25">
      <c r="A9493" s="1" t="s">
        <v>324</v>
      </c>
      <c r="B9493" s="1" t="s">
        <v>847</v>
      </c>
      <c r="C9493" s="1" t="s">
        <v>849</v>
      </c>
      <c r="D9493" s="3">
        <f>VALUE("8077")</f>
        <v>8077</v>
      </c>
      <c r="E9493" s="2">
        <f>DATEVALUE("1-3-2018")</f>
        <v>43160</v>
      </c>
      <c r="F9493" s="2">
        <f>DATEVALUE("30-6-2022")</f>
        <v>44742</v>
      </c>
    </row>
    <row r="9494" spans="1:6" x14ac:dyDescent="0.25">
      <c r="A9494" s="1" t="s">
        <v>324</v>
      </c>
      <c r="B9494" s="1" t="s">
        <v>943</v>
      </c>
      <c r="C9494" s="1" t="s">
        <v>255</v>
      </c>
      <c r="D9494" s="3">
        <f t="shared" ref="D9494:D9520" si="1483">VALUE("8222")</f>
        <v>8222</v>
      </c>
      <c r="E9494" s="2">
        <f t="shared" ref="E9494:E9520" si="1484">DATEVALUE("1-1-2018")</f>
        <v>43101</v>
      </c>
      <c r="F9494" s="2">
        <f t="shared" ref="F9494:F9520" si="1485">DATEVALUE("31-12-2020")</f>
        <v>44196</v>
      </c>
    </row>
    <row r="9495" spans="1:6" x14ac:dyDescent="0.25">
      <c r="A9495" s="1" t="s">
        <v>324</v>
      </c>
      <c r="B9495" s="1" t="s">
        <v>943</v>
      </c>
      <c r="C9495" s="1" t="s">
        <v>511</v>
      </c>
      <c r="D9495" s="3">
        <f t="shared" si="1483"/>
        <v>8222</v>
      </c>
      <c r="E9495" s="2">
        <f t="shared" si="1484"/>
        <v>43101</v>
      </c>
      <c r="F9495" s="2">
        <f t="shared" si="1485"/>
        <v>44196</v>
      </c>
    </row>
    <row r="9496" spans="1:6" x14ac:dyDescent="0.25">
      <c r="A9496" s="1" t="s">
        <v>324</v>
      </c>
      <c r="B9496" s="1" t="s">
        <v>943</v>
      </c>
      <c r="C9496" s="1" t="s">
        <v>81</v>
      </c>
      <c r="D9496" s="3">
        <f t="shared" si="1483"/>
        <v>8222</v>
      </c>
      <c r="E9496" s="2">
        <f t="shared" si="1484"/>
        <v>43101</v>
      </c>
      <c r="F9496" s="2">
        <f t="shared" si="1485"/>
        <v>44196</v>
      </c>
    </row>
    <row r="9497" spans="1:6" x14ac:dyDescent="0.25">
      <c r="A9497" s="1" t="s">
        <v>324</v>
      </c>
      <c r="B9497" s="1" t="s">
        <v>943</v>
      </c>
      <c r="C9497" s="1" t="s">
        <v>40</v>
      </c>
      <c r="D9497" s="3">
        <f t="shared" si="1483"/>
        <v>8222</v>
      </c>
      <c r="E9497" s="2">
        <f t="shared" si="1484"/>
        <v>43101</v>
      </c>
      <c r="F9497" s="2">
        <f t="shared" si="1485"/>
        <v>44196</v>
      </c>
    </row>
    <row r="9498" spans="1:6" x14ac:dyDescent="0.25">
      <c r="A9498" s="1" t="s">
        <v>324</v>
      </c>
      <c r="B9498" s="1" t="s">
        <v>943</v>
      </c>
      <c r="C9498" s="1" t="s">
        <v>41</v>
      </c>
      <c r="D9498" s="3">
        <f t="shared" si="1483"/>
        <v>8222</v>
      </c>
      <c r="E9498" s="2">
        <f t="shared" si="1484"/>
        <v>43101</v>
      </c>
      <c r="F9498" s="2">
        <f t="shared" si="1485"/>
        <v>44196</v>
      </c>
    </row>
    <row r="9499" spans="1:6" x14ac:dyDescent="0.25">
      <c r="A9499" s="1" t="s">
        <v>324</v>
      </c>
      <c r="B9499" s="1" t="s">
        <v>943</v>
      </c>
      <c r="C9499" s="1" t="s">
        <v>8</v>
      </c>
      <c r="D9499" s="3">
        <f t="shared" si="1483"/>
        <v>8222</v>
      </c>
      <c r="E9499" s="2">
        <f t="shared" si="1484"/>
        <v>43101</v>
      </c>
      <c r="F9499" s="2">
        <f t="shared" si="1485"/>
        <v>44196</v>
      </c>
    </row>
    <row r="9500" spans="1:6" x14ac:dyDescent="0.25">
      <c r="A9500" s="1" t="s">
        <v>324</v>
      </c>
      <c r="B9500" s="1" t="s">
        <v>943</v>
      </c>
      <c r="C9500" s="1" t="s">
        <v>10</v>
      </c>
      <c r="D9500" s="3">
        <f t="shared" si="1483"/>
        <v>8222</v>
      </c>
      <c r="E9500" s="2">
        <f t="shared" si="1484"/>
        <v>43101</v>
      </c>
      <c r="F9500" s="2">
        <f t="shared" si="1485"/>
        <v>44196</v>
      </c>
    </row>
    <row r="9501" spans="1:6" x14ac:dyDescent="0.25">
      <c r="A9501" s="1" t="s">
        <v>324</v>
      </c>
      <c r="B9501" s="1" t="s">
        <v>943</v>
      </c>
      <c r="C9501" s="1" t="s">
        <v>43</v>
      </c>
      <c r="D9501" s="3">
        <f t="shared" si="1483"/>
        <v>8222</v>
      </c>
      <c r="E9501" s="2">
        <f t="shared" si="1484"/>
        <v>43101</v>
      </c>
      <c r="F9501" s="2">
        <f t="shared" si="1485"/>
        <v>44196</v>
      </c>
    </row>
    <row r="9502" spans="1:6" x14ac:dyDescent="0.25">
      <c r="A9502" s="1" t="s">
        <v>324</v>
      </c>
      <c r="B9502" s="1" t="s">
        <v>943</v>
      </c>
      <c r="C9502" s="1" t="s">
        <v>484</v>
      </c>
      <c r="D9502" s="3">
        <f t="shared" si="1483"/>
        <v>8222</v>
      </c>
      <c r="E9502" s="2">
        <f t="shared" si="1484"/>
        <v>43101</v>
      </c>
      <c r="F9502" s="2">
        <f t="shared" si="1485"/>
        <v>44196</v>
      </c>
    </row>
    <row r="9503" spans="1:6" x14ac:dyDescent="0.25">
      <c r="A9503" s="1" t="s">
        <v>324</v>
      </c>
      <c r="B9503" s="1" t="s">
        <v>943</v>
      </c>
      <c r="C9503" s="1" t="s">
        <v>346</v>
      </c>
      <c r="D9503" s="3">
        <f t="shared" si="1483"/>
        <v>8222</v>
      </c>
      <c r="E9503" s="2">
        <f t="shared" si="1484"/>
        <v>43101</v>
      </c>
      <c r="F9503" s="2">
        <f t="shared" si="1485"/>
        <v>44196</v>
      </c>
    </row>
    <row r="9504" spans="1:6" x14ac:dyDescent="0.25">
      <c r="A9504" s="1" t="s">
        <v>324</v>
      </c>
      <c r="B9504" s="1" t="s">
        <v>943</v>
      </c>
      <c r="C9504" s="1" t="s">
        <v>14</v>
      </c>
      <c r="D9504" s="3">
        <f t="shared" si="1483"/>
        <v>8222</v>
      </c>
      <c r="E9504" s="2">
        <f t="shared" si="1484"/>
        <v>43101</v>
      </c>
      <c r="F9504" s="2">
        <f t="shared" si="1485"/>
        <v>44196</v>
      </c>
    </row>
    <row r="9505" spans="1:6" x14ac:dyDescent="0.25">
      <c r="A9505" s="1" t="s">
        <v>324</v>
      </c>
      <c r="B9505" s="1" t="s">
        <v>943</v>
      </c>
      <c r="C9505" s="1" t="s">
        <v>15</v>
      </c>
      <c r="D9505" s="3">
        <f t="shared" si="1483"/>
        <v>8222</v>
      </c>
      <c r="E9505" s="2">
        <f t="shared" si="1484"/>
        <v>43101</v>
      </c>
      <c r="F9505" s="2">
        <f t="shared" si="1485"/>
        <v>44196</v>
      </c>
    </row>
    <row r="9506" spans="1:6" x14ac:dyDescent="0.25">
      <c r="A9506" s="1" t="s">
        <v>324</v>
      </c>
      <c r="B9506" s="1" t="s">
        <v>943</v>
      </c>
      <c r="C9506" s="1" t="s">
        <v>17</v>
      </c>
      <c r="D9506" s="3">
        <f t="shared" si="1483"/>
        <v>8222</v>
      </c>
      <c r="E9506" s="2">
        <f t="shared" si="1484"/>
        <v>43101</v>
      </c>
      <c r="F9506" s="2">
        <f t="shared" si="1485"/>
        <v>44196</v>
      </c>
    </row>
    <row r="9507" spans="1:6" x14ac:dyDescent="0.25">
      <c r="A9507" s="1" t="s">
        <v>324</v>
      </c>
      <c r="B9507" s="1" t="s">
        <v>943</v>
      </c>
      <c r="C9507" s="1" t="s">
        <v>22</v>
      </c>
      <c r="D9507" s="3">
        <f t="shared" si="1483"/>
        <v>8222</v>
      </c>
      <c r="E9507" s="2">
        <f t="shared" si="1484"/>
        <v>43101</v>
      </c>
      <c r="F9507" s="2">
        <f t="shared" si="1485"/>
        <v>44196</v>
      </c>
    </row>
    <row r="9508" spans="1:6" x14ac:dyDescent="0.25">
      <c r="A9508" s="1" t="s">
        <v>324</v>
      </c>
      <c r="B9508" s="1" t="s">
        <v>943</v>
      </c>
      <c r="C9508" s="1" t="s">
        <v>146</v>
      </c>
      <c r="D9508" s="3">
        <f t="shared" si="1483"/>
        <v>8222</v>
      </c>
      <c r="E9508" s="2">
        <f t="shared" si="1484"/>
        <v>43101</v>
      </c>
      <c r="F9508" s="2">
        <f t="shared" si="1485"/>
        <v>44196</v>
      </c>
    </row>
    <row r="9509" spans="1:6" x14ac:dyDescent="0.25">
      <c r="A9509" s="1" t="s">
        <v>324</v>
      </c>
      <c r="B9509" s="1" t="s">
        <v>943</v>
      </c>
      <c r="C9509" s="1" t="s">
        <v>67</v>
      </c>
      <c r="D9509" s="3">
        <f t="shared" si="1483"/>
        <v>8222</v>
      </c>
      <c r="E9509" s="2">
        <f t="shared" si="1484"/>
        <v>43101</v>
      </c>
      <c r="F9509" s="2">
        <f t="shared" si="1485"/>
        <v>44196</v>
      </c>
    </row>
    <row r="9510" spans="1:6" x14ac:dyDescent="0.25">
      <c r="A9510" s="1" t="s">
        <v>324</v>
      </c>
      <c r="B9510" s="1" t="s">
        <v>943</v>
      </c>
      <c r="C9510" s="1" t="s">
        <v>148</v>
      </c>
      <c r="D9510" s="3">
        <f t="shared" si="1483"/>
        <v>8222</v>
      </c>
      <c r="E9510" s="2">
        <f t="shared" si="1484"/>
        <v>43101</v>
      </c>
      <c r="F9510" s="2">
        <f t="shared" si="1485"/>
        <v>44196</v>
      </c>
    </row>
    <row r="9511" spans="1:6" x14ac:dyDescent="0.25">
      <c r="A9511" s="1" t="s">
        <v>324</v>
      </c>
      <c r="B9511" s="1" t="s">
        <v>943</v>
      </c>
      <c r="C9511" s="1" t="s">
        <v>149</v>
      </c>
      <c r="D9511" s="3">
        <f t="shared" si="1483"/>
        <v>8222</v>
      </c>
      <c r="E9511" s="2">
        <f t="shared" si="1484"/>
        <v>43101</v>
      </c>
      <c r="F9511" s="2">
        <f t="shared" si="1485"/>
        <v>44196</v>
      </c>
    </row>
    <row r="9512" spans="1:6" x14ac:dyDescent="0.25">
      <c r="A9512" s="1" t="s">
        <v>324</v>
      </c>
      <c r="B9512" s="1" t="s">
        <v>943</v>
      </c>
      <c r="C9512" s="1" t="s">
        <v>744</v>
      </c>
      <c r="D9512" s="3">
        <f t="shared" si="1483"/>
        <v>8222</v>
      </c>
      <c r="E9512" s="2">
        <f t="shared" si="1484"/>
        <v>43101</v>
      </c>
      <c r="F9512" s="2">
        <f t="shared" si="1485"/>
        <v>44196</v>
      </c>
    </row>
    <row r="9513" spans="1:6" x14ac:dyDescent="0.25">
      <c r="A9513" s="1" t="s">
        <v>324</v>
      </c>
      <c r="B9513" s="1" t="s">
        <v>943</v>
      </c>
      <c r="C9513" s="1" t="s">
        <v>24</v>
      </c>
      <c r="D9513" s="3">
        <f t="shared" si="1483"/>
        <v>8222</v>
      </c>
      <c r="E9513" s="2">
        <f t="shared" si="1484"/>
        <v>43101</v>
      </c>
      <c r="F9513" s="2">
        <f t="shared" si="1485"/>
        <v>44196</v>
      </c>
    </row>
    <row r="9514" spans="1:6" x14ac:dyDescent="0.25">
      <c r="A9514" s="1" t="s">
        <v>324</v>
      </c>
      <c r="B9514" s="1" t="s">
        <v>943</v>
      </c>
      <c r="C9514" s="1" t="s">
        <v>476</v>
      </c>
      <c r="D9514" s="3">
        <f t="shared" si="1483"/>
        <v>8222</v>
      </c>
      <c r="E9514" s="2">
        <f t="shared" si="1484"/>
        <v>43101</v>
      </c>
      <c r="F9514" s="2">
        <f t="shared" si="1485"/>
        <v>44196</v>
      </c>
    </row>
    <row r="9515" spans="1:6" x14ac:dyDescent="0.25">
      <c r="A9515" s="1" t="s">
        <v>324</v>
      </c>
      <c r="B9515" s="1" t="s">
        <v>943</v>
      </c>
      <c r="C9515" s="1" t="s">
        <v>73</v>
      </c>
      <c r="D9515" s="3">
        <f t="shared" si="1483"/>
        <v>8222</v>
      </c>
      <c r="E9515" s="2">
        <f t="shared" si="1484"/>
        <v>43101</v>
      </c>
      <c r="F9515" s="2">
        <f t="shared" si="1485"/>
        <v>44196</v>
      </c>
    </row>
    <row r="9516" spans="1:6" x14ac:dyDescent="0.25">
      <c r="A9516" s="1" t="s">
        <v>324</v>
      </c>
      <c r="B9516" s="1" t="s">
        <v>943</v>
      </c>
      <c r="C9516" s="1" t="s">
        <v>52</v>
      </c>
      <c r="D9516" s="3">
        <f t="shared" si="1483"/>
        <v>8222</v>
      </c>
      <c r="E9516" s="2">
        <f t="shared" si="1484"/>
        <v>43101</v>
      </c>
      <c r="F9516" s="2">
        <f t="shared" si="1485"/>
        <v>44196</v>
      </c>
    </row>
    <row r="9517" spans="1:6" x14ac:dyDescent="0.25">
      <c r="A9517" s="1" t="s">
        <v>324</v>
      </c>
      <c r="B9517" s="1" t="s">
        <v>943</v>
      </c>
      <c r="C9517" s="1" t="s">
        <v>350</v>
      </c>
      <c r="D9517" s="3">
        <f t="shared" si="1483"/>
        <v>8222</v>
      </c>
      <c r="E9517" s="2">
        <f t="shared" si="1484"/>
        <v>43101</v>
      </c>
      <c r="F9517" s="2">
        <f t="shared" si="1485"/>
        <v>44196</v>
      </c>
    </row>
    <row r="9518" spans="1:6" x14ac:dyDescent="0.25">
      <c r="A9518" s="1" t="s">
        <v>324</v>
      </c>
      <c r="B9518" s="1" t="s">
        <v>943</v>
      </c>
      <c r="C9518" s="1" t="s">
        <v>34</v>
      </c>
      <c r="D9518" s="3">
        <f t="shared" si="1483"/>
        <v>8222</v>
      </c>
      <c r="E9518" s="2">
        <f t="shared" si="1484"/>
        <v>43101</v>
      </c>
      <c r="F9518" s="2">
        <f t="shared" si="1485"/>
        <v>44196</v>
      </c>
    </row>
    <row r="9519" spans="1:6" x14ac:dyDescent="0.25">
      <c r="A9519" s="1" t="s">
        <v>324</v>
      </c>
      <c r="B9519" s="1" t="s">
        <v>943</v>
      </c>
      <c r="C9519" s="1" t="s">
        <v>56</v>
      </c>
      <c r="D9519" s="3">
        <f t="shared" si="1483"/>
        <v>8222</v>
      </c>
      <c r="E9519" s="2">
        <f t="shared" si="1484"/>
        <v>43101</v>
      </c>
      <c r="F9519" s="2">
        <f t="shared" si="1485"/>
        <v>44196</v>
      </c>
    </row>
    <row r="9520" spans="1:6" x14ac:dyDescent="0.25">
      <c r="A9520" s="1" t="s">
        <v>324</v>
      </c>
      <c r="B9520" s="1" t="s">
        <v>943</v>
      </c>
      <c r="C9520" s="1" t="s">
        <v>173</v>
      </c>
      <c r="D9520" s="3">
        <f t="shared" si="1483"/>
        <v>8222</v>
      </c>
      <c r="E9520" s="2">
        <f t="shared" si="1484"/>
        <v>43101</v>
      </c>
      <c r="F9520" s="2">
        <f t="shared" si="1485"/>
        <v>44196</v>
      </c>
    </row>
    <row r="9521" spans="1:6" x14ac:dyDescent="0.25">
      <c r="A9521" s="1" t="s">
        <v>324</v>
      </c>
      <c r="B9521" s="1" t="s">
        <v>904</v>
      </c>
      <c r="C9521" s="1" t="s">
        <v>14</v>
      </c>
      <c r="D9521" s="3">
        <f t="shared" ref="D9521:D9533" si="1486">VALUE("8156")</f>
        <v>8156</v>
      </c>
      <c r="E9521" s="2">
        <f t="shared" ref="E9521:E9533" si="1487">DATEVALUE("1-10-2017")</f>
        <v>43009</v>
      </c>
      <c r="F9521" s="2">
        <f t="shared" ref="F9521:F9533" si="1488">DATEVALUE("31-12-2022")</f>
        <v>44926</v>
      </c>
    </row>
    <row r="9522" spans="1:6" x14ac:dyDescent="0.25">
      <c r="A9522" s="1" t="s">
        <v>324</v>
      </c>
      <c r="B9522" s="1" t="s">
        <v>904</v>
      </c>
      <c r="C9522" s="1" t="s">
        <v>17</v>
      </c>
      <c r="D9522" s="3">
        <f t="shared" si="1486"/>
        <v>8156</v>
      </c>
      <c r="E9522" s="2">
        <f t="shared" si="1487"/>
        <v>43009</v>
      </c>
      <c r="F9522" s="2">
        <f t="shared" si="1488"/>
        <v>44926</v>
      </c>
    </row>
    <row r="9523" spans="1:6" x14ac:dyDescent="0.25">
      <c r="A9523" s="1" t="s">
        <v>324</v>
      </c>
      <c r="B9523" s="1" t="s">
        <v>904</v>
      </c>
      <c r="C9523" s="1" t="s">
        <v>22</v>
      </c>
      <c r="D9523" s="3">
        <f t="shared" si="1486"/>
        <v>8156</v>
      </c>
      <c r="E9523" s="2">
        <f t="shared" si="1487"/>
        <v>43009</v>
      </c>
      <c r="F9523" s="2">
        <f t="shared" si="1488"/>
        <v>44926</v>
      </c>
    </row>
    <row r="9524" spans="1:6" x14ac:dyDescent="0.25">
      <c r="A9524" s="1" t="s">
        <v>324</v>
      </c>
      <c r="B9524" s="1" t="s">
        <v>904</v>
      </c>
      <c r="C9524" s="1" t="s">
        <v>146</v>
      </c>
      <c r="D9524" s="3">
        <f t="shared" si="1486"/>
        <v>8156</v>
      </c>
      <c r="E9524" s="2">
        <f t="shared" si="1487"/>
        <v>43009</v>
      </c>
      <c r="F9524" s="2">
        <f t="shared" si="1488"/>
        <v>44926</v>
      </c>
    </row>
    <row r="9525" spans="1:6" x14ac:dyDescent="0.25">
      <c r="A9525" s="1" t="s">
        <v>324</v>
      </c>
      <c r="B9525" s="1" t="s">
        <v>904</v>
      </c>
      <c r="C9525" s="1" t="s">
        <v>67</v>
      </c>
      <c r="D9525" s="3">
        <f t="shared" si="1486"/>
        <v>8156</v>
      </c>
      <c r="E9525" s="2">
        <f t="shared" si="1487"/>
        <v>43009</v>
      </c>
      <c r="F9525" s="2">
        <f t="shared" si="1488"/>
        <v>44926</v>
      </c>
    </row>
    <row r="9526" spans="1:6" x14ac:dyDescent="0.25">
      <c r="A9526" s="1" t="s">
        <v>324</v>
      </c>
      <c r="B9526" s="1" t="s">
        <v>904</v>
      </c>
      <c r="C9526" s="1" t="s">
        <v>92</v>
      </c>
      <c r="D9526" s="3">
        <f t="shared" si="1486"/>
        <v>8156</v>
      </c>
      <c r="E9526" s="2">
        <f t="shared" si="1487"/>
        <v>43009</v>
      </c>
      <c r="F9526" s="2">
        <f t="shared" si="1488"/>
        <v>44926</v>
      </c>
    </row>
    <row r="9527" spans="1:6" x14ac:dyDescent="0.25">
      <c r="A9527" s="1" t="s">
        <v>324</v>
      </c>
      <c r="B9527" s="1" t="s">
        <v>904</v>
      </c>
      <c r="C9527" s="1" t="s">
        <v>24</v>
      </c>
      <c r="D9527" s="3">
        <f t="shared" si="1486"/>
        <v>8156</v>
      </c>
      <c r="E9527" s="2">
        <f t="shared" si="1487"/>
        <v>43009</v>
      </c>
      <c r="F9527" s="2">
        <f t="shared" si="1488"/>
        <v>44926</v>
      </c>
    </row>
    <row r="9528" spans="1:6" x14ac:dyDescent="0.25">
      <c r="A9528" s="1" t="s">
        <v>324</v>
      </c>
      <c r="B9528" s="1" t="s">
        <v>904</v>
      </c>
      <c r="C9528" s="1" t="s">
        <v>51</v>
      </c>
      <c r="D9528" s="3">
        <f t="shared" si="1486"/>
        <v>8156</v>
      </c>
      <c r="E9528" s="2">
        <f t="shared" si="1487"/>
        <v>43009</v>
      </c>
      <c r="F9528" s="2">
        <f t="shared" si="1488"/>
        <v>44926</v>
      </c>
    </row>
    <row r="9529" spans="1:6" x14ac:dyDescent="0.25">
      <c r="A9529" s="1" t="s">
        <v>324</v>
      </c>
      <c r="B9529" s="1" t="s">
        <v>904</v>
      </c>
      <c r="C9529" s="1" t="s">
        <v>73</v>
      </c>
      <c r="D9529" s="3">
        <f t="shared" si="1486"/>
        <v>8156</v>
      </c>
      <c r="E9529" s="2">
        <f t="shared" si="1487"/>
        <v>43009</v>
      </c>
      <c r="F9529" s="2">
        <f t="shared" si="1488"/>
        <v>44926</v>
      </c>
    </row>
    <row r="9530" spans="1:6" x14ac:dyDescent="0.25">
      <c r="A9530" s="1" t="s">
        <v>324</v>
      </c>
      <c r="B9530" s="1" t="s">
        <v>904</v>
      </c>
      <c r="C9530" s="1" t="s">
        <v>34</v>
      </c>
      <c r="D9530" s="3">
        <f t="shared" si="1486"/>
        <v>8156</v>
      </c>
      <c r="E9530" s="2">
        <f t="shared" si="1487"/>
        <v>43009</v>
      </c>
      <c r="F9530" s="2">
        <f t="shared" si="1488"/>
        <v>44926</v>
      </c>
    </row>
    <row r="9531" spans="1:6" x14ac:dyDescent="0.25">
      <c r="A9531" s="1" t="s">
        <v>324</v>
      </c>
      <c r="B9531" s="1" t="s">
        <v>904</v>
      </c>
      <c r="C9531" s="1" t="s">
        <v>379</v>
      </c>
      <c r="D9531" s="3">
        <f t="shared" si="1486"/>
        <v>8156</v>
      </c>
      <c r="E9531" s="2">
        <f t="shared" si="1487"/>
        <v>43009</v>
      </c>
      <c r="F9531" s="2">
        <f t="shared" si="1488"/>
        <v>44926</v>
      </c>
    </row>
    <row r="9532" spans="1:6" x14ac:dyDescent="0.25">
      <c r="A9532" s="1" t="s">
        <v>324</v>
      </c>
      <c r="B9532" s="1" t="s">
        <v>904</v>
      </c>
      <c r="C9532" s="1" t="s">
        <v>380</v>
      </c>
      <c r="D9532" s="3">
        <f t="shared" si="1486"/>
        <v>8156</v>
      </c>
      <c r="E9532" s="2">
        <f t="shared" si="1487"/>
        <v>43009</v>
      </c>
      <c r="F9532" s="2">
        <f t="shared" si="1488"/>
        <v>44926</v>
      </c>
    </row>
    <row r="9533" spans="1:6" x14ac:dyDescent="0.25">
      <c r="A9533" s="1" t="s">
        <v>324</v>
      </c>
      <c r="B9533" s="1" t="s">
        <v>904</v>
      </c>
      <c r="C9533" s="1" t="s">
        <v>381</v>
      </c>
      <c r="D9533" s="3">
        <f t="shared" si="1486"/>
        <v>8156</v>
      </c>
      <c r="E9533" s="2">
        <f t="shared" si="1487"/>
        <v>43009</v>
      </c>
      <c r="F9533" s="2">
        <f t="shared" si="1488"/>
        <v>44926</v>
      </c>
    </row>
    <row r="9534" spans="1:6" x14ac:dyDescent="0.25">
      <c r="A9534" s="1" t="s">
        <v>324</v>
      </c>
      <c r="B9534" s="1" t="s">
        <v>608</v>
      </c>
      <c r="C9534" s="1" t="s">
        <v>8</v>
      </c>
      <c r="D9534" s="3">
        <f t="shared" ref="D9534:D9564" si="1489">VALUE("7824")</f>
        <v>7824</v>
      </c>
      <c r="E9534" s="2">
        <f t="shared" ref="E9534:E9564" si="1490">DATEVALUE("1-1-2016")</f>
        <v>42370</v>
      </c>
      <c r="F9534" s="2">
        <f t="shared" ref="F9534:F9564" si="1491">DATEVALUE("31-1-2021")</f>
        <v>44227</v>
      </c>
    </row>
    <row r="9535" spans="1:6" x14ac:dyDescent="0.25">
      <c r="A9535" s="1" t="s">
        <v>324</v>
      </c>
      <c r="B9535" s="1" t="s">
        <v>608</v>
      </c>
      <c r="C9535" s="1" t="s">
        <v>10</v>
      </c>
      <c r="D9535" s="3">
        <f t="shared" si="1489"/>
        <v>7824</v>
      </c>
      <c r="E9535" s="2">
        <f t="shared" si="1490"/>
        <v>42370</v>
      </c>
      <c r="F9535" s="2">
        <f t="shared" si="1491"/>
        <v>44227</v>
      </c>
    </row>
    <row r="9536" spans="1:6" x14ac:dyDescent="0.25">
      <c r="A9536" s="1" t="s">
        <v>324</v>
      </c>
      <c r="B9536" s="1" t="s">
        <v>608</v>
      </c>
      <c r="C9536" s="1" t="s">
        <v>61</v>
      </c>
      <c r="D9536" s="3">
        <f t="shared" si="1489"/>
        <v>7824</v>
      </c>
      <c r="E9536" s="2">
        <f t="shared" si="1490"/>
        <v>42370</v>
      </c>
      <c r="F9536" s="2">
        <f t="shared" si="1491"/>
        <v>44227</v>
      </c>
    </row>
    <row r="9537" spans="1:6" x14ac:dyDescent="0.25">
      <c r="A9537" s="1" t="s">
        <v>324</v>
      </c>
      <c r="B9537" s="1" t="s">
        <v>608</v>
      </c>
      <c r="C9537" s="1" t="s">
        <v>609</v>
      </c>
      <c r="D9537" s="3">
        <f t="shared" si="1489"/>
        <v>7824</v>
      </c>
      <c r="E9537" s="2">
        <f t="shared" si="1490"/>
        <v>42370</v>
      </c>
      <c r="F9537" s="2">
        <f t="shared" si="1491"/>
        <v>44227</v>
      </c>
    </row>
    <row r="9538" spans="1:6" x14ac:dyDescent="0.25">
      <c r="A9538" s="1" t="s">
        <v>324</v>
      </c>
      <c r="B9538" s="1" t="s">
        <v>608</v>
      </c>
      <c r="C9538" s="1" t="s">
        <v>62</v>
      </c>
      <c r="D9538" s="3">
        <f t="shared" si="1489"/>
        <v>7824</v>
      </c>
      <c r="E9538" s="2">
        <f t="shared" si="1490"/>
        <v>42370</v>
      </c>
      <c r="F9538" s="2">
        <f t="shared" si="1491"/>
        <v>44227</v>
      </c>
    </row>
    <row r="9539" spans="1:6" x14ac:dyDescent="0.25">
      <c r="A9539" s="1" t="s">
        <v>324</v>
      </c>
      <c r="B9539" s="1" t="s">
        <v>608</v>
      </c>
      <c r="C9539" s="1" t="s">
        <v>63</v>
      </c>
      <c r="D9539" s="3">
        <f t="shared" si="1489"/>
        <v>7824</v>
      </c>
      <c r="E9539" s="2">
        <f t="shared" si="1490"/>
        <v>42370</v>
      </c>
      <c r="F9539" s="2">
        <f t="shared" si="1491"/>
        <v>44227</v>
      </c>
    </row>
    <row r="9540" spans="1:6" x14ac:dyDescent="0.25">
      <c r="A9540" s="1" t="s">
        <v>324</v>
      </c>
      <c r="B9540" s="1" t="s">
        <v>608</v>
      </c>
      <c r="C9540" s="1" t="s">
        <v>65</v>
      </c>
      <c r="D9540" s="3">
        <f t="shared" si="1489"/>
        <v>7824</v>
      </c>
      <c r="E9540" s="2">
        <f t="shared" si="1490"/>
        <v>42370</v>
      </c>
      <c r="F9540" s="2">
        <f t="shared" si="1491"/>
        <v>44227</v>
      </c>
    </row>
    <row r="9541" spans="1:6" x14ac:dyDescent="0.25">
      <c r="A9541" s="1" t="s">
        <v>324</v>
      </c>
      <c r="B9541" s="1" t="s">
        <v>608</v>
      </c>
      <c r="C9541" s="1" t="s">
        <v>14</v>
      </c>
      <c r="D9541" s="3">
        <f t="shared" si="1489"/>
        <v>7824</v>
      </c>
      <c r="E9541" s="2">
        <f t="shared" si="1490"/>
        <v>42370</v>
      </c>
      <c r="F9541" s="2">
        <f t="shared" si="1491"/>
        <v>44227</v>
      </c>
    </row>
    <row r="9542" spans="1:6" x14ac:dyDescent="0.25">
      <c r="A9542" s="1" t="s">
        <v>324</v>
      </c>
      <c r="B9542" s="1" t="s">
        <v>608</v>
      </c>
      <c r="C9542" s="1" t="s">
        <v>15</v>
      </c>
      <c r="D9542" s="3">
        <f t="shared" si="1489"/>
        <v>7824</v>
      </c>
      <c r="E9542" s="2">
        <f t="shared" si="1490"/>
        <v>42370</v>
      </c>
      <c r="F9542" s="2">
        <f t="shared" si="1491"/>
        <v>44227</v>
      </c>
    </row>
    <row r="9543" spans="1:6" x14ac:dyDescent="0.25">
      <c r="A9543" s="1" t="s">
        <v>324</v>
      </c>
      <c r="B9543" s="1" t="s">
        <v>608</v>
      </c>
      <c r="C9543" s="1" t="s">
        <v>290</v>
      </c>
      <c r="D9543" s="3">
        <f t="shared" si="1489"/>
        <v>7824</v>
      </c>
      <c r="E9543" s="2">
        <f t="shared" si="1490"/>
        <v>42370</v>
      </c>
      <c r="F9543" s="2">
        <f t="shared" si="1491"/>
        <v>44227</v>
      </c>
    </row>
    <row r="9544" spans="1:6" x14ac:dyDescent="0.25">
      <c r="A9544" s="1" t="s">
        <v>324</v>
      </c>
      <c r="B9544" s="1" t="s">
        <v>608</v>
      </c>
      <c r="C9544" s="1" t="s">
        <v>88</v>
      </c>
      <c r="D9544" s="3">
        <f t="shared" si="1489"/>
        <v>7824</v>
      </c>
      <c r="E9544" s="2">
        <f t="shared" si="1490"/>
        <v>42370</v>
      </c>
      <c r="F9544" s="2">
        <f t="shared" si="1491"/>
        <v>44227</v>
      </c>
    </row>
    <row r="9545" spans="1:6" x14ac:dyDescent="0.25">
      <c r="A9545" s="1" t="s">
        <v>324</v>
      </c>
      <c r="B9545" s="1" t="s">
        <v>608</v>
      </c>
      <c r="C9545" s="1" t="s">
        <v>89</v>
      </c>
      <c r="D9545" s="3">
        <f t="shared" si="1489"/>
        <v>7824</v>
      </c>
      <c r="E9545" s="2">
        <f t="shared" si="1490"/>
        <v>42370</v>
      </c>
      <c r="F9545" s="2">
        <f t="shared" si="1491"/>
        <v>44227</v>
      </c>
    </row>
    <row r="9546" spans="1:6" x14ac:dyDescent="0.25">
      <c r="A9546" s="1" t="s">
        <v>324</v>
      </c>
      <c r="B9546" s="1" t="s">
        <v>608</v>
      </c>
      <c r="C9546" s="1" t="s">
        <v>17</v>
      </c>
      <c r="D9546" s="3">
        <f t="shared" si="1489"/>
        <v>7824</v>
      </c>
      <c r="E9546" s="2">
        <f t="shared" si="1490"/>
        <v>42370</v>
      </c>
      <c r="F9546" s="2">
        <f t="shared" si="1491"/>
        <v>44227</v>
      </c>
    </row>
    <row r="9547" spans="1:6" x14ac:dyDescent="0.25">
      <c r="A9547" s="1" t="s">
        <v>324</v>
      </c>
      <c r="B9547" s="1" t="s">
        <v>608</v>
      </c>
      <c r="C9547" s="1" t="s">
        <v>19</v>
      </c>
      <c r="D9547" s="3">
        <f t="shared" si="1489"/>
        <v>7824</v>
      </c>
      <c r="E9547" s="2">
        <f t="shared" si="1490"/>
        <v>42370</v>
      </c>
      <c r="F9547" s="2">
        <f t="shared" si="1491"/>
        <v>44227</v>
      </c>
    </row>
    <row r="9548" spans="1:6" x14ac:dyDescent="0.25">
      <c r="A9548" s="1" t="s">
        <v>324</v>
      </c>
      <c r="B9548" s="1" t="s">
        <v>608</v>
      </c>
      <c r="C9548" s="1" t="s">
        <v>193</v>
      </c>
      <c r="D9548" s="3">
        <f t="shared" si="1489"/>
        <v>7824</v>
      </c>
      <c r="E9548" s="2">
        <f t="shared" si="1490"/>
        <v>42370</v>
      </c>
      <c r="F9548" s="2">
        <f t="shared" si="1491"/>
        <v>44227</v>
      </c>
    </row>
    <row r="9549" spans="1:6" x14ac:dyDescent="0.25">
      <c r="A9549" s="1" t="s">
        <v>324</v>
      </c>
      <c r="B9549" s="1" t="s">
        <v>608</v>
      </c>
      <c r="C9549" s="1" t="s">
        <v>20</v>
      </c>
      <c r="D9549" s="3">
        <f t="shared" si="1489"/>
        <v>7824</v>
      </c>
      <c r="E9549" s="2">
        <f t="shared" si="1490"/>
        <v>42370</v>
      </c>
      <c r="F9549" s="2">
        <f t="shared" si="1491"/>
        <v>44227</v>
      </c>
    </row>
    <row r="9550" spans="1:6" x14ac:dyDescent="0.25">
      <c r="A9550" s="1" t="s">
        <v>324</v>
      </c>
      <c r="B9550" s="1" t="s">
        <v>608</v>
      </c>
      <c r="C9550" s="1" t="s">
        <v>21</v>
      </c>
      <c r="D9550" s="3">
        <f t="shared" si="1489"/>
        <v>7824</v>
      </c>
      <c r="E9550" s="2">
        <f t="shared" si="1490"/>
        <v>42370</v>
      </c>
      <c r="F9550" s="2">
        <f t="shared" si="1491"/>
        <v>44227</v>
      </c>
    </row>
    <row r="9551" spans="1:6" x14ac:dyDescent="0.25">
      <c r="A9551" s="1" t="s">
        <v>324</v>
      </c>
      <c r="B9551" s="1" t="s">
        <v>608</v>
      </c>
      <c r="C9551" s="1" t="s">
        <v>328</v>
      </c>
      <c r="D9551" s="3">
        <f t="shared" si="1489"/>
        <v>7824</v>
      </c>
      <c r="E9551" s="2">
        <f t="shared" si="1490"/>
        <v>42370</v>
      </c>
      <c r="F9551" s="2">
        <f t="shared" si="1491"/>
        <v>44227</v>
      </c>
    </row>
    <row r="9552" spans="1:6" x14ac:dyDescent="0.25">
      <c r="A9552" s="1" t="s">
        <v>324</v>
      </c>
      <c r="B9552" s="1" t="s">
        <v>608</v>
      </c>
      <c r="C9552" s="1" t="s">
        <v>22</v>
      </c>
      <c r="D9552" s="3">
        <f t="shared" si="1489"/>
        <v>7824</v>
      </c>
      <c r="E9552" s="2">
        <f t="shared" si="1490"/>
        <v>42370</v>
      </c>
      <c r="F9552" s="2">
        <f t="shared" si="1491"/>
        <v>44227</v>
      </c>
    </row>
    <row r="9553" spans="1:6" x14ac:dyDescent="0.25">
      <c r="A9553" s="1" t="s">
        <v>324</v>
      </c>
      <c r="B9553" s="1" t="s">
        <v>608</v>
      </c>
      <c r="C9553" s="1" t="s">
        <v>67</v>
      </c>
      <c r="D9553" s="3">
        <f t="shared" si="1489"/>
        <v>7824</v>
      </c>
      <c r="E9553" s="2">
        <f t="shared" si="1490"/>
        <v>42370</v>
      </c>
      <c r="F9553" s="2">
        <f t="shared" si="1491"/>
        <v>44227</v>
      </c>
    </row>
    <row r="9554" spans="1:6" x14ac:dyDescent="0.25">
      <c r="A9554" s="1" t="s">
        <v>324</v>
      </c>
      <c r="B9554" s="1" t="s">
        <v>608</v>
      </c>
      <c r="C9554" s="1" t="s">
        <v>92</v>
      </c>
      <c r="D9554" s="3">
        <f t="shared" si="1489"/>
        <v>7824</v>
      </c>
      <c r="E9554" s="2">
        <f t="shared" si="1490"/>
        <v>42370</v>
      </c>
      <c r="F9554" s="2">
        <f t="shared" si="1491"/>
        <v>44227</v>
      </c>
    </row>
    <row r="9555" spans="1:6" x14ac:dyDescent="0.25">
      <c r="A9555" s="1" t="s">
        <v>324</v>
      </c>
      <c r="B9555" s="1" t="s">
        <v>608</v>
      </c>
      <c r="C9555" s="1" t="s">
        <v>151</v>
      </c>
      <c r="D9555" s="3">
        <f t="shared" si="1489"/>
        <v>7824</v>
      </c>
      <c r="E9555" s="2">
        <f t="shared" si="1490"/>
        <v>42370</v>
      </c>
      <c r="F9555" s="2">
        <f t="shared" si="1491"/>
        <v>44227</v>
      </c>
    </row>
    <row r="9556" spans="1:6" x14ac:dyDescent="0.25">
      <c r="A9556" s="1" t="s">
        <v>324</v>
      </c>
      <c r="B9556" s="1" t="s">
        <v>608</v>
      </c>
      <c r="C9556" s="1" t="s">
        <v>24</v>
      </c>
      <c r="D9556" s="3">
        <f t="shared" si="1489"/>
        <v>7824</v>
      </c>
      <c r="E9556" s="2">
        <f t="shared" si="1490"/>
        <v>42370</v>
      </c>
      <c r="F9556" s="2">
        <f t="shared" si="1491"/>
        <v>44227</v>
      </c>
    </row>
    <row r="9557" spans="1:6" x14ac:dyDescent="0.25">
      <c r="A9557" s="1" t="s">
        <v>324</v>
      </c>
      <c r="B9557" s="1" t="s">
        <v>608</v>
      </c>
      <c r="C9557" s="1" t="s">
        <v>70</v>
      </c>
      <c r="D9557" s="3">
        <f t="shared" si="1489"/>
        <v>7824</v>
      </c>
      <c r="E9557" s="2">
        <f t="shared" si="1490"/>
        <v>42370</v>
      </c>
      <c r="F9557" s="2">
        <f t="shared" si="1491"/>
        <v>44227</v>
      </c>
    </row>
    <row r="9558" spans="1:6" x14ac:dyDescent="0.25">
      <c r="A9558" s="1" t="s">
        <v>324</v>
      </c>
      <c r="B9558" s="1" t="s">
        <v>608</v>
      </c>
      <c r="C9558" s="1" t="s">
        <v>25</v>
      </c>
      <c r="D9558" s="3">
        <f t="shared" si="1489"/>
        <v>7824</v>
      </c>
      <c r="E9558" s="2">
        <f t="shared" si="1490"/>
        <v>42370</v>
      </c>
      <c r="F9558" s="2">
        <f t="shared" si="1491"/>
        <v>44227</v>
      </c>
    </row>
    <row r="9559" spans="1:6" x14ac:dyDescent="0.25">
      <c r="A9559" s="1" t="s">
        <v>324</v>
      </c>
      <c r="B9559" s="1" t="s">
        <v>608</v>
      </c>
      <c r="C9559" s="1" t="s">
        <v>26</v>
      </c>
      <c r="D9559" s="3">
        <f t="shared" si="1489"/>
        <v>7824</v>
      </c>
      <c r="E9559" s="2">
        <f t="shared" si="1490"/>
        <v>42370</v>
      </c>
      <c r="F9559" s="2">
        <f t="shared" si="1491"/>
        <v>44227</v>
      </c>
    </row>
    <row r="9560" spans="1:6" x14ac:dyDescent="0.25">
      <c r="A9560" s="1" t="s">
        <v>324</v>
      </c>
      <c r="B9560" s="1" t="s">
        <v>608</v>
      </c>
      <c r="C9560" s="1" t="s">
        <v>121</v>
      </c>
      <c r="D9560" s="3">
        <f t="shared" si="1489"/>
        <v>7824</v>
      </c>
      <c r="E9560" s="2">
        <f t="shared" si="1490"/>
        <v>42370</v>
      </c>
      <c r="F9560" s="2">
        <f t="shared" si="1491"/>
        <v>44227</v>
      </c>
    </row>
    <row r="9561" spans="1:6" x14ac:dyDescent="0.25">
      <c r="A9561" s="1" t="s">
        <v>324</v>
      </c>
      <c r="B9561" s="1" t="s">
        <v>608</v>
      </c>
      <c r="C9561" s="1" t="s">
        <v>73</v>
      </c>
      <c r="D9561" s="3">
        <f t="shared" si="1489"/>
        <v>7824</v>
      </c>
      <c r="E9561" s="2">
        <f t="shared" si="1490"/>
        <v>42370</v>
      </c>
      <c r="F9561" s="2">
        <f t="shared" si="1491"/>
        <v>44227</v>
      </c>
    </row>
    <row r="9562" spans="1:6" x14ac:dyDescent="0.25">
      <c r="A9562" s="1" t="s">
        <v>324</v>
      </c>
      <c r="B9562" s="1" t="s">
        <v>608</v>
      </c>
      <c r="C9562" s="1" t="s">
        <v>161</v>
      </c>
      <c r="D9562" s="3">
        <f t="shared" si="1489"/>
        <v>7824</v>
      </c>
      <c r="E9562" s="2">
        <f t="shared" si="1490"/>
        <v>42370</v>
      </c>
      <c r="F9562" s="2">
        <f t="shared" si="1491"/>
        <v>44227</v>
      </c>
    </row>
    <row r="9563" spans="1:6" x14ac:dyDescent="0.25">
      <c r="A9563" s="1" t="s">
        <v>324</v>
      </c>
      <c r="B9563" s="1" t="s">
        <v>608</v>
      </c>
      <c r="C9563" s="1" t="s">
        <v>34</v>
      </c>
      <c r="D9563" s="3">
        <f t="shared" si="1489"/>
        <v>7824</v>
      </c>
      <c r="E9563" s="2">
        <f t="shared" si="1490"/>
        <v>42370</v>
      </c>
      <c r="F9563" s="2">
        <f t="shared" si="1491"/>
        <v>44227</v>
      </c>
    </row>
    <row r="9564" spans="1:6" x14ac:dyDescent="0.25">
      <c r="A9564" s="1" t="s">
        <v>324</v>
      </c>
      <c r="B9564" s="1" t="s">
        <v>608</v>
      </c>
      <c r="C9564" s="1" t="s">
        <v>36</v>
      </c>
      <c r="D9564" s="3">
        <f t="shared" si="1489"/>
        <v>7824</v>
      </c>
      <c r="E9564" s="2">
        <f t="shared" si="1490"/>
        <v>42370</v>
      </c>
      <c r="F9564" s="2">
        <f t="shared" si="1491"/>
        <v>44227</v>
      </c>
    </row>
    <row r="9565" spans="1:6" x14ac:dyDescent="0.25">
      <c r="A9565" s="1" t="s">
        <v>324</v>
      </c>
      <c r="B9565" s="1" t="s">
        <v>1913</v>
      </c>
      <c r="C9565" s="1" t="s">
        <v>46</v>
      </c>
      <c r="D9565" s="3">
        <f>VALUE("7483")</f>
        <v>7483</v>
      </c>
      <c r="E9565" s="2">
        <f>DATEVALUE("1-5-2013")</f>
        <v>41395</v>
      </c>
      <c r="F9565" s="2">
        <f>DATEVALUE("31-12-2015")</f>
        <v>42369</v>
      </c>
    </row>
    <row r="9566" spans="1:6" x14ac:dyDescent="0.25">
      <c r="A9566" s="1" t="s">
        <v>324</v>
      </c>
      <c r="B9566" s="1" t="s">
        <v>1913</v>
      </c>
      <c r="C9566" s="1" t="s">
        <v>15</v>
      </c>
      <c r="D9566" s="3">
        <f>VALUE("7483")</f>
        <v>7483</v>
      </c>
      <c r="E9566" s="2">
        <f>DATEVALUE("1-5-2013")</f>
        <v>41395</v>
      </c>
      <c r="F9566" s="2">
        <f>DATEVALUE("31-12-2015")</f>
        <v>42369</v>
      </c>
    </row>
    <row r="9567" spans="1:6" x14ac:dyDescent="0.25">
      <c r="A9567" s="1" t="s">
        <v>324</v>
      </c>
      <c r="B9567" s="1" t="s">
        <v>1913</v>
      </c>
      <c r="C9567" s="1" t="s">
        <v>17</v>
      </c>
      <c r="D9567" s="3">
        <f>VALUE("7483")</f>
        <v>7483</v>
      </c>
      <c r="E9567" s="2">
        <f>DATEVALUE("1-5-2013")</f>
        <v>41395</v>
      </c>
      <c r="F9567" s="2">
        <f>DATEVALUE("31-12-2015")</f>
        <v>42369</v>
      </c>
    </row>
    <row r="9568" spans="1:6" x14ac:dyDescent="0.25">
      <c r="A9568" s="1" t="s">
        <v>324</v>
      </c>
      <c r="B9568" s="1" t="s">
        <v>1913</v>
      </c>
      <c r="C9568" s="1" t="s">
        <v>359</v>
      </c>
      <c r="D9568" s="3">
        <f>VALUE("7483")</f>
        <v>7483</v>
      </c>
      <c r="E9568" s="2">
        <f>DATEVALUE("1-5-2013")</f>
        <v>41395</v>
      </c>
      <c r="F9568" s="2">
        <f>DATEVALUE("31-12-2015")</f>
        <v>42369</v>
      </c>
    </row>
    <row r="9569" spans="1:6" x14ac:dyDescent="0.25">
      <c r="A9569" s="1" t="s">
        <v>324</v>
      </c>
      <c r="B9569" s="1" t="s">
        <v>1913</v>
      </c>
      <c r="C9569" s="1" t="s">
        <v>310</v>
      </c>
      <c r="D9569" s="3">
        <f>VALUE("7483")</f>
        <v>7483</v>
      </c>
      <c r="E9569" s="2">
        <f>DATEVALUE("1-5-2013")</f>
        <v>41395</v>
      </c>
      <c r="F9569" s="2">
        <f>DATEVALUE("31-12-2015")</f>
        <v>42369</v>
      </c>
    </row>
    <row r="9570" spans="1:6" x14ac:dyDescent="0.25">
      <c r="A9570" s="1" t="s">
        <v>324</v>
      </c>
      <c r="B9570" s="1" t="s">
        <v>323</v>
      </c>
      <c r="C9570" s="1" t="s">
        <v>7</v>
      </c>
      <c r="D9570" s="3">
        <f t="shared" ref="D9570:D9601" si="1492">VALUE("7412")</f>
        <v>7412</v>
      </c>
      <c r="E9570" s="2">
        <f t="shared" ref="E9570:E9601" si="1493">DATEVALUE("1-11-2012")</f>
        <v>41214</v>
      </c>
      <c r="F9570" s="2">
        <f t="shared" ref="F9570:F9601" si="1494">DATEVALUE("28-2-2021")</f>
        <v>44255</v>
      </c>
    </row>
    <row r="9571" spans="1:6" x14ac:dyDescent="0.25">
      <c r="A9571" s="1" t="s">
        <v>324</v>
      </c>
      <c r="B9571" s="1" t="s">
        <v>323</v>
      </c>
      <c r="C9571" s="1" t="s">
        <v>6</v>
      </c>
      <c r="D9571" s="3">
        <f t="shared" si="1492"/>
        <v>7412</v>
      </c>
      <c r="E9571" s="2">
        <f t="shared" si="1493"/>
        <v>41214</v>
      </c>
      <c r="F9571" s="2">
        <f t="shared" si="1494"/>
        <v>44255</v>
      </c>
    </row>
    <row r="9572" spans="1:6" x14ac:dyDescent="0.25">
      <c r="A9572" s="1" t="s">
        <v>324</v>
      </c>
      <c r="B9572" s="1" t="s">
        <v>323</v>
      </c>
      <c r="C9572" s="1" t="s">
        <v>325</v>
      </c>
      <c r="D9572" s="3">
        <f t="shared" si="1492"/>
        <v>7412</v>
      </c>
      <c r="E9572" s="2">
        <f t="shared" si="1493"/>
        <v>41214</v>
      </c>
      <c r="F9572" s="2">
        <f t="shared" si="1494"/>
        <v>44255</v>
      </c>
    </row>
    <row r="9573" spans="1:6" x14ac:dyDescent="0.25">
      <c r="A9573" s="1" t="s">
        <v>324</v>
      </c>
      <c r="B9573" s="1" t="s">
        <v>323</v>
      </c>
      <c r="C9573" s="1" t="s">
        <v>8</v>
      </c>
      <c r="D9573" s="3">
        <f t="shared" si="1492"/>
        <v>7412</v>
      </c>
      <c r="E9573" s="2">
        <f t="shared" si="1493"/>
        <v>41214</v>
      </c>
      <c r="F9573" s="2">
        <f t="shared" si="1494"/>
        <v>44255</v>
      </c>
    </row>
    <row r="9574" spans="1:6" x14ac:dyDescent="0.25">
      <c r="A9574" s="1" t="s">
        <v>324</v>
      </c>
      <c r="B9574" s="1" t="s">
        <v>323</v>
      </c>
      <c r="C9574" s="1" t="s">
        <v>10</v>
      </c>
      <c r="D9574" s="3">
        <f t="shared" si="1492"/>
        <v>7412</v>
      </c>
      <c r="E9574" s="2">
        <f t="shared" si="1493"/>
        <v>41214</v>
      </c>
      <c r="F9574" s="2">
        <f t="shared" si="1494"/>
        <v>44255</v>
      </c>
    </row>
    <row r="9575" spans="1:6" x14ac:dyDescent="0.25">
      <c r="A9575" s="1" t="s">
        <v>324</v>
      </c>
      <c r="B9575" s="1" t="s">
        <v>323</v>
      </c>
      <c r="C9575" s="1" t="s">
        <v>11</v>
      </c>
      <c r="D9575" s="3">
        <f t="shared" si="1492"/>
        <v>7412</v>
      </c>
      <c r="E9575" s="2">
        <f t="shared" si="1493"/>
        <v>41214</v>
      </c>
      <c r="F9575" s="2">
        <f t="shared" si="1494"/>
        <v>44255</v>
      </c>
    </row>
    <row r="9576" spans="1:6" x14ac:dyDescent="0.25">
      <c r="A9576" s="1" t="s">
        <v>324</v>
      </c>
      <c r="B9576" s="1" t="s">
        <v>323</v>
      </c>
      <c r="C9576" s="1" t="s">
        <v>12</v>
      </c>
      <c r="D9576" s="3">
        <f t="shared" si="1492"/>
        <v>7412</v>
      </c>
      <c r="E9576" s="2">
        <f t="shared" si="1493"/>
        <v>41214</v>
      </c>
      <c r="F9576" s="2">
        <f t="shared" si="1494"/>
        <v>44255</v>
      </c>
    </row>
    <row r="9577" spans="1:6" x14ac:dyDescent="0.25">
      <c r="A9577" s="1" t="s">
        <v>324</v>
      </c>
      <c r="B9577" s="1" t="s">
        <v>323</v>
      </c>
      <c r="C9577" s="1" t="s">
        <v>61</v>
      </c>
      <c r="D9577" s="3">
        <f t="shared" si="1492"/>
        <v>7412</v>
      </c>
      <c r="E9577" s="2">
        <f t="shared" si="1493"/>
        <v>41214</v>
      </c>
      <c r="F9577" s="2">
        <f t="shared" si="1494"/>
        <v>44255</v>
      </c>
    </row>
    <row r="9578" spans="1:6" x14ac:dyDescent="0.25">
      <c r="A9578" s="1" t="s">
        <v>324</v>
      </c>
      <c r="B9578" s="1" t="s">
        <v>323</v>
      </c>
      <c r="C9578" s="1" t="s">
        <v>45</v>
      </c>
      <c r="D9578" s="3">
        <f t="shared" si="1492"/>
        <v>7412</v>
      </c>
      <c r="E9578" s="2">
        <f t="shared" si="1493"/>
        <v>41214</v>
      </c>
      <c r="F9578" s="2">
        <f t="shared" si="1494"/>
        <v>44255</v>
      </c>
    </row>
    <row r="9579" spans="1:6" x14ac:dyDescent="0.25">
      <c r="A9579" s="1" t="s">
        <v>324</v>
      </c>
      <c r="B9579" s="1" t="s">
        <v>323</v>
      </c>
      <c r="C9579" s="1" t="s">
        <v>46</v>
      </c>
      <c r="D9579" s="3">
        <f t="shared" si="1492"/>
        <v>7412</v>
      </c>
      <c r="E9579" s="2">
        <f t="shared" si="1493"/>
        <v>41214</v>
      </c>
      <c r="F9579" s="2">
        <f t="shared" si="1494"/>
        <v>44255</v>
      </c>
    </row>
    <row r="9580" spans="1:6" x14ac:dyDescent="0.25">
      <c r="A9580" s="1" t="s">
        <v>324</v>
      </c>
      <c r="B9580" s="1" t="s">
        <v>323</v>
      </c>
      <c r="C9580" s="1" t="s">
        <v>14</v>
      </c>
      <c r="D9580" s="3">
        <f t="shared" si="1492"/>
        <v>7412</v>
      </c>
      <c r="E9580" s="2">
        <f t="shared" si="1493"/>
        <v>41214</v>
      </c>
      <c r="F9580" s="2">
        <f t="shared" si="1494"/>
        <v>44255</v>
      </c>
    </row>
    <row r="9581" spans="1:6" x14ac:dyDescent="0.25">
      <c r="A9581" s="1" t="s">
        <v>324</v>
      </c>
      <c r="B9581" s="1" t="s">
        <v>323</v>
      </c>
      <c r="C9581" s="1" t="s">
        <v>15</v>
      </c>
      <c r="D9581" s="3">
        <f t="shared" si="1492"/>
        <v>7412</v>
      </c>
      <c r="E9581" s="2">
        <f t="shared" si="1493"/>
        <v>41214</v>
      </c>
      <c r="F9581" s="2">
        <f t="shared" si="1494"/>
        <v>44255</v>
      </c>
    </row>
    <row r="9582" spans="1:6" x14ac:dyDescent="0.25">
      <c r="A9582" s="1" t="s">
        <v>324</v>
      </c>
      <c r="B9582" s="1" t="s">
        <v>323</v>
      </c>
      <c r="C9582" s="1" t="s">
        <v>17</v>
      </c>
      <c r="D9582" s="3">
        <f t="shared" si="1492"/>
        <v>7412</v>
      </c>
      <c r="E9582" s="2">
        <f t="shared" si="1493"/>
        <v>41214</v>
      </c>
      <c r="F9582" s="2">
        <f t="shared" si="1494"/>
        <v>44255</v>
      </c>
    </row>
    <row r="9583" spans="1:6" x14ac:dyDescent="0.25">
      <c r="A9583" s="1" t="s">
        <v>324</v>
      </c>
      <c r="B9583" s="1" t="s">
        <v>323</v>
      </c>
      <c r="C9583" s="1" t="s">
        <v>19</v>
      </c>
      <c r="D9583" s="3">
        <f t="shared" si="1492"/>
        <v>7412</v>
      </c>
      <c r="E9583" s="2">
        <f t="shared" si="1493"/>
        <v>41214</v>
      </c>
      <c r="F9583" s="2">
        <f t="shared" si="1494"/>
        <v>44255</v>
      </c>
    </row>
    <row r="9584" spans="1:6" x14ac:dyDescent="0.25">
      <c r="A9584" s="1" t="s">
        <v>324</v>
      </c>
      <c r="B9584" s="1" t="s">
        <v>323</v>
      </c>
      <c r="C9584" s="1" t="s">
        <v>20</v>
      </c>
      <c r="D9584" s="3">
        <f t="shared" si="1492"/>
        <v>7412</v>
      </c>
      <c r="E9584" s="2">
        <f t="shared" si="1493"/>
        <v>41214</v>
      </c>
      <c r="F9584" s="2">
        <f t="shared" si="1494"/>
        <v>44255</v>
      </c>
    </row>
    <row r="9585" spans="1:6" x14ac:dyDescent="0.25">
      <c r="A9585" s="1" t="s">
        <v>324</v>
      </c>
      <c r="B9585" s="1" t="s">
        <v>323</v>
      </c>
      <c r="C9585" s="1" t="s">
        <v>326</v>
      </c>
      <c r="D9585" s="3">
        <f t="shared" si="1492"/>
        <v>7412</v>
      </c>
      <c r="E9585" s="2">
        <f t="shared" si="1493"/>
        <v>41214</v>
      </c>
      <c r="F9585" s="2">
        <f t="shared" si="1494"/>
        <v>44255</v>
      </c>
    </row>
    <row r="9586" spans="1:6" x14ac:dyDescent="0.25">
      <c r="A9586" s="1" t="s">
        <v>324</v>
      </c>
      <c r="B9586" s="1" t="s">
        <v>323</v>
      </c>
      <c r="C9586" s="1" t="s">
        <v>328</v>
      </c>
      <c r="D9586" s="3">
        <f t="shared" si="1492"/>
        <v>7412</v>
      </c>
      <c r="E9586" s="2">
        <f t="shared" si="1493"/>
        <v>41214</v>
      </c>
      <c r="F9586" s="2">
        <f t="shared" si="1494"/>
        <v>44255</v>
      </c>
    </row>
    <row r="9587" spans="1:6" x14ac:dyDescent="0.25">
      <c r="A9587" s="1" t="s">
        <v>324</v>
      </c>
      <c r="B9587" s="1" t="s">
        <v>323</v>
      </c>
      <c r="C9587" s="1" t="s">
        <v>327</v>
      </c>
      <c r="D9587" s="3">
        <f t="shared" si="1492"/>
        <v>7412</v>
      </c>
      <c r="E9587" s="2">
        <f t="shared" si="1493"/>
        <v>41214</v>
      </c>
      <c r="F9587" s="2">
        <f t="shared" si="1494"/>
        <v>44255</v>
      </c>
    </row>
    <row r="9588" spans="1:6" x14ac:dyDescent="0.25">
      <c r="A9588" s="1" t="s">
        <v>324</v>
      </c>
      <c r="B9588" s="1" t="s">
        <v>323</v>
      </c>
      <c r="C9588" s="1" t="s">
        <v>22</v>
      </c>
      <c r="D9588" s="3">
        <f t="shared" si="1492"/>
        <v>7412</v>
      </c>
      <c r="E9588" s="2">
        <f t="shared" si="1493"/>
        <v>41214</v>
      </c>
      <c r="F9588" s="2">
        <f t="shared" si="1494"/>
        <v>44255</v>
      </c>
    </row>
    <row r="9589" spans="1:6" x14ac:dyDescent="0.25">
      <c r="A9589" s="1" t="s">
        <v>324</v>
      </c>
      <c r="B9589" s="1" t="s">
        <v>323</v>
      </c>
      <c r="C9589" s="1" t="s">
        <v>329</v>
      </c>
      <c r="D9589" s="3">
        <f t="shared" si="1492"/>
        <v>7412</v>
      </c>
      <c r="E9589" s="2">
        <f t="shared" si="1493"/>
        <v>41214</v>
      </c>
      <c r="F9589" s="2">
        <f t="shared" si="1494"/>
        <v>44255</v>
      </c>
    </row>
    <row r="9590" spans="1:6" x14ac:dyDescent="0.25">
      <c r="A9590" s="1" t="s">
        <v>324</v>
      </c>
      <c r="B9590" s="1" t="s">
        <v>323</v>
      </c>
      <c r="C9590" s="1" t="s">
        <v>330</v>
      </c>
      <c r="D9590" s="3">
        <f t="shared" si="1492"/>
        <v>7412</v>
      </c>
      <c r="E9590" s="2">
        <f t="shared" si="1493"/>
        <v>41214</v>
      </c>
      <c r="F9590" s="2">
        <f t="shared" si="1494"/>
        <v>44255</v>
      </c>
    </row>
    <row r="9591" spans="1:6" x14ac:dyDescent="0.25">
      <c r="A9591" s="1" t="s">
        <v>324</v>
      </c>
      <c r="B9591" s="1" t="s">
        <v>323</v>
      </c>
      <c r="C9591" s="1" t="s">
        <v>331</v>
      </c>
      <c r="D9591" s="3">
        <f t="shared" si="1492"/>
        <v>7412</v>
      </c>
      <c r="E9591" s="2">
        <f t="shared" si="1493"/>
        <v>41214</v>
      </c>
      <c r="F9591" s="2">
        <f t="shared" si="1494"/>
        <v>44255</v>
      </c>
    </row>
    <row r="9592" spans="1:6" x14ac:dyDescent="0.25">
      <c r="A9592" s="1" t="s">
        <v>324</v>
      </c>
      <c r="B9592" s="1" t="s">
        <v>323</v>
      </c>
      <c r="C9592" s="1" t="s">
        <v>332</v>
      </c>
      <c r="D9592" s="3">
        <f t="shared" si="1492"/>
        <v>7412</v>
      </c>
      <c r="E9592" s="2">
        <f t="shared" si="1493"/>
        <v>41214</v>
      </c>
      <c r="F9592" s="2">
        <f t="shared" si="1494"/>
        <v>44255</v>
      </c>
    </row>
    <row r="9593" spans="1:6" x14ac:dyDescent="0.25">
      <c r="A9593" s="1" t="s">
        <v>324</v>
      </c>
      <c r="B9593" s="1" t="s">
        <v>323</v>
      </c>
      <c r="C9593" s="1" t="s">
        <v>72</v>
      </c>
      <c r="D9593" s="3">
        <f t="shared" si="1492"/>
        <v>7412</v>
      </c>
      <c r="E9593" s="2">
        <f t="shared" si="1493"/>
        <v>41214</v>
      </c>
      <c r="F9593" s="2">
        <f t="shared" si="1494"/>
        <v>44255</v>
      </c>
    </row>
    <row r="9594" spans="1:6" x14ac:dyDescent="0.25">
      <c r="A9594" s="1" t="s">
        <v>324</v>
      </c>
      <c r="B9594" s="1" t="s">
        <v>323</v>
      </c>
      <c r="C9594" s="1" t="s">
        <v>27</v>
      </c>
      <c r="D9594" s="3">
        <f t="shared" si="1492"/>
        <v>7412</v>
      </c>
      <c r="E9594" s="2">
        <f t="shared" si="1493"/>
        <v>41214</v>
      </c>
      <c r="F9594" s="2">
        <f t="shared" si="1494"/>
        <v>44255</v>
      </c>
    </row>
    <row r="9595" spans="1:6" x14ac:dyDescent="0.25">
      <c r="A9595" s="1" t="s">
        <v>324</v>
      </c>
      <c r="B9595" s="1" t="s">
        <v>323</v>
      </c>
      <c r="C9595" s="1" t="s">
        <v>262</v>
      </c>
      <c r="D9595" s="3">
        <f t="shared" si="1492"/>
        <v>7412</v>
      </c>
      <c r="E9595" s="2">
        <f t="shared" si="1493"/>
        <v>41214</v>
      </c>
      <c r="F9595" s="2">
        <f t="shared" si="1494"/>
        <v>44255</v>
      </c>
    </row>
    <row r="9596" spans="1:6" x14ac:dyDescent="0.25">
      <c r="A9596" s="1" t="s">
        <v>324</v>
      </c>
      <c r="B9596" s="1" t="s">
        <v>323</v>
      </c>
      <c r="C9596" s="1" t="s">
        <v>216</v>
      </c>
      <c r="D9596" s="3">
        <f t="shared" si="1492"/>
        <v>7412</v>
      </c>
      <c r="E9596" s="2">
        <f t="shared" si="1493"/>
        <v>41214</v>
      </c>
      <c r="F9596" s="2">
        <f t="shared" si="1494"/>
        <v>44255</v>
      </c>
    </row>
    <row r="9597" spans="1:6" x14ac:dyDescent="0.25">
      <c r="A9597" s="1" t="s">
        <v>324</v>
      </c>
      <c r="B9597" s="1" t="s">
        <v>323</v>
      </c>
      <c r="C9597" s="1" t="s">
        <v>73</v>
      </c>
      <c r="D9597" s="3">
        <f t="shared" si="1492"/>
        <v>7412</v>
      </c>
      <c r="E9597" s="2">
        <f t="shared" si="1493"/>
        <v>41214</v>
      </c>
      <c r="F9597" s="2">
        <f t="shared" si="1494"/>
        <v>44255</v>
      </c>
    </row>
    <row r="9598" spans="1:6" x14ac:dyDescent="0.25">
      <c r="A9598" s="1" t="s">
        <v>324</v>
      </c>
      <c r="B9598" s="1" t="s">
        <v>323</v>
      </c>
      <c r="C9598" s="1" t="s">
        <v>52</v>
      </c>
      <c r="D9598" s="3">
        <f t="shared" si="1492"/>
        <v>7412</v>
      </c>
      <c r="E9598" s="2">
        <f t="shared" si="1493"/>
        <v>41214</v>
      </c>
      <c r="F9598" s="2">
        <f t="shared" si="1494"/>
        <v>44255</v>
      </c>
    </row>
    <row r="9599" spans="1:6" x14ac:dyDescent="0.25">
      <c r="A9599" s="1" t="s">
        <v>324</v>
      </c>
      <c r="B9599" s="1" t="s">
        <v>323</v>
      </c>
      <c r="C9599" s="1" t="s">
        <v>161</v>
      </c>
      <c r="D9599" s="3">
        <f t="shared" si="1492"/>
        <v>7412</v>
      </c>
      <c r="E9599" s="2">
        <f t="shared" si="1493"/>
        <v>41214</v>
      </c>
      <c r="F9599" s="2">
        <f t="shared" si="1494"/>
        <v>44255</v>
      </c>
    </row>
    <row r="9600" spans="1:6" x14ac:dyDescent="0.25">
      <c r="A9600" s="1" t="s">
        <v>324</v>
      </c>
      <c r="B9600" s="1" t="s">
        <v>323</v>
      </c>
      <c r="C9600" s="1" t="s">
        <v>333</v>
      </c>
      <c r="D9600" s="3">
        <f t="shared" si="1492"/>
        <v>7412</v>
      </c>
      <c r="E9600" s="2">
        <f t="shared" si="1493"/>
        <v>41214</v>
      </c>
      <c r="F9600" s="2">
        <f t="shared" si="1494"/>
        <v>44255</v>
      </c>
    </row>
    <row r="9601" spans="1:6" x14ac:dyDescent="0.25">
      <c r="A9601" s="1" t="s">
        <v>324</v>
      </c>
      <c r="B9601" s="1" t="s">
        <v>323</v>
      </c>
      <c r="C9601" s="1" t="s">
        <v>334</v>
      </c>
      <c r="D9601" s="3">
        <f t="shared" si="1492"/>
        <v>7412</v>
      </c>
      <c r="E9601" s="2">
        <f t="shared" si="1493"/>
        <v>41214</v>
      </c>
      <c r="F9601" s="2">
        <f t="shared" si="1494"/>
        <v>44255</v>
      </c>
    </row>
    <row r="9602" spans="1:6" x14ac:dyDescent="0.25">
      <c r="A9602" s="1" t="s">
        <v>324</v>
      </c>
      <c r="B9602" s="1" t="s">
        <v>2631</v>
      </c>
      <c r="C9602" s="1" t="s">
        <v>620</v>
      </c>
      <c r="D9602" s="3">
        <f>VALUE("7250")</f>
        <v>7250</v>
      </c>
      <c r="E9602" s="2">
        <f>DATEVALUE("1-10-2011")</f>
        <v>40817</v>
      </c>
      <c r="F9602" s="2">
        <f>DATEVALUE("30-6-2012")</f>
        <v>41090</v>
      </c>
    </row>
    <row r="9603" spans="1:6" x14ac:dyDescent="0.25">
      <c r="A9603" s="1" t="s">
        <v>324</v>
      </c>
      <c r="B9603" s="1" t="s">
        <v>1877</v>
      </c>
      <c r="C9603" s="1" t="s">
        <v>46</v>
      </c>
      <c r="D9603" s="3">
        <f t="shared" ref="D9603:D9609" si="1495">VALUE("7215")</f>
        <v>7215</v>
      </c>
      <c r="E9603" s="2">
        <f t="shared" ref="E9603:E9609" si="1496">DATEVALUE("1-7-2011")</f>
        <v>40725</v>
      </c>
      <c r="F9603" s="2">
        <f t="shared" ref="F9603:F9609" si="1497">DATEVALUE("30-9-2016")</f>
        <v>42643</v>
      </c>
    </row>
    <row r="9604" spans="1:6" x14ac:dyDescent="0.25">
      <c r="A9604" s="1" t="s">
        <v>324</v>
      </c>
      <c r="B9604" s="1" t="s">
        <v>1877</v>
      </c>
      <c r="C9604" s="1" t="s">
        <v>66</v>
      </c>
      <c r="D9604" s="3">
        <f t="shared" si="1495"/>
        <v>7215</v>
      </c>
      <c r="E9604" s="2">
        <f t="shared" si="1496"/>
        <v>40725</v>
      </c>
      <c r="F9604" s="2">
        <f t="shared" si="1497"/>
        <v>42643</v>
      </c>
    </row>
    <row r="9605" spans="1:6" x14ac:dyDescent="0.25">
      <c r="A9605" s="1" t="s">
        <v>324</v>
      </c>
      <c r="B9605" s="1" t="s">
        <v>1877</v>
      </c>
      <c r="C9605" s="1" t="s">
        <v>89</v>
      </c>
      <c r="D9605" s="3">
        <f t="shared" si="1495"/>
        <v>7215</v>
      </c>
      <c r="E9605" s="2">
        <f t="shared" si="1496"/>
        <v>40725</v>
      </c>
      <c r="F9605" s="2">
        <f t="shared" si="1497"/>
        <v>42643</v>
      </c>
    </row>
    <row r="9606" spans="1:6" x14ac:dyDescent="0.25">
      <c r="A9606" s="1" t="s">
        <v>324</v>
      </c>
      <c r="B9606" s="1" t="s">
        <v>1877</v>
      </c>
      <c r="C9606" s="1" t="s">
        <v>17</v>
      </c>
      <c r="D9606" s="3">
        <f t="shared" si="1495"/>
        <v>7215</v>
      </c>
      <c r="E9606" s="2">
        <f t="shared" si="1496"/>
        <v>40725</v>
      </c>
      <c r="F9606" s="2">
        <f t="shared" si="1497"/>
        <v>42643</v>
      </c>
    </row>
    <row r="9607" spans="1:6" x14ac:dyDescent="0.25">
      <c r="A9607" s="1" t="s">
        <v>324</v>
      </c>
      <c r="B9607" s="1" t="s">
        <v>1877</v>
      </c>
      <c r="C9607" s="1" t="s">
        <v>22</v>
      </c>
      <c r="D9607" s="3">
        <f t="shared" si="1495"/>
        <v>7215</v>
      </c>
      <c r="E9607" s="2">
        <f t="shared" si="1496"/>
        <v>40725</v>
      </c>
      <c r="F9607" s="2">
        <f t="shared" si="1497"/>
        <v>42643</v>
      </c>
    </row>
    <row r="9608" spans="1:6" x14ac:dyDescent="0.25">
      <c r="A9608" s="1" t="s">
        <v>324</v>
      </c>
      <c r="B9608" s="1" t="s">
        <v>1877</v>
      </c>
      <c r="C9608" s="1" t="s">
        <v>73</v>
      </c>
      <c r="D9608" s="3">
        <f t="shared" si="1495"/>
        <v>7215</v>
      </c>
      <c r="E9608" s="2">
        <f t="shared" si="1496"/>
        <v>40725</v>
      </c>
      <c r="F9608" s="2">
        <f t="shared" si="1497"/>
        <v>42643</v>
      </c>
    </row>
    <row r="9609" spans="1:6" x14ac:dyDescent="0.25">
      <c r="A9609" s="1" t="s">
        <v>324</v>
      </c>
      <c r="B9609" s="1" t="s">
        <v>1877</v>
      </c>
      <c r="C9609" s="1" t="s">
        <v>161</v>
      </c>
      <c r="D9609" s="3">
        <f t="shared" si="1495"/>
        <v>7215</v>
      </c>
      <c r="E9609" s="2">
        <f t="shared" si="1496"/>
        <v>40725</v>
      </c>
      <c r="F9609" s="2">
        <f t="shared" si="1497"/>
        <v>42643</v>
      </c>
    </row>
    <row r="9610" spans="1:6" x14ac:dyDescent="0.25">
      <c r="A9610" s="1" t="s">
        <v>324</v>
      </c>
      <c r="B9610" s="1" t="s">
        <v>1869</v>
      </c>
      <c r="C9610" s="1" t="s">
        <v>325</v>
      </c>
      <c r="D9610" s="3">
        <f t="shared" ref="D9610:D9623" si="1498">VALUE("7081")</f>
        <v>7081</v>
      </c>
      <c r="E9610" s="2">
        <f t="shared" ref="E9610:E9623" si="1499">DATEVALUE("1-7-2010")</f>
        <v>40360</v>
      </c>
      <c r="F9610" s="2">
        <f t="shared" ref="F9610:F9623" si="1500">DATEVALUE("30-6-2017")</f>
        <v>42916</v>
      </c>
    </row>
    <row r="9611" spans="1:6" x14ac:dyDescent="0.25">
      <c r="A9611" s="1" t="s">
        <v>324</v>
      </c>
      <c r="B9611" s="1" t="s">
        <v>1869</v>
      </c>
      <c r="C9611" s="1" t="s">
        <v>46</v>
      </c>
      <c r="D9611" s="3">
        <f t="shared" si="1498"/>
        <v>7081</v>
      </c>
      <c r="E9611" s="2">
        <f t="shared" si="1499"/>
        <v>40360</v>
      </c>
      <c r="F9611" s="2">
        <f t="shared" si="1500"/>
        <v>42916</v>
      </c>
    </row>
    <row r="9612" spans="1:6" x14ac:dyDescent="0.25">
      <c r="A9612" s="1" t="s">
        <v>324</v>
      </c>
      <c r="B9612" s="1" t="s">
        <v>1869</v>
      </c>
      <c r="C9612" s="1" t="s">
        <v>66</v>
      </c>
      <c r="D9612" s="3">
        <f t="shared" si="1498"/>
        <v>7081</v>
      </c>
      <c r="E9612" s="2">
        <f t="shared" si="1499"/>
        <v>40360</v>
      </c>
      <c r="F9612" s="2">
        <f t="shared" si="1500"/>
        <v>42916</v>
      </c>
    </row>
    <row r="9613" spans="1:6" x14ac:dyDescent="0.25">
      <c r="A9613" s="1" t="s">
        <v>324</v>
      </c>
      <c r="B9613" s="1" t="s">
        <v>1869</v>
      </c>
      <c r="C9613" s="1" t="s">
        <v>15</v>
      </c>
      <c r="D9613" s="3">
        <f t="shared" si="1498"/>
        <v>7081</v>
      </c>
      <c r="E9613" s="2">
        <f t="shared" si="1499"/>
        <v>40360</v>
      </c>
      <c r="F9613" s="2">
        <f t="shared" si="1500"/>
        <v>42916</v>
      </c>
    </row>
    <row r="9614" spans="1:6" x14ac:dyDescent="0.25">
      <c r="A9614" s="1" t="s">
        <v>324</v>
      </c>
      <c r="B9614" s="1" t="s">
        <v>1869</v>
      </c>
      <c r="C9614" s="1" t="s">
        <v>89</v>
      </c>
      <c r="D9614" s="3">
        <f t="shared" si="1498"/>
        <v>7081</v>
      </c>
      <c r="E9614" s="2">
        <f t="shared" si="1499"/>
        <v>40360</v>
      </c>
      <c r="F9614" s="2">
        <f t="shared" si="1500"/>
        <v>42916</v>
      </c>
    </row>
    <row r="9615" spans="1:6" x14ac:dyDescent="0.25">
      <c r="A9615" s="1" t="s">
        <v>324</v>
      </c>
      <c r="B9615" s="1" t="s">
        <v>1869</v>
      </c>
      <c r="C9615" s="1" t="s">
        <v>17</v>
      </c>
      <c r="D9615" s="3">
        <f t="shared" si="1498"/>
        <v>7081</v>
      </c>
      <c r="E9615" s="2">
        <f t="shared" si="1499"/>
        <v>40360</v>
      </c>
      <c r="F9615" s="2">
        <f t="shared" si="1500"/>
        <v>42916</v>
      </c>
    </row>
    <row r="9616" spans="1:6" x14ac:dyDescent="0.25">
      <c r="A9616" s="1" t="s">
        <v>324</v>
      </c>
      <c r="B9616" s="1" t="s">
        <v>1869</v>
      </c>
      <c r="C9616" s="1" t="s">
        <v>148</v>
      </c>
      <c r="D9616" s="3">
        <f t="shared" si="1498"/>
        <v>7081</v>
      </c>
      <c r="E9616" s="2">
        <f t="shared" si="1499"/>
        <v>40360</v>
      </c>
      <c r="F9616" s="2">
        <f t="shared" si="1500"/>
        <v>42916</v>
      </c>
    </row>
    <row r="9617" spans="1:6" x14ac:dyDescent="0.25">
      <c r="A9617" s="1" t="s">
        <v>324</v>
      </c>
      <c r="B9617" s="1" t="s">
        <v>1869</v>
      </c>
      <c r="C9617" s="1" t="s">
        <v>149</v>
      </c>
      <c r="D9617" s="3">
        <f t="shared" si="1498"/>
        <v>7081</v>
      </c>
      <c r="E9617" s="2">
        <f t="shared" si="1499"/>
        <v>40360</v>
      </c>
      <c r="F9617" s="2">
        <f t="shared" si="1500"/>
        <v>42916</v>
      </c>
    </row>
    <row r="9618" spans="1:6" x14ac:dyDescent="0.25">
      <c r="A9618" s="1" t="s">
        <v>324</v>
      </c>
      <c r="B9618" s="1" t="s">
        <v>1869</v>
      </c>
      <c r="C9618" s="1" t="s">
        <v>92</v>
      </c>
      <c r="D9618" s="3">
        <f t="shared" si="1498"/>
        <v>7081</v>
      </c>
      <c r="E9618" s="2">
        <f t="shared" si="1499"/>
        <v>40360</v>
      </c>
      <c r="F9618" s="2">
        <f t="shared" si="1500"/>
        <v>42916</v>
      </c>
    </row>
    <row r="9619" spans="1:6" x14ac:dyDescent="0.25">
      <c r="A9619" s="1" t="s">
        <v>324</v>
      </c>
      <c r="B9619" s="1" t="s">
        <v>1869</v>
      </c>
      <c r="C9619" s="1" t="s">
        <v>102</v>
      </c>
      <c r="D9619" s="3">
        <f t="shared" si="1498"/>
        <v>7081</v>
      </c>
      <c r="E9619" s="2">
        <f t="shared" si="1499"/>
        <v>40360</v>
      </c>
      <c r="F9619" s="2">
        <f t="shared" si="1500"/>
        <v>42916</v>
      </c>
    </row>
    <row r="9620" spans="1:6" x14ac:dyDescent="0.25">
      <c r="A9620" s="1" t="s">
        <v>324</v>
      </c>
      <c r="B9620" s="1" t="s">
        <v>1869</v>
      </c>
      <c r="C9620" s="1" t="s">
        <v>103</v>
      </c>
      <c r="D9620" s="3">
        <f t="shared" si="1498"/>
        <v>7081</v>
      </c>
      <c r="E9620" s="2">
        <f t="shared" si="1499"/>
        <v>40360</v>
      </c>
      <c r="F9620" s="2">
        <f t="shared" si="1500"/>
        <v>42916</v>
      </c>
    </row>
    <row r="9621" spans="1:6" x14ac:dyDescent="0.25">
      <c r="A9621" s="1" t="s">
        <v>324</v>
      </c>
      <c r="B9621" s="1" t="s">
        <v>1869</v>
      </c>
      <c r="C9621" s="1" t="s">
        <v>216</v>
      </c>
      <c r="D9621" s="3">
        <f t="shared" si="1498"/>
        <v>7081</v>
      </c>
      <c r="E9621" s="2">
        <f t="shared" si="1499"/>
        <v>40360</v>
      </c>
      <c r="F9621" s="2">
        <f t="shared" si="1500"/>
        <v>42916</v>
      </c>
    </row>
    <row r="9622" spans="1:6" x14ac:dyDescent="0.25">
      <c r="A9622" s="1" t="s">
        <v>324</v>
      </c>
      <c r="B9622" s="1" t="s">
        <v>1869</v>
      </c>
      <c r="C9622" s="1" t="s">
        <v>133</v>
      </c>
      <c r="D9622" s="3">
        <f t="shared" si="1498"/>
        <v>7081</v>
      </c>
      <c r="E9622" s="2">
        <f t="shared" si="1499"/>
        <v>40360</v>
      </c>
      <c r="F9622" s="2">
        <f t="shared" si="1500"/>
        <v>42916</v>
      </c>
    </row>
    <row r="9623" spans="1:6" x14ac:dyDescent="0.25">
      <c r="A9623" s="1" t="s">
        <v>324</v>
      </c>
      <c r="B9623" s="1" t="s">
        <v>1869</v>
      </c>
      <c r="C9623" s="1" t="s">
        <v>134</v>
      </c>
      <c r="D9623" s="3">
        <f t="shared" si="1498"/>
        <v>7081</v>
      </c>
      <c r="E9623" s="2">
        <f t="shared" si="1499"/>
        <v>40360</v>
      </c>
      <c r="F9623" s="2">
        <f t="shared" si="1500"/>
        <v>42916</v>
      </c>
    </row>
    <row r="9624" spans="1:6" x14ac:dyDescent="0.25">
      <c r="A9624" s="1" t="s">
        <v>285</v>
      </c>
      <c r="B9624" s="1" t="s">
        <v>1173</v>
      </c>
      <c r="C9624" s="1" t="s">
        <v>286</v>
      </c>
      <c r="D9624" s="3">
        <f>VALUE("8445")</f>
        <v>8445</v>
      </c>
      <c r="E9624" s="2">
        <f>DATEVALUE("1-2-2019")</f>
        <v>43497</v>
      </c>
      <c r="F9624" s="2">
        <f>DATEVALUE("31-12-2020")</f>
        <v>44196</v>
      </c>
    </row>
    <row r="9625" spans="1:6" x14ac:dyDescent="0.25">
      <c r="A9625" s="1" t="s">
        <v>285</v>
      </c>
      <c r="B9625" s="1" t="s">
        <v>1173</v>
      </c>
      <c r="C9625" s="1" t="s">
        <v>924</v>
      </c>
      <c r="D9625" s="3">
        <f>VALUE("8445")</f>
        <v>8445</v>
      </c>
      <c r="E9625" s="2">
        <f>DATEVALUE("1-2-2019")</f>
        <v>43497</v>
      </c>
      <c r="F9625" s="2">
        <f>DATEVALUE("31-12-2020")</f>
        <v>44196</v>
      </c>
    </row>
    <row r="9626" spans="1:6" x14ac:dyDescent="0.25">
      <c r="A9626" s="1" t="s">
        <v>285</v>
      </c>
      <c r="B9626" s="1" t="s">
        <v>1024</v>
      </c>
      <c r="C9626" s="1" t="s">
        <v>286</v>
      </c>
      <c r="D9626" s="3">
        <f>VALUE("8305")</f>
        <v>8305</v>
      </c>
      <c r="E9626" s="2">
        <f>DATEVALUE("1-9-2018")</f>
        <v>43344</v>
      </c>
      <c r="F9626" s="2">
        <f>DATEVALUE("31-12-2020")</f>
        <v>44196</v>
      </c>
    </row>
    <row r="9627" spans="1:6" x14ac:dyDescent="0.25">
      <c r="A9627" s="1" t="s">
        <v>285</v>
      </c>
      <c r="B9627" s="1" t="s">
        <v>1024</v>
      </c>
      <c r="C9627" s="1" t="s">
        <v>924</v>
      </c>
      <c r="D9627" s="3">
        <f>VALUE("8305")</f>
        <v>8305</v>
      </c>
      <c r="E9627" s="2">
        <f>DATEVALUE("1-9-2018")</f>
        <v>43344</v>
      </c>
      <c r="F9627" s="2">
        <f>DATEVALUE("31-12-2020")</f>
        <v>44196</v>
      </c>
    </row>
    <row r="9628" spans="1:6" x14ac:dyDescent="0.25">
      <c r="A9628" s="1" t="s">
        <v>285</v>
      </c>
      <c r="B9628" s="1" t="s">
        <v>1761</v>
      </c>
      <c r="C9628" s="1" t="s">
        <v>286</v>
      </c>
      <c r="D9628" s="3">
        <f>VALUE("8045")</f>
        <v>8045</v>
      </c>
      <c r="E9628" s="2">
        <f>DATEVALUE("1-3-2017")</f>
        <v>42795</v>
      </c>
      <c r="F9628" s="2">
        <f>DATEVALUE("31-3-2020")</f>
        <v>43921</v>
      </c>
    </row>
    <row r="9629" spans="1:6" x14ac:dyDescent="0.25">
      <c r="A9629" s="1" t="s">
        <v>285</v>
      </c>
      <c r="B9629" s="1" t="s">
        <v>1761</v>
      </c>
      <c r="C9629" s="1" t="s">
        <v>924</v>
      </c>
      <c r="D9629" s="3">
        <f>VALUE("8045")</f>
        <v>8045</v>
      </c>
      <c r="E9629" s="2">
        <f>DATEVALUE("1-3-2017")</f>
        <v>42795</v>
      </c>
      <c r="F9629" s="2">
        <f>DATEVALUE("31-3-2020")</f>
        <v>43921</v>
      </c>
    </row>
    <row r="9630" spans="1:6" x14ac:dyDescent="0.25">
      <c r="A9630" s="1" t="s">
        <v>285</v>
      </c>
      <c r="B9630" s="1" t="s">
        <v>2177</v>
      </c>
      <c r="C9630" s="1" t="s">
        <v>15</v>
      </c>
      <c r="D9630" s="3">
        <f t="shared" ref="D9630:D9636" si="1501">VALUE("7685")</f>
        <v>7685</v>
      </c>
      <c r="E9630" s="2">
        <f t="shared" ref="E9630:E9636" si="1502">DATEVALUE("1-11-2014")</f>
        <v>41944</v>
      </c>
      <c r="F9630" s="2">
        <f t="shared" ref="F9630:F9636" si="1503">DATEVALUE("31-7-2016")</f>
        <v>42582</v>
      </c>
    </row>
    <row r="9631" spans="1:6" x14ac:dyDescent="0.25">
      <c r="A9631" s="1" t="s">
        <v>285</v>
      </c>
      <c r="B9631" s="1" t="s">
        <v>2177</v>
      </c>
      <c r="C9631" s="1" t="s">
        <v>17</v>
      </c>
      <c r="D9631" s="3">
        <f t="shared" si="1501"/>
        <v>7685</v>
      </c>
      <c r="E9631" s="2">
        <f t="shared" si="1502"/>
        <v>41944</v>
      </c>
      <c r="F9631" s="2">
        <f t="shared" si="1503"/>
        <v>42582</v>
      </c>
    </row>
    <row r="9632" spans="1:6" x14ac:dyDescent="0.25">
      <c r="A9632" s="1" t="s">
        <v>285</v>
      </c>
      <c r="B9632" s="1" t="s">
        <v>2177</v>
      </c>
      <c r="C9632" s="1" t="s">
        <v>22</v>
      </c>
      <c r="D9632" s="3">
        <f t="shared" si="1501"/>
        <v>7685</v>
      </c>
      <c r="E9632" s="2">
        <f t="shared" si="1502"/>
        <v>41944</v>
      </c>
      <c r="F9632" s="2">
        <f t="shared" si="1503"/>
        <v>42582</v>
      </c>
    </row>
    <row r="9633" spans="1:6" x14ac:dyDescent="0.25">
      <c r="A9633" s="1" t="s">
        <v>285</v>
      </c>
      <c r="B9633" s="1" t="s">
        <v>2177</v>
      </c>
      <c r="C9633" s="1" t="s">
        <v>286</v>
      </c>
      <c r="D9633" s="3">
        <f t="shared" si="1501"/>
        <v>7685</v>
      </c>
      <c r="E9633" s="2">
        <f t="shared" si="1502"/>
        <v>41944</v>
      </c>
      <c r="F9633" s="2">
        <f t="shared" si="1503"/>
        <v>42582</v>
      </c>
    </row>
    <row r="9634" spans="1:6" x14ac:dyDescent="0.25">
      <c r="A9634" s="1" t="s">
        <v>285</v>
      </c>
      <c r="B9634" s="1" t="s">
        <v>2177</v>
      </c>
      <c r="C9634" s="1" t="s">
        <v>147</v>
      </c>
      <c r="D9634" s="3">
        <f t="shared" si="1501"/>
        <v>7685</v>
      </c>
      <c r="E9634" s="2">
        <f t="shared" si="1502"/>
        <v>41944</v>
      </c>
      <c r="F9634" s="2">
        <f t="shared" si="1503"/>
        <v>42582</v>
      </c>
    </row>
    <row r="9635" spans="1:6" x14ac:dyDescent="0.25">
      <c r="A9635" s="1" t="s">
        <v>285</v>
      </c>
      <c r="B9635" s="1" t="s">
        <v>2177</v>
      </c>
      <c r="C9635" s="1" t="s">
        <v>148</v>
      </c>
      <c r="D9635" s="3">
        <f t="shared" si="1501"/>
        <v>7685</v>
      </c>
      <c r="E9635" s="2">
        <f t="shared" si="1502"/>
        <v>41944</v>
      </c>
      <c r="F9635" s="2">
        <f t="shared" si="1503"/>
        <v>42582</v>
      </c>
    </row>
    <row r="9636" spans="1:6" x14ac:dyDescent="0.25">
      <c r="A9636" s="1" t="s">
        <v>285</v>
      </c>
      <c r="B9636" s="1" t="s">
        <v>2177</v>
      </c>
      <c r="C9636" s="1" t="s">
        <v>94</v>
      </c>
      <c r="D9636" s="3">
        <f t="shared" si="1501"/>
        <v>7685</v>
      </c>
      <c r="E9636" s="2">
        <f t="shared" si="1502"/>
        <v>41944</v>
      </c>
      <c r="F9636" s="2">
        <f t="shared" si="1503"/>
        <v>42582</v>
      </c>
    </row>
    <row r="9637" spans="1:6" x14ac:dyDescent="0.25">
      <c r="A9637" s="1" t="s">
        <v>285</v>
      </c>
      <c r="B9637" s="1" t="s">
        <v>1925</v>
      </c>
      <c r="C9637" s="1" t="s">
        <v>85</v>
      </c>
      <c r="D9637" s="3">
        <f t="shared" ref="D9637:D9648" si="1504">VALUE("7583")</f>
        <v>7583</v>
      </c>
      <c r="E9637" s="2">
        <f t="shared" ref="E9637:E9648" si="1505">DATEVALUE("1-3-2014")</f>
        <v>41699</v>
      </c>
      <c r="F9637" s="2">
        <f t="shared" ref="F9637:F9648" si="1506">DATEVALUE("31-8-2015")</f>
        <v>42247</v>
      </c>
    </row>
    <row r="9638" spans="1:6" x14ac:dyDescent="0.25">
      <c r="A9638" s="1" t="s">
        <v>285</v>
      </c>
      <c r="B9638" s="1" t="s">
        <v>1925</v>
      </c>
      <c r="C9638" s="1" t="s">
        <v>46</v>
      </c>
      <c r="D9638" s="3">
        <f t="shared" si="1504"/>
        <v>7583</v>
      </c>
      <c r="E9638" s="2">
        <f t="shared" si="1505"/>
        <v>41699</v>
      </c>
      <c r="F9638" s="2">
        <f t="shared" si="1506"/>
        <v>42247</v>
      </c>
    </row>
    <row r="9639" spans="1:6" x14ac:dyDescent="0.25">
      <c r="A9639" s="1" t="s">
        <v>285</v>
      </c>
      <c r="B9639" s="1" t="s">
        <v>1925</v>
      </c>
      <c r="C9639" s="1" t="s">
        <v>17</v>
      </c>
      <c r="D9639" s="3">
        <f t="shared" si="1504"/>
        <v>7583</v>
      </c>
      <c r="E9639" s="2">
        <f t="shared" si="1505"/>
        <v>41699</v>
      </c>
      <c r="F9639" s="2">
        <f t="shared" si="1506"/>
        <v>42247</v>
      </c>
    </row>
    <row r="9640" spans="1:6" x14ac:dyDescent="0.25">
      <c r="A9640" s="1" t="s">
        <v>285</v>
      </c>
      <c r="B9640" s="1" t="s">
        <v>1925</v>
      </c>
      <c r="C9640" s="1" t="s">
        <v>91</v>
      </c>
      <c r="D9640" s="3">
        <f t="shared" si="1504"/>
        <v>7583</v>
      </c>
      <c r="E9640" s="2">
        <f t="shared" si="1505"/>
        <v>41699</v>
      </c>
      <c r="F9640" s="2">
        <f t="shared" si="1506"/>
        <v>42247</v>
      </c>
    </row>
    <row r="9641" spans="1:6" x14ac:dyDescent="0.25">
      <c r="A9641" s="1" t="s">
        <v>285</v>
      </c>
      <c r="B9641" s="1" t="s">
        <v>1925</v>
      </c>
      <c r="C9641" s="1" t="s">
        <v>22</v>
      </c>
      <c r="D9641" s="3">
        <f t="shared" si="1504"/>
        <v>7583</v>
      </c>
      <c r="E9641" s="2">
        <f t="shared" si="1505"/>
        <v>41699</v>
      </c>
      <c r="F9641" s="2">
        <f t="shared" si="1506"/>
        <v>42247</v>
      </c>
    </row>
    <row r="9642" spans="1:6" x14ac:dyDescent="0.25">
      <c r="A9642" s="1" t="s">
        <v>285</v>
      </c>
      <c r="B9642" s="1" t="s">
        <v>1925</v>
      </c>
      <c r="C9642" s="1" t="s">
        <v>286</v>
      </c>
      <c r="D9642" s="3">
        <f t="shared" si="1504"/>
        <v>7583</v>
      </c>
      <c r="E9642" s="2">
        <f t="shared" si="1505"/>
        <v>41699</v>
      </c>
      <c r="F9642" s="2">
        <f t="shared" si="1506"/>
        <v>42247</v>
      </c>
    </row>
    <row r="9643" spans="1:6" x14ac:dyDescent="0.25">
      <c r="A9643" s="1" t="s">
        <v>285</v>
      </c>
      <c r="B9643" s="1" t="s">
        <v>1925</v>
      </c>
      <c r="C9643" s="1" t="s">
        <v>148</v>
      </c>
      <c r="D9643" s="3">
        <f t="shared" si="1504"/>
        <v>7583</v>
      </c>
      <c r="E9643" s="2">
        <f t="shared" si="1505"/>
        <v>41699</v>
      </c>
      <c r="F9643" s="2">
        <f t="shared" si="1506"/>
        <v>42247</v>
      </c>
    </row>
    <row r="9644" spans="1:6" x14ac:dyDescent="0.25">
      <c r="A9644" s="1" t="s">
        <v>285</v>
      </c>
      <c r="B9644" s="1" t="s">
        <v>1925</v>
      </c>
      <c r="C9644" s="1" t="s">
        <v>102</v>
      </c>
      <c r="D9644" s="3">
        <f t="shared" si="1504"/>
        <v>7583</v>
      </c>
      <c r="E9644" s="2">
        <f t="shared" si="1505"/>
        <v>41699</v>
      </c>
      <c r="F9644" s="2">
        <f t="shared" si="1506"/>
        <v>42247</v>
      </c>
    </row>
    <row r="9645" spans="1:6" x14ac:dyDescent="0.25">
      <c r="A9645" s="1" t="s">
        <v>285</v>
      </c>
      <c r="B9645" s="1" t="s">
        <v>1925</v>
      </c>
      <c r="C9645" s="1" t="s">
        <v>103</v>
      </c>
      <c r="D9645" s="3">
        <f t="shared" si="1504"/>
        <v>7583</v>
      </c>
      <c r="E9645" s="2">
        <f t="shared" si="1505"/>
        <v>41699</v>
      </c>
      <c r="F9645" s="2">
        <f t="shared" si="1506"/>
        <v>42247</v>
      </c>
    </row>
    <row r="9646" spans="1:6" x14ac:dyDescent="0.25">
      <c r="A9646" s="1" t="s">
        <v>285</v>
      </c>
      <c r="B9646" s="1" t="s">
        <v>1925</v>
      </c>
      <c r="C9646" s="1" t="s">
        <v>216</v>
      </c>
      <c r="D9646" s="3">
        <f t="shared" si="1504"/>
        <v>7583</v>
      </c>
      <c r="E9646" s="2">
        <f t="shared" si="1505"/>
        <v>41699</v>
      </c>
      <c r="F9646" s="2">
        <f t="shared" si="1506"/>
        <v>42247</v>
      </c>
    </row>
    <row r="9647" spans="1:6" x14ac:dyDescent="0.25">
      <c r="A9647" s="1" t="s">
        <v>285</v>
      </c>
      <c r="B9647" s="1" t="s">
        <v>1925</v>
      </c>
      <c r="C9647" s="1" t="s">
        <v>309</v>
      </c>
      <c r="D9647" s="3">
        <f t="shared" si="1504"/>
        <v>7583</v>
      </c>
      <c r="E9647" s="2">
        <f t="shared" si="1505"/>
        <v>41699</v>
      </c>
      <c r="F9647" s="2">
        <f t="shared" si="1506"/>
        <v>42247</v>
      </c>
    </row>
    <row r="9648" spans="1:6" x14ac:dyDescent="0.25">
      <c r="A9648" s="1" t="s">
        <v>285</v>
      </c>
      <c r="B9648" s="1" t="s">
        <v>1925</v>
      </c>
      <c r="C9648" s="1" t="s">
        <v>164</v>
      </c>
      <c r="D9648" s="3">
        <f t="shared" si="1504"/>
        <v>7583</v>
      </c>
      <c r="E9648" s="2">
        <f t="shared" si="1505"/>
        <v>41699</v>
      </c>
      <c r="F9648" s="2">
        <f t="shared" si="1506"/>
        <v>42247</v>
      </c>
    </row>
    <row r="9649" spans="1:6" x14ac:dyDescent="0.25">
      <c r="A9649" s="1" t="s">
        <v>285</v>
      </c>
      <c r="B9649" s="1" t="s">
        <v>284</v>
      </c>
      <c r="C9649" s="1" t="s">
        <v>286</v>
      </c>
      <c r="D9649" s="3">
        <f>VALUE("7308")</f>
        <v>7308</v>
      </c>
      <c r="E9649" s="2">
        <f>DATEVALUE("1-11-2013")</f>
        <v>41579</v>
      </c>
      <c r="F9649" s="2">
        <f>DATEVALUE("31-12-2020")</f>
        <v>44196</v>
      </c>
    </row>
    <row r="9650" spans="1:6" x14ac:dyDescent="0.25">
      <c r="A9650" s="1" t="s">
        <v>1263</v>
      </c>
      <c r="B9650" s="1" t="s">
        <v>1262</v>
      </c>
      <c r="C9650" s="1" t="s">
        <v>62</v>
      </c>
      <c r="D9650" s="3">
        <f t="shared" ref="D9650:D9664" si="1507">VALUE("8514")</f>
        <v>8514</v>
      </c>
      <c r="E9650" s="2">
        <f t="shared" ref="E9650:E9664" si="1508">DATEVALUE("1-9-2019")</f>
        <v>43709</v>
      </c>
      <c r="F9650" s="2">
        <f t="shared" ref="F9650:F9664" si="1509">DATEVALUE("30-12-2020")</f>
        <v>44195</v>
      </c>
    </row>
    <row r="9651" spans="1:6" x14ac:dyDescent="0.25">
      <c r="A9651" s="1" t="s">
        <v>1263</v>
      </c>
      <c r="B9651" s="1" t="s">
        <v>1262</v>
      </c>
      <c r="C9651" s="1" t="s">
        <v>63</v>
      </c>
      <c r="D9651" s="3">
        <f t="shared" si="1507"/>
        <v>8514</v>
      </c>
      <c r="E9651" s="2">
        <f t="shared" si="1508"/>
        <v>43709</v>
      </c>
      <c r="F9651" s="2">
        <f t="shared" si="1509"/>
        <v>44195</v>
      </c>
    </row>
    <row r="9652" spans="1:6" x14ac:dyDescent="0.25">
      <c r="A9652" s="1" t="s">
        <v>1263</v>
      </c>
      <c r="B9652" s="1" t="s">
        <v>1262</v>
      </c>
      <c r="C9652" s="1" t="s">
        <v>414</v>
      </c>
      <c r="D9652" s="3">
        <f t="shared" si="1507"/>
        <v>8514</v>
      </c>
      <c r="E9652" s="2">
        <f t="shared" si="1508"/>
        <v>43709</v>
      </c>
      <c r="F9652" s="2">
        <f t="shared" si="1509"/>
        <v>44195</v>
      </c>
    </row>
    <row r="9653" spans="1:6" x14ac:dyDescent="0.25">
      <c r="A9653" s="1" t="s">
        <v>1263</v>
      </c>
      <c r="B9653" s="1" t="s">
        <v>1262</v>
      </c>
      <c r="C9653" s="1" t="s">
        <v>65</v>
      </c>
      <c r="D9653" s="3">
        <f t="shared" si="1507"/>
        <v>8514</v>
      </c>
      <c r="E9653" s="2">
        <f t="shared" si="1508"/>
        <v>43709</v>
      </c>
      <c r="F9653" s="2">
        <f t="shared" si="1509"/>
        <v>44195</v>
      </c>
    </row>
    <row r="9654" spans="1:6" x14ac:dyDescent="0.25">
      <c r="A9654" s="1" t="s">
        <v>1263</v>
      </c>
      <c r="B9654" s="1" t="s">
        <v>1262</v>
      </c>
      <c r="C9654" s="1" t="s">
        <v>14</v>
      </c>
      <c r="D9654" s="3">
        <f t="shared" si="1507"/>
        <v>8514</v>
      </c>
      <c r="E9654" s="2">
        <f t="shared" si="1508"/>
        <v>43709</v>
      </c>
      <c r="F9654" s="2">
        <f t="shared" si="1509"/>
        <v>44195</v>
      </c>
    </row>
    <row r="9655" spans="1:6" x14ac:dyDescent="0.25">
      <c r="A9655" s="1" t="s">
        <v>1263</v>
      </c>
      <c r="B9655" s="1" t="s">
        <v>1262</v>
      </c>
      <c r="C9655" s="1" t="s">
        <v>15</v>
      </c>
      <c r="D9655" s="3">
        <f t="shared" si="1507"/>
        <v>8514</v>
      </c>
      <c r="E9655" s="2">
        <f t="shared" si="1508"/>
        <v>43709</v>
      </c>
      <c r="F9655" s="2">
        <f t="shared" si="1509"/>
        <v>44195</v>
      </c>
    </row>
    <row r="9656" spans="1:6" x14ac:dyDescent="0.25">
      <c r="A9656" s="1" t="s">
        <v>1263</v>
      </c>
      <c r="B9656" s="1" t="s">
        <v>1262</v>
      </c>
      <c r="C9656" s="1" t="s">
        <v>17</v>
      </c>
      <c r="D9656" s="3">
        <f t="shared" si="1507"/>
        <v>8514</v>
      </c>
      <c r="E9656" s="2">
        <f t="shared" si="1508"/>
        <v>43709</v>
      </c>
      <c r="F9656" s="2">
        <f t="shared" si="1509"/>
        <v>44195</v>
      </c>
    </row>
    <row r="9657" spans="1:6" x14ac:dyDescent="0.25">
      <c r="A9657" s="1" t="s">
        <v>1263</v>
      </c>
      <c r="B9657" s="1" t="s">
        <v>1262</v>
      </c>
      <c r="C9657" s="1" t="s">
        <v>22</v>
      </c>
      <c r="D9657" s="3">
        <f t="shared" si="1507"/>
        <v>8514</v>
      </c>
      <c r="E9657" s="2">
        <f t="shared" si="1508"/>
        <v>43709</v>
      </c>
      <c r="F9657" s="2">
        <f t="shared" si="1509"/>
        <v>44195</v>
      </c>
    </row>
    <row r="9658" spans="1:6" x14ac:dyDescent="0.25">
      <c r="A9658" s="1" t="s">
        <v>1263</v>
      </c>
      <c r="B9658" s="1" t="s">
        <v>1262</v>
      </c>
      <c r="C9658" s="1" t="s">
        <v>146</v>
      </c>
      <c r="D9658" s="3">
        <f t="shared" si="1507"/>
        <v>8514</v>
      </c>
      <c r="E9658" s="2">
        <f t="shared" si="1508"/>
        <v>43709</v>
      </c>
      <c r="F9658" s="2">
        <f t="shared" si="1509"/>
        <v>44195</v>
      </c>
    </row>
    <row r="9659" spans="1:6" x14ac:dyDescent="0.25">
      <c r="A9659" s="1" t="s">
        <v>1263</v>
      </c>
      <c r="B9659" s="1" t="s">
        <v>1262</v>
      </c>
      <c r="C9659" s="1" t="s">
        <v>147</v>
      </c>
      <c r="D9659" s="3">
        <f t="shared" si="1507"/>
        <v>8514</v>
      </c>
      <c r="E9659" s="2">
        <f t="shared" si="1508"/>
        <v>43709</v>
      </c>
      <c r="F9659" s="2">
        <f t="shared" si="1509"/>
        <v>44195</v>
      </c>
    </row>
    <row r="9660" spans="1:6" x14ac:dyDescent="0.25">
      <c r="A9660" s="1" t="s">
        <v>1263</v>
      </c>
      <c r="B9660" s="1" t="s">
        <v>1262</v>
      </c>
      <c r="C9660" s="1" t="s">
        <v>92</v>
      </c>
      <c r="D9660" s="3">
        <f t="shared" si="1507"/>
        <v>8514</v>
      </c>
      <c r="E9660" s="2">
        <f t="shared" si="1508"/>
        <v>43709</v>
      </c>
      <c r="F9660" s="2">
        <f t="shared" si="1509"/>
        <v>44195</v>
      </c>
    </row>
    <row r="9661" spans="1:6" x14ac:dyDescent="0.25">
      <c r="A9661" s="1" t="s">
        <v>1263</v>
      </c>
      <c r="B9661" s="1" t="s">
        <v>1262</v>
      </c>
      <c r="C9661" s="1" t="s">
        <v>24</v>
      </c>
      <c r="D9661" s="3">
        <f t="shared" si="1507"/>
        <v>8514</v>
      </c>
      <c r="E9661" s="2">
        <f t="shared" si="1508"/>
        <v>43709</v>
      </c>
      <c r="F9661" s="2">
        <f t="shared" si="1509"/>
        <v>44195</v>
      </c>
    </row>
    <row r="9662" spans="1:6" x14ac:dyDescent="0.25">
      <c r="A9662" s="1" t="s">
        <v>1263</v>
      </c>
      <c r="B9662" s="1" t="s">
        <v>1262</v>
      </c>
      <c r="C9662" s="1" t="s">
        <v>70</v>
      </c>
      <c r="D9662" s="3">
        <f t="shared" si="1507"/>
        <v>8514</v>
      </c>
      <c r="E9662" s="2">
        <f t="shared" si="1508"/>
        <v>43709</v>
      </c>
      <c r="F9662" s="2">
        <f t="shared" si="1509"/>
        <v>44195</v>
      </c>
    </row>
    <row r="9663" spans="1:6" x14ac:dyDescent="0.25">
      <c r="A9663" s="1" t="s">
        <v>1263</v>
      </c>
      <c r="B9663" s="1" t="s">
        <v>1262</v>
      </c>
      <c r="C9663" s="1" t="s">
        <v>73</v>
      </c>
      <c r="D9663" s="3">
        <f t="shared" si="1507"/>
        <v>8514</v>
      </c>
      <c r="E9663" s="2">
        <f t="shared" si="1508"/>
        <v>43709</v>
      </c>
      <c r="F9663" s="2">
        <f t="shared" si="1509"/>
        <v>44195</v>
      </c>
    </row>
    <row r="9664" spans="1:6" x14ac:dyDescent="0.25">
      <c r="A9664" s="1" t="s">
        <v>1263</v>
      </c>
      <c r="B9664" s="1" t="s">
        <v>1262</v>
      </c>
      <c r="C9664" s="1" t="s">
        <v>34</v>
      </c>
      <c r="D9664" s="3">
        <f t="shared" si="1507"/>
        <v>8514</v>
      </c>
      <c r="E9664" s="2">
        <f t="shared" si="1508"/>
        <v>43709</v>
      </c>
      <c r="F9664" s="2">
        <f t="shared" si="1509"/>
        <v>44195</v>
      </c>
    </row>
    <row r="9665" spans="1:6" x14ac:dyDescent="0.25">
      <c r="A9665" s="1" t="s">
        <v>1263</v>
      </c>
      <c r="B9665" s="1" t="s">
        <v>2444</v>
      </c>
      <c r="C9665" s="1" t="s">
        <v>289</v>
      </c>
      <c r="D9665" s="3">
        <f t="shared" ref="D9665:D9674" si="1510">VALUE("8515")</f>
        <v>8515</v>
      </c>
      <c r="E9665" s="2">
        <f t="shared" ref="E9665:E9674" si="1511">DATEVALUE("1-6-2019")</f>
        <v>43617</v>
      </c>
      <c r="F9665" s="2">
        <f t="shared" ref="F9665:F9674" si="1512">DATEVALUE("31-10-2019")</f>
        <v>43769</v>
      </c>
    </row>
    <row r="9666" spans="1:6" x14ac:dyDescent="0.25">
      <c r="A9666" s="1" t="s">
        <v>1263</v>
      </c>
      <c r="B9666" s="1" t="s">
        <v>2444</v>
      </c>
      <c r="C9666" s="1" t="s">
        <v>16</v>
      </c>
      <c r="D9666" s="3">
        <f t="shared" si="1510"/>
        <v>8515</v>
      </c>
      <c r="E9666" s="2">
        <f t="shared" si="1511"/>
        <v>43617</v>
      </c>
      <c r="F9666" s="2">
        <f t="shared" si="1512"/>
        <v>43769</v>
      </c>
    </row>
    <row r="9667" spans="1:6" x14ac:dyDescent="0.25">
      <c r="A9667" s="1" t="s">
        <v>1263</v>
      </c>
      <c r="B9667" s="1" t="s">
        <v>2444</v>
      </c>
      <c r="C9667" s="1" t="s">
        <v>17</v>
      </c>
      <c r="D9667" s="3">
        <f t="shared" si="1510"/>
        <v>8515</v>
      </c>
      <c r="E9667" s="2">
        <f t="shared" si="1511"/>
        <v>43617</v>
      </c>
      <c r="F9667" s="2">
        <f t="shared" si="1512"/>
        <v>43769</v>
      </c>
    </row>
    <row r="9668" spans="1:6" x14ac:dyDescent="0.25">
      <c r="A9668" s="1" t="s">
        <v>1263</v>
      </c>
      <c r="B9668" s="1" t="s">
        <v>2444</v>
      </c>
      <c r="C9668" s="1" t="s">
        <v>22</v>
      </c>
      <c r="D9668" s="3">
        <f t="shared" si="1510"/>
        <v>8515</v>
      </c>
      <c r="E9668" s="2">
        <f t="shared" si="1511"/>
        <v>43617</v>
      </c>
      <c r="F9668" s="2">
        <f t="shared" si="1512"/>
        <v>43769</v>
      </c>
    </row>
    <row r="9669" spans="1:6" x14ac:dyDescent="0.25">
      <c r="A9669" s="1" t="s">
        <v>1263</v>
      </c>
      <c r="B9669" s="1" t="s">
        <v>2444</v>
      </c>
      <c r="C9669" s="1" t="s">
        <v>146</v>
      </c>
      <c r="D9669" s="3">
        <f t="shared" si="1510"/>
        <v>8515</v>
      </c>
      <c r="E9669" s="2">
        <f t="shared" si="1511"/>
        <v>43617</v>
      </c>
      <c r="F9669" s="2">
        <f t="shared" si="1512"/>
        <v>43769</v>
      </c>
    </row>
    <row r="9670" spans="1:6" x14ac:dyDescent="0.25">
      <c r="A9670" s="1" t="s">
        <v>1263</v>
      </c>
      <c r="B9670" s="1" t="s">
        <v>2444</v>
      </c>
      <c r="C9670" s="1" t="s">
        <v>147</v>
      </c>
      <c r="D9670" s="3">
        <f t="shared" si="1510"/>
        <v>8515</v>
      </c>
      <c r="E9670" s="2">
        <f t="shared" si="1511"/>
        <v>43617</v>
      </c>
      <c r="F9670" s="2">
        <f t="shared" si="1512"/>
        <v>43769</v>
      </c>
    </row>
    <row r="9671" spans="1:6" x14ac:dyDescent="0.25">
      <c r="A9671" s="1" t="s">
        <v>1263</v>
      </c>
      <c r="B9671" s="1" t="s">
        <v>2444</v>
      </c>
      <c r="C9671" s="1" t="s">
        <v>92</v>
      </c>
      <c r="D9671" s="3">
        <f t="shared" si="1510"/>
        <v>8515</v>
      </c>
      <c r="E9671" s="2">
        <f t="shared" si="1511"/>
        <v>43617</v>
      </c>
      <c r="F9671" s="2">
        <f t="shared" si="1512"/>
        <v>43769</v>
      </c>
    </row>
    <row r="9672" spans="1:6" x14ac:dyDescent="0.25">
      <c r="A9672" s="1" t="s">
        <v>1263</v>
      </c>
      <c r="B9672" s="1" t="s">
        <v>2444</v>
      </c>
      <c r="C9672" s="1" t="s">
        <v>24</v>
      </c>
      <c r="D9672" s="3">
        <f t="shared" si="1510"/>
        <v>8515</v>
      </c>
      <c r="E9672" s="2">
        <f t="shared" si="1511"/>
        <v>43617</v>
      </c>
      <c r="F9672" s="2">
        <f t="shared" si="1512"/>
        <v>43769</v>
      </c>
    </row>
    <row r="9673" spans="1:6" x14ac:dyDescent="0.25">
      <c r="A9673" s="1" t="s">
        <v>1263</v>
      </c>
      <c r="B9673" s="1" t="s">
        <v>2444</v>
      </c>
      <c r="C9673" s="1" t="s">
        <v>70</v>
      </c>
      <c r="D9673" s="3">
        <f t="shared" si="1510"/>
        <v>8515</v>
      </c>
      <c r="E9673" s="2">
        <f t="shared" si="1511"/>
        <v>43617</v>
      </c>
      <c r="F9673" s="2">
        <f t="shared" si="1512"/>
        <v>43769</v>
      </c>
    </row>
    <row r="9674" spans="1:6" x14ac:dyDescent="0.25">
      <c r="A9674" s="1" t="s">
        <v>1263</v>
      </c>
      <c r="B9674" s="1" t="s">
        <v>2444</v>
      </c>
      <c r="C9674" s="1" t="s">
        <v>34</v>
      </c>
      <c r="D9674" s="3">
        <f t="shared" si="1510"/>
        <v>8515</v>
      </c>
      <c r="E9674" s="2">
        <f t="shared" si="1511"/>
        <v>43617</v>
      </c>
      <c r="F9674" s="2">
        <f t="shared" si="1512"/>
        <v>43769</v>
      </c>
    </row>
    <row r="9675" spans="1:6" x14ac:dyDescent="0.25">
      <c r="A9675" s="1" t="s">
        <v>1263</v>
      </c>
      <c r="B9675" s="1" t="s">
        <v>2200</v>
      </c>
      <c r="C9675" s="1" t="s">
        <v>375</v>
      </c>
      <c r="D9675" s="3">
        <f t="shared" ref="D9675:D9681" si="1513">VALUE("7788")</f>
        <v>7788</v>
      </c>
      <c r="E9675" s="2">
        <f t="shared" ref="E9675:E9681" si="1514">DATEVALUE("1-9-2015")</f>
        <v>42248</v>
      </c>
      <c r="F9675" s="2">
        <f t="shared" ref="F9675:F9681" si="1515">DATEVALUE("31-12-2018")</f>
        <v>43465</v>
      </c>
    </row>
    <row r="9676" spans="1:6" x14ac:dyDescent="0.25">
      <c r="A9676" s="1" t="s">
        <v>1263</v>
      </c>
      <c r="B9676" s="1" t="s">
        <v>2200</v>
      </c>
      <c r="C9676" s="1" t="s">
        <v>14</v>
      </c>
      <c r="D9676" s="3">
        <f t="shared" si="1513"/>
        <v>7788</v>
      </c>
      <c r="E9676" s="2">
        <f t="shared" si="1514"/>
        <v>42248</v>
      </c>
      <c r="F9676" s="2">
        <f t="shared" si="1515"/>
        <v>43465</v>
      </c>
    </row>
    <row r="9677" spans="1:6" x14ac:dyDescent="0.25">
      <c r="A9677" s="1" t="s">
        <v>1263</v>
      </c>
      <c r="B9677" s="1" t="s">
        <v>2200</v>
      </c>
      <c r="C9677" s="1" t="s">
        <v>17</v>
      </c>
      <c r="D9677" s="3">
        <f t="shared" si="1513"/>
        <v>7788</v>
      </c>
      <c r="E9677" s="2">
        <f t="shared" si="1514"/>
        <v>42248</v>
      </c>
      <c r="F9677" s="2">
        <f t="shared" si="1515"/>
        <v>43465</v>
      </c>
    </row>
    <row r="9678" spans="1:6" x14ac:dyDescent="0.25">
      <c r="A9678" s="1" t="s">
        <v>1263</v>
      </c>
      <c r="B9678" s="1" t="s">
        <v>2200</v>
      </c>
      <c r="C9678" s="1" t="s">
        <v>47</v>
      </c>
      <c r="D9678" s="3">
        <f t="shared" si="1513"/>
        <v>7788</v>
      </c>
      <c r="E9678" s="2">
        <f t="shared" si="1514"/>
        <v>42248</v>
      </c>
      <c r="F9678" s="2">
        <f t="shared" si="1515"/>
        <v>43465</v>
      </c>
    </row>
    <row r="9679" spans="1:6" x14ac:dyDescent="0.25">
      <c r="A9679" s="1" t="s">
        <v>1263</v>
      </c>
      <c r="B9679" s="1" t="s">
        <v>2200</v>
      </c>
      <c r="C9679" s="1" t="s">
        <v>24</v>
      </c>
      <c r="D9679" s="3">
        <f t="shared" si="1513"/>
        <v>7788</v>
      </c>
      <c r="E9679" s="2">
        <f t="shared" si="1514"/>
        <v>42248</v>
      </c>
      <c r="F9679" s="2">
        <f t="shared" si="1515"/>
        <v>43465</v>
      </c>
    </row>
    <row r="9680" spans="1:6" x14ac:dyDescent="0.25">
      <c r="A9680" s="1" t="s">
        <v>1263</v>
      </c>
      <c r="B9680" s="1" t="s">
        <v>2200</v>
      </c>
      <c r="C9680" s="1" t="s">
        <v>73</v>
      </c>
      <c r="D9680" s="3">
        <f t="shared" si="1513"/>
        <v>7788</v>
      </c>
      <c r="E9680" s="2">
        <f t="shared" si="1514"/>
        <v>42248</v>
      </c>
      <c r="F9680" s="2">
        <f t="shared" si="1515"/>
        <v>43465</v>
      </c>
    </row>
    <row r="9681" spans="1:6" x14ac:dyDescent="0.25">
      <c r="A9681" s="1" t="s">
        <v>1263</v>
      </c>
      <c r="B9681" s="1" t="s">
        <v>2200</v>
      </c>
      <c r="C9681" s="1" t="s">
        <v>34</v>
      </c>
      <c r="D9681" s="3">
        <f t="shared" si="1513"/>
        <v>7788</v>
      </c>
      <c r="E9681" s="2">
        <f t="shared" si="1514"/>
        <v>42248</v>
      </c>
      <c r="F9681" s="2">
        <f t="shared" si="1515"/>
        <v>43465</v>
      </c>
    </row>
    <row r="9682" spans="1:6" x14ac:dyDescent="0.25">
      <c r="A9682" s="1" t="s">
        <v>1263</v>
      </c>
      <c r="B9682" s="1" t="s">
        <v>2749</v>
      </c>
      <c r="C9682" s="1" t="s">
        <v>325</v>
      </c>
      <c r="D9682" s="3">
        <f t="shared" ref="D9682:D9689" si="1516">VALUE("7559")</f>
        <v>7559</v>
      </c>
      <c r="E9682" s="2">
        <f t="shared" ref="E9682:E9689" si="1517">DATEVALUE("1-2-2014")</f>
        <v>41671</v>
      </c>
      <c r="F9682" s="2">
        <f t="shared" ref="F9682:F9689" si="1518">DATEVALUE("31-7-2014")</f>
        <v>41851</v>
      </c>
    </row>
    <row r="9683" spans="1:6" x14ac:dyDescent="0.25">
      <c r="A9683" s="1" t="s">
        <v>1263</v>
      </c>
      <c r="B9683" s="1" t="s">
        <v>2749</v>
      </c>
      <c r="C9683" s="1" t="s">
        <v>39</v>
      </c>
      <c r="D9683" s="3">
        <f t="shared" si="1516"/>
        <v>7559</v>
      </c>
      <c r="E9683" s="2">
        <f t="shared" si="1517"/>
        <v>41671</v>
      </c>
      <c r="F9683" s="2">
        <f t="shared" si="1518"/>
        <v>41851</v>
      </c>
    </row>
    <row r="9684" spans="1:6" x14ac:dyDescent="0.25">
      <c r="A9684" s="1" t="s">
        <v>1263</v>
      </c>
      <c r="B9684" s="1" t="s">
        <v>2749</v>
      </c>
      <c r="C9684" s="1" t="s">
        <v>43</v>
      </c>
      <c r="D9684" s="3">
        <f t="shared" si="1516"/>
        <v>7559</v>
      </c>
      <c r="E9684" s="2">
        <f t="shared" si="1517"/>
        <v>41671</v>
      </c>
      <c r="F9684" s="2">
        <f t="shared" si="1518"/>
        <v>41851</v>
      </c>
    </row>
    <row r="9685" spans="1:6" x14ac:dyDescent="0.25">
      <c r="A9685" s="1" t="s">
        <v>1263</v>
      </c>
      <c r="B9685" s="1" t="s">
        <v>2749</v>
      </c>
      <c r="C9685" s="1" t="s">
        <v>375</v>
      </c>
      <c r="D9685" s="3">
        <f t="shared" si="1516"/>
        <v>7559</v>
      </c>
      <c r="E9685" s="2">
        <f t="shared" si="1517"/>
        <v>41671</v>
      </c>
      <c r="F9685" s="2">
        <f t="shared" si="1518"/>
        <v>41851</v>
      </c>
    </row>
    <row r="9686" spans="1:6" x14ac:dyDescent="0.25">
      <c r="A9686" s="1" t="s">
        <v>1263</v>
      </c>
      <c r="B9686" s="1" t="s">
        <v>2749</v>
      </c>
      <c r="C9686" s="1" t="s">
        <v>46</v>
      </c>
      <c r="D9686" s="3">
        <f t="shared" si="1516"/>
        <v>7559</v>
      </c>
      <c r="E9686" s="2">
        <f t="shared" si="1517"/>
        <v>41671</v>
      </c>
      <c r="F9686" s="2">
        <f t="shared" si="1518"/>
        <v>41851</v>
      </c>
    </row>
    <row r="9687" spans="1:6" x14ac:dyDescent="0.25">
      <c r="A9687" s="1" t="s">
        <v>1263</v>
      </c>
      <c r="B9687" s="1" t="s">
        <v>2749</v>
      </c>
      <c r="C9687" s="1" t="s">
        <v>17</v>
      </c>
      <c r="D9687" s="3">
        <f t="shared" si="1516"/>
        <v>7559</v>
      </c>
      <c r="E9687" s="2">
        <f t="shared" si="1517"/>
        <v>41671</v>
      </c>
      <c r="F9687" s="2">
        <f t="shared" si="1518"/>
        <v>41851</v>
      </c>
    </row>
    <row r="9688" spans="1:6" x14ac:dyDescent="0.25">
      <c r="A9688" s="1" t="s">
        <v>1263</v>
      </c>
      <c r="B9688" s="1" t="s">
        <v>2749</v>
      </c>
      <c r="C9688" s="1" t="s">
        <v>73</v>
      </c>
      <c r="D9688" s="3">
        <f t="shared" si="1516"/>
        <v>7559</v>
      </c>
      <c r="E9688" s="2">
        <f t="shared" si="1517"/>
        <v>41671</v>
      </c>
      <c r="F9688" s="2">
        <f t="shared" si="1518"/>
        <v>41851</v>
      </c>
    </row>
    <row r="9689" spans="1:6" x14ac:dyDescent="0.25">
      <c r="A9689" s="1" t="s">
        <v>1263</v>
      </c>
      <c r="B9689" s="1" t="s">
        <v>2749</v>
      </c>
      <c r="C9689" s="1" t="s">
        <v>57</v>
      </c>
      <c r="D9689" s="3">
        <f t="shared" si="1516"/>
        <v>7559</v>
      </c>
      <c r="E9689" s="2">
        <f t="shared" si="1517"/>
        <v>41671</v>
      </c>
      <c r="F9689" s="2">
        <f t="shared" si="1518"/>
        <v>41851</v>
      </c>
    </row>
    <row r="9690" spans="1:6" x14ac:dyDescent="0.25">
      <c r="A9690" s="1" t="s">
        <v>1647</v>
      </c>
      <c r="B9690" s="1" t="s">
        <v>1646</v>
      </c>
      <c r="C9690" s="1" t="s">
        <v>8</v>
      </c>
      <c r="D9690" s="3">
        <f t="shared" ref="D9690:D9703" si="1519">VALUE("8822")</f>
        <v>8822</v>
      </c>
      <c r="E9690" s="2">
        <f t="shared" ref="E9690:E9703" si="1520">DATEVALUE("1-9-2020")</f>
        <v>44075</v>
      </c>
      <c r="F9690" s="2">
        <f t="shared" ref="F9690:F9725" si="1521">DATEVALUE("31-12-2020")</f>
        <v>44196</v>
      </c>
    </row>
    <row r="9691" spans="1:6" x14ac:dyDescent="0.25">
      <c r="A9691" s="1" t="s">
        <v>1647</v>
      </c>
      <c r="B9691" s="1" t="s">
        <v>1646</v>
      </c>
      <c r="C9691" s="1" t="s">
        <v>10</v>
      </c>
      <c r="D9691" s="3">
        <f t="shared" si="1519"/>
        <v>8822</v>
      </c>
      <c r="E9691" s="2">
        <f t="shared" si="1520"/>
        <v>44075</v>
      </c>
      <c r="F9691" s="2">
        <f t="shared" si="1521"/>
        <v>44196</v>
      </c>
    </row>
    <row r="9692" spans="1:6" x14ac:dyDescent="0.25">
      <c r="A9692" s="1" t="s">
        <v>1647</v>
      </c>
      <c r="B9692" s="1" t="s">
        <v>1646</v>
      </c>
      <c r="C9692" s="1" t="s">
        <v>13</v>
      </c>
      <c r="D9692" s="3">
        <f t="shared" si="1519"/>
        <v>8822</v>
      </c>
      <c r="E9692" s="2">
        <f t="shared" si="1520"/>
        <v>44075</v>
      </c>
      <c r="F9692" s="2">
        <f t="shared" si="1521"/>
        <v>44196</v>
      </c>
    </row>
    <row r="9693" spans="1:6" x14ac:dyDescent="0.25">
      <c r="A9693" s="1" t="s">
        <v>1647</v>
      </c>
      <c r="B9693" s="1" t="s">
        <v>1646</v>
      </c>
      <c r="C9693" s="1" t="s">
        <v>45</v>
      </c>
      <c r="D9693" s="3">
        <f t="shared" si="1519"/>
        <v>8822</v>
      </c>
      <c r="E9693" s="2">
        <f t="shared" si="1520"/>
        <v>44075</v>
      </c>
      <c r="F9693" s="2">
        <f t="shared" si="1521"/>
        <v>44196</v>
      </c>
    </row>
    <row r="9694" spans="1:6" x14ac:dyDescent="0.25">
      <c r="A9694" s="1" t="s">
        <v>1647</v>
      </c>
      <c r="B9694" s="1" t="s">
        <v>1646</v>
      </c>
      <c r="C9694" s="1" t="s">
        <v>328</v>
      </c>
      <c r="D9694" s="3">
        <f t="shared" si="1519"/>
        <v>8822</v>
      </c>
      <c r="E9694" s="2">
        <f t="shared" si="1520"/>
        <v>44075</v>
      </c>
      <c r="F9694" s="2">
        <f t="shared" si="1521"/>
        <v>44196</v>
      </c>
    </row>
    <row r="9695" spans="1:6" x14ac:dyDescent="0.25">
      <c r="A9695" s="1" t="s">
        <v>1647</v>
      </c>
      <c r="B9695" s="1" t="s">
        <v>1646</v>
      </c>
      <c r="C9695" s="1" t="s">
        <v>22</v>
      </c>
      <c r="D9695" s="3">
        <f t="shared" si="1519"/>
        <v>8822</v>
      </c>
      <c r="E9695" s="2">
        <f t="shared" si="1520"/>
        <v>44075</v>
      </c>
      <c r="F9695" s="2">
        <f t="shared" si="1521"/>
        <v>44196</v>
      </c>
    </row>
    <row r="9696" spans="1:6" x14ac:dyDescent="0.25">
      <c r="A9696" s="1" t="s">
        <v>1647</v>
      </c>
      <c r="B9696" s="1" t="s">
        <v>1646</v>
      </c>
      <c r="C9696" s="1" t="s">
        <v>1648</v>
      </c>
      <c r="D9696" s="3">
        <f t="shared" si="1519"/>
        <v>8822</v>
      </c>
      <c r="E9696" s="2">
        <f t="shared" si="1520"/>
        <v>44075</v>
      </c>
      <c r="F9696" s="2">
        <f t="shared" si="1521"/>
        <v>44196</v>
      </c>
    </row>
    <row r="9697" spans="1:6" x14ac:dyDescent="0.25">
      <c r="A9697" s="1" t="s">
        <v>1647</v>
      </c>
      <c r="B9697" s="1" t="s">
        <v>1646</v>
      </c>
      <c r="C9697" s="1" t="s">
        <v>228</v>
      </c>
      <c r="D9697" s="3">
        <f t="shared" si="1519"/>
        <v>8822</v>
      </c>
      <c r="E9697" s="2">
        <f t="shared" si="1520"/>
        <v>44075</v>
      </c>
      <c r="F9697" s="2">
        <f t="shared" si="1521"/>
        <v>44196</v>
      </c>
    </row>
    <row r="9698" spans="1:6" x14ac:dyDescent="0.25">
      <c r="A9698" s="1" t="s">
        <v>1647</v>
      </c>
      <c r="B9698" s="1" t="s">
        <v>1646</v>
      </c>
      <c r="C9698" s="1" t="s">
        <v>229</v>
      </c>
      <c r="D9698" s="3">
        <f t="shared" si="1519"/>
        <v>8822</v>
      </c>
      <c r="E9698" s="2">
        <f t="shared" si="1520"/>
        <v>44075</v>
      </c>
      <c r="F9698" s="2">
        <f t="shared" si="1521"/>
        <v>44196</v>
      </c>
    </row>
    <row r="9699" spans="1:6" x14ac:dyDescent="0.25">
      <c r="A9699" s="1" t="s">
        <v>1647</v>
      </c>
      <c r="B9699" s="1" t="s">
        <v>1646</v>
      </c>
      <c r="C9699" s="1" t="s">
        <v>231</v>
      </c>
      <c r="D9699" s="3">
        <f t="shared" si="1519"/>
        <v>8822</v>
      </c>
      <c r="E9699" s="2">
        <f t="shared" si="1520"/>
        <v>44075</v>
      </c>
      <c r="F9699" s="2">
        <f t="shared" si="1521"/>
        <v>44196</v>
      </c>
    </row>
    <row r="9700" spans="1:6" x14ac:dyDescent="0.25">
      <c r="A9700" s="1" t="s">
        <v>1647</v>
      </c>
      <c r="B9700" s="1" t="s">
        <v>1646</v>
      </c>
      <c r="C9700" s="1" t="s">
        <v>232</v>
      </c>
      <c r="D9700" s="3">
        <f t="shared" si="1519"/>
        <v>8822</v>
      </c>
      <c r="E9700" s="2">
        <f t="shared" si="1520"/>
        <v>44075</v>
      </c>
      <c r="F9700" s="2">
        <f t="shared" si="1521"/>
        <v>44196</v>
      </c>
    </row>
    <row r="9701" spans="1:6" x14ac:dyDescent="0.25">
      <c r="A9701" s="1" t="s">
        <v>1647</v>
      </c>
      <c r="B9701" s="1" t="s">
        <v>1646</v>
      </c>
      <c r="C9701" s="1" t="s">
        <v>30</v>
      </c>
      <c r="D9701" s="3">
        <f t="shared" si="1519"/>
        <v>8822</v>
      </c>
      <c r="E9701" s="2">
        <f t="shared" si="1520"/>
        <v>44075</v>
      </c>
      <c r="F9701" s="2">
        <f t="shared" si="1521"/>
        <v>44196</v>
      </c>
    </row>
    <row r="9702" spans="1:6" x14ac:dyDescent="0.25">
      <c r="A9702" s="1" t="s">
        <v>1647</v>
      </c>
      <c r="B9702" s="1" t="s">
        <v>1646</v>
      </c>
      <c r="C9702" s="1" t="s">
        <v>240</v>
      </c>
      <c r="D9702" s="3">
        <f t="shared" si="1519"/>
        <v>8822</v>
      </c>
      <c r="E9702" s="2">
        <f t="shared" si="1520"/>
        <v>44075</v>
      </c>
      <c r="F9702" s="2">
        <f t="shared" si="1521"/>
        <v>44196</v>
      </c>
    </row>
    <row r="9703" spans="1:6" x14ac:dyDescent="0.25">
      <c r="A9703" s="1" t="s">
        <v>1647</v>
      </c>
      <c r="B9703" s="1" t="s">
        <v>1646</v>
      </c>
      <c r="C9703" s="1" t="s">
        <v>73</v>
      </c>
      <c r="D9703" s="3">
        <f t="shared" si="1519"/>
        <v>8822</v>
      </c>
      <c r="E9703" s="2">
        <f t="shared" si="1520"/>
        <v>44075</v>
      </c>
      <c r="F9703" s="2">
        <f t="shared" si="1521"/>
        <v>44196</v>
      </c>
    </row>
    <row r="9704" spans="1:6" x14ac:dyDescent="0.25">
      <c r="A9704" s="1" t="s">
        <v>757</v>
      </c>
      <c r="B9704" s="1" t="s">
        <v>1674</v>
      </c>
      <c r="C9704" s="1" t="s">
        <v>7</v>
      </c>
      <c r="D9704" s="3">
        <f>VALUE("8858")</f>
        <v>8858</v>
      </c>
      <c r="E9704" s="2">
        <f t="shared" ref="E9704:E9735" si="1522">DATEVALUE("1-10-2020")</f>
        <v>44105</v>
      </c>
      <c r="F9704" s="2">
        <f t="shared" si="1521"/>
        <v>44196</v>
      </c>
    </row>
    <row r="9705" spans="1:6" x14ac:dyDescent="0.25">
      <c r="A9705" s="1" t="s">
        <v>757</v>
      </c>
      <c r="B9705" s="1" t="s">
        <v>1674</v>
      </c>
      <c r="C9705" s="1" t="s">
        <v>599</v>
      </c>
      <c r="D9705" s="3">
        <f>VALUE("8858")</f>
        <v>8858</v>
      </c>
      <c r="E9705" s="2">
        <f t="shared" si="1522"/>
        <v>44105</v>
      </c>
      <c r="F9705" s="2">
        <f t="shared" si="1521"/>
        <v>44196</v>
      </c>
    </row>
    <row r="9706" spans="1:6" x14ac:dyDescent="0.25">
      <c r="A9706" s="1" t="s">
        <v>757</v>
      </c>
      <c r="B9706" s="1" t="s">
        <v>1674</v>
      </c>
      <c r="C9706" s="1" t="s">
        <v>212</v>
      </c>
      <c r="D9706" s="3">
        <f>VALUE("8858")</f>
        <v>8858</v>
      </c>
      <c r="E9706" s="2">
        <f t="shared" si="1522"/>
        <v>44105</v>
      </c>
      <c r="F9706" s="2">
        <f t="shared" si="1521"/>
        <v>44196</v>
      </c>
    </row>
    <row r="9707" spans="1:6" x14ac:dyDescent="0.25">
      <c r="A9707" s="1" t="s">
        <v>757</v>
      </c>
      <c r="B9707" s="1" t="s">
        <v>1674</v>
      </c>
      <c r="C9707" s="1" t="s">
        <v>29</v>
      </c>
      <c r="D9707" s="3">
        <f>VALUE("8858")</f>
        <v>8858</v>
      </c>
      <c r="E9707" s="2">
        <f t="shared" si="1522"/>
        <v>44105</v>
      </c>
      <c r="F9707" s="2">
        <f t="shared" si="1521"/>
        <v>44196</v>
      </c>
    </row>
    <row r="9708" spans="1:6" x14ac:dyDescent="0.25">
      <c r="A9708" s="1" t="s">
        <v>757</v>
      </c>
      <c r="B9708" s="1" t="s">
        <v>1679</v>
      </c>
      <c r="C9708" s="1" t="s">
        <v>7</v>
      </c>
      <c r="D9708" s="3">
        <f t="shared" ref="D9708:D9725" si="1523">VALUE("8865")</f>
        <v>8865</v>
      </c>
      <c r="E9708" s="2">
        <f t="shared" si="1522"/>
        <v>44105</v>
      </c>
      <c r="F9708" s="2">
        <f t="shared" si="1521"/>
        <v>44196</v>
      </c>
    </row>
    <row r="9709" spans="1:6" x14ac:dyDescent="0.25">
      <c r="A9709" s="1" t="s">
        <v>757</v>
      </c>
      <c r="B9709" s="1" t="s">
        <v>1679</v>
      </c>
      <c r="C9709" s="1" t="s">
        <v>599</v>
      </c>
      <c r="D9709" s="3">
        <f t="shared" si="1523"/>
        <v>8865</v>
      </c>
      <c r="E9709" s="2">
        <f t="shared" si="1522"/>
        <v>44105</v>
      </c>
      <c r="F9709" s="2">
        <f t="shared" si="1521"/>
        <v>44196</v>
      </c>
    </row>
    <row r="9710" spans="1:6" x14ac:dyDescent="0.25">
      <c r="A9710" s="1" t="s">
        <v>757</v>
      </c>
      <c r="B9710" s="1" t="s">
        <v>1679</v>
      </c>
      <c r="C9710" s="1" t="s">
        <v>13</v>
      </c>
      <c r="D9710" s="3">
        <f t="shared" si="1523"/>
        <v>8865</v>
      </c>
      <c r="E9710" s="2">
        <f t="shared" si="1522"/>
        <v>44105</v>
      </c>
      <c r="F9710" s="2">
        <f t="shared" si="1521"/>
        <v>44196</v>
      </c>
    </row>
    <row r="9711" spans="1:6" x14ac:dyDescent="0.25">
      <c r="A9711" s="1" t="s">
        <v>757</v>
      </c>
      <c r="B9711" s="1" t="s">
        <v>1679</v>
      </c>
      <c r="C9711" s="1" t="s">
        <v>17</v>
      </c>
      <c r="D9711" s="3">
        <f t="shared" si="1523"/>
        <v>8865</v>
      </c>
      <c r="E9711" s="2">
        <f t="shared" si="1522"/>
        <v>44105</v>
      </c>
      <c r="F9711" s="2">
        <f t="shared" si="1521"/>
        <v>44196</v>
      </c>
    </row>
    <row r="9712" spans="1:6" x14ac:dyDescent="0.25">
      <c r="A9712" s="1" t="s">
        <v>757</v>
      </c>
      <c r="B9712" s="1" t="s">
        <v>1679</v>
      </c>
      <c r="C9712" s="1" t="s">
        <v>22</v>
      </c>
      <c r="D9712" s="3">
        <f t="shared" si="1523"/>
        <v>8865</v>
      </c>
      <c r="E9712" s="2">
        <f t="shared" si="1522"/>
        <v>44105</v>
      </c>
      <c r="F9712" s="2">
        <f t="shared" si="1521"/>
        <v>44196</v>
      </c>
    </row>
    <row r="9713" spans="1:6" x14ac:dyDescent="0.25">
      <c r="A9713" s="1" t="s">
        <v>757</v>
      </c>
      <c r="B9713" s="1" t="s">
        <v>1679</v>
      </c>
      <c r="C9713" s="1" t="s">
        <v>1680</v>
      </c>
      <c r="D9713" s="3">
        <f t="shared" si="1523"/>
        <v>8865</v>
      </c>
      <c r="E9713" s="2">
        <f t="shared" si="1522"/>
        <v>44105</v>
      </c>
      <c r="F9713" s="2">
        <f t="shared" si="1521"/>
        <v>44196</v>
      </c>
    </row>
    <row r="9714" spans="1:6" x14ac:dyDescent="0.25">
      <c r="A9714" s="1" t="s">
        <v>757</v>
      </c>
      <c r="B9714" s="1" t="s">
        <v>1679</v>
      </c>
      <c r="C9714" s="1" t="s">
        <v>1681</v>
      </c>
      <c r="D9714" s="3">
        <f t="shared" si="1523"/>
        <v>8865</v>
      </c>
      <c r="E9714" s="2">
        <f t="shared" si="1522"/>
        <v>44105</v>
      </c>
      <c r="F9714" s="2">
        <f t="shared" si="1521"/>
        <v>44196</v>
      </c>
    </row>
    <row r="9715" spans="1:6" x14ac:dyDescent="0.25">
      <c r="A9715" s="1" t="s">
        <v>757</v>
      </c>
      <c r="B9715" s="1" t="s">
        <v>1679</v>
      </c>
      <c r="C9715" s="1" t="s">
        <v>1682</v>
      </c>
      <c r="D9715" s="3">
        <f t="shared" si="1523"/>
        <v>8865</v>
      </c>
      <c r="E9715" s="2">
        <f t="shared" si="1522"/>
        <v>44105</v>
      </c>
      <c r="F9715" s="2">
        <f t="shared" si="1521"/>
        <v>44196</v>
      </c>
    </row>
    <row r="9716" spans="1:6" x14ac:dyDescent="0.25">
      <c r="A9716" s="1" t="s">
        <v>757</v>
      </c>
      <c r="B9716" s="1" t="s">
        <v>1679</v>
      </c>
      <c r="C9716" s="1" t="s">
        <v>1683</v>
      </c>
      <c r="D9716" s="3">
        <f t="shared" si="1523"/>
        <v>8865</v>
      </c>
      <c r="E9716" s="2">
        <f t="shared" si="1522"/>
        <v>44105</v>
      </c>
      <c r="F9716" s="2">
        <f t="shared" si="1521"/>
        <v>44196</v>
      </c>
    </row>
    <row r="9717" spans="1:6" x14ac:dyDescent="0.25">
      <c r="A9717" s="1" t="s">
        <v>757</v>
      </c>
      <c r="B9717" s="1" t="s">
        <v>1679</v>
      </c>
      <c r="C9717" s="1" t="s">
        <v>1684</v>
      </c>
      <c r="D9717" s="3">
        <f t="shared" si="1523"/>
        <v>8865</v>
      </c>
      <c r="E9717" s="2">
        <f t="shared" si="1522"/>
        <v>44105</v>
      </c>
      <c r="F9717" s="2">
        <f t="shared" si="1521"/>
        <v>44196</v>
      </c>
    </row>
    <row r="9718" spans="1:6" x14ac:dyDescent="0.25">
      <c r="A9718" s="1" t="s">
        <v>757</v>
      </c>
      <c r="B9718" s="1" t="s">
        <v>1679</v>
      </c>
      <c r="C9718" s="1" t="s">
        <v>1685</v>
      </c>
      <c r="D9718" s="3">
        <f t="shared" si="1523"/>
        <v>8865</v>
      </c>
      <c r="E9718" s="2">
        <f t="shared" si="1522"/>
        <v>44105</v>
      </c>
      <c r="F9718" s="2">
        <f t="shared" si="1521"/>
        <v>44196</v>
      </c>
    </row>
    <row r="9719" spans="1:6" x14ac:dyDescent="0.25">
      <c r="A9719" s="1" t="s">
        <v>757</v>
      </c>
      <c r="B9719" s="1" t="s">
        <v>1679</v>
      </c>
      <c r="C9719" s="1" t="s">
        <v>1686</v>
      </c>
      <c r="D9719" s="3">
        <f t="shared" si="1523"/>
        <v>8865</v>
      </c>
      <c r="E9719" s="2">
        <f t="shared" si="1522"/>
        <v>44105</v>
      </c>
      <c r="F9719" s="2">
        <f t="shared" si="1521"/>
        <v>44196</v>
      </c>
    </row>
    <row r="9720" spans="1:6" x14ac:dyDescent="0.25">
      <c r="A9720" s="1" t="s">
        <v>757</v>
      </c>
      <c r="B9720" s="1" t="s">
        <v>1679</v>
      </c>
      <c r="C9720" s="1" t="s">
        <v>1687</v>
      </c>
      <c r="D9720" s="3">
        <f t="shared" si="1523"/>
        <v>8865</v>
      </c>
      <c r="E9720" s="2">
        <f t="shared" si="1522"/>
        <v>44105</v>
      </c>
      <c r="F9720" s="2">
        <f t="shared" si="1521"/>
        <v>44196</v>
      </c>
    </row>
    <row r="9721" spans="1:6" x14ac:dyDescent="0.25">
      <c r="A9721" s="1" t="s">
        <v>757</v>
      </c>
      <c r="B9721" s="1" t="s">
        <v>1679</v>
      </c>
      <c r="C9721" s="1" t="s">
        <v>1688</v>
      </c>
      <c r="D9721" s="3">
        <f t="shared" si="1523"/>
        <v>8865</v>
      </c>
      <c r="E9721" s="2">
        <f t="shared" si="1522"/>
        <v>44105</v>
      </c>
      <c r="F9721" s="2">
        <f t="shared" si="1521"/>
        <v>44196</v>
      </c>
    </row>
    <row r="9722" spans="1:6" x14ac:dyDescent="0.25">
      <c r="A9722" s="1" t="s">
        <v>757</v>
      </c>
      <c r="B9722" s="1" t="s">
        <v>1679</v>
      </c>
      <c r="C9722" s="1" t="s">
        <v>1689</v>
      </c>
      <c r="D9722" s="3">
        <f t="shared" si="1523"/>
        <v>8865</v>
      </c>
      <c r="E9722" s="2">
        <f t="shared" si="1522"/>
        <v>44105</v>
      </c>
      <c r="F9722" s="2">
        <f t="shared" si="1521"/>
        <v>44196</v>
      </c>
    </row>
    <row r="9723" spans="1:6" x14ac:dyDescent="0.25">
      <c r="A9723" s="1" t="s">
        <v>757</v>
      </c>
      <c r="B9723" s="1" t="s">
        <v>1679</v>
      </c>
      <c r="C9723" s="1" t="s">
        <v>212</v>
      </c>
      <c r="D9723" s="3">
        <f t="shared" si="1523"/>
        <v>8865</v>
      </c>
      <c r="E9723" s="2">
        <f t="shared" si="1522"/>
        <v>44105</v>
      </c>
      <c r="F9723" s="2">
        <f t="shared" si="1521"/>
        <v>44196</v>
      </c>
    </row>
    <row r="9724" spans="1:6" x14ac:dyDescent="0.25">
      <c r="A9724" s="1" t="s">
        <v>757</v>
      </c>
      <c r="B9724" s="1" t="s">
        <v>1679</v>
      </c>
      <c r="C9724" s="1" t="s">
        <v>72</v>
      </c>
      <c r="D9724" s="3">
        <f t="shared" si="1523"/>
        <v>8865</v>
      </c>
      <c r="E9724" s="2">
        <f t="shared" si="1522"/>
        <v>44105</v>
      </c>
      <c r="F9724" s="2">
        <f t="shared" si="1521"/>
        <v>44196</v>
      </c>
    </row>
    <row r="9725" spans="1:6" x14ac:dyDescent="0.25">
      <c r="A9725" s="1" t="s">
        <v>757</v>
      </c>
      <c r="B9725" s="1" t="s">
        <v>1679</v>
      </c>
      <c r="C9725" s="1" t="s">
        <v>52</v>
      </c>
      <c r="D9725" s="3">
        <f t="shared" si="1523"/>
        <v>8865</v>
      </c>
      <c r="E9725" s="2">
        <f t="shared" si="1522"/>
        <v>44105</v>
      </c>
      <c r="F9725" s="2">
        <f t="shared" si="1521"/>
        <v>44196</v>
      </c>
    </row>
    <row r="9726" spans="1:6" x14ac:dyDescent="0.25">
      <c r="A9726" s="1" t="s">
        <v>757</v>
      </c>
      <c r="B9726" s="1" t="s">
        <v>1690</v>
      </c>
      <c r="C9726" s="1" t="s">
        <v>61</v>
      </c>
      <c r="D9726" s="3">
        <f t="shared" ref="D9726:D9735" si="1524">VALUE("8869")</f>
        <v>8869</v>
      </c>
      <c r="E9726" s="2">
        <f t="shared" si="1522"/>
        <v>44105</v>
      </c>
      <c r="F9726" s="2">
        <f t="shared" ref="F9726:F9735" si="1525">DATEVALUE("31-1-2021")</f>
        <v>44227</v>
      </c>
    </row>
    <row r="9727" spans="1:6" x14ac:dyDescent="0.25">
      <c r="A9727" s="1" t="s">
        <v>757</v>
      </c>
      <c r="B9727" s="1" t="s">
        <v>1690</v>
      </c>
      <c r="C9727" s="1" t="s">
        <v>44</v>
      </c>
      <c r="D9727" s="3">
        <f t="shared" si="1524"/>
        <v>8869</v>
      </c>
      <c r="E9727" s="2">
        <f t="shared" si="1522"/>
        <v>44105</v>
      </c>
      <c r="F9727" s="2">
        <f t="shared" si="1525"/>
        <v>44227</v>
      </c>
    </row>
    <row r="9728" spans="1:6" x14ac:dyDescent="0.25">
      <c r="A9728" s="1" t="s">
        <v>757</v>
      </c>
      <c r="B9728" s="1" t="s">
        <v>1690</v>
      </c>
      <c r="C9728" s="1" t="s">
        <v>14</v>
      </c>
      <c r="D9728" s="3">
        <f t="shared" si="1524"/>
        <v>8869</v>
      </c>
      <c r="E9728" s="2">
        <f t="shared" si="1522"/>
        <v>44105</v>
      </c>
      <c r="F9728" s="2">
        <f t="shared" si="1525"/>
        <v>44227</v>
      </c>
    </row>
    <row r="9729" spans="1:6" x14ac:dyDescent="0.25">
      <c r="A9729" s="1" t="s">
        <v>757</v>
      </c>
      <c r="B9729" s="1" t="s">
        <v>1690</v>
      </c>
      <c r="C9729" s="1" t="s">
        <v>17</v>
      </c>
      <c r="D9729" s="3">
        <f t="shared" si="1524"/>
        <v>8869</v>
      </c>
      <c r="E9729" s="2">
        <f t="shared" si="1522"/>
        <v>44105</v>
      </c>
      <c r="F9729" s="2">
        <f t="shared" si="1525"/>
        <v>44227</v>
      </c>
    </row>
    <row r="9730" spans="1:6" x14ac:dyDescent="0.25">
      <c r="A9730" s="1" t="s">
        <v>757</v>
      </c>
      <c r="B9730" s="1" t="s">
        <v>1690</v>
      </c>
      <c r="C9730" s="1" t="s">
        <v>417</v>
      </c>
      <c r="D9730" s="3">
        <f t="shared" si="1524"/>
        <v>8869</v>
      </c>
      <c r="E9730" s="2">
        <f t="shared" si="1522"/>
        <v>44105</v>
      </c>
      <c r="F9730" s="2">
        <f t="shared" si="1525"/>
        <v>44227</v>
      </c>
    </row>
    <row r="9731" spans="1:6" x14ac:dyDescent="0.25">
      <c r="A9731" s="1" t="s">
        <v>757</v>
      </c>
      <c r="B9731" s="1" t="s">
        <v>1690</v>
      </c>
      <c r="C9731" s="1" t="s">
        <v>22</v>
      </c>
      <c r="D9731" s="3">
        <f t="shared" si="1524"/>
        <v>8869</v>
      </c>
      <c r="E9731" s="2">
        <f t="shared" si="1522"/>
        <v>44105</v>
      </c>
      <c r="F9731" s="2">
        <f t="shared" si="1525"/>
        <v>44227</v>
      </c>
    </row>
    <row r="9732" spans="1:6" x14ac:dyDescent="0.25">
      <c r="A9732" s="1" t="s">
        <v>757</v>
      </c>
      <c r="B9732" s="1" t="s">
        <v>1690</v>
      </c>
      <c r="C9732" s="1" t="s">
        <v>50</v>
      </c>
      <c r="D9732" s="3">
        <f t="shared" si="1524"/>
        <v>8869</v>
      </c>
      <c r="E9732" s="2">
        <f t="shared" si="1522"/>
        <v>44105</v>
      </c>
      <c r="F9732" s="2">
        <f t="shared" si="1525"/>
        <v>44227</v>
      </c>
    </row>
    <row r="9733" spans="1:6" x14ac:dyDescent="0.25">
      <c r="A9733" s="1" t="s">
        <v>757</v>
      </c>
      <c r="B9733" s="1" t="s">
        <v>1690</v>
      </c>
      <c r="C9733" s="1" t="s">
        <v>52</v>
      </c>
      <c r="D9733" s="3">
        <f t="shared" si="1524"/>
        <v>8869</v>
      </c>
      <c r="E9733" s="2">
        <f t="shared" si="1522"/>
        <v>44105</v>
      </c>
      <c r="F9733" s="2">
        <f t="shared" si="1525"/>
        <v>44227</v>
      </c>
    </row>
    <row r="9734" spans="1:6" x14ac:dyDescent="0.25">
      <c r="A9734" s="1" t="s">
        <v>757</v>
      </c>
      <c r="B9734" s="1" t="s">
        <v>1690</v>
      </c>
      <c r="C9734" s="1" t="s">
        <v>393</v>
      </c>
      <c r="D9734" s="3">
        <f t="shared" si="1524"/>
        <v>8869</v>
      </c>
      <c r="E9734" s="2">
        <f t="shared" si="1522"/>
        <v>44105</v>
      </c>
      <c r="F9734" s="2">
        <f t="shared" si="1525"/>
        <v>44227</v>
      </c>
    </row>
    <row r="9735" spans="1:6" x14ac:dyDescent="0.25">
      <c r="A9735" s="1" t="s">
        <v>757</v>
      </c>
      <c r="B9735" s="1" t="s">
        <v>1690</v>
      </c>
      <c r="C9735" s="1" t="s">
        <v>34</v>
      </c>
      <c r="D9735" s="3">
        <f t="shared" si="1524"/>
        <v>8869</v>
      </c>
      <c r="E9735" s="2">
        <f t="shared" si="1522"/>
        <v>44105</v>
      </c>
      <c r="F9735" s="2">
        <f t="shared" si="1525"/>
        <v>44227</v>
      </c>
    </row>
    <row r="9736" spans="1:6" x14ac:dyDescent="0.25">
      <c r="A9736" s="1" t="s">
        <v>757</v>
      </c>
      <c r="B9736" s="1" t="s">
        <v>1668</v>
      </c>
      <c r="C9736" s="1" t="s">
        <v>40</v>
      </c>
      <c r="D9736" s="3">
        <f t="shared" ref="D9736:D9756" si="1526">VALUE("8848")</f>
        <v>8848</v>
      </c>
      <c r="E9736" s="2">
        <f t="shared" ref="E9736:E9756" si="1527">DATEVALUE("1-9-2020")</f>
        <v>44075</v>
      </c>
      <c r="F9736" s="2">
        <f t="shared" ref="F9736:F9756" si="1528">DATEVALUE("31-8-2022")</f>
        <v>44804</v>
      </c>
    </row>
    <row r="9737" spans="1:6" x14ac:dyDescent="0.25">
      <c r="A9737" s="1" t="s">
        <v>757</v>
      </c>
      <c r="B9737" s="1" t="s">
        <v>1668</v>
      </c>
      <c r="C9737" s="1" t="s">
        <v>41</v>
      </c>
      <c r="D9737" s="3">
        <f t="shared" si="1526"/>
        <v>8848</v>
      </c>
      <c r="E9737" s="2">
        <f t="shared" si="1527"/>
        <v>44075</v>
      </c>
      <c r="F9737" s="2">
        <f t="shared" si="1528"/>
        <v>44804</v>
      </c>
    </row>
    <row r="9738" spans="1:6" x14ac:dyDescent="0.25">
      <c r="A9738" s="1" t="s">
        <v>757</v>
      </c>
      <c r="B9738" s="1" t="s">
        <v>1668</v>
      </c>
      <c r="C9738" s="1" t="s">
        <v>43</v>
      </c>
      <c r="D9738" s="3">
        <f t="shared" si="1526"/>
        <v>8848</v>
      </c>
      <c r="E9738" s="2">
        <f t="shared" si="1527"/>
        <v>44075</v>
      </c>
      <c r="F9738" s="2">
        <f t="shared" si="1528"/>
        <v>44804</v>
      </c>
    </row>
    <row r="9739" spans="1:6" x14ac:dyDescent="0.25">
      <c r="A9739" s="1" t="s">
        <v>757</v>
      </c>
      <c r="B9739" s="1" t="s">
        <v>1668</v>
      </c>
      <c r="C9739" s="1" t="s">
        <v>346</v>
      </c>
      <c r="D9739" s="3">
        <f t="shared" si="1526"/>
        <v>8848</v>
      </c>
      <c r="E9739" s="2">
        <f t="shared" si="1527"/>
        <v>44075</v>
      </c>
      <c r="F9739" s="2">
        <f t="shared" si="1528"/>
        <v>44804</v>
      </c>
    </row>
    <row r="9740" spans="1:6" x14ac:dyDescent="0.25">
      <c r="A9740" s="1" t="s">
        <v>757</v>
      </c>
      <c r="B9740" s="1" t="s">
        <v>1668</v>
      </c>
      <c r="C9740" s="1" t="s">
        <v>62</v>
      </c>
      <c r="D9740" s="3">
        <f t="shared" si="1526"/>
        <v>8848</v>
      </c>
      <c r="E9740" s="2">
        <f t="shared" si="1527"/>
        <v>44075</v>
      </c>
      <c r="F9740" s="2">
        <f t="shared" si="1528"/>
        <v>44804</v>
      </c>
    </row>
    <row r="9741" spans="1:6" x14ac:dyDescent="0.25">
      <c r="A9741" s="1" t="s">
        <v>757</v>
      </c>
      <c r="B9741" s="1" t="s">
        <v>1668</v>
      </c>
      <c r="C9741" s="1" t="s">
        <v>63</v>
      </c>
      <c r="D9741" s="3">
        <f t="shared" si="1526"/>
        <v>8848</v>
      </c>
      <c r="E9741" s="2">
        <f t="shared" si="1527"/>
        <v>44075</v>
      </c>
      <c r="F9741" s="2">
        <f t="shared" si="1528"/>
        <v>44804</v>
      </c>
    </row>
    <row r="9742" spans="1:6" x14ac:dyDescent="0.25">
      <c r="A9742" s="1" t="s">
        <v>757</v>
      </c>
      <c r="B9742" s="1" t="s">
        <v>1668</v>
      </c>
      <c r="C9742" s="1" t="s">
        <v>14</v>
      </c>
      <c r="D9742" s="3">
        <f t="shared" si="1526"/>
        <v>8848</v>
      </c>
      <c r="E9742" s="2">
        <f t="shared" si="1527"/>
        <v>44075</v>
      </c>
      <c r="F9742" s="2">
        <f t="shared" si="1528"/>
        <v>44804</v>
      </c>
    </row>
    <row r="9743" spans="1:6" x14ac:dyDescent="0.25">
      <c r="A9743" s="1" t="s">
        <v>757</v>
      </c>
      <c r="B9743" s="1" t="s">
        <v>1668</v>
      </c>
      <c r="C9743" s="1" t="s">
        <v>15</v>
      </c>
      <c r="D9743" s="3">
        <f t="shared" si="1526"/>
        <v>8848</v>
      </c>
      <c r="E9743" s="2">
        <f t="shared" si="1527"/>
        <v>44075</v>
      </c>
      <c r="F9743" s="2">
        <f t="shared" si="1528"/>
        <v>44804</v>
      </c>
    </row>
    <row r="9744" spans="1:6" x14ac:dyDescent="0.25">
      <c r="A9744" s="1" t="s">
        <v>757</v>
      </c>
      <c r="B9744" s="1" t="s">
        <v>1668</v>
      </c>
      <c r="C9744" s="1" t="s">
        <v>17</v>
      </c>
      <c r="D9744" s="3">
        <f t="shared" si="1526"/>
        <v>8848</v>
      </c>
      <c r="E9744" s="2">
        <f t="shared" si="1527"/>
        <v>44075</v>
      </c>
      <c r="F9744" s="2">
        <f t="shared" si="1528"/>
        <v>44804</v>
      </c>
    </row>
    <row r="9745" spans="1:6" x14ac:dyDescent="0.25">
      <c r="A9745" s="1" t="s">
        <v>757</v>
      </c>
      <c r="B9745" s="1" t="s">
        <v>1668</v>
      </c>
      <c r="C9745" s="1" t="s">
        <v>417</v>
      </c>
      <c r="D9745" s="3">
        <f t="shared" si="1526"/>
        <v>8848</v>
      </c>
      <c r="E9745" s="2">
        <f t="shared" si="1527"/>
        <v>44075</v>
      </c>
      <c r="F9745" s="2">
        <f t="shared" si="1528"/>
        <v>44804</v>
      </c>
    </row>
    <row r="9746" spans="1:6" x14ac:dyDescent="0.25">
      <c r="A9746" s="1" t="s">
        <v>757</v>
      </c>
      <c r="B9746" s="1" t="s">
        <v>1668</v>
      </c>
      <c r="C9746" s="1" t="s">
        <v>22</v>
      </c>
      <c r="D9746" s="3">
        <f t="shared" si="1526"/>
        <v>8848</v>
      </c>
      <c r="E9746" s="2">
        <f t="shared" si="1527"/>
        <v>44075</v>
      </c>
      <c r="F9746" s="2">
        <f t="shared" si="1528"/>
        <v>44804</v>
      </c>
    </row>
    <row r="9747" spans="1:6" x14ac:dyDescent="0.25">
      <c r="A9747" s="1" t="s">
        <v>757</v>
      </c>
      <c r="B9747" s="1" t="s">
        <v>1668</v>
      </c>
      <c r="C9747" s="1" t="s">
        <v>146</v>
      </c>
      <c r="D9747" s="3">
        <f t="shared" si="1526"/>
        <v>8848</v>
      </c>
      <c r="E9747" s="2">
        <f t="shared" si="1527"/>
        <v>44075</v>
      </c>
      <c r="F9747" s="2">
        <f t="shared" si="1528"/>
        <v>44804</v>
      </c>
    </row>
    <row r="9748" spans="1:6" x14ac:dyDescent="0.25">
      <c r="A9748" s="1" t="s">
        <v>757</v>
      </c>
      <c r="B9748" s="1" t="s">
        <v>1668</v>
      </c>
      <c r="C9748" s="1" t="s">
        <v>400</v>
      </c>
      <c r="D9748" s="3">
        <f t="shared" si="1526"/>
        <v>8848</v>
      </c>
      <c r="E9748" s="2">
        <f t="shared" si="1527"/>
        <v>44075</v>
      </c>
      <c r="F9748" s="2">
        <f t="shared" si="1528"/>
        <v>44804</v>
      </c>
    </row>
    <row r="9749" spans="1:6" x14ac:dyDescent="0.25">
      <c r="A9749" s="1" t="s">
        <v>757</v>
      </c>
      <c r="B9749" s="1" t="s">
        <v>1668</v>
      </c>
      <c r="C9749" s="1" t="s">
        <v>94</v>
      </c>
      <c r="D9749" s="3">
        <f t="shared" si="1526"/>
        <v>8848</v>
      </c>
      <c r="E9749" s="2">
        <f t="shared" si="1527"/>
        <v>44075</v>
      </c>
      <c r="F9749" s="2">
        <f t="shared" si="1528"/>
        <v>44804</v>
      </c>
    </row>
    <row r="9750" spans="1:6" x14ac:dyDescent="0.25">
      <c r="A9750" s="1" t="s">
        <v>757</v>
      </c>
      <c r="B9750" s="1" t="s">
        <v>1668</v>
      </c>
      <c r="C9750" s="1" t="s">
        <v>24</v>
      </c>
      <c r="D9750" s="3">
        <f t="shared" si="1526"/>
        <v>8848</v>
      </c>
      <c r="E9750" s="2">
        <f t="shared" si="1527"/>
        <v>44075</v>
      </c>
      <c r="F9750" s="2">
        <f t="shared" si="1528"/>
        <v>44804</v>
      </c>
    </row>
    <row r="9751" spans="1:6" x14ac:dyDescent="0.25">
      <c r="A9751" s="1" t="s">
        <v>757</v>
      </c>
      <c r="B9751" s="1" t="s">
        <v>1668</v>
      </c>
      <c r="C9751" s="1" t="s">
        <v>70</v>
      </c>
      <c r="D9751" s="3">
        <f t="shared" si="1526"/>
        <v>8848</v>
      </c>
      <c r="E9751" s="2">
        <f t="shared" si="1527"/>
        <v>44075</v>
      </c>
      <c r="F9751" s="2">
        <f t="shared" si="1528"/>
        <v>44804</v>
      </c>
    </row>
    <row r="9752" spans="1:6" x14ac:dyDescent="0.25">
      <c r="A9752" s="1" t="s">
        <v>757</v>
      </c>
      <c r="B9752" s="1" t="s">
        <v>1668</v>
      </c>
      <c r="C9752" s="1" t="s">
        <v>52</v>
      </c>
      <c r="D9752" s="3">
        <f t="shared" si="1526"/>
        <v>8848</v>
      </c>
      <c r="E9752" s="2">
        <f t="shared" si="1527"/>
        <v>44075</v>
      </c>
      <c r="F9752" s="2">
        <f t="shared" si="1528"/>
        <v>44804</v>
      </c>
    </row>
    <row r="9753" spans="1:6" x14ac:dyDescent="0.25">
      <c r="A9753" s="1" t="s">
        <v>757</v>
      </c>
      <c r="B9753" s="1" t="s">
        <v>1668</v>
      </c>
      <c r="C9753" s="1" t="s">
        <v>393</v>
      </c>
      <c r="D9753" s="3">
        <f t="shared" si="1526"/>
        <v>8848</v>
      </c>
      <c r="E9753" s="2">
        <f t="shared" si="1527"/>
        <v>44075</v>
      </c>
      <c r="F9753" s="2">
        <f t="shared" si="1528"/>
        <v>44804</v>
      </c>
    </row>
    <row r="9754" spans="1:6" x14ac:dyDescent="0.25">
      <c r="A9754" s="1" t="s">
        <v>757</v>
      </c>
      <c r="B9754" s="1" t="s">
        <v>1668</v>
      </c>
      <c r="C9754" s="1" t="s">
        <v>34</v>
      </c>
      <c r="D9754" s="3">
        <f t="shared" si="1526"/>
        <v>8848</v>
      </c>
      <c r="E9754" s="2">
        <f t="shared" si="1527"/>
        <v>44075</v>
      </c>
      <c r="F9754" s="2">
        <f t="shared" si="1528"/>
        <v>44804</v>
      </c>
    </row>
    <row r="9755" spans="1:6" x14ac:dyDescent="0.25">
      <c r="A9755" s="1" t="s">
        <v>757</v>
      </c>
      <c r="B9755" s="1" t="s">
        <v>1668</v>
      </c>
      <c r="C9755" s="1" t="s">
        <v>306</v>
      </c>
      <c r="D9755" s="3">
        <f t="shared" si="1526"/>
        <v>8848</v>
      </c>
      <c r="E9755" s="2">
        <f t="shared" si="1527"/>
        <v>44075</v>
      </c>
      <c r="F9755" s="2">
        <f t="shared" si="1528"/>
        <v>44804</v>
      </c>
    </row>
    <row r="9756" spans="1:6" x14ac:dyDescent="0.25">
      <c r="A9756" s="1" t="s">
        <v>757</v>
      </c>
      <c r="B9756" s="1" t="s">
        <v>1668</v>
      </c>
      <c r="C9756" s="1" t="s">
        <v>56</v>
      </c>
      <c r="D9756" s="3">
        <f t="shared" si="1526"/>
        <v>8848</v>
      </c>
      <c r="E9756" s="2">
        <f t="shared" si="1527"/>
        <v>44075</v>
      </c>
      <c r="F9756" s="2">
        <f t="shared" si="1528"/>
        <v>44804</v>
      </c>
    </row>
    <row r="9757" spans="1:6" x14ac:dyDescent="0.25">
      <c r="A9757" s="1" t="s">
        <v>757</v>
      </c>
      <c r="B9757" s="1" t="s">
        <v>1632</v>
      </c>
      <c r="C9757" s="1" t="s">
        <v>17</v>
      </c>
      <c r="D9757" s="3">
        <f>VALUE("8807")</f>
        <v>8807</v>
      </c>
      <c r="E9757" s="2">
        <f t="shared" ref="E9757:E9774" si="1529">DATEVALUE("1-8-2020")</f>
        <v>44044</v>
      </c>
      <c r="F9757" s="2">
        <f>DATEVALUE("31-12-2020")</f>
        <v>44196</v>
      </c>
    </row>
    <row r="9758" spans="1:6" x14ac:dyDescent="0.25">
      <c r="A9758" s="1" t="s">
        <v>757</v>
      </c>
      <c r="B9758" s="1" t="s">
        <v>1654</v>
      </c>
      <c r="C9758" s="1" t="s">
        <v>7</v>
      </c>
      <c r="D9758" s="3">
        <f>VALUE("8829")</f>
        <v>8829</v>
      </c>
      <c r="E9758" s="2">
        <f t="shared" si="1529"/>
        <v>44044</v>
      </c>
      <c r="F9758" s="2">
        <f t="shared" ref="F9758:F9774" si="1530">DATEVALUE("30-9-2021")</f>
        <v>44469</v>
      </c>
    </row>
    <row r="9759" spans="1:6" x14ac:dyDescent="0.25">
      <c r="A9759" s="1" t="s">
        <v>757</v>
      </c>
      <c r="B9759" s="1" t="s">
        <v>1654</v>
      </c>
      <c r="C9759" s="1" t="s">
        <v>221</v>
      </c>
      <c r="D9759" s="3">
        <f>VALUE("8829")</f>
        <v>8829</v>
      </c>
      <c r="E9759" s="2">
        <f t="shared" si="1529"/>
        <v>44044</v>
      </c>
      <c r="F9759" s="2">
        <f t="shared" si="1530"/>
        <v>44469</v>
      </c>
    </row>
    <row r="9760" spans="1:6" x14ac:dyDescent="0.25">
      <c r="A9760" s="1" t="s">
        <v>757</v>
      </c>
      <c r="B9760" s="1" t="s">
        <v>1654</v>
      </c>
      <c r="C9760" s="1" t="s">
        <v>212</v>
      </c>
      <c r="D9760" s="3">
        <f>VALUE("8829")</f>
        <v>8829</v>
      </c>
      <c r="E9760" s="2">
        <f t="shared" si="1529"/>
        <v>44044</v>
      </c>
      <c r="F9760" s="2">
        <f t="shared" si="1530"/>
        <v>44469</v>
      </c>
    </row>
    <row r="9761" spans="1:6" x14ac:dyDescent="0.25">
      <c r="A9761" s="1" t="s">
        <v>757</v>
      </c>
      <c r="B9761" s="1" t="s">
        <v>1655</v>
      </c>
      <c r="C9761" s="1" t="s">
        <v>61</v>
      </c>
      <c r="D9761" s="3">
        <f t="shared" ref="D9761:D9774" si="1531">VALUE("8830")</f>
        <v>8830</v>
      </c>
      <c r="E9761" s="2">
        <f t="shared" si="1529"/>
        <v>44044</v>
      </c>
      <c r="F9761" s="2">
        <f t="shared" si="1530"/>
        <v>44469</v>
      </c>
    </row>
    <row r="9762" spans="1:6" x14ac:dyDescent="0.25">
      <c r="A9762" s="1" t="s">
        <v>757</v>
      </c>
      <c r="B9762" s="1" t="s">
        <v>1655</v>
      </c>
      <c r="C9762" s="1" t="s">
        <v>14</v>
      </c>
      <c r="D9762" s="3">
        <f t="shared" si="1531"/>
        <v>8830</v>
      </c>
      <c r="E9762" s="2">
        <f t="shared" si="1529"/>
        <v>44044</v>
      </c>
      <c r="F9762" s="2">
        <f t="shared" si="1530"/>
        <v>44469</v>
      </c>
    </row>
    <row r="9763" spans="1:6" x14ac:dyDescent="0.25">
      <c r="A9763" s="1" t="s">
        <v>757</v>
      </c>
      <c r="B9763" s="1" t="s">
        <v>1655</v>
      </c>
      <c r="C9763" s="1" t="s">
        <v>88</v>
      </c>
      <c r="D9763" s="3">
        <f t="shared" si="1531"/>
        <v>8830</v>
      </c>
      <c r="E9763" s="2">
        <f t="shared" si="1529"/>
        <v>44044</v>
      </c>
      <c r="F9763" s="2">
        <f t="shared" si="1530"/>
        <v>44469</v>
      </c>
    </row>
    <row r="9764" spans="1:6" x14ac:dyDescent="0.25">
      <c r="A9764" s="1" t="s">
        <v>757</v>
      </c>
      <c r="B9764" s="1" t="s">
        <v>1655</v>
      </c>
      <c r="C9764" s="1" t="s">
        <v>17</v>
      </c>
      <c r="D9764" s="3">
        <f t="shared" si="1531"/>
        <v>8830</v>
      </c>
      <c r="E9764" s="2">
        <f t="shared" si="1529"/>
        <v>44044</v>
      </c>
      <c r="F9764" s="2">
        <f t="shared" si="1530"/>
        <v>44469</v>
      </c>
    </row>
    <row r="9765" spans="1:6" x14ac:dyDescent="0.25">
      <c r="A9765" s="1" t="s">
        <v>757</v>
      </c>
      <c r="B9765" s="1" t="s">
        <v>1655</v>
      </c>
      <c r="C9765" s="1" t="s">
        <v>474</v>
      </c>
      <c r="D9765" s="3">
        <f t="shared" si="1531"/>
        <v>8830</v>
      </c>
      <c r="E9765" s="2">
        <f t="shared" si="1529"/>
        <v>44044</v>
      </c>
      <c r="F9765" s="2">
        <f t="shared" si="1530"/>
        <v>44469</v>
      </c>
    </row>
    <row r="9766" spans="1:6" x14ac:dyDescent="0.25">
      <c r="A9766" s="1" t="s">
        <v>757</v>
      </c>
      <c r="B9766" s="1" t="s">
        <v>1655</v>
      </c>
      <c r="C9766" s="1" t="s">
        <v>475</v>
      </c>
      <c r="D9766" s="3">
        <f t="shared" si="1531"/>
        <v>8830</v>
      </c>
      <c r="E9766" s="2">
        <f t="shared" si="1529"/>
        <v>44044</v>
      </c>
      <c r="F9766" s="2">
        <f t="shared" si="1530"/>
        <v>44469</v>
      </c>
    </row>
    <row r="9767" spans="1:6" x14ac:dyDescent="0.25">
      <c r="A9767" s="1" t="s">
        <v>757</v>
      </c>
      <c r="B9767" s="1" t="s">
        <v>1655</v>
      </c>
      <c r="C9767" s="1" t="s">
        <v>24</v>
      </c>
      <c r="D9767" s="3">
        <f t="shared" si="1531"/>
        <v>8830</v>
      </c>
      <c r="E9767" s="2">
        <f t="shared" si="1529"/>
        <v>44044</v>
      </c>
      <c r="F9767" s="2">
        <f t="shared" si="1530"/>
        <v>44469</v>
      </c>
    </row>
    <row r="9768" spans="1:6" x14ac:dyDescent="0.25">
      <c r="A9768" s="1" t="s">
        <v>757</v>
      </c>
      <c r="B9768" s="1" t="s">
        <v>1655</v>
      </c>
      <c r="C9768" s="1" t="s">
        <v>72</v>
      </c>
      <c r="D9768" s="3">
        <f t="shared" si="1531"/>
        <v>8830</v>
      </c>
      <c r="E9768" s="2">
        <f t="shared" si="1529"/>
        <v>44044</v>
      </c>
      <c r="F9768" s="2">
        <f t="shared" si="1530"/>
        <v>44469</v>
      </c>
    </row>
    <row r="9769" spans="1:6" x14ac:dyDescent="0.25">
      <c r="A9769" s="1" t="s">
        <v>757</v>
      </c>
      <c r="B9769" s="1" t="s">
        <v>1655</v>
      </c>
      <c r="C9769" s="1" t="s">
        <v>52</v>
      </c>
      <c r="D9769" s="3">
        <f t="shared" si="1531"/>
        <v>8830</v>
      </c>
      <c r="E9769" s="2">
        <f t="shared" si="1529"/>
        <v>44044</v>
      </c>
      <c r="F9769" s="2">
        <f t="shared" si="1530"/>
        <v>44469</v>
      </c>
    </row>
    <row r="9770" spans="1:6" x14ac:dyDescent="0.25">
      <c r="A9770" s="1" t="s">
        <v>757</v>
      </c>
      <c r="B9770" s="1" t="s">
        <v>1655</v>
      </c>
      <c r="C9770" s="1" t="s">
        <v>393</v>
      </c>
      <c r="D9770" s="3">
        <f t="shared" si="1531"/>
        <v>8830</v>
      </c>
      <c r="E9770" s="2">
        <f t="shared" si="1529"/>
        <v>44044</v>
      </c>
      <c r="F9770" s="2">
        <f t="shared" si="1530"/>
        <v>44469</v>
      </c>
    </row>
    <row r="9771" spans="1:6" x14ac:dyDescent="0.25">
      <c r="A9771" s="1" t="s">
        <v>757</v>
      </c>
      <c r="B9771" s="1" t="s">
        <v>1655</v>
      </c>
      <c r="C9771" s="1" t="s">
        <v>1656</v>
      </c>
      <c r="D9771" s="3">
        <f t="shared" si="1531"/>
        <v>8830</v>
      </c>
      <c r="E9771" s="2">
        <f t="shared" si="1529"/>
        <v>44044</v>
      </c>
      <c r="F9771" s="2">
        <f t="shared" si="1530"/>
        <v>44469</v>
      </c>
    </row>
    <row r="9772" spans="1:6" x14ac:dyDescent="0.25">
      <c r="A9772" s="1" t="s">
        <v>757</v>
      </c>
      <c r="B9772" s="1" t="s">
        <v>1655</v>
      </c>
      <c r="C9772" s="1" t="s">
        <v>396</v>
      </c>
      <c r="D9772" s="3">
        <f t="shared" si="1531"/>
        <v>8830</v>
      </c>
      <c r="E9772" s="2">
        <f t="shared" si="1529"/>
        <v>44044</v>
      </c>
      <c r="F9772" s="2">
        <f t="shared" si="1530"/>
        <v>44469</v>
      </c>
    </row>
    <row r="9773" spans="1:6" x14ac:dyDescent="0.25">
      <c r="A9773" s="1" t="s">
        <v>757</v>
      </c>
      <c r="B9773" s="1" t="s">
        <v>1655</v>
      </c>
      <c r="C9773" s="1" t="s">
        <v>34</v>
      </c>
      <c r="D9773" s="3">
        <f t="shared" si="1531"/>
        <v>8830</v>
      </c>
      <c r="E9773" s="2">
        <f t="shared" si="1529"/>
        <v>44044</v>
      </c>
      <c r="F9773" s="2">
        <f t="shared" si="1530"/>
        <v>44469</v>
      </c>
    </row>
    <row r="9774" spans="1:6" x14ac:dyDescent="0.25">
      <c r="A9774" s="1" t="s">
        <v>757</v>
      </c>
      <c r="B9774" s="1" t="s">
        <v>1655</v>
      </c>
      <c r="C9774" s="1" t="s">
        <v>490</v>
      </c>
      <c r="D9774" s="3">
        <f t="shared" si="1531"/>
        <v>8830</v>
      </c>
      <c r="E9774" s="2">
        <f t="shared" si="1529"/>
        <v>44044</v>
      </c>
      <c r="F9774" s="2">
        <f t="shared" si="1530"/>
        <v>44469</v>
      </c>
    </row>
    <row r="9775" spans="1:6" x14ac:dyDescent="0.25">
      <c r="A9775" s="1" t="s">
        <v>757</v>
      </c>
      <c r="B9775" s="1" t="s">
        <v>1588</v>
      </c>
      <c r="C9775" s="1" t="s">
        <v>14</v>
      </c>
      <c r="D9775" s="3">
        <f t="shared" ref="D9775:D9786" si="1532">VALUE("8773")</f>
        <v>8773</v>
      </c>
      <c r="E9775" s="2">
        <f t="shared" ref="E9775:E9786" si="1533">DATEVALUE("1-5-2020")</f>
        <v>43952</v>
      </c>
      <c r="F9775" s="2">
        <f t="shared" ref="F9775:F9786" si="1534">DATEVALUE("30-9-2020")</f>
        <v>44104</v>
      </c>
    </row>
    <row r="9776" spans="1:6" x14ac:dyDescent="0.25">
      <c r="A9776" s="1" t="s">
        <v>757</v>
      </c>
      <c r="B9776" s="1" t="s">
        <v>1588</v>
      </c>
      <c r="C9776" s="1" t="s">
        <v>17</v>
      </c>
      <c r="D9776" s="3">
        <f t="shared" si="1532"/>
        <v>8773</v>
      </c>
      <c r="E9776" s="2">
        <f t="shared" si="1533"/>
        <v>43952</v>
      </c>
      <c r="F9776" s="2">
        <f t="shared" si="1534"/>
        <v>44104</v>
      </c>
    </row>
    <row r="9777" spans="1:6" x14ac:dyDescent="0.25">
      <c r="A9777" s="1" t="s">
        <v>757</v>
      </c>
      <c r="B9777" s="1" t="s">
        <v>1588</v>
      </c>
      <c r="C9777" s="1" t="s">
        <v>22</v>
      </c>
      <c r="D9777" s="3">
        <f t="shared" si="1532"/>
        <v>8773</v>
      </c>
      <c r="E9777" s="2">
        <f t="shared" si="1533"/>
        <v>43952</v>
      </c>
      <c r="F9777" s="2">
        <f t="shared" si="1534"/>
        <v>44104</v>
      </c>
    </row>
    <row r="9778" spans="1:6" x14ac:dyDescent="0.25">
      <c r="A9778" s="1" t="s">
        <v>757</v>
      </c>
      <c r="B9778" s="1" t="s">
        <v>1588</v>
      </c>
      <c r="C9778" s="1" t="s">
        <v>24</v>
      </c>
      <c r="D9778" s="3">
        <f t="shared" si="1532"/>
        <v>8773</v>
      </c>
      <c r="E9778" s="2">
        <f t="shared" si="1533"/>
        <v>43952</v>
      </c>
      <c r="F9778" s="2">
        <f t="shared" si="1534"/>
        <v>44104</v>
      </c>
    </row>
    <row r="9779" spans="1:6" x14ac:dyDescent="0.25">
      <c r="A9779" s="1" t="s">
        <v>757</v>
      </c>
      <c r="B9779" s="1" t="s">
        <v>1588</v>
      </c>
      <c r="C9779" s="1" t="s">
        <v>70</v>
      </c>
      <c r="D9779" s="3">
        <f t="shared" si="1532"/>
        <v>8773</v>
      </c>
      <c r="E9779" s="2">
        <f t="shared" si="1533"/>
        <v>43952</v>
      </c>
      <c r="F9779" s="2">
        <f t="shared" si="1534"/>
        <v>44104</v>
      </c>
    </row>
    <row r="9780" spans="1:6" x14ac:dyDescent="0.25">
      <c r="A9780" s="1" t="s">
        <v>757</v>
      </c>
      <c r="B9780" s="1" t="s">
        <v>1588</v>
      </c>
      <c r="C9780" s="1" t="s">
        <v>72</v>
      </c>
      <c r="D9780" s="3">
        <f t="shared" si="1532"/>
        <v>8773</v>
      </c>
      <c r="E9780" s="2">
        <f t="shared" si="1533"/>
        <v>43952</v>
      </c>
      <c r="F9780" s="2">
        <f t="shared" si="1534"/>
        <v>44104</v>
      </c>
    </row>
    <row r="9781" spans="1:6" x14ac:dyDescent="0.25">
      <c r="A9781" s="1" t="s">
        <v>757</v>
      </c>
      <c r="B9781" s="1" t="s">
        <v>1588</v>
      </c>
      <c r="C9781" s="1" t="s">
        <v>337</v>
      </c>
      <c r="D9781" s="3">
        <f t="shared" si="1532"/>
        <v>8773</v>
      </c>
      <c r="E9781" s="2">
        <f t="shared" si="1533"/>
        <v>43952</v>
      </c>
      <c r="F9781" s="2">
        <f t="shared" si="1534"/>
        <v>44104</v>
      </c>
    </row>
    <row r="9782" spans="1:6" x14ac:dyDescent="0.25">
      <c r="A9782" s="1" t="s">
        <v>757</v>
      </c>
      <c r="B9782" s="1" t="s">
        <v>1588</v>
      </c>
      <c r="C9782" s="1" t="s">
        <v>73</v>
      </c>
      <c r="D9782" s="3">
        <f t="shared" si="1532"/>
        <v>8773</v>
      </c>
      <c r="E9782" s="2">
        <f t="shared" si="1533"/>
        <v>43952</v>
      </c>
      <c r="F9782" s="2">
        <f t="shared" si="1534"/>
        <v>44104</v>
      </c>
    </row>
    <row r="9783" spans="1:6" x14ac:dyDescent="0.25">
      <c r="A9783" s="1" t="s">
        <v>757</v>
      </c>
      <c r="B9783" s="1" t="s">
        <v>1588</v>
      </c>
      <c r="C9783" s="1" t="s">
        <v>52</v>
      </c>
      <c r="D9783" s="3">
        <f t="shared" si="1532"/>
        <v>8773</v>
      </c>
      <c r="E9783" s="2">
        <f t="shared" si="1533"/>
        <v>43952</v>
      </c>
      <c r="F9783" s="2">
        <f t="shared" si="1534"/>
        <v>44104</v>
      </c>
    </row>
    <row r="9784" spans="1:6" x14ac:dyDescent="0.25">
      <c r="A9784" s="1" t="s">
        <v>757</v>
      </c>
      <c r="B9784" s="1" t="s">
        <v>1588</v>
      </c>
      <c r="C9784" s="1" t="s">
        <v>338</v>
      </c>
      <c r="D9784" s="3">
        <f t="shared" si="1532"/>
        <v>8773</v>
      </c>
      <c r="E9784" s="2">
        <f t="shared" si="1533"/>
        <v>43952</v>
      </c>
      <c r="F9784" s="2">
        <f t="shared" si="1534"/>
        <v>44104</v>
      </c>
    </row>
    <row r="9785" spans="1:6" x14ac:dyDescent="0.25">
      <c r="A9785" s="1" t="s">
        <v>757</v>
      </c>
      <c r="B9785" s="1" t="s">
        <v>1588</v>
      </c>
      <c r="C9785" s="1" t="s">
        <v>34</v>
      </c>
      <c r="D9785" s="3">
        <f t="shared" si="1532"/>
        <v>8773</v>
      </c>
      <c r="E9785" s="2">
        <f t="shared" si="1533"/>
        <v>43952</v>
      </c>
      <c r="F9785" s="2">
        <f t="shared" si="1534"/>
        <v>44104</v>
      </c>
    </row>
    <row r="9786" spans="1:6" x14ac:dyDescent="0.25">
      <c r="A9786" s="1" t="s">
        <v>757</v>
      </c>
      <c r="B9786" s="1" t="s">
        <v>1588</v>
      </c>
      <c r="C9786" s="1" t="s">
        <v>490</v>
      </c>
      <c r="D9786" s="3">
        <f t="shared" si="1532"/>
        <v>8773</v>
      </c>
      <c r="E9786" s="2">
        <f t="shared" si="1533"/>
        <v>43952</v>
      </c>
      <c r="F9786" s="2">
        <f t="shared" si="1534"/>
        <v>44104</v>
      </c>
    </row>
    <row r="9787" spans="1:6" x14ac:dyDescent="0.25">
      <c r="A9787" s="1" t="s">
        <v>757</v>
      </c>
      <c r="B9787" s="1" t="s">
        <v>1565</v>
      </c>
      <c r="C9787" s="1" t="s">
        <v>609</v>
      </c>
      <c r="D9787" s="3">
        <f>VALUE("8744")</f>
        <v>8744</v>
      </c>
      <c r="E9787" s="2">
        <f>DATEVALUE("1-4-2020")</f>
        <v>43922</v>
      </c>
      <c r="F9787" s="2">
        <f t="shared" ref="F9787:F9812" si="1535">DATEVALUE("31-7-2020")</f>
        <v>44043</v>
      </c>
    </row>
    <row r="9788" spans="1:6" x14ac:dyDescent="0.25">
      <c r="A9788" s="1" t="s">
        <v>757</v>
      </c>
      <c r="B9788" s="1" t="s">
        <v>1565</v>
      </c>
      <c r="C9788" s="1" t="s">
        <v>67</v>
      </c>
      <c r="D9788" s="3">
        <f>VALUE("8744")</f>
        <v>8744</v>
      </c>
      <c r="E9788" s="2">
        <f>DATEVALUE("1-4-2020")</f>
        <v>43922</v>
      </c>
      <c r="F9788" s="2">
        <f t="shared" si="1535"/>
        <v>44043</v>
      </c>
    </row>
    <row r="9789" spans="1:6" x14ac:dyDescent="0.25">
      <c r="A9789" s="1" t="s">
        <v>757</v>
      </c>
      <c r="B9789" s="1" t="s">
        <v>1565</v>
      </c>
      <c r="C9789" s="1" t="s">
        <v>593</v>
      </c>
      <c r="D9789" s="3">
        <f>VALUE("8744")</f>
        <v>8744</v>
      </c>
      <c r="E9789" s="2">
        <f>DATEVALUE("1-4-2020")</f>
        <v>43922</v>
      </c>
      <c r="F9789" s="2">
        <f t="shared" si="1535"/>
        <v>44043</v>
      </c>
    </row>
    <row r="9790" spans="1:6" x14ac:dyDescent="0.25">
      <c r="A9790" s="1" t="s">
        <v>757</v>
      </c>
      <c r="B9790" s="1" t="s">
        <v>1565</v>
      </c>
      <c r="C9790" s="1" t="s">
        <v>1566</v>
      </c>
      <c r="D9790" s="3">
        <f>VALUE("8744")</f>
        <v>8744</v>
      </c>
      <c r="E9790" s="2">
        <f>DATEVALUE("1-4-2020")</f>
        <v>43922</v>
      </c>
      <c r="F9790" s="2">
        <f t="shared" si="1535"/>
        <v>44043</v>
      </c>
    </row>
    <row r="9791" spans="1:6" x14ac:dyDescent="0.25">
      <c r="A9791" s="1" t="s">
        <v>757</v>
      </c>
      <c r="B9791" s="1" t="s">
        <v>1565</v>
      </c>
      <c r="C9791" s="1" t="s">
        <v>52</v>
      </c>
      <c r="D9791" s="3">
        <f>VALUE("8744")</f>
        <v>8744</v>
      </c>
      <c r="E9791" s="2">
        <f>DATEVALUE("1-4-2020")</f>
        <v>43922</v>
      </c>
      <c r="F9791" s="2">
        <f t="shared" si="1535"/>
        <v>44043</v>
      </c>
    </row>
    <row r="9792" spans="1:6" x14ac:dyDescent="0.25">
      <c r="A9792" s="1" t="s">
        <v>757</v>
      </c>
      <c r="B9792" s="1" t="s">
        <v>1829</v>
      </c>
      <c r="C9792" s="1" t="s">
        <v>43</v>
      </c>
      <c r="D9792" s="3">
        <f t="shared" ref="D9792:D9812" si="1536">VALUE("8709")</f>
        <v>8709</v>
      </c>
      <c r="E9792" s="2">
        <f t="shared" ref="E9792:E9823" si="1537">DATEVALUE("1-3-2020")</f>
        <v>43891</v>
      </c>
      <c r="F9792" s="2">
        <f t="shared" si="1535"/>
        <v>44043</v>
      </c>
    </row>
    <row r="9793" spans="1:6" x14ac:dyDescent="0.25">
      <c r="A9793" s="1" t="s">
        <v>757</v>
      </c>
      <c r="B9793" s="1" t="s">
        <v>1829</v>
      </c>
      <c r="C9793" s="1" t="s">
        <v>14</v>
      </c>
      <c r="D9793" s="3">
        <f t="shared" si="1536"/>
        <v>8709</v>
      </c>
      <c r="E9793" s="2">
        <f t="shared" si="1537"/>
        <v>43891</v>
      </c>
      <c r="F9793" s="2">
        <f t="shared" si="1535"/>
        <v>44043</v>
      </c>
    </row>
    <row r="9794" spans="1:6" x14ac:dyDescent="0.25">
      <c r="A9794" s="1" t="s">
        <v>757</v>
      </c>
      <c r="B9794" s="1" t="s">
        <v>1829</v>
      </c>
      <c r="C9794" s="1" t="s">
        <v>15</v>
      </c>
      <c r="D9794" s="3">
        <f t="shared" si="1536"/>
        <v>8709</v>
      </c>
      <c r="E9794" s="2">
        <f t="shared" si="1537"/>
        <v>43891</v>
      </c>
      <c r="F9794" s="2">
        <f t="shared" si="1535"/>
        <v>44043</v>
      </c>
    </row>
    <row r="9795" spans="1:6" x14ac:dyDescent="0.25">
      <c r="A9795" s="1" t="s">
        <v>757</v>
      </c>
      <c r="B9795" s="1" t="s">
        <v>1829</v>
      </c>
      <c r="C9795" s="1" t="s">
        <v>17</v>
      </c>
      <c r="D9795" s="3">
        <f t="shared" si="1536"/>
        <v>8709</v>
      </c>
      <c r="E9795" s="2">
        <f t="shared" si="1537"/>
        <v>43891</v>
      </c>
      <c r="F9795" s="2">
        <f t="shared" si="1535"/>
        <v>44043</v>
      </c>
    </row>
    <row r="9796" spans="1:6" x14ac:dyDescent="0.25">
      <c r="A9796" s="1" t="s">
        <v>757</v>
      </c>
      <c r="B9796" s="1" t="s">
        <v>1829</v>
      </c>
      <c r="C9796" s="1" t="s">
        <v>91</v>
      </c>
      <c r="D9796" s="3">
        <f t="shared" si="1536"/>
        <v>8709</v>
      </c>
      <c r="E9796" s="2">
        <f t="shared" si="1537"/>
        <v>43891</v>
      </c>
      <c r="F9796" s="2">
        <f t="shared" si="1535"/>
        <v>44043</v>
      </c>
    </row>
    <row r="9797" spans="1:6" x14ac:dyDescent="0.25">
      <c r="A9797" s="1" t="s">
        <v>757</v>
      </c>
      <c r="B9797" s="1" t="s">
        <v>1829</v>
      </c>
      <c r="C9797" s="1" t="s">
        <v>22</v>
      </c>
      <c r="D9797" s="3">
        <f t="shared" si="1536"/>
        <v>8709</v>
      </c>
      <c r="E9797" s="2">
        <f t="shared" si="1537"/>
        <v>43891</v>
      </c>
      <c r="F9797" s="2">
        <f t="shared" si="1535"/>
        <v>44043</v>
      </c>
    </row>
    <row r="9798" spans="1:6" x14ac:dyDescent="0.25">
      <c r="A9798" s="1" t="s">
        <v>757</v>
      </c>
      <c r="B9798" s="1" t="s">
        <v>1829</v>
      </c>
      <c r="C9798" s="1" t="s">
        <v>146</v>
      </c>
      <c r="D9798" s="3">
        <f t="shared" si="1536"/>
        <v>8709</v>
      </c>
      <c r="E9798" s="2">
        <f t="shared" si="1537"/>
        <v>43891</v>
      </c>
      <c r="F9798" s="2">
        <f t="shared" si="1535"/>
        <v>44043</v>
      </c>
    </row>
    <row r="9799" spans="1:6" x14ac:dyDescent="0.25">
      <c r="A9799" s="1" t="s">
        <v>757</v>
      </c>
      <c r="B9799" s="1" t="s">
        <v>1829</v>
      </c>
      <c r="C9799" s="1" t="s">
        <v>67</v>
      </c>
      <c r="D9799" s="3">
        <f t="shared" si="1536"/>
        <v>8709</v>
      </c>
      <c r="E9799" s="2">
        <f t="shared" si="1537"/>
        <v>43891</v>
      </c>
      <c r="F9799" s="2">
        <f t="shared" si="1535"/>
        <v>44043</v>
      </c>
    </row>
    <row r="9800" spans="1:6" x14ac:dyDescent="0.25">
      <c r="A9800" s="1" t="s">
        <v>757</v>
      </c>
      <c r="B9800" s="1" t="s">
        <v>1829</v>
      </c>
      <c r="C9800" s="1" t="s">
        <v>384</v>
      </c>
      <c r="D9800" s="3">
        <f t="shared" si="1536"/>
        <v>8709</v>
      </c>
      <c r="E9800" s="2">
        <f t="shared" si="1537"/>
        <v>43891</v>
      </c>
      <c r="F9800" s="2">
        <f t="shared" si="1535"/>
        <v>44043</v>
      </c>
    </row>
    <row r="9801" spans="1:6" x14ac:dyDescent="0.25">
      <c r="A9801" s="1" t="s">
        <v>757</v>
      </c>
      <c r="B9801" s="1" t="s">
        <v>1829</v>
      </c>
      <c r="C9801" s="1" t="s">
        <v>387</v>
      </c>
      <c r="D9801" s="3">
        <f t="shared" si="1536"/>
        <v>8709</v>
      </c>
      <c r="E9801" s="2">
        <f t="shared" si="1537"/>
        <v>43891</v>
      </c>
      <c r="F9801" s="2">
        <f t="shared" si="1535"/>
        <v>44043</v>
      </c>
    </row>
    <row r="9802" spans="1:6" x14ac:dyDescent="0.25">
      <c r="A9802" s="1" t="s">
        <v>757</v>
      </c>
      <c r="B9802" s="1" t="s">
        <v>1829</v>
      </c>
      <c r="C9802" s="1" t="s">
        <v>388</v>
      </c>
      <c r="D9802" s="3">
        <f t="shared" si="1536"/>
        <v>8709</v>
      </c>
      <c r="E9802" s="2">
        <f t="shared" si="1537"/>
        <v>43891</v>
      </c>
      <c r="F9802" s="2">
        <f t="shared" si="1535"/>
        <v>44043</v>
      </c>
    </row>
    <row r="9803" spans="1:6" x14ac:dyDescent="0.25">
      <c r="A9803" s="1" t="s">
        <v>757</v>
      </c>
      <c r="B9803" s="1" t="s">
        <v>1829</v>
      </c>
      <c r="C9803" s="1" t="s">
        <v>839</v>
      </c>
      <c r="D9803" s="3">
        <f t="shared" si="1536"/>
        <v>8709</v>
      </c>
      <c r="E9803" s="2">
        <f t="shared" si="1537"/>
        <v>43891</v>
      </c>
      <c r="F9803" s="2">
        <f t="shared" si="1535"/>
        <v>44043</v>
      </c>
    </row>
    <row r="9804" spans="1:6" x14ac:dyDescent="0.25">
      <c r="A9804" s="1" t="s">
        <v>757</v>
      </c>
      <c r="B9804" s="1" t="s">
        <v>1829</v>
      </c>
      <c r="C9804" s="1" t="s">
        <v>94</v>
      </c>
      <c r="D9804" s="3">
        <f t="shared" si="1536"/>
        <v>8709</v>
      </c>
      <c r="E9804" s="2">
        <f t="shared" si="1537"/>
        <v>43891</v>
      </c>
      <c r="F9804" s="2">
        <f t="shared" si="1535"/>
        <v>44043</v>
      </c>
    </row>
    <row r="9805" spans="1:6" x14ac:dyDescent="0.25">
      <c r="A9805" s="1" t="s">
        <v>757</v>
      </c>
      <c r="B9805" s="1" t="s">
        <v>1829</v>
      </c>
      <c r="C9805" s="1" t="s">
        <v>24</v>
      </c>
      <c r="D9805" s="3">
        <f t="shared" si="1536"/>
        <v>8709</v>
      </c>
      <c r="E9805" s="2">
        <f t="shared" si="1537"/>
        <v>43891</v>
      </c>
      <c r="F9805" s="2">
        <f t="shared" si="1535"/>
        <v>44043</v>
      </c>
    </row>
    <row r="9806" spans="1:6" x14ac:dyDescent="0.25">
      <c r="A9806" s="1" t="s">
        <v>757</v>
      </c>
      <c r="B9806" s="1" t="s">
        <v>1829</v>
      </c>
      <c r="C9806" s="1" t="s">
        <v>70</v>
      </c>
      <c r="D9806" s="3">
        <f t="shared" si="1536"/>
        <v>8709</v>
      </c>
      <c r="E9806" s="2">
        <f t="shared" si="1537"/>
        <v>43891</v>
      </c>
      <c r="F9806" s="2">
        <f t="shared" si="1535"/>
        <v>44043</v>
      </c>
    </row>
    <row r="9807" spans="1:6" x14ac:dyDescent="0.25">
      <c r="A9807" s="1" t="s">
        <v>757</v>
      </c>
      <c r="B9807" s="1" t="s">
        <v>1829</v>
      </c>
      <c r="C9807" s="1" t="s">
        <v>52</v>
      </c>
      <c r="D9807" s="3">
        <f t="shared" si="1536"/>
        <v>8709</v>
      </c>
      <c r="E9807" s="2">
        <f t="shared" si="1537"/>
        <v>43891</v>
      </c>
      <c r="F9807" s="2">
        <f t="shared" si="1535"/>
        <v>44043</v>
      </c>
    </row>
    <row r="9808" spans="1:6" x14ac:dyDescent="0.25">
      <c r="A9808" s="1" t="s">
        <v>757</v>
      </c>
      <c r="B9808" s="1" t="s">
        <v>1829</v>
      </c>
      <c r="C9808" s="1" t="s">
        <v>34</v>
      </c>
      <c r="D9808" s="3">
        <f t="shared" si="1536"/>
        <v>8709</v>
      </c>
      <c r="E9808" s="2">
        <f t="shared" si="1537"/>
        <v>43891</v>
      </c>
      <c r="F9808" s="2">
        <f t="shared" si="1535"/>
        <v>44043</v>
      </c>
    </row>
    <row r="9809" spans="1:6" x14ac:dyDescent="0.25">
      <c r="A9809" s="1" t="s">
        <v>757</v>
      </c>
      <c r="B9809" s="1" t="s">
        <v>1829</v>
      </c>
      <c r="C9809" s="1" t="s">
        <v>379</v>
      </c>
      <c r="D9809" s="3">
        <f t="shared" si="1536"/>
        <v>8709</v>
      </c>
      <c r="E9809" s="2">
        <f t="shared" si="1537"/>
        <v>43891</v>
      </c>
      <c r="F9809" s="2">
        <f t="shared" si="1535"/>
        <v>44043</v>
      </c>
    </row>
    <row r="9810" spans="1:6" x14ac:dyDescent="0.25">
      <c r="A9810" s="1" t="s">
        <v>757</v>
      </c>
      <c r="B9810" s="1" t="s">
        <v>1829</v>
      </c>
      <c r="C9810" s="1" t="s">
        <v>380</v>
      </c>
      <c r="D9810" s="3">
        <f t="shared" si="1536"/>
        <v>8709</v>
      </c>
      <c r="E9810" s="2">
        <f t="shared" si="1537"/>
        <v>43891</v>
      </c>
      <c r="F9810" s="2">
        <f t="shared" si="1535"/>
        <v>44043</v>
      </c>
    </row>
    <row r="9811" spans="1:6" x14ac:dyDescent="0.25">
      <c r="A9811" s="1" t="s">
        <v>757</v>
      </c>
      <c r="B9811" s="1" t="s">
        <v>1829</v>
      </c>
      <c r="C9811" s="1" t="s">
        <v>381</v>
      </c>
      <c r="D9811" s="3">
        <f t="shared" si="1536"/>
        <v>8709</v>
      </c>
      <c r="E9811" s="2">
        <f t="shared" si="1537"/>
        <v>43891</v>
      </c>
      <c r="F9811" s="2">
        <f t="shared" si="1535"/>
        <v>44043</v>
      </c>
    </row>
    <row r="9812" spans="1:6" x14ac:dyDescent="0.25">
      <c r="A9812" s="1" t="s">
        <v>757</v>
      </c>
      <c r="B9812" s="1" t="s">
        <v>1829</v>
      </c>
      <c r="C9812" s="1" t="s">
        <v>170</v>
      </c>
      <c r="D9812" s="3">
        <f t="shared" si="1536"/>
        <v>8709</v>
      </c>
      <c r="E9812" s="2">
        <f t="shared" si="1537"/>
        <v>43891</v>
      </c>
      <c r="F9812" s="2">
        <f t="shared" si="1535"/>
        <v>44043</v>
      </c>
    </row>
    <row r="9813" spans="1:6" x14ac:dyDescent="0.25">
      <c r="A9813" s="1" t="s">
        <v>757</v>
      </c>
      <c r="B9813" s="1" t="s">
        <v>1833</v>
      </c>
      <c r="C9813" s="1" t="s">
        <v>7</v>
      </c>
      <c r="D9813" s="3">
        <f>VALUE("8727")</f>
        <v>8727</v>
      </c>
      <c r="E9813" s="2">
        <f t="shared" si="1537"/>
        <v>43891</v>
      </c>
      <c r="F9813" s="2">
        <f>DATEVALUE("30-6-2020")</f>
        <v>44012</v>
      </c>
    </row>
    <row r="9814" spans="1:6" x14ac:dyDescent="0.25">
      <c r="A9814" s="1" t="s">
        <v>757</v>
      </c>
      <c r="B9814" s="1" t="s">
        <v>1833</v>
      </c>
      <c r="C9814" s="1" t="s">
        <v>599</v>
      </c>
      <c r="D9814" s="3">
        <f>VALUE("8727")</f>
        <v>8727</v>
      </c>
      <c r="E9814" s="2">
        <f t="shared" si="1537"/>
        <v>43891</v>
      </c>
      <c r="F9814" s="2">
        <f>DATEVALUE("30-6-2020")</f>
        <v>44012</v>
      </c>
    </row>
    <row r="9815" spans="1:6" x14ac:dyDescent="0.25">
      <c r="A9815" s="1" t="s">
        <v>757</v>
      </c>
      <c r="B9815" s="1" t="s">
        <v>1539</v>
      </c>
      <c r="C9815" s="1" t="s">
        <v>61</v>
      </c>
      <c r="D9815" s="3">
        <f t="shared" ref="D9815:D9823" si="1538">VALUE("8728")</f>
        <v>8728</v>
      </c>
      <c r="E9815" s="2">
        <f t="shared" si="1537"/>
        <v>43891</v>
      </c>
      <c r="F9815" s="2">
        <f t="shared" ref="F9815:F9823" si="1539">DATEVALUE("31-12-2020")</f>
        <v>44196</v>
      </c>
    </row>
    <row r="9816" spans="1:6" x14ac:dyDescent="0.25">
      <c r="A9816" s="1" t="s">
        <v>757</v>
      </c>
      <c r="B9816" s="1" t="s">
        <v>1539</v>
      </c>
      <c r="C9816" s="1" t="s">
        <v>15</v>
      </c>
      <c r="D9816" s="3">
        <f t="shared" si="1538"/>
        <v>8728</v>
      </c>
      <c r="E9816" s="2">
        <f t="shared" si="1537"/>
        <v>43891</v>
      </c>
      <c r="F9816" s="2">
        <f t="shared" si="1539"/>
        <v>44196</v>
      </c>
    </row>
    <row r="9817" spans="1:6" x14ac:dyDescent="0.25">
      <c r="A9817" s="1" t="s">
        <v>757</v>
      </c>
      <c r="B9817" s="1" t="s">
        <v>1539</v>
      </c>
      <c r="C9817" s="1" t="s">
        <v>17</v>
      </c>
      <c r="D9817" s="3">
        <f t="shared" si="1538"/>
        <v>8728</v>
      </c>
      <c r="E9817" s="2">
        <f t="shared" si="1537"/>
        <v>43891</v>
      </c>
      <c r="F9817" s="2">
        <f t="shared" si="1539"/>
        <v>44196</v>
      </c>
    </row>
    <row r="9818" spans="1:6" x14ac:dyDescent="0.25">
      <c r="A9818" s="1" t="s">
        <v>757</v>
      </c>
      <c r="B9818" s="1" t="s">
        <v>1539</v>
      </c>
      <c r="C9818" s="1" t="s">
        <v>22</v>
      </c>
      <c r="D9818" s="3">
        <f t="shared" si="1538"/>
        <v>8728</v>
      </c>
      <c r="E9818" s="2">
        <f t="shared" si="1537"/>
        <v>43891</v>
      </c>
      <c r="F9818" s="2">
        <f t="shared" si="1539"/>
        <v>44196</v>
      </c>
    </row>
    <row r="9819" spans="1:6" x14ac:dyDescent="0.25">
      <c r="A9819" s="1" t="s">
        <v>757</v>
      </c>
      <c r="B9819" s="1" t="s">
        <v>1539</v>
      </c>
      <c r="C9819" s="1" t="s">
        <v>67</v>
      </c>
      <c r="D9819" s="3">
        <f t="shared" si="1538"/>
        <v>8728</v>
      </c>
      <c r="E9819" s="2">
        <f t="shared" si="1537"/>
        <v>43891</v>
      </c>
      <c r="F9819" s="2">
        <f t="shared" si="1539"/>
        <v>44196</v>
      </c>
    </row>
    <row r="9820" spans="1:6" x14ac:dyDescent="0.25">
      <c r="A9820" s="1" t="s">
        <v>757</v>
      </c>
      <c r="B9820" s="1" t="s">
        <v>1539</v>
      </c>
      <c r="C9820" s="1" t="s">
        <v>149</v>
      </c>
      <c r="D9820" s="3">
        <f t="shared" si="1538"/>
        <v>8728</v>
      </c>
      <c r="E9820" s="2">
        <f t="shared" si="1537"/>
        <v>43891</v>
      </c>
      <c r="F9820" s="2">
        <f t="shared" si="1539"/>
        <v>44196</v>
      </c>
    </row>
    <row r="9821" spans="1:6" x14ac:dyDescent="0.25">
      <c r="A9821" s="1" t="s">
        <v>757</v>
      </c>
      <c r="B9821" s="1" t="s">
        <v>1539</v>
      </c>
      <c r="C9821" s="1" t="s">
        <v>70</v>
      </c>
      <c r="D9821" s="3">
        <f t="shared" si="1538"/>
        <v>8728</v>
      </c>
      <c r="E9821" s="2">
        <f t="shared" si="1537"/>
        <v>43891</v>
      </c>
      <c r="F9821" s="2">
        <f t="shared" si="1539"/>
        <v>44196</v>
      </c>
    </row>
    <row r="9822" spans="1:6" x14ac:dyDescent="0.25">
      <c r="A9822" s="1" t="s">
        <v>757</v>
      </c>
      <c r="B9822" s="1" t="s">
        <v>1539</v>
      </c>
      <c r="C9822" s="1" t="s">
        <v>72</v>
      </c>
      <c r="D9822" s="3">
        <f t="shared" si="1538"/>
        <v>8728</v>
      </c>
      <c r="E9822" s="2">
        <f t="shared" si="1537"/>
        <v>43891</v>
      </c>
      <c r="F9822" s="2">
        <f t="shared" si="1539"/>
        <v>44196</v>
      </c>
    </row>
    <row r="9823" spans="1:6" x14ac:dyDescent="0.25">
      <c r="A9823" s="1" t="s">
        <v>757</v>
      </c>
      <c r="B9823" s="1" t="s">
        <v>1539</v>
      </c>
      <c r="C9823" s="1" t="s">
        <v>52</v>
      </c>
      <c r="D9823" s="3">
        <f t="shared" si="1538"/>
        <v>8728</v>
      </c>
      <c r="E9823" s="2">
        <f t="shared" si="1537"/>
        <v>43891</v>
      </c>
      <c r="F9823" s="2">
        <f t="shared" si="1539"/>
        <v>44196</v>
      </c>
    </row>
    <row r="9824" spans="1:6" x14ac:dyDescent="0.25">
      <c r="A9824" s="1" t="s">
        <v>757</v>
      </c>
      <c r="B9824" s="1" t="s">
        <v>2484</v>
      </c>
      <c r="C9824" s="1" t="s">
        <v>1473</v>
      </c>
      <c r="D9824" s="3">
        <f>VALUE("8653")</f>
        <v>8653</v>
      </c>
      <c r="E9824" s="2">
        <f>DATEVALUE("1-12-2019")</f>
        <v>43800</v>
      </c>
      <c r="F9824" s="2">
        <f>DATEVALUE("31-1-2020")</f>
        <v>43861</v>
      </c>
    </row>
    <row r="9825" spans="1:6" x14ac:dyDescent="0.25">
      <c r="A9825" s="1" t="s">
        <v>757</v>
      </c>
      <c r="B9825" s="1" t="s">
        <v>2469</v>
      </c>
      <c r="C9825" s="1" t="s">
        <v>7</v>
      </c>
      <c r="D9825" s="3">
        <f t="shared" ref="D9825:D9834" si="1540">VALUE("8626")</f>
        <v>8626</v>
      </c>
      <c r="E9825" s="2">
        <f t="shared" ref="E9825:E9834" si="1541">DATEVALUE("1-10-2019")</f>
        <v>43739</v>
      </c>
      <c r="F9825" s="2">
        <f t="shared" ref="F9825:F9834" si="1542">DATEVALUE("30-4-2020")</f>
        <v>43951</v>
      </c>
    </row>
    <row r="9826" spans="1:6" x14ac:dyDescent="0.25">
      <c r="A9826" s="1" t="s">
        <v>757</v>
      </c>
      <c r="B9826" s="1" t="s">
        <v>2469</v>
      </c>
      <c r="C9826" s="1" t="s">
        <v>599</v>
      </c>
      <c r="D9826" s="3">
        <f t="shared" si="1540"/>
        <v>8626</v>
      </c>
      <c r="E9826" s="2">
        <f t="shared" si="1541"/>
        <v>43739</v>
      </c>
      <c r="F9826" s="2">
        <f t="shared" si="1542"/>
        <v>43951</v>
      </c>
    </row>
    <row r="9827" spans="1:6" x14ac:dyDescent="0.25">
      <c r="A9827" s="1" t="s">
        <v>757</v>
      </c>
      <c r="B9827" s="1" t="s">
        <v>2469</v>
      </c>
      <c r="C9827" s="1" t="s">
        <v>13</v>
      </c>
      <c r="D9827" s="3">
        <f t="shared" si="1540"/>
        <v>8626</v>
      </c>
      <c r="E9827" s="2">
        <f t="shared" si="1541"/>
        <v>43739</v>
      </c>
      <c r="F9827" s="2">
        <f t="shared" si="1542"/>
        <v>43951</v>
      </c>
    </row>
    <row r="9828" spans="1:6" x14ac:dyDescent="0.25">
      <c r="A9828" s="1" t="s">
        <v>757</v>
      </c>
      <c r="B9828" s="1" t="s">
        <v>2469</v>
      </c>
      <c r="C9828" s="1" t="s">
        <v>17</v>
      </c>
      <c r="D9828" s="3">
        <f t="shared" si="1540"/>
        <v>8626</v>
      </c>
      <c r="E9828" s="2">
        <f t="shared" si="1541"/>
        <v>43739</v>
      </c>
      <c r="F9828" s="2">
        <f t="shared" si="1542"/>
        <v>43951</v>
      </c>
    </row>
    <row r="9829" spans="1:6" x14ac:dyDescent="0.25">
      <c r="A9829" s="1" t="s">
        <v>757</v>
      </c>
      <c r="B9829" s="1" t="s">
        <v>2469</v>
      </c>
      <c r="C9829" s="1" t="s">
        <v>22</v>
      </c>
      <c r="D9829" s="3">
        <f t="shared" si="1540"/>
        <v>8626</v>
      </c>
      <c r="E9829" s="2">
        <f t="shared" si="1541"/>
        <v>43739</v>
      </c>
      <c r="F9829" s="2">
        <f t="shared" si="1542"/>
        <v>43951</v>
      </c>
    </row>
    <row r="9830" spans="1:6" x14ac:dyDescent="0.25">
      <c r="A9830" s="1" t="s">
        <v>757</v>
      </c>
      <c r="B9830" s="1" t="s">
        <v>2469</v>
      </c>
      <c r="C9830" s="1" t="s">
        <v>1687</v>
      </c>
      <c r="D9830" s="3">
        <f t="shared" si="1540"/>
        <v>8626</v>
      </c>
      <c r="E9830" s="2">
        <f t="shared" si="1541"/>
        <v>43739</v>
      </c>
      <c r="F9830" s="2">
        <f t="shared" si="1542"/>
        <v>43951</v>
      </c>
    </row>
    <row r="9831" spans="1:6" x14ac:dyDescent="0.25">
      <c r="A9831" s="1" t="s">
        <v>757</v>
      </c>
      <c r="B9831" s="1" t="s">
        <v>2469</v>
      </c>
      <c r="C9831" s="1" t="s">
        <v>1688</v>
      </c>
      <c r="D9831" s="3">
        <f t="shared" si="1540"/>
        <v>8626</v>
      </c>
      <c r="E9831" s="2">
        <f t="shared" si="1541"/>
        <v>43739</v>
      </c>
      <c r="F9831" s="2">
        <f t="shared" si="1542"/>
        <v>43951</v>
      </c>
    </row>
    <row r="9832" spans="1:6" x14ac:dyDescent="0.25">
      <c r="A9832" s="1" t="s">
        <v>757</v>
      </c>
      <c r="B9832" s="1" t="s">
        <v>2469</v>
      </c>
      <c r="C9832" s="1" t="s">
        <v>1689</v>
      </c>
      <c r="D9832" s="3">
        <f t="shared" si="1540"/>
        <v>8626</v>
      </c>
      <c r="E9832" s="2">
        <f t="shared" si="1541"/>
        <v>43739</v>
      </c>
      <c r="F9832" s="2">
        <f t="shared" si="1542"/>
        <v>43951</v>
      </c>
    </row>
    <row r="9833" spans="1:6" x14ac:dyDescent="0.25">
      <c r="A9833" s="1" t="s">
        <v>757</v>
      </c>
      <c r="B9833" s="1" t="s">
        <v>2469</v>
      </c>
      <c r="C9833" s="1" t="s">
        <v>212</v>
      </c>
      <c r="D9833" s="3">
        <f t="shared" si="1540"/>
        <v>8626</v>
      </c>
      <c r="E9833" s="2">
        <f t="shared" si="1541"/>
        <v>43739</v>
      </c>
      <c r="F9833" s="2">
        <f t="shared" si="1542"/>
        <v>43951</v>
      </c>
    </row>
    <row r="9834" spans="1:6" x14ac:dyDescent="0.25">
      <c r="A9834" s="1" t="s">
        <v>757</v>
      </c>
      <c r="B9834" s="1" t="s">
        <v>2469</v>
      </c>
      <c r="C9834" s="1" t="s">
        <v>52</v>
      </c>
      <c r="D9834" s="3">
        <f t="shared" si="1540"/>
        <v>8626</v>
      </c>
      <c r="E9834" s="2">
        <f t="shared" si="1541"/>
        <v>43739</v>
      </c>
      <c r="F9834" s="2">
        <f t="shared" si="1542"/>
        <v>43951</v>
      </c>
    </row>
    <row r="9835" spans="1:6" x14ac:dyDescent="0.25">
      <c r="A9835" s="1" t="s">
        <v>757</v>
      </c>
      <c r="B9835" s="1" t="s">
        <v>1368</v>
      </c>
      <c r="C9835" s="1" t="s">
        <v>61</v>
      </c>
      <c r="D9835" s="3">
        <f t="shared" ref="D9835:D9849" si="1543">VALUE("8595")</f>
        <v>8595</v>
      </c>
      <c r="E9835" s="2">
        <f t="shared" ref="E9835:E9876" si="1544">DATEVALUE("1-8-2019")</f>
        <v>43678</v>
      </c>
      <c r="F9835" s="2">
        <f t="shared" ref="F9835:F9849" si="1545">DATEVALUE("31-3-2020")</f>
        <v>43921</v>
      </c>
    </row>
    <row r="9836" spans="1:6" x14ac:dyDescent="0.25">
      <c r="A9836" s="1" t="s">
        <v>757</v>
      </c>
      <c r="B9836" s="1" t="s">
        <v>1368</v>
      </c>
      <c r="C9836" s="1" t="s">
        <v>45</v>
      </c>
      <c r="D9836" s="3">
        <f t="shared" si="1543"/>
        <v>8595</v>
      </c>
      <c r="E9836" s="2">
        <f t="shared" si="1544"/>
        <v>43678</v>
      </c>
      <c r="F9836" s="2">
        <f t="shared" si="1545"/>
        <v>43921</v>
      </c>
    </row>
    <row r="9837" spans="1:6" x14ac:dyDescent="0.25">
      <c r="A9837" s="1" t="s">
        <v>757</v>
      </c>
      <c r="B9837" s="1" t="s">
        <v>1368</v>
      </c>
      <c r="C9837" s="1" t="s">
        <v>14</v>
      </c>
      <c r="D9837" s="3">
        <f t="shared" si="1543"/>
        <v>8595</v>
      </c>
      <c r="E9837" s="2">
        <f t="shared" si="1544"/>
        <v>43678</v>
      </c>
      <c r="F9837" s="2">
        <f t="shared" si="1545"/>
        <v>43921</v>
      </c>
    </row>
    <row r="9838" spans="1:6" x14ac:dyDescent="0.25">
      <c r="A9838" s="1" t="s">
        <v>757</v>
      </c>
      <c r="B9838" s="1" t="s">
        <v>1368</v>
      </c>
      <c r="C9838" s="1" t="s">
        <v>17</v>
      </c>
      <c r="D9838" s="3">
        <f t="shared" si="1543"/>
        <v>8595</v>
      </c>
      <c r="E9838" s="2">
        <f t="shared" si="1544"/>
        <v>43678</v>
      </c>
      <c r="F9838" s="2">
        <f t="shared" si="1545"/>
        <v>43921</v>
      </c>
    </row>
    <row r="9839" spans="1:6" x14ac:dyDescent="0.25">
      <c r="A9839" s="1" t="s">
        <v>757</v>
      </c>
      <c r="B9839" s="1" t="s">
        <v>1368</v>
      </c>
      <c r="C9839" s="1" t="s">
        <v>22</v>
      </c>
      <c r="D9839" s="3">
        <f t="shared" si="1543"/>
        <v>8595</v>
      </c>
      <c r="E9839" s="2">
        <f t="shared" si="1544"/>
        <v>43678</v>
      </c>
      <c r="F9839" s="2">
        <f t="shared" si="1545"/>
        <v>43921</v>
      </c>
    </row>
    <row r="9840" spans="1:6" x14ac:dyDescent="0.25">
      <c r="A9840" s="1" t="s">
        <v>757</v>
      </c>
      <c r="B9840" s="1" t="s">
        <v>1368</v>
      </c>
      <c r="C9840" s="1" t="s">
        <v>67</v>
      </c>
      <c r="D9840" s="3">
        <f t="shared" si="1543"/>
        <v>8595</v>
      </c>
      <c r="E9840" s="2">
        <f t="shared" si="1544"/>
        <v>43678</v>
      </c>
      <c r="F9840" s="2">
        <f t="shared" si="1545"/>
        <v>43921</v>
      </c>
    </row>
    <row r="9841" spans="1:6" x14ac:dyDescent="0.25">
      <c r="A9841" s="1" t="s">
        <v>757</v>
      </c>
      <c r="B9841" s="1" t="s">
        <v>1368</v>
      </c>
      <c r="C9841" s="1" t="s">
        <v>149</v>
      </c>
      <c r="D9841" s="3">
        <f t="shared" si="1543"/>
        <v>8595</v>
      </c>
      <c r="E9841" s="2">
        <f t="shared" si="1544"/>
        <v>43678</v>
      </c>
      <c r="F9841" s="2">
        <f t="shared" si="1545"/>
        <v>43921</v>
      </c>
    </row>
    <row r="9842" spans="1:6" x14ac:dyDescent="0.25">
      <c r="A9842" s="1" t="s">
        <v>757</v>
      </c>
      <c r="B9842" s="1" t="s">
        <v>1368</v>
      </c>
      <c r="C9842" s="1" t="s">
        <v>69</v>
      </c>
      <c r="D9842" s="3">
        <f t="shared" si="1543"/>
        <v>8595</v>
      </c>
      <c r="E9842" s="2">
        <f t="shared" si="1544"/>
        <v>43678</v>
      </c>
      <c r="F9842" s="2">
        <f t="shared" si="1545"/>
        <v>43921</v>
      </c>
    </row>
    <row r="9843" spans="1:6" x14ac:dyDescent="0.25">
      <c r="A9843" s="1" t="s">
        <v>757</v>
      </c>
      <c r="B9843" s="1" t="s">
        <v>1368</v>
      </c>
      <c r="C9843" s="1" t="s">
        <v>70</v>
      </c>
      <c r="D9843" s="3">
        <f t="shared" si="1543"/>
        <v>8595</v>
      </c>
      <c r="E9843" s="2">
        <f t="shared" si="1544"/>
        <v>43678</v>
      </c>
      <c r="F9843" s="2">
        <f t="shared" si="1545"/>
        <v>43921</v>
      </c>
    </row>
    <row r="9844" spans="1:6" x14ac:dyDescent="0.25">
      <c r="A9844" s="1" t="s">
        <v>757</v>
      </c>
      <c r="B9844" s="1" t="s">
        <v>1368</v>
      </c>
      <c r="C9844" s="1" t="s">
        <v>72</v>
      </c>
      <c r="D9844" s="3">
        <f t="shared" si="1543"/>
        <v>8595</v>
      </c>
      <c r="E9844" s="2">
        <f t="shared" si="1544"/>
        <v>43678</v>
      </c>
      <c r="F9844" s="2">
        <f t="shared" si="1545"/>
        <v>43921</v>
      </c>
    </row>
    <row r="9845" spans="1:6" x14ac:dyDescent="0.25">
      <c r="A9845" s="1" t="s">
        <v>757</v>
      </c>
      <c r="B9845" s="1" t="s">
        <v>1368</v>
      </c>
      <c r="C9845" s="1" t="s">
        <v>337</v>
      </c>
      <c r="D9845" s="3">
        <f t="shared" si="1543"/>
        <v>8595</v>
      </c>
      <c r="E9845" s="2">
        <f t="shared" si="1544"/>
        <v>43678</v>
      </c>
      <c r="F9845" s="2">
        <f t="shared" si="1545"/>
        <v>43921</v>
      </c>
    </row>
    <row r="9846" spans="1:6" x14ac:dyDescent="0.25">
      <c r="A9846" s="1" t="s">
        <v>757</v>
      </c>
      <c r="B9846" s="1" t="s">
        <v>1368</v>
      </c>
      <c r="C9846" s="1" t="s">
        <v>73</v>
      </c>
      <c r="D9846" s="3">
        <f t="shared" si="1543"/>
        <v>8595</v>
      </c>
      <c r="E9846" s="2">
        <f t="shared" si="1544"/>
        <v>43678</v>
      </c>
      <c r="F9846" s="2">
        <f t="shared" si="1545"/>
        <v>43921</v>
      </c>
    </row>
    <row r="9847" spans="1:6" x14ac:dyDescent="0.25">
      <c r="A9847" s="1" t="s">
        <v>757</v>
      </c>
      <c r="B9847" s="1" t="s">
        <v>1368</v>
      </c>
      <c r="C9847" s="1" t="s">
        <v>52</v>
      </c>
      <c r="D9847" s="3">
        <f t="shared" si="1543"/>
        <v>8595</v>
      </c>
      <c r="E9847" s="2">
        <f t="shared" si="1544"/>
        <v>43678</v>
      </c>
      <c r="F9847" s="2">
        <f t="shared" si="1545"/>
        <v>43921</v>
      </c>
    </row>
    <row r="9848" spans="1:6" x14ac:dyDescent="0.25">
      <c r="A9848" s="1" t="s">
        <v>757</v>
      </c>
      <c r="B9848" s="1" t="s">
        <v>1368</v>
      </c>
      <c r="C9848" s="1" t="s">
        <v>338</v>
      </c>
      <c r="D9848" s="3">
        <f t="shared" si="1543"/>
        <v>8595</v>
      </c>
      <c r="E9848" s="2">
        <f t="shared" si="1544"/>
        <v>43678</v>
      </c>
      <c r="F9848" s="2">
        <f t="shared" si="1545"/>
        <v>43921</v>
      </c>
    </row>
    <row r="9849" spans="1:6" x14ac:dyDescent="0.25">
      <c r="A9849" s="1" t="s">
        <v>757</v>
      </c>
      <c r="B9849" s="1" t="s">
        <v>1368</v>
      </c>
      <c r="C9849" s="1" t="s">
        <v>490</v>
      </c>
      <c r="D9849" s="3">
        <f t="shared" si="1543"/>
        <v>8595</v>
      </c>
      <c r="E9849" s="2">
        <f t="shared" si="1544"/>
        <v>43678</v>
      </c>
      <c r="F9849" s="2">
        <f t="shared" si="1545"/>
        <v>43921</v>
      </c>
    </row>
    <row r="9850" spans="1:6" x14ac:dyDescent="0.25">
      <c r="A9850" s="1" t="s">
        <v>757</v>
      </c>
      <c r="B9850" s="1" t="s">
        <v>1821</v>
      </c>
      <c r="C9850" s="1" t="s">
        <v>61</v>
      </c>
      <c r="D9850" s="3">
        <f t="shared" ref="D9850:D9876" si="1546">VALUE("8596")</f>
        <v>8596</v>
      </c>
      <c r="E9850" s="2">
        <f t="shared" si="1544"/>
        <v>43678</v>
      </c>
      <c r="F9850" s="2">
        <f t="shared" ref="F9850:F9876" si="1547">DATEVALUE("30-6-2020")</f>
        <v>44012</v>
      </c>
    </row>
    <row r="9851" spans="1:6" x14ac:dyDescent="0.25">
      <c r="A9851" s="1" t="s">
        <v>757</v>
      </c>
      <c r="B9851" s="1" t="s">
        <v>1821</v>
      </c>
      <c r="C9851" s="1" t="s">
        <v>45</v>
      </c>
      <c r="D9851" s="3">
        <f t="shared" si="1546"/>
        <v>8596</v>
      </c>
      <c r="E9851" s="2">
        <f t="shared" si="1544"/>
        <v>43678</v>
      </c>
      <c r="F9851" s="2">
        <f t="shared" si="1547"/>
        <v>44012</v>
      </c>
    </row>
    <row r="9852" spans="1:6" x14ac:dyDescent="0.25">
      <c r="A9852" s="1" t="s">
        <v>757</v>
      </c>
      <c r="B9852" s="1" t="s">
        <v>1821</v>
      </c>
      <c r="C9852" s="1" t="s">
        <v>87</v>
      </c>
      <c r="D9852" s="3">
        <f t="shared" si="1546"/>
        <v>8596</v>
      </c>
      <c r="E9852" s="2">
        <f t="shared" si="1544"/>
        <v>43678</v>
      </c>
      <c r="F9852" s="2">
        <f t="shared" si="1547"/>
        <v>44012</v>
      </c>
    </row>
    <row r="9853" spans="1:6" x14ac:dyDescent="0.25">
      <c r="A9853" s="1" t="s">
        <v>757</v>
      </c>
      <c r="B9853" s="1" t="s">
        <v>1821</v>
      </c>
      <c r="C9853" s="1" t="s">
        <v>15</v>
      </c>
      <c r="D9853" s="3">
        <f t="shared" si="1546"/>
        <v>8596</v>
      </c>
      <c r="E9853" s="2">
        <f t="shared" si="1544"/>
        <v>43678</v>
      </c>
      <c r="F9853" s="2">
        <f t="shared" si="1547"/>
        <v>44012</v>
      </c>
    </row>
    <row r="9854" spans="1:6" x14ac:dyDescent="0.25">
      <c r="A9854" s="1" t="s">
        <v>757</v>
      </c>
      <c r="B9854" s="1" t="s">
        <v>1821</v>
      </c>
      <c r="C9854" s="1" t="s">
        <v>17</v>
      </c>
      <c r="D9854" s="3">
        <f t="shared" si="1546"/>
        <v>8596</v>
      </c>
      <c r="E9854" s="2">
        <f t="shared" si="1544"/>
        <v>43678</v>
      </c>
      <c r="F9854" s="2">
        <f t="shared" si="1547"/>
        <v>44012</v>
      </c>
    </row>
    <row r="9855" spans="1:6" x14ac:dyDescent="0.25">
      <c r="A9855" s="1" t="s">
        <v>757</v>
      </c>
      <c r="B9855" s="1" t="s">
        <v>1821</v>
      </c>
      <c r="C9855" s="1" t="s">
        <v>22</v>
      </c>
      <c r="D9855" s="3">
        <f t="shared" si="1546"/>
        <v>8596</v>
      </c>
      <c r="E9855" s="2">
        <f t="shared" si="1544"/>
        <v>43678</v>
      </c>
      <c r="F9855" s="2">
        <f t="shared" si="1547"/>
        <v>44012</v>
      </c>
    </row>
    <row r="9856" spans="1:6" x14ac:dyDescent="0.25">
      <c r="A9856" s="1" t="s">
        <v>757</v>
      </c>
      <c r="B9856" s="1" t="s">
        <v>1821</v>
      </c>
      <c r="C9856" s="1" t="s">
        <v>146</v>
      </c>
      <c r="D9856" s="3">
        <f t="shared" si="1546"/>
        <v>8596</v>
      </c>
      <c r="E9856" s="2">
        <f t="shared" si="1544"/>
        <v>43678</v>
      </c>
      <c r="F9856" s="2">
        <f t="shared" si="1547"/>
        <v>44012</v>
      </c>
    </row>
    <row r="9857" spans="1:6" x14ac:dyDescent="0.25">
      <c r="A9857" s="1" t="s">
        <v>757</v>
      </c>
      <c r="B9857" s="1" t="s">
        <v>1821</v>
      </c>
      <c r="C9857" s="1" t="s">
        <v>67</v>
      </c>
      <c r="D9857" s="3">
        <f t="shared" si="1546"/>
        <v>8596</v>
      </c>
      <c r="E9857" s="2">
        <f t="shared" si="1544"/>
        <v>43678</v>
      </c>
      <c r="F9857" s="2">
        <f t="shared" si="1547"/>
        <v>44012</v>
      </c>
    </row>
    <row r="9858" spans="1:6" x14ac:dyDescent="0.25">
      <c r="A9858" s="1" t="s">
        <v>757</v>
      </c>
      <c r="B9858" s="1" t="s">
        <v>1821</v>
      </c>
      <c r="C9858" s="1" t="s">
        <v>148</v>
      </c>
      <c r="D9858" s="3">
        <f t="shared" si="1546"/>
        <v>8596</v>
      </c>
      <c r="E9858" s="2">
        <f t="shared" si="1544"/>
        <v>43678</v>
      </c>
      <c r="F9858" s="2">
        <f t="shared" si="1547"/>
        <v>44012</v>
      </c>
    </row>
    <row r="9859" spans="1:6" x14ac:dyDescent="0.25">
      <c r="A9859" s="1" t="s">
        <v>757</v>
      </c>
      <c r="B9859" s="1" t="s">
        <v>1821</v>
      </c>
      <c r="C9859" s="1" t="s">
        <v>149</v>
      </c>
      <c r="D9859" s="3">
        <f t="shared" si="1546"/>
        <v>8596</v>
      </c>
      <c r="E9859" s="2">
        <f t="shared" si="1544"/>
        <v>43678</v>
      </c>
      <c r="F9859" s="2">
        <f t="shared" si="1547"/>
        <v>44012</v>
      </c>
    </row>
    <row r="9860" spans="1:6" x14ac:dyDescent="0.25">
      <c r="A9860" s="1" t="s">
        <v>757</v>
      </c>
      <c r="B9860" s="1" t="s">
        <v>1821</v>
      </c>
      <c r="C9860" s="1" t="s">
        <v>744</v>
      </c>
      <c r="D9860" s="3">
        <f t="shared" si="1546"/>
        <v>8596</v>
      </c>
      <c r="E9860" s="2">
        <f t="shared" si="1544"/>
        <v>43678</v>
      </c>
      <c r="F9860" s="2">
        <f t="shared" si="1547"/>
        <v>44012</v>
      </c>
    </row>
    <row r="9861" spans="1:6" x14ac:dyDescent="0.25">
      <c r="A9861" s="1" t="s">
        <v>757</v>
      </c>
      <c r="B9861" s="1" t="s">
        <v>1821</v>
      </c>
      <c r="C9861" s="1" t="s">
        <v>69</v>
      </c>
      <c r="D9861" s="3">
        <f t="shared" si="1546"/>
        <v>8596</v>
      </c>
      <c r="E9861" s="2">
        <f t="shared" si="1544"/>
        <v>43678</v>
      </c>
      <c r="F9861" s="2">
        <f t="shared" si="1547"/>
        <v>44012</v>
      </c>
    </row>
    <row r="9862" spans="1:6" x14ac:dyDescent="0.25">
      <c r="A9862" s="1" t="s">
        <v>757</v>
      </c>
      <c r="B9862" s="1" t="s">
        <v>1821</v>
      </c>
      <c r="C9862" s="1" t="s">
        <v>24</v>
      </c>
      <c r="D9862" s="3">
        <f t="shared" si="1546"/>
        <v>8596</v>
      </c>
      <c r="E9862" s="2">
        <f t="shared" si="1544"/>
        <v>43678</v>
      </c>
      <c r="F9862" s="2">
        <f t="shared" si="1547"/>
        <v>44012</v>
      </c>
    </row>
    <row r="9863" spans="1:6" x14ac:dyDescent="0.25">
      <c r="A9863" s="1" t="s">
        <v>757</v>
      </c>
      <c r="B9863" s="1" t="s">
        <v>1821</v>
      </c>
      <c r="C9863" s="1" t="s">
        <v>70</v>
      </c>
      <c r="D9863" s="3">
        <f t="shared" si="1546"/>
        <v>8596</v>
      </c>
      <c r="E9863" s="2">
        <f t="shared" si="1544"/>
        <v>43678</v>
      </c>
      <c r="F9863" s="2">
        <f t="shared" si="1547"/>
        <v>44012</v>
      </c>
    </row>
    <row r="9864" spans="1:6" x14ac:dyDescent="0.25">
      <c r="A9864" s="1" t="s">
        <v>757</v>
      </c>
      <c r="B9864" s="1" t="s">
        <v>1821</v>
      </c>
      <c r="C9864" s="1" t="s">
        <v>26</v>
      </c>
      <c r="D9864" s="3">
        <f t="shared" si="1546"/>
        <v>8596</v>
      </c>
      <c r="E9864" s="2">
        <f t="shared" si="1544"/>
        <v>43678</v>
      </c>
      <c r="F9864" s="2">
        <f t="shared" si="1547"/>
        <v>44012</v>
      </c>
    </row>
    <row r="9865" spans="1:6" x14ac:dyDescent="0.25">
      <c r="A9865" s="1" t="s">
        <v>757</v>
      </c>
      <c r="B9865" s="1" t="s">
        <v>1821</v>
      </c>
      <c r="C9865" s="1" t="s">
        <v>72</v>
      </c>
      <c r="D9865" s="3">
        <f t="shared" si="1546"/>
        <v>8596</v>
      </c>
      <c r="E9865" s="2">
        <f t="shared" si="1544"/>
        <v>43678</v>
      </c>
      <c r="F9865" s="2">
        <f t="shared" si="1547"/>
        <v>44012</v>
      </c>
    </row>
    <row r="9866" spans="1:6" x14ac:dyDescent="0.25">
      <c r="A9866" s="1" t="s">
        <v>757</v>
      </c>
      <c r="B9866" s="1" t="s">
        <v>1821</v>
      </c>
      <c r="C9866" s="1" t="s">
        <v>337</v>
      </c>
      <c r="D9866" s="3">
        <f t="shared" si="1546"/>
        <v>8596</v>
      </c>
      <c r="E9866" s="2">
        <f t="shared" si="1544"/>
        <v>43678</v>
      </c>
      <c r="F9866" s="2">
        <f t="shared" si="1547"/>
        <v>44012</v>
      </c>
    </row>
    <row r="9867" spans="1:6" x14ac:dyDescent="0.25">
      <c r="A9867" s="1" t="s">
        <v>757</v>
      </c>
      <c r="B9867" s="1" t="s">
        <v>1821</v>
      </c>
      <c r="C9867" s="1" t="s">
        <v>73</v>
      </c>
      <c r="D9867" s="3">
        <f t="shared" si="1546"/>
        <v>8596</v>
      </c>
      <c r="E9867" s="2">
        <f t="shared" si="1544"/>
        <v>43678</v>
      </c>
      <c r="F9867" s="2">
        <f t="shared" si="1547"/>
        <v>44012</v>
      </c>
    </row>
    <row r="9868" spans="1:6" x14ac:dyDescent="0.25">
      <c r="A9868" s="1" t="s">
        <v>757</v>
      </c>
      <c r="B9868" s="1" t="s">
        <v>1821</v>
      </c>
      <c r="C9868" s="1" t="s">
        <v>52</v>
      </c>
      <c r="D9868" s="3">
        <f t="shared" si="1546"/>
        <v>8596</v>
      </c>
      <c r="E9868" s="2">
        <f t="shared" si="1544"/>
        <v>43678</v>
      </c>
      <c r="F9868" s="2">
        <f t="shared" si="1547"/>
        <v>44012</v>
      </c>
    </row>
    <row r="9869" spans="1:6" x14ac:dyDescent="0.25">
      <c r="A9869" s="1" t="s">
        <v>757</v>
      </c>
      <c r="B9869" s="1" t="s">
        <v>1821</v>
      </c>
      <c r="C9869" s="1" t="s">
        <v>338</v>
      </c>
      <c r="D9869" s="3">
        <f t="shared" si="1546"/>
        <v>8596</v>
      </c>
      <c r="E9869" s="2">
        <f t="shared" si="1544"/>
        <v>43678</v>
      </c>
      <c r="F9869" s="2">
        <f t="shared" si="1547"/>
        <v>44012</v>
      </c>
    </row>
    <row r="9870" spans="1:6" x14ac:dyDescent="0.25">
      <c r="A9870" s="1" t="s">
        <v>757</v>
      </c>
      <c r="B9870" s="1" t="s">
        <v>1821</v>
      </c>
      <c r="C9870" s="1" t="s">
        <v>393</v>
      </c>
      <c r="D9870" s="3">
        <f t="shared" si="1546"/>
        <v>8596</v>
      </c>
      <c r="E9870" s="2">
        <f t="shared" si="1544"/>
        <v>43678</v>
      </c>
      <c r="F9870" s="2">
        <f t="shared" si="1547"/>
        <v>44012</v>
      </c>
    </row>
    <row r="9871" spans="1:6" x14ac:dyDescent="0.25">
      <c r="A9871" s="1" t="s">
        <v>757</v>
      </c>
      <c r="B9871" s="1" t="s">
        <v>1821</v>
      </c>
      <c r="C9871" s="1" t="s">
        <v>394</v>
      </c>
      <c r="D9871" s="3">
        <f t="shared" si="1546"/>
        <v>8596</v>
      </c>
      <c r="E9871" s="2">
        <f t="shared" si="1544"/>
        <v>43678</v>
      </c>
      <c r="F9871" s="2">
        <f t="shared" si="1547"/>
        <v>44012</v>
      </c>
    </row>
    <row r="9872" spans="1:6" x14ac:dyDescent="0.25">
      <c r="A9872" s="1" t="s">
        <v>757</v>
      </c>
      <c r="B9872" s="1" t="s">
        <v>1821</v>
      </c>
      <c r="C9872" s="1" t="s">
        <v>396</v>
      </c>
      <c r="D9872" s="3">
        <f t="shared" si="1546"/>
        <v>8596</v>
      </c>
      <c r="E9872" s="2">
        <f t="shared" si="1544"/>
        <v>43678</v>
      </c>
      <c r="F9872" s="2">
        <f t="shared" si="1547"/>
        <v>44012</v>
      </c>
    </row>
    <row r="9873" spans="1:6" x14ac:dyDescent="0.25">
      <c r="A9873" s="1" t="s">
        <v>757</v>
      </c>
      <c r="B9873" s="1" t="s">
        <v>1821</v>
      </c>
      <c r="C9873" s="1" t="s">
        <v>34</v>
      </c>
      <c r="D9873" s="3">
        <f t="shared" si="1546"/>
        <v>8596</v>
      </c>
      <c r="E9873" s="2">
        <f t="shared" si="1544"/>
        <v>43678</v>
      </c>
      <c r="F9873" s="2">
        <f t="shared" si="1547"/>
        <v>44012</v>
      </c>
    </row>
    <row r="9874" spans="1:6" x14ac:dyDescent="0.25">
      <c r="A9874" s="1" t="s">
        <v>757</v>
      </c>
      <c r="B9874" s="1" t="s">
        <v>1821</v>
      </c>
      <c r="C9874" s="1" t="s">
        <v>490</v>
      </c>
      <c r="D9874" s="3">
        <f t="shared" si="1546"/>
        <v>8596</v>
      </c>
      <c r="E9874" s="2">
        <f t="shared" si="1544"/>
        <v>43678</v>
      </c>
      <c r="F9874" s="2">
        <f t="shared" si="1547"/>
        <v>44012</v>
      </c>
    </row>
    <row r="9875" spans="1:6" x14ac:dyDescent="0.25">
      <c r="A9875" s="1" t="s">
        <v>757</v>
      </c>
      <c r="B9875" s="1" t="s">
        <v>1821</v>
      </c>
      <c r="C9875" s="1" t="s">
        <v>56</v>
      </c>
      <c r="D9875" s="3">
        <f t="shared" si="1546"/>
        <v>8596</v>
      </c>
      <c r="E9875" s="2">
        <f t="shared" si="1544"/>
        <v>43678</v>
      </c>
      <c r="F9875" s="2">
        <f t="shared" si="1547"/>
        <v>44012</v>
      </c>
    </row>
    <row r="9876" spans="1:6" x14ac:dyDescent="0.25">
      <c r="A9876" s="1" t="s">
        <v>757</v>
      </c>
      <c r="B9876" s="1" t="s">
        <v>1821</v>
      </c>
      <c r="C9876" s="1" t="s">
        <v>173</v>
      </c>
      <c r="D9876" s="3">
        <f t="shared" si="1546"/>
        <v>8596</v>
      </c>
      <c r="E9876" s="2">
        <f t="shared" si="1544"/>
        <v>43678</v>
      </c>
      <c r="F9876" s="2">
        <f t="shared" si="1547"/>
        <v>44012</v>
      </c>
    </row>
    <row r="9877" spans="1:6" x14ac:dyDescent="0.25">
      <c r="A9877" s="1" t="s">
        <v>757</v>
      </c>
      <c r="B9877" s="1" t="s">
        <v>2459</v>
      </c>
      <c r="C9877" s="1" t="s">
        <v>1185</v>
      </c>
      <c r="D9877" s="3">
        <f t="shared" ref="D9877:D9885" si="1548">VALUE("8546")</f>
        <v>8546</v>
      </c>
      <c r="E9877" s="2">
        <f t="shared" ref="E9877:E9885" si="1549">DATEVALUE("1-7-2019")</f>
        <v>43647</v>
      </c>
      <c r="F9877" s="2">
        <f t="shared" ref="F9877:F9885" si="1550">DATEVALUE("30-11-2019")</f>
        <v>43799</v>
      </c>
    </row>
    <row r="9878" spans="1:6" x14ac:dyDescent="0.25">
      <c r="A9878" s="1" t="s">
        <v>757</v>
      </c>
      <c r="B9878" s="1" t="s">
        <v>2459</v>
      </c>
      <c r="C9878" s="1" t="s">
        <v>61</v>
      </c>
      <c r="D9878" s="3">
        <f t="shared" si="1548"/>
        <v>8546</v>
      </c>
      <c r="E9878" s="2">
        <f t="shared" si="1549"/>
        <v>43647</v>
      </c>
      <c r="F9878" s="2">
        <f t="shared" si="1550"/>
        <v>43799</v>
      </c>
    </row>
    <row r="9879" spans="1:6" x14ac:dyDescent="0.25">
      <c r="A9879" s="1" t="s">
        <v>757</v>
      </c>
      <c r="B9879" s="1" t="s">
        <v>2459</v>
      </c>
      <c r="C9879" s="1" t="s">
        <v>14</v>
      </c>
      <c r="D9879" s="3">
        <f t="shared" si="1548"/>
        <v>8546</v>
      </c>
      <c r="E9879" s="2">
        <f t="shared" si="1549"/>
        <v>43647</v>
      </c>
      <c r="F9879" s="2">
        <f t="shared" si="1550"/>
        <v>43799</v>
      </c>
    </row>
    <row r="9880" spans="1:6" x14ac:dyDescent="0.25">
      <c r="A9880" s="1" t="s">
        <v>757</v>
      </c>
      <c r="B9880" s="1" t="s">
        <v>2459</v>
      </c>
      <c r="C9880" s="1" t="s">
        <v>17</v>
      </c>
      <c r="D9880" s="3">
        <f t="shared" si="1548"/>
        <v>8546</v>
      </c>
      <c r="E9880" s="2">
        <f t="shared" si="1549"/>
        <v>43647</v>
      </c>
      <c r="F9880" s="2">
        <f t="shared" si="1550"/>
        <v>43799</v>
      </c>
    </row>
    <row r="9881" spans="1:6" x14ac:dyDescent="0.25">
      <c r="A9881" s="1" t="s">
        <v>757</v>
      </c>
      <c r="B9881" s="1" t="s">
        <v>2459</v>
      </c>
      <c r="C9881" s="1" t="s">
        <v>22</v>
      </c>
      <c r="D9881" s="3">
        <f t="shared" si="1548"/>
        <v>8546</v>
      </c>
      <c r="E9881" s="2">
        <f t="shared" si="1549"/>
        <v>43647</v>
      </c>
      <c r="F9881" s="2">
        <f t="shared" si="1550"/>
        <v>43799</v>
      </c>
    </row>
    <row r="9882" spans="1:6" x14ac:dyDescent="0.25">
      <c r="A9882" s="1" t="s">
        <v>757</v>
      </c>
      <c r="B9882" s="1" t="s">
        <v>2459</v>
      </c>
      <c r="C9882" s="1" t="s">
        <v>2460</v>
      </c>
      <c r="D9882" s="3">
        <f t="shared" si="1548"/>
        <v>8546</v>
      </c>
      <c r="E9882" s="2">
        <f t="shared" si="1549"/>
        <v>43647</v>
      </c>
      <c r="F9882" s="2">
        <f t="shared" si="1550"/>
        <v>43799</v>
      </c>
    </row>
    <row r="9883" spans="1:6" x14ac:dyDescent="0.25">
      <c r="A9883" s="1" t="s">
        <v>757</v>
      </c>
      <c r="B9883" s="1" t="s">
        <v>2459</v>
      </c>
      <c r="C9883" s="1" t="s">
        <v>475</v>
      </c>
      <c r="D9883" s="3">
        <f t="shared" si="1548"/>
        <v>8546</v>
      </c>
      <c r="E9883" s="2">
        <f t="shared" si="1549"/>
        <v>43647</v>
      </c>
      <c r="F9883" s="2">
        <f t="shared" si="1550"/>
        <v>43799</v>
      </c>
    </row>
    <row r="9884" spans="1:6" x14ac:dyDescent="0.25">
      <c r="A9884" s="1" t="s">
        <v>757</v>
      </c>
      <c r="B9884" s="1" t="s">
        <v>2459</v>
      </c>
      <c r="C9884" s="1" t="s">
        <v>52</v>
      </c>
      <c r="D9884" s="3">
        <f t="shared" si="1548"/>
        <v>8546</v>
      </c>
      <c r="E9884" s="2">
        <f t="shared" si="1549"/>
        <v>43647</v>
      </c>
      <c r="F9884" s="2">
        <f t="shared" si="1550"/>
        <v>43799</v>
      </c>
    </row>
    <row r="9885" spans="1:6" x14ac:dyDescent="0.25">
      <c r="A9885" s="1" t="s">
        <v>757</v>
      </c>
      <c r="B9885" s="1" t="s">
        <v>2459</v>
      </c>
      <c r="C9885" s="1" t="s">
        <v>490</v>
      </c>
      <c r="D9885" s="3">
        <f t="shared" si="1548"/>
        <v>8546</v>
      </c>
      <c r="E9885" s="2">
        <f t="shared" si="1549"/>
        <v>43647</v>
      </c>
      <c r="F9885" s="2">
        <f t="shared" si="1550"/>
        <v>43799</v>
      </c>
    </row>
    <row r="9886" spans="1:6" x14ac:dyDescent="0.25">
      <c r="A9886" s="1" t="s">
        <v>757</v>
      </c>
      <c r="B9886" s="1" t="s">
        <v>2450</v>
      </c>
      <c r="C9886" s="1" t="s">
        <v>7</v>
      </c>
      <c r="D9886" s="3">
        <f>VALUE("8526")</f>
        <v>8526</v>
      </c>
      <c r="E9886" s="2">
        <f>DATEVALUE("1-6-2019")</f>
        <v>43617</v>
      </c>
      <c r="F9886" s="2">
        <f>DATEVALUE("31-7-2019")</f>
        <v>43677</v>
      </c>
    </row>
    <row r="9887" spans="1:6" x14ac:dyDescent="0.25">
      <c r="A9887" s="1" t="s">
        <v>757</v>
      </c>
      <c r="B9887" s="1" t="s">
        <v>2450</v>
      </c>
      <c r="C9887" s="1" t="s">
        <v>599</v>
      </c>
      <c r="D9887" s="3">
        <f>VALUE("8526")</f>
        <v>8526</v>
      </c>
      <c r="E9887" s="2">
        <f>DATEVALUE("1-6-2019")</f>
        <v>43617</v>
      </c>
      <c r="F9887" s="2">
        <f>DATEVALUE("31-7-2019")</f>
        <v>43677</v>
      </c>
    </row>
    <row r="9888" spans="1:6" x14ac:dyDescent="0.25">
      <c r="A9888" s="1" t="s">
        <v>757</v>
      </c>
      <c r="B9888" s="1" t="s">
        <v>2450</v>
      </c>
      <c r="C9888" s="1" t="s">
        <v>212</v>
      </c>
      <c r="D9888" s="3">
        <f>VALUE("8526")</f>
        <v>8526</v>
      </c>
      <c r="E9888" s="2">
        <f>DATEVALUE("1-6-2019")</f>
        <v>43617</v>
      </c>
      <c r="F9888" s="2">
        <f>DATEVALUE("31-7-2019")</f>
        <v>43677</v>
      </c>
    </row>
    <row r="9889" spans="1:6" x14ac:dyDescent="0.25">
      <c r="A9889" s="1" t="s">
        <v>757</v>
      </c>
      <c r="B9889" s="1" t="s">
        <v>2450</v>
      </c>
      <c r="C9889" s="1" t="s">
        <v>52</v>
      </c>
      <c r="D9889" s="3">
        <f>VALUE("8526")</f>
        <v>8526</v>
      </c>
      <c r="E9889" s="2">
        <f>DATEVALUE("1-6-2019")</f>
        <v>43617</v>
      </c>
      <c r="F9889" s="2">
        <f>DATEVALUE("31-7-2019")</f>
        <v>43677</v>
      </c>
    </row>
    <row r="9890" spans="1:6" x14ac:dyDescent="0.25">
      <c r="A9890" s="1" t="s">
        <v>757</v>
      </c>
      <c r="B9890" s="1" t="s">
        <v>1256</v>
      </c>
      <c r="C9890" s="1" t="s">
        <v>138</v>
      </c>
      <c r="D9890" s="3">
        <f t="shared" ref="D9890:D9914" si="1551">VALUE("8504")</f>
        <v>8504</v>
      </c>
      <c r="E9890" s="2">
        <f t="shared" ref="E9890:E9914" si="1552">DATEVALUE("1-5-2019")</f>
        <v>43586</v>
      </c>
      <c r="F9890" s="2">
        <f t="shared" ref="F9890:F9914" si="1553">DATEVALUE("31-12-2020")</f>
        <v>44196</v>
      </c>
    </row>
    <row r="9891" spans="1:6" x14ac:dyDescent="0.25">
      <c r="A9891" s="1" t="s">
        <v>757</v>
      </c>
      <c r="B9891" s="1" t="s">
        <v>1256</v>
      </c>
      <c r="C9891" s="1" t="s">
        <v>289</v>
      </c>
      <c r="D9891" s="3">
        <f t="shared" si="1551"/>
        <v>8504</v>
      </c>
      <c r="E9891" s="2">
        <f t="shared" si="1552"/>
        <v>43586</v>
      </c>
      <c r="F9891" s="2">
        <f t="shared" si="1553"/>
        <v>44196</v>
      </c>
    </row>
    <row r="9892" spans="1:6" x14ac:dyDescent="0.25">
      <c r="A9892" s="1" t="s">
        <v>757</v>
      </c>
      <c r="B9892" s="1" t="s">
        <v>1256</v>
      </c>
      <c r="C9892" s="1" t="s">
        <v>139</v>
      </c>
      <c r="D9892" s="3">
        <f t="shared" si="1551"/>
        <v>8504</v>
      </c>
      <c r="E9892" s="2">
        <f t="shared" si="1552"/>
        <v>43586</v>
      </c>
      <c r="F9892" s="2">
        <f t="shared" si="1553"/>
        <v>44196</v>
      </c>
    </row>
    <row r="9893" spans="1:6" x14ac:dyDescent="0.25">
      <c r="A9893" s="1" t="s">
        <v>757</v>
      </c>
      <c r="B9893" s="1" t="s">
        <v>1256</v>
      </c>
      <c r="C9893" s="1" t="s">
        <v>14</v>
      </c>
      <c r="D9893" s="3">
        <f t="shared" si="1551"/>
        <v>8504</v>
      </c>
      <c r="E9893" s="2">
        <f t="shared" si="1552"/>
        <v>43586</v>
      </c>
      <c r="F9893" s="2">
        <f t="shared" si="1553"/>
        <v>44196</v>
      </c>
    </row>
    <row r="9894" spans="1:6" x14ac:dyDescent="0.25">
      <c r="A9894" s="1" t="s">
        <v>757</v>
      </c>
      <c r="B9894" s="1" t="s">
        <v>1256</v>
      </c>
      <c r="C9894" s="1" t="s">
        <v>147</v>
      </c>
      <c r="D9894" s="3">
        <f t="shared" si="1551"/>
        <v>8504</v>
      </c>
      <c r="E9894" s="2">
        <f t="shared" si="1552"/>
        <v>43586</v>
      </c>
      <c r="F9894" s="2">
        <f t="shared" si="1553"/>
        <v>44196</v>
      </c>
    </row>
    <row r="9895" spans="1:6" x14ac:dyDescent="0.25">
      <c r="A9895" s="1" t="s">
        <v>757</v>
      </c>
      <c r="B9895" s="1" t="s">
        <v>1256</v>
      </c>
      <c r="C9895" s="1" t="s">
        <v>811</v>
      </c>
      <c r="D9895" s="3">
        <f t="shared" si="1551"/>
        <v>8504</v>
      </c>
      <c r="E9895" s="2">
        <f t="shared" si="1552"/>
        <v>43586</v>
      </c>
      <c r="F9895" s="2">
        <f t="shared" si="1553"/>
        <v>44196</v>
      </c>
    </row>
    <row r="9896" spans="1:6" x14ac:dyDescent="0.25">
      <c r="A9896" s="1" t="s">
        <v>757</v>
      </c>
      <c r="B9896" s="1" t="s">
        <v>1256</v>
      </c>
      <c r="C9896" s="1" t="s">
        <v>814</v>
      </c>
      <c r="D9896" s="3">
        <f t="shared" si="1551"/>
        <v>8504</v>
      </c>
      <c r="E9896" s="2">
        <f t="shared" si="1552"/>
        <v>43586</v>
      </c>
      <c r="F9896" s="2">
        <f t="shared" si="1553"/>
        <v>44196</v>
      </c>
    </row>
    <row r="9897" spans="1:6" x14ac:dyDescent="0.25">
      <c r="A9897" s="1" t="s">
        <v>757</v>
      </c>
      <c r="B9897" s="1" t="s">
        <v>1256</v>
      </c>
      <c r="C9897" s="1" t="s">
        <v>812</v>
      </c>
      <c r="D9897" s="3">
        <f t="shared" si="1551"/>
        <v>8504</v>
      </c>
      <c r="E9897" s="2">
        <f t="shared" si="1552"/>
        <v>43586</v>
      </c>
      <c r="F9897" s="2">
        <f t="shared" si="1553"/>
        <v>44196</v>
      </c>
    </row>
    <row r="9898" spans="1:6" x14ac:dyDescent="0.25">
      <c r="A9898" s="1" t="s">
        <v>757</v>
      </c>
      <c r="B9898" s="1" t="s">
        <v>1256</v>
      </c>
      <c r="C9898" s="1" t="s">
        <v>813</v>
      </c>
      <c r="D9898" s="3">
        <f t="shared" si="1551"/>
        <v>8504</v>
      </c>
      <c r="E9898" s="2">
        <f t="shared" si="1552"/>
        <v>43586</v>
      </c>
      <c r="F9898" s="2">
        <f t="shared" si="1553"/>
        <v>44196</v>
      </c>
    </row>
    <row r="9899" spans="1:6" x14ac:dyDescent="0.25">
      <c r="A9899" s="1" t="s">
        <v>757</v>
      </c>
      <c r="B9899" s="1" t="s">
        <v>1256</v>
      </c>
      <c r="C9899" s="1" t="s">
        <v>816</v>
      </c>
      <c r="D9899" s="3">
        <f t="shared" si="1551"/>
        <v>8504</v>
      </c>
      <c r="E9899" s="2">
        <f t="shared" si="1552"/>
        <v>43586</v>
      </c>
      <c r="F9899" s="2">
        <f t="shared" si="1553"/>
        <v>44196</v>
      </c>
    </row>
    <row r="9900" spans="1:6" x14ac:dyDescent="0.25">
      <c r="A9900" s="1" t="s">
        <v>757</v>
      </c>
      <c r="B9900" s="1" t="s">
        <v>1256</v>
      </c>
      <c r="C9900" s="1" t="s">
        <v>815</v>
      </c>
      <c r="D9900" s="3">
        <f t="shared" si="1551"/>
        <v>8504</v>
      </c>
      <c r="E9900" s="2">
        <f t="shared" si="1552"/>
        <v>43586</v>
      </c>
      <c r="F9900" s="2">
        <f t="shared" si="1553"/>
        <v>44196</v>
      </c>
    </row>
    <row r="9901" spans="1:6" x14ac:dyDescent="0.25">
      <c r="A9901" s="1" t="s">
        <v>757</v>
      </c>
      <c r="B9901" s="1" t="s">
        <v>1256</v>
      </c>
      <c r="C9901" s="1" t="s">
        <v>817</v>
      </c>
      <c r="D9901" s="3">
        <f t="shared" si="1551"/>
        <v>8504</v>
      </c>
      <c r="E9901" s="2">
        <f t="shared" si="1552"/>
        <v>43586</v>
      </c>
      <c r="F9901" s="2">
        <f t="shared" si="1553"/>
        <v>44196</v>
      </c>
    </row>
    <row r="9902" spans="1:6" x14ac:dyDescent="0.25">
      <c r="A9902" s="1" t="s">
        <v>757</v>
      </c>
      <c r="B9902" s="1" t="s">
        <v>1256</v>
      </c>
      <c r="C9902" s="1" t="s">
        <v>818</v>
      </c>
      <c r="D9902" s="3">
        <f t="shared" si="1551"/>
        <v>8504</v>
      </c>
      <c r="E9902" s="2">
        <f t="shared" si="1552"/>
        <v>43586</v>
      </c>
      <c r="F9902" s="2">
        <f t="shared" si="1553"/>
        <v>44196</v>
      </c>
    </row>
    <row r="9903" spans="1:6" x14ac:dyDescent="0.25">
      <c r="A9903" s="1" t="s">
        <v>757</v>
      </c>
      <c r="B9903" s="1" t="s">
        <v>1256</v>
      </c>
      <c r="C9903" s="1" t="s">
        <v>821</v>
      </c>
      <c r="D9903" s="3">
        <f t="shared" si="1551"/>
        <v>8504</v>
      </c>
      <c r="E9903" s="2">
        <f t="shared" si="1552"/>
        <v>43586</v>
      </c>
      <c r="F9903" s="2">
        <f t="shared" si="1553"/>
        <v>44196</v>
      </c>
    </row>
    <row r="9904" spans="1:6" x14ac:dyDescent="0.25">
      <c r="A9904" s="1" t="s">
        <v>757</v>
      </c>
      <c r="B9904" s="1" t="s">
        <v>1256</v>
      </c>
      <c r="C9904" s="1" t="s">
        <v>822</v>
      </c>
      <c r="D9904" s="3">
        <f t="shared" si="1551"/>
        <v>8504</v>
      </c>
      <c r="E9904" s="2">
        <f t="shared" si="1552"/>
        <v>43586</v>
      </c>
      <c r="F9904" s="2">
        <f t="shared" si="1553"/>
        <v>44196</v>
      </c>
    </row>
    <row r="9905" spans="1:6" x14ac:dyDescent="0.25">
      <c r="A9905" s="1" t="s">
        <v>757</v>
      </c>
      <c r="B9905" s="1" t="s">
        <v>1256</v>
      </c>
      <c r="C9905" s="1" t="s">
        <v>825</v>
      </c>
      <c r="D9905" s="3">
        <f t="shared" si="1551"/>
        <v>8504</v>
      </c>
      <c r="E9905" s="2">
        <f t="shared" si="1552"/>
        <v>43586</v>
      </c>
      <c r="F9905" s="2">
        <f t="shared" si="1553"/>
        <v>44196</v>
      </c>
    </row>
    <row r="9906" spans="1:6" x14ac:dyDescent="0.25">
      <c r="A9906" s="1" t="s">
        <v>757</v>
      </c>
      <c r="B9906" s="1" t="s">
        <v>1256</v>
      </c>
      <c r="C9906" s="1" t="s">
        <v>823</v>
      </c>
      <c r="D9906" s="3">
        <f t="shared" si="1551"/>
        <v>8504</v>
      </c>
      <c r="E9906" s="2">
        <f t="shared" si="1552"/>
        <v>43586</v>
      </c>
      <c r="F9906" s="2">
        <f t="shared" si="1553"/>
        <v>44196</v>
      </c>
    </row>
    <row r="9907" spans="1:6" x14ac:dyDescent="0.25">
      <c r="A9907" s="1" t="s">
        <v>757</v>
      </c>
      <c r="B9907" s="1" t="s">
        <v>1256</v>
      </c>
      <c r="C9907" s="1" t="s">
        <v>824</v>
      </c>
      <c r="D9907" s="3">
        <f t="shared" si="1551"/>
        <v>8504</v>
      </c>
      <c r="E9907" s="2">
        <f t="shared" si="1552"/>
        <v>43586</v>
      </c>
      <c r="F9907" s="2">
        <f t="shared" si="1553"/>
        <v>44196</v>
      </c>
    </row>
    <row r="9908" spans="1:6" x14ac:dyDescent="0.25">
      <c r="A9908" s="1" t="s">
        <v>757</v>
      </c>
      <c r="B9908" s="1" t="s">
        <v>1256</v>
      </c>
      <c r="C9908" s="1" t="s">
        <v>826</v>
      </c>
      <c r="D9908" s="3">
        <f t="shared" si="1551"/>
        <v>8504</v>
      </c>
      <c r="E9908" s="2">
        <f t="shared" si="1552"/>
        <v>43586</v>
      </c>
      <c r="F9908" s="2">
        <f t="shared" si="1553"/>
        <v>44196</v>
      </c>
    </row>
    <row r="9909" spans="1:6" x14ac:dyDescent="0.25">
      <c r="A9909" s="1" t="s">
        <v>757</v>
      </c>
      <c r="B9909" s="1" t="s">
        <v>1256</v>
      </c>
      <c r="C9909" s="1" t="s">
        <v>827</v>
      </c>
      <c r="D9909" s="3">
        <f t="shared" si="1551"/>
        <v>8504</v>
      </c>
      <c r="E9909" s="2">
        <f t="shared" si="1552"/>
        <v>43586</v>
      </c>
      <c r="F9909" s="2">
        <f t="shared" si="1553"/>
        <v>44196</v>
      </c>
    </row>
    <row r="9910" spans="1:6" x14ac:dyDescent="0.25">
      <c r="A9910" s="1" t="s">
        <v>757</v>
      </c>
      <c r="B9910" s="1" t="s">
        <v>1256</v>
      </c>
      <c r="C9910" s="1" t="s">
        <v>829</v>
      </c>
      <c r="D9910" s="3">
        <f t="shared" si="1551"/>
        <v>8504</v>
      </c>
      <c r="E9910" s="2">
        <f t="shared" si="1552"/>
        <v>43586</v>
      </c>
      <c r="F9910" s="2">
        <f t="shared" si="1553"/>
        <v>44196</v>
      </c>
    </row>
    <row r="9911" spans="1:6" x14ac:dyDescent="0.25">
      <c r="A9911" s="1" t="s">
        <v>757</v>
      </c>
      <c r="B9911" s="1" t="s">
        <v>1256</v>
      </c>
      <c r="C9911" s="1" t="s">
        <v>828</v>
      </c>
      <c r="D9911" s="3">
        <f t="shared" si="1551"/>
        <v>8504</v>
      </c>
      <c r="E9911" s="2">
        <f t="shared" si="1552"/>
        <v>43586</v>
      </c>
      <c r="F9911" s="2">
        <f t="shared" si="1553"/>
        <v>44196</v>
      </c>
    </row>
    <row r="9912" spans="1:6" x14ac:dyDescent="0.25">
      <c r="A9912" s="1" t="s">
        <v>757</v>
      </c>
      <c r="B9912" s="1" t="s">
        <v>1256</v>
      </c>
      <c r="C9912" s="1" t="s">
        <v>830</v>
      </c>
      <c r="D9912" s="3">
        <f t="shared" si="1551"/>
        <v>8504</v>
      </c>
      <c r="E9912" s="2">
        <f t="shared" si="1552"/>
        <v>43586</v>
      </c>
      <c r="F9912" s="2">
        <f t="shared" si="1553"/>
        <v>44196</v>
      </c>
    </row>
    <row r="9913" spans="1:6" x14ac:dyDescent="0.25">
      <c r="A9913" s="1" t="s">
        <v>757</v>
      </c>
      <c r="B9913" s="1" t="s">
        <v>1256</v>
      </c>
      <c r="C9913" s="1" t="s">
        <v>24</v>
      </c>
      <c r="D9913" s="3">
        <f t="shared" si="1551"/>
        <v>8504</v>
      </c>
      <c r="E9913" s="2">
        <f t="shared" si="1552"/>
        <v>43586</v>
      </c>
      <c r="F9913" s="2">
        <f t="shared" si="1553"/>
        <v>44196</v>
      </c>
    </row>
    <row r="9914" spans="1:6" x14ac:dyDescent="0.25">
      <c r="A9914" s="1" t="s">
        <v>757</v>
      </c>
      <c r="B9914" s="1" t="s">
        <v>1256</v>
      </c>
      <c r="C9914" s="1" t="s">
        <v>34</v>
      </c>
      <c r="D9914" s="3">
        <f t="shared" si="1551"/>
        <v>8504</v>
      </c>
      <c r="E9914" s="2">
        <f t="shared" si="1552"/>
        <v>43586</v>
      </c>
      <c r="F9914" s="2">
        <f t="shared" si="1553"/>
        <v>44196</v>
      </c>
    </row>
    <row r="9915" spans="1:6" x14ac:dyDescent="0.25">
      <c r="A9915" s="1" t="s">
        <v>757</v>
      </c>
      <c r="B9915" s="1" t="s">
        <v>1247</v>
      </c>
      <c r="C9915" s="1" t="s">
        <v>511</v>
      </c>
      <c r="D9915" s="3">
        <f t="shared" ref="D9915:D9952" si="1554">VALUE("8496")</f>
        <v>8496</v>
      </c>
      <c r="E9915" s="2">
        <f t="shared" ref="E9915:E9958" si="1555">DATEVALUE("1-4-2019")</f>
        <v>43556</v>
      </c>
      <c r="F9915" s="2">
        <f t="shared" ref="F9915:F9952" si="1556">DATEVALUE("31-10-2021")</f>
        <v>44500</v>
      </c>
    </row>
    <row r="9916" spans="1:6" x14ac:dyDescent="0.25">
      <c r="A9916" s="1" t="s">
        <v>757</v>
      </c>
      <c r="B9916" s="1" t="s">
        <v>1247</v>
      </c>
      <c r="C9916" s="1" t="s">
        <v>39</v>
      </c>
      <c r="D9916" s="3">
        <f t="shared" si="1554"/>
        <v>8496</v>
      </c>
      <c r="E9916" s="2">
        <f t="shared" si="1555"/>
        <v>43556</v>
      </c>
      <c r="F9916" s="2">
        <f t="shared" si="1556"/>
        <v>44500</v>
      </c>
    </row>
    <row r="9917" spans="1:6" x14ac:dyDescent="0.25">
      <c r="A9917" s="1" t="s">
        <v>757</v>
      </c>
      <c r="B9917" s="1" t="s">
        <v>1247</v>
      </c>
      <c r="C9917" s="1" t="s">
        <v>40</v>
      </c>
      <c r="D9917" s="3">
        <f t="shared" si="1554"/>
        <v>8496</v>
      </c>
      <c r="E9917" s="2">
        <f t="shared" si="1555"/>
        <v>43556</v>
      </c>
      <c r="F9917" s="2">
        <f t="shared" si="1556"/>
        <v>44500</v>
      </c>
    </row>
    <row r="9918" spans="1:6" x14ac:dyDescent="0.25">
      <c r="A9918" s="1" t="s">
        <v>757</v>
      </c>
      <c r="B9918" s="1" t="s">
        <v>1247</v>
      </c>
      <c r="C9918" s="1" t="s">
        <v>41</v>
      </c>
      <c r="D9918" s="3">
        <f t="shared" si="1554"/>
        <v>8496</v>
      </c>
      <c r="E9918" s="2">
        <f t="shared" si="1555"/>
        <v>43556</v>
      </c>
      <c r="F9918" s="2">
        <f t="shared" si="1556"/>
        <v>44500</v>
      </c>
    </row>
    <row r="9919" spans="1:6" x14ac:dyDescent="0.25">
      <c r="A9919" s="1" t="s">
        <v>757</v>
      </c>
      <c r="B9919" s="1" t="s">
        <v>1247</v>
      </c>
      <c r="C9919" s="1" t="s">
        <v>256</v>
      </c>
      <c r="D9919" s="3">
        <f t="shared" si="1554"/>
        <v>8496</v>
      </c>
      <c r="E9919" s="2">
        <f t="shared" si="1555"/>
        <v>43556</v>
      </c>
      <c r="F9919" s="2">
        <f t="shared" si="1556"/>
        <v>44500</v>
      </c>
    </row>
    <row r="9920" spans="1:6" x14ac:dyDescent="0.25">
      <c r="A9920" s="1" t="s">
        <v>757</v>
      </c>
      <c r="B9920" s="1" t="s">
        <v>1247</v>
      </c>
      <c r="C9920" s="1" t="s">
        <v>43</v>
      </c>
      <c r="D9920" s="3">
        <f t="shared" si="1554"/>
        <v>8496</v>
      </c>
      <c r="E9920" s="2">
        <f t="shared" si="1555"/>
        <v>43556</v>
      </c>
      <c r="F9920" s="2">
        <f t="shared" si="1556"/>
        <v>44500</v>
      </c>
    </row>
    <row r="9921" spans="1:6" x14ac:dyDescent="0.25">
      <c r="A9921" s="1" t="s">
        <v>757</v>
      </c>
      <c r="B9921" s="1" t="s">
        <v>1247</v>
      </c>
      <c r="C9921" s="1" t="s">
        <v>1248</v>
      </c>
      <c r="D9921" s="3">
        <f t="shared" si="1554"/>
        <v>8496</v>
      </c>
      <c r="E9921" s="2">
        <f t="shared" si="1555"/>
        <v>43556</v>
      </c>
      <c r="F9921" s="2">
        <f t="shared" si="1556"/>
        <v>44500</v>
      </c>
    </row>
    <row r="9922" spans="1:6" x14ac:dyDescent="0.25">
      <c r="A9922" s="1" t="s">
        <v>757</v>
      </c>
      <c r="B9922" s="1" t="s">
        <v>1247</v>
      </c>
      <c r="C9922" s="1" t="s">
        <v>412</v>
      </c>
      <c r="D9922" s="3">
        <f t="shared" si="1554"/>
        <v>8496</v>
      </c>
      <c r="E9922" s="2">
        <f t="shared" si="1555"/>
        <v>43556</v>
      </c>
      <c r="F9922" s="2">
        <f t="shared" si="1556"/>
        <v>44500</v>
      </c>
    </row>
    <row r="9923" spans="1:6" x14ac:dyDescent="0.25">
      <c r="A9923" s="1" t="s">
        <v>757</v>
      </c>
      <c r="B9923" s="1" t="s">
        <v>1247</v>
      </c>
      <c r="C9923" s="1" t="s">
        <v>346</v>
      </c>
      <c r="D9923" s="3">
        <f t="shared" si="1554"/>
        <v>8496</v>
      </c>
      <c r="E9923" s="2">
        <f t="shared" si="1555"/>
        <v>43556</v>
      </c>
      <c r="F9923" s="2">
        <f t="shared" si="1556"/>
        <v>44500</v>
      </c>
    </row>
    <row r="9924" spans="1:6" x14ac:dyDescent="0.25">
      <c r="A9924" s="1" t="s">
        <v>757</v>
      </c>
      <c r="B9924" s="1" t="s">
        <v>1247</v>
      </c>
      <c r="C9924" s="1" t="s">
        <v>140</v>
      </c>
      <c r="D9924" s="3">
        <f t="shared" si="1554"/>
        <v>8496</v>
      </c>
      <c r="E9924" s="2">
        <f t="shared" si="1555"/>
        <v>43556</v>
      </c>
      <c r="F9924" s="2">
        <f t="shared" si="1556"/>
        <v>44500</v>
      </c>
    </row>
    <row r="9925" spans="1:6" x14ac:dyDescent="0.25">
      <c r="A9925" s="1" t="s">
        <v>757</v>
      </c>
      <c r="B9925" s="1" t="s">
        <v>1247</v>
      </c>
      <c r="C9925" s="1" t="s">
        <v>141</v>
      </c>
      <c r="D9925" s="3">
        <f t="shared" si="1554"/>
        <v>8496</v>
      </c>
      <c r="E9925" s="2">
        <f t="shared" si="1555"/>
        <v>43556</v>
      </c>
      <c r="F9925" s="2">
        <f t="shared" si="1556"/>
        <v>44500</v>
      </c>
    </row>
    <row r="9926" spans="1:6" x14ac:dyDescent="0.25">
      <c r="A9926" s="1" t="s">
        <v>757</v>
      </c>
      <c r="B9926" s="1" t="s">
        <v>1247</v>
      </c>
      <c r="C9926" s="1" t="s">
        <v>14</v>
      </c>
      <c r="D9926" s="3">
        <f t="shared" si="1554"/>
        <v>8496</v>
      </c>
      <c r="E9926" s="2">
        <f t="shared" si="1555"/>
        <v>43556</v>
      </c>
      <c r="F9926" s="2">
        <f t="shared" si="1556"/>
        <v>44500</v>
      </c>
    </row>
    <row r="9927" spans="1:6" x14ac:dyDescent="0.25">
      <c r="A9927" s="1" t="s">
        <v>757</v>
      </c>
      <c r="B9927" s="1" t="s">
        <v>1247</v>
      </c>
      <c r="C9927" s="1" t="s">
        <v>15</v>
      </c>
      <c r="D9927" s="3">
        <f t="shared" si="1554"/>
        <v>8496</v>
      </c>
      <c r="E9927" s="2">
        <f t="shared" si="1555"/>
        <v>43556</v>
      </c>
      <c r="F9927" s="2">
        <f t="shared" si="1556"/>
        <v>44500</v>
      </c>
    </row>
    <row r="9928" spans="1:6" x14ac:dyDescent="0.25">
      <c r="A9928" s="1" t="s">
        <v>757</v>
      </c>
      <c r="B9928" s="1" t="s">
        <v>1247</v>
      </c>
      <c r="C9928" s="1" t="s">
        <v>17</v>
      </c>
      <c r="D9928" s="3">
        <f t="shared" si="1554"/>
        <v>8496</v>
      </c>
      <c r="E9928" s="2">
        <f t="shared" si="1555"/>
        <v>43556</v>
      </c>
      <c r="F9928" s="2">
        <f t="shared" si="1556"/>
        <v>44500</v>
      </c>
    </row>
    <row r="9929" spans="1:6" x14ac:dyDescent="0.25">
      <c r="A9929" s="1" t="s">
        <v>757</v>
      </c>
      <c r="B9929" s="1" t="s">
        <v>1247</v>
      </c>
      <c r="C9929" s="1" t="s">
        <v>22</v>
      </c>
      <c r="D9929" s="3">
        <f t="shared" si="1554"/>
        <v>8496</v>
      </c>
      <c r="E9929" s="2">
        <f t="shared" si="1555"/>
        <v>43556</v>
      </c>
      <c r="F9929" s="2">
        <f t="shared" si="1556"/>
        <v>44500</v>
      </c>
    </row>
    <row r="9930" spans="1:6" x14ac:dyDescent="0.25">
      <c r="A9930" s="1" t="s">
        <v>757</v>
      </c>
      <c r="B9930" s="1" t="s">
        <v>1247</v>
      </c>
      <c r="C9930" s="1" t="s">
        <v>146</v>
      </c>
      <c r="D9930" s="3">
        <f t="shared" si="1554"/>
        <v>8496</v>
      </c>
      <c r="E9930" s="2">
        <f t="shared" si="1555"/>
        <v>43556</v>
      </c>
      <c r="F9930" s="2">
        <f t="shared" si="1556"/>
        <v>44500</v>
      </c>
    </row>
    <row r="9931" spans="1:6" x14ac:dyDescent="0.25">
      <c r="A9931" s="1" t="s">
        <v>757</v>
      </c>
      <c r="B9931" s="1" t="s">
        <v>1247</v>
      </c>
      <c r="C9931" s="1" t="s">
        <v>384</v>
      </c>
      <c r="D9931" s="3">
        <f t="shared" si="1554"/>
        <v>8496</v>
      </c>
      <c r="E9931" s="2">
        <f t="shared" si="1555"/>
        <v>43556</v>
      </c>
      <c r="F9931" s="2">
        <f t="shared" si="1556"/>
        <v>44500</v>
      </c>
    </row>
    <row r="9932" spans="1:6" x14ac:dyDescent="0.25">
      <c r="A9932" s="1" t="s">
        <v>757</v>
      </c>
      <c r="B9932" s="1" t="s">
        <v>1247</v>
      </c>
      <c r="C9932" s="1" t="s">
        <v>151</v>
      </c>
      <c r="D9932" s="3">
        <f t="shared" si="1554"/>
        <v>8496</v>
      </c>
      <c r="E9932" s="2">
        <f t="shared" si="1555"/>
        <v>43556</v>
      </c>
      <c r="F9932" s="2">
        <f t="shared" si="1556"/>
        <v>44500</v>
      </c>
    </row>
    <row r="9933" spans="1:6" x14ac:dyDescent="0.25">
      <c r="A9933" s="1" t="s">
        <v>757</v>
      </c>
      <c r="B9933" s="1" t="s">
        <v>1247</v>
      </c>
      <c r="C9933" s="1" t="s">
        <v>768</v>
      </c>
      <c r="D9933" s="3">
        <f t="shared" si="1554"/>
        <v>8496</v>
      </c>
      <c r="E9933" s="2">
        <f t="shared" si="1555"/>
        <v>43556</v>
      </c>
      <c r="F9933" s="2">
        <f t="shared" si="1556"/>
        <v>44500</v>
      </c>
    </row>
    <row r="9934" spans="1:6" x14ac:dyDescent="0.25">
      <c r="A9934" s="1" t="s">
        <v>757</v>
      </c>
      <c r="B9934" s="1" t="s">
        <v>1247</v>
      </c>
      <c r="C9934" s="1" t="s">
        <v>1249</v>
      </c>
      <c r="D9934" s="3">
        <f t="shared" si="1554"/>
        <v>8496</v>
      </c>
      <c r="E9934" s="2">
        <f t="shared" si="1555"/>
        <v>43556</v>
      </c>
      <c r="F9934" s="2">
        <f t="shared" si="1556"/>
        <v>44500</v>
      </c>
    </row>
    <row r="9935" spans="1:6" x14ac:dyDescent="0.25">
      <c r="A9935" s="1" t="s">
        <v>757</v>
      </c>
      <c r="B9935" s="1" t="s">
        <v>1247</v>
      </c>
      <c r="C9935" s="1" t="s">
        <v>94</v>
      </c>
      <c r="D9935" s="3">
        <f t="shared" si="1554"/>
        <v>8496</v>
      </c>
      <c r="E9935" s="2">
        <f t="shared" si="1555"/>
        <v>43556</v>
      </c>
      <c r="F9935" s="2">
        <f t="shared" si="1556"/>
        <v>44500</v>
      </c>
    </row>
    <row r="9936" spans="1:6" x14ac:dyDescent="0.25">
      <c r="A9936" s="1" t="s">
        <v>757</v>
      </c>
      <c r="B9936" s="1" t="s">
        <v>1247</v>
      </c>
      <c r="C9936" s="1" t="s">
        <v>24</v>
      </c>
      <c r="D9936" s="3">
        <f t="shared" si="1554"/>
        <v>8496</v>
      </c>
      <c r="E9936" s="2">
        <f t="shared" si="1555"/>
        <v>43556</v>
      </c>
      <c r="F9936" s="2">
        <f t="shared" si="1556"/>
        <v>44500</v>
      </c>
    </row>
    <row r="9937" spans="1:6" x14ac:dyDescent="0.25">
      <c r="A9937" s="1" t="s">
        <v>757</v>
      </c>
      <c r="B9937" s="1" t="s">
        <v>1247</v>
      </c>
      <c r="C9937" s="1" t="s">
        <v>50</v>
      </c>
      <c r="D9937" s="3">
        <f t="shared" si="1554"/>
        <v>8496</v>
      </c>
      <c r="E9937" s="2">
        <f t="shared" si="1555"/>
        <v>43556</v>
      </c>
      <c r="F9937" s="2">
        <f t="shared" si="1556"/>
        <v>44500</v>
      </c>
    </row>
    <row r="9938" spans="1:6" x14ac:dyDescent="0.25">
      <c r="A9938" s="1" t="s">
        <v>757</v>
      </c>
      <c r="B9938" s="1" t="s">
        <v>1247</v>
      </c>
      <c r="C9938" s="1" t="s">
        <v>494</v>
      </c>
      <c r="D9938" s="3">
        <f t="shared" si="1554"/>
        <v>8496</v>
      </c>
      <c r="E9938" s="2">
        <f t="shared" si="1555"/>
        <v>43556</v>
      </c>
      <c r="F9938" s="2">
        <f t="shared" si="1556"/>
        <v>44500</v>
      </c>
    </row>
    <row r="9939" spans="1:6" x14ac:dyDescent="0.25">
      <c r="A9939" s="1" t="s">
        <v>757</v>
      </c>
      <c r="B9939" s="1" t="s">
        <v>1247</v>
      </c>
      <c r="C9939" s="1" t="s">
        <v>495</v>
      </c>
      <c r="D9939" s="3">
        <f t="shared" si="1554"/>
        <v>8496</v>
      </c>
      <c r="E9939" s="2">
        <f t="shared" si="1555"/>
        <v>43556</v>
      </c>
      <c r="F9939" s="2">
        <f t="shared" si="1556"/>
        <v>44500</v>
      </c>
    </row>
    <row r="9940" spans="1:6" x14ac:dyDescent="0.25">
      <c r="A9940" s="1" t="s">
        <v>757</v>
      </c>
      <c r="B9940" s="1" t="s">
        <v>1247</v>
      </c>
      <c r="C9940" s="1" t="s">
        <v>72</v>
      </c>
      <c r="D9940" s="3">
        <f t="shared" si="1554"/>
        <v>8496</v>
      </c>
      <c r="E9940" s="2">
        <f t="shared" si="1555"/>
        <v>43556</v>
      </c>
      <c r="F9940" s="2">
        <f t="shared" si="1556"/>
        <v>44500</v>
      </c>
    </row>
    <row r="9941" spans="1:6" x14ac:dyDescent="0.25">
      <c r="A9941" s="1" t="s">
        <v>757</v>
      </c>
      <c r="B9941" s="1" t="s">
        <v>1247</v>
      </c>
      <c r="C9941" s="1" t="s">
        <v>476</v>
      </c>
      <c r="D9941" s="3">
        <f t="shared" si="1554"/>
        <v>8496</v>
      </c>
      <c r="E9941" s="2">
        <f t="shared" si="1555"/>
        <v>43556</v>
      </c>
      <c r="F9941" s="2">
        <f t="shared" si="1556"/>
        <v>44500</v>
      </c>
    </row>
    <row r="9942" spans="1:6" x14ac:dyDescent="0.25">
      <c r="A9942" s="1" t="s">
        <v>757</v>
      </c>
      <c r="B9942" s="1" t="s">
        <v>1247</v>
      </c>
      <c r="C9942" s="1" t="s">
        <v>104</v>
      </c>
      <c r="D9942" s="3">
        <f t="shared" si="1554"/>
        <v>8496</v>
      </c>
      <c r="E9942" s="2">
        <f t="shared" si="1555"/>
        <v>43556</v>
      </c>
      <c r="F9942" s="2">
        <f t="shared" si="1556"/>
        <v>44500</v>
      </c>
    </row>
    <row r="9943" spans="1:6" x14ac:dyDescent="0.25">
      <c r="A9943" s="1" t="s">
        <v>757</v>
      </c>
      <c r="B9943" s="1" t="s">
        <v>1247</v>
      </c>
      <c r="C9943" s="1" t="s">
        <v>52</v>
      </c>
      <c r="D9943" s="3">
        <f t="shared" si="1554"/>
        <v>8496</v>
      </c>
      <c r="E9943" s="2">
        <f t="shared" si="1555"/>
        <v>43556</v>
      </c>
      <c r="F9943" s="2">
        <f t="shared" si="1556"/>
        <v>44500</v>
      </c>
    </row>
    <row r="9944" spans="1:6" x14ac:dyDescent="0.25">
      <c r="A9944" s="1" t="s">
        <v>757</v>
      </c>
      <c r="B9944" s="1" t="s">
        <v>1247</v>
      </c>
      <c r="C9944" s="1" t="s">
        <v>350</v>
      </c>
      <c r="D9944" s="3">
        <f t="shared" si="1554"/>
        <v>8496</v>
      </c>
      <c r="E9944" s="2">
        <f t="shared" si="1555"/>
        <v>43556</v>
      </c>
      <c r="F9944" s="2">
        <f t="shared" si="1556"/>
        <v>44500</v>
      </c>
    </row>
    <row r="9945" spans="1:6" x14ac:dyDescent="0.25">
      <c r="A9945" s="1" t="s">
        <v>757</v>
      </c>
      <c r="B9945" s="1" t="s">
        <v>1247</v>
      </c>
      <c r="C9945" s="1" t="s">
        <v>1250</v>
      </c>
      <c r="D9945" s="3">
        <f t="shared" si="1554"/>
        <v>8496</v>
      </c>
      <c r="E9945" s="2">
        <f t="shared" si="1555"/>
        <v>43556</v>
      </c>
      <c r="F9945" s="2">
        <f t="shared" si="1556"/>
        <v>44500</v>
      </c>
    </row>
    <row r="9946" spans="1:6" x14ac:dyDescent="0.25">
      <c r="A9946" s="1" t="s">
        <v>757</v>
      </c>
      <c r="B9946" s="1" t="s">
        <v>1247</v>
      </c>
      <c r="C9946" s="1" t="s">
        <v>160</v>
      </c>
      <c r="D9946" s="3">
        <f t="shared" si="1554"/>
        <v>8496</v>
      </c>
      <c r="E9946" s="2">
        <f t="shared" si="1555"/>
        <v>43556</v>
      </c>
      <c r="F9946" s="2">
        <f t="shared" si="1556"/>
        <v>44500</v>
      </c>
    </row>
    <row r="9947" spans="1:6" x14ac:dyDescent="0.25">
      <c r="A9947" s="1" t="s">
        <v>757</v>
      </c>
      <c r="B9947" s="1" t="s">
        <v>1247</v>
      </c>
      <c r="C9947" s="1" t="s">
        <v>34</v>
      </c>
      <c r="D9947" s="3">
        <f t="shared" si="1554"/>
        <v>8496</v>
      </c>
      <c r="E9947" s="2">
        <f t="shared" si="1555"/>
        <v>43556</v>
      </c>
      <c r="F9947" s="2">
        <f t="shared" si="1556"/>
        <v>44500</v>
      </c>
    </row>
    <row r="9948" spans="1:6" x14ac:dyDescent="0.25">
      <c r="A9948" s="1" t="s">
        <v>757</v>
      </c>
      <c r="B9948" s="1" t="s">
        <v>1247</v>
      </c>
      <c r="C9948" s="1" t="s">
        <v>115</v>
      </c>
      <c r="D9948" s="3">
        <f t="shared" si="1554"/>
        <v>8496</v>
      </c>
      <c r="E9948" s="2">
        <f t="shared" si="1555"/>
        <v>43556</v>
      </c>
      <c r="F9948" s="2">
        <f t="shared" si="1556"/>
        <v>44500</v>
      </c>
    </row>
    <row r="9949" spans="1:6" x14ac:dyDescent="0.25">
      <c r="A9949" s="1" t="s">
        <v>757</v>
      </c>
      <c r="B9949" s="1" t="s">
        <v>1247</v>
      </c>
      <c r="C9949" s="1" t="s">
        <v>519</v>
      </c>
      <c r="D9949" s="3">
        <f t="shared" si="1554"/>
        <v>8496</v>
      </c>
      <c r="E9949" s="2">
        <f t="shared" si="1555"/>
        <v>43556</v>
      </c>
      <c r="F9949" s="2">
        <f t="shared" si="1556"/>
        <v>44500</v>
      </c>
    </row>
    <row r="9950" spans="1:6" x14ac:dyDescent="0.25">
      <c r="A9950" s="1" t="s">
        <v>757</v>
      </c>
      <c r="B9950" s="1" t="s">
        <v>1247</v>
      </c>
      <c r="C9950" s="1" t="s">
        <v>57</v>
      </c>
      <c r="D9950" s="3">
        <f t="shared" si="1554"/>
        <v>8496</v>
      </c>
      <c r="E9950" s="2">
        <f t="shared" si="1555"/>
        <v>43556</v>
      </c>
      <c r="F9950" s="2">
        <f t="shared" si="1556"/>
        <v>44500</v>
      </c>
    </row>
    <row r="9951" spans="1:6" x14ac:dyDescent="0.25">
      <c r="A9951" s="1" t="s">
        <v>757</v>
      </c>
      <c r="B9951" s="1" t="s">
        <v>1247</v>
      </c>
      <c r="C9951" s="1" t="s">
        <v>170</v>
      </c>
      <c r="D9951" s="3">
        <f t="shared" si="1554"/>
        <v>8496</v>
      </c>
      <c r="E9951" s="2">
        <f t="shared" si="1555"/>
        <v>43556</v>
      </c>
      <c r="F9951" s="2">
        <f t="shared" si="1556"/>
        <v>44500</v>
      </c>
    </row>
    <row r="9952" spans="1:6" x14ac:dyDescent="0.25">
      <c r="A9952" s="1" t="s">
        <v>757</v>
      </c>
      <c r="B9952" s="1" t="s">
        <v>1247</v>
      </c>
      <c r="C9952" s="1" t="s">
        <v>117</v>
      </c>
      <c r="D9952" s="3">
        <f t="shared" si="1554"/>
        <v>8496</v>
      </c>
      <c r="E9952" s="2">
        <f t="shared" si="1555"/>
        <v>43556</v>
      </c>
      <c r="F9952" s="2">
        <f t="shared" si="1556"/>
        <v>44500</v>
      </c>
    </row>
    <row r="9953" spans="1:6" x14ac:dyDescent="0.25">
      <c r="A9953" s="1" t="s">
        <v>757</v>
      </c>
      <c r="B9953" s="1" t="s">
        <v>1255</v>
      </c>
      <c r="C9953" s="1" t="s">
        <v>61</v>
      </c>
      <c r="D9953" s="3">
        <f t="shared" ref="D9953:D9958" si="1557">VALUE("8501")</f>
        <v>8501</v>
      </c>
      <c r="E9953" s="2">
        <f t="shared" si="1555"/>
        <v>43556</v>
      </c>
      <c r="F9953" s="2">
        <f t="shared" ref="F9953:F9958" si="1558">DATEVALUE("31-12-2020")</f>
        <v>44196</v>
      </c>
    </row>
    <row r="9954" spans="1:6" x14ac:dyDescent="0.25">
      <c r="A9954" s="1" t="s">
        <v>757</v>
      </c>
      <c r="B9954" s="1" t="s">
        <v>1255</v>
      </c>
      <c r="C9954" s="1" t="s">
        <v>62</v>
      </c>
      <c r="D9954" s="3">
        <f t="shared" si="1557"/>
        <v>8501</v>
      </c>
      <c r="E9954" s="2">
        <f t="shared" si="1555"/>
        <v>43556</v>
      </c>
      <c r="F9954" s="2">
        <f t="shared" si="1558"/>
        <v>44196</v>
      </c>
    </row>
    <row r="9955" spans="1:6" x14ac:dyDescent="0.25">
      <c r="A9955" s="1" t="s">
        <v>757</v>
      </c>
      <c r="B9955" s="1" t="s">
        <v>1255</v>
      </c>
      <c r="C9955" s="1" t="s">
        <v>22</v>
      </c>
      <c r="D9955" s="3">
        <f t="shared" si="1557"/>
        <v>8501</v>
      </c>
      <c r="E9955" s="2">
        <f t="shared" si="1555"/>
        <v>43556</v>
      </c>
      <c r="F9955" s="2">
        <f t="shared" si="1558"/>
        <v>44196</v>
      </c>
    </row>
    <row r="9956" spans="1:6" x14ac:dyDescent="0.25">
      <c r="A9956" s="1" t="s">
        <v>757</v>
      </c>
      <c r="B9956" s="1" t="s">
        <v>1255</v>
      </c>
      <c r="C9956" s="1" t="s">
        <v>70</v>
      </c>
      <c r="D9956" s="3">
        <f t="shared" si="1557"/>
        <v>8501</v>
      </c>
      <c r="E9956" s="2">
        <f t="shared" si="1555"/>
        <v>43556</v>
      </c>
      <c r="F9956" s="2">
        <f t="shared" si="1558"/>
        <v>44196</v>
      </c>
    </row>
    <row r="9957" spans="1:6" x14ac:dyDescent="0.25">
      <c r="A9957" s="1" t="s">
        <v>757</v>
      </c>
      <c r="B9957" s="1" t="s">
        <v>1255</v>
      </c>
      <c r="C9957" s="1" t="s">
        <v>72</v>
      </c>
      <c r="D9957" s="3">
        <f t="shared" si="1557"/>
        <v>8501</v>
      </c>
      <c r="E9957" s="2">
        <f t="shared" si="1555"/>
        <v>43556</v>
      </c>
      <c r="F9957" s="2">
        <f t="shared" si="1558"/>
        <v>44196</v>
      </c>
    </row>
    <row r="9958" spans="1:6" x14ac:dyDescent="0.25">
      <c r="A9958" s="1" t="s">
        <v>757</v>
      </c>
      <c r="B9958" s="1" t="s">
        <v>1255</v>
      </c>
      <c r="C9958" s="1" t="s">
        <v>52</v>
      </c>
      <c r="D9958" s="3">
        <f t="shared" si="1557"/>
        <v>8501</v>
      </c>
      <c r="E9958" s="2">
        <f t="shared" si="1555"/>
        <v>43556</v>
      </c>
      <c r="F9958" s="2">
        <f t="shared" si="1558"/>
        <v>44196</v>
      </c>
    </row>
    <row r="9959" spans="1:6" x14ac:dyDescent="0.25">
      <c r="A9959" s="1" t="s">
        <v>757</v>
      </c>
      <c r="B9959" s="1" t="s">
        <v>2423</v>
      </c>
      <c r="C9959" s="1" t="s">
        <v>61</v>
      </c>
      <c r="D9959" s="3">
        <f t="shared" ref="D9959:D9973" si="1559">VALUE("8476")</f>
        <v>8476</v>
      </c>
      <c r="E9959" s="2">
        <f t="shared" ref="E9959:E9980" si="1560">DATEVALUE("1-3-2019")</f>
        <v>43525</v>
      </c>
      <c r="F9959" s="2">
        <f t="shared" ref="F9959:F9973" si="1561">DATEVALUE("30-11-2019")</f>
        <v>43799</v>
      </c>
    </row>
    <row r="9960" spans="1:6" x14ac:dyDescent="0.25">
      <c r="A9960" s="1" t="s">
        <v>757</v>
      </c>
      <c r="B9960" s="1" t="s">
        <v>2423</v>
      </c>
      <c r="C9960" s="1" t="s">
        <v>45</v>
      </c>
      <c r="D9960" s="3">
        <f t="shared" si="1559"/>
        <v>8476</v>
      </c>
      <c r="E9960" s="2">
        <f t="shared" si="1560"/>
        <v>43525</v>
      </c>
      <c r="F9960" s="2">
        <f t="shared" si="1561"/>
        <v>43799</v>
      </c>
    </row>
    <row r="9961" spans="1:6" x14ac:dyDescent="0.25">
      <c r="A9961" s="1" t="s">
        <v>757</v>
      </c>
      <c r="B9961" s="1" t="s">
        <v>2423</v>
      </c>
      <c r="C9961" s="1" t="s">
        <v>14</v>
      </c>
      <c r="D9961" s="3">
        <f t="shared" si="1559"/>
        <v>8476</v>
      </c>
      <c r="E9961" s="2">
        <f t="shared" si="1560"/>
        <v>43525</v>
      </c>
      <c r="F9961" s="2">
        <f t="shared" si="1561"/>
        <v>43799</v>
      </c>
    </row>
    <row r="9962" spans="1:6" x14ac:dyDescent="0.25">
      <c r="A9962" s="1" t="s">
        <v>757</v>
      </c>
      <c r="B9962" s="1" t="s">
        <v>2423</v>
      </c>
      <c r="C9962" s="1" t="s">
        <v>17</v>
      </c>
      <c r="D9962" s="3">
        <f t="shared" si="1559"/>
        <v>8476</v>
      </c>
      <c r="E9962" s="2">
        <f t="shared" si="1560"/>
        <v>43525</v>
      </c>
      <c r="F9962" s="2">
        <f t="shared" si="1561"/>
        <v>43799</v>
      </c>
    </row>
    <row r="9963" spans="1:6" x14ac:dyDescent="0.25">
      <c r="A9963" s="1" t="s">
        <v>757</v>
      </c>
      <c r="B9963" s="1" t="s">
        <v>2423</v>
      </c>
      <c r="C9963" s="1" t="s">
        <v>91</v>
      </c>
      <c r="D9963" s="3">
        <f t="shared" si="1559"/>
        <v>8476</v>
      </c>
      <c r="E9963" s="2">
        <f t="shared" si="1560"/>
        <v>43525</v>
      </c>
      <c r="F9963" s="2">
        <f t="shared" si="1561"/>
        <v>43799</v>
      </c>
    </row>
    <row r="9964" spans="1:6" x14ac:dyDescent="0.25">
      <c r="A9964" s="1" t="s">
        <v>757</v>
      </c>
      <c r="B9964" s="1" t="s">
        <v>2423</v>
      </c>
      <c r="C9964" s="1" t="s">
        <v>22</v>
      </c>
      <c r="D9964" s="3">
        <f t="shared" si="1559"/>
        <v>8476</v>
      </c>
      <c r="E9964" s="2">
        <f t="shared" si="1560"/>
        <v>43525</v>
      </c>
      <c r="F9964" s="2">
        <f t="shared" si="1561"/>
        <v>43799</v>
      </c>
    </row>
    <row r="9965" spans="1:6" x14ac:dyDescent="0.25">
      <c r="A9965" s="1" t="s">
        <v>757</v>
      </c>
      <c r="B9965" s="1" t="s">
        <v>2423</v>
      </c>
      <c r="C9965" s="1" t="s">
        <v>67</v>
      </c>
      <c r="D9965" s="3">
        <f t="shared" si="1559"/>
        <v>8476</v>
      </c>
      <c r="E9965" s="2">
        <f t="shared" si="1560"/>
        <v>43525</v>
      </c>
      <c r="F9965" s="2">
        <f t="shared" si="1561"/>
        <v>43799</v>
      </c>
    </row>
    <row r="9966" spans="1:6" x14ac:dyDescent="0.25">
      <c r="A9966" s="1" t="s">
        <v>757</v>
      </c>
      <c r="B9966" s="1" t="s">
        <v>2423</v>
      </c>
      <c r="C9966" s="1" t="s">
        <v>149</v>
      </c>
      <c r="D9966" s="3">
        <f t="shared" si="1559"/>
        <v>8476</v>
      </c>
      <c r="E9966" s="2">
        <f t="shared" si="1560"/>
        <v>43525</v>
      </c>
      <c r="F9966" s="2">
        <f t="shared" si="1561"/>
        <v>43799</v>
      </c>
    </row>
    <row r="9967" spans="1:6" x14ac:dyDescent="0.25">
      <c r="A9967" s="1" t="s">
        <v>757</v>
      </c>
      <c r="B9967" s="1" t="s">
        <v>2423</v>
      </c>
      <c r="C9967" s="1" t="s">
        <v>69</v>
      </c>
      <c r="D9967" s="3">
        <f t="shared" si="1559"/>
        <v>8476</v>
      </c>
      <c r="E9967" s="2">
        <f t="shared" si="1560"/>
        <v>43525</v>
      </c>
      <c r="F9967" s="2">
        <f t="shared" si="1561"/>
        <v>43799</v>
      </c>
    </row>
    <row r="9968" spans="1:6" x14ac:dyDescent="0.25">
      <c r="A9968" s="1" t="s">
        <v>757</v>
      </c>
      <c r="B9968" s="1" t="s">
        <v>2423</v>
      </c>
      <c r="C9968" s="1" t="s">
        <v>206</v>
      </c>
      <c r="D9968" s="3">
        <f t="shared" si="1559"/>
        <v>8476</v>
      </c>
      <c r="E9968" s="2">
        <f t="shared" si="1560"/>
        <v>43525</v>
      </c>
      <c r="F9968" s="2">
        <f t="shared" si="1561"/>
        <v>43799</v>
      </c>
    </row>
    <row r="9969" spans="1:6" x14ac:dyDescent="0.25">
      <c r="A9969" s="1" t="s">
        <v>757</v>
      </c>
      <c r="B9969" s="1" t="s">
        <v>2423</v>
      </c>
      <c r="C9969" s="1" t="s">
        <v>72</v>
      </c>
      <c r="D9969" s="3">
        <f t="shared" si="1559"/>
        <v>8476</v>
      </c>
      <c r="E9969" s="2">
        <f t="shared" si="1560"/>
        <v>43525</v>
      </c>
      <c r="F9969" s="2">
        <f t="shared" si="1561"/>
        <v>43799</v>
      </c>
    </row>
    <row r="9970" spans="1:6" x14ac:dyDescent="0.25">
      <c r="A9970" s="1" t="s">
        <v>757</v>
      </c>
      <c r="B9970" s="1" t="s">
        <v>2423</v>
      </c>
      <c r="C9970" s="1" t="s">
        <v>73</v>
      </c>
      <c r="D9970" s="3">
        <f t="shared" si="1559"/>
        <v>8476</v>
      </c>
      <c r="E9970" s="2">
        <f t="shared" si="1560"/>
        <v>43525</v>
      </c>
      <c r="F9970" s="2">
        <f t="shared" si="1561"/>
        <v>43799</v>
      </c>
    </row>
    <row r="9971" spans="1:6" x14ac:dyDescent="0.25">
      <c r="A9971" s="1" t="s">
        <v>757</v>
      </c>
      <c r="B9971" s="1" t="s">
        <v>2423</v>
      </c>
      <c r="C9971" s="1" t="s">
        <v>52</v>
      </c>
      <c r="D9971" s="3">
        <f t="shared" si="1559"/>
        <v>8476</v>
      </c>
      <c r="E9971" s="2">
        <f t="shared" si="1560"/>
        <v>43525</v>
      </c>
      <c r="F9971" s="2">
        <f t="shared" si="1561"/>
        <v>43799</v>
      </c>
    </row>
    <row r="9972" spans="1:6" x14ac:dyDescent="0.25">
      <c r="A9972" s="1" t="s">
        <v>757</v>
      </c>
      <c r="B9972" s="1" t="s">
        <v>2423</v>
      </c>
      <c r="C9972" s="1" t="s">
        <v>334</v>
      </c>
      <c r="D9972" s="3">
        <f t="shared" si="1559"/>
        <v>8476</v>
      </c>
      <c r="E9972" s="2">
        <f t="shared" si="1560"/>
        <v>43525</v>
      </c>
      <c r="F9972" s="2">
        <f t="shared" si="1561"/>
        <v>43799</v>
      </c>
    </row>
    <row r="9973" spans="1:6" x14ac:dyDescent="0.25">
      <c r="A9973" s="1" t="s">
        <v>757</v>
      </c>
      <c r="B9973" s="1" t="s">
        <v>2423</v>
      </c>
      <c r="C9973" s="1" t="s">
        <v>1245</v>
      </c>
      <c r="D9973" s="3">
        <f t="shared" si="1559"/>
        <v>8476</v>
      </c>
      <c r="E9973" s="2">
        <f t="shared" si="1560"/>
        <v>43525</v>
      </c>
      <c r="F9973" s="2">
        <f t="shared" si="1561"/>
        <v>43799</v>
      </c>
    </row>
    <row r="9974" spans="1:6" x14ac:dyDescent="0.25">
      <c r="A9974" s="1" t="s">
        <v>757</v>
      </c>
      <c r="B9974" s="1" t="s">
        <v>2429</v>
      </c>
      <c r="C9974" s="1" t="s">
        <v>15</v>
      </c>
      <c r="D9974" s="3">
        <f t="shared" ref="D9974:D9980" si="1562">VALUE("8489")</f>
        <v>8489</v>
      </c>
      <c r="E9974" s="2">
        <f t="shared" si="1560"/>
        <v>43525</v>
      </c>
      <c r="F9974" s="2">
        <f t="shared" ref="F9974:F9980" si="1563">DATEVALUE("31-8-2019")</f>
        <v>43708</v>
      </c>
    </row>
    <row r="9975" spans="1:6" x14ac:dyDescent="0.25">
      <c r="A9975" s="1" t="s">
        <v>757</v>
      </c>
      <c r="B9975" s="1" t="s">
        <v>2429</v>
      </c>
      <c r="C9975" s="1" t="s">
        <v>17</v>
      </c>
      <c r="D9975" s="3">
        <f t="shared" si="1562"/>
        <v>8489</v>
      </c>
      <c r="E9975" s="2">
        <f t="shared" si="1560"/>
        <v>43525</v>
      </c>
      <c r="F9975" s="2">
        <f t="shared" si="1563"/>
        <v>43708</v>
      </c>
    </row>
    <row r="9976" spans="1:6" x14ac:dyDescent="0.25">
      <c r="A9976" s="1" t="s">
        <v>757</v>
      </c>
      <c r="B9976" s="1" t="s">
        <v>2429</v>
      </c>
      <c r="C9976" s="1" t="s">
        <v>22</v>
      </c>
      <c r="D9976" s="3">
        <f t="shared" si="1562"/>
        <v>8489</v>
      </c>
      <c r="E9976" s="2">
        <f t="shared" si="1560"/>
        <v>43525</v>
      </c>
      <c r="F9976" s="2">
        <f t="shared" si="1563"/>
        <v>43708</v>
      </c>
    </row>
    <row r="9977" spans="1:6" x14ac:dyDescent="0.25">
      <c r="A9977" s="1" t="s">
        <v>757</v>
      </c>
      <c r="B9977" s="1" t="s">
        <v>2429</v>
      </c>
      <c r="C9977" s="1" t="s">
        <v>146</v>
      </c>
      <c r="D9977" s="3">
        <f t="shared" si="1562"/>
        <v>8489</v>
      </c>
      <c r="E9977" s="2">
        <f t="shared" si="1560"/>
        <v>43525</v>
      </c>
      <c r="F9977" s="2">
        <f t="shared" si="1563"/>
        <v>43708</v>
      </c>
    </row>
    <row r="9978" spans="1:6" x14ac:dyDescent="0.25">
      <c r="A9978" s="1" t="s">
        <v>757</v>
      </c>
      <c r="B9978" s="1" t="s">
        <v>2429</v>
      </c>
      <c r="C9978" s="1" t="s">
        <v>148</v>
      </c>
      <c r="D9978" s="3">
        <f t="shared" si="1562"/>
        <v>8489</v>
      </c>
      <c r="E9978" s="2">
        <f t="shared" si="1560"/>
        <v>43525</v>
      </c>
      <c r="F9978" s="2">
        <f t="shared" si="1563"/>
        <v>43708</v>
      </c>
    </row>
    <row r="9979" spans="1:6" x14ac:dyDescent="0.25">
      <c r="A9979" s="1" t="s">
        <v>757</v>
      </c>
      <c r="B9979" s="1" t="s">
        <v>2429</v>
      </c>
      <c r="C9979" s="1" t="s">
        <v>2430</v>
      </c>
      <c r="D9979" s="3">
        <f t="shared" si="1562"/>
        <v>8489</v>
      </c>
      <c r="E9979" s="2">
        <f t="shared" si="1560"/>
        <v>43525</v>
      </c>
      <c r="F9979" s="2">
        <f t="shared" si="1563"/>
        <v>43708</v>
      </c>
    </row>
    <row r="9980" spans="1:6" x14ac:dyDescent="0.25">
      <c r="A9980" s="1" t="s">
        <v>757</v>
      </c>
      <c r="B9980" s="1" t="s">
        <v>2429</v>
      </c>
      <c r="C9980" s="1" t="s">
        <v>160</v>
      </c>
      <c r="D9980" s="3">
        <f t="shared" si="1562"/>
        <v>8489</v>
      </c>
      <c r="E9980" s="2">
        <f t="shared" si="1560"/>
        <v>43525</v>
      </c>
      <c r="F9980" s="2">
        <f t="shared" si="1563"/>
        <v>43708</v>
      </c>
    </row>
    <row r="9981" spans="1:6" x14ac:dyDescent="0.25">
      <c r="A9981" s="1" t="s">
        <v>757</v>
      </c>
      <c r="B9981" s="1" t="s">
        <v>2091</v>
      </c>
      <c r="C9981" s="1" t="s">
        <v>92</v>
      </c>
      <c r="D9981" s="3">
        <f>VALUE("8454")</f>
        <v>8454</v>
      </c>
      <c r="E9981" s="2">
        <f>DATEVALUE("1-2-2019")</f>
        <v>43497</v>
      </c>
      <c r="F9981" s="2">
        <f t="shared" ref="F9981:F9993" si="1564">DATEVALUE("31-5-2019")</f>
        <v>43616</v>
      </c>
    </row>
    <row r="9982" spans="1:6" x14ac:dyDescent="0.25">
      <c r="A9982" s="1" t="s">
        <v>757</v>
      </c>
      <c r="B9982" s="1" t="s">
        <v>2091</v>
      </c>
      <c r="C9982" s="1" t="s">
        <v>160</v>
      </c>
      <c r="D9982" s="3">
        <f>VALUE("8454")</f>
        <v>8454</v>
      </c>
      <c r="E9982" s="2">
        <f>DATEVALUE("1-2-2019")</f>
        <v>43497</v>
      </c>
      <c r="F9982" s="2">
        <f t="shared" si="1564"/>
        <v>43616</v>
      </c>
    </row>
    <row r="9983" spans="1:6" x14ac:dyDescent="0.25">
      <c r="A9983" s="1" t="s">
        <v>757</v>
      </c>
      <c r="B9983" s="1" t="s">
        <v>2091</v>
      </c>
      <c r="C9983" s="1" t="s">
        <v>379</v>
      </c>
      <c r="D9983" s="3">
        <f>VALUE("8454")</f>
        <v>8454</v>
      </c>
      <c r="E9983" s="2">
        <f>DATEVALUE("1-2-2019")</f>
        <v>43497</v>
      </c>
      <c r="F9983" s="2">
        <f t="shared" si="1564"/>
        <v>43616</v>
      </c>
    </row>
    <row r="9984" spans="1:6" x14ac:dyDescent="0.25">
      <c r="A9984" s="1" t="s">
        <v>757</v>
      </c>
      <c r="B9984" s="1" t="s">
        <v>2091</v>
      </c>
      <c r="C9984" s="1" t="s">
        <v>380</v>
      </c>
      <c r="D9984" s="3">
        <f>VALUE("8454")</f>
        <v>8454</v>
      </c>
      <c r="E9984" s="2">
        <f>DATEVALUE("1-2-2019")</f>
        <v>43497</v>
      </c>
      <c r="F9984" s="2">
        <f t="shared" si="1564"/>
        <v>43616</v>
      </c>
    </row>
    <row r="9985" spans="1:6" x14ac:dyDescent="0.25">
      <c r="A9985" s="1" t="s">
        <v>757</v>
      </c>
      <c r="B9985" s="1" t="s">
        <v>2091</v>
      </c>
      <c r="C9985" s="1" t="s">
        <v>381</v>
      </c>
      <c r="D9985" s="3">
        <f>VALUE("8454")</f>
        <v>8454</v>
      </c>
      <c r="E9985" s="2">
        <f>DATEVALUE("1-2-2019")</f>
        <v>43497</v>
      </c>
      <c r="F9985" s="2">
        <f t="shared" si="1564"/>
        <v>43616</v>
      </c>
    </row>
    <row r="9986" spans="1:6" x14ac:dyDescent="0.25">
      <c r="A9986" s="1" t="s">
        <v>757</v>
      </c>
      <c r="B9986" s="1" t="s">
        <v>2404</v>
      </c>
      <c r="C9986" s="1" t="s">
        <v>61</v>
      </c>
      <c r="D9986" s="3">
        <f t="shared" ref="D9986:D9993" si="1565">VALUE("8397")</f>
        <v>8397</v>
      </c>
      <c r="E9986" s="2">
        <f t="shared" ref="E9986:E10016" si="1566">DATEVALUE("1-11-2018")</f>
        <v>43405</v>
      </c>
      <c r="F9986" s="2">
        <f t="shared" si="1564"/>
        <v>43616</v>
      </c>
    </row>
    <row r="9987" spans="1:6" x14ac:dyDescent="0.25">
      <c r="A9987" s="1" t="s">
        <v>757</v>
      </c>
      <c r="B9987" s="1" t="s">
        <v>2404</v>
      </c>
      <c r="C9987" s="1" t="s">
        <v>609</v>
      </c>
      <c r="D9987" s="3">
        <f t="shared" si="1565"/>
        <v>8397</v>
      </c>
      <c r="E9987" s="2">
        <f t="shared" si="1566"/>
        <v>43405</v>
      </c>
      <c r="F9987" s="2">
        <f t="shared" si="1564"/>
        <v>43616</v>
      </c>
    </row>
    <row r="9988" spans="1:6" x14ac:dyDescent="0.25">
      <c r="A9988" s="1" t="s">
        <v>757</v>
      </c>
      <c r="B9988" s="1" t="s">
        <v>2404</v>
      </c>
      <c r="C9988" s="1" t="s">
        <v>45</v>
      </c>
      <c r="D9988" s="3">
        <f t="shared" si="1565"/>
        <v>8397</v>
      </c>
      <c r="E9988" s="2">
        <f t="shared" si="1566"/>
        <v>43405</v>
      </c>
      <c r="F9988" s="2">
        <f t="shared" si="1564"/>
        <v>43616</v>
      </c>
    </row>
    <row r="9989" spans="1:6" x14ac:dyDescent="0.25">
      <c r="A9989" s="1" t="s">
        <v>757</v>
      </c>
      <c r="B9989" s="1" t="s">
        <v>2404</v>
      </c>
      <c r="C9989" s="1" t="s">
        <v>44</v>
      </c>
      <c r="D9989" s="3">
        <f t="shared" si="1565"/>
        <v>8397</v>
      </c>
      <c r="E9989" s="2">
        <f t="shared" si="1566"/>
        <v>43405</v>
      </c>
      <c r="F9989" s="2">
        <f t="shared" si="1564"/>
        <v>43616</v>
      </c>
    </row>
    <row r="9990" spans="1:6" x14ac:dyDescent="0.25">
      <c r="A9990" s="1" t="s">
        <v>757</v>
      </c>
      <c r="B9990" s="1" t="s">
        <v>2404</v>
      </c>
      <c r="C9990" s="1" t="s">
        <v>67</v>
      </c>
      <c r="D9990" s="3">
        <f t="shared" si="1565"/>
        <v>8397</v>
      </c>
      <c r="E9990" s="2">
        <f t="shared" si="1566"/>
        <v>43405</v>
      </c>
      <c r="F9990" s="2">
        <f t="shared" si="1564"/>
        <v>43616</v>
      </c>
    </row>
    <row r="9991" spans="1:6" x14ac:dyDescent="0.25">
      <c r="A9991" s="1" t="s">
        <v>757</v>
      </c>
      <c r="B9991" s="1" t="s">
        <v>2404</v>
      </c>
      <c r="C9991" s="1" t="s">
        <v>72</v>
      </c>
      <c r="D9991" s="3">
        <f t="shared" si="1565"/>
        <v>8397</v>
      </c>
      <c r="E9991" s="2">
        <f t="shared" si="1566"/>
        <v>43405</v>
      </c>
      <c r="F9991" s="2">
        <f t="shared" si="1564"/>
        <v>43616</v>
      </c>
    </row>
    <row r="9992" spans="1:6" x14ac:dyDescent="0.25">
      <c r="A9992" s="1" t="s">
        <v>757</v>
      </c>
      <c r="B9992" s="1" t="s">
        <v>2404</v>
      </c>
      <c r="C9992" s="1" t="s">
        <v>73</v>
      </c>
      <c r="D9992" s="3">
        <f t="shared" si="1565"/>
        <v>8397</v>
      </c>
      <c r="E9992" s="2">
        <f t="shared" si="1566"/>
        <v>43405</v>
      </c>
      <c r="F9992" s="2">
        <f t="shared" si="1564"/>
        <v>43616</v>
      </c>
    </row>
    <row r="9993" spans="1:6" x14ac:dyDescent="0.25">
      <c r="A9993" s="1" t="s">
        <v>757</v>
      </c>
      <c r="B9993" s="1" t="s">
        <v>2404</v>
      </c>
      <c r="C9993" s="1" t="s">
        <v>52</v>
      </c>
      <c r="D9993" s="3">
        <f t="shared" si="1565"/>
        <v>8397</v>
      </c>
      <c r="E9993" s="2">
        <f t="shared" si="1566"/>
        <v>43405</v>
      </c>
      <c r="F9993" s="2">
        <f t="shared" si="1564"/>
        <v>43616</v>
      </c>
    </row>
    <row r="9994" spans="1:6" x14ac:dyDescent="0.25">
      <c r="A9994" s="1" t="s">
        <v>757</v>
      </c>
      <c r="B9994" s="1" t="s">
        <v>1133</v>
      </c>
      <c r="C9994" s="1" t="s">
        <v>8</v>
      </c>
      <c r="D9994" s="3">
        <f t="shared" ref="D9994:D10016" si="1567">VALUE("8408")</f>
        <v>8408</v>
      </c>
      <c r="E9994" s="2">
        <f t="shared" si="1566"/>
        <v>43405</v>
      </c>
      <c r="F9994" s="2">
        <f t="shared" ref="F9994:F10016" si="1568">DATEVALUE("30-6-2021")</f>
        <v>44377</v>
      </c>
    </row>
    <row r="9995" spans="1:6" x14ac:dyDescent="0.25">
      <c r="A9995" s="1" t="s">
        <v>757</v>
      </c>
      <c r="B9995" s="1" t="s">
        <v>1133</v>
      </c>
      <c r="C9995" s="1" t="s">
        <v>10</v>
      </c>
      <c r="D9995" s="3">
        <f t="shared" si="1567"/>
        <v>8408</v>
      </c>
      <c r="E9995" s="2">
        <f t="shared" si="1566"/>
        <v>43405</v>
      </c>
      <c r="F9995" s="2">
        <f t="shared" si="1568"/>
        <v>44377</v>
      </c>
    </row>
    <row r="9996" spans="1:6" x14ac:dyDescent="0.25">
      <c r="A9996" s="1" t="s">
        <v>757</v>
      </c>
      <c r="B9996" s="1" t="s">
        <v>1133</v>
      </c>
      <c r="C9996" s="1" t="s">
        <v>61</v>
      </c>
      <c r="D9996" s="3">
        <f t="shared" si="1567"/>
        <v>8408</v>
      </c>
      <c r="E9996" s="2">
        <f t="shared" si="1566"/>
        <v>43405</v>
      </c>
      <c r="F9996" s="2">
        <f t="shared" si="1568"/>
        <v>44377</v>
      </c>
    </row>
    <row r="9997" spans="1:6" x14ac:dyDescent="0.25">
      <c r="A9997" s="1" t="s">
        <v>757</v>
      </c>
      <c r="B9997" s="1" t="s">
        <v>1133</v>
      </c>
      <c r="C9997" s="1" t="s">
        <v>184</v>
      </c>
      <c r="D9997" s="3">
        <f t="shared" si="1567"/>
        <v>8408</v>
      </c>
      <c r="E9997" s="2">
        <f t="shared" si="1566"/>
        <v>43405</v>
      </c>
      <c r="F9997" s="2">
        <f t="shared" si="1568"/>
        <v>44377</v>
      </c>
    </row>
    <row r="9998" spans="1:6" x14ac:dyDescent="0.25">
      <c r="A9998" s="1" t="s">
        <v>757</v>
      </c>
      <c r="B9998" s="1" t="s">
        <v>1133</v>
      </c>
      <c r="C9998" s="1" t="s">
        <v>14</v>
      </c>
      <c r="D9998" s="3">
        <f t="shared" si="1567"/>
        <v>8408</v>
      </c>
      <c r="E9998" s="2">
        <f t="shared" si="1566"/>
        <v>43405</v>
      </c>
      <c r="F9998" s="2">
        <f t="shared" si="1568"/>
        <v>44377</v>
      </c>
    </row>
    <row r="9999" spans="1:6" x14ac:dyDescent="0.25">
      <c r="A9999" s="1" t="s">
        <v>757</v>
      </c>
      <c r="B9999" s="1" t="s">
        <v>1133</v>
      </c>
      <c r="C9999" s="1" t="s">
        <v>66</v>
      </c>
      <c r="D9999" s="3">
        <f t="shared" si="1567"/>
        <v>8408</v>
      </c>
      <c r="E9999" s="2">
        <f t="shared" si="1566"/>
        <v>43405</v>
      </c>
      <c r="F9999" s="2">
        <f t="shared" si="1568"/>
        <v>44377</v>
      </c>
    </row>
    <row r="10000" spans="1:6" x14ac:dyDescent="0.25">
      <c r="A10000" s="1" t="s">
        <v>757</v>
      </c>
      <c r="B10000" s="1" t="s">
        <v>1133</v>
      </c>
      <c r="C10000" s="1" t="s">
        <v>15</v>
      </c>
      <c r="D10000" s="3">
        <f t="shared" si="1567"/>
        <v>8408</v>
      </c>
      <c r="E10000" s="2">
        <f t="shared" si="1566"/>
        <v>43405</v>
      </c>
      <c r="F10000" s="2">
        <f t="shared" si="1568"/>
        <v>44377</v>
      </c>
    </row>
    <row r="10001" spans="1:6" x14ac:dyDescent="0.25">
      <c r="A10001" s="1" t="s">
        <v>757</v>
      </c>
      <c r="B10001" s="1" t="s">
        <v>1133</v>
      </c>
      <c r="C10001" s="1" t="s">
        <v>17</v>
      </c>
      <c r="D10001" s="3">
        <f t="shared" si="1567"/>
        <v>8408</v>
      </c>
      <c r="E10001" s="2">
        <f t="shared" si="1566"/>
        <v>43405</v>
      </c>
      <c r="F10001" s="2">
        <f t="shared" si="1568"/>
        <v>44377</v>
      </c>
    </row>
    <row r="10002" spans="1:6" x14ac:dyDescent="0.25">
      <c r="A10002" s="1" t="s">
        <v>757</v>
      </c>
      <c r="B10002" s="1" t="s">
        <v>1133</v>
      </c>
      <c r="C10002" s="1" t="s">
        <v>257</v>
      </c>
      <c r="D10002" s="3">
        <f t="shared" si="1567"/>
        <v>8408</v>
      </c>
      <c r="E10002" s="2">
        <f t="shared" si="1566"/>
        <v>43405</v>
      </c>
      <c r="F10002" s="2">
        <f t="shared" si="1568"/>
        <v>44377</v>
      </c>
    </row>
    <row r="10003" spans="1:6" x14ac:dyDescent="0.25">
      <c r="A10003" s="1" t="s">
        <v>757</v>
      </c>
      <c r="B10003" s="1" t="s">
        <v>1133</v>
      </c>
      <c r="C10003" s="1" t="s">
        <v>22</v>
      </c>
      <c r="D10003" s="3">
        <f t="shared" si="1567"/>
        <v>8408</v>
      </c>
      <c r="E10003" s="2">
        <f t="shared" si="1566"/>
        <v>43405</v>
      </c>
      <c r="F10003" s="2">
        <f t="shared" si="1568"/>
        <v>44377</v>
      </c>
    </row>
    <row r="10004" spans="1:6" x14ac:dyDescent="0.25">
      <c r="A10004" s="1" t="s">
        <v>757</v>
      </c>
      <c r="B10004" s="1" t="s">
        <v>1133</v>
      </c>
      <c r="C10004" s="1" t="s">
        <v>146</v>
      </c>
      <c r="D10004" s="3">
        <f t="shared" si="1567"/>
        <v>8408</v>
      </c>
      <c r="E10004" s="2">
        <f t="shared" si="1566"/>
        <v>43405</v>
      </c>
      <c r="F10004" s="2">
        <f t="shared" si="1568"/>
        <v>44377</v>
      </c>
    </row>
    <row r="10005" spans="1:6" x14ac:dyDescent="0.25">
      <c r="A10005" s="1" t="s">
        <v>757</v>
      </c>
      <c r="B10005" s="1" t="s">
        <v>1133</v>
      </c>
      <c r="C10005" s="1" t="s">
        <v>67</v>
      </c>
      <c r="D10005" s="3">
        <f t="shared" si="1567"/>
        <v>8408</v>
      </c>
      <c r="E10005" s="2">
        <f t="shared" si="1566"/>
        <v>43405</v>
      </c>
      <c r="F10005" s="2">
        <f t="shared" si="1568"/>
        <v>44377</v>
      </c>
    </row>
    <row r="10006" spans="1:6" x14ac:dyDescent="0.25">
      <c r="A10006" s="1" t="s">
        <v>757</v>
      </c>
      <c r="B10006" s="1" t="s">
        <v>1133</v>
      </c>
      <c r="C10006" s="1" t="s">
        <v>147</v>
      </c>
      <c r="D10006" s="3">
        <f t="shared" si="1567"/>
        <v>8408</v>
      </c>
      <c r="E10006" s="2">
        <f t="shared" si="1566"/>
        <v>43405</v>
      </c>
      <c r="F10006" s="2">
        <f t="shared" si="1568"/>
        <v>44377</v>
      </c>
    </row>
    <row r="10007" spans="1:6" x14ac:dyDescent="0.25">
      <c r="A10007" s="1" t="s">
        <v>757</v>
      </c>
      <c r="B10007" s="1" t="s">
        <v>1133</v>
      </c>
      <c r="C10007" s="1" t="s">
        <v>148</v>
      </c>
      <c r="D10007" s="3">
        <f t="shared" si="1567"/>
        <v>8408</v>
      </c>
      <c r="E10007" s="2">
        <f t="shared" si="1566"/>
        <v>43405</v>
      </c>
      <c r="F10007" s="2">
        <f t="shared" si="1568"/>
        <v>44377</v>
      </c>
    </row>
    <row r="10008" spans="1:6" x14ac:dyDescent="0.25">
      <c r="A10008" s="1" t="s">
        <v>757</v>
      </c>
      <c r="B10008" s="1" t="s">
        <v>1133</v>
      </c>
      <c r="C10008" s="1" t="s">
        <v>149</v>
      </c>
      <c r="D10008" s="3">
        <f t="shared" si="1567"/>
        <v>8408</v>
      </c>
      <c r="E10008" s="2">
        <f t="shared" si="1566"/>
        <v>43405</v>
      </c>
      <c r="F10008" s="2">
        <f t="shared" si="1568"/>
        <v>44377</v>
      </c>
    </row>
    <row r="10009" spans="1:6" x14ac:dyDescent="0.25">
      <c r="A10009" s="1" t="s">
        <v>757</v>
      </c>
      <c r="B10009" s="1" t="s">
        <v>1133</v>
      </c>
      <c r="C10009" s="1" t="s">
        <v>92</v>
      </c>
      <c r="D10009" s="3">
        <f t="shared" si="1567"/>
        <v>8408</v>
      </c>
      <c r="E10009" s="2">
        <f t="shared" si="1566"/>
        <v>43405</v>
      </c>
      <c r="F10009" s="2">
        <f t="shared" si="1568"/>
        <v>44377</v>
      </c>
    </row>
    <row r="10010" spans="1:6" x14ac:dyDescent="0.25">
      <c r="A10010" s="1" t="s">
        <v>757</v>
      </c>
      <c r="B10010" s="1" t="s">
        <v>1133</v>
      </c>
      <c r="C10010" s="1" t="s">
        <v>94</v>
      </c>
      <c r="D10010" s="3">
        <f t="shared" si="1567"/>
        <v>8408</v>
      </c>
      <c r="E10010" s="2">
        <f t="shared" si="1566"/>
        <v>43405</v>
      </c>
      <c r="F10010" s="2">
        <f t="shared" si="1568"/>
        <v>44377</v>
      </c>
    </row>
    <row r="10011" spans="1:6" x14ac:dyDescent="0.25">
      <c r="A10011" s="1" t="s">
        <v>757</v>
      </c>
      <c r="B10011" s="1" t="s">
        <v>1133</v>
      </c>
      <c r="C10011" s="1" t="s">
        <v>24</v>
      </c>
      <c r="D10011" s="3">
        <f t="shared" si="1567"/>
        <v>8408</v>
      </c>
      <c r="E10011" s="2">
        <f t="shared" si="1566"/>
        <v>43405</v>
      </c>
      <c r="F10011" s="2">
        <f t="shared" si="1568"/>
        <v>44377</v>
      </c>
    </row>
    <row r="10012" spans="1:6" x14ac:dyDescent="0.25">
      <c r="A10012" s="1" t="s">
        <v>757</v>
      </c>
      <c r="B10012" s="1" t="s">
        <v>1133</v>
      </c>
      <c r="C10012" s="1" t="s">
        <v>72</v>
      </c>
      <c r="D10012" s="3">
        <f t="shared" si="1567"/>
        <v>8408</v>
      </c>
      <c r="E10012" s="2">
        <f t="shared" si="1566"/>
        <v>43405</v>
      </c>
      <c r="F10012" s="2">
        <f t="shared" si="1568"/>
        <v>44377</v>
      </c>
    </row>
    <row r="10013" spans="1:6" x14ac:dyDescent="0.25">
      <c r="A10013" s="1" t="s">
        <v>757</v>
      </c>
      <c r="B10013" s="1" t="s">
        <v>1133</v>
      </c>
      <c r="C10013" s="1" t="s">
        <v>73</v>
      </c>
      <c r="D10013" s="3">
        <f t="shared" si="1567"/>
        <v>8408</v>
      </c>
      <c r="E10013" s="2">
        <f t="shared" si="1566"/>
        <v>43405</v>
      </c>
      <c r="F10013" s="2">
        <f t="shared" si="1568"/>
        <v>44377</v>
      </c>
    </row>
    <row r="10014" spans="1:6" x14ac:dyDescent="0.25">
      <c r="A10014" s="1" t="s">
        <v>757</v>
      </c>
      <c r="B10014" s="1" t="s">
        <v>1133</v>
      </c>
      <c r="C10014" s="1" t="s">
        <v>52</v>
      </c>
      <c r="D10014" s="3">
        <f t="shared" si="1567"/>
        <v>8408</v>
      </c>
      <c r="E10014" s="2">
        <f t="shared" si="1566"/>
        <v>43405</v>
      </c>
      <c r="F10014" s="2">
        <f t="shared" si="1568"/>
        <v>44377</v>
      </c>
    </row>
    <row r="10015" spans="1:6" x14ac:dyDescent="0.25">
      <c r="A10015" s="1" t="s">
        <v>757</v>
      </c>
      <c r="B10015" s="1" t="s">
        <v>1133</v>
      </c>
      <c r="C10015" s="1" t="s">
        <v>160</v>
      </c>
      <c r="D10015" s="3">
        <f t="shared" si="1567"/>
        <v>8408</v>
      </c>
      <c r="E10015" s="2">
        <f t="shared" si="1566"/>
        <v>43405</v>
      </c>
      <c r="F10015" s="2">
        <f t="shared" si="1568"/>
        <v>44377</v>
      </c>
    </row>
    <row r="10016" spans="1:6" x14ac:dyDescent="0.25">
      <c r="A10016" s="1" t="s">
        <v>757</v>
      </c>
      <c r="B10016" s="1" t="s">
        <v>1133</v>
      </c>
      <c r="C10016" s="1" t="s">
        <v>34</v>
      </c>
      <c r="D10016" s="3">
        <f t="shared" si="1567"/>
        <v>8408</v>
      </c>
      <c r="E10016" s="2">
        <f t="shared" si="1566"/>
        <v>43405</v>
      </c>
      <c r="F10016" s="2">
        <f t="shared" si="1568"/>
        <v>44377</v>
      </c>
    </row>
    <row r="10017" spans="1:6" x14ac:dyDescent="0.25">
      <c r="A10017" s="1" t="s">
        <v>757</v>
      </c>
      <c r="B10017" s="1" t="s">
        <v>1070</v>
      </c>
      <c r="C10017" s="1" t="s">
        <v>61</v>
      </c>
      <c r="D10017" s="3">
        <f t="shared" ref="D10017:D10029" si="1569">VALUE("8352")</f>
        <v>8352</v>
      </c>
      <c r="E10017" s="2">
        <f t="shared" ref="E10017:E10029" si="1570">DATEVALUE("1-8-2018")</f>
        <v>43313</v>
      </c>
      <c r="F10017" s="2">
        <f t="shared" ref="F10017:F10029" si="1571">DATEVALUE("31-10-2020")</f>
        <v>44135</v>
      </c>
    </row>
    <row r="10018" spans="1:6" x14ac:dyDescent="0.25">
      <c r="A10018" s="1" t="s">
        <v>757</v>
      </c>
      <c r="B10018" s="1" t="s">
        <v>1070</v>
      </c>
      <c r="C10018" s="1" t="s">
        <v>65</v>
      </c>
      <c r="D10018" s="3">
        <f t="shared" si="1569"/>
        <v>8352</v>
      </c>
      <c r="E10018" s="2">
        <f t="shared" si="1570"/>
        <v>43313</v>
      </c>
      <c r="F10018" s="2">
        <f t="shared" si="1571"/>
        <v>44135</v>
      </c>
    </row>
    <row r="10019" spans="1:6" x14ac:dyDescent="0.25">
      <c r="A10019" s="1" t="s">
        <v>757</v>
      </c>
      <c r="B10019" s="1" t="s">
        <v>1070</v>
      </c>
      <c r="C10019" s="1" t="s">
        <v>14</v>
      </c>
      <c r="D10019" s="3">
        <f t="shared" si="1569"/>
        <v>8352</v>
      </c>
      <c r="E10019" s="2">
        <f t="shared" si="1570"/>
        <v>43313</v>
      </c>
      <c r="F10019" s="2">
        <f t="shared" si="1571"/>
        <v>44135</v>
      </c>
    </row>
    <row r="10020" spans="1:6" x14ac:dyDescent="0.25">
      <c r="A10020" s="1" t="s">
        <v>757</v>
      </c>
      <c r="B10020" s="1" t="s">
        <v>1070</v>
      </c>
      <c r="C10020" s="1" t="s">
        <v>15</v>
      </c>
      <c r="D10020" s="3">
        <f t="shared" si="1569"/>
        <v>8352</v>
      </c>
      <c r="E10020" s="2">
        <f t="shared" si="1570"/>
        <v>43313</v>
      </c>
      <c r="F10020" s="2">
        <f t="shared" si="1571"/>
        <v>44135</v>
      </c>
    </row>
    <row r="10021" spans="1:6" x14ac:dyDescent="0.25">
      <c r="A10021" s="1" t="s">
        <v>757</v>
      </c>
      <c r="B10021" s="1" t="s">
        <v>1070</v>
      </c>
      <c r="C10021" s="1" t="s">
        <v>17</v>
      </c>
      <c r="D10021" s="3">
        <f t="shared" si="1569"/>
        <v>8352</v>
      </c>
      <c r="E10021" s="2">
        <f t="shared" si="1570"/>
        <v>43313</v>
      </c>
      <c r="F10021" s="2">
        <f t="shared" si="1571"/>
        <v>44135</v>
      </c>
    </row>
    <row r="10022" spans="1:6" x14ac:dyDescent="0.25">
      <c r="A10022" s="1" t="s">
        <v>757</v>
      </c>
      <c r="B10022" s="1" t="s">
        <v>1070</v>
      </c>
      <c r="C10022" s="1" t="s">
        <v>417</v>
      </c>
      <c r="D10022" s="3">
        <f t="shared" si="1569"/>
        <v>8352</v>
      </c>
      <c r="E10022" s="2">
        <f t="shared" si="1570"/>
        <v>43313</v>
      </c>
      <c r="F10022" s="2">
        <f t="shared" si="1571"/>
        <v>44135</v>
      </c>
    </row>
    <row r="10023" spans="1:6" x14ac:dyDescent="0.25">
      <c r="A10023" s="1" t="s">
        <v>757</v>
      </c>
      <c r="B10023" s="1" t="s">
        <v>1070</v>
      </c>
      <c r="C10023" s="1" t="s">
        <v>24</v>
      </c>
      <c r="D10023" s="3">
        <f t="shared" si="1569"/>
        <v>8352</v>
      </c>
      <c r="E10023" s="2">
        <f t="shared" si="1570"/>
        <v>43313</v>
      </c>
      <c r="F10023" s="2">
        <f t="shared" si="1571"/>
        <v>44135</v>
      </c>
    </row>
    <row r="10024" spans="1:6" x14ac:dyDescent="0.25">
      <c r="A10024" s="1" t="s">
        <v>757</v>
      </c>
      <c r="B10024" s="1" t="s">
        <v>1070</v>
      </c>
      <c r="C10024" s="1" t="s">
        <v>70</v>
      </c>
      <c r="D10024" s="3">
        <f t="shared" si="1569"/>
        <v>8352</v>
      </c>
      <c r="E10024" s="2">
        <f t="shared" si="1570"/>
        <v>43313</v>
      </c>
      <c r="F10024" s="2">
        <f t="shared" si="1571"/>
        <v>44135</v>
      </c>
    </row>
    <row r="10025" spans="1:6" x14ac:dyDescent="0.25">
      <c r="A10025" s="1" t="s">
        <v>757</v>
      </c>
      <c r="B10025" s="1" t="s">
        <v>1070</v>
      </c>
      <c r="C10025" s="1" t="s">
        <v>52</v>
      </c>
      <c r="D10025" s="3">
        <f t="shared" si="1569"/>
        <v>8352</v>
      </c>
      <c r="E10025" s="2">
        <f t="shared" si="1570"/>
        <v>43313</v>
      </c>
      <c r="F10025" s="2">
        <f t="shared" si="1571"/>
        <v>44135</v>
      </c>
    </row>
    <row r="10026" spans="1:6" x14ac:dyDescent="0.25">
      <c r="A10026" s="1" t="s">
        <v>757</v>
      </c>
      <c r="B10026" s="1" t="s">
        <v>1070</v>
      </c>
      <c r="C10026" s="1" t="s">
        <v>393</v>
      </c>
      <c r="D10026" s="3">
        <f t="shared" si="1569"/>
        <v>8352</v>
      </c>
      <c r="E10026" s="2">
        <f t="shared" si="1570"/>
        <v>43313</v>
      </c>
      <c r="F10026" s="2">
        <f t="shared" si="1571"/>
        <v>44135</v>
      </c>
    </row>
    <row r="10027" spans="1:6" x14ac:dyDescent="0.25">
      <c r="A10027" s="1" t="s">
        <v>757</v>
      </c>
      <c r="B10027" s="1" t="s">
        <v>1070</v>
      </c>
      <c r="C10027" s="1" t="s">
        <v>394</v>
      </c>
      <c r="D10027" s="3">
        <f t="shared" si="1569"/>
        <v>8352</v>
      </c>
      <c r="E10027" s="2">
        <f t="shared" si="1570"/>
        <v>43313</v>
      </c>
      <c r="F10027" s="2">
        <f t="shared" si="1571"/>
        <v>44135</v>
      </c>
    </row>
    <row r="10028" spans="1:6" x14ac:dyDescent="0.25">
      <c r="A10028" s="1" t="s">
        <v>757</v>
      </c>
      <c r="B10028" s="1" t="s">
        <v>1070</v>
      </c>
      <c r="C10028" s="1" t="s">
        <v>396</v>
      </c>
      <c r="D10028" s="3">
        <f t="shared" si="1569"/>
        <v>8352</v>
      </c>
      <c r="E10028" s="2">
        <f t="shared" si="1570"/>
        <v>43313</v>
      </c>
      <c r="F10028" s="2">
        <f t="shared" si="1571"/>
        <v>44135</v>
      </c>
    </row>
    <row r="10029" spans="1:6" x14ac:dyDescent="0.25">
      <c r="A10029" s="1" t="s">
        <v>757</v>
      </c>
      <c r="B10029" s="1" t="s">
        <v>1070</v>
      </c>
      <c r="C10029" s="1" t="s">
        <v>34</v>
      </c>
      <c r="D10029" s="3">
        <f t="shared" si="1569"/>
        <v>8352</v>
      </c>
      <c r="E10029" s="2">
        <f t="shared" si="1570"/>
        <v>43313</v>
      </c>
      <c r="F10029" s="2">
        <f t="shared" si="1571"/>
        <v>44135</v>
      </c>
    </row>
    <row r="10030" spans="1:6" x14ac:dyDescent="0.25">
      <c r="A10030" s="1" t="s">
        <v>757</v>
      </c>
      <c r="B10030" s="1" t="s">
        <v>2388</v>
      </c>
      <c r="C10030" s="1" t="s">
        <v>959</v>
      </c>
      <c r="D10030" s="3">
        <f>VALUE("8339")</f>
        <v>8339</v>
      </c>
      <c r="E10030" s="2">
        <f>DATEVALUE("1-7-2018")</f>
        <v>43282</v>
      </c>
      <c r="F10030" s="2">
        <f>DATEVALUE("31-10-2018")</f>
        <v>43404</v>
      </c>
    </row>
    <row r="10031" spans="1:6" x14ac:dyDescent="0.25">
      <c r="A10031" s="1" t="s">
        <v>757</v>
      </c>
      <c r="B10031" s="1" t="s">
        <v>2385</v>
      </c>
      <c r="C10031" s="1" t="s">
        <v>511</v>
      </c>
      <c r="D10031" s="3">
        <f t="shared" ref="D10031:D10071" si="1572">VALUE("8325")</f>
        <v>8325</v>
      </c>
      <c r="E10031" s="2">
        <f t="shared" ref="E10031:E10071" si="1573">DATEVALUE("1-6-2018")</f>
        <v>43252</v>
      </c>
      <c r="F10031" s="2">
        <f t="shared" ref="F10031:F10071" si="1574">DATEVALUE("31-10-2019")</f>
        <v>43769</v>
      </c>
    </row>
    <row r="10032" spans="1:6" x14ac:dyDescent="0.25">
      <c r="A10032" s="1" t="s">
        <v>757</v>
      </c>
      <c r="B10032" s="1" t="s">
        <v>2385</v>
      </c>
      <c r="C10032" s="1" t="s">
        <v>39</v>
      </c>
      <c r="D10032" s="3">
        <f t="shared" si="1572"/>
        <v>8325</v>
      </c>
      <c r="E10032" s="2">
        <f t="shared" si="1573"/>
        <v>43252</v>
      </c>
      <c r="F10032" s="2">
        <f t="shared" si="1574"/>
        <v>43769</v>
      </c>
    </row>
    <row r="10033" spans="1:6" x14ac:dyDescent="0.25">
      <c r="A10033" s="1" t="s">
        <v>757</v>
      </c>
      <c r="B10033" s="1" t="s">
        <v>2385</v>
      </c>
      <c r="C10033" s="1" t="s">
        <v>40</v>
      </c>
      <c r="D10033" s="3">
        <f t="shared" si="1572"/>
        <v>8325</v>
      </c>
      <c r="E10033" s="2">
        <f t="shared" si="1573"/>
        <v>43252</v>
      </c>
      <c r="F10033" s="2">
        <f t="shared" si="1574"/>
        <v>43769</v>
      </c>
    </row>
    <row r="10034" spans="1:6" x14ac:dyDescent="0.25">
      <c r="A10034" s="1" t="s">
        <v>757</v>
      </c>
      <c r="B10034" s="1" t="s">
        <v>2385</v>
      </c>
      <c r="C10034" s="1" t="s">
        <v>41</v>
      </c>
      <c r="D10034" s="3">
        <f t="shared" si="1572"/>
        <v>8325</v>
      </c>
      <c r="E10034" s="2">
        <f t="shared" si="1573"/>
        <v>43252</v>
      </c>
      <c r="F10034" s="2">
        <f t="shared" si="1574"/>
        <v>43769</v>
      </c>
    </row>
    <row r="10035" spans="1:6" x14ac:dyDescent="0.25">
      <c r="A10035" s="1" t="s">
        <v>757</v>
      </c>
      <c r="B10035" s="1" t="s">
        <v>2385</v>
      </c>
      <c r="C10035" s="1" t="s">
        <v>256</v>
      </c>
      <c r="D10035" s="3">
        <f t="shared" si="1572"/>
        <v>8325</v>
      </c>
      <c r="E10035" s="2">
        <f t="shared" si="1573"/>
        <v>43252</v>
      </c>
      <c r="F10035" s="2">
        <f t="shared" si="1574"/>
        <v>43769</v>
      </c>
    </row>
    <row r="10036" spans="1:6" x14ac:dyDescent="0.25">
      <c r="A10036" s="1" t="s">
        <v>757</v>
      </c>
      <c r="B10036" s="1" t="s">
        <v>2385</v>
      </c>
      <c r="C10036" s="1" t="s">
        <v>83</v>
      </c>
      <c r="D10036" s="3">
        <f t="shared" si="1572"/>
        <v>8325</v>
      </c>
      <c r="E10036" s="2">
        <f t="shared" si="1573"/>
        <v>43252</v>
      </c>
      <c r="F10036" s="2">
        <f t="shared" si="1574"/>
        <v>43769</v>
      </c>
    </row>
    <row r="10037" spans="1:6" x14ac:dyDescent="0.25">
      <c r="A10037" s="1" t="s">
        <v>757</v>
      </c>
      <c r="B10037" s="1" t="s">
        <v>2385</v>
      </c>
      <c r="C10037" s="1" t="s">
        <v>411</v>
      </c>
      <c r="D10037" s="3">
        <f t="shared" si="1572"/>
        <v>8325</v>
      </c>
      <c r="E10037" s="2">
        <f t="shared" si="1573"/>
        <v>43252</v>
      </c>
      <c r="F10037" s="2">
        <f t="shared" si="1574"/>
        <v>43769</v>
      </c>
    </row>
    <row r="10038" spans="1:6" x14ac:dyDescent="0.25">
      <c r="A10038" s="1" t="s">
        <v>757</v>
      </c>
      <c r="B10038" s="1" t="s">
        <v>2385</v>
      </c>
      <c r="C10038" s="1" t="s">
        <v>43</v>
      </c>
      <c r="D10038" s="3">
        <f t="shared" si="1572"/>
        <v>8325</v>
      </c>
      <c r="E10038" s="2">
        <f t="shared" si="1573"/>
        <v>43252</v>
      </c>
      <c r="F10038" s="2">
        <f t="shared" si="1574"/>
        <v>43769</v>
      </c>
    </row>
    <row r="10039" spans="1:6" x14ac:dyDescent="0.25">
      <c r="A10039" s="1" t="s">
        <v>757</v>
      </c>
      <c r="B10039" s="1" t="s">
        <v>2385</v>
      </c>
      <c r="C10039" s="1" t="s">
        <v>412</v>
      </c>
      <c r="D10039" s="3">
        <f t="shared" si="1572"/>
        <v>8325</v>
      </c>
      <c r="E10039" s="2">
        <f t="shared" si="1573"/>
        <v>43252</v>
      </c>
      <c r="F10039" s="2">
        <f t="shared" si="1574"/>
        <v>43769</v>
      </c>
    </row>
    <row r="10040" spans="1:6" x14ac:dyDescent="0.25">
      <c r="A10040" s="1" t="s">
        <v>757</v>
      </c>
      <c r="B10040" s="1" t="s">
        <v>2385</v>
      </c>
      <c r="C10040" s="1" t="s">
        <v>346</v>
      </c>
      <c r="D10040" s="3">
        <f t="shared" si="1572"/>
        <v>8325</v>
      </c>
      <c r="E10040" s="2">
        <f t="shared" si="1573"/>
        <v>43252</v>
      </c>
      <c r="F10040" s="2">
        <f t="shared" si="1574"/>
        <v>43769</v>
      </c>
    </row>
    <row r="10041" spans="1:6" x14ac:dyDescent="0.25">
      <c r="A10041" s="1" t="s">
        <v>757</v>
      </c>
      <c r="B10041" s="1" t="s">
        <v>2385</v>
      </c>
      <c r="C10041" s="1" t="s">
        <v>140</v>
      </c>
      <c r="D10041" s="3">
        <f t="shared" si="1572"/>
        <v>8325</v>
      </c>
      <c r="E10041" s="2">
        <f t="shared" si="1573"/>
        <v>43252</v>
      </c>
      <c r="F10041" s="2">
        <f t="shared" si="1574"/>
        <v>43769</v>
      </c>
    </row>
    <row r="10042" spans="1:6" x14ac:dyDescent="0.25">
      <c r="A10042" s="1" t="s">
        <v>757</v>
      </c>
      <c r="B10042" s="1" t="s">
        <v>2385</v>
      </c>
      <c r="C10042" s="1" t="s">
        <v>141</v>
      </c>
      <c r="D10042" s="3">
        <f t="shared" si="1572"/>
        <v>8325</v>
      </c>
      <c r="E10042" s="2">
        <f t="shared" si="1573"/>
        <v>43252</v>
      </c>
      <c r="F10042" s="2">
        <f t="shared" si="1574"/>
        <v>43769</v>
      </c>
    </row>
    <row r="10043" spans="1:6" x14ac:dyDescent="0.25">
      <c r="A10043" s="1" t="s">
        <v>757</v>
      </c>
      <c r="B10043" s="1" t="s">
        <v>2385</v>
      </c>
      <c r="C10043" s="1" t="s">
        <v>14</v>
      </c>
      <c r="D10043" s="3">
        <f t="shared" si="1572"/>
        <v>8325</v>
      </c>
      <c r="E10043" s="2">
        <f t="shared" si="1573"/>
        <v>43252</v>
      </c>
      <c r="F10043" s="2">
        <f t="shared" si="1574"/>
        <v>43769</v>
      </c>
    </row>
    <row r="10044" spans="1:6" x14ac:dyDescent="0.25">
      <c r="A10044" s="1" t="s">
        <v>757</v>
      </c>
      <c r="B10044" s="1" t="s">
        <v>2385</v>
      </c>
      <c r="C10044" s="1" t="s">
        <v>15</v>
      </c>
      <c r="D10044" s="3">
        <f t="shared" si="1572"/>
        <v>8325</v>
      </c>
      <c r="E10044" s="2">
        <f t="shared" si="1573"/>
        <v>43252</v>
      </c>
      <c r="F10044" s="2">
        <f t="shared" si="1574"/>
        <v>43769</v>
      </c>
    </row>
    <row r="10045" spans="1:6" x14ac:dyDescent="0.25">
      <c r="A10045" s="1" t="s">
        <v>757</v>
      </c>
      <c r="B10045" s="1" t="s">
        <v>2385</v>
      </c>
      <c r="C10045" s="1" t="s">
        <v>17</v>
      </c>
      <c r="D10045" s="3">
        <f t="shared" si="1572"/>
        <v>8325</v>
      </c>
      <c r="E10045" s="2">
        <f t="shared" si="1573"/>
        <v>43252</v>
      </c>
      <c r="F10045" s="2">
        <f t="shared" si="1574"/>
        <v>43769</v>
      </c>
    </row>
    <row r="10046" spans="1:6" x14ac:dyDescent="0.25">
      <c r="A10046" s="1" t="s">
        <v>757</v>
      </c>
      <c r="B10046" s="1" t="s">
        <v>2385</v>
      </c>
      <c r="C10046" s="1" t="s">
        <v>22</v>
      </c>
      <c r="D10046" s="3">
        <f t="shared" si="1572"/>
        <v>8325</v>
      </c>
      <c r="E10046" s="2">
        <f t="shared" si="1573"/>
        <v>43252</v>
      </c>
      <c r="F10046" s="2">
        <f t="shared" si="1574"/>
        <v>43769</v>
      </c>
    </row>
    <row r="10047" spans="1:6" x14ac:dyDescent="0.25">
      <c r="A10047" s="1" t="s">
        <v>757</v>
      </c>
      <c r="B10047" s="1" t="s">
        <v>2385</v>
      </c>
      <c r="C10047" s="1" t="s">
        <v>146</v>
      </c>
      <c r="D10047" s="3">
        <f t="shared" si="1572"/>
        <v>8325</v>
      </c>
      <c r="E10047" s="2">
        <f t="shared" si="1573"/>
        <v>43252</v>
      </c>
      <c r="F10047" s="2">
        <f t="shared" si="1574"/>
        <v>43769</v>
      </c>
    </row>
    <row r="10048" spans="1:6" x14ac:dyDescent="0.25">
      <c r="A10048" s="1" t="s">
        <v>757</v>
      </c>
      <c r="B10048" s="1" t="s">
        <v>2385</v>
      </c>
      <c r="C10048" s="1" t="s">
        <v>67</v>
      </c>
      <c r="D10048" s="3">
        <f t="shared" si="1572"/>
        <v>8325</v>
      </c>
      <c r="E10048" s="2">
        <f t="shared" si="1573"/>
        <v>43252</v>
      </c>
      <c r="F10048" s="2">
        <f t="shared" si="1574"/>
        <v>43769</v>
      </c>
    </row>
    <row r="10049" spans="1:6" x14ac:dyDescent="0.25">
      <c r="A10049" s="1" t="s">
        <v>757</v>
      </c>
      <c r="B10049" s="1" t="s">
        <v>2385</v>
      </c>
      <c r="C10049" s="1" t="s">
        <v>384</v>
      </c>
      <c r="D10049" s="3">
        <f t="shared" si="1572"/>
        <v>8325</v>
      </c>
      <c r="E10049" s="2">
        <f t="shared" si="1573"/>
        <v>43252</v>
      </c>
      <c r="F10049" s="2">
        <f t="shared" si="1574"/>
        <v>43769</v>
      </c>
    </row>
    <row r="10050" spans="1:6" x14ac:dyDescent="0.25">
      <c r="A10050" s="1" t="s">
        <v>757</v>
      </c>
      <c r="B10050" s="1" t="s">
        <v>2385</v>
      </c>
      <c r="C10050" s="1" t="s">
        <v>148</v>
      </c>
      <c r="D10050" s="3">
        <f t="shared" si="1572"/>
        <v>8325</v>
      </c>
      <c r="E10050" s="2">
        <f t="shared" si="1573"/>
        <v>43252</v>
      </c>
      <c r="F10050" s="2">
        <f t="shared" si="1574"/>
        <v>43769</v>
      </c>
    </row>
    <row r="10051" spans="1:6" x14ac:dyDescent="0.25">
      <c r="A10051" s="1" t="s">
        <v>757</v>
      </c>
      <c r="B10051" s="1" t="s">
        <v>2385</v>
      </c>
      <c r="C10051" s="1" t="s">
        <v>149</v>
      </c>
      <c r="D10051" s="3">
        <f t="shared" si="1572"/>
        <v>8325</v>
      </c>
      <c r="E10051" s="2">
        <f t="shared" si="1573"/>
        <v>43252</v>
      </c>
      <c r="F10051" s="2">
        <f t="shared" si="1574"/>
        <v>43769</v>
      </c>
    </row>
    <row r="10052" spans="1:6" x14ac:dyDescent="0.25">
      <c r="A10052" s="1" t="s">
        <v>757</v>
      </c>
      <c r="B10052" s="1" t="s">
        <v>2385</v>
      </c>
      <c r="C10052" s="1" t="s">
        <v>150</v>
      </c>
      <c r="D10052" s="3">
        <f t="shared" si="1572"/>
        <v>8325</v>
      </c>
      <c r="E10052" s="2">
        <f t="shared" si="1573"/>
        <v>43252</v>
      </c>
      <c r="F10052" s="2">
        <f t="shared" si="1574"/>
        <v>43769</v>
      </c>
    </row>
    <row r="10053" spans="1:6" x14ac:dyDescent="0.25">
      <c r="A10053" s="1" t="s">
        <v>757</v>
      </c>
      <c r="B10053" s="1" t="s">
        <v>2385</v>
      </c>
      <c r="C10053" s="1" t="s">
        <v>151</v>
      </c>
      <c r="D10053" s="3">
        <f t="shared" si="1572"/>
        <v>8325</v>
      </c>
      <c r="E10053" s="2">
        <f t="shared" si="1573"/>
        <v>43252</v>
      </c>
      <c r="F10053" s="2">
        <f t="shared" si="1574"/>
        <v>43769</v>
      </c>
    </row>
    <row r="10054" spans="1:6" x14ac:dyDescent="0.25">
      <c r="A10054" s="1" t="s">
        <v>757</v>
      </c>
      <c r="B10054" s="1" t="s">
        <v>2385</v>
      </c>
      <c r="C10054" s="1" t="s">
        <v>768</v>
      </c>
      <c r="D10054" s="3">
        <f t="shared" si="1572"/>
        <v>8325</v>
      </c>
      <c r="E10054" s="2">
        <f t="shared" si="1573"/>
        <v>43252</v>
      </c>
      <c r="F10054" s="2">
        <f t="shared" si="1574"/>
        <v>43769</v>
      </c>
    </row>
    <row r="10055" spans="1:6" x14ac:dyDescent="0.25">
      <c r="A10055" s="1" t="s">
        <v>757</v>
      </c>
      <c r="B10055" s="1" t="s">
        <v>2385</v>
      </c>
      <c r="C10055" s="1" t="s">
        <v>94</v>
      </c>
      <c r="D10055" s="3">
        <f t="shared" si="1572"/>
        <v>8325</v>
      </c>
      <c r="E10055" s="2">
        <f t="shared" si="1573"/>
        <v>43252</v>
      </c>
      <c r="F10055" s="2">
        <f t="shared" si="1574"/>
        <v>43769</v>
      </c>
    </row>
    <row r="10056" spans="1:6" x14ac:dyDescent="0.25">
      <c r="A10056" s="1" t="s">
        <v>757</v>
      </c>
      <c r="B10056" s="1" t="s">
        <v>2385</v>
      </c>
      <c r="C10056" s="1" t="s">
        <v>24</v>
      </c>
      <c r="D10056" s="3">
        <f t="shared" si="1572"/>
        <v>8325</v>
      </c>
      <c r="E10056" s="2">
        <f t="shared" si="1573"/>
        <v>43252</v>
      </c>
      <c r="F10056" s="2">
        <f t="shared" si="1574"/>
        <v>43769</v>
      </c>
    </row>
    <row r="10057" spans="1:6" x14ac:dyDescent="0.25">
      <c r="A10057" s="1" t="s">
        <v>757</v>
      </c>
      <c r="B10057" s="1" t="s">
        <v>2385</v>
      </c>
      <c r="C10057" s="1" t="s">
        <v>50</v>
      </c>
      <c r="D10057" s="3">
        <f t="shared" si="1572"/>
        <v>8325</v>
      </c>
      <c r="E10057" s="2">
        <f t="shared" si="1573"/>
        <v>43252</v>
      </c>
      <c r="F10057" s="2">
        <f t="shared" si="1574"/>
        <v>43769</v>
      </c>
    </row>
    <row r="10058" spans="1:6" x14ac:dyDescent="0.25">
      <c r="A10058" s="1" t="s">
        <v>757</v>
      </c>
      <c r="B10058" s="1" t="s">
        <v>2385</v>
      </c>
      <c r="C10058" s="1" t="s">
        <v>494</v>
      </c>
      <c r="D10058" s="3">
        <f t="shared" si="1572"/>
        <v>8325</v>
      </c>
      <c r="E10058" s="2">
        <f t="shared" si="1573"/>
        <v>43252</v>
      </c>
      <c r="F10058" s="2">
        <f t="shared" si="1574"/>
        <v>43769</v>
      </c>
    </row>
    <row r="10059" spans="1:6" x14ac:dyDescent="0.25">
      <c r="A10059" s="1" t="s">
        <v>757</v>
      </c>
      <c r="B10059" s="1" t="s">
        <v>2385</v>
      </c>
      <c r="C10059" s="1" t="s">
        <v>99</v>
      </c>
      <c r="D10059" s="3">
        <f t="shared" si="1572"/>
        <v>8325</v>
      </c>
      <c r="E10059" s="2">
        <f t="shared" si="1573"/>
        <v>43252</v>
      </c>
      <c r="F10059" s="2">
        <f t="shared" si="1574"/>
        <v>43769</v>
      </c>
    </row>
    <row r="10060" spans="1:6" x14ac:dyDescent="0.25">
      <c r="A10060" s="1" t="s">
        <v>757</v>
      </c>
      <c r="B10060" s="1" t="s">
        <v>2385</v>
      </c>
      <c r="C10060" s="1" t="s">
        <v>100</v>
      </c>
      <c r="D10060" s="3">
        <f t="shared" si="1572"/>
        <v>8325</v>
      </c>
      <c r="E10060" s="2">
        <f t="shared" si="1573"/>
        <v>43252</v>
      </c>
      <c r="F10060" s="2">
        <f t="shared" si="1574"/>
        <v>43769</v>
      </c>
    </row>
    <row r="10061" spans="1:6" x14ac:dyDescent="0.25">
      <c r="A10061" s="1" t="s">
        <v>757</v>
      </c>
      <c r="B10061" s="1" t="s">
        <v>2385</v>
      </c>
      <c r="C10061" s="1" t="s">
        <v>495</v>
      </c>
      <c r="D10061" s="3">
        <f t="shared" si="1572"/>
        <v>8325</v>
      </c>
      <c r="E10061" s="2">
        <f t="shared" si="1573"/>
        <v>43252</v>
      </c>
      <c r="F10061" s="2">
        <f t="shared" si="1574"/>
        <v>43769</v>
      </c>
    </row>
    <row r="10062" spans="1:6" x14ac:dyDescent="0.25">
      <c r="A10062" s="1" t="s">
        <v>757</v>
      </c>
      <c r="B10062" s="1" t="s">
        <v>2385</v>
      </c>
      <c r="C10062" s="1" t="s">
        <v>476</v>
      </c>
      <c r="D10062" s="3">
        <f t="shared" si="1572"/>
        <v>8325</v>
      </c>
      <c r="E10062" s="2">
        <f t="shared" si="1573"/>
        <v>43252</v>
      </c>
      <c r="F10062" s="2">
        <f t="shared" si="1574"/>
        <v>43769</v>
      </c>
    </row>
    <row r="10063" spans="1:6" x14ac:dyDescent="0.25">
      <c r="A10063" s="1" t="s">
        <v>757</v>
      </c>
      <c r="B10063" s="1" t="s">
        <v>2385</v>
      </c>
      <c r="C10063" s="1" t="s">
        <v>104</v>
      </c>
      <c r="D10063" s="3">
        <f t="shared" si="1572"/>
        <v>8325</v>
      </c>
      <c r="E10063" s="2">
        <f t="shared" si="1573"/>
        <v>43252</v>
      </c>
      <c r="F10063" s="2">
        <f t="shared" si="1574"/>
        <v>43769</v>
      </c>
    </row>
    <row r="10064" spans="1:6" x14ac:dyDescent="0.25">
      <c r="A10064" s="1" t="s">
        <v>757</v>
      </c>
      <c r="B10064" s="1" t="s">
        <v>2385</v>
      </c>
      <c r="C10064" s="1" t="s">
        <v>350</v>
      </c>
      <c r="D10064" s="3">
        <f t="shared" si="1572"/>
        <v>8325</v>
      </c>
      <c r="E10064" s="2">
        <f t="shared" si="1573"/>
        <v>43252</v>
      </c>
      <c r="F10064" s="2">
        <f t="shared" si="1574"/>
        <v>43769</v>
      </c>
    </row>
    <row r="10065" spans="1:6" x14ac:dyDescent="0.25">
      <c r="A10065" s="1" t="s">
        <v>757</v>
      </c>
      <c r="B10065" s="1" t="s">
        <v>2385</v>
      </c>
      <c r="C10065" s="1" t="s">
        <v>160</v>
      </c>
      <c r="D10065" s="3">
        <f t="shared" si="1572"/>
        <v>8325</v>
      </c>
      <c r="E10065" s="2">
        <f t="shared" si="1573"/>
        <v>43252</v>
      </c>
      <c r="F10065" s="2">
        <f t="shared" si="1574"/>
        <v>43769</v>
      </c>
    </row>
    <row r="10066" spans="1:6" x14ac:dyDescent="0.25">
      <c r="A10066" s="1" t="s">
        <v>757</v>
      </c>
      <c r="B10066" s="1" t="s">
        <v>2385</v>
      </c>
      <c r="C10066" s="1" t="s">
        <v>34</v>
      </c>
      <c r="D10066" s="3">
        <f t="shared" si="1572"/>
        <v>8325</v>
      </c>
      <c r="E10066" s="2">
        <f t="shared" si="1573"/>
        <v>43252</v>
      </c>
      <c r="F10066" s="2">
        <f t="shared" si="1574"/>
        <v>43769</v>
      </c>
    </row>
    <row r="10067" spans="1:6" x14ac:dyDescent="0.25">
      <c r="A10067" s="1" t="s">
        <v>757</v>
      </c>
      <c r="B10067" s="1" t="s">
        <v>2385</v>
      </c>
      <c r="C10067" s="1" t="s">
        <v>115</v>
      </c>
      <c r="D10067" s="3">
        <f t="shared" si="1572"/>
        <v>8325</v>
      </c>
      <c r="E10067" s="2">
        <f t="shared" si="1573"/>
        <v>43252</v>
      </c>
      <c r="F10067" s="2">
        <f t="shared" si="1574"/>
        <v>43769</v>
      </c>
    </row>
    <row r="10068" spans="1:6" x14ac:dyDescent="0.25">
      <c r="A10068" s="1" t="s">
        <v>757</v>
      </c>
      <c r="B10068" s="1" t="s">
        <v>2385</v>
      </c>
      <c r="C10068" s="1" t="s">
        <v>519</v>
      </c>
      <c r="D10068" s="3">
        <f t="shared" si="1572"/>
        <v>8325</v>
      </c>
      <c r="E10068" s="2">
        <f t="shared" si="1573"/>
        <v>43252</v>
      </c>
      <c r="F10068" s="2">
        <f t="shared" si="1574"/>
        <v>43769</v>
      </c>
    </row>
    <row r="10069" spans="1:6" x14ac:dyDescent="0.25">
      <c r="A10069" s="1" t="s">
        <v>757</v>
      </c>
      <c r="B10069" s="1" t="s">
        <v>2385</v>
      </c>
      <c r="C10069" s="1" t="s">
        <v>57</v>
      </c>
      <c r="D10069" s="3">
        <f t="shared" si="1572"/>
        <v>8325</v>
      </c>
      <c r="E10069" s="2">
        <f t="shared" si="1573"/>
        <v>43252</v>
      </c>
      <c r="F10069" s="2">
        <f t="shared" si="1574"/>
        <v>43769</v>
      </c>
    </row>
    <row r="10070" spans="1:6" x14ac:dyDescent="0.25">
      <c r="A10070" s="1" t="s">
        <v>757</v>
      </c>
      <c r="B10070" s="1" t="s">
        <v>2385</v>
      </c>
      <c r="C10070" s="1" t="s">
        <v>170</v>
      </c>
      <c r="D10070" s="3">
        <f t="shared" si="1572"/>
        <v>8325</v>
      </c>
      <c r="E10070" s="2">
        <f t="shared" si="1573"/>
        <v>43252</v>
      </c>
      <c r="F10070" s="2">
        <f t="shared" si="1574"/>
        <v>43769</v>
      </c>
    </row>
    <row r="10071" spans="1:6" x14ac:dyDescent="0.25">
      <c r="A10071" s="1" t="s">
        <v>757</v>
      </c>
      <c r="B10071" s="1" t="s">
        <v>2385</v>
      </c>
      <c r="C10071" s="1" t="s">
        <v>117</v>
      </c>
      <c r="D10071" s="3">
        <f t="shared" si="1572"/>
        <v>8325</v>
      </c>
      <c r="E10071" s="2">
        <f t="shared" si="1573"/>
        <v>43252</v>
      </c>
      <c r="F10071" s="2">
        <f t="shared" si="1574"/>
        <v>43769</v>
      </c>
    </row>
    <row r="10072" spans="1:6" x14ac:dyDescent="0.25">
      <c r="A10072" s="1" t="s">
        <v>757</v>
      </c>
      <c r="B10072" s="1" t="s">
        <v>2335</v>
      </c>
      <c r="C10072" s="1" t="s">
        <v>7</v>
      </c>
      <c r="D10072" s="3">
        <f t="shared" ref="D10072:D10098" si="1575">VALUE("8186")</f>
        <v>8186</v>
      </c>
      <c r="E10072" s="2">
        <f t="shared" ref="E10072:E10102" si="1576">DATEVALUE("1-5-2018")</f>
        <v>43221</v>
      </c>
      <c r="F10072" s="2">
        <f t="shared" ref="F10072:F10098" si="1577">DATEVALUE("30-9-2018")</f>
        <v>43373</v>
      </c>
    </row>
    <row r="10073" spans="1:6" x14ac:dyDescent="0.25">
      <c r="A10073" s="1" t="s">
        <v>757</v>
      </c>
      <c r="B10073" s="1" t="s">
        <v>2335</v>
      </c>
      <c r="C10073" s="1" t="s">
        <v>6</v>
      </c>
      <c r="D10073" s="3">
        <f t="shared" si="1575"/>
        <v>8186</v>
      </c>
      <c r="E10073" s="2">
        <f t="shared" si="1576"/>
        <v>43221</v>
      </c>
      <c r="F10073" s="2">
        <f t="shared" si="1577"/>
        <v>43373</v>
      </c>
    </row>
    <row r="10074" spans="1:6" x14ac:dyDescent="0.25">
      <c r="A10074" s="1" t="s">
        <v>757</v>
      </c>
      <c r="B10074" s="1" t="s">
        <v>2335</v>
      </c>
      <c r="C10074" s="1" t="s">
        <v>8</v>
      </c>
      <c r="D10074" s="3">
        <f t="shared" si="1575"/>
        <v>8186</v>
      </c>
      <c r="E10074" s="2">
        <f t="shared" si="1576"/>
        <v>43221</v>
      </c>
      <c r="F10074" s="2">
        <f t="shared" si="1577"/>
        <v>43373</v>
      </c>
    </row>
    <row r="10075" spans="1:6" x14ac:dyDescent="0.25">
      <c r="A10075" s="1" t="s">
        <v>757</v>
      </c>
      <c r="B10075" s="1" t="s">
        <v>2335</v>
      </c>
      <c r="C10075" s="1" t="s">
        <v>10</v>
      </c>
      <c r="D10075" s="3">
        <f t="shared" si="1575"/>
        <v>8186</v>
      </c>
      <c r="E10075" s="2">
        <f t="shared" si="1576"/>
        <v>43221</v>
      </c>
      <c r="F10075" s="2">
        <f t="shared" si="1577"/>
        <v>43373</v>
      </c>
    </row>
    <row r="10076" spans="1:6" x14ac:dyDescent="0.25">
      <c r="A10076" s="1" t="s">
        <v>757</v>
      </c>
      <c r="B10076" s="1" t="s">
        <v>2335</v>
      </c>
      <c r="C10076" s="1" t="s">
        <v>599</v>
      </c>
      <c r="D10076" s="3">
        <f t="shared" si="1575"/>
        <v>8186</v>
      </c>
      <c r="E10076" s="2">
        <f t="shared" si="1576"/>
        <v>43221</v>
      </c>
      <c r="F10076" s="2">
        <f t="shared" si="1577"/>
        <v>43373</v>
      </c>
    </row>
    <row r="10077" spans="1:6" x14ac:dyDescent="0.25">
      <c r="A10077" s="1" t="s">
        <v>757</v>
      </c>
      <c r="B10077" s="1" t="s">
        <v>2335</v>
      </c>
      <c r="C10077" s="1" t="s">
        <v>13</v>
      </c>
      <c r="D10077" s="3">
        <f t="shared" si="1575"/>
        <v>8186</v>
      </c>
      <c r="E10077" s="2">
        <f t="shared" si="1576"/>
        <v>43221</v>
      </c>
      <c r="F10077" s="2">
        <f t="shared" si="1577"/>
        <v>43373</v>
      </c>
    </row>
    <row r="10078" spans="1:6" x14ac:dyDescent="0.25">
      <c r="A10078" s="1" t="s">
        <v>757</v>
      </c>
      <c r="B10078" s="1" t="s">
        <v>2335</v>
      </c>
      <c r="C10078" s="1" t="s">
        <v>2336</v>
      </c>
      <c r="D10078" s="3">
        <f t="shared" si="1575"/>
        <v>8186</v>
      </c>
      <c r="E10078" s="2">
        <f t="shared" si="1576"/>
        <v>43221</v>
      </c>
      <c r="F10078" s="2">
        <f t="shared" si="1577"/>
        <v>43373</v>
      </c>
    </row>
    <row r="10079" spans="1:6" x14ac:dyDescent="0.25">
      <c r="A10079" s="1" t="s">
        <v>757</v>
      </c>
      <c r="B10079" s="1" t="s">
        <v>2335</v>
      </c>
      <c r="C10079" s="1" t="s">
        <v>17</v>
      </c>
      <c r="D10079" s="3">
        <f t="shared" si="1575"/>
        <v>8186</v>
      </c>
      <c r="E10079" s="2">
        <f t="shared" si="1576"/>
        <v>43221</v>
      </c>
      <c r="F10079" s="2">
        <f t="shared" si="1577"/>
        <v>43373</v>
      </c>
    </row>
    <row r="10080" spans="1:6" x14ac:dyDescent="0.25">
      <c r="A10080" s="1" t="s">
        <v>757</v>
      </c>
      <c r="B10080" s="1" t="s">
        <v>2335</v>
      </c>
      <c r="C10080" s="1" t="s">
        <v>22</v>
      </c>
      <c r="D10080" s="3">
        <f t="shared" si="1575"/>
        <v>8186</v>
      </c>
      <c r="E10080" s="2">
        <f t="shared" si="1576"/>
        <v>43221</v>
      </c>
      <c r="F10080" s="2">
        <f t="shared" si="1577"/>
        <v>43373</v>
      </c>
    </row>
    <row r="10081" spans="1:6" x14ac:dyDescent="0.25">
      <c r="A10081" s="1" t="s">
        <v>757</v>
      </c>
      <c r="B10081" s="1" t="s">
        <v>2335</v>
      </c>
      <c r="C10081" s="1" t="s">
        <v>2337</v>
      </c>
      <c r="D10081" s="3">
        <f t="shared" si="1575"/>
        <v>8186</v>
      </c>
      <c r="E10081" s="2">
        <f t="shared" si="1576"/>
        <v>43221</v>
      </c>
      <c r="F10081" s="2">
        <f t="shared" si="1577"/>
        <v>43373</v>
      </c>
    </row>
    <row r="10082" spans="1:6" x14ac:dyDescent="0.25">
      <c r="A10082" s="1" t="s">
        <v>757</v>
      </c>
      <c r="B10082" s="1" t="s">
        <v>2335</v>
      </c>
      <c r="C10082" s="1" t="s">
        <v>764</v>
      </c>
      <c r="D10082" s="3">
        <f t="shared" si="1575"/>
        <v>8186</v>
      </c>
      <c r="E10082" s="2">
        <f t="shared" si="1576"/>
        <v>43221</v>
      </c>
      <c r="F10082" s="2">
        <f t="shared" si="1577"/>
        <v>43373</v>
      </c>
    </row>
    <row r="10083" spans="1:6" x14ac:dyDescent="0.25">
      <c r="A10083" s="1" t="s">
        <v>757</v>
      </c>
      <c r="B10083" s="1" t="s">
        <v>2335</v>
      </c>
      <c r="C10083" s="1" t="s">
        <v>765</v>
      </c>
      <c r="D10083" s="3">
        <f t="shared" si="1575"/>
        <v>8186</v>
      </c>
      <c r="E10083" s="2">
        <f t="shared" si="1576"/>
        <v>43221</v>
      </c>
      <c r="F10083" s="2">
        <f t="shared" si="1577"/>
        <v>43373</v>
      </c>
    </row>
    <row r="10084" spans="1:6" x14ac:dyDescent="0.25">
      <c r="A10084" s="1" t="s">
        <v>757</v>
      </c>
      <c r="B10084" s="1" t="s">
        <v>2335</v>
      </c>
      <c r="C10084" s="1" t="s">
        <v>1811</v>
      </c>
      <c r="D10084" s="3">
        <f t="shared" si="1575"/>
        <v>8186</v>
      </c>
      <c r="E10084" s="2">
        <f t="shared" si="1576"/>
        <v>43221</v>
      </c>
      <c r="F10084" s="2">
        <f t="shared" si="1577"/>
        <v>43373</v>
      </c>
    </row>
    <row r="10085" spans="1:6" x14ac:dyDescent="0.25">
      <c r="A10085" s="1" t="s">
        <v>757</v>
      </c>
      <c r="B10085" s="1" t="s">
        <v>2335</v>
      </c>
      <c r="C10085" s="1" t="s">
        <v>1812</v>
      </c>
      <c r="D10085" s="3">
        <f t="shared" si="1575"/>
        <v>8186</v>
      </c>
      <c r="E10085" s="2">
        <f t="shared" si="1576"/>
        <v>43221</v>
      </c>
      <c r="F10085" s="2">
        <f t="shared" si="1577"/>
        <v>43373</v>
      </c>
    </row>
    <row r="10086" spans="1:6" x14ac:dyDescent="0.25">
      <c r="A10086" s="1" t="s">
        <v>757</v>
      </c>
      <c r="B10086" s="1" t="s">
        <v>2335</v>
      </c>
      <c r="C10086" s="1" t="s">
        <v>1813</v>
      </c>
      <c r="D10086" s="3">
        <f t="shared" si="1575"/>
        <v>8186</v>
      </c>
      <c r="E10086" s="2">
        <f t="shared" si="1576"/>
        <v>43221</v>
      </c>
      <c r="F10086" s="2">
        <f t="shared" si="1577"/>
        <v>43373</v>
      </c>
    </row>
    <row r="10087" spans="1:6" x14ac:dyDescent="0.25">
      <c r="A10087" s="1" t="s">
        <v>757</v>
      </c>
      <c r="B10087" s="1" t="s">
        <v>2335</v>
      </c>
      <c r="C10087" s="1" t="s">
        <v>1814</v>
      </c>
      <c r="D10087" s="3">
        <f t="shared" si="1575"/>
        <v>8186</v>
      </c>
      <c r="E10087" s="2">
        <f t="shared" si="1576"/>
        <v>43221</v>
      </c>
      <c r="F10087" s="2">
        <f t="shared" si="1577"/>
        <v>43373</v>
      </c>
    </row>
    <row r="10088" spans="1:6" x14ac:dyDescent="0.25">
      <c r="A10088" s="1" t="s">
        <v>757</v>
      </c>
      <c r="B10088" s="1" t="s">
        <v>2335</v>
      </c>
      <c r="C10088" s="1" t="s">
        <v>1680</v>
      </c>
      <c r="D10088" s="3">
        <f t="shared" si="1575"/>
        <v>8186</v>
      </c>
      <c r="E10088" s="2">
        <f t="shared" si="1576"/>
        <v>43221</v>
      </c>
      <c r="F10088" s="2">
        <f t="shared" si="1577"/>
        <v>43373</v>
      </c>
    </row>
    <row r="10089" spans="1:6" x14ac:dyDescent="0.25">
      <c r="A10089" s="1" t="s">
        <v>757</v>
      </c>
      <c r="B10089" s="1" t="s">
        <v>2335</v>
      </c>
      <c r="C10089" s="1" t="s">
        <v>1681</v>
      </c>
      <c r="D10089" s="3">
        <f t="shared" si="1575"/>
        <v>8186</v>
      </c>
      <c r="E10089" s="2">
        <f t="shared" si="1576"/>
        <v>43221</v>
      </c>
      <c r="F10089" s="2">
        <f t="shared" si="1577"/>
        <v>43373</v>
      </c>
    </row>
    <row r="10090" spans="1:6" x14ac:dyDescent="0.25">
      <c r="A10090" s="1" t="s">
        <v>757</v>
      </c>
      <c r="B10090" s="1" t="s">
        <v>2335</v>
      </c>
      <c r="C10090" s="1" t="s">
        <v>1682</v>
      </c>
      <c r="D10090" s="3">
        <f t="shared" si="1575"/>
        <v>8186</v>
      </c>
      <c r="E10090" s="2">
        <f t="shared" si="1576"/>
        <v>43221</v>
      </c>
      <c r="F10090" s="2">
        <f t="shared" si="1577"/>
        <v>43373</v>
      </c>
    </row>
    <row r="10091" spans="1:6" x14ac:dyDescent="0.25">
      <c r="A10091" s="1" t="s">
        <v>757</v>
      </c>
      <c r="B10091" s="1" t="s">
        <v>2335</v>
      </c>
      <c r="C10091" s="1" t="s">
        <v>1683</v>
      </c>
      <c r="D10091" s="3">
        <f t="shared" si="1575"/>
        <v>8186</v>
      </c>
      <c r="E10091" s="2">
        <f t="shared" si="1576"/>
        <v>43221</v>
      </c>
      <c r="F10091" s="2">
        <f t="shared" si="1577"/>
        <v>43373</v>
      </c>
    </row>
    <row r="10092" spans="1:6" x14ac:dyDescent="0.25">
      <c r="A10092" s="1" t="s">
        <v>757</v>
      </c>
      <c r="B10092" s="1" t="s">
        <v>2335</v>
      </c>
      <c r="C10092" s="1" t="s">
        <v>1684</v>
      </c>
      <c r="D10092" s="3">
        <f t="shared" si="1575"/>
        <v>8186</v>
      </c>
      <c r="E10092" s="2">
        <f t="shared" si="1576"/>
        <v>43221</v>
      </c>
      <c r="F10092" s="2">
        <f t="shared" si="1577"/>
        <v>43373</v>
      </c>
    </row>
    <row r="10093" spans="1:6" x14ac:dyDescent="0.25">
      <c r="A10093" s="1" t="s">
        <v>757</v>
      </c>
      <c r="B10093" s="1" t="s">
        <v>2335</v>
      </c>
      <c r="C10093" s="1" t="s">
        <v>1685</v>
      </c>
      <c r="D10093" s="3">
        <f t="shared" si="1575"/>
        <v>8186</v>
      </c>
      <c r="E10093" s="2">
        <f t="shared" si="1576"/>
        <v>43221</v>
      </c>
      <c r="F10093" s="2">
        <f t="shared" si="1577"/>
        <v>43373</v>
      </c>
    </row>
    <row r="10094" spans="1:6" x14ac:dyDescent="0.25">
      <c r="A10094" s="1" t="s">
        <v>757</v>
      </c>
      <c r="B10094" s="1" t="s">
        <v>2335</v>
      </c>
      <c r="C10094" s="1" t="s">
        <v>1686</v>
      </c>
      <c r="D10094" s="3">
        <f t="shared" si="1575"/>
        <v>8186</v>
      </c>
      <c r="E10094" s="2">
        <f t="shared" si="1576"/>
        <v>43221</v>
      </c>
      <c r="F10094" s="2">
        <f t="shared" si="1577"/>
        <v>43373</v>
      </c>
    </row>
    <row r="10095" spans="1:6" x14ac:dyDescent="0.25">
      <c r="A10095" s="1" t="s">
        <v>757</v>
      </c>
      <c r="B10095" s="1" t="s">
        <v>2335</v>
      </c>
      <c r="C10095" s="1" t="s">
        <v>1687</v>
      </c>
      <c r="D10095" s="3">
        <f t="shared" si="1575"/>
        <v>8186</v>
      </c>
      <c r="E10095" s="2">
        <f t="shared" si="1576"/>
        <v>43221</v>
      </c>
      <c r="F10095" s="2">
        <f t="shared" si="1577"/>
        <v>43373</v>
      </c>
    </row>
    <row r="10096" spans="1:6" x14ac:dyDescent="0.25">
      <c r="A10096" s="1" t="s">
        <v>757</v>
      </c>
      <c r="B10096" s="1" t="s">
        <v>2335</v>
      </c>
      <c r="C10096" s="1" t="s">
        <v>1688</v>
      </c>
      <c r="D10096" s="3">
        <f t="shared" si="1575"/>
        <v>8186</v>
      </c>
      <c r="E10096" s="2">
        <f t="shared" si="1576"/>
        <v>43221</v>
      </c>
      <c r="F10096" s="2">
        <f t="shared" si="1577"/>
        <v>43373</v>
      </c>
    </row>
    <row r="10097" spans="1:6" x14ac:dyDescent="0.25">
      <c r="A10097" s="1" t="s">
        <v>757</v>
      </c>
      <c r="B10097" s="1" t="s">
        <v>2335</v>
      </c>
      <c r="C10097" s="1" t="s">
        <v>212</v>
      </c>
      <c r="D10097" s="3">
        <f t="shared" si="1575"/>
        <v>8186</v>
      </c>
      <c r="E10097" s="2">
        <f t="shared" si="1576"/>
        <v>43221</v>
      </c>
      <c r="F10097" s="2">
        <f t="shared" si="1577"/>
        <v>43373</v>
      </c>
    </row>
    <row r="10098" spans="1:6" x14ac:dyDescent="0.25">
      <c r="A10098" s="1" t="s">
        <v>757</v>
      </c>
      <c r="B10098" s="1" t="s">
        <v>2335</v>
      </c>
      <c r="C10098" s="1" t="s">
        <v>1815</v>
      </c>
      <c r="D10098" s="3">
        <f t="shared" si="1575"/>
        <v>8186</v>
      </c>
      <c r="E10098" s="2">
        <f t="shared" si="1576"/>
        <v>43221</v>
      </c>
      <c r="F10098" s="2">
        <f t="shared" si="1577"/>
        <v>43373</v>
      </c>
    </row>
    <row r="10099" spans="1:6" x14ac:dyDescent="0.25">
      <c r="A10099" s="1" t="s">
        <v>757</v>
      </c>
      <c r="B10099" s="1" t="s">
        <v>2372</v>
      </c>
      <c r="C10099" s="1" t="s">
        <v>61</v>
      </c>
      <c r="D10099" s="3">
        <f>VALUE("8299")</f>
        <v>8299</v>
      </c>
      <c r="E10099" s="2">
        <f t="shared" si="1576"/>
        <v>43221</v>
      </c>
      <c r="F10099" s="2">
        <f>DATEVALUE("31-7-2018")</f>
        <v>43312</v>
      </c>
    </row>
    <row r="10100" spans="1:6" x14ac:dyDescent="0.25">
      <c r="A10100" s="1" t="s">
        <v>757</v>
      </c>
      <c r="B10100" s="1" t="s">
        <v>2372</v>
      </c>
      <c r="C10100" s="1" t="s">
        <v>17</v>
      </c>
      <c r="D10100" s="3">
        <f>VALUE("8299")</f>
        <v>8299</v>
      </c>
      <c r="E10100" s="2">
        <f t="shared" si="1576"/>
        <v>43221</v>
      </c>
      <c r="F10100" s="2">
        <f>DATEVALUE("31-7-2018")</f>
        <v>43312</v>
      </c>
    </row>
    <row r="10101" spans="1:6" x14ac:dyDescent="0.25">
      <c r="A10101" s="1" t="s">
        <v>757</v>
      </c>
      <c r="B10101" s="1" t="s">
        <v>2372</v>
      </c>
      <c r="C10101" s="1" t="s">
        <v>22</v>
      </c>
      <c r="D10101" s="3">
        <f>VALUE("8299")</f>
        <v>8299</v>
      </c>
      <c r="E10101" s="2">
        <f t="shared" si="1576"/>
        <v>43221</v>
      </c>
      <c r="F10101" s="2">
        <f>DATEVALUE("31-7-2018")</f>
        <v>43312</v>
      </c>
    </row>
    <row r="10102" spans="1:6" x14ac:dyDescent="0.25">
      <c r="A10102" s="1" t="s">
        <v>757</v>
      </c>
      <c r="B10102" s="1" t="s">
        <v>2372</v>
      </c>
      <c r="C10102" s="1" t="s">
        <v>52</v>
      </c>
      <c r="D10102" s="3">
        <f>VALUE("8299")</f>
        <v>8299</v>
      </c>
      <c r="E10102" s="2">
        <f t="shared" si="1576"/>
        <v>43221</v>
      </c>
      <c r="F10102" s="2">
        <f>DATEVALUE("31-7-2018")</f>
        <v>43312</v>
      </c>
    </row>
    <row r="10103" spans="1:6" x14ac:dyDescent="0.25">
      <c r="A10103" s="1" t="s">
        <v>757</v>
      </c>
      <c r="B10103" s="1" t="s">
        <v>2068</v>
      </c>
      <c r="C10103" s="1" t="s">
        <v>61</v>
      </c>
      <c r="D10103" s="3">
        <f t="shared" ref="D10103:D10125" si="1578">VALUE("8282")</f>
        <v>8282</v>
      </c>
      <c r="E10103" s="2">
        <f t="shared" ref="E10103:E10125" si="1579">DATEVALUE("1-4-2018")</f>
        <v>43191</v>
      </c>
      <c r="F10103" s="2">
        <f t="shared" ref="F10103:F10125" si="1580">DATEVALUE("30-4-2019")</f>
        <v>43585</v>
      </c>
    </row>
    <row r="10104" spans="1:6" x14ac:dyDescent="0.25">
      <c r="A10104" s="1" t="s">
        <v>757</v>
      </c>
      <c r="B10104" s="1" t="s">
        <v>2068</v>
      </c>
      <c r="C10104" s="1" t="s">
        <v>45</v>
      </c>
      <c r="D10104" s="3">
        <f t="shared" si="1578"/>
        <v>8282</v>
      </c>
      <c r="E10104" s="2">
        <f t="shared" si="1579"/>
        <v>43191</v>
      </c>
      <c r="F10104" s="2">
        <f t="shared" si="1580"/>
        <v>43585</v>
      </c>
    </row>
    <row r="10105" spans="1:6" x14ac:dyDescent="0.25">
      <c r="A10105" s="1" t="s">
        <v>757</v>
      </c>
      <c r="B10105" s="1" t="s">
        <v>2068</v>
      </c>
      <c r="C10105" s="1" t="s">
        <v>44</v>
      </c>
      <c r="D10105" s="3">
        <f t="shared" si="1578"/>
        <v>8282</v>
      </c>
      <c r="E10105" s="2">
        <f t="shared" si="1579"/>
        <v>43191</v>
      </c>
      <c r="F10105" s="2">
        <f t="shared" si="1580"/>
        <v>43585</v>
      </c>
    </row>
    <row r="10106" spans="1:6" x14ac:dyDescent="0.25">
      <c r="A10106" s="1" t="s">
        <v>757</v>
      </c>
      <c r="B10106" s="1" t="s">
        <v>2068</v>
      </c>
      <c r="C10106" s="1" t="s">
        <v>14</v>
      </c>
      <c r="D10106" s="3">
        <f t="shared" si="1578"/>
        <v>8282</v>
      </c>
      <c r="E10106" s="2">
        <f t="shared" si="1579"/>
        <v>43191</v>
      </c>
      <c r="F10106" s="2">
        <f t="shared" si="1580"/>
        <v>43585</v>
      </c>
    </row>
    <row r="10107" spans="1:6" x14ac:dyDescent="0.25">
      <c r="A10107" s="1" t="s">
        <v>757</v>
      </c>
      <c r="B10107" s="1" t="s">
        <v>2068</v>
      </c>
      <c r="C10107" s="1" t="s">
        <v>15</v>
      </c>
      <c r="D10107" s="3">
        <f t="shared" si="1578"/>
        <v>8282</v>
      </c>
      <c r="E10107" s="2">
        <f t="shared" si="1579"/>
        <v>43191</v>
      </c>
      <c r="F10107" s="2">
        <f t="shared" si="1580"/>
        <v>43585</v>
      </c>
    </row>
    <row r="10108" spans="1:6" x14ac:dyDescent="0.25">
      <c r="A10108" s="1" t="s">
        <v>757</v>
      </c>
      <c r="B10108" s="1" t="s">
        <v>2068</v>
      </c>
      <c r="C10108" s="1" t="s">
        <v>17</v>
      </c>
      <c r="D10108" s="3">
        <f t="shared" si="1578"/>
        <v>8282</v>
      </c>
      <c r="E10108" s="2">
        <f t="shared" si="1579"/>
        <v>43191</v>
      </c>
      <c r="F10108" s="2">
        <f t="shared" si="1580"/>
        <v>43585</v>
      </c>
    </row>
    <row r="10109" spans="1:6" x14ac:dyDescent="0.25">
      <c r="A10109" s="1" t="s">
        <v>757</v>
      </c>
      <c r="B10109" s="1" t="s">
        <v>2068</v>
      </c>
      <c r="C10109" s="1" t="s">
        <v>197</v>
      </c>
      <c r="D10109" s="3">
        <f t="shared" si="1578"/>
        <v>8282</v>
      </c>
      <c r="E10109" s="2">
        <f t="shared" si="1579"/>
        <v>43191</v>
      </c>
      <c r="F10109" s="2">
        <f t="shared" si="1580"/>
        <v>43585</v>
      </c>
    </row>
    <row r="10110" spans="1:6" x14ac:dyDescent="0.25">
      <c r="A10110" s="1" t="s">
        <v>757</v>
      </c>
      <c r="B10110" s="1" t="s">
        <v>2068</v>
      </c>
      <c r="C10110" s="1" t="s">
        <v>22</v>
      </c>
      <c r="D10110" s="3">
        <f t="shared" si="1578"/>
        <v>8282</v>
      </c>
      <c r="E10110" s="2">
        <f t="shared" si="1579"/>
        <v>43191</v>
      </c>
      <c r="F10110" s="2">
        <f t="shared" si="1580"/>
        <v>43585</v>
      </c>
    </row>
    <row r="10111" spans="1:6" x14ac:dyDescent="0.25">
      <c r="A10111" s="1" t="s">
        <v>757</v>
      </c>
      <c r="B10111" s="1" t="s">
        <v>2068</v>
      </c>
      <c r="C10111" s="1" t="s">
        <v>258</v>
      </c>
      <c r="D10111" s="3">
        <f t="shared" si="1578"/>
        <v>8282</v>
      </c>
      <c r="E10111" s="2">
        <f t="shared" si="1579"/>
        <v>43191</v>
      </c>
      <c r="F10111" s="2">
        <f t="shared" si="1580"/>
        <v>43585</v>
      </c>
    </row>
    <row r="10112" spans="1:6" x14ac:dyDescent="0.25">
      <c r="A10112" s="1" t="s">
        <v>757</v>
      </c>
      <c r="B10112" s="1" t="s">
        <v>2068</v>
      </c>
      <c r="C10112" s="1" t="s">
        <v>400</v>
      </c>
      <c r="D10112" s="3">
        <f t="shared" si="1578"/>
        <v>8282</v>
      </c>
      <c r="E10112" s="2">
        <f t="shared" si="1579"/>
        <v>43191</v>
      </c>
      <c r="F10112" s="2">
        <f t="shared" si="1580"/>
        <v>43585</v>
      </c>
    </row>
    <row r="10113" spans="1:6" x14ac:dyDescent="0.25">
      <c r="A10113" s="1" t="s">
        <v>757</v>
      </c>
      <c r="B10113" s="1" t="s">
        <v>2068</v>
      </c>
      <c r="C10113" s="1" t="s">
        <v>128</v>
      </c>
      <c r="D10113" s="3">
        <f t="shared" si="1578"/>
        <v>8282</v>
      </c>
      <c r="E10113" s="2">
        <f t="shared" si="1579"/>
        <v>43191</v>
      </c>
      <c r="F10113" s="2">
        <f t="shared" si="1580"/>
        <v>43585</v>
      </c>
    </row>
    <row r="10114" spans="1:6" x14ac:dyDescent="0.25">
      <c r="A10114" s="1" t="s">
        <v>757</v>
      </c>
      <c r="B10114" s="1" t="s">
        <v>2068</v>
      </c>
      <c r="C10114" s="1" t="s">
        <v>94</v>
      </c>
      <c r="D10114" s="3">
        <f t="shared" si="1578"/>
        <v>8282</v>
      </c>
      <c r="E10114" s="2">
        <f t="shared" si="1579"/>
        <v>43191</v>
      </c>
      <c r="F10114" s="2">
        <f t="shared" si="1580"/>
        <v>43585</v>
      </c>
    </row>
    <row r="10115" spans="1:6" x14ac:dyDescent="0.25">
      <c r="A10115" s="1" t="s">
        <v>757</v>
      </c>
      <c r="B10115" s="1" t="s">
        <v>2068</v>
      </c>
      <c r="C10115" s="1" t="s">
        <v>24</v>
      </c>
      <c r="D10115" s="3">
        <f t="shared" si="1578"/>
        <v>8282</v>
      </c>
      <c r="E10115" s="2">
        <f t="shared" si="1579"/>
        <v>43191</v>
      </c>
      <c r="F10115" s="2">
        <f t="shared" si="1580"/>
        <v>43585</v>
      </c>
    </row>
    <row r="10116" spans="1:6" x14ac:dyDescent="0.25">
      <c r="A10116" s="1" t="s">
        <v>757</v>
      </c>
      <c r="B10116" s="1" t="s">
        <v>2068</v>
      </c>
      <c r="C10116" s="1" t="s">
        <v>99</v>
      </c>
      <c r="D10116" s="3">
        <f t="shared" si="1578"/>
        <v>8282</v>
      </c>
      <c r="E10116" s="2">
        <f t="shared" si="1579"/>
        <v>43191</v>
      </c>
      <c r="F10116" s="2">
        <f t="shared" si="1580"/>
        <v>43585</v>
      </c>
    </row>
    <row r="10117" spans="1:6" x14ac:dyDescent="0.25">
      <c r="A10117" s="1" t="s">
        <v>757</v>
      </c>
      <c r="B10117" s="1" t="s">
        <v>2068</v>
      </c>
      <c r="C10117" s="1" t="s">
        <v>72</v>
      </c>
      <c r="D10117" s="3">
        <f t="shared" si="1578"/>
        <v>8282</v>
      </c>
      <c r="E10117" s="2">
        <f t="shared" si="1579"/>
        <v>43191</v>
      </c>
      <c r="F10117" s="2">
        <f t="shared" si="1580"/>
        <v>43585</v>
      </c>
    </row>
    <row r="10118" spans="1:6" x14ac:dyDescent="0.25">
      <c r="A10118" s="1" t="s">
        <v>757</v>
      </c>
      <c r="B10118" s="1" t="s">
        <v>2068</v>
      </c>
      <c r="C10118" s="1" t="s">
        <v>104</v>
      </c>
      <c r="D10118" s="3">
        <f t="shared" si="1578"/>
        <v>8282</v>
      </c>
      <c r="E10118" s="2">
        <f t="shared" si="1579"/>
        <v>43191</v>
      </c>
      <c r="F10118" s="2">
        <f t="shared" si="1580"/>
        <v>43585</v>
      </c>
    </row>
    <row r="10119" spans="1:6" x14ac:dyDescent="0.25">
      <c r="A10119" s="1" t="s">
        <v>757</v>
      </c>
      <c r="B10119" s="1" t="s">
        <v>2068</v>
      </c>
      <c r="C10119" s="1" t="s">
        <v>73</v>
      </c>
      <c r="D10119" s="3">
        <f t="shared" si="1578"/>
        <v>8282</v>
      </c>
      <c r="E10119" s="2">
        <f t="shared" si="1579"/>
        <v>43191</v>
      </c>
      <c r="F10119" s="2">
        <f t="shared" si="1580"/>
        <v>43585</v>
      </c>
    </row>
    <row r="10120" spans="1:6" x14ac:dyDescent="0.25">
      <c r="A10120" s="1" t="s">
        <v>757</v>
      </c>
      <c r="B10120" s="1" t="s">
        <v>2068</v>
      </c>
      <c r="C10120" s="1" t="s">
        <v>52</v>
      </c>
      <c r="D10120" s="3">
        <f t="shared" si="1578"/>
        <v>8282</v>
      </c>
      <c r="E10120" s="2">
        <f t="shared" si="1579"/>
        <v>43191</v>
      </c>
      <c r="F10120" s="2">
        <f t="shared" si="1580"/>
        <v>43585</v>
      </c>
    </row>
    <row r="10121" spans="1:6" x14ac:dyDescent="0.25">
      <c r="A10121" s="1" t="s">
        <v>757</v>
      </c>
      <c r="B10121" s="1" t="s">
        <v>2068</v>
      </c>
      <c r="C10121" s="1" t="s">
        <v>160</v>
      </c>
      <c r="D10121" s="3">
        <f t="shared" si="1578"/>
        <v>8282</v>
      </c>
      <c r="E10121" s="2">
        <f t="shared" si="1579"/>
        <v>43191</v>
      </c>
      <c r="F10121" s="2">
        <f t="shared" si="1580"/>
        <v>43585</v>
      </c>
    </row>
    <row r="10122" spans="1:6" x14ac:dyDescent="0.25">
      <c r="A10122" s="1" t="s">
        <v>757</v>
      </c>
      <c r="B10122" s="1" t="s">
        <v>2068</v>
      </c>
      <c r="C10122" s="1" t="s">
        <v>34</v>
      </c>
      <c r="D10122" s="3">
        <f t="shared" si="1578"/>
        <v>8282</v>
      </c>
      <c r="E10122" s="2">
        <f t="shared" si="1579"/>
        <v>43191</v>
      </c>
      <c r="F10122" s="2">
        <f t="shared" si="1580"/>
        <v>43585</v>
      </c>
    </row>
    <row r="10123" spans="1:6" x14ac:dyDescent="0.25">
      <c r="A10123" s="1" t="s">
        <v>757</v>
      </c>
      <c r="B10123" s="1" t="s">
        <v>2068</v>
      </c>
      <c r="C10123" s="1" t="s">
        <v>115</v>
      </c>
      <c r="D10123" s="3">
        <f t="shared" si="1578"/>
        <v>8282</v>
      </c>
      <c r="E10123" s="2">
        <f t="shared" si="1579"/>
        <v>43191</v>
      </c>
      <c r="F10123" s="2">
        <f t="shared" si="1580"/>
        <v>43585</v>
      </c>
    </row>
    <row r="10124" spans="1:6" x14ac:dyDescent="0.25">
      <c r="A10124" s="1" t="s">
        <v>757</v>
      </c>
      <c r="B10124" s="1" t="s">
        <v>2068</v>
      </c>
      <c r="C10124" s="1" t="s">
        <v>170</v>
      </c>
      <c r="D10124" s="3">
        <f t="shared" si="1578"/>
        <v>8282</v>
      </c>
      <c r="E10124" s="2">
        <f t="shared" si="1579"/>
        <v>43191</v>
      </c>
      <c r="F10124" s="2">
        <f t="shared" si="1580"/>
        <v>43585</v>
      </c>
    </row>
    <row r="10125" spans="1:6" x14ac:dyDescent="0.25">
      <c r="A10125" s="1" t="s">
        <v>757</v>
      </c>
      <c r="B10125" s="1" t="s">
        <v>2068</v>
      </c>
      <c r="C10125" s="1" t="s">
        <v>117</v>
      </c>
      <c r="D10125" s="3">
        <f t="shared" si="1578"/>
        <v>8282</v>
      </c>
      <c r="E10125" s="2">
        <f t="shared" si="1579"/>
        <v>43191</v>
      </c>
      <c r="F10125" s="2">
        <f t="shared" si="1580"/>
        <v>43585</v>
      </c>
    </row>
    <row r="10126" spans="1:6" x14ac:dyDescent="0.25">
      <c r="A10126" s="1" t="s">
        <v>757</v>
      </c>
      <c r="B10126" s="1" t="s">
        <v>952</v>
      </c>
      <c r="C10126" s="1" t="s">
        <v>7</v>
      </c>
      <c r="D10126" s="3">
        <f t="shared" ref="D10126:D10151" si="1581">VALUE("8239")</f>
        <v>8239</v>
      </c>
      <c r="E10126" s="2">
        <f t="shared" ref="E10126:E10169" si="1582">DATEVALUE("1-2-2018")</f>
        <v>43132</v>
      </c>
      <c r="F10126" s="2">
        <f t="shared" ref="F10126:F10151" si="1583">DATEVALUE("31-12-2021")</f>
        <v>44561</v>
      </c>
    </row>
    <row r="10127" spans="1:6" x14ac:dyDescent="0.25">
      <c r="A10127" s="1" t="s">
        <v>757</v>
      </c>
      <c r="B10127" s="1" t="s">
        <v>952</v>
      </c>
      <c r="C10127" s="1" t="s">
        <v>585</v>
      </c>
      <c r="D10127" s="3">
        <f t="shared" si="1581"/>
        <v>8239</v>
      </c>
      <c r="E10127" s="2">
        <f t="shared" si="1582"/>
        <v>43132</v>
      </c>
      <c r="F10127" s="2">
        <f t="shared" si="1583"/>
        <v>44561</v>
      </c>
    </row>
    <row r="10128" spans="1:6" x14ac:dyDescent="0.25">
      <c r="A10128" s="1" t="s">
        <v>757</v>
      </c>
      <c r="B10128" s="1" t="s">
        <v>952</v>
      </c>
      <c r="C10128" s="1" t="s">
        <v>484</v>
      </c>
      <c r="D10128" s="3">
        <f t="shared" si="1581"/>
        <v>8239</v>
      </c>
      <c r="E10128" s="2">
        <f t="shared" si="1582"/>
        <v>43132</v>
      </c>
      <c r="F10128" s="2">
        <f t="shared" si="1583"/>
        <v>44561</v>
      </c>
    </row>
    <row r="10129" spans="1:6" x14ac:dyDescent="0.25">
      <c r="A10129" s="1" t="s">
        <v>757</v>
      </c>
      <c r="B10129" s="1" t="s">
        <v>952</v>
      </c>
      <c r="C10129" s="1" t="s">
        <v>346</v>
      </c>
      <c r="D10129" s="3">
        <f t="shared" si="1581"/>
        <v>8239</v>
      </c>
      <c r="E10129" s="2">
        <f t="shared" si="1582"/>
        <v>43132</v>
      </c>
      <c r="F10129" s="2">
        <f t="shared" si="1583"/>
        <v>44561</v>
      </c>
    </row>
    <row r="10130" spans="1:6" x14ac:dyDescent="0.25">
      <c r="A10130" s="1" t="s">
        <v>757</v>
      </c>
      <c r="B10130" s="1" t="s">
        <v>952</v>
      </c>
      <c r="C10130" s="1" t="s">
        <v>587</v>
      </c>
      <c r="D10130" s="3">
        <f t="shared" si="1581"/>
        <v>8239</v>
      </c>
      <c r="E10130" s="2">
        <f t="shared" si="1582"/>
        <v>43132</v>
      </c>
      <c r="F10130" s="2">
        <f t="shared" si="1583"/>
        <v>44561</v>
      </c>
    </row>
    <row r="10131" spans="1:6" x14ac:dyDescent="0.25">
      <c r="A10131" s="1" t="s">
        <v>757</v>
      </c>
      <c r="B10131" s="1" t="s">
        <v>952</v>
      </c>
      <c r="C10131" s="1" t="s">
        <v>347</v>
      </c>
      <c r="D10131" s="3">
        <f t="shared" si="1581"/>
        <v>8239</v>
      </c>
      <c r="E10131" s="2">
        <f t="shared" si="1582"/>
        <v>43132</v>
      </c>
      <c r="F10131" s="2">
        <f t="shared" si="1583"/>
        <v>44561</v>
      </c>
    </row>
    <row r="10132" spans="1:6" x14ac:dyDescent="0.25">
      <c r="A10132" s="1" t="s">
        <v>757</v>
      </c>
      <c r="B10132" s="1" t="s">
        <v>952</v>
      </c>
      <c r="C10132" s="1" t="s">
        <v>832</v>
      </c>
      <c r="D10132" s="3">
        <f t="shared" si="1581"/>
        <v>8239</v>
      </c>
      <c r="E10132" s="2">
        <f t="shared" si="1582"/>
        <v>43132</v>
      </c>
      <c r="F10132" s="2">
        <f t="shared" si="1583"/>
        <v>44561</v>
      </c>
    </row>
    <row r="10133" spans="1:6" x14ac:dyDescent="0.25">
      <c r="A10133" s="1" t="s">
        <v>757</v>
      </c>
      <c r="B10133" s="1" t="s">
        <v>952</v>
      </c>
      <c r="C10133" s="1" t="s">
        <v>14</v>
      </c>
      <c r="D10133" s="3">
        <f t="shared" si="1581"/>
        <v>8239</v>
      </c>
      <c r="E10133" s="2">
        <f t="shared" si="1582"/>
        <v>43132</v>
      </c>
      <c r="F10133" s="2">
        <f t="shared" si="1583"/>
        <v>44561</v>
      </c>
    </row>
    <row r="10134" spans="1:6" x14ac:dyDescent="0.25">
      <c r="A10134" s="1" t="s">
        <v>757</v>
      </c>
      <c r="B10134" s="1" t="s">
        <v>952</v>
      </c>
      <c r="C10134" s="1" t="s">
        <v>15</v>
      </c>
      <c r="D10134" s="3">
        <f t="shared" si="1581"/>
        <v>8239</v>
      </c>
      <c r="E10134" s="2">
        <f t="shared" si="1582"/>
        <v>43132</v>
      </c>
      <c r="F10134" s="2">
        <f t="shared" si="1583"/>
        <v>44561</v>
      </c>
    </row>
    <row r="10135" spans="1:6" x14ac:dyDescent="0.25">
      <c r="A10135" s="1" t="s">
        <v>757</v>
      </c>
      <c r="B10135" s="1" t="s">
        <v>952</v>
      </c>
      <c r="C10135" s="1" t="s">
        <v>17</v>
      </c>
      <c r="D10135" s="3">
        <f t="shared" si="1581"/>
        <v>8239</v>
      </c>
      <c r="E10135" s="2">
        <f t="shared" si="1582"/>
        <v>43132</v>
      </c>
      <c r="F10135" s="2">
        <f t="shared" si="1583"/>
        <v>44561</v>
      </c>
    </row>
    <row r="10136" spans="1:6" x14ac:dyDescent="0.25">
      <c r="A10136" s="1" t="s">
        <v>757</v>
      </c>
      <c r="B10136" s="1" t="s">
        <v>952</v>
      </c>
      <c r="C10136" s="1" t="s">
        <v>22</v>
      </c>
      <c r="D10136" s="3">
        <f t="shared" si="1581"/>
        <v>8239</v>
      </c>
      <c r="E10136" s="2">
        <f t="shared" si="1582"/>
        <v>43132</v>
      </c>
      <c r="F10136" s="2">
        <f t="shared" si="1583"/>
        <v>44561</v>
      </c>
    </row>
    <row r="10137" spans="1:6" x14ac:dyDescent="0.25">
      <c r="A10137" s="1" t="s">
        <v>757</v>
      </c>
      <c r="B10137" s="1" t="s">
        <v>952</v>
      </c>
      <c r="C10137" s="1" t="s">
        <v>146</v>
      </c>
      <c r="D10137" s="3">
        <f t="shared" si="1581"/>
        <v>8239</v>
      </c>
      <c r="E10137" s="2">
        <f t="shared" si="1582"/>
        <v>43132</v>
      </c>
      <c r="F10137" s="2">
        <f t="shared" si="1583"/>
        <v>44561</v>
      </c>
    </row>
    <row r="10138" spans="1:6" x14ac:dyDescent="0.25">
      <c r="A10138" s="1" t="s">
        <v>757</v>
      </c>
      <c r="B10138" s="1" t="s">
        <v>952</v>
      </c>
      <c r="C10138" s="1" t="s">
        <v>67</v>
      </c>
      <c r="D10138" s="3">
        <f t="shared" si="1581"/>
        <v>8239</v>
      </c>
      <c r="E10138" s="2">
        <f t="shared" si="1582"/>
        <v>43132</v>
      </c>
      <c r="F10138" s="2">
        <f t="shared" si="1583"/>
        <v>44561</v>
      </c>
    </row>
    <row r="10139" spans="1:6" x14ac:dyDescent="0.25">
      <c r="A10139" s="1" t="s">
        <v>757</v>
      </c>
      <c r="B10139" s="1" t="s">
        <v>952</v>
      </c>
      <c r="C10139" s="1" t="s">
        <v>259</v>
      </c>
      <c r="D10139" s="3">
        <f t="shared" si="1581"/>
        <v>8239</v>
      </c>
      <c r="E10139" s="2">
        <f t="shared" si="1582"/>
        <v>43132</v>
      </c>
      <c r="F10139" s="2">
        <f t="shared" si="1583"/>
        <v>44561</v>
      </c>
    </row>
    <row r="10140" spans="1:6" x14ac:dyDescent="0.25">
      <c r="A10140" s="1" t="s">
        <v>757</v>
      </c>
      <c r="B10140" s="1" t="s">
        <v>952</v>
      </c>
      <c r="C10140" s="1" t="s">
        <v>148</v>
      </c>
      <c r="D10140" s="3">
        <f t="shared" si="1581"/>
        <v>8239</v>
      </c>
      <c r="E10140" s="2">
        <f t="shared" si="1582"/>
        <v>43132</v>
      </c>
      <c r="F10140" s="2">
        <f t="shared" si="1583"/>
        <v>44561</v>
      </c>
    </row>
    <row r="10141" spans="1:6" x14ac:dyDescent="0.25">
      <c r="A10141" s="1" t="s">
        <v>757</v>
      </c>
      <c r="B10141" s="1" t="s">
        <v>952</v>
      </c>
      <c r="C10141" s="1" t="s">
        <v>149</v>
      </c>
      <c r="D10141" s="3">
        <f t="shared" si="1581"/>
        <v>8239</v>
      </c>
      <c r="E10141" s="2">
        <f t="shared" si="1582"/>
        <v>43132</v>
      </c>
      <c r="F10141" s="2">
        <f t="shared" si="1583"/>
        <v>44561</v>
      </c>
    </row>
    <row r="10142" spans="1:6" x14ac:dyDescent="0.25">
      <c r="A10142" s="1" t="s">
        <v>757</v>
      </c>
      <c r="B10142" s="1" t="s">
        <v>952</v>
      </c>
      <c r="C10142" s="1" t="s">
        <v>150</v>
      </c>
      <c r="D10142" s="3">
        <f t="shared" si="1581"/>
        <v>8239</v>
      </c>
      <c r="E10142" s="2">
        <f t="shared" si="1582"/>
        <v>43132</v>
      </c>
      <c r="F10142" s="2">
        <f t="shared" si="1583"/>
        <v>44561</v>
      </c>
    </row>
    <row r="10143" spans="1:6" x14ac:dyDescent="0.25">
      <c r="A10143" s="1" t="s">
        <v>757</v>
      </c>
      <c r="B10143" s="1" t="s">
        <v>952</v>
      </c>
      <c r="C10143" s="1" t="s">
        <v>92</v>
      </c>
      <c r="D10143" s="3">
        <f t="shared" si="1581"/>
        <v>8239</v>
      </c>
      <c r="E10143" s="2">
        <f t="shared" si="1582"/>
        <v>43132</v>
      </c>
      <c r="F10143" s="2">
        <f t="shared" si="1583"/>
        <v>44561</v>
      </c>
    </row>
    <row r="10144" spans="1:6" x14ac:dyDescent="0.25">
      <c r="A10144" s="1" t="s">
        <v>757</v>
      </c>
      <c r="B10144" s="1" t="s">
        <v>952</v>
      </c>
      <c r="C10144" s="1" t="s">
        <v>654</v>
      </c>
      <c r="D10144" s="3">
        <f t="shared" si="1581"/>
        <v>8239</v>
      </c>
      <c r="E10144" s="2">
        <f t="shared" si="1582"/>
        <v>43132</v>
      </c>
      <c r="F10144" s="2">
        <f t="shared" si="1583"/>
        <v>44561</v>
      </c>
    </row>
    <row r="10145" spans="1:6" x14ac:dyDescent="0.25">
      <c r="A10145" s="1" t="s">
        <v>757</v>
      </c>
      <c r="B10145" s="1" t="s">
        <v>952</v>
      </c>
      <c r="C10145" s="1" t="s">
        <v>24</v>
      </c>
      <c r="D10145" s="3">
        <f t="shared" si="1581"/>
        <v>8239</v>
      </c>
      <c r="E10145" s="2">
        <f t="shared" si="1582"/>
        <v>43132</v>
      </c>
      <c r="F10145" s="2">
        <f t="shared" si="1583"/>
        <v>44561</v>
      </c>
    </row>
    <row r="10146" spans="1:6" x14ac:dyDescent="0.25">
      <c r="A10146" s="1" t="s">
        <v>757</v>
      </c>
      <c r="B10146" s="1" t="s">
        <v>952</v>
      </c>
      <c r="C10146" s="1" t="s">
        <v>260</v>
      </c>
      <c r="D10146" s="3">
        <f t="shared" si="1581"/>
        <v>8239</v>
      </c>
      <c r="E10146" s="2">
        <f t="shared" si="1582"/>
        <v>43132</v>
      </c>
      <c r="F10146" s="2">
        <f t="shared" si="1583"/>
        <v>44561</v>
      </c>
    </row>
    <row r="10147" spans="1:6" x14ac:dyDescent="0.25">
      <c r="A10147" s="1" t="s">
        <v>757</v>
      </c>
      <c r="B10147" s="1" t="s">
        <v>952</v>
      </c>
      <c r="C10147" s="1" t="s">
        <v>261</v>
      </c>
      <c r="D10147" s="3">
        <f t="shared" si="1581"/>
        <v>8239</v>
      </c>
      <c r="E10147" s="2">
        <f t="shared" si="1582"/>
        <v>43132</v>
      </c>
      <c r="F10147" s="2">
        <f t="shared" si="1583"/>
        <v>44561</v>
      </c>
    </row>
    <row r="10148" spans="1:6" x14ac:dyDescent="0.25">
      <c r="A10148" s="1" t="s">
        <v>757</v>
      </c>
      <c r="B10148" s="1" t="s">
        <v>952</v>
      </c>
      <c r="C10148" s="1" t="s">
        <v>73</v>
      </c>
      <c r="D10148" s="3">
        <f t="shared" si="1581"/>
        <v>8239</v>
      </c>
      <c r="E10148" s="2">
        <f t="shared" si="1582"/>
        <v>43132</v>
      </c>
      <c r="F10148" s="2">
        <f t="shared" si="1583"/>
        <v>44561</v>
      </c>
    </row>
    <row r="10149" spans="1:6" x14ac:dyDescent="0.25">
      <c r="A10149" s="1" t="s">
        <v>757</v>
      </c>
      <c r="B10149" s="1" t="s">
        <v>952</v>
      </c>
      <c r="C10149" s="1" t="s">
        <v>349</v>
      </c>
      <c r="D10149" s="3">
        <f t="shared" si="1581"/>
        <v>8239</v>
      </c>
      <c r="E10149" s="2">
        <f t="shared" si="1582"/>
        <v>43132</v>
      </c>
      <c r="F10149" s="2">
        <f t="shared" si="1583"/>
        <v>44561</v>
      </c>
    </row>
    <row r="10150" spans="1:6" x14ac:dyDescent="0.25">
      <c r="A10150" s="1" t="s">
        <v>757</v>
      </c>
      <c r="B10150" s="1" t="s">
        <v>952</v>
      </c>
      <c r="C10150" s="1" t="s">
        <v>160</v>
      </c>
      <c r="D10150" s="3">
        <f t="shared" si="1581"/>
        <v>8239</v>
      </c>
      <c r="E10150" s="2">
        <f t="shared" si="1582"/>
        <v>43132</v>
      </c>
      <c r="F10150" s="2">
        <f t="shared" si="1583"/>
        <v>44561</v>
      </c>
    </row>
    <row r="10151" spans="1:6" x14ac:dyDescent="0.25">
      <c r="A10151" s="1" t="s">
        <v>757</v>
      </c>
      <c r="B10151" s="1" t="s">
        <v>952</v>
      </c>
      <c r="C10151" s="1" t="s">
        <v>34</v>
      </c>
      <c r="D10151" s="3">
        <f t="shared" si="1581"/>
        <v>8239</v>
      </c>
      <c r="E10151" s="2">
        <f t="shared" si="1582"/>
        <v>43132</v>
      </c>
      <c r="F10151" s="2">
        <f t="shared" si="1583"/>
        <v>44561</v>
      </c>
    </row>
    <row r="10152" spans="1:6" x14ac:dyDescent="0.25">
      <c r="A10152" s="1" t="s">
        <v>757</v>
      </c>
      <c r="B10152" s="1" t="s">
        <v>2361</v>
      </c>
      <c r="C10152" s="1" t="s">
        <v>8</v>
      </c>
      <c r="D10152" s="3">
        <f t="shared" ref="D10152:D10160" si="1584">VALUE("8244")</f>
        <v>8244</v>
      </c>
      <c r="E10152" s="2">
        <f t="shared" si="1582"/>
        <v>43132</v>
      </c>
      <c r="F10152" s="2">
        <f t="shared" ref="F10152:F10160" si="1585">DATEVALUE("30-9-2019")</f>
        <v>43738</v>
      </c>
    </row>
    <row r="10153" spans="1:6" x14ac:dyDescent="0.25">
      <c r="A10153" s="1" t="s">
        <v>757</v>
      </c>
      <c r="B10153" s="1" t="s">
        <v>2361</v>
      </c>
      <c r="C10153" s="1" t="s">
        <v>22</v>
      </c>
      <c r="D10153" s="3">
        <f t="shared" si="1584"/>
        <v>8244</v>
      </c>
      <c r="E10153" s="2">
        <f t="shared" si="1582"/>
        <v>43132</v>
      </c>
      <c r="F10153" s="2">
        <f t="shared" si="1585"/>
        <v>43738</v>
      </c>
    </row>
    <row r="10154" spans="1:6" x14ac:dyDescent="0.25">
      <c r="A10154" s="1" t="s">
        <v>757</v>
      </c>
      <c r="B10154" s="1" t="s">
        <v>2361</v>
      </c>
      <c r="C10154" s="1" t="s">
        <v>172</v>
      </c>
      <c r="D10154" s="3">
        <f t="shared" si="1584"/>
        <v>8244</v>
      </c>
      <c r="E10154" s="2">
        <f t="shared" si="1582"/>
        <v>43132</v>
      </c>
      <c r="F10154" s="2">
        <f t="shared" si="1585"/>
        <v>43738</v>
      </c>
    </row>
    <row r="10155" spans="1:6" x14ac:dyDescent="0.25">
      <c r="A10155" s="1" t="s">
        <v>757</v>
      </c>
      <c r="B10155" s="1" t="s">
        <v>2361</v>
      </c>
      <c r="C10155" s="1" t="s">
        <v>211</v>
      </c>
      <c r="D10155" s="3">
        <f t="shared" si="1584"/>
        <v>8244</v>
      </c>
      <c r="E10155" s="2">
        <f t="shared" si="1582"/>
        <v>43132</v>
      </c>
      <c r="F10155" s="2">
        <f t="shared" si="1585"/>
        <v>43738</v>
      </c>
    </row>
    <row r="10156" spans="1:6" x14ac:dyDescent="0.25">
      <c r="A10156" s="1" t="s">
        <v>757</v>
      </c>
      <c r="B10156" s="1" t="s">
        <v>2361</v>
      </c>
      <c r="C10156" s="1" t="s">
        <v>400</v>
      </c>
      <c r="D10156" s="3">
        <f t="shared" si="1584"/>
        <v>8244</v>
      </c>
      <c r="E10156" s="2">
        <f t="shared" si="1582"/>
        <v>43132</v>
      </c>
      <c r="F10156" s="2">
        <f t="shared" si="1585"/>
        <v>43738</v>
      </c>
    </row>
    <row r="10157" spans="1:6" x14ac:dyDescent="0.25">
      <c r="A10157" s="1" t="s">
        <v>757</v>
      </c>
      <c r="B10157" s="1" t="s">
        <v>2361</v>
      </c>
      <c r="C10157" s="1" t="s">
        <v>72</v>
      </c>
      <c r="D10157" s="3">
        <f t="shared" si="1584"/>
        <v>8244</v>
      </c>
      <c r="E10157" s="2">
        <f t="shared" si="1582"/>
        <v>43132</v>
      </c>
      <c r="F10157" s="2">
        <f t="shared" si="1585"/>
        <v>43738</v>
      </c>
    </row>
    <row r="10158" spans="1:6" x14ac:dyDescent="0.25">
      <c r="A10158" s="1" t="s">
        <v>757</v>
      </c>
      <c r="B10158" s="1" t="s">
        <v>2361</v>
      </c>
      <c r="C10158" s="1" t="s">
        <v>52</v>
      </c>
      <c r="D10158" s="3">
        <f t="shared" si="1584"/>
        <v>8244</v>
      </c>
      <c r="E10158" s="2">
        <f t="shared" si="1582"/>
        <v>43132</v>
      </c>
      <c r="F10158" s="2">
        <f t="shared" si="1585"/>
        <v>43738</v>
      </c>
    </row>
    <row r="10159" spans="1:6" x14ac:dyDescent="0.25">
      <c r="A10159" s="1" t="s">
        <v>757</v>
      </c>
      <c r="B10159" s="1" t="s">
        <v>2361</v>
      </c>
      <c r="C10159" s="1" t="s">
        <v>160</v>
      </c>
      <c r="D10159" s="3">
        <f t="shared" si="1584"/>
        <v>8244</v>
      </c>
      <c r="E10159" s="2">
        <f t="shared" si="1582"/>
        <v>43132</v>
      </c>
      <c r="F10159" s="2">
        <f t="shared" si="1585"/>
        <v>43738</v>
      </c>
    </row>
    <row r="10160" spans="1:6" x14ac:dyDescent="0.25">
      <c r="A10160" s="1" t="s">
        <v>757</v>
      </c>
      <c r="B10160" s="1" t="s">
        <v>2361</v>
      </c>
      <c r="C10160" s="1" t="s">
        <v>310</v>
      </c>
      <c r="D10160" s="3">
        <f t="shared" si="1584"/>
        <v>8244</v>
      </c>
      <c r="E10160" s="2">
        <f t="shared" si="1582"/>
        <v>43132</v>
      </c>
      <c r="F10160" s="2">
        <f t="shared" si="1585"/>
        <v>43738</v>
      </c>
    </row>
    <row r="10161" spans="1:6" x14ac:dyDescent="0.25">
      <c r="A10161" s="1" t="s">
        <v>757</v>
      </c>
      <c r="B10161" s="1" t="s">
        <v>2063</v>
      </c>
      <c r="C10161" s="1" t="s">
        <v>8</v>
      </c>
      <c r="D10161" s="3">
        <f t="shared" ref="D10161:D10169" si="1586">VALUE("8265")</f>
        <v>8265</v>
      </c>
      <c r="E10161" s="2">
        <f t="shared" si="1582"/>
        <v>43132</v>
      </c>
      <c r="F10161" s="2">
        <f t="shared" ref="F10161:F10169" si="1587">DATEVALUE("30-4-2018")</f>
        <v>43220</v>
      </c>
    </row>
    <row r="10162" spans="1:6" x14ac:dyDescent="0.25">
      <c r="A10162" s="1" t="s">
        <v>757</v>
      </c>
      <c r="B10162" s="1" t="s">
        <v>2063</v>
      </c>
      <c r="C10162" s="1" t="s">
        <v>10</v>
      </c>
      <c r="D10162" s="3">
        <f t="shared" si="1586"/>
        <v>8265</v>
      </c>
      <c r="E10162" s="2">
        <f t="shared" si="1582"/>
        <v>43132</v>
      </c>
      <c r="F10162" s="2">
        <f t="shared" si="1587"/>
        <v>43220</v>
      </c>
    </row>
    <row r="10163" spans="1:6" x14ac:dyDescent="0.25">
      <c r="A10163" s="1" t="s">
        <v>757</v>
      </c>
      <c r="B10163" s="1" t="s">
        <v>2063</v>
      </c>
      <c r="C10163" s="1" t="s">
        <v>61</v>
      </c>
      <c r="D10163" s="3">
        <f t="shared" si="1586"/>
        <v>8265</v>
      </c>
      <c r="E10163" s="2">
        <f t="shared" si="1582"/>
        <v>43132</v>
      </c>
      <c r="F10163" s="2">
        <f t="shared" si="1587"/>
        <v>43220</v>
      </c>
    </row>
    <row r="10164" spans="1:6" x14ac:dyDescent="0.25">
      <c r="A10164" s="1" t="s">
        <v>757</v>
      </c>
      <c r="B10164" s="1" t="s">
        <v>2063</v>
      </c>
      <c r="C10164" s="1" t="s">
        <v>14</v>
      </c>
      <c r="D10164" s="3">
        <f t="shared" si="1586"/>
        <v>8265</v>
      </c>
      <c r="E10164" s="2">
        <f t="shared" si="1582"/>
        <v>43132</v>
      </c>
      <c r="F10164" s="2">
        <f t="shared" si="1587"/>
        <v>43220</v>
      </c>
    </row>
    <row r="10165" spans="1:6" x14ac:dyDescent="0.25">
      <c r="A10165" s="1" t="s">
        <v>757</v>
      </c>
      <c r="B10165" s="1" t="s">
        <v>2063</v>
      </c>
      <c r="C10165" s="1" t="s">
        <v>88</v>
      </c>
      <c r="D10165" s="3">
        <f t="shared" si="1586"/>
        <v>8265</v>
      </c>
      <c r="E10165" s="2">
        <f t="shared" si="1582"/>
        <v>43132</v>
      </c>
      <c r="F10165" s="2">
        <f t="shared" si="1587"/>
        <v>43220</v>
      </c>
    </row>
    <row r="10166" spans="1:6" x14ac:dyDescent="0.25">
      <c r="A10166" s="1" t="s">
        <v>757</v>
      </c>
      <c r="B10166" s="1" t="s">
        <v>2063</v>
      </c>
      <c r="C10166" s="1" t="s">
        <v>474</v>
      </c>
      <c r="D10166" s="3">
        <f t="shared" si="1586"/>
        <v>8265</v>
      </c>
      <c r="E10166" s="2">
        <f t="shared" si="1582"/>
        <v>43132</v>
      </c>
      <c r="F10166" s="2">
        <f t="shared" si="1587"/>
        <v>43220</v>
      </c>
    </row>
    <row r="10167" spans="1:6" x14ac:dyDescent="0.25">
      <c r="A10167" s="1" t="s">
        <v>757</v>
      </c>
      <c r="B10167" s="1" t="s">
        <v>2063</v>
      </c>
      <c r="C10167" s="1" t="s">
        <v>493</v>
      </c>
      <c r="D10167" s="3">
        <f t="shared" si="1586"/>
        <v>8265</v>
      </c>
      <c r="E10167" s="2">
        <f t="shared" si="1582"/>
        <v>43132</v>
      </c>
      <c r="F10167" s="2">
        <f t="shared" si="1587"/>
        <v>43220</v>
      </c>
    </row>
    <row r="10168" spans="1:6" x14ac:dyDescent="0.25">
      <c r="A10168" s="1" t="s">
        <v>757</v>
      </c>
      <c r="B10168" s="1" t="s">
        <v>2063</v>
      </c>
      <c r="C10168" s="1" t="s">
        <v>24</v>
      </c>
      <c r="D10168" s="3">
        <f t="shared" si="1586"/>
        <v>8265</v>
      </c>
      <c r="E10168" s="2">
        <f t="shared" si="1582"/>
        <v>43132</v>
      </c>
      <c r="F10168" s="2">
        <f t="shared" si="1587"/>
        <v>43220</v>
      </c>
    </row>
    <row r="10169" spans="1:6" x14ac:dyDescent="0.25">
      <c r="A10169" s="1" t="s">
        <v>757</v>
      </c>
      <c r="B10169" s="1" t="s">
        <v>2063</v>
      </c>
      <c r="C10169" s="1" t="s">
        <v>34</v>
      </c>
      <c r="D10169" s="3">
        <f t="shared" si="1586"/>
        <v>8265</v>
      </c>
      <c r="E10169" s="2">
        <f t="shared" si="1582"/>
        <v>43132</v>
      </c>
      <c r="F10169" s="2">
        <f t="shared" si="1587"/>
        <v>43220</v>
      </c>
    </row>
    <row r="10170" spans="1:6" x14ac:dyDescent="0.25">
      <c r="A10170" s="1" t="s">
        <v>757</v>
      </c>
      <c r="B10170" s="1" t="s">
        <v>2357</v>
      </c>
      <c r="C10170" s="1" t="s">
        <v>511</v>
      </c>
      <c r="D10170" s="3">
        <f t="shared" ref="D10170:D10215" si="1588">VALUE("8231")</f>
        <v>8231</v>
      </c>
      <c r="E10170" s="2">
        <f t="shared" ref="E10170:E10215" si="1589">DATEVALUE("1-1-2018")</f>
        <v>43101</v>
      </c>
      <c r="F10170" s="2">
        <f t="shared" ref="F10170:F10215" si="1590">DATEVALUE("30-9-2019")</f>
        <v>43738</v>
      </c>
    </row>
    <row r="10171" spans="1:6" x14ac:dyDescent="0.25">
      <c r="A10171" s="1" t="s">
        <v>757</v>
      </c>
      <c r="B10171" s="1" t="s">
        <v>2357</v>
      </c>
      <c r="C10171" s="1" t="s">
        <v>39</v>
      </c>
      <c r="D10171" s="3">
        <f t="shared" si="1588"/>
        <v>8231</v>
      </c>
      <c r="E10171" s="2">
        <f t="shared" si="1589"/>
        <v>43101</v>
      </c>
      <c r="F10171" s="2">
        <f t="shared" si="1590"/>
        <v>43738</v>
      </c>
    </row>
    <row r="10172" spans="1:6" x14ac:dyDescent="0.25">
      <c r="A10172" s="1" t="s">
        <v>757</v>
      </c>
      <c r="B10172" s="1" t="s">
        <v>2357</v>
      </c>
      <c r="C10172" s="1" t="s">
        <v>40</v>
      </c>
      <c r="D10172" s="3">
        <f t="shared" si="1588"/>
        <v>8231</v>
      </c>
      <c r="E10172" s="2">
        <f t="shared" si="1589"/>
        <v>43101</v>
      </c>
      <c r="F10172" s="2">
        <f t="shared" si="1590"/>
        <v>43738</v>
      </c>
    </row>
    <row r="10173" spans="1:6" x14ac:dyDescent="0.25">
      <c r="A10173" s="1" t="s">
        <v>757</v>
      </c>
      <c r="B10173" s="1" t="s">
        <v>2357</v>
      </c>
      <c r="C10173" s="1" t="s">
        <v>41</v>
      </c>
      <c r="D10173" s="3">
        <f t="shared" si="1588"/>
        <v>8231</v>
      </c>
      <c r="E10173" s="2">
        <f t="shared" si="1589"/>
        <v>43101</v>
      </c>
      <c r="F10173" s="2">
        <f t="shared" si="1590"/>
        <v>43738</v>
      </c>
    </row>
    <row r="10174" spans="1:6" x14ac:dyDescent="0.25">
      <c r="A10174" s="1" t="s">
        <v>757</v>
      </c>
      <c r="B10174" s="1" t="s">
        <v>2357</v>
      </c>
      <c r="C10174" s="1" t="s">
        <v>256</v>
      </c>
      <c r="D10174" s="3">
        <f t="shared" si="1588"/>
        <v>8231</v>
      </c>
      <c r="E10174" s="2">
        <f t="shared" si="1589"/>
        <v>43101</v>
      </c>
      <c r="F10174" s="2">
        <f t="shared" si="1590"/>
        <v>43738</v>
      </c>
    </row>
    <row r="10175" spans="1:6" x14ac:dyDescent="0.25">
      <c r="A10175" s="1" t="s">
        <v>757</v>
      </c>
      <c r="B10175" s="1" t="s">
        <v>2357</v>
      </c>
      <c r="C10175" s="1" t="s">
        <v>83</v>
      </c>
      <c r="D10175" s="3">
        <f t="shared" si="1588"/>
        <v>8231</v>
      </c>
      <c r="E10175" s="2">
        <f t="shared" si="1589"/>
        <v>43101</v>
      </c>
      <c r="F10175" s="2">
        <f t="shared" si="1590"/>
        <v>43738</v>
      </c>
    </row>
    <row r="10176" spans="1:6" x14ac:dyDescent="0.25">
      <c r="A10176" s="1" t="s">
        <v>757</v>
      </c>
      <c r="B10176" s="1" t="s">
        <v>2357</v>
      </c>
      <c r="C10176" s="1" t="s">
        <v>43</v>
      </c>
      <c r="D10176" s="3">
        <f t="shared" si="1588"/>
        <v>8231</v>
      </c>
      <c r="E10176" s="2">
        <f t="shared" si="1589"/>
        <v>43101</v>
      </c>
      <c r="F10176" s="2">
        <f t="shared" si="1590"/>
        <v>43738</v>
      </c>
    </row>
    <row r="10177" spans="1:6" x14ac:dyDescent="0.25">
      <c r="A10177" s="1" t="s">
        <v>757</v>
      </c>
      <c r="B10177" s="1" t="s">
        <v>2357</v>
      </c>
      <c r="C10177" s="1" t="s">
        <v>346</v>
      </c>
      <c r="D10177" s="3">
        <f t="shared" si="1588"/>
        <v>8231</v>
      </c>
      <c r="E10177" s="2">
        <f t="shared" si="1589"/>
        <v>43101</v>
      </c>
      <c r="F10177" s="2">
        <f t="shared" si="1590"/>
        <v>43738</v>
      </c>
    </row>
    <row r="10178" spans="1:6" x14ac:dyDescent="0.25">
      <c r="A10178" s="1" t="s">
        <v>757</v>
      </c>
      <c r="B10178" s="1" t="s">
        <v>2357</v>
      </c>
      <c r="C10178" s="1" t="s">
        <v>140</v>
      </c>
      <c r="D10178" s="3">
        <f t="shared" si="1588"/>
        <v>8231</v>
      </c>
      <c r="E10178" s="2">
        <f t="shared" si="1589"/>
        <v>43101</v>
      </c>
      <c r="F10178" s="2">
        <f t="shared" si="1590"/>
        <v>43738</v>
      </c>
    </row>
    <row r="10179" spans="1:6" x14ac:dyDescent="0.25">
      <c r="A10179" s="1" t="s">
        <v>757</v>
      </c>
      <c r="B10179" s="1" t="s">
        <v>2357</v>
      </c>
      <c r="C10179" s="1" t="s">
        <v>141</v>
      </c>
      <c r="D10179" s="3">
        <f t="shared" si="1588"/>
        <v>8231</v>
      </c>
      <c r="E10179" s="2">
        <f t="shared" si="1589"/>
        <v>43101</v>
      </c>
      <c r="F10179" s="2">
        <f t="shared" si="1590"/>
        <v>43738</v>
      </c>
    </row>
    <row r="10180" spans="1:6" x14ac:dyDescent="0.25">
      <c r="A10180" s="1" t="s">
        <v>757</v>
      </c>
      <c r="B10180" s="1" t="s">
        <v>2357</v>
      </c>
      <c r="C10180" s="1" t="s">
        <v>14</v>
      </c>
      <c r="D10180" s="3">
        <f t="shared" si="1588"/>
        <v>8231</v>
      </c>
      <c r="E10180" s="2">
        <f t="shared" si="1589"/>
        <v>43101</v>
      </c>
      <c r="F10180" s="2">
        <f t="shared" si="1590"/>
        <v>43738</v>
      </c>
    </row>
    <row r="10181" spans="1:6" x14ac:dyDescent="0.25">
      <c r="A10181" s="1" t="s">
        <v>757</v>
      </c>
      <c r="B10181" s="1" t="s">
        <v>2357</v>
      </c>
      <c r="C10181" s="1" t="s">
        <v>15</v>
      </c>
      <c r="D10181" s="3">
        <f t="shared" si="1588"/>
        <v>8231</v>
      </c>
      <c r="E10181" s="2">
        <f t="shared" si="1589"/>
        <v>43101</v>
      </c>
      <c r="F10181" s="2">
        <f t="shared" si="1590"/>
        <v>43738</v>
      </c>
    </row>
    <row r="10182" spans="1:6" x14ac:dyDescent="0.25">
      <c r="A10182" s="1" t="s">
        <v>757</v>
      </c>
      <c r="B10182" s="1" t="s">
        <v>2357</v>
      </c>
      <c r="C10182" s="1" t="s">
        <v>17</v>
      </c>
      <c r="D10182" s="3">
        <f t="shared" si="1588"/>
        <v>8231</v>
      </c>
      <c r="E10182" s="2">
        <f t="shared" si="1589"/>
        <v>43101</v>
      </c>
      <c r="F10182" s="2">
        <f t="shared" si="1590"/>
        <v>43738</v>
      </c>
    </row>
    <row r="10183" spans="1:6" x14ac:dyDescent="0.25">
      <c r="A10183" s="1" t="s">
        <v>757</v>
      </c>
      <c r="B10183" s="1" t="s">
        <v>2357</v>
      </c>
      <c r="C10183" s="1" t="s">
        <v>22</v>
      </c>
      <c r="D10183" s="3">
        <f t="shared" si="1588"/>
        <v>8231</v>
      </c>
      <c r="E10183" s="2">
        <f t="shared" si="1589"/>
        <v>43101</v>
      </c>
      <c r="F10183" s="2">
        <f t="shared" si="1590"/>
        <v>43738</v>
      </c>
    </row>
    <row r="10184" spans="1:6" x14ac:dyDescent="0.25">
      <c r="A10184" s="1" t="s">
        <v>757</v>
      </c>
      <c r="B10184" s="1" t="s">
        <v>2357</v>
      </c>
      <c r="C10184" s="1" t="s">
        <v>146</v>
      </c>
      <c r="D10184" s="3">
        <f t="shared" si="1588"/>
        <v>8231</v>
      </c>
      <c r="E10184" s="2">
        <f t="shared" si="1589"/>
        <v>43101</v>
      </c>
      <c r="F10184" s="2">
        <f t="shared" si="1590"/>
        <v>43738</v>
      </c>
    </row>
    <row r="10185" spans="1:6" x14ac:dyDescent="0.25">
      <c r="A10185" s="1" t="s">
        <v>757</v>
      </c>
      <c r="B10185" s="1" t="s">
        <v>2357</v>
      </c>
      <c r="C10185" s="1" t="s">
        <v>67</v>
      </c>
      <c r="D10185" s="3">
        <f t="shared" si="1588"/>
        <v>8231</v>
      </c>
      <c r="E10185" s="2">
        <f t="shared" si="1589"/>
        <v>43101</v>
      </c>
      <c r="F10185" s="2">
        <f t="shared" si="1590"/>
        <v>43738</v>
      </c>
    </row>
    <row r="10186" spans="1:6" x14ac:dyDescent="0.25">
      <c r="A10186" s="1" t="s">
        <v>757</v>
      </c>
      <c r="B10186" s="1" t="s">
        <v>2357</v>
      </c>
      <c r="C10186" s="1" t="s">
        <v>384</v>
      </c>
      <c r="D10186" s="3">
        <f t="shared" si="1588"/>
        <v>8231</v>
      </c>
      <c r="E10186" s="2">
        <f t="shared" si="1589"/>
        <v>43101</v>
      </c>
      <c r="F10186" s="2">
        <f t="shared" si="1590"/>
        <v>43738</v>
      </c>
    </row>
    <row r="10187" spans="1:6" x14ac:dyDescent="0.25">
      <c r="A10187" s="1" t="s">
        <v>757</v>
      </c>
      <c r="B10187" s="1" t="s">
        <v>2357</v>
      </c>
      <c r="C10187" s="1" t="s">
        <v>148</v>
      </c>
      <c r="D10187" s="3">
        <f t="shared" si="1588"/>
        <v>8231</v>
      </c>
      <c r="E10187" s="2">
        <f t="shared" si="1589"/>
        <v>43101</v>
      </c>
      <c r="F10187" s="2">
        <f t="shared" si="1590"/>
        <v>43738</v>
      </c>
    </row>
    <row r="10188" spans="1:6" x14ac:dyDescent="0.25">
      <c r="A10188" s="1" t="s">
        <v>757</v>
      </c>
      <c r="B10188" s="1" t="s">
        <v>2357</v>
      </c>
      <c r="C10188" s="1" t="s">
        <v>149</v>
      </c>
      <c r="D10188" s="3">
        <f t="shared" si="1588"/>
        <v>8231</v>
      </c>
      <c r="E10188" s="2">
        <f t="shared" si="1589"/>
        <v>43101</v>
      </c>
      <c r="F10188" s="2">
        <f t="shared" si="1590"/>
        <v>43738</v>
      </c>
    </row>
    <row r="10189" spans="1:6" x14ac:dyDescent="0.25">
      <c r="A10189" s="1" t="s">
        <v>757</v>
      </c>
      <c r="B10189" s="1" t="s">
        <v>2357</v>
      </c>
      <c r="C10189" s="1" t="s">
        <v>150</v>
      </c>
      <c r="D10189" s="3">
        <f t="shared" si="1588"/>
        <v>8231</v>
      </c>
      <c r="E10189" s="2">
        <f t="shared" si="1589"/>
        <v>43101</v>
      </c>
      <c r="F10189" s="2">
        <f t="shared" si="1590"/>
        <v>43738</v>
      </c>
    </row>
    <row r="10190" spans="1:6" x14ac:dyDescent="0.25">
      <c r="A10190" s="1" t="s">
        <v>757</v>
      </c>
      <c r="B10190" s="1" t="s">
        <v>2357</v>
      </c>
      <c r="C10190" s="1" t="s">
        <v>386</v>
      </c>
      <c r="D10190" s="3">
        <f t="shared" si="1588"/>
        <v>8231</v>
      </c>
      <c r="E10190" s="2">
        <f t="shared" si="1589"/>
        <v>43101</v>
      </c>
      <c r="F10190" s="2">
        <f t="shared" si="1590"/>
        <v>43738</v>
      </c>
    </row>
    <row r="10191" spans="1:6" x14ac:dyDescent="0.25">
      <c r="A10191" s="1" t="s">
        <v>757</v>
      </c>
      <c r="B10191" s="1" t="s">
        <v>2357</v>
      </c>
      <c r="C10191" s="1" t="s">
        <v>387</v>
      </c>
      <c r="D10191" s="3">
        <f t="shared" si="1588"/>
        <v>8231</v>
      </c>
      <c r="E10191" s="2">
        <f t="shared" si="1589"/>
        <v>43101</v>
      </c>
      <c r="F10191" s="2">
        <f t="shared" si="1590"/>
        <v>43738</v>
      </c>
    </row>
    <row r="10192" spans="1:6" x14ac:dyDescent="0.25">
      <c r="A10192" s="1" t="s">
        <v>757</v>
      </c>
      <c r="B10192" s="1" t="s">
        <v>2357</v>
      </c>
      <c r="C10192" s="1" t="s">
        <v>388</v>
      </c>
      <c r="D10192" s="3">
        <f t="shared" si="1588"/>
        <v>8231</v>
      </c>
      <c r="E10192" s="2">
        <f t="shared" si="1589"/>
        <v>43101</v>
      </c>
      <c r="F10192" s="2">
        <f t="shared" si="1590"/>
        <v>43738</v>
      </c>
    </row>
    <row r="10193" spans="1:6" x14ac:dyDescent="0.25">
      <c r="A10193" s="1" t="s">
        <v>757</v>
      </c>
      <c r="B10193" s="1" t="s">
        <v>2357</v>
      </c>
      <c r="C10193" s="1" t="s">
        <v>151</v>
      </c>
      <c r="D10193" s="3">
        <f t="shared" si="1588"/>
        <v>8231</v>
      </c>
      <c r="E10193" s="2">
        <f t="shared" si="1589"/>
        <v>43101</v>
      </c>
      <c r="F10193" s="2">
        <f t="shared" si="1590"/>
        <v>43738</v>
      </c>
    </row>
    <row r="10194" spans="1:6" x14ac:dyDescent="0.25">
      <c r="A10194" s="1" t="s">
        <v>757</v>
      </c>
      <c r="B10194" s="1" t="s">
        <v>2357</v>
      </c>
      <c r="C10194" s="1" t="s">
        <v>94</v>
      </c>
      <c r="D10194" s="3">
        <f t="shared" si="1588"/>
        <v>8231</v>
      </c>
      <c r="E10194" s="2">
        <f t="shared" si="1589"/>
        <v>43101</v>
      </c>
      <c r="F10194" s="2">
        <f t="shared" si="1590"/>
        <v>43738</v>
      </c>
    </row>
    <row r="10195" spans="1:6" x14ac:dyDescent="0.25">
      <c r="A10195" s="1" t="s">
        <v>757</v>
      </c>
      <c r="B10195" s="1" t="s">
        <v>2357</v>
      </c>
      <c r="C10195" s="1" t="s">
        <v>95</v>
      </c>
      <c r="D10195" s="3">
        <f t="shared" si="1588"/>
        <v>8231</v>
      </c>
      <c r="E10195" s="2">
        <f t="shared" si="1589"/>
        <v>43101</v>
      </c>
      <c r="F10195" s="2">
        <f t="shared" si="1590"/>
        <v>43738</v>
      </c>
    </row>
    <row r="10196" spans="1:6" x14ac:dyDescent="0.25">
      <c r="A10196" s="1" t="s">
        <v>757</v>
      </c>
      <c r="B10196" s="1" t="s">
        <v>2357</v>
      </c>
      <c r="C10196" s="1" t="s">
        <v>24</v>
      </c>
      <c r="D10196" s="3">
        <f t="shared" si="1588"/>
        <v>8231</v>
      </c>
      <c r="E10196" s="2">
        <f t="shared" si="1589"/>
        <v>43101</v>
      </c>
      <c r="F10196" s="2">
        <f t="shared" si="1590"/>
        <v>43738</v>
      </c>
    </row>
    <row r="10197" spans="1:6" x14ac:dyDescent="0.25">
      <c r="A10197" s="1" t="s">
        <v>757</v>
      </c>
      <c r="B10197" s="1" t="s">
        <v>2357</v>
      </c>
      <c r="C10197" s="1" t="s">
        <v>50</v>
      </c>
      <c r="D10197" s="3">
        <f t="shared" si="1588"/>
        <v>8231</v>
      </c>
      <c r="E10197" s="2">
        <f t="shared" si="1589"/>
        <v>43101</v>
      </c>
      <c r="F10197" s="2">
        <f t="shared" si="1590"/>
        <v>43738</v>
      </c>
    </row>
    <row r="10198" spans="1:6" x14ac:dyDescent="0.25">
      <c r="A10198" s="1" t="s">
        <v>757</v>
      </c>
      <c r="B10198" s="1" t="s">
        <v>2357</v>
      </c>
      <c r="C10198" s="1" t="s">
        <v>494</v>
      </c>
      <c r="D10198" s="3">
        <f t="shared" si="1588"/>
        <v>8231</v>
      </c>
      <c r="E10198" s="2">
        <f t="shared" si="1589"/>
        <v>43101</v>
      </c>
      <c r="F10198" s="2">
        <f t="shared" si="1590"/>
        <v>43738</v>
      </c>
    </row>
    <row r="10199" spans="1:6" x14ac:dyDescent="0.25">
      <c r="A10199" s="1" t="s">
        <v>757</v>
      </c>
      <c r="B10199" s="1" t="s">
        <v>2357</v>
      </c>
      <c r="C10199" s="1" t="s">
        <v>97</v>
      </c>
      <c r="D10199" s="3">
        <f t="shared" si="1588"/>
        <v>8231</v>
      </c>
      <c r="E10199" s="2">
        <f t="shared" si="1589"/>
        <v>43101</v>
      </c>
      <c r="F10199" s="2">
        <f t="shared" si="1590"/>
        <v>43738</v>
      </c>
    </row>
    <row r="10200" spans="1:6" x14ac:dyDescent="0.25">
      <c r="A10200" s="1" t="s">
        <v>757</v>
      </c>
      <c r="B10200" s="1" t="s">
        <v>2357</v>
      </c>
      <c r="C10200" s="1" t="s">
        <v>99</v>
      </c>
      <c r="D10200" s="3">
        <f t="shared" si="1588"/>
        <v>8231</v>
      </c>
      <c r="E10200" s="2">
        <f t="shared" si="1589"/>
        <v>43101</v>
      </c>
      <c r="F10200" s="2">
        <f t="shared" si="1590"/>
        <v>43738</v>
      </c>
    </row>
    <row r="10201" spans="1:6" x14ac:dyDescent="0.25">
      <c r="A10201" s="1" t="s">
        <v>757</v>
      </c>
      <c r="B10201" s="1" t="s">
        <v>2357</v>
      </c>
      <c r="C10201" s="1" t="s">
        <v>100</v>
      </c>
      <c r="D10201" s="3">
        <f t="shared" si="1588"/>
        <v>8231</v>
      </c>
      <c r="E10201" s="2">
        <f t="shared" si="1589"/>
        <v>43101</v>
      </c>
      <c r="F10201" s="2">
        <f t="shared" si="1590"/>
        <v>43738</v>
      </c>
    </row>
    <row r="10202" spans="1:6" x14ac:dyDescent="0.25">
      <c r="A10202" s="1" t="s">
        <v>757</v>
      </c>
      <c r="B10202" s="1" t="s">
        <v>2357</v>
      </c>
      <c r="C10202" s="1" t="s">
        <v>495</v>
      </c>
      <c r="D10202" s="3">
        <f t="shared" si="1588"/>
        <v>8231</v>
      </c>
      <c r="E10202" s="2">
        <f t="shared" si="1589"/>
        <v>43101</v>
      </c>
      <c r="F10202" s="2">
        <f t="shared" si="1590"/>
        <v>43738</v>
      </c>
    </row>
    <row r="10203" spans="1:6" x14ac:dyDescent="0.25">
      <c r="A10203" s="1" t="s">
        <v>757</v>
      </c>
      <c r="B10203" s="1" t="s">
        <v>2357</v>
      </c>
      <c r="C10203" s="1" t="s">
        <v>476</v>
      </c>
      <c r="D10203" s="3">
        <f t="shared" si="1588"/>
        <v>8231</v>
      </c>
      <c r="E10203" s="2">
        <f t="shared" si="1589"/>
        <v>43101</v>
      </c>
      <c r="F10203" s="2">
        <f t="shared" si="1590"/>
        <v>43738</v>
      </c>
    </row>
    <row r="10204" spans="1:6" x14ac:dyDescent="0.25">
      <c r="A10204" s="1" t="s">
        <v>757</v>
      </c>
      <c r="B10204" s="1" t="s">
        <v>2357</v>
      </c>
      <c r="C10204" s="1" t="s">
        <v>104</v>
      </c>
      <c r="D10204" s="3">
        <f t="shared" si="1588"/>
        <v>8231</v>
      </c>
      <c r="E10204" s="2">
        <f t="shared" si="1589"/>
        <v>43101</v>
      </c>
      <c r="F10204" s="2">
        <f t="shared" si="1590"/>
        <v>43738</v>
      </c>
    </row>
    <row r="10205" spans="1:6" x14ac:dyDescent="0.25">
      <c r="A10205" s="1" t="s">
        <v>757</v>
      </c>
      <c r="B10205" s="1" t="s">
        <v>2357</v>
      </c>
      <c r="C10205" s="1" t="s">
        <v>52</v>
      </c>
      <c r="D10205" s="3">
        <f t="shared" si="1588"/>
        <v>8231</v>
      </c>
      <c r="E10205" s="2">
        <f t="shared" si="1589"/>
        <v>43101</v>
      </c>
      <c r="F10205" s="2">
        <f t="shared" si="1590"/>
        <v>43738</v>
      </c>
    </row>
    <row r="10206" spans="1:6" x14ac:dyDescent="0.25">
      <c r="A10206" s="1" t="s">
        <v>757</v>
      </c>
      <c r="B10206" s="1" t="s">
        <v>2357</v>
      </c>
      <c r="C10206" s="1" t="s">
        <v>350</v>
      </c>
      <c r="D10206" s="3">
        <f t="shared" si="1588"/>
        <v>8231</v>
      </c>
      <c r="E10206" s="2">
        <f t="shared" si="1589"/>
        <v>43101</v>
      </c>
      <c r="F10206" s="2">
        <f t="shared" si="1590"/>
        <v>43738</v>
      </c>
    </row>
    <row r="10207" spans="1:6" x14ac:dyDescent="0.25">
      <c r="A10207" s="1" t="s">
        <v>757</v>
      </c>
      <c r="B10207" s="1" t="s">
        <v>2357</v>
      </c>
      <c r="C10207" s="1" t="s">
        <v>160</v>
      </c>
      <c r="D10207" s="3">
        <f t="shared" si="1588"/>
        <v>8231</v>
      </c>
      <c r="E10207" s="2">
        <f t="shared" si="1589"/>
        <v>43101</v>
      </c>
      <c r="F10207" s="2">
        <f t="shared" si="1590"/>
        <v>43738</v>
      </c>
    </row>
    <row r="10208" spans="1:6" x14ac:dyDescent="0.25">
      <c r="A10208" s="1" t="s">
        <v>757</v>
      </c>
      <c r="B10208" s="1" t="s">
        <v>2357</v>
      </c>
      <c r="C10208" s="1" t="s">
        <v>34</v>
      </c>
      <c r="D10208" s="3">
        <f t="shared" si="1588"/>
        <v>8231</v>
      </c>
      <c r="E10208" s="2">
        <f t="shared" si="1589"/>
        <v>43101</v>
      </c>
      <c r="F10208" s="2">
        <f t="shared" si="1590"/>
        <v>43738</v>
      </c>
    </row>
    <row r="10209" spans="1:6" x14ac:dyDescent="0.25">
      <c r="A10209" s="1" t="s">
        <v>757</v>
      </c>
      <c r="B10209" s="1" t="s">
        <v>2357</v>
      </c>
      <c r="C10209" s="1" t="s">
        <v>379</v>
      </c>
      <c r="D10209" s="3">
        <f t="shared" si="1588"/>
        <v>8231</v>
      </c>
      <c r="E10209" s="2">
        <f t="shared" si="1589"/>
        <v>43101</v>
      </c>
      <c r="F10209" s="2">
        <f t="shared" si="1590"/>
        <v>43738</v>
      </c>
    </row>
    <row r="10210" spans="1:6" x14ac:dyDescent="0.25">
      <c r="A10210" s="1" t="s">
        <v>757</v>
      </c>
      <c r="B10210" s="1" t="s">
        <v>2357</v>
      </c>
      <c r="C10210" s="1" t="s">
        <v>115</v>
      </c>
      <c r="D10210" s="3">
        <f t="shared" si="1588"/>
        <v>8231</v>
      </c>
      <c r="E10210" s="2">
        <f t="shared" si="1589"/>
        <v>43101</v>
      </c>
      <c r="F10210" s="2">
        <f t="shared" si="1590"/>
        <v>43738</v>
      </c>
    </row>
    <row r="10211" spans="1:6" x14ac:dyDescent="0.25">
      <c r="A10211" s="1" t="s">
        <v>757</v>
      </c>
      <c r="B10211" s="1" t="s">
        <v>2357</v>
      </c>
      <c r="C10211" s="1" t="s">
        <v>519</v>
      </c>
      <c r="D10211" s="3">
        <f t="shared" si="1588"/>
        <v>8231</v>
      </c>
      <c r="E10211" s="2">
        <f t="shared" si="1589"/>
        <v>43101</v>
      </c>
      <c r="F10211" s="2">
        <f t="shared" si="1590"/>
        <v>43738</v>
      </c>
    </row>
    <row r="10212" spans="1:6" x14ac:dyDescent="0.25">
      <c r="A10212" s="1" t="s">
        <v>757</v>
      </c>
      <c r="B10212" s="1" t="s">
        <v>2357</v>
      </c>
      <c r="C10212" s="1" t="s">
        <v>57</v>
      </c>
      <c r="D10212" s="3">
        <f t="shared" si="1588"/>
        <v>8231</v>
      </c>
      <c r="E10212" s="2">
        <f t="shared" si="1589"/>
        <v>43101</v>
      </c>
      <c r="F10212" s="2">
        <f t="shared" si="1590"/>
        <v>43738</v>
      </c>
    </row>
    <row r="10213" spans="1:6" x14ac:dyDescent="0.25">
      <c r="A10213" s="1" t="s">
        <v>757</v>
      </c>
      <c r="B10213" s="1" t="s">
        <v>2357</v>
      </c>
      <c r="C10213" s="1" t="s">
        <v>36</v>
      </c>
      <c r="D10213" s="3">
        <f t="shared" si="1588"/>
        <v>8231</v>
      </c>
      <c r="E10213" s="2">
        <f t="shared" si="1589"/>
        <v>43101</v>
      </c>
      <c r="F10213" s="2">
        <f t="shared" si="1590"/>
        <v>43738</v>
      </c>
    </row>
    <row r="10214" spans="1:6" x14ac:dyDescent="0.25">
      <c r="A10214" s="1" t="s">
        <v>757</v>
      </c>
      <c r="B10214" s="1" t="s">
        <v>2357</v>
      </c>
      <c r="C10214" s="1" t="s">
        <v>170</v>
      </c>
      <c r="D10214" s="3">
        <f t="shared" si="1588"/>
        <v>8231</v>
      </c>
      <c r="E10214" s="2">
        <f t="shared" si="1589"/>
        <v>43101</v>
      </c>
      <c r="F10214" s="2">
        <f t="shared" si="1590"/>
        <v>43738</v>
      </c>
    </row>
    <row r="10215" spans="1:6" x14ac:dyDescent="0.25">
      <c r="A10215" s="1" t="s">
        <v>757</v>
      </c>
      <c r="B10215" s="1" t="s">
        <v>2357</v>
      </c>
      <c r="C10215" s="1" t="s">
        <v>117</v>
      </c>
      <c r="D10215" s="3">
        <f t="shared" si="1588"/>
        <v>8231</v>
      </c>
      <c r="E10215" s="2">
        <f t="shared" si="1589"/>
        <v>43101</v>
      </c>
      <c r="F10215" s="2">
        <f t="shared" si="1590"/>
        <v>43738</v>
      </c>
    </row>
    <row r="10216" spans="1:6" x14ac:dyDescent="0.25">
      <c r="A10216" s="1" t="s">
        <v>757</v>
      </c>
      <c r="B10216" s="1" t="s">
        <v>2345</v>
      </c>
      <c r="C10216" s="1" t="s">
        <v>8</v>
      </c>
      <c r="D10216" s="3">
        <f t="shared" ref="D10216:D10225" si="1591">VALUE("8209")</f>
        <v>8209</v>
      </c>
      <c r="E10216" s="2">
        <f t="shared" ref="E10216:E10225" si="1592">DATEVALUE("1-12-2017")</f>
        <v>43070</v>
      </c>
      <c r="F10216" s="2">
        <f t="shared" ref="F10216:F10238" si="1593">DATEVALUE("28-2-2018")</f>
        <v>43159</v>
      </c>
    </row>
    <row r="10217" spans="1:6" x14ac:dyDescent="0.25">
      <c r="A10217" s="1" t="s">
        <v>757</v>
      </c>
      <c r="B10217" s="1" t="s">
        <v>2345</v>
      </c>
      <c r="C10217" s="1" t="s">
        <v>10</v>
      </c>
      <c r="D10217" s="3">
        <f t="shared" si="1591"/>
        <v>8209</v>
      </c>
      <c r="E10217" s="2">
        <f t="shared" si="1592"/>
        <v>43070</v>
      </c>
      <c r="F10217" s="2">
        <f t="shared" si="1593"/>
        <v>43159</v>
      </c>
    </row>
    <row r="10218" spans="1:6" x14ac:dyDescent="0.25">
      <c r="A10218" s="1" t="s">
        <v>757</v>
      </c>
      <c r="B10218" s="1" t="s">
        <v>2345</v>
      </c>
      <c r="C10218" s="1" t="s">
        <v>61</v>
      </c>
      <c r="D10218" s="3">
        <f t="shared" si="1591"/>
        <v>8209</v>
      </c>
      <c r="E10218" s="2">
        <f t="shared" si="1592"/>
        <v>43070</v>
      </c>
      <c r="F10218" s="2">
        <f t="shared" si="1593"/>
        <v>43159</v>
      </c>
    </row>
    <row r="10219" spans="1:6" x14ac:dyDescent="0.25">
      <c r="A10219" s="1" t="s">
        <v>757</v>
      </c>
      <c r="B10219" s="1" t="s">
        <v>2345</v>
      </c>
      <c r="C10219" s="1" t="s">
        <v>45</v>
      </c>
      <c r="D10219" s="3">
        <f t="shared" si="1591"/>
        <v>8209</v>
      </c>
      <c r="E10219" s="2">
        <f t="shared" si="1592"/>
        <v>43070</v>
      </c>
      <c r="F10219" s="2">
        <f t="shared" si="1593"/>
        <v>43159</v>
      </c>
    </row>
    <row r="10220" spans="1:6" x14ac:dyDescent="0.25">
      <c r="A10220" s="1" t="s">
        <v>757</v>
      </c>
      <c r="B10220" s="1" t="s">
        <v>2345</v>
      </c>
      <c r="C10220" s="1" t="s">
        <v>14</v>
      </c>
      <c r="D10220" s="3">
        <f t="shared" si="1591"/>
        <v>8209</v>
      </c>
      <c r="E10220" s="2">
        <f t="shared" si="1592"/>
        <v>43070</v>
      </c>
      <c r="F10220" s="2">
        <f t="shared" si="1593"/>
        <v>43159</v>
      </c>
    </row>
    <row r="10221" spans="1:6" x14ac:dyDescent="0.25">
      <c r="A10221" s="1" t="s">
        <v>757</v>
      </c>
      <c r="B10221" s="1" t="s">
        <v>2345</v>
      </c>
      <c r="C10221" s="1" t="s">
        <v>15</v>
      </c>
      <c r="D10221" s="3">
        <f t="shared" si="1591"/>
        <v>8209</v>
      </c>
      <c r="E10221" s="2">
        <f t="shared" si="1592"/>
        <v>43070</v>
      </c>
      <c r="F10221" s="2">
        <f t="shared" si="1593"/>
        <v>43159</v>
      </c>
    </row>
    <row r="10222" spans="1:6" x14ac:dyDescent="0.25">
      <c r="A10222" s="1" t="s">
        <v>757</v>
      </c>
      <c r="B10222" s="1" t="s">
        <v>2345</v>
      </c>
      <c r="C10222" s="1" t="s">
        <v>17</v>
      </c>
      <c r="D10222" s="3">
        <f t="shared" si="1591"/>
        <v>8209</v>
      </c>
      <c r="E10222" s="2">
        <f t="shared" si="1592"/>
        <v>43070</v>
      </c>
      <c r="F10222" s="2">
        <f t="shared" si="1593"/>
        <v>43159</v>
      </c>
    </row>
    <row r="10223" spans="1:6" x14ac:dyDescent="0.25">
      <c r="A10223" s="1" t="s">
        <v>757</v>
      </c>
      <c r="B10223" s="1" t="s">
        <v>2345</v>
      </c>
      <c r="C10223" s="1" t="s">
        <v>417</v>
      </c>
      <c r="D10223" s="3">
        <f t="shared" si="1591"/>
        <v>8209</v>
      </c>
      <c r="E10223" s="2">
        <f t="shared" si="1592"/>
        <v>43070</v>
      </c>
      <c r="F10223" s="2">
        <f t="shared" si="1593"/>
        <v>43159</v>
      </c>
    </row>
    <row r="10224" spans="1:6" x14ac:dyDescent="0.25">
      <c r="A10224" s="1" t="s">
        <v>757</v>
      </c>
      <c r="B10224" s="1" t="s">
        <v>2345</v>
      </c>
      <c r="C10224" s="1" t="s">
        <v>24</v>
      </c>
      <c r="D10224" s="3">
        <f t="shared" si="1591"/>
        <v>8209</v>
      </c>
      <c r="E10224" s="2">
        <f t="shared" si="1592"/>
        <v>43070</v>
      </c>
      <c r="F10224" s="2">
        <f t="shared" si="1593"/>
        <v>43159</v>
      </c>
    </row>
    <row r="10225" spans="1:6" x14ac:dyDescent="0.25">
      <c r="A10225" s="1" t="s">
        <v>757</v>
      </c>
      <c r="B10225" s="1" t="s">
        <v>2345</v>
      </c>
      <c r="C10225" s="1" t="s">
        <v>34</v>
      </c>
      <c r="D10225" s="3">
        <f t="shared" si="1591"/>
        <v>8209</v>
      </c>
      <c r="E10225" s="2">
        <f t="shared" si="1592"/>
        <v>43070</v>
      </c>
      <c r="F10225" s="2">
        <f t="shared" si="1593"/>
        <v>43159</v>
      </c>
    </row>
    <row r="10226" spans="1:6" x14ac:dyDescent="0.25">
      <c r="A10226" s="1" t="s">
        <v>757</v>
      </c>
      <c r="B10226" s="1" t="s">
        <v>1774</v>
      </c>
      <c r="C10226" s="1" t="s">
        <v>484</v>
      </c>
      <c r="D10226" s="3">
        <f t="shared" ref="D10226:D10238" si="1594">VALUE("8197")</f>
        <v>8197</v>
      </c>
      <c r="E10226" s="2">
        <f t="shared" ref="E10226:E10264" si="1595">DATEVALUE("1-11-2017")</f>
        <v>43040</v>
      </c>
      <c r="F10226" s="2">
        <f t="shared" si="1593"/>
        <v>43159</v>
      </c>
    </row>
    <row r="10227" spans="1:6" x14ac:dyDescent="0.25">
      <c r="A10227" s="1" t="s">
        <v>757</v>
      </c>
      <c r="B10227" s="1" t="s">
        <v>1774</v>
      </c>
      <c r="C10227" s="1" t="s">
        <v>346</v>
      </c>
      <c r="D10227" s="3">
        <f t="shared" si="1594"/>
        <v>8197</v>
      </c>
      <c r="E10227" s="2">
        <f t="shared" si="1595"/>
        <v>43040</v>
      </c>
      <c r="F10227" s="2">
        <f t="shared" si="1593"/>
        <v>43159</v>
      </c>
    </row>
    <row r="10228" spans="1:6" x14ac:dyDescent="0.25">
      <c r="A10228" s="1" t="s">
        <v>757</v>
      </c>
      <c r="B10228" s="1" t="s">
        <v>1774</v>
      </c>
      <c r="C10228" s="1" t="s">
        <v>14</v>
      </c>
      <c r="D10228" s="3">
        <f t="shared" si="1594"/>
        <v>8197</v>
      </c>
      <c r="E10228" s="2">
        <f t="shared" si="1595"/>
        <v>43040</v>
      </c>
      <c r="F10228" s="2">
        <f t="shared" si="1593"/>
        <v>43159</v>
      </c>
    </row>
    <row r="10229" spans="1:6" x14ac:dyDescent="0.25">
      <c r="A10229" s="1" t="s">
        <v>757</v>
      </c>
      <c r="B10229" s="1" t="s">
        <v>1774</v>
      </c>
      <c r="C10229" s="1" t="s">
        <v>15</v>
      </c>
      <c r="D10229" s="3">
        <f t="shared" si="1594"/>
        <v>8197</v>
      </c>
      <c r="E10229" s="2">
        <f t="shared" si="1595"/>
        <v>43040</v>
      </c>
      <c r="F10229" s="2">
        <f t="shared" si="1593"/>
        <v>43159</v>
      </c>
    </row>
    <row r="10230" spans="1:6" x14ac:dyDescent="0.25">
      <c r="A10230" s="1" t="s">
        <v>757</v>
      </c>
      <c r="B10230" s="1" t="s">
        <v>1774</v>
      </c>
      <c r="C10230" s="1" t="s">
        <v>16</v>
      </c>
      <c r="D10230" s="3">
        <f t="shared" si="1594"/>
        <v>8197</v>
      </c>
      <c r="E10230" s="2">
        <f t="shared" si="1595"/>
        <v>43040</v>
      </c>
      <c r="F10230" s="2">
        <f t="shared" si="1593"/>
        <v>43159</v>
      </c>
    </row>
    <row r="10231" spans="1:6" x14ac:dyDescent="0.25">
      <c r="A10231" s="1" t="s">
        <v>757</v>
      </c>
      <c r="B10231" s="1" t="s">
        <v>1774</v>
      </c>
      <c r="C10231" s="1" t="s">
        <v>17</v>
      </c>
      <c r="D10231" s="3">
        <f t="shared" si="1594"/>
        <v>8197</v>
      </c>
      <c r="E10231" s="2">
        <f t="shared" si="1595"/>
        <v>43040</v>
      </c>
      <c r="F10231" s="2">
        <f t="shared" si="1593"/>
        <v>43159</v>
      </c>
    </row>
    <row r="10232" spans="1:6" x14ac:dyDescent="0.25">
      <c r="A10232" s="1" t="s">
        <v>757</v>
      </c>
      <c r="B10232" s="1" t="s">
        <v>1774</v>
      </c>
      <c r="C10232" s="1" t="s">
        <v>417</v>
      </c>
      <c r="D10232" s="3">
        <f t="shared" si="1594"/>
        <v>8197</v>
      </c>
      <c r="E10232" s="2">
        <f t="shared" si="1595"/>
        <v>43040</v>
      </c>
      <c r="F10232" s="2">
        <f t="shared" si="1593"/>
        <v>43159</v>
      </c>
    </row>
    <row r="10233" spans="1:6" x14ac:dyDescent="0.25">
      <c r="A10233" s="1" t="s">
        <v>757</v>
      </c>
      <c r="B10233" s="1" t="s">
        <v>1774</v>
      </c>
      <c r="C10233" s="1" t="s">
        <v>22</v>
      </c>
      <c r="D10233" s="3">
        <f t="shared" si="1594"/>
        <v>8197</v>
      </c>
      <c r="E10233" s="2">
        <f t="shared" si="1595"/>
        <v>43040</v>
      </c>
      <c r="F10233" s="2">
        <f t="shared" si="1593"/>
        <v>43159</v>
      </c>
    </row>
    <row r="10234" spans="1:6" x14ac:dyDescent="0.25">
      <c r="A10234" s="1" t="s">
        <v>757</v>
      </c>
      <c r="B10234" s="1" t="s">
        <v>1774</v>
      </c>
      <c r="C10234" s="1" t="s">
        <v>515</v>
      </c>
      <c r="D10234" s="3">
        <f t="shared" si="1594"/>
        <v>8197</v>
      </c>
      <c r="E10234" s="2">
        <f t="shared" si="1595"/>
        <v>43040</v>
      </c>
      <c r="F10234" s="2">
        <f t="shared" si="1593"/>
        <v>43159</v>
      </c>
    </row>
    <row r="10235" spans="1:6" x14ac:dyDescent="0.25">
      <c r="A10235" s="1" t="s">
        <v>757</v>
      </c>
      <c r="B10235" s="1" t="s">
        <v>1774</v>
      </c>
      <c r="C10235" s="1" t="s">
        <v>24</v>
      </c>
      <c r="D10235" s="3">
        <f t="shared" si="1594"/>
        <v>8197</v>
      </c>
      <c r="E10235" s="2">
        <f t="shared" si="1595"/>
        <v>43040</v>
      </c>
      <c r="F10235" s="2">
        <f t="shared" si="1593"/>
        <v>43159</v>
      </c>
    </row>
    <row r="10236" spans="1:6" x14ac:dyDescent="0.25">
      <c r="A10236" s="1" t="s">
        <v>757</v>
      </c>
      <c r="B10236" s="1" t="s">
        <v>1774</v>
      </c>
      <c r="C10236" s="1" t="s">
        <v>70</v>
      </c>
      <c r="D10236" s="3">
        <f t="shared" si="1594"/>
        <v>8197</v>
      </c>
      <c r="E10236" s="2">
        <f t="shared" si="1595"/>
        <v>43040</v>
      </c>
      <c r="F10236" s="2">
        <f t="shared" si="1593"/>
        <v>43159</v>
      </c>
    </row>
    <row r="10237" spans="1:6" x14ac:dyDescent="0.25">
      <c r="A10237" s="1" t="s">
        <v>757</v>
      </c>
      <c r="B10237" s="1" t="s">
        <v>1774</v>
      </c>
      <c r="C10237" s="1" t="s">
        <v>52</v>
      </c>
      <c r="D10237" s="3">
        <f t="shared" si="1594"/>
        <v>8197</v>
      </c>
      <c r="E10237" s="2">
        <f t="shared" si="1595"/>
        <v>43040</v>
      </c>
      <c r="F10237" s="2">
        <f t="shared" si="1593"/>
        <v>43159</v>
      </c>
    </row>
    <row r="10238" spans="1:6" x14ac:dyDescent="0.25">
      <c r="A10238" s="1" t="s">
        <v>757</v>
      </c>
      <c r="B10238" s="1" t="s">
        <v>1774</v>
      </c>
      <c r="C10238" s="1" t="s">
        <v>34</v>
      </c>
      <c r="D10238" s="3">
        <f t="shared" si="1594"/>
        <v>8197</v>
      </c>
      <c r="E10238" s="2">
        <f t="shared" si="1595"/>
        <v>43040</v>
      </c>
      <c r="F10238" s="2">
        <f t="shared" si="1593"/>
        <v>43159</v>
      </c>
    </row>
    <row r="10239" spans="1:6" x14ac:dyDescent="0.25">
      <c r="A10239" s="1" t="s">
        <v>757</v>
      </c>
      <c r="B10239" s="1" t="s">
        <v>2060</v>
      </c>
      <c r="C10239" s="1" t="s">
        <v>39</v>
      </c>
      <c r="D10239" s="3">
        <f t="shared" ref="D10239:D10264" si="1596">VALUE("8202")</f>
        <v>8202</v>
      </c>
      <c r="E10239" s="2">
        <f t="shared" si="1595"/>
        <v>43040</v>
      </c>
      <c r="F10239" s="2">
        <f t="shared" ref="F10239:F10264" si="1597">DATEVALUE("31-3-2019")</f>
        <v>43555</v>
      </c>
    </row>
    <row r="10240" spans="1:6" x14ac:dyDescent="0.25">
      <c r="A10240" s="1" t="s">
        <v>757</v>
      </c>
      <c r="B10240" s="1" t="s">
        <v>2060</v>
      </c>
      <c r="C10240" s="1" t="s">
        <v>61</v>
      </c>
      <c r="D10240" s="3">
        <f t="shared" si="1596"/>
        <v>8202</v>
      </c>
      <c r="E10240" s="2">
        <f t="shared" si="1595"/>
        <v>43040</v>
      </c>
      <c r="F10240" s="2">
        <f t="shared" si="1597"/>
        <v>43555</v>
      </c>
    </row>
    <row r="10241" spans="1:6" x14ac:dyDescent="0.25">
      <c r="A10241" s="1" t="s">
        <v>757</v>
      </c>
      <c r="B10241" s="1" t="s">
        <v>2060</v>
      </c>
      <c r="C10241" s="1" t="s">
        <v>43</v>
      </c>
      <c r="D10241" s="3">
        <f t="shared" si="1596"/>
        <v>8202</v>
      </c>
      <c r="E10241" s="2">
        <f t="shared" si="1595"/>
        <v>43040</v>
      </c>
      <c r="F10241" s="2">
        <f t="shared" si="1597"/>
        <v>43555</v>
      </c>
    </row>
    <row r="10242" spans="1:6" x14ac:dyDescent="0.25">
      <c r="A10242" s="1" t="s">
        <v>757</v>
      </c>
      <c r="B10242" s="1" t="s">
        <v>2060</v>
      </c>
      <c r="C10242" s="1" t="s">
        <v>62</v>
      </c>
      <c r="D10242" s="3">
        <f t="shared" si="1596"/>
        <v>8202</v>
      </c>
      <c r="E10242" s="2">
        <f t="shared" si="1595"/>
        <v>43040</v>
      </c>
      <c r="F10242" s="2">
        <f t="shared" si="1597"/>
        <v>43555</v>
      </c>
    </row>
    <row r="10243" spans="1:6" x14ac:dyDescent="0.25">
      <c r="A10243" s="1" t="s">
        <v>757</v>
      </c>
      <c r="B10243" s="1" t="s">
        <v>2060</v>
      </c>
      <c r="C10243" s="1" t="s">
        <v>63</v>
      </c>
      <c r="D10243" s="3">
        <f t="shared" si="1596"/>
        <v>8202</v>
      </c>
      <c r="E10243" s="2">
        <f t="shared" si="1595"/>
        <v>43040</v>
      </c>
      <c r="F10243" s="2">
        <f t="shared" si="1597"/>
        <v>43555</v>
      </c>
    </row>
    <row r="10244" spans="1:6" x14ac:dyDescent="0.25">
      <c r="A10244" s="1" t="s">
        <v>757</v>
      </c>
      <c r="B10244" s="1" t="s">
        <v>2060</v>
      </c>
      <c r="C10244" s="1" t="s">
        <v>45</v>
      </c>
      <c r="D10244" s="3">
        <f t="shared" si="1596"/>
        <v>8202</v>
      </c>
      <c r="E10244" s="2">
        <f t="shared" si="1595"/>
        <v>43040</v>
      </c>
      <c r="F10244" s="2">
        <f t="shared" si="1597"/>
        <v>43555</v>
      </c>
    </row>
    <row r="10245" spans="1:6" x14ac:dyDescent="0.25">
      <c r="A10245" s="1" t="s">
        <v>757</v>
      </c>
      <c r="B10245" s="1" t="s">
        <v>2060</v>
      </c>
      <c r="C10245" s="1" t="s">
        <v>44</v>
      </c>
      <c r="D10245" s="3">
        <f t="shared" si="1596"/>
        <v>8202</v>
      </c>
      <c r="E10245" s="2">
        <f t="shared" si="1595"/>
        <v>43040</v>
      </c>
      <c r="F10245" s="2">
        <f t="shared" si="1597"/>
        <v>43555</v>
      </c>
    </row>
    <row r="10246" spans="1:6" x14ac:dyDescent="0.25">
      <c r="A10246" s="1" t="s">
        <v>757</v>
      </c>
      <c r="B10246" s="1" t="s">
        <v>2060</v>
      </c>
      <c r="C10246" s="1" t="s">
        <v>14</v>
      </c>
      <c r="D10246" s="3">
        <f t="shared" si="1596"/>
        <v>8202</v>
      </c>
      <c r="E10246" s="2">
        <f t="shared" si="1595"/>
        <v>43040</v>
      </c>
      <c r="F10246" s="2">
        <f t="shared" si="1597"/>
        <v>43555</v>
      </c>
    </row>
    <row r="10247" spans="1:6" x14ac:dyDescent="0.25">
      <c r="A10247" s="1" t="s">
        <v>757</v>
      </c>
      <c r="B10247" s="1" t="s">
        <v>2060</v>
      </c>
      <c r="C10247" s="1" t="s">
        <v>15</v>
      </c>
      <c r="D10247" s="3">
        <f t="shared" si="1596"/>
        <v>8202</v>
      </c>
      <c r="E10247" s="2">
        <f t="shared" si="1595"/>
        <v>43040</v>
      </c>
      <c r="F10247" s="2">
        <f t="shared" si="1597"/>
        <v>43555</v>
      </c>
    </row>
    <row r="10248" spans="1:6" x14ac:dyDescent="0.25">
      <c r="A10248" s="1" t="s">
        <v>757</v>
      </c>
      <c r="B10248" s="1" t="s">
        <v>2060</v>
      </c>
      <c r="C10248" s="1" t="s">
        <v>16</v>
      </c>
      <c r="D10248" s="3">
        <f t="shared" si="1596"/>
        <v>8202</v>
      </c>
      <c r="E10248" s="2">
        <f t="shared" si="1595"/>
        <v>43040</v>
      </c>
      <c r="F10248" s="2">
        <f t="shared" si="1597"/>
        <v>43555</v>
      </c>
    </row>
    <row r="10249" spans="1:6" x14ac:dyDescent="0.25">
      <c r="A10249" s="1" t="s">
        <v>757</v>
      </c>
      <c r="B10249" s="1" t="s">
        <v>2060</v>
      </c>
      <c r="C10249" s="1" t="s">
        <v>17</v>
      </c>
      <c r="D10249" s="3">
        <f t="shared" si="1596"/>
        <v>8202</v>
      </c>
      <c r="E10249" s="2">
        <f t="shared" si="1595"/>
        <v>43040</v>
      </c>
      <c r="F10249" s="2">
        <f t="shared" si="1597"/>
        <v>43555</v>
      </c>
    </row>
    <row r="10250" spans="1:6" x14ac:dyDescent="0.25">
      <c r="A10250" s="1" t="s">
        <v>757</v>
      </c>
      <c r="B10250" s="1" t="s">
        <v>2060</v>
      </c>
      <c r="C10250" s="1" t="s">
        <v>19</v>
      </c>
      <c r="D10250" s="3">
        <f t="shared" si="1596"/>
        <v>8202</v>
      </c>
      <c r="E10250" s="2">
        <f t="shared" si="1595"/>
        <v>43040</v>
      </c>
      <c r="F10250" s="2">
        <f t="shared" si="1597"/>
        <v>43555</v>
      </c>
    </row>
    <row r="10251" spans="1:6" x14ac:dyDescent="0.25">
      <c r="A10251" s="1" t="s">
        <v>757</v>
      </c>
      <c r="B10251" s="1" t="s">
        <v>2060</v>
      </c>
      <c r="C10251" s="1" t="s">
        <v>20</v>
      </c>
      <c r="D10251" s="3">
        <f t="shared" si="1596"/>
        <v>8202</v>
      </c>
      <c r="E10251" s="2">
        <f t="shared" si="1595"/>
        <v>43040</v>
      </c>
      <c r="F10251" s="2">
        <f t="shared" si="1597"/>
        <v>43555</v>
      </c>
    </row>
    <row r="10252" spans="1:6" x14ac:dyDescent="0.25">
      <c r="A10252" s="1" t="s">
        <v>757</v>
      </c>
      <c r="B10252" s="1" t="s">
        <v>2060</v>
      </c>
      <c r="C10252" s="1" t="s">
        <v>21</v>
      </c>
      <c r="D10252" s="3">
        <f t="shared" si="1596"/>
        <v>8202</v>
      </c>
      <c r="E10252" s="2">
        <f t="shared" si="1595"/>
        <v>43040</v>
      </c>
      <c r="F10252" s="2">
        <f t="shared" si="1597"/>
        <v>43555</v>
      </c>
    </row>
    <row r="10253" spans="1:6" x14ac:dyDescent="0.25">
      <c r="A10253" s="1" t="s">
        <v>757</v>
      </c>
      <c r="B10253" s="1" t="s">
        <v>2060</v>
      </c>
      <c r="C10253" s="1" t="s">
        <v>22</v>
      </c>
      <c r="D10253" s="3">
        <f t="shared" si="1596"/>
        <v>8202</v>
      </c>
      <c r="E10253" s="2">
        <f t="shared" si="1595"/>
        <v>43040</v>
      </c>
      <c r="F10253" s="2">
        <f t="shared" si="1597"/>
        <v>43555</v>
      </c>
    </row>
    <row r="10254" spans="1:6" x14ac:dyDescent="0.25">
      <c r="A10254" s="1" t="s">
        <v>757</v>
      </c>
      <c r="B10254" s="1" t="s">
        <v>2060</v>
      </c>
      <c r="C10254" s="1" t="s">
        <v>92</v>
      </c>
      <c r="D10254" s="3">
        <f t="shared" si="1596"/>
        <v>8202</v>
      </c>
      <c r="E10254" s="2">
        <f t="shared" si="1595"/>
        <v>43040</v>
      </c>
      <c r="F10254" s="2">
        <f t="shared" si="1597"/>
        <v>43555</v>
      </c>
    </row>
    <row r="10255" spans="1:6" x14ac:dyDescent="0.25">
      <c r="A10255" s="1" t="s">
        <v>757</v>
      </c>
      <c r="B10255" s="1" t="s">
        <v>2060</v>
      </c>
      <c r="C10255" s="1" t="s">
        <v>94</v>
      </c>
      <c r="D10255" s="3">
        <f t="shared" si="1596"/>
        <v>8202</v>
      </c>
      <c r="E10255" s="2">
        <f t="shared" si="1595"/>
        <v>43040</v>
      </c>
      <c r="F10255" s="2">
        <f t="shared" si="1597"/>
        <v>43555</v>
      </c>
    </row>
    <row r="10256" spans="1:6" x14ac:dyDescent="0.25">
      <c r="A10256" s="1" t="s">
        <v>757</v>
      </c>
      <c r="B10256" s="1" t="s">
        <v>2060</v>
      </c>
      <c r="C10256" s="1" t="s">
        <v>24</v>
      </c>
      <c r="D10256" s="3">
        <f t="shared" si="1596"/>
        <v>8202</v>
      </c>
      <c r="E10256" s="2">
        <f t="shared" si="1595"/>
        <v>43040</v>
      </c>
      <c r="F10256" s="2">
        <f t="shared" si="1597"/>
        <v>43555</v>
      </c>
    </row>
    <row r="10257" spans="1:6" x14ac:dyDescent="0.25">
      <c r="A10257" s="1" t="s">
        <v>757</v>
      </c>
      <c r="B10257" s="1" t="s">
        <v>2060</v>
      </c>
      <c r="C10257" s="1" t="s">
        <v>50</v>
      </c>
      <c r="D10257" s="3">
        <f t="shared" si="1596"/>
        <v>8202</v>
      </c>
      <c r="E10257" s="2">
        <f t="shared" si="1595"/>
        <v>43040</v>
      </c>
      <c r="F10257" s="2">
        <f t="shared" si="1597"/>
        <v>43555</v>
      </c>
    </row>
    <row r="10258" spans="1:6" x14ac:dyDescent="0.25">
      <c r="A10258" s="1" t="s">
        <v>757</v>
      </c>
      <c r="B10258" s="1" t="s">
        <v>2060</v>
      </c>
      <c r="C10258" s="1" t="s">
        <v>97</v>
      </c>
      <c r="D10258" s="3">
        <f t="shared" si="1596"/>
        <v>8202</v>
      </c>
      <c r="E10258" s="2">
        <f t="shared" si="1595"/>
        <v>43040</v>
      </c>
      <c r="F10258" s="2">
        <f t="shared" si="1597"/>
        <v>43555</v>
      </c>
    </row>
    <row r="10259" spans="1:6" x14ac:dyDescent="0.25">
      <c r="A10259" s="1" t="s">
        <v>757</v>
      </c>
      <c r="B10259" s="1" t="s">
        <v>2060</v>
      </c>
      <c r="C10259" s="1" t="s">
        <v>72</v>
      </c>
      <c r="D10259" s="3">
        <f t="shared" si="1596"/>
        <v>8202</v>
      </c>
      <c r="E10259" s="2">
        <f t="shared" si="1595"/>
        <v>43040</v>
      </c>
      <c r="F10259" s="2">
        <f t="shared" si="1597"/>
        <v>43555</v>
      </c>
    </row>
    <row r="10260" spans="1:6" x14ac:dyDescent="0.25">
      <c r="A10260" s="1" t="s">
        <v>757</v>
      </c>
      <c r="B10260" s="1" t="s">
        <v>2060</v>
      </c>
      <c r="C10260" s="1" t="s">
        <v>73</v>
      </c>
      <c r="D10260" s="3">
        <f t="shared" si="1596"/>
        <v>8202</v>
      </c>
      <c r="E10260" s="2">
        <f t="shared" si="1595"/>
        <v>43040</v>
      </c>
      <c r="F10260" s="2">
        <f t="shared" si="1597"/>
        <v>43555</v>
      </c>
    </row>
    <row r="10261" spans="1:6" x14ac:dyDescent="0.25">
      <c r="A10261" s="1" t="s">
        <v>757</v>
      </c>
      <c r="B10261" s="1" t="s">
        <v>2060</v>
      </c>
      <c r="C10261" s="1" t="s">
        <v>52</v>
      </c>
      <c r="D10261" s="3">
        <f t="shared" si="1596"/>
        <v>8202</v>
      </c>
      <c r="E10261" s="2">
        <f t="shared" si="1595"/>
        <v>43040</v>
      </c>
      <c r="F10261" s="2">
        <f t="shared" si="1597"/>
        <v>43555</v>
      </c>
    </row>
    <row r="10262" spans="1:6" x14ac:dyDescent="0.25">
      <c r="A10262" s="1" t="s">
        <v>757</v>
      </c>
      <c r="B10262" s="1" t="s">
        <v>2060</v>
      </c>
      <c r="C10262" s="1" t="s">
        <v>34</v>
      </c>
      <c r="D10262" s="3">
        <f t="shared" si="1596"/>
        <v>8202</v>
      </c>
      <c r="E10262" s="2">
        <f t="shared" si="1595"/>
        <v>43040</v>
      </c>
      <c r="F10262" s="2">
        <f t="shared" si="1597"/>
        <v>43555</v>
      </c>
    </row>
    <row r="10263" spans="1:6" x14ac:dyDescent="0.25">
      <c r="A10263" s="1" t="s">
        <v>757</v>
      </c>
      <c r="B10263" s="1" t="s">
        <v>2060</v>
      </c>
      <c r="C10263" s="1" t="s">
        <v>57</v>
      </c>
      <c r="D10263" s="3">
        <f t="shared" si="1596"/>
        <v>8202</v>
      </c>
      <c r="E10263" s="2">
        <f t="shared" si="1595"/>
        <v>43040</v>
      </c>
      <c r="F10263" s="2">
        <f t="shared" si="1597"/>
        <v>43555</v>
      </c>
    </row>
    <row r="10264" spans="1:6" x14ac:dyDescent="0.25">
      <c r="A10264" s="1" t="s">
        <v>757</v>
      </c>
      <c r="B10264" s="1" t="s">
        <v>2060</v>
      </c>
      <c r="C10264" s="1" t="s">
        <v>36</v>
      </c>
      <c r="D10264" s="3">
        <f t="shared" si="1596"/>
        <v>8202</v>
      </c>
      <c r="E10264" s="2">
        <f t="shared" si="1595"/>
        <v>43040</v>
      </c>
      <c r="F10264" s="2">
        <f t="shared" si="1597"/>
        <v>43555</v>
      </c>
    </row>
    <row r="10265" spans="1:6" x14ac:dyDescent="0.25">
      <c r="A10265" s="1" t="s">
        <v>757</v>
      </c>
      <c r="B10265" s="1" t="s">
        <v>2299</v>
      </c>
      <c r="C10265" s="1" t="s">
        <v>7</v>
      </c>
      <c r="D10265" s="3">
        <f t="shared" ref="D10265:D10271" si="1598">VALUE("8108")</f>
        <v>8108</v>
      </c>
      <c r="E10265" s="2">
        <f t="shared" ref="E10265:E10305" si="1599">DATEVALUE("1-6-2017")</f>
        <v>42887</v>
      </c>
      <c r="F10265" s="2">
        <f t="shared" ref="F10265:F10271" si="1600">DATEVALUE("30-9-2017")</f>
        <v>43008</v>
      </c>
    </row>
    <row r="10266" spans="1:6" x14ac:dyDescent="0.25">
      <c r="A10266" s="1" t="s">
        <v>757</v>
      </c>
      <c r="B10266" s="1" t="s">
        <v>2299</v>
      </c>
      <c r="C10266" s="1" t="s">
        <v>599</v>
      </c>
      <c r="D10266" s="3">
        <f t="shared" si="1598"/>
        <v>8108</v>
      </c>
      <c r="E10266" s="2">
        <f t="shared" si="1599"/>
        <v>42887</v>
      </c>
      <c r="F10266" s="2">
        <f t="shared" si="1600"/>
        <v>43008</v>
      </c>
    </row>
    <row r="10267" spans="1:6" x14ac:dyDescent="0.25">
      <c r="A10267" s="1" t="s">
        <v>757</v>
      </c>
      <c r="B10267" s="1" t="s">
        <v>2299</v>
      </c>
      <c r="C10267" s="1" t="s">
        <v>222</v>
      </c>
      <c r="D10267" s="3">
        <f t="shared" si="1598"/>
        <v>8108</v>
      </c>
      <c r="E10267" s="2">
        <f t="shared" si="1599"/>
        <v>42887</v>
      </c>
      <c r="F10267" s="2">
        <f t="shared" si="1600"/>
        <v>43008</v>
      </c>
    </row>
    <row r="10268" spans="1:6" x14ac:dyDescent="0.25">
      <c r="A10268" s="1" t="s">
        <v>757</v>
      </c>
      <c r="B10268" s="1" t="s">
        <v>2299</v>
      </c>
      <c r="C10268" s="1" t="s">
        <v>212</v>
      </c>
      <c r="D10268" s="3">
        <f t="shared" si="1598"/>
        <v>8108</v>
      </c>
      <c r="E10268" s="2">
        <f t="shared" si="1599"/>
        <v>42887</v>
      </c>
      <c r="F10268" s="2">
        <f t="shared" si="1600"/>
        <v>43008</v>
      </c>
    </row>
    <row r="10269" spans="1:6" x14ac:dyDescent="0.25">
      <c r="A10269" s="1" t="s">
        <v>757</v>
      </c>
      <c r="B10269" s="1" t="s">
        <v>2299</v>
      </c>
      <c r="C10269" s="1" t="s">
        <v>229</v>
      </c>
      <c r="D10269" s="3">
        <f t="shared" si="1598"/>
        <v>8108</v>
      </c>
      <c r="E10269" s="2">
        <f t="shared" si="1599"/>
        <v>42887</v>
      </c>
      <c r="F10269" s="2">
        <f t="shared" si="1600"/>
        <v>43008</v>
      </c>
    </row>
    <row r="10270" spans="1:6" x14ac:dyDescent="0.25">
      <c r="A10270" s="1" t="s">
        <v>757</v>
      </c>
      <c r="B10270" s="1" t="s">
        <v>2299</v>
      </c>
      <c r="C10270" s="1" t="s">
        <v>30</v>
      </c>
      <c r="D10270" s="3">
        <f t="shared" si="1598"/>
        <v>8108</v>
      </c>
      <c r="E10270" s="2">
        <f t="shared" si="1599"/>
        <v>42887</v>
      </c>
      <c r="F10270" s="2">
        <f t="shared" si="1600"/>
        <v>43008</v>
      </c>
    </row>
    <row r="10271" spans="1:6" x14ac:dyDescent="0.25">
      <c r="A10271" s="1" t="s">
        <v>757</v>
      </c>
      <c r="B10271" s="1" t="s">
        <v>2299</v>
      </c>
      <c r="C10271" s="1" t="s">
        <v>52</v>
      </c>
      <c r="D10271" s="3">
        <f t="shared" si="1598"/>
        <v>8108</v>
      </c>
      <c r="E10271" s="2">
        <f t="shared" si="1599"/>
        <v>42887</v>
      </c>
      <c r="F10271" s="2">
        <f t="shared" si="1600"/>
        <v>43008</v>
      </c>
    </row>
    <row r="10272" spans="1:6" x14ac:dyDescent="0.25">
      <c r="A10272" s="1" t="s">
        <v>757</v>
      </c>
      <c r="B10272" s="1" t="s">
        <v>2055</v>
      </c>
      <c r="C10272" s="1" t="s">
        <v>148</v>
      </c>
      <c r="D10272" s="3">
        <f>VALUE("8117")</f>
        <v>8117</v>
      </c>
      <c r="E10272" s="2">
        <f t="shared" si="1599"/>
        <v>42887</v>
      </c>
      <c r="F10272" s="2">
        <f>DATEVALUE("30-6-2017")</f>
        <v>42916</v>
      </c>
    </row>
    <row r="10273" spans="1:6" x14ac:dyDescent="0.25">
      <c r="A10273" s="1" t="s">
        <v>757</v>
      </c>
      <c r="B10273" s="1" t="s">
        <v>2304</v>
      </c>
      <c r="C10273" s="1" t="s">
        <v>511</v>
      </c>
      <c r="D10273" s="3">
        <f t="shared" ref="D10273:D10305" si="1601">VALUE("8119")</f>
        <v>8119</v>
      </c>
      <c r="E10273" s="2">
        <f t="shared" si="1599"/>
        <v>42887</v>
      </c>
      <c r="F10273" s="2">
        <f t="shared" ref="F10273:F10305" si="1602">DATEVALUE("31-12-2018")</f>
        <v>43465</v>
      </c>
    </row>
    <row r="10274" spans="1:6" x14ac:dyDescent="0.25">
      <c r="A10274" s="1" t="s">
        <v>757</v>
      </c>
      <c r="B10274" s="1" t="s">
        <v>2304</v>
      </c>
      <c r="C10274" s="1" t="s">
        <v>39</v>
      </c>
      <c r="D10274" s="3">
        <f t="shared" si="1601"/>
        <v>8119</v>
      </c>
      <c r="E10274" s="2">
        <f t="shared" si="1599"/>
        <v>42887</v>
      </c>
      <c r="F10274" s="2">
        <f t="shared" si="1602"/>
        <v>43465</v>
      </c>
    </row>
    <row r="10275" spans="1:6" x14ac:dyDescent="0.25">
      <c r="A10275" s="1" t="s">
        <v>757</v>
      </c>
      <c r="B10275" s="1" t="s">
        <v>2304</v>
      </c>
      <c r="C10275" s="1" t="s">
        <v>256</v>
      </c>
      <c r="D10275" s="3">
        <f t="shared" si="1601"/>
        <v>8119</v>
      </c>
      <c r="E10275" s="2">
        <f t="shared" si="1599"/>
        <v>42887</v>
      </c>
      <c r="F10275" s="2">
        <f t="shared" si="1602"/>
        <v>43465</v>
      </c>
    </row>
    <row r="10276" spans="1:6" x14ac:dyDescent="0.25">
      <c r="A10276" s="1" t="s">
        <v>757</v>
      </c>
      <c r="B10276" s="1" t="s">
        <v>2304</v>
      </c>
      <c r="C10276" s="1" t="s">
        <v>43</v>
      </c>
      <c r="D10276" s="3">
        <f t="shared" si="1601"/>
        <v>8119</v>
      </c>
      <c r="E10276" s="2">
        <f t="shared" si="1599"/>
        <v>42887</v>
      </c>
      <c r="F10276" s="2">
        <f t="shared" si="1602"/>
        <v>43465</v>
      </c>
    </row>
    <row r="10277" spans="1:6" x14ac:dyDescent="0.25">
      <c r="A10277" s="1" t="s">
        <v>757</v>
      </c>
      <c r="B10277" s="1" t="s">
        <v>2304</v>
      </c>
      <c r="C10277" s="1" t="s">
        <v>140</v>
      </c>
      <c r="D10277" s="3">
        <f t="shared" si="1601"/>
        <v>8119</v>
      </c>
      <c r="E10277" s="2">
        <f t="shared" si="1599"/>
        <v>42887</v>
      </c>
      <c r="F10277" s="2">
        <f t="shared" si="1602"/>
        <v>43465</v>
      </c>
    </row>
    <row r="10278" spans="1:6" x14ac:dyDescent="0.25">
      <c r="A10278" s="1" t="s">
        <v>757</v>
      </c>
      <c r="B10278" s="1" t="s">
        <v>2304</v>
      </c>
      <c r="C10278" s="1" t="s">
        <v>141</v>
      </c>
      <c r="D10278" s="3">
        <f t="shared" si="1601"/>
        <v>8119</v>
      </c>
      <c r="E10278" s="2">
        <f t="shared" si="1599"/>
        <v>42887</v>
      </c>
      <c r="F10278" s="2">
        <f t="shared" si="1602"/>
        <v>43465</v>
      </c>
    </row>
    <row r="10279" spans="1:6" x14ac:dyDescent="0.25">
      <c r="A10279" s="1" t="s">
        <v>757</v>
      </c>
      <c r="B10279" s="1" t="s">
        <v>2304</v>
      </c>
      <c r="C10279" s="1" t="s">
        <v>14</v>
      </c>
      <c r="D10279" s="3">
        <f t="shared" si="1601"/>
        <v>8119</v>
      </c>
      <c r="E10279" s="2">
        <f t="shared" si="1599"/>
        <v>42887</v>
      </c>
      <c r="F10279" s="2">
        <f t="shared" si="1602"/>
        <v>43465</v>
      </c>
    </row>
    <row r="10280" spans="1:6" x14ac:dyDescent="0.25">
      <c r="A10280" s="1" t="s">
        <v>757</v>
      </c>
      <c r="B10280" s="1" t="s">
        <v>2304</v>
      </c>
      <c r="C10280" s="1" t="s">
        <v>15</v>
      </c>
      <c r="D10280" s="3">
        <f t="shared" si="1601"/>
        <v>8119</v>
      </c>
      <c r="E10280" s="2">
        <f t="shared" si="1599"/>
        <v>42887</v>
      </c>
      <c r="F10280" s="2">
        <f t="shared" si="1602"/>
        <v>43465</v>
      </c>
    </row>
    <row r="10281" spans="1:6" x14ac:dyDescent="0.25">
      <c r="A10281" s="1" t="s">
        <v>757</v>
      </c>
      <c r="B10281" s="1" t="s">
        <v>2304</v>
      </c>
      <c r="C10281" s="1" t="s">
        <v>17</v>
      </c>
      <c r="D10281" s="3">
        <f t="shared" si="1601"/>
        <v>8119</v>
      </c>
      <c r="E10281" s="2">
        <f t="shared" si="1599"/>
        <v>42887</v>
      </c>
      <c r="F10281" s="2">
        <f t="shared" si="1602"/>
        <v>43465</v>
      </c>
    </row>
    <row r="10282" spans="1:6" x14ac:dyDescent="0.25">
      <c r="A10282" s="1" t="s">
        <v>757</v>
      </c>
      <c r="B10282" s="1" t="s">
        <v>2304</v>
      </c>
      <c r="C10282" s="1" t="s">
        <v>22</v>
      </c>
      <c r="D10282" s="3">
        <f t="shared" si="1601"/>
        <v>8119</v>
      </c>
      <c r="E10282" s="2">
        <f t="shared" si="1599"/>
        <v>42887</v>
      </c>
      <c r="F10282" s="2">
        <f t="shared" si="1602"/>
        <v>43465</v>
      </c>
    </row>
    <row r="10283" spans="1:6" x14ac:dyDescent="0.25">
      <c r="A10283" s="1" t="s">
        <v>757</v>
      </c>
      <c r="B10283" s="1" t="s">
        <v>2304</v>
      </c>
      <c r="C10283" s="1" t="s">
        <v>146</v>
      </c>
      <c r="D10283" s="3">
        <f t="shared" si="1601"/>
        <v>8119</v>
      </c>
      <c r="E10283" s="2">
        <f t="shared" si="1599"/>
        <v>42887</v>
      </c>
      <c r="F10283" s="2">
        <f t="shared" si="1602"/>
        <v>43465</v>
      </c>
    </row>
    <row r="10284" spans="1:6" x14ac:dyDescent="0.25">
      <c r="A10284" s="1" t="s">
        <v>757</v>
      </c>
      <c r="B10284" s="1" t="s">
        <v>2304</v>
      </c>
      <c r="C10284" s="1" t="s">
        <v>67</v>
      </c>
      <c r="D10284" s="3">
        <f t="shared" si="1601"/>
        <v>8119</v>
      </c>
      <c r="E10284" s="2">
        <f t="shared" si="1599"/>
        <v>42887</v>
      </c>
      <c r="F10284" s="2">
        <f t="shared" si="1602"/>
        <v>43465</v>
      </c>
    </row>
    <row r="10285" spans="1:6" x14ac:dyDescent="0.25">
      <c r="A10285" s="1" t="s">
        <v>757</v>
      </c>
      <c r="B10285" s="1" t="s">
        <v>2304</v>
      </c>
      <c r="C10285" s="1" t="s">
        <v>384</v>
      </c>
      <c r="D10285" s="3">
        <f t="shared" si="1601"/>
        <v>8119</v>
      </c>
      <c r="E10285" s="2">
        <f t="shared" si="1599"/>
        <v>42887</v>
      </c>
      <c r="F10285" s="2">
        <f t="shared" si="1602"/>
        <v>43465</v>
      </c>
    </row>
    <row r="10286" spans="1:6" x14ac:dyDescent="0.25">
      <c r="A10286" s="1" t="s">
        <v>757</v>
      </c>
      <c r="B10286" s="1" t="s">
        <v>2304</v>
      </c>
      <c r="C10286" s="1" t="s">
        <v>148</v>
      </c>
      <c r="D10286" s="3">
        <f t="shared" si="1601"/>
        <v>8119</v>
      </c>
      <c r="E10286" s="2">
        <f t="shared" si="1599"/>
        <v>42887</v>
      </c>
      <c r="F10286" s="2">
        <f t="shared" si="1602"/>
        <v>43465</v>
      </c>
    </row>
    <row r="10287" spans="1:6" x14ac:dyDescent="0.25">
      <c r="A10287" s="1" t="s">
        <v>757</v>
      </c>
      <c r="B10287" s="1" t="s">
        <v>2304</v>
      </c>
      <c r="C10287" s="1" t="s">
        <v>149</v>
      </c>
      <c r="D10287" s="3">
        <f t="shared" si="1601"/>
        <v>8119</v>
      </c>
      <c r="E10287" s="2">
        <f t="shared" si="1599"/>
        <v>42887</v>
      </c>
      <c r="F10287" s="2">
        <f t="shared" si="1602"/>
        <v>43465</v>
      </c>
    </row>
    <row r="10288" spans="1:6" x14ac:dyDescent="0.25">
      <c r="A10288" s="1" t="s">
        <v>757</v>
      </c>
      <c r="B10288" s="1" t="s">
        <v>2304</v>
      </c>
      <c r="C10288" s="1" t="s">
        <v>150</v>
      </c>
      <c r="D10288" s="3">
        <f t="shared" si="1601"/>
        <v>8119</v>
      </c>
      <c r="E10288" s="2">
        <f t="shared" si="1599"/>
        <v>42887</v>
      </c>
      <c r="F10288" s="2">
        <f t="shared" si="1602"/>
        <v>43465</v>
      </c>
    </row>
    <row r="10289" spans="1:6" x14ac:dyDescent="0.25">
      <c r="A10289" s="1" t="s">
        <v>757</v>
      </c>
      <c r="B10289" s="1" t="s">
        <v>2304</v>
      </c>
      <c r="C10289" s="1" t="s">
        <v>151</v>
      </c>
      <c r="D10289" s="3">
        <f t="shared" si="1601"/>
        <v>8119</v>
      </c>
      <c r="E10289" s="2">
        <f t="shared" si="1599"/>
        <v>42887</v>
      </c>
      <c r="F10289" s="2">
        <f t="shared" si="1602"/>
        <v>43465</v>
      </c>
    </row>
    <row r="10290" spans="1:6" x14ac:dyDescent="0.25">
      <c r="A10290" s="1" t="s">
        <v>757</v>
      </c>
      <c r="B10290" s="1" t="s">
        <v>2304</v>
      </c>
      <c r="C10290" s="1" t="s">
        <v>94</v>
      </c>
      <c r="D10290" s="3">
        <f t="shared" si="1601"/>
        <v>8119</v>
      </c>
      <c r="E10290" s="2">
        <f t="shared" si="1599"/>
        <v>42887</v>
      </c>
      <c r="F10290" s="2">
        <f t="shared" si="1602"/>
        <v>43465</v>
      </c>
    </row>
    <row r="10291" spans="1:6" x14ac:dyDescent="0.25">
      <c r="A10291" s="1" t="s">
        <v>757</v>
      </c>
      <c r="B10291" s="1" t="s">
        <v>2304</v>
      </c>
      <c r="C10291" s="1" t="s">
        <v>95</v>
      </c>
      <c r="D10291" s="3">
        <f t="shared" si="1601"/>
        <v>8119</v>
      </c>
      <c r="E10291" s="2">
        <f t="shared" si="1599"/>
        <v>42887</v>
      </c>
      <c r="F10291" s="2">
        <f t="shared" si="1602"/>
        <v>43465</v>
      </c>
    </row>
    <row r="10292" spans="1:6" x14ac:dyDescent="0.25">
      <c r="A10292" s="1" t="s">
        <v>757</v>
      </c>
      <c r="B10292" s="1" t="s">
        <v>2304</v>
      </c>
      <c r="C10292" s="1" t="s">
        <v>24</v>
      </c>
      <c r="D10292" s="3">
        <f t="shared" si="1601"/>
        <v>8119</v>
      </c>
      <c r="E10292" s="2">
        <f t="shared" si="1599"/>
        <v>42887</v>
      </c>
      <c r="F10292" s="2">
        <f t="shared" si="1602"/>
        <v>43465</v>
      </c>
    </row>
    <row r="10293" spans="1:6" x14ac:dyDescent="0.25">
      <c r="A10293" s="1" t="s">
        <v>757</v>
      </c>
      <c r="B10293" s="1" t="s">
        <v>2304</v>
      </c>
      <c r="C10293" s="1" t="s">
        <v>50</v>
      </c>
      <c r="D10293" s="3">
        <f t="shared" si="1601"/>
        <v>8119</v>
      </c>
      <c r="E10293" s="2">
        <f t="shared" si="1599"/>
        <v>42887</v>
      </c>
      <c r="F10293" s="2">
        <f t="shared" si="1602"/>
        <v>43465</v>
      </c>
    </row>
    <row r="10294" spans="1:6" x14ac:dyDescent="0.25">
      <c r="A10294" s="1" t="s">
        <v>757</v>
      </c>
      <c r="B10294" s="1" t="s">
        <v>2304</v>
      </c>
      <c r="C10294" s="1" t="s">
        <v>99</v>
      </c>
      <c r="D10294" s="3">
        <f t="shared" si="1601"/>
        <v>8119</v>
      </c>
      <c r="E10294" s="2">
        <f t="shared" si="1599"/>
        <v>42887</v>
      </c>
      <c r="F10294" s="2">
        <f t="shared" si="1602"/>
        <v>43465</v>
      </c>
    </row>
    <row r="10295" spans="1:6" x14ac:dyDescent="0.25">
      <c r="A10295" s="1" t="s">
        <v>757</v>
      </c>
      <c r="B10295" s="1" t="s">
        <v>2304</v>
      </c>
      <c r="C10295" s="1" t="s">
        <v>100</v>
      </c>
      <c r="D10295" s="3">
        <f t="shared" si="1601"/>
        <v>8119</v>
      </c>
      <c r="E10295" s="2">
        <f t="shared" si="1599"/>
        <v>42887</v>
      </c>
      <c r="F10295" s="2">
        <f t="shared" si="1602"/>
        <v>43465</v>
      </c>
    </row>
    <row r="10296" spans="1:6" x14ac:dyDescent="0.25">
      <c r="A10296" s="1" t="s">
        <v>757</v>
      </c>
      <c r="B10296" s="1" t="s">
        <v>2304</v>
      </c>
      <c r="C10296" s="1" t="s">
        <v>160</v>
      </c>
      <c r="D10296" s="3">
        <f t="shared" si="1601"/>
        <v>8119</v>
      </c>
      <c r="E10296" s="2">
        <f t="shared" si="1599"/>
        <v>42887</v>
      </c>
      <c r="F10296" s="2">
        <f t="shared" si="1602"/>
        <v>43465</v>
      </c>
    </row>
    <row r="10297" spans="1:6" x14ac:dyDescent="0.25">
      <c r="A10297" s="1" t="s">
        <v>757</v>
      </c>
      <c r="B10297" s="1" t="s">
        <v>2304</v>
      </c>
      <c r="C10297" s="1" t="s">
        <v>393</v>
      </c>
      <c r="D10297" s="3">
        <f t="shared" si="1601"/>
        <v>8119</v>
      </c>
      <c r="E10297" s="2">
        <f t="shared" si="1599"/>
        <v>42887</v>
      </c>
      <c r="F10297" s="2">
        <f t="shared" si="1602"/>
        <v>43465</v>
      </c>
    </row>
    <row r="10298" spans="1:6" x14ac:dyDescent="0.25">
      <c r="A10298" s="1" t="s">
        <v>757</v>
      </c>
      <c r="B10298" s="1" t="s">
        <v>2304</v>
      </c>
      <c r="C10298" s="1" t="s">
        <v>394</v>
      </c>
      <c r="D10298" s="3">
        <f t="shared" si="1601"/>
        <v>8119</v>
      </c>
      <c r="E10298" s="2">
        <f t="shared" si="1599"/>
        <v>42887</v>
      </c>
      <c r="F10298" s="2">
        <f t="shared" si="1602"/>
        <v>43465</v>
      </c>
    </row>
    <row r="10299" spans="1:6" x14ac:dyDescent="0.25">
      <c r="A10299" s="1" t="s">
        <v>757</v>
      </c>
      <c r="B10299" s="1" t="s">
        <v>2304</v>
      </c>
      <c r="C10299" s="1" t="s">
        <v>396</v>
      </c>
      <c r="D10299" s="3">
        <f t="shared" si="1601"/>
        <v>8119</v>
      </c>
      <c r="E10299" s="2">
        <f t="shared" si="1599"/>
        <v>42887</v>
      </c>
      <c r="F10299" s="2">
        <f t="shared" si="1602"/>
        <v>43465</v>
      </c>
    </row>
    <row r="10300" spans="1:6" x14ac:dyDescent="0.25">
      <c r="A10300" s="1" t="s">
        <v>757</v>
      </c>
      <c r="B10300" s="1" t="s">
        <v>2304</v>
      </c>
      <c r="C10300" s="1" t="s">
        <v>34</v>
      </c>
      <c r="D10300" s="3">
        <f t="shared" si="1601"/>
        <v>8119</v>
      </c>
      <c r="E10300" s="2">
        <f t="shared" si="1599"/>
        <v>42887</v>
      </c>
      <c r="F10300" s="2">
        <f t="shared" si="1602"/>
        <v>43465</v>
      </c>
    </row>
    <row r="10301" spans="1:6" x14ac:dyDescent="0.25">
      <c r="A10301" s="1" t="s">
        <v>757</v>
      </c>
      <c r="B10301" s="1" t="s">
        <v>2304</v>
      </c>
      <c r="C10301" s="1" t="s">
        <v>519</v>
      </c>
      <c r="D10301" s="3">
        <f t="shared" si="1601"/>
        <v>8119</v>
      </c>
      <c r="E10301" s="2">
        <f t="shared" si="1599"/>
        <v>42887</v>
      </c>
      <c r="F10301" s="2">
        <f t="shared" si="1602"/>
        <v>43465</v>
      </c>
    </row>
    <row r="10302" spans="1:6" x14ac:dyDescent="0.25">
      <c r="A10302" s="1" t="s">
        <v>757</v>
      </c>
      <c r="B10302" s="1" t="s">
        <v>2304</v>
      </c>
      <c r="C10302" s="1" t="s">
        <v>57</v>
      </c>
      <c r="D10302" s="3">
        <f t="shared" si="1601"/>
        <v>8119</v>
      </c>
      <c r="E10302" s="2">
        <f t="shared" si="1599"/>
        <v>42887</v>
      </c>
      <c r="F10302" s="2">
        <f t="shared" si="1602"/>
        <v>43465</v>
      </c>
    </row>
    <row r="10303" spans="1:6" x14ac:dyDescent="0.25">
      <c r="A10303" s="1" t="s">
        <v>757</v>
      </c>
      <c r="B10303" s="1" t="s">
        <v>2304</v>
      </c>
      <c r="C10303" s="1" t="s">
        <v>36</v>
      </c>
      <c r="D10303" s="3">
        <f t="shared" si="1601"/>
        <v>8119</v>
      </c>
      <c r="E10303" s="2">
        <f t="shared" si="1599"/>
        <v>42887</v>
      </c>
      <c r="F10303" s="2">
        <f t="shared" si="1602"/>
        <v>43465</v>
      </c>
    </row>
    <row r="10304" spans="1:6" x14ac:dyDescent="0.25">
      <c r="A10304" s="1" t="s">
        <v>757</v>
      </c>
      <c r="B10304" s="1" t="s">
        <v>2304</v>
      </c>
      <c r="C10304" s="1" t="s">
        <v>169</v>
      </c>
      <c r="D10304" s="3">
        <f t="shared" si="1601"/>
        <v>8119</v>
      </c>
      <c r="E10304" s="2">
        <f t="shared" si="1599"/>
        <v>42887</v>
      </c>
      <c r="F10304" s="2">
        <f t="shared" si="1602"/>
        <v>43465</v>
      </c>
    </row>
    <row r="10305" spans="1:6" x14ac:dyDescent="0.25">
      <c r="A10305" s="1" t="s">
        <v>757</v>
      </c>
      <c r="B10305" s="1" t="s">
        <v>2304</v>
      </c>
      <c r="C10305" s="1" t="s">
        <v>170</v>
      </c>
      <c r="D10305" s="3">
        <f t="shared" si="1601"/>
        <v>8119</v>
      </c>
      <c r="E10305" s="2">
        <f t="shared" si="1599"/>
        <v>42887</v>
      </c>
      <c r="F10305" s="2">
        <f t="shared" si="1602"/>
        <v>43465</v>
      </c>
    </row>
    <row r="10306" spans="1:6" x14ac:dyDescent="0.25">
      <c r="A10306" s="1" t="s">
        <v>757</v>
      </c>
      <c r="B10306" s="1" t="s">
        <v>2202</v>
      </c>
      <c r="C10306" s="1" t="s">
        <v>519</v>
      </c>
      <c r="D10306" s="3">
        <f>VALUE("7796")</f>
        <v>7796</v>
      </c>
      <c r="E10306" s="2">
        <f t="shared" ref="E10306:E10327" si="1603">DATEVALUE("1-5-2017")</f>
        <v>42856</v>
      </c>
      <c r="F10306" s="2">
        <f>DATEVALUE("29-2-2020")</f>
        <v>43890</v>
      </c>
    </row>
    <row r="10307" spans="1:6" x14ac:dyDescent="0.25">
      <c r="A10307" s="1" t="s">
        <v>757</v>
      </c>
      <c r="B10307" s="1" t="s">
        <v>2283</v>
      </c>
      <c r="C10307" s="1" t="s">
        <v>2284</v>
      </c>
      <c r="D10307" s="3">
        <f t="shared" ref="D10307:D10317" si="1604">VALUE("8072")</f>
        <v>8072</v>
      </c>
      <c r="E10307" s="2">
        <f t="shared" si="1603"/>
        <v>42856</v>
      </c>
      <c r="F10307" s="2">
        <f t="shared" ref="F10307:F10317" si="1605">DATEVALUE("31-10-2017")</f>
        <v>43039</v>
      </c>
    </row>
    <row r="10308" spans="1:6" x14ac:dyDescent="0.25">
      <c r="A10308" s="1" t="s">
        <v>757</v>
      </c>
      <c r="B10308" s="1" t="s">
        <v>2283</v>
      </c>
      <c r="C10308" s="1" t="s">
        <v>7</v>
      </c>
      <c r="D10308" s="3">
        <f t="shared" si="1604"/>
        <v>8072</v>
      </c>
      <c r="E10308" s="2">
        <f t="shared" si="1603"/>
        <v>42856</v>
      </c>
      <c r="F10308" s="2">
        <f t="shared" si="1605"/>
        <v>43039</v>
      </c>
    </row>
    <row r="10309" spans="1:6" x14ac:dyDescent="0.25">
      <c r="A10309" s="1" t="s">
        <v>757</v>
      </c>
      <c r="B10309" s="1" t="s">
        <v>2283</v>
      </c>
      <c r="C10309" s="1" t="s">
        <v>599</v>
      </c>
      <c r="D10309" s="3">
        <f t="shared" si="1604"/>
        <v>8072</v>
      </c>
      <c r="E10309" s="2">
        <f t="shared" si="1603"/>
        <v>42856</v>
      </c>
      <c r="F10309" s="2">
        <f t="shared" si="1605"/>
        <v>43039</v>
      </c>
    </row>
    <row r="10310" spans="1:6" x14ac:dyDescent="0.25">
      <c r="A10310" s="1" t="s">
        <v>757</v>
      </c>
      <c r="B10310" s="1" t="s">
        <v>2283</v>
      </c>
      <c r="C10310" s="1" t="s">
        <v>1683</v>
      </c>
      <c r="D10310" s="3">
        <f t="shared" si="1604"/>
        <v>8072</v>
      </c>
      <c r="E10310" s="2">
        <f t="shared" si="1603"/>
        <v>42856</v>
      </c>
      <c r="F10310" s="2">
        <f t="shared" si="1605"/>
        <v>43039</v>
      </c>
    </row>
    <row r="10311" spans="1:6" x14ac:dyDescent="0.25">
      <c r="A10311" s="1" t="s">
        <v>757</v>
      </c>
      <c r="B10311" s="1" t="s">
        <v>2283</v>
      </c>
      <c r="C10311" s="1" t="s">
        <v>1684</v>
      </c>
      <c r="D10311" s="3">
        <f t="shared" si="1604"/>
        <v>8072</v>
      </c>
      <c r="E10311" s="2">
        <f t="shared" si="1603"/>
        <v>42856</v>
      </c>
      <c r="F10311" s="2">
        <f t="shared" si="1605"/>
        <v>43039</v>
      </c>
    </row>
    <row r="10312" spans="1:6" x14ac:dyDescent="0.25">
      <c r="A10312" s="1" t="s">
        <v>757</v>
      </c>
      <c r="B10312" s="1" t="s">
        <v>2283</v>
      </c>
      <c r="C10312" s="1" t="s">
        <v>1685</v>
      </c>
      <c r="D10312" s="3">
        <f t="shared" si="1604"/>
        <v>8072</v>
      </c>
      <c r="E10312" s="2">
        <f t="shared" si="1603"/>
        <v>42856</v>
      </c>
      <c r="F10312" s="2">
        <f t="shared" si="1605"/>
        <v>43039</v>
      </c>
    </row>
    <row r="10313" spans="1:6" x14ac:dyDescent="0.25">
      <c r="A10313" s="1" t="s">
        <v>757</v>
      </c>
      <c r="B10313" s="1" t="s">
        <v>2283</v>
      </c>
      <c r="C10313" s="1" t="s">
        <v>2012</v>
      </c>
      <c r="D10313" s="3">
        <f t="shared" si="1604"/>
        <v>8072</v>
      </c>
      <c r="E10313" s="2">
        <f t="shared" si="1603"/>
        <v>42856</v>
      </c>
      <c r="F10313" s="2">
        <f t="shared" si="1605"/>
        <v>43039</v>
      </c>
    </row>
    <row r="10314" spans="1:6" x14ac:dyDescent="0.25">
      <c r="A10314" s="1" t="s">
        <v>757</v>
      </c>
      <c r="B10314" s="1" t="s">
        <v>2283</v>
      </c>
      <c r="C10314" s="1" t="s">
        <v>1686</v>
      </c>
      <c r="D10314" s="3">
        <f t="shared" si="1604"/>
        <v>8072</v>
      </c>
      <c r="E10314" s="2">
        <f t="shared" si="1603"/>
        <v>42856</v>
      </c>
      <c r="F10314" s="2">
        <f t="shared" si="1605"/>
        <v>43039</v>
      </c>
    </row>
    <row r="10315" spans="1:6" x14ac:dyDescent="0.25">
      <c r="A10315" s="1" t="s">
        <v>757</v>
      </c>
      <c r="B10315" s="1" t="s">
        <v>2283</v>
      </c>
      <c r="C10315" s="1" t="s">
        <v>1687</v>
      </c>
      <c r="D10315" s="3">
        <f t="shared" si="1604"/>
        <v>8072</v>
      </c>
      <c r="E10315" s="2">
        <f t="shared" si="1603"/>
        <v>42856</v>
      </c>
      <c r="F10315" s="2">
        <f t="shared" si="1605"/>
        <v>43039</v>
      </c>
    </row>
    <row r="10316" spans="1:6" x14ac:dyDescent="0.25">
      <c r="A10316" s="1" t="s">
        <v>757</v>
      </c>
      <c r="B10316" s="1" t="s">
        <v>2283</v>
      </c>
      <c r="C10316" s="1" t="s">
        <v>1688</v>
      </c>
      <c r="D10316" s="3">
        <f t="shared" si="1604"/>
        <v>8072</v>
      </c>
      <c r="E10316" s="2">
        <f t="shared" si="1603"/>
        <v>42856</v>
      </c>
      <c r="F10316" s="2">
        <f t="shared" si="1605"/>
        <v>43039</v>
      </c>
    </row>
    <row r="10317" spans="1:6" x14ac:dyDescent="0.25">
      <c r="A10317" s="1" t="s">
        <v>757</v>
      </c>
      <c r="B10317" s="1" t="s">
        <v>2283</v>
      </c>
      <c r="C10317" s="1" t="s">
        <v>1815</v>
      </c>
      <c r="D10317" s="3">
        <f t="shared" si="1604"/>
        <v>8072</v>
      </c>
      <c r="E10317" s="2">
        <f t="shared" si="1603"/>
        <v>42856</v>
      </c>
      <c r="F10317" s="2">
        <f t="shared" si="1605"/>
        <v>43039</v>
      </c>
    </row>
    <row r="10318" spans="1:6" x14ac:dyDescent="0.25">
      <c r="A10318" s="1" t="s">
        <v>757</v>
      </c>
      <c r="B10318" s="1" t="s">
        <v>870</v>
      </c>
      <c r="C10318" s="1" t="s">
        <v>138</v>
      </c>
      <c r="D10318" s="3">
        <f t="shared" ref="D10318:D10327" si="1606">VALUE("8090")</f>
        <v>8090</v>
      </c>
      <c r="E10318" s="2">
        <f t="shared" si="1603"/>
        <v>42856</v>
      </c>
      <c r="F10318" s="2">
        <f t="shared" ref="F10318:F10327" si="1607">DATEVALUE("31-8-2021")</f>
        <v>44439</v>
      </c>
    </row>
    <row r="10319" spans="1:6" x14ac:dyDescent="0.25">
      <c r="A10319" s="1" t="s">
        <v>757</v>
      </c>
      <c r="B10319" s="1" t="s">
        <v>870</v>
      </c>
      <c r="C10319" s="1" t="s">
        <v>14</v>
      </c>
      <c r="D10319" s="3">
        <f t="shared" si="1606"/>
        <v>8090</v>
      </c>
      <c r="E10319" s="2">
        <f t="shared" si="1603"/>
        <v>42856</v>
      </c>
      <c r="F10319" s="2">
        <f t="shared" si="1607"/>
        <v>44439</v>
      </c>
    </row>
    <row r="10320" spans="1:6" x14ac:dyDescent="0.25">
      <c r="A10320" s="1" t="s">
        <v>757</v>
      </c>
      <c r="B10320" s="1" t="s">
        <v>870</v>
      </c>
      <c r="C10320" s="1" t="s">
        <v>17</v>
      </c>
      <c r="D10320" s="3">
        <f t="shared" si="1606"/>
        <v>8090</v>
      </c>
      <c r="E10320" s="2">
        <f t="shared" si="1603"/>
        <v>42856</v>
      </c>
      <c r="F10320" s="2">
        <f t="shared" si="1607"/>
        <v>44439</v>
      </c>
    </row>
    <row r="10321" spans="1:6" x14ac:dyDescent="0.25">
      <c r="A10321" s="1" t="s">
        <v>757</v>
      </c>
      <c r="B10321" s="1" t="s">
        <v>870</v>
      </c>
      <c r="C10321" s="1" t="s">
        <v>22</v>
      </c>
      <c r="D10321" s="3">
        <f t="shared" si="1606"/>
        <v>8090</v>
      </c>
      <c r="E10321" s="2">
        <f t="shared" si="1603"/>
        <v>42856</v>
      </c>
      <c r="F10321" s="2">
        <f t="shared" si="1607"/>
        <v>44439</v>
      </c>
    </row>
    <row r="10322" spans="1:6" x14ac:dyDescent="0.25">
      <c r="A10322" s="1" t="s">
        <v>757</v>
      </c>
      <c r="B10322" s="1" t="s">
        <v>870</v>
      </c>
      <c r="C10322" s="1" t="s">
        <v>146</v>
      </c>
      <c r="D10322" s="3">
        <f t="shared" si="1606"/>
        <v>8090</v>
      </c>
      <c r="E10322" s="2">
        <f t="shared" si="1603"/>
        <v>42856</v>
      </c>
      <c r="F10322" s="2">
        <f t="shared" si="1607"/>
        <v>44439</v>
      </c>
    </row>
    <row r="10323" spans="1:6" x14ac:dyDescent="0.25">
      <c r="A10323" s="1" t="s">
        <v>757</v>
      </c>
      <c r="B10323" s="1" t="s">
        <v>870</v>
      </c>
      <c r="C10323" s="1" t="s">
        <v>147</v>
      </c>
      <c r="D10323" s="3">
        <f t="shared" si="1606"/>
        <v>8090</v>
      </c>
      <c r="E10323" s="2">
        <f t="shared" si="1603"/>
        <v>42856</v>
      </c>
      <c r="F10323" s="2">
        <f t="shared" si="1607"/>
        <v>44439</v>
      </c>
    </row>
    <row r="10324" spans="1:6" x14ac:dyDescent="0.25">
      <c r="A10324" s="1" t="s">
        <v>757</v>
      </c>
      <c r="B10324" s="1" t="s">
        <v>870</v>
      </c>
      <c r="C10324" s="1" t="s">
        <v>148</v>
      </c>
      <c r="D10324" s="3">
        <f t="shared" si="1606"/>
        <v>8090</v>
      </c>
      <c r="E10324" s="2">
        <f t="shared" si="1603"/>
        <v>42856</v>
      </c>
      <c r="F10324" s="2">
        <f t="shared" si="1607"/>
        <v>44439</v>
      </c>
    </row>
    <row r="10325" spans="1:6" x14ac:dyDescent="0.25">
      <c r="A10325" s="1" t="s">
        <v>757</v>
      </c>
      <c r="B10325" s="1" t="s">
        <v>870</v>
      </c>
      <c r="C10325" s="1" t="s">
        <v>92</v>
      </c>
      <c r="D10325" s="3">
        <f t="shared" si="1606"/>
        <v>8090</v>
      </c>
      <c r="E10325" s="2">
        <f t="shared" si="1603"/>
        <v>42856</v>
      </c>
      <c r="F10325" s="2">
        <f t="shared" si="1607"/>
        <v>44439</v>
      </c>
    </row>
    <row r="10326" spans="1:6" x14ac:dyDescent="0.25">
      <c r="A10326" s="1" t="s">
        <v>757</v>
      </c>
      <c r="B10326" s="1" t="s">
        <v>870</v>
      </c>
      <c r="C10326" s="1" t="s">
        <v>70</v>
      </c>
      <c r="D10326" s="3">
        <f t="shared" si="1606"/>
        <v>8090</v>
      </c>
      <c r="E10326" s="2">
        <f t="shared" si="1603"/>
        <v>42856</v>
      </c>
      <c r="F10326" s="2">
        <f t="shared" si="1607"/>
        <v>44439</v>
      </c>
    </row>
    <row r="10327" spans="1:6" x14ac:dyDescent="0.25">
      <c r="A10327" s="1" t="s">
        <v>757</v>
      </c>
      <c r="B10327" s="1" t="s">
        <v>870</v>
      </c>
      <c r="C10327" s="1" t="s">
        <v>55</v>
      </c>
      <c r="D10327" s="3">
        <f t="shared" si="1606"/>
        <v>8090</v>
      </c>
      <c r="E10327" s="2">
        <f t="shared" si="1603"/>
        <v>42856</v>
      </c>
      <c r="F10327" s="2">
        <f t="shared" si="1607"/>
        <v>44439</v>
      </c>
    </row>
    <row r="10328" spans="1:6" x14ac:dyDescent="0.25">
      <c r="A10328" s="1" t="s">
        <v>757</v>
      </c>
      <c r="B10328" s="1" t="s">
        <v>2287</v>
      </c>
      <c r="C10328" s="1" t="s">
        <v>61</v>
      </c>
      <c r="D10328" s="3">
        <f t="shared" ref="D10328:D10333" si="1608">VALUE("8080")</f>
        <v>8080</v>
      </c>
      <c r="E10328" s="2">
        <f t="shared" ref="E10328:E10333" si="1609">DATEVALUE("1-4-2017")</f>
        <v>42826</v>
      </c>
      <c r="F10328" s="2">
        <f t="shared" ref="F10328:F10333" si="1610">DATEVALUE("30-4-2017")</f>
        <v>42855</v>
      </c>
    </row>
    <row r="10329" spans="1:6" x14ac:dyDescent="0.25">
      <c r="A10329" s="1" t="s">
        <v>757</v>
      </c>
      <c r="B10329" s="1" t="s">
        <v>2287</v>
      </c>
      <c r="C10329" s="1" t="s">
        <v>486</v>
      </c>
      <c r="D10329" s="3">
        <f t="shared" si="1608"/>
        <v>8080</v>
      </c>
      <c r="E10329" s="2">
        <f t="shared" si="1609"/>
        <v>42826</v>
      </c>
      <c r="F10329" s="2">
        <f t="shared" si="1610"/>
        <v>42855</v>
      </c>
    </row>
    <row r="10330" spans="1:6" x14ac:dyDescent="0.25">
      <c r="A10330" s="1" t="s">
        <v>757</v>
      </c>
      <c r="B10330" s="1" t="s">
        <v>2287</v>
      </c>
      <c r="C10330" s="1" t="s">
        <v>62</v>
      </c>
      <c r="D10330" s="3">
        <f t="shared" si="1608"/>
        <v>8080</v>
      </c>
      <c r="E10330" s="2">
        <f t="shared" si="1609"/>
        <v>42826</v>
      </c>
      <c r="F10330" s="2">
        <f t="shared" si="1610"/>
        <v>42855</v>
      </c>
    </row>
    <row r="10331" spans="1:6" x14ac:dyDescent="0.25">
      <c r="A10331" s="1" t="s">
        <v>757</v>
      </c>
      <c r="B10331" s="1" t="s">
        <v>2287</v>
      </c>
      <c r="C10331" s="1" t="s">
        <v>72</v>
      </c>
      <c r="D10331" s="3">
        <f t="shared" si="1608"/>
        <v>8080</v>
      </c>
      <c r="E10331" s="2">
        <f t="shared" si="1609"/>
        <v>42826</v>
      </c>
      <c r="F10331" s="2">
        <f t="shared" si="1610"/>
        <v>42855</v>
      </c>
    </row>
    <row r="10332" spans="1:6" x14ac:dyDescent="0.25">
      <c r="A10332" s="1" t="s">
        <v>757</v>
      </c>
      <c r="B10332" s="1" t="s">
        <v>2287</v>
      </c>
      <c r="C10332" s="1" t="s">
        <v>73</v>
      </c>
      <c r="D10332" s="3">
        <f t="shared" si="1608"/>
        <v>8080</v>
      </c>
      <c r="E10332" s="2">
        <f t="shared" si="1609"/>
        <v>42826</v>
      </c>
      <c r="F10332" s="2">
        <f t="shared" si="1610"/>
        <v>42855</v>
      </c>
    </row>
    <row r="10333" spans="1:6" x14ac:dyDescent="0.25">
      <c r="A10333" s="1" t="s">
        <v>757</v>
      </c>
      <c r="B10333" s="1" t="s">
        <v>2287</v>
      </c>
      <c r="C10333" s="1" t="s">
        <v>52</v>
      </c>
      <c r="D10333" s="3">
        <f t="shared" si="1608"/>
        <v>8080</v>
      </c>
      <c r="E10333" s="2">
        <f t="shared" si="1609"/>
        <v>42826</v>
      </c>
      <c r="F10333" s="2">
        <f t="shared" si="1610"/>
        <v>42855</v>
      </c>
    </row>
    <row r="10334" spans="1:6" x14ac:dyDescent="0.25">
      <c r="A10334" s="1" t="s">
        <v>757</v>
      </c>
      <c r="B10334" s="1" t="s">
        <v>806</v>
      </c>
      <c r="C10334" s="1" t="s">
        <v>8</v>
      </c>
      <c r="D10334" s="3">
        <f t="shared" ref="D10334:D10371" si="1611">VALUE("8044")</f>
        <v>8044</v>
      </c>
      <c r="E10334" s="2">
        <f t="shared" ref="E10334:E10365" si="1612">DATEVALUE("1-2-2017")</f>
        <v>42767</v>
      </c>
      <c r="F10334" s="2">
        <f t="shared" ref="F10334:F10371" si="1613">DATEVALUE("28-2-2021")</f>
        <v>44255</v>
      </c>
    </row>
    <row r="10335" spans="1:6" x14ac:dyDescent="0.25">
      <c r="A10335" s="1" t="s">
        <v>757</v>
      </c>
      <c r="B10335" s="1" t="s">
        <v>806</v>
      </c>
      <c r="C10335" s="1" t="s">
        <v>10</v>
      </c>
      <c r="D10335" s="3">
        <f t="shared" si="1611"/>
        <v>8044</v>
      </c>
      <c r="E10335" s="2">
        <f t="shared" si="1612"/>
        <v>42767</v>
      </c>
      <c r="F10335" s="2">
        <f t="shared" si="1613"/>
        <v>44255</v>
      </c>
    </row>
    <row r="10336" spans="1:6" x14ac:dyDescent="0.25">
      <c r="A10336" s="1" t="s">
        <v>757</v>
      </c>
      <c r="B10336" s="1" t="s">
        <v>806</v>
      </c>
      <c r="C10336" s="1" t="s">
        <v>61</v>
      </c>
      <c r="D10336" s="3">
        <f t="shared" si="1611"/>
        <v>8044</v>
      </c>
      <c r="E10336" s="2">
        <f t="shared" si="1612"/>
        <v>42767</v>
      </c>
      <c r="F10336" s="2">
        <f t="shared" si="1613"/>
        <v>44255</v>
      </c>
    </row>
    <row r="10337" spans="1:6" x14ac:dyDescent="0.25">
      <c r="A10337" s="1" t="s">
        <v>757</v>
      </c>
      <c r="B10337" s="1" t="s">
        <v>806</v>
      </c>
      <c r="C10337" s="1" t="s">
        <v>486</v>
      </c>
      <c r="D10337" s="3">
        <f t="shared" si="1611"/>
        <v>8044</v>
      </c>
      <c r="E10337" s="2">
        <f t="shared" si="1612"/>
        <v>42767</v>
      </c>
      <c r="F10337" s="2">
        <f t="shared" si="1613"/>
        <v>44255</v>
      </c>
    </row>
    <row r="10338" spans="1:6" x14ac:dyDescent="0.25">
      <c r="A10338" s="1" t="s">
        <v>757</v>
      </c>
      <c r="B10338" s="1" t="s">
        <v>806</v>
      </c>
      <c r="C10338" s="1" t="s">
        <v>62</v>
      </c>
      <c r="D10338" s="3">
        <f t="shared" si="1611"/>
        <v>8044</v>
      </c>
      <c r="E10338" s="2">
        <f t="shared" si="1612"/>
        <v>42767</v>
      </c>
      <c r="F10338" s="2">
        <f t="shared" si="1613"/>
        <v>44255</v>
      </c>
    </row>
    <row r="10339" spans="1:6" x14ac:dyDescent="0.25">
      <c r="A10339" s="1" t="s">
        <v>757</v>
      </c>
      <c r="B10339" s="1" t="s">
        <v>806</v>
      </c>
      <c r="C10339" s="1" t="s">
        <v>63</v>
      </c>
      <c r="D10339" s="3">
        <f t="shared" si="1611"/>
        <v>8044</v>
      </c>
      <c r="E10339" s="2">
        <f t="shared" si="1612"/>
        <v>42767</v>
      </c>
      <c r="F10339" s="2">
        <f t="shared" si="1613"/>
        <v>44255</v>
      </c>
    </row>
    <row r="10340" spans="1:6" x14ac:dyDescent="0.25">
      <c r="A10340" s="1" t="s">
        <v>757</v>
      </c>
      <c r="B10340" s="1" t="s">
        <v>806</v>
      </c>
      <c r="C10340" s="1" t="s">
        <v>45</v>
      </c>
      <c r="D10340" s="3">
        <f t="shared" si="1611"/>
        <v>8044</v>
      </c>
      <c r="E10340" s="2">
        <f t="shared" si="1612"/>
        <v>42767</v>
      </c>
      <c r="F10340" s="2">
        <f t="shared" si="1613"/>
        <v>44255</v>
      </c>
    </row>
    <row r="10341" spans="1:6" x14ac:dyDescent="0.25">
      <c r="A10341" s="1" t="s">
        <v>757</v>
      </c>
      <c r="B10341" s="1" t="s">
        <v>806</v>
      </c>
      <c r="C10341" s="1" t="s">
        <v>44</v>
      </c>
      <c r="D10341" s="3">
        <f t="shared" si="1611"/>
        <v>8044</v>
      </c>
      <c r="E10341" s="2">
        <f t="shared" si="1612"/>
        <v>42767</v>
      </c>
      <c r="F10341" s="2">
        <f t="shared" si="1613"/>
        <v>44255</v>
      </c>
    </row>
    <row r="10342" spans="1:6" x14ac:dyDescent="0.25">
      <c r="A10342" s="1" t="s">
        <v>757</v>
      </c>
      <c r="B10342" s="1" t="s">
        <v>806</v>
      </c>
      <c r="C10342" s="1" t="s">
        <v>615</v>
      </c>
      <c r="D10342" s="3">
        <f t="shared" si="1611"/>
        <v>8044</v>
      </c>
      <c r="E10342" s="2">
        <f t="shared" si="1612"/>
        <v>42767</v>
      </c>
      <c r="F10342" s="2">
        <f t="shared" si="1613"/>
        <v>44255</v>
      </c>
    </row>
    <row r="10343" spans="1:6" x14ac:dyDescent="0.25">
      <c r="A10343" s="1" t="s">
        <v>757</v>
      </c>
      <c r="B10343" s="1" t="s">
        <v>806</v>
      </c>
      <c r="C10343" s="1" t="s">
        <v>319</v>
      </c>
      <c r="D10343" s="3">
        <f t="shared" si="1611"/>
        <v>8044</v>
      </c>
      <c r="E10343" s="2">
        <f t="shared" si="1612"/>
        <v>42767</v>
      </c>
      <c r="F10343" s="2">
        <f t="shared" si="1613"/>
        <v>44255</v>
      </c>
    </row>
    <row r="10344" spans="1:6" x14ac:dyDescent="0.25">
      <c r="A10344" s="1" t="s">
        <v>757</v>
      </c>
      <c r="B10344" s="1" t="s">
        <v>806</v>
      </c>
      <c r="C10344" s="1" t="s">
        <v>416</v>
      </c>
      <c r="D10344" s="3">
        <f t="shared" si="1611"/>
        <v>8044</v>
      </c>
      <c r="E10344" s="2">
        <f t="shared" si="1612"/>
        <v>42767</v>
      </c>
      <c r="F10344" s="2">
        <f t="shared" si="1613"/>
        <v>44255</v>
      </c>
    </row>
    <row r="10345" spans="1:6" x14ac:dyDescent="0.25">
      <c r="A10345" s="1" t="s">
        <v>757</v>
      </c>
      <c r="B10345" s="1" t="s">
        <v>806</v>
      </c>
      <c r="C10345" s="1" t="s">
        <v>14</v>
      </c>
      <c r="D10345" s="3">
        <f t="shared" si="1611"/>
        <v>8044</v>
      </c>
      <c r="E10345" s="2">
        <f t="shared" si="1612"/>
        <v>42767</v>
      </c>
      <c r="F10345" s="2">
        <f t="shared" si="1613"/>
        <v>44255</v>
      </c>
    </row>
    <row r="10346" spans="1:6" x14ac:dyDescent="0.25">
      <c r="A10346" s="1" t="s">
        <v>757</v>
      </c>
      <c r="B10346" s="1" t="s">
        <v>806</v>
      </c>
      <c r="C10346" s="1" t="s">
        <v>15</v>
      </c>
      <c r="D10346" s="3">
        <f t="shared" si="1611"/>
        <v>8044</v>
      </c>
      <c r="E10346" s="2">
        <f t="shared" si="1612"/>
        <v>42767</v>
      </c>
      <c r="F10346" s="2">
        <f t="shared" si="1613"/>
        <v>44255</v>
      </c>
    </row>
    <row r="10347" spans="1:6" x14ac:dyDescent="0.25">
      <c r="A10347" s="1" t="s">
        <v>757</v>
      </c>
      <c r="B10347" s="1" t="s">
        <v>806</v>
      </c>
      <c r="C10347" s="1" t="s">
        <v>16</v>
      </c>
      <c r="D10347" s="3">
        <f t="shared" si="1611"/>
        <v>8044</v>
      </c>
      <c r="E10347" s="2">
        <f t="shared" si="1612"/>
        <v>42767</v>
      </c>
      <c r="F10347" s="2">
        <f t="shared" si="1613"/>
        <v>44255</v>
      </c>
    </row>
    <row r="10348" spans="1:6" x14ac:dyDescent="0.25">
      <c r="A10348" s="1" t="s">
        <v>757</v>
      </c>
      <c r="B10348" s="1" t="s">
        <v>806</v>
      </c>
      <c r="C10348" s="1" t="s">
        <v>17</v>
      </c>
      <c r="D10348" s="3">
        <f t="shared" si="1611"/>
        <v>8044</v>
      </c>
      <c r="E10348" s="2">
        <f t="shared" si="1612"/>
        <v>42767</v>
      </c>
      <c r="F10348" s="2">
        <f t="shared" si="1613"/>
        <v>44255</v>
      </c>
    </row>
    <row r="10349" spans="1:6" x14ac:dyDescent="0.25">
      <c r="A10349" s="1" t="s">
        <v>757</v>
      </c>
      <c r="B10349" s="1" t="s">
        <v>806</v>
      </c>
      <c r="C10349" s="1" t="s">
        <v>19</v>
      </c>
      <c r="D10349" s="3">
        <f t="shared" si="1611"/>
        <v>8044</v>
      </c>
      <c r="E10349" s="2">
        <f t="shared" si="1612"/>
        <v>42767</v>
      </c>
      <c r="F10349" s="2">
        <f t="shared" si="1613"/>
        <v>44255</v>
      </c>
    </row>
    <row r="10350" spans="1:6" x14ac:dyDescent="0.25">
      <c r="A10350" s="1" t="s">
        <v>757</v>
      </c>
      <c r="B10350" s="1" t="s">
        <v>806</v>
      </c>
      <c r="C10350" s="1" t="s">
        <v>20</v>
      </c>
      <c r="D10350" s="3">
        <f t="shared" si="1611"/>
        <v>8044</v>
      </c>
      <c r="E10350" s="2">
        <f t="shared" si="1612"/>
        <v>42767</v>
      </c>
      <c r="F10350" s="2">
        <f t="shared" si="1613"/>
        <v>44255</v>
      </c>
    </row>
    <row r="10351" spans="1:6" x14ac:dyDescent="0.25">
      <c r="A10351" s="1" t="s">
        <v>757</v>
      </c>
      <c r="B10351" s="1" t="s">
        <v>806</v>
      </c>
      <c r="C10351" s="1" t="s">
        <v>22</v>
      </c>
      <c r="D10351" s="3">
        <f t="shared" si="1611"/>
        <v>8044</v>
      </c>
      <c r="E10351" s="2">
        <f t="shared" si="1612"/>
        <v>42767</v>
      </c>
      <c r="F10351" s="2">
        <f t="shared" si="1613"/>
        <v>44255</v>
      </c>
    </row>
    <row r="10352" spans="1:6" x14ac:dyDescent="0.25">
      <c r="A10352" s="1" t="s">
        <v>757</v>
      </c>
      <c r="B10352" s="1" t="s">
        <v>806</v>
      </c>
      <c r="C10352" s="1" t="s">
        <v>146</v>
      </c>
      <c r="D10352" s="3">
        <f t="shared" si="1611"/>
        <v>8044</v>
      </c>
      <c r="E10352" s="2">
        <f t="shared" si="1612"/>
        <v>42767</v>
      </c>
      <c r="F10352" s="2">
        <f t="shared" si="1613"/>
        <v>44255</v>
      </c>
    </row>
    <row r="10353" spans="1:6" x14ac:dyDescent="0.25">
      <c r="A10353" s="1" t="s">
        <v>757</v>
      </c>
      <c r="B10353" s="1" t="s">
        <v>806</v>
      </c>
      <c r="C10353" s="1" t="s">
        <v>67</v>
      </c>
      <c r="D10353" s="3">
        <f t="shared" si="1611"/>
        <v>8044</v>
      </c>
      <c r="E10353" s="2">
        <f t="shared" si="1612"/>
        <v>42767</v>
      </c>
      <c r="F10353" s="2">
        <f t="shared" si="1613"/>
        <v>44255</v>
      </c>
    </row>
    <row r="10354" spans="1:6" x14ac:dyDescent="0.25">
      <c r="A10354" s="1" t="s">
        <v>757</v>
      </c>
      <c r="B10354" s="1" t="s">
        <v>806</v>
      </c>
      <c r="C10354" s="1" t="s">
        <v>259</v>
      </c>
      <c r="D10354" s="3">
        <f t="shared" si="1611"/>
        <v>8044</v>
      </c>
      <c r="E10354" s="2">
        <f t="shared" si="1612"/>
        <v>42767</v>
      </c>
      <c r="F10354" s="2">
        <f t="shared" si="1613"/>
        <v>44255</v>
      </c>
    </row>
    <row r="10355" spans="1:6" x14ac:dyDescent="0.25">
      <c r="A10355" s="1" t="s">
        <v>757</v>
      </c>
      <c r="B10355" s="1" t="s">
        <v>806</v>
      </c>
      <c r="C10355" s="1" t="s">
        <v>148</v>
      </c>
      <c r="D10355" s="3">
        <f t="shared" si="1611"/>
        <v>8044</v>
      </c>
      <c r="E10355" s="2">
        <f t="shared" si="1612"/>
        <v>42767</v>
      </c>
      <c r="F10355" s="2">
        <f t="shared" si="1613"/>
        <v>44255</v>
      </c>
    </row>
    <row r="10356" spans="1:6" x14ac:dyDescent="0.25">
      <c r="A10356" s="1" t="s">
        <v>757</v>
      </c>
      <c r="B10356" s="1" t="s">
        <v>806</v>
      </c>
      <c r="C10356" s="1" t="s">
        <v>149</v>
      </c>
      <c r="D10356" s="3">
        <f t="shared" si="1611"/>
        <v>8044</v>
      </c>
      <c r="E10356" s="2">
        <f t="shared" si="1612"/>
        <v>42767</v>
      </c>
      <c r="F10356" s="2">
        <f t="shared" si="1613"/>
        <v>44255</v>
      </c>
    </row>
    <row r="10357" spans="1:6" x14ac:dyDescent="0.25">
      <c r="A10357" s="1" t="s">
        <v>757</v>
      </c>
      <c r="B10357" s="1" t="s">
        <v>806</v>
      </c>
      <c r="C10357" s="1" t="s">
        <v>92</v>
      </c>
      <c r="D10357" s="3">
        <f t="shared" si="1611"/>
        <v>8044</v>
      </c>
      <c r="E10357" s="2">
        <f t="shared" si="1612"/>
        <v>42767</v>
      </c>
      <c r="F10357" s="2">
        <f t="shared" si="1613"/>
        <v>44255</v>
      </c>
    </row>
    <row r="10358" spans="1:6" x14ac:dyDescent="0.25">
      <c r="A10358" s="1" t="s">
        <v>757</v>
      </c>
      <c r="B10358" s="1" t="s">
        <v>806</v>
      </c>
      <c r="C10358" s="1" t="s">
        <v>475</v>
      </c>
      <c r="D10358" s="3">
        <f t="shared" si="1611"/>
        <v>8044</v>
      </c>
      <c r="E10358" s="2">
        <f t="shared" si="1612"/>
        <v>42767</v>
      </c>
      <c r="F10358" s="2">
        <f t="shared" si="1613"/>
        <v>44255</v>
      </c>
    </row>
    <row r="10359" spans="1:6" x14ac:dyDescent="0.25">
      <c r="A10359" s="1" t="s">
        <v>757</v>
      </c>
      <c r="B10359" s="1" t="s">
        <v>806</v>
      </c>
      <c r="C10359" s="1" t="s">
        <v>24</v>
      </c>
      <c r="D10359" s="3">
        <f t="shared" si="1611"/>
        <v>8044</v>
      </c>
      <c r="E10359" s="2">
        <f t="shared" si="1612"/>
        <v>42767</v>
      </c>
      <c r="F10359" s="2">
        <f t="shared" si="1613"/>
        <v>44255</v>
      </c>
    </row>
    <row r="10360" spans="1:6" x14ac:dyDescent="0.25">
      <c r="A10360" s="1" t="s">
        <v>757</v>
      </c>
      <c r="B10360" s="1" t="s">
        <v>806</v>
      </c>
      <c r="C10360" s="1" t="s">
        <v>50</v>
      </c>
      <c r="D10360" s="3">
        <f t="shared" si="1611"/>
        <v>8044</v>
      </c>
      <c r="E10360" s="2">
        <f t="shared" si="1612"/>
        <v>42767</v>
      </c>
      <c r="F10360" s="2">
        <f t="shared" si="1613"/>
        <v>44255</v>
      </c>
    </row>
    <row r="10361" spans="1:6" x14ac:dyDescent="0.25">
      <c r="A10361" s="1" t="s">
        <v>757</v>
      </c>
      <c r="B10361" s="1" t="s">
        <v>806</v>
      </c>
      <c r="C10361" s="1" t="s">
        <v>70</v>
      </c>
      <c r="D10361" s="3">
        <f t="shared" si="1611"/>
        <v>8044</v>
      </c>
      <c r="E10361" s="2">
        <f t="shared" si="1612"/>
        <v>42767</v>
      </c>
      <c r="F10361" s="2">
        <f t="shared" si="1613"/>
        <v>44255</v>
      </c>
    </row>
    <row r="10362" spans="1:6" x14ac:dyDescent="0.25">
      <c r="A10362" s="1" t="s">
        <v>757</v>
      </c>
      <c r="B10362" s="1" t="s">
        <v>806</v>
      </c>
      <c r="C10362" s="1" t="s">
        <v>260</v>
      </c>
      <c r="D10362" s="3">
        <f t="shared" si="1611"/>
        <v>8044</v>
      </c>
      <c r="E10362" s="2">
        <f t="shared" si="1612"/>
        <v>42767</v>
      </c>
      <c r="F10362" s="2">
        <f t="shared" si="1613"/>
        <v>44255</v>
      </c>
    </row>
    <row r="10363" spans="1:6" x14ac:dyDescent="0.25">
      <c r="A10363" s="1" t="s">
        <v>757</v>
      </c>
      <c r="B10363" s="1" t="s">
        <v>806</v>
      </c>
      <c r="C10363" s="1" t="s">
        <v>261</v>
      </c>
      <c r="D10363" s="3">
        <f t="shared" si="1611"/>
        <v>8044</v>
      </c>
      <c r="E10363" s="2">
        <f t="shared" si="1612"/>
        <v>42767</v>
      </c>
      <c r="F10363" s="2">
        <f t="shared" si="1613"/>
        <v>44255</v>
      </c>
    </row>
    <row r="10364" spans="1:6" x14ac:dyDescent="0.25">
      <c r="A10364" s="1" t="s">
        <v>757</v>
      </c>
      <c r="B10364" s="1" t="s">
        <v>806</v>
      </c>
      <c r="C10364" s="1" t="s">
        <v>72</v>
      </c>
      <c r="D10364" s="3">
        <f t="shared" si="1611"/>
        <v>8044</v>
      </c>
      <c r="E10364" s="2">
        <f t="shared" si="1612"/>
        <v>42767</v>
      </c>
      <c r="F10364" s="2">
        <f t="shared" si="1613"/>
        <v>44255</v>
      </c>
    </row>
    <row r="10365" spans="1:6" x14ac:dyDescent="0.25">
      <c r="A10365" s="1" t="s">
        <v>757</v>
      </c>
      <c r="B10365" s="1" t="s">
        <v>806</v>
      </c>
      <c r="C10365" s="1" t="s">
        <v>337</v>
      </c>
      <c r="D10365" s="3">
        <f t="shared" si="1611"/>
        <v>8044</v>
      </c>
      <c r="E10365" s="2">
        <f t="shared" si="1612"/>
        <v>42767</v>
      </c>
      <c r="F10365" s="2">
        <f t="shared" si="1613"/>
        <v>44255</v>
      </c>
    </row>
    <row r="10366" spans="1:6" x14ac:dyDescent="0.25">
      <c r="A10366" s="1" t="s">
        <v>757</v>
      </c>
      <c r="B10366" s="1" t="s">
        <v>806</v>
      </c>
      <c r="C10366" s="1" t="s">
        <v>73</v>
      </c>
      <c r="D10366" s="3">
        <f t="shared" si="1611"/>
        <v>8044</v>
      </c>
      <c r="E10366" s="2">
        <f t="shared" ref="E10366:E10386" si="1614">DATEVALUE("1-2-2017")</f>
        <v>42767</v>
      </c>
      <c r="F10366" s="2">
        <f t="shared" si="1613"/>
        <v>44255</v>
      </c>
    </row>
    <row r="10367" spans="1:6" x14ac:dyDescent="0.25">
      <c r="A10367" s="1" t="s">
        <v>757</v>
      </c>
      <c r="B10367" s="1" t="s">
        <v>806</v>
      </c>
      <c r="C10367" s="1" t="s">
        <v>52</v>
      </c>
      <c r="D10367" s="3">
        <f t="shared" si="1611"/>
        <v>8044</v>
      </c>
      <c r="E10367" s="2">
        <f t="shared" si="1614"/>
        <v>42767</v>
      </c>
      <c r="F10367" s="2">
        <f t="shared" si="1613"/>
        <v>44255</v>
      </c>
    </row>
    <row r="10368" spans="1:6" x14ac:dyDescent="0.25">
      <c r="A10368" s="1" t="s">
        <v>757</v>
      </c>
      <c r="B10368" s="1" t="s">
        <v>806</v>
      </c>
      <c r="C10368" s="1" t="s">
        <v>338</v>
      </c>
      <c r="D10368" s="3">
        <f t="shared" si="1611"/>
        <v>8044</v>
      </c>
      <c r="E10368" s="2">
        <f t="shared" si="1614"/>
        <v>42767</v>
      </c>
      <c r="F10368" s="2">
        <f t="shared" si="1613"/>
        <v>44255</v>
      </c>
    </row>
    <row r="10369" spans="1:6" x14ac:dyDescent="0.25">
      <c r="A10369" s="1" t="s">
        <v>757</v>
      </c>
      <c r="B10369" s="1" t="s">
        <v>806</v>
      </c>
      <c r="C10369" s="1" t="s">
        <v>393</v>
      </c>
      <c r="D10369" s="3">
        <f t="shared" si="1611"/>
        <v>8044</v>
      </c>
      <c r="E10369" s="2">
        <f t="shared" si="1614"/>
        <v>42767</v>
      </c>
      <c r="F10369" s="2">
        <f t="shared" si="1613"/>
        <v>44255</v>
      </c>
    </row>
    <row r="10370" spans="1:6" x14ac:dyDescent="0.25">
      <c r="A10370" s="1" t="s">
        <v>757</v>
      </c>
      <c r="B10370" s="1" t="s">
        <v>806</v>
      </c>
      <c r="C10370" s="1" t="s">
        <v>34</v>
      </c>
      <c r="D10370" s="3">
        <f t="shared" si="1611"/>
        <v>8044</v>
      </c>
      <c r="E10370" s="2">
        <f t="shared" si="1614"/>
        <v>42767</v>
      </c>
      <c r="F10370" s="2">
        <f t="shared" si="1613"/>
        <v>44255</v>
      </c>
    </row>
    <row r="10371" spans="1:6" x14ac:dyDescent="0.25">
      <c r="A10371" s="1" t="s">
        <v>757</v>
      </c>
      <c r="B10371" s="1" t="s">
        <v>806</v>
      </c>
      <c r="C10371" s="1" t="s">
        <v>36</v>
      </c>
      <c r="D10371" s="3">
        <f t="shared" si="1611"/>
        <v>8044</v>
      </c>
      <c r="E10371" s="2">
        <f t="shared" si="1614"/>
        <v>42767</v>
      </c>
      <c r="F10371" s="2">
        <f t="shared" si="1613"/>
        <v>44255</v>
      </c>
    </row>
    <row r="10372" spans="1:6" x14ac:dyDescent="0.25">
      <c r="A10372" s="1" t="s">
        <v>757</v>
      </c>
      <c r="B10372" s="1" t="s">
        <v>2282</v>
      </c>
      <c r="C10372" s="1" t="s">
        <v>202</v>
      </c>
      <c r="D10372" s="3">
        <f t="shared" ref="D10372:D10386" si="1615">VALUE("8051")</f>
        <v>8051</v>
      </c>
      <c r="E10372" s="2">
        <f t="shared" si="1614"/>
        <v>42767</v>
      </c>
      <c r="F10372" s="2">
        <f t="shared" ref="F10372:F10386" si="1616">DATEVALUE("31-12-2017")</f>
        <v>43100</v>
      </c>
    </row>
    <row r="10373" spans="1:6" x14ac:dyDescent="0.25">
      <c r="A10373" s="1" t="s">
        <v>757</v>
      </c>
      <c r="B10373" s="1" t="s">
        <v>2282</v>
      </c>
      <c r="C10373" s="1" t="s">
        <v>60</v>
      </c>
      <c r="D10373" s="3">
        <f t="shared" si="1615"/>
        <v>8051</v>
      </c>
      <c r="E10373" s="2">
        <f t="shared" si="1614"/>
        <v>42767</v>
      </c>
      <c r="F10373" s="2">
        <f t="shared" si="1616"/>
        <v>43100</v>
      </c>
    </row>
    <row r="10374" spans="1:6" x14ac:dyDescent="0.25">
      <c r="A10374" s="1" t="s">
        <v>757</v>
      </c>
      <c r="B10374" s="1" t="s">
        <v>2282</v>
      </c>
      <c r="C10374" s="1" t="s">
        <v>66</v>
      </c>
      <c r="D10374" s="3">
        <f t="shared" si="1615"/>
        <v>8051</v>
      </c>
      <c r="E10374" s="2">
        <f t="shared" si="1614"/>
        <v>42767</v>
      </c>
      <c r="F10374" s="2">
        <f t="shared" si="1616"/>
        <v>43100</v>
      </c>
    </row>
    <row r="10375" spans="1:6" x14ac:dyDescent="0.25">
      <c r="A10375" s="1" t="s">
        <v>757</v>
      </c>
      <c r="B10375" s="1" t="s">
        <v>2282</v>
      </c>
      <c r="C10375" s="1" t="s">
        <v>17</v>
      </c>
      <c r="D10375" s="3">
        <f t="shared" si="1615"/>
        <v>8051</v>
      </c>
      <c r="E10375" s="2">
        <f t="shared" si="1614"/>
        <v>42767</v>
      </c>
      <c r="F10375" s="2">
        <f t="shared" si="1616"/>
        <v>43100</v>
      </c>
    </row>
    <row r="10376" spans="1:6" x14ac:dyDescent="0.25">
      <c r="A10376" s="1" t="s">
        <v>757</v>
      </c>
      <c r="B10376" s="1" t="s">
        <v>2282</v>
      </c>
      <c r="C10376" s="1" t="s">
        <v>67</v>
      </c>
      <c r="D10376" s="3">
        <f t="shared" si="1615"/>
        <v>8051</v>
      </c>
      <c r="E10376" s="2">
        <f t="shared" si="1614"/>
        <v>42767</v>
      </c>
      <c r="F10376" s="2">
        <f t="shared" si="1616"/>
        <v>43100</v>
      </c>
    </row>
    <row r="10377" spans="1:6" x14ac:dyDescent="0.25">
      <c r="A10377" s="1" t="s">
        <v>757</v>
      </c>
      <c r="B10377" s="1" t="s">
        <v>2282</v>
      </c>
      <c r="C10377" s="1" t="s">
        <v>149</v>
      </c>
      <c r="D10377" s="3">
        <f t="shared" si="1615"/>
        <v>8051</v>
      </c>
      <c r="E10377" s="2">
        <f t="shared" si="1614"/>
        <v>42767</v>
      </c>
      <c r="F10377" s="2">
        <f t="shared" si="1616"/>
        <v>43100</v>
      </c>
    </row>
    <row r="10378" spans="1:6" x14ac:dyDescent="0.25">
      <c r="A10378" s="1" t="s">
        <v>757</v>
      </c>
      <c r="B10378" s="1" t="s">
        <v>2282</v>
      </c>
      <c r="C10378" s="1" t="s">
        <v>150</v>
      </c>
      <c r="D10378" s="3">
        <f t="shared" si="1615"/>
        <v>8051</v>
      </c>
      <c r="E10378" s="2">
        <f t="shared" si="1614"/>
        <v>42767</v>
      </c>
      <c r="F10378" s="2">
        <f t="shared" si="1616"/>
        <v>43100</v>
      </c>
    </row>
    <row r="10379" spans="1:6" x14ac:dyDescent="0.25">
      <c r="A10379" s="1" t="s">
        <v>757</v>
      </c>
      <c r="B10379" s="1" t="s">
        <v>2282</v>
      </c>
      <c r="C10379" s="1" t="s">
        <v>205</v>
      </c>
      <c r="D10379" s="3">
        <f t="shared" si="1615"/>
        <v>8051</v>
      </c>
      <c r="E10379" s="2">
        <f t="shared" si="1614"/>
        <v>42767</v>
      </c>
      <c r="F10379" s="2">
        <f t="shared" si="1616"/>
        <v>43100</v>
      </c>
    </row>
    <row r="10380" spans="1:6" x14ac:dyDescent="0.25">
      <c r="A10380" s="1" t="s">
        <v>757</v>
      </c>
      <c r="B10380" s="1" t="s">
        <v>2282</v>
      </c>
      <c r="C10380" s="1" t="s">
        <v>204</v>
      </c>
      <c r="D10380" s="3">
        <f t="shared" si="1615"/>
        <v>8051</v>
      </c>
      <c r="E10380" s="2">
        <f t="shared" si="1614"/>
        <v>42767</v>
      </c>
      <c r="F10380" s="2">
        <f t="shared" si="1616"/>
        <v>43100</v>
      </c>
    </row>
    <row r="10381" spans="1:6" x14ac:dyDescent="0.25">
      <c r="A10381" s="1" t="s">
        <v>757</v>
      </c>
      <c r="B10381" s="1" t="s">
        <v>2282</v>
      </c>
      <c r="C10381" s="1" t="s">
        <v>207</v>
      </c>
      <c r="D10381" s="3">
        <f t="shared" si="1615"/>
        <v>8051</v>
      </c>
      <c r="E10381" s="2">
        <f t="shared" si="1614"/>
        <v>42767</v>
      </c>
      <c r="F10381" s="2">
        <f t="shared" si="1616"/>
        <v>43100</v>
      </c>
    </row>
    <row r="10382" spans="1:6" x14ac:dyDescent="0.25">
      <c r="A10382" s="1" t="s">
        <v>757</v>
      </c>
      <c r="B10382" s="1" t="s">
        <v>2282</v>
      </c>
      <c r="C10382" s="1" t="s">
        <v>208</v>
      </c>
      <c r="D10382" s="3">
        <f t="shared" si="1615"/>
        <v>8051</v>
      </c>
      <c r="E10382" s="2">
        <f t="shared" si="1614"/>
        <v>42767</v>
      </c>
      <c r="F10382" s="2">
        <f t="shared" si="1616"/>
        <v>43100</v>
      </c>
    </row>
    <row r="10383" spans="1:6" x14ac:dyDescent="0.25">
      <c r="A10383" s="1" t="s">
        <v>757</v>
      </c>
      <c r="B10383" s="1" t="s">
        <v>2282</v>
      </c>
      <c r="C10383" s="1" t="s">
        <v>71</v>
      </c>
      <c r="D10383" s="3">
        <f t="shared" si="1615"/>
        <v>8051</v>
      </c>
      <c r="E10383" s="2">
        <f t="shared" si="1614"/>
        <v>42767</v>
      </c>
      <c r="F10383" s="2">
        <f t="shared" si="1616"/>
        <v>43100</v>
      </c>
    </row>
    <row r="10384" spans="1:6" x14ac:dyDescent="0.25">
      <c r="A10384" s="1" t="s">
        <v>757</v>
      </c>
      <c r="B10384" s="1" t="s">
        <v>2282</v>
      </c>
      <c r="C10384" s="1" t="s">
        <v>100</v>
      </c>
      <c r="D10384" s="3">
        <f t="shared" si="1615"/>
        <v>8051</v>
      </c>
      <c r="E10384" s="2">
        <f t="shared" si="1614"/>
        <v>42767</v>
      </c>
      <c r="F10384" s="2">
        <f t="shared" si="1616"/>
        <v>43100</v>
      </c>
    </row>
    <row r="10385" spans="1:6" x14ac:dyDescent="0.25">
      <c r="A10385" s="1" t="s">
        <v>757</v>
      </c>
      <c r="B10385" s="1" t="s">
        <v>2282</v>
      </c>
      <c r="C10385" s="1" t="s">
        <v>51</v>
      </c>
      <c r="D10385" s="3">
        <f t="shared" si="1615"/>
        <v>8051</v>
      </c>
      <c r="E10385" s="2">
        <f t="shared" si="1614"/>
        <v>42767</v>
      </c>
      <c r="F10385" s="2">
        <f t="shared" si="1616"/>
        <v>43100</v>
      </c>
    </row>
    <row r="10386" spans="1:6" x14ac:dyDescent="0.25">
      <c r="A10386" s="1" t="s">
        <v>757</v>
      </c>
      <c r="B10386" s="1" t="s">
        <v>2282</v>
      </c>
      <c r="C10386" s="1" t="s">
        <v>160</v>
      </c>
      <c r="D10386" s="3">
        <f t="shared" si="1615"/>
        <v>8051</v>
      </c>
      <c r="E10386" s="2">
        <f t="shared" si="1614"/>
        <v>42767</v>
      </c>
      <c r="F10386" s="2">
        <f t="shared" si="1616"/>
        <v>43100</v>
      </c>
    </row>
    <row r="10387" spans="1:6" x14ac:dyDescent="0.25">
      <c r="A10387" s="1" t="s">
        <v>757</v>
      </c>
      <c r="B10387" s="1" t="s">
        <v>2272</v>
      </c>
      <c r="C10387" s="1" t="s">
        <v>39</v>
      </c>
      <c r="D10387" s="3">
        <f t="shared" ref="D10387:D10420" si="1617">VALUE("8040")</f>
        <v>8040</v>
      </c>
      <c r="E10387" s="2">
        <f t="shared" ref="E10387:E10420" si="1618">DATEVALUE("1-1-2017")</f>
        <v>42736</v>
      </c>
      <c r="F10387" s="2">
        <f t="shared" ref="F10387:F10418" si="1619">DATEVALUE("31-12-2018")</f>
        <v>43465</v>
      </c>
    </row>
    <row r="10388" spans="1:6" x14ac:dyDescent="0.25">
      <c r="A10388" s="1" t="s">
        <v>757</v>
      </c>
      <c r="B10388" s="1" t="s">
        <v>2272</v>
      </c>
      <c r="C10388" s="1" t="s">
        <v>256</v>
      </c>
      <c r="D10388" s="3">
        <f t="shared" si="1617"/>
        <v>8040</v>
      </c>
      <c r="E10388" s="2">
        <f t="shared" si="1618"/>
        <v>42736</v>
      </c>
      <c r="F10388" s="2">
        <f t="shared" si="1619"/>
        <v>43465</v>
      </c>
    </row>
    <row r="10389" spans="1:6" x14ac:dyDescent="0.25">
      <c r="A10389" s="1" t="s">
        <v>757</v>
      </c>
      <c r="B10389" s="1" t="s">
        <v>2272</v>
      </c>
      <c r="C10389" s="1" t="s">
        <v>43</v>
      </c>
      <c r="D10389" s="3">
        <f t="shared" si="1617"/>
        <v>8040</v>
      </c>
      <c r="E10389" s="2">
        <f t="shared" si="1618"/>
        <v>42736</v>
      </c>
      <c r="F10389" s="2">
        <f t="shared" si="1619"/>
        <v>43465</v>
      </c>
    </row>
    <row r="10390" spans="1:6" x14ac:dyDescent="0.25">
      <c r="A10390" s="1" t="s">
        <v>757</v>
      </c>
      <c r="B10390" s="1" t="s">
        <v>2272</v>
      </c>
      <c r="C10390" s="1" t="s">
        <v>346</v>
      </c>
      <c r="D10390" s="3">
        <f t="shared" si="1617"/>
        <v>8040</v>
      </c>
      <c r="E10390" s="2">
        <f t="shared" si="1618"/>
        <v>42736</v>
      </c>
      <c r="F10390" s="2">
        <f t="shared" si="1619"/>
        <v>43465</v>
      </c>
    </row>
    <row r="10391" spans="1:6" x14ac:dyDescent="0.25">
      <c r="A10391" s="1" t="s">
        <v>757</v>
      </c>
      <c r="B10391" s="1" t="s">
        <v>2272</v>
      </c>
      <c r="C10391" s="1" t="s">
        <v>140</v>
      </c>
      <c r="D10391" s="3">
        <f t="shared" si="1617"/>
        <v>8040</v>
      </c>
      <c r="E10391" s="2">
        <f t="shared" si="1618"/>
        <v>42736</v>
      </c>
      <c r="F10391" s="2">
        <f t="shared" si="1619"/>
        <v>43465</v>
      </c>
    </row>
    <row r="10392" spans="1:6" x14ac:dyDescent="0.25">
      <c r="A10392" s="1" t="s">
        <v>757</v>
      </c>
      <c r="B10392" s="1" t="s">
        <v>2272</v>
      </c>
      <c r="C10392" s="1" t="s">
        <v>141</v>
      </c>
      <c r="D10392" s="3">
        <f t="shared" si="1617"/>
        <v>8040</v>
      </c>
      <c r="E10392" s="2">
        <f t="shared" si="1618"/>
        <v>42736</v>
      </c>
      <c r="F10392" s="2">
        <f t="shared" si="1619"/>
        <v>43465</v>
      </c>
    </row>
    <row r="10393" spans="1:6" x14ac:dyDescent="0.25">
      <c r="A10393" s="1" t="s">
        <v>757</v>
      </c>
      <c r="B10393" s="1" t="s">
        <v>2272</v>
      </c>
      <c r="C10393" s="1" t="s">
        <v>14</v>
      </c>
      <c r="D10393" s="3">
        <f t="shared" si="1617"/>
        <v>8040</v>
      </c>
      <c r="E10393" s="2">
        <f t="shared" si="1618"/>
        <v>42736</v>
      </c>
      <c r="F10393" s="2">
        <f t="shared" si="1619"/>
        <v>43465</v>
      </c>
    </row>
    <row r="10394" spans="1:6" x14ac:dyDescent="0.25">
      <c r="A10394" s="1" t="s">
        <v>757</v>
      </c>
      <c r="B10394" s="1" t="s">
        <v>2272</v>
      </c>
      <c r="C10394" s="1" t="s">
        <v>15</v>
      </c>
      <c r="D10394" s="3">
        <f t="shared" si="1617"/>
        <v>8040</v>
      </c>
      <c r="E10394" s="2">
        <f t="shared" si="1618"/>
        <v>42736</v>
      </c>
      <c r="F10394" s="2">
        <f t="shared" si="1619"/>
        <v>43465</v>
      </c>
    </row>
    <row r="10395" spans="1:6" x14ac:dyDescent="0.25">
      <c r="A10395" s="1" t="s">
        <v>757</v>
      </c>
      <c r="B10395" s="1" t="s">
        <v>2272</v>
      </c>
      <c r="C10395" s="1" t="s">
        <v>17</v>
      </c>
      <c r="D10395" s="3">
        <f t="shared" si="1617"/>
        <v>8040</v>
      </c>
      <c r="E10395" s="2">
        <f t="shared" si="1618"/>
        <v>42736</v>
      </c>
      <c r="F10395" s="2">
        <f t="shared" si="1619"/>
        <v>43465</v>
      </c>
    </row>
    <row r="10396" spans="1:6" x14ac:dyDescent="0.25">
      <c r="A10396" s="1" t="s">
        <v>757</v>
      </c>
      <c r="B10396" s="1" t="s">
        <v>2272</v>
      </c>
      <c r="C10396" s="1" t="s">
        <v>22</v>
      </c>
      <c r="D10396" s="3">
        <f t="shared" si="1617"/>
        <v>8040</v>
      </c>
      <c r="E10396" s="2">
        <f t="shared" si="1618"/>
        <v>42736</v>
      </c>
      <c r="F10396" s="2">
        <f t="shared" si="1619"/>
        <v>43465</v>
      </c>
    </row>
    <row r="10397" spans="1:6" x14ac:dyDescent="0.25">
      <c r="A10397" s="1" t="s">
        <v>757</v>
      </c>
      <c r="B10397" s="1" t="s">
        <v>2272</v>
      </c>
      <c r="C10397" s="1" t="s">
        <v>146</v>
      </c>
      <c r="D10397" s="3">
        <f t="shared" si="1617"/>
        <v>8040</v>
      </c>
      <c r="E10397" s="2">
        <f t="shared" si="1618"/>
        <v>42736</v>
      </c>
      <c r="F10397" s="2">
        <f t="shared" si="1619"/>
        <v>43465</v>
      </c>
    </row>
    <row r="10398" spans="1:6" x14ac:dyDescent="0.25">
      <c r="A10398" s="1" t="s">
        <v>757</v>
      </c>
      <c r="B10398" s="1" t="s">
        <v>2272</v>
      </c>
      <c r="C10398" s="1" t="s">
        <v>67</v>
      </c>
      <c r="D10398" s="3">
        <f t="shared" si="1617"/>
        <v>8040</v>
      </c>
      <c r="E10398" s="2">
        <f t="shared" si="1618"/>
        <v>42736</v>
      </c>
      <c r="F10398" s="2">
        <f t="shared" si="1619"/>
        <v>43465</v>
      </c>
    </row>
    <row r="10399" spans="1:6" x14ac:dyDescent="0.25">
      <c r="A10399" s="1" t="s">
        <v>757</v>
      </c>
      <c r="B10399" s="1" t="s">
        <v>2272</v>
      </c>
      <c r="C10399" s="1" t="s">
        <v>384</v>
      </c>
      <c r="D10399" s="3">
        <f t="shared" si="1617"/>
        <v>8040</v>
      </c>
      <c r="E10399" s="2">
        <f t="shared" si="1618"/>
        <v>42736</v>
      </c>
      <c r="F10399" s="2">
        <f t="shared" si="1619"/>
        <v>43465</v>
      </c>
    </row>
    <row r="10400" spans="1:6" x14ac:dyDescent="0.25">
      <c r="A10400" s="1" t="s">
        <v>757</v>
      </c>
      <c r="B10400" s="1" t="s">
        <v>2272</v>
      </c>
      <c r="C10400" s="1" t="s">
        <v>148</v>
      </c>
      <c r="D10400" s="3">
        <f t="shared" si="1617"/>
        <v>8040</v>
      </c>
      <c r="E10400" s="2">
        <f t="shared" si="1618"/>
        <v>42736</v>
      </c>
      <c r="F10400" s="2">
        <f t="shared" si="1619"/>
        <v>43465</v>
      </c>
    </row>
    <row r="10401" spans="1:6" x14ac:dyDescent="0.25">
      <c r="A10401" s="1" t="s">
        <v>757</v>
      </c>
      <c r="B10401" s="1" t="s">
        <v>2272</v>
      </c>
      <c r="C10401" s="1" t="s">
        <v>149</v>
      </c>
      <c r="D10401" s="3">
        <f t="shared" si="1617"/>
        <v>8040</v>
      </c>
      <c r="E10401" s="2">
        <f t="shared" si="1618"/>
        <v>42736</v>
      </c>
      <c r="F10401" s="2">
        <f t="shared" si="1619"/>
        <v>43465</v>
      </c>
    </row>
    <row r="10402" spans="1:6" x14ac:dyDescent="0.25">
      <c r="A10402" s="1" t="s">
        <v>757</v>
      </c>
      <c r="B10402" s="1" t="s">
        <v>2272</v>
      </c>
      <c r="C10402" s="1" t="s">
        <v>150</v>
      </c>
      <c r="D10402" s="3">
        <f t="shared" si="1617"/>
        <v>8040</v>
      </c>
      <c r="E10402" s="2">
        <f t="shared" si="1618"/>
        <v>42736</v>
      </c>
      <c r="F10402" s="2">
        <f t="shared" si="1619"/>
        <v>43465</v>
      </c>
    </row>
    <row r="10403" spans="1:6" x14ac:dyDescent="0.25">
      <c r="A10403" s="1" t="s">
        <v>757</v>
      </c>
      <c r="B10403" s="1" t="s">
        <v>2272</v>
      </c>
      <c r="C10403" s="1" t="s">
        <v>151</v>
      </c>
      <c r="D10403" s="3">
        <f t="shared" si="1617"/>
        <v>8040</v>
      </c>
      <c r="E10403" s="2">
        <f t="shared" si="1618"/>
        <v>42736</v>
      </c>
      <c r="F10403" s="2">
        <f t="shared" si="1619"/>
        <v>43465</v>
      </c>
    </row>
    <row r="10404" spans="1:6" x14ac:dyDescent="0.25">
      <c r="A10404" s="1" t="s">
        <v>757</v>
      </c>
      <c r="B10404" s="1" t="s">
        <v>2272</v>
      </c>
      <c r="C10404" s="1" t="s">
        <v>94</v>
      </c>
      <c r="D10404" s="3">
        <f t="shared" si="1617"/>
        <v>8040</v>
      </c>
      <c r="E10404" s="2">
        <f t="shared" si="1618"/>
        <v>42736</v>
      </c>
      <c r="F10404" s="2">
        <f t="shared" si="1619"/>
        <v>43465</v>
      </c>
    </row>
    <row r="10405" spans="1:6" x14ac:dyDescent="0.25">
      <c r="A10405" s="1" t="s">
        <v>757</v>
      </c>
      <c r="B10405" s="1" t="s">
        <v>2272</v>
      </c>
      <c r="C10405" s="1" t="s">
        <v>95</v>
      </c>
      <c r="D10405" s="3">
        <f t="shared" si="1617"/>
        <v>8040</v>
      </c>
      <c r="E10405" s="2">
        <f t="shared" si="1618"/>
        <v>42736</v>
      </c>
      <c r="F10405" s="2">
        <f t="shared" si="1619"/>
        <v>43465</v>
      </c>
    </row>
    <row r="10406" spans="1:6" x14ac:dyDescent="0.25">
      <c r="A10406" s="1" t="s">
        <v>757</v>
      </c>
      <c r="B10406" s="1" t="s">
        <v>2272</v>
      </c>
      <c r="C10406" s="1" t="s">
        <v>24</v>
      </c>
      <c r="D10406" s="3">
        <f t="shared" si="1617"/>
        <v>8040</v>
      </c>
      <c r="E10406" s="2">
        <f t="shared" si="1618"/>
        <v>42736</v>
      </c>
      <c r="F10406" s="2">
        <f t="shared" si="1619"/>
        <v>43465</v>
      </c>
    </row>
    <row r="10407" spans="1:6" x14ac:dyDescent="0.25">
      <c r="A10407" s="1" t="s">
        <v>757</v>
      </c>
      <c r="B10407" s="1" t="s">
        <v>2272</v>
      </c>
      <c r="C10407" s="1" t="s">
        <v>50</v>
      </c>
      <c r="D10407" s="3">
        <f t="shared" si="1617"/>
        <v>8040</v>
      </c>
      <c r="E10407" s="2">
        <f t="shared" si="1618"/>
        <v>42736</v>
      </c>
      <c r="F10407" s="2">
        <f t="shared" si="1619"/>
        <v>43465</v>
      </c>
    </row>
    <row r="10408" spans="1:6" x14ac:dyDescent="0.25">
      <c r="A10408" s="1" t="s">
        <v>757</v>
      </c>
      <c r="B10408" s="1" t="s">
        <v>2272</v>
      </c>
      <c r="C10408" s="1" t="s">
        <v>494</v>
      </c>
      <c r="D10408" s="3">
        <f t="shared" si="1617"/>
        <v>8040</v>
      </c>
      <c r="E10408" s="2">
        <f t="shared" si="1618"/>
        <v>42736</v>
      </c>
      <c r="F10408" s="2">
        <f t="shared" si="1619"/>
        <v>43465</v>
      </c>
    </row>
    <row r="10409" spans="1:6" x14ac:dyDescent="0.25">
      <c r="A10409" s="1" t="s">
        <v>757</v>
      </c>
      <c r="B10409" s="1" t="s">
        <v>2272</v>
      </c>
      <c r="C10409" s="1" t="s">
        <v>99</v>
      </c>
      <c r="D10409" s="3">
        <f t="shared" si="1617"/>
        <v>8040</v>
      </c>
      <c r="E10409" s="2">
        <f t="shared" si="1618"/>
        <v>42736</v>
      </c>
      <c r="F10409" s="2">
        <f t="shared" si="1619"/>
        <v>43465</v>
      </c>
    </row>
    <row r="10410" spans="1:6" x14ac:dyDescent="0.25">
      <c r="A10410" s="1" t="s">
        <v>757</v>
      </c>
      <c r="B10410" s="1" t="s">
        <v>2272</v>
      </c>
      <c r="C10410" s="1" t="s">
        <v>100</v>
      </c>
      <c r="D10410" s="3">
        <f t="shared" si="1617"/>
        <v>8040</v>
      </c>
      <c r="E10410" s="2">
        <f t="shared" si="1618"/>
        <v>42736</v>
      </c>
      <c r="F10410" s="2">
        <f t="shared" si="1619"/>
        <v>43465</v>
      </c>
    </row>
    <row r="10411" spans="1:6" x14ac:dyDescent="0.25">
      <c r="A10411" s="1" t="s">
        <v>757</v>
      </c>
      <c r="B10411" s="1" t="s">
        <v>2272</v>
      </c>
      <c r="C10411" s="1" t="s">
        <v>495</v>
      </c>
      <c r="D10411" s="3">
        <f t="shared" si="1617"/>
        <v>8040</v>
      </c>
      <c r="E10411" s="2">
        <f t="shared" si="1618"/>
        <v>42736</v>
      </c>
      <c r="F10411" s="2">
        <f t="shared" si="1619"/>
        <v>43465</v>
      </c>
    </row>
    <row r="10412" spans="1:6" x14ac:dyDescent="0.25">
      <c r="A10412" s="1" t="s">
        <v>757</v>
      </c>
      <c r="B10412" s="1" t="s">
        <v>2272</v>
      </c>
      <c r="C10412" s="1" t="s">
        <v>350</v>
      </c>
      <c r="D10412" s="3">
        <f t="shared" si="1617"/>
        <v>8040</v>
      </c>
      <c r="E10412" s="2">
        <f t="shared" si="1618"/>
        <v>42736</v>
      </c>
      <c r="F10412" s="2">
        <f t="shared" si="1619"/>
        <v>43465</v>
      </c>
    </row>
    <row r="10413" spans="1:6" x14ac:dyDescent="0.25">
      <c r="A10413" s="1" t="s">
        <v>757</v>
      </c>
      <c r="B10413" s="1" t="s">
        <v>2272</v>
      </c>
      <c r="C10413" s="1" t="s">
        <v>351</v>
      </c>
      <c r="D10413" s="3">
        <f t="shared" si="1617"/>
        <v>8040</v>
      </c>
      <c r="E10413" s="2">
        <f t="shared" si="1618"/>
        <v>42736</v>
      </c>
      <c r="F10413" s="2">
        <f t="shared" si="1619"/>
        <v>43465</v>
      </c>
    </row>
    <row r="10414" spans="1:6" x14ac:dyDescent="0.25">
      <c r="A10414" s="1" t="s">
        <v>757</v>
      </c>
      <c r="B10414" s="1" t="s">
        <v>2272</v>
      </c>
      <c r="C10414" s="1" t="s">
        <v>160</v>
      </c>
      <c r="D10414" s="3">
        <f t="shared" si="1617"/>
        <v>8040</v>
      </c>
      <c r="E10414" s="2">
        <f t="shared" si="1618"/>
        <v>42736</v>
      </c>
      <c r="F10414" s="2">
        <f t="shared" si="1619"/>
        <v>43465</v>
      </c>
    </row>
    <row r="10415" spans="1:6" x14ac:dyDescent="0.25">
      <c r="A10415" s="1" t="s">
        <v>757</v>
      </c>
      <c r="B10415" s="1" t="s">
        <v>2272</v>
      </c>
      <c r="C10415" s="1" t="s">
        <v>34</v>
      </c>
      <c r="D10415" s="3">
        <f t="shared" si="1617"/>
        <v>8040</v>
      </c>
      <c r="E10415" s="2">
        <f t="shared" si="1618"/>
        <v>42736</v>
      </c>
      <c r="F10415" s="2">
        <f t="shared" si="1619"/>
        <v>43465</v>
      </c>
    </row>
    <row r="10416" spans="1:6" x14ac:dyDescent="0.25">
      <c r="A10416" s="1" t="s">
        <v>757</v>
      </c>
      <c r="B10416" s="1" t="s">
        <v>2272</v>
      </c>
      <c r="C10416" s="1" t="s">
        <v>519</v>
      </c>
      <c r="D10416" s="3">
        <f t="shared" si="1617"/>
        <v>8040</v>
      </c>
      <c r="E10416" s="2">
        <f t="shared" si="1618"/>
        <v>42736</v>
      </c>
      <c r="F10416" s="2">
        <f t="shared" si="1619"/>
        <v>43465</v>
      </c>
    </row>
    <row r="10417" spans="1:6" x14ac:dyDescent="0.25">
      <c r="A10417" s="1" t="s">
        <v>757</v>
      </c>
      <c r="B10417" s="1" t="s">
        <v>2272</v>
      </c>
      <c r="C10417" s="1" t="s">
        <v>57</v>
      </c>
      <c r="D10417" s="3">
        <f t="shared" si="1617"/>
        <v>8040</v>
      </c>
      <c r="E10417" s="2">
        <f t="shared" si="1618"/>
        <v>42736</v>
      </c>
      <c r="F10417" s="2">
        <f t="shared" si="1619"/>
        <v>43465</v>
      </c>
    </row>
    <row r="10418" spans="1:6" x14ac:dyDescent="0.25">
      <c r="A10418" s="1" t="s">
        <v>757</v>
      </c>
      <c r="B10418" s="1" t="s">
        <v>2272</v>
      </c>
      <c r="C10418" s="1" t="s">
        <v>36</v>
      </c>
      <c r="D10418" s="3">
        <f t="shared" si="1617"/>
        <v>8040</v>
      </c>
      <c r="E10418" s="2">
        <f t="shared" si="1618"/>
        <v>42736</v>
      </c>
      <c r="F10418" s="2">
        <f t="shared" si="1619"/>
        <v>43465</v>
      </c>
    </row>
    <row r="10419" spans="1:6" x14ac:dyDescent="0.25">
      <c r="A10419" s="1" t="s">
        <v>757</v>
      </c>
      <c r="B10419" s="1" t="s">
        <v>2272</v>
      </c>
      <c r="C10419" s="1" t="s">
        <v>169</v>
      </c>
      <c r="D10419" s="3">
        <f t="shared" si="1617"/>
        <v>8040</v>
      </c>
      <c r="E10419" s="2">
        <f t="shared" si="1618"/>
        <v>42736</v>
      </c>
      <c r="F10419" s="2">
        <f t="shared" ref="F10419:F10435" si="1620">DATEVALUE("31-12-2018")</f>
        <v>43465</v>
      </c>
    </row>
    <row r="10420" spans="1:6" x14ac:dyDescent="0.25">
      <c r="A10420" s="1" t="s">
        <v>757</v>
      </c>
      <c r="B10420" s="1" t="s">
        <v>2272</v>
      </c>
      <c r="C10420" s="1" t="s">
        <v>170</v>
      </c>
      <c r="D10420" s="3">
        <f t="shared" si="1617"/>
        <v>8040</v>
      </c>
      <c r="E10420" s="2">
        <f t="shared" si="1618"/>
        <v>42736</v>
      </c>
      <c r="F10420" s="2">
        <f t="shared" si="1620"/>
        <v>43465</v>
      </c>
    </row>
    <row r="10421" spans="1:6" x14ac:dyDescent="0.25">
      <c r="A10421" s="1" t="s">
        <v>757</v>
      </c>
      <c r="B10421" s="1" t="s">
        <v>2023</v>
      </c>
      <c r="C10421" s="1" t="s">
        <v>8</v>
      </c>
      <c r="D10421" s="3">
        <f t="shared" ref="D10421:D10435" si="1621">VALUE("8022")</f>
        <v>8022</v>
      </c>
      <c r="E10421" s="2">
        <f t="shared" ref="E10421:E10437" si="1622">DATEVALUE("1-12-2016")</f>
        <v>42705</v>
      </c>
      <c r="F10421" s="2">
        <f t="shared" si="1620"/>
        <v>43465</v>
      </c>
    </row>
    <row r="10422" spans="1:6" x14ac:dyDescent="0.25">
      <c r="A10422" s="1" t="s">
        <v>757</v>
      </c>
      <c r="B10422" s="1" t="s">
        <v>2023</v>
      </c>
      <c r="C10422" s="1" t="s">
        <v>10</v>
      </c>
      <c r="D10422" s="3">
        <f t="shared" si="1621"/>
        <v>8022</v>
      </c>
      <c r="E10422" s="2">
        <f t="shared" si="1622"/>
        <v>42705</v>
      </c>
      <c r="F10422" s="2">
        <f t="shared" si="1620"/>
        <v>43465</v>
      </c>
    </row>
    <row r="10423" spans="1:6" x14ac:dyDescent="0.25">
      <c r="A10423" s="1" t="s">
        <v>757</v>
      </c>
      <c r="B10423" s="1" t="s">
        <v>2023</v>
      </c>
      <c r="C10423" s="1" t="s">
        <v>61</v>
      </c>
      <c r="D10423" s="3">
        <f t="shared" si="1621"/>
        <v>8022</v>
      </c>
      <c r="E10423" s="2">
        <f t="shared" si="1622"/>
        <v>42705</v>
      </c>
      <c r="F10423" s="2">
        <f t="shared" si="1620"/>
        <v>43465</v>
      </c>
    </row>
    <row r="10424" spans="1:6" x14ac:dyDescent="0.25">
      <c r="A10424" s="1" t="s">
        <v>757</v>
      </c>
      <c r="B10424" s="1" t="s">
        <v>2023</v>
      </c>
      <c r="C10424" s="1" t="s">
        <v>45</v>
      </c>
      <c r="D10424" s="3">
        <f t="shared" si="1621"/>
        <v>8022</v>
      </c>
      <c r="E10424" s="2">
        <f t="shared" si="1622"/>
        <v>42705</v>
      </c>
      <c r="F10424" s="2">
        <f t="shared" si="1620"/>
        <v>43465</v>
      </c>
    </row>
    <row r="10425" spans="1:6" x14ac:dyDescent="0.25">
      <c r="A10425" s="1" t="s">
        <v>757</v>
      </c>
      <c r="B10425" s="1" t="s">
        <v>2023</v>
      </c>
      <c r="C10425" s="1" t="s">
        <v>615</v>
      </c>
      <c r="D10425" s="3">
        <f t="shared" si="1621"/>
        <v>8022</v>
      </c>
      <c r="E10425" s="2">
        <f t="shared" si="1622"/>
        <v>42705</v>
      </c>
      <c r="F10425" s="2">
        <f t="shared" si="1620"/>
        <v>43465</v>
      </c>
    </row>
    <row r="10426" spans="1:6" x14ac:dyDescent="0.25">
      <c r="A10426" s="1" t="s">
        <v>757</v>
      </c>
      <c r="B10426" s="1" t="s">
        <v>2023</v>
      </c>
      <c r="C10426" s="1" t="s">
        <v>319</v>
      </c>
      <c r="D10426" s="3">
        <f t="shared" si="1621"/>
        <v>8022</v>
      </c>
      <c r="E10426" s="2">
        <f t="shared" si="1622"/>
        <v>42705</v>
      </c>
      <c r="F10426" s="2">
        <f t="shared" si="1620"/>
        <v>43465</v>
      </c>
    </row>
    <row r="10427" spans="1:6" x14ac:dyDescent="0.25">
      <c r="A10427" s="1" t="s">
        <v>757</v>
      </c>
      <c r="B10427" s="1" t="s">
        <v>2023</v>
      </c>
      <c r="C10427" s="1" t="s">
        <v>14</v>
      </c>
      <c r="D10427" s="3">
        <f t="shared" si="1621"/>
        <v>8022</v>
      </c>
      <c r="E10427" s="2">
        <f t="shared" si="1622"/>
        <v>42705</v>
      </c>
      <c r="F10427" s="2">
        <f t="shared" si="1620"/>
        <v>43465</v>
      </c>
    </row>
    <row r="10428" spans="1:6" x14ac:dyDescent="0.25">
      <c r="A10428" s="1" t="s">
        <v>757</v>
      </c>
      <c r="B10428" s="1" t="s">
        <v>2023</v>
      </c>
      <c r="C10428" s="1" t="s">
        <v>17</v>
      </c>
      <c r="D10428" s="3">
        <f t="shared" si="1621"/>
        <v>8022</v>
      </c>
      <c r="E10428" s="2">
        <f t="shared" si="1622"/>
        <v>42705</v>
      </c>
      <c r="F10428" s="2">
        <f t="shared" si="1620"/>
        <v>43465</v>
      </c>
    </row>
    <row r="10429" spans="1:6" x14ac:dyDescent="0.25">
      <c r="A10429" s="1" t="s">
        <v>757</v>
      </c>
      <c r="B10429" s="1" t="s">
        <v>2023</v>
      </c>
      <c r="C10429" s="1" t="s">
        <v>417</v>
      </c>
      <c r="D10429" s="3">
        <f t="shared" si="1621"/>
        <v>8022</v>
      </c>
      <c r="E10429" s="2">
        <f t="shared" si="1622"/>
        <v>42705</v>
      </c>
      <c r="F10429" s="2">
        <f t="shared" si="1620"/>
        <v>43465</v>
      </c>
    </row>
    <row r="10430" spans="1:6" x14ac:dyDescent="0.25">
      <c r="A10430" s="1" t="s">
        <v>757</v>
      </c>
      <c r="B10430" s="1" t="s">
        <v>2023</v>
      </c>
      <c r="C10430" s="1" t="s">
        <v>22</v>
      </c>
      <c r="D10430" s="3">
        <f t="shared" si="1621"/>
        <v>8022</v>
      </c>
      <c r="E10430" s="2">
        <f t="shared" si="1622"/>
        <v>42705</v>
      </c>
      <c r="F10430" s="2">
        <f t="shared" si="1620"/>
        <v>43465</v>
      </c>
    </row>
    <row r="10431" spans="1:6" x14ac:dyDescent="0.25">
      <c r="A10431" s="1" t="s">
        <v>757</v>
      </c>
      <c r="B10431" s="1" t="s">
        <v>2023</v>
      </c>
      <c r="C10431" s="1" t="s">
        <v>50</v>
      </c>
      <c r="D10431" s="3">
        <f t="shared" si="1621"/>
        <v>8022</v>
      </c>
      <c r="E10431" s="2">
        <f t="shared" si="1622"/>
        <v>42705</v>
      </c>
      <c r="F10431" s="2">
        <f t="shared" si="1620"/>
        <v>43465</v>
      </c>
    </row>
    <row r="10432" spans="1:6" x14ac:dyDescent="0.25">
      <c r="A10432" s="1" t="s">
        <v>757</v>
      </c>
      <c r="B10432" s="1" t="s">
        <v>2023</v>
      </c>
      <c r="C10432" s="1" t="s">
        <v>72</v>
      </c>
      <c r="D10432" s="3">
        <f t="shared" si="1621"/>
        <v>8022</v>
      </c>
      <c r="E10432" s="2">
        <f t="shared" si="1622"/>
        <v>42705</v>
      </c>
      <c r="F10432" s="2">
        <f t="shared" si="1620"/>
        <v>43465</v>
      </c>
    </row>
    <row r="10433" spans="1:6" x14ac:dyDescent="0.25">
      <c r="A10433" s="1" t="s">
        <v>757</v>
      </c>
      <c r="B10433" s="1" t="s">
        <v>2023</v>
      </c>
      <c r="C10433" s="1" t="s">
        <v>52</v>
      </c>
      <c r="D10433" s="3">
        <f t="shared" si="1621"/>
        <v>8022</v>
      </c>
      <c r="E10433" s="2">
        <f t="shared" si="1622"/>
        <v>42705</v>
      </c>
      <c r="F10433" s="2">
        <f t="shared" si="1620"/>
        <v>43465</v>
      </c>
    </row>
    <row r="10434" spans="1:6" x14ac:dyDescent="0.25">
      <c r="A10434" s="1" t="s">
        <v>757</v>
      </c>
      <c r="B10434" s="1" t="s">
        <v>2023</v>
      </c>
      <c r="C10434" s="1" t="s">
        <v>393</v>
      </c>
      <c r="D10434" s="3">
        <f t="shared" si="1621"/>
        <v>8022</v>
      </c>
      <c r="E10434" s="2">
        <f t="shared" si="1622"/>
        <v>42705</v>
      </c>
      <c r="F10434" s="2">
        <f t="shared" si="1620"/>
        <v>43465</v>
      </c>
    </row>
    <row r="10435" spans="1:6" x14ac:dyDescent="0.25">
      <c r="A10435" s="1" t="s">
        <v>757</v>
      </c>
      <c r="B10435" s="1" t="s">
        <v>2023</v>
      </c>
      <c r="C10435" s="1" t="s">
        <v>34</v>
      </c>
      <c r="D10435" s="3">
        <f t="shared" si="1621"/>
        <v>8022</v>
      </c>
      <c r="E10435" s="2">
        <f t="shared" si="1622"/>
        <v>42705</v>
      </c>
      <c r="F10435" s="2">
        <f t="shared" si="1620"/>
        <v>43465</v>
      </c>
    </row>
    <row r="10436" spans="1:6" x14ac:dyDescent="0.25">
      <c r="A10436" s="1" t="s">
        <v>757</v>
      </c>
      <c r="B10436" s="1" t="s">
        <v>2024</v>
      </c>
      <c r="C10436" s="1" t="s">
        <v>66</v>
      </c>
      <c r="D10436" s="3">
        <f>VALUE("8028")</f>
        <v>8028</v>
      </c>
      <c r="E10436" s="2">
        <f t="shared" si="1622"/>
        <v>42705</v>
      </c>
      <c r="F10436" s="2">
        <f>DATEVALUE("31-3-2017")</f>
        <v>42825</v>
      </c>
    </row>
    <row r="10437" spans="1:6" x14ac:dyDescent="0.25">
      <c r="A10437" s="1" t="s">
        <v>757</v>
      </c>
      <c r="B10437" s="1" t="s">
        <v>2024</v>
      </c>
      <c r="C10437" s="1" t="s">
        <v>172</v>
      </c>
      <c r="D10437" s="3">
        <f>VALUE("8028")</f>
        <v>8028</v>
      </c>
      <c r="E10437" s="2">
        <f t="shared" si="1622"/>
        <v>42705</v>
      </c>
      <c r="F10437" s="2">
        <f>DATEVALUE("31-3-2017")</f>
        <v>42825</v>
      </c>
    </row>
    <row r="10438" spans="1:6" x14ac:dyDescent="0.25">
      <c r="A10438" s="1" t="s">
        <v>757</v>
      </c>
      <c r="B10438" s="1" t="s">
        <v>2263</v>
      </c>
      <c r="C10438" s="1" t="s">
        <v>7</v>
      </c>
      <c r="D10438" s="3">
        <f t="shared" ref="D10438:D10465" si="1623">VALUE("8002")</f>
        <v>8002</v>
      </c>
      <c r="E10438" s="2">
        <f t="shared" ref="E10438:E10465" si="1624">DATEVALUE("1-11-2016")</f>
        <v>42675</v>
      </c>
      <c r="F10438" s="2">
        <f t="shared" ref="F10438:F10465" si="1625">DATEVALUE("31-12-2017")</f>
        <v>43100</v>
      </c>
    </row>
    <row r="10439" spans="1:6" x14ac:dyDescent="0.25">
      <c r="A10439" s="1" t="s">
        <v>757</v>
      </c>
      <c r="B10439" s="1" t="s">
        <v>2263</v>
      </c>
      <c r="C10439" s="1" t="s">
        <v>39</v>
      </c>
      <c r="D10439" s="3">
        <f t="shared" si="1623"/>
        <v>8002</v>
      </c>
      <c r="E10439" s="2">
        <f t="shared" si="1624"/>
        <v>42675</v>
      </c>
      <c r="F10439" s="2">
        <f t="shared" si="1625"/>
        <v>43100</v>
      </c>
    </row>
    <row r="10440" spans="1:6" x14ac:dyDescent="0.25">
      <c r="A10440" s="1" t="s">
        <v>757</v>
      </c>
      <c r="B10440" s="1" t="s">
        <v>2263</v>
      </c>
      <c r="C10440" s="1" t="s">
        <v>8</v>
      </c>
      <c r="D10440" s="3">
        <f t="shared" si="1623"/>
        <v>8002</v>
      </c>
      <c r="E10440" s="2">
        <f t="shared" si="1624"/>
        <v>42675</v>
      </c>
      <c r="F10440" s="2">
        <f t="shared" si="1625"/>
        <v>43100</v>
      </c>
    </row>
    <row r="10441" spans="1:6" x14ac:dyDescent="0.25">
      <c r="A10441" s="1" t="s">
        <v>757</v>
      </c>
      <c r="B10441" s="1" t="s">
        <v>2263</v>
      </c>
      <c r="C10441" s="1" t="s">
        <v>10</v>
      </c>
      <c r="D10441" s="3">
        <f t="shared" si="1623"/>
        <v>8002</v>
      </c>
      <c r="E10441" s="2">
        <f t="shared" si="1624"/>
        <v>42675</v>
      </c>
      <c r="F10441" s="2">
        <f t="shared" si="1625"/>
        <v>43100</v>
      </c>
    </row>
    <row r="10442" spans="1:6" x14ac:dyDescent="0.25">
      <c r="A10442" s="1" t="s">
        <v>757</v>
      </c>
      <c r="B10442" s="1" t="s">
        <v>2263</v>
      </c>
      <c r="C10442" s="1" t="s">
        <v>43</v>
      </c>
      <c r="D10442" s="3">
        <f t="shared" si="1623"/>
        <v>8002</v>
      </c>
      <c r="E10442" s="2">
        <f t="shared" si="1624"/>
        <v>42675</v>
      </c>
      <c r="F10442" s="2">
        <f t="shared" si="1625"/>
        <v>43100</v>
      </c>
    </row>
    <row r="10443" spans="1:6" x14ac:dyDescent="0.25">
      <c r="A10443" s="1" t="s">
        <v>757</v>
      </c>
      <c r="B10443" s="1" t="s">
        <v>2263</v>
      </c>
      <c r="C10443" s="1" t="s">
        <v>599</v>
      </c>
      <c r="D10443" s="3">
        <f t="shared" si="1623"/>
        <v>8002</v>
      </c>
      <c r="E10443" s="2">
        <f t="shared" si="1624"/>
        <v>42675</v>
      </c>
      <c r="F10443" s="2">
        <f t="shared" si="1625"/>
        <v>43100</v>
      </c>
    </row>
    <row r="10444" spans="1:6" x14ac:dyDescent="0.25">
      <c r="A10444" s="1" t="s">
        <v>757</v>
      </c>
      <c r="B10444" s="1" t="s">
        <v>2263</v>
      </c>
      <c r="C10444" s="1" t="s">
        <v>832</v>
      </c>
      <c r="D10444" s="3">
        <f t="shared" si="1623"/>
        <v>8002</v>
      </c>
      <c r="E10444" s="2">
        <f t="shared" si="1624"/>
        <v>42675</v>
      </c>
      <c r="F10444" s="2">
        <f t="shared" si="1625"/>
        <v>43100</v>
      </c>
    </row>
    <row r="10445" spans="1:6" x14ac:dyDescent="0.25">
      <c r="A10445" s="1" t="s">
        <v>757</v>
      </c>
      <c r="B10445" s="1" t="s">
        <v>2263</v>
      </c>
      <c r="C10445" s="1" t="s">
        <v>14</v>
      </c>
      <c r="D10445" s="3">
        <f t="shared" si="1623"/>
        <v>8002</v>
      </c>
      <c r="E10445" s="2">
        <f t="shared" si="1624"/>
        <v>42675</v>
      </c>
      <c r="F10445" s="2">
        <f t="shared" si="1625"/>
        <v>43100</v>
      </c>
    </row>
    <row r="10446" spans="1:6" x14ac:dyDescent="0.25">
      <c r="A10446" s="1" t="s">
        <v>757</v>
      </c>
      <c r="B10446" s="1" t="s">
        <v>2263</v>
      </c>
      <c r="C10446" s="1" t="s">
        <v>17</v>
      </c>
      <c r="D10446" s="3">
        <f t="shared" si="1623"/>
        <v>8002</v>
      </c>
      <c r="E10446" s="2">
        <f t="shared" si="1624"/>
        <v>42675</v>
      </c>
      <c r="F10446" s="2">
        <f t="shared" si="1625"/>
        <v>43100</v>
      </c>
    </row>
    <row r="10447" spans="1:6" x14ac:dyDescent="0.25">
      <c r="A10447" s="1" t="s">
        <v>757</v>
      </c>
      <c r="B10447" s="1" t="s">
        <v>2263</v>
      </c>
      <c r="C10447" s="1" t="s">
        <v>257</v>
      </c>
      <c r="D10447" s="3">
        <f t="shared" si="1623"/>
        <v>8002</v>
      </c>
      <c r="E10447" s="2">
        <f t="shared" si="1624"/>
        <v>42675</v>
      </c>
      <c r="F10447" s="2">
        <f t="shared" si="1625"/>
        <v>43100</v>
      </c>
    </row>
    <row r="10448" spans="1:6" x14ac:dyDescent="0.25">
      <c r="A10448" s="1" t="s">
        <v>757</v>
      </c>
      <c r="B10448" s="1" t="s">
        <v>2263</v>
      </c>
      <c r="C10448" s="1" t="s">
        <v>22</v>
      </c>
      <c r="D10448" s="3">
        <f t="shared" si="1623"/>
        <v>8002</v>
      </c>
      <c r="E10448" s="2">
        <f t="shared" si="1624"/>
        <v>42675</v>
      </c>
      <c r="F10448" s="2">
        <f t="shared" si="1625"/>
        <v>43100</v>
      </c>
    </row>
    <row r="10449" spans="1:6" x14ac:dyDescent="0.25">
      <c r="A10449" s="1" t="s">
        <v>757</v>
      </c>
      <c r="B10449" s="1" t="s">
        <v>2263</v>
      </c>
      <c r="C10449" s="1" t="s">
        <v>146</v>
      </c>
      <c r="D10449" s="3">
        <f t="shared" si="1623"/>
        <v>8002</v>
      </c>
      <c r="E10449" s="2">
        <f t="shared" si="1624"/>
        <v>42675</v>
      </c>
      <c r="F10449" s="2">
        <f t="shared" si="1625"/>
        <v>43100</v>
      </c>
    </row>
    <row r="10450" spans="1:6" x14ac:dyDescent="0.25">
      <c r="A10450" s="1" t="s">
        <v>757</v>
      </c>
      <c r="B10450" s="1" t="s">
        <v>2263</v>
      </c>
      <c r="C10450" s="1" t="s">
        <v>67</v>
      </c>
      <c r="D10450" s="3">
        <f t="shared" si="1623"/>
        <v>8002</v>
      </c>
      <c r="E10450" s="2">
        <f t="shared" si="1624"/>
        <v>42675</v>
      </c>
      <c r="F10450" s="2">
        <f t="shared" si="1625"/>
        <v>43100</v>
      </c>
    </row>
    <row r="10451" spans="1:6" x14ac:dyDescent="0.25">
      <c r="A10451" s="1" t="s">
        <v>757</v>
      </c>
      <c r="B10451" s="1" t="s">
        <v>2263</v>
      </c>
      <c r="C10451" s="1" t="s">
        <v>259</v>
      </c>
      <c r="D10451" s="3">
        <f t="shared" si="1623"/>
        <v>8002</v>
      </c>
      <c r="E10451" s="2">
        <f t="shared" si="1624"/>
        <v>42675</v>
      </c>
      <c r="F10451" s="2">
        <f t="shared" si="1625"/>
        <v>43100</v>
      </c>
    </row>
    <row r="10452" spans="1:6" x14ac:dyDescent="0.25">
      <c r="A10452" s="1" t="s">
        <v>757</v>
      </c>
      <c r="B10452" s="1" t="s">
        <v>2263</v>
      </c>
      <c r="C10452" s="1" t="s">
        <v>148</v>
      </c>
      <c r="D10452" s="3">
        <f t="shared" si="1623"/>
        <v>8002</v>
      </c>
      <c r="E10452" s="2">
        <f t="shared" si="1624"/>
        <v>42675</v>
      </c>
      <c r="F10452" s="2">
        <f t="shared" si="1625"/>
        <v>43100</v>
      </c>
    </row>
    <row r="10453" spans="1:6" x14ac:dyDescent="0.25">
      <c r="A10453" s="1" t="s">
        <v>757</v>
      </c>
      <c r="B10453" s="1" t="s">
        <v>2263</v>
      </c>
      <c r="C10453" s="1" t="s">
        <v>149</v>
      </c>
      <c r="D10453" s="3">
        <f t="shared" si="1623"/>
        <v>8002</v>
      </c>
      <c r="E10453" s="2">
        <f t="shared" si="1624"/>
        <v>42675</v>
      </c>
      <c r="F10453" s="2">
        <f t="shared" si="1625"/>
        <v>43100</v>
      </c>
    </row>
    <row r="10454" spans="1:6" x14ac:dyDescent="0.25">
      <c r="A10454" s="1" t="s">
        <v>757</v>
      </c>
      <c r="B10454" s="1" t="s">
        <v>2263</v>
      </c>
      <c r="C10454" s="1" t="s">
        <v>222</v>
      </c>
      <c r="D10454" s="3">
        <f t="shared" si="1623"/>
        <v>8002</v>
      </c>
      <c r="E10454" s="2">
        <f t="shared" si="1624"/>
        <v>42675</v>
      </c>
      <c r="F10454" s="2">
        <f t="shared" si="1625"/>
        <v>43100</v>
      </c>
    </row>
    <row r="10455" spans="1:6" x14ac:dyDescent="0.25">
      <c r="A10455" s="1" t="s">
        <v>757</v>
      </c>
      <c r="B10455" s="1" t="s">
        <v>2263</v>
      </c>
      <c r="C10455" s="1" t="s">
        <v>654</v>
      </c>
      <c r="D10455" s="3">
        <f t="shared" si="1623"/>
        <v>8002</v>
      </c>
      <c r="E10455" s="2">
        <f t="shared" si="1624"/>
        <v>42675</v>
      </c>
      <c r="F10455" s="2">
        <f t="shared" si="1625"/>
        <v>43100</v>
      </c>
    </row>
    <row r="10456" spans="1:6" x14ac:dyDescent="0.25">
      <c r="A10456" s="1" t="s">
        <v>757</v>
      </c>
      <c r="B10456" s="1" t="s">
        <v>2263</v>
      </c>
      <c r="C10456" s="1" t="s">
        <v>1683</v>
      </c>
      <c r="D10456" s="3">
        <f t="shared" si="1623"/>
        <v>8002</v>
      </c>
      <c r="E10456" s="2">
        <f t="shared" si="1624"/>
        <v>42675</v>
      </c>
      <c r="F10456" s="2">
        <f t="shared" si="1625"/>
        <v>43100</v>
      </c>
    </row>
    <row r="10457" spans="1:6" x14ac:dyDescent="0.25">
      <c r="A10457" s="1" t="s">
        <v>757</v>
      </c>
      <c r="B10457" s="1" t="s">
        <v>2263</v>
      </c>
      <c r="C10457" s="1" t="s">
        <v>514</v>
      </c>
      <c r="D10457" s="3">
        <f t="shared" si="1623"/>
        <v>8002</v>
      </c>
      <c r="E10457" s="2">
        <f t="shared" si="1624"/>
        <v>42675</v>
      </c>
      <c r="F10457" s="2">
        <f t="shared" si="1625"/>
        <v>43100</v>
      </c>
    </row>
    <row r="10458" spans="1:6" x14ac:dyDescent="0.25">
      <c r="A10458" s="1" t="s">
        <v>757</v>
      </c>
      <c r="B10458" s="1" t="s">
        <v>2263</v>
      </c>
      <c r="C10458" s="1" t="s">
        <v>515</v>
      </c>
      <c r="D10458" s="3">
        <f t="shared" si="1623"/>
        <v>8002</v>
      </c>
      <c r="E10458" s="2">
        <f t="shared" si="1624"/>
        <v>42675</v>
      </c>
      <c r="F10458" s="2">
        <f t="shared" si="1625"/>
        <v>43100</v>
      </c>
    </row>
    <row r="10459" spans="1:6" x14ac:dyDescent="0.25">
      <c r="A10459" s="1" t="s">
        <v>757</v>
      </c>
      <c r="B10459" s="1" t="s">
        <v>2263</v>
      </c>
      <c r="C10459" s="1" t="s">
        <v>775</v>
      </c>
      <c r="D10459" s="3">
        <f t="shared" si="1623"/>
        <v>8002</v>
      </c>
      <c r="E10459" s="2">
        <f t="shared" si="1624"/>
        <v>42675</v>
      </c>
      <c r="F10459" s="2">
        <f t="shared" si="1625"/>
        <v>43100</v>
      </c>
    </row>
    <row r="10460" spans="1:6" x14ac:dyDescent="0.25">
      <c r="A10460" s="1" t="s">
        <v>757</v>
      </c>
      <c r="B10460" s="1" t="s">
        <v>2263</v>
      </c>
      <c r="C10460" s="1" t="s">
        <v>212</v>
      </c>
      <c r="D10460" s="3">
        <f t="shared" si="1623"/>
        <v>8002</v>
      </c>
      <c r="E10460" s="2">
        <f t="shared" si="1624"/>
        <v>42675</v>
      </c>
      <c r="F10460" s="2">
        <f t="shared" si="1625"/>
        <v>43100</v>
      </c>
    </row>
    <row r="10461" spans="1:6" x14ac:dyDescent="0.25">
      <c r="A10461" s="1" t="s">
        <v>757</v>
      </c>
      <c r="B10461" s="1" t="s">
        <v>2263</v>
      </c>
      <c r="C10461" s="1" t="s">
        <v>50</v>
      </c>
      <c r="D10461" s="3">
        <f t="shared" si="1623"/>
        <v>8002</v>
      </c>
      <c r="E10461" s="2">
        <f t="shared" si="1624"/>
        <v>42675</v>
      </c>
      <c r="F10461" s="2">
        <f t="shared" si="1625"/>
        <v>43100</v>
      </c>
    </row>
    <row r="10462" spans="1:6" x14ac:dyDescent="0.25">
      <c r="A10462" s="1" t="s">
        <v>757</v>
      </c>
      <c r="B10462" s="1" t="s">
        <v>2263</v>
      </c>
      <c r="C10462" s="1" t="s">
        <v>260</v>
      </c>
      <c r="D10462" s="3">
        <f t="shared" si="1623"/>
        <v>8002</v>
      </c>
      <c r="E10462" s="2">
        <f t="shared" si="1624"/>
        <v>42675</v>
      </c>
      <c r="F10462" s="2">
        <f t="shared" si="1625"/>
        <v>43100</v>
      </c>
    </row>
    <row r="10463" spans="1:6" x14ac:dyDescent="0.25">
      <c r="A10463" s="1" t="s">
        <v>757</v>
      </c>
      <c r="B10463" s="1" t="s">
        <v>2263</v>
      </c>
      <c r="C10463" s="1" t="s">
        <v>261</v>
      </c>
      <c r="D10463" s="3">
        <f t="shared" si="1623"/>
        <v>8002</v>
      </c>
      <c r="E10463" s="2">
        <f t="shared" si="1624"/>
        <v>42675</v>
      </c>
      <c r="F10463" s="2">
        <f t="shared" si="1625"/>
        <v>43100</v>
      </c>
    </row>
    <row r="10464" spans="1:6" x14ac:dyDescent="0.25">
      <c r="A10464" s="1" t="s">
        <v>757</v>
      </c>
      <c r="B10464" s="1" t="s">
        <v>2263</v>
      </c>
      <c r="C10464" s="1" t="s">
        <v>57</v>
      </c>
      <c r="D10464" s="3">
        <f t="shared" si="1623"/>
        <v>8002</v>
      </c>
      <c r="E10464" s="2">
        <f t="shared" si="1624"/>
        <v>42675</v>
      </c>
      <c r="F10464" s="2">
        <f t="shared" si="1625"/>
        <v>43100</v>
      </c>
    </row>
    <row r="10465" spans="1:6" x14ac:dyDescent="0.25">
      <c r="A10465" s="1" t="s">
        <v>757</v>
      </c>
      <c r="B10465" s="1" t="s">
        <v>2263</v>
      </c>
      <c r="C10465" s="1" t="s">
        <v>36</v>
      </c>
      <c r="D10465" s="3">
        <f t="shared" si="1623"/>
        <v>8002</v>
      </c>
      <c r="E10465" s="2">
        <f t="shared" si="1624"/>
        <v>42675</v>
      </c>
      <c r="F10465" s="2">
        <f t="shared" si="1625"/>
        <v>43100</v>
      </c>
    </row>
    <row r="10466" spans="1:6" x14ac:dyDescent="0.25">
      <c r="A10466" s="1" t="s">
        <v>757</v>
      </c>
      <c r="B10466" s="1" t="s">
        <v>2011</v>
      </c>
      <c r="C10466" s="1" t="s">
        <v>7</v>
      </c>
      <c r="D10466" s="3">
        <f t="shared" ref="D10466:D10479" si="1626">VALUE("7928")</f>
        <v>7928</v>
      </c>
      <c r="E10466" s="2">
        <f t="shared" ref="E10466:E10486" si="1627">DATEVALUE("1-10-2016")</f>
        <v>42644</v>
      </c>
      <c r="F10466" s="2">
        <f t="shared" ref="F10466:F10479" si="1628">DATEVALUE("30-11-2018")</f>
        <v>43434</v>
      </c>
    </row>
    <row r="10467" spans="1:6" x14ac:dyDescent="0.25">
      <c r="A10467" s="1" t="s">
        <v>757</v>
      </c>
      <c r="B10467" s="1" t="s">
        <v>2011</v>
      </c>
      <c r="C10467" s="1" t="s">
        <v>1811</v>
      </c>
      <c r="D10467" s="3">
        <f t="shared" si="1626"/>
        <v>7928</v>
      </c>
      <c r="E10467" s="2">
        <f t="shared" si="1627"/>
        <v>42644</v>
      </c>
      <c r="F10467" s="2">
        <f t="shared" si="1628"/>
        <v>43434</v>
      </c>
    </row>
    <row r="10468" spans="1:6" x14ac:dyDescent="0.25">
      <c r="A10468" s="1" t="s">
        <v>757</v>
      </c>
      <c r="B10468" s="1" t="s">
        <v>2011</v>
      </c>
      <c r="C10468" s="1" t="s">
        <v>1812</v>
      </c>
      <c r="D10468" s="3">
        <f t="shared" si="1626"/>
        <v>7928</v>
      </c>
      <c r="E10468" s="2">
        <f t="shared" si="1627"/>
        <v>42644</v>
      </c>
      <c r="F10468" s="2">
        <f t="shared" si="1628"/>
        <v>43434</v>
      </c>
    </row>
    <row r="10469" spans="1:6" x14ac:dyDescent="0.25">
      <c r="A10469" s="1" t="s">
        <v>757</v>
      </c>
      <c r="B10469" s="1" t="s">
        <v>2011</v>
      </c>
      <c r="C10469" s="1" t="s">
        <v>1813</v>
      </c>
      <c r="D10469" s="3">
        <f t="shared" si="1626"/>
        <v>7928</v>
      </c>
      <c r="E10469" s="2">
        <f t="shared" si="1627"/>
        <v>42644</v>
      </c>
      <c r="F10469" s="2">
        <f t="shared" si="1628"/>
        <v>43434</v>
      </c>
    </row>
    <row r="10470" spans="1:6" x14ac:dyDescent="0.25">
      <c r="A10470" s="1" t="s">
        <v>757</v>
      </c>
      <c r="B10470" s="1" t="s">
        <v>2011</v>
      </c>
      <c r="C10470" s="1" t="s">
        <v>1814</v>
      </c>
      <c r="D10470" s="3">
        <f t="shared" si="1626"/>
        <v>7928</v>
      </c>
      <c r="E10470" s="2">
        <f t="shared" si="1627"/>
        <v>42644</v>
      </c>
      <c r="F10470" s="2">
        <f t="shared" si="1628"/>
        <v>43434</v>
      </c>
    </row>
    <row r="10471" spans="1:6" x14ac:dyDescent="0.25">
      <c r="A10471" s="1" t="s">
        <v>757</v>
      </c>
      <c r="B10471" s="1" t="s">
        <v>2011</v>
      </c>
      <c r="C10471" s="1" t="s">
        <v>1680</v>
      </c>
      <c r="D10471" s="3">
        <f t="shared" si="1626"/>
        <v>7928</v>
      </c>
      <c r="E10471" s="2">
        <f t="shared" si="1627"/>
        <v>42644</v>
      </c>
      <c r="F10471" s="2">
        <f t="shared" si="1628"/>
        <v>43434</v>
      </c>
    </row>
    <row r="10472" spans="1:6" x14ac:dyDescent="0.25">
      <c r="A10472" s="1" t="s">
        <v>757</v>
      </c>
      <c r="B10472" s="1" t="s">
        <v>2011</v>
      </c>
      <c r="C10472" s="1" t="s">
        <v>1681</v>
      </c>
      <c r="D10472" s="3">
        <f t="shared" si="1626"/>
        <v>7928</v>
      </c>
      <c r="E10472" s="2">
        <f t="shared" si="1627"/>
        <v>42644</v>
      </c>
      <c r="F10472" s="2">
        <f t="shared" si="1628"/>
        <v>43434</v>
      </c>
    </row>
    <row r="10473" spans="1:6" x14ac:dyDescent="0.25">
      <c r="A10473" s="1" t="s">
        <v>757</v>
      </c>
      <c r="B10473" s="1" t="s">
        <v>2011</v>
      </c>
      <c r="C10473" s="1" t="s">
        <v>1682</v>
      </c>
      <c r="D10473" s="3">
        <f t="shared" si="1626"/>
        <v>7928</v>
      </c>
      <c r="E10473" s="2">
        <f t="shared" si="1627"/>
        <v>42644</v>
      </c>
      <c r="F10473" s="2">
        <f t="shared" si="1628"/>
        <v>43434</v>
      </c>
    </row>
    <row r="10474" spans="1:6" x14ac:dyDescent="0.25">
      <c r="A10474" s="1" t="s">
        <v>757</v>
      </c>
      <c r="B10474" s="1" t="s">
        <v>2011</v>
      </c>
      <c r="C10474" s="1" t="s">
        <v>1683</v>
      </c>
      <c r="D10474" s="3">
        <f t="shared" si="1626"/>
        <v>7928</v>
      </c>
      <c r="E10474" s="2">
        <f t="shared" si="1627"/>
        <v>42644</v>
      </c>
      <c r="F10474" s="2">
        <f t="shared" si="1628"/>
        <v>43434</v>
      </c>
    </row>
    <row r="10475" spans="1:6" x14ac:dyDescent="0.25">
      <c r="A10475" s="1" t="s">
        <v>757</v>
      </c>
      <c r="B10475" s="1" t="s">
        <v>2011</v>
      </c>
      <c r="C10475" s="1" t="s">
        <v>1684</v>
      </c>
      <c r="D10475" s="3">
        <f t="shared" si="1626"/>
        <v>7928</v>
      </c>
      <c r="E10475" s="2">
        <f t="shared" si="1627"/>
        <v>42644</v>
      </c>
      <c r="F10475" s="2">
        <f t="shared" si="1628"/>
        <v>43434</v>
      </c>
    </row>
    <row r="10476" spans="1:6" x14ac:dyDescent="0.25">
      <c r="A10476" s="1" t="s">
        <v>757</v>
      </c>
      <c r="B10476" s="1" t="s">
        <v>2011</v>
      </c>
      <c r="C10476" s="1" t="s">
        <v>1685</v>
      </c>
      <c r="D10476" s="3">
        <f t="shared" si="1626"/>
        <v>7928</v>
      </c>
      <c r="E10476" s="2">
        <f t="shared" si="1627"/>
        <v>42644</v>
      </c>
      <c r="F10476" s="2">
        <f t="shared" si="1628"/>
        <v>43434</v>
      </c>
    </row>
    <row r="10477" spans="1:6" x14ac:dyDescent="0.25">
      <c r="A10477" s="1" t="s">
        <v>757</v>
      </c>
      <c r="B10477" s="1" t="s">
        <v>2011</v>
      </c>
      <c r="C10477" s="1" t="s">
        <v>2012</v>
      </c>
      <c r="D10477" s="3">
        <f t="shared" si="1626"/>
        <v>7928</v>
      </c>
      <c r="E10477" s="2">
        <f t="shared" si="1627"/>
        <v>42644</v>
      </c>
      <c r="F10477" s="2">
        <f t="shared" si="1628"/>
        <v>43434</v>
      </c>
    </row>
    <row r="10478" spans="1:6" x14ac:dyDescent="0.25">
      <c r="A10478" s="1" t="s">
        <v>757</v>
      </c>
      <c r="B10478" s="1" t="s">
        <v>2011</v>
      </c>
      <c r="C10478" s="1" t="s">
        <v>1686</v>
      </c>
      <c r="D10478" s="3">
        <f t="shared" si="1626"/>
        <v>7928</v>
      </c>
      <c r="E10478" s="2">
        <f t="shared" si="1627"/>
        <v>42644</v>
      </c>
      <c r="F10478" s="2">
        <f t="shared" si="1628"/>
        <v>43434</v>
      </c>
    </row>
    <row r="10479" spans="1:6" x14ac:dyDescent="0.25">
      <c r="A10479" s="1" t="s">
        <v>757</v>
      </c>
      <c r="B10479" s="1" t="s">
        <v>2011</v>
      </c>
      <c r="C10479" s="1" t="s">
        <v>1815</v>
      </c>
      <c r="D10479" s="3">
        <f t="shared" si="1626"/>
        <v>7928</v>
      </c>
      <c r="E10479" s="2">
        <f t="shared" si="1627"/>
        <v>42644</v>
      </c>
      <c r="F10479" s="2">
        <f t="shared" si="1628"/>
        <v>43434</v>
      </c>
    </row>
    <row r="10480" spans="1:6" x14ac:dyDescent="0.25">
      <c r="A10480" s="1" t="s">
        <v>757</v>
      </c>
      <c r="B10480" s="1" t="s">
        <v>2017</v>
      </c>
      <c r="C10480" s="1" t="s">
        <v>43</v>
      </c>
      <c r="D10480" s="3">
        <f t="shared" ref="D10480:D10486" si="1629">VALUE("7972")</f>
        <v>7972</v>
      </c>
      <c r="E10480" s="2">
        <f t="shared" si="1627"/>
        <v>42644</v>
      </c>
      <c r="F10480" s="2">
        <f t="shared" ref="F10480:F10486" si="1630">DATEVALUE("31-10-2016")</f>
        <v>42674</v>
      </c>
    </row>
    <row r="10481" spans="1:6" x14ac:dyDescent="0.25">
      <c r="A10481" s="1" t="s">
        <v>757</v>
      </c>
      <c r="B10481" s="1" t="s">
        <v>2017</v>
      </c>
      <c r="C10481" s="1" t="s">
        <v>14</v>
      </c>
      <c r="D10481" s="3">
        <f t="shared" si="1629"/>
        <v>7972</v>
      </c>
      <c r="E10481" s="2">
        <f t="shared" si="1627"/>
        <v>42644</v>
      </c>
      <c r="F10481" s="2">
        <f t="shared" si="1630"/>
        <v>42674</v>
      </c>
    </row>
    <row r="10482" spans="1:6" x14ac:dyDescent="0.25">
      <c r="A10482" s="1" t="s">
        <v>757</v>
      </c>
      <c r="B10482" s="1" t="s">
        <v>2017</v>
      </c>
      <c r="C10482" s="1" t="s">
        <v>16</v>
      </c>
      <c r="D10482" s="3">
        <f t="shared" si="1629"/>
        <v>7972</v>
      </c>
      <c r="E10482" s="2">
        <f t="shared" si="1627"/>
        <v>42644</v>
      </c>
      <c r="F10482" s="2">
        <f t="shared" si="1630"/>
        <v>42674</v>
      </c>
    </row>
    <row r="10483" spans="1:6" x14ac:dyDescent="0.25">
      <c r="A10483" s="1" t="s">
        <v>757</v>
      </c>
      <c r="B10483" s="1" t="s">
        <v>2017</v>
      </c>
      <c r="C10483" s="1" t="s">
        <v>17</v>
      </c>
      <c r="D10483" s="3">
        <f t="shared" si="1629"/>
        <v>7972</v>
      </c>
      <c r="E10483" s="2">
        <f t="shared" si="1627"/>
        <v>42644</v>
      </c>
      <c r="F10483" s="2">
        <f t="shared" si="1630"/>
        <v>42674</v>
      </c>
    </row>
    <row r="10484" spans="1:6" x14ac:dyDescent="0.25">
      <c r="A10484" s="1" t="s">
        <v>757</v>
      </c>
      <c r="B10484" s="1" t="s">
        <v>2017</v>
      </c>
      <c r="C10484" s="1" t="s">
        <v>515</v>
      </c>
      <c r="D10484" s="3">
        <f t="shared" si="1629"/>
        <v>7972</v>
      </c>
      <c r="E10484" s="2">
        <f t="shared" si="1627"/>
        <v>42644</v>
      </c>
      <c r="F10484" s="2">
        <f t="shared" si="1630"/>
        <v>42674</v>
      </c>
    </row>
    <row r="10485" spans="1:6" x14ac:dyDescent="0.25">
      <c r="A10485" s="1" t="s">
        <v>757</v>
      </c>
      <c r="B10485" s="1" t="s">
        <v>2017</v>
      </c>
      <c r="C10485" s="1" t="s">
        <v>24</v>
      </c>
      <c r="D10485" s="3">
        <f t="shared" si="1629"/>
        <v>7972</v>
      </c>
      <c r="E10485" s="2">
        <f t="shared" si="1627"/>
        <v>42644</v>
      </c>
      <c r="F10485" s="2">
        <f t="shared" si="1630"/>
        <v>42674</v>
      </c>
    </row>
    <row r="10486" spans="1:6" x14ac:dyDescent="0.25">
      <c r="A10486" s="1" t="s">
        <v>757</v>
      </c>
      <c r="B10486" s="1" t="s">
        <v>2017</v>
      </c>
      <c r="C10486" s="1" t="s">
        <v>34</v>
      </c>
      <c r="D10486" s="3">
        <f t="shared" si="1629"/>
        <v>7972</v>
      </c>
      <c r="E10486" s="2">
        <f t="shared" si="1627"/>
        <v>42644</v>
      </c>
      <c r="F10486" s="2">
        <f t="shared" si="1630"/>
        <v>42674</v>
      </c>
    </row>
    <row r="10487" spans="1:6" x14ac:dyDescent="0.25">
      <c r="A10487" s="1" t="s">
        <v>757</v>
      </c>
      <c r="B10487" s="1" t="s">
        <v>756</v>
      </c>
      <c r="C10487" s="1" t="s">
        <v>39</v>
      </c>
      <c r="D10487" s="3">
        <f t="shared" ref="D10487:D10520" si="1631">VALUE("7943")</f>
        <v>7943</v>
      </c>
      <c r="E10487" s="2">
        <f t="shared" ref="E10487:E10520" si="1632">DATEVALUE("1-8-2016")</f>
        <v>42583</v>
      </c>
      <c r="F10487" s="2">
        <f t="shared" ref="F10487:F10520" si="1633">DATEVALUE("31-12-2020")</f>
        <v>44196</v>
      </c>
    </row>
    <row r="10488" spans="1:6" x14ac:dyDescent="0.25">
      <c r="A10488" s="1" t="s">
        <v>757</v>
      </c>
      <c r="B10488" s="1" t="s">
        <v>756</v>
      </c>
      <c r="C10488" s="1" t="s">
        <v>40</v>
      </c>
      <c r="D10488" s="3">
        <f t="shared" si="1631"/>
        <v>7943</v>
      </c>
      <c r="E10488" s="2">
        <f t="shared" si="1632"/>
        <v>42583</v>
      </c>
      <c r="F10488" s="2">
        <f t="shared" si="1633"/>
        <v>44196</v>
      </c>
    </row>
    <row r="10489" spans="1:6" x14ac:dyDescent="0.25">
      <c r="A10489" s="1" t="s">
        <v>757</v>
      </c>
      <c r="B10489" s="1" t="s">
        <v>756</v>
      </c>
      <c r="C10489" s="1" t="s">
        <v>41</v>
      </c>
      <c r="D10489" s="3">
        <f t="shared" si="1631"/>
        <v>7943</v>
      </c>
      <c r="E10489" s="2">
        <f t="shared" si="1632"/>
        <v>42583</v>
      </c>
      <c r="F10489" s="2">
        <f t="shared" si="1633"/>
        <v>44196</v>
      </c>
    </row>
    <row r="10490" spans="1:6" x14ac:dyDescent="0.25">
      <c r="A10490" s="1" t="s">
        <v>757</v>
      </c>
      <c r="B10490" s="1" t="s">
        <v>756</v>
      </c>
      <c r="C10490" s="1" t="s">
        <v>43</v>
      </c>
      <c r="D10490" s="3">
        <f t="shared" si="1631"/>
        <v>7943</v>
      </c>
      <c r="E10490" s="2">
        <f t="shared" si="1632"/>
        <v>42583</v>
      </c>
      <c r="F10490" s="2">
        <f t="shared" si="1633"/>
        <v>44196</v>
      </c>
    </row>
    <row r="10491" spans="1:6" x14ac:dyDescent="0.25">
      <c r="A10491" s="1" t="s">
        <v>757</v>
      </c>
      <c r="B10491" s="1" t="s">
        <v>756</v>
      </c>
      <c r="C10491" s="1" t="s">
        <v>485</v>
      </c>
      <c r="D10491" s="3">
        <f t="shared" si="1631"/>
        <v>7943</v>
      </c>
      <c r="E10491" s="2">
        <f t="shared" si="1632"/>
        <v>42583</v>
      </c>
      <c r="F10491" s="2">
        <f t="shared" si="1633"/>
        <v>44196</v>
      </c>
    </row>
    <row r="10492" spans="1:6" x14ac:dyDescent="0.25">
      <c r="A10492" s="1" t="s">
        <v>757</v>
      </c>
      <c r="B10492" s="1" t="s">
        <v>756</v>
      </c>
      <c r="C10492" s="1" t="s">
        <v>184</v>
      </c>
      <c r="D10492" s="3">
        <f t="shared" si="1631"/>
        <v>7943</v>
      </c>
      <c r="E10492" s="2">
        <f t="shared" si="1632"/>
        <v>42583</v>
      </c>
      <c r="F10492" s="2">
        <f t="shared" si="1633"/>
        <v>44196</v>
      </c>
    </row>
    <row r="10493" spans="1:6" x14ac:dyDescent="0.25">
      <c r="A10493" s="1" t="s">
        <v>757</v>
      </c>
      <c r="B10493" s="1" t="s">
        <v>756</v>
      </c>
      <c r="C10493" s="1" t="s">
        <v>14</v>
      </c>
      <c r="D10493" s="3">
        <f t="shared" si="1631"/>
        <v>7943</v>
      </c>
      <c r="E10493" s="2">
        <f t="shared" si="1632"/>
        <v>42583</v>
      </c>
      <c r="F10493" s="2">
        <f t="shared" si="1633"/>
        <v>44196</v>
      </c>
    </row>
    <row r="10494" spans="1:6" x14ac:dyDescent="0.25">
      <c r="A10494" s="1" t="s">
        <v>757</v>
      </c>
      <c r="B10494" s="1" t="s">
        <v>756</v>
      </c>
      <c r="C10494" s="1" t="s">
        <v>15</v>
      </c>
      <c r="D10494" s="3">
        <f t="shared" si="1631"/>
        <v>7943</v>
      </c>
      <c r="E10494" s="2">
        <f t="shared" si="1632"/>
        <v>42583</v>
      </c>
      <c r="F10494" s="2">
        <f t="shared" si="1633"/>
        <v>44196</v>
      </c>
    </row>
    <row r="10495" spans="1:6" x14ac:dyDescent="0.25">
      <c r="A10495" s="1" t="s">
        <v>757</v>
      </c>
      <c r="B10495" s="1" t="s">
        <v>756</v>
      </c>
      <c r="C10495" s="1" t="s">
        <v>17</v>
      </c>
      <c r="D10495" s="3">
        <f t="shared" si="1631"/>
        <v>7943</v>
      </c>
      <c r="E10495" s="2">
        <f t="shared" si="1632"/>
        <v>42583</v>
      </c>
      <c r="F10495" s="2">
        <f t="shared" si="1633"/>
        <v>44196</v>
      </c>
    </row>
    <row r="10496" spans="1:6" x14ac:dyDescent="0.25">
      <c r="A10496" s="1" t="s">
        <v>757</v>
      </c>
      <c r="B10496" s="1" t="s">
        <v>756</v>
      </c>
      <c r="C10496" s="1" t="s">
        <v>22</v>
      </c>
      <c r="D10496" s="3">
        <f t="shared" si="1631"/>
        <v>7943</v>
      </c>
      <c r="E10496" s="2">
        <f t="shared" si="1632"/>
        <v>42583</v>
      </c>
      <c r="F10496" s="2">
        <f t="shared" si="1633"/>
        <v>44196</v>
      </c>
    </row>
    <row r="10497" spans="1:6" x14ac:dyDescent="0.25">
      <c r="A10497" s="1" t="s">
        <v>757</v>
      </c>
      <c r="B10497" s="1" t="s">
        <v>756</v>
      </c>
      <c r="C10497" s="1" t="s">
        <v>258</v>
      </c>
      <c r="D10497" s="3">
        <f t="shared" si="1631"/>
        <v>7943</v>
      </c>
      <c r="E10497" s="2">
        <f t="shared" si="1632"/>
        <v>42583</v>
      </c>
      <c r="F10497" s="2">
        <f t="shared" si="1633"/>
        <v>44196</v>
      </c>
    </row>
    <row r="10498" spans="1:6" x14ac:dyDescent="0.25">
      <c r="A10498" s="1" t="s">
        <v>757</v>
      </c>
      <c r="B10498" s="1" t="s">
        <v>756</v>
      </c>
      <c r="C10498" s="1" t="s">
        <v>67</v>
      </c>
      <c r="D10498" s="3">
        <f t="shared" si="1631"/>
        <v>7943</v>
      </c>
      <c r="E10498" s="2">
        <f t="shared" si="1632"/>
        <v>42583</v>
      </c>
      <c r="F10498" s="2">
        <f t="shared" si="1633"/>
        <v>44196</v>
      </c>
    </row>
    <row r="10499" spans="1:6" x14ac:dyDescent="0.25">
      <c r="A10499" s="1" t="s">
        <v>757</v>
      </c>
      <c r="B10499" s="1" t="s">
        <v>756</v>
      </c>
      <c r="C10499" s="1" t="s">
        <v>384</v>
      </c>
      <c r="D10499" s="3">
        <f t="shared" si="1631"/>
        <v>7943</v>
      </c>
      <c r="E10499" s="2">
        <f t="shared" si="1632"/>
        <v>42583</v>
      </c>
      <c r="F10499" s="2">
        <f t="shared" si="1633"/>
        <v>44196</v>
      </c>
    </row>
    <row r="10500" spans="1:6" x14ac:dyDescent="0.25">
      <c r="A10500" s="1" t="s">
        <v>757</v>
      </c>
      <c r="B10500" s="1" t="s">
        <v>756</v>
      </c>
      <c r="C10500" s="1" t="s">
        <v>385</v>
      </c>
      <c r="D10500" s="3">
        <f t="shared" si="1631"/>
        <v>7943</v>
      </c>
      <c r="E10500" s="2">
        <f t="shared" si="1632"/>
        <v>42583</v>
      </c>
      <c r="F10500" s="2">
        <f t="shared" si="1633"/>
        <v>44196</v>
      </c>
    </row>
    <row r="10501" spans="1:6" x14ac:dyDescent="0.25">
      <c r="A10501" s="1" t="s">
        <v>757</v>
      </c>
      <c r="B10501" s="1" t="s">
        <v>756</v>
      </c>
      <c r="C10501" s="1" t="s">
        <v>388</v>
      </c>
      <c r="D10501" s="3">
        <f t="shared" si="1631"/>
        <v>7943</v>
      </c>
      <c r="E10501" s="2">
        <f t="shared" si="1632"/>
        <v>42583</v>
      </c>
      <c r="F10501" s="2">
        <f t="shared" si="1633"/>
        <v>44196</v>
      </c>
    </row>
    <row r="10502" spans="1:6" x14ac:dyDescent="0.25">
      <c r="A10502" s="1" t="s">
        <v>757</v>
      </c>
      <c r="B10502" s="1" t="s">
        <v>756</v>
      </c>
      <c r="C10502" s="1" t="s">
        <v>456</v>
      </c>
      <c r="D10502" s="3">
        <f t="shared" si="1631"/>
        <v>7943</v>
      </c>
      <c r="E10502" s="2">
        <f t="shared" si="1632"/>
        <v>42583</v>
      </c>
      <c r="F10502" s="2">
        <f t="shared" si="1633"/>
        <v>44196</v>
      </c>
    </row>
    <row r="10503" spans="1:6" x14ac:dyDescent="0.25">
      <c r="A10503" s="1" t="s">
        <v>757</v>
      </c>
      <c r="B10503" s="1" t="s">
        <v>756</v>
      </c>
      <c r="C10503" s="1" t="s">
        <v>389</v>
      </c>
      <c r="D10503" s="3">
        <f t="shared" si="1631"/>
        <v>7943</v>
      </c>
      <c r="E10503" s="2">
        <f t="shared" si="1632"/>
        <v>42583</v>
      </c>
      <c r="F10503" s="2">
        <f t="shared" si="1633"/>
        <v>44196</v>
      </c>
    </row>
    <row r="10504" spans="1:6" x14ac:dyDescent="0.25">
      <c r="A10504" s="1" t="s">
        <v>757</v>
      </c>
      <c r="B10504" s="1" t="s">
        <v>756</v>
      </c>
      <c r="C10504" s="1" t="s">
        <v>390</v>
      </c>
      <c r="D10504" s="3">
        <f t="shared" si="1631"/>
        <v>7943</v>
      </c>
      <c r="E10504" s="2">
        <f t="shared" si="1632"/>
        <v>42583</v>
      </c>
      <c r="F10504" s="2">
        <f t="shared" si="1633"/>
        <v>44196</v>
      </c>
    </row>
    <row r="10505" spans="1:6" x14ac:dyDescent="0.25">
      <c r="A10505" s="1" t="s">
        <v>757</v>
      </c>
      <c r="B10505" s="1" t="s">
        <v>756</v>
      </c>
      <c r="C10505" s="1" t="s">
        <v>92</v>
      </c>
      <c r="D10505" s="3">
        <f t="shared" si="1631"/>
        <v>7943</v>
      </c>
      <c r="E10505" s="2">
        <f t="shared" si="1632"/>
        <v>42583</v>
      </c>
      <c r="F10505" s="2">
        <f t="shared" si="1633"/>
        <v>44196</v>
      </c>
    </row>
    <row r="10506" spans="1:6" x14ac:dyDescent="0.25">
      <c r="A10506" s="1" t="s">
        <v>757</v>
      </c>
      <c r="B10506" s="1" t="s">
        <v>756</v>
      </c>
      <c r="C10506" s="1" t="s">
        <v>758</v>
      </c>
      <c r="D10506" s="3">
        <f t="shared" si="1631"/>
        <v>7943</v>
      </c>
      <c r="E10506" s="2">
        <f t="shared" si="1632"/>
        <v>42583</v>
      </c>
      <c r="F10506" s="2">
        <f t="shared" si="1633"/>
        <v>44196</v>
      </c>
    </row>
    <row r="10507" spans="1:6" x14ac:dyDescent="0.25">
      <c r="A10507" s="1" t="s">
        <v>757</v>
      </c>
      <c r="B10507" s="1" t="s">
        <v>756</v>
      </c>
      <c r="C10507" s="1" t="s">
        <v>94</v>
      </c>
      <c r="D10507" s="3">
        <f t="shared" si="1631"/>
        <v>7943</v>
      </c>
      <c r="E10507" s="2">
        <f t="shared" si="1632"/>
        <v>42583</v>
      </c>
      <c r="F10507" s="2">
        <f t="shared" si="1633"/>
        <v>44196</v>
      </c>
    </row>
    <row r="10508" spans="1:6" x14ac:dyDescent="0.25">
      <c r="A10508" s="1" t="s">
        <v>757</v>
      </c>
      <c r="B10508" s="1" t="s">
        <v>756</v>
      </c>
      <c r="C10508" s="1" t="s">
        <v>24</v>
      </c>
      <c r="D10508" s="3">
        <f t="shared" si="1631"/>
        <v>7943</v>
      </c>
      <c r="E10508" s="2">
        <f t="shared" si="1632"/>
        <v>42583</v>
      </c>
      <c r="F10508" s="2">
        <f t="shared" si="1633"/>
        <v>44196</v>
      </c>
    </row>
    <row r="10509" spans="1:6" x14ac:dyDescent="0.25">
      <c r="A10509" s="1" t="s">
        <v>757</v>
      </c>
      <c r="B10509" s="1" t="s">
        <v>756</v>
      </c>
      <c r="C10509" s="1" t="s">
        <v>70</v>
      </c>
      <c r="D10509" s="3">
        <f t="shared" si="1631"/>
        <v>7943</v>
      </c>
      <c r="E10509" s="2">
        <f t="shared" si="1632"/>
        <v>42583</v>
      </c>
      <c r="F10509" s="2">
        <f t="shared" si="1633"/>
        <v>44196</v>
      </c>
    </row>
    <row r="10510" spans="1:6" x14ac:dyDescent="0.25">
      <c r="A10510" s="1" t="s">
        <v>757</v>
      </c>
      <c r="B10510" s="1" t="s">
        <v>756</v>
      </c>
      <c r="C10510" s="1" t="s">
        <v>457</v>
      </c>
      <c r="D10510" s="3">
        <f t="shared" si="1631"/>
        <v>7943</v>
      </c>
      <c r="E10510" s="2">
        <f t="shared" si="1632"/>
        <v>42583</v>
      </c>
      <c r="F10510" s="2">
        <f t="shared" si="1633"/>
        <v>44196</v>
      </c>
    </row>
    <row r="10511" spans="1:6" x14ac:dyDescent="0.25">
      <c r="A10511" s="1" t="s">
        <v>757</v>
      </c>
      <c r="B10511" s="1" t="s">
        <v>756</v>
      </c>
      <c r="C10511" s="1" t="s">
        <v>73</v>
      </c>
      <c r="D10511" s="3">
        <f t="shared" si="1631"/>
        <v>7943</v>
      </c>
      <c r="E10511" s="2">
        <f t="shared" si="1632"/>
        <v>42583</v>
      </c>
      <c r="F10511" s="2">
        <f t="shared" si="1633"/>
        <v>44196</v>
      </c>
    </row>
    <row r="10512" spans="1:6" x14ac:dyDescent="0.25">
      <c r="A10512" s="1" t="s">
        <v>757</v>
      </c>
      <c r="B10512" s="1" t="s">
        <v>756</v>
      </c>
      <c r="C10512" s="1" t="s">
        <v>52</v>
      </c>
      <c r="D10512" s="3">
        <f t="shared" si="1631"/>
        <v>7943</v>
      </c>
      <c r="E10512" s="2">
        <f t="shared" si="1632"/>
        <v>42583</v>
      </c>
      <c r="F10512" s="2">
        <f t="shared" si="1633"/>
        <v>44196</v>
      </c>
    </row>
    <row r="10513" spans="1:6" x14ac:dyDescent="0.25">
      <c r="A10513" s="1" t="s">
        <v>757</v>
      </c>
      <c r="B10513" s="1" t="s">
        <v>756</v>
      </c>
      <c r="C10513" s="1" t="s">
        <v>350</v>
      </c>
      <c r="D10513" s="3">
        <f t="shared" si="1631"/>
        <v>7943</v>
      </c>
      <c r="E10513" s="2">
        <f t="shared" si="1632"/>
        <v>42583</v>
      </c>
      <c r="F10513" s="2">
        <f t="shared" si="1633"/>
        <v>44196</v>
      </c>
    </row>
    <row r="10514" spans="1:6" x14ac:dyDescent="0.25">
      <c r="A10514" s="1" t="s">
        <v>757</v>
      </c>
      <c r="B10514" s="1" t="s">
        <v>756</v>
      </c>
      <c r="C10514" s="1" t="s">
        <v>303</v>
      </c>
      <c r="D10514" s="3">
        <f t="shared" si="1631"/>
        <v>7943</v>
      </c>
      <c r="E10514" s="2">
        <f t="shared" si="1632"/>
        <v>42583</v>
      </c>
      <c r="F10514" s="2">
        <f t="shared" si="1633"/>
        <v>44196</v>
      </c>
    </row>
    <row r="10515" spans="1:6" x14ac:dyDescent="0.25">
      <c r="A10515" s="1" t="s">
        <v>757</v>
      </c>
      <c r="B10515" s="1" t="s">
        <v>756</v>
      </c>
      <c r="C10515" s="1" t="s">
        <v>378</v>
      </c>
      <c r="D10515" s="3">
        <f t="shared" si="1631"/>
        <v>7943</v>
      </c>
      <c r="E10515" s="2">
        <f t="shared" si="1632"/>
        <v>42583</v>
      </c>
      <c r="F10515" s="2">
        <f t="shared" si="1633"/>
        <v>44196</v>
      </c>
    </row>
    <row r="10516" spans="1:6" x14ac:dyDescent="0.25">
      <c r="A10516" s="1" t="s">
        <v>757</v>
      </c>
      <c r="B10516" s="1" t="s">
        <v>756</v>
      </c>
      <c r="C10516" s="1" t="s">
        <v>34</v>
      </c>
      <c r="D10516" s="3">
        <f t="shared" si="1631"/>
        <v>7943</v>
      </c>
      <c r="E10516" s="2">
        <f t="shared" si="1632"/>
        <v>42583</v>
      </c>
      <c r="F10516" s="2">
        <f t="shared" si="1633"/>
        <v>44196</v>
      </c>
    </row>
    <row r="10517" spans="1:6" x14ac:dyDescent="0.25">
      <c r="A10517" s="1" t="s">
        <v>757</v>
      </c>
      <c r="B10517" s="1" t="s">
        <v>756</v>
      </c>
      <c r="C10517" s="1" t="s">
        <v>306</v>
      </c>
      <c r="D10517" s="3">
        <f t="shared" si="1631"/>
        <v>7943</v>
      </c>
      <c r="E10517" s="2">
        <f t="shared" si="1632"/>
        <v>42583</v>
      </c>
      <c r="F10517" s="2">
        <f t="shared" si="1633"/>
        <v>44196</v>
      </c>
    </row>
    <row r="10518" spans="1:6" x14ac:dyDescent="0.25">
      <c r="A10518" s="1" t="s">
        <v>757</v>
      </c>
      <c r="B10518" s="1" t="s">
        <v>756</v>
      </c>
      <c r="C10518" s="1" t="s">
        <v>519</v>
      </c>
      <c r="D10518" s="3">
        <f t="shared" si="1631"/>
        <v>7943</v>
      </c>
      <c r="E10518" s="2">
        <f t="shared" si="1632"/>
        <v>42583</v>
      </c>
      <c r="F10518" s="2">
        <f t="shared" si="1633"/>
        <v>44196</v>
      </c>
    </row>
    <row r="10519" spans="1:6" x14ac:dyDescent="0.25">
      <c r="A10519" s="1" t="s">
        <v>757</v>
      </c>
      <c r="B10519" s="1" t="s">
        <v>756</v>
      </c>
      <c r="C10519" s="1" t="s">
        <v>169</v>
      </c>
      <c r="D10519" s="3">
        <f t="shared" si="1631"/>
        <v>7943</v>
      </c>
      <c r="E10519" s="2">
        <f t="shared" si="1632"/>
        <v>42583</v>
      </c>
      <c r="F10519" s="2">
        <f t="shared" si="1633"/>
        <v>44196</v>
      </c>
    </row>
    <row r="10520" spans="1:6" x14ac:dyDescent="0.25">
      <c r="A10520" s="1" t="s">
        <v>757</v>
      </c>
      <c r="B10520" s="1" t="s">
        <v>756</v>
      </c>
      <c r="C10520" s="1" t="s">
        <v>170</v>
      </c>
      <c r="D10520" s="3">
        <f t="shared" si="1631"/>
        <v>7943</v>
      </c>
      <c r="E10520" s="2">
        <f t="shared" si="1632"/>
        <v>42583</v>
      </c>
      <c r="F10520" s="2">
        <f t="shared" si="1633"/>
        <v>44196</v>
      </c>
    </row>
    <row r="10521" spans="1:6" x14ac:dyDescent="0.25">
      <c r="A10521" s="1" t="s">
        <v>757</v>
      </c>
      <c r="B10521" s="1" t="s">
        <v>2192</v>
      </c>
      <c r="C10521" s="1" t="s">
        <v>7</v>
      </c>
      <c r="D10521" s="3">
        <f t="shared" ref="D10521:D10527" si="1634">VALUE("7752")</f>
        <v>7752</v>
      </c>
      <c r="E10521" s="2">
        <f t="shared" ref="E10521:E10527" si="1635">DATEVALUE("1-4-2016")</f>
        <v>42461</v>
      </c>
      <c r="F10521" s="2">
        <f t="shared" ref="F10521:F10527" si="1636">DATEVALUE("30-9-2017")</f>
        <v>43008</v>
      </c>
    </row>
    <row r="10522" spans="1:6" x14ac:dyDescent="0.25">
      <c r="A10522" s="1" t="s">
        <v>757</v>
      </c>
      <c r="B10522" s="1" t="s">
        <v>2192</v>
      </c>
      <c r="C10522" s="1" t="s">
        <v>599</v>
      </c>
      <c r="D10522" s="3">
        <f t="shared" si="1634"/>
        <v>7752</v>
      </c>
      <c r="E10522" s="2">
        <f t="shared" si="1635"/>
        <v>42461</v>
      </c>
      <c r="F10522" s="2">
        <f t="shared" si="1636"/>
        <v>43008</v>
      </c>
    </row>
    <row r="10523" spans="1:6" x14ac:dyDescent="0.25">
      <c r="A10523" s="1" t="s">
        <v>757</v>
      </c>
      <c r="B10523" s="1" t="s">
        <v>2192</v>
      </c>
      <c r="C10523" s="1" t="s">
        <v>221</v>
      </c>
      <c r="D10523" s="3">
        <f t="shared" si="1634"/>
        <v>7752</v>
      </c>
      <c r="E10523" s="2">
        <f t="shared" si="1635"/>
        <v>42461</v>
      </c>
      <c r="F10523" s="2">
        <f t="shared" si="1636"/>
        <v>43008</v>
      </c>
    </row>
    <row r="10524" spans="1:6" x14ac:dyDescent="0.25">
      <c r="A10524" s="1" t="s">
        <v>757</v>
      </c>
      <c r="B10524" s="1" t="s">
        <v>2192</v>
      </c>
      <c r="C10524" s="1" t="s">
        <v>329</v>
      </c>
      <c r="D10524" s="3">
        <f t="shared" si="1634"/>
        <v>7752</v>
      </c>
      <c r="E10524" s="2">
        <f t="shared" si="1635"/>
        <v>42461</v>
      </c>
      <c r="F10524" s="2">
        <f t="shared" si="1636"/>
        <v>43008</v>
      </c>
    </row>
    <row r="10525" spans="1:6" x14ac:dyDescent="0.25">
      <c r="A10525" s="1" t="s">
        <v>757</v>
      </c>
      <c r="B10525" s="1" t="s">
        <v>2192</v>
      </c>
      <c r="C10525" s="1" t="s">
        <v>212</v>
      </c>
      <c r="D10525" s="3">
        <f t="shared" si="1634"/>
        <v>7752</v>
      </c>
      <c r="E10525" s="2">
        <f t="shared" si="1635"/>
        <v>42461</v>
      </c>
      <c r="F10525" s="2">
        <f t="shared" si="1636"/>
        <v>43008</v>
      </c>
    </row>
    <row r="10526" spans="1:6" x14ac:dyDescent="0.25">
      <c r="A10526" s="1" t="s">
        <v>757</v>
      </c>
      <c r="B10526" s="1" t="s">
        <v>2192</v>
      </c>
      <c r="C10526" s="1" t="s">
        <v>72</v>
      </c>
      <c r="D10526" s="3">
        <f t="shared" si="1634"/>
        <v>7752</v>
      </c>
      <c r="E10526" s="2">
        <f t="shared" si="1635"/>
        <v>42461</v>
      </c>
      <c r="F10526" s="2">
        <f t="shared" si="1636"/>
        <v>43008</v>
      </c>
    </row>
    <row r="10527" spans="1:6" x14ac:dyDescent="0.25">
      <c r="A10527" s="1" t="s">
        <v>757</v>
      </c>
      <c r="B10527" s="1" t="s">
        <v>2192</v>
      </c>
      <c r="C10527" s="1" t="s">
        <v>52</v>
      </c>
      <c r="D10527" s="3">
        <f t="shared" si="1634"/>
        <v>7752</v>
      </c>
      <c r="E10527" s="2">
        <f t="shared" si="1635"/>
        <v>42461</v>
      </c>
      <c r="F10527" s="2">
        <f t="shared" si="1636"/>
        <v>43008</v>
      </c>
    </row>
    <row r="10528" spans="1:6" x14ac:dyDescent="0.25">
      <c r="A10528" s="1" t="s">
        <v>757</v>
      </c>
      <c r="B10528" s="1" t="s">
        <v>2002</v>
      </c>
      <c r="C10528" s="1" t="s">
        <v>8</v>
      </c>
      <c r="D10528" s="3">
        <f t="shared" ref="D10528:D10546" si="1637">VALUE("7848")</f>
        <v>7848</v>
      </c>
      <c r="E10528" s="2">
        <f t="shared" ref="E10528:E10546" si="1638">DATEVALUE("1-2-2016")</f>
        <v>42401</v>
      </c>
      <c r="F10528" s="2">
        <f t="shared" ref="F10528:F10546" si="1639">DATEVALUE("31-3-2019")</f>
        <v>43555</v>
      </c>
    </row>
    <row r="10529" spans="1:6" x14ac:dyDescent="0.25">
      <c r="A10529" s="1" t="s">
        <v>757</v>
      </c>
      <c r="B10529" s="1" t="s">
        <v>2002</v>
      </c>
      <c r="C10529" s="1" t="s">
        <v>10</v>
      </c>
      <c r="D10529" s="3">
        <f t="shared" si="1637"/>
        <v>7848</v>
      </c>
      <c r="E10529" s="2">
        <f t="shared" si="1638"/>
        <v>42401</v>
      </c>
      <c r="F10529" s="2">
        <f t="shared" si="1639"/>
        <v>43555</v>
      </c>
    </row>
    <row r="10530" spans="1:6" x14ac:dyDescent="0.25">
      <c r="A10530" s="1" t="s">
        <v>757</v>
      </c>
      <c r="B10530" s="1" t="s">
        <v>2002</v>
      </c>
      <c r="C10530" s="1" t="s">
        <v>61</v>
      </c>
      <c r="D10530" s="3">
        <f t="shared" si="1637"/>
        <v>7848</v>
      </c>
      <c r="E10530" s="2">
        <f t="shared" si="1638"/>
        <v>42401</v>
      </c>
      <c r="F10530" s="2">
        <f t="shared" si="1639"/>
        <v>43555</v>
      </c>
    </row>
    <row r="10531" spans="1:6" x14ac:dyDescent="0.25">
      <c r="A10531" s="1" t="s">
        <v>757</v>
      </c>
      <c r="B10531" s="1" t="s">
        <v>2002</v>
      </c>
      <c r="C10531" s="1" t="s">
        <v>14</v>
      </c>
      <c r="D10531" s="3">
        <f t="shared" si="1637"/>
        <v>7848</v>
      </c>
      <c r="E10531" s="2">
        <f t="shared" si="1638"/>
        <v>42401</v>
      </c>
      <c r="F10531" s="2">
        <f t="shared" si="1639"/>
        <v>43555</v>
      </c>
    </row>
    <row r="10532" spans="1:6" x14ac:dyDescent="0.25">
      <c r="A10532" s="1" t="s">
        <v>757</v>
      </c>
      <c r="B10532" s="1" t="s">
        <v>2002</v>
      </c>
      <c r="C10532" s="1" t="s">
        <v>66</v>
      </c>
      <c r="D10532" s="3">
        <f t="shared" si="1637"/>
        <v>7848</v>
      </c>
      <c r="E10532" s="2">
        <f t="shared" si="1638"/>
        <v>42401</v>
      </c>
      <c r="F10532" s="2">
        <f t="shared" si="1639"/>
        <v>43555</v>
      </c>
    </row>
    <row r="10533" spans="1:6" x14ac:dyDescent="0.25">
      <c r="A10533" s="1" t="s">
        <v>757</v>
      </c>
      <c r="B10533" s="1" t="s">
        <v>2002</v>
      </c>
      <c r="C10533" s="1" t="s">
        <v>16</v>
      </c>
      <c r="D10533" s="3">
        <f t="shared" si="1637"/>
        <v>7848</v>
      </c>
      <c r="E10533" s="2">
        <f t="shared" si="1638"/>
        <v>42401</v>
      </c>
      <c r="F10533" s="2">
        <f t="shared" si="1639"/>
        <v>43555</v>
      </c>
    </row>
    <row r="10534" spans="1:6" x14ac:dyDescent="0.25">
      <c r="A10534" s="1" t="s">
        <v>757</v>
      </c>
      <c r="B10534" s="1" t="s">
        <v>2002</v>
      </c>
      <c r="C10534" s="1" t="s">
        <v>89</v>
      </c>
      <c r="D10534" s="3">
        <f t="shared" si="1637"/>
        <v>7848</v>
      </c>
      <c r="E10534" s="2">
        <f t="shared" si="1638"/>
        <v>42401</v>
      </c>
      <c r="F10534" s="2">
        <f t="shared" si="1639"/>
        <v>43555</v>
      </c>
    </row>
    <row r="10535" spans="1:6" x14ac:dyDescent="0.25">
      <c r="A10535" s="1" t="s">
        <v>757</v>
      </c>
      <c r="B10535" s="1" t="s">
        <v>2002</v>
      </c>
      <c r="C10535" s="1" t="s">
        <v>17</v>
      </c>
      <c r="D10535" s="3">
        <f t="shared" si="1637"/>
        <v>7848</v>
      </c>
      <c r="E10535" s="2">
        <f t="shared" si="1638"/>
        <v>42401</v>
      </c>
      <c r="F10535" s="2">
        <f t="shared" si="1639"/>
        <v>43555</v>
      </c>
    </row>
    <row r="10536" spans="1:6" x14ac:dyDescent="0.25">
      <c r="A10536" s="1" t="s">
        <v>757</v>
      </c>
      <c r="B10536" s="1" t="s">
        <v>2002</v>
      </c>
      <c r="C10536" s="1" t="s">
        <v>22</v>
      </c>
      <c r="D10536" s="3">
        <f t="shared" si="1637"/>
        <v>7848</v>
      </c>
      <c r="E10536" s="2">
        <f t="shared" si="1638"/>
        <v>42401</v>
      </c>
      <c r="F10536" s="2">
        <f t="shared" si="1639"/>
        <v>43555</v>
      </c>
    </row>
    <row r="10537" spans="1:6" x14ac:dyDescent="0.25">
      <c r="A10537" s="1" t="s">
        <v>757</v>
      </c>
      <c r="B10537" s="1" t="s">
        <v>2002</v>
      </c>
      <c r="C10537" s="1" t="s">
        <v>514</v>
      </c>
      <c r="D10537" s="3">
        <f t="shared" si="1637"/>
        <v>7848</v>
      </c>
      <c r="E10537" s="2">
        <f t="shared" si="1638"/>
        <v>42401</v>
      </c>
      <c r="F10537" s="2">
        <f t="shared" si="1639"/>
        <v>43555</v>
      </c>
    </row>
    <row r="10538" spans="1:6" x14ac:dyDescent="0.25">
      <c r="A10538" s="1" t="s">
        <v>757</v>
      </c>
      <c r="B10538" s="1" t="s">
        <v>2002</v>
      </c>
      <c r="C10538" s="1" t="s">
        <v>515</v>
      </c>
      <c r="D10538" s="3">
        <f t="shared" si="1637"/>
        <v>7848</v>
      </c>
      <c r="E10538" s="2">
        <f t="shared" si="1638"/>
        <v>42401</v>
      </c>
      <c r="F10538" s="2">
        <f t="shared" si="1639"/>
        <v>43555</v>
      </c>
    </row>
    <row r="10539" spans="1:6" x14ac:dyDescent="0.25">
      <c r="A10539" s="1" t="s">
        <v>757</v>
      </c>
      <c r="B10539" s="1" t="s">
        <v>2002</v>
      </c>
      <c r="C10539" s="1" t="s">
        <v>775</v>
      </c>
      <c r="D10539" s="3">
        <f t="shared" si="1637"/>
        <v>7848</v>
      </c>
      <c r="E10539" s="2">
        <f t="shared" si="1638"/>
        <v>42401</v>
      </c>
      <c r="F10539" s="2">
        <f t="shared" si="1639"/>
        <v>43555</v>
      </c>
    </row>
    <row r="10540" spans="1:6" x14ac:dyDescent="0.25">
      <c r="A10540" s="1" t="s">
        <v>757</v>
      </c>
      <c r="B10540" s="1" t="s">
        <v>2002</v>
      </c>
      <c r="C10540" s="1" t="s">
        <v>24</v>
      </c>
      <c r="D10540" s="3">
        <f t="shared" si="1637"/>
        <v>7848</v>
      </c>
      <c r="E10540" s="2">
        <f t="shared" si="1638"/>
        <v>42401</v>
      </c>
      <c r="F10540" s="2">
        <f t="shared" si="1639"/>
        <v>43555</v>
      </c>
    </row>
    <row r="10541" spans="1:6" x14ac:dyDescent="0.25">
      <c r="A10541" s="1" t="s">
        <v>757</v>
      </c>
      <c r="B10541" s="1" t="s">
        <v>2002</v>
      </c>
      <c r="C10541" s="1" t="s">
        <v>72</v>
      </c>
      <c r="D10541" s="3">
        <f t="shared" si="1637"/>
        <v>7848</v>
      </c>
      <c r="E10541" s="2">
        <f t="shared" si="1638"/>
        <v>42401</v>
      </c>
      <c r="F10541" s="2">
        <f t="shared" si="1639"/>
        <v>43555</v>
      </c>
    </row>
    <row r="10542" spans="1:6" x14ac:dyDescent="0.25">
      <c r="A10542" s="1" t="s">
        <v>757</v>
      </c>
      <c r="B10542" s="1" t="s">
        <v>2002</v>
      </c>
      <c r="C10542" s="1" t="s">
        <v>52</v>
      </c>
      <c r="D10542" s="3">
        <f t="shared" si="1637"/>
        <v>7848</v>
      </c>
      <c r="E10542" s="2">
        <f t="shared" si="1638"/>
        <v>42401</v>
      </c>
      <c r="F10542" s="2">
        <f t="shared" si="1639"/>
        <v>43555</v>
      </c>
    </row>
    <row r="10543" spans="1:6" x14ac:dyDescent="0.25">
      <c r="A10543" s="1" t="s">
        <v>757</v>
      </c>
      <c r="B10543" s="1" t="s">
        <v>2002</v>
      </c>
      <c r="C10543" s="1" t="s">
        <v>350</v>
      </c>
      <c r="D10543" s="3">
        <f t="shared" si="1637"/>
        <v>7848</v>
      </c>
      <c r="E10543" s="2">
        <f t="shared" si="1638"/>
        <v>42401</v>
      </c>
      <c r="F10543" s="2">
        <f t="shared" si="1639"/>
        <v>43555</v>
      </c>
    </row>
    <row r="10544" spans="1:6" x14ac:dyDescent="0.25">
      <c r="A10544" s="1" t="s">
        <v>757</v>
      </c>
      <c r="B10544" s="1" t="s">
        <v>2002</v>
      </c>
      <c r="C10544" s="1" t="s">
        <v>351</v>
      </c>
      <c r="D10544" s="3">
        <f t="shared" si="1637"/>
        <v>7848</v>
      </c>
      <c r="E10544" s="2">
        <f t="shared" si="1638"/>
        <v>42401</v>
      </c>
      <c r="F10544" s="2">
        <f t="shared" si="1639"/>
        <v>43555</v>
      </c>
    </row>
    <row r="10545" spans="1:6" x14ac:dyDescent="0.25">
      <c r="A10545" s="1" t="s">
        <v>757</v>
      </c>
      <c r="B10545" s="1" t="s">
        <v>2002</v>
      </c>
      <c r="C10545" s="1" t="s">
        <v>2003</v>
      </c>
      <c r="D10545" s="3">
        <f t="shared" si="1637"/>
        <v>7848</v>
      </c>
      <c r="E10545" s="2">
        <f t="shared" si="1638"/>
        <v>42401</v>
      </c>
      <c r="F10545" s="2">
        <f t="shared" si="1639"/>
        <v>43555</v>
      </c>
    </row>
    <row r="10546" spans="1:6" x14ac:dyDescent="0.25">
      <c r="A10546" s="1" t="s">
        <v>757</v>
      </c>
      <c r="B10546" s="1" t="s">
        <v>2002</v>
      </c>
      <c r="C10546" s="1" t="s">
        <v>34</v>
      </c>
      <c r="D10546" s="3">
        <f t="shared" si="1637"/>
        <v>7848</v>
      </c>
      <c r="E10546" s="2">
        <f t="shared" si="1638"/>
        <v>42401</v>
      </c>
      <c r="F10546" s="2">
        <f t="shared" si="1639"/>
        <v>43555</v>
      </c>
    </row>
    <row r="10547" spans="1:6" x14ac:dyDescent="0.25">
      <c r="A10547" s="1" t="s">
        <v>757</v>
      </c>
      <c r="B10547" s="1" t="s">
        <v>2222</v>
      </c>
      <c r="C10547" s="1" t="s">
        <v>8</v>
      </c>
      <c r="D10547" s="3">
        <f t="shared" ref="D10547:D10563" si="1640">VALUE("7846")</f>
        <v>7846</v>
      </c>
      <c r="E10547" s="2">
        <f t="shared" ref="E10547:E10563" si="1641">DATEVALUE("1-1-2016")</f>
        <v>42370</v>
      </c>
      <c r="F10547" s="2">
        <f t="shared" ref="F10547:F10563" si="1642">DATEVALUE("28-2-2017")</f>
        <v>42794</v>
      </c>
    </row>
    <row r="10548" spans="1:6" x14ac:dyDescent="0.25">
      <c r="A10548" s="1" t="s">
        <v>757</v>
      </c>
      <c r="B10548" s="1" t="s">
        <v>2222</v>
      </c>
      <c r="C10548" s="1" t="s">
        <v>10</v>
      </c>
      <c r="D10548" s="3">
        <f t="shared" si="1640"/>
        <v>7846</v>
      </c>
      <c r="E10548" s="2">
        <f t="shared" si="1641"/>
        <v>42370</v>
      </c>
      <c r="F10548" s="2">
        <f t="shared" si="1642"/>
        <v>42794</v>
      </c>
    </row>
    <row r="10549" spans="1:6" x14ac:dyDescent="0.25">
      <c r="A10549" s="1" t="s">
        <v>757</v>
      </c>
      <c r="B10549" s="1" t="s">
        <v>2222</v>
      </c>
      <c r="C10549" s="1" t="s">
        <v>61</v>
      </c>
      <c r="D10549" s="3">
        <f t="shared" si="1640"/>
        <v>7846</v>
      </c>
      <c r="E10549" s="2">
        <f t="shared" si="1641"/>
        <v>42370</v>
      </c>
      <c r="F10549" s="2">
        <f t="shared" si="1642"/>
        <v>42794</v>
      </c>
    </row>
    <row r="10550" spans="1:6" x14ac:dyDescent="0.25">
      <c r="A10550" s="1" t="s">
        <v>757</v>
      </c>
      <c r="B10550" s="1" t="s">
        <v>2222</v>
      </c>
      <c r="C10550" s="1" t="s">
        <v>45</v>
      </c>
      <c r="D10550" s="3">
        <f t="shared" si="1640"/>
        <v>7846</v>
      </c>
      <c r="E10550" s="2">
        <f t="shared" si="1641"/>
        <v>42370</v>
      </c>
      <c r="F10550" s="2">
        <f t="shared" si="1642"/>
        <v>42794</v>
      </c>
    </row>
    <row r="10551" spans="1:6" x14ac:dyDescent="0.25">
      <c r="A10551" s="1" t="s">
        <v>757</v>
      </c>
      <c r="B10551" s="1" t="s">
        <v>2222</v>
      </c>
      <c r="C10551" s="1" t="s">
        <v>66</v>
      </c>
      <c r="D10551" s="3">
        <f t="shared" si="1640"/>
        <v>7846</v>
      </c>
      <c r="E10551" s="2">
        <f t="shared" si="1641"/>
        <v>42370</v>
      </c>
      <c r="F10551" s="2">
        <f t="shared" si="1642"/>
        <v>42794</v>
      </c>
    </row>
    <row r="10552" spans="1:6" x14ac:dyDescent="0.25">
      <c r="A10552" s="1" t="s">
        <v>757</v>
      </c>
      <c r="B10552" s="1" t="s">
        <v>2222</v>
      </c>
      <c r="C10552" s="1" t="s">
        <v>15</v>
      </c>
      <c r="D10552" s="3">
        <f t="shared" si="1640"/>
        <v>7846</v>
      </c>
      <c r="E10552" s="2">
        <f t="shared" si="1641"/>
        <v>42370</v>
      </c>
      <c r="F10552" s="2">
        <f t="shared" si="1642"/>
        <v>42794</v>
      </c>
    </row>
    <row r="10553" spans="1:6" x14ac:dyDescent="0.25">
      <c r="A10553" s="1" t="s">
        <v>757</v>
      </c>
      <c r="B10553" s="1" t="s">
        <v>2222</v>
      </c>
      <c r="C10553" s="1" t="s">
        <v>89</v>
      </c>
      <c r="D10553" s="3">
        <f t="shared" si="1640"/>
        <v>7846</v>
      </c>
      <c r="E10553" s="2">
        <f t="shared" si="1641"/>
        <v>42370</v>
      </c>
      <c r="F10553" s="2">
        <f t="shared" si="1642"/>
        <v>42794</v>
      </c>
    </row>
    <row r="10554" spans="1:6" x14ac:dyDescent="0.25">
      <c r="A10554" s="1" t="s">
        <v>757</v>
      </c>
      <c r="B10554" s="1" t="s">
        <v>2222</v>
      </c>
      <c r="C10554" s="1" t="s">
        <v>17</v>
      </c>
      <c r="D10554" s="3">
        <f t="shared" si="1640"/>
        <v>7846</v>
      </c>
      <c r="E10554" s="2">
        <f t="shared" si="1641"/>
        <v>42370</v>
      </c>
      <c r="F10554" s="2">
        <f t="shared" si="1642"/>
        <v>42794</v>
      </c>
    </row>
    <row r="10555" spans="1:6" x14ac:dyDescent="0.25">
      <c r="A10555" s="1" t="s">
        <v>757</v>
      </c>
      <c r="B10555" s="1" t="s">
        <v>2222</v>
      </c>
      <c r="C10555" s="1" t="s">
        <v>91</v>
      </c>
      <c r="D10555" s="3">
        <f t="shared" si="1640"/>
        <v>7846</v>
      </c>
      <c r="E10555" s="2">
        <f t="shared" si="1641"/>
        <v>42370</v>
      </c>
      <c r="F10555" s="2">
        <f t="shared" si="1642"/>
        <v>42794</v>
      </c>
    </row>
    <row r="10556" spans="1:6" x14ac:dyDescent="0.25">
      <c r="A10556" s="1" t="s">
        <v>757</v>
      </c>
      <c r="B10556" s="1" t="s">
        <v>2222</v>
      </c>
      <c r="C10556" s="1" t="s">
        <v>22</v>
      </c>
      <c r="D10556" s="3">
        <f t="shared" si="1640"/>
        <v>7846</v>
      </c>
      <c r="E10556" s="2">
        <f t="shared" si="1641"/>
        <v>42370</v>
      </c>
      <c r="F10556" s="2">
        <f t="shared" si="1642"/>
        <v>42794</v>
      </c>
    </row>
    <row r="10557" spans="1:6" x14ac:dyDescent="0.25">
      <c r="A10557" s="1" t="s">
        <v>757</v>
      </c>
      <c r="B10557" s="1" t="s">
        <v>2222</v>
      </c>
      <c r="C10557" s="1" t="s">
        <v>514</v>
      </c>
      <c r="D10557" s="3">
        <f t="shared" si="1640"/>
        <v>7846</v>
      </c>
      <c r="E10557" s="2">
        <f t="shared" si="1641"/>
        <v>42370</v>
      </c>
      <c r="F10557" s="2">
        <f t="shared" si="1642"/>
        <v>42794</v>
      </c>
    </row>
    <row r="10558" spans="1:6" x14ac:dyDescent="0.25">
      <c r="A10558" s="1" t="s">
        <v>757</v>
      </c>
      <c r="B10558" s="1" t="s">
        <v>2222</v>
      </c>
      <c r="C10558" s="1" t="s">
        <v>515</v>
      </c>
      <c r="D10558" s="3">
        <f t="shared" si="1640"/>
        <v>7846</v>
      </c>
      <c r="E10558" s="2">
        <f t="shared" si="1641"/>
        <v>42370</v>
      </c>
      <c r="F10558" s="2">
        <f t="shared" si="1642"/>
        <v>42794</v>
      </c>
    </row>
    <row r="10559" spans="1:6" x14ac:dyDescent="0.25">
      <c r="A10559" s="1" t="s">
        <v>757</v>
      </c>
      <c r="B10559" s="1" t="s">
        <v>2222</v>
      </c>
      <c r="C10559" s="1" t="s">
        <v>69</v>
      </c>
      <c r="D10559" s="3">
        <f t="shared" si="1640"/>
        <v>7846</v>
      </c>
      <c r="E10559" s="2">
        <f t="shared" si="1641"/>
        <v>42370</v>
      </c>
      <c r="F10559" s="2">
        <f t="shared" si="1642"/>
        <v>42794</v>
      </c>
    </row>
    <row r="10560" spans="1:6" x14ac:dyDescent="0.25">
      <c r="A10560" s="1" t="s">
        <v>757</v>
      </c>
      <c r="B10560" s="1" t="s">
        <v>2222</v>
      </c>
      <c r="C10560" s="1" t="s">
        <v>102</v>
      </c>
      <c r="D10560" s="3">
        <f t="shared" si="1640"/>
        <v>7846</v>
      </c>
      <c r="E10560" s="2">
        <f t="shared" si="1641"/>
        <v>42370</v>
      </c>
      <c r="F10560" s="2">
        <f t="shared" si="1642"/>
        <v>42794</v>
      </c>
    </row>
    <row r="10561" spans="1:6" x14ac:dyDescent="0.25">
      <c r="A10561" s="1" t="s">
        <v>757</v>
      </c>
      <c r="B10561" s="1" t="s">
        <v>2222</v>
      </c>
      <c r="C10561" s="1" t="s">
        <v>103</v>
      </c>
      <c r="D10561" s="3">
        <f t="shared" si="1640"/>
        <v>7846</v>
      </c>
      <c r="E10561" s="2">
        <f t="shared" si="1641"/>
        <v>42370</v>
      </c>
      <c r="F10561" s="2">
        <f t="shared" si="1642"/>
        <v>42794</v>
      </c>
    </row>
    <row r="10562" spans="1:6" x14ac:dyDescent="0.25">
      <c r="A10562" s="1" t="s">
        <v>757</v>
      </c>
      <c r="B10562" s="1" t="s">
        <v>2222</v>
      </c>
      <c r="C10562" s="1" t="s">
        <v>57</v>
      </c>
      <c r="D10562" s="3">
        <f t="shared" si="1640"/>
        <v>7846</v>
      </c>
      <c r="E10562" s="2">
        <f t="shared" si="1641"/>
        <v>42370</v>
      </c>
      <c r="F10562" s="2">
        <f t="shared" si="1642"/>
        <v>42794</v>
      </c>
    </row>
    <row r="10563" spans="1:6" x14ac:dyDescent="0.25">
      <c r="A10563" s="1" t="s">
        <v>757</v>
      </c>
      <c r="B10563" s="1" t="s">
        <v>2222</v>
      </c>
      <c r="C10563" s="1" t="s">
        <v>36</v>
      </c>
      <c r="D10563" s="3">
        <f t="shared" si="1640"/>
        <v>7846</v>
      </c>
      <c r="E10563" s="2">
        <f t="shared" si="1641"/>
        <v>42370</v>
      </c>
      <c r="F10563" s="2">
        <f t="shared" si="1642"/>
        <v>42794</v>
      </c>
    </row>
    <row r="10564" spans="1:6" x14ac:dyDescent="0.25">
      <c r="A10564" s="1" t="s">
        <v>757</v>
      </c>
      <c r="B10564" s="1" t="s">
        <v>1746</v>
      </c>
      <c r="C10564" s="1" t="s">
        <v>7</v>
      </c>
      <c r="D10564" s="3">
        <f>VALUE("7832")</f>
        <v>7832</v>
      </c>
      <c r="E10564" s="2">
        <f>DATEVALUE("1-12-2015")</f>
        <v>42339</v>
      </c>
      <c r="F10564" s="2">
        <f>DATEVALUE("30-4-2016")</f>
        <v>42490</v>
      </c>
    </row>
    <row r="10565" spans="1:6" x14ac:dyDescent="0.25">
      <c r="A10565" s="1" t="s">
        <v>757</v>
      </c>
      <c r="B10565" s="1" t="s">
        <v>1746</v>
      </c>
      <c r="C10565" s="1" t="s">
        <v>599</v>
      </c>
      <c r="D10565" s="3">
        <f>VALUE("7832")</f>
        <v>7832</v>
      </c>
      <c r="E10565" s="2">
        <f>DATEVALUE("1-12-2015")</f>
        <v>42339</v>
      </c>
      <c r="F10565" s="2">
        <f>DATEVALUE("30-4-2016")</f>
        <v>42490</v>
      </c>
    </row>
    <row r="10566" spans="1:6" x14ac:dyDescent="0.25">
      <c r="A10566" s="1" t="s">
        <v>757</v>
      </c>
      <c r="B10566" s="1" t="s">
        <v>1746</v>
      </c>
      <c r="C10566" s="1" t="s">
        <v>221</v>
      </c>
      <c r="D10566" s="3">
        <f>VALUE("7832")</f>
        <v>7832</v>
      </c>
      <c r="E10566" s="2">
        <f>DATEVALUE("1-12-2015")</f>
        <v>42339</v>
      </c>
      <c r="F10566" s="2">
        <f>DATEVALUE("30-4-2016")</f>
        <v>42490</v>
      </c>
    </row>
    <row r="10567" spans="1:6" x14ac:dyDescent="0.25">
      <c r="A10567" s="1" t="s">
        <v>757</v>
      </c>
      <c r="B10567" s="1" t="s">
        <v>1746</v>
      </c>
      <c r="C10567" s="1" t="s">
        <v>52</v>
      </c>
      <c r="D10567" s="3">
        <f>VALUE("7832")</f>
        <v>7832</v>
      </c>
      <c r="E10567" s="2">
        <f>DATEVALUE("1-12-2015")</f>
        <v>42339</v>
      </c>
      <c r="F10567" s="2">
        <f>DATEVALUE("30-4-2016")</f>
        <v>42490</v>
      </c>
    </row>
    <row r="10568" spans="1:6" x14ac:dyDescent="0.25">
      <c r="A10568" s="1" t="s">
        <v>757</v>
      </c>
      <c r="B10568" s="1" t="s">
        <v>2203</v>
      </c>
      <c r="C10568" s="1" t="s">
        <v>7</v>
      </c>
      <c r="D10568" s="3">
        <f t="shared" ref="D10568:D10578" si="1643">VALUE("7804")</f>
        <v>7804</v>
      </c>
      <c r="E10568" s="2">
        <f t="shared" ref="E10568:E10580" si="1644">DATEVALUE("1-10-2015")</f>
        <v>42278</v>
      </c>
      <c r="F10568" s="2">
        <f t="shared" ref="F10568:F10578" si="1645">DATEVALUE("31-8-2016")</f>
        <v>42613</v>
      </c>
    </row>
    <row r="10569" spans="1:6" x14ac:dyDescent="0.25">
      <c r="A10569" s="1" t="s">
        <v>757</v>
      </c>
      <c r="B10569" s="1" t="s">
        <v>2203</v>
      </c>
      <c r="C10569" s="1" t="s">
        <v>599</v>
      </c>
      <c r="D10569" s="3">
        <f t="shared" si="1643"/>
        <v>7804</v>
      </c>
      <c r="E10569" s="2">
        <f t="shared" si="1644"/>
        <v>42278</v>
      </c>
      <c r="F10569" s="2">
        <f t="shared" si="1645"/>
        <v>42613</v>
      </c>
    </row>
    <row r="10570" spans="1:6" x14ac:dyDescent="0.25">
      <c r="A10570" s="1" t="s">
        <v>757</v>
      </c>
      <c r="B10570" s="1" t="s">
        <v>2203</v>
      </c>
      <c r="C10570" s="1" t="s">
        <v>17</v>
      </c>
      <c r="D10570" s="3">
        <f t="shared" si="1643"/>
        <v>7804</v>
      </c>
      <c r="E10570" s="2">
        <f t="shared" si="1644"/>
        <v>42278</v>
      </c>
      <c r="F10570" s="2">
        <f t="shared" si="1645"/>
        <v>42613</v>
      </c>
    </row>
    <row r="10571" spans="1:6" x14ac:dyDescent="0.25">
      <c r="A10571" s="1" t="s">
        <v>757</v>
      </c>
      <c r="B10571" s="1" t="s">
        <v>2203</v>
      </c>
      <c r="C10571" s="1" t="s">
        <v>22</v>
      </c>
      <c r="D10571" s="3">
        <f t="shared" si="1643"/>
        <v>7804</v>
      </c>
      <c r="E10571" s="2">
        <f t="shared" si="1644"/>
        <v>42278</v>
      </c>
      <c r="F10571" s="2">
        <f t="shared" si="1645"/>
        <v>42613</v>
      </c>
    </row>
    <row r="10572" spans="1:6" x14ac:dyDescent="0.25">
      <c r="A10572" s="1" t="s">
        <v>757</v>
      </c>
      <c r="B10572" s="1" t="s">
        <v>2203</v>
      </c>
      <c r="C10572" s="1" t="s">
        <v>148</v>
      </c>
      <c r="D10572" s="3">
        <f t="shared" si="1643"/>
        <v>7804</v>
      </c>
      <c r="E10572" s="2">
        <f t="shared" si="1644"/>
        <v>42278</v>
      </c>
      <c r="F10572" s="2">
        <f t="shared" si="1645"/>
        <v>42613</v>
      </c>
    </row>
    <row r="10573" spans="1:6" x14ac:dyDescent="0.25">
      <c r="A10573" s="1" t="s">
        <v>757</v>
      </c>
      <c r="B10573" s="1" t="s">
        <v>2203</v>
      </c>
      <c r="C10573" s="1" t="s">
        <v>150</v>
      </c>
      <c r="D10573" s="3">
        <f t="shared" si="1643"/>
        <v>7804</v>
      </c>
      <c r="E10573" s="2">
        <f t="shared" si="1644"/>
        <v>42278</v>
      </c>
      <c r="F10573" s="2">
        <f t="shared" si="1645"/>
        <v>42613</v>
      </c>
    </row>
    <row r="10574" spans="1:6" x14ac:dyDescent="0.25">
      <c r="A10574" s="1" t="s">
        <v>757</v>
      </c>
      <c r="B10574" s="1" t="s">
        <v>2203</v>
      </c>
      <c r="C10574" s="1" t="s">
        <v>654</v>
      </c>
      <c r="D10574" s="3">
        <f t="shared" si="1643"/>
        <v>7804</v>
      </c>
      <c r="E10574" s="2">
        <f t="shared" si="1644"/>
        <v>42278</v>
      </c>
      <c r="F10574" s="2">
        <f t="shared" si="1645"/>
        <v>42613</v>
      </c>
    </row>
    <row r="10575" spans="1:6" x14ac:dyDescent="0.25">
      <c r="A10575" s="1" t="s">
        <v>757</v>
      </c>
      <c r="B10575" s="1" t="s">
        <v>2203</v>
      </c>
      <c r="C10575" s="1" t="s">
        <v>72</v>
      </c>
      <c r="D10575" s="3">
        <f t="shared" si="1643"/>
        <v>7804</v>
      </c>
      <c r="E10575" s="2">
        <f t="shared" si="1644"/>
        <v>42278</v>
      </c>
      <c r="F10575" s="2">
        <f t="shared" si="1645"/>
        <v>42613</v>
      </c>
    </row>
    <row r="10576" spans="1:6" x14ac:dyDescent="0.25">
      <c r="A10576" s="1" t="s">
        <v>757</v>
      </c>
      <c r="B10576" s="1" t="s">
        <v>2203</v>
      </c>
      <c r="C10576" s="1" t="s">
        <v>73</v>
      </c>
      <c r="D10576" s="3">
        <f t="shared" si="1643"/>
        <v>7804</v>
      </c>
      <c r="E10576" s="2">
        <f t="shared" si="1644"/>
        <v>42278</v>
      </c>
      <c r="F10576" s="2">
        <f t="shared" si="1645"/>
        <v>42613</v>
      </c>
    </row>
    <row r="10577" spans="1:6" x14ac:dyDescent="0.25">
      <c r="A10577" s="1" t="s">
        <v>757</v>
      </c>
      <c r="B10577" s="1" t="s">
        <v>2203</v>
      </c>
      <c r="C10577" s="1" t="s">
        <v>52</v>
      </c>
      <c r="D10577" s="3">
        <f t="shared" si="1643"/>
        <v>7804</v>
      </c>
      <c r="E10577" s="2">
        <f t="shared" si="1644"/>
        <v>42278</v>
      </c>
      <c r="F10577" s="2">
        <f t="shared" si="1645"/>
        <v>42613</v>
      </c>
    </row>
    <row r="10578" spans="1:6" x14ac:dyDescent="0.25">
      <c r="A10578" s="1" t="s">
        <v>757</v>
      </c>
      <c r="B10578" s="1" t="s">
        <v>2203</v>
      </c>
      <c r="C10578" s="1" t="s">
        <v>36</v>
      </c>
      <c r="D10578" s="3">
        <f t="shared" si="1643"/>
        <v>7804</v>
      </c>
      <c r="E10578" s="2">
        <f t="shared" si="1644"/>
        <v>42278</v>
      </c>
      <c r="F10578" s="2">
        <f t="shared" si="1645"/>
        <v>42613</v>
      </c>
    </row>
    <row r="10579" spans="1:6" x14ac:dyDescent="0.25">
      <c r="A10579" s="1" t="s">
        <v>757</v>
      </c>
      <c r="B10579" s="1" t="s">
        <v>1998</v>
      </c>
      <c r="C10579" s="1" t="s">
        <v>7</v>
      </c>
      <c r="D10579" s="3">
        <f>VALUE("7814")</f>
        <v>7814</v>
      </c>
      <c r="E10579" s="2">
        <f t="shared" si="1644"/>
        <v>42278</v>
      </c>
      <c r="F10579" s="2">
        <f>DATEVALUE("31-10-2015")</f>
        <v>42308</v>
      </c>
    </row>
    <row r="10580" spans="1:6" x14ac:dyDescent="0.25">
      <c r="A10580" s="1" t="s">
        <v>757</v>
      </c>
      <c r="B10580" s="1" t="s">
        <v>1998</v>
      </c>
      <c r="C10580" s="1" t="s">
        <v>212</v>
      </c>
      <c r="D10580" s="3">
        <f>VALUE("7814")</f>
        <v>7814</v>
      </c>
      <c r="E10580" s="2">
        <f t="shared" si="1644"/>
        <v>42278</v>
      </c>
      <c r="F10580" s="2">
        <f>DATEVALUE("31-10-2015")</f>
        <v>42308</v>
      </c>
    </row>
    <row r="10581" spans="1:6" x14ac:dyDescent="0.25">
      <c r="A10581" s="1" t="s">
        <v>757</v>
      </c>
      <c r="B10581" s="1" t="s">
        <v>1961</v>
      </c>
      <c r="C10581" s="1" t="s">
        <v>14</v>
      </c>
      <c r="D10581" s="3">
        <f t="shared" ref="D10581:D10587" si="1646">VALUE("7727")</f>
        <v>7727</v>
      </c>
      <c r="E10581" s="2">
        <f t="shared" ref="E10581:E10587" si="1647">DATEVALUE("1-4-2015")</f>
        <v>42095</v>
      </c>
      <c r="F10581" s="2">
        <f t="shared" ref="F10581:F10587" si="1648">DATEVALUE("30-9-2015")</f>
        <v>42277</v>
      </c>
    </row>
    <row r="10582" spans="1:6" x14ac:dyDescent="0.25">
      <c r="A10582" s="1" t="s">
        <v>757</v>
      </c>
      <c r="B10582" s="1" t="s">
        <v>1961</v>
      </c>
      <c r="C10582" s="1" t="s">
        <v>22</v>
      </c>
      <c r="D10582" s="3">
        <f t="shared" si="1646"/>
        <v>7727</v>
      </c>
      <c r="E10582" s="2">
        <f t="shared" si="1647"/>
        <v>42095</v>
      </c>
      <c r="F10582" s="2">
        <f t="shared" si="1648"/>
        <v>42277</v>
      </c>
    </row>
    <row r="10583" spans="1:6" x14ac:dyDescent="0.25">
      <c r="A10583" s="1" t="s">
        <v>757</v>
      </c>
      <c r="B10583" s="1" t="s">
        <v>1961</v>
      </c>
      <c r="C10583" s="1" t="s">
        <v>148</v>
      </c>
      <c r="D10583" s="3">
        <f t="shared" si="1646"/>
        <v>7727</v>
      </c>
      <c r="E10583" s="2">
        <f t="shared" si="1647"/>
        <v>42095</v>
      </c>
      <c r="F10583" s="2">
        <f t="shared" si="1648"/>
        <v>42277</v>
      </c>
    </row>
    <row r="10584" spans="1:6" x14ac:dyDescent="0.25">
      <c r="A10584" s="1" t="s">
        <v>757</v>
      </c>
      <c r="B10584" s="1" t="s">
        <v>1961</v>
      </c>
      <c r="C10584" s="1" t="s">
        <v>24</v>
      </c>
      <c r="D10584" s="3">
        <f t="shared" si="1646"/>
        <v>7727</v>
      </c>
      <c r="E10584" s="2">
        <f t="shared" si="1647"/>
        <v>42095</v>
      </c>
      <c r="F10584" s="2">
        <f t="shared" si="1648"/>
        <v>42277</v>
      </c>
    </row>
    <row r="10585" spans="1:6" x14ac:dyDescent="0.25">
      <c r="A10585" s="1" t="s">
        <v>757</v>
      </c>
      <c r="B10585" s="1" t="s">
        <v>1961</v>
      </c>
      <c r="C10585" s="1" t="s">
        <v>34</v>
      </c>
      <c r="D10585" s="3">
        <f t="shared" si="1646"/>
        <v>7727</v>
      </c>
      <c r="E10585" s="2">
        <f t="shared" si="1647"/>
        <v>42095</v>
      </c>
      <c r="F10585" s="2">
        <f t="shared" si="1648"/>
        <v>42277</v>
      </c>
    </row>
    <row r="10586" spans="1:6" x14ac:dyDescent="0.25">
      <c r="A10586" s="1" t="s">
        <v>757</v>
      </c>
      <c r="B10586" s="1" t="s">
        <v>1961</v>
      </c>
      <c r="C10586" s="1" t="s">
        <v>379</v>
      </c>
      <c r="D10586" s="3">
        <f t="shared" si="1646"/>
        <v>7727</v>
      </c>
      <c r="E10586" s="2">
        <f t="shared" si="1647"/>
        <v>42095</v>
      </c>
      <c r="F10586" s="2">
        <f t="shared" si="1648"/>
        <v>42277</v>
      </c>
    </row>
    <row r="10587" spans="1:6" x14ac:dyDescent="0.25">
      <c r="A10587" s="1" t="s">
        <v>757</v>
      </c>
      <c r="B10587" s="1" t="s">
        <v>1961</v>
      </c>
      <c r="C10587" s="1" t="s">
        <v>381</v>
      </c>
      <c r="D10587" s="3">
        <f t="shared" si="1646"/>
        <v>7727</v>
      </c>
      <c r="E10587" s="2">
        <f t="shared" si="1647"/>
        <v>42095</v>
      </c>
      <c r="F10587" s="2">
        <f t="shared" si="1648"/>
        <v>42277</v>
      </c>
    </row>
    <row r="10588" spans="1:6" x14ac:dyDescent="0.25">
      <c r="A10588" s="1" t="s">
        <v>757</v>
      </c>
      <c r="B10588" s="1" t="s">
        <v>1951</v>
      </c>
      <c r="C10588" s="1" t="s">
        <v>7</v>
      </c>
      <c r="D10588" s="3">
        <f t="shared" ref="D10588:D10609" si="1649">VALUE("7712")</f>
        <v>7712</v>
      </c>
      <c r="E10588" s="2">
        <f t="shared" ref="E10588:E10614" si="1650">DATEVALUE("1-2-2015")</f>
        <v>42036</v>
      </c>
      <c r="F10588" s="2">
        <f t="shared" ref="F10588:F10611" si="1651">DATEVALUE("30-6-2015")</f>
        <v>42185</v>
      </c>
    </row>
    <row r="10589" spans="1:6" x14ac:dyDescent="0.25">
      <c r="A10589" s="1" t="s">
        <v>757</v>
      </c>
      <c r="B10589" s="1" t="s">
        <v>1951</v>
      </c>
      <c r="C10589" s="1" t="s">
        <v>599</v>
      </c>
      <c r="D10589" s="3">
        <f t="shared" si="1649"/>
        <v>7712</v>
      </c>
      <c r="E10589" s="2">
        <f t="shared" si="1650"/>
        <v>42036</v>
      </c>
      <c r="F10589" s="2">
        <f t="shared" si="1651"/>
        <v>42185</v>
      </c>
    </row>
    <row r="10590" spans="1:6" x14ac:dyDescent="0.25">
      <c r="A10590" s="1" t="s">
        <v>757</v>
      </c>
      <c r="B10590" s="1" t="s">
        <v>1951</v>
      </c>
      <c r="C10590" s="1" t="s">
        <v>13</v>
      </c>
      <c r="D10590" s="3">
        <f t="shared" si="1649"/>
        <v>7712</v>
      </c>
      <c r="E10590" s="2">
        <f t="shared" si="1650"/>
        <v>42036</v>
      </c>
      <c r="F10590" s="2">
        <f t="shared" si="1651"/>
        <v>42185</v>
      </c>
    </row>
    <row r="10591" spans="1:6" x14ac:dyDescent="0.25">
      <c r="A10591" s="1" t="s">
        <v>757</v>
      </c>
      <c r="B10591" s="1" t="s">
        <v>1951</v>
      </c>
      <c r="C10591" s="1" t="s">
        <v>654</v>
      </c>
      <c r="D10591" s="3">
        <f t="shared" si="1649"/>
        <v>7712</v>
      </c>
      <c r="E10591" s="2">
        <f t="shared" si="1650"/>
        <v>42036</v>
      </c>
      <c r="F10591" s="2">
        <f t="shared" si="1651"/>
        <v>42185</v>
      </c>
    </row>
    <row r="10592" spans="1:6" x14ac:dyDescent="0.25">
      <c r="A10592" s="1" t="s">
        <v>757</v>
      </c>
      <c r="B10592" s="1" t="s">
        <v>1951</v>
      </c>
      <c r="C10592" s="1" t="s">
        <v>212</v>
      </c>
      <c r="D10592" s="3">
        <f t="shared" si="1649"/>
        <v>7712</v>
      </c>
      <c r="E10592" s="2">
        <f t="shared" si="1650"/>
        <v>42036</v>
      </c>
      <c r="F10592" s="2">
        <f t="shared" si="1651"/>
        <v>42185</v>
      </c>
    </row>
    <row r="10593" spans="1:6" x14ac:dyDescent="0.25">
      <c r="A10593" s="1" t="s">
        <v>757</v>
      </c>
      <c r="B10593" s="1" t="s">
        <v>1951</v>
      </c>
      <c r="C10593" s="1" t="s">
        <v>227</v>
      </c>
      <c r="D10593" s="3">
        <f t="shared" si="1649"/>
        <v>7712</v>
      </c>
      <c r="E10593" s="2">
        <f t="shared" si="1650"/>
        <v>42036</v>
      </c>
      <c r="F10593" s="2">
        <f t="shared" si="1651"/>
        <v>42185</v>
      </c>
    </row>
    <row r="10594" spans="1:6" x14ac:dyDescent="0.25">
      <c r="A10594" s="1" t="s">
        <v>757</v>
      </c>
      <c r="B10594" s="1" t="s">
        <v>1951</v>
      </c>
      <c r="C10594" s="1" t="s">
        <v>228</v>
      </c>
      <c r="D10594" s="3">
        <f t="shared" si="1649"/>
        <v>7712</v>
      </c>
      <c r="E10594" s="2">
        <f t="shared" si="1650"/>
        <v>42036</v>
      </c>
      <c r="F10594" s="2">
        <f t="shared" si="1651"/>
        <v>42185</v>
      </c>
    </row>
    <row r="10595" spans="1:6" x14ac:dyDescent="0.25">
      <c r="A10595" s="1" t="s">
        <v>757</v>
      </c>
      <c r="B10595" s="1" t="s">
        <v>1951</v>
      </c>
      <c r="C10595" s="1" t="s">
        <v>28</v>
      </c>
      <c r="D10595" s="3">
        <f t="shared" si="1649"/>
        <v>7712</v>
      </c>
      <c r="E10595" s="2">
        <f t="shared" si="1650"/>
        <v>42036</v>
      </c>
      <c r="F10595" s="2">
        <f t="shared" si="1651"/>
        <v>42185</v>
      </c>
    </row>
    <row r="10596" spans="1:6" x14ac:dyDescent="0.25">
      <c r="A10596" s="1" t="s">
        <v>757</v>
      </c>
      <c r="B10596" s="1" t="s">
        <v>1951</v>
      </c>
      <c r="C10596" s="1" t="s">
        <v>229</v>
      </c>
      <c r="D10596" s="3">
        <f t="shared" si="1649"/>
        <v>7712</v>
      </c>
      <c r="E10596" s="2">
        <f t="shared" si="1650"/>
        <v>42036</v>
      </c>
      <c r="F10596" s="2">
        <f t="shared" si="1651"/>
        <v>42185</v>
      </c>
    </row>
    <row r="10597" spans="1:6" x14ac:dyDescent="0.25">
      <c r="A10597" s="1" t="s">
        <v>757</v>
      </c>
      <c r="B10597" s="1" t="s">
        <v>1951</v>
      </c>
      <c r="C10597" s="1" t="s">
        <v>29</v>
      </c>
      <c r="D10597" s="3">
        <f t="shared" si="1649"/>
        <v>7712</v>
      </c>
      <c r="E10597" s="2">
        <f t="shared" si="1650"/>
        <v>42036</v>
      </c>
      <c r="F10597" s="2">
        <f t="shared" si="1651"/>
        <v>42185</v>
      </c>
    </row>
    <row r="10598" spans="1:6" x14ac:dyDescent="0.25">
      <c r="A10598" s="1" t="s">
        <v>757</v>
      </c>
      <c r="B10598" s="1" t="s">
        <v>1951</v>
      </c>
      <c r="C10598" s="1" t="s">
        <v>230</v>
      </c>
      <c r="D10598" s="3">
        <f t="shared" si="1649"/>
        <v>7712</v>
      </c>
      <c r="E10598" s="2">
        <f t="shared" si="1650"/>
        <v>42036</v>
      </c>
      <c r="F10598" s="2">
        <f t="shared" si="1651"/>
        <v>42185</v>
      </c>
    </row>
    <row r="10599" spans="1:6" x14ac:dyDescent="0.25">
      <c r="A10599" s="1" t="s">
        <v>757</v>
      </c>
      <c r="B10599" s="1" t="s">
        <v>1951</v>
      </c>
      <c r="C10599" s="1" t="s">
        <v>231</v>
      </c>
      <c r="D10599" s="3">
        <f t="shared" si="1649"/>
        <v>7712</v>
      </c>
      <c r="E10599" s="2">
        <f t="shared" si="1650"/>
        <v>42036</v>
      </c>
      <c r="F10599" s="2">
        <f t="shared" si="1651"/>
        <v>42185</v>
      </c>
    </row>
    <row r="10600" spans="1:6" x14ac:dyDescent="0.25">
      <c r="A10600" s="1" t="s">
        <v>757</v>
      </c>
      <c r="B10600" s="1" t="s">
        <v>1951</v>
      </c>
      <c r="C10600" s="1" t="s">
        <v>233</v>
      </c>
      <c r="D10600" s="3">
        <f t="shared" si="1649"/>
        <v>7712</v>
      </c>
      <c r="E10600" s="2">
        <f t="shared" si="1650"/>
        <v>42036</v>
      </c>
      <c r="F10600" s="2">
        <f t="shared" si="1651"/>
        <v>42185</v>
      </c>
    </row>
    <row r="10601" spans="1:6" x14ac:dyDescent="0.25">
      <c r="A10601" s="1" t="s">
        <v>757</v>
      </c>
      <c r="B10601" s="1" t="s">
        <v>1951</v>
      </c>
      <c r="C10601" s="1" t="s">
        <v>234</v>
      </c>
      <c r="D10601" s="3">
        <f t="shared" si="1649"/>
        <v>7712</v>
      </c>
      <c r="E10601" s="2">
        <f t="shared" si="1650"/>
        <v>42036</v>
      </c>
      <c r="F10601" s="2">
        <f t="shared" si="1651"/>
        <v>42185</v>
      </c>
    </row>
    <row r="10602" spans="1:6" x14ac:dyDescent="0.25">
      <c r="A10602" s="1" t="s">
        <v>757</v>
      </c>
      <c r="B10602" s="1" t="s">
        <v>1951</v>
      </c>
      <c r="C10602" s="1" t="s">
        <v>30</v>
      </c>
      <c r="D10602" s="3">
        <f t="shared" si="1649"/>
        <v>7712</v>
      </c>
      <c r="E10602" s="2">
        <f t="shared" si="1650"/>
        <v>42036</v>
      </c>
      <c r="F10602" s="2">
        <f t="shared" si="1651"/>
        <v>42185</v>
      </c>
    </row>
    <row r="10603" spans="1:6" x14ac:dyDescent="0.25">
      <c r="A10603" s="1" t="s">
        <v>757</v>
      </c>
      <c r="B10603" s="1" t="s">
        <v>1951</v>
      </c>
      <c r="C10603" s="1" t="s">
        <v>235</v>
      </c>
      <c r="D10603" s="3">
        <f t="shared" si="1649"/>
        <v>7712</v>
      </c>
      <c r="E10603" s="2">
        <f t="shared" si="1650"/>
        <v>42036</v>
      </c>
      <c r="F10603" s="2">
        <f t="shared" si="1651"/>
        <v>42185</v>
      </c>
    </row>
    <row r="10604" spans="1:6" x14ac:dyDescent="0.25">
      <c r="A10604" s="1" t="s">
        <v>757</v>
      </c>
      <c r="B10604" s="1" t="s">
        <v>1951</v>
      </c>
      <c r="C10604" s="1" t="s">
        <v>1839</v>
      </c>
      <c r="D10604" s="3">
        <f t="shared" si="1649"/>
        <v>7712</v>
      </c>
      <c r="E10604" s="2">
        <f t="shared" si="1650"/>
        <v>42036</v>
      </c>
      <c r="F10604" s="2">
        <f t="shared" si="1651"/>
        <v>42185</v>
      </c>
    </row>
    <row r="10605" spans="1:6" x14ac:dyDescent="0.25">
      <c r="A10605" s="1" t="s">
        <v>757</v>
      </c>
      <c r="B10605" s="1" t="s">
        <v>1951</v>
      </c>
      <c r="C10605" s="1" t="s">
        <v>238</v>
      </c>
      <c r="D10605" s="3">
        <f t="shared" si="1649"/>
        <v>7712</v>
      </c>
      <c r="E10605" s="2">
        <f t="shared" si="1650"/>
        <v>42036</v>
      </c>
      <c r="F10605" s="2">
        <f t="shared" si="1651"/>
        <v>42185</v>
      </c>
    </row>
    <row r="10606" spans="1:6" x14ac:dyDescent="0.25">
      <c r="A10606" s="1" t="s">
        <v>757</v>
      </c>
      <c r="B10606" s="1" t="s">
        <v>1951</v>
      </c>
      <c r="C10606" s="1" t="s">
        <v>593</v>
      </c>
      <c r="D10606" s="3">
        <f t="shared" si="1649"/>
        <v>7712</v>
      </c>
      <c r="E10606" s="2">
        <f t="shared" si="1650"/>
        <v>42036</v>
      </c>
      <c r="F10606" s="2">
        <f t="shared" si="1651"/>
        <v>42185</v>
      </c>
    </row>
    <row r="10607" spans="1:6" x14ac:dyDescent="0.25">
      <c r="A10607" s="1" t="s">
        <v>757</v>
      </c>
      <c r="B10607" s="1" t="s">
        <v>1951</v>
      </c>
      <c r="C10607" s="1" t="s">
        <v>240</v>
      </c>
      <c r="D10607" s="3">
        <f t="shared" si="1649"/>
        <v>7712</v>
      </c>
      <c r="E10607" s="2">
        <f t="shared" si="1650"/>
        <v>42036</v>
      </c>
      <c r="F10607" s="2">
        <f t="shared" si="1651"/>
        <v>42185</v>
      </c>
    </row>
    <row r="10608" spans="1:6" x14ac:dyDescent="0.25">
      <c r="A10608" s="1" t="s">
        <v>757</v>
      </c>
      <c r="B10608" s="1" t="s">
        <v>1951</v>
      </c>
      <c r="C10608" s="1" t="s">
        <v>31</v>
      </c>
      <c r="D10608" s="3">
        <f t="shared" si="1649"/>
        <v>7712</v>
      </c>
      <c r="E10608" s="2">
        <f t="shared" si="1650"/>
        <v>42036</v>
      </c>
      <c r="F10608" s="2">
        <f t="shared" si="1651"/>
        <v>42185</v>
      </c>
    </row>
    <row r="10609" spans="1:6" x14ac:dyDescent="0.25">
      <c r="A10609" s="1" t="s">
        <v>757</v>
      </c>
      <c r="B10609" s="1" t="s">
        <v>1951</v>
      </c>
      <c r="C10609" s="1" t="s">
        <v>36</v>
      </c>
      <c r="D10609" s="3">
        <f t="shared" si="1649"/>
        <v>7712</v>
      </c>
      <c r="E10609" s="2">
        <f t="shared" si="1650"/>
        <v>42036</v>
      </c>
      <c r="F10609" s="2">
        <f t="shared" si="1651"/>
        <v>42185</v>
      </c>
    </row>
    <row r="10610" spans="1:6" x14ac:dyDescent="0.25">
      <c r="A10610" s="1" t="s">
        <v>757</v>
      </c>
      <c r="B10610" s="1" t="s">
        <v>1952</v>
      </c>
      <c r="C10610" s="1" t="s">
        <v>45</v>
      </c>
      <c r="D10610" s="3">
        <f>VALUE("7713")</f>
        <v>7713</v>
      </c>
      <c r="E10610" s="2">
        <f t="shared" si="1650"/>
        <v>42036</v>
      </c>
      <c r="F10610" s="2">
        <f t="shared" si="1651"/>
        <v>42185</v>
      </c>
    </row>
    <row r="10611" spans="1:6" x14ac:dyDescent="0.25">
      <c r="A10611" s="1" t="s">
        <v>757</v>
      </c>
      <c r="B10611" s="1" t="s">
        <v>1952</v>
      </c>
      <c r="C10611" s="1" t="s">
        <v>69</v>
      </c>
      <c r="D10611" s="3">
        <f>VALUE("7713")</f>
        <v>7713</v>
      </c>
      <c r="E10611" s="2">
        <f t="shared" si="1650"/>
        <v>42036</v>
      </c>
      <c r="F10611" s="2">
        <f t="shared" si="1651"/>
        <v>42185</v>
      </c>
    </row>
    <row r="10612" spans="1:6" x14ac:dyDescent="0.25">
      <c r="A10612" s="1" t="s">
        <v>757</v>
      </c>
      <c r="B10612" s="1" t="s">
        <v>1962</v>
      </c>
      <c r="C10612" s="1" t="s">
        <v>91</v>
      </c>
      <c r="D10612" s="3">
        <f>VALUE("7728")</f>
        <v>7728</v>
      </c>
      <c r="E10612" s="2">
        <f t="shared" si="1650"/>
        <v>42036</v>
      </c>
      <c r="F10612" s="2">
        <f>DATEVALUE("31-1-2016")</f>
        <v>42400</v>
      </c>
    </row>
    <row r="10613" spans="1:6" x14ac:dyDescent="0.25">
      <c r="A10613" s="1" t="s">
        <v>757</v>
      </c>
      <c r="B10613" s="1" t="s">
        <v>1962</v>
      </c>
      <c r="C10613" s="1" t="s">
        <v>102</v>
      </c>
      <c r="D10613" s="3">
        <f>VALUE("7728")</f>
        <v>7728</v>
      </c>
      <c r="E10613" s="2">
        <f t="shared" si="1650"/>
        <v>42036</v>
      </c>
      <c r="F10613" s="2">
        <f>DATEVALUE("31-1-2016")</f>
        <v>42400</v>
      </c>
    </row>
    <row r="10614" spans="1:6" x14ac:dyDescent="0.25">
      <c r="A10614" s="1" t="s">
        <v>757</v>
      </c>
      <c r="B10614" s="1" t="s">
        <v>1962</v>
      </c>
      <c r="C10614" s="1" t="s">
        <v>103</v>
      </c>
      <c r="D10614" s="3">
        <f>VALUE("7728")</f>
        <v>7728</v>
      </c>
      <c r="E10614" s="2">
        <f t="shared" si="1650"/>
        <v>42036</v>
      </c>
      <c r="F10614" s="2">
        <f>DATEVALUE("31-1-2016")</f>
        <v>42400</v>
      </c>
    </row>
    <row r="10615" spans="1:6" x14ac:dyDescent="0.25">
      <c r="A10615" s="1" t="s">
        <v>757</v>
      </c>
      <c r="B10615" s="1" t="s">
        <v>1950</v>
      </c>
      <c r="C10615" s="1" t="s">
        <v>88</v>
      </c>
      <c r="D10615" s="3">
        <f>VALUE("7709")</f>
        <v>7709</v>
      </c>
      <c r="E10615" s="2">
        <f>DATEVALUE("1-1-2015")</f>
        <v>42005</v>
      </c>
      <c r="F10615" s="2">
        <f>DATEVALUE("31-5-2015")</f>
        <v>42155</v>
      </c>
    </row>
    <row r="10616" spans="1:6" x14ac:dyDescent="0.25">
      <c r="A10616" s="1" t="s">
        <v>757</v>
      </c>
      <c r="B10616" s="1" t="s">
        <v>1950</v>
      </c>
      <c r="C10616" s="1" t="s">
        <v>474</v>
      </c>
      <c r="D10616" s="3">
        <f>VALUE("7709")</f>
        <v>7709</v>
      </c>
      <c r="E10616" s="2">
        <f>DATEVALUE("1-1-2015")</f>
        <v>42005</v>
      </c>
      <c r="F10616" s="2">
        <f>DATEVALUE("31-5-2015")</f>
        <v>42155</v>
      </c>
    </row>
    <row r="10617" spans="1:6" x14ac:dyDescent="0.25">
      <c r="A10617" s="1" t="s">
        <v>757</v>
      </c>
      <c r="B10617" s="1" t="s">
        <v>1950</v>
      </c>
      <c r="C10617" s="1" t="s">
        <v>52</v>
      </c>
      <c r="D10617" s="3">
        <f>VALUE("7709")</f>
        <v>7709</v>
      </c>
      <c r="E10617" s="2">
        <f>DATEVALUE("1-1-2015")</f>
        <v>42005</v>
      </c>
      <c r="F10617" s="2">
        <f>DATEVALUE("31-5-2015")</f>
        <v>42155</v>
      </c>
    </row>
    <row r="10618" spans="1:6" x14ac:dyDescent="0.25">
      <c r="A10618" s="1" t="s">
        <v>757</v>
      </c>
      <c r="B10618" s="1" t="s">
        <v>1731</v>
      </c>
      <c r="C10618" s="1" t="s">
        <v>8</v>
      </c>
      <c r="D10618" s="3">
        <f t="shared" ref="D10618:D10638" si="1652">VALUE("7690")</f>
        <v>7690</v>
      </c>
      <c r="E10618" s="2">
        <f t="shared" ref="E10618:E10638" si="1653">DATEVALUE("1-11-2014")</f>
        <v>41944</v>
      </c>
      <c r="F10618" s="2">
        <f t="shared" ref="F10618:F10638" si="1654">DATEVALUE("31-12-2015")</f>
        <v>42369</v>
      </c>
    </row>
    <row r="10619" spans="1:6" x14ac:dyDescent="0.25">
      <c r="A10619" s="1" t="s">
        <v>757</v>
      </c>
      <c r="B10619" s="1" t="s">
        <v>1731</v>
      </c>
      <c r="C10619" s="1" t="s">
        <v>9</v>
      </c>
      <c r="D10619" s="3">
        <f t="shared" si="1652"/>
        <v>7690</v>
      </c>
      <c r="E10619" s="2">
        <f t="shared" si="1653"/>
        <v>41944</v>
      </c>
      <c r="F10619" s="2">
        <f t="shared" si="1654"/>
        <v>42369</v>
      </c>
    </row>
    <row r="10620" spans="1:6" x14ac:dyDescent="0.25">
      <c r="A10620" s="1" t="s">
        <v>757</v>
      </c>
      <c r="B10620" s="1" t="s">
        <v>1731</v>
      </c>
      <c r="C10620" s="1" t="s">
        <v>10</v>
      </c>
      <c r="D10620" s="3">
        <f t="shared" si="1652"/>
        <v>7690</v>
      </c>
      <c r="E10620" s="2">
        <f t="shared" si="1653"/>
        <v>41944</v>
      </c>
      <c r="F10620" s="2">
        <f t="shared" si="1654"/>
        <v>42369</v>
      </c>
    </row>
    <row r="10621" spans="1:6" x14ac:dyDescent="0.25">
      <c r="A10621" s="1" t="s">
        <v>757</v>
      </c>
      <c r="B10621" s="1" t="s">
        <v>1731</v>
      </c>
      <c r="C10621" s="1" t="s">
        <v>61</v>
      </c>
      <c r="D10621" s="3">
        <f t="shared" si="1652"/>
        <v>7690</v>
      </c>
      <c r="E10621" s="2">
        <f t="shared" si="1653"/>
        <v>41944</v>
      </c>
      <c r="F10621" s="2">
        <f t="shared" si="1654"/>
        <v>42369</v>
      </c>
    </row>
    <row r="10622" spans="1:6" x14ac:dyDescent="0.25">
      <c r="A10622" s="1" t="s">
        <v>757</v>
      </c>
      <c r="B10622" s="1" t="s">
        <v>1731</v>
      </c>
      <c r="C10622" s="1" t="s">
        <v>62</v>
      </c>
      <c r="D10622" s="3">
        <f t="shared" si="1652"/>
        <v>7690</v>
      </c>
      <c r="E10622" s="2">
        <f t="shared" si="1653"/>
        <v>41944</v>
      </c>
      <c r="F10622" s="2">
        <f t="shared" si="1654"/>
        <v>42369</v>
      </c>
    </row>
    <row r="10623" spans="1:6" x14ac:dyDescent="0.25">
      <c r="A10623" s="1" t="s">
        <v>757</v>
      </c>
      <c r="B10623" s="1" t="s">
        <v>1731</v>
      </c>
      <c r="C10623" s="1" t="s">
        <v>45</v>
      </c>
      <c r="D10623" s="3">
        <f t="shared" si="1652"/>
        <v>7690</v>
      </c>
      <c r="E10623" s="2">
        <f t="shared" si="1653"/>
        <v>41944</v>
      </c>
      <c r="F10623" s="2">
        <f t="shared" si="1654"/>
        <v>42369</v>
      </c>
    </row>
    <row r="10624" spans="1:6" x14ac:dyDescent="0.25">
      <c r="A10624" s="1" t="s">
        <v>757</v>
      </c>
      <c r="B10624" s="1" t="s">
        <v>1731</v>
      </c>
      <c r="C10624" s="1" t="s">
        <v>46</v>
      </c>
      <c r="D10624" s="3">
        <f t="shared" si="1652"/>
        <v>7690</v>
      </c>
      <c r="E10624" s="2">
        <f t="shared" si="1653"/>
        <v>41944</v>
      </c>
      <c r="F10624" s="2">
        <f t="shared" si="1654"/>
        <v>42369</v>
      </c>
    </row>
    <row r="10625" spans="1:6" x14ac:dyDescent="0.25">
      <c r="A10625" s="1" t="s">
        <v>757</v>
      </c>
      <c r="B10625" s="1" t="s">
        <v>1731</v>
      </c>
      <c r="C10625" s="1" t="s">
        <v>66</v>
      </c>
      <c r="D10625" s="3">
        <f t="shared" si="1652"/>
        <v>7690</v>
      </c>
      <c r="E10625" s="2">
        <f t="shared" si="1653"/>
        <v>41944</v>
      </c>
      <c r="F10625" s="2">
        <f t="shared" si="1654"/>
        <v>42369</v>
      </c>
    </row>
    <row r="10626" spans="1:6" x14ac:dyDescent="0.25">
      <c r="A10626" s="1" t="s">
        <v>757</v>
      </c>
      <c r="B10626" s="1" t="s">
        <v>1731</v>
      </c>
      <c r="C10626" s="1" t="s">
        <v>15</v>
      </c>
      <c r="D10626" s="3">
        <f t="shared" si="1652"/>
        <v>7690</v>
      </c>
      <c r="E10626" s="2">
        <f t="shared" si="1653"/>
        <v>41944</v>
      </c>
      <c r="F10626" s="2">
        <f t="shared" si="1654"/>
        <v>42369</v>
      </c>
    </row>
    <row r="10627" spans="1:6" x14ac:dyDescent="0.25">
      <c r="A10627" s="1" t="s">
        <v>757</v>
      </c>
      <c r="B10627" s="1" t="s">
        <v>1731</v>
      </c>
      <c r="C10627" s="1" t="s">
        <v>16</v>
      </c>
      <c r="D10627" s="3">
        <f t="shared" si="1652"/>
        <v>7690</v>
      </c>
      <c r="E10627" s="2">
        <f t="shared" si="1653"/>
        <v>41944</v>
      </c>
      <c r="F10627" s="2">
        <f t="shared" si="1654"/>
        <v>42369</v>
      </c>
    </row>
    <row r="10628" spans="1:6" x14ac:dyDescent="0.25">
      <c r="A10628" s="1" t="s">
        <v>757</v>
      </c>
      <c r="B10628" s="1" t="s">
        <v>1731</v>
      </c>
      <c r="C10628" s="1" t="s">
        <v>88</v>
      </c>
      <c r="D10628" s="3">
        <f t="shared" si="1652"/>
        <v>7690</v>
      </c>
      <c r="E10628" s="2">
        <f t="shared" si="1653"/>
        <v>41944</v>
      </c>
      <c r="F10628" s="2">
        <f t="shared" si="1654"/>
        <v>42369</v>
      </c>
    </row>
    <row r="10629" spans="1:6" x14ac:dyDescent="0.25">
      <c r="A10629" s="1" t="s">
        <v>757</v>
      </c>
      <c r="B10629" s="1" t="s">
        <v>1731</v>
      </c>
      <c r="C10629" s="1" t="s">
        <v>89</v>
      </c>
      <c r="D10629" s="3">
        <f t="shared" si="1652"/>
        <v>7690</v>
      </c>
      <c r="E10629" s="2">
        <f t="shared" si="1653"/>
        <v>41944</v>
      </c>
      <c r="F10629" s="2">
        <f t="shared" si="1654"/>
        <v>42369</v>
      </c>
    </row>
    <row r="10630" spans="1:6" x14ac:dyDescent="0.25">
      <c r="A10630" s="1" t="s">
        <v>757</v>
      </c>
      <c r="B10630" s="1" t="s">
        <v>1731</v>
      </c>
      <c r="C10630" s="1" t="s">
        <v>17</v>
      </c>
      <c r="D10630" s="3">
        <f t="shared" si="1652"/>
        <v>7690</v>
      </c>
      <c r="E10630" s="2">
        <f t="shared" si="1653"/>
        <v>41944</v>
      </c>
      <c r="F10630" s="2">
        <f t="shared" si="1654"/>
        <v>42369</v>
      </c>
    </row>
    <row r="10631" spans="1:6" x14ac:dyDescent="0.25">
      <c r="A10631" s="1" t="s">
        <v>757</v>
      </c>
      <c r="B10631" s="1" t="s">
        <v>1731</v>
      </c>
      <c r="C10631" s="1" t="s">
        <v>92</v>
      </c>
      <c r="D10631" s="3">
        <f t="shared" si="1652"/>
        <v>7690</v>
      </c>
      <c r="E10631" s="2">
        <f t="shared" si="1653"/>
        <v>41944</v>
      </c>
      <c r="F10631" s="2">
        <f t="shared" si="1654"/>
        <v>42369</v>
      </c>
    </row>
    <row r="10632" spans="1:6" x14ac:dyDescent="0.25">
      <c r="A10632" s="1" t="s">
        <v>757</v>
      </c>
      <c r="B10632" s="1" t="s">
        <v>1731</v>
      </c>
      <c r="C10632" s="1" t="s">
        <v>336</v>
      </c>
      <c r="D10632" s="3">
        <f t="shared" si="1652"/>
        <v>7690</v>
      </c>
      <c r="E10632" s="2">
        <f t="shared" si="1653"/>
        <v>41944</v>
      </c>
      <c r="F10632" s="2">
        <f t="shared" si="1654"/>
        <v>42369</v>
      </c>
    </row>
    <row r="10633" spans="1:6" x14ac:dyDescent="0.25">
      <c r="A10633" s="1" t="s">
        <v>757</v>
      </c>
      <c r="B10633" s="1" t="s">
        <v>1731</v>
      </c>
      <c r="C10633" s="1" t="s">
        <v>332</v>
      </c>
      <c r="D10633" s="3">
        <f t="shared" si="1652"/>
        <v>7690</v>
      </c>
      <c r="E10633" s="2">
        <f t="shared" si="1653"/>
        <v>41944</v>
      </c>
      <c r="F10633" s="2">
        <f t="shared" si="1654"/>
        <v>42369</v>
      </c>
    </row>
    <row r="10634" spans="1:6" x14ac:dyDescent="0.25">
      <c r="A10634" s="1" t="s">
        <v>757</v>
      </c>
      <c r="B10634" s="1" t="s">
        <v>1731</v>
      </c>
      <c r="C10634" s="1" t="s">
        <v>50</v>
      </c>
      <c r="D10634" s="3">
        <f t="shared" si="1652"/>
        <v>7690</v>
      </c>
      <c r="E10634" s="2">
        <f t="shared" si="1653"/>
        <v>41944</v>
      </c>
      <c r="F10634" s="2">
        <f t="shared" si="1654"/>
        <v>42369</v>
      </c>
    </row>
    <row r="10635" spans="1:6" x14ac:dyDescent="0.25">
      <c r="A10635" s="1" t="s">
        <v>757</v>
      </c>
      <c r="B10635" s="1" t="s">
        <v>1731</v>
      </c>
      <c r="C10635" s="1" t="s">
        <v>26</v>
      </c>
      <c r="D10635" s="3">
        <f t="shared" si="1652"/>
        <v>7690</v>
      </c>
      <c r="E10635" s="2">
        <f t="shared" si="1653"/>
        <v>41944</v>
      </c>
      <c r="F10635" s="2">
        <f t="shared" si="1654"/>
        <v>42369</v>
      </c>
    </row>
    <row r="10636" spans="1:6" x14ac:dyDescent="0.25">
      <c r="A10636" s="1" t="s">
        <v>757</v>
      </c>
      <c r="B10636" s="1" t="s">
        <v>1731</v>
      </c>
      <c r="C10636" s="1" t="s">
        <v>27</v>
      </c>
      <c r="D10636" s="3">
        <f t="shared" si="1652"/>
        <v>7690</v>
      </c>
      <c r="E10636" s="2">
        <f t="shared" si="1653"/>
        <v>41944</v>
      </c>
      <c r="F10636" s="2">
        <f t="shared" si="1654"/>
        <v>42369</v>
      </c>
    </row>
    <row r="10637" spans="1:6" x14ac:dyDescent="0.25">
      <c r="A10637" s="1" t="s">
        <v>757</v>
      </c>
      <c r="B10637" s="1" t="s">
        <v>1731</v>
      </c>
      <c r="C10637" s="1" t="s">
        <v>262</v>
      </c>
      <c r="D10637" s="3">
        <f t="shared" si="1652"/>
        <v>7690</v>
      </c>
      <c r="E10637" s="2">
        <f t="shared" si="1653"/>
        <v>41944</v>
      </c>
      <c r="F10637" s="2">
        <f t="shared" si="1654"/>
        <v>42369</v>
      </c>
    </row>
    <row r="10638" spans="1:6" x14ac:dyDescent="0.25">
      <c r="A10638" s="1" t="s">
        <v>757</v>
      </c>
      <c r="B10638" s="1" t="s">
        <v>1731</v>
      </c>
      <c r="C10638" s="1" t="s">
        <v>162</v>
      </c>
      <c r="D10638" s="3">
        <f t="shared" si="1652"/>
        <v>7690</v>
      </c>
      <c r="E10638" s="2">
        <f t="shared" si="1653"/>
        <v>41944</v>
      </c>
      <c r="F10638" s="2">
        <f t="shared" si="1654"/>
        <v>42369</v>
      </c>
    </row>
    <row r="10639" spans="1:6" x14ac:dyDescent="0.25">
      <c r="A10639" s="1" t="s">
        <v>757</v>
      </c>
      <c r="B10639" s="1" t="s">
        <v>2171</v>
      </c>
      <c r="C10639" s="1" t="s">
        <v>7</v>
      </c>
      <c r="D10639" s="3">
        <f>VALUE("7671")</f>
        <v>7671</v>
      </c>
      <c r="E10639" s="2">
        <f>DATEVALUE("1-10-2014")</f>
        <v>41913</v>
      </c>
      <c r="F10639" s="2">
        <f>DATEVALUE("30-6-2020")</f>
        <v>44012</v>
      </c>
    </row>
    <row r="10640" spans="1:6" x14ac:dyDescent="0.25">
      <c r="A10640" s="1" t="s">
        <v>757</v>
      </c>
      <c r="B10640" s="1" t="s">
        <v>2171</v>
      </c>
      <c r="C10640" s="1" t="s">
        <v>61</v>
      </c>
      <c r="D10640" s="3">
        <f>VALUE("7671")</f>
        <v>7671</v>
      </c>
      <c r="E10640" s="2">
        <f>DATEVALUE("1-10-2014")</f>
        <v>41913</v>
      </c>
      <c r="F10640" s="2">
        <f>DATEVALUE("30-6-2020")</f>
        <v>44012</v>
      </c>
    </row>
    <row r="10641" spans="1:6" x14ac:dyDescent="0.25">
      <c r="A10641" s="1" t="s">
        <v>757</v>
      </c>
      <c r="B10641" s="1" t="s">
        <v>2171</v>
      </c>
      <c r="C10641" s="1" t="s">
        <v>27</v>
      </c>
      <c r="D10641" s="3">
        <f>VALUE("7671")</f>
        <v>7671</v>
      </c>
      <c r="E10641" s="2">
        <f>DATEVALUE("1-10-2014")</f>
        <v>41913</v>
      </c>
      <c r="F10641" s="2">
        <f>DATEVALUE("30-6-2020")</f>
        <v>44012</v>
      </c>
    </row>
    <row r="10642" spans="1:6" x14ac:dyDescent="0.25">
      <c r="A10642" s="1" t="s">
        <v>757</v>
      </c>
      <c r="B10642" s="1" t="s">
        <v>2171</v>
      </c>
      <c r="C10642" s="1" t="s">
        <v>52</v>
      </c>
      <c r="D10642" s="3">
        <f>VALUE("7671")</f>
        <v>7671</v>
      </c>
      <c r="E10642" s="2">
        <f>DATEVALUE("1-10-2014")</f>
        <v>41913</v>
      </c>
      <c r="F10642" s="2">
        <f>DATEVALUE("30-6-2020")</f>
        <v>44012</v>
      </c>
    </row>
    <row r="10643" spans="1:6" x14ac:dyDescent="0.25">
      <c r="A10643" s="1" t="s">
        <v>757</v>
      </c>
      <c r="B10643" s="1" t="s">
        <v>2171</v>
      </c>
      <c r="C10643" s="1" t="s">
        <v>2172</v>
      </c>
      <c r="D10643" s="3">
        <f>VALUE("7671")</f>
        <v>7671</v>
      </c>
      <c r="E10643" s="2">
        <f>DATEVALUE("1-10-2014")</f>
        <v>41913</v>
      </c>
      <c r="F10643" s="2">
        <f>DATEVALUE("30-6-2020")</f>
        <v>44012</v>
      </c>
    </row>
    <row r="10644" spans="1:6" x14ac:dyDescent="0.25">
      <c r="A10644" s="1" t="s">
        <v>757</v>
      </c>
      <c r="B10644" s="1" t="s">
        <v>1726</v>
      </c>
      <c r="C10644" s="1" t="s">
        <v>8</v>
      </c>
      <c r="D10644" s="3">
        <f t="shared" ref="D10644:D10658" si="1655">VALUE("7643")</f>
        <v>7643</v>
      </c>
      <c r="E10644" s="2">
        <f t="shared" ref="E10644:E10658" si="1656">DATEVALUE("1-7-2014")</f>
        <v>41821</v>
      </c>
      <c r="F10644" s="2">
        <f t="shared" ref="F10644:F10658" si="1657">DATEVALUE("31-10-2015")</f>
        <v>42308</v>
      </c>
    </row>
    <row r="10645" spans="1:6" x14ac:dyDescent="0.25">
      <c r="A10645" s="1" t="s">
        <v>757</v>
      </c>
      <c r="B10645" s="1" t="s">
        <v>1726</v>
      </c>
      <c r="C10645" s="1" t="s">
        <v>10</v>
      </c>
      <c r="D10645" s="3">
        <f t="shared" si="1655"/>
        <v>7643</v>
      </c>
      <c r="E10645" s="2">
        <f t="shared" si="1656"/>
        <v>41821</v>
      </c>
      <c r="F10645" s="2">
        <f t="shared" si="1657"/>
        <v>42308</v>
      </c>
    </row>
    <row r="10646" spans="1:6" x14ac:dyDescent="0.25">
      <c r="A10646" s="1" t="s">
        <v>757</v>
      </c>
      <c r="B10646" s="1" t="s">
        <v>1726</v>
      </c>
      <c r="C10646" s="1" t="s">
        <v>12</v>
      </c>
      <c r="D10646" s="3">
        <f t="shared" si="1655"/>
        <v>7643</v>
      </c>
      <c r="E10646" s="2">
        <f t="shared" si="1656"/>
        <v>41821</v>
      </c>
      <c r="F10646" s="2">
        <f t="shared" si="1657"/>
        <v>42308</v>
      </c>
    </row>
    <row r="10647" spans="1:6" x14ac:dyDescent="0.25">
      <c r="A10647" s="1" t="s">
        <v>757</v>
      </c>
      <c r="B10647" s="1" t="s">
        <v>1726</v>
      </c>
      <c r="C10647" s="1" t="s">
        <v>62</v>
      </c>
      <c r="D10647" s="3">
        <f t="shared" si="1655"/>
        <v>7643</v>
      </c>
      <c r="E10647" s="2">
        <f t="shared" si="1656"/>
        <v>41821</v>
      </c>
      <c r="F10647" s="2">
        <f t="shared" si="1657"/>
        <v>42308</v>
      </c>
    </row>
    <row r="10648" spans="1:6" x14ac:dyDescent="0.25">
      <c r="A10648" s="1" t="s">
        <v>757</v>
      </c>
      <c r="B10648" s="1" t="s">
        <v>1726</v>
      </c>
      <c r="C10648" s="1" t="s">
        <v>63</v>
      </c>
      <c r="D10648" s="3">
        <f t="shared" si="1655"/>
        <v>7643</v>
      </c>
      <c r="E10648" s="2">
        <f t="shared" si="1656"/>
        <v>41821</v>
      </c>
      <c r="F10648" s="2">
        <f t="shared" si="1657"/>
        <v>42308</v>
      </c>
    </row>
    <row r="10649" spans="1:6" x14ac:dyDescent="0.25">
      <c r="A10649" s="1" t="s">
        <v>757</v>
      </c>
      <c r="B10649" s="1" t="s">
        <v>1726</v>
      </c>
      <c r="C10649" s="1" t="s">
        <v>414</v>
      </c>
      <c r="D10649" s="3">
        <f t="shared" si="1655"/>
        <v>7643</v>
      </c>
      <c r="E10649" s="2">
        <f t="shared" si="1656"/>
        <v>41821</v>
      </c>
      <c r="F10649" s="2">
        <f t="shared" si="1657"/>
        <v>42308</v>
      </c>
    </row>
    <row r="10650" spans="1:6" x14ac:dyDescent="0.25">
      <c r="A10650" s="1" t="s">
        <v>757</v>
      </c>
      <c r="B10650" s="1" t="s">
        <v>1726</v>
      </c>
      <c r="C10650" s="1" t="s">
        <v>45</v>
      </c>
      <c r="D10650" s="3">
        <f t="shared" si="1655"/>
        <v>7643</v>
      </c>
      <c r="E10650" s="2">
        <f t="shared" si="1656"/>
        <v>41821</v>
      </c>
      <c r="F10650" s="2">
        <f t="shared" si="1657"/>
        <v>42308</v>
      </c>
    </row>
    <row r="10651" spans="1:6" x14ac:dyDescent="0.25">
      <c r="A10651" s="1" t="s">
        <v>757</v>
      </c>
      <c r="B10651" s="1" t="s">
        <v>1726</v>
      </c>
      <c r="C10651" s="1" t="s">
        <v>65</v>
      </c>
      <c r="D10651" s="3">
        <f t="shared" si="1655"/>
        <v>7643</v>
      </c>
      <c r="E10651" s="2">
        <f t="shared" si="1656"/>
        <v>41821</v>
      </c>
      <c r="F10651" s="2">
        <f t="shared" si="1657"/>
        <v>42308</v>
      </c>
    </row>
    <row r="10652" spans="1:6" x14ac:dyDescent="0.25">
      <c r="A10652" s="1" t="s">
        <v>757</v>
      </c>
      <c r="B10652" s="1" t="s">
        <v>1726</v>
      </c>
      <c r="C10652" s="1" t="s">
        <v>46</v>
      </c>
      <c r="D10652" s="3">
        <f t="shared" si="1655"/>
        <v>7643</v>
      </c>
      <c r="E10652" s="2">
        <f t="shared" si="1656"/>
        <v>41821</v>
      </c>
      <c r="F10652" s="2">
        <f t="shared" si="1657"/>
        <v>42308</v>
      </c>
    </row>
    <row r="10653" spans="1:6" x14ac:dyDescent="0.25">
      <c r="A10653" s="1" t="s">
        <v>757</v>
      </c>
      <c r="B10653" s="1" t="s">
        <v>1726</v>
      </c>
      <c r="C10653" s="1" t="s">
        <v>17</v>
      </c>
      <c r="D10653" s="3">
        <f t="shared" si="1655"/>
        <v>7643</v>
      </c>
      <c r="E10653" s="2">
        <f t="shared" si="1656"/>
        <v>41821</v>
      </c>
      <c r="F10653" s="2">
        <f t="shared" si="1657"/>
        <v>42308</v>
      </c>
    </row>
    <row r="10654" spans="1:6" x14ac:dyDescent="0.25">
      <c r="A10654" s="1" t="s">
        <v>757</v>
      </c>
      <c r="B10654" s="1" t="s">
        <v>1726</v>
      </c>
      <c r="C10654" s="1" t="s">
        <v>22</v>
      </c>
      <c r="D10654" s="3">
        <f t="shared" si="1655"/>
        <v>7643</v>
      </c>
      <c r="E10654" s="2">
        <f t="shared" si="1656"/>
        <v>41821</v>
      </c>
      <c r="F10654" s="2">
        <f t="shared" si="1657"/>
        <v>42308</v>
      </c>
    </row>
    <row r="10655" spans="1:6" x14ac:dyDescent="0.25">
      <c r="A10655" s="1" t="s">
        <v>757</v>
      </c>
      <c r="B10655" s="1" t="s">
        <v>1726</v>
      </c>
      <c r="C10655" s="1" t="s">
        <v>50</v>
      </c>
      <c r="D10655" s="3">
        <f t="shared" si="1655"/>
        <v>7643</v>
      </c>
      <c r="E10655" s="2">
        <f t="shared" si="1656"/>
        <v>41821</v>
      </c>
      <c r="F10655" s="2">
        <f t="shared" si="1657"/>
        <v>42308</v>
      </c>
    </row>
    <row r="10656" spans="1:6" x14ac:dyDescent="0.25">
      <c r="A10656" s="1" t="s">
        <v>757</v>
      </c>
      <c r="B10656" s="1" t="s">
        <v>1726</v>
      </c>
      <c r="C10656" s="1" t="s">
        <v>27</v>
      </c>
      <c r="D10656" s="3">
        <f t="shared" si="1655"/>
        <v>7643</v>
      </c>
      <c r="E10656" s="2">
        <f t="shared" si="1656"/>
        <v>41821</v>
      </c>
      <c r="F10656" s="2">
        <f t="shared" si="1657"/>
        <v>42308</v>
      </c>
    </row>
    <row r="10657" spans="1:6" x14ac:dyDescent="0.25">
      <c r="A10657" s="1" t="s">
        <v>757</v>
      </c>
      <c r="B10657" s="1" t="s">
        <v>1726</v>
      </c>
      <c r="C10657" s="1" t="s">
        <v>262</v>
      </c>
      <c r="D10657" s="3">
        <f t="shared" si="1655"/>
        <v>7643</v>
      </c>
      <c r="E10657" s="2">
        <f t="shared" si="1656"/>
        <v>41821</v>
      </c>
      <c r="F10657" s="2">
        <f t="shared" si="1657"/>
        <v>42308</v>
      </c>
    </row>
    <row r="10658" spans="1:6" x14ac:dyDescent="0.25">
      <c r="A10658" s="1" t="s">
        <v>757</v>
      </c>
      <c r="B10658" s="1" t="s">
        <v>1726</v>
      </c>
      <c r="C10658" s="1" t="s">
        <v>36</v>
      </c>
      <c r="D10658" s="3">
        <f t="shared" si="1655"/>
        <v>7643</v>
      </c>
      <c r="E10658" s="2">
        <f t="shared" si="1656"/>
        <v>41821</v>
      </c>
      <c r="F10658" s="2">
        <f t="shared" si="1657"/>
        <v>42308</v>
      </c>
    </row>
    <row r="10659" spans="1:6" x14ac:dyDescent="0.25">
      <c r="A10659" s="1" t="s">
        <v>757</v>
      </c>
      <c r="B10659" s="1" t="s">
        <v>2771</v>
      </c>
      <c r="C10659" s="1" t="s">
        <v>8</v>
      </c>
      <c r="D10659" s="3">
        <f t="shared" ref="D10659:D10667" si="1658">VALUE("7645")</f>
        <v>7645</v>
      </c>
      <c r="E10659" s="2">
        <f t="shared" ref="E10659:E10667" si="1659">DATEVALUE("1-6-2014")</f>
        <v>41791</v>
      </c>
      <c r="F10659" s="2">
        <f t="shared" ref="F10659:F10667" si="1660">DATEVALUE("31-10-2014")</f>
        <v>41943</v>
      </c>
    </row>
    <row r="10660" spans="1:6" x14ac:dyDescent="0.25">
      <c r="A10660" s="1" t="s">
        <v>757</v>
      </c>
      <c r="B10660" s="1" t="s">
        <v>2771</v>
      </c>
      <c r="C10660" s="1" t="s">
        <v>10</v>
      </c>
      <c r="D10660" s="3">
        <f t="shared" si="1658"/>
        <v>7645</v>
      </c>
      <c r="E10660" s="2">
        <f t="shared" si="1659"/>
        <v>41791</v>
      </c>
      <c r="F10660" s="2">
        <f t="shared" si="1660"/>
        <v>41943</v>
      </c>
    </row>
    <row r="10661" spans="1:6" x14ac:dyDescent="0.25">
      <c r="A10661" s="1" t="s">
        <v>757</v>
      </c>
      <c r="B10661" s="1" t="s">
        <v>2771</v>
      </c>
      <c r="C10661" s="1" t="s">
        <v>12</v>
      </c>
      <c r="D10661" s="3">
        <f t="shared" si="1658"/>
        <v>7645</v>
      </c>
      <c r="E10661" s="2">
        <f t="shared" si="1659"/>
        <v>41791</v>
      </c>
      <c r="F10661" s="2">
        <f t="shared" si="1660"/>
        <v>41943</v>
      </c>
    </row>
    <row r="10662" spans="1:6" x14ac:dyDescent="0.25">
      <c r="A10662" s="1" t="s">
        <v>757</v>
      </c>
      <c r="B10662" s="1" t="s">
        <v>2771</v>
      </c>
      <c r="C10662" s="1" t="s">
        <v>45</v>
      </c>
      <c r="D10662" s="3">
        <f t="shared" si="1658"/>
        <v>7645</v>
      </c>
      <c r="E10662" s="2">
        <f t="shared" si="1659"/>
        <v>41791</v>
      </c>
      <c r="F10662" s="2">
        <f t="shared" si="1660"/>
        <v>41943</v>
      </c>
    </row>
    <row r="10663" spans="1:6" x14ac:dyDescent="0.25">
      <c r="A10663" s="1" t="s">
        <v>757</v>
      </c>
      <c r="B10663" s="1" t="s">
        <v>2771</v>
      </c>
      <c r="C10663" s="1" t="s">
        <v>17</v>
      </c>
      <c r="D10663" s="3">
        <f t="shared" si="1658"/>
        <v>7645</v>
      </c>
      <c r="E10663" s="2">
        <f t="shared" si="1659"/>
        <v>41791</v>
      </c>
      <c r="F10663" s="2">
        <f t="shared" si="1660"/>
        <v>41943</v>
      </c>
    </row>
    <row r="10664" spans="1:6" x14ac:dyDescent="0.25">
      <c r="A10664" s="1" t="s">
        <v>757</v>
      </c>
      <c r="B10664" s="1" t="s">
        <v>2771</v>
      </c>
      <c r="C10664" s="1" t="s">
        <v>22</v>
      </c>
      <c r="D10664" s="3">
        <f t="shared" si="1658"/>
        <v>7645</v>
      </c>
      <c r="E10664" s="2">
        <f t="shared" si="1659"/>
        <v>41791</v>
      </c>
      <c r="F10664" s="2">
        <f t="shared" si="1660"/>
        <v>41943</v>
      </c>
    </row>
    <row r="10665" spans="1:6" x14ac:dyDescent="0.25">
      <c r="A10665" s="1" t="s">
        <v>757</v>
      </c>
      <c r="B10665" s="1" t="s">
        <v>2771</v>
      </c>
      <c r="C10665" s="1" t="s">
        <v>69</v>
      </c>
      <c r="D10665" s="3">
        <f t="shared" si="1658"/>
        <v>7645</v>
      </c>
      <c r="E10665" s="2">
        <f t="shared" si="1659"/>
        <v>41791</v>
      </c>
      <c r="F10665" s="2">
        <f t="shared" si="1660"/>
        <v>41943</v>
      </c>
    </row>
    <row r="10666" spans="1:6" x14ac:dyDescent="0.25">
      <c r="A10666" s="1" t="s">
        <v>757</v>
      </c>
      <c r="B10666" s="1" t="s">
        <v>2771</v>
      </c>
      <c r="C10666" s="1" t="s">
        <v>207</v>
      </c>
      <c r="D10666" s="3">
        <f t="shared" si="1658"/>
        <v>7645</v>
      </c>
      <c r="E10666" s="2">
        <f t="shared" si="1659"/>
        <v>41791</v>
      </c>
      <c r="F10666" s="2">
        <f t="shared" si="1660"/>
        <v>41943</v>
      </c>
    </row>
    <row r="10667" spans="1:6" x14ac:dyDescent="0.25">
      <c r="A10667" s="1" t="s">
        <v>757</v>
      </c>
      <c r="B10667" s="1" t="s">
        <v>2771</v>
      </c>
      <c r="C10667" s="1" t="s">
        <v>27</v>
      </c>
      <c r="D10667" s="3">
        <f t="shared" si="1658"/>
        <v>7645</v>
      </c>
      <c r="E10667" s="2">
        <f t="shared" si="1659"/>
        <v>41791</v>
      </c>
      <c r="F10667" s="2">
        <f t="shared" si="1660"/>
        <v>41943</v>
      </c>
    </row>
    <row r="10668" spans="1:6" x14ac:dyDescent="0.25">
      <c r="A10668" s="1" t="s">
        <v>757</v>
      </c>
      <c r="B10668" s="1" t="s">
        <v>2756</v>
      </c>
      <c r="C10668" s="1" t="s">
        <v>325</v>
      </c>
      <c r="D10668" s="3">
        <f t="shared" ref="D10668:D10692" si="1661">VALUE("7576")</f>
        <v>7576</v>
      </c>
      <c r="E10668" s="2">
        <f t="shared" ref="E10668:E10692" si="1662">DATEVALUE("1-1-2014")</f>
        <v>41640</v>
      </c>
      <c r="F10668" s="2">
        <f t="shared" ref="F10668:F10692" si="1663">DATEVALUE("31-12-2014")</f>
        <v>42004</v>
      </c>
    </row>
    <row r="10669" spans="1:6" x14ac:dyDescent="0.25">
      <c r="A10669" s="1" t="s">
        <v>757</v>
      </c>
      <c r="B10669" s="1" t="s">
        <v>2756</v>
      </c>
      <c r="C10669" s="1" t="s">
        <v>8</v>
      </c>
      <c r="D10669" s="3">
        <f t="shared" si="1661"/>
        <v>7576</v>
      </c>
      <c r="E10669" s="2">
        <f t="shared" si="1662"/>
        <v>41640</v>
      </c>
      <c r="F10669" s="2">
        <f t="shared" si="1663"/>
        <v>42004</v>
      </c>
    </row>
    <row r="10670" spans="1:6" x14ac:dyDescent="0.25">
      <c r="A10670" s="1" t="s">
        <v>757</v>
      </c>
      <c r="B10670" s="1" t="s">
        <v>2756</v>
      </c>
      <c r="C10670" s="1" t="s">
        <v>9</v>
      </c>
      <c r="D10670" s="3">
        <f t="shared" si="1661"/>
        <v>7576</v>
      </c>
      <c r="E10670" s="2">
        <f t="shared" si="1662"/>
        <v>41640</v>
      </c>
      <c r="F10670" s="2">
        <f t="shared" si="1663"/>
        <v>42004</v>
      </c>
    </row>
    <row r="10671" spans="1:6" x14ac:dyDescent="0.25">
      <c r="A10671" s="1" t="s">
        <v>757</v>
      </c>
      <c r="B10671" s="1" t="s">
        <v>2756</v>
      </c>
      <c r="C10671" s="1" t="s">
        <v>10</v>
      </c>
      <c r="D10671" s="3">
        <f t="shared" si="1661"/>
        <v>7576</v>
      </c>
      <c r="E10671" s="2">
        <f t="shared" si="1662"/>
        <v>41640</v>
      </c>
      <c r="F10671" s="2">
        <f t="shared" si="1663"/>
        <v>42004</v>
      </c>
    </row>
    <row r="10672" spans="1:6" x14ac:dyDescent="0.25">
      <c r="A10672" s="1" t="s">
        <v>757</v>
      </c>
      <c r="B10672" s="1" t="s">
        <v>2756</v>
      </c>
      <c r="C10672" s="1" t="s">
        <v>11</v>
      </c>
      <c r="D10672" s="3">
        <f t="shared" si="1661"/>
        <v>7576</v>
      </c>
      <c r="E10672" s="2">
        <f t="shared" si="1662"/>
        <v>41640</v>
      </c>
      <c r="F10672" s="2">
        <f t="shared" si="1663"/>
        <v>42004</v>
      </c>
    </row>
    <row r="10673" spans="1:6" x14ac:dyDescent="0.25">
      <c r="A10673" s="1" t="s">
        <v>757</v>
      </c>
      <c r="B10673" s="1" t="s">
        <v>2756</v>
      </c>
      <c r="C10673" s="1" t="s">
        <v>12</v>
      </c>
      <c r="D10673" s="3">
        <f t="shared" si="1661"/>
        <v>7576</v>
      </c>
      <c r="E10673" s="2">
        <f t="shared" si="1662"/>
        <v>41640</v>
      </c>
      <c r="F10673" s="2">
        <f t="shared" si="1663"/>
        <v>42004</v>
      </c>
    </row>
    <row r="10674" spans="1:6" x14ac:dyDescent="0.25">
      <c r="A10674" s="1" t="s">
        <v>757</v>
      </c>
      <c r="B10674" s="1" t="s">
        <v>2756</v>
      </c>
      <c r="C10674" s="1" t="s">
        <v>45</v>
      </c>
      <c r="D10674" s="3">
        <f t="shared" si="1661"/>
        <v>7576</v>
      </c>
      <c r="E10674" s="2">
        <f t="shared" si="1662"/>
        <v>41640</v>
      </c>
      <c r="F10674" s="2">
        <f t="shared" si="1663"/>
        <v>42004</v>
      </c>
    </row>
    <row r="10675" spans="1:6" x14ac:dyDescent="0.25">
      <c r="A10675" s="1" t="s">
        <v>757</v>
      </c>
      <c r="B10675" s="1" t="s">
        <v>2756</v>
      </c>
      <c r="C10675" s="1" t="s">
        <v>46</v>
      </c>
      <c r="D10675" s="3">
        <f t="shared" si="1661"/>
        <v>7576</v>
      </c>
      <c r="E10675" s="2">
        <f t="shared" si="1662"/>
        <v>41640</v>
      </c>
      <c r="F10675" s="2">
        <f t="shared" si="1663"/>
        <v>42004</v>
      </c>
    </row>
    <row r="10676" spans="1:6" x14ac:dyDescent="0.25">
      <c r="A10676" s="1" t="s">
        <v>757</v>
      </c>
      <c r="B10676" s="1" t="s">
        <v>2756</v>
      </c>
      <c r="C10676" s="1" t="s">
        <v>16</v>
      </c>
      <c r="D10676" s="3">
        <f t="shared" si="1661"/>
        <v>7576</v>
      </c>
      <c r="E10676" s="2">
        <f t="shared" si="1662"/>
        <v>41640</v>
      </c>
      <c r="F10676" s="2">
        <f t="shared" si="1663"/>
        <v>42004</v>
      </c>
    </row>
    <row r="10677" spans="1:6" x14ac:dyDescent="0.25">
      <c r="A10677" s="1" t="s">
        <v>757</v>
      </c>
      <c r="B10677" s="1" t="s">
        <v>2756</v>
      </c>
      <c r="C10677" s="1" t="s">
        <v>88</v>
      </c>
      <c r="D10677" s="3">
        <f t="shared" si="1661"/>
        <v>7576</v>
      </c>
      <c r="E10677" s="2">
        <f t="shared" si="1662"/>
        <v>41640</v>
      </c>
      <c r="F10677" s="2">
        <f t="shared" si="1663"/>
        <v>42004</v>
      </c>
    </row>
    <row r="10678" spans="1:6" x14ac:dyDescent="0.25">
      <c r="A10678" s="1" t="s">
        <v>757</v>
      </c>
      <c r="B10678" s="1" t="s">
        <v>2756</v>
      </c>
      <c r="C10678" s="1" t="s">
        <v>17</v>
      </c>
      <c r="D10678" s="3">
        <f t="shared" si="1661"/>
        <v>7576</v>
      </c>
      <c r="E10678" s="2">
        <f t="shared" si="1662"/>
        <v>41640</v>
      </c>
      <c r="F10678" s="2">
        <f t="shared" si="1663"/>
        <v>42004</v>
      </c>
    </row>
    <row r="10679" spans="1:6" x14ac:dyDescent="0.25">
      <c r="A10679" s="1" t="s">
        <v>757</v>
      </c>
      <c r="B10679" s="1" t="s">
        <v>2756</v>
      </c>
      <c r="C10679" s="1" t="s">
        <v>193</v>
      </c>
      <c r="D10679" s="3">
        <f t="shared" si="1661"/>
        <v>7576</v>
      </c>
      <c r="E10679" s="2">
        <f t="shared" si="1662"/>
        <v>41640</v>
      </c>
      <c r="F10679" s="2">
        <f t="shared" si="1663"/>
        <v>42004</v>
      </c>
    </row>
    <row r="10680" spans="1:6" x14ac:dyDescent="0.25">
      <c r="A10680" s="1" t="s">
        <v>757</v>
      </c>
      <c r="B10680" s="1" t="s">
        <v>2756</v>
      </c>
      <c r="C10680" s="1" t="s">
        <v>20</v>
      </c>
      <c r="D10680" s="3">
        <f t="shared" si="1661"/>
        <v>7576</v>
      </c>
      <c r="E10680" s="2">
        <f t="shared" si="1662"/>
        <v>41640</v>
      </c>
      <c r="F10680" s="2">
        <f t="shared" si="1663"/>
        <v>42004</v>
      </c>
    </row>
    <row r="10681" spans="1:6" x14ac:dyDescent="0.25">
      <c r="A10681" s="1" t="s">
        <v>757</v>
      </c>
      <c r="B10681" s="1" t="s">
        <v>2756</v>
      </c>
      <c r="C10681" s="1" t="s">
        <v>22</v>
      </c>
      <c r="D10681" s="3">
        <f t="shared" si="1661"/>
        <v>7576</v>
      </c>
      <c r="E10681" s="2">
        <f t="shared" si="1662"/>
        <v>41640</v>
      </c>
      <c r="F10681" s="2">
        <f t="shared" si="1663"/>
        <v>42004</v>
      </c>
    </row>
    <row r="10682" spans="1:6" x14ac:dyDescent="0.25">
      <c r="A10682" s="1" t="s">
        <v>757</v>
      </c>
      <c r="B10682" s="1" t="s">
        <v>2756</v>
      </c>
      <c r="C10682" s="1" t="s">
        <v>23</v>
      </c>
      <c r="D10682" s="3">
        <f t="shared" si="1661"/>
        <v>7576</v>
      </c>
      <c r="E10682" s="2">
        <f t="shared" si="1662"/>
        <v>41640</v>
      </c>
      <c r="F10682" s="2">
        <f t="shared" si="1663"/>
        <v>42004</v>
      </c>
    </row>
    <row r="10683" spans="1:6" x14ac:dyDescent="0.25">
      <c r="A10683" s="1" t="s">
        <v>757</v>
      </c>
      <c r="B10683" s="1" t="s">
        <v>2756</v>
      </c>
      <c r="C10683" s="1" t="s">
        <v>336</v>
      </c>
      <c r="D10683" s="3">
        <f t="shared" si="1661"/>
        <v>7576</v>
      </c>
      <c r="E10683" s="2">
        <f t="shared" si="1662"/>
        <v>41640</v>
      </c>
      <c r="F10683" s="2">
        <f t="shared" si="1663"/>
        <v>42004</v>
      </c>
    </row>
    <row r="10684" spans="1:6" x14ac:dyDescent="0.25">
      <c r="A10684" s="1" t="s">
        <v>757</v>
      </c>
      <c r="B10684" s="1" t="s">
        <v>2756</v>
      </c>
      <c r="C10684" s="1" t="s">
        <v>329</v>
      </c>
      <c r="D10684" s="3">
        <f t="shared" si="1661"/>
        <v>7576</v>
      </c>
      <c r="E10684" s="2">
        <f t="shared" si="1662"/>
        <v>41640</v>
      </c>
      <c r="F10684" s="2">
        <f t="shared" si="1663"/>
        <v>42004</v>
      </c>
    </row>
    <row r="10685" spans="1:6" x14ac:dyDescent="0.25">
      <c r="A10685" s="1" t="s">
        <v>757</v>
      </c>
      <c r="B10685" s="1" t="s">
        <v>2756</v>
      </c>
      <c r="C10685" s="1" t="s">
        <v>474</v>
      </c>
      <c r="D10685" s="3">
        <f t="shared" si="1661"/>
        <v>7576</v>
      </c>
      <c r="E10685" s="2">
        <f t="shared" si="1662"/>
        <v>41640</v>
      </c>
      <c r="F10685" s="2">
        <f t="shared" si="1663"/>
        <v>42004</v>
      </c>
    </row>
    <row r="10686" spans="1:6" x14ac:dyDescent="0.25">
      <c r="A10686" s="1" t="s">
        <v>757</v>
      </c>
      <c r="B10686" s="1" t="s">
        <v>2756</v>
      </c>
      <c r="C10686" s="1" t="s">
        <v>475</v>
      </c>
      <c r="D10686" s="3">
        <f t="shared" si="1661"/>
        <v>7576</v>
      </c>
      <c r="E10686" s="2">
        <f t="shared" si="1662"/>
        <v>41640</v>
      </c>
      <c r="F10686" s="2">
        <f t="shared" si="1663"/>
        <v>42004</v>
      </c>
    </row>
    <row r="10687" spans="1:6" x14ac:dyDescent="0.25">
      <c r="A10687" s="1" t="s">
        <v>757</v>
      </c>
      <c r="B10687" s="1" t="s">
        <v>2756</v>
      </c>
      <c r="C10687" s="1" t="s">
        <v>493</v>
      </c>
      <c r="D10687" s="3">
        <f t="shared" si="1661"/>
        <v>7576</v>
      </c>
      <c r="E10687" s="2">
        <f t="shared" si="1662"/>
        <v>41640</v>
      </c>
      <c r="F10687" s="2">
        <f t="shared" si="1663"/>
        <v>42004</v>
      </c>
    </row>
    <row r="10688" spans="1:6" x14ac:dyDescent="0.25">
      <c r="A10688" s="1" t="s">
        <v>757</v>
      </c>
      <c r="B10688" s="1" t="s">
        <v>2756</v>
      </c>
      <c r="C10688" s="1" t="s">
        <v>27</v>
      </c>
      <c r="D10688" s="3">
        <f t="shared" si="1661"/>
        <v>7576</v>
      </c>
      <c r="E10688" s="2">
        <f t="shared" si="1662"/>
        <v>41640</v>
      </c>
      <c r="F10688" s="2">
        <f t="shared" si="1663"/>
        <v>42004</v>
      </c>
    </row>
    <row r="10689" spans="1:6" x14ac:dyDescent="0.25">
      <c r="A10689" s="1" t="s">
        <v>757</v>
      </c>
      <c r="B10689" s="1" t="s">
        <v>2756</v>
      </c>
      <c r="C10689" s="1" t="s">
        <v>262</v>
      </c>
      <c r="D10689" s="3">
        <f t="shared" si="1661"/>
        <v>7576</v>
      </c>
      <c r="E10689" s="2">
        <f t="shared" si="1662"/>
        <v>41640</v>
      </c>
      <c r="F10689" s="2">
        <f t="shared" si="1663"/>
        <v>42004</v>
      </c>
    </row>
    <row r="10690" spans="1:6" x14ac:dyDescent="0.25">
      <c r="A10690" s="1" t="s">
        <v>757</v>
      </c>
      <c r="B10690" s="1" t="s">
        <v>2756</v>
      </c>
      <c r="C10690" s="1" t="s">
        <v>216</v>
      </c>
      <c r="D10690" s="3">
        <f t="shared" si="1661"/>
        <v>7576</v>
      </c>
      <c r="E10690" s="2">
        <f t="shared" si="1662"/>
        <v>41640</v>
      </c>
      <c r="F10690" s="2">
        <f t="shared" si="1663"/>
        <v>42004</v>
      </c>
    </row>
    <row r="10691" spans="1:6" x14ac:dyDescent="0.25">
      <c r="A10691" s="1" t="s">
        <v>757</v>
      </c>
      <c r="B10691" s="1" t="s">
        <v>2756</v>
      </c>
      <c r="C10691" s="1" t="s">
        <v>173</v>
      </c>
      <c r="D10691" s="3">
        <f t="shared" si="1661"/>
        <v>7576</v>
      </c>
      <c r="E10691" s="2">
        <f t="shared" si="1662"/>
        <v>41640</v>
      </c>
      <c r="F10691" s="2">
        <f t="shared" si="1663"/>
        <v>42004</v>
      </c>
    </row>
    <row r="10692" spans="1:6" x14ac:dyDescent="0.25">
      <c r="A10692" s="1" t="s">
        <v>757</v>
      </c>
      <c r="B10692" s="1" t="s">
        <v>2756</v>
      </c>
      <c r="C10692" s="1" t="s">
        <v>36</v>
      </c>
      <c r="D10692" s="3">
        <f t="shared" si="1661"/>
        <v>7576</v>
      </c>
      <c r="E10692" s="2">
        <f t="shared" si="1662"/>
        <v>41640</v>
      </c>
      <c r="F10692" s="2">
        <f t="shared" si="1663"/>
        <v>42004</v>
      </c>
    </row>
    <row r="10693" spans="1:6" x14ac:dyDescent="0.25">
      <c r="A10693" s="1" t="s">
        <v>757</v>
      </c>
      <c r="B10693" s="1" t="s">
        <v>2757</v>
      </c>
      <c r="C10693" s="1" t="s">
        <v>43</v>
      </c>
      <c r="D10693" s="3">
        <f t="shared" ref="D10693:D10700" si="1664">VALUE("7578")</f>
        <v>7578</v>
      </c>
      <c r="E10693" s="2">
        <f t="shared" ref="E10693:E10700" si="1665">DATEVALUE("1-12-2013")</f>
        <v>41609</v>
      </c>
      <c r="F10693" s="2">
        <f t="shared" ref="F10693:F10700" si="1666">DATEVALUE("31-8-2014")</f>
        <v>41882</v>
      </c>
    </row>
    <row r="10694" spans="1:6" x14ac:dyDescent="0.25">
      <c r="A10694" s="1" t="s">
        <v>757</v>
      </c>
      <c r="B10694" s="1" t="s">
        <v>2757</v>
      </c>
      <c r="C10694" s="1" t="s">
        <v>45</v>
      </c>
      <c r="D10694" s="3">
        <f t="shared" si="1664"/>
        <v>7578</v>
      </c>
      <c r="E10694" s="2">
        <f t="shared" si="1665"/>
        <v>41609</v>
      </c>
      <c r="F10694" s="2">
        <f t="shared" si="1666"/>
        <v>41882</v>
      </c>
    </row>
    <row r="10695" spans="1:6" x14ac:dyDescent="0.25">
      <c r="A10695" s="1" t="s">
        <v>757</v>
      </c>
      <c r="B10695" s="1" t="s">
        <v>2757</v>
      </c>
      <c r="C10695" s="1" t="s">
        <v>46</v>
      </c>
      <c r="D10695" s="3">
        <f t="shared" si="1664"/>
        <v>7578</v>
      </c>
      <c r="E10695" s="2">
        <f t="shared" si="1665"/>
        <v>41609</v>
      </c>
      <c r="F10695" s="2">
        <f t="shared" si="1666"/>
        <v>41882</v>
      </c>
    </row>
    <row r="10696" spans="1:6" x14ac:dyDescent="0.25">
      <c r="A10696" s="1" t="s">
        <v>757</v>
      </c>
      <c r="B10696" s="1" t="s">
        <v>2757</v>
      </c>
      <c r="C10696" s="1" t="s">
        <v>15</v>
      </c>
      <c r="D10696" s="3">
        <f t="shared" si="1664"/>
        <v>7578</v>
      </c>
      <c r="E10696" s="2">
        <f t="shared" si="1665"/>
        <v>41609</v>
      </c>
      <c r="F10696" s="2">
        <f t="shared" si="1666"/>
        <v>41882</v>
      </c>
    </row>
    <row r="10697" spans="1:6" x14ac:dyDescent="0.25">
      <c r="A10697" s="1" t="s">
        <v>757</v>
      </c>
      <c r="B10697" s="1" t="s">
        <v>2757</v>
      </c>
      <c r="C10697" s="1" t="s">
        <v>17</v>
      </c>
      <c r="D10697" s="3">
        <f t="shared" si="1664"/>
        <v>7578</v>
      </c>
      <c r="E10697" s="2">
        <f t="shared" si="1665"/>
        <v>41609</v>
      </c>
      <c r="F10697" s="2">
        <f t="shared" si="1666"/>
        <v>41882</v>
      </c>
    </row>
    <row r="10698" spans="1:6" x14ac:dyDescent="0.25">
      <c r="A10698" s="1" t="s">
        <v>757</v>
      </c>
      <c r="B10698" s="1" t="s">
        <v>2757</v>
      </c>
      <c r="C10698" s="1" t="s">
        <v>22</v>
      </c>
      <c r="D10698" s="3">
        <f t="shared" si="1664"/>
        <v>7578</v>
      </c>
      <c r="E10698" s="2">
        <f t="shared" si="1665"/>
        <v>41609</v>
      </c>
      <c r="F10698" s="2">
        <f t="shared" si="1666"/>
        <v>41882</v>
      </c>
    </row>
    <row r="10699" spans="1:6" x14ac:dyDescent="0.25">
      <c r="A10699" s="1" t="s">
        <v>757</v>
      </c>
      <c r="B10699" s="1" t="s">
        <v>2757</v>
      </c>
      <c r="C10699" s="1" t="s">
        <v>349</v>
      </c>
      <c r="D10699" s="3">
        <f t="shared" si="1664"/>
        <v>7578</v>
      </c>
      <c r="E10699" s="2">
        <f t="shared" si="1665"/>
        <v>41609</v>
      </c>
      <c r="F10699" s="2">
        <f t="shared" si="1666"/>
        <v>41882</v>
      </c>
    </row>
    <row r="10700" spans="1:6" x14ac:dyDescent="0.25">
      <c r="A10700" s="1" t="s">
        <v>757</v>
      </c>
      <c r="B10700" s="1" t="s">
        <v>2757</v>
      </c>
      <c r="C10700" s="1" t="s">
        <v>519</v>
      </c>
      <c r="D10700" s="3">
        <f t="shared" si="1664"/>
        <v>7578</v>
      </c>
      <c r="E10700" s="2">
        <f t="shared" si="1665"/>
        <v>41609</v>
      </c>
      <c r="F10700" s="2">
        <f t="shared" si="1666"/>
        <v>41882</v>
      </c>
    </row>
    <row r="10701" spans="1:6" x14ac:dyDescent="0.25">
      <c r="A10701" s="1" t="s">
        <v>757</v>
      </c>
      <c r="B10701" s="1" t="s">
        <v>2751</v>
      </c>
      <c r="C10701" s="1" t="s">
        <v>8</v>
      </c>
      <c r="D10701" s="3">
        <f t="shared" ref="D10701:D10717" si="1667">VALUE("7570")</f>
        <v>7570</v>
      </c>
      <c r="E10701" s="2">
        <f t="shared" ref="E10701:E10717" si="1668">DATEVALUE("1-11-2013")</f>
        <v>41579</v>
      </c>
      <c r="F10701" s="2">
        <f t="shared" ref="F10701:F10717" si="1669">DATEVALUE("28-2-2014")</f>
        <v>41698</v>
      </c>
    </row>
    <row r="10702" spans="1:6" x14ac:dyDescent="0.25">
      <c r="A10702" s="1" t="s">
        <v>757</v>
      </c>
      <c r="B10702" s="1" t="s">
        <v>2751</v>
      </c>
      <c r="C10702" s="1" t="s">
        <v>10</v>
      </c>
      <c r="D10702" s="3">
        <f t="shared" si="1667"/>
        <v>7570</v>
      </c>
      <c r="E10702" s="2">
        <f t="shared" si="1668"/>
        <v>41579</v>
      </c>
      <c r="F10702" s="2">
        <f t="shared" si="1669"/>
        <v>41698</v>
      </c>
    </row>
    <row r="10703" spans="1:6" x14ac:dyDescent="0.25">
      <c r="A10703" s="1" t="s">
        <v>757</v>
      </c>
      <c r="B10703" s="1" t="s">
        <v>2751</v>
      </c>
      <c r="C10703" s="1" t="s">
        <v>12</v>
      </c>
      <c r="D10703" s="3">
        <f t="shared" si="1667"/>
        <v>7570</v>
      </c>
      <c r="E10703" s="2">
        <f t="shared" si="1668"/>
        <v>41579</v>
      </c>
      <c r="F10703" s="2">
        <f t="shared" si="1669"/>
        <v>41698</v>
      </c>
    </row>
    <row r="10704" spans="1:6" x14ac:dyDescent="0.25">
      <c r="A10704" s="1" t="s">
        <v>757</v>
      </c>
      <c r="B10704" s="1" t="s">
        <v>2751</v>
      </c>
      <c r="C10704" s="1" t="s">
        <v>221</v>
      </c>
      <c r="D10704" s="3">
        <f t="shared" si="1667"/>
        <v>7570</v>
      </c>
      <c r="E10704" s="2">
        <f t="shared" si="1668"/>
        <v>41579</v>
      </c>
      <c r="F10704" s="2">
        <f t="shared" si="1669"/>
        <v>41698</v>
      </c>
    </row>
    <row r="10705" spans="1:6" x14ac:dyDescent="0.25">
      <c r="A10705" s="1" t="s">
        <v>757</v>
      </c>
      <c r="B10705" s="1" t="s">
        <v>2751</v>
      </c>
      <c r="C10705" s="1" t="s">
        <v>227</v>
      </c>
      <c r="D10705" s="3">
        <f t="shared" si="1667"/>
        <v>7570</v>
      </c>
      <c r="E10705" s="2">
        <f t="shared" si="1668"/>
        <v>41579</v>
      </c>
      <c r="F10705" s="2">
        <f t="shared" si="1669"/>
        <v>41698</v>
      </c>
    </row>
    <row r="10706" spans="1:6" x14ac:dyDescent="0.25">
      <c r="A10706" s="1" t="s">
        <v>757</v>
      </c>
      <c r="B10706" s="1" t="s">
        <v>2751</v>
      </c>
      <c r="C10706" s="1" t="s">
        <v>228</v>
      </c>
      <c r="D10706" s="3">
        <f t="shared" si="1667"/>
        <v>7570</v>
      </c>
      <c r="E10706" s="2">
        <f t="shared" si="1668"/>
        <v>41579</v>
      </c>
      <c r="F10706" s="2">
        <f t="shared" si="1669"/>
        <v>41698</v>
      </c>
    </row>
    <row r="10707" spans="1:6" x14ac:dyDescent="0.25">
      <c r="A10707" s="1" t="s">
        <v>757</v>
      </c>
      <c r="B10707" s="1" t="s">
        <v>2751</v>
      </c>
      <c r="C10707" s="1" t="s">
        <v>28</v>
      </c>
      <c r="D10707" s="3">
        <f t="shared" si="1667"/>
        <v>7570</v>
      </c>
      <c r="E10707" s="2">
        <f t="shared" si="1668"/>
        <v>41579</v>
      </c>
      <c r="F10707" s="2">
        <f t="shared" si="1669"/>
        <v>41698</v>
      </c>
    </row>
    <row r="10708" spans="1:6" x14ac:dyDescent="0.25">
      <c r="A10708" s="1" t="s">
        <v>757</v>
      </c>
      <c r="B10708" s="1" t="s">
        <v>2751</v>
      </c>
      <c r="C10708" s="1" t="s">
        <v>229</v>
      </c>
      <c r="D10708" s="3">
        <f t="shared" si="1667"/>
        <v>7570</v>
      </c>
      <c r="E10708" s="2">
        <f t="shared" si="1668"/>
        <v>41579</v>
      </c>
      <c r="F10708" s="2">
        <f t="shared" si="1669"/>
        <v>41698</v>
      </c>
    </row>
    <row r="10709" spans="1:6" x14ac:dyDescent="0.25">
      <c r="A10709" s="1" t="s">
        <v>757</v>
      </c>
      <c r="B10709" s="1" t="s">
        <v>2751</v>
      </c>
      <c r="C10709" s="1" t="s">
        <v>29</v>
      </c>
      <c r="D10709" s="3">
        <f t="shared" si="1667"/>
        <v>7570</v>
      </c>
      <c r="E10709" s="2">
        <f t="shared" si="1668"/>
        <v>41579</v>
      </c>
      <c r="F10709" s="2">
        <f t="shared" si="1669"/>
        <v>41698</v>
      </c>
    </row>
    <row r="10710" spans="1:6" x14ac:dyDescent="0.25">
      <c r="A10710" s="1" t="s">
        <v>757</v>
      </c>
      <c r="B10710" s="1" t="s">
        <v>2751</v>
      </c>
      <c r="C10710" s="1" t="s">
        <v>230</v>
      </c>
      <c r="D10710" s="3">
        <f t="shared" si="1667"/>
        <v>7570</v>
      </c>
      <c r="E10710" s="2">
        <f t="shared" si="1668"/>
        <v>41579</v>
      </c>
      <c r="F10710" s="2">
        <f t="shared" si="1669"/>
        <v>41698</v>
      </c>
    </row>
    <row r="10711" spans="1:6" x14ac:dyDescent="0.25">
      <c r="A10711" s="1" t="s">
        <v>757</v>
      </c>
      <c r="B10711" s="1" t="s">
        <v>2751</v>
      </c>
      <c r="C10711" s="1" t="s">
        <v>231</v>
      </c>
      <c r="D10711" s="3">
        <f t="shared" si="1667"/>
        <v>7570</v>
      </c>
      <c r="E10711" s="2">
        <f t="shared" si="1668"/>
        <v>41579</v>
      </c>
      <c r="F10711" s="2">
        <f t="shared" si="1669"/>
        <v>41698</v>
      </c>
    </row>
    <row r="10712" spans="1:6" x14ac:dyDescent="0.25">
      <c r="A10712" s="1" t="s">
        <v>757</v>
      </c>
      <c r="B10712" s="1" t="s">
        <v>2751</v>
      </c>
      <c r="C10712" s="1" t="s">
        <v>234</v>
      </c>
      <c r="D10712" s="3">
        <f t="shared" si="1667"/>
        <v>7570</v>
      </c>
      <c r="E10712" s="2">
        <f t="shared" si="1668"/>
        <v>41579</v>
      </c>
      <c r="F10712" s="2">
        <f t="shared" si="1669"/>
        <v>41698</v>
      </c>
    </row>
    <row r="10713" spans="1:6" x14ac:dyDescent="0.25">
      <c r="A10713" s="1" t="s">
        <v>757</v>
      </c>
      <c r="B10713" s="1" t="s">
        <v>2751</v>
      </c>
      <c r="C10713" s="1" t="s">
        <v>30</v>
      </c>
      <c r="D10713" s="3">
        <f t="shared" si="1667"/>
        <v>7570</v>
      </c>
      <c r="E10713" s="2">
        <f t="shared" si="1668"/>
        <v>41579</v>
      </c>
      <c r="F10713" s="2">
        <f t="shared" si="1669"/>
        <v>41698</v>
      </c>
    </row>
    <row r="10714" spans="1:6" x14ac:dyDescent="0.25">
      <c r="A10714" s="1" t="s">
        <v>757</v>
      </c>
      <c r="B10714" s="1" t="s">
        <v>2751</v>
      </c>
      <c r="C10714" s="1" t="s">
        <v>1839</v>
      </c>
      <c r="D10714" s="3">
        <f t="shared" si="1667"/>
        <v>7570</v>
      </c>
      <c r="E10714" s="2">
        <f t="shared" si="1668"/>
        <v>41579</v>
      </c>
      <c r="F10714" s="2">
        <f t="shared" si="1669"/>
        <v>41698</v>
      </c>
    </row>
    <row r="10715" spans="1:6" x14ac:dyDescent="0.25">
      <c r="A10715" s="1" t="s">
        <v>757</v>
      </c>
      <c r="B10715" s="1" t="s">
        <v>2751</v>
      </c>
      <c r="C10715" s="1" t="s">
        <v>238</v>
      </c>
      <c r="D10715" s="3">
        <f t="shared" si="1667"/>
        <v>7570</v>
      </c>
      <c r="E10715" s="2">
        <f t="shared" si="1668"/>
        <v>41579</v>
      </c>
      <c r="F10715" s="2">
        <f t="shared" si="1669"/>
        <v>41698</v>
      </c>
    </row>
    <row r="10716" spans="1:6" x14ac:dyDescent="0.25">
      <c r="A10716" s="1" t="s">
        <v>757</v>
      </c>
      <c r="B10716" s="1" t="s">
        <v>2751</v>
      </c>
      <c r="C10716" s="1" t="s">
        <v>239</v>
      </c>
      <c r="D10716" s="3">
        <f t="shared" si="1667"/>
        <v>7570</v>
      </c>
      <c r="E10716" s="2">
        <f t="shared" si="1668"/>
        <v>41579</v>
      </c>
      <c r="F10716" s="2">
        <f t="shared" si="1669"/>
        <v>41698</v>
      </c>
    </row>
    <row r="10717" spans="1:6" x14ac:dyDescent="0.25">
      <c r="A10717" s="1" t="s">
        <v>757</v>
      </c>
      <c r="B10717" s="1" t="s">
        <v>2751</v>
      </c>
      <c r="C10717" s="1" t="s">
        <v>36</v>
      </c>
      <c r="D10717" s="3">
        <f t="shared" si="1667"/>
        <v>7570</v>
      </c>
      <c r="E10717" s="2">
        <f t="shared" si="1668"/>
        <v>41579</v>
      </c>
      <c r="F10717" s="2">
        <f t="shared" si="1669"/>
        <v>41698</v>
      </c>
    </row>
    <row r="10718" spans="1:6" x14ac:dyDescent="0.25">
      <c r="A10718" s="1" t="s">
        <v>757</v>
      </c>
      <c r="B10718" s="1" t="s">
        <v>2741</v>
      </c>
      <c r="C10718" s="1" t="s">
        <v>8</v>
      </c>
      <c r="D10718" s="3">
        <f t="shared" ref="D10718:D10729" si="1670">VALUE("7551")</f>
        <v>7551</v>
      </c>
      <c r="E10718" s="2">
        <f t="shared" ref="E10718:E10729" si="1671">DATEVALUE("1-10-2013")</f>
        <v>41548</v>
      </c>
      <c r="F10718" s="2">
        <f t="shared" ref="F10718:F10729" si="1672">DATEVALUE("30-4-2014")</f>
        <v>41759</v>
      </c>
    </row>
    <row r="10719" spans="1:6" x14ac:dyDescent="0.25">
      <c r="A10719" s="1" t="s">
        <v>757</v>
      </c>
      <c r="B10719" s="1" t="s">
        <v>2741</v>
      </c>
      <c r="C10719" s="1" t="s">
        <v>9</v>
      </c>
      <c r="D10719" s="3">
        <f t="shared" si="1670"/>
        <v>7551</v>
      </c>
      <c r="E10719" s="2">
        <f t="shared" si="1671"/>
        <v>41548</v>
      </c>
      <c r="F10719" s="2">
        <f t="shared" si="1672"/>
        <v>41759</v>
      </c>
    </row>
    <row r="10720" spans="1:6" x14ac:dyDescent="0.25">
      <c r="A10720" s="1" t="s">
        <v>757</v>
      </c>
      <c r="B10720" s="1" t="s">
        <v>2741</v>
      </c>
      <c r="C10720" s="1" t="s">
        <v>10</v>
      </c>
      <c r="D10720" s="3">
        <f t="shared" si="1670"/>
        <v>7551</v>
      </c>
      <c r="E10720" s="2">
        <f t="shared" si="1671"/>
        <v>41548</v>
      </c>
      <c r="F10720" s="2">
        <f t="shared" si="1672"/>
        <v>41759</v>
      </c>
    </row>
    <row r="10721" spans="1:6" x14ac:dyDescent="0.25">
      <c r="A10721" s="1" t="s">
        <v>757</v>
      </c>
      <c r="B10721" s="1" t="s">
        <v>2741</v>
      </c>
      <c r="C10721" s="1" t="s">
        <v>11</v>
      </c>
      <c r="D10721" s="3">
        <f t="shared" si="1670"/>
        <v>7551</v>
      </c>
      <c r="E10721" s="2">
        <f t="shared" si="1671"/>
        <v>41548</v>
      </c>
      <c r="F10721" s="2">
        <f t="shared" si="1672"/>
        <v>41759</v>
      </c>
    </row>
    <row r="10722" spans="1:6" x14ac:dyDescent="0.25">
      <c r="A10722" s="1" t="s">
        <v>757</v>
      </c>
      <c r="B10722" s="1" t="s">
        <v>2741</v>
      </c>
      <c r="C10722" s="1" t="s">
        <v>12</v>
      </c>
      <c r="D10722" s="3">
        <f t="shared" si="1670"/>
        <v>7551</v>
      </c>
      <c r="E10722" s="2">
        <f t="shared" si="1671"/>
        <v>41548</v>
      </c>
      <c r="F10722" s="2">
        <f t="shared" si="1672"/>
        <v>41759</v>
      </c>
    </row>
    <row r="10723" spans="1:6" x14ac:dyDescent="0.25">
      <c r="A10723" s="1" t="s">
        <v>757</v>
      </c>
      <c r="B10723" s="1" t="s">
        <v>2741</v>
      </c>
      <c r="C10723" s="1" t="s">
        <v>17</v>
      </c>
      <c r="D10723" s="3">
        <f t="shared" si="1670"/>
        <v>7551</v>
      </c>
      <c r="E10723" s="2">
        <f t="shared" si="1671"/>
        <v>41548</v>
      </c>
      <c r="F10723" s="2">
        <f t="shared" si="1672"/>
        <v>41759</v>
      </c>
    </row>
    <row r="10724" spans="1:6" x14ac:dyDescent="0.25">
      <c r="A10724" s="1" t="s">
        <v>757</v>
      </c>
      <c r="B10724" s="1" t="s">
        <v>2741</v>
      </c>
      <c r="C10724" s="1" t="s">
        <v>22</v>
      </c>
      <c r="D10724" s="3">
        <f t="shared" si="1670"/>
        <v>7551</v>
      </c>
      <c r="E10724" s="2">
        <f t="shared" si="1671"/>
        <v>41548</v>
      </c>
      <c r="F10724" s="2">
        <f t="shared" si="1672"/>
        <v>41759</v>
      </c>
    </row>
    <row r="10725" spans="1:6" x14ac:dyDescent="0.25">
      <c r="A10725" s="1" t="s">
        <v>757</v>
      </c>
      <c r="B10725" s="1" t="s">
        <v>2741</v>
      </c>
      <c r="C10725" s="1" t="s">
        <v>329</v>
      </c>
      <c r="D10725" s="3">
        <f t="shared" si="1670"/>
        <v>7551</v>
      </c>
      <c r="E10725" s="2">
        <f t="shared" si="1671"/>
        <v>41548</v>
      </c>
      <c r="F10725" s="2">
        <f t="shared" si="1672"/>
        <v>41759</v>
      </c>
    </row>
    <row r="10726" spans="1:6" x14ac:dyDescent="0.25">
      <c r="A10726" s="1" t="s">
        <v>757</v>
      </c>
      <c r="B10726" s="1" t="s">
        <v>2741</v>
      </c>
      <c r="C10726" s="1" t="s">
        <v>69</v>
      </c>
      <c r="D10726" s="3">
        <f t="shared" si="1670"/>
        <v>7551</v>
      </c>
      <c r="E10726" s="2">
        <f t="shared" si="1671"/>
        <v>41548</v>
      </c>
      <c r="F10726" s="2">
        <f t="shared" si="1672"/>
        <v>41759</v>
      </c>
    </row>
    <row r="10727" spans="1:6" x14ac:dyDescent="0.25">
      <c r="A10727" s="1" t="s">
        <v>757</v>
      </c>
      <c r="B10727" s="1" t="s">
        <v>2741</v>
      </c>
      <c r="C10727" s="1" t="s">
        <v>27</v>
      </c>
      <c r="D10727" s="3">
        <f t="shared" si="1670"/>
        <v>7551</v>
      </c>
      <c r="E10727" s="2">
        <f t="shared" si="1671"/>
        <v>41548</v>
      </c>
      <c r="F10727" s="2">
        <f t="shared" si="1672"/>
        <v>41759</v>
      </c>
    </row>
    <row r="10728" spans="1:6" x14ac:dyDescent="0.25">
      <c r="A10728" s="1" t="s">
        <v>757</v>
      </c>
      <c r="B10728" s="1" t="s">
        <v>2741</v>
      </c>
      <c r="C10728" s="1" t="s">
        <v>262</v>
      </c>
      <c r="D10728" s="3">
        <f t="shared" si="1670"/>
        <v>7551</v>
      </c>
      <c r="E10728" s="2">
        <f t="shared" si="1671"/>
        <v>41548</v>
      </c>
      <c r="F10728" s="2">
        <f t="shared" si="1672"/>
        <v>41759</v>
      </c>
    </row>
    <row r="10729" spans="1:6" x14ac:dyDescent="0.25">
      <c r="A10729" s="1" t="s">
        <v>757</v>
      </c>
      <c r="B10729" s="1" t="s">
        <v>2741</v>
      </c>
      <c r="C10729" s="1" t="s">
        <v>36</v>
      </c>
      <c r="D10729" s="3">
        <f t="shared" si="1670"/>
        <v>7551</v>
      </c>
      <c r="E10729" s="2">
        <f t="shared" si="1671"/>
        <v>41548</v>
      </c>
      <c r="F10729" s="2">
        <f t="shared" si="1672"/>
        <v>41759</v>
      </c>
    </row>
    <row r="10730" spans="1:6" x14ac:dyDescent="0.25">
      <c r="A10730" s="1" t="s">
        <v>757</v>
      </c>
      <c r="B10730" s="1" t="s">
        <v>2112</v>
      </c>
      <c r="C10730" s="1" t="s">
        <v>347</v>
      </c>
      <c r="D10730" s="3">
        <f>VALUE("7066")</f>
        <v>7066</v>
      </c>
      <c r="E10730" s="2">
        <f>DATEVALUE("1-6-2013")</f>
        <v>41426</v>
      </c>
      <c r="F10730" s="2">
        <f>DATEVALUE("31-12-2016")</f>
        <v>42735</v>
      </c>
    </row>
    <row r="10731" spans="1:6" x14ac:dyDescent="0.25">
      <c r="A10731" s="1" t="s">
        <v>757</v>
      </c>
      <c r="B10731" s="1" t="s">
        <v>2112</v>
      </c>
      <c r="C10731" s="1" t="s">
        <v>149</v>
      </c>
      <c r="D10731" s="3">
        <f>VALUE("7066")</f>
        <v>7066</v>
      </c>
      <c r="E10731" s="2">
        <f>DATEVALUE("1-6-2013")</f>
        <v>41426</v>
      </c>
      <c r="F10731" s="2">
        <f>DATEVALUE("31-12-2016")</f>
        <v>42735</v>
      </c>
    </row>
    <row r="10732" spans="1:6" x14ac:dyDescent="0.25">
      <c r="A10732" s="1" t="s">
        <v>757</v>
      </c>
      <c r="B10732" s="1" t="s">
        <v>2112</v>
      </c>
      <c r="C10732" s="1" t="s">
        <v>150</v>
      </c>
      <c r="D10732" s="3">
        <f>VALUE("7066")</f>
        <v>7066</v>
      </c>
      <c r="E10732" s="2">
        <f>DATEVALUE("1-6-2013")</f>
        <v>41426</v>
      </c>
      <c r="F10732" s="2">
        <f>DATEVALUE("31-12-2016")</f>
        <v>42735</v>
      </c>
    </row>
    <row r="10733" spans="1:6" x14ac:dyDescent="0.25">
      <c r="A10733" s="1" t="s">
        <v>757</v>
      </c>
      <c r="B10733" s="1" t="s">
        <v>2112</v>
      </c>
      <c r="C10733" s="1" t="s">
        <v>310</v>
      </c>
      <c r="D10733" s="3">
        <f>VALUE("7066")</f>
        <v>7066</v>
      </c>
      <c r="E10733" s="2">
        <f>DATEVALUE("1-6-2013")</f>
        <v>41426</v>
      </c>
      <c r="F10733" s="2">
        <f>DATEVALUE("31-12-2016")</f>
        <v>42735</v>
      </c>
    </row>
    <row r="10734" spans="1:6" x14ac:dyDescent="0.25">
      <c r="A10734" s="1" t="s">
        <v>757</v>
      </c>
      <c r="B10734" s="1" t="s">
        <v>2691</v>
      </c>
      <c r="C10734" s="1" t="s">
        <v>45</v>
      </c>
      <c r="D10734" s="3">
        <f>VALUE("7441")</f>
        <v>7441</v>
      </c>
      <c r="E10734" s="2">
        <f>DATEVALUE("1-12-2012")</f>
        <v>41244</v>
      </c>
      <c r="F10734" s="2">
        <f>DATEVALUE("28-2-2014")</f>
        <v>41698</v>
      </c>
    </row>
    <row r="10735" spans="1:6" x14ac:dyDescent="0.25">
      <c r="A10735" s="1" t="s">
        <v>757</v>
      </c>
      <c r="B10735" s="1" t="s">
        <v>2130</v>
      </c>
      <c r="C10735" s="1" t="s">
        <v>8</v>
      </c>
      <c r="D10735" s="3">
        <f t="shared" ref="D10735:D10745" si="1673">VALUE("7336")</f>
        <v>7336</v>
      </c>
      <c r="E10735" s="2">
        <f t="shared" ref="E10735:E10745" si="1674">DATEVALUE("1-11-2012")</f>
        <v>41214</v>
      </c>
      <c r="F10735" s="2">
        <f t="shared" ref="F10735:F10745" si="1675">DATEVALUE("31-1-2020")</f>
        <v>43861</v>
      </c>
    </row>
    <row r="10736" spans="1:6" x14ac:dyDescent="0.25">
      <c r="A10736" s="1" t="s">
        <v>757</v>
      </c>
      <c r="B10736" s="1" t="s">
        <v>2130</v>
      </c>
      <c r="C10736" s="1" t="s">
        <v>256</v>
      </c>
      <c r="D10736" s="3">
        <f t="shared" si="1673"/>
        <v>7336</v>
      </c>
      <c r="E10736" s="2">
        <f t="shared" si="1674"/>
        <v>41214</v>
      </c>
      <c r="F10736" s="2">
        <f t="shared" si="1675"/>
        <v>43861</v>
      </c>
    </row>
    <row r="10737" spans="1:6" x14ac:dyDescent="0.25">
      <c r="A10737" s="1" t="s">
        <v>757</v>
      </c>
      <c r="B10737" s="1" t="s">
        <v>2130</v>
      </c>
      <c r="C10737" s="1" t="s">
        <v>410</v>
      </c>
      <c r="D10737" s="3">
        <f t="shared" si="1673"/>
        <v>7336</v>
      </c>
      <c r="E10737" s="2">
        <f t="shared" si="1674"/>
        <v>41214</v>
      </c>
      <c r="F10737" s="2">
        <f t="shared" si="1675"/>
        <v>43861</v>
      </c>
    </row>
    <row r="10738" spans="1:6" x14ac:dyDescent="0.25">
      <c r="A10738" s="1" t="s">
        <v>757</v>
      </c>
      <c r="B10738" s="1" t="s">
        <v>2130</v>
      </c>
      <c r="C10738" s="1" t="s">
        <v>597</v>
      </c>
      <c r="D10738" s="3">
        <f t="shared" si="1673"/>
        <v>7336</v>
      </c>
      <c r="E10738" s="2">
        <f t="shared" si="1674"/>
        <v>41214</v>
      </c>
      <c r="F10738" s="2">
        <f t="shared" si="1675"/>
        <v>43861</v>
      </c>
    </row>
    <row r="10739" spans="1:6" x14ac:dyDescent="0.25">
      <c r="A10739" s="1" t="s">
        <v>757</v>
      </c>
      <c r="B10739" s="1" t="s">
        <v>2130</v>
      </c>
      <c r="C10739" s="1" t="s">
        <v>375</v>
      </c>
      <c r="D10739" s="3">
        <f t="shared" si="1673"/>
        <v>7336</v>
      </c>
      <c r="E10739" s="2">
        <f t="shared" si="1674"/>
        <v>41214</v>
      </c>
      <c r="F10739" s="2">
        <f t="shared" si="1675"/>
        <v>43861</v>
      </c>
    </row>
    <row r="10740" spans="1:6" x14ac:dyDescent="0.25">
      <c r="A10740" s="1" t="s">
        <v>757</v>
      </c>
      <c r="B10740" s="1" t="s">
        <v>2130</v>
      </c>
      <c r="C10740" s="1" t="s">
        <v>46</v>
      </c>
      <c r="D10740" s="3">
        <f t="shared" si="1673"/>
        <v>7336</v>
      </c>
      <c r="E10740" s="2">
        <f t="shared" si="1674"/>
        <v>41214</v>
      </c>
      <c r="F10740" s="2">
        <f t="shared" si="1675"/>
        <v>43861</v>
      </c>
    </row>
    <row r="10741" spans="1:6" x14ac:dyDescent="0.25">
      <c r="A10741" s="1" t="s">
        <v>757</v>
      </c>
      <c r="B10741" s="1" t="s">
        <v>2130</v>
      </c>
      <c r="C10741" s="1" t="s">
        <v>15</v>
      </c>
      <c r="D10741" s="3">
        <f t="shared" si="1673"/>
        <v>7336</v>
      </c>
      <c r="E10741" s="2">
        <f t="shared" si="1674"/>
        <v>41214</v>
      </c>
      <c r="F10741" s="2">
        <f t="shared" si="1675"/>
        <v>43861</v>
      </c>
    </row>
    <row r="10742" spans="1:6" x14ac:dyDescent="0.25">
      <c r="A10742" s="1" t="s">
        <v>757</v>
      </c>
      <c r="B10742" s="1" t="s">
        <v>2130</v>
      </c>
      <c r="C10742" s="1" t="s">
        <v>17</v>
      </c>
      <c r="D10742" s="3">
        <f t="shared" si="1673"/>
        <v>7336</v>
      </c>
      <c r="E10742" s="2">
        <f t="shared" si="1674"/>
        <v>41214</v>
      </c>
      <c r="F10742" s="2">
        <f t="shared" si="1675"/>
        <v>43861</v>
      </c>
    </row>
    <row r="10743" spans="1:6" x14ac:dyDescent="0.25">
      <c r="A10743" s="1" t="s">
        <v>757</v>
      </c>
      <c r="B10743" s="1" t="s">
        <v>2130</v>
      </c>
      <c r="C10743" s="1" t="s">
        <v>22</v>
      </c>
      <c r="D10743" s="3">
        <f t="shared" si="1673"/>
        <v>7336</v>
      </c>
      <c r="E10743" s="2">
        <f t="shared" si="1674"/>
        <v>41214</v>
      </c>
      <c r="F10743" s="2">
        <f t="shared" si="1675"/>
        <v>43861</v>
      </c>
    </row>
    <row r="10744" spans="1:6" x14ac:dyDescent="0.25">
      <c r="A10744" s="1" t="s">
        <v>757</v>
      </c>
      <c r="B10744" s="1" t="s">
        <v>2130</v>
      </c>
      <c r="C10744" s="1" t="s">
        <v>348</v>
      </c>
      <c r="D10744" s="3">
        <f t="shared" si="1673"/>
        <v>7336</v>
      </c>
      <c r="E10744" s="2">
        <f t="shared" si="1674"/>
        <v>41214</v>
      </c>
      <c r="F10744" s="2">
        <f t="shared" si="1675"/>
        <v>43861</v>
      </c>
    </row>
    <row r="10745" spans="1:6" x14ac:dyDescent="0.25">
      <c r="A10745" s="1" t="s">
        <v>757</v>
      </c>
      <c r="B10745" s="1" t="s">
        <v>2130</v>
      </c>
      <c r="C10745" s="1" t="s">
        <v>2131</v>
      </c>
      <c r="D10745" s="3">
        <f t="shared" si="1673"/>
        <v>7336</v>
      </c>
      <c r="E10745" s="2">
        <f t="shared" si="1674"/>
        <v>41214</v>
      </c>
      <c r="F10745" s="2">
        <f t="shared" si="1675"/>
        <v>43861</v>
      </c>
    </row>
    <row r="10746" spans="1:6" x14ac:dyDescent="0.25">
      <c r="A10746" s="1" t="s">
        <v>757</v>
      </c>
      <c r="B10746" s="1" t="s">
        <v>2696</v>
      </c>
      <c r="C10746" s="1" t="s">
        <v>45</v>
      </c>
      <c r="D10746" s="3">
        <f>VALUE("7417")</f>
        <v>7417</v>
      </c>
      <c r="E10746" s="2">
        <f>DATEVALUE("1-10-2012")</f>
        <v>41183</v>
      </c>
      <c r="F10746" s="2">
        <f>DATEVALUE("30-11-2012")</f>
        <v>41243</v>
      </c>
    </row>
    <row r="10747" spans="1:6" x14ac:dyDescent="0.25">
      <c r="A10747" s="1" t="s">
        <v>757</v>
      </c>
      <c r="B10747" s="1" t="s">
        <v>2693</v>
      </c>
      <c r="C10747" s="1" t="s">
        <v>45</v>
      </c>
      <c r="D10747" s="3">
        <f>VALUE("7411")</f>
        <v>7411</v>
      </c>
      <c r="E10747" s="2">
        <f>DATEVALUE("1-9-2012")</f>
        <v>41153</v>
      </c>
      <c r="F10747" s="2">
        <f t="shared" ref="F10747:F10752" si="1676">DATEVALUE("28-2-2013")</f>
        <v>41333</v>
      </c>
    </row>
    <row r="10748" spans="1:6" x14ac:dyDescent="0.25">
      <c r="A10748" s="1" t="s">
        <v>757</v>
      </c>
      <c r="B10748" s="1" t="s">
        <v>2691</v>
      </c>
      <c r="C10748" s="1" t="s">
        <v>8</v>
      </c>
      <c r="D10748" s="3">
        <f>VALUE("7400")</f>
        <v>7400</v>
      </c>
      <c r="E10748" s="2">
        <f>DATEVALUE("1-8-2012")</f>
        <v>41122</v>
      </c>
      <c r="F10748" s="2">
        <f t="shared" si="1676"/>
        <v>41333</v>
      </c>
    </row>
    <row r="10749" spans="1:6" x14ac:dyDescent="0.25">
      <c r="A10749" s="1" t="s">
        <v>757</v>
      </c>
      <c r="B10749" s="1" t="s">
        <v>2691</v>
      </c>
      <c r="C10749" s="1" t="s">
        <v>10</v>
      </c>
      <c r="D10749" s="3">
        <f>VALUE("7400")</f>
        <v>7400</v>
      </c>
      <c r="E10749" s="2">
        <f>DATEVALUE("1-8-2012")</f>
        <v>41122</v>
      </c>
      <c r="F10749" s="2">
        <f t="shared" si="1676"/>
        <v>41333</v>
      </c>
    </row>
    <row r="10750" spans="1:6" x14ac:dyDescent="0.25">
      <c r="A10750" s="1" t="s">
        <v>757</v>
      </c>
      <c r="B10750" s="1" t="s">
        <v>2691</v>
      </c>
      <c r="C10750" s="1" t="s">
        <v>12</v>
      </c>
      <c r="D10750" s="3">
        <f>VALUE("7400")</f>
        <v>7400</v>
      </c>
      <c r="E10750" s="2">
        <f>DATEVALUE("1-8-2012")</f>
        <v>41122</v>
      </c>
      <c r="F10750" s="2">
        <f t="shared" si="1676"/>
        <v>41333</v>
      </c>
    </row>
    <row r="10751" spans="1:6" x14ac:dyDescent="0.25">
      <c r="A10751" s="1" t="s">
        <v>757</v>
      </c>
      <c r="B10751" s="1" t="s">
        <v>2691</v>
      </c>
      <c r="C10751" s="1" t="s">
        <v>45</v>
      </c>
      <c r="D10751" s="3">
        <f>VALUE("7400")</f>
        <v>7400</v>
      </c>
      <c r="E10751" s="2">
        <f>DATEVALUE("1-8-2012")</f>
        <v>41122</v>
      </c>
      <c r="F10751" s="2">
        <f t="shared" si="1676"/>
        <v>41333</v>
      </c>
    </row>
    <row r="10752" spans="1:6" x14ac:dyDescent="0.25">
      <c r="A10752" s="1" t="s">
        <v>757</v>
      </c>
      <c r="B10752" s="1" t="s">
        <v>2691</v>
      </c>
      <c r="C10752" s="1" t="s">
        <v>17</v>
      </c>
      <c r="D10752" s="3">
        <f>VALUE("7400")</f>
        <v>7400</v>
      </c>
      <c r="E10752" s="2">
        <f>DATEVALUE("1-8-2012")</f>
        <v>41122</v>
      </c>
      <c r="F10752" s="2">
        <f t="shared" si="1676"/>
        <v>41333</v>
      </c>
    </row>
    <row r="10753" spans="1:6" x14ac:dyDescent="0.25">
      <c r="A10753" s="1" t="s">
        <v>757</v>
      </c>
      <c r="B10753" s="1" t="s">
        <v>2667</v>
      </c>
      <c r="C10753" s="1" t="s">
        <v>66</v>
      </c>
      <c r="D10753" s="3">
        <f>VALUE("7331")</f>
        <v>7331</v>
      </c>
      <c r="E10753" s="2">
        <f>DATEVALUE("1-3-2012")</f>
        <v>40969</v>
      </c>
      <c r="F10753" s="2">
        <f>DATEVALUE("31-8-2012")</f>
        <v>41152</v>
      </c>
    </row>
    <row r="10754" spans="1:6" x14ac:dyDescent="0.25">
      <c r="A10754" s="1" t="s">
        <v>757</v>
      </c>
      <c r="B10754" s="1" t="s">
        <v>2667</v>
      </c>
      <c r="C10754" s="1" t="s">
        <v>88</v>
      </c>
      <c r="D10754" s="3">
        <f>VALUE("7331")</f>
        <v>7331</v>
      </c>
      <c r="E10754" s="2">
        <f>DATEVALUE("1-3-2012")</f>
        <v>40969</v>
      </c>
      <c r="F10754" s="2">
        <f>DATEVALUE("31-8-2012")</f>
        <v>41152</v>
      </c>
    </row>
    <row r="10755" spans="1:6" x14ac:dyDescent="0.25">
      <c r="A10755" s="1" t="s">
        <v>757</v>
      </c>
      <c r="B10755" s="1" t="s">
        <v>2667</v>
      </c>
      <c r="C10755" s="1" t="s">
        <v>418</v>
      </c>
      <c r="D10755" s="3">
        <f>VALUE("7331")</f>
        <v>7331</v>
      </c>
      <c r="E10755" s="2">
        <f>DATEVALUE("1-3-2012")</f>
        <v>40969</v>
      </c>
      <c r="F10755" s="2">
        <f>DATEVALUE("31-8-2012")</f>
        <v>41152</v>
      </c>
    </row>
    <row r="10756" spans="1:6" x14ac:dyDescent="0.25">
      <c r="A10756" s="1" t="s">
        <v>757</v>
      </c>
      <c r="B10756" s="1" t="s">
        <v>2667</v>
      </c>
      <c r="C10756" s="1" t="s">
        <v>25</v>
      </c>
      <c r="D10756" s="3">
        <f>VALUE("7331")</f>
        <v>7331</v>
      </c>
      <c r="E10756" s="2">
        <f>DATEVALUE("1-3-2012")</f>
        <v>40969</v>
      </c>
      <c r="F10756" s="2">
        <f>DATEVALUE("31-8-2012")</f>
        <v>41152</v>
      </c>
    </row>
    <row r="10757" spans="1:6" x14ac:dyDescent="0.25">
      <c r="A10757" s="1" t="s">
        <v>757</v>
      </c>
      <c r="B10757" s="1" t="s">
        <v>2667</v>
      </c>
      <c r="C10757" s="1" t="s">
        <v>103</v>
      </c>
      <c r="D10757" s="3">
        <f>VALUE("7331")</f>
        <v>7331</v>
      </c>
      <c r="E10757" s="2">
        <f>DATEVALUE("1-3-2012")</f>
        <v>40969</v>
      </c>
      <c r="F10757" s="2">
        <f>DATEVALUE("31-8-2012")</f>
        <v>41152</v>
      </c>
    </row>
    <row r="10758" spans="1:6" x14ac:dyDescent="0.25">
      <c r="A10758" s="1" t="s">
        <v>757</v>
      </c>
      <c r="B10758" s="1" t="s">
        <v>2128</v>
      </c>
      <c r="C10758" s="1" t="s">
        <v>80</v>
      </c>
      <c r="D10758" s="3">
        <f t="shared" ref="D10758:D10804" si="1677">VALUE("7293")</f>
        <v>7293</v>
      </c>
      <c r="E10758" s="2">
        <f t="shared" ref="E10758:E10804" si="1678">DATEVALUE("1-2-2012")</f>
        <v>40940</v>
      </c>
      <c r="F10758" s="2">
        <f t="shared" ref="F10758:F10804" si="1679">DATEVALUE("30-6-2016")</f>
        <v>42551</v>
      </c>
    </row>
    <row r="10759" spans="1:6" x14ac:dyDescent="0.25">
      <c r="A10759" s="1" t="s">
        <v>757</v>
      </c>
      <c r="B10759" s="1" t="s">
        <v>2128</v>
      </c>
      <c r="C10759" s="1" t="s">
        <v>361</v>
      </c>
      <c r="D10759" s="3">
        <f t="shared" si="1677"/>
        <v>7293</v>
      </c>
      <c r="E10759" s="2">
        <f t="shared" si="1678"/>
        <v>40940</v>
      </c>
      <c r="F10759" s="2">
        <f t="shared" si="1679"/>
        <v>42551</v>
      </c>
    </row>
    <row r="10760" spans="1:6" x14ac:dyDescent="0.25">
      <c r="A10760" s="1" t="s">
        <v>757</v>
      </c>
      <c r="B10760" s="1" t="s">
        <v>2128</v>
      </c>
      <c r="C10760" s="1" t="s">
        <v>39</v>
      </c>
      <c r="D10760" s="3">
        <f t="shared" si="1677"/>
        <v>7293</v>
      </c>
      <c r="E10760" s="2">
        <f t="shared" si="1678"/>
        <v>40940</v>
      </c>
      <c r="F10760" s="2">
        <f t="shared" si="1679"/>
        <v>42551</v>
      </c>
    </row>
    <row r="10761" spans="1:6" x14ac:dyDescent="0.25">
      <c r="A10761" s="1" t="s">
        <v>757</v>
      </c>
      <c r="B10761" s="1" t="s">
        <v>2128</v>
      </c>
      <c r="C10761" s="1" t="s">
        <v>8</v>
      </c>
      <c r="D10761" s="3">
        <f t="shared" si="1677"/>
        <v>7293</v>
      </c>
      <c r="E10761" s="2">
        <f t="shared" si="1678"/>
        <v>40940</v>
      </c>
      <c r="F10761" s="2">
        <f t="shared" si="1679"/>
        <v>42551</v>
      </c>
    </row>
    <row r="10762" spans="1:6" x14ac:dyDescent="0.25">
      <c r="A10762" s="1" t="s">
        <v>757</v>
      </c>
      <c r="B10762" s="1" t="s">
        <v>2128</v>
      </c>
      <c r="C10762" s="1" t="s">
        <v>10</v>
      </c>
      <c r="D10762" s="3">
        <f t="shared" si="1677"/>
        <v>7293</v>
      </c>
      <c r="E10762" s="2">
        <f t="shared" si="1678"/>
        <v>40940</v>
      </c>
      <c r="F10762" s="2">
        <f t="shared" si="1679"/>
        <v>42551</v>
      </c>
    </row>
    <row r="10763" spans="1:6" x14ac:dyDescent="0.25">
      <c r="A10763" s="1" t="s">
        <v>757</v>
      </c>
      <c r="B10763" s="1" t="s">
        <v>2128</v>
      </c>
      <c r="C10763" s="1" t="s">
        <v>11</v>
      </c>
      <c r="D10763" s="3">
        <f t="shared" si="1677"/>
        <v>7293</v>
      </c>
      <c r="E10763" s="2">
        <f t="shared" si="1678"/>
        <v>40940</v>
      </c>
      <c r="F10763" s="2">
        <f t="shared" si="1679"/>
        <v>42551</v>
      </c>
    </row>
    <row r="10764" spans="1:6" x14ac:dyDescent="0.25">
      <c r="A10764" s="1" t="s">
        <v>757</v>
      </c>
      <c r="B10764" s="1" t="s">
        <v>2128</v>
      </c>
      <c r="C10764" s="1" t="s">
        <v>12</v>
      </c>
      <c r="D10764" s="3">
        <f t="shared" si="1677"/>
        <v>7293</v>
      </c>
      <c r="E10764" s="2">
        <f t="shared" si="1678"/>
        <v>40940</v>
      </c>
      <c r="F10764" s="2">
        <f t="shared" si="1679"/>
        <v>42551</v>
      </c>
    </row>
    <row r="10765" spans="1:6" x14ac:dyDescent="0.25">
      <c r="A10765" s="1" t="s">
        <v>757</v>
      </c>
      <c r="B10765" s="1" t="s">
        <v>2128</v>
      </c>
      <c r="C10765" s="1" t="s">
        <v>61</v>
      </c>
      <c r="D10765" s="3">
        <f t="shared" si="1677"/>
        <v>7293</v>
      </c>
      <c r="E10765" s="2">
        <f t="shared" si="1678"/>
        <v>40940</v>
      </c>
      <c r="F10765" s="2">
        <f t="shared" si="1679"/>
        <v>42551</v>
      </c>
    </row>
    <row r="10766" spans="1:6" x14ac:dyDescent="0.25">
      <c r="A10766" s="1" t="s">
        <v>757</v>
      </c>
      <c r="B10766" s="1" t="s">
        <v>2128</v>
      </c>
      <c r="C10766" s="1" t="s">
        <v>83</v>
      </c>
      <c r="D10766" s="3">
        <f t="shared" si="1677"/>
        <v>7293</v>
      </c>
      <c r="E10766" s="2">
        <f t="shared" si="1678"/>
        <v>40940</v>
      </c>
      <c r="F10766" s="2">
        <f t="shared" si="1679"/>
        <v>42551</v>
      </c>
    </row>
    <row r="10767" spans="1:6" x14ac:dyDescent="0.25">
      <c r="A10767" s="1" t="s">
        <v>757</v>
      </c>
      <c r="B10767" s="1" t="s">
        <v>2128</v>
      </c>
      <c r="C10767" s="1" t="s">
        <v>411</v>
      </c>
      <c r="D10767" s="3">
        <f t="shared" si="1677"/>
        <v>7293</v>
      </c>
      <c r="E10767" s="2">
        <f t="shared" si="1678"/>
        <v>40940</v>
      </c>
      <c r="F10767" s="2">
        <f t="shared" si="1679"/>
        <v>42551</v>
      </c>
    </row>
    <row r="10768" spans="1:6" x14ac:dyDescent="0.25">
      <c r="A10768" s="1" t="s">
        <v>757</v>
      </c>
      <c r="B10768" s="1" t="s">
        <v>2128</v>
      </c>
      <c r="C10768" s="1" t="s">
        <v>43</v>
      </c>
      <c r="D10768" s="3">
        <f t="shared" si="1677"/>
        <v>7293</v>
      </c>
      <c r="E10768" s="2">
        <f t="shared" si="1678"/>
        <v>40940</v>
      </c>
      <c r="F10768" s="2">
        <f t="shared" si="1679"/>
        <v>42551</v>
      </c>
    </row>
    <row r="10769" spans="1:6" x14ac:dyDescent="0.25">
      <c r="A10769" s="1" t="s">
        <v>757</v>
      </c>
      <c r="B10769" s="1" t="s">
        <v>2128</v>
      </c>
      <c r="C10769" s="1" t="s">
        <v>45</v>
      </c>
      <c r="D10769" s="3">
        <f t="shared" si="1677"/>
        <v>7293</v>
      </c>
      <c r="E10769" s="2">
        <f t="shared" si="1678"/>
        <v>40940</v>
      </c>
      <c r="F10769" s="2">
        <f t="shared" si="1679"/>
        <v>42551</v>
      </c>
    </row>
    <row r="10770" spans="1:6" x14ac:dyDescent="0.25">
      <c r="A10770" s="1" t="s">
        <v>757</v>
      </c>
      <c r="B10770" s="1" t="s">
        <v>2128</v>
      </c>
      <c r="C10770" s="1" t="s">
        <v>46</v>
      </c>
      <c r="D10770" s="3">
        <f t="shared" si="1677"/>
        <v>7293</v>
      </c>
      <c r="E10770" s="2">
        <f t="shared" si="1678"/>
        <v>40940</v>
      </c>
      <c r="F10770" s="2">
        <f t="shared" si="1679"/>
        <v>42551</v>
      </c>
    </row>
    <row r="10771" spans="1:6" x14ac:dyDescent="0.25">
      <c r="A10771" s="1" t="s">
        <v>757</v>
      </c>
      <c r="B10771" s="1" t="s">
        <v>2128</v>
      </c>
      <c r="C10771" s="1" t="s">
        <v>14</v>
      </c>
      <c r="D10771" s="3">
        <f t="shared" si="1677"/>
        <v>7293</v>
      </c>
      <c r="E10771" s="2">
        <f t="shared" si="1678"/>
        <v>40940</v>
      </c>
      <c r="F10771" s="2">
        <f t="shared" si="1679"/>
        <v>42551</v>
      </c>
    </row>
    <row r="10772" spans="1:6" x14ac:dyDescent="0.25">
      <c r="A10772" s="1" t="s">
        <v>757</v>
      </c>
      <c r="B10772" s="1" t="s">
        <v>2128</v>
      </c>
      <c r="C10772" s="1" t="s">
        <v>66</v>
      </c>
      <c r="D10772" s="3">
        <f t="shared" si="1677"/>
        <v>7293</v>
      </c>
      <c r="E10772" s="2">
        <f t="shared" si="1678"/>
        <v>40940</v>
      </c>
      <c r="F10772" s="2">
        <f t="shared" si="1679"/>
        <v>42551</v>
      </c>
    </row>
    <row r="10773" spans="1:6" x14ac:dyDescent="0.25">
      <c r="A10773" s="1" t="s">
        <v>757</v>
      </c>
      <c r="B10773" s="1" t="s">
        <v>2128</v>
      </c>
      <c r="C10773" s="1" t="s">
        <v>15</v>
      </c>
      <c r="D10773" s="3">
        <f t="shared" si="1677"/>
        <v>7293</v>
      </c>
      <c r="E10773" s="2">
        <f t="shared" si="1678"/>
        <v>40940</v>
      </c>
      <c r="F10773" s="2">
        <f t="shared" si="1679"/>
        <v>42551</v>
      </c>
    </row>
    <row r="10774" spans="1:6" x14ac:dyDescent="0.25">
      <c r="A10774" s="1" t="s">
        <v>757</v>
      </c>
      <c r="B10774" s="1" t="s">
        <v>2128</v>
      </c>
      <c r="C10774" s="1" t="s">
        <v>88</v>
      </c>
      <c r="D10774" s="3">
        <f t="shared" si="1677"/>
        <v>7293</v>
      </c>
      <c r="E10774" s="2">
        <f t="shared" si="1678"/>
        <v>40940</v>
      </c>
      <c r="F10774" s="2">
        <f t="shared" si="1679"/>
        <v>42551</v>
      </c>
    </row>
    <row r="10775" spans="1:6" x14ac:dyDescent="0.25">
      <c r="A10775" s="1" t="s">
        <v>757</v>
      </c>
      <c r="B10775" s="1" t="s">
        <v>2128</v>
      </c>
      <c r="C10775" s="1" t="s">
        <v>89</v>
      </c>
      <c r="D10775" s="3">
        <f t="shared" si="1677"/>
        <v>7293</v>
      </c>
      <c r="E10775" s="2">
        <f t="shared" si="1678"/>
        <v>40940</v>
      </c>
      <c r="F10775" s="2">
        <f t="shared" si="1679"/>
        <v>42551</v>
      </c>
    </row>
    <row r="10776" spans="1:6" x14ac:dyDescent="0.25">
      <c r="A10776" s="1" t="s">
        <v>757</v>
      </c>
      <c r="B10776" s="1" t="s">
        <v>2128</v>
      </c>
      <c r="C10776" s="1" t="s">
        <v>17</v>
      </c>
      <c r="D10776" s="3">
        <f t="shared" si="1677"/>
        <v>7293</v>
      </c>
      <c r="E10776" s="2">
        <f t="shared" si="1678"/>
        <v>40940</v>
      </c>
      <c r="F10776" s="2">
        <f t="shared" si="1679"/>
        <v>42551</v>
      </c>
    </row>
    <row r="10777" spans="1:6" x14ac:dyDescent="0.25">
      <c r="A10777" s="1" t="s">
        <v>757</v>
      </c>
      <c r="B10777" s="1" t="s">
        <v>2128</v>
      </c>
      <c r="C10777" s="1" t="s">
        <v>328</v>
      </c>
      <c r="D10777" s="3">
        <f t="shared" si="1677"/>
        <v>7293</v>
      </c>
      <c r="E10777" s="2">
        <f t="shared" si="1678"/>
        <v>40940</v>
      </c>
      <c r="F10777" s="2">
        <f t="shared" si="1679"/>
        <v>42551</v>
      </c>
    </row>
    <row r="10778" spans="1:6" x14ac:dyDescent="0.25">
      <c r="A10778" s="1" t="s">
        <v>757</v>
      </c>
      <c r="B10778" s="1" t="s">
        <v>2128</v>
      </c>
      <c r="C10778" s="1" t="s">
        <v>418</v>
      </c>
      <c r="D10778" s="3">
        <f t="shared" si="1677"/>
        <v>7293</v>
      </c>
      <c r="E10778" s="2">
        <f t="shared" si="1678"/>
        <v>40940</v>
      </c>
      <c r="F10778" s="2">
        <f t="shared" si="1679"/>
        <v>42551</v>
      </c>
    </row>
    <row r="10779" spans="1:6" x14ac:dyDescent="0.25">
      <c r="A10779" s="1" t="s">
        <v>757</v>
      </c>
      <c r="B10779" s="1" t="s">
        <v>2128</v>
      </c>
      <c r="C10779" s="1" t="s">
        <v>22</v>
      </c>
      <c r="D10779" s="3">
        <f t="shared" si="1677"/>
        <v>7293</v>
      </c>
      <c r="E10779" s="2">
        <f t="shared" si="1678"/>
        <v>40940</v>
      </c>
      <c r="F10779" s="2">
        <f t="shared" si="1679"/>
        <v>42551</v>
      </c>
    </row>
    <row r="10780" spans="1:6" x14ac:dyDescent="0.25">
      <c r="A10780" s="1" t="s">
        <v>757</v>
      </c>
      <c r="B10780" s="1" t="s">
        <v>2128</v>
      </c>
      <c r="C10780" s="1" t="s">
        <v>148</v>
      </c>
      <c r="D10780" s="3">
        <f t="shared" si="1677"/>
        <v>7293</v>
      </c>
      <c r="E10780" s="2">
        <f t="shared" si="1678"/>
        <v>40940</v>
      </c>
      <c r="F10780" s="2">
        <f t="shared" si="1679"/>
        <v>42551</v>
      </c>
    </row>
    <row r="10781" spans="1:6" x14ac:dyDescent="0.25">
      <c r="A10781" s="1" t="s">
        <v>757</v>
      </c>
      <c r="B10781" s="1" t="s">
        <v>2128</v>
      </c>
      <c r="C10781" s="1" t="s">
        <v>149</v>
      </c>
      <c r="D10781" s="3">
        <f t="shared" si="1677"/>
        <v>7293</v>
      </c>
      <c r="E10781" s="2">
        <f t="shared" si="1678"/>
        <v>40940</v>
      </c>
      <c r="F10781" s="2">
        <f t="shared" si="1679"/>
        <v>42551</v>
      </c>
    </row>
    <row r="10782" spans="1:6" x14ac:dyDescent="0.25">
      <c r="A10782" s="1" t="s">
        <v>757</v>
      </c>
      <c r="B10782" s="1" t="s">
        <v>2128</v>
      </c>
      <c r="C10782" s="1" t="s">
        <v>329</v>
      </c>
      <c r="D10782" s="3">
        <f t="shared" si="1677"/>
        <v>7293</v>
      </c>
      <c r="E10782" s="2">
        <f t="shared" si="1678"/>
        <v>40940</v>
      </c>
      <c r="F10782" s="2">
        <f t="shared" si="1679"/>
        <v>42551</v>
      </c>
    </row>
    <row r="10783" spans="1:6" x14ac:dyDescent="0.25">
      <c r="A10783" s="1" t="s">
        <v>757</v>
      </c>
      <c r="B10783" s="1" t="s">
        <v>2128</v>
      </c>
      <c r="C10783" s="1" t="s">
        <v>330</v>
      </c>
      <c r="D10783" s="3">
        <f t="shared" si="1677"/>
        <v>7293</v>
      </c>
      <c r="E10783" s="2">
        <f t="shared" si="1678"/>
        <v>40940</v>
      </c>
      <c r="F10783" s="2">
        <f t="shared" si="1679"/>
        <v>42551</v>
      </c>
    </row>
    <row r="10784" spans="1:6" x14ac:dyDescent="0.25">
      <c r="A10784" s="1" t="s">
        <v>757</v>
      </c>
      <c r="B10784" s="1" t="s">
        <v>2128</v>
      </c>
      <c r="C10784" s="1" t="s">
        <v>332</v>
      </c>
      <c r="D10784" s="3">
        <f t="shared" si="1677"/>
        <v>7293</v>
      </c>
      <c r="E10784" s="2">
        <f t="shared" si="1678"/>
        <v>40940</v>
      </c>
      <c r="F10784" s="2">
        <f t="shared" si="1679"/>
        <v>42551</v>
      </c>
    </row>
    <row r="10785" spans="1:6" x14ac:dyDescent="0.25">
      <c r="A10785" s="1" t="s">
        <v>757</v>
      </c>
      <c r="B10785" s="1" t="s">
        <v>2128</v>
      </c>
      <c r="C10785" s="1" t="s">
        <v>24</v>
      </c>
      <c r="D10785" s="3">
        <f t="shared" si="1677"/>
        <v>7293</v>
      </c>
      <c r="E10785" s="2">
        <f t="shared" si="1678"/>
        <v>40940</v>
      </c>
      <c r="F10785" s="2">
        <f t="shared" si="1679"/>
        <v>42551</v>
      </c>
    </row>
    <row r="10786" spans="1:6" x14ac:dyDescent="0.25">
      <c r="A10786" s="1" t="s">
        <v>757</v>
      </c>
      <c r="B10786" s="1" t="s">
        <v>2128</v>
      </c>
      <c r="C10786" s="1" t="s">
        <v>70</v>
      </c>
      <c r="D10786" s="3">
        <f t="shared" si="1677"/>
        <v>7293</v>
      </c>
      <c r="E10786" s="2">
        <f t="shared" si="1678"/>
        <v>40940</v>
      </c>
      <c r="F10786" s="2">
        <f t="shared" si="1679"/>
        <v>42551</v>
      </c>
    </row>
    <row r="10787" spans="1:6" x14ac:dyDescent="0.25">
      <c r="A10787" s="1" t="s">
        <v>757</v>
      </c>
      <c r="B10787" s="1" t="s">
        <v>2128</v>
      </c>
      <c r="C10787" s="1" t="s">
        <v>25</v>
      </c>
      <c r="D10787" s="3">
        <f t="shared" si="1677"/>
        <v>7293</v>
      </c>
      <c r="E10787" s="2">
        <f t="shared" si="1678"/>
        <v>40940</v>
      </c>
      <c r="F10787" s="2">
        <f t="shared" si="1679"/>
        <v>42551</v>
      </c>
    </row>
    <row r="10788" spans="1:6" x14ac:dyDescent="0.25">
      <c r="A10788" s="1" t="s">
        <v>757</v>
      </c>
      <c r="B10788" s="1" t="s">
        <v>2128</v>
      </c>
      <c r="C10788" s="1" t="s">
        <v>97</v>
      </c>
      <c r="D10788" s="3">
        <f t="shared" si="1677"/>
        <v>7293</v>
      </c>
      <c r="E10788" s="2">
        <f t="shared" si="1678"/>
        <v>40940</v>
      </c>
      <c r="F10788" s="2">
        <f t="shared" si="1679"/>
        <v>42551</v>
      </c>
    </row>
    <row r="10789" spans="1:6" x14ac:dyDescent="0.25">
      <c r="A10789" s="1" t="s">
        <v>757</v>
      </c>
      <c r="B10789" s="1" t="s">
        <v>2128</v>
      </c>
      <c r="C10789" s="1" t="s">
        <v>419</v>
      </c>
      <c r="D10789" s="3">
        <f t="shared" si="1677"/>
        <v>7293</v>
      </c>
      <c r="E10789" s="2">
        <f t="shared" si="1678"/>
        <v>40940</v>
      </c>
      <c r="F10789" s="2">
        <f t="shared" si="1679"/>
        <v>42551</v>
      </c>
    </row>
    <row r="10790" spans="1:6" x14ac:dyDescent="0.25">
      <c r="A10790" s="1" t="s">
        <v>757</v>
      </c>
      <c r="B10790" s="1" t="s">
        <v>2128</v>
      </c>
      <c r="C10790" s="1" t="s">
        <v>98</v>
      </c>
      <c r="D10790" s="3">
        <f t="shared" si="1677"/>
        <v>7293</v>
      </c>
      <c r="E10790" s="2">
        <f t="shared" si="1678"/>
        <v>40940</v>
      </c>
      <c r="F10790" s="2">
        <f t="shared" si="1679"/>
        <v>42551</v>
      </c>
    </row>
    <row r="10791" spans="1:6" x14ac:dyDescent="0.25">
      <c r="A10791" s="1" t="s">
        <v>757</v>
      </c>
      <c r="B10791" s="1" t="s">
        <v>2128</v>
      </c>
      <c r="C10791" s="1" t="s">
        <v>420</v>
      </c>
      <c r="D10791" s="3">
        <f t="shared" si="1677"/>
        <v>7293</v>
      </c>
      <c r="E10791" s="2">
        <f t="shared" si="1678"/>
        <v>40940</v>
      </c>
      <c r="F10791" s="2">
        <f t="shared" si="1679"/>
        <v>42551</v>
      </c>
    </row>
    <row r="10792" spans="1:6" x14ac:dyDescent="0.25">
      <c r="A10792" s="1" t="s">
        <v>757</v>
      </c>
      <c r="B10792" s="1" t="s">
        <v>2128</v>
      </c>
      <c r="C10792" s="1" t="s">
        <v>99</v>
      </c>
      <c r="D10792" s="3">
        <f t="shared" si="1677"/>
        <v>7293</v>
      </c>
      <c r="E10792" s="2">
        <f t="shared" si="1678"/>
        <v>40940</v>
      </c>
      <c r="F10792" s="2">
        <f t="shared" si="1679"/>
        <v>42551</v>
      </c>
    </row>
    <row r="10793" spans="1:6" x14ac:dyDescent="0.25">
      <c r="A10793" s="1" t="s">
        <v>757</v>
      </c>
      <c r="B10793" s="1" t="s">
        <v>2128</v>
      </c>
      <c r="C10793" s="1" t="s">
        <v>27</v>
      </c>
      <c r="D10793" s="3">
        <f t="shared" si="1677"/>
        <v>7293</v>
      </c>
      <c r="E10793" s="2">
        <f t="shared" si="1678"/>
        <v>40940</v>
      </c>
      <c r="F10793" s="2">
        <f t="shared" si="1679"/>
        <v>42551</v>
      </c>
    </row>
    <row r="10794" spans="1:6" x14ac:dyDescent="0.25">
      <c r="A10794" s="1" t="s">
        <v>757</v>
      </c>
      <c r="B10794" s="1" t="s">
        <v>2128</v>
      </c>
      <c r="C10794" s="1" t="s">
        <v>262</v>
      </c>
      <c r="D10794" s="3">
        <f t="shared" si="1677"/>
        <v>7293</v>
      </c>
      <c r="E10794" s="2">
        <f t="shared" si="1678"/>
        <v>40940</v>
      </c>
      <c r="F10794" s="2">
        <f t="shared" si="1679"/>
        <v>42551</v>
      </c>
    </row>
    <row r="10795" spans="1:6" x14ac:dyDescent="0.25">
      <c r="A10795" s="1" t="s">
        <v>757</v>
      </c>
      <c r="B10795" s="1" t="s">
        <v>2128</v>
      </c>
      <c r="C10795" s="1" t="s">
        <v>52</v>
      </c>
      <c r="D10795" s="3">
        <f t="shared" si="1677"/>
        <v>7293</v>
      </c>
      <c r="E10795" s="2">
        <f t="shared" si="1678"/>
        <v>40940</v>
      </c>
      <c r="F10795" s="2">
        <f t="shared" si="1679"/>
        <v>42551</v>
      </c>
    </row>
    <row r="10796" spans="1:6" x14ac:dyDescent="0.25">
      <c r="A10796" s="1" t="s">
        <v>757</v>
      </c>
      <c r="B10796" s="1" t="s">
        <v>2128</v>
      </c>
      <c r="C10796" s="1" t="s">
        <v>303</v>
      </c>
      <c r="D10796" s="3">
        <f t="shared" si="1677"/>
        <v>7293</v>
      </c>
      <c r="E10796" s="2">
        <f t="shared" si="1678"/>
        <v>40940</v>
      </c>
      <c r="F10796" s="2">
        <f t="shared" si="1679"/>
        <v>42551</v>
      </c>
    </row>
    <row r="10797" spans="1:6" x14ac:dyDescent="0.25">
      <c r="A10797" s="1" t="s">
        <v>757</v>
      </c>
      <c r="B10797" s="1" t="s">
        <v>2128</v>
      </c>
      <c r="C10797" s="1" t="s">
        <v>185</v>
      </c>
      <c r="D10797" s="3">
        <f t="shared" si="1677"/>
        <v>7293</v>
      </c>
      <c r="E10797" s="2">
        <f t="shared" si="1678"/>
        <v>40940</v>
      </c>
      <c r="F10797" s="2">
        <f t="shared" si="1679"/>
        <v>42551</v>
      </c>
    </row>
    <row r="10798" spans="1:6" x14ac:dyDescent="0.25">
      <c r="A10798" s="1" t="s">
        <v>757</v>
      </c>
      <c r="B10798" s="1" t="s">
        <v>2128</v>
      </c>
      <c r="C10798" s="1" t="s">
        <v>34</v>
      </c>
      <c r="D10798" s="3">
        <f t="shared" si="1677"/>
        <v>7293</v>
      </c>
      <c r="E10798" s="2">
        <f t="shared" si="1678"/>
        <v>40940</v>
      </c>
      <c r="F10798" s="2">
        <f t="shared" si="1679"/>
        <v>42551</v>
      </c>
    </row>
    <row r="10799" spans="1:6" x14ac:dyDescent="0.25">
      <c r="A10799" s="1" t="s">
        <v>757</v>
      </c>
      <c r="B10799" s="1" t="s">
        <v>2128</v>
      </c>
      <c r="C10799" s="1" t="s">
        <v>116</v>
      </c>
      <c r="D10799" s="3">
        <f t="shared" si="1677"/>
        <v>7293</v>
      </c>
      <c r="E10799" s="2">
        <f t="shared" si="1678"/>
        <v>40940</v>
      </c>
      <c r="F10799" s="2">
        <f t="shared" si="1679"/>
        <v>42551</v>
      </c>
    </row>
    <row r="10800" spans="1:6" x14ac:dyDescent="0.25">
      <c r="A10800" s="1" t="s">
        <v>757</v>
      </c>
      <c r="B10800" s="1" t="s">
        <v>2128</v>
      </c>
      <c r="C10800" s="1" t="s">
        <v>362</v>
      </c>
      <c r="D10800" s="3">
        <f t="shared" si="1677"/>
        <v>7293</v>
      </c>
      <c r="E10800" s="2">
        <f t="shared" si="1678"/>
        <v>40940</v>
      </c>
      <c r="F10800" s="2">
        <f t="shared" si="1679"/>
        <v>42551</v>
      </c>
    </row>
    <row r="10801" spans="1:6" x14ac:dyDescent="0.25">
      <c r="A10801" s="1" t="s">
        <v>757</v>
      </c>
      <c r="B10801" s="1" t="s">
        <v>2128</v>
      </c>
      <c r="C10801" s="1" t="s">
        <v>57</v>
      </c>
      <c r="D10801" s="3">
        <f t="shared" si="1677"/>
        <v>7293</v>
      </c>
      <c r="E10801" s="2">
        <f t="shared" si="1678"/>
        <v>40940</v>
      </c>
      <c r="F10801" s="2">
        <f t="shared" si="1679"/>
        <v>42551</v>
      </c>
    </row>
    <row r="10802" spans="1:6" x14ac:dyDescent="0.25">
      <c r="A10802" s="1" t="s">
        <v>757</v>
      </c>
      <c r="B10802" s="1" t="s">
        <v>2128</v>
      </c>
      <c r="C10802" s="1" t="s">
        <v>173</v>
      </c>
      <c r="D10802" s="3">
        <f t="shared" si="1677"/>
        <v>7293</v>
      </c>
      <c r="E10802" s="2">
        <f t="shared" si="1678"/>
        <v>40940</v>
      </c>
      <c r="F10802" s="2">
        <f t="shared" si="1679"/>
        <v>42551</v>
      </c>
    </row>
    <row r="10803" spans="1:6" x14ac:dyDescent="0.25">
      <c r="A10803" s="1" t="s">
        <v>757</v>
      </c>
      <c r="B10803" s="1" t="s">
        <v>2128</v>
      </c>
      <c r="C10803" s="1" t="s">
        <v>35</v>
      </c>
      <c r="D10803" s="3">
        <f t="shared" si="1677"/>
        <v>7293</v>
      </c>
      <c r="E10803" s="2">
        <f t="shared" si="1678"/>
        <v>40940</v>
      </c>
      <c r="F10803" s="2">
        <f t="shared" si="1679"/>
        <v>42551</v>
      </c>
    </row>
    <row r="10804" spans="1:6" x14ac:dyDescent="0.25">
      <c r="A10804" s="1" t="s">
        <v>757</v>
      </c>
      <c r="B10804" s="1" t="s">
        <v>2128</v>
      </c>
      <c r="C10804" s="1" t="s">
        <v>36</v>
      </c>
      <c r="D10804" s="3">
        <f t="shared" si="1677"/>
        <v>7293</v>
      </c>
      <c r="E10804" s="2">
        <f t="shared" si="1678"/>
        <v>40940</v>
      </c>
      <c r="F10804" s="2">
        <f t="shared" si="1679"/>
        <v>42551</v>
      </c>
    </row>
    <row r="10805" spans="1:6" x14ac:dyDescent="0.25">
      <c r="A10805" s="1" t="s">
        <v>757</v>
      </c>
      <c r="B10805" s="1" t="s">
        <v>2626</v>
      </c>
      <c r="C10805" s="1" t="s">
        <v>8</v>
      </c>
      <c r="D10805" s="3">
        <f t="shared" ref="D10805:D10818" si="1680">VALUE("7241")</f>
        <v>7241</v>
      </c>
      <c r="E10805" s="2">
        <f t="shared" ref="E10805:E10819" si="1681">DATEVALUE("1-10-2011")</f>
        <v>40817</v>
      </c>
      <c r="F10805" s="2">
        <f t="shared" ref="F10805:F10818" si="1682">DATEVALUE("31-12-2013")</f>
        <v>41639</v>
      </c>
    </row>
    <row r="10806" spans="1:6" x14ac:dyDescent="0.25">
      <c r="A10806" s="1" t="s">
        <v>757</v>
      </c>
      <c r="B10806" s="1" t="s">
        <v>2626</v>
      </c>
      <c r="C10806" s="1" t="s">
        <v>10</v>
      </c>
      <c r="D10806" s="3">
        <f t="shared" si="1680"/>
        <v>7241</v>
      </c>
      <c r="E10806" s="2">
        <f t="shared" si="1681"/>
        <v>40817</v>
      </c>
      <c r="F10806" s="2">
        <f t="shared" si="1682"/>
        <v>41639</v>
      </c>
    </row>
    <row r="10807" spans="1:6" x14ac:dyDescent="0.25">
      <c r="A10807" s="1" t="s">
        <v>757</v>
      </c>
      <c r="B10807" s="1" t="s">
        <v>2626</v>
      </c>
      <c r="C10807" s="1" t="s">
        <v>11</v>
      </c>
      <c r="D10807" s="3">
        <f t="shared" si="1680"/>
        <v>7241</v>
      </c>
      <c r="E10807" s="2">
        <f t="shared" si="1681"/>
        <v>40817</v>
      </c>
      <c r="F10807" s="2">
        <f t="shared" si="1682"/>
        <v>41639</v>
      </c>
    </row>
    <row r="10808" spans="1:6" x14ac:dyDescent="0.25">
      <c r="A10808" s="1" t="s">
        <v>757</v>
      </c>
      <c r="B10808" s="1" t="s">
        <v>2626</v>
      </c>
      <c r="C10808" s="1" t="s">
        <v>12</v>
      </c>
      <c r="D10808" s="3">
        <f t="shared" si="1680"/>
        <v>7241</v>
      </c>
      <c r="E10808" s="2">
        <f t="shared" si="1681"/>
        <v>40817</v>
      </c>
      <c r="F10808" s="2">
        <f t="shared" si="1682"/>
        <v>41639</v>
      </c>
    </row>
    <row r="10809" spans="1:6" x14ac:dyDescent="0.25">
      <c r="A10809" s="1" t="s">
        <v>757</v>
      </c>
      <c r="B10809" s="1" t="s">
        <v>2626</v>
      </c>
      <c r="C10809" s="1" t="s">
        <v>45</v>
      </c>
      <c r="D10809" s="3">
        <f t="shared" si="1680"/>
        <v>7241</v>
      </c>
      <c r="E10809" s="2">
        <f t="shared" si="1681"/>
        <v>40817</v>
      </c>
      <c r="F10809" s="2">
        <f t="shared" si="1682"/>
        <v>41639</v>
      </c>
    </row>
    <row r="10810" spans="1:6" x14ac:dyDescent="0.25">
      <c r="A10810" s="1" t="s">
        <v>757</v>
      </c>
      <c r="B10810" s="1" t="s">
        <v>2626</v>
      </c>
      <c r="C10810" s="1" t="s">
        <v>250</v>
      </c>
      <c r="D10810" s="3">
        <f t="shared" si="1680"/>
        <v>7241</v>
      </c>
      <c r="E10810" s="2">
        <f t="shared" si="1681"/>
        <v>40817</v>
      </c>
      <c r="F10810" s="2">
        <f t="shared" si="1682"/>
        <v>41639</v>
      </c>
    </row>
    <row r="10811" spans="1:6" x14ac:dyDescent="0.25">
      <c r="A10811" s="1" t="s">
        <v>757</v>
      </c>
      <c r="B10811" s="1" t="s">
        <v>2626</v>
      </c>
      <c r="C10811" s="1" t="s">
        <v>148</v>
      </c>
      <c r="D10811" s="3">
        <f t="shared" si="1680"/>
        <v>7241</v>
      </c>
      <c r="E10811" s="2">
        <f t="shared" si="1681"/>
        <v>40817</v>
      </c>
      <c r="F10811" s="2">
        <f t="shared" si="1682"/>
        <v>41639</v>
      </c>
    </row>
    <row r="10812" spans="1:6" x14ac:dyDescent="0.25">
      <c r="A10812" s="1" t="s">
        <v>757</v>
      </c>
      <c r="B10812" s="1" t="s">
        <v>2626</v>
      </c>
      <c r="C10812" s="1" t="s">
        <v>150</v>
      </c>
      <c r="D10812" s="3">
        <f t="shared" si="1680"/>
        <v>7241</v>
      </c>
      <c r="E10812" s="2">
        <f t="shared" si="1681"/>
        <v>40817</v>
      </c>
      <c r="F10812" s="2">
        <f t="shared" si="1682"/>
        <v>41639</v>
      </c>
    </row>
    <row r="10813" spans="1:6" x14ac:dyDescent="0.25">
      <c r="A10813" s="1" t="s">
        <v>757</v>
      </c>
      <c r="B10813" s="1" t="s">
        <v>2626</v>
      </c>
      <c r="C10813" s="1" t="s">
        <v>32</v>
      </c>
      <c r="D10813" s="3">
        <f t="shared" si="1680"/>
        <v>7241</v>
      </c>
      <c r="E10813" s="2">
        <f t="shared" si="1681"/>
        <v>40817</v>
      </c>
      <c r="F10813" s="2">
        <f t="shared" si="1682"/>
        <v>41639</v>
      </c>
    </row>
    <row r="10814" spans="1:6" x14ac:dyDescent="0.25">
      <c r="A10814" s="1" t="s">
        <v>757</v>
      </c>
      <c r="B10814" s="1" t="s">
        <v>2626</v>
      </c>
      <c r="C10814" s="1" t="s">
        <v>113</v>
      </c>
      <c r="D10814" s="3">
        <f t="shared" si="1680"/>
        <v>7241</v>
      </c>
      <c r="E10814" s="2">
        <f t="shared" si="1681"/>
        <v>40817</v>
      </c>
      <c r="F10814" s="2">
        <f t="shared" si="1682"/>
        <v>41639</v>
      </c>
    </row>
    <row r="10815" spans="1:6" x14ac:dyDescent="0.25">
      <c r="A10815" s="1" t="s">
        <v>757</v>
      </c>
      <c r="B10815" s="1" t="s">
        <v>2626</v>
      </c>
      <c r="C10815" s="1" t="s">
        <v>33</v>
      </c>
      <c r="D10815" s="3">
        <f t="shared" si="1680"/>
        <v>7241</v>
      </c>
      <c r="E10815" s="2">
        <f t="shared" si="1681"/>
        <v>40817</v>
      </c>
      <c r="F10815" s="2">
        <f t="shared" si="1682"/>
        <v>41639</v>
      </c>
    </row>
    <row r="10816" spans="1:6" x14ac:dyDescent="0.25">
      <c r="A10816" s="1" t="s">
        <v>757</v>
      </c>
      <c r="B10816" s="1" t="s">
        <v>2626</v>
      </c>
      <c r="C10816" s="1" t="s">
        <v>116</v>
      </c>
      <c r="D10816" s="3">
        <f t="shared" si="1680"/>
        <v>7241</v>
      </c>
      <c r="E10816" s="2">
        <f t="shared" si="1681"/>
        <v>40817</v>
      </c>
      <c r="F10816" s="2">
        <f t="shared" si="1682"/>
        <v>41639</v>
      </c>
    </row>
    <row r="10817" spans="1:6" x14ac:dyDescent="0.25">
      <c r="A10817" s="1" t="s">
        <v>757</v>
      </c>
      <c r="B10817" s="1" t="s">
        <v>2626</v>
      </c>
      <c r="C10817" s="1" t="s">
        <v>57</v>
      </c>
      <c r="D10817" s="3">
        <f t="shared" si="1680"/>
        <v>7241</v>
      </c>
      <c r="E10817" s="2">
        <f t="shared" si="1681"/>
        <v>40817</v>
      </c>
      <c r="F10817" s="2">
        <f t="shared" si="1682"/>
        <v>41639</v>
      </c>
    </row>
    <row r="10818" spans="1:6" x14ac:dyDescent="0.25">
      <c r="A10818" s="1" t="s">
        <v>757</v>
      </c>
      <c r="B10818" s="1" t="s">
        <v>2626</v>
      </c>
      <c r="C10818" s="1" t="s">
        <v>36</v>
      </c>
      <c r="D10818" s="3">
        <f t="shared" si="1680"/>
        <v>7241</v>
      </c>
      <c r="E10818" s="2">
        <f t="shared" si="1681"/>
        <v>40817</v>
      </c>
      <c r="F10818" s="2">
        <f t="shared" si="1682"/>
        <v>41639</v>
      </c>
    </row>
    <row r="10819" spans="1:6" x14ac:dyDescent="0.25">
      <c r="A10819" s="1" t="s">
        <v>757</v>
      </c>
      <c r="B10819" s="1" t="s">
        <v>2629</v>
      </c>
      <c r="C10819" s="1" t="s">
        <v>519</v>
      </c>
      <c r="D10819" s="3">
        <f>VALUE("7246")</f>
        <v>7246</v>
      </c>
      <c r="E10819" s="2">
        <f t="shared" si="1681"/>
        <v>40817</v>
      </c>
      <c r="F10819" s="2">
        <f>DATEVALUE("31-7-2012")</f>
        <v>41121</v>
      </c>
    </row>
    <row r="10820" spans="1:6" x14ac:dyDescent="0.25">
      <c r="A10820" s="1" t="s">
        <v>757</v>
      </c>
      <c r="B10820" s="1" t="s">
        <v>2618</v>
      </c>
      <c r="C10820" s="1" t="s">
        <v>8</v>
      </c>
      <c r="D10820" s="3">
        <f t="shared" ref="D10820:D10831" si="1683">VALUE("7225")</f>
        <v>7225</v>
      </c>
      <c r="E10820" s="2">
        <f t="shared" ref="E10820:E10831" si="1684">DATEVALUE("1-7-2011")</f>
        <v>40725</v>
      </c>
      <c r="F10820" s="2">
        <f t="shared" ref="F10820:F10831" si="1685">DATEVALUE("31-3-2012")</f>
        <v>40999</v>
      </c>
    </row>
    <row r="10821" spans="1:6" x14ac:dyDescent="0.25">
      <c r="A10821" s="1" t="s">
        <v>757</v>
      </c>
      <c r="B10821" s="1" t="s">
        <v>2618</v>
      </c>
      <c r="C10821" s="1" t="s">
        <v>10</v>
      </c>
      <c r="D10821" s="3">
        <f t="shared" si="1683"/>
        <v>7225</v>
      </c>
      <c r="E10821" s="2">
        <f t="shared" si="1684"/>
        <v>40725</v>
      </c>
      <c r="F10821" s="2">
        <f t="shared" si="1685"/>
        <v>40999</v>
      </c>
    </row>
    <row r="10822" spans="1:6" x14ac:dyDescent="0.25">
      <c r="A10822" s="1" t="s">
        <v>757</v>
      </c>
      <c r="B10822" s="1" t="s">
        <v>2618</v>
      </c>
      <c r="C10822" s="1" t="s">
        <v>11</v>
      </c>
      <c r="D10822" s="3">
        <f t="shared" si="1683"/>
        <v>7225</v>
      </c>
      <c r="E10822" s="2">
        <f t="shared" si="1684"/>
        <v>40725</v>
      </c>
      <c r="F10822" s="2">
        <f t="shared" si="1685"/>
        <v>40999</v>
      </c>
    </row>
    <row r="10823" spans="1:6" x14ac:dyDescent="0.25">
      <c r="A10823" s="1" t="s">
        <v>757</v>
      </c>
      <c r="B10823" s="1" t="s">
        <v>2618</v>
      </c>
      <c r="C10823" s="1" t="s">
        <v>12</v>
      </c>
      <c r="D10823" s="3">
        <f t="shared" si="1683"/>
        <v>7225</v>
      </c>
      <c r="E10823" s="2">
        <f t="shared" si="1684"/>
        <v>40725</v>
      </c>
      <c r="F10823" s="2">
        <f t="shared" si="1685"/>
        <v>40999</v>
      </c>
    </row>
    <row r="10824" spans="1:6" x14ac:dyDescent="0.25">
      <c r="A10824" s="1" t="s">
        <v>757</v>
      </c>
      <c r="B10824" s="1" t="s">
        <v>2618</v>
      </c>
      <c r="C10824" s="1" t="s">
        <v>46</v>
      </c>
      <c r="D10824" s="3">
        <f t="shared" si="1683"/>
        <v>7225</v>
      </c>
      <c r="E10824" s="2">
        <f t="shared" si="1684"/>
        <v>40725</v>
      </c>
      <c r="F10824" s="2">
        <f t="shared" si="1685"/>
        <v>40999</v>
      </c>
    </row>
    <row r="10825" spans="1:6" x14ac:dyDescent="0.25">
      <c r="A10825" s="1" t="s">
        <v>757</v>
      </c>
      <c r="B10825" s="1" t="s">
        <v>2618</v>
      </c>
      <c r="C10825" s="1" t="s">
        <v>66</v>
      </c>
      <c r="D10825" s="3">
        <f t="shared" si="1683"/>
        <v>7225</v>
      </c>
      <c r="E10825" s="2">
        <f t="shared" si="1684"/>
        <v>40725</v>
      </c>
      <c r="F10825" s="2">
        <f t="shared" si="1685"/>
        <v>40999</v>
      </c>
    </row>
    <row r="10826" spans="1:6" x14ac:dyDescent="0.25">
      <c r="A10826" s="1" t="s">
        <v>757</v>
      </c>
      <c r="B10826" s="1" t="s">
        <v>2618</v>
      </c>
      <c r="C10826" s="1" t="s">
        <v>16</v>
      </c>
      <c r="D10826" s="3">
        <f t="shared" si="1683"/>
        <v>7225</v>
      </c>
      <c r="E10826" s="2">
        <f t="shared" si="1684"/>
        <v>40725</v>
      </c>
      <c r="F10826" s="2">
        <f t="shared" si="1685"/>
        <v>40999</v>
      </c>
    </row>
    <row r="10827" spans="1:6" x14ac:dyDescent="0.25">
      <c r="A10827" s="1" t="s">
        <v>757</v>
      </c>
      <c r="B10827" s="1" t="s">
        <v>2618</v>
      </c>
      <c r="C10827" s="1" t="s">
        <v>88</v>
      </c>
      <c r="D10827" s="3">
        <f t="shared" si="1683"/>
        <v>7225</v>
      </c>
      <c r="E10827" s="2">
        <f t="shared" si="1684"/>
        <v>40725</v>
      </c>
      <c r="F10827" s="2">
        <f t="shared" si="1685"/>
        <v>40999</v>
      </c>
    </row>
    <row r="10828" spans="1:6" x14ac:dyDescent="0.25">
      <c r="A10828" s="1" t="s">
        <v>757</v>
      </c>
      <c r="B10828" s="1" t="s">
        <v>2618</v>
      </c>
      <c r="C10828" s="1" t="s">
        <v>89</v>
      </c>
      <c r="D10828" s="3">
        <f t="shared" si="1683"/>
        <v>7225</v>
      </c>
      <c r="E10828" s="2">
        <f t="shared" si="1684"/>
        <v>40725</v>
      </c>
      <c r="F10828" s="2">
        <f t="shared" si="1685"/>
        <v>40999</v>
      </c>
    </row>
    <row r="10829" spans="1:6" x14ac:dyDescent="0.25">
      <c r="A10829" s="1" t="s">
        <v>757</v>
      </c>
      <c r="B10829" s="1" t="s">
        <v>2618</v>
      </c>
      <c r="C10829" s="1" t="s">
        <v>17</v>
      </c>
      <c r="D10829" s="3">
        <f t="shared" si="1683"/>
        <v>7225</v>
      </c>
      <c r="E10829" s="2">
        <f t="shared" si="1684"/>
        <v>40725</v>
      </c>
      <c r="F10829" s="2">
        <f t="shared" si="1685"/>
        <v>40999</v>
      </c>
    </row>
    <row r="10830" spans="1:6" x14ac:dyDescent="0.25">
      <c r="A10830" s="1" t="s">
        <v>757</v>
      </c>
      <c r="B10830" s="1" t="s">
        <v>2618</v>
      </c>
      <c r="C10830" s="1" t="s">
        <v>32</v>
      </c>
      <c r="D10830" s="3">
        <f t="shared" si="1683"/>
        <v>7225</v>
      </c>
      <c r="E10830" s="2">
        <f t="shared" si="1684"/>
        <v>40725</v>
      </c>
      <c r="F10830" s="2">
        <f t="shared" si="1685"/>
        <v>40999</v>
      </c>
    </row>
    <row r="10831" spans="1:6" x14ac:dyDescent="0.25">
      <c r="A10831" s="1" t="s">
        <v>757</v>
      </c>
      <c r="B10831" s="1" t="s">
        <v>2618</v>
      </c>
      <c r="C10831" s="1" t="s">
        <v>111</v>
      </c>
      <c r="D10831" s="3">
        <f t="shared" si="1683"/>
        <v>7225</v>
      </c>
      <c r="E10831" s="2">
        <f t="shared" si="1684"/>
        <v>40725</v>
      </c>
      <c r="F10831" s="2">
        <f t="shared" si="1685"/>
        <v>40999</v>
      </c>
    </row>
    <row r="10832" spans="1:6" x14ac:dyDescent="0.25">
      <c r="A10832" s="1" t="s">
        <v>757</v>
      </c>
      <c r="B10832" s="1" t="s">
        <v>2604</v>
      </c>
      <c r="C10832" s="1" t="s">
        <v>8</v>
      </c>
      <c r="D10832" s="3">
        <f t="shared" ref="D10832:D10837" si="1686">VALUE("7196")</f>
        <v>7196</v>
      </c>
      <c r="E10832" s="2">
        <f t="shared" ref="E10832:E10837" si="1687">DATEVALUE("1-4-2011")</f>
        <v>40634</v>
      </c>
      <c r="F10832" s="2">
        <f t="shared" ref="F10832:F10837" si="1688">DATEVALUE("31-1-2012")</f>
        <v>40939</v>
      </c>
    </row>
    <row r="10833" spans="1:6" x14ac:dyDescent="0.25">
      <c r="A10833" s="1" t="s">
        <v>757</v>
      </c>
      <c r="B10833" s="1" t="s">
        <v>2604</v>
      </c>
      <c r="C10833" s="1" t="s">
        <v>10</v>
      </c>
      <c r="D10833" s="3">
        <f t="shared" si="1686"/>
        <v>7196</v>
      </c>
      <c r="E10833" s="2">
        <f t="shared" si="1687"/>
        <v>40634</v>
      </c>
      <c r="F10833" s="2">
        <f t="shared" si="1688"/>
        <v>40939</v>
      </c>
    </row>
    <row r="10834" spans="1:6" x14ac:dyDescent="0.25">
      <c r="A10834" s="1" t="s">
        <v>757</v>
      </c>
      <c r="B10834" s="1" t="s">
        <v>2604</v>
      </c>
      <c r="C10834" s="1" t="s">
        <v>11</v>
      </c>
      <c r="D10834" s="3">
        <f t="shared" si="1686"/>
        <v>7196</v>
      </c>
      <c r="E10834" s="2">
        <f t="shared" si="1687"/>
        <v>40634</v>
      </c>
      <c r="F10834" s="2">
        <f t="shared" si="1688"/>
        <v>40939</v>
      </c>
    </row>
    <row r="10835" spans="1:6" x14ac:dyDescent="0.25">
      <c r="A10835" s="1" t="s">
        <v>757</v>
      </c>
      <c r="B10835" s="1" t="s">
        <v>2604</v>
      </c>
      <c r="C10835" s="1" t="s">
        <v>12</v>
      </c>
      <c r="D10835" s="3">
        <f t="shared" si="1686"/>
        <v>7196</v>
      </c>
      <c r="E10835" s="2">
        <f t="shared" si="1687"/>
        <v>40634</v>
      </c>
      <c r="F10835" s="2">
        <f t="shared" si="1688"/>
        <v>40939</v>
      </c>
    </row>
    <row r="10836" spans="1:6" x14ac:dyDescent="0.25">
      <c r="A10836" s="1" t="s">
        <v>757</v>
      </c>
      <c r="B10836" s="1" t="s">
        <v>2604</v>
      </c>
      <c r="C10836" s="1" t="s">
        <v>45</v>
      </c>
      <c r="D10836" s="3">
        <f t="shared" si="1686"/>
        <v>7196</v>
      </c>
      <c r="E10836" s="2">
        <f t="shared" si="1687"/>
        <v>40634</v>
      </c>
      <c r="F10836" s="2">
        <f t="shared" si="1688"/>
        <v>40939</v>
      </c>
    </row>
    <row r="10837" spans="1:6" x14ac:dyDescent="0.25">
      <c r="A10837" s="1" t="s">
        <v>757</v>
      </c>
      <c r="B10837" s="1" t="s">
        <v>2604</v>
      </c>
      <c r="C10837" s="1" t="s">
        <v>32</v>
      </c>
      <c r="D10837" s="3">
        <f t="shared" si="1686"/>
        <v>7196</v>
      </c>
      <c r="E10837" s="2">
        <f t="shared" si="1687"/>
        <v>40634</v>
      </c>
      <c r="F10837" s="2">
        <f t="shared" si="1688"/>
        <v>40939</v>
      </c>
    </row>
    <row r="10838" spans="1:6" x14ac:dyDescent="0.25">
      <c r="A10838" s="1" t="s">
        <v>757</v>
      </c>
      <c r="B10838" s="1" t="s">
        <v>1698</v>
      </c>
      <c r="C10838" s="1" t="s">
        <v>8</v>
      </c>
      <c r="D10838" s="3">
        <f t="shared" ref="D10838:D10852" si="1689">VALUE("7097")</f>
        <v>7097</v>
      </c>
      <c r="E10838" s="2">
        <f t="shared" ref="E10838:E10852" si="1690">DATEVALUE("1-9-2010")</f>
        <v>40422</v>
      </c>
      <c r="F10838" s="2">
        <f t="shared" ref="F10838:F10852" si="1691">DATEVALUE("31-12-2015")</f>
        <v>42369</v>
      </c>
    </row>
    <row r="10839" spans="1:6" x14ac:dyDescent="0.25">
      <c r="A10839" s="1" t="s">
        <v>757</v>
      </c>
      <c r="B10839" s="1" t="s">
        <v>1698</v>
      </c>
      <c r="C10839" s="1" t="s">
        <v>10</v>
      </c>
      <c r="D10839" s="3">
        <f t="shared" si="1689"/>
        <v>7097</v>
      </c>
      <c r="E10839" s="2">
        <f t="shared" si="1690"/>
        <v>40422</v>
      </c>
      <c r="F10839" s="2">
        <f t="shared" si="1691"/>
        <v>42369</v>
      </c>
    </row>
    <row r="10840" spans="1:6" x14ac:dyDescent="0.25">
      <c r="A10840" s="1" t="s">
        <v>757</v>
      </c>
      <c r="B10840" s="1" t="s">
        <v>1698</v>
      </c>
      <c r="C10840" s="1" t="s">
        <v>11</v>
      </c>
      <c r="D10840" s="3">
        <f t="shared" si="1689"/>
        <v>7097</v>
      </c>
      <c r="E10840" s="2">
        <f t="shared" si="1690"/>
        <v>40422</v>
      </c>
      <c r="F10840" s="2">
        <f t="shared" si="1691"/>
        <v>42369</v>
      </c>
    </row>
    <row r="10841" spans="1:6" x14ac:dyDescent="0.25">
      <c r="A10841" s="1" t="s">
        <v>757</v>
      </c>
      <c r="B10841" s="1" t="s">
        <v>1698</v>
      </c>
      <c r="C10841" s="1" t="s">
        <v>12</v>
      </c>
      <c r="D10841" s="3">
        <f t="shared" si="1689"/>
        <v>7097</v>
      </c>
      <c r="E10841" s="2">
        <f t="shared" si="1690"/>
        <v>40422</v>
      </c>
      <c r="F10841" s="2">
        <f t="shared" si="1691"/>
        <v>42369</v>
      </c>
    </row>
    <row r="10842" spans="1:6" x14ac:dyDescent="0.25">
      <c r="A10842" s="1" t="s">
        <v>757</v>
      </c>
      <c r="B10842" s="1" t="s">
        <v>1698</v>
      </c>
      <c r="C10842" s="1" t="s">
        <v>45</v>
      </c>
      <c r="D10842" s="3">
        <f t="shared" si="1689"/>
        <v>7097</v>
      </c>
      <c r="E10842" s="2">
        <f t="shared" si="1690"/>
        <v>40422</v>
      </c>
      <c r="F10842" s="2">
        <f t="shared" si="1691"/>
        <v>42369</v>
      </c>
    </row>
    <row r="10843" spans="1:6" x14ac:dyDescent="0.25">
      <c r="A10843" s="1" t="s">
        <v>757</v>
      </c>
      <c r="B10843" s="1" t="s">
        <v>1698</v>
      </c>
      <c r="C10843" s="1" t="s">
        <v>46</v>
      </c>
      <c r="D10843" s="3">
        <f t="shared" si="1689"/>
        <v>7097</v>
      </c>
      <c r="E10843" s="2">
        <f t="shared" si="1690"/>
        <v>40422</v>
      </c>
      <c r="F10843" s="2">
        <f t="shared" si="1691"/>
        <v>42369</v>
      </c>
    </row>
    <row r="10844" spans="1:6" x14ac:dyDescent="0.25">
      <c r="A10844" s="1" t="s">
        <v>757</v>
      </c>
      <c r="B10844" s="1" t="s">
        <v>1698</v>
      </c>
      <c r="C10844" s="1" t="s">
        <v>15</v>
      </c>
      <c r="D10844" s="3">
        <f t="shared" si="1689"/>
        <v>7097</v>
      </c>
      <c r="E10844" s="2">
        <f t="shared" si="1690"/>
        <v>40422</v>
      </c>
      <c r="F10844" s="2">
        <f t="shared" si="1691"/>
        <v>42369</v>
      </c>
    </row>
    <row r="10845" spans="1:6" x14ac:dyDescent="0.25">
      <c r="A10845" s="1" t="s">
        <v>757</v>
      </c>
      <c r="B10845" s="1" t="s">
        <v>1698</v>
      </c>
      <c r="C10845" s="1" t="s">
        <v>17</v>
      </c>
      <c r="D10845" s="3">
        <f t="shared" si="1689"/>
        <v>7097</v>
      </c>
      <c r="E10845" s="2">
        <f t="shared" si="1690"/>
        <v>40422</v>
      </c>
      <c r="F10845" s="2">
        <f t="shared" si="1691"/>
        <v>42369</v>
      </c>
    </row>
    <row r="10846" spans="1:6" x14ac:dyDescent="0.25">
      <c r="A10846" s="1" t="s">
        <v>757</v>
      </c>
      <c r="B10846" s="1" t="s">
        <v>1698</v>
      </c>
      <c r="C10846" s="1" t="s">
        <v>22</v>
      </c>
      <c r="D10846" s="3">
        <f t="shared" si="1689"/>
        <v>7097</v>
      </c>
      <c r="E10846" s="2">
        <f t="shared" si="1690"/>
        <v>40422</v>
      </c>
      <c r="F10846" s="2">
        <f t="shared" si="1691"/>
        <v>42369</v>
      </c>
    </row>
    <row r="10847" spans="1:6" x14ac:dyDescent="0.25">
      <c r="A10847" s="1" t="s">
        <v>757</v>
      </c>
      <c r="B10847" s="1" t="s">
        <v>1698</v>
      </c>
      <c r="C10847" s="1" t="s">
        <v>27</v>
      </c>
      <c r="D10847" s="3">
        <f t="shared" si="1689"/>
        <v>7097</v>
      </c>
      <c r="E10847" s="2">
        <f t="shared" si="1690"/>
        <v>40422</v>
      </c>
      <c r="F10847" s="2">
        <f t="shared" si="1691"/>
        <v>42369</v>
      </c>
    </row>
    <row r="10848" spans="1:6" x14ac:dyDescent="0.25">
      <c r="A10848" s="1" t="s">
        <v>757</v>
      </c>
      <c r="B10848" s="1" t="s">
        <v>1698</v>
      </c>
      <c r="C10848" s="1" t="s">
        <v>32</v>
      </c>
      <c r="D10848" s="3">
        <f t="shared" si="1689"/>
        <v>7097</v>
      </c>
      <c r="E10848" s="2">
        <f t="shared" si="1690"/>
        <v>40422</v>
      </c>
      <c r="F10848" s="2">
        <f t="shared" si="1691"/>
        <v>42369</v>
      </c>
    </row>
    <row r="10849" spans="1:6" x14ac:dyDescent="0.25">
      <c r="A10849" s="1" t="s">
        <v>757</v>
      </c>
      <c r="B10849" s="1" t="s">
        <v>1698</v>
      </c>
      <c r="C10849" s="1" t="s">
        <v>113</v>
      </c>
      <c r="D10849" s="3">
        <f t="shared" si="1689"/>
        <v>7097</v>
      </c>
      <c r="E10849" s="2">
        <f t="shared" si="1690"/>
        <v>40422</v>
      </c>
      <c r="F10849" s="2">
        <f t="shared" si="1691"/>
        <v>42369</v>
      </c>
    </row>
    <row r="10850" spans="1:6" x14ac:dyDescent="0.25">
      <c r="A10850" s="1" t="s">
        <v>757</v>
      </c>
      <c r="B10850" s="1" t="s">
        <v>1698</v>
      </c>
      <c r="C10850" s="1" t="s">
        <v>116</v>
      </c>
      <c r="D10850" s="3">
        <f t="shared" si="1689"/>
        <v>7097</v>
      </c>
      <c r="E10850" s="2">
        <f t="shared" si="1690"/>
        <v>40422</v>
      </c>
      <c r="F10850" s="2">
        <f t="shared" si="1691"/>
        <v>42369</v>
      </c>
    </row>
    <row r="10851" spans="1:6" x14ac:dyDescent="0.25">
      <c r="A10851" s="1" t="s">
        <v>757</v>
      </c>
      <c r="B10851" s="1" t="s">
        <v>1698</v>
      </c>
      <c r="C10851" s="1" t="s">
        <v>57</v>
      </c>
      <c r="D10851" s="3">
        <f t="shared" si="1689"/>
        <v>7097</v>
      </c>
      <c r="E10851" s="2">
        <f t="shared" si="1690"/>
        <v>40422</v>
      </c>
      <c r="F10851" s="2">
        <f t="shared" si="1691"/>
        <v>42369</v>
      </c>
    </row>
    <row r="10852" spans="1:6" x14ac:dyDescent="0.25">
      <c r="A10852" s="1" t="s">
        <v>757</v>
      </c>
      <c r="B10852" s="1" t="s">
        <v>1698</v>
      </c>
      <c r="C10852" s="1" t="s">
        <v>173</v>
      </c>
      <c r="D10852" s="3">
        <f t="shared" si="1689"/>
        <v>7097</v>
      </c>
      <c r="E10852" s="2">
        <f t="shared" si="1690"/>
        <v>40422</v>
      </c>
      <c r="F10852" s="2">
        <f t="shared" si="1691"/>
        <v>42369</v>
      </c>
    </row>
    <row r="10853" spans="1:6" x14ac:dyDescent="0.25">
      <c r="A10853" s="1" t="s">
        <v>757</v>
      </c>
      <c r="B10853" s="1" t="s">
        <v>2555</v>
      </c>
      <c r="C10853" s="1" t="s">
        <v>8</v>
      </c>
      <c r="D10853" s="3">
        <f t="shared" ref="D10853:D10861" si="1692">VALUE("7029")</f>
        <v>7029</v>
      </c>
      <c r="E10853" s="2">
        <f t="shared" ref="E10853:E10861" si="1693">DATEVALUE("1-2-2010")</f>
        <v>40210</v>
      </c>
      <c r="F10853" s="2">
        <f t="shared" ref="F10853:F10861" si="1694">DATEVALUE("30-9-2011")</f>
        <v>40816</v>
      </c>
    </row>
    <row r="10854" spans="1:6" x14ac:dyDescent="0.25">
      <c r="A10854" s="1" t="s">
        <v>757</v>
      </c>
      <c r="B10854" s="1" t="s">
        <v>2555</v>
      </c>
      <c r="C10854" s="1" t="s">
        <v>10</v>
      </c>
      <c r="D10854" s="3">
        <f t="shared" si="1692"/>
        <v>7029</v>
      </c>
      <c r="E10854" s="2">
        <f t="shared" si="1693"/>
        <v>40210</v>
      </c>
      <c r="F10854" s="2">
        <f t="shared" si="1694"/>
        <v>40816</v>
      </c>
    </row>
    <row r="10855" spans="1:6" x14ac:dyDescent="0.25">
      <c r="A10855" s="1" t="s">
        <v>757</v>
      </c>
      <c r="B10855" s="1" t="s">
        <v>2555</v>
      </c>
      <c r="C10855" s="1" t="s">
        <v>11</v>
      </c>
      <c r="D10855" s="3">
        <f t="shared" si="1692"/>
        <v>7029</v>
      </c>
      <c r="E10855" s="2">
        <f t="shared" si="1693"/>
        <v>40210</v>
      </c>
      <c r="F10855" s="2">
        <f t="shared" si="1694"/>
        <v>40816</v>
      </c>
    </row>
    <row r="10856" spans="1:6" x14ac:dyDescent="0.25">
      <c r="A10856" s="1" t="s">
        <v>757</v>
      </c>
      <c r="B10856" s="1" t="s">
        <v>2555</v>
      </c>
      <c r="C10856" s="1" t="s">
        <v>12</v>
      </c>
      <c r="D10856" s="3">
        <f t="shared" si="1692"/>
        <v>7029</v>
      </c>
      <c r="E10856" s="2">
        <f t="shared" si="1693"/>
        <v>40210</v>
      </c>
      <c r="F10856" s="2">
        <f t="shared" si="1694"/>
        <v>40816</v>
      </c>
    </row>
    <row r="10857" spans="1:6" x14ac:dyDescent="0.25">
      <c r="A10857" s="1" t="s">
        <v>757</v>
      </c>
      <c r="B10857" s="1" t="s">
        <v>2555</v>
      </c>
      <c r="C10857" s="1" t="s">
        <v>32</v>
      </c>
      <c r="D10857" s="3">
        <f t="shared" si="1692"/>
        <v>7029</v>
      </c>
      <c r="E10857" s="2">
        <f t="shared" si="1693"/>
        <v>40210</v>
      </c>
      <c r="F10857" s="2">
        <f t="shared" si="1694"/>
        <v>40816</v>
      </c>
    </row>
    <row r="10858" spans="1:6" x14ac:dyDescent="0.25">
      <c r="A10858" s="1" t="s">
        <v>757</v>
      </c>
      <c r="B10858" s="1" t="s">
        <v>2555</v>
      </c>
      <c r="C10858" s="1" t="s">
        <v>113</v>
      </c>
      <c r="D10858" s="3">
        <f t="shared" si="1692"/>
        <v>7029</v>
      </c>
      <c r="E10858" s="2">
        <f t="shared" si="1693"/>
        <v>40210</v>
      </c>
      <c r="F10858" s="2">
        <f t="shared" si="1694"/>
        <v>40816</v>
      </c>
    </row>
    <row r="10859" spans="1:6" x14ac:dyDescent="0.25">
      <c r="A10859" s="1" t="s">
        <v>757</v>
      </c>
      <c r="B10859" s="1" t="s">
        <v>2555</v>
      </c>
      <c r="C10859" s="1" t="s">
        <v>1697</v>
      </c>
      <c r="D10859" s="3">
        <f t="shared" si="1692"/>
        <v>7029</v>
      </c>
      <c r="E10859" s="2">
        <f t="shared" si="1693"/>
        <v>40210</v>
      </c>
      <c r="F10859" s="2">
        <f t="shared" si="1694"/>
        <v>40816</v>
      </c>
    </row>
    <row r="10860" spans="1:6" x14ac:dyDescent="0.25">
      <c r="A10860" s="1" t="s">
        <v>757</v>
      </c>
      <c r="B10860" s="1" t="s">
        <v>2555</v>
      </c>
      <c r="C10860" s="1" t="s">
        <v>116</v>
      </c>
      <c r="D10860" s="3">
        <f t="shared" si="1692"/>
        <v>7029</v>
      </c>
      <c r="E10860" s="2">
        <f t="shared" si="1693"/>
        <v>40210</v>
      </c>
      <c r="F10860" s="2">
        <f t="shared" si="1694"/>
        <v>40816</v>
      </c>
    </row>
    <row r="10861" spans="1:6" x14ac:dyDescent="0.25">
      <c r="A10861" s="1" t="s">
        <v>757</v>
      </c>
      <c r="B10861" s="1" t="s">
        <v>2555</v>
      </c>
      <c r="C10861" s="1" t="s">
        <v>57</v>
      </c>
      <c r="D10861" s="3">
        <f t="shared" si="1692"/>
        <v>7029</v>
      </c>
      <c r="E10861" s="2">
        <f t="shared" si="1693"/>
        <v>40210</v>
      </c>
      <c r="F10861" s="2">
        <f t="shared" si="1694"/>
        <v>40816</v>
      </c>
    </row>
    <row r="10862" spans="1:6" x14ac:dyDescent="0.25">
      <c r="A10862" s="1" t="s">
        <v>757</v>
      </c>
      <c r="B10862" s="1" t="s">
        <v>1858</v>
      </c>
      <c r="C10862" s="1" t="s">
        <v>345</v>
      </c>
      <c r="D10862" s="3">
        <f t="shared" ref="D10862:D10869" si="1695">VALUE("6048")</f>
        <v>6048</v>
      </c>
      <c r="E10862" s="2">
        <f t="shared" ref="E10862:E10869" si="1696">DATEVALUE("1-6-2007")</f>
        <v>39234</v>
      </c>
      <c r="F10862" s="2">
        <f t="shared" ref="F10862:F10869" si="1697">DATEVALUE("31-1-2017")</f>
        <v>42766</v>
      </c>
    </row>
    <row r="10863" spans="1:6" x14ac:dyDescent="0.25">
      <c r="A10863" s="1" t="s">
        <v>757</v>
      </c>
      <c r="B10863" s="1" t="s">
        <v>1858</v>
      </c>
      <c r="C10863" s="1" t="s">
        <v>586</v>
      </c>
      <c r="D10863" s="3">
        <f t="shared" si="1695"/>
        <v>6048</v>
      </c>
      <c r="E10863" s="2">
        <f t="shared" si="1696"/>
        <v>39234</v>
      </c>
      <c r="F10863" s="2">
        <f t="shared" si="1697"/>
        <v>42766</v>
      </c>
    </row>
    <row r="10864" spans="1:6" x14ac:dyDescent="0.25">
      <c r="A10864" s="1" t="s">
        <v>757</v>
      </c>
      <c r="B10864" s="1" t="s">
        <v>1858</v>
      </c>
      <c r="C10864" s="1" t="s">
        <v>347</v>
      </c>
      <c r="D10864" s="3">
        <f t="shared" si="1695"/>
        <v>6048</v>
      </c>
      <c r="E10864" s="2">
        <f t="shared" si="1696"/>
        <v>39234</v>
      </c>
      <c r="F10864" s="2">
        <f t="shared" si="1697"/>
        <v>42766</v>
      </c>
    </row>
    <row r="10865" spans="1:6" x14ac:dyDescent="0.25">
      <c r="A10865" s="1" t="s">
        <v>757</v>
      </c>
      <c r="B10865" s="1" t="s">
        <v>1858</v>
      </c>
      <c r="C10865" s="1" t="s">
        <v>1859</v>
      </c>
      <c r="D10865" s="3">
        <f t="shared" si="1695"/>
        <v>6048</v>
      </c>
      <c r="E10865" s="2">
        <f t="shared" si="1696"/>
        <v>39234</v>
      </c>
      <c r="F10865" s="2">
        <f t="shared" si="1697"/>
        <v>42766</v>
      </c>
    </row>
    <row r="10866" spans="1:6" x14ac:dyDescent="0.25">
      <c r="A10866" s="1" t="s">
        <v>757</v>
      </c>
      <c r="B10866" s="1" t="s">
        <v>1858</v>
      </c>
      <c r="C10866" s="1" t="s">
        <v>45</v>
      </c>
      <c r="D10866" s="3">
        <f t="shared" si="1695"/>
        <v>6048</v>
      </c>
      <c r="E10866" s="2">
        <f t="shared" si="1696"/>
        <v>39234</v>
      </c>
      <c r="F10866" s="2">
        <f t="shared" si="1697"/>
        <v>42766</v>
      </c>
    </row>
    <row r="10867" spans="1:6" x14ac:dyDescent="0.25">
      <c r="A10867" s="1" t="s">
        <v>757</v>
      </c>
      <c r="B10867" s="1" t="s">
        <v>1858</v>
      </c>
      <c r="C10867" s="1" t="s">
        <v>348</v>
      </c>
      <c r="D10867" s="3">
        <f t="shared" si="1695"/>
        <v>6048</v>
      </c>
      <c r="E10867" s="2">
        <f t="shared" si="1696"/>
        <v>39234</v>
      </c>
      <c r="F10867" s="2">
        <f t="shared" si="1697"/>
        <v>42766</v>
      </c>
    </row>
    <row r="10868" spans="1:6" x14ac:dyDescent="0.25">
      <c r="A10868" s="1" t="s">
        <v>757</v>
      </c>
      <c r="B10868" s="1" t="s">
        <v>1858</v>
      </c>
      <c r="C10868" s="1" t="s">
        <v>349</v>
      </c>
      <c r="D10868" s="3">
        <f t="shared" si="1695"/>
        <v>6048</v>
      </c>
      <c r="E10868" s="2">
        <f t="shared" si="1696"/>
        <v>39234</v>
      </c>
      <c r="F10868" s="2">
        <f t="shared" si="1697"/>
        <v>42766</v>
      </c>
    </row>
    <row r="10869" spans="1:6" x14ac:dyDescent="0.25">
      <c r="A10869" s="1" t="s">
        <v>757</v>
      </c>
      <c r="B10869" s="1" t="s">
        <v>1858</v>
      </c>
      <c r="C10869" s="1" t="s">
        <v>1860</v>
      </c>
      <c r="D10869" s="3">
        <f t="shared" si="1695"/>
        <v>6048</v>
      </c>
      <c r="E10869" s="2">
        <f t="shared" si="1696"/>
        <v>39234</v>
      </c>
      <c r="F10869" s="2">
        <f t="shared" si="1697"/>
        <v>42766</v>
      </c>
    </row>
    <row r="10870" spans="1:6" x14ac:dyDescent="0.25">
      <c r="A10870" s="1" t="s">
        <v>757</v>
      </c>
      <c r="B10870" s="1" t="s">
        <v>2101</v>
      </c>
      <c r="C10870" s="1" t="s">
        <v>7</v>
      </c>
      <c r="D10870" s="3">
        <f t="shared" ref="D10870:D10887" si="1698">VALUE("511")</f>
        <v>511</v>
      </c>
      <c r="E10870" s="2">
        <f t="shared" ref="E10870:E10887" si="1699">DATEVALUE("1-3-2005")</f>
        <v>38412</v>
      </c>
      <c r="F10870" s="2">
        <f t="shared" ref="F10870:F10887" si="1700">DATEVALUE("31-10-2019")</f>
        <v>43769</v>
      </c>
    </row>
    <row r="10871" spans="1:6" x14ac:dyDescent="0.25">
      <c r="A10871" s="1" t="s">
        <v>757</v>
      </c>
      <c r="B10871" s="1" t="s">
        <v>2101</v>
      </c>
      <c r="C10871" s="1" t="s">
        <v>13</v>
      </c>
      <c r="D10871" s="3">
        <f t="shared" si="1698"/>
        <v>511</v>
      </c>
      <c r="E10871" s="2">
        <f t="shared" si="1699"/>
        <v>38412</v>
      </c>
      <c r="F10871" s="2">
        <f t="shared" si="1700"/>
        <v>43769</v>
      </c>
    </row>
    <row r="10872" spans="1:6" x14ac:dyDescent="0.25">
      <c r="A10872" s="1" t="s">
        <v>757</v>
      </c>
      <c r="B10872" s="1" t="s">
        <v>2101</v>
      </c>
      <c r="C10872" s="1" t="s">
        <v>227</v>
      </c>
      <c r="D10872" s="3">
        <f t="shared" si="1698"/>
        <v>511</v>
      </c>
      <c r="E10872" s="2">
        <f t="shared" si="1699"/>
        <v>38412</v>
      </c>
      <c r="F10872" s="2">
        <f t="shared" si="1700"/>
        <v>43769</v>
      </c>
    </row>
    <row r="10873" spans="1:6" x14ac:dyDescent="0.25">
      <c r="A10873" s="1" t="s">
        <v>757</v>
      </c>
      <c r="B10873" s="1" t="s">
        <v>2101</v>
      </c>
      <c r="C10873" s="1" t="s">
        <v>228</v>
      </c>
      <c r="D10873" s="3">
        <f t="shared" si="1698"/>
        <v>511</v>
      </c>
      <c r="E10873" s="2">
        <f t="shared" si="1699"/>
        <v>38412</v>
      </c>
      <c r="F10873" s="2">
        <f t="shared" si="1700"/>
        <v>43769</v>
      </c>
    </row>
    <row r="10874" spans="1:6" x14ac:dyDescent="0.25">
      <c r="A10874" s="1" t="s">
        <v>757</v>
      </c>
      <c r="B10874" s="1" t="s">
        <v>2101</v>
      </c>
      <c r="C10874" s="1" t="s">
        <v>28</v>
      </c>
      <c r="D10874" s="3">
        <f t="shared" si="1698"/>
        <v>511</v>
      </c>
      <c r="E10874" s="2">
        <f t="shared" si="1699"/>
        <v>38412</v>
      </c>
      <c r="F10874" s="2">
        <f t="shared" si="1700"/>
        <v>43769</v>
      </c>
    </row>
    <row r="10875" spans="1:6" x14ac:dyDescent="0.25">
      <c r="A10875" s="1" t="s">
        <v>757</v>
      </c>
      <c r="B10875" s="1" t="s">
        <v>2101</v>
      </c>
      <c r="C10875" s="1" t="s">
        <v>229</v>
      </c>
      <c r="D10875" s="3">
        <f t="shared" si="1698"/>
        <v>511</v>
      </c>
      <c r="E10875" s="2">
        <f t="shared" si="1699"/>
        <v>38412</v>
      </c>
      <c r="F10875" s="2">
        <f t="shared" si="1700"/>
        <v>43769</v>
      </c>
    </row>
    <row r="10876" spans="1:6" x14ac:dyDescent="0.25">
      <c r="A10876" s="1" t="s">
        <v>757</v>
      </c>
      <c r="B10876" s="1" t="s">
        <v>2101</v>
      </c>
      <c r="C10876" s="1" t="s">
        <v>29</v>
      </c>
      <c r="D10876" s="3">
        <f t="shared" si="1698"/>
        <v>511</v>
      </c>
      <c r="E10876" s="2">
        <f t="shared" si="1699"/>
        <v>38412</v>
      </c>
      <c r="F10876" s="2">
        <f t="shared" si="1700"/>
        <v>43769</v>
      </c>
    </row>
    <row r="10877" spans="1:6" x14ac:dyDescent="0.25">
      <c r="A10877" s="1" t="s">
        <v>757</v>
      </c>
      <c r="B10877" s="1" t="s">
        <v>2101</v>
      </c>
      <c r="C10877" s="1" t="s">
        <v>230</v>
      </c>
      <c r="D10877" s="3">
        <f t="shared" si="1698"/>
        <v>511</v>
      </c>
      <c r="E10877" s="2">
        <f t="shared" si="1699"/>
        <v>38412</v>
      </c>
      <c r="F10877" s="2">
        <f t="shared" si="1700"/>
        <v>43769</v>
      </c>
    </row>
    <row r="10878" spans="1:6" x14ac:dyDescent="0.25">
      <c r="A10878" s="1" t="s">
        <v>757</v>
      </c>
      <c r="B10878" s="1" t="s">
        <v>2101</v>
      </c>
      <c r="C10878" s="1" t="s">
        <v>231</v>
      </c>
      <c r="D10878" s="3">
        <f t="shared" si="1698"/>
        <v>511</v>
      </c>
      <c r="E10878" s="2">
        <f t="shared" si="1699"/>
        <v>38412</v>
      </c>
      <c r="F10878" s="2">
        <f t="shared" si="1700"/>
        <v>43769</v>
      </c>
    </row>
    <row r="10879" spans="1:6" x14ac:dyDescent="0.25">
      <c r="A10879" s="1" t="s">
        <v>757</v>
      </c>
      <c r="B10879" s="1" t="s">
        <v>2101</v>
      </c>
      <c r="C10879" s="1" t="s">
        <v>233</v>
      </c>
      <c r="D10879" s="3">
        <f t="shared" si="1698"/>
        <v>511</v>
      </c>
      <c r="E10879" s="2">
        <f t="shared" si="1699"/>
        <v>38412</v>
      </c>
      <c r="F10879" s="2">
        <f t="shared" si="1700"/>
        <v>43769</v>
      </c>
    </row>
    <row r="10880" spans="1:6" x14ac:dyDescent="0.25">
      <c r="A10880" s="1" t="s">
        <v>757</v>
      </c>
      <c r="B10880" s="1" t="s">
        <v>2101</v>
      </c>
      <c r="C10880" s="1" t="s">
        <v>234</v>
      </c>
      <c r="D10880" s="3">
        <f t="shared" si="1698"/>
        <v>511</v>
      </c>
      <c r="E10880" s="2">
        <f t="shared" si="1699"/>
        <v>38412</v>
      </c>
      <c r="F10880" s="2">
        <f t="shared" si="1700"/>
        <v>43769</v>
      </c>
    </row>
    <row r="10881" spans="1:6" x14ac:dyDescent="0.25">
      <c r="A10881" s="1" t="s">
        <v>757</v>
      </c>
      <c r="B10881" s="1" t="s">
        <v>2101</v>
      </c>
      <c r="C10881" s="1" t="s">
        <v>30</v>
      </c>
      <c r="D10881" s="3">
        <f t="shared" si="1698"/>
        <v>511</v>
      </c>
      <c r="E10881" s="2">
        <f t="shared" si="1699"/>
        <v>38412</v>
      </c>
      <c r="F10881" s="2">
        <f t="shared" si="1700"/>
        <v>43769</v>
      </c>
    </row>
    <row r="10882" spans="1:6" x14ac:dyDescent="0.25">
      <c r="A10882" s="1" t="s">
        <v>757</v>
      </c>
      <c r="B10882" s="1" t="s">
        <v>2101</v>
      </c>
      <c r="C10882" s="1" t="s">
        <v>1839</v>
      </c>
      <c r="D10882" s="3">
        <f t="shared" si="1698"/>
        <v>511</v>
      </c>
      <c r="E10882" s="2">
        <f t="shared" si="1699"/>
        <v>38412</v>
      </c>
      <c r="F10882" s="2">
        <f t="shared" si="1700"/>
        <v>43769</v>
      </c>
    </row>
    <row r="10883" spans="1:6" x14ac:dyDescent="0.25">
      <c r="A10883" s="1" t="s">
        <v>757</v>
      </c>
      <c r="B10883" s="1" t="s">
        <v>2101</v>
      </c>
      <c r="C10883" s="1" t="s">
        <v>237</v>
      </c>
      <c r="D10883" s="3">
        <f t="shared" si="1698"/>
        <v>511</v>
      </c>
      <c r="E10883" s="2">
        <f t="shared" si="1699"/>
        <v>38412</v>
      </c>
      <c r="F10883" s="2">
        <f t="shared" si="1700"/>
        <v>43769</v>
      </c>
    </row>
    <row r="10884" spans="1:6" x14ac:dyDescent="0.25">
      <c r="A10884" s="1" t="s">
        <v>757</v>
      </c>
      <c r="B10884" s="1" t="s">
        <v>2101</v>
      </c>
      <c r="C10884" s="1" t="s">
        <v>238</v>
      </c>
      <c r="D10884" s="3">
        <f t="shared" si="1698"/>
        <v>511</v>
      </c>
      <c r="E10884" s="2">
        <f t="shared" si="1699"/>
        <v>38412</v>
      </c>
      <c r="F10884" s="2">
        <f t="shared" si="1700"/>
        <v>43769</v>
      </c>
    </row>
    <row r="10885" spans="1:6" x14ac:dyDescent="0.25">
      <c r="A10885" s="1" t="s">
        <v>757</v>
      </c>
      <c r="B10885" s="1" t="s">
        <v>2101</v>
      </c>
      <c r="C10885" s="1" t="s">
        <v>239</v>
      </c>
      <c r="D10885" s="3">
        <f t="shared" si="1698"/>
        <v>511</v>
      </c>
      <c r="E10885" s="2">
        <f t="shared" si="1699"/>
        <v>38412</v>
      </c>
      <c r="F10885" s="2">
        <f t="shared" si="1700"/>
        <v>43769</v>
      </c>
    </row>
    <row r="10886" spans="1:6" x14ac:dyDescent="0.25">
      <c r="A10886" s="1" t="s">
        <v>757</v>
      </c>
      <c r="B10886" s="1" t="s">
        <v>2101</v>
      </c>
      <c r="C10886" s="1" t="s">
        <v>593</v>
      </c>
      <c r="D10886" s="3">
        <f t="shared" si="1698"/>
        <v>511</v>
      </c>
      <c r="E10886" s="2">
        <f t="shared" si="1699"/>
        <v>38412</v>
      </c>
      <c r="F10886" s="2">
        <f t="shared" si="1700"/>
        <v>43769</v>
      </c>
    </row>
    <row r="10887" spans="1:6" x14ac:dyDescent="0.25">
      <c r="A10887" s="1" t="s">
        <v>757</v>
      </c>
      <c r="B10887" s="1" t="s">
        <v>2101</v>
      </c>
      <c r="C10887" s="1" t="s">
        <v>1566</v>
      </c>
      <c r="D10887" s="3">
        <f t="shared" si="1698"/>
        <v>511</v>
      </c>
      <c r="E10887" s="2">
        <f t="shared" si="1699"/>
        <v>38412</v>
      </c>
      <c r="F10887" s="2">
        <f t="shared" si="1700"/>
        <v>43769</v>
      </c>
    </row>
    <row r="10888" spans="1:6" x14ac:dyDescent="0.25">
      <c r="A10888" s="1" t="s">
        <v>1659</v>
      </c>
      <c r="B10888" s="1" t="s">
        <v>1658</v>
      </c>
      <c r="C10888" s="1" t="s">
        <v>1660</v>
      </c>
      <c r="D10888" s="3">
        <f t="shared" ref="D10888:D10901" si="1701">VALUE("8835")</f>
        <v>8835</v>
      </c>
      <c r="E10888" s="2">
        <f t="shared" ref="E10888:E10901" si="1702">DATEVALUE("1-8-2020")</f>
        <v>44044</v>
      </c>
      <c r="F10888" s="2">
        <f t="shared" ref="F10888:F10901" si="1703">DATEVALUE("31-12-2021")</f>
        <v>44561</v>
      </c>
    </row>
    <row r="10889" spans="1:6" x14ac:dyDescent="0.25">
      <c r="A10889" s="1" t="s">
        <v>1659</v>
      </c>
      <c r="B10889" s="1" t="s">
        <v>1658</v>
      </c>
      <c r="C10889" s="1" t="s">
        <v>8</v>
      </c>
      <c r="D10889" s="3">
        <f t="shared" si="1701"/>
        <v>8835</v>
      </c>
      <c r="E10889" s="2">
        <f t="shared" si="1702"/>
        <v>44044</v>
      </c>
      <c r="F10889" s="2">
        <f t="shared" si="1703"/>
        <v>44561</v>
      </c>
    </row>
    <row r="10890" spans="1:6" x14ac:dyDescent="0.25">
      <c r="A10890" s="1" t="s">
        <v>1659</v>
      </c>
      <c r="B10890" s="1" t="s">
        <v>1658</v>
      </c>
      <c r="C10890" s="1" t="s">
        <v>14</v>
      </c>
      <c r="D10890" s="3">
        <f t="shared" si="1701"/>
        <v>8835</v>
      </c>
      <c r="E10890" s="2">
        <f t="shared" si="1702"/>
        <v>44044</v>
      </c>
      <c r="F10890" s="2">
        <f t="shared" si="1703"/>
        <v>44561</v>
      </c>
    </row>
    <row r="10891" spans="1:6" x14ac:dyDescent="0.25">
      <c r="A10891" s="1" t="s">
        <v>1659</v>
      </c>
      <c r="B10891" s="1" t="s">
        <v>1658</v>
      </c>
      <c r="C10891" s="1" t="s">
        <v>15</v>
      </c>
      <c r="D10891" s="3">
        <f t="shared" si="1701"/>
        <v>8835</v>
      </c>
      <c r="E10891" s="2">
        <f t="shared" si="1702"/>
        <v>44044</v>
      </c>
      <c r="F10891" s="2">
        <f t="shared" si="1703"/>
        <v>44561</v>
      </c>
    </row>
    <row r="10892" spans="1:6" x14ac:dyDescent="0.25">
      <c r="A10892" s="1" t="s">
        <v>1659</v>
      </c>
      <c r="B10892" s="1" t="s">
        <v>1658</v>
      </c>
      <c r="C10892" s="1" t="s">
        <v>17</v>
      </c>
      <c r="D10892" s="3">
        <f t="shared" si="1701"/>
        <v>8835</v>
      </c>
      <c r="E10892" s="2">
        <f t="shared" si="1702"/>
        <v>44044</v>
      </c>
      <c r="F10892" s="2">
        <f t="shared" si="1703"/>
        <v>44561</v>
      </c>
    </row>
    <row r="10893" spans="1:6" x14ac:dyDescent="0.25">
      <c r="A10893" s="1" t="s">
        <v>1659</v>
      </c>
      <c r="B10893" s="1" t="s">
        <v>1658</v>
      </c>
      <c r="C10893" s="1" t="s">
        <v>146</v>
      </c>
      <c r="D10893" s="3">
        <f t="shared" si="1701"/>
        <v>8835</v>
      </c>
      <c r="E10893" s="2">
        <f t="shared" si="1702"/>
        <v>44044</v>
      </c>
      <c r="F10893" s="2">
        <f t="shared" si="1703"/>
        <v>44561</v>
      </c>
    </row>
    <row r="10894" spans="1:6" x14ac:dyDescent="0.25">
      <c r="A10894" s="1" t="s">
        <v>1659</v>
      </c>
      <c r="B10894" s="1" t="s">
        <v>1658</v>
      </c>
      <c r="C10894" s="1" t="s">
        <v>400</v>
      </c>
      <c r="D10894" s="3">
        <f t="shared" si="1701"/>
        <v>8835</v>
      </c>
      <c r="E10894" s="2">
        <f t="shared" si="1702"/>
        <v>44044</v>
      </c>
      <c r="F10894" s="2">
        <f t="shared" si="1703"/>
        <v>44561</v>
      </c>
    </row>
    <row r="10895" spans="1:6" x14ac:dyDescent="0.25">
      <c r="A10895" s="1" t="s">
        <v>1659</v>
      </c>
      <c r="B10895" s="1" t="s">
        <v>1658</v>
      </c>
      <c r="C10895" s="1" t="s">
        <v>24</v>
      </c>
      <c r="D10895" s="3">
        <f t="shared" si="1701"/>
        <v>8835</v>
      </c>
      <c r="E10895" s="2">
        <f t="shared" si="1702"/>
        <v>44044</v>
      </c>
      <c r="F10895" s="2">
        <f t="shared" si="1703"/>
        <v>44561</v>
      </c>
    </row>
    <row r="10896" spans="1:6" x14ac:dyDescent="0.25">
      <c r="A10896" s="1" t="s">
        <v>1659</v>
      </c>
      <c r="B10896" s="1" t="s">
        <v>1658</v>
      </c>
      <c r="C10896" s="1" t="s">
        <v>548</v>
      </c>
      <c r="D10896" s="3">
        <f t="shared" si="1701"/>
        <v>8835</v>
      </c>
      <c r="E10896" s="2">
        <f t="shared" si="1702"/>
        <v>44044</v>
      </c>
      <c r="F10896" s="2">
        <f t="shared" si="1703"/>
        <v>44561</v>
      </c>
    </row>
    <row r="10897" spans="1:6" x14ac:dyDescent="0.25">
      <c r="A10897" s="1" t="s">
        <v>1659</v>
      </c>
      <c r="B10897" s="1" t="s">
        <v>1658</v>
      </c>
      <c r="C10897" s="1" t="s">
        <v>1004</v>
      </c>
      <c r="D10897" s="3">
        <f t="shared" si="1701"/>
        <v>8835</v>
      </c>
      <c r="E10897" s="2">
        <f t="shared" si="1702"/>
        <v>44044</v>
      </c>
      <c r="F10897" s="2">
        <f t="shared" si="1703"/>
        <v>44561</v>
      </c>
    </row>
    <row r="10898" spans="1:6" x14ac:dyDescent="0.25">
      <c r="A10898" s="1" t="s">
        <v>1659</v>
      </c>
      <c r="B10898" s="1" t="s">
        <v>1658</v>
      </c>
      <c r="C10898" s="1" t="s">
        <v>73</v>
      </c>
      <c r="D10898" s="3">
        <f t="shared" si="1701"/>
        <v>8835</v>
      </c>
      <c r="E10898" s="2">
        <f t="shared" si="1702"/>
        <v>44044</v>
      </c>
      <c r="F10898" s="2">
        <f t="shared" si="1703"/>
        <v>44561</v>
      </c>
    </row>
    <row r="10899" spans="1:6" x14ac:dyDescent="0.25">
      <c r="A10899" s="1" t="s">
        <v>1659</v>
      </c>
      <c r="B10899" s="1" t="s">
        <v>1658</v>
      </c>
      <c r="C10899" s="1" t="s">
        <v>52</v>
      </c>
      <c r="D10899" s="3">
        <f t="shared" si="1701"/>
        <v>8835</v>
      </c>
      <c r="E10899" s="2">
        <f t="shared" si="1702"/>
        <v>44044</v>
      </c>
      <c r="F10899" s="2">
        <f t="shared" si="1703"/>
        <v>44561</v>
      </c>
    </row>
    <row r="10900" spans="1:6" x14ac:dyDescent="0.25">
      <c r="A10900" s="1" t="s">
        <v>1659</v>
      </c>
      <c r="B10900" s="1" t="s">
        <v>1658</v>
      </c>
      <c r="C10900" s="1" t="s">
        <v>1661</v>
      </c>
      <c r="D10900" s="3">
        <f t="shared" si="1701"/>
        <v>8835</v>
      </c>
      <c r="E10900" s="2">
        <f t="shared" si="1702"/>
        <v>44044</v>
      </c>
      <c r="F10900" s="2">
        <f t="shared" si="1703"/>
        <v>44561</v>
      </c>
    </row>
    <row r="10901" spans="1:6" x14ac:dyDescent="0.25">
      <c r="A10901" s="1" t="s">
        <v>1659</v>
      </c>
      <c r="B10901" s="1" t="s">
        <v>1658</v>
      </c>
      <c r="C10901" s="1" t="s">
        <v>34</v>
      </c>
      <c r="D10901" s="3">
        <f t="shared" si="1701"/>
        <v>8835</v>
      </c>
      <c r="E10901" s="2">
        <f t="shared" si="1702"/>
        <v>44044</v>
      </c>
      <c r="F10901" s="2">
        <f t="shared" si="1703"/>
        <v>44561</v>
      </c>
    </row>
    <row r="10902" spans="1:6" x14ac:dyDescent="0.25">
      <c r="A10902" s="1" t="s">
        <v>1659</v>
      </c>
      <c r="B10902" s="1" t="s">
        <v>2711</v>
      </c>
      <c r="C10902" s="1" t="s">
        <v>46</v>
      </c>
      <c r="D10902" s="3">
        <f t="shared" ref="D10902:D10910" si="1704">VALUE("7447")</f>
        <v>7447</v>
      </c>
      <c r="E10902" s="2">
        <f t="shared" ref="E10902:E10910" si="1705">DATEVALUE("1-3-2013")</f>
        <v>41334</v>
      </c>
      <c r="F10902" s="2">
        <f t="shared" ref="F10902:F10910" si="1706">DATEVALUE("31-7-2013")</f>
        <v>41486</v>
      </c>
    </row>
    <row r="10903" spans="1:6" x14ac:dyDescent="0.25">
      <c r="A10903" s="1" t="s">
        <v>1659</v>
      </c>
      <c r="B10903" s="1" t="s">
        <v>2711</v>
      </c>
      <c r="C10903" s="1" t="s">
        <v>193</v>
      </c>
      <c r="D10903" s="3">
        <f t="shared" si="1704"/>
        <v>7447</v>
      </c>
      <c r="E10903" s="2">
        <f t="shared" si="1705"/>
        <v>41334</v>
      </c>
      <c r="F10903" s="2">
        <f t="shared" si="1706"/>
        <v>41486</v>
      </c>
    </row>
    <row r="10904" spans="1:6" x14ac:dyDescent="0.25">
      <c r="A10904" s="1" t="s">
        <v>1659</v>
      </c>
      <c r="B10904" s="1" t="s">
        <v>2711</v>
      </c>
      <c r="C10904" s="1" t="s">
        <v>20</v>
      </c>
      <c r="D10904" s="3">
        <f t="shared" si="1704"/>
        <v>7447</v>
      </c>
      <c r="E10904" s="2">
        <f t="shared" si="1705"/>
        <v>41334</v>
      </c>
      <c r="F10904" s="2">
        <f t="shared" si="1706"/>
        <v>41486</v>
      </c>
    </row>
    <row r="10905" spans="1:6" x14ac:dyDescent="0.25">
      <c r="A10905" s="1" t="s">
        <v>1659</v>
      </c>
      <c r="B10905" s="1" t="s">
        <v>2711</v>
      </c>
      <c r="C10905" s="1" t="s">
        <v>220</v>
      </c>
      <c r="D10905" s="3">
        <f t="shared" si="1704"/>
        <v>7447</v>
      </c>
      <c r="E10905" s="2">
        <f t="shared" si="1705"/>
        <v>41334</v>
      </c>
      <c r="F10905" s="2">
        <f t="shared" si="1706"/>
        <v>41486</v>
      </c>
    </row>
    <row r="10906" spans="1:6" x14ac:dyDescent="0.25">
      <c r="A10906" s="1" t="s">
        <v>1659</v>
      </c>
      <c r="B10906" s="1" t="s">
        <v>2711</v>
      </c>
      <c r="C10906" s="1" t="s">
        <v>156</v>
      </c>
      <c r="D10906" s="3">
        <f t="shared" si="1704"/>
        <v>7447</v>
      </c>
      <c r="E10906" s="2">
        <f t="shared" si="1705"/>
        <v>41334</v>
      </c>
      <c r="F10906" s="2">
        <f t="shared" si="1706"/>
        <v>41486</v>
      </c>
    </row>
    <row r="10907" spans="1:6" x14ac:dyDescent="0.25">
      <c r="A10907" s="1" t="s">
        <v>1659</v>
      </c>
      <c r="B10907" s="1" t="s">
        <v>2711</v>
      </c>
      <c r="C10907" s="1" t="s">
        <v>69</v>
      </c>
      <c r="D10907" s="3">
        <f t="shared" si="1704"/>
        <v>7447</v>
      </c>
      <c r="E10907" s="2">
        <f t="shared" si="1705"/>
        <v>41334</v>
      </c>
      <c r="F10907" s="2">
        <f t="shared" si="1706"/>
        <v>41486</v>
      </c>
    </row>
    <row r="10908" spans="1:6" x14ac:dyDescent="0.25">
      <c r="A10908" s="1" t="s">
        <v>1659</v>
      </c>
      <c r="B10908" s="1" t="s">
        <v>2711</v>
      </c>
      <c r="C10908" s="1" t="s">
        <v>452</v>
      </c>
      <c r="D10908" s="3">
        <f t="shared" si="1704"/>
        <v>7447</v>
      </c>
      <c r="E10908" s="2">
        <f t="shared" si="1705"/>
        <v>41334</v>
      </c>
      <c r="F10908" s="2">
        <f t="shared" si="1706"/>
        <v>41486</v>
      </c>
    </row>
    <row r="10909" spans="1:6" x14ac:dyDescent="0.25">
      <c r="A10909" s="1" t="s">
        <v>1659</v>
      </c>
      <c r="B10909" s="1" t="s">
        <v>2711</v>
      </c>
      <c r="C10909" s="1" t="s">
        <v>157</v>
      </c>
      <c r="D10909" s="3">
        <f t="shared" si="1704"/>
        <v>7447</v>
      </c>
      <c r="E10909" s="2">
        <f t="shared" si="1705"/>
        <v>41334</v>
      </c>
      <c r="F10909" s="2">
        <f t="shared" si="1706"/>
        <v>41486</v>
      </c>
    </row>
    <row r="10910" spans="1:6" x14ac:dyDescent="0.25">
      <c r="A10910" s="1" t="s">
        <v>1659</v>
      </c>
      <c r="B10910" s="1" t="s">
        <v>2711</v>
      </c>
      <c r="C10910" s="1" t="s">
        <v>157</v>
      </c>
      <c r="D10910" s="3">
        <f t="shared" si="1704"/>
        <v>7447</v>
      </c>
      <c r="E10910" s="2">
        <f t="shared" si="1705"/>
        <v>41334</v>
      </c>
      <c r="F10910" s="2">
        <f t="shared" si="1706"/>
        <v>41486</v>
      </c>
    </row>
    <row r="10911" spans="1:6" x14ac:dyDescent="0.25">
      <c r="A10911" s="1" t="s">
        <v>1659</v>
      </c>
      <c r="B10911" s="1" t="s">
        <v>2141</v>
      </c>
      <c r="C10911" s="1" t="s">
        <v>148</v>
      </c>
      <c r="D10911" s="3">
        <f>VALUE("7448")</f>
        <v>7448</v>
      </c>
      <c r="E10911" s="2">
        <f>DATEVALUE("1-2-2013")</f>
        <v>41306</v>
      </c>
      <c r="F10911" s="2">
        <f>DATEVALUE("31-5-2019")</f>
        <v>43616</v>
      </c>
    </row>
    <row r="10912" spans="1:6" x14ac:dyDescent="0.25">
      <c r="A10912" s="1" t="s">
        <v>1659</v>
      </c>
      <c r="B10912" s="1" t="s">
        <v>2141</v>
      </c>
      <c r="C10912" s="1" t="s">
        <v>149</v>
      </c>
      <c r="D10912" s="3">
        <f>VALUE("7448")</f>
        <v>7448</v>
      </c>
      <c r="E10912" s="2">
        <f>DATEVALUE("1-2-2013")</f>
        <v>41306</v>
      </c>
      <c r="F10912" s="2">
        <f>DATEVALUE("31-5-2019")</f>
        <v>43616</v>
      </c>
    </row>
    <row r="10913" spans="1:6" x14ac:dyDescent="0.25">
      <c r="A10913" s="1" t="s">
        <v>1659</v>
      </c>
      <c r="B10913" s="1" t="s">
        <v>2141</v>
      </c>
      <c r="C10913" s="1" t="s">
        <v>156</v>
      </c>
      <c r="D10913" s="3">
        <f>VALUE("7448")</f>
        <v>7448</v>
      </c>
      <c r="E10913" s="2">
        <f>DATEVALUE("1-2-2013")</f>
        <v>41306</v>
      </c>
      <c r="F10913" s="2">
        <f>DATEVALUE("31-5-2019")</f>
        <v>43616</v>
      </c>
    </row>
    <row r="10914" spans="1:6" x14ac:dyDescent="0.25">
      <c r="A10914" s="1" t="s">
        <v>1659</v>
      </c>
      <c r="B10914" s="1" t="s">
        <v>2621</v>
      </c>
      <c r="C10914" s="1" t="s">
        <v>172</v>
      </c>
      <c r="D10914" s="3">
        <f>VALUE("7228")</f>
        <v>7228</v>
      </c>
      <c r="E10914" s="2">
        <f>DATEVALUE("1-11-2011")</f>
        <v>40848</v>
      </c>
      <c r="F10914" s="2">
        <f>DATEVALUE("31-5-2012")</f>
        <v>41060</v>
      </c>
    </row>
    <row r="10915" spans="1:6" x14ac:dyDescent="0.25">
      <c r="A10915" s="1" t="s">
        <v>1659</v>
      </c>
      <c r="B10915" s="1" t="s">
        <v>2621</v>
      </c>
      <c r="C10915" s="1" t="s">
        <v>452</v>
      </c>
      <c r="D10915" s="3">
        <f>VALUE("7228")</f>
        <v>7228</v>
      </c>
      <c r="E10915" s="2">
        <f>DATEVALUE("1-11-2011")</f>
        <v>40848</v>
      </c>
      <c r="F10915" s="2">
        <f>DATEVALUE("31-5-2012")</f>
        <v>41060</v>
      </c>
    </row>
    <row r="10916" spans="1:6" x14ac:dyDescent="0.25">
      <c r="A10916" s="1" t="s">
        <v>509</v>
      </c>
      <c r="B10916" s="1" t="s">
        <v>1635</v>
      </c>
      <c r="C10916" s="1" t="s">
        <v>39</v>
      </c>
      <c r="D10916" s="3">
        <f t="shared" ref="D10916:D10924" si="1707">VALUE("8810")</f>
        <v>8810</v>
      </c>
      <c r="E10916" s="2">
        <f t="shared" ref="E10916:E10924" si="1708">DATEVALUE("1-9-2020")</f>
        <v>44075</v>
      </c>
      <c r="F10916" s="2">
        <f t="shared" ref="F10916:F10924" si="1709">DATEVALUE("1-3-2021")</f>
        <v>44256</v>
      </c>
    </row>
    <row r="10917" spans="1:6" x14ac:dyDescent="0.25">
      <c r="A10917" s="1" t="s">
        <v>509</v>
      </c>
      <c r="B10917" s="1" t="s">
        <v>1635</v>
      </c>
      <c r="C10917" s="1" t="s">
        <v>43</v>
      </c>
      <c r="D10917" s="3">
        <f t="shared" si="1707"/>
        <v>8810</v>
      </c>
      <c r="E10917" s="2">
        <f t="shared" si="1708"/>
        <v>44075</v>
      </c>
      <c r="F10917" s="2">
        <f t="shared" si="1709"/>
        <v>44256</v>
      </c>
    </row>
    <row r="10918" spans="1:6" x14ac:dyDescent="0.25">
      <c r="A10918" s="1" t="s">
        <v>509</v>
      </c>
      <c r="B10918" s="1" t="s">
        <v>1635</v>
      </c>
      <c r="C10918" s="1" t="s">
        <v>15</v>
      </c>
      <c r="D10918" s="3">
        <f t="shared" si="1707"/>
        <v>8810</v>
      </c>
      <c r="E10918" s="2">
        <f t="shared" si="1708"/>
        <v>44075</v>
      </c>
      <c r="F10918" s="2">
        <f t="shared" si="1709"/>
        <v>44256</v>
      </c>
    </row>
    <row r="10919" spans="1:6" x14ac:dyDescent="0.25">
      <c r="A10919" s="1" t="s">
        <v>509</v>
      </c>
      <c r="B10919" s="1" t="s">
        <v>1635</v>
      </c>
      <c r="C10919" s="1" t="s">
        <v>16</v>
      </c>
      <c r="D10919" s="3">
        <f t="shared" si="1707"/>
        <v>8810</v>
      </c>
      <c r="E10919" s="2">
        <f t="shared" si="1708"/>
        <v>44075</v>
      </c>
      <c r="F10919" s="2">
        <f t="shared" si="1709"/>
        <v>44256</v>
      </c>
    </row>
    <row r="10920" spans="1:6" x14ac:dyDescent="0.25">
      <c r="A10920" s="1" t="s">
        <v>509</v>
      </c>
      <c r="B10920" s="1" t="s">
        <v>1635</v>
      </c>
      <c r="C10920" s="1" t="s">
        <v>290</v>
      </c>
      <c r="D10920" s="3">
        <f t="shared" si="1707"/>
        <v>8810</v>
      </c>
      <c r="E10920" s="2">
        <f t="shared" si="1708"/>
        <v>44075</v>
      </c>
      <c r="F10920" s="2">
        <f t="shared" si="1709"/>
        <v>44256</v>
      </c>
    </row>
    <row r="10921" spans="1:6" x14ac:dyDescent="0.25">
      <c r="A10921" s="1" t="s">
        <v>509</v>
      </c>
      <c r="B10921" s="1" t="s">
        <v>1635</v>
      </c>
      <c r="C10921" s="1" t="s">
        <v>146</v>
      </c>
      <c r="D10921" s="3">
        <f t="shared" si="1707"/>
        <v>8810</v>
      </c>
      <c r="E10921" s="2">
        <f t="shared" si="1708"/>
        <v>44075</v>
      </c>
      <c r="F10921" s="2">
        <f t="shared" si="1709"/>
        <v>44256</v>
      </c>
    </row>
    <row r="10922" spans="1:6" x14ac:dyDescent="0.25">
      <c r="A10922" s="1" t="s">
        <v>509</v>
      </c>
      <c r="B10922" s="1" t="s">
        <v>1635</v>
      </c>
      <c r="C10922" s="1" t="s">
        <v>67</v>
      </c>
      <c r="D10922" s="3">
        <f t="shared" si="1707"/>
        <v>8810</v>
      </c>
      <c r="E10922" s="2">
        <f t="shared" si="1708"/>
        <v>44075</v>
      </c>
      <c r="F10922" s="2">
        <f t="shared" si="1709"/>
        <v>44256</v>
      </c>
    </row>
    <row r="10923" spans="1:6" x14ac:dyDescent="0.25">
      <c r="A10923" s="1" t="s">
        <v>509</v>
      </c>
      <c r="B10923" s="1" t="s">
        <v>1635</v>
      </c>
      <c r="C10923" s="1" t="s">
        <v>448</v>
      </c>
      <c r="D10923" s="3">
        <f t="shared" si="1707"/>
        <v>8810</v>
      </c>
      <c r="E10923" s="2">
        <f t="shared" si="1708"/>
        <v>44075</v>
      </c>
      <c r="F10923" s="2">
        <f t="shared" si="1709"/>
        <v>44256</v>
      </c>
    </row>
    <row r="10924" spans="1:6" x14ac:dyDescent="0.25">
      <c r="A10924" s="1" t="s">
        <v>509</v>
      </c>
      <c r="B10924" s="1" t="s">
        <v>1635</v>
      </c>
      <c r="C10924" s="1" t="s">
        <v>57</v>
      </c>
      <c r="D10924" s="3">
        <f t="shared" si="1707"/>
        <v>8810</v>
      </c>
      <c r="E10924" s="2">
        <f t="shared" si="1708"/>
        <v>44075</v>
      </c>
      <c r="F10924" s="2">
        <f t="shared" si="1709"/>
        <v>44256</v>
      </c>
    </row>
    <row r="10925" spans="1:6" x14ac:dyDescent="0.25">
      <c r="A10925" s="1" t="s">
        <v>509</v>
      </c>
      <c r="B10925" s="1" t="s">
        <v>1591</v>
      </c>
      <c r="C10925" s="1" t="s">
        <v>7</v>
      </c>
      <c r="D10925" s="3">
        <f t="shared" ref="D10925:D10939" si="1710">VALUE("8780")</f>
        <v>8780</v>
      </c>
      <c r="E10925" s="2">
        <f t="shared" ref="E10925:E10939" si="1711">DATEVALUE("1-6-2020")</f>
        <v>43983</v>
      </c>
      <c r="F10925" s="2">
        <f t="shared" ref="F10925:F10948" si="1712">DATEVALUE("31-12-2020")</f>
        <v>44196</v>
      </c>
    </row>
    <row r="10926" spans="1:6" x14ac:dyDescent="0.25">
      <c r="A10926" s="1" t="s">
        <v>509</v>
      </c>
      <c r="B10926" s="1" t="s">
        <v>1591</v>
      </c>
      <c r="C10926" s="1" t="s">
        <v>676</v>
      </c>
      <c r="D10926" s="3">
        <f t="shared" si="1710"/>
        <v>8780</v>
      </c>
      <c r="E10926" s="2">
        <f t="shared" si="1711"/>
        <v>43983</v>
      </c>
      <c r="F10926" s="2">
        <f t="shared" si="1712"/>
        <v>44196</v>
      </c>
    </row>
    <row r="10927" spans="1:6" x14ac:dyDescent="0.25">
      <c r="A10927" s="1" t="s">
        <v>509</v>
      </c>
      <c r="B10927" s="1" t="s">
        <v>1591</v>
      </c>
      <c r="C10927" s="1" t="s">
        <v>14</v>
      </c>
      <c r="D10927" s="3">
        <f t="shared" si="1710"/>
        <v>8780</v>
      </c>
      <c r="E10927" s="2">
        <f t="shared" si="1711"/>
        <v>43983</v>
      </c>
      <c r="F10927" s="2">
        <f t="shared" si="1712"/>
        <v>44196</v>
      </c>
    </row>
    <row r="10928" spans="1:6" x14ac:dyDescent="0.25">
      <c r="A10928" s="1" t="s">
        <v>509</v>
      </c>
      <c r="B10928" s="1" t="s">
        <v>1591</v>
      </c>
      <c r="C10928" s="1" t="s">
        <v>15</v>
      </c>
      <c r="D10928" s="3">
        <f t="shared" si="1710"/>
        <v>8780</v>
      </c>
      <c r="E10928" s="2">
        <f t="shared" si="1711"/>
        <v>43983</v>
      </c>
      <c r="F10928" s="2">
        <f t="shared" si="1712"/>
        <v>44196</v>
      </c>
    </row>
    <row r="10929" spans="1:6" x14ac:dyDescent="0.25">
      <c r="A10929" s="1" t="s">
        <v>509</v>
      </c>
      <c r="B10929" s="1" t="s">
        <v>1591</v>
      </c>
      <c r="C10929" s="1" t="s">
        <v>17</v>
      </c>
      <c r="D10929" s="3">
        <f t="shared" si="1710"/>
        <v>8780</v>
      </c>
      <c r="E10929" s="2">
        <f t="shared" si="1711"/>
        <v>43983</v>
      </c>
      <c r="F10929" s="2">
        <f t="shared" si="1712"/>
        <v>44196</v>
      </c>
    </row>
    <row r="10930" spans="1:6" x14ac:dyDescent="0.25">
      <c r="A10930" s="1" t="s">
        <v>509</v>
      </c>
      <c r="B10930" s="1" t="s">
        <v>1591</v>
      </c>
      <c r="C10930" s="1" t="s">
        <v>22</v>
      </c>
      <c r="D10930" s="3">
        <f t="shared" si="1710"/>
        <v>8780</v>
      </c>
      <c r="E10930" s="2">
        <f t="shared" si="1711"/>
        <v>43983</v>
      </c>
      <c r="F10930" s="2">
        <f t="shared" si="1712"/>
        <v>44196</v>
      </c>
    </row>
    <row r="10931" spans="1:6" x14ac:dyDescent="0.25">
      <c r="A10931" s="1" t="s">
        <v>509</v>
      </c>
      <c r="B10931" s="1" t="s">
        <v>1591</v>
      </c>
      <c r="C10931" s="1" t="s">
        <v>67</v>
      </c>
      <c r="D10931" s="3">
        <f t="shared" si="1710"/>
        <v>8780</v>
      </c>
      <c r="E10931" s="2">
        <f t="shared" si="1711"/>
        <v>43983</v>
      </c>
      <c r="F10931" s="2">
        <f t="shared" si="1712"/>
        <v>44196</v>
      </c>
    </row>
    <row r="10932" spans="1:6" x14ac:dyDescent="0.25">
      <c r="A10932" s="1" t="s">
        <v>509</v>
      </c>
      <c r="B10932" s="1" t="s">
        <v>1591</v>
      </c>
      <c r="C10932" s="1" t="s">
        <v>259</v>
      </c>
      <c r="D10932" s="3">
        <f t="shared" si="1710"/>
        <v>8780</v>
      </c>
      <c r="E10932" s="2">
        <f t="shared" si="1711"/>
        <v>43983</v>
      </c>
      <c r="F10932" s="2">
        <f t="shared" si="1712"/>
        <v>44196</v>
      </c>
    </row>
    <row r="10933" spans="1:6" x14ac:dyDescent="0.25">
      <c r="A10933" s="1" t="s">
        <v>509</v>
      </c>
      <c r="B10933" s="1" t="s">
        <v>1591</v>
      </c>
      <c r="C10933" s="1" t="s">
        <v>155</v>
      </c>
      <c r="D10933" s="3">
        <f t="shared" si="1710"/>
        <v>8780</v>
      </c>
      <c r="E10933" s="2">
        <f t="shared" si="1711"/>
        <v>43983</v>
      </c>
      <c r="F10933" s="2">
        <f t="shared" si="1712"/>
        <v>44196</v>
      </c>
    </row>
    <row r="10934" spans="1:6" x14ac:dyDescent="0.25">
      <c r="A10934" s="1" t="s">
        <v>509</v>
      </c>
      <c r="B10934" s="1" t="s">
        <v>1591</v>
      </c>
      <c r="C10934" s="1" t="s">
        <v>24</v>
      </c>
      <c r="D10934" s="3">
        <f t="shared" si="1710"/>
        <v>8780</v>
      </c>
      <c r="E10934" s="2">
        <f t="shared" si="1711"/>
        <v>43983</v>
      </c>
      <c r="F10934" s="2">
        <f t="shared" si="1712"/>
        <v>44196</v>
      </c>
    </row>
    <row r="10935" spans="1:6" x14ac:dyDescent="0.25">
      <c r="A10935" s="1" t="s">
        <v>509</v>
      </c>
      <c r="B10935" s="1" t="s">
        <v>1591</v>
      </c>
      <c r="C10935" s="1" t="s">
        <v>72</v>
      </c>
      <c r="D10935" s="3">
        <f t="shared" si="1710"/>
        <v>8780</v>
      </c>
      <c r="E10935" s="2">
        <f t="shared" si="1711"/>
        <v>43983</v>
      </c>
      <c r="F10935" s="2">
        <f t="shared" si="1712"/>
        <v>44196</v>
      </c>
    </row>
    <row r="10936" spans="1:6" x14ac:dyDescent="0.25">
      <c r="A10936" s="1" t="s">
        <v>509</v>
      </c>
      <c r="B10936" s="1" t="s">
        <v>1591</v>
      </c>
      <c r="C10936" s="1" t="s">
        <v>52</v>
      </c>
      <c r="D10936" s="3">
        <f t="shared" si="1710"/>
        <v>8780</v>
      </c>
      <c r="E10936" s="2">
        <f t="shared" si="1711"/>
        <v>43983</v>
      </c>
      <c r="F10936" s="2">
        <f t="shared" si="1712"/>
        <v>44196</v>
      </c>
    </row>
    <row r="10937" spans="1:6" x14ac:dyDescent="0.25">
      <c r="A10937" s="1" t="s">
        <v>509</v>
      </c>
      <c r="B10937" s="1" t="s">
        <v>1591</v>
      </c>
      <c r="C10937" s="1" t="s">
        <v>162</v>
      </c>
      <c r="D10937" s="3">
        <f t="shared" si="1710"/>
        <v>8780</v>
      </c>
      <c r="E10937" s="2">
        <f t="shared" si="1711"/>
        <v>43983</v>
      </c>
      <c r="F10937" s="2">
        <f t="shared" si="1712"/>
        <v>44196</v>
      </c>
    </row>
    <row r="10938" spans="1:6" x14ac:dyDescent="0.25">
      <c r="A10938" s="1" t="s">
        <v>509</v>
      </c>
      <c r="B10938" s="1" t="s">
        <v>1591</v>
      </c>
      <c r="C10938" s="1" t="s">
        <v>34</v>
      </c>
      <c r="D10938" s="3">
        <f t="shared" si="1710"/>
        <v>8780</v>
      </c>
      <c r="E10938" s="2">
        <f t="shared" si="1711"/>
        <v>43983</v>
      </c>
      <c r="F10938" s="2">
        <f t="shared" si="1712"/>
        <v>44196</v>
      </c>
    </row>
    <row r="10939" spans="1:6" x14ac:dyDescent="0.25">
      <c r="A10939" s="1" t="s">
        <v>509</v>
      </c>
      <c r="B10939" s="1" t="s">
        <v>1591</v>
      </c>
      <c r="C10939" s="1" t="s">
        <v>36</v>
      </c>
      <c r="D10939" s="3">
        <f t="shared" si="1710"/>
        <v>8780</v>
      </c>
      <c r="E10939" s="2">
        <f t="shared" si="1711"/>
        <v>43983</v>
      </c>
      <c r="F10939" s="2">
        <f t="shared" si="1712"/>
        <v>44196</v>
      </c>
    </row>
    <row r="10940" spans="1:6" x14ac:dyDescent="0.25">
      <c r="A10940" s="1" t="s">
        <v>509</v>
      </c>
      <c r="B10940" s="1" t="s">
        <v>1546</v>
      </c>
      <c r="C10940" s="1" t="s">
        <v>1547</v>
      </c>
      <c r="D10940" s="3">
        <f t="shared" ref="D10940:D10948" si="1713">VALUE("8738")</f>
        <v>8738</v>
      </c>
      <c r="E10940" s="2">
        <f t="shared" ref="E10940:E10948" si="1714">DATEVALUE("1-4-2020")</f>
        <v>43922</v>
      </c>
      <c r="F10940" s="2">
        <f t="shared" si="1712"/>
        <v>44196</v>
      </c>
    </row>
    <row r="10941" spans="1:6" x14ac:dyDescent="0.25">
      <c r="A10941" s="1" t="s">
        <v>509</v>
      </c>
      <c r="B10941" s="1" t="s">
        <v>1546</v>
      </c>
      <c r="C10941" s="1" t="s">
        <v>45</v>
      </c>
      <c r="D10941" s="3">
        <f t="shared" si="1713"/>
        <v>8738</v>
      </c>
      <c r="E10941" s="2">
        <f t="shared" si="1714"/>
        <v>43922</v>
      </c>
      <c r="F10941" s="2">
        <f t="shared" si="1712"/>
        <v>44196</v>
      </c>
    </row>
    <row r="10942" spans="1:6" x14ac:dyDescent="0.25">
      <c r="A10942" s="1" t="s">
        <v>509</v>
      </c>
      <c r="B10942" s="1" t="s">
        <v>1546</v>
      </c>
      <c r="C10942" s="1" t="s">
        <v>44</v>
      </c>
      <c r="D10942" s="3">
        <f t="shared" si="1713"/>
        <v>8738</v>
      </c>
      <c r="E10942" s="2">
        <f t="shared" si="1714"/>
        <v>43922</v>
      </c>
      <c r="F10942" s="2">
        <f t="shared" si="1712"/>
        <v>44196</v>
      </c>
    </row>
    <row r="10943" spans="1:6" x14ac:dyDescent="0.25">
      <c r="A10943" s="1" t="s">
        <v>509</v>
      </c>
      <c r="B10943" s="1" t="s">
        <v>1546</v>
      </c>
      <c r="C10943" s="1" t="s">
        <v>17</v>
      </c>
      <c r="D10943" s="3">
        <f t="shared" si="1713"/>
        <v>8738</v>
      </c>
      <c r="E10943" s="2">
        <f t="shared" si="1714"/>
        <v>43922</v>
      </c>
      <c r="F10943" s="2">
        <f t="shared" si="1712"/>
        <v>44196</v>
      </c>
    </row>
    <row r="10944" spans="1:6" x14ac:dyDescent="0.25">
      <c r="A10944" s="1" t="s">
        <v>509</v>
      </c>
      <c r="B10944" s="1" t="s">
        <v>1546</v>
      </c>
      <c r="C10944" s="1" t="s">
        <v>146</v>
      </c>
      <c r="D10944" s="3">
        <f t="shared" si="1713"/>
        <v>8738</v>
      </c>
      <c r="E10944" s="2">
        <f t="shared" si="1714"/>
        <v>43922</v>
      </c>
      <c r="F10944" s="2">
        <f t="shared" si="1712"/>
        <v>44196</v>
      </c>
    </row>
    <row r="10945" spans="1:6" x14ac:dyDescent="0.25">
      <c r="A10945" s="1" t="s">
        <v>509</v>
      </c>
      <c r="B10945" s="1" t="s">
        <v>1546</v>
      </c>
      <c r="C10945" s="1" t="s">
        <v>67</v>
      </c>
      <c r="D10945" s="3">
        <f t="shared" si="1713"/>
        <v>8738</v>
      </c>
      <c r="E10945" s="2">
        <f t="shared" si="1714"/>
        <v>43922</v>
      </c>
      <c r="F10945" s="2">
        <f t="shared" si="1712"/>
        <v>44196</v>
      </c>
    </row>
    <row r="10946" spans="1:6" x14ac:dyDescent="0.25">
      <c r="A10946" s="1" t="s">
        <v>509</v>
      </c>
      <c r="B10946" s="1" t="s">
        <v>1546</v>
      </c>
      <c r="C10946" s="1" t="s">
        <v>172</v>
      </c>
      <c r="D10946" s="3">
        <f t="shared" si="1713"/>
        <v>8738</v>
      </c>
      <c r="E10946" s="2">
        <f t="shared" si="1714"/>
        <v>43922</v>
      </c>
      <c r="F10946" s="2">
        <f t="shared" si="1712"/>
        <v>44196</v>
      </c>
    </row>
    <row r="10947" spans="1:6" x14ac:dyDescent="0.25">
      <c r="A10947" s="1" t="s">
        <v>509</v>
      </c>
      <c r="B10947" s="1" t="s">
        <v>1546</v>
      </c>
      <c r="C10947" s="1" t="s">
        <v>472</v>
      </c>
      <c r="D10947" s="3">
        <f t="shared" si="1713"/>
        <v>8738</v>
      </c>
      <c r="E10947" s="2">
        <f t="shared" si="1714"/>
        <v>43922</v>
      </c>
      <c r="F10947" s="2">
        <f t="shared" si="1712"/>
        <v>44196</v>
      </c>
    </row>
    <row r="10948" spans="1:6" x14ac:dyDescent="0.25">
      <c r="A10948" s="1" t="s">
        <v>509</v>
      </c>
      <c r="B10948" s="1" t="s">
        <v>1546</v>
      </c>
      <c r="C10948" s="1" t="s">
        <v>160</v>
      </c>
      <c r="D10948" s="3">
        <f t="shared" si="1713"/>
        <v>8738</v>
      </c>
      <c r="E10948" s="2">
        <f t="shared" si="1714"/>
        <v>43922</v>
      </c>
      <c r="F10948" s="2">
        <f t="shared" si="1712"/>
        <v>44196</v>
      </c>
    </row>
    <row r="10949" spans="1:6" x14ac:dyDescent="0.25">
      <c r="A10949" s="1" t="s">
        <v>509</v>
      </c>
      <c r="B10949" s="1" t="s">
        <v>2492</v>
      </c>
      <c r="C10949" s="1" t="s">
        <v>17</v>
      </c>
      <c r="D10949" s="3">
        <f t="shared" ref="D10949:D10955" si="1715">VALUE("8715")</f>
        <v>8715</v>
      </c>
      <c r="E10949" s="2">
        <f t="shared" ref="E10949:E10955" si="1716">DATEVALUE("1-2-2020")</f>
        <v>43862</v>
      </c>
      <c r="F10949" s="2">
        <f t="shared" ref="F10949:F10955" si="1717">DATEVALUE("30-6-2020")</f>
        <v>44012</v>
      </c>
    </row>
    <row r="10950" spans="1:6" x14ac:dyDescent="0.25">
      <c r="A10950" s="1" t="s">
        <v>509</v>
      </c>
      <c r="B10950" s="1" t="s">
        <v>2492</v>
      </c>
      <c r="C10950" s="1" t="s">
        <v>146</v>
      </c>
      <c r="D10950" s="3">
        <f t="shared" si="1715"/>
        <v>8715</v>
      </c>
      <c r="E10950" s="2">
        <f t="shared" si="1716"/>
        <v>43862</v>
      </c>
      <c r="F10950" s="2">
        <f t="shared" si="1717"/>
        <v>44012</v>
      </c>
    </row>
    <row r="10951" spans="1:6" x14ac:dyDescent="0.25">
      <c r="A10951" s="1" t="s">
        <v>509</v>
      </c>
      <c r="B10951" s="1" t="s">
        <v>2492</v>
      </c>
      <c r="C10951" s="1" t="s">
        <v>472</v>
      </c>
      <c r="D10951" s="3">
        <f t="shared" si="1715"/>
        <v>8715</v>
      </c>
      <c r="E10951" s="2">
        <f t="shared" si="1716"/>
        <v>43862</v>
      </c>
      <c r="F10951" s="2">
        <f t="shared" si="1717"/>
        <v>44012</v>
      </c>
    </row>
    <row r="10952" spans="1:6" x14ac:dyDescent="0.25">
      <c r="A10952" s="1" t="s">
        <v>509</v>
      </c>
      <c r="B10952" s="1" t="s">
        <v>2492</v>
      </c>
      <c r="C10952" s="1" t="s">
        <v>160</v>
      </c>
      <c r="D10952" s="3">
        <f t="shared" si="1715"/>
        <v>8715</v>
      </c>
      <c r="E10952" s="2">
        <f t="shared" si="1716"/>
        <v>43862</v>
      </c>
      <c r="F10952" s="2">
        <f t="shared" si="1717"/>
        <v>44012</v>
      </c>
    </row>
    <row r="10953" spans="1:6" x14ac:dyDescent="0.25">
      <c r="A10953" s="1" t="s">
        <v>509</v>
      </c>
      <c r="B10953" s="1" t="s">
        <v>2492</v>
      </c>
      <c r="C10953" s="1" t="s">
        <v>379</v>
      </c>
      <c r="D10953" s="3">
        <f t="shared" si="1715"/>
        <v>8715</v>
      </c>
      <c r="E10953" s="2">
        <f t="shared" si="1716"/>
        <v>43862</v>
      </c>
      <c r="F10953" s="2">
        <f t="shared" si="1717"/>
        <v>44012</v>
      </c>
    </row>
    <row r="10954" spans="1:6" x14ac:dyDescent="0.25">
      <c r="A10954" s="1" t="s">
        <v>509</v>
      </c>
      <c r="B10954" s="1" t="s">
        <v>2492</v>
      </c>
      <c r="C10954" s="1" t="s">
        <v>380</v>
      </c>
      <c r="D10954" s="3">
        <f t="shared" si="1715"/>
        <v>8715</v>
      </c>
      <c r="E10954" s="2">
        <f t="shared" si="1716"/>
        <v>43862</v>
      </c>
      <c r="F10954" s="2">
        <f t="shared" si="1717"/>
        <v>44012</v>
      </c>
    </row>
    <row r="10955" spans="1:6" x14ac:dyDescent="0.25">
      <c r="A10955" s="1" t="s">
        <v>509</v>
      </c>
      <c r="B10955" s="1" t="s">
        <v>2492</v>
      </c>
      <c r="C10955" s="1" t="s">
        <v>381</v>
      </c>
      <c r="D10955" s="3">
        <f t="shared" si="1715"/>
        <v>8715</v>
      </c>
      <c r="E10955" s="2">
        <f t="shared" si="1716"/>
        <v>43862</v>
      </c>
      <c r="F10955" s="2">
        <f t="shared" si="1717"/>
        <v>44012</v>
      </c>
    </row>
    <row r="10956" spans="1:6" x14ac:dyDescent="0.25">
      <c r="A10956" s="1" t="s">
        <v>509</v>
      </c>
      <c r="B10956" s="1" t="s">
        <v>1422</v>
      </c>
      <c r="C10956" s="1" t="s">
        <v>511</v>
      </c>
      <c r="D10956" s="3">
        <f t="shared" ref="D10956:D10970" si="1718">VALUE("8637")</f>
        <v>8637</v>
      </c>
      <c r="E10956" s="2">
        <f t="shared" ref="E10956:E10970" si="1719">DATEVALUE("1-11-2019")</f>
        <v>43770</v>
      </c>
      <c r="F10956" s="2">
        <f t="shared" ref="F10956:F10970" si="1720">DATEVALUE("31-10-2020")</f>
        <v>44135</v>
      </c>
    </row>
    <row r="10957" spans="1:6" x14ac:dyDescent="0.25">
      <c r="A10957" s="1" t="s">
        <v>509</v>
      </c>
      <c r="B10957" s="1" t="s">
        <v>1422</v>
      </c>
      <c r="C10957" s="1" t="s">
        <v>40</v>
      </c>
      <c r="D10957" s="3">
        <f t="shared" si="1718"/>
        <v>8637</v>
      </c>
      <c r="E10957" s="2">
        <f t="shared" si="1719"/>
        <v>43770</v>
      </c>
      <c r="F10957" s="2">
        <f t="shared" si="1720"/>
        <v>44135</v>
      </c>
    </row>
    <row r="10958" spans="1:6" x14ac:dyDescent="0.25">
      <c r="A10958" s="1" t="s">
        <v>509</v>
      </c>
      <c r="B10958" s="1" t="s">
        <v>1422</v>
      </c>
      <c r="C10958" s="1" t="s">
        <v>41</v>
      </c>
      <c r="D10958" s="3">
        <f t="shared" si="1718"/>
        <v>8637</v>
      </c>
      <c r="E10958" s="2">
        <f t="shared" si="1719"/>
        <v>43770</v>
      </c>
      <c r="F10958" s="2">
        <f t="shared" si="1720"/>
        <v>44135</v>
      </c>
    </row>
    <row r="10959" spans="1:6" x14ac:dyDescent="0.25">
      <c r="A10959" s="1" t="s">
        <v>509</v>
      </c>
      <c r="B10959" s="1" t="s">
        <v>1422</v>
      </c>
      <c r="C10959" s="1" t="s">
        <v>43</v>
      </c>
      <c r="D10959" s="3">
        <f t="shared" si="1718"/>
        <v>8637</v>
      </c>
      <c r="E10959" s="2">
        <f t="shared" si="1719"/>
        <v>43770</v>
      </c>
      <c r="F10959" s="2">
        <f t="shared" si="1720"/>
        <v>44135</v>
      </c>
    </row>
    <row r="10960" spans="1:6" x14ac:dyDescent="0.25">
      <c r="A10960" s="1" t="s">
        <v>509</v>
      </c>
      <c r="B10960" s="1" t="s">
        <v>1422</v>
      </c>
      <c r="C10960" s="1" t="s">
        <v>15</v>
      </c>
      <c r="D10960" s="3">
        <f t="shared" si="1718"/>
        <v>8637</v>
      </c>
      <c r="E10960" s="2">
        <f t="shared" si="1719"/>
        <v>43770</v>
      </c>
      <c r="F10960" s="2">
        <f t="shared" si="1720"/>
        <v>44135</v>
      </c>
    </row>
    <row r="10961" spans="1:6" x14ac:dyDescent="0.25">
      <c r="A10961" s="1" t="s">
        <v>509</v>
      </c>
      <c r="B10961" s="1" t="s">
        <v>1422</v>
      </c>
      <c r="C10961" s="1" t="s">
        <v>17</v>
      </c>
      <c r="D10961" s="3">
        <f t="shared" si="1718"/>
        <v>8637</v>
      </c>
      <c r="E10961" s="2">
        <f t="shared" si="1719"/>
        <v>43770</v>
      </c>
      <c r="F10961" s="2">
        <f t="shared" si="1720"/>
        <v>44135</v>
      </c>
    </row>
    <row r="10962" spans="1:6" x14ac:dyDescent="0.25">
      <c r="A10962" s="1" t="s">
        <v>509</v>
      </c>
      <c r="B10962" s="1" t="s">
        <v>1422</v>
      </c>
      <c r="C10962" s="1" t="s">
        <v>197</v>
      </c>
      <c r="D10962" s="3">
        <f t="shared" si="1718"/>
        <v>8637</v>
      </c>
      <c r="E10962" s="2">
        <f t="shared" si="1719"/>
        <v>43770</v>
      </c>
      <c r="F10962" s="2">
        <f t="shared" si="1720"/>
        <v>44135</v>
      </c>
    </row>
    <row r="10963" spans="1:6" x14ac:dyDescent="0.25">
      <c r="A10963" s="1" t="s">
        <v>509</v>
      </c>
      <c r="B10963" s="1" t="s">
        <v>1422</v>
      </c>
      <c r="C10963" s="1" t="s">
        <v>146</v>
      </c>
      <c r="D10963" s="3">
        <f t="shared" si="1718"/>
        <v>8637</v>
      </c>
      <c r="E10963" s="2">
        <f t="shared" si="1719"/>
        <v>43770</v>
      </c>
      <c r="F10963" s="2">
        <f t="shared" si="1720"/>
        <v>44135</v>
      </c>
    </row>
    <row r="10964" spans="1:6" x14ac:dyDescent="0.25">
      <c r="A10964" s="1" t="s">
        <v>509</v>
      </c>
      <c r="B10964" s="1" t="s">
        <v>1422</v>
      </c>
      <c r="C10964" s="1" t="s">
        <v>67</v>
      </c>
      <c r="D10964" s="3">
        <f t="shared" si="1718"/>
        <v>8637</v>
      </c>
      <c r="E10964" s="2">
        <f t="shared" si="1719"/>
        <v>43770</v>
      </c>
      <c r="F10964" s="2">
        <f t="shared" si="1720"/>
        <v>44135</v>
      </c>
    </row>
    <row r="10965" spans="1:6" x14ac:dyDescent="0.25">
      <c r="A10965" s="1" t="s">
        <v>509</v>
      </c>
      <c r="B10965" s="1" t="s">
        <v>1422</v>
      </c>
      <c r="C10965" s="1" t="s">
        <v>386</v>
      </c>
      <c r="D10965" s="3">
        <f t="shared" si="1718"/>
        <v>8637</v>
      </c>
      <c r="E10965" s="2">
        <f t="shared" si="1719"/>
        <v>43770</v>
      </c>
      <c r="F10965" s="2">
        <f t="shared" si="1720"/>
        <v>44135</v>
      </c>
    </row>
    <row r="10966" spans="1:6" x14ac:dyDescent="0.25">
      <c r="A10966" s="1" t="s">
        <v>509</v>
      </c>
      <c r="B10966" s="1" t="s">
        <v>1422</v>
      </c>
      <c r="C10966" s="1" t="s">
        <v>387</v>
      </c>
      <c r="D10966" s="3">
        <f t="shared" si="1718"/>
        <v>8637</v>
      </c>
      <c r="E10966" s="2">
        <f t="shared" si="1719"/>
        <v>43770</v>
      </c>
      <c r="F10966" s="2">
        <f t="shared" si="1720"/>
        <v>44135</v>
      </c>
    </row>
    <row r="10967" spans="1:6" x14ac:dyDescent="0.25">
      <c r="A10967" s="1" t="s">
        <v>509</v>
      </c>
      <c r="B10967" s="1" t="s">
        <v>1422</v>
      </c>
      <c r="C10967" s="1" t="s">
        <v>388</v>
      </c>
      <c r="D10967" s="3">
        <f t="shared" si="1718"/>
        <v>8637</v>
      </c>
      <c r="E10967" s="2">
        <f t="shared" si="1719"/>
        <v>43770</v>
      </c>
      <c r="F10967" s="2">
        <f t="shared" si="1720"/>
        <v>44135</v>
      </c>
    </row>
    <row r="10968" spans="1:6" x14ac:dyDescent="0.25">
      <c r="A10968" s="1" t="s">
        <v>509</v>
      </c>
      <c r="B10968" s="1" t="s">
        <v>1422</v>
      </c>
      <c r="C10968" s="1" t="s">
        <v>459</v>
      </c>
      <c r="D10968" s="3">
        <f t="shared" si="1718"/>
        <v>8637</v>
      </c>
      <c r="E10968" s="2">
        <f t="shared" si="1719"/>
        <v>43770</v>
      </c>
      <c r="F10968" s="2">
        <f t="shared" si="1720"/>
        <v>44135</v>
      </c>
    </row>
    <row r="10969" spans="1:6" x14ac:dyDescent="0.25">
      <c r="A10969" s="1" t="s">
        <v>509</v>
      </c>
      <c r="B10969" s="1" t="s">
        <v>1422</v>
      </c>
      <c r="C10969" s="1" t="s">
        <v>131</v>
      </c>
      <c r="D10969" s="3">
        <f t="shared" si="1718"/>
        <v>8637</v>
      </c>
      <c r="E10969" s="2">
        <f t="shared" si="1719"/>
        <v>43770</v>
      </c>
      <c r="F10969" s="2">
        <f t="shared" si="1720"/>
        <v>44135</v>
      </c>
    </row>
    <row r="10970" spans="1:6" x14ac:dyDescent="0.25">
      <c r="A10970" s="1" t="s">
        <v>509</v>
      </c>
      <c r="B10970" s="1" t="s">
        <v>1422</v>
      </c>
      <c r="C10970" s="1" t="s">
        <v>519</v>
      </c>
      <c r="D10970" s="3">
        <f t="shared" si="1718"/>
        <v>8637</v>
      </c>
      <c r="E10970" s="2">
        <f t="shared" si="1719"/>
        <v>43770</v>
      </c>
      <c r="F10970" s="2">
        <f t="shared" si="1720"/>
        <v>44135</v>
      </c>
    </row>
    <row r="10971" spans="1:6" x14ac:dyDescent="0.25">
      <c r="A10971" s="1" t="s">
        <v>509</v>
      </c>
      <c r="B10971" s="1" t="s">
        <v>1403</v>
      </c>
      <c r="C10971" s="1" t="s">
        <v>65</v>
      </c>
      <c r="D10971" s="3">
        <f t="shared" ref="D10971:D10983" si="1721">VALUE("8624")</f>
        <v>8624</v>
      </c>
      <c r="E10971" s="2">
        <f t="shared" ref="E10971:E10983" si="1722">DATEVALUE("1-10-2019")</f>
        <v>43739</v>
      </c>
      <c r="F10971" s="2">
        <f t="shared" ref="F10971:F10983" si="1723">DATEVALUE("31-12-2020")</f>
        <v>44196</v>
      </c>
    </row>
    <row r="10972" spans="1:6" x14ac:dyDescent="0.25">
      <c r="A10972" s="1" t="s">
        <v>509</v>
      </c>
      <c r="B10972" s="1" t="s">
        <v>1403</v>
      </c>
      <c r="C10972" s="1" t="s">
        <v>88</v>
      </c>
      <c r="D10972" s="3">
        <f t="shared" si="1721"/>
        <v>8624</v>
      </c>
      <c r="E10972" s="2">
        <f t="shared" si="1722"/>
        <v>43739</v>
      </c>
      <c r="F10972" s="2">
        <f t="shared" si="1723"/>
        <v>44196</v>
      </c>
    </row>
    <row r="10973" spans="1:6" x14ac:dyDescent="0.25">
      <c r="A10973" s="1" t="s">
        <v>509</v>
      </c>
      <c r="B10973" s="1" t="s">
        <v>1403</v>
      </c>
      <c r="C10973" s="1" t="s">
        <v>17</v>
      </c>
      <c r="D10973" s="3">
        <f t="shared" si="1721"/>
        <v>8624</v>
      </c>
      <c r="E10973" s="2">
        <f t="shared" si="1722"/>
        <v>43739</v>
      </c>
      <c r="F10973" s="2">
        <f t="shared" si="1723"/>
        <v>44196</v>
      </c>
    </row>
    <row r="10974" spans="1:6" x14ac:dyDescent="0.25">
      <c r="A10974" s="1" t="s">
        <v>509</v>
      </c>
      <c r="B10974" s="1" t="s">
        <v>1403</v>
      </c>
      <c r="C10974" s="1" t="s">
        <v>22</v>
      </c>
      <c r="D10974" s="3">
        <f t="shared" si="1721"/>
        <v>8624</v>
      </c>
      <c r="E10974" s="2">
        <f t="shared" si="1722"/>
        <v>43739</v>
      </c>
      <c r="F10974" s="2">
        <f t="shared" si="1723"/>
        <v>44196</v>
      </c>
    </row>
    <row r="10975" spans="1:6" x14ac:dyDescent="0.25">
      <c r="A10975" s="1" t="s">
        <v>509</v>
      </c>
      <c r="B10975" s="1" t="s">
        <v>1403</v>
      </c>
      <c r="C10975" s="1" t="s">
        <v>146</v>
      </c>
      <c r="D10975" s="3">
        <f t="shared" si="1721"/>
        <v>8624</v>
      </c>
      <c r="E10975" s="2">
        <f t="shared" si="1722"/>
        <v>43739</v>
      </c>
      <c r="F10975" s="2">
        <f t="shared" si="1723"/>
        <v>44196</v>
      </c>
    </row>
    <row r="10976" spans="1:6" x14ac:dyDescent="0.25">
      <c r="A10976" s="1" t="s">
        <v>509</v>
      </c>
      <c r="B10976" s="1" t="s">
        <v>1403</v>
      </c>
      <c r="C10976" s="1" t="s">
        <v>148</v>
      </c>
      <c r="D10976" s="3">
        <f t="shared" si="1721"/>
        <v>8624</v>
      </c>
      <c r="E10976" s="2">
        <f t="shared" si="1722"/>
        <v>43739</v>
      </c>
      <c r="F10976" s="2">
        <f t="shared" si="1723"/>
        <v>44196</v>
      </c>
    </row>
    <row r="10977" spans="1:6" x14ac:dyDescent="0.25">
      <c r="A10977" s="1" t="s">
        <v>509</v>
      </c>
      <c r="B10977" s="1" t="s">
        <v>1403</v>
      </c>
      <c r="C10977" s="1" t="s">
        <v>92</v>
      </c>
      <c r="D10977" s="3">
        <f t="shared" si="1721"/>
        <v>8624</v>
      </c>
      <c r="E10977" s="2">
        <f t="shared" si="1722"/>
        <v>43739</v>
      </c>
      <c r="F10977" s="2">
        <f t="shared" si="1723"/>
        <v>44196</v>
      </c>
    </row>
    <row r="10978" spans="1:6" x14ac:dyDescent="0.25">
      <c r="A10978" s="1" t="s">
        <v>509</v>
      </c>
      <c r="B10978" s="1" t="s">
        <v>1403</v>
      </c>
      <c r="C10978" s="1" t="s">
        <v>1094</v>
      </c>
      <c r="D10978" s="3">
        <f t="shared" si="1721"/>
        <v>8624</v>
      </c>
      <c r="E10978" s="2">
        <f t="shared" si="1722"/>
        <v>43739</v>
      </c>
      <c r="F10978" s="2">
        <f t="shared" si="1723"/>
        <v>44196</v>
      </c>
    </row>
    <row r="10979" spans="1:6" x14ac:dyDescent="0.25">
      <c r="A10979" s="1" t="s">
        <v>509</v>
      </c>
      <c r="B10979" s="1" t="s">
        <v>1403</v>
      </c>
      <c r="C10979" s="1" t="s">
        <v>1095</v>
      </c>
      <c r="D10979" s="3">
        <f t="shared" si="1721"/>
        <v>8624</v>
      </c>
      <c r="E10979" s="2">
        <f t="shared" si="1722"/>
        <v>43739</v>
      </c>
      <c r="F10979" s="2">
        <f t="shared" si="1723"/>
        <v>44196</v>
      </c>
    </row>
    <row r="10980" spans="1:6" x14ac:dyDescent="0.25">
      <c r="A10980" s="1" t="s">
        <v>509</v>
      </c>
      <c r="B10980" s="1" t="s">
        <v>1403</v>
      </c>
      <c r="C10980" s="1" t="s">
        <v>474</v>
      </c>
      <c r="D10980" s="3">
        <f t="shared" si="1721"/>
        <v>8624</v>
      </c>
      <c r="E10980" s="2">
        <f t="shared" si="1722"/>
        <v>43739</v>
      </c>
      <c r="F10980" s="2">
        <f t="shared" si="1723"/>
        <v>44196</v>
      </c>
    </row>
    <row r="10981" spans="1:6" x14ac:dyDescent="0.25">
      <c r="A10981" s="1" t="s">
        <v>509</v>
      </c>
      <c r="B10981" s="1" t="s">
        <v>1403</v>
      </c>
      <c r="C10981" s="1" t="s">
        <v>50</v>
      </c>
      <c r="D10981" s="3">
        <f t="shared" si="1721"/>
        <v>8624</v>
      </c>
      <c r="E10981" s="2">
        <f t="shared" si="1722"/>
        <v>43739</v>
      </c>
      <c r="F10981" s="2">
        <f t="shared" si="1723"/>
        <v>44196</v>
      </c>
    </row>
    <row r="10982" spans="1:6" x14ac:dyDescent="0.25">
      <c r="A10982" s="1" t="s">
        <v>509</v>
      </c>
      <c r="B10982" s="1" t="s">
        <v>1403</v>
      </c>
      <c r="C10982" s="1" t="s">
        <v>70</v>
      </c>
      <c r="D10982" s="3">
        <f t="shared" si="1721"/>
        <v>8624</v>
      </c>
      <c r="E10982" s="2">
        <f t="shared" si="1722"/>
        <v>43739</v>
      </c>
      <c r="F10982" s="2">
        <f t="shared" si="1723"/>
        <v>44196</v>
      </c>
    </row>
    <row r="10983" spans="1:6" x14ac:dyDescent="0.25">
      <c r="A10983" s="1" t="s">
        <v>509</v>
      </c>
      <c r="B10983" s="1" t="s">
        <v>1403</v>
      </c>
      <c r="C10983" s="1" t="s">
        <v>160</v>
      </c>
      <c r="D10983" s="3">
        <f t="shared" si="1721"/>
        <v>8624</v>
      </c>
      <c r="E10983" s="2">
        <f t="shared" si="1722"/>
        <v>43739</v>
      </c>
      <c r="F10983" s="2">
        <f t="shared" si="1723"/>
        <v>44196</v>
      </c>
    </row>
    <row r="10984" spans="1:6" x14ac:dyDescent="0.25">
      <c r="A10984" s="1" t="s">
        <v>509</v>
      </c>
      <c r="B10984" s="1" t="s">
        <v>2463</v>
      </c>
      <c r="C10984" s="1" t="s">
        <v>45</v>
      </c>
      <c r="D10984" s="3">
        <f t="shared" ref="D10984:D10994" si="1724">VALUE("8561")</f>
        <v>8561</v>
      </c>
      <c r="E10984" s="2">
        <f t="shared" ref="E10984:E10994" si="1725">DATEVALUE("1-8-2019")</f>
        <v>43678</v>
      </c>
      <c r="F10984" s="2">
        <f t="shared" ref="F10984:F10994" si="1726">DATEVALUE("31-12-2019")</f>
        <v>43830</v>
      </c>
    </row>
    <row r="10985" spans="1:6" x14ac:dyDescent="0.25">
      <c r="A10985" s="1" t="s">
        <v>509</v>
      </c>
      <c r="B10985" s="1" t="s">
        <v>2463</v>
      </c>
      <c r="C10985" s="1" t="s">
        <v>141</v>
      </c>
      <c r="D10985" s="3">
        <f t="shared" si="1724"/>
        <v>8561</v>
      </c>
      <c r="E10985" s="2">
        <f t="shared" si="1725"/>
        <v>43678</v>
      </c>
      <c r="F10985" s="2">
        <f t="shared" si="1726"/>
        <v>43830</v>
      </c>
    </row>
    <row r="10986" spans="1:6" x14ac:dyDescent="0.25">
      <c r="A10986" s="1" t="s">
        <v>509</v>
      </c>
      <c r="B10986" s="1" t="s">
        <v>2463</v>
      </c>
      <c r="C10986" s="1" t="s">
        <v>14</v>
      </c>
      <c r="D10986" s="3">
        <f t="shared" si="1724"/>
        <v>8561</v>
      </c>
      <c r="E10986" s="2">
        <f t="shared" si="1725"/>
        <v>43678</v>
      </c>
      <c r="F10986" s="2">
        <f t="shared" si="1726"/>
        <v>43830</v>
      </c>
    </row>
    <row r="10987" spans="1:6" x14ac:dyDescent="0.25">
      <c r="A10987" s="1" t="s">
        <v>509</v>
      </c>
      <c r="B10987" s="1" t="s">
        <v>2463</v>
      </c>
      <c r="C10987" s="1" t="s">
        <v>15</v>
      </c>
      <c r="D10987" s="3">
        <f t="shared" si="1724"/>
        <v>8561</v>
      </c>
      <c r="E10987" s="2">
        <f t="shared" si="1725"/>
        <v>43678</v>
      </c>
      <c r="F10987" s="2">
        <f t="shared" si="1726"/>
        <v>43830</v>
      </c>
    </row>
    <row r="10988" spans="1:6" x14ac:dyDescent="0.25">
      <c r="A10988" s="1" t="s">
        <v>509</v>
      </c>
      <c r="B10988" s="1" t="s">
        <v>2463</v>
      </c>
      <c r="C10988" s="1" t="s">
        <v>16</v>
      </c>
      <c r="D10988" s="3">
        <f t="shared" si="1724"/>
        <v>8561</v>
      </c>
      <c r="E10988" s="2">
        <f t="shared" si="1725"/>
        <v>43678</v>
      </c>
      <c r="F10988" s="2">
        <f t="shared" si="1726"/>
        <v>43830</v>
      </c>
    </row>
    <row r="10989" spans="1:6" x14ac:dyDescent="0.25">
      <c r="A10989" s="1" t="s">
        <v>509</v>
      </c>
      <c r="B10989" s="1" t="s">
        <v>2463</v>
      </c>
      <c r="C10989" s="1" t="s">
        <v>17</v>
      </c>
      <c r="D10989" s="3">
        <f t="shared" si="1724"/>
        <v>8561</v>
      </c>
      <c r="E10989" s="2">
        <f t="shared" si="1725"/>
        <v>43678</v>
      </c>
      <c r="F10989" s="2">
        <f t="shared" si="1726"/>
        <v>43830</v>
      </c>
    </row>
    <row r="10990" spans="1:6" x14ac:dyDescent="0.25">
      <c r="A10990" s="1" t="s">
        <v>509</v>
      </c>
      <c r="B10990" s="1" t="s">
        <v>2463</v>
      </c>
      <c r="C10990" s="1" t="s">
        <v>167</v>
      </c>
      <c r="D10990" s="3">
        <f t="shared" si="1724"/>
        <v>8561</v>
      </c>
      <c r="E10990" s="2">
        <f t="shared" si="1725"/>
        <v>43678</v>
      </c>
      <c r="F10990" s="2">
        <f t="shared" si="1726"/>
        <v>43830</v>
      </c>
    </row>
    <row r="10991" spans="1:6" x14ac:dyDescent="0.25">
      <c r="A10991" s="1" t="s">
        <v>509</v>
      </c>
      <c r="B10991" s="1" t="s">
        <v>2463</v>
      </c>
      <c r="C10991" s="1" t="s">
        <v>146</v>
      </c>
      <c r="D10991" s="3">
        <f t="shared" si="1724"/>
        <v>8561</v>
      </c>
      <c r="E10991" s="2">
        <f t="shared" si="1725"/>
        <v>43678</v>
      </c>
      <c r="F10991" s="2">
        <f t="shared" si="1726"/>
        <v>43830</v>
      </c>
    </row>
    <row r="10992" spans="1:6" x14ac:dyDescent="0.25">
      <c r="A10992" s="1" t="s">
        <v>509</v>
      </c>
      <c r="B10992" s="1" t="s">
        <v>2463</v>
      </c>
      <c r="C10992" s="1" t="s">
        <v>67</v>
      </c>
      <c r="D10992" s="3">
        <f t="shared" si="1724"/>
        <v>8561</v>
      </c>
      <c r="E10992" s="2">
        <f t="shared" si="1725"/>
        <v>43678</v>
      </c>
      <c r="F10992" s="2">
        <f t="shared" si="1726"/>
        <v>43830</v>
      </c>
    </row>
    <row r="10993" spans="1:6" x14ac:dyDescent="0.25">
      <c r="A10993" s="1" t="s">
        <v>509</v>
      </c>
      <c r="B10993" s="1" t="s">
        <v>2463</v>
      </c>
      <c r="C10993" s="1" t="s">
        <v>24</v>
      </c>
      <c r="D10993" s="3">
        <f t="shared" si="1724"/>
        <v>8561</v>
      </c>
      <c r="E10993" s="2">
        <f t="shared" si="1725"/>
        <v>43678</v>
      </c>
      <c r="F10993" s="2">
        <f t="shared" si="1726"/>
        <v>43830</v>
      </c>
    </row>
    <row r="10994" spans="1:6" x14ac:dyDescent="0.25">
      <c r="A10994" s="1" t="s">
        <v>509</v>
      </c>
      <c r="B10994" s="1" t="s">
        <v>2463</v>
      </c>
      <c r="C10994" s="1" t="s">
        <v>34</v>
      </c>
      <c r="D10994" s="3">
        <f t="shared" si="1724"/>
        <v>8561</v>
      </c>
      <c r="E10994" s="2">
        <f t="shared" si="1725"/>
        <v>43678</v>
      </c>
      <c r="F10994" s="2">
        <f t="shared" si="1726"/>
        <v>43830</v>
      </c>
    </row>
    <row r="10995" spans="1:6" x14ac:dyDescent="0.25">
      <c r="A10995" s="1" t="s">
        <v>509</v>
      </c>
      <c r="B10995" s="1" t="s">
        <v>1808</v>
      </c>
      <c r="C10995" s="1" t="s">
        <v>289</v>
      </c>
      <c r="D10995" s="3">
        <f t="shared" ref="D10995:D11004" si="1727">VALUE("8531")</f>
        <v>8531</v>
      </c>
      <c r="E10995" s="2">
        <f t="shared" ref="E10995:E11004" si="1728">DATEVALUE("1-6-2019")</f>
        <v>43617</v>
      </c>
      <c r="F10995" s="2">
        <f t="shared" ref="F10995:F11004" si="1729">DATEVALUE("31-8-2020")</f>
        <v>44074</v>
      </c>
    </row>
    <row r="10996" spans="1:6" x14ac:dyDescent="0.25">
      <c r="A10996" s="1" t="s">
        <v>509</v>
      </c>
      <c r="B10996" s="1" t="s">
        <v>1808</v>
      </c>
      <c r="C10996" s="1" t="s">
        <v>17</v>
      </c>
      <c r="D10996" s="3">
        <f t="shared" si="1727"/>
        <v>8531</v>
      </c>
      <c r="E10996" s="2">
        <f t="shared" si="1728"/>
        <v>43617</v>
      </c>
      <c r="F10996" s="2">
        <f t="shared" si="1729"/>
        <v>44074</v>
      </c>
    </row>
    <row r="10997" spans="1:6" x14ac:dyDescent="0.25">
      <c r="A10997" s="1" t="s">
        <v>509</v>
      </c>
      <c r="B10997" s="1" t="s">
        <v>1808</v>
      </c>
      <c r="C10997" s="1" t="s">
        <v>22</v>
      </c>
      <c r="D10997" s="3">
        <f t="shared" si="1727"/>
        <v>8531</v>
      </c>
      <c r="E10997" s="2">
        <f t="shared" si="1728"/>
        <v>43617</v>
      </c>
      <c r="F10997" s="2">
        <f t="shared" si="1729"/>
        <v>44074</v>
      </c>
    </row>
    <row r="10998" spans="1:6" x14ac:dyDescent="0.25">
      <c r="A10998" s="1" t="s">
        <v>509</v>
      </c>
      <c r="B10998" s="1" t="s">
        <v>1808</v>
      </c>
      <c r="C10998" s="1" t="s">
        <v>146</v>
      </c>
      <c r="D10998" s="3">
        <f t="shared" si="1727"/>
        <v>8531</v>
      </c>
      <c r="E10998" s="2">
        <f t="shared" si="1728"/>
        <v>43617</v>
      </c>
      <c r="F10998" s="2">
        <f t="shared" si="1729"/>
        <v>44074</v>
      </c>
    </row>
    <row r="10999" spans="1:6" x14ac:dyDescent="0.25">
      <c r="A10999" s="1" t="s">
        <v>509</v>
      </c>
      <c r="B10999" s="1" t="s">
        <v>1808</v>
      </c>
      <c r="C10999" s="1" t="s">
        <v>92</v>
      </c>
      <c r="D10999" s="3">
        <f t="shared" si="1727"/>
        <v>8531</v>
      </c>
      <c r="E10999" s="2">
        <f t="shared" si="1728"/>
        <v>43617</v>
      </c>
      <c r="F10999" s="2">
        <f t="shared" si="1729"/>
        <v>44074</v>
      </c>
    </row>
    <row r="11000" spans="1:6" x14ac:dyDescent="0.25">
      <c r="A11000" s="1" t="s">
        <v>509</v>
      </c>
      <c r="B11000" s="1" t="s">
        <v>1808</v>
      </c>
      <c r="C11000" s="1" t="s">
        <v>24</v>
      </c>
      <c r="D11000" s="3">
        <f t="shared" si="1727"/>
        <v>8531</v>
      </c>
      <c r="E11000" s="2">
        <f t="shared" si="1728"/>
        <v>43617</v>
      </c>
      <c r="F11000" s="2">
        <f t="shared" si="1729"/>
        <v>44074</v>
      </c>
    </row>
    <row r="11001" spans="1:6" x14ac:dyDescent="0.25">
      <c r="A11001" s="1" t="s">
        <v>509</v>
      </c>
      <c r="B11001" s="1" t="s">
        <v>1808</v>
      </c>
      <c r="C11001" s="1" t="s">
        <v>50</v>
      </c>
      <c r="D11001" s="3">
        <f t="shared" si="1727"/>
        <v>8531</v>
      </c>
      <c r="E11001" s="2">
        <f t="shared" si="1728"/>
        <v>43617</v>
      </c>
      <c r="F11001" s="2">
        <f t="shared" si="1729"/>
        <v>44074</v>
      </c>
    </row>
    <row r="11002" spans="1:6" x14ac:dyDescent="0.25">
      <c r="A11002" s="1" t="s">
        <v>509</v>
      </c>
      <c r="B11002" s="1" t="s">
        <v>1808</v>
      </c>
      <c r="C11002" s="1" t="s">
        <v>70</v>
      </c>
      <c r="D11002" s="3">
        <f t="shared" si="1727"/>
        <v>8531</v>
      </c>
      <c r="E11002" s="2">
        <f t="shared" si="1728"/>
        <v>43617</v>
      </c>
      <c r="F11002" s="2">
        <f t="shared" si="1729"/>
        <v>44074</v>
      </c>
    </row>
    <row r="11003" spans="1:6" x14ac:dyDescent="0.25">
      <c r="A11003" s="1" t="s">
        <v>509</v>
      </c>
      <c r="B11003" s="1" t="s">
        <v>1808</v>
      </c>
      <c r="C11003" s="1" t="s">
        <v>160</v>
      </c>
      <c r="D11003" s="3">
        <f t="shared" si="1727"/>
        <v>8531</v>
      </c>
      <c r="E11003" s="2">
        <f t="shared" si="1728"/>
        <v>43617</v>
      </c>
      <c r="F11003" s="2">
        <f t="shared" si="1729"/>
        <v>44074</v>
      </c>
    </row>
    <row r="11004" spans="1:6" x14ac:dyDescent="0.25">
      <c r="A11004" s="1" t="s">
        <v>509</v>
      </c>
      <c r="B11004" s="1" t="s">
        <v>1808</v>
      </c>
      <c r="C11004" s="1" t="s">
        <v>34</v>
      </c>
      <c r="D11004" s="3">
        <f t="shared" si="1727"/>
        <v>8531</v>
      </c>
      <c r="E11004" s="2">
        <f t="shared" si="1728"/>
        <v>43617</v>
      </c>
      <c r="F11004" s="2">
        <f t="shared" si="1729"/>
        <v>44074</v>
      </c>
    </row>
    <row r="11005" spans="1:6" x14ac:dyDescent="0.25">
      <c r="A11005" s="1" t="s">
        <v>509</v>
      </c>
      <c r="B11005" s="1" t="s">
        <v>1157</v>
      </c>
      <c r="C11005" s="1" t="s">
        <v>1162</v>
      </c>
      <c r="D11005" s="3">
        <f>VALUE("8435")</f>
        <v>8435</v>
      </c>
      <c r="E11005" s="2">
        <f>DATEVALUE("1-2-2019")</f>
        <v>43497</v>
      </c>
      <c r="F11005" s="2">
        <f>DATEVALUE("31-1-2021")</f>
        <v>44227</v>
      </c>
    </row>
    <row r="11006" spans="1:6" x14ac:dyDescent="0.25">
      <c r="A11006" s="1" t="s">
        <v>509</v>
      </c>
      <c r="B11006" s="1" t="s">
        <v>1157</v>
      </c>
      <c r="C11006" s="1" t="s">
        <v>1158</v>
      </c>
      <c r="D11006" s="3">
        <f>VALUE("8435")</f>
        <v>8435</v>
      </c>
      <c r="E11006" s="2">
        <f>DATEVALUE("1-2-2019")</f>
        <v>43497</v>
      </c>
      <c r="F11006" s="2">
        <f>DATEVALUE("31-1-2021")</f>
        <v>44227</v>
      </c>
    </row>
    <row r="11007" spans="1:6" x14ac:dyDescent="0.25">
      <c r="A11007" s="1" t="s">
        <v>509</v>
      </c>
      <c r="B11007" s="1" t="s">
        <v>1157</v>
      </c>
      <c r="C11007" s="1" t="s">
        <v>1159</v>
      </c>
      <c r="D11007" s="3">
        <f>VALUE("8435")</f>
        <v>8435</v>
      </c>
      <c r="E11007" s="2">
        <f>DATEVALUE("1-2-2019")</f>
        <v>43497</v>
      </c>
      <c r="F11007" s="2">
        <f>DATEVALUE("31-1-2021")</f>
        <v>44227</v>
      </c>
    </row>
    <row r="11008" spans="1:6" x14ac:dyDescent="0.25">
      <c r="A11008" s="1" t="s">
        <v>509</v>
      </c>
      <c r="B11008" s="1" t="s">
        <v>1157</v>
      </c>
      <c r="C11008" s="1" t="s">
        <v>1160</v>
      </c>
      <c r="D11008" s="3">
        <f>VALUE("8435")</f>
        <v>8435</v>
      </c>
      <c r="E11008" s="2">
        <f>DATEVALUE("1-2-2019")</f>
        <v>43497</v>
      </c>
      <c r="F11008" s="2">
        <f>DATEVALUE("31-1-2021")</f>
        <v>44227</v>
      </c>
    </row>
    <row r="11009" spans="1:6" x14ac:dyDescent="0.25">
      <c r="A11009" s="1" t="s">
        <v>509</v>
      </c>
      <c r="B11009" s="1" t="s">
        <v>1157</v>
      </c>
      <c r="C11009" s="1" t="s">
        <v>1161</v>
      </c>
      <c r="D11009" s="3">
        <f>VALUE("8435")</f>
        <v>8435</v>
      </c>
      <c r="E11009" s="2">
        <f>DATEVALUE("1-2-2019")</f>
        <v>43497</v>
      </c>
      <c r="F11009" s="2">
        <f>DATEVALUE("31-1-2021")</f>
        <v>44227</v>
      </c>
    </row>
    <row r="11010" spans="1:6" x14ac:dyDescent="0.25">
      <c r="A11010" s="1" t="s">
        <v>509</v>
      </c>
      <c r="B11010" s="1" t="s">
        <v>2400</v>
      </c>
      <c r="C11010" s="1" t="s">
        <v>652</v>
      </c>
      <c r="D11010" s="3">
        <f>VALUE("8389")</f>
        <v>8389</v>
      </c>
      <c r="E11010" s="2">
        <f>DATEVALUE("1-11-2018")</f>
        <v>43405</v>
      </c>
      <c r="F11010" s="2">
        <f>DATEVALUE("30-4-2019")</f>
        <v>43585</v>
      </c>
    </row>
    <row r="11011" spans="1:6" x14ac:dyDescent="0.25">
      <c r="A11011" s="1" t="s">
        <v>509</v>
      </c>
      <c r="B11011" s="1" t="s">
        <v>1093</v>
      </c>
      <c r="C11011" s="1" t="s">
        <v>62</v>
      </c>
      <c r="D11011" s="3">
        <f t="shared" ref="D11011:D11025" si="1730">VALUE("8371")</f>
        <v>8371</v>
      </c>
      <c r="E11011" s="2">
        <f t="shared" ref="E11011:E11025" si="1731">DATEVALUE("1-10-2018")</f>
        <v>43374</v>
      </c>
      <c r="F11011" s="2">
        <f t="shared" ref="F11011:F11025" si="1732">DATEVALUE("31-1-2021")</f>
        <v>44227</v>
      </c>
    </row>
    <row r="11012" spans="1:6" x14ac:dyDescent="0.25">
      <c r="A11012" s="1" t="s">
        <v>509</v>
      </c>
      <c r="B11012" s="1" t="s">
        <v>1093</v>
      </c>
      <c r="C11012" s="1" t="s">
        <v>65</v>
      </c>
      <c r="D11012" s="3">
        <f t="shared" si="1730"/>
        <v>8371</v>
      </c>
      <c r="E11012" s="2">
        <f t="shared" si="1731"/>
        <v>43374</v>
      </c>
      <c r="F11012" s="2">
        <f t="shared" si="1732"/>
        <v>44227</v>
      </c>
    </row>
    <row r="11013" spans="1:6" x14ac:dyDescent="0.25">
      <c r="A11013" s="1" t="s">
        <v>509</v>
      </c>
      <c r="B11013" s="1" t="s">
        <v>1093</v>
      </c>
      <c r="C11013" s="1" t="s">
        <v>416</v>
      </c>
      <c r="D11013" s="3">
        <f t="shared" si="1730"/>
        <v>8371</v>
      </c>
      <c r="E11013" s="2">
        <f t="shared" si="1731"/>
        <v>43374</v>
      </c>
      <c r="F11013" s="2">
        <f t="shared" si="1732"/>
        <v>44227</v>
      </c>
    </row>
    <row r="11014" spans="1:6" x14ac:dyDescent="0.25">
      <c r="A11014" s="1" t="s">
        <v>509</v>
      </c>
      <c r="B11014" s="1" t="s">
        <v>1093</v>
      </c>
      <c r="C11014" s="1" t="s">
        <v>88</v>
      </c>
      <c r="D11014" s="3">
        <f t="shared" si="1730"/>
        <v>8371</v>
      </c>
      <c r="E11014" s="2">
        <f t="shared" si="1731"/>
        <v>43374</v>
      </c>
      <c r="F11014" s="2">
        <f t="shared" si="1732"/>
        <v>44227</v>
      </c>
    </row>
    <row r="11015" spans="1:6" x14ac:dyDescent="0.25">
      <c r="A11015" s="1" t="s">
        <v>509</v>
      </c>
      <c r="B11015" s="1" t="s">
        <v>1093</v>
      </c>
      <c r="C11015" s="1" t="s">
        <v>17</v>
      </c>
      <c r="D11015" s="3">
        <f t="shared" si="1730"/>
        <v>8371</v>
      </c>
      <c r="E11015" s="2">
        <f t="shared" si="1731"/>
        <v>43374</v>
      </c>
      <c r="F11015" s="2">
        <f t="shared" si="1732"/>
        <v>44227</v>
      </c>
    </row>
    <row r="11016" spans="1:6" x14ac:dyDescent="0.25">
      <c r="A11016" s="1" t="s">
        <v>509</v>
      </c>
      <c r="B11016" s="1" t="s">
        <v>1093</v>
      </c>
      <c r="C11016" s="1" t="s">
        <v>22</v>
      </c>
      <c r="D11016" s="3">
        <f t="shared" si="1730"/>
        <v>8371</v>
      </c>
      <c r="E11016" s="2">
        <f t="shared" si="1731"/>
        <v>43374</v>
      </c>
      <c r="F11016" s="2">
        <f t="shared" si="1732"/>
        <v>44227</v>
      </c>
    </row>
    <row r="11017" spans="1:6" x14ac:dyDescent="0.25">
      <c r="A11017" s="1" t="s">
        <v>509</v>
      </c>
      <c r="B11017" s="1" t="s">
        <v>1093</v>
      </c>
      <c r="C11017" s="1" t="s">
        <v>146</v>
      </c>
      <c r="D11017" s="3">
        <f t="shared" si="1730"/>
        <v>8371</v>
      </c>
      <c r="E11017" s="2">
        <f t="shared" si="1731"/>
        <v>43374</v>
      </c>
      <c r="F11017" s="2">
        <f t="shared" si="1732"/>
        <v>44227</v>
      </c>
    </row>
    <row r="11018" spans="1:6" x14ac:dyDescent="0.25">
      <c r="A11018" s="1" t="s">
        <v>509</v>
      </c>
      <c r="B11018" s="1" t="s">
        <v>1093</v>
      </c>
      <c r="C11018" s="1" t="s">
        <v>148</v>
      </c>
      <c r="D11018" s="3">
        <f t="shared" si="1730"/>
        <v>8371</v>
      </c>
      <c r="E11018" s="2">
        <f t="shared" si="1731"/>
        <v>43374</v>
      </c>
      <c r="F11018" s="2">
        <f t="shared" si="1732"/>
        <v>44227</v>
      </c>
    </row>
    <row r="11019" spans="1:6" x14ac:dyDescent="0.25">
      <c r="A11019" s="1" t="s">
        <v>509</v>
      </c>
      <c r="B11019" s="1" t="s">
        <v>1093</v>
      </c>
      <c r="C11019" s="1" t="s">
        <v>92</v>
      </c>
      <c r="D11019" s="3">
        <f t="shared" si="1730"/>
        <v>8371</v>
      </c>
      <c r="E11019" s="2">
        <f t="shared" si="1731"/>
        <v>43374</v>
      </c>
      <c r="F11019" s="2">
        <f t="shared" si="1732"/>
        <v>44227</v>
      </c>
    </row>
    <row r="11020" spans="1:6" x14ac:dyDescent="0.25">
      <c r="A11020" s="1" t="s">
        <v>509</v>
      </c>
      <c r="B11020" s="1" t="s">
        <v>1093</v>
      </c>
      <c r="C11020" s="1" t="s">
        <v>1094</v>
      </c>
      <c r="D11020" s="3">
        <f t="shared" si="1730"/>
        <v>8371</v>
      </c>
      <c r="E11020" s="2">
        <f t="shared" si="1731"/>
        <v>43374</v>
      </c>
      <c r="F11020" s="2">
        <f t="shared" si="1732"/>
        <v>44227</v>
      </c>
    </row>
    <row r="11021" spans="1:6" x14ac:dyDescent="0.25">
      <c r="A11021" s="1" t="s">
        <v>509</v>
      </c>
      <c r="B11021" s="1" t="s">
        <v>1093</v>
      </c>
      <c r="C11021" s="1" t="s">
        <v>1095</v>
      </c>
      <c r="D11021" s="3">
        <f t="shared" si="1730"/>
        <v>8371</v>
      </c>
      <c r="E11021" s="2">
        <f t="shared" si="1731"/>
        <v>43374</v>
      </c>
      <c r="F11021" s="2">
        <f t="shared" si="1732"/>
        <v>44227</v>
      </c>
    </row>
    <row r="11022" spans="1:6" x14ac:dyDescent="0.25">
      <c r="A11022" s="1" t="s">
        <v>509</v>
      </c>
      <c r="B11022" s="1" t="s">
        <v>1093</v>
      </c>
      <c r="C11022" s="1" t="s">
        <v>474</v>
      </c>
      <c r="D11022" s="3">
        <f t="shared" si="1730"/>
        <v>8371</v>
      </c>
      <c r="E11022" s="2">
        <f t="shared" si="1731"/>
        <v>43374</v>
      </c>
      <c r="F11022" s="2">
        <f t="shared" si="1732"/>
        <v>44227</v>
      </c>
    </row>
    <row r="11023" spans="1:6" x14ac:dyDescent="0.25">
      <c r="A11023" s="1" t="s">
        <v>509</v>
      </c>
      <c r="B11023" s="1" t="s">
        <v>1093</v>
      </c>
      <c r="C11023" s="1" t="s">
        <v>50</v>
      </c>
      <c r="D11023" s="3">
        <f t="shared" si="1730"/>
        <v>8371</v>
      </c>
      <c r="E11023" s="2">
        <f t="shared" si="1731"/>
        <v>43374</v>
      </c>
      <c r="F11023" s="2">
        <f t="shared" si="1732"/>
        <v>44227</v>
      </c>
    </row>
    <row r="11024" spans="1:6" x14ac:dyDescent="0.25">
      <c r="A11024" s="1" t="s">
        <v>509</v>
      </c>
      <c r="B11024" s="1" t="s">
        <v>1093</v>
      </c>
      <c r="C11024" s="1" t="s">
        <v>70</v>
      </c>
      <c r="D11024" s="3">
        <f t="shared" si="1730"/>
        <v>8371</v>
      </c>
      <c r="E11024" s="2">
        <f t="shared" si="1731"/>
        <v>43374</v>
      </c>
      <c r="F11024" s="2">
        <f t="shared" si="1732"/>
        <v>44227</v>
      </c>
    </row>
    <row r="11025" spans="1:6" x14ac:dyDescent="0.25">
      <c r="A11025" s="1" t="s">
        <v>509</v>
      </c>
      <c r="B11025" s="1" t="s">
        <v>1093</v>
      </c>
      <c r="C11025" s="1" t="s">
        <v>160</v>
      </c>
      <c r="D11025" s="3">
        <f t="shared" si="1730"/>
        <v>8371</v>
      </c>
      <c r="E11025" s="2">
        <f t="shared" si="1731"/>
        <v>43374</v>
      </c>
      <c r="F11025" s="2">
        <f t="shared" si="1732"/>
        <v>44227</v>
      </c>
    </row>
    <row r="11026" spans="1:6" x14ac:dyDescent="0.25">
      <c r="A11026" s="1" t="s">
        <v>509</v>
      </c>
      <c r="B11026" s="1" t="s">
        <v>2390</v>
      </c>
      <c r="C11026" s="1" t="s">
        <v>997</v>
      </c>
      <c r="D11026" s="3">
        <f t="shared" ref="D11026:D11035" si="1733">VALUE("8347")</f>
        <v>8347</v>
      </c>
      <c r="E11026" s="2">
        <f t="shared" ref="E11026:E11035" si="1734">DATEVALUE("1-9-2018")</f>
        <v>43344</v>
      </c>
      <c r="F11026" s="2">
        <f t="shared" ref="F11026:F11035" si="1735">DATEVALUE("31-12-2019")</f>
        <v>43830</v>
      </c>
    </row>
    <row r="11027" spans="1:6" x14ac:dyDescent="0.25">
      <c r="A11027" s="1" t="s">
        <v>509</v>
      </c>
      <c r="B11027" s="1" t="s">
        <v>2390</v>
      </c>
      <c r="C11027" s="1" t="s">
        <v>14</v>
      </c>
      <c r="D11027" s="3">
        <f t="shared" si="1733"/>
        <v>8347</v>
      </c>
      <c r="E11027" s="2">
        <f t="shared" si="1734"/>
        <v>43344</v>
      </c>
      <c r="F11027" s="2">
        <f t="shared" si="1735"/>
        <v>43830</v>
      </c>
    </row>
    <row r="11028" spans="1:6" x14ac:dyDescent="0.25">
      <c r="A11028" s="1" t="s">
        <v>509</v>
      </c>
      <c r="B11028" s="1" t="s">
        <v>2390</v>
      </c>
      <c r="C11028" s="1" t="s">
        <v>17</v>
      </c>
      <c r="D11028" s="3">
        <f t="shared" si="1733"/>
        <v>8347</v>
      </c>
      <c r="E11028" s="2">
        <f t="shared" si="1734"/>
        <v>43344</v>
      </c>
      <c r="F11028" s="2">
        <f t="shared" si="1735"/>
        <v>43830</v>
      </c>
    </row>
    <row r="11029" spans="1:6" x14ac:dyDescent="0.25">
      <c r="A11029" s="1" t="s">
        <v>509</v>
      </c>
      <c r="B11029" s="1" t="s">
        <v>2390</v>
      </c>
      <c r="C11029" s="1" t="s">
        <v>146</v>
      </c>
      <c r="D11029" s="3">
        <f t="shared" si="1733"/>
        <v>8347</v>
      </c>
      <c r="E11029" s="2">
        <f t="shared" si="1734"/>
        <v>43344</v>
      </c>
      <c r="F11029" s="2">
        <f t="shared" si="1735"/>
        <v>43830</v>
      </c>
    </row>
    <row r="11030" spans="1:6" x14ac:dyDescent="0.25">
      <c r="A11030" s="1" t="s">
        <v>509</v>
      </c>
      <c r="B11030" s="1" t="s">
        <v>2390</v>
      </c>
      <c r="C11030" s="1" t="s">
        <v>67</v>
      </c>
      <c r="D11030" s="3">
        <f t="shared" si="1733"/>
        <v>8347</v>
      </c>
      <c r="E11030" s="2">
        <f t="shared" si="1734"/>
        <v>43344</v>
      </c>
      <c r="F11030" s="2">
        <f t="shared" si="1735"/>
        <v>43830</v>
      </c>
    </row>
    <row r="11031" spans="1:6" x14ac:dyDescent="0.25">
      <c r="A11031" s="1" t="s">
        <v>509</v>
      </c>
      <c r="B11031" s="1" t="s">
        <v>2390</v>
      </c>
      <c r="C11031" s="1" t="s">
        <v>472</v>
      </c>
      <c r="D11031" s="3">
        <f t="shared" si="1733"/>
        <v>8347</v>
      </c>
      <c r="E11031" s="2">
        <f t="shared" si="1734"/>
        <v>43344</v>
      </c>
      <c r="F11031" s="2">
        <f t="shared" si="1735"/>
        <v>43830</v>
      </c>
    </row>
    <row r="11032" spans="1:6" x14ac:dyDescent="0.25">
      <c r="A11032" s="1" t="s">
        <v>509</v>
      </c>
      <c r="B11032" s="1" t="s">
        <v>2390</v>
      </c>
      <c r="C11032" s="1" t="s">
        <v>24</v>
      </c>
      <c r="D11032" s="3">
        <f t="shared" si="1733"/>
        <v>8347</v>
      </c>
      <c r="E11032" s="2">
        <f t="shared" si="1734"/>
        <v>43344</v>
      </c>
      <c r="F11032" s="2">
        <f t="shared" si="1735"/>
        <v>43830</v>
      </c>
    </row>
    <row r="11033" spans="1:6" x14ac:dyDescent="0.25">
      <c r="A11033" s="1" t="s">
        <v>509</v>
      </c>
      <c r="B11033" s="1" t="s">
        <v>2390</v>
      </c>
      <c r="C11033" s="1" t="s">
        <v>652</v>
      </c>
      <c r="D11033" s="3">
        <f t="shared" si="1733"/>
        <v>8347</v>
      </c>
      <c r="E11033" s="2">
        <f t="shared" si="1734"/>
        <v>43344</v>
      </c>
      <c r="F11033" s="2">
        <f t="shared" si="1735"/>
        <v>43830</v>
      </c>
    </row>
    <row r="11034" spans="1:6" x14ac:dyDescent="0.25">
      <c r="A11034" s="1" t="s">
        <v>509</v>
      </c>
      <c r="B11034" s="1" t="s">
        <v>2390</v>
      </c>
      <c r="C11034" s="1" t="s">
        <v>160</v>
      </c>
      <c r="D11034" s="3">
        <f t="shared" si="1733"/>
        <v>8347</v>
      </c>
      <c r="E11034" s="2">
        <f t="shared" si="1734"/>
        <v>43344</v>
      </c>
      <c r="F11034" s="2">
        <f t="shared" si="1735"/>
        <v>43830</v>
      </c>
    </row>
    <row r="11035" spans="1:6" x14ac:dyDescent="0.25">
      <c r="A11035" s="1" t="s">
        <v>509</v>
      </c>
      <c r="B11035" s="1" t="s">
        <v>2390</v>
      </c>
      <c r="C11035" s="1" t="s">
        <v>34</v>
      </c>
      <c r="D11035" s="3">
        <f t="shared" si="1733"/>
        <v>8347</v>
      </c>
      <c r="E11035" s="2">
        <f t="shared" si="1734"/>
        <v>43344</v>
      </c>
      <c r="F11035" s="2">
        <f t="shared" si="1735"/>
        <v>43830</v>
      </c>
    </row>
    <row r="11036" spans="1:6" x14ac:dyDescent="0.25">
      <c r="A11036" s="1" t="s">
        <v>509</v>
      </c>
      <c r="B11036" s="1" t="s">
        <v>2386</v>
      </c>
      <c r="C11036" s="1" t="s">
        <v>146</v>
      </c>
      <c r="D11036" s="3">
        <f>VALUE("8334")</f>
        <v>8334</v>
      </c>
      <c r="E11036" s="2">
        <f>DATEVALUE("1-7-2018")</f>
        <v>43282</v>
      </c>
      <c r="F11036" s="2">
        <f>DATEVALUE("30-6-2019")</f>
        <v>43646</v>
      </c>
    </row>
    <row r="11037" spans="1:6" x14ac:dyDescent="0.25">
      <c r="A11037" s="1" t="s">
        <v>509</v>
      </c>
      <c r="B11037" s="1" t="s">
        <v>2386</v>
      </c>
      <c r="C11037" s="1" t="s">
        <v>67</v>
      </c>
      <c r="D11037" s="3">
        <f>VALUE("8334")</f>
        <v>8334</v>
      </c>
      <c r="E11037" s="2">
        <f>DATEVALUE("1-7-2018")</f>
        <v>43282</v>
      </c>
      <c r="F11037" s="2">
        <f>DATEVALUE("30-6-2019")</f>
        <v>43646</v>
      </c>
    </row>
    <row r="11038" spans="1:6" x14ac:dyDescent="0.25">
      <c r="A11038" s="1" t="s">
        <v>509</v>
      </c>
      <c r="B11038" s="1" t="s">
        <v>2386</v>
      </c>
      <c r="C11038" s="1" t="s">
        <v>208</v>
      </c>
      <c r="D11038" s="3">
        <f>VALUE("8334")</f>
        <v>8334</v>
      </c>
      <c r="E11038" s="2">
        <f>DATEVALUE("1-7-2018")</f>
        <v>43282</v>
      </c>
      <c r="F11038" s="2">
        <f>DATEVALUE("30-6-2019")</f>
        <v>43646</v>
      </c>
    </row>
    <row r="11039" spans="1:6" x14ac:dyDescent="0.25">
      <c r="A11039" s="1" t="s">
        <v>509</v>
      </c>
      <c r="B11039" s="1" t="s">
        <v>2386</v>
      </c>
      <c r="C11039" s="1" t="s">
        <v>52</v>
      </c>
      <c r="D11039" s="3">
        <f>VALUE("8334")</f>
        <v>8334</v>
      </c>
      <c r="E11039" s="2">
        <f>DATEVALUE("1-7-2018")</f>
        <v>43282</v>
      </c>
      <c r="F11039" s="2">
        <f>DATEVALUE("30-6-2019")</f>
        <v>43646</v>
      </c>
    </row>
    <row r="11040" spans="1:6" x14ac:dyDescent="0.25">
      <c r="A11040" s="1" t="s">
        <v>509</v>
      </c>
      <c r="B11040" s="1" t="s">
        <v>2386</v>
      </c>
      <c r="C11040" s="1" t="s">
        <v>160</v>
      </c>
      <c r="D11040" s="3">
        <f>VALUE("8334")</f>
        <v>8334</v>
      </c>
      <c r="E11040" s="2">
        <f>DATEVALUE("1-7-2018")</f>
        <v>43282</v>
      </c>
      <c r="F11040" s="2">
        <f>DATEVALUE("30-6-2019")</f>
        <v>43646</v>
      </c>
    </row>
    <row r="11041" spans="1:6" x14ac:dyDescent="0.25">
      <c r="A11041" s="1" t="s">
        <v>509</v>
      </c>
      <c r="B11041" s="1" t="s">
        <v>996</v>
      </c>
      <c r="C11041" s="1" t="s">
        <v>997</v>
      </c>
      <c r="D11041" s="3">
        <f t="shared" ref="D11041:D11053" si="1736">VALUE("8283")</f>
        <v>8283</v>
      </c>
      <c r="E11041" s="2">
        <f t="shared" ref="E11041:E11053" si="1737">DATEVALUE("1-5-2018")</f>
        <v>43221</v>
      </c>
      <c r="F11041" s="2">
        <f t="shared" ref="F11041:F11053" si="1738">DATEVALUE("31-3-2021")</f>
        <v>44286</v>
      </c>
    </row>
    <row r="11042" spans="1:6" x14ac:dyDescent="0.25">
      <c r="A11042" s="1" t="s">
        <v>509</v>
      </c>
      <c r="B11042" s="1" t="s">
        <v>996</v>
      </c>
      <c r="C11042" s="1" t="s">
        <v>998</v>
      </c>
      <c r="D11042" s="3">
        <f t="shared" si="1736"/>
        <v>8283</v>
      </c>
      <c r="E11042" s="2">
        <f t="shared" si="1737"/>
        <v>43221</v>
      </c>
      <c r="F11042" s="2">
        <f t="shared" si="1738"/>
        <v>44286</v>
      </c>
    </row>
    <row r="11043" spans="1:6" x14ac:dyDescent="0.25">
      <c r="A11043" s="1" t="s">
        <v>509</v>
      </c>
      <c r="B11043" s="1" t="s">
        <v>996</v>
      </c>
      <c r="C11043" s="1" t="s">
        <v>999</v>
      </c>
      <c r="D11043" s="3">
        <f t="shared" si="1736"/>
        <v>8283</v>
      </c>
      <c r="E11043" s="2">
        <f t="shared" si="1737"/>
        <v>43221</v>
      </c>
      <c r="F11043" s="2">
        <f t="shared" si="1738"/>
        <v>44286</v>
      </c>
    </row>
    <row r="11044" spans="1:6" x14ac:dyDescent="0.25">
      <c r="A11044" s="1" t="s">
        <v>509</v>
      </c>
      <c r="B11044" s="1" t="s">
        <v>996</v>
      </c>
      <c r="C11044" s="1" t="s">
        <v>14</v>
      </c>
      <c r="D11044" s="3">
        <f t="shared" si="1736"/>
        <v>8283</v>
      </c>
      <c r="E11044" s="2">
        <f t="shared" si="1737"/>
        <v>43221</v>
      </c>
      <c r="F11044" s="2">
        <f t="shared" si="1738"/>
        <v>44286</v>
      </c>
    </row>
    <row r="11045" spans="1:6" x14ac:dyDescent="0.25">
      <c r="A11045" s="1" t="s">
        <v>509</v>
      </c>
      <c r="B11045" s="1" t="s">
        <v>996</v>
      </c>
      <c r="C11045" s="1" t="s">
        <v>17</v>
      </c>
      <c r="D11045" s="3">
        <f t="shared" si="1736"/>
        <v>8283</v>
      </c>
      <c r="E11045" s="2">
        <f t="shared" si="1737"/>
        <v>43221</v>
      </c>
      <c r="F11045" s="2">
        <f t="shared" si="1738"/>
        <v>44286</v>
      </c>
    </row>
    <row r="11046" spans="1:6" x14ac:dyDescent="0.25">
      <c r="A11046" s="1" t="s">
        <v>509</v>
      </c>
      <c r="B11046" s="1" t="s">
        <v>996</v>
      </c>
      <c r="C11046" s="1" t="s">
        <v>146</v>
      </c>
      <c r="D11046" s="3">
        <f t="shared" si="1736"/>
        <v>8283</v>
      </c>
      <c r="E11046" s="2">
        <f t="shared" si="1737"/>
        <v>43221</v>
      </c>
      <c r="F11046" s="2">
        <f t="shared" si="1738"/>
        <v>44286</v>
      </c>
    </row>
    <row r="11047" spans="1:6" x14ac:dyDescent="0.25">
      <c r="A11047" s="1" t="s">
        <v>509</v>
      </c>
      <c r="B11047" s="1" t="s">
        <v>996</v>
      </c>
      <c r="C11047" s="1" t="s">
        <v>67</v>
      </c>
      <c r="D11047" s="3">
        <f t="shared" si="1736"/>
        <v>8283</v>
      </c>
      <c r="E11047" s="2">
        <f t="shared" si="1737"/>
        <v>43221</v>
      </c>
      <c r="F11047" s="2">
        <f t="shared" si="1738"/>
        <v>44286</v>
      </c>
    </row>
    <row r="11048" spans="1:6" x14ac:dyDescent="0.25">
      <c r="A11048" s="1" t="s">
        <v>509</v>
      </c>
      <c r="B11048" s="1" t="s">
        <v>996</v>
      </c>
      <c r="C11048" s="1" t="s">
        <v>472</v>
      </c>
      <c r="D11048" s="3">
        <f t="shared" si="1736"/>
        <v>8283</v>
      </c>
      <c r="E11048" s="2">
        <f t="shared" si="1737"/>
        <v>43221</v>
      </c>
      <c r="F11048" s="2">
        <f t="shared" si="1738"/>
        <v>44286</v>
      </c>
    </row>
    <row r="11049" spans="1:6" x14ac:dyDescent="0.25">
      <c r="A11049" s="1" t="s">
        <v>509</v>
      </c>
      <c r="B11049" s="1" t="s">
        <v>996</v>
      </c>
      <c r="C11049" s="1" t="s">
        <v>1000</v>
      </c>
      <c r="D11049" s="3">
        <f t="shared" si="1736"/>
        <v>8283</v>
      </c>
      <c r="E11049" s="2">
        <f t="shared" si="1737"/>
        <v>43221</v>
      </c>
      <c r="F11049" s="2">
        <f t="shared" si="1738"/>
        <v>44286</v>
      </c>
    </row>
    <row r="11050" spans="1:6" x14ac:dyDescent="0.25">
      <c r="A11050" s="1" t="s">
        <v>509</v>
      </c>
      <c r="B11050" s="1" t="s">
        <v>996</v>
      </c>
      <c r="C11050" s="1" t="s">
        <v>24</v>
      </c>
      <c r="D11050" s="3">
        <f t="shared" si="1736"/>
        <v>8283</v>
      </c>
      <c r="E11050" s="2">
        <f t="shared" si="1737"/>
        <v>43221</v>
      </c>
      <c r="F11050" s="2">
        <f t="shared" si="1738"/>
        <v>44286</v>
      </c>
    </row>
    <row r="11051" spans="1:6" x14ac:dyDescent="0.25">
      <c r="A11051" s="1" t="s">
        <v>509</v>
      </c>
      <c r="B11051" s="1" t="s">
        <v>996</v>
      </c>
      <c r="C11051" s="1" t="s">
        <v>160</v>
      </c>
      <c r="D11051" s="3">
        <f t="shared" si="1736"/>
        <v>8283</v>
      </c>
      <c r="E11051" s="2">
        <f t="shared" si="1737"/>
        <v>43221</v>
      </c>
      <c r="F11051" s="2">
        <f t="shared" si="1738"/>
        <v>44286</v>
      </c>
    </row>
    <row r="11052" spans="1:6" x14ac:dyDescent="0.25">
      <c r="A11052" s="1" t="s">
        <v>509</v>
      </c>
      <c r="B11052" s="1" t="s">
        <v>996</v>
      </c>
      <c r="C11052" s="1" t="s">
        <v>34</v>
      </c>
      <c r="D11052" s="3">
        <f t="shared" si="1736"/>
        <v>8283</v>
      </c>
      <c r="E11052" s="2">
        <f t="shared" si="1737"/>
        <v>43221</v>
      </c>
      <c r="F11052" s="2">
        <f t="shared" si="1738"/>
        <v>44286</v>
      </c>
    </row>
    <row r="11053" spans="1:6" x14ac:dyDescent="0.25">
      <c r="A11053" s="1" t="s">
        <v>509</v>
      </c>
      <c r="B11053" s="1" t="s">
        <v>996</v>
      </c>
      <c r="C11053" s="1" t="s">
        <v>55</v>
      </c>
      <c r="D11053" s="3">
        <f t="shared" si="1736"/>
        <v>8283</v>
      </c>
      <c r="E11053" s="2">
        <f t="shared" si="1737"/>
        <v>43221</v>
      </c>
      <c r="F11053" s="2">
        <f t="shared" si="1738"/>
        <v>44286</v>
      </c>
    </row>
    <row r="11054" spans="1:6" x14ac:dyDescent="0.25">
      <c r="A11054" s="1" t="s">
        <v>509</v>
      </c>
      <c r="B11054" s="1" t="s">
        <v>2062</v>
      </c>
      <c r="C11054" s="1" t="s">
        <v>53</v>
      </c>
      <c r="D11054" s="3">
        <f>VALUE("8237")</f>
        <v>8237</v>
      </c>
      <c r="E11054" s="2">
        <f>DATEVALUE("1-3-2018")</f>
        <v>43160</v>
      </c>
      <c r="F11054" s="2">
        <f>DATEVALUE("30-11-2018")</f>
        <v>43434</v>
      </c>
    </row>
    <row r="11055" spans="1:6" x14ac:dyDescent="0.25">
      <c r="A11055" s="1" t="s">
        <v>509</v>
      </c>
      <c r="B11055" s="1" t="s">
        <v>1768</v>
      </c>
      <c r="C11055" s="1" t="s">
        <v>1773</v>
      </c>
      <c r="D11055" s="3">
        <f t="shared" ref="D11055:D11061" si="1739">VALUE("8167")</f>
        <v>8167</v>
      </c>
      <c r="E11055" s="2">
        <f t="shared" ref="E11055:E11071" si="1740">DATEVALUE("1-11-2017")</f>
        <v>43040</v>
      </c>
      <c r="F11055" s="2">
        <f t="shared" ref="F11055:F11061" si="1741">DATEVALUE("31-7-2019")</f>
        <v>43677</v>
      </c>
    </row>
    <row r="11056" spans="1:6" x14ac:dyDescent="0.25">
      <c r="A11056" s="1" t="s">
        <v>509</v>
      </c>
      <c r="B11056" s="1" t="s">
        <v>1768</v>
      </c>
      <c r="C11056" s="1" t="s">
        <v>1769</v>
      </c>
      <c r="D11056" s="3">
        <f t="shared" si="1739"/>
        <v>8167</v>
      </c>
      <c r="E11056" s="2">
        <f t="shared" si="1740"/>
        <v>43040</v>
      </c>
      <c r="F11056" s="2">
        <f t="shared" si="1741"/>
        <v>43677</v>
      </c>
    </row>
    <row r="11057" spans="1:6" x14ac:dyDescent="0.25">
      <c r="A11057" s="1" t="s">
        <v>509</v>
      </c>
      <c r="B11057" s="1" t="s">
        <v>1768</v>
      </c>
      <c r="C11057" s="1" t="s">
        <v>1770</v>
      </c>
      <c r="D11057" s="3">
        <f t="shared" si="1739"/>
        <v>8167</v>
      </c>
      <c r="E11057" s="2">
        <f t="shared" si="1740"/>
        <v>43040</v>
      </c>
      <c r="F11057" s="2">
        <f t="shared" si="1741"/>
        <v>43677</v>
      </c>
    </row>
    <row r="11058" spans="1:6" x14ac:dyDescent="0.25">
      <c r="A11058" s="1" t="s">
        <v>509</v>
      </c>
      <c r="B11058" s="1" t="s">
        <v>1768</v>
      </c>
      <c r="C11058" s="1" t="s">
        <v>1771</v>
      </c>
      <c r="D11058" s="3">
        <f t="shared" si="1739"/>
        <v>8167</v>
      </c>
      <c r="E11058" s="2">
        <f t="shared" si="1740"/>
        <v>43040</v>
      </c>
      <c r="F11058" s="2">
        <f t="shared" si="1741"/>
        <v>43677</v>
      </c>
    </row>
    <row r="11059" spans="1:6" x14ac:dyDescent="0.25">
      <c r="A11059" s="1" t="s">
        <v>509</v>
      </c>
      <c r="B11059" s="1" t="s">
        <v>1768</v>
      </c>
      <c r="C11059" s="1" t="s">
        <v>1772</v>
      </c>
      <c r="D11059" s="3">
        <f t="shared" si="1739"/>
        <v>8167</v>
      </c>
      <c r="E11059" s="2">
        <f t="shared" si="1740"/>
        <v>43040</v>
      </c>
      <c r="F11059" s="2">
        <f t="shared" si="1741"/>
        <v>43677</v>
      </c>
    </row>
    <row r="11060" spans="1:6" x14ac:dyDescent="0.25">
      <c r="A11060" s="1" t="s">
        <v>509</v>
      </c>
      <c r="B11060" s="1" t="s">
        <v>1768</v>
      </c>
      <c r="C11060" s="1" t="s">
        <v>191</v>
      </c>
      <c r="D11060" s="3">
        <f t="shared" si="1739"/>
        <v>8167</v>
      </c>
      <c r="E11060" s="2">
        <f t="shared" si="1740"/>
        <v>43040</v>
      </c>
      <c r="F11060" s="2">
        <f t="shared" si="1741"/>
        <v>43677</v>
      </c>
    </row>
    <row r="11061" spans="1:6" x14ac:dyDescent="0.25">
      <c r="A11061" s="1" t="s">
        <v>509</v>
      </c>
      <c r="B11061" s="1" t="s">
        <v>1768</v>
      </c>
      <c r="C11061" s="1" t="s">
        <v>616</v>
      </c>
      <c r="D11061" s="3">
        <f t="shared" si="1739"/>
        <v>8167</v>
      </c>
      <c r="E11061" s="2">
        <f t="shared" si="1740"/>
        <v>43040</v>
      </c>
      <c r="F11061" s="2">
        <f t="shared" si="1741"/>
        <v>43677</v>
      </c>
    </row>
    <row r="11062" spans="1:6" x14ac:dyDescent="0.25">
      <c r="A11062" s="1" t="s">
        <v>509</v>
      </c>
      <c r="B11062" s="1" t="s">
        <v>2342</v>
      </c>
      <c r="C11062" s="1" t="s">
        <v>997</v>
      </c>
      <c r="D11062" s="3">
        <f t="shared" ref="D11062:D11071" si="1742">VALUE("8203")</f>
        <v>8203</v>
      </c>
      <c r="E11062" s="2">
        <f t="shared" si="1740"/>
        <v>43040</v>
      </c>
      <c r="F11062" s="2">
        <f t="shared" ref="F11062:F11071" si="1743">DATEVALUE("31-12-2018")</f>
        <v>43465</v>
      </c>
    </row>
    <row r="11063" spans="1:6" x14ac:dyDescent="0.25">
      <c r="A11063" s="1" t="s">
        <v>509</v>
      </c>
      <c r="B11063" s="1" t="s">
        <v>2342</v>
      </c>
      <c r="C11063" s="1" t="s">
        <v>17</v>
      </c>
      <c r="D11063" s="3">
        <f t="shared" si="1742"/>
        <v>8203</v>
      </c>
      <c r="E11063" s="2">
        <f t="shared" si="1740"/>
        <v>43040</v>
      </c>
      <c r="F11063" s="2">
        <f t="shared" si="1743"/>
        <v>43465</v>
      </c>
    </row>
    <row r="11064" spans="1:6" x14ac:dyDescent="0.25">
      <c r="A11064" s="1" t="s">
        <v>509</v>
      </c>
      <c r="B11064" s="1" t="s">
        <v>2342</v>
      </c>
      <c r="C11064" s="1" t="s">
        <v>146</v>
      </c>
      <c r="D11064" s="3">
        <f t="shared" si="1742"/>
        <v>8203</v>
      </c>
      <c r="E11064" s="2">
        <f t="shared" si="1740"/>
        <v>43040</v>
      </c>
      <c r="F11064" s="2">
        <f t="shared" si="1743"/>
        <v>43465</v>
      </c>
    </row>
    <row r="11065" spans="1:6" x14ac:dyDescent="0.25">
      <c r="A11065" s="1" t="s">
        <v>509</v>
      </c>
      <c r="B11065" s="1" t="s">
        <v>2342</v>
      </c>
      <c r="C11065" s="1" t="s">
        <v>67</v>
      </c>
      <c r="D11065" s="3">
        <f t="shared" si="1742"/>
        <v>8203</v>
      </c>
      <c r="E11065" s="2">
        <f t="shared" si="1740"/>
        <v>43040</v>
      </c>
      <c r="F11065" s="2">
        <f t="shared" si="1743"/>
        <v>43465</v>
      </c>
    </row>
    <row r="11066" spans="1:6" x14ac:dyDescent="0.25">
      <c r="A11066" s="1" t="s">
        <v>509</v>
      </c>
      <c r="B11066" s="1" t="s">
        <v>2342</v>
      </c>
      <c r="C11066" s="1" t="s">
        <v>148</v>
      </c>
      <c r="D11066" s="3">
        <f t="shared" si="1742"/>
        <v>8203</v>
      </c>
      <c r="E11066" s="2">
        <f t="shared" si="1740"/>
        <v>43040</v>
      </c>
      <c r="F11066" s="2">
        <f t="shared" si="1743"/>
        <v>43465</v>
      </c>
    </row>
    <row r="11067" spans="1:6" x14ac:dyDescent="0.25">
      <c r="A11067" s="1" t="s">
        <v>509</v>
      </c>
      <c r="B11067" s="1" t="s">
        <v>2342</v>
      </c>
      <c r="C11067" s="1" t="s">
        <v>149</v>
      </c>
      <c r="D11067" s="3">
        <f t="shared" si="1742"/>
        <v>8203</v>
      </c>
      <c r="E11067" s="2">
        <f t="shared" si="1740"/>
        <v>43040</v>
      </c>
      <c r="F11067" s="2">
        <f t="shared" si="1743"/>
        <v>43465</v>
      </c>
    </row>
    <row r="11068" spans="1:6" x14ac:dyDescent="0.25">
      <c r="A11068" s="1" t="s">
        <v>509</v>
      </c>
      <c r="B11068" s="1" t="s">
        <v>2342</v>
      </c>
      <c r="C11068" s="1" t="s">
        <v>172</v>
      </c>
      <c r="D11068" s="3">
        <f t="shared" si="1742"/>
        <v>8203</v>
      </c>
      <c r="E11068" s="2">
        <f t="shared" si="1740"/>
        <v>43040</v>
      </c>
      <c r="F11068" s="2">
        <f t="shared" si="1743"/>
        <v>43465</v>
      </c>
    </row>
    <row r="11069" spans="1:6" x14ac:dyDescent="0.25">
      <c r="A11069" s="1" t="s">
        <v>509</v>
      </c>
      <c r="B11069" s="1" t="s">
        <v>2342</v>
      </c>
      <c r="C11069" s="1" t="s">
        <v>472</v>
      </c>
      <c r="D11069" s="3">
        <f t="shared" si="1742"/>
        <v>8203</v>
      </c>
      <c r="E11069" s="2">
        <f t="shared" si="1740"/>
        <v>43040</v>
      </c>
      <c r="F11069" s="2">
        <f t="shared" si="1743"/>
        <v>43465</v>
      </c>
    </row>
    <row r="11070" spans="1:6" x14ac:dyDescent="0.25">
      <c r="A11070" s="1" t="s">
        <v>509</v>
      </c>
      <c r="B11070" s="1" t="s">
        <v>2342</v>
      </c>
      <c r="C11070" s="1" t="s">
        <v>2043</v>
      </c>
      <c r="D11070" s="3">
        <f t="shared" si="1742"/>
        <v>8203</v>
      </c>
      <c r="E11070" s="2">
        <f t="shared" si="1740"/>
        <v>43040</v>
      </c>
      <c r="F11070" s="2">
        <f t="shared" si="1743"/>
        <v>43465</v>
      </c>
    </row>
    <row r="11071" spans="1:6" x14ac:dyDescent="0.25">
      <c r="A11071" s="1" t="s">
        <v>509</v>
      </c>
      <c r="B11071" s="1" t="s">
        <v>2342</v>
      </c>
      <c r="C11071" s="1" t="s">
        <v>160</v>
      </c>
      <c r="D11071" s="3">
        <f t="shared" si="1742"/>
        <v>8203</v>
      </c>
      <c r="E11071" s="2">
        <f t="shared" si="1740"/>
        <v>43040</v>
      </c>
      <c r="F11071" s="2">
        <f t="shared" si="1743"/>
        <v>43465</v>
      </c>
    </row>
    <row r="11072" spans="1:6" x14ac:dyDescent="0.25">
      <c r="A11072" s="1" t="s">
        <v>509</v>
      </c>
      <c r="B11072" s="1" t="s">
        <v>2318</v>
      </c>
      <c r="C11072" s="1" t="s">
        <v>45</v>
      </c>
      <c r="D11072" s="3">
        <f>VALUE("8153")</f>
        <v>8153</v>
      </c>
      <c r="E11072" s="2">
        <f>DATEVALUE("1-9-2017")</f>
        <v>42979</v>
      </c>
      <c r="F11072" s="2">
        <f>DATEVALUE("28-2-2018")</f>
        <v>43159</v>
      </c>
    </row>
    <row r="11073" spans="1:6" x14ac:dyDescent="0.25">
      <c r="A11073" s="1" t="s">
        <v>509</v>
      </c>
      <c r="B11073" s="1" t="s">
        <v>2293</v>
      </c>
      <c r="C11073" s="1" t="s">
        <v>997</v>
      </c>
      <c r="D11073" s="3">
        <f t="shared" ref="D11073:D11089" si="1744">VALUE("8097")</f>
        <v>8097</v>
      </c>
      <c r="E11073" s="2">
        <f t="shared" ref="E11073:E11089" si="1745">DATEVALUE("1-6-2017")</f>
        <v>42887</v>
      </c>
      <c r="F11073" s="2">
        <f t="shared" ref="F11073:F11089" si="1746">DATEVALUE("31-12-2019")</f>
        <v>43830</v>
      </c>
    </row>
    <row r="11074" spans="1:6" x14ac:dyDescent="0.25">
      <c r="A11074" s="1" t="s">
        <v>509</v>
      </c>
      <c r="B11074" s="1" t="s">
        <v>2293</v>
      </c>
      <c r="C11074" s="1" t="s">
        <v>998</v>
      </c>
      <c r="D11074" s="3">
        <f t="shared" si="1744"/>
        <v>8097</v>
      </c>
      <c r="E11074" s="2">
        <f t="shared" si="1745"/>
        <v>42887</v>
      </c>
      <c r="F11074" s="2">
        <f t="shared" si="1746"/>
        <v>43830</v>
      </c>
    </row>
    <row r="11075" spans="1:6" x14ac:dyDescent="0.25">
      <c r="A11075" s="1" t="s">
        <v>509</v>
      </c>
      <c r="B11075" s="1" t="s">
        <v>2293</v>
      </c>
      <c r="C11075" s="1" t="s">
        <v>999</v>
      </c>
      <c r="D11075" s="3">
        <f t="shared" si="1744"/>
        <v>8097</v>
      </c>
      <c r="E11075" s="2">
        <f t="shared" si="1745"/>
        <v>42887</v>
      </c>
      <c r="F11075" s="2">
        <f t="shared" si="1746"/>
        <v>43830</v>
      </c>
    </row>
    <row r="11076" spans="1:6" x14ac:dyDescent="0.25">
      <c r="A11076" s="1" t="s">
        <v>509</v>
      </c>
      <c r="B11076" s="1" t="s">
        <v>2293</v>
      </c>
      <c r="C11076" s="1" t="s">
        <v>45</v>
      </c>
      <c r="D11076" s="3">
        <f t="shared" si="1744"/>
        <v>8097</v>
      </c>
      <c r="E11076" s="2">
        <f t="shared" si="1745"/>
        <v>42887</v>
      </c>
      <c r="F11076" s="2">
        <f t="shared" si="1746"/>
        <v>43830</v>
      </c>
    </row>
    <row r="11077" spans="1:6" x14ac:dyDescent="0.25">
      <c r="A11077" s="1" t="s">
        <v>509</v>
      </c>
      <c r="B11077" s="1" t="s">
        <v>2293</v>
      </c>
      <c r="C11077" s="1" t="s">
        <v>44</v>
      </c>
      <c r="D11077" s="3">
        <f t="shared" si="1744"/>
        <v>8097</v>
      </c>
      <c r="E11077" s="2">
        <f t="shared" si="1745"/>
        <v>42887</v>
      </c>
      <c r="F11077" s="2">
        <f t="shared" si="1746"/>
        <v>43830</v>
      </c>
    </row>
    <row r="11078" spans="1:6" x14ac:dyDescent="0.25">
      <c r="A11078" s="1" t="s">
        <v>509</v>
      </c>
      <c r="B11078" s="1" t="s">
        <v>2293</v>
      </c>
      <c r="C11078" s="1" t="s">
        <v>17</v>
      </c>
      <c r="D11078" s="3">
        <f t="shared" si="1744"/>
        <v>8097</v>
      </c>
      <c r="E11078" s="2">
        <f t="shared" si="1745"/>
        <v>42887</v>
      </c>
      <c r="F11078" s="2">
        <f t="shared" si="1746"/>
        <v>43830</v>
      </c>
    </row>
    <row r="11079" spans="1:6" x14ac:dyDescent="0.25">
      <c r="A11079" s="1" t="s">
        <v>509</v>
      </c>
      <c r="B11079" s="1" t="s">
        <v>2293</v>
      </c>
      <c r="C11079" s="1" t="s">
        <v>146</v>
      </c>
      <c r="D11079" s="3">
        <f t="shared" si="1744"/>
        <v>8097</v>
      </c>
      <c r="E11079" s="2">
        <f t="shared" si="1745"/>
        <v>42887</v>
      </c>
      <c r="F11079" s="2">
        <f t="shared" si="1746"/>
        <v>43830</v>
      </c>
    </row>
    <row r="11080" spans="1:6" x14ac:dyDescent="0.25">
      <c r="A11080" s="1" t="s">
        <v>509</v>
      </c>
      <c r="B11080" s="1" t="s">
        <v>2293</v>
      </c>
      <c r="C11080" s="1" t="s">
        <v>67</v>
      </c>
      <c r="D11080" s="3">
        <f t="shared" si="1744"/>
        <v>8097</v>
      </c>
      <c r="E11080" s="2">
        <f t="shared" si="1745"/>
        <v>42887</v>
      </c>
      <c r="F11080" s="2">
        <f t="shared" si="1746"/>
        <v>43830</v>
      </c>
    </row>
    <row r="11081" spans="1:6" x14ac:dyDescent="0.25">
      <c r="A11081" s="1" t="s">
        <v>509</v>
      </c>
      <c r="B11081" s="1" t="s">
        <v>2293</v>
      </c>
      <c r="C11081" s="1" t="s">
        <v>148</v>
      </c>
      <c r="D11081" s="3">
        <f t="shared" si="1744"/>
        <v>8097</v>
      </c>
      <c r="E11081" s="2">
        <f t="shared" si="1745"/>
        <v>42887</v>
      </c>
      <c r="F11081" s="2">
        <f t="shared" si="1746"/>
        <v>43830</v>
      </c>
    </row>
    <row r="11082" spans="1:6" x14ac:dyDescent="0.25">
      <c r="A11082" s="1" t="s">
        <v>509</v>
      </c>
      <c r="B11082" s="1" t="s">
        <v>2293</v>
      </c>
      <c r="C11082" s="1" t="s">
        <v>149</v>
      </c>
      <c r="D11082" s="3">
        <f t="shared" si="1744"/>
        <v>8097</v>
      </c>
      <c r="E11082" s="2">
        <f t="shared" si="1745"/>
        <v>42887</v>
      </c>
      <c r="F11082" s="2">
        <f t="shared" si="1746"/>
        <v>43830</v>
      </c>
    </row>
    <row r="11083" spans="1:6" x14ac:dyDescent="0.25">
      <c r="A11083" s="1" t="s">
        <v>509</v>
      </c>
      <c r="B11083" s="1" t="s">
        <v>2293</v>
      </c>
      <c r="C11083" s="1" t="s">
        <v>150</v>
      </c>
      <c r="D11083" s="3">
        <f t="shared" si="1744"/>
        <v>8097</v>
      </c>
      <c r="E11083" s="2">
        <f t="shared" si="1745"/>
        <v>42887</v>
      </c>
      <c r="F11083" s="2">
        <f t="shared" si="1746"/>
        <v>43830</v>
      </c>
    </row>
    <row r="11084" spans="1:6" x14ac:dyDescent="0.25">
      <c r="A11084" s="1" t="s">
        <v>509</v>
      </c>
      <c r="B11084" s="1" t="s">
        <v>2293</v>
      </c>
      <c r="C11084" s="1" t="s">
        <v>172</v>
      </c>
      <c r="D11084" s="3">
        <f t="shared" si="1744"/>
        <v>8097</v>
      </c>
      <c r="E11084" s="2">
        <f t="shared" si="1745"/>
        <v>42887</v>
      </c>
      <c r="F11084" s="2">
        <f t="shared" si="1746"/>
        <v>43830</v>
      </c>
    </row>
    <row r="11085" spans="1:6" x14ac:dyDescent="0.25">
      <c r="A11085" s="1" t="s">
        <v>509</v>
      </c>
      <c r="B11085" s="1" t="s">
        <v>2293</v>
      </c>
      <c r="C11085" s="1" t="s">
        <v>211</v>
      </c>
      <c r="D11085" s="3">
        <f t="shared" si="1744"/>
        <v>8097</v>
      </c>
      <c r="E11085" s="2">
        <f t="shared" si="1745"/>
        <v>42887</v>
      </c>
      <c r="F11085" s="2">
        <f t="shared" si="1746"/>
        <v>43830</v>
      </c>
    </row>
    <row r="11086" spans="1:6" x14ac:dyDescent="0.25">
      <c r="A11086" s="1" t="s">
        <v>509</v>
      </c>
      <c r="B11086" s="1" t="s">
        <v>2293</v>
      </c>
      <c r="C11086" s="1" t="s">
        <v>472</v>
      </c>
      <c r="D11086" s="3">
        <f t="shared" si="1744"/>
        <v>8097</v>
      </c>
      <c r="E11086" s="2">
        <f t="shared" si="1745"/>
        <v>42887</v>
      </c>
      <c r="F11086" s="2">
        <f t="shared" si="1746"/>
        <v>43830</v>
      </c>
    </row>
    <row r="11087" spans="1:6" x14ac:dyDescent="0.25">
      <c r="A11087" s="1" t="s">
        <v>509</v>
      </c>
      <c r="B11087" s="1" t="s">
        <v>2293</v>
      </c>
      <c r="C11087" s="1" t="s">
        <v>69</v>
      </c>
      <c r="D11087" s="3">
        <f t="shared" si="1744"/>
        <v>8097</v>
      </c>
      <c r="E11087" s="2">
        <f t="shared" si="1745"/>
        <v>42887</v>
      </c>
      <c r="F11087" s="2">
        <f t="shared" si="1746"/>
        <v>43830</v>
      </c>
    </row>
    <row r="11088" spans="1:6" x14ac:dyDescent="0.25">
      <c r="A11088" s="1" t="s">
        <v>509</v>
      </c>
      <c r="B11088" s="1" t="s">
        <v>2293</v>
      </c>
      <c r="C11088" s="1" t="s">
        <v>160</v>
      </c>
      <c r="D11088" s="3">
        <f t="shared" si="1744"/>
        <v>8097</v>
      </c>
      <c r="E11088" s="2">
        <f t="shared" si="1745"/>
        <v>42887</v>
      </c>
      <c r="F11088" s="2">
        <f t="shared" si="1746"/>
        <v>43830</v>
      </c>
    </row>
    <row r="11089" spans="1:6" x14ac:dyDescent="0.25">
      <c r="A11089" s="1" t="s">
        <v>509</v>
      </c>
      <c r="B11089" s="1" t="s">
        <v>2293</v>
      </c>
      <c r="C11089" s="1" t="s">
        <v>1245</v>
      </c>
      <c r="D11089" s="3">
        <f t="shared" si="1744"/>
        <v>8097</v>
      </c>
      <c r="E11089" s="2">
        <f t="shared" si="1745"/>
        <v>42887</v>
      </c>
      <c r="F11089" s="2">
        <f t="shared" si="1746"/>
        <v>43830</v>
      </c>
    </row>
    <row r="11090" spans="1:6" x14ac:dyDescent="0.25">
      <c r="A11090" s="1" t="s">
        <v>509</v>
      </c>
      <c r="B11090" s="1" t="s">
        <v>767</v>
      </c>
      <c r="C11090" s="1" t="s">
        <v>511</v>
      </c>
      <c r="D11090" s="3">
        <f t="shared" ref="D11090:D11121" si="1747">VALUE("7957")</f>
        <v>7957</v>
      </c>
      <c r="E11090" s="2">
        <f t="shared" ref="E11090:E11121" si="1748">DATEVALUE("1-10-2016")</f>
        <v>42644</v>
      </c>
      <c r="F11090" s="2">
        <f t="shared" ref="F11090:F11121" si="1749">DATEVALUE("31-12-2020")</f>
        <v>44196</v>
      </c>
    </row>
    <row r="11091" spans="1:6" x14ac:dyDescent="0.25">
      <c r="A11091" s="1" t="s">
        <v>509</v>
      </c>
      <c r="B11091" s="1" t="s">
        <v>767</v>
      </c>
      <c r="C11091" s="1" t="s">
        <v>39</v>
      </c>
      <c r="D11091" s="3">
        <f t="shared" si="1747"/>
        <v>7957</v>
      </c>
      <c r="E11091" s="2">
        <f t="shared" si="1748"/>
        <v>42644</v>
      </c>
      <c r="F11091" s="2">
        <f t="shared" si="1749"/>
        <v>44196</v>
      </c>
    </row>
    <row r="11092" spans="1:6" x14ac:dyDescent="0.25">
      <c r="A11092" s="1" t="s">
        <v>509</v>
      </c>
      <c r="B11092" s="1" t="s">
        <v>767</v>
      </c>
      <c r="C11092" s="1" t="s">
        <v>40</v>
      </c>
      <c r="D11092" s="3">
        <f t="shared" si="1747"/>
        <v>7957</v>
      </c>
      <c r="E11092" s="2">
        <f t="shared" si="1748"/>
        <v>42644</v>
      </c>
      <c r="F11092" s="2">
        <f t="shared" si="1749"/>
        <v>44196</v>
      </c>
    </row>
    <row r="11093" spans="1:6" x14ac:dyDescent="0.25">
      <c r="A11093" s="1" t="s">
        <v>509</v>
      </c>
      <c r="B11093" s="1" t="s">
        <v>767</v>
      </c>
      <c r="C11093" s="1" t="s">
        <v>41</v>
      </c>
      <c r="D11093" s="3">
        <f t="shared" si="1747"/>
        <v>7957</v>
      </c>
      <c r="E11093" s="2">
        <f t="shared" si="1748"/>
        <v>42644</v>
      </c>
      <c r="F11093" s="2">
        <f t="shared" si="1749"/>
        <v>44196</v>
      </c>
    </row>
    <row r="11094" spans="1:6" x14ac:dyDescent="0.25">
      <c r="A11094" s="1" t="s">
        <v>509</v>
      </c>
      <c r="B11094" s="1" t="s">
        <v>767</v>
      </c>
      <c r="C11094" s="1" t="s">
        <v>256</v>
      </c>
      <c r="D11094" s="3">
        <f t="shared" si="1747"/>
        <v>7957</v>
      </c>
      <c r="E11094" s="2">
        <f t="shared" si="1748"/>
        <v>42644</v>
      </c>
      <c r="F11094" s="2">
        <f t="shared" si="1749"/>
        <v>44196</v>
      </c>
    </row>
    <row r="11095" spans="1:6" x14ac:dyDescent="0.25">
      <c r="A11095" s="1" t="s">
        <v>509</v>
      </c>
      <c r="B11095" s="1" t="s">
        <v>767</v>
      </c>
      <c r="C11095" s="1" t="s">
        <v>61</v>
      </c>
      <c r="D11095" s="3">
        <f t="shared" si="1747"/>
        <v>7957</v>
      </c>
      <c r="E11095" s="2">
        <f t="shared" si="1748"/>
        <v>42644</v>
      </c>
      <c r="F11095" s="2">
        <f t="shared" si="1749"/>
        <v>44196</v>
      </c>
    </row>
    <row r="11096" spans="1:6" x14ac:dyDescent="0.25">
      <c r="A11096" s="1" t="s">
        <v>509</v>
      </c>
      <c r="B11096" s="1" t="s">
        <v>767</v>
      </c>
      <c r="C11096" s="1" t="s">
        <v>83</v>
      </c>
      <c r="D11096" s="3">
        <f t="shared" si="1747"/>
        <v>7957</v>
      </c>
      <c r="E11096" s="2">
        <f t="shared" si="1748"/>
        <v>42644</v>
      </c>
      <c r="F11096" s="2">
        <f t="shared" si="1749"/>
        <v>44196</v>
      </c>
    </row>
    <row r="11097" spans="1:6" x14ac:dyDescent="0.25">
      <c r="A11097" s="1" t="s">
        <v>509</v>
      </c>
      <c r="B11097" s="1" t="s">
        <v>767</v>
      </c>
      <c r="C11097" s="1" t="s">
        <v>411</v>
      </c>
      <c r="D11097" s="3">
        <f t="shared" si="1747"/>
        <v>7957</v>
      </c>
      <c r="E11097" s="2">
        <f t="shared" si="1748"/>
        <v>42644</v>
      </c>
      <c r="F11097" s="2">
        <f t="shared" si="1749"/>
        <v>44196</v>
      </c>
    </row>
    <row r="11098" spans="1:6" x14ac:dyDescent="0.25">
      <c r="A11098" s="1" t="s">
        <v>509</v>
      </c>
      <c r="B11098" s="1" t="s">
        <v>767</v>
      </c>
      <c r="C11098" s="1" t="s">
        <v>43</v>
      </c>
      <c r="D11098" s="3">
        <f t="shared" si="1747"/>
        <v>7957</v>
      </c>
      <c r="E11098" s="2">
        <f t="shared" si="1748"/>
        <v>42644</v>
      </c>
      <c r="F11098" s="2">
        <f t="shared" si="1749"/>
        <v>44196</v>
      </c>
    </row>
    <row r="11099" spans="1:6" x14ac:dyDescent="0.25">
      <c r="A11099" s="1" t="s">
        <v>509</v>
      </c>
      <c r="B11099" s="1" t="s">
        <v>767</v>
      </c>
      <c r="C11099" s="1" t="s">
        <v>484</v>
      </c>
      <c r="D11099" s="3">
        <f t="shared" si="1747"/>
        <v>7957</v>
      </c>
      <c r="E11099" s="2">
        <f t="shared" si="1748"/>
        <v>42644</v>
      </c>
      <c r="F11099" s="2">
        <f t="shared" si="1749"/>
        <v>44196</v>
      </c>
    </row>
    <row r="11100" spans="1:6" x14ac:dyDescent="0.25">
      <c r="A11100" s="1" t="s">
        <v>509</v>
      </c>
      <c r="B11100" s="1" t="s">
        <v>767</v>
      </c>
      <c r="C11100" s="1" t="s">
        <v>346</v>
      </c>
      <c r="D11100" s="3">
        <f t="shared" si="1747"/>
        <v>7957</v>
      </c>
      <c r="E11100" s="2">
        <f t="shared" si="1748"/>
        <v>42644</v>
      </c>
      <c r="F11100" s="2">
        <f t="shared" si="1749"/>
        <v>44196</v>
      </c>
    </row>
    <row r="11101" spans="1:6" x14ac:dyDescent="0.25">
      <c r="A11101" s="1" t="s">
        <v>509</v>
      </c>
      <c r="B11101" s="1" t="s">
        <v>767</v>
      </c>
      <c r="C11101" s="1" t="s">
        <v>485</v>
      </c>
      <c r="D11101" s="3">
        <f t="shared" si="1747"/>
        <v>7957</v>
      </c>
      <c r="E11101" s="2">
        <f t="shared" si="1748"/>
        <v>42644</v>
      </c>
      <c r="F11101" s="2">
        <f t="shared" si="1749"/>
        <v>44196</v>
      </c>
    </row>
    <row r="11102" spans="1:6" x14ac:dyDescent="0.25">
      <c r="A11102" s="1" t="s">
        <v>509</v>
      </c>
      <c r="B11102" s="1" t="s">
        <v>767</v>
      </c>
      <c r="C11102" s="1" t="s">
        <v>375</v>
      </c>
      <c r="D11102" s="3">
        <f t="shared" si="1747"/>
        <v>7957</v>
      </c>
      <c r="E11102" s="2">
        <f t="shared" si="1748"/>
        <v>42644</v>
      </c>
      <c r="F11102" s="2">
        <f t="shared" si="1749"/>
        <v>44196</v>
      </c>
    </row>
    <row r="11103" spans="1:6" x14ac:dyDescent="0.25">
      <c r="A11103" s="1" t="s">
        <v>509</v>
      </c>
      <c r="B11103" s="1" t="s">
        <v>767</v>
      </c>
      <c r="C11103" s="1" t="s">
        <v>683</v>
      </c>
      <c r="D11103" s="3">
        <f t="shared" si="1747"/>
        <v>7957</v>
      </c>
      <c r="E11103" s="2">
        <f t="shared" si="1748"/>
        <v>42644</v>
      </c>
      <c r="F11103" s="2">
        <f t="shared" si="1749"/>
        <v>44196</v>
      </c>
    </row>
    <row r="11104" spans="1:6" x14ac:dyDescent="0.25">
      <c r="A11104" s="1" t="s">
        <v>509</v>
      </c>
      <c r="B11104" s="1" t="s">
        <v>767</v>
      </c>
      <c r="C11104" s="1" t="s">
        <v>676</v>
      </c>
      <c r="D11104" s="3">
        <f t="shared" si="1747"/>
        <v>7957</v>
      </c>
      <c r="E11104" s="2">
        <f t="shared" si="1748"/>
        <v>42644</v>
      </c>
      <c r="F11104" s="2">
        <f t="shared" si="1749"/>
        <v>44196</v>
      </c>
    </row>
    <row r="11105" spans="1:6" x14ac:dyDescent="0.25">
      <c r="A11105" s="1" t="s">
        <v>509</v>
      </c>
      <c r="B11105" s="1" t="s">
        <v>767</v>
      </c>
      <c r="C11105" s="1" t="s">
        <v>140</v>
      </c>
      <c r="D11105" s="3">
        <f t="shared" si="1747"/>
        <v>7957</v>
      </c>
      <c r="E11105" s="2">
        <f t="shared" si="1748"/>
        <v>42644</v>
      </c>
      <c r="F11105" s="2">
        <f t="shared" si="1749"/>
        <v>44196</v>
      </c>
    </row>
    <row r="11106" spans="1:6" x14ac:dyDescent="0.25">
      <c r="A11106" s="1" t="s">
        <v>509</v>
      </c>
      <c r="B11106" s="1" t="s">
        <v>767</v>
      </c>
      <c r="C11106" s="1" t="s">
        <v>141</v>
      </c>
      <c r="D11106" s="3">
        <f t="shared" si="1747"/>
        <v>7957</v>
      </c>
      <c r="E11106" s="2">
        <f t="shared" si="1748"/>
        <v>42644</v>
      </c>
      <c r="F11106" s="2">
        <f t="shared" si="1749"/>
        <v>44196</v>
      </c>
    </row>
    <row r="11107" spans="1:6" x14ac:dyDescent="0.25">
      <c r="A11107" s="1" t="s">
        <v>509</v>
      </c>
      <c r="B11107" s="1" t="s">
        <v>767</v>
      </c>
      <c r="C11107" s="1" t="s">
        <v>46</v>
      </c>
      <c r="D11107" s="3">
        <f t="shared" si="1747"/>
        <v>7957</v>
      </c>
      <c r="E11107" s="2">
        <f t="shared" si="1748"/>
        <v>42644</v>
      </c>
      <c r="F11107" s="2">
        <f t="shared" si="1749"/>
        <v>44196</v>
      </c>
    </row>
    <row r="11108" spans="1:6" x14ac:dyDescent="0.25">
      <c r="A11108" s="1" t="s">
        <v>509</v>
      </c>
      <c r="B11108" s="1" t="s">
        <v>767</v>
      </c>
      <c r="C11108" s="1" t="s">
        <v>14</v>
      </c>
      <c r="D11108" s="3">
        <f t="shared" si="1747"/>
        <v>7957</v>
      </c>
      <c r="E11108" s="2">
        <f t="shared" si="1748"/>
        <v>42644</v>
      </c>
      <c r="F11108" s="2">
        <f t="shared" si="1749"/>
        <v>44196</v>
      </c>
    </row>
    <row r="11109" spans="1:6" x14ac:dyDescent="0.25">
      <c r="A11109" s="1" t="s">
        <v>509</v>
      </c>
      <c r="B11109" s="1" t="s">
        <v>767</v>
      </c>
      <c r="C11109" s="1" t="s">
        <v>15</v>
      </c>
      <c r="D11109" s="3">
        <f t="shared" si="1747"/>
        <v>7957</v>
      </c>
      <c r="E11109" s="2">
        <f t="shared" si="1748"/>
        <v>42644</v>
      </c>
      <c r="F11109" s="2">
        <f t="shared" si="1749"/>
        <v>44196</v>
      </c>
    </row>
    <row r="11110" spans="1:6" x14ac:dyDescent="0.25">
      <c r="A11110" s="1" t="s">
        <v>509</v>
      </c>
      <c r="B11110" s="1" t="s">
        <v>767</v>
      </c>
      <c r="C11110" s="1" t="s">
        <v>89</v>
      </c>
      <c r="D11110" s="3">
        <f t="shared" si="1747"/>
        <v>7957</v>
      </c>
      <c r="E11110" s="2">
        <f t="shared" si="1748"/>
        <v>42644</v>
      </c>
      <c r="F11110" s="2">
        <f t="shared" si="1749"/>
        <v>44196</v>
      </c>
    </row>
    <row r="11111" spans="1:6" x14ac:dyDescent="0.25">
      <c r="A11111" s="1" t="s">
        <v>509</v>
      </c>
      <c r="B11111" s="1" t="s">
        <v>767</v>
      </c>
      <c r="C11111" s="1" t="s">
        <v>17</v>
      </c>
      <c r="D11111" s="3">
        <f t="shared" si="1747"/>
        <v>7957</v>
      </c>
      <c r="E11111" s="2">
        <f t="shared" si="1748"/>
        <v>42644</v>
      </c>
      <c r="F11111" s="2">
        <f t="shared" si="1749"/>
        <v>44196</v>
      </c>
    </row>
    <row r="11112" spans="1:6" x14ac:dyDescent="0.25">
      <c r="A11112" s="1" t="s">
        <v>509</v>
      </c>
      <c r="B11112" s="1" t="s">
        <v>767</v>
      </c>
      <c r="C11112" s="1" t="s">
        <v>167</v>
      </c>
      <c r="D11112" s="3">
        <f t="shared" si="1747"/>
        <v>7957</v>
      </c>
      <c r="E11112" s="2">
        <f t="shared" si="1748"/>
        <v>42644</v>
      </c>
      <c r="F11112" s="2">
        <f t="shared" si="1749"/>
        <v>44196</v>
      </c>
    </row>
    <row r="11113" spans="1:6" x14ac:dyDescent="0.25">
      <c r="A11113" s="1" t="s">
        <v>509</v>
      </c>
      <c r="B11113" s="1" t="s">
        <v>767</v>
      </c>
      <c r="C11113" s="1" t="s">
        <v>168</v>
      </c>
      <c r="D11113" s="3">
        <f t="shared" si="1747"/>
        <v>7957</v>
      </c>
      <c r="E11113" s="2">
        <f t="shared" si="1748"/>
        <v>42644</v>
      </c>
      <c r="F11113" s="2">
        <f t="shared" si="1749"/>
        <v>44196</v>
      </c>
    </row>
    <row r="11114" spans="1:6" x14ac:dyDescent="0.25">
      <c r="A11114" s="1" t="s">
        <v>509</v>
      </c>
      <c r="B11114" s="1" t="s">
        <v>767</v>
      </c>
      <c r="C11114" s="1" t="s">
        <v>47</v>
      </c>
      <c r="D11114" s="3">
        <f t="shared" si="1747"/>
        <v>7957</v>
      </c>
      <c r="E11114" s="2">
        <f t="shared" si="1748"/>
        <v>42644</v>
      </c>
      <c r="F11114" s="2">
        <f t="shared" si="1749"/>
        <v>44196</v>
      </c>
    </row>
    <row r="11115" spans="1:6" x14ac:dyDescent="0.25">
      <c r="A11115" s="1" t="s">
        <v>509</v>
      </c>
      <c r="B11115" s="1" t="s">
        <v>767</v>
      </c>
      <c r="C11115" s="1" t="s">
        <v>22</v>
      </c>
      <c r="D11115" s="3">
        <f t="shared" si="1747"/>
        <v>7957</v>
      </c>
      <c r="E11115" s="2">
        <f t="shared" si="1748"/>
        <v>42644</v>
      </c>
      <c r="F11115" s="2">
        <f t="shared" si="1749"/>
        <v>44196</v>
      </c>
    </row>
    <row r="11116" spans="1:6" x14ac:dyDescent="0.25">
      <c r="A11116" s="1" t="s">
        <v>509</v>
      </c>
      <c r="B11116" s="1" t="s">
        <v>767</v>
      </c>
      <c r="C11116" s="1" t="s">
        <v>258</v>
      </c>
      <c r="D11116" s="3">
        <f t="shared" si="1747"/>
        <v>7957</v>
      </c>
      <c r="E11116" s="2">
        <f t="shared" si="1748"/>
        <v>42644</v>
      </c>
      <c r="F11116" s="2">
        <f t="shared" si="1749"/>
        <v>44196</v>
      </c>
    </row>
    <row r="11117" spans="1:6" x14ac:dyDescent="0.25">
      <c r="A11117" s="1" t="s">
        <v>509</v>
      </c>
      <c r="B11117" s="1" t="s">
        <v>767</v>
      </c>
      <c r="C11117" s="1" t="s">
        <v>146</v>
      </c>
      <c r="D11117" s="3">
        <f t="shared" si="1747"/>
        <v>7957</v>
      </c>
      <c r="E11117" s="2">
        <f t="shared" si="1748"/>
        <v>42644</v>
      </c>
      <c r="F11117" s="2">
        <f t="shared" si="1749"/>
        <v>44196</v>
      </c>
    </row>
    <row r="11118" spans="1:6" x14ac:dyDescent="0.25">
      <c r="A11118" s="1" t="s">
        <v>509</v>
      </c>
      <c r="B11118" s="1" t="s">
        <v>767</v>
      </c>
      <c r="C11118" s="1" t="s">
        <v>67</v>
      </c>
      <c r="D11118" s="3">
        <f t="shared" si="1747"/>
        <v>7957</v>
      </c>
      <c r="E11118" s="2">
        <f t="shared" si="1748"/>
        <v>42644</v>
      </c>
      <c r="F11118" s="2">
        <f t="shared" si="1749"/>
        <v>44196</v>
      </c>
    </row>
    <row r="11119" spans="1:6" x14ac:dyDescent="0.25">
      <c r="A11119" s="1" t="s">
        <v>509</v>
      </c>
      <c r="B11119" s="1" t="s">
        <v>767</v>
      </c>
      <c r="C11119" s="1" t="s">
        <v>259</v>
      </c>
      <c r="D11119" s="3">
        <f t="shared" si="1747"/>
        <v>7957</v>
      </c>
      <c r="E11119" s="2">
        <f t="shared" si="1748"/>
        <v>42644</v>
      </c>
      <c r="F11119" s="2">
        <f t="shared" si="1749"/>
        <v>44196</v>
      </c>
    </row>
    <row r="11120" spans="1:6" x14ac:dyDescent="0.25">
      <c r="A11120" s="1" t="s">
        <v>509</v>
      </c>
      <c r="B11120" s="1" t="s">
        <v>767</v>
      </c>
      <c r="C11120" s="1" t="s">
        <v>384</v>
      </c>
      <c r="D11120" s="3">
        <f t="shared" si="1747"/>
        <v>7957</v>
      </c>
      <c r="E11120" s="2">
        <f t="shared" si="1748"/>
        <v>42644</v>
      </c>
      <c r="F11120" s="2">
        <f t="shared" si="1749"/>
        <v>44196</v>
      </c>
    </row>
    <row r="11121" spans="1:6" x14ac:dyDescent="0.25">
      <c r="A11121" s="1" t="s">
        <v>509</v>
      </c>
      <c r="B11121" s="1" t="s">
        <v>767</v>
      </c>
      <c r="C11121" s="1" t="s">
        <v>148</v>
      </c>
      <c r="D11121" s="3">
        <f t="shared" si="1747"/>
        <v>7957</v>
      </c>
      <c r="E11121" s="2">
        <f t="shared" si="1748"/>
        <v>42644</v>
      </c>
      <c r="F11121" s="2">
        <f t="shared" si="1749"/>
        <v>44196</v>
      </c>
    </row>
    <row r="11122" spans="1:6" x14ac:dyDescent="0.25">
      <c r="A11122" s="1" t="s">
        <v>509</v>
      </c>
      <c r="B11122" s="1" t="s">
        <v>767</v>
      </c>
      <c r="C11122" s="1" t="s">
        <v>149</v>
      </c>
      <c r="D11122" s="3">
        <f t="shared" ref="D11122:D11153" si="1750">VALUE("7957")</f>
        <v>7957</v>
      </c>
      <c r="E11122" s="2">
        <f t="shared" ref="E11122:E11153" si="1751">DATEVALUE("1-10-2016")</f>
        <v>42644</v>
      </c>
      <c r="F11122" s="2">
        <f t="shared" ref="F11122:F11153" si="1752">DATEVALUE("31-12-2020")</f>
        <v>44196</v>
      </c>
    </row>
    <row r="11123" spans="1:6" x14ac:dyDescent="0.25">
      <c r="A11123" s="1" t="s">
        <v>509</v>
      </c>
      <c r="B11123" s="1" t="s">
        <v>767</v>
      </c>
      <c r="C11123" s="1" t="s">
        <v>386</v>
      </c>
      <c r="D11123" s="3">
        <f t="shared" si="1750"/>
        <v>7957</v>
      </c>
      <c r="E11123" s="2">
        <f t="shared" si="1751"/>
        <v>42644</v>
      </c>
      <c r="F11123" s="2">
        <f t="shared" si="1752"/>
        <v>44196</v>
      </c>
    </row>
    <row r="11124" spans="1:6" x14ac:dyDescent="0.25">
      <c r="A11124" s="1" t="s">
        <v>509</v>
      </c>
      <c r="B11124" s="1" t="s">
        <v>767</v>
      </c>
      <c r="C11124" s="1" t="s">
        <v>387</v>
      </c>
      <c r="D11124" s="3">
        <f t="shared" si="1750"/>
        <v>7957</v>
      </c>
      <c r="E11124" s="2">
        <f t="shared" si="1751"/>
        <v>42644</v>
      </c>
      <c r="F11124" s="2">
        <f t="shared" si="1752"/>
        <v>44196</v>
      </c>
    </row>
    <row r="11125" spans="1:6" x14ac:dyDescent="0.25">
      <c r="A11125" s="1" t="s">
        <v>509</v>
      </c>
      <c r="B11125" s="1" t="s">
        <v>767</v>
      </c>
      <c r="C11125" s="1" t="s">
        <v>388</v>
      </c>
      <c r="D11125" s="3">
        <f t="shared" si="1750"/>
        <v>7957</v>
      </c>
      <c r="E11125" s="2">
        <f t="shared" si="1751"/>
        <v>42644</v>
      </c>
      <c r="F11125" s="2">
        <f t="shared" si="1752"/>
        <v>44196</v>
      </c>
    </row>
    <row r="11126" spans="1:6" x14ac:dyDescent="0.25">
      <c r="A11126" s="1" t="s">
        <v>509</v>
      </c>
      <c r="B11126" s="1" t="s">
        <v>767</v>
      </c>
      <c r="C11126" s="1" t="s">
        <v>456</v>
      </c>
      <c r="D11126" s="3">
        <f t="shared" si="1750"/>
        <v>7957</v>
      </c>
      <c r="E11126" s="2">
        <f t="shared" si="1751"/>
        <v>42644</v>
      </c>
      <c r="F11126" s="2">
        <f t="shared" si="1752"/>
        <v>44196</v>
      </c>
    </row>
    <row r="11127" spans="1:6" x14ac:dyDescent="0.25">
      <c r="A11127" s="1" t="s">
        <v>509</v>
      </c>
      <c r="B11127" s="1" t="s">
        <v>767</v>
      </c>
      <c r="C11127" s="1" t="s">
        <v>151</v>
      </c>
      <c r="D11127" s="3">
        <f t="shared" si="1750"/>
        <v>7957</v>
      </c>
      <c r="E11127" s="2">
        <f t="shared" si="1751"/>
        <v>42644</v>
      </c>
      <c r="F11127" s="2">
        <f t="shared" si="1752"/>
        <v>44196</v>
      </c>
    </row>
    <row r="11128" spans="1:6" x14ac:dyDescent="0.25">
      <c r="A11128" s="1" t="s">
        <v>509</v>
      </c>
      <c r="B11128" s="1" t="s">
        <v>767</v>
      </c>
      <c r="C11128" s="1" t="s">
        <v>684</v>
      </c>
      <c r="D11128" s="3">
        <f t="shared" si="1750"/>
        <v>7957</v>
      </c>
      <c r="E11128" s="2">
        <f t="shared" si="1751"/>
        <v>42644</v>
      </c>
      <c r="F11128" s="2">
        <f t="shared" si="1752"/>
        <v>44196</v>
      </c>
    </row>
    <row r="11129" spans="1:6" x14ac:dyDescent="0.25">
      <c r="A11129" s="1" t="s">
        <v>509</v>
      </c>
      <c r="B11129" s="1" t="s">
        <v>767</v>
      </c>
      <c r="C11129" s="1" t="s">
        <v>768</v>
      </c>
      <c r="D11129" s="3">
        <f t="shared" si="1750"/>
        <v>7957</v>
      </c>
      <c r="E11129" s="2">
        <f t="shared" si="1751"/>
        <v>42644</v>
      </c>
      <c r="F11129" s="2">
        <f t="shared" si="1752"/>
        <v>44196</v>
      </c>
    </row>
    <row r="11130" spans="1:6" x14ac:dyDescent="0.25">
      <c r="A11130" s="1" t="s">
        <v>509</v>
      </c>
      <c r="B11130" s="1" t="s">
        <v>767</v>
      </c>
      <c r="C11130" s="1" t="s">
        <v>94</v>
      </c>
      <c r="D11130" s="3">
        <f t="shared" si="1750"/>
        <v>7957</v>
      </c>
      <c r="E11130" s="2">
        <f t="shared" si="1751"/>
        <v>42644</v>
      </c>
      <c r="F11130" s="2">
        <f t="shared" si="1752"/>
        <v>44196</v>
      </c>
    </row>
    <row r="11131" spans="1:6" x14ac:dyDescent="0.25">
      <c r="A11131" s="1" t="s">
        <v>509</v>
      </c>
      <c r="B11131" s="1" t="s">
        <v>767</v>
      </c>
      <c r="C11131" s="1" t="s">
        <v>515</v>
      </c>
      <c r="D11131" s="3">
        <f t="shared" si="1750"/>
        <v>7957</v>
      </c>
      <c r="E11131" s="2">
        <f t="shared" si="1751"/>
        <v>42644</v>
      </c>
      <c r="F11131" s="2">
        <f t="shared" si="1752"/>
        <v>44196</v>
      </c>
    </row>
    <row r="11132" spans="1:6" x14ac:dyDescent="0.25">
      <c r="A11132" s="1" t="s">
        <v>509</v>
      </c>
      <c r="B11132" s="1" t="s">
        <v>767</v>
      </c>
      <c r="C11132" s="1" t="s">
        <v>155</v>
      </c>
      <c r="D11132" s="3">
        <f t="shared" si="1750"/>
        <v>7957</v>
      </c>
      <c r="E11132" s="2">
        <f t="shared" si="1751"/>
        <v>42644</v>
      </c>
      <c r="F11132" s="2">
        <f t="shared" si="1752"/>
        <v>44196</v>
      </c>
    </row>
    <row r="11133" spans="1:6" x14ac:dyDescent="0.25">
      <c r="A11133" s="1" t="s">
        <v>509</v>
      </c>
      <c r="B11133" s="1" t="s">
        <v>767</v>
      </c>
      <c r="C11133" s="1" t="s">
        <v>24</v>
      </c>
      <c r="D11133" s="3">
        <f t="shared" si="1750"/>
        <v>7957</v>
      </c>
      <c r="E11133" s="2">
        <f t="shared" si="1751"/>
        <v>42644</v>
      </c>
      <c r="F11133" s="2">
        <f t="shared" si="1752"/>
        <v>44196</v>
      </c>
    </row>
    <row r="11134" spans="1:6" x14ac:dyDescent="0.25">
      <c r="A11134" s="1" t="s">
        <v>509</v>
      </c>
      <c r="B11134" s="1" t="s">
        <v>767</v>
      </c>
      <c r="C11134" s="1" t="s">
        <v>50</v>
      </c>
      <c r="D11134" s="3">
        <f t="shared" si="1750"/>
        <v>7957</v>
      </c>
      <c r="E11134" s="2">
        <f t="shared" si="1751"/>
        <v>42644</v>
      </c>
      <c r="F11134" s="2">
        <f t="shared" si="1752"/>
        <v>44196</v>
      </c>
    </row>
    <row r="11135" spans="1:6" x14ac:dyDescent="0.25">
      <c r="A11135" s="1" t="s">
        <v>509</v>
      </c>
      <c r="B11135" s="1" t="s">
        <v>767</v>
      </c>
      <c r="C11135" s="1" t="s">
        <v>494</v>
      </c>
      <c r="D11135" s="3">
        <f t="shared" si="1750"/>
        <v>7957</v>
      </c>
      <c r="E11135" s="2">
        <f t="shared" si="1751"/>
        <v>42644</v>
      </c>
      <c r="F11135" s="2">
        <f t="shared" si="1752"/>
        <v>44196</v>
      </c>
    </row>
    <row r="11136" spans="1:6" x14ac:dyDescent="0.25">
      <c r="A11136" s="1" t="s">
        <v>509</v>
      </c>
      <c r="B11136" s="1" t="s">
        <v>767</v>
      </c>
      <c r="C11136" s="1" t="s">
        <v>97</v>
      </c>
      <c r="D11136" s="3">
        <f t="shared" si="1750"/>
        <v>7957</v>
      </c>
      <c r="E11136" s="2">
        <f t="shared" si="1751"/>
        <v>42644</v>
      </c>
      <c r="F11136" s="2">
        <f t="shared" si="1752"/>
        <v>44196</v>
      </c>
    </row>
    <row r="11137" spans="1:6" x14ac:dyDescent="0.25">
      <c r="A11137" s="1" t="s">
        <v>509</v>
      </c>
      <c r="B11137" s="1" t="s">
        <v>767</v>
      </c>
      <c r="C11137" s="1" t="s">
        <v>99</v>
      </c>
      <c r="D11137" s="3">
        <f t="shared" si="1750"/>
        <v>7957</v>
      </c>
      <c r="E11137" s="2">
        <f t="shared" si="1751"/>
        <v>42644</v>
      </c>
      <c r="F11137" s="2">
        <f t="shared" si="1752"/>
        <v>44196</v>
      </c>
    </row>
    <row r="11138" spans="1:6" x14ac:dyDescent="0.25">
      <c r="A11138" s="1" t="s">
        <v>509</v>
      </c>
      <c r="B11138" s="1" t="s">
        <v>767</v>
      </c>
      <c r="C11138" s="1" t="s">
        <v>100</v>
      </c>
      <c r="D11138" s="3">
        <f t="shared" si="1750"/>
        <v>7957</v>
      </c>
      <c r="E11138" s="2">
        <f t="shared" si="1751"/>
        <v>42644</v>
      </c>
      <c r="F11138" s="2">
        <f t="shared" si="1752"/>
        <v>44196</v>
      </c>
    </row>
    <row r="11139" spans="1:6" x14ac:dyDescent="0.25">
      <c r="A11139" s="1" t="s">
        <v>509</v>
      </c>
      <c r="B11139" s="1" t="s">
        <v>767</v>
      </c>
      <c r="C11139" s="1" t="s">
        <v>495</v>
      </c>
      <c r="D11139" s="3">
        <f t="shared" si="1750"/>
        <v>7957</v>
      </c>
      <c r="E11139" s="2">
        <f t="shared" si="1751"/>
        <v>42644</v>
      </c>
      <c r="F11139" s="2">
        <f t="shared" si="1752"/>
        <v>44196</v>
      </c>
    </row>
    <row r="11140" spans="1:6" x14ac:dyDescent="0.25">
      <c r="A11140" s="1" t="s">
        <v>509</v>
      </c>
      <c r="B11140" s="1" t="s">
        <v>767</v>
      </c>
      <c r="C11140" s="1" t="s">
        <v>72</v>
      </c>
      <c r="D11140" s="3">
        <f t="shared" si="1750"/>
        <v>7957</v>
      </c>
      <c r="E11140" s="2">
        <f t="shared" si="1751"/>
        <v>42644</v>
      </c>
      <c r="F11140" s="2">
        <f t="shared" si="1752"/>
        <v>44196</v>
      </c>
    </row>
    <row r="11141" spans="1:6" x14ac:dyDescent="0.25">
      <c r="A11141" s="1" t="s">
        <v>509</v>
      </c>
      <c r="B11141" s="1" t="s">
        <v>767</v>
      </c>
      <c r="C11141" s="1" t="s">
        <v>457</v>
      </c>
      <c r="D11141" s="3">
        <f t="shared" si="1750"/>
        <v>7957</v>
      </c>
      <c r="E11141" s="2">
        <f t="shared" si="1751"/>
        <v>42644</v>
      </c>
      <c r="F11141" s="2">
        <f t="shared" si="1752"/>
        <v>44196</v>
      </c>
    </row>
    <row r="11142" spans="1:6" x14ac:dyDescent="0.25">
      <c r="A11142" s="1" t="s">
        <v>509</v>
      </c>
      <c r="B11142" s="1" t="s">
        <v>767</v>
      </c>
      <c r="C11142" s="1" t="s">
        <v>516</v>
      </c>
      <c r="D11142" s="3">
        <f t="shared" si="1750"/>
        <v>7957</v>
      </c>
      <c r="E11142" s="2">
        <f t="shared" si="1751"/>
        <v>42644</v>
      </c>
      <c r="F11142" s="2">
        <f t="shared" si="1752"/>
        <v>44196</v>
      </c>
    </row>
    <row r="11143" spans="1:6" x14ac:dyDescent="0.25">
      <c r="A11143" s="1" t="s">
        <v>509</v>
      </c>
      <c r="B11143" s="1" t="s">
        <v>767</v>
      </c>
      <c r="C11143" s="1" t="s">
        <v>476</v>
      </c>
      <c r="D11143" s="3">
        <f t="shared" si="1750"/>
        <v>7957</v>
      </c>
      <c r="E11143" s="2">
        <f t="shared" si="1751"/>
        <v>42644</v>
      </c>
      <c r="F11143" s="2">
        <f t="shared" si="1752"/>
        <v>44196</v>
      </c>
    </row>
    <row r="11144" spans="1:6" x14ac:dyDescent="0.25">
      <c r="A11144" s="1" t="s">
        <v>509</v>
      </c>
      <c r="B11144" s="1" t="s">
        <v>767</v>
      </c>
      <c r="C11144" s="1" t="s">
        <v>104</v>
      </c>
      <c r="D11144" s="3">
        <f t="shared" si="1750"/>
        <v>7957</v>
      </c>
      <c r="E11144" s="2">
        <f t="shared" si="1751"/>
        <v>42644</v>
      </c>
      <c r="F11144" s="2">
        <f t="shared" si="1752"/>
        <v>44196</v>
      </c>
    </row>
    <row r="11145" spans="1:6" x14ac:dyDescent="0.25">
      <c r="A11145" s="1" t="s">
        <v>509</v>
      </c>
      <c r="B11145" s="1" t="s">
        <v>767</v>
      </c>
      <c r="C11145" s="1" t="s">
        <v>769</v>
      </c>
      <c r="D11145" s="3">
        <f t="shared" si="1750"/>
        <v>7957</v>
      </c>
      <c r="E11145" s="2">
        <f t="shared" si="1751"/>
        <v>42644</v>
      </c>
      <c r="F11145" s="2">
        <f t="shared" si="1752"/>
        <v>44196</v>
      </c>
    </row>
    <row r="11146" spans="1:6" x14ac:dyDescent="0.25">
      <c r="A11146" s="1" t="s">
        <v>509</v>
      </c>
      <c r="B11146" s="1" t="s">
        <v>767</v>
      </c>
      <c r="C11146" s="1" t="s">
        <v>52</v>
      </c>
      <c r="D11146" s="3">
        <f t="shared" si="1750"/>
        <v>7957</v>
      </c>
      <c r="E11146" s="2">
        <f t="shared" si="1751"/>
        <v>42644</v>
      </c>
      <c r="F11146" s="2">
        <f t="shared" si="1752"/>
        <v>44196</v>
      </c>
    </row>
    <row r="11147" spans="1:6" x14ac:dyDescent="0.25">
      <c r="A11147" s="1" t="s">
        <v>509</v>
      </c>
      <c r="B11147" s="1" t="s">
        <v>767</v>
      </c>
      <c r="C11147" s="1" t="s">
        <v>349</v>
      </c>
      <c r="D11147" s="3">
        <f t="shared" si="1750"/>
        <v>7957</v>
      </c>
      <c r="E11147" s="2">
        <f t="shared" si="1751"/>
        <v>42644</v>
      </c>
      <c r="F11147" s="2">
        <f t="shared" si="1752"/>
        <v>44196</v>
      </c>
    </row>
    <row r="11148" spans="1:6" x14ac:dyDescent="0.25">
      <c r="A11148" s="1" t="s">
        <v>509</v>
      </c>
      <c r="B11148" s="1" t="s">
        <v>767</v>
      </c>
      <c r="C11148" s="1" t="s">
        <v>458</v>
      </c>
      <c r="D11148" s="3">
        <f t="shared" si="1750"/>
        <v>7957</v>
      </c>
      <c r="E11148" s="2">
        <f t="shared" si="1751"/>
        <v>42644</v>
      </c>
      <c r="F11148" s="2">
        <f t="shared" si="1752"/>
        <v>44196</v>
      </c>
    </row>
    <row r="11149" spans="1:6" x14ac:dyDescent="0.25">
      <c r="A11149" s="1" t="s">
        <v>509</v>
      </c>
      <c r="B11149" s="1" t="s">
        <v>767</v>
      </c>
      <c r="C11149" s="1" t="s">
        <v>459</v>
      </c>
      <c r="D11149" s="3">
        <f t="shared" si="1750"/>
        <v>7957</v>
      </c>
      <c r="E11149" s="2">
        <f t="shared" si="1751"/>
        <v>42644</v>
      </c>
      <c r="F11149" s="2">
        <f t="shared" si="1752"/>
        <v>44196</v>
      </c>
    </row>
    <row r="11150" spans="1:6" x14ac:dyDescent="0.25">
      <c r="A11150" s="1" t="s">
        <v>509</v>
      </c>
      <c r="B11150" s="1" t="s">
        <v>767</v>
      </c>
      <c r="C11150" s="1" t="s">
        <v>350</v>
      </c>
      <c r="D11150" s="3">
        <f t="shared" si="1750"/>
        <v>7957</v>
      </c>
      <c r="E11150" s="2">
        <f t="shared" si="1751"/>
        <v>42644</v>
      </c>
      <c r="F11150" s="2">
        <f t="shared" si="1752"/>
        <v>44196</v>
      </c>
    </row>
    <row r="11151" spans="1:6" x14ac:dyDescent="0.25">
      <c r="A11151" s="1" t="s">
        <v>509</v>
      </c>
      <c r="B11151" s="1" t="s">
        <v>767</v>
      </c>
      <c r="C11151" s="1" t="s">
        <v>351</v>
      </c>
      <c r="D11151" s="3">
        <f t="shared" si="1750"/>
        <v>7957</v>
      </c>
      <c r="E11151" s="2">
        <f t="shared" si="1751"/>
        <v>42644</v>
      </c>
      <c r="F11151" s="2">
        <f t="shared" si="1752"/>
        <v>44196</v>
      </c>
    </row>
    <row r="11152" spans="1:6" x14ac:dyDescent="0.25">
      <c r="A11152" s="1" t="s">
        <v>509</v>
      </c>
      <c r="B11152" s="1" t="s">
        <v>767</v>
      </c>
      <c r="C11152" s="1" t="s">
        <v>770</v>
      </c>
      <c r="D11152" s="3">
        <f t="shared" si="1750"/>
        <v>7957</v>
      </c>
      <c r="E11152" s="2">
        <f t="shared" si="1751"/>
        <v>42644</v>
      </c>
      <c r="F11152" s="2">
        <f t="shared" si="1752"/>
        <v>44196</v>
      </c>
    </row>
    <row r="11153" spans="1:6" x14ac:dyDescent="0.25">
      <c r="A11153" s="1" t="s">
        <v>509</v>
      </c>
      <c r="B11153" s="1" t="s">
        <v>767</v>
      </c>
      <c r="C11153" s="1" t="s">
        <v>160</v>
      </c>
      <c r="D11153" s="3">
        <f t="shared" si="1750"/>
        <v>7957</v>
      </c>
      <c r="E11153" s="2">
        <f t="shared" si="1751"/>
        <v>42644</v>
      </c>
      <c r="F11153" s="2">
        <f t="shared" si="1752"/>
        <v>44196</v>
      </c>
    </row>
    <row r="11154" spans="1:6" x14ac:dyDescent="0.25">
      <c r="A11154" s="1" t="s">
        <v>509</v>
      </c>
      <c r="B11154" s="1" t="s">
        <v>767</v>
      </c>
      <c r="C11154" s="1" t="s">
        <v>378</v>
      </c>
      <c r="D11154" s="3">
        <f t="shared" ref="D11154:D11168" si="1753">VALUE("7957")</f>
        <v>7957</v>
      </c>
      <c r="E11154" s="2">
        <f t="shared" ref="E11154:E11170" si="1754">DATEVALUE("1-10-2016")</f>
        <v>42644</v>
      </c>
      <c r="F11154" s="2">
        <f t="shared" ref="F11154:F11168" si="1755">DATEVALUE("31-12-2020")</f>
        <v>44196</v>
      </c>
    </row>
    <row r="11155" spans="1:6" x14ac:dyDescent="0.25">
      <c r="A11155" s="1" t="s">
        <v>509</v>
      </c>
      <c r="B11155" s="1" t="s">
        <v>767</v>
      </c>
      <c r="C11155" s="1" t="s">
        <v>162</v>
      </c>
      <c r="D11155" s="3">
        <f t="shared" si="1753"/>
        <v>7957</v>
      </c>
      <c r="E11155" s="2">
        <f t="shared" si="1754"/>
        <v>42644</v>
      </c>
      <c r="F11155" s="2">
        <f t="shared" si="1755"/>
        <v>44196</v>
      </c>
    </row>
    <row r="11156" spans="1:6" x14ac:dyDescent="0.25">
      <c r="A11156" s="1" t="s">
        <v>509</v>
      </c>
      <c r="B11156" s="1" t="s">
        <v>767</v>
      </c>
      <c r="C11156" s="1" t="s">
        <v>34</v>
      </c>
      <c r="D11156" s="3">
        <f t="shared" si="1753"/>
        <v>7957</v>
      </c>
      <c r="E11156" s="2">
        <f t="shared" si="1754"/>
        <v>42644</v>
      </c>
      <c r="F11156" s="2">
        <f t="shared" si="1755"/>
        <v>44196</v>
      </c>
    </row>
    <row r="11157" spans="1:6" x14ac:dyDescent="0.25">
      <c r="A11157" s="1" t="s">
        <v>509</v>
      </c>
      <c r="B11157" s="1" t="s">
        <v>767</v>
      </c>
      <c r="C11157" s="1" t="s">
        <v>306</v>
      </c>
      <c r="D11157" s="3">
        <f t="shared" si="1753"/>
        <v>7957</v>
      </c>
      <c r="E11157" s="2">
        <f t="shared" si="1754"/>
        <v>42644</v>
      </c>
      <c r="F11157" s="2">
        <f t="shared" si="1755"/>
        <v>44196</v>
      </c>
    </row>
    <row r="11158" spans="1:6" x14ac:dyDescent="0.25">
      <c r="A11158" s="1" t="s">
        <v>509</v>
      </c>
      <c r="B11158" s="1" t="s">
        <v>767</v>
      </c>
      <c r="C11158" s="1" t="s">
        <v>379</v>
      </c>
      <c r="D11158" s="3">
        <f t="shared" si="1753"/>
        <v>7957</v>
      </c>
      <c r="E11158" s="2">
        <f t="shared" si="1754"/>
        <v>42644</v>
      </c>
      <c r="F11158" s="2">
        <f t="shared" si="1755"/>
        <v>44196</v>
      </c>
    </row>
    <row r="11159" spans="1:6" x14ac:dyDescent="0.25">
      <c r="A11159" s="1" t="s">
        <v>509</v>
      </c>
      <c r="B11159" s="1" t="s">
        <v>767</v>
      </c>
      <c r="C11159" s="1" t="s">
        <v>115</v>
      </c>
      <c r="D11159" s="3">
        <f t="shared" si="1753"/>
        <v>7957</v>
      </c>
      <c r="E11159" s="2">
        <f t="shared" si="1754"/>
        <v>42644</v>
      </c>
      <c r="F11159" s="2">
        <f t="shared" si="1755"/>
        <v>44196</v>
      </c>
    </row>
    <row r="11160" spans="1:6" x14ac:dyDescent="0.25">
      <c r="A11160" s="1" t="s">
        <v>509</v>
      </c>
      <c r="B11160" s="1" t="s">
        <v>767</v>
      </c>
      <c r="C11160" s="1" t="s">
        <v>131</v>
      </c>
      <c r="D11160" s="3">
        <f t="shared" si="1753"/>
        <v>7957</v>
      </c>
      <c r="E11160" s="2">
        <f t="shared" si="1754"/>
        <v>42644</v>
      </c>
      <c r="F11160" s="2">
        <f t="shared" si="1755"/>
        <v>44196</v>
      </c>
    </row>
    <row r="11161" spans="1:6" x14ac:dyDescent="0.25">
      <c r="A11161" s="1" t="s">
        <v>509</v>
      </c>
      <c r="B11161" s="1" t="s">
        <v>767</v>
      </c>
      <c r="C11161" s="1" t="s">
        <v>519</v>
      </c>
      <c r="D11161" s="3">
        <f t="shared" si="1753"/>
        <v>7957</v>
      </c>
      <c r="E11161" s="2">
        <f t="shared" si="1754"/>
        <v>42644</v>
      </c>
      <c r="F11161" s="2">
        <f t="shared" si="1755"/>
        <v>44196</v>
      </c>
    </row>
    <row r="11162" spans="1:6" x14ac:dyDescent="0.25">
      <c r="A11162" s="1" t="s">
        <v>509</v>
      </c>
      <c r="B11162" s="1" t="s">
        <v>767</v>
      </c>
      <c r="C11162" s="1" t="s">
        <v>56</v>
      </c>
      <c r="D11162" s="3">
        <f t="shared" si="1753"/>
        <v>7957</v>
      </c>
      <c r="E11162" s="2">
        <f t="shared" si="1754"/>
        <v>42644</v>
      </c>
      <c r="F11162" s="2">
        <f t="shared" si="1755"/>
        <v>44196</v>
      </c>
    </row>
    <row r="11163" spans="1:6" x14ac:dyDescent="0.25">
      <c r="A11163" s="1" t="s">
        <v>509</v>
      </c>
      <c r="B11163" s="1" t="s">
        <v>767</v>
      </c>
      <c r="C11163" s="1" t="s">
        <v>57</v>
      </c>
      <c r="D11163" s="3">
        <f t="shared" si="1753"/>
        <v>7957</v>
      </c>
      <c r="E11163" s="2">
        <f t="shared" si="1754"/>
        <v>42644</v>
      </c>
      <c r="F11163" s="2">
        <f t="shared" si="1755"/>
        <v>44196</v>
      </c>
    </row>
    <row r="11164" spans="1:6" x14ac:dyDescent="0.25">
      <c r="A11164" s="1" t="s">
        <v>509</v>
      </c>
      <c r="B11164" s="1" t="s">
        <v>767</v>
      </c>
      <c r="C11164" s="1" t="s">
        <v>173</v>
      </c>
      <c r="D11164" s="3">
        <f t="shared" si="1753"/>
        <v>7957</v>
      </c>
      <c r="E11164" s="2">
        <f t="shared" si="1754"/>
        <v>42644</v>
      </c>
      <c r="F11164" s="2">
        <f t="shared" si="1755"/>
        <v>44196</v>
      </c>
    </row>
    <row r="11165" spans="1:6" x14ac:dyDescent="0.25">
      <c r="A11165" s="1" t="s">
        <v>509</v>
      </c>
      <c r="B11165" s="1" t="s">
        <v>767</v>
      </c>
      <c r="C11165" s="1" t="s">
        <v>36</v>
      </c>
      <c r="D11165" s="3">
        <f t="shared" si="1753"/>
        <v>7957</v>
      </c>
      <c r="E11165" s="2">
        <f t="shared" si="1754"/>
        <v>42644</v>
      </c>
      <c r="F11165" s="2">
        <f t="shared" si="1755"/>
        <v>44196</v>
      </c>
    </row>
    <row r="11166" spans="1:6" x14ac:dyDescent="0.25">
      <c r="A11166" s="1" t="s">
        <v>509</v>
      </c>
      <c r="B11166" s="1" t="s">
        <v>767</v>
      </c>
      <c r="C11166" s="1" t="s">
        <v>169</v>
      </c>
      <c r="D11166" s="3">
        <f t="shared" si="1753"/>
        <v>7957</v>
      </c>
      <c r="E11166" s="2">
        <f t="shared" si="1754"/>
        <v>42644</v>
      </c>
      <c r="F11166" s="2">
        <f t="shared" si="1755"/>
        <v>44196</v>
      </c>
    </row>
    <row r="11167" spans="1:6" x14ac:dyDescent="0.25">
      <c r="A11167" s="1" t="s">
        <v>509</v>
      </c>
      <c r="B11167" s="1" t="s">
        <v>767</v>
      </c>
      <c r="C11167" s="1" t="s">
        <v>170</v>
      </c>
      <c r="D11167" s="3">
        <f t="shared" si="1753"/>
        <v>7957</v>
      </c>
      <c r="E11167" s="2">
        <f t="shared" si="1754"/>
        <v>42644</v>
      </c>
      <c r="F11167" s="2">
        <f t="shared" si="1755"/>
        <v>44196</v>
      </c>
    </row>
    <row r="11168" spans="1:6" x14ac:dyDescent="0.25">
      <c r="A11168" s="1" t="s">
        <v>509</v>
      </c>
      <c r="B11168" s="1" t="s">
        <v>767</v>
      </c>
      <c r="C11168" s="1" t="s">
        <v>117</v>
      </c>
      <c r="D11168" s="3">
        <f t="shared" si="1753"/>
        <v>7957</v>
      </c>
      <c r="E11168" s="2">
        <f t="shared" si="1754"/>
        <v>42644</v>
      </c>
      <c r="F11168" s="2">
        <f t="shared" si="1755"/>
        <v>44196</v>
      </c>
    </row>
    <row r="11169" spans="1:6" x14ac:dyDescent="0.25">
      <c r="A11169" s="1" t="s">
        <v>509</v>
      </c>
      <c r="B11169" s="1" t="s">
        <v>2015</v>
      </c>
      <c r="C11169" s="1" t="s">
        <v>45</v>
      </c>
      <c r="D11169" s="3">
        <f>VALUE("7968")</f>
        <v>7968</v>
      </c>
      <c r="E11169" s="2">
        <f t="shared" si="1754"/>
        <v>42644</v>
      </c>
      <c r="F11169" s="2">
        <f>DATEVALUE("30-6-2017")</f>
        <v>42916</v>
      </c>
    </row>
    <row r="11170" spans="1:6" x14ac:dyDescent="0.25">
      <c r="A11170" s="1" t="s">
        <v>509</v>
      </c>
      <c r="B11170" s="1" t="s">
        <v>2015</v>
      </c>
      <c r="C11170" s="1" t="s">
        <v>149</v>
      </c>
      <c r="D11170" s="3">
        <f>VALUE("7968")</f>
        <v>7968</v>
      </c>
      <c r="E11170" s="2">
        <f t="shared" si="1754"/>
        <v>42644</v>
      </c>
      <c r="F11170" s="2">
        <f>DATEVALUE("30-6-2017")</f>
        <v>42916</v>
      </c>
    </row>
    <row r="11171" spans="1:6" x14ac:dyDescent="0.25">
      <c r="A11171" s="1" t="s">
        <v>509</v>
      </c>
      <c r="B11171" s="1" t="s">
        <v>2227</v>
      </c>
      <c r="C11171" s="1" t="s">
        <v>45</v>
      </c>
      <c r="D11171" s="3">
        <f t="shared" ref="D11171:D11179" si="1756">VALUE("7861")</f>
        <v>7861</v>
      </c>
      <c r="E11171" s="2">
        <f t="shared" ref="E11171:E11179" si="1757">DATEVALUE("1-3-2016")</f>
        <v>42430</v>
      </c>
      <c r="F11171" s="2">
        <f t="shared" ref="F11171:F11179" si="1758">DATEVALUE("31-1-2018")</f>
        <v>43131</v>
      </c>
    </row>
    <row r="11172" spans="1:6" x14ac:dyDescent="0.25">
      <c r="A11172" s="1" t="s">
        <v>509</v>
      </c>
      <c r="B11172" s="1" t="s">
        <v>2227</v>
      </c>
      <c r="C11172" s="1" t="s">
        <v>17</v>
      </c>
      <c r="D11172" s="3">
        <f t="shared" si="1756"/>
        <v>7861</v>
      </c>
      <c r="E11172" s="2">
        <f t="shared" si="1757"/>
        <v>42430</v>
      </c>
      <c r="F11172" s="2">
        <f t="shared" si="1758"/>
        <v>43131</v>
      </c>
    </row>
    <row r="11173" spans="1:6" x14ac:dyDescent="0.25">
      <c r="A11173" s="1" t="s">
        <v>509</v>
      </c>
      <c r="B11173" s="1" t="s">
        <v>2227</v>
      </c>
      <c r="C11173" s="1" t="s">
        <v>146</v>
      </c>
      <c r="D11173" s="3">
        <f t="shared" si="1756"/>
        <v>7861</v>
      </c>
      <c r="E11173" s="2">
        <f t="shared" si="1757"/>
        <v>42430</v>
      </c>
      <c r="F11173" s="2">
        <f t="shared" si="1758"/>
        <v>43131</v>
      </c>
    </row>
    <row r="11174" spans="1:6" x14ac:dyDescent="0.25">
      <c r="A11174" s="1" t="s">
        <v>509</v>
      </c>
      <c r="B11174" s="1" t="s">
        <v>2227</v>
      </c>
      <c r="C11174" s="1" t="s">
        <v>67</v>
      </c>
      <c r="D11174" s="3">
        <f t="shared" si="1756"/>
        <v>7861</v>
      </c>
      <c r="E11174" s="2">
        <f t="shared" si="1757"/>
        <v>42430</v>
      </c>
      <c r="F11174" s="2">
        <f t="shared" si="1758"/>
        <v>43131</v>
      </c>
    </row>
    <row r="11175" spans="1:6" x14ac:dyDescent="0.25">
      <c r="A11175" s="1" t="s">
        <v>509</v>
      </c>
      <c r="B11175" s="1" t="s">
        <v>2227</v>
      </c>
      <c r="C11175" s="1" t="s">
        <v>148</v>
      </c>
      <c r="D11175" s="3">
        <f t="shared" si="1756"/>
        <v>7861</v>
      </c>
      <c r="E11175" s="2">
        <f t="shared" si="1757"/>
        <v>42430</v>
      </c>
      <c r="F11175" s="2">
        <f t="shared" si="1758"/>
        <v>43131</v>
      </c>
    </row>
    <row r="11176" spans="1:6" x14ac:dyDescent="0.25">
      <c r="A11176" s="1" t="s">
        <v>509</v>
      </c>
      <c r="B11176" s="1" t="s">
        <v>2227</v>
      </c>
      <c r="C11176" s="1" t="s">
        <v>149</v>
      </c>
      <c r="D11176" s="3">
        <f t="shared" si="1756"/>
        <v>7861</v>
      </c>
      <c r="E11176" s="2">
        <f t="shared" si="1757"/>
        <v>42430</v>
      </c>
      <c r="F11176" s="2">
        <f t="shared" si="1758"/>
        <v>43131</v>
      </c>
    </row>
    <row r="11177" spans="1:6" x14ac:dyDescent="0.25">
      <c r="A11177" s="1" t="s">
        <v>509</v>
      </c>
      <c r="B11177" s="1" t="s">
        <v>2227</v>
      </c>
      <c r="C11177" s="1" t="s">
        <v>150</v>
      </c>
      <c r="D11177" s="3">
        <f t="shared" si="1756"/>
        <v>7861</v>
      </c>
      <c r="E11177" s="2">
        <f t="shared" si="1757"/>
        <v>42430</v>
      </c>
      <c r="F11177" s="2">
        <f t="shared" si="1758"/>
        <v>43131</v>
      </c>
    </row>
    <row r="11178" spans="1:6" x14ac:dyDescent="0.25">
      <c r="A11178" s="1" t="s">
        <v>509</v>
      </c>
      <c r="B11178" s="1" t="s">
        <v>2227</v>
      </c>
      <c r="C11178" s="1" t="s">
        <v>172</v>
      </c>
      <c r="D11178" s="3">
        <f t="shared" si="1756"/>
        <v>7861</v>
      </c>
      <c r="E11178" s="2">
        <f t="shared" si="1757"/>
        <v>42430</v>
      </c>
      <c r="F11178" s="2">
        <f t="shared" si="1758"/>
        <v>43131</v>
      </c>
    </row>
    <row r="11179" spans="1:6" x14ac:dyDescent="0.25">
      <c r="A11179" s="1" t="s">
        <v>509</v>
      </c>
      <c r="B11179" s="1" t="s">
        <v>2227</v>
      </c>
      <c r="C11179" s="1" t="s">
        <v>160</v>
      </c>
      <c r="D11179" s="3">
        <f t="shared" si="1756"/>
        <v>7861</v>
      </c>
      <c r="E11179" s="2">
        <f t="shared" si="1757"/>
        <v>42430</v>
      </c>
      <c r="F11179" s="2">
        <f t="shared" si="1758"/>
        <v>43131</v>
      </c>
    </row>
    <row r="11180" spans="1:6" x14ac:dyDescent="0.25">
      <c r="A11180" s="1" t="s">
        <v>509</v>
      </c>
      <c r="B11180" s="1" t="s">
        <v>2208</v>
      </c>
      <c r="C11180" s="1" t="s">
        <v>863</v>
      </c>
      <c r="D11180" s="3">
        <f t="shared" ref="D11180:D11187" si="1759">VALUE("7808")</f>
        <v>7808</v>
      </c>
      <c r="E11180" s="2">
        <f t="shared" ref="E11180:E11187" si="1760">DATEVALUE("1-2-2016")</f>
        <v>42401</v>
      </c>
      <c r="F11180" s="2">
        <f t="shared" ref="F11180:F11187" si="1761">DATEVALUE("28-2-2017")</f>
        <v>42794</v>
      </c>
    </row>
    <row r="11181" spans="1:6" x14ac:dyDescent="0.25">
      <c r="A11181" s="1" t="s">
        <v>509</v>
      </c>
      <c r="B11181" s="1" t="s">
        <v>2208</v>
      </c>
      <c r="C11181" s="1" t="s">
        <v>14</v>
      </c>
      <c r="D11181" s="3">
        <f t="shared" si="1759"/>
        <v>7808</v>
      </c>
      <c r="E11181" s="2">
        <f t="shared" si="1760"/>
        <v>42401</v>
      </c>
      <c r="F11181" s="2">
        <f t="shared" si="1761"/>
        <v>42794</v>
      </c>
    </row>
    <row r="11182" spans="1:6" x14ac:dyDescent="0.25">
      <c r="A11182" s="1" t="s">
        <v>509</v>
      </c>
      <c r="B11182" s="1" t="s">
        <v>2208</v>
      </c>
      <c r="C11182" s="1" t="s">
        <v>17</v>
      </c>
      <c r="D11182" s="3">
        <f t="shared" si="1759"/>
        <v>7808</v>
      </c>
      <c r="E11182" s="2">
        <f t="shared" si="1760"/>
        <v>42401</v>
      </c>
      <c r="F11182" s="2">
        <f t="shared" si="1761"/>
        <v>42794</v>
      </c>
    </row>
    <row r="11183" spans="1:6" x14ac:dyDescent="0.25">
      <c r="A11183" s="1" t="s">
        <v>509</v>
      </c>
      <c r="B11183" s="1" t="s">
        <v>2208</v>
      </c>
      <c r="C11183" s="1" t="s">
        <v>150</v>
      </c>
      <c r="D11183" s="3">
        <f t="shared" si="1759"/>
        <v>7808</v>
      </c>
      <c r="E11183" s="2">
        <f t="shared" si="1760"/>
        <v>42401</v>
      </c>
      <c r="F11183" s="2">
        <f t="shared" si="1761"/>
        <v>42794</v>
      </c>
    </row>
    <row r="11184" spans="1:6" x14ac:dyDescent="0.25">
      <c r="A11184" s="1" t="s">
        <v>509</v>
      </c>
      <c r="B11184" s="1" t="s">
        <v>2208</v>
      </c>
      <c r="C11184" s="1" t="s">
        <v>172</v>
      </c>
      <c r="D11184" s="3">
        <f t="shared" si="1759"/>
        <v>7808</v>
      </c>
      <c r="E11184" s="2">
        <f t="shared" si="1760"/>
        <v>42401</v>
      </c>
      <c r="F11184" s="2">
        <f t="shared" si="1761"/>
        <v>42794</v>
      </c>
    </row>
    <row r="11185" spans="1:6" x14ac:dyDescent="0.25">
      <c r="A11185" s="1" t="s">
        <v>509</v>
      </c>
      <c r="B11185" s="1" t="s">
        <v>2208</v>
      </c>
      <c r="C11185" s="1" t="s">
        <v>211</v>
      </c>
      <c r="D11185" s="3">
        <f t="shared" si="1759"/>
        <v>7808</v>
      </c>
      <c r="E11185" s="2">
        <f t="shared" si="1760"/>
        <v>42401</v>
      </c>
      <c r="F11185" s="2">
        <f t="shared" si="1761"/>
        <v>42794</v>
      </c>
    </row>
    <row r="11186" spans="1:6" x14ac:dyDescent="0.25">
      <c r="A11186" s="1" t="s">
        <v>509</v>
      </c>
      <c r="B11186" s="1" t="s">
        <v>2208</v>
      </c>
      <c r="C11186" s="1" t="s">
        <v>51</v>
      </c>
      <c r="D11186" s="3">
        <f t="shared" si="1759"/>
        <v>7808</v>
      </c>
      <c r="E11186" s="2">
        <f t="shared" si="1760"/>
        <v>42401</v>
      </c>
      <c r="F11186" s="2">
        <f t="shared" si="1761"/>
        <v>42794</v>
      </c>
    </row>
    <row r="11187" spans="1:6" x14ac:dyDescent="0.25">
      <c r="A11187" s="1" t="s">
        <v>509</v>
      </c>
      <c r="B11187" s="1" t="s">
        <v>2208</v>
      </c>
      <c r="C11187" s="1" t="s">
        <v>55</v>
      </c>
      <c r="D11187" s="3">
        <f t="shared" si="1759"/>
        <v>7808</v>
      </c>
      <c r="E11187" s="2">
        <f t="shared" si="1760"/>
        <v>42401</v>
      </c>
      <c r="F11187" s="2">
        <f t="shared" si="1761"/>
        <v>42794</v>
      </c>
    </row>
    <row r="11188" spans="1:6" x14ac:dyDescent="0.25">
      <c r="A11188" s="1" t="s">
        <v>509</v>
      </c>
      <c r="B11188" s="1" t="s">
        <v>619</v>
      </c>
      <c r="C11188" s="1" t="s">
        <v>43</v>
      </c>
      <c r="D11188" s="3">
        <f t="shared" ref="D11188:D11207" si="1762">VALUE("7842")</f>
        <v>7842</v>
      </c>
      <c r="E11188" s="2">
        <f t="shared" ref="E11188:E11207" si="1763">DATEVALUE("1-1-2016")</f>
        <v>42370</v>
      </c>
      <c r="F11188" s="2">
        <f t="shared" ref="F11188:F11207" si="1764">DATEVALUE("28-2-2021")</f>
        <v>44255</v>
      </c>
    </row>
    <row r="11189" spans="1:6" x14ac:dyDescent="0.25">
      <c r="A11189" s="1" t="s">
        <v>509</v>
      </c>
      <c r="B11189" s="1" t="s">
        <v>619</v>
      </c>
      <c r="C11189" s="1" t="s">
        <v>45</v>
      </c>
      <c r="D11189" s="3">
        <f t="shared" si="1762"/>
        <v>7842</v>
      </c>
      <c r="E11189" s="2">
        <f t="shared" si="1763"/>
        <v>42370</v>
      </c>
      <c r="F11189" s="2">
        <f t="shared" si="1764"/>
        <v>44255</v>
      </c>
    </row>
    <row r="11190" spans="1:6" x14ac:dyDescent="0.25">
      <c r="A11190" s="1" t="s">
        <v>509</v>
      </c>
      <c r="B11190" s="1" t="s">
        <v>619</v>
      </c>
      <c r="C11190" s="1" t="s">
        <v>44</v>
      </c>
      <c r="D11190" s="3">
        <f t="shared" si="1762"/>
        <v>7842</v>
      </c>
      <c r="E11190" s="2">
        <f t="shared" si="1763"/>
        <v>42370</v>
      </c>
      <c r="F11190" s="2">
        <f t="shared" si="1764"/>
        <v>44255</v>
      </c>
    </row>
    <row r="11191" spans="1:6" x14ac:dyDescent="0.25">
      <c r="A11191" s="1" t="s">
        <v>509</v>
      </c>
      <c r="B11191" s="1" t="s">
        <v>619</v>
      </c>
      <c r="C11191" s="1" t="s">
        <v>14</v>
      </c>
      <c r="D11191" s="3">
        <f t="shared" si="1762"/>
        <v>7842</v>
      </c>
      <c r="E11191" s="2">
        <f t="shared" si="1763"/>
        <v>42370</v>
      </c>
      <c r="F11191" s="2">
        <f t="shared" si="1764"/>
        <v>44255</v>
      </c>
    </row>
    <row r="11192" spans="1:6" x14ac:dyDescent="0.25">
      <c r="A11192" s="1" t="s">
        <v>509</v>
      </c>
      <c r="B11192" s="1" t="s">
        <v>619</v>
      </c>
      <c r="C11192" s="1" t="s">
        <v>16</v>
      </c>
      <c r="D11192" s="3">
        <f t="shared" si="1762"/>
        <v>7842</v>
      </c>
      <c r="E11192" s="2">
        <f t="shared" si="1763"/>
        <v>42370</v>
      </c>
      <c r="F11192" s="2">
        <f t="shared" si="1764"/>
        <v>44255</v>
      </c>
    </row>
    <row r="11193" spans="1:6" x14ac:dyDescent="0.25">
      <c r="A11193" s="1" t="s">
        <v>509</v>
      </c>
      <c r="B11193" s="1" t="s">
        <v>619</v>
      </c>
      <c r="C11193" s="1" t="s">
        <v>17</v>
      </c>
      <c r="D11193" s="3">
        <f t="shared" si="1762"/>
        <v>7842</v>
      </c>
      <c r="E11193" s="2">
        <f t="shared" si="1763"/>
        <v>42370</v>
      </c>
      <c r="F11193" s="2">
        <f t="shared" si="1764"/>
        <v>44255</v>
      </c>
    </row>
    <row r="11194" spans="1:6" x14ac:dyDescent="0.25">
      <c r="A11194" s="1" t="s">
        <v>509</v>
      </c>
      <c r="B11194" s="1" t="s">
        <v>619</v>
      </c>
      <c r="C11194" s="1" t="s">
        <v>67</v>
      </c>
      <c r="D11194" s="3">
        <f t="shared" si="1762"/>
        <v>7842</v>
      </c>
      <c r="E11194" s="2">
        <f t="shared" si="1763"/>
        <v>42370</v>
      </c>
      <c r="F11194" s="2">
        <f t="shared" si="1764"/>
        <v>44255</v>
      </c>
    </row>
    <row r="11195" spans="1:6" x14ac:dyDescent="0.25">
      <c r="A11195" s="1" t="s">
        <v>509</v>
      </c>
      <c r="B11195" s="1" t="s">
        <v>619</v>
      </c>
      <c r="C11195" s="1" t="s">
        <v>149</v>
      </c>
      <c r="D11195" s="3">
        <f t="shared" si="1762"/>
        <v>7842</v>
      </c>
      <c r="E11195" s="2">
        <f t="shared" si="1763"/>
        <v>42370</v>
      </c>
      <c r="F11195" s="2">
        <f t="shared" si="1764"/>
        <v>44255</v>
      </c>
    </row>
    <row r="11196" spans="1:6" x14ac:dyDescent="0.25">
      <c r="A11196" s="1" t="s">
        <v>509</v>
      </c>
      <c r="B11196" s="1" t="s">
        <v>619</v>
      </c>
      <c r="C11196" s="1" t="s">
        <v>172</v>
      </c>
      <c r="D11196" s="3">
        <f t="shared" si="1762"/>
        <v>7842</v>
      </c>
      <c r="E11196" s="2">
        <f t="shared" si="1763"/>
        <v>42370</v>
      </c>
      <c r="F11196" s="2">
        <f t="shared" si="1764"/>
        <v>44255</v>
      </c>
    </row>
    <row r="11197" spans="1:6" x14ac:dyDescent="0.25">
      <c r="A11197" s="1" t="s">
        <v>509</v>
      </c>
      <c r="B11197" s="1" t="s">
        <v>619</v>
      </c>
      <c r="C11197" s="1" t="s">
        <v>515</v>
      </c>
      <c r="D11197" s="3">
        <f t="shared" si="1762"/>
        <v>7842</v>
      </c>
      <c r="E11197" s="2">
        <f t="shared" si="1763"/>
        <v>42370</v>
      </c>
      <c r="F11197" s="2">
        <f t="shared" si="1764"/>
        <v>44255</v>
      </c>
    </row>
    <row r="11198" spans="1:6" x14ac:dyDescent="0.25">
      <c r="A11198" s="1" t="s">
        <v>509</v>
      </c>
      <c r="B11198" s="1" t="s">
        <v>619</v>
      </c>
      <c r="C11198" s="1" t="s">
        <v>24</v>
      </c>
      <c r="D11198" s="3">
        <f t="shared" si="1762"/>
        <v>7842</v>
      </c>
      <c r="E11198" s="2">
        <f t="shared" si="1763"/>
        <v>42370</v>
      </c>
      <c r="F11198" s="2">
        <f t="shared" si="1764"/>
        <v>44255</v>
      </c>
    </row>
    <row r="11199" spans="1:6" x14ac:dyDescent="0.25">
      <c r="A11199" s="1" t="s">
        <v>509</v>
      </c>
      <c r="B11199" s="1" t="s">
        <v>619</v>
      </c>
      <c r="C11199" s="1" t="s">
        <v>72</v>
      </c>
      <c r="D11199" s="3">
        <f t="shared" si="1762"/>
        <v>7842</v>
      </c>
      <c r="E11199" s="2">
        <f t="shared" si="1763"/>
        <v>42370</v>
      </c>
      <c r="F11199" s="2">
        <f t="shared" si="1764"/>
        <v>44255</v>
      </c>
    </row>
    <row r="11200" spans="1:6" x14ac:dyDescent="0.25">
      <c r="A11200" s="1" t="s">
        <v>509</v>
      </c>
      <c r="B11200" s="1" t="s">
        <v>619</v>
      </c>
      <c r="C11200" s="1" t="s">
        <v>620</v>
      </c>
      <c r="D11200" s="3">
        <f t="shared" si="1762"/>
        <v>7842</v>
      </c>
      <c r="E11200" s="2">
        <f t="shared" si="1763"/>
        <v>42370</v>
      </c>
      <c r="F11200" s="2">
        <f t="shared" si="1764"/>
        <v>44255</v>
      </c>
    </row>
    <row r="11201" spans="1:6" x14ac:dyDescent="0.25">
      <c r="A11201" s="1" t="s">
        <v>509</v>
      </c>
      <c r="B11201" s="1" t="s">
        <v>619</v>
      </c>
      <c r="C11201" s="1" t="s">
        <v>52</v>
      </c>
      <c r="D11201" s="3">
        <f t="shared" si="1762"/>
        <v>7842</v>
      </c>
      <c r="E11201" s="2">
        <f t="shared" si="1763"/>
        <v>42370</v>
      </c>
      <c r="F11201" s="2">
        <f t="shared" si="1764"/>
        <v>44255</v>
      </c>
    </row>
    <row r="11202" spans="1:6" x14ac:dyDescent="0.25">
      <c r="A11202" s="1" t="s">
        <v>509</v>
      </c>
      <c r="B11202" s="1" t="s">
        <v>619</v>
      </c>
      <c r="C11202" s="1" t="s">
        <v>393</v>
      </c>
      <c r="D11202" s="3">
        <f t="shared" si="1762"/>
        <v>7842</v>
      </c>
      <c r="E11202" s="2">
        <f t="shared" si="1763"/>
        <v>42370</v>
      </c>
      <c r="F11202" s="2">
        <f t="shared" si="1764"/>
        <v>44255</v>
      </c>
    </row>
    <row r="11203" spans="1:6" x14ac:dyDescent="0.25">
      <c r="A11203" s="1" t="s">
        <v>509</v>
      </c>
      <c r="B11203" s="1" t="s">
        <v>619</v>
      </c>
      <c r="C11203" s="1" t="s">
        <v>396</v>
      </c>
      <c r="D11203" s="3">
        <f t="shared" si="1762"/>
        <v>7842</v>
      </c>
      <c r="E11203" s="2">
        <f t="shared" si="1763"/>
        <v>42370</v>
      </c>
      <c r="F11203" s="2">
        <f t="shared" si="1764"/>
        <v>44255</v>
      </c>
    </row>
    <row r="11204" spans="1:6" x14ac:dyDescent="0.25">
      <c r="A11204" s="1" t="s">
        <v>509</v>
      </c>
      <c r="B11204" s="1" t="s">
        <v>619</v>
      </c>
      <c r="C11204" s="1" t="s">
        <v>34</v>
      </c>
      <c r="D11204" s="3">
        <f t="shared" si="1762"/>
        <v>7842</v>
      </c>
      <c r="E11204" s="2">
        <f t="shared" si="1763"/>
        <v>42370</v>
      </c>
      <c r="F11204" s="2">
        <f t="shared" si="1764"/>
        <v>44255</v>
      </c>
    </row>
    <row r="11205" spans="1:6" x14ac:dyDescent="0.25">
      <c r="A11205" s="1" t="s">
        <v>509</v>
      </c>
      <c r="B11205" s="1" t="s">
        <v>619</v>
      </c>
      <c r="C11205" s="1" t="s">
        <v>55</v>
      </c>
      <c r="D11205" s="3">
        <f t="shared" si="1762"/>
        <v>7842</v>
      </c>
      <c r="E11205" s="2">
        <f t="shared" si="1763"/>
        <v>42370</v>
      </c>
      <c r="F11205" s="2">
        <f t="shared" si="1764"/>
        <v>44255</v>
      </c>
    </row>
    <row r="11206" spans="1:6" x14ac:dyDescent="0.25">
      <c r="A11206" s="1" t="s">
        <v>509</v>
      </c>
      <c r="B11206" s="1" t="s">
        <v>619</v>
      </c>
      <c r="C11206" s="1" t="s">
        <v>359</v>
      </c>
      <c r="D11206" s="3">
        <f t="shared" si="1762"/>
        <v>7842</v>
      </c>
      <c r="E11206" s="2">
        <f t="shared" si="1763"/>
        <v>42370</v>
      </c>
      <c r="F11206" s="2">
        <f t="shared" si="1764"/>
        <v>44255</v>
      </c>
    </row>
    <row r="11207" spans="1:6" x14ac:dyDescent="0.25">
      <c r="A11207" s="1" t="s">
        <v>509</v>
      </c>
      <c r="B11207" s="1" t="s">
        <v>619</v>
      </c>
      <c r="C11207" s="1" t="s">
        <v>310</v>
      </c>
      <c r="D11207" s="3">
        <f t="shared" si="1762"/>
        <v>7842</v>
      </c>
      <c r="E11207" s="2">
        <f t="shared" si="1763"/>
        <v>42370</v>
      </c>
      <c r="F11207" s="2">
        <f t="shared" si="1764"/>
        <v>44255</v>
      </c>
    </row>
    <row r="11208" spans="1:6" x14ac:dyDescent="0.25">
      <c r="A11208" s="1" t="s">
        <v>509</v>
      </c>
      <c r="B11208" s="1" t="s">
        <v>2213</v>
      </c>
      <c r="C11208" s="1" t="s">
        <v>484</v>
      </c>
      <c r="D11208" s="3">
        <f t="shared" ref="D11208:D11237" si="1765">VALUE("7821")</f>
        <v>7821</v>
      </c>
      <c r="E11208" s="2">
        <f t="shared" ref="E11208:E11237" si="1766">DATEVALUE("1-12-2015")</f>
        <v>42339</v>
      </c>
      <c r="F11208" s="2">
        <f t="shared" ref="F11208:F11237" si="1767">DATEVALUE("31-12-2017")</f>
        <v>43100</v>
      </c>
    </row>
    <row r="11209" spans="1:6" x14ac:dyDescent="0.25">
      <c r="A11209" s="1" t="s">
        <v>509</v>
      </c>
      <c r="B11209" s="1" t="s">
        <v>2213</v>
      </c>
      <c r="C11209" s="1" t="s">
        <v>138</v>
      </c>
      <c r="D11209" s="3">
        <f t="shared" si="1765"/>
        <v>7821</v>
      </c>
      <c r="E11209" s="2">
        <f t="shared" si="1766"/>
        <v>42339</v>
      </c>
      <c r="F11209" s="2">
        <f t="shared" si="1767"/>
        <v>43100</v>
      </c>
    </row>
    <row r="11210" spans="1:6" x14ac:dyDescent="0.25">
      <c r="A11210" s="1" t="s">
        <v>509</v>
      </c>
      <c r="B11210" s="1" t="s">
        <v>2213</v>
      </c>
      <c r="C11210" s="1" t="s">
        <v>252</v>
      </c>
      <c r="D11210" s="3">
        <f t="shared" si="1765"/>
        <v>7821</v>
      </c>
      <c r="E11210" s="2">
        <f t="shared" si="1766"/>
        <v>42339</v>
      </c>
      <c r="F11210" s="2">
        <f t="shared" si="1767"/>
        <v>43100</v>
      </c>
    </row>
    <row r="11211" spans="1:6" x14ac:dyDescent="0.25">
      <c r="A11211" s="1" t="s">
        <v>509</v>
      </c>
      <c r="B11211" s="1" t="s">
        <v>2213</v>
      </c>
      <c r="C11211" s="1" t="s">
        <v>140</v>
      </c>
      <c r="D11211" s="3">
        <f t="shared" si="1765"/>
        <v>7821</v>
      </c>
      <c r="E11211" s="2">
        <f t="shared" si="1766"/>
        <v>42339</v>
      </c>
      <c r="F11211" s="2">
        <f t="shared" si="1767"/>
        <v>43100</v>
      </c>
    </row>
    <row r="11212" spans="1:6" x14ac:dyDescent="0.25">
      <c r="A11212" s="1" t="s">
        <v>509</v>
      </c>
      <c r="B11212" s="1" t="s">
        <v>2213</v>
      </c>
      <c r="C11212" s="1" t="s">
        <v>141</v>
      </c>
      <c r="D11212" s="3">
        <f t="shared" si="1765"/>
        <v>7821</v>
      </c>
      <c r="E11212" s="2">
        <f t="shared" si="1766"/>
        <v>42339</v>
      </c>
      <c r="F11212" s="2">
        <f t="shared" si="1767"/>
        <v>43100</v>
      </c>
    </row>
    <row r="11213" spans="1:6" x14ac:dyDescent="0.25">
      <c r="A11213" s="1" t="s">
        <v>509</v>
      </c>
      <c r="B11213" s="1" t="s">
        <v>2213</v>
      </c>
      <c r="C11213" s="1" t="s">
        <v>142</v>
      </c>
      <c r="D11213" s="3">
        <f t="shared" si="1765"/>
        <v>7821</v>
      </c>
      <c r="E11213" s="2">
        <f t="shared" si="1766"/>
        <v>42339</v>
      </c>
      <c r="F11213" s="2">
        <f t="shared" si="1767"/>
        <v>43100</v>
      </c>
    </row>
    <row r="11214" spans="1:6" x14ac:dyDescent="0.25">
      <c r="A11214" s="1" t="s">
        <v>509</v>
      </c>
      <c r="B11214" s="1" t="s">
        <v>2213</v>
      </c>
      <c r="C11214" s="1" t="s">
        <v>14</v>
      </c>
      <c r="D11214" s="3">
        <f t="shared" si="1765"/>
        <v>7821</v>
      </c>
      <c r="E11214" s="2">
        <f t="shared" si="1766"/>
        <v>42339</v>
      </c>
      <c r="F11214" s="2">
        <f t="shared" si="1767"/>
        <v>43100</v>
      </c>
    </row>
    <row r="11215" spans="1:6" x14ac:dyDescent="0.25">
      <c r="A11215" s="1" t="s">
        <v>509</v>
      </c>
      <c r="B11215" s="1" t="s">
        <v>2213</v>
      </c>
      <c r="C11215" s="1" t="s">
        <v>168</v>
      </c>
      <c r="D11215" s="3">
        <f t="shared" si="1765"/>
        <v>7821</v>
      </c>
      <c r="E11215" s="2">
        <f t="shared" si="1766"/>
        <v>42339</v>
      </c>
      <c r="F11215" s="2">
        <f t="shared" si="1767"/>
        <v>43100</v>
      </c>
    </row>
    <row r="11216" spans="1:6" x14ac:dyDescent="0.25">
      <c r="A11216" s="1" t="s">
        <v>509</v>
      </c>
      <c r="B11216" s="1" t="s">
        <v>2213</v>
      </c>
      <c r="C11216" s="1" t="s">
        <v>512</v>
      </c>
      <c r="D11216" s="3">
        <f t="shared" si="1765"/>
        <v>7821</v>
      </c>
      <c r="E11216" s="2">
        <f t="shared" si="1766"/>
        <v>42339</v>
      </c>
      <c r="F11216" s="2">
        <f t="shared" si="1767"/>
        <v>43100</v>
      </c>
    </row>
    <row r="11217" spans="1:6" x14ac:dyDescent="0.25">
      <c r="A11217" s="1" t="s">
        <v>509</v>
      </c>
      <c r="B11217" s="1" t="s">
        <v>2213</v>
      </c>
      <c r="C11217" s="1" t="s">
        <v>2214</v>
      </c>
      <c r="D11217" s="3">
        <f t="shared" si="1765"/>
        <v>7821</v>
      </c>
      <c r="E11217" s="2">
        <f t="shared" si="1766"/>
        <v>42339</v>
      </c>
      <c r="F11217" s="2">
        <f t="shared" si="1767"/>
        <v>43100</v>
      </c>
    </row>
    <row r="11218" spans="1:6" x14ac:dyDescent="0.25">
      <c r="A11218" s="1" t="s">
        <v>509</v>
      </c>
      <c r="B11218" s="1" t="s">
        <v>2213</v>
      </c>
      <c r="C11218" s="1" t="s">
        <v>146</v>
      </c>
      <c r="D11218" s="3">
        <f t="shared" si="1765"/>
        <v>7821</v>
      </c>
      <c r="E11218" s="2">
        <f t="shared" si="1766"/>
        <v>42339</v>
      </c>
      <c r="F11218" s="2">
        <f t="shared" si="1767"/>
        <v>43100</v>
      </c>
    </row>
    <row r="11219" spans="1:6" x14ac:dyDescent="0.25">
      <c r="A11219" s="1" t="s">
        <v>509</v>
      </c>
      <c r="B11219" s="1" t="s">
        <v>2213</v>
      </c>
      <c r="C11219" s="1" t="s">
        <v>67</v>
      </c>
      <c r="D11219" s="3">
        <f t="shared" si="1765"/>
        <v>7821</v>
      </c>
      <c r="E11219" s="2">
        <f t="shared" si="1766"/>
        <v>42339</v>
      </c>
      <c r="F11219" s="2">
        <f t="shared" si="1767"/>
        <v>43100</v>
      </c>
    </row>
    <row r="11220" spans="1:6" x14ac:dyDescent="0.25">
      <c r="A11220" s="1" t="s">
        <v>509</v>
      </c>
      <c r="B11220" s="1" t="s">
        <v>2213</v>
      </c>
      <c r="C11220" s="1" t="s">
        <v>384</v>
      </c>
      <c r="D11220" s="3">
        <f t="shared" si="1765"/>
        <v>7821</v>
      </c>
      <c r="E11220" s="2">
        <f t="shared" si="1766"/>
        <v>42339</v>
      </c>
      <c r="F11220" s="2">
        <f t="shared" si="1767"/>
        <v>43100</v>
      </c>
    </row>
    <row r="11221" spans="1:6" x14ac:dyDescent="0.25">
      <c r="A11221" s="1" t="s">
        <v>509</v>
      </c>
      <c r="B11221" s="1" t="s">
        <v>2213</v>
      </c>
      <c r="C11221" s="1" t="s">
        <v>147</v>
      </c>
      <c r="D11221" s="3">
        <f t="shared" si="1765"/>
        <v>7821</v>
      </c>
      <c r="E11221" s="2">
        <f t="shared" si="1766"/>
        <v>42339</v>
      </c>
      <c r="F11221" s="2">
        <f t="shared" si="1767"/>
        <v>43100</v>
      </c>
    </row>
    <row r="11222" spans="1:6" x14ac:dyDescent="0.25">
      <c r="A11222" s="1" t="s">
        <v>509</v>
      </c>
      <c r="B11222" s="1" t="s">
        <v>2213</v>
      </c>
      <c r="C11222" s="1" t="s">
        <v>148</v>
      </c>
      <c r="D11222" s="3">
        <f t="shared" si="1765"/>
        <v>7821</v>
      </c>
      <c r="E11222" s="2">
        <f t="shared" si="1766"/>
        <v>42339</v>
      </c>
      <c r="F11222" s="2">
        <f t="shared" si="1767"/>
        <v>43100</v>
      </c>
    </row>
    <row r="11223" spans="1:6" x14ac:dyDescent="0.25">
      <c r="A11223" s="1" t="s">
        <v>509</v>
      </c>
      <c r="B11223" s="1" t="s">
        <v>2213</v>
      </c>
      <c r="C11223" s="1" t="s">
        <v>149</v>
      </c>
      <c r="D11223" s="3">
        <f t="shared" si="1765"/>
        <v>7821</v>
      </c>
      <c r="E11223" s="2">
        <f t="shared" si="1766"/>
        <v>42339</v>
      </c>
      <c r="F11223" s="2">
        <f t="shared" si="1767"/>
        <v>43100</v>
      </c>
    </row>
    <row r="11224" spans="1:6" x14ac:dyDescent="0.25">
      <c r="A11224" s="1" t="s">
        <v>509</v>
      </c>
      <c r="B11224" s="1" t="s">
        <v>2213</v>
      </c>
      <c r="C11224" s="1" t="s">
        <v>172</v>
      </c>
      <c r="D11224" s="3">
        <f t="shared" si="1765"/>
        <v>7821</v>
      </c>
      <c r="E11224" s="2">
        <f t="shared" si="1766"/>
        <v>42339</v>
      </c>
      <c r="F11224" s="2">
        <f t="shared" si="1767"/>
        <v>43100</v>
      </c>
    </row>
    <row r="11225" spans="1:6" x14ac:dyDescent="0.25">
      <c r="A11225" s="1" t="s">
        <v>509</v>
      </c>
      <c r="B11225" s="1" t="s">
        <v>2213</v>
      </c>
      <c r="C11225" s="1" t="s">
        <v>472</v>
      </c>
      <c r="D11225" s="3">
        <f t="shared" si="1765"/>
        <v>7821</v>
      </c>
      <c r="E11225" s="2">
        <f t="shared" si="1766"/>
        <v>42339</v>
      </c>
      <c r="F11225" s="2">
        <f t="shared" si="1767"/>
        <v>43100</v>
      </c>
    </row>
    <row r="11226" spans="1:6" x14ac:dyDescent="0.25">
      <c r="A11226" s="1" t="s">
        <v>509</v>
      </c>
      <c r="B11226" s="1" t="s">
        <v>2213</v>
      </c>
      <c r="C11226" s="1" t="s">
        <v>92</v>
      </c>
      <c r="D11226" s="3">
        <f t="shared" si="1765"/>
        <v>7821</v>
      </c>
      <c r="E11226" s="2">
        <f t="shared" si="1766"/>
        <v>42339</v>
      </c>
      <c r="F11226" s="2">
        <f t="shared" si="1767"/>
        <v>43100</v>
      </c>
    </row>
    <row r="11227" spans="1:6" x14ac:dyDescent="0.25">
      <c r="A11227" s="1" t="s">
        <v>509</v>
      </c>
      <c r="B11227" s="1" t="s">
        <v>2213</v>
      </c>
      <c r="C11227" s="1" t="s">
        <v>50</v>
      </c>
      <c r="D11227" s="3">
        <f t="shared" si="1765"/>
        <v>7821</v>
      </c>
      <c r="E11227" s="2">
        <f t="shared" si="1766"/>
        <v>42339</v>
      </c>
      <c r="F11227" s="2">
        <f t="shared" si="1767"/>
        <v>43100</v>
      </c>
    </row>
    <row r="11228" spans="1:6" x14ac:dyDescent="0.25">
      <c r="A11228" s="1" t="s">
        <v>509</v>
      </c>
      <c r="B11228" s="1" t="s">
        <v>2213</v>
      </c>
      <c r="C11228" s="1" t="s">
        <v>70</v>
      </c>
      <c r="D11228" s="3">
        <f t="shared" si="1765"/>
        <v>7821</v>
      </c>
      <c r="E11228" s="2">
        <f t="shared" si="1766"/>
        <v>42339</v>
      </c>
      <c r="F11228" s="2">
        <f t="shared" si="1767"/>
        <v>43100</v>
      </c>
    </row>
    <row r="11229" spans="1:6" x14ac:dyDescent="0.25">
      <c r="A11229" s="1" t="s">
        <v>509</v>
      </c>
      <c r="B11229" s="1" t="s">
        <v>2213</v>
      </c>
      <c r="C11229" s="1" t="s">
        <v>157</v>
      </c>
      <c r="D11229" s="3">
        <f t="shared" si="1765"/>
        <v>7821</v>
      </c>
      <c r="E11229" s="2">
        <f t="shared" si="1766"/>
        <v>42339</v>
      </c>
      <c r="F11229" s="2">
        <f t="shared" si="1767"/>
        <v>43100</v>
      </c>
    </row>
    <row r="11230" spans="1:6" x14ac:dyDescent="0.25">
      <c r="A11230" s="1" t="s">
        <v>509</v>
      </c>
      <c r="B11230" s="1" t="s">
        <v>2213</v>
      </c>
      <c r="C11230" s="1" t="s">
        <v>157</v>
      </c>
      <c r="D11230" s="3">
        <f t="shared" si="1765"/>
        <v>7821</v>
      </c>
      <c r="E11230" s="2">
        <f t="shared" si="1766"/>
        <v>42339</v>
      </c>
      <c r="F11230" s="2">
        <f t="shared" si="1767"/>
        <v>43100</v>
      </c>
    </row>
    <row r="11231" spans="1:6" x14ac:dyDescent="0.25">
      <c r="A11231" s="1" t="s">
        <v>509</v>
      </c>
      <c r="B11231" s="1" t="s">
        <v>2213</v>
      </c>
      <c r="C11231" s="1" t="s">
        <v>548</v>
      </c>
      <c r="D11231" s="3">
        <f t="shared" si="1765"/>
        <v>7821</v>
      </c>
      <c r="E11231" s="2">
        <f t="shared" si="1766"/>
        <v>42339</v>
      </c>
      <c r="F11231" s="2">
        <f t="shared" si="1767"/>
        <v>43100</v>
      </c>
    </row>
    <row r="11232" spans="1:6" x14ac:dyDescent="0.25">
      <c r="A11232" s="1" t="s">
        <v>509</v>
      </c>
      <c r="B11232" s="1" t="s">
        <v>2213</v>
      </c>
      <c r="C11232" s="1" t="s">
        <v>351</v>
      </c>
      <c r="D11232" s="3">
        <f t="shared" si="1765"/>
        <v>7821</v>
      </c>
      <c r="E11232" s="2">
        <f t="shared" si="1766"/>
        <v>42339</v>
      </c>
      <c r="F11232" s="2">
        <f t="shared" si="1767"/>
        <v>43100</v>
      </c>
    </row>
    <row r="11233" spans="1:6" x14ac:dyDescent="0.25">
      <c r="A11233" s="1" t="s">
        <v>509</v>
      </c>
      <c r="B11233" s="1" t="s">
        <v>2213</v>
      </c>
      <c r="C11233" s="1" t="s">
        <v>834</v>
      </c>
      <c r="D11233" s="3">
        <f t="shared" si="1765"/>
        <v>7821</v>
      </c>
      <c r="E11233" s="2">
        <f t="shared" si="1766"/>
        <v>42339</v>
      </c>
      <c r="F11233" s="2">
        <f t="shared" si="1767"/>
        <v>43100</v>
      </c>
    </row>
    <row r="11234" spans="1:6" x14ac:dyDescent="0.25">
      <c r="A11234" s="1" t="s">
        <v>509</v>
      </c>
      <c r="B11234" s="1" t="s">
        <v>2213</v>
      </c>
      <c r="C11234" s="1" t="s">
        <v>310</v>
      </c>
      <c r="D11234" s="3">
        <f t="shared" si="1765"/>
        <v>7821</v>
      </c>
      <c r="E11234" s="2">
        <f t="shared" si="1766"/>
        <v>42339</v>
      </c>
      <c r="F11234" s="2">
        <f t="shared" si="1767"/>
        <v>43100</v>
      </c>
    </row>
    <row r="11235" spans="1:6" x14ac:dyDescent="0.25">
      <c r="A11235" s="1" t="s">
        <v>509</v>
      </c>
      <c r="B11235" s="1" t="s">
        <v>2213</v>
      </c>
      <c r="C11235" s="1" t="s">
        <v>1483</v>
      </c>
      <c r="D11235" s="3">
        <f t="shared" si="1765"/>
        <v>7821</v>
      </c>
      <c r="E11235" s="2">
        <f t="shared" si="1766"/>
        <v>42339</v>
      </c>
      <c r="F11235" s="2">
        <f t="shared" si="1767"/>
        <v>43100</v>
      </c>
    </row>
    <row r="11236" spans="1:6" x14ac:dyDescent="0.25">
      <c r="A11236" s="1" t="s">
        <v>509</v>
      </c>
      <c r="B11236" s="1" t="s">
        <v>2213</v>
      </c>
      <c r="C11236" s="1" t="s">
        <v>519</v>
      </c>
      <c r="D11236" s="3">
        <f t="shared" si="1765"/>
        <v>7821</v>
      </c>
      <c r="E11236" s="2">
        <f t="shared" si="1766"/>
        <v>42339</v>
      </c>
      <c r="F11236" s="2">
        <f t="shared" si="1767"/>
        <v>43100</v>
      </c>
    </row>
    <row r="11237" spans="1:6" x14ac:dyDescent="0.25">
      <c r="A11237" s="1" t="s">
        <v>509</v>
      </c>
      <c r="B11237" s="1" t="s">
        <v>2213</v>
      </c>
      <c r="C11237" s="1" t="s">
        <v>133</v>
      </c>
      <c r="D11237" s="3">
        <f t="shared" si="1765"/>
        <v>7821</v>
      </c>
      <c r="E11237" s="2">
        <f t="shared" si="1766"/>
        <v>42339</v>
      </c>
      <c r="F11237" s="2">
        <f t="shared" si="1767"/>
        <v>43100</v>
      </c>
    </row>
    <row r="11238" spans="1:6" x14ac:dyDescent="0.25">
      <c r="A11238" s="1" t="s">
        <v>509</v>
      </c>
      <c r="B11238" s="1" t="s">
        <v>2218</v>
      </c>
      <c r="C11238" s="1" t="s">
        <v>325</v>
      </c>
      <c r="D11238" s="3">
        <f t="shared" ref="D11238:D11270" si="1768">VALUE("7829")</f>
        <v>7829</v>
      </c>
      <c r="E11238" s="2">
        <f t="shared" ref="E11238:E11270" si="1769">DATEVALUE("1-11-2015")</f>
        <v>42309</v>
      </c>
      <c r="F11238" s="2">
        <f t="shared" ref="F11238:F11270" si="1770">DATEVALUE("31-1-2017")</f>
        <v>42766</v>
      </c>
    </row>
    <row r="11239" spans="1:6" x14ac:dyDescent="0.25">
      <c r="A11239" s="1" t="s">
        <v>509</v>
      </c>
      <c r="B11239" s="1" t="s">
        <v>2218</v>
      </c>
      <c r="C11239" s="1" t="s">
        <v>39</v>
      </c>
      <c r="D11239" s="3">
        <f t="shared" si="1768"/>
        <v>7829</v>
      </c>
      <c r="E11239" s="2">
        <f t="shared" si="1769"/>
        <v>42309</v>
      </c>
      <c r="F11239" s="2">
        <f t="shared" si="1770"/>
        <v>42766</v>
      </c>
    </row>
    <row r="11240" spans="1:6" x14ac:dyDescent="0.25">
      <c r="A11240" s="1" t="s">
        <v>509</v>
      </c>
      <c r="B11240" s="1" t="s">
        <v>2218</v>
      </c>
      <c r="C11240" s="1" t="s">
        <v>256</v>
      </c>
      <c r="D11240" s="3">
        <f t="shared" si="1768"/>
        <v>7829</v>
      </c>
      <c r="E11240" s="2">
        <f t="shared" si="1769"/>
        <v>42309</v>
      </c>
      <c r="F11240" s="2">
        <f t="shared" si="1770"/>
        <v>42766</v>
      </c>
    </row>
    <row r="11241" spans="1:6" x14ac:dyDescent="0.25">
      <c r="A11241" s="1" t="s">
        <v>509</v>
      </c>
      <c r="B11241" s="1" t="s">
        <v>2218</v>
      </c>
      <c r="C11241" s="1" t="s">
        <v>137</v>
      </c>
      <c r="D11241" s="3">
        <f t="shared" si="1768"/>
        <v>7829</v>
      </c>
      <c r="E11241" s="2">
        <f t="shared" si="1769"/>
        <v>42309</v>
      </c>
      <c r="F11241" s="2">
        <f t="shared" si="1770"/>
        <v>42766</v>
      </c>
    </row>
    <row r="11242" spans="1:6" x14ac:dyDescent="0.25">
      <c r="A11242" s="1" t="s">
        <v>509</v>
      </c>
      <c r="B11242" s="1" t="s">
        <v>2218</v>
      </c>
      <c r="C11242" s="1" t="s">
        <v>83</v>
      </c>
      <c r="D11242" s="3">
        <f t="shared" si="1768"/>
        <v>7829</v>
      </c>
      <c r="E11242" s="2">
        <f t="shared" si="1769"/>
        <v>42309</v>
      </c>
      <c r="F11242" s="2">
        <f t="shared" si="1770"/>
        <v>42766</v>
      </c>
    </row>
    <row r="11243" spans="1:6" x14ac:dyDescent="0.25">
      <c r="A11243" s="1" t="s">
        <v>509</v>
      </c>
      <c r="B11243" s="1" t="s">
        <v>2218</v>
      </c>
      <c r="C11243" s="1" t="s">
        <v>43</v>
      </c>
      <c r="D11243" s="3">
        <f t="shared" si="1768"/>
        <v>7829</v>
      </c>
      <c r="E11243" s="2">
        <f t="shared" si="1769"/>
        <v>42309</v>
      </c>
      <c r="F11243" s="2">
        <f t="shared" si="1770"/>
        <v>42766</v>
      </c>
    </row>
    <row r="11244" spans="1:6" x14ac:dyDescent="0.25">
      <c r="A11244" s="1" t="s">
        <v>509</v>
      </c>
      <c r="B11244" s="1" t="s">
        <v>2218</v>
      </c>
      <c r="C11244" s="1" t="s">
        <v>346</v>
      </c>
      <c r="D11244" s="3">
        <f t="shared" si="1768"/>
        <v>7829</v>
      </c>
      <c r="E11244" s="2">
        <f t="shared" si="1769"/>
        <v>42309</v>
      </c>
      <c r="F11244" s="2">
        <f t="shared" si="1770"/>
        <v>42766</v>
      </c>
    </row>
    <row r="11245" spans="1:6" x14ac:dyDescent="0.25">
      <c r="A11245" s="1" t="s">
        <v>509</v>
      </c>
      <c r="B11245" s="1" t="s">
        <v>2218</v>
      </c>
      <c r="C11245" s="1" t="s">
        <v>45</v>
      </c>
      <c r="D11245" s="3">
        <f t="shared" si="1768"/>
        <v>7829</v>
      </c>
      <c r="E11245" s="2">
        <f t="shared" si="1769"/>
        <v>42309</v>
      </c>
      <c r="F11245" s="2">
        <f t="shared" si="1770"/>
        <v>42766</v>
      </c>
    </row>
    <row r="11246" spans="1:6" x14ac:dyDescent="0.25">
      <c r="A11246" s="1" t="s">
        <v>509</v>
      </c>
      <c r="B11246" s="1" t="s">
        <v>2218</v>
      </c>
      <c r="C11246" s="1" t="s">
        <v>140</v>
      </c>
      <c r="D11246" s="3">
        <f t="shared" si="1768"/>
        <v>7829</v>
      </c>
      <c r="E11246" s="2">
        <f t="shared" si="1769"/>
        <v>42309</v>
      </c>
      <c r="F11246" s="2">
        <f t="shared" si="1770"/>
        <v>42766</v>
      </c>
    </row>
    <row r="11247" spans="1:6" x14ac:dyDescent="0.25">
      <c r="A11247" s="1" t="s">
        <v>509</v>
      </c>
      <c r="B11247" s="1" t="s">
        <v>2218</v>
      </c>
      <c r="C11247" s="1" t="s">
        <v>141</v>
      </c>
      <c r="D11247" s="3">
        <f t="shared" si="1768"/>
        <v>7829</v>
      </c>
      <c r="E11247" s="2">
        <f t="shared" si="1769"/>
        <v>42309</v>
      </c>
      <c r="F11247" s="2">
        <f t="shared" si="1770"/>
        <v>42766</v>
      </c>
    </row>
    <row r="11248" spans="1:6" x14ac:dyDescent="0.25">
      <c r="A11248" s="1" t="s">
        <v>509</v>
      </c>
      <c r="B11248" s="1" t="s">
        <v>2218</v>
      </c>
      <c r="C11248" s="1" t="s">
        <v>46</v>
      </c>
      <c r="D11248" s="3">
        <f t="shared" si="1768"/>
        <v>7829</v>
      </c>
      <c r="E11248" s="2">
        <f t="shared" si="1769"/>
        <v>42309</v>
      </c>
      <c r="F11248" s="2">
        <f t="shared" si="1770"/>
        <v>42766</v>
      </c>
    </row>
    <row r="11249" spans="1:6" x14ac:dyDescent="0.25">
      <c r="A11249" s="1" t="s">
        <v>509</v>
      </c>
      <c r="B11249" s="1" t="s">
        <v>2218</v>
      </c>
      <c r="C11249" s="1" t="s">
        <v>14</v>
      </c>
      <c r="D11249" s="3">
        <f t="shared" si="1768"/>
        <v>7829</v>
      </c>
      <c r="E11249" s="2">
        <f t="shared" si="1769"/>
        <v>42309</v>
      </c>
      <c r="F11249" s="2">
        <f t="shared" si="1770"/>
        <v>42766</v>
      </c>
    </row>
    <row r="11250" spans="1:6" x14ac:dyDescent="0.25">
      <c r="A11250" s="1" t="s">
        <v>509</v>
      </c>
      <c r="B11250" s="1" t="s">
        <v>2218</v>
      </c>
      <c r="C11250" s="1" t="s">
        <v>15</v>
      </c>
      <c r="D11250" s="3">
        <f t="shared" si="1768"/>
        <v>7829</v>
      </c>
      <c r="E11250" s="2">
        <f t="shared" si="1769"/>
        <v>42309</v>
      </c>
      <c r="F11250" s="2">
        <f t="shared" si="1770"/>
        <v>42766</v>
      </c>
    </row>
    <row r="11251" spans="1:6" x14ac:dyDescent="0.25">
      <c r="A11251" s="1" t="s">
        <v>509</v>
      </c>
      <c r="B11251" s="1" t="s">
        <v>2218</v>
      </c>
      <c r="C11251" s="1" t="s">
        <v>17</v>
      </c>
      <c r="D11251" s="3">
        <f t="shared" si="1768"/>
        <v>7829</v>
      </c>
      <c r="E11251" s="2">
        <f t="shared" si="1769"/>
        <v>42309</v>
      </c>
      <c r="F11251" s="2">
        <f t="shared" si="1770"/>
        <v>42766</v>
      </c>
    </row>
    <row r="11252" spans="1:6" x14ac:dyDescent="0.25">
      <c r="A11252" s="1" t="s">
        <v>509</v>
      </c>
      <c r="B11252" s="1" t="s">
        <v>2218</v>
      </c>
      <c r="C11252" s="1" t="s">
        <v>22</v>
      </c>
      <c r="D11252" s="3">
        <f t="shared" si="1768"/>
        <v>7829</v>
      </c>
      <c r="E11252" s="2">
        <f t="shared" si="1769"/>
        <v>42309</v>
      </c>
      <c r="F11252" s="2">
        <f t="shared" si="1770"/>
        <v>42766</v>
      </c>
    </row>
    <row r="11253" spans="1:6" x14ac:dyDescent="0.25">
      <c r="A11253" s="1" t="s">
        <v>509</v>
      </c>
      <c r="B11253" s="1" t="s">
        <v>2218</v>
      </c>
      <c r="C11253" s="1" t="s">
        <v>148</v>
      </c>
      <c r="D11253" s="3">
        <f t="shared" si="1768"/>
        <v>7829</v>
      </c>
      <c r="E11253" s="2">
        <f t="shared" si="1769"/>
        <v>42309</v>
      </c>
      <c r="F11253" s="2">
        <f t="shared" si="1770"/>
        <v>42766</v>
      </c>
    </row>
    <row r="11254" spans="1:6" x14ac:dyDescent="0.25">
      <c r="A11254" s="1" t="s">
        <v>509</v>
      </c>
      <c r="B11254" s="1" t="s">
        <v>2218</v>
      </c>
      <c r="C11254" s="1" t="s">
        <v>149</v>
      </c>
      <c r="D11254" s="3">
        <f t="shared" si="1768"/>
        <v>7829</v>
      </c>
      <c r="E11254" s="2">
        <f t="shared" si="1769"/>
        <v>42309</v>
      </c>
      <c r="F11254" s="2">
        <f t="shared" si="1770"/>
        <v>42766</v>
      </c>
    </row>
    <row r="11255" spans="1:6" x14ac:dyDescent="0.25">
      <c r="A11255" s="1" t="s">
        <v>509</v>
      </c>
      <c r="B11255" s="1" t="s">
        <v>2218</v>
      </c>
      <c r="C11255" s="1" t="s">
        <v>150</v>
      </c>
      <c r="D11255" s="3">
        <f t="shared" si="1768"/>
        <v>7829</v>
      </c>
      <c r="E11255" s="2">
        <f t="shared" si="1769"/>
        <v>42309</v>
      </c>
      <c r="F11255" s="2">
        <f t="shared" si="1770"/>
        <v>42766</v>
      </c>
    </row>
    <row r="11256" spans="1:6" x14ac:dyDescent="0.25">
      <c r="A11256" s="1" t="s">
        <v>509</v>
      </c>
      <c r="B11256" s="1" t="s">
        <v>2218</v>
      </c>
      <c r="C11256" s="1" t="s">
        <v>151</v>
      </c>
      <c r="D11256" s="3">
        <f t="shared" si="1768"/>
        <v>7829</v>
      </c>
      <c r="E11256" s="2">
        <f t="shared" si="1769"/>
        <v>42309</v>
      </c>
      <c r="F11256" s="2">
        <f t="shared" si="1770"/>
        <v>42766</v>
      </c>
    </row>
    <row r="11257" spans="1:6" x14ac:dyDescent="0.25">
      <c r="A11257" s="1" t="s">
        <v>509</v>
      </c>
      <c r="B11257" s="1" t="s">
        <v>2218</v>
      </c>
      <c r="C11257" s="1" t="s">
        <v>94</v>
      </c>
      <c r="D11257" s="3">
        <f t="shared" si="1768"/>
        <v>7829</v>
      </c>
      <c r="E11257" s="2">
        <f t="shared" si="1769"/>
        <v>42309</v>
      </c>
      <c r="F11257" s="2">
        <f t="shared" si="1770"/>
        <v>42766</v>
      </c>
    </row>
    <row r="11258" spans="1:6" x14ac:dyDescent="0.25">
      <c r="A11258" s="1" t="s">
        <v>509</v>
      </c>
      <c r="B11258" s="1" t="s">
        <v>2218</v>
      </c>
      <c r="C11258" s="1" t="s">
        <v>24</v>
      </c>
      <c r="D11258" s="3">
        <f t="shared" si="1768"/>
        <v>7829</v>
      </c>
      <c r="E11258" s="2">
        <f t="shared" si="1769"/>
        <v>42309</v>
      </c>
      <c r="F11258" s="2">
        <f t="shared" si="1770"/>
        <v>42766</v>
      </c>
    </row>
    <row r="11259" spans="1:6" x14ac:dyDescent="0.25">
      <c r="A11259" s="1" t="s">
        <v>509</v>
      </c>
      <c r="B11259" s="1" t="s">
        <v>2218</v>
      </c>
      <c r="C11259" s="1" t="s">
        <v>50</v>
      </c>
      <c r="D11259" s="3">
        <f t="shared" si="1768"/>
        <v>7829</v>
      </c>
      <c r="E11259" s="2">
        <f t="shared" si="1769"/>
        <v>42309</v>
      </c>
      <c r="F11259" s="2">
        <f t="shared" si="1770"/>
        <v>42766</v>
      </c>
    </row>
    <row r="11260" spans="1:6" x14ac:dyDescent="0.25">
      <c r="A11260" s="1" t="s">
        <v>509</v>
      </c>
      <c r="B11260" s="1" t="s">
        <v>2218</v>
      </c>
      <c r="C11260" s="1" t="s">
        <v>393</v>
      </c>
      <c r="D11260" s="3">
        <f t="shared" si="1768"/>
        <v>7829</v>
      </c>
      <c r="E11260" s="2">
        <f t="shared" si="1769"/>
        <v>42309</v>
      </c>
      <c r="F11260" s="2">
        <f t="shared" si="1770"/>
        <v>42766</v>
      </c>
    </row>
    <row r="11261" spans="1:6" x14ac:dyDescent="0.25">
      <c r="A11261" s="1" t="s">
        <v>509</v>
      </c>
      <c r="B11261" s="1" t="s">
        <v>2218</v>
      </c>
      <c r="C11261" s="1" t="s">
        <v>394</v>
      </c>
      <c r="D11261" s="3">
        <f t="shared" si="1768"/>
        <v>7829</v>
      </c>
      <c r="E11261" s="2">
        <f t="shared" si="1769"/>
        <v>42309</v>
      </c>
      <c r="F11261" s="2">
        <f t="shared" si="1770"/>
        <v>42766</v>
      </c>
    </row>
    <row r="11262" spans="1:6" x14ac:dyDescent="0.25">
      <c r="A11262" s="1" t="s">
        <v>509</v>
      </c>
      <c r="B11262" s="1" t="s">
        <v>2218</v>
      </c>
      <c r="C11262" s="1" t="s">
        <v>396</v>
      </c>
      <c r="D11262" s="3">
        <f t="shared" si="1768"/>
        <v>7829</v>
      </c>
      <c r="E11262" s="2">
        <f t="shared" si="1769"/>
        <v>42309</v>
      </c>
      <c r="F11262" s="2">
        <f t="shared" si="1770"/>
        <v>42766</v>
      </c>
    </row>
    <row r="11263" spans="1:6" x14ac:dyDescent="0.25">
      <c r="A11263" s="1" t="s">
        <v>509</v>
      </c>
      <c r="B11263" s="1" t="s">
        <v>2218</v>
      </c>
      <c r="C11263" s="1" t="s">
        <v>34</v>
      </c>
      <c r="D11263" s="3">
        <f t="shared" si="1768"/>
        <v>7829</v>
      </c>
      <c r="E11263" s="2">
        <f t="shared" si="1769"/>
        <v>42309</v>
      </c>
      <c r="F11263" s="2">
        <f t="shared" si="1770"/>
        <v>42766</v>
      </c>
    </row>
    <row r="11264" spans="1:6" x14ac:dyDescent="0.25">
      <c r="A11264" s="1" t="s">
        <v>509</v>
      </c>
      <c r="B11264" s="1" t="s">
        <v>2218</v>
      </c>
      <c r="C11264" s="1" t="s">
        <v>55</v>
      </c>
      <c r="D11264" s="3">
        <f t="shared" si="1768"/>
        <v>7829</v>
      </c>
      <c r="E11264" s="2">
        <f t="shared" si="1769"/>
        <v>42309</v>
      </c>
      <c r="F11264" s="2">
        <f t="shared" si="1770"/>
        <v>42766</v>
      </c>
    </row>
    <row r="11265" spans="1:6" x14ac:dyDescent="0.25">
      <c r="A11265" s="1" t="s">
        <v>509</v>
      </c>
      <c r="B11265" s="1" t="s">
        <v>2218</v>
      </c>
      <c r="C11265" s="1" t="s">
        <v>519</v>
      </c>
      <c r="D11265" s="3">
        <f t="shared" si="1768"/>
        <v>7829</v>
      </c>
      <c r="E11265" s="2">
        <f t="shared" si="1769"/>
        <v>42309</v>
      </c>
      <c r="F11265" s="2">
        <f t="shared" si="1770"/>
        <v>42766</v>
      </c>
    </row>
    <row r="11266" spans="1:6" x14ac:dyDescent="0.25">
      <c r="A11266" s="1" t="s">
        <v>509</v>
      </c>
      <c r="B11266" s="1" t="s">
        <v>2218</v>
      </c>
      <c r="C11266" s="1" t="s">
        <v>56</v>
      </c>
      <c r="D11266" s="3">
        <f t="shared" si="1768"/>
        <v>7829</v>
      </c>
      <c r="E11266" s="2">
        <f t="shared" si="1769"/>
        <v>42309</v>
      </c>
      <c r="F11266" s="2">
        <f t="shared" si="1770"/>
        <v>42766</v>
      </c>
    </row>
    <row r="11267" spans="1:6" x14ac:dyDescent="0.25">
      <c r="A11267" s="1" t="s">
        <v>509</v>
      </c>
      <c r="B11267" s="1" t="s">
        <v>2218</v>
      </c>
      <c r="C11267" s="1" t="s">
        <v>57</v>
      </c>
      <c r="D11267" s="3">
        <f t="shared" si="1768"/>
        <v>7829</v>
      </c>
      <c r="E11267" s="2">
        <f t="shared" si="1769"/>
        <v>42309</v>
      </c>
      <c r="F11267" s="2">
        <f t="shared" si="1770"/>
        <v>42766</v>
      </c>
    </row>
    <row r="11268" spans="1:6" x14ac:dyDescent="0.25">
      <c r="A11268" s="1" t="s">
        <v>509</v>
      </c>
      <c r="B11268" s="1" t="s">
        <v>2218</v>
      </c>
      <c r="C11268" s="1" t="s">
        <v>36</v>
      </c>
      <c r="D11268" s="3">
        <f t="shared" si="1768"/>
        <v>7829</v>
      </c>
      <c r="E11268" s="2">
        <f t="shared" si="1769"/>
        <v>42309</v>
      </c>
      <c r="F11268" s="2">
        <f t="shared" si="1770"/>
        <v>42766</v>
      </c>
    </row>
    <row r="11269" spans="1:6" x14ac:dyDescent="0.25">
      <c r="A11269" s="1" t="s">
        <v>509</v>
      </c>
      <c r="B11269" s="1" t="s">
        <v>2218</v>
      </c>
      <c r="C11269" s="1" t="s">
        <v>169</v>
      </c>
      <c r="D11269" s="3">
        <f t="shared" si="1768"/>
        <v>7829</v>
      </c>
      <c r="E11269" s="2">
        <f t="shared" si="1769"/>
        <v>42309</v>
      </c>
      <c r="F11269" s="2">
        <f t="shared" si="1770"/>
        <v>42766</v>
      </c>
    </row>
    <row r="11270" spans="1:6" x14ac:dyDescent="0.25">
      <c r="A11270" s="1" t="s">
        <v>509</v>
      </c>
      <c r="B11270" s="1" t="s">
        <v>2218</v>
      </c>
      <c r="C11270" s="1" t="s">
        <v>170</v>
      </c>
      <c r="D11270" s="3">
        <f t="shared" si="1768"/>
        <v>7829</v>
      </c>
      <c r="E11270" s="2">
        <f t="shared" si="1769"/>
        <v>42309</v>
      </c>
      <c r="F11270" s="2">
        <f t="shared" si="1770"/>
        <v>42766</v>
      </c>
    </row>
    <row r="11271" spans="1:6" x14ac:dyDescent="0.25">
      <c r="A11271" s="1" t="s">
        <v>509</v>
      </c>
      <c r="B11271" s="1" t="s">
        <v>1994</v>
      </c>
      <c r="C11271" s="1" t="s">
        <v>45</v>
      </c>
      <c r="D11271" s="3">
        <f>VALUE("7795")</f>
        <v>7795</v>
      </c>
      <c r="E11271" s="2">
        <f>DATEVALUE("1-10-2015")</f>
        <v>42278</v>
      </c>
      <c r="F11271" s="2">
        <f>DATEVALUE("31-3-2016")</f>
        <v>42460</v>
      </c>
    </row>
    <row r="11272" spans="1:6" x14ac:dyDescent="0.25">
      <c r="A11272" s="1" t="s">
        <v>509</v>
      </c>
      <c r="B11272" s="1" t="s">
        <v>1989</v>
      </c>
      <c r="C11272" s="1" t="s">
        <v>15</v>
      </c>
      <c r="D11272" s="3">
        <f>VALUE("7781")</f>
        <v>7781</v>
      </c>
      <c r="E11272" s="2">
        <f>DATEVALUE("1-8-2015")</f>
        <v>42217</v>
      </c>
      <c r="F11272" s="2">
        <f>DATEVALUE("30-9-2015")</f>
        <v>42277</v>
      </c>
    </row>
    <row r="11273" spans="1:6" x14ac:dyDescent="0.25">
      <c r="A11273" s="1" t="s">
        <v>509</v>
      </c>
      <c r="B11273" s="1" t="s">
        <v>1989</v>
      </c>
      <c r="C11273" s="1" t="s">
        <v>17</v>
      </c>
      <c r="D11273" s="3">
        <f>VALUE("7781")</f>
        <v>7781</v>
      </c>
      <c r="E11273" s="2">
        <f>DATEVALUE("1-8-2015")</f>
        <v>42217</v>
      </c>
      <c r="F11273" s="2">
        <f>DATEVALUE("30-9-2015")</f>
        <v>42277</v>
      </c>
    </row>
    <row r="11274" spans="1:6" x14ac:dyDescent="0.25">
      <c r="A11274" s="1" t="s">
        <v>509</v>
      </c>
      <c r="B11274" s="1" t="s">
        <v>1975</v>
      </c>
      <c r="C11274" s="1" t="s">
        <v>45</v>
      </c>
      <c r="D11274" s="3">
        <f t="shared" ref="D11274:D11281" si="1771">VALUE("7748")</f>
        <v>7748</v>
      </c>
      <c r="E11274" s="2">
        <f t="shared" ref="E11274:E11281" si="1772">DATEVALUE("1-5-2015")</f>
        <v>42125</v>
      </c>
      <c r="F11274" s="2">
        <f t="shared" ref="F11274:F11281" si="1773">DATEVALUE("31-12-2015")</f>
        <v>42369</v>
      </c>
    </row>
    <row r="11275" spans="1:6" x14ac:dyDescent="0.25">
      <c r="A11275" s="1" t="s">
        <v>509</v>
      </c>
      <c r="B11275" s="1" t="s">
        <v>1975</v>
      </c>
      <c r="C11275" s="1" t="s">
        <v>22</v>
      </c>
      <c r="D11275" s="3">
        <f t="shared" si="1771"/>
        <v>7748</v>
      </c>
      <c r="E11275" s="2">
        <f t="shared" si="1772"/>
        <v>42125</v>
      </c>
      <c r="F11275" s="2">
        <f t="shared" si="1773"/>
        <v>42369</v>
      </c>
    </row>
    <row r="11276" spans="1:6" x14ac:dyDescent="0.25">
      <c r="A11276" s="1" t="s">
        <v>509</v>
      </c>
      <c r="B11276" s="1" t="s">
        <v>1975</v>
      </c>
      <c r="C11276" s="1" t="s">
        <v>148</v>
      </c>
      <c r="D11276" s="3">
        <f t="shared" si="1771"/>
        <v>7748</v>
      </c>
      <c r="E11276" s="2">
        <f t="shared" si="1772"/>
        <v>42125</v>
      </c>
      <c r="F11276" s="2">
        <f t="shared" si="1773"/>
        <v>42369</v>
      </c>
    </row>
    <row r="11277" spans="1:6" x14ac:dyDescent="0.25">
      <c r="A11277" s="1" t="s">
        <v>509</v>
      </c>
      <c r="B11277" s="1" t="s">
        <v>1975</v>
      </c>
      <c r="C11277" s="1" t="s">
        <v>149</v>
      </c>
      <c r="D11277" s="3">
        <f t="shared" si="1771"/>
        <v>7748</v>
      </c>
      <c r="E11277" s="2">
        <f t="shared" si="1772"/>
        <v>42125</v>
      </c>
      <c r="F11277" s="2">
        <f t="shared" si="1773"/>
        <v>42369</v>
      </c>
    </row>
    <row r="11278" spans="1:6" x14ac:dyDescent="0.25">
      <c r="A11278" s="1" t="s">
        <v>509</v>
      </c>
      <c r="B11278" s="1" t="s">
        <v>1975</v>
      </c>
      <c r="C11278" s="1" t="s">
        <v>150</v>
      </c>
      <c r="D11278" s="3">
        <f t="shared" si="1771"/>
        <v>7748</v>
      </c>
      <c r="E11278" s="2">
        <f t="shared" si="1772"/>
        <v>42125</v>
      </c>
      <c r="F11278" s="2">
        <f t="shared" si="1773"/>
        <v>42369</v>
      </c>
    </row>
    <row r="11279" spans="1:6" x14ac:dyDescent="0.25">
      <c r="A11279" s="1" t="s">
        <v>509</v>
      </c>
      <c r="B11279" s="1" t="s">
        <v>1975</v>
      </c>
      <c r="C11279" s="1" t="s">
        <v>172</v>
      </c>
      <c r="D11279" s="3">
        <f t="shared" si="1771"/>
        <v>7748</v>
      </c>
      <c r="E11279" s="2">
        <f t="shared" si="1772"/>
        <v>42125</v>
      </c>
      <c r="F11279" s="2">
        <f t="shared" si="1773"/>
        <v>42369</v>
      </c>
    </row>
    <row r="11280" spans="1:6" x14ac:dyDescent="0.25">
      <c r="A11280" s="1" t="s">
        <v>509</v>
      </c>
      <c r="B11280" s="1" t="s">
        <v>1975</v>
      </c>
      <c r="C11280" s="1" t="s">
        <v>211</v>
      </c>
      <c r="D11280" s="3">
        <f t="shared" si="1771"/>
        <v>7748</v>
      </c>
      <c r="E11280" s="2">
        <f t="shared" si="1772"/>
        <v>42125</v>
      </c>
      <c r="F11280" s="2">
        <f t="shared" si="1773"/>
        <v>42369</v>
      </c>
    </row>
    <row r="11281" spans="1:6" x14ac:dyDescent="0.25">
      <c r="A11281" s="1" t="s">
        <v>509</v>
      </c>
      <c r="B11281" s="1" t="s">
        <v>1975</v>
      </c>
      <c r="C11281" s="1" t="s">
        <v>69</v>
      </c>
      <c r="D11281" s="3">
        <f t="shared" si="1771"/>
        <v>7748</v>
      </c>
      <c r="E11281" s="2">
        <f t="shared" si="1772"/>
        <v>42125</v>
      </c>
      <c r="F11281" s="2">
        <f t="shared" si="1773"/>
        <v>42369</v>
      </c>
    </row>
    <row r="11282" spans="1:6" x14ac:dyDescent="0.25">
      <c r="A11282" s="1" t="s">
        <v>509</v>
      </c>
      <c r="B11282" s="1" t="s">
        <v>1967</v>
      </c>
      <c r="C11282" s="1" t="s">
        <v>197</v>
      </c>
      <c r="D11282" s="3">
        <f>VALUE("7732")</f>
        <v>7732</v>
      </c>
      <c r="E11282" s="2">
        <f>DATEVALUE("1-3-2015")</f>
        <v>42064</v>
      </c>
      <c r="F11282" s="2">
        <f>DATEVALUE("30-6-2015")</f>
        <v>42185</v>
      </c>
    </row>
    <row r="11283" spans="1:6" x14ac:dyDescent="0.25">
      <c r="A11283" s="1" t="s">
        <v>509</v>
      </c>
      <c r="B11283" s="1" t="s">
        <v>508</v>
      </c>
      <c r="C11283" s="1" t="s">
        <v>510</v>
      </c>
      <c r="D11283" s="3">
        <f t="shared" ref="D11283:D11314" si="1774">VALUE("7693")</f>
        <v>7693</v>
      </c>
      <c r="E11283" s="2">
        <f t="shared" ref="E11283:E11314" si="1775">DATEVALUE("1-12-2014")</f>
        <v>41974</v>
      </c>
      <c r="F11283" s="2">
        <f t="shared" ref="F11283:F11314" si="1776">DATEVALUE("31-12-2020")</f>
        <v>44196</v>
      </c>
    </row>
    <row r="11284" spans="1:6" x14ac:dyDescent="0.25">
      <c r="A11284" s="1" t="s">
        <v>509</v>
      </c>
      <c r="B11284" s="1" t="s">
        <v>508</v>
      </c>
      <c r="C11284" s="1" t="s">
        <v>511</v>
      </c>
      <c r="D11284" s="3">
        <f t="shared" si="1774"/>
        <v>7693</v>
      </c>
      <c r="E11284" s="2">
        <f t="shared" si="1775"/>
        <v>41974</v>
      </c>
      <c r="F11284" s="2">
        <f t="shared" si="1776"/>
        <v>44196</v>
      </c>
    </row>
    <row r="11285" spans="1:6" x14ac:dyDescent="0.25">
      <c r="A11285" s="1" t="s">
        <v>509</v>
      </c>
      <c r="B11285" s="1" t="s">
        <v>508</v>
      </c>
      <c r="C11285" s="1" t="s">
        <v>39</v>
      </c>
      <c r="D11285" s="3">
        <f t="shared" si="1774"/>
        <v>7693</v>
      </c>
      <c r="E11285" s="2">
        <f t="shared" si="1775"/>
        <v>41974</v>
      </c>
      <c r="F11285" s="2">
        <f t="shared" si="1776"/>
        <v>44196</v>
      </c>
    </row>
    <row r="11286" spans="1:6" x14ac:dyDescent="0.25">
      <c r="A11286" s="1" t="s">
        <v>509</v>
      </c>
      <c r="B11286" s="1" t="s">
        <v>508</v>
      </c>
      <c r="C11286" s="1" t="s">
        <v>40</v>
      </c>
      <c r="D11286" s="3">
        <f t="shared" si="1774"/>
        <v>7693</v>
      </c>
      <c r="E11286" s="2">
        <f t="shared" si="1775"/>
        <v>41974</v>
      </c>
      <c r="F11286" s="2">
        <f t="shared" si="1776"/>
        <v>44196</v>
      </c>
    </row>
    <row r="11287" spans="1:6" x14ac:dyDescent="0.25">
      <c r="A11287" s="1" t="s">
        <v>509</v>
      </c>
      <c r="B11287" s="1" t="s">
        <v>508</v>
      </c>
      <c r="C11287" s="1" t="s">
        <v>41</v>
      </c>
      <c r="D11287" s="3">
        <f t="shared" si="1774"/>
        <v>7693</v>
      </c>
      <c r="E11287" s="2">
        <f t="shared" si="1775"/>
        <v>41974</v>
      </c>
      <c r="F11287" s="2">
        <f t="shared" si="1776"/>
        <v>44196</v>
      </c>
    </row>
    <row r="11288" spans="1:6" x14ac:dyDescent="0.25">
      <c r="A11288" s="1" t="s">
        <v>509</v>
      </c>
      <c r="B11288" s="1" t="s">
        <v>508</v>
      </c>
      <c r="C11288" s="1" t="s">
        <v>43</v>
      </c>
      <c r="D11288" s="3">
        <f t="shared" si="1774"/>
        <v>7693</v>
      </c>
      <c r="E11288" s="2">
        <f t="shared" si="1775"/>
        <v>41974</v>
      </c>
      <c r="F11288" s="2">
        <f t="shared" si="1776"/>
        <v>44196</v>
      </c>
    </row>
    <row r="11289" spans="1:6" x14ac:dyDescent="0.25">
      <c r="A11289" s="1" t="s">
        <v>509</v>
      </c>
      <c r="B11289" s="1" t="s">
        <v>508</v>
      </c>
      <c r="C11289" s="1" t="s">
        <v>45</v>
      </c>
      <c r="D11289" s="3">
        <f t="shared" si="1774"/>
        <v>7693</v>
      </c>
      <c r="E11289" s="2">
        <f t="shared" si="1775"/>
        <v>41974</v>
      </c>
      <c r="F11289" s="2">
        <f t="shared" si="1776"/>
        <v>44196</v>
      </c>
    </row>
    <row r="11290" spans="1:6" x14ac:dyDescent="0.25">
      <c r="A11290" s="1" t="s">
        <v>509</v>
      </c>
      <c r="B11290" s="1" t="s">
        <v>508</v>
      </c>
      <c r="C11290" s="1" t="s">
        <v>44</v>
      </c>
      <c r="D11290" s="3">
        <f t="shared" si="1774"/>
        <v>7693</v>
      </c>
      <c r="E11290" s="2">
        <f t="shared" si="1775"/>
        <v>41974</v>
      </c>
      <c r="F11290" s="2">
        <f t="shared" si="1776"/>
        <v>44196</v>
      </c>
    </row>
    <row r="11291" spans="1:6" x14ac:dyDescent="0.25">
      <c r="A11291" s="1" t="s">
        <v>509</v>
      </c>
      <c r="B11291" s="1" t="s">
        <v>508</v>
      </c>
      <c r="C11291" s="1" t="s">
        <v>140</v>
      </c>
      <c r="D11291" s="3">
        <f t="shared" si="1774"/>
        <v>7693</v>
      </c>
      <c r="E11291" s="2">
        <f t="shared" si="1775"/>
        <v>41974</v>
      </c>
      <c r="F11291" s="2">
        <f t="shared" si="1776"/>
        <v>44196</v>
      </c>
    </row>
    <row r="11292" spans="1:6" x14ac:dyDescent="0.25">
      <c r="A11292" s="1" t="s">
        <v>509</v>
      </c>
      <c r="B11292" s="1" t="s">
        <v>508</v>
      </c>
      <c r="C11292" s="1" t="s">
        <v>141</v>
      </c>
      <c r="D11292" s="3">
        <f t="shared" si="1774"/>
        <v>7693</v>
      </c>
      <c r="E11292" s="2">
        <f t="shared" si="1775"/>
        <v>41974</v>
      </c>
      <c r="F11292" s="2">
        <f t="shared" si="1776"/>
        <v>44196</v>
      </c>
    </row>
    <row r="11293" spans="1:6" x14ac:dyDescent="0.25">
      <c r="A11293" s="1" t="s">
        <v>509</v>
      </c>
      <c r="B11293" s="1" t="s">
        <v>508</v>
      </c>
      <c r="C11293" s="1" t="s">
        <v>142</v>
      </c>
      <c r="D11293" s="3">
        <f t="shared" si="1774"/>
        <v>7693</v>
      </c>
      <c r="E11293" s="2">
        <f t="shared" si="1775"/>
        <v>41974</v>
      </c>
      <c r="F11293" s="2">
        <f t="shared" si="1776"/>
        <v>44196</v>
      </c>
    </row>
    <row r="11294" spans="1:6" x14ac:dyDescent="0.25">
      <c r="A11294" s="1" t="s">
        <v>509</v>
      </c>
      <c r="B11294" s="1" t="s">
        <v>508</v>
      </c>
      <c r="C11294" s="1" t="s">
        <v>14</v>
      </c>
      <c r="D11294" s="3">
        <f t="shared" si="1774"/>
        <v>7693</v>
      </c>
      <c r="E11294" s="2">
        <f t="shared" si="1775"/>
        <v>41974</v>
      </c>
      <c r="F11294" s="2">
        <f t="shared" si="1776"/>
        <v>44196</v>
      </c>
    </row>
    <row r="11295" spans="1:6" x14ac:dyDescent="0.25">
      <c r="A11295" s="1" t="s">
        <v>509</v>
      </c>
      <c r="B11295" s="1" t="s">
        <v>508</v>
      </c>
      <c r="C11295" s="1" t="s">
        <v>15</v>
      </c>
      <c r="D11295" s="3">
        <f t="shared" si="1774"/>
        <v>7693</v>
      </c>
      <c r="E11295" s="2">
        <f t="shared" si="1775"/>
        <v>41974</v>
      </c>
      <c r="F11295" s="2">
        <f t="shared" si="1776"/>
        <v>44196</v>
      </c>
    </row>
    <row r="11296" spans="1:6" x14ac:dyDescent="0.25">
      <c r="A11296" s="1" t="s">
        <v>509</v>
      </c>
      <c r="B11296" s="1" t="s">
        <v>508</v>
      </c>
      <c r="C11296" s="1" t="s">
        <v>17</v>
      </c>
      <c r="D11296" s="3">
        <f t="shared" si="1774"/>
        <v>7693</v>
      </c>
      <c r="E11296" s="2">
        <f t="shared" si="1775"/>
        <v>41974</v>
      </c>
      <c r="F11296" s="2">
        <f t="shared" si="1776"/>
        <v>44196</v>
      </c>
    </row>
    <row r="11297" spans="1:6" x14ac:dyDescent="0.25">
      <c r="A11297" s="1" t="s">
        <v>509</v>
      </c>
      <c r="B11297" s="1" t="s">
        <v>508</v>
      </c>
      <c r="C11297" s="1" t="s">
        <v>18</v>
      </c>
      <c r="D11297" s="3">
        <f t="shared" si="1774"/>
        <v>7693</v>
      </c>
      <c r="E11297" s="2">
        <f t="shared" si="1775"/>
        <v>41974</v>
      </c>
      <c r="F11297" s="2">
        <f t="shared" si="1776"/>
        <v>44196</v>
      </c>
    </row>
    <row r="11298" spans="1:6" x14ac:dyDescent="0.25">
      <c r="A11298" s="1" t="s">
        <v>509</v>
      </c>
      <c r="B11298" s="1" t="s">
        <v>508</v>
      </c>
      <c r="C11298" s="1" t="s">
        <v>167</v>
      </c>
      <c r="D11298" s="3">
        <f t="shared" si="1774"/>
        <v>7693</v>
      </c>
      <c r="E11298" s="2">
        <f t="shared" si="1775"/>
        <v>41974</v>
      </c>
      <c r="F11298" s="2">
        <f t="shared" si="1776"/>
        <v>44196</v>
      </c>
    </row>
    <row r="11299" spans="1:6" x14ac:dyDescent="0.25">
      <c r="A11299" s="1" t="s">
        <v>509</v>
      </c>
      <c r="B11299" s="1" t="s">
        <v>508</v>
      </c>
      <c r="C11299" s="1" t="s">
        <v>512</v>
      </c>
      <c r="D11299" s="3">
        <f t="shared" si="1774"/>
        <v>7693</v>
      </c>
      <c r="E11299" s="2">
        <f t="shared" si="1775"/>
        <v>41974</v>
      </c>
      <c r="F11299" s="2">
        <f t="shared" si="1776"/>
        <v>44196</v>
      </c>
    </row>
    <row r="11300" spans="1:6" x14ac:dyDescent="0.25">
      <c r="A11300" s="1" t="s">
        <v>509</v>
      </c>
      <c r="B11300" s="1" t="s">
        <v>508</v>
      </c>
      <c r="C11300" s="1" t="s">
        <v>291</v>
      </c>
      <c r="D11300" s="3">
        <f t="shared" si="1774"/>
        <v>7693</v>
      </c>
      <c r="E11300" s="2">
        <f t="shared" si="1775"/>
        <v>41974</v>
      </c>
      <c r="F11300" s="2">
        <f t="shared" si="1776"/>
        <v>44196</v>
      </c>
    </row>
    <row r="11301" spans="1:6" x14ac:dyDescent="0.25">
      <c r="A11301" s="1" t="s">
        <v>509</v>
      </c>
      <c r="B11301" s="1" t="s">
        <v>508</v>
      </c>
      <c r="C11301" s="1" t="s">
        <v>22</v>
      </c>
      <c r="D11301" s="3">
        <f t="shared" si="1774"/>
        <v>7693</v>
      </c>
      <c r="E11301" s="2">
        <f t="shared" si="1775"/>
        <v>41974</v>
      </c>
      <c r="F11301" s="2">
        <f t="shared" si="1776"/>
        <v>44196</v>
      </c>
    </row>
    <row r="11302" spans="1:6" x14ac:dyDescent="0.25">
      <c r="A11302" s="1" t="s">
        <v>509</v>
      </c>
      <c r="B11302" s="1" t="s">
        <v>508</v>
      </c>
      <c r="C11302" s="1" t="s">
        <v>146</v>
      </c>
      <c r="D11302" s="3">
        <f t="shared" si="1774"/>
        <v>7693</v>
      </c>
      <c r="E11302" s="2">
        <f t="shared" si="1775"/>
        <v>41974</v>
      </c>
      <c r="F11302" s="2">
        <f t="shared" si="1776"/>
        <v>44196</v>
      </c>
    </row>
    <row r="11303" spans="1:6" x14ac:dyDescent="0.25">
      <c r="A11303" s="1" t="s">
        <v>509</v>
      </c>
      <c r="B11303" s="1" t="s">
        <v>508</v>
      </c>
      <c r="C11303" s="1" t="s">
        <v>67</v>
      </c>
      <c r="D11303" s="3">
        <f t="shared" si="1774"/>
        <v>7693</v>
      </c>
      <c r="E11303" s="2">
        <f t="shared" si="1775"/>
        <v>41974</v>
      </c>
      <c r="F11303" s="2">
        <f t="shared" si="1776"/>
        <v>44196</v>
      </c>
    </row>
    <row r="11304" spans="1:6" x14ac:dyDescent="0.25">
      <c r="A11304" s="1" t="s">
        <v>509</v>
      </c>
      <c r="B11304" s="1" t="s">
        <v>508</v>
      </c>
      <c r="C11304" s="1" t="s">
        <v>147</v>
      </c>
      <c r="D11304" s="3">
        <f t="shared" si="1774"/>
        <v>7693</v>
      </c>
      <c r="E11304" s="2">
        <f t="shared" si="1775"/>
        <v>41974</v>
      </c>
      <c r="F11304" s="2">
        <f t="shared" si="1776"/>
        <v>44196</v>
      </c>
    </row>
    <row r="11305" spans="1:6" x14ac:dyDescent="0.25">
      <c r="A11305" s="1" t="s">
        <v>509</v>
      </c>
      <c r="B11305" s="1" t="s">
        <v>508</v>
      </c>
      <c r="C11305" s="1" t="s">
        <v>148</v>
      </c>
      <c r="D11305" s="3">
        <f t="shared" si="1774"/>
        <v>7693</v>
      </c>
      <c r="E11305" s="2">
        <f t="shared" si="1775"/>
        <v>41974</v>
      </c>
      <c r="F11305" s="2">
        <f t="shared" si="1776"/>
        <v>44196</v>
      </c>
    </row>
    <row r="11306" spans="1:6" x14ac:dyDescent="0.25">
      <c r="A11306" s="1" t="s">
        <v>509</v>
      </c>
      <c r="B11306" s="1" t="s">
        <v>508</v>
      </c>
      <c r="C11306" s="1" t="s">
        <v>149</v>
      </c>
      <c r="D11306" s="3">
        <f t="shared" si="1774"/>
        <v>7693</v>
      </c>
      <c r="E11306" s="2">
        <f t="shared" si="1775"/>
        <v>41974</v>
      </c>
      <c r="F11306" s="2">
        <f t="shared" si="1776"/>
        <v>44196</v>
      </c>
    </row>
    <row r="11307" spans="1:6" x14ac:dyDescent="0.25">
      <c r="A11307" s="1" t="s">
        <v>509</v>
      </c>
      <c r="B11307" s="1" t="s">
        <v>508</v>
      </c>
      <c r="C11307" s="1" t="s">
        <v>385</v>
      </c>
      <c r="D11307" s="3">
        <f t="shared" si="1774"/>
        <v>7693</v>
      </c>
      <c r="E11307" s="2">
        <f t="shared" si="1775"/>
        <v>41974</v>
      </c>
      <c r="F11307" s="2">
        <f t="shared" si="1776"/>
        <v>44196</v>
      </c>
    </row>
    <row r="11308" spans="1:6" x14ac:dyDescent="0.25">
      <c r="A11308" s="1" t="s">
        <v>509</v>
      </c>
      <c r="B11308" s="1" t="s">
        <v>508</v>
      </c>
      <c r="C11308" s="1" t="s">
        <v>386</v>
      </c>
      <c r="D11308" s="3">
        <f t="shared" si="1774"/>
        <v>7693</v>
      </c>
      <c r="E11308" s="2">
        <f t="shared" si="1775"/>
        <v>41974</v>
      </c>
      <c r="F11308" s="2">
        <f t="shared" si="1776"/>
        <v>44196</v>
      </c>
    </row>
    <row r="11309" spans="1:6" x14ac:dyDescent="0.25">
      <c r="A11309" s="1" t="s">
        <v>509</v>
      </c>
      <c r="B11309" s="1" t="s">
        <v>508</v>
      </c>
      <c r="C11309" s="1" t="s">
        <v>387</v>
      </c>
      <c r="D11309" s="3">
        <f t="shared" si="1774"/>
        <v>7693</v>
      </c>
      <c r="E11309" s="2">
        <f t="shared" si="1775"/>
        <v>41974</v>
      </c>
      <c r="F11309" s="2">
        <f t="shared" si="1776"/>
        <v>44196</v>
      </c>
    </row>
    <row r="11310" spans="1:6" x14ac:dyDescent="0.25">
      <c r="A11310" s="1" t="s">
        <v>509</v>
      </c>
      <c r="B11310" s="1" t="s">
        <v>508</v>
      </c>
      <c r="C11310" s="1" t="s">
        <v>388</v>
      </c>
      <c r="D11310" s="3">
        <f t="shared" si="1774"/>
        <v>7693</v>
      </c>
      <c r="E11310" s="2">
        <f t="shared" si="1775"/>
        <v>41974</v>
      </c>
      <c r="F11310" s="2">
        <f t="shared" si="1776"/>
        <v>44196</v>
      </c>
    </row>
    <row r="11311" spans="1:6" x14ac:dyDescent="0.25">
      <c r="A11311" s="1" t="s">
        <v>509</v>
      </c>
      <c r="B11311" s="1" t="s">
        <v>508</v>
      </c>
      <c r="C11311" s="1" t="s">
        <v>456</v>
      </c>
      <c r="D11311" s="3">
        <f t="shared" si="1774"/>
        <v>7693</v>
      </c>
      <c r="E11311" s="2">
        <f t="shared" si="1775"/>
        <v>41974</v>
      </c>
      <c r="F11311" s="2">
        <f t="shared" si="1776"/>
        <v>44196</v>
      </c>
    </row>
    <row r="11312" spans="1:6" x14ac:dyDescent="0.25">
      <c r="A11312" s="1" t="s">
        <v>509</v>
      </c>
      <c r="B11312" s="1" t="s">
        <v>508</v>
      </c>
      <c r="C11312" s="1" t="s">
        <v>389</v>
      </c>
      <c r="D11312" s="3">
        <f t="shared" si="1774"/>
        <v>7693</v>
      </c>
      <c r="E11312" s="2">
        <f t="shared" si="1775"/>
        <v>41974</v>
      </c>
      <c r="F11312" s="2">
        <f t="shared" si="1776"/>
        <v>44196</v>
      </c>
    </row>
    <row r="11313" spans="1:6" x14ac:dyDescent="0.25">
      <c r="A11313" s="1" t="s">
        <v>509</v>
      </c>
      <c r="B11313" s="1" t="s">
        <v>508</v>
      </c>
      <c r="C11313" s="1" t="s">
        <v>513</v>
      </c>
      <c r="D11313" s="3">
        <f t="shared" si="1774"/>
        <v>7693</v>
      </c>
      <c r="E11313" s="2">
        <f t="shared" si="1775"/>
        <v>41974</v>
      </c>
      <c r="F11313" s="2">
        <f t="shared" si="1776"/>
        <v>44196</v>
      </c>
    </row>
    <row r="11314" spans="1:6" x14ac:dyDescent="0.25">
      <c r="A11314" s="1" t="s">
        <v>509</v>
      </c>
      <c r="B11314" s="1" t="s">
        <v>508</v>
      </c>
      <c r="C11314" s="1" t="s">
        <v>314</v>
      </c>
      <c r="D11314" s="3">
        <f t="shared" si="1774"/>
        <v>7693</v>
      </c>
      <c r="E11314" s="2">
        <f t="shared" si="1775"/>
        <v>41974</v>
      </c>
      <c r="F11314" s="2">
        <f t="shared" si="1776"/>
        <v>44196</v>
      </c>
    </row>
    <row r="11315" spans="1:6" x14ac:dyDescent="0.25">
      <c r="A11315" s="1" t="s">
        <v>509</v>
      </c>
      <c r="B11315" s="1" t="s">
        <v>508</v>
      </c>
      <c r="C11315" s="1" t="s">
        <v>315</v>
      </c>
      <c r="D11315" s="3">
        <f t="shared" ref="D11315:D11334" si="1777">VALUE("7693")</f>
        <v>7693</v>
      </c>
      <c r="E11315" s="2">
        <f t="shared" ref="E11315:E11334" si="1778">DATEVALUE("1-12-2014")</f>
        <v>41974</v>
      </c>
      <c r="F11315" s="2">
        <f t="shared" ref="F11315:F11334" si="1779">DATEVALUE("31-12-2020")</f>
        <v>44196</v>
      </c>
    </row>
    <row r="11316" spans="1:6" x14ac:dyDescent="0.25">
      <c r="A11316" s="1" t="s">
        <v>509</v>
      </c>
      <c r="B11316" s="1" t="s">
        <v>508</v>
      </c>
      <c r="C11316" s="1" t="s">
        <v>94</v>
      </c>
      <c r="D11316" s="3">
        <f t="shared" si="1777"/>
        <v>7693</v>
      </c>
      <c r="E11316" s="2">
        <f t="shared" si="1778"/>
        <v>41974</v>
      </c>
      <c r="F11316" s="2">
        <f t="shared" si="1779"/>
        <v>44196</v>
      </c>
    </row>
    <row r="11317" spans="1:6" x14ac:dyDescent="0.25">
      <c r="A11317" s="1" t="s">
        <v>509</v>
      </c>
      <c r="B11317" s="1" t="s">
        <v>508</v>
      </c>
      <c r="C11317" s="1" t="s">
        <v>514</v>
      </c>
      <c r="D11317" s="3">
        <f t="shared" si="1777"/>
        <v>7693</v>
      </c>
      <c r="E11317" s="2">
        <f t="shared" si="1778"/>
        <v>41974</v>
      </c>
      <c r="F11317" s="2">
        <f t="shared" si="1779"/>
        <v>44196</v>
      </c>
    </row>
    <row r="11318" spans="1:6" x14ac:dyDescent="0.25">
      <c r="A11318" s="1" t="s">
        <v>509</v>
      </c>
      <c r="B11318" s="1" t="s">
        <v>508</v>
      </c>
      <c r="C11318" s="1" t="s">
        <v>515</v>
      </c>
      <c r="D11318" s="3">
        <f t="shared" si="1777"/>
        <v>7693</v>
      </c>
      <c r="E11318" s="2">
        <f t="shared" si="1778"/>
        <v>41974</v>
      </c>
      <c r="F11318" s="2">
        <f t="shared" si="1779"/>
        <v>44196</v>
      </c>
    </row>
    <row r="11319" spans="1:6" x14ac:dyDescent="0.25">
      <c r="A11319" s="1" t="s">
        <v>509</v>
      </c>
      <c r="B11319" s="1" t="s">
        <v>508</v>
      </c>
      <c r="C11319" s="1" t="s">
        <v>24</v>
      </c>
      <c r="D11319" s="3">
        <f t="shared" si="1777"/>
        <v>7693</v>
      </c>
      <c r="E11319" s="2">
        <f t="shared" si="1778"/>
        <v>41974</v>
      </c>
      <c r="F11319" s="2">
        <f t="shared" si="1779"/>
        <v>44196</v>
      </c>
    </row>
    <row r="11320" spans="1:6" x14ac:dyDescent="0.25">
      <c r="A11320" s="1" t="s">
        <v>509</v>
      </c>
      <c r="B11320" s="1" t="s">
        <v>508</v>
      </c>
      <c r="C11320" s="1" t="s">
        <v>516</v>
      </c>
      <c r="D11320" s="3">
        <f t="shared" si="1777"/>
        <v>7693</v>
      </c>
      <c r="E11320" s="2">
        <f t="shared" si="1778"/>
        <v>41974</v>
      </c>
      <c r="F11320" s="2">
        <f t="shared" si="1779"/>
        <v>44196</v>
      </c>
    </row>
    <row r="11321" spans="1:6" x14ac:dyDescent="0.25">
      <c r="A11321" s="1" t="s">
        <v>509</v>
      </c>
      <c r="B11321" s="1" t="s">
        <v>508</v>
      </c>
      <c r="C11321" s="1" t="s">
        <v>517</v>
      </c>
      <c r="D11321" s="3">
        <f t="shared" si="1777"/>
        <v>7693</v>
      </c>
      <c r="E11321" s="2">
        <f t="shared" si="1778"/>
        <v>41974</v>
      </c>
      <c r="F11321" s="2">
        <f t="shared" si="1779"/>
        <v>44196</v>
      </c>
    </row>
    <row r="11322" spans="1:6" x14ac:dyDescent="0.25">
      <c r="A11322" s="1" t="s">
        <v>509</v>
      </c>
      <c r="B11322" s="1" t="s">
        <v>508</v>
      </c>
      <c r="C11322" s="1" t="s">
        <v>349</v>
      </c>
      <c r="D11322" s="3">
        <f t="shared" si="1777"/>
        <v>7693</v>
      </c>
      <c r="E11322" s="2">
        <f t="shared" si="1778"/>
        <v>41974</v>
      </c>
      <c r="F11322" s="2">
        <f t="shared" si="1779"/>
        <v>44196</v>
      </c>
    </row>
    <row r="11323" spans="1:6" x14ac:dyDescent="0.25">
      <c r="A11323" s="1" t="s">
        <v>509</v>
      </c>
      <c r="B11323" s="1" t="s">
        <v>508</v>
      </c>
      <c r="C11323" s="1" t="s">
        <v>458</v>
      </c>
      <c r="D11323" s="3">
        <f t="shared" si="1777"/>
        <v>7693</v>
      </c>
      <c r="E11323" s="2">
        <f t="shared" si="1778"/>
        <v>41974</v>
      </c>
      <c r="F11323" s="2">
        <f t="shared" si="1779"/>
        <v>44196</v>
      </c>
    </row>
    <row r="11324" spans="1:6" x14ac:dyDescent="0.25">
      <c r="A11324" s="1" t="s">
        <v>509</v>
      </c>
      <c r="B11324" s="1" t="s">
        <v>508</v>
      </c>
      <c r="C11324" s="1" t="s">
        <v>459</v>
      </c>
      <c r="D11324" s="3">
        <f t="shared" si="1777"/>
        <v>7693</v>
      </c>
      <c r="E11324" s="2">
        <f t="shared" si="1778"/>
        <v>41974</v>
      </c>
      <c r="F11324" s="2">
        <f t="shared" si="1779"/>
        <v>44196</v>
      </c>
    </row>
    <row r="11325" spans="1:6" x14ac:dyDescent="0.25">
      <c r="A11325" s="1" t="s">
        <v>509</v>
      </c>
      <c r="B11325" s="1" t="s">
        <v>508</v>
      </c>
      <c r="C11325" s="1" t="s">
        <v>316</v>
      </c>
      <c r="D11325" s="3">
        <f t="shared" si="1777"/>
        <v>7693</v>
      </c>
      <c r="E11325" s="2">
        <f t="shared" si="1778"/>
        <v>41974</v>
      </c>
      <c r="F11325" s="2">
        <f t="shared" si="1779"/>
        <v>44196</v>
      </c>
    </row>
    <row r="11326" spans="1:6" x14ac:dyDescent="0.25">
      <c r="A11326" s="1" t="s">
        <v>509</v>
      </c>
      <c r="B11326" s="1" t="s">
        <v>508</v>
      </c>
      <c r="C11326" s="1" t="s">
        <v>378</v>
      </c>
      <c r="D11326" s="3">
        <f t="shared" si="1777"/>
        <v>7693</v>
      </c>
      <c r="E11326" s="2">
        <f t="shared" si="1778"/>
        <v>41974</v>
      </c>
      <c r="F11326" s="2">
        <f t="shared" si="1779"/>
        <v>44196</v>
      </c>
    </row>
    <row r="11327" spans="1:6" x14ac:dyDescent="0.25">
      <c r="A11327" s="1" t="s">
        <v>509</v>
      </c>
      <c r="B11327" s="1" t="s">
        <v>508</v>
      </c>
      <c r="C11327" s="1" t="s">
        <v>34</v>
      </c>
      <c r="D11327" s="3">
        <f t="shared" si="1777"/>
        <v>7693</v>
      </c>
      <c r="E11327" s="2">
        <f t="shared" si="1778"/>
        <v>41974</v>
      </c>
      <c r="F11327" s="2">
        <f t="shared" si="1779"/>
        <v>44196</v>
      </c>
    </row>
    <row r="11328" spans="1:6" x14ac:dyDescent="0.25">
      <c r="A11328" s="1" t="s">
        <v>509</v>
      </c>
      <c r="B11328" s="1" t="s">
        <v>508</v>
      </c>
      <c r="C11328" s="1" t="s">
        <v>379</v>
      </c>
      <c r="D11328" s="3">
        <f t="shared" si="1777"/>
        <v>7693</v>
      </c>
      <c r="E11328" s="2">
        <f t="shared" si="1778"/>
        <v>41974</v>
      </c>
      <c r="F11328" s="2">
        <f t="shared" si="1779"/>
        <v>44196</v>
      </c>
    </row>
    <row r="11329" spans="1:6" x14ac:dyDescent="0.25">
      <c r="A11329" s="1" t="s">
        <v>509</v>
      </c>
      <c r="B11329" s="1" t="s">
        <v>508</v>
      </c>
      <c r="C11329" s="1" t="s">
        <v>131</v>
      </c>
      <c r="D11329" s="3">
        <f t="shared" si="1777"/>
        <v>7693</v>
      </c>
      <c r="E11329" s="2">
        <f t="shared" si="1778"/>
        <v>41974</v>
      </c>
      <c r="F11329" s="2">
        <f t="shared" si="1779"/>
        <v>44196</v>
      </c>
    </row>
    <row r="11330" spans="1:6" x14ac:dyDescent="0.25">
      <c r="A11330" s="1" t="s">
        <v>509</v>
      </c>
      <c r="B11330" s="1" t="s">
        <v>508</v>
      </c>
      <c r="C11330" s="1" t="s">
        <v>518</v>
      </c>
      <c r="D11330" s="3">
        <f t="shared" si="1777"/>
        <v>7693</v>
      </c>
      <c r="E11330" s="2">
        <f t="shared" si="1778"/>
        <v>41974</v>
      </c>
      <c r="F11330" s="2">
        <f t="shared" si="1779"/>
        <v>44196</v>
      </c>
    </row>
    <row r="11331" spans="1:6" x14ac:dyDescent="0.25">
      <c r="A11331" s="1" t="s">
        <v>509</v>
      </c>
      <c r="B11331" s="1" t="s">
        <v>508</v>
      </c>
      <c r="C11331" s="1" t="s">
        <v>132</v>
      </c>
      <c r="D11331" s="3">
        <f t="shared" si="1777"/>
        <v>7693</v>
      </c>
      <c r="E11331" s="2">
        <f t="shared" si="1778"/>
        <v>41974</v>
      </c>
      <c r="F11331" s="2">
        <f t="shared" si="1779"/>
        <v>44196</v>
      </c>
    </row>
    <row r="11332" spans="1:6" x14ac:dyDescent="0.25">
      <c r="A11332" s="1" t="s">
        <v>509</v>
      </c>
      <c r="B11332" s="1" t="s">
        <v>508</v>
      </c>
      <c r="C11332" s="1" t="s">
        <v>519</v>
      </c>
      <c r="D11332" s="3">
        <f t="shared" si="1777"/>
        <v>7693</v>
      </c>
      <c r="E11332" s="2">
        <f t="shared" si="1778"/>
        <v>41974</v>
      </c>
      <c r="F11332" s="2">
        <f t="shared" si="1779"/>
        <v>44196</v>
      </c>
    </row>
    <row r="11333" spans="1:6" x14ac:dyDescent="0.25">
      <c r="A11333" s="1" t="s">
        <v>509</v>
      </c>
      <c r="B11333" s="1" t="s">
        <v>508</v>
      </c>
      <c r="C11333" s="1" t="s">
        <v>520</v>
      </c>
      <c r="D11333" s="3">
        <f t="shared" si="1777"/>
        <v>7693</v>
      </c>
      <c r="E11333" s="2">
        <f t="shared" si="1778"/>
        <v>41974</v>
      </c>
      <c r="F11333" s="2">
        <f t="shared" si="1779"/>
        <v>44196</v>
      </c>
    </row>
    <row r="11334" spans="1:6" x14ac:dyDescent="0.25">
      <c r="A11334" s="1" t="s">
        <v>509</v>
      </c>
      <c r="B11334" s="1" t="s">
        <v>508</v>
      </c>
      <c r="C11334" s="1" t="s">
        <v>170</v>
      </c>
      <c r="D11334" s="3">
        <f t="shared" si="1777"/>
        <v>7693</v>
      </c>
      <c r="E11334" s="2">
        <f t="shared" si="1778"/>
        <v>41974</v>
      </c>
      <c r="F11334" s="2">
        <f t="shared" si="1779"/>
        <v>44196</v>
      </c>
    </row>
    <row r="11335" spans="1:6" x14ac:dyDescent="0.25">
      <c r="A11335" s="1" t="s">
        <v>509</v>
      </c>
      <c r="B11335" s="1" t="s">
        <v>2775</v>
      </c>
      <c r="C11335" s="1" t="s">
        <v>15</v>
      </c>
      <c r="D11335" s="3">
        <f>VALUE("7662")</f>
        <v>7662</v>
      </c>
      <c r="E11335" s="2">
        <f>DATEVALUE("1-7-2014")</f>
        <v>41821</v>
      </c>
      <c r="F11335" s="2">
        <f>DATEVALUE("31-10-2014")</f>
        <v>41943</v>
      </c>
    </row>
    <row r="11336" spans="1:6" x14ac:dyDescent="0.25">
      <c r="A11336" s="1" t="s">
        <v>509</v>
      </c>
      <c r="B11336" s="1" t="s">
        <v>2775</v>
      </c>
      <c r="C11336" s="1" t="s">
        <v>17</v>
      </c>
      <c r="D11336" s="3">
        <f>VALUE("7662")</f>
        <v>7662</v>
      </c>
      <c r="E11336" s="2">
        <f>DATEVALUE("1-7-2014")</f>
        <v>41821</v>
      </c>
      <c r="F11336" s="2">
        <f>DATEVALUE("31-10-2014")</f>
        <v>41943</v>
      </c>
    </row>
    <row r="11337" spans="1:6" x14ac:dyDescent="0.25">
      <c r="A11337" s="1" t="s">
        <v>509</v>
      </c>
      <c r="B11337" s="1" t="s">
        <v>1938</v>
      </c>
      <c r="C11337" s="1" t="s">
        <v>45</v>
      </c>
      <c r="D11337" s="3">
        <f t="shared" ref="D11337:D11343" si="1780">VALUE("7639")</f>
        <v>7639</v>
      </c>
      <c r="E11337" s="2">
        <f t="shared" ref="E11337:E11343" si="1781">DATEVALUE("1-6-2014")</f>
        <v>41791</v>
      </c>
      <c r="F11337" s="2">
        <f t="shared" ref="F11337:F11343" si="1782">DATEVALUE("31-1-2016")</f>
        <v>42400</v>
      </c>
    </row>
    <row r="11338" spans="1:6" x14ac:dyDescent="0.25">
      <c r="A11338" s="1" t="s">
        <v>509</v>
      </c>
      <c r="B11338" s="1" t="s">
        <v>1938</v>
      </c>
      <c r="C11338" s="1" t="s">
        <v>17</v>
      </c>
      <c r="D11338" s="3">
        <f t="shared" si="1780"/>
        <v>7639</v>
      </c>
      <c r="E11338" s="2">
        <f t="shared" si="1781"/>
        <v>41791</v>
      </c>
      <c r="F11338" s="2">
        <f t="shared" si="1782"/>
        <v>42400</v>
      </c>
    </row>
    <row r="11339" spans="1:6" x14ac:dyDescent="0.25">
      <c r="A11339" s="1" t="s">
        <v>509</v>
      </c>
      <c r="B11339" s="1" t="s">
        <v>1938</v>
      </c>
      <c r="C11339" s="1" t="s">
        <v>148</v>
      </c>
      <c r="D11339" s="3">
        <f t="shared" si="1780"/>
        <v>7639</v>
      </c>
      <c r="E11339" s="2">
        <f t="shared" si="1781"/>
        <v>41791</v>
      </c>
      <c r="F11339" s="2">
        <f t="shared" si="1782"/>
        <v>42400</v>
      </c>
    </row>
    <row r="11340" spans="1:6" x14ac:dyDescent="0.25">
      <c r="A11340" s="1" t="s">
        <v>509</v>
      </c>
      <c r="B11340" s="1" t="s">
        <v>1938</v>
      </c>
      <c r="C11340" s="1" t="s">
        <v>149</v>
      </c>
      <c r="D11340" s="3">
        <f t="shared" si="1780"/>
        <v>7639</v>
      </c>
      <c r="E11340" s="2">
        <f t="shared" si="1781"/>
        <v>41791</v>
      </c>
      <c r="F11340" s="2">
        <f t="shared" si="1782"/>
        <v>42400</v>
      </c>
    </row>
    <row r="11341" spans="1:6" x14ac:dyDescent="0.25">
      <c r="A11341" s="1" t="s">
        <v>509</v>
      </c>
      <c r="B11341" s="1" t="s">
        <v>1938</v>
      </c>
      <c r="C11341" s="1" t="s">
        <v>150</v>
      </c>
      <c r="D11341" s="3">
        <f t="shared" si="1780"/>
        <v>7639</v>
      </c>
      <c r="E11341" s="2">
        <f t="shared" si="1781"/>
        <v>41791</v>
      </c>
      <c r="F11341" s="2">
        <f t="shared" si="1782"/>
        <v>42400</v>
      </c>
    </row>
    <row r="11342" spans="1:6" x14ac:dyDescent="0.25">
      <c r="A11342" s="1" t="s">
        <v>509</v>
      </c>
      <c r="B11342" s="1" t="s">
        <v>1938</v>
      </c>
      <c r="C11342" s="1" t="s">
        <v>172</v>
      </c>
      <c r="D11342" s="3">
        <f t="shared" si="1780"/>
        <v>7639</v>
      </c>
      <c r="E11342" s="2">
        <f t="shared" si="1781"/>
        <v>41791</v>
      </c>
      <c r="F11342" s="2">
        <f t="shared" si="1782"/>
        <v>42400</v>
      </c>
    </row>
    <row r="11343" spans="1:6" x14ac:dyDescent="0.25">
      <c r="A11343" s="1" t="s">
        <v>509</v>
      </c>
      <c r="B11343" s="1" t="s">
        <v>1938</v>
      </c>
      <c r="C11343" s="1" t="s">
        <v>211</v>
      </c>
      <c r="D11343" s="3">
        <f t="shared" si="1780"/>
        <v>7639</v>
      </c>
      <c r="E11343" s="2">
        <f t="shared" si="1781"/>
        <v>41791</v>
      </c>
      <c r="F11343" s="2">
        <f t="shared" si="1782"/>
        <v>42400</v>
      </c>
    </row>
    <row r="11344" spans="1:6" x14ac:dyDescent="0.25">
      <c r="A11344" s="1" t="s">
        <v>509</v>
      </c>
      <c r="B11344" s="1" t="s">
        <v>2163</v>
      </c>
      <c r="C11344" s="1" t="s">
        <v>863</v>
      </c>
      <c r="D11344" s="3">
        <f t="shared" ref="D11344:D11349" si="1783">VALUE("7580")</f>
        <v>7580</v>
      </c>
      <c r="E11344" s="2">
        <f t="shared" ref="E11344:E11356" si="1784">DATEVALUE("1-4-2014")</f>
        <v>41730</v>
      </c>
      <c r="F11344" s="2">
        <f t="shared" ref="F11344:F11349" si="1785">DATEVALUE("30-4-2016")</f>
        <v>42490</v>
      </c>
    </row>
    <row r="11345" spans="1:6" x14ac:dyDescent="0.25">
      <c r="A11345" s="1" t="s">
        <v>509</v>
      </c>
      <c r="B11345" s="1" t="s">
        <v>2163</v>
      </c>
      <c r="C11345" s="1" t="s">
        <v>17</v>
      </c>
      <c r="D11345" s="3">
        <f t="shared" si="1783"/>
        <v>7580</v>
      </c>
      <c r="E11345" s="2">
        <f t="shared" si="1784"/>
        <v>41730</v>
      </c>
      <c r="F11345" s="2">
        <f t="shared" si="1785"/>
        <v>42490</v>
      </c>
    </row>
    <row r="11346" spans="1:6" x14ac:dyDescent="0.25">
      <c r="A11346" s="1" t="s">
        <v>509</v>
      </c>
      <c r="B11346" s="1" t="s">
        <v>2163</v>
      </c>
      <c r="C11346" s="1" t="s">
        <v>148</v>
      </c>
      <c r="D11346" s="3">
        <f t="shared" si="1783"/>
        <v>7580</v>
      </c>
      <c r="E11346" s="2">
        <f t="shared" si="1784"/>
        <v>41730</v>
      </c>
      <c r="F11346" s="2">
        <f t="shared" si="1785"/>
        <v>42490</v>
      </c>
    </row>
    <row r="11347" spans="1:6" x14ac:dyDescent="0.25">
      <c r="A11347" s="1" t="s">
        <v>509</v>
      </c>
      <c r="B11347" s="1" t="s">
        <v>2163</v>
      </c>
      <c r="C11347" s="1" t="s">
        <v>149</v>
      </c>
      <c r="D11347" s="3">
        <f t="shared" si="1783"/>
        <v>7580</v>
      </c>
      <c r="E11347" s="2">
        <f t="shared" si="1784"/>
        <v>41730</v>
      </c>
      <c r="F11347" s="2">
        <f t="shared" si="1785"/>
        <v>42490</v>
      </c>
    </row>
    <row r="11348" spans="1:6" x14ac:dyDescent="0.25">
      <c r="A11348" s="1" t="s">
        <v>509</v>
      </c>
      <c r="B11348" s="1" t="s">
        <v>2163</v>
      </c>
      <c r="C11348" s="1" t="s">
        <v>172</v>
      </c>
      <c r="D11348" s="3">
        <f t="shared" si="1783"/>
        <v>7580</v>
      </c>
      <c r="E11348" s="2">
        <f t="shared" si="1784"/>
        <v>41730</v>
      </c>
      <c r="F11348" s="2">
        <f t="shared" si="1785"/>
        <v>42490</v>
      </c>
    </row>
    <row r="11349" spans="1:6" x14ac:dyDescent="0.25">
      <c r="A11349" s="1" t="s">
        <v>509</v>
      </c>
      <c r="B11349" s="1" t="s">
        <v>2163</v>
      </c>
      <c r="C11349" s="1" t="s">
        <v>211</v>
      </c>
      <c r="D11349" s="3">
        <f t="shared" si="1783"/>
        <v>7580</v>
      </c>
      <c r="E11349" s="2">
        <f t="shared" si="1784"/>
        <v>41730</v>
      </c>
      <c r="F11349" s="2">
        <f t="shared" si="1785"/>
        <v>42490</v>
      </c>
    </row>
    <row r="11350" spans="1:6" x14ac:dyDescent="0.25">
      <c r="A11350" s="1" t="s">
        <v>509</v>
      </c>
      <c r="B11350" s="1" t="s">
        <v>2763</v>
      </c>
      <c r="C11350" s="1" t="s">
        <v>46</v>
      </c>
      <c r="D11350" s="3">
        <f>VALUE("7605")</f>
        <v>7605</v>
      </c>
      <c r="E11350" s="2">
        <f t="shared" si="1784"/>
        <v>41730</v>
      </c>
      <c r="F11350" s="2">
        <f>DATEVALUE("30-9-2014")</f>
        <v>41912</v>
      </c>
    </row>
    <row r="11351" spans="1:6" x14ac:dyDescent="0.25">
      <c r="A11351" s="1" t="s">
        <v>509</v>
      </c>
      <c r="B11351" s="1" t="s">
        <v>2763</v>
      </c>
      <c r="C11351" s="1" t="s">
        <v>91</v>
      </c>
      <c r="D11351" s="3">
        <f>VALUE("7605")</f>
        <v>7605</v>
      </c>
      <c r="E11351" s="2">
        <f t="shared" si="1784"/>
        <v>41730</v>
      </c>
      <c r="F11351" s="2">
        <f>DATEVALUE("30-9-2014")</f>
        <v>41912</v>
      </c>
    </row>
    <row r="11352" spans="1:6" x14ac:dyDescent="0.25">
      <c r="A11352" s="1" t="s">
        <v>509</v>
      </c>
      <c r="B11352" s="1" t="s">
        <v>2763</v>
      </c>
      <c r="C11352" s="1" t="s">
        <v>102</v>
      </c>
      <c r="D11352" s="3">
        <f>VALUE("7605")</f>
        <v>7605</v>
      </c>
      <c r="E11352" s="2">
        <f t="shared" si="1784"/>
        <v>41730</v>
      </c>
      <c r="F11352" s="2">
        <f>DATEVALUE("30-9-2014")</f>
        <v>41912</v>
      </c>
    </row>
    <row r="11353" spans="1:6" x14ac:dyDescent="0.25">
      <c r="A11353" s="1" t="s">
        <v>509</v>
      </c>
      <c r="B11353" s="1" t="s">
        <v>2763</v>
      </c>
      <c r="C11353" s="1" t="s">
        <v>103</v>
      </c>
      <c r="D11353" s="3">
        <f>VALUE("7605")</f>
        <v>7605</v>
      </c>
      <c r="E11353" s="2">
        <f t="shared" si="1784"/>
        <v>41730</v>
      </c>
      <c r="F11353" s="2">
        <f>DATEVALUE("30-9-2014")</f>
        <v>41912</v>
      </c>
    </row>
    <row r="11354" spans="1:6" x14ac:dyDescent="0.25">
      <c r="A11354" s="1" t="s">
        <v>509</v>
      </c>
      <c r="B11354" s="1" t="s">
        <v>1934</v>
      </c>
      <c r="C11354" s="1" t="s">
        <v>17</v>
      </c>
      <c r="D11354" s="3">
        <f>VALUE("7622")</f>
        <v>7622</v>
      </c>
      <c r="E11354" s="2">
        <f t="shared" si="1784"/>
        <v>41730</v>
      </c>
      <c r="F11354" s="2">
        <f t="shared" ref="F11354:F11362" si="1786">DATEVALUE("31-3-2015")</f>
        <v>42094</v>
      </c>
    </row>
    <row r="11355" spans="1:6" x14ac:dyDescent="0.25">
      <c r="A11355" s="1" t="s">
        <v>509</v>
      </c>
      <c r="B11355" s="1" t="s">
        <v>1934</v>
      </c>
      <c r="C11355" s="1" t="s">
        <v>148</v>
      </c>
      <c r="D11355" s="3">
        <f>VALUE("7622")</f>
        <v>7622</v>
      </c>
      <c r="E11355" s="2">
        <f t="shared" si="1784"/>
        <v>41730</v>
      </c>
      <c r="F11355" s="2">
        <f t="shared" si="1786"/>
        <v>42094</v>
      </c>
    </row>
    <row r="11356" spans="1:6" x14ac:dyDescent="0.25">
      <c r="A11356" s="1" t="s">
        <v>509</v>
      </c>
      <c r="B11356" s="1" t="s">
        <v>1934</v>
      </c>
      <c r="C11356" s="1" t="s">
        <v>172</v>
      </c>
      <c r="D11356" s="3">
        <f>VALUE("7622")</f>
        <v>7622</v>
      </c>
      <c r="E11356" s="2">
        <f t="shared" si="1784"/>
        <v>41730</v>
      </c>
      <c r="F11356" s="2">
        <f t="shared" si="1786"/>
        <v>42094</v>
      </c>
    </row>
    <row r="11357" spans="1:6" x14ac:dyDescent="0.25">
      <c r="A11357" s="1" t="s">
        <v>509</v>
      </c>
      <c r="B11357" s="1" t="s">
        <v>1927</v>
      </c>
      <c r="C11357" s="1" t="s">
        <v>45</v>
      </c>
      <c r="D11357" s="3">
        <f t="shared" ref="D11357:D11362" si="1787">VALUE("7590")</f>
        <v>7590</v>
      </c>
      <c r="E11357" s="2">
        <f t="shared" ref="E11357:E11362" si="1788">DATEVALUE("1-2-2014")</f>
        <v>41671</v>
      </c>
      <c r="F11357" s="2">
        <f t="shared" si="1786"/>
        <v>42094</v>
      </c>
    </row>
    <row r="11358" spans="1:6" x14ac:dyDescent="0.25">
      <c r="A11358" s="1" t="s">
        <v>509</v>
      </c>
      <c r="B11358" s="1" t="s">
        <v>1927</v>
      </c>
      <c r="C11358" s="1" t="s">
        <v>22</v>
      </c>
      <c r="D11358" s="3">
        <f t="shared" si="1787"/>
        <v>7590</v>
      </c>
      <c r="E11358" s="2">
        <f t="shared" si="1788"/>
        <v>41671</v>
      </c>
      <c r="F11358" s="2">
        <f t="shared" si="1786"/>
        <v>42094</v>
      </c>
    </row>
    <row r="11359" spans="1:6" x14ac:dyDescent="0.25">
      <c r="A11359" s="1" t="s">
        <v>509</v>
      </c>
      <c r="B11359" s="1" t="s">
        <v>1927</v>
      </c>
      <c r="C11359" s="1" t="s">
        <v>148</v>
      </c>
      <c r="D11359" s="3">
        <f t="shared" si="1787"/>
        <v>7590</v>
      </c>
      <c r="E11359" s="2">
        <f t="shared" si="1788"/>
        <v>41671</v>
      </c>
      <c r="F11359" s="2">
        <f t="shared" si="1786"/>
        <v>42094</v>
      </c>
    </row>
    <row r="11360" spans="1:6" x14ac:dyDescent="0.25">
      <c r="A11360" s="1" t="s">
        <v>509</v>
      </c>
      <c r="B11360" s="1" t="s">
        <v>1927</v>
      </c>
      <c r="C11360" s="1" t="s">
        <v>149</v>
      </c>
      <c r="D11360" s="3">
        <f t="shared" si="1787"/>
        <v>7590</v>
      </c>
      <c r="E11360" s="2">
        <f t="shared" si="1788"/>
        <v>41671</v>
      </c>
      <c r="F11360" s="2">
        <f t="shared" si="1786"/>
        <v>42094</v>
      </c>
    </row>
    <row r="11361" spans="1:6" x14ac:dyDescent="0.25">
      <c r="A11361" s="1" t="s">
        <v>509</v>
      </c>
      <c r="B11361" s="1" t="s">
        <v>1927</v>
      </c>
      <c r="C11361" s="1" t="s">
        <v>172</v>
      </c>
      <c r="D11361" s="3">
        <f t="shared" si="1787"/>
        <v>7590</v>
      </c>
      <c r="E11361" s="2">
        <f t="shared" si="1788"/>
        <v>41671</v>
      </c>
      <c r="F11361" s="2">
        <f t="shared" si="1786"/>
        <v>42094</v>
      </c>
    </row>
    <row r="11362" spans="1:6" x14ac:dyDescent="0.25">
      <c r="A11362" s="1" t="s">
        <v>509</v>
      </c>
      <c r="B11362" s="1" t="s">
        <v>1927</v>
      </c>
      <c r="C11362" s="1" t="s">
        <v>300</v>
      </c>
      <c r="D11362" s="3">
        <f t="shared" si="1787"/>
        <v>7590</v>
      </c>
      <c r="E11362" s="2">
        <f t="shared" si="1788"/>
        <v>41671</v>
      </c>
      <c r="F11362" s="2">
        <f t="shared" si="1786"/>
        <v>42094</v>
      </c>
    </row>
    <row r="11363" spans="1:6" x14ac:dyDescent="0.25">
      <c r="A11363" s="1" t="s">
        <v>509</v>
      </c>
      <c r="B11363" s="1" t="s">
        <v>2736</v>
      </c>
      <c r="C11363" s="1" t="s">
        <v>148</v>
      </c>
      <c r="D11363" s="3">
        <f>VALUE("7536")</f>
        <v>7536</v>
      </c>
      <c r="E11363" s="2">
        <f>DATEVALUE("1-8-2013")</f>
        <v>41487</v>
      </c>
      <c r="F11363" s="2">
        <f>DATEVALUE("31-1-2014")</f>
        <v>41670</v>
      </c>
    </row>
    <row r="11364" spans="1:6" x14ac:dyDescent="0.25">
      <c r="A11364" s="1" t="s">
        <v>509</v>
      </c>
      <c r="B11364" s="1" t="s">
        <v>2736</v>
      </c>
      <c r="C11364" s="1" t="s">
        <v>172</v>
      </c>
      <c r="D11364" s="3">
        <f>VALUE("7536")</f>
        <v>7536</v>
      </c>
      <c r="E11364" s="2">
        <f>DATEVALUE("1-8-2013")</f>
        <v>41487</v>
      </c>
      <c r="F11364" s="2">
        <f>DATEVALUE("31-1-2014")</f>
        <v>41670</v>
      </c>
    </row>
    <row r="11365" spans="1:6" x14ac:dyDescent="0.25">
      <c r="A11365" s="1" t="s">
        <v>509</v>
      </c>
      <c r="B11365" s="1" t="s">
        <v>2721</v>
      </c>
      <c r="C11365" s="1" t="s">
        <v>43</v>
      </c>
      <c r="D11365" s="3">
        <f>VALUE("7477")</f>
        <v>7477</v>
      </c>
      <c r="E11365" s="2">
        <f>DATEVALUE("1-7-2013")</f>
        <v>41456</v>
      </c>
      <c r="F11365" s="2">
        <f>DATEVALUE("28-2-2014")</f>
        <v>41698</v>
      </c>
    </row>
    <row r="11366" spans="1:6" x14ac:dyDescent="0.25">
      <c r="A11366" s="1" t="s">
        <v>509</v>
      </c>
      <c r="B11366" s="1" t="s">
        <v>2721</v>
      </c>
      <c r="C11366" s="1" t="s">
        <v>45</v>
      </c>
      <c r="D11366" s="3">
        <f>VALUE("7477")</f>
        <v>7477</v>
      </c>
      <c r="E11366" s="2">
        <f>DATEVALUE("1-7-2013")</f>
        <v>41456</v>
      </c>
      <c r="F11366" s="2">
        <f>DATEVALUE("28-2-2014")</f>
        <v>41698</v>
      </c>
    </row>
    <row r="11367" spans="1:6" x14ac:dyDescent="0.25">
      <c r="A11367" s="1" t="s">
        <v>509</v>
      </c>
      <c r="B11367" s="1" t="s">
        <v>2721</v>
      </c>
      <c r="C11367" s="1" t="s">
        <v>17</v>
      </c>
      <c r="D11367" s="3">
        <f>VALUE("7477")</f>
        <v>7477</v>
      </c>
      <c r="E11367" s="2">
        <f>DATEVALUE("1-7-2013")</f>
        <v>41456</v>
      </c>
      <c r="F11367" s="2">
        <f>DATEVALUE("28-2-2014")</f>
        <v>41698</v>
      </c>
    </row>
    <row r="11368" spans="1:6" x14ac:dyDescent="0.25">
      <c r="A11368" s="1" t="s">
        <v>509</v>
      </c>
      <c r="B11368" s="1" t="s">
        <v>2721</v>
      </c>
      <c r="C11368" s="1" t="s">
        <v>172</v>
      </c>
      <c r="D11368" s="3">
        <f>VALUE("7477")</f>
        <v>7477</v>
      </c>
      <c r="E11368" s="2">
        <f>DATEVALUE("1-7-2013")</f>
        <v>41456</v>
      </c>
      <c r="F11368" s="2">
        <f>DATEVALUE("28-2-2014")</f>
        <v>41698</v>
      </c>
    </row>
    <row r="11369" spans="1:6" x14ac:dyDescent="0.25">
      <c r="A11369" s="1" t="s">
        <v>509</v>
      </c>
      <c r="B11369" s="1" t="s">
        <v>1916</v>
      </c>
      <c r="C11369" s="1" t="s">
        <v>485</v>
      </c>
      <c r="D11369" s="3">
        <f t="shared" ref="D11369:D11390" si="1789">VALUE("7502")</f>
        <v>7502</v>
      </c>
      <c r="E11369" s="2">
        <f t="shared" ref="E11369:E11390" si="1790">DATEVALUE("1-5-2013")</f>
        <v>41395</v>
      </c>
      <c r="F11369" s="2">
        <f t="shared" ref="F11369:F11390" si="1791">DATEVALUE("30-11-2019")</f>
        <v>43799</v>
      </c>
    </row>
    <row r="11370" spans="1:6" x14ac:dyDescent="0.25">
      <c r="A11370" s="1" t="s">
        <v>509</v>
      </c>
      <c r="B11370" s="1" t="s">
        <v>1916</v>
      </c>
      <c r="C11370" s="1" t="s">
        <v>14</v>
      </c>
      <c r="D11370" s="3">
        <f t="shared" si="1789"/>
        <v>7502</v>
      </c>
      <c r="E11370" s="2">
        <f t="shared" si="1790"/>
        <v>41395</v>
      </c>
      <c r="F11370" s="2">
        <f t="shared" si="1791"/>
        <v>43799</v>
      </c>
    </row>
    <row r="11371" spans="1:6" x14ac:dyDescent="0.25">
      <c r="A11371" s="1" t="s">
        <v>509</v>
      </c>
      <c r="B11371" s="1" t="s">
        <v>1916</v>
      </c>
      <c r="C11371" s="1" t="s">
        <v>15</v>
      </c>
      <c r="D11371" s="3">
        <f t="shared" si="1789"/>
        <v>7502</v>
      </c>
      <c r="E11371" s="2">
        <f t="shared" si="1790"/>
        <v>41395</v>
      </c>
      <c r="F11371" s="2">
        <f t="shared" si="1791"/>
        <v>43799</v>
      </c>
    </row>
    <row r="11372" spans="1:6" x14ac:dyDescent="0.25">
      <c r="A11372" s="1" t="s">
        <v>509</v>
      </c>
      <c r="B11372" s="1" t="s">
        <v>1916</v>
      </c>
      <c r="C11372" s="1" t="s">
        <v>17</v>
      </c>
      <c r="D11372" s="3">
        <f t="shared" si="1789"/>
        <v>7502</v>
      </c>
      <c r="E11372" s="2">
        <f t="shared" si="1790"/>
        <v>41395</v>
      </c>
      <c r="F11372" s="2">
        <f t="shared" si="1791"/>
        <v>43799</v>
      </c>
    </row>
    <row r="11373" spans="1:6" x14ac:dyDescent="0.25">
      <c r="A11373" s="1" t="s">
        <v>509</v>
      </c>
      <c r="B11373" s="1" t="s">
        <v>1916</v>
      </c>
      <c r="C11373" s="1" t="s">
        <v>144</v>
      </c>
      <c r="D11373" s="3">
        <f t="shared" si="1789"/>
        <v>7502</v>
      </c>
      <c r="E11373" s="2">
        <f t="shared" si="1790"/>
        <v>41395</v>
      </c>
      <c r="F11373" s="2">
        <f t="shared" si="1791"/>
        <v>43799</v>
      </c>
    </row>
    <row r="11374" spans="1:6" x14ac:dyDescent="0.25">
      <c r="A11374" s="1" t="s">
        <v>509</v>
      </c>
      <c r="B11374" s="1" t="s">
        <v>1916</v>
      </c>
      <c r="C11374" s="1" t="s">
        <v>22</v>
      </c>
      <c r="D11374" s="3">
        <f t="shared" si="1789"/>
        <v>7502</v>
      </c>
      <c r="E11374" s="2">
        <f t="shared" si="1790"/>
        <v>41395</v>
      </c>
      <c r="F11374" s="2">
        <f t="shared" si="1791"/>
        <v>43799</v>
      </c>
    </row>
    <row r="11375" spans="1:6" x14ac:dyDescent="0.25">
      <c r="A11375" s="1" t="s">
        <v>509</v>
      </c>
      <c r="B11375" s="1" t="s">
        <v>1916</v>
      </c>
      <c r="C11375" s="1" t="s">
        <v>258</v>
      </c>
      <c r="D11375" s="3">
        <f t="shared" si="1789"/>
        <v>7502</v>
      </c>
      <c r="E11375" s="2">
        <f t="shared" si="1790"/>
        <v>41395</v>
      </c>
      <c r="F11375" s="2">
        <f t="shared" si="1791"/>
        <v>43799</v>
      </c>
    </row>
    <row r="11376" spans="1:6" x14ac:dyDescent="0.25">
      <c r="A11376" s="1" t="s">
        <v>509</v>
      </c>
      <c r="B11376" s="1" t="s">
        <v>1916</v>
      </c>
      <c r="C11376" s="1" t="s">
        <v>146</v>
      </c>
      <c r="D11376" s="3">
        <f t="shared" si="1789"/>
        <v>7502</v>
      </c>
      <c r="E11376" s="2">
        <f t="shared" si="1790"/>
        <v>41395</v>
      </c>
      <c r="F11376" s="2">
        <f t="shared" si="1791"/>
        <v>43799</v>
      </c>
    </row>
    <row r="11377" spans="1:6" x14ac:dyDescent="0.25">
      <c r="A11377" s="1" t="s">
        <v>509</v>
      </c>
      <c r="B11377" s="1" t="s">
        <v>1916</v>
      </c>
      <c r="C11377" s="1" t="s">
        <v>67</v>
      </c>
      <c r="D11377" s="3">
        <f t="shared" si="1789"/>
        <v>7502</v>
      </c>
      <c r="E11377" s="2">
        <f t="shared" si="1790"/>
        <v>41395</v>
      </c>
      <c r="F11377" s="2">
        <f t="shared" si="1791"/>
        <v>43799</v>
      </c>
    </row>
    <row r="11378" spans="1:6" x14ac:dyDescent="0.25">
      <c r="A11378" s="1" t="s">
        <v>509</v>
      </c>
      <c r="B11378" s="1" t="s">
        <v>1916</v>
      </c>
      <c r="C11378" s="1" t="s">
        <v>384</v>
      </c>
      <c r="D11378" s="3">
        <f t="shared" si="1789"/>
        <v>7502</v>
      </c>
      <c r="E11378" s="2">
        <f t="shared" si="1790"/>
        <v>41395</v>
      </c>
      <c r="F11378" s="2">
        <f t="shared" si="1791"/>
        <v>43799</v>
      </c>
    </row>
    <row r="11379" spans="1:6" x14ac:dyDescent="0.25">
      <c r="A11379" s="1" t="s">
        <v>509</v>
      </c>
      <c r="B11379" s="1" t="s">
        <v>1916</v>
      </c>
      <c r="C11379" s="1" t="s">
        <v>147</v>
      </c>
      <c r="D11379" s="3">
        <f t="shared" si="1789"/>
        <v>7502</v>
      </c>
      <c r="E11379" s="2">
        <f t="shared" si="1790"/>
        <v>41395</v>
      </c>
      <c r="F11379" s="2">
        <f t="shared" si="1791"/>
        <v>43799</v>
      </c>
    </row>
    <row r="11380" spans="1:6" x14ac:dyDescent="0.25">
      <c r="A11380" s="1" t="s">
        <v>509</v>
      </c>
      <c r="B11380" s="1" t="s">
        <v>1916</v>
      </c>
      <c r="C11380" s="1" t="s">
        <v>148</v>
      </c>
      <c r="D11380" s="3">
        <f t="shared" si="1789"/>
        <v>7502</v>
      </c>
      <c r="E11380" s="2">
        <f t="shared" si="1790"/>
        <v>41395</v>
      </c>
      <c r="F11380" s="2">
        <f t="shared" si="1791"/>
        <v>43799</v>
      </c>
    </row>
    <row r="11381" spans="1:6" x14ac:dyDescent="0.25">
      <c r="A11381" s="1" t="s">
        <v>509</v>
      </c>
      <c r="B11381" s="1" t="s">
        <v>1916</v>
      </c>
      <c r="C11381" s="1" t="s">
        <v>149</v>
      </c>
      <c r="D11381" s="3">
        <f t="shared" si="1789"/>
        <v>7502</v>
      </c>
      <c r="E11381" s="2">
        <f t="shared" si="1790"/>
        <v>41395</v>
      </c>
      <c r="F11381" s="2">
        <f t="shared" si="1791"/>
        <v>43799</v>
      </c>
    </row>
    <row r="11382" spans="1:6" x14ac:dyDescent="0.25">
      <c r="A11382" s="1" t="s">
        <v>509</v>
      </c>
      <c r="B11382" s="1" t="s">
        <v>1916</v>
      </c>
      <c r="C11382" s="1" t="s">
        <v>390</v>
      </c>
      <c r="D11382" s="3">
        <f t="shared" si="1789"/>
        <v>7502</v>
      </c>
      <c r="E11382" s="2">
        <f t="shared" si="1790"/>
        <v>41395</v>
      </c>
      <c r="F11382" s="2">
        <f t="shared" si="1791"/>
        <v>43799</v>
      </c>
    </row>
    <row r="11383" spans="1:6" x14ac:dyDescent="0.25">
      <c r="A11383" s="1" t="s">
        <v>509</v>
      </c>
      <c r="B11383" s="1" t="s">
        <v>1916</v>
      </c>
      <c r="C11383" s="1" t="s">
        <v>92</v>
      </c>
      <c r="D11383" s="3">
        <f t="shared" si="1789"/>
        <v>7502</v>
      </c>
      <c r="E11383" s="2">
        <f t="shared" si="1790"/>
        <v>41395</v>
      </c>
      <c r="F11383" s="2">
        <f t="shared" si="1791"/>
        <v>43799</v>
      </c>
    </row>
    <row r="11384" spans="1:6" x14ac:dyDescent="0.25">
      <c r="A11384" s="1" t="s">
        <v>509</v>
      </c>
      <c r="B11384" s="1" t="s">
        <v>1916</v>
      </c>
      <c r="C11384" s="1" t="s">
        <v>24</v>
      </c>
      <c r="D11384" s="3">
        <f t="shared" si="1789"/>
        <v>7502</v>
      </c>
      <c r="E11384" s="2">
        <f t="shared" si="1790"/>
        <v>41395</v>
      </c>
      <c r="F11384" s="2">
        <f t="shared" si="1791"/>
        <v>43799</v>
      </c>
    </row>
    <row r="11385" spans="1:6" x14ac:dyDescent="0.25">
      <c r="A11385" s="1" t="s">
        <v>509</v>
      </c>
      <c r="B11385" s="1" t="s">
        <v>1916</v>
      </c>
      <c r="C11385" s="1" t="s">
        <v>50</v>
      </c>
      <c r="D11385" s="3">
        <f t="shared" si="1789"/>
        <v>7502</v>
      </c>
      <c r="E11385" s="2">
        <f t="shared" si="1790"/>
        <v>41395</v>
      </c>
      <c r="F11385" s="2">
        <f t="shared" si="1791"/>
        <v>43799</v>
      </c>
    </row>
    <row r="11386" spans="1:6" x14ac:dyDescent="0.25">
      <c r="A11386" s="1" t="s">
        <v>509</v>
      </c>
      <c r="B11386" s="1" t="s">
        <v>1916</v>
      </c>
      <c r="C11386" s="1" t="s">
        <v>70</v>
      </c>
      <c r="D11386" s="3">
        <f t="shared" si="1789"/>
        <v>7502</v>
      </c>
      <c r="E11386" s="2">
        <f t="shared" si="1790"/>
        <v>41395</v>
      </c>
      <c r="F11386" s="2">
        <f t="shared" si="1791"/>
        <v>43799</v>
      </c>
    </row>
    <row r="11387" spans="1:6" x14ac:dyDescent="0.25">
      <c r="A11387" s="1" t="s">
        <v>509</v>
      </c>
      <c r="B11387" s="1" t="s">
        <v>1916</v>
      </c>
      <c r="C11387" s="1" t="s">
        <v>457</v>
      </c>
      <c r="D11387" s="3">
        <f t="shared" si="1789"/>
        <v>7502</v>
      </c>
      <c r="E11387" s="2">
        <f t="shared" si="1790"/>
        <v>41395</v>
      </c>
      <c r="F11387" s="2">
        <f t="shared" si="1791"/>
        <v>43799</v>
      </c>
    </row>
    <row r="11388" spans="1:6" x14ac:dyDescent="0.25">
      <c r="A11388" s="1" t="s">
        <v>509</v>
      </c>
      <c r="B11388" s="1" t="s">
        <v>1916</v>
      </c>
      <c r="C11388" s="1" t="s">
        <v>73</v>
      </c>
      <c r="D11388" s="3">
        <f t="shared" si="1789"/>
        <v>7502</v>
      </c>
      <c r="E11388" s="2">
        <f t="shared" si="1790"/>
        <v>41395</v>
      </c>
      <c r="F11388" s="2">
        <f t="shared" si="1791"/>
        <v>43799</v>
      </c>
    </row>
    <row r="11389" spans="1:6" x14ac:dyDescent="0.25">
      <c r="A11389" s="1" t="s">
        <v>509</v>
      </c>
      <c r="B11389" s="1" t="s">
        <v>1916</v>
      </c>
      <c r="C11389" s="1" t="s">
        <v>34</v>
      </c>
      <c r="D11389" s="3">
        <f t="shared" si="1789"/>
        <v>7502</v>
      </c>
      <c r="E11389" s="2">
        <f t="shared" si="1790"/>
        <v>41395</v>
      </c>
      <c r="F11389" s="2">
        <f t="shared" si="1791"/>
        <v>43799</v>
      </c>
    </row>
    <row r="11390" spans="1:6" x14ac:dyDescent="0.25">
      <c r="A11390" s="1" t="s">
        <v>509</v>
      </c>
      <c r="B11390" s="1" t="s">
        <v>1916</v>
      </c>
      <c r="C11390" s="1" t="s">
        <v>306</v>
      </c>
      <c r="D11390" s="3">
        <f t="shared" si="1789"/>
        <v>7502</v>
      </c>
      <c r="E11390" s="2">
        <f t="shared" si="1790"/>
        <v>41395</v>
      </c>
      <c r="F11390" s="2">
        <f t="shared" si="1791"/>
        <v>43799</v>
      </c>
    </row>
    <row r="11391" spans="1:6" x14ac:dyDescent="0.25">
      <c r="A11391" s="1" t="s">
        <v>509</v>
      </c>
      <c r="B11391" s="1" t="s">
        <v>1915</v>
      </c>
      <c r="C11391" s="1" t="s">
        <v>361</v>
      </c>
      <c r="D11391" s="3">
        <f t="shared" ref="D11391:D11408" si="1792">VALUE("7501")</f>
        <v>7501</v>
      </c>
      <c r="E11391" s="2">
        <f t="shared" ref="E11391:E11408" si="1793">DATEVALUE("1-4-2013")</f>
        <v>41365</v>
      </c>
      <c r="F11391" s="2">
        <f t="shared" ref="F11391:F11408" si="1794">DATEVALUE("31-12-2016")</f>
        <v>42735</v>
      </c>
    </row>
    <row r="11392" spans="1:6" x14ac:dyDescent="0.25">
      <c r="A11392" s="1" t="s">
        <v>509</v>
      </c>
      <c r="B11392" s="1" t="s">
        <v>1915</v>
      </c>
      <c r="C11392" s="1" t="s">
        <v>39</v>
      </c>
      <c r="D11392" s="3">
        <f t="shared" si="1792"/>
        <v>7501</v>
      </c>
      <c r="E11392" s="2">
        <f t="shared" si="1793"/>
        <v>41365</v>
      </c>
      <c r="F11392" s="2">
        <f t="shared" si="1794"/>
        <v>42735</v>
      </c>
    </row>
    <row r="11393" spans="1:6" x14ac:dyDescent="0.25">
      <c r="A11393" s="1" t="s">
        <v>509</v>
      </c>
      <c r="B11393" s="1" t="s">
        <v>1915</v>
      </c>
      <c r="C11393" s="1" t="s">
        <v>137</v>
      </c>
      <c r="D11393" s="3">
        <f t="shared" si="1792"/>
        <v>7501</v>
      </c>
      <c r="E11393" s="2">
        <f t="shared" si="1793"/>
        <v>41365</v>
      </c>
      <c r="F11393" s="2">
        <f t="shared" si="1794"/>
        <v>42735</v>
      </c>
    </row>
    <row r="11394" spans="1:6" x14ac:dyDescent="0.25">
      <c r="A11394" s="1" t="s">
        <v>509</v>
      </c>
      <c r="B11394" s="1" t="s">
        <v>1915</v>
      </c>
      <c r="C11394" s="1" t="s">
        <v>83</v>
      </c>
      <c r="D11394" s="3">
        <f t="shared" si="1792"/>
        <v>7501</v>
      </c>
      <c r="E11394" s="2">
        <f t="shared" si="1793"/>
        <v>41365</v>
      </c>
      <c r="F11394" s="2">
        <f t="shared" si="1794"/>
        <v>42735</v>
      </c>
    </row>
    <row r="11395" spans="1:6" x14ac:dyDescent="0.25">
      <c r="A11395" s="1" t="s">
        <v>509</v>
      </c>
      <c r="B11395" s="1" t="s">
        <v>1915</v>
      </c>
      <c r="C11395" s="1" t="s">
        <v>411</v>
      </c>
      <c r="D11395" s="3">
        <f t="shared" si="1792"/>
        <v>7501</v>
      </c>
      <c r="E11395" s="2">
        <f t="shared" si="1793"/>
        <v>41365</v>
      </c>
      <c r="F11395" s="2">
        <f t="shared" si="1794"/>
        <v>42735</v>
      </c>
    </row>
    <row r="11396" spans="1:6" x14ac:dyDescent="0.25">
      <c r="A11396" s="1" t="s">
        <v>509</v>
      </c>
      <c r="B11396" s="1" t="s">
        <v>1915</v>
      </c>
      <c r="C11396" s="1" t="s">
        <v>43</v>
      </c>
      <c r="D11396" s="3">
        <f t="shared" si="1792"/>
        <v>7501</v>
      </c>
      <c r="E11396" s="2">
        <f t="shared" si="1793"/>
        <v>41365</v>
      </c>
      <c r="F11396" s="2">
        <f t="shared" si="1794"/>
        <v>42735</v>
      </c>
    </row>
    <row r="11397" spans="1:6" x14ac:dyDescent="0.25">
      <c r="A11397" s="1" t="s">
        <v>509</v>
      </c>
      <c r="B11397" s="1" t="s">
        <v>1915</v>
      </c>
      <c r="C11397" s="1" t="s">
        <v>346</v>
      </c>
      <c r="D11397" s="3">
        <f t="shared" si="1792"/>
        <v>7501</v>
      </c>
      <c r="E11397" s="2">
        <f t="shared" si="1793"/>
        <v>41365</v>
      </c>
      <c r="F11397" s="2">
        <f t="shared" si="1794"/>
        <v>42735</v>
      </c>
    </row>
    <row r="11398" spans="1:6" x14ac:dyDescent="0.25">
      <c r="A11398" s="1" t="s">
        <v>509</v>
      </c>
      <c r="B11398" s="1" t="s">
        <v>1915</v>
      </c>
      <c r="C11398" s="1" t="s">
        <v>45</v>
      </c>
      <c r="D11398" s="3">
        <f t="shared" si="1792"/>
        <v>7501</v>
      </c>
      <c r="E11398" s="2">
        <f t="shared" si="1793"/>
        <v>41365</v>
      </c>
      <c r="F11398" s="2">
        <f t="shared" si="1794"/>
        <v>42735</v>
      </c>
    </row>
    <row r="11399" spans="1:6" x14ac:dyDescent="0.25">
      <c r="A11399" s="1" t="s">
        <v>509</v>
      </c>
      <c r="B11399" s="1" t="s">
        <v>1915</v>
      </c>
      <c r="C11399" s="1" t="s">
        <v>46</v>
      </c>
      <c r="D11399" s="3">
        <f t="shared" si="1792"/>
        <v>7501</v>
      </c>
      <c r="E11399" s="2">
        <f t="shared" si="1793"/>
        <v>41365</v>
      </c>
      <c r="F11399" s="2">
        <f t="shared" si="1794"/>
        <v>42735</v>
      </c>
    </row>
    <row r="11400" spans="1:6" x14ac:dyDescent="0.25">
      <c r="A11400" s="1" t="s">
        <v>509</v>
      </c>
      <c r="B11400" s="1" t="s">
        <v>1915</v>
      </c>
      <c r="C11400" s="1" t="s">
        <v>15</v>
      </c>
      <c r="D11400" s="3">
        <f t="shared" si="1792"/>
        <v>7501</v>
      </c>
      <c r="E11400" s="2">
        <f t="shared" si="1793"/>
        <v>41365</v>
      </c>
      <c r="F11400" s="2">
        <f t="shared" si="1794"/>
        <v>42735</v>
      </c>
    </row>
    <row r="11401" spans="1:6" x14ac:dyDescent="0.25">
      <c r="A11401" s="1" t="s">
        <v>509</v>
      </c>
      <c r="B11401" s="1" t="s">
        <v>1915</v>
      </c>
      <c r="C11401" s="1" t="s">
        <v>17</v>
      </c>
      <c r="D11401" s="3">
        <f t="shared" si="1792"/>
        <v>7501</v>
      </c>
      <c r="E11401" s="2">
        <f t="shared" si="1793"/>
        <v>41365</v>
      </c>
      <c r="F11401" s="2">
        <f t="shared" si="1794"/>
        <v>42735</v>
      </c>
    </row>
    <row r="11402" spans="1:6" x14ac:dyDescent="0.25">
      <c r="A11402" s="1" t="s">
        <v>509</v>
      </c>
      <c r="B11402" s="1" t="s">
        <v>1915</v>
      </c>
      <c r="C11402" s="1" t="s">
        <v>22</v>
      </c>
      <c r="D11402" s="3">
        <f t="shared" si="1792"/>
        <v>7501</v>
      </c>
      <c r="E11402" s="2">
        <f t="shared" si="1793"/>
        <v>41365</v>
      </c>
      <c r="F11402" s="2">
        <f t="shared" si="1794"/>
        <v>42735</v>
      </c>
    </row>
    <row r="11403" spans="1:6" x14ac:dyDescent="0.25">
      <c r="A11403" s="1" t="s">
        <v>509</v>
      </c>
      <c r="B11403" s="1" t="s">
        <v>1915</v>
      </c>
      <c r="C11403" s="1" t="s">
        <v>148</v>
      </c>
      <c r="D11403" s="3">
        <f t="shared" si="1792"/>
        <v>7501</v>
      </c>
      <c r="E11403" s="2">
        <f t="shared" si="1793"/>
        <v>41365</v>
      </c>
      <c r="F11403" s="2">
        <f t="shared" si="1794"/>
        <v>42735</v>
      </c>
    </row>
    <row r="11404" spans="1:6" x14ac:dyDescent="0.25">
      <c r="A11404" s="1" t="s">
        <v>509</v>
      </c>
      <c r="B11404" s="1" t="s">
        <v>1915</v>
      </c>
      <c r="C11404" s="1" t="s">
        <v>149</v>
      </c>
      <c r="D11404" s="3">
        <f t="shared" si="1792"/>
        <v>7501</v>
      </c>
      <c r="E11404" s="2">
        <f t="shared" si="1793"/>
        <v>41365</v>
      </c>
      <c r="F11404" s="2">
        <f t="shared" si="1794"/>
        <v>42735</v>
      </c>
    </row>
    <row r="11405" spans="1:6" x14ac:dyDescent="0.25">
      <c r="A11405" s="1" t="s">
        <v>509</v>
      </c>
      <c r="B11405" s="1" t="s">
        <v>1915</v>
      </c>
      <c r="C11405" s="1" t="s">
        <v>216</v>
      </c>
      <c r="D11405" s="3">
        <f t="shared" si="1792"/>
        <v>7501</v>
      </c>
      <c r="E11405" s="2">
        <f t="shared" si="1793"/>
        <v>41365</v>
      </c>
      <c r="F11405" s="2">
        <f t="shared" si="1794"/>
        <v>42735</v>
      </c>
    </row>
    <row r="11406" spans="1:6" x14ac:dyDescent="0.25">
      <c r="A11406" s="1" t="s">
        <v>509</v>
      </c>
      <c r="B11406" s="1" t="s">
        <v>1915</v>
      </c>
      <c r="C11406" s="1" t="s">
        <v>352</v>
      </c>
      <c r="D11406" s="3">
        <f t="shared" si="1792"/>
        <v>7501</v>
      </c>
      <c r="E11406" s="2">
        <f t="shared" si="1793"/>
        <v>41365</v>
      </c>
      <c r="F11406" s="2">
        <f t="shared" si="1794"/>
        <v>42735</v>
      </c>
    </row>
    <row r="11407" spans="1:6" x14ac:dyDescent="0.25">
      <c r="A11407" s="1" t="s">
        <v>509</v>
      </c>
      <c r="B11407" s="1" t="s">
        <v>1915</v>
      </c>
      <c r="C11407" s="1" t="s">
        <v>164</v>
      </c>
      <c r="D11407" s="3">
        <f t="shared" si="1792"/>
        <v>7501</v>
      </c>
      <c r="E11407" s="2">
        <f t="shared" si="1793"/>
        <v>41365</v>
      </c>
      <c r="F11407" s="2">
        <f t="shared" si="1794"/>
        <v>42735</v>
      </c>
    </row>
    <row r="11408" spans="1:6" x14ac:dyDescent="0.25">
      <c r="A11408" s="1" t="s">
        <v>509</v>
      </c>
      <c r="B11408" s="1" t="s">
        <v>1915</v>
      </c>
      <c r="C11408" s="1" t="s">
        <v>519</v>
      </c>
      <c r="D11408" s="3">
        <f t="shared" si="1792"/>
        <v>7501</v>
      </c>
      <c r="E11408" s="2">
        <f t="shared" si="1793"/>
        <v>41365</v>
      </c>
      <c r="F11408" s="2">
        <f t="shared" si="1794"/>
        <v>42735</v>
      </c>
    </row>
    <row r="11409" spans="1:6" x14ac:dyDescent="0.25">
      <c r="A11409" s="1" t="s">
        <v>509</v>
      </c>
      <c r="B11409" s="1" t="s">
        <v>2713</v>
      </c>
      <c r="C11409" s="1" t="s">
        <v>91</v>
      </c>
      <c r="D11409" s="3">
        <f t="shared" ref="D11409:D11416" si="1795">VALUE("7454")</f>
        <v>7454</v>
      </c>
      <c r="E11409" s="2">
        <f t="shared" ref="E11409:E11416" si="1796">DATEVALUE("1-3-2013")</f>
        <v>41334</v>
      </c>
      <c r="F11409" s="2">
        <f t="shared" ref="F11409:F11416" si="1797">DATEVALUE("31-12-2014")</f>
        <v>42004</v>
      </c>
    </row>
    <row r="11410" spans="1:6" x14ac:dyDescent="0.25">
      <c r="A11410" s="1" t="s">
        <v>509</v>
      </c>
      <c r="B11410" s="1" t="s">
        <v>2713</v>
      </c>
      <c r="C11410" s="1" t="s">
        <v>22</v>
      </c>
      <c r="D11410" s="3">
        <f t="shared" si="1795"/>
        <v>7454</v>
      </c>
      <c r="E11410" s="2">
        <f t="shared" si="1796"/>
        <v>41334</v>
      </c>
      <c r="F11410" s="2">
        <f t="shared" si="1797"/>
        <v>42004</v>
      </c>
    </row>
    <row r="11411" spans="1:6" x14ac:dyDescent="0.25">
      <c r="A11411" s="1" t="s">
        <v>509</v>
      </c>
      <c r="B11411" s="1" t="s">
        <v>2713</v>
      </c>
      <c r="C11411" s="1" t="s">
        <v>148</v>
      </c>
      <c r="D11411" s="3">
        <f t="shared" si="1795"/>
        <v>7454</v>
      </c>
      <c r="E11411" s="2">
        <f t="shared" si="1796"/>
        <v>41334</v>
      </c>
      <c r="F11411" s="2">
        <f t="shared" si="1797"/>
        <v>42004</v>
      </c>
    </row>
    <row r="11412" spans="1:6" x14ac:dyDescent="0.25">
      <c r="A11412" s="1" t="s">
        <v>509</v>
      </c>
      <c r="B11412" s="1" t="s">
        <v>2713</v>
      </c>
      <c r="C11412" s="1" t="s">
        <v>149</v>
      </c>
      <c r="D11412" s="3">
        <f t="shared" si="1795"/>
        <v>7454</v>
      </c>
      <c r="E11412" s="2">
        <f t="shared" si="1796"/>
        <v>41334</v>
      </c>
      <c r="F11412" s="2">
        <f t="shared" si="1797"/>
        <v>42004</v>
      </c>
    </row>
    <row r="11413" spans="1:6" x14ac:dyDescent="0.25">
      <c r="A11413" s="1" t="s">
        <v>509</v>
      </c>
      <c r="B11413" s="1" t="s">
        <v>2713</v>
      </c>
      <c r="C11413" s="1" t="s">
        <v>102</v>
      </c>
      <c r="D11413" s="3">
        <f t="shared" si="1795"/>
        <v>7454</v>
      </c>
      <c r="E11413" s="2">
        <f t="shared" si="1796"/>
        <v>41334</v>
      </c>
      <c r="F11413" s="2">
        <f t="shared" si="1797"/>
        <v>42004</v>
      </c>
    </row>
    <row r="11414" spans="1:6" x14ac:dyDescent="0.25">
      <c r="A11414" s="1" t="s">
        <v>509</v>
      </c>
      <c r="B11414" s="1" t="s">
        <v>2713</v>
      </c>
      <c r="C11414" s="1" t="s">
        <v>103</v>
      </c>
      <c r="D11414" s="3">
        <f t="shared" si="1795"/>
        <v>7454</v>
      </c>
      <c r="E11414" s="2">
        <f t="shared" si="1796"/>
        <v>41334</v>
      </c>
      <c r="F11414" s="2">
        <f t="shared" si="1797"/>
        <v>42004</v>
      </c>
    </row>
    <row r="11415" spans="1:6" x14ac:dyDescent="0.25">
      <c r="A11415" s="1" t="s">
        <v>509</v>
      </c>
      <c r="B11415" s="1" t="s">
        <v>2713</v>
      </c>
      <c r="C11415" s="1" t="s">
        <v>133</v>
      </c>
      <c r="D11415" s="3">
        <f t="shared" si="1795"/>
        <v>7454</v>
      </c>
      <c r="E11415" s="2">
        <f t="shared" si="1796"/>
        <v>41334</v>
      </c>
      <c r="F11415" s="2">
        <f t="shared" si="1797"/>
        <v>42004</v>
      </c>
    </row>
    <row r="11416" spans="1:6" x14ac:dyDescent="0.25">
      <c r="A11416" s="1" t="s">
        <v>509</v>
      </c>
      <c r="B11416" s="1" t="s">
        <v>2713</v>
      </c>
      <c r="C11416" s="1" t="s">
        <v>134</v>
      </c>
      <c r="D11416" s="3">
        <f t="shared" si="1795"/>
        <v>7454</v>
      </c>
      <c r="E11416" s="2">
        <f t="shared" si="1796"/>
        <v>41334</v>
      </c>
      <c r="F11416" s="2">
        <f t="shared" si="1797"/>
        <v>42004</v>
      </c>
    </row>
    <row r="11417" spans="1:6" x14ac:dyDescent="0.25">
      <c r="A11417" s="1" t="s">
        <v>509</v>
      </c>
      <c r="B11417" s="1" t="s">
        <v>2672</v>
      </c>
      <c r="C11417" s="1" t="s">
        <v>45</v>
      </c>
      <c r="D11417" s="3">
        <f>VALUE("7346")</f>
        <v>7346</v>
      </c>
      <c r="E11417" s="2">
        <f>DATEVALUE("1-5-2012")</f>
        <v>41030</v>
      </c>
      <c r="F11417" s="2">
        <f>DATEVALUE("30-9-2012")</f>
        <v>41182</v>
      </c>
    </row>
    <row r="11418" spans="1:6" x14ac:dyDescent="0.25">
      <c r="A11418" s="1" t="s">
        <v>509</v>
      </c>
      <c r="B11418" s="1" t="s">
        <v>2653</v>
      </c>
      <c r="C11418" s="1" t="s">
        <v>102</v>
      </c>
      <c r="D11418" s="3">
        <f>VALUE("7302")</f>
        <v>7302</v>
      </c>
      <c r="E11418" s="2">
        <f>DATEVALUE("1-3-2012")</f>
        <v>40969</v>
      </c>
      <c r="F11418" s="2">
        <f>DATEVALUE("31-8-2012")</f>
        <v>41152</v>
      </c>
    </row>
    <row r="11419" spans="1:6" x14ac:dyDescent="0.25">
      <c r="A11419" s="1" t="s">
        <v>509</v>
      </c>
      <c r="B11419" s="1" t="s">
        <v>2653</v>
      </c>
      <c r="C11419" s="1" t="s">
        <v>103</v>
      </c>
      <c r="D11419" s="3">
        <f>VALUE("7302")</f>
        <v>7302</v>
      </c>
      <c r="E11419" s="2">
        <f>DATEVALUE("1-3-2012")</f>
        <v>40969</v>
      </c>
      <c r="F11419" s="2">
        <f>DATEVALUE("31-8-2012")</f>
        <v>41152</v>
      </c>
    </row>
    <row r="11420" spans="1:6" x14ac:dyDescent="0.25">
      <c r="A11420" s="1" t="s">
        <v>509</v>
      </c>
      <c r="B11420" s="1" t="s">
        <v>2605</v>
      </c>
      <c r="C11420" s="1" t="s">
        <v>81</v>
      </c>
      <c r="D11420" s="3">
        <f t="shared" ref="D11420:D11429" si="1798">VALUE("7204")</f>
        <v>7204</v>
      </c>
      <c r="E11420" s="2">
        <f t="shared" ref="E11420:E11429" si="1799">DATEVALUE("1-7-2011")</f>
        <v>40725</v>
      </c>
      <c r="F11420" s="2">
        <f t="shared" ref="F11420:F11429" si="1800">DATEVALUE("31-12-2014")</f>
        <v>42004</v>
      </c>
    </row>
    <row r="11421" spans="1:6" x14ac:dyDescent="0.25">
      <c r="A11421" s="1" t="s">
        <v>509</v>
      </c>
      <c r="B11421" s="1" t="s">
        <v>2605</v>
      </c>
      <c r="C11421" s="1" t="s">
        <v>1889</v>
      </c>
      <c r="D11421" s="3">
        <f t="shared" si="1798"/>
        <v>7204</v>
      </c>
      <c r="E11421" s="2">
        <f t="shared" si="1799"/>
        <v>40725</v>
      </c>
      <c r="F11421" s="2">
        <f t="shared" si="1800"/>
        <v>42004</v>
      </c>
    </row>
    <row r="11422" spans="1:6" x14ac:dyDescent="0.25">
      <c r="A11422" s="1" t="s">
        <v>509</v>
      </c>
      <c r="B11422" s="1" t="s">
        <v>2605</v>
      </c>
      <c r="C11422" s="1" t="s">
        <v>1859</v>
      </c>
      <c r="D11422" s="3">
        <f t="shared" si="1798"/>
        <v>7204</v>
      </c>
      <c r="E11422" s="2">
        <f t="shared" si="1799"/>
        <v>40725</v>
      </c>
      <c r="F11422" s="2">
        <f t="shared" si="1800"/>
        <v>42004</v>
      </c>
    </row>
    <row r="11423" spans="1:6" x14ac:dyDescent="0.25">
      <c r="A11423" s="1" t="s">
        <v>509</v>
      </c>
      <c r="B11423" s="1" t="s">
        <v>2605</v>
      </c>
      <c r="C11423" s="1" t="s">
        <v>86</v>
      </c>
      <c r="D11423" s="3">
        <f t="shared" si="1798"/>
        <v>7204</v>
      </c>
      <c r="E11423" s="2">
        <f t="shared" si="1799"/>
        <v>40725</v>
      </c>
      <c r="F11423" s="2">
        <f t="shared" si="1800"/>
        <v>42004</v>
      </c>
    </row>
    <row r="11424" spans="1:6" x14ac:dyDescent="0.25">
      <c r="A11424" s="1" t="s">
        <v>509</v>
      </c>
      <c r="B11424" s="1" t="s">
        <v>2605</v>
      </c>
      <c r="C11424" s="1" t="s">
        <v>1314</v>
      </c>
      <c r="D11424" s="3">
        <f t="shared" si="1798"/>
        <v>7204</v>
      </c>
      <c r="E11424" s="2">
        <f t="shared" si="1799"/>
        <v>40725</v>
      </c>
      <c r="F11424" s="2">
        <f t="shared" si="1800"/>
        <v>42004</v>
      </c>
    </row>
    <row r="11425" spans="1:6" x14ac:dyDescent="0.25">
      <c r="A11425" s="1" t="s">
        <v>509</v>
      </c>
      <c r="B11425" s="1" t="s">
        <v>2605</v>
      </c>
      <c r="C11425" s="1" t="s">
        <v>145</v>
      </c>
      <c r="D11425" s="3">
        <f t="shared" si="1798"/>
        <v>7204</v>
      </c>
      <c r="E11425" s="2">
        <f t="shared" si="1799"/>
        <v>40725</v>
      </c>
      <c r="F11425" s="2">
        <f t="shared" si="1800"/>
        <v>42004</v>
      </c>
    </row>
    <row r="11426" spans="1:6" x14ac:dyDescent="0.25">
      <c r="A11426" s="1" t="s">
        <v>509</v>
      </c>
      <c r="B11426" s="1" t="s">
        <v>2605</v>
      </c>
      <c r="C11426" s="1" t="s">
        <v>33</v>
      </c>
      <c r="D11426" s="3">
        <f t="shared" si="1798"/>
        <v>7204</v>
      </c>
      <c r="E11426" s="2">
        <f t="shared" si="1799"/>
        <v>40725</v>
      </c>
      <c r="F11426" s="2">
        <f t="shared" si="1800"/>
        <v>42004</v>
      </c>
    </row>
    <row r="11427" spans="1:6" x14ac:dyDescent="0.25">
      <c r="A11427" s="1" t="s">
        <v>509</v>
      </c>
      <c r="B11427" s="1" t="s">
        <v>2605</v>
      </c>
      <c r="C11427" s="1" t="s">
        <v>1874</v>
      </c>
      <c r="D11427" s="3">
        <f t="shared" si="1798"/>
        <v>7204</v>
      </c>
      <c r="E11427" s="2">
        <f t="shared" si="1799"/>
        <v>40725</v>
      </c>
      <c r="F11427" s="2">
        <f t="shared" si="1800"/>
        <v>42004</v>
      </c>
    </row>
    <row r="11428" spans="1:6" x14ac:dyDescent="0.25">
      <c r="A11428" s="1" t="s">
        <v>509</v>
      </c>
      <c r="B11428" s="1" t="s">
        <v>2605</v>
      </c>
      <c r="C11428" s="1" t="s">
        <v>1697</v>
      </c>
      <c r="D11428" s="3">
        <f t="shared" si="1798"/>
        <v>7204</v>
      </c>
      <c r="E11428" s="2">
        <f t="shared" si="1799"/>
        <v>40725</v>
      </c>
      <c r="F11428" s="2">
        <f t="shared" si="1800"/>
        <v>42004</v>
      </c>
    </row>
    <row r="11429" spans="1:6" x14ac:dyDescent="0.25">
      <c r="A11429" s="1" t="s">
        <v>509</v>
      </c>
      <c r="B11429" s="1" t="s">
        <v>2605</v>
      </c>
      <c r="C11429" s="1" t="s">
        <v>36</v>
      </c>
      <c r="D11429" s="3">
        <f t="shared" si="1798"/>
        <v>7204</v>
      </c>
      <c r="E11429" s="2">
        <f t="shared" si="1799"/>
        <v>40725</v>
      </c>
      <c r="F11429" s="2">
        <f t="shared" si="1800"/>
        <v>42004</v>
      </c>
    </row>
    <row r="11430" spans="1:6" x14ac:dyDescent="0.25">
      <c r="A11430" s="1" t="s">
        <v>509</v>
      </c>
      <c r="B11430" s="1" t="s">
        <v>2119</v>
      </c>
      <c r="C11430" s="1" t="s">
        <v>45</v>
      </c>
      <c r="D11430" s="3">
        <f t="shared" ref="D11430:D11439" si="1801">VALUE("7158")</f>
        <v>7158</v>
      </c>
      <c r="E11430" s="2">
        <f t="shared" ref="E11430:E11445" si="1802">DATEVALUE("1-2-2011")</f>
        <v>40575</v>
      </c>
      <c r="F11430" s="2">
        <f t="shared" ref="F11430:F11439" si="1803">DATEVALUE("31-10-2016")</f>
        <v>42674</v>
      </c>
    </row>
    <row r="11431" spans="1:6" x14ac:dyDescent="0.25">
      <c r="A11431" s="1" t="s">
        <v>509</v>
      </c>
      <c r="B11431" s="1" t="s">
        <v>2119</v>
      </c>
      <c r="C11431" s="1" t="s">
        <v>172</v>
      </c>
      <c r="D11431" s="3">
        <f t="shared" si="1801"/>
        <v>7158</v>
      </c>
      <c r="E11431" s="2">
        <f t="shared" si="1802"/>
        <v>40575</v>
      </c>
      <c r="F11431" s="2">
        <f t="shared" si="1803"/>
        <v>42674</v>
      </c>
    </row>
    <row r="11432" spans="1:6" x14ac:dyDescent="0.25">
      <c r="A11432" s="1" t="s">
        <v>509</v>
      </c>
      <c r="B11432" s="1" t="s">
        <v>2119</v>
      </c>
      <c r="C11432" s="1" t="s">
        <v>48</v>
      </c>
      <c r="D11432" s="3">
        <f t="shared" si="1801"/>
        <v>7158</v>
      </c>
      <c r="E11432" s="2">
        <f t="shared" si="1802"/>
        <v>40575</v>
      </c>
      <c r="F11432" s="2">
        <f t="shared" si="1803"/>
        <v>42674</v>
      </c>
    </row>
    <row r="11433" spans="1:6" x14ac:dyDescent="0.25">
      <c r="A11433" s="1" t="s">
        <v>509</v>
      </c>
      <c r="B11433" s="1" t="s">
        <v>2119</v>
      </c>
      <c r="C11433" s="1" t="s">
        <v>156</v>
      </c>
      <c r="D11433" s="3">
        <f t="shared" si="1801"/>
        <v>7158</v>
      </c>
      <c r="E11433" s="2">
        <f t="shared" si="1802"/>
        <v>40575</v>
      </c>
      <c r="F11433" s="2">
        <f t="shared" si="1803"/>
        <v>42674</v>
      </c>
    </row>
    <row r="11434" spans="1:6" x14ac:dyDescent="0.25">
      <c r="A11434" s="1" t="s">
        <v>509</v>
      </c>
      <c r="B11434" s="1" t="s">
        <v>2119</v>
      </c>
      <c r="C11434" s="1" t="s">
        <v>452</v>
      </c>
      <c r="D11434" s="3">
        <f t="shared" si="1801"/>
        <v>7158</v>
      </c>
      <c r="E11434" s="2">
        <f t="shared" si="1802"/>
        <v>40575</v>
      </c>
      <c r="F11434" s="2">
        <f t="shared" si="1803"/>
        <v>42674</v>
      </c>
    </row>
    <row r="11435" spans="1:6" x14ac:dyDescent="0.25">
      <c r="A11435" s="1" t="s">
        <v>509</v>
      </c>
      <c r="B11435" s="1" t="s">
        <v>2119</v>
      </c>
      <c r="C11435" s="1" t="s">
        <v>157</v>
      </c>
      <c r="D11435" s="3">
        <f t="shared" si="1801"/>
        <v>7158</v>
      </c>
      <c r="E11435" s="2">
        <f t="shared" si="1802"/>
        <v>40575</v>
      </c>
      <c r="F11435" s="2">
        <f t="shared" si="1803"/>
        <v>42674</v>
      </c>
    </row>
    <row r="11436" spans="1:6" x14ac:dyDescent="0.25">
      <c r="A11436" s="1" t="s">
        <v>509</v>
      </c>
      <c r="B11436" s="1" t="s">
        <v>2119</v>
      </c>
      <c r="C11436" s="1" t="s">
        <v>157</v>
      </c>
      <c r="D11436" s="3">
        <f t="shared" si="1801"/>
        <v>7158</v>
      </c>
      <c r="E11436" s="2">
        <f t="shared" si="1802"/>
        <v>40575</v>
      </c>
      <c r="F11436" s="2">
        <f t="shared" si="1803"/>
        <v>42674</v>
      </c>
    </row>
    <row r="11437" spans="1:6" x14ac:dyDescent="0.25">
      <c r="A11437" s="1" t="s">
        <v>509</v>
      </c>
      <c r="B11437" s="1" t="s">
        <v>2119</v>
      </c>
      <c r="C11437" s="1" t="s">
        <v>102</v>
      </c>
      <c r="D11437" s="3">
        <f t="shared" si="1801"/>
        <v>7158</v>
      </c>
      <c r="E11437" s="2">
        <f t="shared" si="1802"/>
        <v>40575</v>
      </c>
      <c r="F11437" s="2">
        <f t="shared" si="1803"/>
        <v>42674</v>
      </c>
    </row>
    <row r="11438" spans="1:6" x14ac:dyDescent="0.25">
      <c r="A11438" s="1" t="s">
        <v>509</v>
      </c>
      <c r="B11438" s="1" t="s">
        <v>2119</v>
      </c>
      <c r="C11438" s="1" t="s">
        <v>103</v>
      </c>
      <c r="D11438" s="3">
        <f t="shared" si="1801"/>
        <v>7158</v>
      </c>
      <c r="E11438" s="2">
        <f t="shared" si="1802"/>
        <v>40575</v>
      </c>
      <c r="F11438" s="2">
        <f t="shared" si="1803"/>
        <v>42674</v>
      </c>
    </row>
    <row r="11439" spans="1:6" x14ac:dyDescent="0.25">
      <c r="A11439" s="1" t="s">
        <v>509</v>
      </c>
      <c r="B11439" s="1" t="s">
        <v>2119</v>
      </c>
      <c r="C11439" s="1" t="s">
        <v>2120</v>
      </c>
      <c r="D11439" s="3">
        <f t="shared" si="1801"/>
        <v>7158</v>
      </c>
      <c r="E11439" s="2">
        <f t="shared" si="1802"/>
        <v>40575</v>
      </c>
      <c r="F11439" s="2">
        <f t="shared" si="1803"/>
        <v>42674</v>
      </c>
    </row>
    <row r="11440" spans="1:6" x14ac:dyDescent="0.25">
      <c r="A11440" s="1" t="s">
        <v>509</v>
      </c>
      <c r="B11440" s="1" t="s">
        <v>2617</v>
      </c>
      <c r="C11440" s="1" t="s">
        <v>45</v>
      </c>
      <c r="D11440" s="3">
        <f t="shared" ref="D11440:D11445" si="1804">VALUE("7224")</f>
        <v>7224</v>
      </c>
      <c r="E11440" s="2">
        <f t="shared" si="1802"/>
        <v>40575</v>
      </c>
      <c r="F11440" s="2">
        <f t="shared" ref="F11440:F11445" si="1805">DATEVALUE("31-12-2011")</f>
        <v>40908</v>
      </c>
    </row>
    <row r="11441" spans="1:6" x14ac:dyDescent="0.25">
      <c r="A11441" s="1" t="s">
        <v>509</v>
      </c>
      <c r="B11441" s="1" t="s">
        <v>2617</v>
      </c>
      <c r="C11441" s="1" t="s">
        <v>145</v>
      </c>
      <c r="D11441" s="3">
        <f t="shared" si="1804"/>
        <v>7224</v>
      </c>
      <c r="E11441" s="2">
        <f t="shared" si="1802"/>
        <v>40575</v>
      </c>
      <c r="F11441" s="2">
        <f t="shared" si="1805"/>
        <v>40908</v>
      </c>
    </row>
    <row r="11442" spans="1:6" x14ac:dyDescent="0.25">
      <c r="A11442" s="1" t="s">
        <v>509</v>
      </c>
      <c r="B11442" s="1" t="s">
        <v>2617</v>
      </c>
      <c r="C11442" s="1" t="s">
        <v>172</v>
      </c>
      <c r="D11442" s="3">
        <f t="shared" si="1804"/>
        <v>7224</v>
      </c>
      <c r="E11442" s="2">
        <f t="shared" si="1802"/>
        <v>40575</v>
      </c>
      <c r="F11442" s="2">
        <f t="shared" si="1805"/>
        <v>40908</v>
      </c>
    </row>
    <row r="11443" spans="1:6" x14ac:dyDescent="0.25">
      <c r="A11443" s="1" t="s">
        <v>509</v>
      </c>
      <c r="B11443" s="1" t="s">
        <v>2617</v>
      </c>
      <c r="C11443" s="1" t="s">
        <v>48</v>
      </c>
      <c r="D11443" s="3">
        <f t="shared" si="1804"/>
        <v>7224</v>
      </c>
      <c r="E11443" s="2">
        <f t="shared" si="1802"/>
        <v>40575</v>
      </c>
      <c r="F11443" s="2">
        <f t="shared" si="1805"/>
        <v>40908</v>
      </c>
    </row>
    <row r="11444" spans="1:6" x14ac:dyDescent="0.25">
      <c r="A11444" s="1" t="s">
        <v>509</v>
      </c>
      <c r="B11444" s="1" t="s">
        <v>2617</v>
      </c>
      <c r="C11444" s="1" t="s">
        <v>25</v>
      </c>
      <c r="D11444" s="3">
        <f t="shared" si="1804"/>
        <v>7224</v>
      </c>
      <c r="E11444" s="2">
        <f t="shared" si="1802"/>
        <v>40575</v>
      </c>
      <c r="F11444" s="2">
        <f t="shared" si="1805"/>
        <v>40908</v>
      </c>
    </row>
    <row r="11445" spans="1:6" x14ac:dyDescent="0.25">
      <c r="A11445" s="1" t="s">
        <v>509</v>
      </c>
      <c r="B11445" s="1" t="s">
        <v>2617</v>
      </c>
      <c r="C11445" s="1" t="s">
        <v>121</v>
      </c>
      <c r="D11445" s="3">
        <f t="shared" si="1804"/>
        <v>7224</v>
      </c>
      <c r="E11445" s="2">
        <f t="shared" si="1802"/>
        <v>40575</v>
      </c>
      <c r="F11445" s="2">
        <f t="shared" si="1805"/>
        <v>40908</v>
      </c>
    </row>
    <row r="11446" spans="1:6" x14ac:dyDescent="0.25">
      <c r="A11446" s="1" t="s">
        <v>509</v>
      </c>
      <c r="B11446" s="1" t="s">
        <v>1868</v>
      </c>
      <c r="C11446" s="1" t="s">
        <v>172</v>
      </c>
      <c r="D11446" s="3">
        <f>VALUE("6145")</f>
        <v>6145</v>
      </c>
      <c r="E11446" s="2">
        <f>DATEVALUE("1-3-2009")</f>
        <v>39873</v>
      </c>
      <c r="F11446" s="2">
        <f>DATEVALUE("31-3-2016")</f>
        <v>42460</v>
      </c>
    </row>
    <row r="11447" spans="1:6" x14ac:dyDescent="0.25">
      <c r="A11447" s="1" t="s">
        <v>509</v>
      </c>
      <c r="B11447" s="1" t="s">
        <v>1868</v>
      </c>
      <c r="C11447" s="1" t="s">
        <v>211</v>
      </c>
      <c r="D11447" s="3">
        <f>VALUE("6145")</f>
        <v>6145</v>
      </c>
      <c r="E11447" s="2">
        <f>DATEVALUE("1-3-2009")</f>
        <v>39873</v>
      </c>
      <c r="F11447" s="2">
        <f>DATEVALUE("31-3-2016")</f>
        <v>42460</v>
      </c>
    </row>
    <row r="11448" spans="1:6" x14ac:dyDescent="0.25">
      <c r="A11448" s="1" t="s">
        <v>509</v>
      </c>
      <c r="B11448" s="1" t="s">
        <v>1868</v>
      </c>
      <c r="C11448" s="1" t="s">
        <v>1765</v>
      </c>
      <c r="D11448" s="3">
        <f>VALUE("6145")</f>
        <v>6145</v>
      </c>
      <c r="E11448" s="2">
        <f>DATEVALUE("1-3-2009")</f>
        <v>39873</v>
      </c>
      <c r="F11448" s="2">
        <f>DATEVALUE("31-3-2016")</f>
        <v>42460</v>
      </c>
    </row>
    <row r="11449" spans="1:6" x14ac:dyDescent="0.25">
      <c r="A11449" s="1" t="s">
        <v>509</v>
      </c>
      <c r="B11449" s="1" t="s">
        <v>1868</v>
      </c>
      <c r="C11449" s="1" t="s">
        <v>51</v>
      </c>
      <c r="D11449" s="3">
        <f>VALUE("6145")</f>
        <v>6145</v>
      </c>
      <c r="E11449" s="2">
        <f>DATEVALUE("1-3-2009")</f>
        <v>39873</v>
      </c>
      <c r="F11449" s="2">
        <f>DATEVALUE("31-3-2016")</f>
        <v>42460</v>
      </c>
    </row>
    <row r="11450" spans="1:6" x14ac:dyDescent="0.25">
      <c r="A11450" s="1" t="s">
        <v>2773</v>
      </c>
      <c r="B11450" s="1" t="s">
        <v>2772</v>
      </c>
      <c r="C11450" s="1" t="s">
        <v>203</v>
      </c>
      <c r="D11450" s="3">
        <f t="shared" ref="D11450:D11455" si="1806">VALUE("7653")</f>
        <v>7653</v>
      </c>
      <c r="E11450" s="2">
        <f t="shared" ref="E11450:E11455" si="1807">DATEVALUE("1-9-2014")</f>
        <v>41883</v>
      </c>
      <c r="F11450" s="2">
        <f t="shared" ref="F11450:F11455" si="1808">DATEVALUE("30-11-2014")</f>
        <v>41973</v>
      </c>
    </row>
    <row r="11451" spans="1:6" x14ac:dyDescent="0.25">
      <c r="A11451" s="1" t="s">
        <v>2773</v>
      </c>
      <c r="B11451" s="1" t="s">
        <v>2772</v>
      </c>
      <c r="C11451" s="1" t="s">
        <v>83</v>
      </c>
      <c r="D11451" s="3">
        <f t="shared" si="1806"/>
        <v>7653</v>
      </c>
      <c r="E11451" s="2">
        <f t="shared" si="1807"/>
        <v>41883</v>
      </c>
      <c r="F11451" s="2">
        <f t="shared" si="1808"/>
        <v>41973</v>
      </c>
    </row>
    <row r="11452" spans="1:6" x14ac:dyDescent="0.25">
      <c r="A11452" s="1" t="s">
        <v>2773</v>
      </c>
      <c r="B11452" s="1" t="s">
        <v>2772</v>
      </c>
      <c r="C11452" s="1" t="s">
        <v>43</v>
      </c>
      <c r="D11452" s="3">
        <f t="shared" si="1806"/>
        <v>7653</v>
      </c>
      <c r="E11452" s="2">
        <f t="shared" si="1807"/>
        <v>41883</v>
      </c>
      <c r="F11452" s="2">
        <f t="shared" si="1808"/>
        <v>41973</v>
      </c>
    </row>
    <row r="11453" spans="1:6" x14ac:dyDescent="0.25">
      <c r="A11453" s="1" t="s">
        <v>2773</v>
      </c>
      <c r="B11453" s="1" t="s">
        <v>2772</v>
      </c>
      <c r="C11453" s="1" t="s">
        <v>88</v>
      </c>
      <c r="D11453" s="3">
        <f t="shared" si="1806"/>
        <v>7653</v>
      </c>
      <c r="E11453" s="2">
        <f t="shared" si="1807"/>
        <v>41883</v>
      </c>
      <c r="F11453" s="2">
        <f t="shared" si="1808"/>
        <v>41973</v>
      </c>
    </row>
    <row r="11454" spans="1:6" x14ac:dyDescent="0.25">
      <c r="A11454" s="1" t="s">
        <v>2773</v>
      </c>
      <c r="B11454" s="1" t="s">
        <v>2772</v>
      </c>
      <c r="C11454" s="1" t="s">
        <v>172</v>
      </c>
      <c r="D11454" s="3">
        <f t="shared" si="1806"/>
        <v>7653</v>
      </c>
      <c r="E11454" s="2">
        <f t="shared" si="1807"/>
        <v>41883</v>
      </c>
      <c r="F11454" s="2">
        <f t="shared" si="1808"/>
        <v>41973</v>
      </c>
    </row>
    <row r="11455" spans="1:6" x14ac:dyDescent="0.25">
      <c r="A11455" s="1" t="s">
        <v>2773</v>
      </c>
      <c r="B11455" s="1" t="s">
        <v>2772</v>
      </c>
      <c r="C11455" s="1" t="s">
        <v>211</v>
      </c>
      <c r="D11455" s="3">
        <f t="shared" si="1806"/>
        <v>7653</v>
      </c>
      <c r="E11455" s="2">
        <f t="shared" si="1807"/>
        <v>41883</v>
      </c>
      <c r="F11455" s="2">
        <f t="shared" si="1808"/>
        <v>41973</v>
      </c>
    </row>
    <row r="11456" spans="1:6" x14ac:dyDescent="0.25">
      <c r="A11456" s="1" t="s">
        <v>2452</v>
      </c>
      <c r="B11456" s="1" t="s">
        <v>2485</v>
      </c>
      <c r="C11456" s="1" t="s">
        <v>7</v>
      </c>
      <c r="D11456" s="3">
        <f>VALUE("8657")</f>
        <v>8657</v>
      </c>
      <c r="E11456" s="2">
        <f>DATEVALUE("1-2-2020")</f>
        <v>43862</v>
      </c>
      <c r="F11456" s="2">
        <f>DATEVALUE("30-4-2020")</f>
        <v>43951</v>
      </c>
    </row>
    <row r="11457" spans="1:6" x14ac:dyDescent="0.25">
      <c r="A11457" s="1" t="s">
        <v>2452</v>
      </c>
      <c r="B11457" s="1" t="s">
        <v>2485</v>
      </c>
      <c r="C11457" s="1" t="s">
        <v>67</v>
      </c>
      <c r="D11457" s="3">
        <f>VALUE("8657")</f>
        <v>8657</v>
      </c>
      <c r="E11457" s="2">
        <f>DATEVALUE("1-2-2020")</f>
        <v>43862</v>
      </c>
      <c r="F11457" s="2">
        <f>DATEVALUE("30-4-2020")</f>
        <v>43951</v>
      </c>
    </row>
    <row r="11458" spans="1:6" x14ac:dyDescent="0.25">
      <c r="A11458" s="1" t="s">
        <v>2452</v>
      </c>
      <c r="B11458" s="1" t="s">
        <v>2485</v>
      </c>
      <c r="C11458" s="1" t="s">
        <v>172</v>
      </c>
      <c r="D11458" s="3">
        <f>VALUE("8657")</f>
        <v>8657</v>
      </c>
      <c r="E11458" s="2">
        <f>DATEVALUE("1-2-2020")</f>
        <v>43862</v>
      </c>
      <c r="F11458" s="2">
        <f>DATEVALUE("30-4-2020")</f>
        <v>43951</v>
      </c>
    </row>
    <row r="11459" spans="1:6" x14ac:dyDescent="0.25">
      <c r="A11459" s="1" t="s">
        <v>2452</v>
      </c>
      <c r="B11459" s="1" t="s">
        <v>2485</v>
      </c>
      <c r="C11459" s="1" t="s">
        <v>212</v>
      </c>
      <c r="D11459" s="3">
        <f>VALUE("8657")</f>
        <v>8657</v>
      </c>
      <c r="E11459" s="2">
        <f>DATEVALUE("1-2-2020")</f>
        <v>43862</v>
      </c>
      <c r="F11459" s="2">
        <f>DATEVALUE("30-4-2020")</f>
        <v>43951</v>
      </c>
    </row>
    <row r="11460" spans="1:6" x14ac:dyDescent="0.25">
      <c r="A11460" s="1" t="s">
        <v>2452</v>
      </c>
      <c r="B11460" s="1" t="s">
        <v>2485</v>
      </c>
      <c r="C11460" s="1" t="s">
        <v>52</v>
      </c>
      <c r="D11460" s="3">
        <f>VALUE("8657")</f>
        <v>8657</v>
      </c>
      <c r="E11460" s="2">
        <f>DATEVALUE("1-2-2020")</f>
        <v>43862</v>
      </c>
      <c r="F11460" s="2">
        <f>DATEVALUE("30-4-2020")</f>
        <v>43951</v>
      </c>
    </row>
    <row r="11461" spans="1:6" x14ac:dyDescent="0.25">
      <c r="A11461" s="1" t="s">
        <v>2452</v>
      </c>
      <c r="B11461" s="1" t="s">
        <v>2451</v>
      </c>
      <c r="C11461" s="1" t="s">
        <v>79</v>
      </c>
      <c r="D11461" s="3">
        <f t="shared" ref="D11461:D11468" si="1809">VALUE("8527")</f>
        <v>8527</v>
      </c>
      <c r="E11461" s="2">
        <f t="shared" ref="E11461:E11468" si="1810">DATEVALUE("1-9-2019")</f>
        <v>43709</v>
      </c>
      <c r="F11461" s="2">
        <f t="shared" ref="F11461:F11468" si="1811">DATEVALUE("31-10-2019")</f>
        <v>43769</v>
      </c>
    </row>
    <row r="11462" spans="1:6" x14ac:dyDescent="0.25">
      <c r="A11462" s="1" t="s">
        <v>2452</v>
      </c>
      <c r="B11462" s="1" t="s">
        <v>2451</v>
      </c>
      <c r="C11462" s="1" t="s">
        <v>39</v>
      </c>
      <c r="D11462" s="3">
        <f t="shared" si="1809"/>
        <v>8527</v>
      </c>
      <c r="E11462" s="2">
        <f t="shared" si="1810"/>
        <v>43709</v>
      </c>
      <c r="F11462" s="2">
        <f t="shared" si="1811"/>
        <v>43769</v>
      </c>
    </row>
    <row r="11463" spans="1:6" x14ac:dyDescent="0.25">
      <c r="A11463" s="1" t="s">
        <v>2452</v>
      </c>
      <c r="B11463" s="1" t="s">
        <v>2451</v>
      </c>
      <c r="C11463" s="1" t="s">
        <v>2453</v>
      </c>
      <c r="D11463" s="3">
        <f t="shared" si="1809"/>
        <v>8527</v>
      </c>
      <c r="E11463" s="2">
        <f t="shared" si="1810"/>
        <v>43709</v>
      </c>
      <c r="F11463" s="2">
        <f t="shared" si="1811"/>
        <v>43769</v>
      </c>
    </row>
    <row r="11464" spans="1:6" x14ac:dyDescent="0.25">
      <c r="A11464" s="1" t="s">
        <v>2452</v>
      </c>
      <c r="B11464" s="1" t="s">
        <v>2451</v>
      </c>
      <c r="C11464" s="1" t="s">
        <v>43</v>
      </c>
      <c r="D11464" s="3">
        <f t="shared" si="1809"/>
        <v>8527</v>
      </c>
      <c r="E11464" s="2">
        <f t="shared" si="1810"/>
        <v>43709</v>
      </c>
      <c r="F11464" s="2">
        <f t="shared" si="1811"/>
        <v>43769</v>
      </c>
    </row>
    <row r="11465" spans="1:6" x14ac:dyDescent="0.25">
      <c r="A11465" s="1" t="s">
        <v>2452</v>
      </c>
      <c r="B11465" s="1" t="s">
        <v>2451</v>
      </c>
      <c r="C11465" s="1" t="s">
        <v>412</v>
      </c>
      <c r="D11465" s="3">
        <f t="shared" si="1809"/>
        <v>8527</v>
      </c>
      <c r="E11465" s="2">
        <f t="shared" si="1810"/>
        <v>43709</v>
      </c>
      <c r="F11465" s="2">
        <f t="shared" si="1811"/>
        <v>43769</v>
      </c>
    </row>
    <row r="11466" spans="1:6" x14ac:dyDescent="0.25">
      <c r="A11466" s="1" t="s">
        <v>2452</v>
      </c>
      <c r="B11466" s="1" t="s">
        <v>2451</v>
      </c>
      <c r="C11466" s="1" t="s">
        <v>17</v>
      </c>
      <c r="D11466" s="3">
        <f t="shared" si="1809"/>
        <v>8527</v>
      </c>
      <c r="E11466" s="2">
        <f t="shared" si="1810"/>
        <v>43709</v>
      </c>
      <c r="F11466" s="2">
        <f t="shared" si="1811"/>
        <v>43769</v>
      </c>
    </row>
    <row r="11467" spans="1:6" x14ac:dyDescent="0.25">
      <c r="A11467" s="1" t="s">
        <v>2452</v>
      </c>
      <c r="B11467" s="1" t="s">
        <v>2451</v>
      </c>
      <c r="C11467" s="1" t="s">
        <v>57</v>
      </c>
      <c r="D11467" s="3">
        <f t="shared" si="1809"/>
        <v>8527</v>
      </c>
      <c r="E11467" s="2">
        <f t="shared" si="1810"/>
        <v>43709</v>
      </c>
      <c r="F11467" s="2">
        <f t="shared" si="1811"/>
        <v>43769</v>
      </c>
    </row>
    <row r="11468" spans="1:6" x14ac:dyDescent="0.25">
      <c r="A11468" s="1" t="s">
        <v>2452</v>
      </c>
      <c r="B11468" s="1" t="s">
        <v>2451</v>
      </c>
      <c r="C11468" s="1" t="s">
        <v>427</v>
      </c>
      <c r="D11468" s="3">
        <f t="shared" si="1809"/>
        <v>8527</v>
      </c>
      <c r="E11468" s="2">
        <f t="shared" si="1810"/>
        <v>43709</v>
      </c>
      <c r="F11468" s="2">
        <f t="shared" si="1811"/>
        <v>43769</v>
      </c>
    </row>
    <row r="11469" spans="1:6" x14ac:dyDescent="0.25">
      <c r="A11469" s="1" t="s">
        <v>1665</v>
      </c>
      <c r="B11469" s="1" t="s">
        <v>1664</v>
      </c>
      <c r="C11469" s="1" t="s">
        <v>7</v>
      </c>
      <c r="D11469" s="3">
        <f t="shared" ref="D11469:D11484" si="1812">VALUE("8841")</f>
        <v>8841</v>
      </c>
      <c r="E11469" s="2">
        <f t="shared" ref="E11469:E11484" si="1813">DATEVALUE("1-9-2020")</f>
        <v>44075</v>
      </c>
      <c r="F11469" s="2">
        <f t="shared" ref="F11469:F11484" si="1814">DATEVALUE("31-12-2020")</f>
        <v>44196</v>
      </c>
    </row>
    <row r="11470" spans="1:6" x14ac:dyDescent="0.25">
      <c r="A11470" s="1" t="s">
        <v>1665</v>
      </c>
      <c r="B11470" s="1" t="s">
        <v>1664</v>
      </c>
      <c r="C11470" s="1" t="s">
        <v>87</v>
      </c>
      <c r="D11470" s="3">
        <f t="shared" si="1812"/>
        <v>8841</v>
      </c>
      <c r="E11470" s="2">
        <f t="shared" si="1813"/>
        <v>44075</v>
      </c>
      <c r="F11470" s="2">
        <f t="shared" si="1814"/>
        <v>44196</v>
      </c>
    </row>
    <row r="11471" spans="1:6" x14ac:dyDescent="0.25">
      <c r="A11471" s="1" t="s">
        <v>1665</v>
      </c>
      <c r="B11471" s="1" t="s">
        <v>1664</v>
      </c>
      <c r="C11471" s="1" t="s">
        <v>14</v>
      </c>
      <c r="D11471" s="3">
        <f t="shared" si="1812"/>
        <v>8841</v>
      </c>
      <c r="E11471" s="2">
        <f t="shared" si="1813"/>
        <v>44075</v>
      </c>
      <c r="F11471" s="2">
        <f t="shared" si="1814"/>
        <v>44196</v>
      </c>
    </row>
    <row r="11472" spans="1:6" x14ac:dyDescent="0.25">
      <c r="A11472" s="1" t="s">
        <v>1665</v>
      </c>
      <c r="B11472" s="1" t="s">
        <v>1664</v>
      </c>
      <c r="C11472" s="1" t="s">
        <v>15</v>
      </c>
      <c r="D11472" s="3">
        <f t="shared" si="1812"/>
        <v>8841</v>
      </c>
      <c r="E11472" s="2">
        <f t="shared" si="1813"/>
        <v>44075</v>
      </c>
      <c r="F11472" s="2">
        <f t="shared" si="1814"/>
        <v>44196</v>
      </c>
    </row>
    <row r="11473" spans="1:6" x14ac:dyDescent="0.25">
      <c r="A11473" s="1" t="s">
        <v>1665</v>
      </c>
      <c r="B11473" s="1" t="s">
        <v>1664</v>
      </c>
      <c r="C11473" s="1" t="s">
        <v>17</v>
      </c>
      <c r="D11473" s="3">
        <f t="shared" si="1812"/>
        <v>8841</v>
      </c>
      <c r="E11473" s="2">
        <f t="shared" si="1813"/>
        <v>44075</v>
      </c>
      <c r="F11473" s="2">
        <f t="shared" si="1814"/>
        <v>44196</v>
      </c>
    </row>
    <row r="11474" spans="1:6" x14ac:dyDescent="0.25">
      <c r="A11474" s="1" t="s">
        <v>1665</v>
      </c>
      <c r="B11474" s="1" t="s">
        <v>1664</v>
      </c>
      <c r="C11474" s="1" t="s">
        <v>18</v>
      </c>
      <c r="D11474" s="3">
        <f t="shared" si="1812"/>
        <v>8841</v>
      </c>
      <c r="E11474" s="2">
        <f t="shared" si="1813"/>
        <v>44075</v>
      </c>
      <c r="F11474" s="2">
        <f t="shared" si="1814"/>
        <v>44196</v>
      </c>
    </row>
    <row r="11475" spans="1:6" x14ac:dyDescent="0.25">
      <c r="A11475" s="1" t="s">
        <v>1665</v>
      </c>
      <c r="B11475" s="1" t="s">
        <v>1664</v>
      </c>
      <c r="C11475" s="1" t="s">
        <v>291</v>
      </c>
      <c r="D11475" s="3">
        <f t="shared" si="1812"/>
        <v>8841</v>
      </c>
      <c r="E11475" s="2">
        <f t="shared" si="1813"/>
        <v>44075</v>
      </c>
      <c r="F11475" s="2">
        <f t="shared" si="1814"/>
        <v>44196</v>
      </c>
    </row>
    <row r="11476" spans="1:6" x14ac:dyDescent="0.25">
      <c r="A11476" s="1" t="s">
        <v>1665</v>
      </c>
      <c r="B11476" s="1" t="s">
        <v>1664</v>
      </c>
      <c r="C11476" s="1" t="s">
        <v>146</v>
      </c>
      <c r="D11476" s="3">
        <f t="shared" si="1812"/>
        <v>8841</v>
      </c>
      <c r="E11476" s="2">
        <f t="shared" si="1813"/>
        <v>44075</v>
      </c>
      <c r="F11476" s="2">
        <f t="shared" si="1814"/>
        <v>44196</v>
      </c>
    </row>
    <row r="11477" spans="1:6" x14ac:dyDescent="0.25">
      <c r="A11477" s="1" t="s">
        <v>1665</v>
      </c>
      <c r="B11477" s="1" t="s">
        <v>1664</v>
      </c>
      <c r="C11477" s="1" t="s">
        <v>400</v>
      </c>
      <c r="D11477" s="3">
        <f t="shared" si="1812"/>
        <v>8841</v>
      </c>
      <c r="E11477" s="2">
        <f t="shared" si="1813"/>
        <v>44075</v>
      </c>
      <c r="F11477" s="2">
        <f t="shared" si="1814"/>
        <v>44196</v>
      </c>
    </row>
    <row r="11478" spans="1:6" x14ac:dyDescent="0.25">
      <c r="A11478" s="1" t="s">
        <v>1665</v>
      </c>
      <c r="B11478" s="1" t="s">
        <v>1664</v>
      </c>
      <c r="C11478" s="1" t="s">
        <v>378</v>
      </c>
      <c r="D11478" s="3">
        <f t="shared" si="1812"/>
        <v>8841</v>
      </c>
      <c r="E11478" s="2">
        <f t="shared" si="1813"/>
        <v>44075</v>
      </c>
      <c r="F11478" s="2">
        <f t="shared" si="1814"/>
        <v>44196</v>
      </c>
    </row>
    <row r="11479" spans="1:6" x14ac:dyDescent="0.25">
      <c r="A11479" s="1" t="s">
        <v>1665</v>
      </c>
      <c r="B11479" s="1" t="s">
        <v>1664</v>
      </c>
      <c r="C11479" s="1" t="s">
        <v>34</v>
      </c>
      <c r="D11479" s="3">
        <f t="shared" si="1812"/>
        <v>8841</v>
      </c>
      <c r="E11479" s="2">
        <f t="shared" si="1813"/>
        <v>44075</v>
      </c>
      <c r="F11479" s="2">
        <f t="shared" si="1814"/>
        <v>44196</v>
      </c>
    </row>
    <row r="11480" spans="1:6" x14ac:dyDescent="0.25">
      <c r="A11480" s="1" t="s">
        <v>1665</v>
      </c>
      <c r="B11480" s="1" t="s">
        <v>1664</v>
      </c>
      <c r="C11480" s="1" t="s">
        <v>306</v>
      </c>
      <c r="D11480" s="3">
        <f t="shared" si="1812"/>
        <v>8841</v>
      </c>
      <c r="E11480" s="2">
        <f t="shared" si="1813"/>
        <v>44075</v>
      </c>
      <c r="F11480" s="2">
        <f t="shared" si="1814"/>
        <v>44196</v>
      </c>
    </row>
    <row r="11481" spans="1:6" x14ac:dyDescent="0.25">
      <c r="A11481" s="1" t="s">
        <v>1665</v>
      </c>
      <c r="B11481" s="1" t="s">
        <v>1664</v>
      </c>
      <c r="C11481" s="1" t="s">
        <v>1218</v>
      </c>
      <c r="D11481" s="3">
        <f t="shared" si="1812"/>
        <v>8841</v>
      </c>
      <c r="E11481" s="2">
        <f t="shared" si="1813"/>
        <v>44075</v>
      </c>
      <c r="F11481" s="2">
        <f t="shared" si="1814"/>
        <v>44196</v>
      </c>
    </row>
    <row r="11482" spans="1:6" x14ac:dyDescent="0.25">
      <c r="A11482" s="1" t="s">
        <v>1665</v>
      </c>
      <c r="B11482" s="1" t="s">
        <v>1664</v>
      </c>
      <c r="C11482" s="1" t="s">
        <v>380</v>
      </c>
      <c r="D11482" s="3">
        <f t="shared" si="1812"/>
        <v>8841</v>
      </c>
      <c r="E11482" s="2">
        <f t="shared" si="1813"/>
        <v>44075</v>
      </c>
      <c r="F11482" s="2">
        <f t="shared" si="1814"/>
        <v>44196</v>
      </c>
    </row>
    <row r="11483" spans="1:6" x14ac:dyDescent="0.25">
      <c r="A11483" s="1" t="s">
        <v>1665</v>
      </c>
      <c r="B11483" s="1" t="s">
        <v>1664</v>
      </c>
      <c r="C11483" s="1" t="s">
        <v>381</v>
      </c>
      <c r="D11483" s="3">
        <f t="shared" si="1812"/>
        <v>8841</v>
      </c>
      <c r="E11483" s="2">
        <f t="shared" si="1813"/>
        <v>44075</v>
      </c>
      <c r="F11483" s="2">
        <f t="shared" si="1814"/>
        <v>44196</v>
      </c>
    </row>
    <row r="11484" spans="1:6" x14ac:dyDescent="0.25">
      <c r="A11484" s="1" t="s">
        <v>1665</v>
      </c>
      <c r="B11484" s="1" t="s">
        <v>1664</v>
      </c>
      <c r="C11484" s="1" t="s">
        <v>57</v>
      </c>
      <c r="D11484" s="3">
        <f t="shared" si="1812"/>
        <v>8841</v>
      </c>
      <c r="E11484" s="2">
        <f t="shared" si="1813"/>
        <v>44075</v>
      </c>
      <c r="F11484" s="2">
        <f t="shared" si="1814"/>
        <v>44196</v>
      </c>
    </row>
    <row r="11485" spans="1:6" x14ac:dyDescent="0.25">
      <c r="A11485" s="1" t="s">
        <v>1176</v>
      </c>
      <c r="B11485" s="1" t="s">
        <v>1175</v>
      </c>
      <c r="C11485" s="1" t="s">
        <v>1178</v>
      </c>
      <c r="D11485" s="3">
        <f>VALUE("8448")</f>
        <v>8448</v>
      </c>
      <c r="E11485" s="2">
        <f>DATEVALUE("1-4-2019")</f>
        <v>43556</v>
      </c>
      <c r="F11485" s="2">
        <f>DATEVALUE("31-3-2021")</f>
        <v>44286</v>
      </c>
    </row>
    <row r="11486" spans="1:6" x14ac:dyDescent="0.25">
      <c r="A11486" s="1" t="s">
        <v>1176</v>
      </c>
      <c r="B11486" s="1" t="s">
        <v>1175</v>
      </c>
      <c r="C11486" s="1" t="s">
        <v>1177</v>
      </c>
      <c r="D11486" s="3">
        <f>VALUE("8448")</f>
        <v>8448</v>
      </c>
      <c r="E11486" s="2">
        <f>DATEVALUE("1-4-2019")</f>
        <v>43556</v>
      </c>
      <c r="F11486" s="2">
        <f>DATEVALUE("31-3-2021")</f>
        <v>44286</v>
      </c>
    </row>
    <row r="11487" spans="1:6" x14ac:dyDescent="0.25">
      <c r="A11487" s="1" t="s">
        <v>2353</v>
      </c>
      <c r="B11487" s="1" t="s">
        <v>2352</v>
      </c>
      <c r="C11487" s="1" t="s">
        <v>14</v>
      </c>
      <c r="D11487" s="3">
        <f t="shared" ref="D11487:D11496" si="1815">VALUE("8226")</f>
        <v>8226</v>
      </c>
      <c r="E11487" s="2">
        <f t="shared" ref="E11487:E11496" si="1816">DATEVALUE("1-2-2018")</f>
        <v>43132</v>
      </c>
      <c r="F11487" s="2">
        <f t="shared" ref="F11487:F11496" si="1817">DATEVALUE("30-4-2019")</f>
        <v>43585</v>
      </c>
    </row>
    <row r="11488" spans="1:6" x14ac:dyDescent="0.25">
      <c r="A11488" s="1" t="s">
        <v>2353</v>
      </c>
      <c r="B11488" s="1" t="s">
        <v>2352</v>
      </c>
      <c r="C11488" s="1" t="s">
        <v>15</v>
      </c>
      <c r="D11488" s="3">
        <f t="shared" si="1815"/>
        <v>8226</v>
      </c>
      <c r="E11488" s="2">
        <f t="shared" si="1816"/>
        <v>43132</v>
      </c>
      <c r="F11488" s="2">
        <f t="shared" si="1817"/>
        <v>43585</v>
      </c>
    </row>
    <row r="11489" spans="1:6" x14ac:dyDescent="0.25">
      <c r="A11489" s="1" t="s">
        <v>2353</v>
      </c>
      <c r="B11489" s="1" t="s">
        <v>2352</v>
      </c>
      <c r="C11489" s="1" t="s">
        <v>17</v>
      </c>
      <c r="D11489" s="3">
        <f t="shared" si="1815"/>
        <v>8226</v>
      </c>
      <c r="E11489" s="2">
        <f t="shared" si="1816"/>
        <v>43132</v>
      </c>
      <c r="F11489" s="2">
        <f t="shared" si="1817"/>
        <v>43585</v>
      </c>
    </row>
    <row r="11490" spans="1:6" x14ac:dyDescent="0.25">
      <c r="A11490" s="1" t="s">
        <v>2353</v>
      </c>
      <c r="B11490" s="1" t="s">
        <v>2352</v>
      </c>
      <c r="C11490" s="1" t="s">
        <v>22</v>
      </c>
      <c r="D11490" s="3">
        <f t="shared" si="1815"/>
        <v>8226</v>
      </c>
      <c r="E11490" s="2">
        <f t="shared" si="1816"/>
        <v>43132</v>
      </c>
      <c r="F11490" s="2">
        <f t="shared" si="1817"/>
        <v>43585</v>
      </c>
    </row>
    <row r="11491" spans="1:6" x14ac:dyDescent="0.25">
      <c r="A11491" s="1" t="s">
        <v>2353</v>
      </c>
      <c r="B11491" s="1" t="s">
        <v>2352</v>
      </c>
      <c r="C11491" s="1" t="s">
        <v>146</v>
      </c>
      <c r="D11491" s="3">
        <f t="shared" si="1815"/>
        <v>8226</v>
      </c>
      <c r="E11491" s="2">
        <f t="shared" si="1816"/>
        <v>43132</v>
      </c>
      <c r="F11491" s="2">
        <f t="shared" si="1817"/>
        <v>43585</v>
      </c>
    </row>
    <row r="11492" spans="1:6" x14ac:dyDescent="0.25">
      <c r="A11492" s="1" t="s">
        <v>2353</v>
      </c>
      <c r="B11492" s="1" t="s">
        <v>2352</v>
      </c>
      <c r="C11492" s="1" t="s">
        <v>67</v>
      </c>
      <c r="D11492" s="3">
        <f t="shared" si="1815"/>
        <v>8226</v>
      </c>
      <c r="E11492" s="2">
        <f t="shared" si="1816"/>
        <v>43132</v>
      </c>
      <c r="F11492" s="2">
        <f t="shared" si="1817"/>
        <v>43585</v>
      </c>
    </row>
    <row r="11493" spans="1:6" x14ac:dyDescent="0.25">
      <c r="A11493" s="1" t="s">
        <v>2353</v>
      </c>
      <c r="B11493" s="1" t="s">
        <v>2352</v>
      </c>
      <c r="C11493" s="1" t="s">
        <v>148</v>
      </c>
      <c r="D11493" s="3">
        <f t="shared" si="1815"/>
        <v>8226</v>
      </c>
      <c r="E11493" s="2">
        <f t="shared" si="1816"/>
        <v>43132</v>
      </c>
      <c r="F11493" s="2">
        <f t="shared" si="1817"/>
        <v>43585</v>
      </c>
    </row>
    <row r="11494" spans="1:6" x14ac:dyDescent="0.25">
      <c r="A11494" s="1" t="s">
        <v>2353</v>
      </c>
      <c r="B11494" s="1" t="s">
        <v>2352</v>
      </c>
      <c r="C11494" s="1" t="s">
        <v>149</v>
      </c>
      <c r="D11494" s="3">
        <f t="shared" si="1815"/>
        <v>8226</v>
      </c>
      <c r="E11494" s="2">
        <f t="shared" si="1816"/>
        <v>43132</v>
      </c>
      <c r="F11494" s="2">
        <f t="shared" si="1817"/>
        <v>43585</v>
      </c>
    </row>
    <row r="11495" spans="1:6" x14ac:dyDescent="0.25">
      <c r="A11495" s="1" t="s">
        <v>2353</v>
      </c>
      <c r="B11495" s="1" t="s">
        <v>2352</v>
      </c>
      <c r="C11495" s="1" t="s">
        <v>24</v>
      </c>
      <c r="D11495" s="3">
        <f t="shared" si="1815"/>
        <v>8226</v>
      </c>
      <c r="E11495" s="2">
        <f t="shared" si="1816"/>
        <v>43132</v>
      </c>
      <c r="F11495" s="2">
        <f t="shared" si="1817"/>
        <v>43585</v>
      </c>
    </row>
    <row r="11496" spans="1:6" x14ac:dyDescent="0.25">
      <c r="A11496" s="1" t="s">
        <v>2353</v>
      </c>
      <c r="B11496" s="1" t="s">
        <v>2352</v>
      </c>
      <c r="C11496" s="1" t="s">
        <v>34</v>
      </c>
      <c r="D11496" s="3">
        <f t="shared" si="1815"/>
        <v>8226</v>
      </c>
      <c r="E11496" s="2">
        <f t="shared" si="1816"/>
        <v>43132</v>
      </c>
      <c r="F11496" s="2">
        <f t="shared" si="1817"/>
        <v>43585</v>
      </c>
    </row>
    <row r="11497" spans="1:6" x14ac:dyDescent="0.25">
      <c r="A11497" s="1" t="s">
        <v>2402</v>
      </c>
      <c r="B11497" s="1" t="s">
        <v>2401</v>
      </c>
      <c r="C11497" s="1" t="s">
        <v>14</v>
      </c>
      <c r="D11497" s="3">
        <f t="shared" ref="D11497:D11503" si="1818">VALUE("8391")</f>
        <v>8391</v>
      </c>
      <c r="E11497" s="2">
        <f t="shared" ref="E11497:E11503" si="1819">DATEVALUE("1-11-2018")</f>
        <v>43405</v>
      </c>
      <c r="F11497" s="2">
        <f t="shared" ref="F11497:F11503" si="1820">DATEVALUE("28-2-2019")</f>
        <v>43524</v>
      </c>
    </row>
    <row r="11498" spans="1:6" x14ac:dyDescent="0.25">
      <c r="A11498" s="1" t="s">
        <v>2402</v>
      </c>
      <c r="B11498" s="1" t="s">
        <v>2401</v>
      </c>
      <c r="C11498" s="1" t="s">
        <v>15</v>
      </c>
      <c r="D11498" s="3">
        <f t="shared" si="1818"/>
        <v>8391</v>
      </c>
      <c r="E11498" s="2">
        <f t="shared" si="1819"/>
        <v>43405</v>
      </c>
      <c r="F11498" s="2">
        <f t="shared" si="1820"/>
        <v>43524</v>
      </c>
    </row>
    <row r="11499" spans="1:6" x14ac:dyDescent="0.25">
      <c r="A11499" s="1" t="s">
        <v>2402</v>
      </c>
      <c r="B11499" s="1" t="s">
        <v>2401</v>
      </c>
      <c r="C11499" s="1" t="s">
        <v>17</v>
      </c>
      <c r="D11499" s="3">
        <f t="shared" si="1818"/>
        <v>8391</v>
      </c>
      <c r="E11499" s="2">
        <f t="shared" si="1819"/>
        <v>43405</v>
      </c>
      <c r="F11499" s="2">
        <f t="shared" si="1820"/>
        <v>43524</v>
      </c>
    </row>
    <row r="11500" spans="1:6" x14ac:dyDescent="0.25">
      <c r="A11500" s="1" t="s">
        <v>2402</v>
      </c>
      <c r="B11500" s="1" t="s">
        <v>2401</v>
      </c>
      <c r="C11500" s="1" t="s">
        <v>22</v>
      </c>
      <c r="D11500" s="3">
        <f t="shared" si="1818"/>
        <v>8391</v>
      </c>
      <c r="E11500" s="2">
        <f t="shared" si="1819"/>
        <v>43405</v>
      </c>
      <c r="F11500" s="2">
        <f t="shared" si="1820"/>
        <v>43524</v>
      </c>
    </row>
    <row r="11501" spans="1:6" x14ac:dyDescent="0.25">
      <c r="A11501" s="1" t="s">
        <v>2402</v>
      </c>
      <c r="B11501" s="1" t="s">
        <v>2401</v>
      </c>
      <c r="C11501" s="1" t="s">
        <v>146</v>
      </c>
      <c r="D11501" s="3">
        <f t="shared" si="1818"/>
        <v>8391</v>
      </c>
      <c r="E11501" s="2">
        <f t="shared" si="1819"/>
        <v>43405</v>
      </c>
      <c r="F11501" s="2">
        <f t="shared" si="1820"/>
        <v>43524</v>
      </c>
    </row>
    <row r="11502" spans="1:6" x14ac:dyDescent="0.25">
      <c r="A11502" s="1" t="s">
        <v>2402</v>
      </c>
      <c r="B11502" s="1" t="s">
        <v>2401</v>
      </c>
      <c r="C11502" s="1" t="s">
        <v>24</v>
      </c>
      <c r="D11502" s="3">
        <f t="shared" si="1818"/>
        <v>8391</v>
      </c>
      <c r="E11502" s="2">
        <f t="shared" si="1819"/>
        <v>43405</v>
      </c>
      <c r="F11502" s="2">
        <f t="shared" si="1820"/>
        <v>43524</v>
      </c>
    </row>
    <row r="11503" spans="1:6" x14ac:dyDescent="0.25">
      <c r="A11503" s="1" t="s">
        <v>2402</v>
      </c>
      <c r="B11503" s="1" t="s">
        <v>2401</v>
      </c>
      <c r="C11503" s="1" t="s">
        <v>34</v>
      </c>
      <c r="D11503" s="3">
        <f t="shared" si="1818"/>
        <v>8391</v>
      </c>
      <c r="E11503" s="2">
        <f t="shared" si="1819"/>
        <v>43405</v>
      </c>
      <c r="F11503" s="2">
        <f t="shared" si="1820"/>
        <v>43524</v>
      </c>
    </row>
    <row r="11504" spans="1:6" x14ac:dyDescent="0.25">
      <c r="A11504" s="1" t="s">
        <v>1767</v>
      </c>
      <c r="B11504" s="1" t="s">
        <v>2349</v>
      </c>
      <c r="C11504" s="1" t="s">
        <v>2350</v>
      </c>
      <c r="D11504" s="3">
        <f>VALUE("8219")</f>
        <v>8219</v>
      </c>
      <c r="E11504" s="2">
        <f>DATEVALUE("1-2-2018")</f>
        <v>43132</v>
      </c>
      <c r="F11504" s="2">
        <f>DATEVALUE("31-7-2018")</f>
        <v>43312</v>
      </c>
    </row>
    <row r="11505" spans="1:6" x14ac:dyDescent="0.25">
      <c r="A11505" s="1" t="s">
        <v>1767</v>
      </c>
      <c r="B11505" s="1" t="s">
        <v>1766</v>
      </c>
      <c r="C11505" s="1" t="s">
        <v>1141</v>
      </c>
      <c r="D11505" s="3">
        <f>VALUE("8148")</f>
        <v>8148</v>
      </c>
      <c r="E11505" s="2">
        <f>DATEVALUE("1-11-2017")</f>
        <v>43040</v>
      </c>
      <c r="F11505" s="2">
        <f>DATEVALUE("31-12-2019")</f>
        <v>43830</v>
      </c>
    </row>
    <row r="11506" spans="1:6" x14ac:dyDescent="0.25">
      <c r="A11506" s="1" t="s">
        <v>1653</v>
      </c>
      <c r="B11506" s="1" t="s">
        <v>1652</v>
      </c>
      <c r="C11506" s="1" t="s">
        <v>62</v>
      </c>
      <c r="D11506" s="3">
        <f>VALUE("8828")</f>
        <v>8828</v>
      </c>
      <c r="E11506" s="2">
        <f>DATEVALUE("1-10-2020")</f>
        <v>44105</v>
      </c>
      <c r="F11506" s="2">
        <f>DATEVALUE("31-1-2021")</f>
        <v>44227</v>
      </c>
    </row>
    <row r="11507" spans="1:6" x14ac:dyDescent="0.25">
      <c r="A11507" s="1" t="s">
        <v>1653</v>
      </c>
      <c r="B11507" s="1" t="s">
        <v>1652</v>
      </c>
      <c r="C11507" s="1" t="s">
        <v>17</v>
      </c>
      <c r="D11507" s="3">
        <f>VALUE("8828")</f>
        <v>8828</v>
      </c>
      <c r="E11507" s="2">
        <f>DATEVALUE("1-10-2020")</f>
        <v>44105</v>
      </c>
      <c r="F11507" s="2">
        <f>DATEVALUE("31-1-2021")</f>
        <v>44227</v>
      </c>
    </row>
    <row r="11508" spans="1:6" x14ac:dyDescent="0.25">
      <c r="A11508" s="1" t="s">
        <v>1653</v>
      </c>
      <c r="B11508" s="1" t="s">
        <v>1652</v>
      </c>
      <c r="C11508" s="1" t="s">
        <v>73</v>
      </c>
      <c r="D11508" s="3">
        <f>VALUE("8828")</f>
        <v>8828</v>
      </c>
      <c r="E11508" s="2">
        <f>DATEVALUE("1-10-2020")</f>
        <v>44105</v>
      </c>
      <c r="F11508" s="2">
        <f>DATEVALUE("31-1-2021")</f>
        <v>44227</v>
      </c>
    </row>
    <row r="11509" spans="1:6" x14ac:dyDescent="0.25">
      <c r="A11509" s="1" t="s">
        <v>1653</v>
      </c>
      <c r="B11509" s="1" t="s">
        <v>1652</v>
      </c>
      <c r="C11509" s="1" t="s">
        <v>52</v>
      </c>
      <c r="D11509" s="3">
        <f>VALUE("8828")</f>
        <v>8828</v>
      </c>
      <c r="E11509" s="2">
        <f>DATEVALUE("1-10-2020")</f>
        <v>44105</v>
      </c>
      <c r="F11509" s="2">
        <f>DATEVALUE("31-1-2021")</f>
        <v>44227</v>
      </c>
    </row>
    <row r="11510" spans="1:6" x14ac:dyDescent="0.25">
      <c r="A11510" s="1" t="s">
        <v>1798</v>
      </c>
      <c r="B11510" s="1" t="s">
        <v>1797</v>
      </c>
      <c r="C11510" s="1" t="s">
        <v>141</v>
      </c>
      <c r="D11510" s="3">
        <f>VALUE("8407")</f>
        <v>8407</v>
      </c>
      <c r="E11510" s="2">
        <f>DATEVALUE("1-12-2018")</f>
        <v>43435</v>
      </c>
      <c r="F11510" s="2">
        <f>DATEVALUE("30-6-2020")</f>
        <v>44012</v>
      </c>
    </row>
    <row r="11511" spans="1:6" x14ac:dyDescent="0.25">
      <c r="A11511" s="1" t="s">
        <v>1798</v>
      </c>
      <c r="B11511" s="1" t="s">
        <v>1797</v>
      </c>
      <c r="C11511" s="1" t="s">
        <v>1800</v>
      </c>
      <c r="D11511" s="3">
        <f>VALUE("8407")</f>
        <v>8407</v>
      </c>
      <c r="E11511" s="2">
        <f>DATEVALUE("1-12-2018")</f>
        <v>43435</v>
      </c>
      <c r="F11511" s="2">
        <f>DATEVALUE("30-6-2020")</f>
        <v>44012</v>
      </c>
    </row>
    <row r="11512" spans="1:6" x14ac:dyDescent="0.25">
      <c r="A11512" s="1" t="s">
        <v>1798</v>
      </c>
      <c r="B11512" s="1" t="s">
        <v>1797</v>
      </c>
      <c r="C11512" s="1" t="s">
        <v>1799</v>
      </c>
      <c r="D11512" s="3">
        <f>VALUE("8407")</f>
        <v>8407</v>
      </c>
      <c r="E11512" s="2">
        <f>DATEVALUE("1-12-2018")</f>
        <v>43435</v>
      </c>
      <c r="F11512" s="2">
        <f>DATEVALUE("30-6-2020")</f>
        <v>44012</v>
      </c>
    </row>
    <row r="11513" spans="1:6" x14ac:dyDescent="0.25">
      <c r="A11513" s="1" t="s">
        <v>1798</v>
      </c>
      <c r="B11513" s="1" t="s">
        <v>1797</v>
      </c>
      <c r="C11513" s="1" t="s">
        <v>1483</v>
      </c>
      <c r="D11513" s="3">
        <f>VALUE("8407")</f>
        <v>8407</v>
      </c>
      <c r="E11513" s="2">
        <f>DATEVALUE("1-12-2018")</f>
        <v>43435</v>
      </c>
      <c r="F11513" s="2">
        <f>DATEVALUE("30-6-2020")</f>
        <v>44012</v>
      </c>
    </row>
    <row r="11514" spans="1:6" x14ac:dyDescent="0.25">
      <c r="A11514" s="1" t="s">
        <v>1798</v>
      </c>
      <c r="B11514" s="1" t="s">
        <v>2351</v>
      </c>
      <c r="C11514" s="1" t="s">
        <v>14</v>
      </c>
      <c r="D11514" s="3">
        <f t="shared" ref="D11514:D11526" si="1821">VALUE("8221")</f>
        <v>8221</v>
      </c>
      <c r="E11514" s="2">
        <f t="shared" ref="E11514:E11526" si="1822">DATEVALUE("1-1-2018")</f>
        <v>43101</v>
      </c>
      <c r="F11514" s="2">
        <f t="shared" ref="F11514:F11526" si="1823">DATEVALUE("31-1-2020")</f>
        <v>43861</v>
      </c>
    </row>
    <row r="11515" spans="1:6" x14ac:dyDescent="0.25">
      <c r="A11515" s="1" t="s">
        <v>1798</v>
      </c>
      <c r="B11515" s="1" t="s">
        <v>2351</v>
      </c>
      <c r="C11515" s="1" t="s">
        <v>15</v>
      </c>
      <c r="D11515" s="3">
        <f t="shared" si="1821"/>
        <v>8221</v>
      </c>
      <c r="E11515" s="2">
        <f t="shared" si="1822"/>
        <v>43101</v>
      </c>
      <c r="F11515" s="2">
        <f t="shared" si="1823"/>
        <v>43861</v>
      </c>
    </row>
    <row r="11516" spans="1:6" x14ac:dyDescent="0.25">
      <c r="A11516" s="1" t="s">
        <v>1798</v>
      </c>
      <c r="B11516" s="1" t="s">
        <v>2351</v>
      </c>
      <c r="C11516" s="1" t="s">
        <v>17</v>
      </c>
      <c r="D11516" s="3">
        <f t="shared" si="1821"/>
        <v>8221</v>
      </c>
      <c r="E11516" s="2">
        <f t="shared" si="1822"/>
        <v>43101</v>
      </c>
      <c r="F11516" s="2">
        <f t="shared" si="1823"/>
        <v>43861</v>
      </c>
    </row>
    <row r="11517" spans="1:6" x14ac:dyDescent="0.25">
      <c r="A11517" s="1" t="s">
        <v>1798</v>
      </c>
      <c r="B11517" s="1" t="s">
        <v>2351</v>
      </c>
      <c r="C11517" s="1" t="s">
        <v>127</v>
      </c>
      <c r="D11517" s="3">
        <f t="shared" si="1821"/>
        <v>8221</v>
      </c>
      <c r="E11517" s="2">
        <f t="shared" si="1822"/>
        <v>43101</v>
      </c>
      <c r="F11517" s="2">
        <f t="shared" si="1823"/>
        <v>43861</v>
      </c>
    </row>
    <row r="11518" spans="1:6" x14ac:dyDescent="0.25">
      <c r="A11518" s="1" t="s">
        <v>1798</v>
      </c>
      <c r="B11518" s="1" t="s">
        <v>2351</v>
      </c>
      <c r="C11518" s="1" t="s">
        <v>168</v>
      </c>
      <c r="D11518" s="3">
        <f t="shared" si="1821"/>
        <v>8221</v>
      </c>
      <c r="E11518" s="2">
        <f t="shared" si="1822"/>
        <v>43101</v>
      </c>
      <c r="F11518" s="2">
        <f t="shared" si="1823"/>
        <v>43861</v>
      </c>
    </row>
    <row r="11519" spans="1:6" x14ac:dyDescent="0.25">
      <c r="A11519" s="1" t="s">
        <v>1798</v>
      </c>
      <c r="B11519" s="1" t="s">
        <v>2351</v>
      </c>
      <c r="C11519" s="1" t="s">
        <v>146</v>
      </c>
      <c r="D11519" s="3">
        <f t="shared" si="1821"/>
        <v>8221</v>
      </c>
      <c r="E11519" s="2">
        <f t="shared" si="1822"/>
        <v>43101</v>
      </c>
      <c r="F11519" s="2">
        <f t="shared" si="1823"/>
        <v>43861</v>
      </c>
    </row>
    <row r="11520" spans="1:6" x14ac:dyDescent="0.25">
      <c r="A11520" s="1" t="s">
        <v>1798</v>
      </c>
      <c r="B11520" s="1" t="s">
        <v>2351</v>
      </c>
      <c r="C11520" s="1" t="s">
        <v>148</v>
      </c>
      <c r="D11520" s="3">
        <f t="shared" si="1821"/>
        <v>8221</v>
      </c>
      <c r="E11520" s="2">
        <f t="shared" si="1822"/>
        <v>43101</v>
      </c>
      <c r="F11520" s="2">
        <f t="shared" si="1823"/>
        <v>43861</v>
      </c>
    </row>
    <row r="11521" spans="1:6" x14ac:dyDescent="0.25">
      <c r="A11521" s="1" t="s">
        <v>1798</v>
      </c>
      <c r="B11521" s="1" t="s">
        <v>2351</v>
      </c>
      <c r="C11521" s="1" t="s">
        <v>150</v>
      </c>
      <c r="D11521" s="3">
        <f t="shared" si="1821"/>
        <v>8221</v>
      </c>
      <c r="E11521" s="2">
        <f t="shared" si="1822"/>
        <v>43101</v>
      </c>
      <c r="F11521" s="2">
        <f t="shared" si="1823"/>
        <v>43861</v>
      </c>
    </row>
    <row r="11522" spans="1:6" x14ac:dyDescent="0.25">
      <c r="A11522" s="1" t="s">
        <v>1798</v>
      </c>
      <c r="B11522" s="1" t="s">
        <v>2351</v>
      </c>
      <c r="C11522" s="1" t="s">
        <v>24</v>
      </c>
      <c r="D11522" s="3">
        <f t="shared" si="1821"/>
        <v>8221</v>
      </c>
      <c r="E11522" s="2">
        <f t="shared" si="1822"/>
        <v>43101</v>
      </c>
      <c r="F11522" s="2">
        <f t="shared" si="1823"/>
        <v>43861</v>
      </c>
    </row>
    <row r="11523" spans="1:6" x14ac:dyDescent="0.25">
      <c r="A11523" s="1" t="s">
        <v>1798</v>
      </c>
      <c r="B11523" s="1" t="s">
        <v>2351</v>
      </c>
      <c r="C11523" s="1" t="s">
        <v>160</v>
      </c>
      <c r="D11523" s="3">
        <f t="shared" si="1821"/>
        <v>8221</v>
      </c>
      <c r="E11523" s="2">
        <f t="shared" si="1822"/>
        <v>43101</v>
      </c>
      <c r="F11523" s="2">
        <f t="shared" si="1823"/>
        <v>43861</v>
      </c>
    </row>
    <row r="11524" spans="1:6" x14ac:dyDescent="0.25">
      <c r="A11524" s="1" t="s">
        <v>1798</v>
      </c>
      <c r="B11524" s="1" t="s">
        <v>2351</v>
      </c>
      <c r="C11524" s="1" t="s">
        <v>34</v>
      </c>
      <c r="D11524" s="3">
        <f t="shared" si="1821"/>
        <v>8221</v>
      </c>
      <c r="E11524" s="2">
        <f t="shared" si="1822"/>
        <v>43101</v>
      </c>
      <c r="F11524" s="2">
        <f t="shared" si="1823"/>
        <v>43861</v>
      </c>
    </row>
    <row r="11525" spans="1:6" x14ac:dyDescent="0.25">
      <c r="A11525" s="1" t="s">
        <v>1798</v>
      </c>
      <c r="B11525" s="1" t="s">
        <v>2351</v>
      </c>
      <c r="C11525" s="1" t="s">
        <v>133</v>
      </c>
      <c r="D11525" s="3">
        <f t="shared" si="1821"/>
        <v>8221</v>
      </c>
      <c r="E11525" s="2">
        <f t="shared" si="1822"/>
        <v>43101</v>
      </c>
      <c r="F11525" s="2">
        <f t="shared" si="1823"/>
        <v>43861</v>
      </c>
    </row>
    <row r="11526" spans="1:6" x14ac:dyDescent="0.25">
      <c r="A11526" s="1" t="s">
        <v>1798</v>
      </c>
      <c r="B11526" s="1" t="s">
        <v>2351</v>
      </c>
      <c r="C11526" s="1" t="s">
        <v>134</v>
      </c>
      <c r="D11526" s="3">
        <f t="shared" si="1821"/>
        <v>8221</v>
      </c>
      <c r="E11526" s="2">
        <f t="shared" si="1822"/>
        <v>43101</v>
      </c>
      <c r="F11526" s="2">
        <f t="shared" si="1823"/>
        <v>43861</v>
      </c>
    </row>
    <row r="11527" spans="1:6" x14ac:dyDescent="0.25">
      <c r="A11527" s="1" t="s">
        <v>1385</v>
      </c>
      <c r="B11527" s="1" t="s">
        <v>1560</v>
      </c>
      <c r="C11527" s="1" t="s">
        <v>7</v>
      </c>
      <c r="D11527" s="3">
        <f t="shared" ref="D11527:D11534" si="1824">VALUE("8740")</f>
        <v>8740</v>
      </c>
      <c r="E11527" s="2">
        <f t="shared" ref="E11527:E11535" si="1825">DATEVALUE("1-4-2020")</f>
        <v>43922</v>
      </c>
      <c r="F11527" s="2">
        <f t="shared" ref="F11527:F11534" si="1826">DATEVALUE("31-8-2021")</f>
        <v>44439</v>
      </c>
    </row>
    <row r="11528" spans="1:6" x14ac:dyDescent="0.25">
      <c r="A11528" s="1" t="s">
        <v>1385</v>
      </c>
      <c r="B11528" s="1" t="s">
        <v>1560</v>
      </c>
      <c r="C11528" s="1" t="s">
        <v>17</v>
      </c>
      <c r="D11528" s="3">
        <f t="shared" si="1824"/>
        <v>8740</v>
      </c>
      <c r="E11528" s="2">
        <f t="shared" si="1825"/>
        <v>43922</v>
      </c>
      <c r="F11528" s="2">
        <f t="shared" si="1826"/>
        <v>44439</v>
      </c>
    </row>
    <row r="11529" spans="1:6" x14ac:dyDescent="0.25">
      <c r="A11529" s="1" t="s">
        <v>1385</v>
      </c>
      <c r="B11529" s="1" t="s">
        <v>1560</v>
      </c>
      <c r="C11529" s="1" t="s">
        <v>19</v>
      </c>
      <c r="D11529" s="3">
        <f t="shared" si="1824"/>
        <v>8740</v>
      </c>
      <c r="E11529" s="2">
        <f t="shared" si="1825"/>
        <v>43922</v>
      </c>
      <c r="F11529" s="2">
        <f t="shared" si="1826"/>
        <v>44439</v>
      </c>
    </row>
    <row r="11530" spans="1:6" x14ac:dyDescent="0.25">
      <c r="A11530" s="1" t="s">
        <v>1385</v>
      </c>
      <c r="B11530" s="1" t="s">
        <v>1560</v>
      </c>
      <c r="C11530" s="1" t="s">
        <v>22</v>
      </c>
      <c r="D11530" s="3">
        <f t="shared" si="1824"/>
        <v>8740</v>
      </c>
      <c r="E11530" s="2">
        <f t="shared" si="1825"/>
        <v>43922</v>
      </c>
      <c r="F11530" s="2">
        <f t="shared" si="1826"/>
        <v>44439</v>
      </c>
    </row>
    <row r="11531" spans="1:6" x14ac:dyDescent="0.25">
      <c r="A11531" s="1" t="s">
        <v>1385</v>
      </c>
      <c r="B11531" s="1" t="s">
        <v>1560</v>
      </c>
      <c r="C11531" s="1" t="s">
        <v>70</v>
      </c>
      <c r="D11531" s="3">
        <f t="shared" si="1824"/>
        <v>8740</v>
      </c>
      <c r="E11531" s="2">
        <f t="shared" si="1825"/>
        <v>43922</v>
      </c>
      <c r="F11531" s="2">
        <f t="shared" si="1826"/>
        <v>44439</v>
      </c>
    </row>
    <row r="11532" spans="1:6" x14ac:dyDescent="0.25">
      <c r="A11532" s="1" t="s">
        <v>1385</v>
      </c>
      <c r="B11532" s="1" t="s">
        <v>1560</v>
      </c>
      <c r="C11532" s="1" t="s">
        <v>72</v>
      </c>
      <c r="D11532" s="3">
        <f t="shared" si="1824"/>
        <v>8740</v>
      </c>
      <c r="E11532" s="2">
        <f t="shared" si="1825"/>
        <v>43922</v>
      </c>
      <c r="F11532" s="2">
        <f t="shared" si="1826"/>
        <v>44439</v>
      </c>
    </row>
    <row r="11533" spans="1:6" x14ac:dyDescent="0.25">
      <c r="A11533" s="1" t="s">
        <v>1385</v>
      </c>
      <c r="B11533" s="1" t="s">
        <v>1560</v>
      </c>
      <c r="C11533" s="1" t="s">
        <v>52</v>
      </c>
      <c r="D11533" s="3">
        <f t="shared" si="1824"/>
        <v>8740</v>
      </c>
      <c r="E11533" s="2">
        <f t="shared" si="1825"/>
        <v>43922</v>
      </c>
      <c r="F11533" s="2">
        <f t="shared" si="1826"/>
        <v>44439</v>
      </c>
    </row>
    <row r="11534" spans="1:6" x14ac:dyDescent="0.25">
      <c r="A11534" s="1" t="s">
        <v>1385</v>
      </c>
      <c r="B11534" s="1" t="s">
        <v>1560</v>
      </c>
      <c r="C11534" s="1" t="s">
        <v>1060</v>
      </c>
      <c r="D11534" s="3">
        <f t="shared" si="1824"/>
        <v>8740</v>
      </c>
      <c r="E11534" s="2">
        <f t="shared" si="1825"/>
        <v>43922</v>
      </c>
      <c r="F11534" s="2">
        <f t="shared" si="1826"/>
        <v>44439</v>
      </c>
    </row>
    <row r="11535" spans="1:6" x14ac:dyDescent="0.25">
      <c r="A11535" s="1" t="s">
        <v>1385</v>
      </c>
      <c r="B11535" s="1" t="s">
        <v>2785</v>
      </c>
      <c r="C11535" s="1" t="s">
        <v>334</v>
      </c>
      <c r="D11535" s="3">
        <f>VALUE("8746")</f>
        <v>8746</v>
      </c>
      <c r="E11535" s="2">
        <f t="shared" si="1825"/>
        <v>43922</v>
      </c>
      <c r="F11535" s="2">
        <f>DATEVALUE("30-6-2020")</f>
        <v>44012</v>
      </c>
    </row>
    <row r="11536" spans="1:6" x14ac:dyDescent="0.25">
      <c r="A11536" s="1" t="s">
        <v>1385</v>
      </c>
      <c r="B11536" s="1" t="s">
        <v>1822</v>
      </c>
      <c r="C11536" s="1" t="s">
        <v>17</v>
      </c>
      <c r="D11536" s="3">
        <f>VALUE("8608")</f>
        <v>8608</v>
      </c>
      <c r="E11536" s="2">
        <f>DATEVALUE("1-2-2020")</f>
        <v>43862</v>
      </c>
      <c r="F11536" s="2">
        <f>DATEVALUE("31-7-2020")</f>
        <v>44043</v>
      </c>
    </row>
    <row r="11537" spans="1:6" x14ac:dyDescent="0.25">
      <c r="A11537" s="1" t="s">
        <v>1385</v>
      </c>
      <c r="B11537" s="1" t="s">
        <v>1431</v>
      </c>
      <c r="C11537" s="1" t="s">
        <v>14</v>
      </c>
      <c r="D11537" s="3">
        <f t="shared" ref="D11537:D11556" si="1827">VALUE("8645")</f>
        <v>8645</v>
      </c>
      <c r="E11537" s="2">
        <f t="shared" ref="E11537:E11564" si="1828">DATEVALUE("1-1-2020")</f>
        <v>43831</v>
      </c>
      <c r="F11537" s="2">
        <f t="shared" ref="F11537:F11556" si="1829">DATEVALUE("30-4-2021")</f>
        <v>44316</v>
      </c>
    </row>
    <row r="11538" spans="1:6" x14ac:dyDescent="0.25">
      <c r="A11538" s="1" t="s">
        <v>1385</v>
      </c>
      <c r="B11538" s="1" t="s">
        <v>1431</v>
      </c>
      <c r="C11538" s="1" t="s">
        <v>15</v>
      </c>
      <c r="D11538" s="3">
        <f t="shared" si="1827"/>
        <v>8645</v>
      </c>
      <c r="E11538" s="2">
        <f t="shared" si="1828"/>
        <v>43831</v>
      </c>
      <c r="F11538" s="2">
        <f t="shared" si="1829"/>
        <v>44316</v>
      </c>
    </row>
    <row r="11539" spans="1:6" x14ac:dyDescent="0.25">
      <c r="A11539" s="1" t="s">
        <v>1385</v>
      </c>
      <c r="B11539" s="1" t="s">
        <v>1431</v>
      </c>
      <c r="C11539" s="1" t="s">
        <v>16</v>
      </c>
      <c r="D11539" s="3">
        <f t="shared" si="1827"/>
        <v>8645</v>
      </c>
      <c r="E11539" s="2">
        <f t="shared" si="1828"/>
        <v>43831</v>
      </c>
      <c r="F11539" s="2">
        <f t="shared" si="1829"/>
        <v>44316</v>
      </c>
    </row>
    <row r="11540" spans="1:6" x14ac:dyDescent="0.25">
      <c r="A11540" s="1" t="s">
        <v>1385</v>
      </c>
      <c r="B11540" s="1" t="s">
        <v>1431</v>
      </c>
      <c r="C11540" s="1" t="s">
        <v>17</v>
      </c>
      <c r="D11540" s="3">
        <f t="shared" si="1827"/>
        <v>8645</v>
      </c>
      <c r="E11540" s="2">
        <f t="shared" si="1828"/>
        <v>43831</v>
      </c>
      <c r="F11540" s="2">
        <f t="shared" si="1829"/>
        <v>44316</v>
      </c>
    </row>
    <row r="11541" spans="1:6" x14ac:dyDescent="0.25">
      <c r="A11541" s="1" t="s">
        <v>1385</v>
      </c>
      <c r="B11541" s="1" t="s">
        <v>1431</v>
      </c>
      <c r="C11541" s="1" t="s">
        <v>19</v>
      </c>
      <c r="D11541" s="3">
        <f t="shared" si="1827"/>
        <v>8645</v>
      </c>
      <c r="E11541" s="2">
        <f t="shared" si="1828"/>
        <v>43831</v>
      </c>
      <c r="F11541" s="2">
        <f t="shared" si="1829"/>
        <v>44316</v>
      </c>
    </row>
    <row r="11542" spans="1:6" x14ac:dyDescent="0.25">
      <c r="A11542" s="1" t="s">
        <v>1385</v>
      </c>
      <c r="B11542" s="1" t="s">
        <v>1431</v>
      </c>
      <c r="C11542" s="1" t="s">
        <v>193</v>
      </c>
      <c r="D11542" s="3">
        <f t="shared" si="1827"/>
        <v>8645</v>
      </c>
      <c r="E11542" s="2">
        <f t="shared" si="1828"/>
        <v>43831</v>
      </c>
      <c r="F11542" s="2">
        <f t="shared" si="1829"/>
        <v>44316</v>
      </c>
    </row>
    <row r="11543" spans="1:6" x14ac:dyDescent="0.25">
      <c r="A11543" s="1" t="s">
        <v>1385</v>
      </c>
      <c r="B11543" s="1" t="s">
        <v>1431</v>
      </c>
      <c r="C11543" s="1" t="s">
        <v>20</v>
      </c>
      <c r="D11543" s="3">
        <f t="shared" si="1827"/>
        <v>8645</v>
      </c>
      <c r="E11543" s="2">
        <f t="shared" si="1828"/>
        <v>43831</v>
      </c>
      <c r="F11543" s="2">
        <f t="shared" si="1829"/>
        <v>44316</v>
      </c>
    </row>
    <row r="11544" spans="1:6" x14ac:dyDescent="0.25">
      <c r="A11544" s="1" t="s">
        <v>1385</v>
      </c>
      <c r="B11544" s="1" t="s">
        <v>1431</v>
      </c>
      <c r="C11544" s="1" t="s">
        <v>146</v>
      </c>
      <c r="D11544" s="3">
        <f t="shared" si="1827"/>
        <v>8645</v>
      </c>
      <c r="E11544" s="2">
        <f t="shared" si="1828"/>
        <v>43831</v>
      </c>
      <c r="F11544" s="2">
        <f t="shared" si="1829"/>
        <v>44316</v>
      </c>
    </row>
    <row r="11545" spans="1:6" x14ac:dyDescent="0.25">
      <c r="A11545" s="1" t="s">
        <v>1385</v>
      </c>
      <c r="B11545" s="1" t="s">
        <v>1431</v>
      </c>
      <c r="C11545" s="1" t="s">
        <v>67</v>
      </c>
      <c r="D11545" s="3">
        <f t="shared" si="1827"/>
        <v>8645</v>
      </c>
      <c r="E11545" s="2">
        <f t="shared" si="1828"/>
        <v>43831</v>
      </c>
      <c r="F11545" s="2">
        <f t="shared" si="1829"/>
        <v>44316</v>
      </c>
    </row>
    <row r="11546" spans="1:6" x14ac:dyDescent="0.25">
      <c r="A11546" s="1" t="s">
        <v>1385</v>
      </c>
      <c r="B11546" s="1" t="s">
        <v>1431</v>
      </c>
      <c r="C11546" s="1" t="s">
        <v>155</v>
      </c>
      <c r="D11546" s="3">
        <f t="shared" si="1827"/>
        <v>8645</v>
      </c>
      <c r="E11546" s="2">
        <f t="shared" si="1828"/>
        <v>43831</v>
      </c>
      <c r="F11546" s="2">
        <f t="shared" si="1829"/>
        <v>44316</v>
      </c>
    </row>
    <row r="11547" spans="1:6" x14ac:dyDescent="0.25">
      <c r="A11547" s="1" t="s">
        <v>1385</v>
      </c>
      <c r="B11547" s="1" t="s">
        <v>1431</v>
      </c>
      <c r="C11547" s="1" t="s">
        <v>474</v>
      </c>
      <c r="D11547" s="3">
        <f t="shared" si="1827"/>
        <v>8645</v>
      </c>
      <c r="E11547" s="2">
        <f t="shared" si="1828"/>
        <v>43831</v>
      </c>
      <c r="F11547" s="2">
        <f t="shared" si="1829"/>
        <v>44316</v>
      </c>
    </row>
    <row r="11548" spans="1:6" x14ac:dyDescent="0.25">
      <c r="A11548" s="1" t="s">
        <v>1385</v>
      </c>
      <c r="B11548" s="1" t="s">
        <v>1431</v>
      </c>
      <c r="C11548" s="1" t="s">
        <v>475</v>
      </c>
      <c r="D11548" s="3">
        <f t="shared" si="1827"/>
        <v>8645</v>
      </c>
      <c r="E11548" s="2">
        <f t="shared" si="1828"/>
        <v>43831</v>
      </c>
      <c r="F11548" s="2">
        <f t="shared" si="1829"/>
        <v>44316</v>
      </c>
    </row>
    <row r="11549" spans="1:6" x14ac:dyDescent="0.25">
      <c r="A11549" s="1" t="s">
        <v>1385</v>
      </c>
      <c r="B11549" s="1" t="s">
        <v>1431</v>
      </c>
      <c r="C11549" s="1" t="s">
        <v>493</v>
      </c>
      <c r="D11549" s="3">
        <f t="shared" si="1827"/>
        <v>8645</v>
      </c>
      <c r="E11549" s="2">
        <f t="shared" si="1828"/>
        <v>43831</v>
      </c>
      <c r="F11549" s="2">
        <f t="shared" si="1829"/>
        <v>44316</v>
      </c>
    </row>
    <row r="11550" spans="1:6" x14ac:dyDescent="0.25">
      <c r="A11550" s="1" t="s">
        <v>1385</v>
      </c>
      <c r="B11550" s="1" t="s">
        <v>1431</v>
      </c>
      <c r="C11550" s="1" t="s">
        <v>24</v>
      </c>
      <c r="D11550" s="3">
        <f t="shared" si="1827"/>
        <v>8645</v>
      </c>
      <c r="E11550" s="2">
        <f t="shared" si="1828"/>
        <v>43831</v>
      </c>
      <c r="F11550" s="2">
        <f t="shared" si="1829"/>
        <v>44316</v>
      </c>
    </row>
    <row r="11551" spans="1:6" x14ac:dyDescent="0.25">
      <c r="A11551" s="1" t="s">
        <v>1385</v>
      </c>
      <c r="B11551" s="1" t="s">
        <v>1431</v>
      </c>
      <c r="C11551" s="1" t="s">
        <v>70</v>
      </c>
      <c r="D11551" s="3">
        <f t="shared" si="1827"/>
        <v>8645</v>
      </c>
      <c r="E11551" s="2">
        <f t="shared" si="1828"/>
        <v>43831</v>
      </c>
      <c r="F11551" s="2">
        <f t="shared" si="1829"/>
        <v>44316</v>
      </c>
    </row>
    <row r="11552" spans="1:6" x14ac:dyDescent="0.25">
      <c r="A11552" s="1" t="s">
        <v>1385</v>
      </c>
      <c r="B11552" s="1" t="s">
        <v>1431</v>
      </c>
      <c r="C11552" s="1" t="s">
        <v>72</v>
      </c>
      <c r="D11552" s="3">
        <f t="shared" si="1827"/>
        <v>8645</v>
      </c>
      <c r="E11552" s="2">
        <f t="shared" si="1828"/>
        <v>43831</v>
      </c>
      <c r="F11552" s="2">
        <f t="shared" si="1829"/>
        <v>44316</v>
      </c>
    </row>
    <row r="11553" spans="1:6" x14ac:dyDescent="0.25">
      <c r="A11553" s="1" t="s">
        <v>1385</v>
      </c>
      <c r="B11553" s="1" t="s">
        <v>1431</v>
      </c>
      <c r="C11553" s="1" t="s">
        <v>52</v>
      </c>
      <c r="D11553" s="3">
        <f t="shared" si="1827"/>
        <v>8645</v>
      </c>
      <c r="E11553" s="2">
        <f t="shared" si="1828"/>
        <v>43831</v>
      </c>
      <c r="F11553" s="2">
        <f t="shared" si="1829"/>
        <v>44316</v>
      </c>
    </row>
    <row r="11554" spans="1:6" x14ac:dyDescent="0.25">
      <c r="A11554" s="1" t="s">
        <v>1385</v>
      </c>
      <c r="B11554" s="1" t="s">
        <v>1431</v>
      </c>
      <c r="C11554" s="1" t="s">
        <v>162</v>
      </c>
      <c r="D11554" s="3">
        <f t="shared" si="1827"/>
        <v>8645</v>
      </c>
      <c r="E11554" s="2">
        <f t="shared" si="1828"/>
        <v>43831</v>
      </c>
      <c r="F11554" s="2">
        <f t="shared" si="1829"/>
        <v>44316</v>
      </c>
    </row>
    <row r="11555" spans="1:6" x14ac:dyDescent="0.25">
      <c r="A11555" s="1" t="s">
        <v>1385</v>
      </c>
      <c r="B11555" s="1" t="s">
        <v>1431</v>
      </c>
      <c r="C11555" s="1" t="s">
        <v>34</v>
      </c>
      <c r="D11555" s="3">
        <f t="shared" si="1827"/>
        <v>8645</v>
      </c>
      <c r="E11555" s="2">
        <f t="shared" si="1828"/>
        <v>43831</v>
      </c>
      <c r="F11555" s="2">
        <f t="shared" si="1829"/>
        <v>44316</v>
      </c>
    </row>
    <row r="11556" spans="1:6" x14ac:dyDescent="0.25">
      <c r="A11556" s="1" t="s">
        <v>1385</v>
      </c>
      <c r="B11556" s="1" t="s">
        <v>1431</v>
      </c>
      <c r="C11556" s="1" t="s">
        <v>35</v>
      </c>
      <c r="D11556" s="3">
        <f t="shared" si="1827"/>
        <v>8645</v>
      </c>
      <c r="E11556" s="2">
        <f t="shared" si="1828"/>
        <v>43831</v>
      </c>
      <c r="F11556" s="2">
        <f t="shared" si="1829"/>
        <v>44316</v>
      </c>
    </row>
    <row r="11557" spans="1:6" x14ac:dyDescent="0.25">
      <c r="A11557" s="1" t="s">
        <v>1385</v>
      </c>
      <c r="B11557" s="1" t="s">
        <v>1491</v>
      </c>
      <c r="C11557" s="1" t="s">
        <v>14</v>
      </c>
      <c r="D11557" s="3">
        <f t="shared" ref="D11557:D11564" si="1830">VALUE("8679")</f>
        <v>8679</v>
      </c>
      <c r="E11557" s="2">
        <f t="shared" si="1828"/>
        <v>43831</v>
      </c>
      <c r="F11557" s="2">
        <f t="shared" ref="F11557:F11564" si="1831">DATEVALUE("30-6-2023")</f>
        <v>45107</v>
      </c>
    </row>
    <row r="11558" spans="1:6" x14ac:dyDescent="0.25">
      <c r="A11558" s="1" t="s">
        <v>1385</v>
      </c>
      <c r="B11558" s="1" t="s">
        <v>1491</v>
      </c>
      <c r="C11558" s="1" t="s">
        <v>15</v>
      </c>
      <c r="D11558" s="3">
        <f t="shared" si="1830"/>
        <v>8679</v>
      </c>
      <c r="E11558" s="2">
        <f t="shared" si="1828"/>
        <v>43831</v>
      </c>
      <c r="F11558" s="2">
        <f t="shared" si="1831"/>
        <v>45107</v>
      </c>
    </row>
    <row r="11559" spans="1:6" x14ac:dyDescent="0.25">
      <c r="A11559" s="1" t="s">
        <v>1385</v>
      </c>
      <c r="B11559" s="1" t="s">
        <v>1491</v>
      </c>
      <c r="C11559" s="1" t="s">
        <v>17</v>
      </c>
      <c r="D11559" s="3">
        <f t="shared" si="1830"/>
        <v>8679</v>
      </c>
      <c r="E11559" s="2">
        <f t="shared" si="1828"/>
        <v>43831</v>
      </c>
      <c r="F11559" s="2">
        <f t="shared" si="1831"/>
        <v>45107</v>
      </c>
    </row>
    <row r="11560" spans="1:6" x14ac:dyDescent="0.25">
      <c r="A11560" s="1" t="s">
        <v>1385</v>
      </c>
      <c r="B11560" s="1" t="s">
        <v>1491</v>
      </c>
      <c r="C11560" s="1" t="s">
        <v>22</v>
      </c>
      <c r="D11560" s="3">
        <f t="shared" si="1830"/>
        <v>8679</v>
      </c>
      <c r="E11560" s="2">
        <f t="shared" si="1828"/>
        <v>43831</v>
      </c>
      <c r="F11560" s="2">
        <f t="shared" si="1831"/>
        <v>45107</v>
      </c>
    </row>
    <row r="11561" spans="1:6" x14ac:dyDescent="0.25">
      <c r="A11561" s="1" t="s">
        <v>1385</v>
      </c>
      <c r="B11561" s="1" t="s">
        <v>1491</v>
      </c>
      <c r="C11561" s="1" t="s">
        <v>24</v>
      </c>
      <c r="D11561" s="3">
        <f t="shared" si="1830"/>
        <v>8679</v>
      </c>
      <c r="E11561" s="2">
        <f t="shared" si="1828"/>
        <v>43831</v>
      </c>
      <c r="F11561" s="2">
        <f t="shared" si="1831"/>
        <v>45107</v>
      </c>
    </row>
    <row r="11562" spans="1:6" x14ac:dyDescent="0.25">
      <c r="A11562" s="1" t="s">
        <v>1385</v>
      </c>
      <c r="B11562" s="1" t="s">
        <v>1491</v>
      </c>
      <c r="C11562" s="1" t="s">
        <v>73</v>
      </c>
      <c r="D11562" s="3">
        <f t="shared" si="1830"/>
        <v>8679</v>
      </c>
      <c r="E11562" s="2">
        <f t="shared" si="1828"/>
        <v>43831</v>
      </c>
      <c r="F11562" s="2">
        <f t="shared" si="1831"/>
        <v>45107</v>
      </c>
    </row>
    <row r="11563" spans="1:6" x14ac:dyDescent="0.25">
      <c r="A11563" s="1" t="s">
        <v>1385</v>
      </c>
      <c r="B11563" s="1" t="s">
        <v>1491</v>
      </c>
      <c r="C11563" s="1" t="s">
        <v>52</v>
      </c>
      <c r="D11563" s="3">
        <f t="shared" si="1830"/>
        <v>8679</v>
      </c>
      <c r="E11563" s="2">
        <f t="shared" si="1828"/>
        <v>43831</v>
      </c>
      <c r="F11563" s="2">
        <f t="shared" si="1831"/>
        <v>45107</v>
      </c>
    </row>
    <row r="11564" spans="1:6" x14ac:dyDescent="0.25">
      <c r="A11564" s="1" t="s">
        <v>1385</v>
      </c>
      <c r="B11564" s="1" t="s">
        <v>1491</v>
      </c>
      <c r="C11564" s="1" t="s">
        <v>34</v>
      </c>
      <c r="D11564" s="3">
        <f t="shared" si="1830"/>
        <v>8679</v>
      </c>
      <c r="E11564" s="2">
        <f t="shared" si="1828"/>
        <v>43831</v>
      </c>
      <c r="F11564" s="2">
        <f t="shared" si="1831"/>
        <v>45107</v>
      </c>
    </row>
    <row r="11565" spans="1:6" x14ac:dyDescent="0.25">
      <c r="A11565" s="1" t="s">
        <v>1385</v>
      </c>
      <c r="B11565" s="1" t="s">
        <v>2480</v>
      </c>
      <c r="C11565" s="1" t="s">
        <v>45</v>
      </c>
      <c r="D11565" s="3">
        <f>VALUE("8648")</f>
        <v>8648</v>
      </c>
      <c r="E11565" s="2">
        <f>DATEVALUE("1-11-2019")</f>
        <v>43770</v>
      </c>
      <c r="F11565" s="2">
        <f>DATEVALUE("31-3-2020")</f>
        <v>43921</v>
      </c>
    </row>
    <row r="11566" spans="1:6" x14ac:dyDescent="0.25">
      <c r="A11566" s="1" t="s">
        <v>1385</v>
      </c>
      <c r="B11566" s="1" t="s">
        <v>2480</v>
      </c>
      <c r="C11566" s="1" t="s">
        <v>52</v>
      </c>
      <c r="D11566" s="3">
        <f>VALUE("8648")</f>
        <v>8648</v>
      </c>
      <c r="E11566" s="2">
        <f>DATEVALUE("1-11-2019")</f>
        <v>43770</v>
      </c>
      <c r="F11566" s="2">
        <f>DATEVALUE("31-3-2020")</f>
        <v>43921</v>
      </c>
    </row>
    <row r="11567" spans="1:6" x14ac:dyDescent="0.25">
      <c r="A11567" s="1" t="s">
        <v>1385</v>
      </c>
      <c r="B11567" s="1" t="s">
        <v>1384</v>
      </c>
      <c r="C11567" s="1" t="s">
        <v>14</v>
      </c>
      <c r="D11567" s="3">
        <f t="shared" ref="D11567:D11577" si="1832">VALUE("8611")</f>
        <v>8611</v>
      </c>
      <c r="E11567" s="2">
        <f t="shared" ref="E11567:E11577" si="1833">DATEVALUE("1-10-2019")</f>
        <v>43739</v>
      </c>
      <c r="F11567" s="2">
        <f t="shared" ref="F11567:F11577" si="1834">DATEVALUE("31-1-2021")</f>
        <v>44227</v>
      </c>
    </row>
    <row r="11568" spans="1:6" x14ac:dyDescent="0.25">
      <c r="A11568" s="1" t="s">
        <v>1385</v>
      </c>
      <c r="B11568" s="1" t="s">
        <v>1384</v>
      </c>
      <c r="C11568" s="1" t="s">
        <v>15</v>
      </c>
      <c r="D11568" s="3">
        <f t="shared" si="1832"/>
        <v>8611</v>
      </c>
      <c r="E11568" s="2">
        <f t="shared" si="1833"/>
        <v>43739</v>
      </c>
      <c r="F11568" s="2">
        <f t="shared" si="1834"/>
        <v>44227</v>
      </c>
    </row>
    <row r="11569" spans="1:6" x14ac:dyDescent="0.25">
      <c r="A11569" s="1" t="s">
        <v>1385</v>
      </c>
      <c r="B11569" s="1" t="s">
        <v>1384</v>
      </c>
      <c r="C11569" s="1" t="s">
        <v>17</v>
      </c>
      <c r="D11569" s="3">
        <f t="shared" si="1832"/>
        <v>8611</v>
      </c>
      <c r="E11569" s="2">
        <f t="shared" si="1833"/>
        <v>43739</v>
      </c>
      <c r="F11569" s="2">
        <f t="shared" si="1834"/>
        <v>44227</v>
      </c>
    </row>
    <row r="11570" spans="1:6" x14ac:dyDescent="0.25">
      <c r="A11570" s="1" t="s">
        <v>1385</v>
      </c>
      <c r="B11570" s="1" t="s">
        <v>1384</v>
      </c>
      <c r="C11570" s="1" t="s">
        <v>22</v>
      </c>
      <c r="D11570" s="3">
        <f t="shared" si="1832"/>
        <v>8611</v>
      </c>
      <c r="E11570" s="2">
        <f t="shared" si="1833"/>
        <v>43739</v>
      </c>
      <c r="F11570" s="2">
        <f t="shared" si="1834"/>
        <v>44227</v>
      </c>
    </row>
    <row r="11571" spans="1:6" x14ac:dyDescent="0.25">
      <c r="A11571" s="1" t="s">
        <v>1385</v>
      </c>
      <c r="B11571" s="1" t="s">
        <v>1384</v>
      </c>
      <c r="C11571" s="1" t="s">
        <v>146</v>
      </c>
      <c r="D11571" s="3">
        <f t="shared" si="1832"/>
        <v>8611</v>
      </c>
      <c r="E11571" s="2">
        <f t="shared" si="1833"/>
        <v>43739</v>
      </c>
      <c r="F11571" s="2">
        <f t="shared" si="1834"/>
        <v>44227</v>
      </c>
    </row>
    <row r="11572" spans="1:6" x14ac:dyDescent="0.25">
      <c r="A11572" s="1" t="s">
        <v>1385</v>
      </c>
      <c r="B11572" s="1" t="s">
        <v>1384</v>
      </c>
      <c r="C11572" s="1" t="s">
        <v>73</v>
      </c>
      <c r="D11572" s="3">
        <f t="shared" si="1832"/>
        <v>8611</v>
      </c>
      <c r="E11572" s="2">
        <f t="shared" si="1833"/>
        <v>43739</v>
      </c>
      <c r="F11572" s="2">
        <f t="shared" si="1834"/>
        <v>44227</v>
      </c>
    </row>
    <row r="11573" spans="1:6" x14ac:dyDescent="0.25">
      <c r="A11573" s="1" t="s">
        <v>1385</v>
      </c>
      <c r="B11573" s="1" t="s">
        <v>1384</v>
      </c>
      <c r="C11573" s="1" t="s">
        <v>378</v>
      </c>
      <c r="D11573" s="3">
        <f t="shared" si="1832"/>
        <v>8611</v>
      </c>
      <c r="E11573" s="2">
        <f t="shared" si="1833"/>
        <v>43739</v>
      </c>
      <c r="F11573" s="2">
        <f t="shared" si="1834"/>
        <v>44227</v>
      </c>
    </row>
    <row r="11574" spans="1:6" x14ac:dyDescent="0.25">
      <c r="A11574" s="1" t="s">
        <v>1385</v>
      </c>
      <c r="B11574" s="1" t="s">
        <v>1384</v>
      </c>
      <c r="C11574" s="1" t="s">
        <v>34</v>
      </c>
      <c r="D11574" s="3">
        <f t="shared" si="1832"/>
        <v>8611</v>
      </c>
      <c r="E11574" s="2">
        <f t="shared" si="1833"/>
        <v>43739</v>
      </c>
      <c r="F11574" s="2">
        <f t="shared" si="1834"/>
        <v>44227</v>
      </c>
    </row>
    <row r="11575" spans="1:6" x14ac:dyDescent="0.25">
      <c r="A11575" s="1" t="s">
        <v>1385</v>
      </c>
      <c r="B11575" s="1" t="s">
        <v>1384</v>
      </c>
      <c r="C11575" s="1" t="s">
        <v>380</v>
      </c>
      <c r="D11575" s="3">
        <f t="shared" si="1832"/>
        <v>8611</v>
      </c>
      <c r="E11575" s="2">
        <f t="shared" si="1833"/>
        <v>43739</v>
      </c>
      <c r="F11575" s="2">
        <f t="shared" si="1834"/>
        <v>44227</v>
      </c>
    </row>
    <row r="11576" spans="1:6" x14ac:dyDescent="0.25">
      <c r="A11576" s="1" t="s">
        <v>1385</v>
      </c>
      <c r="B11576" s="1" t="s">
        <v>1384</v>
      </c>
      <c r="C11576" s="1" t="s">
        <v>381</v>
      </c>
      <c r="D11576" s="3">
        <f t="shared" si="1832"/>
        <v>8611</v>
      </c>
      <c r="E11576" s="2">
        <f t="shared" si="1833"/>
        <v>43739</v>
      </c>
      <c r="F11576" s="2">
        <f t="shared" si="1834"/>
        <v>44227</v>
      </c>
    </row>
    <row r="11577" spans="1:6" x14ac:dyDescent="0.25">
      <c r="A11577" s="1" t="s">
        <v>1385</v>
      </c>
      <c r="B11577" s="1" t="s">
        <v>1384</v>
      </c>
      <c r="C11577" s="1" t="s">
        <v>170</v>
      </c>
      <c r="D11577" s="3">
        <f t="shared" si="1832"/>
        <v>8611</v>
      </c>
      <c r="E11577" s="2">
        <f t="shared" si="1833"/>
        <v>43739</v>
      </c>
      <c r="F11577" s="2">
        <f t="shared" si="1834"/>
        <v>44227</v>
      </c>
    </row>
    <row r="11578" spans="1:6" x14ac:dyDescent="0.25">
      <c r="A11578" s="1" t="s">
        <v>1385</v>
      </c>
      <c r="B11578" s="1" t="s">
        <v>2096</v>
      </c>
      <c r="C11578" s="1" t="s">
        <v>2098</v>
      </c>
      <c r="D11578" s="3">
        <f t="shared" ref="D11578:D11588" si="1835">VALUE("8545")</f>
        <v>8545</v>
      </c>
      <c r="E11578" s="2">
        <f t="shared" ref="E11578:E11588" si="1836">DATEVALUE("1-6-2019")</f>
        <v>43617</v>
      </c>
      <c r="F11578" s="2">
        <f t="shared" ref="F11578:F11588" si="1837">DATEVALUE("31-12-2019")</f>
        <v>43830</v>
      </c>
    </row>
    <row r="11579" spans="1:6" x14ac:dyDescent="0.25">
      <c r="A11579" s="1" t="s">
        <v>1385</v>
      </c>
      <c r="B11579" s="1" t="s">
        <v>2096</v>
      </c>
      <c r="C11579" s="1" t="s">
        <v>2097</v>
      </c>
      <c r="D11579" s="3">
        <f t="shared" si="1835"/>
        <v>8545</v>
      </c>
      <c r="E11579" s="2">
        <f t="shared" si="1836"/>
        <v>43617</v>
      </c>
      <c r="F11579" s="2">
        <f t="shared" si="1837"/>
        <v>43830</v>
      </c>
    </row>
    <row r="11580" spans="1:6" x14ac:dyDescent="0.25">
      <c r="A11580" s="1" t="s">
        <v>1385</v>
      </c>
      <c r="B11580" s="1" t="s">
        <v>2096</v>
      </c>
      <c r="C11580" s="1" t="s">
        <v>7</v>
      </c>
      <c r="D11580" s="3">
        <f t="shared" si="1835"/>
        <v>8545</v>
      </c>
      <c r="E11580" s="2">
        <f t="shared" si="1836"/>
        <v>43617</v>
      </c>
      <c r="F11580" s="2">
        <f t="shared" si="1837"/>
        <v>43830</v>
      </c>
    </row>
    <row r="11581" spans="1:6" x14ac:dyDescent="0.25">
      <c r="A11581" s="1" t="s">
        <v>1385</v>
      </c>
      <c r="B11581" s="1" t="s">
        <v>2096</v>
      </c>
      <c r="C11581" s="1" t="s">
        <v>219</v>
      </c>
      <c r="D11581" s="3">
        <f t="shared" si="1835"/>
        <v>8545</v>
      </c>
      <c r="E11581" s="2">
        <f t="shared" si="1836"/>
        <v>43617</v>
      </c>
      <c r="F11581" s="2">
        <f t="shared" si="1837"/>
        <v>43830</v>
      </c>
    </row>
    <row r="11582" spans="1:6" x14ac:dyDescent="0.25">
      <c r="A11582" s="1" t="s">
        <v>1385</v>
      </c>
      <c r="B11582" s="1" t="s">
        <v>2096</v>
      </c>
      <c r="C11582" s="1" t="s">
        <v>599</v>
      </c>
      <c r="D11582" s="3">
        <f t="shared" si="1835"/>
        <v>8545</v>
      </c>
      <c r="E11582" s="2">
        <f t="shared" si="1836"/>
        <v>43617</v>
      </c>
      <c r="F11582" s="2">
        <f t="shared" si="1837"/>
        <v>43830</v>
      </c>
    </row>
    <row r="11583" spans="1:6" x14ac:dyDescent="0.25">
      <c r="A11583" s="1" t="s">
        <v>1385</v>
      </c>
      <c r="B11583" s="1" t="s">
        <v>2096</v>
      </c>
      <c r="C11583" s="1" t="s">
        <v>222</v>
      </c>
      <c r="D11583" s="3">
        <f t="shared" si="1835"/>
        <v>8545</v>
      </c>
      <c r="E11583" s="2">
        <f t="shared" si="1836"/>
        <v>43617</v>
      </c>
      <c r="F11583" s="2">
        <f t="shared" si="1837"/>
        <v>43830</v>
      </c>
    </row>
    <row r="11584" spans="1:6" x14ac:dyDescent="0.25">
      <c r="A11584" s="1" t="s">
        <v>1385</v>
      </c>
      <c r="B11584" s="1" t="s">
        <v>2096</v>
      </c>
      <c r="C11584" s="1" t="s">
        <v>28</v>
      </c>
      <c r="D11584" s="3">
        <f t="shared" si="1835"/>
        <v>8545</v>
      </c>
      <c r="E11584" s="2">
        <f t="shared" si="1836"/>
        <v>43617</v>
      </c>
      <c r="F11584" s="2">
        <f t="shared" si="1837"/>
        <v>43830</v>
      </c>
    </row>
    <row r="11585" spans="1:6" x14ac:dyDescent="0.25">
      <c r="A11585" s="1" t="s">
        <v>1385</v>
      </c>
      <c r="B11585" s="1" t="s">
        <v>2096</v>
      </c>
      <c r="C11585" s="1" t="s">
        <v>234</v>
      </c>
      <c r="D11585" s="3">
        <f t="shared" si="1835"/>
        <v>8545</v>
      </c>
      <c r="E11585" s="2">
        <f t="shared" si="1836"/>
        <v>43617</v>
      </c>
      <c r="F11585" s="2">
        <f t="shared" si="1837"/>
        <v>43830</v>
      </c>
    </row>
    <row r="11586" spans="1:6" x14ac:dyDescent="0.25">
      <c r="A11586" s="1" t="s">
        <v>1385</v>
      </c>
      <c r="B11586" s="1" t="s">
        <v>2096</v>
      </c>
      <c r="C11586" s="1" t="s">
        <v>30</v>
      </c>
      <c r="D11586" s="3">
        <f t="shared" si="1835"/>
        <v>8545</v>
      </c>
      <c r="E11586" s="2">
        <f t="shared" si="1836"/>
        <v>43617</v>
      </c>
      <c r="F11586" s="2">
        <f t="shared" si="1837"/>
        <v>43830</v>
      </c>
    </row>
    <row r="11587" spans="1:6" x14ac:dyDescent="0.25">
      <c r="A11587" s="1" t="s">
        <v>1385</v>
      </c>
      <c r="B11587" s="1" t="s">
        <v>2096</v>
      </c>
      <c r="C11587" s="1" t="s">
        <v>238</v>
      </c>
      <c r="D11587" s="3">
        <f t="shared" si="1835"/>
        <v>8545</v>
      </c>
      <c r="E11587" s="2">
        <f t="shared" si="1836"/>
        <v>43617</v>
      </c>
      <c r="F11587" s="2">
        <f t="shared" si="1837"/>
        <v>43830</v>
      </c>
    </row>
    <row r="11588" spans="1:6" x14ac:dyDescent="0.25">
      <c r="A11588" s="1" t="s">
        <v>1385</v>
      </c>
      <c r="B11588" s="1" t="s">
        <v>2096</v>
      </c>
      <c r="C11588" s="1" t="s">
        <v>240</v>
      </c>
      <c r="D11588" s="3">
        <f t="shared" si="1835"/>
        <v>8545</v>
      </c>
      <c r="E11588" s="2">
        <f t="shared" si="1836"/>
        <v>43617</v>
      </c>
      <c r="F11588" s="2">
        <f t="shared" si="1837"/>
        <v>43830</v>
      </c>
    </row>
    <row r="11589" spans="1:6" x14ac:dyDescent="0.25">
      <c r="A11589" s="1" t="s">
        <v>1385</v>
      </c>
      <c r="B11589" s="1" t="s">
        <v>2084</v>
      </c>
      <c r="C11589" s="1" t="s">
        <v>45</v>
      </c>
      <c r="D11589" s="3">
        <f>VALUE("8395")</f>
        <v>8395</v>
      </c>
      <c r="E11589" s="2">
        <f>DATEVALUE("1-11-2018")</f>
        <v>43405</v>
      </c>
      <c r="F11589" s="2">
        <f>DATEVALUE("31-3-2019")</f>
        <v>43555</v>
      </c>
    </row>
    <row r="11590" spans="1:6" x14ac:dyDescent="0.25">
      <c r="A11590" s="1" t="s">
        <v>1385</v>
      </c>
      <c r="B11590" s="1" t="s">
        <v>2084</v>
      </c>
      <c r="C11590" s="1" t="s">
        <v>44</v>
      </c>
      <c r="D11590" s="3">
        <f>VALUE("8395")</f>
        <v>8395</v>
      </c>
      <c r="E11590" s="2">
        <f>DATEVALUE("1-11-2018")</f>
        <v>43405</v>
      </c>
      <c r="F11590" s="2">
        <f>DATEVALUE("31-3-2019")</f>
        <v>43555</v>
      </c>
    </row>
    <row r="11591" spans="1:6" x14ac:dyDescent="0.25">
      <c r="A11591" s="1" t="s">
        <v>1385</v>
      </c>
      <c r="B11591" s="1" t="s">
        <v>2076</v>
      </c>
      <c r="C11591" s="1" t="s">
        <v>6</v>
      </c>
      <c r="D11591" s="3">
        <f>VALUE("8310")</f>
        <v>8310</v>
      </c>
      <c r="E11591" s="2">
        <f>DATEVALUE("1-6-2018")</f>
        <v>43252</v>
      </c>
      <c r="F11591" s="2">
        <f>DATEVALUE("31-7-2018")</f>
        <v>43312</v>
      </c>
    </row>
    <row r="11592" spans="1:6" x14ac:dyDescent="0.25">
      <c r="A11592" s="1" t="s">
        <v>1385</v>
      </c>
      <c r="B11592" s="1" t="s">
        <v>2076</v>
      </c>
      <c r="C11592" s="1" t="s">
        <v>72</v>
      </c>
      <c r="D11592" s="3">
        <f>VALUE("8310")</f>
        <v>8310</v>
      </c>
      <c r="E11592" s="2">
        <f>DATEVALUE("1-6-2018")</f>
        <v>43252</v>
      </c>
      <c r="F11592" s="2">
        <f>DATEVALUE("31-7-2018")</f>
        <v>43312</v>
      </c>
    </row>
    <row r="11593" spans="1:6" x14ac:dyDescent="0.25">
      <c r="A11593" s="1" t="s">
        <v>1385</v>
      </c>
      <c r="B11593" s="1" t="s">
        <v>2076</v>
      </c>
      <c r="C11593" s="1" t="s">
        <v>52</v>
      </c>
      <c r="D11593" s="3">
        <f>VALUE("8310")</f>
        <v>8310</v>
      </c>
      <c r="E11593" s="2">
        <f>DATEVALUE("1-6-2018")</f>
        <v>43252</v>
      </c>
      <c r="F11593" s="2">
        <f>DATEVALUE("31-7-2018")</f>
        <v>43312</v>
      </c>
    </row>
    <row r="11594" spans="1:6" x14ac:dyDescent="0.25">
      <c r="A11594" s="1" t="s">
        <v>1385</v>
      </c>
      <c r="B11594" s="1" t="s">
        <v>2347</v>
      </c>
      <c r="C11594" s="1" t="s">
        <v>15</v>
      </c>
      <c r="D11594" s="3">
        <f t="shared" ref="D11594:D11602" si="1838">VALUE("8215")</f>
        <v>8215</v>
      </c>
      <c r="E11594" s="2">
        <f t="shared" ref="E11594:E11602" si="1839">DATEVALUE("1-1-2018")</f>
        <v>43101</v>
      </c>
      <c r="F11594" s="2">
        <f t="shared" ref="F11594:F11602" si="1840">DATEVALUE("30-11-2018")</f>
        <v>43434</v>
      </c>
    </row>
    <row r="11595" spans="1:6" x14ac:dyDescent="0.25">
      <c r="A11595" s="1" t="s">
        <v>1385</v>
      </c>
      <c r="B11595" s="1" t="s">
        <v>2347</v>
      </c>
      <c r="C11595" s="1" t="s">
        <v>17</v>
      </c>
      <c r="D11595" s="3">
        <f t="shared" si="1838"/>
        <v>8215</v>
      </c>
      <c r="E11595" s="2">
        <f t="shared" si="1839"/>
        <v>43101</v>
      </c>
      <c r="F11595" s="2">
        <f t="shared" si="1840"/>
        <v>43434</v>
      </c>
    </row>
    <row r="11596" spans="1:6" x14ac:dyDescent="0.25">
      <c r="A11596" s="1" t="s">
        <v>1385</v>
      </c>
      <c r="B11596" s="1" t="s">
        <v>2347</v>
      </c>
      <c r="C11596" s="1" t="s">
        <v>417</v>
      </c>
      <c r="D11596" s="3">
        <f t="shared" si="1838"/>
        <v>8215</v>
      </c>
      <c r="E11596" s="2">
        <f t="shared" si="1839"/>
        <v>43101</v>
      </c>
      <c r="F11596" s="2">
        <f t="shared" si="1840"/>
        <v>43434</v>
      </c>
    </row>
    <row r="11597" spans="1:6" x14ac:dyDescent="0.25">
      <c r="A11597" s="1" t="s">
        <v>1385</v>
      </c>
      <c r="B11597" s="1" t="s">
        <v>2347</v>
      </c>
      <c r="C11597" s="1" t="s">
        <v>67</v>
      </c>
      <c r="D11597" s="3">
        <f t="shared" si="1838"/>
        <v>8215</v>
      </c>
      <c r="E11597" s="2">
        <f t="shared" si="1839"/>
        <v>43101</v>
      </c>
      <c r="F11597" s="2">
        <f t="shared" si="1840"/>
        <v>43434</v>
      </c>
    </row>
    <row r="11598" spans="1:6" x14ac:dyDescent="0.25">
      <c r="A11598" s="1" t="s">
        <v>1385</v>
      </c>
      <c r="B11598" s="1" t="s">
        <v>2347</v>
      </c>
      <c r="C11598" s="1" t="s">
        <v>259</v>
      </c>
      <c r="D11598" s="3">
        <f t="shared" si="1838"/>
        <v>8215</v>
      </c>
      <c r="E11598" s="2">
        <f t="shared" si="1839"/>
        <v>43101</v>
      </c>
      <c r="F11598" s="2">
        <f t="shared" si="1840"/>
        <v>43434</v>
      </c>
    </row>
    <row r="11599" spans="1:6" x14ac:dyDescent="0.25">
      <c r="A11599" s="1" t="s">
        <v>1385</v>
      </c>
      <c r="B11599" s="1" t="s">
        <v>2347</v>
      </c>
      <c r="C11599" s="1" t="s">
        <v>149</v>
      </c>
      <c r="D11599" s="3">
        <f t="shared" si="1838"/>
        <v>8215</v>
      </c>
      <c r="E11599" s="2">
        <f t="shared" si="1839"/>
        <v>43101</v>
      </c>
      <c r="F11599" s="2">
        <f t="shared" si="1840"/>
        <v>43434</v>
      </c>
    </row>
    <row r="11600" spans="1:6" x14ac:dyDescent="0.25">
      <c r="A11600" s="1" t="s">
        <v>1385</v>
      </c>
      <c r="B11600" s="1" t="s">
        <v>2347</v>
      </c>
      <c r="C11600" s="1" t="s">
        <v>260</v>
      </c>
      <c r="D11600" s="3">
        <f t="shared" si="1838"/>
        <v>8215</v>
      </c>
      <c r="E11600" s="2">
        <f t="shared" si="1839"/>
        <v>43101</v>
      </c>
      <c r="F11600" s="2">
        <f t="shared" si="1840"/>
        <v>43434</v>
      </c>
    </row>
    <row r="11601" spans="1:6" x14ac:dyDescent="0.25">
      <c r="A11601" s="1" t="s">
        <v>1385</v>
      </c>
      <c r="B11601" s="1" t="s">
        <v>2347</v>
      </c>
      <c r="C11601" s="1" t="s">
        <v>261</v>
      </c>
      <c r="D11601" s="3">
        <f t="shared" si="1838"/>
        <v>8215</v>
      </c>
      <c r="E11601" s="2">
        <f t="shared" si="1839"/>
        <v>43101</v>
      </c>
      <c r="F11601" s="2">
        <f t="shared" si="1840"/>
        <v>43434</v>
      </c>
    </row>
    <row r="11602" spans="1:6" x14ac:dyDescent="0.25">
      <c r="A11602" s="1" t="s">
        <v>1385</v>
      </c>
      <c r="B11602" s="1" t="s">
        <v>2347</v>
      </c>
      <c r="C11602" s="1" t="s">
        <v>73</v>
      </c>
      <c r="D11602" s="3">
        <f t="shared" si="1838"/>
        <v>8215</v>
      </c>
      <c r="E11602" s="2">
        <f t="shared" si="1839"/>
        <v>43101</v>
      </c>
      <c r="F11602" s="2">
        <f t="shared" si="1840"/>
        <v>43434</v>
      </c>
    </row>
    <row r="11603" spans="1:6" x14ac:dyDescent="0.25">
      <c r="A11603" s="1" t="s">
        <v>1385</v>
      </c>
      <c r="B11603" s="1" t="s">
        <v>911</v>
      </c>
      <c r="C11603" s="1" t="s">
        <v>7</v>
      </c>
      <c r="D11603" s="3">
        <f t="shared" ref="D11603:D11620" si="1841">VALUE("8123")</f>
        <v>8123</v>
      </c>
      <c r="E11603" s="2">
        <f t="shared" ref="E11603:E11620" si="1842">DATEVALUE("1-7-2017")</f>
        <v>42917</v>
      </c>
      <c r="F11603" s="2">
        <f t="shared" ref="F11603:F11620" si="1843">DATEVALUE("31-12-2017")</f>
        <v>43100</v>
      </c>
    </row>
    <row r="11604" spans="1:6" x14ac:dyDescent="0.25">
      <c r="A11604" s="1" t="s">
        <v>1385</v>
      </c>
      <c r="B11604" s="1" t="s">
        <v>911</v>
      </c>
      <c r="C11604" s="1" t="s">
        <v>39</v>
      </c>
      <c r="D11604" s="3">
        <f t="shared" si="1841"/>
        <v>8123</v>
      </c>
      <c r="E11604" s="2">
        <f t="shared" si="1842"/>
        <v>42917</v>
      </c>
      <c r="F11604" s="2">
        <f t="shared" si="1843"/>
        <v>43100</v>
      </c>
    </row>
    <row r="11605" spans="1:6" x14ac:dyDescent="0.25">
      <c r="A11605" s="1" t="s">
        <v>1385</v>
      </c>
      <c r="B11605" s="1" t="s">
        <v>911</v>
      </c>
      <c r="C11605" s="1" t="s">
        <v>484</v>
      </c>
      <c r="D11605" s="3">
        <f t="shared" si="1841"/>
        <v>8123</v>
      </c>
      <c r="E11605" s="2">
        <f t="shared" si="1842"/>
        <v>42917</v>
      </c>
      <c r="F11605" s="2">
        <f t="shared" si="1843"/>
        <v>43100</v>
      </c>
    </row>
    <row r="11606" spans="1:6" x14ac:dyDescent="0.25">
      <c r="A11606" s="1" t="s">
        <v>1385</v>
      </c>
      <c r="B11606" s="1" t="s">
        <v>911</v>
      </c>
      <c r="C11606" s="1" t="s">
        <v>346</v>
      </c>
      <c r="D11606" s="3">
        <f t="shared" si="1841"/>
        <v>8123</v>
      </c>
      <c r="E11606" s="2">
        <f t="shared" si="1842"/>
        <v>42917</v>
      </c>
      <c r="F11606" s="2">
        <f t="shared" si="1843"/>
        <v>43100</v>
      </c>
    </row>
    <row r="11607" spans="1:6" x14ac:dyDescent="0.25">
      <c r="A11607" s="1" t="s">
        <v>1385</v>
      </c>
      <c r="B11607" s="1" t="s">
        <v>911</v>
      </c>
      <c r="C11607" s="1" t="s">
        <v>14</v>
      </c>
      <c r="D11607" s="3">
        <f t="shared" si="1841"/>
        <v>8123</v>
      </c>
      <c r="E11607" s="2">
        <f t="shared" si="1842"/>
        <v>42917</v>
      </c>
      <c r="F11607" s="2">
        <f t="shared" si="1843"/>
        <v>43100</v>
      </c>
    </row>
    <row r="11608" spans="1:6" x14ac:dyDescent="0.25">
      <c r="A11608" s="1" t="s">
        <v>1385</v>
      </c>
      <c r="B11608" s="1" t="s">
        <v>911</v>
      </c>
      <c r="C11608" s="1" t="s">
        <v>15</v>
      </c>
      <c r="D11608" s="3">
        <f t="shared" si="1841"/>
        <v>8123</v>
      </c>
      <c r="E11608" s="2">
        <f t="shared" si="1842"/>
        <v>42917</v>
      </c>
      <c r="F11608" s="2">
        <f t="shared" si="1843"/>
        <v>43100</v>
      </c>
    </row>
    <row r="11609" spans="1:6" x14ac:dyDescent="0.25">
      <c r="A11609" s="1" t="s">
        <v>1385</v>
      </c>
      <c r="B11609" s="1" t="s">
        <v>911</v>
      </c>
      <c r="C11609" s="1" t="s">
        <v>17</v>
      </c>
      <c r="D11609" s="3">
        <f t="shared" si="1841"/>
        <v>8123</v>
      </c>
      <c r="E11609" s="2">
        <f t="shared" si="1842"/>
        <v>42917</v>
      </c>
      <c r="F11609" s="2">
        <f t="shared" si="1843"/>
        <v>43100</v>
      </c>
    </row>
    <row r="11610" spans="1:6" x14ac:dyDescent="0.25">
      <c r="A11610" s="1" t="s">
        <v>1385</v>
      </c>
      <c r="B11610" s="1" t="s">
        <v>911</v>
      </c>
      <c r="C11610" s="1" t="s">
        <v>417</v>
      </c>
      <c r="D11610" s="3">
        <f t="shared" si="1841"/>
        <v>8123</v>
      </c>
      <c r="E11610" s="2">
        <f t="shared" si="1842"/>
        <v>42917</v>
      </c>
      <c r="F11610" s="2">
        <f t="shared" si="1843"/>
        <v>43100</v>
      </c>
    </row>
    <row r="11611" spans="1:6" x14ac:dyDescent="0.25">
      <c r="A11611" s="1" t="s">
        <v>1385</v>
      </c>
      <c r="B11611" s="1" t="s">
        <v>911</v>
      </c>
      <c r="C11611" s="1" t="s">
        <v>384</v>
      </c>
      <c r="D11611" s="3">
        <f t="shared" si="1841"/>
        <v>8123</v>
      </c>
      <c r="E11611" s="2">
        <f t="shared" si="1842"/>
        <v>42917</v>
      </c>
      <c r="F11611" s="2">
        <f t="shared" si="1843"/>
        <v>43100</v>
      </c>
    </row>
    <row r="11612" spans="1:6" x14ac:dyDescent="0.25">
      <c r="A11612" s="1" t="s">
        <v>1385</v>
      </c>
      <c r="B11612" s="1" t="s">
        <v>911</v>
      </c>
      <c r="C11612" s="1" t="s">
        <v>147</v>
      </c>
      <c r="D11612" s="3">
        <f t="shared" si="1841"/>
        <v>8123</v>
      </c>
      <c r="E11612" s="2">
        <f t="shared" si="1842"/>
        <v>42917</v>
      </c>
      <c r="F11612" s="2">
        <f t="shared" si="1843"/>
        <v>43100</v>
      </c>
    </row>
    <row r="11613" spans="1:6" x14ac:dyDescent="0.25">
      <c r="A11613" s="1" t="s">
        <v>1385</v>
      </c>
      <c r="B11613" s="1" t="s">
        <v>911</v>
      </c>
      <c r="C11613" s="1" t="s">
        <v>24</v>
      </c>
      <c r="D11613" s="3">
        <f t="shared" si="1841"/>
        <v>8123</v>
      </c>
      <c r="E11613" s="2">
        <f t="shared" si="1842"/>
        <v>42917</v>
      </c>
      <c r="F11613" s="2">
        <f t="shared" si="1843"/>
        <v>43100</v>
      </c>
    </row>
    <row r="11614" spans="1:6" x14ac:dyDescent="0.25">
      <c r="A11614" s="1" t="s">
        <v>1385</v>
      </c>
      <c r="B11614" s="1" t="s">
        <v>911</v>
      </c>
      <c r="C11614" s="1" t="s">
        <v>70</v>
      </c>
      <c r="D11614" s="3">
        <f t="shared" si="1841"/>
        <v>8123</v>
      </c>
      <c r="E11614" s="2">
        <f t="shared" si="1842"/>
        <v>42917</v>
      </c>
      <c r="F11614" s="2">
        <f t="shared" si="1843"/>
        <v>43100</v>
      </c>
    </row>
    <row r="11615" spans="1:6" x14ac:dyDescent="0.25">
      <c r="A11615" s="1" t="s">
        <v>1385</v>
      </c>
      <c r="B11615" s="1" t="s">
        <v>911</v>
      </c>
      <c r="C11615" s="1" t="s">
        <v>72</v>
      </c>
      <c r="D11615" s="3">
        <f t="shared" si="1841"/>
        <v>8123</v>
      </c>
      <c r="E11615" s="2">
        <f t="shared" si="1842"/>
        <v>42917</v>
      </c>
      <c r="F11615" s="2">
        <f t="shared" si="1843"/>
        <v>43100</v>
      </c>
    </row>
    <row r="11616" spans="1:6" x14ac:dyDescent="0.25">
      <c r="A11616" s="1" t="s">
        <v>1385</v>
      </c>
      <c r="B11616" s="1" t="s">
        <v>911</v>
      </c>
      <c r="C11616" s="1" t="s">
        <v>52</v>
      </c>
      <c r="D11616" s="3">
        <f t="shared" si="1841"/>
        <v>8123</v>
      </c>
      <c r="E11616" s="2">
        <f t="shared" si="1842"/>
        <v>42917</v>
      </c>
      <c r="F11616" s="2">
        <f t="shared" si="1843"/>
        <v>43100</v>
      </c>
    </row>
    <row r="11617" spans="1:6" x14ac:dyDescent="0.25">
      <c r="A11617" s="1" t="s">
        <v>1385</v>
      </c>
      <c r="B11617" s="1" t="s">
        <v>911</v>
      </c>
      <c r="C11617" s="1" t="s">
        <v>34</v>
      </c>
      <c r="D11617" s="3">
        <f t="shared" si="1841"/>
        <v>8123</v>
      </c>
      <c r="E11617" s="2">
        <f t="shared" si="1842"/>
        <v>42917</v>
      </c>
      <c r="F11617" s="2">
        <f t="shared" si="1843"/>
        <v>43100</v>
      </c>
    </row>
    <row r="11618" spans="1:6" x14ac:dyDescent="0.25">
      <c r="A11618" s="1" t="s">
        <v>1385</v>
      </c>
      <c r="B11618" s="1" t="s">
        <v>911</v>
      </c>
      <c r="C11618" s="1" t="s">
        <v>56</v>
      </c>
      <c r="D11618" s="3">
        <f t="shared" si="1841"/>
        <v>8123</v>
      </c>
      <c r="E11618" s="2">
        <f t="shared" si="1842"/>
        <v>42917</v>
      </c>
      <c r="F11618" s="2">
        <f t="shared" si="1843"/>
        <v>43100</v>
      </c>
    </row>
    <row r="11619" spans="1:6" x14ac:dyDescent="0.25">
      <c r="A11619" s="1" t="s">
        <v>1385</v>
      </c>
      <c r="B11619" s="1" t="s">
        <v>911</v>
      </c>
      <c r="C11619" s="1" t="s">
        <v>173</v>
      </c>
      <c r="D11619" s="3">
        <f t="shared" si="1841"/>
        <v>8123</v>
      </c>
      <c r="E11619" s="2">
        <f t="shared" si="1842"/>
        <v>42917</v>
      </c>
      <c r="F11619" s="2">
        <f t="shared" si="1843"/>
        <v>43100</v>
      </c>
    </row>
    <row r="11620" spans="1:6" x14ac:dyDescent="0.25">
      <c r="A11620" s="1" t="s">
        <v>1385</v>
      </c>
      <c r="B11620" s="1" t="s">
        <v>911</v>
      </c>
      <c r="C11620" s="1" t="s">
        <v>36</v>
      </c>
      <c r="D11620" s="3">
        <f t="shared" si="1841"/>
        <v>8123</v>
      </c>
      <c r="E11620" s="2">
        <f t="shared" si="1842"/>
        <v>42917</v>
      </c>
      <c r="F11620" s="2">
        <f t="shared" si="1843"/>
        <v>43100</v>
      </c>
    </row>
    <row r="11621" spans="1:6" x14ac:dyDescent="0.25">
      <c r="A11621" s="1" t="s">
        <v>1385</v>
      </c>
      <c r="B11621" s="1" t="s">
        <v>2268</v>
      </c>
      <c r="C11621" s="1" t="s">
        <v>52</v>
      </c>
      <c r="D11621" s="3">
        <f>VALUE("8027")</f>
        <v>8027</v>
      </c>
      <c r="E11621" s="2">
        <f t="shared" ref="E11621:E11638" si="1844">DATEVALUE("1-1-2017")</f>
        <v>42736</v>
      </c>
      <c r="F11621" s="2">
        <f>DATEVALUE("30-4-2017")</f>
        <v>42855</v>
      </c>
    </row>
    <row r="11622" spans="1:6" x14ac:dyDescent="0.25">
      <c r="A11622" s="1" t="s">
        <v>1385</v>
      </c>
      <c r="B11622" s="1" t="s">
        <v>2270</v>
      </c>
      <c r="C11622" s="1" t="s">
        <v>40</v>
      </c>
      <c r="D11622" s="3">
        <f t="shared" ref="D11622:D11638" si="1845">VALUE("8034")</f>
        <v>8034</v>
      </c>
      <c r="E11622" s="2">
        <f t="shared" si="1844"/>
        <v>42736</v>
      </c>
      <c r="F11622" s="2">
        <f t="shared" ref="F11622:F11638" si="1846">DATEVALUE("31-3-2017")</f>
        <v>42825</v>
      </c>
    </row>
    <row r="11623" spans="1:6" x14ac:dyDescent="0.25">
      <c r="A11623" s="1" t="s">
        <v>1385</v>
      </c>
      <c r="B11623" s="1" t="s">
        <v>2270</v>
      </c>
      <c r="C11623" s="1" t="s">
        <v>41</v>
      </c>
      <c r="D11623" s="3">
        <f t="shared" si="1845"/>
        <v>8034</v>
      </c>
      <c r="E11623" s="2">
        <f t="shared" si="1844"/>
        <v>42736</v>
      </c>
      <c r="F11623" s="2">
        <f t="shared" si="1846"/>
        <v>42825</v>
      </c>
    </row>
    <row r="11624" spans="1:6" x14ac:dyDescent="0.25">
      <c r="A11624" s="1" t="s">
        <v>1385</v>
      </c>
      <c r="B11624" s="1" t="s">
        <v>2270</v>
      </c>
      <c r="C11624" s="1" t="s">
        <v>203</v>
      </c>
      <c r="D11624" s="3">
        <f t="shared" si="1845"/>
        <v>8034</v>
      </c>
      <c r="E11624" s="2">
        <f t="shared" si="1844"/>
        <v>42736</v>
      </c>
      <c r="F11624" s="2">
        <f t="shared" si="1846"/>
        <v>42825</v>
      </c>
    </row>
    <row r="11625" spans="1:6" x14ac:dyDescent="0.25">
      <c r="A11625" s="1" t="s">
        <v>1385</v>
      </c>
      <c r="B11625" s="1" t="s">
        <v>2270</v>
      </c>
      <c r="C11625" s="1" t="s">
        <v>438</v>
      </c>
      <c r="D11625" s="3">
        <f t="shared" si="1845"/>
        <v>8034</v>
      </c>
      <c r="E11625" s="2">
        <f t="shared" si="1844"/>
        <v>42736</v>
      </c>
      <c r="F11625" s="2">
        <f t="shared" si="1846"/>
        <v>42825</v>
      </c>
    </row>
    <row r="11626" spans="1:6" x14ac:dyDescent="0.25">
      <c r="A11626" s="1" t="s">
        <v>1385</v>
      </c>
      <c r="B11626" s="1" t="s">
        <v>2270</v>
      </c>
      <c r="C11626" s="1" t="s">
        <v>484</v>
      </c>
      <c r="D11626" s="3">
        <f t="shared" si="1845"/>
        <v>8034</v>
      </c>
      <c r="E11626" s="2">
        <f t="shared" si="1844"/>
        <v>42736</v>
      </c>
      <c r="F11626" s="2">
        <f t="shared" si="1846"/>
        <v>42825</v>
      </c>
    </row>
    <row r="11627" spans="1:6" x14ac:dyDescent="0.25">
      <c r="A11627" s="1" t="s">
        <v>1385</v>
      </c>
      <c r="B11627" s="1" t="s">
        <v>2270</v>
      </c>
      <c r="C11627" s="1" t="s">
        <v>346</v>
      </c>
      <c r="D11627" s="3">
        <f t="shared" si="1845"/>
        <v>8034</v>
      </c>
      <c r="E11627" s="2">
        <f t="shared" si="1844"/>
        <v>42736</v>
      </c>
      <c r="F11627" s="2">
        <f t="shared" si="1846"/>
        <v>42825</v>
      </c>
    </row>
    <row r="11628" spans="1:6" x14ac:dyDescent="0.25">
      <c r="A11628" s="1" t="s">
        <v>1385</v>
      </c>
      <c r="B11628" s="1" t="s">
        <v>2270</v>
      </c>
      <c r="C11628" s="1" t="s">
        <v>45</v>
      </c>
      <c r="D11628" s="3">
        <f t="shared" si="1845"/>
        <v>8034</v>
      </c>
      <c r="E11628" s="2">
        <f t="shared" si="1844"/>
        <v>42736</v>
      </c>
      <c r="F11628" s="2">
        <f t="shared" si="1846"/>
        <v>42825</v>
      </c>
    </row>
    <row r="11629" spans="1:6" x14ac:dyDescent="0.25">
      <c r="A11629" s="1" t="s">
        <v>1385</v>
      </c>
      <c r="B11629" s="1" t="s">
        <v>2270</v>
      </c>
      <c r="C11629" s="1" t="s">
        <v>14</v>
      </c>
      <c r="D11629" s="3">
        <f t="shared" si="1845"/>
        <v>8034</v>
      </c>
      <c r="E11629" s="2">
        <f t="shared" si="1844"/>
        <v>42736</v>
      </c>
      <c r="F11629" s="2">
        <f t="shared" si="1846"/>
        <v>42825</v>
      </c>
    </row>
    <row r="11630" spans="1:6" x14ac:dyDescent="0.25">
      <c r="A11630" s="1" t="s">
        <v>1385</v>
      </c>
      <c r="B11630" s="1" t="s">
        <v>2270</v>
      </c>
      <c r="C11630" s="1" t="s">
        <v>17</v>
      </c>
      <c r="D11630" s="3">
        <f t="shared" si="1845"/>
        <v>8034</v>
      </c>
      <c r="E11630" s="2">
        <f t="shared" si="1844"/>
        <v>42736</v>
      </c>
      <c r="F11630" s="2">
        <f t="shared" si="1846"/>
        <v>42825</v>
      </c>
    </row>
    <row r="11631" spans="1:6" x14ac:dyDescent="0.25">
      <c r="A11631" s="1" t="s">
        <v>1385</v>
      </c>
      <c r="B11631" s="1" t="s">
        <v>2270</v>
      </c>
      <c r="C11631" s="1" t="s">
        <v>22</v>
      </c>
      <c r="D11631" s="3">
        <f t="shared" si="1845"/>
        <v>8034</v>
      </c>
      <c r="E11631" s="2">
        <f t="shared" si="1844"/>
        <v>42736</v>
      </c>
      <c r="F11631" s="2">
        <f t="shared" si="1846"/>
        <v>42825</v>
      </c>
    </row>
    <row r="11632" spans="1:6" x14ac:dyDescent="0.25">
      <c r="A11632" s="1" t="s">
        <v>1385</v>
      </c>
      <c r="B11632" s="1" t="s">
        <v>2270</v>
      </c>
      <c r="C11632" s="1" t="s">
        <v>150</v>
      </c>
      <c r="D11632" s="3">
        <f t="shared" si="1845"/>
        <v>8034</v>
      </c>
      <c r="E11632" s="2">
        <f t="shared" si="1844"/>
        <v>42736</v>
      </c>
      <c r="F11632" s="2">
        <f t="shared" si="1846"/>
        <v>42825</v>
      </c>
    </row>
    <row r="11633" spans="1:6" x14ac:dyDescent="0.25">
      <c r="A11633" s="1" t="s">
        <v>1385</v>
      </c>
      <c r="B11633" s="1" t="s">
        <v>2270</v>
      </c>
      <c r="C11633" s="1" t="s">
        <v>72</v>
      </c>
      <c r="D11633" s="3">
        <f t="shared" si="1845"/>
        <v>8034</v>
      </c>
      <c r="E11633" s="2">
        <f t="shared" si="1844"/>
        <v>42736</v>
      </c>
      <c r="F11633" s="2">
        <f t="shared" si="1846"/>
        <v>42825</v>
      </c>
    </row>
    <row r="11634" spans="1:6" x14ac:dyDescent="0.25">
      <c r="A11634" s="1" t="s">
        <v>1385</v>
      </c>
      <c r="B11634" s="1" t="s">
        <v>2270</v>
      </c>
      <c r="C11634" s="1" t="s">
        <v>52</v>
      </c>
      <c r="D11634" s="3">
        <f t="shared" si="1845"/>
        <v>8034</v>
      </c>
      <c r="E11634" s="2">
        <f t="shared" si="1844"/>
        <v>42736</v>
      </c>
      <c r="F11634" s="2">
        <f t="shared" si="1846"/>
        <v>42825</v>
      </c>
    </row>
    <row r="11635" spans="1:6" x14ac:dyDescent="0.25">
      <c r="A11635" s="1" t="s">
        <v>1385</v>
      </c>
      <c r="B11635" s="1" t="s">
        <v>2270</v>
      </c>
      <c r="C11635" s="1" t="s">
        <v>497</v>
      </c>
      <c r="D11635" s="3">
        <f t="shared" si="1845"/>
        <v>8034</v>
      </c>
      <c r="E11635" s="2">
        <f t="shared" si="1844"/>
        <v>42736</v>
      </c>
      <c r="F11635" s="2">
        <f t="shared" si="1846"/>
        <v>42825</v>
      </c>
    </row>
    <row r="11636" spans="1:6" x14ac:dyDescent="0.25">
      <c r="A11636" s="1" t="s">
        <v>1385</v>
      </c>
      <c r="B11636" s="1" t="s">
        <v>2270</v>
      </c>
      <c r="C11636" s="1" t="s">
        <v>56</v>
      </c>
      <c r="D11636" s="3">
        <f t="shared" si="1845"/>
        <v>8034</v>
      </c>
      <c r="E11636" s="2">
        <f t="shared" si="1844"/>
        <v>42736</v>
      </c>
      <c r="F11636" s="2">
        <f t="shared" si="1846"/>
        <v>42825</v>
      </c>
    </row>
    <row r="11637" spans="1:6" x14ac:dyDescent="0.25">
      <c r="A11637" s="1" t="s">
        <v>1385</v>
      </c>
      <c r="B11637" s="1" t="s">
        <v>2270</v>
      </c>
      <c r="C11637" s="1" t="s">
        <v>173</v>
      </c>
      <c r="D11637" s="3">
        <f t="shared" si="1845"/>
        <v>8034</v>
      </c>
      <c r="E11637" s="2">
        <f t="shared" si="1844"/>
        <v>42736</v>
      </c>
      <c r="F11637" s="2">
        <f t="shared" si="1846"/>
        <v>42825</v>
      </c>
    </row>
    <row r="11638" spans="1:6" x14ac:dyDescent="0.25">
      <c r="A11638" s="1" t="s">
        <v>1385</v>
      </c>
      <c r="B11638" s="1" t="s">
        <v>2270</v>
      </c>
      <c r="C11638" s="1" t="s">
        <v>36</v>
      </c>
      <c r="D11638" s="3">
        <f t="shared" si="1845"/>
        <v>8034</v>
      </c>
      <c r="E11638" s="2">
        <f t="shared" si="1844"/>
        <v>42736</v>
      </c>
      <c r="F11638" s="2">
        <f t="shared" si="1846"/>
        <v>42825</v>
      </c>
    </row>
    <row r="11639" spans="1:6" x14ac:dyDescent="0.25">
      <c r="A11639" s="1" t="s">
        <v>1385</v>
      </c>
      <c r="B11639" s="1" t="s">
        <v>2234</v>
      </c>
      <c r="C11639" s="1" t="s">
        <v>39</v>
      </c>
      <c r="D11639" s="3">
        <f t="shared" ref="D11639:D11644" si="1847">VALUE("7906")</f>
        <v>7906</v>
      </c>
      <c r="E11639" s="2">
        <f t="shared" ref="E11639:E11644" si="1848">DATEVALUE("1-8-2016")</f>
        <v>42583</v>
      </c>
      <c r="F11639" s="2">
        <f t="shared" ref="F11639:F11644" si="1849">DATEVALUE("30-4-2020")</f>
        <v>43951</v>
      </c>
    </row>
    <row r="11640" spans="1:6" x14ac:dyDescent="0.25">
      <c r="A11640" s="1" t="s">
        <v>1385</v>
      </c>
      <c r="B11640" s="1" t="s">
        <v>2234</v>
      </c>
      <c r="C11640" s="1" t="s">
        <v>17</v>
      </c>
      <c r="D11640" s="3">
        <f t="shared" si="1847"/>
        <v>7906</v>
      </c>
      <c r="E11640" s="2">
        <f t="shared" si="1848"/>
        <v>42583</v>
      </c>
      <c r="F11640" s="2">
        <f t="shared" si="1849"/>
        <v>43951</v>
      </c>
    </row>
    <row r="11641" spans="1:6" x14ac:dyDescent="0.25">
      <c r="A11641" s="1" t="s">
        <v>1385</v>
      </c>
      <c r="B11641" s="1" t="s">
        <v>2234</v>
      </c>
      <c r="C11641" s="1" t="s">
        <v>72</v>
      </c>
      <c r="D11641" s="3">
        <f t="shared" si="1847"/>
        <v>7906</v>
      </c>
      <c r="E11641" s="2">
        <f t="shared" si="1848"/>
        <v>42583</v>
      </c>
      <c r="F11641" s="2">
        <f t="shared" si="1849"/>
        <v>43951</v>
      </c>
    </row>
    <row r="11642" spans="1:6" x14ac:dyDescent="0.25">
      <c r="A11642" s="1" t="s">
        <v>1385</v>
      </c>
      <c r="B11642" s="1" t="s">
        <v>2234</v>
      </c>
      <c r="C11642" s="1" t="s">
        <v>52</v>
      </c>
      <c r="D11642" s="3">
        <f t="shared" si="1847"/>
        <v>7906</v>
      </c>
      <c r="E11642" s="2">
        <f t="shared" si="1848"/>
        <v>42583</v>
      </c>
      <c r="F11642" s="2">
        <f t="shared" si="1849"/>
        <v>43951</v>
      </c>
    </row>
    <row r="11643" spans="1:6" x14ac:dyDescent="0.25">
      <c r="A11643" s="1" t="s">
        <v>1385</v>
      </c>
      <c r="B11643" s="1" t="s">
        <v>2234</v>
      </c>
      <c r="C11643" s="1" t="s">
        <v>56</v>
      </c>
      <c r="D11643" s="3">
        <f t="shared" si="1847"/>
        <v>7906</v>
      </c>
      <c r="E11643" s="2">
        <f t="shared" si="1848"/>
        <v>42583</v>
      </c>
      <c r="F11643" s="2">
        <f t="shared" si="1849"/>
        <v>43951</v>
      </c>
    </row>
    <row r="11644" spans="1:6" x14ac:dyDescent="0.25">
      <c r="A11644" s="1" t="s">
        <v>1385</v>
      </c>
      <c r="B11644" s="1" t="s">
        <v>2234</v>
      </c>
      <c r="C11644" s="1" t="s">
        <v>173</v>
      </c>
      <c r="D11644" s="3">
        <f t="shared" si="1847"/>
        <v>7906</v>
      </c>
      <c r="E11644" s="2">
        <f t="shared" si="1848"/>
        <v>42583</v>
      </c>
      <c r="F11644" s="2">
        <f t="shared" si="1849"/>
        <v>43951</v>
      </c>
    </row>
    <row r="11645" spans="1:6" x14ac:dyDescent="0.25">
      <c r="A11645" s="1" t="s">
        <v>1385</v>
      </c>
      <c r="B11645" s="1" t="s">
        <v>1179</v>
      </c>
      <c r="C11645" s="1" t="s">
        <v>6</v>
      </c>
      <c r="D11645" s="3">
        <f t="shared" ref="D11645:D11663" si="1850">VALUE("7927")</f>
        <v>7927</v>
      </c>
      <c r="E11645" s="2">
        <f t="shared" ref="E11645:E11663" si="1851">DATEVALUE("1-7-2016")</f>
        <v>42552</v>
      </c>
      <c r="F11645" s="2">
        <f t="shared" ref="F11645:F11663" si="1852">DATEVALUE("28-2-2019")</f>
        <v>43524</v>
      </c>
    </row>
    <row r="11646" spans="1:6" x14ac:dyDescent="0.25">
      <c r="A11646" s="1" t="s">
        <v>1385</v>
      </c>
      <c r="B11646" s="1" t="s">
        <v>1179</v>
      </c>
      <c r="C11646" s="1" t="s">
        <v>39</v>
      </c>
      <c r="D11646" s="3">
        <f t="shared" si="1850"/>
        <v>7927</v>
      </c>
      <c r="E11646" s="2">
        <f t="shared" si="1851"/>
        <v>42552</v>
      </c>
      <c r="F11646" s="2">
        <f t="shared" si="1852"/>
        <v>43524</v>
      </c>
    </row>
    <row r="11647" spans="1:6" x14ac:dyDescent="0.25">
      <c r="A11647" s="1" t="s">
        <v>1385</v>
      </c>
      <c r="B11647" s="1" t="s">
        <v>1179</v>
      </c>
      <c r="C11647" s="1" t="s">
        <v>61</v>
      </c>
      <c r="D11647" s="3">
        <f t="shared" si="1850"/>
        <v>7927</v>
      </c>
      <c r="E11647" s="2">
        <f t="shared" si="1851"/>
        <v>42552</v>
      </c>
      <c r="F11647" s="2">
        <f t="shared" si="1852"/>
        <v>43524</v>
      </c>
    </row>
    <row r="11648" spans="1:6" x14ac:dyDescent="0.25">
      <c r="A11648" s="1" t="s">
        <v>1385</v>
      </c>
      <c r="B11648" s="1" t="s">
        <v>1179</v>
      </c>
      <c r="C11648" s="1" t="s">
        <v>43</v>
      </c>
      <c r="D11648" s="3">
        <f t="shared" si="1850"/>
        <v>7927</v>
      </c>
      <c r="E11648" s="2">
        <f t="shared" si="1851"/>
        <v>42552</v>
      </c>
      <c r="F11648" s="2">
        <f t="shared" si="1852"/>
        <v>43524</v>
      </c>
    </row>
    <row r="11649" spans="1:6" x14ac:dyDescent="0.25">
      <c r="A11649" s="1" t="s">
        <v>1385</v>
      </c>
      <c r="B11649" s="1" t="s">
        <v>1179</v>
      </c>
      <c r="C11649" s="1" t="s">
        <v>45</v>
      </c>
      <c r="D11649" s="3">
        <f t="shared" si="1850"/>
        <v>7927</v>
      </c>
      <c r="E11649" s="2">
        <f t="shared" si="1851"/>
        <v>42552</v>
      </c>
      <c r="F11649" s="2">
        <f t="shared" si="1852"/>
        <v>43524</v>
      </c>
    </row>
    <row r="11650" spans="1:6" x14ac:dyDescent="0.25">
      <c r="A11650" s="1" t="s">
        <v>1385</v>
      </c>
      <c r="B11650" s="1" t="s">
        <v>1179</v>
      </c>
      <c r="C11650" s="1" t="s">
        <v>14</v>
      </c>
      <c r="D11650" s="3">
        <f t="shared" si="1850"/>
        <v>7927</v>
      </c>
      <c r="E11650" s="2">
        <f t="shared" si="1851"/>
        <v>42552</v>
      </c>
      <c r="F11650" s="2">
        <f t="shared" si="1852"/>
        <v>43524</v>
      </c>
    </row>
    <row r="11651" spans="1:6" x14ac:dyDescent="0.25">
      <c r="A11651" s="1" t="s">
        <v>1385</v>
      </c>
      <c r="B11651" s="1" t="s">
        <v>1179</v>
      </c>
      <c r="C11651" s="1" t="s">
        <v>15</v>
      </c>
      <c r="D11651" s="3">
        <f t="shared" si="1850"/>
        <v>7927</v>
      </c>
      <c r="E11651" s="2">
        <f t="shared" si="1851"/>
        <v>42552</v>
      </c>
      <c r="F11651" s="2">
        <f t="shared" si="1852"/>
        <v>43524</v>
      </c>
    </row>
    <row r="11652" spans="1:6" x14ac:dyDescent="0.25">
      <c r="A11652" s="1" t="s">
        <v>1385</v>
      </c>
      <c r="B11652" s="1" t="s">
        <v>1179</v>
      </c>
      <c r="C11652" s="1" t="s">
        <v>17</v>
      </c>
      <c r="D11652" s="3">
        <f t="shared" si="1850"/>
        <v>7927</v>
      </c>
      <c r="E11652" s="2">
        <f t="shared" si="1851"/>
        <v>42552</v>
      </c>
      <c r="F11652" s="2">
        <f t="shared" si="1852"/>
        <v>43524</v>
      </c>
    </row>
    <row r="11653" spans="1:6" x14ac:dyDescent="0.25">
      <c r="A11653" s="1" t="s">
        <v>1385</v>
      </c>
      <c r="B11653" s="1" t="s">
        <v>1179</v>
      </c>
      <c r="C11653" s="1" t="s">
        <v>22</v>
      </c>
      <c r="D11653" s="3">
        <f t="shared" si="1850"/>
        <v>7927</v>
      </c>
      <c r="E11653" s="2">
        <f t="shared" si="1851"/>
        <v>42552</v>
      </c>
      <c r="F11653" s="2">
        <f t="shared" si="1852"/>
        <v>43524</v>
      </c>
    </row>
    <row r="11654" spans="1:6" x14ac:dyDescent="0.25">
      <c r="A11654" s="1" t="s">
        <v>1385</v>
      </c>
      <c r="B11654" s="1" t="s">
        <v>1179</v>
      </c>
      <c r="C11654" s="1" t="s">
        <v>67</v>
      </c>
      <c r="D11654" s="3">
        <f t="shared" si="1850"/>
        <v>7927</v>
      </c>
      <c r="E11654" s="2">
        <f t="shared" si="1851"/>
        <v>42552</v>
      </c>
      <c r="F11654" s="2">
        <f t="shared" si="1852"/>
        <v>43524</v>
      </c>
    </row>
    <row r="11655" spans="1:6" x14ac:dyDescent="0.25">
      <c r="A11655" s="1" t="s">
        <v>1385</v>
      </c>
      <c r="B11655" s="1" t="s">
        <v>1179</v>
      </c>
      <c r="C11655" s="1" t="s">
        <v>451</v>
      </c>
      <c r="D11655" s="3">
        <f t="shared" si="1850"/>
        <v>7927</v>
      </c>
      <c r="E11655" s="2">
        <f t="shared" si="1851"/>
        <v>42552</v>
      </c>
      <c r="F11655" s="2">
        <f t="shared" si="1852"/>
        <v>43524</v>
      </c>
    </row>
    <row r="11656" spans="1:6" x14ac:dyDescent="0.25">
      <c r="A11656" s="1" t="s">
        <v>1385</v>
      </c>
      <c r="B11656" s="1" t="s">
        <v>1179</v>
      </c>
      <c r="C11656" s="1" t="s">
        <v>157</v>
      </c>
      <c r="D11656" s="3">
        <f t="shared" si="1850"/>
        <v>7927</v>
      </c>
      <c r="E11656" s="2">
        <f t="shared" si="1851"/>
        <v>42552</v>
      </c>
      <c r="F11656" s="2">
        <f t="shared" si="1852"/>
        <v>43524</v>
      </c>
    </row>
    <row r="11657" spans="1:6" x14ac:dyDescent="0.25">
      <c r="A11657" s="1" t="s">
        <v>1385</v>
      </c>
      <c r="B11657" s="1" t="s">
        <v>1179</v>
      </c>
      <c r="C11657" s="1" t="s">
        <v>157</v>
      </c>
      <c r="D11657" s="3">
        <f t="shared" si="1850"/>
        <v>7927</v>
      </c>
      <c r="E11657" s="2">
        <f t="shared" si="1851"/>
        <v>42552</v>
      </c>
      <c r="F11657" s="2">
        <f t="shared" si="1852"/>
        <v>43524</v>
      </c>
    </row>
    <row r="11658" spans="1:6" x14ac:dyDescent="0.25">
      <c r="A11658" s="1" t="s">
        <v>1385</v>
      </c>
      <c r="B11658" s="1" t="s">
        <v>1179</v>
      </c>
      <c r="C11658" s="1" t="s">
        <v>548</v>
      </c>
      <c r="D11658" s="3">
        <f t="shared" si="1850"/>
        <v>7927</v>
      </c>
      <c r="E11658" s="2">
        <f t="shared" si="1851"/>
        <v>42552</v>
      </c>
      <c r="F11658" s="2">
        <f t="shared" si="1852"/>
        <v>43524</v>
      </c>
    </row>
    <row r="11659" spans="1:6" x14ac:dyDescent="0.25">
      <c r="A11659" s="1" t="s">
        <v>1385</v>
      </c>
      <c r="B11659" s="1" t="s">
        <v>1179</v>
      </c>
      <c r="C11659" s="1" t="s">
        <v>73</v>
      </c>
      <c r="D11659" s="3">
        <f t="shared" si="1850"/>
        <v>7927</v>
      </c>
      <c r="E11659" s="2">
        <f t="shared" si="1851"/>
        <v>42552</v>
      </c>
      <c r="F11659" s="2">
        <f t="shared" si="1852"/>
        <v>43524</v>
      </c>
    </row>
    <row r="11660" spans="1:6" x14ac:dyDescent="0.25">
      <c r="A11660" s="1" t="s">
        <v>1385</v>
      </c>
      <c r="B11660" s="1" t="s">
        <v>1179</v>
      </c>
      <c r="C11660" s="1" t="s">
        <v>52</v>
      </c>
      <c r="D11660" s="3">
        <f t="shared" si="1850"/>
        <v>7927</v>
      </c>
      <c r="E11660" s="2">
        <f t="shared" si="1851"/>
        <v>42552</v>
      </c>
      <c r="F11660" s="2">
        <f t="shared" si="1852"/>
        <v>43524</v>
      </c>
    </row>
    <row r="11661" spans="1:6" x14ac:dyDescent="0.25">
      <c r="A11661" s="1" t="s">
        <v>1385</v>
      </c>
      <c r="B11661" s="1" t="s">
        <v>1179</v>
      </c>
      <c r="C11661" s="1" t="s">
        <v>34</v>
      </c>
      <c r="D11661" s="3">
        <f t="shared" si="1850"/>
        <v>7927</v>
      </c>
      <c r="E11661" s="2">
        <f t="shared" si="1851"/>
        <v>42552</v>
      </c>
      <c r="F11661" s="2">
        <f t="shared" si="1852"/>
        <v>43524</v>
      </c>
    </row>
    <row r="11662" spans="1:6" x14ac:dyDescent="0.25">
      <c r="A11662" s="1" t="s">
        <v>1385</v>
      </c>
      <c r="B11662" s="1" t="s">
        <v>1179</v>
      </c>
      <c r="C11662" s="1" t="s">
        <v>55</v>
      </c>
      <c r="D11662" s="3">
        <f t="shared" si="1850"/>
        <v>7927</v>
      </c>
      <c r="E11662" s="2">
        <f t="shared" si="1851"/>
        <v>42552</v>
      </c>
      <c r="F11662" s="2">
        <f t="shared" si="1852"/>
        <v>43524</v>
      </c>
    </row>
    <row r="11663" spans="1:6" x14ac:dyDescent="0.25">
      <c r="A11663" s="1" t="s">
        <v>1385</v>
      </c>
      <c r="B11663" s="1" t="s">
        <v>1179</v>
      </c>
      <c r="C11663" s="1" t="s">
        <v>57</v>
      </c>
      <c r="D11663" s="3">
        <f t="shared" si="1850"/>
        <v>7927</v>
      </c>
      <c r="E11663" s="2">
        <f t="shared" si="1851"/>
        <v>42552</v>
      </c>
      <c r="F11663" s="2">
        <f t="shared" si="1852"/>
        <v>43524</v>
      </c>
    </row>
    <row r="11664" spans="1:6" x14ac:dyDescent="0.25">
      <c r="A11664" s="1" t="s">
        <v>1385</v>
      </c>
      <c r="B11664" s="1" t="s">
        <v>2005</v>
      </c>
      <c r="C11664" s="1" t="s">
        <v>73</v>
      </c>
      <c r="D11664" s="3">
        <f>VALUE("7891")</f>
        <v>7891</v>
      </c>
      <c r="E11664" s="2">
        <f>DATEVALUE("1-6-2016")</f>
        <v>42522</v>
      </c>
      <c r="F11664" s="2">
        <f>DATEVALUE("30-9-2016")</f>
        <v>42643</v>
      </c>
    </row>
    <row r="11665" spans="1:6" x14ac:dyDescent="0.25">
      <c r="A11665" s="1" t="s">
        <v>1385</v>
      </c>
      <c r="B11665" s="1" t="s">
        <v>2674</v>
      </c>
      <c r="C11665" s="1" t="s">
        <v>8</v>
      </c>
      <c r="D11665" s="3">
        <f t="shared" ref="D11665:D11675" si="1853">VALUE("7352")</f>
        <v>7352</v>
      </c>
      <c r="E11665" s="2">
        <f t="shared" ref="E11665:E11675" si="1854">DATEVALUE("1-8-2012")</f>
        <v>41122</v>
      </c>
      <c r="F11665" s="2">
        <f t="shared" ref="F11665:F11675" si="1855">DATEVALUE("31-5-2014")</f>
        <v>41790</v>
      </c>
    </row>
    <row r="11666" spans="1:6" x14ac:dyDescent="0.25">
      <c r="A11666" s="1" t="s">
        <v>1385</v>
      </c>
      <c r="B11666" s="1" t="s">
        <v>2674</v>
      </c>
      <c r="C11666" s="1" t="s">
        <v>256</v>
      </c>
      <c r="D11666" s="3">
        <f t="shared" si="1853"/>
        <v>7352</v>
      </c>
      <c r="E11666" s="2">
        <f t="shared" si="1854"/>
        <v>41122</v>
      </c>
      <c r="F11666" s="2">
        <f t="shared" si="1855"/>
        <v>41790</v>
      </c>
    </row>
    <row r="11667" spans="1:6" x14ac:dyDescent="0.25">
      <c r="A11667" s="1" t="s">
        <v>1385</v>
      </c>
      <c r="B11667" s="1" t="s">
        <v>2674</v>
      </c>
      <c r="C11667" s="1" t="s">
        <v>410</v>
      </c>
      <c r="D11667" s="3">
        <f t="shared" si="1853"/>
        <v>7352</v>
      </c>
      <c r="E11667" s="2">
        <f t="shared" si="1854"/>
        <v>41122</v>
      </c>
      <c r="F11667" s="2">
        <f t="shared" si="1855"/>
        <v>41790</v>
      </c>
    </row>
    <row r="11668" spans="1:6" x14ac:dyDescent="0.25">
      <c r="A11668" s="1" t="s">
        <v>1385</v>
      </c>
      <c r="B11668" s="1" t="s">
        <v>2674</v>
      </c>
      <c r="C11668" s="1" t="s">
        <v>9</v>
      </c>
      <c r="D11668" s="3">
        <f t="shared" si="1853"/>
        <v>7352</v>
      </c>
      <c r="E11668" s="2">
        <f t="shared" si="1854"/>
        <v>41122</v>
      </c>
      <c r="F11668" s="2">
        <f t="shared" si="1855"/>
        <v>41790</v>
      </c>
    </row>
    <row r="11669" spans="1:6" x14ac:dyDescent="0.25">
      <c r="A11669" s="1" t="s">
        <v>1385</v>
      </c>
      <c r="B11669" s="1" t="s">
        <v>2674</v>
      </c>
      <c r="C11669" s="1" t="s">
        <v>10</v>
      </c>
      <c r="D11669" s="3">
        <f t="shared" si="1853"/>
        <v>7352</v>
      </c>
      <c r="E11669" s="2">
        <f t="shared" si="1854"/>
        <v>41122</v>
      </c>
      <c r="F11669" s="2">
        <f t="shared" si="1855"/>
        <v>41790</v>
      </c>
    </row>
    <row r="11670" spans="1:6" x14ac:dyDescent="0.25">
      <c r="A11670" s="1" t="s">
        <v>1385</v>
      </c>
      <c r="B11670" s="1" t="s">
        <v>2674</v>
      </c>
      <c r="C11670" s="1" t="s">
        <v>11</v>
      </c>
      <c r="D11670" s="3">
        <f t="shared" si="1853"/>
        <v>7352</v>
      </c>
      <c r="E11670" s="2">
        <f t="shared" si="1854"/>
        <v>41122</v>
      </c>
      <c r="F11670" s="2">
        <f t="shared" si="1855"/>
        <v>41790</v>
      </c>
    </row>
    <row r="11671" spans="1:6" x14ac:dyDescent="0.25">
      <c r="A11671" s="1" t="s">
        <v>1385</v>
      </c>
      <c r="B11671" s="1" t="s">
        <v>2674</v>
      </c>
      <c r="C11671" s="1" t="s">
        <v>12</v>
      </c>
      <c r="D11671" s="3">
        <f t="shared" si="1853"/>
        <v>7352</v>
      </c>
      <c r="E11671" s="2">
        <f t="shared" si="1854"/>
        <v>41122</v>
      </c>
      <c r="F11671" s="2">
        <f t="shared" si="1855"/>
        <v>41790</v>
      </c>
    </row>
    <row r="11672" spans="1:6" x14ac:dyDescent="0.25">
      <c r="A11672" s="1" t="s">
        <v>1385</v>
      </c>
      <c r="B11672" s="1" t="s">
        <v>2674</v>
      </c>
      <c r="C11672" s="1" t="s">
        <v>45</v>
      </c>
      <c r="D11672" s="3">
        <f t="shared" si="1853"/>
        <v>7352</v>
      </c>
      <c r="E11672" s="2">
        <f t="shared" si="1854"/>
        <v>41122</v>
      </c>
      <c r="F11672" s="2">
        <f t="shared" si="1855"/>
        <v>41790</v>
      </c>
    </row>
    <row r="11673" spans="1:6" x14ac:dyDescent="0.25">
      <c r="A11673" s="1" t="s">
        <v>1385</v>
      </c>
      <c r="B11673" s="1" t="s">
        <v>2674</v>
      </c>
      <c r="C11673" s="1" t="s">
        <v>615</v>
      </c>
      <c r="D11673" s="3">
        <f t="shared" si="1853"/>
        <v>7352</v>
      </c>
      <c r="E11673" s="2">
        <f t="shared" si="1854"/>
        <v>41122</v>
      </c>
      <c r="F11673" s="2">
        <f t="shared" si="1855"/>
        <v>41790</v>
      </c>
    </row>
    <row r="11674" spans="1:6" x14ac:dyDescent="0.25">
      <c r="A11674" s="1" t="s">
        <v>1385</v>
      </c>
      <c r="B11674" s="1" t="s">
        <v>2674</v>
      </c>
      <c r="C11674" s="1" t="s">
        <v>27</v>
      </c>
      <c r="D11674" s="3">
        <f t="shared" si="1853"/>
        <v>7352</v>
      </c>
      <c r="E11674" s="2">
        <f t="shared" si="1854"/>
        <v>41122</v>
      </c>
      <c r="F11674" s="2">
        <f t="shared" si="1855"/>
        <v>41790</v>
      </c>
    </row>
    <row r="11675" spans="1:6" x14ac:dyDescent="0.25">
      <c r="A11675" s="1" t="s">
        <v>1385</v>
      </c>
      <c r="B11675" s="1" t="s">
        <v>2674</v>
      </c>
      <c r="C11675" s="1" t="s">
        <v>262</v>
      </c>
      <c r="D11675" s="3">
        <f t="shared" si="1853"/>
        <v>7352</v>
      </c>
      <c r="E11675" s="2">
        <f t="shared" si="1854"/>
        <v>41122</v>
      </c>
      <c r="F11675" s="2">
        <f t="shared" si="1855"/>
        <v>41790</v>
      </c>
    </row>
    <row r="11676" spans="1:6" x14ac:dyDescent="0.25">
      <c r="A11676" s="1" t="s">
        <v>1385</v>
      </c>
      <c r="B11676" s="1" t="s">
        <v>2588</v>
      </c>
      <c r="C11676" s="1" t="s">
        <v>345</v>
      </c>
      <c r="D11676" s="3">
        <f>VALUE("7156")</f>
        <v>7156</v>
      </c>
      <c r="E11676" s="2">
        <f>DATEVALUE("1-2-2011")</f>
        <v>40575</v>
      </c>
      <c r="F11676" s="2">
        <f>DATEVALUE("31-3-2012")</f>
        <v>40999</v>
      </c>
    </row>
    <row r="11677" spans="1:6" x14ac:dyDescent="0.25">
      <c r="A11677" s="1" t="s">
        <v>1385</v>
      </c>
      <c r="B11677" s="1" t="s">
        <v>2588</v>
      </c>
      <c r="C11677" s="1" t="s">
        <v>585</v>
      </c>
      <c r="D11677" s="3">
        <f>VALUE("7156")</f>
        <v>7156</v>
      </c>
      <c r="E11677" s="2">
        <f>DATEVALUE("1-2-2011")</f>
        <v>40575</v>
      </c>
      <c r="F11677" s="2">
        <f>DATEVALUE("31-3-2012")</f>
        <v>40999</v>
      </c>
    </row>
    <row r="11678" spans="1:6" x14ac:dyDescent="0.25">
      <c r="A11678" s="1" t="s">
        <v>1385</v>
      </c>
      <c r="B11678" s="1" t="s">
        <v>2588</v>
      </c>
      <c r="C11678" s="1" t="s">
        <v>586</v>
      </c>
      <c r="D11678" s="3">
        <f>VALUE("7156")</f>
        <v>7156</v>
      </c>
      <c r="E11678" s="2">
        <f>DATEVALUE("1-2-2011")</f>
        <v>40575</v>
      </c>
      <c r="F11678" s="2">
        <f>DATEVALUE("31-3-2012")</f>
        <v>40999</v>
      </c>
    </row>
    <row r="11679" spans="1:6" x14ac:dyDescent="0.25">
      <c r="A11679" s="1" t="s">
        <v>1385</v>
      </c>
      <c r="B11679" s="1" t="s">
        <v>2588</v>
      </c>
      <c r="C11679" s="1" t="s">
        <v>1859</v>
      </c>
      <c r="D11679" s="3">
        <f>VALUE("7156")</f>
        <v>7156</v>
      </c>
      <c r="E11679" s="2">
        <f>DATEVALUE("1-2-2011")</f>
        <v>40575</v>
      </c>
      <c r="F11679" s="2">
        <f>DATEVALUE("31-3-2012")</f>
        <v>40999</v>
      </c>
    </row>
    <row r="11680" spans="1:6" x14ac:dyDescent="0.25">
      <c r="A11680" s="1" t="s">
        <v>1385</v>
      </c>
      <c r="B11680" s="1" t="s">
        <v>1699</v>
      </c>
      <c r="C11680" s="1" t="s">
        <v>325</v>
      </c>
      <c r="D11680" s="3">
        <f t="shared" ref="D11680:D11711" si="1856">VALUE("7128")</f>
        <v>7128</v>
      </c>
      <c r="E11680" s="2">
        <f t="shared" ref="E11680:E11711" si="1857">DATEVALUE("1-11-2010")</f>
        <v>40483</v>
      </c>
      <c r="F11680" s="2">
        <f t="shared" ref="F11680:F11711" si="1858">DATEVALUE("31-7-2014")</f>
        <v>41851</v>
      </c>
    </row>
    <row r="11681" spans="1:6" x14ac:dyDescent="0.25">
      <c r="A11681" s="1" t="s">
        <v>1385</v>
      </c>
      <c r="B11681" s="1" t="s">
        <v>1699</v>
      </c>
      <c r="C11681" s="1" t="s">
        <v>78</v>
      </c>
      <c r="D11681" s="3">
        <f t="shared" si="1856"/>
        <v>7128</v>
      </c>
      <c r="E11681" s="2">
        <f t="shared" si="1857"/>
        <v>40483</v>
      </c>
      <c r="F11681" s="2">
        <f t="shared" si="1858"/>
        <v>41851</v>
      </c>
    </row>
    <row r="11682" spans="1:6" x14ac:dyDescent="0.25">
      <c r="A11682" s="1" t="s">
        <v>1385</v>
      </c>
      <c r="B11682" s="1" t="s">
        <v>1699</v>
      </c>
      <c r="C11682" s="1" t="s">
        <v>79</v>
      </c>
      <c r="D11682" s="3">
        <f t="shared" si="1856"/>
        <v>7128</v>
      </c>
      <c r="E11682" s="2">
        <f t="shared" si="1857"/>
        <v>40483</v>
      </c>
      <c r="F11682" s="2">
        <f t="shared" si="1858"/>
        <v>41851</v>
      </c>
    </row>
    <row r="11683" spans="1:6" x14ac:dyDescent="0.25">
      <c r="A11683" s="1" t="s">
        <v>1385</v>
      </c>
      <c r="B11683" s="1" t="s">
        <v>1699</v>
      </c>
      <c r="C11683" s="1" t="s">
        <v>80</v>
      </c>
      <c r="D11683" s="3">
        <f t="shared" si="1856"/>
        <v>7128</v>
      </c>
      <c r="E11683" s="2">
        <f t="shared" si="1857"/>
        <v>40483</v>
      </c>
      <c r="F11683" s="2">
        <f t="shared" si="1858"/>
        <v>41851</v>
      </c>
    </row>
    <row r="11684" spans="1:6" x14ac:dyDescent="0.25">
      <c r="A11684" s="1" t="s">
        <v>1385</v>
      </c>
      <c r="B11684" s="1" t="s">
        <v>1699</v>
      </c>
      <c r="C11684" s="1" t="s">
        <v>39</v>
      </c>
      <c r="D11684" s="3">
        <f t="shared" si="1856"/>
        <v>7128</v>
      </c>
      <c r="E11684" s="2">
        <f t="shared" si="1857"/>
        <v>40483</v>
      </c>
      <c r="F11684" s="2">
        <f t="shared" si="1858"/>
        <v>41851</v>
      </c>
    </row>
    <row r="11685" spans="1:6" x14ac:dyDescent="0.25">
      <c r="A11685" s="1" t="s">
        <v>1385</v>
      </c>
      <c r="B11685" s="1" t="s">
        <v>1699</v>
      </c>
      <c r="C11685" s="1" t="s">
        <v>41</v>
      </c>
      <c r="D11685" s="3">
        <f t="shared" si="1856"/>
        <v>7128</v>
      </c>
      <c r="E11685" s="2">
        <f t="shared" si="1857"/>
        <v>40483</v>
      </c>
      <c r="F11685" s="2">
        <f t="shared" si="1858"/>
        <v>41851</v>
      </c>
    </row>
    <row r="11686" spans="1:6" x14ac:dyDescent="0.25">
      <c r="A11686" s="1" t="s">
        <v>1385</v>
      </c>
      <c r="B11686" s="1" t="s">
        <v>1699</v>
      </c>
      <c r="C11686" s="1" t="s">
        <v>60</v>
      </c>
      <c r="D11686" s="3">
        <f t="shared" si="1856"/>
        <v>7128</v>
      </c>
      <c r="E11686" s="2">
        <f t="shared" si="1857"/>
        <v>40483</v>
      </c>
      <c r="F11686" s="2">
        <f t="shared" si="1858"/>
        <v>41851</v>
      </c>
    </row>
    <row r="11687" spans="1:6" x14ac:dyDescent="0.25">
      <c r="A11687" s="1" t="s">
        <v>1385</v>
      </c>
      <c r="B11687" s="1" t="s">
        <v>1699</v>
      </c>
      <c r="C11687" s="1" t="s">
        <v>82</v>
      </c>
      <c r="D11687" s="3">
        <f t="shared" si="1856"/>
        <v>7128</v>
      </c>
      <c r="E11687" s="2">
        <f t="shared" si="1857"/>
        <v>40483</v>
      </c>
      <c r="F11687" s="2">
        <f t="shared" si="1858"/>
        <v>41851</v>
      </c>
    </row>
    <row r="11688" spans="1:6" x14ac:dyDescent="0.25">
      <c r="A11688" s="1" t="s">
        <v>1385</v>
      </c>
      <c r="B11688" s="1" t="s">
        <v>1699</v>
      </c>
      <c r="C11688" s="1" t="s">
        <v>42</v>
      </c>
      <c r="D11688" s="3">
        <f t="shared" si="1856"/>
        <v>7128</v>
      </c>
      <c r="E11688" s="2">
        <f t="shared" si="1857"/>
        <v>40483</v>
      </c>
      <c r="F11688" s="2">
        <f t="shared" si="1858"/>
        <v>41851</v>
      </c>
    </row>
    <row r="11689" spans="1:6" x14ac:dyDescent="0.25">
      <c r="A11689" s="1" t="s">
        <v>1385</v>
      </c>
      <c r="B11689" s="1" t="s">
        <v>1699</v>
      </c>
      <c r="C11689" s="1" t="s">
        <v>8</v>
      </c>
      <c r="D11689" s="3">
        <f t="shared" si="1856"/>
        <v>7128</v>
      </c>
      <c r="E11689" s="2">
        <f t="shared" si="1857"/>
        <v>40483</v>
      </c>
      <c r="F11689" s="2">
        <f t="shared" si="1858"/>
        <v>41851</v>
      </c>
    </row>
    <row r="11690" spans="1:6" x14ac:dyDescent="0.25">
      <c r="A11690" s="1" t="s">
        <v>1385</v>
      </c>
      <c r="B11690" s="1" t="s">
        <v>1699</v>
      </c>
      <c r="C11690" s="1" t="s">
        <v>9</v>
      </c>
      <c r="D11690" s="3">
        <f t="shared" si="1856"/>
        <v>7128</v>
      </c>
      <c r="E11690" s="2">
        <f t="shared" si="1857"/>
        <v>40483</v>
      </c>
      <c r="F11690" s="2">
        <f t="shared" si="1858"/>
        <v>41851</v>
      </c>
    </row>
    <row r="11691" spans="1:6" x14ac:dyDescent="0.25">
      <c r="A11691" s="1" t="s">
        <v>1385</v>
      </c>
      <c r="B11691" s="1" t="s">
        <v>1699</v>
      </c>
      <c r="C11691" s="1" t="s">
        <v>10</v>
      </c>
      <c r="D11691" s="3">
        <f t="shared" si="1856"/>
        <v>7128</v>
      </c>
      <c r="E11691" s="2">
        <f t="shared" si="1857"/>
        <v>40483</v>
      </c>
      <c r="F11691" s="2">
        <f t="shared" si="1858"/>
        <v>41851</v>
      </c>
    </row>
    <row r="11692" spans="1:6" x14ac:dyDescent="0.25">
      <c r="A11692" s="1" t="s">
        <v>1385</v>
      </c>
      <c r="B11692" s="1" t="s">
        <v>1699</v>
      </c>
      <c r="C11692" s="1" t="s">
        <v>11</v>
      </c>
      <c r="D11692" s="3">
        <f t="shared" si="1856"/>
        <v>7128</v>
      </c>
      <c r="E11692" s="2">
        <f t="shared" si="1857"/>
        <v>40483</v>
      </c>
      <c r="F11692" s="2">
        <f t="shared" si="1858"/>
        <v>41851</v>
      </c>
    </row>
    <row r="11693" spans="1:6" x14ac:dyDescent="0.25">
      <c r="A11693" s="1" t="s">
        <v>1385</v>
      </c>
      <c r="B11693" s="1" t="s">
        <v>1699</v>
      </c>
      <c r="C11693" s="1" t="s">
        <v>12</v>
      </c>
      <c r="D11693" s="3">
        <f t="shared" si="1856"/>
        <v>7128</v>
      </c>
      <c r="E11693" s="2">
        <f t="shared" si="1857"/>
        <v>40483</v>
      </c>
      <c r="F11693" s="2">
        <f t="shared" si="1858"/>
        <v>41851</v>
      </c>
    </row>
    <row r="11694" spans="1:6" x14ac:dyDescent="0.25">
      <c r="A11694" s="1" t="s">
        <v>1385</v>
      </c>
      <c r="B11694" s="1" t="s">
        <v>1699</v>
      </c>
      <c r="C11694" s="1" t="s">
        <v>1700</v>
      </c>
      <c r="D11694" s="3">
        <f t="shared" si="1856"/>
        <v>7128</v>
      </c>
      <c r="E11694" s="2">
        <f t="shared" si="1857"/>
        <v>40483</v>
      </c>
      <c r="F11694" s="2">
        <f t="shared" si="1858"/>
        <v>41851</v>
      </c>
    </row>
    <row r="11695" spans="1:6" x14ac:dyDescent="0.25">
      <c r="A11695" s="1" t="s">
        <v>1385</v>
      </c>
      <c r="B11695" s="1" t="s">
        <v>1699</v>
      </c>
      <c r="C11695" s="1" t="s">
        <v>83</v>
      </c>
      <c r="D11695" s="3">
        <f t="shared" si="1856"/>
        <v>7128</v>
      </c>
      <c r="E11695" s="2">
        <f t="shared" si="1857"/>
        <v>40483</v>
      </c>
      <c r="F11695" s="2">
        <f t="shared" si="1858"/>
        <v>41851</v>
      </c>
    </row>
    <row r="11696" spans="1:6" x14ac:dyDescent="0.25">
      <c r="A11696" s="1" t="s">
        <v>1385</v>
      </c>
      <c r="B11696" s="1" t="s">
        <v>1699</v>
      </c>
      <c r="C11696" s="1" t="s">
        <v>43</v>
      </c>
      <c r="D11696" s="3">
        <f t="shared" si="1856"/>
        <v>7128</v>
      </c>
      <c r="E11696" s="2">
        <f t="shared" si="1857"/>
        <v>40483</v>
      </c>
      <c r="F11696" s="2">
        <f t="shared" si="1858"/>
        <v>41851</v>
      </c>
    </row>
    <row r="11697" spans="1:6" x14ac:dyDescent="0.25">
      <c r="A11697" s="1" t="s">
        <v>1385</v>
      </c>
      <c r="B11697" s="1" t="s">
        <v>1699</v>
      </c>
      <c r="C11697" s="1" t="s">
        <v>62</v>
      </c>
      <c r="D11697" s="3">
        <f t="shared" si="1856"/>
        <v>7128</v>
      </c>
      <c r="E11697" s="2">
        <f t="shared" si="1857"/>
        <v>40483</v>
      </c>
      <c r="F11697" s="2">
        <f t="shared" si="1858"/>
        <v>41851</v>
      </c>
    </row>
    <row r="11698" spans="1:6" x14ac:dyDescent="0.25">
      <c r="A11698" s="1" t="s">
        <v>1385</v>
      </c>
      <c r="B11698" s="1" t="s">
        <v>1699</v>
      </c>
      <c r="C11698" s="1" t="s">
        <v>45</v>
      </c>
      <c r="D11698" s="3">
        <f t="shared" si="1856"/>
        <v>7128</v>
      </c>
      <c r="E11698" s="2">
        <f t="shared" si="1857"/>
        <v>40483</v>
      </c>
      <c r="F11698" s="2">
        <f t="shared" si="1858"/>
        <v>41851</v>
      </c>
    </row>
    <row r="11699" spans="1:6" x14ac:dyDescent="0.25">
      <c r="A11699" s="1" t="s">
        <v>1385</v>
      </c>
      <c r="B11699" s="1" t="s">
        <v>1699</v>
      </c>
      <c r="C11699" s="1" t="s">
        <v>46</v>
      </c>
      <c r="D11699" s="3">
        <f t="shared" si="1856"/>
        <v>7128</v>
      </c>
      <c r="E11699" s="2">
        <f t="shared" si="1857"/>
        <v>40483</v>
      </c>
      <c r="F11699" s="2">
        <f t="shared" si="1858"/>
        <v>41851</v>
      </c>
    </row>
    <row r="11700" spans="1:6" x14ac:dyDescent="0.25">
      <c r="A11700" s="1" t="s">
        <v>1385</v>
      </c>
      <c r="B11700" s="1" t="s">
        <v>1699</v>
      </c>
      <c r="C11700" s="1" t="s">
        <v>66</v>
      </c>
      <c r="D11700" s="3">
        <f t="shared" si="1856"/>
        <v>7128</v>
      </c>
      <c r="E11700" s="2">
        <f t="shared" si="1857"/>
        <v>40483</v>
      </c>
      <c r="F11700" s="2">
        <f t="shared" si="1858"/>
        <v>41851</v>
      </c>
    </row>
    <row r="11701" spans="1:6" x14ac:dyDescent="0.25">
      <c r="A11701" s="1" t="s">
        <v>1385</v>
      </c>
      <c r="B11701" s="1" t="s">
        <v>1699</v>
      </c>
      <c r="C11701" s="1" t="s">
        <v>16</v>
      </c>
      <c r="D11701" s="3">
        <f t="shared" si="1856"/>
        <v>7128</v>
      </c>
      <c r="E11701" s="2">
        <f t="shared" si="1857"/>
        <v>40483</v>
      </c>
      <c r="F11701" s="2">
        <f t="shared" si="1858"/>
        <v>41851</v>
      </c>
    </row>
    <row r="11702" spans="1:6" x14ac:dyDescent="0.25">
      <c r="A11702" s="1" t="s">
        <v>1385</v>
      </c>
      <c r="B11702" s="1" t="s">
        <v>1699</v>
      </c>
      <c r="C11702" s="1" t="s">
        <v>88</v>
      </c>
      <c r="D11702" s="3">
        <f t="shared" si="1856"/>
        <v>7128</v>
      </c>
      <c r="E11702" s="2">
        <f t="shared" si="1857"/>
        <v>40483</v>
      </c>
      <c r="F11702" s="2">
        <f t="shared" si="1858"/>
        <v>41851</v>
      </c>
    </row>
    <row r="11703" spans="1:6" x14ac:dyDescent="0.25">
      <c r="A11703" s="1" t="s">
        <v>1385</v>
      </c>
      <c r="B11703" s="1" t="s">
        <v>1699</v>
      </c>
      <c r="C11703" s="1" t="s">
        <v>89</v>
      </c>
      <c r="D11703" s="3">
        <f t="shared" si="1856"/>
        <v>7128</v>
      </c>
      <c r="E11703" s="2">
        <f t="shared" si="1857"/>
        <v>40483</v>
      </c>
      <c r="F11703" s="2">
        <f t="shared" si="1858"/>
        <v>41851</v>
      </c>
    </row>
    <row r="11704" spans="1:6" x14ac:dyDescent="0.25">
      <c r="A11704" s="1" t="s">
        <v>1385</v>
      </c>
      <c r="B11704" s="1" t="s">
        <v>1699</v>
      </c>
      <c r="C11704" s="1" t="s">
        <v>17</v>
      </c>
      <c r="D11704" s="3">
        <f t="shared" si="1856"/>
        <v>7128</v>
      </c>
      <c r="E11704" s="2">
        <f t="shared" si="1857"/>
        <v>40483</v>
      </c>
      <c r="F11704" s="2">
        <f t="shared" si="1858"/>
        <v>41851</v>
      </c>
    </row>
    <row r="11705" spans="1:6" x14ac:dyDescent="0.25">
      <c r="A11705" s="1" t="s">
        <v>1385</v>
      </c>
      <c r="B11705" s="1" t="s">
        <v>1699</v>
      </c>
      <c r="C11705" s="1" t="s">
        <v>20</v>
      </c>
      <c r="D11705" s="3">
        <f t="shared" si="1856"/>
        <v>7128</v>
      </c>
      <c r="E11705" s="2">
        <f t="shared" si="1857"/>
        <v>40483</v>
      </c>
      <c r="F11705" s="2">
        <f t="shared" si="1858"/>
        <v>41851</v>
      </c>
    </row>
    <row r="11706" spans="1:6" x14ac:dyDescent="0.25">
      <c r="A11706" s="1" t="s">
        <v>1385</v>
      </c>
      <c r="B11706" s="1" t="s">
        <v>1699</v>
      </c>
      <c r="C11706" s="1" t="s">
        <v>326</v>
      </c>
      <c r="D11706" s="3">
        <f t="shared" si="1856"/>
        <v>7128</v>
      </c>
      <c r="E11706" s="2">
        <f t="shared" si="1857"/>
        <v>40483</v>
      </c>
      <c r="F11706" s="2">
        <f t="shared" si="1858"/>
        <v>41851</v>
      </c>
    </row>
    <row r="11707" spans="1:6" x14ac:dyDescent="0.25">
      <c r="A11707" s="1" t="s">
        <v>1385</v>
      </c>
      <c r="B11707" s="1" t="s">
        <v>1699</v>
      </c>
      <c r="C11707" s="1" t="s">
        <v>328</v>
      </c>
      <c r="D11707" s="3">
        <f t="shared" si="1856"/>
        <v>7128</v>
      </c>
      <c r="E11707" s="2">
        <f t="shared" si="1857"/>
        <v>40483</v>
      </c>
      <c r="F11707" s="2">
        <f t="shared" si="1858"/>
        <v>41851</v>
      </c>
    </row>
    <row r="11708" spans="1:6" x14ac:dyDescent="0.25">
      <c r="A11708" s="1" t="s">
        <v>1385</v>
      </c>
      <c r="B11708" s="1" t="s">
        <v>1699</v>
      </c>
      <c r="C11708" s="1" t="s">
        <v>418</v>
      </c>
      <c r="D11708" s="3">
        <f t="shared" si="1856"/>
        <v>7128</v>
      </c>
      <c r="E11708" s="2">
        <f t="shared" si="1857"/>
        <v>40483</v>
      </c>
      <c r="F11708" s="2">
        <f t="shared" si="1858"/>
        <v>41851</v>
      </c>
    </row>
    <row r="11709" spans="1:6" x14ac:dyDescent="0.25">
      <c r="A11709" s="1" t="s">
        <v>1385</v>
      </c>
      <c r="B11709" s="1" t="s">
        <v>1699</v>
      </c>
      <c r="C11709" s="1" t="s">
        <v>327</v>
      </c>
      <c r="D11709" s="3">
        <f t="shared" si="1856"/>
        <v>7128</v>
      </c>
      <c r="E11709" s="2">
        <f t="shared" si="1857"/>
        <v>40483</v>
      </c>
      <c r="F11709" s="2">
        <f t="shared" si="1858"/>
        <v>41851</v>
      </c>
    </row>
    <row r="11710" spans="1:6" x14ac:dyDescent="0.25">
      <c r="A11710" s="1" t="s">
        <v>1385</v>
      </c>
      <c r="B11710" s="1" t="s">
        <v>1699</v>
      </c>
      <c r="C11710" s="1" t="s">
        <v>329</v>
      </c>
      <c r="D11710" s="3">
        <f t="shared" si="1856"/>
        <v>7128</v>
      </c>
      <c r="E11710" s="2">
        <f t="shared" si="1857"/>
        <v>40483</v>
      </c>
      <c r="F11710" s="2">
        <f t="shared" si="1858"/>
        <v>41851</v>
      </c>
    </row>
    <row r="11711" spans="1:6" x14ac:dyDescent="0.25">
      <c r="A11711" s="1" t="s">
        <v>1385</v>
      </c>
      <c r="B11711" s="1" t="s">
        <v>1699</v>
      </c>
      <c r="C11711" s="1" t="s">
        <v>330</v>
      </c>
      <c r="D11711" s="3">
        <f t="shared" si="1856"/>
        <v>7128</v>
      </c>
      <c r="E11711" s="2">
        <f t="shared" si="1857"/>
        <v>40483</v>
      </c>
      <c r="F11711" s="2">
        <f t="shared" si="1858"/>
        <v>41851</v>
      </c>
    </row>
    <row r="11712" spans="1:6" x14ac:dyDescent="0.25">
      <c r="A11712" s="1" t="s">
        <v>1385</v>
      </c>
      <c r="B11712" s="1" t="s">
        <v>1699</v>
      </c>
      <c r="C11712" s="1" t="s">
        <v>331</v>
      </c>
      <c r="D11712" s="3">
        <f t="shared" ref="D11712:D11743" si="1859">VALUE("7128")</f>
        <v>7128</v>
      </c>
      <c r="E11712" s="2">
        <f t="shared" ref="E11712:E11743" si="1860">DATEVALUE("1-11-2010")</f>
        <v>40483</v>
      </c>
      <c r="F11712" s="2">
        <f t="shared" ref="F11712:F11743" si="1861">DATEVALUE("31-7-2014")</f>
        <v>41851</v>
      </c>
    </row>
    <row r="11713" spans="1:6" x14ac:dyDescent="0.25">
      <c r="A11713" s="1" t="s">
        <v>1385</v>
      </c>
      <c r="B11713" s="1" t="s">
        <v>1699</v>
      </c>
      <c r="C11713" s="1" t="s">
        <v>475</v>
      </c>
      <c r="D11713" s="3">
        <f t="shared" si="1859"/>
        <v>7128</v>
      </c>
      <c r="E11713" s="2">
        <f t="shared" si="1860"/>
        <v>40483</v>
      </c>
      <c r="F11713" s="2">
        <f t="shared" si="1861"/>
        <v>41851</v>
      </c>
    </row>
    <row r="11714" spans="1:6" x14ac:dyDescent="0.25">
      <c r="A11714" s="1" t="s">
        <v>1385</v>
      </c>
      <c r="B11714" s="1" t="s">
        <v>1699</v>
      </c>
      <c r="C11714" s="1" t="s">
        <v>493</v>
      </c>
      <c r="D11714" s="3">
        <f t="shared" si="1859"/>
        <v>7128</v>
      </c>
      <c r="E11714" s="2">
        <f t="shared" si="1860"/>
        <v>40483</v>
      </c>
      <c r="F11714" s="2">
        <f t="shared" si="1861"/>
        <v>41851</v>
      </c>
    </row>
    <row r="11715" spans="1:6" x14ac:dyDescent="0.25">
      <c r="A11715" s="1" t="s">
        <v>1385</v>
      </c>
      <c r="B11715" s="1" t="s">
        <v>1699</v>
      </c>
      <c r="C11715" s="1" t="s">
        <v>50</v>
      </c>
      <c r="D11715" s="3">
        <f t="shared" si="1859"/>
        <v>7128</v>
      </c>
      <c r="E11715" s="2">
        <f t="shared" si="1860"/>
        <v>40483</v>
      </c>
      <c r="F11715" s="2">
        <f t="shared" si="1861"/>
        <v>41851</v>
      </c>
    </row>
    <row r="11716" spans="1:6" x14ac:dyDescent="0.25">
      <c r="A11716" s="1" t="s">
        <v>1385</v>
      </c>
      <c r="B11716" s="1" t="s">
        <v>1699</v>
      </c>
      <c r="C11716" s="1" t="s">
        <v>70</v>
      </c>
      <c r="D11716" s="3">
        <f t="shared" si="1859"/>
        <v>7128</v>
      </c>
      <c r="E11716" s="2">
        <f t="shared" si="1860"/>
        <v>40483</v>
      </c>
      <c r="F11716" s="2">
        <f t="shared" si="1861"/>
        <v>41851</v>
      </c>
    </row>
    <row r="11717" spans="1:6" x14ac:dyDescent="0.25">
      <c r="A11717" s="1" t="s">
        <v>1385</v>
      </c>
      <c r="B11717" s="1" t="s">
        <v>1699</v>
      </c>
      <c r="C11717" s="1" t="s">
        <v>97</v>
      </c>
      <c r="D11717" s="3">
        <f t="shared" si="1859"/>
        <v>7128</v>
      </c>
      <c r="E11717" s="2">
        <f t="shared" si="1860"/>
        <v>40483</v>
      </c>
      <c r="F11717" s="2">
        <f t="shared" si="1861"/>
        <v>41851</v>
      </c>
    </row>
    <row r="11718" spans="1:6" x14ac:dyDescent="0.25">
      <c r="A11718" s="1" t="s">
        <v>1385</v>
      </c>
      <c r="B11718" s="1" t="s">
        <v>1699</v>
      </c>
      <c r="C11718" s="1" t="s">
        <v>98</v>
      </c>
      <c r="D11718" s="3">
        <f t="shared" si="1859"/>
        <v>7128</v>
      </c>
      <c r="E11718" s="2">
        <f t="shared" si="1860"/>
        <v>40483</v>
      </c>
      <c r="F11718" s="2">
        <f t="shared" si="1861"/>
        <v>41851</v>
      </c>
    </row>
    <row r="11719" spans="1:6" x14ac:dyDescent="0.25">
      <c r="A11719" s="1" t="s">
        <v>1385</v>
      </c>
      <c r="B11719" s="1" t="s">
        <v>1699</v>
      </c>
      <c r="C11719" s="1" t="s">
        <v>99</v>
      </c>
      <c r="D11719" s="3">
        <f t="shared" si="1859"/>
        <v>7128</v>
      </c>
      <c r="E11719" s="2">
        <f t="shared" si="1860"/>
        <v>40483</v>
      </c>
      <c r="F11719" s="2">
        <f t="shared" si="1861"/>
        <v>41851</v>
      </c>
    </row>
    <row r="11720" spans="1:6" x14ac:dyDescent="0.25">
      <c r="A11720" s="1" t="s">
        <v>1385</v>
      </c>
      <c r="B11720" s="1" t="s">
        <v>1699</v>
      </c>
      <c r="C11720" s="1" t="s">
        <v>71</v>
      </c>
      <c r="D11720" s="3">
        <f t="shared" si="1859"/>
        <v>7128</v>
      </c>
      <c r="E11720" s="2">
        <f t="shared" si="1860"/>
        <v>40483</v>
      </c>
      <c r="F11720" s="2">
        <f t="shared" si="1861"/>
        <v>41851</v>
      </c>
    </row>
    <row r="11721" spans="1:6" x14ac:dyDescent="0.25">
      <c r="A11721" s="1" t="s">
        <v>1385</v>
      </c>
      <c r="B11721" s="1" t="s">
        <v>1699</v>
      </c>
      <c r="C11721" s="1" t="s">
        <v>100</v>
      </c>
      <c r="D11721" s="3">
        <f t="shared" si="1859"/>
        <v>7128</v>
      </c>
      <c r="E11721" s="2">
        <f t="shared" si="1860"/>
        <v>40483</v>
      </c>
      <c r="F11721" s="2">
        <f t="shared" si="1861"/>
        <v>41851</v>
      </c>
    </row>
    <row r="11722" spans="1:6" x14ac:dyDescent="0.25">
      <c r="A11722" s="1" t="s">
        <v>1385</v>
      </c>
      <c r="B11722" s="1" t="s">
        <v>1699</v>
      </c>
      <c r="C11722" s="1" t="s">
        <v>27</v>
      </c>
      <c r="D11722" s="3">
        <f t="shared" si="1859"/>
        <v>7128</v>
      </c>
      <c r="E11722" s="2">
        <f t="shared" si="1860"/>
        <v>40483</v>
      </c>
      <c r="F11722" s="2">
        <f t="shared" si="1861"/>
        <v>41851</v>
      </c>
    </row>
    <row r="11723" spans="1:6" x14ac:dyDescent="0.25">
      <c r="A11723" s="1" t="s">
        <v>1385</v>
      </c>
      <c r="B11723" s="1" t="s">
        <v>1699</v>
      </c>
      <c r="C11723" s="1" t="s">
        <v>262</v>
      </c>
      <c r="D11723" s="3">
        <f t="shared" si="1859"/>
        <v>7128</v>
      </c>
      <c r="E11723" s="2">
        <f t="shared" si="1860"/>
        <v>40483</v>
      </c>
      <c r="F11723" s="2">
        <f t="shared" si="1861"/>
        <v>41851</v>
      </c>
    </row>
    <row r="11724" spans="1:6" x14ac:dyDescent="0.25">
      <c r="A11724" s="1" t="s">
        <v>1385</v>
      </c>
      <c r="B11724" s="1" t="s">
        <v>1699</v>
      </c>
      <c r="C11724" s="1" t="s">
        <v>216</v>
      </c>
      <c r="D11724" s="3">
        <f t="shared" si="1859"/>
        <v>7128</v>
      </c>
      <c r="E11724" s="2">
        <f t="shared" si="1860"/>
        <v>40483</v>
      </c>
      <c r="F11724" s="2">
        <f t="shared" si="1861"/>
        <v>41851</v>
      </c>
    </row>
    <row r="11725" spans="1:6" x14ac:dyDescent="0.25">
      <c r="A11725" s="1" t="s">
        <v>1385</v>
      </c>
      <c r="B11725" s="1" t="s">
        <v>1699</v>
      </c>
      <c r="C11725" s="1" t="s">
        <v>105</v>
      </c>
      <c r="D11725" s="3">
        <f t="shared" si="1859"/>
        <v>7128</v>
      </c>
      <c r="E11725" s="2">
        <f t="shared" si="1860"/>
        <v>40483</v>
      </c>
      <c r="F11725" s="2">
        <f t="shared" si="1861"/>
        <v>41851</v>
      </c>
    </row>
    <row r="11726" spans="1:6" x14ac:dyDescent="0.25">
      <c r="A11726" s="1" t="s">
        <v>1385</v>
      </c>
      <c r="B11726" s="1" t="s">
        <v>1699</v>
      </c>
      <c r="C11726" s="1" t="s">
        <v>106</v>
      </c>
      <c r="D11726" s="3">
        <f t="shared" si="1859"/>
        <v>7128</v>
      </c>
      <c r="E11726" s="2">
        <f t="shared" si="1860"/>
        <v>40483</v>
      </c>
      <c r="F11726" s="2">
        <f t="shared" si="1861"/>
        <v>41851</v>
      </c>
    </row>
    <row r="11727" spans="1:6" x14ac:dyDescent="0.25">
      <c r="A11727" s="1" t="s">
        <v>1385</v>
      </c>
      <c r="B11727" s="1" t="s">
        <v>1699</v>
      </c>
      <c r="C11727" s="1" t="s">
        <v>107</v>
      </c>
      <c r="D11727" s="3">
        <f t="shared" si="1859"/>
        <v>7128</v>
      </c>
      <c r="E11727" s="2">
        <f t="shared" si="1860"/>
        <v>40483</v>
      </c>
      <c r="F11727" s="2">
        <f t="shared" si="1861"/>
        <v>41851</v>
      </c>
    </row>
    <row r="11728" spans="1:6" x14ac:dyDescent="0.25">
      <c r="A11728" s="1" t="s">
        <v>1385</v>
      </c>
      <c r="B11728" s="1" t="s">
        <v>1699</v>
      </c>
      <c r="C11728" s="1" t="s">
        <v>32</v>
      </c>
      <c r="D11728" s="3">
        <f t="shared" si="1859"/>
        <v>7128</v>
      </c>
      <c r="E11728" s="2">
        <f t="shared" si="1860"/>
        <v>40483</v>
      </c>
      <c r="F11728" s="2">
        <f t="shared" si="1861"/>
        <v>41851</v>
      </c>
    </row>
    <row r="11729" spans="1:6" x14ac:dyDescent="0.25">
      <c r="A11729" s="1" t="s">
        <v>1385</v>
      </c>
      <c r="B11729" s="1" t="s">
        <v>1699</v>
      </c>
      <c r="C11729" s="1" t="s">
        <v>108</v>
      </c>
      <c r="D11729" s="3">
        <f t="shared" si="1859"/>
        <v>7128</v>
      </c>
      <c r="E11729" s="2">
        <f t="shared" si="1860"/>
        <v>40483</v>
      </c>
      <c r="F11729" s="2">
        <f t="shared" si="1861"/>
        <v>41851</v>
      </c>
    </row>
    <row r="11730" spans="1:6" x14ac:dyDescent="0.25">
      <c r="A11730" s="1" t="s">
        <v>1385</v>
      </c>
      <c r="B11730" s="1" t="s">
        <v>1699</v>
      </c>
      <c r="C11730" s="1" t="s">
        <v>109</v>
      </c>
      <c r="D11730" s="3">
        <f t="shared" si="1859"/>
        <v>7128</v>
      </c>
      <c r="E11730" s="2">
        <f t="shared" si="1860"/>
        <v>40483</v>
      </c>
      <c r="F11730" s="2">
        <f t="shared" si="1861"/>
        <v>41851</v>
      </c>
    </row>
    <row r="11731" spans="1:6" x14ac:dyDescent="0.25">
      <c r="A11731" s="1" t="s">
        <v>1385</v>
      </c>
      <c r="B11731" s="1" t="s">
        <v>1699</v>
      </c>
      <c r="C11731" s="1" t="s">
        <v>110</v>
      </c>
      <c r="D11731" s="3">
        <f t="shared" si="1859"/>
        <v>7128</v>
      </c>
      <c r="E11731" s="2">
        <f t="shared" si="1860"/>
        <v>40483</v>
      </c>
      <c r="F11731" s="2">
        <f t="shared" si="1861"/>
        <v>41851</v>
      </c>
    </row>
    <row r="11732" spans="1:6" x14ac:dyDescent="0.25">
      <c r="A11732" s="1" t="s">
        <v>1385</v>
      </c>
      <c r="B11732" s="1" t="s">
        <v>1699</v>
      </c>
      <c r="C11732" s="1" t="s">
        <v>111</v>
      </c>
      <c r="D11732" s="3">
        <f t="shared" si="1859"/>
        <v>7128</v>
      </c>
      <c r="E11732" s="2">
        <f t="shared" si="1860"/>
        <v>40483</v>
      </c>
      <c r="F11732" s="2">
        <f t="shared" si="1861"/>
        <v>41851</v>
      </c>
    </row>
    <row r="11733" spans="1:6" x14ac:dyDescent="0.25">
      <c r="A11733" s="1" t="s">
        <v>1385</v>
      </c>
      <c r="B11733" s="1" t="s">
        <v>1699</v>
      </c>
      <c r="C11733" s="1" t="s">
        <v>112</v>
      </c>
      <c r="D11733" s="3">
        <f t="shared" si="1859"/>
        <v>7128</v>
      </c>
      <c r="E11733" s="2">
        <f t="shared" si="1860"/>
        <v>40483</v>
      </c>
      <c r="F11733" s="2">
        <f t="shared" si="1861"/>
        <v>41851</v>
      </c>
    </row>
    <row r="11734" spans="1:6" x14ac:dyDescent="0.25">
      <c r="A11734" s="1" t="s">
        <v>1385</v>
      </c>
      <c r="B11734" s="1" t="s">
        <v>1699</v>
      </c>
      <c r="C11734" s="1" t="s">
        <v>113</v>
      </c>
      <c r="D11734" s="3">
        <f t="shared" si="1859"/>
        <v>7128</v>
      </c>
      <c r="E11734" s="2">
        <f t="shared" si="1860"/>
        <v>40483</v>
      </c>
      <c r="F11734" s="2">
        <f t="shared" si="1861"/>
        <v>41851</v>
      </c>
    </row>
    <row r="11735" spans="1:6" x14ac:dyDescent="0.25">
      <c r="A11735" s="1" t="s">
        <v>1385</v>
      </c>
      <c r="B11735" s="1" t="s">
        <v>1699</v>
      </c>
      <c r="C11735" s="1" t="s">
        <v>33</v>
      </c>
      <c r="D11735" s="3">
        <f t="shared" si="1859"/>
        <v>7128</v>
      </c>
      <c r="E11735" s="2">
        <f t="shared" si="1860"/>
        <v>40483</v>
      </c>
      <c r="F11735" s="2">
        <f t="shared" si="1861"/>
        <v>41851</v>
      </c>
    </row>
    <row r="11736" spans="1:6" x14ac:dyDescent="0.25">
      <c r="A11736" s="1" t="s">
        <v>1385</v>
      </c>
      <c r="B11736" s="1" t="s">
        <v>1699</v>
      </c>
      <c r="C11736" s="1" t="s">
        <v>453</v>
      </c>
      <c r="D11736" s="3">
        <f t="shared" si="1859"/>
        <v>7128</v>
      </c>
      <c r="E11736" s="2">
        <f t="shared" si="1860"/>
        <v>40483</v>
      </c>
      <c r="F11736" s="2">
        <f t="shared" si="1861"/>
        <v>41851</v>
      </c>
    </row>
    <row r="11737" spans="1:6" x14ac:dyDescent="0.25">
      <c r="A11737" s="1" t="s">
        <v>1385</v>
      </c>
      <c r="B11737" s="1" t="s">
        <v>1699</v>
      </c>
      <c r="C11737" s="1" t="s">
        <v>114</v>
      </c>
      <c r="D11737" s="3">
        <f t="shared" si="1859"/>
        <v>7128</v>
      </c>
      <c r="E11737" s="2">
        <f t="shared" si="1860"/>
        <v>40483</v>
      </c>
      <c r="F11737" s="2">
        <f t="shared" si="1861"/>
        <v>41851</v>
      </c>
    </row>
    <row r="11738" spans="1:6" x14ac:dyDescent="0.25">
      <c r="A11738" s="1" t="s">
        <v>1385</v>
      </c>
      <c r="B11738" s="1" t="s">
        <v>1699</v>
      </c>
      <c r="C11738" s="1" t="s">
        <v>333</v>
      </c>
      <c r="D11738" s="3">
        <f t="shared" si="1859"/>
        <v>7128</v>
      </c>
      <c r="E11738" s="2">
        <f t="shared" si="1860"/>
        <v>40483</v>
      </c>
      <c r="F11738" s="2">
        <f t="shared" si="1861"/>
        <v>41851</v>
      </c>
    </row>
    <row r="11739" spans="1:6" x14ac:dyDescent="0.25">
      <c r="A11739" s="1" t="s">
        <v>1385</v>
      </c>
      <c r="B11739" s="1" t="s">
        <v>1699</v>
      </c>
      <c r="C11739" s="1" t="s">
        <v>352</v>
      </c>
      <c r="D11739" s="3">
        <f t="shared" si="1859"/>
        <v>7128</v>
      </c>
      <c r="E11739" s="2">
        <f t="shared" si="1860"/>
        <v>40483</v>
      </c>
      <c r="F11739" s="2">
        <f t="shared" si="1861"/>
        <v>41851</v>
      </c>
    </row>
    <row r="11740" spans="1:6" x14ac:dyDescent="0.25">
      <c r="A11740" s="1" t="s">
        <v>1385</v>
      </c>
      <c r="B11740" s="1" t="s">
        <v>1699</v>
      </c>
      <c r="C11740" s="1" t="s">
        <v>426</v>
      </c>
      <c r="D11740" s="3">
        <f t="shared" si="1859"/>
        <v>7128</v>
      </c>
      <c r="E11740" s="2">
        <f t="shared" si="1860"/>
        <v>40483</v>
      </c>
      <c r="F11740" s="2">
        <f t="shared" si="1861"/>
        <v>41851</v>
      </c>
    </row>
    <row r="11741" spans="1:6" x14ac:dyDescent="0.25">
      <c r="A11741" s="1" t="s">
        <v>1385</v>
      </c>
      <c r="B11741" s="1" t="s">
        <v>1699</v>
      </c>
      <c r="C11741" s="1" t="s">
        <v>116</v>
      </c>
      <c r="D11741" s="3">
        <f t="shared" si="1859"/>
        <v>7128</v>
      </c>
      <c r="E11741" s="2">
        <f t="shared" si="1860"/>
        <v>40483</v>
      </c>
      <c r="F11741" s="2">
        <f t="shared" si="1861"/>
        <v>41851</v>
      </c>
    </row>
    <row r="11742" spans="1:6" x14ac:dyDescent="0.25">
      <c r="A11742" s="1" t="s">
        <v>1385</v>
      </c>
      <c r="B11742" s="1" t="s">
        <v>1699</v>
      </c>
      <c r="C11742" s="1" t="s">
        <v>57</v>
      </c>
      <c r="D11742" s="3">
        <f t="shared" si="1859"/>
        <v>7128</v>
      </c>
      <c r="E11742" s="2">
        <f t="shared" si="1860"/>
        <v>40483</v>
      </c>
      <c r="F11742" s="2">
        <f t="shared" si="1861"/>
        <v>41851</v>
      </c>
    </row>
    <row r="11743" spans="1:6" x14ac:dyDescent="0.25">
      <c r="A11743" s="1" t="s">
        <v>1385</v>
      </c>
      <c r="B11743" s="1" t="s">
        <v>1699</v>
      </c>
      <c r="C11743" s="1" t="s">
        <v>36</v>
      </c>
      <c r="D11743" s="3">
        <f t="shared" si="1859"/>
        <v>7128</v>
      </c>
      <c r="E11743" s="2">
        <f t="shared" si="1860"/>
        <v>40483</v>
      </c>
      <c r="F11743" s="2">
        <f t="shared" si="1861"/>
        <v>41851</v>
      </c>
    </row>
    <row r="11744" spans="1:6" x14ac:dyDescent="0.25">
      <c r="A11744" s="1" t="s">
        <v>1385</v>
      </c>
      <c r="B11744" s="1" t="s">
        <v>2561</v>
      </c>
      <c r="C11744" s="1" t="s">
        <v>45</v>
      </c>
      <c r="D11744" s="3">
        <f>VALUE("7047")</f>
        <v>7047</v>
      </c>
      <c r="E11744" s="2">
        <f>DATEVALUE("1-4-2010")</f>
        <v>40269</v>
      </c>
      <c r="F11744" s="2">
        <f>DATEVALUE("30-6-2012")</f>
        <v>41090</v>
      </c>
    </row>
    <row r="11745" spans="1:6" x14ac:dyDescent="0.25">
      <c r="A11745" s="1" t="s">
        <v>1385</v>
      </c>
      <c r="B11745" s="1" t="s">
        <v>2561</v>
      </c>
      <c r="C11745" s="1" t="s">
        <v>102</v>
      </c>
      <c r="D11745" s="3">
        <f>VALUE("7047")</f>
        <v>7047</v>
      </c>
      <c r="E11745" s="2">
        <f>DATEVALUE("1-4-2010")</f>
        <v>40269</v>
      </c>
      <c r="F11745" s="2">
        <f>DATEVALUE("30-6-2012")</f>
        <v>41090</v>
      </c>
    </row>
    <row r="11746" spans="1:6" x14ac:dyDescent="0.25">
      <c r="A11746" s="1" t="s">
        <v>1385</v>
      </c>
      <c r="B11746" s="1" t="s">
        <v>2561</v>
      </c>
      <c r="C11746" s="1" t="s">
        <v>103</v>
      </c>
      <c r="D11746" s="3">
        <f>VALUE("7047")</f>
        <v>7047</v>
      </c>
      <c r="E11746" s="2">
        <f>DATEVALUE("1-4-2010")</f>
        <v>40269</v>
      </c>
      <c r="F11746" s="2">
        <f>DATEVALUE("30-6-2012")</f>
        <v>41090</v>
      </c>
    </row>
    <row r="11747" spans="1:6" x14ac:dyDescent="0.25">
      <c r="A11747" s="1" t="s">
        <v>1572</v>
      </c>
      <c r="B11747" s="1" t="s">
        <v>1571</v>
      </c>
      <c r="C11747" s="1" t="s">
        <v>1573</v>
      </c>
      <c r="D11747" s="3">
        <f>VALUE("8755")</f>
        <v>8755</v>
      </c>
      <c r="E11747" s="2">
        <f>DATEVALUE("1-5-2020")</f>
        <v>43952</v>
      </c>
      <c r="F11747" s="2">
        <f>DATEVALUE("31-12-2020")</f>
        <v>44196</v>
      </c>
    </row>
    <row r="11748" spans="1:6" x14ac:dyDescent="0.25">
      <c r="A11748" s="1" t="s">
        <v>1572</v>
      </c>
      <c r="B11748" s="1" t="s">
        <v>2417</v>
      </c>
      <c r="C11748" s="1" t="s">
        <v>2033</v>
      </c>
      <c r="D11748" s="3">
        <f>VALUE("8450")</f>
        <v>8450</v>
      </c>
      <c r="E11748" s="2">
        <f>DATEVALUE("1-3-2019")</f>
        <v>43525</v>
      </c>
      <c r="F11748" s="2">
        <f>DATEVALUE("31-7-2019")</f>
        <v>43677</v>
      </c>
    </row>
    <row r="11749" spans="1:6" x14ac:dyDescent="0.25">
      <c r="A11749" s="1" t="s">
        <v>1572</v>
      </c>
      <c r="B11749" s="1" t="s">
        <v>2417</v>
      </c>
      <c r="C11749" s="1" t="s">
        <v>2418</v>
      </c>
      <c r="D11749" s="3">
        <f>VALUE("8450")</f>
        <v>8450</v>
      </c>
      <c r="E11749" s="2">
        <f>DATEVALUE("1-3-2019")</f>
        <v>43525</v>
      </c>
      <c r="F11749" s="2">
        <f>DATEVALUE("31-7-2019")</f>
        <v>43677</v>
      </c>
    </row>
    <row r="11750" spans="1:6" x14ac:dyDescent="0.25">
      <c r="A11750" s="1" t="s">
        <v>691</v>
      </c>
      <c r="B11750" s="1" t="s">
        <v>1165</v>
      </c>
      <c r="C11750" s="1" t="s">
        <v>128</v>
      </c>
      <c r="D11750" s="3">
        <f>VALUE("8439")</f>
        <v>8439</v>
      </c>
      <c r="E11750" s="2">
        <f>DATEVALUE("1-2-2019")</f>
        <v>43497</v>
      </c>
      <c r="F11750" s="2">
        <f t="shared" ref="F11750:F11758" si="1862">DATEVALUE("31-12-2020")</f>
        <v>44196</v>
      </c>
    </row>
    <row r="11751" spans="1:6" x14ac:dyDescent="0.25">
      <c r="A11751" s="1" t="s">
        <v>691</v>
      </c>
      <c r="B11751" s="1" t="s">
        <v>1165</v>
      </c>
      <c r="C11751" s="1" t="s">
        <v>180</v>
      </c>
      <c r="D11751" s="3">
        <f>VALUE("8439")</f>
        <v>8439</v>
      </c>
      <c r="E11751" s="2">
        <f>DATEVALUE("1-2-2019")</f>
        <v>43497</v>
      </c>
      <c r="F11751" s="2">
        <f t="shared" si="1862"/>
        <v>44196</v>
      </c>
    </row>
    <row r="11752" spans="1:6" x14ac:dyDescent="0.25">
      <c r="A11752" s="1" t="s">
        <v>691</v>
      </c>
      <c r="B11752" s="1" t="s">
        <v>871</v>
      </c>
      <c r="C11752" s="1" t="s">
        <v>85</v>
      </c>
      <c r="D11752" s="3">
        <f t="shared" ref="D11752:D11758" si="1863">VALUE("8096")</f>
        <v>8096</v>
      </c>
      <c r="E11752" s="2">
        <f t="shared" ref="E11752:E11758" si="1864">DATEVALUE("1-8-2017")</f>
        <v>42948</v>
      </c>
      <c r="F11752" s="2">
        <f t="shared" si="1862"/>
        <v>44196</v>
      </c>
    </row>
    <row r="11753" spans="1:6" x14ac:dyDescent="0.25">
      <c r="A11753" s="1" t="s">
        <v>691</v>
      </c>
      <c r="B11753" s="1" t="s">
        <v>871</v>
      </c>
      <c r="C11753" s="1" t="s">
        <v>84</v>
      </c>
      <c r="D11753" s="3">
        <f t="shared" si="1863"/>
        <v>8096</v>
      </c>
      <c r="E11753" s="2">
        <f t="shared" si="1864"/>
        <v>42948</v>
      </c>
      <c r="F11753" s="2">
        <f t="shared" si="1862"/>
        <v>44196</v>
      </c>
    </row>
    <row r="11754" spans="1:6" x14ac:dyDescent="0.25">
      <c r="A11754" s="1" t="s">
        <v>691</v>
      </c>
      <c r="B11754" s="1" t="s">
        <v>871</v>
      </c>
      <c r="C11754" s="1" t="s">
        <v>89</v>
      </c>
      <c r="D11754" s="3">
        <f t="shared" si="1863"/>
        <v>8096</v>
      </c>
      <c r="E11754" s="2">
        <f t="shared" si="1864"/>
        <v>42948</v>
      </c>
      <c r="F11754" s="2">
        <f t="shared" si="1862"/>
        <v>44196</v>
      </c>
    </row>
    <row r="11755" spans="1:6" x14ac:dyDescent="0.25">
      <c r="A11755" s="1" t="s">
        <v>691</v>
      </c>
      <c r="B11755" s="1" t="s">
        <v>871</v>
      </c>
      <c r="C11755" s="1" t="s">
        <v>17</v>
      </c>
      <c r="D11755" s="3">
        <f t="shared" si="1863"/>
        <v>8096</v>
      </c>
      <c r="E11755" s="2">
        <f t="shared" si="1864"/>
        <v>42948</v>
      </c>
      <c r="F11755" s="2">
        <f t="shared" si="1862"/>
        <v>44196</v>
      </c>
    </row>
    <row r="11756" spans="1:6" x14ac:dyDescent="0.25">
      <c r="A11756" s="1" t="s">
        <v>691</v>
      </c>
      <c r="B11756" s="1" t="s">
        <v>871</v>
      </c>
      <c r="C11756" s="1" t="s">
        <v>475</v>
      </c>
      <c r="D11756" s="3">
        <f t="shared" si="1863"/>
        <v>8096</v>
      </c>
      <c r="E11756" s="2">
        <f t="shared" si="1864"/>
        <v>42948</v>
      </c>
      <c r="F11756" s="2">
        <f t="shared" si="1862"/>
        <v>44196</v>
      </c>
    </row>
    <row r="11757" spans="1:6" x14ac:dyDescent="0.25">
      <c r="A11757" s="1" t="s">
        <v>691</v>
      </c>
      <c r="B11757" s="1" t="s">
        <v>871</v>
      </c>
      <c r="C11757" s="1" t="s">
        <v>120</v>
      </c>
      <c r="D11757" s="3">
        <f t="shared" si="1863"/>
        <v>8096</v>
      </c>
      <c r="E11757" s="2">
        <f t="shared" si="1864"/>
        <v>42948</v>
      </c>
      <c r="F11757" s="2">
        <f t="shared" si="1862"/>
        <v>44196</v>
      </c>
    </row>
    <row r="11758" spans="1:6" x14ac:dyDescent="0.25">
      <c r="A11758" s="1" t="s">
        <v>691</v>
      </c>
      <c r="B11758" s="1" t="s">
        <v>871</v>
      </c>
      <c r="C11758" s="1" t="s">
        <v>872</v>
      </c>
      <c r="D11758" s="3">
        <f t="shared" si="1863"/>
        <v>8096</v>
      </c>
      <c r="E11758" s="2">
        <f t="shared" si="1864"/>
        <v>42948</v>
      </c>
      <c r="F11758" s="2">
        <f t="shared" si="1862"/>
        <v>44196</v>
      </c>
    </row>
    <row r="11759" spans="1:6" x14ac:dyDescent="0.25">
      <c r="A11759" s="1" t="s">
        <v>2744</v>
      </c>
      <c r="B11759" s="1" t="s">
        <v>2742</v>
      </c>
      <c r="C11759" s="1" t="s">
        <v>212</v>
      </c>
      <c r="D11759" s="3">
        <f>VALUE("7552")</f>
        <v>7552</v>
      </c>
      <c r="E11759" s="2">
        <f>DATEVALUE("1-10-2013")</f>
        <v>41548</v>
      </c>
      <c r="F11759" s="2">
        <f>DATEVALUE("31-12-2013")</f>
        <v>41639</v>
      </c>
    </row>
    <row r="11760" spans="1:6" x14ac:dyDescent="0.25">
      <c r="A11760" s="1" t="s">
        <v>1702</v>
      </c>
      <c r="B11760" s="1" t="s">
        <v>1701</v>
      </c>
      <c r="C11760" s="1" t="s">
        <v>7</v>
      </c>
      <c r="D11760" s="3">
        <f>VALUE("7151")</f>
        <v>7151</v>
      </c>
      <c r="E11760" s="2">
        <f>DATEVALUE("1-12-2010")</f>
        <v>40513</v>
      </c>
      <c r="F11760" s="2">
        <f>DATEVALUE("31-12-2016")</f>
        <v>42735</v>
      </c>
    </row>
    <row r="11761" spans="1:6" x14ac:dyDescent="0.25">
      <c r="A11761" s="1" t="s">
        <v>1702</v>
      </c>
      <c r="B11761" s="1" t="s">
        <v>1701</v>
      </c>
      <c r="C11761" s="1" t="s">
        <v>13</v>
      </c>
      <c r="D11761" s="3">
        <f>VALUE("7151")</f>
        <v>7151</v>
      </c>
      <c r="E11761" s="2">
        <f>DATEVALUE("1-12-2010")</f>
        <v>40513</v>
      </c>
      <c r="F11761" s="2">
        <f>DATEVALUE("31-12-2016")</f>
        <v>42735</v>
      </c>
    </row>
    <row r="11762" spans="1:6" x14ac:dyDescent="0.25">
      <c r="A11762" s="1" t="s">
        <v>906</v>
      </c>
      <c r="B11762" s="1" t="s">
        <v>905</v>
      </c>
      <c r="C11762" s="1" t="s">
        <v>7</v>
      </c>
      <c r="D11762" s="3">
        <f>VALUE("8159")</f>
        <v>8159</v>
      </c>
      <c r="E11762" s="2">
        <f>DATEVALUE("1-12-2017")</f>
        <v>43070</v>
      </c>
      <c r="F11762" s="2">
        <f>DATEVALUE("31-3-2023")</f>
        <v>45016</v>
      </c>
    </row>
    <row r="11763" spans="1:6" x14ac:dyDescent="0.25">
      <c r="A11763" s="1" t="s">
        <v>906</v>
      </c>
      <c r="B11763" s="1" t="s">
        <v>905</v>
      </c>
      <c r="C11763" s="1" t="s">
        <v>907</v>
      </c>
      <c r="D11763" s="3">
        <f>VALUE("8159")</f>
        <v>8159</v>
      </c>
      <c r="E11763" s="2">
        <f>DATEVALUE("1-12-2017")</f>
        <v>43070</v>
      </c>
      <c r="F11763" s="2">
        <f>DATEVALUE("31-3-2023")</f>
        <v>45016</v>
      </c>
    </row>
    <row r="11764" spans="1:6" x14ac:dyDescent="0.25">
      <c r="A11764" s="1" t="s">
        <v>906</v>
      </c>
      <c r="B11764" s="1" t="s">
        <v>1914</v>
      </c>
      <c r="C11764" s="1" t="s">
        <v>325</v>
      </c>
      <c r="D11764" s="3">
        <f t="shared" ref="D11764:D11772" si="1865">VALUE("7490")</f>
        <v>7490</v>
      </c>
      <c r="E11764" s="2">
        <f t="shared" ref="E11764:E11772" si="1866">DATEVALUE("1-7-2013")</f>
        <v>41456</v>
      </c>
      <c r="F11764" s="2">
        <f t="shared" ref="F11764:F11772" si="1867">DATEVALUE("31-3-2015")</f>
        <v>42094</v>
      </c>
    </row>
    <row r="11765" spans="1:6" x14ac:dyDescent="0.25">
      <c r="A11765" s="1" t="s">
        <v>906</v>
      </c>
      <c r="B11765" s="1" t="s">
        <v>1914</v>
      </c>
      <c r="C11765" s="1" t="s">
        <v>46</v>
      </c>
      <c r="D11765" s="3">
        <f t="shared" si="1865"/>
        <v>7490</v>
      </c>
      <c r="E11765" s="2">
        <f t="shared" si="1866"/>
        <v>41456</v>
      </c>
      <c r="F11765" s="2">
        <f t="shared" si="1867"/>
        <v>42094</v>
      </c>
    </row>
    <row r="11766" spans="1:6" x14ac:dyDescent="0.25">
      <c r="A11766" s="1" t="s">
        <v>906</v>
      </c>
      <c r="B11766" s="1" t="s">
        <v>1914</v>
      </c>
      <c r="C11766" s="1" t="s">
        <v>15</v>
      </c>
      <c r="D11766" s="3">
        <f t="shared" si="1865"/>
        <v>7490</v>
      </c>
      <c r="E11766" s="2">
        <f t="shared" si="1866"/>
        <v>41456</v>
      </c>
      <c r="F11766" s="2">
        <f t="shared" si="1867"/>
        <v>42094</v>
      </c>
    </row>
    <row r="11767" spans="1:6" x14ac:dyDescent="0.25">
      <c r="A11767" s="1" t="s">
        <v>906</v>
      </c>
      <c r="B11767" s="1" t="s">
        <v>1914</v>
      </c>
      <c r="C11767" s="1" t="s">
        <v>17</v>
      </c>
      <c r="D11767" s="3">
        <f t="shared" si="1865"/>
        <v>7490</v>
      </c>
      <c r="E11767" s="2">
        <f t="shared" si="1866"/>
        <v>41456</v>
      </c>
      <c r="F11767" s="2">
        <f t="shared" si="1867"/>
        <v>42094</v>
      </c>
    </row>
    <row r="11768" spans="1:6" x14ac:dyDescent="0.25">
      <c r="A11768" s="1" t="s">
        <v>906</v>
      </c>
      <c r="B11768" s="1" t="s">
        <v>1914</v>
      </c>
      <c r="C11768" s="1" t="s">
        <v>22</v>
      </c>
      <c r="D11768" s="3">
        <f t="shared" si="1865"/>
        <v>7490</v>
      </c>
      <c r="E11768" s="2">
        <f t="shared" si="1866"/>
        <v>41456</v>
      </c>
      <c r="F11768" s="2">
        <f t="shared" si="1867"/>
        <v>42094</v>
      </c>
    </row>
    <row r="11769" spans="1:6" x14ac:dyDescent="0.25">
      <c r="A11769" s="1" t="s">
        <v>906</v>
      </c>
      <c r="B11769" s="1" t="s">
        <v>1914</v>
      </c>
      <c r="C11769" s="1" t="s">
        <v>148</v>
      </c>
      <c r="D11769" s="3">
        <f t="shared" si="1865"/>
        <v>7490</v>
      </c>
      <c r="E11769" s="2">
        <f t="shared" si="1866"/>
        <v>41456</v>
      </c>
      <c r="F11769" s="2">
        <f t="shared" si="1867"/>
        <v>42094</v>
      </c>
    </row>
    <row r="11770" spans="1:6" x14ac:dyDescent="0.25">
      <c r="A11770" s="1" t="s">
        <v>906</v>
      </c>
      <c r="B11770" s="1" t="s">
        <v>1914</v>
      </c>
      <c r="C11770" s="1" t="s">
        <v>216</v>
      </c>
      <c r="D11770" s="3">
        <f t="shared" si="1865"/>
        <v>7490</v>
      </c>
      <c r="E11770" s="2">
        <f t="shared" si="1866"/>
        <v>41456</v>
      </c>
      <c r="F11770" s="2">
        <f t="shared" si="1867"/>
        <v>42094</v>
      </c>
    </row>
    <row r="11771" spans="1:6" x14ac:dyDescent="0.25">
      <c r="A11771" s="1" t="s">
        <v>906</v>
      </c>
      <c r="B11771" s="1" t="s">
        <v>1914</v>
      </c>
      <c r="C11771" s="1" t="s">
        <v>1483</v>
      </c>
      <c r="D11771" s="3">
        <f t="shared" si="1865"/>
        <v>7490</v>
      </c>
      <c r="E11771" s="2">
        <f t="shared" si="1866"/>
        <v>41456</v>
      </c>
      <c r="F11771" s="2">
        <f t="shared" si="1867"/>
        <v>42094</v>
      </c>
    </row>
    <row r="11772" spans="1:6" x14ac:dyDescent="0.25">
      <c r="A11772" s="1" t="s">
        <v>906</v>
      </c>
      <c r="B11772" s="1" t="s">
        <v>1914</v>
      </c>
      <c r="C11772" s="1" t="s">
        <v>164</v>
      </c>
      <c r="D11772" s="3">
        <f t="shared" si="1865"/>
        <v>7490</v>
      </c>
      <c r="E11772" s="2">
        <f t="shared" si="1866"/>
        <v>41456</v>
      </c>
      <c r="F11772" s="2">
        <f t="shared" si="1867"/>
        <v>42094</v>
      </c>
    </row>
    <row r="11773" spans="1:6" x14ac:dyDescent="0.25">
      <c r="A11773" s="1" t="s">
        <v>906</v>
      </c>
      <c r="B11773" s="1" t="s">
        <v>2494</v>
      </c>
      <c r="C11773" s="1" t="s">
        <v>13</v>
      </c>
      <c r="D11773" s="3">
        <f t="shared" ref="D11773:D11786" si="1868">VALUE("1004")</f>
        <v>1004</v>
      </c>
      <c r="E11773" s="2">
        <f t="shared" ref="E11773:E11786" si="1869">DATEVALUE("1-4-2007")</f>
        <v>39173</v>
      </c>
      <c r="F11773" s="2">
        <f t="shared" ref="F11773:F11786" si="1870">DATEVALUE("31-12-2012")</f>
        <v>41274</v>
      </c>
    </row>
    <row r="11774" spans="1:6" x14ac:dyDescent="0.25">
      <c r="A11774" s="1" t="s">
        <v>906</v>
      </c>
      <c r="B11774" s="1" t="s">
        <v>2494</v>
      </c>
      <c r="C11774" s="1" t="s">
        <v>222</v>
      </c>
      <c r="D11774" s="3">
        <f t="shared" si="1868"/>
        <v>1004</v>
      </c>
      <c r="E11774" s="2">
        <f t="shared" si="1869"/>
        <v>39173</v>
      </c>
      <c r="F11774" s="2">
        <f t="shared" si="1870"/>
        <v>41274</v>
      </c>
    </row>
    <row r="11775" spans="1:6" x14ac:dyDescent="0.25">
      <c r="A11775" s="1" t="s">
        <v>906</v>
      </c>
      <c r="B11775" s="1" t="s">
        <v>2494</v>
      </c>
      <c r="C11775" s="1" t="s">
        <v>228</v>
      </c>
      <c r="D11775" s="3">
        <f t="shared" si="1868"/>
        <v>1004</v>
      </c>
      <c r="E11775" s="2">
        <f t="shared" si="1869"/>
        <v>39173</v>
      </c>
      <c r="F11775" s="2">
        <f t="shared" si="1870"/>
        <v>41274</v>
      </c>
    </row>
    <row r="11776" spans="1:6" x14ac:dyDescent="0.25">
      <c r="A11776" s="1" t="s">
        <v>906</v>
      </c>
      <c r="B11776" s="1" t="s">
        <v>2494</v>
      </c>
      <c r="C11776" s="1" t="s">
        <v>28</v>
      </c>
      <c r="D11776" s="3">
        <f t="shared" si="1868"/>
        <v>1004</v>
      </c>
      <c r="E11776" s="2">
        <f t="shared" si="1869"/>
        <v>39173</v>
      </c>
      <c r="F11776" s="2">
        <f t="shared" si="1870"/>
        <v>41274</v>
      </c>
    </row>
    <row r="11777" spans="1:6" x14ac:dyDescent="0.25">
      <c r="A11777" s="1" t="s">
        <v>906</v>
      </c>
      <c r="B11777" s="1" t="s">
        <v>2494</v>
      </c>
      <c r="C11777" s="1" t="s">
        <v>229</v>
      </c>
      <c r="D11777" s="3">
        <f t="shared" si="1868"/>
        <v>1004</v>
      </c>
      <c r="E11777" s="2">
        <f t="shared" si="1869"/>
        <v>39173</v>
      </c>
      <c r="F11777" s="2">
        <f t="shared" si="1870"/>
        <v>41274</v>
      </c>
    </row>
    <row r="11778" spans="1:6" x14ac:dyDescent="0.25">
      <c r="A11778" s="1" t="s">
        <v>906</v>
      </c>
      <c r="B11778" s="1" t="s">
        <v>2494</v>
      </c>
      <c r="C11778" s="1" t="s">
        <v>29</v>
      </c>
      <c r="D11778" s="3">
        <f t="shared" si="1868"/>
        <v>1004</v>
      </c>
      <c r="E11778" s="2">
        <f t="shared" si="1869"/>
        <v>39173</v>
      </c>
      <c r="F11778" s="2">
        <f t="shared" si="1870"/>
        <v>41274</v>
      </c>
    </row>
    <row r="11779" spans="1:6" x14ac:dyDescent="0.25">
      <c r="A11779" s="1" t="s">
        <v>906</v>
      </c>
      <c r="B11779" s="1" t="s">
        <v>2494</v>
      </c>
      <c r="C11779" s="1" t="s">
        <v>230</v>
      </c>
      <c r="D11779" s="3">
        <f t="shared" si="1868"/>
        <v>1004</v>
      </c>
      <c r="E11779" s="2">
        <f t="shared" si="1869"/>
        <v>39173</v>
      </c>
      <c r="F11779" s="2">
        <f t="shared" si="1870"/>
        <v>41274</v>
      </c>
    </row>
    <row r="11780" spans="1:6" x14ac:dyDescent="0.25">
      <c r="A11780" s="1" t="s">
        <v>906</v>
      </c>
      <c r="B11780" s="1" t="s">
        <v>2494</v>
      </c>
      <c r="C11780" s="1" t="s">
        <v>232</v>
      </c>
      <c r="D11780" s="3">
        <f t="shared" si="1868"/>
        <v>1004</v>
      </c>
      <c r="E11780" s="2">
        <f t="shared" si="1869"/>
        <v>39173</v>
      </c>
      <c r="F11780" s="2">
        <f t="shared" si="1870"/>
        <v>41274</v>
      </c>
    </row>
    <row r="11781" spans="1:6" x14ac:dyDescent="0.25">
      <c r="A11781" s="1" t="s">
        <v>906</v>
      </c>
      <c r="B11781" s="1" t="s">
        <v>2494</v>
      </c>
      <c r="C11781" s="1" t="s">
        <v>234</v>
      </c>
      <c r="D11781" s="3">
        <f t="shared" si="1868"/>
        <v>1004</v>
      </c>
      <c r="E11781" s="2">
        <f t="shared" si="1869"/>
        <v>39173</v>
      </c>
      <c r="F11781" s="2">
        <f t="shared" si="1870"/>
        <v>41274</v>
      </c>
    </row>
    <row r="11782" spans="1:6" x14ac:dyDescent="0.25">
      <c r="A11782" s="1" t="s">
        <v>906</v>
      </c>
      <c r="B11782" s="1" t="s">
        <v>2494</v>
      </c>
      <c r="C11782" s="1" t="s">
        <v>30</v>
      </c>
      <c r="D11782" s="3">
        <f t="shared" si="1868"/>
        <v>1004</v>
      </c>
      <c r="E11782" s="2">
        <f t="shared" si="1869"/>
        <v>39173</v>
      </c>
      <c r="F11782" s="2">
        <f t="shared" si="1870"/>
        <v>41274</v>
      </c>
    </row>
    <row r="11783" spans="1:6" x14ac:dyDescent="0.25">
      <c r="A11783" s="1" t="s">
        <v>906</v>
      </c>
      <c r="B11783" s="1" t="s">
        <v>2494</v>
      </c>
      <c r="C11783" s="1" t="s">
        <v>235</v>
      </c>
      <c r="D11783" s="3">
        <f t="shared" si="1868"/>
        <v>1004</v>
      </c>
      <c r="E11783" s="2">
        <f t="shared" si="1869"/>
        <v>39173</v>
      </c>
      <c r="F11783" s="2">
        <f t="shared" si="1870"/>
        <v>41274</v>
      </c>
    </row>
    <row r="11784" spans="1:6" x14ac:dyDescent="0.25">
      <c r="A11784" s="1" t="s">
        <v>906</v>
      </c>
      <c r="B11784" s="1" t="s">
        <v>2494</v>
      </c>
      <c r="C11784" s="1" t="s">
        <v>236</v>
      </c>
      <c r="D11784" s="3">
        <f t="shared" si="1868"/>
        <v>1004</v>
      </c>
      <c r="E11784" s="2">
        <f t="shared" si="1869"/>
        <v>39173</v>
      </c>
      <c r="F11784" s="2">
        <f t="shared" si="1870"/>
        <v>41274</v>
      </c>
    </row>
    <row r="11785" spans="1:6" x14ac:dyDescent="0.25">
      <c r="A11785" s="1" t="s">
        <v>906</v>
      </c>
      <c r="B11785" s="1" t="s">
        <v>2494</v>
      </c>
      <c r="C11785" s="1" t="s">
        <v>237</v>
      </c>
      <c r="D11785" s="3">
        <f t="shared" si="1868"/>
        <v>1004</v>
      </c>
      <c r="E11785" s="2">
        <f t="shared" si="1869"/>
        <v>39173</v>
      </c>
      <c r="F11785" s="2">
        <f t="shared" si="1870"/>
        <v>41274</v>
      </c>
    </row>
    <row r="11786" spans="1:6" x14ac:dyDescent="0.25">
      <c r="A11786" s="1" t="s">
        <v>906</v>
      </c>
      <c r="B11786" s="1" t="s">
        <v>2494</v>
      </c>
      <c r="C11786" s="1" t="s">
        <v>238</v>
      </c>
      <c r="D11786" s="3">
        <f t="shared" si="1868"/>
        <v>1004</v>
      </c>
      <c r="E11786" s="2">
        <f t="shared" si="1869"/>
        <v>39173</v>
      </c>
      <c r="F11786" s="2">
        <f t="shared" si="1870"/>
        <v>41274</v>
      </c>
    </row>
    <row r="11787" spans="1:6" x14ac:dyDescent="0.25">
      <c r="A11787" s="1" t="s">
        <v>288</v>
      </c>
      <c r="B11787" s="1" t="s">
        <v>1545</v>
      </c>
      <c r="C11787" s="1" t="s">
        <v>8</v>
      </c>
      <c r="D11787" s="3">
        <f t="shared" ref="D11787:D11795" si="1871">VALUE("8737")</f>
        <v>8737</v>
      </c>
      <c r="E11787" s="2">
        <f t="shared" ref="E11787:E11795" si="1872">DATEVALUE("1-4-2020")</f>
        <v>43922</v>
      </c>
      <c r="F11787" s="2">
        <f t="shared" ref="F11787:F11795" si="1873">DATEVALUE("31-12-2020")</f>
        <v>44196</v>
      </c>
    </row>
    <row r="11788" spans="1:6" x14ac:dyDescent="0.25">
      <c r="A11788" s="1" t="s">
        <v>288</v>
      </c>
      <c r="B11788" s="1" t="s">
        <v>1545</v>
      </c>
      <c r="C11788" s="1" t="s">
        <v>14</v>
      </c>
      <c r="D11788" s="3">
        <f t="shared" si="1871"/>
        <v>8737</v>
      </c>
      <c r="E11788" s="2">
        <f t="shared" si="1872"/>
        <v>43922</v>
      </c>
      <c r="F11788" s="2">
        <f t="shared" si="1873"/>
        <v>44196</v>
      </c>
    </row>
    <row r="11789" spans="1:6" x14ac:dyDescent="0.25">
      <c r="A11789" s="1" t="s">
        <v>288</v>
      </c>
      <c r="B11789" s="1" t="s">
        <v>1545</v>
      </c>
      <c r="C11789" s="1" t="s">
        <v>17</v>
      </c>
      <c r="D11789" s="3">
        <f t="shared" si="1871"/>
        <v>8737</v>
      </c>
      <c r="E11789" s="2">
        <f t="shared" si="1872"/>
        <v>43922</v>
      </c>
      <c r="F11789" s="2">
        <f t="shared" si="1873"/>
        <v>44196</v>
      </c>
    </row>
    <row r="11790" spans="1:6" x14ac:dyDescent="0.25">
      <c r="A11790" s="1" t="s">
        <v>288</v>
      </c>
      <c r="B11790" s="1" t="s">
        <v>1545</v>
      </c>
      <c r="C11790" s="1" t="s">
        <v>257</v>
      </c>
      <c r="D11790" s="3">
        <f t="shared" si="1871"/>
        <v>8737</v>
      </c>
      <c r="E11790" s="2">
        <f t="shared" si="1872"/>
        <v>43922</v>
      </c>
      <c r="F11790" s="2">
        <f t="shared" si="1873"/>
        <v>44196</v>
      </c>
    </row>
    <row r="11791" spans="1:6" x14ac:dyDescent="0.25">
      <c r="A11791" s="1" t="s">
        <v>288</v>
      </c>
      <c r="B11791" s="1" t="s">
        <v>1545</v>
      </c>
      <c r="C11791" s="1" t="s">
        <v>67</v>
      </c>
      <c r="D11791" s="3">
        <f t="shared" si="1871"/>
        <v>8737</v>
      </c>
      <c r="E11791" s="2">
        <f t="shared" si="1872"/>
        <v>43922</v>
      </c>
      <c r="F11791" s="2">
        <f t="shared" si="1873"/>
        <v>44196</v>
      </c>
    </row>
    <row r="11792" spans="1:6" x14ac:dyDescent="0.25">
      <c r="A11792" s="1" t="s">
        <v>288</v>
      </c>
      <c r="B11792" s="1" t="s">
        <v>1545</v>
      </c>
      <c r="C11792" s="1" t="s">
        <v>149</v>
      </c>
      <c r="D11792" s="3">
        <f t="shared" si="1871"/>
        <v>8737</v>
      </c>
      <c r="E11792" s="2">
        <f t="shared" si="1872"/>
        <v>43922</v>
      </c>
      <c r="F11792" s="2">
        <f t="shared" si="1873"/>
        <v>44196</v>
      </c>
    </row>
    <row r="11793" spans="1:6" x14ac:dyDescent="0.25">
      <c r="A11793" s="1" t="s">
        <v>288</v>
      </c>
      <c r="B11793" s="1" t="s">
        <v>1545</v>
      </c>
      <c r="C11793" s="1" t="s">
        <v>52</v>
      </c>
      <c r="D11793" s="3">
        <f t="shared" si="1871"/>
        <v>8737</v>
      </c>
      <c r="E11793" s="2">
        <f t="shared" si="1872"/>
        <v>43922</v>
      </c>
      <c r="F11793" s="2">
        <f t="shared" si="1873"/>
        <v>44196</v>
      </c>
    </row>
    <row r="11794" spans="1:6" x14ac:dyDescent="0.25">
      <c r="A11794" s="1" t="s">
        <v>288</v>
      </c>
      <c r="B11794" s="1" t="s">
        <v>1545</v>
      </c>
      <c r="C11794" s="1" t="s">
        <v>338</v>
      </c>
      <c r="D11794" s="3">
        <f t="shared" si="1871"/>
        <v>8737</v>
      </c>
      <c r="E11794" s="2">
        <f t="shared" si="1872"/>
        <v>43922</v>
      </c>
      <c r="F11794" s="2">
        <f t="shared" si="1873"/>
        <v>44196</v>
      </c>
    </row>
    <row r="11795" spans="1:6" x14ac:dyDescent="0.25">
      <c r="A11795" s="1" t="s">
        <v>288</v>
      </c>
      <c r="B11795" s="1" t="s">
        <v>1545</v>
      </c>
      <c r="C11795" s="1" t="s">
        <v>163</v>
      </c>
      <c r="D11795" s="3">
        <f t="shared" si="1871"/>
        <v>8737</v>
      </c>
      <c r="E11795" s="2">
        <f t="shared" si="1872"/>
        <v>43922</v>
      </c>
      <c r="F11795" s="2">
        <f t="shared" si="1873"/>
        <v>44196</v>
      </c>
    </row>
    <row r="11796" spans="1:6" x14ac:dyDescent="0.25">
      <c r="A11796" s="1" t="s">
        <v>288</v>
      </c>
      <c r="B11796" s="1" t="s">
        <v>2403</v>
      </c>
      <c r="C11796" s="1" t="s">
        <v>14</v>
      </c>
      <c r="D11796" s="3">
        <f t="shared" ref="D11796:D11815" si="1874">VALUE("8392")</f>
        <v>8392</v>
      </c>
      <c r="E11796" s="2">
        <f t="shared" ref="E11796:E11815" si="1875">DATEVALUE("1-12-2018")</f>
        <v>43435</v>
      </c>
      <c r="F11796" s="2">
        <f t="shared" ref="F11796:F11815" si="1876">DATEVALUE("30-11-2019")</f>
        <v>43799</v>
      </c>
    </row>
    <row r="11797" spans="1:6" x14ac:dyDescent="0.25">
      <c r="A11797" s="1" t="s">
        <v>288</v>
      </c>
      <c r="B11797" s="1" t="s">
        <v>2403</v>
      </c>
      <c r="C11797" s="1" t="s">
        <v>15</v>
      </c>
      <c r="D11797" s="3">
        <f t="shared" si="1874"/>
        <v>8392</v>
      </c>
      <c r="E11797" s="2">
        <f t="shared" si="1875"/>
        <v>43435</v>
      </c>
      <c r="F11797" s="2">
        <f t="shared" si="1876"/>
        <v>43799</v>
      </c>
    </row>
    <row r="11798" spans="1:6" x14ac:dyDescent="0.25">
      <c r="A11798" s="1" t="s">
        <v>288</v>
      </c>
      <c r="B11798" s="1" t="s">
        <v>2403</v>
      </c>
      <c r="C11798" s="1" t="s">
        <v>17</v>
      </c>
      <c r="D11798" s="3">
        <f t="shared" si="1874"/>
        <v>8392</v>
      </c>
      <c r="E11798" s="2">
        <f t="shared" si="1875"/>
        <v>43435</v>
      </c>
      <c r="F11798" s="2">
        <f t="shared" si="1876"/>
        <v>43799</v>
      </c>
    </row>
    <row r="11799" spans="1:6" x14ac:dyDescent="0.25">
      <c r="A11799" s="1" t="s">
        <v>288</v>
      </c>
      <c r="B11799" s="1" t="s">
        <v>2403</v>
      </c>
      <c r="C11799" s="1" t="s">
        <v>22</v>
      </c>
      <c r="D11799" s="3">
        <f t="shared" si="1874"/>
        <v>8392</v>
      </c>
      <c r="E11799" s="2">
        <f t="shared" si="1875"/>
        <v>43435</v>
      </c>
      <c r="F11799" s="2">
        <f t="shared" si="1876"/>
        <v>43799</v>
      </c>
    </row>
    <row r="11800" spans="1:6" x14ac:dyDescent="0.25">
      <c r="A11800" s="1" t="s">
        <v>288</v>
      </c>
      <c r="B11800" s="1" t="s">
        <v>2403</v>
      </c>
      <c r="C11800" s="1" t="s">
        <v>146</v>
      </c>
      <c r="D11800" s="3">
        <f t="shared" si="1874"/>
        <v>8392</v>
      </c>
      <c r="E11800" s="2">
        <f t="shared" si="1875"/>
        <v>43435</v>
      </c>
      <c r="F11800" s="2">
        <f t="shared" si="1876"/>
        <v>43799</v>
      </c>
    </row>
    <row r="11801" spans="1:6" x14ac:dyDescent="0.25">
      <c r="A11801" s="1" t="s">
        <v>288</v>
      </c>
      <c r="B11801" s="1" t="s">
        <v>2403</v>
      </c>
      <c r="C11801" s="1" t="s">
        <v>67</v>
      </c>
      <c r="D11801" s="3">
        <f t="shared" si="1874"/>
        <v>8392</v>
      </c>
      <c r="E11801" s="2">
        <f t="shared" si="1875"/>
        <v>43435</v>
      </c>
      <c r="F11801" s="2">
        <f t="shared" si="1876"/>
        <v>43799</v>
      </c>
    </row>
    <row r="11802" spans="1:6" x14ac:dyDescent="0.25">
      <c r="A11802" s="1" t="s">
        <v>288</v>
      </c>
      <c r="B11802" s="1" t="s">
        <v>2403</v>
      </c>
      <c r="C11802" s="1" t="s">
        <v>148</v>
      </c>
      <c r="D11802" s="3">
        <f t="shared" si="1874"/>
        <v>8392</v>
      </c>
      <c r="E11802" s="2">
        <f t="shared" si="1875"/>
        <v>43435</v>
      </c>
      <c r="F11802" s="2">
        <f t="shared" si="1876"/>
        <v>43799</v>
      </c>
    </row>
    <row r="11803" spans="1:6" x14ac:dyDescent="0.25">
      <c r="A11803" s="1" t="s">
        <v>288</v>
      </c>
      <c r="B11803" s="1" t="s">
        <v>2403</v>
      </c>
      <c r="C11803" s="1" t="s">
        <v>149</v>
      </c>
      <c r="D11803" s="3">
        <f t="shared" si="1874"/>
        <v>8392</v>
      </c>
      <c r="E11803" s="2">
        <f t="shared" si="1875"/>
        <v>43435</v>
      </c>
      <c r="F11803" s="2">
        <f t="shared" si="1876"/>
        <v>43799</v>
      </c>
    </row>
    <row r="11804" spans="1:6" x14ac:dyDescent="0.25">
      <c r="A11804" s="1" t="s">
        <v>288</v>
      </c>
      <c r="B11804" s="1" t="s">
        <v>2403</v>
      </c>
      <c r="C11804" s="1" t="s">
        <v>293</v>
      </c>
      <c r="D11804" s="3">
        <f t="shared" si="1874"/>
        <v>8392</v>
      </c>
      <c r="E11804" s="2">
        <f t="shared" si="1875"/>
        <v>43435</v>
      </c>
      <c r="F11804" s="2">
        <f t="shared" si="1876"/>
        <v>43799</v>
      </c>
    </row>
    <row r="11805" spans="1:6" x14ac:dyDescent="0.25">
      <c r="A11805" s="1" t="s">
        <v>288</v>
      </c>
      <c r="B11805" s="1" t="s">
        <v>2403</v>
      </c>
      <c r="C11805" s="1" t="s">
        <v>294</v>
      </c>
      <c r="D11805" s="3">
        <f t="shared" si="1874"/>
        <v>8392</v>
      </c>
      <c r="E11805" s="2">
        <f t="shared" si="1875"/>
        <v>43435</v>
      </c>
      <c r="F11805" s="2">
        <f t="shared" si="1876"/>
        <v>43799</v>
      </c>
    </row>
    <row r="11806" spans="1:6" x14ac:dyDescent="0.25">
      <c r="A11806" s="1" t="s">
        <v>288</v>
      </c>
      <c r="B11806" s="1" t="s">
        <v>2403</v>
      </c>
      <c r="C11806" s="1" t="s">
        <v>73</v>
      </c>
      <c r="D11806" s="3">
        <f t="shared" si="1874"/>
        <v>8392</v>
      </c>
      <c r="E11806" s="2">
        <f t="shared" si="1875"/>
        <v>43435</v>
      </c>
      <c r="F11806" s="2">
        <f t="shared" si="1876"/>
        <v>43799</v>
      </c>
    </row>
    <row r="11807" spans="1:6" x14ac:dyDescent="0.25">
      <c r="A11807" s="1" t="s">
        <v>288</v>
      </c>
      <c r="B11807" s="1" t="s">
        <v>2403</v>
      </c>
      <c r="C11807" s="1" t="s">
        <v>296</v>
      </c>
      <c r="D11807" s="3">
        <f t="shared" si="1874"/>
        <v>8392</v>
      </c>
      <c r="E11807" s="2">
        <f t="shared" si="1875"/>
        <v>43435</v>
      </c>
      <c r="F11807" s="2">
        <f t="shared" si="1876"/>
        <v>43799</v>
      </c>
    </row>
    <row r="11808" spans="1:6" x14ac:dyDescent="0.25">
      <c r="A11808" s="1" t="s">
        <v>288</v>
      </c>
      <c r="B11808" s="1" t="s">
        <v>2403</v>
      </c>
      <c r="C11808" s="1" t="s">
        <v>297</v>
      </c>
      <c r="D11808" s="3">
        <f t="shared" si="1874"/>
        <v>8392</v>
      </c>
      <c r="E11808" s="2">
        <f t="shared" si="1875"/>
        <v>43435</v>
      </c>
      <c r="F11808" s="2">
        <f t="shared" si="1876"/>
        <v>43799</v>
      </c>
    </row>
    <row r="11809" spans="1:6" x14ac:dyDescent="0.25">
      <c r="A11809" s="1" t="s">
        <v>288</v>
      </c>
      <c r="B11809" s="1" t="s">
        <v>2403</v>
      </c>
      <c r="C11809" s="1" t="s">
        <v>298</v>
      </c>
      <c r="D11809" s="3">
        <f t="shared" si="1874"/>
        <v>8392</v>
      </c>
      <c r="E11809" s="2">
        <f t="shared" si="1875"/>
        <v>43435</v>
      </c>
      <c r="F11809" s="2">
        <f t="shared" si="1876"/>
        <v>43799</v>
      </c>
    </row>
    <row r="11810" spans="1:6" x14ac:dyDescent="0.25">
      <c r="A11810" s="1" t="s">
        <v>288</v>
      </c>
      <c r="B11810" s="1" t="s">
        <v>2403</v>
      </c>
      <c r="C11810" s="1" t="s">
        <v>299</v>
      </c>
      <c r="D11810" s="3">
        <f t="shared" si="1874"/>
        <v>8392</v>
      </c>
      <c r="E11810" s="2">
        <f t="shared" si="1875"/>
        <v>43435</v>
      </c>
      <c r="F11810" s="2">
        <f t="shared" si="1876"/>
        <v>43799</v>
      </c>
    </row>
    <row r="11811" spans="1:6" x14ac:dyDescent="0.25">
      <c r="A11811" s="1" t="s">
        <v>288</v>
      </c>
      <c r="B11811" s="1" t="s">
        <v>2403</v>
      </c>
      <c r="C11811" s="1" t="s">
        <v>300</v>
      </c>
      <c r="D11811" s="3">
        <f t="shared" si="1874"/>
        <v>8392</v>
      </c>
      <c r="E11811" s="2">
        <f t="shared" si="1875"/>
        <v>43435</v>
      </c>
      <c r="F11811" s="2">
        <f t="shared" si="1876"/>
        <v>43799</v>
      </c>
    </row>
    <row r="11812" spans="1:6" x14ac:dyDescent="0.25">
      <c r="A11812" s="1" t="s">
        <v>288</v>
      </c>
      <c r="B11812" s="1" t="s">
        <v>2403</v>
      </c>
      <c r="C11812" s="1" t="s">
        <v>301</v>
      </c>
      <c r="D11812" s="3">
        <f t="shared" si="1874"/>
        <v>8392</v>
      </c>
      <c r="E11812" s="2">
        <f t="shared" si="1875"/>
        <v>43435</v>
      </c>
      <c r="F11812" s="2">
        <f t="shared" si="1876"/>
        <v>43799</v>
      </c>
    </row>
    <row r="11813" spans="1:6" x14ac:dyDescent="0.25">
      <c r="A11813" s="1" t="s">
        <v>288</v>
      </c>
      <c r="B11813" s="1" t="s">
        <v>2403</v>
      </c>
      <c r="C11813" s="1" t="s">
        <v>302</v>
      </c>
      <c r="D11813" s="3">
        <f t="shared" si="1874"/>
        <v>8392</v>
      </c>
      <c r="E11813" s="2">
        <f t="shared" si="1875"/>
        <v>43435</v>
      </c>
      <c r="F11813" s="2">
        <f t="shared" si="1876"/>
        <v>43799</v>
      </c>
    </row>
    <row r="11814" spans="1:6" x14ac:dyDescent="0.25">
      <c r="A11814" s="1" t="s">
        <v>288</v>
      </c>
      <c r="B11814" s="1" t="s">
        <v>2403</v>
      </c>
      <c r="C11814" s="1" t="s">
        <v>34</v>
      </c>
      <c r="D11814" s="3">
        <f t="shared" si="1874"/>
        <v>8392</v>
      </c>
      <c r="E11814" s="2">
        <f t="shared" si="1875"/>
        <v>43435</v>
      </c>
      <c r="F11814" s="2">
        <f t="shared" si="1876"/>
        <v>43799</v>
      </c>
    </row>
    <row r="11815" spans="1:6" x14ac:dyDescent="0.25">
      <c r="A11815" s="1" t="s">
        <v>288</v>
      </c>
      <c r="B11815" s="1" t="s">
        <v>2403</v>
      </c>
      <c r="C11815" s="1" t="s">
        <v>163</v>
      </c>
      <c r="D11815" s="3">
        <f t="shared" si="1874"/>
        <v>8392</v>
      </c>
      <c r="E11815" s="2">
        <f t="shared" si="1875"/>
        <v>43435</v>
      </c>
      <c r="F11815" s="2">
        <f t="shared" si="1876"/>
        <v>43799</v>
      </c>
    </row>
    <row r="11816" spans="1:6" x14ac:dyDescent="0.25">
      <c r="A11816" s="1" t="s">
        <v>288</v>
      </c>
      <c r="B11816" s="1" t="s">
        <v>1011</v>
      </c>
      <c r="C11816" s="1" t="s">
        <v>863</v>
      </c>
      <c r="D11816" s="3">
        <f t="shared" ref="D11816:D11828" si="1877">VALUE("8291")</f>
        <v>8291</v>
      </c>
      <c r="E11816" s="2">
        <f t="shared" ref="E11816:E11828" si="1878">DATEVALUE("1-8-2018")</f>
        <v>43313</v>
      </c>
      <c r="F11816" s="2">
        <f t="shared" ref="F11816:F11828" si="1879">DATEVALUE("30-6-2021")</f>
        <v>44377</v>
      </c>
    </row>
    <row r="11817" spans="1:6" x14ac:dyDescent="0.25">
      <c r="A11817" s="1" t="s">
        <v>288</v>
      </c>
      <c r="B11817" s="1" t="s">
        <v>1011</v>
      </c>
      <c r="C11817" s="1" t="s">
        <v>14</v>
      </c>
      <c r="D11817" s="3">
        <f t="shared" si="1877"/>
        <v>8291</v>
      </c>
      <c r="E11817" s="2">
        <f t="shared" si="1878"/>
        <v>43313</v>
      </c>
      <c r="F11817" s="2">
        <f t="shared" si="1879"/>
        <v>44377</v>
      </c>
    </row>
    <row r="11818" spans="1:6" x14ac:dyDescent="0.25">
      <c r="A11818" s="1" t="s">
        <v>288</v>
      </c>
      <c r="B11818" s="1" t="s">
        <v>1011</v>
      </c>
      <c r="C11818" s="1" t="s">
        <v>15</v>
      </c>
      <c r="D11818" s="3">
        <f t="shared" si="1877"/>
        <v>8291</v>
      </c>
      <c r="E11818" s="2">
        <f t="shared" si="1878"/>
        <v>43313</v>
      </c>
      <c r="F11818" s="2">
        <f t="shared" si="1879"/>
        <v>44377</v>
      </c>
    </row>
    <row r="11819" spans="1:6" x14ac:dyDescent="0.25">
      <c r="A11819" s="1" t="s">
        <v>288</v>
      </c>
      <c r="B11819" s="1" t="s">
        <v>1011</v>
      </c>
      <c r="C11819" s="1" t="s">
        <v>16</v>
      </c>
      <c r="D11819" s="3">
        <f t="shared" si="1877"/>
        <v>8291</v>
      </c>
      <c r="E11819" s="2">
        <f t="shared" si="1878"/>
        <v>43313</v>
      </c>
      <c r="F11819" s="2">
        <f t="shared" si="1879"/>
        <v>44377</v>
      </c>
    </row>
    <row r="11820" spans="1:6" x14ac:dyDescent="0.25">
      <c r="A11820" s="1" t="s">
        <v>288</v>
      </c>
      <c r="B11820" s="1" t="s">
        <v>1011</v>
      </c>
      <c r="C11820" s="1" t="s">
        <v>88</v>
      </c>
      <c r="D11820" s="3">
        <f t="shared" si="1877"/>
        <v>8291</v>
      </c>
      <c r="E11820" s="2">
        <f t="shared" si="1878"/>
        <v>43313</v>
      </c>
      <c r="F11820" s="2">
        <f t="shared" si="1879"/>
        <v>44377</v>
      </c>
    </row>
    <row r="11821" spans="1:6" x14ac:dyDescent="0.25">
      <c r="A11821" s="1" t="s">
        <v>288</v>
      </c>
      <c r="B11821" s="1" t="s">
        <v>1011</v>
      </c>
      <c r="C11821" s="1" t="s">
        <v>67</v>
      </c>
      <c r="D11821" s="3">
        <f t="shared" si="1877"/>
        <v>8291</v>
      </c>
      <c r="E11821" s="2">
        <f t="shared" si="1878"/>
        <v>43313</v>
      </c>
      <c r="F11821" s="2">
        <f t="shared" si="1879"/>
        <v>44377</v>
      </c>
    </row>
    <row r="11822" spans="1:6" x14ac:dyDescent="0.25">
      <c r="A11822" s="1" t="s">
        <v>288</v>
      </c>
      <c r="B11822" s="1" t="s">
        <v>1011</v>
      </c>
      <c r="C11822" s="1" t="s">
        <v>155</v>
      </c>
      <c r="D11822" s="3">
        <f t="shared" si="1877"/>
        <v>8291</v>
      </c>
      <c r="E11822" s="2">
        <f t="shared" si="1878"/>
        <v>43313</v>
      </c>
      <c r="F11822" s="2">
        <f t="shared" si="1879"/>
        <v>44377</v>
      </c>
    </row>
    <row r="11823" spans="1:6" x14ac:dyDescent="0.25">
      <c r="A11823" s="1" t="s">
        <v>288</v>
      </c>
      <c r="B11823" s="1" t="s">
        <v>1011</v>
      </c>
      <c r="C11823" s="1" t="s">
        <v>51</v>
      </c>
      <c r="D11823" s="3">
        <f t="shared" si="1877"/>
        <v>8291</v>
      </c>
      <c r="E11823" s="2">
        <f t="shared" si="1878"/>
        <v>43313</v>
      </c>
      <c r="F11823" s="2">
        <f t="shared" si="1879"/>
        <v>44377</v>
      </c>
    </row>
    <row r="11824" spans="1:6" x14ac:dyDescent="0.25">
      <c r="A11824" s="1" t="s">
        <v>288</v>
      </c>
      <c r="B11824" s="1" t="s">
        <v>1011</v>
      </c>
      <c r="C11824" s="1" t="s">
        <v>73</v>
      </c>
      <c r="D11824" s="3">
        <f t="shared" si="1877"/>
        <v>8291</v>
      </c>
      <c r="E11824" s="2">
        <f t="shared" si="1878"/>
        <v>43313</v>
      </c>
      <c r="F11824" s="2">
        <f t="shared" si="1879"/>
        <v>44377</v>
      </c>
    </row>
    <row r="11825" spans="1:6" x14ac:dyDescent="0.25">
      <c r="A11825" s="1" t="s">
        <v>288</v>
      </c>
      <c r="B11825" s="1" t="s">
        <v>1011</v>
      </c>
      <c r="C11825" s="1" t="s">
        <v>162</v>
      </c>
      <c r="D11825" s="3">
        <f t="shared" si="1877"/>
        <v>8291</v>
      </c>
      <c r="E11825" s="2">
        <f t="shared" si="1878"/>
        <v>43313</v>
      </c>
      <c r="F11825" s="2">
        <f t="shared" si="1879"/>
        <v>44377</v>
      </c>
    </row>
    <row r="11826" spans="1:6" x14ac:dyDescent="0.25">
      <c r="A11826" s="1" t="s">
        <v>288</v>
      </c>
      <c r="B11826" s="1" t="s">
        <v>1011</v>
      </c>
      <c r="C11826" s="1" t="s">
        <v>54</v>
      </c>
      <c r="D11826" s="3">
        <f t="shared" si="1877"/>
        <v>8291</v>
      </c>
      <c r="E11826" s="2">
        <f t="shared" si="1878"/>
        <v>43313</v>
      </c>
      <c r="F11826" s="2">
        <f t="shared" si="1879"/>
        <v>44377</v>
      </c>
    </row>
    <row r="11827" spans="1:6" x14ac:dyDescent="0.25">
      <c r="A11827" s="1" t="s">
        <v>288</v>
      </c>
      <c r="B11827" s="1" t="s">
        <v>1011</v>
      </c>
      <c r="C11827" s="1" t="s">
        <v>34</v>
      </c>
      <c r="D11827" s="3">
        <f t="shared" si="1877"/>
        <v>8291</v>
      </c>
      <c r="E11827" s="2">
        <f t="shared" si="1878"/>
        <v>43313</v>
      </c>
      <c r="F11827" s="2">
        <f t="shared" si="1879"/>
        <v>44377</v>
      </c>
    </row>
    <row r="11828" spans="1:6" x14ac:dyDescent="0.25">
      <c r="A11828" s="1" t="s">
        <v>288</v>
      </c>
      <c r="B11828" s="1" t="s">
        <v>1011</v>
      </c>
      <c r="C11828" s="1" t="s">
        <v>163</v>
      </c>
      <c r="D11828" s="3">
        <f t="shared" si="1877"/>
        <v>8291</v>
      </c>
      <c r="E11828" s="2">
        <f t="shared" si="1878"/>
        <v>43313</v>
      </c>
      <c r="F11828" s="2">
        <f t="shared" si="1879"/>
        <v>44377</v>
      </c>
    </row>
    <row r="11829" spans="1:6" x14ac:dyDescent="0.25">
      <c r="A11829" s="1" t="s">
        <v>288</v>
      </c>
      <c r="B11829" s="1" t="s">
        <v>2354</v>
      </c>
      <c r="C11829" s="1" t="s">
        <v>140</v>
      </c>
      <c r="D11829" s="3">
        <f t="shared" ref="D11829:D11840" si="1880">VALUE("8229")</f>
        <v>8229</v>
      </c>
      <c r="E11829" s="2">
        <f t="shared" ref="E11829:E11840" si="1881">DATEVALUE("1-2-2018")</f>
        <v>43132</v>
      </c>
      <c r="F11829" s="2">
        <f t="shared" ref="F11829:F11840" si="1882">DATEVALUE("31-12-2018")</f>
        <v>43465</v>
      </c>
    </row>
    <row r="11830" spans="1:6" x14ac:dyDescent="0.25">
      <c r="A11830" s="1" t="s">
        <v>288</v>
      </c>
      <c r="B11830" s="1" t="s">
        <v>2354</v>
      </c>
      <c r="C11830" s="1" t="s">
        <v>141</v>
      </c>
      <c r="D11830" s="3">
        <f t="shared" si="1880"/>
        <v>8229</v>
      </c>
      <c r="E11830" s="2">
        <f t="shared" si="1881"/>
        <v>43132</v>
      </c>
      <c r="F11830" s="2">
        <f t="shared" si="1882"/>
        <v>43465</v>
      </c>
    </row>
    <row r="11831" spans="1:6" x14ac:dyDescent="0.25">
      <c r="A11831" s="1" t="s">
        <v>288</v>
      </c>
      <c r="B11831" s="1" t="s">
        <v>2354</v>
      </c>
      <c r="C11831" s="1" t="s">
        <v>14</v>
      </c>
      <c r="D11831" s="3">
        <f t="shared" si="1880"/>
        <v>8229</v>
      </c>
      <c r="E11831" s="2">
        <f t="shared" si="1881"/>
        <v>43132</v>
      </c>
      <c r="F11831" s="2">
        <f t="shared" si="1882"/>
        <v>43465</v>
      </c>
    </row>
    <row r="11832" spans="1:6" x14ac:dyDescent="0.25">
      <c r="A11832" s="1" t="s">
        <v>288</v>
      </c>
      <c r="B11832" s="1" t="s">
        <v>2354</v>
      </c>
      <c r="C11832" s="1" t="s">
        <v>15</v>
      </c>
      <c r="D11832" s="3">
        <f t="shared" si="1880"/>
        <v>8229</v>
      </c>
      <c r="E11832" s="2">
        <f t="shared" si="1881"/>
        <v>43132</v>
      </c>
      <c r="F11832" s="2">
        <f t="shared" si="1882"/>
        <v>43465</v>
      </c>
    </row>
    <row r="11833" spans="1:6" x14ac:dyDescent="0.25">
      <c r="A11833" s="1" t="s">
        <v>288</v>
      </c>
      <c r="B11833" s="1" t="s">
        <v>2354</v>
      </c>
      <c r="C11833" s="1" t="s">
        <v>17</v>
      </c>
      <c r="D11833" s="3">
        <f t="shared" si="1880"/>
        <v>8229</v>
      </c>
      <c r="E11833" s="2">
        <f t="shared" si="1881"/>
        <v>43132</v>
      </c>
      <c r="F11833" s="2">
        <f t="shared" si="1882"/>
        <v>43465</v>
      </c>
    </row>
    <row r="11834" spans="1:6" x14ac:dyDescent="0.25">
      <c r="A11834" s="1" t="s">
        <v>288</v>
      </c>
      <c r="B11834" s="1" t="s">
        <v>2354</v>
      </c>
      <c r="C11834" s="1" t="s">
        <v>146</v>
      </c>
      <c r="D11834" s="3">
        <f t="shared" si="1880"/>
        <v>8229</v>
      </c>
      <c r="E11834" s="2">
        <f t="shared" si="1881"/>
        <v>43132</v>
      </c>
      <c r="F11834" s="2">
        <f t="shared" si="1882"/>
        <v>43465</v>
      </c>
    </row>
    <row r="11835" spans="1:6" x14ac:dyDescent="0.25">
      <c r="A11835" s="1" t="s">
        <v>288</v>
      </c>
      <c r="B11835" s="1" t="s">
        <v>2354</v>
      </c>
      <c r="C11835" s="1" t="s">
        <v>67</v>
      </c>
      <c r="D11835" s="3">
        <f t="shared" si="1880"/>
        <v>8229</v>
      </c>
      <c r="E11835" s="2">
        <f t="shared" si="1881"/>
        <v>43132</v>
      </c>
      <c r="F11835" s="2">
        <f t="shared" si="1882"/>
        <v>43465</v>
      </c>
    </row>
    <row r="11836" spans="1:6" x14ac:dyDescent="0.25">
      <c r="A11836" s="1" t="s">
        <v>288</v>
      </c>
      <c r="B11836" s="1" t="s">
        <v>2354</v>
      </c>
      <c r="C11836" s="1" t="s">
        <v>148</v>
      </c>
      <c r="D11836" s="3">
        <f t="shared" si="1880"/>
        <v>8229</v>
      </c>
      <c r="E11836" s="2">
        <f t="shared" si="1881"/>
        <v>43132</v>
      </c>
      <c r="F11836" s="2">
        <f t="shared" si="1882"/>
        <v>43465</v>
      </c>
    </row>
    <row r="11837" spans="1:6" x14ac:dyDescent="0.25">
      <c r="A11837" s="1" t="s">
        <v>288</v>
      </c>
      <c r="B11837" s="1" t="s">
        <v>2354</v>
      </c>
      <c r="C11837" s="1" t="s">
        <v>151</v>
      </c>
      <c r="D11837" s="3">
        <f t="shared" si="1880"/>
        <v>8229</v>
      </c>
      <c r="E11837" s="2">
        <f t="shared" si="1881"/>
        <v>43132</v>
      </c>
      <c r="F11837" s="2">
        <f t="shared" si="1882"/>
        <v>43465</v>
      </c>
    </row>
    <row r="11838" spans="1:6" x14ac:dyDescent="0.25">
      <c r="A11838" s="1" t="s">
        <v>288</v>
      </c>
      <c r="B11838" s="1" t="s">
        <v>2354</v>
      </c>
      <c r="C11838" s="1" t="s">
        <v>34</v>
      </c>
      <c r="D11838" s="3">
        <f t="shared" si="1880"/>
        <v>8229</v>
      </c>
      <c r="E11838" s="2">
        <f t="shared" si="1881"/>
        <v>43132</v>
      </c>
      <c r="F11838" s="2">
        <f t="shared" si="1882"/>
        <v>43465</v>
      </c>
    </row>
    <row r="11839" spans="1:6" x14ac:dyDescent="0.25">
      <c r="A11839" s="1" t="s">
        <v>288</v>
      </c>
      <c r="B11839" s="1" t="s">
        <v>2354</v>
      </c>
      <c r="C11839" s="1" t="s">
        <v>310</v>
      </c>
      <c r="D11839" s="3">
        <f t="shared" si="1880"/>
        <v>8229</v>
      </c>
      <c r="E11839" s="2">
        <f t="shared" si="1881"/>
        <v>43132</v>
      </c>
      <c r="F11839" s="2">
        <f t="shared" si="1882"/>
        <v>43465</v>
      </c>
    </row>
    <row r="11840" spans="1:6" x14ac:dyDescent="0.25">
      <c r="A11840" s="1" t="s">
        <v>288</v>
      </c>
      <c r="B11840" s="1" t="s">
        <v>2354</v>
      </c>
      <c r="C11840" s="1" t="s">
        <v>2355</v>
      </c>
      <c r="D11840" s="3">
        <f t="shared" si="1880"/>
        <v>8229</v>
      </c>
      <c r="E11840" s="2">
        <f t="shared" si="1881"/>
        <v>43132</v>
      </c>
      <c r="F11840" s="2">
        <f t="shared" si="1882"/>
        <v>43465</v>
      </c>
    </row>
    <row r="11841" spans="1:6" x14ac:dyDescent="0.25">
      <c r="A11841" s="1" t="s">
        <v>288</v>
      </c>
      <c r="B11841" s="1" t="s">
        <v>2237</v>
      </c>
      <c r="C11841" s="1" t="s">
        <v>310</v>
      </c>
      <c r="D11841" s="3">
        <f>VALUE("7913")</f>
        <v>7913</v>
      </c>
      <c r="E11841" s="2">
        <f>DATEVALUE("1-7-2016")</f>
        <v>42552</v>
      </c>
      <c r="F11841" s="2">
        <f>DATEVALUE("31-8-2016")</f>
        <v>42613</v>
      </c>
    </row>
    <row r="11842" spans="1:6" x14ac:dyDescent="0.25">
      <c r="A11842" s="1" t="s">
        <v>288</v>
      </c>
      <c r="B11842" s="1" t="s">
        <v>1974</v>
      </c>
      <c r="C11842" s="1" t="s">
        <v>141</v>
      </c>
      <c r="D11842" s="3">
        <f t="shared" ref="D11842:D11850" si="1883">VALUE("7746")</f>
        <v>7746</v>
      </c>
      <c r="E11842" s="2">
        <f t="shared" ref="E11842:E11850" si="1884">DATEVALUE("1-6-2015")</f>
        <v>42156</v>
      </c>
      <c r="F11842" s="2">
        <f t="shared" ref="F11842:F11850" si="1885">DATEVALUE("29-2-2016")</f>
        <v>42429</v>
      </c>
    </row>
    <row r="11843" spans="1:6" x14ac:dyDescent="0.25">
      <c r="A11843" s="1" t="s">
        <v>288</v>
      </c>
      <c r="B11843" s="1" t="s">
        <v>1974</v>
      </c>
      <c r="C11843" s="1" t="s">
        <v>142</v>
      </c>
      <c r="D11843" s="3">
        <f t="shared" si="1883"/>
        <v>7746</v>
      </c>
      <c r="E11843" s="2">
        <f t="shared" si="1884"/>
        <v>42156</v>
      </c>
      <c r="F11843" s="2">
        <f t="shared" si="1885"/>
        <v>42429</v>
      </c>
    </row>
    <row r="11844" spans="1:6" x14ac:dyDescent="0.25">
      <c r="A11844" s="1" t="s">
        <v>288</v>
      </c>
      <c r="B11844" s="1" t="s">
        <v>1974</v>
      </c>
      <c r="C11844" s="1" t="s">
        <v>87</v>
      </c>
      <c r="D11844" s="3">
        <f t="shared" si="1883"/>
        <v>7746</v>
      </c>
      <c r="E11844" s="2">
        <f t="shared" si="1884"/>
        <v>42156</v>
      </c>
      <c r="F11844" s="2">
        <f t="shared" si="1885"/>
        <v>42429</v>
      </c>
    </row>
    <row r="11845" spans="1:6" x14ac:dyDescent="0.25">
      <c r="A11845" s="1" t="s">
        <v>288</v>
      </c>
      <c r="B11845" s="1" t="s">
        <v>1974</v>
      </c>
      <c r="C11845" s="1" t="s">
        <v>14</v>
      </c>
      <c r="D11845" s="3">
        <f t="shared" si="1883"/>
        <v>7746</v>
      </c>
      <c r="E11845" s="2">
        <f t="shared" si="1884"/>
        <v>42156</v>
      </c>
      <c r="F11845" s="2">
        <f t="shared" si="1885"/>
        <v>42429</v>
      </c>
    </row>
    <row r="11846" spans="1:6" x14ac:dyDescent="0.25">
      <c r="A11846" s="1" t="s">
        <v>288</v>
      </c>
      <c r="B11846" s="1" t="s">
        <v>1974</v>
      </c>
      <c r="C11846" s="1" t="s">
        <v>15</v>
      </c>
      <c r="D11846" s="3">
        <f t="shared" si="1883"/>
        <v>7746</v>
      </c>
      <c r="E11846" s="2">
        <f t="shared" si="1884"/>
        <v>42156</v>
      </c>
      <c r="F11846" s="2">
        <f t="shared" si="1885"/>
        <v>42429</v>
      </c>
    </row>
    <row r="11847" spans="1:6" x14ac:dyDescent="0.25">
      <c r="A11847" s="1" t="s">
        <v>288</v>
      </c>
      <c r="B11847" s="1" t="s">
        <v>1974</v>
      </c>
      <c r="C11847" s="1" t="s">
        <v>17</v>
      </c>
      <c r="D11847" s="3">
        <f t="shared" si="1883"/>
        <v>7746</v>
      </c>
      <c r="E11847" s="2">
        <f t="shared" si="1884"/>
        <v>42156</v>
      </c>
      <c r="F11847" s="2">
        <f t="shared" si="1885"/>
        <v>42429</v>
      </c>
    </row>
    <row r="11848" spans="1:6" x14ac:dyDescent="0.25">
      <c r="A11848" s="1" t="s">
        <v>288</v>
      </c>
      <c r="B11848" s="1" t="s">
        <v>1974</v>
      </c>
      <c r="C11848" s="1" t="s">
        <v>148</v>
      </c>
      <c r="D11848" s="3">
        <f t="shared" si="1883"/>
        <v>7746</v>
      </c>
      <c r="E11848" s="2">
        <f t="shared" si="1884"/>
        <v>42156</v>
      </c>
      <c r="F11848" s="2">
        <f t="shared" si="1885"/>
        <v>42429</v>
      </c>
    </row>
    <row r="11849" spans="1:6" x14ac:dyDescent="0.25">
      <c r="A11849" s="1" t="s">
        <v>288</v>
      </c>
      <c r="B11849" s="1" t="s">
        <v>1974</v>
      </c>
      <c r="C11849" s="1" t="s">
        <v>151</v>
      </c>
      <c r="D11849" s="3">
        <f t="shared" si="1883"/>
        <v>7746</v>
      </c>
      <c r="E11849" s="2">
        <f t="shared" si="1884"/>
        <v>42156</v>
      </c>
      <c r="F11849" s="2">
        <f t="shared" si="1885"/>
        <v>42429</v>
      </c>
    </row>
    <row r="11850" spans="1:6" x14ac:dyDescent="0.25">
      <c r="A11850" s="1" t="s">
        <v>288</v>
      </c>
      <c r="B11850" s="1" t="s">
        <v>1974</v>
      </c>
      <c r="C11850" s="1" t="s">
        <v>163</v>
      </c>
      <c r="D11850" s="3">
        <f t="shared" si="1883"/>
        <v>7746</v>
      </c>
      <c r="E11850" s="2">
        <f t="shared" si="1884"/>
        <v>42156</v>
      </c>
      <c r="F11850" s="2">
        <f t="shared" si="1885"/>
        <v>42429</v>
      </c>
    </row>
    <row r="11851" spans="1:6" x14ac:dyDescent="0.25">
      <c r="A11851" s="1" t="s">
        <v>288</v>
      </c>
      <c r="B11851" s="1" t="s">
        <v>372</v>
      </c>
      <c r="C11851" s="1" t="s">
        <v>249</v>
      </c>
      <c r="D11851" s="3">
        <f t="shared" ref="D11851:D11857" si="1886">VALUE("7574")</f>
        <v>7574</v>
      </c>
      <c r="E11851" s="2">
        <f t="shared" ref="E11851:E11857" si="1887">DATEVALUE("1-2-2014")</f>
        <v>41671</v>
      </c>
      <c r="F11851" s="2">
        <f t="shared" ref="F11851:F11857" si="1888">DATEVALUE("31-12-2020")</f>
        <v>44196</v>
      </c>
    </row>
    <row r="11852" spans="1:6" x14ac:dyDescent="0.25">
      <c r="A11852" s="1" t="s">
        <v>288</v>
      </c>
      <c r="B11852" s="1" t="s">
        <v>372</v>
      </c>
      <c r="C11852" s="1" t="s">
        <v>248</v>
      </c>
      <c r="D11852" s="3">
        <f t="shared" si="1886"/>
        <v>7574</v>
      </c>
      <c r="E11852" s="2">
        <f t="shared" si="1887"/>
        <v>41671</v>
      </c>
      <c r="F11852" s="2">
        <f t="shared" si="1888"/>
        <v>44196</v>
      </c>
    </row>
    <row r="11853" spans="1:6" x14ac:dyDescent="0.25">
      <c r="A11853" s="1" t="s">
        <v>288</v>
      </c>
      <c r="B11853" s="1" t="s">
        <v>372</v>
      </c>
      <c r="C11853" s="1" t="s">
        <v>14</v>
      </c>
      <c r="D11853" s="3">
        <f t="shared" si="1886"/>
        <v>7574</v>
      </c>
      <c r="E11853" s="2">
        <f t="shared" si="1887"/>
        <v>41671</v>
      </c>
      <c r="F11853" s="2">
        <f t="shared" si="1888"/>
        <v>44196</v>
      </c>
    </row>
    <row r="11854" spans="1:6" x14ac:dyDescent="0.25">
      <c r="A11854" s="1" t="s">
        <v>288</v>
      </c>
      <c r="B11854" s="1" t="s">
        <v>372</v>
      </c>
      <c r="C11854" s="1" t="s">
        <v>15</v>
      </c>
      <c r="D11854" s="3">
        <f t="shared" si="1886"/>
        <v>7574</v>
      </c>
      <c r="E11854" s="2">
        <f t="shared" si="1887"/>
        <v>41671</v>
      </c>
      <c r="F11854" s="2">
        <f t="shared" si="1888"/>
        <v>44196</v>
      </c>
    </row>
    <row r="11855" spans="1:6" x14ac:dyDescent="0.25">
      <c r="A11855" s="1" t="s">
        <v>288</v>
      </c>
      <c r="B11855" s="1" t="s">
        <v>372</v>
      </c>
      <c r="C11855" s="1" t="s">
        <v>146</v>
      </c>
      <c r="D11855" s="3">
        <f t="shared" si="1886"/>
        <v>7574</v>
      </c>
      <c r="E11855" s="2">
        <f t="shared" si="1887"/>
        <v>41671</v>
      </c>
      <c r="F11855" s="2">
        <f t="shared" si="1888"/>
        <v>44196</v>
      </c>
    </row>
    <row r="11856" spans="1:6" x14ac:dyDescent="0.25">
      <c r="A11856" s="1" t="s">
        <v>288</v>
      </c>
      <c r="B11856" s="1" t="s">
        <v>372</v>
      </c>
      <c r="C11856" s="1" t="s">
        <v>148</v>
      </c>
      <c r="D11856" s="3">
        <f t="shared" si="1886"/>
        <v>7574</v>
      </c>
      <c r="E11856" s="2">
        <f t="shared" si="1887"/>
        <v>41671</v>
      </c>
      <c r="F11856" s="2">
        <f t="shared" si="1888"/>
        <v>44196</v>
      </c>
    </row>
    <row r="11857" spans="1:6" x14ac:dyDescent="0.25">
      <c r="A11857" s="1" t="s">
        <v>288</v>
      </c>
      <c r="B11857" s="1" t="s">
        <v>372</v>
      </c>
      <c r="C11857" s="1" t="s">
        <v>310</v>
      </c>
      <c r="D11857" s="3">
        <f t="shared" si="1886"/>
        <v>7574</v>
      </c>
      <c r="E11857" s="2">
        <f t="shared" si="1887"/>
        <v>41671</v>
      </c>
      <c r="F11857" s="2">
        <f t="shared" si="1888"/>
        <v>44196</v>
      </c>
    </row>
    <row r="11858" spans="1:6" x14ac:dyDescent="0.25">
      <c r="A11858" s="1" t="s">
        <v>288</v>
      </c>
      <c r="B11858" s="1" t="s">
        <v>287</v>
      </c>
      <c r="C11858" s="1" t="s">
        <v>8</v>
      </c>
      <c r="D11858" s="3">
        <f t="shared" ref="D11858:D11889" si="1889">VALUE("7312")</f>
        <v>7312</v>
      </c>
      <c r="E11858" s="2">
        <f t="shared" ref="E11858:E11889" si="1890">DATEVALUE("1-10-2012")</f>
        <v>41183</v>
      </c>
      <c r="F11858" s="2">
        <f t="shared" ref="F11858:F11889" si="1891">DATEVALUE("31-12-2025")</f>
        <v>46022</v>
      </c>
    </row>
    <row r="11859" spans="1:6" x14ac:dyDescent="0.25">
      <c r="A11859" s="1" t="s">
        <v>288</v>
      </c>
      <c r="B11859" s="1" t="s">
        <v>287</v>
      </c>
      <c r="C11859" s="1" t="s">
        <v>289</v>
      </c>
      <c r="D11859" s="3">
        <f t="shared" si="1889"/>
        <v>7312</v>
      </c>
      <c r="E11859" s="2">
        <f t="shared" si="1890"/>
        <v>41183</v>
      </c>
      <c r="F11859" s="2">
        <f t="shared" si="1891"/>
        <v>46022</v>
      </c>
    </row>
    <row r="11860" spans="1:6" x14ac:dyDescent="0.25">
      <c r="A11860" s="1" t="s">
        <v>288</v>
      </c>
      <c r="B11860" s="1" t="s">
        <v>287</v>
      </c>
      <c r="C11860" s="1" t="s">
        <v>45</v>
      </c>
      <c r="D11860" s="3">
        <f t="shared" si="1889"/>
        <v>7312</v>
      </c>
      <c r="E11860" s="2">
        <f t="shared" si="1890"/>
        <v>41183</v>
      </c>
      <c r="F11860" s="2">
        <f t="shared" si="1891"/>
        <v>46022</v>
      </c>
    </row>
    <row r="11861" spans="1:6" x14ac:dyDescent="0.25">
      <c r="A11861" s="1" t="s">
        <v>288</v>
      </c>
      <c r="B11861" s="1" t="s">
        <v>287</v>
      </c>
      <c r="C11861" s="1" t="s">
        <v>44</v>
      </c>
      <c r="D11861" s="3">
        <f t="shared" si="1889"/>
        <v>7312</v>
      </c>
      <c r="E11861" s="2">
        <f t="shared" si="1890"/>
        <v>41183</v>
      </c>
      <c r="F11861" s="2">
        <f t="shared" si="1891"/>
        <v>46022</v>
      </c>
    </row>
    <row r="11862" spans="1:6" x14ac:dyDescent="0.25">
      <c r="A11862" s="1" t="s">
        <v>288</v>
      </c>
      <c r="B11862" s="1" t="s">
        <v>287</v>
      </c>
      <c r="C11862" s="1" t="s">
        <v>141</v>
      </c>
      <c r="D11862" s="3">
        <f t="shared" si="1889"/>
        <v>7312</v>
      </c>
      <c r="E11862" s="2">
        <f t="shared" si="1890"/>
        <v>41183</v>
      </c>
      <c r="F11862" s="2">
        <f t="shared" si="1891"/>
        <v>46022</v>
      </c>
    </row>
    <row r="11863" spans="1:6" x14ac:dyDescent="0.25">
      <c r="A11863" s="1" t="s">
        <v>288</v>
      </c>
      <c r="B11863" s="1" t="s">
        <v>287</v>
      </c>
      <c r="C11863" s="1" t="s">
        <v>142</v>
      </c>
      <c r="D11863" s="3">
        <f t="shared" si="1889"/>
        <v>7312</v>
      </c>
      <c r="E11863" s="2">
        <f t="shared" si="1890"/>
        <v>41183</v>
      </c>
      <c r="F11863" s="2">
        <f t="shared" si="1891"/>
        <v>46022</v>
      </c>
    </row>
    <row r="11864" spans="1:6" x14ac:dyDescent="0.25">
      <c r="A11864" s="1" t="s">
        <v>288</v>
      </c>
      <c r="B11864" s="1" t="s">
        <v>287</v>
      </c>
      <c r="C11864" s="1" t="s">
        <v>46</v>
      </c>
      <c r="D11864" s="3">
        <f t="shared" si="1889"/>
        <v>7312</v>
      </c>
      <c r="E11864" s="2">
        <f t="shared" si="1890"/>
        <v>41183</v>
      </c>
      <c r="F11864" s="2">
        <f t="shared" si="1891"/>
        <v>46022</v>
      </c>
    </row>
    <row r="11865" spans="1:6" x14ac:dyDescent="0.25">
      <c r="A11865" s="1" t="s">
        <v>288</v>
      </c>
      <c r="B11865" s="1" t="s">
        <v>287</v>
      </c>
      <c r="C11865" s="1" t="s">
        <v>14</v>
      </c>
      <c r="D11865" s="3">
        <f t="shared" si="1889"/>
        <v>7312</v>
      </c>
      <c r="E11865" s="2">
        <f t="shared" si="1890"/>
        <v>41183</v>
      </c>
      <c r="F11865" s="2">
        <f t="shared" si="1891"/>
        <v>46022</v>
      </c>
    </row>
    <row r="11866" spans="1:6" x14ac:dyDescent="0.25">
      <c r="A11866" s="1" t="s">
        <v>288</v>
      </c>
      <c r="B11866" s="1" t="s">
        <v>287</v>
      </c>
      <c r="C11866" s="1" t="s">
        <v>66</v>
      </c>
      <c r="D11866" s="3">
        <f t="shared" si="1889"/>
        <v>7312</v>
      </c>
      <c r="E11866" s="2">
        <f t="shared" si="1890"/>
        <v>41183</v>
      </c>
      <c r="F11866" s="2">
        <f t="shared" si="1891"/>
        <v>46022</v>
      </c>
    </row>
    <row r="11867" spans="1:6" x14ac:dyDescent="0.25">
      <c r="A11867" s="1" t="s">
        <v>288</v>
      </c>
      <c r="B11867" s="1" t="s">
        <v>287</v>
      </c>
      <c r="C11867" s="1" t="s">
        <v>15</v>
      </c>
      <c r="D11867" s="3">
        <f t="shared" si="1889"/>
        <v>7312</v>
      </c>
      <c r="E11867" s="2">
        <f t="shared" si="1890"/>
        <v>41183</v>
      </c>
      <c r="F11867" s="2">
        <f t="shared" si="1891"/>
        <v>46022</v>
      </c>
    </row>
    <row r="11868" spans="1:6" x14ac:dyDescent="0.25">
      <c r="A11868" s="1" t="s">
        <v>288</v>
      </c>
      <c r="B11868" s="1" t="s">
        <v>287</v>
      </c>
      <c r="C11868" s="1" t="s">
        <v>290</v>
      </c>
      <c r="D11868" s="3">
        <f t="shared" si="1889"/>
        <v>7312</v>
      </c>
      <c r="E11868" s="2">
        <f t="shared" si="1890"/>
        <v>41183</v>
      </c>
      <c r="F11868" s="2">
        <f t="shared" si="1891"/>
        <v>46022</v>
      </c>
    </row>
    <row r="11869" spans="1:6" x14ac:dyDescent="0.25">
      <c r="A11869" s="1" t="s">
        <v>288</v>
      </c>
      <c r="B11869" s="1" t="s">
        <v>287</v>
      </c>
      <c r="C11869" s="1" t="s">
        <v>89</v>
      </c>
      <c r="D11869" s="3">
        <f t="shared" si="1889"/>
        <v>7312</v>
      </c>
      <c r="E11869" s="2">
        <f t="shared" si="1890"/>
        <v>41183</v>
      </c>
      <c r="F11869" s="2">
        <f t="shared" si="1891"/>
        <v>46022</v>
      </c>
    </row>
    <row r="11870" spans="1:6" x14ac:dyDescent="0.25">
      <c r="A11870" s="1" t="s">
        <v>288</v>
      </c>
      <c r="B11870" s="1" t="s">
        <v>287</v>
      </c>
      <c r="C11870" s="1" t="s">
        <v>17</v>
      </c>
      <c r="D11870" s="3">
        <f t="shared" si="1889"/>
        <v>7312</v>
      </c>
      <c r="E11870" s="2">
        <f t="shared" si="1890"/>
        <v>41183</v>
      </c>
      <c r="F11870" s="2">
        <f t="shared" si="1891"/>
        <v>46022</v>
      </c>
    </row>
    <row r="11871" spans="1:6" x14ac:dyDescent="0.25">
      <c r="A11871" s="1" t="s">
        <v>288</v>
      </c>
      <c r="B11871" s="1" t="s">
        <v>287</v>
      </c>
      <c r="C11871" s="1" t="s">
        <v>257</v>
      </c>
      <c r="D11871" s="3">
        <f t="shared" si="1889"/>
        <v>7312</v>
      </c>
      <c r="E11871" s="2">
        <f t="shared" si="1890"/>
        <v>41183</v>
      </c>
      <c r="F11871" s="2">
        <f t="shared" si="1891"/>
        <v>46022</v>
      </c>
    </row>
    <row r="11872" spans="1:6" x14ac:dyDescent="0.25">
      <c r="A11872" s="1" t="s">
        <v>288</v>
      </c>
      <c r="B11872" s="1" t="s">
        <v>287</v>
      </c>
      <c r="C11872" s="1" t="s">
        <v>291</v>
      </c>
      <c r="D11872" s="3">
        <f t="shared" si="1889"/>
        <v>7312</v>
      </c>
      <c r="E11872" s="2">
        <f t="shared" si="1890"/>
        <v>41183</v>
      </c>
      <c r="F11872" s="2">
        <f t="shared" si="1891"/>
        <v>46022</v>
      </c>
    </row>
    <row r="11873" spans="1:6" x14ac:dyDescent="0.25">
      <c r="A11873" s="1" t="s">
        <v>288</v>
      </c>
      <c r="B11873" s="1" t="s">
        <v>287</v>
      </c>
      <c r="C11873" s="1" t="s">
        <v>22</v>
      </c>
      <c r="D11873" s="3">
        <f t="shared" si="1889"/>
        <v>7312</v>
      </c>
      <c r="E11873" s="2">
        <f t="shared" si="1890"/>
        <v>41183</v>
      </c>
      <c r="F11873" s="2">
        <f t="shared" si="1891"/>
        <v>46022</v>
      </c>
    </row>
    <row r="11874" spans="1:6" x14ac:dyDescent="0.25">
      <c r="A11874" s="1" t="s">
        <v>288</v>
      </c>
      <c r="B11874" s="1" t="s">
        <v>287</v>
      </c>
      <c r="C11874" s="1" t="s">
        <v>146</v>
      </c>
      <c r="D11874" s="3">
        <f t="shared" si="1889"/>
        <v>7312</v>
      </c>
      <c r="E11874" s="2">
        <f t="shared" si="1890"/>
        <v>41183</v>
      </c>
      <c r="F11874" s="2">
        <f t="shared" si="1891"/>
        <v>46022</v>
      </c>
    </row>
    <row r="11875" spans="1:6" x14ac:dyDescent="0.25">
      <c r="A11875" s="1" t="s">
        <v>288</v>
      </c>
      <c r="B11875" s="1" t="s">
        <v>287</v>
      </c>
      <c r="C11875" s="1" t="s">
        <v>67</v>
      </c>
      <c r="D11875" s="3">
        <f t="shared" si="1889"/>
        <v>7312</v>
      </c>
      <c r="E11875" s="2">
        <f t="shared" si="1890"/>
        <v>41183</v>
      </c>
      <c r="F11875" s="2">
        <f t="shared" si="1891"/>
        <v>46022</v>
      </c>
    </row>
    <row r="11876" spans="1:6" x14ac:dyDescent="0.25">
      <c r="A11876" s="1" t="s">
        <v>288</v>
      </c>
      <c r="B11876" s="1" t="s">
        <v>287</v>
      </c>
      <c r="C11876" s="1" t="s">
        <v>147</v>
      </c>
      <c r="D11876" s="3">
        <f t="shared" si="1889"/>
        <v>7312</v>
      </c>
      <c r="E11876" s="2">
        <f t="shared" si="1890"/>
        <v>41183</v>
      </c>
      <c r="F11876" s="2">
        <f t="shared" si="1891"/>
        <v>46022</v>
      </c>
    </row>
    <row r="11877" spans="1:6" x14ac:dyDescent="0.25">
      <c r="A11877" s="1" t="s">
        <v>288</v>
      </c>
      <c r="B11877" s="1" t="s">
        <v>287</v>
      </c>
      <c r="C11877" s="1" t="s">
        <v>148</v>
      </c>
      <c r="D11877" s="3">
        <f t="shared" si="1889"/>
        <v>7312</v>
      </c>
      <c r="E11877" s="2">
        <f t="shared" si="1890"/>
        <v>41183</v>
      </c>
      <c r="F11877" s="2">
        <f t="shared" si="1891"/>
        <v>46022</v>
      </c>
    </row>
    <row r="11878" spans="1:6" x14ac:dyDescent="0.25">
      <c r="A11878" s="1" t="s">
        <v>288</v>
      </c>
      <c r="B11878" s="1" t="s">
        <v>287</v>
      </c>
      <c r="C11878" s="1" t="s">
        <v>149</v>
      </c>
      <c r="D11878" s="3">
        <f t="shared" si="1889"/>
        <v>7312</v>
      </c>
      <c r="E11878" s="2">
        <f t="shared" si="1890"/>
        <v>41183</v>
      </c>
      <c r="F11878" s="2">
        <f t="shared" si="1891"/>
        <v>46022</v>
      </c>
    </row>
    <row r="11879" spans="1:6" x14ac:dyDescent="0.25">
      <c r="A11879" s="1" t="s">
        <v>288</v>
      </c>
      <c r="B11879" s="1" t="s">
        <v>287</v>
      </c>
      <c r="C11879" s="1" t="s">
        <v>92</v>
      </c>
      <c r="D11879" s="3">
        <f t="shared" si="1889"/>
        <v>7312</v>
      </c>
      <c r="E11879" s="2">
        <f t="shared" si="1890"/>
        <v>41183</v>
      </c>
      <c r="F11879" s="2">
        <f t="shared" si="1891"/>
        <v>46022</v>
      </c>
    </row>
    <row r="11880" spans="1:6" x14ac:dyDescent="0.25">
      <c r="A11880" s="1" t="s">
        <v>288</v>
      </c>
      <c r="B11880" s="1" t="s">
        <v>287</v>
      </c>
      <c r="C11880" s="1" t="s">
        <v>151</v>
      </c>
      <c r="D11880" s="3">
        <f t="shared" si="1889"/>
        <v>7312</v>
      </c>
      <c r="E11880" s="2">
        <f t="shared" si="1890"/>
        <v>41183</v>
      </c>
      <c r="F11880" s="2">
        <f t="shared" si="1891"/>
        <v>46022</v>
      </c>
    </row>
    <row r="11881" spans="1:6" x14ac:dyDescent="0.25">
      <c r="A11881" s="1" t="s">
        <v>288</v>
      </c>
      <c r="B11881" s="1" t="s">
        <v>287</v>
      </c>
      <c r="C11881" s="1" t="s">
        <v>205</v>
      </c>
      <c r="D11881" s="3">
        <f t="shared" si="1889"/>
        <v>7312</v>
      </c>
      <c r="E11881" s="2">
        <f t="shared" si="1890"/>
        <v>41183</v>
      </c>
      <c r="F11881" s="2">
        <f t="shared" si="1891"/>
        <v>46022</v>
      </c>
    </row>
    <row r="11882" spans="1:6" x14ac:dyDescent="0.25">
      <c r="A11882" s="1" t="s">
        <v>288</v>
      </c>
      <c r="B11882" s="1" t="s">
        <v>287</v>
      </c>
      <c r="C11882" s="1" t="s">
        <v>204</v>
      </c>
      <c r="D11882" s="3">
        <f t="shared" si="1889"/>
        <v>7312</v>
      </c>
      <c r="E11882" s="2">
        <f t="shared" si="1890"/>
        <v>41183</v>
      </c>
      <c r="F11882" s="2">
        <f t="shared" si="1891"/>
        <v>46022</v>
      </c>
    </row>
    <row r="11883" spans="1:6" x14ac:dyDescent="0.25">
      <c r="A11883" s="1" t="s">
        <v>288</v>
      </c>
      <c r="B11883" s="1" t="s">
        <v>287</v>
      </c>
      <c r="C11883" s="1" t="s">
        <v>24</v>
      </c>
      <c r="D11883" s="3">
        <f t="shared" si="1889"/>
        <v>7312</v>
      </c>
      <c r="E11883" s="2">
        <f t="shared" si="1890"/>
        <v>41183</v>
      </c>
      <c r="F11883" s="2">
        <f t="shared" si="1891"/>
        <v>46022</v>
      </c>
    </row>
    <row r="11884" spans="1:6" x14ac:dyDescent="0.25">
      <c r="A11884" s="1" t="s">
        <v>288</v>
      </c>
      <c r="B11884" s="1" t="s">
        <v>287</v>
      </c>
      <c r="C11884" s="1" t="s">
        <v>292</v>
      </c>
      <c r="D11884" s="3">
        <f t="shared" si="1889"/>
        <v>7312</v>
      </c>
      <c r="E11884" s="2">
        <f t="shared" si="1890"/>
        <v>41183</v>
      </c>
      <c r="F11884" s="2">
        <f t="shared" si="1891"/>
        <v>46022</v>
      </c>
    </row>
    <row r="11885" spans="1:6" x14ac:dyDescent="0.25">
      <c r="A11885" s="1" t="s">
        <v>288</v>
      </c>
      <c r="B11885" s="1" t="s">
        <v>287</v>
      </c>
      <c r="C11885" s="1" t="s">
        <v>50</v>
      </c>
      <c r="D11885" s="3">
        <f t="shared" si="1889"/>
        <v>7312</v>
      </c>
      <c r="E11885" s="2">
        <f t="shared" si="1890"/>
        <v>41183</v>
      </c>
      <c r="F11885" s="2">
        <f t="shared" si="1891"/>
        <v>46022</v>
      </c>
    </row>
    <row r="11886" spans="1:6" x14ac:dyDescent="0.25">
      <c r="A11886" s="1" t="s">
        <v>288</v>
      </c>
      <c r="B11886" s="1" t="s">
        <v>287</v>
      </c>
      <c r="C11886" s="1" t="s">
        <v>70</v>
      </c>
      <c r="D11886" s="3">
        <f t="shared" si="1889"/>
        <v>7312</v>
      </c>
      <c r="E11886" s="2">
        <f t="shared" si="1890"/>
        <v>41183</v>
      </c>
      <c r="F11886" s="2">
        <f t="shared" si="1891"/>
        <v>46022</v>
      </c>
    </row>
    <row r="11887" spans="1:6" x14ac:dyDescent="0.25">
      <c r="A11887" s="1" t="s">
        <v>288</v>
      </c>
      <c r="B11887" s="1" t="s">
        <v>287</v>
      </c>
      <c r="C11887" s="1" t="s">
        <v>26</v>
      </c>
      <c r="D11887" s="3">
        <f t="shared" si="1889"/>
        <v>7312</v>
      </c>
      <c r="E11887" s="2">
        <f t="shared" si="1890"/>
        <v>41183</v>
      </c>
      <c r="F11887" s="2">
        <f t="shared" si="1891"/>
        <v>46022</v>
      </c>
    </row>
    <row r="11888" spans="1:6" x14ac:dyDescent="0.25">
      <c r="A11888" s="1" t="s">
        <v>288</v>
      </c>
      <c r="B11888" s="1" t="s">
        <v>287</v>
      </c>
      <c r="C11888" s="1" t="s">
        <v>216</v>
      </c>
      <c r="D11888" s="3">
        <f t="shared" si="1889"/>
        <v>7312</v>
      </c>
      <c r="E11888" s="2">
        <f t="shared" si="1890"/>
        <v>41183</v>
      </c>
      <c r="F11888" s="2">
        <f t="shared" si="1891"/>
        <v>46022</v>
      </c>
    </row>
    <row r="11889" spans="1:6" x14ac:dyDescent="0.25">
      <c r="A11889" s="1" t="s">
        <v>288</v>
      </c>
      <c r="B11889" s="1" t="s">
        <v>287</v>
      </c>
      <c r="C11889" s="1" t="s">
        <v>51</v>
      </c>
      <c r="D11889" s="3">
        <f t="shared" si="1889"/>
        <v>7312</v>
      </c>
      <c r="E11889" s="2">
        <f t="shared" si="1890"/>
        <v>41183</v>
      </c>
      <c r="F11889" s="2">
        <f t="shared" si="1891"/>
        <v>46022</v>
      </c>
    </row>
    <row r="11890" spans="1:6" x14ac:dyDescent="0.25">
      <c r="A11890" s="1" t="s">
        <v>288</v>
      </c>
      <c r="B11890" s="1" t="s">
        <v>287</v>
      </c>
      <c r="C11890" s="1" t="s">
        <v>293</v>
      </c>
      <c r="D11890" s="3">
        <f t="shared" ref="D11890:D11911" si="1892">VALUE("7312")</f>
        <v>7312</v>
      </c>
      <c r="E11890" s="2">
        <f t="shared" ref="E11890:E11911" si="1893">DATEVALUE("1-10-2012")</f>
        <v>41183</v>
      </c>
      <c r="F11890" s="2">
        <f t="shared" ref="F11890:F11911" si="1894">DATEVALUE("31-12-2025")</f>
        <v>46022</v>
      </c>
    </row>
    <row r="11891" spans="1:6" x14ac:dyDescent="0.25">
      <c r="A11891" s="1" t="s">
        <v>288</v>
      </c>
      <c r="B11891" s="1" t="s">
        <v>287</v>
      </c>
      <c r="C11891" s="1" t="s">
        <v>294</v>
      </c>
      <c r="D11891" s="3">
        <f t="shared" si="1892"/>
        <v>7312</v>
      </c>
      <c r="E11891" s="2">
        <f t="shared" si="1893"/>
        <v>41183</v>
      </c>
      <c r="F11891" s="2">
        <f t="shared" si="1894"/>
        <v>46022</v>
      </c>
    </row>
    <row r="11892" spans="1:6" x14ac:dyDescent="0.25">
      <c r="A11892" s="1" t="s">
        <v>288</v>
      </c>
      <c r="B11892" s="1" t="s">
        <v>287</v>
      </c>
      <c r="C11892" s="1" t="s">
        <v>73</v>
      </c>
      <c r="D11892" s="3">
        <f t="shared" si="1892"/>
        <v>7312</v>
      </c>
      <c r="E11892" s="2">
        <f t="shared" si="1893"/>
        <v>41183</v>
      </c>
      <c r="F11892" s="2">
        <f t="shared" si="1894"/>
        <v>46022</v>
      </c>
    </row>
    <row r="11893" spans="1:6" x14ac:dyDescent="0.25">
      <c r="A11893" s="1" t="s">
        <v>288</v>
      </c>
      <c r="B11893" s="1" t="s">
        <v>287</v>
      </c>
      <c r="C11893" s="1" t="s">
        <v>295</v>
      </c>
      <c r="D11893" s="3">
        <f t="shared" si="1892"/>
        <v>7312</v>
      </c>
      <c r="E11893" s="2">
        <f t="shared" si="1893"/>
        <v>41183</v>
      </c>
      <c r="F11893" s="2">
        <f t="shared" si="1894"/>
        <v>46022</v>
      </c>
    </row>
    <row r="11894" spans="1:6" x14ac:dyDescent="0.25">
      <c r="A11894" s="1" t="s">
        <v>288</v>
      </c>
      <c r="B11894" s="1" t="s">
        <v>287</v>
      </c>
      <c r="C11894" s="1" t="s">
        <v>296</v>
      </c>
      <c r="D11894" s="3">
        <f t="shared" si="1892"/>
        <v>7312</v>
      </c>
      <c r="E11894" s="2">
        <f t="shared" si="1893"/>
        <v>41183</v>
      </c>
      <c r="F11894" s="2">
        <f t="shared" si="1894"/>
        <v>46022</v>
      </c>
    </row>
    <row r="11895" spans="1:6" x14ac:dyDescent="0.25">
      <c r="A11895" s="1" t="s">
        <v>288</v>
      </c>
      <c r="B11895" s="1" t="s">
        <v>287</v>
      </c>
      <c r="C11895" s="1" t="s">
        <v>297</v>
      </c>
      <c r="D11895" s="3">
        <f t="shared" si="1892"/>
        <v>7312</v>
      </c>
      <c r="E11895" s="2">
        <f t="shared" si="1893"/>
        <v>41183</v>
      </c>
      <c r="F11895" s="2">
        <f t="shared" si="1894"/>
        <v>46022</v>
      </c>
    </row>
    <row r="11896" spans="1:6" x14ac:dyDescent="0.25">
      <c r="A11896" s="1" t="s">
        <v>288</v>
      </c>
      <c r="B11896" s="1" t="s">
        <v>287</v>
      </c>
      <c r="C11896" s="1" t="s">
        <v>298</v>
      </c>
      <c r="D11896" s="3">
        <f t="shared" si="1892"/>
        <v>7312</v>
      </c>
      <c r="E11896" s="2">
        <f t="shared" si="1893"/>
        <v>41183</v>
      </c>
      <c r="F11896" s="2">
        <f t="shared" si="1894"/>
        <v>46022</v>
      </c>
    </row>
    <row r="11897" spans="1:6" x14ac:dyDescent="0.25">
      <c r="A11897" s="1" t="s">
        <v>288</v>
      </c>
      <c r="B11897" s="1" t="s">
        <v>287</v>
      </c>
      <c r="C11897" s="1" t="s">
        <v>299</v>
      </c>
      <c r="D11897" s="3">
        <f t="shared" si="1892"/>
        <v>7312</v>
      </c>
      <c r="E11897" s="2">
        <f t="shared" si="1893"/>
        <v>41183</v>
      </c>
      <c r="F11897" s="2">
        <f t="shared" si="1894"/>
        <v>46022</v>
      </c>
    </row>
    <row r="11898" spans="1:6" x14ac:dyDescent="0.25">
      <c r="A11898" s="1" t="s">
        <v>288</v>
      </c>
      <c r="B11898" s="1" t="s">
        <v>287</v>
      </c>
      <c r="C11898" s="1" t="s">
        <v>300</v>
      </c>
      <c r="D11898" s="3">
        <f t="shared" si="1892"/>
        <v>7312</v>
      </c>
      <c r="E11898" s="2">
        <f t="shared" si="1893"/>
        <v>41183</v>
      </c>
      <c r="F11898" s="2">
        <f t="shared" si="1894"/>
        <v>46022</v>
      </c>
    </row>
    <row r="11899" spans="1:6" x14ac:dyDescent="0.25">
      <c r="A11899" s="1" t="s">
        <v>288</v>
      </c>
      <c r="B11899" s="1" t="s">
        <v>287</v>
      </c>
      <c r="C11899" s="1" t="s">
        <v>301</v>
      </c>
      <c r="D11899" s="3">
        <f t="shared" si="1892"/>
        <v>7312</v>
      </c>
      <c r="E11899" s="2">
        <f t="shared" si="1893"/>
        <v>41183</v>
      </c>
      <c r="F11899" s="2">
        <f t="shared" si="1894"/>
        <v>46022</v>
      </c>
    </row>
    <row r="11900" spans="1:6" x14ac:dyDescent="0.25">
      <c r="A11900" s="1" t="s">
        <v>288</v>
      </c>
      <c r="B11900" s="1" t="s">
        <v>287</v>
      </c>
      <c r="C11900" s="1" t="s">
        <v>302</v>
      </c>
      <c r="D11900" s="3">
        <f t="shared" si="1892"/>
        <v>7312</v>
      </c>
      <c r="E11900" s="2">
        <f t="shared" si="1893"/>
        <v>41183</v>
      </c>
      <c r="F11900" s="2">
        <f t="shared" si="1894"/>
        <v>46022</v>
      </c>
    </row>
    <row r="11901" spans="1:6" x14ac:dyDescent="0.25">
      <c r="A11901" s="1" t="s">
        <v>288</v>
      </c>
      <c r="B11901" s="1" t="s">
        <v>287</v>
      </c>
      <c r="C11901" s="1" t="s">
        <v>303</v>
      </c>
      <c r="D11901" s="3">
        <f t="shared" si="1892"/>
        <v>7312</v>
      </c>
      <c r="E11901" s="2">
        <f t="shared" si="1893"/>
        <v>41183</v>
      </c>
      <c r="F11901" s="2">
        <f t="shared" si="1894"/>
        <v>46022</v>
      </c>
    </row>
    <row r="11902" spans="1:6" x14ac:dyDescent="0.25">
      <c r="A11902" s="1" t="s">
        <v>288</v>
      </c>
      <c r="B11902" s="1" t="s">
        <v>287</v>
      </c>
      <c r="C11902" s="1" t="s">
        <v>304</v>
      </c>
      <c r="D11902" s="3">
        <f t="shared" si="1892"/>
        <v>7312</v>
      </c>
      <c r="E11902" s="2">
        <f t="shared" si="1893"/>
        <v>41183</v>
      </c>
      <c r="F11902" s="2">
        <f t="shared" si="1894"/>
        <v>46022</v>
      </c>
    </row>
    <row r="11903" spans="1:6" x14ac:dyDescent="0.25">
      <c r="A11903" s="1" t="s">
        <v>288</v>
      </c>
      <c r="B11903" s="1" t="s">
        <v>287</v>
      </c>
      <c r="C11903" s="1" t="s">
        <v>305</v>
      </c>
      <c r="D11903" s="3">
        <f t="shared" si="1892"/>
        <v>7312</v>
      </c>
      <c r="E11903" s="2">
        <f t="shared" si="1893"/>
        <v>41183</v>
      </c>
      <c r="F11903" s="2">
        <f t="shared" si="1894"/>
        <v>46022</v>
      </c>
    </row>
    <row r="11904" spans="1:6" x14ac:dyDescent="0.25">
      <c r="A11904" s="1" t="s">
        <v>288</v>
      </c>
      <c r="B11904" s="1" t="s">
        <v>287</v>
      </c>
      <c r="C11904" s="1" t="s">
        <v>34</v>
      </c>
      <c r="D11904" s="3">
        <f t="shared" si="1892"/>
        <v>7312</v>
      </c>
      <c r="E11904" s="2">
        <f t="shared" si="1893"/>
        <v>41183</v>
      </c>
      <c r="F11904" s="2">
        <f t="shared" si="1894"/>
        <v>46022</v>
      </c>
    </row>
    <row r="11905" spans="1:6" x14ac:dyDescent="0.25">
      <c r="A11905" s="1" t="s">
        <v>288</v>
      </c>
      <c r="B11905" s="1" t="s">
        <v>287</v>
      </c>
      <c r="C11905" s="1" t="s">
        <v>55</v>
      </c>
      <c r="D11905" s="3">
        <f t="shared" si="1892"/>
        <v>7312</v>
      </c>
      <c r="E11905" s="2">
        <f t="shared" si="1893"/>
        <v>41183</v>
      </c>
      <c r="F11905" s="2">
        <f t="shared" si="1894"/>
        <v>46022</v>
      </c>
    </row>
    <row r="11906" spans="1:6" x14ac:dyDescent="0.25">
      <c r="A11906" s="1" t="s">
        <v>288</v>
      </c>
      <c r="B11906" s="1" t="s">
        <v>287</v>
      </c>
      <c r="C11906" s="1" t="s">
        <v>163</v>
      </c>
      <c r="D11906" s="3">
        <f t="shared" si="1892"/>
        <v>7312</v>
      </c>
      <c r="E11906" s="2">
        <f t="shared" si="1893"/>
        <v>41183</v>
      </c>
      <c r="F11906" s="2">
        <f t="shared" si="1894"/>
        <v>46022</v>
      </c>
    </row>
    <row r="11907" spans="1:6" x14ac:dyDescent="0.25">
      <c r="A11907" s="1" t="s">
        <v>288</v>
      </c>
      <c r="B11907" s="1" t="s">
        <v>287</v>
      </c>
      <c r="C11907" s="1" t="s">
        <v>306</v>
      </c>
      <c r="D11907" s="3">
        <f t="shared" si="1892"/>
        <v>7312</v>
      </c>
      <c r="E11907" s="2">
        <f t="shared" si="1893"/>
        <v>41183</v>
      </c>
      <c r="F11907" s="2">
        <f t="shared" si="1894"/>
        <v>46022</v>
      </c>
    </row>
    <row r="11908" spans="1:6" x14ac:dyDescent="0.25">
      <c r="A11908" s="1" t="s">
        <v>288</v>
      </c>
      <c r="B11908" s="1" t="s">
        <v>287</v>
      </c>
      <c r="C11908" s="1" t="s">
        <v>307</v>
      </c>
      <c r="D11908" s="3">
        <f t="shared" si="1892"/>
        <v>7312</v>
      </c>
      <c r="E11908" s="2">
        <f t="shared" si="1893"/>
        <v>41183</v>
      </c>
      <c r="F11908" s="2">
        <f t="shared" si="1894"/>
        <v>46022</v>
      </c>
    </row>
    <row r="11909" spans="1:6" x14ac:dyDescent="0.25">
      <c r="A11909" s="1" t="s">
        <v>288</v>
      </c>
      <c r="B11909" s="1" t="s">
        <v>287</v>
      </c>
      <c r="C11909" s="1" t="s">
        <v>310</v>
      </c>
      <c r="D11909" s="3">
        <f t="shared" si="1892"/>
        <v>7312</v>
      </c>
      <c r="E11909" s="2">
        <f t="shared" si="1893"/>
        <v>41183</v>
      </c>
      <c r="F11909" s="2">
        <f t="shared" si="1894"/>
        <v>46022</v>
      </c>
    </row>
    <row r="11910" spans="1:6" x14ac:dyDescent="0.25">
      <c r="A11910" s="1" t="s">
        <v>288</v>
      </c>
      <c r="B11910" s="1" t="s">
        <v>287</v>
      </c>
      <c r="C11910" s="1" t="s">
        <v>308</v>
      </c>
      <c r="D11910" s="3">
        <f t="shared" si="1892"/>
        <v>7312</v>
      </c>
      <c r="E11910" s="2">
        <f t="shared" si="1893"/>
        <v>41183</v>
      </c>
      <c r="F11910" s="2">
        <f t="shared" si="1894"/>
        <v>46022</v>
      </c>
    </row>
    <row r="11911" spans="1:6" x14ac:dyDescent="0.25">
      <c r="A11911" s="1" t="s">
        <v>288</v>
      </c>
      <c r="B11911" s="1" t="s">
        <v>287</v>
      </c>
      <c r="C11911" s="1" t="s">
        <v>309</v>
      </c>
      <c r="D11911" s="3">
        <f t="shared" si="1892"/>
        <v>7312</v>
      </c>
      <c r="E11911" s="2">
        <f t="shared" si="1893"/>
        <v>41183</v>
      </c>
      <c r="F11911" s="2">
        <f t="shared" si="1894"/>
        <v>46022</v>
      </c>
    </row>
    <row r="11912" spans="1:6" x14ac:dyDescent="0.25">
      <c r="A11912" s="1" t="s">
        <v>288</v>
      </c>
      <c r="B11912" s="1" t="s">
        <v>2594</v>
      </c>
      <c r="C11912" s="1" t="s">
        <v>32</v>
      </c>
      <c r="D11912" s="3">
        <f>VALUE("7168")</f>
        <v>7168</v>
      </c>
      <c r="E11912" s="2">
        <f>DATEVALUE("1-5-2011")</f>
        <v>40664</v>
      </c>
      <c r="F11912" s="2">
        <f>DATEVALUE("31-3-2013")</f>
        <v>41364</v>
      </c>
    </row>
    <row r="11913" spans="1:6" x14ac:dyDescent="0.25">
      <c r="A11913" s="1" t="s">
        <v>288</v>
      </c>
      <c r="B11913" s="1" t="s">
        <v>2594</v>
      </c>
      <c r="C11913" s="1" t="s">
        <v>310</v>
      </c>
      <c r="D11913" s="3">
        <f>VALUE("7168")</f>
        <v>7168</v>
      </c>
      <c r="E11913" s="2">
        <f>DATEVALUE("1-5-2011")</f>
        <v>40664</v>
      </c>
      <c r="F11913" s="2">
        <f>DATEVALUE("31-3-2013")</f>
        <v>41364</v>
      </c>
    </row>
    <row r="11914" spans="1:6" x14ac:dyDescent="0.25">
      <c r="A11914" s="1" t="s">
        <v>288</v>
      </c>
      <c r="B11914" s="1" t="s">
        <v>2594</v>
      </c>
      <c r="C11914" s="1" t="s">
        <v>164</v>
      </c>
      <c r="D11914" s="3">
        <f>VALUE("7168")</f>
        <v>7168</v>
      </c>
      <c r="E11914" s="2">
        <f>DATEVALUE("1-5-2011")</f>
        <v>40664</v>
      </c>
      <c r="F11914" s="2">
        <f>DATEVALUE("31-3-2013")</f>
        <v>41364</v>
      </c>
    </row>
    <row r="11915" spans="1:6" x14ac:dyDescent="0.25">
      <c r="A11915" s="1" t="s">
        <v>2281</v>
      </c>
      <c r="B11915" s="1" t="s">
        <v>2326</v>
      </c>
      <c r="C11915" s="1" t="s">
        <v>151</v>
      </c>
      <c r="D11915" s="3">
        <f>VALUE("8172")</f>
        <v>8172</v>
      </c>
      <c r="E11915" s="2">
        <f>DATEVALUE("1-11-2017")</f>
        <v>43040</v>
      </c>
      <c r="F11915" s="2">
        <f>DATEVALUE("30-9-2018")</f>
        <v>43373</v>
      </c>
    </row>
    <row r="11916" spans="1:6" x14ac:dyDescent="0.25">
      <c r="A11916" s="1" t="s">
        <v>2281</v>
      </c>
      <c r="B11916" s="1" t="s">
        <v>2326</v>
      </c>
      <c r="C11916" s="1" t="s">
        <v>2327</v>
      </c>
      <c r="D11916" s="3">
        <f>VALUE("8172")</f>
        <v>8172</v>
      </c>
      <c r="E11916" s="2">
        <f>DATEVALUE("1-11-2017")</f>
        <v>43040</v>
      </c>
      <c r="F11916" s="2">
        <f>DATEVALUE("30-9-2018")</f>
        <v>43373</v>
      </c>
    </row>
    <row r="11917" spans="1:6" x14ac:dyDescent="0.25">
      <c r="A11917" s="1" t="s">
        <v>2281</v>
      </c>
      <c r="B11917" s="1" t="s">
        <v>2326</v>
      </c>
      <c r="C11917" s="1" t="s">
        <v>34</v>
      </c>
      <c r="D11917" s="3">
        <f>VALUE("8172")</f>
        <v>8172</v>
      </c>
      <c r="E11917" s="2">
        <f>DATEVALUE("1-11-2017")</f>
        <v>43040</v>
      </c>
      <c r="F11917" s="2">
        <f>DATEVALUE("30-9-2018")</f>
        <v>43373</v>
      </c>
    </row>
    <row r="11918" spans="1:6" x14ac:dyDescent="0.25">
      <c r="A11918" s="1" t="s">
        <v>2281</v>
      </c>
      <c r="B11918" s="1" t="s">
        <v>2280</v>
      </c>
      <c r="C11918" s="1" t="s">
        <v>14</v>
      </c>
      <c r="D11918" s="3">
        <f t="shared" ref="D11918:D11925" si="1895">VALUE("8048")</f>
        <v>8048</v>
      </c>
      <c r="E11918" s="2">
        <f t="shared" ref="E11918:E11925" si="1896">DATEVALUE("1-2-2017")</f>
        <v>42767</v>
      </c>
      <c r="F11918" s="2">
        <f t="shared" ref="F11918:F11925" si="1897">DATEVALUE("30-11-2017")</f>
        <v>43069</v>
      </c>
    </row>
    <row r="11919" spans="1:6" x14ac:dyDescent="0.25">
      <c r="A11919" s="1" t="s">
        <v>2281</v>
      </c>
      <c r="B11919" s="1" t="s">
        <v>2280</v>
      </c>
      <c r="C11919" s="1" t="s">
        <v>15</v>
      </c>
      <c r="D11919" s="3">
        <f t="shared" si="1895"/>
        <v>8048</v>
      </c>
      <c r="E11919" s="2">
        <f t="shared" si="1896"/>
        <v>42767</v>
      </c>
      <c r="F11919" s="2">
        <f t="shared" si="1897"/>
        <v>43069</v>
      </c>
    </row>
    <row r="11920" spans="1:6" x14ac:dyDescent="0.25">
      <c r="A11920" s="1" t="s">
        <v>2281</v>
      </c>
      <c r="B11920" s="1" t="s">
        <v>2280</v>
      </c>
      <c r="C11920" s="1" t="s">
        <v>16</v>
      </c>
      <c r="D11920" s="3">
        <f t="shared" si="1895"/>
        <v>8048</v>
      </c>
      <c r="E11920" s="2">
        <f t="shared" si="1896"/>
        <v>42767</v>
      </c>
      <c r="F11920" s="2">
        <f t="shared" si="1897"/>
        <v>43069</v>
      </c>
    </row>
    <row r="11921" spans="1:6" x14ac:dyDescent="0.25">
      <c r="A11921" s="1" t="s">
        <v>2281</v>
      </c>
      <c r="B11921" s="1" t="s">
        <v>2280</v>
      </c>
      <c r="C11921" s="1" t="s">
        <v>17</v>
      </c>
      <c r="D11921" s="3">
        <f t="shared" si="1895"/>
        <v>8048</v>
      </c>
      <c r="E11921" s="2">
        <f t="shared" si="1896"/>
        <v>42767</v>
      </c>
      <c r="F11921" s="2">
        <f t="shared" si="1897"/>
        <v>43069</v>
      </c>
    </row>
    <row r="11922" spans="1:6" x14ac:dyDescent="0.25">
      <c r="A11922" s="1" t="s">
        <v>2281</v>
      </c>
      <c r="B11922" s="1" t="s">
        <v>2280</v>
      </c>
      <c r="C11922" s="1" t="s">
        <v>94</v>
      </c>
      <c r="D11922" s="3">
        <f t="shared" si="1895"/>
        <v>8048</v>
      </c>
      <c r="E11922" s="2">
        <f t="shared" si="1896"/>
        <v>42767</v>
      </c>
      <c r="F11922" s="2">
        <f t="shared" si="1897"/>
        <v>43069</v>
      </c>
    </row>
    <row r="11923" spans="1:6" x14ac:dyDescent="0.25">
      <c r="A11923" s="1" t="s">
        <v>2281</v>
      </c>
      <c r="B11923" s="1" t="s">
        <v>2280</v>
      </c>
      <c r="C11923" s="1" t="s">
        <v>787</v>
      </c>
      <c r="D11923" s="3">
        <f t="shared" si="1895"/>
        <v>8048</v>
      </c>
      <c r="E11923" s="2">
        <f t="shared" si="1896"/>
        <v>42767</v>
      </c>
      <c r="F11923" s="2">
        <f t="shared" si="1897"/>
        <v>43069</v>
      </c>
    </row>
    <row r="11924" spans="1:6" x14ac:dyDescent="0.25">
      <c r="A11924" s="1" t="s">
        <v>2281</v>
      </c>
      <c r="B11924" s="1" t="s">
        <v>2280</v>
      </c>
      <c r="C11924" s="1" t="s">
        <v>73</v>
      </c>
      <c r="D11924" s="3">
        <f t="shared" si="1895"/>
        <v>8048</v>
      </c>
      <c r="E11924" s="2">
        <f t="shared" si="1896"/>
        <v>42767</v>
      </c>
      <c r="F11924" s="2">
        <f t="shared" si="1897"/>
        <v>43069</v>
      </c>
    </row>
    <row r="11925" spans="1:6" x14ac:dyDescent="0.25">
      <c r="A11925" s="1" t="s">
        <v>2281</v>
      </c>
      <c r="B11925" s="1" t="s">
        <v>2280</v>
      </c>
      <c r="C11925" s="1" t="s">
        <v>163</v>
      </c>
      <c r="D11925" s="3">
        <f t="shared" si="1895"/>
        <v>8048</v>
      </c>
      <c r="E11925" s="2">
        <f t="shared" si="1896"/>
        <v>42767</v>
      </c>
      <c r="F11925" s="2">
        <f t="shared" si="1897"/>
        <v>43069</v>
      </c>
    </row>
    <row r="11926" spans="1:6" x14ac:dyDescent="0.25">
      <c r="A11926" s="1" t="s">
        <v>450</v>
      </c>
      <c r="B11926" s="1" t="s">
        <v>449</v>
      </c>
      <c r="C11926" s="1" t="s">
        <v>7</v>
      </c>
      <c r="D11926" s="3">
        <f t="shared" ref="D11926:D11969" si="1898">VALUE("7652")</f>
        <v>7652</v>
      </c>
      <c r="E11926" s="2">
        <f t="shared" ref="E11926:E11969" si="1899">DATEVALUE("1-7-2014")</f>
        <v>41821</v>
      </c>
      <c r="F11926" s="2">
        <f t="shared" ref="F11926:F11969" si="1900">DATEVALUE("31-5-2025")</f>
        <v>45808</v>
      </c>
    </row>
    <row r="11927" spans="1:6" x14ac:dyDescent="0.25">
      <c r="A11927" s="1" t="s">
        <v>450</v>
      </c>
      <c r="B11927" s="1" t="s">
        <v>449</v>
      </c>
      <c r="C11927" s="1" t="s">
        <v>6</v>
      </c>
      <c r="D11927" s="3">
        <f t="shared" si="1898"/>
        <v>7652</v>
      </c>
      <c r="E11927" s="2">
        <f t="shared" si="1899"/>
        <v>41821</v>
      </c>
      <c r="F11927" s="2">
        <f t="shared" si="1900"/>
        <v>45808</v>
      </c>
    </row>
    <row r="11928" spans="1:6" x14ac:dyDescent="0.25">
      <c r="A11928" s="1" t="s">
        <v>450</v>
      </c>
      <c r="B11928" s="1" t="s">
        <v>449</v>
      </c>
      <c r="C11928" s="1" t="s">
        <v>8</v>
      </c>
      <c r="D11928" s="3">
        <f t="shared" si="1898"/>
        <v>7652</v>
      </c>
      <c r="E11928" s="2">
        <f t="shared" si="1899"/>
        <v>41821</v>
      </c>
      <c r="F11928" s="2">
        <f t="shared" si="1900"/>
        <v>45808</v>
      </c>
    </row>
    <row r="11929" spans="1:6" x14ac:dyDescent="0.25">
      <c r="A11929" s="1" t="s">
        <v>450</v>
      </c>
      <c r="B11929" s="1" t="s">
        <v>449</v>
      </c>
      <c r="C11929" s="1" t="s">
        <v>9</v>
      </c>
      <c r="D11929" s="3">
        <f t="shared" si="1898"/>
        <v>7652</v>
      </c>
      <c r="E11929" s="2">
        <f t="shared" si="1899"/>
        <v>41821</v>
      </c>
      <c r="F11929" s="2">
        <f t="shared" si="1900"/>
        <v>45808</v>
      </c>
    </row>
    <row r="11930" spans="1:6" x14ac:dyDescent="0.25">
      <c r="A11930" s="1" t="s">
        <v>450</v>
      </c>
      <c r="B11930" s="1" t="s">
        <v>449</v>
      </c>
      <c r="C11930" s="1" t="s">
        <v>10</v>
      </c>
      <c r="D11930" s="3">
        <f t="shared" si="1898"/>
        <v>7652</v>
      </c>
      <c r="E11930" s="2">
        <f t="shared" si="1899"/>
        <v>41821</v>
      </c>
      <c r="F11930" s="2">
        <f t="shared" si="1900"/>
        <v>45808</v>
      </c>
    </row>
    <row r="11931" spans="1:6" x14ac:dyDescent="0.25">
      <c r="A11931" s="1" t="s">
        <v>450</v>
      </c>
      <c r="B11931" s="1" t="s">
        <v>449</v>
      </c>
      <c r="C11931" s="1" t="s">
        <v>137</v>
      </c>
      <c r="D11931" s="3">
        <f t="shared" si="1898"/>
        <v>7652</v>
      </c>
      <c r="E11931" s="2">
        <f t="shared" si="1899"/>
        <v>41821</v>
      </c>
      <c r="F11931" s="2">
        <f t="shared" si="1900"/>
        <v>45808</v>
      </c>
    </row>
    <row r="11932" spans="1:6" x14ac:dyDescent="0.25">
      <c r="A11932" s="1" t="s">
        <v>450</v>
      </c>
      <c r="B11932" s="1" t="s">
        <v>449</v>
      </c>
      <c r="C11932" s="1" t="s">
        <v>46</v>
      </c>
      <c r="D11932" s="3">
        <f t="shared" si="1898"/>
        <v>7652</v>
      </c>
      <c r="E11932" s="2">
        <f t="shared" si="1899"/>
        <v>41821</v>
      </c>
      <c r="F11932" s="2">
        <f t="shared" si="1900"/>
        <v>45808</v>
      </c>
    </row>
    <row r="11933" spans="1:6" x14ac:dyDescent="0.25">
      <c r="A11933" s="1" t="s">
        <v>450</v>
      </c>
      <c r="B11933" s="1" t="s">
        <v>449</v>
      </c>
      <c r="C11933" s="1" t="s">
        <v>14</v>
      </c>
      <c r="D11933" s="3">
        <f t="shared" si="1898"/>
        <v>7652</v>
      </c>
      <c r="E11933" s="2">
        <f t="shared" si="1899"/>
        <v>41821</v>
      </c>
      <c r="F11933" s="2">
        <f t="shared" si="1900"/>
        <v>45808</v>
      </c>
    </row>
    <row r="11934" spans="1:6" x14ac:dyDescent="0.25">
      <c r="A11934" s="1" t="s">
        <v>450</v>
      </c>
      <c r="B11934" s="1" t="s">
        <v>449</v>
      </c>
      <c r="C11934" s="1" t="s">
        <v>15</v>
      </c>
      <c r="D11934" s="3">
        <f t="shared" si="1898"/>
        <v>7652</v>
      </c>
      <c r="E11934" s="2">
        <f t="shared" si="1899"/>
        <v>41821</v>
      </c>
      <c r="F11934" s="2">
        <f t="shared" si="1900"/>
        <v>45808</v>
      </c>
    </row>
    <row r="11935" spans="1:6" x14ac:dyDescent="0.25">
      <c r="A11935" s="1" t="s">
        <v>450</v>
      </c>
      <c r="B11935" s="1" t="s">
        <v>449</v>
      </c>
      <c r="C11935" s="1" t="s">
        <v>88</v>
      </c>
      <c r="D11935" s="3">
        <f t="shared" si="1898"/>
        <v>7652</v>
      </c>
      <c r="E11935" s="2">
        <f t="shared" si="1899"/>
        <v>41821</v>
      </c>
      <c r="F11935" s="2">
        <f t="shared" si="1900"/>
        <v>45808</v>
      </c>
    </row>
    <row r="11936" spans="1:6" x14ac:dyDescent="0.25">
      <c r="A11936" s="1" t="s">
        <v>450</v>
      </c>
      <c r="B11936" s="1" t="s">
        <v>449</v>
      </c>
      <c r="C11936" s="1" t="s">
        <v>17</v>
      </c>
      <c r="D11936" s="3">
        <f t="shared" si="1898"/>
        <v>7652</v>
      </c>
      <c r="E11936" s="2">
        <f t="shared" si="1899"/>
        <v>41821</v>
      </c>
      <c r="F11936" s="2">
        <f t="shared" si="1900"/>
        <v>45808</v>
      </c>
    </row>
    <row r="11937" spans="1:6" x14ac:dyDescent="0.25">
      <c r="A11937" s="1" t="s">
        <v>450</v>
      </c>
      <c r="B11937" s="1" t="s">
        <v>449</v>
      </c>
      <c r="C11937" s="1" t="s">
        <v>19</v>
      </c>
      <c r="D11937" s="3">
        <f t="shared" si="1898"/>
        <v>7652</v>
      </c>
      <c r="E11937" s="2">
        <f t="shared" si="1899"/>
        <v>41821</v>
      </c>
      <c r="F11937" s="2">
        <f t="shared" si="1900"/>
        <v>45808</v>
      </c>
    </row>
    <row r="11938" spans="1:6" x14ac:dyDescent="0.25">
      <c r="A11938" s="1" t="s">
        <v>450</v>
      </c>
      <c r="B11938" s="1" t="s">
        <v>449</v>
      </c>
      <c r="C11938" s="1" t="s">
        <v>193</v>
      </c>
      <c r="D11938" s="3">
        <f t="shared" si="1898"/>
        <v>7652</v>
      </c>
      <c r="E11938" s="2">
        <f t="shared" si="1899"/>
        <v>41821</v>
      </c>
      <c r="F11938" s="2">
        <f t="shared" si="1900"/>
        <v>45808</v>
      </c>
    </row>
    <row r="11939" spans="1:6" x14ac:dyDescent="0.25">
      <c r="A11939" s="1" t="s">
        <v>450</v>
      </c>
      <c r="B11939" s="1" t="s">
        <v>449</v>
      </c>
      <c r="C11939" s="1" t="s">
        <v>20</v>
      </c>
      <c r="D11939" s="3">
        <f t="shared" si="1898"/>
        <v>7652</v>
      </c>
      <c r="E11939" s="2">
        <f t="shared" si="1899"/>
        <v>41821</v>
      </c>
      <c r="F11939" s="2">
        <f t="shared" si="1900"/>
        <v>45808</v>
      </c>
    </row>
    <row r="11940" spans="1:6" x14ac:dyDescent="0.25">
      <c r="A11940" s="1" t="s">
        <v>450</v>
      </c>
      <c r="B11940" s="1" t="s">
        <v>449</v>
      </c>
      <c r="C11940" s="1" t="s">
        <v>21</v>
      </c>
      <c r="D11940" s="3">
        <f t="shared" si="1898"/>
        <v>7652</v>
      </c>
      <c r="E11940" s="2">
        <f t="shared" si="1899"/>
        <v>41821</v>
      </c>
      <c r="F11940" s="2">
        <f t="shared" si="1900"/>
        <v>45808</v>
      </c>
    </row>
    <row r="11941" spans="1:6" x14ac:dyDescent="0.25">
      <c r="A11941" s="1" t="s">
        <v>450</v>
      </c>
      <c r="B11941" s="1" t="s">
        <v>449</v>
      </c>
      <c r="C11941" s="1" t="s">
        <v>326</v>
      </c>
      <c r="D11941" s="3">
        <f t="shared" si="1898"/>
        <v>7652</v>
      </c>
      <c r="E11941" s="2">
        <f t="shared" si="1899"/>
        <v>41821</v>
      </c>
      <c r="F11941" s="2">
        <f t="shared" si="1900"/>
        <v>45808</v>
      </c>
    </row>
    <row r="11942" spans="1:6" x14ac:dyDescent="0.25">
      <c r="A11942" s="1" t="s">
        <v>450</v>
      </c>
      <c r="B11942" s="1" t="s">
        <v>449</v>
      </c>
      <c r="C11942" s="1" t="s">
        <v>22</v>
      </c>
      <c r="D11942" s="3">
        <f t="shared" si="1898"/>
        <v>7652</v>
      </c>
      <c r="E11942" s="2">
        <f t="shared" si="1899"/>
        <v>41821</v>
      </c>
      <c r="F11942" s="2">
        <f t="shared" si="1900"/>
        <v>45808</v>
      </c>
    </row>
    <row r="11943" spans="1:6" x14ac:dyDescent="0.25">
      <c r="A11943" s="1" t="s">
        <v>450</v>
      </c>
      <c r="B11943" s="1" t="s">
        <v>449</v>
      </c>
      <c r="C11943" s="1" t="s">
        <v>146</v>
      </c>
      <c r="D11943" s="3">
        <f t="shared" si="1898"/>
        <v>7652</v>
      </c>
      <c r="E11943" s="2">
        <f t="shared" si="1899"/>
        <v>41821</v>
      </c>
      <c r="F11943" s="2">
        <f t="shared" si="1900"/>
        <v>45808</v>
      </c>
    </row>
    <row r="11944" spans="1:6" x14ac:dyDescent="0.25">
      <c r="A11944" s="1" t="s">
        <v>450</v>
      </c>
      <c r="B11944" s="1" t="s">
        <v>449</v>
      </c>
      <c r="C11944" s="1" t="s">
        <v>67</v>
      </c>
      <c r="D11944" s="3">
        <f t="shared" si="1898"/>
        <v>7652</v>
      </c>
      <c r="E11944" s="2">
        <f t="shared" si="1899"/>
        <v>41821</v>
      </c>
      <c r="F11944" s="2">
        <f t="shared" si="1900"/>
        <v>45808</v>
      </c>
    </row>
    <row r="11945" spans="1:6" x14ac:dyDescent="0.25">
      <c r="A11945" s="1" t="s">
        <v>450</v>
      </c>
      <c r="B11945" s="1" t="s">
        <v>449</v>
      </c>
      <c r="C11945" s="1" t="s">
        <v>148</v>
      </c>
      <c r="D11945" s="3">
        <f t="shared" si="1898"/>
        <v>7652</v>
      </c>
      <c r="E11945" s="2">
        <f t="shared" si="1899"/>
        <v>41821</v>
      </c>
      <c r="F11945" s="2">
        <f t="shared" si="1900"/>
        <v>45808</v>
      </c>
    </row>
    <row r="11946" spans="1:6" x14ac:dyDescent="0.25">
      <c r="A11946" s="1" t="s">
        <v>450</v>
      </c>
      <c r="B11946" s="1" t="s">
        <v>449</v>
      </c>
      <c r="C11946" s="1" t="s">
        <v>149</v>
      </c>
      <c r="D11946" s="3">
        <f t="shared" si="1898"/>
        <v>7652</v>
      </c>
      <c r="E11946" s="2">
        <f t="shared" si="1899"/>
        <v>41821</v>
      </c>
      <c r="F11946" s="2">
        <f t="shared" si="1900"/>
        <v>45808</v>
      </c>
    </row>
    <row r="11947" spans="1:6" x14ac:dyDescent="0.25">
      <c r="A11947" s="1" t="s">
        <v>450</v>
      </c>
      <c r="B11947" s="1" t="s">
        <v>449</v>
      </c>
      <c r="C11947" s="1" t="s">
        <v>92</v>
      </c>
      <c r="D11947" s="3">
        <f t="shared" si="1898"/>
        <v>7652</v>
      </c>
      <c r="E11947" s="2">
        <f t="shared" si="1899"/>
        <v>41821</v>
      </c>
      <c r="F11947" s="2">
        <f t="shared" si="1900"/>
        <v>45808</v>
      </c>
    </row>
    <row r="11948" spans="1:6" x14ac:dyDescent="0.25">
      <c r="A11948" s="1" t="s">
        <v>450</v>
      </c>
      <c r="B11948" s="1" t="s">
        <v>449</v>
      </c>
      <c r="C11948" s="1" t="s">
        <v>336</v>
      </c>
      <c r="D11948" s="3">
        <f t="shared" si="1898"/>
        <v>7652</v>
      </c>
      <c r="E11948" s="2">
        <f t="shared" si="1899"/>
        <v>41821</v>
      </c>
      <c r="F11948" s="2">
        <f t="shared" si="1900"/>
        <v>45808</v>
      </c>
    </row>
    <row r="11949" spans="1:6" x14ac:dyDescent="0.25">
      <c r="A11949" s="1" t="s">
        <v>450</v>
      </c>
      <c r="B11949" s="1" t="s">
        <v>449</v>
      </c>
      <c r="C11949" s="1" t="s">
        <v>94</v>
      </c>
      <c r="D11949" s="3">
        <f t="shared" si="1898"/>
        <v>7652</v>
      </c>
      <c r="E11949" s="2">
        <f t="shared" si="1899"/>
        <v>41821</v>
      </c>
      <c r="F11949" s="2">
        <f t="shared" si="1900"/>
        <v>45808</v>
      </c>
    </row>
    <row r="11950" spans="1:6" x14ac:dyDescent="0.25">
      <c r="A11950" s="1" t="s">
        <v>450</v>
      </c>
      <c r="B11950" s="1" t="s">
        <v>449</v>
      </c>
      <c r="C11950" s="1" t="s">
        <v>156</v>
      </c>
      <c r="D11950" s="3">
        <f t="shared" si="1898"/>
        <v>7652</v>
      </c>
      <c r="E11950" s="2">
        <f t="shared" si="1899"/>
        <v>41821</v>
      </c>
      <c r="F11950" s="2">
        <f t="shared" si="1900"/>
        <v>45808</v>
      </c>
    </row>
    <row r="11951" spans="1:6" x14ac:dyDescent="0.25">
      <c r="A11951" s="1" t="s">
        <v>450</v>
      </c>
      <c r="B11951" s="1" t="s">
        <v>449</v>
      </c>
      <c r="C11951" s="1" t="s">
        <v>332</v>
      </c>
      <c r="D11951" s="3">
        <f t="shared" si="1898"/>
        <v>7652</v>
      </c>
      <c r="E11951" s="2">
        <f t="shared" si="1899"/>
        <v>41821</v>
      </c>
      <c r="F11951" s="2">
        <f t="shared" si="1900"/>
        <v>45808</v>
      </c>
    </row>
    <row r="11952" spans="1:6" x14ac:dyDescent="0.25">
      <c r="A11952" s="1" t="s">
        <v>450</v>
      </c>
      <c r="B11952" s="1" t="s">
        <v>449</v>
      </c>
      <c r="C11952" s="1" t="s">
        <v>24</v>
      </c>
      <c r="D11952" s="3">
        <f t="shared" si="1898"/>
        <v>7652</v>
      </c>
      <c r="E11952" s="2">
        <f t="shared" si="1899"/>
        <v>41821</v>
      </c>
      <c r="F11952" s="2">
        <f t="shared" si="1900"/>
        <v>45808</v>
      </c>
    </row>
    <row r="11953" spans="1:6" x14ac:dyDescent="0.25">
      <c r="A11953" s="1" t="s">
        <v>450</v>
      </c>
      <c r="B11953" s="1" t="s">
        <v>449</v>
      </c>
      <c r="C11953" s="1" t="s">
        <v>451</v>
      </c>
      <c r="D11953" s="3">
        <f t="shared" si="1898"/>
        <v>7652</v>
      </c>
      <c r="E11953" s="2">
        <f t="shared" si="1899"/>
        <v>41821</v>
      </c>
      <c r="F11953" s="2">
        <f t="shared" si="1900"/>
        <v>45808</v>
      </c>
    </row>
    <row r="11954" spans="1:6" x14ac:dyDescent="0.25">
      <c r="A11954" s="1" t="s">
        <v>450</v>
      </c>
      <c r="B11954" s="1" t="s">
        <v>449</v>
      </c>
      <c r="C11954" s="1" t="s">
        <v>452</v>
      </c>
      <c r="D11954" s="3">
        <f t="shared" si="1898"/>
        <v>7652</v>
      </c>
      <c r="E11954" s="2">
        <f t="shared" si="1899"/>
        <v>41821</v>
      </c>
      <c r="F11954" s="2">
        <f t="shared" si="1900"/>
        <v>45808</v>
      </c>
    </row>
    <row r="11955" spans="1:6" x14ac:dyDescent="0.25">
      <c r="A11955" s="1" t="s">
        <v>450</v>
      </c>
      <c r="B11955" s="1" t="s">
        <v>449</v>
      </c>
      <c r="C11955" s="1" t="s">
        <v>157</v>
      </c>
      <c r="D11955" s="3">
        <f t="shared" si="1898"/>
        <v>7652</v>
      </c>
      <c r="E11955" s="2">
        <f t="shared" si="1899"/>
        <v>41821</v>
      </c>
      <c r="F11955" s="2">
        <f t="shared" si="1900"/>
        <v>45808</v>
      </c>
    </row>
    <row r="11956" spans="1:6" x14ac:dyDescent="0.25">
      <c r="A11956" s="1" t="s">
        <v>450</v>
      </c>
      <c r="B11956" s="1" t="s">
        <v>449</v>
      </c>
      <c r="C11956" s="1" t="s">
        <v>157</v>
      </c>
      <c r="D11956" s="3">
        <f t="shared" si="1898"/>
        <v>7652</v>
      </c>
      <c r="E11956" s="2">
        <f t="shared" si="1899"/>
        <v>41821</v>
      </c>
      <c r="F11956" s="2">
        <f t="shared" si="1900"/>
        <v>45808</v>
      </c>
    </row>
    <row r="11957" spans="1:6" x14ac:dyDescent="0.25">
      <c r="A11957" s="1" t="s">
        <v>450</v>
      </c>
      <c r="B11957" s="1" t="s">
        <v>449</v>
      </c>
      <c r="C11957" s="1" t="s">
        <v>26</v>
      </c>
      <c r="D11957" s="3">
        <f t="shared" si="1898"/>
        <v>7652</v>
      </c>
      <c r="E11957" s="2">
        <f t="shared" si="1899"/>
        <v>41821</v>
      </c>
      <c r="F11957" s="2">
        <f t="shared" si="1900"/>
        <v>45808</v>
      </c>
    </row>
    <row r="11958" spans="1:6" x14ac:dyDescent="0.25">
      <c r="A11958" s="1" t="s">
        <v>450</v>
      </c>
      <c r="B11958" s="1" t="s">
        <v>449</v>
      </c>
      <c r="C11958" s="1" t="s">
        <v>27</v>
      </c>
      <c r="D11958" s="3">
        <f t="shared" si="1898"/>
        <v>7652</v>
      </c>
      <c r="E11958" s="2">
        <f t="shared" si="1899"/>
        <v>41821</v>
      </c>
      <c r="F11958" s="2">
        <f t="shared" si="1900"/>
        <v>45808</v>
      </c>
    </row>
    <row r="11959" spans="1:6" x14ac:dyDescent="0.25">
      <c r="A11959" s="1" t="s">
        <v>450</v>
      </c>
      <c r="B11959" s="1" t="s">
        <v>449</v>
      </c>
      <c r="C11959" s="1" t="s">
        <v>337</v>
      </c>
      <c r="D11959" s="3">
        <f t="shared" si="1898"/>
        <v>7652</v>
      </c>
      <c r="E11959" s="2">
        <f t="shared" si="1899"/>
        <v>41821</v>
      </c>
      <c r="F11959" s="2">
        <f t="shared" si="1900"/>
        <v>45808</v>
      </c>
    </row>
    <row r="11960" spans="1:6" x14ac:dyDescent="0.25">
      <c r="A11960" s="1" t="s">
        <v>450</v>
      </c>
      <c r="B11960" s="1" t="s">
        <v>449</v>
      </c>
      <c r="C11960" s="1" t="s">
        <v>73</v>
      </c>
      <c r="D11960" s="3">
        <f t="shared" si="1898"/>
        <v>7652</v>
      </c>
      <c r="E11960" s="2">
        <f t="shared" si="1899"/>
        <v>41821</v>
      </c>
      <c r="F11960" s="2">
        <f t="shared" si="1900"/>
        <v>45808</v>
      </c>
    </row>
    <row r="11961" spans="1:6" x14ac:dyDescent="0.25">
      <c r="A11961" s="1" t="s">
        <v>450</v>
      </c>
      <c r="B11961" s="1" t="s">
        <v>449</v>
      </c>
      <c r="C11961" s="1" t="s">
        <v>52</v>
      </c>
      <c r="D11961" s="3">
        <f t="shared" si="1898"/>
        <v>7652</v>
      </c>
      <c r="E11961" s="2">
        <f t="shared" si="1899"/>
        <v>41821</v>
      </c>
      <c r="F11961" s="2">
        <f t="shared" si="1900"/>
        <v>45808</v>
      </c>
    </row>
    <row r="11962" spans="1:6" x14ac:dyDescent="0.25">
      <c r="A11962" s="1" t="s">
        <v>450</v>
      </c>
      <c r="B11962" s="1" t="s">
        <v>449</v>
      </c>
      <c r="C11962" s="1" t="s">
        <v>338</v>
      </c>
      <c r="D11962" s="3">
        <f t="shared" si="1898"/>
        <v>7652</v>
      </c>
      <c r="E11962" s="2">
        <f t="shared" si="1899"/>
        <v>41821</v>
      </c>
      <c r="F11962" s="2">
        <f t="shared" si="1900"/>
        <v>45808</v>
      </c>
    </row>
    <row r="11963" spans="1:6" x14ac:dyDescent="0.25">
      <c r="A11963" s="1" t="s">
        <v>450</v>
      </c>
      <c r="B11963" s="1" t="s">
        <v>449</v>
      </c>
      <c r="C11963" s="1" t="s">
        <v>453</v>
      </c>
      <c r="D11963" s="3">
        <f t="shared" si="1898"/>
        <v>7652</v>
      </c>
      <c r="E11963" s="2">
        <f t="shared" si="1899"/>
        <v>41821</v>
      </c>
      <c r="F11963" s="2">
        <f t="shared" si="1900"/>
        <v>45808</v>
      </c>
    </row>
    <row r="11964" spans="1:6" x14ac:dyDescent="0.25">
      <c r="A11964" s="1" t="s">
        <v>450</v>
      </c>
      <c r="B11964" s="1" t="s">
        <v>449</v>
      </c>
      <c r="C11964" s="1" t="s">
        <v>54</v>
      </c>
      <c r="D11964" s="3">
        <f t="shared" si="1898"/>
        <v>7652</v>
      </c>
      <c r="E11964" s="2">
        <f t="shared" si="1899"/>
        <v>41821</v>
      </c>
      <c r="F11964" s="2">
        <f t="shared" si="1900"/>
        <v>45808</v>
      </c>
    </row>
    <row r="11965" spans="1:6" x14ac:dyDescent="0.25">
      <c r="A11965" s="1" t="s">
        <v>450</v>
      </c>
      <c r="B11965" s="1" t="s">
        <v>449</v>
      </c>
      <c r="C11965" s="1" t="s">
        <v>34</v>
      </c>
      <c r="D11965" s="3">
        <f t="shared" si="1898"/>
        <v>7652</v>
      </c>
      <c r="E11965" s="2">
        <f t="shared" si="1899"/>
        <v>41821</v>
      </c>
      <c r="F11965" s="2">
        <f t="shared" si="1900"/>
        <v>45808</v>
      </c>
    </row>
    <row r="11966" spans="1:6" x14ac:dyDescent="0.25">
      <c r="A11966" s="1" t="s">
        <v>450</v>
      </c>
      <c r="B11966" s="1" t="s">
        <v>449</v>
      </c>
      <c r="C11966" s="1" t="s">
        <v>307</v>
      </c>
      <c r="D11966" s="3">
        <f t="shared" si="1898"/>
        <v>7652</v>
      </c>
      <c r="E11966" s="2">
        <f t="shared" si="1899"/>
        <v>41821</v>
      </c>
      <c r="F11966" s="2">
        <f t="shared" si="1900"/>
        <v>45808</v>
      </c>
    </row>
    <row r="11967" spans="1:6" x14ac:dyDescent="0.25">
      <c r="A11967" s="1" t="s">
        <v>450</v>
      </c>
      <c r="B11967" s="1" t="s">
        <v>449</v>
      </c>
      <c r="C11967" s="1" t="s">
        <v>310</v>
      </c>
      <c r="D11967" s="3">
        <f t="shared" si="1898"/>
        <v>7652</v>
      </c>
      <c r="E11967" s="2">
        <f t="shared" si="1899"/>
        <v>41821</v>
      </c>
      <c r="F11967" s="2">
        <f t="shared" si="1900"/>
        <v>45808</v>
      </c>
    </row>
    <row r="11968" spans="1:6" x14ac:dyDescent="0.25">
      <c r="A11968" s="1" t="s">
        <v>450</v>
      </c>
      <c r="B11968" s="1" t="s">
        <v>449</v>
      </c>
      <c r="C11968" s="1" t="s">
        <v>164</v>
      </c>
      <c r="D11968" s="3">
        <f t="shared" si="1898"/>
        <v>7652</v>
      </c>
      <c r="E11968" s="2">
        <f t="shared" si="1899"/>
        <v>41821</v>
      </c>
      <c r="F11968" s="2">
        <f t="shared" si="1900"/>
        <v>45808</v>
      </c>
    </row>
    <row r="11969" spans="1:6" x14ac:dyDescent="0.25">
      <c r="A11969" s="1" t="s">
        <v>450</v>
      </c>
      <c r="B11969" s="1" t="s">
        <v>449</v>
      </c>
      <c r="C11969" s="1" t="s">
        <v>170</v>
      </c>
      <c r="D11969" s="3">
        <f t="shared" si="1898"/>
        <v>7652</v>
      </c>
      <c r="E11969" s="2">
        <f t="shared" si="1899"/>
        <v>41821</v>
      </c>
      <c r="F11969" s="2">
        <f t="shared" si="1900"/>
        <v>45808</v>
      </c>
    </row>
    <row r="11970" spans="1:6" x14ac:dyDescent="0.25">
      <c r="A11970" s="1" t="s">
        <v>2600</v>
      </c>
      <c r="B11970" s="1" t="s">
        <v>2599</v>
      </c>
      <c r="C11970" s="1" t="s">
        <v>13</v>
      </c>
      <c r="D11970" s="3">
        <f>VALUE("7191")</f>
        <v>7191</v>
      </c>
      <c r="E11970" s="2">
        <f>DATEVALUE("1-12-2011")</f>
        <v>40878</v>
      </c>
      <c r="F11970" s="2">
        <f>DATEVALUE("31-8-2014")</f>
        <v>41882</v>
      </c>
    </row>
    <row r="11971" spans="1:6" x14ac:dyDescent="0.25">
      <c r="A11971" s="1" t="s">
        <v>2600</v>
      </c>
      <c r="B11971" s="1" t="s">
        <v>2599</v>
      </c>
      <c r="C11971" s="1" t="s">
        <v>220</v>
      </c>
      <c r="D11971" s="3">
        <f>VALUE("7191")</f>
        <v>7191</v>
      </c>
      <c r="E11971" s="2">
        <f>DATEVALUE("1-12-2011")</f>
        <v>40878</v>
      </c>
      <c r="F11971" s="2">
        <f>DATEVALUE("31-8-2014")</f>
        <v>41882</v>
      </c>
    </row>
    <row r="11972" spans="1:6" x14ac:dyDescent="0.25">
      <c r="A11972" s="1" t="s">
        <v>2600</v>
      </c>
      <c r="B11972" s="1" t="s">
        <v>2599</v>
      </c>
      <c r="C11972" s="1" t="s">
        <v>30</v>
      </c>
      <c r="D11972" s="3">
        <f>VALUE("7191")</f>
        <v>7191</v>
      </c>
      <c r="E11972" s="2">
        <f>DATEVALUE("1-12-2011")</f>
        <v>40878</v>
      </c>
      <c r="F11972" s="2">
        <f>DATEVALUE("31-8-2014")</f>
        <v>41882</v>
      </c>
    </row>
    <row r="11973" spans="1:6" x14ac:dyDescent="0.25">
      <c r="A11973" s="1" t="s">
        <v>2251</v>
      </c>
      <c r="B11973" s="1" t="s">
        <v>2250</v>
      </c>
      <c r="C11973" s="1" t="s">
        <v>7</v>
      </c>
      <c r="D11973" s="3">
        <f t="shared" ref="D11973:D11982" si="1901">VALUE("7960")</f>
        <v>7960</v>
      </c>
      <c r="E11973" s="2">
        <f t="shared" ref="E11973:E11985" si="1902">DATEVALUE("1-9-2016")</f>
        <v>42614</v>
      </c>
      <c r="F11973" s="2">
        <f t="shared" ref="F11973:F11982" si="1903">DATEVALUE("30-9-2016")</f>
        <v>42643</v>
      </c>
    </row>
    <row r="11974" spans="1:6" x14ac:dyDescent="0.25">
      <c r="A11974" s="1" t="s">
        <v>2251</v>
      </c>
      <c r="B11974" s="1" t="s">
        <v>2250</v>
      </c>
      <c r="C11974" s="1" t="s">
        <v>6</v>
      </c>
      <c r="D11974" s="3">
        <f t="shared" si="1901"/>
        <v>7960</v>
      </c>
      <c r="E11974" s="2">
        <f t="shared" si="1902"/>
        <v>42614</v>
      </c>
      <c r="F11974" s="2">
        <f t="shared" si="1903"/>
        <v>42643</v>
      </c>
    </row>
    <row r="11975" spans="1:6" x14ac:dyDescent="0.25">
      <c r="A11975" s="1" t="s">
        <v>2251</v>
      </c>
      <c r="B11975" s="1" t="s">
        <v>2250</v>
      </c>
      <c r="C11975" s="1" t="s">
        <v>62</v>
      </c>
      <c r="D11975" s="3">
        <f t="shared" si="1901"/>
        <v>7960</v>
      </c>
      <c r="E11975" s="2">
        <f t="shared" si="1902"/>
        <v>42614</v>
      </c>
      <c r="F11975" s="2">
        <f t="shared" si="1903"/>
        <v>42643</v>
      </c>
    </row>
    <row r="11976" spans="1:6" x14ac:dyDescent="0.25">
      <c r="A11976" s="1" t="s">
        <v>2251</v>
      </c>
      <c r="B11976" s="1" t="s">
        <v>2250</v>
      </c>
      <c r="C11976" s="1" t="s">
        <v>63</v>
      </c>
      <c r="D11976" s="3">
        <f t="shared" si="1901"/>
        <v>7960</v>
      </c>
      <c r="E11976" s="2">
        <f t="shared" si="1902"/>
        <v>42614</v>
      </c>
      <c r="F11976" s="2">
        <f t="shared" si="1903"/>
        <v>42643</v>
      </c>
    </row>
    <row r="11977" spans="1:6" x14ac:dyDescent="0.25">
      <c r="A11977" s="1" t="s">
        <v>2251</v>
      </c>
      <c r="B11977" s="1" t="s">
        <v>2250</v>
      </c>
      <c r="C11977" s="1" t="s">
        <v>414</v>
      </c>
      <c r="D11977" s="3">
        <f t="shared" si="1901"/>
        <v>7960</v>
      </c>
      <c r="E11977" s="2">
        <f t="shared" si="1902"/>
        <v>42614</v>
      </c>
      <c r="F11977" s="2">
        <f t="shared" si="1903"/>
        <v>42643</v>
      </c>
    </row>
    <row r="11978" spans="1:6" x14ac:dyDescent="0.25">
      <c r="A11978" s="1" t="s">
        <v>2251</v>
      </c>
      <c r="B11978" s="1" t="s">
        <v>2250</v>
      </c>
      <c r="C11978" s="1" t="s">
        <v>87</v>
      </c>
      <c r="D11978" s="3">
        <f t="shared" si="1901"/>
        <v>7960</v>
      </c>
      <c r="E11978" s="2">
        <f t="shared" si="1902"/>
        <v>42614</v>
      </c>
      <c r="F11978" s="2">
        <f t="shared" si="1903"/>
        <v>42643</v>
      </c>
    </row>
    <row r="11979" spans="1:6" x14ac:dyDescent="0.25">
      <c r="A11979" s="1" t="s">
        <v>2251</v>
      </c>
      <c r="B11979" s="1" t="s">
        <v>2250</v>
      </c>
      <c r="C11979" s="1" t="s">
        <v>14</v>
      </c>
      <c r="D11979" s="3">
        <f t="shared" si="1901"/>
        <v>7960</v>
      </c>
      <c r="E11979" s="2">
        <f t="shared" si="1902"/>
        <v>42614</v>
      </c>
      <c r="F11979" s="2">
        <f t="shared" si="1903"/>
        <v>42643</v>
      </c>
    </row>
    <row r="11980" spans="1:6" x14ac:dyDescent="0.25">
      <c r="A11980" s="1" t="s">
        <v>2251</v>
      </c>
      <c r="B11980" s="1" t="s">
        <v>2250</v>
      </c>
      <c r="C11980" s="1" t="s">
        <v>16</v>
      </c>
      <c r="D11980" s="3">
        <f t="shared" si="1901"/>
        <v>7960</v>
      </c>
      <c r="E11980" s="2">
        <f t="shared" si="1902"/>
        <v>42614</v>
      </c>
      <c r="F11980" s="2">
        <f t="shared" si="1903"/>
        <v>42643</v>
      </c>
    </row>
    <row r="11981" spans="1:6" x14ac:dyDescent="0.25">
      <c r="A11981" s="1" t="s">
        <v>2251</v>
      </c>
      <c r="B11981" s="1" t="s">
        <v>2250</v>
      </c>
      <c r="C11981" s="1" t="s">
        <v>17</v>
      </c>
      <c r="D11981" s="3">
        <f t="shared" si="1901"/>
        <v>7960</v>
      </c>
      <c r="E11981" s="2">
        <f t="shared" si="1902"/>
        <v>42614</v>
      </c>
      <c r="F11981" s="2">
        <f t="shared" si="1903"/>
        <v>42643</v>
      </c>
    </row>
    <row r="11982" spans="1:6" x14ac:dyDescent="0.25">
      <c r="A11982" s="1" t="s">
        <v>2251</v>
      </c>
      <c r="B11982" s="1" t="s">
        <v>2250</v>
      </c>
      <c r="C11982" s="1" t="s">
        <v>221</v>
      </c>
      <c r="D11982" s="3">
        <f t="shared" si="1901"/>
        <v>7960</v>
      </c>
      <c r="E11982" s="2">
        <f t="shared" si="1902"/>
        <v>42614</v>
      </c>
      <c r="F11982" s="2">
        <f t="shared" si="1903"/>
        <v>42643</v>
      </c>
    </row>
    <row r="11983" spans="1:6" x14ac:dyDescent="0.25">
      <c r="A11983" s="1" t="s">
        <v>1853</v>
      </c>
      <c r="B11983" s="1" t="s">
        <v>2252</v>
      </c>
      <c r="C11983" s="1" t="s">
        <v>17</v>
      </c>
      <c r="D11983" s="3">
        <f>VALUE("7962")</f>
        <v>7962</v>
      </c>
      <c r="E11983" s="2">
        <f t="shared" si="1902"/>
        <v>42614</v>
      </c>
      <c r="F11983" s="2">
        <f>DATEVALUE("30-11-2016")</f>
        <v>42704</v>
      </c>
    </row>
    <row r="11984" spans="1:6" x14ac:dyDescent="0.25">
      <c r="A11984" s="1" t="s">
        <v>1853</v>
      </c>
      <c r="B11984" s="1" t="s">
        <v>2252</v>
      </c>
      <c r="C11984" s="1" t="s">
        <v>72</v>
      </c>
      <c r="D11984" s="3">
        <f>VALUE("7962")</f>
        <v>7962</v>
      </c>
      <c r="E11984" s="2">
        <f t="shared" si="1902"/>
        <v>42614</v>
      </c>
      <c r="F11984" s="2">
        <f>DATEVALUE("30-11-2016")</f>
        <v>42704</v>
      </c>
    </row>
    <row r="11985" spans="1:6" x14ac:dyDescent="0.25">
      <c r="A11985" s="1" t="s">
        <v>1853</v>
      </c>
      <c r="B11985" s="1" t="s">
        <v>2252</v>
      </c>
      <c r="C11985" s="1" t="s">
        <v>52</v>
      </c>
      <c r="D11985" s="3">
        <f>VALUE("7962")</f>
        <v>7962</v>
      </c>
      <c r="E11985" s="2">
        <f t="shared" si="1902"/>
        <v>42614</v>
      </c>
      <c r="F11985" s="2">
        <f>DATEVALUE("30-11-2016")</f>
        <v>42704</v>
      </c>
    </row>
    <row r="11986" spans="1:6" x14ac:dyDescent="0.25">
      <c r="A11986" s="1" t="s">
        <v>1853</v>
      </c>
      <c r="B11986" s="1" t="s">
        <v>953</v>
      </c>
      <c r="C11986" s="1" t="s">
        <v>8</v>
      </c>
      <c r="D11986" s="3">
        <f t="shared" ref="D11986:D12003" si="1904">VALUE("7457")</f>
        <v>7457</v>
      </c>
      <c r="E11986" s="2">
        <f t="shared" ref="E11986:E12003" si="1905">DATEVALUE("1-3-2014")</f>
        <v>41699</v>
      </c>
      <c r="F11986" s="2">
        <f t="shared" ref="F11986:F12003" si="1906">DATEVALUE("28-2-2018")</f>
        <v>43159</v>
      </c>
    </row>
    <row r="11987" spans="1:6" x14ac:dyDescent="0.25">
      <c r="A11987" s="1" t="s">
        <v>1853</v>
      </c>
      <c r="B11987" s="1" t="s">
        <v>953</v>
      </c>
      <c r="C11987" s="1" t="s">
        <v>10</v>
      </c>
      <c r="D11987" s="3">
        <f t="shared" si="1904"/>
        <v>7457</v>
      </c>
      <c r="E11987" s="2">
        <f t="shared" si="1905"/>
        <v>41699</v>
      </c>
      <c r="F11987" s="2">
        <f t="shared" si="1906"/>
        <v>43159</v>
      </c>
    </row>
    <row r="11988" spans="1:6" x14ac:dyDescent="0.25">
      <c r="A11988" s="1" t="s">
        <v>1853</v>
      </c>
      <c r="B11988" s="1" t="s">
        <v>953</v>
      </c>
      <c r="C11988" s="1" t="s">
        <v>45</v>
      </c>
      <c r="D11988" s="3">
        <f t="shared" si="1904"/>
        <v>7457</v>
      </c>
      <c r="E11988" s="2">
        <f t="shared" si="1905"/>
        <v>41699</v>
      </c>
      <c r="F11988" s="2">
        <f t="shared" si="1906"/>
        <v>43159</v>
      </c>
    </row>
    <row r="11989" spans="1:6" x14ac:dyDescent="0.25">
      <c r="A11989" s="1" t="s">
        <v>1853</v>
      </c>
      <c r="B11989" s="1" t="s">
        <v>953</v>
      </c>
      <c r="C11989" s="1" t="s">
        <v>46</v>
      </c>
      <c r="D11989" s="3">
        <f t="shared" si="1904"/>
        <v>7457</v>
      </c>
      <c r="E11989" s="2">
        <f t="shared" si="1905"/>
        <v>41699</v>
      </c>
      <c r="F11989" s="2">
        <f t="shared" si="1906"/>
        <v>43159</v>
      </c>
    </row>
    <row r="11990" spans="1:6" x14ac:dyDescent="0.25">
      <c r="A11990" s="1" t="s">
        <v>1853</v>
      </c>
      <c r="B11990" s="1" t="s">
        <v>953</v>
      </c>
      <c r="C11990" s="1" t="s">
        <v>66</v>
      </c>
      <c r="D11990" s="3">
        <f t="shared" si="1904"/>
        <v>7457</v>
      </c>
      <c r="E11990" s="2">
        <f t="shared" si="1905"/>
        <v>41699</v>
      </c>
      <c r="F11990" s="2">
        <f t="shared" si="1906"/>
        <v>43159</v>
      </c>
    </row>
    <row r="11991" spans="1:6" x14ac:dyDescent="0.25">
      <c r="A11991" s="1" t="s">
        <v>1853</v>
      </c>
      <c r="B11991" s="1" t="s">
        <v>953</v>
      </c>
      <c r="C11991" s="1" t="s">
        <v>15</v>
      </c>
      <c r="D11991" s="3">
        <f t="shared" si="1904"/>
        <v>7457</v>
      </c>
      <c r="E11991" s="2">
        <f t="shared" si="1905"/>
        <v>41699</v>
      </c>
      <c r="F11991" s="2">
        <f t="shared" si="1906"/>
        <v>43159</v>
      </c>
    </row>
    <row r="11992" spans="1:6" x14ac:dyDescent="0.25">
      <c r="A11992" s="1" t="s">
        <v>1853</v>
      </c>
      <c r="B11992" s="1" t="s">
        <v>953</v>
      </c>
      <c r="C11992" s="1" t="s">
        <v>16</v>
      </c>
      <c r="D11992" s="3">
        <f t="shared" si="1904"/>
        <v>7457</v>
      </c>
      <c r="E11992" s="2">
        <f t="shared" si="1905"/>
        <v>41699</v>
      </c>
      <c r="F11992" s="2">
        <f t="shared" si="1906"/>
        <v>43159</v>
      </c>
    </row>
    <row r="11993" spans="1:6" x14ac:dyDescent="0.25">
      <c r="A11993" s="1" t="s">
        <v>1853</v>
      </c>
      <c r="B11993" s="1" t="s">
        <v>953</v>
      </c>
      <c r="C11993" s="1" t="s">
        <v>88</v>
      </c>
      <c r="D11993" s="3">
        <f t="shared" si="1904"/>
        <v>7457</v>
      </c>
      <c r="E11993" s="2">
        <f t="shared" si="1905"/>
        <v>41699</v>
      </c>
      <c r="F11993" s="2">
        <f t="shared" si="1906"/>
        <v>43159</v>
      </c>
    </row>
    <row r="11994" spans="1:6" x14ac:dyDescent="0.25">
      <c r="A11994" s="1" t="s">
        <v>1853</v>
      </c>
      <c r="B11994" s="1" t="s">
        <v>953</v>
      </c>
      <c r="C11994" s="1" t="s">
        <v>89</v>
      </c>
      <c r="D11994" s="3">
        <f t="shared" si="1904"/>
        <v>7457</v>
      </c>
      <c r="E11994" s="2">
        <f t="shared" si="1905"/>
        <v>41699</v>
      </c>
      <c r="F11994" s="2">
        <f t="shared" si="1906"/>
        <v>43159</v>
      </c>
    </row>
    <row r="11995" spans="1:6" x14ac:dyDescent="0.25">
      <c r="A11995" s="1" t="s">
        <v>1853</v>
      </c>
      <c r="B11995" s="1" t="s">
        <v>953</v>
      </c>
      <c r="C11995" s="1" t="s">
        <v>17</v>
      </c>
      <c r="D11995" s="3">
        <f t="shared" si="1904"/>
        <v>7457</v>
      </c>
      <c r="E11995" s="2">
        <f t="shared" si="1905"/>
        <v>41699</v>
      </c>
      <c r="F11995" s="2">
        <f t="shared" si="1906"/>
        <v>43159</v>
      </c>
    </row>
    <row r="11996" spans="1:6" x14ac:dyDescent="0.25">
      <c r="A11996" s="1" t="s">
        <v>1853</v>
      </c>
      <c r="B11996" s="1" t="s">
        <v>953</v>
      </c>
      <c r="C11996" s="1" t="s">
        <v>22</v>
      </c>
      <c r="D11996" s="3">
        <f t="shared" si="1904"/>
        <v>7457</v>
      </c>
      <c r="E11996" s="2">
        <f t="shared" si="1905"/>
        <v>41699</v>
      </c>
      <c r="F11996" s="2">
        <f t="shared" si="1906"/>
        <v>43159</v>
      </c>
    </row>
    <row r="11997" spans="1:6" x14ac:dyDescent="0.25">
      <c r="A11997" s="1" t="s">
        <v>1853</v>
      </c>
      <c r="B11997" s="1" t="s">
        <v>953</v>
      </c>
      <c r="C11997" s="1" t="s">
        <v>149</v>
      </c>
      <c r="D11997" s="3">
        <f t="shared" si="1904"/>
        <v>7457</v>
      </c>
      <c r="E11997" s="2">
        <f t="shared" si="1905"/>
        <v>41699</v>
      </c>
      <c r="F11997" s="2">
        <f t="shared" si="1906"/>
        <v>43159</v>
      </c>
    </row>
    <row r="11998" spans="1:6" x14ac:dyDescent="0.25">
      <c r="A11998" s="1" t="s">
        <v>1853</v>
      </c>
      <c r="B11998" s="1" t="s">
        <v>953</v>
      </c>
      <c r="C11998" s="1" t="s">
        <v>155</v>
      </c>
      <c r="D11998" s="3">
        <f t="shared" si="1904"/>
        <v>7457</v>
      </c>
      <c r="E11998" s="2">
        <f t="shared" si="1905"/>
        <v>41699</v>
      </c>
      <c r="F11998" s="2">
        <f t="shared" si="1906"/>
        <v>43159</v>
      </c>
    </row>
    <row r="11999" spans="1:6" x14ac:dyDescent="0.25">
      <c r="A11999" s="1" t="s">
        <v>1853</v>
      </c>
      <c r="B11999" s="1" t="s">
        <v>953</v>
      </c>
      <c r="C11999" s="1" t="s">
        <v>27</v>
      </c>
      <c r="D11999" s="3">
        <f t="shared" si="1904"/>
        <v>7457</v>
      </c>
      <c r="E11999" s="2">
        <f t="shared" si="1905"/>
        <v>41699</v>
      </c>
      <c r="F11999" s="2">
        <f t="shared" si="1906"/>
        <v>43159</v>
      </c>
    </row>
    <row r="12000" spans="1:6" x14ac:dyDescent="0.25">
      <c r="A12000" s="1" t="s">
        <v>1853</v>
      </c>
      <c r="B12000" s="1" t="s">
        <v>953</v>
      </c>
      <c r="C12000" s="1" t="s">
        <v>262</v>
      </c>
      <c r="D12000" s="3">
        <f t="shared" si="1904"/>
        <v>7457</v>
      </c>
      <c r="E12000" s="2">
        <f t="shared" si="1905"/>
        <v>41699</v>
      </c>
      <c r="F12000" s="2">
        <f t="shared" si="1906"/>
        <v>43159</v>
      </c>
    </row>
    <row r="12001" spans="1:6" x14ac:dyDescent="0.25">
      <c r="A12001" s="1" t="s">
        <v>1853</v>
      </c>
      <c r="B12001" s="1" t="s">
        <v>953</v>
      </c>
      <c r="C12001" s="1" t="s">
        <v>73</v>
      </c>
      <c r="D12001" s="3">
        <f t="shared" si="1904"/>
        <v>7457</v>
      </c>
      <c r="E12001" s="2">
        <f t="shared" si="1905"/>
        <v>41699</v>
      </c>
      <c r="F12001" s="2">
        <f t="shared" si="1906"/>
        <v>43159</v>
      </c>
    </row>
    <row r="12002" spans="1:6" x14ac:dyDescent="0.25">
      <c r="A12002" s="1" t="s">
        <v>1853</v>
      </c>
      <c r="B12002" s="1" t="s">
        <v>953</v>
      </c>
      <c r="C12002" s="1" t="s">
        <v>161</v>
      </c>
      <c r="D12002" s="3">
        <f t="shared" si="1904"/>
        <v>7457</v>
      </c>
      <c r="E12002" s="2">
        <f t="shared" si="1905"/>
        <v>41699</v>
      </c>
      <c r="F12002" s="2">
        <f t="shared" si="1906"/>
        <v>43159</v>
      </c>
    </row>
    <row r="12003" spans="1:6" x14ac:dyDescent="0.25">
      <c r="A12003" s="1" t="s">
        <v>1853</v>
      </c>
      <c r="B12003" s="1" t="s">
        <v>953</v>
      </c>
      <c r="C12003" s="1" t="s">
        <v>162</v>
      </c>
      <c r="D12003" s="3">
        <f t="shared" si="1904"/>
        <v>7457</v>
      </c>
      <c r="E12003" s="2">
        <f t="shared" si="1905"/>
        <v>41699</v>
      </c>
      <c r="F12003" s="2">
        <f t="shared" si="1906"/>
        <v>43159</v>
      </c>
    </row>
    <row r="12004" spans="1:6" x14ac:dyDescent="0.25">
      <c r="A12004" s="1" t="s">
        <v>1853</v>
      </c>
      <c r="B12004" s="1" t="s">
        <v>1852</v>
      </c>
      <c r="C12004" s="1" t="s">
        <v>13</v>
      </c>
      <c r="D12004" s="3">
        <f>VALUE("1064")</f>
        <v>1064</v>
      </c>
      <c r="E12004" s="2">
        <f>DATEVALUE("1-7-2008")</f>
        <v>39630</v>
      </c>
      <c r="F12004" s="2">
        <f>DATEVALUE("30-4-2015")</f>
        <v>42124</v>
      </c>
    </row>
    <row r="12005" spans="1:6" x14ac:dyDescent="0.25">
      <c r="A12005" s="1" t="s">
        <v>247</v>
      </c>
      <c r="B12005" s="1" t="s">
        <v>1667</v>
      </c>
      <c r="C12005" s="1" t="s">
        <v>67</v>
      </c>
      <c r="D12005" s="3">
        <f>VALUE("8847")</f>
        <v>8847</v>
      </c>
      <c r="E12005" s="2">
        <f>DATEVALUE("1-10-2020")</f>
        <v>44105</v>
      </c>
      <c r="F12005" s="2">
        <f>DATEVALUE("30-9-2025")</f>
        <v>45930</v>
      </c>
    </row>
    <row r="12006" spans="1:6" x14ac:dyDescent="0.25">
      <c r="A12006" s="1" t="s">
        <v>247</v>
      </c>
      <c r="B12006" s="1" t="s">
        <v>1667</v>
      </c>
      <c r="C12006" s="1" t="s">
        <v>400</v>
      </c>
      <c r="D12006" s="3">
        <f>VALUE("8847")</f>
        <v>8847</v>
      </c>
      <c r="E12006" s="2">
        <f>DATEVALUE("1-10-2020")</f>
        <v>44105</v>
      </c>
      <c r="F12006" s="2">
        <f>DATEVALUE("30-9-2025")</f>
        <v>45930</v>
      </c>
    </row>
    <row r="12007" spans="1:6" x14ac:dyDescent="0.25">
      <c r="A12007" s="1" t="s">
        <v>247</v>
      </c>
      <c r="B12007" s="1" t="s">
        <v>1667</v>
      </c>
      <c r="C12007" s="1" t="s">
        <v>51</v>
      </c>
      <c r="D12007" s="3">
        <f>VALUE("8847")</f>
        <v>8847</v>
      </c>
      <c r="E12007" s="2">
        <f>DATEVALUE("1-10-2020")</f>
        <v>44105</v>
      </c>
      <c r="F12007" s="2">
        <f>DATEVALUE("30-9-2025")</f>
        <v>45930</v>
      </c>
    </row>
    <row r="12008" spans="1:6" x14ac:dyDescent="0.25">
      <c r="A12008" s="1" t="s">
        <v>247</v>
      </c>
      <c r="B12008" s="1" t="s">
        <v>1667</v>
      </c>
      <c r="C12008" s="1" t="s">
        <v>160</v>
      </c>
      <c r="D12008" s="3">
        <f>VALUE("8847")</f>
        <v>8847</v>
      </c>
      <c r="E12008" s="2">
        <f>DATEVALUE("1-10-2020")</f>
        <v>44105</v>
      </c>
      <c r="F12008" s="2">
        <f>DATEVALUE("30-9-2025")</f>
        <v>45930</v>
      </c>
    </row>
    <row r="12009" spans="1:6" x14ac:dyDescent="0.25">
      <c r="A12009" s="1" t="s">
        <v>247</v>
      </c>
      <c r="B12009" s="1" t="s">
        <v>1667</v>
      </c>
      <c r="C12009" s="1" t="s">
        <v>36</v>
      </c>
      <c r="D12009" s="3">
        <f>VALUE("8847")</f>
        <v>8847</v>
      </c>
      <c r="E12009" s="2">
        <f>DATEVALUE("1-10-2020")</f>
        <v>44105</v>
      </c>
      <c r="F12009" s="2">
        <f>DATEVALUE("30-9-2025")</f>
        <v>45930</v>
      </c>
    </row>
    <row r="12010" spans="1:6" x14ac:dyDescent="0.25">
      <c r="A12010" s="1" t="s">
        <v>247</v>
      </c>
      <c r="B12010" s="1" t="s">
        <v>1649</v>
      </c>
      <c r="C12010" s="1" t="s">
        <v>8</v>
      </c>
      <c r="D12010" s="3">
        <f t="shared" ref="D12010:D12020" si="1907">VALUE("8824")</f>
        <v>8824</v>
      </c>
      <c r="E12010" s="2">
        <f t="shared" ref="E12010:E12020" si="1908">DATEVALUE("1-8-2020")</f>
        <v>44044</v>
      </c>
      <c r="F12010" s="2">
        <f t="shared" ref="F12010:F12020" si="1909">DATEVALUE("31-7-2023")</f>
        <v>45138</v>
      </c>
    </row>
    <row r="12011" spans="1:6" x14ac:dyDescent="0.25">
      <c r="A12011" s="1" t="s">
        <v>247</v>
      </c>
      <c r="B12011" s="1" t="s">
        <v>1649</v>
      </c>
      <c r="C12011" s="1" t="s">
        <v>10</v>
      </c>
      <c r="D12011" s="3">
        <f t="shared" si="1907"/>
        <v>8824</v>
      </c>
      <c r="E12011" s="2">
        <f t="shared" si="1908"/>
        <v>44044</v>
      </c>
      <c r="F12011" s="2">
        <f t="shared" si="1909"/>
        <v>45138</v>
      </c>
    </row>
    <row r="12012" spans="1:6" x14ac:dyDescent="0.25">
      <c r="A12012" s="1" t="s">
        <v>247</v>
      </c>
      <c r="B12012" s="1" t="s">
        <v>1649</v>
      </c>
      <c r="C12012" s="1" t="s">
        <v>61</v>
      </c>
      <c r="D12012" s="3">
        <f t="shared" si="1907"/>
        <v>8824</v>
      </c>
      <c r="E12012" s="2">
        <f t="shared" si="1908"/>
        <v>44044</v>
      </c>
      <c r="F12012" s="2">
        <f t="shared" si="1909"/>
        <v>45138</v>
      </c>
    </row>
    <row r="12013" spans="1:6" x14ac:dyDescent="0.25">
      <c r="A12013" s="1" t="s">
        <v>247</v>
      </c>
      <c r="B12013" s="1" t="s">
        <v>1649</v>
      </c>
      <c r="C12013" s="1" t="s">
        <v>89</v>
      </c>
      <c r="D12013" s="3">
        <f t="shared" si="1907"/>
        <v>8824</v>
      </c>
      <c r="E12013" s="2">
        <f t="shared" si="1908"/>
        <v>44044</v>
      </c>
      <c r="F12013" s="2">
        <f t="shared" si="1909"/>
        <v>45138</v>
      </c>
    </row>
    <row r="12014" spans="1:6" x14ac:dyDescent="0.25">
      <c r="A12014" s="1" t="s">
        <v>247</v>
      </c>
      <c r="B12014" s="1" t="s">
        <v>1649</v>
      </c>
      <c r="C12014" s="1" t="s">
        <v>17</v>
      </c>
      <c r="D12014" s="3">
        <f t="shared" si="1907"/>
        <v>8824</v>
      </c>
      <c r="E12014" s="2">
        <f t="shared" si="1908"/>
        <v>44044</v>
      </c>
      <c r="F12014" s="2">
        <f t="shared" si="1909"/>
        <v>45138</v>
      </c>
    </row>
    <row r="12015" spans="1:6" x14ac:dyDescent="0.25">
      <c r="A12015" s="1" t="s">
        <v>247</v>
      </c>
      <c r="B12015" s="1" t="s">
        <v>1649</v>
      </c>
      <c r="C12015" s="1" t="s">
        <v>146</v>
      </c>
      <c r="D12015" s="3">
        <f t="shared" si="1907"/>
        <v>8824</v>
      </c>
      <c r="E12015" s="2">
        <f t="shared" si="1908"/>
        <v>44044</v>
      </c>
      <c r="F12015" s="2">
        <f t="shared" si="1909"/>
        <v>45138</v>
      </c>
    </row>
    <row r="12016" spans="1:6" x14ac:dyDescent="0.25">
      <c r="A12016" s="1" t="s">
        <v>247</v>
      </c>
      <c r="B12016" s="1" t="s">
        <v>1649</v>
      </c>
      <c r="C12016" s="1" t="s">
        <v>67</v>
      </c>
      <c r="D12016" s="3">
        <f t="shared" si="1907"/>
        <v>8824</v>
      </c>
      <c r="E12016" s="2">
        <f t="shared" si="1908"/>
        <v>44044</v>
      </c>
      <c r="F12016" s="2">
        <f t="shared" si="1909"/>
        <v>45138</v>
      </c>
    </row>
    <row r="12017" spans="1:6" x14ac:dyDescent="0.25">
      <c r="A12017" s="1" t="s">
        <v>247</v>
      </c>
      <c r="B12017" s="1" t="s">
        <v>1649</v>
      </c>
      <c r="C12017" s="1" t="s">
        <v>148</v>
      </c>
      <c r="D12017" s="3">
        <f t="shared" si="1907"/>
        <v>8824</v>
      </c>
      <c r="E12017" s="2">
        <f t="shared" si="1908"/>
        <v>44044</v>
      </c>
      <c r="F12017" s="2">
        <f t="shared" si="1909"/>
        <v>45138</v>
      </c>
    </row>
    <row r="12018" spans="1:6" x14ac:dyDescent="0.25">
      <c r="A12018" s="1" t="s">
        <v>247</v>
      </c>
      <c r="B12018" s="1" t="s">
        <v>1649</v>
      </c>
      <c r="C12018" s="1" t="s">
        <v>149</v>
      </c>
      <c r="D12018" s="3">
        <f t="shared" si="1907"/>
        <v>8824</v>
      </c>
      <c r="E12018" s="2">
        <f t="shared" si="1908"/>
        <v>44044</v>
      </c>
      <c r="F12018" s="2">
        <f t="shared" si="1909"/>
        <v>45138</v>
      </c>
    </row>
    <row r="12019" spans="1:6" x14ac:dyDescent="0.25">
      <c r="A12019" s="1" t="s">
        <v>247</v>
      </c>
      <c r="B12019" s="1" t="s">
        <v>1649</v>
      </c>
      <c r="C12019" s="1" t="s">
        <v>52</v>
      </c>
      <c r="D12019" s="3">
        <f t="shared" si="1907"/>
        <v>8824</v>
      </c>
      <c r="E12019" s="2">
        <f t="shared" si="1908"/>
        <v>44044</v>
      </c>
      <c r="F12019" s="2">
        <f t="shared" si="1909"/>
        <v>45138</v>
      </c>
    </row>
    <row r="12020" spans="1:6" x14ac:dyDescent="0.25">
      <c r="A12020" s="1" t="s">
        <v>247</v>
      </c>
      <c r="B12020" s="1" t="s">
        <v>1649</v>
      </c>
      <c r="C12020" s="1" t="s">
        <v>160</v>
      </c>
      <c r="D12020" s="3">
        <f t="shared" si="1907"/>
        <v>8824</v>
      </c>
      <c r="E12020" s="2">
        <f t="shared" si="1908"/>
        <v>44044</v>
      </c>
      <c r="F12020" s="2">
        <f t="shared" si="1909"/>
        <v>45138</v>
      </c>
    </row>
    <row r="12021" spans="1:6" x14ac:dyDescent="0.25">
      <c r="A12021" s="1" t="s">
        <v>247</v>
      </c>
      <c r="B12021" s="1" t="s">
        <v>1278</v>
      </c>
      <c r="C12021" s="1" t="s">
        <v>410</v>
      </c>
      <c r="D12021" s="3">
        <f t="shared" ref="D12021:D12032" si="1910">VALUE("8535")</f>
        <v>8535</v>
      </c>
      <c r="E12021" s="2">
        <f t="shared" ref="E12021:E12032" si="1911">DATEVALUE("1-10-2019")</f>
        <v>43739</v>
      </c>
      <c r="F12021" s="2">
        <f t="shared" ref="F12021:F12032" si="1912">DATEVALUE("31-8-2025")</f>
        <v>45900</v>
      </c>
    </row>
    <row r="12022" spans="1:6" x14ac:dyDescent="0.25">
      <c r="A12022" s="1" t="s">
        <v>247</v>
      </c>
      <c r="B12022" s="1" t="s">
        <v>1278</v>
      </c>
      <c r="C12022" s="1" t="s">
        <v>15</v>
      </c>
      <c r="D12022" s="3">
        <f t="shared" si="1910"/>
        <v>8535</v>
      </c>
      <c r="E12022" s="2">
        <f t="shared" si="1911"/>
        <v>43739</v>
      </c>
      <c r="F12022" s="2">
        <f t="shared" si="1912"/>
        <v>45900</v>
      </c>
    </row>
    <row r="12023" spans="1:6" x14ac:dyDescent="0.25">
      <c r="A12023" s="1" t="s">
        <v>247</v>
      </c>
      <c r="B12023" s="1" t="s">
        <v>1278</v>
      </c>
      <c r="C12023" s="1" t="s">
        <v>17</v>
      </c>
      <c r="D12023" s="3">
        <f t="shared" si="1910"/>
        <v>8535</v>
      </c>
      <c r="E12023" s="2">
        <f t="shared" si="1911"/>
        <v>43739</v>
      </c>
      <c r="F12023" s="2">
        <f t="shared" si="1912"/>
        <v>45900</v>
      </c>
    </row>
    <row r="12024" spans="1:6" x14ac:dyDescent="0.25">
      <c r="A12024" s="1" t="s">
        <v>247</v>
      </c>
      <c r="B12024" s="1" t="s">
        <v>1278</v>
      </c>
      <c r="C12024" s="1" t="s">
        <v>19</v>
      </c>
      <c r="D12024" s="3">
        <f t="shared" si="1910"/>
        <v>8535</v>
      </c>
      <c r="E12024" s="2">
        <f t="shared" si="1911"/>
        <v>43739</v>
      </c>
      <c r="F12024" s="2">
        <f t="shared" si="1912"/>
        <v>45900</v>
      </c>
    </row>
    <row r="12025" spans="1:6" x14ac:dyDescent="0.25">
      <c r="A12025" s="1" t="s">
        <v>247</v>
      </c>
      <c r="B12025" s="1" t="s">
        <v>1278</v>
      </c>
      <c r="C12025" s="1" t="s">
        <v>193</v>
      </c>
      <c r="D12025" s="3">
        <f t="shared" si="1910"/>
        <v>8535</v>
      </c>
      <c r="E12025" s="2">
        <f t="shared" si="1911"/>
        <v>43739</v>
      </c>
      <c r="F12025" s="2">
        <f t="shared" si="1912"/>
        <v>45900</v>
      </c>
    </row>
    <row r="12026" spans="1:6" x14ac:dyDescent="0.25">
      <c r="A12026" s="1" t="s">
        <v>247</v>
      </c>
      <c r="B12026" s="1" t="s">
        <v>1278</v>
      </c>
      <c r="C12026" s="1" t="s">
        <v>20</v>
      </c>
      <c r="D12026" s="3">
        <f t="shared" si="1910"/>
        <v>8535</v>
      </c>
      <c r="E12026" s="2">
        <f t="shared" si="1911"/>
        <v>43739</v>
      </c>
      <c r="F12026" s="2">
        <f t="shared" si="1912"/>
        <v>45900</v>
      </c>
    </row>
    <row r="12027" spans="1:6" x14ac:dyDescent="0.25">
      <c r="A12027" s="1" t="s">
        <v>247</v>
      </c>
      <c r="B12027" s="1" t="s">
        <v>1278</v>
      </c>
      <c r="C12027" s="1" t="s">
        <v>67</v>
      </c>
      <c r="D12027" s="3">
        <f t="shared" si="1910"/>
        <v>8535</v>
      </c>
      <c r="E12027" s="2">
        <f t="shared" si="1911"/>
        <v>43739</v>
      </c>
      <c r="F12027" s="2">
        <f t="shared" si="1912"/>
        <v>45900</v>
      </c>
    </row>
    <row r="12028" spans="1:6" x14ac:dyDescent="0.25">
      <c r="A12028" s="1" t="s">
        <v>247</v>
      </c>
      <c r="B12028" s="1" t="s">
        <v>1278</v>
      </c>
      <c r="C12028" s="1" t="s">
        <v>149</v>
      </c>
      <c r="D12028" s="3">
        <f t="shared" si="1910"/>
        <v>8535</v>
      </c>
      <c r="E12028" s="2">
        <f t="shared" si="1911"/>
        <v>43739</v>
      </c>
      <c r="F12028" s="2">
        <f t="shared" si="1912"/>
        <v>45900</v>
      </c>
    </row>
    <row r="12029" spans="1:6" x14ac:dyDescent="0.25">
      <c r="A12029" s="1" t="s">
        <v>247</v>
      </c>
      <c r="B12029" s="1" t="s">
        <v>1278</v>
      </c>
      <c r="C12029" s="1" t="s">
        <v>72</v>
      </c>
      <c r="D12029" s="3">
        <f t="shared" si="1910"/>
        <v>8535</v>
      </c>
      <c r="E12029" s="2">
        <f t="shared" si="1911"/>
        <v>43739</v>
      </c>
      <c r="F12029" s="2">
        <f t="shared" si="1912"/>
        <v>45900</v>
      </c>
    </row>
    <row r="12030" spans="1:6" x14ac:dyDescent="0.25">
      <c r="A12030" s="1" t="s">
        <v>247</v>
      </c>
      <c r="B12030" s="1" t="s">
        <v>1278</v>
      </c>
      <c r="C12030" s="1" t="s">
        <v>337</v>
      </c>
      <c r="D12030" s="3">
        <f t="shared" si="1910"/>
        <v>8535</v>
      </c>
      <c r="E12030" s="2">
        <f t="shared" si="1911"/>
        <v>43739</v>
      </c>
      <c r="F12030" s="2">
        <f t="shared" si="1912"/>
        <v>45900</v>
      </c>
    </row>
    <row r="12031" spans="1:6" x14ac:dyDescent="0.25">
      <c r="A12031" s="1" t="s">
        <v>247</v>
      </c>
      <c r="B12031" s="1" t="s">
        <v>1278</v>
      </c>
      <c r="C12031" s="1" t="s">
        <v>52</v>
      </c>
      <c r="D12031" s="3">
        <f t="shared" si="1910"/>
        <v>8535</v>
      </c>
      <c r="E12031" s="2">
        <f t="shared" si="1911"/>
        <v>43739</v>
      </c>
      <c r="F12031" s="2">
        <f t="shared" si="1912"/>
        <v>45900</v>
      </c>
    </row>
    <row r="12032" spans="1:6" x14ac:dyDescent="0.25">
      <c r="A12032" s="1" t="s">
        <v>247</v>
      </c>
      <c r="B12032" s="1" t="s">
        <v>1278</v>
      </c>
      <c r="C12032" s="1" t="s">
        <v>338</v>
      </c>
      <c r="D12032" s="3">
        <f t="shared" si="1910"/>
        <v>8535</v>
      </c>
      <c r="E12032" s="2">
        <f t="shared" si="1911"/>
        <v>43739</v>
      </c>
      <c r="F12032" s="2">
        <f t="shared" si="1912"/>
        <v>45900</v>
      </c>
    </row>
    <row r="12033" spans="1:6" x14ac:dyDescent="0.25">
      <c r="A12033" s="1" t="s">
        <v>247</v>
      </c>
      <c r="B12033" s="1" t="s">
        <v>1154</v>
      </c>
      <c r="C12033" s="1" t="s">
        <v>7</v>
      </c>
      <c r="D12033" s="3">
        <f t="shared" ref="D12033:D12038" si="1913">VALUE("8425")</f>
        <v>8425</v>
      </c>
      <c r="E12033" s="2">
        <f t="shared" ref="E12033:E12038" si="1914">DATEVALUE("1-9-2019")</f>
        <v>43709</v>
      </c>
      <c r="F12033" s="2">
        <f t="shared" ref="F12033:F12038" si="1915">DATEVALUE("31-8-2024")</f>
        <v>45535</v>
      </c>
    </row>
    <row r="12034" spans="1:6" x14ac:dyDescent="0.25">
      <c r="A12034" s="1" t="s">
        <v>247</v>
      </c>
      <c r="B12034" s="1" t="s">
        <v>1154</v>
      </c>
      <c r="C12034" s="1" t="s">
        <v>17</v>
      </c>
      <c r="D12034" s="3">
        <f t="shared" si="1913"/>
        <v>8425</v>
      </c>
      <c r="E12034" s="2">
        <f t="shared" si="1914"/>
        <v>43709</v>
      </c>
      <c r="F12034" s="2">
        <f t="shared" si="1915"/>
        <v>45535</v>
      </c>
    </row>
    <row r="12035" spans="1:6" x14ac:dyDescent="0.25">
      <c r="A12035" s="1" t="s">
        <v>247</v>
      </c>
      <c r="B12035" s="1" t="s">
        <v>1154</v>
      </c>
      <c r="C12035" s="1" t="s">
        <v>22</v>
      </c>
      <c r="D12035" s="3">
        <f t="shared" si="1913"/>
        <v>8425</v>
      </c>
      <c r="E12035" s="2">
        <f t="shared" si="1914"/>
        <v>43709</v>
      </c>
      <c r="F12035" s="2">
        <f t="shared" si="1915"/>
        <v>45535</v>
      </c>
    </row>
    <row r="12036" spans="1:6" x14ac:dyDescent="0.25">
      <c r="A12036" s="1" t="s">
        <v>247</v>
      </c>
      <c r="B12036" s="1" t="s">
        <v>1154</v>
      </c>
      <c r="C12036" s="1" t="s">
        <v>212</v>
      </c>
      <c r="D12036" s="3">
        <f t="shared" si="1913"/>
        <v>8425</v>
      </c>
      <c r="E12036" s="2">
        <f t="shared" si="1914"/>
        <v>43709</v>
      </c>
      <c r="F12036" s="2">
        <f t="shared" si="1915"/>
        <v>45535</v>
      </c>
    </row>
    <row r="12037" spans="1:6" x14ac:dyDescent="0.25">
      <c r="A12037" s="1" t="s">
        <v>247</v>
      </c>
      <c r="B12037" s="1" t="s">
        <v>1154</v>
      </c>
      <c r="C12037" s="1" t="s">
        <v>72</v>
      </c>
      <c r="D12037" s="3">
        <f t="shared" si="1913"/>
        <v>8425</v>
      </c>
      <c r="E12037" s="2">
        <f t="shared" si="1914"/>
        <v>43709</v>
      </c>
      <c r="F12037" s="2">
        <f t="shared" si="1915"/>
        <v>45535</v>
      </c>
    </row>
    <row r="12038" spans="1:6" x14ac:dyDescent="0.25">
      <c r="A12038" s="1" t="s">
        <v>247</v>
      </c>
      <c r="B12038" s="1" t="s">
        <v>1154</v>
      </c>
      <c r="C12038" s="1" t="s">
        <v>52</v>
      </c>
      <c r="D12038" s="3">
        <f t="shared" si="1913"/>
        <v>8425</v>
      </c>
      <c r="E12038" s="2">
        <f t="shared" si="1914"/>
        <v>43709</v>
      </c>
      <c r="F12038" s="2">
        <f t="shared" si="1915"/>
        <v>45535</v>
      </c>
    </row>
    <row r="12039" spans="1:6" x14ac:dyDescent="0.25">
      <c r="A12039" s="1" t="s">
        <v>247</v>
      </c>
      <c r="B12039" s="1" t="s">
        <v>1155</v>
      </c>
      <c r="C12039" s="1" t="s">
        <v>14</v>
      </c>
      <c r="D12039" s="3">
        <f>VALUE("8430")</f>
        <v>8430</v>
      </c>
      <c r="E12039" s="2">
        <f>DATEVALUE("1-2-2019")</f>
        <v>43497</v>
      </c>
      <c r="F12039" s="2">
        <f>DATEVALUE("31-12-2020")</f>
        <v>44196</v>
      </c>
    </row>
    <row r="12040" spans="1:6" x14ac:dyDescent="0.25">
      <c r="A12040" s="1" t="s">
        <v>247</v>
      </c>
      <c r="B12040" s="1" t="s">
        <v>1155</v>
      </c>
      <c r="C12040" s="1" t="s">
        <v>24</v>
      </c>
      <c r="D12040" s="3">
        <f>VALUE("8430")</f>
        <v>8430</v>
      </c>
      <c r="E12040" s="2">
        <f>DATEVALUE("1-2-2019")</f>
        <v>43497</v>
      </c>
      <c r="F12040" s="2">
        <f>DATEVALUE("31-12-2020")</f>
        <v>44196</v>
      </c>
    </row>
    <row r="12041" spans="1:6" x14ac:dyDescent="0.25">
      <c r="A12041" s="1" t="s">
        <v>247</v>
      </c>
      <c r="B12041" s="1" t="s">
        <v>1155</v>
      </c>
      <c r="C12041" s="1" t="s">
        <v>53</v>
      </c>
      <c r="D12041" s="3">
        <f>VALUE("8430")</f>
        <v>8430</v>
      </c>
      <c r="E12041" s="2">
        <f>DATEVALUE("1-2-2019")</f>
        <v>43497</v>
      </c>
      <c r="F12041" s="2">
        <f>DATEVALUE("31-12-2020")</f>
        <v>44196</v>
      </c>
    </row>
    <row r="12042" spans="1:6" x14ac:dyDescent="0.25">
      <c r="A12042" s="1" t="s">
        <v>247</v>
      </c>
      <c r="B12042" s="1" t="s">
        <v>1155</v>
      </c>
      <c r="C12042" s="1" t="s">
        <v>34</v>
      </c>
      <c r="D12042" s="3">
        <f>VALUE("8430")</f>
        <v>8430</v>
      </c>
      <c r="E12042" s="2">
        <f>DATEVALUE("1-2-2019")</f>
        <v>43497</v>
      </c>
      <c r="F12042" s="2">
        <f>DATEVALUE("31-12-2020")</f>
        <v>44196</v>
      </c>
    </row>
    <row r="12043" spans="1:6" x14ac:dyDescent="0.25">
      <c r="A12043" s="1" t="s">
        <v>247</v>
      </c>
      <c r="B12043" s="1" t="s">
        <v>1129</v>
      </c>
      <c r="C12043" s="1" t="s">
        <v>14</v>
      </c>
      <c r="D12043" s="3">
        <f t="shared" ref="D12043:D12052" si="1916">VALUE("8401")</f>
        <v>8401</v>
      </c>
      <c r="E12043" s="2">
        <f t="shared" ref="E12043:E12052" si="1917">DATEVALUE("1-12-2018")</f>
        <v>43435</v>
      </c>
      <c r="F12043" s="2">
        <f t="shared" ref="F12043:F12052" si="1918">DATEVALUE("28-2-2021")</f>
        <v>44255</v>
      </c>
    </row>
    <row r="12044" spans="1:6" x14ac:dyDescent="0.25">
      <c r="A12044" s="1" t="s">
        <v>247</v>
      </c>
      <c r="B12044" s="1" t="s">
        <v>1129</v>
      </c>
      <c r="C12044" s="1" t="s">
        <v>290</v>
      </c>
      <c r="D12044" s="3">
        <f t="shared" si="1916"/>
        <v>8401</v>
      </c>
      <c r="E12044" s="2">
        <f t="shared" si="1917"/>
        <v>43435</v>
      </c>
      <c r="F12044" s="2">
        <f t="shared" si="1918"/>
        <v>44255</v>
      </c>
    </row>
    <row r="12045" spans="1:6" x14ac:dyDescent="0.25">
      <c r="A12045" s="1" t="s">
        <v>247</v>
      </c>
      <c r="B12045" s="1" t="s">
        <v>1129</v>
      </c>
      <c r="C12045" s="1" t="s">
        <v>88</v>
      </c>
      <c r="D12045" s="3">
        <f t="shared" si="1916"/>
        <v>8401</v>
      </c>
      <c r="E12045" s="2">
        <f t="shared" si="1917"/>
        <v>43435</v>
      </c>
      <c r="F12045" s="2">
        <f t="shared" si="1918"/>
        <v>44255</v>
      </c>
    </row>
    <row r="12046" spans="1:6" x14ac:dyDescent="0.25">
      <c r="A12046" s="1" t="s">
        <v>247</v>
      </c>
      <c r="B12046" s="1" t="s">
        <v>1129</v>
      </c>
      <c r="C12046" s="1" t="s">
        <v>17</v>
      </c>
      <c r="D12046" s="3">
        <f t="shared" si="1916"/>
        <v>8401</v>
      </c>
      <c r="E12046" s="2">
        <f t="shared" si="1917"/>
        <v>43435</v>
      </c>
      <c r="F12046" s="2">
        <f t="shared" si="1918"/>
        <v>44255</v>
      </c>
    </row>
    <row r="12047" spans="1:6" x14ac:dyDescent="0.25">
      <c r="A12047" s="1" t="s">
        <v>247</v>
      </c>
      <c r="B12047" s="1" t="s">
        <v>1129</v>
      </c>
      <c r="C12047" s="1" t="s">
        <v>257</v>
      </c>
      <c r="D12047" s="3">
        <f t="shared" si="1916"/>
        <v>8401</v>
      </c>
      <c r="E12047" s="2">
        <f t="shared" si="1917"/>
        <v>43435</v>
      </c>
      <c r="F12047" s="2">
        <f t="shared" si="1918"/>
        <v>44255</v>
      </c>
    </row>
    <row r="12048" spans="1:6" x14ac:dyDescent="0.25">
      <c r="A12048" s="1" t="s">
        <v>247</v>
      </c>
      <c r="B12048" s="1" t="s">
        <v>1129</v>
      </c>
      <c r="C12048" s="1" t="s">
        <v>22</v>
      </c>
      <c r="D12048" s="3">
        <f t="shared" si="1916"/>
        <v>8401</v>
      </c>
      <c r="E12048" s="2">
        <f t="shared" si="1917"/>
        <v>43435</v>
      </c>
      <c r="F12048" s="2">
        <f t="shared" si="1918"/>
        <v>44255</v>
      </c>
    </row>
    <row r="12049" spans="1:6" x14ac:dyDescent="0.25">
      <c r="A12049" s="1" t="s">
        <v>247</v>
      </c>
      <c r="B12049" s="1" t="s">
        <v>1129</v>
      </c>
      <c r="C12049" s="1" t="s">
        <v>92</v>
      </c>
      <c r="D12049" s="3">
        <f t="shared" si="1916"/>
        <v>8401</v>
      </c>
      <c r="E12049" s="2">
        <f t="shared" si="1917"/>
        <v>43435</v>
      </c>
      <c r="F12049" s="2">
        <f t="shared" si="1918"/>
        <v>44255</v>
      </c>
    </row>
    <row r="12050" spans="1:6" x14ac:dyDescent="0.25">
      <c r="A12050" s="1" t="s">
        <v>247</v>
      </c>
      <c r="B12050" s="1" t="s">
        <v>1129</v>
      </c>
      <c r="C12050" s="1" t="s">
        <v>94</v>
      </c>
      <c r="D12050" s="3">
        <f t="shared" si="1916"/>
        <v>8401</v>
      </c>
      <c r="E12050" s="2">
        <f t="shared" si="1917"/>
        <v>43435</v>
      </c>
      <c r="F12050" s="2">
        <f t="shared" si="1918"/>
        <v>44255</v>
      </c>
    </row>
    <row r="12051" spans="1:6" x14ac:dyDescent="0.25">
      <c r="A12051" s="1" t="s">
        <v>247</v>
      </c>
      <c r="B12051" s="1" t="s">
        <v>1129</v>
      </c>
      <c r="C12051" s="1" t="s">
        <v>70</v>
      </c>
      <c r="D12051" s="3">
        <f t="shared" si="1916"/>
        <v>8401</v>
      </c>
      <c r="E12051" s="2">
        <f t="shared" si="1917"/>
        <v>43435</v>
      </c>
      <c r="F12051" s="2">
        <f t="shared" si="1918"/>
        <v>44255</v>
      </c>
    </row>
    <row r="12052" spans="1:6" x14ac:dyDescent="0.25">
      <c r="A12052" s="1" t="s">
        <v>247</v>
      </c>
      <c r="B12052" s="1" t="s">
        <v>1129</v>
      </c>
      <c r="C12052" s="1" t="s">
        <v>52</v>
      </c>
      <c r="D12052" s="3">
        <f t="shared" si="1916"/>
        <v>8401</v>
      </c>
      <c r="E12052" s="2">
        <f t="shared" si="1917"/>
        <v>43435</v>
      </c>
      <c r="F12052" s="2">
        <f t="shared" si="1918"/>
        <v>44255</v>
      </c>
    </row>
    <row r="12053" spans="1:6" x14ac:dyDescent="0.25">
      <c r="A12053" s="1" t="s">
        <v>247</v>
      </c>
      <c r="B12053" s="1" t="s">
        <v>2374</v>
      </c>
      <c r="C12053" s="1" t="s">
        <v>7</v>
      </c>
      <c r="D12053" s="3">
        <f t="shared" ref="D12053:D12064" si="1919">VALUE("8302")</f>
        <v>8302</v>
      </c>
      <c r="E12053" s="2">
        <f t="shared" ref="E12053:E12064" si="1920">DATEVALUE("1-8-2018")</f>
        <v>43313</v>
      </c>
      <c r="F12053" s="2">
        <f t="shared" ref="F12053:F12064" si="1921">DATEVALUE("31-1-2020")</f>
        <v>43861</v>
      </c>
    </row>
    <row r="12054" spans="1:6" x14ac:dyDescent="0.25">
      <c r="A12054" s="1" t="s">
        <v>247</v>
      </c>
      <c r="B12054" s="1" t="s">
        <v>2374</v>
      </c>
      <c r="C12054" s="1" t="s">
        <v>15</v>
      </c>
      <c r="D12054" s="3">
        <f t="shared" si="1919"/>
        <v>8302</v>
      </c>
      <c r="E12054" s="2">
        <f t="shared" si="1920"/>
        <v>43313</v>
      </c>
      <c r="F12054" s="2">
        <f t="shared" si="1921"/>
        <v>43861</v>
      </c>
    </row>
    <row r="12055" spans="1:6" x14ac:dyDescent="0.25">
      <c r="A12055" s="1" t="s">
        <v>247</v>
      </c>
      <c r="B12055" s="1" t="s">
        <v>2374</v>
      </c>
      <c r="C12055" s="1" t="s">
        <v>17</v>
      </c>
      <c r="D12055" s="3">
        <f t="shared" si="1919"/>
        <v>8302</v>
      </c>
      <c r="E12055" s="2">
        <f t="shared" si="1920"/>
        <v>43313</v>
      </c>
      <c r="F12055" s="2">
        <f t="shared" si="1921"/>
        <v>43861</v>
      </c>
    </row>
    <row r="12056" spans="1:6" x14ac:dyDescent="0.25">
      <c r="A12056" s="1" t="s">
        <v>247</v>
      </c>
      <c r="B12056" s="1" t="s">
        <v>2374</v>
      </c>
      <c r="C12056" s="1" t="s">
        <v>22</v>
      </c>
      <c r="D12056" s="3">
        <f t="shared" si="1919"/>
        <v>8302</v>
      </c>
      <c r="E12056" s="2">
        <f t="shared" si="1920"/>
        <v>43313</v>
      </c>
      <c r="F12056" s="2">
        <f t="shared" si="1921"/>
        <v>43861</v>
      </c>
    </row>
    <row r="12057" spans="1:6" x14ac:dyDescent="0.25">
      <c r="A12057" s="1" t="s">
        <v>247</v>
      </c>
      <c r="B12057" s="1" t="s">
        <v>2374</v>
      </c>
      <c r="C12057" s="1" t="s">
        <v>146</v>
      </c>
      <c r="D12057" s="3">
        <f t="shared" si="1919"/>
        <v>8302</v>
      </c>
      <c r="E12057" s="2">
        <f t="shared" si="1920"/>
        <v>43313</v>
      </c>
      <c r="F12057" s="2">
        <f t="shared" si="1921"/>
        <v>43861</v>
      </c>
    </row>
    <row r="12058" spans="1:6" x14ac:dyDescent="0.25">
      <c r="A12058" s="1" t="s">
        <v>247</v>
      </c>
      <c r="B12058" s="1" t="s">
        <v>2374</v>
      </c>
      <c r="C12058" s="1" t="s">
        <v>67</v>
      </c>
      <c r="D12058" s="3">
        <f t="shared" si="1919"/>
        <v>8302</v>
      </c>
      <c r="E12058" s="2">
        <f t="shared" si="1920"/>
        <v>43313</v>
      </c>
      <c r="F12058" s="2">
        <f t="shared" si="1921"/>
        <v>43861</v>
      </c>
    </row>
    <row r="12059" spans="1:6" x14ac:dyDescent="0.25">
      <c r="A12059" s="1" t="s">
        <v>247</v>
      </c>
      <c r="B12059" s="1" t="s">
        <v>2374</v>
      </c>
      <c r="C12059" s="1" t="s">
        <v>148</v>
      </c>
      <c r="D12059" s="3">
        <f t="shared" si="1919"/>
        <v>8302</v>
      </c>
      <c r="E12059" s="2">
        <f t="shared" si="1920"/>
        <v>43313</v>
      </c>
      <c r="F12059" s="2">
        <f t="shared" si="1921"/>
        <v>43861</v>
      </c>
    </row>
    <row r="12060" spans="1:6" x14ac:dyDescent="0.25">
      <c r="A12060" s="1" t="s">
        <v>247</v>
      </c>
      <c r="B12060" s="1" t="s">
        <v>2374</v>
      </c>
      <c r="C12060" s="1" t="s">
        <v>149</v>
      </c>
      <c r="D12060" s="3">
        <f t="shared" si="1919"/>
        <v>8302</v>
      </c>
      <c r="E12060" s="2">
        <f t="shared" si="1920"/>
        <v>43313</v>
      </c>
      <c r="F12060" s="2">
        <f t="shared" si="1921"/>
        <v>43861</v>
      </c>
    </row>
    <row r="12061" spans="1:6" x14ac:dyDescent="0.25">
      <c r="A12061" s="1" t="s">
        <v>247</v>
      </c>
      <c r="B12061" s="1" t="s">
        <v>2374</v>
      </c>
      <c r="C12061" s="1" t="s">
        <v>172</v>
      </c>
      <c r="D12061" s="3">
        <f t="shared" si="1919"/>
        <v>8302</v>
      </c>
      <c r="E12061" s="2">
        <f t="shared" si="1920"/>
        <v>43313</v>
      </c>
      <c r="F12061" s="2">
        <f t="shared" si="1921"/>
        <v>43861</v>
      </c>
    </row>
    <row r="12062" spans="1:6" x14ac:dyDescent="0.25">
      <c r="A12062" s="1" t="s">
        <v>247</v>
      </c>
      <c r="B12062" s="1" t="s">
        <v>2374</v>
      </c>
      <c r="C12062" s="1" t="s">
        <v>654</v>
      </c>
      <c r="D12062" s="3">
        <f t="shared" si="1919"/>
        <v>8302</v>
      </c>
      <c r="E12062" s="2">
        <f t="shared" si="1920"/>
        <v>43313</v>
      </c>
      <c r="F12062" s="2">
        <f t="shared" si="1921"/>
        <v>43861</v>
      </c>
    </row>
    <row r="12063" spans="1:6" x14ac:dyDescent="0.25">
      <c r="A12063" s="1" t="s">
        <v>247</v>
      </c>
      <c r="B12063" s="1" t="s">
        <v>2374</v>
      </c>
      <c r="C12063" s="1" t="s">
        <v>208</v>
      </c>
      <c r="D12063" s="3">
        <f t="shared" si="1919"/>
        <v>8302</v>
      </c>
      <c r="E12063" s="2">
        <f t="shared" si="1920"/>
        <v>43313</v>
      </c>
      <c r="F12063" s="2">
        <f t="shared" si="1921"/>
        <v>43861</v>
      </c>
    </row>
    <row r="12064" spans="1:6" x14ac:dyDescent="0.25">
      <c r="A12064" s="1" t="s">
        <v>247</v>
      </c>
      <c r="B12064" s="1" t="s">
        <v>2374</v>
      </c>
      <c r="C12064" s="1" t="s">
        <v>160</v>
      </c>
      <c r="D12064" s="3">
        <f t="shared" si="1919"/>
        <v>8302</v>
      </c>
      <c r="E12064" s="2">
        <f t="shared" si="1920"/>
        <v>43313</v>
      </c>
      <c r="F12064" s="2">
        <f t="shared" si="1921"/>
        <v>43861</v>
      </c>
    </row>
    <row r="12065" spans="1:6" x14ac:dyDescent="0.25">
      <c r="A12065" s="1" t="s">
        <v>247</v>
      </c>
      <c r="B12065" s="1" t="s">
        <v>1040</v>
      </c>
      <c r="C12065" s="1" t="s">
        <v>7</v>
      </c>
      <c r="D12065" s="3">
        <f t="shared" ref="D12065:D12094" si="1922">VALUE("8317")</f>
        <v>8317</v>
      </c>
      <c r="E12065" s="2">
        <f t="shared" ref="E12065:E12094" si="1923">DATEVALUE("1-7-2018")</f>
        <v>43282</v>
      </c>
      <c r="F12065" s="2">
        <f t="shared" ref="F12065:F12094" si="1924">DATEVALUE("31-5-2022")</f>
        <v>44712</v>
      </c>
    </row>
    <row r="12066" spans="1:6" x14ac:dyDescent="0.25">
      <c r="A12066" s="1" t="s">
        <v>247</v>
      </c>
      <c r="B12066" s="1" t="s">
        <v>1040</v>
      </c>
      <c r="C12066" s="1" t="s">
        <v>39</v>
      </c>
      <c r="D12066" s="3">
        <f t="shared" si="1922"/>
        <v>8317</v>
      </c>
      <c r="E12066" s="2">
        <f t="shared" si="1923"/>
        <v>43282</v>
      </c>
      <c r="F12066" s="2">
        <f t="shared" si="1924"/>
        <v>44712</v>
      </c>
    </row>
    <row r="12067" spans="1:6" x14ac:dyDescent="0.25">
      <c r="A12067" s="1" t="s">
        <v>247</v>
      </c>
      <c r="B12067" s="1" t="s">
        <v>1040</v>
      </c>
      <c r="C12067" s="1" t="s">
        <v>40</v>
      </c>
      <c r="D12067" s="3">
        <f t="shared" si="1922"/>
        <v>8317</v>
      </c>
      <c r="E12067" s="2">
        <f t="shared" si="1923"/>
        <v>43282</v>
      </c>
      <c r="F12067" s="2">
        <f t="shared" si="1924"/>
        <v>44712</v>
      </c>
    </row>
    <row r="12068" spans="1:6" x14ac:dyDescent="0.25">
      <c r="A12068" s="1" t="s">
        <v>247</v>
      </c>
      <c r="B12068" s="1" t="s">
        <v>1040</v>
      </c>
      <c r="C12068" s="1" t="s">
        <v>41</v>
      </c>
      <c r="D12068" s="3">
        <f t="shared" si="1922"/>
        <v>8317</v>
      </c>
      <c r="E12068" s="2">
        <f t="shared" si="1923"/>
        <v>43282</v>
      </c>
      <c r="F12068" s="2">
        <f t="shared" si="1924"/>
        <v>44712</v>
      </c>
    </row>
    <row r="12069" spans="1:6" x14ac:dyDescent="0.25">
      <c r="A12069" s="1" t="s">
        <v>247</v>
      </c>
      <c r="B12069" s="1" t="s">
        <v>1040</v>
      </c>
      <c r="C12069" s="1" t="s">
        <v>8</v>
      </c>
      <c r="D12069" s="3">
        <f t="shared" si="1922"/>
        <v>8317</v>
      </c>
      <c r="E12069" s="2">
        <f t="shared" si="1923"/>
        <v>43282</v>
      </c>
      <c r="F12069" s="2">
        <f t="shared" si="1924"/>
        <v>44712</v>
      </c>
    </row>
    <row r="12070" spans="1:6" x14ac:dyDescent="0.25">
      <c r="A12070" s="1" t="s">
        <v>247</v>
      </c>
      <c r="B12070" s="1" t="s">
        <v>1040</v>
      </c>
      <c r="C12070" s="1" t="s">
        <v>10</v>
      </c>
      <c r="D12070" s="3">
        <f t="shared" si="1922"/>
        <v>8317</v>
      </c>
      <c r="E12070" s="2">
        <f t="shared" si="1923"/>
        <v>43282</v>
      </c>
      <c r="F12070" s="2">
        <f t="shared" si="1924"/>
        <v>44712</v>
      </c>
    </row>
    <row r="12071" spans="1:6" x14ac:dyDescent="0.25">
      <c r="A12071" s="1" t="s">
        <v>247</v>
      </c>
      <c r="B12071" s="1" t="s">
        <v>1040</v>
      </c>
      <c r="C12071" s="1" t="s">
        <v>399</v>
      </c>
      <c r="D12071" s="3">
        <f t="shared" si="1922"/>
        <v>8317</v>
      </c>
      <c r="E12071" s="2">
        <f t="shared" si="1923"/>
        <v>43282</v>
      </c>
      <c r="F12071" s="2">
        <f t="shared" si="1924"/>
        <v>44712</v>
      </c>
    </row>
    <row r="12072" spans="1:6" x14ac:dyDescent="0.25">
      <c r="A12072" s="1" t="s">
        <v>247</v>
      </c>
      <c r="B12072" s="1" t="s">
        <v>1040</v>
      </c>
      <c r="C12072" s="1" t="s">
        <v>89</v>
      </c>
      <c r="D12072" s="3">
        <f t="shared" si="1922"/>
        <v>8317</v>
      </c>
      <c r="E12072" s="2">
        <f t="shared" si="1923"/>
        <v>43282</v>
      </c>
      <c r="F12072" s="2">
        <f t="shared" si="1924"/>
        <v>44712</v>
      </c>
    </row>
    <row r="12073" spans="1:6" x14ac:dyDescent="0.25">
      <c r="A12073" s="1" t="s">
        <v>247</v>
      </c>
      <c r="B12073" s="1" t="s">
        <v>1040</v>
      </c>
      <c r="C12073" s="1" t="s">
        <v>17</v>
      </c>
      <c r="D12073" s="3">
        <f t="shared" si="1922"/>
        <v>8317</v>
      </c>
      <c r="E12073" s="2">
        <f t="shared" si="1923"/>
        <v>43282</v>
      </c>
      <c r="F12073" s="2">
        <f t="shared" si="1924"/>
        <v>44712</v>
      </c>
    </row>
    <row r="12074" spans="1:6" x14ac:dyDescent="0.25">
      <c r="A12074" s="1" t="s">
        <v>247</v>
      </c>
      <c r="B12074" s="1" t="s">
        <v>1040</v>
      </c>
      <c r="C12074" s="1" t="s">
        <v>197</v>
      </c>
      <c r="D12074" s="3">
        <f t="shared" si="1922"/>
        <v>8317</v>
      </c>
      <c r="E12074" s="2">
        <f t="shared" si="1923"/>
        <v>43282</v>
      </c>
      <c r="F12074" s="2">
        <f t="shared" si="1924"/>
        <v>44712</v>
      </c>
    </row>
    <row r="12075" spans="1:6" x14ac:dyDescent="0.25">
      <c r="A12075" s="1" t="s">
        <v>247</v>
      </c>
      <c r="B12075" s="1" t="s">
        <v>1040</v>
      </c>
      <c r="C12075" s="1" t="s">
        <v>146</v>
      </c>
      <c r="D12075" s="3">
        <f t="shared" si="1922"/>
        <v>8317</v>
      </c>
      <c r="E12075" s="2">
        <f t="shared" si="1923"/>
        <v>43282</v>
      </c>
      <c r="F12075" s="2">
        <f t="shared" si="1924"/>
        <v>44712</v>
      </c>
    </row>
    <row r="12076" spans="1:6" x14ac:dyDescent="0.25">
      <c r="A12076" s="1" t="s">
        <v>247</v>
      </c>
      <c r="B12076" s="1" t="s">
        <v>1040</v>
      </c>
      <c r="C12076" s="1" t="s">
        <v>67</v>
      </c>
      <c r="D12076" s="3">
        <f t="shared" si="1922"/>
        <v>8317</v>
      </c>
      <c r="E12076" s="2">
        <f t="shared" si="1923"/>
        <v>43282</v>
      </c>
      <c r="F12076" s="2">
        <f t="shared" si="1924"/>
        <v>44712</v>
      </c>
    </row>
    <row r="12077" spans="1:6" x14ac:dyDescent="0.25">
      <c r="A12077" s="1" t="s">
        <v>247</v>
      </c>
      <c r="B12077" s="1" t="s">
        <v>1040</v>
      </c>
      <c r="C12077" s="1" t="s">
        <v>148</v>
      </c>
      <c r="D12077" s="3">
        <f t="shared" si="1922"/>
        <v>8317</v>
      </c>
      <c r="E12077" s="2">
        <f t="shared" si="1923"/>
        <v>43282</v>
      </c>
      <c r="F12077" s="2">
        <f t="shared" si="1924"/>
        <v>44712</v>
      </c>
    </row>
    <row r="12078" spans="1:6" x14ac:dyDescent="0.25">
      <c r="A12078" s="1" t="s">
        <v>247</v>
      </c>
      <c r="B12078" s="1" t="s">
        <v>1040</v>
      </c>
      <c r="C12078" s="1" t="s">
        <v>149</v>
      </c>
      <c r="D12078" s="3">
        <f t="shared" si="1922"/>
        <v>8317</v>
      </c>
      <c r="E12078" s="2">
        <f t="shared" si="1923"/>
        <v>43282</v>
      </c>
      <c r="F12078" s="2">
        <f t="shared" si="1924"/>
        <v>44712</v>
      </c>
    </row>
    <row r="12079" spans="1:6" x14ac:dyDescent="0.25">
      <c r="A12079" s="1" t="s">
        <v>247</v>
      </c>
      <c r="B12079" s="1" t="s">
        <v>1040</v>
      </c>
      <c r="C12079" s="1" t="s">
        <v>965</v>
      </c>
      <c r="D12079" s="3">
        <f t="shared" si="1922"/>
        <v>8317</v>
      </c>
      <c r="E12079" s="2">
        <f t="shared" si="1923"/>
        <v>43282</v>
      </c>
      <c r="F12079" s="2">
        <f t="shared" si="1924"/>
        <v>44712</v>
      </c>
    </row>
    <row r="12080" spans="1:6" x14ac:dyDescent="0.25">
      <c r="A12080" s="1" t="s">
        <v>247</v>
      </c>
      <c r="B12080" s="1" t="s">
        <v>1040</v>
      </c>
      <c r="C12080" s="1" t="s">
        <v>94</v>
      </c>
      <c r="D12080" s="3">
        <f t="shared" si="1922"/>
        <v>8317</v>
      </c>
      <c r="E12080" s="2">
        <f t="shared" si="1923"/>
        <v>43282</v>
      </c>
      <c r="F12080" s="2">
        <f t="shared" si="1924"/>
        <v>44712</v>
      </c>
    </row>
    <row r="12081" spans="1:6" x14ac:dyDescent="0.25">
      <c r="A12081" s="1" t="s">
        <v>247</v>
      </c>
      <c r="B12081" s="1" t="s">
        <v>1040</v>
      </c>
      <c r="C12081" s="1" t="s">
        <v>573</v>
      </c>
      <c r="D12081" s="3">
        <f t="shared" si="1922"/>
        <v>8317</v>
      </c>
      <c r="E12081" s="2">
        <f t="shared" si="1923"/>
        <v>43282</v>
      </c>
      <c r="F12081" s="2">
        <f t="shared" si="1924"/>
        <v>44712</v>
      </c>
    </row>
    <row r="12082" spans="1:6" x14ac:dyDescent="0.25">
      <c r="A12082" s="1" t="s">
        <v>247</v>
      </c>
      <c r="B12082" s="1" t="s">
        <v>1040</v>
      </c>
      <c r="C12082" s="1" t="s">
        <v>69</v>
      </c>
      <c r="D12082" s="3">
        <f t="shared" si="1922"/>
        <v>8317</v>
      </c>
      <c r="E12082" s="2">
        <f t="shared" si="1923"/>
        <v>43282</v>
      </c>
      <c r="F12082" s="2">
        <f t="shared" si="1924"/>
        <v>44712</v>
      </c>
    </row>
    <row r="12083" spans="1:6" x14ac:dyDescent="0.25">
      <c r="A12083" s="1" t="s">
        <v>247</v>
      </c>
      <c r="B12083" s="1" t="s">
        <v>1040</v>
      </c>
      <c r="C12083" s="1" t="s">
        <v>212</v>
      </c>
      <c r="D12083" s="3">
        <f t="shared" si="1922"/>
        <v>8317</v>
      </c>
      <c r="E12083" s="2">
        <f t="shared" si="1923"/>
        <v>43282</v>
      </c>
      <c r="F12083" s="2">
        <f t="shared" si="1924"/>
        <v>44712</v>
      </c>
    </row>
    <row r="12084" spans="1:6" x14ac:dyDescent="0.25">
      <c r="A12084" s="1" t="s">
        <v>247</v>
      </c>
      <c r="B12084" s="1" t="s">
        <v>1040</v>
      </c>
      <c r="C12084" s="1" t="s">
        <v>1041</v>
      </c>
      <c r="D12084" s="3">
        <f t="shared" si="1922"/>
        <v>8317</v>
      </c>
      <c r="E12084" s="2">
        <f t="shared" si="1923"/>
        <v>43282</v>
      </c>
      <c r="F12084" s="2">
        <f t="shared" si="1924"/>
        <v>44712</v>
      </c>
    </row>
    <row r="12085" spans="1:6" x14ac:dyDescent="0.25">
      <c r="A12085" s="1" t="s">
        <v>247</v>
      </c>
      <c r="B12085" s="1" t="s">
        <v>1040</v>
      </c>
      <c r="C12085" s="1" t="s">
        <v>26</v>
      </c>
      <c r="D12085" s="3">
        <f t="shared" si="1922"/>
        <v>8317</v>
      </c>
      <c r="E12085" s="2">
        <f t="shared" si="1923"/>
        <v>43282</v>
      </c>
      <c r="F12085" s="2">
        <f t="shared" si="1924"/>
        <v>44712</v>
      </c>
    </row>
    <row r="12086" spans="1:6" x14ac:dyDescent="0.25">
      <c r="A12086" s="1" t="s">
        <v>247</v>
      </c>
      <c r="B12086" s="1" t="s">
        <v>1040</v>
      </c>
      <c r="C12086" s="1" t="s">
        <v>72</v>
      </c>
      <c r="D12086" s="3">
        <f t="shared" si="1922"/>
        <v>8317</v>
      </c>
      <c r="E12086" s="2">
        <f t="shared" si="1923"/>
        <v>43282</v>
      </c>
      <c r="F12086" s="2">
        <f t="shared" si="1924"/>
        <v>44712</v>
      </c>
    </row>
    <row r="12087" spans="1:6" x14ac:dyDescent="0.25">
      <c r="A12087" s="1" t="s">
        <v>247</v>
      </c>
      <c r="B12087" s="1" t="s">
        <v>1040</v>
      </c>
      <c r="C12087" s="1" t="s">
        <v>51</v>
      </c>
      <c r="D12087" s="3">
        <f t="shared" si="1922"/>
        <v>8317</v>
      </c>
      <c r="E12087" s="2">
        <f t="shared" si="1923"/>
        <v>43282</v>
      </c>
      <c r="F12087" s="2">
        <f t="shared" si="1924"/>
        <v>44712</v>
      </c>
    </row>
    <row r="12088" spans="1:6" x14ac:dyDescent="0.25">
      <c r="A12088" s="1" t="s">
        <v>247</v>
      </c>
      <c r="B12088" s="1" t="s">
        <v>1040</v>
      </c>
      <c r="C12088" s="1" t="s">
        <v>158</v>
      </c>
      <c r="D12088" s="3">
        <f t="shared" si="1922"/>
        <v>8317</v>
      </c>
      <c r="E12088" s="2">
        <f t="shared" si="1923"/>
        <v>43282</v>
      </c>
      <c r="F12088" s="2">
        <f t="shared" si="1924"/>
        <v>44712</v>
      </c>
    </row>
    <row r="12089" spans="1:6" x14ac:dyDescent="0.25">
      <c r="A12089" s="1" t="s">
        <v>247</v>
      </c>
      <c r="B12089" s="1" t="s">
        <v>1040</v>
      </c>
      <c r="C12089" s="1" t="s">
        <v>31</v>
      </c>
      <c r="D12089" s="3">
        <f t="shared" si="1922"/>
        <v>8317</v>
      </c>
      <c r="E12089" s="2">
        <f t="shared" si="1923"/>
        <v>43282</v>
      </c>
      <c r="F12089" s="2">
        <f t="shared" si="1924"/>
        <v>44712</v>
      </c>
    </row>
    <row r="12090" spans="1:6" x14ac:dyDescent="0.25">
      <c r="A12090" s="1" t="s">
        <v>247</v>
      </c>
      <c r="B12090" s="1" t="s">
        <v>1040</v>
      </c>
      <c r="C12090" s="1" t="s">
        <v>52</v>
      </c>
      <c r="D12090" s="3">
        <f t="shared" si="1922"/>
        <v>8317</v>
      </c>
      <c r="E12090" s="2">
        <f t="shared" si="1923"/>
        <v>43282</v>
      </c>
      <c r="F12090" s="2">
        <f t="shared" si="1924"/>
        <v>44712</v>
      </c>
    </row>
    <row r="12091" spans="1:6" x14ac:dyDescent="0.25">
      <c r="A12091" s="1" t="s">
        <v>247</v>
      </c>
      <c r="B12091" s="1" t="s">
        <v>1040</v>
      </c>
      <c r="C12091" s="1" t="s">
        <v>401</v>
      </c>
      <c r="D12091" s="3">
        <f t="shared" si="1922"/>
        <v>8317</v>
      </c>
      <c r="E12091" s="2">
        <f t="shared" si="1923"/>
        <v>43282</v>
      </c>
      <c r="F12091" s="2">
        <f t="shared" si="1924"/>
        <v>44712</v>
      </c>
    </row>
    <row r="12092" spans="1:6" x14ac:dyDescent="0.25">
      <c r="A12092" s="1" t="s">
        <v>247</v>
      </c>
      <c r="B12092" s="1" t="s">
        <v>1040</v>
      </c>
      <c r="C12092" s="1" t="s">
        <v>160</v>
      </c>
      <c r="D12092" s="3">
        <f t="shared" si="1922"/>
        <v>8317</v>
      </c>
      <c r="E12092" s="2">
        <f t="shared" si="1923"/>
        <v>43282</v>
      </c>
      <c r="F12092" s="2">
        <f t="shared" si="1924"/>
        <v>44712</v>
      </c>
    </row>
    <row r="12093" spans="1:6" x14ac:dyDescent="0.25">
      <c r="A12093" s="1" t="s">
        <v>247</v>
      </c>
      <c r="B12093" s="1" t="s">
        <v>1040</v>
      </c>
      <c r="C12093" s="1" t="s">
        <v>448</v>
      </c>
      <c r="D12093" s="3">
        <f t="shared" si="1922"/>
        <v>8317</v>
      </c>
      <c r="E12093" s="2">
        <f t="shared" si="1923"/>
        <v>43282</v>
      </c>
      <c r="F12093" s="2">
        <f t="shared" si="1924"/>
        <v>44712</v>
      </c>
    </row>
    <row r="12094" spans="1:6" x14ac:dyDescent="0.25">
      <c r="A12094" s="1" t="s">
        <v>247</v>
      </c>
      <c r="B12094" s="1" t="s">
        <v>1040</v>
      </c>
      <c r="C12094" s="1" t="s">
        <v>170</v>
      </c>
      <c r="D12094" s="3">
        <f t="shared" si="1922"/>
        <v>8317</v>
      </c>
      <c r="E12094" s="2">
        <f t="shared" si="1923"/>
        <v>43282</v>
      </c>
      <c r="F12094" s="2">
        <f t="shared" si="1924"/>
        <v>44712</v>
      </c>
    </row>
    <row r="12095" spans="1:6" x14ac:dyDescent="0.25">
      <c r="A12095" s="1" t="s">
        <v>247</v>
      </c>
      <c r="B12095" s="1" t="s">
        <v>2009</v>
      </c>
      <c r="C12095" s="1" t="s">
        <v>66</v>
      </c>
      <c r="D12095" s="3">
        <f>VALUE("7904")</f>
        <v>7904</v>
      </c>
      <c r="E12095" s="2">
        <f>DATEVALUE("1-7-2016")</f>
        <v>42552</v>
      </c>
      <c r="F12095" s="2">
        <f>DATEVALUE("28-2-2019")</f>
        <v>43524</v>
      </c>
    </row>
    <row r="12096" spans="1:6" x14ac:dyDescent="0.25">
      <c r="A12096" s="1" t="s">
        <v>247</v>
      </c>
      <c r="B12096" s="1" t="s">
        <v>2009</v>
      </c>
      <c r="C12096" s="1" t="s">
        <v>15</v>
      </c>
      <c r="D12096" s="3">
        <f>VALUE("7904")</f>
        <v>7904</v>
      </c>
      <c r="E12096" s="2">
        <f>DATEVALUE("1-7-2016")</f>
        <v>42552</v>
      </c>
      <c r="F12096" s="2">
        <f>DATEVALUE("28-2-2019")</f>
        <v>43524</v>
      </c>
    </row>
    <row r="12097" spans="1:6" x14ac:dyDescent="0.25">
      <c r="A12097" s="1" t="s">
        <v>247</v>
      </c>
      <c r="B12097" s="1" t="s">
        <v>2009</v>
      </c>
      <c r="C12097" s="1" t="s">
        <v>17</v>
      </c>
      <c r="D12097" s="3">
        <f>VALUE("7904")</f>
        <v>7904</v>
      </c>
      <c r="E12097" s="2">
        <f>DATEVALUE("1-7-2016")</f>
        <v>42552</v>
      </c>
      <c r="F12097" s="2">
        <f>DATEVALUE("28-2-2019")</f>
        <v>43524</v>
      </c>
    </row>
    <row r="12098" spans="1:6" x14ac:dyDescent="0.25">
      <c r="A12098" s="1" t="s">
        <v>247</v>
      </c>
      <c r="B12098" s="1" t="s">
        <v>1909</v>
      </c>
      <c r="C12098" s="1" t="s">
        <v>7</v>
      </c>
      <c r="D12098" s="3">
        <f>VALUE("7461")</f>
        <v>7461</v>
      </c>
      <c r="E12098" s="2">
        <f>DATEVALUE("1-3-2013")</f>
        <v>41334</v>
      </c>
      <c r="F12098" s="2">
        <f>DATEVALUE("30-9-2014")</f>
        <v>41912</v>
      </c>
    </row>
    <row r="12099" spans="1:6" x14ac:dyDescent="0.25">
      <c r="A12099" s="1" t="s">
        <v>247</v>
      </c>
      <c r="B12099" s="1" t="s">
        <v>1909</v>
      </c>
      <c r="C12099" s="1" t="s">
        <v>6</v>
      </c>
      <c r="D12099" s="3">
        <f>VALUE("7461")</f>
        <v>7461</v>
      </c>
      <c r="E12099" s="2">
        <f>DATEVALUE("1-3-2013")</f>
        <v>41334</v>
      </c>
      <c r="F12099" s="2">
        <f>DATEVALUE("30-9-2014")</f>
        <v>41912</v>
      </c>
    </row>
    <row r="12100" spans="1:6" x14ac:dyDescent="0.25">
      <c r="A12100" s="1" t="s">
        <v>247</v>
      </c>
      <c r="B12100" s="1" t="s">
        <v>1909</v>
      </c>
      <c r="C12100" s="1" t="s">
        <v>599</v>
      </c>
      <c r="D12100" s="3">
        <f>VALUE("7461")</f>
        <v>7461</v>
      </c>
      <c r="E12100" s="2">
        <f>DATEVALUE("1-3-2013")</f>
        <v>41334</v>
      </c>
      <c r="F12100" s="2">
        <f>DATEVALUE("30-9-2014")</f>
        <v>41912</v>
      </c>
    </row>
    <row r="12101" spans="1:6" x14ac:dyDescent="0.25">
      <c r="A12101" s="1" t="s">
        <v>247</v>
      </c>
      <c r="B12101" s="1" t="s">
        <v>1909</v>
      </c>
      <c r="C12101" s="1" t="s">
        <v>212</v>
      </c>
      <c r="D12101" s="3">
        <f>VALUE("7461")</f>
        <v>7461</v>
      </c>
      <c r="E12101" s="2">
        <f>DATEVALUE("1-3-2013")</f>
        <v>41334</v>
      </c>
      <c r="F12101" s="2">
        <f>DATEVALUE("30-9-2014")</f>
        <v>41912</v>
      </c>
    </row>
    <row r="12102" spans="1:6" x14ac:dyDescent="0.25">
      <c r="A12102" s="1" t="s">
        <v>247</v>
      </c>
      <c r="B12102" s="1" t="s">
        <v>1909</v>
      </c>
      <c r="C12102" s="1" t="s">
        <v>593</v>
      </c>
      <c r="D12102" s="3">
        <f>VALUE("7461")</f>
        <v>7461</v>
      </c>
      <c r="E12102" s="2">
        <f>DATEVALUE("1-3-2013")</f>
        <v>41334</v>
      </c>
      <c r="F12102" s="2">
        <f>DATEVALUE("30-9-2014")</f>
        <v>41912</v>
      </c>
    </row>
    <row r="12103" spans="1:6" x14ac:dyDescent="0.25">
      <c r="A12103" s="1" t="s">
        <v>247</v>
      </c>
      <c r="B12103" s="1" t="s">
        <v>311</v>
      </c>
      <c r="C12103" s="1" t="s">
        <v>46</v>
      </c>
      <c r="D12103" s="3">
        <f>VALUE("7320")</f>
        <v>7320</v>
      </c>
      <c r="E12103" s="2">
        <f>DATEVALUE("1-11-2012")</f>
        <v>41214</v>
      </c>
      <c r="F12103" s="2">
        <f>DATEVALUE("30-11-2020")</f>
        <v>44165</v>
      </c>
    </row>
    <row r="12104" spans="1:6" x14ac:dyDescent="0.25">
      <c r="A12104" s="1" t="s">
        <v>247</v>
      </c>
      <c r="B12104" s="1" t="s">
        <v>311</v>
      </c>
      <c r="C12104" s="1" t="s">
        <v>14</v>
      </c>
      <c r="D12104" s="3">
        <f>VALUE("7320")</f>
        <v>7320</v>
      </c>
      <c r="E12104" s="2">
        <f>DATEVALUE("1-11-2012")</f>
        <v>41214</v>
      </c>
      <c r="F12104" s="2">
        <f>DATEVALUE("30-11-2020")</f>
        <v>44165</v>
      </c>
    </row>
    <row r="12105" spans="1:6" x14ac:dyDescent="0.25">
      <c r="A12105" s="1" t="s">
        <v>247</v>
      </c>
      <c r="B12105" s="1" t="s">
        <v>311</v>
      </c>
      <c r="C12105" s="1" t="s">
        <v>17</v>
      </c>
      <c r="D12105" s="3">
        <f>VALUE("7320")</f>
        <v>7320</v>
      </c>
      <c r="E12105" s="2">
        <f>DATEVALUE("1-11-2012")</f>
        <v>41214</v>
      </c>
      <c r="F12105" s="2">
        <f>DATEVALUE("30-11-2020")</f>
        <v>44165</v>
      </c>
    </row>
    <row r="12106" spans="1:6" x14ac:dyDescent="0.25">
      <c r="A12106" s="1" t="s">
        <v>247</v>
      </c>
      <c r="B12106" s="1" t="s">
        <v>311</v>
      </c>
      <c r="C12106" s="1" t="s">
        <v>48</v>
      </c>
      <c r="D12106" s="3">
        <f>VALUE("7320")</f>
        <v>7320</v>
      </c>
      <c r="E12106" s="2">
        <f>DATEVALUE("1-11-2012")</f>
        <v>41214</v>
      </c>
      <c r="F12106" s="2">
        <f>DATEVALUE("30-11-2020")</f>
        <v>44165</v>
      </c>
    </row>
    <row r="12107" spans="1:6" x14ac:dyDescent="0.25">
      <c r="A12107" s="1" t="s">
        <v>247</v>
      </c>
      <c r="B12107" s="1" t="s">
        <v>246</v>
      </c>
      <c r="C12107" s="1" t="s">
        <v>137</v>
      </c>
      <c r="D12107" s="3">
        <f t="shared" ref="D12107:D12124" si="1925">VALUE("7239")</f>
        <v>7239</v>
      </c>
      <c r="E12107" s="2">
        <f t="shared" ref="E12107:E12124" si="1926">DATEVALUE("1-10-2011")</f>
        <v>40817</v>
      </c>
      <c r="F12107" s="2">
        <f t="shared" ref="F12107:F12124" si="1927">DATEVALUE("31-12-2021")</f>
        <v>44561</v>
      </c>
    </row>
    <row r="12108" spans="1:6" x14ac:dyDescent="0.25">
      <c r="A12108" s="1" t="s">
        <v>247</v>
      </c>
      <c r="B12108" s="1" t="s">
        <v>246</v>
      </c>
      <c r="C12108" s="1" t="s">
        <v>141</v>
      </c>
      <c r="D12108" s="3">
        <f t="shared" si="1925"/>
        <v>7239</v>
      </c>
      <c r="E12108" s="2">
        <f t="shared" si="1926"/>
        <v>40817</v>
      </c>
      <c r="F12108" s="2">
        <f t="shared" si="1927"/>
        <v>44561</v>
      </c>
    </row>
    <row r="12109" spans="1:6" x14ac:dyDescent="0.25">
      <c r="A12109" s="1" t="s">
        <v>247</v>
      </c>
      <c r="B12109" s="1" t="s">
        <v>246</v>
      </c>
      <c r="C12109" s="1" t="s">
        <v>249</v>
      </c>
      <c r="D12109" s="3">
        <f t="shared" si="1925"/>
        <v>7239</v>
      </c>
      <c r="E12109" s="2">
        <f t="shared" si="1926"/>
        <v>40817</v>
      </c>
      <c r="F12109" s="2">
        <f t="shared" si="1927"/>
        <v>44561</v>
      </c>
    </row>
    <row r="12110" spans="1:6" x14ac:dyDescent="0.25">
      <c r="A12110" s="1" t="s">
        <v>247</v>
      </c>
      <c r="B12110" s="1" t="s">
        <v>246</v>
      </c>
      <c r="C12110" s="1" t="s">
        <v>248</v>
      </c>
      <c r="D12110" s="3">
        <f t="shared" si="1925"/>
        <v>7239</v>
      </c>
      <c r="E12110" s="2">
        <f t="shared" si="1926"/>
        <v>40817</v>
      </c>
      <c r="F12110" s="2">
        <f t="shared" si="1927"/>
        <v>44561</v>
      </c>
    </row>
    <row r="12111" spans="1:6" x14ac:dyDescent="0.25">
      <c r="A12111" s="1" t="s">
        <v>247</v>
      </c>
      <c r="B12111" s="1" t="s">
        <v>246</v>
      </c>
      <c r="C12111" s="1" t="s">
        <v>46</v>
      </c>
      <c r="D12111" s="3">
        <f t="shared" si="1925"/>
        <v>7239</v>
      </c>
      <c r="E12111" s="2">
        <f t="shared" si="1926"/>
        <v>40817</v>
      </c>
      <c r="F12111" s="2">
        <f t="shared" si="1927"/>
        <v>44561</v>
      </c>
    </row>
    <row r="12112" spans="1:6" x14ac:dyDescent="0.25">
      <c r="A12112" s="1" t="s">
        <v>247</v>
      </c>
      <c r="B12112" s="1" t="s">
        <v>246</v>
      </c>
      <c r="C12112" s="1" t="s">
        <v>14</v>
      </c>
      <c r="D12112" s="3">
        <f t="shared" si="1925"/>
        <v>7239</v>
      </c>
      <c r="E12112" s="2">
        <f t="shared" si="1926"/>
        <v>40817</v>
      </c>
      <c r="F12112" s="2">
        <f t="shared" si="1927"/>
        <v>44561</v>
      </c>
    </row>
    <row r="12113" spans="1:6" x14ac:dyDescent="0.25">
      <c r="A12113" s="1" t="s">
        <v>247</v>
      </c>
      <c r="B12113" s="1" t="s">
        <v>246</v>
      </c>
      <c r="C12113" s="1" t="s">
        <v>15</v>
      </c>
      <c r="D12113" s="3">
        <f t="shared" si="1925"/>
        <v>7239</v>
      </c>
      <c r="E12113" s="2">
        <f t="shared" si="1926"/>
        <v>40817</v>
      </c>
      <c r="F12113" s="2">
        <f t="shared" si="1927"/>
        <v>44561</v>
      </c>
    </row>
    <row r="12114" spans="1:6" x14ac:dyDescent="0.25">
      <c r="A12114" s="1" t="s">
        <v>247</v>
      </c>
      <c r="B12114" s="1" t="s">
        <v>246</v>
      </c>
      <c r="C12114" s="1" t="s">
        <v>17</v>
      </c>
      <c r="D12114" s="3">
        <f t="shared" si="1925"/>
        <v>7239</v>
      </c>
      <c r="E12114" s="2">
        <f t="shared" si="1926"/>
        <v>40817</v>
      </c>
      <c r="F12114" s="2">
        <f t="shared" si="1927"/>
        <v>44561</v>
      </c>
    </row>
    <row r="12115" spans="1:6" x14ac:dyDescent="0.25">
      <c r="A12115" s="1" t="s">
        <v>247</v>
      </c>
      <c r="B12115" s="1" t="s">
        <v>246</v>
      </c>
      <c r="C12115" s="1" t="s">
        <v>22</v>
      </c>
      <c r="D12115" s="3">
        <f t="shared" si="1925"/>
        <v>7239</v>
      </c>
      <c r="E12115" s="2">
        <f t="shared" si="1926"/>
        <v>40817</v>
      </c>
      <c r="F12115" s="2">
        <f t="shared" si="1927"/>
        <v>44561</v>
      </c>
    </row>
    <row r="12116" spans="1:6" x14ac:dyDescent="0.25">
      <c r="A12116" s="1" t="s">
        <v>247</v>
      </c>
      <c r="B12116" s="1" t="s">
        <v>246</v>
      </c>
      <c r="C12116" s="1" t="s">
        <v>250</v>
      </c>
      <c r="D12116" s="3">
        <f t="shared" si="1925"/>
        <v>7239</v>
      </c>
      <c r="E12116" s="2">
        <f t="shared" si="1926"/>
        <v>40817</v>
      </c>
      <c r="F12116" s="2">
        <f t="shared" si="1927"/>
        <v>44561</v>
      </c>
    </row>
    <row r="12117" spans="1:6" x14ac:dyDescent="0.25">
      <c r="A12117" s="1" t="s">
        <v>247</v>
      </c>
      <c r="B12117" s="1" t="s">
        <v>246</v>
      </c>
      <c r="C12117" s="1" t="s">
        <v>146</v>
      </c>
      <c r="D12117" s="3">
        <f t="shared" si="1925"/>
        <v>7239</v>
      </c>
      <c r="E12117" s="2">
        <f t="shared" si="1926"/>
        <v>40817</v>
      </c>
      <c r="F12117" s="2">
        <f t="shared" si="1927"/>
        <v>44561</v>
      </c>
    </row>
    <row r="12118" spans="1:6" x14ac:dyDescent="0.25">
      <c r="A12118" s="1" t="s">
        <v>247</v>
      </c>
      <c r="B12118" s="1" t="s">
        <v>246</v>
      </c>
      <c r="C12118" s="1" t="s">
        <v>67</v>
      </c>
      <c r="D12118" s="3">
        <f t="shared" si="1925"/>
        <v>7239</v>
      </c>
      <c r="E12118" s="2">
        <f t="shared" si="1926"/>
        <v>40817</v>
      </c>
      <c r="F12118" s="2">
        <f t="shared" si="1927"/>
        <v>44561</v>
      </c>
    </row>
    <row r="12119" spans="1:6" x14ac:dyDescent="0.25">
      <c r="A12119" s="1" t="s">
        <v>247</v>
      </c>
      <c r="B12119" s="1" t="s">
        <v>246</v>
      </c>
      <c r="C12119" s="1" t="s">
        <v>148</v>
      </c>
      <c r="D12119" s="3">
        <f t="shared" si="1925"/>
        <v>7239</v>
      </c>
      <c r="E12119" s="2">
        <f t="shared" si="1926"/>
        <v>40817</v>
      </c>
      <c r="F12119" s="2">
        <f t="shared" si="1927"/>
        <v>44561</v>
      </c>
    </row>
    <row r="12120" spans="1:6" x14ac:dyDescent="0.25">
      <c r="A12120" s="1" t="s">
        <v>247</v>
      </c>
      <c r="B12120" s="1" t="s">
        <v>246</v>
      </c>
      <c r="C12120" s="1" t="s">
        <v>149</v>
      </c>
      <c r="D12120" s="3">
        <f t="shared" si="1925"/>
        <v>7239</v>
      </c>
      <c r="E12120" s="2">
        <f t="shared" si="1926"/>
        <v>40817</v>
      </c>
      <c r="F12120" s="2">
        <f t="shared" si="1927"/>
        <v>44561</v>
      </c>
    </row>
    <row r="12121" spans="1:6" x14ac:dyDescent="0.25">
      <c r="A12121" s="1" t="s">
        <v>247</v>
      </c>
      <c r="B12121" s="1" t="s">
        <v>246</v>
      </c>
      <c r="C12121" s="1" t="s">
        <v>150</v>
      </c>
      <c r="D12121" s="3">
        <f t="shared" si="1925"/>
        <v>7239</v>
      </c>
      <c r="E12121" s="2">
        <f t="shared" si="1926"/>
        <v>40817</v>
      </c>
      <c r="F12121" s="2">
        <f t="shared" si="1927"/>
        <v>44561</v>
      </c>
    </row>
    <row r="12122" spans="1:6" x14ac:dyDescent="0.25">
      <c r="A12122" s="1" t="s">
        <v>247</v>
      </c>
      <c r="B12122" s="1" t="s">
        <v>246</v>
      </c>
      <c r="C12122" s="1" t="s">
        <v>25</v>
      </c>
      <c r="D12122" s="3">
        <f t="shared" si="1925"/>
        <v>7239</v>
      </c>
      <c r="E12122" s="2">
        <f t="shared" si="1926"/>
        <v>40817</v>
      </c>
      <c r="F12122" s="2">
        <f t="shared" si="1927"/>
        <v>44561</v>
      </c>
    </row>
    <row r="12123" spans="1:6" x14ac:dyDescent="0.25">
      <c r="A12123" s="1" t="s">
        <v>247</v>
      </c>
      <c r="B12123" s="1" t="s">
        <v>246</v>
      </c>
      <c r="C12123" s="1" t="s">
        <v>160</v>
      </c>
      <c r="D12123" s="3">
        <f t="shared" si="1925"/>
        <v>7239</v>
      </c>
      <c r="E12123" s="2">
        <f t="shared" si="1926"/>
        <v>40817</v>
      </c>
      <c r="F12123" s="2">
        <f t="shared" si="1927"/>
        <v>44561</v>
      </c>
    </row>
    <row r="12124" spans="1:6" x14ac:dyDescent="0.25">
      <c r="A12124" s="1" t="s">
        <v>247</v>
      </c>
      <c r="B12124" s="1" t="s">
        <v>246</v>
      </c>
      <c r="C12124" s="1" t="s">
        <v>164</v>
      </c>
      <c r="D12124" s="3">
        <f t="shared" si="1925"/>
        <v>7239</v>
      </c>
      <c r="E12124" s="2">
        <f t="shared" si="1926"/>
        <v>40817</v>
      </c>
      <c r="F12124" s="2">
        <f t="shared" si="1927"/>
        <v>44561</v>
      </c>
    </row>
    <row r="12125" spans="1:6" x14ac:dyDescent="0.25">
      <c r="A12125" s="1" t="s">
        <v>247</v>
      </c>
      <c r="B12125" s="1" t="s">
        <v>2121</v>
      </c>
      <c r="C12125" s="1" t="s">
        <v>8</v>
      </c>
      <c r="D12125" s="3">
        <f>VALUE("7188")</f>
        <v>7188</v>
      </c>
      <c r="E12125" s="2">
        <f>DATEVALUE("1-4-2011")</f>
        <v>40634</v>
      </c>
      <c r="F12125" s="2">
        <f t="shared" ref="F12125:F12130" si="1928">DATEVALUE("30-9-2016")</f>
        <v>42643</v>
      </c>
    </row>
    <row r="12126" spans="1:6" x14ac:dyDescent="0.25">
      <c r="A12126" s="1" t="s">
        <v>247</v>
      </c>
      <c r="B12126" s="1" t="s">
        <v>2121</v>
      </c>
      <c r="C12126" s="1" t="s">
        <v>10</v>
      </c>
      <c r="D12126" s="3">
        <f>VALUE("7188")</f>
        <v>7188</v>
      </c>
      <c r="E12126" s="2">
        <f>DATEVALUE("1-4-2011")</f>
        <v>40634</v>
      </c>
      <c r="F12126" s="2">
        <f t="shared" si="1928"/>
        <v>42643</v>
      </c>
    </row>
    <row r="12127" spans="1:6" x14ac:dyDescent="0.25">
      <c r="A12127" s="1" t="s">
        <v>247</v>
      </c>
      <c r="B12127" s="1" t="s">
        <v>2121</v>
      </c>
      <c r="C12127" s="1" t="s">
        <v>11</v>
      </c>
      <c r="D12127" s="3">
        <f>VALUE("7188")</f>
        <v>7188</v>
      </c>
      <c r="E12127" s="2">
        <f>DATEVALUE("1-4-2011")</f>
        <v>40634</v>
      </c>
      <c r="F12127" s="2">
        <f t="shared" si="1928"/>
        <v>42643</v>
      </c>
    </row>
    <row r="12128" spans="1:6" x14ac:dyDescent="0.25">
      <c r="A12128" s="1" t="s">
        <v>247</v>
      </c>
      <c r="B12128" s="1" t="s">
        <v>2121</v>
      </c>
      <c r="C12128" s="1" t="s">
        <v>12</v>
      </c>
      <c r="D12128" s="3">
        <f>VALUE("7188")</f>
        <v>7188</v>
      </c>
      <c r="E12128" s="2">
        <f>DATEVALUE("1-4-2011")</f>
        <v>40634</v>
      </c>
      <c r="F12128" s="2">
        <f t="shared" si="1928"/>
        <v>42643</v>
      </c>
    </row>
    <row r="12129" spans="1:6" x14ac:dyDescent="0.25">
      <c r="A12129" s="1" t="s">
        <v>247</v>
      </c>
      <c r="B12129" s="1" t="s">
        <v>2121</v>
      </c>
      <c r="C12129" s="1" t="s">
        <v>32</v>
      </c>
      <c r="D12129" s="3">
        <f>VALUE("7188")</f>
        <v>7188</v>
      </c>
      <c r="E12129" s="2">
        <f>DATEVALUE("1-4-2011")</f>
        <v>40634</v>
      </c>
      <c r="F12129" s="2">
        <f t="shared" si="1928"/>
        <v>42643</v>
      </c>
    </row>
    <row r="12130" spans="1:6" x14ac:dyDescent="0.25">
      <c r="A12130" s="1" t="s">
        <v>247</v>
      </c>
      <c r="B12130" s="1" t="s">
        <v>2103</v>
      </c>
      <c r="C12130" s="1" t="s">
        <v>13</v>
      </c>
      <c r="D12130" s="3">
        <f>VALUE("6014")</f>
        <v>6014</v>
      </c>
      <c r="E12130" s="2">
        <f>DATEVALUE("1-12-2006")</f>
        <v>39052</v>
      </c>
      <c r="F12130" s="2">
        <f t="shared" si="1928"/>
        <v>42643</v>
      </c>
    </row>
    <row r="12131" spans="1:6" x14ac:dyDescent="0.25">
      <c r="A12131" s="1" t="s">
        <v>1725</v>
      </c>
      <c r="B12131" s="1" t="s">
        <v>1724</v>
      </c>
      <c r="C12131" s="1" t="s">
        <v>81</v>
      </c>
      <c r="D12131" s="3">
        <f t="shared" ref="D12131:D12152" si="1929">VALUE("7628")</f>
        <v>7628</v>
      </c>
      <c r="E12131" s="2">
        <f t="shared" ref="E12131:E12152" si="1930">DATEVALUE("1-1-2016")</f>
        <v>42370</v>
      </c>
      <c r="F12131" s="2">
        <f t="shared" ref="F12131:F12152" si="1931">DATEVALUE("31-7-2020")</f>
        <v>44043</v>
      </c>
    </row>
    <row r="12132" spans="1:6" x14ac:dyDescent="0.25">
      <c r="A12132" s="1" t="s">
        <v>1725</v>
      </c>
      <c r="B12132" s="1" t="s">
        <v>1724</v>
      </c>
      <c r="C12132" s="1" t="s">
        <v>40</v>
      </c>
      <c r="D12132" s="3">
        <f t="shared" si="1929"/>
        <v>7628</v>
      </c>
      <c r="E12132" s="2">
        <f t="shared" si="1930"/>
        <v>42370</v>
      </c>
      <c r="F12132" s="2">
        <f t="shared" si="1931"/>
        <v>44043</v>
      </c>
    </row>
    <row r="12133" spans="1:6" x14ac:dyDescent="0.25">
      <c r="A12133" s="1" t="s">
        <v>1725</v>
      </c>
      <c r="B12133" s="1" t="s">
        <v>1724</v>
      </c>
      <c r="C12133" s="1" t="s">
        <v>41</v>
      </c>
      <c r="D12133" s="3">
        <f t="shared" si="1929"/>
        <v>7628</v>
      </c>
      <c r="E12133" s="2">
        <f t="shared" si="1930"/>
        <v>42370</v>
      </c>
      <c r="F12133" s="2">
        <f t="shared" si="1931"/>
        <v>44043</v>
      </c>
    </row>
    <row r="12134" spans="1:6" x14ac:dyDescent="0.25">
      <c r="A12134" s="1" t="s">
        <v>1725</v>
      </c>
      <c r="B12134" s="1" t="s">
        <v>1724</v>
      </c>
      <c r="C12134" s="1" t="s">
        <v>8</v>
      </c>
      <c r="D12134" s="3">
        <f t="shared" si="1929"/>
        <v>7628</v>
      </c>
      <c r="E12134" s="2">
        <f t="shared" si="1930"/>
        <v>42370</v>
      </c>
      <c r="F12134" s="2">
        <f t="shared" si="1931"/>
        <v>44043</v>
      </c>
    </row>
    <row r="12135" spans="1:6" x14ac:dyDescent="0.25">
      <c r="A12135" s="1" t="s">
        <v>1725</v>
      </c>
      <c r="B12135" s="1" t="s">
        <v>1724</v>
      </c>
      <c r="C12135" s="1" t="s">
        <v>10</v>
      </c>
      <c r="D12135" s="3">
        <f t="shared" si="1929"/>
        <v>7628</v>
      </c>
      <c r="E12135" s="2">
        <f t="shared" si="1930"/>
        <v>42370</v>
      </c>
      <c r="F12135" s="2">
        <f t="shared" si="1931"/>
        <v>44043</v>
      </c>
    </row>
    <row r="12136" spans="1:6" x14ac:dyDescent="0.25">
      <c r="A12136" s="1" t="s">
        <v>1725</v>
      </c>
      <c r="B12136" s="1" t="s">
        <v>1724</v>
      </c>
      <c r="C12136" s="1" t="s">
        <v>14</v>
      </c>
      <c r="D12136" s="3">
        <f t="shared" si="1929"/>
        <v>7628</v>
      </c>
      <c r="E12136" s="2">
        <f t="shared" si="1930"/>
        <v>42370</v>
      </c>
      <c r="F12136" s="2">
        <f t="shared" si="1931"/>
        <v>44043</v>
      </c>
    </row>
    <row r="12137" spans="1:6" x14ac:dyDescent="0.25">
      <c r="A12137" s="1" t="s">
        <v>1725</v>
      </c>
      <c r="B12137" s="1" t="s">
        <v>1724</v>
      </c>
      <c r="C12137" s="1" t="s">
        <v>15</v>
      </c>
      <c r="D12137" s="3">
        <f t="shared" si="1929"/>
        <v>7628</v>
      </c>
      <c r="E12137" s="2">
        <f t="shared" si="1930"/>
        <v>42370</v>
      </c>
      <c r="F12137" s="2">
        <f t="shared" si="1931"/>
        <v>44043</v>
      </c>
    </row>
    <row r="12138" spans="1:6" x14ac:dyDescent="0.25">
      <c r="A12138" s="1" t="s">
        <v>1725</v>
      </c>
      <c r="B12138" s="1" t="s">
        <v>1724</v>
      </c>
      <c r="C12138" s="1" t="s">
        <v>17</v>
      </c>
      <c r="D12138" s="3">
        <f t="shared" si="1929"/>
        <v>7628</v>
      </c>
      <c r="E12138" s="2">
        <f t="shared" si="1930"/>
        <v>42370</v>
      </c>
      <c r="F12138" s="2">
        <f t="shared" si="1931"/>
        <v>44043</v>
      </c>
    </row>
    <row r="12139" spans="1:6" x14ac:dyDescent="0.25">
      <c r="A12139" s="1" t="s">
        <v>1725</v>
      </c>
      <c r="B12139" s="1" t="s">
        <v>1724</v>
      </c>
      <c r="C12139" s="1" t="s">
        <v>22</v>
      </c>
      <c r="D12139" s="3">
        <f t="shared" si="1929"/>
        <v>7628</v>
      </c>
      <c r="E12139" s="2">
        <f t="shared" si="1930"/>
        <v>42370</v>
      </c>
      <c r="F12139" s="2">
        <f t="shared" si="1931"/>
        <v>44043</v>
      </c>
    </row>
    <row r="12140" spans="1:6" x14ac:dyDescent="0.25">
      <c r="A12140" s="1" t="s">
        <v>1725</v>
      </c>
      <c r="B12140" s="1" t="s">
        <v>1724</v>
      </c>
      <c r="C12140" s="1" t="s">
        <v>146</v>
      </c>
      <c r="D12140" s="3">
        <f t="shared" si="1929"/>
        <v>7628</v>
      </c>
      <c r="E12140" s="2">
        <f t="shared" si="1930"/>
        <v>42370</v>
      </c>
      <c r="F12140" s="2">
        <f t="shared" si="1931"/>
        <v>44043</v>
      </c>
    </row>
    <row r="12141" spans="1:6" x14ac:dyDescent="0.25">
      <c r="A12141" s="1" t="s">
        <v>1725</v>
      </c>
      <c r="B12141" s="1" t="s">
        <v>1724</v>
      </c>
      <c r="C12141" s="1" t="s">
        <v>67</v>
      </c>
      <c r="D12141" s="3">
        <f t="shared" si="1929"/>
        <v>7628</v>
      </c>
      <c r="E12141" s="2">
        <f t="shared" si="1930"/>
        <v>42370</v>
      </c>
      <c r="F12141" s="2">
        <f t="shared" si="1931"/>
        <v>44043</v>
      </c>
    </row>
    <row r="12142" spans="1:6" x14ac:dyDescent="0.25">
      <c r="A12142" s="1" t="s">
        <v>1725</v>
      </c>
      <c r="B12142" s="1" t="s">
        <v>1724</v>
      </c>
      <c r="C12142" s="1" t="s">
        <v>148</v>
      </c>
      <c r="D12142" s="3">
        <f t="shared" si="1929"/>
        <v>7628</v>
      </c>
      <c r="E12142" s="2">
        <f t="shared" si="1930"/>
        <v>42370</v>
      </c>
      <c r="F12142" s="2">
        <f t="shared" si="1931"/>
        <v>44043</v>
      </c>
    </row>
    <row r="12143" spans="1:6" x14ac:dyDescent="0.25">
      <c r="A12143" s="1" t="s">
        <v>1725</v>
      </c>
      <c r="B12143" s="1" t="s">
        <v>1724</v>
      </c>
      <c r="C12143" s="1" t="s">
        <v>149</v>
      </c>
      <c r="D12143" s="3">
        <f t="shared" si="1929"/>
        <v>7628</v>
      </c>
      <c r="E12143" s="2">
        <f t="shared" si="1930"/>
        <v>42370</v>
      </c>
      <c r="F12143" s="2">
        <f t="shared" si="1931"/>
        <v>44043</v>
      </c>
    </row>
    <row r="12144" spans="1:6" x14ac:dyDescent="0.25">
      <c r="A12144" s="1" t="s">
        <v>1725</v>
      </c>
      <c r="B12144" s="1" t="s">
        <v>1724</v>
      </c>
      <c r="C12144" s="1" t="s">
        <v>172</v>
      </c>
      <c r="D12144" s="3">
        <f t="shared" si="1929"/>
        <v>7628</v>
      </c>
      <c r="E12144" s="2">
        <f t="shared" si="1930"/>
        <v>42370</v>
      </c>
      <c r="F12144" s="2">
        <f t="shared" si="1931"/>
        <v>44043</v>
      </c>
    </row>
    <row r="12145" spans="1:6" x14ac:dyDescent="0.25">
      <c r="A12145" s="1" t="s">
        <v>1725</v>
      </c>
      <c r="B12145" s="1" t="s">
        <v>1724</v>
      </c>
      <c r="C12145" s="1" t="s">
        <v>94</v>
      </c>
      <c r="D12145" s="3">
        <f t="shared" si="1929"/>
        <v>7628</v>
      </c>
      <c r="E12145" s="2">
        <f t="shared" si="1930"/>
        <v>42370</v>
      </c>
      <c r="F12145" s="2">
        <f t="shared" si="1931"/>
        <v>44043</v>
      </c>
    </row>
    <row r="12146" spans="1:6" x14ac:dyDescent="0.25">
      <c r="A12146" s="1" t="s">
        <v>1725</v>
      </c>
      <c r="B12146" s="1" t="s">
        <v>1724</v>
      </c>
      <c r="C12146" s="1" t="s">
        <v>24</v>
      </c>
      <c r="D12146" s="3">
        <f t="shared" si="1929"/>
        <v>7628</v>
      </c>
      <c r="E12146" s="2">
        <f t="shared" si="1930"/>
        <v>42370</v>
      </c>
      <c r="F12146" s="2">
        <f t="shared" si="1931"/>
        <v>44043</v>
      </c>
    </row>
    <row r="12147" spans="1:6" x14ac:dyDescent="0.25">
      <c r="A12147" s="1" t="s">
        <v>1725</v>
      </c>
      <c r="B12147" s="1" t="s">
        <v>1724</v>
      </c>
      <c r="C12147" s="1" t="s">
        <v>73</v>
      </c>
      <c r="D12147" s="3">
        <f t="shared" si="1929"/>
        <v>7628</v>
      </c>
      <c r="E12147" s="2">
        <f t="shared" si="1930"/>
        <v>42370</v>
      </c>
      <c r="F12147" s="2">
        <f t="shared" si="1931"/>
        <v>44043</v>
      </c>
    </row>
    <row r="12148" spans="1:6" x14ac:dyDescent="0.25">
      <c r="A12148" s="1" t="s">
        <v>1725</v>
      </c>
      <c r="B12148" s="1" t="s">
        <v>1724</v>
      </c>
      <c r="C12148" s="1" t="s">
        <v>34</v>
      </c>
      <c r="D12148" s="3">
        <f t="shared" si="1929"/>
        <v>7628</v>
      </c>
      <c r="E12148" s="2">
        <f t="shared" si="1930"/>
        <v>42370</v>
      </c>
      <c r="F12148" s="2">
        <f t="shared" si="1931"/>
        <v>44043</v>
      </c>
    </row>
    <row r="12149" spans="1:6" x14ac:dyDescent="0.25">
      <c r="A12149" s="1" t="s">
        <v>1725</v>
      </c>
      <c r="B12149" s="1" t="s">
        <v>1724</v>
      </c>
      <c r="C12149" s="1" t="s">
        <v>55</v>
      </c>
      <c r="D12149" s="3">
        <f t="shared" si="1929"/>
        <v>7628</v>
      </c>
      <c r="E12149" s="2">
        <f t="shared" si="1930"/>
        <v>42370</v>
      </c>
      <c r="F12149" s="2">
        <f t="shared" si="1931"/>
        <v>44043</v>
      </c>
    </row>
    <row r="12150" spans="1:6" x14ac:dyDescent="0.25">
      <c r="A12150" s="1" t="s">
        <v>1725</v>
      </c>
      <c r="B12150" s="1" t="s">
        <v>1724</v>
      </c>
      <c r="C12150" s="1" t="s">
        <v>306</v>
      </c>
      <c r="D12150" s="3">
        <f t="shared" si="1929"/>
        <v>7628</v>
      </c>
      <c r="E12150" s="2">
        <f t="shared" si="1930"/>
        <v>42370</v>
      </c>
      <c r="F12150" s="2">
        <f t="shared" si="1931"/>
        <v>44043</v>
      </c>
    </row>
    <row r="12151" spans="1:6" x14ac:dyDescent="0.25">
      <c r="A12151" s="1" t="s">
        <v>1725</v>
      </c>
      <c r="B12151" s="1" t="s">
        <v>1724</v>
      </c>
      <c r="C12151" s="1" t="s">
        <v>169</v>
      </c>
      <c r="D12151" s="3">
        <f t="shared" si="1929"/>
        <v>7628</v>
      </c>
      <c r="E12151" s="2">
        <f t="shared" si="1930"/>
        <v>42370</v>
      </c>
      <c r="F12151" s="2">
        <f t="shared" si="1931"/>
        <v>44043</v>
      </c>
    </row>
    <row r="12152" spans="1:6" x14ac:dyDescent="0.25">
      <c r="A12152" s="1" t="s">
        <v>1725</v>
      </c>
      <c r="B12152" s="1" t="s">
        <v>1724</v>
      </c>
      <c r="C12152" s="1" t="s">
        <v>170</v>
      </c>
      <c r="D12152" s="3">
        <f t="shared" si="1929"/>
        <v>7628</v>
      </c>
      <c r="E12152" s="2">
        <f t="shared" si="1930"/>
        <v>42370</v>
      </c>
      <c r="F12152" s="2">
        <f t="shared" si="1931"/>
        <v>44043</v>
      </c>
    </row>
    <row r="12153" spans="1:6" x14ac:dyDescent="0.25">
      <c r="A12153" s="1" t="s">
        <v>1725</v>
      </c>
      <c r="B12153" s="1" t="s">
        <v>2734</v>
      </c>
      <c r="C12153" s="1" t="s">
        <v>8</v>
      </c>
      <c r="D12153" s="3">
        <f>VALUE("7526")</f>
        <v>7526</v>
      </c>
      <c r="E12153" s="2">
        <f>DATEVALUE("1-9-2013")</f>
        <v>41518</v>
      </c>
      <c r="F12153" s="2">
        <f>DATEVALUE("28-2-2014")</f>
        <v>41698</v>
      </c>
    </row>
    <row r="12154" spans="1:6" x14ac:dyDescent="0.25">
      <c r="A12154" s="1" t="s">
        <v>1725</v>
      </c>
      <c r="B12154" s="1" t="s">
        <v>2734</v>
      </c>
      <c r="C12154" s="1" t="s">
        <v>10</v>
      </c>
      <c r="D12154" s="3">
        <f>VALUE("7526")</f>
        <v>7526</v>
      </c>
      <c r="E12154" s="2">
        <f>DATEVALUE("1-9-2013")</f>
        <v>41518</v>
      </c>
      <c r="F12154" s="2">
        <f>DATEVALUE("28-2-2014")</f>
        <v>41698</v>
      </c>
    </row>
    <row r="12155" spans="1:6" x14ac:dyDescent="0.25">
      <c r="A12155" s="1" t="s">
        <v>1725</v>
      </c>
      <c r="B12155" s="1" t="s">
        <v>2734</v>
      </c>
      <c r="C12155" s="1" t="s">
        <v>11</v>
      </c>
      <c r="D12155" s="3">
        <f>VALUE("7526")</f>
        <v>7526</v>
      </c>
      <c r="E12155" s="2">
        <f>DATEVALUE("1-9-2013")</f>
        <v>41518</v>
      </c>
      <c r="F12155" s="2">
        <f>DATEVALUE("28-2-2014")</f>
        <v>41698</v>
      </c>
    </row>
    <row r="12156" spans="1:6" x14ac:dyDescent="0.25">
      <c r="A12156" s="1" t="s">
        <v>1725</v>
      </c>
      <c r="B12156" s="1" t="s">
        <v>2734</v>
      </c>
      <c r="C12156" s="1" t="s">
        <v>12</v>
      </c>
      <c r="D12156" s="3">
        <f>VALUE("7526")</f>
        <v>7526</v>
      </c>
      <c r="E12156" s="2">
        <f>DATEVALUE("1-9-2013")</f>
        <v>41518</v>
      </c>
      <c r="F12156" s="2">
        <f>DATEVALUE("28-2-2014")</f>
        <v>41698</v>
      </c>
    </row>
    <row r="12157" spans="1:6" x14ac:dyDescent="0.25">
      <c r="A12157" s="1" t="s">
        <v>1725</v>
      </c>
      <c r="B12157" s="1" t="s">
        <v>2734</v>
      </c>
      <c r="C12157" s="1" t="s">
        <v>45</v>
      </c>
      <c r="D12157" s="3">
        <f>VALUE("7526")</f>
        <v>7526</v>
      </c>
      <c r="E12157" s="2">
        <f>DATEVALUE("1-9-2013")</f>
        <v>41518</v>
      </c>
      <c r="F12157" s="2">
        <f>DATEVALUE("28-2-2014")</f>
        <v>41698</v>
      </c>
    </row>
    <row r="12158" spans="1:6" x14ac:dyDescent="0.25">
      <c r="A12158" s="1" t="s">
        <v>1725</v>
      </c>
      <c r="B12158" s="1" t="s">
        <v>2658</v>
      </c>
      <c r="C12158" s="1" t="s">
        <v>8</v>
      </c>
      <c r="D12158" s="3">
        <f>VALUE("7307")</f>
        <v>7307</v>
      </c>
      <c r="E12158" s="2">
        <f>DATEVALUE("1-6-2012")</f>
        <v>41061</v>
      </c>
      <c r="F12158" s="2">
        <f>DATEVALUE("31-12-2012")</f>
        <v>41274</v>
      </c>
    </row>
    <row r="12159" spans="1:6" x14ac:dyDescent="0.25">
      <c r="A12159" s="1" t="s">
        <v>1725</v>
      </c>
      <c r="B12159" s="1" t="s">
        <v>2658</v>
      </c>
      <c r="C12159" s="1" t="s">
        <v>10</v>
      </c>
      <c r="D12159" s="3">
        <f>VALUE("7307")</f>
        <v>7307</v>
      </c>
      <c r="E12159" s="2">
        <f>DATEVALUE("1-6-2012")</f>
        <v>41061</v>
      </c>
      <c r="F12159" s="2">
        <f>DATEVALUE("31-12-2012")</f>
        <v>41274</v>
      </c>
    </row>
    <row r="12160" spans="1:6" x14ac:dyDescent="0.25">
      <c r="A12160" s="1" t="s">
        <v>1725</v>
      </c>
      <c r="B12160" s="1" t="s">
        <v>2658</v>
      </c>
      <c r="C12160" s="1" t="s">
        <v>11</v>
      </c>
      <c r="D12160" s="3">
        <f>VALUE("7307")</f>
        <v>7307</v>
      </c>
      <c r="E12160" s="2">
        <f>DATEVALUE("1-6-2012")</f>
        <v>41061</v>
      </c>
      <c r="F12160" s="2">
        <f>DATEVALUE("31-12-2012")</f>
        <v>41274</v>
      </c>
    </row>
    <row r="12161" spans="1:6" x14ac:dyDescent="0.25">
      <c r="A12161" s="1" t="s">
        <v>1725</v>
      </c>
      <c r="B12161" s="1" t="s">
        <v>2658</v>
      </c>
      <c r="C12161" s="1" t="s">
        <v>45</v>
      </c>
      <c r="D12161" s="3">
        <f>VALUE("7307")</f>
        <v>7307</v>
      </c>
      <c r="E12161" s="2">
        <f>DATEVALUE("1-6-2012")</f>
        <v>41061</v>
      </c>
      <c r="F12161" s="2">
        <f>DATEVALUE("31-12-2012")</f>
        <v>41274</v>
      </c>
    </row>
    <row r="12162" spans="1:6" x14ac:dyDescent="0.25">
      <c r="A12162" s="1" t="s">
        <v>1725</v>
      </c>
      <c r="B12162" s="1" t="s">
        <v>2598</v>
      </c>
      <c r="C12162" s="1" t="s">
        <v>78</v>
      </c>
      <c r="D12162" s="3">
        <f t="shared" ref="D12162:D12191" si="1932">VALUE("7180")</f>
        <v>7180</v>
      </c>
      <c r="E12162" s="2">
        <f t="shared" ref="E12162:E12191" si="1933">DATEVALUE("1-6-2011")</f>
        <v>40695</v>
      </c>
      <c r="F12162" s="2">
        <f t="shared" ref="F12162:F12191" si="1934">DATEVALUE("31-3-2014")</f>
        <v>41729</v>
      </c>
    </row>
    <row r="12163" spans="1:6" x14ac:dyDescent="0.25">
      <c r="A12163" s="1" t="s">
        <v>1725</v>
      </c>
      <c r="B12163" s="1" t="s">
        <v>2598</v>
      </c>
      <c r="C12163" s="1" t="s">
        <v>79</v>
      </c>
      <c r="D12163" s="3">
        <f t="shared" si="1932"/>
        <v>7180</v>
      </c>
      <c r="E12163" s="2">
        <f t="shared" si="1933"/>
        <v>40695</v>
      </c>
      <c r="F12163" s="2">
        <f t="shared" si="1934"/>
        <v>41729</v>
      </c>
    </row>
    <row r="12164" spans="1:6" x14ac:dyDescent="0.25">
      <c r="A12164" s="1" t="s">
        <v>1725</v>
      </c>
      <c r="B12164" s="1" t="s">
        <v>2598</v>
      </c>
      <c r="C12164" s="1" t="s">
        <v>80</v>
      </c>
      <c r="D12164" s="3">
        <f t="shared" si="1932"/>
        <v>7180</v>
      </c>
      <c r="E12164" s="2">
        <f t="shared" si="1933"/>
        <v>40695</v>
      </c>
      <c r="F12164" s="2">
        <f t="shared" si="1934"/>
        <v>41729</v>
      </c>
    </row>
    <row r="12165" spans="1:6" x14ac:dyDescent="0.25">
      <c r="A12165" s="1" t="s">
        <v>1725</v>
      </c>
      <c r="B12165" s="1" t="s">
        <v>2598</v>
      </c>
      <c r="C12165" s="1" t="s">
        <v>39</v>
      </c>
      <c r="D12165" s="3">
        <f t="shared" si="1932"/>
        <v>7180</v>
      </c>
      <c r="E12165" s="2">
        <f t="shared" si="1933"/>
        <v>40695</v>
      </c>
      <c r="F12165" s="2">
        <f t="shared" si="1934"/>
        <v>41729</v>
      </c>
    </row>
    <row r="12166" spans="1:6" x14ac:dyDescent="0.25">
      <c r="A12166" s="1" t="s">
        <v>1725</v>
      </c>
      <c r="B12166" s="1" t="s">
        <v>2598</v>
      </c>
      <c r="C12166" s="1" t="s">
        <v>60</v>
      </c>
      <c r="D12166" s="3">
        <f t="shared" si="1932"/>
        <v>7180</v>
      </c>
      <c r="E12166" s="2">
        <f t="shared" si="1933"/>
        <v>40695</v>
      </c>
      <c r="F12166" s="2">
        <f t="shared" si="1934"/>
        <v>41729</v>
      </c>
    </row>
    <row r="12167" spans="1:6" x14ac:dyDescent="0.25">
      <c r="A12167" s="1" t="s">
        <v>1725</v>
      </c>
      <c r="B12167" s="1" t="s">
        <v>2598</v>
      </c>
      <c r="C12167" s="1" t="s">
        <v>82</v>
      </c>
      <c r="D12167" s="3">
        <f t="shared" si="1932"/>
        <v>7180</v>
      </c>
      <c r="E12167" s="2">
        <f t="shared" si="1933"/>
        <v>40695</v>
      </c>
      <c r="F12167" s="2">
        <f t="shared" si="1934"/>
        <v>41729</v>
      </c>
    </row>
    <row r="12168" spans="1:6" x14ac:dyDescent="0.25">
      <c r="A12168" s="1" t="s">
        <v>1725</v>
      </c>
      <c r="B12168" s="1" t="s">
        <v>2598</v>
      </c>
      <c r="C12168" s="1" t="s">
        <v>8</v>
      </c>
      <c r="D12168" s="3">
        <f t="shared" si="1932"/>
        <v>7180</v>
      </c>
      <c r="E12168" s="2">
        <f t="shared" si="1933"/>
        <v>40695</v>
      </c>
      <c r="F12168" s="2">
        <f t="shared" si="1934"/>
        <v>41729</v>
      </c>
    </row>
    <row r="12169" spans="1:6" x14ac:dyDescent="0.25">
      <c r="A12169" s="1" t="s">
        <v>1725</v>
      </c>
      <c r="B12169" s="1" t="s">
        <v>2598</v>
      </c>
      <c r="C12169" s="1" t="s">
        <v>10</v>
      </c>
      <c r="D12169" s="3">
        <f t="shared" si="1932"/>
        <v>7180</v>
      </c>
      <c r="E12169" s="2">
        <f t="shared" si="1933"/>
        <v>40695</v>
      </c>
      <c r="F12169" s="2">
        <f t="shared" si="1934"/>
        <v>41729</v>
      </c>
    </row>
    <row r="12170" spans="1:6" x14ac:dyDescent="0.25">
      <c r="A12170" s="1" t="s">
        <v>1725</v>
      </c>
      <c r="B12170" s="1" t="s">
        <v>2598</v>
      </c>
      <c r="C12170" s="1" t="s">
        <v>11</v>
      </c>
      <c r="D12170" s="3">
        <f t="shared" si="1932"/>
        <v>7180</v>
      </c>
      <c r="E12170" s="2">
        <f t="shared" si="1933"/>
        <v>40695</v>
      </c>
      <c r="F12170" s="2">
        <f t="shared" si="1934"/>
        <v>41729</v>
      </c>
    </row>
    <row r="12171" spans="1:6" x14ac:dyDescent="0.25">
      <c r="A12171" s="1" t="s">
        <v>1725</v>
      </c>
      <c r="B12171" s="1" t="s">
        <v>2598</v>
      </c>
      <c r="C12171" s="1" t="s">
        <v>12</v>
      </c>
      <c r="D12171" s="3">
        <f t="shared" si="1932"/>
        <v>7180</v>
      </c>
      <c r="E12171" s="2">
        <f t="shared" si="1933"/>
        <v>40695</v>
      </c>
      <c r="F12171" s="2">
        <f t="shared" si="1934"/>
        <v>41729</v>
      </c>
    </row>
    <row r="12172" spans="1:6" x14ac:dyDescent="0.25">
      <c r="A12172" s="1" t="s">
        <v>1725</v>
      </c>
      <c r="B12172" s="1" t="s">
        <v>2598</v>
      </c>
      <c r="C12172" s="1" t="s">
        <v>83</v>
      </c>
      <c r="D12172" s="3">
        <f t="shared" si="1932"/>
        <v>7180</v>
      </c>
      <c r="E12172" s="2">
        <f t="shared" si="1933"/>
        <v>40695</v>
      </c>
      <c r="F12172" s="2">
        <f t="shared" si="1934"/>
        <v>41729</v>
      </c>
    </row>
    <row r="12173" spans="1:6" x14ac:dyDescent="0.25">
      <c r="A12173" s="1" t="s">
        <v>1725</v>
      </c>
      <c r="B12173" s="1" t="s">
        <v>2598</v>
      </c>
      <c r="C12173" s="1" t="s">
        <v>43</v>
      </c>
      <c r="D12173" s="3">
        <f t="shared" si="1932"/>
        <v>7180</v>
      </c>
      <c r="E12173" s="2">
        <f t="shared" si="1933"/>
        <v>40695</v>
      </c>
      <c r="F12173" s="2">
        <f t="shared" si="1934"/>
        <v>41729</v>
      </c>
    </row>
    <row r="12174" spans="1:6" x14ac:dyDescent="0.25">
      <c r="A12174" s="1" t="s">
        <v>1725</v>
      </c>
      <c r="B12174" s="1" t="s">
        <v>2598</v>
      </c>
      <c r="C12174" s="1" t="s">
        <v>45</v>
      </c>
      <c r="D12174" s="3">
        <f t="shared" si="1932"/>
        <v>7180</v>
      </c>
      <c r="E12174" s="2">
        <f t="shared" si="1933"/>
        <v>40695</v>
      </c>
      <c r="F12174" s="2">
        <f t="shared" si="1934"/>
        <v>41729</v>
      </c>
    </row>
    <row r="12175" spans="1:6" x14ac:dyDescent="0.25">
      <c r="A12175" s="1" t="s">
        <v>1725</v>
      </c>
      <c r="B12175" s="1" t="s">
        <v>2598</v>
      </c>
      <c r="C12175" s="1" t="s">
        <v>97</v>
      </c>
      <c r="D12175" s="3">
        <f t="shared" si="1932"/>
        <v>7180</v>
      </c>
      <c r="E12175" s="2">
        <f t="shared" si="1933"/>
        <v>40695</v>
      </c>
      <c r="F12175" s="2">
        <f t="shared" si="1934"/>
        <v>41729</v>
      </c>
    </row>
    <row r="12176" spans="1:6" x14ac:dyDescent="0.25">
      <c r="A12176" s="1" t="s">
        <v>1725</v>
      </c>
      <c r="B12176" s="1" t="s">
        <v>2598</v>
      </c>
      <c r="C12176" s="1" t="s">
        <v>98</v>
      </c>
      <c r="D12176" s="3">
        <f t="shared" si="1932"/>
        <v>7180</v>
      </c>
      <c r="E12176" s="2">
        <f t="shared" si="1933"/>
        <v>40695</v>
      </c>
      <c r="F12176" s="2">
        <f t="shared" si="1934"/>
        <v>41729</v>
      </c>
    </row>
    <row r="12177" spans="1:6" x14ac:dyDescent="0.25">
      <c r="A12177" s="1" t="s">
        <v>1725</v>
      </c>
      <c r="B12177" s="1" t="s">
        <v>2598</v>
      </c>
      <c r="C12177" s="1" t="s">
        <v>99</v>
      </c>
      <c r="D12177" s="3">
        <f t="shared" si="1932"/>
        <v>7180</v>
      </c>
      <c r="E12177" s="2">
        <f t="shared" si="1933"/>
        <v>40695</v>
      </c>
      <c r="F12177" s="2">
        <f t="shared" si="1934"/>
        <v>41729</v>
      </c>
    </row>
    <row r="12178" spans="1:6" x14ac:dyDescent="0.25">
      <c r="A12178" s="1" t="s">
        <v>1725</v>
      </c>
      <c r="B12178" s="1" t="s">
        <v>2598</v>
      </c>
      <c r="C12178" s="1" t="s">
        <v>207</v>
      </c>
      <c r="D12178" s="3">
        <f t="shared" si="1932"/>
        <v>7180</v>
      </c>
      <c r="E12178" s="2">
        <f t="shared" si="1933"/>
        <v>40695</v>
      </c>
      <c r="F12178" s="2">
        <f t="shared" si="1934"/>
        <v>41729</v>
      </c>
    </row>
    <row r="12179" spans="1:6" x14ac:dyDescent="0.25">
      <c r="A12179" s="1" t="s">
        <v>1725</v>
      </c>
      <c r="B12179" s="1" t="s">
        <v>2598</v>
      </c>
      <c r="C12179" s="1" t="s">
        <v>71</v>
      </c>
      <c r="D12179" s="3">
        <f t="shared" si="1932"/>
        <v>7180</v>
      </c>
      <c r="E12179" s="2">
        <f t="shared" si="1933"/>
        <v>40695</v>
      </c>
      <c r="F12179" s="2">
        <f t="shared" si="1934"/>
        <v>41729</v>
      </c>
    </row>
    <row r="12180" spans="1:6" x14ac:dyDescent="0.25">
      <c r="A12180" s="1" t="s">
        <v>1725</v>
      </c>
      <c r="B12180" s="1" t="s">
        <v>2598</v>
      </c>
      <c r="C12180" s="1" t="s">
        <v>100</v>
      </c>
      <c r="D12180" s="3">
        <f t="shared" si="1932"/>
        <v>7180</v>
      </c>
      <c r="E12180" s="2">
        <f t="shared" si="1933"/>
        <v>40695</v>
      </c>
      <c r="F12180" s="2">
        <f t="shared" si="1934"/>
        <v>41729</v>
      </c>
    </row>
    <row r="12181" spans="1:6" x14ac:dyDescent="0.25">
      <c r="A12181" s="1" t="s">
        <v>1725</v>
      </c>
      <c r="B12181" s="1" t="s">
        <v>2598</v>
      </c>
      <c r="C12181" s="1" t="s">
        <v>105</v>
      </c>
      <c r="D12181" s="3">
        <f t="shared" si="1932"/>
        <v>7180</v>
      </c>
      <c r="E12181" s="2">
        <f t="shared" si="1933"/>
        <v>40695</v>
      </c>
      <c r="F12181" s="2">
        <f t="shared" si="1934"/>
        <v>41729</v>
      </c>
    </row>
    <row r="12182" spans="1:6" x14ac:dyDescent="0.25">
      <c r="A12182" s="1" t="s">
        <v>1725</v>
      </c>
      <c r="B12182" s="1" t="s">
        <v>2598</v>
      </c>
      <c r="C12182" s="1" t="s">
        <v>106</v>
      </c>
      <c r="D12182" s="3">
        <f t="shared" si="1932"/>
        <v>7180</v>
      </c>
      <c r="E12182" s="2">
        <f t="shared" si="1933"/>
        <v>40695</v>
      </c>
      <c r="F12182" s="2">
        <f t="shared" si="1934"/>
        <v>41729</v>
      </c>
    </row>
    <row r="12183" spans="1:6" x14ac:dyDescent="0.25">
      <c r="A12183" s="1" t="s">
        <v>1725</v>
      </c>
      <c r="B12183" s="1" t="s">
        <v>2598</v>
      </c>
      <c r="C12183" s="1" t="s">
        <v>32</v>
      </c>
      <c r="D12183" s="3">
        <f t="shared" si="1932"/>
        <v>7180</v>
      </c>
      <c r="E12183" s="2">
        <f t="shared" si="1933"/>
        <v>40695</v>
      </c>
      <c r="F12183" s="2">
        <f t="shared" si="1934"/>
        <v>41729</v>
      </c>
    </row>
    <row r="12184" spans="1:6" x14ac:dyDescent="0.25">
      <c r="A12184" s="1" t="s">
        <v>1725</v>
      </c>
      <c r="B12184" s="1" t="s">
        <v>2598</v>
      </c>
      <c r="C12184" s="1" t="s">
        <v>108</v>
      </c>
      <c r="D12184" s="3">
        <f t="shared" si="1932"/>
        <v>7180</v>
      </c>
      <c r="E12184" s="2">
        <f t="shared" si="1933"/>
        <v>40695</v>
      </c>
      <c r="F12184" s="2">
        <f t="shared" si="1934"/>
        <v>41729</v>
      </c>
    </row>
    <row r="12185" spans="1:6" x14ac:dyDescent="0.25">
      <c r="A12185" s="1" t="s">
        <v>1725</v>
      </c>
      <c r="B12185" s="1" t="s">
        <v>2598</v>
      </c>
      <c r="C12185" s="1" t="s">
        <v>109</v>
      </c>
      <c r="D12185" s="3">
        <f t="shared" si="1932"/>
        <v>7180</v>
      </c>
      <c r="E12185" s="2">
        <f t="shared" si="1933"/>
        <v>40695</v>
      </c>
      <c r="F12185" s="2">
        <f t="shared" si="1934"/>
        <v>41729</v>
      </c>
    </row>
    <row r="12186" spans="1:6" x14ac:dyDescent="0.25">
      <c r="A12186" s="1" t="s">
        <v>1725</v>
      </c>
      <c r="B12186" s="1" t="s">
        <v>2598</v>
      </c>
      <c r="C12186" s="1" t="s">
        <v>110</v>
      </c>
      <c r="D12186" s="3">
        <f t="shared" si="1932"/>
        <v>7180</v>
      </c>
      <c r="E12186" s="2">
        <f t="shared" si="1933"/>
        <v>40695</v>
      </c>
      <c r="F12186" s="2">
        <f t="shared" si="1934"/>
        <v>41729</v>
      </c>
    </row>
    <row r="12187" spans="1:6" x14ac:dyDescent="0.25">
      <c r="A12187" s="1" t="s">
        <v>1725</v>
      </c>
      <c r="B12187" s="1" t="s">
        <v>2598</v>
      </c>
      <c r="C12187" s="1" t="s">
        <v>113</v>
      </c>
      <c r="D12187" s="3">
        <f t="shared" si="1932"/>
        <v>7180</v>
      </c>
      <c r="E12187" s="2">
        <f t="shared" si="1933"/>
        <v>40695</v>
      </c>
      <c r="F12187" s="2">
        <f t="shared" si="1934"/>
        <v>41729</v>
      </c>
    </row>
    <row r="12188" spans="1:6" x14ac:dyDescent="0.25">
      <c r="A12188" s="1" t="s">
        <v>1725</v>
      </c>
      <c r="B12188" s="1" t="s">
        <v>2598</v>
      </c>
      <c r="C12188" s="1" t="s">
        <v>33</v>
      </c>
      <c r="D12188" s="3">
        <f t="shared" si="1932"/>
        <v>7180</v>
      </c>
      <c r="E12188" s="2">
        <f t="shared" si="1933"/>
        <v>40695</v>
      </c>
      <c r="F12188" s="2">
        <f t="shared" si="1934"/>
        <v>41729</v>
      </c>
    </row>
    <row r="12189" spans="1:6" x14ac:dyDescent="0.25">
      <c r="A12189" s="1" t="s">
        <v>1725</v>
      </c>
      <c r="B12189" s="1" t="s">
        <v>2598</v>
      </c>
      <c r="C12189" s="1" t="s">
        <v>116</v>
      </c>
      <c r="D12189" s="3">
        <f t="shared" si="1932"/>
        <v>7180</v>
      </c>
      <c r="E12189" s="2">
        <f t="shared" si="1933"/>
        <v>40695</v>
      </c>
      <c r="F12189" s="2">
        <f t="shared" si="1934"/>
        <v>41729</v>
      </c>
    </row>
    <row r="12190" spans="1:6" x14ac:dyDescent="0.25">
      <c r="A12190" s="1" t="s">
        <v>1725</v>
      </c>
      <c r="B12190" s="1" t="s">
        <v>2598</v>
      </c>
      <c r="C12190" s="1" t="s">
        <v>57</v>
      </c>
      <c r="D12190" s="3">
        <f t="shared" si="1932"/>
        <v>7180</v>
      </c>
      <c r="E12190" s="2">
        <f t="shared" si="1933"/>
        <v>40695</v>
      </c>
      <c r="F12190" s="2">
        <f t="shared" si="1934"/>
        <v>41729</v>
      </c>
    </row>
    <row r="12191" spans="1:6" x14ac:dyDescent="0.25">
      <c r="A12191" s="1" t="s">
        <v>1725</v>
      </c>
      <c r="B12191" s="1" t="s">
        <v>2598</v>
      </c>
      <c r="C12191" s="1" t="s">
        <v>36</v>
      </c>
      <c r="D12191" s="3">
        <f t="shared" si="1932"/>
        <v>7180</v>
      </c>
      <c r="E12191" s="2">
        <f t="shared" si="1933"/>
        <v>40695</v>
      </c>
      <c r="F12191" s="2">
        <f t="shared" si="1934"/>
        <v>41729</v>
      </c>
    </row>
    <row r="12192" spans="1:6" x14ac:dyDescent="0.25">
      <c r="A12192" s="1" t="s">
        <v>1007</v>
      </c>
      <c r="B12192" s="1" t="s">
        <v>1006</v>
      </c>
      <c r="C12192" s="1" t="s">
        <v>1008</v>
      </c>
      <c r="D12192" s="3">
        <f t="shared" ref="D12192:D12200" si="1935">VALUE("8289")</f>
        <v>8289</v>
      </c>
      <c r="E12192" s="2">
        <f t="shared" ref="E12192:E12200" si="1936">DATEVALUE("1-5-2018")</f>
        <v>43221</v>
      </c>
      <c r="F12192" s="2">
        <f t="shared" ref="F12192:F12200" si="1937">DATEVALUE("30-4-2021")</f>
        <v>44316</v>
      </c>
    </row>
    <row r="12193" spans="1:6" x14ac:dyDescent="0.25">
      <c r="A12193" s="1" t="s">
        <v>1007</v>
      </c>
      <c r="B12193" s="1" t="s">
        <v>1006</v>
      </c>
      <c r="C12193" s="1" t="s">
        <v>65</v>
      </c>
      <c r="D12193" s="3">
        <f t="shared" si="1935"/>
        <v>8289</v>
      </c>
      <c r="E12193" s="2">
        <f t="shared" si="1936"/>
        <v>43221</v>
      </c>
      <c r="F12193" s="2">
        <f t="shared" si="1937"/>
        <v>44316</v>
      </c>
    </row>
    <row r="12194" spans="1:6" x14ac:dyDescent="0.25">
      <c r="A12194" s="1" t="s">
        <v>1007</v>
      </c>
      <c r="B12194" s="1" t="s">
        <v>1006</v>
      </c>
      <c r="C12194" s="1" t="s">
        <v>416</v>
      </c>
      <c r="D12194" s="3">
        <f t="shared" si="1935"/>
        <v>8289</v>
      </c>
      <c r="E12194" s="2">
        <f t="shared" si="1936"/>
        <v>43221</v>
      </c>
      <c r="F12194" s="2">
        <f t="shared" si="1937"/>
        <v>44316</v>
      </c>
    </row>
    <row r="12195" spans="1:6" x14ac:dyDescent="0.25">
      <c r="A12195" s="1" t="s">
        <v>1007</v>
      </c>
      <c r="B12195" s="1" t="s">
        <v>1006</v>
      </c>
      <c r="C12195" s="1" t="s">
        <v>17</v>
      </c>
      <c r="D12195" s="3">
        <f t="shared" si="1935"/>
        <v>8289</v>
      </c>
      <c r="E12195" s="2">
        <f t="shared" si="1936"/>
        <v>43221</v>
      </c>
      <c r="F12195" s="2">
        <f t="shared" si="1937"/>
        <v>44316</v>
      </c>
    </row>
    <row r="12196" spans="1:6" x14ac:dyDescent="0.25">
      <c r="A12196" s="1" t="s">
        <v>1007</v>
      </c>
      <c r="B12196" s="1" t="s">
        <v>1006</v>
      </c>
      <c r="C12196" s="1" t="s">
        <v>22</v>
      </c>
      <c r="D12196" s="3">
        <f t="shared" si="1935"/>
        <v>8289</v>
      </c>
      <c r="E12196" s="2">
        <f t="shared" si="1936"/>
        <v>43221</v>
      </c>
      <c r="F12196" s="2">
        <f t="shared" si="1937"/>
        <v>44316</v>
      </c>
    </row>
    <row r="12197" spans="1:6" x14ac:dyDescent="0.25">
      <c r="A12197" s="1" t="s">
        <v>1007</v>
      </c>
      <c r="B12197" s="1" t="s">
        <v>1006</v>
      </c>
      <c r="C12197" s="1" t="s">
        <v>67</v>
      </c>
      <c r="D12197" s="3">
        <f t="shared" si="1935"/>
        <v>8289</v>
      </c>
      <c r="E12197" s="2">
        <f t="shared" si="1936"/>
        <v>43221</v>
      </c>
      <c r="F12197" s="2">
        <f t="shared" si="1937"/>
        <v>44316</v>
      </c>
    </row>
    <row r="12198" spans="1:6" x14ac:dyDescent="0.25">
      <c r="A12198" s="1" t="s">
        <v>1007</v>
      </c>
      <c r="B12198" s="1" t="s">
        <v>1006</v>
      </c>
      <c r="C12198" s="1" t="s">
        <v>147</v>
      </c>
      <c r="D12198" s="3">
        <f t="shared" si="1935"/>
        <v>8289</v>
      </c>
      <c r="E12198" s="2">
        <f t="shared" si="1936"/>
        <v>43221</v>
      </c>
      <c r="F12198" s="2">
        <f t="shared" si="1937"/>
        <v>44316</v>
      </c>
    </row>
    <row r="12199" spans="1:6" x14ac:dyDescent="0.25">
      <c r="A12199" s="1" t="s">
        <v>1007</v>
      </c>
      <c r="B12199" s="1" t="s">
        <v>1006</v>
      </c>
      <c r="C12199" s="1" t="s">
        <v>92</v>
      </c>
      <c r="D12199" s="3">
        <f t="shared" si="1935"/>
        <v>8289</v>
      </c>
      <c r="E12199" s="2">
        <f t="shared" si="1936"/>
        <v>43221</v>
      </c>
      <c r="F12199" s="2">
        <f t="shared" si="1937"/>
        <v>44316</v>
      </c>
    </row>
    <row r="12200" spans="1:6" x14ac:dyDescent="0.25">
      <c r="A12200" s="1" t="s">
        <v>1007</v>
      </c>
      <c r="B12200" s="1" t="s">
        <v>1006</v>
      </c>
      <c r="C12200" s="1" t="s">
        <v>70</v>
      </c>
      <c r="D12200" s="3">
        <f t="shared" si="1935"/>
        <v>8289</v>
      </c>
      <c r="E12200" s="2">
        <f t="shared" si="1936"/>
        <v>43221</v>
      </c>
      <c r="F12200" s="2">
        <f t="shared" si="1937"/>
        <v>44316</v>
      </c>
    </row>
    <row r="12201" spans="1:6" x14ac:dyDescent="0.25">
      <c r="A12201" s="1" t="s">
        <v>1007</v>
      </c>
      <c r="B12201" s="1" t="s">
        <v>2289</v>
      </c>
      <c r="C12201" s="1" t="s">
        <v>45</v>
      </c>
      <c r="D12201" s="3">
        <f>VALUE("8085")</f>
        <v>8085</v>
      </c>
      <c r="E12201" s="2">
        <f>DATEVALUE("1-5-2017")</f>
        <v>42856</v>
      </c>
      <c r="F12201" s="2">
        <f>DATEVALUE("31-7-2020")</f>
        <v>44043</v>
      </c>
    </row>
    <row r="12202" spans="1:6" x14ac:dyDescent="0.25">
      <c r="A12202" s="1" t="s">
        <v>1007</v>
      </c>
      <c r="B12202" s="1" t="s">
        <v>2289</v>
      </c>
      <c r="C12202" s="1" t="s">
        <v>44</v>
      </c>
      <c r="D12202" s="3">
        <f>VALUE("8085")</f>
        <v>8085</v>
      </c>
      <c r="E12202" s="2">
        <f>DATEVALUE("1-5-2017")</f>
        <v>42856</v>
      </c>
      <c r="F12202" s="2">
        <f>DATEVALUE("31-7-2020")</f>
        <v>44043</v>
      </c>
    </row>
    <row r="12203" spans="1:6" x14ac:dyDescent="0.25">
      <c r="A12203" s="1" t="s">
        <v>1007</v>
      </c>
      <c r="B12203" s="1" t="s">
        <v>2289</v>
      </c>
      <c r="C12203" s="1" t="s">
        <v>72</v>
      </c>
      <c r="D12203" s="3">
        <f>VALUE("8085")</f>
        <v>8085</v>
      </c>
      <c r="E12203" s="2">
        <f>DATEVALUE("1-5-2017")</f>
        <v>42856</v>
      </c>
      <c r="F12203" s="2">
        <f>DATEVALUE("31-7-2020")</f>
        <v>44043</v>
      </c>
    </row>
    <row r="12204" spans="1:6" x14ac:dyDescent="0.25">
      <c r="A12204" s="1" t="s">
        <v>1007</v>
      </c>
      <c r="B12204" s="1" t="s">
        <v>2289</v>
      </c>
      <c r="C12204" s="1" t="s">
        <v>73</v>
      </c>
      <c r="D12204" s="3">
        <f>VALUE("8085")</f>
        <v>8085</v>
      </c>
      <c r="E12204" s="2">
        <f>DATEVALUE("1-5-2017")</f>
        <v>42856</v>
      </c>
      <c r="F12204" s="2">
        <f>DATEVALUE("31-7-2020")</f>
        <v>44043</v>
      </c>
    </row>
    <row r="12205" spans="1:6" x14ac:dyDescent="0.25">
      <c r="A12205" s="1" t="s">
        <v>1007</v>
      </c>
      <c r="B12205" s="1" t="s">
        <v>2289</v>
      </c>
      <c r="C12205" s="1" t="s">
        <v>52</v>
      </c>
      <c r="D12205" s="3">
        <f>VALUE("8085")</f>
        <v>8085</v>
      </c>
      <c r="E12205" s="2">
        <f>DATEVALUE("1-5-2017")</f>
        <v>42856</v>
      </c>
      <c r="F12205" s="2">
        <f>DATEVALUE("31-7-2020")</f>
        <v>44043</v>
      </c>
    </row>
    <row r="12206" spans="1:6" x14ac:dyDescent="0.25">
      <c r="A12206" s="1" t="s">
        <v>254</v>
      </c>
      <c r="B12206" s="1" t="s">
        <v>1623</v>
      </c>
      <c r="C12206" s="1" t="s">
        <v>1625</v>
      </c>
      <c r="D12206" s="3">
        <f t="shared" ref="D12206:D12219" si="1938">VALUE("8801")</f>
        <v>8801</v>
      </c>
      <c r="E12206" s="2">
        <f t="shared" ref="E12206:E12219" si="1939">DATEVALUE("1-7-2020")</f>
        <v>44013</v>
      </c>
      <c r="F12206" s="2">
        <f t="shared" ref="F12206:F12219" si="1940">DATEVALUE("30-6-2021")</f>
        <v>44377</v>
      </c>
    </row>
    <row r="12207" spans="1:6" x14ac:dyDescent="0.25">
      <c r="A12207" s="1" t="s">
        <v>254</v>
      </c>
      <c r="B12207" s="1" t="s">
        <v>1623</v>
      </c>
      <c r="C12207" s="1" t="s">
        <v>8</v>
      </c>
      <c r="D12207" s="3">
        <f t="shared" si="1938"/>
        <v>8801</v>
      </c>
      <c r="E12207" s="2">
        <f t="shared" si="1939"/>
        <v>44013</v>
      </c>
      <c r="F12207" s="2">
        <f t="shared" si="1940"/>
        <v>44377</v>
      </c>
    </row>
    <row r="12208" spans="1:6" x14ac:dyDescent="0.25">
      <c r="A12208" s="1" t="s">
        <v>254</v>
      </c>
      <c r="B12208" s="1" t="s">
        <v>1623</v>
      </c>
      <c r="C12208" s="1" t="s">
        <v>10</v>
      </c>
      <c r="D12208" s="3">
        <f t="shared" si="1938"/>
        <v>8801</v>
      </c>
      <c r="E12208" s="2">
        <f t="shared" si="1939"/>
        <v>44013</v>
      </c>
      <c r="F12208" s="2">
        <f t="shared" si="1940"/>
        <v>44377</v>
      </c>
    </row>
    <row r="12209" spans="1:6" x14ac:dyDescent="0.25">
      <c r="A12209" s="1" t="s">
        <v>254</v>
      </c>
      <c r="B12209" s="1" t="s">
        <v>1623</v>
      </c>
      <c r="C12209" s="1" t="s">
        <v>11</v>
      </c>
      <c r="D12209" s="3">
        <f t="shared" si="1938"/>
        <v>8801</v>
      </c>
      <c r="E12209" s="2">
        <f t="shared" si="1939"/>
        <v>44013</v>
      </c>
      <c r="F12209" s="2">
        <f t="shared" si="1940"/>
        <v>44377</v>
      </c>
    </row>
    <row r="12210" spans="1:6" x14ac:dyDescent="0.25">
      <c r="A12210" s="1" t="s">
        <v>254</v>
      </c>
      <c r="B12210" s="1" t="s">
        <v>1623</v>
      </c>
      <c r="C12210" s="1" t="s">
        <v>615</v>
      </c>
      <c r="D12210" s="3">
        <f t="shared" si="1938"/>
        <v>8801</v>
      </c>
      <c r="E12210" s="2">
        <f t="shared" si="1939"/>
        <v>44013</v>
      </c>
      <c r="F12210" s="2">
        <f t="shared" si="1940"/>
        <v>44377</v>
      </c>
    </row>
    <row r="12211" spans="1:6" x14ac:dyDescent="0.25">
      <c r="A12211" s="1" t="s">
        <v>254</v>
      </c>
      <c r="B12211" s="1" t="s">
        <v>1623</v>
      </c>
      <c r="C12211" s="1" t="s">
        <v>15</v>
      </c>
      <c r="D12211" s="3">
        <f t="shared" si="1938"/>
        <v>8801</v>
      </c>
      <c r="E12211" s="2">
        <f t="shared" si="1939"/>
        <v>44013</v>
      </c>
      <c r="F12211" s="2">
        <f t="shared" si="1940"/>
        <v>44377</v>
      </c>
    </row>
    <row r="12212" spans="1:6" x14ac:dyDescent="0.25">
      <c r="A12212" s="1" t="s">
        <v>254</v>
      </c>
      <c r="B12212" s="1" t="s">
        <v>1623</v>
      </c>
      <c r="C12212" s="1" t="s">
        <v>17</v>
      </c>
      <c r="D12212" s="3">
        <f t="shared" si="1938"/>
        <v>8801</v>
      </c>
      <c r="E12212" s="2">
        <f t="shared" si="1939"/>
        <v>44013</v>
      </c>
      <c r="F12212" s="2">
        <f t="shared" si="1940"/>
        <v>44377</v>
      </c>
    </row>
    <row r="12213" spans="1:6" x14ac:dyDescent="0.25">
      <c r="A12213" s="1" t="s">
        <v>254</v>
      </c>
      <c r="B12213" s="1" t="s">
        <v>1623</v>
      </c>
      <c r="C12213" s="1" t="s">
        <v>22</v>
      </c>
      <c r="D12213" s="3">
        <f t="shared" si="1938"/>
        <v>8801</v>
      </c>
      <c r="E12213" s="2">
        <f t="shared" si="1939"/>
        <v>44013</v>
      </c>
      <c r="F12213" s="2">
        <f t="shared" si="1940"/>
        <v>44377</v>
      </c>
    </row>
    <row r="12214" spans="1:6" x14ac:dyDescent="0.25">
      <c r="A12214" s="1" t="s">
        <v>254</v>
      </c>
      <c r="B12214" s="1" t="s">
        <v>1623</v>
      </c>
      <c r="C12214" s="1" t="s">
        <v>172</v>
      </c>
      <c r="D12214" s="3">
        <f t="shared" si="1938"/>
        <v>8801</v>
      </c>
      <c r="E12214" s="2">
        <f t="shared" si="1939"/>
        <v>44013</v>
      </c>
      <c r="F12214" s="2">
        <f t="shared" si="1940"/>
        <v>44377</v>
      </c>
    </row>
    <row r="12215" spans="1:6" x14ac:dyDescent="0.25">
      <c r="A12215" s="1" t="s">
        <v>254</v>
      </c>
      <c r="B12215" s="1" t="s">
        <v>1623</v>
      </c>
      <c r="C12215" s="1" t="s">
        <v>1624</v>
      </c>
      <c r="D12215" s="3">
        <f t="shared" si="1938"/>
        <v>8801</v>
      </c>
      <c r="E12215" s="2">
        <f t="shared" si="1939"/>
        <v>44013</v>
      </c>
      <c r="F12215" s="2">
        <f t="shared" si="1940"/>
        <v>44377</v>
      </c>
    </row>
    <row r="12216" spans="1:6" x14ac:dyDescent="0.25">
      <c r="A12216" s="1" t="s">
        <v>254</v>
      </c>
      <c r="B12216" s="1" t="s">
        <v>1623</v>
      </c>
      <c r="C12216" s="1" t="s">
        <v>208</v>
      </c>
      <c r="D12216" s="3">
        <f t="shared" si="1938"/>
        <v>8801</v>
      </c>
      <c r="E12216" s="2">
        <f t="shared" si="1939"/>
        <v>44013</v>
      </c>
      <c r="F12216" s="2">
        <f t="shared" si="1940"/>
        <v>44377</v>
      </c>
    </row>
    <row r="12217" spans="1:6" x14ac:dyDescent="0.25">
      <c r="A12217" s="1" t="s">
        <v>254</v>
      </c>
      <c r="B12217" s="1" t="s">
        <v>1623</v>
      </c>
      <c r="C12217" s="1" t="s">
        <v>27</v>
      </c>
      <c r="D12217" s="3">
        <f t="shared" si="1938"/>
        <v>8801</v>
      </c>
      <c r="E12217" s="2">
        <f t="shared" si="1939"/>
        <v>44013</v>
      </c>
      <c r="F12217" s="2">
        <f t="shared" si="1940"/>
        <v>44377</v>
      </c>
    </row>
    <row r="12218" spans="1:6" x14ac:dyDescent="0.25">
      <c r="A12218" s="1" t="s">
        <v>254</v>
      </c>
      <c r="B12218" s="1" t="s">
        <v>1623</v>
      </c>
      <c r="C12218" s="1" t="s">
        <v>262</v>
      </c>
      <c r="D12218" s="3">
        <f t="shared" si="1938"/>
        <v>8801</v>
      </c>
      <c r="E12218" s="2">
        <f t="shared" si="1939"/>
        <v>44013</v>
      </c>
      <c r="F12218" s="2">
        <f t="shared" si="1940"/>
        <v>44377</v>
      </c>
    </row>
    <row r="12219" spans="1:6" x14ac:dyDescent="0.25">
      <c r="A12219" s="1" t="s">
        <v>254</v>
      </c>
      <c r="B12219" s="1" t="s">
        <v>1623</v>
      </c>
      <c r="C12219" s="1" t="s">
        <v>52</v>
      </c>
      <c r="D12219" s="3">
        <f t="shared" si="1938"/>
        <v>8801</v>
      </c>
      <c r="E12219" s="2">
        <f t="shared" si="1939"/>
        <v>44013</v>
      </c>
      <c r="F12219" s="2">
        <f t="shared" si="1940"/>
        <v>44377</v>
      </c>
    </row>
    <row r="12220" spans="1:6" x14ac:dyDescent="0.25">
      <c r="A12220" s="1" t="s">
        <v>254</v>
      </c>
      <c r="B12220" s="1" t="s">
        <v>253</v>
      </c>
      <c r="C12220" s="1" t="s">
        <v>255</v>
      </c>
      <c r="D12220" s="3">
        <f t="shared" ref="D12220:D12251" si="1941">VALUE("7262")</f>
        <v>7262</v>
      </c>
      <c r="E12220" s="2">
        <f t="shared" ref="E12220:E12251" si="1942">DATEVALUE("1-4-2012")</f>
        <v>41000</v>
      </c>
      <c r="F12220" s="2">
        <f t="shared" ref="F12220:F12251" si="1943">DATEVALUE("31-12-2024")</f>
        <v>45657</v>
      </c>
    </row>
    <row r="12221" spans="1:6" x14ac:dyDescent="0.25">
      <c r="A12221" s="1" t="s">
        <v>254</v>
      </c>
      <c r="B12221" s="1" t="s">
        <v>253</v>
      </c>
      <c r="C12221" s="1" t="s">
        <v>202</v>
      </c>
      <c r="D12221" s="3">
        <f t="shared" si="1941"/>
        <v>7262</v>
      </c>
      <c r="E12221" s="2">
        <f t="shared" si="1942"/>
        <v>41000</v>
      </c>
      <c r="F12221" s="2">
        <f t="shared" si="1943"/>
        <v>45657</v>
      </c>
    </row>
    <row r="12222" spans="1:6" x14ac:dyDescent="0.25">
      <c r="A12222" s="1" t="s">
        <v>254</v>
      </c>
      <c r="B12222" s="1" t="s">
        <v>253</v>
      </c>
      <c r="C12222" s="1" t="s">
        <v>60</v>
      </c>
      <c r="D12222" s="3">
        <f t="shared" si="1941"/>
        <v>7262</v>
      </c>
      <c r="E12222" s="2">
        <f t="shared" si="1942"/>
        <v>41000</v>
      </c>
      <c r="F12222" s="2">
        <f t="shared" si="1943"/>
        <v>45657</v>
      </c>
    </row>
    <row r="12223" spans="1:6" x14ac:dyDescent="0.25">
      <c r="A12223" s="1" t="s">
        <v>254</v>
      </c>
      <c r="B12223" s="1" t="s">
        <v>253</v>
      </c>
      <c r="C12223" s="1" t="s">
        <v>8</v>
      </c>
      <c r="D12223" s="3">
        <f t="shared" si="1941"/>
        <v>7262</v>
      </c>
      <c r="E12223" s="2">
        <f t="shared" si="1942"/>
        <v>41000</v>
      </c>
      <c r="F12223" s="2">
        <f t="shared" si="1943"/>
        <v>45657</v>
      </c>
    </row>
    <row r="12224" spans="1:6" x14ac:dyDescent="0.25">
      <c r="A12224" s="1" t="s">
        <v>254</v>
      </c>
      <c r="B12224" s="1" t="s">
        <v>253</v>
      </c>
      <c r="C12224" s="1" t="s">
        <v>256</v>
      </c>
      <c r="D12224" s="3">
        <f t="shared" si="1941"/>
        <v>7262</v>
      </c>
      <c r="E12224" s="2">
        <f t="shared" si="1942"/>
        <v>41000</v>
      </c>
      <c r="F12224" s="2">
        <f t="shared" si="1943"/>
        <v>45657</v>
      </c>
    </row>
    <row r="12225" spans="1:6" x14ac:dyDescent="0.25">
      <c r="A12225" s="1" t="s">
        <v>254</v>
      </c>
      <c r="B12225" s="1" t="s">
        <v>253</v>
      </c>
      <c r="C12225" s="1" t="s">
        <v>125</v>
      </c>
      <c r="D12225" s="3">
        <f t="shared" si="1941"/>
        <v>7262</v>
      </c>
      <c r="E12225" s="2">
        <f t="shared" si="1942"/>
        <v>41000</v>
      </c>
      <c r="F12225" s="2">
        <f t="shared" si="1943"/>
        <v>45657</v>
      </c>
    </row>
    <row r="12226" spans="1:6" x14ac:dyDescent="0.25">
      <c r="A12226" s="1" t="s">
        <v>254</v>
      </c>
      <c r="B12226" s="1" t="s">
        <v>253</v>
      </c>
      <c r="C12226" s="1" t="s">
        <v>85</v>
      </c>
      <c r="D12226" s="3">
        <f t="shared" si="1941"/>
        <v>7262</v>
      </c>
      <c r="E12226" s="2">
        <f t="shared" si="1942"/>
        <v>41000</v>
      </c>
      <c r="F12226" s="2">
        <f t="shared" si="1943"/>
        <v>45657</v>
      </c>
    </row>
    <row r="12227" spans="1:6" x14ac:dyDescent="0.25">
      <c r="A12227" s="1" t="s">
        <v>254</v>
      </c>
      <c r="B12227" s="1" t="s">
        <v>253</v>
      </c>
      <c r="C12227" s="1" t="s">
        <v>84</v>
      </c>
      <c r="D12227" s="3">
        <f t="shared" si="1941"/>
        <v>7262</v>
      </c>
      <c r="E12227" s="2">
        <f t="shared" si="1942"/>
        <v>41000</v>
      </c>
      <c r="F12227" s="2">
        <f t="shared" si="1943"/>
        <v>45657</v>
      </c>
    </row>
    <row r="12228" spans="1:6" x14ac:dyDescent="0.25">
      <c r="A12228" s="1" t="s">
        <v>254</v>
      </c>
      <c r="B12228" s="1" t="s">
        <v>253</v>
      </c>
      <c r="C12228" s="1" t="s">
        <v>46</v>
      </c>
      <c r="D12228" s="3">
        <f t="shared" si="1941"/>
        <v>7262</v>
      </c>
      <c r="E12228" s="2">
        <f t="shared" si="1942"/>
        <v>41000</v>
      </c>
      <c r="F12228" s="2">
        <f t="shared" si="1943"/>
        <v>45657</v>
      </c>
    </row>
    <row r="12229" spans="1:6" x14ac:dyDescent="0.25">
      <c r="A12229" s="1" t="s">
        <v>254</v>
      </c>
      <c r="B12229" s="1" t="s">
        <v>253</v>
      </c>
      <c r="C12229" s="1" t="s">
        <v>87</v>
      </c>
      <c r="D12229" s="3">
        <f t="shared" si="1941"/>
        <v>7262</v>
      </c>
      <c r="E12229" s="2">
        <f t="shared" si="1942"/>
        <v>41000</v>
      </c>
      <c r="F12229" s="2">
        <f t="shared" si="1943"/>
        <v>45657</v>
      </c>
    </row>
    <row r="12230" spans="1:6" x14ac:dyDescent="0.25">
      <c r="A12230" s="1" t="s">
        <v>254</v>
      </c>
      <c r="B12230" s="1" t="s">
        <v>253</v>
      </c>
      <c r="C12230" s="1" t="s">
        <v>14</v>
      </c>
      <c r="D12230" s="3">
        <f t="shared" si="1941"/>
        <v>7262</v>
      </c>
      <c r="E12230" s="2">
        <f t="shared" si="1942"/>
        <v>41000</v>
      </c>
      <c r="F12230" s="2">
        <f t="shared" si="1943"/>
        <v>45657</v>
      </c>
    </row>
    <row r="12231" spans="1:6" x14ac:dyDescent="0.25">
      <c r="A12231" s="1" t="s">
        <v>254</v>
      </c>
      <c r="B12231" s="1" t="s">
        <v>253</v>
      </c>
      <c r="C12231" s="1" t="s">
        <v>66</v>
      </c>
      <c r="D12231" s="3">
        <f t="shared" si="1941"/>
        <v>7262</v>
      </c>
      <c r="E12231" s="2">
        <f t="shared" si="1942"/>
        <v>41000</v>
      </c>
      <c r="F12231" s="2">
        <f t="shared" si="1943"/>
        <v>45657</v>
      </c>
    </row>
    <row r="12232" spans="1:6" x14ac:dyDescent="0.25">
      <c r="A12232" s="1" t="s">
        <v>254</v>
      </c>
      <c r="B12232" s="1" t="s">
        <v>253</v>
      </c>
      <c r="C12232" s="1" t="s">
        <v>15</v>
      </c>
      <c r="D12232" s="3">
        <f t="shared" si="1941"/>
        <v>7262</v>
      </c>
      <c r="E12232" s="2">
        <f t="shared" si="1942"/>
        <v>41000</v>
      </c>
      <c r="F12232" s="2">
        <f t="shared" si="1943"/>
        <v>45657</v>
      </c>
    </row>
    <row r="12233" spans="1:6" x14ac:dyDescent="0.25">
      <c r="A12233" s="1" t="s">
        <v>254</v>
      </c>
      <c r="B12233" s="1" t="s">
        <v>253</v>
      </c>
      <c r="C12233" s="1" t="s">
        <v>89</v>
      </c>
      <c r="D12233" s="3">
        <f t="shared" si="1941"/>
        <v>7262</v>
      </c>
      <c r="E12233" s="2">
        <f t="shared" si="1942"/>
        <v>41000</v>
      </c>
      <c r="F12233" s="2">
        <f t="shared" si="1943"/>
        <v>45657</v>
      </c>
    </row>
    <row r="12234" spans="1:6" x14ac:dyDescent="0.25">
      <c r="A12234" s="1" t="s">
        <v>254</v>
      </c>
      <c r="B12234" s="1" t="s">
        <v>253</v>
      </c>
      <c r="C12234" s="1" t="s">
        <v>17</v>
      </c>
      <c r="D12234" s="3">
        <f t="shared" si="1941"/>
        <v>7262</v>
      </c>
      <c r="E12234" s="2">
        <f t="shared" si="1942"/>
        <v>41000</v>
      </c>
      <c r="F12234" s="2">
        <f t="shared" si="1943"/>
        <v>45657</v>
      </c>
    </row>
    <row r="12235" spans="1:6" x14ac:dyDescent="0.25">
      <c r="A12235" s="1" t="s">
        <v>254</v>
      </c>
      <c r="B12235" s="1" t="s">
        <v>253</v>
      </c>
      <c r="C12235" s="1" t="s">
        <v>257</v>
      </c>
      <c r="D12235" s="3">
        <f t="shared" si="1941"/>
        <v>7262</v>
      </c>
      <c r="E12235" s="2">
        <f t="shared" si="1942"/>
        <v>41000</v>
      </c>
      <c r="F12235" s="2">
        <f t="shared" si="1943"/>
        <v>45657</v>
      </c>
    </row>
    <row r="12236" spans="1:6" x14ac:dyDescent="0.25">
      <c r="A12236" s="1" t="s">
        <v>254</v>
      </c>
      <c r="B12236" s="1" t="s">
        <v>253</v>
      </c>
      <c r="C12236" s="1" t="s">
        <v>90</v>
      </c>
      <c r="D12236" s="3">
        <f t="shared" si="1941"/>
        <v>7262</v>
      </c>
      <c r="E12236" s="2">
        <f t="shared" si="1942"/>
        <v>41000</v>
      </c>
      <c r="F12236" s="2">
        <f t="shared" si="1943"/>
        <v>45657</v>
      </c>
    </row>
    <row r="12237" spans="1:6" x14ac:dyDescent="0.25">
      <c r="A12237" s="1" t="s">
        <v>254</v>
      </c>
      <c r="B12237" s="1" t="s">
        <v>253</v>
      </c>
      <c r="C12237" s="1" t="s">
        <v>127</v>
      </c>
      <c r="D12237" s="3">
        <f t="shared" si="1941"/>
        <v>7262</v>
      </c>
      <c r="E12237" s="2">
        <f t="shared" si="1942"/>
        <v>41000</v>
      </c>
      <c r="F12237" s="2">
        <f t="shared" si="1943"/>
        <v>45657</v>
      </c>
    </row>
    <row r="12238" spans="1:6" x14ac:dyDescent="0.25">
      <c r="A12238" s="1" t="s">
        <v>254</v>
      </c>
      <c r="B12238" s="1" t="s">
        <v>253</v>
      </c>
      <c r="C12238" s="1" t="s">
        <v>168</v>
      </c>
      <c r="D12238" s="3">
        <f t="shared" si="1941"/>
        <v>7262</v>
      </c>
      <c r="E12238" s="2">
        <f t="shared" si="1942"/>
        <v>41000</v>
      </c>
      <c r="F12238" s="2">
        <f t="shared" si="1943"/>
        <v>45657</v>
      </c>
    </row>
    <row r="12239" spans="1:6" x14ac:dyDescent="0.25">
      <c r="A12239" s="1" t="s">
        <v>254</v>
      </c>
      <c r="B12239" s="1" t="s">
        <v>253</v>
      </c>
      <c r="C12239" s="1" t="s">
        <v>91</v>
      </c>
      <c r="D12239" s="3">
        <f t="shared" si="1941"/>
        <v>7262</v>
      </c>
      <c r="E12239" s="2">
        <f t="shared" si="1942"/>
        <v>41000</v>
      </c>
      <c r="F12239" s="2">
        <f t="shared" si="1943"/>
        <v>45657</v>
      </c>
    </row>
    <row r="12240" spans="1:6" x14ac:dyDescent="0.25">
      <c r="A12240" s="1" t="s">
        <v>254</v>
      </c>
      <c r="B12240" s="1" t="s">
        <v>253</v>
      </c>
      <c r="C12240" s="1" t="s">
        <v>22</v>
      </c>
      <c r="D12240" s="3">
        <f t="shared" si="1941"/>
        <v>7262</v>
      </c>
      <c r="E12240" s="2">
        <f t="shared" si="1942"/>
        <v>41000</v>
      </c>
      <c r="F12240" s="2">
        <f t="shared" si="1943"/>
        <v>45657</v>
      </c>
    </row>
    <row r="12241" spans="1:6" x14ac:dyDescent="0.25">
      <c r="A12241" s="1" t="s">
        <v>254</v>
      </c>
      <c r="B12241" s="1" t="s">
        <v>253</v>
      </c>
      <c r="C12241" s="1" t="s">
        <v>258</v>
      </c>
      <c r="D12241" s="3">
        <f t="shared" si="1941"/>
        <v>7262</v>
      </c>
      <c r="E12241" s="2">
        <f t="shared" si="1942"/>
        <v>41000</v>
      </c>
      <c r="F12241" s="2">
        <f t="shared" si="1943"/>
        <v>45657</v>
      </c>
    </row>
    <row r="12242" spans="1:6" x14ac:dyDescent="0.25">
      <c r="A12242" s="1" t="s">
        <v>254</v>
      </c>
      <c r="B12242" s="1" t="s">
        <v>253</v>
      </c>
      <c r="C12242" s="1" t="s">
        <v>146</v>
      </c>
      <c r="D12242" s="3">
        <f t="shared" si="1941"/>
        <v>7262</v>
      </c>
      <c r="E12242" s="2">
        <f t="shared" si="1942"/>
        <v>41000</v>
      </c>
      <c r="F12242" s="2">
        <f t="shared" si="1943"/>
        <v>45657</v>
      </c>
    </row>
    <row r="12243" spans="1:6" x14ac:dyDescent="0.25">
      <c r="A12243" s="1" t="s">
        <v>254</v>
      </c>
      <c r="B12243" s="1" t="s">
        <v>253</v>
      </c>
      <c r="C12243" s="1" t="s">
        <v>67</v>
      </c>
      <c r="D12243" s="3">
        <f t="shared" si="1941"/>
        <v>7262</v>
      </c>
      <c r="E12243" s="2">
        <f t="shared" si="1942"/>
        <v>41000</v>
      </c>
      <c r="F12243" s="2">
        <f t="shared" si="1943"/>
        <v>45657</v>
      </c>
    </row>
    <row r="12244" spans="1:6" x14ac:dyDescent="0.25">
      <c r="A12244" s="1" t="s">
        <v>254</v>
      </c>
      <c r="B12244" s="1" t="s">
        <v>253</v>
      </c>
      <c r="C12244" s="1" t="s">
        <v>259</v>
      </c>
      <c r="D12244" s="3">
        <f t="shared" si="1941"/>
        <v>7262</v>
      </c>
      <c r="E12244" s="2">
        <f t="shared" si="1942"/>
        <v>41000</v>
      </c>
      <c r="F12244" s="2">
        <f t="shared" si="1943"/>
        <v>45657</v>
      </c>
    </row>
    <row r="12245" spans="1:6" x14ac:dyDescent="0.25">
      <c r="A12245" s="1" t="s">
        <v>254</v>
      </c>
      <c r="B12245" s="1" t="s">
        <v>253</v>
      </c>
      <c r="C12245" s="1" t="s">
        <v>148</v>
      </c>
      <c r="D12245" s="3">
        <f t="shared" si="1941"/>
        <v>7262</v>
      </c>
      <c r="E12245" s="2">
        <f t="shared" si="1942"/>
        <v>41000</v>
      </c>
      <c r="F12245" s="2">
        <f t="shared" si="1943"/>
        <v>45657</v>
      </c>
    </row>
    <row r="12246" spans="1:6" x14ac:dyDescent="0.25">
      <c r="A12246" s="1" t="s">
        <v>254</v>
      </c>
      <c r="B12246" s="1" t="s">
        <v>253</v>
      </c>
      <c r="C12246" s="1" t="s">
        <v>149</v>
      </c>
      <c r="D12246" s="3">
        <f t="shared" si="1941"/>
        <v>7262</v>
      </c>
      <c r="E12246" s="2">
        <f t="shared" si="1942"/>
        <v>41000</v>
      </c>
      <c r="F12246" s="2">
        <f t="shared" si="1943"/>
        <v>45657</v>
      </c>
    </row>
    <row r="12247" spans="1:6" x14ac:dyDescent="0.25">
      <c r="A12247" s="1" t="s">
        <v>254</v>
      </c>
      <c r="B12247" s="1" t="s">
        <v>253</v>
      </c>
      <c r="C12247" s="1" t="s">
        <v>150</v>
      </c>
      <c r="D12247" s="3">
        <f t="shared" si="1941"/>
        <v>7262</v>
      </c>
      <c r="E12247" s="2">
        <f t="shared" si="1942"/>
        <v>41000</v>
      </c>
      <c r="F12247" s="2">
        <f t="shared" si="1943"/>
        <v>45657</v>
      </c>
    </row>
    <row r="12248" spans="1:6" x14ac:dyDescent="0.25">
      <c r="A12248" s="1" t="s">
        <v>254</v>
      </c>
      <c r="B12248" s="1" t="s">
        <v>253</v>
      </c>
      <c r="C12248" s="1" t="s">
        <v>172</v>
      </c>
      <c r="D12248" s="3">
        <f t="shared" si="1941"/>
        <v>7262</v>
      </c>
      <c r="E12248" s="2">
        <f t="shared" si="1942"/>
        <v>41000</v>
      </c>
      <c r="F12248" s="2">
        <f t="shared" si="1943"/>
        <v>45657</v>
      </c>
    </row>
    <row r="12249" spans="1:6" x14ac:dyDescent="0.25">
      <c r="A12249" s="1" t="s">
        <v>254</v>
      </c>
      <c r="B12249" s="1" t="s">
        <v>253</v>
      </c>
      <c r="C12249" s="1" t="s">
        <v>211</v>
      </c>
      <c r="D12249" s="3">
        <f t="shared" si="1941"/>
        <v>7262</v>
      </c>
      <c r="E12249" s="2">
        <f t="shared" si="1942"/>
        <v>41000</v>
      </c>
      <c r="F12249" s="2">
        <f t="shared" si="1943"/>
        <v>45657</v>
      </c>
    </row>
    <row r="12250" spans="1:6" x14ac:dyDescent="0.25">
      <c r="A12250" s="1" t="s">
        <v>254</v>
      </c>
      <c r="B12250" s="1" t="s">
        <v>253</v>
      </c>
      <c r="C12250" s="1" t="s">
        <v>92</v>
      </c>
      <c r="D12250" s="3">
        <f t="shared" si="1941"/>
        <v>7262</v>
      </c>
      <c r="E12250" s="2">
        <f t="shared" si="1942"/>
        <v>41000</v>
      </c>
      <c r="F12250" s="2">
        <f t="shared" si="1943"/>
        <v>45657</v>
      </c>
    </row>
    <row r="12251" spans="1:6" x14ac:dyDescent="0.25">
      <c r="A12251" s="1" t="s">
        <v>254</v>
      </c>
      <c r="B12251" s="1" t="s">
        <v>253</v>
      </c>
      <c r="C12251" s="1" t="s">
        <v>205</v>
      </c>
      <c r="D12251" s="3">
        <f t="shared" si="1941"/>
        <v>7262</v>
      </c>
      <c r="E12251" s="2">
        <f t="shared" si="1942"/>
        <v>41000</v>
      </c>
      <c r="F12251" s="2">
        <f t="shared" si="1943"/>
        <v>45657</v>
      </c>
    </row>
    <row r="12252" spans="1:6" x14ac:dyDescent="0.25">
      <c r="A12252" s="1" t="s">
        <v>254</v>
      </c>
      <c r="B12252" s="1" t="s">
        <v>253</v>
      </c>
      <c r="C12252" s="1" t="s">
        <v>204</v>
      </c>
      <c r="D12252" s="3">
        <f t="shared" ref="D12252:D12272" si="1944">VALUE("7262")</f>
        <v>7262</v>
      </c>
      <c r="E12252" s="2">
        <f t="shared" ref="E12252:E12277" si="1945">DATEVALUE("1-4-2012")</f>
        <v>41000</v>
      </c>
      <c r="F12252" s="2">
        <f t="shared" ref="F12252:F12272" si="1946">DATEVALUE("31-12-2024")</f>
        <v>45657</v>
      </c>
    </row>
    <row r="12253" spans="1:6" x14ac:dyDescent="0.25">
      <c r="A12253" s="1" t="s">
        <v>254</v>
      </c>
      <c r="B12253" s="1" t="s">
        <v>253</v>
      </c>
      <c r="C12253" s="1" t="s">
        <v>93</v>
      </c>
      <c r="D12253" s="3">
        <f t="shared" si="1944"/>
        <v>7262</v>
      </c>
      <c r="E12253" s="2">
        <f t="shared" si="1945"/>
        <v>41000</v>
      </c>
      <c r="F12253" s="2">
        <f t="shared" si="1946"/>
        <v>45657</v>
      </c>
    </row>
    <row r="12254" spans="1:6" x14ac:dyDescent="0.25">
      <c r="A12254" s="1" t="s">
        <v>254</v>
      </c>
      <c r="B12254" s="1" t="s">
        <v>253</v>
      </c>
      <c r="C12254" s="1" t="s">
        <v>177</v>
      </c>
      <c r="D12254" s="3">
        <f t="shared" si="1944"/>
        <v>7262</v>
      </c>
      <c r="E12254" s="2">
        <f t="shared" si="1945"/>
        <v>41000</v>
      </c>
      <c r="F12254" s="2">
        <f t="shared" si="1946"/>
        <v>45657</v>
      </c>
    </row>
    <row r="12255" spans="1:6" x14ac:dyDescent="0.25">
      <c r="A12255" s="1" t="s">
        <v>254</v>
      </c>
      <c r="B12255" s="1" t="s">
        <v>253</v>
      </c>
      <c r="C12255" s="1" t="s">
        <v>94</v>
      </c>
      <c r="D12255" s="3">
        <f t="shared" si="1944"/>
        <v>7262</v>
      </c>
      <c r="E12255" s="2">
        <f t="shared" si="1945"/>
        <v>41000</v>
      </c>
      <c r="F12255" s="2">
        <f t="shared" si="1946"/>
        <v>45657</v>
      </c>
    </row>
    <row r="12256" spans="1:6" x14ac:dyDescent="0.25">
      <c r="A12256" s="1" t="s">
        <v>254</v>
      </c>
      <c r="B12256" s="1" t="s">
        <v>253</v>
      </c>
      <c r="C12256" s="1" t="s">
        <v>24</v>
      </c>
      <c r="D12256" s="3">
        <f t="shared" si="1944"/>
        <v>7262</v>
      </c>
      <c r="E12256" s="2">
        <f t="shared" si="1945"/>
        <v>41000</v>
      </c>
      <c r="F12256" s="2">
        <f t="shared" si="1946"/>
        <v>45657</v>
      </c>
    </row>
    <row r="12257" spans="1:6" x14ac:dyDescent="0.25">
      <c r="A12257" s="1" t="s">
        <v>254</v>
      </c>
      <c r="B12257" s="1" t="s">
        <v>253</v>
      </c>
      <c r="C12257" s="1" t="s">
        <v>206</v>
      </c>
      <c r="D12257" s="3">
        <f t="shared" si="1944"/>
        <v>7262</v>
      </c>
      <c r="E12257" s="2">
        <f t="shared" si="1945"/>
        <v>41000</v>
      </c>
      <c r="F12257" s="2">
        <f t="shared" si="1946"/>
        <v>45657</v>
      </c>
    </row>
    <row r="12258" spans="1:6" x14ac:dyDescent="0.25">
      <c r="A12258" s="1" t="s">
        <v>254</v>
      </c>
      <c r="B12258" s="1" t="s">
        <v>253</v>
      </c>
      <c r="C12258" s="1" t="s">
        <v>207</v>
      </c>
      <c r="D12258" s="3">
        <f t="shared" si="1944"/>
        <v>7262</v>
      </c>
      <c r="E12258" s="2">
        <f t="shared" si="1945"/>
        <v>41000</v>
      </c>
      <c r="F12258" s="2">
        <f t="shared" si="1946"/>
        <v>45657</v>
      </c>
    </row>
    <row r="12259" spans="1:6" x14ac:dyDescent="0.25">
      <c r="A12259" s="1" t="s">
        <v>254</v>
      </c>
      <c r="B12259" s="1" t="s">
        <v>253</v>
      </c>
      <c r="C12259" s="1" t="s">
        <v>208</v>
      </c>
      <c r="D12259" s="3">
        <f t="shared" si="1944"/>
        <v>7262</v>
      </c>
      <c r="E12259" s="2">
        <f t="shared" si="1945"/>
        <v>41000</v>
      </c>
      <c r="F12259" s="2">
        <f t="shared" si="1946"/>
        <v>45657</v>
      </c>
    </row>
    <row r="12260" spans="1:6" x14ac:dyDescent="0.25">
      <c r="A12260" s="1" t="s">
        <v>254</v>
      </c>
      <c r="B12260" s="1" t="s">
        <v>253</v>
      </c>
      <c r="C12260" s="1" t="s">
        <v>260</v>
      </c>
      <c r="D12260" s="3">
        <f t="shared" si="1944"/>
        <v>7262</v>
      </c>
      <c r="E12260" s="2">
        <f t="shared" si="1945"/>
        <v>41000</v>
      </c>
      <c r="F12260" s="2">
        <f t="shared" si="1946"/>
        <v>45657</v>
      </c>
    </row>
    <row r="12261" spans="1:6" x14ac:dyDescent="0.25">
      <c r="A12261" s="1" t="s">
        <v>254</v>
      </c>
      <c r="B12261" s="1" t="s">
        <v>253</v>
      </c>
      <c r="C12261" s="1" t="s">
        <v>101</v>
      </c>
      <c r="D12261" s="3">
        <f t="shared" si="1944"/>
        <v>7262</v>
      </c>
      <c r="E12261" s="2">
        <f t="shared" si="1945"/>
        <v>41000</v>
      </c>
      <c r="F12261" s="2">
        <f t="shared" si="1946"/>
        <v>45657</v>
      </c>
    </row>
    <row r="12262" spans="1:6" x14ac:dyDescent="0.25">
      <c r="A12262" s="1" t="s">
        <v>254</v>
      </c>
      <c r="B12262" s="1" t="s">
        <v>253</v>
      </c>
      <c r="C12262" s="1" t="s">
        <v>261</v>
      </c>
      <c r="D12262" s="3">
        <f t="shared" si="1944"/>
        <v>7262</v>
      </c>
      <c r="E12262" s="2">
        <f t="shared" si="1945"/>
        <v>41000</v>
      </c>
      <c r="F12262" s="2">
        <f t="shared" si="1946"/>
        <v>45657</v>
      </c>
    </row>
    <row r="12263" spans="1:6" x14ac:dyDescent="0.25">
      <c r="A12263" s="1" t="s">
        <v>254</v>
      </c>
      <c r="B12263" s="1" t="s">
        <v>253</v>
      </c>
      <c r="C12263" s="1" t="s">
        <v>72</v>
      </c>
      <c r="D12263" s="3">
        <f t="shared" si="1944"/>
        <v>7262</v>
      </c>
      <c r="E12263" s="2">
        <f t="shared" si="1945"/>
        <v>41000</v>
      </c>
      <c r="F12263" s="2">
        <f t="shared" si="1946"/>
        <v>45657</v>
      </c>
    </row>
    <row r="12264" spans="1:6" x14ac:dyDescent="0.25">
      <c r="A12264" s="1" t="s">
        <v>254</v>
      </c>
      <c r="B12264" s="1" t="s">
        <v>253</v>
      </c>
      <c r="C12264" s="1" t="s">
        <v>262</v>
      </c>
      <c r="D12264" s="3">
        <f t="shared" si="1944"/>
        <v>7262</v>
      </c>
      <c r="E12264" s="2">
        <f t="shared" si="1945"/>
        <v>41000</v>
      </c>
      <c r="F12264" s="2">
        <f t="shared" si="1946"/>
        <v>45657</v>
      </c>
    </row>
    <row r="12265" spans="1:6" x14ac:dyDescent="0.25">
      <c r="A12265" s="1" t="s">
        <v>254</v>
      </c>
      <c r="B12265" s="1" t="s">
        <v>253</v>
      </c>
      <c r="C12265" s="1" t="s">
        <v>102</v>
      </c>
      <c r="D12265" s="3">
        <f t="shared" si="1944"/>
        <v>7262</v>
      </c>
      <c r="E12265" s="2">
        <f t="shared" si="1945"/>
        <v>41000</v>
      </c>
      <c r="F12265" s="2">
        <f t="shared" si="1946"/>
        <v>45657</v>
      </c>
    </row>
    <row r="12266" spans="1:6" x14ac:dyDescent="0.25">
      <c r="A12266" s="1" t="s">
        <v>254</v>
      </c>
      <c r="B12266" s="1" t="s">
        <v>253</v>
      </c>
      <c r="C12266" s="1" t="s">
        <v>103</v>
      </c>
      <c r="D12266" s="3">
        <f t="shared" si="1944"/>
        <v>7262</v>
      </c>
      <c r="E12266" s="2">
        <f t="shared" si="1945"/>
        <v>41000</v>
      </c>
      <c r="F12266" s="2">
        <f t="shared" si="1946"/>
        <v>45657</v>
      </c>
    </row>
    <row r="12267" spans="1:6" x14ac:dyDescent="0.25">
      <c r="A12267" s="1" t="s">
        <v>254</v>
      </c>
      <c r="B12267" s="1" t="s">
        <v>253</v>
      </c>
      <c r="C12267" s="1" t="s">
        <v>158</v>
      </c>
      <c r="D12267" s="3">
        <f t="shared" si="1944"/>
        <v>7262</v>
      </c>
      <c r="E12267" s="2">
        <f t="shared" si="1945"/>
        <v>41000</v>
      </c>
      <c r="F12267" s="2">
        <f t="shared" si="1946"/>
        <v>45657</v>
      </c>
    </row>
    <row r="12268" spans="1:6" x14ac:dyDescent="0.25">
      <c r="A12268" s="1" t="s">
        <v>254</v>
      </c>
      <c r="B12268" s="1" t="s">
        <v>253</v>
      </c>
      <c r="C12268" s="1" t="s">
        <v>52</v>
      </c>
      <c r="D12268" s="3">
        <f t="shared" si="1944"/>
        <v>7262</v>
      </c>
      <c r="E12268" s="2">
        <f t="shared" si="1945"/>
        <v>41000</v>
      </c>
      <c r="F12268" s="2">
        <f t="shared" si="1946"/>
        <v>45657</v>
      </c>
    </row>
    <row r="12269" spans="1:6" x14ac:dyDescent="0.25">
      <c r="A12269" s="1" t="s">
        <v>254</v>
      </c>
      <c r="B12269" s="1" t="s">
        <v>253</v>
      </c>
      <c r="C12269" s="1" t="s">
        <v>160</v>
      </c>
      <c r="D12269" s="3">
        <f t="shared" si="1944"/>
        <v>7262</v>
      </c>
      <c r="E12269" s="2">
        <f t="shared" si="1945"/>
        <v>41000</v>
      </c>
      <c r="F12269" s="2">
        <f t="shared" si="1946"/>
        <v>45657</v>
      </c>
    </row>
    <row r="12270" spans="1:6" x14ac:dyDescent="0.25">
      <c r="A12270" s="1" t="s">
        <v>254</v>
      </c>
      <c r="B12270" s="1" t="s">
        <v>253</v>
      </c>
      <c r="C12270" s="1" t="s">
        <v>34</v>
      </c>
      <c r="D12270" s="3">
        <f t="shared" si="1944"/>
        <v>7262</v>
      </c>
      <c r="E12270" s="2">
        <f t="shared" si="1945"/>
        <v>41000</v>
      </c>
      <c r="F12270" s="2">
        <f t="shared" si="1946"/>
        <v>45657</v>
      </c>
    </row>
    <row r="12271" spans="1:6" x14ac:dyDescent="0.25">
      <c r="A12271" s="1" t="s">
        <v>254</v>
      </c>
      <c r="B12271" s="1" t="s">
        <v>253</v>
      </c>
      <c r="C12271" s="1" t="s">
        <v>133</v>
      </c>
      <c r="D12271" s="3">
        <f t="shared" si="1944"/>
        <v>7262</v>
      </c>
      <c r="E12271" s="2">
        <f t="shared" si="1945"/>
        <v>41000</v>
      </c>
      <c r="F12271" s="2">
        <f t="shared" si="1946"/>
        <v>45657</v>
      </c>
    </row>
    <row r="12272" spans="1:6" x14ac:dyDescent="0.25">
      <c r="A12272" s="1" t="s">
        <v>254</v>
      </c>
      <c r="B12272" s="1" t="s">
        <v>253</v>
      </c>
      <c r="C12272" s="1" t="s">
        <v>134</v>
      </c>
      <c r="D12272" s="3">
        <f t="shared" si="1944"/>
        <v>7262</v>
      </c>
      <c r="E12272" s="2">
        <f t="shared" si="1945"/>
        <v>41000</v>
      </c>
      <c r="F12272" s="2">
        <f t="shared" si="1946"/>
        <v>45657</v>
      </c>
    </row>
    <row r="12273" spans="1:6" x14ac:dyDescent="0.25">
      <c r="A12273" s="1" t="s">
        <v>254</v>
      </c>
      <c r="B12273" s="1" t="s">
        <v>1887</v>
      </c>
      <c r="C12273" s="1" t="s">
        <v>202</v>
      </c>
      <c r="D12273" s="3">
        <f>VALUE("7263")</f>
        <v>7263</v>
      </c>
      <c r="E12273" s="2">
        <f t="shared" si="1945"/>
        <v>41000</v>
      </c>
      <c r="F12273" s="2">
        <f>DATEVALUE("31-3-2013")</f>
        <v>41364</v>
      </c>
    </row>
    <row r="12274" spans="1:6" x14ac:dyDescent="0.25">
      <c r="A12274" s="1" t="s">
        <v>254</v>
      </c>
      <c r="B12274" s="1" t="s">
        <v>1887</v>
      </c>
      <c r="C12274" s="1" t="s">
        <v>1285</v>
      </c>
      <c r="D12274" s="3">
        <f>VALUE("7263")</f>
        <v>7263</v>
      </c>
      <c r="E12274" s="2">
        <f t="shared" si="1945"/>
        <v>41000</v>
      </c>
      <c r="F12274" s="2">
        <f>DATEVALUE("31-3-2013")</f>
        <v>41364</v>
      </c>
    </row>
    <row r="12275" spans="1:6" x14ac:dyDescent="0.25">
      <c r="A12275" s="1" t="s">
        <v>254</v>
      </c>
      <c r="B12275" s="1" t="s">
        <v>1887</v>
      </c>
      <c r="C12275" s="1" t="s">
        <v>149</v>
      </c>
      <c r="D12275" s="3">
        <f>VALUE("7263")</f>
        <v>7263</v>
      </c>
      <c r="E12275" s="2">
        <f t="shared" si="1945"/>
        <v>41000</v>
      </c>
      <c r="F12275" s="2">
        <f>DATEVALUE("31-3-2013")</f>
        <v>41364</v>
      </c>
    </row>
    <row r="12276" spans="1:6" x14ac:dyDescent="0.25">
      <c r="A12276" s="1" t="s">
        <v>254</v>
      </c>
      <c r="B12276" s="1" t="s">
        <v>1887</v>
      </c>
      <c r="C12276" s="1" t="s">
        <v>207</v>
      </c>
      <c r="D12276" s="3">
        <f>VALUE("7263")</f>
        <v>7263</v>
      </c>
      <c r="E12276" s="2">
        <f t="shared" si="1945"/>
        <v>41000</v>
      </c>
      <c r="F12276" s="2">
        <f>DATEVALUE("31-3-2013")</f>
        <v>41364</v>
      </c>
    </row>
    <row r="12277" spans="1:6" x14ac:dyDescent="0.25">
      <c r="A12277" s="1" t="s">
        <v>254</v>
      </c>
      <c r="B12277" s="1" t="s">
        <v>1887</v>
      </c>
      <c r="C12277" s="1" t="s">
        <v>208</v>
      </c>
      <c r="D12277" s="3">
        <f>VALUE("7263")</f>
        <v>7263</v>
      </c>
      <c r="E12277" s="2">
        <f t="shared" si="1945"/>
        <v>41000</v>
      </c>
      <c r="F12277" s="2">
        <f>DATEVALUE("31-3-2013")</f>
        <v>41364</v>
      </c>
    </row>
    <row r="12278" spans="1:6" x14ac:dyDescent="0.25">
      <c r="A12278" s="1" t="s">
        <v>254</v>
      </c>
      <c r="B12278" s="1" t="s">
        <v>2632</v>
      </c>
      <c r="C12278" s="1" t="s">
        <v>207</v>
      </c>
      <c r="D12278" s="3">
        <f>VALUE("7252")</f>
        <v>7252</v>
      </c>
      <c r="E12278" s="2">
        <f>DATEVALUE("1-9-2011")</f>
        <v>40787</v>
      </c>
      <c r="F12278" s="2">
        <f>DATEVALUE("31-8-2012")</f>
        <v>41152</v>
      </c>
    </row>
    <row r="12279" spans="1:6" x14ac:dyDescent="0.25">
      <c r="A12279" s="1" t="s">
        <v>254</v>
      </c>
      <c r="B12279" s="1" t="s">
        <v>2632</v>
      </c>
      <c r="C12279" s="1" t="s">
        <v>208</v>
      </c>
      <c r="D12279" s="3">
        <f>VALUE("7252")</f>
        <v>7252</v>
      </c>
      <c r="E12279" s="2">
        <f>DATEVALUE("1-9-2011")</f>
        <v>40787</v>
      </c>
      <c r="F12279" s="2">
        <f>DATEVALUE("31-8-2012")</f>
        <v>41152</v>
      </c>
    </row>
    <row r="12280" spans="1:6" x14ac:dyDescent="0.25">
      <c r="A12280" s="1" t="s">
        <v>254</v>
      </c>
      <c r="B12280" s="1" t="s">
        <v>2545</v>
      </c>
      <c r="C12280" s="1" t="s">
        <v>172</v>
      </c>
      <c r="D12280" s="3">
        <f>VALUE("6166")</f>
        <v>6166</v>
      </c>
      <c r="E12280" s="2">
        <f>DATEVALUE("1-7-2009")</f>
        <v>39995</v>
      </c>
      <c r="F12280" s="2">
        <f>DATEVALUE("31-10-2012")</f>
        <v>41213</v>
      </c>
    </row>
    <row r="12281" spans="1:6" x14ac:dyDescent="0.25">
      <c r="A12281" s="1" t="s">
        <v>254</v>
      </c>
      <c r="B12281" s="1" t="s">
        <v>2545</v>
      </c>
      <c r="C12281" s="1" t="s">
        <v>51</v>
      </c>
      <c r="D12281" s="3">
        <f>VALUE("6166")</f>
        <v>6166</v>
      </c>
      <c r="E12281" s="2">
        <f>DATEVALUE("1-7-2009")</f>
        <v>39995</v>
      </c>
      <c r="F12281" s="2">
        <f>DATEVALUE("31-10-2012")</f>
        <v>41213</v>
      </c>
    </row>
    <row r="12282" spans="1:6" x14ac:dyDescent="0.25">
      <c r="A12282" s="1" t="s">
        <v>254</v>
      </c>
      <c r="B12282" s="1" t="s">
        <v>2518</v>
      </c>
      <c r="C12282" s="1" t="s">
        <v>78</v>
      </c>
      <c r="D12282" s="3">
        <f t="shared" ref="D12282:D12313" si="1947">VALUE("6016")</f>
        <v>6016</v>
      </c>
      <c r="E12282" s="2">
        <f t="shared" ref="E12282:E12313" si="1948">DATEVALUE("1-5-2007")</f>
        <v>39203</v>
      </c>
      <c r="F12282" s="2">
        <f t="shared" ref="F12282:F12313" si="1949">DATEVALUE("31-5-2012")</f>
        <v>41060</v>
      </c>
    </row>
    <row r="12283" spans="1:6" x14ac:dyDescent="0.25">
      <c r="A12283" s="1" t="s">
        <v>254</v>
      </c>
      <c r="B12283" s="1" t="s">
        <v>2518</v>
      </c>
      <c r="C12283" s="1" t="s">
        <v>79</v>
      </c>
      <c r="D12283" s="3">
        <f t="shared" si="1947"/>
        <v>6016</v>
      </c>
      <c r="E12283" s="2">
        <f t="shared" si="1948"/>
        <v>39203</v>
      </c>
      <c r="F12283" s="2">
        <f t="shared" si="1949"/>
        <v>41060</v>
      </c>
    </row>
    <row r="12284" spans="1:6" x14ac:dyDescent="0.25">
      <c r="A12284" s="1" t="s">
        <v>254</v>
      </c>
      <c r="B12284" s="1" t="s">
        <v>2518</v>
      </c>
      <c r="C12284" s="1" t="s">
        <v>80</v>
      </c>
      <c r="D12284" s="3">
        <f t="shared" si="1947"/>
        <v>6016</v>
      </c>
      <c r="E12284" s="2">
        <f t="shared" si="1948"/>
        <v>39203</v>
      </c>
      <c r="F12284" s="2">
        <f t="shared" si="1949"/>
        <v>41060</v>
      </c>
    </row>
    <row r="12285" spans="1:6" x14ac:dyDescent="0.25">
      <c r="A12285" s="1" t="s">
        <v>254</v>
      </c>
      <c r="B12285" s="1" t="s">
        <v>2518</v>
      </c>
      <c r="C12285" s="1" t="s">
        <v>39</v>
      </c>
      <c r="D12285" s="3">
        <f t="shared" si="1947"/>
        <v>6016</v>
      </c>
      <c r="E12285" s="2">
        <f t="shared" si="1948"/>
        <v>39203</v>
      </c>
      <c r="F12285" s="2">
        <f t="shared" si="1949"/>
        <v>41060</v>
      </c>
    </row>
    <row r="12286" spans="1:6" x14ac:dyDescent="0.25">
      <c r="A12286" s="1" t="s">
        <v>254</v>
      </c>
      <c r="B12286" s="1" t="s">
        <v>2518</v>
      </c>
      <c r="C12286" s="1" t="s">
        <v>202</v>
      </c>
      <c r="D12286" s="3">
        <f t="shared" si="1947"/>
        <v>6016</v>
      </c>
      <c r="E12286" s="2">
        <f t="shared" si="1948"/>
        <v>39203</v>
      </c>
      <c r="F12286" s="2">
        <f t="shared" si="1949"/>
        <v>41060</v>
      </c>
    </row>
    <row r="12287" spans="1:6" x14ac:dyDescent="0.25">
      <c r="A12287" s="1" t="s">
        <v>254</v>
      </c>
      <c r="B12287" s="1" t="s">
        <v>2518</v>
      </c>
      <c r="C12287" s="1" t="s">
        <v>60</v>
      </c>
      <c r="D12287" s="3">
        <f t="shared" si="1947"/>
        <v>6016</v>
      </c>
      <c r="E12287" s="2">
        <f t="shared" si="1948"/>
        <v>39203</v>
      </c>
      <c r="F12287" s="2">
        <f t="shared" si="1949"/>
        <v>41060</v>
      </c>
    </row>
    <row r="12288" spans="1:6" x14ac:dyDescent="0.25">
      <c r="A12288" s="1" t="s">
        <v>254</v>
      </c>
      <c r="B12288" s="1" t="s">
        <v>2518</v>
      </c>
      <c r="C12288" s="1" t="s">
        <v>82</v>
      </c>
      <c r="D12288" s="3">
        <f t="shared" si="1947"/>
        <v>6016</v>
      </c>
      <c r="E12288" s="2">
        <f t="shared" si="1948"/>
        <v>39203</v>
      </c>
      <c r="F12288" s="2">
        <f t="shared" si="1949"/>
        <v>41060</v>
      </c>
    </row>
    <row r="12289" spans="1:6" x14ac:dyDescent="0.25">
      <c r="A12289" s="1" t="s">
        <v>254</v>
      </c>
      <c r="B12289" s="1" t="s">
        <v>2518</v>
      </c>
      <c r="C12289" s="1" t="s">
        <v>42</v>
      </c>
      <c r="D12289" s="3">
        <f t="shared" si="1947"/>
        <v>6016</v>
      </c>
      <c r="E12289" s="2">
        <f t="shared" si="1948"/>
        <v>39203</v>
      </c>
      <c r="F12289" s="2">
        <f t="shared" si="1949"/>
        <v>41060</v>
      </c>
    </row>
    <row r="12290" spans="1:6" x14ac:dyDescent="0.25">
      <c r="A12290" s="1" t="s">
        <v>254</v>
      </c>
      <c r="B12290" s="1" t="s">
        <v>2518</v>
      </c>
      <c r="C12290" s="1" t="s">
        <v>8</v>
      </c>
      <c r="D12290" s="3">
        <f t="shared" si="1947"/>
        <v>6016</v>
      </c>
      <c r="E12290" s="2">
        <f t="shared" si="1948"/>
        <v>39203</v>
      </c>
      <c r="F12290" s="2">
        <f t="shared" si="1949"/>
        <v>41060</v>
      </c>
    </row>
    <row r="12291" spans="1:6" x14ac:dyDescent="0.25">
      <c r="A12291" s="1" t="s">
        <v>254</v>
      </c>
      <c r="B12291" s="1" t="s">
        <v>2518</v>
      </c>
      <c r="C12291" s="1" t="s">
        <v>10</v>
      </c>
      <c r="D12291" s="3">
        <f t="shared" si="1947"/>
        <v>6016</v>
      </c>
      <c r="E12291" s="2">
        <f t="shared" si="1948"/>
        <v>39203</v>
      </c>
      <c r="F12291" s="2">
        <f t="shared" si="1949"/>
        <v>41060</v>
      </c>
    </row>
    <row r="12292" spans="1:6" x14ac:dyDescent="0.25">
      <c r="A12292" s="1" t="s">
        <v>254</v>
      </c>
      <c r="B12292" s="1" t="s">
        <v>2518</v>
      </c>
      <c r="C12292" s="1" t="s">
        <v>11</v>
      </c>
      <c r="D12292" s="3">
        <f t="shared" si="1947"/>
        <v>6016</v>
      </c>
      <c r="E12292" s="2">
        <f t="shared" si="1948"/>
        <v>39203</v>
      </c>
      <c r="F12292" s="2">
        <f t="shared" si="1949"/>
        <v>41060</v>
      </c>
    </row>
    <row r="12293" spans="1:6" x14ac:dyDescent="0.25">
      <c r="A12293" s="1" t="s">
        <v>254</v>
      </c>
      <c r="B12293" s="1" t="s">
        <v>2518</v>
      </c>
      <c r="C12293" s="1" t="s">
        <v>12</v>
      </c>
      <c r="D12293" s="3">
        <f t="shared" si="1947"/>
        <v>6016</v>
      </c>
      <c r="E12293" s="2">
        <f t="shared" si="1948"/>
        <v>39203</v>
      </c>
      <c r="F12293" s="2">
        <f t="shared" si="1949"/>
        <v>41060</v>
      </c>
    </row>
    <row r="12294" spans="1:6" x14ac:dyDescent="0.25">
      <c r="A12294" s="1" t="s">
        <v>254</v>
      </c>
      <c r="B12294" s="1" t="s">
        <v>2518</v>
      </c>
      <c r="C12294" s="1" t="s">
        <v>83</v>
      </c>
      <c r="D12294" s="3">
        <f t="shared" si="1947"/>
        <v>6016</v>
      </c>
      <c r="E12294" s="2">
        <f t="shared" si="1948"/>
        <v>39203</v>
      </c>
      <c r="F12294" s="2">
        <f t="shared" si="1949"/>
        <v>41060</v>
      </c>
    </row>
    <row r="12295" spans="1:6" x14ac:dyDescent="0.25">
      <c r="A12295" s="1" t="s">
        <v>254</v>
      </c>
      <c r="B12295" s="1" t="s">
        <v>2518</v>
      </c>
      <c r="C12295" s="1" t="s">
        <v>43</v>
      </c>
      <c r="D12295" s="3">
        <f t="shared" si="1947"/>
        <v>6016</v>
      </c>
      <c r="E12295" s="2">
        <f t="shared" si="1948"/>
        <v>39203</v>
      </c>
      <c r="F12295" s="2">
        <f t="shared" si="1949"/>
        <v>41060</v>
      </c>
    </row>
    <row r="12296" spans="1:6" x14ac:dyDescent="0.25">
      <c r="A12296" s="1" t="s">
        <v>254</v>
      </c>
      <c r="B12296" s="1" t="s">
        <v>2518</v>
      </c>
      <c r="C12296" s="1" t="s">
        <v>1285</v>
      </c>
      <c r="D12296" s="3">
        <f t="shared" si="1947"/>
        <v>6016</v>
      </c>
      <c r="E12296" s="2">
        <f t="shared" si="1948"/>
        <v>39203</v>
      </c>
      <c r="F12296" s="2">
        <f t="shared" si="1949"/>
        <v>41060</v>
      </c>
    </row>
    <row r="12297" spans="1:6" x14ac:dyDescent="0.25">
      <c r="A12297" s="1" t="s">
        <v>254</v>
      </c>
      <c r="B12297" s="1" t="s">
        <v>2518</v>
      </c>
      <c r="C12297" s="1" t="s">
        <v>85</v>
      </c>
      <c r="D12297" s="3">
        <f t="shared" si="1947"/>
        <v>6016</v>
      </c>
      <c r="E12297" s="2">
        <f t="shared" si="1948"/>
        <v>39203</v>
      </c>
      <c r="F12297" s="2">
        <f t="shared" si="1949"/>
        <v>41060</v>
      </c>
    </row>
    <row r="12298" spans="1:6" x14ac:dyDescent="0.25">
      <c r="A12298" s="1" t="s">
        <v>254</v>
      </c>
      <c r="B12298" s="1" t="s">
        <v>2518</v>
      </c>
      <c r="C12298" s="1" t="s">
        <v>45</v>
      </c>
      <c r="D12298" s="3">
        <f t="shared" si="1947"/>
        <v>6016</v>
      </c>
      <c r="E12298" s="2">
        <f t="shared" si="1948"/>
        <v>39203</v>
      </c>
      <c r="F12298" s="2">
        <f t="shared" si="1949"/>
        <v>41060</v>
      </c>
    </row>
    <row r="12299" spans="1:6" x14ac:dyDescent="0.25">
      <c r="A12299" s="1" t="s">
        <v>254</v>
      </c>
      <c r="B12299" s="1" t="s">
        <v>2518</v>
      </c>
      <c r="C12299" s="1" t="s">
        <v>46</v>
      </c>
      <c r="D12299" s="3">
        <f t="shared" si="1947"/>
        <v>6016</v>
      </c>
      <c r="E12299" s="2">
        <f t="shared" si="1948"/>
        <v>39203</v>
      </c>
      <c r="F12299" s="2">
        <f t="shared" si="1949"/>
        <v>41060</v>
      </c>
    </row>
    <row r="12300" spans="1:6" x14ac:dyDescent="0.25">
      <c r="A12300" s="1" t="s">
        <v>254</v>
      </c>
      <c r="B12300" s="1" t="s">
        <v>2518</v>
      </c>
      <c r="C12300" s="1" t="s">
        <v>66</v>
      </c>
      <c r="D12300" s="3">
        <f t="shared" si="1947"/>
        <v>6016</v>
      </c>
      <c r="E12300" s="2">
        <f t="shared" si="1948"/>
        <v>39203</v>
      </c>
      <c r="F12300" s="2">
        <f t="shared" si="1949"/>
        <v>41060</v>
      </c>
    </row>
    <row r="12301" spans="1:6" x14ac:dyDescent="0.25">
      <c r="A12301" s="1" t="s">
        <v>254</v>
      </c>
      <c r="B12301" s="1" t="s">
        <v>2518</v>
      </c>
      <c r="C12301" s="1" t="s">
        <v>16</v>
      </c>
      <c r="D12301" s="3">
        <f t="shared" si="1947"/>
        <v>6016</v>
      </c>
      <c r="E12301" s="2">
        <f t="shared" si="1948"/>
        <v>39203</v>
      </c>
      <c r="F12301" s="2">
        <f t="shared" si="1949"/>
        <v>41060</v>
      </c>
    </row>
    <row r="12302" spans="1:6" x14ac:dyDescent="0.25">
      <c r="A12302" s="1" t="s">
        <v>254</v>
      </c>
      <c r="B12302" s="1" t="s">
        <v>2518</v>
      </c>
      <c r="C12302" s="1" t="s">
        <v>88</v>
      </c>
      <c r="D12302" s="3">
        <f t="shared" si="1947"/>
        <v>6016</v>
      </c>
      <c r="E12302" s="2">
        <f t="shared" si="1948"/>
        <v>39203</v>
      </c>
      <c r="F12302" s="2">
        <f t="shared" si="1949"/>
        <v>41060</v>
      </c>
    </row>
    <row r="12303" spans="1:6" x14ac:dyDescent="0.25">
      <c r="A12303" s="1" t="s">
        <v>254</v>
      </c>
      <c r="B12303" s="1" t="s">
        <v>2518</v>
      </c>
      <c r="C12303" s="1" t="s">
        <v>89</v>
      </c>
      <c r="D12303" s="3">
        <f t="shared" si="1947"/>
        <v>6016</v>
      </c>
      <c r="E12303" s="2">
        <f t="shared" si="1948"/>
        <v>39203</v>
      </c>
      <c r="F12303" s="2">
        <f t="shared" si="1949"/>
        <v>41060</v>
      </c>
    </row>
    <row r="12304" spans="1:6" x14ac:dyDescent="0.25">
      <c r="A12304" s="1" t="s">
        <v>254</v>
      </c>
      <c r="B12304" s="1" t="s">
        <v>2518</v>
      </c>
      <c r="C12304" s="1" t="s">
        <v>17</v>
      </c>
      <c r="D12304" s="3">
        <f t="shared" si="1947"/>
        <v>6016</v>
      </c>
      <c r="E12304" s="2">
        <f t="shared" si="1948"/>
        <v>39203</v>
      </c>
      <c r="F12304" s="2">
        <f t="shared" si="1949"/>
        <v>41060</v>
      </c>
    </row>
    <row r="12305" spans="1:6" x14ac:dyDescent="0.25">
      <c r="A12305" s="1" t="s">
        <v>254</v>
      </c>
      <c r="B12305" s="1" t="s">
        <v>2518</v>
      </c>
      <c r="C12305" s="1" t="s">
        <v>172</v>
      </c>
      <c r="D12305" s="3">
        <f t="shared" si="1947"/>
        <v>6016</v>
      </c>
      <c r="E12305" s="2">
        <f t="shared" si="1948"/>
        <v>39203</v>
      </c>
      <c r="F12305" s="2">
        <f t="shared" si="1949"/>
        <v>41060</v>
      </c>
    </row>
    <row r="12306" spans="1:6" x14ac:dyDescent="0.25">
      <c r="A12306" s="1" t="s">
        <v>254</v>
      </c>
      <c r="B12306" s="1" t="s">
        <v>2518</v>
      </c>
      <c r="C12306" s="1" t="s">
        <v>211</v>
      </c>
      <c r="D12306" s="3">
        <f t="shared" si="1947"/>
        <v>6016</v>
      </c>
      <c r="E12306" s="2">
        <f t="shared" si="1948"/>
        <v>39203</v>
      </c>
      <c r="F12306" s="2">
        <f t="shared" si="1949"/>
        <v>41060</v>
      </c>
    </row>
    <row r="12307" spans="1:6" x14ac:dyDescent="0.25">
      <c r="A12307" s="1" t="s">
        <v>254</v>
      </c>
      <c r="B12307" s="1" t="s">
        <v>2518</v>
      </c>
      <c r="C12307" s="1" t="s">
        <v>97</v>
      </c>
      <c r="D12307" s="3">
        <f t="shared" si="1947"/>
        <v>6016</v>
      </c>
      <c r="E12307" s="2">
        <f t="shared" si="1948"/>
        <v>39203</v>
      </c>
      <c r="F12307" s="2">
        <f t="shared" si="1949"/>
        <v>41060</v>
      </c>
    </row>
    <row r="12308" spans="1:6" x14ac:dyDescent="0.25">
      <c r="A12308" s="1" t="s">
        <v>254</v>
      </c>
      <c r="B12308" s="1" t="s">
        <v>2518</v>
      </c>
      <c r="C12308" s="1" t="s">
        <v>98</v>
      </c>
      <c r="D12308" s="3">
        <f t="shared" si="1947"/>
        <v>6016</v>
      </c>
      <c r="E12308" s="2">
        <f t="shared" si="1948"/>
        <v>39203</v>
      </c>
      <c r="F12308" s="2">
        <f t="shared" si="1949"/>
        <v>41060</v>
      </c>
    </row>
    <row r="12309" spans="1:6" x14ac:dyDescent="0.25">
      <c r="A12309" s="1" t="s">
        <v>254</v>
      </c>
      <c r="B12309" s="1" t="s">
        <v>2518</v>
      </c>
      <c r="C12309" s="1" t="s">
        <v>99</v>
      </c>
      <c r="D12309" s="3">
        <f t="shared" si="1947"/>
        <v>6016</v>
      </c>
      <c r="E12309" s="2">
        <f t="shared" si="1948"/>
        <v>39203</v>
      </c>
      <c r="F12309" s="2">
        <f t="shared" si="1949"/>
        <v>41060</v>
      </c>
    </row>
    <row r="12310" spans="1:6" x14ac:dyDescent="0.25">
      <c r="A12310" s="1" t="s">
        <v>254</v>
      </c>
      <c r="B12310" s="1" t="s">
        <v>2518</v>
      </c>
      <c r="C12310" s="1" t="s">
        <v>207</v>
      </c>
      <c r="D12310" s="3">
        <f t="shared" si="1947"/>
        <v>6016</v>
      </c>
      <c r="E12310" s="2">
        <f t="shared" si="1948"/>
        <v>39203</v>
      </c>
      <c r="F12310" s="2">
        <f t="shared" si="1949"/>
        <v>41060</v>
      </c>
    </row>
    <row r="12311" spans="1:6" x14ac:dyDescent="0.25">
      <c r="A12311" s="1" t="s">
        <v>254</v>
      </c>
      <c r="B12311" s="1" t="s">
        <v>2518</v>
      </c>
      <c r="C12311" s="1" t="s">
        <v>208</v>
      </c>
      <c r="D12311" s="3">
        <f t="shared" si="1947"/>
        <v>6016</v>
      </c>
      <c r="E12311" s="2">
        <f t="shared" si="1948"/>
        <v>39203</v>
      </c>
      <c r="F12311" s="2">
        <f t="shared" si="1949"/>
        <v>41060</v>
      </c>
    </row>
    <row r="12312" spans="1:6" x14ac:dyDescent="0.25">
      <c r="A12312" s="1" t="s">
        <v>254</v>
      </c>
      <c r="B12312" s="1" t="s">
        <v>2518</v>
      </c>
      <c r="C12312" s="1" t="s">
        <v>71</v>
      </c>
      <c r="D12312" s="3">
        <f t="shared" si="1947"/>
        <v>6016</v>
      </c>
      <c r="E12312" s="2">
        <f t="shared" si="1948"/>
        <v>39203</v>
      </c>
      <c r="F12312" s="2">
        <f t="shared" si="1949"/>
        <v>41060</v>
      </c>
    </row>
    <row r="12313" spans="1:6" x14ac:dyDescent="0.25">
      <c r="A12313" s="1" t="s">
        <v>254</v>
      </c>
      <c r="B12313" s="1" t="s">
        <v>2518</v>
      </c>
      <c r="C12313" s="1" t="s">
        <v>100</v>
      </c>
      <c r="D12313" s="3">
        <f t="shared" si="1947"/>
        <v>6016</v>
      </c>
      <c r="E12313" s="2">
        <f t="shared" si="1948"/>
        <v>39203</v>
      </c>
      <c r="F12313" s="2">
        <f t="shared" si="1949"/>
        <v>41060</v>
      </c>
    </row>
    <row r="12314" spans="1:6" x14ac:dyDescent="0.25">
      <c r="A12314" s="1" t="s">
        <v>254</v>
      </c>
      <c r="B12314" s="1" t="s">
        <v>2518</v>
      </c>
      <c r="C12314" s="1" t="s">
        <v>101</v>
      </c>
      <c r="D12314" s="3">
        <f t="shared" ref="D12314:D12330" si="1950">VALUE("6016")</f>
        <v>6016</v>
      </c>
      <c r="E12314" s="2">
        <f t="shared" ref="E12314:E12330" si="1951">DATEVALUE("1-5-2007")</f>
        <v>39203</v>
      </c>
      <c r="F12314" s="2">
        <f t="shared" ref="F12314:F12330" si="1952">DATEVALUE("31-5-2012")</f>
        <v>41060</v>
      </c>
    </row>
    <row r="12315" spans="1:6" x14ac:dyDescent="0.25">
      <c r="A12315" s="1" t="s">
        <v>254</v>
      </c>
      <c r="B12315" s="1" t="s">
        <v>2518</v>
      </c>
      <c r="C12315" s="1" t="s">
        <v>105</v>
      </c>
      <c r="D12315" s="3">
        <f t="shared" si="1950"/>
        <v>6016</v>
      </c>
      <c r="E12315" s="2">
        <f t="shared" si="1951"/>
        <v>39203</v>
      </c>
      <c r="F12315" s="2">
        <f t="shared" si="1952"/>
        <v>41060</v>
      </c>
    </row>
    <row r="12316" spans="1:6" x14ac:dyDescent="0.25">
      <c r="A12316" s="1" t="s">
        <v>254</v>
      </c>
      <c r="B12316" s="1" t="s">
        <v>2518</v>
      </c>
      <c r="C12316" s="1" t="s">
        <v>106</v>
      </c>
      <c r="D12316" s="3">
        <f t="shared" si="1950"/>
        <v>6016</v>
      </c>
      <c r="E12316" s="2">
        <f t="shared" si="1951"/>
        <v>39203</v>
      </c>
      <c r="F12316" s="2">
        <f t="shared" si="1952"/>
        <v>41060</v>
      </c>
    </row>
    <row r="12317" spans="1:6" x14ac:dyDescent="0.25">
      <c r="A12317" s="1" t="s">
        <v>254</v>
      </c>
      <c r="B12317" s="1" t="s">
        <v>2518</v>
      </c>
      <c r="C12317" s="1" t="s">
        <v>107</v>
      </c>
      <c r="D12317" s="3">
        <f t="shared" si="1950"/>
        <v>6016</v>
      </c>
      <c r="E12317" s="2">
        <f t="shared" si="1951"/>
        <v>39203</v>
      </c>
      <c r="F12317" s="2">
        <f t="shared" si="1952"/>
        <v>41060</v>
      </c>
    </row>
    <row r="12318" spans="1:6" x14ac:dyDescent="0.25">
      <c r="A12318" s="1" t="s">
        <v>254</v>
      </c>
      <c r="B12318" s="1" t="s">
        <v>2518</v>
      </c>
      <c r="C12318" s="1" t="s">
        <v>32</v>
      </c>
      <c r="D12318" s="3">
        <f t="shared" si="1950"/>
        <v>6016</v>
      </c>
      <c r="E12318" s="2">
        <f t="shared" si="1951"/>
        <v>39203</v>
      </c>
      <c r="F12318" s="2">
        <f t="shared" si="1952"/>
        <v>41060</v>
      </c>
    </row>
    <row r="12319" spans="1:6" x14ac:dyDescent="0.25">
      <c r="A12319" s="1" t="s">
        <v>254</v>
      </c>
      <c r="B12319" s="1" t="s">
        <v>2518</v>
      </c>
      <c r="C12319" s="1" t="s">
        <v>108</v>
      </c>
      <c r="D12319" s="3">
        <f t="shared" si="1950"/>
        <v>6016</v>
      </c>
      <c r="E12319" s="2">
        <f t="shared" si="1951"/>
        <v>39203</v>
      </c>
      <c r="F12319" s="2">
        <f t="shared" si="1952"/>
        <v>41060</v>
      </c>
    </row>
    <row r="12320" spans="1:6" x14ac:dyDescent="0.25">
      <c r="A12320" s="1" t="s">
        <v>254</v>
      </c>
      <c r="B12320" s="1" t="s">
        <v>2518</v>
      </c>
      <c r="C12320" s="1" t="s">
        <v>109</v>
      </c>
      <c r="D12320" s="3">
        <f t="shared" si="1950"/>
        <v>6016</v>
      </c>
      <c r="E12320" s="2">
        <f t="shared" si="1951"/>
        <v>39203</v>
      </c>
      <c r="F12320" s="2">
        <f t="shared" si="1952"/>
        <v>41060</v>
      </c>
    </row>
    <row r="12321" spans="1:6" x14ac:dyDescent="0.25">
      <c r="A12321" s="1" t="s">
        <v>254</v>
      </c>
      <c r="B12321" s="1" t="s">
        <v>2518</v>
      </c>
      <c r="C12321" s="1" t="s">
        <v>110</v>
      </c>
      <c r="D12321" s="3">
        <f t="shared" si="1950"/>
        <v>6016</v>
      </c>
      <c r="E12321" s="2">
        <f t="shared" si="1951"/>
        <v>39203</v>
      </c>
      <c r="F12321" s="2">
        <f t="shared" si="1952"/>
        <v>41060</v>
      </c>
    </row>
    <row r="12322" spans="1:6" x14ac:dyDescent="0.25">
      <c r="A12322" s="1" t="s">
        <v>254</v>
      </c>
      <c r="B12322" s="1" t="s">
        <v>2518</v>
      </c>
      <c r="C12322" s="1" t="s">
        <v>111</v>
      </c>
      <c r="D12322" s="3">
        <f t="shared" si="1950"/>
        <v>6016</v>
      </c>
      <c r="E12322" s="2">
        <f t="shared" si="1951"/>
        <v>39203</v>
      </c>
      <c r="F12322" s="2">
        <f t="shared" si="1952"/>
        <v>41060</v>
      </c>
    </row>
    <row r="12323" spans="1:6" x14ac:dyDescent="0.25">
      <c r="A12323" s="1" t="s">
        <v>254</v>
      </c>
      <c r="B12323" s="1" t="s">
        <v>2518</v>
      </c>
      <c r="C12323" s="1" t="s">
        <v>112</v>
      </c>
      <c r="D12323" s="3">
        <f t="shared" si="1950"/>
        <v>6016</v>
      </c>
      <c r="E12323" s="2">
        <f t="shared" si="1951"/>
        <v>39203</v>
      </c>
      <c r="F12323" s="2">
        <f t="shared" si="1952"/>
        <v>41060</v>
      </c>
    </row>
    <row r="12324" spans="1:6" x14ac:dyDescent="0.25">
      <c r="A12324" s="1" t="s">
        <v>254</v>
      </c>
      <c r="B12324" s="1" t="s">
        <v>2518</v>
      </c>
      <c r="C12324" s="1" t="s">
        <v>113</v>
      </c>
      <c r="D12324" s="3">
        <f t="shared" si="1950"/>
        <v>6016</v>
      </c>
      <c r="E12324" s="2">
        <f t="shared" si="1951"/>
        <v>39203</v>
      </c>
      <c r="F12324" s="2">
        <f t="shared" si="1952"/>
        <v>41060</v>
      </c>
    </row>
    <row r="12325" spans="1:6" x14ac:dyDescent="0.25">
      <c r="A12325" s="1" t="s">
        <v>254</v>
      </c>
      <c r="B12325" s="1" t="s">
        <v>2518</v>
      </c>
      <c r="C12325" s="1" t="s">
        <v>33</v>
      </c>
      <c r="D12325" s="3">
        <f t="shared" si="1950"/>
        <v>6016</v>
      </c>
      <c r="E12325" s="2">
        <f t="shared" si="1951"/>
        <v>39203</v>
      </c>
      <c r="F12325" s="2">
        <f t="shared" si="1952"/>
        <v>41060</v>
      </c>
    </row>
    <row r="12326" spans="1:6" x14ac:dyDescent="0.25">
      <c r="A12326" s="1" t="s">
        <v>254</v>
      </c>
      <c r="B12326" s="1" t="s">
        <v>2518</v>
      </c>
      <c r="C12326" s="1" t="s">
        <v>114</v>
      </c>
      <c r="D12326" s="3">
        <f t="shared" si="1950"/>
        <v>6016</v>
      </c>
      <c r="E12326" s="2">
        <f t="shared" si="1951"/>
        <v>39203</v>
      </c>
      <c r="F12326" s="2">
        <f t="shared" si="1952"/>
        <v>41060</v>
      </c>
    </row>
    <row r="12327" spans="1:6" x14ac:dyDescent="0.25">
      <c r="A12327" s="1" t="s">
        <v>254</v>
      </c>
      <c r="B12327" s="1" t="s">
        <v>2518</v>
      </c>
      <c r="C12327" s="1" t="s">
        <v>1697</v>
      </c>
      <c r="D12327" s="3">
        <f t="shared" si="1950"/>
        <v>6016</v>
      </c>
      <c r="E12327" s="2">
        <f t="shared" si="1951"/>
        <v>39203</v>
      </c>
      <c r="F12327" s="2">
        <f t="shared" si="1952"/>
        <v>41060</v>
      </c>
    </row>
    <row r="12328" spans="1:6" x14ac:dyDescent="0.25">
      <c r="A12328" s="1" t="s">
        <v>254</v>
      </c>
      <c r="B12328" s="1" t="s">
        <v>2518</v>
      </c>
      <c r="C12328" s="1" t="s">
        <v>116</v>
      </c>
      <c r="D12328" s="3">
        <f t="shared" si="1950"/>
        <v>6016</v>
      </c>
      <c r="E12328" s="2">
        <f t="shared" si="1951"/>
        <v>39203</v>
      </c>
      <c r="F12328" s="2">
        <f t="shared" si="1952"/>
        <v>41060</v>
      </c>
    </row>
    <row r="12329" spans="1:6" x14ac:dyDescent="0.25">
      <c r="A12329" s="1" t="s">
        <v>254</v>
      </c>
      <c r="B12329" s="1" t="s">
        <v>2518</v>
      </c>
      <c r="C12329" s="1" t="s">
        <v>57</v>
      </c>
      <c r="D12329" s="3">
        <f t="shared" si="1950"/>
        <v>6016</v>
      </c>
      <c r="E12329" s="2">
        <f t="shared" si="1951"/>
        <v>39203</v>
      </c>
      <c r="F12329" s="2">
        <f t="shared" si="1952"/>
        <v>41060</v>
      </c>
    </row>
    <row r="12330" spans="1:6" x14ac:dyDescent="0.25">
      <c r="A12330" s="1" t="s">
        <v>254</v>
      </c>
      <c r="B12330" s="1" t="s">
        <v>2518</v>
      </c>
      <c r="C12330" s="1" t="s">
        <v>36</v>
      </c>
      <c r="D12330" s="3">
        <f t="shared" si="1950"/>
        <v>6016</v>
      </c>
      <c r="E12330" s="2">
        <f t="shared" si="1951"/>
        <v>39203</v>
      </c>
      <c r="F12330" s="2">
        <f t="shared" si="1952"/>
        <v>41060</v>
      </c>
    </row>
    <row r="12331" spans="1:6" x14ac:dyDescent="0.25">
      <c r="A12331" s="1" t="s">
        <v>254</v>
      </c>
      <c r="B12331" s="1" t="s">
        <v>2517</v>
      </c>
      <c r="C12331" s="1" t="s">
        <v>85</v>
      </c>
      <c r="D12331" s="3">
        <f>VALUE("6015")</f>
        <v>6015</v>
      </c>
      <c r="E12331" s="2">
        <f>DATEVALUE("1-11-2006")</f>
        <v>39022</v>
      </c>
      <c r="F12331" s="2">
        <f>DATEVALUE("30-11-2012")</f>
        <v>41243</v>
      </c>
    </row>
    <row r="12332" spans="1:6" x14ac:dyDescent="0.25">
      <c r="A12332" s="1" t="s">
        <v>254</v>
      </c>
      <c r="B12332" s="1" t="s">
        <v>2517</v>
      </c>
      <c r="C12332" s="1" t="s">
        <v>45</v>
      </c>
      <c r="D12332" s="3">
        <f>VALUE("6015")</f>
        <v>6015</v>
      </c>
      <c r="E12332" s="2">
        <f>DATEVALUE("1-11-2006")</f>
        <v>39022</v>
      </c>
      <c r="F12332" s="2">
        <f>DATEVALUE("30-11-2012")</f>
        <v>41243</v>
      </c>
    </row>
    <row r="12333" spans="1:6" x14ac:dyDescent="0.25">
      <c r="A12333" s="1" t="s">
        <v>254</v>
      </c>
      <c r="B12333" s="1" t="s">
        <v>2517</v>
      </c>
      <c r="C12333" s="1" t="s">
        <v>172</v>
      </c>
      <c r="D12333" s="3">
        <f>VALUE("6015")</f>
        <v>6015</v>
      </c>
      <c r="E12333" s="2">
        <f>DATEVALUE("1-11-2006")</f>
        <v>39022</v>
      </c>
      <c r="F12333" s="2">
        <f>DATEVALUE("30-11-2012")</f>
        <v>41243</v>
      </c>
    </row>
    <row r="12334" spans="1:6" x14ac:dyDescent="0.25">
      <c r="A12334" s="1" t="s">
        <v>2262</v>
      </c>
      <c r="B12334" s="1" t="s">
        <v>2784</v>
      </c>
      <c r="C12334" s="1" t="s">
        <v>6</v>
      </c>
      <c r="D12334" s="3">
        <f t="shared" ref="D12334:D12357" si="1953">VALUE("8579")</f>
        <v>8579</v>
      </c>
      <c r="E12334" s="2">
        <f t="shared" ref="E12334:E12357" si="1954">DATEVALUE("1-9-2019")</f>
        <v>43709</v>
      </c>
      <c r="F12334" s="2">
        <f t="shared" ref="F12334:F12374" si="1955">DATEVALUE("31-12-2019")</f>
        <v>43830</v>
      </c>
    </row>
    <row r="12335" spans="1:6" x14ac:dyDescent="0.25">
      <c r="A12335" s="1" t="s">
        <v>2262</v>
      </c>
      <c r="B12335" s="1" t="s">
        <v>2784</v>
      </c>
      <c r="C12335" s="1" t="s">
        <v>43</v>
      </c>
      <c r="D12335" s="3">
        <f t="shared" si="1953"/>
        <v>8579</v>
      </c>
      <c r="E12335" s="2">
        <f t="shared" si="1954"/>
        <v>43709</v>
      </c>
      <c r="F12335" s="2">
        <f t="shared" si="1955"/>
        <v>43830</v>
      </c>
    </row>
    <row r="12336" spans="1:6" x14ac:dyDescent="0.25">
      <c r="A12336" s="1" t="s">
        <v>2262</v>
      </c>
      <c r="B12336" s="1" t="s">
        <v>2784</v>
      </c>
      <c r="C12336" s="1" t="s">
        <v>14</v>
      </c>
      <c r="D12336" s="3">
        <f t="shared" si="1953"/>
        <v>8579</v>
      </c>
      <c r="E12336" s="2">
        <f t="shared" si="1954"/>
        <v>43709</v>
      </c>
      <c r="F12336" s="2">
        <f t="shared" si="1955"/>
        <v>43830</v>
      </c>
    </row>
    <row r="12337" spans="1:6" x14ac:dyDescent="0.25">
      <c r="A12337" s="1" t="s">
        <v>2262</v>
      </c>
      <c r="B12337" s="1" t="s">
        <v>2784</v>
      </c>
      <c r="C12337" s="1" t="s">
        <v>66</v>
      </c>
      <c r="D12337" s="3">
        <f t="shared" si="1953"/>
        <v>8579</v>
      </c>
      <c r="E12337" s="2">
        <f t="shared" si="1954"/>
        <v>43709</v>
      </c>
      <c r="F12337" s="2">
        <f t="shared" si="1955"/>
        <v>43830</v>
      </c>
    </row>
    <row r="12338" spans="1:6" x14ac:dyDescent="0.25">
      <c r="A12338" s="1" t="s">
        <v>2262</v>
      </c>
      <c r="B12338" s="1" t="s">
        <v>2784</v>
      </c>
      <c r="C12338" s="1" t="s">
        <v>15</v>
      </c>
      <c r="D12338" s="3">
        <f t="shared" si="1953"/>
        <v>8579</v>
      </c>
      <c r="E12338" s="2">
        <f t="shared" si="1954"/>
        <v>43709</v>
      </c>
      <c r="F12338" s="2">
        <f t="shared" si="1955"/>
        <v>43830</v>
      </c>
    </row>
    <row r="12339" spans="1:6" x14ac:dyDescent="0.25">
      <c r="A12339" s="1" t="s">
        <v>2262</v>
      </c>
      <c r="B12339" s="1" t="s">
        <v>2784</v>
      </c>
      <c r="C12339" s="1" t="s">
        <v>88</v>
      </c>
      <c r="D12339" s="3">
        <f t="shared" si="1953"/>
        <v>8579</v>
      </c>
      <c r="E12339" s="2">
        <f t="shared" si="1954"/>
        <v>43709</v>
      </c>
      <c r="F12339" s="2">
        <f t="shared" si="1955"/>
        <v>43830</v>
      </c>
    </row>
    <row r="12340" spans="1:6" x14ac:dyDescent="0.25">
      <c r="A12340" s="1" t="s">
        <v>2262</v>
      </c>
      <c r="B12340" s="1" t="s">
        <v>2784</v>
      </c>
      <c r="C12340" s="1" t="s">
        <v>89</v>
      </c>
      <c r="D12340" s="3">
        <f t="shared" si="1953"/>
        <v>8579</v>
      </c>
      <c r="E12340" s="2">
        <f t="shared" si="1954"/>
        <v>43709</v>
      </c>
      <c r="F12340" s="2">
        <f t="shared" si="1955"/>
        <v>43830</v>
      </c>
    </row>
    <row r="12341" spans="1:6" x14ac:dyDescent="0.25">
      <c r="A12341" s="1" t="s">
        <v>2262</v>
      </c>
      <c r="B12341" s="1" t="s">
        <v>2784</v>
      </c>
      <c r="C12341" s="1" t="s">
        <v>17</v>
      </c>
      <c r="D12341" s="3">
        <f t="shared" si="1953"/>
        <v>8579</v>
      </c>
      <c r="E12341" s="2">
        <f t="shared" si="1954"/>
        <v>43709</v>
      </c>
      <c r="F12341" s="2">
        <f t="shared" si="1955"/>
        <v>43830</v>
      </c>
    </row>
    <row r="12342" spans="1:6" x14ac:dyDescent="0.25">
      <c r="A12342" s="1" t="s">
        <v>2262</v>
      </c>
      <c r="B12342" s="1" t="s">
        <v>2784</v>
      </c>
      <c r="C12342" s="1" t="s">
        <v>19</v>
      </c>
      <c r="D12342" s="3">
        <f t="shared" si="1953"/>
        <v>8579</v>
      </c>
      <c r="E12342" s="2">
        <f t="shared" si="1954"/>
        <v>43709</v>
      </c>
      <c r="F12342" s="2">
        <f t="shared" si="1955"/>
        <v>43830</v>
      </c>
    </row>
    <row r="12343" spans="1:6" x14ac:dyDescent="0.25">
      <c r="A12343" s="1" t="s">
        <v>2262</v>
      </c>
      <c r="B12343" s="1" t="s">
        <v>2784</v>
      </c>
      <c r="C12343" s="1" t="s">
        <v>193</v>
      </c>
      <c r="D12343" s="3">
        <f t="shared" si="1953"/>
        <v>8579</v>
      </c>
      <c r="E12343" s="2">
        <f t="shared" si="1954"/>
        <v>43709</v>
      </c>
      <c r="F12343" s="2">
        <f t="shared" si="1955"/>
        <v>43830</v>
      </c>
    </row>
    <row r="12344" spans="1:6" x14ac:dyDescent="0.25">
      <c r="A12344" s="1" t="s">
        <v>2262</v>
      </c>
      <c r="B12344" s="1" t="s">
        <v>2784</v>
      </c>
      <c r="C12344" s="1" t="s">
        <v>20</v>
      </c>
      <c r="D12344" s="3">
        <f t="shared" si="1953"/>
        <v>8579</v>
      </c>
      <c r="E12344" s="2">
        <f t="shared" si="1954"/>
        <v>43709</v>
      </c>
      <c r="F12344" s="2">
        <f t="shared" si="1955"/>
        <v>43830</v>
      </c>
    </row>
    <row r="12345" spans="1:6" x14ac:dyDescent="0.25">
      <c r="A12345" s="1" t="s">
        <v>2262</v>
      </c>
      <c r="B12345" s="1" t="s">
        <v>2784</v>
      </c>
      <c r="C12345" s="1" t="s">
        <v>22</v>
      </c>
      <c r="D12345" s="3">
        <f t="shared" si="1953"/>
        <v>8579</v>
      </c>
      <c r="E12345" s="2">
        <f t="shared" si="1954"/>
        <v>43709</v>
      </c>
      <c r="F12345" s="2">
        <f t="shared" si="1955"/>
        <v>43830</v>
      </c>
    </row>
    <row r="12346" spans="1:6" x14ac:dyDescent="0.25">
      <c r="A12346" s="1" t="s">
        <v>2262</v>
      </c>
      <c r="B12346" s="1" t="s">
        <v>2784</v>
      </c>
      <c r="C12346" s="1" t="s">
        <v>67</v>
      </c>
      <c r="D12346" s="3">
        <f t="shared" si="1953"/>
        <v>8579</v>
      </c>
      <c r="E12346" s="2">
        <f t="shared" si="1954"/>
        <v>43709</v>
      </c>
      <c r="F12346" s="2">
        <f t="shared" si="1955"/>
        <v>43830</v>
      </c>
    </row>
    <row r="12347" spans="1:6" x14ac:dyDescent="0.25">
      <c r="A12347" s="1" t="s">
        <v>2262</v>
      </c>
      <c r="B12347" s="1" t="s">
        <v>2784</v>
      </c>
      <c r="C12347" s="1" t="s">
        <v>155</v>
      </c>
      <c r="D12347" s="3">
        <f t="shared" si="1953"/>
        <v>8579</v>
      </c>
      <c r="E12347" s="2">
        <f t="shared" si="1954"/>
        <v>43709</v>
      </c>
      <c r="F12347" s="2">
        <f t="shared" si="1955"/>
        <v>43830</v>
      </c>
    </row>
    <row r="12348" spans="1:6" x14ac:dyDescent="0.25">
      <c r="A12348" s="1" t="s">
        <v>2262</v>
      </c>
      <c r="B12348" s="1" t="s">
        <v>2784</v>
      </c>
      <c r="C12348" s="1" t="s">
        <v>474</v>
      </c>
      <c r="D12348" s="3">
        <f t="shared" si="1953"/>
        <v>8579</v>
      </c>
      <c r="E12348" s="2">
        <f t="shared" si="1954"/>
        <v>43709</v>
      </c>
      <c r="F12348" s="2">
        <f t="shared" si="1955"/>
        <v>43830</v>
      </c>
    </row>
    <row r="12349" spans="1:6" x14ac:dyDescent="0.25">
      <c r="A12349" s="1" t="s">
        <v>2262</v>
      </c>
      <c r="B12349" s="1" t="s">
        <v>2784</v>
      </c>
      <c r="C12349" s="1" t="s">
        <v>475</v>
      </c>
      <c r="D12349" s="3">
        <f t="shared" si="1953"/>
        <v>8579</v>
      </c>
      <c r="E12349" s="2">
        <f t="shared" si="1954"/>
        <v>43709</v>
      </c>
      <c r="F12349" s="2">
        <f t="shared" si="1955"/>
        <v>43830</v>
      </c>
    </row>
    <row r="12350" spans="1:6" x14ac:dyDescent="0.25">
      <c r="A12350" s="1" t="s">
        <v>2262</v>
      </c>
      <c r="B12350" s="1" t="s">
        <v>2784</v>
      </c>
      <c r="C12350" s="1" t="s">
        <v>493</v>
      </c>
      <c r="D12350" s="3">
        <f t="shared" si="1953"/>
        <v>8579</v>
      </c>
      <c r="E12350" s="2">
        <f t="shared" si="1954"/>
        <v>43709</v>
      </c>
      <c r="F12350" s="2">
        <f t="shared" si="1955"/>
        <v>43830</v>
      </c>
    </row>
    <row r="12351" spans="1:6" x14ac:dyDescent="0.25">
      <c r="A12351" s="1" t="s">
        <v>2262</v>
      </c>
      <c r="B12351" s="1" t="s">
        <v>2784</v>
      </c>
      <c r="C12351" s="1" t="s">
        <v>52</v>
      </c>
      <c r="D12351" s="3">
        <f t="shared" si="1953"/>
        <v>8579</v>
      </c>
      <c r="E12351" s="2">
        <f t="shared" si="1954"/>
        <v>43709</v>
      </c>
      <c r="F12351" s="2">
        <f t="shared" si="1955"/>
        <v>43830</v>
      </c>
    </row>
    <row r="12352" spans="1:6" x14ac:dyDescent="0.25">
      <c r="A12352" s="1" t="s">
        <v>2262</v>
      </c>
      <c r="B12352" s="1" t="s">
        <v>2784</v>
      </c>
      <c r="C12352" s="1" t="s">
        <v>303</v>
      </c>
      <c r="D12352" s="3">
        <f t="shared" si="1953"/>
        <v>8579</v>
      </c>
      <c r="E12352" s="2">
        <f t="shared" si="1954"/>
        <v>43709</v>
      </c>
      <c r="F12352" s="2">
        <f t="shared" si="1955"/>
        <v>43830</v>
      </c>
    </row>
    <row r="12353" spans="1:6" x14ac:dyDescent="0.25">
      <c r="A12353" s="1" t="s">
        <v>2262</v>
      </c>
      <c r="B12353" s="1" t="s">
        <v>2784</v>
      </c>
      <c r="C12353" s="1" t="s">
        <v>160</v>
      </c>
      <c r="D12353" s="3">
        <f t="shared" si="1953"/>
        <v>8579</v>
      </c>
      <c r="E12353" s="2">
        <f t="shared" si="1954"/>
        <v>43709</v>
      </c>
      <c r="F12353" s="2">
        <f t="shared" si="1955"/>
        <v>43830</v>
      </c>
    </row>
    <row r="12354" spans="1:6" x14ac:dyDescent="0.25">
      <c r="A12354" s="1" t="s">
        <v>2262</v>
      </c>
      <c r="B12354" s="1" t="s">
        <v>2784</v>
      </c>
      <c r="C12354" s="1" t="s">
        <v>983</v>
      </c>
      <c r="D12354" s="3">
        <f t="shared" si="1953"/>
        <v>8579</v>
      </c>
      <c r="E12354" s="2">
        <f t="shared" si="1954"/>
        <v>43709</v>
      </c>
      <c r="F12354" s="2">
        <f t="shared" si="1955"/>
        <v>43830</v>
      </c>
    </row>
    <row r="12355" spans="1:6" x14ac:dyDescent="0.25">
      <c r="A12355" s="1" t="s">
        <v>2262</v>
      </c>
      <c r="B12355" s="1" t="s">
        <v>2784</v>
      </c>
      <c r="C12355" s="1" t="s">
        <v>395</v>
      </c>
      <c r="D12355" s="3">
        <f t="shared" si="1953"/>
        <v>8579</v>
      </c>
      <c r="E12355" s="2">
        <f t="shared" si="1954"/>
        <v>43709</v>
      </c>
      <c r="F12355" s="2">
        <f t="shared" si="1955"/>
        <v>43830</v>
      </c>
    </row>
    <row r="12356" spans="1:6" x14ac:dyDescent="0.25">
      <c r="A12356" s="1" t="s">
        <v>2262</v>
      </c>
      <c r="B12356" s="1" t="s">
        <v>2784</v>
      </c>
      <c r="C12356" s="1" t="s">
        <v>162</v>
      </c>
      <c r="D12356" s="3">
        <f t="shared" si="1953"/>
        <v>8579</v>
      </c>
      <c r="E12356" s="2">
        <f t="shared" si="1954"/>
        <v>43709</v>
      </c>
      <c r="F12356" s="2">
        <f t="shared" si="1955"/>
        <v>43830</v>
      </c>
    </row>
    <row r="12357" spans="1:6" x14ac:dyDescent="0.25">
      <c r="A12357" s="1" t="s">
        <v>2262</v>
      </c>
      <c r="B12357" s="1" t="s">
        <v>2784</v>
      </c>
      <c r="C12357" s="1" t="s">
        <v>34</v>
      </c>
      <c r="D12357" s="3">
        <f t="shared" si="1953"/>
        <v>8579</v>
      </c>
      <c r="E12357" s="2">
        <f t="shared" si="1954"/>
        <v>43709</v>
      </c>
      <c r="F12357" s="2">
        <f t="shared" si="1955"/>
        <v>43830</v>
      </c>
    </row>
    <row r="12358" spans="1:6" x14ac:dyDescent="0.25">
      <c r="A12358" s="1" t="s">
        <v>2262</v>
      </c>
      <c r="B12358" s="1" t="s">
        <v>2783</v>
      </c>
      <c r="C12358" s="1" t="s">
        <v>6</v>
      </c>
      <c r="D12358" s="3">
        <f t="shared" ref="D12358:D12374" si="1956">VALUE("8249")</f>
        <v>8249</v>
      </c>
      <c r="E12358" s="2">
        <f t="shared" ref="E12358:E12374" si="1957">DATEVALUE("1-3-2018")</f>
        <v>43160</v>
      </c>
      <c r="F12358" s="2">
        <f t="shared" si="1955"/>
        <v>43830</v>
      </c>
    </row>
    <row r="12359" spans="1:6" x14ac:dyDescent="0.25">
      <c r="A12359" s="1" t="s">
        <v>2262</v>
      </c>
      <c r="B12359" s="1" t="s">
        <v>2783</v>
      </c>
      <c r="C12359" s="1" t="s">
        <v>45</v>
      </c>
      <c r="D12359" s="3">
        <f t="shared" si="1956"/>
        <v>8249</v>
      </c>
      <c r="E12359" s="2">
        <f t="shared" si="1957"/>
        <v>43160</v>
      </c>
      <c r="F12359" s="2">
        <f t="shared" si="1955"/>
        <v>43830</v>
      </c>
    </row>
    <row r="12360" spans="1:6" x14ac:dyDescent="0.25">
      <c r="A12360" s="1" t="s">
        <v>2262</v>
      </c>
      <c r="B12360" s="1" t="s">
        <v>2783</v>
      </c>
      <c r="C12360" s="1" t="s">
        <v>44</v>
      </c>
      <c r="D12360" s="3">
        <f t="shared" si="1956"/>
        <v>8249</v>
      </c>
      <c r="E12360" s="2">
        <f t="shared" si="1957"/>
        <v>43160</v>
      </c>
      <c r="F12360" s="2">
        <f t="shared" si="1955"/>
        <v>43830</v>
      </c>
    </row>
    <row r="12361" spans="1:6" x14ac:dyDescent="0.25">
      <c r="A12361" s="1" t="s">
        <v>2262</v>
      </c>
      <c r="B12361" s="1" t="s">
        <v>2783</v>
      </c>
      <c r="C12361" s="1" t="s">
        <v>140</v>
      </c>
      <c r="D12361" s="3">
        <f t="shared" si="1956"/>
        <v>8249</v>
      </c>
      <c r="E12361" s="2">
        <f t="shared" si="1957"/>
        <v>43160</v>
      </c>
      <c r="F12361" s="2">
        <f t="shared" si="1955"/>
        <v>43830</v>
      </c>
    </row>
    <row r="12362" spans="1:6" x14ac:dyDescent="0.25">
      <c r="A12362" s="1" t="s">
        <v>2262</v>
      </c>
      <c r="B12362" s="1" t="s">
        <v>2783</v>
      </c>
      <c r="C12362" s="1" t="s">
        <v>141</v>
      </c>
      <c r="D12362" s="3">
        <f t="shared" si="1956"/>
        <v>8249</v>
      </c>
      <c r="E12362" s="2">
        <f t="shared" si="1957"/>
        <v>43160</v>
      </c>
      <c r="F12362" s="2">
        <f t="shared" si="1955"/>
        <v>43830</v>
      </c>
    </row>
    <row r="12363" spans="1:6" x14ac:dyDescent="0.25">
      <c r="A12363" s="1" t="s">
        <v>2262</v>
      </c>
      <c r="B12363" s="1" t="s">
        <v>2783</v>
      </c>
      <c r="C12363" s="1" t="s">
        <v>142</v>
      </c>
      <c r="D12363" s="3">
        <f t="shared" si="1956"/>
        <v>8249</v>
      </c>
      <c r="E12363" s="2">
        <f t="shared" si="1957"/>
        <v>43160</v>
      </c>
      <c r="F12363" s="2">
        <f t="shared" si="1955"/>
        <v>43830</v>
      </c>
    </row>
    <row r="12364" spans="1:6" x14ac:dyDescent="0.25">
      <c r="A12364" s="1" t="s">
        <v>2262</v>
      </c>
      <c r="B12364" s="1" t="s">
        <v>2783</v>
      </c>
      <c r="C12364" s="1" t="s">
        <v>14</v>
      </c>
      <c r="D12364" s="3">
        <f t="shared" si="1956"/>
        <v>8249</v>
      </c>
      <c r="E12364" s="2">
        <f t="shared" si="1957"/>
        <v>43160</v>
      </c>
      <c r="F12364" s="2">
        <f t="shared" si="1955"/>
        <v>43830</v>
      </c>
    </row>
    <row r="12365" spans="1:6" x14ac:dyDescent="0.25">
      <c r="A12365" s="1" t="s">
        <v>2262</v>
      </c>
      <c r="B12365" s="1" t="s">
        <v>2783</v>
      </c>
      <c r="C12365" s="1" t="s">
        <v>22</v>
      </c>
      <c r="D12365" s="3">
        <f t="shared" si="1956"/>
        <v>8249</v>
      </c>
      <c r="E12365" s="2">
        <f t="shared" si="1957"/>
        <v>43160</v>
      </c>
      <c r="F12365" s="2">
        <f t="shared" si="1955"/>
        <v>43830</v>
      </c>
    </row>
    <row r="12366" spans="1:6" x14ac:dyDescent="0.25">
      <c r="A12366" s="1" t="s">
        <v>2262</v>
      </c>
      <c r="B12366" s="1" t="s">
        <v>2783</v>
      </c>
      <c r="C12366" s="1" t="s">
        <v>222</v>
      </c>
      <c r="D12366" s="3">
        <f t="shared" si="1956"/>
        <v>8249</v>
      </c>
      <c r="E12366" s="2">
        <f t="shared" si="1957"/>
        <v>43160</v>
      </c>
      <c r="F12366" s="2">
        <f t="shared" si="1955"/>
        <v>43830</v>
      </c>
    </row>
    <row r="12367" spans="1:6" x14ac:dyDescent="0.25">
      <c r="A12367" s="1" t="s">
        <v>2262</v>
      </c>
      <c r="B12367" s="1" t="s">
        <v>2783</v>
      </c>
      <c r="C12367" s="1" t="s">
        <v>94</v>
      </c>
      <c r="D12367" s="3">
        <f t="shared" si="1956"/>
        <v>8249</v>
      </c>
      <c r="E12367" s="2">
        <f t="shared" si="1957"/>
        <v>43160</v>
      </c>
      <c r="F12367" s="2">
        <f t="shared" si="1955"/>
        <v>43830</v>
      </c>
    </row>
    <row r="12368" spans="1:6" x14ac:dyDescent="0.25">
      <c r="A12368" s="1" t="s">
        <v>2262</v>
      </c>
      <c r="B12368" s="1" t="s">
        <v>2783</v>
      </c>
      <c r="C12368" s="1" t="s">
        <v>240</v>
      </c>
      <c r="D12368" s="3">
        <f t="shared" si="1956"/>
        <v>8249</v>
      </c>
      <c r="E12368" s="2">
        <f t="shared" si="1957"/>
        <v>43160</v>
      </c>
      <c r="F12368" s="2">
        <f t="shared" si="1955"/>
        <v>43830</v>
      </c>
    </row>
    <row r="12369" spans="1:6" x14ac:dyDescent="0.25">
      <c r="A12369" s="1" t="s">
        <v>2262</v>
      </c>
      <c r="B12369" s="1" t="s">
        <v>2783</v>
      </c>
      <c r="C12369" s="1" t="s">
        <v>453</v>
      </c>
      <c r="D12369" s="3">
        <f t="shared" si="1956"/>
        <v>8249</v>
      </c>
      <c r="E12369" s="2">
        <f t="shared" si="1957"/>
        <v>43160</v>
      </c>
      <c r="F12369" s="2">
        <f t="shared" si="1955"/>
        <v>43830</v>
      </c>
    </row>
    <row r="12370" spans="1:6" x14ac:dyDescent="0.25">
      <c r="A12370" s="1" t="s">
        <v>2262</v>
      </c>
      <c r="B12370" s="1" t="s">
        <v>2783</v>
      </c>
      <c r="C12370" s="1" t="s">
        <v>160</v>
      </c>
      <c r="D12370" s="3">
        <f t="shared" si="1956"/>
        <v>8249</v>
      </c>
      <c r="E12370" s="2">
        <f t="shared" si="1957"/>
        <v>43160</v>
      </c>
      <c r="F12370" s="2">
        <f t="shared" si="1955"/>
        <v>43830</v>
      </c>
    </row>
    <row r="12371" spans="1:6" x14ac:dyDescent="0.25">
      <c r="A12371" s="1" t="s">
        <v>2262</v>
      </c>
      <c r="B12371" s="1" t="s">
        <v>2783</v>
      </c>
      <c r="C12371" s="1" t="s">
        <v>34</v>
      </c>
      <c r="D12371" s="3">
        <f t="shared" si="1956"/>
        <v>8249</v>
      </c>
      <c r="E12371" s="2">
        <f t="shared" si="1957"/>
        <v>43160</v>
      </c>
      <c r="F12371" s="2">
        <f t="shared" si="1955"/>
        <v>43830</v>
      </c>
    </row>
    <row r="12372" spans="1:6" x14ac:dyDescent="0.25">
      <c r="A12372" s="1" t="s">
        <v>2262</v>
      </c>
      <c r="B12372" s="1" t="s">
        <v>2783</v>
      </c>
      <c r="C12372" s="1" t="s">
        <v>310</v>
      </c>
      <c r="D12372" s="3">
        <f t="shared" si="1956"/>
        <v>8249</v>
      </c>
      <c r="E12372" s="2">
        <f t="shared" si="1957"/>
        <v>43160</v>
      </c>
      <c r="F12372" s="2">
        <f t="shared" si="1955"/>
        <v>43830</v>
      </c>
    </row>
    <row r="12373" spans="1:6" x14ac:dyDescent="0.25">
      <c r="A12373" s="1" t="s">
        <v>2262</v>
      </c>
      <c r="B12373" s="1" t="s">
        <v>2783</v>
      </c>
      <c r="C12373" s="1" t="s">
        <v>1483</v>
      </c>
      <c r="D12373" s="3">
        <f t="shared" si="1956"/>
        <v>8249</v>
      </c>
      <c r="E12373" s="2">
        <f t="shared" si="1957"/>
        <v>43160</v>
      </c>
      <c r="F12373" s="2">
        <f t="shared" si="1955"/>
        <v>43830</v>
      </c>
    </row>
    <row r="12374" spans="1:6" x14ac:dyDescent="0.25">
      <c r="A12374" s="1" t="s">
        <v>2262</v>
      </c>
      <c r="B12374" s="1" t="s">
        <v>2783</v>
      </c>
      <c r="C12374" s="1" t="s">
        <v>170</v>
      </c>
      <c r="D12374" s="3">
        <f t="shared" si="1956"/>
        <v>8249</v>
      </c>
      <c r="E12374" s="2">
        <f t="shared" si="1957"/>
        <v>43160</v>
      </c>
      <c r="F12374" s="2">
        <f t="shared" si="1955"/>
        <v>43830</v>
      </c>
    </row>
    <row r="12375" spans="1:6" x14ac:dyDescent="0.25">
      <c r="A12375" s="1" t="s">
        <v>2262</v>
      </c>
      <c r="B12375" s="1" t="s">
        <v>2332</v>
      </c>
      <c r="C12375" s="1" t="s">
        <v>197</v>
      </c>
      <c r="D12375" s="3">
        <f>VALUE("8180")</f>
        <v>8180</v>
      </c>
      <c r="E12375" s="2">
        <f>DATEVALUE("1-12-2017")</f>
        <v>43070</v>
      </c>
      <c r="F12375" s="2">
        <f>DATEVALUE("31-8-2018")</f>
        <v>43343</v>
      </c>
    </row>
    <row r="12376" spans="1:6" x14ac:dyDescent="0.25">
      <c r="A12376" s="1" t="s">
        <v>2262</v>
      </c>
      <c r="B12376" s="1" t="s">
        <v>2489</v>
      </c>
      <c r="C12376" s="1" t="s">
        <v>6</v>
      </c>
      <c r="D12376" s="3">
        <f t="shared" ref="D12376:D12383" si="1958">VALUE("8126")</f>
        <v>8126</v>
      </c>
      <c r="E12376" s="2">
        <f t="shared" ref="E12376:E12383" si="1959">DATEVALUE("1-9-2017")</f>
        <v>42979</v>
      </c>
      <c r="F12376" s="2">
        <f t="shared" ref="F12376:F12383" si="1960">DATEVALUE("31-12-2019")</f>
        <v>43830</v>
      </c>
    </row>
    <row r="12377" spans="1:6" x14ac:dyDescent="0.25">
      <c r="A12377" s="1" t="s">
        <v>2262</v>
      </c>
      <c r="B12377" s="1" t="s">
        <v>2489</v>
      </c>
      <c r="C12377" s="1" t="s">
        <v>45</v>
      </c>
      <c r="D12377" s="3">
        <f t="shared" si="1958"/>
        <v>8126</v>
      </c>
      <c r="E12377" s="2">
        <f t="shared" si="1959"/>
        <v>42979</v>
      </c>
      <c r="F12377" s="2">
        <f t="shared" si="1960"/>
        <v>43830</v>
      </c>
    </row>
    <row r="12378" spans="1:6" x14ac:dyDescent="0.25">
      <c r="A12378" s="1" t="s">
        <v>2262</v>
      </c>
      <c r="B12378" s="1" t="s">
        <v>2489</v>
      </c>
      <c r="C12378" s="1" t="s">
        <v>14</v>
      </c>
      <c r="D12378" s="3">
        <f t="shared" si="1958"/>
        <v>8126</v>
      </c>
      <c r="E12378" s="2">
        <f t="shared" si="1959"/>
        <v>42979</v>
      </c>
      <c r="F12378" s="2">
        <f t="shared" si="1960"/>
        <v>43830</v>
      </c>
    </row>
    <row r="12379" spans="1:6" x14ac:dyDescent="0.25">
      <c r="A12379" s="1" t="s">
        <v>2262</v>
      </c>
      <c r="B12379" s="1" t="s">
        <v>2489</v>
      </c>
      <c r="C12379" s="1" t="s">
        <v>259</v>
      </c>
      <c r="D12379" s="3">
        <f t="shared" si="1958"/>
        <v>8126</v>
      </c>
      <c r="E12379" s="2">
        <f t="shared" si="1959"/>
        <v>42979</v>
      </c>
      <c r="F12379" s="2">
        <f t="shared" si="1960"/>
        <v>43830</v>
      </c>
    </row>
    <row r="12380" spans="1:6" x14ac:dyDescent="0.25">
      <c r="A12380" s="1" t="s">
        <v>2262</v>
      </c>
      <c r="B12380" s="1" t="s">
        <v>2489</v>
      </c>
      <c r="C12380" s="1" t="s">
        <v>260</v>
      </c>
      <c r="D12380" s="3">
        <f t="shared" si="1958"/>
        <v>8126</v>
      </c>
      <c r="E12380" s="2">
        <f t="shared" si="1959"/>
        <v>42979</v>
      </c>
      <c r="F12380" s="2">
        <f t="shared" si="1960"/>
        <v>43830</v>
      </c>
    </row>
    <row r="12381" spans="1:6" x14ac:dyDescent="0.25">
      <c r="A12381" s="1" t="s">
        <v>2262</v>
      </c>
      <c r="B12381" s="1" t="s">
        <v>2489</v>
      </c>
      <c r="C12381" s="1" t="s">
        <v>261</v>
      </c>
      <c r="D12381" s="3">
        <f t="shared" si="1958"/>
        <v>8126</v>
      </c>
      <c r="E12381" s="2">
        <f t="shared" si="1959"/>
        <v>42979</v>
      </c>
      <c r="F12381" s="2">
        <f t="shared" si="1960"/>
        <v>43830</v>
      </c>
    </row>
    <row r="12382" spans="1:6" x14ac:dyDescent="0.25">
      <c r="A12382" s="1" t="s">
        <v>2262</v>
      </c>
      <c r="B12382" s="1" t="s">
        <v>2489</v>
      </c>
      <c r="C12382" s="1" t="s">
        <v>652</v>
      </c>
      <c r="D12382" s="3">
        <f t="shared" si="1958"/>
        <v>8126</v>
      </c>
      <c r="E12382" s="2">
        <f t="shared" si="1959"/>
        <v>42979</v>
      </c>
      <c r="F12382" s="2">
        <f t="shared" si="1960"/>
        <v>43830</v>
      </c>
    </row>
    <row r="12383" spans="1:6" x14ac:dyDescent="0.25">
      <c r="A12383" s="1" t="s">
        <v>2262</v>
      </c>
      <c r="B12383" s="1" t="s">
        <v>2489</v>
      </c>
      <c r="C12383" s="1" t="s">
        <v>34</v>
      </c>
      <c r="D12383" s="3">
        <f t="shared" si="1958"/>
        <v>8126</v>
      </c>
      <c r="E12383" s="2">
        <f t="shared" si="1959"/>
        <v>42979</v>
      </c>
      <c r="F12383" s="2">
        <f t="shared" si="1960"/>
        <v>43830</v>
      </c>
    </row>
    <row r="12384" spans="1:6" x14ac:dyDescent="0.25">
      <c r="A12384" s="1" t="s">
        <v>2262</v>
      </c>
      <c r="B12384" s="1" t="s">
        <v>2261</v>
      </c>
      <c r="C12384" s="1" t="s">
        <v>43</v>
      </c>
      <c r="D12384" s="3">
        <f t="shared" ref="D12384:D12401" si="1961">VALUE("7991")</f>
        <v>7991</v>
      </c>
      <c r="E12384" s="2">
        <f t="shared" ref="E12384:E12401" si="1962">DATEVALUE("1-1-2017")</f>
        <v>42736</v>
      </c>
      <c r="F12384" s="2">
        <f t="shared" ref="F12384:F12401" si="1963">DATEVALUE("31-1-2018")</f>
        <v>43131</v>
      </c>
    </row>
    <row r="12385" spans="1:6" x14ac:dyDescent="0.25">
      <c r="A12385" s="1" t="s">
        <v>2262</v>
      </c>
      <c r="B12385" s="1" t="s">
        <v>2261</v>
      </c>
      <c r="C12385" s="1" t="s">
        <v>484</v>
      </c>
      <c r="D12385" s="3">
        <f t="shared" si="1961"/>
        <v>7991</v>
      </c>
      <c r="E12385" s="2">
        <f t="shared" si="1962"/>
        <v>42736</v>
      </c>
      <c r="F12385" s="2">
        <f t="shared" si="1963"/>
        <v>43131</v>
      </c>
    </row>
    <row r="12386" spans="1:6" x14ac:dyDescent="0.25">
      <c r="A12386" s="1" t="s">
        <v>2262</v>
      </c>
      <c r="B12386" s="1" t="s">
        <v>2261</v>
      </c>
      <c r="C12386" s="1" t="s">
        <v>346</v>
      </c>
      <c r="D12386" s="3">
        <f t="shared" si="1961"/>
        <v>7991</v>
      </c>
      <c r="E12386" s="2">
        <f t="shared" si="1962"/>
        <v>42736</v>
      </c>
      <c r="F12386" s="2">
        <f t="shared" si="1963"/>
        <v>43131</v>
      </c>
    </row>
    <row r="12387" spans="1:6" x14ac:dyDescent="0.25">
      <c r="A12387" s="1" t="s">
        <v>2262</v>
      </c>
      <c r="B12387" s="1" t="s">
        <v>2261</v>
      </c>
      <c r="C12387" s="1" t="s">
        <v>45</v>
      </c>
      <c r="D12387" s="3">
        <f t="shared" si="1961"/>
        <v>7991</v>
      </c>
      <c r="E12387" s="2">
        <f t="shared" si="1962"/>
        <v>42736</v>
      </c>
      <c r="F12387" s="2">
        <f t="shared" si="1963"/>
        <v>43131</v>
      </c>
    </row>
    <row r="12388" spans="1:6" x14ac:dyDescent="0.25">
      <c r="A12388" s="1" t="s">
        <v>2262</v>
      </c>
      <c r="B12388" s="1" t="s">
        <v>2261</v>
      </c>
      <c r="C12388" s="1" t="s">
        <v>14</v>
      </c>
      <c r="D12388" s="3">
        <f t="shared" si="1961"/>
        <v>7991</v>
      </c>
      <c r="E12388" s="2">
        <f t="shared" si="1962"/>
        <v>42736</v>
      </c>
      <c r="F12388" s="2">
        <f t="shared" si="1963"/>
        <v>43131</v>
      </c>
    </row>
    <row r="12389" spans="1:6" x14ac:dyDescent="0.25">
      <c r="A12389" s="1" t="s">
        <v>2262</v>
      </c>
      <c r="B12389" s="1" t="s">
        <v>2261</v>
      </c>
      <c r="C12389" s="1" t="s">
        <v>22</v>
      </c>
      <c r="D12389" s="3">
        <f t="shared" si="1961"/>
        <v>7991</v>
      </c>
      <c r="E12389" s="2">
        <f t="shared" si="1962"/>
        <v>42736</v>
      </c>
      <c r="F12389" s="2">
        <f t="shared" si="1963"/>
        <v>43131</v>
      </c>
    </row>
    <row r="12390" spans="1:6" x14ac:dyDescent="0.25">
      <c r="A12390" s="1" t="s">
        <v>2262</v>
      </c>
      <c r="B12390" s="1" t="s">
        <v>2261</v>
      </c>
      <c r="C12390" s="1" t="s">
        <v>146</v>
      </c>
      <c r="D12390" s="3">
        <f t="shared" si="1961"/>
        <v>7991</v>
      </c>
      <c r="E12390" s="2">
        <f t="shared" si="1962"/>
        <v>42736</v>
      </c>
      <c r="F12390" s="2">
        <f t="shared" si="1963"/>
        <v>43131</v>
      </c>
    </row>
    <row r="12391" spans="1:6" x14ac:dyDescent="0.25">
      <c r="A12391" s="1" t="s">
        <v>2262</v>
      </c>
      <c r="B12391" s="1" t="s">
        <v>2261</v>
      </c>
      <c r="C12391" s="1" t="s">
        <v>148</v>
      </c>
      <c r="D12391" s="3">
        <f t="shared" si="1961"/>
        <v>7991</v>
      </c>
      <c r="E12391" s="2">
        <f t="shared" si="1962"/>
        <v>42736</v>
      </c>
      <c r="F12391" s="2">
        <f t="shared" si="1963"/>
        <v>43131</v>
      </c>
    </row>
    <row r="12392" spans="1:6" x14ac:dyDescent="0.25">
      <c r="A12392" s="1" t="s">
        <v>2262</v>
      </c>
      <c r="B12392" s="1" t="s">
        <v>2261</v>
      </c>
      <c r="C12392" s="1" t="s">
        <v>150</v>
      </c>
      <c r="D12392" s="3">
        <f t="shared" si="1961"/>
        <v>7991</v>
      </c>
      <c r="E12392" s="2">
        <f t="shared" si="1962"/>
        <v>42736</v>
      </c>
      <c r="F12392" s="2">
        <f t="shared" si="1963"/>
        <v>43131</v>
      </c>
    </row>
    <row r="12393" spans="1:6" x14ac:dyDescent="0.25">
      <c r="A12393" s="1" t="s">
        <v>2262</v>
      </c>
      <c r="B12393" s="1" t="s">
        <v>2261</v>
      </c>
      <c r="C12393" s="1" t="s">
        <v>94</v>
      </c>
      <c r="D12393" s="3">
        <f t="shared" si="1961"/>
        <v>7991</v>
      </c>
      <c r="E12393" s="2">
        <f t="shared" si="1962"/>
        <v>42736</v>
      </c>
      <c r="F12393" s="2">
        <f t="shared" si="1963"/>
        <v>43131</v>
      </c>
    </row>
    <row r="12394" spans="1:6" x14ac:dyDescent="0.25">
      <c r="A12394" s="1" t="s">
        <v>2262</v>
      </c>
      <c r="B12394" s="1" t="s">
        <v>2261</v>
      </c>
      <c r="C12394" s="1" t="s">
        <v>515</v>
      </c>
      <c r="D12394" s="3">
        <f t="shared" si="1961"/>
        <v>7991</v>
      </c>
      <c r="E12394" s="2">
        <f t="shared" si="1962"/>
        <v>42736</v>
      </c>
      <c r="F12394" s="2">
        <f t="shared" si="1963"/>
        <v>43131</v>
      </c>
    </row>
    <row r="12395" spans="1:6" x14ac:dyDescent="0.25">
      <c r="A12395" s="1" t="s">
        <v>2262</v>
      </c>
      <c r="B12395" s="1" t="s">
        <v>2261</v>
      </c>
      <c r="C12395" s="1" t="s">
        <v>391</v>
      </c>
      <c r="D12395" s="3">
        <f t="shared" si="1961"/>
        <v>7991</v>
      </c>
      <c r="E12395" s="2">
        <f t="shared" si="1962"/>
        <v>42736</v>
      </c>
      <c r="F12395" s="2">
        <f t="shared" si="1963"/>
        <v>43131</v>
      </c>
    </row>
    <row r="12396" spans="1:6" x14ac:dyDescent="0.25">
      <c r="A12396" s="1" t="s">
        <v>2262</v>
      </c>
      <c r="B12396" s="1" t="s">
        <v>2261</v>
      </c>
      <c r="C12396" s="1" t="s">
        <v>652</v>
      </c>
      <c r="D12396" s="3">
        <f t="shared" si="1961"/>
        <v>7991</v>
      </c>
      <c r="E12396" s="2">
        <f t="shared" si="1962"/>
        <v>42736</v>
      </c>
      <c r="F12396" s="2">
        <f t="shared" si="1963"/>
        <v>43131</v>
      </c>
    </row>
    <row r="12397" spans="1:6" x14ac:dyDescent="0.25">
      <c r="A12397" s="1" t="s">
        <v>2262</v>
      </c>
      <c r="B12397" s="1" t="s">
        <v>2261</v>
      </c>
      <c r="C12397" s="1" t="s">
        <v>160</v>
      </c>
      <c r="D12397" s="3">
        <f t="shared" si="1961"/>
        <v>7991</v>
      </c>
      <c r="E12397" s="2">
        <f t="shared" si="1962"/>
        <v>42736</v>
      </c>
      <c r="F12397" s="2">
        <f t="shared" si="1963"/>
        <v>43131</v>
      </c>
    </row>
    <row r="12398" spans="1:6" x14ac:dyDescent="0.25">
      <c r="A12398" s="1" t="s">
        <v>2262</v>
      </c>
      <c r="B12398" s="1" t="s">
        <v>2261</v>
      </c>
      <c r="C12398" s="1" t="s">
        <v>53</v>
      </c>
      <c r="D12398" s="3">
        <f t="shared" si="1961"/>
        <v>7991</v>
      </c>
      <c r="E12398" s="2">
        <f t="shared" si="1962"/>
        <v>42736</v>
      </c>
      <c r="F12398" s="2">
        <f t="shared" si="1963"/>
        <v>43131</v>
      </c>
    </row>
    <row r="12399" spans="1:6" x14ac:dyDescent="0.25">
      <c r="A12399" s="1" t="s">
        <v>2262</v>
      </c>
      <c r="B12399" s="1" t="s">
        <v>2261</v>
      </c>
      <c r="C12399" s="1" t="s">
        <v>34</v>
      </c>
      <c r="D12399" s="3">
        <f t="shared" si="1961"/>
        <v>7991</v>
      </c>
      <c r="E12399" s="2">
        <f t="shared" si="1962"/>
        <v>42736</v>
      </c>
      <c r="F12399" s="2">
        <f t="shared" si="1963"/>
        <v>43131</v>
      </c>
    </row>
    <row r="12400" spans="1:6" x14ac:dyDescent="0.25">
      <c r="A12400" s="1" t="s">
        <v>2262</v>
      </c>
      <c r="B12400" s="1" t="s">
        <v>2261</v>
      </c>
      <c r="C12400" s="1" t="s">
        <v>169</v>
      </c>
      <c r="D12400" s="3">
        <f t="shared" si="1961"/>
        <v>7991</v>
      </c>
      <c r="E12400" s="2">
        <f t="shared" si="1962"/>
        <v>42736</v>
      </c>
      <c r="F12400" s="2">
        <f t="shared" si="1963"/>
        <v>43131</v>
      </c>
    </row>
    <row r="12401" spans="1:6" x14ac:dyDescent="0.25">
      <c r="A12401" s="1" t="s">
        <v>2262</v>
      </c>
      <c r="B12401" s="1" t="s">
        <v>2261</v>
      </c>
      <c r="C12401" s="1" t="s">
        <v>170</v>
      </c>
      <c r="D12401" s="3">
        <f t="shared" si="1961"/>
        <v>7991</v>
      </c>
      <c r="E12401" s="2">
        <f t="shared" si="1962"/>
        <v>42736</v>
      </c>
      <c r="F12401" s="2">
        <f t="shared" si="1963"/>
        <v>43131</v>
      </c>
    </row>
    <row r="12402" spans="1:6" x14ac:dyDescent="0.25">
      <c r="A12402" s="1" t="s">
        <v>1435</v>
      </c>
      <c r="B12402" s="1" t="s">
        <v>1434</v>
      </c>
      <c r="C12402" s="1" t="s">
        <v>85</v>
      </c>
      <c r="D12402" s="3">
        <f t="shared" ref="D12402:D12412" si="1964">VALUE("8650")</f>
        <v>8650</v>
      </c>
      <c r="E12402" s="2">
        <f t="shared" ref="E12402:E12412" si="1965">DATEVALUE("1-3-2020")</f>
        <v>43891</v>
      </c>
      <c r="F12402" s="2">
        <f t="shared" ref="F12402:F12412" si="1966">DATEVALUE("28-2-2021")</f>
        <v>44255</v>
      </c>
    </row>
    <row r="12403" spans="1:6" x14ac:dyDescent="0.25">
      <c r="A12403" s="1" t="s">
        <v>1435</v>
      </c>
      <c r="B12403" s="1" t="s">
        <v>1434</v>
      </c>
      <c r="C12403" s="1" t="s">
        <v>84</v>
      </c>
      <c r="D12403" s="3">
        <f t="shared" si="1964"/>
        <v>8650</v>
      </c>
      <c r="E12403" s="2">
        <f t="shared" si="1965"/>
        <v>43891</v>
      </c>
      <c r="F12403" s="2">
        <f t="shared" si="1966"/>
        <v>44255</v>
      </c>
    </row>
    <row r="12404" spans="1:6" x14ac:dyDescent="0.25">
      <c r="A12404" s="1" t="s">
        <v>1435</v>
      </c>
      <c r="B12404" s="1" t="s">
        <v>1434</v>
      </c>
      <c r="C12404" s="1" t="s">
        <v>15</v>
      </c>
      <c r="D12404" s="3">
        <f t="shared" si="1964"/>
        <v>8650</v>
      </c>
      <c r="E12404" s="2">
        <f t="shared" si="1965"/>
        <v>43891</v>
      </c>
      <c r="F12404" s="2">
        <f t="shared" si="1966"/>
        <v>44255</v>
      </c>
    </row>
    <row r="12405" spans="1:6" x14ac:dyDescent="0.25">
      <c r="A12405" s="1" t="s">
        <v>1435</v>
      </c>
      <c r="B12405" s="1" t="s">
        <v>1434</v>
      </c>
      <c r="C12405" s="1" t="s">
        <v>17</v>
      </c>
      <c r="D12405" s="3">
        <f t="shared" si="1964"/>
        <v>8650</v>
      </c>
      <c r="E12405" s="2">
        <f t="shared" si="1965"/>
        <v>43891</v>
      </c>
      <c r="F12405" s="2">
        <f t="shared" si="1966"/>
        <v>44255</v>
      </c>
    </row>
    <row r="12406" spans="1:6" x14ac:dyDescent="0.25">
      <c r="A12406" s="1" t="s">
        <v>1435</v>
      </c>
      <c r="B12406" s="1" t="s">
        <v>1434</v>
      </c>
      <c r="C12406" s="1" t="s">
        <v>257</v>
      </c>
      <c r="D12406" s="3">
        <f t="shared" si="1964"/>
        <v>8650</v>
      </c>
      <c r="E12406" s="2">
        <f t="shared" si="1965"/>
        <v>43891</v>
      </c>
      <c r="F12406" s="2">
        <f t="shared" si="1966"/>
        <v>44255</v>
      </c>
    </row>
    <row r="12407" spans="1:6" x14ac:dyDescent="0.25">
      <c r="A12407" s="1" t="s">
        <v>1435</v>
      </c>
      <c r="B12407" s="1" t="s">
        <v>1434</v>
      </c>
      <c r="C12407" s="1" t="s">
        <v>22</v>
      </c>
      <c r="D12407" s="3">
        <f t="shared" si="1964"/>
        <v>8650</v>
      </c>
      <c r="E12407" s="2">
        <f t="shared" si="1965"/>
        <v>43891</v>
      </c>
      <c r="F12407" s="2">
        <f t="shared" si="1966"/>
        <v>44255</v>
      </c>
    </row>
    <row r="12408" spans="1:6" x14ac:dyDescent="0.25">
      <c r="A12408" s="1" t="s">
        <v>1435</v>
      </c>
      <c r="B12408" s="1" t="s">
        <v>1434</v>
      </c>
      <c r="C12408" s="1" t="s">
        <v>146</v>
      </c>
      <c r="D12408" s="3">
        <f t="shared" si="1964"/>
        <v>8650</v>
      </c>
      <c r="E12408" s="2">
        <f t="shared" si="1965"/>
        <v>43891</v>
      </c>
      <c r="F12408" s="2">
        <f t="shared" si="1966"/>
        <v>44255</v>
      </c>
    </row>
    <row r="12409" spans="1:6" x14ac:dyDescent="0.25">
      <c r="A12409" s="1" t="s">
        <v>1435</v>
      </c>
      <c r="B12409" s="1" t="s">
        <v>1434</v>
      </c>
      <c r="C12409" s="1" t="s">
        <v>67</v>
      </c>
      <c r="D12409" s="3">
        <f t="shared" si="1964"/>
        <v>8650</v>
      </c>
      <c r="E12409" s="2">
        <f t="shared" si="1965"/>
        <v>43891</v>
      </c>
      <c r="F12409" s="2">
        <f t="shared" si="1966"/>
        <v>44255</v>
      </c>
    </row>
    <row r="12410" spans="1:6" x14ac:dyDescent="0.25">
      <c r="A12410" s="1" t="s">
        <v>1435</v>
      </c>
      <c r="B12410" s="1" t="s">
        <v>1434</v>
      </c>
      <c r="C12410" s="1" t="s">
        <v>92</v>
      </c>
      <c r="D12410" s="3">
        <f t="shared" si="1964"/>
        <v>8650</v>
      </c>
      <c r="E12410" s="2">
        <f t="shared" si="1965"/>
        <v>43891</v>
      </c>
      <c r="F12410" s="2">
        <f t="shared" si="1966"/>
        <v>44255</v>
      </c>
    </row>
    <row r="12411" spans="1:6" x14ac:dyDescent="0.25">
      <c r="A12411" s="1" t="s">
        <v>1435</v>
      </c>
      <c r="B12411" s="1" t="s">
        <v>1434</v>
      </c>
      <c r="C12411" s="1" t="s">
        <v>128</v>
      </c>
      <c r="D12411" s="3">
        <f t="shared" si="1964"/>
        <v>8650</v>
      </c>
      <c r="E12411" s="2">
        <f t="shared" si="1965"/>
        <v>43891</v>
      </c>
      <c r="F12411" s="2">
        <f t="shared" si="1966"/>
        <v>44255</v>
      </c>
    </row>
    <row r="12412" spans="1:6" x14ac:dyDescent="0.25">
      <c r="A12412" s="1" t="s">
        <v>1435</v>
      </c>
      <c r="B12412" s="1" t="s">
        <v>1434</v>
      </c>
      <c r="C12412" s="1" t="s">
        <v>93</v>
      </c>
      <c r="D12412" s="3">
        <f t="shared" si="1964"/>
        <v>8650</v>
      </c>
      <c r="E12412" s="2">
        <f t="shared" si="1965"/>
        <v>43891</v>
      </c>
      <c r="F12412" s="2">
        <f t="shared" si="1966"/>
        <v>44255</v>
      </c>
    </row>
    <row r="12413" spans="1:6" x14ac:dyDescent="0.25">
      <c r="A12413" s="1" t="s">
        <v>2496</v>
      </c>
      <c r="B12413" s="1" t="s">
        <v>2495</v>
      </c>
      <c r="C12413" s="1" t="s">
        <v>7</v>
      </c>
      <c r="D12413" s="3">
        <f>VALUE("1006")</f>
        <v>1006</v>
      </c>
      <c r="E12413" s="2">
        <f>DATEVALUE("1-4-2007")</f>
        <v>39173</v>
      </c>
      <c r="F12413" s="2">
        <f>DATEVALUE("31-12-2011")</f>
        <v>40908</v>
      </c>
    </row>
    <row r="12414" spans="1:6" x14ac:dyDescent="0.25">
      <c r="A12414" s="1" t="s">
        <v>2496</v>
      </c>
      <c r="B12414" s="1" t="s">
        <v>2495</v>
      </c>
      <c r="C12414" s="1" t="s">
        <v>13</v>
      </c>
      <c r="D12414" s="3">
        <f>VALUE("1006")</f>
        <v>1006</v>
      </c>
      <c r="E12414" s="2">
        <f>DATEVALUE("1-4-2007")</f>
        <v>39173</v>
      </c>
      <c r="F12414" s="2">
        <f>DATEVALUE("31-12-2011")</f>
        <v>40908</v>
      </c>
    </row>
    <row r="12415" spans="1:6" x14ac:dyDescent="0.25">
      <c r="A12415" s="1" t="s">
        <v>1736</v>
      </c>
      <c r="B12415" s="1" t="s">
        <v>1735</v>
      </c>
      <c r="C12415" s="1" t="s">
        <v>137</v>
      </c>
      <c r="D12415" s="3">
        <f>VALUE("7745")</f>
        <v>7745</v>
      </c>
      <c r="E12415" s="2">
        <f>DATEVALUE("1-6-2015")</f>
        <v>42156</v>
      </c>
      <c r="F12415" s="2">
        <f>DATEVALUE("31-7-2015")</f>
        <v>42216</v>
      </c>
    </row>
    <row r="12416" spans="1:6" x14ac:dyDescent="0.25">
      <c r="A12416" s="1" t="s">
        <v>1736</v>
      </c>
      <c r="B12416" s="1" t="s">
        <v>1735</v>
      </c>
      <c r="C12416" s="1" t="s">
        <v>46</v>
      </c>
      <c r="D12416" s="3">
        <f>VALUE("7745")</f>
        <v>7745</v>
      </c>
      <c r="E12416" s="2">
        <f>DATEVALUE("1-6-2015")</f>
        <v>42156</v>
      </c>
      <c r="F12416" s="2">
        <f>DATEVALUE("31-7-2015")</f>
        <v>42216</v>
      </c>
    </row>
    <row r="12417" spans="1:6" x14ac:dyDescent="0.25">
      <c r="A12417" s="1" t="s">
        <v>1736</v>
      </c>
      <c r="B12417" s="1" t="s">
        <v>1735</v>
      </c>
      <c r="C12417" s="1" t="s">
        <v>87</v>
      </c>
      <c r="D12417" s="3">
        <f>VALUE("7745")</f>
        <v>7745</v>
      </c>
      <c r="E12417" s="2">
        <f>DATEVALUE("1-6-2015")</f>
        <v>42156</v>
      </c>
      <c r="F12417" s="2">
        <f>DATEVALUE("31-7-2015")</f>
        <v>42216</v>
      </c>
    </row>
    <row r="12418" spans="1:6" x14ac:dyDescent="0.25">
      <c r="A12418" s="1" t="s">
        <v>1736</v>
      </c>
      <c r="B12418" s="1" t="s">
        <v>1735</v>
      </c>
      <c r="C12418" s="1" t="s">
        <v>17</v>
      </c>
      <c r="D12418" s="3">
        <f>VALUE("7745")</f>
        <v>7745</v>
      </c>
      <c r="E12418" s="2">
        <f>DATEVALUE("1-6-2015")</f>
        <v>42156</v>
      </c>
      <c r="F12418" s="2">
        <f>DATEVALUE("31-7-2015")</f>
        <v>42216</v>
      </c>
    </row>
    <row r="12419" spans="1:6" x14ac:dyDescent="0.25">
      <c r="A12419" s="1" t="s">
        <v>1519</v>
      </c>
      <c r="B12419" s="1" t="s">
        <v>1609</v>
      </c>
      <c r="C12419" s="1" t="s">
        <v>1611</v>
      </c>
      <c r="D12419" s="3">
        <f>VALUE("8792")</f>
        <v>8792</v>
      </c>
      <c r="E12419" s="2">
        <f>DATEVALUE("1-9-2020")</f>
        <v>44075</v>
      </c>
      <c r="F12419" s="2">
        <f>DATEVALUE("31-1-2021")</f>
        <v>44227</v>
      </c>
    </row>
    <row r="12420" spans="1:6" x14ac:dyDescent="0.25">
      <c r="A12420" s="1" t="s">
        <v>1519</v>
      </c>
      <c r="B12420" s="1" t="s">
        <v>1609</v>
      </c>
      <c r="C12420" s="1" t="s">
        <v>1610</v>
      </c>
      <c r="D12420" s="3">
        <f>VALUE("8792")</f>
        <v>8792</v>
      </c>
      <c r="E12420" s="2">
        <f>DATEVALUE("1-9-2020")</f>
        <v>44075</v>
      </c>
      <c r="F12420" s="2">
        <f>DATEVALUE("31-1-2021")</f>
        <v>44227</v>
      </c>
    </row>
    <row r="12421" spans="1:6" x14ac:dyDescent="0.25">
      <c r="A12421" s="1" t="s">
        <v>1519</v>
      </c>
      <c r="B12421" s="1" t="s">
        <v>1518</v>
      </c>
      <c r="C12421" s="1" t="s">
        <v>1522</v>
      </c>
      <c r="D12421" s="3">
        <f>VALUE("8717")</f>
        <v>8717</v>
      </c>
      <c r="E12421" s="2">
        <f>DATEVALUE("1-5-2020")</f>
        <v>43952</v>
      </c>
      <c r="F12421" s="2">
        <f>DATEVALUE("30-4-2021")</f>
        <v>44316</v>
      </c>
    </row>
    <row r="12422" spans="1:6" x14ac:dyDescent="0.25">
      <c r="A12422" s="1" t="s">
        <v>1519</v>
      </c>
      <c r="B12422" s="1" t="s">
        <v>1518</v>
      </c>
      <c r="C12422" s="1" t="s">
        <v>1520</v>
      </c>
      <c r="D12422" s="3">
        <f>VALUE("8717")</f>
        <v>8717</v>
      </c>
      <c r="E12422" s="2">
        <f>DATEVALUE("1-5-2020")</f>
        <v>43952</v>
      </c>
      <c r="F12422" s="2">
        <f>DATEVALUE("30-4-2021")</f>
        <v>44316</v>
      </c>
    </row>
    <row r="12423" spans="1:6" x14ac:dyDescent="0.25">
      <c r="A12423" s="1" t="s">
        <v>1519</v>
      </c>
      <c r="B12423" s="1" t="s">
        <v>1518</v>
      </c>
      <c r="C12423" s="1" t="s">
        <v>1521</v>
      </c>
      <c r="D12423" s="3">
        <f>VALUE("8717")</f>
        <v>8717</v>
      </c>
      <c r="E12423" s="2">
        <f>DATEVALUE("1-5-2020")</f>
        <v>43952</v>
      </c>
      <c r="F12423" s="2">
        <f>DATEVALUE("30-4-2021")</f>
        <v>44316</v>
      </c>
    </row>
    <row r="12424" spans="1:6" x14ac:dyDescent="0.25">
      <c r="A12424" s="1" t="s">
        <v>1519</v>
      </c>
      <c r="B12424" s="1" t="s">
        <v>1518</v>
      </c>
      <c r="C12424" s="1" t="s">
        <v>310</v>
      </c>
      <c r="D12424" s="3">
        <f>VALUE("8717")</f>
        <v>8717</v>
      </c>
      <c r="E12424" s="2">
        <f>DATEVALUE("1-5-2020")</f>
        <v>43952</v>
      </c>
      <c r="F12424" s="2">
        <f>DATEVALUE("30-4-2021")</f>
        <v>44316</v>
      </c>
    </row>
    <row r="12425" spans="1:6" x14ac:dyDescent="0.25">
      <c r="A12425" s="1" t="s">
        <v>1519</v>
      </c>
      <c r="B12425" s="1" t="s">
        <v>2139</v>
      </c>
      <c r="C12425" s="1" t="s">
        <v>249</v>
      </c>
      <c r="D12425" s="3">
        <f t="shared" ref="D12425:D12435" si="1967">VALUE("7430")</f>
        <v>7430</v>
      </c>
      <c r="E12425" s="2">
        <f t="shared" ref="E12425:E12435" si="1968">DATEVALUE("1-12-2012")</f>
        <v>41244</v>
      </c>
      <c r="F12425" s="2">
        <f t="shared" ref="F12425:F12435" si="1969">DATEVALUE("30-6-2016")</f>
        <v>42551</v>
      </c>
    </row>
    <row r="12426" spans="1:6" x14ac:dyDescent="0.25">
      <c r="A12426" s="1" t="s">
        <v>1519</v>
      </c>
      <c r="B12426" s="1" t="s">
        <v>2139</v>
      </c>
      <c r="C12426" s="1" t="s">
        <v>46</v>
      </c>
      <c r="D12426" s="3">
        <f t="shared" si="1967"/>
        <v>7430</v>
      </c>
      <c r="E12426" s="2">
        <f t="shared" si="1968"/>
        <v>41244</v>
      </c>
      <c r="F12426" s="2">
        <f t="shared" si="1969"/>
        <v>42551</v>
      </c>
    </row>
    <row r="12427" spans="1:6" x14ac:dyDescent="0.25">
      <c r="A12427" s="1" t="s">
        <v>1519</v>
      </c>
      <c r="B12427" s="1" t="s">
        <v>2139</v>
      </c>
      <c r="C12427" s="1" t="s">
        <v>87</v>
      </c>
      <c r="D12427" s="3">
        <f t="shared" si="1967"/>
        <v>7430</v>
      </c>
      <c r="E12427" s="2">
        <f t="shared" si="1968"/>
        <v>41244</v>
      </c>
      <c r="F12427" s="2">
        <f t="shared" si="1969"/>
        <v>42551</v>
      </c>
    </row>
    <row r="12428" spans="1:6" x14ac:dyDescent="0.25">
      <c r="A12428" s="1" t="s">
        <v>1519</v>
      </c>
      <c r="B12428" s="1" t="s">
        <v>2139</v>
      </c>
      <c r="C12428" s="1" t="s">
        <v>15</v>
      </c>
      <c r="D12428" s="3">
        <f t="shared" si="1967"/>
        <v>7430</v>
      </c>
      <c r="E12428" s="2">
        <f t="shared" si="1968"/>
        <v>41244</v>
      </c>
      <c r="F12428" s="2">
        <f t="shared" si="1969"/>
        <v>42551</v>
      </c>
    </row>
    <row r="12429" spans="1:6" x14ac:dyDescent="0.25">
      <c r="A12429" s="1" t="s">
        <v>1519</v>
      </c>
      <c r="B12429" s="1" t="s">
        <v>2139</v>
      </c>
      <c r="C12429" s="1" t="s">
        <v>17</v>
      </c>
      <c r="D12429" s="3">
        <f t="shared" si="1967"/>
        <v>7430</v>
      </c>
      <c r="E12429" s="2">
        <f t="shared" si="1968"/>
        <v>41244</v>
      </c>
      <c r="F12429" s="2">
        <f t="shared" si="1969"/>
        <v>42551</v>
      </c>
    </row>
    <row r="12430" spans="1:6" x14ac:dyDescent="0.25">
      <c r="A12430" s="1" t="s">
        <v>1519</v>
      </c>
      <c r="B12430" s="1" t="s">
        <v>2139</v>
      </c>
      <c r="C12430" s="1" t="s">
        <v>22</v>
      </c>
      <c r="D12430" s="3">
        <f t="shared" si="1967"/>
        <v>7430</v>
      </c>
      <c r="E12430" s="2">
        <f t="shared" si="1968"/>
        <v>41244</v>
      </c>
      <c r="F12430" s="2">
        <f t="shared" si="1969"/>
        <v>42551</v>
      </c>
    </row>
    <row r="12431" spans="1:6" x14ac:dyDescent="0.25">
      <c r="A12431" s="1" t="s">
        <v>1519</v>
      </c>
      <c r="B12431" s="1" t="s">
        <v>2139</v>
      </c>
      <c r="C12431" s="1" t="s">
        <v>148</v>
      </c>
      <c r="D12431" s="3">
        <f t="shared" si="1967"/>
        <v>7430</v>
      </c>
      <c r="E12431" s="2">
        <f t="shared" si="1968"/>
        <v>41244</v>
      </c>
      <c r="F12431" s="2">
        <f t="shared" si="1969"/>
        <v>42551</v>
      </c>
    </row>
    <row r="12432" spans="1:6" x14ac:dyDescent="0.25">
      <c r="A12432" s="1" t="s">
        <v>1519</v>
      </c>
      <c r="B12432" s="1" t="s">
        <v>2139</v>
      </c>
      <c r="C12432" s="1" t="s">
        <v>149</v>
      </c>
      <c r="D12432" s="3">
        <f t="shared" si="1967"/>
        <v>7430</v>
      </c>
      <c r="E12432" s="2">
        <f t="shared" si="1968"/>
        <v>41244</v>
      </c>
      <c r="F12432" s="2">
        <f t="shared" si="1969"/>
        <v>42551</v>
      </c>
    </row>
    <row r="12433" spans="1:6" x14ac:dyDescent="0.25">
      <c r="A12433" s="1" t="s">
        <v>1519</v>
      </c>
      <c r="B12433" s="1" t="s">
        <v>2139</v>
      </c>
      <c r="C12433" s="1" t="s">
        <v>216</v>
      </c>
      <c r="D12433" s="3">
        <f t="shared" si="1967"/>
        <v>7430</v>
      </c>
      <c r="E12433" s="2">
        <f t="shared" si="1968"/>
        <v>41244</v>
      </c>
      <c r="F12433" s="2">
        <f t="shared" si="1969"/>
        <v>42551</v>
      </c>
    </row>
    <row r="12434" spans="1:6" x14ac:dyDescent="0.25">
      <c r="A12434" s="1" t="s">
        <v>1519</v>
      </c>
      <c r="B12434" s="1" t="s">
        <v>2139</v>
      </c>
      <c r="C12434" s="1" t="s">
        <v>310</v>
      </c>
      <c r="D12434" s="3">
        <f t="shared" si="1967"/>
        <v>7430</v>
      </c>
      <c r="E12434" s="2">
        <f t="shared" si="1968"/>
        <v>41244</v>
      </c>
      <c r="F12434" s="2">
        <f t="shared" si="1969"/>
        <v>42551</v>
      </c>
    </row>
    <row r="12435" spans="1:6" x14ac:dyDescent="0.25">
      <c r="A12435" s="1" t="s">
        <v>1519</v>
      </c>
      <c r="B12435" s="1" t="s">
        <v>2139</v>
      </c>
      <c r="C12435" s="1" t="s">
        <v>164</v>
      </c>
      <c r="D12435" s="3">
        <f t="shared" si="1967"/>
        <v>7430</v>
      </c>
      <c r="E12435" s="2">
        <f t="shared" si="1968"/>
        <v>41244</v>
      </c>
      <c r="F12435" s="2">
        <f t="shared" si="1969"/>
        <v>42551</v>
      </c>
    </row>
    <row r="12436" spans="1:6" x14ac:dyDescent="0.25">
      <c r="A12436" s="1" t="s">
        <v>2576</v>
      </c>
      <c r="B12436" s="1" t="s">
        <v>2575</v>
      </c>
      <c r="C12436" s="1" t="s">
        <v>7</v>
      </c>
      <c r="D12436" s="3">
        <f t="shared" ref="D12436:D12446" si="1970">VALUE("7113")</f>
        <v>7113</v>
      </c>
      <c r="E12436" s="2">
        <f t="shared" ref="E12436:E12446" si="1971">DATEVALUE("1-9-2010")</f>
        <v>40422</v>
      </c>
      <c r="F12436" s="2">
        <f t="shared" ref="F12436:F12446" si="1972">DATEVALUE("31-12-2012")</f>
        <v>41274</v>
      </c>
    </row>
    <row r="12437" spans="1:6" x14ac:dyDescent="0.25">
      <c r="A12437" s="1" t="s">
        <v>2576</v>
      </c>
      <c r="B12437" s="1" t="s">
        <v>2575</v>
      </c>
      <c r="C12437" s="1" t="s">
        <v>8</v>
      </c>
      <c r="D12437" s="3">
        <f t="shared" si="1970"/>
        <v>7113</v>
      </c>
      <c r="E12437" s="2">
        <f t="shared" si="1971"/>
        <v>40422</v>
      </c>
      <c r="F12437" s="2">
        <f t="shared" si="1972"/>
        <v>41274</v>
      </c>
    </row>
    <row r="12438" spans="1:6" x14ac:dyDescent="0.25">
      <c r="A12438" s="1" t="s">
        <v>2576</v>
      </c>
      <c r="B12438" s="1" t="s">
        <v>2575</v>
      </c>
      <c r="C12438" s="1" t="s">
        <v>10</v>
      </c>
      <c r="D12438" s="3">
        <f t="shared" si="1970"/>
        <v>7113</v>
      </c>
      <c r="E12438" s="2">
        <f t="shared" si="1971"/>
        <v>40422</v>
      </c>
      <c r="F12438" s="2">
        <f t="shared" si="1972"/>
        <v>41274</v>
      </c>
    </row>
    <row r="12439" spans="1:6" x14ac:dyDescent="0.25">
      <c r="A12439" s="1" t="s">
        <v>2576</v>
      </c>
      <c r="B12439" s="1" t="s">
        <v>2575</v>
      </c>
      <c r="C12439" s="1" t="s">
        <v>11</v>
      </c>
      <c r="D12439" s="3">
        <f t="shared" si="1970"/>
        <v>7113</v>
      </c>
      <c r="E12439" s="2">
        <f t="shared" si="1971"/>
        <v>40422</v>
      </c>
      <c r="F12439" s="2">
        <f t="shared" si="1972"/>
        <v>41274</v>
      </c>
    </row>
    <row r="12440" spans="1:6" x14ac:dyDescent="0.25">
      <c r="A12440" s="1" t="s">
        <v>2576</v>
      </c>
      <c r="B12440" s="1" t="s">
        <v>2575</v>
      </c>
      <c r="C12440" s="1" t="s">
        <v>12</v>
      </c>
      <c r="D12440" s="3">
        <f t="shared" si="1970"/>
        <v>7113</v>
      </c>
      <c r="E12440" s="2">
        <f t="shared" si="1971"/>
        <v>40422</v>
      </c>
      <c r="F12440" s="2">
        <f t="shared" si="1972"/>
        <v>41274</v>
      </c>
    </row>
    <row r="12441" spans="1:6" x14ac:dyDescent="0.25">
      <c r="A12441" s="1" t="s">
        <v>2576</v>
      </c>
      <c r="B12441" s="1" t="s">
        <v>2575</v>
      </c>
      <c r="C12441" s="1" t="s">
        <v>13</v>
      </c>
      <c r="D12441" s="3">
        <f t="shared" si="1970"/>
        <v>7113</v>
      </c>
      <c r="E12441" s="2">
        <f t="shared" si="1971"/>
        <v>40422</v>
      </c>
      <c r="F12441" s="2">
        <f t="shared" si="1972"/>
        <v>41274</v>
      </c>
    </row>
    <row r="12442" spans="1:6" x14ac:dyDescent="0.25">
      <c r="A12442" s="1" t="s">
        <v>2576</v>
      </c>
      <c r="B12442" s="1" t="s">
        <v>2575</v>
      </c>
      <c r="C12442" s="1" t="s">
        <v>228</v>
      </c>
      <c r="D12442" s="3">
        <f t="shared" si="1970"/>
        <v>7113</v>
      </c>
      <c r="E12442" s="2">
        <f t="shared" si="1971"/>
        <v>40422</v>
      </c>
      <c r="F12442" s="2">
        <f t="shared" si="1972"/>
        <v>41274</v>
      </c>
    </row>
    <row r="12443" spans="1:6" x14ac:dyDescent="0.25">
      <c r="A12443" s="1" t="s">
        <v>2576</v>
      </c>
      <c r="B12443" s="1" t="s">
        <v>2575</v>
      </c>
      <c r="C12443" s="1" t="s">
        <v>28</v>
      </c>
      <c r="D12443" s="3">
        <f t="shared" si="1970"/>
        <v>7113</v>
      </c>
      <c r="E12443" s="2">
        <f t="shared" si="1971"/>
        <v>40422</v>
      </c>
      <c r="F12443" s="2">
        <f t="shared" si="1972"/>
        <v>41274</v>
      </c>
    </row>
    <row r="12444" spans="1:6" x14ac:dyDescent="0.25">
      <c r="A12444" s="1" t="s">
        <v>2576</v>
      </c>
      <c r="B12444" s="1" t="s">
        <v>2575</v>
      </c>
      <c r="C12444" s="1" t="s">
        <v>30</v>
      </c>
      <c r="D12444" s="3">
        <f t="shared" si="1970"/>
        <v>7113</v>
      </c>
      <c r="E12444" s="2">
        <f t="shared" si="1971"/>
        <v>40422</v>
      </c>
      <c r="F12444" s="2">
        <f t="shared" si="1972"/>
        <v>41274</v>
      </c>
    </row>
    <row r="12445" spans="1:6" x14ac:dyDescent="0.25">
      <c r="A12445" s="1" t="s">
        <v>2576</v>
      </c>
      <c r="B12445" s="1" t="s">
        <v>2575</v>
      </c>
      <c r="C12445" s="1" t="s">
        <v>240</v>
      </c>
      <c r="D12445" s="3">
        <f t="shared" si="1970"/>
        <v>7113</v>
      </c>
      <c r="E12445" s="2">
        <f t="shared" si="1971"/>
        <v>40422</v>
      </c>
      <c r="F12445" s="2">
        <f t="shared" si="1972"/>
        <v>41274</v>
      </c>
    </row>
    <row r="12446" spans="1:6" x14ac:dyDescent="0.25">
      <c r="A12446" s="1" t="s">
        <v>2576</v>
      </c>
      <c r="B12446" s="1" t="s">
        <v>2575</v>
      </c>
      <c r="C12446" s="1" t="s">
        <v>32</v>
      </c>
      <c r="D12446" s="3">
        <f t="shared" si="1970"/>
        <v>7113</v>
      </c>
      <c r="E12446" s="2">
        <f t="shared" si="1971"/>
        <v>40422</v>
      </c>
      <c r="F12446" s="2">
        <f t="shared" si="1972"/>
        <v>41274</v>
      </c>
    </row>
    <row r="12447" spans="1:6" x14ac:dyDescent="0.25">
      <c r="A12447" s="1" t="s">
        <v>672</v>
      </c>
      <c r="B12447" s="1" t="s">
        <v>671</v>
      </c>
      <c r="C12447" s="1" t="s">
        <v>8</v>
      </c>
      <c r="D12447" s="3">
        <f t="shared" ref="D12447:D12456" si="1973">VALUE("7871")</f>
        <v>7871</v>
      </c>
      <c r="E12447" s="2">
        <f t="shared" ref="E12447:E12456" si="1974">DATEVALUE("1-5-2016")</f>
        <v>42491</v>
      </c>
      <c r="F12447" s="2">
        <f t="shared" ref="F12447:F12456" si="1975">DATEVALUE("31-5-2021")</f>
        <v>44347</v>
      </c>
    </row>
    <row r="12448" spans="1:6" x14ac:dyDescent="0.25">
      <c r="A12448" s="1" t="s">
        <v>672</v>
      </c>
      <c r="B12448" s="1" t="s">
        <v>671</v>
      </c>
      <c r="C12448" s="1" t="s">
        <v>61</v>
      </c>
      <c r="D12448" s="3">
        <f t="shared" si="1973"/>
        <v>7871</v>
      </c>
      <c r="E12448" s="2">
        <f t="shared" si="1974"/>
        <v>42491</v>
      </c>
      <c r="F12448" s="2">
        <f t="shared" si="1975"/>
        <v>44347</v>
      </c>
    </row>
    <row r="12449" spans="1:6" x14ac:dyDescent="0.25">
      <c r="A12449" s="1" t="s">
        <v>672</v>
      </c>
      <c r="B12449" s="1" t="s">
        <v>671</v>
      </c>
      <c r="C12449" s="1" t="s">
        <v>15</v>
      </c>
      <c r="D12449" s="3">
        <f t="shared" si="1973"/>
        <v>7871</v>
      </c>
      <c r="E12449" s="2">
        <f t="shared" si="1974"/>
        <v>42491</v>
      </c>
      <c r="F12449" s="2">
        <f t="shared" si="1975"/>
        <v>44347</v>
      </c>
    </row>
    <row r="12450" spans="1:6" x14ac:dyDescent="0.25">
      <c r="A12450" s="1" t="s">
        <v>672</v>
      </c>
      <c r="B12450" s="1" t="s">
        <v>671</v>
      </c>
      <c r="C12450" s="1" t="s">
        <v>67</v>
      </c>
      <c r="D12450" s="3">
        <f t="shared" si="1973"/>
        <v>7871</v>
      </c>
      <c r="E12450" s="2">
        <f t="shared" si="1974"/>
        <v>42491</v>
      </c>
      <c r="F12450" s="2">
        <f t="shared" si="1975"/>
        <v>44347</v>
      </c>
    </row>
    <row r="12451" spans="1:6" x14ac:dyDescent="0.25">
      <c r="A12451" s="1" t="s">
        <v>672</v>
      </c>
      <c r="B12451" s="1" t="s">
        <v>671</v>
      </c>
      <c r="C12451" s="1" t="s">
        <v>149</v>
      </c>
      <c r="D12451" s="3">
        <f t="shared" si="1973"/>
        <v>7871</v>
      </c>
      <c r="E12451" s="2">
        <f t="shared" si="1974"/>
        <v>42491</v>
      </c>
      <c r="F12451" s="2">
        <f t="shared" si="1975"/>
        <v>44347</v>
      </c>
    </row>
    <row r="12452" spans="1:6" x14ac:dyDescent="0.25">
      <c r="A12452" s="1" t="s">
        <v>672</v>
      </c>
      <c r="B12452" s="1" t="s">
        <v>671</v>
      </c>
      <c r="C12452" s="1" t="s">
        <v>69</v>
      </c>
      <c r="D12452" s="3">
        <f t="shared" si="1973"/>
        <v>7871</v>
      </c>
      <c r="E12452" s="2">
        <f t="shared" si="1974"/>
        <v>42491</v>
      </c>
      <c r="F12452" s="2">
        <f t="shared" si="1975"/>
        <v>44347</v>
      </c>
    </row>
    <row r="12453" spans="1:6" x14ac:dyDescent="0.25">
      <c r="A12453" s="1" t="s">
        <v>672</v>
      </c>
      <c r="B12453" s="1" t="s">
        <v>671</v>
      </c>
      <c r="C12453" s="1" t="s">
        <v>673</v>
      </c>
      <c r="D12453" s="3">
        <f t="shared" si="1973"/>
        <v>7871</v>
      </c>
      <c r="E12453" s="2">
        <f t="shared" si="1974"/>
        <v>42491</v>
      </c>
      <c r="F12453" s="2">
        <f t="shared" si="1975"/>
        <v>44347</v>
      </c>
    </row>
    <row r="12454" spans="1:6" x14ac:dyDescent="0.25">
      <c r="A12454" s="1" t="s">
        <v>672</v>
      </c>
      <c r="B12454" s="1" t="s">
        <v>671</v>
      </c>
      <c r="C12454" s="1" t="s">
        <v>72</v>
      </c>
      <c r="D12454" s="3">
        <f t="shared" si="1973"/>
        <v>7871</v>
      </c>
      <c r="E12454" s="2">
        <f t="shared" si="1974"/>
        <v>42491</v>
      </c>
      <c r="F12454" s="2">
        <f t="shared" si="1975"/>
        <v>44347</v>
      </c>
    </row>
    <row r="12455" spans="1:6" x14ac:dyDescent="0.25">
      <c r="A12455" s="1" t="s">
        <v>672</v>
      </c>
      <c r="B12455" s="1" t="s">
        <v>671</v>
      </c>
      <c r="C12455" s="1" t="s">
        <v>73</v>
      </c>
      <c r="D12455" s="3">
        <f t="shared" si="1973"/>
        <v>7871</v>
      </c>
      <c r="E12455" s="2">
        <f t="shared" si="1974"/>
        <v>42491</v>
      </c>
      <c r="F12455" s="2">
        <f t="shared" si="1975"/>
        <v>44347</v>
      </c>
    </row>
    <row r="12456" spans="1:6" x14ac:dyDescent="0.25">
      <c r="A12456" s="1" t="s">
        <v>672</v>
      </c>
      <c r="B12456" s="1" t="s">
        <v>671</v>
      </c>
      <c r="C12456" s="1" t="s">
        <v>52</v>
      </c>
      <c r="D12456" s="3">
        <f t="shared" si="1973"/>
        <v>7871</v>
      </c>
      <c r="E12456" s="2">
        <f t="shared" si="1974"/>
        <v>42491</v>
      </c>
      <c r="F12456" s="2">
        <f t="shared" si="1975"/>
        <v>44347</v>
      </c>
    </row>
    <row r="12457" spans="1:6" x14ac:dyDescent="0.25">
      <c r="A12457" s="1" t="s">
        <v>672</v>
      </c>
      <c r="B12457" s="1" t="s">
        <v>1920</v>
      </c>
      <c r="C12457" s="1" t="s">
        <v>69</v>
      </c>
      <c r="D12457" s="3">
        <f>VALUE("7540")</f>
        <v>7540</v>
      </c>
      <c r="E12457" s="2">
        <f>DATEVALUE("1-8-2013")</f>
        <v>41487</v>
      </c>
      <c r="F12457" s="2">
        <f>DATEVALUE("30-9-2015")</f>
        <v>42277</v>
      </c>
    </row>
    <row r="12458" spans="1:6" x14ac:dyDescent="0.25">
      <c r="A12458" s="1" t="s">
        <v>672</v>
      </c>
      <c r="B12458" s="1" t="s">
        <v>1920</v>
      </c>
      <c r="C12458" s="1" t="s">
        <v>262</v>
      </c>
      <c r="D12458" s="3">
        <f>VALUE("7540")</f>
        <v>7540</v>
      </c>
      <c r="E12458" s="2">
        <f>DATEVALUE("1-8-2013")</f>
        <v>41487</v>
      </c>
      <c r="F12458" s="2">
        <f>DATEVALUE("30-9-2015")</f>
        <v>42277</v>
      </c>
    </row>
    <row r="12459" spans="1:6" x14ac:dyDescent="0.25">
      <c r="A12459" s="1" t="s">
        <v>672</v>
      </c>
      <c r="B12459" s="1" t="s">
        <v>1876</v>
      </c>
      <c r="C12459" s="1" t="s">
        <v>7</v>
      </c>
      <c r="D12459" s="3">
        <f t="shared" ref="D12459:D12466" si="1976">VALUE("7200")</f>
        <v>7200</v>
      </c>
      <c r="E12459" s="2">
        <f t="shared" ref="E12459:E12466" si="1977">DATEVALUE("1-4-2011")</f>
        <v>40634</v>
      </c>
      <c r="F12459" s="2">
        <f t="shared" ref="F12459:F12466" si="1978">DATEVALUE("31-12-2015")</f>
        <v>42369</v>
      </c>
    </row>
    <row r="12460" spans="1:6" x14ac:dyDescent="0.25">
      <c r="A12460" s="1" t="s">
        <v>672</v>
      </c>
      <c r="B12460" s="1" t="s">
        <v>1876</v>
      </c>
      <c r="C12460" s="1" t="s">
        <v>8</v>
      </c>
      <c r="D12460" s="3">
        <f t="shared" si="1976"/>
        <v>7200</v>
      </c>
      <c r="E12460" s="2">
        <f t="shared" si="1977"/>
        <v>40634</v>
      </c>
      <c r="F12460" s="2">
        <f t="shared" si="1978"/>
        <v>42369</v>
      </c>
    </row>
    <row r="12461" spans="1:6" x14ac:dyDescent="0.25">
      <c r="A12461" s="1" t="s">
        <v>672</v>
      </c>
      <c r="B12461" s="1" t="s">
        <v>1876</v>
      </c>
      <c r="C12461" s="1" t="s">
        <v>10</v>
      </c>
      <c r="D12461" s="3">
        <f t="shared" si="1976"/>
        <v>7200</v>
      </c>
      <c r="E12461" s="2">
        <f t="shared" si="1977"/>
        <v>40634</v>
      </c>
      <c r="F12461" s="2">
        <f t="shared" si="1978"/>
        <v>42369</v>
      </c>
    </row>
    <row r="12462" spans="1:6" x14ac:dyDescent="0.25">
      <c r="A12462" s="1" t="s">
        <v>672</v>
      </c>
      <c r="B12462" s="1" t="s">
        <v>1876</v>
      </c>
      <c r="C12462" s="1" t="s">
        <v>11</v>
      </c>
      <c r="D12462" s="3">
        <f t="shared" si="1976"/>
        <v>7200</v>
      </c>
      <c r="E12462" s="2">
        <f t="shared" si="1977"/>
        <v>40634</v>
      </c>
      <c r="F12462" s="2">
        <f t="shared" si="1978"/>
        <v>42369</v>
      </c>
    </row>
    <row r="12463" spans="1:6" x14ac:dyDescent="0.25">
      <c r="A12463" s="1" t="s">
        <v>672</v>
      </c>
      <c r="B12463" s="1" t="s">
        <v>1876</v>
      </c>
      <c r="C12463" s="1" t="s">
        <v>17</v>
      </c>
      <c r="D12463" s="3">
        <f t="shared" si="1976"/>
        <v>7200</v>
      </c>
      <c r="E12463" s="2">
        <f t="shared" si="1977"/>
        <v>40634</v>
      </c>
      <c r="F12463" s="2">
        <f t="shared" si="1978"/>
        <v>42369</v>
      </c>
    </row>
    <row r="12464" spans="1:6" x14ac:dyDescent="0.25">
      <c r="A12464" s="1" t="s">
        <v>672</v>
      </c>
      <c r="B12464" s="1" t="s">
        <v>1876</v>
      </c>
      <c r="C12464" s="1" t="s">
        <v>212</v>
      </c>
      <c r="D12464" s="3">
        <f t="shared" si="1976"/>
        <v>7200</v>
      </c>
      <c r="E12464" s="2">
        <f t="shared" si="1977"/>
        <v>40634</v>
      </c>
      <c r="F12464" s="2">
        <f t="shared" si="1978"/>
        <v>42369</v>
      </c>
    </row>
    <row r="12465" spans="1:6" x14ac:dyDescent="0.25">
      <c r="A12465" s="1" t="s">
        <v>672</v>
      </c>
      <c r="B12465" s="1" t="s">
        <v>1876</v>
      </c>
      <c r="C12465" s="1" t="s">
        <v>27</v>
      </c>
      <c r="D12465" s="3">
        <f t="shared" si="1976"/>
        <v>7200</v>
      </c>
      <c r="E12465" s="2">
        <f t="shared" si="1977"/>
        <v>40634</v>
      </c>
      <c r="F12465" s="2">
        <f t="shared" si="1978"/>
        <v>42369</v>
      </c>
    </row>
    <row r="12466" spans="1:6" x14ac:dyDescent="0.25">
      <c r="A12466" s="1" t="s">
        <v>672</v>
      </c>
      <c r="B12466" s="1" t="s">
        <v>1876</v>
      </c>
      <c r="C12466" s="1" t="s">
        <v>334</v>
      </c>
      <c r="D12466" s="3">
        <f t="shared" si="1976"/>
        <v>7200</v>
      </c>
      <c r="E12466" s="2">
        <f t="shared" si="1977"/>
        <v>40634</v>
      </c>
      <c r="F12466" s="2">
        <f t="shared" si="1978"/>
        <v>42369</v>
      </c>
    </row>
    <row r="12467" spans="1:6" x14ac:dyDescent="0.25">
      <c r="A12467" s="1" t="s">
        <v>672</v>
      </c>
      <c r="B12467" s="1" t="s">
        <v>2114</v>
      </c>
      <c r="C12467" s="1" t="s">
        <v>85</v>
      </c>
      <c r="D12467" s="3">
        <f t="shared" ref="D12467:D12473" si="1979">VALUE("7108")</f>
        <v>7108</v>
      </c>
      <c r="E12467" s="2">
        <f t="shared" ref="E12467:E12473" si="1980">DATEVALUE("1-10-2010")</f>
        <v>40452</v>
      </c>
      <c r="F12467" s="2">
        <f t="shared" ref="F12467:F12473" si="1981">DATEVALUE("31-12-2016")</f>
        <v>42735</v>
      </c>
    </row>
    <row r="12468" spans="1:6" x14ac:dyDescent="0.25">
      <c r="A12468" s="1" t="s">
        <v>672</v>
      </c>
      <c r="B12468" s="1" t="s">
        <v>2114</v>
      </c>
      <c r="C12468" s="1" t="s">
        <v>45</v>
      </c>
      <c r="D12468" s="3">
        <f t="shared" si="1979"/>
        <v>7108</v>
      </c>
      <c r="E12468" s="2">
        <f t="shared" si="1980"/>
        <v>40452</v>
      </c>
      <c r="F12468" s="2">
        <f t="shared" si="1981"/>
        <v>42735</v>
      </c>
    </row>
    <row r="12469" spans="1:6" x14ac:dyDescent="0.25">
      <c r="A12469" s="1" t="s">
        <v>672</v>
      </c>
      <c r="B12469" s="1" t="s">
        <v>2114</v>
      </c>
      <c r="C12469" s="1" t="s">
        <v>93</v>
      </c>
      <c r="D12469" s="3">
        <f t="shared" si="1979"/>
        <v>7108</v>
      </c>
      <c r="E12469" s="2">
        <f t="shared" si="1980"/>
        <v>40452</v>
      </c>
      <c r="F12469" s="2">
        <f t="shared" si="1981"/>
        <v>42735</v>
      </c>
    </row>
    <row r="12470" spans="1:6" x14ac:dyDescent="0.25">
      <c r="A12470" s="1" t="s">
        <v>672</v>
      </c>
      <c r="B12470" s="1" t="s">
        <v>2114</v>
      </c>
      <c r="C12470" s="1" t="s">
        <v>129</v>
      </c>
      <c r="D12470" s="3">
        <f t="shared" si="1979"/>
        <v>7108</v>
      </c>
      <c r="E12470" s="2">
        <f t="shared" si="1980"/>
        <v>40452</v>
      </c>
      <c r="F12470" s="2">
        <f t="shared" si="1981"/>
        <v>42735</v>
      </c>
    </row>
    <row r="12471" spans="1:6" x14ac:dyDescent="0.25">
      <c r="A12471" s="1" t="s">
        <v>672</v>
      </c>
      <c r="B12471" s="1" t="s">
        <v>2114</v>
      </c>
      <c r="C12471" s="1" t="s">
        <v>69</v>
      </c>
      <c r="D12471" s="3">
        <f t="shared" si="1979"/>
        <v>7108</v>
      </c>
      <c r="E12471" s="2">
        <f t="shared" si="1980"/>
        <v>40452</v>
      </c>
      <c r="F12471" s="2">
        <f t="shared" si="1981"/>
        <v>42735</v>
      </c>
    </row>
    <row r="12472" spans="1:6" x14ac:dyDescent="0.25">
      <c r="A12472" s="1" t="s">
        <v>672</v>
      </c>
      <c r="B12472" s="1" t="s">
        <v>2114</v>
      </c>
      <c r="C12472" s="1" t="s">
        <v>102</v>
      </c>
      <c r="D12472" s="3">
        <f t="shared" si="1979"/>
        <v>7108</v>
      </c>
      <c r="E12472" s="2">
        <f t="shared" si="1980"/>
        <v>40452</v>
      </c>
      <c r="F12472" s="2">
        <f t="shared" si="1981"/>
        <v>42735</v>
      </c>
    </row>
    <row r="12473" spans="1:6" x14ac:dyDescent="0.25">
      <c r="A12473" s="1" t="s">
        <v>672</v>
      </c>
      <c r="B12473" s="1" t="s">
        <v>2114</v>
      </c>
      <c r="C12473" s="1" t="s">
        <v>103</v>
      </c>
      <c r="D12473" s="3">
        <f t="shared" si="1979"/>
        <v>7108</v>
      </c>
      <c r="E12473" s="2">
        <f t="shared" si="1980"/>
        <v>40452</v>
      </c>
      <c r="F12473" s="2">
        <f t="shared" si="1981"/>
        <v>42735</v>
      </c>
    </row>
    <row r="12474" spans="1:6" x14ac:dyDescent="0.25">
      <c r="A12474" s="1" t="s">
        <v>836</v>
      </c>
      <c r="B12474" s="1" t="s">
        <v>1614</v>
      </c>
      <c r="C12474" s="1" t="s">
        <v>17</v>
      </c>
      <c r="D12474" s="3">
        <f>VALUE("8793")</f>
        <v>8793</v>
      </c>
      <c r="E12474" s="2">
        <f>DATEVALUE("1-7-2020")</f>
        <v>44013</v>
      </c>
      <c r="F12474" s="2">
        <f>DATEVALUE("31-7-2021")</f>
        <v>44408</v>
      </c>
    </row>
    <row r="12475" spans="1:6" x14ac:dyDescent="0.25">
      <c r="A12475" s="1" t="s">
        <v>836</v>
      </c>
      <c r="B12475" s="1" t="s">
        <v>1614</v>
      </c>
      <c r="C12475" s="1" t="s">
        <v>69</v>
      </c>
      <c r="D12475" s="3">
        <f>VALUE("8793")</f>
        <v>8793</v>
      </c>
      <c r="E12475" s="2">
        <f>DATEVALUE("1-7-2020")</f>
        <v>44013</v>
      </c>
      <c r="F12475" s="2">
        <f>DATEVALUE("31-7-2021")</f>
        <v>44408</v>
      </c>
    </row>
    <row r="12476" spans="1:6" x14ac:dyDescent="0.25">
      <c r="A12476" s="1" t="s">
        <v>836</v>
      </c>
      <c r="B12476" s="1" t="s">
        <v>1614</v>
      </c>
      <c r="C12476" s="1" t="s">
        <v>73</v>
      </c>
      <c r="D12476" s="3">
        <f>VALUE("8793")</f>
        <v>8793</v>
      </c>
      <c r="E12476" s="2">
        <f>DATEVALUE("1-7-2020")</f>
        <v>44013</v>
      </c>
      <c r="F12476" s="2">
        <f>DATEVALUE("31-7-2021")</f>
        <v>44408</v>
      </c>
    </row>
    <row r="12477" spans="1:6" x14ac:dyDescent="0.25">
      <c r="A12477" s="1" t="s">
        <v>836</v>
      </c>
      <c r="B12477" s="1" t="s">
        <v>2420</v>
      </c>
      <c r="C12477" s="1" t="s">
        <v>89</v>
      </c>
      <c r="D12477" s="3">
        <f>VALUE("8468")</f>
        <v>8468</v>
      </c>
      <c r="E12477" s="2">
        <f>DATEVALUE("1-3-2019")</f>
        <v>43525</v>
      </c>
      <c r="F12477" s="2">
        <f>DATEVALUE("30-11-2019")</f>
        <v>43799</v>
      </c>
    </row>
    <row r="12478" spans="1:6" x14ac:dyDescent="0.25">
      <c r="A12478" s="1" t="s">
        <v>836</v>
      </c>
      <c r="B12478" s="1" t="s">
        <v>2420</v>
      </c>
      <c r="C12478" s="1" t="s">
        <v>73</v>
      </c>
      <c r="D12478" s="3">
        <f>VALUE("8468")</f>
        <v>8468</v>
      </c>
      <c r="E12478" s="2">
        <f>DATEVALUE("1-3-2019")</f>
        <v>43525</v>
      </c>
      <c r="F12478" s="2">
        <f>DATEVALUE("30-11-2019")</f>
        <v>43799</v>
      </c>
    </row>
    <row r="12479" spans="1:6" x14ac:dyDescent="0.25">
      <c r="A12479" s="1" t="s">
        <v>836</v>
      </c>
      <c r="B12479" s="1" t="s">
        <v>835</v>
      </c>
      <c r="C12479" s="1" t="s">
        <v>89</v>
      </c>
      <c r="D12479" s="3">
        <f>VALUE("8063")</f>
        <v>8063</v>
      </c>
      <c r="E12479" s="2">
        <f>DATEVALUE("1-6-2017")</f>
        <v>42887</v>
      </c>
      <c r="F12479" s="2">
        <f>DATEVALUE("31-12-2020")</f>
        <v>44196</v>
      </c>
    </row>
    <row r="12480" spans="1:6" x14ac:dyDescent="0.25">
      <c r="A12480" s="1" t="s">
        <v>836</v>
      </c>
      <c r="B12480" s="1" t="s">
        <v>835</v>
      </c>
      <c r="C12480" s="1" t="s">
        <v>73</v>
      </c>
      <c r="D12480" s="3">
        <f>VALUE("8063")</f>
        <v>8063</v>
      </c>
      <c r="E12480" s="2">
        <f>DATEVALUE("1-6-2017")</f>
        <v>42887</v>
      </c>
      <c r="F12480" s="2">
        <f>DATEVALUE("31-12-2020")</f>
        <v>44196</v>
      </c>
    </row>
    <row r="12481" spans="1:6" x14ac:dyDescent="0.25">
      <c r="A12481" s="1" t="s">
        <v>836</v>
      </c>
      <c r="B12481" s="1" t="s">
        <v>835</v>
      </c>
      <c r="C12481" s="1" t="s">
        <v>837</v>
      </c>
      <c r="D12481" s="3">
        <f>VALUE("8063")</f>
        <v>8063</v>
      </c>
      <c r="E12481" s="2">
        <f>DATEVALUE("1-6-2017")</f>
        <v>42887</v>
      </c>
      <c r="F12481" s="2">
        <f>DATEVALUE("31-12-2020")</f>
        <v>44196</v>
      </c>
    </row>
    <row r="12482" spans="1:6" x14ac:dyDescent="0.25">
      <c r="A12482" s="1" t="s">
        <v>836</v>
      </c>
      <c r="B12482" s="1" t="s">
        <v>1752</v>
      </c>
      <c r="C12482" s="1" t="s">
        <v>7</v>
      </c>
      <c r="D12482" s="3">
        <f t="shared" ref="D12482:D12491" si="1982">VALUE("7876")</f>
        <v>7876</v>
      </c>
      <c r="E12482" s="2">
        <f t="shared" ref="E12482:E12491" si="1983">DATEVALUE("1-8-2016")</f>
        <v>42583</v>
      </c>
      <c r="F12482" s="2">
        <f t="shared" ref="F12482:F12491" si="1984">DATEVALUE("31-12-2019")</f>
        <v>43830</v>
      </c>
    </row>
    <row r="12483" spans="1:6" x14ac:dyDescent="0.25">
      <c r="A12483" s="1" t="s">
        <v>836</v>
      </c>
      <c r="B12483" s="1" t="s">
        <v>1752</v>
      </c>
      <c r="C12483" s="1" t="s">
        <v>5</v>
      </c>
      <c r="D12483" s="3">
        <f t="shared" si="1982"/>
        <v>7876</v>
      </c>
      <c r="E12483" s="2">
        <f t="shared" si="1983"/>
        <v>42583</v>
      </c>
      <c r="F12483" s="2">
        <f t="shared" si="1984"/>
        <v>43830</v>
      </c>
    </row>
    <row r="12484" spans="1:6" x14ac:dyDescent="0.25">
      <c r="A12484" s="1" t="s">
        <v>836</v>
      </c>
      <c r="B12484" s="1" t="s">
        <v>1752</v>
      </c>
      <c r="C12484" s="1" t="s">
        <v>13</v>
      </c>
      <c r="D12484" s="3">
        <f t="shared" si="1982"/>
        <v>7876</v>
      </c>
      <c r="E12484" s="2">
        <f t="shared" si="1983"/>
        <v>42583</v>
      </c>
      <c r="F12484" s="2">
        <f t="shared" si="1984"/>
        <v>43830</v>
      </c>
    </row>
    <row r="12485" spans="1:6" x14ac:dyDescent="0.25">
      <c r="A12485" s="1" t="s">
        <v>836</v>
      </c>
      <c r="B12485" s="1" t="s">
        <v>1752</v>
      </c>
      <c r="C12485" s="1" t="s">
        <v>222</v>
      </c>
      <c r="D12485" s="3">
        <f t="shared" si="1982"/>
        <v>7876</v>
      </c>
      <c r="E12485" s="2">
        <f t="shared" si="1983"/>
        <v>42583</v>
      </c>
      <c r="F12485" s="2">
        <f t="shared" si="1984"/>
        <v>43830</v>
      </c>
    </row>
    <row r="12486" spans="1:6" x14ac:dyDescent="0.25">
      <c r="A12486" s="1" t="s">
        <v>836</v>
      </c>
      <c r="B12486" s="1" t="s">
        <v>1752</v>
      </c>
      <c r="C12486" s="1" t="s">
        <v>228</v>
      </c>
      <c r="D12486" s="3">
        <f t="shared" si="1982"/>
        <v>7876</v>
      </c>
      <c r="E12486" s="2">
        <f t="shared" si="1983"/>
        <v>42583</v>
      </c>
      <c r="F12486" s="2">
        <f t="shared" si="1984"/>
        <v>43830</v>
      </c>
    </row>
    <row r="12487" spans="1:6" x14ac:dyDescent="0.25">
      <c r="A12487" s="1" t="s">
        <v>836</v>
      </c>
      <c r="B12487" s="1" t="s">
        <v>1752</v>
      </c>
      <c r="C12487" s="1" t="s">
        <v>28</v>
      </c>
      <c r="D12487" s="3">
        <f t="shared" si="1982"/>
        <v>7876</v>
      </c>
      <c r="E12487" s="2">
        <f t="shared" si="1983"/>
        <v>42583</v>
      </c>
      <c r="F12487" s="2">
        <f t="shared" si="1984"/>
        <v>43830</v>
      </c>
    </row>
    <row r="12488" spans="1:6" x14ac:dyDescent="0.25">
      <c r="A12488" s="1" t="s">
        <v>836</v>
      </c>
      <c r="B12488" s="1" t="s">
        <v>1752</v>
      </c>
      <c r="C12488" s="1" t="s">
        <v>229</v>
      </c>
      <c r="D12488" s="3">
        <f t="shared" si="1982"/>
        <v>7876</v>
      </c>
      <c r="E12488" s="2">
        <f t="shared" si="1983"/>
        <v>42583</v>
      </c>
      <c r="F12488" s="2">
        <f t="shared" si="1984"/>
        <v>43830</v>
      </c>
    </row>
    <row r="12489" spans="1:6" x14ac:dyDescent="0.25">
      <c r="A12489" s="1" t="s">
        <v>836</v>
      </c>
      <c r="B12489" s="1" t="s">
        <v>1752</v>
      </c>
      <c r="C12489" s="1" t="s">
        <v>30</v>
      </c>
      <c r="D12489" s="3">
        <f t="shared" si="1982"/>
        <v>7876</v>
      </c>
      <c r="E12489" s="2">
        <f t="shared" si="1983"/>
        <v>42583</v>
      </c>
      <c r="F12489" s="2">
        <f t="shared" si="1984"/>
        <v>43830</v>
      </c>
    </row>
    <row r="12490" spans="1:6" x14ac:dyDescent="0.25">
      <c r="A12490" s="1" t="s">
        <v>836</v>
      </c>
      <c r="B12490" s="1" t="s">
        <v>1752</v>
      </c>
      <c r="C12490" s="1" t="s">
        <v>238</v>
      </c>
      <c r="D12490" s="3">
        <f t="shared" si="1982"/>
        <v>7876</v>
      </c>
      <c r="E12490" s="2">
        <f t="shared" si="1983"/>
        <v>42583</v>
      </c>
      <c r="F12490" s="2">
        <f t="shared" si="1984"/>
        <v>43830</v>
      </c>
    </row>
    <row r="12491" spans="1:6" x14ac:dyDescent="0.25">
      <c r="A12491" s="1" t="s">
        <v>836</v>
      </c>
      <c r="B12491" s="1" t="s">
        <v>1752</v>
      </c>
      <c r="C12491" s="1" t="s">
        <v>240</v>
      </c>
      <c r="D12491" s="3">
        <f t="shared" si="1982"/>
        <v>7876</v>
      </c>
      <c r="E12491" s="2">
        <f t="shared" si="1983"/>
        <v>42583</v>
      </c>
      <c r="F12491" s="2">
        <f t="shared" si="1984"/>
        <v>43830</v>
      </c>
    </row>
    <row r="12492" spans="1:6" x14ac:dyDescent="0.25">
      <c r="A12492" s="1" t="s">
        <v>836</v>
      </c>
      <c r="B12492" s="1" t="s">
        <v>2724</v>
      </c>
      <c r="C12492" s="1" t="s">
        <v>7</v>
      </c>
      <c r="D12492" s="3">
        <f t="shared" ref="D12492:D12508" si="1985">VALUE("7494")</f>
        <v>7494</v>
      </c>
      <c r="E12492" s="2">
        <f t="shared" ref="E12492:E12508" si="1986">DATEVALUE("1-5-2013")</f>
        <v>41395</v>
      </c>
      <c r="F12492" s="2">
        <f t="shared" ref="F12492:F12508" si="1987">DATEVALUE("31-12-2014")</f>
        <v>42004</v>
      </c>
    </row>
    <row r="12493" spans="1:6" x14ac:dyDescent="0.25">
      <c r="A12493" s="1" t="s">
        <v>836</v>
      </c>
      <c r="B12493" s="1" t="s">
        <v>2724</v>
      </c>
      <c r="C12493" s="1" t="s">
        <v>13</v>
      </c>
      <c r="D12493" s="3">
        <f t="shared" si="1985"/>
        <v>7494</v>
      </c>
      <c r="E12493" s="2">
        <f t="shared" si="1986"/>
        <v>41395</v>
      </c>
      <c r="F12493" s="2">
        <f t="shared" si="1987"/>
        <v>42004</v>
      </c>
    </row>
    <row r="12494" spans="1:6" x14ac:dyDescent="0.25">
      <c r="A12494" s="1" t="s">
        <v>836</v>
      </c>
      <c r="B12494" s="1" t="s">
        <v>2724</v>
      </c>
      <c r="C12494" s="1" t="s">
        <v>222</v>
      </c>
      <c r="D12494" s="3">
        <f t="shared" si="1985"/>
        <v>7494</v>
      </c>
      <c r="E12494" s="2">
        <f t="shared" si="1986"/>
        <v>41395</v>
      </c>
      <c r="F12494" s="2">
        <f t="shared" si="1987"/>
        <v>42004</v>
      </c>
    </row>
    <row r="12495" spans="1:6" x14ac:dyDescent="0.25">
      <c r="A12495" s="1" t="s">
        <v>836</v>
      </c>
      <c r="B12495" s="1" t="s">
        <v>2724</v>
      </c>
      <c r="C12495" s="1" t="s">
        <v>212</v>
      </c>
      <c r="D12495" s="3">
        <f t="shared" si="1985"/>
        <v>7494</v>
      </c>
      <c r="E12495" s="2">
        <f t="shared" si="1986"/>
        <v>41395</v>
      </c>
      <c r="F12495" s="2">
        <f t="shared" si="1987"/>
        <v>42004</v>
      </c>
    </row>
    <row r="12496" spans="1:6" x14ac:dyDescent="0.25">
      <c r="A12496" s="1" t="s">
        <v>836</v>
      </c>
      <c r="B12496" s="1" t="s">
        <v>2724</v>
      </c>
      <c r="C12496" s="1" t="s">
        <v>228</v>
      </c>
      <c r="D12496" s="3">
        <f t="shared" si="1985"/>
        <v>7494</v>
      </c>
      <c r="E12496" s="2">
        <f t="shared" si="1986"/>
        <v>41395</v>
      </c>
      <c r="F12496" s="2">
        <f t="shared" si="1987"/>
        <v>42004</v>
      </c>
    </row>
    <row r="12497" spans="1:6" x14ac:dyDescent="0.25">
      <c r="A12497" s="1" t="s">
        <v>836</v>
      </c>
      <c r="B12497" s="1" t="s">
        <v>2724</v>
      </c>
      <c r="C12497" s="1" t="s">
        <v>28</v>
      </c>
      <c r="D12497" s="3">
        <f t="shared" si="1985"/>
        <v>7494</v>
      </c>
      <c r="E12497" s="2">
        <f t="shared" si="1986"/>
        <v>41395</v>
      </c>
      <c r="F12497" s="2">
        <f t="shared" si="1987"/>
        <v>42004</v>
      </c>
    </row>
    <row r="12498" spans="1:6" x14ac:dyDescent="0.25">
      <c r="A12498" s="1" t="s">
        <v>836</v>
      </c>
      <c r="B12498" s="1" t="s">
        <v>2724</v>
      </c>
      <c r="C12498" s="1" t="s">
        <v>229</v>
      </c>
      <c r="D12498" s="3">
        <f t="shared" si="1985"/>
        <v>7494</v>
      </c>
      <c r="E12498" s="2">
        <f t="shared" si="1986"/>
        <v>41395</v>
      </c>
      <c r="F12498" s="2">
        <f t="shared" si="1987"/>
        <v>42004</v>
      </c>
    </row>
    <row r="12499" spans="1:6" x14ac:dyDescent="0.25">
      <c r="A12499" s="1" t="s">
        <v>836</v>
      </c>
      <c r="B12499" s="1" t="s">
        <v>2724</v>
      </c>
      <c r="C12499" s="1" t="s">
        <v>230</v>
      </c>
      <c r="D12499" s="3">
        <f t="shared" si="1985"/>
        <v>7494</v>
      </c>
      <c r="E12499" s="2">
        <f t="shared" si="1986"/>
        <v>41395</v>
      </c>
      <c r="F12499" s="2">
        <f t="shared" si="1987"/>
        <v>42004</v>
      </c>
    </row>
    <row r="12500" spans="1:6" x14ac:dyDescent="0.25">
      <c r="A12500" s="1" t="s">
        <v>836</v>
      </c>
      <c r="B12500" s="1" t="s">
        <v>2724</v>
      </c>
      <c r="C12500" s="1" t="s">
        <v>231</v>
      </c>
      <c r="D12500" s="3">
        <f t="shared" si="1985"/>
        <v>7494</v>
      </c>
      <c r="E12500" s="2">
        <f t="shared" si="1986"/>
        <v>41395</v>
      </c>
      <c r="F12500" s="2">
        <f t="shared" si="1987"/>
        <v>42004</v>
      </c>
    </row>
    <row r="12501" spans="1:6" x14ac:dyDescent="0.25">
      <c r="A12501" s="1" t="s">
        <v>836</v>
      </c>
      <c r="B12501" s="1" t="s">
        <v>2724</v>
      </c>
      <c r="C12501" s="1" t="s">
        <v>232</v>
      </c>
      <c r="D12501" s="3">
        <f t="shared" si="1985"/>
        <v>7494</v>
      </c>
      <c r="E12501" s="2">
        <f t="shared" si="1986"/>
        <v>41395</v>
      </c>
      <c r="F12501" s="2">
        <f t="shared" si="1987"/>
        <v>42004</v>
      </c>
    </row>
    <row r="12502" spans="1:6" x14ac:dyDescent="0.25">
      <c r="A12502" s="1" t="s">
        <v>836</v>
      </c>
      <c r="B12502" s="1" t="s">
        <v>2724</v>
      </c>
      <c r="C12502" s="1" t="s">
        <v>30</v>
      </c>
      <c r="D12502" s="3">
        <f t="shared" si="1985"/>
        <v>7494</v>
      </c>
      <c r="E12502" s="2">
        <f t="shared" si="1986"/>
        <v>41395</v>
      </c>
      <c r="F12502" s="2">
        <f t="shared" si="1987"/>
        <v>42004</v>
      </c>
    </row>
    <row r="12503" spans="1:6" x14ac:dyDescent="0.25">
      <c r="A12503" s="1" t="s">
        <v>836</v>
      </c>
      <c r="B12503" s="1" t="s">
        <v>2724</v>
      </c>
      <c r="C12503" s="1" t="s">
        <v>235</v>
      </c>
      <c r="D12503" s="3">
        <f t="shared" si="1985"/>
        <v>7494</v>
      </c>
      <c r="E12503" s="2">
        <f t="shared" si="1986"/>
        <v>41395</v>
      </c>
      <c r="F12503" s="2">
        <f t="shared" si="1987"/>
        <v>42004</v>
      </c>
    </row>
    <row r="12504" spans="1:6" x14ac:dyDescent="0.25">
      <c r="A12504" s="1" t="s">
        <v>836</v>
      </c>
      <c r="B12504" s="1" t="s">
        <v>2724</v>
      </c>
      <c r="C12504" s="1" t="s">
        <v>237</v>
      </c>
      <c r="D12504" s="3">
        <f t="shared" si="1985"/>
        <v>7494</v>
      </c>
      <c r="E12504" s="2">
        <f t="shared" si="1986"/>
        <v>41395</v>
      </c>
      <c r="F12504" s="2">
        <f t="shared" si="1987"/>
        <v>42004</v>
      </c>
    </row>
    <row r="12505" spans="1:6" x14ac:dyDescent="0.25">
      <c r="A12505" s="1" t="s">
        <v>836</v>
      </c>
      <c r="B12505" s="1" t="s">
        <v>2724</v>
      </c>
      <c r="C12505" s="1" t="s">
        <v>239</v>
      </c>
      <c r="D12505" s="3">
        <f t="shared" si="1985"/>
        <v>7494</v>
      </c>
      <c r="E12505" s="2">
        <f t="shared" si="1986"/>
        <v>41395</v>
      </c>
      <c r="F12505" s="2">
        <f t="shared" si="1987"/>
        <v>42004</v>
      </c>
    </row>
    <row r="12506" spans="1:6" x14ac:dyDescent="0.25">
      <c r="A12506" s="1" t="s">
        <v>836</v>
      </c>
      <c r="B12506" s="1" t="s">
        <v>2724</v>
      </c>
      <c r="C12506" s="1" t="s">
        <v>240</v>
      </c>
      <c r="D12506" s="3">
        <f t="shared" si="1985"/>
        <v>7494</v>
      </c>
      <c r="E12506" s="2">
        <f t="shared" si="1986"/>
        <v>41395</v>
      </c>
      <c r="F12506" s="2">
        <f t="shared" si="1987"/>
        <v>42004</v>
      </c>
    </row>
    <row r="12507" spans="1:6" x14ac:dyDescent="0.25">
      <c r="A12507" s="1" t="s">
        <v>836</v>
      </c>
      <c r="B12507" s="1" t="s">
        <v>2724</v>
      </c>
      <c r="C12507" s="1" t="s">
        <v>31</v>
      </c>
      <c r="D12507" s="3">
        <f t="shared" si="1985"/>
        <v>7494</v>
      </c>
      <c r="E12507" s="2">
        <f t="shared" si="1986"/>
        <v>41395</v>
      </c>
      <c r="F12507" s="2">
        <f t="shared" si="1987"/>
        <v>42004</v>
      </c>
    </row>
    <row r="12508" spans="1:6" x14ac:dyDescent="0.25">
      <c r="A12508" s="1" t="s">
        <v>836</v>
      </c>
      <c r="B12508" s="1" t="s">
        <v>2724</v>
      </c>
      <c r="C12508" s="1" t="s">
        <v>213</v>
      </c>
      <c r="D12508" s="3">
        <f t="shared" si="1985"/>
        <v>7494</v>
      </c>
      <c r="E12508" s="2">
        <f t="shared" si="1986"/>
        <v>41395</v>
      </c>
      <c r="F12508" s="2">
        <f t="shared" si="1987"/>
        <v>42004</v>
      </c>
    </row>
    <row r="12509" spans="1:6" x14ac:dyDescent="0.25">
      <c r="A12509" s="1" t="s">
        <v>836</v>
      </c>
      <c r="B12509" s="1" t="s">
        <v>2709</v>
      </c>
      <c r="C12509" s="1" t="s">
        <v>45</v>
      </c>
      <c r="D12509" s="3">
        <f>VALUE("7443")</f>
        <v>7443</v>
      </c>
      <c r="E12509" s="2">
        <f>DATEVALUE("1-12-2012")</f>
        <v>41244</v>
      </c>
      <c r="F12509" s="2">
        <f>DATEVALUE("31-10-2013")</f>
        <v>41578</v>
      </c>
    </row>
    <row r="12510" spans="1:6" x14ac:dyDescent="0.25">
      <c r="A12510" s="1" t="s">
        <v>836</v>
      </c>
      <c r="B12510" s="1" t="s">
        <v>2709</v>
      </c>
      <c r="C12510" s="1" t="s">
        <v>69</v>
      </c>
      <c r="D12510" s="3">
        <f>VALUE("7443")</f>
        <v>7443</v>
      </c>
      <c r="E12510" s="2">
        <f>DATEVALUE("1-12-2012")</f>
        <v>41244</v>
      </c>
      <c r="F12510" s="2">
        <f>DATEVALUE("31-10-2013")</f>
        <v>41578</v>
      </c>
    </row>
    <row r="12511" spans="1:6" x14ac:dyDescent="0.25">
      <c r="A12511" s="1" t="s">
        <v>836</v>
      </c>
      <c r="B12511" s="1" t="s">
        <v>2709</v>
      </c>
      <c r="C12511" s="1" t="s">
        <v>334</v>
      </c>
      <c r="D12511" s="3">
        <f>VALUE("7443")</f>
        <v>7443</v>
      </c>
      <c r="E12511" s="2">
        <f>DATEVALUE("1-12-2012")</f>
        <v>41244</v>
      </c>
      <c r="F12511" s="2">
        <f>DATEVALUE("31-10-2013")</f>
        <v>41578</v>
      </c>
    </row>
    <row r="12512" spans="1:6" x14ac:dyDescent="0.25">
      <c r="A12512" s="1" t="s">
        <v>836</v>
      </c>
      <c r="B12512" s="1" t="s">
        <v>2124</v>
      </c>
      <c r="C12512" s="1" t="s">
        <v>8</v>
      </c>
      <c r="D12512" s="3">
        <f t="shared" ref="D12512:D12518" si="1988">VALUE("7272")</f>
        <v>7272</v>
      </c>
      <c r="E12512" s="2">
        <f t="shared" ref="E12512:E12518" si="1989">DATEVALUE("1-1-2012")</f>
        <v>40909</v>
      </c>
      <c r="F12512" s="2">
        <f t="shared" ref="F12512:F12518" si="1990">DATEVALUE("31-3-2016")</f>
        <v>42460</v>
      </c>
    </row>
    <row r="12513" spans="1:6" x14ac:dyDescent="0.25">
      <c r="A12513" s="1" t="s">
        <v>836</v>
      </c>
      <c r="B12513" s="1" t="s">
        <v>2124</v>
      </c>
      <c r="C12513" s="1" t="s">
        <v>10</v>
      </c>
      <c r="D12513" s="3">
        <f t="shared" si="1988"/>
        <v>7272</v>
      </c>
      <c r="E12513" s="2">
        <f t="shared" si="1989"/>
        <v>40909</v>
      </c>
      <c r="F12513" s="2">
        <f t="shared" si="1990"/>
        <v>42460</v>
      </c>
    </row>
    <row r="12514" spans="1:6" x14ac:dyDescent="0.25">
      <c r="A12514" s="1" t="s">
        <v>836</v>
      </c>
      <c r="B12514" s="1" t="s">
        <v>2124</v>
      </c>
      <c r="C12514" s="1" t="s">
        <v>11</v>
      </c>
      <c r="D12514" s="3">
        <f t="shared" si="1988"/>
        <v>7272</v>
      </c>
      <c r="E12514" s="2">
        <f t="shared" si="1989"/>
        <v>40909</v>
      </c>
      <c r="F12514" s="2">
        <f t="shared" si="1990"/>
        <v>42460</v>
      </c>
    </row>
    <row r="12515" spans="1:6" x14ac:dyDescent="0.25">
      <c r="A12515" s="1" t="s">
        <v>836</v>
      </c>
      <c r="B12515" s="1" t="s">
        <v>2124</v>
      </c>
      <c r="C12515" s="1" t="s">
        <v>1859</v>
      </c>
      <c r="D12515" s="3">
        <f t="shared" si="1988"/>
        <v>7272</v>
      </c>
      <c r="E12515" s="2">
        <f t="shared" si="1989"/>
        <v>40909</v>
      </c>
      <c r="F12515" s="2">
        <f t="shared" si="1990"/>
        <v>42460</v>
      </c>
    </row>
    <row r="12516" spans="1:6" x14ac:dyDescent="0.25">
      <c r="A12516" s="1" t="s">
        <v>836</v>
      </c>
      <c r="B12516" s="1" t="s">
        <v>2124</v>
      </c>
      <c r="C12516" s="1" t="s">
        <v>45</v>
      </c>
      <c r="D12516" s="3">
        <f t="shared" si="1988"/>
        <v>7272</v>
      </c>
      <c r="E12516" s="2">
        <f t="shared" si="1989"/>
        <v>40909</v>
      </c>
      <c r="F12516" s="2">
        <f t="shared" si="1990"/>
        <v>42460</v>
      </c>
    </row>
    <row r="12517" spans="1:6" x14ac:dyDescent="0.25">
      <c r="A12517" s="1" t="s">
        <v>836</v>
      </c>
      <c r="B12517" s="1" t="s">
        <v>2124</v>
      </c>
      <c r="C12517" s="1" t="s">
        <v>22</v>
      </c>
      <c r="D12517" s="3">
        <f t="shared" si="1988"/>
        <v>7272</v>
      </c>
      <c r="E12517" s="2">
        <f t="shared" si="1989"/>
        <v>40909</v>
      </c>
      <c r="F12517" s="2">
        <f t="shared" si="1990"/>
        <v>42460</v>
      </c>
    </row>
    <row r="12518" spans="1:6" x14ac:dyDescent="0.25">
      <c r="A12518" s="1" t="s">
        <v>836</v>
      </c>
      <c r="B12518" s="1" t="s">
        <v>2124</v>
      </c>
      <c r="C12518" s="1" t="s">
        <v>349</v>
      </c>
      <c r="D12518" s="3">
        <f t="shared" si="1988"/>
        <v>7272</v>
      </c>
      <c r="E12518" s="2">
        <f t="shared" si="1989"/>
        <v>40909</v>
      </c>
      <c r="F12518" s="2">
        <f t="shared" si="1990"/>
        <v>42460</v>
      </c>
    </row>
    <row r="12519" spans="1:6" x14ac:dyDescent="0.25">
      <c r="A12519" s="1" t="s">
        <v>901</v>
      </c>
      <c r="B12519" s="1" t="s">
        <v>900</v>
      </c>
      <c r="C12519" s="1" t="s">
        <v>6</v>
      </c>
      <c r="D12519" s="3">
        <f>VALUE("8149")</f>
        <v>8149</v>
      </c>
      <c r="E12519" s="2">
        <f>DATEVALUE("1-11-2017")</f>
        <v>43040</v>
      </c>
      <c r="F12519" s="2">
        <f>DATEVALUE("31-12-2019")</f>
        <v>43830</v>
      </c>
    </row>
    <row r="12520" spans="1:6" x14ac:dyDescent="0.25">
      <c r="A12520" s="1" t="s">
        <v>901</v>
      </c>
      <c r="B12520" s="1" t="s">
        <v>900</v>
      </c>
      <c r="C12520" s="1" t="s">
        <v>212</v>
      </c>
      <c r="D12520" s="3">
        <f>VALUE("8149")</f>
        <v>8149</v>
      </c>
      <c r="E12520" s="2">
        <f>DATEVALUE("1-11-2017")</f>
        <v>43040</v>
      </c>
      <c r="F12520" s="2">
        <f>DATEVALUE("31-12-2019")</f>
        <v>43830</v>
      </c>
    </row>
    <row r="12521" spans="1:6" x14ac:dyDescent="0.25">
      <c r="A12521" s="1" t="s">
        <v>901</v>
      </c>
      <c r="B12521" s="1" t="s">
        <v>900</v>
      </c>
      <c r="C12521" s="1" t="s">
        <v>53</v>
      </c>
      <c r="D12521" s="3">
        <f>VALUE("8149")</f>
        <v>8149</v>
      </c>
      <c r="E12521" s="2">
        <f>DATEVALUE("1-11-2017")</f>
        <v>43040</v>
      </c>
      <c r="F12521" s="2">
        <f>DATEVALUE("31-12-2019")</f>
        <v>43830</v>
      </c>
    </row>
    <row r="12522" spans="1:6" x14ac:dyDescent="0.25">
      <c r="A12522" s="1" t="s">
        <v>1832</v>
      </c>
      <c r="B12522" s="1" t="s">
        <v>1831</v>
      </c>
      <c r="C12522" s="1" t="s">
        <v>17</v>
      </c>
      <c r="D12522" s="3">
        <f>VALUE("8716")</f>
        <v>8716</v>
      </c>
      <c r="E12522" s="2">
        <f>DATEVALUE("1-3-2020")</f>
        <v>43891</v>
      </c>
      <c r="F12522" s="2">
        <f>DATEVALUE("31-8-2020")</f>
        <v>44074</v>
      </c>
    </row>
    <row r="12523" spans="1:6" x14ac:dyDescent="0.25">
      <c r="A12523" s="1" t="s">
        <v>1832</v>
      </c>
      <c r="B12523" s="1" t="s">
        <v>1831</v>
      </c>
      <c r="C12523" s="1" t="s">
        <v>52</v>
      </c>
      <c r="D12523" s="3">
        <f>VALUE("8716")</f>
        <v>8716</v>
      </c>
      <c r="E12523" s="2">
        <f>DATEVALUE("1-3-2020")</f>
        <v>43891</v>
      </c>
      <c r="F12523" s="2">
        <f>DATEVALUE("31-8-2020")</f>
        <v>44074</v>
      </c>
    </row>
    <row r="12524" spans="1:6" x14ac:dyDescent="0.25">
      <c r="A12524" s="1" t="s">
        <v>1749</v>
      </c>
      <c r="B12524" s="1" t="s">
        <v>1748</v>
      </c>
      <c r="C12524" s="1" t="s">
        <v>863</v>
      </c>
      <c r="D12524" s="3">
        <f>VALUE("7864")</f>
        <v>7864</v>
      </c>
      <c r="E12524" s="2">
        <f>DATEVALUE("1-3-2016")</f>
        <v>42430</v>
      </c>
      <c r="F12524" s="2">
        <f>DATEVALUE("31-3-2016")</f>
        <v>42460</v>
      </c>
    </row>
    <row r="12525" spans="1:6" x14ac:dyDescent="0.25">
      <c r="A12525" s="1" t="s">
        <v>1749</v>
      </c>
      <c r="B12525" s="1" t="s">
        <v>1748</v>
      </c>
      <c r="C12525" s="1" t="s">
        <v>310</v>
      </c>
      <c r="D12525" s="3">
        <f>VALUE("7864")</f>
        <v>7864</v>
      </c>
      <c r="E12525" s="2">
        <f>DATEVALUE("1-3-2016")</f>
        <v>42430</v>
      </c>
      <c r="F12525" s="2">
        <f>DATEVALUE("31-3-2016")</f>
        <v>42460</v>
      </c>
    </row>
    <row r="12526" spans="1:6" x14ac:dyDescent="0.25">
      <c r="A12526" s="1" t="s">
        <v>894</v>
      </c>
      <c r="B12526" s="1" t="s">
        <v>893</v>
      </c>
      <c r="C12526" s="1" t="s">
        <v>40</v>
      </c>
      <c r="D12526" s="3">
        <f t="shared" ref="D12526:D12550" si="1991">VALUE("8124")</f>
        <v>8124</v>
      </c>
      <c r="E12526" s="2">
        <f t="shared" ref="E12526:E12550" si="1992">DATEVALUE("1-12-2017")</f>
        <v>43070</v>
      </c>
      <c r="F12526" s="2">
        <f t="shared" ref="F12526:F12550" si="1993">DATEVALUE("30-11-2020")</f>
        <v>44165</v>
      </c>
    </row>
    <row r="12527" spans="1:6" x14ac:dyDescent="0.25">
      <c r="A12527" s="1" t="s">
        <v>894</v>
      </c>
      <c r="B12527" s="1" t="s">
        <v>893</v>
      </c>
      <c r="C12527" s="1" t="s">
        <v>41</v>
      </c>
      <c r="D12527" s="3">
        <f t="shared" si="1991"/>
        <v>8124</v>
      </c>
      <c r="E12527" s="2">
        <f t="shared" si="1992"/>
        <v>43070</v>
      </c>
      <c r="F12527" s="2">
        <f t="shared" si="1993"/>
        <v>44165</v>
      </c>
    </row>
    <row r="12528" spans="1:6" x14ac:dyDescent="0.25">
      <c r="A12528" s="1" t="s">
        <v>894</v>
      </c>
      <c r="B12528" s="1" t="s">
        <v>893</v>
      </c>
      <c r="C12528" s="1" t="s">
        <v>15</v>
      </c>
      <c r="D12528" s="3">
        <f t="shared" si="1991"/>
        <v>8124</v>
      </c>
      <c r="E12528" s="2">
        <f t="shared" si="1992"/>
        <v>43070</v>
      </c>
      <c r="F12528" s="2">
        <f t="shared" si="1993"/>
        <v>44165</v>
      </c>
    </row>
    <row r="12529" spans="1:6" x14ac:dyDescent="0.25">
      <c r="A12529" s="1" t="s">
        <v>894</v>
      </c>
      <c r="B12529" s="1" t="s">
        <v>893</v>
      </c>
      <c r="C12529" s="1" t="s">
        <v>17</v>
      </c>
      <c r="D12529" s="3">
        <f t="shared" si="1991"/>
        <v>8124</v>
      </c>
      <c r="E12529" s="2">
        <f t="shared" si="1992"/>
        <v>43070</v>
      </c>
      <c r="F12529" s="2">
        <f t="shared" si="1993"/>
        <v>44165</v>
      </c>
    </row>
    <row r="12530" spans="1:6" x14ac:dyDescent="0.25">
      <c r="A12530" s="1" t="s">
        <v>894</v>
      </c>
      <c r="B12530" s="1" t="s">
        <v>893</v>
      </c>
      <c r="C12530" s="1" t="s">
        <v>168</v>
      </c>
      <c r="D12530" s="3">
        <f t="shared" si="1991"/>
        <v>8124</v>
      </c>
      <c r="E12530" s="2">
        <f t="shared" si="1992"/>
        <v>43070</v>
      </c>
      <c r="F12530" s="2">
        <f t="shared" si="1993"/>
        <v>44165</v>
      </c>
    </row>
    <row r="12531" spans="1:6" x14ac:dyDescent="0.25">
      <c r="A12531" s="1" t="s">
        <v>894</v>
      </c>
      <c r="B12531" s="1" t="s">
        <v>893</v>
      </c>
      <c r="C12531" s="1" t="s">
        <v>499</v>
      </c>
      <c r="D12531" s="3">
        <f t="shared" si="1991"/>
        <v>8124</v>
      </c>
      <c r="E12531" s="2">
        <f t="shared" si="1992"/>
        <v>43070</v>
      </c>
      <c r="F12531" s="2">
        <f t="shared" si="1993"/>
        <v>44165</v>
      </c>
    </row>
    <row r="12532" spans="1:6" x14ac:dyDescent="0.25">
      <c r="A12532" s="1" t="s">
        <v>894</v>
      </c>
      <c r="B12532" s="1" t="s">
        <v>893</v>
      </c>
      <c r="C12532" s="1" t="s">
        <v>501</v>
      </c>
      <c r="D12532" s="3">
        <f t="shared" si="1991"/>
        <v>8124</v>
      </c>
      <c r="E12532" s="2">
        <f t="shared" si="1992"/>
        <v>43070</v>
      </c>
      <c r="F12532" s="2">
        <f t="shared" si="1993"/>
        <v>44165</v>
      </c>
    </row>
    <row r="12533" spans="1:6" x14ac:dyDescent="0.25">
      <c r="A12533" s="1" t="s">
        <v>894</v>
      </c>
      <c r="B12533" s="1" t="s">
        <v>893</v>
      </c>
      <c r="C12533" s="1" t="s">
        <v>144</v>
      </c>
      <c r="D12533" s="3">
        <f t="shared" si="1991"/>
        <v>8124</v>
      </c>
      <c r="E12533" s="2">
        <f t="shared" si="1992"/>
        <v>43070</v>
      </c>
      <c r="F12533" s="2">
        <f t="shared" si="1993"/>
        <v>44165</v>
      </c>
    </row>
    <row r="12534" spans="1:6" x14ac:dyDescent="0.25">
      <c r="A12534" s="1" t="s">
        <v>894</v>
      </c>
      <c r="B12534" s="1" t="s">
        <v>893</v>
      </c>
      <c r="C12534" s="1" t="s">
        <v>258</v>
      </c>
      <c r="D12534" s="3">
        <f t="shared" si="1991"/>
        <v>8124</v>
      </c>
      <c r="E12534" s="2">
        <f t="shared" si="1992"/>
        <v>43070</v>
      </c>
      <c r="F12534" s="2">
        <f t="shared" si="1993"/>
        <v>44165</v>
      </c>
    </row>
    <row r="12535" spans="1:6" x14ac:dyDescent="0.25">
      <c r="A12535" s="1" t="s">
        <v>894</v>
      </c>
      <c r="B12535" s="1" t="s">
        <v>893</v>
      </c>
      <c r="C12535" s="1" t="s">
        <v>383</v>
      </c>
      <c r="D12535" s="3">
        <f t="shared" si="1991"/>
        <v>8124</v>
      </c>
      <c r="E12535" s="2">
        <f t="shared" si="1992"/>
        <v>43070</v>
      </c>
      <c r="F12535" s="2">
        <f t="shared" si="1993"/>
        <v>44165</v>
      </c>
    </row>
    <row r="12536" spans="1:6" x14ac:dyDescent="0.25">
      <c r="A12536" s="1" t="s">
        <v>894</v>
      </c>
      <c r="B12536" s="1" t="s">
        <v>893</v>
      </c>
      <c r="C12536" s="1" t="s">
        <v>94</v>
      </c>
      <c r="D12536" s="3">
        <f t="shared" si="1991"/>
        <v>8124</v>
      </c>
      <c r="E12536" s="2">
        <f t="shared" si="1992"/>
        <v>43070</v>
      </c>
      <c r="F12536" s="2">
        <f t="shared" si="1993"/>
        <v>44165</v>
      </c>
    </row>
    <row r="12537" spans="1:6" x14ac:dyDescent="0.25">
      <c r="A12537" s="1" t="s">
        <v>894</v>
      </c>
      <c r="B12537" s="1" t="s">
        <v>893</v>
      </c>
      <c r="C12537" s="1" t="s">
        <v>573</v>
      </c>
      <c r="D12537" s="3">
        <f t="shared" si="1991"/>
        <v>8124</v>
      </c>
      <c r="E12537" s="2">
        <f t="shared" si="1992"/>
        <v>43070</v>
      </c>
      <c r="F12537" s="2">
        <f t="shared" si="1993"/>
        <v>44165</v>
      </c>
    </row>
    <row r="12538" spans="1:6" x14ac:dyDescent="0.25">
      <c r="A12538" s="1" t="s">
        <v>894</v>
      </c>
      <c r="B12538" s="1" t="s">
        <v>893</v>
      </c>
      <c r="C12538" s="1" t="s">
        <v>99</v>
      </c>
      <c r="D12538" s="3">
        <f t="shared" si="1991"/>
        <v>8124</v>
      </c>
      <c r="E12538" s="2">
        <f t="shared" si="1992"/>
        <v>43070</v>
      </c>
      <c r="F12538" s="2">
        <f t="shared" si="1993"/>
        <v>44165</v>
      </c>
    </row>
    <row r="12539" spans="1:6" x14ac:dyDescent="0.25">
      <c r="A12539" s="1" t="s">
        <v>894</v>
      </c>
      <c r="B12539" s="1" t="s">
        <v>893</v>
      </c>
      <c r="C12539" s="1" t="s">
        <v>533</v>
      </c>
      <c r="D12539" s="3">
        <f t="shared" si="1991"/>
        <v>8124</v>
      </c>
      <c r="E12539" s="2">
        <f t="shared" si="1992"/>
        <v>43070</v>
      </c>
      <c r="F12539" s="2">
        <f t="shared" si="1993"/>
        <v>44165</v>
      </c>
    </row>
    <row r="12540" spans="1:6" x14ac:dyDescent="0.25">
      <c r="A12540" s="1" t="s">
        <v>894</v>
      </c>
      <c r="B12540" s="1" t="s">
        <v>893</v>
      </c>
      <c r="C12540" s="1" t="s">
        <v>72</v>
      </c>
      <c r="D12540" s="3">
        <f t="shared" si="1991"/>
        <v>8124</v>
      </c>
      <c r="E12540" s="2">
        <f t="shared" si="1992"/>
        <v>43070</v>
      </c>
      <c r="F12540" s="2">
        <f t="shared" si="1993"/>
        <v>44165</v>
      </c>
    </row>
    <row r="12541" spans="1:6" x14ac:dyDescent="0.25">
      <c r="A12541" s="1" t="s">
        <v>894</v>
      </c>
      <c r="B12541" s="1" t="s">
        <v>893</v>
      </c>
      <c r="C12541" s="1" t="s">
        <v>104</v>
      </c>
      <c r="D12541" s="3">
        <f t="shared" si="1991"/>
        <v>8124</v>
      </c>
      <c r="E12541" s="2">
        <f t="shared" si="1992"/>
        <v>43070</v>
      </c>
      <c r="F12541" s="2">
        <f t="shared" si="1993"/>
        <v>44165</v>
      </c>
    </row>
    <row r="12542" spans="1:6" x14ac:dyDescent="0.25">
      <c r="A12542" s="1" t="s">
        <v>894</v>
      </c>
      <c r="B12542" s="1" t="s">
        <v>893</v>
      </c>
      <c r="C12542" s="1" t="s">
        <v>52</v>
      </c>
      <c r="D12542" s="3">
        <f t="shared" si="1991"/>
        <v>8124</v>
      </c>
      <c r="E12542" s="2">
        <f t="shared" si="1992"/>
        <v>43070</v>
      </c>
      <c r="F12542" s="2">
        <f t="shared" si="1993"/>
        <v>44165</v>
      </c>
    </row>
    <row r="12543" spans="1:6" x14ac:dyDescent="0.25">
      <c r="A12543" s="1" t="s">
        <v>894</v>
      </c>
      <c r="B12543" s="1" t="s">
        <v>893</v>
      </c>
      <c r="C12543" s="1" t="s">
        <v>378</v>
      </c>
      <c r="D12543" s="3">
        <f t="shared" si="1991"/>
        <v>8124</v>
      </c>
      <c r="E12543" s="2">
        <f t="shared" si="1992"/>
        <v>43070</v>
      </c>
      <c r="F12543" s="2">
        <f t="shared" si="1993"/>
        <v>44165</v>
      </c>
    </row>
    <row r="12544" spans="1:6" x14ac:dyDescent="0.25">
      <c r="A12544" s="1" t="s">
        <v>894</v>
      </c>
      <c r="B12544" s="1" t="s">
        <v>893</v>
      </c>
      <c r="C12544" s="1" t="s">
        <v>115</v>
      </c>
      <c r="D12544" s="3">
        <f t="shared" si="1991"/>
        <v>8124</v>
      </c>
      <c r="E12544" s="2">
        <f t="shared" si="1992"/>
        <v>43070</v>
      </c>
      <c r="F12544" s="2">
        <f t="shared" si="1993"/>
        <v>44165</v>
      </c>
    </row>
    <row r="12545" spans="1:6" x14ac:dyDescent="0.25">
      <c r="A12545" s="1" t="s">
        <v>894</v>
      </c>
      <c r="B12545" s="1" t="s">
        <v>893</v>
      </c>
      <c r="C12545" s="1" t="s">
        <v>131</v>
      </c>
      <c r="D12545" s="3">
        <f t="shared" si="1991"/>
        <v>8124</v>
      </c>
      <c r="E12545" s="2">
        <f t="shared" si="1992"/>
        <v>43070</v>
      </c>
      <c r="F12545" s="2">
        <f t="shared" si="1993"/>
        <v>44165</v>
      </c>
    </row>
    <row r="12546" spans="1:6" x14ac:dyDescent="0.25">
      <c r="A12546" s="1" t="s">
        <v>894</v>
      </c>
      <c r="B12546" s="1" t="s">
        <v>893</v>
      </c>
      <c r="C12546" s="1" t="s">
        <v>132</v>
      </c>
      <c r="D12546" s="3">
        <f t="shared" si="1991"/>
        <v>8124</v>
      </c>
      <c r="E12546" s="2">
        <f t="shared" si="1992"/>
        <v>43070</v>
      </c>
      <c r="F12546" s="2">
        <f t="shared" si="1993"/>
        <v>44165</v>
      </c>
    </row>
    <row r="12547" spans="1:6" x14ac:dyDescent="0.25">
      <c r="A12547" s="1" t="s">
        <v>894</v>
      </c>
      <c r="B12547" s="1" t="s">
        <v>893</v>
      </c>
      <c r="C12547" s="1" t="s">
        <v>380</v>
      </c>
      <c r="D12547" s="3">
        <f t="shared" si="1991"/>
        <v>8124</v>
      </c>
      <c r="E12547" s="2">
        <f t="shared" si="1992"/>
        <v>43070</v>
      </c>
      <c r="F12547" s="2">
        <f t="shared" si="1993"/>
        <v>44165</v>
      </c>
    </row>
    <row r="12548" spans="1:6" x14ac:dyDescent="0.25">
      <c r="A12548" s="1" t="s">
        <v>894</v>
      </c>
      <c r="B12548" s="1" t="s">
        <v>893</v>
      </c>
      <c r="C12548" s="1" t="s">
        <v>381</v>
      </c>
      <c r="D12548" s="3">
        <f t="shared" si="1991"/>
        <v>8124</v>
      </c>
      <c r="E12548" s="2">
        <f t="shared" si="1992"/>
        <v>43070</v>
      </c>
      <c r="F12548" s="2">
        <f t="shared" si="1993"/>
        <v>44165</v>
      </c>
    </row>
    <row r="12549" spans="1:6" x14ac:dyDescent="0.25">
      <c r="A12549" s="1" t="s">
        <v>894</v>
      </c>
      <c r="B12549" s="1" t="s">
        <v>893</v>
      </c>
      <c r="C12549" s="1" t="s">
        <v>170</v>
      </c>
      <c r="D12549" s="3">
        <f t="shared" si="1991"/>
        <v>8124</v>
      </c>
      <c r="E12549" s="2">
        <f t="shared" si="1992"/>
        <v>43070</v>
      </c>
      <c r="F12549" s="2">
        <f t="shared" si="1993"/>
        <v>44165</v>
      </c>
    </row>
    <row r="12550" spans="1:6" x14ac:dyDescent="0.25">
      <c r="A12550" s="1" t="s">
        <v>894</v>
      </c>
      <c r="B12550" s="1" t="s">
        <v>893</v>
      </c>
      <c r="C12550" s="1" t="s">
        <v>117</v>
      </c>
      <c r="D12550" s="3">
        <f t="shared" si="1991"/>
        <v>8124</v>
      </c>
      <c r="E12550" s="2">
        <f t="shared" si="1992"/>
        <v>43070</v>
      </c>
      <c r="F12550" s="2">
        <f t="shared" si="1993"/>
        <v>44165</v>
      </c>
    </row>
    <row r="12551" spans="1:6" x14ac:dyDescent="0.25">
      <c r="A12551" s="1" t="s">
        <v>894</v>
      </c>
      <c r="B12551" s="1" t="s">
        <v>2260</v>
      </c>
      <c r="C12551" s="1" t="s">
        <v>89</v>
      </c>
      <c r="D12551" s="3">
        <f t="shared" ref="D12551:D12565" si="1994">VALUE("7988")</f>
        <v>7988</v>
      </c>
      <c r="E12551" s="2">
        <f t="shared" ref="E12551:E12565" si="1995">DATEVALUE("1-12-2016")</f>
        <v>42705</v>
      </c>
      <c r="F12551" s="2">
        <f t="shared" ref="F12551:F12565" si="1996">DATEVALUE("31-12-2017")</f>
        <v>43100</v>
      </c>
    </row>
    <row r="12552" spans="1:6" x14ac:dyDescent="0.25">
      <c r="A12552" s="1" t="s">
        <v>894</v>
      </c>
      <c r="B12552" s="1" t="s">
        <v>2260</v>
      </c>
      <c r="C12552" s="1" t="s">
        <v>17</v>
      </c>
      <c r="D12552" s="3">
        <f t="shared" si="1994"/>
        <v>7988</v>
      </c>
      <c r="E12552" s="2">
        <f t="shared" si="1995"/>
        <v>42705</v>
      </c>
      <c r="F12552" s="2">
        <f t="shared" si="1996"/>
        <v>43100</v>
      </c>
    </row>
    <row r="12553" spans="1:6" x14ac:dyDescent="0.25">
      <c r="A12553" s="1" t="s">
        <v>894</v>
      </c>
      <c r="B12553" s="1" t="s">
        <v>2260</v>
      </c>
      <c r="C12553" s="1" t="s">
        <v>22</v>
      </c>
      <c r="D12553" s="3">
        <f t="shared" si="1994"/>
        <v>7988</v>
      </c>
      <c r="E12553" s="2">
        <f t="shared" si="1995"/>
        <v>42705</v>
      </c>
      <c r="F12553" s="2">
        <f t="shared" si="1996"/>
        <v>43100</v>
      </c>
    </row>
    <row r="12554" spans="1:6" x14ac:dyDescent="0.25">
      <c r="A12554" s="1" t="s">
        <v>894</v>
      </c>
      <c r="B12554" s="1" t="s">
        <v>2260</v>
      </c>
      <c r="C12554" s="1" t="s">
        <v>146</v>
      </c>
      <c r="D12554" s="3">
        <f t="shared" si="1994"/>
        <v>7988</v>
      </c>
      <c r="E12554" s="2">
        <f t="shared" si="1995"/>
        <v>42705</v>
      </c>
      <c r="F12554" s="2">
        <f t="shared" si="1996"/>
        <v>43100</v>
      </c>
    </row>
    <row r="12555" spans="1:6" x14ac:dyDescent="0.25">
      <c r="A12555" s="1" t="s">
        <v>894</v>
      </c>
      <c r="B12555" s="1" t="s">
        <v>2260</v>
      </c>
      <c r="C12555" s="1" t="s">
        <v>67</v>
      </c>
      <c r="D12555" s="3">
        <f t="shared" si="1994"/>
        <v>7988</v>
      </c>
      <c r="E12555" s="2">
        <f t="shared" si="1995"/>
        <v>42705</v>
      </c>
      <c r="F12555" s="2">
        <f t="shared" si="1996"/>
        <v>43100</v>
      </c>
    </row>
    <row r="12556" spans="1:6" x14ac:dyDescent="0.25">
      <c r="A12556" s="1" t="s">
        <v>894</v>
      </c>
      <c r="B12556" s="1" t="s">
        <v>2260</v>
      </c>
      <c r="C12556" s="1" t="s">
        <v>148</v>
      </c>
      <c r="D12556" s="3">
        <f t="shared" si="1994"/>
        <v>7988</v>
      </c>
      <c r="E12556" s="2">
        <f t="shared" si="1995"/>
        <v>42705</v>
      </c>
      <c r="F12556" s="2">
        <f t="shared" si="1996"/>
        <v>43100</v>
      </c>
    </row>
    <row r="12557" spans="1:6" x14ac:dyDescent="0.25">
      <c r="A12557" s="1" t="s">
        <v>894</v>
      </c>
      <c r="B12557" s="1" t="s">
        <v>2260</v>
      </c>
      <c r="C12557" s="1" t="s">
        <v>149</v>
      </c>
      <c r="D12557" s="3">
        <f t="shared" si="1994"/>
        <v>7988</v>
      </c>
      <c r="E12557" s="2">
        <f t="shared" si="1995"/>
        <v>42705</v>
      </c>
      <c r="F12557" s="2">
        <f t="shared" si="1996"/>
        <v>43100</v>
      </c>
    </row>
    <row r="12558" spans="1:6" x14ac:dyDescent="0.25">
      <c r="A12558" s="1" t="s">
        <v>894</v>
      </c>
      <c r="B12558" s="1" t="s">
        <v>2260</v>
      </c>
      <c r="C12558" s="1" t="s">
        <v>150</v>
      </c>
      <c r="D12558" s="3">
        <f t="shared" si="1994"/>
        <v>7988</v>
      </c>
      <c r="E12558" s="2">
        <f t="shared" si="1995"/>
        <v>42705</v>
      </c>
      <c r="F12558" s="2">
        <f t="shared" si="1996"/>
        <v>43100</v>
      </c>
    </row>
    <row r="12559" spans="1:6" x14ac:dyDescent="0.25">
      <c r="A12559" s="1" t="s">
        <v>894</v>
      </c>
      <c r="B12559" s="1" t="s">
        <v>2260</v>
      </c>
      <c r="C12559" s="1" t="s">
        <v>329</v>
      </c>
      <c r="D12559" s="3">
        <f t="shared" si="1994"/>
        <v>7988</v>
      </c>
      <c r="E12559" s="2">
        <f t="shared" si="1995"/>
        <v>42705</v>
      </c>
      <c r="F12559" s="2">
        <f t="shared" si="1996"/>
        <v>43100</v>
      </c>
    </row>
    <row r="12560" spans="1:6" x14ac:dyDescent="0.25">
      <c r="A12560" s="1" t="s">
        <v>894</v>
      </c>
      <c r="B12560" s="1" t="s">
        <v>2260</v>
      </c>
      <c r="C12560" s="1" t="s">
        <v>72</v>
      </c>
      <c r="D12560" s="3">
        <f t="shared" si="1994"/>
        <v>7988</v>
      </c>
      <c r="E12560" s="2">
        <f t="shared" si="1995"/>
        <v>42705</v>
      </c>
      <c r="F12560" s="2">
        <f t="shared" si="1996"/>
        <v>43100</v>
      </c>
    </row>
    <row r="12561" spans="1:6" x14ac:dyDescent="0.25">
      <c r="A12561" s="1" t="s">
        <v>894</v>
      </c>
      <c r="B12561" s="1" t="s">
        <v>2260</v>
      </c>
      <c r="C12561" s="1" t="s">
        <v>27</v>
      </c>
      <c r="D12561" s="3">
        <f t="shared" si="1994"/>
        <v>7988</v>
      </c>
      <c r="E12561" s="2">
        <f t="shared" si="1995"/>
        <v>42705</v>
      </c>
      <c r="F12561" s="2">
        <f t="shared" si="1996"/>
        <v>43100</v>
      </c>
    </row>
    <row r="12562" spans="1:6" x14ac:dyDescent="0.25">
      <c r="A12562" s="1" t="s">
        <v>894</v>
      </c>
      <c r="B12562" s="1" t="s">
        <v>2260</v>
      </c>
      <c r="C12562" s="1" t="s">
        <v>262</v>
      </c>
      <c r="D12562" s="3">
        <f t="shared" si="1994"/>
        <v>7988</v>
      </c>
      <c r="E12562" s="2">
        <f t="shared" si="1995"/>
        <v>42705</v>
      </c>
      <c r="F12562" s="2">
        <f t="shared" si="1996"/>
        <v>43100</v>
      </c>
    </row>
    <row r="12563" spans="1:6" x14ac:dyDescent="0.25">
      <c r="A12563" s="1" t="s">
        <v>894</v>
      </c>
      <c r="B12563" s="1" t="s">
        <v>2260</v>
      </c>
      <c r="C12563" s="1" t="s">
        <v>73</v>
      </c>
      <c r="D12563" s="3">
        <f t="shared" si="1994"/>
        <v>7988</v>
      </c>
      <c r="E12563" s="2">
        <f t="shared" si="1995"/>
        <v>42705</v>
      </c>
      <c r="F12563" s="2">
        <f t="shared" si="1996"/>
        <v>43100</v>
      </c>
    </row>
    <row r="12564" spans="1:6" x14ac:dyDescent="0.25">
      <c r="A12564" s="1" t="s">
        <v>894</v>
      </c>
      <c r="B12564" s="1" t="s">
        <v>2260</v>
      </c>
      <c r="C12564" s="1" t="s">
        <v>52</v>
      </c>
      <c r="D12564" s="3">
        <f t="shared" si="1994"/>
        <v>7988</v>
      </c>
      <c r="E12564" s="2">
        <f t="shared" si="1995"/>
        <v>42705</v>
      </c>
      <c r="F12564" s="2">
        <f t="shared" si="1996"/>
        <v>43100</v>
      </c>
    </row>
    <row r="12565" spans="1:6" x14ac:dyDescent="0.25">
      <c r="A12565" s="1" t="s">
        <v>894</v>
      </c>
      <c r="B12565" s="1" t="s">
        <v>2260</v>
      </c>
      <c r="C12565" s="1" t="s">
        <v>160</v>
      </c>
      <c r="D12565" s="3">
        <f t="shared" si="1994"/>
        <v>7988</v>
      </c>
      <c r="E12565" s="2">
        <f t="shared" si="1995"/>
        <v>42705</v>
      </c>
      <c r="F12565" s="2">
        <f t="shared" si="1996"/>
        <v>43100</v>
      </c>
    </row>
    <row r="12566" spans="1:6" x14ac:dyDescent="0.25">
      <c r="A12566" s="1" t="s">
        <v>894</v>
      </c>
      <c r="B12566" s="1" t="s">
        <v>2207</v>
      </c>
      <c r="C12566" s="1" t="s">
        <v>17</v>
      </c>
      <c r="D12566" s="3">
        <f t="shared" ref="D12566:D12573" si="1997">VALUE("7807")</f>
        <v>7807</v>
      </c>
      <c r="E12566" s="2">
        <f t="shared" ref="E12566:E12573" si="1998">DATEVALUE("1-11-2015")</f>
        <v>42309</v>
      </c>
      <c r="F12566" s="2">
        <f t="shared" ref="F12566:F12573" si="1999">DATEVALUE("31-12-2019")</f>
        <v>43830</v>
      </c>
    </row>
    <row r="12567" spans="1:6" x14ac:dyDescent="0.25">
      <c r="A12567" s="1" t="s">
        <v>894</v>
      </c>
      <c r="B12567" s="1" t="s">
        <v>2207</v>
      </c>
      <c r="C12567" s="1" t="s">
        <v>474</v>
      </c>
      <c r="D12567" s="3">
        <f t="shared" si="1997"/>
        <v>7807</v>
      </c>
      <c r="E12567" s="2">
        <f t="shared" si="1998"/>
        <v>42309</v>
      </c>
      <c r="F12567" s="2">
        <f t="shared" si="1999"/>
        <v>43830</v>
      </c>
    </row>
    <row r="12568" spans="1:6" x14ac:dyDescent="0.25">
      <c r="A12568" s="1" t="s">
        <v>894</v>
      </c>
      <c r="B12568" s="1" t="s">
        <v>2207</v>
      </c>
      <c r="C12568" s="1" t="s">
        <v>475</v>
      </c>
      <c r="D12568" s="3">
        <f t="shared" si="1997"/>
        <v>7807</v>
      </c>
      <c r="E12568" s="2">
        <f t="shared" si="1998"/>
        <v>42309</v>
      </c>
      <c r="F12568" s="2">
        <f t="shared" si="1999"/>
        <v>43830</v>
      </c>
    </row>
    <row r="12569" spans="1:6" x14ac:dyDescent="0.25">
      <c r="A12569" s="1" t="s">
        <v>894</v>
      </c>
      <c r="B12569" s="1" t="s">
        <v>2207</v>
      </c>
      <c r="C12569" s="1" t="s">
        <v>72</v>
      </c>
      <c r="D12569" s="3">
        <f t="shared" si="1997"/>
        <v>7807</v>
      </c>
      <c r="E12569" s="2">
        <f t="shared" si="1998"/>
        <v>42309</v>
      </c>
      <c r="F12569" s="2">
        <f t="shared" si="1999"/>
        <v>43830</v>
      </c>
    </row>
    <row r="12570" spans="1:6" x14ac:dyDescent="0.25">
      <c r="A12570" s="1" t="s">
        <v>894</v>
      </c>
      <c r="B12570" s="1" t="s">
        <v>2207</v>
      </c>
      <c r="C12570" s="1" t="s">
        <v>52</v>
      </c>
      <c r="D12570" s="3">
        <f t="shared" si="1997"/>
        <v>7807</v>
      </c>
      <c r="E12570" s="2">
        <f t="shared" si="1998"/>
        <v>42309</v>
      </c>
      <c r="F12570" s="2">
        <f t="shared" si="1999"/>
        <v>43830</v>
      </c>
    </row>
    <row r="12571" spans="1:6" x14ac:dyDescent="0.25">
      <c r="A12571" s="1" t="s">
        <v>894</v>
      </c>
      <c r="B12571" s="1" t="s">
        <v>2207</v>
      </c>
      <c r="C12571" s="1" t="s">
        <v>426</v>
      </c>
      <c r="D12571" s="3">
        <f t="shared" si="1997"/>
        <v>7807</v>
      </c>
      <c r="E12571" s="2">
        <f t="shared" si="1998"/>
        <v>42309</v>
      </c>
      <c r="F12571" s="2">
        <f t="shared" si="1999"/>
        <v>43830</v>
      </c>
    </row>
    <row r="12572" spans="1:6" x14ac:dyDescent="0.25">
      <c r="A12572" s="1" t="s">
        <v>894</v>
      </c>
      <c r="B12572" s="1" t="s">
        <v>2207</v>
      </c>
      <c r="C12572" s="1" t="s">
        <v>56</v>
      </c>
      <c r="D12572" s="3">
        <f t="shared" si="1997"/>
        <v>7807</v>
      </c>
      <c r="E12572" s="2">
        <f t="shared" si="1998"/>
        <v>42309</v>
      </c>
      <c r="F12572" s="2">
        <f t="shared" si="1999"/>
        <v>43830</v>
      </c>
    </row>
    <row r="12573" spans="1:6" x14ac:dyDescent="0.25">
      <c r="A12573" s="1" t="s">
        <v>894</v>
      </c>
      <c r="B12573" s="1" t="s">
        <v>2207</v>
      </c>
      <c r="C12573" s="1" t="s">
        <v>173</v>
      </c>
      <c r="D12573" s="3">
        <f t="shared" si="1997"/>
        <v>7807</v>
      </c>
      <c r="E12573" s="2">
        <f t="shared" si="1998"/>
        <v>42309</v>
      </c>
      <c r="F12573" s="2">
        <f t="shared" si="1999"/>
        <v>43830</v>
      </c>
    </row>
    <row r="12574" spans="1:6" x14ac:dyDescent="0.25">
      <c r="A12574" s="1" t="s">
        <v>322</v>
      </c>
      <c r="B12574" s="1" t="s">
        <v>321</v>
      </c>
      <c r="C12574" s="1" t="s">
        <v>7</v>
      </c>
      <c r="D12574" s="3">
        <f t="shared" ref="D12574:D12583" si="2000">VALUE("7408")</f>
        <v>7408</v>
      </c>
      <c r="E12574" s="2">
        <f t="shared" ref="E12574:E12583" si="2001">DATEVALUE("1-11-2012")</f>
        <v>41214</v>
      </c>
      <c r="F12574" s="2">
        <f t="shared" ref="F12574:F12583" si="2002">DATEVALUE("31-3-2021")</f>
        <v>44286</v>
      </c>
    </row>
    <row r="12575" spans="1:6" x14ac:dyDescent="0.25">
      <c r="A12575" s="1" t="s">
        <v>322</v>
      </c>
      <c r="B12575" s="1" t="s">
        <v>321</v>
      </c>
      <c r="C12575" s="1" t="s">
        <v>13</v>
      </c>
      <c r="D12575" s="3">
        <f t="shared" si="2000"/>
        <v>7408</v>
      </c>
      <c r="E12575" s="2">
        <f t="shared" si="2001"/>
        <v>41214</v>
      </c>
      <c r="F12575" s="2">
        <f t="shared" si="2002"/>
        <v>44286</v>
      </c>
    </row>
    <row r="12576" spans="1:6" x14ac:dyDescent="0.25">
      <c r="A12576" s="1" t="s">
        <v>322</v>
      </c>
      <c r="B12576" s="1" t="s">
        <v>321</v>
      </c>
      <c r="C12576" s="1" t="s">
        <v>212</v>
      </c>
      <c r="D12576" s="3">
        <f t="shared" si="2000"/>
        <v>7408</v>
      </c>
      <c r="E12576" s="2">
        <f t="shared" si="2001"/>
        <v>41214</v>
      </c>
      <c r="F12576" s="2">
        <f t="shared" si="2002"/>
        <v>44286</v>
      </c>
    </row>
    <row r="12577" spans="1:6" x14ac:dyDescent="0.25">
      <c r="A12577" s="1" t="s">
        <v>322</v>
      </c>
      <c r="B12577" s="1" t="s">
        <v>321</v>
      </c>
      <c r="C12577" s="1" t="s">
        <v>228</v>
      </c>
      <c r="D12577" s="3">
        <f t="shared" si="2000"/>
        <v>7408</v>
      </c>
      <c r="E12577" s="2">
        <f t="shared" si="2001"/>
        <v>41214</v>
      </c>
      <c r="F12577" s="2">
        <f t="shared" si="2002"/>
        <v>44286</v>
      </c>
    </row>
    <row r="12578" spans="1:6" x14ac:dyDescent="0.25">
      <c r="A12578" s="1" t="s">
        <v>322</v>
      </c>
      <c r="B12578" s="1" t="s">
        <v>321</v>
      </c>
      <c r="C12578" s="1" t="s">
        <v>28</v>
      </c>
      <c r="D12578" s="3">
        <f t="shared" si="2000"/>
        <v>7408</v>
      </c>
      <c r="E12578" s="2">
        <f t="shared" si="2001"/>
        <v>41214</v>
      </c>
      <c r="F12578" s="2">
        <f t="shared" si="2002"/>
        <v>44286</v>
      </c>
    </row>
    <row r="12579" spans="1:6" x14ac:dyDescent="0.25">
      <c r="A12579" s="1" t="s">
        <v>322</v>
      </c>
      <c r="B12579" s="1" t="s">
        <v>321</v>
      </c>
      <c r="C12579" s="1" t="s">
        <v>233</v>
      </c>
      <c r="D12579" s="3">
        <f t="shared" si="2000"/>
        <v>7408</v>
      </c>
      <c r="E12579" s="2">
        <f t="shared" si="2001"/>
        <v>41214</v>
      </c>
      <c r="F12579" s="2">
        <f t="shared" si="2002"/>
        <v>44286</v>
      </c>
    </row>
    <row r="12580" spans="1:6" x14ac:dyDescent="0.25">
      <c r="A12580" s="1" t="s">
        <v>322</v>
      </c>
      <c r="B12580" s="1" t="s">
        <v>321</v>
      </c>
      <c r="C12580" s="1" t="s">
        <v>234</v>
      </c>
      <c r="D12580" s="3">
        <f t="shared" si="2000"/>
        <v>7408</v>
      </c>
      <c r="E12580" s="2">
        <f t="shared" si="2001"/>
        <v>41214</v>
      </c>
      <c r="F12580" s="2">
        <f t="shared" si="2002"/>
        <v>44286</v>
      </c>
    </row>
    <row r="12581" spans="1:6" x14ac:dyDescent="0.25">
      <c r="A12581" s="1" t="s">
        <v>322</v>
      </c>
      <c r="B12581" s="1" t="s">
        <v>321</v>
      </c>
      <c r="C12581" s="1" t="s">
        <v>30</v>
      </c>
      <c r="D12581" s="3">
        <f t="shared" si="2000"/>
        <v>7408</v>
      </c>
      <c r="E12581" s="2">
        <f t="shared" si="2001"/>
        <v>41214</v>
      </c>
      <c r="F12581" s="2">
        <f t="shared" si="2002"/>
        <v>44286</v>
      </c>
    </row>
    <row r="12582" spans="1:6" x14ac:dyDescent="0.25">
      <c r="A12582" s="1" t="s">
        <v>322</v>
      </c>
      <c r="B12582" s="1" t="s">
        <v>321</v>
      </c>
      <c r="C12582" s="1" t="s">
        <v>239</v>
      </c>
      <c r="D12582" s="3">
        <f t="shared" si="2000"/>
        <v>7408</v>
      </c>
      <c r="E12582" s="2">
        <f t="shared" si="2001"/>
        <v>41214</v>
      </c>
      <c r="F12582" s="2">
        <f t="shared" si="2002"/>
        <v>44286</v>
      </c>
    </row>
    <row r="12583" spans="1:6" x14ac:dyDescent="0.25">
      <c r="A12583" s="1" t="s">
        <v>322</v>
      </c>
      <c r="B12583" s="1" t="s">
        <v>321</v>
      </c>
      <c r="C12583" s="1" t="s">
        <v>240</v>
      </c>
      <c r="D12583" s="3">
        <f t="shared" si="2000"/>
        <v>7408</v>
      </c>
      <c r="E12583" s="2">
        <f t="shared" si="2001"/>
        <v>41214</v>
      </c>
      <c r="F12583" s="2">
        <f t="shared" si="2002"/>
        <v>44286</v>
      </c>
    </row>
    <row r="12584" spans="1:6" x14ac:dyDescent="0.25">
      <c r="A12584" s="1" t="s">
        <v>322</v>
      </c>
      <c r="B12584" s="1" t="s">
        <v>2550</v>
      </c>
      <c r="C12584" s="1" t="s">
        <v>13</v>
      </c>
      <c r="D12584" s="3">
        <f>VALUE("7015")</f>
        <v>7015</v>
      </c>
      <c r="E12584" s="2">
        <f>DATEVALUE("1-12-2009")</f>
        <v>40148</v>
      </c>
      <c r="F12584" s="2">
        <f>DATEVALUE("31-5-2012")</f>
        <v>41060</v>
      </c>
    </row>
    <row r="12585" spans="1:6" x14ac:dyDescent="0.25">
      <c r="A12585" s="1" t="s">
        <v>322</v>
      </c>
      <c r="B12585" s="1" t="s">
        <v>2550</v>
      </c>
      <c r="C12585" s="1" t="s">
        <v>232</v>
      </c>
      <c r="D12585" s="3">
        <f>VALUE("7015")</f>
        <v>7015</v>
      </c>
      <c r="E12585" s="2">
        <f>DATEVALUE("1-12-2009")</f>
        <v>40148</v>
      </c>
      <c r="F12585" s="2">
        <f>DATEVALUE("31-5-2012")</f>
        <v>41060</v>
      </c>
    </row>
    <row r="12586" spans="1:6" x14ac:dyDescent="0.25">
      <c r="A12586" s="1" t="s">
        <v>322</v>
      </c>
      <c r="B12586" s="1" t="s">
        <v>2550</v>
      </c>
      <c r="C12586" s="1" t="s">
        <v>234</v>
      </c>
      <c r="D12586" s="3">
        <f>VALUE("7015")</f>
        <v>7015</v>
      </c>
      <c r="E12586" s="2">
        <f>DATEVALUE("1-12-2009")</f>
        <v>40148</v>
      </c>
      <c r="F12586" s="2">
        <f>DATEVALUE("31-5-2012")</f>
        <v>41060</v>
      </c>
    </row>
    <row r="12587" spans="1:6" x14ac:dyDescent="0.25">
      <c r="A12587" s="1" t="s">
        <v>322</v>
      </c>
      <c r="B12587" s="1" t="s">
        <v>2550</v>
      </c>
      <c r="C12587" s="1" t="s">
        <v>30</v>
      </c>
      <c r="D12587" s="3">
        <f>VALUE("7015")</f>
        <v>7015</v>
      </c>
      <c r="E12587" s="2">
        <f>DATEVALUE("1-12-2009")</f>
        <v>40148</v>
      </c>
      <c r="F12587" s="2">
        <f>DATEVALUE("31-5-2012")</f>
        <v>41060</v>
      </c>
    </row>
    <row r="12588" spans="1:6" x14ac:dyDescent="0.25">
      <c r="A12588" s="1" t="s">
        <v>322</v>
      </c>
      <c r="B12588" s="1" t="s">
        <v>2550</v>
      </c>
      <c r="C12588" s="1" t="s">
        <v>240</v>
      </c>
      <c r="D12588" s="3">
        <f>VALUE("7015")</f>
        <v>7015</v>
      </c>
      <c r="E12588" s="2">
        <f>DATEVALUE("1-12-2009")</f>
        <v>40148</v>
      </c>
      <c r="F12588" s="2">
        <f>DATEVALUE("31-5-2012")</f>
        <v>41060</v>
      </c>
    </row>
    <row r="12589" spans="1:6" x14ac:dyDescent="0.25">
      <c r="A12589" s="1" t="s">
        <v>322</v>
      </c>
      <c r="B12589" s="1" t="s">
        <v>2519</v>
      </c>
      <c r="C12589" s="1" t="s">
        <v>7</v>
      </c>
      <c r="D12589" s="3">
        <f t="shared" ref="D12589:D12608" si="2003">VALUE("6043")</f>
        <v>6043</v>
      </c>
      <c r="E12589" s="2">
        <f t="shared" ref="E12589:E12608" si="2004">DATEVALUE("1-6-2007")</f>
        <v>39234</v>
      </c>
      <c r="F12589" s="2">
        <f t="shared" ref="F12589:F12608" si="2005">DATEVALUE("30-6-2013")</f>
        <v>41455</v>
      </c>
    </row>
    <row r="12590" spans="1:6" x14ac:dyDescent="0.25">
      <c r="A12590" s="1" t="s">
        <v>322</v>
      </c>
      <c r="B12590" s="1" t="s">
        <v>2519</v>
      </c>
      <c r="C12590" s="1" t="s">
        <v>5</v>
      </c>
      <c r="D12590" s="3">
        <f t="shared" si="2003"/>
        <v>6043</v>
      </c>
      <c r="E12590" s="2">
        <f t="shared" si="2004"/>
        <v>39234</v>
      </c>
      <c r="F12590" s="2">
        <f t="shared" si="2005"/>
        <v>41455</v>
      </c>
    </row>
    <row r="12591" spans="1:6" x14ac:dyDescent="0.25">
      <c r="A12591" s="1" t="s">
        <v>322</v>
      </c>
      <c r="B12591" s="1" t="s">
        <v>2519</v>
      </c>
      <c r="C12591" s="1" t="s">
        <v>13</v>
      </c>
      <c r="D12591" s="3">
        <f t="shared" si="2003"/>
        <v>6043</v>
      </c>
      <c r="E12591" s="2">
        <f t="shared" si="2004"/>
        <v>39234</v>
      </c>
      <c r="F12591" s="2">
        <f t="shared" si="2005"/>
        <v>41455</v>
      </c>
    </row>
    <row r="12592" spans="1:6" x14ac:dyDescent="0.25">
      <c r="A12592" s="1" t="s">
        <v>322</v>
      </c>
      <c r="B12592" s="1" t="s">
        <v>2519</v>
      </c>
      <c r="C12592" s="1" t="s">
        <v>222</v>
      </c>
      <c r="D12592" s="3">
        <f t="shared" si="2003"/>
        <v>6043</v>
      </c>
      <c r="E12592" s="2">
        <f t="shared" si="2004"/>
        <v>39234</v>
      </c>
      <c r="F12592" s="2">
        <f t="shared" si="2005"/>
        <v>41455</v>
      </c>
    </row>
    <row r="12593" spans="1:6" x14ac:dyDescent="0.25">
      <c r="A12593" s="1" t="s">
        <v>322</v>
      </c>
      <c r="B12593" s="1" t="s">
        <v>2519</v>
      </c>
      <c r="C12593" s="1" t="s">
        <v>228</v>
      </c>
      <c r="D12593" s="3">
        <f t="shared" si="2003"/>
        <v>6043</v>
      </c>
      <c r="E12593" s="2">
        <f t="shared" si="2004"/>
        <v>39234</v>
      </c>
      <c r="F12593" s="2">
        <f t="shared" si="2005"/>
        <v>41455</v>
      </c>
    </row>
    <row r="12594" spans="1:6" x14ac:dyDescent="0.25">
      <c r="A12594" s="1" t="s">
        <v>322</v>
      </c>
      <c r="B12594" s="1" t="s">
        <v>2519</v>
      </c>
      <c r="C12594" s="1" t="s">
        <v>28</v>
      </c>
      <c r="D12594" s="3">
        <f t="shared" si="2003"/>
        <v>6043</v>
      </c>
      <c r="E12594" s="2">
        <f t="shared" si="2004"/>
        <v>39234</v>
      </c>
      <c r="F12594" s="2">
        <f t="shared" si="2005"/>
        <v>41455</v>
      </c>
    </row>
    <row r="12595" spans="1:6" x14ac:dyDescent="0.25">
      <c r="A12595" s="1" t="s">
        <v>322</v>
      </c>
      <c r="B12595" s="1" t="s">
        <v>2519</v>
      </c>
      <c r="C12595" s="1" t="s">
        <v>229</v>
      </c>
      <c r="D12595" s="3">
        <f t="shared" si="2003"/>
        <v>6043</v>
      </c>
      <c r="E12595" s="2">
        <f t="shared" si="2004"/>
        <v>39234</v>
      </c>
      <c r="F12595" s="2">
        <f t="shared" si="2005"/>
        <v>41455</v>
      </c>
    </row>
    <row r="12596" spans="1:6" x14ac:dyDescent="0.25">
      <c r="A12596" s="1" t="s">
        <v>322</v>
      </c>
      <c r="B12596" s="1" t="s">
        <v>2519</v>
      </c>
      <c r="C12596" s="1" t="s">
        <v>29</v>
      </c>
      <c r="D12596" s="3">
        <f t="shared" si="2003"/>
        <v>6043</v>
      </c>
      <c r="E12596" s="2">
        <f t="shared" si="2004"/>
        <v>39234</v>
      </c>
      <c r="F12596" s="2">
        <f t="shared" si="2005"/>
        <v>41455</v>
      </c>
    </row>
    <row r="12597" spans="1:6" x14ac:dyDescent="0.25">
      <c r="A12597" s="1" t="s">
        <v>322</v>
      </c>
      <c r="B12597" s="1" t="s">
        <v>2519</v>
      </c>
      <c r="C12597" s="1" t="s">
        <v>230</v>
      </c>
      <c r="D12597" s="3">
        <f t="shared" si="2003"/>
        <v>6043</v>
      </c>
      <c r="E12597" s="2">
        <f t="shared" si="2004"/>
        <v>39234</v>
      </c>
      <c r="F12597" s="2">
        <f t="shared" si="2005"/>
        <v>41455</v>
      </c>
    </row>
    <row r="12598" spans="1:6" x14ac:dyDescent="0.25">
      <c r="A12598" s="1" t="s">
        <v>322</v>
      </c>
      <c r="B12598" s="1" t="s">
        <v>2519</v>
      </c>
      <c r="C12598" s="1" t="s">
        <v>232</v>
      </c>
      <c r="D12598" s="3">
        <f t="shared" si="2003"/>
        <v>6043</v>
      </c>
      <c r="E12598" s="2">
        <f t="shared" si="2004"/>
        <v>39234</v>
      </c>
      <c r="F12598" s="2">
        <f t="shared" si="2005"/>
        <v>41455</v>
      </c>
    </row>
    <row r="12599" spans="1:6" x14ac:dyDescent="0.25">
      <c r="A12599" s="1" t="s">
        <v>322</v>
      </c>
      <c r="B12599" s="1" t="s">
        <v>2519</v>
      </c>
      <c r="C12599" s="1" t="s">
        <v>233</v>
      </c>
      <c r="D12599" s="3">
        <f t="shared" si="2003"/>
        <v>6043</v>
      </c>
      <c r="E12599" s="2">
        <f t="shared" si="2004"/>
        <v>39234</v>
      </c>
      <c r="F12599" s="2">
        <f t="shared" si="2005"/>
        <v>41455</v>
      </c>
    </row>
    <row r="12600" spans="1:6" x14ac:dyDescent="0.25">
      <c r="A12600" s="1" t="s">
        <v>322</v>
      </c>
      <c r="B12600" s="1" t="s">
        <v>2519</v>
      </c>
      <c r="C12600" s="1" t="s">
        <v>234</v>
      </c>
      <c r="D12600" s="3">
        <f t="shared" si="2003"/>
        <v>6043</v>
      </c>
      <c r="E12600" s="2">
        <f t="shared" si="2004"/>
        <v>39234</v>
      </c>
      <c r="F12600" s="2">
        <f t="shared" si="2005"/>
        <v>41455</v>
      </c>
    </row>
    <row r="12601" spans="1:6" x14ac:dyDescent="0.25">
      <c r="A12601" s="1" t="s">
        <v>322</v>
      </c>
      <c r="B12601" s="1" t="s">
        <v>2519</v>
      </c>
      <c r="C12601" s="1" t="s">
        <v>596</v>
      </c>
      <c r="D12601" s="3">
        <f t="shared" si="2003"/>
        <v>6043</v>
      </c>
      <c r="E12601" s="2">
        <f t="shared" si="2004"/>
        <v>39234</v>
      </c>
      <c r="F12601" s="2">
        <f t="shared" si="2005"/>
        <v>41455</v>
      </c>
    </row>
    <row r="12602" spans="1:6" x14ac:dyDescent="0.25">
      <c r="A12602" s="1" t="s">
        <v>322</v>
      </c>
      <c r="B12602" s="1" t="s">
        <v>2519</v>
      </c>
      <c r="C12602" s="1" t="s">
        <v>30</v>
      </c>
      <c r="D12602" s="3">
        <f t="shared" si="2003"/>
        <v>6043</v>
      </c>
      <c r="E12602" s="2">
        <f t="shared" si="2004"/>
        <v>39234</v>
      </c>
      <c r="F12602" s="2">
        <f t="shared" si="2005"/>
        <v>41455</v>
      </c>
    </row>
    <row r="12603" spans="1:6" x14ac:dyDescent="0.25">
      <c r="A12603" s="1" t="s">
        <v>322</v>
      </c>
      <c r="B12603" s="1" t="s">
        <v>2519</v>
      </c>
      <c r="C12603" s="1" t="s">
        <v>235</v>
      </c>
      <c r="D12603" s="3">
        <f t="shared" si="2003"/>
        <v>6043</v>
      </c>
      <c r="E12603" s="2">
        <f t="shared" si="2004"/>
        <v>39234</v>
      </c>
      <c r="F12603" s="2">
        <f t="shared" si="2005"/>
        <v>41455</v>
      </c>
    </row>
    <row r="12604" spans="1:6" x14ac:dyDescent="0.25">
      <c r="A12604" s="1" t="s">
        <v>322</v>
      </c>
      <c r="B12604" s="1" t="s">
        <v>2519</v>
      </c>
      <c r="C12604" s="1" t="s">
        <v>236</v>
      </c>
      <c r="D12604" s="3">
        <f t="shared" si="2003"/>
        <v>6043</v>
      </c>
      <c r="E12604" s="2">
        <f t="shared" si="2004"/>
        <v>39234</v>
      </c>
      <c r="F12604" s="2">
        <f t="shared" si="2005"/>
        <v>41455</v>
      </c>
    </row>
    <row r="12605" spans="1:6" x14ac:dyDescent="0.25">
      <c r="A12605" s="1" t="s">
        <v>322</v>
      </c>
      <c r="B12605" s="1" t="s">
        <v>2519</v>
      </c>
      <c r="C12605" s="1" t="s">
        <v>237</v>
      </c>
      <c r="D12605" s="3">
        <f t="shared" si="2003"/>
        <v>6043</v>
      </c>
      <c r="E12605" s="2">
        <f t="shared" si="2004"/>
        <v>39234</v>
      </c>
      <c r="F12605" s="2">
        <f t="shared" si="2005"/>
        <v>41455</v>
      </c>
    </row>
    <row r="12606" spans="1:6" x14ac:dyDescent="0.25">
      <c r="A12606" s="1" t="s">
        <v>322</v>
      </c>
      <c r="B12606" s="1" t="s">
        <v>2519</v>
      </c>
      <c r="C12606" s="1" t="s">
        <v>238</v>
      </c>
      <c r="D12606" s="3">
        <f t="shared" si="2003"/>
        <v>6043</v>
      </c>
      <c r="E12606" s="2">
        <f t="shared" si="2004"/>
        <v>39234</v>
      </c>
      <c r="F12606" s="2">
        <f t="shared" si="2005"/>
        <v>41455</v>
      </c>
    </row>
    <row r="12607" spans="1:6" x14ac:dyDescent="0.25">
      <c r="A12607" s="1" t="s">
        <v>322</v>
      </c>
      <c r="B12607" s="1" t="s">
        <v>2519</v>
      </c>
      <c r="C12607" s="1" t="s">
        <v>240</v>
      </c>
      <c r="D12607" s="3">
        <f t="shared" si="2003"/>
        <v>6043</v>
      </c>
      <c r="E12607" s="2">
        <f t="shared" si="2004"/>
        <v>39234</v>
      </c>
      <c r="F12607" s="2">
        <f t="shared" si="2005"/>
        <v>41455</v>
      </c>
    </row>
    <row r="12608" spans="1:6" x14ac:dyDescent="0.25">
      <c r="A12608" s="1" t="s">
        <v>322</v>
      </c>
      <c r="B12608" s="1" t="s">
        <v>2519</v>
      </c>
      <c r="C12608" s="1" t="s">
        <v>31</v>
      </c>
      <c r="D12608" s="3">
        <f t="shared" si="2003"/>
        <v>6043</v>
      </c>
      <c r="E12608" s="2">
        <f t="shared" si="2004"/>
        <v>39234</v>
      </c>
      <c r="F12608" s="2">
        <f t="shared" si="2005"/>
        <v>41455</v>
      </c>
    </row>
    <row r="12609" spans="1:6" x14ac:dyDescent="0.25">
      <c r="A12609" s="1" t="s">
        <v>1191</v>
      </c>
      <c r="B12609" s="1" t="s">
        <v>1190</v>
      </c>
      <c r="C12609" s="1" t="s">
        <v>8</v>
      </c>
      <c r="D12609" s="3">
        <f t="shared" ref="D12609:D12630" si="2006">VALUE("8458")</f>
        <v>8458</v>
      </c>
      <c r="E12609" s="2">
        <f t="shared" ref="E12609:E12630" si="2007">DATEVALUE("1-3-2019")</f>
        <v>43525</v>
      </c>
      <c r="F12609" s="2">
        <f t="shared" ref="F12609:F12630" si="2008">DATEVALUE("31-12-2021")</f>
        <v>44561</v>
      </c>
    </row>
    <row r="12610" spans="1:6" x14ac:dyDescent="0.25">
      <c r="A12610" s="1" t="s">
        <v>1191</v>
      </c>
      <c r="B12610" s="1" t="s">
        <v>1190</v>
      </c>
      <c r="C12610" s="1" t="s">
        <v>10</v>
      </c>
      <c r="D12610" s="3">
        <f t="shared" si="2006"/>
        <v>8458</v>
      </c>
      <c r="E12610" s="2">
        <f t="shared" si="2007"/>
        <v>43525</v>
      </c>
      <c r="F12610" s="2">
        <f t="shared" si="2008"/>
        <v>44561</v>
      </c>
    </row>
    <row r="12611" spans="1:6" x14ac:dyDescent="0.25">
      <c r="A12611" s="1" t="s">
        <v>1191</v>
      </c>
      <c r="B12611" s="1" t="s">
        <v>1190</v>
      </c>
      <c r="C12611" s="1" t="s">
        <v>609</v>
      </c>
      <c r="D12611" s="3">
        <f t="shared" si="2006"/>
        <v>8458</v>
      </c>
      <c r="E12611" s="2">
        <f t="shared" si="2007"/>
        <v>43525</v>
      </c>
      <c r="F12611" s="2">
        <f t="shared" si="2008"/>
        <v>44561</v>
      </c>
    </row>
    <row r="12612" spans="1:6" x14ac:dyDescent="0.25">
      <c r="A12612" s="1" t="s">
        <v>1191</v>
      </c>
      <c r="B12612" s="1" t="s">
        <v>1190</v>
      </c>
      <c r="C12612" s="1" t="s">
        <v>1192</v>
      </c>
      <c r="D12612" s="3">
        <f t="shared" si="2006"/>
        <v>8458</v>
      </c>
      <c r="E12612" s="2">
        <f t="shared" si="2007"/>
        <v>43525</v>
      </c>
      <c r="F12612" s="2">
        <f t="shared" si="2008"/>
        <v>44561</v>
      </c>
    </row>
    <row r="12613" spans="1:6" x14ac:dyDescent="0.25">
      <c r="A12613" s="1" t="s">
        <v>1191</v>
      </c>
      <c r="B12613" s="1" t="s">
        <v>1190</v>
      </c>
      <c r="C12613" s="1" t="s">
        <v>46</v>
      </c>
      <c r="D12613" s="3">
        <f t="shared" si="2006"/>
        <v>8458</v>
      </c>
      <c r="E12613" s="2">
        <f t="shared" si="2007"/>
        <v>43525</v>
      </c>
      <c r="F12613" s="2">
        <f t="shared" si="2008"/>
        <v>44561</v>
      </c>
    </row>
    <row r="12614" spans="1:6" x14ac:dyDescent="0.25">
      <c r="A12614" s="1" t="s">
        <v>1191</v>
      </c>
      <c r="B12614" s="1" t="s">
        <v>1190</v>
      </c>
      <c r="C12614" s="1" t="s">
        <v>14</v>
      </c>
      <c r="D12614" s="3">
        <f t="shared" si="2006"/>
        <v>8458</v>
      </c>
      <c r="E12614" s="2">
        <f t="shared" si="2007"/>
        <v>43525</v>
      </c>
      <c r="F12614" s="2">
        <f t="shared" si="2008"/>
        <v>44561</v>
      </c>
    </row>
    <row r="12615" spans="1:6" x14ac:dyDescent="0.25">
      <c r="A12615" s="1" t="s">
        <v>1191</v>
      </c>
      <c r="B12615" s="1" t="s">
        <v>1190</v>
      </c>
      <c r="C12615" s="1" t="s">
        <v>15</v>
      </c>
      <c r="D12615" s="3">
        <f t="shared" si="2006"/>
        <v>8458</v>
      </c>
      <c r="E12615" s="2">
        <f t="shared" si="2007"/>
        <v>43525</v>
      </c>
      <c r="F12615" s="2">
        <f t="shared" si="2008"/>
        <v>44561</v>
      </c>
    </row>
    <row r="12616" spans="1:6" x14ac:dyDescent="0.25">
      <c r="A12616" s="1" t="s">
        <v>1191</v>
      </c>
      <c r="B12616" s="1" t="s">
        <v>1190</v>
      </c>
      <c r="C12616" s="1" t="s">
        <v>16</v>
      </c>
      <c r="D12616" s="3">
        <f t="shared" si="2006"/>
        <v>8458</v>
      </c>
      <c r="E12616" s="2">
        <f t="shared" si="2007"/>
        <v>43525</v>
      </c>
      <c r="F12616" s="2">
        <f t="shared" si="2008"/>
        <v>44561</v>
      </c>
    </row>
    <row r="12617" spans="1:6" x14ac:dyDescent="0.25">
      <c r="A12617" s="1" t="s">
        <v>1191</v>
      </c>
      <c r="B12617" s="1" t="s">
        <v>1190</v>
      </c>
      <c r="C12617" s="1" t="s">
        <v>290</v>
      </c>
      <c r="D12617" s="3">
        <f t="shared" si="2006"/>
        <v>8458</v>
      </c>
      <c r="E12617" s="2">
        <f t="shared" si="2007"/>
        <v>43525</v>
      </c>
      <c r="F12617" s="2">
        <f t="shared" si="2008"/>
        <v>44561</v>
      </c>
    </row>
    <row r="12618" spans="1:6" x14ac:dyDescent="0.25">
      <c r="A12618" s="1" t="s">
        <v>1191</v>
      </c>
      <c r="B12618" s="1" t="s">
        <v>1190</v>
      </c>
      <c r="C12618" s="1" t="s">
        <v>17</v>
      </c>
      <c r="D12618" s="3">
        <f t="shared" si="2006"/>
        <v>8458</v>
      </c>
      <c r="E12618" s="2">
        <f t="shared" si="2007"/>
        <v>43525</v>
      </c>
      <c r="F12618" s="2">
        <f t="shared" si="2008"/>
        <v>44561</v>
      </c>
    </row>
    <row r="12619" spans="1:6" x14ac:dyDescent="0.25">
      <c r="A12619" s="1" t="s">
        <v>1191</v>
      </c>
      <c r="B12619" s="1" t="s">
        <v>1190</v>
      </c>
      <c r="C12619" s="1" t="s">
        <v>90</v>
      </c>
      <c r="D12619" s="3">
        <f t="shared" si="2006"/>
        <v>8458</v>
      </c>
      <c r="E12619" s="2">
        <f t="shared" si="2007"/>
        <v>43525</v>
      </c>
      <c r="F12619" s="2">
        <f t="shared" si="2008"/>
        <v>44561</v>
      </c>
    </row>
    <row r="12620" spans="1:6" x14ac:dyDescent="0.25">
      <c r="A12620" s="1" t="s">
        <v>1191</v>
      </c>
      <c r="B12620" s="1" t="s">
        <v>1190</v>
      </c>
      <c r="C12620" s="1" t="s">
        <v>328</v>
      </c>
      <c r="D12620" s="3">
        <f t="shared" si="2006"/>
        <v>8458</v>
      </c>
      <c r="E12620" s="2">
        <f t="shared" si="2007"/>
        <v>43525</v>
      </c>
      <c r="F12620" s="2">
        <f t="shared" si="2008"/>
        <v>44561</v>
      </c>
    </row>
    <row r="12621" spans="1:6" x14ac:dyDescent="0.25">
      <c r="A12621" s="1" t="s">
        <v>1191</v>
      </c>
      <c r="B12621" s="1" t="s">
        <v>1190</v>
      </c>
      <c r="C12621" s="1" t="s">
        <v>22</v>
      </c>
      <c r="D12621" s="3">
        <f t="shared" si="2006"/>
        <v>8458</v>
      </c>
      <c r="E12621" s="2">
        <f t="shared" si="2007"/>
        <v>43525</v>
      </c>
      <c r="F12621" s="2">
        <f t="shared" si="2008"/>
        <v>44561</v>
      </c>
    </row>
    <row r="12622" spans="1:6" x14ac:dyDescent="0.25">
      <c r="A12622" s="1" t="s">
        <v>1191</v>
      </c>
      <c r="B12622" s="1" t="s">
        <v>1190</v>
      </c>
      <c r="C12622" s="1" t="s">
        <v>146</v>
      </c>
      <c r="D12622" s="3">
        <f t="shared" si="2006"/>
        <v>8458</v>
      </c>
      <c r="E12622" s="2">
        <f t="shared" si="2007"/>
        <v>43525</v>
      </c>
      <c r="F12622" s="2">
        <f t="shared" si="2008"/>
        <v>44561</v>
      </c>
    </row>
    <row r="12623" spans="1:6" x14ac:dyDescent="0.25">
      <c r="A12623" s="1" t="s">
        <v>1191</v>
      </c>
      <c r="B12623" s="1" t="s">
        <v>1190</v>
      </c>
      <c r="C12623" s="1" t="s">
        <v>67</v>
      </c>
      <c r="D12623" s="3">
        <f t="shared" si="2006"/>
        <v>8458</v>
      </c>
      <c r="E12623" s="2">
        <f t="shared" si="2007"/>
        <v>43525</v>
      </c>
      <c r="F12623" s="2">
        <f t="shared" si="2008"/>
        <v>44561</v>
      </c>
    </row>
    <row r="12624" spans="1:6" x14ac:dyDescent="0.25">
      <c r="A12624" s="1" t="s">
        <v>1191</v>
      </c>
      <c r="B12624" s="1" t="s">
        <v>1190</v>
      </c>
      <c r="C12624" s="1" t="s">
        <v>149</v>
      </c>
      <c r="D12624" s="3">
        <f t="shared" si="2006"/>
        <v>8458</v>
      </c>
      <c r="E12624" s="2">
        <f t="shared" si="2007"/>
        <v>43525</v>
      </c>
      <c r="F12624" s="2">
        <f t="shared" si="2008"/>
        <v>44561</v>
      </c>
    </row>
    <row r="12625" spans="1:6" x14ac:dyDescent="0.25">
      <c r="A12625" s="1" t="s">
        <v>1191</v>
      </c>
      <c r="B12625" s="1" t="s">
        <v>1190</v>
      </c>
      <c r="C12625" s="1" t="s">
        <v>92</v>
      </c>
      <c r="D12625" s="3">
        <f t="shared" si="2006"/>
        <v>8458</v>
      </c>
      <c r="E12625" s="2">
        <f t="shared" si="2007"/>
        <v>43525</v>
      </c>
      <c r="F12625" s="2">
        <f t="shared" si="2008"/>
        <v>44561</v>
      </c>
    </row>
    <row r="12626" spans="1:6" x14ac:dyDescent="0.25">
      <c r="A12626" s="1" t="s">
        <v>1191</v>
      </c>
      <c r="B12626" s="1" t="s">
        <v>1190</v>
      </c>
      <c r="C12626" s="1" t="s">
        <v>26</v>
      </c>
      <c r="D12626" s="3">
        <f t="shared" si="2006"/>
        <v>8458</v>
      </c>
      <c r="E12626" s="2">
        <f t="shared" si="2007"/>
        <v>43525</v>
      </c>
      <c r="F12626" s="2">
        <f t="shared" si="2008"/>
        <v>44561</v>
      </c>
    </row>
    <row r="12627" spans="1:6" x14ac:dyDescent="0.25">
      <c r="A12627" s="1" t="s">
        <v>1191</v>
      </c>
      <c r="B12627" s="1" t="s">
        <v>1190</v>
      </c>
      <c r="C12627" s="1" t="s">
        <v>73</v>
      </c>
      <c r="D12627" s="3">
        <f t="shared" si="2006"/>
        <v>8458</v>
      </c>
      <c r="E12627" s="2">
        <f t="shared" si="2007"/>
        <v>43525</v>
      </c>
      <c r="F12627" s="2">
        <f t="shared" si="2008"/>
        <v>44561</v>
      </c>
    </row>
    <row r="12628" spans="1:6" x14ac:dyDescent="0.25">
      <c r="A12628" s="1" t="s">
        <v>1191</v>
      </c>
      <c r="B12628" s="1" t="s">
        <v>1190</v>
      </c>
      <c r="C12628" s="1" t="s">
        <v>52</v>
      </c>
      <c r="D12628" s="3">
        <f t="shared" si="2006"/>
        <v>8458</v>
      </c>
      <c r="E12628" s="2">
        <f t="shared" si="2007"/>
        <v>43525</v>
      </c>
      <c r="F12628" s="2">
        <f t="shared" si="2008"/>
        <v>44561</v>
      </c>
    </row>
    <row r="12629" spans="1:6" x14ac:dyDescent="0.25">
      <c r="A12629" s="1" t="s">
        <v>1191</v>
      </c>
      <c r="B12629" s="1" t="s">
        <v>1190</v>
      </c>
      <c r="C12629" s="1" t="s">
        <v>479</v>
      </c>
      <c r="D12629" s="3">
        <f t="shared" si="2006"/>
        <v>8458</v>
      </c>
      <c r="E12629" s="2">
        <f t="shared" si="2007"/>
        <v>43525</v>
      </c>
      <c r="F12629" s="2">
        <f t="shared" si="2008"/>
        <v>44561</v>
      </c>
    </row>
    <row r="12630" spans="1:6" x14ac:dyDescent="0.25">
      <c r="A12630" s="1" t="s">
        <v>1191</v>
      </c>
      <c r="B12630" s="1" t="s">
        <v>1190</v>
      </c>
      <c r="C12630" s="1" t="s">
        <v>36</v>
      </c>
      <c r="D12630" s="3">
        <f t="shared" si="2006"/>
        <v>8458</v>
      </c>
      <c r="E12630" s="2">
        <f t="shared" si="2007"/>
        <v>43525</v>
      </c>
      <c r="F12630" s="2">
        <f t="shared" si="2008"/>
        <v>44561</v>
      </c>
    </row>
    <row r="12631" spans="1:6" x14ac:dyDescent="0.25">
      <c r="A12631" s="1" t="s">
        <v>1210</v>
      </c>
      <c r="B12631" s="1" t="s">
        <v>1209</v>
      </c>
      <c r="C12631" s="1" t="s">
        <v>89</v>
      </c>
      <c r="D12631" s="3">
        <f t="shared" ref="D12631:D12636" si="2009">VALUE("8473")</f>
        <v>8473</v>
      </c>
      <c r="E12631" s="2">
        <f t="shared" ref="E12631:E12636" si="2010">DATEVALUE("1-5-2019")</f>
        <v>43586</v>
      </c>
      <c r="F12631" s="2">
        <f t="shared" ref="F12631:F12636" si="2011">DATEVALUE("28-2-2021")</f>
        <v>44255</v>
      </c>
    </row>
    <row r="12632" spans="1:6" x14ac:dyDescent="0.25">
      <c r="A12632" s="1" t="s">
        <v>1210</v>
      </c>
      <c r="B12632" s="1" t="s">
        <v>1209</v>
      </c>
      <c r="C12632" s="1" t="s">
        <v>17</v>
      </c>
      <c r="D12632" s="3">
        <f t="shared" si="2009"/>
        <v>8473</v>
      </c>
      <c r="E12632" s="2">
        <f t="shared" si="2010"/>
        <v>43586</v>
      </c>
      <c r="F12632" s="2">
        <f t="shared" si="2011"/>
        <v>44255</v>
      </c>
    </row>
    <row r="12633" spans="1:6" x14ac:dyDescent="0.25">
      <c r="A12633" s="1" t="s">
        <v>1210</v>
      </c>
      <c r="B12633" s="1" t="s">
        <v>1209</v>
      </c>
      <c r="C12633" s="1" t="s">
        <v>146</v>
      </c>
      <c r="D12633" s="3">
        <f t="shared" si="2009"/>
        <v>8473</v>
      </c>
      <c r="E12633" s="2">
        <f t="shared" si="2010"/>
        <v>43586</v>
      </c>
      <c r="F12633" s="2">
        <f t="shared" si="2011"/>
        <v>44255</v>
      </c>
    </row>
    <row r="12634" spans="1:6" x14ac:dyDescent="0.25">
      <c r="A12634" s="1" t="s">
        <v>1210</v>
      </c>
      <c r="B12634" s="1" t="s">
        <v>1209</v>
      </c>
      <c r="C12634" s="1" t="s">
        <v>67</v>
      </c>
      <c r="D12634" s="3">
        <f t="shared" si="2009"/>
        <v>8473</v>
      </c>
      <c r="E12634" s="2">
        <f t="shared" si="2010"/>
        <v>43586</v>
      </c>
      <c r="F12634" s="2">
        <f t="shared" si="2011"/>
        <v>44255</v>
      </c>
    </row>
    <row r="12635" spans="1:6" x14ac:dyDescent="0.25">
      <c r="A12635" s="1" t="s">
        <v>1210</v>
      </c>
      <c r="B12635" s="1" t="s">
        <v>1209</v>
      </c>
      <c r="C12635" s="1" t="s">
        <v>148</v>
      </c>
      <c r="D12635" s="3">
        <f t="shared" si="2009"/>
        <v>8473</v>
      </c>
      <c r="E12635" s="2">
        <f t="shared" si="2010"/>
        <v>43586</v>
      </c>
      <c r="F12635" s="2">
        <f t="shared" si="2011"/>
        <v>44255</v>
      </c>
    </row>
    <row r="12636" spans="1:6" x14ac:dyDescent="0.25">
      <c r="A12636" s="1" t="s">
        <v>1210</v>
      </c>
      <c r="B12636" s="1" t="s">
        <v>1209</v>
      </c>
      <c r="C12636" s="1" t="s">
        <v>149</v>
      </c>
      <c r="D12636" s="3">
        <f t="shared" si="2009"/>
        <v>8473</v>
      </c>
      <c r="E12636" s="2">
        <f t="shared" si="2010"/>
        <v>43586</v>
      </c>
      <c r="F12636" s="2">
        <f t="shared" si="2011"/>
        <v>44255</v>
      </c>
    </row>
    <row r="12637" spans="1:6" x14ac:dyDescent="0.25">
      <c r="A12637" s="1" t="s">
        <v>2553</v>
      </c>
      <c r="B12637" s="1" t="s">
        <v>2552</v>
      </c>
      <c r="C12637" s="1" t="s">
        <v>150</v>
      </c>
      <c r="D12637" s="3">
        <f>VALUE("7021")</f>
        <v>7021</v>
      </c>
      <c r="E12637" s="2">
        <f>DATEVALUE("1-1-2010")</f>
        <v>40179</v>
      </c>
      <c r="F12637" s="2">
        <f>DATEVALUE("31-12-2011")</f>
        <v>40908</v>
      </c>
    </row>
    <row r="12638" spans="1:6" x14ac:dyDescent="0.25">
      <c r="A12638" s="1" t="s">
        <v>2553</v>
      </c>
      <c r="B12638" s="1" t="s">
        <v>2552</v>
      </c>
      <c r="C12638" s="1" t="s">
        <v>172</v>
      </c>
      <c r="D12638" s="3">
        <f>VALUE("7021")</f>
        <v>7021</v>
      </c>
      <c r="E12638" s="2">
        <f>DATEVALUE("1-1-2010")</f>
        <v>40179</v>
      </c>
      <c r="F12638" s="2">
        <f>DATEVALUE("31-12-2011")</f>
        <v>40908</v>
      </c>
    </row>
    <row r="12639" spans="1:6" x14ac:dyDescent="0.25">
      <c r="A12639" s="1" t="s">
        <v>781</v>
      </c>
      <c r="B12639" s="1" t="s">
        <v>1251</v>
      </c>
      <c r="C12639" s="1" t="s">
        <v>85</v>
      </c>
      <c r="D12639" s="3">
        <f t="shared" ref="D12639:D12648" si="2012">VALUE("8498")</f>
        <v>8498</v>
      </c>
      <c r="E12639" s="2">
        <f t="shared" ref="E12639:E12648" si="2013">DATEVALUE("1-8-2020")</f>
        <v>44044</v>
      </c>
      <c r="F12639" s="2">
        <f t="shared" ref="F12639:F12648" si="2014">DATEVALUE("31-12-2021")</f>
        <v>44561</v>
      </c>
    </row>
    <row r="12640" spans="1:6" x14ac:dyDescent="0.25">
      <c r="A12640" s="1" t="s">
        <v>781</v>
      </c>
      <c r="B12640" s="1" t="s">
        <v>1251</v>
      </c>
      <c r="C12640" s="1" t="s">
        <v>84</v>
      </c>
      <c r="D12640" s="3">
        <f t="shared" si="2012"/>
        <v>8498</v>
      </c>
      <c r="E12640" s="2">
        <f t="shared" si="2013"/>
        <v>44044</v>
      </c>
      <c r="F12640" s="2">
        <f t="shared" si="2014"/>
        <v>44561</v>
      </c>
    </row>
    <row r="12641" spans="1:6" x14ac:dyDescent="0.25">
      <c r="A12641" s="1" t="s">
        <v>781</v>
      </c>
      <c r="B12641" s="1" t="s">
        <v>1251</v>
      </c>
      <c r="C12641" s="1" t="s">
        <v>14</v>
      </c>
      <c r="D12641" s="3">
        <f t="shared" si="2012"/>
        <v>8498</v>
      </c>
      <c r="E12641" s="2">
        <f t="shared" si="2013"/>
        <v>44044</v>
      </c>
      <c r="F12641" s="2">
        <f t="shared" si="2014"/>
        <v>44561</v>
      </c>
    </row>
    <row r="12642" spans="1:6" x14ac:dyDescent="0.25">
      <c r="A12642" s="1" t="s">
        <v>781</v>
      </c>
      <c r="B12642" s="1" t="s">
        <v>1251</v>
      </c>
      <c r="C12642" s="1" t="s">
        <v>89</v>
      </c>
      <c r="D12642" s="3">
        <f t="shared" si="2012"/>
        <v>8498</v>
      </c>
      <c r="E12642" s="2">
        <f t="shared" si="2013"/>
        <v>44044</v>
      </c>
      <c r="F12642" s="2">
        <f t="shared" si="2014"/>
        <v>44561</v>
      </c>
    </row>
    <row r="12643" spans="1:6" x14ac:dyDescent="0.25">
      <c r="A12643" s="1" t="s">
        <v>781</v>
      </c>
      <c r="B12643" s="1" t="s">
        <v>1251</v>
      </c>
      <c r="C12643" s="1" t="s">
        <v>17</v>
      </c>
      <c r="D12643" s="3">
        <f t="shared" si="2012"/>
        <v>8498</v>
      </c>
      <c r="E12643" s="2">
        <f t="shared" si="2013"/>
        <v>44044</v>
      </c>
      <c r="F12643" s="2">
        <f t="shared" si="2014"/>
        <v>44561</v>
      </c>
    </row>
    <row r="12644" spans="1:6" x14ac:dyDescent="0.25">
      <c r="A12644" s="1" t="s">
        <v>781</v>
      </c>
      <c r="B12644" s="1" t="s">
        <v>1251</v>
      </c>
      <c r="C12644" s="1" t="s">
        <v>67</v>
      </c>
      <c r="D12644" s="3">
        <f t="shared" si="2012"/>
        <v>8498</v>
      </c>
      <c r="E12644" s="2">
        <f t="shared" si="2013"/>
        <v>44044</v>
      </c>
      <c r="F12644" s="2">
        <f t="shared" si="2014"/>
        <v>44561</v>
      </c>
    </row>
    <row r="12645" spans="1:6" x14ac:dyDescent="0.25">
      <c r="A12645" s="1" t="s">
        <v>781</v>
      </c>
      <c r="B12645" s="1" t="s">
        <v>1251</v>
      </c>
      <c r="C12645" s="1" t="s">
        <v>148</v>
      </c>
      <c r="D12645" s="3">
        <f t="shared" si="2012"/>
        <v>8498</v>
      </c>
      <c r="E12645" s="2">
        <f t="shared" si="2013"/>
        <v>44044</v>
      </c>
      <c r="F12645" s="2">
        <f t="shared" si="2014"/>
        <v>44561</v>
      </c>
    </row>
    <row r="12646" spans="1:6" x14ac:dyDescent="0.25">
      <c r="A12646" s="1" t="s">
        <v>781</v>
      </c>
      <c r="B12646" s="1" t="s">
        <v>1251</v>
      </c>
      <c r="C12646" s="1" t="s">
        <v>149</v>
      </c>
      <c r="D12646" s="3">
        <f t="shared" si="2012"/>
        <v>8498</v>
      </c>
      <c r="E12646" s="2">
        <f t="shared" si="2013"/>
        <v>44044</v>
      </c>
      <c r="F12646" s="2">
        <f t="shared" si="2014"/>
        <v>44561</v>
      </c>
    </row>
    <row r="12647" spans="1:6" x14ac:dyDescent="0.25">
      <c r="A12647" s="1" t="s">
        <v>781</v>
      </c>
      <c r="B12647" s="1" t="s">
        <v>1251</v>
      </c>
      <c r="C12647" s="1" t="s">
        <v>24</v>
      </c>
      <c r="D12647" s="3">
        <f t="shared" si="2012"/>
        <v>8498</v>
      </c>
      <c r="E12647" s="2">
        <f t="shared" si="2013"/>
        <v>44044</v>
      </c>
      <c r="F12647" s="2">
        <f t="shared" si="2014"/>
        <v>44561</v>
      </c>
    </row>
    <row r="12648" spans="1:6" x14ac:dyDescent="0.25">
      <c r="A12648" s="1" t="s">
        <v>781</v>
      </c>
      <c r="B12648" s="1" t="s">
        <v>1251</v>
      </c>
      <c r="C12648" s="1" t="s">
        <v>34</v>
      </c>
      <c r="D12648" s="3">
        <f t="shared" si="2012"/>
        <v>8498</v>
      </c>
      <c r="E12648" s="2">
        <f t="shared" si="2013"/>
        <v>44044</v>
      </c>
      <c r="F12648" s="2">
        <f t="shared" si="2014"/>
        <v>44561</v>
      </c>
    </row>
    <row r="12649" spans="1:6" x14ac:dyDescent="0.25">
      <c r="A12649" s="1" t="s">
        <v>781</v>
      </c>
      <c r="B12649" s="1" t="s">
        <v>1544</v>
      </c>
      <c r="C12649" s="1" t="s">
        <v>85</v>
      </c>
      <c r="D12649" s="3">
        <f>VALUE("8736")</f>
        <v>8736</v>
      </c>
      <c r="E12649" s="2">
        <f t="shared" ref="E12649:E12663" si="2015">DATEVALUE("1-5-2020")</f>
        <v>43952</v>
      </c>
      <c r="F12649" s="2">
        <f>DATEVALUE("31-7-2021")</f>
        <v>44408</v>
      </c>
    </row>
    <row r="12650" spans="1:6" x14ac:dyDescent="0.25">
      <c r="A12650" s="1" t="s">
        <v>781</v>
      </c>
      <c r="B12650" s="1" t="s">
        <v>1544</v>
      </c>
      <c r="C12650" s="1" t="s">
        <v>84</v>
      </c>
      <c r="D12650" s="3">
        <f>VALUE("8736")</f>
        <v>8736</v>
      </c>
      <c r="E12650" s="2">
        <f t="shared" si="2015"/>
        <v>43952</v>
      </c>
      <c r="F12650" s="2">
        <f>DATEVALUE("31-7-2021")</f>
        <v>44408</v>
      </c>
    </row>
    <row r="12651" spans="1:6" x14ac:dyDescent="0.25">
      <c r="A12651" s="1" t="s">
        <v>781</v>
      </c>
      <c r="B12651" s="1" t="s">
        <v>1567</v>
      </c>
      <c r="C12651" s="1" t="s">
        <v>40</v>
      </c>
      <c r="D12651" s="3">
        <f t="shared" ref="D12651:D12663" si="2016">VALUE("8748")</f>
        <v>8748</v>
      </c>
      <c r="E12651" s="2">
        <f t="shared" si="2015"/>
        <v>43952</v>
      </c>
      <c r="F12651" s="2">
        <f t="shared" ref="F12651:F12663" si="2017">DATEVALUE("30-4-2021")</f>
        <v>44316</v>
      </c>
    </row>
    <row r="12652" spans="1:6" x14ac:dyDescent="0.25">
      <c r="A12652" s="1" t="s">
        <v>781</v>
      </c>
      <c r="B12652" s="1" t="s">
        <v>1567</v>
      </c>
      <c r="C12652" s="1" t="s">
        <v>41</v>
      </c>
      <c r="D12652" s="3">
        <f t="shared" si="2016"/>
        <v>8748</v>
      </c>
      <c r="E12652" s="2">
        <f t="shared" si="2015"/>
        <v>43952</v>
      </c>
      <c r="F12652" s="2">
        <f t="shared" si="2017"/>
        <v>44316</v>
      </c>
    </row>
    <row r="12653" spans="1:6" x14ac:dyDescent="0.25">
      <c r="A12653" s="1" t="s">
        <v>781</v>
      </c>
      <c r="B12653" s="1" t="s">
        <v>1567</v>
      </c>
      <c r="C12653" s="1" t="s">
        <v>346</v>
      </c>
      <c r="D12653" s="3">
        <f t="shared" si="2016"/>
        <v>8748</v>
      </c>
      <c r="E12653" s="2">
        <f t="shared" si="2015"/>
        <v>43952</v>
      </c>
      <c r="F12653" s="2">
        <f t="shared" si="2017"/>
        <v>44316</v>
      </c>
    </row>
    <row r="12654" spans="1:6" x14ac:dyDescent="0.25">
      <c r="A12654" s="1" t="s">
        <v>781</v>
      </c>
      <c r="B12654" s="1" t="s">
        <v>1567</v>
      </c>
      <c r="C12654" s="1" t="s">
        <v>14</v>
      </c>
      <c r="D12654" s="3">
        <f t="shared" si="2016"/>
        <v>8748</v>
      </c>
      <c r="E12654" s="2">
        <f t="shared" si="2015"/>
        <v>43952</v>
      </c>
      <c r="F12654" s="2">
        <f t="shared" si="2017"/>
        <v>44316</v>
      </c>
    </row>
    <row r="12655" spans="1:6" x14ac:dyDescent="0.25">
      <c r="A12655" s="1" t="s">
        <v>781</v>
      </c>
      <c r="B12655" s="1" t="s">
        <v>1567</v>
      </c>
      <c r="C12655" s="1" t="s">
        <v>15</v>
      </c>
      <c r="D12655" s="3">
        <f t="shared" si="2016"/>
        <v>8748</v>
      </c>
      <c r="E12655" s="2">
        <f t="shared" si="2015"/>
        <v>43952</v>
      </c>
      <c r="F12655" s="2">
        <f t="shared" si="2017"/>
        <v>44316</v>
      </c>
    </row>
    <row r="12656" spans="1:6" x14ac:dyDescent="0.25">
      <c r="A12656" s="1" t="s">
        <v>781</v>
      </c>
      <c r="B12656" s="1" t="s">
        <v>1567</v>
      </c>
      <c r="C12656" s="1" t="s">
        <v>17</v>
      </c>
      <c r="D12656" s="3">
        <f t="shared" si="2016"/>
        <v>8748</v>
      </c>
      <c r="E12656" s="2">
        <f t="shared" si="2015"/>
        <v>43952</v>
      </c>
      <c r="F12656" s="2">
        <f t="shared" si="2017"/>
        <v>44316</v>
      </c>
    </row>
    <row r="12657" spans="1:6" x14ac:dyDescent="0.25">
      <c r="A12657" s="1" t="s">
        <v>781</v>
      </c>
      <c r="B12657" s="1" t="s">
        <v>1567</v>
      </c>
      <c r="C12657" s="1" t="s">
        <v>22</v>
      </c>
      <c r="D12657" s="3">
        <f t="shared" si="2016"/>
        <v>8748</v>
      </c>
      <c r="E12657" s="2">
        <f t="shared" si="2015"/>
        <v>43952</v>
      </c>
      <c r="F12657" s="2">
        <f t="shared" si="2017"/>
        <v>44316</v>
      </c>
    </row>
    <row r="12658" spans="1:6" x14ac:dyDescent="0.25">
      <c r="A12658" s="1" t="s">
        <v>781</v>
      </c>
      <c r="B12658" s="1" t="s">
        <v>1567</v>
      </c>
      <c r="C12658" s="1" t="s">
        <v>146</v>
      </c>
      <c r="D12658" s="3">
        <f t="shared" si="2016"/>
        <v>8748</v>
      </c>
      <c r="E12658" s="2">
        <f t="shared" si="2015"/>
        <v>43952</v>
      </c>
      <c r="F12658" s="2">
        <f t="shared" si="2017"/>
        <v>44316</v>
      </c>
    </row>
    <row r="12659" spans="1:6" x14ac:dyDescent="0.25">
      <c r="A12659" s="1" t="s">
        <v>781</v>
      </c>
      <c r="B12659" s="1" t="s">
        <v>1567</v>
      </c>
      <c r="C12659" s="1" t="s">
        <v>99</v>
      </c>
      <c r="D12659" s="3">
        <f t="shared" si="2016"/>
        <v>8748</v>
      </c>
      <c r="E12659" s="2">
        <f t="shared" si="2015"/>
        <v>43952</v>
      </c>
      <c r="F12659" s="2">
        <f t="shared" si="2017"/>
        <v>44316</v>
      </c>
    </row>
    <row r="12660" spans="1:6" x14ac:dyDescent="0.25">
      <c r="A12660" s="1" t="s">
        <v>781</v>
      </c>
      <c r="B12660" s="1" t="s">
        <v>1567</v>
      </c>
      <c r="C12660" s="1" t="s">
        <v>283</v>
      </c>
      <c r="D12660" s="3">
        <f t="shared" si="2016"/>
        <v>8748</v>
      </c>
      <c r="E12660" s="2">
        <f t="shared" si="2015"/>
        <v>43952</v>
      </c>
      <c r="F12660" s="2">
        <f t="shared" si="2017"/>
        <v>44316</v>
      </c>
    </row>
    <row r="12661" spans="1:6" x14ac:dyDescent="0.25">
      <c r="A12661" s="1" t="s">
        <v>781</v>
      </c>
      <c r="B12661" s="1" t="s">
        <v>1567</v>
      </c>
      <c r="C12661" s="1" t="s">
        <v>52</v>
      </c>
      <c r="D12661" s="3">
        <f t="shared" si="2016"/>
        <v>8748</v>
      </c>
      <c r="E12661" s="2">
        <f t="shared" si="2015"/>
        <v>43952</v>
      </c>
      <c r="F12661" s="2">
        <f t="shared" si="2017"/>
        <v>44316</v>
      </c>
    </row>
    <row r="12662" spans="1:6" x14ac:dyDescent="0.25">
      <c r="A12662" s="1" t="s">
        <v>781</v>
      </c>
      <c r="B12662" s="1" t="s">
        <v>1567</v>
      </c>
      <c r="C12662" s="1" t="s">
        <v>56</v>
      </c>
      <c r="D12662" s="3">
        <f t="shared" si="2016"/>
        <v>8748</v>
      </c>
      <c r="E12662" s="2">
        <f t="shared" si="2015"/>
        <v>43952</v>
      </c>
      <c r="F12662" s="2">
        <f t="shared" si="2017"/>
        <v>44316</v>
      </c>
    </row>
    <row r="12663" spans="1:6" x14ac:dyDescent="0.25">
      <c r="A12663" s="1" t="s">
        <v>781</v>
      </c>
      <c r="B12663" s="1" t="s">
        <v>1567</v>
      </c>
      <c r="C12663" s="1" t="s">
        <v>117</v>
      </c>
      <c r="D12663" s="3">
        <f t="shared" si="2016"/>
        <v>8748</v>
      </c>
      <c r="E12663" s="2">
        <f t="shared" si="2015"/>
        <v>43952</v>
      </c>
      <c r="F12663" s="2">
        <f t="shared" si="2017"/>
        <v>44316</v>
      </c>
    </row>
    <row r="12664" spans="1:6" x14ac:dyDescent="0.25">
      <c r="A12664" s="1" t="s">
        <v>781</v>
      </c>
      <c r="B12664" s="1" t="s">
        <v>1291</v>
      </c>
      <c r="C12664" s="1" t="s">
        <v>1292</v>
      </c>
      <c r="D12664" s="3">
        <f>VALUE("8549")</f>
        <v>8549</v>
      </c>
      <c r="E12664" s="2">
        <f>DATEVALUE("1-10-2019")</f>
        <v>43739</v>
      </c>
      <c r="F12664" s="2">
        <f>DATEVALUE("28-2-2021")</f>
        <v>44255</v>
      </c>
    </row>
    <row r="12665" spans="1:6" x14ac:dyDescent="0.25">
      <c r="A12665" s="1" t="s">
        <v>781</v>
      </c>
      <c r="B12665" s="1" t="s">
        <v>1242</v>
      </c>
      <c r="C12665" s="1" t="s">
        <v>1178</v>
      </c>
      <c r="D12665" s="3">
        <f t="shared" ref="D12665:D12678" si="2018">VALUE("8490")</f>
        <v>8490</v>
      </c>
      <c r="E12665" s="2">
        <f t="shared" ref="E12665:E12678" si="2019">DATEVALUE("1-8-2019")</f>
        <v>43678</v>
      </c>
      <c r="F12665" s="2">
        <f t="shared" ref="F12665:F12678" si="2020">DATEVALUE("31-7-2024")</f>
        <v>45504</v>
      </c>
    </row>
    <row r="12666" spans="1:6" x14ac:dyDescent="0.25">
      <c r="A12666" s="1" t="s">
        <v>781</v>
      </c>
      <c r="B12666" s="1" t="s">
        <v>1242</v>
      </c>
      <c r="C12666" s="1" t="s">
        <v>14</v>
      </c>
      <c r="D12666" s="3">
        <f t="shared" si="2018"/>
        <v>8490</v>
      </c>
      <c r="E12666" s="2">
        <f t="shared" si="2019"/>
        <v>43678</v>
      </c>
      <c r="F12666" s="2">
        <f t="shared" si="2020"/>
        <v>45504</v>
      </c>
    </row>
    <row r="12667" spans="1:6" x14ac:dyDescent="0.25">
      <c r="A12667" s="1" t="s">
        <v>781</v>
      </c>
      <c r="B12667" s="1" t="s">
        <v>1242</v>
      </c>
      <c r="C12667" s="1" t="s">
        <v>15</v>
      </c>
      <c r="D12667" s="3">
        <f t="shared" si="2018"/>
        <v>8490</v>
      </c>
      <c r="E12667" s="2">
        <f t="shared" si="2019"/>
        <v>43678</v>
      </c>
      <c r="F12667" s="2">
        <f t="shared" si="2020"/>
        <v>45504</v>
      </c>
    </row>
    <row r="12668" spans="1:6" x14ac:dyDescent="0.25">
      <c r="A12668" s="1" t="s">
        <v>781</v>
      </c>
      <c r="B12668" s="1" t="s">
        <v>1242</v>
      </c>
      <c r="C12668" s="1" t="s">
        <v>17</v>
      </c>
      <c r="D12668" s="3">
        <f t="shared" si="2018"/>
        <v>8490</v>
      </c>
      <c r="E12668" s="2">
        <f t="shared" si="2019"/>
        <v>43678</v>
      </c>
      <c r="F12668" s="2">
        <f t="shared" si="2020"/>
        <v>45504</v>
      </c>
    </row>
    <row r="12669" spans="1:6" x14ac:dyDescent="0.25">
      <c r="A12669" s="1" t="s">
        <v>781</v>
      </c>
      <c r="B12669" s="1" t="s">
        <v>1242</v>
      </c>
      <c r="C12669" s="1" t="s">
        <v>22</v>
      </c>
      <c r="D12669" s="3">
        <f t="shared" si="2018"/>
        <v>8490</v>
      </c>
      <c r="E12669" s="2">
        <f t="shared" si="2019"/>
        <v>43678</v>
      </c>
      <c r="F12669" s="2">
        <f t="shared" si="2020"/>
        <v>45504</v>
      </c>
    </row>
    <row r="12670" spans="1:6" x14ac:dyDescent="0.25">
      <c r="A12670" s="1" t="s">
        <v>781</v>
      </c>
      <c r="B12670" s="1" t="s">
        <v>1242</v>
      </c>
      <c r="C12670" s="1" t="s">
        <v>146</v>
      </c>
      <c r="D12670" s="3">
        <f t="shared" si="2018"/>
        <v>8490</v>
      </c>
      <c r="E12670" s="2">
        <f t="shared" si="2019"/>
        <v>43678</v>
      </c>
      <c r="F12670" s="2">
        <f t="shared" si="2020"/>
        <v>45504</v>
      </c>
    </row>
    <row r="12671" spans="1:6" x14ac:dyDescent="0.25">
      <c r="A12671" s="1" t="s">
        <v>781</v>
      </c>
      <c r="B12671" s="1" t="s">
        <v>1242</v>
      </c>
      <c r="C12671" s="1" t="s">
        <v>148</v>
      </c>
      <c r="D12671" s="3">
        <f t="shared" si="2018"/>
        <v>8490</v>
      </c>
      <c r="E12671" s="2">
        <f t="shared" si="2019"/>
        <v>43678</v>
      </c>
      <c r="F12671" s="2">
        <f t="shared" si="2020"/>
        <v>45504</v>
      </c>
    </row>
    <row r="12672" spans="1:6" x14ac:dyDescent="0.25">
      <c r="A12672" s="1" t="s">
        <v>781</v>
      </c>
      <c r="B12672" s="1" t="s">
        <v>1242</v>
      </c>
      <c r="C12672" s="1" t="s">
        <v>92</v>
      </c>
      <c r="D12672" s="3">
        <f t="shared" si="2018"/>
        <v>8490</v>
      </c>
      <c r="E12672" s="2">
        <f t="shared" si="2019"/>
        <v>43678</v>
      </c>
      <c r="F12672" s="2">
        <f t="shared" si="2020"/>
        <v>45504</v>
      </c>
    </row>
    <row r="12673" spans="1:6" x14ac:dyDescent="0.25">
      <c r="A12673" s="1" t="s">
        <v>781</v>
      </c>
      <c r="B12673" s="1" t="s">
        <v>1242</v>
      </c>
      <c r="C12673" s="1" t="s">
        <v>1177</v>
      </c>
      <c r="D12673" s="3">
        <f t="shared" si="2018"/>
        <v>8490</v>
      </c>
      <c r="E12673" s="2">
        <f t="shared" si="2019"/>
        <v>43678</v>
      </c>
      <c r="F12673" s="2">
        <f t="shared" si="2020"/>
        <v>45504</v>
      </c>
    </row>
    <row r="12674" spans="1:6" x14ac:dyDescent="0.25">
      <c r="A12674" s="1" t="s">
        <v>781</v>
      </c>
      <c r="B12674" s="1" t="s">
        <v>1242</v>
      </c>
      <c r="C12674" s="1" t="s">
        <v>24</v>
      </c>
      <c r="D12674" s="3">
        <f t="shared" si="2018"/>
        <v>8490</v>
      </c>
      <c r="E12674" s="2">
        <f t="shared" si="2019"/>
        <v>43678</v>
      </c>
      <c r="F12674" s="2">
        <f t="shared" si="2020"/>
        <v>45504</v>
      </c>
    </row>
    <row r="12675" spans="1:6" x14ac:dyDescent="0.25">
      <c r="A12675" s="1" t="s">
        <v>781</v>
      </c>
      <c r="B12675" s="1" t="s">
        <v>1242</v>
      </c>
      <c r="C12675" s="1" t="s">
        <v>73</v>
      </c>
      <c r="D12675" s="3">
        <f t="shared" si="2018"/>
        <v>8490</v>
      </c>
      <c r="E12675" s="2">
        <f t="shared" si="2019"/>
        <v>43678</v>
      </c>
      <c r="F12675" s="2">
        <f t="shared" si="2020"/>
        <v>45504</v>
      </c>
    </row>
    <row r="12676" spans="1:6" x14ac:dyDescent="0.25">
      <c r="A12676" s="1" t="s">
        <v>781</v>
      </c>
      <c r="B12676" s="1" t="s">
        <v>1242</v>
      </c>
      <c r="C12676" s="1" t="s">
        <v>34</v>
      </c>
      <c r="D12676" s="3">
        <f t="shared" si="2018"/>
        <v>8490</v>
      </c>
      <c r="E12676" s="2">
        <f t="shared" si="2019"/>
        <v>43678</v>
      </c>
      <c r="F12676" s="2">
        <f t="shared" si="2020"/>
        <v>45504</v>
      </c>
    </row>
    <row r="12677" spans="1:6" x14ac:dyDescent="0.25">
      <c r="A12677" s="1" t="s">
        <v>781</v>
      </c>
      <c r="B12677" s="1" t="s">
        <v>1242</v>
      </c>
      <c r="C12677" s="1" t="s">
        <v>55</v>
      </c>
      <c r="D12677" s="3">
        <f t="shared" si="2018"/>
        <v>8490</v>
      </c>
      <c r="E12677" s="2">
        <f t="shared" si="2019"/>
        <v>43678</v>
      </c>
      <c r="F12677" s="2">
        <f t="shared" si="2020"/>
        <v>45504</v>
      </c>
    </row>
    <row r="12678" spans="1:6" x14ac:dyDescent="0.25">
      <c r="A12678" s="1" t="s">
        <v>781</v>
      </c>
      <c r="B12678" s="1" t="s">
        <v>1242</v>
      </c>
      <c r="C12678" s="1" t="s">
        <v>170</v>
      </c>
      <c r="D12678" s="3">
        <f t="shared" si="2018"/>
        <v>8490</v>
      </c>
      <c r="E12678" s="2">
        <f t="shared" si="2019"/>
        <v>43678</v>
      </c>
      <c r="F12678" s="2">
        <f t="shared" si="2020"/>
        <v>45504</v>
      </c>
    </row>
    <row r="12679" spans="1:6" x14ac:dyDescent="0.25">
      <c r="A12679" s="1" t="s">
        <v>781</v>
      </c>
      <c r="B12679" s="1" t="s">
        <v>1012</v>
      </c>
      <c r="C12679" s="1" t="s">
        <v>85</v>
      </c>
      <c r="D12679" s="3">
        <f t="shared" ref="D12679:D12687" si="2021">VALUE("8294")</f>
        <v>8294</v>
      </c>
      <c r="E12679" s="2">
        <f t="shared" ref="E12679:E12698" si="2022">DATEVALUE("1-10-2018")</f>
        <v>43374</v>
      </c>
      <c r="F12679" s="2">
        <f t="shared" ref="F12679:F12687" si="2023">DATEVALUE("31-7-2023")</f>
        <v>45138</v>
      </c>
    </row>
    <row r="12680" spans="1:6" x14ac:dyDescent="0.25">
      <c r="A12680" s="1" t="s">
        <v>781</v>
      </c>
      <c r="B12680" s="1" t="s">
        <v>1012</v>
      </c>
      <c r="C12680" s="1" t="s">
        <v>84</v>
      </c>
      <c r="D12680" s="3">
        <f t="shared" si="2021"/>
        <v>8294</v>
      </c>
      <c r="E12680" s="2">
        <f t="shared" si="2022"/>
        <v>43374</v>
      </c>
      <c r="F12680" s="2">
        <f t="shared" si="2023"/>
        <v>45138</v>
      </c>
    </row>
    <row r="12681" spans="1:6" x14ac:dyDescent="0.25">
      <c r="A12681" s="1" t="s">
        <v>781</v>
      </c>
      <c r="B12681" s="1" t="s">
        <v>1012</v>
      </c>
      <c r="C12681" s="1" t="s">
        <v>89</v>
      </c>
      <c r="D12681" s="3">
        <f t="shared" si="2021"/>
        <v>8294</v>
      </c>
      <c r="E12681" s="2">
        <f t="shared" si="2022"/>
        <v>43374</v>
      </c>
      <c r="F12681" s="2">
        <f t="shared" si="2023"/>
        <v>45138</v>
      </c>
    </row>
    <row r="12682" spans="1:6" x14ac:dyDescent="0.25">
      <c r="A12682" s="1" t="s">
        <v>781</v>
      </c>
      <c r="B12682" s="1" t="s">
        <v>1012</v>
      </c>
      <c r="C12682" s="1" t="s">
        <v>22</v>
      </c>
      <c r="D12682" s="3">
        <f t="shared" si="2021"/>
        <v>8294</v>
      </c>
      <c r="E12682" s="2">
        <f t="shared" si="2022"/>
        <v>43374</v>
      </c>
      <c r="F12682" s="2">
        <f t="shared" si="2023"/>
        <v>45138</v>
      </c>
    </row>
    <row r="12683" spans="1:6" x14ac:dyDescent="0.25">
      <c r="A12683" s="1" t="s">
        <v>781</v>
      </c>
      <c r="B12683" s="1" t="s">
        <v>1012</v>
      </c>
      <c r="C12683" s="1" t="s">
        <v>146</v>
      </c>
      <c r="D12683" s="3">
        <f t="shared" si="2021"/>
        <v>8294</v>
      </c>
      <c r="E12683" s="2">
        <f t="shared" si="2022"/>
        <v>43374</v>
      </c>
      <c r="F12683" s="2">
        <f t="shared" si="2023"/>
        <v>45138</v>
      </c>
    </row>
    <row r="12684" spans="1:6" x14ac:dyDescent="0.25">
      <c r="A12684" s="1" t="s">
        <v>781</v>
      </c>
      <c r="B12684" s="1" t="s">
        <v>1012</v>
      </c>
      <c r="C12684" s="1" t="s">
        <v>148</v>
      </c>
      <c r="D12684" s="3">
        <f t="shared" si="2021"/>
        <v>8294</v>
      </c>
      <c r="E12684" s="2">
        <f t="shared" si="2022"/>
        <v>43374</v>
      </c>
      <c r="F12684" s="2">
        <f t="shared" si="2023"/>
        <v>45138</v>
      </c>
    </row>
    <row r="12685" spans="1:6" x14ac:dyDescent="0.25">
      <c r="A12685" s="1" t="s">
        <v>781</v>
      </c>
      <c r="B12685" s="1" t="s">
        <v>1012</v>
      </c>
      <c r="C12685" s="1" t="s">
        <v>150</v>
      </c>
      <c r="D12685" s="3">
        <f t="shared" si="2021"/>
        <v>8294</v>
      </c>
      <c r="E12685" s="2">
        <f t="shared" si="2022"/>
        <v>43374</v>
      </c>
      <c r="F12685" s="2">
        <f t="shared" si="2023"/>
        <v>45138</v>
      </c>
    </row>
    <row r="12686" spans="1:6" x14ac:dyDescent="0.25">
      <c r="A12686" s="1" t="s">
        <v>781</v>
      </c>
      <c r="B12686" s="1" t="s">
        <v>1012</v>
      </c>
      <c r="C12686" s="1" t="s">
        <v>73</v>
      </c>
      <c r="D12686" s="3">
        <f t="shared" si="2021"/>
        <v>8294</v>
      </c>
      <c r="E12686" s="2">
        <f t="shared" si="2022"/>
        <v>43374</v>
      </c>
      <c r="F12686" s="2">
        <f t="shared" si="2023"/>
        <v>45138</v>
      </c>
    </row>
    <row r="12687" spans="1:6" x14ac:dyDescent="0.25">
      <c r="A12687" s="1" t="s">
        <v>781</v>
      </c>
      <c r="B12687" s="1" t="s">
        <v>1012</v>
      </c>
      <c r="C12687" s="1" t="s">
        <v>160</v>
      </c>
      <c r="D12687" s="3">
        <f t="shared" si="2021"/>
        <v>8294</v>
      </c>
      <c r="E12687" s="2">
        <f t="shared" si="2022"/>
        <v>43374</v>
      </c>
      <c r="F12687" s="2">
        <f t="shared" si="2023"/>
        <v>45138</v>
      </c>
    </row>
    <row r="12688" spans="1:6" x14ac:dyDescent="0.25">
      <c r="A12688" s="1" t="s">
        <v>781</v>
      </c>
      <c r="B12688" s="1" t="s">
        <v>1067</v>
      </c>
      <c r="C12688" s="1" t="s">
        <v>14</v>
      </c>
      <c r="D12688" s="3">
        <f t="shared" ref="D12688:D12698" si="2024">VALUE("8345")</f>
        <v>8345</v>
      </c>
      <c r="E12688" s="2">
        <f t="shared" si="2022"/>
        <v>43374</v>
      </c>
      <c r="F12688" s="2">
        <f t="shared" ref="F12688:F12698" si="2025">DATEVALUE("30-4-2021")</f>
        <v>44316</v>
      </c>
    </row>
    <row r="12689" spans="1:6" x14ac:dyDescent="0.25">
      <c r="A12689" s="1" t="s">
        <v>781</v>
      </c>
      <c r="B12689" s="1" t="s">
        <v>1067</v>
      </c>
      <c r="C12689" s="1" t="s">
        <v>66</v>
      </c>
      <c r="D12689" s="3">
        <f t="shared" si="2024"/>
        <v>8345</v>
      </c>
      <c r="E12689" s="2">
        <f t="shared" si="2022"/>
        <v>43374</v>
      </c>
      <c r="F12689" s="2">
        <f t="shared" si="2025"/>
        <v>44316</v>
      </c>
    </row>
    <row r="12690" spans="1:6" x14ac:dyDescent="0.25">
      <c r="A12690" s="1" t="s">
        <v>781</v>
      </c>
      <c r="B12690" s="1" t="s">
        <v>1067</v>
      </c>
      <c r="C12690" s="1" t="s">
        <v>15</v>
      </c>
      <c r="D12690" s="3">
        <f t="shared" si="2024"/>
        <v>8345</v>
      </c>
      <c r="E12690" s="2">
        <f t="shared" si="2022"/>
        <v>43374</v>
      </c>
      <c r="F12690" s="2">
        <f t="shared" si="2025"/>
        <v>44316</v>
      </c>
    </row>
    <row r="12691" spans="1:6" x14ac:dyDescent="0.25">
      <c r="A12691" s="1" t="s">
        <v>781</v>
      </c>
      <c r="B12691" s="1" t="s">
        <v>1067</v>
      </c>
      <c r="C12691" s="1" t="s">
        <v>17</v>
      </c>
      <c r="D12691" s="3">
        <f t="shared" si="2024"/>
        <v>8345</v>
      </c>
      <c r="E12691" s="2">
        <f t="shared" si="2022"/>
        <v>43374</v>
      </c>
      <c r="F12691" s="2">
        <f t="shared" si="2025"/>
        <v>44316</v>
      </c>
    </row>
    <row r="12692" spans="1:6" x14ac:dyDescent="0.25">
      <c r="A12692" s="1" t="s">
        <v>781</v>
      </c>
      <c r="B12692" s="1" t="s">
        <v>1067</v>
      </c>
      <c r="C12692" s="1" t="s">
        <v>197</v>
      </c>
      <c r="D12692" s="3">
        <f t="shared" si="2024"/>
        <v>8345</v>
      </c>
      <c r="E12692" s="2">
        <f t="shared" si="2022"/>
        <v>43374</v>
      </c>
      <c r="F12692" s="2">
        <f t="shared" si="2025"/>
        <v>44316</v>
      </c>
    </row>
    <row r="12693" spans="1:6" x14ac:dyDescent="0.25">
      <c r="A12693" s="1" t="s">
        <v>781</v>
      </c>
      <c r="B12693" s="1" t="s">
        <v>1067</v>
      </c>
      <c r="C12693" s="1" t="s">
        <v>22</v>
      </c>
      <c r="D12693" s="3">
        <f t="shared" si="2024"/>
        <v>8345</v>
      </c>
      <c r="E12693" s="2">
        <f t="shared" si="2022"/>
        <v>43374</v>
      </c>
      <c r="F12693" s="2">
        <f t="shared" si="2025"/>
        <v>44316</v>
      </c>
    </row>
    <row r="12694" spans="1:6" x14ac:dyDescent="0.25">
      <c r="A12694" s="1" t="s">
        <v>781</v>
      </c>
      <c r="B12694" s="1" t="s">
        <v>1067</v>
      </c>
      <c r="C12694" s="1" t="s">
        <v>146</v>
      </c>
      <c r="D12694" s="3">
        <f t="shared" si="2024"/>
        <v>8345</v>
      </c>
      <c r="E12694" s="2">
        <f t="shared" si="2022"/>
        <v>43374</v>
      </c>
      <c r="F12694" s="2">
        <f t="shared" si="2025"/>
        <v>44316</v>
      </c>
    </row>
    <row r="12695" spans="1:6" x14ac:dyDescent="0.25">
      <c r="A12695" s="1" t="s">
        <v>781</v>
      </c>
      <c r="B12695" s="1" t="s">
        <v>1067</v>
      </c>
      <c r="C12695" s="1" t="s">
        <v>67</v>
      </c>
      <c r="D12695" s="3">
        <f t="shared" si="2024"/>
        <v>8345</v>
      </c>
      <c r="E12695" s="2">
        <f t="shared" si="2022"/>
        <v>43374</v>
      </c>
      <c r="F12695" s="2">
        <f t="shared" si="2025"/>
        <v>44316</v>
      </c>
    </row>
    <row r="12696" spans="1:6" x14ac:dyDescent="0.25">
      <c r="A12696" s="1" t="s">
        <v>781</v>
      </c>
      <c r="B12696" s="1" t="s">
        <v>1067</v>
      </c>
      <c r="C12696" s="1" t="s">
        <v>24</v>
      </c>
      <c r="D12696" s="3">
        <f t="shared" si="2024"/>
        <v>8345</v>
      </c>
      <c r="E12696" s="2">
        <f t="shared" si="2022"/>
        <v>43374</v>
      </c>
      <c r="F12696" s="2">
        <f t="shared" si="2025"/>
        <v>44316</v>
      </c>
    </row>
    <row r="12697" spans="1:6" x14ac:dyDescent="0.25">
      <c r="A12697" s="1" t="s">
        <v>781</v>
      </c>
      <c r="B12697" s="1" t="s">
        <v>1067</v>
      </c>
      <c r="C12697" s="1" t="s">
        <v>54</v>
      </c>
      <c r="D12697" s="3">
        <f t="shared" si="2024"/>
        <v>8345</v>
      </c>
      <c r="E12697" s="2">
        <f t="shared" si="2022"/>
        <v>43374</v>
      </c>
      <c r="F12697" s="2">
        <f t="shared" si="2025"/>
        <v>44316</v>
      </c>
    </row>
    <row r="12698" spans="1:6" x14ac:dyDescent="0.25">
      <c r="A12698" s="1" t="s">
        <v>781</v>
      </c>
      <c r="B12698" s="1" t="s">
        <v>1067</v>
      </c>
      <c r="C12698" s="1" t="s">
        <v>34</v>
      </c>
      <c r="D12698" s="3">
        <f t="shared" si="2024"/>
        <v>8345</v>
      </c>
      <c r="E12698" s="2">
        <f t="shared" si="2022"/>
        <v>43374</v>
      </c>
      <c r="F12698" s="2">
        <f t="shared" si="2025"/>
        <v>44316</v>
      </c>
    </row>
    <row r="12699" spans="1:6" x14ac:dyDescent="0.25">
      <c r="A12699" s="1" t="s">
        <v>781</v>
      </c>
      <c r="B12699" s="1" t="s">
        <v>960</v>
      </c>
      <c r="C12699" s="1" t="s">
        <v>84</v>
      </c>
      <c r="D12699" s="3">
        <f t="shared" ref="D12699:D12705" si="2026">VALUE("8251")</f>
        <v>8251</v>
      </c>
      <c r="E12699" s="2">
        <f t="shared" ref="E12699:E12705" si="2027">DATEVALUE("1-3-2018")</f>
        <v>43160</v>
      </c>
      <c r="F12699" s="2">
        <f t="shared" ref="F12699:F12705" si="2028">DATEVALUE("30-4-2022")</f>
        <v>44681</v>
      </c>
    </row>
    <row r="12700" spans="1:6" x14ac:dyDescent="0.25">
      <c r="A12700" s="1" t="s">
        <v>781</v>
      </c>
      <c r="B12700" s="1" t="s">
        <v>960</v>
      </c>
      <c r="C12700" s="1" t="s">
        <v>14</v>
      </c>
      <c r="D12700" s="3">
        <f t="shared" si="2026"/>
        <v>8251</v>
      </c>
      <c r="E12700" s="2">
        <f t="shared" si="2027"/>
        <v>43160</v>
      </c>
      <c r="F12700" s="2">
        <f t="shared" si="2028"/>
        <v>44681</v>
      </c>
    </row>
    <row r="12701" spans="1:6" x14ac:dyDescent="0.25">
      <c r="A12701" s="1" t="s">
        <v>781</v>
      </c>
      <c r="B12701" s="1" t="s">
        <v>960</v>
      </c>
      <c r="C12701" s="1" t="s">
        <v>89</v>
      </c>
      <c r="D12701" s="3">
        <f t="shared" si="2026"/>
        <v>8251</v>
      </c>
      <c r="E12701" s="2">
        <f t="shared" si="2027"/>
        <v>43160</v>
      </c>
      <c r="F12701" s="2">
        <f t="shared" si="2028"/>
        <v>44681</v>
      </c>
    </row>
    <row r="12702" spans="1:6" x14ac:dyDescent="0.25">
      <c r="A12702" s="1" t="s">
        <v>781</v>
      </c>
      <c r="B12702" s="1" t="s">
        <v>960</v>
      </c>
      <c r="C12702" s="1" t="s">
        <v>17</v>
      </c>
      <c r="D12702" s="3">
        <f t="shared" si="2026"/>
        <v>8251</v>
      </c>
      <c r="E12702" s="2">
        <f t="shared" si="2027"/>
        <v>43160</v>
      </c>
      <c r="F12702" s="2">
        <f t="shared" si="2028"/>
        <v>44681</v>
      </c>
    </row>
    <row r="12703" spans="1:6" x14ac:dyDescent="0.25">
      <c r="A12703" s="1" t="s">
        <v>781</v>
      </c>
      <c r="B12703" s="1" t="s">
        <v>960</v>
      </c>
      <c r="C12703" s="1" t="s">
        <v>22</v>
      </c>
      <c r="D12703" s="3">
        <f t="shared" si="2026"/>
        <v>8251</v>
      </c>
      <c r="E12703" s="2">
        <f t="shared" si="2027"/>
        <v>43160</v>
      </c>
      <c r="F12703" s="2">
        <f t="shared" si="2028"/>
        <v>44681</v>
      </c>
    </row>
    <row r="12704" spans="1:6" x14ac:dyDescent="0.25">
      <c r="A12704" s="1" t="s">
        <v>781</v>
      </c>
      <c r="B12704" s="1" t="s">
        <v>960</v>
      </c>
      <c r="C12704" s="1" t="s">
        <v>371</v>
      </c>
      <c r="D12704" s="3">
        <f t="shared" si="2026"/>
        <v>8251</v>
      </c>
      <c r="E12704" s="2">
        <f t="shared" si="2027"/>
        <v>43160</v>
      </c>
      <c r="F12704" s="2">
        <f t="shared" si="2028"/>
        <v>44681</v>
      </c>
    </row>
    <row r="12705" spans="1:6" x14ac:dyDescent="0.25">
      <c r="A12705" s="1" t="s">
        <v>781</v>
      </c>
      <c r="B12705" s="1" t="s">
        <v>960</v>
      </c>
      <c r="C12705" s="1" t="s">
        <v>73</v>
      </c>
      <c r="D12705" s="3">
        <f t="shared" si="2026"/>
        <v>8251</v>
      </c>
      <c r="E12705" s="2">
        <f t="shared" si="2027"/>
        <v>43160</v>
      </c>
      <c r="F12705" s="2">
        <f t="shared" si="2028"/>
        <v>44681</v>
      </c>
    </row>
    <row r="12706" spans="1:6" x14ac:dyDescent="0.25">
      <c r="A12706" s="1" t="s">
        <v>781</v>
      </c>
      <c r="B12706" s="1" t="s">
        <v>2046</v>
      </c>
      <c r="C12706" s="1" t="s">
        <v>84</v>
      </c>
      <c r="D12706" s="3">
        <f>VALUE("8088")</f>
        <v>8088</v>
      </c>
      <c r="E12706" s="2">
        <f>DATEVALUE("1-1-2018")</f>
        <v>43101</v>
      </c>
      <c r="F12706" s="2">
        <f>DATEVALUE("30-4-2018")</f>
        <v>43220</v>
      </c>
    </row>
    <row r="12707" spans="1:6" x14ac:dyDescent="0.25">
      <c r="A12707" s="1" t="s">
        <v>781</v>
      </c>
      <c r="B12707" s="1" t="s">
        <v>801</v>
      </c>
      <c r="C12707" s="1" t="s">
        <v>14</v>
      </c>
      <c r="D12707" s="3">
        <f t="shared" ref="D12707:D12715" si="2029">VALUE("8032")</f>
        <v>8032</v>
      </c>
      <c r="E12707" s="2">
        <f t="shared" ref="E12707:E12715" si="2030">DATEVALUE("1-10-2017")</f>
        <v>43009</v>
      </c>
      <c r="F12707" s="2">
        <f t="shared" ref="F12707:F12715" si="2031">DATEVALUE("31-3-2021")</f>
        <v>44286</v>
      </c>
    </row>
    <row r="12708" spans="1:6" x14ac:dyDescent="0.25">
      <c r="A12708" s="1" t="s">
        <v>781</v>
      </c>
      <c r="B12708" s="1" t="s">
        <v>801</v>
      </c>
      <c r="C12708" s="1" t="s">
        <v>15</v>
      </c>
      <c r="D12708" s="3">
        <f t="shared" si="2029"/>
        <v>8032</v>
      </c>
      <c r="E12708" s="2">
        <f t="shared" si="2030"/>
        <v>43009</v>
      </c>
      <c r="F12708" s="2">
        <f t="shared" si="2031"/>
        <v>44286</v>
      </c>
    </row>
    <row r="12709" spans="1:6" x14ac:dyDescent="0.25">
      <c r="A12709" s="1" t="s">
        <v>781</v>
      </c>
      <c r="B12709" s="1" t="s">
        <v>801</v>
      </c>
      <c r="C12709" s="1" t="s">
        <v>17</v>
      </c>
      <c r="D12709" s="3">
        <f t="shared" si="2029"/>
        <v>8032</v>
      </c>
      <c r="E12709" s="2">
        <f t="shared" si="2030"/>
        <v>43009</v>
      </c>
      <c r="F12709" s="2">
        <f t="shared" si="2031"/>
        <v>44286</v>
      </c>
    </row>
    <row r="12710" spans="1:6" x14ac:dyDescent="0.25">
      <c r="A12710" s="1" t="s">
        <v>781</v>
      </c>
      <c r="B12710" s="1" t="s">
        <v>801</v>
      </c>
      <c r="C12710" s="1" t="s">
        <v>92</v>
      </c>
      <c r="D12710" s="3">
        <f t="shared" si="2029"/>
        <v>8032</v>
      </c>
      <c r="E12710" s="2">
        <f t="shared" si="2030"/>
        <v>43009</v>
      </c>
      <c r="F12710" s="2">
        <f t="shared" si="2031"/>
        <v>44286</v>
      </c>
    </row>
    <row r="12711" spans="1:6" x14ac:dyDescent="0.25">
      <c r="A12711" s="1" t="s">
        <v>781</v>
      </c>
      <c r="B12711" s="1" t="s">
        <v>801</v>
      </c>
      <c r="C12711" s="1" t="s">
        <v>24</v>
      </c>
      <c r="D12711" s="3">
        <f t="shared" si="2029"/>
        <v>8032</v>
      </c>
      <c r="E12711" s="2">
        <f t="shared" si="2030"/>
        <v>43009</v>
      </c>
      <c r="F12711" s="2">
        <f t="shared" si="2031"/>
        <v>44286</v>
      </c>
    </row>
    <row r="12712" spans="1:6" x14ac:dyDescent="0.25">
      <c r="A12712" s="1" t="s">
        <v>781</v>
      </c>
      <c r="B12712" s="1" t="s">
        <v>801</v>
      </c>
      <c r="C12712" s="1" t="s">
        <v>283</v>
      </c>
      <c r="D12712" s="3">
        <f t="shared" si="2029"/>
        <v>8032</v>
      </c>
      <c r="E12712" s="2">
        <f t="shared" si="2030"/>
        <v>43009</v>
      </c>
      <c r="F12712" s="2">
        <f t="shared" si="2031"/>
        <v>44286</v>
      </c>
    </row>
    <row r="12713" spans="1:6" x14ac:dyDescent="0.25">
      <c r="A12713" s="1" t="s">
        <v>781</v>
      </c>
      <c r="B12713" s="1" t="s">
        <v>801</v>
      </c>
      <c r="C12713" s="1" t="s">
        <v>51</v>
      </c>
      <c r="D12713" s="3">
        <f t="shared" si="2029"/>
        <v>8032</v>
      </c>
      <c r="E12713" s="2">
        <f t="shared" si="2030"/>
        <v>43009</v>
      </c>
      <c r="F12713" s="2">
        <f t="shared" si="2031"/>
        <v>44286</v>
      </c>
    </row>
    <row r="12714" spans="1:6" x14ac:dyDescent="0.25">
      <c r="A12714" s="1" t="s">
        <v>781</v>
      </c>
      <c r="B12714" s="1" t="s">
        <v>801</v>
      </c>
      <c r="C12714" s="1" t="s">
        <v>34</v>
      </c>
      <c r="D12714" s="3">
        <f t="shared" si="2029"/>
        <v>8032</v>
      </c>
      <c r="E12714" s="2">
        <f t="shared" si="2030"/>
        <v>43009</v>
      </c>
      <c r="F12714" s="2">
        <f t="shared" si="2031"/>
        <v>44286</v>
      </c>
    </row>
    <row r="12715" spans="1:6" x14ac:dyDescent="0.25">
      <c r="A12715" s="1" t="s">
        <v>781</v>
      </c>
      <c r="B12715" s="1" t="s">
        <v>801</v>
      </c>
      <c r="C12715" s="1" t="s">
        <v>170</v>
      </c>
      <c r="D12715" s="3">
        <f t="shared" si="2029"/>
        <v>8032</v>
      </c>
      <c r="E12715" s="2">
        <f t="shared" si="2030"/>
        <v>43009</v>
      </c>
      <c r="F12715" s="2">
        <f t="shared" si="2031"/>
        <v>44286</v>
      </c>
    </row>
    <row r="12716" spans="1:6" x14ac:dyDescent="0.25">
      <c r="A12716" s="1" t="s">
        <v>781</v>
      </c>
      <c r="B12716" s="1" t="s">
        <v>880</v>
      </c>
      <c r="C12716" s="1" t="s">
        <v>882</v>
      </c>
      <c r="D12716" s="3">
        <f t="shared" ref="D12716:D12722" si="2032">VALUE("8101")</f>
        <v>8101</v>
      </c>
      <c r="E12716" s="2">
        <f t="shared" ref="E12716:E12722" si="2033">DATEVALUE("1-9-2017")</f>
        <v>42979</v>
      </c>
      <c r="F12716" s="2">
        <f t="shared" ref="F12716:F12722" si="2034">DATEVALUE("31-12-2020")</f>
        <v>44196</v>
      </c>
    </row>
    <row r="12717" spans="1:6" x14ac:dyDescent="0.25">
      <c r="A12717" s="1" t="s">
        <v>781</v>
      </c>
      <c r="B12717" s="1" t="s">
        <v>880</v>
      </c>
      <c r="C12717" s="1" t="s">
        <v>881</v>
      </c>
      <c r="D12717" s="3">
        <f t="shared" si="2032"/>
        <v>8101</v>
      </c>
      <c r="E12717" s="2">
        <f t="shared" si="2033"/>
        <v>42979</v>
      </c>
      <c r="F12717" s="2">
        <f t="shared" si="2034"/>
        <v>44196</v>
      </c>
    </row>
    <row r="12718" spans="1:6" x14ac:dyDescent="0.25">
      <c r="A12718" s="1" t="s">
        <v>781</v>
      </c>
      <c r="B12718" s="1" t="s">
        <v>880</v>
      </c>
      <c r="C12718" s="1" t="s">
        <v>17</v>
      </c>
      <c r="D12718" s="3">
        <f t="shared" si="2032"/>
        <v>8101</v>
      </c>
      <c r="E12718" s="2">
        <f t="shared" si="2033"/>
        <v>42979</v>
      </c>
      <c r="F12718" s="2">
        <f t="shared" si="2034"/>
        <v>44196</v>
      </c>
    </row>
    <row r="12719" spans="1:6" x14ac:dyDescent="0.25">
      <c r="A12719" s="1" t="s">
        <v>781</v>
      </c>
      <c r="B12719" s="1" t="s">
        <v>880</v>
      </c>
      <c r="C12719" s="1" t="s">
        <v>146</v>
      </c>
      <c r="D12719" s="3">
        <f t="shared" si="2032"/>
        <v>8101</v>
      </c>
      <c r="E12719" s="2">
        <f t="shared" si="2033"/>
        <v>42979</v>
      </c>
      <c r="F12719" s="2">
        <f t="shared" si="2034"/>
        <v>44196</v>
      </c>
    </row>
    <row r="12720" spans="1:6" x14ac:dyDescent="0.25">
      <c r="A12720" s="1" t="s">
        <v>781</v>
      </c>
      <c r="B12720" s="1" t="s">
        <v>880</v>
      </c>
      <c r="C12720" s="1" t="s">
        <v>148</v>
      </c>
      <c r="D12720" s="3">
        <f t="shared" si="2032"/>
        <v>8101</v>
      </c>
      <c r="E12720" s="2">
        <f t="shared" si="2033"/>
        <v>42979</v>
      </c>
      <c r="F12720" s="2">
        <f t="shared" si="2034"/>
        <v>44196</v>
      </c>
    </row>
    <row r="12721" spans="1:6" x14ac:dyDescent="0.25">
      <c r="A12721" s="1" t="s">
        <v>781</v>
      </c>
      <c r="B12721" s="1" t="s">
        <v>880</v>
      </c>
      <c r="C12721" s="1" t="s">
        <v>92</v>
      </c>
      <c r="D12721" s="3">
        <f t="shared" si="2032"/>
        <v>8101</v>
      </c>
      <c r="E12721" s="2">
        <f t="shared" si="2033"/>
        <v>42979</v>
      </c>
      <c r="F12721" s="2">
        <f t="shared" si="2034"/>
        <v>44196</v>
      </c>
    </row>
    <row r="12722" spans="1:6" x14ac:dyDescent="0.25">
      <c r="A12722" s="1" t="s">
        <v>781</v>
      </c>
      <c r="B12722" s="1" t="s">
        <v>880</v>
      </c>
      <c r="C12722" s="1" t="s">
        <v>283</v>
      </c>
      <c r="D12722" s="3">
        <f t="shared" si="2032"/>
        <v>8101</v>
      </c>
      <c r="E12722" s="2">
        <f t="shared" si="2033"/>
        <v>42979</v>
      </c>
      <c r="F12722" s="2">
        <f t="shared" si="2034"/>
        <v>44196</v>
      </c>
    </row>
    <row r="12723" spans="1:6" x14ac:dyDescent="0.25">
      <c r="A12723" s="1" t="s">
        <v>781</v>
      </c>
      <c r="B12723" s="1" t="s">
        <v>2231</v>
      </c>
      <c r="C12723" s="1" t="s">
        <v>17</v>
      </c>
      <c r="D12723" s="3">
        <f>VALUE("7888")</f>
        <v>7888</v>
      </c>
      <c r="E12723" s="2">
        <f t="shared" ref="E12723:E12731" si="2035">DATEVALUE("1-12-2016")</f>
        <v>42705</v>
      </c>
      <c r="F12723" s="2">
        <f>DATEVALUE("30-9-2019")</f>
        <v>43738</v>
      </c>
    </row>
    <row r="12724" spans="1:6" x14ac:dyDescent="0.25">
      <c r="A12724" s="1" t="s">
        <v>781</v>
      </c>
      <c r="B12724" s="1" t="s">
        <v>2231</v>
      </c>
      <c r="C12724" s="1" t="s">
        <v>22</v>
      </c>
      <c r="D12724" s="3">
        <f>VALUE("7888")</f>
        <v>7888</v>
      </c>
      <c r="E12724" s="2">
        <f t="shared" si="2035"/>
        <v>42705</v>
      </c>
      <c r="F12724" s="2">
        <f>DATEVALUE("30-9-2019")</f>
        <v>43738</v>
      </c>
    </row>
    <row r="12725" spans="1:6" x14ac:dyDescent="0.25">
      <c r="A12725" s="1" t="s">
        <v>781</v>
      </c>
      <c r="B12725" s="1" t="s">
        <v>2231</v>
      </c>
      <c r="C12725" s="1" t="s">
        <v>146</v>
      </c>
      <c r="D12725" s="3">
        <f>VALUE("7888")</f>
        <v>7888</v>
      </c>
      <c r="E12725" s="2">
        <f t="shared" si="2035"/>
        <v>42705</v>
      </c>
      <c r="F12725" s="2">
        <f>DATEVALUE("30-9-2019")</f>
        <v>43738</v>
      </c>
    </row>
    <row r="12726" spans="1:6" x14ac:dyDescent="0.25">
      <c r="A12726" s="1" t="s">
        <v>781</v>
      </c>
      <c r="B12726" s="1" t="s">
        <v>2231</v>
      </c>
      <c r="C12726" s="1" t="s">
        <v>148</v>
      </c>
      <c r="D12726" s="3">
        <f>VALUE("7888")</f>
        <v>7888</v>
      </c>
      <c r="E12726" s="2">
        <f t="shared" si="2035"/>
        <v>42705</v>
      </c>
      <c r="F12726" s="2">
        <f>DATEVALUE("30-9-2019")</f>
        <v>43738</v>
      </c>
    </row>
    <row r="12727" spans="1:6" x14ac:dyDescent="0.25">
      <c r="A12727" s="1" t="s">
        <v>781</v>
      </c>
      <c r="B12727" s="1" t="s">
        <v>780</v>
      </c>
      <c r="C12727" s="1" t="s">
        <v>85</v>
      </c>
      <c r="D12727" s="3">
        <f>VALUE("7992")</f>
        <v>7992</v>
      </c>
      <c r="E12727" s="2">
        <f t="shared" si="2035"/>
        <v>42705</v>
      </c>
      <c r="F12727" s="2">
        <f>DATEVALUE("30-11-2020")</f>
        <v>44165</v>
      </c>
    </row>
    <row r="12728" spans="1:6" x14ac:dyDescent="0.25">
      <c r="A12728" s="1" t="s">
        <v>781</v>
      </c>
      <c r="B12728" s="1" t="s">
        <v>780</v>
      </c>
      <c r="C12728" s="1" t="s">
        <v>84</v>
      </c>
      <c r="D12728" s="3">
        <f>VALUE("7992")</f>
        <v>7992</v>
      </c>
      <c r="E12728" s="2">
        <f t="shared" si="2035"/>
        <v>42705</v>
      </c>
      <c r="F12728" s="2">
        <f>DATEVALUE("30-11-2020")</f>
        <v>44165</v>
      </c>
    </row>
    <row r="12729" spans="1:6" x14ac:dyDescent="0.25">
      <c r="A12729" s="1" t="s">
        <v>781</v>
      </c>
      <c r="B12729" s="1" t="s">
        <v>780</v>
      </c>
      <c r="C12729" s="1" t="s">
        <v>89</v>
      </c>
      <c r="D12729" s="3">
        <f>VALUE("7992")</f>
        <v>7992</v>
      </c>
      <c r="E12729" s="2">
        <f t="shared" si="2035"/>
        <v>42705</v>
      </c>
      <c r="F12729" s="2">
        <f>DATEVALUE("30-11-2020")</f>
        <v>44165</v>
      </c>
    </row>
    <row r="12730" spans="1:6" x14ac:dyDescent="0.25">
      <c r="A12730" s="1" t="s">
        <v>781</v>
      </c>
      <c r="B12730" s="1" t="s">
        <v>780</v>
      </c>
      <c r="C12730" s="1" t="s">
        <v>146</v>
      </c>
      <c r="D12730" s="3">
        <f>VALUE("7992")</f>
        <v>7992</v>
      </c>
      <c r="E12730" s="2">
        <f t="shared" si="2035"/>
        <v>42705</v>
      </c>
      <c r="F12730" s="2">
        <f>DATEVALUE("30-11-2020")</f>
        <v>44165</v>
      </c>
    </row>
    <row r="12731" spans="1:6" x14ac:dyDescent="0.25">
      <c r="A12731" s="1" t="s">
        <v>781</v>
      </c>
      <c r="B12731" s="1" t="s">
        <v>780</v>
      </c>
      <c r="C12731" s="1" t="s">
        <v>148</v>
      </c>
      <c r="D12731" s="3">
        <f>VALUE("7992")</f>
        <v>7992</v>
      </c>
      <c r="E12731" s="2">
        <f t="shared" si="2035"/>
        <v>42705</v>
      </c>
      <c r="F12731" s="2">
        <f>DATEVALUE("30-11-2020")</f>
        <v>44165</v>
      </c>
    </row>
    <row r="12732" spans="1:6" x14ac:dyDescent="0.25">
      <c r="A12732" s="1" t="s">
        <v>781</v>
      </c>
      <c r="B12732" s="1" t="s">
        <v>2010</v>
      </c>
      <c r="C12732" s="1" t="s">
        <v>85</v>
      </c>
      <c r="D12732" s="3">
        <f>VALUE("7919")</f>
        <v>7919</v>
      </c>
      <c r="E12732" s="2">
        <f>DATEVALUE("1-7-2016")</f>
        <v>42552</v>
      </c>
      <c r="F12732" s="2">
        <f>DATEVALUE("30-4-2018")</f>
        <v>43220</v>
      </c>
    </row>
    <row r="12733" spans="1:6" x14ac:dyDescent="0.25">
      <c r="A12733" s="1" t="s">
        <v>781</v>
      </c>
      <c r="B12733" s="1" t="s">
        <v>2010</v>
      </c>
      <c r="C12733" s="1" t="s">
        <v>84</v>
      </c>
      <c r="D12733" s="3">
        <f>VALUE("7919")</f>
        <v>7919</v>
      </c>
      <c r="E12733" s="2">
        <f>DATEVALUE("1-7-2016")</f>
        <v>42552</v>
      </c>
      <c r="F12733" s="2">
        <f>DATEVALUE("30-4-2018")</f>
        <v>43220</v>
      </c>
    </row>
    <row r="12734" spans="1:6" x14ac:dyDescent="0.25">
      <c r="A12734" s="1" t="s">
        <v>781</v>
      </c>
      <c r="B12734" s="1" t="s">
        <v>2176</v>
      </c>
      <c r="C12734" s="1" t="s">
        <v>137</v>
      </c>
      <c r="D12734" s="3">
        <f t="shared" ref="D12734:D12741" si="2036">VALUE("7680")</f>
        <v>7680</v>
      </c>
      <c r="E12734" s="2">
        <f t="shared" ref="E12734:E12748" si="2037">DATEVALUE("1-8-2015")</f>
        <v>42217</v>
      </c>
      <c r="F12734" s="2">
        <f t="shared" ref="F12734:F12741" si="2038">DATEVALUE("31-5-2016")</f>
        <v>42521</v>
      </c>
    </row>
    <row r="12735" spans="1:6" x14ac:dyDescent="0.25">
      <c r="A12735" s="1" t="s">
        <v>781</v>
      </c>
      <c r="B12735" s="1" t="s">
        <v>2176</v>
      </c>
      <c r="C12735" s="1" t="s">
        <v>46</v>
      </c>
      <c r="D12735" s="3">
        <f t="shared" si="2036"/>
        <v>7680</v>
      </c>
      <c r="E12735" s="2">
        <f t="shared" si="2037"/>
        <v>42217</v>
      </c>
      <c r="F12735" s="2">
        <f t="shared" si="2038"/>
        <v>42521</v>
      </c>
    </row>
    <row r="12736" spans="1:6" x14ac:dyDescent="0.25">
      <c r="A12736" s="1" t="s">
        <v>781</v>
      </c>
      <c r="B12736" s="1" t="s">
        <v>2176</v>
      </c>
      <c r="C12736" s="1" t="s">
        <v>17</v>
      </c>
      <c r="D12736" s="3">
        <f t="shared" si="2036"/>
        <v>7680</v>
      </c>
      <c r="E12736" s="2">
        <f t="shared" si="2037"/>
        <v>42217</v>
      </c>
      <c r="F12736" s="2">
        <f t="shared" si="2038"/>
        <v>42521</v>
      </c>
    </row>
    <row r="12737" spans="1:6" x14ac:dyDescent="0.25">
      <c r="A12737" s="1" t="s">
        <v>781</v>
      </c>
      <c r="B12737" s="1" t="s">
        <v>2176</v>
      </c>
      <c r="C12737" s="1" t="s">
        <v>148</v>
      </c>
      <c r="D12737" s="3">
        <f t="shared" si="2036"/>
        <v>7680</v>
      </c>
      <c r="E12737" s="2">
        <f t="shared" si="2037"/>
        <v>42217</v>
      </c>
      <c r="F12737" s="2">
        <f t="shared" si="2038"/>
        <v>42521</v>
      </c>
    </row>
    <row r="12738" spans="1:6" x14ac:dyDescent="0.25">
      <c r="A12738" s="1" t="s">
        <v>781</v>
      </c>
      <c r="B12738" s="1" t="s">
        <v>2176</v>
      </c>
      <c r="C12738" s="1" t="s">
        <v>149</v>
      </c>
      <c r="D12738" s="3">
        <f t="shared" si="2036"/>
        <v>7680</v>
      </c>
      <c r="E12738" s="2">
        <f t="shared" si="2037"/>
        <v>42217</v>
      </c>
      <c r="F12738" s="2">
        <f t="shared" si="2038"/>
        <v>42521</v>
      </c>
    </row>
    <row r="12739" spans="1:6" x14ac:dyDescent="0.25">
      <c r="A12739" s="1" t="s">
        <v>781</v>
      </c>
      <c r="B12739" s="1" t="s">
        <v>2176</v>
      </c>
      <c r="C12739" s="1" t="s">
        <v>150</v>
      </c>
      <c r="D12739" s="3">
        <f t="shared" si="2036"/>
        <v>7680</v>
      </c>
      <c r="E12739" s="2">
        <f t="shared" si="2037"/>
        <v>42217</v>
      </c>
      <c r="F12739" s="2">
        <f t="shared" si="2038"/>
        <v>42521</v>
      </c>
    </row>
    <row r="12740" spans="1:6" x14ac:dyDescent="0.25">
      <c r="A12740" s="1" t="s">
        <v>781</v>
      </c>
      <c r="B12740" s="1" t="s">
        <v>2176</v>
      </c>
      <c r="C12740" s="1" t="s">
        <v>73</v>
      </c>
      <c r="D12740" s="3">
        <f t="shared" si="2036"/>
        <v>7680</v>
      </c>
      <c r="E12740" s="2">
        <f t="shared" si="2037"/>
        <v>42217</v>
      </c>
      <c r="F12740" s="2">
        <f t="shared" si="2038"/>
        <v>42521</v>
      </c>
    </row>
    <row r="12741" spans="1:6" x14ac:dyDescent="0.25">
      <c r="A12741" s="1" t="s">
        <v>781</v>
      </c>
      <c r="B12741" s="1" t="s">
        <v>2176</v>
      </c>
      <c r="C12741" s="1" t="s">
        <v>164</v>
      </c>
      <c r="D12741" s="3">
        <f t="shared" si="2036"/>
        <v>7680</v>
      </c>
      <c r="E12741" s="2">
        <f t="shared" si="2037"/>
        <v>42217</v>
      </c>
      <c r="F12741" s="2">
        <f t="shared" si="2038"/>
        <v>42521</v>
      </c>
    </row>
    <row r="12742" spans="1:6" x14ac:dyDescent="0.25">
      <c r="A12742" s="1" t="s">
        <v>781</v>
      </c>
      <c r="B12742" s="1" t="s">
        <v>1990</v>
      </c>
      <c r="C12742" s="1" t="s">
        <v>85</v>
      </c>
      <c r="D12742" s="3">
        <f>VALUE("7782")</f>
        <v>7782</v>
      </c>
      <c r="E12742" s="2">
        <f t="shared" si="2037"/>
        <v>42217</v>
      </c>
      <c r="F12742" s="2">
        <f>DATEVALUE("30-4-2017")</f>
        <v>42855</v>
      </c>
    </row>
    <row r="12743" spans="1:6" x14ac:dyDescent="0.25">
      <c r="A12743" s="1" t="s">
        <v>781</v>
      </c>
      <c r="B12743" s="1" t="s">
        <v>1990</v>
      </c>
      <c r="C12743" s="1" t="s">
        <v>84</v>
      </c>
      <c r="D12743" s="3">
        <f>VALUE("7782")</f>
        <v>7782</v>
      </c>
      <c r="E12743" s="2">
        <f t="shared" si="2037"/>
        <v>42217</v>
      </c>
      <c r="F12743" s="2">
        <f>DATEVALUE("30-4-2017")</f>
        <v>42855</v>
      </c>
    </row>
    <row r="12744" spans="1:6" x14ac:dyDescent="0.25">
      <c r="A12744" s="1" t="s">
        <v>781</v>
      </c>
      <c r="B12744" s="1" t="s">
        <v>1990</v>
      </c>
      <c r="C12744" s="1" t="s">
        <v>89</v>
      </c>
      <c r="D12744" s="3">
        <f>VALUE("7782")</f>
        <v>7782</v>
      </c>
      <c r="E12744" s="2">
        <f t="shared" si="2037"/>
        <v>42217</v>
      </c>
      <c r="F12744" s="2">
        <f>DATEVALUE("30-4-2017")</f>
        <v>42855</v>
      </c>
    </row>
    <row r="12745" spans="1:6" x14ac:dyDescent="0.25">
      <c r="A12745" s="1" t="s">
        <v>781</v>
      </c>
      <c r="B12745" s="1" t="s">
        <v>1990</v>
      </c>
      <c r="C12745" s="1" t="s">
        <v>17</v>
      </c>
      <c r="D12745" s="3">
        <f>VALUE("7782")</f>
        <v>7782</v>
      </c>
      <c r="E12745" s="2">
        <f t="shared" si="2037"/>
        <v>42217</v>
      </c>
      <c r="F12745" s="2">
        <f>DATEVALUE("30-4-2017")</f>
        <v>42855</v>
      </c>
    </row>
    <row r="12746" spans="1:6" x14ac:dyDescent="0.25">
      <c r="A12746" s="1" t="s">
        <v>781</v>
      </c>
      <c r="B12746" s="1" t="s">
        <v>1991</v>
      </c>
      <c r="C12746" s="1" t="s">
        <v>85</v>
      </c>
      <c r="D12746" s="3">
        <f>VALUE("7783")</f>
        <v>7783</v>
      </c>
      <c r="E12746" s="2">
        <f t="shared" si="2037"/>
        <v>42217</v>
      </c>
      <c r="F12746" s="2">
        <f>DATEVALUE("30-4-2018")</f>
        <v>43220</v>
      </c>
    </row>
    <row r="12747" spans="1:6" x14ac:dyDescent="0.25">
      <c r="A12747" s="1" t="s">
        <v>781</v>
      </c>
      <c r="B12747" s="1" t="s">
        <v>1991</v>
      </c>
      <c r="C12747" s="1" t="s">
        <v>84</v>
      </c>
      <c r="D12747" s="3">
        <f>VALUE("7783")</f>
        <v>7783</v>
      </c>
      <c r="E12747" s="2">
        <f t="shared" si="2037"/>
        <v>42217</v>
      </c>
      <c r="F12747" s="2">
        <f>DATEVALUE("30-4-2018")</f>
        <v>43220</v>
      </c>
    </row>
    <row r="12748" spans="1:6" x14ac:dyDescent="0.25">
      <c r="A12748" s="1" t="s">
        <v>781</v>
      </c>
      <c r="B12748" s="1" t="s">
        <v>1991</v>
      </c>
      <c r="C12748" s="1" t="s">
        <v>17</v>
      </c>
      <c r="D12748" s="3">
        <f>VALUE("7783")</f>
        <v>7783</v>
      </c>
      <c r="E12748" s="2">
        <f t="shared" si="2037"/>
        <v>42217</v>
      </c>
      <c r="F12748" s="2">
        <f>DATEVALUE("30-4-2018")</f>
        <v>43220</v>
      </c>
    </row>
    <row r="12749" spans="1:6" x14ac:dyDescent="0.25">
      <c r="A12749" s="1" t="s">
        <v>781</v>
      </c>
      <c r="B12749" s="1" t="s">
        <v>2185</v>
      </c>
      <c r="C12749" s="1" t="s">
        <v>85</v>
      </c>
      <c r="D12749" s="3">
        <f>VALUE("7714")</f>
        <v>7714</v>
      </c>
      <c r="E12749" s="2">
        <f>DATEVALUE("1-3-2015")</f>
        <v>42064</v>
      </c>
      <c r="F12749" s="2">
        <f>DATEVALUE("31-3-2016")</f>
        <v>42460</v>
      </c>
    </row>
    <row r="12750" spans="1:6" x14ac:dyDescent="0.25">
      <c r="A12750" s="1" t="s">
        <v>781</v>
      </c>
      <c r="B12750" s="1" t="s">
        <v>2185</v>
      </c>
      <c r="C12750" s="1" t="s">
        <v>84</v>
      </c>
      <c r="D12750" s="3">
        <f>VALUE("7714")</f>
        <v>7714</v>
      </c>
      <c r="E12750" s="2">
        <f>DATEVALUE("1-3-2015")</f>
        <v>42064</v>
      </c>
      <c r="F12750" s="2">
        <f>DATEVALUE("31-3-2016")</f>
        <v>42460</v>
      </c>
    </row>
    <row r="12751" spans="1:6" x14ac:dyDescent="0.25">
      <c r="A12751" s="1" t="s">
        <v>781</v>
      </c>
      <c r="B12751" s="1" t="s">
        <v>2146</v>
      </c>
      <c r="C12751" s="1" t="s">
        <v>85</v>
      </c>
      <c r="D12751" s="3">
        <f>VALUE("7465")</f>
        <v>7465</v>
      </c>
      <c r="E12751" s="2">
        <f>DATEVALUE("1-7-2013")</f>
        <v>41456</v>
      </c>
      <c r="F12751" s="2">
        <f>DATEVALUE("31-5-2019")</f>
        <v>43616</v>
      </c>
    </row>
    <row r="12752" spans="1:6" x14ac:dyDescent="0.25">
      <c r="A12752" s="1" t="s">
        <v>781</v>
      </c>
      <c r="B12752" s="1" t="s">
        <v>2146</v>
      </c>
      <c r="C12752" s="1" t="s">
        <v>148</v>
      </c>
      <c r="D12752" s="3">
        <f>VALUE("7465")</f>
        <v>7465</v>
      </c>
      <c r="E12752" s="2">
        <f>DATEVALUE("1-7-2013")</f>
        <v>41456</v>
      </c>
      <c r="F12752" s="2">
        <f>DATEVALUE("31-5-2019")</f>
        <v>43616</v>
      </c>
    </row>
    <row r="12753" spans="1:6" x14ac:dyDescent="0.25">
      <c r="A12753" s="1" t="s">
        <v>781</v>
      </c>
      <c r="B12753" s="1" t="s">
        <v>2132</v>
      </c>
      <c r="C12753" s="1" t="s">
        <v>85</v>
      </c>
      <c r="D12753" s="3">
        <f>VALUE("7382")</f>
        <v>7382</v>
      </c>
      <c r="E12753" s="2">
        <f>DATEVALUE("1-8-2012")</f>
        <v>41122</v>
      </c>
      <c r="F12753" s="2">
        <f>DATEVALUE("31-5-2017")</f>
        <v>42886</v>
      </c>
    </row>
    <row r="12754" spans="1:6" x14ac:dyDescent="0.25">
      <c r="A12754" s="1" t="s">
        <v>781</v>
      </c>
      <c r="B12754" s="1" t="s">
        <v>2132</v>
      </c>
      <c r="C12754" s="1" t="s">
        <v>46</v>
      </c>
      <c r="D12754" s="3">
        <f>VALUE("7382")</f>
        <v>7382</v>
      </c>
      <c r="E12754" s="2">
        <f>DATEVALUE("1-8-2012")</f>
        <v>41122</v>
      </c>
      <c r="F12754" s="2">
        <f>DATEVALUE("31-5-2017")</f>
        <v>42886</v>
      </c>
    </row>
    <row r="12755" spans="1:6" x14ac:dyDescent="0.25">
      <c r="A12755" s="1" t="s">
        <v>781</v>
      </c>
      <c r="B12755" s="1" t="s">
        <v>2132</v>
      </c>
      <c r="C12755" s="1" t="s">
        <v>17</v>
      </c>
      <c r="D12755" s="3">
        <f>VALUE("7382")</f>
        <v>7382</v>
      </c>
      <c r="E12755" s="2">
        <f>DATEVALUE("1-8-2012")</f>
        <v>41122</v>
      </c>
      <c r="F12755" s="2">
        <f>DATEVALUE("31-5-2017")</f>
        <v>42886</v>
      </c>
    </row>
    <row r="12756" spans="1:6" x14ac:dyDescent="0.25">
      <c r="A12756" s="1" t="s">
        <v>781</v>
      </c>
      <c r="B12756" s="1" t="s">
        <v>1886</v>
      </c>
      <c r="C12756" s="1" t="s">
        <v>85</v>
      </c>
      <c r="D12756" s="3">
        <f t="shared" ref="D12756:D12764" si="2039">VALUE("7256")</f>
        <v>7256</v>
      </c>
      <c r="E12756" s="2">
        <f t="shared" ref="E12756:E12764" si="2040">DATEVALUE("1-11-2011")</f>
        <v>40848</v>
      </c>
      <c r="F12756" s="2">
        <f t="shared" ref="F12756:F12764" si="2041">DATEVALUE("30-6-2015")</f>
        <v>42185</v>
      </c>
    </row>
    <row r="12757" spans="1:6" x14ac:dyDescent="0.25">
      <c r="A12757" s="1" t="s">
        <v>781</v>
      </c>
      <c r="B12757" s="1" t="s">
        <v>1886</v>
      </c>
      <c r="C12757" s="1" t="s">
        <v>84</v>
      </c>
      <c r="D12757" s="3">
        <f t="shared" si="2039"/>
        <v>7256</v>
      </c>
      <c r="E12757" s="2">
        <f t="shared" si="2040"/>
        <v>40848</v>
      </c>
      <c r="F12757" s="2">
        <f t="shared" si="2041"/>
        <v>42185</v>
      </c>
    </row>
    <row r="12758" spans="1:6" x14ac:dyDescent="0.25">
      <c r="A12758" s="1" t="s">
        <v>781</v>
      </c>
      <c r="B12758" s="1" t="s">
        <v>1886</v>
      </c>
      <c r="C12758" s="1" t="s">
        <v>45</v>
      </c>
      <c r="D12758" s="3">
        <f t="shared" si="2039"/>
        <v>7256</v>
      </c>
      <c r="E12758" s="2">
        <f t="shared" si="2040"/>
        <v>40848</v>
      </c>
      <c r="F12758" s="2">
        <f t="shared" si="2041"/>
        <v>42185</v>
      </c>
    </row>
    <row r="12759" spans="1:6" x14ac:dyDescent="0.25">
      <c r="A12759" s="1" t="s">
        <v>781</v>
      </c>
      <c r="B12759" s="1" t="s">
        <v>1886</v>
      </c>
      <c r="C12759" s="1" t="s">
        <v>46</v>
      </c>
      <c r="D12759" s="3">
        <f t="shared" si="2039"/>
        <v>7256</v>
      </c>
      <c r="E12759" s="2">
        <f t="shared" si="2040"/>
        <v>40848</v>
      </c>
      <c r="F12759" s="2">
        <f t="shared" si="2041"/>
        <v>42185</v>
      </c>
    </row>
    <row r="12760" spans="1:6" x14ac:dyDescent="0.25">
      <c r="A12760" s="1" t="s">
        <v>781</v>
      </c>
      <c r="B12760" s="1" t="s">
        <v>1886</v>
      </c>
      <c r="C12760" s="1" t="s">
        <v>17</v>
      </c>
      <c r="D12760" s="3">
        <f t="shared" si="2039"/>
        <v>7256</v>
      </c>
      <c r="E12760" s="2">
        <f t="shared" si="2040"/>
        <v>40848</v>
      </c>
      <c r="F12760" s="2">
        <f t="shared" si="2041"/>
        <v>42185</v>
      </c>
    </row>
    <row r="12761" spans="1:6" x14ac:dyDescent="0.25">
      <c r="A12761" s="1" t="s">
        <v>781</v>
      </c>
      <c r="B12761" s="1" t="s">
        <v>1886</v>
      </c>
      <c r="C12761" s="1" t="s">
        <v>91</v>
      </c>
      <c r="D12761" s="3">
        <f t="shared" si="2039"/>
        <v>7256</v>
      </c>
      <c r="E12761" s="2">
        <f t="shared" si="2040"/>
        <v>40848</v>
      </c>
      <c r="F12761" s="2">
        <f t="shared" si="2041"/>
        <v>42185</v>
      </c>
    </row>
    <row r="12762" spans="1:6" x14ac:dyDescent="0.25">
      <c r="A12762" s="1" t="s">
        <v>781</v>
      </c>
      <c r="B12762" s="1" t="s">
        <v>1886</v>
      </c>
      <c r="C12762" s="1" t="s">
        <v>25</v>
      </c>
      <c r="D12762" s="3">
        <f t="shared" si="2039"/>
        <v>7256</v>
      </c>
      <c r="E12762" s="2">
        <f t="shared" si="2040"/>
        <v>40848</v>
      </c>
      <c r="F12762" s="2">
        <f t="shared" si="2041"/>
        <v>42185</v>
      </c>
    </row>
    <row r="12763" spans="1:6" x14ac:dyDescent="0.25">
      <c r="A12763" s="1" t="s">
        <v>781</v>
      </c>
      <c r="B12763" s="1" t="s">
        <v>1886</v>
      </c>
      <c r="C12763" s="1" t="s">
        <v>102</v>
      </c>
      <c r="D12763" s="3">
        <f t="shared" si="2039"/>
        <v>7256</v>
      </c>
      <c r="E12763" s="2">
        <f t="shared" si="2040"/>
        <v>40848</v>
      </c>
      <c r="F12763" s="2">
        <f t="shared" si="2041"/>
        <v>42185</v>
      </c>
    </row>
    <row r="12764" spans="1:6" x14ac:dyDescent="0.25">
      <c r="A12764" s="1" t="s">
        <v>781</v>
      </c>
      <c r="B12764" s="1" t="s">
        <v>1886</v>
      </c>
      <c r="C12764" s="1" t="s">
        <v>103</v>
      </c>
      <c r="D12764" s="3">
        <f t="shared" si="2039"/>
        <v>7256</v>
      </c>
      <c r="E12764" s="2">
        <f t="shared" si="2040"/>
        <v>40848</v>
      </c>
      <c r="F12764" s="2">
        <f t="shared" si="2041"/>
        <v>42185</v>
      </c>
    </row>
    <row r="12765" spans="1:6" x14ac:dyDescent="0.25">
      <c r="A12765" s="1" t="s">
        <v>781</v>
      </c>
      <c r="B12765" s="1" t="s">
        <v>2577</v>
      </c>
      <c r="C12765" s="1" t="s">
        <v>85</v>
      </c>
      <c r="D12765" s="3">
        <f>VALUE("7123")</f>
        <v>7123</v>
      </c>
      <c r="E12765" s="2">
        <f>DATEVALUE("1-2-2011")</f>
        <v>40575</v>
      </c>
      <c r="F12765" s="2">
        <f>DATEVALUE("30-6-2013")</f>
        <v>41455</v>
      </c>
    </row>
    <row r="12766" spans="1:6" x14ac:dyDescent="0.25">
      <c r="A12766" s="1" t="s">
        <v>781</v>
      </c>
      <c r="B12766" s="1" t="s">
        <v>2577</v>
      </c>
      <c r="C12766" s="1" t="s">
        <v>45</v>
      </c>
      <c r="D12766" s="3">
        <f>VALUE("7123")</f>
        <v>7123</v>
      </c>
      <c r="E12766" s="2">
        <f>DATEVALUE("1-2-2011")</f>
        <v>40575</v>
      </c>
      <c r="F12766" s="2">
        <f>DATEVALUE("30-6-2013")</f>
        <v>41455</v>
      </c>
    </row>
    <row r="12767" spans="1:6" x14ac:dyDescent="0.25">
      <c r="A12767" s="1" t="s">
        <v>781</v>
      </c>
      <c r="B12767" s="1" t="s">
        <v>2106</v>
      </c>
      <c r="C12767" s="1" t="s">
        <v>125</v>
      </c>
      <c r="D12767" s="3">
        <f t="shared" ref="D12767:D12779" si="2042">VALUE("6122")</f>
        <v>6122</v>
      </c>
      <c r="E12767" s="2">
        <f t="shared" ref="E12767:E12790" si="2043">DATEVALUE("1-9-2008")</f>
        <v>39692</v>
      </c>
      <c r="F12767" s="2">
        <f t="shared" ref="F12767:F12779" si="2044">DATEVALUE("31-12-2019")</f>
        <v>43830</v>
      </c>
    </row>
    <row r="12768" spans="1:6" x14ac:dyDescent="0.25">
      <c r="A12768" s="1" t="s">
        <v>781</v>
      </c>
      <c r="B12768" s="1" t="s">
        <v>2106</v>
      </c>
      <c r="C12768" s="1" t="s">
        <v>126</v>
      </c>
      <c r="D12768" s="3">
        <f t="shared" si="2042"/>
        <v>6122</v>
      </c>
      <c r="E12768" s="2">
        <f t="shared" si="2043"/>
        <v>39692</v>
      </c>
      <c r="F12768" s="2">
        <f t="shared" si="2044"/>
        <v>43830</v>
      </c>
    </row>
    <row r="12769" spans="1:6" x14ac:dyDescent="0.25">
      <c r="A12769" s="1" t="s">
        <v>781</v>
      </c>
      <c r="B12769" s="1" t="s">
        <v>2106</v>
      </c>
      <c r="C12769" s="1" t="s">
        <v>85</v>
      </c>
      <c r="D12769" s="3">
        <f t="shared" si="2042"/>
        <v>6122</v>
      </c>
      <c r="E12769" s="2">
        <f t="shared" si="2043"/>
        <v>39692</v>
      </c>
      <c r="F12769" s="2">
        <f t="shared" si="2044"/>
        <v>43830</v>
      </c>
    </row>
    <row r="12770" spans="1:6" x14ac:dyDescent="0.25">
      <c r="A12770" s="1" t="s">
        <v>781</v>
      </c>
      <c r="B12770" s="1" t="s">
        <v>2106</v>
      </c>
      <c r="C12770" s="1" t="s">
        <v>14</v>
      </c>
      <c r="D12770" s="3">
        <f t="shared" si="2042"/>
        <v>6122</v>
      </c>
      <c r="E12770" s="2">
        <f t="shared" si="2043"/>
        <v>39692</v>
      </c>
      <c r="F12770" s="2">
        <f t="shared" si="2044"/>
        <v>43830</v>
      </c>
    </row>
    <row r="12771" spans="1:6" x14ac:dyDescent="0.25">
      <c r="A12771" s="1" t="s">
        <v>781</v>
      </c>
      <c r="B12771" s="1" t="s">
        <v>2106</v>
      </c>
      <c r="C12771" s="1" t="s">
        <v>148</v>
      </c>
      <c r="D12771" s="3">
        <f t="shared" si="2042"/>
        <v>6122</v>
      </c>
      <c r="E12771" s="2">
        <f t="shared" si="2043"/>
        <v>39692</v>
      </c>
      <c r="F12771" s="2">
        <f t="shared" si="2044"/>
        <v>43830</v>
      </c>
    </row>
    <row r="12772" spans="1:6" x14ac:dyDescent="0.25">
      <c r="A12772" s="1" t="s">
        <v>781</v>
      </c>
      <c r="B12772" s="1" t="s">
        <v>2106</v>
      </c>
      <c r="C12772" s="1" t="s">
        <v>93</v>
      </c>
      <c r="D12772" s="3">
        <f t="shared" si="2042"/>
        <v>6122</v>
      </c>
      <c r="E12772" s="2">
        <f t="shared" si="2043"/>
        <v>39692</v>
      </c>
      <c r="F12772" s="2">
        <f t="shared" si="2044"/>
        <v>43830</v>
      </c>
    </row>
    <row r="12773" spans="1:6" x14ac:dyDescent="0.25">
      <c r="A12773" s="1" t="s">
        <v>781</v>
      </c>
      <c r="B12773" s="1" t="s">
        <v>2106</v>
      </c>
      <c r="C12773" s="1" t="s">
        <v>176</v>
      </c>
      <c r="D12773" s="3">
        <f t="shared" si="2042"/>
        <v>6122</v>
      </c>
      <c r="E12773" s="2">
        <f t="shared" si="2043"/>
        <v>39692</v>
      </c>
      <c r="F12773" s="2">
        <f t="shared" si="2044"/>
        <v>43830</v>
      </c>
    </row>
    <row r="12774" spans="1:6" x14ac:dyDescent="0.25">
      <c r="A12774" s="1" t="s">
        <v>781</v>
      </c>
      <c r="B12774" s="1" t="s">
        <v>2106</v>
      </c>
      <c r="C12774" s="1" t="s">
        <v>102</v>
      </c>
      <c r="D12774" s="3">
        <f t="shared" si="2042"/>
        <v>6122</v>
      </c>
      <c r="E12774" s="2">
        <f t="shared" si="2043"/>
        <v>39692</v>
      </c>
      <c r="F12774" s="2">
        <f t="shared" si="2044"/>
        <v>43830</v>
      </c>
    </row>
    <row r="12775" spans="1:6" x14ac:dyDescent="0.25">
      <c r="A12775" s="1" t="s">
        <v>781</v>
      </c>
      <c r="B12775" s="1" t="s">
        <v>2106</v>
      </c>
      <c r="C12775" s="1" t="s">
        <v>103</v>
      </c>
      <c r="D12775" s="3">
        <f t="shared" si="2042"/>
        <v>6122</v>
      </c>
      <c r="E12775" s="2">
        <f t="shared" si="2043"/>
        <v>39692</v>
      </c>
      <c r="F12775" s="2">
        <f t="shared" si="2044"/>
        <v>43830</v>
      </c>
    </row>
    <row r="12776" spans="1:6" x14ac:dyDescent="0.25">
      <c r="A12776" s="1" t="s">
        <v>781</v>
      </c>
      <c r="B12776" s="1" t="s">
        <v>2106</v>
      </c>
      <c r="C12776" s="1" t="s">
        <v>51</v>
      </c>
      <c r="D12776" s="3">
        <f t="shared" si="2042"/>
        <v>6122</v>
      </c>
      <c r="E12776" s="2">
        <f t="shared" si="2043"/>
        <v>39692</v>
      </c>
      <c r="F12776" s="2">
        <f t="shared" si="2044"/>
        <v>43830</v>
      </c>
    </row>
    <row r="12777" spans="1:6" x14ac:dyDescent="0.25">
      <c r="A12777" s="1" t="s">
        <v>781</v>
      </c>
      <c r="B12777" s="1" t="s">
        <v>2106</v>
      </c>
      <c r="C12777" s="1" t="s">
        <v>55</v>
      </c>
      <c r="D12777" s="3">
        <f t="shared" si="2042"/>
        <v>6122</v>
      </c>
      <c r="E12777" s="2">
        <f t="shared" si="2043"/>
        <v>39692</v>
      </c>
      <c r="F12777" s="2">
        <f t="shared" si="2044"/>
        <v>43830</v>
      </c>
    </row>
    <row r="12778" spans="1:6" x14ac:dyDescent="0.25">
      <c r="A12778" s="1" t="s">
        <v>781</v>
      </c>
      <c r="B12778" s="1" t="s">
        <v>2106</v>
      </c>
      <c r="C12778" s="1" t="s">
        <v>133</v>
      </c>
      <c r="D12778" s="3">
        <f t="shared" si="2042"/>
        <v>6122</v>
      </c>
      <c r="E12778" s="2">
        <f t="shared" si="2043"/>
        <v>39692</v>
      </c>
      <c r="F12778" s="2">
        <f t="shared" si="2044"/>
        <v>43830</v>
      </c>
    </row>
    <row r="12779" spans="1:6" x14ac:dyDescent="0.25">
      <c r="A12779" s="1" t="s">
        <v>781</v>
      </c>
      <c r="B12779" s="1" t="s">
        <v>2106</v>
      </c>
      <c r="C12779" s="1" t="s">
        <v>134</v>
      </c>
      <c r="D12779" s="3">
        <f t="shared" si="2042"/>
        <v>6122</v>
      </c>
      <c r="E12779" s="2">
        <f t="shared" si="2043"/>
        <v>39692</v>
      </c>
      <c r="F12779" s="2">
        <f t="shared" si="2044"/>
        <v>43830</v>
      </c>
    </row>
    <row r="12780" spans="1:6" x14ac:dyDescent="0.25">
      <c r="A12780" s="1" t="s">
        <v>781</v>
      </c>
      <c r="B12780" s="1" t="s">
        <v>1865</v>
      </c>
      <c r="C12780" s="1" t="s">
        <v>125</v>
      </c>
      <c r="D12780" s="3">
        <f t="shared" ref="D12780:D12790" si="2045">VALUE("6123")</f>
        <v>6123</v>
      </c>
      <c r="E12780" s="2">
        <f t="shared" si="2043"/>
        <v>39692</v>
      </c>
      <c r="F12780" s="2">
        <f t="shared" ref="F12780:F12790" si="2046">DATEVALUE("31-8-2013")</f>
        <v>41517</v>
      </c>
    </row>
    <row r="12781" spans="1:6" x14ac:dyDescent="0.25">
      <c r="A12781" s="1" t="s">
        <v>781</v>
      </c>
      <c r="B12781" s="1" t="s">
        <v>1865</v>
      </c>
      <c r="C12781" s="1" t="s">
        <v>126</v>
      </c>
      <c r="D12781" s="3">
        <f t="shared" si="2045"/>
        <v>6123</v>
      </c>
      <c r="E12781" s="2">
        <f t="shared" si="2043"/>
        <v>39692</v>
      </c>
      <c r="F12781" s="2">
        <f t="shared" si="2046"/>
        <v>41517</v>
      </c>
    </row>
    <row r="12782" spans="1:6" x14ac:dyDescent="0.25">
      <c r="A12782" s="1" t="s">
        <v>781</v>
      </c>
      <c r="B12782" s="1" t="s">
        <v>1865</v>
      </c>
      <c r="C12782" s="1" t="s">
        <v>85</v>
      </c>
      <c r="D12782" s="3">
        <f t="shared" si="2045"/>
        <v>6123</v>
      </c>
      <c r="E12782" s="2">
        <f t="shared" si="2043"/>
        <v>39692</v>
      </c>
      <c r="F12782" s="2">
        <f t="shared" si="2046"/>
        <v>41517</v>
      </c>
    </row>
    <row r="12783" spans="1:6" x14ac:dyDescent="0.25">
      <c r="A12783" s="1" t="s">
        <v>781</v>
      </c>
      <c r="B12783" s="1" t="s">
        <v>1865</v>
      </c>
      <c r="C12783" s="1" t="s">
        <v>93</v>
      </c>
      <c r="D12783" s="3">
        <f t="shared" si="2045"/>
        <v>6123</v>
      </c>
      <c r="E12783" s="2">
        <f t="shared" si="2043"/>
        <v>39692</v>
      </c>
      <c r="F12783" s="2">
        <f t="shared" si="2046"/>
        <v>41517</v>
      </c>
    </row>
    <row r="12784" spans="1:6" x14ac:dyDescent="0.25">
      <c r="A12784" s="1" t="s">
        <v>781</v>
      </c>
      <c r="B12784" s="1" t="s">
        <v>1865</v>
      </c>
      <c r="C12784" s="1" t="s">
        <v>129</v>
      </c>
      <c r="D12784" s="3">
        <f t="shared" si="2045"/>
        <v>6123</v>
      </c>
      <c r="E12784" s="2">
        <f t="shared" si="2043"/>
        <v>39692</v>
      </c>
      <c r="F12784" s="2">
        <f t="shared" si="2046"/>
        <v>41517</v>
      </c>
    </row>
    <row r="12785" spans="1:6" x14ac:dyDescent="0.25">
      <c r="A12785" s="1" t="s">
        <v>781</v>
      </c>
      <c r="B12785" s="1" t="s">
        <v>1865</v>
      </c>
      <c r="C12785" s="1" t="s">
        <v>176</v>
      </c>
      <c r="D12785" s="3">
        <f t="shared" si="2045"/>
        <v>6123</v>
      </c>
      <c r="E12785" s="2">
        <f t="shared" si="2043"/>
        <v>39692</v>
      </c>
      <c r="F12785" s="2">
        <f t="shared" si="2046"/>
        <v>41517</v>
      </c>
    </row>
    <row r="12786" spans="1:6" x14ac:dyDescent="0.25">
      <c r="A12786" s="1" t="s">
        <v>781</v>
      </c>
      <c r="B12786" s="1" t="s">
        <v>1865</v>
      </c>
      <c r="C12786" s="1" t="s">
        <v>102</v>
      </c>
      <c r="D12786" s="3">
        <f t="shared" si="2045"/>
        <v>6123</v>
      </c>
      <c r="E12786" s="2">
        <f t="shared" si="2043"/>
        <v>39692</v>
      </c>
      <c r="F12786" s="2">
        <f t="shared" si="2046"/>
        <v>41517</v>
      </c>
    </row>
    <row r="12787" spans="1:6" x14ac:dyDescent="0.25">
      <c r="A12787" s="1" t="s">
        <v>781</v>
      </c>
      <c r="B12787" s="1" t="s">
        <v>1865</v>
      </c>
      <c r="C12787" s="1" t="s">
        <v>103</v>
      </c>
      <c r="D12787" s="3">
        <f t="shared" si="2045"/>
        <v>6123</v>
      </c>
      <c r="E12787" s="2">
        <f t="shared" si="2043"/>
        <v>39692</v>
      </c>
      <c r="F12787" s="2">
        <f t="shared" si="2046"/>
        <v>41517</v>
      </c>
    </row>
    <row r="12788" spans="1:6" x14ac:dyDescent="0.25">
      <c r="A12788" s="1" t="s">
        <v>781</v>
      </c>
      <c r="B12788" s="1" t="s">
        <v>1865</v>
      </c>
      <c r="C12788" s="1" t="s">
        <v>51</v>
      </c>
      <c r="D12788" s="3">
        <f t="shared" si="2045"/>
        <v>6123</v>
      </c>
      <c r="E12788" s="2">
        <f t="shared" si="2043"/>
        <v>39692</v>
      </c>
      <c r="F12788" s="2">
        <f t="shared" si="2046"/>
        <v>41517</v>
      </c>
    </row>
    <row r="12789" spans="1:6" x14ac:dyDescent="0.25">
      <c r="A12789" s="1" t="s">
        <v>781</v>
      </c>
      <c r="B12789" s="1" t="s">
        <v>1865</v>
      </c>
      <c r="C12789" s="1" t="s">
        <v>133</v>
      </c>
      <c r="D12789" s="3">
        <f t="shared" si="2045"/>
        <v>6123</v>
      </c>
      <c r="E12789" s="2">
        <f t="shared" si="2043"/>
        <v>39692</v>
      </c>
      <c r="F12789" s="2">
        <f t="shared" si="2046"/>
        <v>41517</v>
      </c>
    </row>
    <row r="12790" spans="1:6" x14ac:dyDescent="0.25">
      <c r="A12790" s="1" t="s">
        <v>781</v>
      </c>
      <c r="B12790" s="1" t="s">
        <v>1865</v>
      </c>
      <c r="C12790" s="1" t="s">
        <v>134</v>
      </c>
      <c r="D12790" s="3">
        <f t="shared" si="2045"/>
        <v>6123</v>
      </c>
      <c r="E12790" s="2">
        <f t="shared" si="2043"/>
        <v>39692</v>
      </c>
      <c r="F12790" s="2">
        <f t="shared" si="2046"/>
        <v>41517</v>
      </c>
    </row>
    <row r="12791" spans="1:6" x14ac:dyDescent="0.25">
      <c r="A12791" s="1" t="s">
        <v>679</v>
      </c>
      <c r="B12791" s="1" t="s">
        <v>1577</v>
      </c>
      <c r="C12791" s="1" t="s">
        <v>14</v>
      </c>
      <c r="D12791" s="3">
        <f t="shared" ref="D12791:D12801" si="2047">VALUE("8761")</f>
        <v>8761</v>
      </c>
      <c r="E12791" s="2">
        <f t="shared" ref="E12791:E12801" si="2048">DATEVALUE("1-6-2020")</f>
        <v>43983</v>
      </c>
      <c r="F12791" s="2">
        <f t="shared" ref="F12791:F12801" si="2049">DATEVALUE("30-4-2021")</f>
        <v>44316</v>
      </c>
    </row>
    <row r="12792" spans="1:6" x14ac:dyDescent="0.25">
      <c r="A12792" s="1" t="s">
        <v>679</v>
      </c>
      <c r="B12792" s="1" t="s">
        <v>1577</v>
      </c>
      <c r="C12792" s="1" t="s">
        <v>66</v>
      </c>
      <c r="D12792" s="3">
        <f t="shared" si="2047"/>
        <v>8761</v>
      </c>
      <c r="E12792" s="2">
        <f t="shared" si="2048"/>
        <v>43983</v>
      </c>
      <c r="F12792" s="2">
        <f t="shared" si="2049"/>
        <v>44316</v>
      </c>
    </row>
    <row r="12793" spans="1:6" x14ac:dyDescent="0.25">
      <c r="A12793" s="1" t="s">
        <v>679</v>
      </c>
      <c r="B12793" s="1" t="s">
        <v>1577</v>
      </c>
      <c r="C12793" s="1" t="s">
        <v>15</v>
      </c>
      <c r="D12793" s="3">
        <f t="shared" si="2047"/>
        <v>8761</v>
      </c>
      <c r="E12793" s="2">
        <f t="shared" si="2048"/>
        <v>43983</v>
      </c>
      <c r="F12793" s="2">
        <f t="shared" si="2049"/>
        <v>44316</v>
      </c>
    </row>
    <row r="12794" spans="1:6" x14ac:dyDescent="0.25">
      <c r="A12794" s="1" t="s">
        <v>679</v>
      </c>
      <c r="B12794" s="1" t="s">
        <v>1577</v>
      </c>
      <c r="C12794" s="1" t="s">
        <v>17</v>
      </c>
      <c r="D12794" s="3">
        <f t="shared" si="2047"/>
        <v>8761</v>
      </c>
      <c r="E12794" s="2">
        <f t="shared" si="2048"/>
        <v>43983</v>
      </c>
      <c r="F12794" s="2">
        <f t="shared" si="2049"/>
        <v>44316</v>
      </c>
    </row>
    <row r="12795" spans="1:6" x14ac:dyDescent="0.25">
      <c r="A12795" s="1" t="s">
        <v>679</v>
      </c>
      <c r="B12795" s="1" t="s">
        <v>1577</v>
      </c>
      <c r="C12795" s="1" t="s">
        <v>441</v>
      </c>
      <c r="D12795" s="3">
        <f t="shared" si="2047"/>
        <v>8761</v>
      </c>
      <c r="E12795" s="2">
        <f t="shared" si="2048"/>
        <v>43983</v>
      </c>
      <c r="F12795" s="2">
        <f t="shared" si="2049"/>
        <v>44316</v>
      </c>
    </row>
    <row r="12796" spans="1:6" x14ac:dyDescent="0.25">
      <c r="A12796" s="1" t="s">
        <v>679</v>
      </c>
      <c r="B12796" s="1" t="s">
        <v>1577</v>
      </c>
      <c r="C12796" s="1" t="s">
        <v>22</v>
      </c>
      <c r="D12796" s="3">
        <f t="shared" si="2047"/>
        <v>8761</v>
      </c>
      <c r="E12796" s="2">
        <f t="shared" si="2048"/>
        <v>43983</v>
      </c>
      <c r="F12796" s="2">
        <f t="shared" si="2049"/>
        <v>44316</v>
      </c>
    </row>
    <row r="12797" spans="1:6" x14ac:dyDescent="0.25">
      <c r="A12797" s="1" t="s">
        <v>679</v>
      </c>
      <c r="B12797" s="1" t="s">
        <v>1577</v>
      </c>
      <c r="C12797" s="1" t="s">
        <v>146</v>
      </c>
      <c r="D12797" s="3">
        <f t="shared" si="2047"/>
        <v>8761</v>
      </c>
      <c r="E12797" s="2">
        <f t="shared" si="2048"/>
        <v>43983</v>
      </c>
      <c r="F12797" s="2">
        <f t="shared" si="2049"/>
        <v>44316</v>
      </c>
    </row>
    <row r="12798" spans="1:6" x14ac:dyDescent="0.25">
      <c r="A12798" s="1" t="s">
        <v>679</v>
      </c>
      <c r="B12798" s="1" t="s">
        <v>1577</v>
      </c>
      <c r="C12798" s="1" t="s">
        <v>94</v>
      </c>
      <c r="D12798" s="3">
        <f t="shared" si="2047"/>
        <v>8761</v>
      </c>
      <c r="E12798" s="2">
        <f t="shared" si="2048"/>
        <v>43983</v>
      </c>
      <c r="F12798" s="2">
        <f t="shared" si="2049"/>
        <v>44316</v>
      </c>
    </row>
    <row r="12799" spans="1:6" x14ac:dyDescent="0.25">
      <c r="A12799" s="1" t="s">
        <v>679</v>
      </c>
      <c r="B12799" s="1" t="s">
        <v>1577</v>
      </c>
      <c r="C12799" s="1" t="s">
        <v>24</v>
      </c>
      <c r="D12799" s="3">
        <f t="shared" si="2047"/>
        <v>8761</v>
      </c>
      <c r="E12799" s="2">
        <f t="shared" si="2048"/>
        <v>43983</v>
      </c>
      <c r="F12799" s="2">
        <f t="shared" si="2049"/>
        <v>44316</v>
      </c>
    </row>
    <row r="12800" spans="1:6" x14ac:dyDescent="0.25">
      <c r="A12800" s="1" t="s">
        <v>679</v>
      </c>
      <c r="B12800" s="1" t="s">
        <v>1577</v>
      </c>
      <c r="C12800" s="1" t="s">
        <v>52</v>
      </c>
      <c r="D12800" s="3">
        <f t="shared" si="2047"/>
        <v>8761</v>
      </c>
      <c r="E12800" s="2">
        <f t="shared" si="2048"/>
        <v>43983</v>
      </c>
      <c r="F12800" s="2">
        <f t="shared" si="2049"/>
        <v>44316</v>
      </c>
    </row>
    <row r="12801" spans="1:6" x14ac:dyDescent="0.25">
      <c r="A12801" s="1" t="s">
        <v>679</v>
      </c>
      <c r="B12801" s="1" t="s">
        <v>1577</v>
      </c>
      <c r="C12801" s="1" t="s">
        <v>34</v>
      </c>
      <c r="D12801" s="3">
        <f t="shared" si="2047"/>
        <v>8761</v>
      </c>
      <c r="E12801" s="2">
        <f t="shared" si="2048"/>
        <v>43983</v>
      </c>
      <c r="F12801" s="2">
        <f t="shared" si="2049"/>
        <v>44316</v>
      </c>
    </row>
    <row r="12802" spans="1:6" x14ac:dyDescent="0.25">
      <c r="A12802" s="1" t="s">
        <v>679</v>
      </c>
      <c r="B12802" s="1" t="s">
        <v>2079</v>
      </c>
      <c r="C12802" s="1" t="s">
        <v>89</v>
      </c>
      <c r="D12802" s="3">
        <f>VALUE("8321")</f>
        <v>8321</v>
      </c>
      <c r="E12802" s="2">
        <f>DATEVALUE("1-9-2018")</f>
        <v>43344</v>
      </c>
      <c r="F12802" s="2">
        <f>DATEVALUE("28-2-2019")</f>
        <v>43524</v>
      </c>
    </row>
    <row r="12803" spans="1:6" x14ac:dyDescent="0.25">
      <c r="A12803" s="1" t="s">
        <v>679</v>
      </c>
      <c r="B12803" s="1" t="s">
        <v>2079</v>
      </c>
      <c r="C12803" s="1" t="s">
        <v>73</v>
      </c>
      <c r="D12803" s="3">
        <f>VALUE("8321")</f>
        <v>8321</v>
      </c>
      <c r="E12803" s="2">
        <f>DATEVALUE("1-9-2018")</f>
        <v>43344</v>
      </c>
      <c r="F12803" s="2">
        <f>DATEVALUE("28-2-2019")</f>
        <v>43524</v>
      </c>
    </row>
    <row r="12804" spans="1:6" x14ac:dyDescent="0.25">
      <c r="A12804" s="1" t="s">
        <v>679</v>
      </c>
      <c r="B12804" s="1" t="s">
        <v>1052</v>
      </c>
      <c r="C12804" s="1" t="s">
        <v>45</v>
      </c>
      <c r="D12804" s="3">
        <f t="shared" ref="D12804:D12812" si="2050">VALUE("8331")</f>
        <v>8331</v>
      </c>
      <c r="E12804" s="2">
        <f t="shared" ref="E12804:E12812" si="2051">DATEVALUE("1-7-2018")</f>
        <v>43282</v>
      </c>
      <c r="F12804" s="2">
        <f t="shared" ref="F12804:F12812" si="2052">DATEVALUE("30-11-2020")</f>
        <v>44165</v>
      </c>
    </row>
    <row r="12805" spans="1:6" x14ac:dyDescent="0.25">
      <c r="A12805" s="1" t="s">
        <v>679</v>
      </c>
      <c r="B12805" s="1" t="s">
        <v>1052</v>
      </c>
      <c r="C12805" s="1" t="s">
        <v>44</v>
      </c>
      <c r="D12805" s="3">
        <f t="shared" si="2050"/>
        <v>8331</v>
      </c>
      <c r="E12805" s="2">
        <f t="shared" si="2051"/>
        <v>43282</v>
      </c>
      <c r="F12805" s="2">
        <f t="shared" si="2052"/>
        <v>44165</v>
      </c>
    </row>
    <row r="12806" spans="1:6" x14ac:dyDescent="0.25">
      <c r="A12806" s="1" t="s">
        <v>679</v>
      </c>
      <c r="B12806" s="1" t="s">
        <v>1052</v>
      </c>
      <c r="C12806" s="1" t="s">
        <v>89</v>
      </c>
      <c r="D12806" s="3">
        <f t="shared" si="2050"/>
        <v>8331</v>
      </c>
      <c r="E12806" s="2">
        <f t="shared" si="2051"/>
        <v>43282</v>
      </c>
      <c r="F12806" s="2">
        <f t="shared" si="2052"/>
        <v>44165</v>
      </c>
    </row>
    <row r="12807" spans="1:6" x14ac:dyDescent="0.25">
      <c r="A12807" s="1" t="s">
        <v>679</v>
      </c>
      <c r="B12807" s="1" t="s">
        <v>1052</v>
      </c>
      <c r="C12807" s="1" t="s">
        <v>17</v>
      </c>
      <c r="D12807" s="3">
        <f t="shared" si="2050"/>
        <v>8331</v>
      </c>
      <c r="E12807" s="2">
        <f t="shared" si="2051"/>
        <v>43282</v>
      </c>
      <c r="F12807" s="2">
        <f t="shared" si="2052"/>
        <v>44165</v>
      </c>
    </row>
    <row r="12808" spans="1:6" x14ac:dyDescent="0.25">
      <c r="A12808" s="1" t="s">
        <v>679</v>
      </c>
      <c r="B12808" s="1" t="s">
        <v>1052</v>
      </c>
      <c r="C12808" s="1" t="s">
        <v>22</v>
      </c>
      <c r="D12808" s="3">
        <f t="shared" si="2050"/>
        <v>8331</v>
      </c>
      <c r="E12808" s="2">
        <f t="shared" si="2051"/>
        <v>43282</v>
      </c>
      <c r="F12808" s="2">
        <f t="shared" si="2052"/>
        <v>44165</v>
      </c>
    </row>
    <row r="12809" spans="1:6" x14ac:dyDescent="0.25">
      <c r="A12809" s="1" t="s">
        <v>679</v>
      </c>
      <c r="B12809" s="1" t="s">
        <v>1052</v>
      </c>
      <c r="C12809" s="1" t="s">
        <v>67</v>
      </c>
      <c r="D12809" s="3">
        <f t="shared" si="2050"/>
        <v>8331</v>
      </c>
      <c r="E12809" s="2">
        <f t="shared" si="2051"/>
        <v>43282</v>
      </c>
      <c r="F12809" s="2">
        <f t="shared" si="2052"/>
        <v>44165</v>
      </c>
    </row>
    <row r="12810" spans="1:6" x14ac:dyDescent="0.25">
      <c r="A12810" s="1" t="s">
        <v>679</v>
      </c>
      <c r="B12810" s="1" t="s">
        <v>1052</v>
      </c>
      <c r="C12810" s="1" t="s">
        <v>149</v>
      </c>
      <c r="D12810" s="3">
        <f t="shared" si="2050"/>
        <v>8331</v>
      </c>
      <c r="E12810" s="2">
        <f t="shared" si="2051"/>
        <v>43282</v>
      </c>
      <c r="F12810" s="2">
        <f t="shared" si="2052"/>
        <v>44165</v>
      </c>
    </row>
    <row r="12811" spans="1:6" x14ac:dyDescent="0.25">
      <c r="A12811" s="1" t="s">
        <v>679</v>
      </c>
      <c r="B12811" s="1" t="s">
        <v>1052</v>
      </c>
      <c r="C12811" s="1" t="s">
        <v>94</v>
      </c>
      <c r="D12811" s="3">
        <f t="shared" si="2050"/>
        <v>8331</v>
      </c>
      <c r="E12811" s="2">
        <f t="shared" si="2051"/>
        <v>43282</v>
      </c>
      <c r="F12811" s="2">
        <f t="shared" si="2052"/>
        <v>44165</v>
      </c>
    </row>
    <row r="12812" spans="1:6" x14ac:dyDescent="0.25">
      <c r="A12812" s="1" t="s">
        <v>679</v>
      </c>
      <c r="B12812" s="1" t="s">
        <v>1052</v>
      </c>
      <c r="C12812" s="1" t="s">
        <v>73</v>
      </c>
      <c r="D12812" s="3">
        <f t="shared" si="2050"/>
        <v>8331</v>
      </c>
      <c r="E12812" s="2">
        <f t="shared" si="2051"/>
        <v>43282</v>
      </c>
      <c r="F12812" s="2">
        <f t="shared" si="2052"/>
        <v>44165</v>
      </c>
    </row>
    <row r="12813" spans="1:6" x14ac:dyDescent="0.25">
      <c r="A12813" s="1" t="s">
        <v>679</v>
      </c>
      <c r="B12813" s="1" t="s">
        <v>994</v>
      </c>
      <c r="C12813" s="1" t="s">
        <v>14</v>
      </c>
      <c r="D12813" s="3">
        <f t="shared" ref="D12813:D12820" si="2053">VALUE("8281")</f>
        <v>8281</v>
      </c>
      <c r="E12813" s="2">
        <f t="shared" ref="E12813:E12820" si="2054">DATEVALUE("1-5-2018")</f>
        <v>43221</v>
      </c>
      <c r="F12813" s="2">
        <f t="shared" ref="F12813:F12820" si="2055">DATEVALUE("30-11-2021")</f>
        <v>44530</v>
      </c>
    </row>
    <row r="12814" spans="1:6" x14ac:dyDescent="0.25">
      <c r="A12814" s="1" t="s">
        <v>679</v>
      </c>
      <c r="B12814" s="1" t="s">
        <v>994</v>
      </c>
      <c r="C12814" s="1" t="s">
        <v>15</v>
      </c>
      <c r="D12814" s="3">
        <f t="shared" si="2053"/>
        <v>8281</v>
      </c>
      <c r="E12814" s="2">
        <f t="shared" si="2054"/>
        <v>43221</v>
      </c>
      <c r="F12814" s="2">
        <f t="shared" si="2055"/>
        <v>44530</v>
      </c>
    </row>
    <row r="12815" spans="1:6" x14ac:dyDescent="0.25">
      <c r="A12815" s="1" t="s">
        <v>679</v>
      </c>
      <c r="B12815" s="1" t="s">
        <v>994</v>
      </c>
      <c r="C12815" s="1" t="s">
        <v>17</v>
      </c>
      <c r="D12815" s="3">
        <f t="shared" si="2053"/>
        <v>8281</v>
      </c>
      <c r="E12815" s="2">
        <f t="shared" si="2054"/>
        <v>43221</v>
      </c>
      <c r="F12815" s="2">
        <f t="shared" si="2055"/>
        <v>44530</v>
      </c>
    </row>
    <row r="12816" spans="1:6" x14ac:dyDescent="0.25">
      <c r="A12816" s="1" t="s">
        <v>679</v>
      </c>
      <c r="B12816" s="1" t="s">
        <v>994</v>
      </c>
      <c r="C12816" s="1" t="s">
        <v>22</v>
      </c>
      <c r="D12816" s="3">
        <f t="shared" si="2053"/>
        <v>8281</v>
      </c>
      <c r="E12816" s="2">
        <f t="shared" si="2054"/>
        <v>43221</v>
      </c>
      <c r="F12816" s="2">
        <f t="shared" si="2055"/>
        <v>44530</v>
      </c>
    </row>
    <row r="12817" spans="1:6" x14ac:dyDescent="0.25">
      <c r="A12817" s="1" t="s">
        <v>679</v>
      </c>
      <c r="B12817" s="1" t="s">
        <v>994</v>
      </c>
      <c r="C12817" s="1" t="s">
        <v>94</v>
      </c>
      <c r="D12817" s="3">
        <f t="shared" si="2053"/>
        <v>8281</v>
      </c>
      <c r="E12817" s="2">
        <f t="shared" si="2054"/>
        <v>43221</v>
      </c>
      <c r="F12817" s="2">
        <f t="shared" si="2055"/>
        <v>44530</v>
      </c>
    </row>
    <row r="12818" spans="1:6" x14ac:dyDescent="0.25">
      <c r="A12818" s="1" t="s">
        <v>679</v>
      </c>
      <c r="B12818" s="1" t="s">
        <v>994</v>
      </c>
      <c r="C12818" s="1" t="s">
        <v>73</v>
      </c>
      <c r="D12818" s="3">
        <f t="shared" si="2053"/>
        <v>8281</v>
      </c>
      <c r="E12818" s="2">
        <f t="shared" si="2054"/>
        <v>43221</v>
      </c>
      <c r="F12818" s="2">
        <f t="shared" si="2055"/>
        <v>44530</v>
      </c>
    </row>
    <row r="12819" spans="1:6" x14ac:dyDescent="0.25">
      <c r="A12819" s="1" t="s">
        <v>679</v>
      </c>
      <c r="B12819" s="1" t="s">
        <v>994</v>
      </c>
      <c r="C12819" s="1" t="s">
        <v>34</v>
      </c>
      <c r="D12819" s="3">
        <f t="shared" si="2053"/>
        <v>8281</v>
      </c>
      <c r="E12819" s="2">
        <f t="shared" si="2054"/>
        <v>43221</v>
      </c>
      <c r="F12819" s="2">
        <f t="shared" si="2055"/>
        <v>44530</v>
      </c>
    </row>
    <row r="12820" spans="1:6" x14ac:dyDescent="0.25">
      <c r="A12820" s="1" t="s">
        <v>679</v>
      </c>
      <c r="B12820" s="1" t="s">
        <v>994</v>
      </c>
      <c r="C12820" s="1" t="s">
        <v>379</v>
      </c>
      <c r="D12820" s="3">
        <f t="shared" si="2053"/>
        <v>8281</v>
      </c>
      <c r="E12820" s="2">
        <f t="shared" si="2054"/>
        <v>43221</v>
      </c>
      <c r="F12820" s="2">
        <f t="shared" si="2055"/>
        <v>44530</v>
      </c>
    </row>
    <row r="12821" spans="1:6" x14ac:dyDescent="0.25">
      <c r="A12821" s="1" t="s">
        <v>679</v>
      </c>
      <c r="B12821" s="1" t="s">
        <v>678</v>
      </c>
      <c r="C12821" s="1" t="s">
        <v>85</v>
      </c>
      <c r="D12821" s="3">
        <f t="shared" ref="D12821:D12834" si="2056">VALUE("7883")</f>
        <v>7883</v>
      </c>
      <c r="E12821" s="2">
        <f t="shared" ref="E12821:E12834" si="2057">DATEVALUE("1-8-2016")</f>
        <v>42583</v>
      </c>
      <c r="F12821" s="2">
        <f t="shared" ref="F12821:F12834" si="2058">DATEVALUE("31-10-2020")</f>
        <v>44135</v>
      </c>
    </row>
    <row r="12822" spans="1:6" x14ac:dyDescent="0.25">
      <c r="A12822" s="1" t="s">
        <v>679</v>
      </c>
      <c r="B12822" s="1" t="s">
        <v>678</v>
      </c>
      <c r="C12822" s="1" t="s">
        <v>84</v>
      </c>
      <c r="D12822" s="3">
        <f t="shared" si="2056"/>
        <v>7883</v>
      </c>
      <c r="E12822" s="2">
        <f t="shared" si="2057"/>
        <v>42583</v>
      </c>
      <c r="F12822" s="2">
        <f t="shared" si="2058"/>
        <v>44135</v>
      </c>
    </row>
    <row r="12823" spans="1:6" x14ac:dyDescent="0.25">
      <c r="A12823" s="1" t="s">
        <v>679</v>
      </c>
      <c r="B12823" s="1" t="s">
        <v>678</v>
      </c>
      <c r="C12823" s="1" t="s">
        <v>14</v>
      </c>
      <c r="D12823" s="3">
        <f t="shared" si="2056"/>
        <v>7883</v>
      </c>
      <c r="E12823" s="2">
        <f t="shared" si="2057"/>
        <v>42583</v>
      </c>
      <c r="F12823" s="2">
        <f t="shared" si="2058"/>
        <v>44135</v>
      </c>
    </row>
    <row r="12824" spans="1:6" x14ac:dyDescent="0.25">
      <c r="A12824" s="1" t="s">
        <v>679</v>
      </c>
      <c r="B12824" s="1" t="s">
        <v>678</v>
      </c>
      <c r="C12824" s="1" t="s">
        <v>15</v>
      </c>
      <c r="D12824" s="3">
        <f t="shared" si="2056"/>
        <v>7883</v>
      </c>
      <c r="E12824" s="2">
        <f t="shared" si="2057"/>
        <v>42583</v>
      </c>
      <c r="F12824" s="2">
        <f t="shared" si="2058"/>
        <v>44135</v>
      </c>
    </row>
    <row r="12825" spans="1:6" x14ac:dyDescent="0.25">
      <c r="A12825" s="1" t="s">
        <v>679</v>
      </c>
      <c r="B12825" s="1" t="s">
        <v>678</v>
      </c>
      <c r="C12825" s="1" t="s">
        <v>89</v>
      </c>
      <c r="D12825" s="3">
        <f t="shared" si="2056"/>
        <v>7883</v>
      </c>
      <c r="E12825" s="2">
        <f t="shared" si="2057"/>
        <v>42583</v>
      </c>
      <c r="F12825" s="2">
        <f t="shared" si="2058"/>
        <v>44135</v>
      </c>
    </row>
    <row r="12826" spans="1:6" x14ac:dyDescent="0.25">
      <c r="A12826" s="1" t="s">
        <v>679</v>
      </c>
      <c r="B12826" s="1" t="s">
        <v>678</v>
      </c>
      <c r="C12826" s="1" t="s">
        <v>17</v>
      </c>
      <c r="D12826" s="3">
        <f t="shared" si="2056"/>
        <v>7883</v>
      </c>
      <c r="E12826" s="2">
        <f t="shared" si="2057"/>
        <v>42583</v>
      </c>
      <c r="F12826" s="2">
        <f t="shared" si="2058"/>
        <v>44135</v>
      </c>
    </row>
    <row r="12827" spans="1:6" x14ac:dyDescent="0.25">
      <c r="A12827" s="1" t="s">
        <v>679</v>
      </c>
      <c r="B12827" s="1" t="s">
        <v>678</v>
      </c>
      <c r="C12827" s="1" t="s">
        <v>22</v>
      </c>
      <c r="D12827" s="3">
        <f t="shared" si="2056"/>
        <v>7883</v>
      </c>
      <c r="E12827" s="2">
        <f t="shared" si="2057"/>
        <v>42583</v>
      </c>
      <c r="F12827" s="2">
        <f t="shared" si="2058"/>
        <v>44135</v>
      </c>
    </row>
    <row r="12828" spans="1:6" x14ac:dyDescent="0.25">
      <c r="A12828" s="1" t="s">
        <v>679</v>
      </c>
      <c r="B12828" s="1" t="s">
        <v>678</v>
      </c>
      <c r="C12828" s="1" t="s">
        <v>146</v>
      </c>
      <c r="D12828" s="3">
        <f t="shared" si="2056"/>
        <v>7883</v>
      </c>
      <c r="E12828" s="2">
        <f t="shared" si="2057"/>
        <v>42583</v>
      </c>
      <c r="F12828" s="2">
        <f t="shared" si="2058"/>
        <v>44135</v>
      </c>
    </row>
    <row r="12829" spans="1:6" x14ac:dyDescent="0.25">
      <c r="A12829" s="1" t="s">
        <v>679</v>
      </c>
      <c r="B12829" s="1" t="s">
        <v>678</v>
      </c>
      <c r="C12829" s="1" t="s">
        <v>148</v>
      </c>
      <c r="D12829" s="3">
        <f t="shared" si="2056"/>
        <v>7883</v>
      </c>
      <c r="E12829" s="2">
        <f t="shared" si="2057"/>
        <v>42583</v>
      </c>
      <c r="F12829" s="2">
        <f t="shared" si="2058"/>
        <v>44135</v>
      </c>
    </row>
    <row r="12830" spans="1:6" x14ac:dyDescent="0.25">
      <c r="A12830" s="1" t="s">
        <v>679</v>
      </c>
      <c r="B12830" s="1" t="s">
        <v>678</v>
      </c>
      <c r="C12830" s="1" t="s">
        <v>24</v>
      </c>
      <c r="D12830" s="3">
        <f t="shared" si="2056"/>
        <v>7883</v>
      </c>
      <c r="E12830" s="2">
        <f t="shared" si="2057"/>
        <v>42583</v>
      </c>
      <c r="F12830" s="2">
        <f t="shared" si="2058"/>
        <v>44135</v>
      </c>
    </row>
    <row r="12831" spans="1:6" x14ac:dyDescent="0.25">
      <c r="A12831" s="1" t="s">
        <v>679</v>
      </c>
      <c r="B12831" s="1" t="s">
        <v>678</v>
      </c>
      <c r="C12831" s="1" t="s">
        <v>283</v>
      </c>
      <c r="D12831" s="3">
        <f t="shared" si="2056"/>
        <v>7883</v>
      </c>
      <c r="E12831" s="2">
        <f t="shared" si="2057"/>
        <v>42583</v>
      </c>
      <c r="F12831" s="2">
        <f t="shared" si="2058"/>
        <v>44135</v>
      </c>
    </row>
    <row r="12832" spans="1:6" x14ac:dyDescent="0.25">
      <c r="A12832" s="1" t="s">
        <v>679</v>
      </c>
      <c r="B12832" s="1" t="s">
        <v>678</v>
      </c>
      <c r="C12832" s="1" t="s">
        <v>34</v>
      </c>
      <c r="D12832" s="3">
        <f t="shared" si="2056"/>
        <v>7883</v>
      </c>
      <c r="E12832" s="2">
        <f t="shared" si="2057"/>
        <v>42583</v>
      </c>
      <c r="F12832" s="2">
        <f t="shared" si="2058"/>
        <v>44135</v>
      </c>
    </row>
    <row r="12833" spans="1:6" x14ac:dyDescent="0.25">
      <c r="A12833" s="1" t="s">
        <v>679</v>
      </c>
      <c r="B12833" s="1" t="s">
        <v>678</v>
      </c>
      <c r="C12833" s="1" t="s">
        <v>169</v>
      </c>
      <c r="D12833" s="3">
        <f t="shared" si="2056"/>
        <v>7883</v>
      </c>
      <c r="E12833" s="2">
        <f t="shared" si="2057"/>
        <v>42583</v>
      </c>
      <c r="F12833" s="2">
        <f t="shared" si="2058"/>
        <v>44135</v>
      </c>
    </row>
    <row r="12834" spans="1:6" x14ac:dyDescent="0.25">
      <c r="A12834" s="1" t="s">
        <v>679</v>
      </c>
      <c r="B12834" s="1" t="s">
        <v>678</v>
      </c>
      <c r="C12834" s="1" t="s">
        <v>170</v>
      </c>
      <c r="D12834" s="3">
        <f t="shared" si="2056"/>
        <v>7883</v>
      </c>
      <c r="E12834" s="2">
        <f t="shared" si="2057"/>
        <v>42583</v>
      </c>
      <c r="F12834" s="2">
        <f t="shared" si="2058"/>
        <v>44135</v>
      </c>
    </row>
    <row r="12835" spans="1:6" x14ac:dyDescent="0.25">
      <c r="A12835" s="1" t="s">
        <v>679</v>
      </c>
      <c r="B12835" s="1" t="s">
        <v>1932</v>
      </c>
      <c r="C12835" s="1" t="s">
        <v>85</v>
      </c>
      <c r="D12835" s="3">
        <f t="shared" ref="D12835:D12843" si="2059">VALUE("7618")</f>
        <v>7618</v>
      </c>
      <c r="E12835" s="2">
        <f t="shared" ref="E12835:E12843" si="2060">DATEVALUE("1-5-2014")</f>
        <v>41760</v>
      </c>
      <c r="F12835" s="2">
        <f t="shared" ref="F12835:F12843" si="2061">DATEVALUE("30-9-2018")</f>
        <v>43373</v>
      </c>
    </row>
    <row r="12836" spans="1:6" x14ac:dyDescent="0.25">
      <c r="A12836" s="1" t="s">
        <v>679</v>
      </c>
      <c r="B12836" s="1" t="s">
        <v>1932</v>
      </c>
      <c r="C12836" s="1" t="s">
        <v>84</v>
      </c>
      <c r="D12836" s="3">
        <f t="shared" si="2059"/>
        <v>7618</v>
      </c>
      <c r="E12836" s="2">
        <f t="shared" si="2060"/>
        <v>41760</v>
      </c>
      <c r="F12836" s="2">
        <f t="shared" si="2061"/>
        <v>43373</v>
      </c>
    </row>
    <row r="12837" spans="1:6" x14ac:dyDescent="0.25">
      <c r="A12837" s="1" t="s">
        <v>679</v>
      </c>
      <c r="B12837" s="1" t="s">
        <v>1932</v>
      </c>
      <c r="C12837" s="1" t="s">
        <v>46</v>
      </c>
      <c r="D12837" s="3">
        <f t="shared" si="2059"/>
        <v>7618</v>
      </c>
      <c r="E12837" s="2">
        <f t="shared" si="2060"/>
        <v>41760</v>
      </c>
      <c r="F12837" s="2">
        <f t="shared" si="2061"/>
        <v>43373</v>
      </c>
    </row>
    <row r="12838" spans="1:6" x14ac:dyDescent="0.25">
      <c r="A12838" s="1" t="s">
        <v>679</v>
      </c>
      <c r="B12838" s="1" t="s">
        <v>1932</v>
      </c>
      <c r="C12838" s="1" t="s">
        <v>66</v>
      </c>
      <c r="D12838" s="3">
        <f t="shared" si="2059"/>
        <v>7618</v>
      </c>
      <c r="E12838" s="2">
        <f t="shared" si="2060"/>
        <v>41760</v>
      </c>
      <c r="F12838" s="2">
        <f t="shared" si="2061"/>
        <v>43373</v>
      </c>
    </row>
    <row r="12839" spans="1:6" x14ac:dyDescent="0.25">
      <c r="A12839" s="1" t="s">
        <v>679</v>
      </c>
      <c r="B12839" s="1" t="s">
        <v>1932</v>
      </c>
      <c r="C12839" s="1" t="s">
        <v>15</v>
      </c>
      <c r="D12839" s="3">
        <f t="shared" si="2059"/>
        <v>7618</v>
      </c>
      <c r="E12839" s="2">
        <f t="shared" si="2060"/>
        <v>41760</v>
      </c>
      <c r="F12839" s="2">
        <f t="shared" si="2061"/>
        <v>43373</v>
      </c>
    </row>
    <row r="12840" spans="1:6" x14ac:dyDescent="0.25">
      <c r="A12840" s="1" t="s">
        <v>679</v>
      </c>
      <c r="B12840" s="1" t="s">
        <v>1932</v>
      </c>
      <c r="C12840" s="1" t="s">
        <v>16</v>
      </c>
      <c r="D12840" s="3">
        <f t="shared" si="2059"/>
        <v>7618</v>
      </c>
      <c r="E12840" s="2">
        <f t="shared" si="2060"/>
        <v>41760</v>
      </c>
      <c r="F12840" s="2">
        <f t="shared" si="2061"/>
        <v>43373</v>
      </c>
    </row>
    <row r="12841" spans="1:6" x14ac:dyDescent="0.25">
      <c r="A12841" s="1" t="s">
        <v>679</v>
      </c>
      <c r="B12841" s="1" t="s">
        <v>1932</v>
      </c>
      <c r="C12841" s="1" t="s">
        <v>88</v>
      </c>
      <c r="D12841" s="3">
        <f t="shared" si="2059"/>
        <v>7618</v>
      </c>
      <c r="E12841" s="2">
        <f t="shared" si="2060"/>
        <v>41760</v>
      </c>
      <c r="F12841" s="2">
        <f t="shared" si="2061"/>
        <v>43373</v>
      </c>
    </row>
    <row r="12842" spans="1:6" x14ac:dyDescent="0.25">
      <c r="A12842" s="1" t="s">
        <v>679</v>
      </c>
      <c r="B12842" s="1" t="s">
        <v>1932</v>
      </c>
      <c r="C12842" s="1" t="s">
        <v>17</v>
      </c>
      <c r="D12842" s="3">
        <f t="shared" si="2059"/>
        <v>7618</v>
      </c>
      <c r="E12842" s="2">
        <f t="shared" si="2060"/>
        <v>41760</v>
      </c>
      <c r="F12842" s="2">
        <f t="shared" si="2061"/>
        <v>43373</v>
      </c>
    </row>
    <row r="12843" spans="1:6" x14ac:dyDescent="0.25">
      <c r="A12843" s="1" t="s">
        <v>679</v>
      </c>
      <c r="B12843" s="1" t="s">
        <v>1932</v>
      </c>
      <c r="C12843" s="1" t="s">
        <v>73</v>
      </c>
      <c r="D12843" s="3">
        <f t="shared" si="2059"/>
        <v>7618</v>
      </c>
      <c r="E12843" s="2">
        <f t="shared" si="2060"/>
        <v>41760</v>
      </c>
      <c r="F12843" s="2">
        <f t="shared" si="2061"/>
        <v>43373</v>
      </c>
    </row>
    <row r="12844" spans="1:6" x14ac:dyDescent="0.25">
      <c r="A12844" s="1" t="s">
        <v>679</v>
      </c>
      <c r="B12844" s="1" t="s">
        <v>2642</v>
      </c>
      <c r="C12844" s="1" t="s">
        <v>85</v>
      </c>
      <c r="D12844" s="3">
        <f>VALUE("7277")</f>
        <v>7277</v>
      </c>
      <c r="E12844" s="2">
        <f>DATEVALUE("1-7-2013")</f>
        <v>41456</v>
      </c>
      <c r="F12844" s="2">
        <f>DATEVALUE("31-10-2013")</f>
        <v>41578</v>
      </c>
    </row>
    <row r="12845" spans="1:6" x14ac:dyDescent="0.25">
      <c r="A12845" s="1" t="s">
        <v>679</v>
      </c>
      <c r="B12845" s="1" t="s">
        <v>2669</v>
      </c>
      <c r="C12845" s="1" t="s">
        <v>93</v>
      </c>
      <c r="D12845" s="3">
        <f>VALUE("7333")</f>
        <v>7333</v>
      </c>
      <c r="E12845" s="2">
        <f>DATEVALUE("1-4-2012")</f>
        <v>41000</v>
      </c>
      <c r="F12845" s="2">
        <f>DATEVALUE("31-8-2013")</f>
        <v>41517</v>
      </c>
    </row>
    <row r="12846" spans="1:6" x14ac:dyDescent="0.25">
      <c r="A12846" s="1" t="s">
        <v>679</v>
      </c>
      <c r="B12846" s="1" t="s">
        <v>2669</v>
      </c>
      <c r="C12846" s="1" t="s">
        <v>129</v>
      </c>
      <c r="D12846" s="3">
        <f>VALUE("7333")</f>
        <v>7333</v>
      </c>
      <c r="E12846" s="2">
        <f>DATEVALUE("1-4-2012")</f>
        <v>41000</v>
      </c>
      <c r="F12846" s="2">
        <f>DATEVALUE("31-8-2013")</f>
        <v>41517</v>
      </c>
    </row>
    <row r="12847" spans="1:6" x14ac:dyDescent="0.25">
      <c r="A12847" s="1" t="s">
        <v>679</v>
      </c>
      <c r="B12847" s="1" t="s">
        <v>2669</v>
      </c>
      <c r="C12847" s="1" t="s">
        <v>177</v>
      </c>
      <c r="D12847" s="3">
        <f>VALUE("7333")</f>
        <v>7333</v>
      </c>
      <c r="E12847" s="2">
        <f>DATEVALUE("1-4-2012")</f>
        <v>41000</v>
      </c>
      <c r="F12847" s="2">
        <f>DATEVALUE("31-8-2013")</f>
        <v>41517</v>
      </c>
    </row>
    <row r="12848" spans="1:6" x14ac:dyDescent="0.25">
      <c r="A12848" s="1" t="s">
        <v>679</v>
      </c>
      <c r="B12848" s="1" t="s">
        <v>2669</v>
      </c>
      <c r="C12848" s="1" t="s">
        <v>130</v>
      </c>
      <c r="D12848" s="3">
        <f>VALUE("7333")</f>
        <v>7333</v>
      </c>
      <c r="E12848" s="2">
        <f>DATEVALUE("1-4-2012")</f>
        <v>41000</v>
      </c>
      <c r="F12848" s="2">
        <f>DATEVALUE("31-8-2013")</f>
        <v>41517</v>
      </c>
    </row>
    <row r="12849" spans="1:6" x14ac:dyDescent="0.25">
      <c r="A12849" s="1" t="s">
        <v>679</v>
      </c>
      <c r="B12849" s="1" t="s">
        <v>2563</v>
      </c>
      <c r="C12849" s="1" t="s">
        <v>85</v>
      </c>
      <c r="D12849" s="3">
        <f>VALUE("7055")</f>
        <v>7055</v>
      </c>
      <c r="E12849" s="2">
        <f>DATEVALUE("1-7-2010")</f>
        <v>40360</v>
      </c>
      <c r="F12849" s="2">
        <f>DATEVALUE("31-8-2014")</f>
        <v>41882</v>
      </c>
    </row>
    <row r="12850" spans="1:6" x14ac:dyDescent="0.25">
      <c r="A12850" s="1" t="s">
        <v>679</v>
      </c>
      <c r="B12850" s="1" t="s">
        <v>2563</v>
      </c>
      <c r="C12850" s="1" t="s">
        <v>45</v>
      </c>
      <c r="D12850" s="3">
        <f>VALUE("7055")</f>
        <v>7055</v>
      </c>
      <c r="E12850" s="2">
        <f>DATEVALUE("1-7-2010")</f>
        <v>40360</v>
      </c>
      <c r="F12850" s="2">
        <f>DATEVALUE("31-8-2014")</f>
        <v>41882</v>
      </c>
    </row>
    <row r="12851" spans="1:6" x14ac:dyDescent="0.25">
      <c r="A12851" s="1" t="s">
        <v>679</v>
      </c>
      <c r="B12851" s="1" t="s">
        <v>1695</v>
      </c>
      <c r="C12851" s="1" t="s">
        <v>137</v>
      </c>
      <c r="D12851" s="3">
        <f t="shared" ref="D12851:D12883" si="2062">VALUE("7067")</f>
        <v>7067</v>
      </c>
      <c r="E12851" s="2">
        <f t="shared" ref="E12851:E12883" si="2063">DATEVALUE("1-6-2010")</f>
        <v>40330</v>
      </c>
      <c r="F12851" s="2">
        <f t="shared" ref="F12851:F12883" si="2064">DATEVALUE("30-6-2015")</f>
        <v>42185</v>
      </c>
    </row>
    <row r="12852" spans="1:6" x14ac:dyDescent="0.25">
      <c r="A12852" s="1" t="s">
        <v>679</v>
      </c>
      <c r="B12852" s="1" t="s">
        <v>1695</v>
      </c>
      <c r="C12852" s="1" t="s">
        <v>85</v>
      </c>
      <c r="D12852" s="3">
        <f t="shared" si="2062"/>
        <v>7067</v>
      </c>
      <c r="E12852" s="2">
        <f t="shared" si="2063"/>
        <v>40330</v>
      </c>
      <c r="F12852" s="2">
        <f t="shared" si="2064"/>
        <v>42185</v>
      </c>
    </row>
    <row r="12853" spans="1:6" x14ac:dyDescent="0.25">
      <c r="A12853" s="1" t="s">
        <v>679</v>
      </c>
      <c r="B12853" s="1" t="s">
        <v>1695</v>
      </c>
      <c r="C12853" s="1" t="s">
        <v>84</v>
      </c>
      <c r="D12853" s="3">
        <f t="shared" si="2062"/>
        <v>7067</v>
      </c>
      <c r="E12853" s="2">
        <f t="shared" si="2063"/>
        <v>40330</v>
      </c>
      <c r="F12853" s="2">
        <f t="shared" si="2064"/>
        <v>42185</v>
      </c>
    </row>
    <row r="12854" spans="1:6" x14ac:dyDescent="0.25">
      <c r="A12854" s="1" t="s">
        <v>679</v>
      </c>
      <c r="B12854" s="1" t="s">
        <v>1695</v>
      </c>
      <c r="C12854" s="1" t="s">
        <v>45</v>
      </c>
      <c r="D12854" s="3">
        <f t="shared" si="2062"/>
        <v>7067</v>
      </c>
      <c r="E12854" s="2">
        <f t="shared" si="2063"/>
        <v>40330</v>
      </c>
      <c r="F12854" s="2">
        <f t="shared" si="2064"/>
        <v>42185</v>
      </c>
    </row>
    <row r="12855" spans="1:6" x14ac:dyDescent="0.25">
      <c r="A12855" s="1" t="s">
        <v>679</v>
      </c>
      <c r="B12855" s="1" t="s">
        <v>1695</v>
      </c>
      <c r="C12855" s="1" t="s">
        <v>863</v>
      </c>
      <c r="D12855" s="3">
        <f t="shared" si="2062"/>
        <v>7067</v>
      </c>
      <c r="E12855" s="2">
        <f t="shared" si="2063"/>
        <v>40330</v>
      </c>
      <c r="F12855" s="2">
        <f t="shared" si="2064"/>
        <v>42185</v>
      </c>
    </row>
    <row r="12856" spans="1:6" x14ac:dyDescent="0.25">
      <c r="A12856" s="1" t="s">
        <v>679</v>
      </c>
      <c r="B12856" s="1" t="s">
        <v>1695</v>
      </c>
      <c r="C12856" s="1" t="s">
        <v>46</v>
      </c>
      <c r="D12856" s="3">
        <f t="shared" si="2062"/>
        <v>7067</v>
      </c>
      <c r="E12856" s="2">
        <f t="shared" si="2063"/>
        <v>40330</v>
      </c>
      <c r="F12856" s="2">
        <f t="shared" si="2064"/>
        <v>42185</v>
      </c>
    </row>
    <row r="12857" spans="1:6" x14ac:dyDescent="0.25">
      <c r="A12857" s="1" t="s">
        <v>679</v>
      </c>
      <c r="B12857" s="1" t="s">
        <v>1695</v>
      </c>
      <c r="C12857" s="1" t="s">
        <v>14</v>
      </c>
      <c r="D12857" s="3">
        <f t="shared" si="2062"/>
        <v>7067</v>
      </c>
      <c r="E12857" s="2">
        <f t="shared" si="2063"/>
        <v>40330</v>
      </c>
      <c r="F12857" s="2">
        <f t="shared" si="2064"/>
        <v>42185</v>
      </c>
    </row>
    <row r="12858" spans="1:6" x14ac:dyDescent="0.25">
      <c r="A12858" s="1" t="s">
        <v>679</v>
      </c>
      <c r="B12858" s="1" t="s">
        <v>1695</v>
      </c>
      <c r="C12858" s="1" t="s">
        <v>66</v>
      </c>
      <c r="D12858" s="3">
        <f t="shared" si="2062"/>
        <v>7067</v>
      </c>
      <c r="E12858" s="2">
        <f t="shared" si="2063"/>
        <v>40330</v>
      </c>
      <c r="F12858" s="2">
        <f t="shared" si="2064"/>
        <v>42185</v>
      </c>
    </row>
    <row r="12859" spans="1:6" x14ac:dyDescent="0.25">
      <c r="A12859" s="1" t="s">
        <v>679</v>
      </c>
      <c r="B12859" s="1" t="s">
        <v>1695</v>
      </c>
      <c r="C12859" s="1" t="s">
        <v>15</v>
      </c>
      <c r="D12859" s="3">
        <f t="shared" si="2062"/>
        <v>7067</v>
      </c>
      <c r="E12859" s="2">
        <f t="shared" si="2063"/>
        <v>40330</v>
      </c>
      <c r="F12859" s="2">
        <f t="shared" si="2064"/>
        <v>42185</v>
      </c>
    </row>
    <row r="12860" spans="1:6" x14ac:dyDescent="0.25">
      <c r="A12860" s="1" t="s">
        <v>679</v>
      </c>
      <c r="B12860" s="1" t="s">
        <v>1695</v>
      </c>
      <c r="C12860" s="1" t="s">
        <v>88</v>
      </c>
      <c r="D12860" s="3">
        <f t="shared" si="2062"/>
        <v>7067</v>
      </c>
      <c r="E12860" s="2">
        <f t="shared" si="2063"/>
        <v>40330</v>
      </c>
      <c r="F12860" s="2">
        <f t="shared" si="2064"/>
        <v>42185</v>
      </c>
    </row>
    <row r="12861" spans="1:6" x14ac:dyDescent="0.25">
      <c r="A12861" s="1" t="s">
        <v>679</v>
      </c>
      <c r="B12861" s="1" t="s">
        <v>1695</v>
      </c>
      <c r="C12861" s="1" t="s">
        <v>17</v>
      </c>
      <c r="D12861" s="3">
        <f t="shared" si="2062"/>
        <v>7067</v>
      </c>
      <c r="E12861" s="2">
        <f t="shared" si="2063"/>
        <v>40330</v>
      </c>
      <c r="F12861" s="2">
        <f t="shared" si="2064"/>
        <v>42185</v>
      </c>
    </row>
    <row r="12862" spans="1:6" x14ac:dyDescent="0.25">
      <c r="A12862" s="1" t="s">
        <v>679</v>
      </c>
      <c r="B12862" s="1" t="s">
        <v>1695</v>
      </c>
      <c r="C12862" s="1" t="s">
        <v>91</v>
      </c>
      <c r="D12862" s="3">
        <f t="shared" si="2062"/>
        <v>7067</v>
      </c>
      <c r="E12862" s="2">
        <f t="shared" si="2063"/>
        <v>40330</v>
      </c>
      <c r="F12862" s="2">
        <f t="shared" si="2064"/>
        <v>42185</v>
      </c>
    </row>
    <row r="12863" spans="1:6" x14ac:dyDescent="0.25">
      <c r="A12863" s="1" t="s">
        <v>679</v>
      </c>
      <c r="B12863" s="1" t="s">
        <v>1695</v>
      </c>
      <c r="C12863" s="1" t="s">
        <v>22</v>
      </c>
      <c r="D12863" s="3">
        <f t="shared" si="2062"/>
        <v>7067</v>
      </c>
      <c r="E12863" s="2">
        <f t="shared" si="2063"/>
        <v>40330</v>
      </c>
      <c r="F12863" s="2">
        <f t="shared" si="2064"/>
        <v>42185</v>
      </c>
    </row>
    <row r="12864" spans="1:6" x14ac:dyDescent="0.25">
      <c r="A12864" s="1" t="s">
        <v>679</v>
      </c>
      <c r="B12864" s="1" t="s">
        <v>1695</v>
      </c>
      <c r="C12864" s="1" t="s">
        <v>148</v>
      </c>
      <c r="D12864" s="3">
        <f t="shared" si="2062"/>
        <v>7067</v>
      </c>
      <c r="E12864" s="2">
        <f t="shared" si="2063"/>
        <v>40330</v>
      </c>
      <c r="F12864" s="2">
        <f t="shared" si="2064"/>
        <v>42185</v>
      </c>
    </row>
    <row r="12865" spans="1:6" x14ac:dyDescent="0.25">
      <c r="A12865" s="1" t="s">
        <v>679</v>
      </c>
      <c r="B12865" s="1" t="s">
        <v>1695</v>
      </c>
      <c r="C12865" s="1" t="s">
        <v>149</v>
      </c>
      <c r="D12865" s="3">
        <f t="shared" si="2062"/>
        <v>7067</v>
      </c>
      <c r="E12865" s="2">
        <f t="shared" si="2063"/>
        <v>40330</v>
      </c>
      <c r="F12865" s="2">
        <f t="shared" si="2064"/>
        <v>42185</v>
      </c>
    </row>
    <row r="12866" spans="1:6" x14ac:dyDescent="0.25">
      <c r="A12866" s="1" t="s">
        <v>679</v>
      </c>
      <c r="B12866" s="1" t="s">
        <v>1695</v>
      </c>
      <c r="C12866" s="1" t="s">
        <v>48</v>
      </c>
      <c r="D12866" s="3">
        <f t="shared" si="2062"/>
        <v>7067</v>
      </c>
      <c r="E12866" s="2">
        <f t="shared" si="2063"/>
        <v>40330</v>
      </c>
      <c r="F12866" s="2">
        <f t="shared" si="2064"/>
        <v>42185</v>
      </c>
    </row>
    <row r="12867" spans="1:6" x14ac:dyDescent="0.25">
      <c r="A12867" s="1" t="s">
        <v>679</v>
      </c>
      <c r="B12867" s="1" t="s">
        <v>1695</v>
      </c>
      <c r="C12867" s="1" t="s">
        <v>93</v>
      </c>
      <c r="D12867" s="3">
        <f t="shared" si="2062"/>
        <v>7067</v>
      </c>
      <c r="E12867" s="2">
        <f t="shared" si="2063"/>
        <v>40330</v>
      </c>
      <c r="F12867" s="2">
        <f t="shared" si="2064"/>
        <v>42185</v>
      </c>
    </row>
    <row r="12868" spans="1:6" x14ac:dyDescent="0.25">
      <c r="A12868" s="1" t="s">
        <v>679</v>
      </c>
      <c r="B12868" s="1" t="s">
        <v>1695</v>
      </c>
      <c r="C12868" s="1" t="s">
        <v>24</v>
      </c>
      <c r="D12868" s="3">
        <f t="shared" si="2062"/>
        <v>7067</v>
      </c>
      <c r="E12868" s="2">
        <f t="shared" si="2063"/>
        <v>40330</v>
      </c>
      <c r="F12868" s="2">
        <f t="shared" si="2064"/>
        <v>42185</v>
      </c>
    </row>
    <row r="12869" spans="1:6" x14ac:dyDescent="0.25">
      <c r="A12869" s="1" t="s">
        <v>679</v>
      </c>
      <c r="B12869" s="1" t="s">
        <v>1695</v>
      </c>
      <c r="C12869" s="1" t="s">
        <v>25</v>
      </c>
      <c r="D12869" s="3">
        <f t="shared" si="2062"/>
        <v>7067</v>
      </c>
      <c r="E12869" s="2">
        <f t="shared" si="2063"/>
        <v>40330</v>
      </c>
      <c r="F12869" s="2">
        <f t="shared" si="2064"/>
        <v>42185</v>
      </c>
    </row>
    <row r="12870" spans="1:6" x14ac:dyDescent="0.25">
      <c r="A12870" s="1" t="s">
        <v>679</v>
      </c>
      <c r="B12870" s="1" t="s">
        <v>1695</v>
      </c>
      <c r="C12870" s="1" t="s">
        <v>102</v>
      </c>
      <c r="D12870" s="3">
        <f t="shared" si="2062"/>
        <v>7067</v>
      </c>
      <c r="E12870" s="2">
        <f t="shared" si="2063"/>
        <v>40330</v>
      </c>
      <c r="F12870" s="2">
        <f t="shared" si="2064"/>
        <v>42185</v>
      </c>
    </row>
    <row r="12871" spans="1:6" x14ac:dyDescent="0.25">
      <c r="A12871" s="1" t="s">
        <v>679</v>
      </c>
      <c r="B12871" s="1" t="s">
        <v>1695</v>
      </c>
      <c r="C12871" s="1" t="s">
        <v>103</v>
      </c>
      <c r="D12871" s="3">
        <f t="shared" si="2062"/>
        <v>7067</v>
      </c>
      <c r="E12871" s="2">
        <f t="shared" si="2063"/>
        <v>40330</v>
      </c>
      <c r="F12871" s="2">
        <f t="shared" si="2064"/>
        <v>42185</v>
      </c>
    </row>
    <row r="12872" spans="1:6" x14ac:dyDescent="0.25">
      <c r="A12872" s="1" t="s">
        <v>679</v>
      </c>
      <c r="B12872" s="1" t="s">
        <v>1695</v>
      </c>
      <c r="C12872" s="1" t="s">
        <v>216</v>
      </c>
      <c r="D12872" s="3">
        <f t="shared" si="2062"/>
        <v>7067</v>
      </c>
      <c r="E12872" s="2">
        <f t="shared" si="2063"/>
        <v>40330</v>
      </c>
      <c r="F12872" s="2">
        <f t="shared" si="2064"/>
        <v>42185</v>
      </c>
    </row>
    <row r="12873" spans="1:6" x14ac:dyDescent="0.25">
      <c r="A12873" s="1" t="s">
        <v>679</v>
      </c>
      <c r="B12873" s="1" t="s">
        <v>1695</v>
      </c>
      <c r="C12873" s="1" t="s">
        <v>51</v>
      </c>
      <c r="D12873" s="3">
        <f t="shared" si="2062"/>
        <v>7067</v>
      </c>
      <c r="E12873" s="2">
        <f t="shared" si="2063"/>
        <v>40330</v>
      </c>
      <c r="F12873" s="2">
        <f t="shared" si="2064"/>
        <v>42185</v>
      </c>
    </row>
    <row r="12874" spans="1:6" x14ac:dyDescent="0.25">
      <c r="A12874" s="1" t="s">
        <v>679</v>
      </c>
      <c r="B12874" s="1" t="s">
        <v>1695</v>
      </c>
      <c r="C12874" s="1" t="s">
        <v>121</v>
      </c>
      <c r="D12874" s="3">
        <f t="shared" si="2062"/>
        <v>7067</v>
      </c>
      <c r="E12874" s="2">
        <f t="shared" si="2063"/>
        <v>40330</v>
      </c>
      <c r="F12874" s="2">
        <f t="shared" si="2064"/>
        <v>42185</v>
      </c>
    </row>
    <row r="12875" spans="1:6" x14ac:dyDescent="0.25">
      <c r="A12875" s="1" t="s">
        <v>679</v>
      </c>
      <c r="B12875" s="1" t="s">
        <v>1695</v>
      </c>
      <c r="C12875" s="1" t="s">
        <v>53</v>
      </c>
      <c r="D12875" s="3">
        <f t="shared" si="2062"/>
        <v>7067</v>
      </c>
      <c r="E12875" s="2">
        <f t="shared" si="2063"/>
        <v>40330</v>
      </c>
      <c r="F12875" s="2">
        <f t="shared" si="2064"/>
        <v>42185</v>
      </c>
    </row>
    <row r="12876" spans="1:6" x14ac:dyDescent="0.25">
      <c r="A12876" s="1" t="s">
        <v>679</v>
      </c>
      <c r="B12876" s="1" t="s">
        <v>1695</v>
      </c>
      <c r="C12876" s="1" t="s">
        <v>890</v>
      </c>
      <c r="D12876" s="3">
        <f t="shared" si="2062"/>
        <v>7067</v>
      </c>
      <c r="E12876" s="2">
        <f t="shared" si="2063"/>
        <v>40330</v>
      </c>
      <c r="F12876" s="2">
        <f t="shared" si="2064"/>
        <v>42185</v>
      </c>
    </row>
    <row r="12877" spans="1:6" x14ac:dyDescent="0.25">
      <c r="A12877" s="1" t="s">
        <v>679</v>
      </c>
      <c r="B12877" s="1" t="s">
        <v>1695</v>
      </c>
      <c r="C12877" s="1" t="s">
        <v>34</v>
      </c>
      <c r="D12877" s="3">
        <f t="shared" si="2062"/>
        <v>7067</v>
      </c>
      <c r="E12877" s="2">
        <f t="shared" si="2063"/>
        <v>40330</v>
      </c>
      <c r="F12877" s="2">
        <f t="shared" si="2064"/>
        <v>42185</v>
      </c>
    </row>
    <row r="12878" spans="1:6" x14ac:dyDescent="0.25">
      <c r="A12878" s="1" t="s">
        <v>679</v>
      </c>
      <c r="B12878" s="1" t="s">
        <v>1695</v>
      </c>
      <c r="C12878" s="1" t="s">
        <v>359</v>
      </c>
      <c r="D12878" s="3">
        <f t="shared" si="2062"/>
        <v>7067</v>
      </c>
      <c r="E12878" s="2">
        <f t="shared" si="2063"/>
        <v>40330</v>
      </c>
      <c r="F12878" s="2">
        <f t="shared" si="2064"/>
        <v>42185</v>
      </c>
    </row>
    <row r="12879" spans="1:6" x14ac:dyDescent="0.25">
      <c r="A12879" s="1" t="s">
        <v>679</v>
      </c>
      <c r="B12879" s="1" t="s">
        <v>1695</v>
      </c>
      <c r="C12879" s="1" t="s">
        <v>307</v>
      </c>
      <c r="D12879" s="3">
        <f t="shared" si="2062"/>
        <v>7067</v>
      </c>
      <c r="E12879" s="2">
        <f t="shared" si="2063"/>
        <v>40330</v>
      </c>
      <c r="F12879" s="2">
        <f t="shared" si="2064"/>
        <v>42185</v>
      </c>
    </row>
    <row r="12880" spans="1:6" x14ac:dyDescent="0.25">
      <c r="A12880" s="1" t="s">
        <v>679</v>
      </c>
      <c r="B12880" s="1" t="s">
        <v>1695</v>
      </c>
      <c r="C12880" s="1" t="s">
        <v>310</v>
      </c>
      <c r="D12880" s="3">
        <f t="shared" si="2062"/>
        <v>7067</v>
      </c>
      <c r="E12880" s="2">
        <f t="shared" si="2063"/>
        <v>40330</v>
      </c>
      <c r="F12880" s="2">
        <f t="shared" si="2064"/>
        <v>42185</v>
      </c>
    </row>
    <row r="12881" spans="1:6" x14ac:dyDescent="0.25">
      <c r="A12881" s="1" t="s">
        <v>679</v>
      </c>
      <c r="B12881" s="1" t="s">
        <v>1695</v>
      </c>
      <c r="C12881" s="1" t="s">
        <v>308</v>
      </c>
      <c r="D12881" s="3">
        <f t="shared" si="2062"/>
        <v>7067</v>
      </c>
      <c r="E12881" s="2">
        <f t="shared" si="2063"/>
        <v>40330</v>
      </c>
      <c r="F12881" s="2">
        <f t="shared" si="2064"/>
        <v>42185</v>
      </c>
    </row>
    <row r="12882" spans="1:6" x14ac:dyDescent="0.25">
      <c r="A12882" s="1" t="s">
        <v>679</v>
      </c>
      <c r="B12882" s="1" t="s">
        <v>1695</v>
      </c>
      <c r="C12882" s="1" t="s">
        <v>1483</v>
      </c>
      <c r="D12882" s="3">
        <f t="shared" si="2062"/>
        <v>7067</v>
      </c>
      <c r="E12882" s="2">
        <f t="shared" si="2063"/>
        <v>40330</v>
      </c>
      <c r="F12882" s="2">
        <f t="shared" si="2064"/>
        <v>42185</v>
      </c>
    </row>
    <row r="12883" spans="1:6" x14ac:dyDescent="0.25">
      <c r="A12883" s="1" t="s">
        <v>679</v>
      </c>
      <c r="B12883" s="1" t="s">
        <v>1695</v>
      </c>
      <c r="C12883" s="1" t="s">
        <v>164</v>
      </c>
      <c r="D12883" s="3">
        <f t="shared" si="2062"/>
        <v>7067</v>
      </c>
      <c r="E12883" s="2">
        <f t="shared" si="2063"/>
        <v>40330</v>
      </c>
      <c r="F12883" s="2">
        <f t="shared" si="2064"/>
        <v>42185</v>
      </c>
    </row>
    <row r="12884" spans="1:6" x14ac:dyDescent="0.25">
      <c r="A12884" s="1" t="s">
        <v>189</v>
      </c>
      <c r="B12884" s="1" t="s">
        <v>1442</v>
      </c>
      <c r="C12884" s="1" t="s">
        <v>924</v>
      </c>
      <c r="D12884" s="3">
        <f>VALUE("8656")</f>
        <v>8656</v>
      </c>
      <c r="E12884" s="2">
        <f t="shared" ref="E12884:E12889" si="2065">DATEVALUE("1-4-2020")</f>
        <v>43922</v>
      </c>
      <c r="F12884" s="2">
        <f>DATEVALUE("31-1-2021")</f>
        <v>44227</v>
      </c>
    </row>
    <row r="12885" spans="1:6" x14ac:dyDescent="0.25">
      <c r="A12885" s="1" t="s">
        <v>189</v>
      </c>
      <c r="B12885" s="1" t="s">
        <v>1501</v>
      </c>
      <c r="C12885" s="1" t="s">
        <v>499</v>
      </c>
      <c r="D12885" s="3">
        <f>VALUE("8701")</f>
        <v>8701</v>
      </c>
      <c r="E12885" s="2">
        <f t="shared" si="2065"/>
        <v>43922</v>
      </c>
      <c r="F12885" s="2">
        <f>DATEVALUE("31-3-2021")</f>
        <v>44286</v>
      </c>
    </row>
    <row r="12886" spans="1:6" x14ac:dyDescent="0.25">
      <c r="A12886" s="1" t="s">
        <v>189</v>
      </c>
      <c r="B12886" s="1" t="s">
        <v>1501</v>
      </c>
      <c r="C12886" s="1" t="s">
        <v>501</v>
      </c>
      <c r="D12886" s="3">
        <f>VALUE("8701")</f>
        <v>8701</v>
      </c>
      <c r="E12886" s="2">
        <f t="shared" si="2065"/>
        <v>43922</v>
      </c>
      <c r="F12886" s="2">
        <f>DATEVALUE("31-3-2021")</f>
        <v>44286</v>
      </c>
    </row>
    <row r="12887" spans="1:6" x14ac:dyDescent="0.25">
      <c r="A12887" s="1" t="s">
        <v>189</v>
      </c>
      <c r="B12887" s="1" t="s">
        <v>1501</v>
      </c>
      <c r="C12887" s="1" t="s">
        <v>286</v>
      </c>
      <c r="D12887" s="3">
        <f>VALUE("8701")</f>
        <v>8701</v>
      </c>
      <c r="E12887" s="2">
        <f t="shared" si="2065"/>
        <v>43922</v>
      </c>
      <c r="F12887" s="2">
        <f>DATEVALUE("31-3-2021")</f>
        <v>44286</v>
      </c>
    </row>
    <row r="12888" spans="1:6" x14ac:dyDescent="0.25">
      <c r="A12888" s="1" t="s">
        <v>189</v>
      </c>
      <c r="B12888" s="1" t="s">
        <v>1501</v>
      </c>
      <c r="C12888" s="1" t="s">
        <v>924</v>
      </c>
      <c r="D12888" s="3">
        <f>VALUE("8701")</f>
        <v>8701</v>
      </c>
      <c r="E12888" s="2">
        <f t="shared" si="2065"/>
        <v>43922</v>
      </c>
      <c r="F12888" s="2">
        <f>DATEVALUE("31-3-2021")</f>
        <v>44286</v>
      </c>
    </row>
    <row r="12889" spans="1:6" x14ac:dyDescent="0.25">
      <c r="A12889" s="1" t="s">
        <v>189</v>
      </c>
      <c r="B12889" s="1" t="s">
        <v>1501</v>
      </c>
      <c r="C12889" s="1" t="s">
        <v>94</v>
      </c>
      <c r="D12889" s="3">
        <f>VALUE("8701")</f>
        <v>8701</v>
      </c>
      <c r="E12889" s="2">
        <f t="shared" si="2065"/>
        <v>43922</v>
      </c>
      <c r="F12889" s="2">
        <f>DATEVALUE("31-3-2021")</f>
        <v>44286</v>
      </c>
    </row>
    <row r="12890" spans="1:6" x14ac:dyDescent="0.25">
      <c r="A12890" s="1" t="s">
        <v>189</v>
      </c>
      <c r="B12890" s="1" t="s">
        <v>1136</v>
      </c>
      <c r="C12890" s="1" t="s">
        <v>17</v>
      </c>
      <c r="D12890" s="3">
        <f>VALUE("8414")</f>
        <v>8414</v>
      </c>
      <c r="E12890" s="2">
        <f>DATEVALUE("1-1-2020")</f>
        <v>43831</v>
      </c>
      <c r="F12890" s="2">
        <f>DATEVALUE("31-10-2020")</f>
        <v>44135</v>
      </c>
    </row>
    <row r="12891" spans="1:6" x14ac:dyDescent="0.25">
      <c r="A12891" s="1" t="s">
        <v>189</v>
      </c>
      <c r="B12891" s="1" t="s">
        <v>1136</v>
      </c>
      <c r="C12891" s="1" t="s">
        <v>573</v>
      </c>
      <c r="D12891" s="3">
        <f>VALUE("8414")</f>
        <v>8414</v>
      </c>
      <c r="E12891" s="2">
        <f>DATEVALUE("1-1-2020")</f>
        <v>43831</v>
      </c>
      <c r="F12891" s="2">
        <f>DATEVALUE("31-10-2020")</f>
        <v>44135</v>
      </c>
    </row>
    <row r="12892" spans="1:6" x14ac:dyDescent="0.25">
      <c r="A12892" s="1" t="s">
        <v>189</v>
      </c>
      <c r="B12892" s="1" t="s">
        <v>1349</v>
      </c>
      <c r="C12892" s="1" t="s">
        <v>286</v>
      </c>
      <c r="D12892" s="3">
        <f>VALUE("8583")</f>
        <v>8583</v>
      </c>
      <c r="E12892" s="2">
        <f t="shared" ref="E12892:E12908" si="2066">DATEVALUE("1-10-2019")</f>
        <v>43739</v>
      </c>
      <c r="F12892" s="2">
        <f>DATEVALUE("28-2-2022")</f>
        <v>44620</v>
      </c>
    </row>
    <row r="12893" spans="1:6" x14ac:dyDescent="0.25">
      <c r="A12893" s="1" t="s">
        <v>189</v>
      </c>
      <c r="B12893" s="1" t="s">
        <v>1349</v>
      </c>
      <c r="C12893" s="1" t="s">
        <v>924</v>
      </c>
      <c r="D12893" s="3">
        <f>VALUE("8583")</f>
        <v>8583</v>
      </c>
      <c r="E12893" s="2">
        <f t="shared" si="2066"/>
        <v>43739</v>
      </c>
      <c r="F12893" s="2">
        <f>DATEVALUE("28-2-2022")</f>
        <v>44620</v>
      </c>
    </row>
    <row r="12894" spans="1:6" x14ac:dyDescent="0.25">
      <c r="A12894" s="1" t="s">
        <v>189</v>
      </c>
      <c r="B12894" s="1" t="s">
        <v>1378</v>
      </c>
      <c r="C12894" s="1" t="s">
        <v>7</v>
      </c>
      <c r="D12894" s="3">
        <f t="shared" ref="D12894:D12908" si="2067">VALUE("8605")</f>
        <v>8605</v>
      </c>
      <c r="E12894" s="2">
        <f t="shared" si="2066"/>
        <v>43739</v>
      </c>
      <c r="F12894" s="2">
        <f t="shared" ref="F12894:F12908" si="2068">DATEVALUE("30-9-2021")</f>
        <v>44469</v>
      </c>
    </row>
    <row r="12895" spans="1:6" x14ac:dyDescent="0.25">
      <c r="A12895" s="1" t="s">
        <v>189</v>
      </c>
      <c r="B12895" s="1" t="s">
        <v>1378</v>
      </c>
      <c r="C12895" s="1" t="s">
        <v>15</v>
      </c>
      <c r="D12895" s="3">
        <f t="shared" si="2067"/>
        <v>8605</v>
      </c>
      <c r="E12895" s="2">
        <f t="shared" si="2066"/>
        <v>43739</v>
      </c>
      <c r="F12895" s="2">
        <f t="shared" si="2068"/>
        <v>44469</v>
      </c>
    </row>
    <row r="12896" spans="1:6" x14ac:dyDescent="0.25">
      <c r="A12896" s="1" t="s">
        <v>189</v>
      </c>
      <c r="B12896" s="1" t="s">
        <v>1378</v>
      </c>
      <c r="C12896" s="1" t="s">
        <v>17</v>
      </c>
      <c r="D12896" s="3">
        <f t="shared" si="2067"/>
        <v>8605</v>
      </c>
      <c r="E12896" s="2">
        <f t="shared" si="2066"/>
        <v>43739</v>
      </c>
      <c r="F12896" s="2">
        <f t="shared" si="2068"/>
        <v>44469</v>
      </c>
    </row>
    <row r="12897" spans="1:6" x14ac:dyDescent="0.25">
      <c r="A12897" s="1" t="s">
        <v>189</v>
      </c>
      <c r="B12897" s="1" t="s">
        <v>1378</v>
      </c>
      <c r="C12897" s="1" t="s">
        <v>442</v>
      </c>
      <c r="D12897" s="3">
        <f t="shared" si="2067"/>
        <v>8605</v>
      </c>
      <c r="E12897" s="2">
        <f t="shared" si="2066"/>
        <v>43739</v>
      </c>
      <c r="F12897" s="2">
        <f t="shared" si="2068"/>
        <v>44469</v>
      </c>
    </row>
    <row r="12898" spans="1:6" x14ac:dyDescent="0.25">
      <c r="A12898" s="1" t="s">
        <v>189</v>
      </c>
      <c r="B12898" s="1" t="s">
        <v>1378</v>
      </c>
      <c r="C12898" s="1" t="s">
        <v>22</v>
      </c>
      <c r="D12898" s="3">
        <f t="shared" si="2067"/>
        <v>8605</v>
      </c>
      <c r="E12898" s="2">
        <f t="shared" si="2066"/>
        <v>43739</v>
      </c>
      <c r="F12898" s="2">
        <f t="shared" si="2068"/>
        <v>44469</v>
      </c>
    </row>
    <row r="12899" spans="1:6" x14ac:dyDescent="0.25">
      <c r="A12899" s="1" t="s">
        <v>189</v>
      </c>
      <c r="B12899" s="1" t="s">
        <v>1378</v>
      </c>
      <c r="C12899" s="1" t="s">
        <v>146</v>
      </c>
      <c r="D12899" s="3">
        <f t="shared" si="2067"/>
        <v>8605</v>
      </c>
      <c r="E12899" s="2">
        <f t="shared" si="2066"/>
        <v>43739</v>
      </c>
      <c r="F12899" s="2">
        <f t="shared" si="2068"/>
        <v>44469</v>
      </c>
    </row>
    <row r="12900" spans="1:6" x14ac:dyDescent="0.25">
      <c r="A12900" s="1" t="s">
        <v>189</v>
      </c>
      <c r="B12900" s="1" t="s">
        <v>1378</v>
      </c>
      <c r="C12900" s="1" t="s">
        <v>67</v>
      </c>
      <c r="D12900" s="3">
        <f t="shared" si="2067"/>
        <v>8605</v>
      </c>
      <c r="E12900" s="2">
        <f t="shared" si="2066"/>
        <v>43739</v>
      </c>
      <c r="F12900" s="2">
        <f t="shared" si="2068"/>
        <v>44469</v>
      </c>
    </row>
    <row r="12901" spans="1:6" x14ac:dyDescent="0.25">
      <c r="A12901" s="1" t="s">
        <v>189</v>
      </c>
      <c r="B12901" s="1" t="s">
        <v>1378</v>
      </c>
      <c r="C12901" s="1" t="s">
        <v>149</v>
      </c>
      <c r="D12901" s="3">
        <f t="shared" si="2067"/>
        <v>8605</v>
      </c>
      <c r="E12901" s="2">
        <f t="shared" si="2066"/>
        <v>43739</v>
      </c>
      <c r="F12901" s="2">
        <f t="shared" si="2068"/>
        <v>44469</v>
      </c>
    </row>
    <row r="12902" spans="1:6" x14ac:dyDescent="0.25">
      <c r="A12902" s="1" t="s">
        <v>189</v>
      </c>
      <c r="B12902" s="1" t="s">
        <v>1378</v>
      </c>
      <c r="C12902" s="1" t="s">
        <v>92</v>
      </c>
      <c r="D12902" s="3">
        <f t="shared" si="2067"/>
        <v>8605</v>
      </c>
      <c r="E12902" s="2">
        <f t="shared" si="2066"/>
        <v>43739</v>
      </c>
      <c r="F12902" s="2">
        <f t="shared" si="2068"/>
        <v>44469</v>
      </c>
    </row>
    <row r="12903" spans="1:6" x14ac:dyDescent="0.25">
      <c r="A12903" s="1" t="s">
        <v>189</v>
      </c>
      <c r="B12903" s="1" t="s">
        <v>1378</v>
      </c>
      <c r="C12903" s="1" t="s">
        <v>924</v>
      </c>
      <c r="D12903" s="3">
        <f t="shared" si="2067"/>
        <v>8605</v>
      </c>
      <c r="E12903" s="2">
        <f t="shared" si="2066"/>
        <v>43739</v>
      </c>
      <c r="F12903" s="2">
        <f t="shared" si="2068"/>
        <v>44469</v>
      </c>
    </row>
    <row r="12904" spans="1:6" x14ac:dyDescent="0.25">
      <c r="A12904" s="1" t="s">
        <v>189</v>
      </c>
      <c r="B12904" s="1" t="s">
        <v>1378</v>
      </c>
      <c r="C12904" s="1" t="s">
        <v>73</v>
      </c>
      <c r="D12904" s="3">
        <f t="shared" si="2067"/>
        <v>8605</v>
      </c>
      <c r="E12904" s="2">
        <f t="shared" si="2066"/>
        <v>43739</v>
      </c>
      <c r="F12904" s="2">
        <f t="shared" si="2068"/>
        <v>44469</v>
      </c>
    </row>
    <row r="12905" spans="1:6" x14ac:dyDescent="0.25">
      <c r="A12905" s="1" t="s">
        <v>189</v>
      </c>
      <c r="B12905" s="1" t="s">
        <v>1378</v>
      </c>
      <c r="C12905" s="1" t="s">
        <v>52</v>
      </c>
      <c r="D12905" s="3">
        <f t="shared" si="2067"/>
        <v>8605</v>
      </c>
      <c r="E12905" s="2">
        <f t="shared" si="2066"/>
        <v>43739</v>
      </c>
      <c r="F12905" s="2">
        <f t="shared" si="2068"/>
        <v>44469</v>
      </c>
    </row>
    <row r="12906" spans="1:6" x14ac:dyDescent="0.25">
      <c r="A12906" s="1" t="s">
        <v>189</v>
      </c>
      <c r="B12906" s="1" t="s">
        <v>1378</v>
      </c>
      <c r="C12906" s="1" t="s">
        <v>160</v>
      </c>
      <c r="D12906" s="3">
        <f t="shared" si="2067"/>
        <v>8605</v>
      </c>
      <c r="E12906" s="2">
        <f t="shared" si="2066"/>
        <v>43739</v>
      </c>
      <c r="F12906" s="2">
        <f t="shared" si="2068"/>
        <v>44469</v>
      </c>
    </row>
    <row r="12907" spans="1:6" x14ac:dyDescent="0.25">
      <c r="A12907" s="1" t="s">
        <v>189</v>
      </c>
      <c r="B12907" s="1" t="s">
        <v>1378</v>
      </c>
      <c r="C12907" s="1" t="s">
        <v>380</v>
      </c>
      <c r="D12907" s="3">
        <f t="shared" si="2067"/>
        <v>8605</v>
      </c>
      <c r="E12907" s="2">
        <f t="shared" si="2066"/>
        <v>43739</v>
      </c>
      <c r="F12907" s="2">
        <f t="shared" si="2068"/>
        <v>44469</v>
      </c>
    </row>
    <row r="12908" spans="1:6" x14ac:dyDescent="0.25">
      <c r="A12908" s="1" t="s">
        <v>189</v>
      </c>
      <c r="B12908" s="1" t="s">
        <v>1378</v>
      </c>
      <c r="C12908" s="1" t="s">
        <v>381</v>
      </c>
      <c r="D12908" s="3">
        <f t="shared" si="2067"/>
        <v>8605</v>
      </c>
      <c r="E12908" s="2">
        <f t="shared" si="2066"/>
        <v>43739</v>
      </c>
      <c r="F12908" s="2">
        <f t="shared" si="2068"/>
        <v>44469</v>
      </c>
    </row>
    <row r="12909" spans="1:6" x14ac:dyDescent="0.25">
      <c r="A12909" s="1" t="s">
        <v>189</v>
      </c>
      <c r="B12909" s="1" t="s">
        <v>1246</v>
      </c>
      <c r="C12909" s="1" t="s">
        <v>85</v>
      </c>
      <c r="D12909" s="3">
        <f>VALUE("8494")</f>
        <v>8494</v>
      </c>
      <c r="E12909" s="2">
        <f>DATEVALUE("1-4-2019")</f>
        <v>43556</v>
      </c>
      <c r="F12909" s="2">
        <f>DATEVALUE("31-5-2021")</f>
        <v>44347</v>
      </c>
    </row>
    <row r="12910" spans="1:6" x14ac:dyDescent="0.25">
      <c r="A12910" s="1" t="s">
        <v>189</v>
      </c>
      <c r="B12910" s="1" t="s">
        <v>1246</v>
      </c>
      <c r="C12910" s="1" t="s">
        <v>84</v>
      </c>
      <c r="D12910" s="3">
        <f>VALUE("8494")</f>
        <v>8494</v>
      </c>
      <c r="E12910" s="2">
        <f>DATEVALUE("1-4-2019")</f>
        <v>43556</v>
      </c>
      <c r="F12910" s="2">
        <f>DATEVALUE("31-5-2021")</f>
        <v>44347</v>
      </c>
    </row>
    <row r="12911" spans="1:6" x14ac:dyDescent="0.25">
      <c r="A12911" s="1" t="s">
        <v>189</v>
      </c>
      <c r="B12911" s="1" t="s">
        <v>1246</v>
      </c>
      <c r="C12911" s="1" t="s">
        <v>924</v>
      </c>
      <c r="D12911" s="3">
        <f>VALUE("8494")</f>
        <v>8494</v>
      </c>
      <c r="E12911" s="2">
        <f>DATEVALUE("1-4-2019")</f>
        <v>43556</v>
      </c>
      <c r="F12911" s="2">
        <f>DATEVALUE("31-5-2021")</f>
        <v>44347</v>
      </c>
    </row>
    <row r="12912" spans="1:6" x14ac:dyDescent="0.25">
      <c r="A12912" s="1" t="s">
        <v>189</v>
      </c>
      <c r="B12912" s="1" t="s">
        <v>1246</v>
      </c>
      <c r="C12912" s="1" t="s">
        <v>573</v>
      </c>
      <c r="D12912" s="3">
        <f>VALUE("8494")</f>
        <v>8494</v>
      </c>
      <c r="E12912" s="2">
        <f>DATEVALUE("1-4-2019")</f>
        <v>43556</v>
      </c>
      <c r="F12912" s="2">
        <f>DATEVALUE("31-5-2021")</f>
        <v>44347</v>
      </c>
    </row>
    <row r="12913" spans="1:6" x14ac:dyDescent="0.25">
      <c r="A12913" s="1" t="s">
        <v>189</v>
      </c>
      <c r="B12913" s="1" t="s">
        <v>1163</v>
      </c>
      <c r="C12913" s="1" t="s">
        <v>286</v>
      </c>
      <c r="D12913" s="3">
        <f>VALUE("8434")</f>
        <v>8434</v>
      </c>
      <c r="E12913" s="2">
        <f>DATEVALUE("1-2-2019")</f>
        <v>43497</v>
      </c>
      <c r="F12913" s="2">
        <f>DATEVALUE("31-1-2021")</f>
        <v>44227</v>
      </c>
    </row>
    <row r="12914" spans="1:6" x14ac:dyDescent="0.25">
      <c r="A12914" s="1" t="s">
        <v>189</v>
      </c>
      <c r="B12914" s="1" t="s">
        <v>1163</v>
      </c>
      <c r="C12914" s="1" t="s">
        <v>924</v>
      </c>
      <c r="D12914" s="3">
        <f>VALUE("8434")</f>
        <v>8434</v>
      </c>
      <c r="E12914" s="2">
        <f>DATEVALUE("1-2-2019")</f>
        <v>43497</v>
      </c>
      <c r="F12914" s="2">
        <f>DATEVALUE("31-1-2021")</f>
        <v>44227</v>
      </c>
    </row>
    <row r="12915" spans="1:6" x14ac:dyDescent="0.25">
      <c r="A12915" s="1" t="s">
        <v>189</v>
      </c>
      <c r="B12915" s="1" t="s">
        <v>1134</v>
      </c>
      <c r="C12915" s="1" t="s">
        <v>286</v>
      </c>
      <c r="D12915" s="3">
        <f>VALUE("8411")</f>
        <v>8411</v>
      </c>
      <c r="E12915" s="2">
        <f>DATEVALUE("1-1-2019")</f>
        <v>43466</v>
      </c>
      <c r="F12915" s="2">
        <f>DATEVALUE("30-11-2020")</f>
        <v>44165</v>
      </c>
    </row>
    <row r="12916" spans="1:6" x14ac:dyDescent="0.25">
      <c r="A12916" s="1" t="s">
        <v>189</v>
      </c>
      <c r="B12916" s="1" t="s">
        <v>1005</v>
      </c>
      <c r="C12916" s="1" t="s">
        <v>14</v>
      </c>
      <c r="D12916" s="3">
        <f t="shared" ref="D12916:D12926" si="2069">VALUE("8288")</f>
        <v>8288</v>
      </c>
      <c r="E12916" s="2">
        <f t="shared" ref="E12916:E12926" si="2070">DATEVALUE("1-7-2018")</f>
        <v>43282</v>
      </c>
      <c r="F12916" s="2">
        <f t="shared" ref="F12916:F12926" si="2071">DATEVALUE("31-12-2020")</f>
        <v>44196</v>
      </c>
    </row>
    <row r="12917" spans="1:6" x14ac:dyDescent="0.25">
      <c r="A12917" s="1" t="s">
        <v>189</v>
      </c>
      <c r="B12917" s="1" t="s">
        <v>1005</v>
      </c>
      <c r="C12917" s="1" t="s">
        <v>15</v>
      </c>
      <c r="D12917" s="3">
        <f t="shared" si="2069"/>
        <v>8288</v>
      </c>
      <c r="E12917" s="2">
        <f t="shared" si="2070"/>
        <v>43282</v>
      </c>
      <c r="F12917" s="2">
        <f t="shared" si="2071"/>
        <v>44196</v>
      </c>
    </row>
    <row r="12918" spans="1:6" x14ac:dyDescent="0.25">
      <c r="A12918" s="1" t="s">
        <v>189</v>
      </c>
      <c r="B12918" s="1" t="s">
        <v>1005</v>
      </c>
      <c r="C12918" s="1" t="s">
        <v>89</v>
      </c>
      <c r="D12918" s="3">
        <f t="shared" si="2069"/>
        <v>8288</v>
      </c>
      <c r="E12918" s="2">
        <f t="shared" si="2070"/>
        <v>43282</v>
      </c>
      <c r="F12918" s="2">
        <f t="shared" si="2071"/>
        <v>44196</v>
      </c>
    </row>
    <row r="12919" spans="1:6" x14ac:dyDescent="0.25">
      <c r="A12919" s="1" t="s">
        <v>189</v>
      </c>
      <c r="B12919" s="1" t="s">
        <v>1005</v>
      </c>
      <c r="C12919" s="1" t="s">
        <v>22</v>
      </c>
      <c r="D12919" s="3">
        <f t="shared" si="2069"/>
        <v>8288</v>
      </c>
      <c r="E12919" s="2">
        <f t="shared" si="2070"/>
        <v>43282</v>
      </c>
      <c r="F12919" s="2">
        <f t="shared" si="2071"/>
        <v>44196</v>
      </c>
    </row>
    <row r="12920" spans="1:6" x14ac:dyDescent="0.25">
      <c r="A12920" s="1" t="s">
        <v>189</v>
      </c>
      <c r="B12920" s="1" t="s">
        <v>1005</v>
      </c>
      <c r="C12920" s="1" t="s">
        <v>924</v>
      </c>
      <c r="D12920" s="3">
        <f t="shared" si="2069"/>
        <v>8288</v>
      </c>
      <c r="E12920" s="2">
        <f t="shared" si="2070"/>
        <v>43282</v>
      </c>
      <c r="F12920" s="2">
        <f t="shared" si="2071"/>
        <v>44196</v>
      </c>
    </row>
    <row r="12921" spans="1:6" x14ac:dyDescent="0.25">
      <c r="A12921" s="1" t="s">
        <v>189</v>
      </c>
      <c r="B12921" s="1" t="s">
        <v>1005</v>
      </c>
      <c r="C12921" s="1" t="s">
        <v>94</v>
      </c>
      <c r="D12921" s="3">
        <f t="shared" si="2069"/>
        <v>8288</v>
      </c>
      <c r="E12921" s="2">
        <f t="shared" si="2070"/>
        <v>43282</v>
      </c>
      <c r="F12921" s="2">
        <f t="shared" si="2071"/>
        <v>44196</v>
      </c>
    </row>
    <row r="12922" spans="1:6" x14ac:dyDescent="0.25">
      <c r="A12922" s="1" t="s">
        <v>189</v>
      </c>
      <c r="B12922" s="1" t="s">
        <v>1005</v>
      </c>
      <c r="C12922" s="1" t="s">
        <v>72</v>
      </c>
      <c r="D12922" s="3">
        <f t="shared" si="2069"/>
        <v>8288</v>
      </c>
      <c r="E12922" s="2">
        <f t="shared" si="2070"/>
        <v>43282</v>
      </c>
      <c r="F12922" s="2">
        <f t="shared" si="2071"/>
        <v>44196</v>
      </c>
    </row>
    <row r="12923" spans="1:6" x14ac:dyDescent="0.25">
      <c r="A12923" s="1" t="s">
        <v>189</v>
      </c>
      <c r="B12923" s="1" t="s">
        <v>1005</v>
      </c>
      <c r="C12923" s="1" t="s">
        <v>73</v>
      </c>
      <c r="D12923" s="3">
        <f t="shared" si="2069"/>
        <v>8288</v>
      </c>
      <c r="E12923" s="2">
        <f t="shared" si="2070"/>
        <v>43282</v>
      </c>
      <c r="F12923" s="2">
        <f t="shared" si="2071"/>
        <v>44196</v>
      </c>
    </row>
    <row r="12924" spans="1:6" x14ac:dyDescent="0.25">
      <c r="A12924" s="1" t="s">
        <v>189</v>
      </c>
      <c r="B12924" s="1" t="s">
        <v>1005</v>
      </c>
      <c r="C12924" s="1" t="s">
        <v>52</v>
      </c>
      <c r="D12924" s="3">
        <f t="shared" si="2069"/>
        <v>8288</v>
      </c>
      <c r="E12924" s="2">
        <f t="shared" si="2070"/>
        <v>43282</v>
      </c>
      <c r="F12924" s="2">
        <f t="shared" si="2071"/>
        <v>44196</v>
      </c>
    </row>
    <row r="12925" spans="1:6" x14ac:dyDescent="0.25">
      <c r="A12925" s="1" t="s">
        <v>189</v>
      </c>
      <c r="B12925" s="1" t="s">
        <v>1005</v>
      </c>
      <c r="C12925" s="1" t="s">
        <v>837</v>
      </c>
      <c r="D12925" s="3">
        <f t="shared" si="2069"/>
        <v>8288</v>
      </c>
      <c r="E12925" s="2">
        <f t="shared" si="2070"/>
        <v>43282</v>
      </c>
      <c r="F12925" s="2">
        <f t="shared" si="2071"/>
        <v>44196</v>
      </c>
    </row>
    <row r="12926" spans="1:6" x14ac:dyDescent="0.25">
      <c r="A12926" s="1" t="s">
        <v>189</v>
      </c>
      <c r="B12926" s="1" t="s">
        <v>1005</v>
      </c>
      <c r="C12926" s="1" t="s">
        <v>34</v>
      </c>
      <c r="D12926" s="3">
        <f t="shared" si="2069"/>
        <v>8288</v>
      </c>
      <c r="E12926" s="2">
        <f t="shared" si="2070"/>
        <v>43282</v>
      </c>
      <c r="F12926" s="2">
        <f t="shared" si="2071"/>
        <v>44196</v>
      </c>
    </row>
    <row r="12927" spans="1:6" x14ac:dyDescent="0.25">
      <c r="A12927" s="1" t="s">
        <v>189</v>
      </c>
      <c r="B12927" s="1" t="s">
        <v>2319</v>
      </c>
      <c r="C12927" s="1" t="s">
        <v>85</v>
      </c>
      <c r="D12927" s="3">
        <f>VALUE("8163")</f>
        <v>8163</v>
      </c>
      <c r="E12927" s="2">
        <f>DATEVALUE("1-10-2017")</f>
        <v>43009</v>
      </c>
      <c r="F12927" s="2">
        <f>DATEVALUE("30-9-2018")</f>
        <v>43373</v>
      </c>
    </row>
    <row r="12928" spans="1:6" x14ac:dyDescent="0.25">
      <c r="A12928" s="1" t="s">
        <v>189</v>
      </c>
      <c r="B12928" s="1" t="s">
        <v>2319</v>
      </c>
      <c r="C12928" s="1" t="s">
        <v>84</v>
      </c>
      <c r="D12928" s="3">
        <f>VALUE("8163")</f>
        <v>8163</v>
      </c>
      <c r="E12928" s="2">
        <f>DATEVALUE("1-10-2017")</f>
        <v>43009</v>
      </c>
      <c r="F12928" s="2">
        <f>DATEVALUE("30-9-2018")</f>
        <v>43373</v>
      </c>
    </row>
    <row r="12929" spans="1:6" x14ac:dyDescent="0.25">
      <c r="A12929" s="1" t="s">
        <v>189</v>
      </c>
      <c r="B12929" s="1" t="s">
        <v>2319</v>
      </c>
      <c r="C12929" s="1" t="s">
        <v>371</v>
      </c>
      <c r="D12929" s="3">
        <f>VALUE("8163")</f>
        <v>8163</v>
      </c>
      <c r="E12929" s="2">
        <f>DATEVALUE("1-10-2017")</f>
        <v>43009</v>
      </c>
      <c r="F12929" s="2">
        <f>DATEVALUE("30-9-2018")</f>
        <v>43373</v>
      </c>
    </row>
    <row r="12930" spans="1:6" x14ac:dyDescent="0.25">
      <c r="A12930" s="1" t="s">
        <v>189</v>
      </c>
      <c r="B12930" s="1" t="s">
        <v>2755</v>
      </c>
      <c r="C12930" s="1" t="s">
        <v>93</v>
      </c>
      <c r="D12930" s="3">
        <f>VALUE("7573")</f>
        <v>7573</v>
      </c>
      <c r="E12930" s="2">
        <f>DATEVALUE("1-1-2014")</f>
        <v>41640</v>
      </c>
      <c r="F12930" s="2">
        <f>DATEVALUE("30-6-2014")</f>
        <v>41820</v>
      </c>
    </row>
    <row r="12931" spans="1:6" x14ac:dyDescent="0.25">
      <c r="A12931" s="1" t="s">
        <v>189</v>
      </c>
      <c r="B12931" s="1" t="s">
        <v>2755</v>
      </c>
      <c r="C12931" s="1" t="s">
        <v>181</v>
      </c>
      <c r="D12931" s="3">
        <f>VALUE("7573")</f>
        <v>7573</v>
      </c>
      <c r="E12931" s="2">
        <f>DATEVALUE("1-1-2014")</f>
        <v>41640</v>
      </c>
      <c r="F12931" s="2">
        <f>DATEVALUE("30-6-2014")</f>
        <v>41820</v>
      </c>
    </row>
    <row r="12932" spans="1:6" x14ac:dyDescent="0.25">
      <c r="A12932" s="1" t="s">
        <v>189</v>
      </c>
      <c r="B12932" s="1" t="s">
        <v>1911</v>
      </c>
      <c r="C12932" s="1" t="s">
        <v>46</v>
      </c>
      <c r="D12932" s="3">
        <f t="shared" ref="D12932:D12942" si="2072">VALUE("7472")</f>
        <v>7472</v>
      </c>
      <c r="E12932" s="2">
        <f t="shared" ref="E12932:E12942" si="2073">DATEVALUE("1-4-2013")</f>
        <v>41365</v>
      </c>
      <c r="F12932" s="2">
        <f t="shared" ref="F12932:F12942" si="2074">DATEVALUE("30-9-2015")</f>
        <v>42277</v>
      </c>
    </row>
    <row r="12933" spans="1:6" x14ac:dyDescent="0.25">
      <c r="A12933" s="1" t="s">
        <v>189</v>
      </c>
      <c r="B12933" s="1" t="s">
        <v>1911</v>
      </c>
      <c r="C12933" s="1" t="s">
        <v>66</v>
      </c>
      <c r="D12933" s="3">
        <f t="shared" si="2072"/>
        <v>7472</v>
      </c>
      <c r="E12933" s="2">
        <f t="shared" si="2073"/>
        <v>41365</v>
      </c>
      <c r="F12933" s="2">
        <f t="shared" si="2074"/>
        <v>42277</v>
      </c>
    </row>
    <row r="12934" spans="1:6" x14ac:dyDescent="0.25">
      <c r="A12934" s="1" t="s">
        <v>189</v>
      </c>
      <c r="B12934" s="1" t="s">
        <v>1911</v>
      </c>
      <c r="C12934" s="1" t="s">
        <v>15</v>
      </c>
      <c r="D12934" s="3">
        <f t="shared" si="2072"/>
        <v>7472</v>
      </c>
      <c r="E12934" s="2">
        <f t="shared" si="2073"/>
        <v>41365</v>
      </c>
      <c r="F12934" s="2">
        <f t="shared" si="2074"/>
        <v>42277</v>
      </c>
    </row>
    <row r="12935" spans="1:6" x14ac:dyDescent="0.25">
      <c r="A12935" s="1" t="s">
        <v>189</v>
      </c>
      <c r="B12935" s="1" t="s">
        <v>1911</v>
      </c>
      <c r="C12935" s="1" t="s">
        <v>17</v>
      </c>
      <c r="D12935" s="3">
        <f t="shared" si="2072"/>
        <v>7472</v>
      </c>
      <c r="E12935" s="2">
        <f t="shared" si="2073"/>
        <v>41365</v>
      </c>
      <c r="F12935" s="2">
        <f t="shared" si="2074"/>
        <v>42277</v>
      </c>
    </row>
    <row r="12936" spans="1:6" x14ac:dyDescent="0.25">
      <c r="A12936" s="1" t="s">
        <v>189</v>
      </c>
      <c r="B12936" s="1" t="s">
        <v>1911</v>
      </c>
      <c r="C12936" s="1" t="s">
        <v>91</v>
      </c>
      <c r="D12936" s="3">
        <f t="shared" si="2072"/>
        <v>7472</v>
      </c>
      <c r="E12936" s="2">
        <f t="shared" si="2073"/>
        <v>41365</v>
      </c>
      <c r="F12936" s="2">
        <f t="shared" si="2074"/>
        <v>42277</v>
      </c>
    </row>
    <row r="12937" spans="1:6" x14ac:dyDescent="0.25">
      <c r="A12937" s="1" t="s">
        <v>189</v>
      </c>
      <c r="B12937" s="1" t="s">
        <v>1911</v>
      </c>
      <c r="C12937" s="1" t="s">
        <v>22</v>
      </c>
      <c r="D12937" s="3">
        <f t="shared" si="2072"/>
        <v>7472</v>
      </c>
      <c r="E12937" s="2">
        <f t="shared" si="2073"/>
        <v>41365</v>
      </c>
      <c r="F12937" s="2">
        <f t="shared" si="2074"/>
        <v>42277</v>
      </c>
    </row>
    <row r="12938" spans="1:6" x14ac:dyDescent="0.25">
      <c r="A12938" s="1" t="s">
        <v>189</v>
      </c>
      <c r="B12938" s="1" t="s">
        <v>1911</v>
      </c>
      <c r="C12938" s="1" t="s">
        <v>92</v>
      </c>
      <c r="D12938" s="3">
        <f t="shared" si="2072"/>
        <v>7472</v>
      </c>
      <c r="E12938" s="2">
        <f t="shared" si="2073"/>
        <v>41365</v>
      </c>
      <c r="F12938" s="2">
        <f t="shared" si="2074"/>
        <v>42277</v>
      </c>
    </row>
    <row r="12939" spans="1:6" x14ac:dyDescent="0.25">
      <c r="A12939" s="1" t="s">
        <v>189</v>
      </c>
      <c r="B12939" s="1" t="s">
        <v>1911</v>
      </c>
      <c r="C12939" s="1" t="s">
        <v>94</v>
      </c>
      <c r="D12939" s="3">
        <f t="shared" si="2072"/>
        <v>7472</v>
      </c>
      <c r="E12939" s="2">
        <f t="shared" si="2073"/>
        <v>41365</v>
      </c>
      <c r="F12939" s="2">
        <f t="shared" si="2074"/>
        <v>42277</v>
      </c>
    </row>
    <row r="12940" spans="1:6" x14ac:dyDescent="0.25">
      <c r="A12940" s="1" t="s">
        <v>189</v>
      </c>
      <c r="B12940" s="1" t="s">
        <v>1911</v>
      </c>
      <c r="C12940" s="1" t="s">
        <v>26</v>
      </c>
      <c r="D12940" s="3">
        <f t="shared" si="2072"/>
        <v>7472</v>
      </c>
      <c r="E12940" s="2">
        <f t="shared" si="2073"/>
        <v>41365</v>
      </c>
      <c r="F12940" s="2">
        <f t="shared" si="2074"/>
        <v>42277</v>
      </c>
    </row>
    <row r="12941" spans="1:6" x14ac:dyDescent="0.25">
      <c r="A12941" s="1" t="s">
        <v>189</v>
      </c>
      <c r="B12941" s="1" t="s">
        <v>1911</v>
      </c>
      <c r="C12941" s="1" t="s">
        <v>102</v>
      </c>
      <c r="D12941" s="3">
        <f t="shared" si="2072"/>
        <v>7472</v>
      </c>
      <c r="E12941" s="2">
        <f t="shared" si="2073"/>
        <v>41365</v>
      </c>
      <c r="F12941" s="2">
        <f t="shared" si="2074"/>
        <v>42277</v>
      </c>
    </row>
    <row r="12942" spans="1:6" x14ac:dyDescent="0.25">
      <c r="A12942" s="1" t="s">
        <v>189</v>
      </c>
      <c r="B12942" s="1" t="s">
        <v>1911</v>
      </c>
      <c r="C12942" s="1" t="s">
        <v>103</v>
      </c>
      <c r="D12942" s="3">
        <f t="shared" si="2072"/>
        <v>7472</v>
      </c>
      <c r="E12942" s="2">
        <f t="shared" si="2073"/>
        <v>41365</v>
      </c>
      <c r="F12942" s="2">
        <f t="shared" si="2074"/>
        <v>42277</v>
      </c>
    </row>
    <row r="12943" spans="1:6" x14ac:dyDescent="0.25">
      <c r="A12943" s="1" t="s">
        <v>189</v>
      </c>
      <c r="B12943" s="1" t="s">
        <v>2129</v>
      </c>
      <c r="C12943" s="1" t="s">
        <v>85</v>
      </c>
      <c r="D12943" s="3">
        <f t="shared" ref="D12943:D12948" si="2075">VALUE("7294")</f>
        <v>7294</v>
      </c>
      <c r="E12943" s="2">
        <f t="shared" ref="E12943:E12948" si="2076">DATEVALUE("1-1-2012")</f>
        <v>40909</v>
      </c>
      <c r="F12943" s="2">
        <f t="shared" ref="F12943:F12948" si="2077">DATEVALUE("28-2-2018")</f>
        <v>43159</v>
      </c>
    </row>
    <row r="12944" spans="1:6" x14ac:dyDescent="0.25">
      <c r="A12944" s="1" t="s">
        <v>189</v>
      </c>
      <c r="B12944" s="1" t="s">
        <v>2129</v>
      </c>
      <c r="C12944" s="1" t="s">
        <v>84</v>
      </c>
      <c r="D12944" s="3">
        <f t="shared" si="2075"/>
        <v>7294</v>
      </c>
      <c r="E12944" s="2">
        <f t="shared" si="2076"/>
        <v>40909</v>
      </c>
      <c r="F12944" s="2">
        <f t="shared" si="2077"/>
        <v>43159</v>
      </c>
    </row>
    <row r="12945" spans="1:6" x14ac:dyDescent="0.25">
      <c r="A12945" s="1" t="s">
        <v>189</v>
      </c>
      <c r="B12945" s="1" t="s">
        <v>2129</v>
      </c>
      <c r="C12945" s="1" t="s">
        <v>93</v>
      </c>
      <c r="D12945" s="3">
        <f t="shared" si="2075"/>
        <v>7294</v>
      </c>
      <c r="E12945" s="2">
        <f t="shared" si="2076"/>
        <v>40909</v>
      </c>
      <c r="F12945" s="2">
        <f t="shared" si="2077"/>
        <v>43159</v>
      </c>
    </row>
    <row r="12946" spans="1:6" x14ac:dyDescent="0.25">
      <c r="A12946" s="1" t="s">
        <v>189</v>
      </c>
      <c r="B12946" s="1" t="s">
        <v>2129</v>
      </c>
      <c r="C12946" s="1" t="s">
        <v>129</v>
      </c>
      <c r="D12946" s="3">
        <f t="shared" si="2075"/>
        <v>7294</v>
      </c>
      <c r="E12946" s="2">
        <f t="shared" si="2076"/>
        <v>40909</v>
      </c>
      <c r="F12946" s="2">
        <f t="shared" si="2077"/>
        <v>43159</v>
      </c>
    </row>
    <row r="12947" spans="1:6" x14ac:dyDescent="0.25">
      <c r="A12947" s="1" t="s">
        <v>189</v>
      </c>
      <c r="B12947" s="1" t="s">
        <v>2129</v>
      </c>
      <c r="C12947" s="1" t="s">
        <v>177</v>
      </c>
      <c r="D12947" s="3">
        <f t="shared" si="2075"/>
        <v>7294</v>
      </c>
      <c r="E12947" s="2">
        <f t="shared" si="2076"/>
        <v>40909</v>
      </c>
      <c r="F12947" s="2">
        <f t="shared" si="2077"/>
        <v>43159</v>
      </c>
    </row>
    <row r="12948" spans="1:6" x14ac:dyDescent="0.25">
      <c r="A12948" s="1" t="s">
        <v>189</v>
      </c>
      <c r="B12948" s="1" t="s">
        <v>2129</v>
      </c>
      <c r="C12948" s="1" t="s">
        <v>130</v>
      </c>
      <c r="D12948" s="3">
        <f t="shared" si="2075"/>
        <v>7294</v>
      </c>
      <c r="E12948" s="2">
        <f t="shared" si="2076"/>
        <v>40909</v>
      </c>
      <c r="F12948" s="2">
        <f t="shared" si="2077"/>
        <v>43159</v>
      </c>
    </row>
    <row r="12949" spans="1:6" x14ac:dyDescent="0.25">
      <c r="A12949" s="1" t="s">
        <v>189</v>
      </c>
      <c r="B12949" s="1" t="s">
        <v>188</v>
      </c>
      <c r="C12949" s="1" t="s">
        <v>85</v>
      </c>
      <c r="D12949" s="3">
        <f>VALUE("7060")</f>
        <v>7060</v>
      </c>
      <c r="E12949" s="2">
        <f>DATEVALUE("1-5-2010")</f>
        <v>40299</v>
      </c>
      <c r="F12949" s="2">
        <f>DATEVALUE("31-3-2025")</f>
        <v>45747</v>
      </c>
    </row>
    <row r="12950" spans="1:6" x14ac:dyDescent="0.25">
      <c r="A12950" s="1" t="s">
        <v>189</v>
      </c>
      <c r="B12950" s="1" t="s">
        <v>188</v>
      </c>
      <c r="C12950" s="1" t="s">
        <v>84</v>
      </c>
      <c r="D12950" s="3">
        <f>VALUE("7060")</f>
        <v>7060</v>
      </c>
      <c r="E12950" s="2">
        <f>DATEVALUE("1-5-2010")</f>
        <v>40299</v>
      </c>
      <c r="F12950" s="2">
        <f>DATEVALUE("31-3-2025")</f>
        <v>45747</v>
      </c>
    </row>
    <row r="12951" spans="1:6" x14ac:dyDescent="0.25">
      <c r="A12951" s="1" t="s">
        <v>189</v>
      </c>
      <c r="B12951" s="1" t="s">
        <v>188</v>
      </c>
      <c r="C12951" s="1" t="s">
        <v>89</v>
      </c>
      <c r="D12951" s="3">
        <f>VALUE("7060")</f>
        <v>7060</v>
      </c>
      <c r="E12951" s="2">
        <f>DATEVALUE("1-5-2010")</f>
        <v>40299</v>
      </c>
      <c r="F12951" s="2">
        <f>DATEVALUE("31-3-2025")</f>
        <v>45747</v>
      </c>
    </row>
    <row r="12952" spans="1:6" x14ac:dyDescent="0.25">
      <c r="A12952" s="1" t="s">
        <v>189</v>
      </c>
      <c r="B12952" s="1" t="s">
        <v>2548</v>
      </c>
      <c r="C12952" s="1" t="s">
        <v>85</v>
      </c>
      <c r="D12952" s="3">
        <f>VALUE("6184")</f>
        <v>6184</v>
      </c>
      <c r="E12952" s="2">
        <f>DATEVALUE("1-10-2009")</f>
        <v>40087</v>
      </c>
      <c r="F12952" s="2">
        <f>DATEVALUE("30-6-2013")</f>
        <v>41455</v>
      </c>
    </row>
    <row r="12953" spans="1:6" x14ac:dyDescent="0.25">
      <c r="A12953" s="1" t="s">
        <v>189</v>
      </c>
      <c r="B12953" s="1" t="s">
        <v>2548</v>
      </c>
      <c r="C12953" s="1" t="s">
        <v>93</v>
      </c>
      <c r="D12953" s="3">
        <f>VALUE("6184")</f>
        <v>6184</v>
      </c>
      <c r="E12953" s="2">
        <f>DATEVALUE("1-10-2009")</f>
        <v>40087</v>
      </c>
      <c r="F12953" s="2">
        <f>DATEVALUE("30-6-2013")</f>
        <v>41455</v>
      </c>
    </row>
    <row r="12954" spans="1:6" x14ac:dyDescent="0.25">
      <c r="A12954" s="1" t="s">
        <v>189</v>
      </c>
      <c r="B12954" s="1" t="s">
        <v>2548</v>
      </c>
      <c r="C12954" s="1" t="s">
        <v>129</v>
      </c>
      <c r="D12954" s="3">
        <f>VALUE("6184")</f>
        <v>6184</v>
      </c>
      <c r="E12954" s="2">
        <f>DATEVALUE("1-10-2009")</f>
        <v>40087</v>
      </c>
      <c r="F12954" s="2">
        <f>DATEVALUE("30-6-2013")</f>
        <v>41455</v>
      </c>
    </row>
    <row r="12955" spans="1:6" x14ac:dyDescent="0.25">
      <c r="A12955" s="1" t="s">
        <v>189</v>
      </c>
      <c r="B12955" s="1" t="s">
        <v>2548</v>
      </c>
      <c r="C12955" s="1" t="s">
        <v>130</v>
      </c>
      <c r="D12955" s="3">
        <f>VALUE("6184")</f>
        <v>6184</v>
      </c>
      <c r="E12955" s="2">
        <f>DATEVALUE("1-10-2009")</f>
        <v>40087</v>
      </c>
      <c r="F12955" s="2">
        <f>DATEVALUE("30-6-2013")</f>
        <v>41455</v>
      </c>
    </row>
    <row r="12956" spans="1:6" x14ac:dyDescent="0.25">
      <c r="A12956" s="1" t="s">
        <v>189</v>
      </c>
      <c r="B12956" s="1" t="s">
        <v>1855</v>
      </c>
      <c r="C12956" s="1" t="s">
        <v>93</v>
      </c>
      <c r="D12956" s="3">
        <f>VALUE("1101")</f>
        <v>1101</v>
      </c>
      <c r="E12956" s="2">
        <f>DATEVALUE("1-4-2009")</f>
        <v>39904</v>
      </c>
      <c r="F12956" s="2">
        <f>DATEVALUE("30-6-2014")</f>
        <v>41820</v>
      </c>
    </row>
    <row r="12957" spans="1:6" x14ac:dyDescent="0.25">
      <c r="A12957" s="1" t="s">
        <v>189</v>
      </c>
      <c r="B12957" s="1" t="s">
        <v>1855</v>
      </c>
      <c r="C12957" s="1" t="s">
        <v>129</v>
      </c>
      <c r="D12957" s="3">
        <f>VALUE("1101")</f>
        <v>1101</v>
      </c>
      <c r="E12957" s="2">
        <f>DATEVALUE("1-4-2009")</f>
        <v>39904</v>
      </c>
      <c r="F12957" s="2">
        <f>DATEVALUE("30-6-2014")</f>
        <v>41820</v>
      </c>
    </row>
    <row r="12958" spans="1:6" x14ac:dyDescent="0.25">
      <c r="A12958" s="1" t="s">
        <v>189</v>
      </c>
      <c r="B12958" s="1" t="s">
        <v>1855</v>
      </c>
      <c r="C12958" s="1" t="s">
        <v>130</v>
      </c>
      <c r="D12958" s="3">
        <f>VALUE("1101")</f>
        <v>1101</v>
      </c>
      <c r="E12958" s="2">
        <f>DATEVALUE("1-4-2009")</f>
        <v>39904</v>
      </c>
      <c r="F12958" s="2">
        <f>DATEVALUE("30-6-2014")</f>
        <v>41820</v>
      </c>
    </row>
    <row r="12959" spans="1:6" x14ac:dyDescent="0.25">
      <c r="A12959" s="1" t="s">
        <v>956</v>
      </c>
      <c r="B12959" s="1" t="s">
        <v>955</v>
      </c>
      <c r="D12959" s="3">
        <f t="shared" ref="D12959:D12981" si="2078">VALUE("8246")</f>
        <v>8246</v>
      </c>
      <c r="E12959" s="2">
        <f t="shared" ref="E12959:E12981" si="2079">DATEVALUE("1-9-2018")</f>
        <v>43344</v>
      </c>
      <c r="F12959" s="2">
        <f t="shared" ref="F12959:F12981" si="2080">DATEVALUE("31-12-2021")</f>
        <v>44561</v>
      </c>
    </row>
    <row r="12960" spans="1:6" x14ac:dyDescent="0.25">
      <c r="A12960" s="1" t="s">
        <v>956</v>
      </c>
      <c r="B12960" s="1" t="s">
        <v>955</v>
      </c>
      <c r="C12960" s="1" t="s">
        <v>957</v>
      </c>
      <c r="D12960" s="3">
        <f t="shared" si="2078"/>
        <v>8246</v>
      </c>
      <c r="E12960" s="2">
        <f t="shared" si="2079"/>
        <v>43344</v>
      </c>
      <c r="F12960" s="2">
        <f t="shared" si="2080"/>
        <v>44561</v>
      </c>
    </row>
    <row r="12961" spans="1:6" x14ac:dyDescent="0.25">
      <c r="A12961" s="1" t="s">
        <v>956</v>
      </c>
      <c r="B12961" s="1" t="s">
        <v>955</v>
      </c>
      <c r="C12961" s="1" t="s">
        <v>85</v>
      </c>
      <c r="D12961" s="3">
        <f t="shared" si="2078"/>
        <v>8246</v>
      </c>
      <c r="E12961" s="2">
        <f t="shared" si="2079"/>
        <v>43344</v>
      </c>
      <c r="F12961" s="2">
        <f t="shared" si="2080"/>
        <v>44561</v>
      </c>
    </row>
    <row r="12962" spans="1:6" x14ac:dyDescent="0.25">
      <c r="A12962" s="1" t="s">
        <v>956</v>
      </c>
      <c r="B12962" s="1" t="s">
        <v>955</v>
      </c>
      <c r="C12962" s="1" t="s">
        <v>84</v>
      </c>
      <c r="D12962" s="3">
        <f t="shared" si="2078"/>
        <v>8246</v>
      </c>
      <c r="E12962" s="2">
        <f t="shared" si="2079"/>
        <v>43344</v>
      </c>
      <c r="F12962" s="2">
        <f t="shared" si="2080"/>
        <v>44561</v>
      </c>
    </row>
    <row r="12963" spans="1:6" x14ac:dyDescent="0.25">
      <c r="A12963" s="1" t="s">
        <v>956</v>
      </c>
      <c r="B12963" s="1" t="s">
        <v>955</v>
      </c>
      <c r="C12963" s="1" t="s">
        <v>14</v>
      </c>
      <c r="D12963" s="3">
        <f t="shared" si="2078"/>
        <v>8246</v>
      </c>
      <c r="E12963" s="2">
        <f t="shared" si="2079"/>
        <v>43344</v>
      </c>
      <c r="F12963" s="2">
        <f t="shared" si="2080"/>
        <v>44561</v>
      </c>
    </row>
    <row r="12964" spans="1:6" x14ac:dyDescent="0.25">
      <c r="A12964" s="1" t="s">
        <v>956</v>
      </c>
      <c r="B12964" s="1" t="s">
        <v>955</v>
      </c>
      <c r="C12964" s="1" t="s">
        <v>66</v>
      </c>
      <c r="D12964" s="3">
        <f t="shared" si="2078"/>
        <v>8246</v>
      </c>
      <c r="E12964" s="2">
        <f t="shared" si="2079"/>
        <v>43344</v>
      </c>
      <c r="F12964" s="2">
        <f t="shared" si="2080"/>
        <v>44561</v>
      </c>
    </row>
    <row r="12965" spans="1:6" x14ac:dyDescent="0.25">
      <c r="A12965" s="1" t="s">
        <v>956</v>
      </c>
      <c r="B12965" s="1" t="s">
        <v>955</v>
      </c>
      <c r="C12965" s="1" t="s">
        <v>15</v>
      </c>
      <c r="D12965" s="3">
        <f t="shared" si="2078"/>
        <v>8246</v>
      </c>
      <c r="E12965" s="2">
        <f t="shared" si="2079"/>
        <v>43344</v>
      </c>
      <c r="F12965" s="2">
        <f t="shared" si="2080"/>
        <v>44561</v>
      </c>
    </row>
    <row r="12966" spans="1:6" x14ac:dyDescent="0.25">
      <c r="A12966" s="1" t="s">
        <v>956</v>
      </c>
      <c r="B12966" s="1" t="s">
        <v>955</v>
      </c>
      <c r="C12966" s="1" t="s">
        <v>16</v>
      </c>
      <c r="D12966" s="3">
        <f t="shared" si="2078"/>
        <v>8246</v>
      </c>
      <c r="E12966" s="2">
        <f t="shared" si="2079"/>
        <v>43344</v>
      </c>
      <c r="F12966" s="2">
        <f t="shared" si="2080"/>
        <v>44561</v>
      </c>
    </row>
    <row r="12967" spans="1:6" x14ac:dyDescent="0.25">
      <c r="A12967" s="1" t="s">
        <v>956</v>
      </c>
      <c r="B12967" s="1" t="s">
        <v>955</v>
      </c>
      <c r="C12967" s="1" t="s">
        <v>89</v>
      </c>
      <c r="D12967" s="3">
        <f t="shared" si="2078"/>
        <v>8246</v>
      </c>
      <c r="E12967" s="2">
        <f t="shared" si="2079"/>
        <v>43344</v>
      </c>
      <c r="F12967" s="2">
        <f t="shared" si="2080"/>
        <v>44561</v>
      </c>
    </row>
    <row r="12968" spans="1:6" x14ac:dyDescent="0.25">
      <c r="A12968" s="1" t="s">
        <v>956</v>
      </c>
      <c r="B12968" s="1" t="s">
        <v>955</v>
      </c>
      <c r="C12968" s="1" t="s">
        <v>17</v>
      </c>
      <c r="D12968" s="3">
        <f t="shared" si="2078"/>
        <v>8246</v>
      </c>
      <c r="E12968" s="2">
        <f t="shared" si="2079"/>
        <v>43344</v>
      </c>
      <c r="F12968" s="2">
        <f t="shared" si="2080"/>
        <v>44561</v>
      </c>
    </row>
    <row r="12969" spans="1:6" x14ac:dyDescent="0.25">
      <c r="A12969" s="1" t="s">
        <v>956</v>
      </c>
      <c r="B12969" s="1" t="s">
        <v>955</v>
      </c>
      <c r="C12969" s="1" t="s">
        <v>22</v>
      </c>
      <c r="D12969" s="3">
        <f t="shared" si="2078"/>
        <v>8246</v>
      </c>
      <c r="E12969" s="2">
        <f t="shared" si="2079"/>
        <v>43344</v>
      </c>
      <c r="F12969" s="2">
        <f t="shared" si="2080"/>
        <v>44561</v>
      </c>
    </row>
    <row r="12970" spans="1:6" x14ac:dyDescent="0.25">
      <c r="A12970" s="1" t="s">
        <v>956</v>
      </c>
      <c r="B12970" s="1" t="s">
        <v>955</v>
      </c>
      <c r="C12970" s="1" t="s">
        <v>128</v>
      </c>
      <c r="D12970" s="3">
        <f t="shared" si="2078"/>
        <v>8246</v>
      </c>
      <c r="E12970" s="2">
        <f t="shared" si="2079"/>
        <v>43344</v>
      </c>
      <c r="F12970" s="2">
        <f t="shared" si="2080"/>
        <v>44561</v>
      </c>
    </row>
    <row r="12971" spans="1:6" x14ac:dyDescent="0.25">
      <c r="A12971" s="1" t="s">
        <v>956</v>
      </c>
      <c r="B12971" s="1" t="s">
        <v>955</v>
      </c>
      <c r="C12971" s="1" t="s">
        <v>180</v>
      </c>
      <c r="D12971" s="3">
        <f t="shared" si="2078"/>
        <v>8246</v>
      </c>
      <c r="E12971" s="2">
        <f t="shared" si="2079"/>
        <v>43344</v>
      </c>
      <c r="F12971" s="2">
        <f t="shared" si="2080"/>
        <v>44561</v>
      </c>
    </row>
    <row r="12972" spans="1:6" x14ac:dyDescent="0.25">
      <c r="A12972" s="1" t="s">
        <v>956</v>
      </c>
      <c r="B12972" s="1" t="s">
        <v>955</v>
      </c>
      <c r="C12972" s="1" t="s">
        <v>371</v>
      </c>
      <c r="D12972" s="3">
        <f t="shared" si="2078"/>
        <v>8246</v>
      </c>
      <c r="E12972" s="2">
        <f t="shared" si="2079"/>
        <v>43344</v>
      </c>
      <c r="F12972" s="2">
        <f t="shared" si="2080"/>
        <v>44561</v>
      </c>
    </row>
    <row r="12973" spans="1:6" x14ac:dyDescent="0.25">
      <c r="A12973" s="1" t="s">
        <v>956</v>
      </c>
      <c r="B12973" s="1" t="s">
        <v>955</v>
      </c>
      <c r="C12973" s="1" t="s">
        <v>93</v>
      </c>
      <c r="D12973" s="3">
        <f t="shared" si="2078"/>
        <v>8246</v>
      </c>
      <c r="E12973" s="2">
        <f t="shared" si="2079"/>
        <v>43344</v>
      </c>
      <c r="F12973" s="2">
        <f t="shared" si="2080"/>
        <v>44561</v>
      </c>
    </row>
    <row r="12974" spans="1:6" x14ac:dyDescent="0.25">
      <c r="A12974" s="1" t="s">
        <v>956</v>
      </c>
      <c r="B12974" s="1" t="s">
        <v>955</v>
      </c>
      <c r="C12974" s="1" t="s">
        <v>129</v>
      </c>
      <c r="D12974" s="3">
        <f t="shared" si="2078"/>
        <v>8246</v>
      </c>
      <c r="E12974" s="2">
        <f t="shared" si="2079"/>
        <v>43344</v>
      </c>
      <c r="F12974" s="2">
        <f t="shared" si="2080"/>
        <v>44561</v>
      </c>
    </row>
    <row r="12975" spans="1:6" x14ac:dyDescent="0.25">
      <c r="A12975" s="1" t="s">
        <v>956</v>
      </c>
      <c r="B12975" s="1" t="s">
        <v>955</v>
      </c>
      <c r="C12975" s="1" t="s">
        <v>181</v>
      </c>
      <c r="D12975" s="3">
        <f t="shared" si="2078"/>
        <v>8246</v>
      </c>
      <c r="E12975" s="2">
        <f t="shared" si="2079"/>
        <v>43344</v>
      </c>
      <c r="F12975" s="2">
        <f t="shared" si="2080"/>
        <v>44561</v>
      </c>
    </row>
    <row r="12976" spans="1:6" x14ac:dyDescent="0.25">
      <c r="A12976" s="1" t="s">
        <v>956</v>
      </c>
      <c r="B12976" s="1" t="s">
        <v>955</v>
      </c>
      <c r="C12976" s="1" t="s">
        <v>130</v>
      </c>
      <c r="D12976" s="3">
        <f t="shared" si="2078"/>
        <v>8246</v>
      </c>
      <c r="E12976" s="2">
        <f t="shared" si="2079"/>
        <v>43344</v>
      </c>
      <c r="F12976" s="2">
        <f t="shared" si="2080"/>
        <v>44561</v>
      </c>
    </row>
    <row r="12977" spans="1:6" x14ac:dyDescent="0.25">
      <c r="A12977" s="1" t="s">
        <v>956</v>
      </c>
      <c r="B12977" s="1" t="s">
        <v>955</v>
      </c>
      <c r="C12977" s="1" t="s">
        <v>94</v>
      </c>
      <c r="D12977" s="3">
        <f t="shared" si="2078"/>
        <v>8246</v>
      </c>
      <c r="E12977" s="2">
        <f t="shared" si="2079"/>
        <v>43344</v>
      </c>
      <c r="F12977" s="2">
        <f t="shared" si="2080"/>
        <v>44561</v>
      </c>
    </row>
    <row r="12978" spans="1:6" x14ac:dyDescent="0.25">
      <c r="A12978" s="1" t="s">
        <v>956</v>
      </c>
      <c r="B12978" s="1" t="s">
        <v>955</v>
      </c>
      <c r="C12978" s="1" t="s">
        <v>24</v>
      </c>
      <c r="D12978" s="3">
        <f t="shared" si="2078"/>
        <v>8246</v>
      </c>
      <c r="E12978" s="2">
        <f t="shared" si="2079"/>
        <v>43344</v>
      </c>
      <c r="F12978" s="2">
        <f t="shared" si="2080"/>
        <v>44561</v>
      </c>
    </row>
    <row r="12979" spans="1:6" x14ac:dyDescent="0.25">
      <c r="A12979" s="1" t="s">
        <v>956</v>
      </c>
      <c r="B12979" s="1" t="s">
        <v>955</v>
      </c>
      <c r="C12979" s="1" t="s">
        <v>283</v>
      </c>
      <c r="D12979" s="3">
        <f t="shared" si="2078"/>
        <v>8246</v>
      </c>
      <c r="E12979" s="2">
        <f t="shared" si="2079"/>
        <v>43344</v>
      </c>
      <c r="F12979" s="2">
        <f t="shared" si="2080"/>
        <v>44561</v>
      </c>
    </row>
    <row r="12980" spans="1:6" x14ac:dyDescent="0.25">
      <c r="A12980" s="1" t="s">
        <v>956</v>
      </c>
      <c r="B12980" s="1" t="s">
        <v>955</v>
      </c>
      <c r="C12980" s="1" t="s">
        <v>34</v>
      </c>
      <c r="D12980" s="3">
        <f t="shared" si="2078"/>
        <v>8246</v>
      </c>
      <c r="E12980" s="2">
        <f t="shared" si="2079"/>
        <v>43344</v>
      </c>
      <c r="F12980" s="2">
        <f t="shared" si="2080"/>
        <v>44561</v>
      </c>
    </row>
    <row r="12981" spans="1:6" x14ac:dyDescent="0.25">
      <c r="A12981" s="1" t="s">
        <v>956</v>
      </c>
      <c r="B12981" s="1" t="s">
        <v>955</v>
      </c>
      <c r="C12981" s="1" t="s">
        <v>55</v>
      </c>
      <c r="D12981" s="3">
        <f t="shared" si="2078"/>
        <v>8246</v>
      </c>
      <c r="E12981" s="2">
        <f t="shared" si="2079"/>
        <v>43344</v>
      </c>
      <c r="F12981" s="2">
        <f t="shared" si="2080"/>
        <v>44561</v>
      </c>
    </row>
    <row r="12982" spans="1:6" x14ac:dyDescent="0.25">
      <c r="A12982" s="1" t="s">
        <v>245</v>
      </c>
      <c r="B12982" s="1" t="s">
        <v>1502</v>
      </c>
      <c r="C12982" s="1" t="s">
        <v>85</v>
      </c>
      <c r="D12982" s="3">
        <f t="shared" ref="D12982:D12991" si="2081">VALUE("8700")</f>
        <v>8700</v>
      </c>
      <c r="E12982" s="2">
        <f t="shared" ref="E12982:E12991" si="2082">DATEVALUE("1-6-2020")</f>
        <v>43983</v>
      </c>
      <c r="F12982" s="2">
        <f t="shared" ref="F12982:F12991" si="2083">DATEVALUE("31-5-2022")</f>
        <v>44712</v>
      </c>
    </row>
    <row r="12983" spans="1:6" x14ac:dyDescent="0.25">
      <c r="A12983" s="1" t="s">
        <v>245</v>
      </c>
      <c r="B12983" s="1" t="s">
        <v>1502</v>
      </c>
      <c r="C12983" s="1" t="s">
        <v>84</v>
      </c>
      <c r="D12983" s="3">
        <f t="shared" si="2081"/>
        <v>8700</v>
      </c>
      <c r="E12983" s="2">
        <f t="shared" si="2082"/>
        <v>43983</v>
      </c>
      <c r="F12983" s="2">
        <f t="shared" si="2083"/>
        <v>44712</v>
      </c>
    </row>
    <row r="12984" spans="1:6" x14ac:dyDescent="0.25">
      <c r="A12984" s="1" t="s">
        <v>245</v>
      </c>
      <c r="B12984" s="1" t="s">
        <v>1502</v>
      </c>
      <c r="C12984" s="1" t="s">
        <v>89</v>
      </c>
      <c r="D12984" s="3">
        <f t="shared" si="2081"/>
        <v>8700</v>
      </c>
      <c r="E12984" s="2">
        <f t="shared" si="2082"/>
        <v>43983</v>
      </c>
      <c r="F12984" s="2">
        <f t="shared" si="2083"/>
        <v>44712</v>
      </c>
    </row>
    <row r="12985" spans="1:6" x14ac:dyDescent="0.25">
      <c r="A12985" s="1" t="s">
        <v>245</v>
      </c>
      <c r="B12985" s="1" t="s">
        <v>1502</v>
      </c>
      <c r="C12985" s="1" t="s">
        <v>17</v>
      </c>
      <c r="D12985" s="3">
        <f t="shared" si="2081"/>
        <v>8700</v>
      </c>
      <c r="E12985" s="2">
        <f t="shared" si="2082"/>
        <v>43983</v>
      </c>
      <c r="F12985" s="2">
        <f t="shared" si="2083"/>
        <v>44712</v>
      </c>
    </row>
    <row r="12986" spans="1:6" x14ac:dyDescent="0.25">
      <c r="A12986" s="1" t="s">
        <v>245</v>
      </c>
      <c r="B12986" s="1" t="s">
        <v>1502</v>
      </c>
      <c r="C12986" s="1" t="s">
        <v>128</v>
      </c>
      <c r="D12986" s="3">
        <f t="shared" si="2081"/>
        <v>8700</v>
      </c>
      <c r="E12986" s="2">
        <f t="shared" si="2082"/>
        <v>43983</v>
      </c>
      <c r="F12986" s="2">
        <f t="shared" si="2083"/>
        <v>44712</v>
      </c>
    </row>
    <row r="12987" spans="1:6" x14ac:dyDescent="0.25">
      <c r="A12987" s="1" t="s">
        <v>245</v>
      </c>
      <c r="B12987" s="1" t="s">
        <v>1502</v>
      </c>
      <c r="C12987" s="1" t="s">
        <v>180</v>
      </c>
      <c r="D12987" s="3">
        <f t="shared" si="2081"/>
        <v>8700</v>
      </c>
      <c r="E12987" s="2">
        <f t="shared" si="2082"/>
        <v>43983</v>
      </c>
      <c r="F12987" s="2">
        <f t="shared" si="2083"/>
        <v>44712</v>
      </c>
    </row>
    <row r="12988" spans="1:6" x14ac:dyDescent="0.25">
      <c r="A12988" s="1" t="s">
        <v>245</v>
      </c>
      <c r="B12988" s="1" t="s">
        <v>1502</v>
      </c>
      <c r="C12988" s="1" t="s">
        <v>93</v>
      </c>
      <c r="D12988" s="3">
        <f t="shared" si="2081"/>
        <v>8700</v>
      </c>
      <c r="E12988" s="2">
        <f t="shared" si="2082"/>
        <v>43983</v>
      </c>
      <c r="F12988" s="2">
        <f t="shared" si="2083"/>
        <v>44712</v>
      </c>
    </row>
    <row r="12989" spans="1:6" x14ac:dyDescent="0.25">
      <c r="A12989" s="1" t="s">
        <v>245</v>
      </c>
      <c r="B12989" s="1" t="s">
        <v>1502</v>
      </c>
      <c r="C12989" s="1" t="s">
        <v>129</v>
      </c>
      <c r="D12989" s="3">
        <f t="shared" si="2081"/>
        <v>8700</v>
      </c>
      <c r="E12989" s="2">
        <f t="shared" si="2082"/>
        <v>43983</v>
      </c>
      <c r="F12989" s="2">
        <f t="shared" si="2083"/>
        <v>44712</v>
      </c>
    </row>
    <row r="12990" spans="1:6" x14ac:dyDescent="0.25">
      <c r="A12990" s="1" t="s">
        <v>245</v>
      </c>
      <c r="B12990" s="1" t="s">
        <v>1502</v>
      </c>
      <c r="C12990" s="1" t="s">
        <v>130</v>
      </c>
      <c r="D12990" s="3">
        <f t="shared" si="2081"/>
        <v>8700</v>
      </c>
      <c r="E12990" s="2">
        <f t="shared" si="2082"/>
        <v>43983</v>
      </c>
      <c r="F12990" s="2">
        <f t="shared" si="2083"/>
        <v>44712</v>
      </c>
    </row>
    <row r="12991" spans="1:6" x14ac:dyDescent="0.25">
      <c r="A12991" s="1" t="s">
        <v>245</v>
      </c>
      <c r="B12991" s="1" t="s">
        <v>1502</v>
      </c>
      <c r="C12991" s="1" t="s">
        <v>94</v>
      </c>
      <c r="D12991" s="3">
        <f t="shared" si="2081"/>
        <v>8700</v>
      </c>
      <c r="E12991" s="2">
        <f t="shared" si="2082"/>
        <v>43983</v>
      </c>
      <c r="F12991" s="2">
        <f t="shared" si="2083"/>
        <v>44712</v>
      </c>
    </row>
    <row r="12992" spans="1:6" x14ac:dyDescent="0.25">
      <c r="A12992" s="1" t="s">
        <v>245</v>
      </c>
      <c r="B12992" s="1" t="s">
        <v>1529</v>
      </c>
      <c r="C12992" s="1" t="s">
        <v>14</v>
      </c>
      <c r="D12992" s="3">
        <f t="shared" ref="D12992:D13005" si="2084">VALUE("8721")</f>
        <v>8721</v>
      </c>
      <c r="E12992" s="2">
        <f t="shared" ref="E12992:E13005" si="2085">DATEVALUE("1-4-2020")</f>
        <v>43922</v>
      </c>
      <c r="F12992" s="2">
        <f t="shared" ref="F12992:F13005" si="2086">DATEVALUE("31-3-2021")</f>
        <v>44286</v>
      </c>
    </row>
    <row r="12993" spans="1:6" x14ac:dyDescent="0.25">
      <c r="A12993" s="1" t="s">
        <v>245</v>
      </c>
      <c r="B12993" s="1" t="s">
        <v>1529</v>
      </c>
      <c r="C12993" s="1" t="s">
        <v>66</v>
      </c>
      <c r="D12993" s="3">
        <f t="shared" si="2084"/>
        <v>8721</v>
      </c>
      <c r="E12993" s="2">
        <f t="shared" si="2085"/>
        <v>43922</v>
      </c>
      <c r="F12993" s="2">
        <f t="shared" si="2086"/>
        <v>44286</v>
      </c>
    </row>
    <row r="12994" spans="1:6" x14ac:dyDescent="0.25">
      <c r="A12994" s="1" t="s">
        <v>245</v>
      </c>
      <c r="B12994" s="1" t="s">
        <v>1529</v>
      </c>
      <c r="C12994" s="1" t="s">
        <v>15</v>
      </c>
      <c r="D12994" s="3">
        <f t="shared" si="2084"/>
        <v>8721</v>
      </c>
      <c r="E12994" s="2">
        <f t="shared" si="2085"/>
        <v>43922</v>
      </c>
      <c r="F12994" s="2">
        <f t="shared" si="2086"/>
        <v>44286</v>
      </c>
    </row>
    <row r="12995" spans="1:6" x14ac:dyDescent="0.25">
      <c r="A12995" s="1" t="s">
        <v>245</v>
      </c>
      <c r="B12995" s="1" t="s">
        <v>1529</v>
      </c>
      <c r="C12995" s="1" t="s">
        <v>89</v>
      </c>
      <c r="D12995" s="3">
        <f t="shared" si="2084"/>
        <v>8721</v>
      </c>
      <c r="E12995" s="2">
        <f t="shared" si="2085"/>
        <v>43922</v>
      </c>
      <c r="F12995" s="2">
        <f t="shared" si="2086"/>
        <v>44286</v>
      </c>
    </row>
    <row r="12996" spans="1:6" x14ac:dyDescent="0.25">
      <c r="A12996" s="1" t="s">
        <v>245</v>
      </c>
      <c r="B12996" s="1" t="s">
        <v>1529</v>
      </c>
      <c r="C12996" s="1" t="s">
        <v>17</v>
      </c>
      <c r="D12996" s="3">
        <f t="shared" si="2084"/>
        <v>8721</v>
      </c>
      <c r="E12996" s="2">
        <f t="shared" si="2085"/>
        <v>43922</v>
      </c>
      <c r="F12996" s="2">
        <f t="shared" si="2086"/>
        <v>44286</v>
      </c>
    </row>
    <row r="12997" spans="1:6" x14ac:dyDescent="0.25">
      <c r="A12997" s="1" t="s">
        <v>245</v>
      </c>
      <c r="B12997" s="1" t="s">
        <v>1529</v>
      </c>
      <c r="C12997" s="1" t="s">
        <v>146</v>
      </c>
      <c r="D12997" s="3">
        <f t="shared" si="2084"/>
        <v>8721</v>
      </c>
      <c r="E12997" s="2">
        <f t="shared" si="2085"/>
        <v>43922</v>
      </c>
      <c r="F12997" s="2">
        <f t="shared" si="2086"/>
        <v>44286</v>
      </c>
    </row>
    <row r="12998" spans="1:6" x14ac:dyDescent="0.25">
      <c r="A12998" s="1" t="s">
        <v>245</v>
      </c>
      <c r="B12998" s="1" t="s">
        <v>1529</v>
      </c>
      <c r="C12998" s="1" t="s">
        <v>67</v>
      </c>
      <c r="D12998" s="3">
        <f t="shared" si="2084"/>
        <v>8721</v>
      </c>
      <c r="E12998" s="2">
        <f t="shared" si="2085"/>
        <v>43922</v>
      </c>
      <c r="F12998" s="2">
        <f t="shared" si="2086"/>
        <v>44286</v>
      </c>
    </row>
    <row r="12999" spans="1:6" x14ac:dyDescent="0.25">
      <c r="A12999" s="1" t="s">
        <v>245</v>
      </c>
      <c r="B12999" s="1" t="s">
        <v>1529</v>
      </c>
      <c r="C12999" s="1" t="s">
        <v>148</v>
      </c>
      <c r="D12999" s="3">
        <f t="shared" si="2084"/>
        <v>8721</v>
      </c>
      <c r="E12999" s="2">
        <f t="shared" si="2085"/>
        <v>43922</v>
      </c>
      <c r="F12999" s="2">
        <f t="shared" si="2086"/>
        <v>44286</v>
      </c>
    </row>
    <row r="13000" spans="1:6" x14ac:dyDescent="0.25">
      <c r="A13000" s="1" t="s">
        <v>245</v>
      </c>
      <c r="B13000" s="1" t="s">
        <v>1529</v>
      </c>
      <c r="C13000" s="1" t="s">
        <v>149</v>
      </c>
      <c r="D13000" s="3">
        <f t="shared" si="2084"/>
        <v>8721</v>
      </c>
      <c r="E13000" s="2">
        <f t="shared" si="2085"/>
        <v>43922</v>
      </c>
      <c r="F13000" s="2">
        <f t="shared" si="2086"/>
        <v>44286</v>
      </c>
    </row>
    <row r="13001" spans="1:6" x14ac:dyDescent="0.25">
      <c r="A13001" s="1" t="s">
        <v>245</v>
      </c>
      <c r="B13001" s="1" t="s">
        <v>1529</v>
      </c>
      <c r="C13001" s="1" t="s">
        <v>24</v>
      </c>
      <c r="D13001" s="3">
        <f t="shared" si="2084"/>
        <v>8721</v>
      </c>
      <c r="E13001" s="2">
        <f t="shared" si="2085"/>
        <v>43922</v>
      </c>
      <c r="F13001" s="2">
        <f t="shared" si="2086"/>
        <v>44286</v>
      </c>
    </row>
    <row r="13002" spans="1:6" x14ac:dyDescent="0.25">
      <c r="A13002" s="1" t="s">
        <v>245</v>
      </c>
      <c r="B13002" s="1" t="s">
        <v>1529</v>
      </c>
      <c r="C13002" s="1" t="s">
        <v>160</v>
      </c>
      <c r="D13002" s="3">
        <f t="shared" si="2084"/>
        <v>8721</v>
      </c>
      <c r="E13002" s="2">
        <f t="shared" si="2085"/>
        <v>43922</v>
      </c>
      <c r="F13002" s="2">
        <f t="shared" si="2086"/>
        <v>44286</v>
      </c>
    </row>
    <row r="13003" spans="1:6" x14ac:dyDescent="0.25">
      <c r="A13003" s="1" t="s">
        <v>245</v>
      </c>
      <c r="B13003" s="1" t="s">
        <v>1529</v>
      </c>
      <c r="C13003" s="1" t="s">
        <v>448</v>
      </c>
      <c r="D13003" s="3">
        <f t="shared" si="2084"/>
        <v>8721</v>
      </c>
      <c r="E13003" s="2">
        <f t="shared" si="2085"/>
        <v>43922</v>
      </c>
      <c r="F13003" s="2">
        <f t="shared" si="2086"/>
        <v>44286</v>
      </c>
    </row>
    <row r="13004" spans="1:6" x14ac:dyDescent="0.25">
      <c r="A13004" s="1" t="s">
        <v>245</v>
      </c>
      <c r="B13004" s="1" t="s">
        <v>1529</v>
      </c>
      <c r="C13004" s="1" t="s">
        <v>34</v>
      </c>
      <c r="D13004" s="3">
        <f t="shared" si="2084"/>
        <v>8721</v>
      </c>
      <c r="E13004" s="2">
        <f t="shared" si="2085"/>
        <v>43922</v>
      </c>
      <c r="F13004" s="2">
        <f t="shared" si="2086"/>
        <v>44286</v>
      </c>
    </row>
    <row r="13005" spans="1:6" x14ac:dyDescent="0.25">
      <c r="A13005" s="1" t="s">
        <v>245</v>
      </c>
      <c r="B13005" s="1" t="s">
        <v>1529</v>
      </c>
      <c r="C13005" s="1" t="s">
        <v>170</v>
      </c>
      <c r="D13005" s="3">
        <f t="shared" si="2084"/>
        <v>8721</v>
      </c>
      <c r="E13005" s="2">
        <f t="shared" si="2085"/>
        <v>43922</v>
      </c>
      <c r="F13005" s="2">
        <f t="shared" si="2086"/>
        <v>44286</v>
      </c>
    </row>
    <row r="13006" spans="1:6" x14ac:dyDescent="0.25">
      <c r="A13006" s="1" t="s">
        <v>245</v>
      </c>
      <c r="B13006" s="1" t="s">
        <v>1515</v>
      </c>
      <c r="C13006" s="1" t="s">
        <v>85</v>
      </c>
      <c r="D13006" s="3">
        <f>VALUE("8710")</f>
        <v>8710</v>
      </c>
      <c r="E13006" s="2">
        <f t="shared" ref="E13006:E13030" si="2087">DATEVALUE("1-3-2020")</f>
        <v>43891</v>
      </c>
      <c r="F13006" s="2">
        <f>DATEVALUE("31-12-2020")</f>
        <v>44196</v>
      </c>
    </row>
    <row r="13007" spans="1:6" x14ac:dyDescent="0.25">
      <c r="A13007" s="1" t="s">
        <v>245</v>
      </c>
      <c r="B13007" s="1" t="s">
        <v>1515</v>
      </c>
      <c r="C13007" s="1" t="s">
        <v>84</v>
      </c>
      <c r="D13007" s="3">
        <f>VALUE("8710")</f>
        <v>8710</v>
      </c>
      <c r="E13007" s="2">
        <f t="shared" si="2087"/>
        <v>43891</v>
      </c>
      <c r="F13007" s="2">
        <f>DATEVALUE("31-12-2020")</f>
        <v>44196</v>
      </c>
    </row>
    <row r="13008" spans="1:6" x14ac:dyDescent="0.25">
      <c r="A13008" s="1" t="s">
        <v>245</v>
      </c>
      <c r="B13008" s="1" t="s">
        <v>1515</v>
      </c>
      <c r="C13008" s="1" t="s">
        <v>89</v>
      </c>
      <c r="D13008" s="3">
        <f>VALUE("8710")</f>
        <v>8710</v>
      </c>
      <c r="E13008" s="2">
        <f t="shared" si="2087"/>
        <v>43891</v>
      </c>
      <c r="F13008" s="2">
        <f>DATEVALUE("31-12-2020")</f>
        <v>44196</v>
      </c>
    </row>
    <row r="13009" spans="1:6" x14ac:dyDescent="0.25">
      <c r="A13009" s="1" t="s">
        <v>245</v>
      </c>
      <c r="B13009" s="1" t="s">
        <v>1515</v>
      </c>
      <c r="C13009" s="1" t="s">
        <v>17</v>
      </c>
      <c r="D13009" s="3">
        <f>VALUE("8710")</f>
        <v>8710</v>
      </c>
      <c r="E13009" s="2">
        <f t="shared" si="2087"/>
        <v>43891</v>
      </c>
      <c r="F13009" s="2">
        <f>DATEVALUE("31-12-2020")</f>
        <v>44196</v>
      </c>
    </row>
    <row r="13010" spans="1:6" x14ac:dyDescent="0.25">
      <c r="A13010" s="1" t="s">
        <v>245</v>
      </c>
      <c r="B13010" s="1" t="s">
        <v>1568</v>
      </c>
      <c r="C13010" s="1" t="s">
        <v>84</v>
      </c>
      <c r="D13010" s="3">
        <f t="shared" ref="D13010:D13030" si="2088">VALUE("8749")</f>
        <v>8749</v>
      </c>
      <c r="E13010" s="2">
        <f t="shared" si="2087"/>
        <v>43891</v>
      </c>
      <c r="F13010" s="2">
        <f t="shared" ref="F13010:F13030" si="2089">DATEVALUE("31-8-2022")</f>
        <v>44804</v>
      </c>
    </row>
    <row r="13011" spans="1:6" x14ac:dyDescent="0.25">
      <c r="A13011" s="1" t="s">
        <v>245</v>
      </c>
      <c r="B13011" s="1" t="s">
        <v>1568</v>
      </c>
      <c r="C13011" s="1" t="s">
        <v>45</v>
      </c>
      <c r="D13011" s="3">
        <f t="shared" si="2088"/>
        <v>8749</v>
      </c>
      <c r="E13011" s="2">
        <f t="shared" si="2087"/>
        <v>43891</v>
      </c>
      <c r="F13011" s="2">
        <f t="shared" si="2089"/>
        <v>44804</v>
      </c>
    </row>
    <row r="13012" spans="1:6" x14ac:dyDescent="0.25">
      <c r="A13012" s="1" t="s">
        <v>245</v>
      </c>
      <c r="B13012" s="1" t="s">
        <v>1568</v>
      </c>
      <c r="C13012" s="1" t="s">
        <v>14</v>
      </c>
      <c r="D13012" s="3">
        <f t="shared" si="2088"/>
        <v>8749</v>
      </c>
      <c r="E13012" s="2">
        <f t="shared" si="2087"/>
        <v>43891</v>
      </c>
      <c r="F13012" s="2">
        <f t="shared" si="2089"/>
        <v>44804</v>
      </c>
    </row>
    <row r="13013" spans="1:6" x14ac:dyDescent="0.25">
      <c r="A13013" s="1" t="s">
        <v>245</v>
      </c>
      <c r="B13013" s="1" t="s">
        <v>1568</v>
      </c>
      <c r="C13013" s="1" t="s">
        <v>66</v>
      </c>
      <c r="D13013" s="3">
        <f t="shared" si="2088"/>
        <v>8749</v>
      </c>
      <c r="E13013" s="2">
        <f t="shared" si="2087"/>
        <v>43891</v>
      </c>
      <c r="F13013" s="2">
        <f t="shared" si="2089"/>
        <v>44804</v>
      </c>
    </row>
    <row r="13014" spans="1:6" x14ac:dyDescent="0.25">
      <c r="A13014" s="1" t="s">
        <v>245</v>
      </c>
      <c r="B13014" s="1" t="s">
        <v>1568</v>
      </c>
      <c r="C13014" s="1" t="s">
        <v>15</v>
      </c>
      <c r="D13014" s="3">
        <f t="shared" si="2088"/>
        <v>8749</v>
      </c>
      <c r="E13014" s="2">
        <f t="shared" si="2087"/>
        <v>43891</v>
      </c>
      <c r="F13014" s="2">
        <f t="shared" si="2089"/>
        <v>44804</v>
      </c>
    </row>
    <row r="13015" spans="1:6" x14ac:dyDescent="0.25">
      <c r="A13015" s="1" t="s">
        <v>245</v>
      </c>
      <c r="B13015" s="1" t="s">
        <v>1568</v>
      </c>
      <c r="C13015" s="1" t="s">
        <v>89</v>
      </c>
      <c r="D13015" s="3">
        <f t="shared" si="2088"/>
        <v>8749</v>
      </c>
      <c r="E13015" s="2">
        <f t="shared" si="2087"/>
        <v>43891</v>
      </c>
      <c r="F13015" s="2">
        <f t="shared" si="2089"/>
        <v>44804</v>
      </c>
    </row>
    <row r="13016" spans="1:6" x14ac:dyDescent="0.25">
      <c r="A13016" s="1" t="s">
        <v>245</v>
      </c>
      <c r="B13016" s="1" t="s">
        <v>1568</v>
      </c>
      <c r="C13016" s="1" t="s">
        <v>17</v>
      </c>
      <c r="D13016" s="3">
        <f t="shared" si="2088"/>
        <v>8749</v>
      </c>
      <c r="E13016" s="2">
        <f t="shared" si="2087"/>
        <v>43891</v>
      </c>
      <c r="F13016" s="2">
        <f t="shared" si="2089"/>
        <v>44804</v>
      </c>
    </row>
    <row r="13017" spans="1:6" x14ac:dyDescent="0.25">
      <c r="A13017" s="1" t="s">
        <v>245</v>
      </c>
      <c r="B13017" s="1" t="s">
        <v>1568</v>
      </c>
      <c r="C13017" s="1" t="s">
        <v>91</v>
      </c>
      <c r="D13017" s="3">
        <f t="shared" si="2088"/>
        <v>8749</v>
      </c>
      <c r="E13017" s="2">
        <f t="shared" si="2087"/>
        <v>43891</v>
      </c>
      <c r="F13017" s="2">
        <f t="shared" si="2089"/>
        <v>44804</v>
      </c>
    </row>
    <row r="13018" spans="1:6" x14ac:dyDescent="0.25">
      <c r="A13018" s="1" t="s">
        <v>245</v>
      </c>
      <c r="B13018" s="1" t="s">
        <v>1568</v>
      </c>
      <c r="C13018" s="1" t="s">
        <v>22</v>
      </c>
      <c r="D13018" s="3">
        <f t="shared" si="2088"/>
        <v>8749</v>
      </c>
      <c r="E13018" s="2">
        <f t="shared" si="2087"/>
        <v>43891</v>
      </c>
      <c r="F13018" s="2">
        <f t="shared" si="2089"/>
        <v>44804</v>
      </c>
    </row>
    <row r="13019" spans="1:6" x14ac:dyDescent="0.25">
      <c r="A13019" s="1" t="s">
        <v>245</v>
      </c>
      <c r="B13019" s="1" t="s">
        <v>1568</v>
      </c>
      <c r="C13019" s="1" t="s">
        <v>146</v>
      </c>
      <c r="D13019" s="3">
        <f t="shared" si="2088"/>
        <v>8749</v>
      </c>
      <c r="E13019" s="2">
        <f t="shared" si="2087"/>
        <v>43891</v>
      </c>
      <c r="F13019" s="2">
        <f t="shared" si="2089"/>
        <v>44804</v>
      </c>
    </row>
    <row r="13020" spans="1:6" x14ac:dyDescent="0.25">
      <c r="A13020" s="1" t="s">
        <v>245</v>
      </c>
      <c r="B13020" s="1" t="s">
        <v>1568</v>
      </c>
      <c r="C13020" s="1" t="s">
        <v>67</v>
      </c>
      <c r="D13020" s="3">
        <f t="shared" si="2088"/>
        <v>8749</v>
      </c>
      <c r="E13020" s="2">
        <f t="shared" si="2087"/>
        <v>43891</v>
      </c>
      <c r="F13020" s="2">
        <f t="shared" si="2089"/>
        <v>44804</v>
      </c>
    </row>
    <row r="13021" spans="1:6" x14ac:dyDescent="0.25">
      <c r="A13021" s="1" t="s">
        <v>245</v>
      </c>
      <c r="B13021" s="1" t="s">
        <v>1568</v>
      </c>
      <c r="C13021" s="1" t="s">
        <v>400</v>
      </c>
      <c r="D13021" s="3">
        <f t="shared" si="2088"/>
        <v>8749</v>
      </c>
      <c r="E13021" s="2">
        <f t="shared" si="2087"/>
        <v>43891</v>
      </c>
      <c r="F13021" s="2">
        <f t="shared" si="2089"/>
        <v>44804</v>
      </c>
    </row>
    <row r="13022" spans="1:6" x14ac:dyDescent="0.25">
      <c r="A13022" s="1" t="s">
        <v>245</v>
      </c>
      <c r="B13022" s="1" t="s">
        <v>1568</v>
      </c>
      <c r="C13022" s="1" t="s">
        <v>128</v>
      </c>
      <c r="D13022" s="3">
        <f t="shared" si="2088"/>
        <v>8749</v>
      </c>
      <c r="E13022" s="2">
        <f t="shared" si="2087"/>
        <v>43891</v>
      </c>
      <c r="F13022" s="2">
        <f t="shared" si="2089"/>
        <v>44804</v>
      </c>
    </row>
    <row r="13023" spans="1:6" x14ac:dyDescent="0.25">
      <c r="A13023" s="1" t="s">
        <v>245</v>
      </c>
      <c r="B13023" s="1" t="s">
        <v>1568</v>
      </c>
      <c r="C13023" s="1" t="s">
        <v>180</v>
      </c>
      <c r="D13023" s="3">
        <f t="shared" si="2088"/>
        <v>8749</v>
      </c>
      <c r="E13023" s="2">
        <f t="shared" si="2087"/>
        <v>43891</v>
      </c>
      <c r="F13023" s="2">
        <f t="shared" si="2089"/>
        <v>44804</v>
      </c>
    </row>
    <row r="13024" spans="1:6" x14ac:dyDescent="0.25">
      <c r="A13024" s="1" t="s">
        <v>245</v>
      </c>
      <c r="B13024" s="1" t="s">
        <v>1568</v>
      </c>
      <c r="C13024" s="1" t="s">
        <v>93</v>
      </c>
      <c r="D13024" s="3">
        <f t="shared" si="2088"/>
        <v>8749</v>
      </c>
      <c r="E13024" s="2">
        <f t="shared" si="2087"/>
        <v>43891</v>
      </c>
      <c r="F13024" s="2">
        <f t="shared" si="2089"/>
        <v>44804</v>
      </c>
    </row>
    <row r="13025" spans="1:6" x14ac:dyDescent="0.25">
      <c r="A13025" s="1" t="s">
        <v>245</v>
      </c>
      <c r="B13025" s="1" t="s">
        <v>1568</v>
      </c>
      <c r="C13025" s="1" t="s">
        <v>129</v>
      </c>
      <c r="D13025" s="3">
        <f t="shared" si="2088"/>
        <v>8749</v>
      </c>
      <c r="E13025" s="2">
        <f t="shared" si="2087"/>
        <v>43891</v>
      </c>
      <c r="F13025" s="2">
        <f t="shared" si="2089"/>
        <v>44804</v>
      </c>
    </row>
    <row r="13026" spans="1:6" x14ac:dyDescent="0.25">
      <c r="A13026" s="1" t="s">
        <v>245</v>
      </c>
      <c r="B13026" s="1" t="s">
        <v>1568</v>
      </c>
      <c r="C13026" s="1" t="s">
        <v>1358</v>
      </c>
      <c r="D13026" s="3">
        <f t="shared" si="2088"/>
        <v>8749</v>
      </c>
      <c r="E13026" s="2">
        <f t="shared" si="2087"/>
        <v>43891</v>
      </c>
      <c r="F13026" s="2">
        <f t="shared" si="2089"/>
        <v>44804</v>
      </c>
    </row>
    <row r="13027" spans="1:6" x14ac:dyDescent="0.25">
      <c r="A13027" s="1" t="s">
        <v>245</v>
      </c>
      <c r="B13027" s="1" t="s">
        <v>1568</v>
      </c>
      <c r="C13027" s="1" t="s">
        <v>1359</v>
      </c>
      <c r="D13027" s="3">
        <f t="shared" si="2088"/>
        <v>8749</v>
      </c>
      <c r="E13027" s="2">
        <f t="shared" si="2087"/>
        <v>43891</v>
      </c>
      <c r="F13027" s="2">
        <f t="shared" si="2089"/>
        <v>44804</v>
      </c>
    </row>
    <row r="13028" spans="1:6" x14ac:dyDescent="0.25">
      <c r="A13028" s="1" t="s">
        <v>245</v>
      </c>
      <c r="B13028" s="1" t="s">
        <v>1568</v>
      </c>
      <c r="C13028" s="1" t="s">
        <v>94</v>
      </c>
      <c r="D13028" s="3">
        <f t="shared" si="2088"/>
        <v>8749</v>
      </c>
      <c r="E13028" s="2">
        <f t="shared" si="2087"/>
        <v>43891</v>
      </c>
      <c r="F13028" s="2">
        <f t="shared" si="2089"/>
        <v>44804</v>
      </c>
    </row>
    <row r="13029" spans="1:6" x14ac:dyDescent="0.25">
      <c r="A13029" s="1" t="s">
        <v>245</v>
      </c>
      <c r="B13029" s="1" t="s">
        <v>1568</v>
      </c>
      <c r="C13029" s="1" t="s">
        <v>24</v>
      </c>
      <c r="D13029" s="3">
        <f t="shared" si="2088"/>
        <v>8749</v>
      </c>
      <c r="E13029" s="2">
        <f t="shared" si="2087"/>
        <v>43891</v>
      </c>
      <c r="F13029" s="2">
        <f t="shared" si="2089"/>
        <v>44804</v>
      </c>
    </row>
    <row r="13030" spans="1:6" x14ac:dyDescent="0.25">
      <c r="A13030" s="1" t="s">
        <v>245</v>
      </c>
      <c r="B13030" s="1" t="s">
        <v>1568</v>
      </c>
      <c r="C13030" s="1" t="s">
        <v>34</v>
      </c>
      <c r="D13030" s="3">
        <f t="shared" si="2088"/>
        <v>8749</v>
      </c>
      <c r="E13030" s="2">
        <f t="shared" si="2087"/>
        <v>43891</v>
      </c>
      <c r="F13030" s="2">
        <f t="shared" si="2089"/>
        <v>44804</v>
      </c>
    </row>
    <row r="13031" spans="1:6" x14ac:dyDescent="0.25">
      <c r="A13031" s="1" t="s">
        <v>245</v>
      </c>
      <c r="B13031" s="1" t="s">
        <v>1370</v>
      </c>
      <c r="C13031" s="1" t="s">
        <v>17</v>
      </c>
      <c r="D13031" s="3">
        <f t="shared" ref="D13031:D13036" si="2090">VALUE("8599")</f>
        <v>8599</v>
      </c>
      <c r="E13031" s="2">
        <f t="shared" ref="E13031:E13036" si="2091">DATEVALUE("1-11-2019")</f>
        <v>43770</v>
      </c>
      <c r="F13031" s="2">
        <f t="shared" ref="F13031:F13036" si="2092">DATEVALUE("31-10-2022")</f>
        <v>44865</v>
      </c>
    </row>
    <row r="13032" spans="1:6" x14ac:dyDescent="0.25">
      <c r="A13032" s="1" t="s">
        <v>245</v>
      </c>
      <c r="B13032" s="1" t="s">
        <v>1370</v>
      </c>
      <c r="C13032" s="1" t="s">
        <v>499</v>
      </c>
      <c r="D13032" s="3">
        <f t="shared" si="2090"/>
        <v>8599</v>
      </c>
      <c r="E13032" s="2">
        <f t="shared" si="2091"/>
        <v>43770</v>
      </c>
      <c r="F13032" s="2">
        <f t="shared" si="2092"/>
        <v>44865</v>
      </c>
    </row>
    <row r="13033" spans="1:6" x14ac:dyDescent="0.25">
      <c r="A13033" s="1" t="s">
        <v>245</v>
      </c>
      <c r="B13033" s="1" t="s">
        <v>1370</v>
      </c>
      <c r="C13033" s="1" t="s">
        <v>501</v>
      </c>
      <c r="D13033" s="3">
        <f t="shared" si="2090"/>
        <v>8599</v>
      </c>
      <c r="E13033" s="2">
        <f t="shared" si="2091"/>
        <v>43770</v>
      </c>
      <c r="F13033" s="2">
        <f t="shared" si="2092"/>
        <v>44865</v>
      </c>
    </row>
    <row r="13034" spans="1:6" x14ac:dyDescent="0.25">
      <c r="A13034" s="1" t="s">
        <v>245</v>
      </c>
      <c r="B13034" s="1" t="s">
        <v>1370</v>
      </c>
      <c r="C13034" s="1" t="s">
        <v>92</v>
      </c>
      <c r="D13034" s="3">
        <f t="shared" si="2090"/>
        <v>8599</v>
      </c>
      <c r="E13034" s="2">
        <f t="shared" si="2091"/>
        <v>43770</v>
      </c>
      <c r="F13034" s="2">
        <f t="shared" si="2092"/>
        <v>44865</v>
      </c>
    </row>
    <row r="13035" spans="1:6" x14ac:dyDescent="0.25">
      <c r="A13035" s="1" t="s">
        <v>245</v>
      </c>
      <c r="B13035" s="1" t="s">
        <v>1370</v>
      </c>
      <c r="C13035" s="1" t="s">
        <v>94</v>
      </c>
      <c r="D13035" s="3">
        <f t="shared" si="2090"/>
        <v>8599</v>
      </c>
      <c r="E13035" s="2">
        <f t="shared" si="2091"/>
        <v>43770</v>
      </c>
      <c r="F13035" s="2">
        <f t="shared" si="2092"/>
        <v>44865</v>
      </c>
    </row>
    <row r="13036" spans="1:6" x14ac:dyDescent="0.25">
      <c r="A13036" s="1" t="s">
        <v>245</v>
      </c>
      <c r="B13036" s="1" t="s">
        <v>1370</v>
      </c>
      <c r="C13036" s="1" t="s">
        <v>170</v>
      </c>
      <c r="D13036" s="3">
        <f t="shared" si="2090"/>
        <v>8599</v>
      </c>
      <c r="E13036" s="2">
        <f t="shared" si="2091"/>
        <v>43770</v>
      </c>
      <c r="F13036" s="2">
        <f t="shared" si="2092"/>
        <v>44865</v>
      </c>
    </row>
    <row r="13037" spans="1:6" x14ac:dyDescent="0.25">
      <c r="A13037" s="1" t="s">
        <v>245</v>
      </c>
      <c r="B13037" s="1" t="s">
        <v>1357</v>
      </c>
      <c r="C13037" s="1" t="s">
        <v>84</v>
      </c>
      <c r="D13037" s="3">
        <f t="shared" ref="D13037:D13057" si="2093">VALUE("8587")</f>
        <v>8587</v>
      </c>
      <c r="E13037" s="2">
        <f t="shared" ref="E13037:E13057" si="2094">DATEVALUE("1-9-2019")</f>
        <v>43709</v>
      </c>
      <c r="F13037" s="2">
        <f t="shared" ref="F13037:F13057" si="2095">DATEVALUE("31-8-2023")</f>
        <v>45169</v>
      </c>
    </row>
    <row r="13038" spans="1:6" x14ac:dyDescent="0.25">
      <c r="A13038" s="1" t="s">
        <v>245</v>
      </c>
      <c r="B13038" s="1" t="s">
        <v>1357</v>
      </c>
      <c r="C13038" s="1" t="s">
        <v>45</v>
      </c>
      <c r="D13038" s="3">
        <f t="shared" si="2093"/>
        <v>8587</v>
      </c>
      <c r="E13038" s="2">
        <f t="shared" si="2094"/>
        <v>43709</v>
      </c>
      <c r="F13038" s="2">
        <f t="shared" si="2095"/>
        <v>45169</v>
      </c>
    </row>
    <row r="13039" spans="1:6" x14ac:dyDescent="0.25">
      <c r="A13039" s="1" t="s">
        <v>245</v>
      </c>
      <c r="B13039" s="1" t="s">
        <v>1357</v>
      </c>
      <c r="C13039" s="1" t="s">
        <v>14</v>
      </c>
      <c r="D13039" s="3">
        <f t="shared" si="2093"/>
        <v>8587</v>
      </c>
      <c r="E13039" s="2">
        <f t="shared" si="2094"/>
        <v>43709</v>
      </c>
      <c r="F13039" s="2">
        <f t="shared" si="2095"/>
        <v>45169</v>
      </c>
    </row>
    <row r="13040" spans="1:6" x14ac:dyDescent="0.25">
      <c r="A13040" s="1" t="s">
        <v>245</v>
      </c>
      <c r="B13040" s="1" t="s">
        <v>1357</v>
      </c>
      <c r="C13040" s="1" t="s">
        <v>66</v>
      </c>
      <c r="D13040" s="3">
        <f t="shared" si="2093"/>
        <v>8587</v>
      </c>
      <c r="E13040" s="2">
        <f t="shared" si="2094"/>
        <v>43709</v>
      </c>
      <c r="F13040" s="2">
        <f t="shared" si="2095"/>
        <v>45169</v>
      </c>
    </row>
    <row r="13041" spans="1:6" x14ac:dyDescent="0.25">
      <c r="A13041" s="1" t="s">
        <v>245</v>
      </c>
      <c r="B13041" s="1" t="s">
        <v>1357</v>
      </c>
      <c r="C13041" s="1" t="s">
        <v>15</v>
      </c>
      <c r="D13041" s="3">
        <f t="shared" si="2093"/>
        <v>8587</v>
      </c>
      <c r="E13041" s="2">
        <f t="shared" si="2094"/>
        <v>43709</v>
      </c>
      <c r="F13041" s="2">
        <f t="shared" si="2095"/>
        <v>45169</v>
      </c>
    </row>
    <row r="13042" spans="1:6" x14ac:dyDescent="0.25">
      <c r="A13042" s="1" t="s">
        <v>245</v>
      </c>
      <c r="B13042" s="1" t="s">
        <v>1357</v>
      </c>
      <c r="C13042" s="1" t="s">
        <v>89</v>
      </c>
      <c r="D13042" s="3">
        <f t="shared" si="2093"/>
        <v>8587</v>
      </c>
      <c r="E13042" s="2">
        <f t="shared" si="2094"/>
        <v>43709</v>
      </c>
      <c r="F13042" s="2">
        <f t="shared" si="2095"/>
        <v>45169</v>
      </c>
    </row>
    <row r="13043" spans="1:6" x14ac:dyDescent="0.25">
      <c r="A13043" s="1" t="s">
        <v>245</v>
      </c>
      <c r="B13043" s="1" t="s">
        <v>1357</v>
      </c>
      <c r="C13043" s="1" t="s">
        <v>17</v>
      </c>
      <c r="D13043" s="3">
        <f t="shared" si="2093"/>
        <v>8587</v>
      </c>
      <c r="E13043" s="2">
        <f t="shared" si="2094"/>
        <v>43709</v>
      </c>
      <c r="F13043" s="2">
        <f t="shared" si="2095"/>
        <v>45169</v>
      </c>
    </row>
    <row r="13044" spans="1:6" x14ac:dyDescent="0.25">
      <c r="A13044" s="1" t="s">
        <v>245</v>
      </c>
      <c r="B13044" s="1" t="s">
        <v>1357</v>
      </c>
      <c r="C13044" s="1" t="s">
        <v>91</v>
      </c>
      <c r="D13044" s="3">
        <f t="shared" si="2093"/>
        <v>8587</v>
      </c>
      <c r="E13044" s="2">
        <f t="shared" si="2094"/>
        <v>43709</v>
      </c>
      <c r="F13044" s="2">
        <f t="shared" si="2095"/>
        <v>45169</v>
      </c>
    </row>
    <row r="13045" spans="1:6" x14ac:dyDescent="0.25">
      <c r="A13045" s="1" t="s">
        <v>245</v>
      </c>
      <c r="B13045" s="1" t="s">
        <v>1357</v>
      </c>
      <c r="C13045" s="1" t="s">
        <v>197</v>
      </c>
      <c r="D13045" s="3">
        <f t="shared" si="2093"/>
        <v>8587</v>
      </c>
      <c r="E13045" s="2">
        <f t="shared" si="2094"/>
        <v>43709</v>
      </c>
      <c r="F13045" s="2">
        <f t="shared" si="2095"/>
        <v>45169</v>
      </c>
    </row>
    <row r="13046" spans="1:6" x14ac:dyDescent="0.25">
      <c r="A13046" s="1" t="s">
        <v>245</v>
      </c>
      <c r="B13046" s="1" t="s">
        <v>1357</v>
      </c>
      <c r="C13046" s="1" t="s">
        <v>22</v>
      </c>
      <c r="D13046" s="3">
        <f t="shared" si="2093"/>
        <v>8587</v>
      </c>
      <c r="E13046" s="2">
        <f t="shared" si="2094"/>
        <v>43709</v>
      </c>
      <c r="F13046" s="2">
        <f t="shared" si="2095"/>
        <v>45169</v>
      </c>
    </row>
    <row r="13047" spans="1:6" x14ac:dyDescent="0.25">
      <c r="A13047" s="1" t="s">
        <v>245</v>
      </c>
      <c r="B13047" s="1" t="s">
        <v>1357</v>
      </c>
      <c r="C13047" s="1" t="s">
        <v>146</v>
      </c>
      <c r="D13047" s="3">
        <f t="shared" si="2093"/>
        <v>8587</v>
      </c>
      <c r="E13047" s="2">
        <f t="shared" si="2094"/>
        <v>43709</v>
      </c>
      <c r="F13047" s="2">
        <f t="shared" si="2095"/>
        <v>45169</v>
      </c>
    </row>
    <row r="13048" spans="1:6" x14ac:dyDescent="0.25">
      <c r="A13048" s="1" t="s">
        <v>245</v>
      </c>
      <c r="B13048" s="1" t="s">
        <v>1357</v>
      </c>
      <c r="C13048" s="1" t="s">
        <v>67</v>
      </c>
      <c r="D13048" s="3">
        <f t="shared" si="2093"/>
        <v>8587</v>
      </c>
      <c r="E13048" s="2">
        <f t="shared" si="2094"/>
        <v>43709</v>
      </c>
      <c r="F13048" s="2">
        <f t="shared" si="2095"/>
        <v>45169</v>
      </c>
    </row>
    <row r="13049" spans="1:6" x14ac:dyDescent="0.25">
      <c r="A13049" s="1" t="s">
        <v>245</v>
      </c>
      <c r="B13049" s="1" t="s">
        <v>1357</v>
      </c>
      <c r="C13049" s="1" t="s">
        <v>128</v>
      </c>
      <c r="D13049" s="3">
        <f t="shared" si="2093"/>
        <v>8587</v>
      </c>
      <c r="E13049" s="2">
        <f t="shared" si="2094"/>
        <v>43709</v>
      </c>
      <c r="F13049" s="2">
        <f t="shared" si="2095"/>
        <v>45169</v>
      </c>
    </row>
    <row r="13050" spans="1:6" x14ac:dyDescent="0.25">
      <c r="A13050" s="1" t="s">
        <v>245</v>
      </c>
      <c r="B13050" s="1" t="s">
        <v>1357</v>
      </c>
      <c r="C13050" s="1" t="s">
        <v>180</v>
      </c>
      <c r="D13050" s="3">
        <f t="shared" si="2093"/>
        <v>8587</v>
      </c>
      <c r="E13050" s="2">
        <f t="shared" si="2094"/>
        <v>43709</v>
      </c>
      <c r="F13050" s="2">
        <f t="shared" si="2095"/>
        <v>45169</v>
      </c>
    </row>
    <row r="13051" spans="1:6" x14ac:dyDescent="0.25">
      <c r="A13051" s="1" t="s">
        <v>245</v>
      </c>
      <c r="B13051" s="1" t="s">
        <v>1357</v>
      </c>
      <c r="C13051" s="1" t="s">
        <v>93</v>
      </c>
      <c r="D13051" s="3">
        <f t="shared" si="2093"/>
        <v>8587</v>
      </c>
      <c r="E13051" s="2">
        <f t="shared" si="2094"/>
        <v>43709</v>
      </c>
      <c r="F13051" s="2">
        <f t="shared" si="2095"/>
        <v>45169</v>
      </c>
    </row>
    <row r="13052" spans="1:6" x14ac:dyDescent="0.25">
      <c r="A13052" s="1" t="s">
        <v>245</v>
      </c>
      <c r="B13052" s="1" t="s">
        <v>1357</v>
      </c>
      <c r="C13052" s="1" t="s">
        <v>129</v>
      </c>
      <c r="D13052" s="3">
        <f t="shared" si="2093"/>
        <v>8587</v>
      </c>
      <c r="E13052" s="2">
        <f t="shared" si="2094"/>
        <v>43709</v>
      </c>
      <c r="F13052" s="2">
        <f t="shared" si="2095"/>
        <v>45169</v>
      </c>
    </row>
    <row r="13053" spans="1:6" x14ac:dyDescent="0.25">
      <c r="A13053" s="1" t="s">
        <v>245</v>
      </c>
      <c r="B13053" s="1" t="s">
        <v>1357</v>
      </c>
      <c r="C13053" s="1" t="s">
        <v>1358</v>
      </c>
      <c r="D13053" s="3">
        <f t="shared" si="2093"/>
        <v>8587</v>
      </c>
      <c r="E13053" s="2">
        <f t="shared" si="2094"/>
        <v>43709</v>
      </c>
      <c r="F13053" s="2">
        <f t="shared" si="2095"/>
        <v>45169</v>
      </c>
    </row>
    <row r="13054" spans="1:6" x14ac:dyDescent="0.25">
      <c r="A13054" s="1" t="s">
        <v>245</v>
      </c>
      <c r="B13054" s="1" t="s">
        <v>1357</v>
      </c>
      <c r="C13054" s="1" t="s">
        <v>1359</v>
      </c>
      <c r="D13054" s="3">
        <f t="shared" si="2093"/>
        <v>8587</v>
      </c>
      <c r="E13054" s="2">
        <f t="shared" si="2094"/>
        <v>43709</v>
      </c>
      <c r="F13054" s="2">
        <f t="shared" si="2095"/>
        <v>45169</v>
      </c>
    </row>
    <row r="13055" spans="1:6" x14ac:dyDescent="0.25">
      <c r="A13055" s="1" t="s">
        <v>245</v>
      </c>
      <c r="B13055" s="1" t="s">
        <v>1357</v>
      </c>
      <c r="C13055" s="1" t="s">
        <v>94</v>
      </c>
      <c r="D13055" s="3">
        <f t="shared" si="2093"/>
        <v>8587</v>
      </c>
      <c r="E13055" s="2">
        <f t="shared" si="2094"/>
        <v>43709</v>
      </c>
      <c r="F13055" s="2">
        <f t="shared" si="2095"/>
        <v>45169</v>
      </c>
    </row>
    <row r="13056" spans="1:6" x14ac:dyDescent="0.25">
      <c r="A13056" s="1" t="s">
        <v>245</v>
      </c>
      <c r="B13056" s="1" t="s">
        <v>1357</v>
      </c>
      <c r="C13056" s="1" t="s">
        <v>24</v>
      </c>
      <c r="D13056" s="3">
        <f t="shared" si="2093"/>
        <v>8587</v>
      </c>
      <c r="E13056" s="2">
        <f t="shared" si="2094"/>
        <v>43709</v>
      </c>
      <c r="F13056" s="2">
        <f t="shared" si="2095"/>
        <v>45169</v>
      </c>
    </row>
    <row r="13057" spans="1:6" x14ac:dyDescent="0.25">
      <c r="A13057" s="1" t="s">
        <v>245</v>
      </c>
      <c r="B13057" s="1" t="s">
        <v>1357</v>
      </c>
      <c r="C13057" s="1" t="s">
        <v>34</v>
      </c>
      <c r="D13057" s="3">
        <f t="shared" si="2093"/>
        <v>8587</v>
      </c>
      <c r="E13057" s="2">
        <f t="shared" si="2094"/>
        <v>43709</v>
      </c>
      <c r="F13057" s="2">
        <f t="shared" si="2095"/>
        <v>45169</v>
      </c>
    </row>
    <row r="13058" spans="1:6" x14ac:dyDescent="0.25">
      <c r="A13058" s="1" t="s">
        <v>245</v>
      </c>
      <c r="B13058" s="1" t="s">
        <v>1273</v>
      </c>
      <c r="C13058" s="1" t="s">
        <v>571</v>
      </c>
      <c r="D13058" s="3">
        <f>VALUE("8524")</f>
        <v>8524</v>
      </c>
      <c r="E13058" s="2">
        <f>DATEVALUE("1-7-2019")</f>
        <v>43647</v>
      </c>
      <c r="F13058" s="2">
        <f>DATEVALUE("28-2-2021")</f>
        <v>44255</v>
      </c>
    </row>
    <row r="13059" spans="1:6" x14ac:dyDescent="0.25">
      <c r="A13059" s="1" t="s">
        <v>245</v>
      </c>
      <c r="B13059" s="1" t="s">
        <v>1273</v>
      </c>
      <c r="C13059" s="1" t="s">
        <v>170</v>
      </c>
      <c r="D13059" s="3">
        <f>VALUE("8524")</f>
        <v>8524</v>
      </c>
      <c r="E13059" s="2">
        <f>DATEVALUE("1-7-2019")</f>
        <v>43647</v>
      </c>
      <c r="F13059" s="2">
        <f>DATEVALUE("28-2-2021")</f>
        <v>44255</v>
      </c>
    </row>
    <row r="13060" spans="1:6" x14ac:dyDescent="0.25">
      <c r="A13060" s="1" t="s">
        <v>245</v>
      </c>
      <c r="B13060" s="1" t="s">
        <v>1081</v>
      </c>
      <c r="C13060" s="1" t="s">
        <v>525</v>
      </c>
      <c r="D13060" s="3">
        <f t="shared" ref="D13060:D13091" si="2096">VALUE("8369")</f>
        <v>8369</v>
      </c>
      <c r="E13060" s="2">
        <f t="shared" ref="E13060:E13091" si="2097">DATEVALUE("1-11-2018")</f>
        <v>43405</v>
      </c>
      <c r="F13060" s="2">
        <f t="shared" ref="F13060:F13091" si="2098">DATEVALUE("31-10-2022")</f>
        <v>44865</v>
      </c>
    </row>
    <row r="13061" spans="1:6" x14ac:dyDescent="0.25">
      <c r="A13061" s="1" t="s">
        <v>245</v>
      </c>
      <c r="B13061" s="1" t="s">
        <v>1081</v>
      </c>
      <c r="C13061" s="1" t="s">
        <v>8</v>
      </c>
      <c r="D13061" s="3">
        <f t="shared" si="2096"/>
        <v>8369</v>
      </c>
      <c r="E13061" s="2">
        <f t="shared" si="2097"/>
        <v>43405</v>
      </c>
      <c r="F13061" s="2">
        <f t="shared" si="2098"/>
        <v>44865</v>
      </c>
    </row>
    <row r="13062" spans="1:6" x14ac:dyDescent="0.25">
      <c r="A13062" s="1" t="s">
        <v>245</v>
      </c>
      <c r="B13062" s="1" t="s">
        <v>1081</v>
      </c>
      <c r="C13062" s="1" t="s">
        <v>85</v>
      </c>
      <c r="D13062" s="3">
        <f t="shared" si="2096"/>
        <v>8369</v>
      </c>
      <c r="E13062" s="2">
        <f t="shared" si="2097"/>
        <v>43405</v>
      </c>
      <c r="F13062" s="2">
        <f t="shared" si="2098"/>
        <v>44865</v>
      </c>
    </row>
    <row r="13063" spans="1:6" x14ac:dyDescent="0.25">
      <c r="A13063" s="1" t="s">
        <v>245</v>
      </c>
      <c r="B13063" s="1" t="s">
        <v>1081</v>
      </c>
      <c r="C13063" s="1" t="s">
        <v>84</v>
      </c>
      <c r="D13063" s="3">
        <f t="shared" si="2096"/>
        <v>8369</v>
      </c>
      <c r="E13063" s="2">
        <f t="shared" si="2097"/>
        <v>43405</v>
      </c>
      <c r="F13063" s="2">
        <f t="shared" si="2098"/>
        <v>44865</v>
      </c>
    </row>
    <row r="13064" spans="1:6" x14ac:dyDescent="0.25">
      <c r="A13064" s="1" t="s">
        <v>245</v>
      </c>
      <c r="B13064" s="1" t="s">
        <v>1081</v>
      </c>
      <c r="C13064" s="1" t="s">
        <v>14</v>
      </c>
      <c r="D13064" s="3">
        <f t="shared" si="2096"/>
        <v>8369</v>
      </c>
      <c r="E13064" s="2">
        <f t="shared" si="2097"/>
        <v>43405</v>
      </c>
      <c r="F13064" s="2">
        <f t="shared" si="2098"/>
        <v>44865</v>
      </c>
    </row>
    <row r="13065" spans="1:6" x14ac:dyDescent="0.25">
      <c r="A13065" s="1" t="s">
        <v>245</v>
      </c>
      <c r="B13065" s="1" t="s">
        <v>1081</v>
      </c>
      <c r="C13065" s="1" t="s">
        <v>15</v>
      </c>
      <c r="D13065" s="3">
        <f t="shared" si="2096"/>
        <v>8369</v>
      </c>
      <c r="E13065" s="2">
        <f t="shared" si="2097"/>
        <v>43405</v>
      </c>
      <c r="F13065" s="2">
        <f t="shared" si="2098"/>
        <v>44865</v>
      </c>
    </row>
    <row r="13066" spans="1:6" x14ac:dyDescent="0.25">
      <c r="A13066" s="1" t="s">
        <v>245</v>
      </c>
      <c r="B13066" s="1" t="s">
        <v>1081</v>
      </c>
      <c r="C13066" s="1" t="s">
        <v>290</v>
      </c>
      <c r="D13066" s="3">
        <f t="shared" si="2096"/>
        <v>8369</v>
      </c>
      <c r="E13066" s="2">
        <f t="shared" si="2097"/>
        <v>43405</v>
      </c>
      <c r="F13066" s="2">
        <f t="shared" si="2098"/>
        <v>44865</v>
      </c>
    </row>
    <row r="13067" spans="1:6" x14ac:dyDescent="0.25">
      <c r="A13067" s="1" t="s">
        <v>245</v>
      </c>
      <c r="B13067" s="1" t="s">
        <v>1081</v>
      </c>
      <c r="C13067" s="1" t="s">
        <v>88</v>
      </c>
      <c r="D13067" s="3">
        <f t="shared" si="2096"/>
        <v>8369</v>
      </c>
      <c r="E13067" s="2">
        <f t="shared" si="2097"/>
        <v>43405</v>
      </c>
      <c r="F13067" s="2">
        <f t="shared" si="2098"/>
        <v>44865</v>
      </c>
    </row>
    <row r="13068" spans="1:6" x14ac:dyDescent="0.25">
      <c r="A13068" s="1" t="s">
        <v>245</v>
      </c>
      <c r="B13068" s="1" t="s">
        <v>1081</v>
      </c>
      <c r="C13068" s="1" t="s">
        <v>89</v>
      </c>
      <c r="D13068" s="3">
        <f t="shared" si="2096"/>
        <v>8369</v>
      </c>
      <c r="E13068" s="2">
        <f t="shared" si="2097"/>
        <v>43405</v>
      </c>
      <c r="F13068" s="2">
        <f t="shared" si="2098"/>
        <v>44865</v>
      </c>
    </row>
    <row r="13069" spans="1:6" x14ac:dyDescent="0.25">
      <c r="A13069" s="1" t="s">
        <v>245</v>
      </c>
      <c r="B13069" s="1" t="s">
        <v>1081</v>
      </c>
      <c r="C13069" s="1" t="s">
        <v>17</v>
      </c>
      <c r="D13069" s="3">
        <f t="shared" si="2096"/>
        <v>8369</v>
      </c>
      <c r="E13069" s="2">
        <f t="shared" si="2097"/>
        <v>43405</v>
      </c>
      <c r="F13069" s="2">
        <f t="shared" si="2098"/>
        <v>44865</v>
      </c>
    </row>
    <row r="13070" spans="1:6" x14ac:dyDescent="0.25">
      <c r="A13070" s="1" t="s">
        <v>245</v>
      </c>
      <c r="B13070" s="1" t="s">
        <v>1081</v>
      </c>
      <c r="C13070" s="1" t="s">
        <v>127</v>
      </c>
      <c r="D13070" s="3">
        <f t="shared" si="2096"/>
        <v>8369</v>
      </c>
      <c r="E13070" s="2">
        <f t="shared" si="2097"/>
        <v>43405</v>
      </c>
      <c r="F13070" s="2">
        <f t="shared" si="2098"/>
        <v>44865</v>
      </c>
    </row>
    <row r="13071" spans="1:6" x14ac:dyDescent="0.25">
      <c r="A13071" s="1" t="s">
        <v>245</v>
      </c>
      <c r="B13071" s="1" t="s">
        <v>1081</v>
      </c>
      <c r="C13071" s="1" t="s">
        <v>488</v>
      </c>
      <c r="D13071" s="3">
        <f t="shared" si="2096"/>
        <v>8369</v>
      </c>
      <c r="E13071" s="2">
        <f t="shared" si="2097"/>
        <v>43405</v>
      </c>
      <c r="F13071" s="2">
        <f t="shared" si="2098"/>
        <v>44865</v>
      </c>
    </row>
    <row r="13072" spans="1:6" x14ac:dyDescent="0.25">
      <c r="A13072" s="1" t="s">
        <v>245</v>
      </c>
      <c r="B13072" s="1" t="s">
        <v>1081</v>
      </c>
      <c r="C13072" s="1" t="s">
        <v>197</v>
      </c>
      <c r="D13072" s="3">
        <f t="shared" si="2096"/>
        <v>8369</v>
      </c>
      <c r="E13072" s="2">
        <f t="shared" si="2097"/>
        <v>43405</v>
      </c>
      <c r="F13072" s="2">
        <f t="shared" si="2098"/>
        <v>44865</v>
      </c>
    </row>
    <row r="13073" spans="1:6" x14ac:dyDescent="0.25">
      <c r="A13073" s="1" t="s">
        <v>245</v>
      </c>
      <c r="B13073" s="1" t="s">
        <v>1081</v>
      </c>
      <c r="C13073" s="1" t="s">
        <v>22</v>
      </c>
      <c r="D13073" s="3">
        <f t="shared" si="2096"/>
        <v>8369</v>
      </c>
      <c r="E13073" s="2">
        <f t="shared" si="2097"/>
        <v>43405</v>
      </c>
      <c r="F13073" s="2">
        <f t="shared" si="2098"/>
        <v>44865</v>
      </c>
    </row>
    <row r="13074" spans="1:6" x14ac:dyDescent="0.25">
      <c r="A13074" s="1" t="s">
        <v>245</v>
      </c>
      <c r="B13074" s="1" t="s">
        <v>1081</v>
      </c>
      <c r="C13074" s="1" t="s">
        <v>146</v>
      </c>
      <c r="D13074" s="3">
        <f t="shared" si="2096"/>
        <v>8369</v>
      </c>
      <c r="E13074" s="2">
        <f t="shared" si="2097"/>
        <v>43405</v>
      </c>
      <c r="F13074" s="2">
        <f t="shared" si="2098"/>
        <v>44865</v>
      </c>
    </row>
    <row r="13075" spans="1:6" x14ac:dyDescent="0.25">
      <c r="A13075" s="1" t="s">
        <v>245</v>
      </c>
      <c r="B13075" s="1" t="s">
        <v>1081</v>
      </c>
      <c r="C13075" s="1" t="s">
        <v>67</v>
      </c>
      <c r="D13075" s="3">
        <f t="shared" si="2096"/>
        <v>8369</v>
      </c>
      <c r="E13075" s="2">
        <f t="shared" si="2097"/>
        <v>43405</v>
      </c>
      <c r="F13075" s="2">
        <f t="shared" si="2098"/>
        <v>44865</v>
      </c>
    </row>
    <row r="13076" spans="1:6" x14ac:dyDescent="0.25">
      <c r="A13076" s="1" t="s">
        <v>245</v>
      </c>
      <c r="B13076" s="1" t="s">
        <v>1081</v>
      </c>
      <c r="C13076" s="1" t="s">
        <v>148</v>
      </c>
      <c r="D13076" s="3">
        <f t="shared" si="2096"/>
        <v>8369</v>
      </c>
      <c r="E13076" s="2">
        <f t="shared" si="2097"/>
        <v>43405</v>
      </c>
      <c r="F13076" s="2">
        <f t="shared" si="2098"/>
        <v>44865</v>
      </c>
    </row>
    <row r="13077" spans="1:6" x14ac:dyDescent="0.25">
      <c r="A13077" s="1" t="s">
        <v>245</v>
      </c>
      <c r="B13077" s="1" t="s">
        <v>1081</v>
      </c>
      <c r="C13077" s="1" t="s">
        <v>149</v>
      </c>
      <c r="D13077" s="3">
        <f t="shared" si="2096"/>
        <v>8369</v>
      </c>
      <c r="E13077" s="2">
        <f t="shared" si="2097"/>
        <v>43405</v>
      </c>
      <c r="F13077" s="2">
        <f t="shared" si="2098"/>
        <v>44865</v>
      </c>
    </row>
    <row r="13078" spans="1:6" x14ac:dyDescent="0.25">
      <c r="A13078" s="1" t="s">
        <v>245</v>
      </c>
      <c r="B13078" s="1" t="s">
        <v>1081</v>
      </c>
      <c r="C13078" s="1" t="s">
        <v>386</v>
      </c>
      <c r="D13078" s="3">
        <f t="shared" si="2096"/>
        <v>8369</v>
      </c>
      <c r="E13078" s="2">
        <f t="shared" si="2097"/>
        <v>43405</v>
      </c>
      <c r="F13078" s="2">
        <f t="shared" si="2098"/>
        <v>44865</v>
      </c>
    </row>
    <row r="13079" spans="1:6" x14ac:dyDescent="0.25">
      <c r="A13079" s="1" t="s">
        <v>245</v>
      </c>
      <c r="B13079" s="1" t="s">
        <v>1081</v>
      </c>
      <c r="C13079" s="1" t="s">
        <v>387</v>
      </c>
      <c r="D13079" s="3">
        <f t="shared" si="2096"/>
        <v>8369</v>
      </c>
      <c r="E13079" s="2">
        <f t="shared" si="2097"/>
        <v>43405</v>
      </c>
      <c r="F13079" s="2">
        <f t="shared" si="2098"/>
        <v>44865</v>
      </c>
    </row>
    <row r="13080" spans="1:6" x14ac:dyDescent="0.25">
      <c r="A13080" s="1" t="s">
        <v>245</v>
      </c>
      <c r="B13080" s="1" t="s">
        <v>1081</v>
      </c>
      <c r="C13080" s="1" t="s">
        <v>388</v>
      </c>
      <c r="D13080" s="3">
        <f t="shared" si="2096"/>
        <v>8369</v>
      </c>
      <c r="E13080" s="2">
        <f t="shared" si="2097"/>
        <v>43405</v>
      </c>
      <c r="F13080" s="2">
        <f t="shared" si="2098"/>
        <v>44865</v>
      </c>
    </row>
    <row r="13081" spans="1:6" x14ac:dyDescent="0.25">
      <c r="A13081" s="1" t="s">
        <v>245</v>
      </c>
      <c r="B13081" s="1" t="s">
        <v>1081</v>
      </c>
      <c r="C13081" s="1" t="s">
        <v>92</v>
      </c>
      <c r="D13081" s="3">
        <f t="shared" si="2096"/>
        <v>8369</v>
      </c>
      <c r="E13081" s="2">
        <f t="shared" si="2097"/>
        <v>43405</v>
      </c>
      <c r="F13081" s="2">
        <f t="shared" si="2098"/>
        <v>44865</v>
      </c>
    </row>
    <row r="13082" spans="1:6" x14ac:dyDescent="0.25">
      <c r="A13082" s="1" t="s">
        <v>245</v>
      </c>
      <c r="B13082" s="1" t="s">
        <v>1081</v>
      </c>
      <c r="C13082" s="1" t="s">
        <v>567</v>
      </c>
      <c r="D13082" s="3">
        <f t="shared" si="2096"/>
        <v>8369</v>
      </c>
      <c r="E13082" s="2">
        <f t="shared" si="2097"/>
        <v>43405</v>
      </c>
      <c r="F13082" s="2">
        <f t="shared" si="2098"/>
        <v>44865</v>
      </c>
    </row>
    <row r="13083" spans="1:6" x14ac:dyDescent="0.25">
      <c r="A13083" s="1" t="s">
        <v>245</v>
      </c>
      <c r="B13083" s="1" t="s">
        <v>1081</v>
      </c>
      <c r="C13083" s="1" t="s">
        <v>1082</v>
      </c>
      <c r="D13083" s="3">
        <f t="shared" si="2096"/>
        <v>8369</v>
      </c>
      <c r="E13083" s="2">
        <f t="shared" si="2097"/>
        <v>43405</v>
      </c>
      <c r="F13083" s="2">
        <f t="shared" si="2098"/>
        <v>44865</v>
      </c>
    </row>
    <row r="13084" spans="1:6" x14ac:dyDescent="0.25">
      <c r="A13084" s="1" t="s">
        <v>245</v>
      </c>
      <c r="B13084" s="1" t="s">
        <v>1081</v>
      </c>
      <c r="C13084" s="1" t="s">
        <v>966</v>
      </c>
      <c r="D13084" s="3">
        <f t="shared" si="2096"/>
        <v>8369</v>
      </c>
      <c r="E13084" s="2">
        <f t="shared" si="2097"/>
        <v>43405</v>
      </c>
      <c r="F13084" s="2">
        <f t="shared" si="2098"/>
        <v>44865</v>
      </c>
    </row>
    <row r="13085" spans="1:6" x14ac:dyDescent="0.25">
      <c r="A13085" s="1" t="s">
        <v>245</v>
      </c>
      <c r="B13085" s="1" t="s">
        <v>1081</v>
      </c>
      <c r="C13085" s="1" t="s">
        <v>968</v>
      </c>
      <c r="D13085" s="3">
        <f t="shared" si="2096"/>
        <v>8369</v>
      </c>
      <c r="E13085" s="2">
        <f t="shared" si="2097"/>
        <v>43405</v>
      </c>
      <c r="F13085" s="2">
        <f t="shared" si="2098"/>
        <v>44865</v>
      </c>
    </row>
    <row r="13086" spans="1:6" x14ac:dyDescent="0.25">
      <c r="A13086" s="1" t="s">
        <v>245</v>
      </c>
      <c r="B13086" s="1" t="s">
        <v>1081</v>
      </c>
      <c r="C13086" s="1" t="s">
        <v>970</v>
      </c>
      <c r="D13086" s="3">
        <f t="shared" si="2096"/>
        <v>8369</v>
      </c>
      <c r="E13086" s="2">
        <f t="shared" si="2097"/>
        <v>43405</v>
      </c>
      <c r="F13086" s="2">
        <f t="shared" si="2098"/>
        <v>44865</v>
      </c>
    </row>
    <row r="13087" spans="1:6" x14ac:dyDescent="0.25">
      <c r="A13087" s="1" t="s">
        <v>245</v>
      </c>
      <c r="B13087" s="1" t="s">
        <v>1081</v>
      </c>
      <c r="C13087" s="1" t="s">
        <v>568</v>
      </c>
      <c r="D13087" s="3">
        <f t="shared" si="2096"/>
        <v>8369</v>
      </c>
      <c r="E13087" s="2">
        <f t="shared" si="2097"/>
        <v>43405</v>
      </c>
      <c r="F13087" s="2">
        <f t="shared" si="2098"/>
        <v>44865</v>
      </c>
    </row>
    <row r="13088" spans="1:6" x14ac:dyDescent="0.25">
      <c r="A13088" s="1" t="s">
        <v>245</v>
      </c>
      <c r="B13088" s="1" t="s">
        <v>1081</v>
      </c>
      <c r="C13088" s="1" t="s">
        <v>569</v>
      </c>
      <c r="D13088" s="3">
        <f t="shared" si="2096"/>
        <v>8369</v>
      </c>
      <c r="E13088" s="2">
        <f t="shared" si="2097"/>
        <v>43405</v>
      </c>
      <c r="F13088" s="2">
        <f t="shared" si="2098"/>
        <v>44865</v>
      </c>
    </row>
    <row r="13089" spans="1:6" x14ac:dyDescent="0.25">
      <c r="A13089" s="1" t="s">
        <v>245</v>
      </c>
      <c r="B13089" s="1" t="s">
        <v>1081</v>
      </c>
      <c r="C13089" s="1" t="s">
        <v>570</v>
      </c>
      <c r="D13089" s="3">
        <f t="shared" si="2096"/>
        <v>8369</v>
      </c>
      <c r="E13089" s="2">
        <f t="shared" si="2097"/>
        <v>43405</v>
      </c>
      <c r="F13089" s="2">
        <f t="shared" si="2098"/>
        <v>44865</v>
      </c>
    </row>
    <row r="13090" spans="1:6" x14ac:dyDescent="0.25">
      <c r="A13090" s="1" t="s">
        <v>245</v>
      </c>
      <c r="B13090" s="1" t="s">
        <v>1081</v>
      </c>
      <c r="C13090" s="1" t="s">
        <v>661</v>
      </c>
      <c r="D13090" s="3">
        <f t="shared" si="2096"/>
        <v>8369</v>
      </c>
      <c r="E13090" s="2">
        <f t="shared" si="2097"/>
        <v>43405</v>
      </c>
      <c r="F13090" s="2">
        <f t="shared" si="2098"/>
        <v>44865</v>
      </c>
    </row>
    <row r="13091" spans="1:6" x14ac:dyDescent="0.25">
      <c r="A13091" s="1" t="s">
        <v>245</v>
      </c>
      <c r="B13091" s="1" t="s">
        <v>1081</v>
      </c>
      <c r="C13091" s="1" t="s">
        <v>662</v>
      </c>
      <c r="D13091" s="3">
        <f t="shared" si="2096"/>
        <v>8369</v>
      </c>
      <c r="E13091" s="2">
        <f t="shared" si="2097"/>
        <v>43405</v>
      </c>
      <c r="F13091" s="2">
        <f t="shared" si="2098"/>
        <v>44865</v>
      </c>
    </row>
    <row r="13092" spans="1:6" x14ac:dyDescent="0.25">
      <c r="A13092" s="1" t="s">
        <v>245</v>
      </c>
      <c r="B13092" s="1" t="s">
        <v>1081</v>
      </c>
      <c r="C13092" s="1" t="s">
        <v>94</v>
      </c>
      <c r="D13092" s="3">
        <f t="shared" ref="D13092:D13115" si="2099">VALUE("8369")</f>
        <v>8369</v>
      </c>
      <c r="E13092" s="2">
        <f t="shared" ref="E13092:E13115" si="2100">DATEVALUE("1-11-2018")</f>
        <v>43405</v>
      </c>
      <c r="F13092" s="2">
        <f t="shared" ref="F13092:F13115" si="2101">DATEVALUE("31-10-2022")</f>
        <v>44865</v>
      </c>
    </row>
    <row r="13093" spans="1:6" x14ac:dyDescent="0.25">
      <c r="A13093" s="1" t="s">
        <v>245</v>
      </c>
      <c r="B13093" s="1" t="s">
        <v>1081</v>
      </c>
      <c r="C13093" s="1" t="s">
        <v>571</v>
      </c>
      <c r="D13093" s="3">
        <f t="shared" si="2099"/>
        <v>8369</v>
      </c>
      <c r="E13093" s="2">
        <f t="shared" si="2100"/>
        <v>43405</v>
      </c>
      <c r="F13093" s="2">
        <f t="shared" si="2101"/>
        <v>44865</v>
      </c>
    </row>
    <row r="13094" spans="1:6" x14ac:dyDescent="0.25">
      <c r="A13094" s="1" t="s">
        <v>245</v>
      </c>
      <c r="B13094" s="1" t="s">
        <v>1081</v>
      </c>
      <c r="C13094" s="1" t="s">
        <v>573</v>
      </c>
      <c r="D13094" s="3">
        <f t="shared" si="2099"/>
        <v>8369</v>
      </c>
      <c r="E13094" s="2">
        <f t="shared" si="2100"/>
        <v>43405</v>
      </c>
      <c r="F13094" s="2">
        <f t="shared" si="2101"/>
        <v>44865</v>
      </c>
    </row>
    <row r="13095" spans="1:6" x14ac:dyDescent="0.25">
      <c r="A13095" s="1" t="s">
        <v>245</v>
      </c>
      <c r="B13095" s="1" t="s">
        <v>1081</v>
      </c>
      <c r="C13095" s="1" t="s">
        <v>1083</v>
      </c>
      <c r="D13095" s="3">
        <f t="shared" si="2099"/>
        <v>8369</v>
      </c>
      <c r="E13095" s="2">
        <f t="shared" si="2100"/>
        <v>43405</v>
      </c>
      <c r="F13095" s="2">
        <f t="shared" si="2101"/>
        <v>44865</v>
      </c>
    </row>
    <row r="13096" spans="1:6" x14ac:dyDescent="0.25">
      <c r="A13096" s="1" t="s">
        <v>245</v>
      </c>
      <c r="B13096" s="1" t="s">
        <v>1081</v>
      </c>
      <c r="C13096" s="1" t="s">
        <v>70</v>
      </c>
      <c r="D13096" s="3">
        <f t="shared" si="2099"/>
        <v>8369</v>
      </c>
      <c r="E13096" s="2">
        <f t="shared" si="2100"/>
        <v>43405</v>
      </c>
      <c r="F13096" s="2">
        <f t="shared" si="2101"/>
        <v>44865</v>
      </c>
    </row>
    <row r="13097" spans="1:6" x14ac:dyDescent="0.25">
      <c r="A13097" s="1" t="s">
        <v>245</v>
      </c>
      <c r="B13097" s="1" t="s">
        <v>1081</v>
      </c>
      <c r="C13097" s="1" t="s">
        <v>283</v>
      </c>
      <c r="D13097" s="3">
        <f t="shared" si="2099"/>
        <v>8369</v>
      </c>
      <c r="E13097" s="2">
        <f t="shared" si="2100"/>
        <v>43405</v>
      </c>
      <c r="F13097" s="2">
        <f t="shared" si="2101"/>
        <v>44865</v>
      </c>
    </row>
    <row r="13098" spans="1:6" x14ac:dyDescent="0.25">
      <c r="A13098" s="1" t="s">
        <v>245</v>
      </c>
      <c r="B13098" s="1" t="s">
        <v>1081</v>
      </c>
      <c r="C13098" s="1" t="s">
        <v>910</v>
      </c>
      <c r="D13098" s="3">
        <f t="shared" si="2099"/>
        <v>8369</v>
      </c>
      <c r="E13098" s="2">
        <f t="shared" si="2100"/>
        <v>43405</v>
      </c>
      <c r="F13098" s="2">
        <f t="shared" si="2101"/>
        <v>44865</v>
      </c>
    </row>
    <row r="13099" spans="1:6" x14ac:dyDescent="0.25">
      <c r="A13099" s="1" t="s">
        <v>245</v>
      </c>
      <c r="B13099" s="1" t="s">
        <v>1081</v>
      </c>
      <c r="C13099" s="1" t="s">
        <v>391</v>
      </c>
      <c r="D13099" s="3">
        <f t="shared" si="2099"/>
        <v>8369</v>
      </c>
      <c r="E13099" s="2">
        <f t="shared" si="2100"/>
        <v>43405</v>
      </c>
      <c r="F13099" s="2">
        <f t="shared" si="2101"/>
        <v>44865</v>
      </c>
    </row>
    <row r="13100" spans="1:6" x14ac:dyDescent="0.25">
      <c r="A13100" s="1" t="s">
        <v>245</v>
      </c>
      <c r="B13100" s="1" t="s">
        <v>1081</v>
      </c>
      <c r="C13100" s="1" t="s">
        <v>160</v>
      </c>
      <c r="D13100" s="3">
        <f t="shared" si="2099"/>
        <v>8369</v>
      </c>
      <c r="E13100" s="2">
        <f t="shared" si="2100"/>
        <v>43405</v>
      </c>
      <c r="F13100" s="2">
        <f t="shared" si="2101"/>
        <v>44865</v>
      </c>
    </row>
    <row r="13101" spans="1:6" x14ac:dyDescent="0.25">
      <c r="A13101" s="1" t="s">
        <v>245</v>
      </c>
      <c r="B13101" s="1" t="s">
        <v>1081</v>
      </c>
      <c r="C13101" s="1" t="s">
        <v>34</v>
      </c>
      <c r="D13101" s="3">
        <f t="shared" si="2099"/>
        <v>8369</v>
      </c>
      <c r="E13101" s="2">
        <f t="shared" si="2100"/>
        <v>43405</v>
      </c>
      <c r="F13101" s="2">
        <f t="shared" si="2101"/>
        <v>44865</v>
      </c>
    </row>
    <row r="13102" spans="1:6" x14ac:dyDescent="0.25">
      <c r="A13102" s="1" t="s">
        <v>245</v>
      </c>
      <c r="B13102" s="1" t="s">
        <v>1081</v>
      </c>
      <c r="C13102" s="1" t="s">
        <v>55</v>
      </c>
      <c r="D13102" s="3">
        <f t="shared" si="2099"/>
        <v>8369</v>
      </c>
      <c r="E13102" s="2">
        <f t="shared" si="2100"/>
        <v>43405</v>
      </c>
      <c r="F13102" s="2">
        <f t="shared" si="2101"/>
        <v>44865</v>
      </c>
    </row>
    <row r="13103" spans="1:6" x14ac:dyDescent="0.25">
      <c r="A13103" s="1" t="s">
        <v>245</v>
      </c>
      <c r="B13103" s="1" t="s">
        <v>1081</v>
      </c>
      <c r="C13103" s="1" t="s">
        <v>306</v>
      </c>
      <c r="D13103" s="3">
        <f t="shared" si="2099"/>
        <v>8369</v>
      </c>
      <c r="E13103" s="2">
        <f t="shared" si="2100"/>
        <v>43405</v>
      </c>
      <c r="F13103" s="2">
        <f t="shared" si="2101"/>
        <v>44865</v>
      </c>
    </row>
    <row r="13104" spans="1:6" x14ac:dyDescent="0.25">
      <c r="A13104" s="1" t="s">
        <v>245</v>
      </c>
      <c r="B13104" s="1" t="s">
        <v>1081</v>
      </c>
      <c r="C13104" s="1" t="s">
        <v>574</v>
      </c>
      <c r="D13104" s="3">
        <f t="shared" si="2099"/>
        <v>8369</v>
      </c>
      <c r="E13104" s="2">
        <f t="shared" si="2100"/>
        <v>43405</v>
      </c>
      <c r="F13104" s="2">
        <f t="shared" si="2101"/>
        <v>44865</v>
      </c>
    </row>
    <row r="13105" spans="1:6" x14ac:dyDescent="0.25">
      <c r="A13105" s="1" t="s">
        <v>245</v>
      </c>
      <c r="B13105" s="1" t="s">
        <v>1081</v>
      </c>
      <c r="C13105" s="1" t="s">
        <v>875</v>
      </c>
      <c r="D13105" s="3">
        <f t="shared" si="2099"/>
        <v>8369</v>
      </c>
      <c r="E13105" s="2">
        <f t="shared" si="2100"/>
        <v>43405</v>
      </c>
      <c r="F13105" s="2">
        <f t="shared" si="2101"/>
        <v>44865</v>
      </c>
    </row>
    <row r="13106" spans="1:6" x14ac:dyDescent="0.25">
      <c r="A13106" s="1" t="s">
        <v>245</v>
      </c>
      <c r="B13106" s="1" t="s">
        <v>1081</v>
      </c>
      <c r="C13106" s="1" t="s">
        <v>876</v>
      </c>
      <c r="D13106" s="3">
        <f t="shared" si="2099"/>
        <v>8369</v>
      </c>
      <c r="E13106" s="2">
        <f t="shared" si="2100"/>
        <v>43405</v>
      </c>
      <c r="F13106" s="2">
        <f t="shared" si="2101"/>
        <v>44865</v>
      </c>
    </row>
    <row r="13107" spans="1:6" x14ac:dyDescent="0.25">
      <c r="A13107" s="1" t="s">
        <v>245</v>
      </c>
      <c r="B13107" s="1" t="s">
        <v>1081</v>
      </c>
      <c r="C13107" s="1" t="s">
        <v>877</v>
      </c>
      <c r="D13107" s="3">
        <f t="shared" si="2099"/>
        <v>8369</v>
      </c>
      <c r="E13107" s="2">
        <f t="shared" si="2100"/>
        <v>43405</v>
      </c>
      <c r="F13107" s="2">
        <f t="shared" si="2101"/>
        <v>44865</v>
      </c>
    </row>
    <row r="13108" spans="1:6" x14ac:dyDescent="0.25">
      <c r="A13108" s="1" t="s">
        <v>245</v>
      </c>
      <c r="B13108" s="1" t="s">
        <v>1081</v>
      </c>
      <c r="C13108" s="1" t="s">
        <v>575</v>
      </c>
      <c r="D13108" s="3">
        <f t="shared" si="2099"/>
        <v>8369</v>
      </c>
      <c r="E13108" s="2">
        <f t="shared" si="2100"/>
        <v>43405</v>
      </c>
      <c r="F13108" s="2">
        <f t="shared" si="2101"/>
        <v>44865</v>
      </c>
    </row>
    <row r="13109" spans="1:6" x14ac:dyDescent="0.25">
      <c r="A13109" s="1" t="s">
        <v>245</v>
      </c>
      <c r="B13109" s="1" t="s">
        <v>1081</v>
      </c>
      <c r="C13109" s="1" t="s">
        <v>576</v>
      </c>
      <c r="D13109" s="3">
        <f t="shared" si="2099"/>
        <v>8369</v>
      </c>
      <c r="E13109" s="2">
        <f t="shared" si="2100"/>
        <v>43405</v>
      </c>
      <c r="F13109" s="2">
        <f t="shared" si="2101"/>
        <v>44865</v>
      </c>
    </row>
    <row r="13110" spans="1:6" x14ac:dyDescent="0.25">
      <c r="A13110" s="1" t="s">
        <v>245</v>
      </c>
      <c r="B13110" s="1" t="s">
        <v>1081</v>
      </c>
      <c r="C13110" s="1" t="s">
        <v>577</v>
      </c>
      <c r="D13110" s="3">
        <f t="shared" si="2099"/>
        <v>8369</v>
      </c>
      <c r="E13110" s="2">
        <f t="shared" si="2100"/>
        <v>43405</v>
      </c>
      <c r="F13110" s="2">
        <f t="shared" si="2101"/>
        <v>44865</v>
      </c>
    </row>
    <row r="13111" spans="1:6" x14ac:dyDescent="0.25">
      <c r="A13111" s="1" t="s">
        <v>245</v>
      </c>
      <c r="B13111" s="1" t="s">
        <v>1081</v>
      </c>
      <c r="C13111" s="1" t="s">
        <v>663</v>
      </c>
      <c r="D13111" s="3">
        <f t="shared" si="2099"/>
        <v>8369</v>
      </c>
      <c r="E13111" s="2">
        <f t="shared" si="2100"/>
        <v>43405</v>
      </c>
      <c r="F13111" s="2">
        <f t="shared" si="2101"/>
        <v>44865</v>
      </c>
    </row>
    <row r="13112" spans="1:6" x14ac:dyDescent="0.25">
      <c r="A13112" s="1" t="s">
        <v>245</v>
      </c>
      <c r="B13112" s="1" t="s">
        <v>1081</v>
      </c>
      <c r="C13112" s="1" t="s">
        <v>664</v>
      </c>
      <c r="D13112" s="3">
        <f t="shared" si="2099"/>
        <v>8369</v>
      </c>
      <c r="E13112" s="2">
        <f t="shared" si="2100"/>
        <v>43405</v>
      </c>
      <c r="F13112" s="2">
        <f t="shared" si="2101"/>
        <v>44865</v>
      </c>
    </row>
    <row r="13113" spans="1:6" x14ac:dyDescent="0.25">
      <c r="A13113" s="1" t="s">
        <v>245</v>
      </c>
      <c r="B13113" s="1" t="s">
        <v>1081</v>
      </c>
      <c r="C13113" s="1" t="s">
        <v>665</v>
      </c>
      <c r="D13113" s="3">
        <f t="shared" si="2099"/>
        <v>8369</v>
      </c>
      <c r="E13113" s="2">
        <f t="shared" si="2100"/>
        <v>43405</v>
      </c>
      <c r="F13113" s="2">
        <f t="shared" si="2101"/>
        <v>44865</v>
      </c>
    </row>
    <row r="13114" spans="1:6" x14ac:dyDescent="0.25">
      <c r="A13114" s="1" t="s">
        <v>245</v>
      </c>
      <c r="B13114" s="1" t="s">
        <v>1081</v>
      </c>
      <c r="C13114" s="1" t="s">
        <v>379</v>
      </c>
      <c r="D13114" s="3">
        <f t="shared" si="2099"/>
        <v>8369</v>
      </c>
      <c r="E13114" s="2">
        <f t="shared" si="2100"/>
        <v>43405</v>
      </c>
      <c r="F13114" s="2">
        <f t="shared" si="2101"/>
        <v>44865</v>
      </c>
    </row>
    <row r="13115" spans="1:6" x14ac:dyDescent="0.25">
      <c r="A13115" s="1" t="s">
        <v>245</v>
      </c>
      <c r="B13115" s="1" t="s">
        <v>1081</v>
      </c>
      <c r="C13115" s="1" t="s">
        <v>170</v>
      </c>
      <c r="D13115" s="3">
        <f t="shared" si="2099"/>
        <v>8369</v>
      </c>
      <c r="E13115" s="2">
        <f t="shared" si="2100"/>
        <v>43405</v>
      </c>
      <c r="F13115" s="2">
        <f t="shared" si="2101"/>
        <v>44865</v>
      </c>
    </row>
    <row r="13116" spans="1:6" x14ac:dyDescent="0.25">
      <c r="A13116" s="1" t="s">
        <v>245</v>
      </c>
      <c r="B13116" s="1" t="s">
        <v>1025</v>
      </c>
      <c r="C13116" s="1" t="s">
        <v>1029</v>
      </c>
      <c r="D13116" s="3">
        <f t="shared" ref="D13116:D13137" si="2102">VALUE("8306")</f>
        <v>8306</v>
      </c>
      <c r="E13116" s="2">
        <f t="shared" ref="E13116:E13137" si="2103">DATEVALUE("1-10-2018")</f>
        <v>43374</v>
      </c>
      <c r="F13116" s="2">
        <f t="shared" ref="F13116:F13137" si="2104">DATEVALUE("31-12-2021")</f>
        <v>44561</v>
      </c>
    </row>
    <row r="13117" spans="1:6" x14ac:dyDescent="0.25">
      <c r="A13117" s="1" t="s">
        <v>245</v>
      </c>
      <c r="B13117" s="1" t="s">
        <v>1025</v>
      </c>
      <c r="C13117" s="1" t="s">
        <v>1026</v>
      </c>
      <c r="D13117" s="3">
        <f t="shared" si="2102"/>
        <v>8306</v>
      </c>
      <c r="E13117" s="2">
        <f t="shared" si="2103"/>
        <v>43374</v>
      </c>
      <c r="F13117" s="2">
        <f t="shared" si="2104"/>
        <v>44561</v>
      </c>
    </row>
    <row r="13118" spans="1:6" x14ac:dyDescent="0.25">
      <c r="A13118" s="1" t="s">
        <v>245</v>
      </c>
      <c r="B13118" s="1" t="s">
        <v>1025</v>
      </c>
      <c r="C13118" s="1" t="s">
        <v>85</v>
      </c>
      <c r="D13118" s="3">
        <f t="shared" si="2102"/>
        <v>8306</v>
      </c>
      <c r="E13118" s="2">
        <f t="shared" si="2103"/>
        <v>43374</v>
      </c>
      <c r="F13118" s="2">
        <f t="shared" si="2104"/>
        <v>44561</v>
      </c>
    </row>
    <row r="13119" spans="1:6" x14ac:dyDescent="0.25">
      <c r="A13119" s="1" t="s">
        <v>245</v>
      </c>
      <c r="B13119" s="1" t="s">
        <v>1025</v>
      </c>
      <c r="C13119" s="1" t="s">
        <v>84</v>
      </c>
      <c r="D13119" s="3">
        <f t="shared" si="2102"/>
        <v>8306</v>
      </c>
      <c r="E13119" s="2">
        <f t="shared" si="2103"/>
        <v>43374</v>
      </c>
      <c r="F13119" s="2">
        <f t="shared" si="2104"/>
        <v>44561</v>
      </c>
    </row>
    <row r="13120" spans="1:6" x14ac:dyDescent="0.25">
      <c r="A13120" s="1" t="s">
        <v>245</v>
      </c>
      <c r="B13120" s="1" t="s">
        <v>1025</v>
      </c>
      <c r="C13120" s="1" t="s">
        <v>14</v>
      </c>
      <c r="D13120" s="3">
        <f t="shared" si="2102"/>
        <v>8306</v>
      </c>
      <c r="E13120" s="2">
        <f t="shared" si="2103"/>
        <v>43374</v>
      </c>
      <c r="F13120" s="2">
        <f t="shared" si="2104"/>
        <v>44561</v>
      </c>
    </row>
    <row r="13121" spans="1:6" x14ac:dyDescent="0.25">
      <c r="A13121" s="1" t="s">
        <v>245</v>
      </c>
      <c r="B13121" s="1" t="s">
        <v>1025</v>
      </c>
      <c r="C13121" s="1" t="s">
        <v>66</v>
      </c>
      <c r="D13121" s="3">
        <f t="shared" si="2102"/>
        <v>8306</v>
      </c>
      <c r="E13121" s="2">
        <f t="shared" si="2103"/>
        <v>43374</v>
      </c>
      <c r="F13121" s="2">
        <f t="shared" si="2104"/>
        <v>44561</v>
      </c>
    </row>
    <row r="13122" spans="1:6" x14ac:dyDescent="0.25">
      <c r="A13122" s="1" t="s">
        <v>245</v>
      </c>
      <c r="B13122" s="1" t="s">
        <v>1025</v>
      </c>
      <c r="C13122" s="1" t="s">
        <v>15</v>
      </c>
      <c r="D13122" s="3">
        <f t="shared" si="2102"/>
        <v>8306</v>
      </c>
      <c r="E13122" s="2">
        <f t="shared" si="2103"/>
        <v>43374</v>
      </c>
      <c r="F13122" s="2">
        <f t="shared" si="2104"/>
        <v>44561</v>
      </c>
    </row>
    <row r="13123" spans="1:6" x14ac:dyDescent="0.25">
      <c r="A13123" s="1" t="s">
        <v>245</v>
      </c>
      <c r="B13123" s="1" t="s">
        <v>1025</v>
      </c>
      <c r="C13123" s="1" t="s">
        <v>89</v>
      </c>
      <c r="D13123" s="3">
        <f t="shared" si="2102"/>
        <v>8306</v>
      </c>
      <c r="E13123" s="2">
        <f t="shared" si="2103"/>
        <v>43374</v>
      </c>
      <c r="F13123" s="2">
        <f t="shared" si="2104"/>
        <v>44561</v>
      </c>
    </row>
    <row r="13124" spans="1:6" x14ac:dyDescent="0.25">
      <c r="A13124" s="1" t="s">
        <v>245</v>
      </c>
      <c r="B13124" s="1" t="s">
        <v>1025</v>
      </c>
      <c r="C13124" s="1" t="s">
        <v>17</v>
      </c>
      <c r="D13124" s="3">
        <f t="shared" si="2102"/>
        <v>8306</v>
      </c>
      <c r="E13124" s="2">
        <f t="shared" si="2103"/>
        <v>43374</v>
      </c>
      <c r="F13124" s="2">
        <f t="shared" si="2104"/>
        <v>44561</v>
      </c>
    </row>
    <row r="13125" spans="1:6" x14ac:dyDescent="0.25">
      <c r="A13125" s="1" t="s">
        <v>245</v>
      </c>
      <c r="B13125" s="1" t="s">
        <v>1025</v>
      </c>
      <c r="C13125" s="1" t="s">
        <v>91</v>
      </c>
      <c r="D13125" s="3">
        <f t="shared" si="2102"/>
        <v>8306</v>
      </c>
      <c r="E13125" s="2">
        <f t="shared" si="2103"/>
        <v>43374</v>
      </c>
      <c r="F13125" s="2">
        <f t="shared" si="2104"/>
        <v>44561</v>
      </c>
    </row>
    <row r="13126" spans="1:6" x14ac:dyDescent="0.25">
      <c r="A13126" s="1" t="s">
        <v>245</v>
      </c>
      <c r="B13126" s="1" t="s">
        <v>1025</v>
      </c>
      <c r="C13126" s="1" t="s">
        <v>197</v>
      </c>
      <c r="D13126" s="3">
        <f t="shared" si="2102"/>
        <v>8306</v>
      </c>
      <c r="E13126" s="2">
        <f t="shared" si="2103"/>
        <v>43374</v>
      </c>
      <c r="F13126" s="2">
        <f t="shared" si="2104"/>
        <v>44561</v>
      </c>
    </row>
    <row r="13127" spans="1:6" x14ac:dyDescent="0.25">
      <c r="A13127" s="1" t="s">
        <v>245</v>
      </c>
      <c r="B13127" s="1" t="s">
        <v>1025</v>
      </c>
      <c r="C13127" s="1" t="s">
        <v>22</v>
      </c>
      <c r="D13127" s="3">
        <f t="shared" si="2102"/>
        <v>8306</v>
      </c>
      <c r="E13127" s="2">
        <f t="shared" si="2103"/>
        <v>43374</v>
      </c>
      <c r="F13127" s="2">
        <f t="shared" si="2104"/>
        <v>44561</v>
      </c>
    </row>
    <row r="13128" spans="1:6" x14ac:dyDescent="0.25">
      <c r="A13128" s="1" t="s">
        <v>245</v>
      </c>
      <c r="B13128" s="1" t="s">
        <v>1025</v>
      </c>
      <c r="C13128" s="1" t="s">
        <v>146</v>
      </c>
      <c r="D13128" s="3">
        <f t="shared" si="2102"/>
        <v>8306</v>
      </c>
      <c r="E13128" s="2">
        <f t="shared" si="2103"/>
        <v>43374</v>
      </c>
      <c r="F13128" s="2">
        <f t="shared" si="2104"/>
        <v>44561</v>
      </c>
    </row>
    <row r="13129" spans="1:6" x14ac:dyDescent="0.25">
      <c r="A13129" s="1" t="s">
        <v>245</v>
      </c>
      <c r="B13129" s="1" t="s">
        <v>1025</v>
      </c>
      <c r="C13129" s="1" t="s">
        <v>128</v>
      </c>
      <c r="D13129" s="3">
        <f t="shared" si="2102"/>
        <v>8306</v>
      </c>
      <c r="E13129" s="2">
        <f t="shared" si="2103"/>
        <v>43374</v>
      </c>
      <c r="F13129" s="2">
        <f t="shared" si="2104"/>
        <v>44561</v>
      </c>
    </row>
    <row r="13130" spans="1:6" x14ac:dyDescent="0.25">
      <c r="A13130" s="1" t="s">
        <v>245</v>
      </c>
      <c r="B13130" s="1" t="s">
        <v>1025</v>
      </c>
      <c r="C13130" s="1" t="s">
        <v>180</v>
      </c>
      <c r="D13130" s="3">
        <f t="shared" si="2102"/>
        <v>8306</v>
      </c>
      <c r="E13130" s="2">
        <f t="shared" si="2103"/>
        <v>43374</v>
      </c>
      <c r="F13130" s="2">
        <f t="shared" si="2104"/>
        <v>44561</v>
      </c>
    </row>
    <row r="13131" spans="1:6" x14ac:dyDescent="0.25">
      <c r="A13131" s="1" t="s">
        <v>245</v>
      </c>
      <c r="B13131" s="1" t="s">
        <v>1025</v>
      </c>
      <c r="C13131" s="1" t="s">
        <v>93</v>
      </c>
      <c r="D13131" s="3">
        <f t="shared" si="2102"/>
        <v>8306</v>
      </c>
      <c r="E13131" s="2">
        <f t="shared" si="2103"/>
        <v>43374</v>
      </c>
      <c r="F13131" s="2">
        <f t="shared" si="2104"/>
        <v>44561</v>
      </c>
    </row>
    <row r="13132" spans="1:6" x14ac:dyDescent="0.25">
      <c r="A13132" s="1" t="s">
        <v>245</v>
      </c>
      <c r="B13132" s="1" t="s">
        <v>1025</v>
      </c>
      <c r="C13132" s="1" t="s">
        <v>129</v>
      </c>
      <c r="D13132" s="3">
        <f t="shared" si="2102"/>
        <v>8306</v>
      </c>
      <c r="E13132" s="2">
        <f t="shared" si="2103"/>
        <v>43374</v>
      </c>
      <c r="F13132" s="2">
        <f t="shared" si="2104"/>
        <v>44561</v>
      </c>
    </row>
    <row r="13133" spans="1:6" x14ac:dyDescent="0.25">
      <c r="A13133" s="1" t="s">
        <v>245</v>
      </c>
      <c r="B13133" s="1" t="s">
        <v>1025</v>
      </c>
      <c r="C13133" s="1" t="s">
        <v>1027</v>
      </c>
      <c r="D13133" s="3">
        <f t="shared" si="2102"/>
        <v>8306</v>
      </c>
      <c r="E13133" s="2">
        <f t="shared" si="2103"/>
        <v>43374</v>
      </c>
      <c r="F13133" s="2">
        <f t="shared" si="2104"/>
        <v>44561</v>
      </c>
    </row>
    <row r="13134" spans="1:6" x14ac:dyDescent="0.25">
      <c r="A13134" s="1" t="s">
        <v>245</v>
      </c>
      <c r="B13134" s="1" t="s">
        <v>1025</v>
      </c>
      <c r="C13134" s="1" t="s">
        <v>1028</v>
      </c>
      <c r="D13134" s="3">
        <f t="shared" si="2102"/>
        <v>8306</v>
      </c>
      <c r="E13134" s="2">
        <f t="shared" si="2103"/>
        <v>43374</v>
      </c>
      <c r="F13134" s="2">
        <f t="shared" si="2104"/>
        <v>44561</v>
      </c>
    </row>
    <row r="13135" spans="1:6" x14ac:dyDescent="0.25">
      <c r="A13135" s="1" t="s">
        <v>245</v>
      </c>
      <c r="B13135" s="1" t="s">
        <v>1025</v>
      </c>
      <c r="C13135" s="1" t="s">
        <v>94</v>
      </c>
      <c r="D13135" s="3">
        <f t="shared" si="2102"/>
        <v>8306</v>
      </c>
      <c r="E13135" s="2">
        <f t="shared" si="2103"/>
        <v>43374</v>
      </c>
      <c r="F13135" s="2">
        <f t="shared" si="2104"/>
        <v>44561</v>
      </c>
    </row>
    <row r="13136" spans="1:6" x14ac:dyDescent="0.25">
      <c r="A13136" s="1" t="s">
        <v>245</v>
      </c>
      <c r="B13136" s="1" t="s">
        <v>1025</v>
      </c>
      <c r="C13136" s="1" t="s">
        <v>24</v>
      </c>
      <c r="D13136" s="3">
        <f t="shared" si="2102"/>
        <v>8306</v>
      </c>
      <c r="E13136" s="2">
        <f t="shared" si="2103"/>
        <v>43374</v>
      </c>
      <c r="F13136" s="2">
        <f t="shared" si="2104"/>
        <v>44561</v>
      </c>
    </row>
    <row r="13137" spans="1:6" x14ac:dyDescent="0.25">
      <c r="A13137" s="1" t="s">
        <v>245</v>
      </c>
      <c r="B13137" s="1" t="s">
        <v>1025</v>
      </c>
      <c r="C13137" s="1" t="s">
        <v>34</v>
      </c>
      <c r="D13137" s="3">
        <f t="shared" si="2102"/>
        <v>8306</v>
      </c>
      <c r="E13137" s="2">
        <f t="shared" si="2103"/>
        <v>43374</v>
      </c>
      <c r="F13137" s="2">
        <f t="shared" si="2104"/>
        <v>44561</v>
      </c>
    </row>
    <row r="13138" spans="1:6" x14ac:dyDescent="0.25">
      <c r="A13138" s="1" t="s">
        <v>245</v>
      </c>
      <c r="B13138" s="1" t="s">
        <v>1753</v>
      </c>
      <c r="C13138" s="1" t="s">
        <v>85</v>
      </c>
      <c r="D13138" s="3">
        <f>VALUE("7882")</f>
        <v>7882</v>
      </c>
      <c r="E13138" s="2">
        <f>DATEVALUE("1-5-2016")</f>
        <v>42491</v>
      </c>
      <c r="F13138" s="2">
        <f>DATEVALUE("31-12-2016")</f>
        <v>42735</v>
      </c>
    </row>
    <row r="13139" spans="1:6" x14ac:dyDescent="0.25">
      <c r="A13139" s="1" t="s">
        <v>245</v>
      </c>
      <c r="B13139" s="1" t="s">
        <v>2001</v>
      </c>
      <c r="C13139" s="1" t="s">
        <v>14</v>
      </c>
      <c r="D13139" s="3">
        <f t="shared" ref="D13139:D13144" si="2105">VALUE("7847")</f>
        <v>7847</v>
      </c>
      <c r="E13139" s="2">
        <f t="shared" ref="E13139:E13144" si="2106">DATEVALUE("1-1-2016")</f>
        <v>42370</v>
      </c>
      <c r="F13139" s="2">
        <f t="shared" ref="F13139:F13144" si="2107">DATEVALUE("30-4-2018")</f>
        <v>43220</v>
      </c>
    </row>
    <row r="13140" spans="1:6" x14ac:dyDescent="0.25">
      <c r="A13140" s="1" t="s">
        <v>245</v>
      </c>
      <c r="B13140" s="1" t="s">
        <v>2001</v>
      </c>
      <c r="C13140" s="1" t="s">
        <v>93</v>
      </c>
      <c r="D13140" s="3">
        <f t="shared" si="2105"/>
        <v>7847</v>
      </c>
      <c r="E13140" s="2">
        <f t="shared" si="2106"/>
        <v>42370</v>
      </c>
      <c r="F13140" s="2">
        <f t="shared" si="2107"/>
        <v>43220</v>
      </c>
    </row>
    <row r="13141" spans="1:6" x14ac:dyDescent="0.25">
      <c r="A13141" s="1" t="s">
        <v>245</v>
      </c>
      <c r="B13141" s="1" t="s">
        <v>2001</v>
      </c>
      <c r="C13141" s="1" t="s">
        <v>129</v>
      </c>
      <c r="D13141" s="3">
        <f t="shared" si="2105"/>
        <v>7847</v>
      </c>
      <c r="E13141" s="2">
        <f t="shared" si="2106"/>
        <v>42370</v>
      </c>
      <c r="F13141" s="2">
        <f t="shared" si="2107"/>
        <v>43220</v>
      </c>
    </row>
    <row r="13142" spans="1:6" x14ac:dyDescent="0.25">
      <c r="A13142" s="1" t="s">
        <v>245</v>
      </c>
      <c r="B13142" s="1" t="s">
        <v>2001</v>
      </c>
      <c r="C13142" s="1" t="s">
        <v>176</v>
      </c>
      <c r="D13142" s="3">
        <f t="shared" si="2105"/>
        <v>7847</v>
      </c>
      <c r="E13142" s="2">
        <f t="shared" si="2106"/>
        <v>42370</v>
      </c>
      <c r="F13142" s="2">
        <f t="shared" si="2107"/>
        <v>43220</v>
      </c>
    </row>
    <row r="13143" spans="1:6" x14ac:dyDescent="0.25">
      <c r="A13143" s="1" t="s">
        <v>245</v>
      </c>
      <c r="B13143" s="1" t="s">
        <v>2001</v>
      </c>
      <c r="C13143" s="1" t="s">
        <v>130</v>
      </c>
      <c r="D13143" s="3">
        <f t="shared" si="2105"/>
        <v>7847</v>
      </c>
      <c r="E13143" s="2">
        <f t="shared" si="2106"/>
        <v>42370</v>
      </c>
      <c r="F13143" s="2">
        <f t="shared" si="2107"/>
        <v>43220</v>
      </c>
    </row>
    <row r="13144" spans="1:6" x14ac:dyDescent="0.25">
      <c r="A13144" s="1" t="s">
        <v>245</v>
      </c>
      <c r="B13144" s="1" t="s">
        <v>2001</v>
      </c>
      <c r="C13144" s="1" t="s">
        <v>55</v>
      </c>
      <c r="D13144" s="3">
        <f t="shared" si="2105"/>
        <v>7847</v>
      </c>
      <c r="E13144" s="2">
        <f t="shared" si="2106"/>
        <v>42370</v>
      </c>
      <c r="F13144" s="2">
        <f t="shared" si="2107"/>
        <v>43220</v>
      </c>
    </row>
    <row r="13145" spans="1:6" x14ac:dyDescent="0.25">
      <c r="A13145" s="1" t="s">
        <v>245</v>
      </c>
      <c r="B13145" s="1" t="s">
        <v>1940</v>
      </c>
      <c r="C13145" s="1" t="s">
        <v>91</v>
      </c>
      <c r="D13145" s="3">
        <f>VALUE("7646")</f>
        <v>7646</v>
      </c>
      <c r="E13145" s="2">
        <f>DATEVALUE("1-9-2014")</f>
        <v>41883</v>
      </c>
      <c r="F13145" s="2">
        <f>DATEVALUE("31-12-2016")</f>
        <v>42735</v>
      </c>
    </row>
    <row r="13146" spans="1:6" x14ac:dyDescent="0.25">
      <c r="A13146" s="1" t="s">
        <v>245</v>
      </c>
      <c r="B13146" s="1" t="s">
        <v>1708</v>
      </c>
      <c r="C13146" s="1" t="s">
        <v>85</v>
      </c>
      <c r="D13146" s="3">
        <f>VALUE("7434")</f>
        <v>7434</v>
      </c>
      <c r="E13146" s="2">
        <f>DATEVALUE("1-6-2014")</f>
        <v>41791</v>
      </c>
      <c r="F13146" s="2">
        <f>DATEVALUE("30-11-2014")</f>
        <v>41973</v>
      </c>
    </row>
    <row r="13147" spans="1:6" x14ac:dyDescent="0.25">
      <c r="A13147" s="1" t="s">
        <v>245</v>
      </c>
      <c r="B13147" s="1" t="s">
        <v>1710</v>
      </c>
      <c r="C13147" s="1" t="s">
        <v>85</v>
      </c>
      <c r="D13147" s="3">
        <f t="shared" ref="D13147:D13154" si="2108">VALUE("7497")</f>
        <v>7497</v>
      </c>
      <c r="E13147" s="2">
        <f t="shared" ref="E13147:E13154" si="2109">DATEVALUE("1-5-2013")</f>
        <v>41395</v>
      </c>
      <c r="F13147" s="2">
        <f t="shared" ref="F13147:F13154" si="2110">DATEVALUE("28-2-2017")</f>
        <v>42794</v>
      </c>
    </row>
    <row r="13148" spans="1:6" x14ac:dyDescent="0.25">
      <c r="A13148" s="1" t="s">
        <v>245</v>
      </c>
      <c r="B13148" s="1" t="s">
        <v>1710</v>
      </c>
      <c r="C13148" s="1" t="s">
        <v>16</v>
      </c>
      <c r="D13148" s="3">
        <f t="shared" si="2108"/>
        <v>7497</v>
      </c>
      <c r="E13148" s="2">
        <f t="shared" si="2109"/>
        <v>41395</v>
      </c>
      <c r="F13148" s="2">
        <f t="shared" si="2110"/>
        <v>42794</v>
      </c>
    </row>
    <row r="13149" spans="1:6" x14ac:dyDescent="0.25">
      <c r="A13149" s="1" t="s">
        <v>245</v>
      </c>
      <c r="B13149" s="1" t="s">
        <v>1710</v>
      </c>
      <c r="C13149" s="1" t="s">
        <v>89</v>
      </c>
      <c r="D13149" s="3">
        <f t="shared" si="2108"/>
        <v>7497</v>
      </c>
      <c r="E13149" s="2">
        <f t="shared" si="2109"/>
        <v>41395</v>
      </c>
      <c r="F13149" s="2">
        <f t="shared" si="2110"/>
        <v>42794</v>
      </c>
    </row>
    <row r="13150" spans="1:6" x14ac:dyDescent="0.25">
      <c r="A13150" s="1" t="s">
        <v>245</v>
      </c>
      <c r="B13150" s="1" t="s">
        <v>1710</v>
      </c>
      <c r="C13150" s="1" t="s">
        <v>93</v>
      </c>
      <c r="D13150" s="3">
        <f t="shared" si="2108"/>
        <v>7497</v>
      </c>
      <c r="E13150" s="2">
        <f t="shared" si="2109"/>
        <v>41395</v>
      </c>
      <c r="F13150" s="2">
        <f t="shared" si="2110"/>
        <v>42794</v>
      </c>
    </row>
    <row r="13151" spans="1:6" x14ac:dyDescent="0.25">
      <c r="A13151" s="1" t="s">
        <v>245</v>
      </c>
      <c r="B13151" s="1" t="s">
        <v>1710</v>
      </c>
      <c r="C13151" s="1" t="s">
        <v>129</v>
      </c>
      <c r="D13151" s="3">
        <f t="shared" si="2108"/>
        <v>7497</v>
      </c>
      <c r="E13151" s="2">
        <f t="shared" si="2109"/>
        <v>41395</v>
      </c>
      <c r="F13151" s="2">
        <f t="shared" si="2110"/>
        <v>42794</v>
      </c>
    </row>
    <row r="13152" spans="1:6" x14ac:dyDescent="0.25">
      <c r="A13152" s="1" t="s">
        <v>245</v>
      </c>
      <c r="B13152" s="1" t="s">
        <v>1710</v>
      </c>
      <c r="C13152" s="1" t="s">
        <v>177</v>
      </c>
      <c r="D13152" s="3">
        <f t="shared" si="2108"/>
        <v>7497</v>
      </c>
      <c r="E13152" s="2">
        <f t="shared" si="2109"/>
        <v>41395</v>
      </c>
      <c r="F13152" s="2">
        <f t="shared" si="2110"/>
        <v>42794</v>
      </c>
    </row>
    <row r="13153" spans="1:6" x14ac:dyDescent="0.25">
      <c r="A13153" s="1" t="s">
        <v>245</v>
      </c>
      <c r="B13153" s="1" t="s">
        <v>1710</v>
      </c>
      <c r="C13153" s="1" t="s">
        <v>181</v>
      </c>
      <c r="D13153" s="3">
        <f t="shared" si="2108"/>
        <v>7497</v>
      </c>
      <c r="E13153" s="2">
        <f t="shared" si="2109"/>
        <v>41395</v>
      </c>
      <c r="F13153" s="2">
        <f t="shared" si="2110"/>
        <v>42794</v>
      </c>
    </row>
    <row r="13154" spans="1:6" x14ac:dyDescent="0.25">
      <c r="A13154" s="1" t="s">
        <v>245</v>
      </c>
      <c r="B13154" s="1" t="s">
        <v>1710</v>
      </c>
      <c r="C13154" s="1" t="s">
        <v>176</v>
      </c>
      <c r="D13154" s="3">
        <f t="shared" si="2108"/>
        <v>7497</v>
      </c>
      <c r="E13154" s="2">
        <f t="shared" si="2109"/>
        <v>41395</v>
      </c>
      <c r="F13154" s="2">
        <f t="shared" si="2110"/>
        <v>42794</v>
      </c>
    </row>
    <row r="13155" spans="1:6" x14ac:dyDescent="0.25">
      <c r="A13155" s="1" t="s">
        <v>245</v>
      </c>
      <c r="B13155" s="1" t="s">
        <v>2681</v>
      </c>
      <c r="C13155" s="1" t="s">
        <v>85</v>
      </c>
      <c r="D13155" s="3">
        <f>VALUE("7373")</f>
        <v>7373</v>
      </c>
      <c r="E13155" s="2">
        <f>DATEVALUE("1-10-2012")</f>
        <v>41183</v>
      </c>
      <c r="F13155" s="2">
        <f>DATEVALUE("30-11-2012")</f>
        <v>41243</v>
      </c>
    </row>
    <row r="13156" spans="1:6" x14ac:dyDescent="0.25">
      <c r="A13156" s="1" t="s">
        <v>245</v>
      </c>
      <c r="B13156" s="1" t="s">
        <v>2681</v>
      </c>
      <c r="C13156" s="1" t="s">
        <v>17</v>
      </c>
      <c r="D13156" s="3">
        <f>VALUE("7373")</f>
        <v>7373</v>
      </c>
      <c r="E13156" s="2">
        <f>DATEVALUE("1-10-2012")</f>
        <v>41183</v>
      </c>
      <c r="F13156" s="2">
        <f>DATEVALUE("30-11-2012")</f>
        <v>41243</v>
      </c>
    </row>
    <row r="13157" spans="1:6" x14ac:dyDescent="0.25">
      <c r="A13157" s="1" t="s">
        <v>245</v>
      </c>
      <c r="B13157" s="1" t="s">
        <v>2681</v>
      </c>
      <c r="C13157" s="1" t="s">
        <v>371</v>
      </c>
      <c r="D13157" s="3">
        <f>VALUE("7373")</f>
        <v>7373</v>
      </c>
      <c r="E13157" s="2">
        <f>DATEVALUE("1-10-2012")</f>
        <v>41183</v>
      </c>
      <c r="F13157" s="2">
        <f>DATEVALUE("30-11-2012")</f>
        <v>41243</v>
      </c>
    </row>
    <row r="13158" spans="1:6" x14ac:dyDescent="0.25">
      <c r="A13158" s="1" t="s">
        <v>245</v>
      </c>
      <c r="B13158" s="1" t="s">
        <v>1899</v>
      </c>
      <c r="C13158" s="1" t="s">
        <v>66</v>
      </c>
      <c r="D13158" s="3">
        <f>VALUE("7347")</f>
        <v>7347</v>
      </c>
      <c r="E13158" s="2">
        <f>DATEVALUE("1-9-2012")</f>
        <v>41153</v>
      </c>
      <c r="F13158" s="2">
        <f>DATEVALUE("31-12-2015")</f>
        <v>42369</v>
      </c>
    </row>
    <row r="13159" spans="1:6" x14ac:dyDescent="0.25">
      <c r="A13159" s="1" t="s">
        <v>245</v>
      </c>
      <c r="B13159" s="1" t="s">
        <v>1899</v>
      </c>
      <c r="C13159" s="1" t="s">
        <v>89</v>
      </c>
      <c r="D13159" s="3">
        <f>VALUE("7347")</f>
        <v>7347</v>
      </c>
      <c r="E13159" s="2">
        <f>DATEVALUE("1-9-2012")</f>
        <v>41153</v>
      </c>
      <c r="F13159" s="2">
        <f>DATEVALUE("31-12-2015")</f>
        <v>42369</v>
      </c>
    </row>
    <row r="13160" spans="1:6" x14ac:dyDescent="0.25">
      <c r="A13160" s="1" t="s">
        <v>245</v>
      </c>
      <c r="B13160" s="1" t="s">
        <v>1899</v>
      </c>
      <c r="C13160" s="1" t="s">
        <v>17</v>
      </c>
      <c r="D13160" s="3">
        <f>VALUE("7347")</f>
        <v>7347</v>
      </c>
      <c r="E13160" s="2">
        <f>DATEVALUE("1-9-2012")</f>
        <v>41153</v>
      </c>
      <c r="F13160" s="2">
        <f>DATEVALUE("31-12-2015")</f>
        <v>42369</v>
      </c>
    </row>
    <row r="13161" spans="1:6" x14ac:dyDescent="0.25">
      <c r="A13161" s="1" t="s">
        <v>245</v>
      </c>
      <c r="B13161" s="1" t="s">
        <v>2646</v>
      </c>
      <c r="C13161" s="1" t="s">
        <v>85</v>
      </c>
      <c r="D13161" s="3">
        <f t="shared" ref="D13161:D13166" si="2111">VALUE("7284")</f>
        <v>7284</v>
      </c>
      <c r="E13161" s="2">
        <f t="shared" ref="E13161:E13167" si="2112">DATEVALUE("1-7-2012")</f>
        <v>41091</v>
      </c>
      <c r="F13161" s="2">
        <f t="shared" ref="F13161:F13166" si="2113">DATEVALUE("31-10-2014")</f>
        <v>41943</v>
      </c>
    </row>
    <row r="13162" spans="1:6" x14ac:dyDescent="0.25">
      <c r="A13162" s="1" t="s">
        <v>245</v>
      </c>
      <c r="B13162" s="1" t="s">
        <v>2646</v>
      </c>
      <c r="C13162" s="1" t="s">
        <v>17</v>
      </c>
      <c r="D13162" s="3">
        <f t="shared" si="2111"/>
        <v>7284</v>
      </c>
      <c r="E13162" s="2">
        <f t="shared" si="2112"/>
        <v>41091</v>
      </c>
      <c r="F13162" s="2">
        <f t="shared" si="2113"/>
        <v>41943</v>
      </c>
    </row>
    <row r="13163" spans="1:6" x14ac:dyDescent="0.25">
      <c r="A13163" s="1" t="s">
        <v>245</v>
      </c>
      <c r="B13163" s="1" t="s">
        <v>2646</v>
      </c>
      <c r="C13163" s="1" t="s">
        <v>93</v>
      </c>
      <c r="D13163" s="3">
        <f t="shared" si="2111"/>
        <v>7284</v>
      </c>
      <c r="E13163" s="2">
        <f t="shared" si="2112"/>
        <v>41091</v>
      </c>
      <c r="F13163" s="2">
        <f t="shared" si="2113"/>
        <v>41943</v>
      </c>
    </row>
    <row r="13164" spans="1:6" x14ac:dyDescent="0.25">
      <c r="A13164" s="1" t="s">
        <v>245</v>
      </c>
      <c r="B13164" s="1" t="s">
        <v>2646</v>
      </c>
      <c r="C13164" s="1" t="s">
        <v>129</v>
      </c>
      <c r="D13164" s="3">
        <f t="shared" si="2111"/>
        <v>7284</v>
      </c>
      <c r="E13164" s="2">
        <f t="shared" si="2112"/>
        <v>41091</v>
      </c>
      <c r="F13164" s="2">
        <f t="shared" si="2113"/>
        <v>41943</v>
      </c>
    </row>
    <row r="13165" spans="1:6" x14ac:dyDescent="0.25">
      <c r="A13165" s="1" t="s">
        <v>245</v>
      </c>
      <c r="B13165" s="1" t="s">
        <v>2646</v>
      </c>
      <c r="C13165" s="1" t="s">
        <v>177</v>
      </c>
      <c r="D13165" s="3">
        <f t="shared" si="2111"/>
        <v>7284</v>
      </c>
      <c r="E13165" s="2">
        <f t="shared" si="2112"/>
        <v>41091</v>
      </c>
      <c r="F13165" s="2">
        <f t="shared" si="2113"/>
        <v>41943</v>
      </c>
    </row>
    <row r="13166" spans="1:6" x14ac:dyDescent="0.25">
      <c r="A13166" s="1" t="s">
        <v>245</v>
      </c>
      <c r="B13166" s="1" t="s">
        <v>2646</v>
      </c>
      <c r="C13166" s="1" t="s">
        <v>130</v>
      </c>
      <c r="D13166" s="3">
        <f t="shared" si="2111"/>
        <v>7284</v>
      </c>
      <c r="E13166" s="2">
        <f t="shared" si="2112"/>
        <v>41091</v>
      </c>
      <c r="F13166" s="2">
        <f t="shared" si="2113"/>
        <v>41943</v>
      </c>
    </row>
    <row r="13167" spans="1:6" x14ac:dyDescent="0.25">
      <c r="A13167" s="1" t="s">
        <v>245</v>
      </c>
      <c r="B13167" s="1" t="s">
        <v>2670</v>
      </c>
      <c r="C13167" s="1" t="s">
        <v>85</v>
      </c>
      <c r="D13167" s="3">
        <f>VALUE("7339")</f>
        <v>7339</v>
      </c>
      <c r="E13167" s="2">
        <f t="shared" si="2112"/>
        <v>41091</v>
      </c>
      <c r="F13167" s="2">
        <f>DATEVALUE("30-11-2012")</f>
        <v>41243</v>
      </c>
    </row>
    <row r="13168" spans="1:6" x14ac:dyDescent="0.25">
      <c r="A13168" s="1" t="s">
        <v>245</v>
      </c>
      <c r="B13168" s="1" t="s">
        <v>2582</v>
      </c>
      <c r="C13168" s="1" t="s">
        <v>85</v>
      </c>
      <c r="D13168" s="3">
        <f>VALUE("7139")</f>
        <v>7139</v>
      </c>
      <c r="E13168" s="2">
        <f>DATEVALUE("1-11-2011")</f>
        <v>40848</v>
      </c>
      <c r="F13168" s="2">
        <f>DATEVALUE("31-12-2012")</f>
        <v>41274</v>
      </c>
    </row>
    <row r="13169" spans="1:6" x14ac:dyDescent="0.25">
      <c r="A13169" s="1" t="s">
        <v>245</v>
      </c>
      <c r="B13169" s="1" t="s">
        <v>244</v>
      </c>
      <c r="C13169" s="1" t="s">
        <v>85</v>
      </c>
      <c r="D13169" s="3">
        <f t="shared" ref="D13169:D13177" si="2114">VALUE("7210")</f>
        <v>7210</v>
      </c>
      <c r="E13169" s="2">
        <f t="shared" ref="E13169:E13177" si="2115">DATEVALUE("1-8-2011")</f>
        <v>40756</v>
      </c>
      <c r="F13169" s="2">
        <f t="shared" ref="F13169:F13177" si="2116">DATEVALUE("30-4-2021")</f>
        <v>44316</v>
      </c>
    </row>
    <row r="13170" spans="1:6" x14ac:dyDescent="0.25">
      <c r="A13170" s="1" t="s">
        <v>245</v>
      </c>
      <c r="B13170" s="1" t="s">
        <v>244</v>
      </c>
      <c r="C13170" s="1" t="s">
        <v>84</v>
      </c>
      <c r="D13170" s="3">
        <f t="shared" si="2114"/>
        <v>7210</v>
      </c>
      <c r="E13170" s="2">
        <f t="shared" si="2115"/>
        <v>40756</v>
      </c>
      <c r="F13170" s="2">
        <f t="shared" si="2116"/>
        <v>44316</v>
      </c>
    </row>
    <row r="13171" spans="1:6" x14ac:dyDescent="0.25">
      <c r="A13171" s="1" t="s">
        <v>245</v>
      </c>
      <c r="B13171" s="1" t="s">
        <v>244</v>
      </c>
      <c r="C13171" s="1" t="s">
        <v>128</v>
      </c>
      <c r="D13171" s="3">
        <f t="shared" si="2114"/>
        <v>7210</v>
      </c>
      <c r="E13171" s="2">
        <f t="shared" si="2115"/>
        <v>40756</v>
      </c>
      <c r="F13171" s="2">
        <f t="shared" si="2116"/>
        <v>44316</v>
      </c>
    </row>
    <row r="13172" spans="1:6" x14ac:dyDescent="0.25">
      <c r="A13172" s="1" t="s">
        <v>245</v>
      </c>
      <c r="B13172" s="1" t="s">
        <v>244</v>
      </c>
      <c r="C13172" s="1" t="s">
        <v>180</v>
      </c>
      <c r="D13172" s="3">
        <f t="shared" si="2114"/>
        <v>7210</v>
      </c>
      <c r="E13172" s="2">
        <f t="shared" si="2115"/>
        <v>40756</v>
      </c>
      <c r="F13172" s="2">
        <f t="shared" si="2116"/>
        <v>44316</v>
      </c>
    </row>
    <row r="13173" spans="1:6" x14ac:dyDescent="0.25">
      <c r="A13173" s="1" t="s">
        <v>245</v>
      </c>
      <c r="B13173" s="1" t="s">
        <v>244</v>
      </c>
      <c r="C13173" s="1" t="s">
        <v>93</v>
      </c>
      <c r="D13173" s="3">
        <f t="shared" si="2114"/>
        <v>7210</v>
      </c>
      <c r="E13173" s="2">
        <f t="shared" si="2115"/>
        <v>40756</v>
      </c>
      <c r="F13173" s="2">
        <f t="shared" si="2116"/>
        <v>44316</v>
      </c>
    </row>
    <row r="13174" spans="1:6" x14ac:dyDescent="0.25">
      <c r="A13174" s="1" t="s">
        <v>245</v>
      </c>
      <c r="B13174" s="1" t="s">
        <v>244</v>
      </c>
      <c r="C13174" s="1" t="s">
        <v>129</v>
      </c>
      <c r="D13174" s="3">
        <f t="shared" si="2114"/>
        <v>7210</v>
      </c>
      <c r="E13174" s="2">
        <f t="shared" si="2115"/>
        <v>40756</v>
      </c>
      <c r="F13174" s="2">
        <f t="shared" si="2116"/>
        <v>44316</v>
      </c>
    </row>
    <row r="13175" spans="1:6" x14ac:dyDescent="0.25">
      <c r="A13175" s="1" t="s">
        <v>245</v>
      </c>
      <c r="B13175" s="1" t="s">
        <v>244</v>
      </c>
      <c r="C13175" s="1" t="s">
        <v>177</v>
      </c>
      <c r="D13175" s="3">
        <f t="shared" si="2114"/>
        <v>7210</v>
      </c>
      <c r="E13175" s="2">
        <f t="shared" si="2115"/>
        <v>40756</v>
      </c>
      <c r="F13175" s="2">
        <f t="shared" si="2116"/>
        <v>44316</v>
      </c>
    </row>
    <row r="13176" spans="1:6" x14ac:dyDescent="0.25">
      <c r="A13176" s="1" t="s">
        <v>245</v>
      </c>
      <c r="B13176" s="1" t="s">
        <v>244</v>
      </c>
      <c r="C13176" s="1" t="s">
        <v>176</v>
      </c>
      <c r="D13176" s="3">
        <f t="shared" si="2114"/>
        <v>7210</v>
      </c>
      <c r="E13176" s="2">
        <f t="shared" si="2115"/>
        <v>40756</v>
      </c>
      <c r="F13176" s="2">
        <f t="shared" si="2116"/>
        <v>44316</v>
      </c>
    </row>
    <row r="13177" spans="1:6" x14ac:dyDescent="0.25">
      <c r="A13177" s="1" t="s">
        <v>245</v>
      </c>
      <c r="B13177" s="1" t="s">
        <v>244</v>
      </c>
      <c r="C13177" s="1" t="s">
        <v>130</v>
      </c>
      <c r="D13177" s="3">
        <f t="shared" si="2114"/>
        <v>7210</v>
      </c>
      <c r="E13177" s="2">
        <f t="shared" si="2115"/>
        <v>40756</v>
      </c>
      <c r="F13177" s="2">
        <f t="shared" si="2116"/>
        <v>44316</v>
      </c>
    </row>
    <row r="13178" spans="1:6" x14ac:dyDescent="0.25">
      <c r="A13178" s="1" t="s">
        <v>948</v>
      </c>
      <c r="B13178" s="1" t="s">
        <v>1615</v>
      </c>
      <c r="C13178" s="1" t="s">
        <v>85</v>
      </c>
      <c r="D13178" s="3">
        <f>VALUE("8791")</f>
        <v>8791</v>
      </c>
      <c r="E13178" s="2">
        <f>DATEVALUE("1-10-2020")</f>
        <v>44105</v>
      </c>
      <c r="F13178" s="2">
        <f>DATEVALUE("30-9-2021")</f>
        <v>44469</v>
      </c>
    </row>
    <row r="13179" spans="1:6" x14ac:dyDescent="0.25">
      <c r="A13179" s="1" t="s">
        <v>948</v>
      </c>
      <c r="B13179" s="1" t="s">
        <v>1615</v>
      </c>
      <c r="C13179" s="1" t="s">
        <v>84</v>
      </c>
      <c r="D13179" s="3">
        <f>VALUE("8791")</f>
        <v>8791</v>
      </c>
      <c r="E13179" s="2">
        <f>DATEVALUE("1-10-2020")</f>
        <v>44105</v>
      </c>
      <c r="F13179" s="2">
        <f>DATEVALUE("30-9-2021")</f>
        <v>44469</v>
      </c>
    </row>
    <row r="13180" spans="1:6" x14ac:dyDescent="0.25">
      <c r="A13180" s="1" t="s">
        <v>948</v>
      </c>
      <c r="B13180" s="1" t="s">
        <v>1621</v>
      </c>
      <c r="C13180" s="1" t="s">
        <v>85</v>
      </c>
      <c r="D13180" s="3">
        <f>VALUE("8799")</f>
        <v>8799</v>
      </c>
      <c r="E13180" s="2">
        <f>DATEVALUE("1-10-2020")</f>
        <v>44105</v>
      </c>
      <c r="F13180" s="2">
        <f>DATEVALUE("31-3-2021")</f>
        <v>44286</v>
      </c>
    </row>
    <row r="13181" spans="1:6" x14ac:dyDescent="0.25">
      <c r="A13181" s="1" t="s">
        <v>948</v>
      </c>
      <c r="B13181" s="1" t="s">
        <v>1621</v>
      </c>
      <c r="C13181" s="1" t="s">
        <v>84</v>
      </c>
      <c r="D13181" s="3">
        <f>VALUE("8799")</f>
        <v>8799</v>
      </c>
      <c r="E13181" s="2">
        <f>DATEVALUE("1-10-2020")</f>
        <v>44105</v>
      </c>
      <c r="F13181" s="2">
        <f>DATEVALUE("31-3-2021")</f>
        <v>44286</v>
      </c>
    </row>
    <row r="13182" spans="1:6" x14ac:dyDescent="0.25">
      <c r="A13182" s="1" t="s">
        <v>948</v>
      </c>
      <c r="B13182" s="1" t="s">
        <v>1433</v>
      </c>
      <c r="C13182" s="1" t="s">
        <v>609</v>
      </c>
      <c r="D13182" s="3">
        <f t="shared" ref="D13182:D13188" si="2117">VALUE("8652")</f>
        <v>8652</v>
      </c>
      <c r="E13182" s="2">
        <f t="shared" ref="E13182:E13188" si="2118">DATEVALUE("1-7-2020")</f>
        <v>44013</v>
      </c>
      <c r="F13182" s="2">
        <f t="shared" ref="F13182:F13188" si="2119">DATEVALUE("30-6-2021")</f>
        <v>44377</v>
      </c>
    </row>
    <row r="13183" spans="1:6" x14ac:dyDescent="0.25">
      <c r="A13183" s="1" t="s">
        <v>948</v>
      </c>
      <c r="B13183" s="1" t="s">
        <v>1433</v>
      </c>
      <c r="C13183" s="1" t="s">
        <v>17</v>
      </c>
      <c r="D13183" s="3">
        <f t="shared" si="2117"/>
        <v>8652</v>
      </c>
      <c r="E13183" s="2">
        <f t="shared" si="2118"/>
        <v>44013</v>
      </c>
      <c r="F13183" s="2">
        <f t="shared" si="2119"/>
        <v>44377</v>
      </c>
    </row>
    <row r="13184" spans="1:6" x14ac:dyDescent="0.25">
      <c r="A13184" s="1" t="s">
        <v>948</v>
      </c>
      <c r="B13184" s="1" t="s">
        <v>1433</v>
      </c>
      <c r="C13184" s="1" t="s">
        <v>91</v>
      </c>
      <c r="D13184" s="3">
        <f t="shared" si="2117"/>
        <v>8652</v>
      </c>
      <c r="E13184" s="2">
        <f t="shared" si="2118"/>
        <v>44013</v>
      </c>
      <c r="F13184" s="2">
        <f t="shared" si="2119"/>
        <v>44377</v>
      </c>
    </row>
    <row r="13185" spans="1:6" x14ac:dyDescent="0.25">
      <c r="A13185" s="1" t="s">
        <v>948</v>
      </c>
      <c r="B13185" s="1" t="s">
        <v>1433</v>
      </c>
      <c r="C13185" s="1" t="s">
        <v>197</v>
      </c>
      <c r="D13185" s="3">
        <f t="shared" si="2117"/>
        <v>8652</v>
      </c>
      <c r="E13185" s="2">
        <f t="shared" si="2118"/>
        <v>44013</v>
      </c>
      <c r="F13185" s="2">
        <f t="shared" si="2119"/>
        <v>44377</v>
      </c>
    </row>
    <row r="13186" spans="1:6" x14ac:dyDescent="0.25">
      <c r="A13186" s="1" t="s">
        <v>948</v>
      </c>
      <c r="B13186" s="1" t="s">
        <v>1433</v>
      </c>
      <c r="C13186" s="1" t="s">
        <v>499</v>
      </c>
      <c r="D13186" s="3">
        <f t="shared" si="2117"/>
        <v>8652</v>
      </c>
      <c r="E13186" s="2">
        <f t="shared" si="2118"/>
        <v>44013</v>
      </c>
      <c r="F13186" s="2">
        <f t="shared" si="2119"/>
        <v>44377</v>
      </c>
    </row>
    <row r="13187" spans="1:6" x14ac:dyDescent="0.25">
      <c r="A13187" s="1" t="s">
        <v>948</v>
      </c>
      <c r="B13187" s="1" t="s">
        <v>1433</v>
      </c>
      <c r="C13187" s="1" t="s">
        <v>501</v>
      </c>
      <c r="D13187" s="3">
        <f t="shared" si="2117"/>
        <v>8652</v>
      </c>
      <c r="E13187" s="2">
        <f t="shared" si="2118"/>
        <v>44013</v>
      </c>
      <c r="F13187" s="2">
        <f t="shared" si="2119"/>
        <v>44377</v>
      </c>
    </row>
    <row r="13188" spans="1:6" x14ac:dyDescent="0.25">
      <c r="A13188" s="1" t="s">
        <v>948</v>
      </c>
      <c r="B13188" s="1" t="s">
        <v>1433</v>
      </c>
      <c r="C13188" s="1" t="s">
        <v>22</v>
      </c>
      <c r="D13188" s="3">
        <f t="shared" si="2117"/>
        <v>8652</v>
      </c>
      <c r="E13188" s="2">
        <f t="shared" si="2118"/>
        <v>44013</v>
      </c>
      <c r="F13188" s="2">
        <f t="shared" si="2119"/>
        <v>44377</v>
      </c>
    </row>
    <row r="13189" spans="1:6" x14ac:dyDescent="0.25">
      <c r="A13189" s="1" t="s">
        <v>948</v>
      </c>
      <c r="B13189" s="1" t="s">
        <v>1595</v>
      </c>
      <c r="C13189" s="1" t="s">
        <v>1603</v>
      </c>
      <c r="D13189" s="3">
        <f t="shared" ref="D13189:D13206" si="2120">VALUE("8786")</f>
        <v>8786</v>
      </c>
      <c r="E13189" s="2">
        <f t="shared" ref="E13189:E13206" si="2121">DATEVALUE("1-6-2020")</f>
        <v>43983</v>
      </c>
      <c r="F13189" s="2">
        <f t="shared" ref="F13189:F13206" si="2122">DATEVALUE("31-10-2021")</f>
        <v>44500</v>
      </c>
    </row>
    <row r="13190" spans="1:6" x14ac:dyDescent="0.25">
      <c r="A13190" s="1" t="s">
        <v>948</v>
      </c>
      <c r="B13190" s="1" t="s">
        <v>1595</v>
      </c>
      <c r="C13190" s="1" t="s">
        <v>1596</v>
      </c>
      <c r="D13190" s="3">
        <f t="shared" si="2120"/>
        <v>8786</v>
      </c>
      <c r="E13190" s="2">
        <f t="shared" si="2121"/>
        <v>43983</v>
      </c>
      <c r="F13190" s="2">
        <f t="shared" si="2122"/>
        <v>44500</v>
      </c>
    </row>
    <row r="13191" spans="1:6" x14ac:dyDescent="0.25">
      <c r="A13191" s="1" t="s">
        <v>948</v>
      </c>
      <c r="B13191" s="1" t="s">
        <v>1595</v>
      </c>
      <c r="C13191" s="1" t="s">
        <v>1597</v>
      </c>
      <c r="D13191" s="3">
        <f t="shared" si="2120"/>
        <v>8786</v>
      </c>
      <c r="E13191" s="2">
        <f t="shared" si="2121"/>
        <v>43983</v>
      </c>
      <c r="F13191" s="2">
        <f t="shared" si="2122"/>
        <v>44500</v>
      </c>
    </row>
    <row r="13192" spans="1:6" x14ac:dyDescent="0.25">
      <c r="A13192" s="1" t="s">
        <v>948</v>
      </c>
      <c r="B13192" s="1" t="s">
        <v>1595</v>
      </c>
      <c r="C13192" s="1" t="s">
        <v>1598</v>
      </c>
      <c r="D13192" s="3">
        <f t="shared" si="2120"/>
        <v>8786</v>
      </c>
      <c r="E13192" s="2">
        <f t="shared" si="2121"/>
        <v>43983</v>
      </c>
      <c r="F13192" s="2">
        <f t="shared" si="2122"/>
        <v>44500</v>
      </c>
    </row>
    <row r="13193" spans="1:6" x14ac:dyDescent="0.25">
      <c r="A13193" s="1" t="s">
        <v>948</v>
      </c>
      <c r="B13193" s="1" t="s">
        <v>1595</v>
      </c>
      <c r="C13193" s="1" t="s">
        <v>1599</v>
      </c>
      <c r="D13193" s="3">
        <f t="shared" si="2120"/>
        <v>8786</v>
      </c>
      <c r="E13193" s="2">
        <f t="shared" si="2121"/>
        <v>43983</v>
      </c>
      <c r="F13193" s="2">
        <f t="shared" si="2122"/>
        <v>44500</v>
      </c>
    </row>
    <row r="13194" spans="1:6" x14ac:dyDescent="0.25">
      <c r="A13194" s="1" t="s">
        <v>948</v>
      </c>
      <c r="B13194" s="1" t="s">
        <v>1595</v>
      </c>
      <c r="C13194" s="1" t="s">
        <v>1600</v>
      </c>
      <c r="D13194" s="3">
        <f t="shared" si="2120"/>
        <v>8786</v>
      </c>
      <c r="E13194" s="2">
        <f t="shared" si="2121"/>
        <v>43983</v>
      </c>
      <c r="F13194" s="2">
        <f t="shared" si="2122"/>
        <v>44500</v>
      </c>
    </row>
    <row r="13195" spans="1:6" x14ac:dyDescent="0.25">
      <c r="A13195" s="1" t="s">
        <v>948</v>
      </c>
      <c r="B13195" s="1" t="s">
        <v>1595</v>
      </c>
      <c r="C13195" s="1" t="s">
        <v>1601</v>
      </c>
      <c r="D13195" s="3">
        <f t="shared" si="2120"/>
        <v>8786</v>
      </c>
      <c r="E13195" s="2">
        <f t="shared" si="2121"/>
        <v>43983</v>
      </c>
      <c r="F13195" s="2">
        <f t="shared" si="2122"/>
        <v>44500</v>
      </c>
    </row>
    <row r="13196" spans="1:6" x14ac:dyDescent="0.25">
      <c r="A13196" s="1" t="s">
        <v>948</v>
      </c>
      <c r="B13196" s="1" t="s">
        <v>1595</v>
      </c>
      <c r="C13196" s="1" t="s">
        <v>1602</v>
      </c>
      <c r="D13196" s="3">
        <f t="shared" si="2120"/>
        <v>8786</v>
      </c>
      <c r="E13196" s="2">
        <f t="shared" si="2121"/>
        <v>43983</v>
      </c>
      <c r="F13196" s="2">
        <f t="shared" si="2122"/>
        <v>44500</v>
      </c>
    </row>
    <row r="13197" spans="1:6" x14ac:dyDescent="0.25">
      <c r="A13197" s="1" t="s">
        <v>948</v>
      </c>
      <c r="B13197" s="1" t="s">
        <v>1595</v>
      </c>
      <c r="C13197" s="1" t="s">
        <v>14</v>
      </c>
      <c r="D13197" s="3">
        <f t="shared" si="2120"/>
        <v>8786</v>
      </c>
      <c r="E13197" s="2">
        <f t="shared" si="2121"/>
        <v>43983</v>
      </c>
      <c r="F13197" s="2">
        <f t="shared" si="2122"/>
        <v>44500</v>
      </c>
    </row>
    <row r="13198" spans="1:6" x14ac:dyDescent="0.25">
      <c r="A13198" s="1" t="s">
        <v>948</v>
      </c>
      <c r="B13198" s="1" t="s">
        <v>1595</v>
      </c>
      <c r="C13198" s="1" t="s">
        <v>17</v>
      </c>
      <c r="D13198" s="3">
        <f t="shared" si="2120"/>
        <v>8786</v>
      </c>
      <c r="E13198" s="2">
        <f t="shared" si="2121"/>
        <v>43983</v>
      </c>
      <c r="F13198" s="2">
        <f t="shared" si="2122"/>
        <v>44500</v>
      </c>
    </row>
    <row r="13199" spans="1:6" x14ac:dyDescent="0.25">
      <c r="A13199" s="1" t="s">
        <v>948</v>
      </c>
      <c r="B13199" s="1" t="s">
        <v>1595</v>
      </c>
      <c r="C13199" s="1" t="s">
        <v>499</v>
      </c>
      <c r="D13199" s="3">
        <f t="shared" si="2120"/>
        <v>8786</v>
      </c>
      <c r="E13199" s="2">
        <f t="shared" si="2121"/>
        <v>43983</v>
      </c>
      <c r="F13199" s="2">
        <f t="shared" si="2122"/>
        <v>44500</v>
      </c>
    </row>
    <row r="13200" spans="1:6" x14ac:dyDescent="0.25">
      <c r="A13200" s="1" t="s">
        <v>948</v>
      </c>
      <c r="B13200" s="1" t="s">
        <v>1595</v>
      </c>
      <c r="C13200" s="1" t="s">
        <v>501</v>
      </c>
      <c r="D13200" s="3">
        <f t="shared" si="2120"/>
        <v>8786</v>
      </c>
      <c r="E13200" s="2">
        <f t="shared" si="2121"/>
        <v>43983</v>
      </c>
      <c r="F13200" s="2">
        <f t="shared" si="2122"/>
        <v>44500</v>
      </c>
    </row>
    <row r="13201" spans="1:6" x14ac:dyDescent="0.25">
      <c r="A13201" s="1" t="s">
        <v>948</v>
      </c>
      <c r="B13201" s="1" t="s">
        <v>1595</v>
      </c>
      <c r="C13201" s="1" t="s">
        <v>94</v>
      </c>
      <c r="D13201" s="3">
        <f t="shared" si="2120"/>
        <v>8786</v>
      </c>
      <c r="E13201" s="2">
        <f t="shared" si="2121"/>
        <v>43983</v>
      </c>
      <c r="F13201" s="2">
        <f t="shared" si="2122"/>
        <v>44500</v>
      </c>
    </row>
    <row r="13202" spans="1:6" x14ac:dyDescent="0.25">
      <c r="A13202" s="1" t="s">
        <v>948</v>
      </c>
      <c r="B13202" s="1" t="s">
        <v>1595</v>
      </c>
      <c r="C13202" s="1" t="s">
        <v>571</v>
      </c>
      <c r="D13202" s="3">
        <f t="shared" si="2120"/>
        <v>8786</v>
      </c>
      <c r="E13202" s="2">
        <f t="shared" si="2121"/>
        <v>43983</v>
      </c>
      <c r="F13202" s="2">
        <f t="shared" si="2122"/>
        <v>44500</v>
      </c>
    </row>
    <row r="13203" spans="1:6" x14ac:dyDescent="0.25">
      <c r="A13203" s="1" t="s">
        <v>948</v>
      </c>
      <c r="B13203" s="1" t="s">
        <v>1595</v>
      </c>
      <c r="C13203" s="1" t="s">
        <v>572</v>
      </c>
      <c r="D13203" s="3">
        <f t="shared" si="2120"/>
        <v>8786</v>
      </c>
      <c r="E13203" s="2">
        <f t="shared" si="2121"/>
        <v>43983</v>
      </c>
      <c r="F13203" s="2">
        <f t="shared" si="2122"/>
        <v>44500</v>
      </c>
    </row>
    <row r="13204" spans="1:6" x14ac:dyDescent="0.25">
      <c r="A13204" s="1" t="s">
        <v>948</v>
      </c>
      <c r="B13204" s="1" t="s">
        <v>1595</v>
      </c>
      <c r="C13204" s="1" t="s">
        <v>573</v>
      </c>
      <c r="D13204" s="3">
        <f t="shared" si="2120"/>
        <v>8786</v>
      </c>
      <c r="E13204" s="2">
        <f t="shared" si="2121"/>
        <v>43983</v>
      </c>
      <c r="F13204" s="2">
        <f t="shared" si="2122"/>
        <v>44500</v>
      </c>
    </row>
    <row r="13205" spans="1:6" x14ac:dyDescent="0.25">
      <c r="A13205" s="1" t="s">
        <v>948</v>
      </c>
      <c r="B13205" s="1" t="s">
        <v>1595</v>
      </c>
      <c r="C13205" s="1" t="s">
        <v>24</v>
      </c>
      <c r="D13205" s="3">
        <f t="shared" si="2120"/>
        <v>8786</v>
      </c>
      <c r="E13205" s="2">
        <f t="shared" si="2121"/>
        <v>43983</v>
      </c>
      <c r="F13205" s="2">
        <f t="shared" si="2122"/>
        <v>44500</v>
      </c>
    </row>
    <row r="13206" spans="1:6" x14ac:dyDescent="0.25">
      <c r="A13206" s="1" t="s">
        <v>948</v>
      </c>
      <c r="B13206" s="1" t="s">
        <v>1595</v>
      </c>
      <c r="C13206" s="1" t="s">
        <v>34</v>
      </c>
      <c r="D13206" s="3">
        <f t="shared" si="2120"/>
        <v>8786</v>
      </c>
      <c r="E13206" s="2">
        <f t="shared" si="2121"/>
        <v>43983</v>
      </c>
      <c r="F13206" s="2">
        <f t="shared" si="2122"/>
        <v>44500</v>
      </c>
    </row>
    <row r="13207" spans="1:6" x14ac:dyDescent="0.25">
      <c r="A13207" s="1" t="s">
        <v>948</v>
      </c>
      <c r="B13207" s="1" t="s">
        <v>995</v>
      </c>
      <c r="C13207" s="1" t="s">
        <v>85</v>
      </c>
      <c r="D13207" s="3">
        <f>VALUE("8279")</f>
        <v>8279</v>
      </c>
      <c r="E13207" s="2">
        <f>DATEVALUE("1-11-2019")</f>
        <v>43770</v>
      </c>
      <c r="F13207" s="2">
        <f>DATEVALUE("31-3-2021")</f>
        <v>44286</v>
      </c>
    </row>
    <row r="13208" spans="1:6" x14ac:dyDescent="0.25">
      <c r="A13208" s="1" t="s">
        <v>948</v>
      </c>
      <c r="B13208" s="1" t="s">
        <v>995</v>
      </c>
      <c r="C13208" s="1" t="s">
        <v>84</v>
      </c>
      <c r="D13208" s="3">
        <f>VALUE("8279")</f>
        <v>8279</v>
      </c>
      <c r="E13208" s="2">
        <f>DATEVALUE("1-11-2019")</f>
        <v>43770</v>
      </c>
      <c r="F13208" s="2">
        <f>DATEVALUE("31-3-2021")</f>
        <v>44286</v>
      </c>
    </row>
    <row r="13209" spans="1:6" x14ac:dyDescent="0.25">
      <c r="A13209" s="1" t="s">
        <v>948</v>
      </c>
      <c r="B13209" s="1" t="s">
        <v>995</v>
      </c>
      <c r="C13209" s="1" t="s">
        <v>89</v>
      </c>
      <c r="D13209" s="3">
        <f>VALUE("8279")</f>
        <v>8279</v>
      </c>
      <c r="E13209" s="2">
        <f>DATEVALUE("1-11-2019")</f>
        <v>43770</v>
      </c>
      <c r="F13209" s="2">
        <f>DATEVALUE("31-3-2021")</f>
        <v>44286</v>
      </c>
    </row>
    <row r="13210" spans="1:6" x14ac:dyDescent="0.25">
      <c r="A13210" s="1" t="s">
        <v>948</v>
      </c>
      <c r="B13210" s="1" t="s">
        <v>981</v>
      </c>
      <c r="C13210" s="1" t="s">
        <v>85</v>
      </c>
      <c r="D13210" s="3">
        <f>VALUE("8270")</f>
        <v>8270</v>
      </c>
      <c r="E13210" s="2">
        <f>DATEVALUE("1-10-2019")</f>
        <v>43739</v>
      </c>
      <c r="F13210" s="2">
        <f>DATEVALUE("28-2-2021")</f>
        <v>44255</v>
      </c>
    </row>
    <row r="13211" spans="1:6" x14ac:dyDescent="0.25">
      <c r="A13211" s="1" t="s">
        <v>948</v>
      </c>
      <c r="B13211" s="1" t="s">
        <v>981</v>
      </c>
      <c r="C13211" s="1" t="s">
        <v>84</v>
      </c>
      <c r="D13211" s="3">
        <f>VALUE("8270")</f>
        <v>8270</v>
      </c>
      <c r="E13211" s="2">
        <f>DATEVALUE("1-10-2019")</f>
        <v>43739</v>
      </c>
      <c r="F13211" s="2">
        <f>DATEVALUE("28-2-2021")</f>
        <v>44255</v>
      </c>
    </row>
    <row r="13212" spans="1:6" x14ac:dyDescent="0.25">
      <c r="A13212" s="1" t="s">
        <v>948</v>
      </c>
      <c r="B13212" s="1" t="s">
        <v>981</v>
      </c>
      <c r="C13212" s="1" t="s">
        <v>89</v>
      </c>
      <c r="D13212" s="3">
        <f>VALUE("8270")</f>
        <v>8270</v>
      </c>
      <c r="E13212" s="2">
        <f>DATEVALUE("1-10-2019")</f>
        <v>43739</v>
      </c>
      <c r="F13212" s="2">
        <f>DATEVALUE("28-2-2021")</f>
        <v>44255</v>
      </c>
    </row>
    <row r="13213" spans="1:6" x14ac:dyDescent="0.25">
      <c r="A13213" s="1" t="s">
        <v>948</v>
      </c>
      <c r="B13213" s="1" t="s">
        <v>981</v>
      </c>
      <c r="C13213" s="1" t="s">
        <v>924</v>
      </c>
      <c r="D13213" s="3">
        <f>VALUE("8270")</f>
        <v>8270</v>
      </c>
      <c r="E13213" s="2">
        <f>DATEVALUE("1-10-2019")</f>
        <v>43739</v>
      </c>
      <c r="F13213" s="2">
        <f>DATEVALUE("28-2-2021")</f>
        <v>44255</v>
      </c>
    </row>
    <row r="13214" spans="1:6" x14ac:dyDescent="0.25">
      <c r="A13214" s="1" t="s">
        <v>948</v>
      </c>
      <c r="B13214" s="1" t="s">
        <v>981</v>
      </c>
      <c r="C13214" s="1" t="s">
        <v>573</v>
      </c>
      <c r="D13214" s="3">
        <f>VALUE("8270")</f>
        <v>8270</v>
      </c>
      <c r="E13214" s="2">
        <f>DATEVALUE("1-10-2019")</f>
        <v>43739</v>
      </c>
      <c r="F13214" s="2">
        <f>DATEVALUE("28-2-2021")</f>
        <v>44255</v>
      </c>
    </row>
    <row r="13215" spans="1:6" x14ac:dyDescent="0.25">
      <c r="A13215" s="1" t="s">
        <v>948</v>
      </c>
      <c r="B13215" s="1" t="s">
        <v>1801</v>
      </c>
      <c r="C13215" s="1" t="s">
        <v>89</v>
      </c>
      <c r="D13215" s="3">
        <f t="shared" ref="D13215:D13222" si="2123">VALUE("8432")</f>
        <v>8432</v>
      </c>
      <c r="E13215" s="2">
        <f t="shared" ref="E13215:E13222" si="2124">DATEVALUE("1-5-2019")</f>
        <v>43586</v>
      </c>
      <c r="F13215" s="2">
        <f t="shared" ref="F13215:F13222" si="2125">DATEVALUE("31-12-2019")</f>
        <v>43830</v>
      </c>
    </row>
    <row r="13216" spans="1:6" x14ac:dyDescent="0.25">
      <c r="A13216" s="1" t="s">
        <v>948</v>
      </c>
      <c r="B13216" s="1" t="s">
        <v>1801</v>
      </c>
      <c r="C13216" s="1" t="s">
        <v>17</v>
      </c>
      <c r="D13216" s="3">
        <f t="shared" si="2123"/>
        <v>8432</v>
      </c>
      <c r="E13216" s="2">
        <f t="shared" si="2124"/>
        <v>43586</v>
      </c>
      <c r="F13216" s="2">
        <f t="shared" si="2125"/>
        <v>43830</v>
      </c>
    </row>
    <row r="13217" spans="1:6" x14ac:dyDescent="0.25">
      <c r="A13217" s="1" t="s">
        <v>948</v>
      </c>
      <c r="B13217" s="1" t="s">
        <v>1801</v>
      </c>
      <c r="C13217" s="1" t="s">
        <v>258</v>
      </c>
      <c r="D13217" s="3">
        <f t="shared" si="2123"/>
        <v>8432</v>
      </c>
      <c r="E13217" s="2">
        <f t="shared" si="2124"/>
        <v>43586</v>
      </c>
      <c r="F13217" s="2">
        <f t="shared" si="2125"/>
        <v>43830</v>
      </c>
    </row>
    <row r="13218" spans="1:6" x14ac:dyDescent="0.25">
      <c r="A13218" s="1" t="s">
        <v>948</v>
      </c>
      <c r="B13218" s="1" t="s">
        <v>1801</v>
      </c>
      <c r="C13218" s="1" t="s">
        <v>383</v>
      </c>
      <c r="D13218" s="3">
        <f t="shared" si="2123"/>
        <v>8432</v>
      </c>
      <c r="E13218" s="2">
        <f t="shared" si="2124"/>
        <v>43586</v>
      </c>
      <c r="F13218" s="2">
        <f t="shared" si="2125"/>
        <v>43830</v>
      </c>
    </row>
    <row r="13219" spans="1:6" x14ac:dyDescent="0.25">
      <c r="A13219" s="1" t="s">
        <v>948</v>
      </c>
      <c r="B13219" s="1" t="s">
        <v>1801</v>
      </c>
      <c r="C13219" s="1" t="s">
        <v>128</v>
      </c>
      <c r="D13219" s="3">
        <f t="shared" si="2123"/>
        <v>8432</v>
      </c>
      <c r="E13219" s="2">
        <f t="shared" si="2124"/>
        <v>43586</v>
      </c>
      <c r="F13219" s="2">
        <f t="shared" si="2125"/>
        <v>43830</v>
      </c>
    </row>
    <row r="13220" spans="1:6" x14ac:dyDescent="0.25">
      <c r="A13220" s="1" t="s">
        <v>948</v>
      </c>
      <c r="B13220" s="1" t="s">
        <v>1801</v>
      </c>
      <c r="C13220" s="1" t="s">
        <v>180</v>
      </c>
      <c r="D13220" s="3">
        <f t="shared" si="2123"/>
        <v>8432</v>
      </c>
      <c r="E13220" s="2">
        <f t="shared" si="2124"/>
        <v>43586</v>
      </c>
      <c r="F13220" s="2">
        <f t="shared" si="2125"/>
        <v>43830</v>
      </c>
    </row>
    <row r="13221" spans="1:6" x14ac:dyDescent="0.25">
      <c r="A13221" s="1" t="s">
        <v>948</v>
      </c>
      <c r="B13221" s="1" t="s">
        <v>1801</v>
      </c>
      <c r="C13221" s="1" t="s">
        <v>573</v>
      </c>
      <c r="D13221" s="3">
        <f t="shared" si="2123"/>
        <v>8432</v>
      </c>
      <c r="E13221" s="2">
        <f t="shared" si="2124"/>
        <v>43586</v>
      </c>
      <c r="F13221" s="2">
        <f t="shared" si="2125"/>
        <v>43830</v>
      </c>
    </row>
    <row r="13222" spans="1:6" x14ac:dyDescent="0.25">
      <c r="A13222" s="1" t="s">
        <v>948</v>
      </c>
      <c r="B13222" s="1" t="s">
        <v>1801</v>
      </c>
      <c r="C13222" s="1" t="s">
        <v>1802</v>
      </c>
      <c r="D13222" s="3">
        <f t="shared" si="2123"/>
        <v>8432</v>
      </c>
      <c r="E13222" s="2">
        <f t="shared" si="2124"/>
        <v>43586</v>
      </c>
      <c r="F13222" s="2">
        <f t="shared" si="2125"/>
        <v>43830</v>
      </c>
    </row>
    <row r="13223" spans="1:6" x14ac:dyDescent="0.25">
      <c r="A13223" s="1" t="s">
        <v>948</v>
      </c>
      <c r="B13223" s="1" t="s">
        <v>1072</v>
      </c>
      <c r="C13223" s="1" t="s">
        <v>1073</v>
      </c>
      <c r="D13223" s="3">
        <f t="shared" ref="D13223:D13235" si="2126">VALUE("8359")</f>
        <v>8359</v>
      </c>
      <c r="E13223" s="2">
        <f t="shared" ref="E13223:E13235" si="2127">DATEVALUE("1-2-2019")</f>
        <v>43497</v>
      </c>
      <c r="F13223" s="2">
        <f t="shared" ref="F13223:F13235" si="2128">DATEVALUE("31-12-2020")</f>
        <v>44196</v>
      </c>
    </row>
    <row r="13224" spans="1:6" x14ac:dyDescent="0.25">
      <c r="A13224" s="1" t="s">
        <v>948</v>
      </c>
      <c r="B13224" s="1" t="s">
        <v>1072</v>
      </c>
      <c r="C13224" s="1" t="s">
        <v>84</v>
      </c>
      <c r="D13224" s="3">
        <f t="shared" si="2126"/>
        <v>8359</v>
      </c>
      <c r="E13224" s="2">
        <f t="shared" si="2127"/>
        <v>43497</v>
      </c>
      <c r="F13224" s="2">
        <f t="shared" si="2128"/>
        <v>44196</v>
      </c>
    </row>
    <row r="13225" spans="1:6" x14ac:dyDescent="0.25">
      <c r="A13225" s="1" t="s">
        <v>948</v>
      </c>
      <c r="B13225" s="1" t="s">
        <v>1072</v>
      </c>
      <c r="C13225" s="1" t="s">
        <v>14</v>
      </c>
      <c r="D13225" s="3">
        <f t="shared" si="2126"/>
        <v>8359</v>
      </c>
      <c r="E13225" s="2">
        <f t="shared" si="2127"/>
        <v>43497</v>
      </c>
      <c r="F13225" s="2">
        <f t="shared" si="2128"/>
        <v>44196</v>
      </c>
    </row>
    <row r="13226" spans="1:6" x14ac:dyDescent="0.25">
      <c r="A13226" s="1" t="s">
        <v>948</v>
      </c>
      <c r="B13226" s="1" t="s">
        <v>1072</v>
      </c>
      <c r="C13226" s="1" t="s">
        <v>89</v>
      </c>
      <c r="D13226" s="3">
        <f t="shared" si="2126"/>
        <v>8359</v>
      </c>
      <c r="E13226" s="2">
        <f t="shared" si="2127"/>
        <v>43497</v>
      </c>
      <c r="F13226" s="2">
        <f t="shared" si="2128"/>
        <v>44196</v>
      </c>
    </row>
    <row r="13227" spans="1:6" x14ac:dyDescent="0.25">
      <c r="A13227" s="1" t="s">
        <v>948</v>
      </c>
      <c r="B13227" s="1" t="s">
        <v>1072</v>
      </c>
      <c r="C13227" s="1" t="s">
        <v>17</v>
      </c>
      <c r="D13227" s="3">
        <f t="shared" si="2126"/>
        <v>8359</v>
      </c>
      <c r="E13227" s="2">
        <f t="shared" si="2127"/>
        <v>43497</v>
      </c>
      <c r="F13227" s="2">
        <f t="shared" si="2128"/>
        <v>44196</v>
      </c>
    </row>
    <row r="13228" spans="1:6" x14ac:dyDescent="0.25">
      <c r="A13228" s="1" t="s">
        <v>948</v>
      </c>
      <c r="B13228" s="1" t="s">
        <v>1072</v>
      </c>
      <c r="C13228" s="1" t="s">
        <v>167</v>
      </c>
      <c r="D13228" s="3">
        <f t="shared" si="2126"/>
        <v>8359</v>
      </c>
      <c r="E13228" s="2">
        <f t="shared" si="2127"/>
        <v>43497</v>
      </c>
      <c r="F13228" s="2">
        <f t="shared" si="2128"/>
        <v>44196</v>
      </c>
    </row>
    <row r="13229" spans="1:6" x14ac:dyDescent="0.25">
      <c r="A13229" s="1" t="s">
        <v>948</v>
      </c>
      <c r="B13229" s="1" t="s">
        <v>1072</v>
      </c>
      <c r="C13229" s="1" t="s">
        <v>499</v>
      </c>
      <c r="D13229" s="3">
        <f t="shared" si="2126"/>
        <v>8359</v>
      </c>
      <c r="E13229" s="2">
        <f t="shared" si="2127"/>
        <v>43497</v>
      </c>
      <c r="F13229" s="2">
        <f t="shared" si="2128"/>
        <v>44196</v>
      </c>
    </row>
    <row r="13230" spans="1:6" x14ac:dyDescent="0.25">
      <c r="A13230" s="1" t="s">
        <v>948</v>
      </c>
      <c r="B13230" s="1" t="s">
        <v>1072</v>
      </c>
      <c r="C13230" s="1" t="s">
        <v>500</v>
      </c>
      <c r="D13230" s="3">
        <f t="shared" si="2126"/>
        <v>8359</v>
      </c>
      <c r="E13230" s="2">
        <f t="shared" si="2127"/>
        <v>43497</v>
      </c>
      <c r="F13230" s="2">
        <f t="shared" si="2128"/>
        <v>44196</v>
      </c>
    </row>
    <row r="13231" spans="1:6" x14ac:dyDescent="0.25">
      <c r="A13231" s="1" t="s">
        <v>948</v>
      </c>
      <c r="B13231" s="1" t="s">
        <v>1072</v>
      </c>
      <c r="C13231" s="1" t="s">
        <v>501</v>
      </c>
      <c r="D13231" s="3">
        <f t="shared" si="2126"/>
        <v>8359</v>
      </c>
      <c r="E13231" s="2">
        <f t="shared" si="2127"/>
        <v>43497</v>
      </c>
      <c r="F13231" s="2">
        <f t="shared" si="2128"/>
        <v>44196</v>
      </c>
    </row>
    <row r="13232" spans="1:6" x14ac:dyDescent="0.25">
      <c r="A13232" s="1" t="s">
        <v>948</v>
      </c>
      <c r="B13232" s="1" t="s">
        <v>1072</v>
      </c>
      <c r="C13232" s="1" t="s">
        <v>258</v>
      </c>
      <c r="D13232" s="3">
        <f t="shared" si="2126"/>
        <v>8359</v>
      </c>
      <c r="E13232" s="2">
        <f t="shared" si="2127"/>
        <v>43497</v>
      </c>
      <c r="F13232" s="2">
        <f t="shared" si="2128"/>
        <v>44196</v>
      </c>
    </row>
    <row r="13233" spans="1:6" x14ac:dyDescent="0.25">
      <c r="A13233" s="1" t="s">
        <v>948</v>
      </c>
      <c r="B13233" s="1" t="s">
        <v>1072</v>
      </c>
      <c r="C13233" s="1" t="s">
        <v>383</v>
      </c>
      <c r="D13233" s="3">
        <f t="shared" si="2126"/>
        <v>8359</v>
      </c>
      <c r="E13233" s="2">
        <f t="shared" si="2127"/>
        <v>43497</v>
      </c>
      <c r="F13233" s="2">
        <f t="shared" si="2128"/>
        <v>44196</v>
      </c>
    </row>
    <row r="13234" spans="1:6" x14ac:dyDescent="0.25">
      <c r="A13234" s="1" t="s">
        <v>948</v>
      </c>
      <c r="B13234" s="1" t="s">
        <v>1072</v>
      </c>
      <c r="C13234" s="1" t="s">
        <v>94</v>
      </c>
      <c r="D13234" s="3">
        <f t="shared" si="2126"/>
        <v>8359</v>
      </c>
      <c r="E13234" s="2">
        <f t="shared" si="2127"/>
        <v>43497</v>
      </c>
      <c r="F13234" s="2">
        <f t="shared" si="2128"/>
        <v>44196</v>
      </c>
    </row>
    <row r="13235" spans="1:6" x14ac:dyDescent="0.25">
      <c r="A13235" s="1" t="s">
        <v>948</v>
      </c>
      <c r="B13235" s="1" t="s">
        <v>1072</v>
      </c>
      <c r="C13235" s="1" t="s">
        <v>131</v>
      </c>
      <c r="D13235" s="3">
        <f t="shared" si="2126"/>
        <v>8359</v>
      </c>
      <c r="E13235" s="2">
        <f t="shared" si="2127"/>
        <v>43497</v>
      </c>
      <c r="F13235" s="2">
        <f t="shared" si="2128"/>
        <v>44196</v>
      </c>
    </row>
    <row r="13236" spans="1:6" x14ac:dyDescent="0.25">
      <c r="A13236" s="1" t="s">
        <v>948</v>
      </c>
      <c r="B13236" s="1" t="s">
        <v>947</v>
      </c>
      <c r="C13236" s="1" t="s">
        <v>89</v>
      </c>
      <c r="D13236" s="3">
        <f t="shared" ref="D13236:D13244" si="2129">VALUE("8232")</f>
        <v>8232</v>
      </c>
      <c r="E13236" s="2">
        <f t="shared" ref="E13236:E13244" si="2130">DATEVALUE("1-5-2018")</f>
        <v>43221</v>
      </c>
      <c r="F13236" s="2">
        <f t="shared" ref="F13236:F13244" si="2131">DATEVALUE("30-6-2021")</f>
        <v>44377</v>
      </c>
    </row>
    <row r="13237" spans="1:6" x14ac:dyDescent="0.25">
      <c r="A13237" s="1" t="s">
        <v>948</v>
      </c>
      <c r="B13237" s="1" t="s">
        <v>947</v>
      </c>
      <c r="C13237" s="1" t="s">
        <v>17</v>
      </c>
      <c r="D13237" s="3">
        <f t="shared" si="2129"/>
        <v>8232</v>
      </c>
      <c r="E13237" s="2">
        <f t="shared" si="2130"/>
        <v>43221</v>
      </c>
      <c r="F13237" s="2">
        <f t="shared" si="2131"/>
        <v>44377</v>
      </c>
    </row>
    <row r="13238" spans="1:6" x14ac:dyDescent="0.25">
      <c r="A13238" s="1" t="s">
        <v>948</v>
      </c>
      <c r="B13238" s="1" t="s">
        <v>947</v>
      </c>
      <c r="C13238" s="1" t="s">
        <v>148</v>
      </c>
      <c r="D13238" s="3">
        <f t="shared" si="2129"/>
        <v>8232</v>
      </c>
      <c r="E13238" s="2">
        <f t="shared" si="2130"/>
        <v>43221</v>
      </c>
      <c r="F13238" s="2">
        <f t="shared" si="2131"/>
        <v>44377</v>
      </c>
    </row>
    <row r="13239" spans="1:6" x14ac:dyDescent="0.25">
      <c r="A13239" s="1" t="s">
        <v>948</v>
      </c>
      <c r="B13239" s="1" t="s">
        <v>947</v>
      </c>
      <c r="C13239" s="1" t="s">
        <v>128</v>
      </c>
      <c r="D13239" s="3">
        <f t="shared" si="2129"/>
        <v>8232</v>
      </c>
      <c r="E13239" s="2">
        <f t="shared" si="2130"/>
        <v>43221</v>
      </c>
      <c r="F13239" s="2">
        <f t="shared" si="2131"/>
        <v>44377</v>
      </c>
    </row>
    <row r="13240" spans="1:6" x14ac:dyDescent="0.25">
      <c r="A13240" s="1" t="s">
        <v>948</v>
      </c>
      <c r="B13240" s="1" t="s">
        <v>947</v>
      </c>
      <c r="C13240" s="1" t="s">
        <v>180</v>
      </c>
      <c r="D13240" s="3">
        <f t="shared" si="2129"/>
        <v>8232</v>
      </c>
      <c r="E13240" s="2">
        <f t="shared" si="2130"/>
        <v>43221</v>
      </c>
      <c r="F13240" s="2">
        <f t="shared" si="2131"/>
        <v>44377</v>
      </c>
    </row>
    <row r="13241" spans="1:6" x14ac:dyDescent="0.25">
      <c r="A13241" s="1" t="s">
        <v>948</v>
      </c>
      <c r="B13241" s="1" t="s">
        <v>947</v>
      </c>
      <c r="C13241" s="1" t="s">
        <v>571</v>
      </c>
      <c r="D13241" s="3">
        <f t="shared" si="2129"/>
        <v>8232</v>
      </c>
      <c r="E13241" s="2">
        <f t="shared" si="2130"/>
        <v>43221</v>
      </c>
      <c r="F13241" s="2">
        <f t="shared" si="2131"/>
        <v>44377</v>
      </c>
    </row>
    <row r="13242" spans="1:6" x14ac:dyDescent="0.25">
      <c r="A13242" s="1" t="s">
        <v>948</v>
      </c>
      <c r="B13242" s="1" t="s">
        <v>947</v>
      </c>
      <c r="C13242" s="1" t="s">
        <v>572</v>
      </c>
      <c r="D13242" s="3">
        <f t="shared" si="2129"/>
        <v>8232</v>
      </c>
      <c r="E13242" s="2">
        <f t="shared" si="2130"/>
        <v>43221</v>
      </c>
      <c r="F13242" s="2">
        <f t="shared" si="2131"/>
        <v>44377</v>
      </c>
    </row>
    <row r="13243" spans="1:6" x14ac:dyDescent="0.25">
      <c r="A13243" s="1" t="s">
        <v>948</v>
      </c>
      <c r="B13243" s="1" t="s">
        <v>947</v>
      </c>
      <c r="C13243" s="1" t="s">
        <v>573</v>
      </c>
      <c r="D13243" s="3">
        <f t="shared" si="2129"/>
        <v>8232</v>
      </c>
      <c r="E13243" s="2">
        <f t="shared" si="2130"/>
        <v>43221</v>
      </c>
      <c r="F13243" s="2">
        <f t="shared" si="2131"/>
        <v>44377</v>
      </c>
    </row>
    <row r="13244" spans="1:6" x14ac:dyDescent="0.25">
      <c r="A13244" s="1" t="s">
        <v>948</v>
      </c>
      <c r="B13244" s="1" t="s">
        <v>947</v>
      </c>
      <c r="C13244" s="1" t="s">
        <v>170</v>
      </c>
      <c r="D13244" s="3">
        <f t="shared" si="2129"/>
        <v>8232</v>
      </c>
      <c r="E13244" s="2">
        <f t="shared" si="2130"/>
        <v>43221</v>
      </c>
      <c r="F13244" s="2">
        <f t="shared" si="2131"/>
        <v>44377</v>
      </c>
    </row>
    <row r="13245" spans="1:6" x14ac:dyDescent="0.25">
      <c r="A13245" s="1" t="s">
        <v>948</v>
      </c>
      <c r="B13245" s="1" t="s">
        <v>1777</v>
      </c>
      <c r="C13245" s="1" t="s">
        <v>14</v>
      </c>
      <c r="D13245" s="3">
        <f t="shared" ref="D13245:D13251" si="2132">VALUE("8256")</f>
        <v>8256</v>
      </c>
      <c r="E13245" s="2">
        <f t="shared" ref="E13245:E13251" si="2133">DATEVALUE("1-4-2018")</f>
        <v>43191</v>
      </c>
      <c r="F13245" s="2">
        <f t="shared" ref="F13245:F13251" si="2134">DATEVALUE("31-7-2020")</f>
        <v>44043</v>
      </c>
    </row>
    <row r="13246" spans="1:6" x14ac:dyDescent="0.25">
      <c r="A13246" s="1" t="s">
        <v>948</v>
      </c>
      <c r="B13246" s="1" t="s">
        <v>1777</v>
      </c>
      <c r="C13246" s="1" t="s">
        <v>17</v>
      </c>
      <c r="D13246" s="3">
        <f t="shared" si="2132"/>
        <v>8256</v>
      </c>
      <c r="E13246" s="2">
        <f t="shared" si="2133"/>
        <v>43191</v>
      </c>
      <c r="F13246" s="2">
        <f t="shared" si="2134"/>
        <v>44043</v>
      </c>
    </row>
    <row r="13247" spans="1:6" x14ac:dyDescent="0.25">
      <c r="A13247" s="1" t="s">
        <v>948</v>
      </c>
      <c r="B13247" s="1" t="s">
        <v>1777</v>
      </c>
      <c r="C13247" s="1" t="s">
        <v>571</v>
      </c>
      <c r="D13247" s="3">
        <f t="shared" si="2132"/>
        <v>8256</v>
      </c>
      <c r="E13247" s="2">
        <f t="shared" si="2133"/>
        <v>43191</v>
      </c>
      <c r="F13247" s="2">
        <f t="shared" si="2134"/>
        <v>44043</v>
      </c>
    </row>
    <row r="13248" spans="1:6" x14ac:dyDescent="0.25">
      <c r="A13248" s="1" t="s">
        <v>948</v>
      </c>
      <c r="B13248" s="1" t="s">
        <v>1777</v>
      </c>
      <c r="C13248" s="1" t="s">
        <v>572</v>
      </c>
      <c r="D13248" s="3">
        <f t="shared" si="2132"/>
        <v>8256</v>
      </c>
      <c r="E13248" s="2">
        <f t="shared" si="2133"/>
        <v>43191</v>
      </c>
      <c r="F13248" s="2">
        <f t="shared" si="2134"/>
        <v>44043</v>
      </c>
    </row>
    <row r="13249" spans="1:6" x14ac:dyDescent="0.25">
      <c r="A13249" s="1" t="s">
        <v>948</v>
      </c>
      <c r="B13249" s="1" t="s">
        <v>1777</v>
      </c>
      <c r="C13249" s="1" t="s">
        <v>573</v>
      </c>
      <c r="D13249" s="3">
        <f t="shared" si="2132"/>
        <v>8256</v>
      </c>
      <c r="E13249" s="2">
        <f t="shared" si="2133"/>
        <v>43191</v>
      </c>
      <c r="F13249" s="2">
        <f t="shared" si="2134"/>
        <v>44043</v>
      </c>
    </row>
    <row r="13250" spans="1:6" x14ac:dyDescent="0.25">
      <c r="A13250" s="1" t="s">
        <v>948</v>
      </c>
      <c r="B13250" s="1" t="s">
        <v>1777</v>
      </c>
      <c r="C13250" s="1" t="s">
        <v>24</v>
      </c>
      <c r="D13250" s="3">
        <f t="shared" si="2132"/>
        <v>8256</v>
      </c>
      <c r="E13250" s="2">
        <f t="shared" si="2133"/>
        <v>43191</v>
      </c>
      <c r="F13250" s="2">
        <f t="shared" si="2134"/>
        <v>44043</v>
      </c>
    </row>
    <row r="13251" spans="1:6" x14ac:dyDescent="0.25">
      <c r="A13251" s="1" t="s">
        <v>948</v>
      </c>
      <c r="B13251" s="1" t="s">
        <v>1777</v>
      </c>
      <c r="C13251" s="1" t="s">
        <v>34</v>
      </c>
      <c r="D13251" s="3">
        <f t="shared" si="2132"/>
        <v>8256</v>
      </c>
      <c r="E13251" s="2">
        <f t="shared" si="2133"/>
        <v>43191</v>
      </c>
      <c r="F13251" s="2">
        <f t="shared" si="2134"/>
        <v>44043</v>
      </c>
    </row>
    <row r="13252" spans="1:6" x14ac:dyDescent="0.25">
      <c r="A13252" s="1" t="s">
        <v>948</v>
      </c>
      <c r="B13252" s="1" t="s">
        <v>2267</v>
      </c>
      <c r="C13252" s="1" t="s">
        <v>14</v>
      </c>
      <c r="D13252" s="3">
        <f t="shared" ref="D13252:D13261" si="2135">VALUE("8025")</f>
        <v>8025</v>
      </c>
      <c r="E13252" s="2">
        <f t="shared" ref="E13252:E13261" si="2136">DATEVALUE("1-8-2017")</f>
        <v>42948</v>
      </c>
      <c r="F13252" s="2">
        <f t="shared" ref="F13252:F13261" si="2137">DATEVALUE("31-12-2018")</f>
        <v>43465</v>
      </c>
    </row>
    <row r="13253" spans="1:6" x14ac:dyDescent="0.25">
      <c r="A13253" s="1" t="s">
        <v>948</v>
      </c>
      <c r="B13253" s="1" t="s">
        <v>2267</v>
      </c>
      <c r="C13253" s="1" t="s">
        <v>17</v>
      </c>
      <c r="D13253" s="3">
        <f t="shared" si="2135"/>
        <v>8025</v>
      </c>
      <c r="E13253" s="2">
        <f t="shared" si="2136"/>
        <v>42948</v>
      </c>
      <c r="F13253" s="2">
        <f t="shared" si="2137"/>
        <v>43465</v>
      </c>
    </row>
    <row r="13254" spans="1:6" x14ac:dyDescent="0.25">
      <c r="A13254" s="1" t="s">
        <v>948</v>
      </c>
      <c r="B13254" s="1" t="s">
        <v>2267</v>
      </c>
      <c r="C13254" s="1" t="s">
        <v>128</v>
      </c>
      <c r="D13254" s="3">
        <f t="shared" si="2135"/>
        <v>8025</v>
      </c>
      <c r="E13254" s="2">
        <f t="shared" si="2136"/>
        <v>42948</v>
      </c>
      <c r="F13254" s="2">
        <f t="shared" si="2137"/>
        <v>43465</v>
      </c>
    </row>
    <row r="13255" spans="1:6" x14ac:dyDescent="0.25">
      <c r="A13255" s="1" t="s">
        <v>948</v>
      </c>
      <c r="B13255" s="1" t="s">
        <v>2267</v>
      </c>
      <c r="C13255" s="1" t="s">
        <v>180</v>
      </c>
      <c r="D13255" s="3">
        <f t="shared" si="2135"/>
        <v>8025</v>
      </c>
      <c r="E13255" s="2">
        <f t="shared" si="2136"/>
        <v>42948</v>
      </c>
      <c r="F13255" s="2">
        <f t="shared" si="2137"/>
        <v>43465</v>
      </c>
    </row>
    <row r="13256" spans="1:6" x14ac:dyDescent="0.25">
      <c r="A13256" s="1" t="s">
        <v>948</v>
      </c>
      <c r="B13256" s="1" t="s">
        <v>2267</v>
      </c>
      <c r="C13256" s="1" t="s">
        <v>571</v>
      </c>
      <c r="D13256" s="3">
        <f t="shared" si="2135"/>
        <v>8025</v>
      </c>
      <c r="E13256" s="2">
        <f t="shared" si="2136"/>
        <v>42948</v>
      </c>
      <c r="F13256" s="2">
        <f t="shared" si="2137"/>
        <v>43465</v>
      </c>
    </row>
    <row r="13257" spans="1:6" x14ac:dyDescent="0.25">
      <c r="A13257" s="1" t="s">
        <v>948</v>
      </c>
      <c r="B13257" s="1" t="s">
        <v>2267</v>
      </c>
      <c r="C13257" s="1" t="s">
        <v>572</v>
      </c>
      <c r="D13257" s="3">
        <f t="shared" si="2135"/>
        <v>8025</v>
      </c>
      <c r="E13257" s="2">
        <f t="shared" si="2136"/>
        <v>42948</v>
      </c>
      <c r="F13257" s="2">
        <f t="shared" si="2137"/>
        <v>43465</v>
      </c>
    </row>
    <row r="13258" spans="1:6" x14ac:dyDescent="0.25">
      <c r="A13258" s="1" t="s">
        <v>948</v>
      </c>
      <c r="B13258" s="1" t="s">
        <v>2267</v>
      </c>
      <c r="C13258" s="1" t="s">
        <v>573</v>
      </c>
      <c r="D13258" s="3">
        <f t="shared" si="2135"/>
        <v>8025</v>
      </c>
      <c r="E13258" s="2">
        <f t="shared" si="2136"/>
        <v>42948</v>
      </c>
      <c r="F13258" s="2">
        <f t="shared" si="2137"/>
        <v>43465</v>
      </c>
    </row>
    <row r="13259" spans="1:6" x14ac:dyDescent="0.25">
      <c r="A13259" s="1" t="s">
        <v>948</v>
      </c>
      <c r="B13259" s="1" t="s">
        <v>2267</v>
      </c>
      <c r="C13259" s="1" t="s">
        <v>24</v>
      </c>
      <c r="D13259" s="3">
        <f t="shared" si="2135"/>
        <v>8025</v>
      </c>
      <c r="E13259" s="2">
        <f t="shared" si="2136"/>
        <v>42948</v>
      </c>
      <c r="F13259" s="2">
        <f t="shared" si="2137"/>
        <v>43465</v>
      </c>
    </row>
    <row r="13260" spans="1:6" x14ac:dyDescent="0.25">
      <c r="A13260" s="1" t="s">
        <v>948</v>
      </c>
      <c r="B13260" s="1" t="s">
        <v>2267</v>
      </c>
      <c r="C13260" s="1" t="s">
        <v>541</v>
      </c>
      <c r="D13260" s="3">
        <f t="shared" si="2135"/>
        <v>8025</v>
      </c>
      <c r="E13260" s="2">
        <f t="shared" si="2136"/>
        <v>42948</v>
      </c>
      <c r="F13260" s="2">
        <f t="shared" si="2137"/>
        <v>43465</v>
      </c>
    </row>
    <row r="13261" spans="1:6" x14ac:dyDescent="0.25">
      <c r="A13261" s="1" t="s">
        <v>948</v>
      </c>
      <c r="B13261" s="1" t="s">
        <v>2267</v>
      </c>
      <c r="C13261" s="1" t="s">
        <v>34</v>
      </c>
      <c r="D13261" s="3">
        <f t="shared" si="2135"/>
        <v>8025</v>
      </c>
      <c r="E13261" s="2">
        <f t="shared" si="2136"/>
        <v>42948</v>
      </c>
      <c r="F13261" s="2">
        <f t="shared" si="2137"/>
        <v>43465</v>
      </c>
    </row>
    <row r="13262" spans="1:6" x14ac:dyDescent="0.25">
      <c r="A13262" s="1" t="s">
        <v>948</v>
      </c>
      <c r="B13262" s="1" t="s">
        <v>2020</v>
      </c>
      <c r="C13262" s="1" t="s">
        <v>85</v>
      </c>
      <c r="D13262" s="3">
        <f t="shared" ref="D13262:D13268" si="2138">VALUE("8007")</f>
        <v>8007</v>
      </c>
      <c r="E13262" s="2">
        <f t="shared" ref="E13262:E13268" si="2139">DATEVALUE("1-3-2017")</f>
        <v>42795</v>
      </c>
      <c r="F13262" s="2">
        <f t="shared" ref="F13262:F13268" si="2140">DATEVALUE("31-12-2017")</f>
        <v>43100</v>
      </c>
    </row>
    <row r="13263" spans="1:6" x14ac:dyDescent="0.25">
      <c r="A13263" s="1" t="s">
        <v>948</v>
      </c>
      <c r="B13263" s="1" t="s">
        <v>2020</v>
      </c>
      <c r="C13263" s="1" t="s">
        <v>84</v>
      </c>
      <c r="D13263" s="3">
        <f t="shared" si="2138"/>
        <v>8007</v>
      </c>
      <c r="E13263" s="2">
        <f t="shared" si="2139"/>
        <v>42795</v>
      </c>
      <c r="F13263" s="2">
        <f t="shared" si="2140"/>
        <v>43100</v>
      </c>
    </row>
    <row r="13264" spans="1:6" x14ac:dyDescent="0.25">
      <c r="A13264" s="1" t="s">
        <v>948</v>
      </c>
      <c r="B13264" s="1" t="s">
        <v>2020</v>
      </c>
      <c r="C13264" s="1" t="s">
        <v>14</v>
      </c>
      <c r="D13264" s="3">
        <f t="shared" si="2138"/>
        <v>8007</v>
      </c>
      <c r="E13264" s="2">
        <f t="shared" si="2139"/>
        <v>42795</v>
      </c>
      <c r="F13264" s="2">
        <f t="shared" si="2140"/>
        <v>43100</v>
      </c>
    </row>
    <row r="13265" spans="1:6" x14ac:dyDescent="0.25">
      <c r="A13265" s="1" t="s">
        <v>948</v>
      </c>
      <c r="B13265" s="1" t="s">
        <v>2020</v>
      </c>
      <c r="C13265" s="1" t="s">
        <v>89</v>
      </c>
      <c r="D13265" s="3">
        <f t="shared" si="2138"/>
        <v>8007</v>
      </c>
      <c r="E13265" s="2">
        <f t="shared" si="2139"/>
        <v>42795</v>
      </c>
      <c r="F13265" s="2">
        <f t="shared" si="2140"/>
        <v>43100</v>
      </c>
    </row>
    <row r="13266" spans="1:6" x14ac:dyDescent="0.25">
      <c r="A13266" s="1" t="s">
        <v>948</v>
      </c>
      <c r="B13266" s="1" t="s">
        <v>2020</v>
      </c>
      <c r="C13266" s="1" t="s">
        <v>17</v>
      </c>
      <c r="D13266" s="3">
        <f t="shared" si="2138"/>
        <v>8007</v>
      </c>
      <c r="E13266" s="2">
        <f t="shared" si="2139"/>
        <v>42795</v>
      </c>
      <c r="F13266" s="2">
        <f t="shared" si="2140"/>
        <v>43100</v>
      </c>
    </row>
    <row r="13267" spans="1:6" x14ac:dyDescent="0.25">
      <c r="A13267" s="1" t="s">
        <v>948</v>
      </c>
      <c r="B13267" s="1" t="s">
        <v>2020</v>
      </c>
      <c r="C13267" s="1" t="s">
        <v>91</v>
      </c>
      <c r="D13267" s="3">
        <f t="shared" si="2138"/>
        <v>8007</v>
      </c>
      <c r="E13267" s="2">
        <f t="shared" si="2139"/>
        <v>42795</v>
      </c>
      <c r="F13267" s="2">
        <f t="shared" si="2140"/>
        <v>43100</v>
      </c>
    </row>
    <row r="13268" spans="1:6" x14ac:dyDescent="0.25">
      <c r="A13268" s="1" t="s">
        <v>948</v>
      </c>
      <c r="B13268" s="1" t="s">
        <v>2020</v>
      </c>
      <c r="C13268" s="1" t="s">
        <v>55</v>
      </c>
      <c r="D13268" s="3">
        <f t="shared" si="2138"/>
        <v>8007</v>
      </c>
      <c r="E13268" s="2">
        <f t="shared" si="2139"/>
        <v>42795</v>
      </c>
      <c r="F13268" s="2">
        <f t="shared" si="2140"/>
        <v>43100</v>
      </c>
    </row>
    <row r="13269" spans="1:6" x14ac:dyDescent="0.25">
      <c r="A13269" s="1" t="s">
        <v>948</v>
      </c>
      <c r="B13269" s="1" t="s">
        <v>2127</v>
      </c>
      <c r="C13269" s="1" t="s">
        <v>85</v>
      </c>
      <c r="D13269" s="3">
        <f>VALUE("7287")</f>
        <v>7287</v>
      </c>
      <c r="E13269" s="2">
        <f>DATEVALUE("1-5-2013")</f>
        <v>41395</v>
      </c>
      <c r="F13269" s="2">
        <f>DATEVALUE("31-1-2019")</f>
        <v>43496</v>
      </c>
    </row>
    <row r="13270" spans="1:6" x14ac:dyDescent="0.25">
      <c r="A13270" s="1" t="s">
        <v>948</v>
      </c>
      <c r="B13270" s="1" t="s">
        <v>2127</v>
      </c>
      <c r="C13270" s="1" t="s">
        <v>17</v>
      </c>
      <c r="D13270" s="3">
        <f>VALUE("7287")</f>
        <v>7287</v>
      </c>
      <c r="E13270" s="2">
        <f>DATEVALUE("1-5-2013")</f>
        <v>41395</v>
      </c>
      <c r="F13270" s="2">
        <f>DATEVALUE("31-1-2019")</f>
        <v>43496</v>
      </c>
    </row>
    <row r="13271" spans="1:6" x14ac:dyDescent="0.25">
      <c r="A13271" s="1" t="s">
        <v>948</v>
      </c>
      <c r="B13271" s="1" t="s">
        <v>2127</v>
      </c>
      <c r="C13271" s="1" t="s">
        <v>93</v>
      </c>
      <c r="D13271" s="3">
        <f>VALUE("7287")</f>
        <v>7287</v>
      </c>
      <c r="E13271" s="2">
        <f>DATEVALUE("1-5-2013")</f>
        <v>41395</v>
      </c>
      <c r="F13271" s="2">
        <f>DATEVALUE("31-1-2019")</f>
        <v>43496</v>
      </c>
    </row>
    <row r="13272" spans="1:6" x14ac:dyDescent="0.25">
      <c r="A13272" s="1" t="s">
        <v>948</v>
      </c>
      <c r="B13272" s="1" t="s">
        <v>2127</v>
      </c>
      <c r="C13272" s="1" t="s">
        <v>129</v>
      </c>
      <c r="D13272" s="3">
        <f>VALUE("7287")</f>
        <v>7287</v>
      </c>
      <c r="E13272" s="2">
        <f>DATEVALUE("1-5-2013")</f>
        <v>41395</v>
      </c>
      <c r="F13272" s="2">
        <f>DATEVALUE("31-1-2019")</f>
        <v>43496</v>
      </c>
    </row>
    <row r="13273" spans="1:6" x14ac:dyDescent="0.25">
      <c r="A13273" s="1" t="s">
        <v>948</v>
      </c>
      <c r="B13273" s="1" t="s">
        <v>2127</v>
      </c>
      <c r="C13273" s="1" t="s">
        <v>177</v>
      </c>
      <c r="D13273" s="3">
        <f>VALUE("7287")</f>
        <v>7287</v>
      </c>
      <c r="E13273" s="2">
        <f>DATEVALUE("1-5-2013")</f>
        <v>41395</v>
      </c>
      <c r="F13273" s="2">
        <f>DATEVALUE("31-1-2019")</f>
        <v>43496</v>
      </c>
    </row>
    <row r="13274" spans="1:6" x14ac:dyDescent="0.25">
      <c r="A13274" s="1" t="s">
        <v>948</v>
      </c>
      <c r="B13274" s="1" t="s">
        <v>2687</v>
      </c>
      <c r="C13274" s="1" t="s">
        <v>39</v>
      </c>
      <c r="D13274" s="3">
        <f>VALUE("7384")</f>
        <v>7384</v>
      </c>
      <c r="E13274" s="2">
        <f>DATEVALUE("1-7-2012")</f>
        <v>41091</v>
      </c>
      <c r="F13274" s="2">
        <f>DATEVALUE("30-6-2014")</f>
        <v>41820</v>
      </c>
    </row>
    <row r="13275" spans="1:6" x14ac:dyDescent="0.25">
      <c r="A13275" s="1" t="s">
        <v>948</v>
      </c>
      <c r="B13275" s="1" t="s">
        <v>2687</v>
      </c>
      <c r="C13275" s="1" t="s">
        <v>66</v>
      </c>
      <c r="D13275" s="3">
        <f>VALUE("7384")</f>
        <v>7384</v>
      </c>
      <c r="E13275" s="2">
        <f>DATEVALUE("1-7-2012")</f>
        <v>41091</v>
      </c>
      <c r="F13275" s="2">
        <f>DATEVALUE("30-6-2014")</f>
        <v>41820</v>
      </c>
    </row>
    <row r="13276" spans="1:6" x14ac:dyDescent="0.25">
      <c r="A13276" s="1" t="s">
        <v>948</v>
      </c>
      <c r="B13276" s="1" t="s">
        <v>2687</v>
      </c>
      <c r="C13276" s="1" t="s">
        <v>17</v>
      </c>
      <c r="D13276" s="3">
        <f>VALUE("7384")</f>
        <v>7384</v>
      </c>
      <c r="E13276" s="2">
        <f>DATEVALUE("1-7-2012")</f>
        <v>41091</v>
      </c>
      <c r="F13276" s="2">
        <f>DATEVALUE("30-6-2014")</f>
        <v>41820</v>
      </c>
    </row>
    <row r="13277" spans="1:6" x14ac:dyDescent="0.25">
      <c r="A13277" s="1" t="s">
        <v>948</v>
      </c>
      <c r="B13277" s="1" t="s">
        <v>2499</v>
      </c>
      <c r="C13277" s="1" t="s">
        <v>85</v>
      </c>
      <c r="D13277" s="3">
        <f>VALUE("1087")</f>
        <v>1087</v>
      </c>
      <c r="E13277" s="2">
        <f>DATEVALUE("1-2-2009")</f>
        <v>39845</v>
      </c>
      <c r="F13277" s="2">
        <f>DATEVALUE("31-12-2012")</f>
        <v>41274</v>
      </c>
    </row>
    <row r="13278" spans="1:6" x14ac:dyDescent="0.25">
      <c r="A13278" s="1" t="s">
        <v>1128</v>
      </c>
      <c r="B13278" s="1" t="s">
        <v>1330</v>
      </c>
      <c r="C13278" s="1" t="s">
        <v>1331</v>
      </c>
      <c r="D13278" s="3">
        <f>VALUE("8560")</f>
        <v>8560</v>
      </c>
      <c r="E13278" s="2">
        <f>DATEVALUE("1-1-2020")</f>
        <v>43831</v>
      </c>
      <c r="F13278" s="2">
        <f>DATEVALUE("31-12-2020")</f>
        <v>44196</v>
      </c>
    </row>
    <row r="13279" spans="1:6" x14ac:dyDescent="0.25">
      <c r="A13279" s="1" t="s">
        <v>1128</v>
      </c>
      <c r="B13279" s="1" t="s">
        <v>1330</v>
      </c>
      <c r="C13279" s="1" t="s">
        <v>1332</v>
      </c>
      <c r="D13279" s="3">
        <f>VALUE("8560")</f>
        <v>8560</v>
      </c>
      <c r="E13279" s="2">
        <f>DATEVALUE("1-1-2020")</f>
        <v>43831</v>
      </c>
      <c r="F13279" s="2">
        <f>DATEVALUE("31-12-2020")</f>
        <v>44196</v>
      </c>
    </row>
    <row r="13280" spans="1:6" x14ac:dyDescent="0.25">
      <c r="A13280" s="1" t="s">
        <v>1128</v>
      </c>
      <c r="B13280" s="1" t="s">
        <v>1188</v>
      </c>
      <c r="C13280" s="1" t="s">
        <v>85</v>
      </c>
      <c r="D13280" s="3">
        <f t="shared" ref="D13280:D13287" si="2141">VALUE("8457")</f>
        <v>8457</v>
      </c>
      <c r="E13280" s="2">
        <f t="shared" ref="E13280:E13287" si="2142">DATEVALUE("1-4-2019")</f>
        <v>43556</v>
      </c>
      <c r="F13280" s="2">
        <f t="shared" ref="F13280:F13287" si="2143">DATEVALUE("28-2-2021")</f>
        <v>44255</v>
      </c>
    </row>
    <row r="13281" spans="1:6" x14ac:dyDescent="0.25">
      <c r="A13281" s="1" t="s">
        <v>1128</v>
      </c>
      <c r="B13281" s="1" t="s">
        <v>1188</v>
      </c>
      <c r="C13281" s="1" t="s">
        <v>84</v>
      </c>
      <c r="D13281" s="3">
        <f t="shared" si="2141"/>
        <v>8457</v>
      </c>
      <c r="E13281" s="2">
        <f t="shared" si="2142"/>
        <v>43556</v>
      </c>
      <c r="F13281" s="2">
        <f t="shared" si="2143"/>
        <v>44255</v>
      </c>
    </row>
    <row r="13282" spans="1:6" x14ac:dyDescent="0.25">
      <c r="A13282" s="1" t="s">
        <v>1128</v>
      </c>
      <c r="B13282" s="1" t="s">
        <v>1188</v>
      </c>
      <c r="C13282" s="1" t="s">
        <v>14</v>
      </c>
      <c r="D13282" s="3">
        <f t="shared" si="2141"/>
        <v>8457</v>
      </c>
      <c r="E13282" s="2">
        <f t="shared" si="2142"/>
        <v>43556</v>
      </c>
      <c r="F13282" s="2">
        <f t="shared" si="2143"/>
        <v>44255</v>
      </c>
    </row>
    <row r="13283" spans="1:6" x14ac:dyDescent="0.25">
      <c r="A13283" s="1" t="s">
        <v>1128</v>
      </c>
      <c r="B13283" s="1" t="s">
        <v>1188</v>
      </c>
      <c r="C13283" s="1" t="s">
        <v>89</v>
      </c>
      <c r="D13283" s="3">
        <f t="shared" si="2141"/>
        <v>8457</v>
      </c>
      <c r="E13283" s="2">
        <f t="shared" si="2142"/>
        <v>43556</v>
      </c>
      <c r="F13283" s="2">
        <f t="shared" si="2143"/>
        <v>44255</v>
      </c>
    </row>
    <row r="13284" spans="1:6" x14ac:dyDescent="0.25">
      <c r="A13284" s="1" t="s">
        <v>1128</v>
      </c>
      <c r="B13284" s="1" t="s">
        <v>1188</v>
      </c>
      <c r="C13284" s="1" t="s">
        <v>17</v>
      </c>
      <c r="D13284" s="3">
        <f t="shared" si="2141"/>
        <v>8457</v>
      </c>
      <c r="E13284" s="2">
        <f t="shared" si="2142"/>
        <v>43556</v>
      </c>
      <c r="F13284" s="2">
        <f t="shared" si="2143"/>
        <v>44255</v>
      </c>
    </row>
    <row r="13285" spans="1:6" x14ac:dyDescent="0.25">
      <c r="A13285" s="1" t="s">
        <v>1128</v>
      </c>
      <c r="B13285" s="1" t="s">
        <v>1188</v>
      </c>
      <c r="C13285" s="1" t="s">
        <v>1189</v>
      </c>
      <c r="D13285" s="3">
        <f t="shared" si="2141"/>
        <v>8457</v>
      </c>
      <c r="E13285" s="2">
        <f t="shared" si="2142"/>
        <v>43556</v>
      </c>
      <c r="F13285" s="2">
        <f t="shared" si="2143"/>
        <v>44255</v>
      </c>
    </row>
    <row r="13286" spans="1:6" x14ac:dyDescent="0.25">
      <c r="A13286" s="1" t="s">
        <v>1128</v>
      </c>
      <c r="B13286" s="1" t="s">
        <v>1188</v>
      </c>
      <c r="C13286" s="1" t="s">
        <v>24</v>
      </c>
      <c r="D13286" s="3">
        <f t="shared" si="2141"/>
        <v>8457</v>
      </c>
      <c r="E13286" s="2">
        <f t="shared" si="2142"/>
        <v>43556</v>
      </c>
      <c r="F13286" s="2">
        <f t="shared" si="2143"/>
        <v>44255</v>
      </c>
    </row>
    <row r="13287" spans="1:6" x14ac:dyDescent="0.25">
      <c r="A13287" s="1" t="s">
        <v>1128</v>
      </c>
      <c r="B13287" s="1" t="s">
        <v>1188</v>
      </c>
      <c r="C13287" s="1" t="s">
        <v>34</v>
      </c>
      <c r="D13287" s="3">
        <f t="shared" si="2141"/>
        <v>8457</v>
      </c>
      <c r="E13287" s="2">
        <f t="shared" si="2142"/>
        <v>43556</v>
      </c>
      <c r="F13287" s="2">
        <f t="shared" si="2143"/>
        <v>44255</v>
      </c>
    </row>
    <row r="13288" spans="1:6" x14ac:dyDescent="0.25">
      <c r="A13288" s="1" t="s">
        <v>1128</v>
      </c>
      <c r="B13288" s="1" t="s">
        <v>1127</v>
      </c>
      <c r="C13288" s="1" t="s">
        <v>85</v>
      </c>
      <c r="D13288" s="3">
        <f t="shared" ref="D13288:D13294" si="2144">VALUE("8394")</f>
        <v>8394</v>
      </c>
      <c r="E13288" s="2">
        <f t="shared" ref="E13288:E13294" si="2145">DATEVALUE("1-1-2019")</f>
        <v>43466</v>
      </c>
      <c r="F13288" s="2">
        <f t="shared" ref="F13288:F13294" si="2146">DATEVALUE("31-12-2020")</f>
        <v>44196</v>
      </c>
    </row>
    <row r="13289" spans="1:6" x14ac:dyDescent="0.25">
      <c r="A13289" s="1" t="s">
        <v>1128</v>
      </c>
      <c r="B13289" s="1" t="s">
        <v>1127</v>
      </c>
      <c r="C13289" s="1" t="s">
        <v>84</v>
      </c>
      <c r="D13289" s="3">
        <f t="shared" si="2144"/>
        <v>8394</v>
      </c>
      <c r="E13289" s="2">
        <f t="shared" si="2145"/>
        <v>43466</v>
      </c>
      <c r="F13289" s="2">
        <f t="shared" si="2146"/>
        <v>44196</v>
      </c>
    </row>
    <row r="13290" spans="1:6" x14ac:dyDescent="0.25">
      <c r="A13290" s="1" t="s">
        <v>1128</v>
      </c>
      <c r="B13290" s="1" t="s">
        <v>1127</v>
      </c>
      <c r="C13290" s="1" t="s">
        <v>89</v>
      </c>
      <c r="D13290" s="3">
        <f t="shared" si="2144"/>
        <v>8394</v>
      </c>
      <c r="E13290" s="2">
        <f t="shared" si="2145"/>
        <v>43466</v>
      </c>
      <c r="F13290" s="2">
        <f t="shared" si="2146"/>
        <v>44196</v>
      </c>
    </row>
    <row r="13291" spans="1:6" x14ac:dyDescent="0.25">
      <c r="A13291" s="1" t="s">
        <v>1128</v>
      </c>
      <c r="B13291" s="1" t="s">
        <v>1127</v>
      </c>
      <c r="C13291" s="1" t="s">
        <v>17</v>
      </c>
      <c r="D13291" s="3">
        <f t="shared" si="2144"/>
        <v>8394</v>
      </c>
      <c r="E13291" s="2">
        <f t="shared" si="2145"/>
        <v>43466</v>
      </c>
      <c r="F13291" s="2">
        <f t="shared" si="2146"/>
        <v>44196</v>
      </c>
    </row>
    <row r="13292" spans="1:6" x14ac:dyDescent="0.25">
      <c r="A13292" s="1" t="s">
        <v>1128</v>
      </c>
      <c r="B13292" s="1" t="s">
        <v>1127</v>
      </c>
      <c r="C13292" s="1" t="s">
        <v>22</v>
      </c>
      <c r="D13292" s="3">
        <f t="shared" si="2144"/>
        <v>8394</v>
      </c>
      <c r="E13292" s="2">
        <f t="shared" si="2145"/>
        <v>43466</v>
      </c>
      <c r="F13292" s="2">
        <f t="shared" si="2146"/>
        <v>44196</v>
      </c>
    </row>
    <row r="13293" spans="1:6" x14ac:dyDescent="0.25">
      <c r="A13293" s="1" t="s">
        <v>1128</v>
      </c>
      <c r="B13293" s="1" t="s">
        <v>1127</v>
      </c>
      <c r="C13293" s="1" t="s">
        <v>67</v>
      </c>
      <c r="D13293" s="3">
        <f t="shared" si="2144"/>
        <v>8394</v>
      </c>
      <c r="E13293" s="2">
        <f t="shared" si="2145"/>
        <v>43466</v>
      </c>
      <c r="F13293" s="2">
        <f t="shared" si="2146"/>
        <v>44196</v>
      </c>
    </row>
    <row r="13294" spans="1:6" x14ac:dyDescent="0.25">
      <c r="A13294" s="1" t="s">
        <v>1128</v>
      </c>
      <c r="B13294" s="1" t="s">
        <v>1127</v>
      </c>
      <c r="C13294" s="1" t="s">
        <v>149</v>
      </c>
      <c r="D13294" s="3">
        <f t="shared" si="2144"/>
        <v>8394</v>
      </c>
      <c r="E13294" s="2">
        <f t="shared" si="2145"/>
        <v>43466</v>
      </c>
      <c r="F13294" s="2">
        <f t="shared" si="2146"/>
        <v>44196</v>
      </c>
    </row>
    <row r="13295" spans="1:6" x14ac:dyDescent="0.25">
      <c r="A13295" s="1" t="s">
        <v>1128</v>
      </c>
      <c r="B13295" s="1" t="s">
        <v>2292</v>
      </c>
      <c r="C13295" s="1" t="s">
        <v>89</v>
      </c>
      <c r="D13295" s="3">
        <f>VALUE("8094")</f>
        <v>8094</v>
      </c>
      <c r="E13295" s="2">
        <f>DATEVALUE("1-5-2017")</f>
        <v>42856</v>
      </c>
      <c r="F13295" s="2">
        <f>DATEVALUE("31-12-2019")</f>
        <v>43830</v>
      </c>
    </row>
    <row r="13296" spans="1:6" x14ac:dyDescent="0.25">
      <c r="A13296" s="1" t="s">
        <v>1128</v>
      </c>
      <c r="B13296" s="1" t="s">
        <v>2292</v>
      </c>
      <c r="C13296" s="1" t="s">
        <v>92</v>
      </c>
      <c r="D13296" s="3">
        <f>VALUE("8094")</f>
        <v>8094</v>
      </c>
      <c r="E13296" s="2">
        <f>DATEVALUE("1-5-2017")</f>
        <v>42856</v>
      </c>
      <c r="F13296" s="2">
        <f>DATEVALUE("31-12-2019")</f>
        <v>43830</v>
      </c>
    </row>
    <row r="13297" spans="1:6" x14ac:dyDescent="0.25">
      <c r="A13297" s="1" t="s">
        <v>1128</v>
      </c>
      <c r="B13297" s="1" t="s">
        <v>2292</v>
      </c>
      <c r="C13297" s="1" t="s">
        <v>170</v>
      </c>
      <c r="D13297" s="3">
        <f>VALUE("8094")</f>
        <v>8094</v>
      </c>
      <c r="E13297" s="2">
        <f>DATEVALUE("1-5-2017")</f>
        <v>42856</v>
      </c>
      <c r="F13297" s="2">
        <f>DATEVALUE("31-12-2019")</f>
        <v>43830</v>
      </c>
    </row>
    <row r="13298" spans="1:6" x14ac:dyDescent="0.25">
      <c r="A13298" s="1" t="s">
        <v>1128</v>
      </c>
      <c r="B13298" s="1" t="s">
        <v>2195</v>
      </c>
      <c r="C13298" s="1" t="s">
        <v>14</v>
      </c>
      <c r="D13298" s="3">
        <f t="shared" ref="D13298:D13303" si="2147">VALUE("7766")</f>
        <v>7766</v>
      </c>
      <c r="E13298" s="2">
        <f t="shared" ref="E13298:E13303" si="2148">DATEVALUE("1-9-2015")</f>
        <v>42248</v>
      </c>
      <c r="F13298" s="2">
        <f t="shared" ref="F13298:F13303" si="2149">DATEVALUE("30-6-2018")</f>
        <v>43281</v>
      </c>
    </row>
    <row r="13299" spans="1:6" x14ac:dyDescent="0.25">
      <c r="A13299" s="1" t="s">
        <v>1128</v>
      </c>
      <c r="B13299" s="1" t="s">
        <v>2195</v>
      </c>
      <c r="C13299" s="1" t="s">
        <v>15</v>
      </c>
      <c r="D13299" s="3">
        <f t="shared" si="2147"/>
        <v>7766</v>
      </c>
      <c r="E13299" s="2">
        <f t="shared" si="2148"/>
        <v>42248</v>
      </c>
      <c r="F13299" s="2">
        <f t="shared" si="2149"/>
        <v>43281</v>
      </c>
    </row>
    <row r="13300" spans="1:6" x14ac:dyDescent="0.25">
      <c r="A13300" s="1" t="s">
        <v>1128</v>
      </c>
      <c r="B13300" s="1" t="s">
        <v>2195</v>
      </c>
      <c r="C13300" s="1" t="s">
        <v>17</v>
      </c>
      <c r="D13300" s="3">
        <f t="shared" si="2147"/>
        <v>7766</v>
      </c>
      <c r="E13300" s="2">
        <f t="shared" si="2148"/>
        <v>42248</v>
      </c>
      <c r="F13300" s="2">
        <f t="shared" si="2149"/>
        <v>43281</v>
      </c>
    </row>
    <row r="13301" spans="1:6" x14ac:dyDescent="0.25">
      <c r="A13301" s="1" t="s">
        <v>1128</v>
      </c>
      <c r="B13301" s="1" t="s">
        <v>2195</v>
      </c>
      <c r="C13301" s="1" t="s">
        <v>94</v>
      </c>
      <c r="D13301" s="3">
        <f t="shared" si="2147"/>
        <v>7766</v>
      </c>
      <c r="E13301" s="2">
        <f t="shared" si="2148"/>
        <v>42248</v>
      </c>
      <c r="F13301" s="2">
        <f t="shared" si="2149"/>
        <v>43281</v>
      </c>
    </row>
    <row r="13302" spans="1:6" x14ac:dyDescent="0.25">
      <c r="A13302" s="1" t="s">
        <v>1128</v>
      </c>
      <c r="B13302" s="1" t="s">
        <v>2195</v>
      </c>
      <c r="C13302" s="1" t="s">
        <v>24</v>
      </c>
      <c r="D13302" s="3">
        <f t="shared" si="2147"/>
        <v>7766</v>
      </c>
      <c r="E13302" s="2">
        <f t="shared" si="2148"/>
        <v>42248</v>
      </c>
      <c r="F13302" s="2">
        <f t="shared" si="2149"/>
        <v>43281</v>
      </c>
    </row>
    <row r="13303" spans="1:6" x14ac:dyDescent="0.25">
      <c r="A13303" s="1" t="s">
        <v>1128</v>
      </c>
      <c r="B13303" s="1" t="s">
        <v>2195</v>
      </c>
      <c r="C13303" s="1" t="s">
        <v>34</v>
      </c>
      <c r="D13303" s="3">
        <f t="shared" si="2147"/>
        <v>7766</v>
      </c>
      <c r="E13303" s="2">
        <f t="shared" si="2148"/>
        <v>42248</v>
      </c>
      <c r="F13303" s="2">
        <f t="shared" si="2149"/>
        <v>43281</v>
      </c>
    </row>
    <row r="13304" spans="1:6" x14ac:dyDescent="0.25">
      <c r="A13304" s="1" t="s">
        <v>1128</v>
      </c>
      <c r="B13304" s="1" t="s">
        <v>2636</v>
      </c>
      <c r="C13304" s="1" t="s">
        <v>85</v>
      </c>
      <c r="D13304" s="3">
        <f>VALUE("7258")</f>
        <v>7258</v>
      </c>
      <c r="E13304" s="2">
        <f>DATEVALUE("1-3-2012")</f>
        <v>40969</v>
      </c>
      <c r="F13304" s="2">
        <f>DATEVALUE("31-12-2013")</f>
        <v>41639</v>
      </c>
    </row>
    <row r="13305" spans="1:6" x14ac:dyDescent="0.25">
      <c r="A13305" s="1" t="s">
        <v>1128</v>
      </c>
      <c r="B13305" s="1" t="s">
        <v>2636</v>
      </c>
      <c r="C13305" s="1" t="s">
        <v>93</v>
      </c>
      <c r="D13305" s="3">
        <f>VALUE("7258")</f>
        <v>7258</v>
      </c>
      <c r="E13305" s="2">
        <f>DATEVALUE("1-3-2012")</f>
        <v>40969</v>
      </c>
      <c r="F13305" s="2">
        <f>DATEVALUE("31-12-2013")</f>
        <v>41639</v>
      </c>
    </row>
    <row r="13306" spans="1:6" x14ac:dyDescent="0.25">
      <c r="A13306" s="1" t="s">
        <v>1128</v>
      </c>
      <c r="B13306" s="1" t="s">
        <v>2636</v>
      </c>
      <c r="C13306" s="1" t="s">
        <v>177</v>
      </c>
      <c r="D13306" s="3">
        <f>VALUE("7258")</f>
        <v>7258</v>
      </c>
      <c r="E13306" s="2">
        <f>DATEVALUE("1-3-2012")</f>
        <v>40969</v>
      </c>
      <c r="F13306" s="2">
        <f>DATEVALUE("31-12-2013")</f>
        <v>41639</v>
      </c>
    </row>
    <row r="13307" spans="1:6" x14ac:dyDescent="0.25">
      <c r="A13307" s="1" t="s">
        <v>1128</v>
      </c>
      <c r="B13307" s="1" t="s">
        <v>2570</v>
      </c>
      <c r="C13307" s="1" t="s">
        <v>85</v>
      </c>
      <c r="D13307" s="3">
        <f>VALUE("7104")</f>
        <v>7104</v>
      </c>
      <c r="E13307" s="2">
        <f>DATEVALUE("1-1-2012")</f>
        <v>40909</v>
      </c>
      <c r="F13307" s="2">
        <f>DATEVALUE("31-10-2012")</f>
        <v>41213</v>
      </c>
    </row>
    <row r="13308" spans="1:6" x14ac:dyDescent="0.25">
      <c r="A13308" s="1" t="s">
        <v>1128</v>
      </c>
      <c r="B13308" s="1" t="s">
        <v>2570</v>
      </c>
      <c r="C13308" s="1" t="s">
        <v>93</v>
      </c>
      <c r="D13308" s="3">
        <f>VALUE("7104")</f>
        <v>7104</v>
      </c>
      <c r="E13308" s="2">
        <f>DATEVALUE("1-1-2012")</f>
        <v>40909</v>
      </c>
      <c r="F13308" s="2">
        <f>DATEVALUE("31-10-2012")</f>
        <v>41213</v>
      </c>
    </row>
    <row r="13309" spans="1:6" x14ac:dyDescent="0.25">
      <c r="A13309" s="1" t="s">
        <v>1128</v>
      </c>
      <c r="B13309" s="1" t="s">
        <v>2570</v>
      </c>
      <c r="C13309" s="1" t="s">
        <v>129</v>
      </c>
      <c r="D13309" s="3">
        <f>VALUE("7104")</f>
        <v>7104</v>
      </c>
      <c r="E13309" s="2">
        <f>DATEVALUE("1-1-2012")</f>
        <v>40909</v>
      </c>
      <c r="F13309" s="2">
        <f>DATEVALUE("31-10-2012")</f>
        <v>41213</v>
      </c>
    </row>
    <row r="13310" spans="1:6" x14ac:dyDescent="0.25">
      <c r="A13310" s="1" t="s">
        <v>1128</v>
      </c>
      <c r="B13310" s="1" t="s">
        <v>2570</v>
      </c>
      <c r="C13310" s="1" t="s">
        <v>130</v>
      </c>
      <c r="D13310" s="3">
        <f>VALUE("7104")</f>
        <v>7104</v>
      </c>
      <c r="E13310" s="2">
        <f>DATEVALUE("1-1-2012")</f>
        <v>40909</v>
      </c>
      <c r="F13310" s="2">
        <f>DATEVALUE("31-10-2012")</f>
        <v>41213</v>
      </c>
    </row>
    <row r="13311" spans="1:6" x14ac:dyDescent="0.25">
      <c r="A13311" s="1" t="s">
        <v>179</v>
      </c>
      <c r="B13311" s="1" t="s">
        <v>2215</v>
      </c>
      <c r="C13311" s="1" t="s">
        <v>197</v>
      </c>
      <c r="D13311" s="3">
        <f>VALUE("7822")</f>
        <v>7822</v>
      </c>
      <c r="E13311" s="2">
        <f>DATEVALUE("1-4-2016")</f>
        <v>42461</v>
      </c>
      <c r="F13311" s="2">
        <f>DATEVALUE("30-9-2017")</f>
        <v>43008</v>
      </c>
    </row>
    <row r="13312" spans="1:6" x14ac:dyDescent="0.25">
      <c r="A13312" s="1" t="s">
        <v>179</v>
      </c>
      <c r="B13312" s="1" t="s">
        <v>370</v>
      </c>
      <c r="C13312" s="1" t="s">
        <v>85</v>
      </c>
      <c r="D13312" s="3">
        <f>VALUE("7558")</f>
        <v>7558</v>
      </c>
      <c r="E13312" s="2">
        <f>DATEVALUE("1-3-2015")</f>
        <v>42064</v>
      </c>
      <c r="F13312" s="2">
        <f t="shared" ref="F13312:F13338" si="2150">DATEVALUE("31-12-2025")</f>
        <v>46022</v>
      </c>
    </row>
    <row r="13313" spans="1:6" x14ac:dyDescent="0.25">
      <c r="A13313" s="1" t="s">
        <v>179</v>
      </c>
      <c r="B13313" s="1" t="s">
        <v>370</v>
      </c>
      <c r="C13313" s="1" t="s">
        <v>84</v>
      </c>
      <c r="D13313" s="3">
        <f>VALUE("7558")</f>
        <v>7558</v>
      </c>
      <c r="E13313" s="2">
        <f>DATEVALUE("1-3-2015")</f>
        <v>42064</v>
      </c>
      <c r="F13313" s="2">
        <f t="shared" si="2150"/>
        <v>46022</v>
      </c>
    </row>
    <row r="13314" spans="1:6" x14ac:dyDescent="0.25">
      <c r="A13314" s="1" t="s">
        <v>179</v>
      </c>
      <c r="B13314" s="1" t="s">
        <v>370</v>
      </c>
      <c r="C13314" s="1" t="s">
        <v>17</v>
      </c>
      <c r="D13314" s="3">
        <f>VALUE("7558")</f>
        <v>7558</v>
      </c>
      <c r="E13314" s="2">
        <f>DATEVALUE("1-3-2015")</f>
        <v>42064</v>
      </c>
      <c r="F13314" s="2">
        <f t="shared" si="2150"/>
        <v>46022</v>
      </c>
    </row>
    <row r="13315" spans="1:6" x14ac:dyDescent="0.25">
      <c r="A13315" s="1" t="s">
        <v>179</v>
      </c>
      <c r="B13315" s="1" t="s">
        <v>370</v>
      </c>
      <c r="C13315" s="1" t="s">
        <v>371</v>
      </c>
      <c r="D13315" s="3">
        <f>VALUE("7558")</f>
        <v>7558</v>
      </c>
      <c r="E13315" s="2">
        <f>DATEVALUE("1-3-2015")</f>
        <v>42064</v>
      </c>
      <c r="F13315" s="2">
        <f t="shared" si="2150"/>
        <v>46022</v>
      </c>
    </row>
    <row r="13316" spans="1:6" x14ac:dyDescent="0.25">
      <c r="A13316" s="1" t="s">
        <v>179</v>
      </c>
      <c r="B13316" s="1" t="s">
        <v>460</v>
      </c>
      <c r="C13316" s="1" t="s">
        <v>85</v>
      </c>
      <c r="D13316" s="3">
        <f t="shared" ref="D13316:D13338" si="2151">VALUE("7660")</f>
        <v>7660</v>
      </c>
      <c r="E13316" s="2">
        <f t="shared" ref="E13316:E13338" si="2152">DATEVALUE("1-9-2014")</f>
        <v>41883</v>
      </c>
      <c r="F13316" s="2">
        <f t="shared" si="2150"/>
        <v>46022</v>
      </c>
    </row>
    <row r="13317" spans="1:6" x14ac:dyDescent="0.25">
      <c r="A13317" s="1" t="s">
        <v>179</v>
      </c>
      <c r="B13317" s="1" t="s">
        <v>460</v>
      </c>
      <c r="C13317" s="1" t="s">
        <v>46</v>
      </c>
      <c r="D13317" s="3">
        <f t="shared" si="2151"/>
        <v>7660</v>
      </c>
      <c r="E13317" s="2">
        <f t="shared" si="2152"/>
        <v>41883</v>
      </c>
      <c r="F13317" s="2">
        <f t="shared" si="2150"/>
        <v>46022</v>
      </c>
    </row>
    <row r="13318" spans="1:6" x14ac:dyDescent="0.25">
      <c r="A13318" s="1" t="s">
        <v>179</v>
      </c>
      <c r="B13318" s="1" t="s">
        <v>460</v>
      </c>
      <c r="C13318" s="1" t="s">
        <v>14</v>
      </c>
      <c r="D13318" s="3">
        <f t="shared" si="2151"/>
        <v>7660</v>
      </c>
      <c r="E13318" s="2">
        <f t="shared" si="2152"/>
        <v>41883</v>
      </c>
      <c r="F13318" s="2">
        <f t="shared" si="2150"/>
        <v>46022</v>
      </c>
    </row>
    <row r="13319" spans="1:6" x14ac:dyDescent="0.25">
      <c r="A13319" s="1" t="s">
        <v>179</v>
      </c>
      <c r="B13319" s="1" t="s">
        <v>460</v>
      </c>
      <c r="C13319" s="1" t="s">
        <v>66</v>
      </c>
      <c r="D13319" s="3">
        <f t="shared" si="2151"/>
        <v>7660</v>
      </c>
      <c r="E13319" s="2">
        <f t="shared" si="2152"/>
        <v>41883</v>
      </c>
      <c r="F13319" s="2">
        <f t="shared" si="2150"/>
        <v>46022</v>
      </c>
    </row>
    <row r="13320" spans="1:6" x14ac:dyDescent="0.25">
      <c r="A13320" s="1" t="s">
        <v>179</v>
      </c>
      <c r="B13320" s="1" t="s">
        <v>460</v>
      </c>
      <c r="C13320" s="1" t="s">
        <v>16</v>
      </c>
      <c r="D13320" s="3">
        <f t="shared" si="2151"/>
        <v>7660</v>
      </c>
      <c r="E13320" s="2">
        <f t="shared" si="2152"/>
        <v>41883</v>
      </c>
      <c r="F13320" s="2">
        <f t="shared" si="2150"/>
        <v>46022</v>
      </c>
    </row>
    <row r="13321" spans="1:6" x14ac:dyDescent="0.25">
      <c r="A13321" s="1" t="s">
        <v>179</v>
      </c>
      <c r="B13321" s="1" t="s">
        <v>460</v>
      </c>
      <c r="C13321" s="1" t="s">
        <v>17</v>
      </c>
      <c r="D13321" s="3">
        <f t="shared" si="2151"/>
        <v>7660</v>
      </c>
      <c r="E13321" s="2">
        <f t="shared" si="2152"/>
        <v>41883</v>
      </c>
      <c r="F13321" s="2">
        <f t="shared" si="2150"/>
        <v>46022</v>
      </c>
    </row>
    <row r="13322" spans="1:6" x14ac:dyDescent="0.25">
      <c r="A13322" s="1" t="s">
        <v>179</v>
      </c>
      <c r="B13322" s="1" t="s">
        <v>460</v>
      </c>
      <c r="C13322" s="1" t="s">
        <v>148</v>
      </c>
      <c r="D13322" s="3">
        <f t="shared" si="2151"/>
        <v>7660</v>
      </c>
      <c r="E13322" s="2">
        <f t="shared" si="2152"/>
        <v>41883</v>
      </c>
      <c r="F13322" s="2">
        <f t="shared" si="2150"/>
        <v>46022</v>
      </c>
    </row>
    <row r="13323" spans="1:6" x14ac:dyDescent="0.25">
      <c r="A13323" s="1" t="s">
        <v>179</v>
      </c>
      <c r="B13323" s="1" t="s">
        <v>460</v>
      </c>
      <c r="C13323" s="1" t="s">
        <v>149</v>
      </c>
      <c r="D13323" s="3">
        <f t="shared" si="2151"/>
        <v>7660</v>
      </c>
      <c r="E13323" s="2">
        <f t="shared" si="2152"/>
        <v>41883</v>
      </c>
      <c r="F13323" s="2">
        <f t="shared" si="2150"/>
        <v>46022</v>
      </c>
    </row>
    <row r="13324" spans="1:6" x14ac:dyDescent="0.25">
      <c r="A13324" s="1" t="s">
        <v>179</v>
      </c>
      <c r="B13324" s="1" t="s">
        <v>460</v>
      </c>
      <c r="C13324" s="1" t="s">
        <v>150</v>
      </c>
      <c r="D13324" s="3">
        <f t="shared" si="2151"/>
        <v>7660</v>
      </c>
      <c r="E13324" s="2">
        <f t="shared" si="2152"/>
        <v>41883</v>
      </c>
      <c r="F13324" s="2">
        <f t="shared" si="2150"/>
        <v>46022</v>
      </c>
    </row>
    <row r="13325" spans="1:6" x14ac:dyDescent="0.25">
      <c r="A13325" s="1" t="s">
        <v>179</v>
      </c>
      <c r="B13325" s="1" t="s">
        <v>460</v>
      </c>
      <c r="C13325" s="1" t="s">
        <v>93</v>
      </c>
      <c r="D13325" s="3">
        <f t="shared" si="2151"/>
        <v>7660</v>
      </c>
      <c r="E13325" s="2">
        <f t="shared" si="2152"/>
        <v>41883</v>
      </c>
      <c r="F13325" s="2">
        <f t="shared" si="2150"/>
        <v>46022</v>
      </c>
    </row>
    <row r="13326" spans="1:6" x14ac:dyDescent="0.25">
      <c r="A13326" s="1" t="s">
        <v>179</v>
      </c>
      <c r="B13326" s="1" t="s">
        <v>460</v>
      </c>
      <c r="C13326" s="1" t="s">
        <v>129</v>
      </c>
      <c r="D13326" s="3">
        <f t="shared" si="2151"/>
        <v>7660</v>
      </c>
      <c r="E13326" s="2">
        <f t="shared" si="2152"/>
        <v>41883</v>
      </c>
      <c r="F13326" s="2">
        <f t="shared" si="2150"/>
        <v>46022</v>
      </c>
    </row>
    <row r="13327" spans="1:6" x14ac:dyDescent="0.25">
      <c r="A13327" s="1" t="s">
        <v>179</v>
      </c>
      <c r="B13327" s="1" t="s">
        <v>460</v>
      </c>
      <c r="C13327" s="1" t="s">
        <v>177</v>
      </c>
      <c r="D13327" s="3">
        <f t="shared" si="2151"/>
        <v>7660</v>
      </c>
      <c r="E13327" s="2">
        <f t="shared" si="2152"/>
        <v>41883</v>
      </c>
      <c r="F13327" s="2">
        <f t="shared" si="2150"/>
        <v>46022</v>
      </c>
    </row>
    <row r="13328" spans="1:6" x14ac:dyDescent="0.25">
      <c r="A13328" s="1" t="s">
        <v>179</v>
      </c>
      <c r="B13328" s="1" t="s">
        <v>460</v>
      </c>
      <c r="C13328" s="1" t="s">
        <v>181</v>
      </c>
      <c r="D13328" s="3">
        <f t="shared" si="2151"/>
        <v>7660</v>
      </c>
      <c r="E13328" s="2">
        <f t="shared" si="2152"/>
        <v>41883</v>
      </c>
      <c r="F13328" s="2">
        <f t="shared" si="2150"/>
        <v>46022</v>
      </c>
    </row>
    <row r="13329" spans="1:6" x14ac:dyDescent="0.25">
      <c r="A13329" s="1" t="s">
        <v>179</v>
      </c>
      <c r="B13329" s="1" t="s">
        <v>460</v>
      </c>
      <c r="C13329" s="1" t="s">
        <v>176</v>
      </c>
      <c r="D13329" s="3">
        <f t="shared" si="2151"/>
        <v>7660</v>
      </c>
      <c r="E13329" s="2">
        <f t="shared" si="2152"/>
        <v>41883</v>
      </c>
      <c r="F13329" s="2">
        <f t="shared" si="2150"/>
        <v>46022</v>
      </c>
    </row>
    <row r="13330" spans="1:6" x14ac:dyDescent="0.25">
      <c r="A13330" s="1" t="s">
        <v>179</v>
      </c>
      <c r="B13330" s="1" t="s">
        <v>460</v>
      </c>
      <c r="C13330" s="1" t="s">
        <v>130</v>
      </c>
      <c r="D13330" s="3">
        <f t="shared" si="2151"/>
        <v>7660</v>
      </c>
      <c r="E13330" s="2">
        <f t="shared" si="2152"/>
        <v>41883</v>
      </c>
      <c r="F13330" s="2">
        <f t="shared" si="2150"/>
        <v>46022</v>
      </c>
    </row>
    <row r="13331" spans="1:6" x14ac:dyDescent="0.25">
      <c r="A13331" s="1" t="s">
        <v>179</v>
      </c>
      <c r="B13331" s="1" t="s">
        <v>460</v>
      </c>
      <c r="C13331" s="1" t="s">
        <v>156</v>
      </c>
      <c r="D13331" s="3">
        <f t="shared" si="2151"/>
        <v>7660</v>
      </c>
      <c r="E13331" s="2">
        <f t="shared" si="2152"/>
        <v>41883</v>
      </c>
      <c r="F13331" s="2">
        <f t="shared" si="2150"/>
        <v>46022</v>
      </c>
    </row>
    <row r="13332" spans="1:6" x14ac:dyDescent="0.25">
      <c r="A13332" s="1" t="s">
        <v>179</v>
      </c>
      <c r="B13332" s="1" t="s">
        <v>460</v>
      </c>
      <c r="C13332" s="1" t="s">
        <v>157</v>
      </c>
      <c r="D13332" s="3">
        <f t="shared" si="2151"/>
        <v>7660</v>
      </c>
      <c r="E13332" s="2">
        <f t="shared" si="2152"/>
        <v>41883</v>
      </c>
      <c r="F13332" s="2">
        <f t="shared" si="2150"/>
        <v>46022</v>
      </c>
    </row>
    <row r="13333" spans="1:6" x14ac:dyDescent="0.25">
      <c r="A13333" s="1" t="s">
        <v>179</v>
      </c>
      <c r="B13333" s="1" t="s">
        <v>460</v>
      </c>
      <c r="C13333" s="1" t="s">
        <v>157</v>
      </c>
      <c r="D13333" s="3">
        <f t="shared" si="2151"/>
        <v>7660</v>
      </c>
      <c r="E13333" s="2">
        <f t="shared" si="2152"/>
        <v>41883</v>
      </c>
      <c r="F13333" s="2">
        <f t="shared" si="2150"/>
        <v>46022</v>
      </c>
    </row>
    <row r="13334" spans="1:6" x14ac:dyDescent="0.25">
      <c r="A13334" s="1" t="s">
        <v>179</v>
      </c>
      <c r="B13334" s="1" t="s">
        <v>460</v>
      </c>
      <c r="C13334" s="1" t="s">
        <v>461</v>
      </c>
      <c r="D13334" s="3">
        <f t="shared" si="2151"/>
        <v>7660</v>
      </c>
      <c r="E13334" s="2">
        <f t="shared" si="2152"/>
        <v>41883</v>
      </c>
      <c r="F13334" s="2">
        <f t="shared" si="2150"/>
        <v>46022</v>
      </c>
    </row>
    <row r="13335" spans="1:6" x14ac:dyDescent="0.25">
      <c r="A13335" s="1" t="s">
        <v>179</v>
      </c>
      <c r="B13335" s="1" t="s">
        <v>460</v>
      </c>
      <c r="C13335" s="1" t="s">
        <v>51</v>
      </c>
      <c r="D13335" s="3">
        <f t="shared" si="2151"/>
        <v>7660</v>
      </c>
      <c r="E13335" s="2">
        <f t="shared" si="2152"/>
        <v>41883</v>
      </c>
      <c r="F13335" s="2">
        <f t="shared" si="2150"/>
        <v>46022</v>
      </c>
    </row>
    <row r="13336" spans="1:6" x14ac:dyDescent="0.25">
      <c r="A13336" s="1" t="s">
        <v>179</v>
      </c>
      <c r="B13336" s="1" t="s">
        <v>460</v>
      </c>
      <c r="C13336" s="1" t="s">
        <v>121</v>
      </c>
      <c r="D13336" s="3">
        <f t="shared" si="2151"/>
        <v>7660</v>
      </c>
      <c r="E13336" s="2">
        <f t="shared" si="2152"/>
        <v>41883</v>
      </c>
      <c r="F13336" s="2">
        <f t="shared" si="2150"/>
        <v>46022</v>
      </c>
    </row>
    <row r="13337" spans="1:6" x14ac:dyDescent="0.25">
      <c r="A13337" s="1" t="s">
        <v>179</v>
      </c>
      <c r="B13337" s="1" t="s">
        <v>460</v>
      </c>
      <c r="C13337" s="1" t="s">
        <v>73</v>
      </c>
      <c r="D13337" s="3">
        <f t="shared" si="2151"/>
        <v>7660</v>
      </c>
      <c r="E13337" s="2">
        <f t="shared" si="2152"/>
        <v>41883</v>
      </c>
      <c r="F13337" s="2">
        <f t="shared" si="2150"/>
        <v>46022</v>
      </c>
    </row>
    <row r="13338" spans="1:6" x14ac:dyDescent="0.25">
      <c r="A13338" s="1" t="s">
        <v>179</v>
      </c>
      <c r="B13338" s="1" t="s">
        <v>460</v>
      </c>
      <c r="C13338" s="1" t="s">
        <v>55</v>
      </c>
      <c r="D13338" s="3">
        <f t="shared" si="2151"/>
        <v>7660</v>
      </c>
      <c r="E13338" s="2">
        <f t="shared" si="2152"/>
        <v>41883</v>
      </c>
      <c r="F13338" s="2">
        <f t="shared" si="2150"/>
        <v>46022</v>
      </c>
    </row>
    <row r="13339" spans="1:6" x14ac:dyDescent="0.25">
      <c r="A13339" s="1" t="s">
        <v>179</v>
      </c>
      <c r="B13339" s="1" t="s">
        <v>2698</v>
      </c>
      <c r="C13339" s="1" t="s">
        <v>89</v>
      </c>
      <c r="D13339" s="3">
        <f>VALUE("7419")</f>
        <v>7419</v>
      </c>
      <c r="E13339" s="2">
        <f>DATEVALUE("1-11-2012")</f>
        <v>41214</v>
      </c>
      <c r="F13339" s="2">
        <f>DATEVALUE("30-11-2013")</f>
        <v>41608</v>
      </c>
    </row>
    <row r="13340" spans="1:6" x14ac:dyDescent="0.25">
      <c r="A13340" s="1" t="s">
        <v>179</v>
      </c>
      <c r="B13340" s="1" t="s">
        <v>2698</v>
      </c>
      <c r="C13340" s="1" t="s">
        <v>176</v>
      </c>
      <c r="D13340" s="3">
        <f>VALUE("7419")</f>
        <v>7419</v>
      </c>
      <c r="E13340" s="2">
        <f>DATEVALUE("1-11-2012")</f>
        <v>41214</v>
      </c>
      <c r="F13340" s="2">
        <f>DATEVALUE("30-11-2013")</f>
        <v>41608</v>
      </c>
    </row>
    <row r="13341" spans="1:6" x14ac:dyDescent="0.25">
      <c r="A13341" s="1" t="s">
        <v>179</v>
      </c>
      <c r="B13341" s="1" t="s">
        <v>1706</v>
      </c>
      <c r="C13341" s="1" t="s">
        <v>85</v>
      </c>
      <c r="D13341" s="3">
        <f t="shared" ref="D13341:D13346" si="2153">VALUE("7329")</f>
        <v>7329</v>
      </c>
      <c r="E13341" s="2">
        <f t="shared" ref="E13341:E13346" si="2154">DATEVALUE("1-7-2012")</f>
        <v>41091</v>
      </c>
      <c r="F13341" s="2">
        <f t="shared" ref="F13341:F13346" si="2155">DATEVALUE("31-5-2017")</f>
        <v>42886</v>
      </c>
    </row>
    <row r="13342" spans="1:6" x14ac:dyDescent="0.25">
      <c r="A13342" s="1" t="s">
        <v>179</v>
      </c>
      <c r="B13342" s="1" t="s">
        <v>1706</v>
      </c>
      <c r="C13342" s="1" t="s">
        <v>84</v>
      </c>
      <c r="D13342" s="3">
        <f t="shared" si="2153"/>
        <v>7329</v>
      </c>
      <c r="E13342" s="2">
        <f t="shared" si="2154"/>
        <v>41091</v>
      </c>
      <c r="F13342" s="2">
        <f t="shared" si="2155"/>
        <v>42886</v>
      </c>
    </row>
    <row r="13343" spans="1:6" x14ac:dyDescent="0.25">
      <c r="A13343" s="1" t="s">
        <v>179</v>
      </c>
      <c r="B13343" s="1" t="s">
        <v>1706</v>
      </c>
      <c r="C13343" s="1" t="s">
        <v>93</v>
      </c>
      <c r="D13343" s="3">
        <f t="shared" si="2153"/>
        <v>7329</v>
      </c>
      <c r="E13343" s="2">
        <f t="shared" si="2154"/>
        <v>41091</v>
      </c>
      <c r="F13343" s="2">
        <f t="shared" si="2155"/>
        <v>42886</v>
      </c>
    </row>
    <row r="13344" spans="1:6" x14ac:dyDescent="0.25">
      <c r="A13344" s="1" t="s">
        <v>179</v>
      </c>
      <c r="B13344" s="1" t="s">
        <v>1706</v>
      </c>
      <c r="C13344" s="1" t="s">
        <v>129</v>
      </c>
      <c r="D13344" s="3">
        <f t="shared" si="2153"/>
        <v>7329</v>
      </c>
      <c r="E13344" s="2">
        <f t="shared" si="2154"/>
        <v>41091</v>
      </c>
      <c r="F13344" s="2">
        <f t="shared" si="2155"/>
        <v>42886</v>
      </c>
    </row>
    <row r="13345" spans="1:6" x14ac:dyDescent="0.25">
      <c r="A13345" s="1" t="s">
        <v>179</v>
      </c>
      <c r="B13345" s="1" t="s">
        <v>1706</v>
      </c>
      <c r="C13345" s="1" t="s">
        <v>177</v>
      </c>
      <c r="D13345" s="3">
        <f t="shared" si="2153"/>
        <v>7329</v>
      </c>
      <c r="E13345" s="2">
        <f t="shared" si="2154"/>
        <v>41091</v>
      </c>
      <c r="F13345" s="2">
        <f t="shared" si="2155"/>
        <v>42886</v>
      </c>
    </row>
    <row r="13346" spans="1:6" x14ac:dyDescent="0.25">
      <c r="A13346" s="1" t="s">
        <v>179</v>
      </c>
      <c r="B13346" s="1" t="s">
        <v>1706</v>
      </c>
      <c r="C13346" s="1" t="s">
        <v>130</v>
      </c>
      <c r="D13346" s="3">
        <f t="shared" si="2153"/>
        <v>7329</v>
      </c>
      <c r="E13346" s="2">
        <f t="shared" si="2154"/>
        <v>41091</v>
      </c>
      <c r="F13346" s="2">
        <f t="shared" si="2155"/>
        <v>42886</v>
      </c>
    </row>
    <row r="13347" spans="1:6" x14ac:dyDescent="0.25">
      <c r="A13347" s="1" t="s">
        <v>179</v>
      </c>
      <c r="B13347" s="1" t="s">
        <v>2635</v>
      </c>
      <c r="C13347" s="1" t="s">
        <v>85</v>
      </c>
      <c r="D13347" s="3">
        <f>VALUE("7257")</f>
        <v>7257</v>
      </c>
      <c r="E13347" s="2">
        <f>DATEVALUE("1-1-2012")</f>
        <v>40909</v>
      </c>
      <c r="F13347" s="2">
        <f>DATEVALUE("31-8-2012")</f>
        <v>41152</v>
      </c>
    </row>
    <row r="13348" spans="1:6" x14ac:dyDescent="0.25">
      <c r="A13348" s="1" t="s">
        <v>179</v>
      </c>
      <c r="B13348" s="1" t="s">
        <v>178</v>
      </c>
      <c r="C13348" s="1" t="s">
        <v>85</v>
      </c>
      <c r="D13348" s="3">
        <f t="shared" ref="D13348:D13372" si="2156">VALUE("7024")</f>
        <v>7024</v>
      </c>
      <c r="E13348" s="2">
        <f t="shared" ref="E13348:E13372" si="2157">DATEVALUE("1-1-2010")</f>
        <v>40179</v>
      </c>
      <c r="F13348" s="2">
        <f t="shared" ref="F13348:F13372" si="2158">DATEVALUE("31-12-2025")</f>
        <v>46022</v>
      </c>
    </row>
    <row r="13349" spans="1:6" x14ac:dyDescent="0.25">
      <c r="A13349" s="1" t="s">
        <v>179</v>
      </c>
      <c r="B13349" s="1" t="s">
        <v>178</v>
      </c>
      <c r="C13349" s="1" t="s">
        <v>84</v>
      </c>
      <c r="D13349" s="3">
        <f t="shared" si="2156"/>
        <v>7024</v>
      </c>
      <c r="E13349" s="2">
        <f t="shared" si="2157"/>
        <v>40179</v>
      </c>
      <c r="F13349" s="2">
        <f t="shared" si="2158"/>
        <v>46022</v>
      </c>
    </row>
    <row r="13350" spans="1:6" x14ac:dyDescent="0.25">
      <c r="A13350" s="1" t="s">
        <v>179</v>
      </c>
      <c r="B13350" s="1" t="s">
        <v>178</v>
      </c>
      <c r="C13350" s="1" t="s">
        <v>46</v>
      </c>
      <c r="D13350" s="3">
        <f t="shared" si="2156"/>
        <v>7024</v>
      </c>
      <c r="E13350" s="2">
        <f t="shared" si="2157"/>
        <v>40179</v>
      </c>
      <c r="F13350" s="2">
        <f t="shared" si="2158"/>
        <v>46022</v>
      </c>
    </row>
    <row r="13351" spans="1:6" x14ac:dyDescent="0.25">
      <c r="A13351" s="1" t="s">
        <v>179</v>
      </c>
      <c r="B13351" s="1" t="s">
        <v>178</v>
      </c>
      <c r="C13351" s="1" t="s">
        <v>14</v>
      </c>
      <c r="D13351" s="3">
        <f t="shared" si="2156"/>
        <v>7024</v>
      </c>
      <c r="E13351" s="2">
        <f t="shared" si="2157"/>
        <v>40179</v>
      </c>
      <c r="F13351" s="2">
        <f t="shared" si="2158"/>
        <v>46022</v>
      </c>
    </row>
    <row r="13352" spans="1:6" x14ac:dyDescent="0.25">
      <c r="A13352" s="1" t="s">
        <v>179</v>
      </c>
      <c r="B13352" s="1" t="s">
        <v>178</v>
      </c>
      <c r="C13352" s="1" t="s">
        <v>66</v>
      </c>
      <c r="D13352" s="3">
        <f t="shared" si="2156"/>
        <v>7024</v>
      </c>
      <c r="E13352" s="2">
        <f t="shared" si="2157"/>
        <v>40179</v>
      </c>
      <c r="F13352" s="2">
        <f t="shared" si="2158"/>
        <v>46022</v>
      </c>
    </row>
    <row r="13353" spans="1:6" x14ac:dyDescent="0.25">
      <c r="A13353" s="1" t="s">
        <v>179</v>
      </c>
      <c r="B13353" s="1" t="s">
        <v>178</v>
      </c>
      <c r="C13353" s="1" t="s">
        <v>16</v>
      </c>
      <c r="D13353" s="3">
        <f t="shared" si="2156"/>
        <v>7024</v>
      </c>
      <c r="E13353" s="2">
        <f t="shared" si="2157"/>
        <v>40179</v>
      </c>
      <c r="F13353" s="2">
        <f t="shared" si="2158"/>
        <v>46022</v>
      </c>
    </row>
    <row r="13354" spans="1:6" x14ac:dyDescent="0.25">
      <c r="A13354" s="1" t="s">
        <v>179</v>
      </c>
      <c r="B13354" s="1" t="s">
        <v>178</v>
      </c>
      <c r="C13354" s="1" t="s">
        <v>89</v>
      </c>
      <c r="D13354" s="3">
        <f t="shared" si="2156"/>
        <v>7024</v>
      </c>
      <c r="E13354" s="2">
        <f t="shared" si="2157"/>
        <v>40179</v>
      </c>
      <c r="F13354" s="2">
        <f t="shared" si="2158"/>
        <v>46022</v>
      </c>
    </row>
    <row r="13355" spans="1:6" x14ac:dyDescent="0.25">
      <c r="A13355" s="1" t="s">
        <v>179</v>
      </c>
      <c r="B13355" s="1" t="s">
        <v>178</v>
      </c>
      <c r="C13355" s="1" t="s">
        <v>17</v>
      </c>
      <c r="D13355" s="3">
        <f t="shared" si="2156"/>
        <v>7024</v>
      </c>
      <c r="E13355" s="2">
        <f t="shared" si="2157"/>
        <v>40179</v>
      </c>
      <c r="F13355" s="2">
        <f t="shared" si="2158"/>
        <v>46022</v>
      </c>
    </row>
    <row r="13356" spans="1:6" x14ac:dyDescent="0.25">
      <c r="A13356" s="1" t="s">
        <v>179</v>
      </c>
      <c r="B13356" s="1" t="s">
        <v>178</v>
      </c>
      <c r="C13356" s="1" t="s">
        <v>148</v>
      </c>
      <c r="D13356" s="3">
        <f t="shared" si="2156"/>
        <v>7024</v>
      </c>
      <c r="E13356" s="2">
        <f t="shared" si="2157"/>
        <v>40179</v>
      </c>
      <c r="F13356" s="2">
        <f t="shared" si="2158"/>
        <v>46022</v>
      </c>
    </row>
    <row r="13357" spans="1:6" x14ac:dyDescent="0.25">
      <c r="A13357" s="1" t="s">
        <v>179</v>
      </c>
      <c r="B13357" s="1" t="s">
        <v>178</v>
      </c>
      <c r="C13357" s="1" t="s">
        <v>149</v>
      </c>
      <c r="D13357" s="3">
        <f t="shared" si="2156"/>
        <v>7024</v>
      </c>
      <c r="E13357" s="2">
        <f t="shared" si="2157"/>
        <v>40179</v>
      </c>
      <c r="F13357" s="2">
        <f t="shared" si="2158"/>
        <v>46022</v>
      </c>
    </row>
    <row r="13358" spans="1:6" x14ac:dyDescent="0.25">
      <c r="A13358" s="1" t="s">
        <v>179</v>
      </c>
      <c r="B13358" s="1" t="s">
        <v>178</v>
      </c>
      <c r="C13358" s="1" t="s">
        <v>150</v>
      </c>
      <c r="D13358" s="3">
        <f t="shared" si="2156"/>
        <v>7024</v>
      </c>
      <c r="E13358" s="2">
        <f t="shared" si="2157"/>
        <v>40179</v>
      </c>
      <c r="F13358" s="2">
        <f t="shared" si="2158"/>
        <v>46022</v>
      </c>
    </row>
    <row r="13359" spans="1:6" x14ac:dyDescent="0.25">
      <c r="A13359" s="1" t="s">
        <v>179</v>
      </c>
      <c r="B13359" s="1" t="s">
        <v>178</v>
      </c>
      <c r="C13359" s="1" t="s">
        <v>128</v>
      </c>
      <c r="D13359" s="3">
        <f t="shared" si="2156"/>
        <v>7024</v>
      </c>
      <c r="E13359" s="2">
        <f t="shared" si="2157"/>
        <v>40179</v>
      </c>
      <c r="F13359" s="2">
        <f t="shared" si="2158"/>
        <v>46022</v>
      </c>
    </row>
    <row r="13360" spans="1:6" x14ac:dyDescent="0.25">
      <c r="A13360" s="1" t="s">
        <v>179</v>
      </c>
      <c r="B13360" s="1" t="s">
        <v>178</v>
      </c>
      <c r="C13360" s="1" t="s">
        <v>180</v>
      </c>
      <c r="D13360" s="3">
        <f t="shared" si="2156"/>
        <v>7024</v>
      </c>
      <c r="E13360" s="2">
        <f t="shared" si="2157"/>
        <v>40179</v>
      </c>
      <c r="F13360" s="2">
        <f t="shared" si="2158"/>
        <v>46022</v>
      </c>
    </row>
    <row r="13361" spans="1:6" x14ac:dyDescent="0.25">
      <c r="A13361" s="1" t="s">
        <v>179</v>
      </c>
      <c r="B13361" s="1" t="s">
        <v>178</v>
      </c>
      <c r="C13361" s="1" t="s">
        <v>93</v>
      </c>
      <c r="D13361" s="3">
        <f t="shared" si="2156"/>
        <v>7024</v>
      </c>
      <c r="E13361" s="2">
        <f t="shared" si="2157"/>
        <v>40179</v>
      </c>
      <c r="F13361" s="2">
        <f t="shared" si="2158"/>
        <v>46022</v>
      </c>
    </row>
    <row r="13362" spans="1:6" x14ac:dyDescent="0.25">
      <c r="A13362" s="1" t="s">
        <v>179</v>
      </c>
      <c r="B13362" s="1" t="s">
        <v>178</v>
      </c>
      <c r="C13362" s="1" t="s">
        <v>129</v>
      </c>
      <c r="D13362" s="3">
        <f t="shared" si="2156"/>
        <v>7024</v>
      </c>
      <c r="E13362" s="2">
        <f t="shared" si="2157"/>
        <v>40179</v>
      </c>
      <c r="F13362" s="2">
        <f t="shared" si="2158"/>
        <v>46022</v>
      </c>
    </row>
    <row r="13363" spans="1:6" x14ac:dyDescent="0.25">
      <c r="A13363" s="1" t="s">
        <v>179</v>
      </c>
      <c r="B13363" s="1" t="s">
        <v>178</v>
      </c>
      <c r="C13363" s="1" t="s">
        <v>177</v>
      </c>
      <c r="D13363" s="3">
        <f t="shared" si="2156"/>
        <v>7024</v>
      </c>
      <c r="E13363" s="2">
        <f t="shared" si="2157"/>
        <v>40179</v>
      </c>
      <c r="F13363" s="2">
        <f t="shared" si="2158"/>
        <v>46022</v>
      </c>
    </row>
    <row r="13364" spans="1:6" x14ac:dyDescent="0.25">
      <c r="A13364" s="1" t="s">
        <v>179</v>
      </c>
      <c r="B13364" s="1" t="s">
        <v>178</v>
      </c>
      <c r="C13364" s="1" t="s">
        <v>181</v>
      </c>
      <c r="D13364" s="3">
        <f t="shared" si="2156"/>
        <v>7024</v>
      </c>
      <c r="E13364" s="2">
        <f t="shared" si="2157"/>
        <v>40179</v>
      </c>
      <c r="F13364" s="2">
        <f t="shared" si="2158"/>
        <v>46022</v>
      </c>
    </row>
    <row r="13365" spans="1:6" x14ac:dyDescent="0.25">
      <c r="A13365" s="1" t="s">
        <v>179</v>
      </c>
      <c r="B13365" s="1" t="s">
        <v>178</v>
      </c>
      <c r="C13365" s="1" t="s">
        <v>176</v>
      </c>
      <c r="D13365" s="3">
        <f t="shared" si="2156"/>
        <v>7024</v>
      </c>
      <c r="E13365" s="2">
        <f t="shared" si="2157"/>
        <v>40179</v>
      </c>
      <c r="F13365" s="2">
        <f t="shared" si="2158"/>
        <v>46022</v>
      </c>
    </row>
    <row r="13366" spans="1:6" x14ac:dyDescent="0.25">
      <c r="A13366" s="1" t="s">
        <v>179</v>
      </c>
      <c r="B13366" s="1" t="s">
        <v>178</v>
      </c>
      <c r="C13366" s="1" t="s">
        <v>130</v>
      </c>
      <c r="D13366" s="3">
        <f t="shared" si="2156"/>
        <v>7024</v>
      </c>
      <c r="E13366" s="2">
        <f t="shared" si="2157"/>
        <v>40179</v>
      </c>
      <c r="F13366" s="2">
        <f t="shared" si="2158"/>
        <v>46022</v>
      </c>
    </row>
    <row r="13367" spans="1:6" x14ac:dyDescent="0.25">
      <c r="A13367" s="1" t="s">
        <v>179</v>
      </c>
      <c r="B13367" s="1" t="s">
        <v>178</v>
      </c>
      <c r="C13367" s="1" t="s">
        <v>94</v>
      </c>
      <c r="D13367" s="3">
        <f t="shared" si="2156"/>
        <v>7024</v>
      </c>
      <c r="E13367" s="2">
        <f t="shared" si="2157"/>
        <v>40179</v>
      </c>
      <c r="F13367" s="2">
        <f t="shared" si="2158"/>
        <v>46022</v>
      </c>
    </row>
    <row r="13368" spans="1:6" x14ac:dyDescent="0.25">
      <c r="A13368" s="1" t="s">
        <v>179</v>
      </c>
      <c r="B13368" s="1" t="s">
        <v>178</v>
      </c>
      <c r="C13368" s="1" t="s">
        <v>24</v>
      </c>
      <c r="D13368" s="3">
        <f t="shared" si="2156"/>
        <v>7024</v>
      </c>
      <c r="E13368" s="2">
        <f t="shared" si="2157"/>
        <v>40179</v>
      </c>
      <c r="F13368" s="2">
        <f t="shared" si="2158"/>
        <v>46022</v>
      </c>
    </row>
    <row r="13369" spans="1:6" x14ac:dyDescent="0.25">
      <c r="A13369" s="1" t="s">
        <v>179</v>
      </c>
      <c r="B13369" s="1" t="s">
        <v>178</v>
      </c>
      <c r="C13369" s="1" t="s">
        <v>51</v>
      </c>
      <c r="D13369" s="3">
        <f t="shared" si="2156"/>
        <v>7024</v>
      </c>
      <c r="E13369" s="2">
        <f t="shared" si="2157"/>
        <v>40179</v>
      </c>
      <c r="F13369" s="2">
        <f t="shared" si="2158"/>
        <v>46022</v>
      </c>
    </row>
    <row r="13370" spans="1:6" x14ac:dyDescent="0.25">
      <c r="A13370" s="1" t="s">
        <v>179</v>
      </c>
      <c r="B13370" s="1" t="s">
        <v>178</v>
      </c>
      <c r="C13370" s="1" t="s">
        <v>121</v>
      </c>
      <c r="D13370" s="3">
        <f t="shared" si="2156"/>
        <v>7024</v>
      </c>
      <c r="E13370" s="2">
        <f t="shared" si="2157"/>
        <v>40179</v>
      </c>
      <c r="F13370" s="2">
        <f t="shared" si="2158"/>
        <v>46022</v>
      </c>
    </row>
    <row r="13371" spans="1:6" x14ac:dyDescent="0.25">
      <c r="A13371" s="1" t="s">
        <v>179</v>
      </c>
      <c r="B13371" s="1" t="s">
        <v>178</v>
      </c>
      <c r="C13371" s="1" t="s">
        <v>54</v>
      </c>
      <c r="D13371" s="3">
        <f t="shared" si="2156"/>
        <v>7024</v>
      </c>
      <c r="E13371" s="2">
        <f t="shared" si="2157"/>
        <v>40179</v>
      </c>
      <c r="F13371" s="2">
        <f t="shared" si="2158"/>
        <v>46022</v>
      </c>
    </row>
    <row r="13372" spans="1:6" x14ac:dyDescent="0.25">
      <c r="A13372" s="1" t="s">
        <v>179</v>
      </c>
      <c r="B13372" s="1" t="s">
        <v>178</v>
      </c>
      <c r="C13372" s="1" t="s">
        <v>34</v>
      </c>
      <c r="D13372" s="3">
        <f t="shared" si="2156"/>
        <v>7024</v>
      </c>
      <c r="E13372" s="2">
        <f t="shared" si="2157"/>
        <v>40179</v>
      </c>
      <c r="F13372" s="2">
        <f t="shared" si="2158"/>
        <v>46022</v>
      </c>
    </row>
    <row r="13373" spans="1:6" x14ac:dyDescent="0.25">
      <c r="A13373" s="1" t="s">
        <v>179</v>
      </c>
      <c r="B13373" s="1" t="s">
        <v>2540</v>
      </c>
      <c r="C13373" s="1" t="s">
        <v>85</v>
      </c>
      <c r="D13373" s="3">
        <f>VALUE("6132")</f>
        <v>6132</v>
      </c>
      <c r="E13373" s="2">
        <f>DATEVALUE("1-10-2008")</f>
        <v>39722</v>
      </c>
      <c r="F13373" s="2">
        <f>DATEVALUE("31-12-2012")</f>
        <v>41274</v>
      </c>
    </row>
    <row r="13374" spans="1:6" x14ac:dyDescent="0.25">
      <c r="A13374" s="1" t="s">
        <v>179</v>
      </c>
      <c r="B13374" s="1" t="s">
        <v>2540</v>
      </c>
      <c r="C13374" s="1" t="s">
        <v>93</v>
      </c>
      <c r="D13374" s="3">
        <f>VALUE("6132")</f>
        <v>6132</v>
      </c>
      <c r="E13374" s="2">
        <f>DATEVALUE("1-10-2008")</f>
        <v>39722</v>
      </c>
      <c r="F13374" s="2">
        <f>DATEVALUE("31-12-2012")</f>
        <v>41274</v>
      </c>
    </row>
    <row r="13375" spans="1:6" x14ac:dyDescent="0.25">
      <c r="A13375" s="1" t="s">
        <v>179</v>
      </c>
      <c r="B13375" s="1" t="s">
        <v>2540</v>
      </c>
      <c r="C13375" s="1" t="s">
        <v>129</v>
      </c>
      <c r="D13375" s="3">
        <f>VALUE("6132")</f>
        <v>6132</v>
      </c>
      <c r="E13375" s="2">
        <f>DATEVALUE("1-10-2008")</f>
        <v>39722</v>
      </c>
      <c r="F13375" s="2">
        <f>DATEVALUE("31-12-2012")</f>
        <v>41274</v>
      </c>
    </row>
    <row r="13376" spans="1:6" x14ac:dyDescent="0.25">
      <c r="A13376" s="1" t="s">
        <v>179</v>
      </c>
      <c r="B13376" s="1" t="s">
        <v>2540</v>
      </c>
      <c r="C13376" s="1" t="s">
        <v>177</v>
      </c>
      <c r="D13376" s="3">
        <f>VALUE("6132")</f>
        <v>6132</v>
      </c>
      <c r="E13376" s="2">
        <f>DATEVALUE("1-10-2008")</f>
        <v>39722</v>
      </c>
      <c r="F13376" s="2">
        <f>DATEVALUE("31-12-2012")</f>
        <v>41274</v>
      </c>
    </row>
    <row r="13377" spans="1:6" x14ac:dyDescent="0.25">
      <c r="A13377" s="1" t="s">
        <v>179</v>
      </c>
      <c r="B13377" s="1" t="s">
        <v>2540</v>
      </c>
      <c r="C13377" s="1" t="s">
        <v>130</v>
      </c>
      <c r="D13377" s="3">
        <f>VALUE("6132")</f>
        <v>6132</v>
      </c>
      <c r="E13377" s="2">
        <f>DATEVALUE("1-10-2008")</f>
        <v>39722</v>
      </c>
      <c r="F13377" s="2">
        <f>DATEVALUE("31-12-2012")</f>
        <v>41274</v>
      </c>
    </row>
    <row r="13378" spans="1:6" x14ac:dyDescent="0.25">
      <c r="A13378" s="1" t="s">
        <v>179</v>
      </c>
      <c r="B13378" s="1" t="s">
        <v>2107</v>
      </c>
      <c r="C13378" s="1" t="s">
        <v>85</v>
      </c>
      <c r="D13378" s="3">
        <f>VALUE("6130")</f>
        <v>6130</v>
      </c>
      <c r="E13378" s="2">
        <f>DATEVALUE("1-9-2008")</f>
        <v>39692</v>
      </c>
      <c r="F13378" s="2">
        <f>DATEVALUE("30-4-2016")</f>
        <v>42490</v>
      </c>
    </row>
    <row r="13379" spans="1:6" x14ac:dyDescent="0.25">
      <c r="A13379" s="1" t="s">
        <v>179</v>
      </c>
      <c r="B13379" s="1" t="s">
        <v>2107</v>
      </c>
      <c r="C13379" s="1" t="s">
        <v>46</v>
      </c>
      <c r="D13379" s="3">
        <f>VALUE("6130")</f>
        <v>6130</v>
      </c>
      <c r="E13379" s="2">
        <f>DATEVALUE("1-9-2008")</f>
        <v>39692</v>
      </c>
      <c r="F13379" s="2">
        <f>DATEVALUE("30-4-2016")</f>
        <v>42490</v>
      </c>
    </row>
    <row r="13380" spans="1:6" x14ac:dyDescent="0.25">
      <c r="A13380" s="1" t="s">
        <v>179</v>
      </c>
      <c r="B13380" s="1" t="s">
        <v>2107</v>
      </c>
      <c r="C13380" s="1" t="s">
        <v>17</v>
      </c>
      <c r="D13380" s="3">
        <f>VALUE("6130")</f>
        <v>6130</v>
      </c>
      <c r="E13380" s="2">
        <f>DATEVALUE("1-9-2008")</f>
        <v>39692</v>
      </c>
      <c r="F13380" s="2">
        <f>DATEVALUE("30-4-2016")</f>
        <v>42490</v>
      </c>
    </row>
    <row r="13381" spans="1:6" x14ac:dyDescent="0.25">
      <c r="A13381" s="1" t="s">
        <v>179</v>
      </c>
      <c r="B13381" s="1" t="s">
        <v>2107</v>
      </c>
      <c r="C13381" s="1" t="s">
        <v>94</v>
      </c>
      <c r="D13381" s="3">
        <f>VALUE("6130")</f>
        <v>6130</v>
      </c>
      <c r="E13381" s="2">
        <f>DATEVALUE("1-9-2008")</f>
        <v>39692</v>
      </c>
      <c r="F13381" s="2">
        <f>DATEVALUE("30-4-2016")</f>
        <v>42490</v>
      </c>
    </row>
    <row r="13382" spans="1:6" x14ac:dyDescent="0.25">
      <c r="A13382" s="1" t="s">
        <v>179</v>
      </c>
      <c r="B13382" s="1" t="s">
        <v>2107</v>
      </c>
      <c r="C13382" s="1" t="s">
        <v>25</v>
      </c>
      <c r="D13382" s="3">
        <f>VALUE("6130")</f>
        <v>6130</v>
      </c>
      <c r="E13382" s="2">
        <f>DATEVALUE("1-9-2008")</f>
        <v>39692</v>
      </c>
      <c r="F13382" s="2">
        <f>DATEVALUE("30-4-2016")</f>
        <v>42490</v>
      </c>
    </row>
    <row r="13383" spans="1:6" x14ac:dyDescent="0.25">
      <c r="A13383" s="1" t="s">
        <v>179</v>
      </c>
      <c r="B13383" s="1" t="s">
        <v>2531</v>
      </c>
      <c r="C13383" s="1" t="s">
        <v>125</v>
      </c>
      <c r="D13383" s="3">
        <f t="shared" ref="D13383:D13389" si="2159">VALUE("6094")</f>
        <v>6094</v>
      </c>
      <c r="E13383" s="2">
        <f t="shared" ref="E13383:E13389" si="2160">DATEVALUE("1-5-2008")</f>
        <v>39569</v>
      </c>
      <c r="F13383" s="2">
        <f t="shared" ref="F13383:F13389" si="2161">DATEVALUE("28-2-2014")</f>
        <v>41698</v>
      </c>
    </row>
    <row r="13384" spans="1:6" x14ac:dyDescent="0.25">
      <c r="A13384" s="1" t="s">
        <v>179</v>
      </c>
      <c r="B13384" s="1" t="s">
        <v>2531</v>
      </c>
      <c r="C13384" s="1" t="s">
        <v>85</v>
      </c>
      <c r="D13384" s="3">
        <f t="shared" si="2159"/>
        <v>6094</v>
      </c>
      <c r="E13384" s="2">
        <f t="shared" si="2160"/>
        <v>39569</v>
      </c>
      <c r="F13384" s="2">
        <f t="shared" si="2161"/>
        <v>41698</v>
      </c>
    </row>
    <row r="13385" spans="1:6" x14ac:dyDescent="0.25">
      <c r="A13385" s="1" t="s">
        <v>179</v>
      </c>
      <c r="B13385" s="1" t="s">
        <v>2531</v>
      </c>
      <c r="C13385" s="1" t="s">
        <v>93</v>
      </c>
      <c r="D13385" s="3">
        <f t="shared" si="2159"/>
        <v>6094</v>
      </c>
      <c r="E13385" s="2">
        <f t="shared" si="2160"/>
        <v>39569</v>
      </c>
      <c r="F13385" s="2">
        <f t="shared" si="2161"/>
        <v>41698</v>
      </c>
    </row>
    <row r="13386" spans="1:6" x14ac:dyDescent="0.25">
      <c r="A13386" s="1" t="s">
        <v>179</v>
      </c>
      <c r="B13386" s="1" t="s">
        <v>2531</v>
      </c>
      <c r="C13386" s="1" t="s">
        <v>129</v>
      </c>
      <c r="D13386" s="3">
        <f t="shared" si="2159"/>
        <v>6094</v>
      </c>
      <c r="E13386" s="2">
        <f t="shared" si="2160"/>
        <v>39569</v>
      </c>
      <c r="F13386" s="2">
        <f t="shared" si="2161"/>
        <v>41698</v>
      </c>
    </row>
    <row r="13387" spans="1:6" x14ac:dyDescent="0.25">
      <c r="A13387" s="1" t="s">
        <v>179</v>
      </c>
      <c r="B13387" s="1" t="s">
        <v>2531</v>
      </c>
      <c r="C13387" s="1" t="s">
        <v>176</v>
      </c>
      <c r="D13387" s="3">
        <f t="shared" si="2159"/>
        <v>6094</v>
      </c>
      <c r="E13387" s="2">
        <f t="shared" si="2160"/>
        <v>39569</v>
      </c>
      <c r="F13387" s="2">
        <f t="shared" si="2161"/>
        <v>41698</v>
      </c>
    </row>
    <row r="13388" spans="1:6" x14ac:dyDescent="0.25">
      <c r="A13388" s="1" t="s">
        <v>179</v>
      </c>
      <c r="B13388" s="1" t="s">
        <v>2531</v>
      </c>
      <c r="C13388" s="1" t="s">
        <v>130</v>
      </c>
      <c r="D13388" s="3">
        <f t="shared" si="2159"/>
        <v>6094</v>
      </c>
      <c r="E13388" s="2">
        <f t="shared" si="2160"/>
        <v>39569</v>
      </c>
      <c r="F13388" s="2">
        <f t="shared" si="2161"/>
        <v>41698</v>
      </c>
    </row>
    <row r="13389" spans="1:6" x14ac:dyDescent="0.25">
      <c r="A13389" s="1" t="s">
        <v>179</v>
      </c>
      <c r="B13389" s="1" t="s">
        <v>2531</v>
      </c>
      <c r="C13389" s="1" t="s">
        <v>133</v>
      </c>
      <c r="D13389" s="3">
        <f t="shared" si="2159"/>
        <v>6094</v>
      </c>
      <c r="E13389" s="2">
        <f t="shared" si="2160"/>
        <v>39569</v>
      </c>
      <c r="F13389" s="2">
        <f t="shared" si="2161"/>
        <v>41698</v>
      </c>
    </row>
    <row r="13390" spans="1:6" x14ac:dyDescent="0.25">
      <c r="A13390" s="1" t="s">
        <v>179</v>
      </c>
      <c r="B13390" s="1" t="s">
        <v>2105</v>
      </c>
      <c r="C13390" s="1" t="s">
        <v>93</v>
      </c>
      <c r="D13390" s="3">
        <f>VALUE("6058")</f>
        <v>6058</v>
      </c>
      <c r="E13390" s="2">
        <f>DATEVALUE("1-8-2007")</f>
        <v>39295</v>
      </c>
      <c r="F13390" s="2">
        <f>DATEVALUE("31-3-2016")</f>
        <v>42460</v>
      </c>
    </row>
    <row r="13391" spans="1:6" x14ac:dyDescent="0.25">
      <c r="A13391" s="1" t="s">
        <v>179</v>
      </c>
      <c r="B13391" s="1" t="s">
        <v>2105</v>
      </c>
      <c r="C13391" s="1" t="s">
        <v>129</v>
      </c>
      <c r="D13391" s="3">
        <f>VALUE("6058")</f>
        <v>6058</v>
      </c>
      <c r="E13391" s="2">
        <f>DATEVALUE("1-8-2007")</f>
        <v>39295</v>
      </c>
      <c r="F13391" s="2">
        <f>DATEVALUE("31-3-2016")</f>
        <v>42460</v>
      </c>
    </row>
    <row r="13392" spans="1:6" x14ac:dyDescent="0.25">
      <c r="A13392" s="1" t="s">
        <v>179</v>
      </c>
      <c r="B13392" s="1" t="s">
        <v>2105</v>
      </c>
      <c r="C13392" s="1" t="s">
        <v>177</v>
      </c>
      <c r="D13392" s="3">
        <f>VALUE("6058")</f>
        <v>6058</v>
      </c>
      <c r="E13392" s="2">
        <f>DATEVALUE("1-8-2007")</f>
        <v>39295</v>
      </c>
      <c r="F13392" s="2">
        <f>DATEVALUE("31-3-2016")</f>
        <v>42460</v>
      </c>
    </row>
    <row r="13393" spans="1:6" x14ac:dyDescent="0.25">
      <c r="A13393" s="1" t="s">
        <v>179</v>
      </c>
      <c r="B13393" s="1" t="s">
        <v>2105</v>
      </c>
      <c r="C13393" s="1" t="s">
        <v>176</v>
      </c>
      <c r="D13393" s="3">
        <f>VALUE("6058")</f>
        <v>6058</v>
      </c>
      <c r="E13393" s="2">
        <f>DATEVALUE("1-8-2007")</f>
        <v>39295</v>
      </c>
      <c r="F13393" s="2">
        <f>DATEVALUE("31-3-2016")</f>
        <v>42460</v>
      </c>
    </row>
    <row r="13394" spans="1:6" x14ac:dyDescent="0.25">
      <c r="A13394" s="1" t="s">
        <v>179</v>
      </c>
      <c r="B13394" s="1" t="s">
        <v>2105</v>
      </c>
      <c r="C13394" s="1" t="s">
        <v>130</v>
      </c>
      <c r="D13394" s="3">
        <f>VALUE("6058")</f>
        <v>6058</v>
      </c>
      <c r="E13394" s="2">
        <f>DATEVALUE("1-8-2007")</f>
        <v>39295</v>
      </c>
      <c r="F13394" s="2">
        <f>DATEVALUE("31-3-2016")</f>
        <v>42460</v>
      </c>
    </row>
    <row r="13395" spans="1:6" x14ac:dyDescent="0.25">
      <c r="A13395" s="1" t="s">
        <v>179</v>
      </c>
      <c r="B13395" s="1" t="s">
        <v>1693</v>
      </c>
      <c r="C13395" s="1" t="s">
        <v>85</v>
      </c>
      <c r="D13395" s="3">
        <f t="shared" ref="D13395:D13401" si="2162">VALUE("6045")</f>
        <v>6045</v>
      </c>
      <c r="E13395" s="2">
        <f t="shared" ref="E13395:E13401" si="2163">DATEVALUE("1-6-2007")</f>
        <v>39234</v>
      </c>
      <c r="F13395" s="2">
        <f t="shared" ref="F13395:F13401" si="2164">DATEVALUE("30-4-2015")</f>
        <v>42124</v>
      </c>
    </row>
    <row r="13396" spans="1:6" x14ac:dyDescent="0.25">
      <c r="A13396" s="1" t="s">
        <v>179</v>
      </c>
      <c r="B13396" s="1" t="s">
        <v>1693</v>
      </c>
      <c r="C13396" s="1" t="s">
        <v>17</v>
      </c>
      <c r="D13396" s="3">
        <f t="shared" si="2162"/>
        <v>6045</v>
      </c>
      <c r="E13396" s="2">
        <f t="shared" si="2163"/>
        <v>39234</v>
      </c>
      <c r="F13396" s="2">
        <f t="shared" si="2164"/>
        <v>42124</v>
      </c>
    </row>
    <row r="13397" spans="1:6" x14ac:dyDescent="0.25">
      <c r="A13397" s="1" t="s">
        <v>179</v>
      </c>
      <c r="B13397" s="1" t="s">
        <v>1693</v>
      </c>
      <c r="C13397" s="1" t="s">
        <v>90</v>
      </c>
      <c r="D13397" s="3">
        <f t="shared" si="2162"/>
        <v>6045</v>
      </c>
      <c r="E13397" s="2">
        <f t="shared" si="2163"/>
        <v>39234</v>
      </c>
      <c r="F13397" s="2">
        <f t="shared" si="2164"/>
        <v>42124</v>
      </c>
    </row>
    <row r="13398" spans="1:6" x14ac:dyDescent="0.25">
      <c r="A13398" s="1" t="s">
        <v>179</v>
      </c>
      <c r="B13398" s="1" t="s">
        <v>1693</v>
      </c>
      <c r="C13398" s="1" t="s">
        <v>149</v>
      </c>
      <c r="D13398" s="3">
        <f t="shared" si="2162"/>
        <v>6045</v>
      </c>
      <c r="E13398" s="2">
        <f t="shared" si="2163"/>
        <v>39234</v>
      </c>
      <c r="F13398" s="2">
        <f t="shared" si="2164"/>
        <v>42124</v>
      </c>
    </row>
    <row r="13399" spans="1:6" x14ac:dyDescent="0.25">
      <c r="A13399" s="1" t="s">
        <v>179</v>
      </c>
      <c r="B13399" s="1" t="s">
        <v>1693</v>
      </c>
      <c r="C13399" s="1" t="s">
        <v>93</v>
      </c>
      <c r="D13399" s="3">
        <f t="shared" si="2162"/>
        <v>6045</v>
      </c>
      <c r="E13399" s="2">
        <f t="shared" si="2163"/>
        <v>39234</v>
      </c>
      <c r="F13399" s="2">
        <f t="shared" si="2164"/>
        <v>42124</v>
      </c>
    </row>
    <row r="13400" spans="1:6" x14ac:dyDescent="0.25">
      <c r="A13400" s="1" t="s">
        <v>179</v>
      </c>
      <c r="B13400" s="1" t="s">
        <v>1693</v>
      </c>
      <c r="C13400" s="1" t="s">
        <v>129</v>
      </c>
      <c r="D13400" s="3">
        <f t="shared" si="2162"/>
        <v>6045</v>
      </c>
      <c r="E13400" s="2">
        <f t="shared" si="2163"/>
        <v>39234</v>
      </c>
      <c r="F13400" s="2">
        <f t="shared" si="2164"/>
        <v>42124</v>
      </c>
    </row>
    <row r="13401" spans="1:6" x14ac:dyDescent="0.25">
      <c r="A13401" s="1" t="s">
        <v>179</v>
      </c>
      <c r="B13401" s="1" t="s">
        <v>1693</v>
      </c>
      <c r="C13401" s="1" t="s">
        <v>51</v>
      </c>
      <c r="D13401" s="3">
        <f t="shared" si="2162"/>
        <v>6045</v>
      </c>
      <c r="E13401" s="2">
        <f t="shared" si="2163"/>
        <v>39234</v>
      </c>
      <c r="F13401" s="2">
        <f t="shared" si="2164"/>
        <v>42124</v>
      </c>
    </row>
    <row r="13402" spans="1:6" x14ac:dyDescent="0.25">
      <c r="A13402" s="1" t="s">
        <v>1485</v>
      </c>
      <c r="B13402" s="1" t="s">
        <v>1484</v>
      </c>
      <c r="C13402" s="1" t="s">
        <v>89</v>
      </c>
      <c r="D13402" s="3">
        <f t="shared" ref="D13402:D13409" si="2165">VALUE("8680")</f>
        <v>8680</v>
      </c>
      <c r="E13402" s="2">
        <f t="shared" ref="E13402:E13409" si="2166">DATEVALUE("1-3-2020")</f>
        <v>43891</v>
      </c>
      <c r="F13402" s="2">
        <f t="shared" ref="F13402:F13409" si="2167">DATEVALUE("28-2-2021")</f>
        <v>44255</v>
      </c>
    </row>
    <row r="13403" spans="1:6" x14ac:dyDescent="0.25">
      <c r="A13403" s="1" t="s">
        <v>1485</v>
      </c>
      <c r="B13403" s="1" t="s">
        <v>1484</v>
      </c>
      <c r="C13403" s="1" t="s">
        <v>17</v>
      </c>
      <c r="D13403" s="3">
        <f t="shared" si="2165"/>
        <v>8680</v>
      </c>
      <c r="E13403" s="2">
        <f t="shared" si="2166"/>
        <v>43891</v>
      </c>
      <c r="F13403" s="2">
        <f t="shared" si="2167"/>
        <v>44255</v>
      </c>
    </row>
    <row r="13404" spans="1:6" x14ac:dyDescent="0.25">
      <c r="A13404" s="1" t="s">
        <v>1485</v>
      </c>
      <c r="B13404" s="1" t="s">
        <v>1484</v>
      </c>
      <c r="C13404" s="1" t="s">
        <v>67</v>
      </c>
      <c r="D13404" s="3">
        <f t="shared" si="2165"/>
        <v>8680</v>
      </c>
      <c r="E13404" s="2">
        <f t="shared" si="2166"/>
        <v>43891</v>
      </c>
      <c r="F13404" s="2">
        <f t="shared" si="2167"/>
        <v>44255</v>
      </c>
    </row>
    <row r="13405" spans="1:6" x14ac:dyDescent="0.25">
      <c r="A13405" s="1" t="s">
        <v>1485</v>
      </c>
      <c r="B13405" s="1" t="s">
        <v>1484</v>
      </c>
      <c r="C13405" s="1" t="s">
        <v>128</v>
      </c>
      <c r="D13405" s="3">
        <f t="shared" si="2165"/>
        <v>8680</v>
      </c>
      <c r="E13405" s="2">
        <f t="shared" si="2166"/>
        <v>43891</v>
      </c>
      <c r="F13405" s="2">
        <f t="shared" si="2167"/>
        <v>44255</v>
      </c>
    </row>
    <row r="13406" spans="1:6" x14ac:dyDescent="0.25">
      <c r="A13406" s="1" t="s">
        <v>1485</v>
      </c>
      <c r="B13406" s="1" t="s">
        <v>1484</v>
      </c>
      <c r="C13406" s="1" t="s">
        <v>180</v>
      </c>
      <c r="D13406" s="3">
        <f t="shared" si="2165"/>
        <v>8680</v>
      </c>
      <c r="E13406" s="2">
        <f t="shared" si="2166"/>
        <v>43891</v>
      </c>
      <c r="F13406" s="2">
        <f t="shared" si="2167"/>
        <v>44255</v>
      </c>
    </row>
    <row r="13407" spans="1:6" x14ac:dyDescent="0.25">
      <c r="A13407" s="1" t="s">
        <v>1485</v>
      </c>
      <c r="B13407" s="1" t="s">
        <v>1484</v>
      </c>
      <c r="C13407" s="1" t="s">
        <v>93</v>
      </c>
      <c r="D13407" s="3">
        <f t="shared" si="2165"/>
        <v>8680</v>
      </c>
      <c r="E13407" s="2">
        <f t="shared" si="2166"/>
        <v>43891</v>
      </c>
      <c r="F13407" s="2">
        <f t="shared" si="2167"/>
        <v>44255</v>
      </c>
    </row>
    <row r="13408" spans="1:6" x14ac:dyDescent="0.25">
      <c r="A13408" s="1" t="s">
        <v>1485</v>
      </c>
      <c r="B13408" s="1" t="s">
        <v>1484</v>
      </c>
      <c r="C13408" s="1" t="s">
        <v>129</v>
      </c>
      <c r="D13408" s="3">
        <f t="shared" si="2165"/>
        <v>8680</v>
      </c>
      <c r="E13408" s="2">
        <f t="shared" si="2166"/>
        <v>43891</v>
      </c>
      <c r="F13408" s="2">
        <f t="shared" si="2167"/>
        <v>44255</v>
      </c>
    </row>
    <row r="13409" spans="1:6" x14ac:dyDescent="0.25">
      <c r="A13409" s="1" t="s">
        <v>1485</v>
      </c>
      <c r="B13409" s="1" t="s">
        <v>1484</v>
      </c>
      <c r="C13409" s="1" t="s">
        <v>73</v>
      </c>
      <c r="D13409" s="3">
        <f t="shared" si="2165"/>
        <v>8680</v>
      </c>
      <c r="E13409" s="2">
        <f t="shared" si="2166"/>
        <v>43891</v>
      </c>
      <c r="F13409" s="2">
        <f t="shared" si="2167"/>
        <v>44255</v>
      </c>
    </row>
    <row r="13410" spans="1:6" x14ac:dyDescent="0.25">
      <c r="A13410" s="1" t="s">
        <v>2686</v>
      </c>
      <c r="B13410" s="1" t="s">
        <v>2685</v>
      </c>
      <c r="C13410" s="1" t="s">
        <v>16</v>
      </c>
      <c r="D13410" s="3">
        <f>VALUE("7380")</f>
        <v>7380</v>
      </c>
      <c r="E13410" s="2">
        <f>DATEVALUE("1-2-2013")</f>
        <v>41306</v>
      </c>
      <c r="F13410" s="2">
        <f>DATEVALUE("30-9-2013")</f>
        <v>41547</v>
      </c>
    </row>
    <row r="13411" spans="1:6" x14ac:dyDescent="0.25">
      <c r="A13411" s="1" t="s">
        <v>2686</v>
      </c>
      <c r="B13411" s="1" t="s">
        <v>2685</v>
      </c>
      <c r="C13411" s="1" t="s">
        <v>102</v>
      </c>
      <c r="D13411" s="3">
        <f>VALUE("7380")</f>
        <v>7380</v>
      </c>
      <c r="E13411" s="2">
        <f>DATEVALUE("1-2-2013")</f>
        <v>41306</v>
      </c>
      <c r="F13411" s="2">
        <f>DATEVALUE("30-9-2013")</f>
        <v>41547</v>
      </c>
    </row>
    <row r="13412" spans="1:6" x14ac:dyDescent="0.25">
      <c r="A13412" s="1" t="s">
        <v>979</v>
      </c>
      <c r="B13412" s="1" t="s">
        <v>978</v>
      </c>
      <c r="C13412" s="1" t="s">
        <v>980</v>
      </c>
      <c r="D13412" s="3">
        <f t="shared" ref="D13412:D13446" si="2168">VALUE("8266")</f>
        <v>8266</v>
      </c>
      <c r="E13412" s="2">
        <f t="shared" ref="E13412:E13446" si="2169">DATEVALUE("1-7-2018")</f>
        <v>43282</v>
      </c>
      <c r="F13412" s="2">
        <f t="shared" ref="F13412:F13446" si="2170">DATEVALUE("31-12-2021")</f>
        <v>44561</v>
      </c>
    </row>
    <row r="13413" spans="1:6" x14ac:dyDescent="0.25">
      <c r="A13413" s="1" t="s">
        <v>979</v>
      </c>
      <c r="B13413" s="1" t="s">
        <v>978</v>
      </c>
      <c r="C13413" s="1" t="s">
        <v>7</v>
      </c>
      <c r="D13413" s="3">
        <f t="shared" si="2168"/>
        <v>8266</v>
      </c>
      <c r="E13413" s="2">
        <f t="shared" si="2169"/>
        <v>43282</v>
      </c>
      <c r="F13413" s="2">
        <f t="shared" si="2170"/>
        <v>44561</v>
      </c>
    </row>
    <row r="13414" spans="1:6" x14ac:dyDescent="0.25">
      <c r="A13414" s="1" t="s">
        <v>979</v>
      </c>
      <c r="B13414" s="1" t="s">
        <v>978</v>
      </c>
      <c r="C13414" s="1" t="s">
        <v>202</v>
      </c>
      <c r="D13414" s="3">
        <f t="shared" si="2168"/>
        <v>8266</v>
      </c>
      <c r="E13414" s="2">
        <f t="shared" si="2169"/>
        <v>43282</v>
      </c>
      <c r="F13414" s="2">
        <f t="shared" si="2170"/>
        <v>44561</v>
      </c>
    </row>
    <row r="13415" spans="1:6" x14ac:dyDescent="0.25">
      <c r="A13415" s="1" t="s">
        <v>979</v>
      </c>
      <c r="B13415" s="1" t="s">
        <v>978</v>
      </c>
      <c r="C13415" s="1" t="s">
        <v>184</v>
      </c>
      <c r="D13415" s="3">
        <f t="shared" si="2168"/>
        <v>8266</v>
      </c>
      <c r="E13415" s="2">
        <f t="shared" si="2169"/>
        <v>43282</v>
      </c>
      <c r="F13415" s="2">
        <f t="shared" si="2170"/>
        <v>44561</v>
      </c>
    </row>
    <row r="13416" spans="1:6" x14ac:dyDescent="0.25">
      <c r="A13416" s="1" t="s">
        <v>979</v>
      </c>
      <c r="B13416" s="1" t="s">
        <v>978</v>
      </c>
      <c r="C13416" s="1" t="s">
        <v>469</v>
      </c>
      <c r="D13416" s="3">
        <f t="shared" si="2168"/>
        <v>8266</v>
      </c>
      <c r="E13416" s="2">
        <f t="shared" si="2169"/>
        <v>43282</v>
      </c>
      <c r="F13416" s="2">
        <f t="shared" si="2170"/>
        <v>44561</v>
      </c>
    </row>
    <row r="13417" spans="1:6" x14ac:dyDescent="0.25">
      <c r="A13417" s="1" t="s">
        <v>979</v>
      </c>
      <c r="B13417" s="1" t="s">
        <v>978</v>
      </c>
      <c r="C13417" s="1" t="s">
        <v>85</v>
      </c>
      <c r="D13417" s="3">
        <f t="shared" si="2168"/>
        <v>8266</v>
      </c>
      <c r="E13417" s="2">
        <f t="shared" si="2169"/>
        <v>43282</v>
      </c>
      <c r="F13417" s="2">
        <f t="shared" si="2170"/>
        <v>44561</v>
      </c>
    </row>
    <row r="13418" spans="1:6" x14ac:dyDescent="0.25">
      <c r="A13418" s="1" t="s">
        <v>979</v>
      </c>
      <c r="B13418" s="1" t="s">
        <v>978</v>
      </c>
      <c r="C13418" s="1" t="s">
        <v>84</v>
      </c>
      <c r="D13418" s="3">
        <f t="shared" si="2168"/>
        <v>8266</v>
      </c>
      <c r="E13418" s="2">
        <f t="shared" si="2169"/>
        <v>43282</v>
      </c>
      <c r="F13418" s="2">
        <f t="shared" si="2170"/>
        <v>44561</v>
      </c>
    </row>
    <row r="13419" spans="1:6" x14ac:dyDescent="0.25">
      <c r="A13419" s="1" t="s">
        <v>979</v>
      </c>
      <c r="B13419" s="1" t="s">
        <v>978</v>
      </c>
      <c r="C13419" s="1" t="s">
        <v>65</v>
      </c>
      <c r="D13419" s="3">
        <f t="shared" si="2168"/>
        <v>8266</v>
      </c>
      <c r="E13419" s="2">
        <f t="shared" si="2169"/>
        <v>43282</v>
      </c>
      <c r="F13419" s="2">
        <f t="shared" si="2170"/>
        <v>44561</v>
      </c>
    </row>
    <row r="13420" spans="1:6" x14ac:dyDescent="0.25">
      <c r="A13420" s="1" t="s">
        <v>979</v>
      </c>
      <c r="B13420" s="1" t="s">
        <v>978</v>
      </c>
      <c r="C13420" s="1" t="s">
        <v>416</v>
      </c>
      <c r="D13420" s="3">
        <f t="shared" si="2168"/>
        <v>8266</v>
      </c>
      <c r="E13420" s="2">
        <f t="shared" si="2169"/>
        <v>43282</v>
      </c>
      <c r="F13420" s="2">
        <f t="shared" si="2170"/>
        <v>44561</v>
      </c>
    </row>
    <row r="13421" spans="1:6" x14ac:dyDescent="0.25">
      <c r="A13421" s="1" t="s">
        <v>979</v>
      </c>
      <c r="B13421" s="1" t="s">
        <v>978</v>
      </c>
      <c r="C13421" s="1" t="s">
        <v>399</v>
      </c>
      <c r="D13421" s="3">
        <f t="shared" si="2168"/>
        <v>8266</v>
      </c>
      <c r="E13421" s="2">
        <f t="shared" si="2169"/>
        <v>43282</v>
      </c>
      <c r="F13421" s="2">
        <f t="shared" si="2170"/>
        <v>44561</v>
      </c>
    </row>
    <row r="13422" spans="1:6" x14ac:dyDescent="0.25">
      <c r="A13422" s="1" t="s">
        <v>979</v>
      </c>
      <c r="B13422" s="1" t="s">
        <v>978</v>
      </c>
      <c r="C13422" s="1" t="s">
        <v>14</v>
      </c>
      <c r="D13422" s="3">
        <f t="shared" si="2168"/>
        <v>8266</v>
      </c>
      <c r="E13422" s="2">
        <f t="shared" si="2169"/>
        <v>43282</v>
      </c>
      <c r="F13422" s="2">
        <f t="shared" si="2170"/>
        <v>44561</v>
      </c>
    </row>
    <row r="13423" spans="1:6" x14ac:dyDescent="0.25">
      <c r="A13423" s="1" t="s">
        <v>979</v>
      </c>
      <c r="B13423" s="1" t="s">
        <v>978</v>
      </c>
      <c r="C13423" s="1" t="s">
        <v>15</v>
      </c>
      <c r="D13423" s="3">
        <f t="shared" si="2168"/>
        <v>8266</v>
      </c>
      <c r="E13423" s="2">
        <f t="shared" si="2169"/>
        <v>43282</v>
      </c>
      <c r="F13423" s="2">
        <f t="shared" si="2170"/>
        <v>44561</v>
      </c>
    </row>
    <row r="13424" spans="1:6" x14ac:dyDescent="0.25">
      <c r="A13424" s="1" t="s">
        <v>979</v>
      </c>
      <c r="B13424" s="1" t="s">
        <v>978</v>
      </c>
      <c r="C13424" s="1" t="s">
        <v>89</v>
      </c>
      <c r="D13424" s="3">
        <f t="shared" si="2168"/>
        <v>8266</v>
      </c>
      <c r="E13424" s="2">
        <f t="shared" si="2169"/>
        <v>43282</v>
      </c>
      <c r="F13424" s="2">
        <f t="shared" si="2170"/>
        <v>44561</v>
      </c>
    </row>
    <row r="13425" spans="1:6" x14ac:dyDescent="0.25">
      <c r="A13425" s="1" t="s">
        <v>979</v>
      </c>
      <c r="B13425" s="1" t="s">
        <v>978</v>
      </c>
      <c r="C13425" s="1" t="s">
        <v>17</v>
      </c>
      <c r="D13425" s="3">
        <f t="shared" si="2168"/>
        <v>8266</v>
      </c>
      <c r="E13425" s="2">
        <f t="shared" si="2169"/>
        <v>43282</v>
      </c>
      <c r="F13425" s="2">
        <f t="shared" si="2170"/>
        <v>44561</v>
      </c>
    </row>
    <row r="13426" spans="1:6" x14ac:dyDescent="0.25">
      <c r="A13426" s="1" t="s">
        <v>979</v>
      </c>
      <c r="B13426" s="1" t="s">
        <v>978</v>
      </c>
      <c r="C13426" s="1" t="s">
        <v>22</v>
      </c>
      <c r="D13426" s="3">
        <f t="shared" si="2168"/>
        <v>8266</v>
      </c>
      <c r="E13426" s="2">
        <f t="shared" si="2169"/>
        <v>43282</v>
      </c>
      <c r="F13426" s="2">
        <f t="shared" si="2170"/>
        <v>44561</v>
      </c>
    </row>
    <row r="13427" spans="1:6" x14ac:dyDescent="0.25">
      <c r="A13427" s="1" t="s">
        <v>979</v>
      </c>
      <c r="B13427" s="1" t="s">
        <v>978</v>
      </c>
      <c r="C13427" s="1" t="s">
        <v>146</v>
      </c>
      <c r="D13427" s="3">
        <f t="shared" si="2168"/>
        <v>8266</v>
      </c>
      <c r="E13427" s="2">
        <f t="shared" si="2169"/>
        <v>43282</v>
      </c>
      <c r="F13427" s="2">
        <f t="shared" si="2170"/>
        <v>44561</v>
      </c>
    </row>
    <row r="13428" spans="1:6" x14ac:dyDescent="0.25">
      <c r="A13428" s="1" t="s">
        <v>979</v>
      </c>
      <c r="B13428" s="1" t="s">
        <v>978</v>
      </c>
      <c r="C13428" s="1" t="s">
        <v>67</v>
      </c>
      <c r="D13428" s="3">
        <f t="shared" si="2168"/>
        <v>8266</v>
      </c>
      <c r="E13428" s="2">
        <f t="shared" si="2169"/>
        <v>43282</v>
      </c>
      <c r="F13428" s="2">
        <f t="shared" si="2170"/>
        <v>44561</v>
      </c>
    </row>
    <row r="13429" spans="1:6" x14ac:dyDescent="0.25">
      <c r="A13429" s="1" t="s">
        <v>979</v>
      </c>
      <c r="B13429" s="1" t="s">
        <v>978</v>
      </c>
      <c r="C13429" s="1" t="s">
        <v>147</v>
      </c>
      <c r="D13429" s="3">
        <f t="shared" si="2168"/>
        <v>8266</v>
      </c>
      <c r="E13429" s="2">
        <f t="shared" si="2169"/>
        <v>43282</v>
      </c>
      <c r="F13429" s="2">
        <f t="shared" si="2170"/>
        <v>44561</v>
      </c>
    </row>
    <row r="13430" spans="1:6" x14ac:dyDescent="0.25">
      <c r="A13430" s="1" t="s">
        <v>979</v>
      </c>
      <c r="B13430" s="1" t="s">
        <v>978</v>
      </c>
      <c r="C13430" s="1" t="s">
        <v>148</v>
      </c>
      <c r="D13430" s="3">
        <f t="shared" si="2168"/>
        <v>8266</v>
      </c>
      <c r="E13430" s="2">
        <f t="shared" si="2169"/>
        <v>43282</v>
      </c>
      <c r="F13430" s="2">
        <f t="shared" si="2170"/>
        <v>44561</v>
      </c>
    </row>
    <row r="13431" spans="1:6" x14ac:dyDescent="0.25">
      <c r="A13431" s="1" t="s">
        <v>979</v>
      </c>
      <c r="B13431" s="1" t="s">
        <v>978</v>
      </c>
      <c r="C13431" s="1" t="s">
        <v>149</v>
      </c>
      <c r="D13431" s="3">
        <f t="shared" si="2168"/>
        <v>8266</v>
      </c>
      <c r="E13431" s="2">
        <f t="shared" si="2169"/>
        <v>43282</v>
      </c>
      <c r="F13431" s="2">
        <f t="shared" si="2170"/>
        <v>44561</v>
      </c>
    </row>
    <row r="13432" spans="1:6" x14ac:dyDescent="0.25">
      <c r="A13432" s="1" t="s">
        <v>979</v>
      </c>
      <c r="B13432" s="1" t="s">
        <v>978</v>
      </c>
      <c r="C13432" s="1" t="s">
        <v>150</v>
      </c>
      <c r="D13432" s="3">
        <f t="shared" si="2168"/>
        <v>8266</v>
      </c>
      <c r="E13432" s="2">
        <f t="shared" si="2169"/>
        <v>43282</v>
      </c>
      <c r="F13432" s="2">
        <f t="shared" si="2170"/>
        <v>44561</v>
      </c>
    </row>
    <row r="13433" spans="1:6" x14ac:dyDescent="0.25">
      <c r="A13433" s="1" t="s">
        <v>979</v>
      </c>
      <c r="B13433" s="1" t="s">
        <v>978</v>
      </c>
      <c r="C13433" s="1" t="s">
        <v>172</v>
      </c>
      <c r="D13433" s="3">
        <f t="shared" si="2168"/>
        <v>8266</v>
      </c>
      <c r="E13433" s="2">
        <f t="shared" si="2169"/>
        <v>43282</v>
      </c>
      <c r="F13433" s="2">
        <f t="shared" si="2170"/>
        <v>44561</v>
      </c>
    </row>
    <row r="13434" spans="1:6" x14ac:dyDescent="0.25">
      <c r="A13434" s="1" t="s">
        <v>979</v>
      </c>
      <c r="B13434" s="1" t="s">
        <v>978</v>
      </c>
      <c r="C13434" s="1" t="s">
        <v>472</v>
      </c>
      <c r="D13434" s="3">
        <f t="shared" si="2168"/>
        <v>8266</v>
      </c>
      <c r="E13434" s="2">
        <f t="shared" si="2169"/>
        <v>43282</v>
      </c>
      <c r="F13434" s="2">
        <f t="shared" si="2170"/>
        <v>44561</v>
      </c>
    </row>
    <row r="13435" spans="1:6" x14ac:dyDescent="0.25">
      <c r="A13435" s="1" t="s">
        <v>979</v>
      </c>
      <c r="B13435" s="1" t="s">
        <v>978</v>
      </c>
      <c r="C13435" s="1" t="s">
        <v>92</v>
      </c>
      <c r="D13435" s="3">
        <f t="shared" si="2168"/>
        <v>8266</v>
      </c>
      <c r="E13435" s="2">
        <f t="shared" si="2169"/>
        <v>43282</v>
      </c>
      <c r="F13435" s="2">
        <f t="shared" si="2170"/>
        <v>44561</v>
      </c>
    </row>
    <row r="13436" spans="1:6" x14ac:dyDescent="0.25">
      <c r="A13436" s="1" t="s">
        <v>979</v>
      </c>
      <c r="B13436" s="1" t="s">
        <v>978</v>
      </c>
      <c r="C13436" s="1" t="s">
        <v>205</v>
      </c>
      <c r="D13436" s="3">
        <f t="shared" si="2168"/>
        <v>8266</v>
      </c>
      <c r="E13436" s="2">
        <f t="shared" si="2169"/>
        <v>43282</v>
      </c>
      <c r="F13436" s="2">
        <f t="shared" si="2170"/>
        <v>44561</v>
      </c>
    </row>
    <row r="13437" spans="1:6" x14ac:dyDescent="0.25">
      <c r="A13437" s="1" t="s">
        <v>979</v>
      </c>
      <c r="B13437" s="1" t="s">
        <v>978</v>
      </c>
      <c r="C13437" s="1" t="s">
        <v>204</v>
      </c>
      <c r="D13437" s="3">
        <f t="shared" si="2168"/>
        <v>8266</v>
      </c>
      <c r="E13437" s="2">
        <f t="shared" si="2169"/>
        <v>43282</v>
      </c>
      <c r="F13437" s="2">
        <f t="shared" si="2170"/>
        <v>44561</v>
      </c>
    </row>
    <row r="13438" spans="1:6" x14ac:dyDescent="0.25">
      <c r="A13438" s="1" t="s">
        <v>979</v>
      </c>
      <c r="B13438" s="1" t="s">
        <v>978</v>
      </c>
      <c r="C13438" s="1" t="s">
        <v>50</v>
      </c>
      <c r="D13438" s="3">
        <f t="shared" si="2168"/>
        <v>8266</v>
      </c>
      <c r="E13438" s="2">
        <f t="shared" si="2169"/>
        <v>43282</v>
      </c>
      <c r="F13438" s="2">
        <f t="shared" si="2170"/>
        <v>44561</v>
      </c>
    </row>
    <row r="13439" spans="1:6" x14ac:dyDescent="0.25">
      <c r="A13439" s="1" t="s">
        <v>979</v>
      </c>
      <c r="B13439" s="1" t="s">
        <v>978</v>
      </c>
      <c r="C13439" s="1" t="s">
        <v>70</v>
      </c>
      <c r="D13439" s="3">
        <f t="shared" si="2168"/>
        <v>8266</v>
      </c>
      <c r="E13439" s="2">
        <f t="shared" si="2169"/>
        <v>43282</v>
      </c>
      <c r="F13439" s="2">
        <f t="shared" si="2170"/>
        <v>44561</v>
      </c>
    </row>
    <row r="13440" spans="1:6" x14ac:dyDescent="0.25">
      <c r="A13440" s="1" t="s">
        <v>979</v>
      </c>
      <c r="B13440" s="1" t="s">
        <v>978</v>
      </c>
      <c r="C13440" s="1" t="s">
        <v>208</v>
      </c>
      <c r="D13440" s="3">
        <f t="shared" si="2168"/>
        <v>8266</v>
      </c>
      <c r="E13440" s="2">
        <f t="shared" si="2169"/>
        <v>43282</v>
      </c>
      <c r="F13440" s="2">
        <f t="shared" si="2170"/>
        <v>44561</v>
      </c>
    </row>
    <row r="13441" spans="1:6" x14ac:dyDescent="0.25">
      <c r="A13441" s="1" t="s">
        <v>979</v>
      </c>
      <c r="B13441" s="1" t="s">
        <v>978</v>
      </c>
      <c r="C13441" s="1" t="s">
        <v>73</v>
      </c>
      <c r="D13441" s="3">
        <f t="shared" si="2168"/>
        <v>8266</v>
      </c>
      <c r="E13441" s="2">
        <f t="shared" si="2169"/>
        <v>43282</v>
      </c>
      <c r="F13441" s="2">
        <f t="shared" si="2170"/>
        <v>44561</v>
      </c>
    </row>
    <row r="13442" spans="1:6" x14ac:dyDescent="0.25">
      <c r="A13442" s="1" t="s">
        <v>979</v>
      </c>
      <c r="B13442" s="1" t="s">
        <v>978</v>
      </c>
      <c r="C13442" s="1" t="s">
        <v>297</v>
      </c>
      <c r="D13442" s="3">
        <f t="shared" si="2168"/>
        <v>8266</v>
      </c>
      <c r="E13442" s="2">
        <f t="shared" si="2169"/>
        <v>43282</v>
      </c>
      <c r="F13442" s="2">
        <f t="shared" si="2170"/>
        <v>44561</v>
      </c>
    </row>
    <row r="13443" spans="1:6" x14ac:dyDescent="0.25">
      <c r="A13443" s="1" t="s">
        <v>979</v>
      </c>
      <c r="B13443" s="1" t="s">
        <v>978</v>
      </c>
      <c r="C13443" s="1" t="s">
        <v>303</v>
      </c>
      <c r="D13443" s="3">
        <f t="shared" si="2168"/>
        <v>8266</v>
      </c>
      <c r="E13443" s="2">
        <f t="shared" si="2169"/>
        <v>43282</v>
      </c>
      <c r="F13443" s="2">
        <f t="shared" si="2170"/>
        <v>44561</v>
      </c>
    </row>
    <row r="13444" spans="1:6" x14ac:dyDescent="0.25">
      <c r="A13444" s="1" t="s">
        <v>979</v>
      </c>
      <c r="B13444" s="1" t="s">
        <v>978</v>
      </c>
      <c r="C13444" s="1" t="s">
        <v>160</v>
      </c>
      <c r="D13444" s="3">
        <f t="shared" si="2168"/>
        <v>8266</v>
      </c>
      <c r="E13444" s="2">
        <f t="shared" si="2169"/>
        <v>43282</v>
      </c>
      <c r="F13444" s="2">
        <f t="shared" si="2170"/>
        <v>44561</v>
      </c>
    </row>
    <row r="13445" spans="1:6" x14ac:dyDescent="0.25">
      <c r="A13445" s="1" t="s">
        <v>979</v>
      </c>
      <c r="B13445" s="1" t="s">
        <v>978</v>
      </c>
      <c r="C13445" s="1" t="s">
        <v>34</v>
      </c>
      <c r="D13445" s="3">
        <f t="shared" si="2168"/>
        <v>8266</v>
      </c>
      <c r="E13445" s="2">
        <f t="shared" si="2169"/>
        <v>43282</v>
      </c>
      <c r="F13445" s="2">
        <f t="shared" si="2170"/>
        <v>44561</v>
      </c>
    </row>
    <row r="13446" spans="1:6" x14ac:dyDescent="0.25">
      <c r="A13446" s="1" t="s">
        <v>979</v>
      </c>
      <c r="B13446" s="1" t="s">
        <v>978</v>
      </c>
      <c r="C13446" s="1" t="s">
        <v>57</v>
      </c>
      <c r="D13446" s="3">
        <f t="shared" si="2168"/>
        <v>8266</v>
      </c>
      <c r="E13446" s="2">
        <f t="shared" si="2169"/>
        <v>43282</v>
      </c>
      <c r="F13446" s="2">
        <f t="shared" si="2170"/>
        <v>44561</v>
      </c>
    </row>
    <row r="13447" spans="1:6" x14ac:dyDescent="0.25">
      <c r="A13447" s="1" t="s">
        <v>1342</v>
      </c>
      <c r="B13447" s="1" t="s">
        <v>1341</v>
      </c>
      <c r="C13447" s="1" t="s">
        <v>140</v>
      </c>
      <c r="D13447" s="3">
        <f t="shared" ref="D13447:D13455" si="2171">VALUE("8571")</f>
        <v>8571</v>
      </c>
      <c r="E13447" s="2">
        <f t="shared" ref="E13447:E13455" si="2172">DATEVALUE("1-11-2019")</f>
        <v>43770</v>
      </c>
      <c r="F13447" s="2">
        <f t="shared" ref="F13447:F13455" si="2173">DATEVALUE("30-4-2021")</f>
        <v>44316</v>
      </c>
    </row>
    <row r="13448" spans="1:6" x14ac:dyDescent="0.25">
      <c r="A13448" s="1" t="s">
        <v>1342</v>
      </c>
      <c r="B13448" s="1" t="s">
        <v>1341</v>
      </c>
      <c r="C13448" s="1" t="s">
        <v>141</v>
      </c>
      <c r="D13448" s="3">
        <f t="shared" si="2171"/>
        <v>8571</v>
      </c>
      <c r="E13448" s="2">
        <f t="shared" si="2172"/>
        <v>43770</v>
      </c>
      <c r="F13448" s="2">
        <f t="shared" si="2173"/>
        <v>44316</v>
      </c>
    </row>
    <row r="13449" spans="1:6" x14ac:dyDescent="0.25">
      <c r="A13449" s="1" t="s">
        <v>1342</v>
      </c>
      <c r="B13449" s="1" t="s">
        <v>1341</v>
      </c>
      <c r="C13449" s="1" t="s">
        <v>142</v>
      </c>
      <c r="D13449" s="3">
        <f t="shared" si="2171"/>
        <v>8571</v>
      </c>
      <c r="E13449" s="2">
        <f t="shared" si="2172"/>
        <v>43770</v>
      </c>
      <c r="F13449" s="2">
        <f t="shared" si="2173"/>
        <v>44316</v>
      </c>
    </row>
    <row r="13450" spans="1:6" x14ac:dyDescent="0.25">
      <c r="A13450" s="1" t="s">
        <v>1342</v>
      </c>
      <c r="B13450" s="1" t="s">
        <v>1341</v>
      </c>
      <c r="C13450" s="1" t="s">
        <v>172</v>
      </c>
      <c r="D13450" s="3">
        <f t="shared" si="2171"/>
        <v>8571</v>
      </c>
      <c r="E13450" s="2">
        <f t="shared" si="2172"/>
        <v>43770</v>
      </c>
      <c r="F13450" s="2">
        <f t="shared" si="2173"/>
        <v>44316</v>
      </c>
    </row>
    <row r="13451" spans="1:6" x14ac:dyDescent="0.25">
      <c r="A13451" s="1" t="s">
        <v>1342</v>
      </c>
      <c r="B13451" s="1" t="s">
        <v>1341</v>
      </c>
      <c r="C13451" s="1" t="s">
        <v>211</v>
      </c>
      <c r="D13451" s="3">
        <f t="shared" si="2171"/>
        <v>8571</v>
      </c>
      <c r="E13451" s="2">
        <f t="shared" si="2172"/>
        <v>43770</v>
      </c>
      <c r="F13451" s="2">
        <f t="shared" si="2173"/>
        <v>44316</v>
      </c>
    </row>
    <row r="13452" spans="1:6" x14ac:dyDescent="0.25">
      <c r="A13452" s="1" t="s">
        <v>1342</v>
      </c>
      <c r="B13452" s="1" t="s">
        <v>1341</v>
      </c>
      <c r="C13452" s="1" t="s">
        <v>1343</v>
      </c>
      <c r="D13452" s="3">
        <f t="shared" si="2171"/>
        <v>8571</v>
      </c>
      <c r="E13452" s="2">
        <f t="shared" si="2172"/>
        <v>43770</v>
      </c>
      <c r="F13452" s="2">
        <f t="shared" si="2173"/>
        <v>44316</v>
      </c>
    </row>
    <row r="13453" spans="1:6" x14ac:dyDescent="0.25">
      <c r="A13453" s="1" t="s">
        <v>1342</v>
      </c>
      <c r="B13453" s="1" t="s">
        <v>1341</v>
      </c>
      <c r="C13453" s="1" t="s">
        <v>160</v>
      </c>
      <c r="D13453" s="3">
        <f t="shared" si="2171"/>
        <v>8571</v>
      </c>
      <c r="E13453" s="2">
        <f t="shared" si="2172"/>
        <v>43770</v>
      </c>
      <c r="F13453" s="2">
        <f t="shared" si="2173"/>
        <v>44316</v>
      </c>
    </row>
    <row r="13454" spans="1:6" x14ac:dyDescent="0.25">
      <c r="A13454" s="1" t="s">
        <v>1342</v>
      </c>
      <c r="B13454" s="1" t="s">
        <v>1341</v>
      </c>
      <c r="C13454" s="1" t="s">
        <v>359</v>
      </c>
      <c r="D13454" s="3">
        <f t="shared" si="2171"/>
        <v>8571</v>
      </c>
      <c r="E13454" s="2">
        <f t="shared" si="2172"/>
        <v>43770</v>
      </c>
      <c r="F13454" s="2">
        <f t="shared" si="2173"/>
        <v>44316</v>
      </c>
    </row>
    <row r="13455" spans="1:6" x14ac:dyDescent="0.25">
      <c r="A13455" s="1" t="s">
        <v>1342</v>
      </c>
      <c r="B13455" s="1" t="s">
        <v>1341</v>
      </c>
      <c r="C13455" s="1" t="s">
        <v>310</v>
      </c>
      <c r="D13455" s="3">
        <f t="shared" si="2171"/>
        <v>8571</v>
      </c>
      <c r="E13455" s="2">
        <f t="shared" si="2172"/>
        <v>43770</v>
      </c>
      <c r="F13455" s="2">
        <f t="shared" si="2173"/>
        <v>44316</v>
      </c>
    </row>
    <row r="13456" spans="1:6" x14ac:dyDescent="0.25">
      <c r="A13456" s="1" t="s">
        <v>2190</v>
      </c>
      <c r="B13456" s="1" t="s">
        <v>2189</v>
      </c>
      <c r="C13456" s="1" t="s">
        <v>172</v>
      </c>
      <c r="D13456" s="3">
        <f>VALUE("7738")</f>
        <v>7738</v>
      </c>
      <c r="E13456" s="2">
        <f>DATEVALUE("1-5-2015")</f>
        <v>42125</v>
      </c>
      <c r="F13456" s="2">
        <f>DATEVALUE("30-4-2017")</f>
        <v>42855</v>
      </c>
    </row>
    <row r="13457" spans="1:6" x14ac:dyDescent="0.25">
      <c r="A13457" s="1" t="s">
        <v>2678</v>
      </c>
      <c r="B13457" s="1" t="s">
        <v>2677</v>
      </c>
      <c r="C13457" s="1" t="s">
        <v>7</v>
      </c>
      <c r="D13457" s="3">
        <f t="shared" ref="D13457:D13462" si="2174">VALUE("7368")</f>
        <v>7368</v>
      </c>
      <c r="E13457" s="2">
        <f t="shared" ref="E13457:E13462" si="2175">DATEVALUE("1-3-2013")</f>
        <v>41334</v>
      </c>
      <c r="F13457" s="2">
        <f t="shared" ref="F13457:F13462" si="2176">DATEVALUE("30-9-2013")</f>
        <v>41547</v>
      </c>
    </row>
    <row r="13458" spans="1:6" x14ac:dyDescent="0.25">
      <c r="A13458" s="1" t="s">
        <v>2678</v>
      </c>
      <c r="B13458" s="1" t="s">
        <v>2677</v>
      </c>
      <c r="C13458" s="1" t="s">
        <v>13</v>
      </c>
      <c r="D13458" s="3">
        <f t="shared" si="2174"/>
        <v>7368</v>
      </c>
      <c r="E13458" s="2">
        <f t="shared" si="2175"/>
        <v>41334</v>
      </c>
      <c r="F13458" s="2">
        <f t="shared" si="2176"/>
        <v>41547</v>
      </c>
    </row>
    <row r="13459" spans="1:6" x14ac:dyDescent="0.25">
      <c r="A13459" s="1" t="s">
        <v>2678</v>
      </c>
      <c r="B13459" s="1" t="s">
        <v>2677</v>
      </c>
      <c r="C13459" s="1" t="s">
        <v>212</v>
      </c>
      <c r="D13459" s="3">
        <f t="shared" si="2174"/>
        <v>7368</v>
      </c>
      <c r="E13459" s="2">
        <f t="shared" si="2175"/>
        <v>41334</v>
      </c>
      <c r="F13459" s="2">
        <f t="shared" si="2176"/>
        <v>41547</v>
      </c>
    </row>
    <row r="13460" spans="1:6" x14ac:dyDescent="0.25">
      <c r="A13460" s="1" t="s">
        <v>2678</v>
      </c>
      <c r="B13460" s="1" t="s">
        <v>2677</v>
      </c>
      <c r="C13460" s="1" t="s">
        <v>240</v>
      </c>
      <c r="D13460" s="3">
        <f t="shared" si="2174"/>
        <v>7368</v>
      </c>
      <c r="E13460" s="2">
        <f t="shared" si="2175"/>
        <v>41334</v>
      </c>
      <c r="F13460" s="2">
        <f t="shared" si="2176"/>
        <v>41547</v>
      </c>
    </row>
    <row r="13461" spans="1:6" x14ac:dyDescent="0.25">
      <c r="A13461" s="1" t="s">
        <v>2678</v>
      </c>
      <c r="B13461" s="1" t="s">
        <v>2677</v>
      </c>
      <c r="C13461" s="1" t="s">
        <v>31</v>
      </c>
      <c r="D13461" s="3">
        <f t="shared" si="2174"/>
        <v>7368</v>
      </c>
      <c r="E13461" s="2">
        <f t="shared" si="2175"/>
        <v>41334</v>
      </c>
      <c r="F13461" s="2">
        <f t="shared" si="2176"/>
        <v>41547</v>
      </c>
    </row>
    <row r="13462" spans="1:6" x14ac:dyDescent="0.25">
      <c r="A13462" s="1" t="s">
        <v>2678</v>
      </c>
      <c r="B13462" s="1" t="s">
        <v>2677</v>
      </c>
      <c r="C13462" s="1" t="s">
        <v>213</v>
      </c>
      <c r="D13462" s="3">
        <f t="shared" si="2174"/>
        <v>7368</v>
      </c>
      <c r="E13462" s="2">
        <f t="shared" si="2175"/>
        <v>41334</v>
      </c>
      <c r="F13462" s="2">
        <f t="shared" si="2176"/>
        <v>41547</v>
      </c>
    </row>
    <row r="13463" spans="1:6" x14ac:dyDescent="0.25">
      <c r="A13463" s="1" t="s">
        <v>954</v>
      </c>
      <c r="B13463" s="1" t="s">
        <v>1604</v>
      </c>
      <c r="C13463" s="1" t="s">
        <v>1605</v>
      </c>
      <c r="D13463" s="3">
        <f>VALUE("8787")</f>
        <v>8787</v>
      </c>
      <c r="E13463" s="2">
        <f>DATEVALUE("1-8-2020")</f>
        <v>44044</v>
      </c>
      <c r="F13463" s="2">
        <f>DATEVALUE("31-7-2021")</f>
        <v>44408</v>
      </c>
    </row>
    <row r="13464" spans="1:6" x14ac:dyDescent="0.25">
      <c r="A13464" s="1" t="s">
        <v>954</v>
      </c>
      <c r="B13464" s="1" t="s">
        <v>1445</v>
      </c>
      <c r="C13464" s="1" t="s">
        <v>1446</v>
      </c>
      <c r="D13464" s="3">
        <f>VALUE("8660")</f>
        <v>8660</v>
      </c>
      <c r="E13464" s="2">
        <f>DATEVALUE("1-3-2020")</f>
        <v>43891</v>
      </c>
      <c r="F13464" s="2">
        <f>DATEVALUE("31-12-2020")</f>
        <v>44196</v>
      </c>
    </row>
    <row r="13465" spans="1:6" x14ac:dyDescent="0.25">
      <c r="A13465" s="1" t="s">
        <v>954</v>
      </c>
      <c r="B13465" s="1" t="s">
        <v>1445</v>
      </c>
      <c r="C13465" s="1" t="s">
        <v>14</v>
      </c>
      <c r="D13465" s="3">
        <f>VALUE("8660")</f>
        <v>8660</v>
      </c>
      <c r="E13465" s="2">
        <f>DATEVALUE("1-3-2020")</f>
        <v>43891</v>
      </c>
      <c r="F13465" s="2">
        <f>DATEVALUE("31-12-2020")</f>
        <v>44196</v>
      </c>
    </row>
    <row r="13466" spans="1:6" x14ac:dyDescent="0.25">
      <c r="A13466" s="1" t="s">
        <v>954</v>
      </c>
      <c r="B13466" s="1" t="s">
        <v>1445</v>
      </c>
      <c r="C13466" s="1" t="s">
        <v>1447</v>
      </c>
      <c r="D13466" s="3">
        <f>VALUE("8660")</f>
        <v>8660</v>
      </c>
      <c r="E13466" s="2">
        <f>DATEVALUE("1-3-2020")</f>
        <v>43891</v>
      </c>
      <c r="F13466" s="2">
        <f>DATEVALUE("31-12-2020")</f>
        <v>44196</v>
      </c>
    </row>
    <row r="13467" spans="1:6" x14ac:dyDescent="0.25">
      <c r="A13467" s="1" t="s">
        <v>954</v>
      </c>
      <c r="B13467" s="1" t="s">
        <v>1445</v>
      </c>
      <c r="C13467" s="1" t="s">
        <v>34</v>
      </c>
      <c r="D13467" s="3">
        <f>VALUE("8660")</f>
        <v>8660</v>
      </c>
      <c r="E13467" s="2">
        <f>DATEVALUE("1-3-2020")</f>
        <v>43891</v>
      </c>
      <c r="F13467" s="2">
        <f>DATEVALUE("31-12-2020")</f>
        <v>44196</v>
      </c>
    </row>
    <row r="13468" spans="1:6" x14ac:dyDescent="0.25">
      <c r="A13468" s="1" t="s">
        <v>954</v>
      </c>
      <c r="B13468" s="1" t="s">
        <v>953</v>
      </c>
      <c r="C13468" s="1" t="s">
        <v>8</v>
      </c>
      <c r="D13468" s="3">
        <f t="shared" ref="D13468:D13487" si="2177">VALUE("8243")</f>
        <v>8243</v>
      </c>
      <c r="E13468" s="2">
        <f t="shared" ref="E13468:E13487" si="2178">DATEVALUE("1-7-2018")</f>
        <v>43282</v>
      </c>
      <c r="F13468" s="2">
        <f t="shared" ref="F13468:F13487" si="2179">DATEVALUE("31-12-2022")</f>
        <v>44926</v>
      </c>
    </row>
    <row r="13469" spans="1:6" x14ac:dyDescent="0.25">
      <c r="A13469" s="1" t="s">
        <v>954</v>
      </c>
      <c r="B13469" s="1" t="s">
        <v>953</v>
      </c>
      <c r="C13469" s="1" t="s">
        <v>10</v>
      </c>
      <c r="D13469" s="3">
        <f t="shared" si="2177"/>
        <v>8243</v>
      </c>
      <c r="E13469" s="2">
        <f t="shared" si="2178"/>
        <v>43282</v>
      </c>
      <c r="F13469" s="2">
        <f t="shared" si="2179"/>
        <v>44926</v>
      </c>
    </row>
    <row r="13470" spans="1:6" x14ac:dyDescent="0.25">
      <c r="A13470" s="1" t="s">
        <v>954</v>
      </c>
      <c r="B13470" s="1" t="s">
        <v>953</v>
      </c>
      <c r="C13470" s="1" t="s">
        <v>45</v>
      </c>
      <c r="D13470" s="3">
        <f t="shared" si="2177"/>
        <v>8243</v>
      </c>
      <c r="E13470" s="2">
        <f t="shared" si="2178"/>
        <v>43282</v>
      </c>
      <c r="F13470" s="2">
        <f t="shared" si="2179"/>
        <v>44926</v>
      </c>
    </row>
    <row r="13471" spans="1:6" x14ac:dyDescent="0.25">
      <c r="A13471" s="1" t="s">
        <v>954</v>
      </c>
      <c r="B13471" s="1" t="s">
        <v>953</v>
      </c>
      <c r="C13471" s="1" t="s">
        <v>44</v>
      </c>
      <c r="D13471" s="3">
        <f t="shared" si="2177"/>
        <v>8243</v>
      </c>
      <c r="E13471" s="2">
        <f t="shared" si="2178"/>
        <v>43282</v>
      </c>
      <c r="F13471" s="2">
        <f t="shared" si="2179"/>
        <v>44926</v>
      </c>
    </row>
    <row r="13472" spans="1:6" x14ac:dyDescent="0.25">
      <c r="A13472" s="1" t="s">
        <v>954</v>
      </c>
      <c r="B13472" s="1" t="s">
        <v>953</v>
      </c>
      <c r="C13472" s="1" t="s">
        <v>46</v>
      </c>
      <c r="D13472" s="3">
        <f t="shared" si="2177"/>
        <v>8243</v>
      </c>
      <c r="E13472" s="2">
        <f t="shared" si="2178"/>
        <v>43282</v>
      </c>
      <c r="F13472" s="2">
        <f t="shared" si="2179"/>
        <v>44926</v>
      </c>
    </row>
    <row r="13473" spans="1:6" x14ac:dyDescent="0.25">
      <c r="A13473" s="1" t="s">
        <v>954</v>
      </c>
      <c r="B13473" s="1" t="s">
        <v>953</v>
      </c>
      <c r="C13473" s="1" t="s">
        <v>66</v>
      </c>
      <c r="D13473" s="3">
        <f t="shared" si="2177"/>
        <v>8243</v>
      </c>
      <c r="E13473" s="2">
        <f t="shared" si="2178"/>
        <v>43282</v>
      </c>
      <c r="F13473" s="2">
        <f t="shared" si="2179"/>
        <v>44926</v>
      </c>
    </row>
    <row r="13474" spans="1:6" x14ac:dyDescent="0.25">
      <c r="A13474" s="1" t="s">
        <v>954</v>
      </c>
      <c r="B13474" s="1" t="s">
        <v>953</v>
      </c>
      <c r="C13474" s="1" t="s">
        <v>15</v>
      </c>
      <c r="D13474" s="3">
        <f t="shared" si="2177"/>
        <v>8243</v>
      </c>
      <c r="E13474" s="2">
        <f t="shared" si="2178"/>
        <v>43282</v>
      </c>
      <c r="F13474" s="2">
        <f t="shared" si="2179"/>
        <v>44926</v>
      </c>
    </row>
    <row r="13475" spans="1:6" x14ac:dyDescent="0.25">
      <c r="A13475" s="1" t="s">
        <v>954</v>
      </c>
      <c r="B13475" s="1" t="s">
        <v>953</v>
      </c>
      <c r="C13475" s="1" t="s">
        <v>16</v>
      </c>
      <c r="D13475" s="3">
        <f t="shared" si="2177"/>
        <v>8243</v>
      </c>
      <c r="E13475" s="2">
        <f t="shared" si="2178"/>
        <v>43282</v>
      </c>
      <c r="F13475" s="2">
        <f t="shared" si="2179"/>
        <v>44926</v>
      </c>
    </row>
    <row r="13476" spans="1:6" x14ac:dyDescent="0.25">
      <c r="A13476" s="1" t="s">
        <v>954</v>
      </c>
      <c r="B13476" s="1" t="s">
        <v>953</v>
      </c>
      <c r="C13476" s="1" t="s">
        <v>88</v>
      </c>
      <c r="D13476" s="3">
        <f t="shared" si="2177"/>
        <v>8243</v>
      </c>
      <c r="E13476" s="2">
        <f t="shared" si="2178"/>
        <v>43282</v>
      </c>
      <c r="F13476" s="2">
        <f t="shared" si="2179"/>
        <v>44926</v>
      </c>
    </row>
    <row r="13477" spans="1:6" x14ac:dyDescent="0.25">
      <c r="A13477" s="1" t="s">
        <v>954</v>
      </c>
      <c r="B13477" s="1" t="s">
        <v>953</v>
      </c>
      <c r="C13477" s="1" t="s">
        <v>89</v>
      </c>
      <c r="D13477" s="3">
        <f t="shared" si="2177"/>
        <v>8243</v>
      </c>
      <c r="E13477" s="2">
        <f t="shared" si="2178"/>
        <v>43282</v>
      </c>
      <c r="F13477" s="2">
        <f t="shared" si="2179"/>
        <v>44926</v>
      </c>
    </row>
    <row r="13478" spans="1:6" x14ac:dyDescent="0.25">
      <c r="A13478" s="1" t="s">
        <v>954</v>
      </c>
      <c r="B13478" s="1" t="s">
        <v>953</v>
      </c>
      <c r="C13478" s="1" t="s">
        <v>17</v>
      </c>
      <c r="D13478" s="3">
        <f t="shared" si="2177"/>
        <v>8243</v>
      </c>
      <c r="E13478" s="2">
        <f t="shared" si="2178"/>
        <v>43282</v>
      </c>
      <c r="F13478" s="2">
        <f t="shared" si="2179"/>
        <v>44926</v>
      </c>
    </row>
    <row r="13479" spans="1:6" x14ac:dyDescent="0.25">
      <c r="A13479" s="1" t="s">
        <v>954</v>
      </c>
      <c r="B13479" s="1" t="s">
        <v>953</v>
      </c>
      <c r="C13479" s="1" t="s">
        <v>22</v>
      </c>
      <c r="D13479" s="3">
        <f t="shared" si="2177"/>
        <v>8243</v>
      </c>
      <c r="E13479" s="2">
        <f t="shared" si="2178"/>
        <v>43282</v>
      </c>
      <c r="F13479" s="2">
        <f t="shared" si="2179"/>
        <v>44926</v>
      </c>
    </row>
    <row r="13480" spans="1:6" x14ac:dyDescent="0.25">
      <c r="A13480" s="1" t="s">
        <v>954</v>
      </c>
      <c r="B13480" s="1" t="s">
        <v>953</v>
      </c>
      <c r="C13480" s="1" t="s">
        <v>67</v>
      </c>
      <c r="D13480" s="3">
        <f t="shared" si="2177"/>
        <v>8243</v>
      </c>
      <c r="E13480" s="2">
        <f t="shared" si="2178"/>
        <v>43282</v>
      </c>
      <c r="F13480" s="2">
        <f t="shared" si="2179"/>
        <v>44926</v>
      </c>
    </row>
    <row r="13481" spans="1:6" x14ac:dyDescent="0.25">
      <c r="A13481" s="1" t="s">
        <v>954</v>
      </c>
      <c r="B13481" s="1" t="s">
        <v>953</v>
      </c>
      <c r="C13481" s="1" t="s">
        <v>149</v>
      </c>
      <c r="D13481" s="3">
        <f t="shared" si="2177"/>
        <v>8243</v>
      </c>
      <c r="E13481" s="2">
        <f t="shared" si="2178"/>
        <v>43282</v>
      </c>
      <c r="F13481" s="2">
        <f t="shared" si="2179"/>
        <v>44926</v>
      </c>
    </row>
    <row r="13482" spans="1:6" x14ac:dyDescent="0.25">
      <c r="A13482" s="1" t="s">
        <v>954</v>
      </c>
      <c r="B13482" s="1" t="s">
        <v>953</v>
      </c>
      <c r="C13482" s="1" t="s">
        <v>155</v>
      </c>
      <c r="D13482" s="3">
        <f t="shared" si="2177"/>
        <v>8243</v>
      </c>
      <c r="E13482" s="2">
        <f t="shared" si="2178"/>
        <v>43282</v>
      </c>
      <c r="F13482" s="2">
        <f t="shared" si="2179"/>
        <v>44926</v>
      </c>
    </row>
    <row r="13483" spans="1:6" x14ac:dyDescent="0.25">
      <c r="A13483" s="1" t="s">
        <v>954</v>
      </c>
      <c r="B13483" s="1" t="s">
        <v>953</v>
      </c>
      <c r="C13483" s="1" t="s">
        <v>27</v>
      </c>
      <c r="D13483" s="3">
        <f t="shared" si="2177"/>
        <v>8243</v>
      </c>
      <c r="E13483" s="2">
        <f t="shared" si="2178"/>
        <v>43282</v>
      </c>
      <c r="F13483" s="2">
        <f t="shared" si="2179"/>
        <v>44926</v>
      </c>
    </row>
    <row r="13484" spans="1:6" x14ac:dyDescent="0.25">
      <c r="A13484" s="1" t="s">
        <v>954</v>
      </c>
      <c r="B13484" s="1" t="s">
        <v>953</v>
      </c>
      <c r="C13484" s="1" t="s">
        <v>262</v>
      </c>
      <c r="D13484" s="3">
        <f t="shared" si="2177"/>
        <v>8243</v>
      </c>
      <c r="E13484" s="2">
        <f t="shared" si="2178"/>
        <v>43282</v>
      </c>
      <c r="F13484" s="2">
        <f t="shared" si="2179"/>
        <v>44926</v>
      </c>
    </row>
    <row r="13485" spans="1:6" x14ac:dyDescent="0.25">
      <c r="A13485" s="1" t="s">
        <v>954</v>
      </c>
      <c r="B13485" s="1" t="s">
        <v>953</v>
      </c>
      <c r="C13485" s="1" t="s">
        <v>73</v>
      </c>
      <c r="D13485" s="3">
        <f t="shared" si="2177"/>
        <v>8243</v>
      </c>
      <c r="E13485" s="2">
        <f t="shared" si="2178"/>
        <v>43282</v>
      </c>
      <c r="F13485" s="2">
        <f t="shared" si="2179"/>
        <v>44926</v>
      </c>
    </row>
    <row r="13486" spans="1:6" x14ac:dyDescent="0.25">
      <c r="A13486" s="1" t="s">
        <v>954</v>
      </c>
      <c r="B13486" s="1" t="s">
        <v>953</v>
      </c>
      <c r="C13486" s="1" t="s">
        <v>161</v>
      </c>
      <c r="D13486" s="3">
        <f t="shared" si="2177"/>
        <v>8243</v>
      </c>
      <c r="E13486" s="2">
        <f t="shared" si="2178"/>
        <v>43282</v>
      </c>
      <c r="F13486" s="2">
        <f t="shared" si="2179"/>
        <v>44926</v>
      </c>
    </row>
    <row r="13487" spans="1:6" x14ac:dyDescent="0.25">
      <c r="A13487" s="1" t="s">
        <v>954</v>
      </c>
      <c r="B13487" s="1" t="s">
        <v>953</v>
      </c>
      <c r="C13487" s="1" t="s">
        <v>162</v>
      </c>
      <c r="D13487" s="3">
        <f t="shared" si="2177"/>
        <v>8243</v>
      </c>
      <c r="E13487" s="2">
        <f t="shared" si="2178"/>
        <v>43282</v>
      </c>
      <c r="F13487" s="2">
        <f t="shared" si="2179"/>
        <v>44926</v>
      </c>
    </row>
    <row r="13488" spans="1:6" x14ac:dyDescent="0.25">
      <c r="A13488" s="1" t="s">
        <v>954</v>
      </c>
      <c r="B13488" s="1" t="s">
        <v>2157</v>
      </c>
      <c r="C13488" s="1" t="s">
        <v>2158</v>
      </c>
      <c r="D13488" s="3">
        <f t="shared" ref="D13488:D13508" si="2180">VALUE("7537")</f>
        <v>7537</v>
      </c>
      <c r="E13488" s="2">
        <f t="shared" ref="E13488:E13519" si="2181">DATEVALUE("1-12-2013")</f>
        <v>41609</v>
      </c>
      <c r="F13488" s="2">
        <f t="shared" ref="F13488:F13508" si="2182">DATEVALUE("31-3-2017")</f>
        <v>42825</v>
      </c>
    </row>
    <row r="13489" spans="1:6" x14ac:dyDescent="0.25">
      <c r="A13489" s="1" t="s">
        <v>954</v>
      </c>
      <c r="B13489" s="1" t="s">
        <v>2157</v>
      </c>
      <c r="C13489" s="1" t="s">
        <v>62</v>
      </c>
      <c r="D13489" s="3">
        <f t="shared" si="2180"/>
        <v>7537</v>
      </c>
      <c r="E13489" s="2">
        <f t="shared" si="2181"/>
        <v>41609</v>
      </c>
      <c r="F13489" s="2">
        <f t="shared" si="2182"/>
        <v>42825</v>
      </c>
    </row>
    <row r="13490" spans="1:6" x14ac:dyDescent="0.25">
      <c r="A13490" s="1" t="s">
        <v>954</v>
      </c>
      <c r="B13490" s="1" t="s">
        <v>2157</v>
      </c>
      <c r="C13490" s="1" t="s">
        <v>63</v>
      </c>
      <c r="D13490" s="3">
        <f t="shared" si="2180"/>
        <v>7537</v>
      </c>
      <c r="E13490" s="2">
        <f t="shared" si="2181"/>
        <v>41609</v>
      </c>
      <c r="F13490" s="2">
        <f t="shared" si="2182"/>
        <v>42825</v>
      </c>
    </row>
    <row r="13491" spans="1:6" x14ac:dyDescent="0.25">
      <c r="A13491" s="1" t="s">
        <v>954</v>
      </c>
      <c r="B13491" s="1" t="s">
        <v>2157</v>
      </c>
      <c r="C13491" s="1" t="s">
        <v>414</v>
      </c>
      <c r="D13491" s="3">
        <f t="shared" si="2180"/>
        <v>7537</v>
      </c>
      <c r="E13491" s="2">
        <f t="shared" si="2181"/>
        <v>41609</v>
      </c>
      <c r="F13491" s="2">
        <f t="shared" si="2182"/>
        <v>42825</v>
      </c>
    </row>
    <row r="13492" spans="1:6" x14ac:dyDescent="0.25">
      <c r="A13492" s="1" t="s">
        <v>954</v>
      </c>
      <c r="B13492" s="1" t="s">
        <v>2157</v>
      </c>
      <c r="C13492" s="1" t="s">
        <v>45</v>
      </c>
      <c r="D13492" s="3">
        <f t="shared" si="2180"/>
        <v>7537</v>
      </c>
      <c r="E13492" s="2">
        <f t="shared" si="2181"/>
        <v>41609</v>
      </c>
      <c r="F13492" s="2">
        <f t="shared" si="2182"/>
        <v>42825</v>
      </c>
    </row>
    <row r="13493" spans="1:6" x14ac:dyDescent="0.25">
      <c r="A13493" s="1" t="s">
        <v>954</v>
      </c>
      <c r="B13493" s="1" t="s">
        <v>2157</v>
      </c>
      <c r="C13493" s="1" t="s">
        <v>65</v>
      </c>
      <c r="D13493" s="3">
        <f t="shared" si="2180"/>
        <v>7537</v>
      </c>
      <c r="E13493" s="2">
        <f t="shared" si="2181"/>
        <v>41609</v>
      </c>
      <c r="F13493" s="2">
        <f t="shared" si="2182"/>
        <v>42825</v>
      </c>
    </row>
    <row r="13494" spans="1:6" x14ac:dyDescent="0.25">
      <c r="A13494" s="1" t="s">
        <v>954</v>
      </c>
      <c r="B13494" s="1" t="s">
        <v>2157</v>
      </c>
      <c r="C13494" s="1" t="s">
        <v>14</v>
      </c>
      <c r="D13494" s="3">
        <f t="shared" si="2180"/>
        <v>7537</v>
      </c>
      <c r="E13494" s="2">
        <f t="shared" si="2181"/>
        <v>41609</v>
      </c>
      <c r="F13494" s="2">
        <f t="shared" si="2182"/>
        <v>42825</v>
      </c>
    </row>
    <row r="13495" spans="1:6" x14ac:dyDescent="0.25">
      <c r="A13495" s="1" t="s">
        <v>954</v>
      </c>
      <c r="B13495" s="1" t="s">
        <v>2157</v>
      </c>
      <c r="C13495" s="1" t="s">
        <v>66</v>
      </c>
      <c r="D13495" s="3">
        <f t="shared" si="2180"/>
        <v>7537</v>
      </c>
      <c r="E13495" s="2">
        <f t="shared" si="2181"/>
        <v>41609</v>
      </c>
      <c r="F13495" s="2">
        <f t="shared" si="2182"/>
        <v>42825</v>
      </c>
    </row>
    <row r="13496" spans="1:6" x14ac:dyDescent="0.25">
      <c r="A13496" s="1" t="s">
        <v>954</v>
      </c>
      <c r="B13496" s="1" t="s">
        <v>2157</v>
      </c>
      <c r="C13496" s="1" t="s">
        <v>15</v>
      </c>
      <c r="D13496" s="3">
        <f t="shared" si="2180"/>
        <v>7537</v>
      </c>
      <c r="E13496" s="2">
        <f t="shared" si="2181"/>
        <v>41609</v>
      </c>
      <c r="F13496" s="2">
        <f t="shared" si="2182"/>
        <v>42825</v>
      </c>
    </row>
    <row r="13497" spans="1:6" x14ac:dyDescent="0.25">
      <c r="A13497" s="1" t="s">
        <v>954</v>
      </c>
      <c r="B13497" s="1" t="s">
        <v>2157</v>
      </c>
      <c r="C13497" s="1" t="s">
        <v>17</v>
      </c>
      <c r="D13497" s="3">
        <f t="shared" si="2180"/>
        <v>7537</v>
      </c>
      <c r="E13497" s="2">
        <f t="shared" si="2181"/>
        <v>41609</v>
      </c>
      <c r="F13497" s="2">
        <f t="shared" si="2182"/>
        <v>42825</v>
      </c>
    </row>
    <row r="13498" spans="1:6" x14ac:dyDescent="0.25">
      <c r="A13498" s="1" t="s">
        <v>954</v>
      </c>
      <c r="B13498" s="1" t="s">
        <v>2157</v>
      </c>
      <c r="C13498" s="1" t="s">
        <v>22</v>
      </c>
      <c r="D13498" s="3">
        <f t="shared" si="2180"/>
        <v>7537</v>
      </c>
      <c r="E13498" s="2">
        <f t="shared" si="2181"/>
        <v>41609</v>
      </c>
      <c r="F13498" s="2">
        <f t="shared" si="2182"/>
        <v>42825</v>
      </c>
    </row>
    <row r="13499" spans="1:6" x14ac:dyDescent="0.25">
      <c r="A13499" s="1" t="s">
        <v>954</v>
      </c>
      <c r="B13499" s="1" t="s">
        <v>2157</v>
      </c>
      <c r="C13499" s="1" t="s">
        <v>147</v>
      </c>
      <c r="D13499" s="3">
        <f t="shared" si="2180"/>
        <v>7537</v>
      </c>
      <c r="E13499" s="2">
        <f t="shared" si="2181"/>
        <v>41609</v>
      </c>
      <c r="F13499" s="2">
        <f t="shared" si="2182"/>
        <v>42825</v>
      </c>
    </row>
    <row r="13500" spans="1:6" x14ac:dyDescent="0.25">
      <c r="A13500" s="1" t="s">
        <v>954</v>
      </c>
      <c r="B13500" s="1" t="s">
        <v>2157</v>
      </c>
      <c r="C13500" s="1" t="s">
        <v>148</v>
      </c>
      <c r="D13500" s="3">
        <f t="shared" si="2180"/>
        <v>7537</v>
      </c>
      <c r="E13500" s="2">
        <f t="shared" si="2181"/>
        <v>41609</v>
      </c>
      <c r="F13500" s="2">
        <f t="shared" si="2182"/>
        <v>42825</v>
      </c>
    </row>
    <row r="13501" spans="1:6" x14ac:dyDescent="0.25">
      <c r="A13501" s="1" t="s">
        <v>954</v>
      </c>
      <c r="B13501" s="1" t="s">
        <v>2157</v>
      </c>
      <c r="C13501" s="1" t="s">
        <v>92</v>
      </c>
      <c r="D13501" s="3">
        <f t="shared" si="2180"/>
        <v>7537</v>
      </c>
      <c r="E13501" s="2">
        <f t="shared" si="2181"/>
        <v>41609</v>
      </c>
      <c r="F13501" s="2">
        <f t="shared" si="2182"/>
        <v>42825</v>
      </c>
    </row>
    <row r="13502" spans="1:6" x14ac:dyDescent="0.25">
      <c r="A13502" s="1" t="s">
        <v>954</v>
      </c>
      <c r="B13502" s="1" t="s">
        <v>2157</v>
      </c>
      <c r="C13502" s="1" t="s">
        <v>69</v>
      </c>
      <c r="D13502" s="3">
        <f t="shared" si="2180"/>
        <v>7537</v>
      </c>
      <c r="E13502" s="2">
        <f t="shared" si="2181"/>
        <v>41609</v>
      </c>
      <c r="F13502" s="2">
        <f t="shared" si="2182"/>
        <v>42825</v>
      </c>
    </row>
    <row r="13503" spans="1:6" x14ac:dyDescent="0.25">
      <c r="A13503" s="1" t="s">
        <v>954</v>
      </c>
      <c r="B13503" s="1" t="s">
        <v>2157</v>
      </c>
      <c r="C13503" s="1" t="s">
        <v>26</v>
      </c>
      <c r="D13503" s="3">
        <f t="shared" si="2180"/>
        <v>7537</v>
      </c>
      <c r="E13503" s="2">
        <f t="shared" si="2181"/>
        <v>41609</v>
      </c>
      <c r="F13503" s="2">
        <f t="shared" si="2182"/>
        <v>42825</v>
      </c>
    </row>
    <row r="13504" spans="1:6" x14ac:dyDescent="0.25">
      <c r="A13504" s="1" t="s">
        <v>954</v>
      </c>
      <c r="B13504" s="1" t="s">
        <v>2157</v>
      </c>
      <c r="C13504" s="1" t="s">
        <v>27</v>
      </c>
      <c r="D13504" s="3">
        <f t="shared" si="2180"/>
        <v>7537</v>
      </c>
      <c r="E13504" s="2">
        <f t="shared" si="2181"/>
        <v>41609</v>
      </c>
      <c r="F13504" s="2">
        <f t="shared" si="2182"/>
        <v>42825</v>
      </c>
    </row>
    <row r="13505" spans="1:6" x14ac:dyDescent="0.25">
      <c r="A13505" s="1" t="s">
        <v>954</v>
      </c>
      <c r="B13505" s="1" t="s">
        <v>2157</v>
      </c>
      <c r="C13505" s="1" t="s">
        <v>73</v>
      </c>
      <c r="D13505" s="3">
        <f t="shared" si="2180"/>
        <v>7537</v>
      </c>
      <c r="E13505" s="2">
        <f t="shared" si="2181"/>
        <v>41609</v>
      </c>
      <c r="F13505" s="2">
        <f t="shared" si="2182"/>
        <v>42825</v>
      </c>
    </row>
    <row r="13506" spans="1:6" x14ac:dyDescent="0.25">
      <c r="A13506" s="1" t="s">
        <v>954</v>
      </c>
      <c r="B13506" s="1" t="s">
        <v>2157</v>
      </c>
      <c r="C13506" s="1" t="s">
        <v>303</v>
      </c>
      <c r="D13506" s="3">
        <f t="shared" si="2180"/>
        <v>7537</v>
      </c>
      <c r="E13506" s="2">
        <f t="shared" si="2181"/>
        <v>41609</v>
      </c>
      <c r="F13506" s="2">
        <f t="shared" si="2182"/>
        <v>42825</v>
      </c>
    </row>
    <row r="13507" spans="1:6" x14ac:dyDescent="0.25">
      <c r="A13507" s="1" t="s">
        <v>954</v>
      </c>
      <c r="B13507" s="1" t="s">
        <v>2157</v>
      </c>
      <c r="C13507" s="1" t="s">
        <v>53</v>
      </c>
      <c r="D13507" s="3">
        <f t="shared" si="2180"/>
        <v>7537</v>
      </c>
      <c r="E13507" s="2">
        <f t="shared" si="2181"/>
        <v>41609</v>
      </c>
      <c r="F13507" s="2">
        <f t="shared" si="2182"/>
        <v>42825</v>
      </c>
    </row>
    <row r="13508" spans="1:6" x14ac:dyDescent="0.25">
      <c r="A13508" s="1" t="s">
        <v>954</v>
      </c>
      <c r="B13508" s="1" t="s">
        <v>2157</v>
      </c>
      <c r="C13508" s="1" t="s">
        <v>479</v>
      </c>
      <c r="D13508" s="3">
        <f t="shared" si="2180"/>
        <v>7537</v>
      </c>
      <c r="E13508" s="2">
        <f t="shared" si="2181"/>
        <v>41609</v>
      </c>
      <c r="F13508" s="2">
        <f t="shared" si="2182"/>
        <v>42825</v>
      </c>
    </row>
    <row r="13509" spans="1:6" x14ac:dyDescent="0.25">
      <c r="A13509" s="1" t="s">
        <v>954</v>
      </c>
      <c r="B13509" s="1" t="s">
        <v>1922</v>
      </c>
      <c r="C13509" s="1" t="s">
        <v>45</v>
      </c>
      <c r="D13509" s="3">
        <f t="shared" ref="D13509:D13519" si="2183">VALUE("7568")</f>
        <v>7568</v>
      </c>
      <c r="E13509" s="2">
        <f t="shared" si="2181"/>
        <v>41609</v>
      </c>
      <c r="F13509" s="2">
        <f t="shared" ref="F13509:F13519" si="2184">DATEVALUE("30-4-2015")</f>
        <v>42124</v>
      </c>
    </row>
    <row r="13510" spans="1:6" x14ac:dyDescent="0.25">
      <c r="A13510" s="1" t="s">
        <v>954</v>
      </c>
      <c r="B13510" s="1" t="s">
        <v>1922</v>
      </c>
      <c r="C13510" s="1" t="s">
        <v>46</v>
      </c>
      <c r="D13510" s="3">
        <f t="shared" si="2183"/>
        <v>7568</v>
      </c>
      <c r="E13510" s="2">
        <f t="shared" si="2181"/>
        <v>41609</v>
      </c>
      <c r="F13510" s="2">
        <f t="shared" si="2184"/>
        <v>42124</v>
      </c>
    </row>
    <row r="13511" spans="1:6" x14ac:dyDescent="0.25">
      <c r="A13511" s="1" t="s">
        <v>954</v>
      </c>
      <c r="B13511" s="1" t="s">
        <v>1922</v>
      </c>
      <c r="C13511" s="1" t="s">
        <v>15</v>
      </c>
      <c r="D13511" s="3">
        <f t="shared" si="2183"/>
        <v>7568</v>
      </c>
      <c r="E13511" s="2">
        <f t="shared" si="2181"/>
        <v>41609</v>
      </c>
      <c r="F13511" s="2">
        <f t="shared" si="2184"/>
        <v>42124</v>
      </c>
    </row>
    <row r="13512" spans="1:6" x14ac:dyDescent="0.25">
      <c r="A13512" s="1" t="s">
        <v>954</v>
      </c>
      <c r="B13512" s="1" t="s">
        <v>1922</v>
      </c>
      <c r="C13512" s="1" t="s">
        <v>290</v>
      </c>
      <c r="D13512" s="3">
        <f t="shared" si="2183"/>
        <v>7568</v>
      </c>
      <c r="E13512" s="2">
        <f t="shared" si="2181"/>
        <v>41609</v>
      </c>
      <c r="F13512" s="2">
        <f t="shared" si="2184"/>
        <v>42124</v>
      </c>
    </row>
    <row r="13513" spans="1:6" x14ac:dyDescent="0.25">
      <c r="A13513" s="1" t="s">
        <v>954</v>
      </c>
      <c r="B13513" s="1" t="s">
        <v>1922</v>
      </c>
      <c r="C13513" s="1" t="s">
        <v>17</v>
      </c>
      <c r="D13513" s="3">
        <f t="shared" si="2183"/>
        <v>7568</v>
      </c>
      <c r="E13513" s="2">
        <f t="shared" si="2181"/>
        <v>41609</v>
      </c>
      <c r="F13513" s="2">
        <f t="shared" si="2184"/>
        <v>42124</v>
      </c>
    </row>
    <row r="13514" spans="1:6" x14ac:dyDescent="0.25">
      <c r="A13514" s="1" t="s">
        <v>954</v>
      </c>
      <c r="B13514" s="1" t="s">
        <v>1922</v>
      </c>
      <c r="C13514" s="1" t="s">
        <v>148</v>
      </c>
      <c r="D13514" s="3">
        <f t="shared" si="2183"/>
        <v>7568</v>
      </c>
      <c r="E13514" s="2">
        <f t="shared" si="2181"/>
        <v>41609</v>
      </c>
      <c r="F13514" s="2">
        <f t="shared" si="2184"/>
        <v>42124</v>
      </c>
    </row>
    <row r="13515" spans="1:6" x14ac:dyDescent="0.25">
      <c r="A13515" s="1" t="s">
        <v>954</v>
      </c>
      <c r="B13515" s="1" t="s">
        <v>1922</v>
      </c>
      <c r="C13515" s="1" t="s">
        <v>149</v>
      </c>
      <c r="D13515" s="3">
        <f t="shared" si="2183"/>
        <v>7568</v>
      </c>
      <c r="E13515" s="2">
        <f t="shared" si="2181"/>
        <v>41609</v>
      </c>
      <c r="F13515" s="2">
        <f t="shared" si="2184"/>
        <v>42124</v>
      </c>
    </row>
    <row r="13516" spans="1:6" x14ac:dyDescent="0.25">
      <c r="A13516" s="1" t="s">
        <v>954</v>
      </c>
      <c r="B13516" s="1" t="s">
        <v>1922</v>
      </c>
      <c r="C13516" s="1" t="s">
        <v>27</v>
      </c>
      <c r="D13516" s="3">
        <f t="shared" si="2183"/>
        <v>7568</v>
      </c>
      <c r="E13516" s="2">
        <f t="shared" si="2181"/>
        <v>41609</v>
      </c>
      <c r="F13516" s="2">
        <f t="shared" si="2184"/>
        <v>42124</v>
      </c>
    </row>
    <row r="13517" spans="1:6" x14ac:dyDescent="0.25">
      <c r="A13517" s="1" t="s">
        <v>954</v>
      </c>
      <c r="B13517" s="1" t="s">
        <v>1922</v>
      </c>
      <c r="C13517" s="1" t="s">
        <v>262</v>
      </c>
      <c r="D13517" s="3">
        <f t="shared" si="2183"/>
        <v>7568</v>
      </c>
      <c r="E13517" s="2">
        <f t="shared" si="2181"/>
        <v>41609</v>
      </c>
      <c r="F13517" s="2">
        <f t="shared" si="2184"/>
        <v>42124</v>
      </c>
    </row>
    <row r="13518" spans="1:6" x14ac:dyDescent="0.25">
      <c r="A13518" s="1" t="s">
        <v>954</v>
      </c>
      <c r="B13518" s="1" t="s">
        <v>1922</v>
      </c>
      <c r="C13518" s="1" t="s">
        <v>162</v>
      </c>
      <c r="D13518" s="3">
        <f t="shared" si="2183"/>
        <v>7568</v>
      </c>
      <c r="E13518" s="2">
        <f t="shared" si="2181"/>
        <v>41609</v>
      </c>
      <c r="F13518" s="2">
        <f t="shared" si="2184"/>
        <v>42124</v>
      </c>
    </row>
    <row r="13519" spans="1:6" x14ac:dyDescent="0.25">
      <c r="A13519" s="1" t="s">
        <v>954</v>
      </c>
      <c r="B13519" s="1" t="s">
        <v>1922</v>
      </c>
      <c r="C13519" s="1" t="s">
        <v>164</v>
      </c>
      <c r="D13519" s="3">
        <f t="shared" si="2183"/>
        <v>7568</v>
      </c>
      <c r="E13519" s="2">
        <f t="shared" si="2181"/>
        <v>41609</v>
      </c>
      <c r="F13519" s="2">
        <f t="shared" si="2184"/>
        <v>42124</v>
      </c>
    </row>
    <row r="13520" spans="1:6" x14ac:dyDescent="0.25">
      <c r="A13520" s="1" t="s">
        <v>954</v>
      </c>
      <c r="B13520" s="1" t="s">
        <v>2162</v>
      </c>
      <c r="C13520" s="1" t="s">
        <v>46</v>
      </c>
      <c r="D13520" s="3">
        <f t="shared" ref="D13520:D13530" si="2185">VALUE("7563")</f>
        <v>7563</v>
      </c>
      <c r="E13520" s="2">
        <f t="shared" ref="E13520:E13530" si="2186">DATEVALUE("1-11-2013")</f>
        <v>41579</v>
      </c>
      <c r="F13520" s="2">
        <f t="shared" ref="F13520:F13530" si="2187">DATEVALUE("28-2-2018")</f>
        <v>43159</v>
      </c>
    </row>
    <row r="13521" spans="1:6" x14ac:dyDescent="0.25">
      <c r="A13521" s="1" t="s">
        <v>954</v>
      </c>
      <c r="B13521" s="1" t="s">
        <v>2162</v>
      </c>
      <c r="C13521" s="1" t="s">
        <v>87</v>
      </c>
      <c r="D13521" s="3">
        <f t="shared" si="2185"/>
        <v>7563</v>
      </c>
      <c r="E13521" s="2">
        <f t="shared" si="2186"/>
        <v>41579</v>
      </c>
      <c r="F13521" s="2">
        <f t="shared" si="2187"/>
        <v>43159</v>
      </c>
    </row>
    <row r="13522" spans="1:6" x14ac:dyDescent="0.25">
      <c r="A13522" s="1" t="s">
        <v>954</v>
      </c>
      <c r="B13522" s="1" t="s">
        <v>2162</v>
      </c>
      <c r="C13522" s="1" t="s">
        <v>15</v>
      </c>
      <c r="D13522" s="3">
        <f t="shared" si="2185"/>
        <v>7563</v>
      </c>
      <c r="E13522" s="2">
        <f t="shared" si="2186"/>
        <v>41579</v>
      </c>
      <c r="F13522" s="2">
        <f t="shared" si="2187"/>
        <v>43159</v>
      </c>
    </row>
    <row r="13523" spans="1:6" x14ac:dyDescent="0.25">
      <c r="A13523" s="1" t="s">
        <v>954</v>
      </c>
      <c r="B13523" s="1" t="s">
        <v>2162</v>
      </c>
      <c r="C13523" s="1" t="s">
        <v>17</v>
      </c>
      <c r="D13523" s="3">
        <f t="shared" si="2185"/>
        <v>7563</v>
      </c>
      <c r="E13523" s="2">
        <f t="shared" si="2186"/>
        <v>41579</v>
      </c>
      <c r="F13523" s="2">
        <f t="shared" si="2187"/>
        <v>43159</v>
      </c>
    </row>
    <row r="13524" spans="1:6" x14ac:dyDescent="0.25">
      <c r="A13524" s="1" t="s">
        <v>954</v>
      </c>
      <c r="B13524" s="1" t="s">
        <v>2162</v>
      </c>
      <c r="C13524" s="1" t="s">
        <v>22</v>
      </c>
      <c r="D13524" s="3">
        <f t="shared" si="2185"/>
        <v>7563</v>
      </c>
      <c r="E13524" s="2">
        <f t="shared" si="2186"/>
        <v>41579</v>
      </c>
      <c r="F13524" s="2">
        <f t="shared" si="2187"/>
        <v>43159</v>
      </c>
    </row>
    <row r="13525" spans="1:6" x14ac:dyDescent="0.25">
      <c r="A13525" s="1" t="s">
        <v>954</v>
      </c>
      <c r="B13525" s="1" t="s">
        <v>2162</v>
      </c>
      <c r="C13525" s="1" t="s">
        <v>146</v>
      </c>
      <c r="D13525" s="3">
        <f t="shared" si="2185"/>
        <v>7563</v>
      </c>
      <c r="E13525" s="2">
        <f t="shared" si="2186"/>
        <v>41579</v>
      </c>
      <c r="F13525" s="2">
        <f t="shared" si="2187"/>
        <v>43159</v>
      </c>
    </row>
    <row r="13526" spans="1:6" x14ac:dyDescent="0.25">
      <c r="A13526" s="1" t="s">
        <v>954</v>
      </c>
      <c r="B13526" s="1" t="s">
        <v>2162</v>
      </c>
      <c r="C13526" s="1" t="s">
        <v>148</v>
      </c>
      <c r="D13526" s="3">
        <f t="shared" si="2185"/>
        <v>7563</v>
      </c>
      <c r="E13526" s="2">
        <f t="shared" si="2186"/>
        <v>41579</v>
      </c>
      <c r="F13526" s="2">
        <f t="shared" si="2187"/>
        <v>43159</v>
      </c>
    </row>
    <row r="13527" spans="1:6" x14ac:dyDescent="0.25">
      <c r="A13527" s="1" t="s">
        <v>954</v>
      </c>
      <c r="B13527" s="1" t="s">
        <v>2162</v>
      </c>
      <c r="C13527" s="1" t="s">
        <v>150</v>
      </c>
      <c r="D13527" s="3">
        <f t="shared" si="2185"/>
        <v>7563</v>
      </c>
      <c r="E13527" s="2">
        <f t="shared" si="2186"/>
        <v>41579</v>
      </c>
      <c r="F13527" s="2">
        <f t="shared" si="2187"/>
        <v>43159</v>
      </c>
    </row>
    <row r="13528" spans="1:6" x14ac:dyDescent="0.25">
      <c r="A13528" s="1" t="s">
        <v>954</v>
      </c>
      <c r="B13528" s="1" t="s">
        <v>2162</v>
      </c>
      <c r="C13528" s="1" t="s">
        <v>92</v>
      </c>
      <c r="D13528" s="3">
        <f t="shared" si="2185"/>
        <v>7563</v>
      </c>
      <c r="E13528" s="2">
        <f t="shared" si="2186"/>
        <v>41579</v>
      </c>
      <c r="F13528" s="2">
        <f t="shared" si="2187"/>
        <v>43159</v>
      </c>
    </row>
    <row r="13529" spans="1:6" x14ac:dyDescent="0.25">
      <c r="A13529" s="1" t="s">
        <v>954</v>
      </c>
      <c r="B13529" s="1" t="s">
        <v>2162</v>
      </c>
      <c r="C13529" s="1" t="s">
        <v>160</v>
      </c>
      <c r="D13529" s="3">
        <f t="shared" si="2185"/>
        <v>7563</v>
      </c>
      <c r="E13529" s="2">
        <f t="shared" si="2186"/>
        <v>41579</v>
      </c>
      <c r="F13529" s="2">
        <f t="shared" si="2187"/>
        <v>43159</v>
      </c>
    </row>
    <row r="13530" spans="1:6" x14ac:dyDescent="0.25">
      <c r="A13530" s="1" t="s">
        <v>954</v>
      </c>
      <c r="B13530" s="1" t="s">
        <v>2162</v>
      </c>
      <c r="C13530" s="1" t="s">
        <v>164</v>
      </c>
      <c r="D13530" s="3">
        <f t="shared" si="2185"/>
        <v>7563</v>
      </c>
      <c r="E13530" s="2">
        <f t="shared" si="2186"/>
        <v>41579</v>
      </c>
      <c r="F13530" s="2">
        <f t="shared" si="2187"/>
        <v>43159</v>
      </c>
    </row>
    <row r="13531" spans="1:6" x14ac:dyDescent="0.25">
      <c r="A13531" s="1" t="s">
        <v>954</v>
      </c>
      <c r="B13531" s="1" t="s">
        <v>2142</v>
      </c>
      <c r="C13531" s="1" t="s">
        <v>46</v>
      </c>
      <c r="D13531" s="3">
        <f t="shared" ref="D13531:D13543" si="2188">VALUE("7456")</f>
        <v>7456</v>
      </c>
      <c r="E13531" s="2">
        <f t="shared" ref="E13531:E13543" si="2189">DATEVALUE("1-6-2013")</f>
        <v>41426</v>
      </c>
      <c r="F13531" s="2">
        <f t="shared" ref="F13531:F13543" si="2190">DATEVALUE("30-6-2017")</f>
        <v>42916</v>
      </c>
    </row>
    <row r="13532" spans="1:6" x14ac:dyDescent="0.25">
      <c r="A13532" s="1" t="s">
        <v>954</v>
      </c>
      <c r="B13532" s="1" t="s">
        <v>2142</v>
      </c>
      <c r="C13532" s="1" t="s">
        <v>87</v>
      </c>
      <c r="D13532" s="3">
        <f t="shared" si="2188"/>
        <v>7456</v>
      </c>
      <c r="E13532" s="2">
        <f t="shared" si="2189"/>
        <v>41426</v>
      </c>
      <c r="F13532" s="2">
        <f t="shared" si="2190"/>
        <v>42916</v>
      </c>
    </row>
    <row r="13533" spans="1:6" x14ac:dyDescent="0.25">
      <c r="A13533" s="1" t="s">
        <v>954</v>
      </c>
      <c r="B13533" s="1" t="s">
        <v>2142</v>
      </c>
      <c r="C13533" s="1" t="s">
        <v>66</v>
      </c>
      <c r="D13533" s="3">
        <f t="shared" si="2188"/>
        <v>7456</v>
      </c>
      <c r="E13533" s="2">
        <f t="shared" si="2189"/>
        <v>41426</v>
      </c>
      <c r="F13533" s="2">
        <f t="shared" si="2190"/>
        <v>42916</v>
      </c>
    </row>
    <row r="13534" spans="1:6" x14ac:dyDescent="0.25">
      <c r="A13534" s="1" t="s">
        <v>954</v>
      </c>
      <c r="B13534" s="1" t="s">
        <v>2142</v>
      </c>
      <c r="C13534" s="1" t="s">
        <v>15</v>
      </c>
      <c r="D13534" s="3">
        <f t="shared" si="2188"/>
        <v>7456</v>
      </c>
      <c r="E13534" s="2">
        <f t="shared" si="2189"/>
        <v>41426</v>
      </c>
      <c r="F13534" s="2">
        <f t="shared" si="2190"/>
        <v>42916</v>
      </c>
    </row>
    <row r="13535" spans="1:6" x14ac:dyDescent="0.25">
      <c r="A13535" s="1" t="s">
        <v>954</v>
      </c>
      <c r="B13535" s="1" t="s">
        <v>2142</v>
      </c>
      <c r="C13535" s="1" t="s">
        <v>17</v>
      </c>
      <c r="D13535" s="3">
        <f t="shared" si="2188"/>
        <v>7456</v>
      </c>
      <c r="E13535" s="2">
        <f t="shared" si="2189"/>
        <v>41426</v>
      </c>
      <c r="F13535" s="2">
        <f t="shared" si="2190"/>
        <v>42916</v>
      </c>
    </row>
    <row r="13536" spans="1:6" x14ac:dyDescent="0.25">
      <c r="A13536" s="1" t="s">
        <v>954</v>
      </c>
      <c r="B13536" s="1" t="s">
        <v>2142</v>
      </c>
      <c r="C13536" s="1" t="s">
        <v>22</v>
      </c>
      <c r="D13536" s="3">
        <f t="shared" si="2188"/>
        <v>7456</v>
      </c>
      <c r="E13536" s="2">
        <f t="shared" si="2189"/>
        <v>41426</v>
      </c>
      <c r="F13536" s="2">
        <f t="shared" si="2190"/>
        <v>42916</v>
      </c>
    </row>
    <row r="13537" spans="1:6" x14ac:dyDescent="0.25">
      <c r="A13537" s="1" t="s">
        <v>954</v>
      </c>
      <c r="B13537" s="1" t="s">
        <v>2142</v>
      </c>
      <c r="C13537" s="1" t="s">
        <v>148</v>
      </c>
      <c r="D13537" s="3">
        <f t="shared" si="2188"/>
        <v>7456</v>
      </c>
      <c r="E13537" s="2">
        <f t="shared" si="2189"/>
        <v>41426</v>
      </c>
      <c r="F13537" s="2">
        <f t="shared" si="2190"/>
        <v>42916</v>
      </c>
    </row>
    <row r="13538" spans="1:6" x14ac:dyDescent="0.25">
      <c r="A13538" s="1" t="s">
        <v>954</v>
      </c>
      <c r="B13538" s="1" t="s">
        <v>2142</v>
      </c>
      <c r="C13538" s="1" t="s">
        <v>149</v>
      </c>
      <c r="D13538" s="3">
        <f t="shared" si="2188"/>
        <v>7456</v>
      </c>
      <c r="E13538" s="2">
        <f t="shared" si="2189"/>
        <v>41426</v>
      </c>
      <c r="F13538" s="2">
        <f t="shared" si="2190"/>
        <v>42916</v>
      </c>
    </row>
    <row r="13539" spans="1:6" x14ac:dyDescent="0.25">
      <c r="A13539" s="1" t="s">
        <v>954</v>
      </c>
      <c r="B13539" s="1" t="s">
        <v>2142</v>
      </c>
      <c r="C13539" s="1" t="s">
        <v>92</v>
      </c>
      <c r="D13539" s="3">
        <f t="shared" si="2188"/>
        <v>7456</v>
      </c>
      <c r="E13539" s="2">
        <f t="shared" si="2189"/>
        <v>41426</v>
      </c>
      <c r="F13539" s="2">
        <f t="shared" si="2190"/>
        <v>42916</v>
      </c>
    </row>
    <row r="13540" spans="1:6" x14ac:dyDescent="0.25">
      <c r="A13540" s="1" t="s">
        <v>954</v>
      </c>
      <c r="B13540" s="1" t="s">
        <v>2142</v>
      </c>
      <c r="C13540" s="1" t="s">
        <v>26</v>
      </c>
      <c r="D13540" s="3">
        <f t="shared" si="2188"/>
        <v>7456</v>
      </c>
      <c r="E13540" s="2">
        <f t="shared" si="2189"/>
        <v>41426</v>
      </c>
      <c r="F13540" s="2">
        <f t="shared" si="2190"/>
        <v>42916</v>
      </c>
    </row>
    <row r="13541" spans="1:6" x14ac:dyDescent="0.25">
      <c r="A13541" s="1" t="s">
        <v>954</v>
      </c>
      <c r="B13541" s="1" t="s">
        <v>2142</v>
      </c>
      <c r="C13541" s="1" t="s">
        <v>216</v>
      </c>
      <c r="D13541" s="3">
        <f t="shared" si="2188"/>
        <v>7456</v>
      </c>
      <c r="E13541" s="2">
        <f t="shared" si="2189"/>
        <v>41426</v>
      </c>
      <c r="F13541" s="2">
        <f t="shared" si="2190"/>
        <v>42916</v>
      </c>
    </row>
    <row r="13542" spans="1:6" x14ac:dyDescent="0.25">
      <c r="A13542" s="1" t="s">
        <v>954</v>
      </c>
      <c r="B13542" s="1" t="s">
        <v>2142</v>
      </c>
      <c r="C13542" s="1" t="s">
        <v>73</v>
      </c>
      <c r="D13542" s="3">
        <f t="shared" si="2188"/>
        <v>7456</v>
      </c>
      <c r="E13542" s="2">
        <f t="shared" si="2189"/>
        <v>41426</v>
      </c>
      <c r="F13542" s="2">
        <f t="shared" si="2190"/>
        <v>42916</v>
      </c>
    </row>
    <row r="13543" spans="1:6" x14ac:dyDescent="0.25">
      <c r="A13543" s="1" t="s">
        <v>954</v>
      </c>
      <c r="B13543" s="1" t="s">
        <v>2142</v>
      </c>
      <c r="C13543" s="1" t="s">
        <v>164</v>
      </c>
      <c r="D13543" s="3">
        <f t="shared" si="2188"/>
        <v>7456</v>
      </c>
      <c r="E13543" s="2">
        <f t="shared" si="2189"/>
        <v>41426</v>
      </c>
      <c r="F13543" s="2">
        <f t="shared" si="2190"/>
        <v>42916</v>
      </c>
    </row>
    <row r="13544" spans="1:6" x14ac:dyDescent="0.25">
      <c r="A13544" s="1" t="s">
        <v>1149</v>
      </c>
      <c r="B13544" s="1" t="s">
        <v>1662</v>
      </c>
      <c r="C13544" s="1" t="s">
        <v>45</v>
      </c>
      <c r="D13544" s="3">
        <f t="shared" ref="D13544:D13552" si="2191">VALUE("8833")</f>
        <v>8833</v>
      </c>
      <c r="E13544" s="2">
        <f t="shared" ref="E13544:E13552" si="2192">DATEVALUE("1-9-2020")</f>
        <v>44075</v>
      </c>
      <c r="F13544" s="2">
        <f t="shared" ref="F13544:F13552" si="2193">DATEVALUE("31-10-2021")</f>
        <v>44500</v>
      </c>
    </row>
    <row r="13545" spans="1:6" x14ac:dyDescent="0.25">
      <c r="A13545" s="1" t="s">
        <v>1149</v>
      </c>
      <c r="B13545" s="1" t="s">
        <v>1662</v>
      </c>
      <c r="C13545" s="1" t="s">
        <v>14</v>
      </c>
      <c r="D13545" s="3">
        <f t="shared" si="2191"/>
        <v>8833</v>
      </c>
      <c r="E13545" s="2">
        <f t="shared" si="2192"/>
        <v>44075</v>
      </c>
      <c r="F13545" s="2">
        <f t="shared" si="2193"/>
        <v>44500</v>
      </c>
    </row>
    <row r="13546" spans="1:6" x14ac:dyDescent="0.25">
      <c r="A13546" s="1" t="s">
        <v>1149</v>
      </c>
      <c r="B13546" s="1" t="s">
        <v>1662</v>
      </c>
      <c r="C13546" s="1" t="s">
        <v>17</v>
      </c>
      <c r="D13546" s="3">
        <f t="shared" si="2191"/>
        <v>8833</v>
      </c>
      <c r="E13546" s="2">
        <f t="shared" si="2192"/>
        <v>44075</v>
      </c>
      <c r="F13546" s="2">
        <f t="shared" si="2193"/>
        <v>44500</v>
      </c>
    </row>
    <row r="13547" spans="1:6" x14ac:dyDescent="0.25">
      <c r="A13547" s="1" t="s">
        <v>1149</v>
      </c>
      <c r="B13547" s="1" t="s">
        <v>1662</v>
      </c>
      <c r="C13547" s="1" t="s">
        <v>22</v>
      </c>
      <c r="D13547" s="3">
        <f t="shared" si="2191"/>
        <v>8833</v>
      </c>
      <c r="E13547" s="2">
        <f t="shared" si="2192"/>
        <v>44075</v>
      </c>
      <c r="F13547" s="2">
        <f t="shared" si="2193"/>
        <v>44500</v>
      </c>
    </row>
    <row r="13548" spans="1:6" x14ac:dyDescent="0.25">
      <c r="A13548" s="1" t="s">
        <v>1149</v>
      </c>
      <c r="B13548" s="1" t="s">
        <v>1662</v>
      </c>
      <c r="C13548" s="1" t="s">
        <v>146</v>
      </c>
      <c r="D13548" s="3">
        <f t="shared" si="2191"/>
        <v>8833</v>
      </c>
      <c r="E13548" s="2">
        <f t="shared" si="2192"/>
        <v>44075</v>
      </c>
      <c r="F13548" s="2">
        <f t="shared" si="2193"/>
        <v>44500</v>
      </c>
    </row>
    <row r="13549" spans="1:6" x14ac:dyDescent="0.25">
      <c r="A13549" s="1" t="s">
        <v>1149</v>
      </c>
      <c r="B13549" s="1" t="s">
        <v>1662</v>
      </c>
      <c r="C13549" s="1" t="s">
        <v>67</v>
      </c>
      <c r="D13549" s="3">
        <f t="shared" si="2191"/>
        <v>8833</v>
      </c>
      <c r="E13549" s="2">
        <f t="shared" si="2192"/>
        <v>44075</v>
      </c>
      <c r="F13549" s="2">
        <f t="shared" si="2193"/>
        <v>44500</v>
      </c>
    </row>
    <row r="13550" spans="1:6" x14ac:dyDescent="0.25">
      <c r="A13550" s="1" t="s">
        <v>1149</v>
      </c>
      <c r="B13550" s="1" t="s">
        <v>1662</v>
      </c>
      <c r="C13550" s="1" t="s">
        <v>24</v>
      </c>
      <c r="D13550" s="3">
        <f t="shared" si="2191"/>
        <v>8833</v>
      </c>
      <c r="E13550" s="2">
        <f t="shared" si="2192"/>
        <v>44075</v>
      </c>
      <c r="F13550" s="2">
        <f t="shared" si="2193"/>
        <v>44500</v>
      </c>
    </row>
    <row r="13551" spans="1:6" x14ac:dyDescent="0.25">
      <c r="A13551" s="1" t="s">
        <v>1149</v>
      </c>
      <c r="B13551" s="1" t="s">
        <v>1662</v>
      </c>
      <c r="C13551" s="1" t="s">
        <v>73</v>
      </c>
      <c r="D13551" s="3">
        <f t="shared" si="2191"/>
        <v>8833</v>
      </c>
      <c r="E13551" s="2">
        <f t="shared" si="2192"/>
        <v>44075</v>
      </c>
      <c r="F13551" s="2">
        <f t="shared" si="2193"/>
        <v>44500</v>
      </c>
    </row>
    <row r="13552" spans="1:6" x14ac:dyDescent="0.25">
      <c r="A13552" s="1" t="s">
        <v>1149</v>
      </c>
      <c r="B13552" s="1" t="s">
        <v>1662</v>
      </c>
      <c r="C13552" s="1" t="s">
        <v>34</v>
      </c>
      <c r="D13552" s="3">
        <f t="shared" si="2191"/>
        <v>8833</v>
      </c>
      <c r="E13552" s="2">
        <f t="shared" si="2192"/>
        <v>44075</v>
      </c>
      <c r="F13552" s="2">
        <f t="shared" si="2193"/>
        <v>44500</v>
      </c>
    </row>
    <row r="13553" spans="1:6" x14ac:dyDescent="0.25">
      <c r="A13553" s="1" t="s">
        <v>1149</v>
      </c>
      <c r="B13553" s="1" t="s">
        <v>1148</v>
      </c>
      <c r="C13553" s="1" t="s">
        <v>7</v>
      </c>
      <c r="D13553" s="3">
        <f t="shared" ref="D13553:D13564" si="2194">VALUE("8428")</f>
        <v>8428</v>
      </c>
      <c r="E13553" s="2">
        <f t="shared" ref="E13553:E13564" si="2195">DATEVALUE("1-1-2019")</f>
        <v>43466</v>
      </c>
      <c r="F13553" s="2">
        <f t="shared" ref="F13553:F13564" si="2196">DATEVALUE("31-12-2020")</f>
        <v>44196</v>
      </c>
    </row>
    <row r="13554" spans="1:6" x14ac:dyDescent="0.25">
      <c r="A13554" s="1" t="s">
        <v>1149</v>
      </c>
      <c r="B13554" s="1" t="s">
        <v>1148</v>
      </c>
      <c r="C13554" s="1" t="s">
        <v>61</v>
      </c>
      <c r="D13554" s="3">
        <f t="shared" si="2194"/>
        <v>8428</v>
      </c>
      <c r="E13554" s="2">
        <f t="shared" si="2195"/>
        <v>43466</v>
      </c>
      <c r="F13554" s="2">
        <f t="shared" si="2196"/>
        <v>44196</v>
      </c>
    </row>
    <row r="13555" spans="1:6" x14ac:dyDescent="0.25">
      <c r="A13555" s="1" t="s">
        <v>1149</v>
      </c>
      <c r="B13555" s="1" t="s">
        <v>1148</v>
      </c>
      <c r="C13555" s="1" t="s">
        <v>17</v>
      </c>
      <c r="D13555" s="3">
        <f t="shared" si="2194"/>
        <v>8428</v>
      </c>
      <c r="E13555" s="2">
        <f t="shared" si="2195"/>
        <v>43466</v>
      </c>
      <c r="F13555" s="2">
        <f t="shared" si="2196"/>
        <v>44196</v>
      </c>
    </row>
    <row r="13556" spans="1:6" x14ac:dyDescent="0.25">
      <c r="A13556" s="1" t="s">
        <v>1149</v>
      </c>
      <c r="B13556" s="1" t="s">
        <v>1148</v>
      </c>
      <c r="C13556" s="1" t="s">
        <v>22</v>
      </c>
      <c r="D13556" s="3">
        <f t="shared" si="2194"/>
        <v>8428</v>
      </c>
      <c r="E13556" s="2">
        <f t="shared" si="2195"/>
        <v>43466</v>
      </c>
      <c r="F13556" s="2">
        <f t="shared" si="2196"/>
        <v>44196</v>
      </c>
    </row>
    <row r="13557" spans="1:6" x14ac:dyDescent="0.25">
      <c r="A13557" s="1" t="s">
        <v>1149</v>
      </c>
      <c r="B13557" s="1" t="s">
        <v>1148</v>
      </c>
      <c r="C13557" s="1" t="s">
        <v>146</v>
      </c>
      <c r="D13557" s="3">
        <f t="shared" si="2194"/>
        <v>8428</v>
      </c>
      <c r="E13557" s="2">
        <f t="shared" si="2195"/>
        <v>43466</v>
      </c>
      <c r="F13557" s="2">
        <f t="shared" si="2196"/>
        <v>44196</v>
      </c>
    </row>
    <row r="13558" spans="1:6" x14ac:dyDescent="0.25">
      <c r="A13558" s="1" t="s">
        <v>1149</v>
      </c>
      <c r="B13558" s="1" t="s">
        <v>1148</v>
      </c>
      <c r="C13558" s="1" t="s">
        <v>67</v>
      </c>
      <c r="D13558" s="3">
        <f t="shared" si="2194"/>
        <v>8428</v>
      </c>
      <c r="E13558" s="2">
        <f t="shared" si="2195"/>
        <v>43466</v>
      </c>
      <c r="F13558" s="2">
        <f t="shared" si="2196"/>
        <v>44196</v>
      </c>
    </row>
    <row r="13559" spans="1:6" x14ac:dyDescent="0.25">
      <c r="A13559" s="1" t="s">
        <v>1149</v>
      </c>
      <c r="B13559" s="1" t="s">
        <v>1148</v>
      </c>
      <c r="C13559" s="1" t="s">
        <v>148</v>
      </c>
      <c r="D13559" s="3">
        <f t="shared" si="2194"/>
        <v>8428</v>
      </c>
      <c r="E13559" s="2">
        <f t="shared" si="2195"/>
        <v>43466</v>
      </c>
      <c r="F13559" s="2">
        <f t="shared" si="2196"/>
        <v>44196</v>
      </c>
    </row>
    <row r="13560" spans="1:6" x14ac:dyDescent="0.25">
      <c r="A13560" s="1" t="s">
        <v>1149</v>
      </c>
      <c r="B13560" s="1" t="s">
        <v>1148</v>
      </c>
      <c r="C13560" s="1" t="s">
        <v>92</v>
      </c>
      <c r="D13560" s="3">
        <f t="shared" si="2194"/>
        <v>8428</v>
      </c>
      <c r="E13560" s="2">
        <f t="shared" si="2195"/>
        <v>43466</v>
      </c>
      <c r="F13560" s="2">
        <f t="shared" si="2196"/>
        <v>44196</v>
      </c>
    </row>
    <row r="13561" spans="1:6" x14ac:dyDescent="0.25">
      <c r="A13561" s="1" t="s">
        <v>1149</v>
      </c>
      <c r="B13561" s="1" t="s">
        <v>1148</v>
      </c>
      <c r="C13561" s="1" t="s">
        <v>72</v>
      </c>
      <c r="D13561" s="3">
        <f t="shared" si="2194"/>
        <v>8428</v>
      </c>
      <c r="E13561" s="2">
        <f t="shared" si="2195"/>
        <v>43466</v>
      </c>
      <c r="F13561" s="2">
        <f t="shared" si="2196"/>
        <v>44196</v>
      </c>
    </row>
    <row r="13562" spans="1:6" x14ac:dyDescent="0.25">
      <c r="A13562" s="1" t="s">
        <v>1149</v>
      </c>
      <c r="B13562" s="1" t="s">
        <v>1148</v>
      </c>
      <c r="C13562" s="1" t="s">
        <v>73</v>
      </c>
      <c r="D13562" s="3">
        <f t="shared" si="2194"/>
        <v>8428</v>
      </c>
      <c r="E13562" s="2">
        <f t="shared" si="2195"/>
        <v>43466</v>
      </c>
      <c r="F13562" s="2">
        <f t="shared" si="2196"/>
        <v>44196</v>
      </c>
    </row>
    <row r="13563" spans="1:6" x14ac:dyDescent="0.25">
      <c r="A13563" s="1" t="s">
        <v>1149</v>
      </c>
      <c r="B13563" s="1" t="s">
        <v>1148</v>
      </c>
      <c r="C13563" s="1" t="s">
        <v>52</v>
      </c>
      <c r="D13563" s="3">
        <f t="shared" si="2194"/>
        <v>8428</v>
      </c>
      <c r="E13563" s="2">
        <f t="shared" si="2195"/>
        <v>43466</v>
      </c>
      <c r="F13563" s="2">
        <f t="shared" si="2196"/>
        <v>44196</v>
      </c>
    </row>
    <row r="13564" spans="1:6" x14ac:dyDescent="0.25">
      <c r="A13564" s="1" t="s">
        <v>1149</v>
      </c>
      <c r="B13564" s="1" t="s">
        <v>1148</v>
      </c>
      <c r="C13564" s="1" t="s">
        <v>36</v>
      </c>
      <c r="D13564" s="3">
        <f t="shared" si="2194"/>
        <v>8428</v>
      </c>
      <c r="E13564" s="2">
        <f t="shared" si="2195"/>
        <v>43466</v>
      </c>
      <c r="F13564" s="2">
        <f t="shared" si="2196"/>
        <v>44196</v>
      </c>
    </row>
    <row r="13565" spans="1:6" x14ac:dyDescent="0.25">
      <c r="A13565" s="1" t="s">
        <v>1149</v>
      </c>
      <c r="B13565" s="1" t="s">
        <v>2196</v>
      </c>
      <c r="C13565" s="1" t="s">
        <v>61</v>
      </c>
      <c r="D13565" s="3">
        <f t="shared" ref="D13565:D13578" si="2197">VALUE("7769")</f>
        <v>7769</v>
      </c>
      <c r="E13565" s="2">
        <f t="shared" ref="E13565:E13578" si="2198">DATEVALUE("1-7-2015")</f>
        <v>42186</v>
      </c>
      <c r="F13565" s="2">
        <f t="shared" ref="F13565:F13578" si="2199">DATEVALUE("30-9-2018")</f>
        <v>43373</v>
      </c>
    </row>
    <row r="13566" spans="1:6" x14ac:dyDescent="0.25">
      <c r="A13566" s="1" t="s">
        <v>1149</v>
      </c>
      <c r="B13566" s="1" t="s">
        <v>2196</v>
      </c>
      <c r="C13566" s="1" t="s">
        <v>45</v>
      </c>
      <c r="D13566" s="3">
        <f t="shared" si="2197"/>
        <v>7769</v>
      </c>
      <c r="E13566" s="2">
        <f t="shared" si="2198"/>
        <v>42186</v>
      </c>
      <c r="F13566" s="2">
        <f t="shared" si="2199"/>
        <v>43373</v>
      </c>
    </row>
    <row r="13567" spans="1:6" x14ac:dyDescent="0.25">
      <c r="A13567" s="1" t="s">
        <v>1149</v>
      </c>
      <c r="B13567" s="1" t="s">
        <v>2196</v>
      </c>
      <c r="C13567" s="1" t="s">
        <v>22</v>
      </c>
      <c r="D13567" s="3">
        <f t="shared" si="2197"/>
        <v>7769</v>
      </c>
      <c r="E13567" s="2">
        <f t="shared" si="2198"/>
        <v>42186</v>
      </c>
      <c r="F13567" s="2">
        <f t="shared" si="2199"/>
        <v>43373</v>
      </c>
    </row>
    <row r="13568" spans="1:6" x14ac:dyDescent="0.25">
      <c r="A13568" s="1" t="s">
        <v>1149</v>
      </c>
      <c r="B13568" s="1" t="s">
        <v>2196</v>
      </c>
      <c r="C13568" s="1" t="s">
        <v>146</v>
      </c>
      <c r="D13568" s="3">
        <f t="shared" si="2197"/>
        <v>7769</v>
      </c>
      <c r="E13568" s="2">
        <f t="shared" si="2198"/>
        <v>42186</v>
      </c>
      <c r="F13568" s="2">
        <f t="shared" si="2199"/>
        <v>43373</v>
      </c>
    </row>
    <row r="13569" spans="1:6" x14ac:dyDescent="0.25">
      <c r="A13569" s="1" t="s">
        <v>1149</v>
      </c>
      <c r="B13569" s="1" t="s">
        <v>2196</v>
      </c>
      <c r="C13569" s="1" t="s">
        <v>67</v>
      </c>
      <c r="D13569" s="3">
        <f t="shared" si="2197"/>
        <v>7769</v>
      </c>
      <c r="E13569" s="2">
        <f t="shared" si="2198"/>
        <v>42186</v>
      </c>
      <c r="F13569" s="2">
        <f t="shared" si="2199"/>
        <v>43373</v>
      </c>
    </row>
    <row r="13570" spans="1:6" x14ac:dyDescent="0.25">
      <c r="A13570" s="1" t="s">
        <v>1149</v>
      </c>
      <c r="B13570" s="1" t="s">
        <v>2196</v>
      </c>
      <c r="C13570" s="1" t="s">
        <v>148</v>
      </c>
      <c r="D13570" s="3">
        <f t="shared" si="2197"/>
        <v>7769</v>
      </c>
      <c r="E13570" s="2">
        <f t="shared" si="2198"/>
        <v>42186</v>
      </c>
      <c r="F13570" s="2">
        <f t="shared" si="2199"/>
        <v>43373</v>
      </c>
    </row>
    <row r="13571" spans="1:6" x14ac:dyDescent="0.25">
      <c r="A13571" s="1" t="s">
        <v>1149</v>
      </c>
      <c r="B13571" s="1" t="s">
        <v>2196</v>
      </c>
      <c r="C13571" s="1" t="s">
        <v>149</v>
      </c>
      <c r="D13571" s="3">
        <f t="shared" si="2197"/>
        <v>7769</v>
      </c>
      <c r="E13571" s="2">
        <f t="shared" si="2198"/>
        <v>42186</v>
      </c>
      <c r="F13571" s="2">
        <f t="shared" si="2199"/>
        <v>43373</v>
      </c>
    </row>
    <row r="13572" spans="1:6" x14ac:dyDescent="0.25">
      <c r="A13572" s="1" t="s">
        <v>1149</v>
      </c>
      <c r="B13572" s="1" t="s">
        <v>2196</v>
      </c>
      <c r="C13572" s="1" t="s">
        <v>150</v>
      </c>
      <c r="D13572" s="3">
        <f t="shared" si="2197"/>
        <v>7769</v>
      </c>
      <c r="E13572" s="2">
        <f t="shared" si="2198"/>
        <v>42186</v>
      </c>
      <c r="F13572" s="2">
        <f t="shared" si="2199"/>
        <v>43373</v>
      </c>
    </row>
    <row r="13573" spans="1:6" x14ac:dyDescent="0.25">
      <c r="A13573" s="1" t="s">
        <v>1149</v>
      </c>
      <c r="B13573" s="1" t="s">
        <v>2196</v>
      </c>
      <c r="C13573" s="1" t="s">
        <v>172</v>
      </c>
      <c r="D13573" s="3">
        <f t="shared" si="2197"/>
        <v>7769</v>
      </c>
      <c r="E13573" s="2">
        <f t="shared" si="2198"/>
        <v>42186</v>
      </c>
      <c r="F13573" s="2">
        <f t="shared" si="2199"/>
        <v>43373</v>
      </c>
    </row>
    <row r="13574" spans="1:6" x14ac:dyDescent="0.25">
      <c r="A13574" s="1" t="s">
        <v>1149</v>
      </c>
      <c r="B13574" s="1" t="s">
        <v>2196</v>
      </c>
      <c r="C13574" s="1" t="s">
        <v>211</v>
      </c>
      <c r="D13574" s="3">
        <f t="shared" si="2197"/>
        <v>7769</v>
      </c>
      <c r="E13574" s="2">
        <f t="shared" si="2198"/>
        <v>42186</v>
      </c>
      <c r="F13574" s="2">
        <f t="shared" si="2199"/>
        <v>43373</v>
      </c>
    </row>
    <row r="13575" spans="1:6" x14ac:dyDescent="0.25">
      <c r="A13575" s="1" t="s">
        <v>1149</v>
      </c>
      <c r="B13575" s="1" t="s">
        <v>2196</v>
      </c>
      <c r="C13575" s="1" t="s">
        <v>329</v>
      </c>
      <c r="D13575" s="3">
        <f t="shared" si="2197"/>
        <v>7769</v>
      </c>
      <c r="E13575" s="2">
        <f t="shared" si="2198"/>
        <v>42186</v>
      </c>
      <c r="F13575" s="2">
        <f t="shared" si="2199"/>
        <v>43373</v>
      </c>
    </row>
    <row r="13576" spans="1:6" x14ac:dyDescent="0.25">
      <c r="A13576" s="1" t="s">
        <v>1149</v>
      </c>
      <c r="B13576" s="1" t="s">
        <v>2196</v>
      </c>
      <c r="C13576" s="1" t="s">
        <v>72</v>
      </c>
      <c r="D13576" s="3">
        <f t="shared" si="2197"/>
        <v>7769</v>
      </c>
      <c r="E13576" s="2">
        <f t="shared" si="2198"/>
        <v>42186</v>
      </c>
      <c r="F13576" s="2">
        <f t="shared" si="2199"/>
        <v>43373</v>
      </c>
    </row>
    <row r="13577" spans="1:6" x14ac:dyDescent="0.25">
      <c r="A13577" s="1" t="s">
        <v>1149</v>
      </c>
      <c r="B13577" s="1" t="s">
        <v>2196</v>
      </c>
      <c r="C13577" s="1" t="s">
        <v>52</v>
      </c>
      <c r="D13577" s="3">
        <f t="shared" si="2197"/>
        <v>7769</v>
      </c>
      <c r="E13577" s="2">
        <f t="shared" si="2198"/>
        <v>42186</v>
      </c>
      <c r="F13577" s="2">
        <f t="shared" si="2199"/>
        <v>43373</v>
      </c>
    </row>
    <row r="13578" spans="1:6" x14ac:dyDescent="0.25">
      <c r="A13578" s="1" t="s">
        <v>1149</v>
      </c>
      <c r="B13578" s="1" t="s">
        <v>2196</v>
      </c>
      <c r="C13578" s="1" t="s">
        <v>160</v>
      </c>
      <c r="D13578" s="3">
        <f t="shared" si="2197"/>
        <v>7769</v>
      </c>
      <c r="E13578" s="2">
        <f t="shared" si="2198"/>
        <v>42186</v>
      </c>
      <c r="F13578" s="2">
        <f t="shared" si="2199"/>
        <v>43373</v>
      </c>
    </row>
    <row r="13579" spans="1:6" x14ac:dyDescent="0.25">
      <c r="A13579" s="1" t="s">
        <v>1149</v>
      </c>
      <c r="B13579" s="1" t="s">
        <v>2566</v>
      </c>
      <c r="C13579" s="1" t="s">
        <v>8</v>
      </c>
      <c r="D13579" s="3">
        <f t="shared" ref="D13579:D13588" si="2200">VALUE("7095")</f>
        <v>7095</v>
      </c>
      <c r="E13579" s="2">
        <f t="shared" ref="E13579:E13588" si="2201">DATEVALUE("1-2-2012")</f>
        <v>40940</v>
      </c>
      <c r="F13579" s="2">
        <f t="shared" ref="F13579:F13588" si="2202">DATEVALUE("30-4-2013")</f>
        <v>41394</v>
      </c>
    </row>
    <row r="13580" spans="1:6" x14ac:dyDescent="0.25">
      <c r="A13580" s="1" t="s">
        <v>1149</v>
      </c>
      <c r="B13580" s="1" t="s">
        <v>2566</v>
      </c>
      <c r="C13580" s="1" t="s">
        <v>10</v>
      </c>
      <c r="D13580" s="3">
        <f t="shared" si="2200"/>
        <v>7095</v>
      </c>
      <c r="E13580" s="2">
        <f t="shared" si="2201"/>
        <v>40940</v>
      </c>
      <c r="F13580" s="2">
        <f t="shared" si="2202"/>
        <v>41394</v>
      </c>
    </row>
    <row r="13581" spans="1:6" x14ac:dyDescent="0.25">
      <c r="A13581" s="1" t="s">
        <v>1149</v>
      </c>
      <c r="B13581" s="1" t="s">
        <v>2566</v>
      </c>
      <c r="C13581" s="1" t="s">
        <v>11</v>
      </c>
      <c r="D13581" s="3">
        <f t="shared" si="2200"/>
        <v>7095</v>
      </c>
      <c r="E13581" s="2">
        <f t="shared" si="2201"/>
        <v>40940</v>
      </c>
      <c r="F13581" s="2">
        <f t="shared" si="2202"/>
        <v>41394</v>
      </c>
    </row>
    <row r="13582" spans="1:6" x14ac:dyDescent="0.25">
      <c r="A13582" s="1" t="s">
        <v>1149</v>
      </c>
      <c r="B13582" s="1" t="s">
        <v>2566</v>
      </c>
      <c r="C13582" s="1" t="s">
        <v>12</v>
      </c>
      <c r="D13582" s="3">
        <f t="shared" si="2200"/>
        <v>7095</v>
      </c>
      <c r="E13582" s="2">
        <f t="shared" si="2201"/>
        <v>40940</v>
      </c>
      <c r="F13582" s="2">
        <f t="shared" si="2202"/>
        <v>41394</v>
      </c>
    </row>
    <row r="13583" spans="1:6" x14ac:dyDescent="0.25">
      <c r="A13583" s="1" t="s">
        <v>1149</v>
      </c>
      <c r="B13583" s="1" t="s">
        <v>2566</v>
      </c>
      <c r="C13583" s="1" t="s">
        <v>45</v>
      </c>
      <c r="D13583" s="3">
        <f t="shared" si="2200"/>
        <v>7095</v>
      </c>
      <c r="E13583" s="2">
        <f t="shared" si="2201"/>
        <v>40940</v>
      </c>
      <c r="F13583" s="2">
        <f t="shared" si="2202"/>
        <v>41394</v>
      </c>
    </row>
    <row r="13584" spans="1:6" x14ac:dyDescent="0.25">
      <c r="A13584" s="1" t="s">
        <v>1149</v>
      </c>
      <c r="B13584" s="1" t="s">
        <v>2566</v>
      </c>
      <c r="C13584" s="1" t="s">
        <v>17</v>
      </c>
      <c r="D13584" s="3">
        <f t="shared" si="2200"/>
        <v>7095</v>
      </c>
      <c r="E13584" s="2">
        <f t="shared" si="2201"/>
        <v>40940</v>
      </c>
      <c r="F13584" s="2">
        <f t="shared" si="2202"/>
        <v>41394</v>
      </c>
    </row>
    <row r="13585" spans="1:6" x14ac:dyDescent="0.25">
      <c r="A13585" s="1" t="s">
        <v>1149</v>
      </c>
      <c r="B13585" s="1" t="s">
        <v>2566</v>
      </c>
      <c r="C13585" s="1" t="s">
        <v>2524</v>
      </c>
      <c r="D13585" s="3">
        <f t="shared" si="2200"/>
        <v>7095</v>
      </c>
      <c r="E13585" s="2">
        <f t="shared" si="2201"/>
        <v>40940</v>
      </c>
      <c r="F13585" s="2">
        <f t="shared" si="2202"/>
        <v>41394</v>
      </c>
    </row>
    <row r="13586" spans="1:6" x14ac:dyDescent="0.25">
      <c r="A13586" s="1" t="s">
        <v>1149</v>
      </c>
      <c r="B13586" s="1" t="s">
        <v>2566</v>
      </c>
      <c r="C13586" s="1" t="s">
        <v>27</v>
      </c>
      <c r="D13586" s="3">
        <f t="shared" si="2200"/>
        <v>7095</v>
      </c>
      <c r="E13586" s="2">
        <f t="shared" si="2201"/>
        <v>40940</v>
      </c>
      <c r="F13586" s="2">
        <f t="shared" si="2202"/>
        <v>41394</v>
      </c>
    </row>
    <row r="13587" spans="1:6" x14ac:dyDescent="0.25">
      <c r="A13587" s="1" t="s">
        <v>1149</v>
      </c>
      <c r="B13587" s="1" t="s">
        <v>2566</v>
      </c>
      <c r="C13587" s="1" t="s">
        <v>262</v>
      </c>
      <c r="D13587" s="3">
        <f t="shared" si="2200"/>
        <v>7095</v>
      </c>
      <c r="E13587" s="2">
        <f t="shared" si="2201"/>
        <v>40940</v>
      </c>
      <c r="F13587" s="2">
        <f t="shared" si="2202"/>
        <v>41394</v>
      </c>
    </row>
    <row r="13588" spans="1:6" x14ac:dyDescent="0.25">
      <c r="A13588" s="1" t="s">
        <v>1149</v>
      </c>
      <c r="B13588" s="1" t="s">
        <v>2566</v>
      </c>
      <c r="C13588" s="1" t="s">
        <v>32</v>
      </c>
      <c r="D13588" s="3">
        <f t="shared" si="2200"/>
        <v>7095</v>
      </c>
      <c r="E13588" s="2">
        <f t="shared" si="2201"/>
        <v>40940</v>
      </c>
      <c r="F13588" s="2">
        <f t="shared" si="2202"/>
        <v>41394</v>
      </c>
    </row>
    <row r="13589" spans="1:6" x14ac:dyDescent="0.25">
      <c r="A13589" s="1" t="s">
        <v>1120</v>
      </c>
      <c r="B13589" s="1" t="s">
        <v>1119</v>
      </c>
      <c r="C13589" s="1" t="s">
        <v>14</v>
      </c>
      <c r="D13589" s="3">
        <f t="shared" ref="D13589:D13597" si="2203">VALUE("8385")</f>
        <v>8385</v>
      </c>
      <c r="E13589" s="2">
        <f t="shared" ref="E13589:E13597" si="2204">DATEVALUE("1-4-2019")</f>
        <v>43556</v>
      </c>
      <c r="F13589" s="2">
        <f t="shared" ref="F13589:F13597" si="2205">DATEVALUE("31-12-2020")</f>
        <v>44196</v>
      </c>
    </row>
    <row r="13590" spans="1:6" x14ac:dyDescent="0.25">
      <c r="A13590" s="1" t="s">
        <v>1120</v>
      </c>
      <c r="B13590" s="1" t="s">
        <v>1119</v>
      </c>
      <c r="C13590" s="1" t="s">
        <v>17</v>
      </c>
      <c r="D13590" s="3">
        <f t="shared" si="2203"/>
        <v>8385</v>
      </c>
      <c r="E13590" s="2">
        <f t="shared" si="2204"/>
        <v>43556</v>
      </c>
      <c r="F13590" s="2">
        <f t="shared" si="2205"/>
        <v>44196</v>
      </c>
    </row>
    <row r="13591" spans="1:6" x14ac:dyDescent="0.25">
      <c r="A13591" s="1" t="s">
        <v>1120</v>
      </c>
      <c r="B13591" s="1" t="s">
        <v>1119</v>
      </c>
      <c r="C13591" s="1" t="s">
        <v>1121</v>
      </c>
      <c r="D13591" s="3">
        <f t="shared" si="2203"/>
        <v>8385</v>
      </c>
      <c r="E13591" s="2">
        <f t="shared" si="2204"/>
        <v>43556</v>
      </c>
      <c r="F13591" s="2">
        <f t="shared" si="2205"/>
        <v>44196</v>
      </c>
    </row>
    <row r="13592" spans="1:6" x14ac:dyDescent="0.25">
      <c r="A13592" s="1" t="s">
        <v>1120</v>
      </c>
      <c r="B13592" s="1" t="s">
        <v>1119</v>
      </c>
      <c r="C13592" s="1" t="s">
        <v>1122</v>
      </c>
      <c r="D13592" s="3">
        <f t="shared" si="2203"/>
        <v>8385</v>
      </c>
      <c r="E13592" s="2">
        <f t="shared" si="2204"/>
        <v>43556</v>
      </c>
      <c r="F13592" s="2">
        <f t="shared" si="2205"/>
        <v>44196</v>
      </c>
    </row>
    <row r="13593" spans="1:6" x14ac:dyDescent="0.25">
      <c r="A13593" s="1" t="s">
        <v>1120</v>
      </c>
      <c r="B13593" s="1" t="s">
        <v>1119</v>
      </c>
      <c r="C13593" s="1" t="s">
        <v>24</v>
      </c>
      <c r="D13593" s="3">
        <f t="shared" si="2203"/>
        <v>8385</v>
      </c>
      <c r="E13593" s="2">
        <f t="shared" si="2204"/>
        <v>43556</v>
      </c>
      <c r="F13593" s="2">
        <f t="shared" si="2205"/>
        <v>44196</v>
      </c>
    </row>
    <row r="13594" spans="1:6" x14ac:dyDescent="0.25">
      <c r="A13594" s="1" t="s">
        <v>1120</v>
      </c>
      <c r="B13594" s="1" t="s">
        <v>1119</v>
      </c>
      <c r="C13594" s="1" t="s">
        <v>73</v>
      </c>
      <c r="D13594" s="3">
        <f t="shared" si="2203"/>
        <v>8385</v>
      </c>
      <c r="E13594" s="2">
        <f t="shared" si="2204"/>
        <v>43556</v>
      </c>
      <c r="F13594" s="2">
        <f t="shared" si="2205"/>
        <v>44196</v>
      </c>
    </row>
    <row r="13595" spans="1:6" x14ac:dyDescent="0.25">
      <c r="A13595" s="1" t="s">
        <v>1120</v>
      </c>
      <c r="B13595" s="1" t="s">
        <v>1119</v>
      </c>
      <c r="C13595" s="1" t="s">
        <v>376</v>
      </c>
      <c r="D13595" s="3">
        <f t="shared" si="2203"/>
        <v>8385</v>
      </c>
      <c r="E13595" s="2">
        <f t="shared" si="2204"/>
        <v>43556</v>
      </c>
      <c r="F13595" s="2">
        <f t="shared" si="2205"/>
        <v>44196</v>
      </c>
    </row>
    <row r="13596" spans="1:6" x14ac:dyDescent="0.25">
      <c r="A13596" s="1" t="s">
        <v>1120</v>
      </c>
      <c r="B13596" s="1" t="s">
        <v>1119</v>
      </c>
      <c r="C13596" s="1" t="s">
        <v>377</v>
      </c>
      <c r="D13596" s="3">
        <f t="shared" si="2203"/>
        <v>8385</v>
      </c>
      <c r="E13596" s="2">
        <f t="shared" si="2204"/>
        <v>43556</v>
      </c>
      <c r="F13596" s="2">
        <f t="shared" si="2205"/>
        <v>44196</v>
      </c>
    </row>
    <row r="13597" spans="1:6" x14ac:dyDescent="0.25">
      <c r="A13597" s="1" t="s">
        <v>1120</v>
      </c>
      <c r="B13597" s="1" t="s">
        <v>1119</v>
      </c>
      <c r="C13597" s="1" t="s">
        <v>34</v>
      </c>
      <c r="D13597" s="3">
        <f t="shared" si="2203"/>
        <v>8385</v>
      </c>
      <c r="E13597" s="2">
        <f t="shared" si="2204"/>
        <v>43556</v>
      </c>
      <c r="F13597" s="2">
        <f t="shared" si="2205"/>
        <v>44196</v>
      </c>
    </row>
    <row r="13598" spans="1:6" x14ac:dyDescent="0.25">
      <c r="A13598" s="1" t="s">
        <v>2220</v>
      </c>
      <c r="B13598" s="1" t="s">
        <v>2219</v>
      </c>
      <c r="C13598" s="1" t="s">
        <v>23</v>
      </c>
      <c r="D13598" s="3">
        <f>VALUE("7833")</f>
        <v>7833</v>
      </c>
      <c r="E13598" s="2">
        <f>DATEVALUE("1-1-2016")</f>
        <v>42370</v>
      </c>
      <c r="F13598" s="2">
        <f>DATEVALUE("31-3-2016")</f>
        <v>42460</v>
      </c>
    </row>
    <row r="13599" spans="1:6" x14ac:dyDescent="0.25">
      <c r="A13599" s="1" t="s">
        <v>210</v>
      </c>
      <c r="B13599" s="1" t="s">
        <v>1490</v>
      </c>
      <c r="C13599" s="1" t="s">
        <v>17</v>
      </c>
      <c r="D13599" s="3">
        <f t="shared" ref="D13599:D13606" si="2206">VALUE("8677")</f>
        <v>8677</v>
      </c>
      <c r="E13599" s="2">
        <f t="shared" ref="E13599:E13606" si="2207">DATEVALUE("1-4-2020")</f>
        <v>43922</v>
      </c>
      <c r="F13599" s="2">
        <f t="shared" ref="F13599:F13606" si="2208">DATEVALUE("31-3-2021")</f>
        <v>44286</v>
      </c>
    </row>
    <row r="13600" spans="1:6" x14ac:dyDescent="0.25">
      <c r="A13600" s="1" t="s">
        <v>210</v>
      </c>
      <c r="B13600" s="1" t="s">
        <v>1490</v>
      </c>
      <c r="C13600" s="1" t="s">
        <v>488</v>
      </c>
      <c r="D13600" s="3">
        <f t="shared" si="2206"/>
        <v>8677</v>
      </c>
      <c r="E13600" s="2">
        <f t="shared" si="2207"/>
        <v>43922</v>
      </c>
      <c r="F13600" s="2">
        <f t="shared" si="2208"/>
        <v>44286</v>
      </c>
    </row>
    <row r="13601" spans="1:6" x14ac:dyDescent="0.25">
      <c r="A13601" s="1" t="s">
        <v>210</v>
      </c>
      <c r="B13601" s="1" t="s">
        <v>1490</v>
      </c>
      <c r="C13601" s="1" t="s">
        <v>22</v>
      </c>
      <c r="D13601" s="3">
        <f t="shared" si="2206"/>
        <v>8677</v>
      </c>
      <c r="E13601" s="2">
        <f t="shared" si="2207"/>
        <v>43922</v>
      </c>
      <c r="F13601" s="2">
        <f t="shared" si="2208"/>
        <v>44286</v>
      </c>
    </row>
    <row r="13602" spans="1:6" x14ac:dyDescent="0.25">
      <c r="A13602" s="1" t="s">
        <v>210</v>
      </c>
      <c r="B13602" s="1" t="s">
        <v>1490</v>
      </c>
      <c r="C13602" s="1" t="s">
        <v>67</v>
      </c>
      <c r="D13602" s="3">
        <f t="shared" si="2206"/>
        <v>8677</v>
      </c>
      <c r="E13602" s="2">
        <f t="shared" si="2207"/>
        <v>43922</v>
      </c>
      <c r="F13602" s="2">
        <f t="shared" si="2208"/>
        <v>44286</v>
      </c>
    </row>
    <row r="13603" spans="1:6" x14ac:dyDescent="0.25">
      <c r="A13603" s="1" t="s">
        <v>210</v>
      </c>
      <c r="B13603" s="1" t="s">
        <v>1490</v>
      </c>
      <c r="C13603" s="1" t="s">
        <v>160</v>
      </c>
      <c r="D13603" s="3">
        <f t="shared" si="2206"/>
        <v>8677</v>
      </c>
      <c r="E13603" s="2">
        <f t="shared" si="2207"/>
        <v>43922</v>
      </c>
      <c r="F13603" s="2">
        <f t="shared" si="2208"/>
        <v>44286</v>
      </c>
    </row>
    <row r="13604" spans="1:6" x14ac:dyDescent="0.25">
      <c r="A13604" s="1" t="s">
        <v>210</v>
      </c>
      <c r="B13604" s="1" t="s">
        <v>1490</v>
      </c>
      <c r="C13604" s="1" t="s">
        <v>378</v>
      </c>
      <c r="D13604" s="3">
        <f t="shared" si="2206"/>
        <v>8677</v>
      </c>
      <c r="E13604" s="2">
        <f t="shared" si="2207"/>
        <v>43922</v>
      </c>
      <c r="F13604" s="2">
        <f t="shared" si="2208"/>
        <v>44286</v>
      </c>
    </row>
    <row r="13605" spans="1:6" x14ac:dyDescent="0.25">
      <c r="A13605" s="1" t="s">
        <v>210</v>
      </c>
      <c r="B13605" s="1" t="s">
        <v>1490</v>
      </c>
      <c r="C13605" s="1" t="s">
        <v>380</v>
      </c>
      <c r="D13605" s="3">
        <f t="shared" si="2206"/>
        <v>8677</v>
      </c>
      <c r="E13605" s="2">
        <f t="shared" si="2207"/>
        <v>43922</v>
      </c>
      <c r="F13605" s="2">
        <f t="shared" si="2208"/>
        <v>44286</v>
      </c>
    </row>
    <row r="13606" spans="1:6" x14ac:dyDescent="0.25">
      <c r="A13606" s="1" t="s">
        <v>210</v>
      </c>
      <c r="B13606" s="1" t="s">
        <v>1490</v>
      </c>
      <c r="C13606" s="1" t="s">
        <v>381</v>
      </c>
      <c r="D13606" s="3">
        <f t="shared" si="2206"/>
        <v>8677</v>
      </c>
      <c r="E13606" s="2">
        <f t="shared" si="2207"/>
        <v>43922</v>
      </c>
      <c r="F13606" s="2">
        <f t="shared" si="2208"/>
        <v>44286</v>
      </c>
    </row>
    <row r="13607" spans="1:6" x14ac:dyDescent="0.25">
      <c r="A13607" s="1" t="s">
        <v>210</v>
      </c>
      <c r="B13607" s="1" t="s">
        <v>1492</v>
      </c>
      <c r="C13607" s="1" t="s">
        <v>14</v>
      </c>
      <c r="D13607" s="3">
        <f t="shared" ref="D13607:D13628" si="2209">VALUE("8685")</f>
        <v>8685</v>
      </c>
      <c r="E13607" s="2">
        <f t="shared" ref="E13607:E13628" si="2210">DATEVALUE("1-2-2020")</f>
        <v>43862</v>
      </c>
      <c r="F13607" s="2">
        <f t="shared" ref="F13607:F13628" si="2211">DATEVALUE("31-1-2021")</f>
        <v>44227</v>
      </c>
    </row>
    <row r="13608" spans="1:6" x14ac:dyDescent="0.25">
      <c r="A13608" s="1" t="s">
        <v>210</v>
      </c>
      <c r="B13608" s="1" t="s">
        <v>1492</v>
      </c>
      <c r="C13608" s="1" t="s">
        <v>66</v>
      </c>
      <c r="D13608" s="3">
        <f t="shared" si="2209"/>
        <v>8685</v>
      </c>
      <c r="E13608" s="2">
        <f t="shared" si="2210"/>
        <v>43862</v>
      </c>
      <c r="F13608" s="2">
        <f t="shared" si="2211"/>
        <v>44227</v>
      </c>
    </row>
    <row r="13609" spans="1:6" x14ac:dyDescent="0.25">
      <c r="A13609" s="1" t="s">
        <v>210</v>
      </c>
      <c r="B13609" s="1" t="s">
        <v>1492</v>
      </c>
      <c r="C13609" s="1" t="s">
        <v>16</v>
      </c>
      <c r="D13609" s="3">
        <f t="shared" si="2209"/>
        <v>8685</v>
      </c>
      <c r="E13609" s="2">
        <f t="shared" si="2210"/>
        <v>43862</v>
      </c>
      <c r="F13609" s="2">
        <f t="shared" si="2211"/>
        <v>44227</v>
      </c>
    </row>
    <row r="13610" spans="1:6" x14ac:dyDescent="0.25">
      <c r="A13610" s="1" t="s">
        <v>210</v>
      </c>
      <c r="B13610" s="1" t="s">
        <v>1492</v>
      </c>
      <c r="C13610" s="1" t="s">
        <v>89</v>
      </c>
      <c r="D13610" s="3">
        <f t="shared" si="2209"/>
        <v>8685</v>
      </c>
      <c r="E13610" s="2">
        <f t="shared" si="2210"/>
        <v>43862</v>
      </c>
      <c r="F13610" s="2">
        <f t="shared" si="2211"/>
        <v>44227</v>
      </c>
    </row>
    <row r="13611" spans="1:6" x14ac:dyDescent="0.25">
      <c r="A13611" s="1" t="s">
        <v>210</v>
      </c>
      <c r="B13611" s="1" t="s">
        <v>1492</v>
      </c>
      <c r="C13611" s="1" t="s">
        <v>17</v>
      </c>
      <c r="D13611" s="3">
        <f t="shared" si="2209"/>
        <v>8685</v>
      </c>
      <c r="E13611" s="2">
        <f t="shared" si="2210"/>
        <v>43862</v>
      </c>
      <c r="F13611" s="2">
        <f t="shared" si="2211"/>
        <v>44227</v>
      </c>
    </row>
    <row r="13612" spans="1:6" x14ac:dyDescent="0.25">
      <c r="A13612" s="1" t="s">
        <v>210</v>
      </c>
      <c r="B13612" s="1" t="s">
        <v>1492</v>
      </c>
      <c r="C13612" s="1" t="s">
        <v>441</v>
      </c>
      <c r="D13612" s="3">
        <f t="shared" si="2209"/>
        <v>8685</v>
      </c>
      <c r="E13612" s="2">
        <f t="shared" si="2210"/>
        <v>43862</v>
      </c>
      <c r="F13612" s="2">
        <f t="shared" si="2211"/>
        <v>44227</v>
      </c>
    </row>
    <row r="13613" spans="1:6" x14ac:dyDescent="0.25">
      <c r="A13613" s="1" t="s">
        <v>210</v>
      </c>
      <c r="B13613" s="1" t="s">
        <v>1492</v>
      </c>
      <c r="C13613" s="1" t="s">
        <v>488</v>
      </c>
      <c r="D13613" s="3">
        <f t="shared" si="2209"/>
        <v>8685</v>
      </c>
      <c r="E13613" s="2">
        <f t="shared" si="2210"/>
        <v>43862</v>
      </c>
      <c r="F13613" s="2">
        <f t="shared" si="2211"/>
        <v>44227</v>
      </c>
    </row>
    <row r="13614" spans="1:6" x14ac:dyDescent="0.25">
      <c r="A13614" s="1" t="s">
        <v>210</v>
      </c>
      <c r="B13614" s="1" t="s">
        <v>1492</v>
      </c>
      <c r="C13614" s="1" t="s">
        <v>144</v>
      </c>
      <c r="D13614" s="3">
        <f t="shared" si="2209"/>
        <v>8685</v>
      </c>
      <c r="E13614" s="2">
        <f t="shared" si="2210"/>
        <v>43862</v>
      </c>
      <c r="F13614" s="2">
        <f t="shared" si="2211"/>
        <v>44227</v>
      </c>
    </row>
    <row r="13615" spans="1:6" x14ac:dyDescent="0.25">
      <c r="A13615" s="1" t="s">
        <v>210</v>
      </c>
      <c r="B13615" s="1" t="s">
        <v>1492</v>
      </c>
      <c r="C13615" s="1" t="s">
        <v>22</v>
      </c>
      <c r="D13615" s="3">
        <f t="shared" si="2209"/>
        <v>8685</v>
      </c>
      <c r="E13615" s="2">
        <f t="shared" si="2210"/>
        <v>43862</v>
      </c>
      <c r="F13615" s="2">
        <f t="shared" si="2211"/>
        <v>44227</v>
      </c>
    </row>
    <row r="13616" spans="1:6" x14ac:dyDescent="0.25">
      <c r="A13616" s="1" t="s">
        <v>210</v>
      </c>
      <c r="B13616" s="1" t="s">
        <v>1492</v>
      </c>
      <c r="C13616" s="1" t="s">
        <v>146</v>
      </c>
      <c r="D13616" s="3">
        <f t="shared" si="2209"/>
        <v>8685</v>
      </c>
      <c r="E13616" s="2">
        <f t="shared" si="2210"/>
        <v>43862</v>
      </c>
      <c r="F13616" s="2">
        <f t="shared" si="2211"/>
        <v>44227</v>
      </c>
    </row>
    <row r="13617" spans="1:6" x14ac:dyDescent="0.25">
      <c r="A13617" s="1" t="s">
        <v>210</v>
      </c>
      <c r="B13617" s="1" t="s">
        <v>1492</v>
      </c>
      <c r="C13617" s="1" t="s">
        <v>67</v>
      </c>
      <c r="D13617" s="3">
        <f t="shared" si="2209"/>
        <v>8685</v>
      </c>
      <c r="E13617" s="2">
        <f t="shared" si="2210"/>
        <v>43862</v>
      </c>
      <c r="F13617" s="2">
        <f t="shared" si="2211"/>
        <v>44227</v>
      </c>
    </row>
    <row r="13618" spans="1:6" x14ac:dyDescent="0.25">
      <c r="A13618" s="1" t="s">
        <v>210</v>
      </c>
      <c r="B13618" s="1" t="s">
        <v>1492</v>
      </c>
      <c r="C13618" s="1" t="s">
        <v>148</v>
      </c>
      <c r="D13618" s="3">
        <f t="shared" si="2209"/>
        <v>8685</v>
      </c>
      <c r="E13618" s="2">
        <f t="shared" si="2210"/>
        <v>43862</v>
      </c>
      <c r="F13618" s="2">
        <f t="shared" si="2211"/>
        <v>44227</v>
      </c>
    </row>
    <row r="13619" spans="1:6" x14ac:dyDescent="0.25">
      <c r="A13619" s="1" t="s">
        <v>210</v>
      </c>
      <c r="B13619" s="1" t="s">
        <v>1492</v>
      </c>
      <c r="C13619" s="1" t="s">
        <v>149</v>
      </c>
      <c r="D13619" s="3">
        <f t="shared" si="2209"/>
        <v>8685</v>
      </c>
      <c r="E13619" s="2">
        <f t="shared" si="2210"/>
        <v>43862</v>
      </c>
      <c r="F13619" s="2">
        <f t="shared" si="2211"/>
        <v>44227</v>
      </c>
    </row>
    <row r="13620" spans="1:6" x14ac:dyDescent="0.25">
      <c r="A13620" s="1" t="s">
        <v>210</v>
      </c>
      <c r="B13620" s="1" t="s">
        <v>1492</v>
      </c>
      <c r="C13620" s="1" t="s">
        <v>92</v>
      </c>
      <c r="D13620" s="3">
        <f t="shared" si="2209"/>
        <v>8685</v>
      </c>
      <c r="E13620" s="2">
        <f t="shared" si="2210"/>
        <v>43862</v>
      </c>
      <c r="F13620" s="2">
        <f t="shared" si="2211"/>
        <v>44227</v>
      </c>
    </row>
    <row r="13621" spans="1:6" x14ac:dyDescent="0.25">
      <c r="A13621" s="1" t="s">
        <v>210</v>
      </c>
      <c r="B13621" s="1" t="s">
        <v>1492</v>
      </c>
      <c r="C13621" s="1" t="s">
        <v>400</v>
      </c>
      <c r="D13621" s="3">
        <f t="shared" si="2209"/>
        <v>8685</v>
      </c>
      <c r="E13621" s="2">
        <f t="shared" si="2210"/>
        <v>43862</v>
      </c>
      <c r="F13621" s="2">
        <f t="shared" si="2211"/>
        <v>44227</v>
      </c>
    </row>
    <row r="13622" spans="1:6" x14ac:dyDescent="0.25">
      <c r="A13622" s="1" t="s">
        <v>210</v>
      </c>
      <c r="B13622" s="1" t="s">
        <v>1492</v>
      </c>
      <c r="C13622" s="1" t="s">
        <v>155</v>
      </c>
      <c r="D13622" s="3">
        <f t="shared" si="2209"/>
        <v>8685</v>
      </c>
      <c r="E13622" s="2">
        <f t="shared" si="2210"/>
        <v>43862</v>
      </c>
      <c r="F13622" s="2">
        <f t="shared" si="2211"/>
        <v>44227</v>
      </c>
    </row>
    <row r="13623" spans="1:6" x14ac:dyDescent="0.25">
      <c r="A13623" s="1" t="s">
        <v>210</v>
      </c>
      <c r="B13623" s="1" t="s">
        <v>1492</v>
      </c>
      <c r="C13623" s="1" t="s">
        <v>24</v>
      </c>
      <c r="D13623" s="3">
        <f t="shared" si="2209"/>
        <v>8685</v>
      </c>
      <c r="E13623" s="2">
        <f t="shared" si="2210"/>
        <v>43862</v>
      </c>
      <c r="F13623" s="2">
        <f t="shared" si="2211"/>
        <v>44227</v>
      </c>
    </row>
    <row r="13624" spans="1:6" x14ac:dyDescent="0.25">
      <c r="A13624" s="1" t="s">
        <v>210</v>
      </c>
      <c r="B13624" s="1" t="s">
        <v>1492</v>
      </c>
      <c r="C13624" s="1" t="s">
        <v>376</v>
      </c>
      <c r="D13624" s="3">
        <f t="shared" si="2209"/>
        <v>8685</v>
      </c>
      <c r="E13624" s="2">
        <f t="shared" si="2210"/>
        <v>43862</v>
      </c>
      <c r="F13624" s="2">
        <f t="shared" si="2211"/>
        <v>44227</v>
      </c>
    </row>
    <row r="13625" spans="1:6" x14ac:dyDescent="0.25">
      <c r="A13625" s="1" t="s">
        <v>210</v>
      </c>
      <c r="B13625" s="1" t="s">
        <v>1492</v>
      </c>
      <c r="C13625" s="1" t="s">
        <v>377</v>
      </c>
      <c r="D13625" s="3">
        <f t="shared" si="2209"/>
        <v>8685</v>
      </c>
      <c r="E13625" s="2">
        <f t="shared" si="2210"/>
        <v>43862</v>
      </c>
      <c r="F13625" s="2">
        <f t="shared" si="2211"/>
        <v>44227</v>
      </c>
    </row>
    <row r="13626" spans="1:6" x14ac:dyDescent="0.25">
      <c r="A13626" s="1" t="s">
        <v>210</v>
      </c>
      <c r="B13626" s="1" t="s">
        <v>1492</v>
      </c>
      <c r="C13626" s="1" t="s">
        <v>378</v>
      </c>
      <c r="D13626" s="3">
        <f t="shared" si="2209"/>
        <v>8685</v>
      </c>
      <c r="E13626" s="2">
        <f t="shared" si="2210"/>
        <v>43862</v>
      </c>
      <c r="F13626" s="2">
        <f t="shared" si="2211"/>
        <v>44227</v>
      </c>
    </row>
    <row r="13627" spans="1:6" x14ac:dyDescent="0.25">
      <c r="A13627" s="1" t="s">
        <v>210</v>
      </c>
      <c r="B13627" s="1" t="s">
        <v>1492</v>
      </c>
      <c r="C13627" s="1" t="s">
        <v>162</v>
      </c>
      <c r="D13627" s="3">
        <f t="shared" si="2209"/>
        <v>8685</v>
      </c>
      <c r="E13627" s="2">
        <f t="shared" si="2210"/>
        <v>43862</v>
      </c>
      <c r="F13627" s="2">
        <f t="shared" si="2211"/>
        <v>44227</v>
      </c>
    </row>
    <row r="13628" spans="1:6" x14ac:dyDescent="0.25">
      <c r="A13628" s="1" t="s">
        <v>210</v>
      </c>
      <c r="B13628" s="1" t="s">
        <v>1492</v>
      </c>
      <c r="C13628" s="1" t="s">
        <v>34</v>
      </c>
      <c r="D13628" s="3">
        <f t="shared" si="2209"/>
        <v>8685</v>
      </c>
      <c r="E13628" s="2">
        <f t="shared" si="2210"/>
        <v>43862</v>
      </c>
      <c r="F13628" s="2">
        <f t="shared" si="2211"/>
        <v>44227</v>
      </c>
    </row>
    <row r="13629" spans="1:6" x14ac:dyDescent="0.25">
      <c r="A13629" s="1" t="s">
        <v>210</v>
      </c>
      <c r="B13629" s="1" t="s">
        <v>1469</v>
      </c>
      <c r="C13629" s="1" t="s">
        <v>17</v>
      </c>
      <c r="D13629" s="3">
        <f t="shared" ref="D13629:D13634" si="2212">VALUE("8681")</f>
        <v>8681</v>
      </c>
      <c r="E13629" s="2">
        <f t="shared" ref="E13629:E13634" si="2213">DATEVALUE("1-1-2020")</f>
        <v>43831</v>
      </c>
      <c r="F13629" s="2">
        <f t="shared" ref="F13629:F13634" si="2214">DATEVALUE("31-3-2025")</f>
        <v>45747</v>
      </c>
    </row>
    <row r="13630" spans="1:6" x14ac:dyDescent="0.25">
      <c r="A13630" s="1" t="s">
        <v>210</v>
      </c>
      <c r="B13630" s="1" t="s">
        <v>1469</v>
      </c>
      <c r="C13630" s="1" t="s">
        <v>92</v>
      </c>
      <c r="D13630" s="3">
        <f t="shared" si="2212"/>
        <v>8681</v>
      </c>
      <c r="E13630" s="2">
        <f t="shared" si="2213"/>
        <v>43831</v>
      </c>
      <c r="F13630" s="2">
        <f t="shared" si="2214"/>
        <v>45747</v>
      </c>
    </row>
    <row r="13631" spans="1:6" x14ac:dyDescent="0.25">
      <c r="A13631" s="1" t="s">
        <v>210</v>
      </c>
      <c r="B13631" s="1" t="s">
        <v>1469</v>
      </c>
      <c r="C13631" s="1" t="s">
        <v>1470</v>
      </c>
      <c r="D13631" s="3">
        <f t="shared" si="2212"/>
        <v>8681</v>
      </c>
      <c r="E13631" s="2">
        <f t="shared" si="2213"/>
        <v>43831</v>
      </c>
      <c r="F13631" s="2">
        <f t="shared" si="2214"/>
        <v>45747</v>
      </c>
    </row>
    <row r="13632" spans="1:6" x14ac:dyDescent="0.25">
      <c r="A13632" s="1" t="s">
        <v>210</v>
      </c>
      <c r="B13632" s="1" t="s">
        <v>1469</v>
      </c>
      <c r="C13632" s="1" t="s">
        <v>1471</v>
      </c>
      <c r="D13632" s="3">
        <f t="shared" si="2212"/>
        <v>8681</v>
      </c>
      <c r="E13632" s="2">
        <f t="shared" si="2213"/>
        <v>43831</v>
      </c>
      <c r="F13632" s="2">
        <f t="shared" si="2214"/>
        <v>45747</v>
      </c>
    </row>
    <row r="13633" spans="1:6" x14ac:dyDescent="0.25">
      <c r="A13633" s="1" t="s">
        <v>210</v>
      </c>
      <c r="B13633" s="1" t="s">
        <v>1469</v>
      </c>
      <c r="C13633" s="1" t="s">
        <v>1472</v>
      </c>
      <c r="D13633" s="3">
        <f t="shared" si="2212"/>
        <v>8681</v>
      </c>
      <c r="E13633" s="2">
        <f t="shared" si="2213"/>
        <v>43831</v>
      </c>
      <c r="F13633" s="2">
        <f t="shared" si="2214"/>
        <v>45747</v>
      </c>
    </row>
    <row r="13634" spans="1:6" x14ac:dyDescent="0.25">
      <c r="A13634" s="1" t="s">
        <v>210</v>
      </c>
      <c r="B13634" s="1" t="s">
        <v>1469</v>
      </c>
      <c r="C13634" s="1" t="s">
        <v>1473</v>
      </c>
      <c r="D13634" s="3">
        <f t="shared" si="2212"/>
        <v>8681</v>
      </c>
      <c r="E13634" s="2">
        <f t="shared" si="2213"/>
        <v>43831</v>
      </c>
      <c r="F13634" s="2">
        <f t="shared" si="2214"/>
        <v>45747</v>
      </c>
    </row>
    <row r="13635" spans="1:6" x14ac:dyDescent="0.25">
      <c r="A13635" s="1" t="s">
        <v>210</v>
      </c>
      <c r="B13635" s="1" t="s">
        <v>933</v>
      </c>
      <c r="C13635" s="1" t="s">
        <v>15</v>
      </c>
      <c r="D13635" s="3">
        <f>VALUE("8199")</f>
        <v>8199</v>
      </c>
      <c r="E13635" s="2">
        <f t="shared" ref="E13635:E13652" si="2215">DATEVALUE("1-8-2019")</f>
        <v>43678</v>
      </c>
      <c r="F13635" s="2">
        <f>DATEVALUE("31-7-2025")</f>
        <v>45869</v>
      </c>
    </row>
    <row r="13636" spans="1:6" x14ac:dyDescent="0.25">
      <c r="A13636" s="1" t="s">
        <v>210</v>
      </c>
      <c r="B13636" s="1" t="s">
        <v>933</v>
      </c>
      <c r="C13636" s="1" t="s">
        <v>72</v>
      </c>
      <c r="D13636" s="3">
        <f>VALUE("8199")</f>
        <v>8199</v>
      </c>
      <c r="E13636" s="2">
        <f t="shared" si="2215"/>
        <v>43678</v>
      </c>
      <c r="F13636" s="2">
        <f>DATEVALUE("31-7-2025")</f>
        <v>45869</v>
      </c>
    </row>
    <row r="13637" spans="1:6" x14ac:dyDescent="0.25">
      <c r="A13637" s="1" t="s">
        <v>210</v>
      </c>
      <c r="B13637" s="1" t="s">
        <v>933</v>
      </c>
      <c r="C13637" s="1" t="s">
        <v>73</v>
      </c>
      <c r="D13637" s="3">
        <f>VALUE("8199")</f>
        <v>8199</v>
      </c>
      <c r="E13637" s="2">
        <f t="shared" si="2215"/>
        <v>43678</v>
      </c>
      <c r="F13637" s="2">
        <f>DATEVALUE("31-7-2025")</f>
        <v>45869</v>
      </c>
    </row>
    <row r="13638" spans="1:6" x14ac:dyDescent="0.25">
      <c r="A13638" s="1" t="s">
        <v>210</v>
      </c>
      <c r="B13638" s="1" t="s">
        <v>933</v>
      </c>
      <c r="C13638" s="1" t="s">
        <v>52</v>
      </c>
      <c r="D13638" s="3">
        <f>VALUE("8199")</f>
        <v>8199</v>
      </c>
      <c r="E13638" s="2">
        <f t="shared" si="2215"/>
        <v>43678</v>
      </c>
      <c r="F13638" s="2">
        <f>DATEVALUE("31-7-2025")</f>
        <v>45869</v>
      </c>
    </row>
    <row r="13639" spans="1:6" x14ac:dyDescent="0.25">
      <c r="A13639" s="1" t="s">
        <v>210</v>
      </c>
      <c r="B13639" s="1" t="s">
        <v>1282</v>
      </c>
      <c r="C13639" s="1" t="s">
        <v>81</v>
      </c>
      <c r="D13639" s="3">
        <f t="shared" ref="D13639:D13652" si="2216">VALUE("8542")</f>
        <v>8542</v>
      </c>
      <c r="E13639" s="2">
        <f t="shared" si="2215"/>
        <v>43678</v>
      </c>
      <c r="F13639" s="2">
        <f t="shared" ref="F13639:F13652" si="2217">DATEVALUE("31-3-2025")</f>
        <v>45747</v>
      </c>
    </row>
    <row r="13640" spans="1:6" x14ac:dyDescent="0.25">
      <c r="A13640" s="1" t="s">
        <v>210</v>
      </c>
      <c r="B13640" s="1" t="s">
        <v>1282</v>
      </c>
      <c r="C13640" s="1" t="s">
        <v>80</v>
      </c>
      <c r="D13640" s="3">
        <f t="shared" si="2216"/>
        <v>8542</v>
      </c>
      <c r="E13640" s="2">
        <f t="shared" si="2215"/>
        <v>43678</v>
      </c>
      <c r="F13640" s="2">
        <f t="shared" si="2217"/>
        <v>45747</v>
      </c>
    </row>
    <row r="13641" spans="1:6" x14ac:dyDescent="0.25">
      <c r="A13641" s="1" t="s">
        <v>210</v>
      </c>
      <c r="B13641" s="1" t="s">
        <v>1282</v>
      </c>
      <c r="C13641" s="1" t="s">
        <v>39</v>
      </c>
      <c r="D13641" s="3">
        <f t="shared" si="2216"/>
        <v>8542</v>
      </c>
      <c r="E13641" s="2">
        <f t="shared" si="2215"/>
        <v>43678</v>
      </c>
      <c r="F13641" s="2">
        <f t="shared" si="2217"/>
        <v>45747</v>
      </c>
    </row>
    <row r="13642" spans="1:6" x14ac:dyDescent="0.25">
      <c r="A13642" s="1" t="s">
        <v>210</v>
      </c>
      <c r="B13642" s="1" t="s">
        <v>1282</v>
      </c>
      <c r="C13642" s="1" t="s">
        <v>40</v>
      </c>
      <c r="D13642" s="3">
        <f t="shared" si="2216"/>
        <v>8542</v>
      </c>
      <c r="E13642" s="2">
        <f t="shared" si="2215"/>
        <v>43678</v>
      </c>
      <c r="F13642" s="2">
        <f t="shared" si="2217"/>
        <v>45747</v>
      </c>
    </row>
    <row r="13643" spans="1:6" x14ac:dyDescent="0.25">
      <c r="A13643" s="1" t="s">
        <v>210</v>
      </c>
      <c r="B13643" s="1" t="s">
        <v>1282</v>
      </c>
      <c r="C13643" s="1" t="s">
        <v>41</v>
      </c>
      <c r="D13643" s="3">
        <f t="shared" si="2216"/>
        <v>8542</v>
      </c>
      <c r="E13643" s="2">
        <f t="shared" si="2215"/>
        <v>43678</v>
      </c>
      <c r="F13643" s="2">
        <f t="shared" si="2217"/>
        <v>45747</v>
      </c>
    </row>
    <row r="13644" spans="1:6" x14ac:dyDescent="0.25">
      <c r="A13644" s="1" t="s">
        <v>210</v>
      </c>
      <c r="B13644" s="1" t="s">
        <v>1282</v>
      </c>
      <c r="C13644" s="1" t="s">
        <v>8</v>
      </c>
      <c r="D13644" s="3">
        <f t="shared" si="2216"/>
        <v>8542</v>
      </c>
      <c r="E13644" s="2">
        <f t="shared" si="2215"/>
        <v>43678</v>
      </c>
      <c r="F13644" s="2">
        <f t="shared" si="2217"/>
        <v>45747</v>
      </c>
    </row>
    <row r="13645" spans="1:6" x14ac:dyDescent="0.25">
      <c r="A13645" s="1" t="s">
        <v>210</v>
      </c>
      <c r="B13645" s="1" t="s">
        <v>1282</v>
      </c>
      <c r="C13645" s="1" t="s">
        <v>256</v>
      </c>
      <c r="D13645" s="3">
        <f t="shared" si="2216"/>
        <v>8542</v>
      </c>
      <c r="E13645" s="2">
        <f t="shared" si="2215"/>
        <v>43678</v>
      </c>
      <c r="F13645" s="2">
        <f t="shared" si="2217"/>
        <v>45747</v>
      </c>
    </row>
    <row r="13646" spans="1:6" x14ac:dyDescent="0.25">
      <c r="A13646" s="1" t="s">
        <v>210</v>
      </c>
      <c r="B13646" s="1" t="s">
        <v>1282</v>
      </c>
      <c r="C13646" s="1" t="s">
        <v>10</v>
      </c>
      <c r="D13646" s="3">
        <f t="shared" si="2216"/>
        <v>8542</v>
      </c>
      <c r="E13646" s="2">
        <f t="shared" si="2215"/>
        <v>43678</v>
      </c>
      <c r="F13646" s="2">
        <f t="shared" si="2217"/>
        <v>45747</v>
      </c>
    </row>
    <row r="13647" spans="1:6" x14ac:dyDescent="0.25">
      <c r="A13647" s="1" t="s">
        <v>210</v>
      </c>
      <c r="B13647" s="1" t="s">
        <v>1282</v>
      </c>
      <c r="C13647" s="1" t="s">
        <v>83</v>
      </c>
      <c r="D13647" s="3">
        <f t="shared" si="2216"/>
        <v>8542</v>
      </c>
      <c r="E13647" s="2">
        <f t="shared" si="2215"/>
        <v>43678</v>
      </c>
      <c r="F13647" s="2">
        <f t="shared" si="2217"/>
        <v>45747</v>
      </c>
    </row>
    <row r="13648" spans="1:6" x14ac:dyDescent="0.25">
      <c r="A13648" s="1" t="s">
        <v>210</v>
      </c>
      <c r="B13648" s="1" t="s">
        <v>1282</v>
      </c>
      <c r="C13648" s="1" t="s">
        <v>89</v>
      </c>
      <c r="D13648" s="3">
        <f t="shared" si="2216"/>
        <v>8542</v>
      </c>
      <c r="E13648" s="2">
        <f t="shared" si="2215"/>
        <v>43678</v>
      </c>
      <c r="F13648" s="2">
        <f t="shared" si="2217"/>
        <v>45747</v>
      </c>
    </row>
    <row r="13649" spans="1:6" x14ac:dyDescent="0.25">
      <c r="A13649" s="1" t="s">
        <v>210</v>
      </c>
      <c r="B13649" s="1" t="s">
        <v>1282</v>
      </c>
      <c r="C13649" s="1" t="s">
        <v>17</v>
      </c>
      <c r="D13649" s="3">
        <f t="shared" si="2216"/>
        <v>8542</v>
      </c>
      <c r="E13649" s="2">
        <f t="shared" si="2215"/>
        <v>43678</v>
      </c>
      <c r="F13649" s="2">
        <f t="shared" si="2217"/>
        <v>45747</v>
      </c>
    </row>
    <row r="13650" spans="1:6" x14ac:dyDescent="0.25">
      <c r="A13650" s="1" t="s">
        <v>210</v>
      </c>
      <c r="B13650" s="1" t="s">
        <v>1282</v>
      </c>
      <c r="C13650" s="1" t="s">
        <v>22</v>
      </c>
      <c r="D13650" s="3">
        <f t="shared" si="2216"/>
        <v>8542</v>
      </c>
      <c r="E13650" s="2">
        <f t="shared" si="2215"/>
        <v>43678</v>
      </c>
      <c r="F13650" s="2">
        <f t="shared" si="2217"/>
        <v>45747</v>
      </c>
    </row>
    <row r="13651" spans="1:6" x14ac:dyDescent="0.25">
      <c r="A13651" s="1" t="s">
        <v>210</v>
      </c>
      <c r="B13651" s="1" t="s">
        <v>1282</v>
      </c>
      <c r="C13651" s="1" t="s">
        <v>25</v>
      </c>
      <c r="D13651" s="3">
        <f t="shared" si="2216"/>
        <v>8542</v>
      </c>
      <c r="E13651" s="2">
        <f t="shared" si="2215"/>
        <v>43678</v>
      </c>
      <c r="F13651" s="2">
        <f t="shared" si="2217"/>
        <v>45747</v>
      </c>
    </row>
    <row r="13652" spans="1:6" x14ac:dyDescent="0.25">
      <c r="A13652" s="1" t="s">
        <v>210</v>
      </c>
      <c r="B13652" s="1" t="s">
        <v>1282</v>
      </c>
      <c r="C13652" s="1" t="s">
        <v>116</v>
      </c>
      <c r="D13652" s="3">
        <f t="shared" si="2216"/>
        <v>8542</v>
      </c>
      <c r="E13652" s="2">
        <f t="shared" si="2215"/>
        <v>43678</v>
      </c>
      <c r="F13652" s="2">
        <f t="shared" si="2217"/>
        <v>45747</v>
      </c>
    </row>
    <row r="13653" spans="1:6" x14ac:dyDescent="0.25">
      <c r="A13653" s="1" t="s">
        <v>210</v>
      </c>
      <c r="B13653" s="1" t="s">
        <v>925</v>
      </c>
      <c r="C13653" s="1" t="s">
        <v>27</v>
      </c>
      <c r="D13653" s="3">
        <f>VALUE("8181")</f>
        <v>8181</v>
      </c>
      <c r="E13653" s="2">
        <f>DATEVALUE("1-3-2019")</f>
        <v>43525</v>
      </c>
      <c r="F13653" s="2">
        <f>DATEVALUE("28-2-2021")</f>
        <v>44255</v>
      </c>
    </row>
    <row r="13654" spans="1:6" x14ac:dyDescent="0.25">
      <c r="A13654" s="1" t="s">
        <v>210</v>
      </c>
      <c r="B13654" s="1" t="s">
        <v>925</v>
      </c>
      <c r="C13654" s="1" t="s">
        <v>262</v>
      </c>
      <c r="D13654" s="3">
        <f>VALUE("8181")</f>
        <v>8181</v>
      </c>
      <c r="E13654" s="2">
        <f>DATEVALUE("1-3-2019")</f>
        <v>43525</v>
      </c>
      <c r="F13654" s="2">
        <f>DATEVALUE("28-2-2021")</f>
        <v>44255</v>
      </c>
    </row>
    <row r="13655" spans="1:6" x14ac:dyDescent="0.25">
      <c r="A13655" s="1" t="s">
        <v>210</v>
      </c>
      <c r="B13655" s="1" t="s">
        <v>925</v>
      </c>
      <c r="C13655" s="1" t="s">
        <v>73</v>
      </c>
      <c r="D13655" s="3">
        <f>VALUE("8181")</f>
        <v>8181</v>
      </c>
      <c r="E13655" s="2">
        <f>DATEVALUE("1-3-2019")</f>
        <v>43525</v>
      </c>
      <c r="F13655" s="2">
        <f>DATEVALUE("28-2-2021")</f>
        <v>44255</v>
      </c>
    </row>
    <row r="13656" spans="1:6" x14ac:dyDescent="0.25">
      <c r="A13656" s="1" t="s">
        <v>210</v>
      </c>
      <c r="B13656" s="1" t="s">
        <v>925</v>
      </c>
      <c r="C13656" s="1" t="s">
        <v>74</v>
      </c>
      <c r="D13656" s="3">
        <f>VALUE("8181")</f>
        <v>8181</v>
      </c>
      <c r="E13656" s="2">
        <f>DATEVALUE("1-3-2019")</f>
        <v>43525</v>
      </c>
      <c r="F13656" s="2">
        <f>DATEVALUE("28-2-2021")</f>
        <v>44255</v>
      </c>
    </row>
    <row r="13657" spans="1:6" x14ac:dyDescent="0.25">
      <c r="A13657" s="1" t="s">
        <v>210</v>
      </c>
      <c r="B13657" s="1" t="s">
        <v>925</v>
      </c>
      <c r="C13657" s="1" t="s">
        <v>52</v>
      </c>
      <c r="D13657" s="3">
        <f>VALUE("8181")</f>
        <v>8181</v>
      </c>
      <c r="E13657" s="2">
        <f>DATEVALUE("1-3-2019")</f>
        <v>43525</v>
      </c>
      <c r="F13657" s="2">
        <f>DATEVALUE("28-2-2021")</f>
        <v>44255</v>
      </c>
    </row>
    <row r="13658" spans="1:6" x14ac:dyDescent="0.25">
      <c r="A13658" s="1" t="s">
        <v>210</v>
      </c>
      <c r="B13658" s="1" t="s">
        <v>2065</v>
      </c>
      <c r="C13658" s="1" t="s">
        <v>7</v>
      </c>
      <c r="D13658" s="3">
        <f t="shared" ref="D13658:D13666" si="2218">VALUE("8272")</f>
        <v>8272</v>
      </c>
      <c r="E13658" s="2">
        <f t="shared" ref="E13658:E13666" si="2219">DATEVALUE("1-4-2018")</f>
        <v>43191</v>
      </c>
      <c r="F13658" s="2">
        <f t="shared" ref="F13658:F13666" si="2220">DATEVALUE("30-9-2018")</f>
        <v>43373</v>
      </c>
    </row>
    <row r="13659" spans="1:6" x14ac:dyDescent="0.25">
      <c r="A13659" s="1" t="s">
        <v>210</v>
      </c>
      <c r="B13659" s="1" t="s">
        <v>2065</v>
      </c>
      <c r="C13659" s="1" t="s">
        <v>16</v>
      </c>
      <c r="D13659" s="3">
        <f t="shared" si="2218"/>
        <v>8272</v>
      </c>
      <c r="E13659" s="2">
        <f t="shared" si="2219"/>
        <v>43191</v>
      </c>
      <c r="F13659" s="2">
        <f t="shared" si="2220"/>
        <v>43373</v>
      </c>
    </row>
    <row r="13660" spans="1:6" x14ac:dyDescent="0.25">
      <c r="A13660" s="1" t="s">
        <v>210</v>
      </c>
      <c r="B13660" s="1" t="s">
        <v>2065</v>
      </c>
      <c r="C13660" s="1" t="s">
        <v>17</v>
      </c>
      <c r="D13660" s="3">
        <f t="shared" si="2218"/>
        <v>8272</v>
      </c>
      <c r="E13660" s="2">
        <f t="shared" si="2219"/>
        <v>43191</v>
      </c>
      <c r="F13660" s="2">
        <f t="shared" si="2220"/>
        <v>43373</v>
      </c>
    </row>
    <row r="13661" spans="1:6" x14ac:dyDescent="0.25">
      <c r="A13661" s="1" t="s">
        <v>210</v>
      </c>
      <c r="B13661" s="1" t="s">
        <v>2065</v>
      </c>
      <c r="C13661" s="1" t="s">
        <v>22</v>
      </c>
      <c r="D13661" s="3">
        <f t="shared" si="2218"/>
        <v>8272</v>
      </c>
      <c r="E13661" s="2">
        <f t="shared" si="2219"/>
        <v>43191</v>
      </c>
      <c r="F13661" s="2">
        <f t="shared" si="2220"/>
        <v>43373</v>
      </c>
    </row>
    <row r="13662" spans="1:6" x14ac:dyDescent="0.25">
      <c r="A13662" s="1" t="s">
        <v>210</v>
      </c>
      <c r="B13662" s="1" t="s">
        <v>2065</v>
      </c>
      <c r="C13662" s="1" t="s">
        <v>221</v>
      </c>
      <c r="D13662" s="3">
        <f t="shared" si="2218"/>
        <v>8272</v>
      </c>
      <c r="E13662" s="2">
        <f t="shared" si="2219"/>
        <v>43191</v>
      </c>
      <c r="F13662" s="2">
        <f t="shared" si="2220"/>
        <v>43373</v>
      </c>
    </row>
    <row r="13663" spans="1:6" x14ac:dyDescent="0.25">
      <c r="A13663" s="1" t="s">
        <v>210</v>
      </c>
      <c r="B13663" s="1" t="s">
        <v>2065</v>
      </c>
      <c r="C13663" s="1" t="s">
        <v>155</v>
      </c>
      <c r="D13663" s="3">
        <f t="shared" si="2218"/>
        <v>8272</v>
      </c>
      <c r="E13663" s="2">
        <f t="shared" si="2219"/>
        <v>43191</v>
      </c>
      <c r="F13663" s="2">
        <f t="shared" si="2220"/>
        <v>43373</v>
      </c>
    </row>
    <row r="13664" spans="1:6" x14ac:dyDescent="0.25">
      <c r="A13664" s="1" t="s">
        <v>210</v>
      </c>
      <c r="B13664" s="1" t="s">
        <v>2065</v>
      </c>
      <c r="C13664" s="1" t="s">
        <v>73</v>
      </c>
      <c r="D13664" s="3">
        <f t="shared" si="2218"/>
        <v>8272</v>
      </c>
      <c r="E13664" s="2">
        <f t="shared" si="2219"/>
        <v>43191</v>
      </c>
      <c r="F13664" s="2">
        <f t="shared" si="2220"/>
        <v>43373</v>
      </c>
    </row>
    <row r="13665" spans="1:6" x14ac:dyDescent="0.25">
      <c r="A13665" s="1" t="s">
        <v>210</v>
      </c>
      <c r="B13665" s="1" t="s">
        <v>2065</v>
      </c>
      <c r="C13665" s="1" t="s">
        <v>52</v>
      </c>
      <c r="D13665" s="3">
        <f t="shared" si="2218"/>
        <v>8272</v>
      </c>
      <c r="E13665" s="2">
        <f t="shared" si="2219"/>
        <v>43191</v>
      </c>
      <c r="F13665" s="2">
        <f t="shared" si="2220"/>
        <v>43373</v>
      </c>
    </row>
    <row r="13666" spans="1:6" x14ac:dyDescent="0.25">
      <c r="A13666" s="1" t="s">
        <v>210</v>
      </c>
      <c r="B13666" s="1" t="s">
        <v>2065</v>
      </c>
      <c r="C13666" s="1" t="s">
        <v>162</v>
      </c>
      <c r="D13666" s="3">
        <f t="shared" si="2218"/>
        <v>8272</v>
      </c>
      <c r="E13666" s="2">
        <f t="shared" si="2219"/>
        <v>43191</v>
      </c>
      <c r="F13666" s="2">
        <f t="shared" si="2220"/>
        <v>43373</v>
      </c>
    </row>
    <row r="13667" spans="1:6" x14ac:dyDescent="0.25">
      <c r="A13667" s="1" t="s">
        <v>210</v>
      </c>
      <c r="B13667" s="1" t="s">
        <v>2061</v>
      </c>
      <c r="C13667" s="1" t="s">
        <v>7</v>
      </c>
      <c r="D13667" s="3">
        <f>VALUE("8220")</f>
        <v>8220</v>
      </c>
      <c r="E13667" s="2">
        <f>DATEVALUE("1-2-2018")</f>
        <v>43132</v>
      </c>
      <c r="F13667" s="2">
        <f>DATEVALUE("31-10-2018")</f>
        <v>43404</v>
      </c>
    </row>
    <row r="13668" spans="1:6" x14ac:dyDescent="0.25">
      <c r="A13668" s="1" t="s">
        <v>210</v>
      </c>
      <c r="B13668" s="1" t="s">
        <v>2061</v>
      </c>
      <c r="C13668" s="1" t="s">
        <v>8</v>
      </c>
      <c r="D13668" s="3">
        <f>VALUE("8220")</f>
        <v>8220</v>
      </c>
      <c r="E13668" s="2">
        <f>DATEVALUE("1-2-2018")</f>
        <v>43132</v>
      </c>
      <c r="F13668" s="2">
        <f>DATEVALUE("31-10-2018")</f>
        <v>43404</v>
      </c>
    </row>
    <row r="13669" spans="1:6" x14ac:dyDescent="0.25">
      <c r="A13669" s="1" t="s">
        <v>210</v>
      </c>
      <c r="B13669" s="1" t="s">
        <v>2061</v>
      </c>
      <c r="C13669" s="1" t="s">
        <v>28</v>
      </c>
      <c r="D13669" s="3">
        <f>VALUE("8220")</f>
        <v>8220</v>
      </c>
      <c r="E13669" s="2">
        <f>DATEVALUE("1-2-2018")</f>
        <v>43132</v>
      </c>
      <c r="F13669" s="2">
        <f>DATEVALUE("31-10-2018")</f>
        <v>43404</v>
      </c>
    </row>
    <row r="13670" spans="1:6" x14ac:dyDescent="0.25">
      <c r="A13670" s="1" t="s">
        <v>210</v>
      </c>
      <c r="B13670" s="1" t="s">
        <v>2061</v>
      </c>
      <c r="C13670" s="1" t="s">
        <v>30</v>
      </c>
      <c r="D13670" s="3">
        <f>VALUE("8220")</f>
        <v>8220</v>
      </c>
      <c r="E13670" s="2">
        <f>DATEVALUE("1-2-2018")</f>
        <v>43132</v>
      </c>
      <c r="F13670" s="2">
        <f>DATEVALUE("31-10-2018")</f>
        <v>43404</v>
      </c>
    </row>
    <row r="13671" spans="1:6" x14ac:dyDescent="0.25">
      <c r="A13671" s="1" t="s">
        <v>210</v>
      </c>
      <c r="B13671" s="1" t="s">
        <v>771</v>
      </c>
      <c r="C13671" s="1" t="s">
        <v>772</v>
      </c>
      <c r="D13671" s="3">
        <f t="shared" ref="D13671:D13686" si="2221">VALUE("7961")</f>
        <v>7961</v>
      </c>
      <c r="E13671" s="2">
        <f t="shared" ref="E13671:E13686" si="2222">DATEVALUE("1-9-2016")</f>
        <v>42614</v>
      </c>
      <c r="F13671" s="2">
        <f t="shared" ref="F13671:F13686" si="2223">DATEVALUE("31-3-2025")</f>
        <v>45747</v>
      </c>
    </row>
    <row r="13672" spans="1:6" x14ac:dyDescent="0.25">
      <c r="A13672" s="1" t="s">
        <v>210</v>
      </c>
      <c r="B13672" s="1" t="s">
        <v>771</v>
      </c>
      <c r="C13672" s="1" t="s">
        <v>484</v>
      </c>
      <c r="D13672" s="3">
        <f t="shared" si="2221"/>
        <v>7961</v>
      </c>
      <c r="E13672" s="2">
        <f t="shared" si="2222"/>
        <v>42614</v>
      </c>
      <c r="F13672" s="2">
        <f t="shared" si="2223"/>
        <v>45747</v>
      </c>
    </row>
    <row r="13673" spans="1:6" x14ac:dyDescent="0.25">
      <c r="A13673" s="1" t="s">
        <v>210</v>
      </c>
      <c r="B13673" s="1" t="s">
        <v>771</v>
      </c>
      <c r="C13673" s="1" t="s">
        <v>346</v>
      </c>
      <c r="D13673" s="3">
        <f t="shared" si="2221"/>
        <v>7961</v>
      </c>
      <c r="E13673" s="2">
        <f t="shared" si="2222"/>
        <v>42614</v>
      </c>
      <c r="F13673" s="2">
        <f t="shared" si="2223"/>
        <v>45747</v>
      </c>
    </row>
    <row r="13674" spans="1:6" x14ac:dyDescent="0.25">
      <c r="A13674" s="1" t="s">
        <v>210</v>
      </c>
      <c r="B13674" s="1" t="s">
        <v>771</v>
      </c>
      <c r="C13674" s="1" t="s">
        <v>347</v>
      </c>
      <c r="D13674" s="3">
        <f t="shared" si="2221"/>
        <v>7961</v>
      </c>
      <c r="E13674" s="2">
        <f t="shared" si="2222"/>
        <v>42614</v>
      </c>
      <c r="F13674" s="2">
        <f t="shared" si="2223"/>
        <v>45747</v>
      </c>
    </row>
    <row r="13675" spans="1:6" x14ac:dyDescent="0.25">
      <c r="A13675" s="1" t="s">
        <v>210</v>
      </c>
      <c r="B13675" s="1" t="s">
        <v>771</v>
      </c>
      <c r="C13675" s="1" t="s">
        <v>14</v>
      </c>
      <c r="D13675" s="3">
        <f t="shared" si="2221"/>
        <v>7961</v>
      </c>
      <c r="E13675" s="2">
        <f t="shared" si="2222"/>
        <v>42614</v>
      </c>
      <c r="F13675" s="2">
        <f t="shared" si="2223"/>
        <v>45747</v>
      </c>
    </row>
    <row r="13676" spans="1:6" x14ac:dyDescent="0.25">
      <c r="A13676" s="1" t="s">
        <v>210</v>
      </c>
      <c r="B13676" s="1" t="s">
        <v>771</v>
      </c>
      <c r="C13676" s="1" t="s">
        <v>17</v>
      </c>
      <c r="D13676" s="3">
        <f t="shared" si="2221"/>
        <v>7961</v>
      </c>
      <c r="E13676" s="2">
        <f t="shared" si="2222"/>
        <v>42614</v>
      </c>
      <c r="F13676" s="2">
        <f t="shared" si="2223"/>
        <v>45747</v>
      </c>
    </row>
    <row r="13677" spans="1:6" x14ac:dyDescent="0.25">
      <c r="A13677" s="1" t="s">
        <v>210</v>
      </c>
      <c r="B13677" s="1" t="s">
        <v>771</v>
      </c>
      <c r="C13677" s="1" t="s">
        <v>488</v>
      </c>
      <c r="D13677" s="3">
        <f t="shared" si="2221"/>
        <v>7961</v>
      </c>
      <c r="E13677" s="2">
        <f t="shared" si="2222"/>
        <v>42614</v>
      </c>
      <c r="F13677" s="2">
        <f t="shared" si="2223"/>
        <v>45747</v>
      </c>
    </row>
    <row r="13678" spans="1:6" x14ac:dyDescent="0.25">
      <c r="A13678" s="1" t="s">
        <v>210</v>
      </c>
      <c r="B13678" s="1" t="s">
        <v>771</v>
      </c>
      <c r="C13678" s="1" t="s">
        <v>417</v>
      </c>
      <c r="D13678" s="3">
        <f t="shared" si="2221"/>
        <v>7961</v>
      </c>
      <c r="E13678" s="2">
        <f t="shared" si="2222"/>
        <v>42614</v>
      </c>
      <c r="F13678" s="2">
        <f t="shared" si="2223"/>
        <v>45747</v>
      </c>
    </row>
    <row r="13679" spans="1:6" x14ac:dyDescent="0.25">
      <c r="A13679" s="1" t="s">
        <v>210</v>
      </c>
      <c r="B13679" s="1" t="s">
        <v>771</v>
      </c>
      <c r="C13679" s="1" t="s">
        <v>146</v>
      </c>
      <c r="D13679" s="3">
        <f t="shared" si="2221"/>
        <v>7961</v>
      </c>
      <c r="E13679" s="2">
        <f t="shared" si="2222"/>
        <v>42614</v>
      </c>
      <c r="F13679" s="2">
        <f t="shared" si="2223"/>
        <v>45747</v>
      </c>
    </row>
    <row r="13680" spans="1:6" x14ac:dyDescent="0.25">
      <c r="A13680" s="1" t="s">
        <v>210</v>
      </c>
      <c r="B13680" s="1" t="s">
        <v>771</v>
      </c>
      <c r="C13680" s="1" t="s">
        <v>67</v>
      </c>
      <c r="D13680" s="3">
        <f t="shared" si="2221"/>
        <v>7961</v>
      </c>
      <c r="E13680" s="2">
        <f t="shared" si="2222"/>
        <v>42614</v>
      </c>
      <c r="F13680" s="2">
        <f t="shared" si="2223"/>
        <v>45747</v>
      </c>
    </row>
    <row r="13681" spans="1:6" x14ac:dyDescent="0.25">
      <c r="A13681" s="1" t="s">
        <v>210</v>
      </c>
      <c r="B13681" s="1" t="s">
        <v>771</v>
      </c>
      <c r="C13681" s="1" t="s">
        <v>148</v>
      </c>
      <c r="D13681" s="3">
        <f t="shared" si="2221"/>
        <v>7961</v>
      </c>
      <c r="E13681" s="2">
        <f t="shared" si="2222"/>
        <v>42614</v>
      </c>
      <c r="F13681" s="2">
        <f t="shared" si="2223"/>
        <v>45747</v>
      </c>
    </row>
    <row r="13682" spans="1:6" x14ac:dyDescent="0.25">
      <c r="A13682" s="1" t="s">
        <v>210</v>
      </c>
      <c r="B13682" s="1" t="s">
        <v>771</v>
      </c>
      <c r="C13682" s="1" t="s">
        <v>149</v>
      </c>
      <c r="D13682" s="3">
        <f t="shared" si="2221"/>
        <v>7961</v>
      </c>
      <c r="E13682" s="2">
        <f t="shared" si="2222"/>
        <v>42614</v>
      </c>
      <c r="F13682" s="2">
        <f t="shared" si="2223"/>
        <v>45747</v>
      </c>
    </row>
    <row r="13683" spans="1:6" x14ac:dyDescent="0.25">
      <c r="A13683" s="1" t="s">
        <v>210</v>
      </c>
      <c r="B13683" s="1" t="s">
        <v>771</v>
      </c>
      <c r="C13683" s="1" t="s">
        <v>329</v>
      </c>
      <c r="D13683" s="3">
        <f t="shared" si="2221"/>
        <v>7961</v>
      </c>
      <c r="E13683" s="2">
        <f t="shared" si="2222"/>
        <v>42614</v>
      </c>
      <c r="F13683" s="2">
        <f t="shared" si="2223"/>
        <v>45747</v>
      </c>
    </row>
    <row r="13684" spans="1:6" x14ac:dyDescent="0.25">
      <c r="A13684" s="1" t="s">
        <v>210</v>
      </c>
      <c r="B13684" s="1" t="s">
        <v>771</v>
      </c>
      <c r="C13684" s="1" t="s">
        <v>72</v>
      </c>
      <c r="D13684" s="3">
        <f t="shared" si="2221"/>
        <v>7961</v>
      </c>
      <c r="E13684" s="2">
        <f t="shared" si="2222"/>
        <v>42614</v>
      </c>
      <c r="F13684" s="2">
        <f t="shared" si="2223"/>
        <v>45747</v>
      </c>
    </row>
    <row r="13685" spans="1:6" x14ac:dyDescent="0.25">
      <c r="A13685" s="1" t="s">
        <v>210</v>
      </c>
      <c r="B13685" s="1" t="s">
        <v>771</v>
      </c>
      <c r="C13685" s="1" t="s">
        <v>52</v>
      </c>
      <c r="D13685" s="3">
        <f t="shared" si="2221"/>
        <v>7961</v>
      </c>
      <c r="E13685" s="2">
        <f t="shared" si="2222"/>
        <v>42614</v>
      </c>
      <c r="F13685" s="2">
        <f t="shared" si="2223"/>
        <v>45747</v>
      </c>
    </row>
    <row r="13686" spans="1:6" x14ac:dyDescent="0.25">
      <c r="A13686" s="1" t="s">
        <v>210</v>
      </c>
      <c r="B13686" s="1" t="s">
        <v>771</v>
      </c>
      <c r="C13686" s="1" t="s">
        <v>34</v>
      </c>
      <c r="D13686" s="3">
        <f t="shared" si="2221"/>
        <v>7961</v>
      </c>
      <c r="E13686" s="2">
        <f t="shared" si="2222"/>
        <v>42614</v>
      </c>
      <c r="F13686" s="2">
        <f t="shared" si="2223"/>
        <v>45747</v>
      </c>
    </row>
    <row r="13687" spans="1:6" x14ac:dyDescent="0.25">
      <c r="A13687" s="1" t="s">
        <v>210</v>
      </c>
      <c r="B13687" s="1" t="s">
        <v>1933</v>
      </c>
      <c r="C13687" s="1" t="s">
        <v>17</v>
      </c>
      <c r="D13687" s="3">
        <f>VALUE("7621")</f>
        <v>7621</v>
      </c>
      <c r="E13687" s="2">
        <f>DATEVALUE("1-7-2014")</f>
        <v>41821</v>
      </c>
      <c r="F13687" s="2">
        <f>DATEVALUE("29-2-2016")</f>
        <v>42429</v>
      </c>
    </row>
    <row r="13688" spans="1:6" x14ac:dyDescent="0.25">
      <c r="A13688" s="1" t="s">
        <v>210</v>
      </c>
      <c r="B13688" s="1" t="s">
        <v>2603</v>
      </c>
      <c r="C13688" s="1" t="s">
        <v>172</v>
      </c>
      <c r="D13688" s="3">
        <f>VALUE("7195")</f>
        <v>7195</v>
      </c>
      <c r="E13688" s="2">
        <f>DATEVALUE("1-4-2011")</f>
        <v>40634</v>
      </c>
      <c r="F13688" s="2">
        <f>DATEVALUE("31-7-2013")</f>
        <v>41486</v>
      </c>
    </row>
    <row r="13689" spans="1:6" x14ac:dyDescent="0.25">
      <c r="A13689" s="1" t="s">
        <v>210</v>
      </c>
      <c r="B13689" s="1" t="s">
        <v>209</v>
      </c>
      <c r="C13689" s="1" t="s">
        <v>172</v>
      </c>
      <c r="D13689" s="3">
        <f>VALUE("7121")</f>
        <v>7121</v>
      </c>
      <c r="E13689" s="2">
        <f>DATEVALUE("1-2-2011")</f>
        <v>40575</v>
      </c>
      <c r="F13689" s="2">
        <f>DATEVALUE("30-11-2021")</f>
        <v>44530</v>
      </c>
    </row>
    <row r="13690" spans="1:6" x14ac:dyDescent="0.25">
      <c r="A13690" s="1" t="s">
        <v>210</v>
      </c>
      <c r="B13690" s="1" t="s">
        <v>209</v>
      </c>
      <c r="C13690" s="1" t="s">
        <v>211</v>
      </c>
      <c r="D13690" s="3">
        <f>VALUE("7121")</f>
        <v>7121</v>
      </c>
      <c r="E13690" s="2">
        <f>DATEVALUE("1-2-2011")</f>
        <v>40575</v>
      </c>
      <c r="F13690" s="2">
        <f>DATEVALUE("30-11-2021")</f>
        <v>44530</v>
      </c>
    </row>
    <row r="13691" spans="1:6" x14ac:dyDescent="0.25">
      <c r="A13691" s="1" t="s">
        <v>210</v>
      </c>
      <c r="B13691" s="1" t="s">
        <v>209</v>
      </c>
      <c r="C13691" s="1" t="s">
        <v>212</v>
      </c>
      <c r="D13691" s="3">
        <f>VALUE("7121")</f>
        <v>7121</v>
      </c>
      <c r="E13691" s="2">
        <f>DATEVALUE("1-2-2011")</f>
        <v>40575</v>
      </c>
      <c r="F13691" s="2">
        <f>DATEVALUE("30-11-2021")</f>
        <v>44530</v>
      </c>
    </row>
    <row r="13692" spans="1:6" x14ac:dyDescent="0.25">
      <c r="A13692" s="1" t="s">
        <v>210</v>
      </c>
      <c r="B13692" s="1" t="s">
        <v>209</v>
      </c>
      <c r="C13692" s="1" t="s">
        <v>31</v>
      </c>
      <c r="D13692" s="3">
        <f>VALUE("7121")</f>
        <v>7121</v>
      </c>
      <c r="E13692" s="2">
        <f>DATEVALUE("1-2-2011")</f>
        <v>40575</v>
      </c>
      <c r="F13692" s="2">
        <f>DATEVALUE("30-11-2021")</f>
        <v>44530</v>
      </c>
    </row>
    <row r="13693" spans="1:6" x14ac:dyDescent="0.25">
      <c r="A13693" s="1" t="s">
        <v>210</v>
      </c>
      <c r="B13693" s="1" t="s">
        <v>209</v>
      </c>
      <c r="C13693" s="1" t="s">
        <v>213</v>
      </c>
      <c r="D13693" s="3">
        <f>VALUE("7121")</f>
        <v>7121</v>
      </c>
      <c r="E13693" s="2">
        <f>DATEVALUE("1-2-2011")</f>
        <v>40575</v>
      </c>
      <c r="F13693" s="2">
        <f>DATEVALUE("30-11-2021")</f>
        <v>44530</v>
      </c>
    </row>
    <row r="13694" spans="1:6" x14ac:dyDescent="0.25">
      <c r="A13694" s="1" t="s">
        <v>2310</v>
      </c>
      <c r="B13694" s="1" t="s">
        <v>2309</v>
      </c>
      <c r="C13694" s="1" t="s">
        <v>14</v>
      </c>
      <c r="D13694" s="3">
        <f t="shared" ref="D13694:D13702" si="2224">VALUE("8132")</f>
        <v>8132</v>
      </c>
      <c r="E13694" s="2">
        <f t="shared" ref="E13694:E13702" si="2225">DATEVALUE("1-7-2017")</f>
        <v>42917</v>
      </c>
      <c r="F13694" s="2">
        <f t="shared" ref="F13694:F13702" si="2226">DATEVALUE("30-9-2019")</f>
        <v>43738</v>
      </c>
    </row>
    <row r="13695" spans="1:6" x14ac:dyDescent="0.25">
      <c r="A13695" s="1" t="s">
        <v>2310</v>
      </c>
      <c r="B13695" s="1" t="s">
        <v>2309</v>
      </c>
      <c r="C13695" s="1" t="s">
        <v>15</v>
      </c>
      <c r="D13695" s="3">
        <f t="shared" si="2224"/>
        <v>8132</v>
      </c>
      <c r="E13695" s="2">
        <f t="shared" si="2225"/>
        <v>42917</v>
      </c>
      <c r="F13695" s="2">
        <f t="shared" si="2226"/>
        <v>43738</v>
      </c>
    </row>
    <row r="13696" spans="1:6" x14ac:dyDescent="0.25">
      <c r="A13696" s="1" t="s">
        <v>2310</v>
      </c>
      <c r="B13696" s="1" t="s">
        <v>2309</v>
      </c>
      <c r="C13696" s="1" t="s">
        <v>17</v>
      </c>
      <c r="D13696" s="3">
        <f t="shared" si="2224"/>
        <v>8132</v>
      </c>
      <c r="E13696" s="2">
        <f t="shared" si="2225"/>
        <v>42917</v>
      </c>
      <c r="F13696" s="2">
        <f t="shared" si="2226"/>
        <v>43738</v>
      </c>
    </row>
    <row r="13697" spans="1:6" x14ac:dyDescent="0.25">
      <c r="A13697" s="1" t="s">
        <v>2310</v>
      </c>
      <c r="B13697" s="1" t="s">
        <v>2309</v>
      </c>
      <c r="C13697" s="1" t="s">
        <v>146</v>
      </c>
      <c r="D13697" s="3">
        <f t="shared" si="2224"/>
        <v>8132</v>
      </c>
      <c r="E13697" s="2">
        <f t="shared" si="2225"/>
        <v>42917</v>
      </c>
      <c r="F13697" s="2">
        <f t="shared" si="2226"/>
        <v>43738</v>
      </c>
    </row>
    <row r="13698" spans="1:6" x14ac:dyDescent="0.25">
      <c r="A13698" s="1" t="s">
        <v>2310</v>
      </c>
      <c r="B13698" s="1" t="s">
        <v>2309</v>
      </c>
      <c r="C13698" s="1" t="s">
        <v>148</v>
      </c>
      <c r="D13698" s="3">
        <f t="shared" si="2224"/>
        <v>8132</v>
      </c>
      <c r="E13698" s="2">
        <f t="shared" si="2225"/>
        <v>42917</v>
      </c>
      <c r="F13698" s="2">
        <f t="shared" si="2226"/>
        <v>43738</v>
      </c>
    </row>
    <row r="13699" spans="1:6" x14ac:dyDescent="0.25">
      <c r="A13699" s="1" t="s">
        <v>2310</v>
      </c>
      <c r="B13699" s="1" t="s">
        <v>2309</v>
      </c>
      <c r="C13699" s="1" t="s">
        <v>24</v>
      </c>
      <c r="D13699" s="3">
        <f t="shared" si="2224"/>
        <v>8132</v>
      </c>
      <c r="E13699" s="2">
        <f t="shared" si="2225"/>
        <v>42917</v>
      </c>
      <c r="F13699" s="2">
        <f t="shared" si="2226"/>
        <v>43738</v>
      </c>
    </row>
    <row r="13700" spans="1:6" x14ac:dyDescent="0.25">
      <c r="A13700" s="1" t="s">
        <v>2310</v>
      </c>
      <c r="B13700" s="1" t="s">
        <v>2309</v>
      </c>
      <c r="C13700" s="1" t="s">
        <v>51</v>
      </c>
      <c r="D13700" s="3">
        <f t="shared" si="2224"/>
        <v>8132</v>
      </c>
      <c r="E13700" s="2">
        <f t="shared" si="2225"/>
        <v>42917</v>
      </c>
      <c r="F13700" s="2">
        <f t="shared" si="2226"/>
        <v>43738</v>
      </c>
    </row>
    <row r="13701" spans="1:6" x14ac:dyDescent="0.25">
      <c r="A13701" s="1" t="s">
        <v>2310</v>
      </c>
      <c r="B13701" s="1" t="s">
        <v>2309</v>
      </c>
      <c r="C13701" s="1" t="s">
        <v>121</v>
      </c>
      <c r="D13701" s="3">
        <f t="shared" si="2224"/>
        <v>8132</v>
      </c>
      <c r="E13701" s="2">
        <f t="shared" si="2225"/>
        <v>42917</v>
      </c>
      <c r="F13701" s="2">
        <f t="shared" si="2226"/>
        <v>43738</v>
      </c>
    </row>
    <row r="13702" spans="1:6" x14ac:dyDescent="0.25">
      <c r="A13702" s="1" t="s">
        <v>2310</v>
      </c>
      <c r="B13702" s="1" t="s">
        <v>2309</v>
      </c>
      <c r="C13702" s="1" t="s">
        <v>34</v>
      </c>
      <c r="D13702" s="3">
        <f t="shared" si="2224"/>
        <v>8132</v>
      </c>
      <c r="E13702" s="2">
        <f t="shared" si="2225"/>
        <v>42917</v>
      </c>
      <c r="F13702" s="2">
        <f t="shared" si="2226"/>
        <v>43738</v>
      </c>
    </row>
    <row r="13703" spans="1:6" x14ac:dyDescent="0.25">
      <c r="A13703" s="1" t="s">
        <v>1792</v>
      </c>
      <c r="B13703" s="1" t="s">
        <v>1791</v>
      </c>
      <c r="C13703" s="1" t="s">
        <v>87</v>
      </c>
      <c r="D13703" s="3">
        <f t="shared" ref="D13703:D13721" si="2227">VALUE("8387")</f>
        <v>8387</v>
      </c>
      <c r="E13703" s="2">
        <f t="shared" ref="E13703:E13721" si="2228">DATEVALUE("1-8-2019")</f>
        <v>43678</v>
      </c>
      <c r="F13703" s="2">
        <f t="shared" ref="F13703:F13721" si="2229">DATEVALUE("30-6-2020")</f>
        <v>44012</v>
      </c>
    </row>
    <row r="13704" spans="1:6" x14ac:dyDescent="0.25">
      <c r="A13704" s="1" t="s">
        <v>1792</v>
      </c>
      <c r="B13704" s="1" t="s">
        <v>1791</v>
      </c>
      <c r="C13704" s="1" t="s">
        <v>14</v>
      </c>
      <c r="D13704" s="3">
        <f t="shared" si="2227"/>
        <v>8387</v>
      </c>
      <c r="E13704" s="2">
        <f t="shared" si="2228"/>
        <v>43678</v>
      </c>
      <c r="F13704" s="2">
        <f t="shared" si="2229"/>
        <v>44012</v>
      </c>
    </row>
    <row r="13705" spans="1:6" x14ac:dyDescent="0.25">
      <c r="A13705" s="1" t="s">
        <v>1792</v>
      </c>
      <c r="B13705" s="1" t="s">
        <v>1791</v>
      </c>
      <c r="C13705" s="1" t="s">
        <v>66</v>
      </c>
      <c r="D13705" s="3">
        <f t="shared" si="2227"/>
        <v>8387</v>
      </c>
      <c r="E13705" s="2">
        <f t="shared" si="2228"/>
        <v>43678</v>
      </c>
      <c r="F13705" s="2">
        <f t="shared" si="2229"/>
        <v>44012</v>
      </c>
    </row>
    <row r="13706" spans="1:6" x14ac:dyDescent="0.25">
      <c r="A13706" s="1" t="s">
        <v>1792</v>
      </c>
      <c r="B13706" s="1" t="s">
        <v>1791</v>
      </c>
      <c r="C13706" s="1" t="s">
        <v>15</v>
      </c>
      <c r="D13706" s="3">
        <f t="shared" si="2227"/>
        <v>8387</v>
      </c>
      <c r="E13706" s="2">
        <f t="shared" si="2228"/>
        <v>43678</v>
      </c>
      <c r="F13706" s="2">
        <f t="shared" si="2229"/>
        <v>44012</v>
      </c>
    </row>
    <row r="13707" spans="1:6" x14ac:dyDescent="0.25">
      <c r="A13707" s="1" t="s">
        <v>1792</v>
      </c>
      <c r="B13707" s="1" t="s">
        <v>1791</v>
      </c>
      <c r="C13707" s="1" t="s">
        <v>89</v>
      </c>
      <c r="D13707" s="3">
        <f t="shared" si="2227"/>
        <v>8387</v>
      </c>
      <c r="E13707" s="2">
        <f t="shared" si="2228"/>
        <v>43678</v>
      </c>
      <c r="F13707" s="2">
        <f t="shared" si="2229"/>
        <v>44012</v>
      </c>
    </row>
    <row r="13708" spans="1:6" x14ac:dyDescent="0.25">
      <c r="A13708" s="1" t="s">
        <v>1792</v>
      </c>
      <c r="B13708" s="1" t="s">
        <v>1791</v>
      </c>
      <c r="C13708" s="1" t="s">
        <v>17</v>
      </c>
      <c r="D13708" s="3">
        <f t="shared" si="2227"/>
        <v>8387</v>
      </c>
      <c r="E13708" s="2">
        <f t="shared" si="2228"/>
        <v>43678</v>
      </c>
      <c r="F13708" s="2">
        <f t="shared" si="2229"/>
        <v>44012</v>
      </c>
    </row>
    <row r="13709" spans="1:6" x14ac:dyDescent="0.25">
      <c r="A13709" s="1" t="s">
        <v>1792</v>
      </c>
      <c r="B13709" s="1" t="s">
        <v>1791</v>
      </c>
      <c r="C13709" s="1" t="s">
        <v>499</v>
      </c>
      <c r="D13709" s="3">
        <f t="shared" si="2227"/>
        <v>8387</v>
      </c>
      <c r="E13709" s="2">
        <f t="shared" si="2228"/>
        <v>43678</v>
      </c>
      <c r="F13709" s="2">
        <f t="shared" si="2229"/>
        <v>44012</v>
      </c>
    </row>
    <row r="13710" spans="1:6" x14ac:dyDescent="0.25">
      <c r="A13710" s="1" t="s">
        <v>1792</v>
      </c>
      <c r="B13710" s="1" t="s">
        <v>1791</v>
      </c>
      <c r="C13710" s="1" t="s">
        <v>500</v>
      </c>
      <c r="D13710" s="3">
        <f t="shared" si="2227"/>
        <v>8387</v>
      </c>
      <c r="E13710" s="2">
        <f t="shared" si="2228"/>
        <v>43678</v>
      </c>
      <c r="F13710" s="2">
        <f t="shared" si="2229"/>
        <v>44012</v>
      </c>
    </row>
    <row r="13711" spans="1:6" x14ac:dyDescent="0.25">
      <c r="A13711" s="1" t="s">
        <v>1792</v>
      </c>
      <c r="B13711" s="1" t="s">
        <v>1791</v>
      </c>
      <c r="C13711" s="1" t="s">
        <v>144</v>
      </c>
      <c r="D13711" s="3">
        <f t="shared" si="2227"/>
        <v>8387</v>
      </c>
      <c r="E13711" s="2">
        <f t="shared" si="2228"/>
        <v>43678</v>
      </c>
      <c r="F13711" s="2">
        <f t="shared" si="2229"/>
        <v>44012</v>
      </c>
    </row>
    <row r="13712" spans="1:6" x14ac:dyDescent="0.25">
      <c r="A13712" s="1" t="s">
        <v>1792</v>
      </c>
      <c r="B13712" s="1" t="s">
        <v>1791</v>
      </c>
      <c r="C13712" s="1" t="s">
        <v>22</v>
      </c>
      <c r="D13712" s="3">
        <f t="shared" si="2227"/>
        <v>8387</v>
      </c>
      <c r="E13712" s="2">
        <f t="shared" si="2228"/>
        <v>43678</v>
      </c>
      <c r="F13712" s="2">
        <f t="shared" si="2229"/>
        <v>44012</v>
      </c>
    </row>
    <row r="13713" spans="1:6" x14ac:dyDescent="0.25">
      <c r="A13713" s="1" t="s">
        <v>1792</v>
      </c>
      <c r="B13713" s="1" t="s">
        <v>1791</v>
      </c>
      <c r="C13713" s="1" t="s">
        <v>146</v>
      </c>
      <c r="D13713" s="3">
        <f t="shared" si="2227"/>
        <v>8387</v>
      </c>
      <c r="E13713" s="2">
        <f t="shared" si="2228"/>
        <v>43678</v>
      </c>
      <c r="F13713" s="2">
        <f t="shared" si="2229"/>
        <v>44012</v>
      </c>
    </row>
    <row r="13714" spans="1:6" x14ac:dyDescent="0.25">
      <c r="A13714" s="1" t="s">
        <v>1792</v>
      </c>
      <c r="B13714" s="1" t="s">
        <v>1791</v>
      </c>
      <c r="C13714" s="1" t="s">
        <v>148</v>
      </c>
      <c r="D13714" s="3">
        <f t="shared" si="2227"/>
        <v>8387</v>
      </c>
      <c r="E13714" s="2">
        <f t="shared" si="2228"/>
        <v>43678</v>
      </c>
      <c r="F13714" s="2">
        <f t="shared" si="2229"/>
        <v>44012</v>
      </c>
    </row>
    <row r="13715" spans="1:6" x14ac:dyDescent="0.25">
      <c r="A13715" s="1" t="s">
        <v>1792</v>
      </c>
      <c r="B13715" s="1" t="s">
        <v>1791</v>
      </c>
      <c r="C13715" s="1" t="s">
        <v>386</v>
      </c>
      <c r="D13715" s="3">
        <f t="shared" si="2227"/>
        <v>8387</v>
      </c>
      <c r="E13715" s="2">
        <f t="shared" si="2228"/>
        <v>43678</v>
      </c>
      <c r="F13715" s="2">
        <f t="shared" si="2229"/>
        <v>44012</v>
      </c>
    </row>
    <row r="13716" spans="1:6" x14ac:dyDescent="0.25">
      <c r="A13716" s="1" t="s">
        <v>1792</v>
      </c>
      <c r="B13716" s="1" t="s">
        <v>1791</v>
      </c>
      <c r="C13716" s="1" t="s">
        <v>92</v>
      </c>
      <c r="D13716" s="3">
        <f t="shared" si="2227"/>
        <v>8387</v>
      </c>
      <c r="E13716" s="2">
        <f t="shared" si="2228"/>
        <v>43678</v>
      </c>
      <c r="F13716" s="2">
        <f t="shared" si="2229"/>
        <v>44012</v>
      </c>
    </row>
    <row r="13717" spans="1:6" x14ac:dyDescent="0.25">
      <c r="A13717" s="1" t="s">
        <v>1792</v>
      </c>
      <c r="B13717" s="1" t="s">
        <v>1791</v>
      </c>
      <c r="C13717" s="1" t="s">
        <v>24</v>
      </c>
      <c r="D13717" s="3">
        <f t="shared" si="2227"/>
        <v>8387</v>
      </c>
      <c r="E13717" s="2">
        <f t="shared" si="2228"/>
        <v>43678</v>
      </c>
      <c r="F13717" s="2">
        <f t="shared" si="2229"/>
        <v>44012</v>
      </c>
    </row>
    <row r="13718" spans="1:6" x14ac:dyDescent="0.25">
      <c r="A13718" s="1" t="s">
        <v>1792</v>
      </c>
      <c r="B13718" s="1" t="s">
        <v>1791</v>
      </c>
      <c r="C13718" s="1" t="s">
        <v>73</v>
      </c>
      <c r="D13718" s="3">
        <f t="shared" si="2227"/>
        <v>8387</v>
      </c>
      <c r="E13718" s="2">
        <f t="shared" si="2228"/>
        <v>43678</v>
      </c>
      <c r="F13718" s="2">
        <f t="shared" si="2229"/>
        <v>44012</v>
      </c>
    </row>
    <row r="13719" spans="1:6" x14ac:dyDescent="0.25">
      <c r="A13719" s="1" t="s">
        <v>1792</v>
      </c>
      <c r="B13719" s="1" t="s">
        <v>1791</v>
      </c>
      <c r="C13719" s="1" t="s">
        <v>391</v>
      </c>
      <c r="D13719" s="3">
        <f t="shared" si="2227"/>
        <v>8387</v>
      </c>
      <c r="E13719" s="2">
        <f t="shared" si="2228"/>
        <v>43678</v>
      </c>
      <c r="F13719" s="2">
        <f t="shared" si="2229"/>
        <v>44012</v>
      </c>
    </row>
    <row r="13720" spans="1:6" x14ac:dyDescent="0.25">
      <c r="A13720" s="1" t="s">
        <v>1792</v>
      </c>
      <c r="B13720" s="1" t="s">
        <v>1791</v>
      </c>
      <c r="C13720" s="1" t="s">
        <v>160</v>
      </c>
      <c r="D13720" s="3">
        <f t="shared" si="2227"/>
        <v>8387</v>
      </c>
      <c r="E13720" s="2">
        <f t="shared" si="2228"/>
        <v>43678</v>
      </c>
      <c r="F13720" s="2">
        <f t="shared" si="2229"/>
        <v>44012</v>
      </c>
    </row>
    <row r="13721" spans="1:6" x14ac:dyDescent="0.25">
      <c r="A13721" s="1" t="s">
        <v>1792</v>
      </c>
      <c r="B13721" s="1" t="s">
        <v>1791</v>
      </c>
      <c r="C13721" s="1" t="s">
        <v>34</v>
      </c>
      <c r="D13721" s="3">
        <f t="shared" si="2227"/>
        <v>8387</v>
      </c>
      <c r="E13721" s="2">
        <f t="shared" si="2228"/>
        <v>43678</v>
      </c>
      <c r="F13721" s="2">
        <f t="shared" si="2229"/>
        <v>44012</v>
      </c>
    </row>
    <row r="13722" spans="1:6" x14ac:dyDescent="0.25">
      <c r="A13722" s="1" t="s">
        <v>935</v>
      </c>
      <c r="B13722" s="1" t="s">
        <v>1645</v>
      </c>
      <c r="C13722" s="1" t="s">
        <v>289</v>
      </c>
      <c r="D13722" s="3">
        <f t="shared" ref="D13722:D13737" si="2230">VALUE("8815")</f>
        <v>8815</v>
      </c>
      <c r="E13722" s="2">
        <f t="shared" ref="E13722:E13737" si="2231">DATEVALUE("1-8-2020")</f>
        <v>44044</v>
      </c>
      <c r="F13722" s="2">
        <f t="shared" ref="F13722:F13737" si="2232">DATEVALUE("31-10-2020")</f>
        <v>44135</v>
      </c>
    </row>
    <row r="13723" spans="1:6" x14ac:dyDescent="0.25">
      <c r="A13723" s="1" t="s">
        <v>935</v>
      </c>
      <c r="B13723" s="1" t="s">
        <v>1645</v>
      </c>
      <c r="C13723" s="1" t="s">
        <v>139</v>
      </c>
      <c r="D13723" s="3">
        <f t="shared" si="2230"/>
        <v>8815</v>
      </c>
      <c r="E13723" s="2">
        <f t="shared" si="2231"/>
        <v>44044</v>
      </c>
      <c r="F13723" s="2">
        <f t="shared" si="2232"/>
        <v>44135</v>
      </c>
    </row>
    <row r="13724" spans="1:6" x14ac:dyDescent="0.25">
      <c r="A13724" s="1" t="s">
        <v>935</v>
      </c>
      <c r="B13724" s="1" t="s">
        <v>1645</v>
      </c>
      <c r="C13724" s="1" t="s">
        <v>184</v>
      </c>
      <c r="D13724" s="3">
        <f t="shared" si="2230"/>
        <v>8815</v>
      </c>
      <c r="E13724" s="2">
        <f t="shared" si="2231"/>
        <v>44044</v>
      </c>
      <c r="F13724" s="2">
        <f t="shared" si="2232"/>
        <v>44135</v>
      </c>
    </row>
    <row r="13725" spans="1:6" x14ac:dyDescent="0.25">
      <c r="A13725" s="1" t="s">
        <v>935</v>
      </c>
      <c r="B13725" s="1" t="s">
        <v>1645</v>
      </c>
      <c r="C13725" s="1" t="s">
        <v>65</v>
      </c>
      <c r="D13725" s="3">
        <f t="shared" si="2230"/>
        <v>8815</v>
      </c>
      <c r="E13725" s="2">
        <f t="shared" si="2231"/>
        <v>44044</v>
      </c>
      <c r="F13725" s="2">
        <f t="shared" si="2232"/>
        <v>44135</v>
      </c>
    </row>
    <row r="13726" spans="1:6" x14ac:dyDescent="0.25">
      <c r="A13726" s="1" t="s">
        <v>935</v>
      </c>
      <c r="B13726" s="1" t="s">
        <v>1645</v>
      </c>
      <c r="C13726" s="1" t="s">
        <v>14</v>
      </c>
      <c r="D13726" s="3">
        <f t="shared" si="2230"/>
        <v>8815</v>
      </c>
      <c r="E13726" s="2">
        <f t="shared" si="2231"/>
        <v>44044</v>
      </c>
      <c r="F13726" s="2">
        <f t="shared" si="2232"/>
        <v>44135</v>
      </c>
    </row>
    <row r="13727" spans="1:6" x14ac:dyDescent="0.25">
      <c r="A13727" s="1" t="s">
        <v>935</v>
      </c>
      <c r="B13727" s="1" t="s">
        <v>1645</v>
      </c>
      <c r="C13727" s="1" t="s">
        <v>15</v>
      </c>
      <c r="D13727" s="3">
        <f t="shared" si="2230"/>
        <v>8815</v>
      </c>
      <c r="E13727" s="2">
        <f t="shared" si="2231"/>
        <v>44044</v>
      </c>
      <c r="F13727" s="2">
        <f t="shared" si="2232"/>
        <v>44135</v>
      </c>
    </row>
    <row r="13728" spans="1:6" x14ac:dyDescent="0.25">
      <c r="A13728" s="1" t="s">
        <v>935</v>
      </c>
      <c r="B13728" s="1" t="s">
        <v>1645</v>
      </c>
      <c r="C13728" s="1" t="s">
        <v>17</v>
      </c>
      <c r="D13728" s="3">
        <f t="shared" si="2230"/>
        <v>8815</v>
      </c>
      <c r="E13728" s="2">
        <f t="shared" si="2231"/>
        <v>44044</v>
      </c>
      <c r="F13728" s="2">
        <f t="shared" si="2232"/>
        <v>44135</v>
      </c>
    </row>
    <row r="13729" spans="1:6" x14ac:dyDescent="0.25">
      <c r="A13729" s="1" t="s">
        <v>935</v>
      </c>
      <c r="B13729" s="1" t="s">
        <v>1645</v>
      </c>
      <c r="C13729" s="1" t="s">
        <v>291</v>
      </c>
      <c r="D13729" s="3">
        <f t="shared" si="2230"/>
        <v>8815</v>
      </c>
      <c r="E13729" s="2">
        <f t="shared" si="2231"/>
        <v>44044</v>
      </c>
      <c r="F13729" s="2">
        <f t="shared" si="2232"/>
        <v>44135</v>
      </c>
    </row>
    <row r="13730" spans="1:6" x14ac:dyDescent="0.25">
      <c r="A13730" s="1" t="s">
        <v>935</v>
      </c>
      <c r="B13730" s="1" t="s">
        <v>1645</v>
      </c>
      <c r="C13730" s="1" t="s">
        <v>22</v>
      </c>
      <c r="D13730" s="3">
        <f t="shared" si="2230"/>
        <v>8815</v>
      </c>
      <c r="E13730" s="2">
        <f t="shared" si="2231"/>
        <v>44044</v>
      </c>
      <c r="F13730" s="2">
        <f t="shared" si="2232"/>
        <v>44135</v>
      </c>
    </row>
    <row r="13731" spans="1:6" x14ac:dyDescent="0.25">
      <c r="A13731" s="1" t="s">
        <v>935</v>
      </c>
      <c r="B13731" s="1" t="s">
        <v>1645</v>
      </c>
      <c r="C13731" s="1" t="s">
        <v>146</v>
      </c>
      <c r="D13731" s="3">
        <f t="shared" si="2230"/>
        <v>8815</v>
      </c>
      <c r="E13731" s="2">
        <f t="shared" si="2231"/>
        <v>44044</v>
      </c>
      <c r="F13731" s="2">
        <f t="shared" si="2232"/>
        <v>44135</v>
      </c>
    </row>
    <row r="13732" spans="1:6" x14ac:dyDescent="0.25">
      <c r="A13732" s="1" t="s">
        <v>935</v>
      </c>
      <c r="B13732" s="1" t="s">
        <v>1645</v>
      </c>
      <c r="C13732" s="1" t="s">
        <v>148</v>
      </c>
      <c r="D13732" s="3">
        <f t="shared" si="2230"/>
        <v>8815</v>
      </c>
      <c r="E13732" s="2">
        <f t="shared" si="2231"/>
        <v>44044</v>
      </c>
      <c r="F13732" s="2">
        <f t="shared" si="2232"/>
        <v>44135</v>
      </c>
    </row>
    <row r="13733" spans="1:6" x14ac:dyDescent="0.25">
      <c r="A13733" s="1" t="s">
        <v>935</v>
      </c>
      <c r="B13733" s="1" t="s">
        <v>1645</v>
      </c>
      <c r="C13733" s="1" t="s">
        <v>92</v>
      </c>
      <c r="D13733" s="3">
        <f t="shared" si="2230"/>
        <v>8815</v>
      </c>
      <c r="E13733" s="2">
        <f t="shared" si="2231"/>
        <v>44044</v>
      </c>
      <c r="F13733" s="2">
        <f t="shared" si="2232"/>
        <v>44135</v>
      </c>
    </row>
    <row r="13734" spans="1:6" x14ac:dyDescent="0.25">
      <c r="A13734" s="1" t="s">
        <v>935</v>
      </c>
      <c r="B13734" s="1" t="s">
        <v>1645</v>
      </c>
      <c r="C13734" s="1" t="s">
        <v>24</v>
      </c>
      <c r="D13734" s="3">
        <f t="shared" si="2230"/>
        <v>8815</v>
      </c>
      <c r="E13734" s="2">
        <f t="shared" si="2231"/>
        <v>44044</v>
      </c>
      <c r="F13734" s="2">
        <f t="shared" si="2232"/>
        <v>44135</v>
      </c>
    </row>
    <row r="13735" spans="1:6" x14ac:dyDescent="0.25">
      <c r="A13735" s="1" t="s">
        <v>935</v>
      </c>
      <c r="B13735" s="1" t="s">
        <v>1645</v>
      </c>
      <c r="C13735" s="1" t="s">
        <v>50</v>
      </c>
      <c r="D13735" s="3">
        <f t="shared" si="2230"/>
        <v>8815</v>
      </c>
      <c r="E13735" s="2">
        <f t="shared" si="2231"/>
        <v>44044</v>
      </c>
      <c r="F13735" s="2">
        <f t="shared" si="2232"/>
        <v>44135</v>
      </c>
    </row>
    <row r="13736" spans="1:6" x14ac:dyDescent="0.25">
      <c r="A13736" s="1" t="s">
        <v>935</v>
      </c>
      <c r="B13736" s="1" t="s">
        <v>1645</v>
      </c>
      <c r="C13736" s="1" t="s">
        <v>34</v>
      </c>
      <c r="D13736" s="3">
        <f t="shared" si="2230"/>
        <v>8815</v>
      </c>
      <c r="E13736" s="2">
        <f t="shared" si="2231"/>
        <v>44044</v>
      </c>
      <c r="F13736" s="2">
        <f t="shared" si="2232"/>
        <v>44135</v>
      </c>
    </row>
    <row r="13737" spans="1:6" x14ac:dyDescent="0.25">
      <c r="A13737" s="1" t="s">
        <v>935</v>
      </c>
      <c r="B13737" s="1" t="s">
        <v>1645</v>
      </c>
      <c r="C13737" s="1" t="s">
        <v>55</v>
      </c>
      <c r="D13737" s="3">
        <f t="shared" si="2230"/>
        <v>8815</v>
      </c>
      <c r="E13737" s="2">
        <f t="shared" si="2231"/>
        <v>44044</v>
      </c>
      <c r="F13737" s="2">
        <f t="shared" si="2232"/>
        <v>44135</v>
      </c>
    </row>
    <row r="13738" spans="1:6" x14ac:dyDescent="0.25">
      <c r="A13738" s="1" t="s">
        <v>935</v>
      </c>
      <c r="B13738" s="1" t="s">
        <v>934</v>
      </c>
      <c r="C13738" s="1" t="s">
        <v>184</v>
      </c>
      <c r="D13738" s="3">
        <f t="shared" ref="D13738:D13748" si="2233">VALUE("8205")</f>
        <v>8205</v>
      </c>
      <c r="E13738" s="2">
        <f t="shared" ref="E13738:E13748" si="2234">DATEVALUE("1-4-2018")</f>
        <v>43191</v>
      </c>
      <c r="F13738" s="2">
        <f t="shared" ref="F13738:F13748" si="2235">DATEVALUE("31-5-2021")</f>
        <v>44347</v>
      </c>
    </row>
    <row r="13739" spans="1:6" x14ac:dyDescent="0.25">
      <c r="A13739" s="1" t="s">
        <v>935</v>
      </c>
      <c r="B13739" s="1" t="s">
        <v>934</v>
      </c>
      <c r="C13739" s="1" t="s">
        <v>17</v>
      </c>
      <c r="D13739" s="3">
        <f t="shared" si="2233"/>
        <v>8205</v>
      </c>
      <c r="E13739" s="2">
        <f t="shared" si="2234"/>
        <v>43191</v>
      </c>
      <c r="F13739" s="2">
        <f t="shared" si="2235"/>
        <v>44347</v>
      </c>
    </row>
    <row r="13740" spans="1:6" x14ac:dyDescent="0.25">
      <c r="A13740" s="1" t="s">
        <v>935</v>
      </c>
      <c r="B13740" s="1" t="s">
        <v>934</v>
      </c>
      <c r="C13740" s="1" t="s">
        <v>22</v>
      </c>
      <c r="D13740" s="3">
        <f t="shared" si="2233"/>
        <v>8205</v>
      </c>
      <c r="E13740" s="2">
        <f t="shared" si="2234"/>
        <v>43191</v>
      </c>
      <c r="F13740" s="2">
        <f t="shared" si="2235"/>
        <v>44347</v>
      </c>
    </row>
    <row r="13741" spans="1:6" x14ac:dyDescent="0.25">
      <c r="A13741" s="1" t="s">
        <v>935</v>
      </c>
      <c r="B13741" s="1" t="s">
        <v>934</v>
      </c>
      <c r="C13741" s="1" t="s">
        <v>384</v>
      </c>
      <c r="D13741" s="3">
        <f t="shared" si="2233"/>
        <v>8205</v>
      </c>
      <c r="E13741" s="2">
        <f t="shared" si="2234"/>
        <v>43191</v>
      </c>
      <c r="F13741" s="2">
        <f t="shared" si="2235"/>
        <v>44347</v>
      </c>
    </row>
    <row r="13742" spans="1:6" x14ac:dyDescent="0.25">
      <c r="A13742" s="1" t="s">
        <v>935</v>
      </c>
      <c r="B13742" s="1" t="s">
        <v>934</v>
      </c>
      <c r="C13742" s="1" t="s">
        <v>147</v>
      </c>
      <c r="D13742" s="3">
        <f t="shared" si="2233"/>
        <v>8205</v>
      </c>
      <c r="E13742" s="2">
        <f t="shared" si="2234"/>
        <v>43191</v>
      </c>
      <c r="F13742" s="2">
        <f t="shared" si="2235"/>
        <v>44347</v>
      </c>
    </row>
    <row r="13743" spans="1:6" x14ac:dyDescent="0.25">
      <c r="A13743" s="1" t="s">
        <v>935</v>
      </c>
      <c r="B13743" s="1" t="s">
        <v>934</v>
      </c>
      <c r="C13743" s="1" t="s">
        <v>148</v>
      </c>
      <c r="D13743" s="3">
        <f t="shared" si="2233"/>
        <v>8205</v>
      </c>
      <c r="E13743" s="2">
        <f t="shared" si="2234"/>
        <v>43191</v>
      </c>
      <c r="F13743" s="2">
        <f t="shared" si="2235"/>
        <v>44347</v>
      </c>
    </row>
    <row r="13744" spans="1:6" x14ac:dyDescent="0.25">
      <c r="A13744" s="1" t="s">
        <v>935</v>
      </c>
      <c r="B13744" s="1" t="s">
        <v>934</v>
      </c>
      <c r="C13744" s="1" t="s">
        <v>92</v>
      </c>
      <c r="D13744" s="3">
        <f t="shared" si="2233"/>
        <v>8205</v>
      </c>
      <c r="E13744" s="2">
        <f t="shared" si="2234"/>
        <v>43191</v>
      </c>
      <c r="F13744" s="2">
        <f t="shared" si="2235"/>
        <v>44347</v>
      </c>
    </row>
    <row r="13745" spans="1:6" x14ac:dyDescent="0.25">
      <c r="A13745" s="1" t="s">
        <v>935</v>
      </c>
      <c r="B13745" s="1" t="s">
        <v>934</v>
      </c>
      <c r="C13745" s="1" t="s">
        <v>571</v>
      </c>
      <c r="D13745" s="3">
        <f t="shared" si="2233"/>
        <v>8205</v>
      </c>
      <c r="E13745" s="2">
        <f t="shared" si="2234"/>
        <v>43191</v>
      </c>
      <c r="F13745" s="2">
        <f t="shared" si="2235"/>
        <v>44347</v>
      </c>
    </row>
    <row r="13746" spans="1:6" x14ac:dyDescent="0.25">
      <c r="A13746" s="1" t="s">
        <v>935</v>
      </c>
      <c r="B13746" s="1" t="s">
        <v>934</v>
      </c>
      <c r="C13746" s="1" t="s">
        <v>572</v>
      </c>
      <c r="D13746" s="3">
        <f t="shared" si="2233"/>
        <v>8205</v>
      </c>
      <c r="E13746" s="2">
        <f t="shared" si="2234"/>
        <v>43191</v>
      </c>
      <c r="F13746" s="2">
        <f t="shared" si="2235"/>
        <v>44347</v>
      </c>
    </row>
    <row r="13747" spans="1:6" x14ac:dyDescent="0.25">
      <c r="A13747" s="1" t="s">
        <v>935</v>
      </c>
      <c r="B13747" s="1" t="s">
        <v>934</v>
      </c>
      <c r="C13747" s="1" t="s">
        <v>573</v>
      </c>
      <c r="D13747" s="3">
        <f t="shared" si="2233"/>
        <v>8205</v>
      </c>
      <c r="E13747" s="2">
        <f t="shared" si="2234"/>
        <v>43191</v>
      </c>
      <c r="F13747" s="2">
        <f t="shared" si="2235"/>
        <v>44347</v>
      </c>
    </row>
    <row r="13748" spans="1:6" x14ac:dyDescent="0.25">
      <c r="A13748" s="1" t="s">
        <v>935</v>
      </c>
      <c r="B13748" s="1" t="s">
        <v>934</v>
      </c>
      <c r="C13748" s="1" t="s">
        <v>70</v>
      </c>
      <c r="D13748" s="3">
        <f t="shared" si="2233"/>
        <v>8205</v>
      </c>
      <c r="E13748" s="2">
        <f t="shared" si="2234"/>
        <v>43191</v>
      </c>
      <c r="F13748" s="2">
        <f t="shared" si="2235"/>
        <v>44347</v>
      </c>
    </row>
    <row r="13749" spans="1:6" x14ac:dyDescent="0.25">
      <c r="A13749" s="1" t="s">
        <v>935</v>
      </c>
      <c r="B13749" s="1" t="s">
        <v>2030</v>
      </c>
      <c r="C13749" s="1" t="s">
        <v>14</v>
      </c>
      <c r="D13749" s="3">
        <f t="shared" ref="D13749:D13756" si="2236">VALUE("8047")</f>
        <v>8047</v>
      </c>
      <c r="E13749" s="2">
        <f t="shared" ref="E13749:E13756" si="2237">DATEVALUE("1-8-2017")</f>
        <v>42948</v>
      </c>
      <c r="F13749" s="2">
        <f t="shared" ref="F13749:F13756" si="2238">DATEVALUE("30-9-2018")</f>
        <v>43373</v>
      </c>
    </row>
    <row r="13750" spans="1:6" x14ac:dyDescent="0.25">
      <c r="A13750" s="1" t="s">
        <v>935</v>
      </c>
      <c r="B13750" s="1" t="s">
        <v>2030</v>
      </c>
      <c r="C13750" s="1" t="s">
        <v>66</v>
      </c>
      <c r="D13750" s="3">
        <f t="shared" si="2236"/>
        <v>8047</v>
      </c>
      <c r="E13750" s="2">
        <f t="shared" si="2237"/>
        <v>42948</v>
      </c>
      <c r="F13750" s="2">
        <f t="shared" si="2238"/>
        <v>43373</v>
      </c>
    </row>
    <row r="13751" spans="1:6" x14ac:dyDescent="0.25">
      <c r="A13751" s="1" t="s">
        <v>935</v>
      </c>
      <c r="B13751" s="1" t="s">
        <v>2030</v>
      </c>
      <c r="C13751" s="1" t="s">
        <v>15</v>
      </c>
      <c r="D13751" s="3">
        <f t="shared" si="2236"/>
        <v>8047</v>
      </c>
      <c r="E13751" s="2">
        <f t="shared" si="2237"/>
        <v>42948</v>
      </c>
      <c r="F13751" s="2">
        <f t="shared" si="2238"/>
        <v>43373</v>
      </c>
    </row>
    <row r="13752" spans="1:6" x14ac:dyDescent="0.25">
      <c r="A13752" s="1" t="s">
        <v>935</v>
      </c>
      <c r="B13752" s="1" t="s">
        <v>2030</v>
      </c>
      <c r="C13752" s="1" t="s">
        <v>17</v>
      </c>
      <c r="D13752" s="3">
        <f t="shared" si="2236"/>
        <v>8047</v>
      </c>
      <c r="E13752" s="2">
        <f t="shared" si="2237"/>
        <v>42948</v>
      </c>
      <c r="F13752" s="2">
        <f t="shared" si="2238"/>
        <v>43373</v>
      </c>
    </row>
    <row r="13753" spans="1:6" x14ac:dyDescent="0.25">
      <c r="A13753" s="1" t="s">
        <v>935</v>
      </c>
      <c r="B13753" s="1" t="s">
        <v>2030</v>
      </c>
      <c r="C13753" s="1" t="s">
        <v>22</v>
      </c>
      <c r="D13753" s="3">
        <f t="shared" si="2236"/>
        <v>8047</v>
      </c>
      <c r="E13753" s="2">
        <f t="shared" si="2237"/>
        <v>42948</v>
      </c>
      <c r="F13753" s="2">
        <f t="shared" si="2238"/>
        <v>43373</v>
      </c>
    </row>
    <row r="13754" spans="1:6" x14ac:dyDescent="0.25">
      <c r="A13754" s="1" t="s">
        <v>935</v>
      </c>
      <c r="B13754" s="1" t="s">
        <v>2030</v>
      </c>
      <c r="C13754" s="1" t="s">
        <v>92</v>
      </c>
      <c r="D13754" s="3">
        <f t="shared" si="2236"/>
        <v>8047</v>
      </c>
      <c r="E13754" s="2">
        <f t="shared" si="2237"/>
        <v>42948</v>
      </c>
      <c r="F13754" s="2">
        <f t="shared" si="2238"/>
        <v>43373</v>
      </c>
    </row>
    <row r="13755" spans="1:6" x14ac:dyDescent="0.25">
      <c r="A13755" s="1" t="s">
        <v>935</v>
      </c>
      <c r="B13755" s="1" t="s">
        <v>2030</v>
      </c>
      <c r="C13755" s="1" t="s">
        <v>26</v>
      </c>
      <c r="D13755" s="3">
        <f t="shared" si="2236"/>
        <v>8047</v>
      </c>
      <c r="E13755" s="2">
        <f t="shared" si="2237"/>
        <v>42948</v>
      </c>
      <c r="F13755" s="2">
        <f t="shared" si="2238"/>
        <v>43373</v>
      </c>
    </row>
    <row r="13756" spans="1:6" x14ac:dyDescent="0.25">
      <c r="A13756" s="1" t="s">
        <v>935</v>
      </c>
      <c r="B13756" s="1" t="s">
        <v>2030</v>
      </c>
      <c r="C13756" s="1" t="s">
        <v>73</v>
      </c>
      <c r="D13756" s="3">
        <f t="shared" si="2236"/>
        <v>8047</v>
      </c>
      <c r="E13756" s="2">
        <f t="shared" si="2237"/>
        <v>42948</v>
      </c>
      <c r="F13756" s="2">
        <f t="shared" si="2238"/>
        <v>43373</v>
      </c>
    </row>
    <row r="13757" spans="1:6" x14ac:dyDescent="0.25">
      <c r="A13757" s="1" t="s">
        <v>935</v>
      </c>
      <c r="B13757" s="1" t="s">
        <v>1980</v>
      </c>
      <c r="C13757" s="1" t="s">
        <v>506</v>
      </c>
      <c r="D13757" s="3">
        <f t="shared" ref="D13757:D13768" si="2239">VALUE("7760")</f>
        <v>7760</v>
      </c>
      <c r="E13757" s="2">
        <f t="shared" ref="E13757:E13768" si="2240">DATEVALUE("1-6-2015")</f>
        <v>42156</v>
      </c>
      <c r="F13757" s="2">
        <f t="shared" ref="F13757:F13768" si="2241">DATEVALUE("31-10-2018")</f>
        <v>43404</v>
      </c>
    </row>
    <row r="13758" spans="1:6" x14ac:dyDescent="0.25">
      <c r="A13758" s="1" t="s">
        <v>935</v>
      </c>
      <c r="B13758" s="1" t="s">
        <v>1980</v>
      </c>
      <c r="C13758" s="1" t="s">
        <v>14</v>
      </c>
      <c r="D13758" s="3">
        <f t="shared" si="2239"/>
        <v>7760</v>
      </c>
      <c r="E13758" s="2">
        <f t="shared" si="2240"/>
        <v>42156</v>
      </c>
      <c r="F13758" s="2">
        <f t="shared" si="2241"/>
        <v>43404</v>
      </c>
    </row>
    <row r="13759" spans="1:6" x14ac:dyDescent="0.25">
      <c r="A13759" s="1" t="s">
        <v>935</v>
      </c>
      <c r="B13759" s="1" t="s">
        <v>1980</v>
      </c>
      <c r="C13759" s="1" t="s">
        <v>89</v>
      </c>
      <c r="D13759" s="3">
        <f t="shared" si="2239"/>
        <v>7760</v>
      </c>
      <c r="E13759" s="2">
        <f t="shared" si="2240"/>
        <v>42156</v>
      </c>
      <c r="F13759" s="2">
        <f t="shared" si="2241"/>
        <v>43404</v>
      </c>
    </row>
    <row r="13760" spans="1:6" x14ac:dyDescent="0.25">
      <c r="A13760" s="1" t="s">
        <v>935</v>
      </c>
      <c r="B13760" s="1" t="s">
        <v>1980</v>
      </c>
      <c r="C13760" s="1" t="s">
        <v>17</v>
      </c>
      <c r="D13760" s="3">
        <f t="shared" si="2239"/>
        <v>7760</v>
      </c>
      <c r="E13760" s="2">
        <f t="shared" si="2240"/>
        <v>42156</v>
      </c>
      <c r="F13760" s="2">
        <f t="shared" si="2241"/>
        <v>43404</v>
      </c>
    </row>
    <row r="13761" spans="1:6" x14ac:dyDescent="0.25">
      <c r="A13761" s="1" t="s">
        <v>935</v>
      </c>
      <c r="B13761" s="1" t="s">
        <v>1980</v>
      </c>
      <c r="C13761" s="1" t="s">
        <v>291</v>
      </c>
      <c r="D13761" s="3">
        <f t="shared" si="2239"/>
        <v>7760</v>
      </c>
      <c r="E13761" s="2">
        <f t="shared" si="2240"/>
        <v>42156</v>
      </c>
      <c r="F13761" s="2">
        <f t="shared" si="2241"/>
        <v>43404</v>
      </c>
    </row>
    <row r="13762" spans="1:6" x14ac:dyDescent="0.25">
      <c r="A13762" s="1" t="s">
        <v>935</v>
      </c>
      <c r="B13762" s="1" t="s">
        <v>1980</v>
      </c>
      <c r="C13762" s="1" t="s">
        <v>144</v>
      </c>
      <c r="D13762" s="3">
        <f t="shared" si="2239"/>
        <v>7760</v>
      </c>
      <c r="E13762" s="2">
        <f t="shared" si="2240"/>
        <v>42156</v>
      </c>
      <c r="F13762" s="2">
        <f t="shared" si="2241"/>
        <v>43404</v>
      </c>
    </row>
    <row r="13763" spans="1:6" x14ac:dyDescent="0.25">
      <c r="A13763" s="1" t="s">
        <v>935</v>
      </c>
      <c r="B13763" s="1" t="s">
        <v>1980</v>
      </c>
      <c r="C13763" s="1" t="s">
        <v>146</v>
      </c>
      <c r="D13763" s="3">
        <f t="shared" si="2239"/>
        <v>7760</v>
      </c>
      <c r="E13763" s="2">
        <f t="shared" si="2240"/>
        <v>42156</v>
      </c>
      <c r="F13763" s="2">
        <f t="shared" si="2241"/>
        <v>43404</v>
      </c>
    </row>
    <row r="13764" spans="1:6" x14ac:dyDescent="0.25">
      <c r="A13764" s="1" t="s">
        <v>935</v>
      </c>
      <c r="B13764" s="1" t="s">
        <v>1980</v>
      </c>
      <c r="C13764" s="1" t="s">
        <v>148</v>
      </c>
      <c r="D13764" s="3">
        <f t="shared" si="2239"/>
        <v>7760</v>
      </c>
      <c r="E13764" s="2">
        <f t="shared" si="2240"/>
        <v>42156</v>
      </c>
      <c r="F13764" s="2">
        <f t="shared" si="2241"/>
        <v>43404</v>
      </c>
    </row>
    <row r="13765" spans="1:6" x14ac:dyDescent="0.25">
      <c r="A13765" s="1" t="s">
        <v>935</v>
      </c>
      <c r="B13765" s="1" t="s">
        <v>1980</v>
      </c>
      <c r="C13765" s="1" t="s">
        <v>92</v>
      </c>
      <c r="D13765" s="3">
        <f t="shared" si="2239"/>
        <v>7760</v>
      </c>
      <c r="E13765" s="2">
        <f t="shared" si="2240"/>
        <v>42156</v>
      </c>
      <c r="F13765" s="2">
        <f t="shared" si="2241"/>
        <v>43404</v>
      </c>
    </row>
    <row r="13766" spans="1:6" x14ac:dyDescent="0.25">
      <c r="A13766" s="1" t="s">
        <v>935</v>
      </c>
      <c r="B13766" s="1" t="s">
        <v>1980</v>
      </c>
      <c r="C13766" s="1" t="s">
        <v>73</v>
      </c>
      <c r="D13766" s="3">
        <f t="shared" si="2239"/>
        <v>7760</v>
      </c>
      <c r="E13766" s="2">
        <f t="shared" si="2240"/>
        <v>42156</v>
      </c>
      <c r="F13766" s="2">
        <f t="shared" si="2241"/>
        <v>43404</v>
      </c>
    </row>
    <row r="13767" spans="1:6" x14ac:dyDescent="0.25">
      <c r="A13767" s="1" t="s">
        <v>935</v>
      </c>
      <c r="B13767" s="1" t="s">
        <v>1980</v>
      </c>
      <c r="C13767" s="1" t="s">
        <v>378</v>
      </c>
      <c r="D13767" s="3">
        <f t="shared" si="2239"/>
        <v>7760</v>
      </c>
      <c r="E13767" s="2">
        <f t="shared" si="2240"/>
        <v>42156</v>
      </c>
      <c r="F13767" s="2">
        <f t="shared" si="2241"/>
        <v>43404</v>
      </c>
    </row>
    <row r="13768" spans="1:6" x14ac:dyDescent="0.25">
      <c r="A13768" s="1" t="s">
        <v>935</v>
      </c>
      <c r="B13768" s="1" t="s">
        <v>1980</v>
      </c>
      <c r="C13768" s="1" t="s">
        <v>306</v>
      </c>
      <c r="D13768" s="3">
        <f t="shared" si="2239"/>
        <v>7760</v>
      </c>
      <c r="E13768" s="2">
        <f t="shared" si="2240"/>
        <v>42156</v>
      </c>
      <c r="F13768" s="2">
        <f t="shared" si="2241"/>
        <v>43404</v>
      </c>
    </row>
    <row r="13769" spans="1:6" x14ac:dyDescent="0.25">
      <c r="A13769" s="1" t="s">
        <v>935</v>
      </c>
      <c r="B13769" s="1" t="s">
        <v>2152</v>
      </c>
      <c r="C13769" s="1" t="s">
        <v>506</v>
      </c>
      <c r="D13769" s="3">
        <f t="shared" ref="D13769:D13777" si="2242">VALUE("7495")</f>
        <v>7495</v>
      </c>
      <c r="E13769" s="2">
        <f t="shared" ref="E13769:E13777" si="2243">DATEVALUE("1-12-2013")</f>
        <v>41609</v>
      </c>
      <c r="F13769" s="2">
        <f t="shared" ref="F13769:F13777" si="2244">DATEVALUE("30-6-2017")</f>
        <v>42916</v>
      </c>
    </row>
    <row r="13770" spans="1:6" x14ac:dyDescent="0.25">
      <c r="A13770" s="1" t="s">
        <v>935</v>
      </c>
      <c r="B13770" s="1" t="s">
        <v>2152</v>
      </c>
      <c r="C13770" s="1" t="s">
        <v>46</v>
      </c>
      <c r="D13770" s="3">
        <f t="shared" si="2242"/>
        <v>7495</v>
      </c>
      <c r="E13770" s="2">
        <f t="shared" si="2243"/>
        <v>41609</v>
      </c>
      <c r="F13770" s="2">
        <f t="shared" si="2244"/>
        <v>42916</v>
      </c>
    </row>
    <row r="13771" spans="1:6" x14ac:dyDescent="0.25">
      <c r="A13771" s="1" t="s">
        <v>935</v>
      </c>
      <c r="B13771" s="1" t="s">
        <v>2152</v>
      </c>
      <c r="C13771" s="1" t="s">
        <v>89</v>
      </c>
      <c r="D13771" s="3">
        <f t="shared" si="2242"/>
        <v>7495</v>
      </c>
      <c r="E13771" s="2">
        <f t="shared" si="2243"/>
        <v>41609</v>
      </c>
      <c r="F13771" s="2">
        <f t="shared" si="2244"/>
        <v>42916</v>
      </c>
    </row>
    <row r="13772" spans="1:6" x14ac:dyDescent="0.25">
      <c r="A13772" s="1" t="s">
        <v>935</v>
      </c>
      <c r="B13772" s="1" t="s">
        <v>2152</v>
      </c>
      <c r="C13772" s="1" t="s">
        <v>17</v>
      </c>
      <c r="D13772" s="3">
        <f t="shared" si="2242"/>
        <v>7495</v>
      </c>
      <c r="E13772" s="2">
        <f t="shared" si="2243"/>
        <v>41609</v>
      </c>
      <c r="F13772" s="2">
        <f t="shared" si="2244"/>
        <v>42916</v>
      </c>
    </row>
    <row r="13773" spans="1:6" x14ac:dyDescent="0.25">
      <c r="A13773" s="1" t="s">
        <v>935</v>
      </c>
      <c r="B13773" s="1" t="s">
        <v>2152</v>
      </c>
      <c r="C13773" s="1" t="s">
        <v>22</v>
      </c>
      <c r="D13773" s="3">
        <f t="shared" si="2242"/>
        <v>7495</v>
      </c>
      <c r="E13773" s="2">
        <f t="shared" si="2243"/>
        <v>41609</v>
      </c>
      <c r="F13773" s="2">
        <f t="shared" si="2244"/>
        <v>42916</v>
      </c>
    </row>
    <row r="13774" spans="1:6" x14ac:dyDescent="0.25">
      <c r="A13774" s="1" t="s">
        <v>935</v>
      </c>
      <c r="B13774" s="1" t="s">
        <v>2152</v>
      </c>
      <c r="C13774" s="1" t="s">
        <v>148</v>
      </c>
      <c r="D13774" s="3">
        <f t="shared" si="2242"/>
        <v>7495</v>
      </c>
      <c r="E13774" s="2">
        <f t="shared" si="2243"/>
        <v>41609</v>
      </c>
      <c r="F13774" s="2">
        <f t="shared" si="2244"/>
        <v>42916</v>
      </c>
    </row>
    <row r="13775" spans="1:6" x14ac:dyDescent="0.25">
      <c r="A13775" s="1" t="s">
        <v>935</v>
      </c>
      <c r="B13775" s="1" t="s">
        <v>2152</v>
      </c>
      <c r="C13775" s="1" t="s">
        <v>92</v>
      </c>
      <c r="D13775" s="3">
        <f t="shared" si="2242"/>
        <v>7495</v>
      </c>
      <c r="E13775" s="2">
        <f t="shared" si="2243"/>
        <v>41609</v>
      </c>
      <c r="F13775" s="2">
        <f t="shared" si="2244"/>
        <v>42916</v>
      </c>
    </row>
    <row r="13776" spans="1:6" x14ac:dyDescent="0.25">
      <c r="A13776" s="1" t="s">
        <v>935</v>
      </c>
      <c r="B13776" s="1" t="s">
        <v>2152</v>
      </c>
      <c r="C13776" s="1" t="s">
        <v>94</v>
      </c>
      <c r="D13776" s="3">
        <f t="shared" si="2242"/>
        <v>7495</v>
      </c>
      <c r="E13776" s="2">
        <f t="shared" si="2243"/>
        <v>41609</v>
      </c>
      <c r="F13776" s="2">
        <f t="shared" si="2244"/>
        <v>42916</v>
      </c>
    </row>
    <row r="13777" spans="1:6" x14ac:dyDescent="0.25">
      <c r="A13777" s="1" t="s">
        <v>935</v>
      </c>
      <c r="B13777" s="1" t="s">
        <v>2152</v>
      </c>
      <c r="C13777" s="1" t="s">
        <v>73</v>
      </c>
      <c r="D13777" s="3">
        <f t="shared" si="2242"/>
        <v>7495</v>
      </c>
      <c r="E13777" s="2">
        <f t="shared" si="2243"/>
        <v>41609</v>
      </c>
      <c r="F13777" s="2">
        <f t="shared" si="2244"/>
        <v>42916</v>
      </c>
    </row>
    <row r="13778" spans="1:6" x14ac:dyDescent="0.25">
      <c r="A13778" s="1" t="s">
        <v>1931</v>
      </c>
      <c r="B13778" s="1" t="s">
        <v>2212</v>
      </c>
      <c r="C13778" s="1" t="s">
        <v>184</v>
      </c>
      <c r="D13778" s="3">
        <f t="shared" ref="D13778:D13786" si="2245">VALUE("7818")</f>
        <v>7818</v>
      </c>
      <c r="E13778" s="2">
        <f t="shared" ref="E13778:E13786" si="2246">DATEVALUE("1-11-2015")</f>
        <v>42309</v>
      </c>
      <c r="F13778" s="2">
        <f t="shared" ref="F13778:F13786" si="2247">DATEVALUE("28-2-2017")</f>
        <v>42794</v>
      </c>
    </row>
    <row r="13779" spans="1:6" x14ac:dyDescent="0.25">
      <c r="A13779" s="1" t="s">
        <v>1931</v>
      </c>
      <c r="B13779" s="1" t="s">
        <v>2212</v>
      </c>
      <c r="C13779" s="1" t="s">
        <v>63</v>
      </c>
      <c r="D13779" s="3">
        <f t="shared" si="2245"/>
        <v>7818</v>
      </c>
      <c r="E13779" s="2">
        <f t="shared" si="2246"/>
        <v>42309</v>
      </c>
      <c r="F13779" s="2">
        <f t="shared" si="2247"/>
        <v>42794</v>
      </c>
    </row>
    <row r="13780" spans="1:6" x14ac:dyDescent="0.25">
      <c r="A13780" s="1" t="s">
        <v>1931</v>
      </c>
      <c r="B13780" s="1" t="s">
        <v>2212</v>
      </c>
      <c r="C13780" s="1" t="s">
        <v>65</v>
      </c>
      <c r="D13780" s="3">
        <f t="shared" si="2245"/>
        <v>7818</v>
      </c>
      <c r="E13780" s="2">
        <f t="shared" si="2246"/>
        <v>42309</v>
      </c>
      <c r="F13780" s="2">
        <f t="shared" si="2247"/>
        <v>42794</v>
      </c>
    </row>
    <row r="13781" spans="1:6" x14ac:dyDescent="0.25">
      <c r="A13781" s="1" t="s">
        <v>1931</v>
      </c>
      <c r="B13781" s="1" t="s">
        <v>2212</v>
      </c>
      <c r="C13781" s="1" t="s">
        <v>14</v>
      </c>
      <c r="D13781" s="3">
        <f t="shared" si="2245"/>
        <v>7818</v>
      </c>
      <c r="E13781" s="2">
        <f t="shared" si="2246"/>
        <v>42309</v>
      </c>
      <c r="F13781" s="2">
        <f t="shared" si="2247"/>
        <v>42794</v>
      </c>
    </row>
    <row r="13782" spans="1:6" x14ac:dyDescent="0.25">
      <c r="A13782" s="1" t="s">
        <v>1931</v>
      </c>
      <c r="B13782" s="1" t="s">
        <v>2212</v>
      </c>
      <c r="C13782" s="1" t="s">
        <v>17</v>
      </c>
      <c r="D13782" s="3">
        <f t="shared" si="2245"/>
        <v>7818</v>
      </c>
      <c r="E13782" s="2">
        <f t="shared" si="2246"/>
        <v>42309</v>
      </c>
      <c r="F13782" s="2">
        <f t="shared" si="2247"/>
        <v>42794</v>
      </c>
    </row>
    <row r="13783" spans="1:6" x14ac:dyDescent="0.25">
      <c r="A13783" s="1" t="s">
        <v>1931</v>
      </c>
      <c r="B13783" s="1" t="s">
        <v>2212</v>
      </c>
      <c r="C13783" s="1" t="s">
        <v>70</v>
      </c>
      <c r="D13783" s="3">
        <f t="shared" si="2245"/>
        <v>7818</v>
      </c>
      <c r="E13783" s="2">
        <f t="shared" si="2246"/>
        <v>42309</v>
      </c>
      <c r="F13783" s="2">
        <f t="shared" si="2247"/>
        <v>42794</v>
      </c>
    </row>
    <row r="13784" spans="1:6" x14ac:dyDescent="0.25">
      <c r="A13784" s="1" t="s">
        <v>1931</v>
      </c>
      <c r="B13784" s="1" t="s">
        <v>2212</v>
      </c>
      <c r="C13784" s="1" t="s">
        <v>72</v>
      </c>
      <c r="D13784" s="3">
        <f t="shared" si="2245"/>
        <v>7818</v>
      </c>
      <c r="E13784" s="2">
        <f t="shared" si="2246"/>
        <v>42309</v>
      </c>
      <c r="F13784" s="2">
        <f t="shared" si="2247"/>
        <v>42794</v>
      </c>
    </row>
    <row r="13785" spans="1:6" x14ac:dyDescent="0.25">
      <c r="A13785" s="1" t="s">
        <v>1931</v>
      </c>
      <c r="B13785" s="1" t="s">
        <v>2212</v>
      </c>
      <c r="C13785" s="1" t="s">
        <v>73</v>
      </c>
      <c r="D13785" s="3">
        <f t="shared" si="2245"/>
        <v>7818</v>
      </c>
      <c r="E13785" s="2">
        <f t="shared" si="2246"/>
        <v>42309</v>
      </c>
      <c r="F13785" s="2">
        <f t="shared" si="2247"/>
        <v>42794</v>
      </c>
    </row>
    <row r="13786" spans="1:6" x14ac:dyDescent="0.25">
      <c r="A13786" s="1" t="s">
        <v>1931</v>
      </c>
      <c r="B13786" s="1" t="s">
        <v>2212</v>
      </c>
      <c r="C13786" s="1" t="s">
        <v>52</v>
      </c>
      <c r="D13786" s="3">
        <f t="shared" si="2245"/>
        <v>7818</v>
      </c>
      <c r="E13786" s="2">
        <f t="shared" si="2246"/>
        <v>42309</v>
      </c>
      <c r="F13786" s="2">
        <f t="shared" si="2247"/>
        <v>42794</v>
      </c>
    </row>
    <row r="13787" spans="1:6" x14ac:dyDescent="0.25">
      <c r="A13787" s="1" t="s">
        <v>927</v>
      </c>
      <c r="B13787" s="1" t="s">
        <v>926</v>
      </c>
      <c r="C13787" s="1" t="s">
        <v>15</v>
      </c>
      <c r="D13787" s="3">
        <f t="shared" ref="D13787:D13794" si="2248">VALUE("8183")</f>
        <v>8183</v>
      </c>
      <c r="E13787" s="2">
        <f t="shared" ref="E13787:E13794" si="2249">DATEVALUE("1-2-2018")</f>
        <v>43132</v>
      </c>
      <c r="F13787" s="2">
        <f t="shared" ref="F13787:F13794" si="2250">DATEVALUE("31-8-2021")</f>
        <v>44439</v>
      </c>
    </row>
    <row r="13788" spans="1:6" x14ac:dyDescent="0.25">
      <c r="A13788" s="1" t="s">
        <v>927</v>
      </c>
      <c r="B13788" s="1" t="s">
        <v>926</v>
      </c>
      <c r="C13788" s="1" t="s">
        <v>18</v>
      </c>
      <c r="D13788" s="3">
        <f t="shared" si="2248"/>
        <v>8183</v>
      </c>
      <c r="E13788" s="2">
        <f t="shared" si="2249"/>
        <v>43132</v>
      </c>
      <c r="F13788" s="2">
        <f t="shared" si="2250"/>
        <v>44439</v>
      </c>
    </row>
    <row r="13789" spans="1:6" x14ac:dyDescent="0.25">
      <c r="A13789" s="1" t="s">
        <v>927</v>
      </c>
      <c r="B13789" s="1" t="s">
        <v>926</v>
      </c>
      <c r="C13789" s="1" t="s">
        <v>146</v>
      </c>
      <c r="D13789" s="3">
        <f t="shared" si="2248"/>
        <v>8183</v>
      </c>
      <c r="E13789" s="2">
        <f t="shared" si="2249"/>
        <v>43132</v>
      </c>
      <c r="F13789" s="2">
        <f t="shared" si="2250"/>
        <v>44439</v>
      </c>
    </row>
    <row r="13790" spans="1:6" x14ac:dyDescent="0.25">
      <c r="A13790" s="1" t="s">
        <v>927</v>
      </c>
      <c r="B13790" s="1" t="s">
        <v>926</v>
      </c>
      <c r="C13790" s="1" t="s">
        <v>67</v>
      </c>
      <c r="D13790" s="3">
        <f t="shared" si="2248"/>
        <v>8183</v>
      </c>
      <c r="E13790" s="2">
        <f t="shared" si="2249"/>
        <v>43132</v>
      </c>
      <c r="F13790" s="2">
        <f t="shared" si="2250"/>
        <v>44439</v>
      </c>
    </row>
    <row r="13791" spans="1:6" x14ac:dyDescent="0.25">
      <c r="A13791" s="1" t="s">
        <v>927</v>
      </c>
      <c r="B13791" s="1" t="s">
        <v>926</v>
      </c>
      <c r="C13791" s="1" t="s">
        <v>148</v>
      </c>
      <c r="D13791" s="3">
        <f t="shared" si="2248"/>
        <v>8183</v>
      </c>
      <c r="E13791" s="2">
        <f t="shared" si="2249"/>
        <v>43132</v>
      </c>
      <c r="F13791" s="2">
        <f t="shared" si="2250"/>
        <v>44439</v>
      </c>
    </row>
    <row r="13792" spans="1:6" x14ac:dyDescent="0.25">
      <c r="A13792" s="1" t="s">
        <v>927</v>
      </c>
      <c r="B13792" s="1" t="s">
        <v>926</v>
      </c>
      <c r="C13792" s="1" t="s">
        <v>149</v>
      </c>
      <c r="D13792" s="3">
        <f t="shared" si="2248"/>
        <v>8183</v>
      </c>
      <c r="E13792" s="2">
        <f t="shared" si="2249"/>
        <v>43132</v>
      </c>
      <c r="F13792" s="2">
        <f t="shared" si="2250"/>
        <v>44439</v>
      </c>
    </row>
    <row r="13793" spans="1:6" x14ac:dyDescent="0.25">
      <c r="A13793" s="1" t="s">
        <v>927</v>
      </c>
      <c r="B13793" s="1" t="s">
        <v>926</v>
      </c>
      <c r="C13793" s="1" t="s">
        <v>73</v>
      </c>
      <c r="D13793" s="3">
        <f t="shared" si="2248"/>
        <v>8183</v>
      </c>
      <c r="E13793" s="2">
        <f t="shared" si="2249"/>
        <v>43132</v>
      </c>
      <c r="F13793" s="2">
        <f t="shared" si="2250"/>
        <v>44439</v>
      </c>
    </row>
    <row r="13794" spans="1:6" x14ac:dyDescent="0.25">
      <c r="A13794" s="1" t="s">
        <v>927</v>
      </c>
      <c r="B13794" s="1" t="s">
        <v>926</v>
      </c>
      <c r="C13794" s="1" t="s">
        <v>170</v>
      </c>
      <c r="D13794" s="3">
        <f t="shared" si="2248"/>
        <v>8183</v>
      </c>
      <c r="E13794" s="2">
        <f t="shared" si="2249"/>
        <v>43132</v>
      </c>
      <c r="F13794" s="2">
        <f t="shared" si="2250"/>
        <v>44439</v>
      </c>
    </row>
    <row r="13795" spans="1:6" x14ac:dyDescent="0.25">
      <c r="A13795" s="1" t="s">
        <v>601</v>
      </c>
      <c r="B13795" s="1" t="s">
        <v>1523</v>
      </c>
      <c r="C13795" s="1" t="s">
        <v>14</v>
      </c>
      <c r="D13795" s="3">
        <f t="shared" ref="D13795:D13803" si="2251">VALUE("8718")</f>
        <v>8718</v>
      </c>
      <c r="E13795" s="2">
        <f t="shared" ref="E13795:E13803" si="2252">DATEVALUE("1-3-2020")</f>
        <v>43891</v>
      </c>
      <c r="F13795" s="2">
        <f t="shared" ref="F13795:F13803" si="2253">DATEVALUE("31-1-2021")</f>
        <v>44227</v>
      </c>
    </row>
    <row r="13796" spans="1:6" x14ac:dyDescent="0.25">
      <c r="A13796" s="1" t="s">
        <v>601</v>
      </c>
      <c r="B13796" s="1" t="s">
        <v>1523</v>
      </c>
      <c r="C13796" s="1" t="s">
        <v>17</v>
      </c>
      <c r="D13796" s="3">
        <f t="shared" si="2251"/>
        <v>8718</v>
      </c>
      <c r="E13796" s="2">
        <f t="shared" si="2252"/>
        <v>43891</v>
      </c>
      <c r="F13796" s="2">
        <f t="shared" si="2253"/>
        <v>44227</v>
      </c>
    </row>
    <row r="13797" spans="1:6" x14ac:dyDescent="0.25">
      <c r="A13797" s="1" t="s">
        <v>601</v>
      </c>
      <c r="B13797" s="1" t="s">
        <v>1523</v>
      </c>
      <c r="C13797" s="1" t="s">
        <v>22</v>
      </c>
      <c r="D13797" s="3">
        <f t="shared" si="2251"/>
        <v>8718</v>
      </c>
      <c r="E13797" s="2">
        <f t="shared" si="2252"/>
        <v>43891</v>
      </c>
      <c r="F13797" s="2">
        <f t="shared" si="2253"/>
        <v>44227</v>
      </c>
    </row>
    <row r="13798" spans="1:6" x14ac:dyDescent="0.25">
      <c r="A13798" s="1" t="s">
        <v>601</v>
      </c>
      <c r="B13798" s="1" t="s">
        <v>1523</v>
      </c>
      <c r="C13798" s="1" t="s">
        <v>146</v>
      </c>
      <c r="D13798" s="3">
        <f t="shared" si="2251"/>
        <v>8718</v>
      </c>
      <c r="E13798" s="2">
        <f t="shared" si="2252"/>
        <v>43891</v>
      </c>
      <c r="F13798" s="2">
        <f t="shared" si="2253"/>
        <v>44227</v>
      </c>
    </row>
    <row r="13799" spans="1:6" x14ac:dyDescent="0.25">
      <c r="A13799" s="1" t="s">
        <v>601</v>
      </c>
      <c r="B13799" s="1" t="s">
        <v>1523</v>
      </c>
      <c r="C13799" s="1" t="s">
        <v>92</v>
      </c>
      <c r="D13799" s="3">
        <f t="shared" si="2251"/>
        <v>8718</v>
      </c>
      <c r="E13799" s="2">
        <f t="shared" si="2252"/>
        <v>43891</v>
      </c>
      <c r="F13799" s="2">
        <f t="shared" si="2253"/>
        <v>44227</v>
      </c>
    </row>
    <row r="13800" spans="1:6" x14ac:dyDescent="0.25">
      <c r="A13800" s="1" t="s">
        <v>601</v>
      </c>
      <c r="B13800" s="1" t="s">
        <v>1523</v>
      </c>
      <c r="C13800" s="1" t="s">
        <v>400</v>
      </c>
      <c r="D13800" s="3">
        <f t="shared" si="2251"/>
        <v>8718</v>
      </c>
      <c r="E13800" s="2">
        <f t="shared" si="2252"/>
        <v>43891</v>
      </c>
      <c r="F13800" s="2">
        <f t="shared" si="2253"/>
        <v>44227</v>
      </c>
    </row>
    <row r="13801" spans="1:6" x14ac:dyDescent="0.25">
      <c r="A13801" s="1" t="s">
        <v>601</v>
      </c>
      <c r="B13801" s="1" t="s">
        <v>1523</v>
      </c>
      <c r="C13801" s="1" t="s">
        <v>73</v>
      </c>
      <c r="D13801" s="3">
        <f t="shared" si="2251"/>
        <v>8718</v>
      </c>
      <c r="E13801" s="2">
        <f t="shared" si="2252"/>
        <v>43891</v>
      </c>
      <c r="F13801" s="2">
        <f t="shared" si="2253"/>
        <v>44227</v>
      </c>
    </row>
    <row r="13802" spans="1:6" x14ac:dyDescent="0.25">
      <c r="A13802" s="1" t="s">
        <v>601</v>
      </c>
      <c r="B13802" s="1" t="s">
        <v>1523</v>
      </c>
      <c r="C13802" s="1" t="s">
        <v>52</v>
      </c>
      <c r="D13802" s="3">
        <f t="shared" si="2251"/>
        <v>8718</v>
      </c>
      <c r="E13802" s="2">
        <f t="shared" si="2252"/>
        <v>43891</v>
      </c>
      <c r="F13802" s="2">
        <f t="shared" si="2253"/>
        <v>44227</v>
      </c>
    </row>
    <row r="13803" spans="1:6" x14ac:dyDescent="0.25">
      <c r="A13803" s="1" t="s">
        <v>601</v>
      </c>
      <c r="B13803" s="1" t="s">
        <v>1523</v>
      </c>
      <c r="C13803" s="1" t="s">
        <v>55</v>
      </c>
      <c r="D13803" s="3">
        <f t="shared" si="2251"/>
        <v>8718</v>
      </c>
      <c r="E13803" s="2">
        <f t="shared" si="2252"/>
        <v>43891</v>
      </c>
      <c r="F13803" s="2">
        <f t="shared" si="2253"/>
        <v>44227</v>
      </c>
    </row>
    <row r="13804" spans="1:6" x14ac:dyDescent="0.25">
      <c r="A13804" s="1" t="s">
        <v>601</v>
      </c>
      <c r="B13804" s="1" t="s">
        <v>1269</v>
      </c>
      <c r="C13804" s="1" t="s">
        <v>15</v>
      </c>
      <c r="D13804" s="3">
        <f>VALUE("8521")</f>
        <v>8521</v>
      </c>
      <c r="E13804" s="2">
        <f>DATEVALUE("1-2-2020")</f>
        <v>43862</v>
      </c>
      <c r="F13804" s="2">
        <f>DATEVALUE("31-12-2020")</f>
        <v>44196</v>
      </c>
    </row>
    <row r="13805" spans="1:6" x14ac:dyDescent="0.25">
      <c r="A13805" s="1" t="s">
        <v>601</v>
      </c>
      <c r="B13805" s="1" t="s">
        <v>1269</v>
      </c>
      <c r="C13805" s="1" t="s">
        <v>314</v>
      </c>
      <c r="D13805" s="3">
        <f>VALUE("8521")</f>
        <v>8521</v>
      </c>
      <c r="E13805" s="2">
        <f>DATEVALUE("1-2-2020")</f>
        <v>43862</v>
      </c>
      <c r="F13805" s="2">
        <f>DATEVALUE("31-12-2020")</f>
        <v>44196</v>
      </c>
    </row>
    <row r="13806" spans="1:6" x14ac:dyDescent="0.25">
      <c r="A13806" s="1" t="s">
        <v>601</v>
      </c>
      <c r="B13806" s="1" t="s">
        <v>1269</v>
      </c>
      <c r="C13806" s="1" t="s">
        <v>315</v>
      </c>
      <c r="D13806" s="3">
        <f>VALUE("8521")</f>
        <v>8521</v>
      </c>
      <c r="E13806" s="2">
        <f>DATEVALUE("1-2-2020")</f>
        <v>43862</v>
      </c>
      <c r="F13806" s="2">
        <f>DATEVALUE("31-12-2020")</f>
        <v>44196</v>
      </c>
    </row>
    <row r="13807" spans="1:6" x14ac:dyDescent="0.25">
      <c r="A13807" s="1" t="s">
        <v>601</v>
      </c>
      <c r="B13807" s="1" t="s">
        <v>1269</v>
      </c>
      <c r="C13807" s="1" t="s">
        <v>397</v>
      </c>
      <c r="D13807" s="3">
        <f>VALUE("8521")</f>
        <v>8521</v>
      </c>
      <c r="E13807" s="2">
        <f>DATEVALUE("1-2-2020")</f>
        <v>43862</v>
      </c>
      <c r="F13807" s="2">
        <f>DATEVALUE("31-12-2020")</f>
        <v>44196</v>
      </c>
    </row>
    <row r="13808" spans="1:6" x14ac:dyDescent="0.25">
      <c r="A13808" s="1" t="s">
        <v>601</v>
      </c>
      <c r="B13808" s="1" t="s">
        <v>1269</v>
      </c>
      <c r="C13808" s="1" t="s">
        <v>170</v>
      </c>
      <c r="D13808" s="3">
        <f>VALUE("8521")</f>
        <v>8521</v>
      </c>
      <c r="E13808" s="2">
        <f>DATEVALUE("1-2-2020")</f>
        <v>43862</v>
      </c>
      <c r="F13808" s="2">
        <f>DATEVALUE("31-12-2020")</f>
        <v>44196</v>
      </c>
    </row>
    <row r="13809" spans="1:6" x14ac:dyDescent="0.25">
      <c r="A13809" s="1" t="s">
        <v>601</v>
      </c>
      <c r="B13809" s="1" t="s">
        <v>1265</v>
      </c>
      <c r="C13809" s="1" t="s">
        <v>14</v>
      </c>
      <c r="D13809" s="3">
        <f t="shared" ref="D13809:D13821" si="2254">VALUE("8517")</f>
        <v>8517</v>
      </c>
      <c r="E13809" s="2">
        <f t="shared" ref="E13809:E13835" si="2255">DATEVALUE("1-8-2019")</f>
        <v>43678</v>
      </c>
      <c r="F13809" s="2">
        <f t="shared" ref="F13809:F13821" si="2256">DATEVALUE("30-11-2020")</f>
        <v>44165</v>
      </c>
    </row>
    <row r="13810" spans="1:6" x14ac:dyDescent="0.25">
      <c r="A13810" s="1" t="s">
        <v>601</v>
      </c>
      <c r="B13810" s="1" t="s">
        <v>1265</v>
      </c>
      <c r="C13810" s="1" t="s">
        <v>15</v>
      </c>
      <c r="D13810" s="3">
        <f t="shared" si="2254"/>
        <v>8517</v>
      </c>
      <c r="E13810" s="2">
        <f t="shared" si="2255"/>
        <v>43678</v>
      </c>
      <c r="F13810" s="2">
        <f t="shared" si="2256"/>
        <v>44165</v>
      </c>
    </row>
    <row r="13811" spans="1:6" x14ac:dyDescent="0.25">
      <c r="A13811" s="1" t="s">
        <v>601</v>
      </c>
      <c r="B13811" s="1" t="s">
        <v>1265</v>
      </c>
      <c r="C13811" s="1" t="s">
        <v>16</v>
      </c>
      <c r="D13811" s="3">
        <f t="shared" si="2254"/>
        <v>8517</v>
      </c>
      <c r="E13811" s="2">
        <f t="shared" si="2255"/>
        <v>43678</v>
      </c>
      <c r="F13811" s="2">
        <f t="shared" si="2256"/>
        <v>44165</v>
      </c>
    </row>
    <row r="13812" spans="1:6" x14ac:dyDescent="0.25">
      <c r="A13812" s="1" t="s">
        <v>601</v>
      </c>
      <c r="B13812" s="1" t="s">
        <v>1265</v>
      </c>
      <c r="C13812" s="1" t="s">
        <v>89</v>
      </c>
      <c r="D13812" s="3">
        <f t="shared" si="2254"/>
        <v>8517</v>
      </c>
      <c r="E13812" s="2">
        <f t="shared" si="2255"/>
        <v>43678</v>
      </c>
      <c r="F13812" s="2">
        <f t="shared" si="2256"/>
        <v>44165</v>
      </c>
    </row>
    <row r="13813" spans="1:6" x14ac:dyDescent="0.25">
      <c r="A13813" s="1" t="s">
        <v>601</v>
      </c>
      <c r="B13813" s="1" t="s">
        <v>1265</v>
      </c>
      <c r="C13813" s="1" t="s">
        <v>17</v>
      </c>
      <c r="D13813" s="3">
        <f t="shared" si="2254"/>
        <v>8517</v>
      </c>
      <c r="E13813" s="2">
        <f t="shared" si="2255"/>
        <v>43678</v>
      </c>
      <c r="F13813" s="2">
        <f t="shared" si="2256"/>
        <v>44165</v>
      </c>
    </row>
    <row r="13814" spans="1:6" x14ac:dyDescent="0.25">
      <c r="A13814" s="1" t="s">
        <v>601</v>
      </c>
      <c r="B13814" s="1" t="s">
        <v>1265</v>
      </c>
      <c r="C13814" s="1" t="s">
        <v>499</v>
      </c>
      <c r="D13814" s="3">
        <f t="shared" si="2254"/>
        <v>8517</v>
      </c>
      <c r="E13814" s="2">
        <f t="shared" si="2255"/>
        <v>43678</v>
      </c>
      <c r="F13814" s="2">
        <f t="shared" si="2256"/>
        <v>44165</v>
      </c>
    </row>
    <row r="13815" spans="1:6" x14ac:dyDescent="0.25">
      <c r="A13815" s="1" t="s">
        <v>601</v>
      </c>
      <c r="B13815" s="1" t="s">
        <v>1265</v>
      </c>
      <c r="C13815" s="1" t="s">
        <v>501</v>
      </c>
      <c r="D13815" s="3">
        <f t="shared" si="2254"/>
        <v>8517</v>
      </c>
      <c r="E13815" s="2">
        <f t="shared" si="2255"/>
        <v>43678</v>
      </c>
      <c r="F13815" s="2">
        <f t="shared" si="2256"/>
        <v>44165</v>
      </c>
    </row>
    <row r="13816" spans="1:6" x14ac:dyDescent="0.25">
      <c r="A13816" s="1" t="s">
        <v>601</v>
      </c>
      <c r="B13816" s="1" t="s">
        <v>1265</v>
      </c>
      <c r="C13816" s="1" t="s">
        <v>1266</v>
      </c>
      <c r="D13816" s="3">
        <f t="shared" si="2254"/>
        <v>8517</v>
      </c>
      <c r="E13816" s="2">
        <f t="shared" si="2255"/>
        <v>43678</v>
      </c>
      <c r="F13816" s="2">
        <f t="shared" si="2256"/>
        <v>44165</v>
      </c>
    </row>
    <row r="13817" spans="1:6" x14ac:dyDescent="0.25">
      <c r="A13817" s="1" t="s">
        <v>601</v>
      </c>
      <c r="B13817" s="1" t="s">
        <v>1265</v>
      </c>
      <c r="C13817" s="1" t="s">
        <v>94</v>
      </c>
      <c r="D13817" s="3">
        <f t="shared" si="2254"/>
        <v>8517</v>
      </c>
      <c r="E13817" s="2">
        <f t="shared" si="2255"/>
        <v>43678</v>
      </c>
      <c r="F13817" s="2">
        <f t="shared" si="2256"/>
        <v>44165</v>
      </c>
    </row>
    <row r="13818" spans="1:6" x14ac:dyDescent="0.25">
      <c r="A13818" s="1" t="s">
        <v>601</v>
      </c>
      <c r="B13818" s="1" t="s">
        <v>1265</v>
      </c>
      <c r="C13818" s="1" t="s">
        <v>155</v>
      </c>
      <c r="D13818" s="3">
        <f t="shared" si="2254"/>
        <v>8517</v>
      </c>
      <c r="E13818" s="2">
        <f t="shared" si="2255"/>
        <v>43678</v>
      </c>
      <c r="F13818" s="2">
        <f t="shared" si="2256"/>
        <v>44165</v>
      </c>
    </row>
    <row r="13819" spans="1:6" x14ac:dyDescent="0.25">
      <c r="A13819" s="1" t="s">
        <v>601</v>
      </c>
      <c r="B13819" s="1" t="s">
        <v>1265</v>
      </c>
      <c r="C13819" s="1" t="s">
        <v>24</v>
      </c>
      <c r="D13819" s="3">
        <f t="shared" si="2254"/>
        <v>8517</v>
      </c>
      <c r="E13819" s="2">
        <f t="shared" si="2255"/>
        <v>43678</v>
      </c>
      <c r="F13819" s="2">
        <f t="shared" si="2256"/>
        <v>44165</v>
      </c>
    </row>
    <row r="13820" spans="1:6" x14ac:dyDescent="0.25">
      <c r="A13820" s="1" t="s">
        <v>601</v>
      </c>
      <c r="B13820" s="1" t="s">
        <v>1265</v>
      </c>
      <c r="C13820" s="1" t="s">
        <v>162</v>
      </c>
      <c r="D13820" s="3">
        <f t="shared" si="2254"/>
        <v>8517</v>
      </c>
      <c r="E13820" s="2">
        <f t="shared" si="2255"/>
        <v>43678</v>
      </c>
      <c r="F13820" s="2">
        <f t="shared" si="2256"/>
        <v>44165</v>
      </c>
    </row>
    <row r="13821" spans="1:6" x14ac:dyDescent="0.25">
      <c r="A13821" s="1" t="s">
        <v>601</v>
      </c>
      <c r="B13821" s="1" t="s">
        <v>1265</v>
      </c>
      <c r="C13821" s="1" t="s">
        <v>34</v>
      </c>
      <c r="D13821" s="3">
        <f t="shared" si="2254"/>
        <v>8517</v>
      </c>
      <c r="E13821" s="2">
        <f t="shared" si="2255"/>
        <v>43678</v>
      </c>
      <c r="F13821" s="2">
        <f t="shared" si="2256"/>
        <v>44165</v>
      </c>
    </row>
    <row r="13822" spans="1:6" x14ac:dyDescent="0.25">
      <c r="A13822" s="1" t="s">
        <v>601</v>
      </c>
      <c r="B13822" s="1" t="s">
        <v>1267</v>
      </c>
      <c r="C13822" s="1" t="s">
        <v>138</v>
      </c>
      <c r="D13822" s="3">
        <f t="shared" ref="D13822:D13835" si="2257">VALUE("8518")</f>
        <v>8518</v>
      </c>
      <c r="E13822" s="2">
        <f t="shared" si="2255"/>
        <v>43678</v>
      </c>
      <c r="F13822" s="2">
        <f t="shared" ref="F13822:F13835" si="2258">DATEVALUE("31-7-2021")</f>
        <v>44408</v>
      </c>
    </row>
    <row r="13823" spans="1:6" x14ac:dyDescent="0.25">
      <c r="A13823" s="1" t="s">
        <v>601</v>
      </c>
      <c r="B13823" s="1" t="s">
        <v>1267</v>
      </c>
      <c r="C13823" s="1" t="s">
        <v>14</v>
      </c>
      <c r="D13823" s="3">
        <f t="shared" si="2257"/>
        <v>8518</v>
      </c>
      <c r="E13823" s="2">
        <f t="shared" si="2255"/>
        <v>43678</v>
      </c>
      <c r="F13823" s="2">
        <f t="shared" si="2258"/>
        <v>44408</v>
      </c>
    </row>
    <row r="13824" spans="1:6" x14ac:dyDescent="0.25">
      <c r="A13824" s="1" t="s">
        <v>601</v>
      </c>
      <c r="B13824" s="1" t="s">
        <v>1267</v>
      </c>
      <c r="C13824" s="1" t="s">
        <v>17</v>
      </c>
      <c r="D13824" s="3">
        <f t="shared" si="2257"/>
        <v>8518</v>
      </c>
      <c r="E13824" s="2">
        <f t="shared" si="2255"/>
        <v>43678</v>
      </c>
      <c r="F13824" s="2">
        <f t="shared" si="2258"/>
        <v>44408</v>
      </c>
    </row>
    <row r="13825" spans="1:6" x14ac:dyDescent="0.25">
      <c r="A13825" s="1" t="s">
        <v>601</v>
      </c>
      <c r="B13825" s="1" t="s">
        <v>1267</v>
      </c>
      <c r="C13825" s="1" t="s">
        <v>22</v>
      </c>
      <c r="D13825" s="3">
        <f t="shared" si="2257"/>
        <v>8518</v>
      </c>
      <c r="E13825" s="2">
        <f t="shared" si="2255"/>
        <v>43678</v>
      </c>
      <c r="F13825" s="2">
        <f t="shared" si="2258"/>
        <v>44408</v>
      </c>
    </row>
    <row r="13826" spans="1:6" x14ac:dyDescent="0.25">
      <c r="A13826" s="1" t="s">
        <v>601</v>
      </c>
      <c r="B13826" s="1" t="s">
        <v>1267</v>
      </c>
      <c r="C13826" s="1" t="s">
        <v>146</v>
      </c>
      <c r="D13826" s="3">
        <f t="shared" si="2257"/>
        <v>8518</v>
      </c>
      <c r="E13826" s="2">
        <f t="shared" si="2255"/>
        <v>43678</v>
      </c>
      <c r="F13826" s="2">
        <f t="shared" si="2258"/>
        <v>44408</v>
      </c>
    </row>
    <row r="13827" spans="1:6" x14ac:dyDescent="0.25">
      <c r="A13827" s="1" t="s">
        <v>601</v>
      </c>
      <c r="B13827" s="1" t="s">
        <v>1267</v>
      </c>
      <c r="C13827" s="1" t="s">
        <v>147</v>
      </c>
      <c r="D13827" s="3">
        <f t="shared" si="2257"/>
        <v>8518</v>
      </c>
      <c r="E13827" s="2">
        <f t="shared" si="2255"/>
        <v>43678</v>
      </c>
      <c r="F13827" s="2">
        <f t="shared" si="2258"/>
        <v>44408</v>
      </c>
    </row>
    <row r="13828" spans="1:6" x14ac:dyDescent="0.25">
      <c r="A13828" s="1" t="s">
        <v>601</v>
      </c>
      <c r="B13828" s="1" t="s">
        <v>1267</v>
      </c>
      <c r="C13828" s="1" t="s">
        <v>148</v>
      </c>
      <c r="D13828" s="3">
        <f t="shared" si="2257"/>
        <v>8518</v>
      </c>
      <c r="E13828" s="2">
        <f t="shared" si="2255"/>
        <v>43678</v>
      </c>
      <c r="F13828" s="2">
        <f t="shared" si="2258"/>
        <v>44408</v>
      </c>
    </row>
    <row r="13829" spans="1:6" x14ac:dyDescent="0.25">
      <c r="A13829" s="1" t="s">
        <v>601</v>
      </c>
      <c r="B13829" s="1" t="s">
        <v>1267</v>
      </c>
      <c r="C13829" s="1" t="s">
        <v>92</v>
      </c>
      <c r="D13829" s="3">
        <f t="shared" si="2257"/>
        <v>8518</v>
      </c>
      <c r="E13829" s="2">
        <f t="shared" si="2255"/>
        <v>43678</v>
      </c>
      <c r="F13829" s="2">
        <f t="shared" si="2258"/>
        <v>44408</v>
      </c>
    </row>
    <row r="13830" spans="1:6" x14ac:dyDescent="0.25">
      <c r="A13830" s="1" t="s">
        <v>601</v>
      </c>
      <c r="B13830" s="1" t="s">
        <v>1267</v>
      </c>
      <c r="C13830" s="1" t="s">
        <v>50</v>
      </c>
      <c r="D13830" s="3">
        <f t="shared" si="2257"/>
        <v>8518</v>
      </c>
      <c r="E13830" s="2">
        <f t="shared" si="2255"/>
        <v>43678</v>
      </c>
      <c r="F13830" s="2">
        <f t="shared" si="2258"/>
        <v>44408</v>
      </c>
    </row>
    <row r="13831" spans="1:6" x14ac:dyDescent="0.25">
      <c r="A13831" s="1" t="s">
        <v>601</v>
      </c>
      <c r="B13831" s="1" t="s">
        <v>1267</v>
      </c>
      <c r="C13831" s="1" t="s">
        <v>70</v>
      </c>
      <c r="D13831" s="3">
        <f t="shared" si="2257"/>
        <v>8518</v>
      </c>
      <c r="E13831" s="2">
        <f t="shared" si="2255"/>
        <v>43678</v>
      </c>
      <c r="F13831" s="2">
        <f t="shared" si="2258"/>
        <v>44408</v>
      </c>
    </row>
    <row r="13832" spans="1:6" x14ac:dyDescent="0.25">
      <c r="A13832" s="1" t="s">
        <v>601</v>
      </c>
      <c r="B13832" s="1" t="s">
        <v>1267</v>
      </c>
      <c r="C13832" s="1" t="s">
        <v>73</v>
      </c>
      <c r="D13832" s="3">
        <f t="shared" si="2257"/>
        <v>8518</v>
      </c>
      <c r="E13832" s="2">
        <f t="shared" si="2255"/>
        <v>43678</v>
      </c>
      <c r="F13832" s="2">
        <f t="shared" si="2258"/>
        <v>44408</v>
      </c>
    </row>
    <row r="13833" spans="1:6" x14ac:dyDescent="0.25">
      <c r="A13833" s="1" t="s">
        <v>601</v>
      </c>
      <c r="B13833" s="1" t="s">
        <v>1267</v>
      </c>
      <c r="C13833" s="1" t="s">
        <v>303</v>
      </c>
      <c r="D13833" s="3">
        <f t="shared" si="2257"/>
        <v>8518</v>
      </c>
      <c r="E13833" s="2">
        <f t="shared" si="2255"/>
        <v>43678</v>
      </c>
      <c r="F13833" s="2">
        <f t="shared" si="2258"/>
        <v>44408</v>
      </c>
    </row>
    <row r="13834" spans="1:6" x14ac:dyDescent="0.25">
      <c r="A13834" s="1" t="s">
        <v>601</v>
      </c>
      <c r="B13834" s="1" t="s">
        <v>1267</v>
      </c>
      <c r="C13834" s="1" t="s">
        <v>55</v>
      </c>
      <c r="D13834" s="3">
        <f t="shared" si="2257"/>
        <v>8518</v>
      </c>
      <c r="E13834" s="2">
        <f t="shared" si="2255"/>
        <v>43678</v>
      </c>
      <c r="F13834" s="2">
        <f t="shared" si="2258"/>
        <v>44408</v>
      </c>
    </row>
    <row r="13835" spans="1:6" x14ac:dyDescent="0.25">
      <c r="A13835" s="1" t="s">
        <v>601</v>
      </c>
      <c r="B13835" s="1" t="s">
        <v>1267</v>
      </c>
      <c r="C13835" s="1" t="s">
        <v>306</v>
      </c>
      <c r="D13835" s="3">
        <f t="shared" si="2257"/>
        <v>8518</v>
      </c>
      <c r="E13835" s="2">
        <f t="shared" si="2255"/>
        <v>43678</v>
      </c>
      <c r="F13835" s="2">
        <f t="shared" si="2258"/>
        <v>44408</v>
      </c>
    </row>
    <row r="13836" spans="1:6" x14ac:dyDescent="0.25">
      <c r="A13836" s="1" t="s">
        <v>601</v>
      </c>
      <c r="B13836" s="1" t="s">
        <v>2360</v>
      </c>
      <c r="C13836" s="1" t="s">
        <v>1238</v>
      </c>
      <c r="D13836" s="3">
        <f>VALUE("8242")</f>
        <v>8242</v>
      </c>
      <c r="E13836" s="2">
        <f>DATEVALUE("1-3-2018")</f>
        <v>43160</v>
      </c>
      <c r="F13836" s="2">
        <f>DATEVALUE("31-1-2020")</f>
        <v>43861</v>
      </c>
    </row>
    <row r="13837" spans="1:6" x14ac:dyDescent="0.25">
      <c r="A13837" s="1" t="s">
        <v>601</v>
      </c>
      <c r="B13837" s="1" t="s">
        <v>2360</v>
      </c>
      <c r="C13837" s="1" t="s">
        <v>17</v>
      </c>
      <c r="D13837" s="3">
        <f>VALUE("8242")</f>
        <v>8242</v>
      </c>
      <c r="E13837" s="2">
        <f>DATEVALUE("1-3-2018")</f>
        <v>43160</v>
      </c>
      <c r="F13837" s="2">
        <f>DATEVALUE("31-1-2020")</f>
        <v>43861</v>
      </c>
    </row>
    <row r="13838" spans="1:6" x14ac:dyDescent="0.25">
      <c r="A13838" s="1" t="s">
        <v>601</v>
      </c>
      <c r="B13838" s="1" t="s">
        <v>600</v>
      </c>
      <c r="C13838" s="1" t="s">
        <v>325</v>
      </c>
      <c r="D13838" s="3">
        <f t="shared" ref="D13838:D13852" si="2259">VALUE("8138")</f>
        <v>8138</v>
      </c>
      <c r="E13838" s="2">
        <f t="shared" ref="E13838:E13852" si="2260">DATEVALUE("1-10-2017")</f>
        <v>43009</v>
      </c>
      <c r="F13838" s="2">
        <f t="shared" ref="F13838:F13852" si="2261">DATEVALUE("31-12-2020")</f>
        <v>44196</v>
      </c>
    </row>
    <row r="13839" spans="1:6" x14ac:dyDescent="0.25">
      <c r="A13839" s="1" t="s">
        <v>601</v>
      </c>
      <c r="B13839" s="1" t="s">
        <v>600</v>
      </c>
      <c r="C13839" s="1" t="s">
        <v>46</v>
      </c>
      <c r="D13839" s="3">
        <f t="shared" si="2259"/>
        <v>8138</v>
      </c>
      <c r="E13839" s="2">
        <f t="shared" si="2260"/>
        <v>43009</v>
      </c>
      <c r="F13839" s="2">
        <f t="shared" si="2261"/>
        <v>44196</v>
      </c>
    </row>
    <row r="13840" spans="1:6" x14ac:dyDescent="0.25">
      <c r="A13840" s="1" t="s">
        <v>601</v>
      </c>
      <c r="B13840" s="1" t="s">
        <v>600</v>
      </c>
      <c r="C13840" s="1" t="s">
        <v>14</v>
      </c>
      <c r="D13840" s="3">
        <f t="shared" si="2259"/>
        <v>8138</v>
      </c>
      <c r="E13840" s="2">
        <f t="shared" si="2260"/>
        <v>43009</v>
      </c>
      <c r="F13840" s="2">
        <f t="shared" si="2261"/>
        <v>44196</v>
      </c>
    </row>
    <row r="13841" spans="1:6" x14ac:dyDescent="0.25">
      <c r="A13841" s="1" t="s">
        <v>601</v>
      </c>
      <c r="B13841" s="1" t="s">
        <v>600</v>
      </c>
      <c r="C13841" s="1" t="s">
        <v>89</v>
      </c>
      <c r="D13841" s="3">
        <f t="shared" si="2259"/>
        <v>8138</v>
      </c>
      <c r="E13841" s="2">
        <f t="shared" si="2260"/>
        <v>43009</v>
      </c>
      <c r="F13841" s="2">
        <f t="shared" si="2261"/>
        <v>44196</v>
      </c>
    </row>
    <row r="13842" spans="1:6" x14ac:dyDescent="0.25">
      <c r="A13842" s="1" t="s">
        <v>601</v>
      </c>
      <c r="B13842" s="1" t="s">
        <v>600</v>
      </c>
      <c r="C13842" s="1" t="s">
        <v>17</v>
      </c>
      <c r="D13842" s="3">
        <f t="shared" si="2259"/>
        <v>8138</v>
      </c>
      <c r="E13842" s="2">
        <f t="shared" si="2260"/>
        <v>43009</v>
      </c>
      <c r="F13842" s="2">
        <f t="shared" si="2261"/>
        <v>44196</v>
      </c>
    </row>
    <row r="13843" spans="1:6" x14ac:dyDescent="0.25">
      <c r="A13843" s="1" t="s">
        <v>601</v>
      </c>
      <c r="B13843" s="1" t="s">
        <v>600</v>
      </c>
      <c r="C13843" s="1" t="s">
        <v>197</v>
      </c>
      <c r="D13843" s="3">
        <f t="shared" si="2259"/>
        <v>8138</v>
      </c>
      <c r="E13843" s="2">
        <f t="shared" si="2260"/>
        <v>43009</v>
      </c>
      <c r="F13843" s="2">
        <f t="shared" si="2261"/>
        <v>44196</v>
      </c>
    </row>
    <row r="13844" spans="1:6" x14ac:dyDescent="0.25">
      <c r="A13844" s="1" t="s">
        <v>601</v>
      </c>
      <c r="B13844" s="1" t="s">
        <v>600</v>
      </c>
      <c r="C13844" s="1" t="s">
        <v>22</v>
      </c>
      <c r="D13844" s="3">
        <f t="shared" si="2259"/>
        <v>8138</v>
      </c>
      <c r="E13844" s="2">
        <f t="shared" si="2260"/>
        <v>43009</v>
      </c>
      <c r="F13844" s="2">
        <f t="shared" si="2261"/>
        <v>44196</v>
      </c>
    </row>
    <row r="13845" spans="1:6" x14ac:dyDescent="0.25">
      <c r="A13845" s="1" t="s">
        <v>601</v>
      </c>
      <c r="B13845" s="1" t="s">
        <v>600</v>
      </c>
      <c r="C13845" s="1" t="s">
        <v>146</v>
      </c>
      <c r="D13845" s="3">
        <f t="shared" si="2259"/>
        <v>8138</v>
      </c>
      <c r="E13845" s="2">
        <f t="shared" si="2260"/>
        <v>43009</v>
      </c>
      <c r="F13845" s="2">
        <f t="shared" si="2261"/>
        <v>44196</v>
      </c>
    </row>
    <row r="13846" spans="1:6" x14ac:dyDescent="0.25">
      <c r="A13846" s="1" t="s">
        <v>601</v>
      </c>
      <c r="B13846" s="1" t="s">
        <v>600</v>
      </c>
      <c r="C13846" s="1" t="s">
        <v>148</v>
      </c>
      <c r="D13846" s="3">
        <f t="shared" si="2259"/>
        <v>8138</v>
      </c>
      <c r="E13846" s="2">
        <f t="shared" si="2260"/>
        <v>43009</v>
      </c>
      <c r="F13846" s="2">
        <f t="shared" si="2261"/>
        <v>44196</v>
      </c>
    </row>
    <row r="13847" spans="1:6" x14ac:dyDescent="0.25">
      <c r="A13847" s="1" t="s">
        <v>601</v>
      </c>
      <c r="B13847" s="1" t="s">
        <v>600</v>
      </c>
      <c r="C13847" s="1" t="s">
        <v>149</v>
      </c>
      <c r="D13847" s="3">
        <f t="shared" si="2259"/>
        <v>8138</v>
      </c>
      <c r="E13847" s="2">
        <f t="shared" si="2260"/>
        <v>43009</v>
      </c>
      <c r="F13847" s="2">
        <f t="shared" si="2261"/>
        <v>44196</v>
      </c>
    </row>
    <row r="13848" spans="1:6" x14ac:dyDescent="0.25">
      <c r="A13848" s="1" t="s">
        <v>601</v>
      </c>
      <c r="B13848" s="1" t="s">
        <v>600</v>
      </c>
      <c r="C13848" s="1" t="s">
        <v>50</v>
      </c>
      <c r="D13848" s="3">
        <f t="shared" si="2259"/>
        <v>8138</v>
      </c>
      <c r="E13848" s="2">
        <f t="shared" si="2260"/>
        <v>43009</v>
      </c>
      <c r="F13848" s="2">
        <f t="shared" si="2261"/>
        <v>44196</v>
      </c>
    </row>
    <row r="13849" spans="1:6" x14ac:dyDescent="0.25">
      <c r="A13849" s="1" t="s">
        <v>601</v>
      </c>
      <c r="B13849" s="1" t="s">
        <v>600</v>
      </c>
      <c r="C13849" s="1" t="s">
        <v>70</v>
      </c>
      <c r="D13849" s="3">
        <f t="shared" si="2259"/>
        <v>8138</v>
      </c>
      <c r="E13849" s="2">
        <f t="shared" si="2260"/>
        <v>43009</v>
      </c>
      <c r="F13849" s="2">
        <f t="shared" si="2261"/>
        <v>44196</v>
      </c>
    </row>
    <row r="13850" spans="1:6" x14ac:dyDescent="0.25">
      <c r="A13850" s="1" t="s">
        <v>601</v>
      </c>
      <c r="B13850" s="1" t="s">
        <v>600</v>
      </c>
      <c r="C13850" s="1" t="s">
        <v>216</v>
      </c>
      <c r="D13850" s="3">
        <f t="shared" si="2259"/>
        <v>8138</v>
      </c>
      <c r="E13850" s="2">
        <f t="shared" si="2260"/>
        <v>43009</v>
      </c>
      <c r="F13850" s="2">
        <f t="shared" si="2261"/>
        <v>44196</v>
      </c>
    </row>
    <row r="13851" spans="1:6" x14ac:dyDescent="0.25">
      <c r="A13851" s="1" t="s">
        <v>601</v>
      </c>
      <c r="B13851" s="1" t="s">
        <v>600</v>
      </c>
      <c r="C13851" s="1" t="s">
        <v>34</v>
      </c>
      <c r="D13851" s="3">
        <f t="shared" si="2259"/>
        <v>8138</v>
      </c>
      <c r="E13851" s="2">
        <f t="shared" si="2260"/>
        <v>43009</v>
      </c>
      <c r="F13851" s="2">
        <f t="shared" si="2261"/>
        <v>44196</v>
      </c>
    </row>
    <row r="13852" spans="1:6" x14ac:dyDescent="0.25">
      <c r="A13852" s="1" t="s">
        <v>601</v>
      </c>
      <c r="B13852" s="1" t="s">
        <v>600</v>
      </c>
      <c r="C13852" s="1" t="s">
        <v>170</v>
      </c>
      <c r="D13852" s="3">
        <f t="shared" si="2259"/>
        <v>8138</v>
      </c>
      <c r="E13852" s="2">
        <f t="shared" si="2260"/>
        <v>43009</v>
      </c>
      <c r="F13852" s="2">
        <f t="shared" si="2261"/>
        <v>44196</v>
      </c>
    </row>
    <row r="13853" spans="1:6" x14ac:dyDescent="0.25">
      <c r="A13853" s="1" t="s">
        <v>601</v>
      </c>
      <c r="B13853" s="1" t="s">
        <v>728</v>
      </c>
      <c r="C13853" s="1" t="s">
        <v>85</v>
      </c>
      <c r="D13853" s="3">
        <f>VALUE("7905")</f>
        <v>7905</v>
      </c>
      <c r="E13853" s="2">
        <f>DATEVALUE("1-3-2017")</f>
        <v>42795</v>
      </c>
      <c r="F13853" s="2">
        <f>DATEVALUE("30-6-2021")</f>
        <v>44377</v>
      </c>
    </row>
    <row r="13854" spans="1:6" x14ac:dyDescent="0.25">
      <c r="A13854" s="1" t="s">
        <v>601</v>
      </c>
      <c r="B13854" s="1" t="s">
        <v>728</v>
      </c>
      <c r="C13854" s="1" t="s">
        <v>84</v>
      </c>
      <c r="D13854" s="3">
        <f>VALUE("7905")</f>
        <v>7905</v>
      </c>
      <c r="E13854" s="2">
        <f>DATEVALUE("1-3-2017")</f>
        <v>42795</v>
      </c>
      <c r="F13854" s="2">
        <f>DATEVALUE("30-6-2021")</f>
        <v>44377</v>
      </c>
    </row>
    <row r="13855" spans="1:6" x14ac:dyDescent="0.25">
      <c r="A13855" s="1" t="s">
        <v>601</v>
      </c>
      <c r="B13855" s="1" t="s">
        <v>728</v>
      </c>
      <c r="C13855" s="1" t="s">
        <v>89</v>
      </c>
      <c r="D13855" s="3">
        <f>VALUE("7905")</f>
        <v>7905</v>
      </c>
      <c r="E13855" s="2">
        <f>DATEVALUE("1-3-2017")</f>
        <v>42795</v>
      </c>
      <c r="F13855" s="2">
        <f>DATEVALUE("30-6-2021")</f>
        <v>44377</v>
      </c>
    </row>
    <row r="13856" spans="1:6" x14ac:dyDescent="0.25">
      <c r="A13856" s="1" t="s">
        <v>601</v>
      </c>
      <c r="B13856" s="1" t="s">
        <v>728</v>
      </c>
      <c r="C13856" s="1" t="s">
        <v>17</v>
      </c>
      <c r="D13856" s="3">
        <f>VALUE("7905")</f>
        <v>7905</v>
      </c>
      <c r="E13856" s="2">
        <f>DATEVALUE("1-3-2017")</f>
        <v>42795</v>
      </c>
      <c r="F13856" s="2">
        <f>DATEVALUE("30-6-2021")</f>
        <v>44377</v>
      </c>
    </row>
    <row r="13857" spans="1:6" x14ac:dyDescent="0.25">
      <c r="A13857" s="1" t="s">
        <v>601</v>
      </c>
      <c r="B13857" s="1" t="s">
        <v>728</v>
      </c>
      <c r="C13857" s="1" t="s">
        <v>26</v>
      </c>
      <c r="D13857" s="3">
        <f>VALUE("7905")</f>
        <v>7905</v>
      </c>
      <c r="E13857" s="2">
        <f>DATEVALUE("1-3-2017")</f>
        <v>42795</v>
      </c>
      <c r="F13857" s="2">
        <f>DATEVALUE("30-6-2021")</f>
        <v>44377</v>
      </c>
    </row>
    <row r="13858" spans="1:6" x14ac:dyDescent="0.25">
      <c r="A13858" s="1" t="s">
        <v>355</v>
      </c>
      <c r="B13858" s="1" t="s">
        <v>1619</v>
      </c>
      <c r="C13858" s="1" t="s">
        <v>499</v>
      </c>
      <c r="D13858" s="3">
        <f t="shared" ref="D13858:D13877" si="2262">VALUE("8797")</f>
        <v>8797</v>
      </c>
      <c r="E13858" s="2">
        <f t="shared" ref="E13858:E13877" si="2263">DATEVALUE("1-9-2020")</f>
        <v>44075</v>
      </c>
      <c r="F13858" s="2">
        <f t="shared" ref="F13858:F13877" si="2264">DATEVALUE("31-8-2021")</f>
        <v>44439</v>
      </c>
    </row>
    <row r="13859" spans="1:6" x14ac:dyDescent="0.25">
      <c r="A13859" s="1" t="s">
        <v>355</v>
      </c>
      <c r="B13859" s="1" t="s">
        <v>1619</v>
      </c>
      <c r="C13859" s="1" t="s">
        <v>500</v>
      </c>
      <c r="D13859" s="3">
        <f t="shared" si="2262"/>
        <v>8797</v>
      </c>
      <c r="E13859" s="2">
        <f t="shared" si="2263"/>
        <v>44075</v>
      </c>
      <c r="F13859" s="2">
        <f t="shared" si="2264"/>
        <v>44439</v>
      </c>
    </row>
    <row r="13860" spans="1:6" x14ac:dyDescent="0.25">
      <c r="A13860" s="1" t="s">
        <v>355</v>
      </c>
      <c r="B13860" s="1" t="s">
        <v>1619</v>
      </c>
      <c r="C13860" s="1" t="s">
        <v>501</v>
      </c>
      <c r="D13860" s="3">
        <f t="shared" si="2262"/>
        <v>8797</v>
      </c>
      <c r="E13860" s="2">
        <f t="shared" si="2263"/>
        <v>44075</v>
      </c>
      <c r="F13860" s="2">
        <f t="shared" si="2264"/>
        <v>44439</v>
      </c>
    </row>
    <row r="13861" spans="1:6" x14ac:dyDescent="0.25">
      <c r="A13861" s="1" t="s">
        <v>355</v>
      </c>
      <c r="B13861" s="1" t="s">
        <v>1619</v>
      </c>
      <c r="C13861" s="1" t="s">
        <v>387</v>
      </c>
      <c r="D13861" s="3">
        <f t="shared" si="2262"/>
        <v>8797</v>
      </c>
      <c r="E13861" s="2">
        <f t="shared" si="2263"/>
        <v>44075</v>
      </c>
      <c r="F13861" s="2">
        <f t="shared" si="2264"/>
        <v>44439</v>
      </c>
    </row>
    <row r="13862" spans="1:6" x14ac:dyDescent="0.25">
      <c r="A13862" s="1" t="s">
        <v>355</v>
      </c>
      <c r="B13862" s="1" t="s">
        <v>1619</v>
      </c>
      <c r="C13862" s="1" t="s">
        <v>94</v>
      </c>
      <c r="D13862" s="3">
        <f t="shared" si="2262"/>
        <v>8797</v>
      </c>
      <c r="E13862" s="2">
        <f t="shared" si="2263"/>
        <v>44075</v>
      </c>
      <c r="F13862" s="2">
        <f t="shared" si="2264"/>
        <v>44439</v>
      </c>
    </row>
    <row r="13863" spans="1:6" x14ac:dyDescent="0.25">
      <c r="A13863" s="1" t="s">
        <v>355</v>
      </c>
      <c r="B13863" s="1" t="s">
        <v>1619</v>
      </c>
      <c r="C13863" s="1" t="s">
        <v>817</v>
      </c>
      <c r="D13863" s="3">
        <f t="shared" si="2262"/>
        <v>8797</v>
      </c>
      <c r="E13863" s="2">
        <f t="shared" si="2263"/>
        <v>44075</v>
      </c>
      <c r="F13863" s="2">
        <f t="shared" si="2264"/>
        <v>44439</v>
      </c>
    </row>
    <row r="13864" spans="1:6" x14ac:dyDescent="0.25">
      <c r="A13864" s="1" t="s">
        <v>355</v>
      </c>
      <c r="B13864" s="1" t="s">
        <v>1619</v>
      </c>
      <c r="C13864" s="1" t="s">
        <v>818</v>
      </c>
      <c r="D13864" s="3">
        <f t="shared" si="2262"/>
        <v>8797</v>
      </c>
      <c r="E13864" s="2">
        <f t="shared" si="2263"/>
        <v>44075</v>
      </c>
      <c r="F13864" s="2">
        <f t="shared" si="2264"/>
        <v>44439</v>
      </c>
    </row>
    <row r="13865" spans="1:6" x14ac:dyDescent="0.25">
      <c r="A13865" s="1" t="s">
        <v>355</v>
      </c>
      <c r="B13865" s="1" t="s">
        <v>1619</v>
      </c>
      <c r="C13865" s="1" t="s">
        <v>819</v>
      </c>
      <c r="D13865" s="3">
        <f t="shared" si="2262"/>
        <v>8797</v>
      </c>
      <c r="E13865" s="2">
        <f t="shared" si="2263"/>
        <v>44075</v>
      </c>
      <c r="F13865" s="2">
        <f t="shared" si="2264"/>
        <v>44439</v>
      </c>
    </row>
    <row r="13866" spans="1:6" x14ac:dyDescent="0.25">
      <c r="A13866" s="1" t="s">
        <v>355</v>
      </c>
      <c r="B13866" s="1" t="s">
        <v>1619</v>
      </c>
      <c r="C13866" s="1" t="s">
        <v>820</v>
      </c>
      <c r="D13866" s="3">
        <f t="shared" si="2262"/>
        <v>8797</v>
      </c>
      <c r="E13866" s="2">
        <f t="shared" si="2263"/>
        <v>44075</v>
      </c>
      <c r="F13866" s="2">
        <f t="shared" si="2264"/>
        <v>44439</v>
      </c>
    </row>
    <row r="13867" spans="1:6" x14ac:dyDescent="0.25">
      <c r="A13867" s="1" t="s">
        <v>355</v>
      </c>
      <c r="B13867" s="1" t="s">
        <v>1619</v>
      </c>
      <c r="C13867" s="1" t="s">
        <v>821</v>
      </c>
      <c r="D13867" s="3">
        <f t="shared" si="2262"/>
        <v>8797</v>
      </c>
      <c r="E13867" s="2">
        <f t="shared" si="2263"/>
        <v>44075</v>
      </c>
      <c r="F13867" s="2">
        <f t="shared" si="2264"/>
        <v>44439</v>
      </c>
    </row>
    <row r="13868" spans="1:6" x14ac:dyDescent="0.25">
      <c r="A13868" s="1" t="s">
        <v>355</v>
      </c>
      <c r="B13868" s="1" t="s">
        <v>1619</v>
      </c>
      <c r="C13868" s="1" t="s">
        <v>822</v>
      </c>
      <c r="D13868" s="3">
        <f t="shared" si="2262"/>
        <v>8797</v>
      </c>
      <c r="E13868" s="2">
        <f t="shared" si="2263"/>
        <v>44075</v>
      </c>
      <c r="F13868" s="2">
        <f t="shared" si="2264"/>
        <v>44439</v>
      </c>
    </row>
    <row r="13869" spans="1:6" x14ac:dyDescent="0.25">
      <c r="A13869" s="1" t="s">
        <v>355</v>
      </c>
      <c r="B13869" s="1" t="s">
        <v>1619</v>
      </c>
      <c r="C13869" s="1" t="s">
        <v>825</v>
      </c>
      <c r="D13869" s="3">
        <f t="shared" si="2262"/>
        <v>8797</v>
      </c>
      <c r="E13869" s="2">
        <f t="shared" si="2263"/>
        <v>44075</v>
      </c>
      <c r="F13869" s="2">
        <f t="shared" si="2264"/>
        <v>44439</v>
      </c>
    </row>
    <row r="13870" spans="1:6" x14ac:dyDescent="0.25">
      <c r="A13870" s="1" t="s">
        <v>355</v>
      </c>
      <c r="B13870" s="1" t="s">
        <v>1619</v>
      </c>
      <c r="C13870" s="1" t="s">
        <v>823</v>
      </c>
      <c r="D13870" s="3">
        <f t="shared" si="2262"/>
        <v>8797</v>
      </c>
      <c r="E13870" s="2">
        <f t="shared" si="2263"/>
        <v>44075</v>
      </c>
      <c r="F13870" s="2">
        <f t="shared" si="2264"/>
        <v>44439</v>
      </c>
    </row>
    <row r="13871" spans="1:6" x14ac:dyDescent="0.25">
      <c r="A13871" s="1" t="s">
        <v>355</v>
      </c>
      <c r="B13871" s="1" t="s">
        <v>1619</v>
      </c>
      <c r="C13871" s="1" t="s">
        <v>824</v>
      </c>
      <c r="D13871" s="3">
        <f t="shared" si="2262"/>
        <v>8797</v>
      </c>
      <c r="E13871" s="2">
        <f t="shared" si="2263"/>
        <v>44075</v>
      </c>
      <c r="F13871" s="2">
        <f t="shared" si="2264"/>
        <v>44439</v>
      </c>
    </row>
    <row r="13872" spans="1:6" x14ac:dyDescent="0.25">
      <c r="A13872" s="1" t="s">
        <v>355</v>
      </c>
      <c r="B13872" s="1" t="s">
        <v>1619</v>
      </c>
      <c r="C13872" s="1" t="s">
        <v>826</v>
      </c>
      <c r="D13872" s="3">
        <f t="shared" si="2262"/>
        <v>8797</v>
      </c>
      <c r="E13872" s="2">
        <f t="shared" si="2263"/>
        <v>44075</v>
      </c>
      <c r="F13872" s="2">
        <f t="shared" si="2264"/>
        <v>44439</v>
      </c>
    </row>
    <row r="13873" spans="1:6" x14ac:dyDescent="0.25">
      <c r="A13873" s="1" t="s">
        <v>355</v>
      </c>
      <c r="B13873" s="1" t="s">
        <v>1619</v>
      </c>
      <c r="C13873" s="1" t="s">
        <v>827</v>
      </c>
      <c r="D13873" s="3">
        <f t="shared" si="2262"/>
        <v>8797</v>
      </c>
      <c r="E13873" s="2">
        <f t="shared" si="2263"/>
        <v>44075</v>
      </c>
      <c r="F13873" s="2">
        <f t="shared" si="2264"/>
        <v>44439</v>
      </c>
    </row>
    <row r="13874" spans="1:6" x14ac:dyDescent="0.25">
      <c r="A13874" s="1" t="s">
        <v>355</v>
      </c>
      <c r="B13874" s="1" t="s">
        <v>1619</v>
      </c>
      <c r="C13874" s="1" t="s">
        <v>829</v>
      </c>
      <c r="D13874" s="3">
        <f t="shared" si="2262"/>
        <v>8797</v>
      </c>
      <c r="E13874" s="2">
        <f t="shared" si="2263"/>
        <v>44075</v>
      </c>
      <c r="F13874" s="2">
        <f t="shared" si="2264"/>
        <v>44439</v>
      </c>
    </row>
    <row r="13875" spans="1:6" x14ac:dyDescent="0.25">
      <c r="A13875" s="1" t="s">
        <v>355</v>
      </c>
      <c r="B13875" s="1" t="s">
        <v>1619</v>
      </c>
      <c r="C13875" s="1" t="s">
        <v>828</v>
      </c>
      <c r="D13875" s="3">
        <f t="shared" si="2262"/>
        <v>8797</v>
      </c>
      <c r="E13875" s="2">
        <f t="shared" si="2263"/>
        <v>44075</v>
      </c>
      <c r="F13875" s="2">
        <f t="shared" si="2264"/>
        <v>44439</v>
      </c>
    </row>
    <row r="13876" spans="1:6" x14ac:dyDescent="0.25">
      <c r="A13876" s="1" t="s">
        <v>355</v>
      </c>
      <c r="B13876" s="1" t="s">
        <v>1619</v>
      </c>
      <c r="C13876" s="1" t="s">
        <v>830</v>
      </c>
      <c r="D13876" s="3">
        <f t="shared" si="2262"/>
        <v>8797</v>
      </c>
      <c r="E13876" s="2">
        <f t="shared" si="2263"/>
        <v>44075</v>
      </c>
      <c r="F13876" s="2">
        <f t="shared" si="2264"/>
        <v>44439</v>
      </c>
    </row>
    <row r="13877" spans="1:6" x14ac:dyDescent="0.25">
      <c r="A13877" s="1" t="s">
        <v>355</v>
      </c>
      <c r="B13877" s="1" t="s">
        <v>1619</v>
      </c>
      <c r="C13877" s="1" t="s">
        <v>170</v>
      </c>
      <c r="D13877" s="3">
        <f t="shared" si="2262"/>
        <v>8797</v>
      </c>
      <c r="E13877" s="2">
        <f t="shared" si="2263"/>
        <v>44075</v>
      </c>
      <c r="F13877" s="2">
        <f t="shared" si="2264"/>
        <v>44439</v>
      </c>
    </row>
    <row r="13878" spans="1:6" x14ac:dyDescent="0.25">
      <c r="A13878" s="1" t="s">
        <v>355</v>
      </c>
      <c r="B13878" s="1" t="s">
        <v>1369</v>
      </c>
      <c r="C13878" s="1" t="s">
        <v>416</v>
      </c>
      <c r="D13878" s="3">
        <f t="shared" ref="D13878:D13886" si="2265">VALUE("8597")</f>
        <v>8597</v>
      </c>
      <c r="E13878" s="2">
        <f t="shared" ref="E13878:E13886" si="2266">DATEVALUE("1-10-2019")</f>
        <v>43739</v>
      </c>
      <c r="F13878" s="2">
        <f t="shared" ref="F13878:F13900" si="2267">DATEVALUE("31-12-2020")</f>
        <v>44196</v>
      </c>
    </row>
    <row r="13879" spans="1:6" x14ac:dyDescent="0.25">
      <c r="A13879" s="1" t="s">
        <v>355</v>
      </c>
      <c r="B13879" s="1" t="s">
        <v>1369</v>
      </c>
      <c r="C13879" s="1" t="s">
        <v>14</v>
      </c>
      <c r="D13879" s="3">
        <f t="shared" si="2265"/>
        <v>8597</v>
      </c>
      <c r="E13879" s="2">
        <f t="shared" si="2266"/>
        <v>43739</v>
      </c>
      <c r="F13879" s="2">
        <f t="shared" si="2267"/>
        <v>44196</v>
      </c>
    </row>
    <row r="13880" spans="1:6" x14ac:dyDescent="0.25">
      <c r="A13880" s="1" t="s">
        <v>355</v>
      </c>
      <c r="B13880" s="1" t="s">
        <v>1369</v>
      </c>
      <c r="C13880" s="1" t="s">
        <v>22</v>
      </c>
      <c r="D13880" s="3">
        <f t="shared" si="2265"/>
        <v>8597</v>
      </c>
      <c r="E13880" s="2">
        <f t="shared" si="2266"/>
        <v>43739</v>
      </c>
      <c r="F13880" s="2">
        <f t="shared" si="2267"/>
        <v>44196</v>
      </c>
    </row>
    <row r="13881" spans="1:6" x14ac:dyDescent="0.25">
      <c r="A13881" s="1" t="s">
        <v>355</v>
      </c>
      <c r="B13881" s="1" t="s">
        <v>1369</v>
      </c>
      <c r="C13881" s="1" t="s">
        <v>67</v>
      </c>
      <c r="D13881" s="3">
        <f t="shared" si="2265"/>
        <v>8597</v>
      </c>
      <c r="E13881" s="2">
        <f t="shared" si="2266"/>
        <v>43739</v>
      </c>
      <c r="F13881" s="2">
        <f t="shared" si="2267"/>
        <v>44196</v>
      </c>
    </row>
    <row r="13882" spans="1:6" x14ac:dyDescent="0.25">
      <c r="A13882" s="1" t="s">
        <v>355</v>
      </c>
      <c r="B13882" s="1" t="s">
        <v>1369</v>
      </c>
      <c r="C13882" s="1" t="s">
        <v>92</v>
      </c>
      <c r="D13882" s="3">
        <f t="shared" si="2265"/>
        <v>8597</v>
      </c>
      <c r="E13882" s="2">
        <f t="shared" si="2266"/>
        <v>43739</v>
      </c>
      <c r="F13882" s="2">
        <f t="shared" si="2267"/>
        <v>44196</v>
      </c>
    </row>
    <row r="13883" spans="1:6" x14ac:dyDescent="0.25">
      <c r="A13883" s="1" t="s">
        <v>355</v>
      </c>
      <c r="B13883" s="1" t="s">
        <v>1369</v>
      </c>
      <c r="C13883" s="1" t="s">
        <v>24</v>
      </c>
      <c r="D13883" s="3">
        <f t="shared" si="2265"/>
        <v>8597</v>
      </c>
      <c r="E13883" s="2">
        <f t="shared" si="2266"/>
        <v>43739</v>
      </c>
      <c r="F13883" s="2">
        <f t="shared" si="2267"/>
        <v>44196</v>
      </c>
    </row>
    <row r="13884" spans="1:6" x14ac:dyDescent="0.25">
      <c r="A13884" s="1" t="s">
        <v>355</v>
      </c>
      <c r="B13884" s="1" t="s">
        <v>1369</v>
      </c>
      <c r="C13884" s="1" t="s">
        <v>50</v>
      </c>
      <c r="D13884" s="3">
        <f t="shared" si="2265"/>
        <v>8597</v>
      </c>
      <c r="E13884" s="2">
        <f t="shared" si="2266"/>
        <v>43739</v>
      </c>
      <c r="F13884" s="2">
        <f t="shared" si="2267"/>
        <v>44196</v>
      </c>
    </row>
    <row r="13885" spans="1:6" x14ac:dyDescent="0.25">
      <c r="A13885" s="1" t="s">
        <v>355</v>
      </c>
      <c r="B13885" s="1" t="s">
        <v>1369</v>
      </c>
      <c r="C13885" s="1" t="s">
        <v>34</v>
      </c>
      <c r="D13885" s="3">
        <f t="shared" si="2265"/>
        <v>8597</v>
      </c>
      <c r="E13885" s="2">
        <f t="shared" si="2266"/>
        <v>43739</v>
      </c>
      <c r="F13885" s="2">
        <f t="shared" si="2267"/>
        <v>44196</v>
      </c>
    </row>
    <row r="13886" spans="1:6" x14ac:dyDescent="0.25">
      <c r="A13886" s="1" t="s">
        <v>355</v>
      </c>
      <c r="B13886" s="1" t="s">
        <v>1369</v>
      </c>
      <c r="C13886" s="1" t="s">
        <v>306</v>
      </c>
      <c r="D13886" s="3">
        <f t="shared" si="2265"/>
        <v>8597</v>
      </c>
      <c r="E13886" s="2">
        <f t="shared" si="2266"/>
        <v>43739</v>
      </c>
      <c r="F13886" s="2">
        <f t="shared" si="2267"/>
        <v>44196</v>
      </c>
    </row>
    <row r="13887" spans="1:6" x14ac:dyDescent="0.25">
      <c r="A13887" s="1" t="s">
        <v>355</v>
      </c>
      <c r="B13887" s="1" t="s">
        <v>1068</v>
      </c>
      <c r="C13887" s="1" t="s">
        <v>256</v>
      </c>
      <c r="D13887" s="3">
        <f>VALUE("8348")</f>
        <v>8348</v>
      </c>
      <c r="E13887" s="2">
        <f>DATEVALUE("1-7-2018")</f>
        <v>43282</v>
      </c>
      <c r="F13887" s="2">
        <f t="shared" si="2267"/>
        <v>44196</v>
      </c>
    </row>
    <row r="13888" spans="1:6" x14ac:dyDescent="0.25">
      <c r="A13888" s="1" t="s">
        <v>355</v>
      </c>
      <c r="B13888" s="1" t="s">
        <v>1068</v>
      </c>
      <c r="C13888" s="1" t="s">
        <v>22</v>
      </c>
      <c r="D13888" s="3">
        <f>VALUE("8348")</f>
        <v>8348</v>
      </c>
      <c r="E13888" s="2">
        <f>DATEVALUE("1-7-2018")</f>
        <v>43282</v>
      </c>
      <c r="F13888" s="2">
        <f t="shared" si="2267"/>
        <v>44196</v>
      </c>
    </row>
    <row r="13889" spans="1:6" x14ac:dyDescent="0.25">
      <c r="A13889" s="1" t="s">
        <v>355</v>
      </c>
      <c r="B13889" s="1" t="s">
        <v>1068</v>
      </c>
      <c r="C13889" s="1" t="s">
        <v>477</v>
      </c>
      <c r="D13889" s="3">
        <f>VALUE("8348")</f>
        <v>8348</v>
      </c>
      <c r="E13889" s="2">
        <f>DATEVALUE("1-7-2018")</f>
        <v>43282</v>
      </c>
      <c r="F13889" s="2">
        <f t="shared" si="2267"/>
        <v>44196</v>
      </c>
    </row>
    <row r="13890" spans="1:6" x14ac:dyDescent="0.25">
      <c r="A13890" s="1" t="s">
        <v>355</v>
      </c>
      <c r="B13890" s="1" t="s">
        <v>1068</v>
      </c>
      <c r="C13890" s="1" t="s">
        <v>478</v>
      </c>
      <c r="D13890" s="3">
        <f>VALUE("8348")</f>
        <v>8348</v>
      </c>
      <c r="E13890" s="2">
        <f>DATEVALUE("1-7-2018")</f>
        <v>43282</v>
      </c>
      <c r="F13890" s="2">
        <f t="shared" si="2267"/>
        <v>44196</v>
      </c>
    </row>
    <row r="13891" spans="1:6" x14ac:dyDescent="0.25">
      <c r="A13891" s="1" t="s">
        <v>355</v>
      </c>
      <c r="B13891" s="1" t="s">
        <v>1068</v>
      </c>
      <c r="C13891" s="1" t="s">
        <v>479</v>
      </c>
      <c r="D13891" s="3">
        <f>VALUE("8348")</f>
        <v>8348</v>
      </c>
      <c r="E13891" s="2">
        <f>DATEVALUE("1-7-2018")</f>
        <v>43282</v>
      </c>
      <c r="F13891" s="2">
        <f t="shared" si="2267"/>
        <v>44196</v>
      </c>
    </row>
    <row r="13892" spans="1:6" x14ac:dyDescent="0.25">
      <c r="A13892" s="1" t="s">
        <v>355</v>
      </c>
      <c r="B13892" s="1" t="s">
        <v>892</v>
      </c>
      <c r="C13892" s="1" t="s">
        <v>15</v>
      </c>
      <c r="D13892" s="3">
        <f t="shared" ref="D13892:D13900" si="2268">VALUE("8122")</f>
        <v>8122</v>
      </c>
      <c r="E13892" s="2">
        <f t="shared" ref="E13892:E13900" si="2269">DATEVALUE("1-8-2017")</f>
        <v>42948</v>
      </c>
      <c r="F13892" s="2">
        <f t="shared" si="2267"/>
        <v>44196</v>
      </c>
    </row>
    <row r="13893" spans="1:6" x14ac:dyDescent="0.25">
      <c r="A13893" s="1" t="s">
        <v>355</v>
      </c>
      <c r="B13893" s="1" t="s">
        <v>892</v>
      </c>
      <c r="C13893" s="1" t="s">
        <v>17</v>
      </c>
      <c r="D13893" s="3">
        <f t="shared" si="2268"/>
        <v>8122</v>
      </c>
      <c r="E13893" s="2">
        <f t="shared" si="2269"/>
        <v>42948</v>
      </c>
      <c r="F13893" s="2">
        <f t="shared" si="2267"/>
        <v>44196</v>
      </c>
    </row>
    <row r="13894" spans="1:6" x14ac:dyDescent="0.25">
      <c r="A13894" s="1" t="s">
        <v>355</v>
      </c>
      <c r="B13894" s="1" t="s">
        <v>892</v>
      </c>
      <c r="C13894" s="1" t="s">
        <v>22</v>
      </c>
      <c r="D13894" s="3">
        <f t="shared" si="2268"/>
        <v>8122</v>
      </c>
      <c r="E13894" s="2">
        <f t="shared" si="2269"/>
        <v>42948</v>
      </c>
      <c r="F13894" s="2">
        <f t="shared" si="2267"/>
        <v>44196</v>
      </c>
    </row>
    <row r="13895" spans="1:6" x14ac:dyDescent="0.25">
      <c r="A13895" s="1" t="s">
        <v>355</v>
      </c>
      <c r="B13895" s="1" t="s">
        <v>892</v>
      </c>
      <c r="C13895" s="1" t="s">
        <v>67</v>
      </c>
      <c r="D13895" s="3">
        <f t="shared" si="2268"/>
        <v>8122</v>
      </c>
      <c r="E13895" s="2">
        <f t="shared" si="2269"/>
        <v>42948</v>
      </c>
      <c r="F13895" s="2">
        <f t="shared" si="2267"/>
        <v>44196</v>
      </c>
    </row>
    <row r="13896" spans="1:6" x14ac:dyDescent="0.25">
      <c r="A13896" s="1" t="s">
        <v>355</v>
      </c>
      <c r="B13896" s="1" t="s">
        <v>892</v>
      </c>
      <c r="C13896" s="1" t="s">
        <v>149</v>
      </c>
      <c r="D13896" s="3">
        <f t="shared" si="2268"/>
        <v>8122</v>
      </c>
      <c r="E13896" s="2">
        <f t="shared" si="2269"/>
        <v>42948</v>
      </c>
      <c r="F13896" s="2">
        <f t="shared" si="2267"/>
        <v>44196</v>
      </c>
    </row>
    <row r="13897" spans="1:6" x14ac:dyDescent="0.25">
      <c r="A13897" s="1" t="s">
        <v>355</v>
      </c>
      <c r="B13897" s="1" t="s">
        <v>892</v>
      </c>
      <c r="C13897" s="1" t="s">
        <v>150</v>
      </c>
      <c r="D13897" s="3">
        <f t="shared" si="2268"/>
        <v>8122</v>
      </c>
      <c r="E13897" s="2">
        <f t="shared" si="2269"/>
        <v>42948</v>
      </c>
      <c r="F13897" s="2">
        <f t="shared" si="2267"/>
        <v>44196</v>
      </c>
    </row>
    <row r="13898" spans="1:6" x14ac:dyDescent="0.25">
      <c r="A13898" s="1" t="s">
        <v>355</v>
      </c>
      <c r="B13898" s="1" t="s">
        <v>892</v>
      </c>
      <c r="C13898" s="1" t="s">
        <v>92</v>
      </c>
      <c r="D13898" s="3">
        <f t="shared" si="2268"/>
        <v>8122</v>
      </c>
      <c r="E13898" s="2">
        <f t="shared" si="2269"/>
        <v>42948</v>
      </c>
      <c r="F13898" s="2">
        <f t="shared" si="2267"/>
        <v>44196</v>
      </c>
    </row>
    <row r="13899" spans="1:6" x14ac:dyDescent="0.25">
      <c r="A13899" s="1" t="s">
        <v>355</v>
      </c>
      <c r="B13899" s="1" t="s">
        <v>892</v>
      </c>
      <c r="C13899" s="1" t="s">
        <v>52</v>
      </c>
      <c r="D13899" s="3">
        <f t="shared" si="2268"/>
        <v>8122</v>
      </c>
      <c r="E13899" s="2">
        <f t="shared" si="2269"/>
        <v>42948</v>
      </c>
      <c r="F13899" s="2">
        <f t="shared" si="2267"/>
        <v>44196</v>
      </c>
    </row>
    <row r="13900" spans="1:6" x14ac:dyDescent="0.25">
      <c r="A13900" s="1" t="s">
        <v>355</v>
      </c>
      <c r="B13900" s="1" t="s">
        <v>892</v>
      </c>
      <c r="C13900" s="1" t="s">
        <v>160</v>
      </c>
      <c r="D13900" s="3">
        <f t="shared" si="2268"/>
        <v>8122</v>
      </c>
      <c r="E13900" s="2">
        <f t="shared" si="2269"/>
        <v>42948</v>
      </c>
      <c r="F13900" s="2">
        <f t="shared" si="2267"/>
        <v>44196</v>
      </c>
    </row>
    <row r="13901" spans="1:6" x14ac:dyDescent="0.25">
      <c r="A13901" s="1" t="s">
        <v>355</v>
      </c>
      <c r="B13901" s="1" t="s">
        <v>2016</v>
      </c>
      <c r="C13901" s="1" t="s">
        <v>7</v>
      </c>
      <c r="D13901" s="3">
        <f>VALUE("7969")</f>
        <v>7969</v>
      </c>
      <c r="E13901" s="2">
        <f>DATEVALUE("1-5-2017")</f>
        <v>42856</v>
      </c>
      <c r="F13901" s="2">
        <f>DATEVALUE("30-6-2018")</f>
        <v>43281</v>
      </c>
    </row>
    <row r="13902" spans="1:6" x14ac:dyDescent="0.25">
      <c r="A13902" s="1" t="s">
        <v>355</v>
      </c>
      <c r="B13902" s="1" t="s">
        <v>2016</v>
      </c>
      <c r="C13902" s="1" t="s">
        <v>6</v>
      </c>
      <c r="D13902" s="3">
        <f>VALUE("7969")</f>
        <v>7969</v>
      </c>
      <c r="E13902" s="2">
        <f>DATEVALUE("1-5-2017")</f>
        <v>42856</v>
      </c>
      <c r="F13902" s="2">
        <f>DATEVALUE("30-6-2018")</f>
        <v>43281</v>
      </c>
    </row>
    <row r="13903" spans="1:6" x14ac:dyDescent="0.25">
      <c r="A13903" s="1" t="s">
        <v>355</v>
      </c>
      <c r="B13903" s="1" t="s">
        <v>2016</v>
      </c>
      <c r="C13903" s="1" t="s">
        <v>212</v>
      </c>
      <c r="D13903" s="3">
        <f>VALUE("7969")</f>
        <v>7969</v>
      </c>
      <c r="E13903" s="2">
        <f>DATEVALUE("1-5-2017")</f>
        <v>42856</v>
      </c>
      <c r="F13903" s="2">
        <f>DATEVALUE("30-6-2018")</f>
        <v>43281</v>
      </c>
    </row>
    <row r="13904" spans="1:6" x14ac:dyDescent="0.25">
      <c r="A13904" s="1" t="s">
        <v>355</v>
      </c>
      <c r="B13904" s="1" t="s">
        <v>2016</v>
      </c>
      <c r="C13904" s="1" t="s">
        <v>36</v>
      </c>
      <c r="D13904" s="3">
        <f>VALUE("7969")</f>
        <v>7969</v>
      </c>
      <c r="E13904" s="2">
        <f>DATEVALUE("1-5-2017")</f>
        <v>42856</v>
      </c>
      <c r="F13904" s="2">
        <f>DATEVALUE("30-6-2018")</f>
        <v>43281</v>
      </c>
    </row>
    <row r="13905" spans="1:6" x14ac:dyDescent="0.25">
      <c r="A13905" s="1" t="s">
        <v>355</v>
      </c>
      <c r="B13905" s="1" t="s">
        <v>782</v>
      </c>
      <c r="C13905" s="1" t="s">
        <v>7</v>
      </c>
      <c r="D13905" s="3">
        <f t="shared" ref="D13905:D13923" si="2270">VALUE("7994")</f>
        <v>7994</v>
      </c>
      <c r="E13905" s="2">
        <f t="shared" ref="E13905:E13923" si="2271">DATEVALUE("1-2-2017")</f>
        <v>42767</v>
      </c>
      <c r="F13905" s="2">
        <f t="shared" ref="F13905:F13923" si="2272">DATEVALUE("28-2-2021")</f>
        <v>44255</v>
      </c>
    </row>
    <row r="13906" spans="1:6" x14ac:dyDescent="0.25">
      <c r="A13906" s="1" t="s">
        <v>355</v>
      </c>
      <c r="B13906" s="1" t="s">
        <v>782</v>
      </c>
      <c r="C13906" s="1" t="s">
        <v>8</v>
      </c>
      <c r="D13906" s="3">
        <f t="shared" si="2270"/>
        <v>7994</v>
      </c>
      <c r="E13906" s="2">
        <f t="shared" si="2271"/>
        <v>42767</v>
      </c>
      <c r="F13906" s="2">
        <f t="shared" si="2272"/>
        <v>44255</v>
      </c>
    </row>
    <row r="13907" spans="1:6" x14ac:dyDescent="0.25">
      <c r="A13907" s="1" t="s">
        <v>355</v>
      </c>
      <c r="B13907" s="1" t="s">
        <v>782</v>
      </c>
      <c r="C13907" s="1" t="s">
        <v>10</v>
      </c>
      <c r="D13907" s="3">
        <f t="shared" si="2270"/>
        <v>7994</v>
      </c>
      <c r="E13907" s="2">
        <f t="shared" si="2271"/>
        <v>42767</v>
      </c>
      <c r="F13907" s="2">
        <f t="shared" si="2272"/>
        <v>44255</v>
      </c>
    </row>
    <row r="13908" spans="1:6" x14ac:dyDescent="0.25">
      <c r="A13908" s="1" t="s">
        <v>355</v>
      </c>
      <c r="B13908" s="1" t="s">
        <v>782</v>
      </c>
      <c r="C13908" s="1" t="s">
        <v>13</v>
      </c>
      <c r="D13908" s="3">
        <f t="shared" si="2270"/>
        <v>7994</v>
      </c>
      <c r="E13908" s="2">
        <f t="shared" si="2271"/>
        <v>42767</v>
      </c>
      <c r="F13908" s="2">
        <f t="shared" si="2272"/>
        <v>44255</v>
      </c>
    </row>
    <row r="13909" spans="1:6" x14ac:dyDescent="0.25">
      <c r="A13909" s="1" t="s">
        <v>355</v>
      </c>
      <c r="B13909" s="1" t="s">
        <v>782</v>
      </c>
      <c r="C13909" s="1" t="s">
        <v>17</v>
      </c>
      <c r="D13909" s="3">
        <f t="shared" si="2270"/>
        <v>7994</v>
      </c>
      <c r="E13909" s="2">
        <f t="shared" si="2271"/>
        <v>42767</v>
      </c>
      <c r="F13909" s="2">
        <f t="shared" si="2272"/>
        <v>44255</v>
      </c>
    </row>
    <row r="13910" spans="1:6" x14ac:dyDescent="0.25">
      <c r="A13910" s="1" t="s">
        <v>355</v>
      </c>
      <c r="B13910" s="1" t="s">
        <v>782</v>
      </c>
      <c r="C13910" s="1" t="s">
        <v>257</v>
      </c>
      <c r="D13910" s="3">
        <f t="shared" si="2270"/>
        <v>7994</v>
      </c>
      <c r="E13910" s="2">
        <f t="shared" si="2271"/>
        <v>42767</v>
      </c>
      <c r="F13910" s="2">
        <f t="shared" si="2272"/>
        <v>44255</v>
      </c>
    </row>
    <row r="13911" spans="1:6" x14ac:dyDescent="0.25">
      <c r="A13911" s="1" t="s">
        <v>355</v>
      </c>
      <c r="B13911" s="1" t="s">
        <v>782</v>
      </c>
      <c r="C13911" s="1" t="s">
        <v>22</v>
      </c>
      <c r="D13911" s="3">
        <f t="shared" si="2270"/>
        <v>7994</v>
      </c>
      <c r="E13911" s="2">
        <f t="shared" si="2271"/>
        <v>42767</v>
      </c>
      <c r="F13911" s="2">
        <f t="shared" si="2272"/>
        <v>44255</v>
      </c>
    </row>
    <row r="13912" spans="1:6" x14ac:dyDescent="0.25">
      <c r="A13912" s="1" t="s">
        <v>355</v>
      </c>
      <c r="B13912" s="1" t="s">
        <v>782</v>
      </c>
      <c r="C13912" s="1" t="s">
        <v>220</v>
      </c>
      <c r="D13912" s="3">
        <f t="shared" si="2270"/>
        <v>7994</v>
      </c>
      <c r="E13912" s="2">
        <f t="shared" si="2271"/>
        <v>42767</v>
      </c>
      <c r="F13912" s="2">
        <f t="shared" si="2272"/>
        <v>44255</v>
      </c>
    </row>
    <row r="13913" spans="1:6" x14ac:dyDescent="0.25">
      <c r="A13913" s="1" t="s">
        <v>355</v>
      </c>
      <c r="B13913" s="1" t="s">
        <v>782</v>
      </c>
      <c r="C13913" s="1" t="s">
        <v>222</v>
      </c>
      <c r="D13913" s="3">
        <f t="shared" si="2270"/>
        <v>7994</v>
      </c>
      <c r="E13913" s="2">
        <f t="shared" si="2271"/>
        <v>42767</v>
      </c>
      <c r="F13913" s="2">
        <f t="shared" si="2272"/>
        <v>44255</v>
      </c>
    </row>
    <row r="13914" spans="1:6" x14ac:dyDescent="0.25">
      <c r="A13914" s="1" t="s">
        <v>355</v>
      </c>
      <c r="B13914" s="1" t="s">
        <v>782</v>
      </c>
      <c r="C13914" s="1" t="s">
        <v>72</v>
      </c>
      <c r="D13914" s="3">
        <f t="shared" si="2270"/>
        <v>7994</v>
      </c>
      <c r="E13914" s="2">
        <f t="shared" si="2271"/>
        <v>42767</v>
      </c>
      <c r="F13914" s="2">
        <f t="shared" si="2272"/>
        <v>44255</v>
      </c>
    </row>
    <row r="13915" spans="1:6" x14ac:dyDescent="0.25">
      <c r="A13915" s="1" t="s">
        <v>355</v>
      </c>
      <c r="B13915" s="1" t="s">
        <v>782</v>
      </c>
      <c r="C13915" s="1" t="s">
        <v>227</v>
      </c>
      <c r="D13915" s="3">
        <f t="shared" si="2270"/>
        <v>7994</v>
      </c>
      <c r="E13915" s="2">
        <f t="shared" si="2271"/>
        <v>42767</v>
      </c>
      <c r="F13915" s="2">
        <f t="shared" si="2272"/>
        <v>44255</v>
      </c>
    </row>
    <row r="13916" spans="1:6" x14ac:dyDescent="0.25">
      <c r="A13916" s="1" t="s">
        <v>355</v>
      </c>
      <c r="B13916" s="1" t="s">
        <v>782</v>
      </c>
      <c r="C13916" s="1" t="s">
        <v>228</v>
      </c>
      <c r="D13916" s="3">
        <f t="shared" si="2270"/>
        <v>7994</v>
      </c>
      <c r="E13916" s="2">
        <f t="shared" si="2271"/>
        <v>42767</v>
      </c>
      <c r="F13916" s="2">
        <f t="shared" si="2272"/>
        <v>44255</v>
      </c>
    </row>
    <row r="13917" spans="1:6" x14ac:dyDescent="0.25">
      <c r="A13917" s="1" t="s">
        <v>355</v>
      </c>
      <c r="B13917" s="1" t="s">
        <v>782</v>
      </c>
      <c r="C13917" s="1" t="s">
        <v>28</v>
      </c>
      <c r="D13917" s="3">
        <f t="shared" si="2270"/>
        <v>7994</v>
      </c>
      <c r="E13917" s="2">
        <f t="shared" si="2271"/>
        <v>42767</v>
      </c>
      <c r="F13917" s="2">
        <f t="shared" si="2272"/>
        <v>44255</v>
      </c>
    </row>
    <row r="13918" spans="1:6" x14ac:dyDescent="0.25">
      <c r="A13918" s="1" t="s">
        <v>355</v>
      </c>
      <c r="B13918" s="1" t="s">
        <v>782</v>
      </c>
      <c r="C13918" s="1" t="s">
        <v>29</v>
      </c>
      <c r="D13918" s="3">
        <f t="shared" si="2270"/>
        <v>7994</v>
      </c>
      <c r="E13918" s="2">
        <f t="shared" si="2271"/>
        <v>42767</v>
      </c>
      <c r="F13918" s="2">
        <f t="shared" si="2272"/>
        <v>44255</v>
      </c>
    </row>
    <row r="13919" spans="1:6" x14ac:dyDescent="0.25">
      <c r="A13919" s="1" t="s">
        <v>355</v>
      </c>
      <c r="B13919" s="1" t="s">
        <v>782</v>
      </c>
      <c r="C13919" s="1" t="s">
        <v>234</v>
      </c>
      <c r="D13919" s="3">
        <f t="shared" si="2270"/>
        <v>7994</v>
      </c>
      <c r="E13919" s="2">
        <f t="shared" si="2271"/>
        <v>42767</v>
      </c>
      <c r="F13919" s="2">
        <f t="shared" si="2272"/>
        <v>44255</v>
      </c>
    </row>
    <row r="13920" spans="1:6" x14ac:dyDescent="0.25">
      <c r="A13920" s="1" t="s">
        <v>355</v>
      </c>
      <c r="B13920" s="1" t="s">
        <v>782</v>
      </c>
      <c r="C13920" s="1" t="s">
        <v>30</v>
      </c>
      <c r="D13920" s="3">
        <f t="shared" si="2270"/>
        <v>7994</v>
      </c>
      <c r="E13920" s="2">
        <f t="shared" si="2271"/>
        <v>42767</v>
      </c>
      <c r="F13920" s="2">
        <f t="shared" si="2272"/>
        <v>44255</v>
      </c>
    </row>
    <row r="13921" spans="1:6" x14ac:dyDescent="0.25">
      <c r="A13921" s="1" t="s">
        <v>355</v>
      </c>
      <c r="B13921" s="1" t="s">
        <v>782</v>
      </c>
      <c r="C13921" s="1" t="s">
        <v>238</v>
      </c>
      <c r="D13921" s="3">
        <f t="shared" si="2270"/>
        <v>7994</v>
      </c>
      <c r="E13921" s="2">
        <f t="shared" si="2271"/>
        <v>42767</v>
      </c>
      <c r="F13921" s="2">
        <f t="shared" si="2272"/>
        <v>44255</v>
      </c>
    </row>
    <row r="13922" spans="1:6" x14ac:dyDescent="0.25">
      <c r="A13922" s="1" t="s">
        <v>355</v>
      </c>
      <c r="B13922" s="1" t="s">
        <v>782</v>
      </c>
      <c r="C13922" s="1" t="s">
        <v>240</v>
      </c>
      <c r="D13922" s="3">
        <f t="shared" si="2270"/>
        <v>7994</v>
      </c>
      <c r="E13922" s="2">
        <f t="shared" si="2271"/>
        <v>42767</v>
      </c>
      <c r="F13922" s="2">
        <f t="shared" si="2272"/>
        <v>44255</v>
      </c>
    </row>
    <row r="13923" spans="1:6" x14ac:dyDescent="0.25">
      <c r="A13923" s="1" t="s">
        <v>355</v>
      </c>
      <c r="B13923" s="1" t="s">
        <v>782</v>
      </c>
      <c r="C13923" s="1" t="s">
        <v>52</v>
      </c>
      <c r="D13923" s="3">
        <f t="shared" si="2270"/>
        <v>7994</v>
      </c>
      <c r="E13923" s="2">
        <f t="shared" si="2271"/>
        <v>42767</v>
      </c>
      <c r="F13923" s="2">
        <f t="shared" si="2272"/>
        <v>44255</v>
      </c>
    </row>
    <row r="13924" spans="1:6" x14ac:dyDescent="0.25">
      <c r="A13924" s="1" t="s">
        <v>355</v>
      </c>
      <c r="B13924" s="1" t="s">
        <v>2780</v>
      </c>
      <c r="C13924" s="1" t="s">
        <v>15</v>
      </c>
      <c r="D13924" s="3">
        <f t="shared" ref="D13924:D13930" si="2273">VALUE("7798")</f>
        <v>7798</v>
      </c>
      <c r="E13924" s="2">
        <f t="shared" ref="E13924:E13930" si="2274">DATEVALUE("1-12-2015")</f>
        <v>42339</v>
      </c>
      <c r="F13924" s="2">
        <f t="shared" ref="F13924:F13930" si="2275">DATEVALUE("30-9-2019")</f>
        <v>43738</v>
      </c>
    </row>
    <row r="13925" spans="1:6" x14ac:dyDescent="0.25">
      <c r="A13925" s="1" t="s">
        <v>355</v>
      </c>
      <c r="B13925" s="1" t="s">
        <v>2780</v>
      </c>
      <c r="C13925" s="1" t="s">
        <v>17</v>
      </c>
      <c r="D13925" s="3">
        <f t="shared" si="2273"/>
        <v>7798</v>
      </c>
      <c r="E13925" s="2">
        <f t="shared" si="2274"/>
        <v>42339</v>
      </c>
      <c r="F13925" s="2">
        <f t="shared" si="2275"/>
        <v>43738</v>
      </c>
    </row>
    <row r="13926" spans="1:6" x14ac:dyDescent="0.25">
      <c r="A13926" s="1" t="s">
        <v>355</v>
      </c>
      <c r="B13926" s="1" t="s">
        <v>2780</v>
      </c>
      <c r="C13926" s="1" t="s">
        <v>22</v>
      </c>
      <c r="D13926" s="3">
        <f t="shared" si="2273"/>
        <v>7798</v>
      </c>
      <c r="E13926" s="2">
        <f t="shared" si="2274"/>
        <v>42339</v>
      </c>
      <c r="F13926" s="2">
        <f t="shared" si="2275"/>
        <v>43738</v>
      </c>
    </row>
    <row r="13927" spans="1:6" x14ac:dyDescent="0.25">
      <c r="A13927" s="1" t="s">
        <v>355</v>
      </c>
      <c r="B13927" s="1" t="s">
        <v>2780</v>
      </c>
      <c r="C13927" s="1" t="s">
        <v>146</v>
      </c>
      <c r="D13927" s="3">
        <f t="shared" si="2273"/>
        <v>7798</v>
      </c>
      <c r="E13927" s="2">
        <f t="shared" si="2274"/>
        <v>42339</v>
      </c>
      <c r="F13927" s="2">
        <f t="shared" si="2275"/>
        <v>43738</v>
      </c>
    </row>
    <row r="13928" spans="1:6" x14ac:dyDescent="0.25">
      <c r="A13928" s="1" t="s">
        <v>355</v>
      </c>
      <c r="B13928" s="1" t="s">
        <v>2780</v>
      </c>
      <c r="C13928" s="1" t="s">
        <v>148</v>
      </c>
      <c r="D13928" s="3">
        <f t="shared" si="2273"/>
        <v>7798</v>
      </c>
      <c r="E13928" s="2">
        <f t="shared" si="2274"/>
        <v>42339</v>
      </c>
      <c r="F13928" s="2">
        <f t="shared" si="2275"/>
        <v>43738</v>
      </c>
    </row>
    <row r="13929" spans="1:6" x14ac:dyDescent="0.25">
      <c r="A13929" s="1" t="s">
        <v>355</v>
      </c>
      <c r="B13929" s="1" t="s">
        <v>2780</v>
      </c>
      <c r="C13929" s="1" t="s">
        <v>92</v>
      </c>
      <c r="D13929" s="3">
        <f t="shared" si="2273"/>
        <v>7798</v>
      </c>
      <c r="E13929" s="2">
        <f t="shared" si="2274"/>
        <v>42339</v>
      </c>
      <c r="F13929" s="2">
        <f t="shared" si="2275"/>
        <v>43738</v>
      </c>
    </row>
    <row r="13930" spans="1:6" x14ac:dyDescent="0.25">
      <c r="A13930" s="1" t="s">
        <v>355</v>
      </c>
      <c r="B13930" s="1" t="s">
        <v>2780</v>
      </c>
      <c r="C13930" s="1" t="s">
        <v>51</v>
      </c>
      <c r="D13930" s="3">
        <f t="shared" si="2273"/>
        <v>7798</v>
      </c>
      <c r="E13930" s="2">
        <f t="shared" si="2274"/>
        <v>42339</v>
      </c>
      <c r="F13930" s="2">
        <f t="shared" si="2275"/>
        <v>43738</v>
      </c>
    </row>
    <row r="13931" spans="1:6" x14ac:dyDescent="0.25">
      <c r="A13931" s="1" t="s">
        <v>355</v>
      </c>
      <c r="B13931" s="1" t="s">
        <v>2175</v>
      </c>
      <c r="C13931" s="1" t="s">
        <v>137</v>
      </c>
      <c r="D13931" s="3">
        <f t="shared" ref="D13931:D13941" si="2276">VALUE("7678")</f>
        <v>7678</v>
      </c>
      <c r="E13931" s="2">
        <f t="shared" ref="E13931:E13941" si="2277">DATEVALUE("1-10-2014")</f>
        <v>41913</v>
      </c>
      <c r="F13931" s="2">
        <f t="shared" ref="F13931:F13941" si="2278">DATEVALUE("31-12-2016")</f>
        <v>42735</v>
      </c>
    </row>
    <row r="13932" spans="1:6" x14ac:dyDescent="0.25">
      <c r="A13932" s="1" t="s">
        <v>355</v>
      </c>
      <c r="B13932" s="1" t="s">
        <v>2175</v>
      </c>
      <c r="C13932" s="1" t="s">
        <v>249</v>
      </c>
      <c r="D13932" s="3">
        <f t="shared" si="2276"/>
        <v>7678</v>
      </c>
      <c r="E13932" s="2">
        <f t="shared" si="2277"/>
        <v>41913</v>
      </c>
      <c r="F13932" s="2">
        <f t="shared" si="2278"/>
        <v>42735</v>
      </c>
    </row>
    <row r="13933" spans="1:6" x14ac:dyDescent="0.25">
      <c r="A13933" s="1" t="s">
        <v>355</v>
      </c>
      <c r="B13933" s="1" t="s">
        <v>2175</v>
      </c>
      <c r="C13933" s="1" t="s">
        <v>248</v>
      </c>
      <c r="D13933" s="3">
        <f t="shared" si="2276"/>
        <v>7678</v>
      </c>
      <c r="E13933" s="2">
        <f t="shared" si="2277"/>
        <v>41913</v>
      </c>
      <c r="F13933" s="2">
        <f t="shared" si="2278"/>
        <v>42735</v>
      </c>
    </row>
    <row r="13934" spans="1:6" x14ac:dyDescent="0.25">
      <c r="A13934" s="1" t="s">
        <v>355</v>
      </c>
      <c r="B13934" s="1" t="s">
        <v>2175</v>
      </c>
      <c r="C13934" s="1" t="s">
        <v>46</v>
      </c>
      <c r="D13934" s="3">
        <f t="shared" si="2276"/>
        <v>7678</v>
      </c>
      <c r="E13934" s="2">
        <f t="shared" si="2277"/>
        <v>41913</v>
      </c>
      <c r="F13934" s="2">
        <f t="shared" si="2278"/>
        <v>42735</v>
      </c>
    </row>
    <row r="13935" spans="1:6" x14ac:dyDescent="0.25">
      <c r="A13935" s="1" t="s">
        <v>355</v>
      </c>
      <c r="B13935" s="1" t="s">
        <v>2175</v>
      </c>
      <c r="C13935" s="1" t="s">
        <v>15</v>
      </c>
      <c r="D13935" s="3">
        <f t="shared" si="2276"/>
        <v>7678</v>
      </c>
      <c r="E13935" s="2">
        <f t="shared" si="2277"/>
        <v>41913</v>
      </c>
      <c r="F13935" s="2">
        <f t="shared" si="2278"/>
        <v>42735</v>
      </c>
    </row>
    <row r="13936" spans="1:6" x14ac:dyDescent="0.25">
      <c r="A13936" s="1" t="s">
        <v>355</v>
      </c>
      <c r="B13936" s="1" t="s">
        <v>2175</v>
      </c>
      <c r="C13936" s="1" t="s">
        <v>17</v>
      </c>
      <c r="D13936" s="3">
        <f t="shared" si="2276"/>
        <v>7678</v>
      </c>
      <c r="E13936" s="2">
        <f t="shared" si="2277"/>
        <v>41913</v>
      </c>
      <c r="F13936" s="2">
        <f t="shared" si="2278"/>
        <v>42735</v>
      </c>
    </row>
    <row r="13937" spans="1:6" x14ac:dyDescent="0.25">
      <c r="A13937" s="1" t="s">
        <v>355</v>
      </c>
      <c r="B13937" s="1" t="s">
        <v>2175</v>
      </c>
      <c r="C13937" s="1" t="s">
        <v>148</v>
      </c>
      <c r="D13937" s="3">
        <f t="shared" si="2276"/>
        <v>7678</v>
      </c>
      <c r="E13937" s="2">
        <f t="shared" si="2277"/>
        <v>41913</v>
      </c>
      <c r="F13937" s="2">
        <f t="shared" si="2278"/>
        <v>42735</v>
      </c>
    </row>
    <row r="13938" spans="1:6" x14ac:dyDescent="0.25">
      <c r="A13938" s="1" t="s">
        <v>355</v>
      </c>
      <c r="B13938" s="1" t="s">
        <v>2175</v>
      </c>
      <c r="C13938" s="1" t="s">
        <v>149</v>
      </c>
      <c r="D13938" s="3">
        <f t="shared" si="2276"/>
        <v>7678</v>
      </c>
      <c r="E13938" s="2">
        <f t="shared" si="2277"/>
        <v>41913</v>
      </c>
      <c r="F13938" s="2">
        <f t="shared" si="2278"/>
        <v>42735</v>
      </c>
    </row>
    <row r="13939" spans="1:6" x14ac:dyDescent="0.25">
      <c r="A13939" s="1" t="s">
        <v>355</v>
      </c>
      <c r="B13939" s="1" t="s">
        <v>2175</v>
      </c>
      <c r="C13939" s="1" t="s">
        <v>150</v>
      </c>
      <c r="D13939" s="3">
        <f t="shared" si="2276"/>
        <v>7678</v>
      </c>
      <c r="E13939" s="2">
        <f t="shared" si="2277"/>
        <v>41913</v>
      </c>
      <c r="F13939" s="2">
        <f t="shared" si="2278"/>
        <v>42735</v>
      </c>
    </row>
    <row r="13940" spans="1:6" x14ac:dyDescent="0.25">
      <c r="A13940" s="1" t="s">
        <v>355</v>
      </c>
      <c r="B13940" s="1" t="s">
        <v>2175</v>
      </c>
      <c r="C13940" s="1" t="s">
        <v>73</v>
      </c>
      <c r="D13940" s="3">
        <f t="shared" si="2276"/>
        <v>7678</v>
      </c>
      <c r="E13940" s="2">
        <f t="shared" si="2277"/>
        <v>41913</v>
      </c>
      <c r="F13940" s="2">
        <f t="shared" si="2278"/>
        <v>42735</v>
      </c>
    </row>
    <row r="13941" spans="1:6" x14ac:dyDescent="0.25">
      <c r="A13941" s="1" t="s">
        <v>355</v>
      </c>
      <c r="B13941" s="1" t="s">
        <v>2175</v>
      </c>
      <c r="C13941" s="1" t="s">
        <v>164</v>
      </c>
      <c r="D13941" s="3">
        <f t="shared" si="2276"/>
        <v>7678</v>
      </c>
      <c r="E13941" s="2">
        <f t="shared" si="2277"/>
        <v>41913</v>
      </c>
      <c r="F13941" s="2">
        <f t="shared" si="2278"/>
        <v>42735</v>
      </c>
    </row>
    <row r="13942" spans="1:6" x14ac:dyDescent="0.25">
      <c r="A13942" s="1" t="s">
        <v>355</v>
      </c>
      <c r="B13942" s="1" t="s">
        <v>1712</v>
      </c>
      <c r="C13942" s="1" t="s">
        <v>222</v>
      </c>
      <c r="D13942" s="3">
        <f>VALUE("7527")</f>
        <v>7527</v>
      </c>
      <c r="E13942" s="2">
        <f>DATEVALUE("1-9-2013")</f>
        <v>41518</v>
      </c>
      <c r="F13942" s="2">
        <f>DATEVALUE("31-8-2019")</f>
        <v>43708</v>
      </c>
    </row>
    <row r="13943" spans="1:6" x14ac:dyDescent="0.25">
      <c r="A13943" s="1" t="s">
        <v>355</v>
      </c>
      <c r="B13943" s="1" t="s">
        <v>1712</v>
      </c>
      <c r="C13943" s="1" t="s">
        <v>30</v>
      </c>
      <c r="D13943" s="3">
        <f>VALUE("7527")</f>
        <v>7527</v>
      </c>
      <c r="E13943" s="2">
        <f>DATEVALUE("1-9-2013")</f>
        <v>41518</v>
      </c>
      <c r="F13943" s="2">
        <f>DATEVALUE("31-8-2019")</f>
        <v>43708</v>
      </c>
    </row>
    <row r="13944" spans="1:6" x14ac:dyDescent="0.25">
      <c r="A13944" s="1" t="s">
        <v>355</v>
      </c>
      <c r="B13944" s="1" t="s">
        <v>354</v>
      </c>
      <c r="C13944" s="1" t="s">
        <v>13</v>
      </c>
      <c r="D13944" s="3">
        <f>VALUE("7481")</f>
        <v>7481</v>
      </c>
      <c r="E13944" s="2">
        <f>DATEVALUE("1-5-2013")</f>
        <v>41395</v>
      </c>
      <c r="F13944" s="2">
        <f>DATEVALUE("31-12-2020")</f>
        <v>44196</v>
      </c>
    </row>
    <row r="13945" spans="1:6" x14ac:dyDescent="0.25">
      <c r="A13945" s="1" t="s">
        <v>355</v>
      </c>
      <c r="B13945" s="1" t="s">
        <v>354</v>
      </c>
      <c r="C13945" s="1" t="s">
        <v>30</v>
      </c>
      <c r="D13945" s="3">
        <f>VALUE("7481")</f>
        <v>7481</v>
      </c>
      <c r="E13945" s="2">
        <f>DATEVALUE("1-5-2013")</f>
        <v>41395</v>
      </c>
      <c r="F13945" s="2">
        <f>DATEVALUE("31-12-2020")</f>
        <v>44196</v>
      </c>
    </row>
    <row r="13946" spans="1:6" x14ac:dyDescent="0.25">
      <c r="A13946" s="1" t="s">
        <v>355</v>
      </c>
      <c r="B13946" s="1" t="s">
        <v>2544</v>
      </c>
      <c r="C13946" s="1" t="s">
        <v>7</v>
      </c>
      <c r="D13946" s="3">
        <f t="shared" ref="D13946:D13955" si="2279">VALUE("6157")</f>
        <v>6157</v>
      </c>
      <c r="E13946" s="2">
        <f t="shared" ref="E13946:E13955" si="2280">DATEVALUE("1-6-2009")</f>
        <v>39965</v>
      </c>
      <c r="F13946" s="2">
        <f t="shared" ref="F13946:F13955" si="2281">DATEVALUE("30-6-2012")</f>
        <v>41090</v>
      </c>
    </row>
    <row r="13947" spans="1:6" x14ac:dyDescent="0.25">
      <c r="A13947" s="1" t="s">
        <v>355</v>
      </c>
      <c r="B13947" s="1" t="s">
        <v>2544</v>
      </c>
      <c r="C13947" s="1" t="s">
        <v>8</v>
      </c>
      <c r="D13947" s="3">
        <f t="shared" si="2279"/>
        <v>6157</v>
      </c>
      <c r="E13947" s="2">
        <f t="shared" si="2280"/>
        <v>39965</v>
      </c>
      <c r="F13947" s="2">
        <f t="shared" si="2281"/>
        <v>41090</v>
      </c>
    </row>
    <row r="13948" spans="1:6" x14ac:dyDescent="0.25">
      <c r="A13948" s="1" t="s">
        <v>355</v>
      </c>
      <c r="B13948" s="1" t="s">
        <v>2544</v>
      </c>
      <c r="C13948" s="1" t="s">
        <v>10</v>
      </c>
      <c r="D13948" s="3">
        <f t="shared" si="2279"/>
        <v>6157</v>
      </c>
      <c r="E13948" s="2">
        <f t="shared" si="2280"/>
        <v>39965</v>
      </c>
      <c r="F13948" s="2">
        <f t="shared" si="2281"/>
        <v>41090</v>
      </c>
    </row>
    <row r="13949" spans="1:6" x14ac:dyDescent="0.25">
      <c r="A13949" s="1" t="s">
        <v>355</v>
      </c>
      <c r="B13949" s="1" t="s">
        <v>2544</v>
      </c>
      <c r="C13949" s="1" t="s">
        <v>11</v>
      </c>
      <c r="D13949" s="3">
        <f t="shared" si="2279"/>
        <v>6157</v>
      </c>
      <c r="E13949" s="2">
        <f t="shared" si="2280"/>
        <v>39965</v>
      </c>
      <c r="F13949" s="2">
        <f t="shared" si="2281"/>
        <v>41090</v>
      </c>
    </row>
    <row r="13950" spans="1:6" x14ac:dyDescent="0.25">
      <c r="A13950" s="1" t="s">
        <v>355</v>
      </c>
      <c r="B13950" s="1" t="s">
        <v>2544</v>
      </c>
      <c r="C13950" s="1" t="s">
        <v>12</v>
      </c>
      <c r="D13950" s="3">
        <f t="shared" si="2279"/>
        <v>6157</v>
      </c>
      <c r="E13950" s="2">
        <f t="shared" si="2280"/>
        <v>39965</v>
      </c>
      <c r="F13950" s="2">
        <f t="shared" si="2281"/>
        <v>41090</v>
      </c>
    </row>
    <row r="13951" spans="1:6" x14ac:dyDescent="0.25">
      <c r="A13951" s="1" t="s">
        <v>355</v>
      </c>
      <c r="B13951" s="1" t="s">
        <v>2544</v>
      </c>
      <c r="C13951" s="1" t="s">
        <v>31</v>
      </c>
      <c r="D13951" s="3">
        <f t="shared" si="2279"/>
        <v>6157</v>
      </c>
      <c r="E13951" s="2">
        <f t="shared" si="2280"/>
        <v>39965</v>
      </c>
      <c r="F13951" s="2">
        <f t="shared" si="2281"/>
        <v>41090</v>
      </c>
    </row>
    <row r="13952" spans="1:6" x14ac:dyDescent="0.25">
      <c r="A13952" s="1" t="s">
        <v>355</v>
      </c>
      <c r="B13952" s="1" t="s">
        <v>2544</v>
      </c>
      <c r="C13952" s="1" t="s">
        <v>213</v>
      </c>
      <c r="D13952" s="3">
        <f t="shared" si="2279"/>
        <v>6157</v>
      </c>
      <c r="E13952" s="2">
        <f t="shared" si="2280"/>
        <v>39965</v>
      </c>
      <c r="F13952" s="2">
        <f t="shared" si="2281"/>
        <v>41090</v>
      </c>
    </row>
    <row r="13953" spans="1:6" x14ac:dyDescent="0.25">
      <c r="A13953" s="1" t="s">
        <v>355</v>
      </c>
      <c r="B13953" s="1" t="s">
        <v>2544</v>
      </c>
      <c r="C13953" s="1" t="s">
        <v>32</v>
      </c>
      <c r="D13953" s="3">
        <f t="shared" si="2279"/>
        <v>6157</v>
      </c>
      <c r="E13953" s="2">
        <f t="shared" si="2280"/>
        <v>39965</v>
      </c>
      <c r="F13953" s="2">
        <f t="shared" si="2281"/>
        <v>41090</v>
      </c>
    </row>
    <row r="13954" spans="1:6" x14ac:dyDescent="0.25">
      <c r="A13954" s="1" t="s">
        <v>355</v>
      </c>
      <c r="B13954" s="1" t="s">
        <v>2544</v>
      </c>
      <c r="C13954" s="1" t="s">
        <v>33</v>
      </c>
      <c r="D13954" s="3">
        <f t="shared" si="2279"/>
        <v>6157</v>
      </c>
      <c r="E13954" s="2">
        <f t="shared" si="2280"/>
        <v>39965</v>
      </c>
      <c r="F13954" s="2">
        <f t="shared" si="2281"/>
        <v>41090</v>
      </c>
    </row>
    <row r="13955" spans="1:6" x14ac:dyDescent="0.25">
      <c r="A13955" s="1" t="s">
        <v>355</v>
      </c>
      <c r="B13955" s="1" t="s">
        <v>2544</v>
      </c>
      <c r="C13955" s="1" t="s">
        <v>36</v>
      </c>
      <c r="D13955" s="3">
        <f t="shared" si="2279"/>
        <v>6157</v>
      </c>
      <c r="E13955" s="2">
        <f t="shared" si="2280"/>
        <v>39965</v>
      </c>
      <c r="F13955" s="2">
        <f t="shared" si="2281"/>
        <v>41090</v>
      </c>
    </row>
    <row r="13956" spans="1:6" x14ac:dyDescent="0.25">
      <c r="A13956" s="1" t="s">
        <v>355</v>
      </c>
      <c r="B13956" s="1" t="s">
        <v>1694</v>
      </c>
      <c r="C13956" s="1" t="s">
        <v>25</v>
      </c>
      <c r="D13956" s="3">
        <f>VALUE("6093")</f>
        <v>6093</v>
      </c>
      <c r="E13956" s="2">
        <f>DATEVALUE("1-4-2008")</f>
        <v>39539</v>
      </c>
      <c r="F13956" s="2">
        <f>DATEVALUE("31-12-2015")</f>
        <v>42369</v>
      </c>
    </row>
    <row r="13957" spans="1:6" x14ac:dyDescent="0.25">
      <c r="A13957" s="1" t="s">
        <v>355</v>
      </c>
      <c r="B13957" s="1" t="s">
        <v>1851</v>
      </c>
      <c r="C13957" s="1" t="s">
        <v>7</v>
      </c>
      <c r="D13957" s="3">
        <f>VALUE("1043")</f>
        <v>1043</v>
      </c>
      <c r="E13957" s="2">
        <f>DATEVALUE("1-2-2008")</f>
        <v>39479</v>
      </c>
      <c r="F13957" s="2">
        <f>DATEVALUE("31-8-2018")</f>
        <v>43343</v>
      </c>
    </row>
    <row r="13958" spans="1:6" x14ac:dyDescent="0.25">
      <c r="A13958" s="1" t="s">
        <v>355</v>
      </c>
      <c r="B13958" s="1" t="s">
        <v>1851</v>
      </c>
      <c r="C13958" s="1" t="s">
        <v>13</v>
      </c>
      <c r="D13958" s="3">
        <f>VALUE("1043")</f>
        <v>1043</v>
      </c>
      <c r="E13958" s="2">
        <f>DATEVALUE("1-2-2008")</f>
        <v>39479</v>
      </c>
      <c r="F13958" s="2">
        <f>DATEVALUE("31-8-2018")</f>
        <v>43343</v>
      </c>
    </row>
    <row r="13959" spans="1:6" x14ac:dyDescent="0.25">
      <c r="A13959" s="1" t="s">
        <v>59</v>
      </c>
      <c r="B13959" s="1" t="s">
        <v>1517</v>
      </c>
      <c r="C13959" s="1" t="s">
        <v>609</v>
      </c>
      <c r="D13959" s="3">
        <f t="shared" ref="D13959:D13966" si="2282">VALUE("8713")</f>
        <v>8713</v>
      </c>
      <c r="E13959" s="2">
        <f t="shared" ref="E13959:E13966" si="2283">DATEVALUE("1-3-2020")</f>
        <v>43891</v>
      </c>
      <c r="F13959" s="2">
        <f t="shared" ref="F13959:F13966" si="2284">DATEVALUE("28-2-2021")</f>
        <v>44255</v>
      </c>
    </row>
    <row r="13960" spans="1:6" x14ac:dyDescent="0.25">
      <c r="A13960" s="1" t="s">
        <v>59</v>
      </c>
      <c r="B13960" s="1" t="s">
        <v>1517</v>
      </c>
      <c r="C13960" s="1" t="s">
        <v>89</v>
      </c>
      <c r="D13960" s="3">
        <f t="shared" si="2282"/>
        <v>8713</v>
      </c>
      <c r="E13960" s="2">
        <f t="shared" si="2283"/>
        <v>43891</v>
      </c>
      <c r="F13960" s="2">
        <f t="shared" si="2284"/>
        <v>44255</v>
      </c>
    </row>
    <row r="13961" spans="1:6" x14ac:dyDescent="0.25">
      <c r="A13961" s="1" t="s">
        <v>59</v>
      </c>
      <c r="B13961" s="1" t="s">
        <v>1517</v>
      </c>
      <c r="C13961" s="1" t="s">
        <v>17</v>
      </c>
      <c r="D13961" s="3">
        <f t="shared" si="2282"/>
        <v>8713</v>
      </c>
      <c r="E13961" s="2">
        <f t="shared" si="2283"/>
        <v>43891</v>
      </c>
      <c r="F13961" s="2">
        <f t="shared" si="2284"/>
        <v>44255</v>
      </c>
    </row>
    <row r="13962" spans="1:6" x14ac:dyDescent="0.25">
      <c r="A13962" s="1" t="s">
        <v>59</v>
      </c>
      <c r="B13962" s="1" t="s">
        <v>1517</v>
      </c>
      <c r="C13962" s="1" t="s">
        <v>499</v>
      </c>
      <c r="D13962" s="3">
        <f t="shared" si="2282"/>
        <v>8713</v>
      </c>
      <c r="E13962" s="2">
        <f t="shared" si="2283"/>
        <v>43891</v>
      </c>
      <c r="F13962" s="2">
        <f t="shared" si="2284"/>
        <v>44255</v>
      </c>
    </row>
    <row r="13963" spans="1:6" x14ac:dyDescent="0.25">
      <c r="A13963" s="1" t="s">
        <v>59</v>
      </c>
      <c r="B13963" s="1" t="s">
        <v>1517</v>
      </c>
      <c r="C13963" s="1" t="s">
        <v>501</v>
      </c>
      <c r="D13963" s="3">
        <f t="shared" si="2282"/>
        <v>8713</v>
      </c>
      <c r="E13963" s="2">
        <f t="shared" si="2283"/>
        <v>43891</v>
      </c>
      <c r="F13963" s="2">
        <f t="shared" si="2284"/>
        <v>44255</v>
      </c>
    </row>
    <row r="13964" spans="1:6" x14ac:dyDescent="0.25">
      <c r="A13964" s="1" t="s">
        <v>59</v>
      </c>
      <c r="B13964" s="1" t="s">
        <v>1517</v>
      </c>
      <c r="C13964" s="1" t="s">
        <v>94</v>
      </c>
      <c r="D13964" s="3">
        <f t="shared" si="2282"/>
        <v>8713</v>
      </c>
      <c r="E13964" s="2">
        <f t="shared" si="2283"/>
        <v>43891</v>
      </c>
      <c r="F13964" s="2">
        <f t="shared" si="2284"/>
        <v>44255</v>
      </c>
    </row>
    <row r="13965" spans="1:6" x14ac:dyDescent="0.25">
      <c r="A13965" s="1" t="s">
        <v>59</v>
      </c>
      <c r="B13965" s="1" t="s">
        <v>1517</v>
      </c>
      <c r="C13965" s="1" t="s">
        <v>573</v>
      </c>
      <c r="D13965" s="3">
        <f t="shared" si="2282"/>
        <v>8713</v>
      </c>
      <c r="E13965" s="2">
        <f t="shared" si="2283"/>
        <v>43891</v>
      </c>
      <c r="F13965" s="2">
        <f t="shared" si="2284"/>
        <v>44255</v>
      </c>
    </row>
    <row r="13966" spans="1:6" x14ac:dyDescent="0.25">
      <c r="A13966" s="1" t="s">
        <v>59</v>
      </c>
      <c r="B13966" s="1" t="s">
        <v>1517</v>
      </c>
      <c r="C13966" s="1" t="s">
        <v>73</v>
      </c>
      <c r="D13966" s="3">
        <f t="shared" si="2282"/>
        <v>8713</v>
      </c>
      <c r="E13966" s="2">
        <f t="shared" si="2283"/>
        <v>43891</v>
      </c>
      <c r="F13966" s="2">
        <f t="shared" si="2284"/>
        <v>44255</v>
      </c>
    </row>
    <row r="13967" spans="1:6" x14ac:dyDescent="0.25">
      <c r="A13967" s="1" t="s">
        <v>59</v>
      </c>
      <c r="B13967" s="1" t="s">
        <v>1436</v>
      </c>
      <c r="C13967" s="1" t="s">
        <v>413</v>
      </c>
      <c r="D13967" s="3">
        <f t="shared" ref="D13967:D13975" si="2285">VALUE("8654")</f>
        <v>8654</v>
      </c>
      <c r="E13967" s="2">
        <f t="shared" ref="E13967:E13975" si="2286">DATEVALUE("1-12-2019")</f>
        <v>43800</v>
      </c>
      <c r="F13967" s="2">
        <f t="shared" ref="F13967:F13975" si="2287">DATEVALUE("31-3-2025")</f>
        <v>45747</v>
      </c>
    </row>
    <row r="13968" spans="1:6" x14ac:dyDescent="0.25">
      <c r="A13968" s="1" t="s">
        <v>59</v>
      </c>
      <c r="B13968" s="1" t="s">
        <v>1436</v>
      </c>
      <c r="C13968" s="1" t="s">
        <v>289</v>
      </c>
      <c r="D13968" s="3">
        <f t="shared" si="2285"/>
        <v>8654</v>
      </c>
      <c r="E13968" s="2">
        <f t="shared" si="2286"/>
        <v>43800</v>
      </c>
      <c r="F13968" s="2">
        <f t="shared" si="2287"/>
        <v>45747</v>
      </c>
    </row>
    <row r="13969" spans="1:6" x14ac:dyDescent="0.25">
      <c r="A13969" s="1" t="s">
        <v>59</v>
      </c>
      <c r="B13969" s="1" t="s">
        <v>1436</v>
      </c>
      <c r="C13969" s="1" t="s">
        <v>63</v>
      </c>
      <c r="D13969" s="3">
        <f t="shared" si="2285"/>
        <v>8654</v>
      </c>
      <c r="E13969" s="2">
        <f t="shared" si="2286"/>
        <v>43800</v>
      </c>
      <c r="F13969" s="2">
        <f t="shared" si="2287"/>
        <v>45747</v>
      </c>
    </row>
    <row r="13970" spans="1:6" x14ac:dyDescent="0.25">
      <c r="A13970" s="1" t="s">
        <v>59</v>
      </c>
      <c r="B13970" s="1" t="s">
        <v>1436</v>
      </c>
      <c r="C13970" s="1" t="s">
        <v>65</v>
      </c>
      <c r="D13970" s="3">
        <f t="shared" si="2285"/>
        <v>8654</v>
      </c>
      <c r="E13970" s="2">
        <f t="shared" si="2286"/>
        <v>43800</v>
      </c>
      <c r="F13970" s="2">
        <f t="shared" si="2287"/>
        <v>45747</v>
      </c>
    </row>
    <row r="13971" spans="1:6" x14ac:dyDescent="0.25">
      <c r="A13971" s="1" t="s">
        <v>59</v>
      </c>
      <c r="B13971" s="1" t="s">
        <v>1436</v>
      </c>
      <c r="C13971" s="1" t="s">
        <v>14</v>
      </c>
      <c r="D13971" s="3">
        <f t="shared" si="2285"/>
        <v>8654</v>
      </c>
      <c r="E13971" s="2">
        <f t="shared" si="2286"/>
        <v>43800</v>
      </c>
      <c r="F13971" s="2">
        <f t="shared" si="2287"/>
        <v>45747</v>
      </c>
    </row>
    <row r="13972" spans="1:6" x14ac:dyDescent="0.25">
      <c r="A13972" s="1" t="s">
        <v>59</v>
      </c>
      <c r="B13972" s="1" t="s">
        <v>1436</v>
      </c>
      <c r="C13972" s="1" t="s">
        <v>17</v>
      </c>
      <c r="D13972" s="3">
        <f t="shared" si="2285"/>
        <v>8654</v>
      </c>
      <c r="E13972" s="2">
        <f t="shared" si="2286"/>
        <v>43800</v>
      </c>
      <c r="F13972" s="2">
        <f t="shared" si="2287"/>
        <v>45747</v>
      </c>
    </row>
    <row r="13973" spans="1:6" x14ac:dyDescent="0.25">
      <c r="A13973" s="1" t="s">
        <v>59</v>
      </c>
      <c r="B13973" s="1" t="s">
        <v>1436</v>
      </c>
      <c r="C13973" s="1" t="s">
        <v>24</v>
      </c>
      <c r="D13973" s="3">
        <f t="shared" si="2285"/>
        <v>8654</v>
      </c>
      <c r="E13973" s="2">
        <f t="shared" si="2286"/>
        <v>43800</v>
      </c>
      <c r="F13973" s="2">
        <f t="shared" si="2287"/>
        <v>45747</v>
      </c>
    </row>
    <row r="13974" spans="1:6" x14ac:dyDescent="0.25">
      <c r="A13974" s="1" t="s">
        <v>59</v>
      </c>
      <c r="B13974" s="1" t="s">
        <v>1436</v>
      </c>
      <c r="C13974" s="1" t="s">
        <v>70</v>
      </c>
      <c r="D13974" s="3">
        <f t="shared" si="2285"/>
        <v>8654</v>
      </c>
      <c r="E13974" s="2">
        <f t="shared" si="2286"/>
        <v>43800</v>
      </c>
      <c r="F13974" s="2">
        <f t="shared" si="2287"/>
        <v>45747</v>
      </c>
    </row>
    <row r="13975" spans="1:6" x14ac:dyDescent="0.25">
      <c r="A13975" s="1" t="s">
        <v>59</v>
      </c>
      <c r="B13975" s="1" t="s">
        <v>1436</v>
      </c>
      <c r="C13975" s="1" t="s">
        <v>34</v>
      </c>
      <c r="D13975" s="3">
        <f t="shared" si="2285"/>
        <v>8654</v>
      </c>
      <c r="E13975" s="2">
        <f t="shared" si="2286"/>
        <v>43800</v>
      </c>
      <c r="F13975" s="2">
        <f t="shared" si="2287"/>
        <v>45747</v>
      </c>
    </row>
    <row r="13976" spans="1:6" x14ac:dyDescent="0.25">
      <c r="A13976" s="1" t="s">
        <v>59</v>
      </c>
      <c r="B13976" s="1" t="s">
        <v>1379</v>
      </c>
      <c r="C13976" s="1" t="s">
        <v>413</v>
      </c>
      <c r="D13976" s="3">
        <f t="shared" ref="D13976:D13985" si="2288">VALUE("8606")</f>
        <v>8606</v>
      </c>
      <c r="E13976" s="2">
        <f t="shared" ref="E13976:E13985" si="2289">DATEVALUE("1-11-2019")</f>
        <v>43770</v>
      </c>
      <c r="F13976" s="2">
        <f t="shared" ref="F13976:F13985" si="2290">DATEVALUE("31-10-2025")</f>
        <v>45961</v>
      </c>
    </row>
    <row r="13977" spans="1:6" x14ac:dyDescent="0.25">
      <c r="A13977" s="1" t="s">
        <v>59</v>
      </c>
      <c r="B13977" s="1" t="s">
        <v>1379</v>
      </c>
      <c r="C13977" s="1" t="s">
        <v>65</v>
      </c>
      <c r="D13977" s="3">
        <f t="shared" si="2288"/>
        <v>8606</v>
      </c>
      <c r="E13977" s="2">
        <f t="shared" si="2289"/>
        <v>43770</v>
      </c>
      <c r="F13977" s="2">
        <f t="shared" si="2290"/>
        <v>45961</v>
      </c>
    </row>
    <row r="13978" spans="1:6" x14ac:dyDescent="0.25">
      <c r="A13978" s="1" t="s">
        <v>59</v>
      </c>
      <c r="B13978" s="1" t="s">
        <v>1379</v>
      </c>
      <c r="C13978" s="1" t="s">
        <v>14</v>
      </c>
      <c r="D13978" s="3">
        <f t="shared" si="2288"/>
        <v>8606</v>
      </c>
      <c r="E13978" s="2">
        <f t="shared" si="2289"/>
        <v>43770</v>
      </c>
      <c r="F13978" s="2">
        <f t="shared" si="2290"/>
        <v>45961</v>
      </c>
    </row>
    <row r="13979" spans="1:6" x14ac:dyDescent="0.25">
      <c r="A13979" s="1" t="s">
        <v>59</v>
      </c>
      <c r="B13979" s="1" t="s">
        <v>1379</v>
      </c>
      <c r="C13979" s="1" t="s">
        <v>17</v>
      </c>
      <c r="D13979" s="3">
        <f t="shared" si="2288"/>
        <v>8606</v>
      </c>
      <c r="E13979" s="2">
        <f t="shared" si="2289"/>
        <v>43770</v>
      </c>
      <c r="F13979" s="2">
        <f t="shared" si="2290"/>
        <v>45961</v>
      </c>
    </row>
    <row r="13980" spans="1:6" x14ac:dyDescent="0.25">
      <c r="A13980" s="1" t="s">
        <v>59</v>
      </c>
      <c r="B13980" s="1" t="s">
        <v>1379</v>
      </c>
      <c r="C13980" s="1" t="s">
        <v>22</v>
      </c>
      <c r="D13980" s="3">
        <f t="shared" si="2288"/>
        <v>8606</v>
      </c>
      <c r="E13980" s="2">
        <f t="shared" si="2289"/>
        <v>43770</v>
      </c>
      <c r="F13980" s="2">
        <f t="shared" si="2290"/>
        <v>45961</v>
      </c>
    </row>
    <row r="13981" spans="1:6" x14ac:dyDescent="0.25">
      <c r="A13981" s="1" t="s">
        <v>59</v>
      </c>
      <c r="B13981" s="1" t="s">
        <v>1379</v>
      </c>
      <c r="C13981" s="1" t="s">
        <v>67</v>
      </c>
      <c r="D13981" s="3">
        <f t="shared" si="2288"/>
        <v>8606</v>
      </c>
      <c r="E13981" s="2">
        <f t="shared" si="2289"/>
        <v>43770</v>
      </c>
      <c r="F13981" s="2">
        <f t="shared" si="2290"/>
        <v>45961</v>
      </c>
    </row>
    <row r="13982" spans="1:6" x14ac:dyDescent="0.25">
      <c r="A13982" s="1" t="s">
        <v>59</v>
      </c>
      <c r="B13982" s="1" t="s">
        <v>1379</v>
      </c>
      <c r="C13982" s="1" t="s">
        <v>24</v>
      </c>
      <c r="D13982" s="3">
        <f t="shared" si="2288"/>
        <v>8606</v>
      </c>
      <c r="E13982" s="2">
        <f t="shared" si="2289"/>
        <v>43770</v>
      </c>
      <c r="F13982" s="2">
        <f t="shared" si="2290"/>
        <v>45961</v>
      </c>
    </row>
    <row r="13983" spans="1:6" x14ac:dyDescent="0.25">
      <c r="A13983" s="1" t="s">
        <v>59</v>
      </c>
      <c r="B13983" s="1" t="s">
        <v>1379</v>
      </c>
      <c r="C13983" s="1" t="s">
        <v>70</v>
      </c>
      <c r="D13983" s="3">
        <f t="shared" si="2288"/>
        <v>8606</v>
      </c>
      <c r="E13983" s="2">
        <f t="shared" si="2289"/>
        <v>43770</v>
      </c>
      <c r="F13983" s="2">
        <f t="shared" si="2290"/>
        <v>45961</v>
      </c>
    </row>
    <row r="13984" spans="1:6" x14ac:dyDescent="0.25">
      <c r="A13984" s="1" t="s">
        <v>59</v>
      </c>
      <c r="B13984" s="1" t="s">
        <v>1379</v>
      </c>
      <c r="C13984" s="1" t="s">
        <v>34</v>
      </c>
      <c r="D13984" s="3">
        <f t="shared" si="2288"/>
        <v>8606</v>
      </c>
      <c r="E13984" s="2">
        <f t="shared" si="2289"/>
        <v>43770</v>
      </c>
      <c r="F13984" s="2">
        <f t="shared" si="2290"/>
        <v>45961</v>
      </c>
    </row>
    <row r="13985" spans="1:6" x14ac:dyDescent="0.25">
      <c r="A13985" s="1" t="s">
        <v>59</v>
      </c>
      <c r="B13985" s="1" t="s">
        <v>1379</v>
      </c>
      <c r="C13985" s="1" t="s">
        <v>55</v>
      </c>
      <c r="D13985" s="3">
        <f t="shared" si="2288"/>
        <v>8606</v>
      </c>
      <c r="E13985" s="2">
        <f t="shared" si="2289"/>
        <v>43770</v>
      </c>
      <c r="F13985" s="2">
        <f t="shared" si="2290"/>
        <v>45961</v>
      </c>
    </row>
    <row r="13986" spans="1:6" x14ac:dyDescent="0.25">
      <c r="A13986" s="1" t="s">
        <v>59</v>
      </c>
      <c r="B13986" s="1" t="s">
        <v>1386</v>
      </c>
      <c r="C13986" s="1" t="s">
        <v>14</v>
      </c>
      <c r="D13986" s="3">
        <f t="shared" ref="D13986:D13995" si="2291">VALUE("8615")</f>
        <v>8615</v>
      </c>
      <c r="E13986" s="2">
        <f t="shared" ref="E13986:E13995" si="2292">DATEVALUE("1-10-2019")</f>
        <v>43739</v>
      </c>
      <c r="F13986" s="2">
        <f t="shared" ref="F13986:F13995" si="2293">DATEVALUE("31-12-2020")</f>
        <v>44196</v>
      </c>
    </row>
    <row r="13987" spans="1:6" x14ac:dyDescent="0.25">
      <c r="A13987" s="1" t="s">
        <v>59</v>
      </c>
      <c r="B13987" s="1" t="s">
        <v>1386</v>
      </c>
      <c r="C13987" s="1" t="s">
        <v>15</v>
      </c>
      <c r="D13987" s="3">
        <f t="shared" si="2291"/>
        <v>8615</v>
      </c>
      <c r="E13987" s="2">
        <f t="shared" si="2292"/>
        <v>43739</v>
      </c>
      <c r="F13987" s="2">
        <f t="shared" si="2293"/>
        <v>44196</v>
      </c>
    </row>
    <row r="13988" spans="1:6" x14ac:dyDescent="0.25">
      <c r="A13988" s="1" t="s">
        <v>59</v>
      </c>
      <c r="B13988" s="1" t="s">
        <v>1386</v>
      </c>
      <c r="C13988" s="1" t="s">
        <v>17</v>
      </c>
      <c r="D13988" s="3">
        <f t="shared" si="2291"/>
        <v>8615</v>
      </c>
      <c r="E13988" s="2">
        <f t="shared" si="2292"/>
        <v>43739</v>
      </c>
      <c r="F13988" s="2">
        <f t="shared" si="2293"/>
        <v>44196</v>
      </c>
    </row>
    <row r="13989" spans="1:6" x14ac:dyDescent="0.25">
      <c r="A13989" s="1" t="s">
        <v>59</v>
      </c>
      <c r="B13989" s="1" t="s">
        <v>1386</v>
      </c>
      <c r="C13989" s="1" t="s">
        <v>22</v>
      </c>
      <c r="D13989" s="3">
        <f t="shared" si="2291"/>
        <v>8615</v>
      </c>
      <c r="E13989" s="2">
        <f t="shared" si="2292"/>
        <v>43739</v>
      </c>
      <c r="F13989" s="2">
        <f t="shared" si="2293"/>
        <v>44196</v>
      </c>
    </row>
    <row r="13990" spans="1:6" x14ac:dyDescent="0.25">
      <c r="A13990" s="1" t="s">
        <v>59</v>
      </c>
      <c r="B13990" s="1" t="s">
        <v>1386</v>
      </c>
      <c r="C13990" s="1" t="s">
        <v>92</v>
      </c>
      <c r="D13990" s="3">
        <f t="shared" si="2291"/>
        <v>8615</v>
      </c>
      <c r="E13990" s="2">
        <f t="shared" si="2292"/>
        <v>43739</v>
      </c>
      <c r="F13990" s="2">
        <f t="shared" si="2293"/>
        <v>44196</v>
      </c>
    </row>
    <row r="13991" spans="1:6" x14ac:dyDescent="0.25">
      <c r="A13991" s="1" t="s">
        <v>59</v>
      </c>
      <c r="B13991" s="1" t="s">
        <v>1386</v>
      </c>
      <c r="C13991" s="1" t="s">
        <v>422</v>
      </c>
      <c r="D13991" s="3">
        <f t="shared" si="2291"/>
        <v>8615</v>
      </c>
      <c r="E13991" s="2">
        <f t="shared" si="2292"/>
        <v>43739</v>
      </c>
      <c r="F13991" s="2">
        <f t="shared" si="2293"/>
        <v>44196</v>
      </c>
    </row>
    <row r="13992" spans="1:6" x14ac:dyDescent="0.25">
      <c r="A13992" s="1" t="s">
        <v>59</v>
      </c>
      <c r="B13992" s="1" t="s">
        <v>1386</v>
      </c>
      <c r="C13992" s="1" t="s">
        <v>73</v>
      </c>
      <c r="D13992" s="3">
        <f t="shared" si="2291"/>
        <v>8615</v>
      </c>
      <c r="E13992" s="2">
        <f t="shared" si="2292"/>
        <v>43739</v>
      </c>
      <c r="F13992" s="2">
        <f t="shared" si="2293"/>
        <v>44196</v>
      </c>
    </row>
    <row r="13993" spans="1:6" x14ac:dyDescent="0.25">
      <c r="A13993" s="1" t="s">
        <v>59</v>
      </c>
      <c r="B13993" s="1" t="s">
        <v>1386</v>
      </c>
      <c r="C13993" s="1" t="s">
        <v>34</v>
      </c>
      <c r="D13993" s="3">
        <f t="shared" si="2291"/>
        <v>8615</v>
      </c>
      <c r="E13993" s="2">
        <f t="shared" si="2292"/>
        <v>43739</v>
      </c>
      <c r="F13993" s="2">
        <f t="shared" si="2293"/>
        <v>44196</v>
      </c>
    </row>
    <row r="13994" spans="1:6" x14ac:dyDescent="0.25">
      <c r="A13994" s="1" t="s">
        <v>59</v>
      </c>
      <c r="B13994" s="1" t="s">
        <v>1386</v>
      </c>
      <c r="C13994" s="1" t="s">
        <v>380</v>
      </c>
      <c r="D13994" s="3">
        <f t="shared" si="2291"/>
        <v>8615</v>
      </c>
      <c r="E13994" s="2">
        <f t="shared" si="2292"/>
        <v>43739</v>
      </c>
      <c r="F13994" s="2">
        <f t="shared" si="2293"/>
        <v>44196</v>
      </c>
    </row>
    <row r="13995" spans="1:6" x14ac:dyDescent="0.25">
      <c r="A13995" s="1" t="s">
        <v>59</v>
      </c>
      <c r="B13995" s="1" t="s">
        <v>1386</v>
      </c>
      <c r="C13995" s="1" t="s">
        <v>381</v>
      </c>
      <c r="D13995" s="3">
        <f t="shared" si="2291"/>
        <v>8615</v>
      </c>
      <c r="E13995" s="2">
        <f t="shared" si="2292"/>
        <v>43739</v>
      </c>
      <c r="F13995" s="2">
        <f t="shared" si="2293"/>
        <v>44196</v>
      </c>
    </row>
    <row r="13996" spans="1:6" x14ac:dyDescent="0.25">
      <c r="A13996" s="1" t="s">
        <v>59</v>
      </c>
      <c r="B13996" s="1" t="s">
        <v>1279</v>
      </c>
      <c r="C13996" s="1" t="s">
        <v>612</v>
      </c>
      <c r="D13996" s="3">
        <f t="shared" ref="D13996:D14031" si="2294">VALUE("8537")</f>
        <v>8537</v>
      </c>
      <c r="E13996" s="2">
        <f t="shared" ref="E13996:E14031" si="2295">DATEVALUE("1-7-2019")</f>
        <v>43647</v>
      </c>
      <c r="F13996" s="2">
        <f t="shared" ref="F13996:F14031" si="2296">DATEVALUE("31-5-2025")</f>
        <v>45808</v>
      </c>
    </row>
    <row r="13997" spans="1:6" x14ac:dyDescent="0.25">
      <c r="A13997" s="1" t="s">
        <v>59</v>
      </c>
      <c r="B13997" s="1" t="s">
        <v>1279</v>
      </c>
      <c r="C13997" s="1" t="s">
        <v>184</v>
      </c>
      <c r="D13997" s="3">
        <f t="shared" si="2294"/>
        <v>8537</v>
      </c>
      <c r="E13997" s="2">
        <f t="shared" si="2295"/>
        <v>43647</v>
      </c>
      <c r="F13997" s="2">
        <f t="shared" si="2296"/>
        <v>45808</v>
      </c>
    </row>
    <row r="13998" spans="1:6" x14ac:dyDescent="0.25">
      <c r="A13998" s="1" t="s">
        <v>59</v>
      </c>
      <c r="B13998" s="1" t="s">
        <v>1279</v>
      </c>
      <c r="C13998" s="1" t="s">
        <v>416</v>
      </c>
      <c r="D13998" s="3">
        <f t="shared" si="2294"/>
        <v>8537</v>
      </c>
      <c r="E13998" s="2">
        <f t="shared" si="2295"/>
        <v>43647</v>
      </c>
      <c r="F13998" s="2">
        <f t="shared" si="2296"/>
        <v>45808</v>
      </c>
    </row>
    <row r="13999" spans="1:6" x14ac:dyDescent="0.25">
      <c r="A13999" s="1" t="s">
        <v>59</v>
      </c>
      <c r="B13999" s="1" t="s">
        <v>1279</v>
      </c>
      <c r="C13999" s="1" t="s">
        <v>14</v>
      </c>
      <c r="D13999" s="3">
        <f t="shared" si="2294"/>
        <v>8537</v>
      </c>
      <c r="E13999" s="2">
        <f t="shared" si="2295"/>
        <v>43647</v>
      </c>
      <c r="F13999" s="2">
        <f t="shared" si="2296"/>
        <v>45808</v>
      </c>
    </row>
    <row r="14000" spans="1:6" x14ac:dyDescent="0.25">
      <c r="A14000" s="1" t="s">
        <v>59</v>
      </c>
      <c r="B14000" s="1" t="s">
        <v>1279</v>
      </c>
      <c r="C14000" s="1" t="s">
        <v>15</v>
      </c>
      <c r="D14000" s="3">
        <f t="shared" si="2294"/>
        <v>8537</v>
      </c>
      <c r="E14000" s="2">
        <f t="shared" si="2295"/>
        <v>43647</v>
      </c>
      <c r="F14000" s="2">
        <f t="shared" si="2296"/>
        <v>45808</v>
      </c>
    </row>
    <row r="14001" spans="1:6" x14ac:dyDescent="0.25">
      <c r="A14001" s="1" t="s">
        <v>59</v>
      </c>
      <c r="B14001" s="1" t="s">
        <v>1279</v>
      </c>
      <c r="C14001" s="1" t="s">
        <v>146</v>
      </c>
      <c r="D14001" s="3">
        <f t="shared" si="2294"/>
        <v>8537</v>
      </c>
      <c r="E14001" s="2">
        <f t="shared" si="2295"/>
        <v>43647</v>
      </c>
      <c r="F14001" s="2">
        <f t="shared" si="2296"/>
        <v>45808</v>
      </c>
    </row>
    <row r="14002" spans="1:6" x14ac:dyDescent="0.25">
      <c r="A14002" s="1" t="s">
        <v>59</v>
      </c>
      <c r="B14002" s="1" t="s">
        <v>1279</v>
      </c>
      <c r="C14002" s="1" t="s">
        <v>67</v>
      </c>
      <c r="D14002" s="3">
        <f t="shared" si="2294"/>
        <v>8537</v>
      </c>
      <c r="E14002" s="2">
        <f t="shared" si="2295"/>
        <v>43647</v>
      </c>
      <c r="F14002" s="2">
        <f t="shared" si="2296"/>
        <v>45808</v>
      </c>
    </row>
    <row r="14003" spans="1:6" x14ac:dyDescent="0.25">
      <c r="A14003" s="1" t="s">
        <v>59</v>
      </c>
      <c r="B14003" s="1" t="s">
        <v>1279</v>
      </c>
      <c r="C14003" s="1" t="s">
        <v>148</v>
      </c>
      <c r="D14003" s="3">
        <f t="shared" si="2294"/>
        <v>8537</v>
      </c>
      <c r="E14003" s="2">
        <f t="shared" si="2295"/>
        <v>43647</v>
      </c>
      <c r="F14003" s="2">
        <f t="shared" si="2296"/>
        <v>45808</v>
      </c>
    </row>
    <row r="14004" spans="1:6" x14ac:dyDescent="0.25">
      <c r="A14004" s="1" t="s">
        <v>59</v>
      </c>
      <c r="B14004" s="1" t="s">
        <v>1279</v>
      </c>
      <c r="C14004" s="1" t="s">
        <v>149</v>
      </c>
      <c r="D14004" s="3">
        <f t="shared" si="2294"/>
        <v>8537</v>
      </c>
      <c r="E14004" s="2">
        <f t="shared" si="2295"/>
        <v>43647</v>
      </c>
      <c r="F14004" s="2">
        <f t="shared" si="2296"/>
        <v>45808</v>
      </c>
    </row>
    <row r="14005" spans="1:6" x14ac:dyDescent="0.25">
      <c r="A14005" s="1" t="s">
        <v>59</v>
      </c>
      <c r="B14005" s="1" t="s">
        <v>1279</v>
      </c>
      <c r="C14005" s="1" t="s">
        <v>92</v>
      </c>
      <c r="D14005" s="3">
        <f t="shared" si="2294"/>
        <v>8537</v>
      </c>
      <c r="E14005" s="2">
        <f t="shared" si="2295"/>
        <v>43647</v>
      </c>
      <c r="F14005" s="2">
        <f t="shared" si="2296"/>
        <v>45808</v>
      </c>
    </row>
    <row r="14006" spans="1:6" x14ac:dyDescent="0.25">
      <c r="A14006" s="1" t="s">
        <v>59</v>
      </c>
      <c r="B14006" s="1" t="s">
        <v>1279</v>
      </c>
      <c r="C14006" s="1" t="s">
        <v>811</v>
      </c>
      <c r="D14006" s="3">
        <f t="shared" si="2294"/>
        <v>8537</v>
      </c>
      <c r="E14006" s="2">
        <f t="shared" si="2295"/>
        <v>43647</v>
      </c>
      <c r="F14006" s="2">
        <f t="shared" si="2296"/>
        <v>45808</v>
      </c>
    </row>
    <row r="14007" spans="1:6" x14ac:dyDescent="0.25">
      <c r="A14007" s="1" t="s">
        <v>59</v>
      </c>
      <c r="B14007" s="1" t="s">
        <v>1279</v>
      </c>
      <c r="C14007" s="1" t="s">
        <v>814</v>
      </c>
      <c r="D14007" s="3">
        <f t="shared" si="2294"/>
        <v>8537</v>
      </c>
      <c r="E14007" s="2">
        <f t="shared" si="2295"/>
        <v>43647</v>
      </c>
      <c r="F14007" s="2">
        <f t="shared" si="2296"/>
        <v>45808</v>
      </c>
    </row>
    <row r="14008" spans="1:6" x14ac:dyDescent="0.25">
      <c r="A14008" s="1" t="s">
        <v>59</v>
      </c>
      <c r="B14008" s="1" t="s">
        <v>1279</v>
      </c>
      <c r="C14008" s="1" t="s">
        <v>812</v>
      </c>
      <c r="D14008" s="3">
        <f t="shared" si="2294"/>
        <v>8537</v>
      </c>
      <c r="E14008" s="2">
        <f t="shared" si="2295"/>
        <v>43647</v>
      </c>
      <c r="F14008" s="2">
        <f t="shared" si="2296"/>
        <v>45808</v>
      </c>
    </row>
    <row r="14009" spans="1:6" x14ac:dyDescent="0.25">
      <c r="A14009" s="1" t="s">
        <v>59</v>
      </c>
      <c r="B14009" s="1" t="s">
        <v>1279</v>
      </c>
      <c r="C14009" s="1" t="s">
        <v>813</v>
      </c>
      <c r="D14009" s="3">
        <f t="shared" si="2294"/>
        <v>8537</v>
      </c>
      <c r="E14009" s="2">
        <f t="shared" si="2295"/>
        <v>43647</v>
      </c>
      <c r="F14009" s="2">
        <f t="shared" si="2296"/>
        <v>45808</v>
      </c>
    </row>
    <row r="14010" spans="1:6" x14ac:dyDescent="0.25">
      <c r="A14010" s="1" t="s">
        <v>59</v>
      </c>
      <c r="B14010" s="1" t="s">
        <v>1279</v>
      </c>
      <c r="C14010" s="1" t="s">
        <v>816</v>
      </c>
      <c r="D14010" s="3">
        <f t="shared" si="2294"/>
        <v>8537</v>
      </c>
      <c r="E14010" s="2">
        <f t="shared" si="2295"/>
        <v>43647</v>
      </c>
      <c r="F14010" s="2">
        <f t="shared" si="2296"/>
        <v>45808</v>
      </c>
    </row>
    <row r="14011" spans="1:6" x14ac:dyDescent="0.25">
      <c r="A14011" s="1" t="s">
        <v>59</v>
      </c>
      <c r="B14011" s="1" t="s">
        <v>1279</v>
      </c>
      <c r="C14011" s="1" t="s">
        <v>815</v>
      </c>
      <c r="D14011" s="3">
        <f t="shared" si="2294"/>
        <v>8537</v>
      </c>
      <c r="E14011" s="2">
        <f t="shared" si="2295"/>
        <v>43647</v>
      </c>
      <c r="F14011" s="2">
        <f t="shared" si="2296"/>
        <v>45808</v>
      </c>
    </row>
    <row r="14012" spans="1:6" x14ac:dyDescent="0.25">
      <c r="A14012" s="1" t="s">
        <v>59</v>
      </c>
      <c r="B14012" s="1" t="s">
        <v>1279</v>
      </c>
      <c r="C14012" s="1" t="s">
        <v>817</v>
      </c>
      <c r="D14012" s="3">
        <f t="shared" si="2294"/>
        <v>8537</v>
      </c>
      <c r="E14012" s="2">
        <f t="shared" si="2295"/>
        <v>43647</v>
      </c>
      <c r="F14012" s="2">
        <f t="shared" si="2296"/>
        <v>45808</v>
      </c>
    </row>
    <row r="14013" spans="1:6" x14ac:dyDescent="0.25">
      <c r="A14013" s="1" t="s">
        <v>59</v>
      </c>
      <c r="B14013" s="1" t="s">
        <v>1279</v>
      </c>
      <c r="C14013" s="1" t="s">
        <v>818</v>
      </c>
      <c r="D14013" s="3">
        <f t="shared" si="2294"/>
        <v>8537</v>
      </c>
      <c r="E14013" s="2">
        <f t="shared" si="2295"/>
        <v>43647</v>
      </c>
      <c r="F14013" s="2">
        <f t="shared" si="2296"/>
        <v>45808</v>
      </c>
    </row>
    <row r="14014" spans="1:6" x14ac:dyDescent="0.25">
      <c r="A14014" s="1" t="s">
        <v>59</v>
      </c>
      <c r="B14014" s="1" t="s">
        <v>1279</v>
      </c>
      <c r="C14014" s="1" t="s">
        <v>819</v>
      </c>
      <c r="D14014" s="3">
        <f t="shared" si="2294"/>
        <v>8537</v>
      </c>
      <c r="E14014" s="2">
        <f t="shared" si="2295"/>
        <v>43647</v>
      </c>
      <c r="F14014" s="2">
        <f t="shared" si="2296"/>
        <v>45808</v>
      </c>
    </row>
    <row r="14015" spans="1:6" x14ac:dyDescent="0.25">
      <c r="A14015" s="1" t="s">
        <v>59</v>
      </c>
      <c r="B14015" s="1" t="s">
        <v>1279</v>
      </c>
      <c r="C14015" s="1" t="s">
        <v>820</v>
      </c>
      <c r="D14015" s="3">
        <f t="shared" si="2294"/>
        <v>8537</v>
      </c>
      <c r="E14015" s="2">
        <f t="shared" si="2295"/>
        <v>43647</v>
      </c>
      <c r="F14015" s="2">
        <f t="shared" si="2296"/>
        <v>45808</v>
      </c>
    </row>
    <row r="14016" spans="1:6" x14ac:dyDescent="0.25">
      <c r="A14016" s="1" t="s">
        <v>59</v>
      </c>
      <c r="B14016" s="1" t="s">
        <v>1279</v>
      </c>
      <c r="C14016" s="1" t="s">
        <v>821</v>
      </c>
      <c r="D14016" s="3">
        <f t="shared" si="2294"/>
        <v>8537</v>
      </c>
      <c r="E14016" s="2">
        <f t="shared" si="2295"/>
        <v>43647</v>
      </c>
      <c r="F14016" s="2">
        <f t="shared" si="2296"/>
        <v>45808</v>
      </c>
    </row>
    <row r="14017" spans="1:6" x14ac:dyDescent="0.25">
      <c r="A14017" s="1" t="s">
        <v>59</v>
      </c>
      <c r="B14017" s="1" t="s">
        <v>1279</v>
      </c>
      <c r="C14017" s="1" t="s">
        <v>822</v>
      </c>
      <c r="D14017" s="3">
        <f t="shared" si="2294"/>
        <v>8537</v>
      </c>
      <c r="E14017" s="2">
        <f t="shared" si="2295"/>
        <v>43647</v>
      </c>
      <c r="F14017" s="2">
        <f t="shared" si="2296"/>
        <v>45808</v>
      </c>
    </row>
    <row r="14018" spans="1:6" x14ac:dyDescent="0.25">
      <c r="A14018" s="1" t="s">
        <v>59</v>
      </c>
      <c r="B14018" s="1" t="s">
        <v>1279</v>
      </c>
      <c r="C14018" s="1" t="s">
        <v>825</v>
      </c>
      <c r="D14018" s="3">
        <f t="shared" si="2294"/>
        <v>8537</v>
      </c>
      <c r="E14018" s="2">
        <f t="shared" si="2295"/>
        <v>43647</v>
      </c>
      <c r="F14018" s="2">
        <f t="shared" si="2296"/>
        <v>45808</v>
      </c>
    </row>
    <row r="14019" spans="1:6" x14ac:dyDescent="0.25">
      <c r="A14019" s="1" t="s">
        <v>59</v>
      </c>
      <c r="B14019" s="1" t="s">
        <v>1279</v>
      </c>
      <c r="C14019" s="1" t="s">
        <v>823</v>
      </c>
      <c r="D14019" s="3">
        <f t="shared" si="2294"/>
        <v>8537</v>
      </c>
      <c r="E14019" s="2">
        <f t="shared" si="2295"/>
        <v>43647</v>
      </c>
      <c r="F14019" s="2">
        <f t="shared" si="2296"/>
        <v>45808</v>
      </c>
    </row>
    <row r="14020" spans="1:6" x14ac:dyDescent="0.25">
      <c r="A14020" s="1" t="s">
        <v>59</v>
      </c>
      <c r="B14020" s="1" t="s">
        <v>1279</v>
      </c>
      <c r="C14020" s="1" t="s">
        <v>824</v>
      </c>
      <c r="D14020" s="3">
        <f t="shared" si="2294"/>
        <v>8537</v>
      </c>
      <c r="E14020" s="2">
        <f t="shared" si="2295"/>
        <v>43647</v>
      </c>
      <c r="F14020" s="2">
        <f t="shared" si="2296"/>
        <v>45808</v>
      </c>
    </row>
    <row r="14021" spans="1:6" x14ac:dyDescent="0.25">
      <c r="A14021" s="1" t="s">
        <v>59</v>
      </c>
      <c r="B14021" s="1" t="s">
        <v>1279</v>
      </c>
      <c r="C14021" s="1" t="s">
        <v>826</v>
      </c>
      <c r="D14021" s="3">
        <f t="shared" si="2294"/>
        <v>8537</v>
      </c>
      <c r="E14021" s="2">
        <f t="shared" si="2295"/>
        <v>43647</v>
      </c>
      <c r="F14021" s="2">
        <f t="shared" si="2296"/>
        <v>45808</v>
      </c>
    </row>
    <row r="14022" spans="1:6" x14ac:dyDescent="0.25">
      <c r="A14022" s="1" t="s">
        <v>59</v>
      </c>
      <c r="B14022" s="1" t="s">
        <v>1279</v>
      </c>
      <c r="C14022" s="1" t="s">
        <v>827</v>
      </c>
      <c r="D14022" s="3">
        <f t="shared" si="2294"/>
        <v>8537</v>
      </c>
      <c r="E14022" s="2">
        <f t="shared" si="2295"/>
        <v>43647</v>
      </c>
      <c r="F14022" s="2">
        <f t="shared" si="2296"/>
        <v>45808</v>
      </c>
    </row>
    <row r="14023" spans="1:6" x14ac:dyDescent="0.25">
      <c r="A14023" s="1" t="s">
        <v>59</v>
      </c>
      <c r="B14023" s="1" t="s">
        <v>1279</v>
      </c>
      <c r="C14023" s="1" t="s">
        <v>829</v>
      </c>
      <c r="D14023" s="3">
        <f t="shared" si="2294"/>
        <v>8537</v>
      </c>
      <c r="E14023" s="2">
        <f t="shared" si="2295"/>
        <v>43647</v>
      </c>
      <c r="F14023" s="2">
        <f t="shared" si="2296"/>
        <v>45808</v>
      </c>
    </row>
    <row r="14024" spans="1:6" x14ac:dyDescent="0.25">
      <c r="A14024" s="1" t="s">
        <v>59</v>
      </c>
      <c r="B14024" s="1" t="s">
        <v>1279</v>
      </c>
      <c r="C14024" s="1" t="s">
        <v>828</v>
      </c>
      <c r="D14024" s="3">
        <f t="shared" si="2294"/>
        <v>8537</v>
      </c>
      <c r="E14024" s="2">
        <f t="shared" si="2295"/>
        <v>43647</v>
      </c>
      <c r="F14024" s="2">
        <f t="shared" si="2296"/>
        <v>45808</v>
      </c>
    </row>
    <row r="14025" spans="1:6" x14ac:dyDescent="0.25">
      <c r="A14025" s="1" t="s">
        <v>59</v>
      </c>
      <c r="B14025" s="1" t="s">
        <v>1279</v>
      </c>
      <c r="C14025" s="1" t="s">
        <v>830</v>
      </c>
      <c r="D14025" s="3">
        <f t="shared" si="2294"/>
        <v>8537</v>
      </c>
      <c r="E14025" s="2">
        <f t="shared" si="2295"/>
        <v>43647</v>
      </c>
      <c r="F14025" s="2">
        <f t="shared" si="2296"/>
        <v>45808</v>
      </c>
    </row>
    <row r="14026" spans="1:6" x14ac:dyDescent="0.25">
      <c r="A14026" s="1" t="s">
        <v>59</v>
      </c>
      <c r="B14026" s="1" t="s">
        <v>1279</v>
      </c>
      <c r="C14026" s="1" t="s">
        <v>422</v>
      </c>
      <c r="D14026" s="3">
        <f t="shared" si="2294"/>
        <v>8537</v>
      </c>
      <c r="E14026" s="2">
        <f t="shared" si="2295"/>
        <v>43647</v>
      </c>
      <c r="F14026" s="2">
        <f t="shared" si="2296"/>
        <v>45808</v>
      </c>
    </row>
    <row r="14027" spans="1:6" x14ac:dyDescent="0.25">
      <c r="A14027" s="1" t="s">
        <v>59</v>
      </c>
      <c r="B14027" s="1" t="s">
        <v>1279</v>
      </c>
      <c r="C14027" s="1" t="s">
        <v>477</v>
      </c>
      <c r="D14027" s="3">
        <f t="shared" si="2294"/>
        <v>8537</v>
      </c>
      <c r="E14027" s="2">
        <f t="shared" si="2295"/>
        <v>43647</v>
      </c>
      <c r="F14027" s="2">
        <f t="shared" si="2296"/>
        <v>45808</v>
      </c>
    </row>
    <row r="14028" spans="1:6" x14ac:dyDescent="0.25">
      <c r="A14028" s="1" t="s">
        <v>59</v>
      </c>
      <c r="B14028" s="1" t="s">
        <v>1279</v>
      </c>
      <c r="C14028" s="1" t="s">
        <v>478</v>
      </c>
      <c r="D14028" s="3">
        <f t="shared" si="2294"/>
        <v>8537</v>
      </c>
      <c r="E14028" s="2">
        <f t="shared" si="2295"/>
        <v>43647</v>
      </c>
      <c r="F14028" s="2">
        <f t="shared" si="2296"/>
        <v>45808</v>
      </c>
    </row>
    <row r="14029" spans="1:6" x14ac:dyDescent="0.25">
      <c r="A14029" s="1" t="s">
        <v>59</v>
      </c>
      <c r="B14029" s="1" t="s">
        <v>1279</v>
      </c>
      <c r="C14029" s="1" t="s">
        <v>160</v>
      </c>
      <c r="D14029" s="3">
        <f t="shared" si="2294"/>
        <v>8537</v>
      </c>
      <c r="E14029" s="2">
        <f t="shared" si="2295"/>
        <v>43647</v>
      </c>
      <c r="F14029" s="2">
        <f t="shared" si="2296"/>
        <v>45808</v>
      </c>
    </row>
    <row r="14030" spans="1:6" x14ac:dyDescent="0.25">
      <c r="A14030" s="1" t="s">
        <v>59</v>
      </c>
      <c r="B14030" s="1" t="s">
        <v>1279</v>
      </c>
      <c r="C14030" s="1" t="s">
        <v>479</v>
      </c>
      <c r="D14030" s="3">
        <f t="shared" si="2294"/>
        <v>8537</v>
      </c>
      <c r="E14030" s="2">
        <f t="shared" si="2295"/>
        <v>43647</v>
      </c>
      <c r="F14030" s="2">
        <f t="shared" si="2296"/>
        <v>45808</v>
      </c>
    </row>
    <row r="14031" spans="1:6" x14ac:dyDescent="0.25">
      <c r="A14031" s="1" t="s">
        <v>59</v>
      </c>
      <c r="B14031" s="1" t="s">
        <v>1279</v>
      </c>
      <c r="C14031" s="1" t="s">
        <v>541</v>
      </c>
      <c r="D14031" s="3">
        <f t="shared" si="2294"/>
        <v>8537</v>
      </c>
      <c r="E14031" s="2">
        <f t="shared" si="2295"/>
        <v>43647</v>
      </c>
      <c r="F14031" s="2">
        <f t="shared" si="2296"/>
        <v>45808</v>
      </c>
    </row>
    <row r="14032" spans="1:6" x14ac:dyDescent="0.25">
      <c r="A14032" s="1" t="s">
        <v>59</v>
      </c>
      <c r="B14032" s="1" t="s">
        <v>1132</v>
      </c>
      <c r="C14032" s="1" t="s">
        <v>810</v>
      </c>
      <c r="D14032" s="3">
        <f t="shared" ref="D14032:D14053" si="2297">VALUE("8406")</f>
        <v>8406</v>
      </c>
      <c r="E14032" s="2">
        <f t="shared" ref="E14032:E14053" si="2298">DATEVALUE("1-12-2018")</f>
        <v>43435</v>
      </c>
      <c r="F14032" s="2">
        <f t="shared" ref="F14032:F14053" si="2299">DATEVALUE("31-12-2022")</f>
        <v>44926</v>
      </c>
    </row>
    <row r="14033" spans="1:6" x14ac:dyDescent="0.25">
      <c r="A14033" s="1" t="s">
        <v>59</v>
      </c>
      <c r="B14033" s="1" t="s">
        <v>1132</v>
      </c>
      <c r="C14033" s="1" t="s">
        <v>289</v>
      </c>
      <c r="D14033" s="3">
        <f t="shared" si="2297"/>
        <v>8406</v>
      </c>
      <c r="E14033" s="2">
        <f t="shared" si="2298"/>
        <v>43435</v>
      </c>
      <c r="F14033" s="2">
        <f t="shared" si="2299"/>
        <v>44926</v>
      </c>
    </row>
    <row r="14034" spans="1:6" x14ac:dyDescent="0.25">
      <c r="A14034" s="1" t="s">
        <v>59</v>
      </c>
      <c r="B14034" s="1" t="s">
        <v>1132</v>
      </c>
      <c r="C14034" s="1" t="s">
        <v>811</v>
      </c>
      <c r="D14034" s="3">
        <f t="shared" si="2297"/>
        <v>8406</v>
      </c>
      <c r="E14034" s="2">
        <f t="shared" si="2298"/>
        <v>43435</v>
      </c>
      <c r="F14034" s="2">
        <f t="shared" si="2299"/>
        <v>44926</v>
      </c>
    </row>
    <row r="14035" spans="1:6" x14ac:dyDescent="0.25">
      <c r="A14035" s="1" t="s">
        <v>59</v>
      </c>
      <c r="B14035" s="1" t="s">
        <v>1132</v>
      </c>
      <c r="C14035" s="1" t="s">
        <v>814</v>
      </c>
      <c r="D14035" s="3">
        <f t="shared" si="2297"/>
        <v>8406</v>
      </c>
      <c r="E14035" s="2">
        <f t="shared" si="2298"/>
        <v>43435</v>
      </c>
      <c r="F14035" s="2">
        <f t="shared" si="2299"/>
        <v>44926</v>
      </c>
    </row>
    <row r="14036" spans="1:6" x14ac:dyDescent="0.25">
      <c r="A14036" s="1" t="s">
        <v>59</v>
      </c>
      <c r="B14036" s="1" t="s">
        <v>1132</v>
      </c>
      <c r="C14036" s="1" t="s">
        <v>812</v>
      </c>
      <c r="D14036" s="3">
        <f t="shared" si="2297"/>
        <v>8406</v>
      </c>
      <c r="E14036" s="2">
        <f t="shared" si="2298"/>
        <v>43435</v>
      </c>
      <c r="F14036" s="2">
        <f t="shared" si="2299"/>
        <v>44926</v>
      </c>
    </row>
    <row r="14037" spans="1:6" x14ac:dyDescent="0.25">
      <c r="A14037" s="1" t="s">
        <v>59</v>
      </c>
      <c r="B14037" s="1" t="s">
        <v>1132</v>
      </c>
      <c r="C14037" s="1" t="s">
        <v>813</v>
      </c>
      <c r="D14037" s="3">
        <f t="shared" si="2297"/>
        <v>8406</v>
      </c>
      <c r="E14037" s="2">
        <f t="shared" si="2298"/>
        <v>43435</v>
      </c>
      <c r="F14037" s="2">
        <f t="shared" si="2299"/>
        <v>44926</v>
      </c>
    </row>
    <row r="14038" spans="1:6" x14ac:dyDescent="0.25">
      <c r="A14038" s="1" t="s">
        <v>59</v>
      </c>
      <c r="B14038" s="1" t="s">
        <v>1132</v>
      </c>
      <c r="C14038" s="1" t="s">
        <v>816</v>
      </c>
      <c r="D14038" s="3">
        <f t="shared" si="2297"/>
        <v>8406</v>
      </c>
      <c r="E14038" s="2">
        <f t="shared" si="2298"/>
        <v>43435</v>
      </c>
      <c r="F14038" s="2">
        <f t="shared" si="2299"/>
        <v>44926</v>
      </c>
    </row>
    <row r="14039" spans="1:6" x14ac:dyDescent="0.25">
      <c r="A14039" s="1" t="s">
        <v>59</v>
      </c>
      <c r="B14039" s="1" t="s">
        <v>1132</v>
      </c>
      <c r="C14039" s="1" t="s">
        <v>815</v>
      </c>
      <c r="D14039" s="3">
        <f t="shared" si="2297"/>
        <v>8406</v>
      </c>
      <c r="E14039" s="2">
        <f t="shared" si="2298"/>
        <v>43435</v>
      </c>
      <c r="F14039" s="2">
        <f t="shared" si="2299"/>
        <v>44926</v>
      </c>
    </row>
    <row r="14040" spans="1:6" x14ac:dyDescent="0.25">
      <c r="A14040" s="1" t="s">
        <v>59</v>
      </c>
      <c r="B14040" s="1" t="s">
        <v>1132</v>
      </c>
      <c r="C14040" s="1" t="s">
        <v>817</v>
      </c>
      <c r="D14040" s="3">
        <f t="shared" si="2297"/>
        <v>8406</v>
      </c>
      <c r="E14040" s="2">
        <f t="shared" si="2298"/>
        <v>43435</v>
      </c>
      <c r="F14040" s="2">
        <f t="shared" si="2299"/>
        <v>44926</v>
      </c>
    </row>
    <row r="14041" spans="1:6" x14ac:dyDescent="0.25">
      <c r="A14041" s="1" t="s">
        <v>59</v>
      </c>
      <c r="B14041" s="1" t="s">
        <v>1132</v>
      </c>
      <c r="C14041" s="1" t="s">
        <v>818</v>
      </c>
      <c r="D14041" s="3">
        <f t="shared" si="2297"/>
        <v>8406</v>
      </c>
      <c r="E14041" s="2">
        <f t="shared" si="2298"/>
        <v>43435</v>
      </c>
      <c r="F14041" s="2">
        <f t="shared" si="2299"/>
        <v>44926</v>
      </c>
    </row>
    <row r="14042" spans="1:6" x14ac:dyDescent="0.25">
      <c r="A14042" s="1" t="s">
        <v>59</v>
      </c>
      <c r="B14042" s="1" t="s">
        <v>1132</v>
      </c>
      <c r="C14042" s="1" t="s">
        <v>819</v>
      </c>
      <c r="D14042" s="3">
        <f t="shared" si="2297"/>
        <v>8406</v>
      </c>
      <c r="E14042" s="2">
        <f t="shared" si="2298"/>
        <v>43435</v>
      </c>
      <c r="F14042" s="2">
        <f t="shared" si="2299"/>
        <v>44926</v>
      </c>
    </row>
    <row r="14043" spans="1:6" x14ac:dyDescent="0.25">
      <c r="A14043" s="1" t="s">
        <v>59</v>
      </c>
      <c r="B14043" s="1" t="s">
        <v>1132</v>
      </c>
      <c r="C14043" s="1" t="s">
        <v>820</v>
      </c>
      <c r="D14043" s="3">
        <f t="shared" si="2297"/>
        <v>8406</v>
      </c>
      <c r="E14043" s="2">
        <f t="shared" si="2298"/>
        <v>43435</v>
      </c>
      <c r="F14043" s="2">
        <f t="shared" si="2299"/>
        <v>44926</v>
      </c>
    </row>
    <row r="14044" spans="1:6" x14ac:dyDescent="0.25">
      <c r="A14044" s="1" t="s">
        <v>59</v>
      </c>
      <c r="B14044" s="1" t="s">
        <v>1132</v>
      </c>
      <c r="C14044" s="1" t="s">
        <v>821</v>
      </c>
      <c r="D14044" s="3">
        <f t="shared" si="2297"/>
        <v>8406</v>
      </c>
      <c r="E14044" s="2">
        <f t="shared" si="2298"/>
        <v>43435</v>
      </c>
      <c r="F14044" s="2">
        <f t="shared" si="2299"/>
        <v>44926</v>
      </c>
    </row>
    <row r="14045" spans="1:6" x14ac:dyDescent="0.25">
      <c r="A14045" s="1" t="s">
        <v>59</v>
      </c>
      <c r="B14045" s="1" t="s">
        <v>1132</v>
      </c>
      <c r="C14045" s="1" t="s">
        <v>822</v>
      </c>
      <c r="D14045" s="3">
        <f t="shared" si="2297"/>
        <v>8406</v>
      </c>
      <c r="E14045" s="2">
        <f t="shared" si="2298"/>
        <v>43435</v>
      </c>
      <c r="F14045" s="2">
        <f t="shared" si="2299"/>
        <v>44926</v>
      </c>
    </row>
    <row r="14046" spans="1:6" x14ac:dyDescent="0.25">
      <c r="A14046" s="1" t="s">
        <v>59</v>
      </c>
      <c r="B14046" s="1" t="s">
        <v>1132</v>
      </c>
      <c r="C14046" s="1" t="s">
        <v>825</v>
      </c>
      <c r="D14046" s="3">
        <f t="shared" si="2297"/>
        <v>8406</v>
      </c>
      <c r="E14046" s="2">
        <f t="shared" si="2298"/>
        <v>43435</v>
      </c>
      <c r="F14046" s="2">
        <f t="shared" si="2299"/>
        <v>44926</v>
      </c>
    </row>
    <row r="14047" spans="1:6" x14ac:dyDescent="0.25">
      <c r="A14047" s="1" t="s">
        <v>59</v>
      </c>
      <c r="B14047" s="1" t="s">
        <v>1132</v>
      </c>
      <c r="C14047" s="1" t="s">
        <v>823</v>
      </c>
      <c r="D14047" s="3">
        <f t="shared" si="2297"/>
        <v>8406</v>
      </c>
      <c r="E14047" s="2">
        <f t="shared" si="2298"/>
        <v>43435</v>
      </c>
      <c r="F14047" s="2">
        <f t="shared" si="2299"/>
        <v>44926</v>
      </c>
    </row>
    <row r="14048" spans="1:6" x14ac:dyDescent="0.25">
      <c r="A14048" s="1" t="s">
        <v>59</v>
      </c>
      <c r="B14048" s="1" t="s">
        <v>1132</v>
      </c>
      <c r="C14048" s="1" t="s">
        <v>824</v>
      </c>
      <c r="D14048" s="3">
        <f t="shared" si="2297"/>
        <v>8406</v>
      </c>
      <c r="E14048" s="2">
        <f t="shared" si="2298"/>
        <v>43435</v>
      </c>
      <c r="F14048" s="2">
        <f t="shared" si="2299"/>
        <v>44926</v>
      </c>
    </row>
    <row r="14049" spans="1:6" x14ac:dyDescent="0.25">
      <c r="A14049" s="1" t="s">
        <v>59</v>
      </c>
      <c r="B14049" s="1" t="s">
        <v>1132</v>
      </c>
      <c r="C14049" s="1" t="s">
        <v>826</v>
      </c>
      <c r="D14049" s="3">
        <f t="shared" si="2297"/>
        <v>8406</v>
      </c>
      <c r="E14049" s="2">
        <f t="shared" si="2298"/>
        <v>43435</v>
      </c>
      <c r="F14049" s="2">
        <f t="shared" si="2299"/>
        <v>44926</v>
      </c>
    </row>
    <row r="14050" spans="1:6" x14ac:dyDescent="0.25">
      <c r="A14050" s="1" t="s">
        <v>59</v>
      </c>
      <c r="B14050" s="1" t="s">
        <v>1132</v>
      </c>
      <c r="C14050" s="1" t="s">
        <v>827</v>
      </c>
      <c r="D14050" s="3">
        <f t="shared" si="2297"/>
        <v>8406</v>
      </c>
      <c r="E14050" s="2">
        <f t="shared" si="2298"/>
        <v>43435</v>
      </c>
      <c r="F14050" s="2">
        <f t="shared" si="2299"/>
        <v>44926</v>
      </c>
    </row>
    <row r="14051" spans="1:6" x14ac:dyDescent="0.25">
      <c r="A14051" s="1" t="s">
        <v>59</v>
      </c>
      <c r="B14051" s="1" t="s">
        <v>1132</v>
      </c>
      <c r="C14051" s="1" t="s">
        <v>829</v>
      </c>
      <c r="D14051" s="3">
        <f t="shared" si="2297"/>
        <v>8406</v>
      </c>
      <c r="E14051" s="2">
        <f t="shared" si="2298"/>
        <v>43435</v>
      </c>
      <c r="F14051" s="2">
        <f t="shared" si="2299"/>
        <v>44926</v>
      </c>
    </row>
    <row r="14052" spans="1:6" x14ac:dyDescent="0.25">
      <c r="A14052" s="1" t="s">
        <v>59</v>
      </c>
      <c r="B14052" s="1" t="s">
        <v>1132</v>
      </c>
      <c r="C14052" s="1" t="s">
        <v>828</v>
      </c>
      <c r="D14052" s="3">
        <f t="shared" si="2297"/>
        <v>8406</v>
      </c>
      <c r="E14052" s="2">
        <f t="shared" si="2298"/>
        <v>43435</v>
      </c>
      <c r="F14052" s="2">
        <f t="shared" si="2299"/>
        <v>44926</v>
      </c>
    </row>
    <row r="14053" spans="1:6" x14ac:dyDescent="0.25">
      <c r="A14053" s="1" t="s">
        <v>59</v>
      </c>
      <c r="B14053" s="1" t="s">
        <v>1132</v>
      </c>
      <c r="C14053" s="1" t="s">
        <v>830</v>
      </c>
      <c r="D14053" s="3">
        <f t="shared" si="2297"/>
        <v>8406</v>
      </c>
      <c r="E14053" s="2">
        <f t="shared" si="2298"/>
        <v>43435</v>
      </c>
      <c r="F14053" s="2">
        <f t="shared" si="2299"/>
        <v>44926</v>
      </c>
    </row>
    <row r="14054" spans="1:6" x14ac:dyDescent="0.25">
      <c r="A14054" s="1" t="s">
        <v>59</v>
      </c>
      <c r="B14054" s="1" t="s">
        <v>1084</v>
      </c>
      <c r="C14054" s="1" t="s">
        <v>1092</v>
      </c>
      <c r="D14054" s="3">
        <f t="shared" ref="D14054:D14063" si="2300">VALUE("8370")</f>
        <v>8370</v>
      </c>
      <c r="E14054" s="2">
        <f t="shared" ref="E14054:E14063" si="2301">DATEVALUE("1-9-2018")</f>
        <v>43344</v>
      </c>
      <c r="F14054" s="2">
        <f t="shared" ref="F14054:F14063" si="2302">DATEVALUE("31-8-2025")</f>
        <v>45900</v>
      </c>
    </row>
    <row r="14055" spans="1:6" x14ac:dyDescent="0.25">
      <c r="A14055" s="1" t="s">
        <v>59</v>
      </c>
      <c r="B14055" s="1" t="s">
        <v>1084</v>
      </c>
      <c r="C14055" s="1" t="s">
        <v>1085</v>
      </c>
      <c r="D14055" s="3">
        <f t="shared" si="2300"/>
        <v>8370</v>
      </c>
      <c r="E14055" s="2">
        <f t="shared" si="2301"/>
        <v>43344</v>
      </c>
      <c r="F14055" s="2">
        <f t="shared" si="2302"/>
        <v>45900</v>
      </c>
    </row>
    <row r="14056" spans="1:6" x14ac:dyDescent="0.25">
      <c r="A14056" s="1" t="s">
        <v>59</v>
      </c>
      <c r="B14056" s="1" t="s">
        <v>1084</v>
      </c>
      <c r="C14056" s="1" t="s">
        <v>1086</v>
      </c>
      <c r="D14056" s="3">
        <f t="shared" si="2300"/>
        <v>8370</v>
      </c>
      <c r="E14056" s="2">
        <f t="shared" si="2301"/>
        <v>43344</v>
      </c>
      <c r="F14056" s="2">
        <f t="shared" si="2302"/>
        <v>45900</v>
      </c>
    </row>
    <row r="14057" spans="1:6" x14ac:dyDescent="0.25">
      <c r="A14057" s="1" t="s">
        <v>59</v>
      </c>
      <c r="B14057" s="1" t="s">
        <v>1084</v>
      </c>
      <c r="C14057" s="1" t="s">
        <v>1087</v>
      </c>
      <c r="D14057" s="3">
        <f t="shared" si="2300"/>
        <v>8370</v>
      </c>
      <c r="E14057" s="2">
        <f t="shared" si="2301"/>
        <v>43344</v>
      </c>
      <c r="F14057" s="2">
        <f t="shared" si="2302"/>
        <v>45900</v>
      </c>
    </row>
    <row r="14058" spans="1:6" x14ac:dyDescent="0.25">
      <c r="A14058" s="1" t="s">
        <v>59</v>
      </c>
      <c r="B14058" s="1" t="s">
        <v>1084</v>
      </c>
      <c r="C14058" s="1" t="s">
        <v>1088</v>
      </c>
      <c r="D14058" s="3">
        <f t="shared" si="2300"/>
        <v>8370</v>
      </c>
      <c r="E14058" s="2">
        <f t="shared" si="2301"/>
        <v>43344</v>
      </c>
      <c r="F14058" s="2">
        <f t="shared" si="2302"/>
        <v>45900</v>
      </c>
    </row>
    <row r="14059" spans="1:6" x14ac:dyDescent="0.25">
      <c r="A14059" s="1" t="s">
        <v>59</v>
      </c>
      <c r="B14059" s="1" t="s">
        <v>1084</v>
      </c>
      <c r="C14059" s="1" t="s">
        <v>1089</v>
      </c>
      <c r="D14059" s="3">
        <f t="shared" si="2300"/>
        <v>8370</v>
      </c>
      <c r="E14059" s="2">
        <f t="shared" si="2301"/>
        <v>43344</v>
      </c>
      <c r="F14059" s="2">
        <f t="shared" si="2302"/>
        <v>45900</v>
      </c>
    </row>
    <row r="14060" spans="1:6" x14ac:dyDescent="0.25">
      <c r="A14060" s="1" t="s">
        <v>59</v>
      </c>
      <c r="B14060" s="1" t="s">
        <v>1084</v>
      </c>
      <c r="C14060" s="1" t="s">
        <v>146</v>
      </c>
      <c r="D14060" s="3">
        <f t="shared" si="2300"/>
        <v>8370</v>
      </c>
      <c r="E14060" s="2">
        <f t="shared" si="2301"/>
        <v>43344</v>
      </c>
      <c r="F14060" s="2">
        <f t="shared" si="2302"/>
        <v>45900</v>
      </c>
    </row>
    <row r="14061" spans="1:6" x14ac:dyDescent="0.25">
      <c r="A14061" s="1" t="s">
        <v>59</v>
      </c>
      <c r="B14061" s="1" t="s">
        <v>1084</v>
      </c>
      <c r="C14061" s="1" t="s">
        <v>400</v>
      </c>
      <c r="D14061" s="3">
        <f t="shared" si="2300"/>
        <v>8370</v>
      </c>
      <c r="E14061" s="2">
        <f t="shared" si="2301"/>
        <v>43344</v>
      </c>
      <c r="F14061" s="2">
        <f t="shared" si="2302"/>
        <v>45900</v>
      </c>
    </row>
    <row r="14062" spans="1:6" x14ac:dyDescent="0.25">
      <c r="A14062" s="1" t="s">
        <v>59</v>
      </c>
      <c r="B14062" s="1" t="s">
        <v>1084</v>
      </c>
      <c r="C14062" s="1" t="s">
        <v>1090</v>
      </c>
      <c r="D14062" s="3">
        <f t="shared" si="2300"/>
        <v>8370</v>
      </c>
      <c r="E14062" s="2">
        <f t="shared" si="2301"/>
        <v>43344</v>
      </c>
      <c r="F14062" s="2">
        <f t="shared" si="2302"/>
        <v>45900</v>
      </c>
    </row>
    <row r="14063" spans="1:6" x14ac:dyDescent="0.25">
      <c r="A14063" s="1" t="s">
        <v>59</v>
      </c>
      <c r="B14063" s="1" t="s">
        <v>1084</v>
      </c>
      <c r="C14063" s="1" t="s">
        <v>1091</v>
      </c>
      <c r="D14063" s="3">
        <f t="shared" si="2300"/>
        <v>8370</v>
      </c>
      <c r="E14063" s="2">
        <f t="shared" si="2301"/>
        <v>43344</v>
      </c>
      <c r="F14063" s="2">
        <f t="shared" si="2302"/>
        <v>45900</v>
      </c>
    </row>
    <row r="14064" spans="1:6" x14ac:dyDescent="0.25">
      <c r="A14064" s="1" t="s">
        <v>59</v>
      </c>
      <c r="B14064" s="1" t="s">
        <v>1030</v>
      </c>
      <c r="C14064" s="1" t="s">
        <v>10</v>
      </c>
      <c r="D14064" s="3">
        <f t="shared" ref="D14064:D14078" si="2303">VALUE("8308")</f>
        <v>8308</v>
      </c>
      <c r="E14064" s="2">
        <f t="shared" ref="E14064:E14078" si="2304">DATEVALUE("1-8-2018")</f>
        <v>43313</v>
      </c>
      <c r="F14064" s="2">
        <f t="shared" ref="F14064:F14078" si="2305">DATEVALUE("31-3-2021")</f>
        <v>44286</v>
      </c>
    </row>
    <row r="14065" spans="1:6" x14ac:dyDescent="0.25">
      <c r="A14065" s="1" t="s">
        <v>59</v>
      </c>
      <c r="B14065" s="1" t="s">
        <v>1030</v>
      </c>
      <c r="C14065" s="1" t="s">
        <v>138</v>
      </c>
      <c r="D14065" s="3">
        <f t="shared" si="2303"/>
        <v>8308</v>
      </c>
      <c r="E14065" s="2">
        <f t="shared" si="2304"/>
        <v>43313</v>
      </c>
      <c r="F14065" s="2">
        <f t="shared" si="2305"/>
        <v>44286</v>
      </c>
    </row>
    <row r="14066" spans="1:6" x14ac:dyDescent="0.25">
      <c r="A14066" s="1" t="s">
        <v>59</v>
      </c>
      <c r="B14066" s="1" t="s">
        <v>1030</v>
      </c>
      <c r="C14066" s="1" t="s">
        <v>413</v>
      </c>
      <c r="D14066" s="3">
        <f t="shared" si="2303"/>
        <v>8308</v>
      </c>
      <c r="E14066" s="2">
        <f t="shared" si="2304"/>
        <v>43313</v>
      </c>
      <c r="F14066" s="2">
        <f t="shared" si="2305"/>
        <v>44286</v>
      </c>
    </row>
    <row r="14067" spans="1:6" x14ac:dyDescent="0.25">
      <c r="A14067" s="1" t="s">
        <v>59</v>
      </c>
      <c r="B14067" s="1" t="s">
        <v>1030</v>
      </c>
      <c r="C14067" s="1" t="s">
        <v>184</v>
      </c>
      <c r="D14067" s="3">
        <f t="shared" si="2303"/>
        <v>8308</v>
      </c>
      <c r="E14067" s="2">
        <f t="shared" si="2304"/>
        <v>43313</v>
      </c>
      <c r="F14067" s="2">
        <f t="shared" si="2305"/>
        <v>44286</v>
      </c>
    </row>
    <row r="14068" spans="1:6" x14ac:dyDescent="0.25">
      <c r="A14068" s="1" t="s">
        <v>59</v>
      </c>
      <c r="B14068" s="1" t="s">
        <v>1030</v>
      </c>
      <c r="C14068" s="1" t="s">
        <v>14</v>
      </c>
      <c r="D14068" s="3">
        <f t="shared" si="2303"/>
        <v>8308</v>
      </c>
      <c r="E14068" s="2">
        <f t="shared" si="2304"/>
        <v>43313</v>
      </c>
      <c r="F14068" s="2">
        <f t="shared" si="2305"/>
        <v>44286</v>
      </c>
    </row>
    <row r="14069" spans="1:6" x14ac:dyDescent="0.25">
      <c r="A14069" s="1" t="s">
        <v>59</v>
      </c>
      <c r="B14069" s="1" t="s">
        <v>1030</v>
      </c>
      <c r="C14069" s="1" t="s">
        <v>17</v>
      </c>
      <c r="D14069" s="3">
        <f t="shared" si="2303"/>
        <v>8308</v>
      </c>
      <c r="E14069" s="2">
        <f t="shared" si="2304"/>
        <v>43313</v>
      </c>
      <c r="F14069" s="2">
        <f t="shared" si="2305"/>
        <v>44286</v>
      </c>
    </row>
    <row r="14070" spans="1:6" x14ac:dyDescent="0.25">
      <c r="A14070" s="1" t="s">
        <v>59</v>
      </c>
      <c r="B14070" s="1" t="s">
        <v>1030</v>
      </c>
      <c r="C14070" s="1" t="s">
        <v>22</v>
      </c>
      <c r="D14070" s="3">
        <f t="shared" si="2303"/>
        <v>8308</v>
      </c>
      <c r="E14070" s="2">
        <f t="shared" si="2304"/>
        <v>43313</v>
      </c>
      <c r="F14070" s="2">
        <f t="shared" si="2305"/>
        <v>44286</v>
      </c>
    </row>
    <row r="14071" spans="1:6" x14ac:dyDescent="0.25">
      <c r="A14071" s="1" t="s">
        <v>59</v>
      </c>
      <c r="B14071" s="1" t="s">
        <v>1030</v>
      </c>
      <c r="C14071" s="1" t="s">
        <v>146</v>
      </c>
      <c r="D14071" s="3">
        <f t="shared" si="2303"/>
        <v>8308</v>
      </c>
      <c r="E14071" s="2">
        <f t="shared" si="2304"/>
        <v>43313</v>
      </c>
      <c r="F14071" s="2">
        <f t="shared" si="2305"/>
        <v>44286</v>
      </c>
    </row>
    <row r="14072" spans="1:6" x14ac:dyDescent="0.25">
      <c r="A14072" s="1" t="s">
        <v>59</v>
      </c>
      <c r="B14072" s="1" t="s">
        <v>1030</v>
      </c>
      <c r="C14072" s="1" t="s">
        <v>92</v>
      </c>
      <c r="D14072" s="3">
        <f t="shared" si="2303"/>
        <v>8308</v>
      </c>
      <c r="E14072" s="2">
        <f t="shared" si="2304"/>
        <v>43313</v>
      </c>
      <c r="F14072" s="2">
        <f t="shared" si="2305"/>
        <v>44286</v>
      </c>
    </row>
    <row r="14073" spans="1:6" x14ac:dyDescent="0.25">
      <c r="A14073" s="1" t="s">
        <v>59</v>
      </c>
      <c r="B14073" s="1" t="s">
        <v>1030</v>
      </c>
      <c r="C14073" s="1" t="s">
        <v>24</v>
      </c>
      <c r="D14073" s="3">
        <f t="shared" si="2303"/>
        <v>8308</v>
      </c>
      <c r="E14073" s="2">
        <f t="shared" si="2304"/>
        <v>43313</v>
      </c>
      <c r="F14073" s="2">
        <f t="shared" si="2305"/>
        <v>44286</v>
      </c>
    </row>
    <row r="14074" spans="1:6" x14ac:dyDescent="0.25">
      <c r="A14074" s="1" t="s">
        <v>59</v>
      </c>
      <c r="B14074" s="1" t="s">
        <v>1030</v>
      </c>
      <c r="C14074" s="1" t="s">
        <v>70</v>
      </c>
      <c r="D14074" s="3">
        <f t="shared" si="2303"/>
        <v>8308</v>
      </c>
      <c r="E14074" s="2">
        <f t="shared" si="2304"/>
        <v>43313</v>
      </c>
      <c r="F14074" s="2">
        <f t="shared" si="2305"/>
        <v>44286</v>
      </c>
    </row>
    <row r="14075" spans="1:6" x14ac:dyDescent="0.25">
      <c r="A14075" s="1" t="s">
        <v>59</v>
      </c>
      <c r="B14075" s="1" t="s">
        <v>1030</v>
      </c>
      <c r="C14075" s="1" t="s">
        <v>303</v>
      </c>
      <c r="D14075" s="3">
        <f t="shared" si="2303"/>
        <v>8308</v>
      </c>
      <c r="E14075" s="2">
        <f t="shared" si="2304"/>
        <v>43313</v>
      </c>
      <c r="F14075" s="2">
        <f t="shared" si="2305"/>
        <v>44286</v>
      </c>
    </row>
    <row r="14076" spans="1:6" x14ac:dyDescent="0.25">
      <c r="A14076" s="1" t="s">
        <v>59</v>
      </c>
      <c r="B14076" s="1" t="s">
        <v>1030</v>
      </c>
      <c r="C14076" s="1" t="s">
        <v>423</v>
      </c>
      <c r="D14076" s="3">
        <f t="shared" si="2303"/>
        <v>8308</v>
      </c>
      <c r="E14076" s="2">
        <f t="shared" si="2304"/>
        <v>43313</v>
      </c>
      <c r="F14076" s="2">
        <f t="shared" si="2305"/>
        <v>44286</v>
      </c>
    </row>
    <row r="14077" spans="1:6" x14ac:dyDescent="0.25">
      <c r="A14077" s="1" t="s">
        <v>59</v>
      </c>
      <c r="B14077" s="1" t="s">
        <v>1030</v>
      </c>
      <c r="C14077" s="1" t="s">
        <v>34</v>
      </c>
      <c r="D14077" s="3">
        <f t="shared" si="2303"/>
        <v>8308</v>
      </c>
      <c r="E14077" s="2">
        <f t="shared" si="2304"/>
        <v>43313</v>
      </c>
      <c r="F14077" s="2">
        <f t="shared" si="2305"/>
        <v>44286</v>
      </c>
    </row>
    <row r="14078" spans="1:6" x14ac:dyDescent="0.25">
      <c r="A14078" s="1" t="s">
        <v>59</v>
      </c>
      <c r="B14078" s="1" t="s">
        <v>1030</v>
      </c>
      <c r="C14078" s="1" t="s">
        <v>36</v>
      </c>
      <c r="D14078" s="3">
        <f t="shared" si="2303"/>
        <v>8308</v>
      </c>
      <c r="E14078" s="2">
        <f t="shared" si="2304"/>
        <v>43313</v>
      </c>
      <c r="F14078" s="2">
        <f t="shared" si="2305"/>
        <v>44286</v>
      </c>
    </row>
    <row r="14079" spans="1:6" x14ac:dyDescent="0.25">
      <c r="A14079" s="1" t="s">
        <v>59</v>
      </c>
      <c r="B14079" s="1" t="s">
        <v>840</v>
      </c>
      <c r="C14079" s="1" t="s">
        <v>361</v>
      </c>
      <c r="D14079" s="3">
        <f t="shared" ref="D14079:D14096" si="2306">VALUE("8065")</f>
        <v>8065</v>
      </c>
      <c r="E14079" s="2">
        <f t="shared" ref="E14079:E14096" si="2307">DATEVALUE("1-7-2017")</f>
        <v>42917</v>
      </c>
      <c r="F14079" s="2">
        <f t="shared" ref="F14079:F14117" si="2308">DATEVALUE("31-12-2020")</f>
        <v>44196</v>
      </c>
    </row>
    <row r="14080" spans="1:6" x14ac:dyDescent="0.25">
      <c r="A14080" s="1" t="s">
        <v>59</v>
      </c>
      <c r="B14080" s="1" t="s">
        <v>840</v>
      </c>
      <c r="C14080" s="1" t="s">
        <v>12</v>
      </c>
      <c r="D14080" s="3">
        <f t="shared" si="2306"/>
        <v>8065</v>
      </c>
      <c r="E14080" s="2">
        <f t="shared" si="2307"/>
        <v>42917</v>
      </c>
      <c r="F14080" s="2">
        <f t="shared" si="2308"/>
        <v>44196</v>
      </c>
    </row>
    <row r="14081" spans="1:6" x14ac:dyDescent="0.25">
      <c r="A14081" s="1" t="s">
        <v>59</v>
      </c>
      <c r="B14081" s="1" t="s">
        <v>840</v>
      </c>
      <c r="C14081" s="1" t="s">
        <v>61</v>
      </c>
      <c r="D14081" s="3">
        <f t="shared" si="2306"/>
        <v>8065</v>
      </c>
      <c r="E14081" s="2">
        <f t="shared" si="2307"/>
        <v>42917</v>
      </c>
      <c r="F14081" s="2">
        <f t="shared" si="2308"/>
        <v>44196</v>
      </c>
    </row>
    <row r="14082" spans="1:6" x14ac:dyDescent="0.25">
      <c r="A14082" s="1" t="s">
        <v>59</v>
      </c>
      <c r="B14082" s="1" t="s">
        <v>840</v>
      </c>
      <c r="C14082" s="1" t="s">
        <v>15</v>
      </c>
      <c r="D14082" s="3">
        <f t="shared" si="2306"/>
        <v>8065</v>
      </c>
      <c r="E14082" s="2">
        <f t="shared" si="2307"/>
        <v>42917</v>
      </c>
      <c r="F14082" s="2">
        <f t="shared" si="2308"/>
        <v>44196</v>
      </c>
    </row>
    <row r="14083" spans="1:6" x14ac:dyDescent="0.25">
      <c r="A14083" s="1" t="s">
        <v>59</v>
      </c>
      <c r="B14083" s="1" t="s">
        <v>840</v>
      </c>
      <c r="C14083" s="1" t="s">
        <v>89</v>
      </c>
      <c r="D14083" s="3">
        <f t="shared" si="2306"/>
        <v>8065</v>
      </c>
      <c r="E14083" s="2">
        <f t="shared" si="2307"/>
        <v>42917</v>
      </c>
      <c r="F14083" s="2">
        <f t="shared" si="2308"/>
        <v>44196</v>
      </c>
    </row>
    <row r="14084" spans="1:6" x14ac:dyDescent="0.25">
      <c r="A14084" s="1" t="s">
        <v>59</v>
      </c>
      <c r="B14084" s="1" t="s">
        <v>840</v>
      </c>
      <c r="C14084" s="1" t="s">
        <v>17</v>
      </c>
      <c r="D14084" s="3">
        <f t="shared" si="2306"/>
        <v>8065</v>
      </c>
      <c r="E14084" s="2">
        <f t="shared" si="2307"/>
        <v>42917</v>
      </c>
      <c r="F14084" s="2">
        <f t="shared" si="2308"/>
        <v>44196</v>
      </c>
    </row>
    <row r="14085" spans="1:6" x14ac:dyDescent="0.25">
      <c r="A14085" s="1" t="s">
        <v>59</v>
      </c>
      <c r="B14085" s="1" t="s">
        <v>840</v>
      </c>
      <c r="C14085" s="1" t="s">
        <v>150</v>
      </c>
      <c r="D14085" s="3">
        <f t="shared" si="2306"/>
        <v>8065</v>
      </c>
      <c r="E14085" s="2">
        <f t="shared" si="2307"/>
        <v>42917</v>
      </c>
      <c r="F14085" s="2">
        <f t="shared" si="2308"/>
        <v>44196</v>
      </c>
    </row>
    <row r="14086" spans="1:6" x14ac:dyDescent="0.25">
      <c r="A14086" s="1" t="s">
        <v>59</v>
      </c>
      <c r="B14086" s="1" t="s">
        <v>840</v>
      </c>
      <c r="C14086" s="1" t="s">
        <v>128</v>
      </c>
      <c r="D14086" s="3">
        <f t="shared" si="2306"/>
        <v>8065</v>
      </c>
      <c r="E14086" s="2">
        <f t="shared" si="2307"/>
        <v>42917</v>
      </c>
      <c r="F14086" s="2">
        <f t="shared" si="2308"/>
        <v>44196</v>
      </c>
    </row>
    <row r="14087" spans="1:6" x14ac:dyDescent="0.25">
      <c r="A14087" s="1" t="s">
        <v>59</v>
      </c>
      <c r="B14087" s="1" t="s">
        <v>840</v>
      </c>
      <c r="C14087" s="1" t="s">
        <v>93</v>
      </c>
      <c r="D14087" s="3">
        <f t="shared" si="2306"/>
        <v>8065</v>
      </c>
      <c r="E14087" s="2">
        <f t="shared" si="2307"/>
        <v>42917</v>
      </c>
      <c r="F14087" s="2">
        <f t="shared" si="2308"/>
        <v>44196</v>
      </c>
    </row>
    <row r="14088" spans="1:6" x14ac:dyDescent="0.25">
      <c r="A14088" s="1" t="s">
        <v>59</v>
      </c>
      <c r="B14088" s="1" t="s">
        <v>840</v>
      </c>
      <c r="C14088" s="1" t="s">
        <v>94</v>
      </c>
      <c r="D14088" s="3">
        <f t="shared" si="2306"/>
        <v>8065</v>
      </c>
      <c r="E14088" s="2">
        <f t="shared" si="2307"/>
        <v>42917</v>
      </c>
      <c r="F14088" s="2">
        <f t="shared" si="2308"/>
        <v>44196</v>
      </c>
    </row>
    <row r="14089" spans="1:6" x14ac:dyDescent="0.25">
      <c r="A14089" s="1" t="s">
        <v>59</v>
      </c>
      <c r="B14089" s="1" t="s">
        <v>840</v>
      </c>
      <c r="C14089" s="1" t="s">
        <v>494</v>
      </c>
      <c r="D14089" s="3">
        <f t="shared" si="2306"/>
        <v>8065</v>
      </c>
      <c r="E14089" s="2">
        <f t="shared" si="2307"/>
        <v>42917</v>
      </c>
      <c r="F14089" s="2">
        <f t="shared" si="2308"/>
        <v>44196</v>
      </c>
    </row>
    <row r="14090" spans="1:6" x14ac:dyDescent="0.25">
      <c r="A14090" s="1" t="s">
        <v>59</v>
      </c>
      <c r="B14090" s="1" t="s">
        <v>840</v>
      </c>
      <c r="C14090" s="1" t="s">
        <v>421</v>
      </c>
      <c r="D14090" s="3">
        <f t="shared" si="2306"/>
        <v>8065</v>
      </c>
      <c r="E14090" s="2">
        <f t="shared" si="2307"/>
        <v>42917</v>
      </c>
      <c r="F14090" s="2">
        <f t="shared" si="2308"/>
        <v>44196</v>
      </c>
    </row>
    <row r="14091" spans="1:6" x14ac:dyDescent="0.25">
      <c r="A14091" s="1" t="s">
        <v>59</v>
      </c>
      <c r="B14091" s="1" t="s">
        <v>840</v>
      </c>
      <c r="C14091" s="1" t="s">
        <v>495</v>
      </c>
      <c r="D14091" s="3">
        <f t="shared" si="2306"/>
        <v>8065</v>
      </c>
      <c r="E14091" s="2">
        <f t="shared" si="2307"/>
        <v>42917</v>
      </c>
      <c r="F14091" s="2">
        <f t="shared" si="2308"/>
        <v>44196</v>
      </c>
    </row>
    <row r="14092" spans="1:6" x14ac:dyDescent="0.25">
      <c r="A14092" s="1" t="s">
        <v>59</v>
      </c>
      <c r="B14092" s="1" t="s">
        <v>840</v>
      </c>
      <c r="C14092" s="1" t="s">
        <v>73</v>
      </c>
      <c r="D14092" s="3">
        <f t="shared" si="2306"/>
        <v>8065</v>
      </c>
      <c r="E14092" s="2">
        <f t="shared" si="2307"/>
        <v>42917</v>
      </c>
      <c r="F14092" s="2">
        <f t="shared" si="2308"/>
        <v>44196</v>
      </c>
    </row>
    <row r="14093" spans="1:6" x14ac:dyDescent="0.25">
      <c r="A14093" s="1" t="s">
        <v>59</v>
      </c>
      <c r="B14093" s="1" t="s">
        <v>840</v>
      </c>
      <c r="C14093" s="1" t="s">
        <v>52</v>
      </c>
      <c r="D14093" s="3">
        <f t="shared" si="2306"/>
        <v>8065</v>
      </c>
      <c r="E14093" s="2">
        <f t="shared" si="2307"/>
        <v>42917</v>
      </c>
      <c r="F14093" s="2">
        <f t="shared" si="2308"/>
        <v>44196</v>
      </c>
    </row>
    <row r="14094" spans="1:6" x14ac:dyDescent="0.25">
      <c r="A14094" s="1" t="s">
        <v>59</v>
      </c>
      <c r="B14094" s="1" t="s">
        <v>840</v>
      </c>
      <c r="C14094" s="1" t="s">
        <v>160</v>
      </c>
      <c r="D14094" s="3">
        <f t="shared" si="2306"/>
        <v>8065</v>
      </c>
      <c r="E14094" s="2">
        <f t="shared" si="2307"/>
        <v>42917</v>
      </c>
      <c r="F14094" s="2">
        <f t="shared" si="2308"/>
        <v>44196</v>
      </c>
    </row>
    <row r="14095" spans="1:6" x14ac:dyDescent="0.25">
      <c r="A14095" s="1" t="s">
        <v>59</v>
      </c>
      <c r="B14095" s="1" t="s">
        <v>840</v>
      </c>
      <c r="C14095" s="1" t="s">
        <v>169</v>
      </c>
      <c r="D14095" s="3">
        <f t="shared" si="2306"/>
        <v>8065</v>
      </c>
      <c r="E14095" s="2">
        <f t="shared" si="2307"/>
        <v>42917</v>
      </c>
      <c r="F14095" s="2">
        <f t="shared" si="2308"/>
        <v>44196</v>
      </c>
    </row>
    <row r="14096" spans="1:6" x14ac:dyDescent="0.25">
      <c r="A14096" s="1" t="s">
        <v>59</v>
      </c>
      <c r="B14096" s="1" t="s">
        <v>840</v>
      </c>
      <c r="C14096" s="1" t="s">
        <v>170</v>
      </c>
      <c r="D14096" s="3">
        <f t="shared" si="2306"/>
        <v>8065</v>
      </c>
      <c r="E14096" s="2">
        <f t="shared" si="2307"/>
        <v>42917</v>
      </c>
      <c r="F14096" s="2">
        <f t="shared" si="2308"/>
        <v>44196</v>
      </c>
    </row>
    <row r="14097" spans="1:6" x14ac:dyDescent="0.25">
      <c r="A14097" s="1" t="s">
        <v>59</v>
      </c>
      <c r="B14097" s="1" t="s">
        <v>786</v>
      </c>
      <c r="C14097" s="1" t="s">
        <v>375</v>
      </c>
      <c r="D14097" s="3">
        <f t="shared" ref="D14097:D14117" si="2309">VALUE("7999")</f>
        <v>7999</v>
      </c>
      <c r="E14097" s="2">
        <f t="shared" ref="E14097:E14117" si="2310">DATEVALUE("1-12-2016")</f>
        <v>42705</v>
      </c>
      <c r="F14097" s="2">
        <f t="shared" si="2308"/>
        <v>44196</v>
      </c>
    </row>
    <row r="14098" spans="1:6" x14ac:dyDescent="0.25">
      <c r="A14098" s="1" t="s">
        <v>59</v>
      </c>
      <c r="B14098" s="1" t="s">
        <v>786</v>
      </c>
      <c r="C14098" s="1" t="s">
        <v>63</v>
      </c>
      <c r="D14098" s="3">
        <f t="shared" si="2309"/>
        <v>7999</v>
      </c>
      <c r="E14098" s="2">
        <f t="shared" si="2310"/>
        <v>42705</v>
      </c>
      <c r="F14098" s="2">
        <f t="shared" si="2308"/>
        <v>44196</v>
      </c>
    </row>
    <row r="14099" spans="1:6" x14ac:dyDescent="0.25">
      <c r="A14099" s="1" t="s">
        <v>59</v>
      </c>
      <c r="B14099" s="1" t="s">
        <v>786</v>
      </c>
      <c r="C14099" s="1" t="s">
        <v>14</v>
      </c>
      <c r="D14099" s="3">
        <f t="shared" si="2309"/>
        <v>7999</v>
      </c>
      <c r="E14099" s="2">
        <f t="shared" si="2310"/>
        <v>42705</v>
      </c>
      <c r="F14099" s="2">
        <f t="shared" si="2308"/>
        <v>44196</v>
      </c>
    </row>
    <row r="14100" spans="1:6" x14ac:dyDescent="0.25">
      <c r="A14100" s="1" t="s">
        <v>59</v>
      </c>
      <c r="B14100" s="1" t="s">
        <v>786</v>
      </c>
      <c r="C14100" s="1" t="s">
        <v>15</v>
      </c>
      <c r="D14100" s="3">
        <f t="shared" si="2309"/>
        <v>7999</v>
      </c>
      <c r="E14100" s="2">
        <f t="shared" si="2310"/>
        <v>42705</v>
      </c>
      <c r="F14100" s="2">
        <f t="shared" si="2308"/>
        <v>44196</v>
      </c>
    </row>
    <row r="14101" spans="1:6" x14ac:dyDescent="0.25">
      <c r="A14101" s="1" t="s">
        <v>59</v>
      </c>
      <c r="B14101" s="1" t="s">
        <v>786</v>
      </c>
      <c r="C14101" s="1" t="s">
        <v>17</v>
      </c>
      <c r="D14101" s="3">
        <f t="shared" si="2309"/>
        <v>7999</v>
      </c>
      <c r="E14101" s="2">
        <f t="shared" si="2310"/>
        <v>42705</v>
      </c>
      <c r="F14101" s="2">
        <f t="shared" si="2308"/>
        <v>44196</v>
      </c>
    </row>
    <row r="14102" spans="1:6" x14ac:dyDescent="0.25">
      <c r="A14102" s="1" t="s">
        <v>59</v>
      </c>
      <c r="B14102" s="1" t="s">
        <v>786</v>
      </c>
      <c r="C14102" s="1" t="s">
        <v>127</v>
      </c>
      <c r="D14102" s="3">
        <f t="shared" si="2309"/>
        <v>7999</v>
      </c>
      <c r="E14102" s="2">
        <f t="shared" si="2310"/>
        <v>42705</v>
      </c>
      <c r="F14102" s="2">
        <f t="shared" si="2308"/>
        <v>44196</v>
      </c>
    </row>
    <row r="14103" spans="1:6" x14ac:dyDescent="0.25">
      <c r="A14103" s="1" t="s">
        <v>59</v>
      </c>
      <c r="B14103" s="1" t="s">
        <v>786</v>
      </c>
      <c r="C14103" s="1" t="s">
        <v>488</v>
      </c>
      <c r="D14103" s="3">
        <f t="shared" si="2309"/>
        <v>7999</v>
      </c>
      <c r="E14103" s="2">
        <f t="shared" si="2310"/>
        <v>42705</v>
      </c>
      <c r="F14103" s="2">
        <f t="shared" si="2308"/>
        <v>44196</v>
      </c>
    </row>
    <row r="14104" spans="1:6" x14ac:dyDescent="0.25">
      <c r="A14104" s="1" t="s">
        <v>59</v>
      </c>
      <c r="B14104" s="1" t="s">
        <v>786</v>
      </c>
      <c r="C14104" s="1" t="s">
        <v>47</v>
      </c>
      <c r="D14104" s="3">
        <f t="shared" si="2309"/>
        <v>7999</v>
      </c>
      <c r="E14104" s="2">
        <f t="shared" si="2310"/>
        <v>42705</v>
      </c>
      <c r="F14104" s="2">
        <f t="shared" si="2308"/>
        <v>44196</v>
      </c>
    </row>
    <row r="14105" spans="1:6" x14ac:dyDescent="0.25">
      <c r="A14105" s="1" t="s">
        <v>59</v>
      </c>
      <c r="B14105" s="1" t="s">
        <v>786</v>
      </c>
      <c r="C14105" s="1" t="s">
        <v>22</v>
      </c>
      <c r="D14105" s="3">
        <f t="shared" si="2309"/>
        <v>7999</v>
      </c>
      <c r="E14105" s="2">
        <f t="shared" si="2310"/>
        <v>42705</v>
      </c>
      <c r="F14105" s="2">
        <f t="shared" si="2308"/>
        <v>44196</v>
      </c>
    </row>
    <row r="14106" spans="1:6" x14ac:dyDescent="0.25">
      <c r="A14106" s="1" t="s">
        <v>59</v>
      </c>
      <c r="B14106" s="1" t="s">
        <v>786</v>
      </c>
      <c r="C14106" s="1" t="s">
        <v>148</v>
      </c>
      <c r="D14106" s="3">
        <f t="shared" si="2309"/>
        <v>7999</v>
      </c>
      <c r="E14106" s="2">
        <f t="shared" si="2310"/>
        <v>42705</v>
      </c>
      <c r="F14106" s="2">
        <f t="shared" si="2308"/>
        <v>44196</v>
      </c>
    </row>
    <row r="14107" spans="1:6" x14ac:dyDescent="0.25">
      <c r="A14107" s="1" t="s">
        <v>59</v>
      </c>
      <c r="B14107" s="1" t="s">
        <v>786</v>
      </c>
      <c r="C14107" s="1" t="s">
        <v>92</v>
      </c>
      <c r="D14107" s="3">
        <f t="shared" si="2309"/>
        <v>7999</v>
      </c>
      <c r="E14107" s="2">
        <f t="shared" si="2310"/>
        <v>42705</v>
      </c>
      <c r="F14107" s="2">
        <f t="shared" si="2308"/>
        <v>44196</v>
      </c>
    </row>
    <row r="14108" spans="1:6" x14ac:dyDescent="0.25">
      <c r="A14108" s="1" t="s">
        <v>59</v>
      </c>
      <c r="B14108" s="1" t="s">
        <v>786</v>
      </c>
      <c r="C14108" s="1" t="s">
        <v>787</v>
      </c>
      <c r="D14108" s="3">
        <f t="shared" si="2309"/>
        <v>7999</v>
      </c>
      <c r="E14108" s="2">
        <f t="shared" si="2310"/>
        <v>42705</v>
      </c>
      <c r="F14108" s="2">
        <f t="shared" si="2308"/>
        <v>44196</v>
      </c>
    </row>
    <row r="14109" spans="1:6" x14ac:dyDescent="0.25">
      <c r="A14109" s="1" t="s">
        <v>59</v>
      </c>
      <c r="B14109" s="1" t="s">
        <v>786</v>
      </c>
      <c r="C14109" s="1" t="s">
        <v>24</v>
      </c>
      <c r="D14109" s="3">
        <f t="shared" si="2309"/>
        <v>7999</v>
      </c>
      <c r="E14109" s="2">
        <f t="shared" si="2310"/>
        <v>42705</v>
      </c>
      <c r="F14109" s="2">
        <f t="shared" si="2308"/>
        <v>44196</v>
      </c>
    </row>
    <row r="14110" spans="1:6" x14ac:dyDescent="0.25">
      <c r="A14110" s="1" t="s">
        <v>59</v>
      </c>
      <c r="B14110" s="1" t="s">
        <v>786</v>
      </c>
      <c r="C14110" s="1" t="s">
        <v>26</v>
      </c>
      <c r="D14110" s="3">
        <f t="shared" si="2309"/>
        <v>7999</v>
      </c>
      <c r="E14110" s="2">
        <f t="shared" si="2310"/>
        <v>42705</v>
      </c>
      <c r="F14110" s="2">
        <f t="shared" si="2308"/>
        <v>44196</v>
      </c>
    </row>
    <row r="14111" spans="1:6" x14ac:dyDescent="0.25">
      <c r="A14111" s="1" t="s">
        <v>59</v>
      </c>
      <c r="B14111" s="1" t="s">
        <v>786</v>
      </c>
      <c r="C14111" s="1" t="s">
        <v>72</v>
      </c>
      <c r="D14111" s="3">
        <f t="shared" si="2309"/>
        <v>7999</v>
      </c>
      <c r="E14111" s="2">
        <f t="shared" si="2310"/>
        <v>42705</v>
      </c>
      <c r="F14111" s="2">
        <f t="shared" si="2308"/>
        <v>44196</v>
      </c>
    </row>
    <row r="14112" spans="1:6" x14ac:dyDescent="0.25">
      <c r="A14112" s="1" t="s">
        <v>59</v>
      </c>
      <c r="B14112" s="1" t="s">
        <v>786</v>
      </c>
      <c r="C14112" s="1" t="s">
        <v>73</v>
      </c>
      <c r="D14112" s="3">
        <f t="shared" si="2309"/>
        <v>7999</v>
      </c>
      <c r="E14112" s="2">
        <f t="shared" si="2310"/>
        <v>42705</v>
      </c>
      <c r="F14112" s="2">
        <f t="shared" si="2308"/>
        <v>44196</v>
      </c>
    </row>
    <row r="14113" spans="1:6" x14ac:dyDescent="0.25">
      <c r="A14113" s="1" t="s">
        <v>59</v>
      </c>
      <c r="B14113" s="1" t="s">
        <v>786</v>
      </c>
      <c r="C14113" s="1" t="s">
        <v>52</v>
      </c>
      <c r="D14113" s="3">
        <f t="shared" si="2309"/>
        <v>7999</v>
      </c>
      <c r="E14113" s="2">
        <f t="shared" si="2310"/>
        <v>42705</v>
      </c>
      <c r="F14113" s="2">
        <f t="shared" si="2308"/>
        <v>44196</v>
      </c>
    </row>
    <row r="14114" spans="1:6" x14ac:dyDescent="0.25">
      <c r="A14114" s="1" t="s">
        <v>59</v>
      </c>
      <c r="B14114" s="1" t="s">
        <v>786</v>
      </c>
      <c r="C14114" s="1" t="s">
        <v>303</v>
      </c>
      <c r="D14114" s="3">
        <f t="shared" si="2309"/>
        <v>7999</v>
      </c>
      <c r="E14114" s="2">
        <f t="shared" si="2310"/>
        <v>42705</v>
      </c>
      <c r="F14114" s="2">
        <f t="shared" si="2308"/>
        <v>44196</v>
      </c>
    </row>
    <row r="14115" spans="1:6" x14ac:dyDescent="0.25">
      <c r="A14115" s="1" t="s">
        <v>59</v>
      </c>
      <c r="B14115" s="1" t="s">
        <v>786</v>
      </c>
      <c r="C14115" s="1" t="s">
        <v>479</v>
      </c>
      <c r="D14115" s="3">
        <f t="shared" si="2309"/>
        <v>7999</v>
      </c>
      <c r="E14115" s="2">
        <f t="shared" si="2310"/>
        <v>42705</v>
      </c>
      <c r="F14115" s="2">
        <f t="shared" si="2308"/>
        <v>44196</v>
      </c>
    </row>
    <row r="14116" spans="1:6" x14ac:dyDescent="0.25">
      <c r="A14116" s="1" t="s">
        <v>59</v>
      </c>
      <c r="B14116" s="1" t="s">
        <v>786</v>
      </c>
      <c r="C14116" s="1" t="s">
        <v>34</v>
      </c>
      <c r="D14116" s="3">
        <f t="shared" si="2309"/>
        <v>7999</v>
      </c>
      <c r="E14116" s="2">
        <f t="shared" si="2310"/>
        <v>42705</v>
      </c>
      <c r="F14116" s="2">
        <f t="shared" si="2308"/>
        <v>44196</v>
      </c>
    </row>
    <row r="14117" spans="1:6" x14ac:dyDescent="0.25">
      <c r="A14117" s="1" t="s">
        <v>59</v>
      </c>
      <c r="B14117" s="1" t="s">
        <v>786</v>
      </c>
      <c r="C14117" s="1" t="s">
        <v>133</v>
      </c>
      <c r="D14117" s="3">
        <f t="shared" si="2309"/>
        <v>7999</v>
      </c>
      <c r="E14117" s="2">
        <f t="shared" si="2310"/>
        <v>42705</v>
      </c>
      <c r="F14117" s="2">
        <f t="shared" si="2308"/>
        <v>44196</v>
      </c>
    </row>
    <row r="14118" spans="1:6" x14ac:dyDescent="0.25">
      <c r="A14118" s="1" t="s">
        <v>59</v>
      </c>
      <c r="B14118" s="1" t="s">
        <v>1747</v>
      </c>
      <c r="C14118" s="1" t="s">
        <v>45</v>
      </c>
      <c r="D14118" s="3">
        <f t="shared" ref="D14118:D14123" si="2311">VALUE("7840")</f>
        <v>7840</v>
      </c>
      <c r="E14118" s="2">
        <f t="shared" ref="E14118:E14123" si="2312">DATEVALUE("1-1-2016")</f>
        <v>42370</v>
      </c>
      <c r="F14118" s="2">
        <f t="shared" ref="F14118:F14123" si="2313">DATEVALUE("31-12-2016")</f>
        <v>42735</v>
      </c>
    </row>
    <row r="14119" spans="1:6" x14ac:dyDescent="0.25">
      <c r="A14119" s="1" t="s">
        <v>59</v>
      </c>
      <c r="B14119" s="1" t="s">
        <v>1747</v>
      </c>
      <c r="C14119" s="1" t="s">
        <v>14</v>
      </c>
      <c r="D14119" s="3">
        <f t="shared" si="2311"/>
        <v>7840</v>
      </c>
      <c r="E14119" s="2">
        <f t="shared" si="2312"/>
        <v>42370</v>
      </c>
      <c r="F14119" s="2">
        <f t="shared" si="2313"/>
        <v>42735</v>
      </c>
    </row>
    <row r="14120" spans="1:6" x14ac:dyDescent="0.25">
      <c r="A14120" s="1" t="s">
        <v>59</v>
      </c>
      <c r="B14120" s="1" t="s">
        <v>1747</v>
      </c>
      <c r="C14120" s="1" t="s">
        <v>17</v>
      </c>
      <c r="D14120" s="3">
        <f t="shared" si="2311"/>
        <v>7840</v>
      </c>
      <c r="E14120" s="2">
        <f t="shared" si="2312"/>
        <v>42370</v>
      </c>
      <c r="F14120" s="2">
        <f t="shared" si="2313"/>
        <v>42735</v>
      </c>
    </row>
    <row r="14121" spans="1:6" x14ac:dyDescent="0.25">
      <c r="A14121" s="1" t="s">
        <v>59</v>
      </c>
      <c r="B14121" s="1" t="s">
        <v>1747</v>
      </c>
      <c r="C14121" s="1" t="s">
        <v>24</v>
      </c>
      <c r="D14121" s="3">
        <f t="shared" si="2311"/>
        <v>7840</v>
      </c>
      <c r="E14121" s="2">
        <f t="shared" si="2312"/>
        <v>42370</v>
      </c>
      <c r="F14121" s="2">
        <f t="shared" si="2313"/>
        <v>42735</v>
      </c>
    </row>
    <row r="14122" spans="1:6" x14ac:dyDescent="0.25">
      <c r="A14122" s="1" t="s">
        <v>59</v>
      </c>
      <c r="B14122" s="1" t="s">
        <v>1747</v>
      </c>
      <c r="C14122" s="1" t="s">
        <v>422</v>
      </c>
      <c r="D14122" s="3">
        <f t="shared" si="2311"/>
        <v>7840</v>
      </c>
      <c r="E14122" s="2">
        <f t="shared" si="2312"/>
        <v>42370</v>
      </c>
      <c r="F14122" s="2">
        <f t="shared" si="2313"/>
        <v>42735</v>
      </c>
    </row>
    <row r="14123" spans="1:6" x14ac:dyDescent="0.25">
      <c r="A14123" s="1" t="s">
        <v>59</v>
      </c>
      <c r="B14123" s="1" t="s">
        <v>1747</v>
      </c>
      <c r="C14123" s="1" t="s">
        <v>34</v>
      </c>
      <c r="D14123" s="3">
        <f t="shared" si="2311"/>
        <v>7840</v>
      </c>
      <c r="E14123" s="2">
        <f t="shared" si="2312"/>
        <v>42370</v>
      </c>
      <c r="F14123" s="2">
        <f t="shared" si="2313"/>
        <v>42735</v>
      </c>
    </row>
    <row r="14124" spans="1:6" x14ac:dyDescent="0.25">
      <c r="A14124" s="1" t="s">
        <v>59</v>
      </c>
      <c r="B14124" s="1" t="s">
        <v>507</v>
      </c>
      <c r="C14124" s="1" t="s">
        <v>469</v>
      </c>
      <c r="D14124" s="3">
        <f t="shared" ref="D14124:D14143" si="2314">VALUE("7692")</f>
        <v>7692</v>
      </c>
      <c r="E14124" s="2">
        <f t="shared" ref="E14124:E14143" si="2315">DATEVALUE("1-1-2015")</f>
        <v>42005</v>
      </c>
      <c r="F14124" s="2">
        <f t="shared" ref="F14124:F14143" si="2316">DATEVALUE("30-6-2021")</f>
        <v>44377</v>
      </c>
    </row>
    <row r="14125" spans="1:6" x14ac:dyDescent="0.25">
      <c r="A14125" s="1" t="s">
        <v>59</v>
      </c>
      <c r="B14125" s="1" t="s">
        <v>507</v>
      </c>
      <c r="C14125" s="1" t="s">
        <v>415</v>
      </c>
      <c r="D14125" s="3">
        <f t="shared" si="2314"/>
        <v>7692</v>
      </c>
      <c r="E14125" s="2">
        <f t="shared" si="2315"/>
        <v>42005</v>
      </c>
      <c r="F14125" s="2">
        <f t="shared" si="2316"/>
        <v>44377</v>
      </c>
    </row>
    <row r="14126" spans="1:6" x14ac:dyDescent="0.25">
      <c r="A14126" s="1" t="s">
        <v>59</v>
      </c>
      <c r="B14126" s="1" t="s">
        <v>507</v>
      </c>
      <c r="C14126" s="1" t="s">
        <v>416</v>
      </c>
      <c r="D14126" s="3">
        <f t="shared" si="2314"/>
        <v>7692</v>
      </c>
      <c r="E14126" s="2">
        <f t="shared" si="2315"/>
        <v>42005</v>
      </c>
      <c r="F14126" s="2">
        <f t="shared" si="2316"/>
        <v>44377</v>
      </c>
    </row>
    <row r="14127" spans="1:6" x14ac:dyDescent="0.25">
      <c r="A14127" s="1" t="s">
        <v>59</v>
      </c>
      <c r="B14127" s="1" t="s">
        <v>507</v>
      </c>
      <c r="C14127" s="1" t="s">
        <v>14</v>
      </c>
      <c r="D14127" s="3">
        <f t="shared" si="2314"/>
        <v>7692</v>
      </c>
      <c r="E14127" s="2">
        <f t="shared" si="2315"/>
        <v>42005</v>
      </c>
      <c r="F14127" s="2">
        <f t="shared" si="2316"/>
        <v>44377</v>
      </c>
    </row>
    <row r="14128" spans="1:6" x14ac:dyDescent="0.25">
      <c r="A14128" s="1" t="s">
        <v>59</v>
      </c>
      <c r="B14128" s="1" t="s">
        <v>507</v>
      </c>
      <c r="C14128" s="1" t="s">
        <v>15</v>
      </c>
      <c r="D14128" s="3">
        <f t="shared" si="2314"/>
        <v>7692</v>
      </c>
      <c r="E14128" s="2">
        <f t="shared" si="2315"/>
        <v>42005</v>
      </c>
      <c r="F14128" s="2">
        <f t="shared" si="2316"/>
        <v>44377</v>
      </c>
    </row>
    <row r="14129" spans="1:6" x14ac:dyDescent="0.25">
      <c r="A14129" s="1" t="s">
        <v>59</v>
      </c>
      <c r="B14129" s="1" t="s">
        <v>507</v>
      </c>
      <c r="C14129" s="1" t="s">
        <v>17</v>
      </c>
      <c r="D14129" s="3">
        <f t="shared" si="2314"/>
        <v>7692</v>
      </c>
      <c r="E14129" s="2">
        <f t="shared" si="2315"/>
        <v>42005</v>
      </c>
      <c r="F14129" s="2">
        <f t="shared" si="2316"/>
        <v>44377</v>
      </c>
    </row>
    <row r="14130" spans="1:6" x14ac:dyDescent="0.25">
      <c r="A14130" s="1" t="s">
        <v>59</v>
      </c>
      <c r="B14130" s="1" t="s">
        <v>507</v>
      </c>
      <c r="C14130" s="1" t="s">
        <v>22</v>
      </c>
      <c r="D14130" s="3">
        <f t="shared" si="2314"/>
        <v>7692</v>
      </c>
      <c r="E14130" s="2">
        <f t="shared" si="2315"/>
        <v>42005</v>
      </c>
      <c r="F14130" s="2">
        <f t="shared" si="2316"/>
        <v>44377</v>
      </c>
    </row>
    <row r="14131" spans="1:6" x14ac:dyDescent="0.25">
      <c r="A14131" s="1" t="s">
        <v>59</v>
      </c>
      <c r="B14131" s="1" t="s">
        <v>507</v>
      </c>
      <c r="C14131" s="1" t="s">
        <v>146</v>
      </c>
      <c r="D14131" s="3">
        <f t="shared" si="2314"/>
        <v>7692</v>
      </c>
      <c r="E14131" s="2">
        <f t="shared" si="2315"/>
        <v>42005</v>
      </c>
      <c r="F14131" s="2">
        <f t="shared" si="2316"/>
        <v>44377</v>
      </c>
    </row>
    <row r="14132" spans="1:6" x14ac:dyDescent="0.25">
      <c r="A14132" s="1" t="s">
        <v>59</v>
      </c>
      <c r="B14132" s="1" t="s">
        <v>507</v>
      </c>
      <c r="C14132" s="1" t="s">
        <v>384</v>
      </c>
      <c r="D14132" s="3">
        <f t="shared" si="2314"/>
        <v>7692</v>
      </c>
      <c r="E14132" s="2">
        <f t="shared" si="2315"/>
        <v>42005</v>
      </c>
      <c r="F14132" s="2">
        <f t="shared" si="2316"/>
        <v>44377</v>
      </c>
    </row>
    <row r="14133" spans="1:6" x14ac:dyDescent="0.25">
      <c r="A14133" s="1" t="s">
        <v>59</v>
      </c>
      <c r="B14133" s="1" t="s">
        <v>507</v>
      </c>
      <c r="C14133" s="1" t="s">
        <v>147</v>
      </c>
      <c r="D14133" s="3">
        <f t="shared" si="2314"/>
        <v>7692</v>
      </c>
      <c r="E14133" s="2">
        <f t="shared" si="2315"/>
        <v>42005</v>
      </c>
      <c r="F14133" s="2">
        <f t="shared" si="2316"/>
        <v>44377</v>
      </c>
    </row>
    <row r="14134" spans="1:6" x14ac:dyDescent="0.25">
      <c r="A14134" s="1" t="s">
        <v>59</v>
      </c>
      <c r="B14134" s="1" t="s">
        <v>507</v>
      </c>
      <c r="C14134" s="1" t="s">
        <v>148</v>
      </c>
      <c r="D14134" s="3">
        <f t="shared" si="2314"/>
        <v>7692</v>
      </c>
      <c r="E14134" s="2">
        <f t="shared" si="2315"/>
        <v>42005</v>
      </c>
      <c r="F14134" s="2">
        <f t="shared" si="2316"/>
        <v>44377</v>
      </c>
    </row>
    <row r="14135" spans="1:6" x14ac:dyDescent="0.25">
      <c r="A14135" s="1" t="s">
        <v>59</v>
      </c>
      <c r="B14135" s="1" t="s">
        <v>507</v>
      </c>
      <c r="C14135" s="1" t="s">
        <v>92</v>
      </c>
      <c r="D14135" s="3">
        <f t="shared" si="2314"/>
        <v>7692</v>
      </c>
      <c r="E14135" s="2">
        <f t="shared" si="2315"/>
        <v>42005</v>
      </c>
      <c r="F14135" s="2">
        <f t="shared" si="2316"/>
        <v>44377</v>
      </c>
    </row>
    <row r="14136" spans="1:6" x14ac:dyDescent="0.25">
      <c r="A14136" s="1" t="s">
        <v>59</v>
      </c>
      <c r="B14136" s="1" t="s">
        <v>507</v>
      </c>
      <c r="C14136" s="1" t="s">
        <v>50</v>
      </c>
      <c r="D14136" s="3">
        <f t="shared" si="2314"/>
        <v>7692</v>
      </c>
      <c r="E14136" s="2">
        <f t="shared" si="2315"/>
        <v>42005</v>
      </c>
      <c r="F14136" s="2">
        <f t="shared" si="2316"/>
        <v>44377</v>
      </c>
    </row>
    <row r="14137" spans="1:6" x14ac:dyDescent="0.25">
      <c r="A14137" s="1" t="s">
        <v>59</v>
      </c>
      <c r="B14137" s="1" t="s">
        <v>507</v>
      </c>
      <c r="C14137" s="1" t="s">
        <v>70</v>
      </c>
      <c r="D14137" s="3">
        <f t="shared" si="2314"/>
        <v>7692</v>
      </c>
      <c r="E14137" s="2">
        <f t="shared" si="2315"/>
        <v>42005</v>
      </c>
      <c r="F14137" s="2">
        <f t="shared" si="2316"/>
        <v>44377</v>
      </c>
    </row>
    <row r="14138" spans="1:6" x14ac:dyDescent="0.25">
      <c r="A14138" s="1" t="s">
        <v>59</v>
      </c>
      <c r="B14138" s="1" t="s">
        <v>507</v>
      </c>
      <c r="C14138" s="1" t="s">
        <v>72</v>
      </c>
      <c r="D14138" s="3">
        <f t="shared" si="2314"/>
        <v>7692</v>
      </c>
      <c r="E14138" s="2">
        <f t="shared" si="2315"/>
        <v>42005</v>
      </c>
      <c r="F14138" s="2">
        <f t="shared" si="2316"/>
        <v>44377</v>
      </c>
    </row>
    <row r="14139" spans="1:6" x14ac:dyDescent="0.25">
      <c r="A14139" s="1" t="s">
        <v>59</v>
      </c>
      <c r="B14139" s="1" t="s">
        <v>507</v>
      </c>
      <c r="C14139" s="1" t="s">
        <v>262</v>
      </c>
      <c r="D14139" s="3">
        <f t="shared" si="2314"/>
        <v>7692</v>
      </c>
      <c r="E14139" s="2">
        <f t="shared" si="2315"/>
        <v>42005</v>
      </c>
      <c r="F14139" s="2">
        <f t="shared" si="2316"/>
        <v>44377</v>
      </c>
    </row>
    <row r="14140" spans="1:6" x14ac:dyDescent="0.25">
      <c r="A14140" s="1" t="s">
        <v>59</v>
      </c>
      <c r="B14140" s="1" t="s">
        <v>507</v>
      </c>
      <c r="C14140" s="1" t="s">
        <v>52</v>
      </c>
      <c r="D14140" s="3">
        <f t="shared" si="2314"/>
        <v>7692</v>
      </c>
      <c r="E14140" s="2">
        <f t="shared" si="2315"/>
        <v>42005</v>
      </c>
      <c r="F14140" s="2">
        <f t="shared" si="2316"/>
        <v>44377</v>
      </c>
    </row>
    <row r="14141" spans="1:6" x14ac:dyDescent="0.25">
      <c r="A14141" s="1" t="s">
        <v>59</v>
      </c>
      <c r="B14141" s="1" t="s">
        <v>507</v>
      </c>
      <c r="C14141" s="1" t="s">
        <v>479</v>
      </c>
      <c r="D14141" s="3">
        <f t="shared" si="2314"/>
        <v>7692</v>
      </c>
      <c r="E14141" s="2">
        <f t="shared" si="2315"/>
        <v>42005</v>
      </c>
      <c r="F14141" s="2">
        <f t="shared" si="2316"/>
        <v>44377</v>
      </c>
    </row>
    <row r="14142" spans="1:6" x14ac:dyDescent="0.25">
      <c r="A14142" s="1" t="s">
        <v>59</v>
      </c>
      <c r="B14142" s="1" t="s">
        <v>507</v>
      </c>
      <c r="C14142" s="1" t="s">
        <v>54</v>
      </c>
      <c r="D14142" s="3">
        <f t="shared" si="2314"/>
        <v>7692</v>
      </c>
      <c r="E14142" s="2">
        <f t="shared" si="2315"/>
        <v>42005</v>
      </c>
      <c r="F14142" s="2">
        <f t="shared" si="2316"/>
        <v>44377</v>
      </c>
    </row>
    <row r="14143" spans="1:6" x14ac:dyDescent="0.25">
      <c r="A14143" s="1" t="s">
        <v>59</v>
      </c>
      <c r="B14143" s="1" t="s">
        <v>507</v>
      </c>
      <c r="C14143" s="1" t="s">
        <v>306</v>
      </c>
      <c r="D14143" s="3">
        <f t="shared" si="2314"/>
        <v>7692</v>
      </c>
      <c r="E14143" s="2">
        <f t="shared" si="2315"/>
        <v>42005</v>
      </c>
      <c r="F14143" s="2">
        <f t="shared" si="2316"/>
        <v>44377</v>
      </c>
    </row>
    <row r="14144" spans="1:6" x14ac:dyDescent="0.25">
      <c r="A14144" s="1" t="s">
        <v>59</v>
      </c>
      <c r="B14144" s="1" t="s">
        <v>1883</v>
      </c>
      <c r="C14144" s="1" t="s">
        <v>615</v>
      </c>
      <c r="D14144" s="3">
        <f t="shared" ref="D14144:D14149" si="2317">VALUE("7235")</f>
        <v>7235</v>
      </c>
      <c r="E14144" s="2">
        <f t="shared" ref="E14144:E14149" si="2318">DATEVALUE("1-9-2011")</f>
        <v>40787</v>
      </c>
      <c r="F14144" s="2">
        <f t="shared" ref="F14144:F14149" si="2319">DATEVALUE("31-8-2013")</f>
        <v>41517</v>
      </c>
    </row>
    <row r="14145" spans="1:6" x14ac:dyDescent="0.25">
      <c r="A14145" s="1" t="s">
        <v>59</v>
      </c>
      <c r="B14145" s="1" t="s">
        <v>1883</v>
      </c>
      <c r="C14145" s="1" t="s">
        <v>86</v>
      </c>
      <c r="D14145" s="3">
        <f t="shared" si="2317"/>
        <v>7235</v>
      </c>
      <c r="E14145" s="2">
        <f t="shared" si="2318"/>
        <v>40787</v>
      </c>
      <c r="F14145" s="2">
        <f t="shared" si="2319"/>
        <v>41517</v>
      </c>
    </row>
    <row r="14146" spans="1:6" x14ac:dyDescent="0.25">
      <c r="A14146" s="1" t="s">
        <v>59</v>
      </c>
      <c r="B14146" s="1" t="s">
        <v>1883</v>
      </c>
      <c r="C14146" s="1" t="s">
        <v>15</v>
      </c>
      <c r="D14146" s="3">
        <f t="shared" si="2317"/>
        <v>7235</v>
      </c>
      <c r="E14146" s="2">
        <f t="shared" si="2318"/>
        <v>40787</v>
      </c>
      <c r="F14146" s="2">
        <f t="shared" si="2319"/>
        <v>41517</v>
      </c>
    </row>
    <row r="14147" spans="1:6" x14ac:dyDescent="0.25">
      <c r="A14147" s="1" t="s">
        <v>59</v>
      </c>
      <c r="B14147" s="1" t="s">
        <v>1883</v>
      </c>
      <c r="C14147" s="1" t="s">
        <v>17</v>
      </c>
      <c r="D14147" s="3">
        <f t="shared" si="2317"/>
        <v>7235</v>
      </c>
      <c r="E14147" s="2">
        <f t="shared" si="2318"/>
        <v>40787</v>
      </c>
      <c r="F14147" s="2">
        <f t="shared" si="2319"/>
        <v>41517</v>
      </c>
    </row>
    <row r="14148" spans="1:6" x14ac:dyDescent="0.25">
      <c r="A14148" s="1" t="s">
        <v>59</v>
      </c>
      <c r="B14148" s="1" t="s">
        <v>1883</v>
      </c>
      <c r="C14148" s="1" t="s">
        <v>73</v>
      </c>
      <c r="D14148" s="3">
        <f t="shared" si="2317"/>
        <v>7235</v>
      </c>
      <c r="E14148" s="2">
        <f t="shared" si="2318"/>
        <v>40787</v>
      </c>
      <c r="F14148" s="2">
        <f t="shared" si="2319"/>
        <v>41517</v>
      </c>
    </row>
    <row r="14149" spans="1:6" x14ac:dyDescent="0.25">
      <c r="A14149" s="1" t="s">
        <v>59</v>
      </c>
      <c r="B14149" s="1" t="s">
        <v>1883</v>
      </c>
      <c r="C14149" s="1" t="s">
        <v>161</v>
      </c>
      <c r="D14149" s="3">
        <f t="shared" si="2317"/>
        <v>7235</v>
      </c>
      <c r="E14149" s="2">
        <f t="shared" si="2318"/>
        <v>40787</v>
      </c>
      <c r="F14149" s="2">
        <f t="shared" si="2319"/>
        <v>41517</v>
      </c>
    </row>
    <row r="14150" spans="1:6" x14ac:dyDescent="0.25">
      <c r="A14150" s="1" t="s">
        <v>59</v>
      </c>
      <c r="B14150" s="1" t="s">
        <v>2529</v>
      </c>
      <c r="C14150" s="1" t="s">
        <v>8</v>
      </c>
      <c r="D14150" s="3">
        <f t="shared" ref="D14150:D14156" si="2320">VALUE("6081")</f>
        <v>6081</v>
      </c>
      <c r="E14150" s="2">
        <f t="shared" ref="E14150:E14156" si="2321">DATEVALUE("1-2-2008")</f>
        <v>39479</v>
      </c>
      <c r="F14150" s="2">
        <f t="shared" ref="F14150:F14156" si="2322">DATEVALUE("30-6-2012")</f>
        <v>41090</v>
      </c>
    </row>
    <row r="14151" spans="1:6" x14ac:dyDescent="0.25">
      <c r="A14151" s="1" t="s">
        <v>59</v>
      </c>
      <c r="B14151" s="1" t="s">
        <v>2529</v>
      </c>
      <c r="C14151" s="1" t="s">
        <v>10</v>
      </c>
      <c r="D14151" s="3">
        <f t="shared" si="2320"/>
        <v>6081</v>
      </c>
      <c r="E14151" s="2">
        <f t="shared" si="2321"/>
        <v>39479</v>
      </c>
      <c r="F14151" s="2">
        <f t="shared" si="2322"/>
        <v>41090</v>
      </c>
    </row>
    <row r="14152" spans="1:6" x14ac:dyDescent="0.25">
      <c r="A14152" s="1" t="s">
        <v>59</v>
      </c>
      <c r="B14152" s="1" t="s">
        <v>2529</v>
      </c>
      <c r="C14152" s="1" t="s">
        <v>11</v>
      </c>
      <c r="D14152" s="3">
        <f t="shared" si="2320"/>
        <v>6081</v>
      </c>
      <c r="E14152" s="2">
        <f t="shared" si="2321"/>
        <v>39479</v>
      </c>
      <c r="F14152" s="2">
        <f t="shared" si="2322"/>
        <v>41090</v>
      </c>
    </row>
    <row r="14153" spans="1:6" x14ac:dyDescent="0.25">
      <c r="A14153" s="1" t="s">
        <v>59</v>
      </c>
      <c r="B14153" s="1" t="s">
        <v>2529</v>
      </c>
      <c r="C14153" s="1" t="s">
        <v>12</v>
      </c>
      <c r="D14153" s="3">
        <f t="shared" si="2320"/>
        <v>6081</v>
      </c>
      <c r="E14153" s="2">
        <f t="shared" si="2321"/>
        <v>39479</v>
      </c>
      <c r="F14153" s="2">
        <f t="shared" si="2322"/>
        <v>41090</v>
      </c>
    </row>
    <row r="14154" spans="1:6" x14ac:dyDescent="0.25">
      <c r="A14154" s="1" t="s">
        <v>59</v>
      </c>
      <c r="B14154" s="1" t="s">
        <v>2529</v>
      </c>
      <c r="C14154" s="1" t="s">
        <v>13</v>
      </c>
      <c r="D14154" s="3">
        <f t="shared" si="2320"/>
        <v>6081</v>
      </c>
      <c r="E14154" s="2">
        <f t="shared" si="2321"/>
        <v>39479</v>
      </c>
      <c r="F14154" s="2">
        <f t="shared" si="2322"/>
        <v>41090</v>
      </c>
    </row>
    <row r="14155" spans="1:6" x14ac:dyDescent="0.25">
      <c r="A14155" s="1" t="s">
        <v>59</v>
      </c>
      <c r="B14155" s="1" t="s">
        <v>2529</v>
      </c>
      <c r="C14155" s="1" t="s">
        <v>45</v>
      </c>
      <c r="D14155" s="3">
        <f t="shared" si="2320"/>
        <v>6081</v>
      </c>
      <c r="E14155" s="2">
        <f t="shared" si="2321"/>
        <v>39479</v>
      </c>
      <c r="F14155" s="2">
        <f t="shared" si="2322"/>
        <v>41090</v>
      </c>
    </row>
    <row r="14156" spans="1:6" x14ac:dyDescent="0.25">
      <c r="A14156" s="1" t="s">
        <v>59</v>
      </c>
      <c r="B14156" s="1" t="s">
        <v>2529</v>
      </c>
      <c r="C14156" s="1" t="s">
        <v>32</v>
      </c>
      <c r="D14156" s="3">
        <f t="shared" si="2320"/>
        <v>6081</v>
      </c>
      <c r="E14156" s="2">
        <f t="shared" si="2321"/>
        <v>39479</v>
      </c>
      <c r="F14156" s="2">
        <f t="shared" si="2322"/>
        <v>41090</v>
      </c>
    </row>
    <row r="14157" spans="1:6" x14ac:dyDescent="0.25">
      <c r="A14157" s="1" t="s">
        <v>59</v>
      </c>
      <c r="B14157" s="1" t="s">
        <v>2525</v>
      </c>
      <c r="C14157" s="1" t="s">
        <v>78</v>
      </c>
      <c r="D14157" s="3">
        <f t="shared" ref="D14157:D14179" si="2323">VALUE("6073")</f>
        <v>6073</v>
      </c>
      <c r="E14157" s="2">
        <f t="shared" ref="E14157:E14179" si="2324">DATEVALUE("1-1-2008")</f>
        <v>39448</v>
      </c>
      <c r="F14157" s="2">
        <f t="shared" ref="F14157:F14179" si="2325">DATEVALUE("28-2-2014")</f>
        <v>41698</v>
      </c>
    </row>
    <row r="14158" spans="1:6" x14ac:dyDescent="0.25">
      <c r="A14158" s="1" t="s">
        <v>59</v>
      </c>
      <c r="B14158" s="1" t="s">
        <v>2525</v>
      </c>
      <c r="C14158" s="1" t="s">
        <v>79</v>
      </c>
      <c r="D14158" s="3">
        <f t="shared" si="2323"/>
        <v>6073</v>
      </c>
      <c r="E14158" s="2">
        <f t="shared" si="2324"/>
        <v>39448</v>
      </c>
      <c r="F14158" s="2">
        <f t="shared" si="2325"/>
        <v>41698</v>
      </c>
    </row>
    <row r="14159" spans="1:6" x14ac:dyDescent="0.25">
      <c r="A14159" s="1" t="s">
        <v>59</v>
      </c>
      <c r="B14159" s="1" t="s">
        <v>2525</v>
      </c>
      <c r="C14159" s="1" t="s">
        <v>81</v>
      </c>
      <c r="D14159" s="3">
        <f t="shared" si="2323"/>
        <v>6073</v>
      </c>
      <c r="E14159" s="2">
        <f t="shared" si="2324"/>
        <v>39448</v>
      </c>
      <c r="F14159" s="2">
        <f t="shared" si="2325"/>
        <v>41698</v>
      </c>
    </row>
    <row r="14160" spans="1:6" x14ac:dyDescent="0.25">
      <c r="A14160" s="1" t="s">
        <v>59</v>
      </c>
      <c r="B14160" s="1" t="s">
        <v>2525</v>
      </c>
      <c r="C14160" s="1" t="s">
        <v>60</v>
      </c>
      <c r="D14160" s="3">
        <f t="shared" si="2323"/>
        <v>6073</v>
      </c>
      <c r="E14160" s="2">
        <f t="shared" si="2324"/>
        <v>39448</v>
      </c>
      <c r="F14160" s="2">
        <f t="shared" si="2325"/>
        <v>41698</v>
      </c>
    </row>
    <row r="14161" spans="1:6" x14ac:dyDescent="0.25">
      <c r="A14161" s="1" t="s">
        <v>59</v>
      </c>
      <c r="B14161" s="1" t="s">
        <v>2525</v>
      </c>
      <c r="C14161" s="1" t="s">
        <v>82</v>
      </c>
      <c r="D14161" s="3">
        <f t="shared" si="2323"/>
        <v>6073</v>
      </c>
      <c r="E14161" s="2">
        <f t="shared" si="2324"/>
        <v>39448</v>
      </c>
      <c r="F14161" s="2">
        <f t="shared" si="2325"/>
        <v>41698</v>
      </c>
    </row>
    <row r="14162" spans="1:6" x14ac:dyDescent="0.25">
      <c r="A14162" s="1" t="s">
        <v>59</v>
      </c>
      <c r="B14162" s="1" t="s">
        <v>2525</v>
      </c>
      <c r="C14162" s="1" t="s">
        <v>8</v>
      </c>
      <c r="D14162" s="3">
        <f t="shared" si="2323"/>
        <v>6073</v>
      </c>
      <c r="E14162" s="2">
        <f t="shared" si="2324"/>
        <v>39448</v>
      </c>
      <c r="F14162" s="2">
        <f t="shared" si="2325"/>
        <v>41698</v>
      </c>
    </row>
    <row r="14163" spans="1:6" x14ac:dyDescent="0.25">
      <c r="A14163" s="1" t="s">
        <v>59</v>
      </c>
      <c r="B14163" s="1" t="s">
        <v>2525</v>
      </c>
      <c r="C14163" s="1" t="s">
        <v>10</v>
      </c>
      <c r="D14163" s="3">
        <f t="shared" si="2323"/>
        <v>6073</v>
      </c>
      <c r="E14163" s="2">
        <f t="shared" si="2324"/>
        <v>39448</v>
      </c>
      <c r="F14163" s="2">
        <f t="shared" si="2325"/>
        <v>41698</v>
      </c>
    </row>
    <row r="14164" spans="1:6" x14ac:dyDescent="0.25">
      <c r="A14164" s="1" t="s">
        <v>59</v>
      </c>
      <c r="B14164" s="1" t="s">
        <v>2525</v>
      </c>
      <c r="C14164" s="1" t="s">
        <v>11</v>
      </c>
      <c r="D14164" s="3">
        <f t="shared" si="2323"/>
        <v>6073</v>
      </c>
      <c r="E14164" s="2">
        <f t="shared" si="2324"/>
        <v>39448</v>
      </c>
      <c r="F14164" s="2">
        <f t="shared" si="2325"/>
        <v>41698</v>
      </c>
    </row>
    <row r="14165" spans="1:6" x14ac:dyDescent="0.25">
      <c r="A14165" s="1" t="s">
        <v>59</v>
      </c>
      <c r="B14165" s="1" t="s">
        <v>2525</v>
      </c>
      <c r="C14165" s="1" t="s">
        <v>12</v>
      </c>
      <c r="D14165" s="3">
        <f t="shared" si="2323"/>
        <v>6073</v>
      </c>
      <c r="E14165" s="2">
        <f t="shared" si="2324"/>
        <v>39448</v>
      </c>
      <c r="F14165" s="2">
        <f t="shared" si="2325"/>
        <v>41698</v>
      </c>
    </row>
    <row r="14166" spans="1:6" x14ac:dyDescent="0.25">
      <c r="A14166" s="1" t="s">
        <v>59</v>
      </c>
      <c r="B14166" s="1" t="s">
        <v>2525</v>
      </c>
      <c r="C14166" s="1" t="s">
        <v>83</v>
      </c>
      <c r="D14166" s="3">
        <f t="shared" si="2323"/>
        <v>6073</v>
      </c>
      <c r="E14166" s="2">
        <f t="shared" si="2324"/>
        <v>39448</v>
      </c>
      <c r="F14166" s="2">
        <f t="shared" si="2325"/>
        <v>41698</v>
      </c>
    </row>
    <row r="14167" spans="1:6" x14ac:dyDescent="0.25">
      <c r="A14167" s="1" t="s">
        <v>59</v>
      </c>
      <c r="B14167" s="1" t="s">
        <v>2525</v>
      </c>
      <c r="C14167" s="1" t="s">
        <v>43</v>
      </c>
      <c r="D14167" s="3">
        <f t="shared" si="2323"/>
        <v>6073</v>
      </c>
      <c r="E14167" s="2">
        <f t="shared" si="2324"/>
        <v>39448</v>
      </c>
      <c r="F14167" s="2">
        <f t="shared" si="2325"/>
        <v>41698</v>
      </c>
    </row>
    <row r="14168" spans="1:6" x14ac:dyDescent="0.25">
      <c r="A14168" s="1" t="s">
        <v>59</v>
      </c>
      <c r="B14168" s="1" t="s">
        <v>2525</v>
      </c>
      <c r="C14168" s="1" t="s">
        <v>45</v>
      </c>
      <c r="D14168" s="3">
        <f t="shared" si="2323"/>
        <v>6073</v>
      </c>
      <c r="E14168" s="2">
        <f t="shared" si="2324"/>
        <v>39448</v>
      </c>
      <c r="F14168" s="2">
        <f t="shared" si="2325"/>
        <v>41698</v>
      </c>
    </row>
    <row r="14169" spans="1:6" x14ac:dyDescent="0.25">
      <c r="A14169" s="1" t="s">
        <v>59</v>
      </c>
      <c r="B14169" s="1" t="s">
        <v>2525</v>
      </c>
      <c r="C14169" s="1" t="s">
        <v>2526</v>
      </c>
      <c r="D14169" s="3">
        <f t="shared" si="2323"/>
        <v>6073</v>
      </c>
      <c r="E14169" s="2">
        <f t="shared" si="2324"/>
        <v>39448</v>
      </c>
      <c r="F14169" s="2">
        <f t="shared" si="2325"/>
        <v>41698</v>
      </c>
    </row>
    <row r="14170" spans="1:6" x14ac:dyDescent="0.25">
      <c r="A14170" s="1" t="s">
        <v>59</v>
      </c>
      <c r="B14170" s="1" t="s">
        <v>2525</v>
      </c>
      <c r="C14170" s="1" t="s">
        <v>98</v>
      </c>
      <c r="D14170" s="3">
        <f t="shared" si="2323"/>
        <v>6073</v>
      </c>
      <c r="E14170" s="2">
        <f t="shared" si="2324"/>
        <v>39448</v>
      </c>
      <c r="F14170" s="2">
        <f t="shared" si="2325"/>
        <v>41698</v>
      </c>
    </row>
    <row r="14171" spans="1:6" x14ac:dyDescent="0.25">
      <c r="A14171" s="1" t="s">
        <v>59</v>
      </c>
      <c r="B14171" s="1" t="s">
        <v>2525</v>
      </c>
      <c r="C14171" s="1" t="s">
        <v>99</v>
      </c>
      <c r="D14171" s="3">
        <f t="shared" si="2323"/>
        <v>6073</v>
      </c>
      <c r="E14171" s="2">
        <f t="shared" si="2324"/>
        <v>39448</v>
      </c>
      <c r="F14171" s="2">
        <f t="shared" si="2325"/>
        <v>41698</v>
      </c>
    </row>
    <row r="14172" spans="1:6" x14ac:dyDescent="0.25">
      <c r="A14172" s="1" t="s">
        <v>59</v>
      </c>
      <c r="B14172" s="1" t="s">
        <v>2525</v>
      </c>
      <c r="C14172" s="1" t="s">
        <v>71</v>
      </c>
      <c r="D14172" s="3">
        <f t="shared" si="2323"/>
        <v>6073</v>
      </c>
      <c r="E14172" s="2">
        <f t="shared" si="2324"/>
        <v>39448</v>
      </c>
      <c r="F14172" s="2">
        <f t="shared" si="2325"/>
        <v>41698</v>
      </c>
    </row>
    <row r="14173" spans="1:6" x14ac:dyDescent="0.25">
      <c r="A14173" s="1" t="s">
        <v>59</v>
      </c>
      <c r="B14173" s="1" t="s">
        <v>2525</v>
      </c>
      <c r="C14173" s="1" t="s">
        <v>100</v>
      </c>
      <c r="D14173" s="3">
        <f t="shared" si="2323"/>
        <v>6073</v>
      </c>
      <c r="E14173" s="2">
        <f t="shared" si="2324"/>
        <v>39448</v>
      </c>
      <c r="F14173" s="2">
        <f t="shared" si="2325"/>
        <v>41698</v>
      </c>
    </row>
    <row r="14174" spans="1:6" x14ac:dyDescent="0.25">
      <c r="A14174" s="1" t="s">
        <v>59</v>
      </c>
      <c r="B14174" s="1" t="s">
        <v>2525</v>
      </c>
      <c r="C14174" s="1" t="s">
        <v>105</v>
      </c>
      <c r="D14174" s="3">
        <f t="shared" si="2323"/>
        <v>6073</v>
      </c>
      <c r="E14174" s="2">
        <f t="shared" si="2324"/>
        <v>39448</v>
      </c>
      <c r="F14174" s="2">
        <f t="shared" si="2325"/>
        <v>41698</v>
      </c>
    </row>
    <row r="14175" spans="1:6" x14ac:dyDescent="0.25">
      <c r="A14175" s="1" t="s">
        <v>59</v>
      </c>
      <c r="B14175" s="1" t="s">
        <v>2525</v>
      </c>
      <c r="C14175" s="1" t="s">
        <v>32</v>
      </c>
      <c r="D14175" s="3">
        <f t="shared" si="2323"/>
        <v>6073</v>
      </c>
      <c r="E14175" s="2">
        <f t="shared" si="2324"/>
        <v>39448</v>
      </c>
      <c r="F14175" s="2">
        <f t="shared" si="2325"/>
        <v>41698</v>
      </c>
    </row>
    <row r="14176" spans="1:6" x14ac:dyDescent="0.25">
      <c r="A14176" s="1" t="s">
        <v>59</v>
      </c>
      <c r="B14176" s="1" t="s">
        <v>2525</v>
      </c>
      <c r="C14176" s="1" t="s">
        <v>110</v>
      </c>
      <c r="D14176" s="3">
        <f t="shared" si="2323"/>
        <v>6073</v>
      </c>
      <c r="E14176" s="2">
        <f t="shared" si="2324"/>
        <v>39448</v>
      </c>
      <c r="F14176" s="2">
        <f t="shared" si="2325"/>
        <v>41698</v>
      </c>
    </row>
    <row r="14177" spans="1:6" x14ac:dyDescent="0.25">
      <c r="A14177" s="1" t="s">
        <v>59</v>
      </c>
      <c r="B14177" s="1" t="s">
        <v>2525</v>
      </c>
      <c r="C14177" s="1" t="s">
        <v>33</v>
      </c>
      <c r="D14177" s="3">
        <f t="shared" si="2323"/>
        <v>6073</v>
      </c>
      <c r="E14177" s="2">
        <f t="shared" si="2324"/>
        <v>39448</v>
      </c>
      <c r="F14177" s="2">
        <f t="shared" si="2325"/>
        <v>41698</v>
      </c>
    </row>
    <row r="14178" spans="1:6" x14ac:dyDescent="0.25">
      <c r="A14178" s="1" t="s">
        <v>59</v>
      </c>
      <c r="B14178" s="1" t="s">
        <v>2525</v>
      </c>
      <c r="C14178" s="1" t="s">
        <v>1697</v>
      </c>
      <c r="D14178" s="3">
        <f t="shared" si="2323"/>
        <v>6073</v>
      </c>
      <c r="E14178" s="2">
        <f t="shared" si="2324"/>
        <v>39448</v>
      </c>
      <c r="F14178" s="2">
        <f t="shared" si="2325"/>
        <v>41698</v>
      </c>
    </row>
    <row r="14179" spans="1:6" x14ac:dyDescent="0.25">
      <c r="A14179" s="1" t="s">
        <v>59</v>
      </c>
      <c r="B14179" s="1" t="s">
        <v>2525</v>
      </c>
      <c r="C14179" s="1" t="s">
        <v>36</v>
      </c>
      <c r="D14179" s="3">
        <f t="shared" si="2323"/>
        <v>6073</v>
      </c>
      <c r="E14179" s="2">
        <f t="shared" si="2324"/>
        <v>39448</v>
      </c>
      <c r="F14179" s="2">
        <f t="shared" si="2325"/>
        <v>41698</v>
      </c>
    </row>
    <row r="14180" spans="1:6" x14ac:dyDescent="0.25">
      <c r="A14180" s="1" t="s">
        <v>59</v>
      </c>
      <c r="B14180" s="1" t="s">
        <v>2516</v>
      </c>
      <c r="C14180" s="1" t="s">
        <v>8</v>
      </c>
      <c r="D14180" s="3">
        <f t="shared" ref="D14180:D14189" si="2326">VALUE("6002")</f>
        <v>6002</v>
      </c>
      <c r="E14180" s="2">
        <f t="shared" ref="E14180:E14223" si="2327">DATEVALUE("1-11-2006")</f>
        <v>39022</v>
      </c>
      <c r="F14180" s="2">
        <f t="shared" ref="F14180:F14189" si="2328">DATEVALUE("31-3-2012")</f>
        <v>40999</v>
      </c>
    </row>
    <row r="14181" spans="1:6" x14ac:dyDescent="0.25">
      <c r="A14181" s="1" t="s">
        <v>59</v>
      </c>
      <c r="B14181" s="1" t="s">
        <v>2516</v>
      </c>
      <c r="C14181" s="1" t="s">
        <v>10</v>
      </c>
      <c r="D14181" s="3">
        <f t="shared" si="2326"/>
        <v>6002</v>
      </c>
      <c r="E14181" s="2">
        <f t="shared" si="2327"/>
        <v>39022</v>
      </c>
      <c r="F14181" s="2">
        <f t="shared" si="2328"/>
        <v>40999</v>
      </c>
    </row>
    <row r="14182" spans="1:6" x14ac:dyDescent="0.25">
      <c r="A14182" s="1" t="s">
        <v>59</v>
      </c>
      <c r="B14182" s="1" t="s">
        <v>2516</v>
      </c>
      <c r="C14182" s="1" t="s">
        <v>11</v>
      </c>
      <c r="D14182" s="3">
        <f t="shared" si="2326"/>
        <v>6002</v>
      </c>
      <c r="E14182" s="2">
        <f t="shared" si="2327"/>
        <v>39022</v>
      </c>
      <c r="F14182" s="2">
        <f t="shared" si="2328"/>
        <v>40999</v>
      </c>
    </row>
    <row r="14183" spans="1:6" x14ac:dyDescent="0.25">
      <c r="A14183" s="1" t="s">
        <v>59</v>
      </c>
      <c r="B14183" s="1" t="s">
        <v>2516</v>
      </c>
      <c r="C14183" s="1" t="s">
        <v>12</v>
      </c>
      <c r="D14183" s="3">
        <f t="shared" si="2326"/>
        <v>6002</v>
      </c>
      <c r="E14183" s="2">
        <f t="shared" si="2327"/>
        <v>39022</v>
      </c>
      <c r="F14183" s="2">
        <f t="shared" si="2328"/>
        <v>40999</v>
      </c>
    </row>
    <row r="14184" spans="1:6" x14ac:dyDescent="0.25">
      <c r="A14184" s="1" t="s">
        <v>59</v>
      </c>
      <c r="B14184" s="1" t="s">
        <v>2516</v>
      </c>
      <c r="C14184" s="1" t="s">
        <v>45</v>
      </c>
      <c r="D14184" s="3">
        <f t="shared" si="2326"/>
        <v>6002</v>
      </c>
      <c r="E14184" s="2">
        <f t="shared" si="2327"/>
        <v>39022</v>
      </c>
      <c r="F14184" s="2">
        <f t="shared" si="2328"/>
        <v>40999</v>
      </c>
    </row>
    <row r="14185" spans="1:6" x14ac:dyDescent="0.25">
      <c r="A14185" s="1" t="s">
        <v>59</v>
      </c>
      <c r="B14185" s="1" t="s">
        <v>2516</v>
      </c>
      <c r="C14185" s="1" t="s">
        <v>97</v>
      </c>
      <c r="D14185" s="3">
        <f t="shared" si="2326"/>
        <v>6002</v>
      </c>
      <c r="E14185" s="2">
        <f t="shared" si="2327"/>
        <v>39022</v>
      </c>
      <c r="F14185" s="2">
        <f t="shared" si="2328"/>
        <v>40999</v>
      </c>
    </row>
    <row r="14186" spans="1:6" x14ac:dyDescent="0.25">
      <c r="A14186" s="1" t="s">
        <v>59</v>
      </c>
      <c r="B14186" s="1" t="s">
        <v>2516</v>
      </c>
      <c r="C14186" s="1" t="s">
        <v>32</v>
      </c>
      <c r="D14186" s="3">
        <f t="shared" si="2326"/>
        <v>6002</v>
      </c>
      <c r="E14186" s="2">
        <f t="shared" si="2327"/>
        <v>39022</v>
      </c>
      <c r="F14186" s="2">
        <f t="shared" si="2328"/>
        <v>40999</v>
      </c>
    </row>
    <row r="14187" spans="1:6" x14ac:dyDescent="0.25">
      <c r="A14187" s="1" t="s">
        <v>59</v>
      </c>
      <c r="B14187" s="1" t="s">
        <v>2516</v>
      </c>
      <c r="C14187" s="1" t="s">
        <v>109</v>
      </c>
      <c r="D14187" s="3">
        <f t="shared" si="2326"/>
        <v>6002</v>
      </c>
      <c r="E14187" s="2">
        <f t="shared" si="2327"/>
        <v>39022</v>
      </c>
      <c r="F14187" s="2">
        <f t="shared" si="2328"/>
        <v>40999</v>
      </c>
    </row>
    <row r="14188" spans="1:6" x14ac:dyDescent="0.25">
      <c r="A14188" s="1" t="s">
        <v>59</v>
      </c>
      <c r="B14188" s="1" t="s">
        <v>2516</v>
      </c>
      <c r="C14188" s="1" t="s">
        <v>33</v>
      </c>
      <c r="D14188" s="3">
        <f t="shared" si="2326"/>
        <v>6002</v>
      </c>
      <c r="E14188" s="2">
        <f t="shared" si="2327"/>
        <v>39022</v>
      </c>
      <c r="F14188" s="2">
        <f t="shared" si="2328"/>
        <v>40999</v>
      </c>
    </row>
    <row r="14189" spans="1:6" x14ac:dyDescent="0.25">
      <c r="A14189" s="1" t="s">
        <v>59</v>
      </c>
      <c r="B14189" s="1" t="s">
        <v>2516</v>
      </c>
      <c r="C14189" s="1" t="s">
        <v>36</v>
      </c>
      <c r="D14189" s="3">
        <f t="shared" si="2326"/>
        <v>6002</v>
      </c>
      <c r="E14189" s="2">
        <f t="shared" si="2327"/>
        <v>39022</v>
      </c>
      <c r="F14189" s="2">
        <f t="shared" si="2328"/>
        <v>40999</v>
      </c>
    </row>
    <row r="14190" spans="1:6" x14ac:dyDescent="0.25">
      <c r="A14190" s="1" t="s">
        <v>59</v>
      </c>
      <c r="B14190" s="1" t="s">
        <v>58</v>
      </c>
      <c r="C14190" s="1" t="s">
        <v>60</v>
      </c>
      <c r="D14190" s="3">
        <f t="shared" ref="D14190:D14223" si="2329">VALUE("6003")</f>
        <v>6003</v>
      </c>
      <c r="E14190" s="2">
        <f t="shared" si="2327"/>
        <v>39022</v>
      </c>
      <c r="F14190" s="2">
        <f t="shared" ref="F14190:F14223" si="2330">DATEVALUE("30-6-2025")</f>
        <v>45838</v>
      </c>
    </row>
    <row r="14191" spans="1:6" x14ac:dyDescent="0.25">
      <c r="A14191" s="1" t="s">
        <v>59</v>
      </c>
      <c r="B14191" s="1" t="s">
        <v>58</v>
      </c>
      <c r="C14191" s="1" t="s">
        <v>8</v>
      </c>
      <c r="D14191" s="3">
        <f t="shared" si="2329"/>
        <v>6003</v>
      </c>
      <c r="E14191" s="2">
        <f t="shared" si="2327"/>
        <v>39022</v>
      </c>
      <c r="F14191" s="2">
        <f t="shared" si="2330"/>
        <v>45838</v>
      </c>
    </row>
    <row r="14192" spans="1:6" x14ac:dyDescent="0.25">
      <c r="A14192" s="1" t="s">
        <v>59</v>
      </c>
      <c r="B14192" s="1" t="s">
        <v>58</v>
      </c>
      <c r="C14192" s="1" t="s">
        <v>10</v>
      </c>
      <c r="D14192" s="3">
        <f t="shared" si="2329"/>
        <v>6003</v>
      </c>
      <c r="E14192" s="2">
        <f t="shared" si="2327"/>
        <v>39022</v>
      </c>
      <c r="F14192" s="2">
        <f t="shared" si="2330"/>
        <v>45838</v>
      </c>
    </row>
    <row r="14193" spans="1:6" x14ac:dyDescent="0.25">
      <c r="A14193" s="1" t="s">
        <v>59</v>
      </c>
      <c r="B14193" s="1" t="s">
        <v>58</v>
      </c>
      <c r="C14193" s="1" t="s">
        <v>11</v>
      </c>
      <c r="D14193" s="3">
        <f t="shared" si="2329"/>
        <v>6003</v>
      </c>
      <c r="E14193" s="2">
        <f t="shared" si="2327"/>
        <v>39022</v>
      </c>
      <c r="F14193" s="2">
        <f t="shared" si="2330"/>
        <v>45838</v>
      </c>
    </row>
    <row r="14194" spans="1:6" x14ac:dyDescent="0.25">
      <c r="A14194" s="1" t="s">
        <v>59</v>
      </c>
      <c r="B14194" s="1" t="s">
        <v>58</v>
      </c>
      <c r="C14194" s="1" t="s">
        <v>12</v>
      </c>
      <c r="D14194" s="3">
        <f t="shared" si="2329"/>
        <v>6003</v>
      </c>
      <c r="E14194" s="2">
        <f t="shared" si="2327"/>
        <v>39022</v>
      </c>
      <c r="F14194" s="2">
        <f t="shared" si="2330"/>
        <v>45838</v>
      </c>
    </row>
    <row r="14195" spans="1:6" x14ac:dyDescent="0.25">
      <c r="A14195" s="1" t="s">
        <v>59</v>
      </c>
      <c r="B14195" s="1" t="s">
        <v>58</v>
      </c>
      <c r="C14195" s="1" t="s">
        <v>61</v>
      </c>
      <c r="D14195" s="3">
        <f t="shared" si="2329"/>
        <v>6003</v>
      </c>
      <c r="E14195" s="2">
        <f t="shared" si="2327"/>
        <v>39022</v>
      </c>
      <c r="F14195" s="2">
        <f t="shared" si="2330"/>
        <v>45838</v>
      </c>
    </row>
    <row r="14196" spans="1:6" x14ac:dyDescent="0.25">
      <c r="A14196" s="1" t="s">
        <v>59</v>
      </c>
      <c r="B14196" s="1" t="s">
        <v>58</v>
      </c>
      <c r="C14196" s="1" t="s">
        <v>62</v>
      </c>
      <c r="D14196" s="3">
        <f t="shared" si="2329"/>
        <v>6003</v>
      </c>
      <c r="E14196" s="2">
        <f t="shared" si="2327"/>
        <v>39022</v>
      </c>
      <c r="F14196" s="2">
        <f t="shared" si="2330"/>
        <v>45838</v>
      </c>
    </row>
    <row r="14197" spans="1:6" x14ac:dyDescent="0.25">
      <c r="A14197" s="1" t="s">
        <v>59</v>
      </c>
      <c r="B14197" s="1" t="s">
        <v>58</v>
      </c>
      <c r="C14197" s="1" t="s">
        <v>63</v>
      </c>
      <c r="D14197" s="3">
        <f t="shared" si="2329"/>
        <v>6003</v>
      </c>
      <c r="E14197" s="2">
        <f t="shared" si="2327"/>
        <v>39022</v>
      </c>
      <c r="F14197" s="2">
        <f t="shared" si="2330"/>
        <v>45838</v>
      </c>
    </row>
    <row r="14198" spans="1:6" x14ac:dyDescent="0.25">
      <c r="A14198" s="1" t="s">
        <v>59</v>
      </c>
      <c r="B14198" s="1" t="s">
        <v>58</v>
      </c>
      <c r="C14198" s="1" t="s">
        <v>45</v>
      </c>
      <c r="D14198" s="3">
        <f t="shared" si="2329"/>
        <v>6003</v>
      </c>
      <c r="E14198" s="2">
        <f t="shared" si="2327"/>
        <v>39022</v>
      </c>
      <c r="F14198" s="2">
        <f t="shared" si="2330"/>
        <v>45838</v>
      </c>
    </row>
    <row r="14199" spans="1:6" x14ac:dyDescent="0.25">
      <c r="A14199" s="1" t="s">
        <v>59</v>
      </c>
      <c r="B14199" s="1" t="s">
        <v>58</v>
      </c>
      <c r="C14199" s="1" t="s">
        <v>44</v>
      </c>
      <c r="D14199" s="3">
        <f t="shared" si="2329"/>
        <v>6003</v>
      </c>
      <c r="E14199" s="2">
        <f t="shared" si="2327"/>
        <v>39022</v>
      </c>
      <c r="F14199" s="2">
        <f t="shared" si="2330"/>
        <v>45838</v>
      </c>
    </row>
    <row r="14200" spans="1:6" x14ac:dyDescent="0.25">
      <c r="A14200" s="1" t="s">
        <v>59</v>
      </c>
      <c r="B14200" s="1" t="s">
        <v>58</v>
      </c>
      <c r="C14200" s="1" t="s">
        <v>64</v>
      </c>
      <c r="D14200" s="3">
        <f t="shared" si="2329"/>
        <v>6003</v>
      </c>
      <c r="E14200" s="2">
        <f t="shared" si="2327"/>
        <v>39022</v>
      </c>
      <c r="F14200" s="2">
        <f t="shared" si="2330"/>
        <v>45838</v>
      </c>
    </row>
    <row r="14201" spans="1:6" x14ac:dyDescent="0.25">
      <c r="A14201" s="1" t="s">
        <v>59</v>
      </c>
      <c r="B14201" s="1" t="s">
        <v>58</v>
      </c>
      <c r="C14201" s="1" t="s">
        <v>65</v>
      </c>
      <c r="D14201" s="3">
        <f t="shared" si="2329"/>
        <v>6003</v>
      </c>
      <c r="E14201" s="2">
        <f t="shared" si="2327"/>
        <v>39022</v>
      </c>
      <c r="F14201" s="2">
        <f t="shared" si="2330"/>
        <v>45838</v>
      </c>
    </row>
    <row r="14202" spans="1:6" x14ac:dyDescent="0.25">
      <c r="A14202" s="1" t="s">
        <v>59</v>
      </c>
      <c r="B14202" s="1" t="s">
        <v>58</v>
      </c>
      <c r="C14202" s="1" t="s">
        <v>14</v>
      </c>
      <c r="D14202" s="3">
        <f t="shared" si="2329"/>
        <v>6003</v>
      </c>
      <c r="E14202" s="2">
        <f t="shared" si="2327"/>
        <v>39022</v>
      </c>
      <c r="F14202" s="2">
        <f t="shared" si="2330"/>
        <v>45838</v>
      </c>
    </row>
    <row r="14203" spans="1:6" x14ac:dyDescent="0.25">
      <c r="A14203" s="1" t="s">
        <v>59</v>
      </c>
      <c r="B14203" s="1" t="s">
        <v>58</v>
      </c>
      <c r="C14203" s="1" t="s">
        <v>66</v>
      </c>
      <c r="D14203" s="3">
        <f t="shared" si="2329"/>
        <v>6003</v>
      </c>
      <c r="E14203" s="2">
        <f t="shared" si="2327"/>
        <v>39022</v>
      </c>
      <c r="F14203" s="2">
        <f t="shared" si="2330"/>
        <v>45838</v>
      </c>
    </row>
    <row r="14204" spans="1:6" x14ac:dyDescent="0.25">
      <c r="A14204" s="1" t="s">
        <v>59</v>
      </c>
      <c r="B14204" s="1" t="s">
        <v>58</v>
      </c>
      <c r="C14204" s="1" t="s">
        <v>15</v>
      </c>
      <c r="D14204" s="3">
        <f t="shared" si="2329"/>
        <v>6003</v>
      </c>
      <c r="E14204" s="2">
        <f t="shared" si="2327"/>
        <v>39022</v>
      </c>
      <c r="F14204" s="2">
        <f t="shared" si="2330"/>
        <v>45838</v>
      </c>
    </row>
    <row r="14205" spans="1:6" x14ac:dyDescent="0.25">
      <c r="A14205" s="1" t="s">
        <v>59</v>
      </c>
      <c r="B14205" s="1" t="s">
        <v>58</v>
      </c>
      <c r="C14205" s="1" t="s">
        <v>17</v>
      </c>
      <c r="D14205" s="3">
        <f t="shared" si="2329"/>
        <v>6003</v>
      </c>
      <c r="E14205" s="2">
        <f t="shared" si="2327"/>
        <v>39022</v>
      </c>
      <c r="F14205" s="2">
        <f t="shared" si="2330"/>
        <v>45838</v>
      </c>
    </row>
    <row r="14206" spans="1:6" x14ac:dyDescent="0.25">
      <c r="A14206" s="1" t="s">
        <v>59</v>
      </c>
      <c r="B14206" s="1" t="s">
        <v>58</v>
      </c>
      <c r="C14206" s="1" t="s">
        <v>19</v>
      </c>
      <c r="D14206" s="3">
        <f t="shared" si="2329"/>
        <v>6003</v>
      </c>
      <c r="E14206" s="2">
        <f t="shared" si="2327"/>
        <v>39022</v>
      </c>
      <c r="F14206" s="2">
        <f t="shared" si="2330"/>
        <v>45838</v>
      </c>
    </row>
    <row r="14207" spans="1:6" x14ac:dyDescent="0.25">
      <c r="A14207" s="1" t="s">
        <v>59</v>
      </c>
      <c r="B14207" s="1" t="s">
        <v>58</v>
      </c>
      <c r="C14207" s="1" t="s">
        <v>22</v>
      </c>
      <c r="D14207" s="3">
        <f t="shared" si="2329"/>
        <v>6003</v>
      </c>
      <c r="E14207" s="2">
        <f t="shared" si="2327"/>
        <v>39022</v>
      </c>
      <c r="F14207" s="2">
        <f t="shared" si="2330"/>
        <v>45838</v>
      </c>
    </row>
    <row r="14208" spans="1:6" x14ac:dyDescent="0.25">
      <c r="A14208" s="1" t="s">
        <v>59</v>
      </c>
      <c r="B14208" s="1" t="s">
        <v>58</v>
      </c>
      <c r="C14208" s="1" t="s">
        <v>67</v>
      </c>
      <c r="D14208" s="3">
        <f t="shared" si="2329"/>
        <v>6003</v>
      </c>
      <c r="E14208" s="2">
        <f t="shared" si="2327"/>
        <v>39022</v>
      </c>
      <c r="F14208" s="2">
        <f t="shared" si="2330"/>
        <v>45838</v>
      </c>
    </row>
    <row r="14209" spans="1:6" x14ac:dyDescent="0.25">
      <c r="A14209" s="1" t="s">
        <v>59</v>
      </c>
      <c r="B14209" s="1" t="s">
        <v>58</v>
      </c>
      <c r="C14209" s="1" t="s">
        <v>68</v>
      </c>
      <c r="D14209" s="3">
        <f t="shared" si="2329"/>
        <v>6003</v>
      </c>
      <c r="E14209" s="2">
        <f t="shared" si="2327"/>
        <v>39022</v>
      </c>
      <c r="F14209" s="2">
        <f t="shared" si="2330"/>
        <v>45838</v>
      </c>
    </row>
    <row r="14210" spans="1:6" x14ac:dyDescent="0.25">
      <c r="A14210" s="1" t="s">
        <v>59</v>
      </c>
      <c r="B14210" s="1" t="s">
        <v>58</v>
      </c>
      <c r="C14210" s="1" t="s">
        <v>69</v>
      </c>
      <c r="D14210" s="3">
        <f t="shared" si="2329"/>
        <v>6003</v>
      </c>
      <c r="E14210" s="2">
        <f t="shared" si="2327"/>
        <v>39022</v>
      </c>
      <c r="F14210" s="2">
        <f t="shared" si="2330"/>
        <v>45838</v>
      </c>
    </row>
    <row r="14211" spans="1:6" x14ac:dyDescent="0.25">
      <c r="A14211" s="1" t="s">
        <v>59</v>
      </c>
      <c r="B14211" s="1" t="s">
        <v>58</v>
      </c>
      <c r="C14211" s="1" t="s">
        <v>24</v>
      </c>
      <c r="D14211" s="3">
        <f t="shared" si="2329"/>
        <v>6003</v>
      </c>
      <c r="E14211" s="2">
        <f t="shared" si="2327"/>
        <v>39022</v>
      </c>
      <c r="F14211" s="2">
        <f t="shared" si="2330"/>
        <v>45838</v>
      </c>
    </row>
    <row r="14212" spans="1:6" x14ac:dyDescent="0.25">
      <c r="A14212" s="1" t="s">
        <v>59</v>
      </c>
      <c r="B14212" s="1" t="s">
        <v>58</v>
      </c>
      <c r="C14212" s="1" t="s">
        <v>50</v>
      </c>
      <c r="D14212" s="3">
        <f t="shared" si="2329"/>
        <v>6003</v>
      </c>
      <c r="E14212" s="2">
        <f t="shared" si="2327"/>
        <v>39022</v>
      </c>
      <c r="F14212" s="2">
        <f t="shared" si="2330"/>
        <v>45838</v>
      </c>
    </row>
    <row r="14213" spans="1:6" x14ac:dyDescent="0.25">
      <c r="A14213" s="1" t="s">
        <v>59</v>
      </c>
      <c r="B14213" s="1" t="s">
        <v>58</v>
      </c>
      <c r="C14213" s="1" t="s">
        <v>70</v>
      </c>
      <c r="D14213" s="3">
        <f t="shared" si="2329"/>
        <v>6003</v>
      </c>
      <c r="E14213" s="2">
        <f t="shared" si="2327"/>
        <v>39022</v>
      </c>
      <c r="F14213" s="2">
        <f t="shared" si="2330"/>
        <v>45838</v>
      </c>
    </row>
    <row r="14214" spans="1:6" x14ac:dyDescent="0.25">
      <c r="A14214" s="1" t="s">
        <v>59</v>
      </c>
      <c r="B14214" s="1" t="s">
        <v>58</v>
      </c>
      <c r="C14214" s="1" t="s">
        <v>71</v>
      </c>
      <c r="D14214" s="3">
        <f t="shared" si="2329"/>
        <v>6003</v>
      </c>
      <c r="E14214" s="2">
        <f t="shared" si="2327"/>
        <v>39022</v>
      </c>
      <c r="F14214" s="2">
        <f t="shared" si="2330"/>
        <v>45838</v>
      </c>
    </row>
    <row r="14215" spans="1:6" x14ac:dyDescent="0.25">
      <c r="A14215" s="1" t="s">
        <v>59</v>
      </c>
      <c r="B14215" s="1" t="s">
        <v>58</v>
      </c>
      <c r="C14215" s="1" t="s">
        <v>72</v>
      </c>
      <c r="D14215" s="3">
        <f t="shared" si="2329"/>
        <v>6003</v>
      </c>
      <c r="E14215" s="2">
        <f t="shared" si="2327"/>
        <v>39022</v>
      </c>
      <c r="F14215" s="2">
        <f t="shared" si="2330"/>
        <v>45838</v>
      </c>
    </row>
    <row r="14216" spans="1:6" x14ac:dyDescent="0.25">
      <c r="A14216" s="1" t="s">
        <v>59</v>
      </c>
      <c r="B14216" s="1" t="s">
        <v>58</v>
      </c>
      <c r="C14216" s="1" t="s">
        <v>27</v>
      </c>
      <c r="D14216" s="3">
        <f t="shared" si="2329"/>
        <v>6003</v>
      </c>
      <c r="E14216" s="2">
        <f t="shared" si="2327"/>
        <v>39022</v>
      </c>
      <c r="F14216" s="2">
        <f t="shared" si="2330"/>
        <v>45838</v>
      </c>
    </row>
    <row r="14217" spans="1:6" x14ac:dyDescent="0.25">
      <c r="A14217" s="1" t="s">
        <v>59</v>
      </c>
      <c r="B14217" s="1" t="s">
        <v>58</v>
      </c>
      <c r="C14217" s="1" t="s">
        <v>73</v>
      </c>
      <c r="D14217" s="3">
        <f t="shared" si="2329"/>
        <v>6003</v>
      </c>
      <c r="E14217" s="2">
        <f t="shared" si="2327"/>
        <v>39022</v>
      </c>
      <c r="F14217" s="2">
        <f t="shared" si="2330"/>
        <v>45838</v>
      </c>
    </row>
    <row r="14218" spans="1:6" x14ac:dyDescent="0.25">
      <c r="A14218" s="1" t="s">
        <v>59</v>
      </c>
      <c r="B14218" s="1" t="s">
        <v>58</v>
      </c>
      <c r="C14218" s="1" t="s">
        <v>74</v>
      </c>
      <c r="D14218" s="3">
        <f t="shared" si="2329"/>
        <v>6003</v>
      </c>
      <c r="E14218" s="2">
        <f t="shared" si="2327"/>
        <v>39022</v>
      </c>
      <c r="F14218" s="2">
        <f t="shared" si="2330"/>
        <v>45838</v>
      </c>
    </row>
    <row r="14219" spans="1:6" x14ac:dyDescent="0.25">
      <c r="A14219" s="1" t="s">
        <v>59</v>
      </c>
      <c r="B14219" s="1" t="s">
        <v>58</v>
      </c>
      <c r="C14219" s="1" t="s">
        <v>52</v>
      </c>
      <c r="D14219" s="3">
        <f t="shared" si="2329"/>
        <v>6003</v>
      </c>
      <c r="E14219" s="2">
        <f t="shared" si="2327"/>
        <v>39022</v>
      </c>
      <c r="F14219" s="2">
        <f t="shared" si="2330"/>
        <v>45838</v>
      </c>
    </row>
    <row r="14220" spans="1:6" x14ac:dyDescent="0.25">
      <c r="A14220" s="1" t="s">
        <v>59</v>
      </c>
      <c r="B14220" s="1" t="s">
        <v>58</v>
      </c>
      <c r="C14220" s="1" t="s">
        <v>32</v>
      </c>
      <c r="D14220" s="3">
        <f t="shared" si="2329"/>
        <v>6003</v>
      </c>
      <c r="E14220" s="2">
        <f t="shared" si="2327"/>
        <v>39022</v>
      </c>
      <c r="F14220" s="2">
        <f t="shared" si="2330"/>
        <v>45838</v>
      </c>
    </row>
    <row r="14221" spans="1:6" x14ac:dyDescent="0.25">
      <c r="A14221" s="1" t="s">
        <v>59</v>
      </c>
      <c r="B14221" s="1" t="s">
        <v>58</v>
      </c>
      <c r="C14221" s="1" t="s">
        <v>34</v>
      </c>
      <c r="D14221" s="3">
        <f t="shared" si="2329"/>
        <v>6003</v>
      </c>
      <c r="E14221" s="2">
        <f t="shared" si="2327"/>
        <v>39022</v>
      </c>
      <c r="F14221" s="2">
        <f t="shared" si="2330"/>
        <v>45838</v>
      </c>
    </row>
    <row r="14222" spans="1:6" x14ac:dyDescent="0.25">
      <c r="A14222" s="1" t="s">
        <v>59</v>
      </c>
      <c r="B14222" s="1" t="s">
        <v>58</v>
      </c>
      <c r="C14222" s="1" t="s">
        <v>75</v>
      </c>
      <c r="D14222" s="3">
        <f t="shared" si="2329"/>
        <v>6003</v>
      </c>
      <c r="E14222" s="2">
        <f t="shared" si="2327"/>
        <v>39022</v>
      </c>
      <c r="F14222" s="2">
        <f t="shared" si="2330"/>
        <v>45838</v>
      </c>
    </row>
    <row r="14223" spans="1:6" x14ac:dyDescent="0.25">
      <c r="A14223" s="1" t="s">
        <v>59</v>
      </c>
      <c r="B14223" s="1" t="s">
        <v>58</v>
      </c>
      <c r="C14223" s="1" t="s">
        <v>36</v>
      </c>
      <c r="D14223" s="3">
        <f t="shared" si="2329"/>
        <v>6003</v>
      </c>
      <c r="E14223" s="2">
        <f t="shared" si="2327"/>
        <v>39022</v>
      </c>
      <c r="F14223" s="2">
        <f t="shared" si="2330"/>
        <v>45838</v>
      </c>
    </row>
    <row r="14224" spans="1:6" x14ac:dyDescent="0.25">
      <c r="A14224" s="1" t="s">
        <v>687</v>
      </c>
      <c r="B14224" s="1" t="s">
        <v>686</v>
      </c>
      <c r="C14224" s="1" t="s">
        <v>252</v>
      </c>
      <c r="D14224" s="3">
        <f>VALUE("7886")</f>
        <v>7886</v>
      </c>
      <c r="E14224" s="2">
        <f>DATEVALUE("1-6-2016")</f>
        <v>42522</v>
      </c>
      <c r="F14224" s="2">
        <f>DATEVALUE("31-3-2021")</f>
        <v>44286</v>
      </c>
    </row>
    <row r="14225" spans="1:6" x14ac:dyDescent="0.25">
      <c r="A14225" s="1" t="s">
        <v>687</v>
      </c>
      <c r="B14225" s="1" t="s">
        <v>2778</v>
      </c>
      <c r="C14225" s="1" t="s">
        <v>506</v>
      </c>
      <c r="D14225" s="3">
        <f t="shared" ref="D14225:D14248" si="2331">VALUE("7707")</f>
        <v>7707</v>
      </c>
      <c r="E14225" s="2">
        <f t="shared" ref="E14225:E14248" si="2332">DATEVALUE("1-3-2015")</f>
        <v>42064</v>
      </c>
      <c r="F14225" s="2">
        <f t="shared" ref="F14225:F14248" si="2333">DATEVALUE("31-8-2020")</f>
        <v>44074</v>
      </c>
    </row>
    <row r="14226" spans="1:6" x14ac:dyDescent="0.25">
      <c r="A14226" s="1" t="s">
        <v>687</v>
      </c>
      <c r="B14226" s="1" t="s">
        <v>2778</v>
      </c>
      <c r="C14226" s="1" t="s">
        <v>8</v>
      </c>
      <c r="D14226" s="3">
        <f t="shared" si="2331"/>
        <v>7707</v>
      </c>
      <c r="E14226" s="2">
        <f t="shared" si="2332"/>
        <v>42064</v>
      </c>
      <c r="F14226" s="2">
        <f t="shared" si="2333"/>
        <v>44074</v>
      </c>
    </row>
    <row r="14227" spans="1:6" x14ac:dyDescent="0.25">
      <c r="A14227" s="1" t="s">
        <v>687</v>
      </c>
      <c r="B14227" s="1" t="s">
        <v>2778</v>
      </c>
      <c r="C14227" s="1" t="s">
        <v>10</v>
      </c>
      <c r="D14227" s="3">
        <f t="shared" si="2331"/>
        <v>7707</v>
      </c>
      <c r="E14227" s="2">
        <f t="shared" si="2332"/>
        <v>42064</v>
      </c>
      <c r="F14227" s="2">
        <f t="shared" si="2333"/>
        <v>44074</v>
      </c>
    </row>
    <row r="14228" spans="1:6" x14ac:dyDescent="0.25">
      <c r="A14228" s="1" t="s">
        <v>687</v>
      </c>
      <c r="B14228" s="1" t="s">
        <v>2778</v>
      </c>
      <c r="C14228" s="1" t="s">
        <v>289</v>
      </c>
      <c r="D14228" s="3">
        <f t="shared" si="2331"/>
        <v>7707</v>
      </c>
      <c r="E14228" s="2">
        <f t="shared" si="2332"/>
        <v>42064</v>
      </c>
      <c r="F14228" s="2">
        <f t="shared" si="2333"/>
        <v>44074</v>
      </c>
    </row>
    <row r="14229" spans="1:6" x14ac:dyDescent="0.25">
      <c r="A14229" s="1" t="s">
        <v>687</v>
      </c>
      <c r="B14229" s="1" t="s">
        <v>2778</v>
      </c>
      <c r="C14229" s="1" t="s">
        <v>62</v>
      </c>
      <c r="D14229" s="3">
        <f t="shared" si="2331"/>
        <v>7707</v>
      </c>
      <c r="E14229" s="2">
        <f t="shared" si="2332"/>
        <v>42064</v>
      </c>
      <c r="F14229" s="2">
        <f t="shared" si="2333"/>
        <v>44074</v>
      </c>
    </row>
    <row r="14230" spans="1:6" x14ac:dyDescent="0.25">
      <c r="A14230" s="1" t="s">
        <v>687</v>
      </c>
      <c r="B14230" s="1" t="s">
        <v>2778</v>
      </c>
      <c r="C14230" s="1" t="s">
        <v>63</v>
      </c>
      <c r="D14230" s="3">
        <f t="shared" si="2331"/>
        <v>7707</v>
      </c>
      <c r="E14230" s="2">
        <f t="shared" si="2332"/>
        <v>42064</v>
      </c>
      <c r="F14230" s="2">
        <f t="shared" si="2333"/>
        <v>44074</v>
      </c>
    </row>
    <row r="14231" spans="1:6" x14ac:dyDescent="0.25">
      <c r="A14231" s="1" t="s">
        <v>687</v>
      </c>
      <c r="B14231" s="1" t="s">
        <v>2778</v>
      </c>
      <c r="C14231" s="1" t="s">
        <v>414</v>
      </c>
      <c r="D14231" s="3">
        <f t="shared" si="2331"/>
        <v>7707</v>
      </c>
      <c r="E14231" s="2">
        <f t="shared" si="2332"/>
        <v>42064</v>
      </c>
      <c r="F14231" s="2">
        <f t="shared" si="2333"/>
        <v>44074</v>
      </c>
    </row>
    <row r="14232" spans="1:6" x14ac:dyDescent="0.25">
      <c r="A14232" s="1" t="s">
        <v>687</v>
      </c>
      <c r="B14232" s="1" t="s">
        <v>2778</v>
      </c>
      <c r="C14232" s="1" t="s">
        <v>415</v>
      </c>
      <c r="D14232" s="3">
        <f t="shared" si="2331"/>
        <v>7707</v>
      </c>
      <c r="E14232" s="2">
        <f t="shared" si="2332"/>
        <v>42064</v>
      </c>
      <c r="F14232" s="2">
        <f t="shared" si="2333"/>
        <v>44074</v>
      </c>
    </row>
    <row r="14233" spans="1:6" x14ac:dyDescent="0.25">
      <c r="A14233" s="1" t="s">
        <v>687</v>
      </c>
      <c r="B14233" s="1" t="s">
        <v>2778</v>
      </c>
      <c r="C14233" s="1" t="s">
        <v>65</v>
      </c>
      <c r="D14233" s="3">
        <f t="shared" si="2331"/>
        <v>7707</v>
      </c>
      <c r="E14233" s="2">
        <f t="shared" si="2332"/>
        <v>42064</v>
      </c>
      <c r="F14233" s="2">
        <f t="shared" si="2333"/>
        <v>44074</v>
      </c>
    </row>
    <row r="14234" spans="1:6" x14ac:dyDescent="0.25">
      <c r="A14234" s="1" t="s">
        <v>687</v>
      </c>
      <c r="B14234" s="1" t="s">
        <v>2778</v>
      </c>
      <c r="C14234" s="1" t="s">
        <v>14</v>
      </c>
      <c r="D14234" s="3">
        <f t="shared" si="2331"/>
        <v>7707</v>
      </c>
      <c r="E14234" s="2">
        <f t="shared" si="2332"/>
        <v>42064</v>
      </c>
      <c r="F14234" s="2">
        <f t="shared" si="2333"/>
        <v>44074</v>
      </c>
    </row>
    <row r="14235" spans="1:6" x14ac:dyDescent="0.25">
      <c r="A14235" s="1" t="s">
        <v>687</v>
      </c>
      <c r="B14235" s="1" t="s">
        <v>2778</v>
      </c>
      <c r="C14235" s="1" t="s">
        <v>66</v>
      </c>
      <c r="D14235" s="3">
        <f t="shared" si="2331"/>
        <v>7707</v>
      </c>
      <c r="E14235" s="2">
        <f t="shared" si="2332"/>
        <v>42064</v>
      </c>
      <c r="F14235" s="2">
        <f t="shared" si="2333"/>
        <v>44074</v>
      </c>
    </row>
    <row r="14236" spans="1:6" x14ac:dyDescent="0.25">
      <c r="A14236" s="1" t="s">
        <v>687</v>
      </c>
      <c r="B14236" s="1" t="s">
        <v>2778</v>
      </c>
      <c r="C14236" s="1" t="s">
        <v>15</v>
      </c>
      <c r="D14236" s="3">
        <f t="shared" si="2331"/>
        <v>7707</v>
      </c>
      <c r="E14236" s="2">
        <f t="shared" si="2332"/>
        <v>42064</v>
      </c>
      <c r="F14236" s="2">
        <f t="shared" si="2333"/>
        <v>44074</v>
      </c>
    </row>
    <row r="14237" spans="1:6" x14ac:dyDescent="0.25">
      <c r="A14237" s="1" t="s">
        <v>687</v>
      </c>
      <c r="B14237" s="1" t="s">
        <v>2778</v>
      </c>
      <c r="C14237" s="1" t="s">
        <v>17</v>
      </c>
      <c r="D14237" s="3">
        <f t="shared" si="2331"/>
        <v>7707</v>
      </c>
      <c r="E14237" s="2">
        <f t="shared" si="2332"/>
        <v>42064</v>
      </c>
      <c r="F14237" s="2">
        <f t="shared" si="2333"/>
        <v>44074</v>
      </c>
    </row>
    <row r="14238" spans="1:6" x14ac:dyDescent="0.25">
      <c r="A14238" s="1" t="s">
        <v>687</v>
      </c>
      <c r="B14238" s="1" t="s">
        <v>2778</v>
      </c>
      <c r="C14238" s="1" t="s">
        <v>18</v>
      </c>
      <c r="D14238" s="3">
        <f t="shared" si="2331"/>
        <v>7707</v>
      </c>
      <c r="E14238" s="2">
        <f t="shared" si="2332"/>
        <v>42064</v>
      </c>
      <c r="F14238" s="2">
        <f t="shared" si="2333"/>
        <v>44074</v>
      </c>
    </row>
    <row r="14239" spans="1:6" x14ac:dyDescent="0.25">
      <c r="A14239" s="1" t="s">
        <v>687</v>
      </c>
      <c r="B14239" s="1" t="s">
        <v>2778</v>
      </c>
      <c r="C14239" s="1" t="s">
        <v>384</v>
      </c>
      <c r="D14239" s="3">
        <f t="shared" si="2331"/>
        <v>7707</v>
      </c>
      <c r="E14239" s="2">
        <f t="shared" si="2332"/>
        <v>42064</v>
      </c>
      <c r="F14239" s="2">
        <f t="shared" si="2333"/>
        <v>44074</v>
      </c>
    </row>
    <row r="14240" spans="1:6" x14ac:dyDescent="0.25">
      <c r="A14240" s="1" t="s">
        <v>687</v>
      </c>
      <c r="B14240" s="1" t="s">
        <v>2778</v>
      </c>
      <c r="C14240" s="1" t="s">
        <v>147</v>
      </c>
      <c r="D14240" s="3">
        <f t="shared" si="2331"/>
        <v>7707</v>
      </c>
      <c r="E14240" s="2">
        <f t="shared" si="2332"/>
        <v>42064</v>
      </c>
      <c r="F14240" s="2">
        <f t="shared" si="2333"/>
        <v>44074</v>
      </c>
    </row>
    <row r="14241" spans="1:6" x14ac:dyDescent="0.25">
      <c r="A14241" s="1" t="s">
        <v>687</v>
      </c>
      <c r="B14241" s="1" t="s">
        <v>2778</v>
      </c>
      <c r="C14241" s="1" t="s">
        <v>92</v>
      </c>
      <c r="D14241" s="3">
        <f t="shared" si="2331"/>
        <v>7707</v>
      </c>
      <c r="E14241" s="2">
        <f t="shared" si="2332"/>
        <v>42064</v>
      </c>
      <c r="F14241" s="2">
        <f t="shared" si="2333"/>
        <v>44074</v>
      </c>
    </row>
    <row r="14242" spans="1:6" x14ac:dyDescent="0.25">
      <c r="A14242" s="1" t="s">
        <v>687</v>
      </c>
      <c r="B14242" s="1" t="s">
        <v>2778</v>
      </c>
      <c r="C14242" s="1" t="s">
        <v>24</v>
      </c>
      <c r="D14242" s="3">
        <f t="shared" si="2331"/>
        <v>7707</v>
      </c>
      <c r="E14242" s="2">
        <f t="shared" si="2332"/>
        <v>42064</v>
      </c>
      <c r="F14242" s="2">
        <f t="shared" si="2333"/>
        <v>44074</v>
      </c>
    </row>
    <row r="14243" spans="1:6" x14ac:dyDescent="0.25">
      <c r="A14243" s="1" t="s">
        <v>687</v>
      </c>
      <c r="B14243" s="1" t="s">
        <v>2778</v>
      </c>
      <c r="C14243" s="1" t="s">
        <v>50</v>
      </c>
      <c r="D14243" s="3">
        <f t="shared" si="2331"/>
        <v>7707</v>
      </c>
      <c r="E14243" s="2">
        <f t="shared" si="2332"/>
        <v>42064</v>
      </c>
      <c r="F14243" s="2">
        <f t="shared" si="2333"/>
        <v>44074</v>
      </c>
    </row>
    <row r="14244" spans="1:6" x14ac:dyDescent="0.25">
      <c r="A14244" s="1" t="s">
        <v>687</v>
      </c>
      <c r="B14244" s="1" t="s">
        <v>2778</v>
      </c>
      <c r="C14244" s="1" t="s">
        <v>70</v>
      </c>
      <c r="D14244" s="3">
        <f t="shared" si="2331"/>
        <v>7707</v>
      </c>
      <c r="E14244" s="2">
        <f t="shared" si="2332"/>
        <v>42064</v>
      </c>
      <c r="F14244" s="2">
        <f t="shared" si="2333"/>
        <v>44074</v>
      </c>
    </row>
    <row r="14245" spans="1:6" x14ac:dyDescent="0.25">
      <c r="A14245" s="1" t="s">
        <v>687</v>
      </c>
      <c r="B14245" s="1" t="s">
        <v>2778</v>
      </c>
      <c r="C14245" s="1" t="s">
        <v>26</v>
      </c>
      <c r="D14245" s="3">
        <f t="shared" si="2331"/>
        <v>7707</v>
      </c>
      <c r="E14245" s="2">
        <f t="shared" si="2332"/>
        <v>42064</v>
      </c>
      <c r="F14245" s="2">
        <f t="shared" si="2333"/>
        <v>44074</v>
      </c>
    </row>
    <row r="14246" spans="1:6" x14ac:dyDescent="0.25">
      <c r="A14246" s="1" t="s">
        <v>687</v>
      </c>
      <c r="B14246" s="1" t="s">
        <v>2778</v>
      </c>
      <c r="C14246" s="1" t="s">
        <v>73</v>
      </c>
      <c r="D14246" s="3">
        <f t="shared" si="2331"/>
        <v>7707</v>
      </c>
      <c r="E14246" s="2">
        <f t="shared" si="2332"/>
        <v>42064</v>
      </c>
      <c r="F14246" s="2">
        <f t="shared" si="2333"/>
        <v>44074</v>
      </c>
    </row>
    <row r="14247" spans="1:6" x14ac:dyDescent="0.25">
      <c r="A14247" s="1" t="s">
        <v>687</v>
      </c>
      <c r="B14247" s="1" t="s">
        <v>2778</v>
      </c>
      <c r="C14247" s="1" t="s">
        <v>34</v>
      </c>
      <c r="D14247" s="3">
        <f t="shared" si="2331"/>
        <v>7707</v>
      </c>
      <c r="E14247" s="2">
        <f t="shared" si="2332"/>
        <v>42064</v>
      </c>
      <c r="F14247" s="2">
        <f t="shared" si="2333"/>
        <v>44074</v>
      </c>
    </row>
    <row r="14248" spans="1:6" x14ac:dyDescent="0.25">
      <c r="A14248" s="1" t="s">
        <v>687</v>
      </c>
      <c r="B14248" s="1" t="s">
        <v>2778</v>
      </c>
      <c r="C14248" s="1" t="s">
        <v>306</v>
      </c>
      <c r="D14248" s="3">
        <f t="shared" si="2331"/>
        <v>7707</v>
      </c>
      <c r="E14248" s="2">
        <f t="shared" si="2332"/>
        <v>42064</v>
      </c>
      <c r="F14248" s="2">
        <f t="shared" si="2333"/>
        <v>44074</v>
      </c>
    </row>
    <row r="14249" spans="1:6" x14ac:dyDescent="0.25">
      <c r="A14249" s="1" t="s">
        <v>687</v>
      </c>
      <c r="B14249" s="1" t="s">
        <v>1715</v>
      </c>
      <c r="C14249" s="1" t="s">
        <v>66</v>
      </c>
      <c r="D14249" s="3">
        <f t="shared" ref="D14249:D14261" si="2334">VALUE("7556")</f>
        <v>7556</v>
      </c>
      <c r="E14249" s="2">
        <f t="shared" ref="E14249:E14261" si="2335">DATEVALUE("1-10-2013")</f>
        <v>41548</v>
      </c>
      <c r="F14249" s="2">
        <f t="shared" ref="F14249:F14261" si="2336">DATEVALUE("31-10-2017")</f>
        <v>43039</v>
      </c>
    </row>
    <row r="14250" spans="1:6" x14ac:dyDescent="0.25">
      <c r="A14250" s="1" t="s">
        <v>687</v>
      </c>
      <c r="B14250" s="1" t="s">
        <v>1715</v>
      </c>
      <c r="C14250" s="1" t="s">
        <v>15</v>
      </c>
      <c r="D14250" s="3">
        <f t="shared" si="2334"/>
        <v>7556</v>
      </c>
      <c r="E14250" s="2">
        <f t="shared" si="2335"/>
        <v>41548</v>
      </c>
      <c r="F14250" s="2">
        <f t="shared" si="2336"/>
        <v>43039</v>
      </c>
    </row>
    <row r="14251" spans="1:6" x14ac:dyDescent="0.25">
      <c r="A14251" s="1" t="s">
        <v>687</v>
      </c>
      <c r="B14251" s="1" t="s">
        <v>1715</v>
      </c>
      <c r="C14251" s="1" t="s">
        <v>17</v>
      </c>
      <c r="D14251" s="3">
        <f t="shared" si="2334"/>
        <v>7556</v>
      </c>
      <c r="E14251" s="2">
        <f t="shared" si="2335"/>
        <v>41548</v>
      </c>
      <c r="F14251" s="2">
        <f t="shared" si="2336"/>
        <v>43039</v>
      </c>
    </row>
    <row r="14252" spans="1:6" x14ac:dyDescent="0.25">
      <c r="A14252" s="1" t="s">
        <v>687</v>
      </c>
      <c r="B14252" s="1" t="s">
        <v>1715</v>
      </c>
      <c r="C14252" s="1" t="s">
        <v>1314</v>
      </c>
      <c r="D14252" s="3">
        <f t="shared" si="2334"/>
        <v>7556</v>
      </c>
      <c r="E14252" s="2">
        <f t="shared" si="2335"/>
        <v>41548</v>
      </c>
      <c r="F14252" s="2">
        <f t="shared" si="2336"/>
        <v>43039</v>
      </c>
    </row>
    <row r="14253" spans="1:6" x14ac:dyDescent="0.25">
      <c r="A14253" s="1" t="s">
        <v>687</v>
      </c>
      <c r="B14253" s="1" t="s">
        <v>1715</v>
      </c>
      <c r="C14253" s="1" t="s">
        <v>145</v>
      </c>
      <c r="D14253" s="3">
        <f t="shared" si="2334"/>
        <v>7556</v>
      </c>
      <c r="E14253" s="2">
        <f t="shared" si="2335"/>
        <v>41548</v>
      </c>
      <c r="F14253" s="2">
        <f t="shared" si="2336"/>
        <v>43039</v>
      </c>
    </row>
    <row r="14254" spans="1:6" x14ac:dyDescent="0.25">
      <c r="A14254" s="1" t="s">
        <v>687</v>
      </c>
      <c r="B14254" s="1" t="s">
        <v>1715</v>
      </c>
      <c r="C14254" s="1" t="s">
        <v>22</v>
      </c>
      <c r="D14254" s="3">
        <f t="shared" si="2334"/>
        <v>7556</v>
      </c>
      <c r="E14254" s="2">
        <f t="shared" si="2335"/>
        <v>41548</v>
      </c>
      <c r="F14254" s="2">
        <f t="shared" si="2336"/>
        <v>43039</v>
      </c>
    </row>
    <row r="14255" spans="1:6" x14ac:dyDescent="0.25">
      <c r="A14255" s="1" t="s">
        <v>687</v>
      </c>
      <c r="B14255" s="1" t="s">
        <v>1715</v>
      </c>
      <c r="C14255" s="1" t="s">
        <v>148</v>
      </c>
      <c r="D14255" s="3">
        <f t="shared" si="2334"/>
        <v>7556</v>
      </c>
      <c r="E14255" s="2">
        <f t="shared" si="2335"/>
        <v>41548</v>
      </c>
      <c r="F14255" s="2">
        <f t="shared" si="2336"/>
        <v>43039</v>
      </c>
    </row>
    <row r="14256" spans="1:6" x14ac:dyDescent="0.25">
      <c r="A14256" s="1" t="s">
        <v>687</v>
      </c>
      <c r="B14256" s="1" t="s">
        <v>1715</v>
      </c>
      <c r="C14256" s="1" t="s">
        <v>92</v>
      </c>
      <c r="D14256" s="3">
        <f t="shared" si="2334"/>
        <v>7556</v>
      </c>
      <c r="E14256" s="2">
        <f t="shared" si="2335"/>
        <v>41548</v>
      </c>
      <c r="F14256" s="2">
        <f t="shared" si="2336"/>
        <v>43039</v>
      </c>
    </row>
    <row r="14257" spans="1:6" x14ac:dyDescent="0.25">
      <c r="A14257" s="1" t="s">
        <v>687</v>
      </c>
      <c r="B14257" s="1" t="s">
        <v>1715</v>
      </c>
      <c r="C14257" s="1" t="s">
        <v>330</v>
      </c>
      <c r="D14257" s="3">
        <f t="shared" si="2334"/>
        <v>7556</v>
      </c>
      <c r="E14257" s="2">
        <f t="shared" si="2335"/>
        <v>41548</v>
      </c>
      <c r="F14257" s="2">
        <f t="shared" si="2336"/>
        <v>43039</v>
      </c>
    </row>
    <row r="14258" spans="1:6" x14ac:dyDescent="0.25">
      <c r="A14258" s="1" t="s">
        <v>687</v>
      </c>
      <c r="B14258" s="1" t="s">
        <v>1715</v>
      </c>
      <c r="C14258" s="1" t="s">
        <v>331</v>
      </c>
      <c r="D14258" s="3">
        <f t="shared" si="2334"/>
        <v>7556</v>
      </c>
      <c r="E14258" s="2">
        <f t="shared" si="2335"/>
        <v>41548</v>
      </c>
      <c r="F14258" s="2">
        <f t="shared" si="2336"/>
        <v>43039</v>
      </c>
    </row>
    <row r="14259" spans="1:6" x14ac:dyDescent="0.25">
      <c r="A14259" s="1" t="s">
        <v>687</v>
      </c>
      <c r="B14259" s="1" t="s">
        <v>1715</v>
      </c>
      <c r="C14259" s="1" t="s">
        <v>73</v>
      </c>
      <c r="D14259" s="3">
        <f t="shared" si="2334"/>
        <v>7556</v>
      </c>
      <c r="E14259" s="2">
        <f t="shared" si="2335"/>
        <v>41548</v>
      </c>
      <c r="F14259" s="2">
        <f t="shared" si="2336"/>
        <v>43039</v>
      </c>
    </row>
    <row r="14260" spans="1:6" x14ac:dyDescent="0.25">
      <c r="A14260" s="1" t="s">
        <v>687</v>
      </c>
      <c r="B14260" s="1" t="s">
        <v>1715</v>
      </c>
      <c r="C14260" s="1" t="s">
        <v>333</v>
      </c>
      <c r="D14260" s="3">
        <f t="shared" si="2334"/>
        <v>7556</v>
      </c>
      <c r="E14260" s="2">
        <f t="shared" si="2335"/>
        <v>41548</v>
      </c>
      <c r="F14260" s="2">
        <f t="shared" si="2336"/>
        <v>43039</v>
      </c>
    </row>
    <row r="14261" spans="1:6" x14ac:dyDescent="0.25">
      <c r="A14261" s="1" t="s">
        <v>687</v>
      </c>
      <c r="B14261" s="1" t="s">
        <v>1715</v>
      </c>
      <c r="C14261" s="1" t="s">
        <v>185</v>
      </c>
      <c r="D14261" s="3">
        <f t="shared" si="2334"/>
        <v>7556</v>
      </c>
      <c r="E14261" s="2">
        <f t="shared" si="2335"/>
        <v>41548</v>
      </c>
      <c r="F14261" s="2">
        <f t="shared" si="2336"/>
        <v>43039</v>
      </c>
    </row>
    <row r="14262" spans="1:6" x14ac:dyDescent="0.25">
      <c r="A14262" s="1" t="s">
        <v>687</v>
      </c>
      <c r="B14262" s="1" t="s">
        <v>1885</v>
      </c>
      <c r="C14262" s="1" t="s">
        <v>63</v>
      </c>
      <c r="D14262" s="3">
        <f t="shared" ref="D14262:D14270" si="2337">VALUE("7253")</f>
        <v>7253</v>
      </c>
      <c r="E14262" s="2">
        <f t="shared" ref="E14262:E14270" si="2338">DATEVALUE("1-12-2011")</f>
        <v>40878</v>
      </c>
      <c r="F14262" s="2">
        <f t="shared" ref="F14262:F14270" si="2339">DATEVALUE("31-12-2018")</f>
        <v>43465</v>
      </c>
    </row>
    <row r="14263" spans="1:6" x14ac:dyDescent="0.25">
      <c r="A14263" s="1" t="s">
        <v>687</v>
      </c>
      <c r="B14263" s="1" t="s">
        <v>1885</v>
      </c>
      <c r="C14263" s="1" t="s">
        <v>291</v>
      </c>
      <c r="D14263" s="3">
        <f t="shared" si="2337"/>
        <v>7253</v>
      </c>
      <c r="E14263" s="2">
        <f t="shared" si="2338"/>
        <v>40878</v>
      </c>
      <c r="F14263" s="2">
        <f t="shared" si="2339"/>
        <v>43465</v>
      </c>
    </row>
    <row r="14264" spans="1:6" x14ac:dyDescent="0.25">
      <c r="A14264" s="1" t="s">
        <v>687</v>
      </c>
      <c r="B14264" s="1" t="s">
        <v>1885</v>
      </c>
      <c r="C14264" s="1" t="s">
        <v>417</v>
      </c>
      <c r="D14264" s="3">
        <f t="shared" si="2337"/>
        <v>7253</v>
      </c>
      <c r="E14264" s="2">
        <f t="shared" si="2338"/>
        <v>40878</v>
      </c>
      <c r="F14264" s="2">
        <f t="shared" si="2339"/>
        <v>43465</v>
      </c>
    </row>
    <row r="14265" spans="1:6" x14ac:dyDescent="0.25">
      <c r="A14265" s="1" t="s">
        <v>687</v>
      </c>
      <c r="B14265" s="1" t="s">
        <v>1885</v>
      </c>
      <c r="C14265" s="1" t="s">
        <v>144</v>
      </c>
      <c r="D14265" s="3">
        <f t="shared" si="2337"/>
        <v>7253</v>
      </c>
      <c r="E14265" s="2">
        <f t="shared" si="2338"/>
        <v>40878</v>
      </c>
      <c r="F14265" s="2">
        <f t="shared" si="2339"/>
        <v>43465</v>
      </c>
    </row>
    <row r="14266" spans="1:6" x14ac:dyDescent="0.25">
      <c r="A14266" s="1" t="s">
        <v>687</v>
      </c>
      <c r="B14266" s="1" t="s">
        <v>1885</v>
      </c>
      <c r="C14266" s="1" t="s">
        <v>330</v>
      </c>
      <c r="D14266" s="3">
        <f t="shared" si="2337"/>
        <v>7253</v>
      </c>
      <c r="E14266" s="2">
        <f t="shared" si="2338"/>
        <v>40878</v>
      </c>
      <c r="F14266" s="2">
        <f t="shared" si="2339"/>
        <v>43465</v>
      </c>
    </row>
    <row r="14267" spans="1:6" x14ac:dyDescent="0.25">
      <c r="A14267" s="1" t="s">
        <v>687</v>
      </c>
      <c r="B14267" s="1" t="s">
        <v>1885</v>
      </c>
      <c r="C14267" s="1" t="s">
        <v>331</v>
      </c>
      <c r="D14267" s="3">
        <f t="shared" si="2337"/>
        <v>7253</v>
      </c>
      <c r="E14267" s="2">
        <f t="shared" si="2338"/>
        <v>40878</v>
      </c>
      <c r="F14267" s="2">
        <f t="shared" si="2339"/>
        <v>43465</v>
      </c>
    </row>
    <row r="14268" spans="1:6" x14ac:dyDescent="0.25">
      <c r="A14268" s="1" t="s">
        <v>687</v>
      </c>
      <c r="B14268" s="1" t="s">
        <v>1885</v>
      </c>
      <c r="C14268" s="1" t="s">
        <v>50</v>
      </c>
      <c r="D14268" s="3">
        <f t="shared" si="2337"/>
        <v>7253</v>
      </c>
      <c r="E14268" s="2">
        <f t="shared" si="2338"/>
        <v>40878</v>
      </c>
      <c r="F14268" s="2">
        <f t="shared" si="2339"/>
        <v>43465</v>
      </c>
    </row>
    <row r="14269" spans="1:6" x14ac:dyDescent="0.25">
      <c r="A14269" s="1" t="s">
        <v>687</v>
      </c>
      <c r="B14269" s="1" t="s">
        <v>1885</v>
      </c>
      <c r="C14269" s="1" t="s">
        <v>333</v>
      </c>
      <c r="D14269" s="3">
        <f t="shared" si="2337"/>
        <v>7253</v>
      </c>
      <c r="E14269" s="2">
        <f t="shared" si="2338"/>
        <v>40878</v>
      </c>
      <c r="F14269" s="2">
        <f t="shared" si="2339"/>
        <v>43465</v>
      </c>
    </row>
    <row r="14270" spans="1:6" x14ac:dyDescent="0.25">
      <c r="A14270" s="1" t="s">
        <v>687</v>
      </c>
      <c r="B14270" s="1" t="s">
        <v>1885</v>
      </c>
      <c r="C14270" s="1" t="s">
        <v>185</v>
      </c>
      <c r="D14270" s="3">
        <f t="shared" si="2337"/>
        <v>7253</v>
      </c>
      <c r="E14270" s="2">
        <f t="shared" si="2338"/>
        <v>40878</v>
      </c>
      <c r="F14270" s="2">
        <f t="shared" si="2339"/>
        <v>43465</v>
      </c>
    </row>
    <row r="14271" spans="1:6" x14ac:dyDescent="0.25">
      <c r="A14271" s="1" t="s">
        <v>1943</v>
      </c>
      <c r="B14271" s="1" t="s">
        <v>2183</v>
      </c>
      <c r="C14271" s="1" t="s">
        <v>506</v>
      </c>
      <c r="D14271" s="3">
        <f t="shared" ref="D14271:D14279" si="2340">VALUE("7704")</f>
        <v>7704</v>
      </c>
      <c r="E14271" s="2">
        <f t="shared" ref="E14271:E14279" si="2341">DATEVALUE("1-9-2015")</f>
        <v>42248</v>
      </c>
      <c r="F14271" s="2">
        <f t="shared" ref="F14271:F14279" si="2342">DATEVALUE("30-11-2016")</f>
        <v>42704</v>
      </c>
    </row>
    <row r="14272" spans="1:6" x14ac:dyDescent="0.25">
      <c r="A14272" s="1" t="s">
        <v>1943</v>
      </c>
      <c r="B14272" s="1" t="s">
        <v>2183</v>
      </c>
      <c r="C14272" s="1" t="s">
        <v>14</v>
      </c>
      <c r="D14272" s="3">
        <f t="shared" si="2340"/>
        <v>7704</v>
      </c>
      <c r="E14272" s="2">
        <f t="shared" si="2341"/>
        <v>42248</v>
      </c>
      <c r="F14272" s="2">
        <f t="shared" si="2342"/>
        <v>42704</v>
      </c>
    </row>
    <row r="14273" spans="1:6" x14ac:dyDescent="0.25">
      <c r="A14273" s="1" t="s">
        <v>1943</v>
      </c>
      <c r="B14273" s="1" t="s">
        <v>2183</v>
      </c>
      <c r="C14273" s="1" t="s">
        <v>15</v>
      </c>
      <c r="D14273" s="3">
        <f t="shared" si="2340"/>
        <v>7704</v>
      </c>
      <c r="E14273" s="2">
        <f t="shared" si="2341"/>
        <v>42248</v>
      </c>
      <c r="F14273" s="2">
        <f t="shared" si="2342"/>
        <v>42704</v>
      </c>
    </row>
    <row r="14274" spans="1:6" x14ac:dyDescent="0.25">
      <c r="A14274" s="1" t="s">
        <v>1943</v>
      </c>
      <c r="B14274" s="1" t="s">
        <v>2183</v>
      </c>
      <c r="C14274" s="1" t="s">
        <v>16</v>
      </c>
      <c r="D14274" s="3">
        <f t="shared" si="2340"/>
        <v>7704</v>
      </c>
      <c r="E14274" s="2">
        <f t="shared" si="2341"/>
        <v>42248</v>
      </c>
      <c r="F14274" s="2">
        <f t="shared" si="2342"/>
        <v>42704</v>
      </c>
    </row>
    <row r="14275" spans="1:6" x14ac:dyDescent="0.25">
      <c r="A14275" s="1" t="s">
        <v>1943</v>
      </c>
      <c r="B14275" s="1" t="s">
        <v>2183</v>
      </c>
      <c r="C14275" s="1" t="s">
        <v>88</v>
      </c>
      <c r="D14275" s="3">
        <f t="shared" si="2340"/>
        <v>7704</v>
      </c>
      <c r="E14275" s="2">
        <f t="shared" si="2341"/>
        <v>42248</v>
      </c>
      <c r="F14275" s="2">
        <f t="shared" si="2342"/>
        <v>42704</v>
      </c>
    </row>
    <row r="14276" spans="1:6" x14ac:dyDescent="0.25">
      <c r="A14276" s="1" t="s">
        <v>1943</v>
      </c>
      <c r="B14276" s="1" t="s">
        <v>2183</v>
      </c>
      <c r="C14276" s="1" t="s">
        <v>17</v>
      </c>
      <c r="D14276" s="3">
        <f t="shared" si="2340"/>
        <v>7704</v>
      </c>
      <c r="E14276" s="2">
        <f t="shared" si="2341"/>
        <v>42248</v>
      </c>
      <c r="F14276" s="2">
        <f t="shared" si="2342"/>
        <v>42704</v>
      </c>
    </row>
    <row r="14277" spans="1:6" x14ac:dyDescent="0.25">
      <c r="A14277" s="1" t="s">
        <v>1943</v>
      </c>
      <c r="B14277" s="1" t="s">
        <v>2183</v>
      </c>
      <c r="C14277" s="1" t="s">
        <v>147</v>
      </c>
      <c r="D14277" s="3">
        <f t="shared" si="2340"/>
        <v>7704</v>
      </c>
      <c r="E14277" s="2">
        <f t="shared" si="2341"/>
        <v>42248</v>
      </c>
      <c r="F14277" s="2">
        <f t="shared" si="2342"/>
        <v>42704</v>
      </c>
    </row>
    <row r="14278" spans="1:6" x14ac:dyDescent="0.25">
      <c r="A14278" s="1" t="s">
        <v>1943</v>
      </c>
      <c r="B14278" s="1" t="s">
        <v>2183</v>
      </c>
      <c r="C14278" s="1" t="s">
        <v>148</v>
      </c>
      <c r="D14278" s="3">
        <f t="shared" si="2340"/>
        <v>7704</v>
      </c>
      <c r="E14278" s="2">
        <f t="shared" si="2341"/>
        <v>42248</v>
      </c>
      <c r="F14278" s="2">
        <f t="shared" si="2342"/>
        <v>42704</v>
      </c>
    </row>
    <row r="14279" spans="1:6" x14ac:dyDescent="0.25">
      <c r="A14279" s="1" t="s">
        <v>1943</v>
      </c>
      <c r="B14279" s="1" t="s">
        <v>2183</v>
      </c>
      <c r="C14279" s="1" t="s">
        <v>92</v>
      </c>
      <c r="D14279" s="3">
        <f t="shared" si="2340"/>
        <v>7704</v>
      </c>
      <c r="E14279" s="2">
        <f t="shared" si="2341"/>
        <v>42248</v>
      </c>
      <c r="F14279" s="2">
        <f t="shared" si="2342"/>
        <v>42704</v>
      </c>
    </row>
    <row r="14280" spans="1:6" x14ac:dyDescent="0.25">
      <c r="A14280" s="1" t="s">
        <v>1943</v>
      </c>
      <c r="B14280" s="1" t="s">
        <v>1942</v>
      </c>
      <c r="C14280" s="1" t="s">
        <v>15</v>
      </c>
      <c r="D14280" s="3">
        <f t="shared" ref="D14280:D14286" si="2343">VALUE("7655")</f>
        <v>7655</v>
      </c>
      <c r="E14280" s="2">
        <f t="shared" ref="E14280:E14286" si="2344">DATEVALUE("1-12-2014")</f>
        <v>41974</v>
      </c>
      <c r="F14280" s="2">
        <f t="shared" ref="F14280:F14286" si="2345">DATEVALUE("30-6-2017")</f>
        <v>42916</v>
      </c>
    </row>
    <row r="14281" spans="1:6" x14ac:dyDescent="0.25">
      <c r="A14281" s="1" t="s">
        <v>1943</v>
      </c>
      <c r="B14281" s="1" t="s">
        <v>1942</v>
      </c>
      <c r="C14281" s="1" t="s">
        <v>16</v>
      </c>
      <c r="D14281" s="3">
        <f t="shared" si="2343"/>
        <v>7655</v>
      </c>
      <c r="E14281" s="2">
        <f t="shared" si="2344"/>
        <v>41974</v>
      </c>
      <c r="F14281" s="2">
        <f t="shared" si="2345"/>
        <v>42916</v>
      </c>
    </row>
    <row r="14282" spans="1:6" x14ac:dyDescent="0.25">
      <c r="A14282" s="1" t="s">
        <v>1943</v>
      </c>
      <c r="B14282" s="1" t="s">
        <v>1942</v>
      </c>
      <c r="C14282" s="1" t="s">
        <v>17</v>
      </c>
      <c r="D14282" s="3">
        <f t="shared" si="2343"/>
        <v>7655</v>
      </c>
      <c r="E14282" s="2">
        <f t="shared" si="2344"/>
        <v>41974</v>
      </c>
      <c r="F14282" s="2">
        <f t="shared" si="2345"/>
        <v>42916</v>
      </c>
    </row>
    <row r="14283" spans="1:6" x14ac:dyDescent="0.25">
      <c r="A14283" s="1" t="s">
        <v>1943</v>
      </c>
      <c r="B14283" s="1" t="s">
        <v>1942</v>
      </c>
      <c r="C14283" s="1" t="s">
        <v>22</v>
      </c>
      <c r="D14283" s="3">
        <f t="shared" si="2343"/>
        <v>7655</v>
      </c>
      <c r="E14283" s="2">
        <f t="shared" si="2344"/>
        <v>41974</v>
      </c>
      <c r="F14283" s="2">
        <f t="shared" si="2345"/>
        <v>42916</v>
      </c>
    </row>
    <row r="14284" spans="1:6" x14ac:dyDescent="0.25">
      <c r="A14284" s="1" t="s">
        <v>1943</v>
      </c>
      <c r="B14284" s="1" t="s">
        <v>1942</v>
      </c>
      <c r="C14284" s="1" t="s">
        <v>148</v>
      </c>
      <c r="D14284" s="3">
        <f t="shared" si="2343"/>
        <v>7655</v>
      </c>
      <c r="E14284" s="2">
        <f t="shared" si="2344"/>
        <v>41974</v>
      </c>
      <c r="F14284" s="2">
        <f t="shared" si="2345"/>
        <v>42916</v>
      </c>
    </row>
    <row r="14285" spans="1:6" x14ac:dyDescent="0.25">
      <c r="A14285" s="1" t="s">
        <v>1943</v>
      </c>
      <c r="B14285" s="1" t="s">
        <v>1942</v>
      </c>
      <c r="C14285" s="1" t="s">
        <v>92</v>
      </c>
      <c r="D14285" s="3">
        <f t="shared" si="2343"/>
        <v>7655</v>
      </c>
      <c r="E14285" s="2">
        <f t="shared" si="2344"/>
        <v>41974</v>
      </c>
      <c r="F14285" s="2">
        <f t="shared" si="2345"/>
        <v>42916</v>
      </c>
    </row>
    <row r="14286" spans="1:6" x14ac:dyDescent="0.25">
      <c r="A14286" s="1" t="s">
        <v>1943</v>
      </c>
      <c r="B14286" s="1" t="s">
        <v>1942</v>
      </c>
      <c r="C14286" s="1" t="s">
        <v>73</v>
      </c>
      <c r="D14286" s="3">
        <f t="shared" si="2343"/>
        <v>7655</v>
      </c>
      <c r="E14286" s="2">
        <f t="shared" si="2344"/>
        <v>41974</v>
      </c>
      <c r="F14286" s="2">
        <f t="shared" si="2345"/>
        <v>42916</v>
      </c>
    </row>
    <row r="14287" spans="1:6" x14ac:dyDescent="0.25">
      <c r="A14287" s="1" t="s">
        <v>2245</v>
      </c>
      <c r="B14287" s="1" t="s">
        <v>2244</v>
      </c>
      <c r="C14287" s="1" t="s">
        <v>45</v>
      </c>
      <c r="D14287" s="3">
        <f>VALUE("7940")</f>
        <v>7940</v>
      </c>
      <c r="E14287" s="2">
        <f>DATEVALUE("1-8-2016")</f>
        <v>42583</v>
      </c>
      <c r="F14287" s="2">
        <f>DATEVALUE("30-6-2019")</f>
        <v>43646</v>
      </c>
    </row>
    <row r="14288" spans="1:6" x14ac:dyDescent="0.25">
      <c r="A14288" s="1" t="s">
        <v>2245</v>
      </c>
      <c r="B14288" s="1" t="s">
        <v>2244</v>
      </c>
      <c r="C14288" s="1" t="s">
        <v>44</v>
      </c>
      <c r="D14288" s="3">
        <f>VALUE("7940")</f>
        <v>7940</v>
      </c>
      <c r="E14288" s="2">
        <f>DATEVALUE("1-8-2016")</f>
        <v>42583</v>
      </c>
      <c r="F14288" s="2">
        <f>DATEVALUE("30-6-2019")</f>
        <v>43646</v>
      </c>
    </row>
    <row r="14289" spans="1:6" x14ac:dyDescent="0.25">
      <c r="A14289" s="1" t="s">
        <v>1394</v>
      </c>
      <c r="B14289" s="1" t="s">
        <v>1393</v>
      </c>
      <c r="C14289" s="1" t="s">
        <v>184</v>
      </c>
      <c r="D14289" s="3">
        <f t="shared" ref="D14289:D14294" si="2346">VALUE("8614")</f>
        <v>8614</v>
      </c>
      <c r="E14289" s="2">
        <f t="shared" ref="E14289:E14294" si="2347">DATEVALUE("1-3-2020")</f>
        <v>43891</v>
      </c>
      <c r="F14289" s="2">
        <f t="shared" ref="F14289:F14294" si="2348">DATEVALUE("29-4-2024")</f>
        <v>45411</v>
      </c>
    </row>
    <row r="14290" spans="1:6" x14ac:dyDescent="0.25">
      <c r="A14290" s="1" t="s">
        <v>1394</v>
      </c>
      <c r="B14290" s="1" t="s">
        <v>1393</v>
      </c>
      <c r="C14290" s="1" t="s">
        <v>17</v>
      </c>
      <c r="D14290" s="3">
        <f t="shared" si="2346"/>
        <v>8614</v>
      </c>
      <c r="E14290" s="2">
        <f t="shared" si="2347"/>
        <v>43891</v>
      </c>
      <c r="F14290" s="2">
        <f t="shared" si="2348"/>
        <v>45411</v>
      </c>
    </row>
    <row r="14291" spans="1:6" x14ac:dyDescent="0.25">
      <c r="A14291" s="1" t="s">
        <v>1394</v>
      </c>
      <c r="B14291" s="1" t="s">
        <v>1393</v>
      </c>
      <c r="C14291" s="1" t="s">
        <v>22</v>
      </c>
      <c r="D14291" s="3">
        <f t="shared" si="2346"/>
        <v>8614</v>
      </c>
      <c r="E14291" s="2">
        <f t="shared" si="2347"/>
        <v>43891</v>
      </c>
      <c r="F14291" s="2">
        <f t="shared" si="2348"/>
        <v>45411</v>
      </c>
    </row>
    <row r="14292" spans="1:6" x14ac:dyDescent="0.25">
      <c r="A14292" s="1" t="s">
        <v>1394</v>
      </c>
      <c r="B14292" s="1" t="s">
        <v>1393</v>
      </c>
      <c r="C14292" s="1" t="s">
        <v>67</v>
      </c>
      <c r="D14292" s="3">
        <f t="shared" si="2346"/>
        <v>8614</v>
      </c>
      <c r="E14292" s="2">
        <f t="shared" si="2347"/>
        <v>43891</v>
      </c>
      <c r="F14292" s="2">
        <f t="shared" si="2348"/>
        <v>45411</v>
      </c>
    </row>
    <row r="14293" spans="1:6" x14ac:dyDescent="0.25">
      <c r="A14293" s="1" t="s">
        <v>1394</v>
      </c>
      <c r="B14293" s="1" t="s">
        <v>1393</v>
      </c>
      <c r="C14293" s="1" t="s">
        <v>149</v>
      </c>
      <c r="D14293" s="3">
        <f t="shared" si="2346"/>
        <v>8614</v>
      </c>
      <c r="E14293" s="2">
        <f t="shared" si="2347"/>
        <v>43891</v>
      </c>
      <c r="F14293" s="2">
        <f t="shared" si="2348"/>
        <v>45411</v>
      </c>
    </row>
    <row r="14294" spans="1:6" x14ac:dyDescent="0.25">
      <c r="A14294" s="1" t="s">
        <v>1394</v>
      </c>
      <c r="B14294" s="1" t="s">
        <v>1393</v>
      </c>
      <c r="C14294" s="1" t="s">
        <v>92</v>
      </c>
      <c r="D14294" s="3">
        <f t="shared" si="2346"/>
        <v>8614</v>
      </c>
      <c r="E14294" s="2">
        <f t="shared" si="2347"/>
        <v>43891</v>
      </c>
      <c r="F14294" s="2">
        <f t="shared" si="2348"/>
        <v>45411</v>
      </c>
    </row>
    <row r="14295" spans="1:6" x14ac:dyDescent="0.25">
      <c r="A14295" s="1" t="s">
        <v>1394</v>
      </c>
      <c r="B14295" s="1" t="s">
        <v>1737</v>
      </c>
      <c r="C14295" s="1" t="s">
        <v>7</v>
      </c>
      <c r="D14295" s="3">
        <f>VALUE("7753")</f>
        <v>7753</v>
      </c>
      <c r="E14295" s="2">
        <f>DATEVALUE("1-7-2015")</f>
        <v>42186</v>
      </c>
      <c r="F14295" s="2">
        <f>DATEVALUE("31-3-2017")</f>
        <v>42825</v>
      </c>
    </row>
    <row r="14296" spans="1:6" x14ac:dyDescent="0.25">
      <c r="A14296" s="1" t="s">
        <v>1394</v>
      </c>
      <c r="B14296" s="1" t="s">
        <v>1959</v>
      </c>
      <c r="C14296" s="1" t="s">
        <v>7</v>
      </c>
      <c r="D14296" s="3">
        <f>VALUE("7723")</f>
        <v>7723</v>
      </c>
      <c r="E14296" s="2">
        <f>DATEVALUE("1-5-2015")</f>
        <v>42125</v>
      </c>
      <c r="F14296" s="2">
        <f>DATEVALUE("31-1-2016")</f>
        <v>42400</v>
      </c>
    </row>
    <row r="14297" spans="1:6" x14ac:dyDescent="0.25">
      <c r="A14297" s="1" t="s">
        <v>1394</v>
      </c>
      <c r="B14297" s="1" t="s">
        <v>2760</v>
      </c>
      <c r="C14297" s="1" t="s">
        <v>325</v>
      </c>
      <c r="D14297" s="3">
        <f t="shared" ref="D14297:D14302" si="2349">VALUE("7589")</f>
        <v>7589</v>
      </c>
      <c r="E14297" s="2">
        <f t="shared" ref="E14297:E14302" si="2350">DATEVALUE("1-2-2014")</f>
        <v>41671</v>
      </c>
      <c r="F14297" s="2">
        <f t="shared" ref="F14297:F14302" si="2351">DATEVALUE("30-4-2014")</f>
        <v>41759</v>
      </c>
    </row>
    <row r="14298" spans="1:6" x14ac:dyDescent="0.25">
      <c r="A14298" s="1" t="s">
        <v>1394</v>
      </c>
      <c r="B14298" s="1" t="s">
        <v>2760</v>
      </c>
      <c r="C14298" s="1" t="s">
        <v>46</v>
      </c>
      <c r="D14298" s="3">
        <f t="shared" si="2349"/>
        <v>7589</v>
      </c>
      <c r="E14298" s="2">
        <f t="shared" si="2350"/>
        <v>41671</v>
      </c>
      <c r="F14298" s="2">
        <f t="shared" si="2351"/>
        <v>41759</v>
      </c>
    </row>
    <row r="14299" spans="1:6" x14ac:dyDescent="0.25">
      <c r="A14299" s="1" t="s">
        <v>1394</v>
      </c>
      <c r="B14299" s="1" t="s">
        <v>2760</v>
      </c>
      <c r="C14299" s="1" t="s">
        <v>17</v>
      </c>
      <c r="D14299" s="3">
        <f t="shared" si="2349"/>
        <v>7589</v>
      </c>
      <c r="E14299" s="2">
        <f t="shared" si="2350"/>
        <v>41671</v>
      </c>
      <c r="F14299" s="2">
        <f t="shared" si="2351"/>
        <v>41759</v>
      </c>
    </row>
    <row r="14300" spans="1:6" x14ac:dyDescent="0.25">
      <c r="A14300" s="1" t="s">
        <v>1394</v>
      </c>
      <c r="B14300" s="1" t="s">
        <v>2760</v>
      </c>
      <c r="C14300" s="1" t="s">
        <v>2558</v>
      </c>
      <c r="D14300" s="3">
        <f t="shared" si="2349"/>
        <v>7589</v>
      </c>
      <c r="E14300" s="2">
        <f t="shared" si="2350"/>
        <v>41671</v>
      </c>
      <c r="F14300" s="2">
        <f t="shared" si="2351"/>
        <v>41759</v>
      </c>
    </row>
    <row r="14301" spans="1:6" x14ac:dyDescent="0.25">
      <c r="A14301" s="1" t="s">
        <v>1394</v>
      </c>
      <c r="B14301" s="1" t="s">
        <v>2760</v>
      </c>
      <c r="C14301" s="1" t="s">
        <v>216</v>
      </c>
      <c r="D14301" s="3">
        <f t="shared" si="2349"/>
        <v>7589</v>
      </c>
      <c r="E14301" s="2">
        <f t="shared" si="2350"/>
        <v>41671</v>
      </c>
      <c r="F14301" s="2">
        <f t="shared" si="2351"/>
        <v>41759</v>
      </c>
    </row>
    <row r="14302" spans="1:6" x14ac:dyDescent="0.25">
      <c r="A14302" s="1" t="s">
        <v>1394</v>
      </c>
      <c r="B14302" s="1" t="s">
        <v>2760</v>
      </c>
      <c r="C14302" s="1" t="s">
        <v>620</v>
      </c>
      <c r="D14302" s="3">
        <f t="shared" si="2349"/>
        <v>7589</v>
      </c>
      <c r="E14302" s="2">
        <f t="shared" si="2350"/>
        <v>41671</v>
      </c>
      <c r="F14302" s="2">
        <f t="shared" si="2351"/>
        <v>41759</v>
      </c>
    </row>
    <row r="14303" spans="1:6" x14ac:dyDescent="0.25">
      <c r="A14303" s="1" t="s">
        <v>1394</v>
      </c>
      <c r="B14303" s="1" t="s">
        <v>2564</v>
      </c>
      <c r="C14303" s="1" t="s">
        <v>359</v>
      </c>
      <c r="D14303" s="3">
        <f>VALUE("7061")</f>
        <v>7061</v>
      </c>
      <c r="E14303" s="2">
        <f>DATEVALUE("1-5-2010")</f>
        <v>40299</v>
      </c>
      <c r="F14303" s="2">
        <f>DATEVALUE("31-12-2011")</f>
        <v>40908</v>
      </c>
    </row>
    <row r="14304" spans="1:6" x14ac:dyDescent="0.25">
      <c r="A14304" s="1" t="s">
        <v>1394</v>
      </c>
      <c r="B14304" s="1" t="s">
        <v>2564</v>
      </c>
      <c r="C14304" s="1" t="s">
        <v>310</v>
      </c>
      <c r="D14304" s="3">
        <f>VALUE("7061")</f>
        <v>7061</v>
      </c>
      <c r="E14304" s="2">
        <f>DATEVALUE("1-5-2010")</f>
        <v>40299</v>
      </c>
      <c r="F14304" s="2">
        <f>DATEVALUE("31-12-2011")</f>
        <v>40908</v>
      </c>
    </row>
    <row r="14305" spans="1:6" x14ac:dyDescent="0.25">
      <c r="A14305" s="1" t="s">
        <v>1394</v>
      </c>
      <c r="B14305" s="1" t="s">
        <v>2500</v>
      </c>
      <c r="C14305" s="1" t="s">
        <v>793</v>
      </c>
      <c r="D14305" s="3">
        <f>VALUE("1094")</f>
        <v>1094</v>
      </c>
      <c r="E14305" s="2">
        <f>DATEVALUE("1-3-2009")</f>
        <v>39873</v>
      </c>
      <c r="F14305" s="2">
        <f>DATEVALUE("31-12-2013")</f>
        <v>41639</v>
      </c>
    </row>
    <row r="14306" spans="1:6" x14ac:dyDescent="0.25">
      <c r="A14306" s="1" t="s">
        <v>1058</v>
      </c>
      <c r="B14306" s="1" t="s">
        <v>1057</v>
      </c>
      <c r="C14306" s="1" t="s">
        <v>8</v>
      </c>
      <c r="D14306" s="3">
        <f t="shared" ref="D14306:D14323" si="2352">VALUE("8338")</f>
        <v>8338</v>
      </c>
      <c r="E14306" s="2">
        <f t="shared" ref="E14306:E14323" si="2353">DATEVALUE("1-7-2018")</f>
        <v>43282</v>
      </c>
      <c r="F14306" s="2">
        <f t="shared" ref="F14306:F14323" si="2354">DATEVALUE("30-6-2021")</f>
        <v>44377</v>
      </c>
    </row>
    <row r="14307" spans="1:6" x14ac:dyDescent="0.25">
      <c r="A14307" s="1" t="s">
        <v>1058</v>
      </c>
      <c r="B14307" s="1" t="s">
        <v>1057</v>
      </c>
      <c r="C14307" s="1" t="s">
        <v>85</v>
      </c>
      <c r="D14307" s="3">
        <f t="shared" si="2352"/>
        <v>8338</v>
      </c>
      <c r="E14307" s="2">
        <f t="shared" si="2353"/>
        <v>43282</v>
      </c>
      <c r="F14307" s="2">
        <f t="shared" si="2354"/>
        <v>44377</v>
      </c>
    </row>
    <row r="14308" spans="1:6" x14ac:dyDescent="0.25">
      <c r="A14308" s="1" t="s">
        <v>1058</v>
      </c>
      <c r="B14308" s="1" t="s">
        <v>1057</v>
      </c>
      <c r="C14308" s="1" t="s">
        <v>84</v>
      </c>
      <c r="D14308" s="3">
        <f t="shared" si="2352"/>
        <v>8338</v>
      </c>
      <c r="E14308" s="2">
        <f t="shared" si="2353"/>
        <v>43282</v>
      </c>
      <c r="F14308" s="2">
        <f t="shared" si="2354"/>
        <v>44377</v>
      </c>
    </row>
    <row r="14309" spans="1:6" x14ac:dyDescent="0.25">
      <c r="A14309" s="1" t="s">
        <v>1058</v>
      </c>
      <c r="B14309" s="1" t="s">
        <v>1057</v>
      </c>
      <c r="C14309" s="1" t="s">
        <v>14</v>
      </c>
      <c r="D14309" s="3">
        <f t="shared" si="2352"/>
        <v>8338</v>
      </c>
      <c r="E14309" s="2">
        <f t="shared" si="2353"/>
        <v>43282</v>
      </c>
      <c r="F14309" s="2">
        <f t="shared" si="2354"/>
        <v>44377</v>
      </c>
    </row>
    <row r="14310" spans="1:6" x14ac:dyDescent="0.25">
      <c r="A14310" s="1" t="s">
        <v>1058</v>
      </c>
      <c r="B14310" s="1" t="s">
        <v>1057</v>
      </c>
      <c r="C14310" s="1" t="s">
        <v>66</v>
      </c>
      <c r="D14310" s="3">
        <f t="shared" si="2352"/>
        <v>8338</v>
      </c>
      <c r="E14310" s="2">
        <f t="shared" si="2353"/>
        <v>43282</v>
      </c>
      <c r="F14310" s="2">
        <f t="shared" si="2354"/>
        <v>44377</v>
      </c>
    </row>
    <row r="14311" spans="1:6" x14ac:dyDescent="0.25">
      <c r="A14311" s="1" t="s">
        <v>1058</v>
      </c>
      <c r="B14311" s="1" t="s">
        <v>1057</v>
      </c>
      <c r="C14311" s="1" t="s">
        <v>89</v>
      </c>
      <c r="D14311" s="3">
        <f t="shared" si="2352"/>
        <v>8338</v>
      </c>
      <c r="E14311" s="2">
        <f t="shared" si="2353"/>
        <v>43282</v>
      </c>
      <c r="F14311" s="2">
        <f t="shared" si="2354"/>
        <v>44377</v>
      </c>
    </row>
    <row r="14312" spans="1:6" x14ac:dyDescent="0.25">
      <c r="A14312" s="1" t="s">
        <v>1058</v>
      </c>
      <c r="B14312" s="1" t="s">
        <v>1057</v>
      </c>
      <c r="C14312" s="1" t="s">
        <v>17</v>
      </c>
      <c r="D14312" s="3">
        <f t="shared" si="2352"/>
        <v>8338</v>
      </c>
      <c r="E14312" s="2">
        <f t="shared" si="2353"/>
        <v>43282</v>
      </c>
      <c r="F14312" s="2">
        <f t="shared" si="2354"/>
        <v>44377</v>
      </c>
    </row>
    <row r="14313" spans="1:6" x14ac:dyDescent="0.25">
      <c r="A14313" s="1" t="s">
        <v>1058</v>
      </c>
      <c r="B14313" s="1" t="s">
        <v>1057</v>
      </c>
      <c r="C14313" s="1" t="s">
        <v>197</v>
      </c>
      <c r="D14313" s="3">
        <f t="shared" si="2352"/>
        <v>8338</v>
      </c>
      <c r="E14313" s="2">
        <f t="shared" si="2353"/>
        <v>43282</v>
      </c>
      <c r="F14313" s="2">
        <f t="shared" si="2354"/>
        <v>44377</v>
      </c>
    </row>
    <row r="14314" spans="1:6" x14ac:dyDescent="0.25">
      <c r="A14314" s="1" t="s">
        <v>1058</v>
      </c>
      <c r="B14314" s="1" t="s">
        <v>1057</v>
      </c>
      <c r="C14314" s="1" t="s">
        <v>22</v>
      </c>
      <c r="D14314" s="3">
        <f t="shared" si="2352"/>
        <v>8338</v>
      </c>
      <c r="E14314" s="2">
        <f t="shared" si="2353"/>
        <v>43282</v>
      </c>
      <c r="F14314" s="2">
        <f t="shared" si="2354"/>
        <v>44377</v>
      </c>
    </row>
    <row r="14315" spans="1:6" x14ac:dyDescent="0.25">
      <c r="A14315" s="1" t="s">
        <v>1058</v>
      </c>
      <c r="B14315" s="1" t="s">
        <v>1057</v>
      </c>
      <c r="C14315" s="1" t="s">
        <v>146</v>
      </c>
      <c r="D14315" s="3">
        <f t="shared" si="2352"/>
        <v>8338</v>
      </c>
      <c r="E14315" s="2">
        <f t="shared" si="2353"/>
        <v>43282</v>
      </c>
      <c r="F14315" s="2">
        <f t="shared" si="2354"/>
        <v>44377</v>
      </c>
    </row>
    <row r="14316" spans="1:6" x14ac:dyDescent="0.25">
      <c r="A14316" s="1" t="s">
        <v>1058</v>
      </c>
      <c r="B14316" s="1" t="s">
        <v>1057</v>
      </c>
      <c r="C14316" s="1" t="s">
        <v>148</v>
      </c>
      <c r="D14316" s="3">
        <f t="shared" si="2352"/>
        <v>8338</v>
      </c>
      <c r="E14316" s="2">
        <f t="shared" si="2353"/>
        <v>43282</v>
      </c>
      <c r="F14316" s="2">
        <f t="shared" si="2354"/>
        <v>44377</v>
      </c>
    </row>
    <row r="14317" spans="1:6" x14ac:dyDescent="0.25">
      <c r="A14317" s="1" t="s">
        <v>1058</v>
      </c>
      <c r="B14317" s="1" t="s">
        <v>1057</v>
      </c>
      <c r="C14317" s="1" t="s">
        <v>92</v>
      </c>
      <c r="D14317" s="3">
        <f t="shared" si="2352"/>
        <v>8338</v>
      </c>
      <c r="E14317" s="2">
        <f t="shared" si="2353"/>
        <v>43282</v>
      </c>
      <c r="F14317" s="2">
        <f t="shared" si="2354"/>
        <v>44377</v>
      </c>
    </row>
    <row r="14318" spans="1:6" x14ac:dyDescent="0.25">
      <c r="A14318" s="1" t="s">
        <v>1058</v>
      </c>
      <c r="B14318" s="1" t="s">
        <v>1057</v>
      </c>
      <c r="C14318" s="1" t="s">
        <v>94</v>
      </c>
      <c r="D14318" s="3">
        <f t="shared" si="2352"/>
        <v>8338</v>
      </c>
      <c r="E14318" s="2">
        <f t="shared" si="2353"/>
        <v>43282</v>
      </c>
      <c r="F14318" s="2">
        <f t="shared" si="2354"/>
        <v>44377</v>
      </c>
    </row>
    <row r="14319" spans="1:6" x14ac:dyDescent="0.25">
      <c r="A14319" s="1" t="s">
        <v>1058</v>
      </c>
      <c r="B14319" s="1" t="s">
        <v>1057</v>
      </c>
      <c r="C14319" s="1" t="s">
        <v>24</v>
      </c>
      <c r="D14319" s="3">
        <f t="shared" si="2352"/>
        <v>8338</v>
      </c>
      <c r="E14319" s="2">
        <f t="shared" si="2353"/>
        <v>43282</v>
      </c>
      <c r="F14319" s="2">
        <f t="shared" si="2354"/>
        <v>44377</v>
      </c>
    </row>
    <row r="14320" spans="1:6" x14ac:dyDescent="0.25">
      <c r="A14320" s="1" t="s">
        <v>1058</v>
      </c>
      <c r="B14320" s="1" t="s">
        <v>1057</v>
      </c>
      <c r="C14320" s="1" t="s">
        <v>283</v>
      </c>
      <c r="D14320" s="3">
        <f t="shared" si="2352"/>
        <v>8338</v>
      </c>
      <c r="E14320" s="2">
        <f t="shared" si="2353"/>
        <v>43282</v>
      </c>
      <c r="F14320" s="2">
        <f t="shared" si="2354"/>
        <v>44377</v>
      </c>
    </row>
    <row r="14321" spans="1:6" x14ac:dyDescent="0.25">
      <c r="A14321" s="1" t="s">
        <v>1058</v>
      </c>
      <c r="B14321" s="1" t="s">
        <v>1057</v>
      </c>
      <c r="C14321" s="1" t="s">
        <v>34</v>
      </c>
      <c r="D14321" s="3">
        <f t="shared" si="2352"/>
        <v>8338</v>
      </c>
      <c r="E14321" s="2">
        <f t="shared" si="2353"/>
        <v>43282</v>
      </c>
      <c r="F14321" s="2">
        <f t="shared" si="2354"/>
        <v>44377</v>
      </c>
    </row>
    <row r="14322" spans="1:6" x14ac:dyDescent="0.25">
      <c r="A14322" s="1" t="s">
        <v>1058</v>
      </c>
      <c r="B14322" s="1" t="s">
        <v>1057</v>
      </c>
      <c r="C14322" s="1" t="s">
        <v>55</v>
      </c>
      <c r="D14322" s="3">
        <f t="shared" si="2352"/>
        <v>8338</v>
      </c>
      <c r="E14322" s="2">
        <f t="shared" si="2353"/>
        <v>43282</v>
      </c>
      <c r="F14322" s="2">
        <f t="shared" si="2354"/>
        <v>44377</v>
      </c>
    </row>
    <row r="14323" spans="1:6" x14ac:dyDescent="0.25">
      <c r="A14323" s="1" t="s">
        <v>1058</v>
      </c>
      <c r="B14323" s="1" t="s">
        <v>1057</v>
      </c>
      <c r="C14323" s="1" t="s">
        <v>36</v>
      </c>
      <c r="D14323" s="3">
        <f t="shared" si="2352"/>
        <v>8338</v>
      </c>
      <c r="E14323" s="2">
        <f t="shared" si="2353"/>
        <v>43282</v>
      </c>
      <c r="F14323" s="2">
        <f t="shared" si="2354"/>
        <v>44377</v>
      </c>
    </row>
    <row r="14324" spans="1:6" x14ac:dyDescent="0.25">
      <c r="A14324" s="1" t="s">
        <v>429</v>
      </c>
      <c r="B14324" s="1" t="s">
        <v>1271</v>
      </c>
      <c r="C14324" s="1" t="s">
        <v>1272</v>
      </c>
      <c r="D14324" s="3">
        <f>VALUE("8523")</f>
        <v>8523</v>
      </c>
      <c r="E14324" s="2">
        <f>DATEVALUE("1-5-2019")</f>
        <v>43586</v>
      </c>
      <c r="F14324" s="2">
        <f>DATEVALUE("31-3-2021")</f>
        <v>44286</v>
      </c>
    </row>
    <row r="14325" spans="1:6" x14ac:dyDescent="0.25">
      <c r="A14325" s="1" t="s">
        <v>429</v>
      </c>
      <c r="B14325" s="1" t="s">
        <v>1271</v>
      </c>
      <c r="C14325" s="1" t="s">
        <v>451</v>
      </c>
      <c r="D14325" s="3">
        <f>VALUE("8523")</f>
        <v>8523</v>
      </c>
      <c r="E14325" s="2">
        <f>DATEVALUE("1-5-2019")</f>
        <v>43586</v>
      </c>
      <c r="F14325" s="2">
        <f>DATEVALUE("31-3-2021")</f>
        <v>44286</v>
      </c>
    </row>
    <row r="14326" spans="1:6" x14ac:dyDescent="0.25">
      <c r="A14326" s="1" t="s">
        <v>429</v>
      </c>
      <c r="B14326" s="1" t="s">
        <v>1271</v>
      </c>
      <c r="C14326" s="1" t="s">
        <v>157</v>
      </c>
      <c r="D14326" s="3">
        <f>VALUE("8523")</f>
        <v>8523</v>
      </c>
      <c r="E14326" s="2">
        <f>DATEVALUE("1-5-2019")</f>
        <v>43586</v>
      </c>
      <c r="F14326" s="2">
        <f>DATEVALUE("31-3-2021")</f>
        <v>44286</v>
      </c>
    </row>
    <row r="14327" spans="1:6" x14ac:dyDescent="0.25">
      <c r="A14327" s="1" t="s">
        <v>429</v>
      </c>
      <c r="B14327" s="1" t="s">
        <v>1271</v>
      </c>
      <c r="C14327" s="1" t="s">
        <v>157</v>
      </c>
      <c r="D14327" s="3">
        <f>VALUE("8523")</f>
        <v>8523</v>
      </c>
      <c r="E14327" s="2">
        <f>DATEVALUE("1-5-2019")</f>
        <v>43586</v>
      </c>
      <c r="F14327" s="2">
        <f>DATEVALUE("31-3-2021")</f>
        <v>44286</v>
      </c>
    </row>
    <row r="14328" spans="1:6" x14ac:dyDescent="0.25">
      <c r="A14328" s="1" t="s">
        <v>429</v>
      </c>
      <c r="B14328" s="1" t="s">
        <v>941</v>
      </c>
      <c r="C14328" s="1" t="s">
        <v>85</v>
      </c>
      <c r="D14328" s="3">
        <f t="shared" ref="D14328:D14346" si="2355">VALUE("8217")</f>
        <v>8217</v>
      </c>
      <c r="E14328" s="2">
        <f t="shared" ref="E14328:E14346" si="2356">DATEVALUE("1-2-2018")</f>
        <v>43132</v>
      </c>
      <c r="F14328" s="2">
        <f t="shared" ref="F14328:F14346" si="2357">DATEVALUE("31-12-2021")</f>
        <v>44561</v>
      </c>
    </row>
    <row r="14329" spans="1:6" x14ac:dyDescent="0.25">
      <c r="A14329" s="1" t="s">
        <v>429</v>
      </c>
      <c r="B14329" s="1" t="s">
        <v>941</v>
      </c>
      <c r="C14329" s="1" t="s">
        <v>84</v>
      </c>
      <c r="D14329" s="3">
        <f t="shared" si="2355"/>
        <v>8217</v>
      </c>
      <c r="E14329" s="2">
        <f t="shared" si="2356"/>
        <v>43132</v>
      </c>
      <c r="F14329" s="2">
        <f t="shared" si="2357"/>
        <v>44561</v>
      </c>
    </row>
    <row r="14330" spans="1:6" x14ac:dyDescent="0.25">
      <c r="A14330" s="1" t="s">
        <v>429</v>
      </c>
      <c r="B14330" s="1" t="s">
        <v>941</v>
      </c>
      <c r="C14330" s="1" t="s">
        <v>14</v>
      </c>
      <c r="D14330" s="3">
        <f t="shared" si="2355"/>
        <v>8217</v>
      </c>
      <c r="E14330" s="2">
        <f t="shared" si="2356"/>
        <v>43132</v>
      </c>
      <c r="F14330" s="2">
        <f t="shared" si="2357"/>
        <v>44561</v>
      </c>
    </row>
    <row r="14331" spans="1:6" x14ac:dyDescent="0.25">
      <c r="A14331" s="1" t="s">
        <v>429</v>
      </c>
      <c r="B14331" s="1" t="s">
        <v>941</v>
      </c>
      <c r="C14331" s="1" t="s">
        <v>66</v>
      </c>
      <c r="D14331" s="3">
        <f t="shared" si="2355"/>
        <v>8217</v>
      </c>
      <c r="E14331" s="2">
        <f t="shared" si="2356"/>
        <v>43132</v>
      </c>
      <c r="F14331" s="2">
        <f t="shared" si="2357"/>
        <v>44561</v>
      </c>
    </row>
    <row r="14332" spans="1:6" x14ac:dyDescent="0.25">
      <c r="A14332" s="1" t="s">
        <v>429</v>
      </c>
      <c r="B14332" s="1" t="s">
        <v>941</v>
      </c>
      <c r="C14332" s="1" t="s">
        <v>15</v>
      </c>
      <c r="D14332" s="3">
        <f t="shared" si="2355"/>
        <v>8217</v>
      </c>
      <c r="E14332" s="2">
        <f t="shared" si="2356"/>
        <v>43132</v>
      </c>
      <c r="F14332" s="2">
        <f t="shared" si="2357"/>
        <v>44561</v>
      </c>
    </row>
    <row r="14333" spans="1:6" x14ac:dyDescent="0.25">
      <c r="A14333" s="1" t="s">
        <v>429</v>
      </c>
      <c r="B14333" s="1" t="s">
        <v>941</v>
      </c>
      <c r="C14333" s="1" t="s">
        <v>16</v>
      </c>
      <c r="D14333" s="3">
        <f t="shared" si="2355"/>
        <v>8217</v>
      </c>
      <c r="E14333" s="2">
        <f t="shared" si="2356"/>
        <v>43132</v>
      </c>
      <c r="F14333" s="2">
        <f t="shared" si="2357"/>
        <v>44561</v>
      </c>
    </row>
    <row r="14334" spans="1:6" x14ac:dyDescent="0.25">
      <c r="A14334" s="1" t="s">
        <v>429</v>
      </c>
      <c r="B14334" s="1" t="s">
        <v>941</v>
      </c>
      <c r="C14334" s="1" t="s">
        <v>89</v>
      </c>
      <c r="D14334" s="3">
        <f t="shared" si="2355"/>
        <v>8217</v>
      </c>
      <c r="E14334" s="2">
        <f t="shared" si="2356"/>
        <v>43132</v>
      </c>
      <c r="F14334" s="2">
        <f t="shared" si="2357"/>
        <v>44561</v>
      </c>
    </row>
    <row r="14335" spans="1:6" x14ac:dyDescent="0.25">
      <c r="A14335" s="1" t="s">
        <v>429</v>
      </c>
      <c r="B14335" s="1" t="s">
        <v>941</v>
      </c>
      <c r="C14335" s="1" t="s">
        <v>17</v>
      </c>
      <c r="D14335" s="3">
        <f t="shared" si="2355"/>
        <v>8217</v>
      </c>
      <c r="E14335" s="2">
        <f t="shared" si="2356"/>
        <v>43132</v>
      </c>
      <c r="F14335" s="2">
        <f t="shared" si="2357"/>
        <v>44561</v>
      </c>
    </row>
    <row r="14336" spans="1:6" x14ac:dyDescent="0.25">
      <c r="A14336" s="1" t="s">
        <v>429</v>
      </c>
      <c r="B14336" s="1" t="s">
        <v>941</v>
      </c>
      <c r="C14336" s="1" t="s">
        <v>146</v>
      </c>
      <c r="D14336" s="3">
        <f t="shared" si="2355"/>
        <v>8217</v>
      </c>
      <c r="E14336" s="2">
        <f t="shared" si="2356"/>
        <v>43132</v>
      </c>
      <c r="F14336" s="2">
        <f t="shared" si="2357"/>
        <v>44561</v>
      </c>
    </row>
    <row r="14337" spans="1:6" x14ac:dyDescent="0.25">
      <c r="A14337" s="1" t="s">
        <v>429</v>
      </c>
      <c r="B14337" s="1" t="s">
        <v>941</v>
      </c>
      <c r="C14337" s="1" t="s">
        <v>67</v>
      </c>
      <c r="D14337" s="3">
        <f t="shared" si="2355"/>
        <v>8217</v>
      </c>
      <c r="E14337" s="2">
        <f t="shared" si="2356"/>
        <v>43132</v>
      </c>
      <c r="F14337" s="2">
        <f t="shared" si="2357"/>
        <v>44561</v>
      </c>
    </row>
    <row r="14338" spans="1:6" x14ac:dyDescent="0.25">
      <c r="A14338" s="1" t="s">
        <v>429</v>
      </c>
      <c r="B14338" s="1" t="s">
        <v>941</v>
      </c>
      <c r="C14338" s="1" t="s">
        <v>148</v>
      </c>
      <c r="D14338" s="3">
        <f t="shared" si="2355"/>
        <v>8217</v>
      </c>
      <c r="E14338" s="2">
        <f t="shared" si="2356"/>
        <v>43132</v>
      </c>
      <c r="F14338" s="2">
        <f t="shared" si="2357"/>
        <v>44561</v>
      </c>
    </row>
    <row r="14339" spans="1:6" x14ac:dyDescent="0.25">
      <c r="A14339" s="1" t="s">
        <v>429</v>
      </c>
      <c r="B14339" s="1" t="s">
        <v>941</v>
      </c>
      <c r="C14339" s="1" t="s">
        <v>149</v>
      </c>
      <c r="D14339" s="3">
        <f t="shared" si="2355"/>
        <v>8217</v>
      </c>
      <c r="E14339" s="2">
        <f t="shared" si="2356"/>
        <v>43132</v>
      </c>
      <c r="F14339" s="2">
        <f t="shared" si="2357"/>
        <v>44561</v>
      </c>
    </row>
    <row r="14340" spans="1:6" x14ac:dyDescent="0.25">
      <c r="A14340" s="1" t="s">
        <v>429</v>
      </c>
      <c r="B14340" s="1" t="s">
        <v>941</v>
      </c>
      <c r="C14340" s="1" t="s">
        <v>94</v>
      </c>
      <c r="D14340" s="3">
        <f t="shared" si="2355"/>
        <v>8217</v>
      </c>
      <c r="E14340" s="2">
        <f t="shared" si="2356"/>
        <v>43132</v>
      </c>
      <c r="F14340" s="2">
        <f t="shared" si="2357"/>
        <v>44561</v>
      </c>
    </row>
    <row r="14341" spans="1:6" x14ac:dyDescent="0.25">
      <c r="A14341" s="1" t="s">
        <v>429</v>
      </c>
      <c r="B14341" s="1" t="s">
        <v>941</v>
      </c>
      <c r="C14341" s="1" t="s">
        <v>942</v>
      </c>
      <c r="D14341" s="3">
        <f t="shared" si="2355"/>
        <v>8217</v>
      </c>
      <c r="E14341" s="2">
        <f t="shared" si="2356"/>
        <v>43132</v>
      </c>
      <c r="F14341" s="2">
        <f t="shared" si="2357"/>
        <v>44561</v>
      </c>
    </row>
    <row r="14342" spans="1:6" x14ac:dyDescent="0.25">
      <c r="A14342" s="1" t="s">
        <v>429</v>
      </c>
      <c r="B14342" s="1" t="s">
        <v>941</v>
      </c>
      <c r="C14342" s="1" t="s">
        <v>24</v>
      </c>
      <c r="D14342" s="3">
        <f t="shared" si="2355"/>
        <v>8217</v>
      </c>
      <c r="E14342" s="2">
        <f t="shared" si="2356"/>
        <v>43132</v>
      </c>
      <c r="F14342" s="2">
        <f t="shared" si="2357"/>
        <v>44561</v>
      </c>
    </row>
    <row r="14343" spans="1:6" x14ac:dyDescent="0.25">
      <c r="A14343" s="1" t="s">
        <v>429</v>
      </c>
      <c r="B14343" s="1" t="s">
        <v>941</v>
      </c>
      <c r="C14343" s="1" t="s">
        <v>73</v>
      </c>
      <c r="D14343" s="3">
        <f t="shared" si="2355"/>
        <v>8217</v>
      </c>
      <c r="E14343" s="2">
        <f t="shared" si="2356"/>
        <v>43132</v>
      </c>
      <c r="F14343" s="2">
        <f t="shared" si="2357"/>
        <v>44561</v>
      </c>
    </row>
    <row r="14344" spans="1:6" x14ac:dyDescent="0.25">
      <c r="A14344" s="1" t="s">
        <v>429</v>
      </c>
      <c r="B14344" s="1" t="s">
        <v>941</v>
      </c>
      <c r="C14344" s="1" t="s">
        <v>393</v>
      </c>
      <c r="D14344" s="3">
        <f t="shared" si="2355"/>
        <v>8217</v>
      </c>
      <c r="E14344" s="2">
        <f t="shared" si="2356"/>
        <v>43132</v>
      </c>
      <c r="F14344" s="2">
        <f t="shared" si="2357"/>
        <v>44561</v>
      </c>
    </row>
    <row r="14345" spans="1:6" x14ac:dyDescent="0.25">
      <c r="A14345" s="1" t="s">
        <v>429</v>
      </c>
      <c r="B14345" s="1" t="s">
        <v>941</v>
      </c>
      <c r="C14345" s="1" t="s">
        <v>54</v>
      </c>
      <c r="D14345" s="3">
        <f t="shared" si="2355"/>
        <v>8217</v>
      </c>
      <c r="E14345" s="2">
        <f t="shared" si="2356"/>
        <v>43132</v>
      </c>
      <c r="F14345" s="2">
        <f t="shared" si="2357"/>
        <v>44561</v>
      </c>
    </row>
    <row r="14346" spans="1:6" x14ac:dyDescent="0.25">
      <c r="A14346" s="1" t="s">
        <v>429</v>
      </c>
      <c r="B14346" s="1" t="s">
        <v>941</v>
      </c>
      <c r="C14346" s="1" t="s">
        <v>34</v>
      </c>
      <c r="D14346" s="3">
        <f t="shared" si="2355"/>
        <v>8217</v>
      </c>
      <c r="E14346" s="2">
        <f t="shared" si="2356"/>
        <v>43132</v>
      </c>
      <c r="F14346" s="2">
        <f t="shared" si="2357"/>
        <v>44561</v>
      </c>
    </row>
    <row r="14347" spans="1:6" x14ac:dyDescent="0.25">
      <c r="A14347" s="1" t="s">
        <v>429</v>
      </c>
      <c r="B14347" s="1" t="s">
        <v>428</v>
      </c>
      <c r="C14347" s="1" t="s">
        <v>8</v>
      </c>
      <c r="D14347" s="3">
        <f t="shared" ref="D14347:D14354" si="2358">VALUE("7629")</f>
        <v>7629</v>
      </c>
      <c r="E14347" s="2">
        <f t="shared" ref="E14347:E14354" si="2359">DATEVALUE("1-5-2015")</f>
        <v>42125</v>
      </c>
      <c r="F14347" s="2">
        <f t="shared" ref="F14347:F14354" si="2360">DATEVALUE("31-12-2020")</f>
        <v>44196</v>
      </c>
    </row>
    <row r="14348" spans="1:6" x14ac:dyDescent="0.25">
      <c r="A14348" s="1" t="s">
        <v>429</v>
      </c>
      <c r="B14348" s="1" t="s">
        <v>428</v>
      </c>
      <c r="C14348" s="1" t="s">
        <v>46</v>
      </c>
      <c r="D14348" s="3">
        <f t="shared" si="2358"/>
        <v>7629</v>
      </c>
      <c r="E14348" s="2">
        <f t="shared" si="2359"/>
        <v>42125</v>
      </c>
      <c r="F14348" s="2">
        <f t="shared" si="2360"/>
        <v>44196</v>
      </c>
    </row>
    <row r="14349" spans="1:6" x14ac:dyDescent="0.25">
      <c r="A14349" s="1" t="s">
        <v>429</v>
      </c>
      <c r="B14349" s="1" t="s">
        <v>428</v>
      </c>
      <c r="C14349" s="1" t="s">
        <v>15</v>
      </c>
      <c r="D14349" s="3">
        <f t="shared" si="2358"/>
        <v>7629</v>
      </c>
      <c r="E14349" s="2">
        <f t="shared" si="2359"/>
        <v>42125</v>
      </c>
      <c r="F14349" s="2">
        <f t="shared" si="2360"/>
        <v>44196</v>
      </c>
    </row>
    <row r="14350" spans="1:6" x14ac:dyDescent="0.25">
      <c r="A14350" s="1" t="s">
        <v>429</v>
      </c>
      <c r="B14350" s="1" t="s">
        <v>428</v>
      </c>
      <c r="C14350" s="1" t="s">
        <v>17</v>
      </c>
      <c r="D14350" s="3">
        <f t="shared" si="2358"/>
        <v>7629</v>
      </c>
      <c r="E14350" s="2">
        <f t="shared" si="2359"/>
        <v>42125</v>
      </c>
      <c r="F14350" s="2">
        <f t="shared" si="2360"/>
        <v>44196</v>
      </c>
    </row>
    <row r="14351" spans="1:6" x14ac:dyDescent="0.25">
      <c r="A14351" s="1" t="s">
        <v>429</v>
      </c>
      <c r="B14351" s="1" t="s">
        <v>428</v>
      </c>
      <c r="C14351" s="1" t="s">
        <v>22</v>
      </c>
      <c r="D14351" s="3">
        <f t="shared" si="2358"/>
        <v>7629</v>
      </c>
      <c r="E14351" s="2">
        <f t="shared" si="2359"/>
        <v>42125</v>
      </c>
      <c r="F14351" s="2">
        <f t="shared" si="2360"/>
        <v>44196</v>
      </c>
    </row>
    <row r="14352" spans="1:6" x14ac:dyDescent="0.25">
      <c r="A14352" s="1" t="s">
        <v>429</v>
      </c>
      <c r="B14352" s="1" t="s">
        <v>428</v>
      </c>
      <c r="C14352" s="1" t="s">
        <v>146</v>
      </c>
      <c r="D14352" s="3">
        <f t="shared" si="2358"/>
        <v>7629</v>
      </c>
      <c r="E14352" s="2">
        <f t="shared" si="2359"/>
        <v>42125</v>
      </c>
      <c r="F14352" s="2">
        <f t="shared" si="2360"/>
        <v>44196</v>
      </c>
    </row>
    <row r="14353" spans="1:6" x14ac:dyDescent="0.25">
      <c r="A14353" s="1" t="s">
        <v>429</v>
      </c>
      <c r="B14353" s="1" t="s">
        <v>428</v>
      </c>
      <c r="C14353" s="1" t="s">
        <v>148</v>
      </c>
      <c r="D14353" s="3">
        <f t="shared" si="2358"/>
        <v>7629</v>
      </c>
      <c r="E14353" s="2">
        <f t="shared" si="2359"/>
        <v>42125</v>
      </c>
      <c r="F14353" s="2">
        <f t="shared" si="2360"/>
        <v>44196</v>
      </c>
    </row>
    <row r="14354" spans="1:6" x14ac:dyDescent="0.25">
      <c r="A14354" s="1" t="s">
        <v>429</v>
      </c>
      <c r="B14354" s="1" t="s">
        <v>428</v>
      </c>
      <c r="C14354" s="1" t="s">
        <v>92</v>
      </c>
      <c r="D14354" s="3">
        <f t="shared" si="2358"/>
        <v>7629</v>
      </c>
      <c r="E14354" s="2">
        <f t="shared" si="2359"/>
        <v>42125</v>
      </c>
      <c r="F14354" s="2">
        <f t="shared" si="2360"/>
        <v>44196</v>
      </c>
    </row>
    <row r="14355" spans="1:6" x14ac:dyDescent="0.25">
      <c r="A14355" s="1" t="s">
        <v>429</v>
      </c>
      <c r="B14355" s="1" t="s">
        <v>1908</v>
      </c>
      <c r="C14355" s="1" t="s">
        <v>7</v>
      </c>
      <c r="D14355" s="3">
        <f t="shared" ref="D14355:D14364" si="2361">VALUE("7453")</f>
        <v>7453</v>
      </c>
      <c r="E14355" s="2">
        <f t="shared" ref="E14355:E14364" si="2362">DATEVALUE("1-5-2013")</f>
        <v>41395</v>
      </c>
      <c r="F14355" s="2">
        <f t="shared" ref="F14355:F14364" si="2363">DATEVALUE("30-9-2018")</f>
        <v>43373</v>
      </c>
    </row>
    <row r="14356" spans="1:6" x14ac:dyDescent="0.25">
      <c r="A14356" s="1" t="s">
        <v>429</v>
      </c>
      <c r="B14356" s="1" t="s">
        <v>1908</v>
      </c>
      <c r="C14356" s="1" t="s">
        <v>6</v>
      </c>
      <c r="D14356" s="3">
        <f t="shared" si="2361"/>
        <v>7453</v>
      </c>
      <c r="E14356" s="2">
        <f t="shared" si="2362"/>
        <v>41395</v>
      </c>
      <c r="F14356" s="2">
        <f t="shared" si="2363"/>
        <v>43373</v>
      </c>
    </row>
    <row r="14357" spans="1:6" x14ac:dyDescent="0.25">
      <c r="A14357" s="1" t="s">
        <v>429</v>
      </c>
      <c r="B14357" s="1" t="s">
        <v>1908</v>
      </c>
      <c r="C14357" s="1" t="s">
        <v>8</v>
      </c>
      <c r="D14357" s="3">
        <f t="shared" si="2361"/>
        <v>7453</v>
      </c>
      <c r="E14357" s="2">
        <f t="shared" si="2362"/>
        <v>41395</v>
      </c>
      <c r="F14357" s="2">
        <f t="shared" si="2363"/>
        <v>43373</v>
      </c>
    </row>
    <row r="14358" spans="1:6" x14ac:dyDescent="0.25">
      <c r="A14358" s="1" t="s">
        <v>429</v>
      </c>
      <c r="B14358" s="1" t="s">
        <v>1908</v>
      </c>
      <c r="C14358" s="1" t="s">
        <v>10</v>
      </c>
      <c r="D14358" s="3">
        <f t="shared" si="2361"/>
        <v>7453</v>
      </c>
      <c r="E14358" s="2">
        <f t="shared" si="2362"/>
        <v>41395</v>
      </c>
      <c r="F14358" s="2">
        <f t="shared" si="2363"/>
        <v>43373</v>
      </c>
    </row>
    <row r="14359" spans="1:6" x14ac:dyDescent="0.25">
      <c r="A14359" s="1" t="s">
        <v>429</v>
      </c>
      <c r="B14359" s="1" t="s">
        <v>1908</v>
      </c>
      <c r="C14359" s="1" t="s">
        <v>17</v>
      </c>
      <c r="D14359" s="3">
        <f t="shared" si="2361"/>
        <v>7453</v>
      </c>
      <c r="E14359" s="2">
        <f t="shared" si="2362"/>
        <v>41395</v>
      </c>
      <c r="F14359" s="2">
        <f t="shared" si="2363"/>
        <v>43373</v>
      </c>
    </row>
    <row r="14360" spans="1:6" x14ac:dyDescent="0.25">
      <c r="A14360" s="1" t="s">
        <v>429</v>
      </c>
      <c r="B14360" s="1" t="s">
        <v>1908</v>
      </c>
      <c r="C14360" s="1" t="s">
        <v>193</v>
      </c>
      <c r="D14360" s="3">
        <f t="shared" si="2361"/>
        <v>7453</v>
      </c>
      <c r="E14360" s="2">
        <f t="shared" si="2362"/>
        <v>41395</v>
      </c>
      <c r="F14360" s="2">
        <f t="shared" si="2363"/>
        <v>43373</v>
      </c>
    </row>
    <row r="14361" spans="1:6" x14ac:dyDescent="0.25">
      <c r="A14361" s="1" t="s">
        <v>429</v>
      </c>
      <c r="B14361" s="1" t="s">
        <v>1908</v>
      </c>
      <c r="C14361" s="1" t="s">
        <v>20</v>
      </c>
      <c r="D14361" s="3">
        <f t="shared" si="2361"/>
        <v>7453</v>
      </c>
      <c r="E14361" s="2">
        <f t="shared" si="2362"/>
        <v>41395</v>
      </c>
      <c r="F14361" s="2">
        <f t="shared" si="2363"/>
        <v>43373</v>
      </c>
    </row>
    <row r="14362" spans="1:6" x14ac:dyDescent="0.25">
      <c r="A14362" s="1" t="s">
        <v>429</v>
      </c>
      <c r="B14362" s="1" t="s">
        <v>1908</v>
      </c>
      <c r="C14362" s="1" t="s">
        <v>22</v>
      </c>
      <c r="D14362" s="3">
        <f t="shared" si="2361"/>
        <v>7453</v>
      </c>
      <c r="E14362" s="2">
        <f t="shared" si="2362"/>
        <v>41395</v>
      </c>
      <c r="F14362" s="2">
        <f t="shared" si="2363"/>
        <v>43373</v>
      </c>
    </row>
    <row r="14363" spans="1:6" x14ac:dyDescent="0.25">
      <c r="A14363" s="1" t="s">
        <v>429</v>
      </c>
      <c r="B14363" s="1" t="s">
        <v>1908</v>
      </c>
      <c r="C14363" s="1" t="s">
        <v>329</v>
      </c>
      <c r="D14363" s="3">
        <f t="shared" si="2361"/>
        <v>7453</v>
      </c>
      <c r="E14363" s="2">
        <f t="shared" si="2362"/>
        <v>41395</v>
      </c>
      <c r="F14363" s="2">
        <f t="shared" si="2363"/>
        <v>43373</v>
      </c>
    </row>
    <row r="14364" spans="1:6" x14ac:dyDescent="0.25">
      <c r="A14364" s="1" t="s">
        <v>429</v>
      </c>
      <c r="B14364" s="1" t="s">
        <v>1908</v>
      </c>
      <c r="C14364" s="1" t="s">
        <v>234</v>
      </c>
      <c r="D14364" s="3">
        <f t="shared" si="2361"/>
        <v>7453</v>
      </c>
      <c r="E14364" s="2">
        <f t="shared" si="2362"/>
        <v>41395</v>
      </c>
      <c r="F14364" s="2">
        <f t="shared" si="2363"/>
        <v>43373</v>
      </c>
    </row>
    <row r="14365" spans="1:6" x14ac:dyDescent="0.25">
      <c r="A14365" s="1" t="s">
        <v>669</v>
      </c>
      <c r="B14365" s="1" t="s">
        <v>1548</v>
      </c>
      <c r="C14365" s="1" t="s">
        <v>1559</v>
      </c>
      <c r="D14365" s="3">
        <f t="shared" ref="D14365:D14379" si="2364">VALUE("8739")</f>
        <v>8739</v>
      </c>
      <c r="E14365" s="2">
        <f t="shared" ref="E14365:E14379" si="2365">DATEVALUE("1-4-2020")</f>
        <v>43922</v>
      </c>
      <c r="F14365" s="2">
        <f t="shared" ref="F14365:F14379" si="2366">DATEVALUE("31-7-2021")</f>
        <v>44408</v>
      </c>
    </row>
    <row r="14366" spans="1:6" x14ac:dyDescent="0.25">
      <c r="A14366" s="1" t="s">
        <v>669</v>
      </c>
      <c r="B14366" s="1" t="s">
        <v>1548</v>
      </c>
      <c r="C14366" s="1" t="s">
        <v>1550</v>
      </c>
      <c r="D14366" s="3">
        <f t="shared" si="2364"/>
        <v>8739</v>
      </c>
      <c r="E14366" s="2">
        <f t="shared" si="2365"/>
        <v>43922</v>
      </c>
      <c r="F14366" s="2">
        <f t="shared" si="2366"/>
        <v>44408</v>
      </c>
    </row>
    <row r="14367" spans="1:6" x14ac:dyDescent="0.25">
      <c r="A14367" s="1" t="s">
        <v>669</v>
      </c>
      <c r="B14367" s="1" t="s">
        <v>1548</v>
      </c>
      <c r="C14367" s="1" t="s">
        <v>1549</v>
      </c>
      <c r="D14367" s="3">
        <f t="shared" si="2364"/>
        <v>8739</v>
      </c>
      <c r="E14367" s="2">
        <f t="shared" si="2365"/>
        <v>43922</v>
      </c>
      <c r="F14367" s="2">
        <f t="shared" si="2366"/>
        <v>44408</v>
      </c>
    </row>
    <row r="14368" spans="1:6" x14ac:dyDescent="0.25">
      <c r="A14368" s="1" t="s">
        <v>669</v>
      </c>
      <c r="B14368" s="1" t="s">
        <v>1548</v>
      </c>
      <c r="C14368" s="1" t="s">
        <v>1552</v>
      </c>
      <c r="D14368" s="3">
        <f t="shared" si="2364"/>
        <v>8739</v>
      </c>
      <c r="E14368" s="2">
        <f t="shared" si="2365"/>
        <v>43922</v>
      </c>
      <c r="F14368" s="2">
        <f t="shared" si="2366"/>
        <v>44408</v>
      </c>
    </row>
    <row r="14369" spans="1:6" x14ac:dyDescent="0.25">
      <c r="A14369" s="1" t="s">
        <v>669</v>
      </c>
      <c r="B14369" s="1" t="s">
        <v>1548</v>
      </c>
      <c r="C14369" s="1" t="s">
        <v>1551</v>
      </c>
      <c r="D14369" s="3">
        <f t="shared" si="2364"/>
        <v>8739</v>
      </c>
      <c r="E14369" s="2">
        <f t="shared" si="2365"/>
        <v>43922</v>
      </c>
      <c r="F14369" s="2">
        <f t="shared" si="2366"/>
        <v>44408</v>
      </c>
    </row>
    <row r="14370" spans="1:6" x14ac:dyDescent="0.25">
      <c r="A14370" s="1" t="s">
        <v>669</v>
      </c>
      <c r="B14370" s="1" t="s">
        <v>1548</v>
      </c>
      <c r="C14370" s="1" t="s">
        <v>1554</v>
      </c>
      <c r="D14370" s="3">
        <f t="shared" si="2364"/>
        <v>8739</v>
      </c>
      <c r="E14370" s="2">
        <f t="shared" si="2365"/>
        <v>43922</v>
      </c>
      <c r="F14370" s="2">
        <f t="shared" si="2366"/>
        <v>44408</v>
      </c>
    </row>
    <row r="14371" spans="1:6" x14ac:dyDescent="0.25">
      <c r="A14371" s="1" t="s">
        <v>669</v>
      </c>
      <c r="B14371" s="1" t="s">
        <v>1548</v>
      </c>
      <c r="C14371" s="1" t="s">
        <v>1553</v>
      </c>
      <c r="D14371" s="3">
        <f t="shared" si="2364"/>
        <v>8739</v>
      </c>
      <c r="E14371" s="2">
        <f t="shared" si="2365"/>
        <v>43922</v>
      </c>
      <c r="F14371" s="2">
        <f t="shared" si="2366"/>
        <v>44408</v>
      </c>
    </row>
    <row r="14372" spans="1:6" x14ac:dyDescent="0.25">
      <c r="A14372" s="1" t="s">
        <v>669</v>
      </c>
      <c r="B14372" s="1" t="s">
        <v>1548</v>
      </c>
      <c r="C14372" s="1" t="s">
        <v>1555</v>
      </c>
      <c r="D14372" s="3">
        <f t="shared" si="2364"/>
        <v>8739</v>
      </c>
      <c r="E14372" s="2">
        <f t="shared" si="2365"/>
        <v>43922</v>
      </c>
      <c r="F14372" s="2">
        <f t="shared" si="2366"/>
        <v>44408</v>
      </c>
    </row>
    <row r="14373" spans="1:6" x14ac:dyDescent="0.25">
      <c r="A14373" s="1" t="s">
        <v>669</v>
      </c>
      <c r="B14373" s="1" t="s">
        <v>1548</v>
      </c>
      <c r="C14373" s="1" t="s">
        <v>1556</v>
      </c>
      <c r="D14373" s="3">
        <f t="shared" si="2364"/>
        <v>8739</v>
      </c>
      <c r="E14373" s="2">
        <f t="shared" si="2365"/>
        <v>43922</v>
      </c>
      <c r="F14373" s="2">
        <f t="shared" si="2366"/>
        <v>44408</v>
      </c>
    </row>
    <row r="14374" spans="1:6" x14ac:dyDescent="0.25">
      <c r="A14374" s="1" t="s">
        <v>669</v>
      </c>
      <c r="B14374" s="1" t="s">
        <v>1548</v>
      </c>
      <c r="C14374" s="1" t="s">
        <v>1557</v>
      </c>
      <c r="D14374" s="3">
        <f t="shared" si="2364"/>
        <v>8739</v>
      </c>
      <c r="E14374" s="2">
        <f t="shared" si="2365"/>
        <v>43922</v>
      </c>
      <c r="F14374" s="2">
        <f t="shared" si="2366"/>
        <v>44408</v>
      </c>
    </row>
    <row r="14375" spans="1:6" x14ac:dyDescent="0.25">
      <c r="A14375" s="1" t="s">
        <v>669</v>
      </c>
      <c r="B14375" s="1" t="s">
        <v>1548</v>
      </c>
      <c r="C14375" s="1" t="s">
        <v>1558</v>
      </c>
      <c r="D14375" s="3">
        <f t="shared" si="2364"/>
        <v>8739</v>
      </c>
      <c r="E14375" s="2">
        <f t="shared" si="2365"/>
        <v>43922</v>
      </c>
      <c r="F14375" s="2">
        <f t="shared" si="2366"/>
        <v>44408</v>
      </c>
    </row>
    <row r="14376" spans="1:6" x14ac:dyDescent="0.25">
      <c r="A14376" s="1" t="s">
        <v>669</v>
      </c>
      <c r="B14376" s="1" t="s">
        <v>1548</v>
      </c>
      <c r="C14376" s="1" t="s">
        <v>417</v>
      </c>
      <c r="D14376" s="3">
        <f t="shared" si="2364"/>
        <v>8739</v>
      </c>
      <c r="E14376" s="2">
        <f t="shared" si="2365"/>
        <v>43922</v>
      </c>
      <c r="F14376" s="2">
        <f t="shared" si="2366"/>
        <v>44408</v>
      </c>
    </row>
    <row r="14377" spans="1:6" x14ac:dyDescent="0.25">
      <c r="A14377" s="1" t="s">
        <v>669</v>
      </c>
      <c r="B14377" s="1" t="s">
        <v>1548</v>
      </c>
      <c r="C14377" s="1" t="s">
        <v>72</v>
      </c>
      <c r="D14377" s="3">
        <f t="shared" si="2364"/>
        <v>8739</v>
      </c>
      <c r="E14377" s="2">
        <f t="shared" si="2365"/>
        <v>43922</v>
      </c>
      <c r="F14377" s="2">
        <f t="shared" si="2366"/>
        <v>44408</v>
      </c>
    </row>
    <row r="14378" spans="1:6" x14ac:dyDescent="0.25">
      <c r="A14378" s="1" t="s">
        <v>669</v>
      </c>
      <c r="B14378" s="1" t="s">
        <v>1548</v>
      </c>
      <c r="C14378" s="1" t="s">
        <v>73</v>
      </c>
      <c r="D14378" s="3">
        <f t="shared" si="2364"/>
        <v>8739</v>
      </c>
      <c r="E14378" s="2">
        <f t="shared" si="2365"/>
        <v>43922</v>
      </c>
      <c r="F14378" s="2">
        <f t="shared" si="2366"/>
        <v>44408</v>
      </c>
    </row>
    <row r="14379" spans="1:6" x14ac:dyDescent="0.25">
      <c r="A14379" s="1" t="s">
        <v>669</v>
      </c>
      <c r="B14379" s="1" t="s">
        <v>1548</v>
      </c>
      <c r="C14379" s="1" t="s">
        <v>52</v>
      </c>
      <c r="D14379" s="3">
        <f t="shared" si="2364"/>
        <v>8739</v>
      </c>
      <c r="E14379" s="2">
        <f t="shared" si="2365"/>
        <v>43922</v>
      </c>
      <c r="F14379" s="2">
        <f t="shared" si="2366"/>
        <v>44408</v>
      </c>
    </row>
    <row r="14380" spans="1:6" x14ac:dyDescent="0.25">
      <c r="A14380" s="1" t="s">
        <v>669</v>
      </c>
      <c r="B14380" s="1" t="s">
        <v>1804</v>
      </c>
      <c r="C14380" s="1" t="s">
        <v>361</v>
      </c>
      <c r="D14380" s="3">
        <f t="shared" ref="D14380:D14396" si="2367">VALUE("8482")</f>
        <v>8482</v>
      </c>
      <c r="E14380" s="2">
        <f t="shared" ref="E14380:E14396" si="2368">DATEVALUE("1-3-2019")</f>
        <v>43525</v>
      </c>
      <c r="F14380" s="2">
        <f t="shared" ref="F14380:F14396" si="2369">DATEVALUE("31-12-2019")</f>
        <v>43830</v>
      </c>
    </row>
    <row r="14381" spans="1:6" x14ac:dyDescent="0.25">
      <c r="A14381" s="1" t="s">
        <v>669</v>
      </c>
      <c r="B14381" s="1" t="s">
        <v>1804</v>
      </c>
      <c r="C14381" s="1" t="s">
        <v>410</v>
      </c>
      <c r="D14381" s="3">
        <f t="shared" si="2367"/>
        <v>8482</v>
      </c>
      <c r="E14381" s="2">
        <f t="shared" si="2368"/>
        <v>43525</v>
      </c>
      <c r="F14381" s="2">
        <f t="shared" si="2369"/>
        <v>43830</v>
      </c>
    </row>
    <row r="14382" spans="1:6" x14ac:dyDescent="0.25">
      <c r="A14382" s="1" t="s">
        <v>669</v>
      </c>
      <c r="B14382" s="1" t="s">
        <v>1804</v>
      </c>
      <c r="C14382" s="1" t="s">
        <v>411</v>
      </c>
      <c r="D14382" s="3">
        <f t="shared" si="2367"/>
        <v>8482</v>
      </c>
      <c r="E14382" s="2">
        <f t="shared" si="2368"/>
        <v>43525</v>
      </c>
      <c r="F14382" s="2">
        <f t="shared" si="2369"/>
        <v>43830</v>
      </c>
    </row>
    <row r="14383" spans="1:6" x14ac:dyDescent="0.25">
      <c r="A14383" s="1" t="s">
        <v>669</v>
      </c>
      <c r="B14383" s="1" t="s">
        <v>1804</v>
      </c>
      <c r="C14383" s="1" t="s">
        <v>139</v>
      </c>
      <c r="D14383" s="3">
        <f t="shared" si="2367"/>
        <v>8482</v>
      </c>
      <c r="E14383" s="2">
        <f t="shared" si="2368"/>
        <v>43525</v>
      </c>
      <c r="F14383" s="2">
        <f t="shared" si="2369"/>
        <v>43830</v>
      </c>
    </row>
    <row r="14384" spans="1:6" x14ac:dyDescent="0.25">
      <c r="A14384" s="1" t="s">
        <v>669</v>
      </c>
      <c r="B14384" s="1" t="s">
        <v>1804</v>
      </c>
      <c r="C14384" s="1" t="s">
        <v>184</v>
      </c>
      <c r="D14384" s="3">
        <f t="shared" si="2367"/>
        <v>8482</v>
      </c>
      <c r="E14384" s="2">
        <f t="shared" si="2368"/>
        <v>43525</v>
      </c>
      <c r="F14384" s="2">
        <f t="shared" si="2369"/>
        <v>43830</v>
      </c>
    </row>
    <row r="14385" spans="1:6" x14ac:dyDescent="0.25">
      <c r="A14385" s="1" t="s">
        <v>669</v>
      </c>
      <c r="B14385" s="1" t="s">
        <v>1804</v>
      </c>
      <c r="C14385" s="1" t="s">
        <v>141</v>
      </c>
      <c r="D14385" s="3">
        <f t="shared" si="2367"/>
        <v>8482</v>
      </c>
      <c r="E14385" s="2">
        <f t="shared" si="2368"/>
        <v>43525</v>
      </c>
      <c r="F14385" s="2">
        <f t="shared" si="2369"/>
        <v>43830</v>
      </c>
    </row>
    <row r="14386" spans="1:6" x14ac:dyDescent="0.25">
      <c r="A14386" s="1" t="s">
        <v>669</v>
      </c>
      <c r="B14386" s="1" t="s">
        <v>1804</v>
      </c>
      <c r="C14386" s="1" t="s">
        <v>14</v>
      </c>
      <c r="D14386" s="3">
        <f t="shared" si="2367"/>
        <v>8482</v>
      </c>
      <c r="E14386" s="2">
        <f t="shared" si="2368"/>
        <v>43525</v>
      </c>
      <c r="F14386" s="2">
        <f t="shared" si="2369"/>
        <v>43830</v>
      </c>
    </row>
    <row r="14387" spans="1:6" x14ac:dyDescent="0.25">
      <c r="A14387" s="1" t="s">
        <v>669</v>
      </c>
      <c r="B14387" s="1" t="s">
        <v>1804</v>
      </c>
      <c r="C14387" s="1" t="s">
        <v>17</v>
      </c>
      <c r="D14387" s="3">
        <f t="shared" si="2367"/>
        <v>8482</v>
      </c>
      <c r="E14387" s="2">
        <f t="shared" si="2368"/>
        <v>43525</v>
      </c>
      <c r="F14387" s="2">
        <f t="shared" si="2369"/>
        <v>43830</v>
      </c>
    </row>
    <row r="14388" spans="1:6" x14ac:dyDescent="0.25">
      <c r="A14388" s="1" t="s">
        <v>669</v>
      </c>
      <c r="B14388" s="1" t="s">
        <v>1804</v>
      </c>
      <c r="C14388" s="1" t="s">
        <v>22</v>
      </c>
      <c r="D14388" s="3">
        <f t="shared" si="2367"/>
        <v>8482</v>
      </c>
      <c r="E14388" s="2">
        <f t="shared" si="2368"/>
        <v>43525</v>
      </c>
      <c r="F14388" s="2">
        <f t="shared" si="2369"/>
        <v>43830</v>
      </c>
    </row>
    <row r="14389" spans="1:6" x14ac:dyDescent="0.25">
      <c r="A14389" s="1" t="s">
        <v>669</v>
      </c>
      <c r="B14389" s="1" t="s">
        <v>1804</v>
      </c>
      <c r="C14389" s="1" t="s">
        <v>92</v>
      </c>
      <c r="D14389" s="3">
        <f t="shared" si="2367"/>
        <v>8482</v>
      </c>
      <c r="E14389" s="2">
        <f t="shared" si="2368"/>
        <v>43525</v>
      </c>
      <c r="F14389" s="2">
        <f t="shared" si="2369"/>
        <v>43830</v>
      </c>
    </row>
    <row r="14390" spans="1:6" x14ac:dyDescent="0.25">
      <c r="A14390" s="1" t="s">
        <v>669</v>
      </c>
      <c r="B14390" s="1" t="s">
        <v>1804</v>
      </c>
      <c r="C14390" s="1" t="s">
        <v>1805</v>
      </c>
      <c r="D14390" s="3">
        <f t="shared" si="2367"/>
        <v>8482</v>
      </c>
      <c r="E14390" s="2">
        <f t="shared" si="2368"/>
        <v>43525</v>
      </c>
      <c r="F14390" s="2">
        <f t="shared" si="2369"/>
        <v>43830</v>
      </c>
    </row>
    <row r="14391" spans="1:6" x14ac:dyDescent="0.25">
      <c r="A14391" s="1" t="s">
        <v>669</v>
      </c>
      <c r="B14391" s="1" t="s">
        <v>1804</v>
      </c>
      <c r="C14391" s="1" t="s">
        <v>1806</v>
      </c>
      <c r="D14391" s="3">
        <f t="shared" si="2367"/>
        <v>8482</v>
      </c>
      <c r="E14391" s="2">
        <f t="shared" si="2368"/>
        <v>43525</v>
      </c>
      <c r="F14391" s="2">
        <f t="shared" si="2369"/>
        <v>43830</v>
      </c>
    </row>
    <row r="14392" spans="1:6" x14ac:dyDescent="0.25">
      <c r="A14392" s="1" t="s">
        <v>669</v>
      </c>
      <c r="B14392" s="1" t="s">
        <v>1804</v>
      </c>
      <c r="C14392" s="1" t="s">
        <v>70</v>
      </c>
      <c r="D14392" s="3">
        <f t="shared" si="2367"/>
        <v>8482</v>
      </c>
      <c r="E14392" s="2">
        <f t="shared" si="2368"/>
        <v>43525</v>
      </c>
      <c r="F14392" s="2">
        <f t="shared" si="2369"/>
        <v>43830</v>
      </c>
    </row>
    <row r="14393" spans="1:6" x14ac:dyDescent="0.25">
      <c r="A14393" s="1" t="s">
        <v>669</v>
      </c>
      <c r="B14393" s="1" t="s">
        <v>1804</v>
      </c>
      <c r="C14393" s="1" t="s">
        <v>420</v>
      </c>
      <c r="D14393" s="3">
        <f t="shared" si="2367"/>
        <v>8482</v>
      </c>
      <c r="E14393" s="2">
        <f t="shared" si="2368"/>
        <v>43525</v>
      </c>
      <c r="F14393" s="2">
        <f t="shared" si="2369"/>
        <v>43830</v>
      </c>
    </row>
    <row r="14394" spans="1:6" x14ac:dyDescent="0.25">
      <c r="A14394" s="1" t="s">
        <v>669</v>
      </c>
      <c r="B14394" s="1" t="s">
        <v>1804</v>
      </c>
      <c r="C14394" s="1" t="s">
        <v>73</v>
      </c>
      <c r="D14394" s="3">
        <f t="shared" si="2367"/>
        <v>8482</v>
      </c>
      <c r="E14394" s="2">
        <f t="shared" si="2368"/>
        <v>43525</v>
      </c>
      <c r="F14394" s="2">
        <f t="shared" si="2369"/>
        <v>43830</v>
      </c>
    </row>
    <row r="14395" spans="1:6" x14ac:dyDescent="0.25">
      <c r="A14395" s="1" t="s">
        <v>669</v>
      </c>
      <c r="B14395" s="1" t="s">
        <v>1804</v>
      </c>
      <c r="C14395" s="1" t="s">
        <v>362</v>
      </c>
      <c r="D14395" s="3">
        <f t="shared" si="2367"/>
        <v>8482</v>
      </c>
      <c r="E14395" s="2">
        <f t="shared" si="2368"/>
        <v>43525</v>
      </c>
      <c r="F14395" s="2">
        <f t="shared" si="2369"/>
        <v>43830</v>
      </c>
    </row>
    <row r="14396" spans="1:6" x14ac:dyDescent="0.25">
      <c r="A14396" s="1" t="s">
        <v>669</v>
      </c>
      <c r="B14396" s="1" t="s">
        <v>1804</v>
      </c>
      <c r="C14396" s="1" t="s">
        <v>35</v>
      </c>
      <c r="D14396" s="3">
        <f t="shared" si="2367"/>
        <v>8482</v>
      </c>
      <c r="E14396" s="2">
        <f t="shared" si="2368"/>
        <v>43525</v>
      </c>
      <c r="F14396" s="2">
        <f t="shared" si="2369"/>
        <v>43830</v>
      </c>
    </row>
    <row r="14397" spans="1:6" x14ac:dyDescent="0.25">
      <c r="A14397" s="1" t="s">
        <v>669</v>
      </c>
      <c r="B14397" s="1" t="s">
        <v>1790</v>
      </c>
      <c r="C14397" s="1" t="s">
        <v>17</v>
      </c>
      <c r="D14397" s="3">
        <f>VALUE("8373")</f>
        <v>8373</v>
      </c>
      <c r="E14397" s="2">
        <f>DATEVALUE("1-9-2018")</f>
        <v>43344</v>
      </c>
      <c r="F14397" s="2">
        <f>DATEVALUE("31-1-2019")</f>
        <v>43496</v>
      </c>
    </row>
    <row r="14398" spans="1:6" x14ac:dyDescent="0.25">
      <c r="A14398" s="1" t="s">
        <v>669</v>
      </c>
      <c r="B14398" s="1" t="s">
        <v>1790</v>
      </c>
      <c r="C14398" s="1" t="s">
        <v>22</v>
      </c>
      <c r="D14398" s="3">
        <f>VALUE("8373")</f>
        <v>8373</v>
      </c>
      <c r="E14398" s="2">
        <f>DATEVALUE("1-9-2018")</f>
        <v>43344</v>
      </c>
      <c r="F14398" s="2">
        <f>DATEVALUE("31-1-2019")</f>
        <v>43496</v>
      </c>
    </row>
    <row r="14399" spans="1:6" x14ac:dyDescent="0.25">
      <c r="A14399" s="1" t="s">
        <v>669</v>
      </c>
      <c r="B14399" s="1" t="s">
        <v>1790</v>
      </c>
      <c r="C14399" s="1" t="s">
        <v>146</v>
      </c>
      <c r="D14399" s="3">
        <f>VALUE("8373")</f>
        <v>8373</v>
      </c>
      <c r="E14399" s="2">
        <f>DATEVALUE("1-9-2018")</f>
        <v>43344</v>
      </c>
      <c r="F14399" s="2">
        <f>DATEVALUE("31-1-2019")</f>
        <v>43496</v>
      </c>
    </row>
    <row r="14400" spans="1:6" x14ac:dyDescent="0.25">
      <c r="A14400" s="1" t="s">
        <v>669</v>
      </c>
      <c r="B14400" s="1" t="s">
        <v>1790</v>
      </c>
      <c r="C14400" s="1" t="s">
        <v>73</v>
      </c>
      <c r="D14400" s="3">
        <f>VALUE("8373")</f>
        <v>8373</v>
      </c>
      <c r="E14400" s="2">
        <f>DATEVALUE("1-9-2018")</f>
        <v>43344</v>
      </c>
      <c r="F14400" s="2">
        <f>DATEVALUE("31-1-2019")</f>
        <v>43496</v>
      </c>
    </row>
    <row r="14401" spans="1:6" x14ac:dyDescent="0.25">
      <c r="A14401" s="1" t="s">
        <v>669</v>
      </c>
      <c r="B14401" s="1" t="s">
        <v>1790</v>
      </c>
      <c r="C14401" s="1" t="s">
        <v>53</v>
      </c>
      <c r="D14401" s="3">
        <f>VALUE("8373")</f>
        <v>8373</v>
      </c>
      <c r="E14401" s="2">
        <f>DATEVALUE("1-9-2018")</f>
        <v>43344</v>
      </c>
      <c r="F14401" s="2">
        <f>DATEVALUE("31-1-2019")</f>
        <v>43496</v>
      </c>
    </row>
    <row r="14402" spans="1:6" x14ac:dyDescent="0.25">
      <c r="A14402" s="1" t="s">
        <v>669</v>
      </c>
      <c r="B14402" s="1" t="s">
        <v>2285</v>
      </c>
      <c r="C14402" s="1" t="s">
        <v>17</v>
      </c>
      <c r="D14402" s="3">
        <f t="shared" ref="D14402:D14407" si="2370">VALUE("8075")</f>
        <v>8075</v>
      </c>
      <c r="E14402" s="2">
        <f t="shared" ref="E14402:E14407" si="2371">DATEVALUE("1-6-2017")</f>
        <v>42887</v>
      </c>
      <c r="F14402" s="2">
        <f t="shared" ref="F14402:F14407" si="2372">DATEVALUE("31-3-2020")</f>
        <v>43921</v>
      </c>
    </row>
    <row r="14403" spans="1:6" x14ac:dyDescent="0.25">
      <c r="A14403" s="1" t="s">
        <v>669</v>
      </c>
      <c r="B14403" s="1" t="s">
        <v>2285</v>
      </c>
      <c r="C14403" s="1" t="s">
        <v>22</v>
      </c>
      <c r="D14403" s="3">
        <f t="shared" si="2370"/>
        <v>8075</v>
      </c>
      <c r="E14403" s="2">
        <f t="shared" si="2371"/>
        <v>42887</v>
      </c>
      <c r="F14403" s="2">
        <f t="shared" si="2372"/>
        <v>43921</v>
      </c>
    </row>
    <row r="14404" spans="1:6" x14ac:dyDescent="0.25">
      <c r="A14404" s="1" t="s">
        <v>669</v>
      </c>
      <c r="B14404" s="1" t="s">
        <v>2285</v>
      </c>
      <c r="C14404" s="1" t="s">
        <v>146</v>
      </c>
      <c r="D14404" s="3">
        <f t="shared" si="2370"/>
        <v>8075</v>
      </c>
      <c r="E14404" s="2">
        <f t="shared" si="2371"/>
        <v>42887</v>
      </c>
      <c r="F14404" s="2">
        <f t="shared" si="2372"/>
        <v>43921</v>
      </c>
    </row>
    <row r="14405" spans="1:6" x14ac:dyDescent="0.25">
      <c r="A14405" s="1" t="s">
        <v>669</v>
      </c>
      <c r="B14405" s="1" t="s">
        <v>2285</v>
      </c>
      <c r="C14405" s="1" t="s">
        <v>148</v>
      </c>
      <c r="D14405" s="3">
        <f t="shared" si="2370"/>
        <v>8075</v>
      </c>
      <c r="E14405" s="2">
        <f t="shared" si="2371"/>
        <v>42887</v>
      </c>
      <c r="F14405" s="2">
        <f t="shared" si="2372"/>
        <v>43921</v>
      </c>
    </row>
    <row r="14406" spans="1:6" x14ac:dyDescent="0.25">
      <c r="A14406" s="1" t="s">
        <v>669</v>
      </c>
      <c r="B14406" s="1" t="s">
        <v>2285</v>
      </c>
      <c r="C14406" s="1" t="s">
        <v>149</v>
      </c>
      <c r="D14406" s="3">
        <f t="shared" si="2370"/>
        <v>8075</v>
      </c>
      <c r="E14406" s="2">
        <f t="shared" si="2371"/>
        <v>42887</v>
      </c>
      <c r="F14406" s="2">
        <f t="shared" si="2372"/>
        <v>43921</v>
      </c>
    </row>
    <row r="14407" spans="1:6" x14ac:dyDescent="0.25">
      <c r="A14407" s="1" t="s">
        <v>669</v>
      </c>
      <c r="B14407" s="1" t="s">
        <v>2285</v>
      </c>
      <c r="C14407" s="1" t="s">
        <v>92</v>
      </c>
      <c r="D14407" s="3">
        <f t="shared" si="2370"/>
        <v>8075</v>
      </c>
      <c r="E14407" s="2">
        <f t="shared" si="2371"/>
        <v>42887</v>
      </c>
      <c r="F14407" s="2">
        <f t="shared" si="2372"/>
        <v>43921</v>
      </c>
    </row>
    <row r="14408" spans="1:6" x14ac:dyDescent="0.25">
      <c r="A14408" s="1" t="s">
        <v>669</v>
      </c>
      <c r="B14408" s="1" t="s">
        <v>668</v>
      </c>
      <c r="C14408" s="1" t="s">
        <v>8</v>
      </c>
      <c r="D14408" s="3">
        <f t="shared" ref="D14408:D14425" si="2373">VALUE("7866")</f>
        <v>7866</v>
      </c>
      <c r="E14408" s="2">
        <f t="shared" ref="E14408:E14425" si="2374">DATEVALUE("1-3-2016")</f>
        <v>42430</v>
      </c>
      <c r="F14408" s="2">
        <f t="shared" ref="F14408:F14425" si="2375">DATEVALUE("30-4-2021")</f>
        <v>44316</v>
      </c>
    </row>
    <row r="14409" spans="1:6" x14ac:dyDescent="0.25">
      <c r="A14409" s="1" t="s">
        <v>669</v>
      </c>
      <c r="B14409" s="1" t="s">
        <v>668</v>
      </c>
      <c r="C14409" s="1" t="s">
        <v>14</v>
      </c>
      <c r="D14409" s="3">
        <f t="shared" si="2373"/>
        <v>7866</v>
      </c>
      <c r="E14409" s="2">
        <f t="shared" si="2374"/>
        <v>42430</v>
      </c>
      <c r="F14409" s="2">
        <f t="shared" si="2375"/>
        <v>44316</v>
      </c>
    </row>
    <row r="14410" spans="1:6" x14ac:dyDescent="0.25">
      <c r="A14410" s="1" t="s">
        <v>669</v>
      </c>
      <c r="B14410" s="1" t="s">
        <v>668</v>
      </c>
      <c r="C14410" s="1" t="s">
        <v>15</v>
      </c>
      <c r="D14410" s="3">
        <f t="shared" si="2373"/>
        <v>7866</v>
      </c>
      <c r="E14410" s="2">
        <f t="shared" si="2374"/>
        <v>42430</v>
      </c>
      <c r="F14410" s="2">
        <f t="shared" si="2375"/>
        <v>44316</v>
      </c>
    </row>
    <row r="14411" spans="1:6" x14ac:dyDescent="0.25">
      <c r="A14411" s="1" t="s">
        <v>669</v>
      </c>
      <c r="B14411" s="1" t="s">
        <v>668</v>
      </c>
      <c r="C14411" s="1" t="s">
        <v>17</v>
      </c>
      <c r="D14411" s="3">
        <f t="shared" si="2373"/>
        <v>7866</v>
      </c>
      <c r="E14411" s="2">
        <f t="shared" si="2374"/>
        <v>42430</v>
      </c>
      <c r="F14411" s="2">
        <f t="shared" si="2375"/>
        <v>44316</v>
      </c>
    </row>
    <row r="14412" spans="1:6" x14ac:dyDescent="0.25">
      <c r="A14412" s="1" t="s">
        <v>669</v>
      </c>
      <c r="B14412" s="1" t="s">
        <v>668</v>
      </c>
      <c r="C14412" s="1" t="s">
        <v>22</v>
      </c>
      <c r="D14412" s="3">
        <f t="shared" si="2373"/>
        <v>7866</v>
      </c>
      <c r="E14412" s="2">
        <f t="shared" si="2374"/>
        <v>42430</v>
      </c>
      <c r="F14412" s="2">
        <f t="shared" si="2375"/>
        <v>44316</v>
      </c>
    </row>
    <row r="14413" spans="1:6" x14ac:dyDescent="0.25">
      <c r="A14413" s="1" t="s">
        <v>669</v>
      </c>
      <c r="B14413" s="1" t="s">
        <v>668</v>
      </c>
      <c r="C14413" s="1" t="s">
        <v>67</v>
      </c>
      <c r="D14413" s="3">
        <f t="shared" si="2373"/>
        <v>7866</v>
      </c>
      <c r="E14413" s="2">
        <f t="shared" si="2374"/>
        <v>42430</v>
      </c>
      <c r="F14413" s="2">
        <f t="shared" si="2375"/>
        <v>44316</v>
      </c>
    </row>
    <row r="14414" spans="1:6" x14ac:dyDescent="0.25">
      <c r="A14414" s="1" t="s">
        <v>669</v>
      </c>
      <c r="B14414" s="1" t="s">
        <v>668</v>
      </c>
      <c r="C14414" s="1" t="s">
        <v>149</v>
      </c>
      <c r="D14414" s="3">
        <f t="shared" si="2373"/>
        <v>7866</v>
      </c>
      <c r="E14414" s="2">
        <f t="shared" si="2374"/>
        <v>42430</v>
      </c>
      <c r="F14414" s="2">
        <f t="shared" si="2375"/>
        <v>44316</v>
      </c>
    </row>
    <row r="14415" spans="1:6" x14ac:dyDescent="0.25">
      <c r="A14415" s="1" t="s">
        <v>669</v>
      </c>
      <c r="B14415" s="1" t="s">
        <v>668</v>
      </c>
      <c r="C14415" s="1" t="s">
        <v>92</v>
      </c>
      <c r="D14415" s="3">
        <f t="shared" si="2373"/>
        <v>7866</v>
      </c>
      <c r="E14415" s="2">
        <f t="shared" si="2374"/>
        <v>42430</v>
      </c>
      <c r="F14415" s="2">
        <f t="shared" si="2375"/>
        <v>44316</v>
      </c>
    </row>
    <row r="14416" spans="1:6" x14ac:dyDescent="0.25">
      <c r="A14416" s="1" t="s">
        <v>669</v>
      </c>
      <c r="B14416" s="1" t="s">
        <v>668</v>
      </c>
      <c r="C14416" s="1" t="s">
        <v>205</v>
      </c>
      <c r="D14416" s="3">
        <f t="shared" si="2373"/>
        <v>7866</v>
      </c>
      <c r="E14416" s="2">
        <f t="shared" si="2374"/>
        <v>42430</v>
      </c>
      <c r="F14416" s="2">
        <f t="shared" si="2375"/>
        <v>44316</v>
      </c>
    </row>
    <row r="14417" spans="1:6" x14ac:dyDescent="0.25">
      <c r="A14417" s="1" t="s">
        <v>669</v>
      </c>
      <c r="B14417" s="1" t="s">
        <v>668</v>
      </c>
      <c r="C14417" s="1" t="s">
        <v>204</v>
      </c>
      <c r="D14417" s="3">
        <f t="shared" si="2373"/>
        <v>7866</v>
      </c>
      <c r="E14417" s="2">
        <f t="shared" si="2374"/>
        <v>42430</v>
      </c>
      <c r="F14417" s="2">
        <f t="shared" si="2375"/>
        <v>44316</v>
      </c>
    </row>
    <row r="14418" spans="1:6" x14ac:dyDescent="0.25">
      <c r="A14418" s="1" t="s">
        <v>669</v>
      </c>
      <c r="B14418" s="1" t="s">
        <v>668</v>
      </c>
      <c r="C14418" s="1" t="s">
        <v>155</v>
      </c>
      <c r="D14418" s="3">
        <f t="shared" si="2373"/>
        <v>7866</v>
      </c>
      <c r="E14418" s="2">
        <f t="shared" si="2374"/>
        <v>42430</v>
      </c>
      <c r="F14418" s="2">
        <f t="shared" si="2375"/>
        <v>44316</v>
      </c>
    </row>
    <row r="14419" spans="1:6" x14ac:dyDescent="0.25">
      <c r="A14419" s="1" t="s">
        <v>669</v>
      </c>
      <c r="B14419" s="1" t="s">
        <v>668</v>
      </c>
      <c r="C14419" s="1" t="s">
        <v>24</v>
      </c>
      <c r="D14419" s="3">
        <f t="shared" si="2373"/>
        <v>7866</v>
      </c>
      <c r="E14419" s="2">
        <f t="shared" si="2374"/>
        <v>42430</v>
      </c>
      <c r="F14419" s="2">
        <f t="shared" si="2375"/>
        <v>44316</v>
      </c>
    </row>
    <row r="14420" spans="1:6" x14ac:dyDescent="0.25">
      <c r="A14420" s="1" t="s">
        <v>669</v>
      </c>
      <c r="B14420" s="1" t="s">
        <v>668</v>
      </c>
      <c r="C14420" s="1" t="s">
        <v>73</v>
      </c>
      <c r="D14420" s="3">
        <f t="shared" si="2373"/>
        <v>7866</v>
      </c>
      <c r="E14420" s="2">
        <f t="shared" si="2374"/>
        <v>42430</v>
      </c>
      <c r="F14420" s="2">
        <f t="shared" si="2375"/>
        <v>44316</v>
      </c>
    </row>
    <row r="14421" spans="1:6" x14ac:dyDescent="0.25">
      <c r="A14421" s="1" t="s">
        <v>669</v>
      </c>
      <c r="B14421" s="1" t="s">
        <v>668</v>
      </c>
      <c r="C14421" s="1" t="s">
        <v>620</v>
      </c>
      <c r="D14421" s="3">
        <f t="shared" si="2373"/>
        <v>7866</v>
      </c>
      <c r="E14421" s="2">
        <f t="shared" si="2374"/>
        <v>42430</v>
      </c>
      <c r="F14421" s="2">
        <f t="shared" si="2375"/>
        <v>44316</v>
      </c>
    </row>
    <row r="14422" spans="1:6" x14ac:dyDescent="0.25">
      <c r="A14422" s="1" t="s">
        <v>669</v>
      </c>
      <c r="B14422" s="1" t="s">
        <v>668</v>
      </c>
      <c r="C14422" s="1" t="s">
        <v>670</v>
      </c>
      <c r="D14422" s="3">
        <f t="shared" si="2373"/>
        <v>7866</v>
      </c>
      <c r="E14422" s="2">
        <f t="shared" si="2374"/>
        <v>42430</v>
      </c>
      <c r="F14422" s="2">
        <f t="shared" si="2375"/>
        <v>44316</v>
      </c>
    </row>
    <row r="14423" spans="1:6" x14ac:dyDescent="0.25">
      <c r="A14423" s="1" t="s">
        <v>669</v>
      </c>
      <c r="B14423" s="1" t="s">
        <v>668</v>
      </c>
      <c r="C14423" s="1" t="s">
        <v>162</v>
      </c>
      <c r="D14423" s="3">
        <f t="shared" si="2373"/>
        <v>7866</v>
      </c>
      <c r="E14423" s="2">
        <f t="shared" si="2374"/>
        <v>42430</v>
      </c>
      <c r="F14423" s="2">
        <f t="shared" si="2375"/>
        <v>44316</v>
      </c>
    </row>
    <row r="14424" spans="1:6" x14ac:dyDescent="0.25">
      <c r="A14424" s="1" t="s">
        <v>669</v>
      </c>
      <c r="B14424" s="1" t="s">
        <v>668</v>
      </c>
      <c r="C14424" s="1" t="s">
        <v>34</v>
      </c>
      <c r="D14424" s="3">
        <f t="shared" si="2373"/>
        <v>7866</v>
      </c>
      <c r="E14424" s="2">
        <f t="shared" si="2374"/>
        <v>42430</v>
      </c>
      <c r="F14424" s="2">
        <f t="shared" si="2375"/>
        <v>44316</v>
      </c>
    </row>
    <row r="14425" spans="1:6" x14ac:dyDescent="0.25">
      <c r="A14425" s="1" t="s">
        <v>669</v>
      </c>
      <c r="B14425" s="1" t="s">
        <v>668</v>
      </c>
      <c r="C14425" s="1" t="s">
        <v>55</v>
      </c>
      <c r="D14425" s="3">
        <f t="shared" si="2373"/>
        <v>7866</v>
      </c>
      <c r="E14425" s="2">
        <f t="shared" si="2374"/>
        <v>42430</v>
      </c>
      <c r="F14425" s="2">
        <f t="shared" si="2375"/>
        <v>44316</v>
      </c>
    </row>
    <row r="14426" spans="1:6" x14ac:dyDescent="0.25">
      <c r="A14426" s="1" t="s">
        <v>669</v>
      </c>
      <c r="B14426" s="1" t="s">
        <v>1745</v>
      </c>
      <c r="C14426" s="1" t="s">
        <v>7</v>
      </c>
      <c r="D14426" s="3">
        <f t="shared" ref="D14426:D14445" si="2376">VALUE("7826")</f>
        <v>7826</v>
      </c>
      <c r="E14426" s="2">
        <f t="shared" ref="E14426:E14445" si="2377">DATEVALUE("1-1-2016")</f>
        <v>42370</v>
      </c>
      <c r="F14426" s="2">
        <f t="shared" ref="F14426:F14445" si="2378">DATEVALUE("31-7-2020")</f>
        <v>44043</v>
      </c>
    </row>
    <row r="14427" spans="1:6" x14ac:dyDescent="0.25">
      <c r="A14427" s="1" t="s">
        <v>669</v>
      </c>
      <c r="B14427" s="1" t="s">
        <v>1745</v>
      </c>
      <c r="C14427" s="1" t="s">
        <v>5</v>
      </c>
      <c r="D14427" s="3">
        <f t="shared" si="2376"/>
        <v>7826</v>
      </c>
      <c r="E14427" s="2">
        <f t="shared" si="2377"/>
        <v>42370</v>
      </c>
      <c r="F14427" s="2">
        <f t="shared" si="2378"/>
        <v>44043</v>
      </c>
    </row>
    <row r="14428" spans="1:6" x14ac:dyDescent="0.25">
      <c r="A14428" s="1" t="s">
        <v>669</v>
      </c>
      <c r="B14428" s="1" t="s">
        <v>1745</v>
      </c>
      <c r="C14428" s="1" t="s">
        <v>6</v>
      </c>
      <c r="D14428" s="3">
        <f t="shared" si="2376"/>
        <v>7826</v>
      </c>
      <c r="E14428" s="2">
        <f t="shared" si="2377"/>
        <v>42370</v>
      </c>
      <c r="F14428" s="2">
        <f t="shared" si="2378"/>
        <v>44043</v>
      </c>
    </row>
    <row r="14429" spans="1:6" x14ac:dyDescent="0.25">
      <c r="A14429" s="1" t="s">
        <v>669</v>
      </c>
      <c r="B14429" s="1" t="s">
        <v>1745</v>
      </c>
      <c r="C14429" s="1" t="s">
        <v>8</v>
      </c>
      <c r="D14429" s="3">
        <f t="shared" si="2376"/>
        <v>7826</v>
      </c>
      <c r="E14429" s="2">
        <f t="shared" si="2377"/>
        <v>42370</v>
      </c>
      <c r="F14429" s="2">
        <f t="shared" si="2378"/>
        <v>44043</v>
      </c>
    </row>
    <row r="14430" spans="1:6" x14ac:dyDescent="0.25">
      <c r="A14430" s="1" t="s">
        <v>669</v>
      </c>
      <c r="B14430" s="1" t="s">
        <v>1745</v>
      </c>
      <c r="C14430" s="1" t="s">
        <v>410</v>
      </c>
      <c r="D14430" s="3">
        <f t="shared" si="2376"/>
        <v>7826</v>
      </c>
      <c r="E14430" s="2">
        <f t="shared" si="2377"/>
        <v>42370</v>
      </c>
      <c r="F14430" s="2">
        <f t="shared" si="2378"/>
        <v>44043</v>
      </c>
    </row>
    <row r="14431" spans="1:6" x14ac:dyDescent="0.25">
      <c r="A14431" s="1" t="s">
        <v>669</v>
      </c>
      <c r="B14431" s="1" t="s">
        <v>1745</v>
      </c>
      <c r="C14431" s="1" t="s">
        <v>10</v>
      </c>
      <c r="D14431" s="3">
        <f t="shared" si="2376"/>
        <v>7826</v>
      </c>
      <c r="E14431" s="2">
        <f t="shared" si="2377"/>
        <v>42370</v>
      </c>
      <c r="F14431" s="2">
        <f t="shared" si="2378"/>
        <v>44043</v>
      </c>
    </row>
    <row r="14432" spans="1:6" x14ac:dyDescent="0.25">
      <c r="A14432" s="1" t="s">
        <v>669</v>
      </c>
      <c r="B14432" s="1" t="s">
        <v>1745</v>
      </c>
      <c r="C14432" s="1" t="s">
        <v>11</v>
      </c>
      <c r="D14432" s="3">
        <f t="shared" si="2376"/>
        <v>7826</v>
      </c>
      <c r="E14432" s="2">
        <f t="shared" si="2377"/>
        <v>42370</v>
      </c>
      <c r="F14432" s="2">
        <f t="shared" si="2378"/>
        <v>44043</v>
      </c>
    </row>
    <row r="14433" spans="1:6" x14ac:dyDescent="0.25">
      <c r="A14433" s="1" t="s">
        <v>669</v>
      </c>
      <c r="B14433" s="1" t="s">
        <v>1745</v>
      </c>
      <c r="C14433" s="1" t="s">
        <v>61</v>
      </c>
      <c r="D14433" s="3">
        <f t="shared" si="2376"/>
        <v>7826</v>
      </c>
      <c r="E14433" s="2">
        <f t="shared" si="2377"/>
        <v>42370</v>
      </c>
      <c r="F14433" s="2">
        <f t="shared" si="2378"/>
        <v>44043</v>
      </c>
    </row>
    <row r="14434" spans="1:6" x14ac:dyDescent="0.25">
      <c r="A14434" s="1" t="s">
        <v>669</v>
      </c>
      <c r="B14434" s="1" t="s">
        <v>1745</v>
      </c>
      <c r="C14434" s="1" t="s">
        <v>13</v>
      </c>
      <c r="D14434" s="3">
        <f t="shared" si="2376"/>
        <v>7826</v>
      </c>
      <c r="E14434" s="2">
        <f t="shared" si="2377"/>
        <v>42370</v>
      </c>
      <c r="F14434" s="2">
        <f t="shared" si="2378"/>
        <v>44043</v>
      </c>
    </row>
    <row r="14435" spans="1:6" x14ac:dyDescent="0.25">
      <c r="A14435" s="1" t="s">
        <v>669</v>
      </c>
      <c r="B14435" s="1" t="s">
        <v>1745</v>
      </c>
      <c r="C14435" s="1" t="s">
        <v>45</v>
      </c>
      <c r="D14435" s="3">
        <f t="shared" si="2376"/>
        <v>7826</v>
      </c>
      <c r="E14435" s="2">
        <f t="shared" si="2377"/>
        <v>42370</v>
      </c>
      <c r="F14435" s="2">
        <f t="shared" si="2378"/>
        <v>44043</v>
      </c>
    </row>
    <row r="14436" spans="1:6" x14ac:dyDescent="0.25">
      <c r="A14436" s="1" t="s">
        <v>669</v>
      </c>
      <c r="B14436" s="1" t="s">
        <v>1745</v>
      </c>
      <c r="C14436" s="1" t="s">
        <v>44</v>
      </c>
      <c r="D14436" s="3">
        <f t="shared" si="2376"/>
        <v>7826</v>
      </c>
      <c r="E14436" s="2">
        <f t="shared" si="2377"/>
        <v>42370</v>
      </c>
      <c r="F14436" s="2">
        <f t="shared" si="2378"/>
        <v>44043</v>
      </c>
    </row>
    <row r="14437" spans="1:6" x14ac:dyDescent="0.25">
      <c r="A14437" s="1" t="s">
        <v>669</v>
      </c>
      <c r="B14437" s="1" t="s">
        <v>1745</v>
      </c>
      <c r="C14437" s="1" t="s">
        <v>89</v>
      </c>
      <c r="D14437" s="3">
        <f t="shared" si="2376"/>
        <v>7826</v>
      </c>
      <c r="E14437" s="2">
        <f t="shared" si="2377"/>
        <v>42370</v>
      </c>
      <c r="F14437" s="2">
        <f t="shared" si="2378"/>
        <v>44043</v>
      </c>
    </row>
    <row r="14438" spans="1:6" x14ac:dyDescent="0.25">
      <c r="A14438" s="1" t="s">
        <v>669</v>
      </c>
      <c r="B14438" s="1" t="s">
        <v>1745</v>
      </c>
      <c r="C14438" s="1" t="s">
        <v>17</v>
      </c>
      <c r="D14438" s="3">
        <f t="shared" si="2376"/>
        <v>7826</v>
      </c>
      <c r="E14438" s="2">
        <f t="shared" si="2377"/>
        <v>42370</v>
      </c>
      <c r="F14438" s="2">
        <f t="shared" si="2378"/>
        <v>44043</v>
      </c>
    </row>
    <row r="14439" spans="1:6" x14ac:dyDescent="0.25">
      <c r="A14439" s="1" t="s">
        <v>669</v>
      </c>
      <c r="B14439" s="1" t="s">
        <v>1745</v>
      </c>
      <c r="C14439" s="1" t="s">
        <v>22</v>
      </c>
      <c r="D14439" s="3">
        <f t="shared" si="2376"/>
        <v>7826</v>
      </c>
      <c r="E14439" s="2">
        <f t="shared" si="2377"/>
        <v>42370</v>
      </c>
      <c r="F14439" s="2">
        <f t="shared" si="2378"/>
        <v>44043</v>
      </c>
    </row>
    <row r="14440" spans="1:6" x14ac:dyDescent="0.25">
      <c r="A14440" s="1" t="s">
        <v>669</v>
      </c>
      <c r="B14440" s="1" t="s">
        <v>1745</v>
      </c>
      <c r="C14440" s="1" t="s">
        <v>220</v>
      </c>
      <c r="D14440" s="3">
        <f t="shared" si="2376"/>
        <v>7826</v>
      </c>
      <c r="E14440" s="2">
        <f t="shared" si="2377"/>
        <v>42370</v>
      </c>
      <c r="F14440" s="2">
        <f t="shared" si="2378"/>
        <v>44043</v>
      </c>
    </row>
    <row r="14441" spans="1:6" x14ac:dyDescent="0.25">
      <c r="A14441" s="1" t="s">
        <v>669</v>
      </c>
      <c r="B14441" s="1" t="s">
        <v>1745</v>
      </c>
      <c r="C14441" s="1" t="s">
        <v>72</v>
      </c>
      <c r="D14441" s="3">
        <f t="shared" si="2376"/>
        <v>7826</v>
      </c>
      <c r="E14441" s="2">
        <f t="shared" si="2377"/>
        <v>42370</v>
      </c>
      <c r="F14441" s="2">
        <f t="shared" si="2378"/>
        <v>44043</v>
      </c>
    </row>
    <row r="14442" spans="1:6" x14ac:dyDescent="0.25">
      <c r="A14442" s="1" t="s">
        <v>669</v>
      </c>
      <c r="B14442" s="1" t="s">
        <v>1745</v>
      </c>
      <c r="C14442" s="1" t="s">
        <v>240</v>
      </c>
      <c r="D14442" s="3">
        <f t="shared" si="2376"/>
        <v>7826</v>
      </c>
      <c r="E14442" s="2">
        <f t="shared" si="2377"/>
        <v>42370</v>
      </c>
      <c r="F14442" s="2">
        <f t="shared" si="2378"/>
        <v>44043</v>
      </c>
    </row>
    <row r="14443" spans="1:6" x14ac:dyDescent="0.25">
      <c r="A14443" s="1" t="s">
        <v>669</v>
      </c>
      <c r="B14443" s="1" t="s">
        <v>1745</v>
      </c>
      <c r="C14443" s="1" t="s">
        <v>73</v>
      </c>
      <c r="D14443" s="3">
        <f t="shared" si="2376"/>
        <v>7826</v>
      </c>
      <c r="E14443" s="2">
        <f t="shared" si="2377"/>
        <v>42370</v>
      </c>
      <c r="F14443" s="2">
        <f t="shared" si="2378"/>
        <v>44043</v>
      </c>
    </row>
    <row r="14444" spans="1:6" x14ac:dyDescent="0.25">
      <c r="A14444" s="1" t="s">
        <v>669</v>
      </c>
      <c r="B14444" s="1" t="s">
        <v>1745</v>
      </c>
      <c r="C14444" s="1" t="s">
        <v>52</v>
      </c>
      <c r="D14444" s="3">
        <f t="shared" si="2376"/>
        <v>7826</v>
      </c>
      <c r="E14444" s="2">
        <f t="shared" si="2377"/>
        <v>42370</v>
      </c>
      <c r="F14444" s="2">
        <f t="shared" si="2378"/>
        <v>44043</v>
      </c>
    </row>
    <row r="14445" spans="1:6" x14ac:dyDescent="0.25">
      <c r="A14445" s="1" t="s">
        <v>669</v>
      </c>
      <c r="B14445" s="1" t="s">
        <v>1745</v>
      </c>
      <c r="C14445" s="1" t="s">
        <v>401</v>
      </c>
      <c r="D14445" s="3">
        <f t="shared" si="2376"/>
        <v>7826</v>
      </c>
      <c r="E14445" s="2">
        <f t="shared" si="2377"/>
        <v>42370</v>
      </c>
      <c r="F14445" s="2">
        <f t="shared" si="2378"/>
        <v>44043</v>
      </c>
    </row>
    <row r="14446" spans="1:6" x14ac:dyDescent="0.25">
      <c r="A14446" s="1" t="s">
        <v>669</v>
      </c>
      <c r="B14446" s="1" t="s">
        <v>1900</v>
      </c>
      <c r="C14446" s="1" t="s">
        <v>17</v>
      </c>
      <c r="D14446" s="3">
        <f>VALUE("7394")</f>
        <v>7394</v>
      </c>
      <c r="E14446" s="2">
        <f>DATEVALUE("1-3-2014")</f>
        <v>41699</v>
      </c>
      <c r="F14446" s="2">
        <f>DATEVALUE("30-11-2014")</f>
        <v>41973</v>
      </c>
    </row>
    <row r="14447" spans="1:6" x14ac:dyDescent="0.25">
      <c r="A14447" s="1" t="s">
        <v>669</v>
      </c>
      <c r="B14447" s="1" t="s">
        <v>1900</v>
      </c>
      <c r="C14447" s="1" t="s">
        <v>22</v>
      </c>
      <c r="D14447" s="3">
        <f>VALUE("7394")</f>
        <v>7394</v>
      </c>
      <c r="E14447" s="2">
        <f>DATEVALUE("1-3-2014")</f>
        <v>41699</v>
      </c>
      <c r="F14447" s="2">
        <f>DATEVALUE("30-11-2014")</f>
        <v>41973</v>
      </c>
    </row>
    <row r="14448" spans="1:6" x14ac:dyDescent="0.25">
      <c r="A14448" s="1" t="s">
        <v>669</v>
      </c>
      <c r="B14448" s="1" t="s">
        <v>1900</v>
      </c>
      <c r="C14448" s="1" t="s">
        <v>148</v>
      </c>
      <c r="D14448" s="3">
        <f>VALUE("7394")</f>
        <v>7394</v>
      </c>
      <c r="E14448" s="2">
        <f>DATEVALUE("1-3-2014")</f>
        <v>41699</v>
      </c>
      <c r="F14448" s="2">
        <f>DATEVALUE("30-11-2014")</f>
        <v>41973</v>
      </c>
    </row>
    <row r="14449" spans="1:6" x14ac:dyDescent="0.25">
      <c r="A14449" s="1" t="s">
        <v>669</v>
      </c>
      <c r="B14449" s="1" t="s">
        <v>1900</v>
      </c>
      <c r="C14449" s="1" t="s">
        <v>73</v>
      </c>
      <c r="D14449" s="3">
        <f>VALUE("7394")</f>
        <v>7394</v>
      </c>
      <c r="E14449" s="2">
        <f>DATEVALUE("1-3-2014")</f>
        <v>41699</v>
      </c>
      <c r="F14449" s="2">
        <f>DATEVALUE("30-11-2014")</f>
        <v>41973</v>
      </c>
    </row>
    <row r="14450" spans="1:6" x14ac:dyDescent="0.25">
      <c r="A14450" s="1" t="s">
        <v>669</v>
      </c>
      <c r="B14450" s="1" t="s">
        <v>2557</v>
      </c>
      <c r="C14450" s="1" t="s">
        <v>15</v>
      </c>
      <c r="D14450" s="3">
        <f>VALUE("7039")</f>
        <v>7039</v>
      </c>
      <c r="E14450" s="2">
        <f>DATEVALUE("1-7-2010")</f>
        <v>40360</v>
      </c>
      <c r="F14450" s="2">
        <f>DATEVALUE("28-2-2014")</f>
        <v>41698</v>
      </c>
    </row>
    <row r="14451" spans="1:6" x14ac:dyDescent="0.25">
      <c r="A14451" s="1" t="s">
        <v>669</v>
      </c>
      <c r="B14451" s="1" t="s">
        <v>2557</v>
      </c>
      <c r="C14451" s="1" t="s">
        <v>2558</v>
      </c>
      <c r="D14451" s="3">
        <f>VALUE("7039")</f>
        <v>7039</v>
      </c>
      <c r="E14451" s="2">
        <f>DATEVALUE("1-7-2010")</f>
        <v>40360</v>
      </c>
      <c r="F14451" s="2">
        <f>DATEVALUE("28-2-2014")</f>
        <v>41698</v>
      </c>
    </row>
    <row r="14452" spans="1:6" x14ac:dyDescent="0.25">
      <c r="A14452" s="1" t="s">
        <v>669</v>
      </c>
      <c r="B14452" s="1" t="s">
        <v>2108</v>
      </c>
      <c r="C14452" s="1" t="s">
        <v>45</v>
      </c>
      <c r="D14452" s="3">
        <f>VALUE("6168")</f>
        <v>6168</v>
      </c>
      <c r="E14452" s="2">
        <f>DATEVALUE("1-9-2009")</f>
        <v>40057</v>
      </c>
      <c r="F14452" s="2">
        <f>DATEVALUE("31-3-2016")</f>
        <v>42460</v>
      </c>
    </row>
    <row r="14453" spans="1:6" x14ac:dyDescent="0.25">
      <c r="A14453" s="1" t="s">
        <v>264</v>
      </c>
      <c r="B14453" s="1" t="s">
        <v>1590</v>
      </c>
      <c r="C14453" s="1" t="s">
        <v>7</v>
      </c>
      <c r="D14453" s="3">
        <f t="shared" ref="D14453:D14463" si="2379">VALUE("8777")</f>
        <v>8777</v>
      </c>
      <c r="E14453" s="2">
        <f t="shared" ref="E14453:E14463" si="2380">DATEVALUE("1-6-2020")</f>
        <v>43983</v>
      </c>
      <c r="F14453" s="2">
        <f t="shared" ref="F14453:F14463" si="2381">DATEVALUE("31-5-2022")</f>
        <v>44712</v>
      </c>
    </row>
    <row r="14454" spans="1:6" x14ac:dyDescent="0.25">
      <c r="A14454" s="1" t="s">
        <v>264</v>
      </c>
      <c r="B14454" s="1" t="s">
        <v>1590</v>
      </c>
      <c r="C14454" s="1" t="s">
        <v>14</v>
      </c>
      <c r="D14454" s="3">
        <f t="shared" si="2379"/>
        <v>8777</v>
      </c>
      <c r="E14454" s="2">
        <f t="shared" si="2380"/>
        <v>43983</v>
      </c>
      <c r="F14454" s="2">
        <f t="shared" si="2381"/>
        <v>44712</v>
      </c>
    </row>
    <row r="14455" spans="1:6" x14ac:dyDescent="0.25">
      <c r="A14455" s="1" t="s">
        <v>264</v>
      </c>
      <c r="B14455" s="1" t="s">
        <v>1590</v>
      </c>
      <c r="C14455" s="1" t="s">
        <v>15</v>
      </c>
      <c r="D14455" s="3">
        <f t="shared" si="2379"/>
        <v>8777</v>
      </c>
      <c r="E14455" s="2">
        <f t="shared" si="2380"/>
        <v>43983</v>
      </c>
      <c r="F14455" s="2">
        <f t="shared" si="2381"/>
        <v>44712</v>
      </c>
    </row>
    <row r="14456" spans="1:6" x14ac:dyDescent="0.25">
      <c r="A14456" s="1" t="s">
        <v>264</v>
      </c>
      <c r="B14456" s="1" t="s">
        <v>1590</v>
      </c>
      <c r="C14456" s="1" t="s">
        <v>89</v>
      </c>
      <c r="D14456" s="3">
        <f t="shared" si="2379"/>
        <v>8777</v>
      </c>
      <c r="E14456" s="2">
        <f t="shared" si="2380"/>
        <v>43983</v>
      </c>
      <c r="F14456" s="2">
        <f t="shared" si="2381"/>
        <v>44712</v>
      </c>
    </row>
    <row r="14457" spans="1:6" x14ac:dyDescent="0.25">
      <c r="A14457" s="1" t="s">
        <v>264</v>
      </c>
      <c r="B14457" s="1" t="s">
        <v>1590</v>
      </c>
      <c r="C14457" s="1" t="s">
        <v>17</v>
      </c>
      <c r="D14457" s="3">
        <f t="shared" si="2379"/>
        <v>8777</v>
      </c>
      <c r="E14457" s="2">
        <f t="shared" si="2380"/>
        <v>43983</v>
      </c>
      <c r="F14457" s="2">
        <f t="shared" si="2381"/>
        <v>44712</v>
      </c>
    </row>
    <row r="14458" spans="1:6" x14ac:dyDescent="0.25">
      <c r="A14458" s="1" t="s">
        <v>264</v>
      </c>
      <c r="B14458" s="1" t="s">
        <v>1590</v>
      </c>
      <c r="C14458" s="1" t="s">
        <v>22</v>
      </c>
      <c r="D14458" s="3">
        <f t="shared" si="2379"/>
        <v>8777</v>
      </c>
      <c r="E14458" s="2">
        <f t="shared" si="2380"/>
        <v>43983</v>
      </c>
      <c r="F14458" s="2">
        <f t="shared" si="2381"/>
        <v>44712</v>
      </c>
    </row>
    <row r="14459" spans="1:6" x14ac:dyDescent="0.25">
      <c r="A14459" s="1" t="s">
        <v>264</v>
      </c>
      <c r="B14459" s="1" t="s">
        <v>1590</v>
      </c>
      <c r="C14459" s="1" t="s">
        <v>24</v>
      </c>
      <c r="D14459" s="3">
        <f t="shared" si="2379"/>
        <v>8777</v>
      </c>
      <c r="E14459" s="2">
        <f t="shared" si="2380"/>
        <v>43983</v>
      </c>
      <c r="F14459" s="2">
        <f t="shared" si="2381"/>
        <v>44712</v>
      </c>
    </row>
    <row r="14460" spans="1:6" x14ac:dyDescent="0.25">
      <c r="A14460" s="1" t="s">
        <v>264</v>
      </c>
      <c r="B14460" s="1" t="s">
        <v>1590</v>
      </c>
      <c r="C14460" s="1" t="s">
        <v>26</v>
      </c>
      <c r="D14460" s="3">
        <f t="shared" si="2379"/>
        <v>8777</v>
      </c>
      <c r="E14460" s="2">
        <f t="shared" si="2380"/>
        <v>43983</v>
      </c>
      <c r="F14460" s="2">
        <f t="shared" si="2381"/>
        <v>44712</v>
      </c>
    </row>
    <row r="14461" spans="1:6" x14ac:dyDescent="0.25">
      <c r="A14461" s="1" t="s">
        <v>264</v>
      </c>
      <c r="B14461" s="1" t="s">
        <v>1590</v>
      </c>
      <c r="C14461" s="1" t="s">
        <v>72</v>
      </c>
      <c r="D14461" s="3">
        <f t="shared" si="2379"/>
        <v>8777</v>
      </c>
      <c r="E14461" s="2">
        <f t="shared" si="2380"/>
        <v>43983</v>
      </c>
      <c r="F14461" s="2">
        <f t="shared" si="2381"/>
        <v>44712</v>
      </c>
    </row>
    <row r="14462" spans="1:6" x14ac:dyDescent="0.25">
      <c r="A14462" s="1" t="s">
        <v>264</v>
      </c>
      <c r="B14462" s="1" t="s">
        <v>1590</v>
      </c>
      <c r="C14462" s="1" t="s">
        <v>52</v>
      </c>
      <c r="D14462" s="3">
        <f t="shared" si="2379"/>
        <v>8777</v>
      </c>
      <c r="E14462" s="2">
        <f t="shared" si="2380"/>
        <v>43983</v>
      </c>
      <c r="F14462" s="2">
        <f t="shared" si="2381"/>
        <v>44712</v>
      </c>
    </row>
    <row r="14463" spans="1:6" x14ac:dyDescent="0.25">
      <c r="A14463" s="1" t="s">
        <v>264</v>
      </c>
      <c r="B14463" s="1" t="s">
        <v>1590</v>
      </c>
      <c r="C14463" s="1" t="s">
        <v>34</v>
      </c>
      <c r="D14463" s="3">
        <f t="shared" si="2379"/>
        <v>8777</v>
      </c>
      <c r="E14463" s="2">
        <f t="shared" si="2380"/>
        <v>43983</v>
      </c>
      <c r="F14463" s="2">
        <f t="shared" si="2381"/>
        <v>44712</v>
      </c>
    </row>
    <row r="14464" spans="1:6" x14ac:dyDescent="0.25">
      <c r="A14464" s="1" t="s">
        <v>264</v>
      </c>
      <c r="B14464" s="1" t="s">
        <v>1166</v>
      </c>
      <c r="C14464" s="1" t="s">
        <v>1167</v>
      </c>
      <c r="D14464" s="3">
        <f>VALUE("8440")</f>
        <v>8440</v>
      </c>
      <c r="E14464" s="2">
        <f>DATEVALUE("1-11-2019")</f>
        <v>43770</v>
      </c>
      <c r="F14464" s="2">
        <f>DATEVALUE("31-10-2020")</f>
        <v>44135</v>
      </c>
    </row>
    <row r="14465" spans="1:6" x14ac:dyDescent="0.25">
      <c r="A14465" s="1" t="s">
        <v>264</v>
      </c>
      <c r="B14465" s="1" t="s">
        <v>1401</v>
      </c>
      <c r="C14465" s="1" t="s">
        <v>265</v>
      </c>
      <c r="D14465" s="3">
        <f>VALUE("8621")</f>
        <v>8621</v>
      </c>
      <c r="E14465" s="2">
        <f>DATEVALUE("1-10-2019")</f>
        <v>43739</v>
      </c>
      <c r="F14465" s="2">
        <f>DATEVALUE("31-3-2021")</f>
        <v>44286</v>
      </c>
    </row>
    <row r="14466" spans="1:6" x14ac:dyDescent="0.25">
      <c r="A14466" s="1" t="s">
        <v>264</v>
      </c>
      <c r="B14466" s="1" t="s">
        <v>1401</v>
      </c>
      <c r="C14466" s="1" t="s">
        <v>1238</v>
      </c>
      <c r="D14466" s="3">
        <f>VALUE("8621")</f>
        <v>8621</v>
      </c>
      <c r="E14466" s="2">
        <f>DATEVALUE("1-10-2019")</f>
        <v>43739</v>
      </c>
      <c r="F14466" s="2">
        <f>DATEVALUE("31-3-2021")</f>
        <v>44286</v>
      </c>
    </row>
    <row r="14467" spans="1:6" x14ac:dyDescent="0.25">
      <c r="A14467" s="1" t="s">
        <v>264</v>
      </c>
      <c r="B14467" s="1" t="s">
        <v>1401</v>
      </c>
      <c r="C14467" s="1" t="s">
        <v>45</v>
      </c>
      <c r="D14467" s="3">
        <f>VALUE("8621")</f>
        <v>8621</v>
      </c>
      <c r="E14467" s="2">
        <f>DATEVALUE("1-10-2019")</f>
        <v>43739</v>
      </c>
      <c r="F14467" s="2">
        <f>DATEVALUE("31-3-2021")</f>
        <v>44286</v>
      </c>
    </row>
    <row r="14468" spans="1:6" x14ac:dyDescent="0.25">
      <c r="A14468" s="1" t="s">
        <v>264</v>
      </c>
      <c r="B14468" s="1" t="s">
        <v>831</v>
      </c>
      <c r="C14468" s="1" t="s">
        <v>832</v>
      </c>
      <c r="D14468" s="3">
        <f>VALUE("8062")</f>
        <v>8062</v>
      </c>
      <c r="E14468" s="2">
        <f>DATEVALUE("1-5-2017")</f>
        <v>42856</v>
      </c>
      <c r="F14468" s="2">
        <f>DATEVALUE("31-12-2020")</f>
        <v>44196</v>
      </c>
    </row>
    <row r="14469" spans="1:6" x14ac:dyDescent="0.25">
      <c r="A14469" s="1" t="s">
        <v>264</v>
      </c>
      <c r="B14469" s="1" t="s">
        <v>831</v>
      </c>
      <c r="C14469" s="1" t="s">
        <v>17</v>
      </c>
      <c r="D14469" s="3">
        <f>VALUE("8062")</f>
        <v>8062</v>
      </c>
      <c r="E14469" s="2">
        <f>DATEVALUE("1-5-2017")</f>
        <v>42856</v>
      </c>
      <c r="F14469" s="2">
        <f>DATEVALUE("31-12-2020")</f>
        <v>44196</v>
      </c>
    </row>
    <row r="14470" spans="1:6" x14ac:dyDescent="0.25">
      <c r="A14470" s="1" t="s">
        <v>264</v>
      </c>
      <c r="B14470" s="1" t="s">
        <v>831</v>
      </c>
      <c r="C14470" s="1" t="s">
        <v>52</v>
      </c>
      <c r="D14470" s="3">
        <f>VALUE("8062")</f>
        <v>8062</v>
      </c>
      <c r="E14470" s="2">
        <f>DATEVALUE("1-5-2017")</f>
        <v>42856</v>
      </c>
      <c r="F14470" s="2">
        <f>DATEVALUE("31-12-2020")</f>
        <v>44196</v>
      </c>
    </row>
    <row r="14471" spans="1:6" x14ac:dyDescent="0.25">
      <c r="A14471" s="1" t="s">
        <v>264</v>
      </c>
      <c r="B14471" s="1" t="s">
        <v>2191</v>
      </c>
      <c r="C14471" s="1" t="s">
        <v>8</v>
      </c>
      <c r="D14471" s="3">
        <f t="shared" ref="D14471:D14478" si="2382">VALUE("7739")</f>
        <v>7739</v>
      </c>
      <c r="E14471" s="2">
        <f t="shared" ref="E14471:E14478" si="2383">DATEVALUE("1-1-2016")</f>
        <v>42370</v>
      </c>
      <c r="F14471" s="2">
        <f t="shared" ref="F14471:F14478" si="2384">DATEVALUE("31-12-2018")</f>
        <v>43465</v>
      </c>
    </row>
    <row r="14472" spans="1:6" x14ac:dyDescent="0.25">
      <c r="A14472" s="1" t="s">
        <v>264</v>
      </c>
      <c r="B14472" s="1" t="s">
        <v>2191</v>
      </c>
      <c r="C14472" s="1" t="s">
        <v>10</v>
      </c>
      <c r="D14472" s="3">
        <f t="shared" si="2382"/>
        <v>7739</v>
      </c>
      <c r="E14472" s="2">
        <f t="shared" si="2383"/>
        <v>42370</v>
      </c>
      <c r="F14472" s="2">
        <f t="shared" si="2384"/>
        <v>43465</v>
      </c>
    </row>
    <row r="14473" spans="1:6" x14ac:dyDescent="0.25">
      <c r="A14473" s="1" t="s">
        <v>264</v>
      </c>
      <c r="B14473" s="1" t="s">
        <v>2191</v>
      </c>
      <c r="C14473" s="1" t="s">
        <v>14</v>
      </c>
      <c r="D14473" s="3">
        <f t="shared" si="2382"/>
        <v>7739</v>
      </c>
      <c r="E14473" s="2">
        <f t="shared" si="2383"/>
        <v>42370</v>
      </c>
      <c r="F14473" s="2">
        <f t="shared" si="2384"/>
        <v>43465</v>
      </c>
    </row>
    <row r="14474" spans="1:6" x14ac:dyDescent="0.25">
      <c r="A14474" s="1" t="s">
        <v>264</v>
      </c>
      <c r="B14474" s="1" t="s">
        <v>2191</v>
      </c>
      <c r="C14474" s="1" t="s">
        <v>17</v>
      </c>
      <c r="D14474" s="3">
        <f t="shared" si="2382"/>
        <v>7739</v>
      </c>
      <c r="E14474" s="2">
        <f t="shared" si="2383"/>
        <v>42370</v>
      </c>
      <c r="F14474" s="2">
        <f t="shared" si="2384"/>
        <v>43465</v>
      </c>
    </row>
    <row r="14475" spans="1:6" x14ac:dyDescent="0.25">
      <c r="A14475" s="1" t="s">
        <v>264</v>
      </c>
      <c r="B14475" s="1" t="s">
        <v>2191</v>
      </c>
      <c r="C14475" s="1" t="s">
        <v>22</v>
      </c>
      <c r="D14475" s="3">
        <f t="shared" si="2382"/>
        <v>7739</v>
      </c>
      <c r="E14475" s="2">
        <f t="shared" si="2383"/>
        <v>42370</v>
      </c>
      <c r="F14475" s="2">
        <f t="shared" si="2384"/>
        <v>43465</v>
      </c>
    </row>
    <row r="14476" spans="1:6" x14ac:dyDescent="0.25">
      <c r="A14476" s="1" t="s">
        <v>264</v>
      </c>
      <c r="B14476" s="1" t="s">
        <v>2191</v>
      </c>
      <c r="C14476" s="1" t="s">
        <v>24</v>
      </c>
      <c r="D14476" s="3">
        <f t="shared" si="2382"/>
        <v>7739</v>
      </c>
      <c r="E14476" s="2">
        <f t="shared" si="2383"/>
        <v>42370</v>
      </c>
      <c r="F14476" s="2">
        <f t="shared" si="2384"/>
        <v>43465</v>
      </c>
    </row>
    <row r="14477" spans="1:6" x14ac:dyDescent="0.25">
      <c r="A14477" s="1" t="s">
        <v>264</v>
      </c>
      <c r="B14477" s="1" t="s">
        <v>2191</v>
      </c>
      <c r="C14477" s="1" t="s">
        <v>73</v>
      </c>
      <c r="D14477" s="3">
        <f t="shared" si="2382"/>
        <v>7739</v>
      </c>
      <c r="E14477" s="2">
        <f t="shared" si="2383"/>
        <v>42370</v>
      </c>
      <c r="F14477" s="2">
        <f t="shared" si="2384"/>
        <v>43465</v>
      </c>
    </row>
    <row r="14478" spans="1:6" x14ac:dyDescent="0.25">
      <c r="A14478" s="1" t="s">
        <v>264</v>
      </c>
      <c r="B14478" s="1" t="s">
        <v>2191</v>
      </c>
      <c r="C14478" s="1" t="s">
        <v>34</v>
      </c>
      <c r="D14478" s="3">
        <f t="shared" si="2382"/>
        <v>7739</v>
      </c>
      <c r="E14478" s="2">
        <f t="shared" si="2383"/>
        <v>42370</v>
      </c>
      <c r="F14478" s="2">
        <f t="shared" si="2384"/>
        <v>43465</v>
      </c>
    </row>
    <row r="14479" spans="1:6" x14ac:dyDescent="0.25">
      <c r="A14479" s="1" t="s">
        <v>264</v>
      </c>
      <c r="B14479" s="1" t="s">
        <v>502</v>
      </c>
      <c r="C14479" s="1" t="s">
        <v>8</v>
      </c>
      <c r="D14479" s="3">
        <f t="shared" ref="D14479:D14492" si="2385">VALUE("7684")</f>
        <v>7684</v>
      </c>
      <c r="E14479" s="2">
        <f t="shared" ref="E14479:E14526" si="2386">DATEVALUE("1-1-2015")</f>
        <v>42005</v>
      </c>
      <c r="F14479" s="2">
        <f t="shared" ref="F14479:F14510" si="2387">DATEVALUE("31-12-2020")</f>
        <v>44196</v>
      </c>
    </row>
    <row r="14480" spans="1:6" x14ac:dyDescent="0.25">
      <c r="A14480" s="1" t="s">
        <v>264</v>
      </c>
      <c r="B14480" s="1" t="s">
        <v>502</v>
      </c>
      <c r="C14480" s="1" t="s">
        <v>256</v>
      </c>
      <c r="D14480" s="3">
        <f t="shared" si="2385"/>
        <v>7684</v>
      </c>
      <c r="E14480" s="2">
        <f t="shared" si="2386"/>
        <v>42005</v>
      </c>
      <c r="F14480" s="2">
        <f t="shared" si="2387"/>
        <v>44196</v>
      </c>
    </row>
    <row r="14481" spans="1:6" x14ac:dyDescent="0.25">
      <c r="A14481" s="1" t="s">
        <v>264</v>
      </c>
      <c r="B14481" s="1" t="s">
        <v>502</v>
      </c>
      <c r="C14481" s="1" t="s">
        <v>61</v>
      </c>
      <c r="D14481" s="3">
        <f t="shared" si="2385"/>
        <v>7684</v>
      </c>
      <c r="E14481" s="2">
        <f t="shared" si="2386"/>
        <v>42005</v>
      </c>
      <c r="F14481" s="2">
        <f t="shared" si="2387"/>
        <v>44196</v>
      </c>
    </row>
    <row r="14482" spans="1:6" x14ac:dyDescent="0.25">
      <c r="A14482" s="1" t="s">
        <v>264</v>
      </c>
      <c r="B14482" s="1" t="s">
        <v>502</v>
      </c>
      <c r="C14482" s="1" t="s">
        <v>46</v>
      </c>
      <c r="D14482" s="3">
        <f t="shared" si="2385"/>
        <v>7684</v>
      </c>
      <c r="E14482" s="2">
        <f t="shared" si="2386"/>
        <v>42005</v>
      </c>
      <c r="F14482" s="2">
        <f t="shared" si="2387"/>
        <v>44196</v>
      </c>
    </row>
    <row r="14483" spans="1:6" x14ac:dyDescent="0.25">
      <c r="A14483" s="1" t="s">
        <v>264</v>
      </c>
      <c r="B14483" s="1" t="s">
        <v>502</v>
      </c>
      <c r="C14483" s="1" t="s">
        <v>15</v>
      </c>
      <c r="D14483" s="3">
        <f t="shared" si="2385"/>
        <v>7684</v>
      </c>
      <c r="E14483" s="2">
        <f t="shared" si="2386"/>
        <v>42005</v>
      </c>
      <c r="F14483" s="2">
        <f t="shared" si="2387"/>
        <v>44196</v>
      </c>
    </row>
    <row r="14484" spans="1:6" x14ac:dyDescent="0.25">
      <c r="A14484" s="1" t="s">
        <v>264</v>
      </c>
      <c r="B14484" s="1" t="s">
        <v>502</v>
      </c>
      <c r="C14484" s="1" t="s">
        <v>89</v>
      </c>
      <c r="D14484" s="3">
        <f t="shared" si="2385"/>
        <v>7684</v>
      </c>
      <c r="E14484" s="2">
        <f t="shared" si="2386"/>
        <v>42005</v>
      </c>
      <c r="F14484" s="2">
        <f t="shared" si="2387"/>
        <v>44196</v>
      </c>
    </row>
    <row r="14485" spans="1:6" x14ac:dyDescent="0.25">
      <c r="A14485" s="1" t="s">
        <v>264</v>
      </c>
      <c r="B14485" s="1" t="s">
        <v>502</v>
      </c>
      <c r="C14485" s="1" t="s">
        <v>17</v>
      </c>
      <c r="D14485" s="3">
        <f t="shared" si="2385"/>
        <v>7684</v>
      </c>
      <c r="E14485" s="2">
        <f t="shared" si="2386"/>
        <v>42005</v>
      </c>
      <c r="F14485" s="2">
        <f t="shared" si="2387"/>
        <v>44196</v>
      </c>
    </row>
    <row r="14486" spans="1:6" x14ac:dyDescent="0.25">
      <c r="A14486" s="1" t="s">
        <v>264</v>
      </c>
      <c r="B14486" s="1" t="s">
        <v>502</v>
      </c>
      <c r="C14486" s="1" t="s">
        <v>67</v>
      </c>
      <c r="D14486" s="3">
        <f t="shared" si="2385"/>
        <v>7684</v>
      </c>
      <c r="E14486" s="2">
        <f t="shared" si="2386"/>
        <v>42005</v>
      </c>
      <c r="F14486" s="2">
        <f t="shared" si="2387"/>
        <v>44196</v>
      </c>
    </row>
    <row r="14487" spans="1:6" x14ac:dyDescent="0.25">
      <c r="A14487" s="1" t="s">
        <v>264</v>
      </c>
      <c r="B14487" s="1" t="s">
        <v>502</v>
      </c>
      <c r="C14487" s="1" t="s">
        <v>149</v>
      </c>
      <c r="D14487" s="3">
        <f t="shared" si="2385"/>
        <v>7684</v>
      </c>
      <c r="E14487" s="2">
        <f t="shared" si="2386"/>
        <v>42005</v>
      </c>
      <c r="F14487" s="2">
        <f t="shared" si="2387"/>
        <v>44196</v>
      </c>
    </row>
    <row r="14488" spans="1:6" x14ac:dyDescent="0.25">
      <c r="A14488" s="1" t="s">
        <v>264</v>
      </c>
      <c r="B14488" s="1" t="s">
        <v>502</v>
      </c>
      <c r="C14488" s="1" t="s">
        <v>93</v>
      </c>
      <c r="D14488" s="3">
        <f t="shared" si="2385"/>
        <v>7684</v>
      </c>
      <c r="E14488" s="2">
        <f t="shared" si="2386"/>
        <v>42005</v>
      </c>
      <c r="F14488" s="2">
        <f t="shared" si="2387"/>
        <v>44196</v>
      </c>
    </row>
    <row r="14489" spans="1:6" x14ac:dyDescent="0.25">
      <c r="A14489" s="1" t="s">
        <v>264</v>
      </c>
      <c r="B14489" s="1" t="s">
        <v>502</v>
      </c>
      <c r="C14489" s="1" t="s">
        <v>177</v>
      </c>
      <c r="D14489" s="3">
        <f t="shared" si="2385"/>
        <v>7684</v>
      </c>
      <c r="E14489" s="2">
        <f t="shared" si="2386"/>
        <v>42005</v>
      </c>
      <c r="F14489" s="2">
        <f t="shared" si="2387"/>
        <v>44196</v>
      </c>
    </row>
    <row r="14490" spans="1:6" x14ac:dyDescent="0.25">
      <c r="A14490" s="1" t="s">
        <v>264</v>
      </c>
      <c r="B14490" s="1" t="s">
        <v>502</v>
      </c>
      <c r="C14490" s="1" t="s">
        <v>503</v>
      </c>
      <c r="D14490" s="3">
        <f t="shared" si="2385"/>
        <v>7684</v>
      </c>
      <c r="E14490" s="2">
        <f t="shared" si="2386"/>
        <v>42005</v>
      </c>
      <c r="F14490" s="2">
        <f t="shared" si="2387"/>
        <v>44196</v>
      </c>
    </row>
    <row r="14491" spans="1:6" x14ac:dyDescent="0.25">
      <c r="A14491" s="1" t="s">
        <v>264</v>
      </c>
      <c r="B14491" s="1" t="s">
        <v>502</v>
      </c>
      <c r="C14491" s="1" t="s">
        <v>27</v>
      </c>
      <c r="D14491" s="3">
        <f t="shared" si="2385"/>
        <v>7684</v>
      </c>
      <c r="E14491" s="2">
        <f t="shared" si="2386"/>
        <v>42005</v>
      </c>
      <c r="F14491" s="2">
        <f t="shared" si="2387"/>
        <v>44196</v>
      </c>
    </row>
    <row r="14492" spans="1:6" x14ac:dyDescent="0.25">
      <c r="A14492" s="1" t="s">
        <v>264</v>
      </c>
      <c r="B14492" s="1" t="s">
        <v>502</v>
      </c>
      <c r="C14492" s="1" t="s">
        <v>164</v>
      </c>
      <c r="D14492" s="3">
        <f t="shared" si="2385"/>
        <v>7684</v>
      </c>
      <c r="E14492" s="2">
        <f t="shared" si="2386"/>
        <v>42005</v>
      </c>
      <c r="F14492" s="2">
        <f t="shared" si="2387"/>
        <v>44196</v>
      </c>
    </row>
    <row r="14493" spans="1:6" x14ac:dyDescent="0.25">
      <c r="A14493" s="1" t="s">
        <v>264</v>
      </c>
      <c r="B14493" s="1" t="s">
        <v>534</v>
      </c>
      <c r="C14493" s="1" t="s">
        <v>8</v>
      </c>
      <c r="D14493" s="3">
        <f t="shared" ref="D14493:D14526" si="2388">VALUE("7700")</f>
        <v>7700</v>
      </c>
      <c r="E14493" s="2">
        <f t="shared" si="2386"/>
        <v>42005</v>
      </c>
      <c r="F14493" s="2">
        <f t="shared" si="2387"/>
        <v>44196</v>
      </c>
    </row>
    <row r="14494" spans="1:6" x14ac:dyDescent="0.25">
      <c r="A14494" s="1" t="s">
        <v>264</v>
      </c>
      <c r="B14494" s="1" t="s">
        <v>534</v>
      </c>
      <c r="C14494" s="1" t="s">
        <v>256</v>
      </c>
      <c r="D14494" s="3">
        <f t="shared" si="2388"/>
        <v>7700</v>
      </c>
      <c r="E14494" s="2">
        <f t="shared" si="2386"/>
        <v>42005</v>
      </c>
      <c r="F14494" s="2">
        <f t="shared" si="2387"/>
        <v>44196</v>
      </c>
    </row>
    <row r="14495" spans="1:6" x14ac:dyDescent="0.25">
      <c r="A14495" s="1" t="s">
        <v>264</v>
      </c>
      <c r="B14495" s="1" t="s">
        <v>534</v>
      </c>
      <c r="C14495" s="1" t="s">
        <v>137</v>
      </c>
      <c r="D14495" s="3">
        <f t="shared" si="2388"/>
        <v>7700</v>
      </c>
      <c r="E14495" s="2">
        <f t="shared" si="2386"/>
        <v>42005</v>
      </c>
      <c r="F14495" s="2">
        <f t="shared" si="2387"/>
        <v>44196</v>
      </c>
    </row>
    <row r="14496" spans="1:6" x14ac:dyDescent="0.25">
      <c r="A14496" s="1" t="s">
        <v>264</v>
      </c>
      <c r="B14496" s="1" t="s">
        <v>534</v>
      </c>
      <c r="C14496" s="1" t="s">
        <v>215</v>
      </c>
      <c r="D14496" s="3">
        <f t="shared" si="2388"/>
        <v>7700</v>
      </c>
      <c r="E14496" s="2">
        <f t="shared" si="2386"/>
        <v>42005</v>
      </c>
      <c r="F14496" s="2">
        <f t="shared" si="2387"/>
        <v>44196</v>
      </c>
    </row>
    <row r="14497" spans="1:6" x14ac:dyDescent="0.25">
      <c r="A14497" s="1" t="s">
        <v>264</v>
      </c>
      <c r="B14497" s="1" t="s">
        <v>534</v>
      </c>
      <c r="C14497" s="1" t="s">
        <v>61</v>
      </c>
      <c r="D14497" s="3">
        <f t="shared" si="2388"/>
        <v>7700</v>
      </c>
      <c r="E14497" s="2">
        <f t="shared" si="2386"/>
        <v>42005</v>
      </c>
      <c r="F14497" s="2">
        <f t="shared" si="2387"/>
        <v>44196</v>
      </c>
    </row>
    <row r="14498" spans="1:6" x14ac:dyDescent="0.25">
      <c r="A14498" s="1" t="s">
        <v>264</v>
      </c>
      <c r="B14498" s="1" t="s">
        <v>534</v>
      </c>
      <c r="C14498" s="1" t="s">
        <v>141</v>
      </c>
      <c r="D14498" s="3">
        <f t="shared" si="2388"/>
        <v>7700</v>
      </c>
      <c r="E14498" s="2">
        <f t="shared" si="2386"/>
        <v>42005</v>
      </c>
      <c r="F14498" s="2">
        <f t="shared" si="2387"/>
        <v>44196</v>
      </c>
    </row>
    <row r="14499" spans="1:6" x14ac:dyDescent="0.25">
      <c r="A14499" s="1" t="s">
        <v>264</v>
      </c>
      <c r="B14499" s="1" t="s">
        <v>534</v>
      </c>
      <c r="C14499" s="1" t="s">
        <v>142</v>
      </c>
      <c r="D14499" s="3">
        <f t="shared" si="2388"/>
        <v>7700</v>
      </c>
      <c r="E14499" s="2">
        <f t="shared" si="2386"/>
        <v>42005</v>
      </c>
      <c r="F14499" s="2">
        <f t="shared" si="2387"/>
        <v>44196</v>
      </c>
    </row>
    <row r="14500" spans="1:6" x14ac:dyDescent="0.25">
      <c r="A14500" s="1" t="s">
        <v>264</v>
      </c>
      <c r="B14500" s="1" t="s">
        <v>534</v>
      </c>
      <c r="C14500" s="1" t="s">
        <v>399</v>
      </c>
      <c r="D14500" s="3">
        <f t="shared" si="2388"/>
        <v>7700</v>
      </c>
      <c r="E14500" s="2">
        <f t="shared" si="2386"/>
        <v>42005</v>
      </c>
      <c r="F14500" s="2">
        <f t="shared" si="2387"/>
        <v>44196</v>
      </c>
    </row>
    <row r="14501" spans="1:6" x14ac:dyDescent="0.25">
      <c r="A14501" s="1" t="s">
        <v>264</v>
      </c>
      <c r="B14501" s="1" t="s">
        <v>534</v>
      </c>
      <c r="C14501" s="1" t="s">
        <v>46</v>
      </c>
      <c r="D14501" s="3">
        <f t="shared" si="2388"/>
        <v>7700</v>
      </c>
      <c r="E14501" s="2">
        <f t="shared" si="2386"/>
        <v>42005</v>
      </c>
      <c r="F14501" s="2">
        <f t="shared" si="2387"/>
        <v>44196</v>
      </c>
    </row>
    <row r="14502" spans="1:6" x14ac:dyDescent="0.25">
      <c r="A14502" s="1" t="s">
        <v>264</v>
      </c>
      <c r="B14502" s="1" t="s">
        <v>534</v>
      </c>
      <c r="C14502" s="1" t="s">
        <v>87</v>
      </c>
      <c r="D14502" s="3">
        <f t="shared" si="2388"/>
        <v>7700</v>
      </c>
      <c r="E14502" s="2">
        <f t="shared" si="2386"/>
        <v>42005</v>
      </c>
      <c r="F14502" s="2">
        <f t="shared" si="2387"/>
        <v>44196</v>
      </c>
    </row>
    <row r="14503" spans="1:6" x14ac:dyDescent="0.25">
      <c r="A14503" s="1" t="s">
        <v>264</v>
      </c>
      <c r="B14503" s="1" t="s">
        <v>534</v>
      </c>
      <c r="C14503" s="1" t="s">
        <v>14</v>
      </c>
      <c r="D14503" s="3">
        <f t="shared" si="2388"/>
        <v>7700</v>
      </c>
      <c r="E14503" s="2">
        <f t="shared" si="2386"/>
        <v>42005</v>
      </c>
      <c r="F14503" s="2">
        <f t="shared" si="2387"/>
        <v>44196</v>
      </c>
    </row>
    <row r="14504" spans="1:6" x14ac:dyDescent="0.25">
      <c r="A14504" s="1" t="s">
        <v>264</v>
      </c>
      <c r="B14504" s="1" t="s">
        <v>534</v>
      </c>
      <c r="C14504" s="1" t="s">
        <v>66</v>
      </c>
      <c r="D14504" s="3">
        <f t="shared" si="2388"/>
        <v>7700</v>
      </c>
      <c r="E14504" s="2">
        <f t="shared" si="2386"/>
        <v>42005</v>
      </c>
      <c r="F14504" s="2">
        <f t="shared" si="2387"/>
        <v>44196</v>
      </c>
    </row>
    <row r="14505" spans="1:6" x14ac:dyDescent="0.25">
      <c r="A14505" s="1" t="s">
        <v>264</v>
      </c>
      <c r="B14505" s="1" t="s">
        <v>534</v>
      </c>
      <c r="C14505" s="1" t="s">
        <v>15</v>
      </c>
      <c r="D14505" s="3">
        <f t="shared" si="2388"/>
        <v>7700</v>
      </c>
      <c r="E14505" s="2">
        <f t="shared" si="2386"/>
        <v>42005</v>
      </c>
      <c r="F14505" s="2">
        <f t="shared" si="2387"/>
        <v>44196</v>
      </c>
    </row>
    <row r="14506" spans="1:6" x14ac:dyDescent="0.25">
      <c r="A14506" s="1" t="s">
        <v>264</v>
      </c>
      <c r="B14506" s="1" t="s">
        <v>534</v>
      </c>
      <c r="C14506" s="1" t="s">
        <v>16</v>
      </c>
      <c r="D14506" s="3">
        <f t="shared" si="2388"/>
        <v>7700</v>
      </c>
      <c r="E14506" s="2">
        <f t="shared" si="2386"/>
        <v>42005</v>
      </c>
      <c r="F14506" s="2">
        <f t="shared" si="2387"/>
        <v>44196</v>
      </c>
    </row>
    <row r="14507" spans="1:6" x14ac:dyDescent="0.25">
      <c r="A14507" s="1" t="s">
        <v>264</v>
      </c>
      <c r="B14507" s="1" t="s">
        <v>534</v>
      </c>
      <c r="C14507" s="1" t="s">
        <v>89</v>
      </c>
      <c r="D14507" s="3">
        <f t="shared" si="2388"/>
        <v>7700</v>
      </c>
      <c r="E14507" s="2">
        <f t="shared" si="2386"/>
        <v>42005</v>
      </c>
      <c r="F14507" s="2">
        <f t="shared" si="2387"/>
        <v>44196</v>
      </c>
    </row>
    <row r="14508" spans="1:6" x14ac:dyDescent="0.25">
      <c r="A14508" s="1" t="s">
        <v>264</v>
      </c>
      <c r="B14508" s="1" t="s">
        <v>534</v>
      </c>
      <c r="C14508" s="1" t="s">
        <v>17</v>
      </c>
      <c r="D14508" s="3">
        <f t="shared" si="2388"/>
        <v>7700</v>
      </c>
      <c r="E14508" s="2">
        <f t="shared" si="2386"/>
        <v>42005</v>
      </c>
      <c r="F14508" s="2">
        <f t="shared" si="2387"/>
        <v>44196</v>
      </c>
    </row>
    <row r="14509" spans="1:6" x14ac:dyDescent="0.25">
      <c r="A14509" s="1" t="s">
        <v>264</v>
      </c>
      <c r="B14509" s="1" t="s">
        <v>534</v>
      </c>
      <c r="C14509" s="1" t="s">
        <v>19</v>
      </c>
      <c r="D14509" s="3">
        <f t="shared" si="2388"/>
        <v>7700</v>
      </c>
      <c r="E14509" s="2">
        <f t="shared" si="2386"/>
        <v>42005</v>
      </c>
      <c r="F14509" s="2">
        <f t="shared" si="2387"/>
        <v>44196</v>
      </c>
    </row>
    <row r="14510" spans="1:6" x14ac:dyDescent="0.25">
      <c r="A14510" s="1" t="s">
        <v>264</v>
      </c>
      <c r="B14510" s="1" t="s">
        <v>534</v>
      </c>
      <c r="C14510" s="1" t="s">
        <v>20</v>
      </c>
      <c r="D14510" s="3">
        <f t="shared" si="2388"/>
        <v>7700</v>
      </c>
      <c r="E14510" s="2">
        <f t="shared" si="2386"/>
        <v>42005</v>
      </c>
      <c r="F14510" s="2">
        <f t="shared" si="2387"/>
        <v>44196</v>
      </c>
    </row>
    <row r="14511" spans="1:6" x14ac:dyDescent="0.25">
      <c r="A14511" s="1" t="s">
        <v>264</v>
      </c>
      <c r="B14511" s="1" t="s">
        <v>534</v>
      </c>
      <c r="C14511" s="1" t="s">
        <v>21</v>
      </c>
      <c r="D14511" s="3">
        <f t="shared" si="2388"/>
        <v>7700</v>
      </c>
      <c r="E14511" s="2">
        <f t="shared" si="2386"/>
        <v>42005</v>
      </c>
      <c r="F14511" s="2">
        <f t="shared" ref="F14511:F14542" si="2389">DATEVALUE("31-12-2020")</f>
        <v>44196</v>
      </c>
    </row>
    <row r="14512" spans="1:6" x14ac:dyDescent="0.25">
      <c r="A14512" s="1" t="s">
        <v>264</v>
      </c>
      <c r="B14512" s="1" t="s">
        <v>534</v>
      </c>
      <c r="C14512" s="1" t="s">
        <v>22</v>
      </c>
      <c r="D14512" s="3">
        <f t="shared" si="2388"/>
        <v>7700</v>
      </c>
      <c r="E14512" s="2">
        <f t="shared" si="2386"/>
        <v>42005</v>
      </c>
      <c r="F14512" s="2">
        <f t="shared" si="2389"/>
        <v>44196</v>
      </c>
    </row>
    <row r="14513" spans="1:6" x14ac:dyDescent="0.25">
      <c r="A14513" s="1" t="s">
        <v>264</v>
      </c>
      <c r="B14513" s="1" t="s">
        <v>534</v>
      </c>
      <c r="C14513" s="1" t="s">
        <v>250</v>
      </c>
      <c r="D14513" s="3">
        <f t="shared" si="2388"/>
        <v>7700</v>
      </c>
      <c r="E14513" s="2">
        <f t="shared" si="2386"/>
        <v>42005</v>
      </c>
      <c r="F14513" s="2">
        <f t="shared" si="2389"/>
        <v>44196</v>
      </c>
    </row>
    <row r="14514" spans="1:6" x14ac:dyDescent="0.25">
      <c r="A14514" s="1" t="s">
        <v>264</v>
      </c>
      <c r="B14514" s="1" t="s">
        <v>534</v>
      </c>
      <c r="C14514" s="1" t="s">
        <v>146</v>
      </c>
      <c r="D14514" s="3">
        <f t="shared" si="2388"/>
        <v>7700</v>
      </c>
      <c r="E14514" s="2">
        <f t="shared" si="2386"/>
        <v>42005</v>
      </c>
      <c r="F14514" s="2">
        <f t="shared" si="2389"/>
        <v>44196</v>
      </c>
    </row>
    <row r="14515" spans="1:6" x14ac:dyDescent="0.25">
      <c r="A14515" s="1" t="s">
        <v>264</v>
      </c>
      <c r="B14515" s="1" t="s">
        <v>534</v>
      </c>
      <c r="C14515" s="1" t="s">
        <v>67</v>
      </c>
      <c r="D14515" s="3">
        <f t="shared" si="2388"/>
        <v>7700</v>
      </c>
      <c r="E14515" s="2">
        <f t="shared" si="2386"/>
        <v>42005</v>
      </c>
      <c r="F14515" s="2">
        <f t="shared" si="2389"/>
        <v>44196</v>
      </c>
    </row>
    <row r="14516" spans="1:6" x14ac:dyDescent="0.25">
      <c r="A14516" s="1" t="s">
        <v>264</v>
      </c>
      <c r="B14516" s="1" t="s">
        <v>534</v>
      </c>
      <c r="C14516" s="1" t="s">
        <v>148</v>
      </c>
      <c r="D14516" s="3">
        <f t="shared" si="2388"/>
        <v>7700</v>
      </c>
      <c r="E14516" s="2">
        <f t="shared" si="2386"/>
        <v>42005</v>
      </c>
      <c r="F14516" s="2">
        <f t="shared" si="2389"/>
        <v>44196</v>
      </c>
    </row>
    <row r="14517" spans="1:6" x14ac:dyDescent="0.25">
      <c r="A14517" s="1" t="s">
        <v>264</v>
      </c>
      <c r="B14517" s="1" t="s">
        <v>534</v>
      </c>
      <c r="C14517" s="1" t="s">
        <v>149</v>
      </c>
      <c r="D14517" s="3">
        <f t="shared" si="2388"/>
        <v>7700</v>
      </c>
      <c r="E14517" s="2">
        <f t="shared" si="2386"/>
        <v>42005</v>
      </c>
      <c r="F14517" s="2">
        <f t="shared" si="2389"/>
        <v>44196</v>
      </c>
    </row>
    <row r="14518" spans="1:6" x14ac:dyDescent="0.25">
      <c r="A14518" s="1" t="s">
        <v>264</v>
      </c>
      <c r="B14518" s="1" t="s">
        <v>534</v>
      </c>
      <c r="C14518" s="1" t="s">
        <v>150</v>
      </c>
      <c r="D14518" s="3">
        <f t="shared" si="2388"/>
        <v>7700</v>
      </c>
      <c r="E14518" s="2">
        <f t="shared" si="2386"/>
        <v>42005</v>
      </c>
      <c r="F14518" s="2">
        <f t="shared" si="2389"/>
        <v>44196</v>
      </c>
    </row>
    <row r="14519" spans="1:6" x14ac:dyDescent="0.25">
      <c r="A14519" s="1" t="s">
        <v>264</v>
      </c>
      <c r="B14519" s="1" t="s">
        <v>534</v>
      </c>
      <c r="C14519" s="1" t="s">
        <v>92</v>
      </c>
      <c r="D14519" s="3">
        <f t="shared" si="2388"/>
        <v>7700</v>
      </c>
      <c r="E14519" s="2">
        <f t="shared" si="2386"/>
        <v>42005</v>
      </c>
      <c r="F14519" s="2">
        <f t="shared" si="2389"/>
        <v>44196</v>
      </c>
    </row>
    <row r="14520" spans="1:6" x14ac:dyDescent="0.25">
      <c r="A14520" s="1" t="s">
        <v>264</v>
      </c>
      <c r="B14520" s="1" t="s">
        <v>534</v>
      </c>
      <c r="C14520" s="1" t="s">
        <v>24</v>
      </c>
      <c r="D14520" s="3">
        <f t="shared" si="2388"/>
        <v>7700</v>
      </c>
      <c r="E14520" s="2">
        <f t="shared" si="2386"/>
        <v>42005</v>
      </c>
      <c r="F14520" s="2">
        <f t="shared" si="2389"/>
        <v>44196</v>
      </c>
    </row>
    <row r="14521" spans="1:6" x14ac:dyDescent="0.25">
      <c r="A14521" s="1" t="s">
        <v>264</v>
      </c>
      <c r="B14521" s="1" t="s">
        <v>534</v>
      </c>
      <c r="C14521" s="1" t="s">
        <v>26</v>
      </c>
      <c r="D14521" s="3">
        <f t="shared" si="2388"/>
        <v>7700</v>
      </c>
      <c r="E14521" s="2">
        <f t="shared" si="2386"/>
        <v>42005</v>
      </c>
      <c r="F14521" s="2">
        <f t="shared" si="2389"/>
        <v>44196</v>
      </c>
    </row>
    <row r="14522" spans="1:6" x14ac:dyDescent="0.25">
      <c r="A14522" s="1" t="s">
        <v>264</v>
      </c>
      <c r="B14522" s="1" t="s">
        <v>534</v>
      </c>
      <c r="C14522" s="1" t="s">
        <v>401</v>
      </c>
      <c r="D14522" s="3">
        <f t="shared" si="2388"/>
        <v>7700</v>
      </c>
      <c r="E14522" s="2">
        <f t="shared" si="2386"/>
        <v>42005</v>
      </c>
      <c r="F14522" s="2">
        <f t="shared" si="2389"/>
        <v>44196</v>
      </c>
    </row>
    <row r="14523" spans="1:6" x14ac:dyDescent="0.25">
      <c r="A14523" s="1" t="s">
        <v>264</v>
      </c>
      <c r="B14523" s="1" t="s">
        <v>534</v>
      </c>
      <c r="C14523" s="1" t="s">
        <v>160</v>
      </c>
      <c r="D14523" s="3">
        <f t="shared" si="2388"/>
        <v>7700</v>
      </c>
      <c r="E14523" s="2">
        <f t="shared" si="2386"/>
        <v>42005</v>
      </c>
      <c r="F14523" s="2">
        <f t="shared" si="2389"/>
        <v>44196</v>
      </c>
    </row>
    <row r="14524" spans="1:6" x14ac:dyDescent="0.25">
      <c r="A14524" s="1" t="s">
        <v>264</v>
      </c>
      <c r="B14524" s="1" t="s">
        <v>534</v>
      </c>
      <c r="C14524" s="1" t="s">
        <v>34</v>
      </c>
      <c r="D14524" s="3">
        <f t="shared" si="2388"/>
        <v>7700</v>
      </c>
      <c r="E14524" s="2">
        <f t="shared" si="2386"/>
        <v>42005</v>
      </c>
      <c r="F14524" s="2">
        <f t="shared" si="2389"/>
        <v>44196</v>
      </c>
    </row>
    <row r="14525" spans="1:6" x14ac:dyDescent="0.25">
      <c r="A14525" s="1" t="s">
        <v>264</v>
      </c>
      <c r="B14525" s="1" t="s">
        <v>534</v>
      </c>
      <c r="C14525" s="1" t="s">
        <v>164</v>
      </c>
      <c r="D14525" s="3">
        <f t="shared" si="2388"/>
        <v>7700</v>
      </c>
      <c r="E14525" s="2">
        <f t="shared" si="2386"/>
        <v>42005</v>
      </c>
      <c r="F14525" s="2">
        <f t="shared" si="2389"/>
        <v>44196</v>
      </c>
    </row>
    <row r="14526" spans="1:6" x14ac:dyDescent="0.25">
      <c r="A14526" s="1" t="s">
        <v>264</v>
      </c>
      <c r="B14526" s="1" t="s">
        <v>534</v>
      </c>
      <c r="C14526" s="1" t="s">
        <v>35</v>
      </c>
      <c r="D14526" s="3">
        <f t="shared" si="2388"/>
        <v>7700</v>
      </c>
      <c r="E14526" s="2">
        <f t="shared" si="2386"/>
        <v>42005</v>
      </c>
      <c r="F14526" s="2">
        <f t="shared" si="2389"/>
        <v>44196</v>
      </c>
    </row>
    <row r="14527" spans="1:6" x14ac:dyDescent="0.25">
      <c r="A14527" s="1" t="s">
        <v>264</v>
      </c>
      <c r="B14527" s="1" t="s">
        <v>489</v>
      </c>
      <c r="C14527" s="1" t="s">
        <v>7</v>
      </c>
      <c r="D14527" s="3">
        <f t="shared" ref="D14527:D14562" si="2390">VALUE("7672")</f>
        <v>7672</v>
      </c>
      <c r="E14527" s="2">
        <f t="shared" ref="E14527:E14562" si="2391">DATEVALUE("1-11-2014")</f>
        <v>41944</v>
      </c>
      <c r="F14527" s="2">
        <f t="shared" si="2389"/>
        <v>44196</v>
      </c>
    </row>
    <row r="14528" spans="1:6" x14ac:dyDescent="0.25">
      <c r="A14528" s="1" t="s">
        <v>264</v>
      </c>
      <c r="B14528" s="1" t="s">
        <v>489</v>
      </c>
      <c r="C14528" s="1" t="s">
        <v>8</v>
      </c>
      <c r="D14528" s="3">
        <f t="shared" si="2390"/>
        <v>7672</v>
      </c>
      <c r="E14528" s="2">
        <f t="shared" si="2391"/>
        <v>41944</v>
      </c>
      <c r="F14528" s="2">
        <f t="shared" si="2389"/>
        <v>44196</v>
      </c>
    </row>
    <row r="14529" spans="1:6" x14ac:dyDescent="0.25">
      <c r="A14529" s="1" t="s">
        <v>264</v>
      </c>
      <c r="B14529" s="1" t="s">
        <v>489</v>
      </c>
      <c r="C14529" s="1" t="s">
        <v>9</v>
      </c>
      <c r="D14529" s="3">
        <f t="shared" si="2390"/>
        <v>7672</v>
      </c>
      <c r="E14529" s="2">
        <f t="shared" si="2391"/>
        <v>41944</v>
      </c>
      <c r="F14529" s="2">
        <f t="shared" si="2389"/>
        <v>44196</v>
      </c>
    </row>
    <row r="14530" spans="1:6" x14ac:dyDescent="0.25">
      <c r="A14530" s="1" t="s">
        <v>264</v>
      </c>
      <c r="B14530" s="1" t="s">
        <v>489</v>
      </c>
      <c r="C14530" s="1" t="s">
        <v>10</v>
      </c>
      <c r="D14530" s="3">
        <f t="shared" si="2390"/>
        <v>7672</v>
      </c>
      <c r="E14530" s="2">
        <f t="shared" si="2391"/>
        <v>41944</v>
      </c>
      <c r="F14530" s="2">
        <f t="shared" si="2389"/>
        <v>44196</v>
      </c>
    </row>
    <row r="14531" spans="1:6" x14ac:dyDescent="0.25">
      <c r="A14531" s="1" t="s">
        <v>264</v>
      </c>
      <c r="B14531" s="1" t="s">
        <v>489</v>
      </c>
      <c r="C14531" s="1" t="s">
        <v>12</v>
      </c>
      <c r="D14531" s="3">
        <f t="shared" si="2390"/>
        <v>7672</v>
      </c>
      <c r="E14531" s="2">
        <f t="shared" si="2391"/>
        <v>41944</v>
      </c>
      <c r="F14531" s="2">
        <f t="shared" si="2389"/>
        <v>44196</v>
      </c>
    </row>
    <row r="14532" spans="1:6" x14ac:dyDescent="0.25">
      <c r="A14532" s="1" t="s">
        <v>264</v>
      </c>
      <c r="B14532" s="1" t="s">
        <v>489</v>
      </c>
      <c r="C14532" s="1" t="s">
        <v>215</v>
      </c>
      <c r="D14532" s="3">
        <f t="shared" si="2390"/>
        <v>7672</v>
      </c>
      <c r="E14532" s="2">
        <f t="shared" si="2391"/>
        <v>41944</v>
      </c>
      <c r="F14532" s="2">
        <f t="shared" si="2389"/>
        <v>44196</v>
      </c>
    </row>
    <row r="14533" spans="1:6" x14ac:dyDescent="0.25">
      <c r="A14533" s="1" t="s">
        <v>264</v>
      </c>
      <c r="B14533" s="1" t="s">
        <v>489</v>
      </c>
      <c r="C14533" s="1" t="s">
        <v>61</v>
      </c>
      <c r="D14533" s="3">
        <f t="shared" si="2390"/>
        <v>7672</v>
      </c>
      <c r="E14533" s="2">
        <f t="shared" si="2391"/>
        <v>41944</v>
      </c>
      <c r="F14533" s="2">
        <f t="shared" si="2389"/>
        <v>44196</v>
      </c>
    </row>
    <row r="14534" spans="1:6" x14ac:dyDescent="0.25">
      <c r="A14534" s="1" t="s">
        <v>264</v>
      </c>
      <c r="B14534" s="1" t="s">
        <v>489</v>
      </c>
      <c r="C14534" s="1" t="s">
        <v>399</v>
      </c>
      <c r="D14534" s="3">
        <f t="shared" si="2390"/>
        <v>7672</v>
      </c>
      <c r="E14534" s="2">
        <f t="shared" si="2391"/>
        <v>41944</v>
      </c>
      <c r="F14534" s="2">
        <f t="shared" si="2389"/>
        <v>44196</v>
      </c>
    </row>
    <row r="14535" spans="1:6" x14ac:dyDescent="0.25">
      <c r="A14535" s="1" t="s">
        <v>264</v>
      </c>
      <c r="B14535" s="1" t="s">
        <v>489</v>
      </c>
      <c r="C14535" s="1" t="s">
        <v>46</v>
      </c>
      <c r="D14535" s="3">
        <f t="shared" si="2390"/>
        <v>7672</v>
      </c>
      <c r="E14535" s="2">
        <f t="shared" si="2391"/>
        <v>41944</v>
      </c>
      <c r="F14535" s="2">
        <f t="shared" si="2389"/>
        <v>44196</v>
      </c>
    </row>
    <row r="14536" spans="1:6" x14ac:dyDescent="0.25">
      <c r="A14536" s="1" t="s">
        <v>264</v>
      </c>
      <c r="B14536" s="1" t="s">
        <v>489</v>
      </c>
      <c r="C14536" s="1" t="s">
        <v>87</v>
      </c>
      <c r="D14536" s="3">
        <f t="shared" si="2390"/>
        <v>7672</v>
      </c>
      <c r="E14536" s="2">
        <f t="shared" si="2391"/>
        <v>41944</v>
      </c>
      <c r="F14536" s="2">
        <f t="shared" si="2389"/>
        <v>44196</v>
      </c>
    </row>
    <row r="14537" spans="1:6" x14ac:dyDescent="0.25">
      <c r="A14537" s="1" t="s">
        <v>264</v>
      </c>
      <c r="B14537" s="1" t="s">
        <v>489</v>
      </c>
      <c r="C14537" s="1" t="s">
        <v>14</v>
      </c>
      <c r="D14537" s="3">
        <f t="shared" si="2390"/>
        <v>7672</v>
      </c>
      <c r="E14537" s="2">
        <f t="shared" si="2391"/>
        <v>41944</v>
      </c>
      <c r="F14537" s="2">
        <f t="shared" si="2389"/>
        <v>44196</v>
      </c>
    </row>
    <row r="14538" spans="1:6" x14ac:dyDescent="0.25">
      <c r="A14538" s="1" t="s">
        <v>264</v>
      </c>
      <c r="B14538" s="1" t="s">
        <v>489</v>
      </c>
      <c r="C14538" s="1" t="s">
        <v>66</v>
      </c>
      <c r="D14538" s="3">
        <f t="shared" si="2390"/>
        <v>7672</v>
      </c>
      <c r="E14538" s="2">
        <f t="shared" si="2391"/>
        <v>41944</v>
      </c>
      <c r="F14538" s="2">
        <f t="shared" si="2389"/>
        <v>44196</v>
      </c>
    </row>
    <row r="14539" spans="1:6" x14ac:dyDescent="0.25">
      <c r="A14539" s="1" t="s">
        <v>264</v>
      </c>
      <c r="B14539" s="1" t="s">
        <v>489</v>
      </c>
      <c r="C14539" s="1" t="s">
        <v>15</v>
      </c>
      <c r="D14539" s="3">
        <f t="shared" si="2390"/>
        <v>7672</v>
      </c>
      <c r="E14539" s="2">
        <f t="shared" si="2391"/>
        <v>41944</v>
      </c>
      <c r="F14539" s="2">
        <f t="shared" si="2389"/>
        <v>44196</v>
      </c>
    </row>
    <row r="14540" spans="1:6" x14ac:dyDescent="0.25">
      <c r="A14540" s="1" t="s">
        <v>264</v>
      </c>
      <c r="B14540" s="1" t="s">
        <v>489</v>
      </c>
      <c r="C14540" s="1" t="s">
        <v>17</v>
      </c>
      <c r="D14540" s="3">
        <f t="shared" si="2390"/>
        <v>7672</v>
      </c>
      <c r="E14540" s="2">
        <f t="shared" si="2391"/>
        <v>41944</v>
      </c>
      <c r="F14540" s="2">
        <f t="shared" si="2389"/>
        <v>44196</v>
      </c>
    </row>
    <row r="14541" spans="1:6" x14ac:dyDescent="0.25">
      <c r="A14541" s="1" t="s">
        <v>264</v>
      </c>
      <c r="B14541" s="1" t="s">
        <v>489</v>
      </c>
      <c r="C14541" s="1" t="s">
        <v>19</v>
      </c>
      <c r="D14541" s="3">
        <f t="shared" si="2390"/>
        <v>7672</v>
      </c>
      <c r="E14541" s="2">
        <f t="shared" si="2391"/>
        <v>41944</v>
      </c>
      <c r="F14541" s="2">
        <f t="shared" si="2389"/>
        <v>44196</v>
      </c>
    </row>
    <row r="14542" spans="1:6" x14ac:dyDescent="0.25">
      <c r="A14542" s="1" t="s">
        <v>264</v>
      </c>
      <c r="B14542" s="1" t="s">
        <v>489</v>
      </c>
      <c r="C14542" s="1" t="s">
        <v>20</v>
      </c>
      <c r="D14542" s="3">
        <f t="shared" si="2390"/>
        <v>7672</v>
      </c>
      <c r="E14542" s="2">
        <f t="shared" si="2391"/>
        <v>41944</v>
      </c>
      <c r="F14542" s="2">
        <f t="shared" si="2389"/>
        <v>44196</v>
      </c>
    </row>
    <row r="14543" spans="1:6" x14ac:dyDescent="0.25">
      <c r="A14543" s="1" t="s">
        <v>264</v>
      </c>
      <c r="B14543" s="1" t="s">
        <v>489</v>
      </c>
      <c r="C14543" s="1" t="s">
        <v>21</v>
      </c>
      <c r="D14543" s="3">
        <f t="shared" si="2390"/>
        <v>7672</v>
      </c>
      <c r="E14543" s="2">
        <f t="shared" si="2391"/>
        <v>41944</v>
      </c>
      <c r="F14543" s="2">
        <f t="shared" ref="F14543:F14574" si="2392">DATEVALUE("31-12-2020")</f>
        <v>44196</v>
      </c>
    </row>
    <row r="14544" spans="1:6" x14ac:dyDescent="0.25">
      <c r="A14544" s="1" t="s">
        <v>264</v>
      </c>
      <c r="B14544" s="1" t="s">
        <v>489</v>
      </c>
      <c r="C14544" s="1" t="s">
        <v>326</v>
      </c>
      <c r="D14544" s="3">
        <f t="shared" si="2390"/>
        <v>7672</v>
      </c>
      <c r="E14544" s="2">
        <f t="shared" si="2391"/>
        <v>41944</v>
      </c>
      <c r="F14544" s="2">
        <f t="shared" si="2392"/>
        <v>44196</v>
      </c>
    </row>
    <row r="14545" spans="1:6" x14ac:dyDescent="0.25">
      <c r="A14545" s="1" t="s">
        <v>264</v>
      </c>
      <c r="B14545" s="1" t="s">
        <v>489</v>
      </c>
      <c r="C14545" s="1" t="s">
        <v>22</v>
      </c>
      <c r="D14545" s="3">
        <f t="shared" si="2390"/>
        <v>7672</v>
      </c>
      <c r="E14545" s="2">
        <f t="shared" si="2391"/>
        <v>41944</v>
      </c>
      <c r="F14545" s="2">
        <f t="shared" si="2392"/>
        <v>44196</v>
      </c>
    </row>
    <row r="14546" spans="1:6" x14ac:dyDescent="0.25">
      <c r="A14546" s="1" t="s">
        <v>264</v>
      </c>
      <c r="B14546" s="1" t="s">
        <v>489</v>
      </c>
      <c r="C14546" s="1" t="s">
        <v>146</v>
      </c>
      <c r="D14546" s="3">
        <f t="shared" si="2390"/>
        <v>7672</v>
      </c>
      <c r="E14546" s="2">
        <f t="shared" si="2391"/>
        <v>41944</v>
      </c>
      <c r="F14546" s="2">
        <f t="shared" si="2392"/>
        <v>44196</v>
      </c>
    </row>
    <row r="14547" spans="1:6" x14ac:dyDescent="0.25">
      <c r="A14547" s="1" t="s">
        <v>264</v>
      </c>
      <c r="B14547" s="1" t="s">
        <v>489</v>
      </c>
      <c r="C14547" s="1" t="s">
        <v>148</v>
      </c>
      <c r="D14547" s="3">
        <f t="shared" si="2390"/>
        <v>7672</v>
      </c>
      <c r="E14547" s="2">
        <f t="shared" si="2391"/>
        <v>41944</v>
      </c>
      <c r="F14547" s="2">
        <f t="shared" si="2392"/>
        <v>44196</v>
      </c>
    </row>
    <row r="14548" spans="1:6" x14ac:dyDescent="0.25">
      <c r="A14548" s="1" t="s">
        <v>264</v>
      </c>
      <c r="B14548" s="1" t="s">
        <v>489</v>
      </c>
      <c r="C14548" s="1" t="s">
        <v>150</v>
      </c>
      <c r="D14548" s="3">
        <f t="shared" si="2390"/>
        <v>7672</v>
      </c>
      <c r="E14548" s="2">
        <f t="shared" si="2391"/>
        <v>41944</v>
      </c>
      <c r="F14548" s="2">
        <f t="shared" si="2392"/>
        <v>44196</v>
      </c>
    </row>
    <row r="14549" spans="1:6" x14ac:dyDescent="0.25">
      <c r="A14549" s="1" t="s">
        <v>264</v>
      </c>
      <c r="B14549" s="1" t="s">
        <v>489</v>
      </c>
      <c r="C14549" s="1" t="s">
        <v>336</v>
      </c>
      <c r="D14549" s="3">
        <f t="shared" si="2390"/>
        <v>7672</v>
      </c>
      <c r="E14549" s="2">
        <f t="shared" si="2391"/>
        <v>41944</v>
      </c>
      <c r="F14549" s="2">
        <f t="shared" si="2392"/>
        <v>44196</v>
      </c>
    </row>
    <row r="14550" spans="1:6" x14ac:dyDescent="0.25">
      <c r="A14550" s="1" t="s">
        <v>264</v>
      </c>
      <c r="B14550" s="1" t="s">
        <v>489</v>
      </c>
      <c r="C14550" s="1" t="s">
        <v>332</v>
      </c>
      <c r="D14550" s="3">
        <f t="shared" si="2390"/>
        <v>7672</v>
      </c>
      <c r="E14550" s="2">
        <f t="shared" si="2391"/>
        <v>41944</v>
      </c>
      <c r="F14550" s="2">
        <f t="shared" si="2392"/>
        <v>44196</v>
      </c>
    </row>
    <row r="14551" spans="1:6" x14ac:dyDescent="0.25">
      <c r="A14551" s="1" t="s">
        <v>264</v>
      </c>
      <c r="B14551" s="1" t="s">
        <v>489</v>
      </c>
      <c r="C14551" s="1" t="s">
        <v>24</v>
      </c>
      <c r="D14551" s="3">
        <f t="shared" si="2390"/>
        <v>7672</v>
      </c>
      <c r="E14551" s="2">
        <f t="shared" si="2391"/>
        <v>41944</v>
      </c>
      <c r="F14551" s="2">
        <f t="shared" si="2392"/>
        <v>44196</v>
      </c>
    </row>
    <row r="14552" spans="1:6" x14ac:dyDescent="0.25">
      <c r="A14552" s="1" t="s">
        <v>264</v>
      </c>
      <c r="B14552" s="1" t="s">
        <v>489</v>
      </c>
      <c r="C14552" s="1" t="s">
        <v>26</v>
      </c>
      <c r="D14552" s="3">
        <f t="shared" si="2390"/>
        <v>7672</v>
      </c>
      <c r="E14552" s="2">
        <f t="shared" si="2391"/>
        <v>41944</v>
      </c>
      <c r="F14552" s="2">
        <f t="shared" si="2392"/>
        <v>44196</v>
      </c>
    </row>
    <row r="14553" spans="1:6" x14ac:dyDescent="0.25">
      <c r="A14553" s="1" t="s">
        <v>264</v>
      </c>
      <c r="B14553" s="1" t="s">
        <v>489</v>
      </c>
      <c r="C14553" s="1" t="s">
        <v>72</v>
      </c>
      <c r="D14553" s="3">
        <f t="shared" si="2390"/>
        <v>7672</v>
      </c>
      <c r="E14553" s="2">
        <f t="shared" si="2391"/>
        <v>41944</v>
      </c>
      <c r="F14553" s="2">
        <f t="shared" si="2392"/>
        <v>44196</v>
      </c>
    </row>
    <row r="14554" spans="1:6" x14ac:dyDescent="0.25">
      <c r="A14554" s="1" t="s">
        <v>264</v>
      </c>
      <c r="B14554" s="1" t="s">
        <v>489</v>
      </c>
      <c r="C14554" s="1" t="s">
        <v>337</v>
      </c>
      <c r="D14554" s="3">
        <f t="shared" si="2390"/>
        <v>7672</v>
      </c>
      <c r="E14554" s="2">
        <f t="shared" si="2391"/>
        <v>41944</v>
      </c>
      <c r="F14554" s="2">
        <f t="shared" si="2392"/>
        <v>44196</v>
      </c>
    </row>
    <row r="14555" spans="1:6" x14ac:dyDescent="0.25">
      <c r="A14555" s="1" t="s">
        <v>264</v>
      </c>
      <c r="B14555" s="1" t="s">
        <v>489</v>
      </c>
      <c r="C14555" s="1" t="s">
        <v>73</v>
      </c>
      <c r="D14555" s="3">
        <f t="shared" si="2390"/>
        <v>7672</v>
      </c>
      <c r="E14555" s="2">
        <f t="shared" si="2391"/>
        <v>41944</v>
      </c>
      <c r="F14555" s="2">
        <f t="shared" si="2392"/>
        <v>44196</v>
      </c>
    </row>
    <row r="14556" spans="1:6" x14ac:dyDescent="0.25">
      <c r="A14556" s="1" t="s">
        <v>264</v>
      </c>
      <c r="B14556" s="1" t="s">
        <v>489</v>
      </c>
      <c r="C14556" s="1" t="s">
        <v>52</v>
      </c>
      <c r="D14556" s="3">
        <f t="shared" si="2390"/>
        <v>7672</v>
      </c>
      <c r="E14556" s="2">
        <f t="shared" si="2391"/>
        <v>41944</v>
      </c>
      <c r="F14556" s="2">
        <f t="shared" si="2392"/>
        <v>44196</v>
      </c>
    </row>
    <row r="14557" spans="1:6" x14ac:dyDescent="0.25">
      <c r="A14557" s="1" t="s">
        <v>264</v>
      </c>
      <c r="B14557" s="1" t="s">
        <v>489</v>
      </c>
      <c r="C14557" s="1" t="s">
        <v>338</v>
      </c>
      <c r="D14557" s="3">
        <f t="shared" si="2390"/>
        <v>7672</v>
      </c>
      <c r="E14557" s="2">
        <f t="shared" si="2391"/>
        <v>41944</v>
      </c>
      <c r="F14557" s="2">
        <f t="shared" si="2392"/>
        <v>44196</v>
      </c>
    </row>
    <row r="14558" spans="1:6" x14ac:dyDescent="0.25">
      <c r="A14558" s="1" t="s">
        <v>264</v>
      </c>
      <c r="B14558" s="1" t="s">
        <v>489</v>
      </c>
      <c r="C14558" s="1" t="s">
        <v>401</v>
      </c>
      <c r="D14558" s="3">
        <f t="shared" si="2390"/>
        <v>7672</v>
      </c>
      <c r="E14558" s="2">
        <f t="shared" si="2391"/>
        <v>41944</v>
      </c>
      <c r="F14558" s="2">
        <f t="shared" si="2392"/>
        <v>44196</v>
      </c>
    </row>
    <row r="14559" spans="1:6" x14ac:dyDescent="0.25">
      <c r="A14559" s="1" t="s">
        <v>264</v>
      </c>
      <c r="B14559" s="1" t="s">
        <v>489</v>
      </c>
      <c r="C14559" s="1" t="s">
        <v>160</v>
      </c>
      <c r="D14559" s="3">
        <f t="shared" si="2390"/>
        <v>7672</v>
      </c>
      <c r="E14559" s="2">
        <f t="shared" si="2391"/>
        <v>41944</v>
      </c>
      <c r="F14559" s="2">
        <f t="shared" si="2392"/>
        <v>44196</v>
      </c>
    </row>
    <row r="14560" spans="1:6" x14ac:dyDescent="0.25">
      <c r="A14560" s="1" t="s">
        <v>264</v>
      </c>
      <c r="B14560" s="1" t="s">
        <v>489</v>
      </c>
      <c r="C14560" s="1" t="s">
        <v>34</v>
      </c>
      <c r="D14560" s="3">
        <f t="shared" si="2390"/>
        <v>7672</v>
      </c>
      <c r="E14560" s="2">
        <f t="shared" si="2391"/>
        <v>41944</v>
      </c>
      <c r="F14560" s="2">
        <f t="shared" si="2392"/>
        <v>44196</v>
      </c>
    </row>
    <row r="14561" spans="1:6" x14ac:dyDescent="0.25">
      <c r="A14561" s="1" t="s">
        <v>264</v>
      </c>
      <c r="B14561" s="1" t="s">
        <v>489</v>
      </c>
      <c r="C14561" s="1" t="s">
        <v>490</v>
      </c>
      <c r="D14561" s="3">
        <f t="shared" si="2390"/>
        <v>7672</v>
      </c>
      <c r="E14561" s="2">
        <f t="shared" si="2391"/>
        <v>41944</v>
      </c>
      <c r="F14561" s="2">
        <f t="shared" si="2392"/>
        <v>44196</v>
      </c>
    </row>
    <row r="14562" spans="1:6" x14ac:dyDescent="0.25">
      <c r="A14562" s="1" t="s">
        <v>264</v>
      </c>
      <c r="B14562" s="1" t="s">
        <v>489</v>
      </c>
      <c r="C14562" s="1" t="s">
        <v>164</v>
      </c>
      <c r="D14562" s="3">
        <f t="shared" si="2390"/>
        <v>7672</v>
      </c>
      <c r="E14562" s="2">
        <f t="shared" si="2391"/>
        <v>41944</v>
      </c>
      <c r="F14562" s="2">
        <f t="shared" si="2392"/>
        <v>44196</v>
      </c>
    </row>
    <row r="14563" spans="1:6" x14ac:dyDescent="0.25">
      <c r="A14563" s="1" t="s">
        <v>264</v>
      </c>
      <c r="B14563" s="1" t="s">
        <v>335</v>
      </c>
      <c r="C14563" s="1" t="s">
        <v>8</v>
      </c>
      <c r="D14563" s="3">
        <f t="shared" ref="D14563:D14591" si="2393">VALUE("7413")</f>
        <v>7413</v>
      </c>
      <c r="E14563" s="2">
        <f t="shared" ref="E14563:E14591" si="2394">DATEVALUE("1-10-2012")</f>
        <v>41183</v>
      </c>
      <c r="F14563" s="2">
        <f t="shared" si="2392"/>
        <v>44196</v>
      </c>
    </row>
    <row r="14564" spans="1:6" x14ac:dyDescent="0.25">
      <c r="A14564" s="1" t="s">
        <v>264</v>
      </c>
      <c r="B14564" s="1" t="s">
        <v>335</v>
      </c>
      <c r="C14564" s="1" t="s">
        <v>9</v>
      </c>
      <c r="D14564" s="3">
        <f t="shared" si="2393"/>
        <v>7413</v>
      </c>
      <c r="E14564" s="2">
        <f t="shared" si="2394"/>
        <v>41183</v>
      </c>
      <c r="F14564" s="2">
        <f t="shared" si="2392"/>
        <v>44196</v>
      </c>
    </row>
    <row r="14565" spans="1:6" x14ac:dyDescent="0.25">
      <c r="A14565" s="1" t="s">
        <v>264</v>
      </c>
      <c r="B14565" s="1" t="s">
        <v>335</v>
      </c>
      <c r="C14565" s="1" t="s">
        <v>10</v>
      </c>
      <c r="D14565" s="3">
        <f t="shared" si="2393"/>
        <v>7413</v>
      </c>
      <c r="E14565" s="2">
        <f t="shared" si="2394"/>
        <v>41183</v>
      </c>
      <c r="F14565" s="2">
        <f t="shared" si="2392"/>
        <v>44196</v>
      </c>
    </row>
    <row r="14566" spans="1:6" x14ac:dyDescent="0.25">
      <c r="A14566" s="1" t="s">
        <v>264</v>
      </c>
      <c r="B14566" s="1" t="s">
        <v>335</v>
      </c>
      <c r="C14566" s="1" t="s">
        <v>137</v>
      </c>
      <c r="D14566" s="3">
        <f t="shared" si="2393"/>
        <v>7413</v>
      </c>
      <c r="E14566" s="2">
        <f t="shared" si="2394"/>
        <v>41183</v>
      </c>
      <c r="F14566" s="2">
        <f t="shared" si="2392"/>
        <v>44196</v>
      </c>
    </row>
    <row r="14567" spans="1:6" x14ac:dyDescent="0.25">
      <c r="A14567" s="1" t="s">
        <v>264</v>
      </c>
      <c r="B14567" s="1" t="s">
        <v>335</v>
      </c>
      <c r="C14567" s="1" t="s">
        <v>215</v>
      </c>
      <c r="D14567" s="3">
        <f t="shared" si="2393"/>
        <v>7413</v>
      </c>
      <c r="E14567" s="2">
        <f t="shared" si="2394"/>
        <v>41183</v>
      </c>
      <c r="F14567" s="2">
        <f t="shared" si="2392"/>
        <v>44196</v>
      </c>
    </row>
    <row r="14568" spans="1:6" x14ac:dyDescent="0.25">
      <c r="A14568" s="1" t="s">
        <v>264</v>
      </c>
      <c r="B14568" s="1" t="s">
        <v>335</v>
      </c>
      <c r="C14568" s="1" t="s">
        <v>140</v>
      </c>
      <c r="D14568" s="3">
        <f t="shared" si="2393"/>
        <v>7413</v>
      </c>
      <c r="E14568" s="2">
        <f t="shared" si="2394"/>
        <v>41183</v>
      </c>
      <c r="F14568" s="2">
        <f t="shared" si="2392"/>
        <v>44196</v>
      </c>
    </row>
    <row r="14569" spans="1:6" x14ac:dyDescent="0.25">
      <c r="A14569" s="1" t="s">
        <v>264</v>
      </c>
      <c r="B14569" s="1" t="s">
        <v>335</v>
      </c>
      <c r="C14569" s="1" t="s">
        <v>141</v>
      </c>
      <c r="D14569" s="3">
        <f t="shared" si="2393"/>
        <v>7413</v>
      </c>
      <c r="E14569" s="2">
        <f t="shared" si="2394"/>
        <v>41183</v>
      </c>
      <c r="F14569" s="2">
        <f t="shared" si="2392"/>
        <v>44196</v>
      </c>
    </row>
    <row r="14570" spans="1:6" x14ac:dyDescent="0.25">
      <c r="A14570" s="1" t="s">
        <v>264</v>
      </c>
      <c r="B14570" s="1" t="s">
        <v>335</v>
      </c>
      <c r="C14570" s="1" t="s">
        <v>46</v>
      </c>
      <c r="D14570" s="3">
        <f t="shared" si="2393"/>
        <v>7413</v>
      </c>
      <c r="E14570" s="2">
        <f t="shared" si="2394"/>
        <v>41183</v>
      </c>
      <c r="F14570" s="2">
        <f t="shared" si="2392"/>
        <v>44196</v>
      </c>
    </row>
    <row r="14571" spans="1:6" x14ac:dyDescent="0.25">
      <c r="A14571" s="1" t="s">
        <v>264</v>
      </c>
      <c r="B14571" s="1" t="s">
        <v>335</v>
      </c>
      <c r="C14571" s="1" t="s">
        <v>14</v>
      </c>
      <c r="D14571" s="3">
        <f t="shared" si="2393"/>
        <v>7413</v>
      </c>
      <c r="E14571" s="2">
        <f t="shared" si="2394"/>
        <v>41183</v>
      </c>
      <c r="F14571" s="2">
        <f t="shared" si="2392"/>
        <v>44196</v>
      </c>
    </row>
    <row r="14572" spans="1:6" x14ac:dyDescent="0.25">
      <c r="A14572" s="1" t="s">
        <v>264</v>
      </c>
      <c r="B14572" s="1" t="s">
        <v>335</v>
      </c>
      <c r="C14572" s="1" t="s">
        <v>15</v>
      </c>
      <c r="D14572" s="3">
        <f t="shared" si="2393"/>
        <v>7413</v>
      </c>
      <c r="E14572" s="2">
        <f t="shared" si="2394"/>
        <v>41183</v>
      </c>
      <c r="F14572" s="2">
        <f t="shared" si="2392"/>
        <v>44196</v>
      </c>
    </row>
    <row r="14573" spans="1:6" x14ac:dyDescent="0.25">
      <c r="A14573" s="1" t="s">
        <v>264</v>
      </c>
      <c r="B14573" s="1" t="s">
        <v>335</v>
      </c>
      <c r="C14573" s="1" t="s">
        <v>17</v>
      </c>
      <c r="D14573" s="3">
        <f t="shared" si="2393"/>
        <v>7413</v>
      </c>
      <c r="E14573" s="2">
        <f t="shared" si="2394"/>
        <v>41183</v>
      </c>
      <c r="F14573" s="2">
        <f t="shared" si="2392"/>
        <v>44196</v>
      </c>
    </row>
    <row r="14574" spans="1:6" x14ac:dyDescent="0.25">
      <c r="A14574" s="1" t="s">
        <v>264</v>
      </c>
      <c r="B14574" s="1" t="s">
        <v>335</v>
      </c>
      <c r="C14574" s="1" t="s">
        <v>19</v>
      </c>
      <c r="D14574" s="3">
        <f t="shared" si="2393"/>
        <v>7413</v>
      </c>
      <c r="E14574" s="2">
        <f t="shared" si="2394"/>
        <v>41183</v>
      </c>
      <c r="F14574" s="2">
        <f t="shared" si="2392"/>
        <v>44196</v>
      </c>
    </row>
    <row r="14575" spans="1:6" x14ac:dyDescent="0.25">
      <c r="A14575" s="1" t="s">
        <v>264</v>
      </c>
      <c r="B14575" s="1" t="s">
        <v>335</v>
      </c>
      <c r="C14575" s="1" t="s">
        <v>20</v>
      </c>
      <c r="D14575" s="3">
        <f t="shared" si="2393"/>
        <v>7413</v>
      </c>
      <c r="E14575" s="2">
        <f t="shared" si="2394"/>
        <v>41183</v>
      </c>
      <c r="F14575" s="2">
        <f t="shared" ref="F14575:F14591" si="2395">DATEVALUE("31-12-2020")</f>
        <v>44196</v>
      </c>
    </row>
    <row r="14576" spans="1:6" x14ac:dyDescent="0.25">
      <c r="A14576" s="1" t="s">
        <v>264</v>
      </c>
      <c r="B14576" s="1" t="s">
        <v>335</v>
      </c>
      <c r="C14576" s="1" t="s">
        <v>21</v>
      </c>
      <c r="D14576" s="3">
        <f t="shared" si="2393"/>
        <v>7413</v>
      </c>
      <c r="E14576" s="2">
        <f t="shared" si="2394"/>
        <v>41183</v>
      </c>
      <c r="F14576" s="2">
        <f t="shared" si="2395"/>
        <v>44196</v>
      </c>
    </row>
    <row r="14577" spans="1:6" x14ac:dyDescent="0.25">
      <c r="A14577" s="1" t="s">
        <v>264</v>
      </c>
      <c r="B14577" s="1" t="s">
        <v>335</v>
      </c>
      <c r="C14577" s="1" t="s">
        <v>326</v>
      </c>
      <c r="D14577" s="3">
        <f t="shared" si="2393"/>
        <v>7413</v>
      </c>
      <c r="E14577" s="2">
        <f t="shared" si="2394"/>
        <v>41183</v>
      </c>
      <c r="F14577" s="2">
        <f t="shared" si="2395"/>
        <v>44196</v>
      </c>
    </row>
    <row r="14578" spans="1:6" x14ac:dyDescent="0.25">
      <c r="A14578" s="1" t="s">
        <v>264</v>
      </c>
      <c r="B14578" s="1" t="s">
        <v>335</v>
      </c>
      <c r="C14578" s="1" t="s">
        <v>146</v>
      </c>
      <c r="D14578" s="3">
        <f t="shared" si="2393"/>
        <v>7413</v>
      </c>
      <c r="E14578" s="2">
        <f t="shared" si="2394"/>
        <v>41183</v>
      </c>
      <c r="F14578" s="2">
        <f t="shared" si="2395"/>
        <v>44196</v>
      </c>
    </row>
    <row r="14579" spans="1:6" x14ac:dyDescent="0.25">
      <c r="A14579" s="1" t="s">
        <v>264</v>
      </c>
      <c r="B14579" s="1" t="s">
        <v>335</v>
      </c>
      <c r="C14579" s="1" t="s">
        <v>148</v>
      </c>
      <c r="D14579" s="3">
        <f t="shared" si="2393"/>
        <v>7413</v>
      </c>
      <c r="E14579" s="2">
        <f t="shared" si="2394"/>
        <v>41183</v>
      </c>
      <c r="F14579" s="2">
        <f t="shared" si="2395"/>
        <v>44196</v>
      </c>
    </row>
    <row r="14580" spans="1:6" x14ac:dyDescent="0.25">
      <c r="A14580" s="1" t="s">
        <v>264</v>
      </c>
      <c r="B14580" s="1" t="s">
        <v>335</v>
      </c>
      <c r="C14580" s="1" t="s">
        <v>150</v>
      </c>
      <c r="D14580" s="3">
        <f t="shared" si="2393"/>
        <v>7413</v>
      </c>
      <c r="E14580" s="2">
        <f t="shared" si="2394"/>
        <v>41183</v>
      </c>
      <c r="F14580" s="2">
        <f t="shared" si="2395"/>
        <v>44196</v>
      </c>
    </row>
    <row r="14581" spans="1:6" x14ac:dyDescent="0.25">
      <c r="A14581" s="1" t="s">
        <v>264</v>
      </c>
      <c r="B14581" s="1" t="s">
        <v>335</v>
      </c>
      <c r="C14581" s="1" t="s">
        <v>336</v>
      </c>
      <c r="D14581" s="3">
        <f t="shared" si="2393"/>
        <v>7413</v>
      </c>
      <c r="E14581" s="2">
        <f t="shared" si="2394"/>
        <v>41183</v>
      </c>
      <c r="F14581" s="2">
        <f t="shared" si="2395"/>
        <v>44196</v>
      </c>
    </row>
    <row r="14582" spans="1:6" x14ac:dyDescent="0.25">
      <c r="A14582" s="1" t="s">
        <v>264</v>
      </c>
      <c r="B14582" s="1" t="s">
        <v>335</v>
      </c>
      <c r="C14582" s="1" t="s">
        <v>329</v>
      </c>
      <c r="D14582" s="3">
        <f t="shared" si="2393"/>
        <v>7413</v>
      </c>
      <c r="E14582" s="2">
        <f t="shared" si="2394"/>
        <v>41183</v>
      </c>
      <c r="F14582" s="2">
        <f t="shared" si="2395"/>
        <v>44196</v>
      </c>
    </row>
    <row r="14583" spans="1:6" x14ac:dyDescent="0.25">
      <c r="A14583" s="1" t="s">
        <v>264</v>
      </c>
      <c r="B14583" s="1" t="s">
        <v>335</v>
      </c>
      <c r="C14583" s="1" t="s">
        <v>332</v>
      </c>
      <c r="D14583" s="3">
        <f t="shared" si="2393"/>
        <v>7413</v>
      </c>
      <c r="E14583" s="2">
        <f t="shared" si="2394"/>
        <v>41183</v>
      </c>
      <c r="F14583" s="2">
        <f t="shared" si="2395"/>
        <v>44196</v>
      </c>
    </row>
    <row r="14584" spans="1:6" x14ac:dyDescent="0.25">
      <c r="A14584" s="1" t="s">
        <v>264</v>
      </c>
      <c r="B14584" s="1" t="s">
        <v>335</v>
      </c>
      <c r="C14584" s="1" t="s">
        <v>24</v>
      </c>
      <c r="D14584" s="3">
        <f t="shared" si="2393"/>
        <v>7413</v>
      </c>
      <c r="E14584" s="2">
        <f t="shared" si="2394"/>
        <v>41183</v>
      </c>
      <c r="F14584" s="2">
        <f t="shared" si="2395"/>
        <v>44196</v>
      </c>
    </row>
    <row r="14585" spans="1:6" x14ac:dyDescent="0.25">
      <c r="A14585" s="1" t="s">
        <v>264</v>
      </c>
      <c r="B14585" s="1" t="s">
        <v>335</v>
      </c>
      <c r="C14585" s="1" t="s">
        <v>27</v>
      </c>
      <c r="D14585" s="3">
        <f t="shared" si="2393"/>
        <v>7413</v>
      </c>
      <c r="E14585" s="2">
        <f t="shared" si="2394"/>
        <v>41183</v>
      </c>
      <c r="F14585" s="2">
        <f t="shared" si="2395"/>
        <v>44196</v>
      </c>
    </row>
    <row r="14586" spans="1:6" x14ac:dyDescent="0.25">
      <c r="A14586" s="1" t="s">
        <v>264</v>
      </c>
      <c r="B14586" s="1" t="s">
        <v>335</v>
      </c>
      <c r="C14586" s="1" t="s">
        <v>337</v>
      </c>
      <c r="D14586" s="3">
        <f t="shared" si="2393"/>
        <v>7413</v>
      </c>
      <c r="E14586" s="2">
        <f t="shared" si="2394"/>
        <v>41183</v>
      </c>
      <c r="F14586" s="2">
        <f t="shared" si="2395"/>
        <v>44196</v>
      </c>
    </row>
    <row r="14587" spans="1:6" x14ac:dyDescent="0.25">
      <c r="A14587" s="1" t="s">
        <v>264</v>
      </c>
      <c r="B14587" s="1" t="s">
        <v>335</v>
      </c>
      <c r="C14587" s="1" t="s">
        <v>52</v>
      </c>
      <c r="D14587" s="3">
        <f t="shared" si="2393"/>
        <v>7413</v>
      </c>
      <c r="E14587" s="2">
        <f t="shared" si="2394"/>
        <v>41183</v>
      </c>
      <c r="F14587" s="2">
        <f t="shared" si="2395"/>
        <v>44196</v>
      </c>
    </row>
    <row r="14588" spans="1:6" x14ac:dyDescent="0.25">
      <c r="A14588" s="1" t="s">
        <v>264</v>
      </c>
      <c r="B14588" s="1" t="s">
        <v>335</v>
      </c>
      <c r="C14588" s="1" t="s">
        <v>338</v>
      </c>
      <c r="D14588" s="3">
        <f t="shared" si="2393"/>
        <v>7413</v>
      </c>
      <c r="E14588" s="2">
        <f t="shared" si="2394"/>
        <v>41183</v>
      </c>
      <c r="F14588" s="2">
        <f t="shared" si="2395"/>
        <v>44196</v>
      </c>
    </row>
    <row r="14589" spans="1:6" x14ac:dyDescent="0.25">
      <c r="A14589" s="1" t="s">
        <v>264</v>
      </c>
      <c r="B14589" s="1" t="s">
        <v>335</v>
      </c>
      <c r="C14589" s="1" t="s">
        <v>160</v>
      </c>
      <c r="D14589" s="3">
        <f t="shared" si="2393"/>
        <v>7413</v>
      </c>
      <c r="E14589" s="2">
        <f t="shared" si="2394"/>
        <v>41183</v>
      </c>
      <c r="F14589" s="2">
        <f t="shared" si="2395"/>
        <v>44196</v>
      </c>
    </row>
    <row r="14590" spans="1:6" x14ac:dyDescent="0.25">
      <c r="A14590" s="1" t="s">
        <v>264</v>
      </c>
      <c r="B14590" s="1" t="s">
        <v>335</v>
      </c>
      <c r="C14590" s="1" t="s">
        <v>34</v>
      </c>
      <c r="D14590" s="3">
        <f t="shared" si="2393"/>
        <v>7413</v>
      </c>
      <c r="E14590" s="2">
        <f t="shared" si="2394"/>
        <v>41183</v>
      </c>
      <c r="F14590" s="2">
        <f t="shared" si="2395"/>
        <v>44196</v>
      </c>
    </row>
    <row r="14591" spans="1:6" x14ac:dyDescent="0.25">
      <c r="A14591" s="1" t="s">
        <v>264</v>
      </c>
      <c r="B14591" s="1" t="s">
        <v>335</v>
      </c>
      <c r="C14591" s="1" t="s">
        <v>164</v>
      </c>
      <c r="D14591" s="3">
        <f t="shared" si="2393"/>
        <v>7413</v>
      </c>
      <c r="E14591" s="2">
        <f t="shared" si="2394"/>
        <v>41183</v>
      </c>
      <c r="F14591" s="2">
        <f t="shared" si="2395"/>
        <v>44196</v>
      </c>
    </row>
    <row r="14592" spans="1:6" x14ac:dyDescent="0.25">
      <c r="A14592" s="1" t="s">
        <v>264</v>
      </c>
      <c r="B14592" s="1" t="s">
        <v>263</v>
      </c>
      <c r="C14592" s="1" t="s">
        <v>265</v>
      </c>
      <c r="D14592" s="3">
        <f t="shared" ref="D14592:D14608" si="2396">VALUE("7264")</f>
        <v>7264</v>
      </c>
      <c r="E14592" s="2">
        <f t="shared" ref="E14592:E14608" si="2397">DATEVALUE("1-4-2012")</f>
        <v>41000</v>
      </c>
      <c r="F14592" s="2">
        <f t="shared" ref="F14592:F14608" si="2398">DATEVALUE("31-12-2024")</f>
        <v>45657</v>
      </c>
    </row>
    <row r="14593" spans="1:6" x14ac:dyDescent="0.25">
      <c r="A14593" s="1" t="s">
        <v>264</v>
      </c>
      <c r="B14593" s="1" t="s">
        <v>263</v>
      </c>
      <c r="C14593" s="1" t="s">
        <v>85</v>
      </c>
      <c r="D14593" s="3">
        <f t="shared" si="2396"/>
        <v>7264</v>
      </c>
      <c r="E14593" s="2">
        <f t="shared" si="2397"/>
        <v>41000</v>
      </c>
      <c r="F14593" s="2">
        <f t="shared" si="2398"/>
        <v>45657</v>
      </c>
    </row>
    <row r="14594" spans="1:6" x14ac:dyDescent="0.25">
      <c r="A14594" s="1" t="s">
        <v>264</v>
      </c>
      <c r="B14594" s="1" t="s">
        <v>263</v>
      </c>
      <c r="C14594" s="1" t="s">
        <v>84</v>
      </c>
      <c r="D14594" s="3">
        <f t="shared" si="2396"/>
        <v>7264</v>
      </c>
      <c r="E14594" s="2">
        <f t="shared" si="2397"/>
        <v>41000</v>
      </c>
      <c r="F14594" s="2">
        <f t="shared" si="2398"/>
        <v>45657</v>
      </c>
    </row>
    <row r="14595" spans="1:6" x14ac:dyDescent="0.25">
      <c r="A14595" s="1" t="s">
        <v>264</v>
      </c>
      <c r="B14595" s="1" t="s">
        <v>263</v>
      </c>
      <c r="C14595" s="1" t="s">
        <v>45</v>
      </c>
      <c r="D14595" s="3">
        <f t="shared" si="2396"/>
        <v>7264</v>
      </c>
      <c r="E14595" s="2">
        <f t="shared" si="2397"/>
        <v>41000</v>
      </c>
      <c r="F14595" s="2">
        <f t="shared" si="2398"/>
        <v>45657</v>
      </c>
    </row>
    <row r="14596" spans="1:6" x14ac:dyDescent="0.25">
      <c r="A14596" s="1" t="s">
        <v>264</v>
      </c>
      <c r="B14596" s="1" t="s">
        <v>263</v>
      </c>
      <c r="C14596" s="1" t="s">
        <v>44</v>
      </c>
      <c r="D14596" s="3">
        <f t="shared" si="2396"/>
        <v>7264</v>
      </c>
      <c r="E14596" s="2">
        <f t="shared" si="2397"/>
        <v>41000</v>
      </c>
      <c r="F14596" s="2">
        <f t="shared" si="2398"/>
        <v>45657</v>
      </c>
    </row>
    <row r="14597" spans="1:6" x14ac:dyDescent="0.25">
      <c r="A14597" s="1" t="s">
        <v>264</v>
      </c>
      <c r="B14597" s="1" t="s">
        <v>263</v>
      </c>
      <c r="C14597" s="1" t="s">
        <v>17</v>
      </c>
      <c r="D14597" s="3">
        <f t="shared" si="2396"/>
        <v>7264</v>
      </c>
      <c r="E14597" s="2">
        <f t="shared" si="2397"/>
        <v>41000</v>
      </c>
      <c r="F14597" s="2">
        <f t="shared" si="2398"/>
        <v>45657</v>
      </c>
    </row>
    <row r="14598" spans="1:6" x14ac:dyDescent="0.25">
      <c r="A14598" s="1" t="s">
        <v>264</v>
      </c>
      <c r="B14598" s="1" t="s">
        <v>263</v>
      </c>
      <c r="C14598" s="1" t="s">
        <v>67</v>
      </c>
      <c r="D14598" s="3">
        <f t="shared" si="2396"/>
        <v>7264</v>
      </c>
      <c r="E14598" s="2">
        <f t="shared" si="2397"/>
        <v>41000</v>
      </c>
      <c r="F14598" s="2">
        <f t="shared" si="2398"/>
        <v>45657</v>
      </c>
    </row>
    <row r="14599" spans="1:6" x14ac:dyDescent="0.25">
      <c r="A14599" s="1" t="s">
        <v>264</v>
      </c>
      <c r="B14599" s="1" t="s">
        <v>263</v>
      </c>
      <c r="C14599" s="1" t="s">
        <v>172</v>
      </c>
      <c r="D14599" s="3">
        <f t="shared" si="2396"/>
        <v>7264</v>
      </c>
      <c r="E14599" s="2">
        <f t="shared" si="2397"/>
        <v>41000</v>
      </c>
      <c r="F14599" s="2">
        <f t="shared" si="2398"/>
        <v>45657</v>
      </c>
    </row>
    <row r="14600" spans="1:6" x14ac:dyDescent="0.25">
      <c r="A14600" s="1" t="s">
        <v>264</v>
      </c>
      <c r="B14600" s="1" t="s">
        <v>263</v>
      </c>
      <c r="C14600" s="1" t="s">
        <v>266</v>
      </c>
      <c r="D14600" s="3">
        <f t="shared" si="2396"/>
        <v>7264</v>
      </c>
      <c r="E14600" s="2">
        <f t="shared" si="2397"/>
        <v>41000</v>
      </c>
      <c r="F14600" s="2">
        <f t="shared" si="2398"/>
        <v>45657</v>
      </c>
    </row>
    <row r="14601" spans="1:6" x14ac:dyDescent="0.25">
      <c r="A14601" s="1" t="s">
        <v>264</v>
      </c>
      <c r="B14601" s="1" t="s">
        <v>263</v>
      </c>
      <c r="C14601" s="1" t="s">
        <v>267</v>
      </c>
      <c r="D14601" s="3">
        <f t="shared" si="2396"/>
        <v>7264</v>
      </c>
      <c r="E14601" s="2">
        <f t="shared" si="2397"/>
        <v>41000</v>
      </c>
      <c r="F14601" s="2">
        <f t="shared" si="2398"/>
        <v>45657</v>
      </c>
    </row>
    <row r="14602" spans="1:6" x14ac:dyDescent="0.25">
      <c r="A14602" s="1" t="s">
        <v>264</v>
      </c>
      <c r="B14602" s="1" t="s">
        <v>263</v>
      </c>
      <c r="C14602" s="1" t="s">
        <v>268</v>
      </c>
      <c r="D14602" s="3">
        <f t="shared" si="2396"/>
        <v>7264</v>
      </c>
      <c r="E14602" s="2">
        <f t="shared" si="2397"/>
        <v>41000</v>
      </c>
      <c r="F14602" s="2">
        <f t="shared" si="2398"/>
        <v>45657</v>
      </c>
    </row>
    <row r="14603" spans="1:6" x14ac:dyDescent="0.25">
      <c r="A14603" s="1" t="s">
        <v>264</v>
      </c>
      <c r="B14603" s="1" t="s">
        <v>263</v>
      </c>
      <c r="C14603" s="1" t="s">
        <v>269</v>
      </c>
      <c r="D14603" s="3">
        <f t="shared" si="2396"/>
        <v>7264</v>
      </c>
      <c r="E14603" s="2">
        <f t="shared" si="2397"/>
        <v>41000</v>
      </c>
      <c r="F14603" s="2">
        <f t="shared" si="2398"/>
        <v>45657</v>
      </c>
    </row>
    <row r="14604" spans="1:6" x14ac:dyDescent="0.25">
      <c r="A14604" s="1" t="s">
        <v>264</v>
      </c>
      <c r="B14604" s="1" t="s">
        <v>263</v>
      </c>
      <c r="C14604" s="1" t="s">
        <v>270</v>
      </c>
      <c r="D14604" s="3">
        <f t="shared" si="2396"/>
        <v>7264</v>
      </c>
      <c r="E14604" s="2">
        <f t="shared" si="2397"/>
        <v>41000</v>
      </c>
      <c r="F14604" s="2">
        <f t="shared" si="2398"/>
        <v>45657</v>
      </c>
    </row>
    <row r="14605" spans="1:6" x14ac:dyDescent="0.25">
      <c r="A14605" s="1" t="s">
        <v>264</v>
      </c>
      <c r="B14605" s="1" t="s">
        <v>263</v>
      </c>
      <c r="C14605" s="1" t="s">
        <v>271</v>
      </c>
      <c r="D14605" s="3">
        <f t="shared" si="2396"/>
        <v>7264</v>
      </c>
      <c r="E14605" s="2">
        <f t="shared" si="2397"/>
        <v>41000</v>
      </c>
      <c r="F14605" s="2">
        <f t="shared" si="2398"/>
        <v>45657</v>
      </c>
    </row>
    <row r="14606" spans="1:6" x14ac:dyDescent="0.25">
      <c r="A14606" s="1" t="s">
        <v>264</v>
      </c>
      <c r="B14606" s="1" t="s">
        <v>263</v>
      </c>
      <c r="C14606" s="1" t="s">
        <v>272</v>
      </c>
      <c r="D14606" s="3">
        <f t="shared" si="2396"/>
        <v>7264</v>
      </c>
      <c r="E14606" s="2">
        <f t="shared" si="2397"/>
        <v>41000</v>
      </c>
      <c r="F14606" s="2">
        <f t="shared" si="2398"/>
        <v>45657</v>
      </c>
    </row>
    <row r="14607" spans="1:6" x14ac:dyDescent="0.25">
      <c r="A14607" s="1" t="s">
        <v>264</v>
      </c>
      <c r="B14607" s="1" t="s">
        <v>263</v>
      </c>
      <c r="C14607" s="1" t="s">
        <v>273</v>
      </c>
      <c r="D14607" s="3">
        <f t="shared" si="2396"/>
        <v>7264</v>
      </c>
      <c r="E14607" s="2">
        <f t="shared" si="2397"/>
        <v>41000</v>
      </c>
      <c r="F14607" s="2">
        <f t="shared" si="2398"/>
        <v>45657</v>
      </c>
    </row>
    <row r="14608" spans="1:6" x14ac:dyDescent="0.25">
      <c r="A14608" s="1" t="s">
        <v>264</v>
      </c>
      <c r="B14608" s="1" t="s">
        <v>263</v>
      </c>
      <c r="C14608" s="1" t="s">
        <v>274</v>
      </c>
      <c r="D14608" s="3">
        <f t="shared" si="2396"/>
        <v>7264</v>
      </c>
      <c r="E14608" s="2">
        <f t="shared" si="2397"/>
        <v>41000</v>
      </c>
      <c r="F14608" s="2">
        <f t="shared" si="2398"/>
        <v>45657</v>
      </c>
    </row>
    <row r="14609" spans="1:6" x14ac:dyDescent="0.25">
      <c r="A14609" s="1" t="s">
        <v>264</v>
      </c>
      <c r="B14609" s="1" t="s">
        <v>2113</v>
      </c>
      <c r="C14609" s="1" t="s">
        <v>8</v>
      </c>
      <c r="D14609" s="3">
        <f t="shared" ref="D14609:D14620" si="2399">VALUE("7068")</f>
        <v>7068</v>
      </c>
      <c r="E14609" s="2">
        <f t="shared" ref="E14609:E14620" si="2400">DATEVALUE("1-6-2010")</f>
        <v>40330</v>
      </c>
      <c r="F14609" s="2">
        <f t="shared" ref="F14609:F14620" si="2401">DATEVALUE("31-12-2017")</f>
        <v>43100</v>
      </c>
    </row>
    <row r="14610" spans="1:6" x14ac:dyDescent="0.25">
      <c r="A14610" s="1" t="s">
        <v>264</v>
      </c>
      <c r="B14610" s="1" t="s">
        <v>2113</v>
      </c>
      <c r="C14610" s="1" t="s">
        <v>10</v>
      </c>
      <c r="D14610" s="3">
        <f t="shared" si="2399"/>
        <v>7068</v>
      </c>
      <c r="E14610" s="2">
        <f t="shared" si="2400"/>
        <v>40330</v>
      </c>
      <c r="F14610" s="2">
        <f t="shared" si="2401"/>
        <v>43100</v>
      </c>
    </row>
    <row r="14611" spans="1:6" x14ac:dyDescent="0.25">
      <c r="A14611" s="1" t="s">
        <v>264</v>
      </c>
      <c r="B14611" s="1" t="s">
        <v>2113</v>
      </c>
      <c r="C14611" s="1" t="s">
        <v>11</v>
      </c>
      <c r="D14611" s="3">
        <f t="shared" si="2399"/>
        <v>7068</v>
      </c>
      <c r="E14611" s="2">
        <f t="shared" si="2400"/>
        <v>40330</v>
      </c>
      <c r="F14611" s="2">
        <f t="shared" si="2401"/>
        <v>43100</v>
      </c>
    </row>
    <row r="14612" spans="1:6" x14ac:dyDescent="0.25">
      <c r="A14612" s="1" t="s">
        <v>264</v>
      </c>
      <c r="B14612" s="1" t="s">
        <v>2113</v>
      </c>
      <c r="C14612" s="1" t="s">
        <v>12</v>
      </c>
      <c r="D14612" s="3">
        <f t="shared" si="2399"/>
        <v>7068</v>
      </c>
      <c r="E14612" s="2">
        <f t="shared" si="2400"/>
        <v>40330</v>
      </c>
      <c r="F14612" s="2">
        <f t="shared" si="2401"/>
        <v>43100</v>
      </c>
    </row>
    <row r="14613" spans="1:6" x14ac:dyDescent="0.25">
      <c r="A14613" s="1" t="s">
        <v>264</v>
      </c>
      <c r="B14613" s="1" t="s">
        <v>2113</v>
      </c>
      <c r="C14613" s="1" t="s">
        <v>20</v>
      </c>
      <c r="D14613" s="3">
        <f t="shared" si="2399"/>
        <v>7068</v>
      </c>
      <c r="E14613" s="2">
        <f t="shared" si="2400"/>
        <v>40330</v>
      </c>
      <c r="F14613" s="2">
        <f t="shared" si="2401"/>
        <v>43100</v>
      </c>
    </row>
    <row r="14614" spans="1:6" x14ac:dyDescent="0.25">
      <c r="A14614" s="1" t="s">
        <v>264</v>
      </c>
      <c r="B14614" s="1" t="s">
        <v>2113</v>
      </c>
      <c r="C14614" s="1" t="s">
        <v>32</v>
      </c>
      <c r="D14614" s="3">
        <f t="shared" si="2399"/>
        <v>7068</v>
      </c>
      <c r="E14614" s="2">
        <f t="shared" si="2400"/>
        <v>40330</v>
      </c>
      <c r="F14614" s="2">
        <f t="shared" si="2401"/>
        <v>43100</v>
      </c>
    </row>
    <row r="14615" spans="1:6" x14ac:dyDescent="0.25">
      <c r="A14615" s="1" t="s">
        <v>264</v>
      </c>
      <c r="B14615" s="1" t="s">
        <v>2113</v>
      </c>
      <c r="C14615" s="1" t="s">
        <v>33</v>
      </c>
      <c r="D14615" s="3">
        <f t="shared" si="2399"/>
        <v>7068</v>
      </c>
      <c r="E14615" s="2">
        <f t="shared" si="2400"/>
        <v>40330</v>
      </c>
      <c r="F14615" s="2">
        <f t="shared" si="2401"/>
        <v>43100</v>
      </c>
    </row>
    <row r="14616" spans="1:6" x14ac:dyDescent="0.25">
      <c r="A14616" s="1" t="s">
        <v>264</v>
      </c>
      <c r="B14616" s="1" t="s">
        <v>2113</v>
      </c>
      <c r="C14616" s="1" t="s">
        <v>369</v>
      </c>
      <c r="D14616" s="3">
        <f t="shared" si="2399"/>
        <v>7068</v>
      </c>
      <c r="E14616" s="2">
        <f t="shared" si="2400"/>
        <v>40330</v>
      </c>
      <c r="F14616" s="2">
        <f t="shared" si="2401"/>
        <v>43100</v>
      </c>
    </row>
    <row r="14617" spans="1:6" x14ac:dyDescent="0.25">
      <c r="A14617" s="1" t="s">
        <v>264</v>
      </c>
      <c r="B14617" s="1" t="s">
        <v>2113</v>
      </c>
      <c r="C14617" s="1" t="s">
        <v>359</v>
      </c>
      <c r="D14617" s="3">
        <f t="shared" si="2399"/>
        <v>7068</v>
      </c>
      <c r="E14617" s="2">
        <f t="shared" si="2400"/>
        <v>40330</v>
      </c>
      <c r="F14617" s="2">
        <f t="shared" si="2401"/>
        <v>43100</v>
      </c>
    </row>
    <row r="14618" spans="1:6" x14ac:dyDescent="0.25">
      <c r="A14618" s="1" t="s">
        <v>264</v>
      </c>
      <c r="B14618" s="1" t="s">
        <v>2113</v>
      </c>
      <c r="C14618" s="1" t="s">
        <v>310</v>
      </c>
      <c r="D14618" s="3">
        <f t="shared" si="2399"/>
        <v>7068</v>
      </c>
      <c r="E14618" s="2">
        <f t="shared" si="2400"/>
        <v>40330</v>
      </c>
      <c r="F14618" s="2">
        <f t="shared" si="2401"/>
        <v>43100</v>
      </c>
    </row>
    <row r="14619" spans="1:6" x14ac:dyDescent="0.25">
      <c r="A14619" s="1" t="s">
        <v>264</v>
      </c>
      <c r="B14619" s="1" t="s">
        <v>2113</v>
      </c>
      <c r="C14619" s="1" t="s">
        <v>164</v>
      </c>
      <c r="D14619" s="3">
        <f t="shared" si="2399"/>
        <v>7068</v>
      </c>
      <c r="E14619" s="2">
        <f t="shared" si="2400"/>
        <v>40330</v>
      </c>
      <c r="F14619" s="2">
        <f t="shared" si="2401"/>
        <v>43100</v>
      </c>
    </row>
    <row r="14620" spans="1:6" x14ac:dyDescent="0.25">
      <c r="A14620" s="1" t="s">
        <v>264</v>
      </c>
      <c r="B14620" s="1" t="s">
        <v>2113</v>
      </c>
      <c r="C14620" s="1" t="s">
        <v>36</v>
      </c>
      <c r="D14620" s="3">
        <f t="shared" si="2399"/>
        <v>7068</v>
      </c>
      <c r="E14620" s="2">
        <f t="shared" si="2400"/>
        <v>40330</v>
      </c>
      <c r="F14620" s="2">
        <f t="shared" si="2401"/>
        <v>43100</v>
      </c>
    </row>
    <row r="14621" spans="1:6" x14ac:dyDescent="0.25">
      <c r="A14621" s="1" t="s">
        <v>264</v>
      </c>
      <c r="B14621" s="1" t="s">
        <v>2543</v>
      </c>
      <c r="C14621" s="1" t="s">
        <v>215</v>
      </c>
      <c r="D14621" s="3">
        <f>VALUE("6152")</f>
        <v>6152</v>
      </c>
      <c r="E14621" s="2">
        <f>DATEVALUE("1-4-2009")</f>
        <v>39904</v>
      </c>
      <c r="F14621" s="2">
        <f>DATEVALUE("30-9-2013")</f>
        <v>41547</v>
      </c>
    </row>
    <row r="14622" spans="1:6" x14ac:dyDescent="0.25">
      <c r="A14622" s="1" t="s">
        <v>264</v>
      </c>
      <c r="B14622" s="1" t="s">
        <v>2104</v>
      </c>
      <c r="C14622" s="1" t="s">
        <v>7</v>
      </c>
      <c r="D14622" s="3">
        <f t="shared" ref="D14622:D14631" si="2402">VALUE("6040")</f>
        <v>6040</v>
      </c>
      <c r="E14622" s="2">
        <f t="shared" ref="E14622:E14631" si="2403">DATEVALUE("1-5-2007")</f>
        <v>39203</v>
      </c>
      <c r="F14622" s="2">
        <f t="shared" ref="F14622:F14631" si="2404">DATEVALUE("31-12-2018")</f>
        <v>43465</v>
      </c>
    </row>
    <row r="14623" spans="1:6" x14ac:dyDescent="0.25">
      <c r="A14623" s="1" t="s">
        <v>264</v>
      </c>
      <c r="B14623" s="1" t="s">
        <v>2104</v>
      </c>
      <c r="C14623" s="1" t="s">
        <v>8</v>
      </c>
      <c r="D14623" s="3">
        <f t="shared" si="2402"/>
        <v>6040</v>
      </c>
      <c r="E14623" s="2">
        <f t="shared" si="2403"/>
        <v>39203</v>
      </c>
      <c r="F14623" s="2">
        <f t="shared" si="2404"/>
        <v>43465</v>
      </c>
    </row>
    <row r="14624" spans="1:6" x14ac:dyDescent="0.25">
      <c r="A14624" s="1" t="s">
        <v>264</v>
      </c>
      <c r="B14624" s="1" t="s">
        <v>2104</v>
      </c>
      <c r="C14624" s="1" t="s">
        <v>10</v>
      </c>
      <c r="D14624" s="3">
        <f t="shared" si="2402"/>
        <v>6040</v>
      </c>
      <c r="E14624" s="2">
        <f t="shared" si="2403"/>
        <v>39203</v>
      </c>
      <c r="F14624" s="2">
        <f t="shared" si="2404"/>
        <v>43465</v>
      </c>
    </row>
    <row r="14625" spans="1:6" x14ac:dyDescent="0.25">
      <c r="A14625" s="1" t="s">
        <v>264</v>
      </c>
      <c r="B14625" s="1" t="s">
        <v>2104</v>
      </c>
      <c r="C14625" s="1" t="s">
        <v>11</v>
      </c>
      <c r="D14625" s="3">
        <f t="shared" si="2402"/>
        <v>6040</v>
      </c>
      <c r="E14625" s="2">
        <f t="shared" si="2403"/>
        <v>39203</v>
      </c>
      <c r="F14625" s="2">
        <f t="shared" si="2404"/>
        <v>43465</v>
      </c>
    </row>
    <row r="14626" spans="1:6" x14ac:dyDescent="0.25">
      <c r="A14626" s="1" t="s">
        <v>264</v>
      </c>
      <c r="B14626" s="1" t="s">
        <v>2104</v>
      </c>
      <c r="C14626" s="1" t="s">
        <v>12</v>
      </c>
      <c r="D14626" s="3">
        <f t="shared" si="2402"/>
        <v>6040</v>
      </c>
      <c r="E14626" s="2">
        <f t="shared" si="2403"/>
        <v>39203</v>
      </c>
      <c r="F14626" s="2">
        <f t="shared" si="2404"/>
        <v>43465</v>
      </c>
    </row>
    <row r="14627" spans="1:6" x14ac:dyDescent="0.25">
      <c r="A14627" s="1" t="s">
        <v>264</v>
      </c>
      <c r="B14627" s="1" t="s">
        <v>2104</v>
      </c>
      <c r="C14627" s="1" t="s">
        <v>86</v>
      </c>
      <c r="D14627" s="3">
        <f t="shared" si="2402"/>
        <v>6040</v>
      </c>
      <c r="E14627" s="2">
        <f t="shared" si="2403"/>
        <v>39203</v>
      </c>
      <c r="F14627" s="2">
        <f t="shared" si="2404"/>
        <v>43465</v>
      </c>
    </row>
    <row r="14628" spans="1:6" x14ac:dyDescent="0.25">
      <c r="A14628" s="1" t="s">
        <v>264</v>
      </c>
      <c r="B14628" s="1" t="s">
        <v>2104</v>
      </c>
      <c r="C14628" s="1" t="s">
        <v>93</v>
      </c>
      <c r="D14628" s="3">
        <f t="shared" si="2402"/>
        <v>6040</v>
      </c>
      <c r="E14628" s="2">
        <f t="shared" si="2403"/>
        <v>39203</v>
      </c>
      <c r="F14628" s="2">
        <f t="shared" si="2404"/>
        <v>43465</v>
      </c>
    </row>
    <row r="14629" spans="1:6" x14ac:dyDescent="0.25">
      <c r="A14629" s="1" t="s">
        <v>264</v>
      </c>
      <c r="B14629" s="1" t="s">
        <v>2104</v>
      </c>
      <c r="C14629" s="1" t="s">
        <v>129</v>
      </c>
      <c r="D14629" s="3">
        <f t="shared" si="2402"/>
        <v>6040</v>
      </c>
      <c r="E14629" s="2">
        <f t="shared" si="2403"/>
        <v>39203</v>
      </c>
      <c r="F14629" s="2">
        <f t="shared" si="2404"/>
        <v>43465</v>
      </c>
    </row>
    <row r="14630" spans="1:6" x14ac:dyDescent="0.25">
      <c r="A14630" s="1" t="s">
        <v>264</v>
      </c>
      <c r="B14630" s="1" t="s">
        <v>2104</v>
      </c>
      <c r="C14630" s="1" t="s">
        <v>177</v>
      </c>
      <c r="D14630" s="3">
        <f t="shared" si="2402"/>
        <v>6040</v>
      </c>
      <c r="E14630" s="2">
        <f t="shared" si="2403"/>
        <v>39203</v>
      </c>
      <c r="F14630" s="2">
        <f t="shared" si="2404"/>
        <v>43465</v>
      </c>
    </row>
    <row r="14631" spans="1:6" x14ac:dyDescent="0.25">
      <c r="A14631" s="1" t="s">
        <v>264</v>
      </c>
      <c r="B14631" s="1" t="s">
        <v>2104</v>
      </c>
      <c r="C14631" s="1" t="s">
        <v>32</v>
      </c>
      <c r="D14631" s="3">
        <f t="shared" si="2402"/>
        <v>6040</v>
      </c>
      <c r="E14631" s="2">
        <f t="shared" si="2403"/>
        <v>39203</v>
      </c>
      <c r="F14631" s="2">
        <f t="shared" si="2404"/>
        <v>43465</v>
      </c>
    </row>
    <row r="14632" spans="1:6" x14ac:dyDescent="0.25">
      <c r="A14632" s="1" t="s">
        <v>2210</v>
      </c>
      <c r="B14632" s="1" t="s">
        <v>2209</v>
      </c>
      <c r="C14632" s="1" t="s">
        <v>289</v>
      </c>
      <c r="D14632" s="3">
        <f t="shared" ref="D14632:D14640" si="2405">VALUE("7837")</f>
        <v>7837</v>
      </c>
      <c r="E14632" s="2">
        <f t="shared" ref="E14632:E14640" si="2406">DATEVALUE("1-2-2016")</f>
        <v>42401</v>
      </c>
      <c r="F14632" s="2">
        <f t="shared" ref="F14632:F14640" si="2407">DATEVALUE("31-8-2017")</f>
        <v>42978</v>
      </c>
    </row>
    <row r="14633" spans="1:6" x14ac:dyDescent="0.25">
      <c r="A14633" s="1" t="s">
        <v>2210</v>
      </c>
      <c r="B14633" s="1" t="s">
        <v>2209</v>
      </c>
      <c r="C14633" s="1" t="s">
        <v>469</v>
      </c>
      <c r="D14633" s="3">
        <f t="shared" si="2405"/>
        <v>7837</v>
      </c>
      <c r="E14633" s="2">
        <f t="shared" si="2406"/>
        <v>42401</v>
      </c>
      <c r="F14633" s="2">
        <f t="shared" si="2407"/>
        <v>42978</v>
      </c>
    </row>
    <row r="14634" spans="1:6" x14ac:dyDescent="0.25">
      <c r="A14634" s="1" t="s">
        <v>2210</v>
      </c>
      <c r="B14634" s="1" t="s">
        <v>2209</v>
      </c>
      <c r="C14634" s="1" t="s">
        <v>15</v>
      </c>
      <c r="D14634" s="3">
        <f t="shared" si="2405"/>
        <v>7837</v>
      </c>
      <c r="E14634" s="2">
        <f t="shared" si="2406"/>
        <v>42401</v>
      </c>
      <c r="F14634" s="2">
        <f t="shared" si="2407"/>
        <v>42978</v>
      </c>
    </row>
    <row r="14635" spans="1:6" x14ac:dyDescent="0.25">
      <c r="A14635" s="1" t="s">
        <v>2210</v>
      </c>
      <c r="B14635" s="1" t="s">
        <v>2209</v>
      </c>
      <c r="C14635" s="1" t="s">
        <v>17</v>
      </c>
      <c r="D14635" s="3">
        <f t="shared" si="2405"/>
        <v>7837</v>
      </c>
      <c r="E14635" s="2">
        <f t="shared" si="2406"/>
        <v>42401</v>
      </c>
      <c r="F14635" s="2">
        <f t="shared" si="2407"/>
        <v>42978</v>
      </c>
    </row>
    <row r="14636" spans="1:6" x14ac:dyDescent="0.25">
      <c r="A14636" s="1" t="s">
        <v>2210</v>
      </c>
      <c r="B14636" s="1" t="s">
        <v>2209</v>
      </c>
      <c r="C14636" s="1" t="s">
        <v>22</v>
      </c>
      <c r="D14636" s="3">
        <f t="shared" si="2405"/>
        <v>7837</v>
      </c>
      <c r="E14636" s="2">
        <f t="shared" si="2406"/>
        <v>42401</v>
      </c>
      <c r="F14636" s="2">
        <f t="shared" si="2407"/>
        <v>42978</v>
      </c>
    </row>
    <row r="14637" spans="1:6" x14ac:dyDescent="0.25">
      <c r="A14637" s="1" t="s">
        <v>2210</v>
      </c>
      <c r="B14637" s="1" t="s">
        <v>2209</v>
      </c>
      <c r="C14637" s="1" t="s">
        <v>148</v>
      </c>
      <c r="D14637" s="3">
        <f t="shared" si="2405"/>
        <v>7837</v>
      </c>
      <c r="E14637" s="2">
        <f t="shared" si="2406"/>
        <v>42401</v>
      </c>
      <c r="F14637" s="2">
        <f t="shared" si="2407"/>
        <v>42978</v>
      </c>
    </row>
    <row r="14638" spans="1:6" x14ac:dyDescent="0.25">
      <c r="A14638" s="1" t="s">
        <v>2210</v>
      </c>
      <c r="B14638" s="1" t="s">
        <v>2209</v>
      </c>
      <c r="C14638" s="1" t="s">
        <v>92</v>
      </c>
      <c r="D14638" s="3">
        <f t="shared" si="2405"/>
        <v>7837</v>
      </c>
      <c r="E14638" s="2">
        <f t="shared" si="2406"/>
        <v>42401</v>
      </c>
      <c r="F14638" s="2">
        <f t="shared" si="2407"/>
        <v>42978</v>
      </c>
    </row>
    <row r="14639" spans="1:6" x14ac:dyDescent="0.25">
      <c r="A14639" s="1" t="s">
        <v>2210</v>
      </c>
      <c r="B14639" s="1" t="s">
        <v>2209</v>
      </c>
      <c r="C14639" s="1" t="s">
        <v>50</v>
      </c>
      <c r="D14639" s="3">
        <f t="shared" si="2405"/>
        <v>7837</v>
      </c>
      <c r="E14639" s="2">
        <f t="shared" si="2406"/>
        <v>42401</v>
      </c>
      <c r="F14639" s="2">
        <f t="shared" si="2407"/>
        <v>42978</v>
      </c>
    </row>
    <row r="14640" spans="1:6" x14ac:dyDescent="0.25">
      <c r="A14640" s="1" t="s">
        <v>2210</v>
      </c>
      <c r="B14640" s="1" t="s">
        <v>2209</v>
      </c>
      <c r="C14640" s="1" t="s">
        <v>73</v>
      </c>
      <c r="D14640" s="3">
        <f t="shared" si="2405"/>
        <v>7837</v>
      </c>
      <c r="E14640" s="2">
        <f t="shared" si="2406"/>
        <v>42401</v>
      </c>
      <c r="F14640" s="2">
        <f t="shared" si="2407"/>
        <v>42978</v>
      </c>
    </row>
    <row r="14641" spans="1:6" x14ac:dyDescent="0.25">
      <c r="A14641" s="1" t="s">
        <v>136</v>
      </c>
      <c r="B14641" s="1" t="s">
        <v>1257</v>
      </c>
      <c r="C14641" s="1" t="s">
        <v>17</v>
      </c>
      <c r="D14641" s="3">
        <f t="shared" ref="D14641:D14646" si="2408">VALUE("8505")</f>
        <v>8505</v>
      </c>
      <c r="E14641" s="2">
        <f t="shared" ref="E14641:E14646" si="2409">DATEVALUE("1-12-2019")</f>
        <v>43800</v>
      </c>
      <c r="F14641" s="2">
        <f t="shared" ref="F14641:F14646" si="2410">DATEVALUE("31-8-2022")</f>
        <v>44804</v>
      </c>
    </row>
    <row r="14642" spans="1:6" x14ac:dyDescent="0.25">
      <c r="A14642" s="1" t="s">
        <v>136</v>
      </c>
      <c r="B14642" s="1" t="s">
        <v>1257</v>
      </c>
      <c r="C14642" s="1" t="s">
        <v>22</v>
      </c>
      <c r="D14642" s="3">
        <f t="shared" si="2408"/>
        <v>8505</v>
      </c>
      <c r="E14642" s="2">
        <f t="shared" si="2409"/>
        <v>43800</v>
      </c>
      <c r="F14642" s="2">
        <f t="shared" si="2410"/>
        <v>44804</v>
      </c>
    </row>
    <row r="14643" spans="1:6" x14ac:dyDescent="0.25">
      <c r="A14643" s="1" t="s">
        <v>136</v>
      </c>
      <c r="B14643" s="1" t="s">
        <v>1257</v>
      </c>
      <c r="C14643" s="1" t="s">
        <v>146</v>
      </c>
      <c r="D14643" s="3">
        <f t="shared" si="2408"/>
        <v>8505</v>
      </c>
      <c r="E14643" s="2">
        <f t="shared" si="2409"/>
        <v>43800</v>
      </c>
      <c r="F14643" s="2">
        <f t="shared" si="2410"/>
        <v>44804</v>
      </c>
    </row>
    <row r="14644" spans="1:6" x14ac:dyDescent="0.25">
      <c r="A14644" s="1" t="s">
        <v>136</v>
      </c>
      <c r="B14644" s="1" t="s">
        <v>1257</v>
      </c>
      <c r="C14644" s="1" t="s">
        <v>67</v>
      </c>
      <c r="D14644" s="3">
        <f t="shared" si="2408"/>
        <v>8505</v>
      </c>
      <c r="E14644" s="2">
        <f t="shared" si="2409"/>
        <v>43800</v>
      </c>
      <c r="F14644" s="2">
        <f t="shared" si="2410"/>
        <v>44804</v>
      </c>
    </row>
    <row r="14645" spans="1:6" x14ac:dyDescent="0.25">
      <c r="A14645" s="1" t="s">
        <v>136</v>
      </c>
      <c r="B14645" s="1" t="s">
        <v>1257</v>
      </c>
      <c r="C14645" s="1" t="s">
        <v>92</v>
      </c>
      <c r="D14645" s="3">
        <f t="shared" si="2408"/>
        <v>8505</v>
      </c>
      <c r="E14645" s="2">
        <f t="shared" si="2409"/>
        <v>43800</v>
      </c>
      <c r="F14645" s="2">
        <f t="shared" si="2410"/>
        <v>44804</v>
      </c>
    </row>
    <row r="14646" spans="1:6" x14ac:dyDescent="0.25">
      <c r="A14646" s="1" t="s">
        <v>136</v>
      </c>
      <c r="B14646" s="1" t="s">
        <v>1257</v>
      </c>
      <c r="C14646" s="1" t="s">
        <v>70</v>
      </c>
      <c r="D14646" s="3">
        <f t="shared" si="2408"/>
        <v>8505</v>
      </c>
      <c r="E14646" s="2">
        <f t="shared" si="2409"/>
        <v>43800</v>
      </c>
      <c r="F14646" s="2">
        <f t="shared" si="2410"/>
        <v>44804</v>
      </c>
    </row>
    <row r="14647" spans="1:6" x14ac:dyDescent="0.25">
      <c r="A14647" s="1" t="s">
        <v>136</v>
      </c>
      <c r="B14647" s="1" t="s">
        <v>1350</v>
      </c>
      <c r="C14647" s="1" t="s">
        <v>15</v>
      </c>
      <c r="D14647" s="3">
        <f t="shared" ref="D14647:D14656" si="2411">VALUE("8584")</f>
        <v>8584</v>
      </c>
      <c r="E14647" s="2">
        <f t="shared" ref="E14647:E14656" si="2412">DATEVALUE("1-8-2019")</f>
        <v>43678</v>
      </c>
      <c r="F14647" s="2">
        <f t="shared" ref="F14647:F14656" si="2413">DATEVALUE("31-7-2021")</f>
        <v>44408</v>
      </c>
    </row>
    <row r="14648" spans="1:6" x14ac:dyDescent="0.25">
      <c r="A14648" s="1" t="s">
        <v>136</v>
      </c>
      <c r="B14648" s="1" t="s">
        <v>1350</v>
      </c>
      <c r="C14648" s="1" t="s">
        <v>17</v>
      </c>
      <c r="D14648" s="3">
        <f t="shared" si="2411"/>
        <v>8584</v>
      </c>
      <c r="E14648" s="2">
        <f t="shared" si="2412"/>
        <v>43678</v>
      </c>
      <c r="F14648" s="2">
        <f t="shared" si="2413"/>
        <v>44408</v>
      </c>
    </row>
    <row r="14649" spans="1:6" x14ac:dyDescent="0.25">
      <c r="A14649" s="1" t="s">
        <v>136</v>
      </c>
      <c r="B14649" s="1" t="s">
        <v>1350</v>
      </c>
      <c r="C14649" s="1" t="s">
        <v>145</v>
      </c>
      <c r="D14649" s="3">
        <f t="shared" si="2411"/>
        <v>8584</v>
      </c>
      <c r="E14649" s="2">
        <f t="shared" si="2412"/>
        <v>43678</v>
      </c>
      <c r="F14649" s="2">
        <f t="shared" si="2413"/>
        <v>44408</v>
      </c>
    </row>
    <row r="14650" spans="1:6" x14ac:dyDescent="0.25">
      <c r="A14650" s="1" t="s">
        <v>136</v>
      </c>
      <c r="B14650" s="1" t="s">
        <v>1350</v>
      </c>
      <c r="C14650" s="1" t="s">
        <v>144</v>
      </c>
      <c r="D14650" s="3">
        <f t="shared" si="2411"/>
        <v>8584</v>
      </c>
      <c r="E14650" s="2">
        <f t="shared" si="2412"/>
        <v>43678</v>
      </c>
      <c r="F14650" s="2">
        <f t="shared" si="2413"/>
        <v>44408</v>
      </c>
    </row>
    <row r="14651" spans="1:6" x14ac:dyDescent="0.25">
      <c r="A14651" s="1" t="s">
        <v>136</v>
      </c>
      <c r="B14651" s="1" t="s">
        <v>1350</v>
      </c>
      <c r="C14651" s="1" t="s">
        <v>386</v>
      </c>
      <c r="D14651" s="3">
        <f t="shared" si="2411"/>
        <v>8584</v>
      </c>
      <c r="E14651" s="2">
        <f t="shared" si="2412"/>
        <v>43678</v>
      </c>
      <c r="F14651" s="2">
        <f t="shared" si="2413"/>
        <v>44408</v>
      </c>
    </row>
    <row r="14652" spans="1:6" x14ac:dyDescent="0.25">
      <c r="A14652" s="1" t="s">
        <v>136</v>
      </c>
      <c r="B14652" s="1" t="s">
        <v>1350</v>
      </c>
      <c r="C14652" s="1" t="s">
        <v>387</v>
      </c>
      <c r="D14652" s="3">
        <f t="shared" si="2411"/>
        <v>8584</v>
      </c>
      <c r="E14652" s="2">
        <f t="shared" si="2412"/>
        <v>43678</v>
      </c>
      <c r="F14652" s="2">
        <f t="shared" si="2413"/>
        <v>44408</v>
      </c>
    </row>
    <row r="14653" spans="1:6" x14ac:dyDescent="0.25">
      <c r="A14653" s="1" t="s">
        <v>136</v>
      </c>
      <c r="B14653" s="1" t="s">
        <v>1350</v>
      </c>
      <c r="C14653" s="1" t="s">
        <v>388</v>
      </c>
      <c r="D14653" s="3">
        <f t="shared" si="2411"/>
        <v>8584</v>
      </c>
      <c r="E14653" s="2">
        <f t="shared" si="2412"/>
        <v>43678</v>
      </c>
      <c r="F14653" s="2">
        <f t="shared" si="2413"/>
        <v>44408</v>
      </c>
    </row>
    <row r="14654" spans="1:6" x14ac:dyDescent="0.25">
      <c r="A14654" s="1" t="s">
        <v>136</v>
      </c>
      <c r="B14654" s="1" t="s">
        <v>1350</v>
      </c>
      <c r="C14654" s="1" t="s">
        <v>92</v>
      </c>
      <c r="D14654" s="3">
        <f t="shared" si="2411"/>
        <v>8584</v>
      </c>
      <c r="E14654" s="2">
        <f t="shared" si="2412"/>
        <v>43678</v>
      </c>
      <c r="F14654" s="2">
        <f t="shared" si="2413"/>
        <v>44408</v>
      </c>
    </row>
    <row r="14655" spans="1:6" x14ac:dyDescent="0.25">
      <c r="A14655" s="1" t="s">
        <v>136</v>
      </c>
      <c r="B14655" s="1" t="s">
        <v>1350</v>
      </c>
      <c r="C14655" s="1" t="s">
        <v>457</v>
      </c>
      <c r="D14655" s="3">
        <f t="shared" si="2411"/>
        <v>8584</v>
      </c>
      <c r="E14655" s="2">
        <f t="shared" si="2412"/>
        <v>43678</v>
      </c>
      <c r="F14655" s="2">
        <f t="shared" si="2413"/>
        <v>44408</v>
      </c>
    </row>
    <row r="14656" spans="1:6" x14ac:dyDescent="0.25">
      <c r="A14656" s="1" t="s">
        <v>136</v>
      </c>
      <c r="B14656" s="1" t="s">
        <v>1350</v>
      </c>
      <c r="C14656" s="1" t="s">
        <v>391</v>
      </c>
      <c r="D14656" s="3">
        <f t="shared" si="2411"/>
        <v>8584</v>
      </c>
      <c r="E14656" s="2">
        <f t="shared" si="2412"/>
        <v>43678</v>
      </c>
      <c r="F14656" s="2">
        <f t="shared" si="2413"/>
        <v>44408</v>
      </c>
    </row>
    <row r="14657" spans="1:6" x14ac:dyDescent="0.25">
      <c r="A14657" s="1" t="s">
        <v>136</v>
      </c>
      <c r="B14657" s="1" t="s">
        <v>1142</v>
      </c>
      <c r="C14657" s="1" t="s">
        <v>7</v>
      </c>
      <c r="D14657" s="3">
        <f t="shared" ref="D14657:D14680" si="2414">VALUE("8419")</f>
        <v>8419</v>
      </c>
      <c r="E14657" s="2">
        <f t="shared" ref="E14657:E14680" si="2415">DATEVALUE("1-12-2018")</f>
        <v>43435</v>
      </c>
      <c r="F14657" s="2">
        <f t="shared" ref="F14657:F14680" si="2416">DATEVALUE("31-10-2020")</f>
        <v>44135</v>
      </c>
    </row>
    <row r="14658" spans="1:6" x14ac:dyDescent="0.25">
      <c r="A14658" s="1" t="s">
        <v>136</v>
      </c>
      <c r="B14658" s="1" t="s">
        <v>1142</v>
      </c>
      <c r="C14658" s="1" t="s">
        <v>8</v>
      </c>
      <c r="D14658" s="3">
        <f t="shared" si="2414"/>
        <v>8419</v>
      </c>
      <c r="E14658" s="2">
        <f t="shared" si="2415"/>
        <v>43435</v>
      </c>
      <c r="F14658" s="2">
        <f t="shared" si="2416"/>
        <v>44135</v>
      </c>
    </row>
    <row r="14659" spans="1:6" x14ac:dyDescent="0.25">
      <c r="A14659" s="1" t="s">
        <v>136</v>
      </c>
      <c r="B14659" s="1" t="s">
        <v>1142</v>
      </c>
      <c r="C14659" s="1" t="s">
        <v>61</v>
      </c>
      <c r="D14659" s="3">
        <f t="shared" si="2414"/>
        <v>8419</v>
      </c>
      <c r="E14659" s="2">
        <f t="shared" si="2415"/>
        <v>43435</v>
      </c>
      <c r="F14659" s="2">
        <f t="shared" si="2416"/>
        <v>44135</v>
      </c>
    </row>
    <row r="14660" spans="1:6" x14ac:dyDescent="0.25">
      <c r="A14660" s="1" t="s">
        <v>136</v>
      </c>
      <c r="B14660" s="1" t="s">
        <v>1142</v>
      </c>
      <c r="C14660" s="1" t="s">
        <v>45</v>
      </c>
      <c r="D14660" s="3">
        <f t="shared" si="2414"/>
        <v>8419</v>
      </c>
      <c r="E14660" s="2">
        <f t="shared" si="2415"/>
        <v>43435</v>
      </c>
      <c r="F14660" s="2">
        <f t="shared" si="2416"/>
        <v>44135</v>
      </c>
    </row>
    <row r="14661" spans="1:6" x14ac:dyDescent="0.25">
      <c r="A14661" s="1" t="s">
        <v>136</v>
      </c>
      <c r="B14661" s="1" t="s">
        <v>1142</v>
      </c>
      <c r="C14661" s="1" t="s">
        <v>44</v>
      </c>
      <c r="D14661" s="3">
        <f t="shared" si="2414"/>
        <v>8419</v>
      </c>
      <c r="E14661" s="2">
        <f t="shared" si="2415"/>
        <v>43435</v>
      </c>
      <c r="F14661" s="2">
        <f t="shared" si="2416"/>
        <v>44135</v>
      </c>
    </row>
    <row r="14662" spans="1:6" x14ac:dyDescent="0.25">
      <c r="A14662" s="1" t="s">
        <v>136</v>
      </c>
      <c r="B14662" s="1" t="s">
        <v>1142</v>
      </c>
      <c r="C14662" s="1" t="s">
        <v>15</v>
      </c>
      <c r="D14662" s="3">
        <f t="shared" si="2414"/>
        <v>8419</v>
      </c>
      <c r="E14662" s="2">
        <f t="shared" si="2415"/>
        <v>43435</v>
      </c>
      <c r="F14662" s="2">
        <f t="shared" si="2416"/>
        <v>44135</v>
      </c>
    </row>
    <row r="14663" spans="1:6" x14ac:dyDescent="0.25">
      <c r="A14663" s="1" t="s">
        <v>136</v>
      </c>
      <c r="B14663" s="1" t="s">
        <v>1142</v>
      </c>
      <c r="C14663" s="1" t="s">
        <v>17</v>
      </c>
      <c r="D14663" s="3">
        <f t="shared" si="2414"/>
        <v>8419</v>
      </c>
      <c r="E14663" s="2">
        <f t="shared" si="2415"/>
        <v>43435</v>
      </c>
      <c r="F14663" s="2">
        <f t="shared" si="2416"/>
        <v>44135</v>
      </c>
    </row>
    <row r="14664" spans="1:6" x14ac:dyDescent="0.25">
      <c r="A14664" s="1" t="s">
        <v>136</v>
      </c>
      <c r="B14664" s="1" t="s">
        <v>1142</v>
      </c>
      <c r="C14664" s="1" t="s">
        <v>22</v>
      </c>
      <c r="D14664" s="3">
        <f t="shared" si="2414"/>
        <v>8419</v>
      </c>
      <c r="E14664" s="2">
        <f t="shared" si="2415"/>
        <v>43435</v>
      </c>
      <c r="F14664" s="2">
        <f t="shared" si="2416"/>
        <v>44135</v>
      </c>
    </row>
    <row r="14665" spans="1:6" x14ac:dyDescent="0.25">
      <c r="A14665" s="1" t="s">
        <v>136</v>
      </c>
      <c r="B14665" s="1" t="s">
        <v>1142</v>
      </c>
      <c r="C14665" s="1" t="s">
        <v>146</v>
      </c>
      <c r="D14665" s="3">
        <f t="shared" si="2414"/>
        <v>8419</v>
      </c>
      <c r="E14665" s="2">
        <f t="shared" si="2415"/>
        <v>43435</v>
      </c>
      <c r="F14665" s="2">
        <f t="shared" si="2416"/>
        <v>44135</v>
      </c>
    </row>
    <row r="14666" spans="1:6" x14ac:dyDescent="0.25">
      <c r="A14666" s="1" t="s">
        <v>136</v>
      </c>
      <c r="B14666" s="1" t="s">
        <v>1142</v>
      </c>
      <c r="C14666" s="1" t="s">
        <v>67</v>
      </c>
      <c r="D14666" s="3">
        <f t="shared" si="2414"/>
        <v>8419</v>
      </c>
      <c r="E14666" s="2">
        <f t="shared" si="2415"/>
        <v>43435</v>
      </c>
      <c r="F14666" s="2">
        <f t="shared" si="2416"/>
        <v>44135</v>
      </c>
    </row>
    <row r="14667" spans="1:6" x14ac:dyDescent="0.25">
      <c r="A14667" s="1" t="s">
        <v>136</v>
      </c>
      <c r="B14667" s="1" t="s">
        <v>1142</v>
      </c>
      <c r="C14667" s="1" t="s">
        <v>148</v>
      </c>
      <c r="D14667" s="3">
        <f t="shared" si="2414"/>
        <v>8419</v>
      </c>
      <c r="E14667" s="2">
        <f t="shared" si="2415"/>
        <v>43435</v>
      </c>
      <c r="F14667" s="2">
        <f t="shared" si="2416"/>
        <v>44135</v>
      </c>
    </row>
    <row r="14668" spans="1:6" x14ac:dyDescent="0.25">
      <c r="A14668" s="1" t="s">
        <v>136</v>
      </c>
      <c r="B14668" s="1" t="s">
        <v>1142</v>
      </c>
      <c r="C14668" s="1" t="s">
        <v>149</v>
      </c>
      <c r="D14668" s="3">
        <f t="shared" si="2414"/>
        <v>8419</v>
      </c>
      <c r="E14668" s="2">
        <f t="shared" si="2415"/>
        <v>43435</v>
      </c>
      <c r="F14668" s="2">
        <f t="shared" si="2416"/>
        <v>44135</v>
      </c>
    </row>
    <row r="14669" spans="1:6" x14ac:dyDescent="0.25">
      <c r="A14669" s="1" t="s">
        <v>136</v>
      </c>
      <c r="B14669" s="1" t="s">
        <v>1142</v>
      </c>
      <c r="C14669" s="1" t="s">
        <v>92</v>
      </c>
      <c r="D14669" s="3">
        <f t="shared" si="2414"/>
        <v>8419</v>
      </c>
      <c r="E14669" s="2">
        <f t="shared" si="2415"/>
        <v>43435</v>
      </c>
      <c r="F14669" s="2">
        <f t="shared" si="2416"/>
        <v>44135</v>
      </c>
    </row>
    <row r="14670" spans="1:6" x14ac:dyDescent="0.25">
      <c r="A14670" s="1" t="s">
        <v>136</v>
      </c>
      <c r="B14670" s="1" t="s">
        <v>1142</v>
      </c>
      <c r="C14670" s="1" t="s">
        <v>329</v>
      </c>
      <c r="D14670" s="3">
        <f t="shared" si="2414"/>
        <v>8419</v>
      </c>
      <c r="E14670" s="2">
        <f t="shared" si="2415"/>
        <v>43435</v>
      </c>
      <c r="F14670" s="2">
        <f t="shared" si="2416"/>
        <v>44135</v>
      </c>
    </row>
    <row r="14671" spans="1:6" x14ac:dyDescent="0.25">
      <c r="A14671" s="1" t="s">
        <v>136</v>
      </c>
      <c r="B14671" s="1" t="s">
        <v>1142</v>
      </c>
      <c r="C14671" s="1" t="s">
        <v>69</v>
      </c>
      <c r="D14671" s="3">
        <f t="shared" si="2414"/>
        <v>8419</v>
      </c>
      <c r="E14671" s="2">
        <f t="shared" si="2415"/>
        <v>43435</v>
      </c>
      <c r="F14671" s="2">
        <f t="shared" si="2416"/>
        <v>44135</v>
      </c>
    </row>
    <row r="14672" spans="1:6" x14ac:dyDescent="0.25">
      <c r="A14672" s="1" t="s">
        <v>136</v>
      </c>
      <c r="B14672" s="1" t="s">
        <v>1142</v>
      </c>
      <c r="C14672" s="1" t="s">
        <v>212</v>
      </c>
      <c r="D14672" s="3">
        <f t="shared" si="2414"/>
        <v>8419</v>
      </c>
      <c r="E14672" s="2">
        <f t="shared" si="2415"/>
        <v>43435</v>
      </c>
      <c r="F14672" s="2">
        <f t="shared" si="2416"/>
        <v>44135</v>
      </c>
    </row>
    <row r="14673" spans="1:6" x14ac:dyDescent="0.25">
      <c r="A14673" s="1" t="s">
        <v>136</v>
      </c>
      <c r="B14673" s="1" t="s">
        <v>1142</v>
      </c>
      <c r="C14673" s="1" t="s">
        <v>26</v>
      </c>
      <c r="D14673" s="3">
        <f t="shared" si="2414"/>
        <v>8419</v>
      </c>
      <c r="E14673" s="2">
        <f t="shared" si="2415"/>
        <v>43435</v>
      </c>
      <c r="F14673" s="2">
        <f t="shared" si="2416"/>
        <v>44135</v>
      </c>
    </row>
    <row r="14674" spans="1:6" x14ac:dyDescent="0.25">
      <c r="A14674" s="1" t="s">
        <v>136</v>
      </c>
      <c r="B14674" s="1" t="s">
        <v>1142</v>
      </c>
      <c r="C14674" s="1" t="s">
        <v>72</v>
      </c>
      <c r="D14674" s="3">
        <f t="shared" si="2414"/>
        <v>8419</v>
      </c>
      <c r="E14674" s="2">
        <f t="shared" si="2415"/>
        <v>43435</v>
      </c>
      <c r="F14674" s="2">
        <f t="shared" si="2416"/>
        <v>44135</v>
      </c>
    </row>
    <row r="14675" spans="1:6" x14ac:dyDescent="0.25">
      <c r="A14675" s="1" t="s">
        <v>136</v>
      </c>
      <c r="B14675" s="1" t="s">
        <v>1142</v>
      </c>
      <c r="C14675" s="1" t="s">
        <v>226</v>
      </c>
      <c r="D14675" s="3">
        <f t="shared" si="2414"/>
        <v>8419</v>
      </c>
      <c r="E14675" s="2">
        <f t="shared" si="2415"/>
        <v>43435</v>
      </c>
      <c r="F14675" s="2">
        <f t="shared" si="2416"/>
        <v>44135</v>
      </c>
    </row>
    <row r="14676" spans="1:6" x14ac:dyDescent="0.25">
      <c r="A14676" s="1" t="s">
        <v>136</v>
      </c>
      <c r="B14676" s="1" t="s">
        <v>1142</v>
      </c>
      <c r="C14676" s="1" t="s">
        <v>73</v>
      </c>
      <c r="D14676" s="3">
        <f t="shared" si="2414"/>
        <v>8419</v>
      </c>
      <c r="E14676" s="2">
        <f t="shared" si="2415"/>
        <v>43435</v>
      </c>
      <c r="F14676" s="2">
        <f t="shared" si="2416"/>
        <v>44135</v>
      </c>
    </row>
    <row r="14677" spans="1:6" x14ac:dyDescent="0.25">
      <c r="A14677" s="1" t="s">
        <v>136</v>
      </c>
      <c r="B14677" s="1" t="s">
        <v>1142</v>
      </c>
      <c r="C14677" s="1" t="s">
        <v>295</v>
      </c>
      <c r="D14677" s="3">
        <f t="shared" si="2414"/>
        <v>8419</v>
      </c>
      <c r="E14677" s="2">
        <f t="shared" si="2415"/>
        <v>43435</v>
      </c>
      <c r="F14677" s="2">
        <f t="shared" si="2416"/>
        <v>44135</v>
      </c>
    </row>
    <row r="14678" spans="1:6" x14ac:dyDescent="0.25">
      <c r="A14678" s="1" t="s">
        <v>136</v>
      </c>
      <c r="B14678" s="1" t="s">
        <v>1142</v>
      </c>
      <c r="C14678" s="1" t="s">
        <v>31</v>
      </c>
      <c r="D14678" s="3">
        <f t="shared" si="2414"/>
        <v>8419</v>
      </c>
      <c r="E14678" s="2">
        <f t="shared" si="2415"/>
        <v>43435</v>
      </c>
      <c r="F14678" s="2">
        <f t="shared" si="2416"/>
        <v>44135</v>
      </c>
    </row>
    <row r="14679" spans="1:6" x14ac:dyDescent="0.25">
      <c r="A14679" s="1" t="s">
        <v>136</v>
      </c>
      <c r="B14679" s="1" t="s">
        <v>1142</v>
      </c>
      <c r="C14679" s="1" t="s">
        <v>52</v>
      </c>
      <c r="D14679" s="3">
        <f t="shared" si="2414"/>
        <v>8419</v>
      </c>
      <c r="E14679" s="2">
        <f t="shared" si="2415"/>
        <v>43435</v>
      </c>
      <c r="F14679" s="2">
        <f t="shared" si="2416"/>
        <v>44135</v>
      </c>
    </row>
    <row r="14680" spans="1:6" x14ac:dyDescent="0.25">
      <c r="A14680" s="1" t="s">
        <v>136</v>
      </c>
      <c r="B14680" s="1" t="s">
        <v>1142</v>
      </c>
      <c r="C14680" s="1" t="s">
        <v>241</v>
      </c>
      <c r="D14680" s="3">
        <f t="shared" si="2414"/>
        <v>8419</v>
      </c>
      <c r="E14680" s="2">
        <f t="shared" si="2415"/>
        <v>43435</v>
      </c>
      <c r="F14680" s="2">
        <f t="shared" si="2416"/>
        <v>44135</v>
      </c>
    </row>
    <row r="14681" spans="1:6" x14ac:dyDescent="0.25">
      <c r="A14681" s="1" t="s">
        <v>136</v>
      </c>
      <c r="B14681" s="1" t="s">
        <v>1066</v>
      </c>
      <c r="C14681" s="1" t="s">
        <v>15</v>
      </c>
      <c r="D14681" s="3">
        <f>VALUE("8344")</f>
        <v>8344</v>
      </c>
      <c r="E14681" s="2">
        <f>DATEVALUE("1-11-2018")</f>
        <v>43405</v>
      </c>
      <c r="F14681" s="2">
        <f t="shared" ref="F14681:F14703" si="2417">DATEVALUE("31-1-2021")</f>
        <v>44227</v>
      </c>
    </row>
    <row r="14682" spans="1:6" x14ac:dyDescent="0.25">
      <c r="A14682" s="1" t="s">
        <v>136</v>
      </c>
      <c r="B14682" s="1" t="s">
        <v>1066</v>
      </c>
      <c r="C14682" s="1" t="s">
        <v>17</v>
      </c>
      <c r="D14682" s="3">
        <f>VALUE("8344")</f>
        <v>8344</v>
      </c>
      <c r="E14682" s="2">
        <f>DATEVALUE("1-11-2018")</f>
        <v>43405</v>
      </c>
      <c r="F14682" s="2">
        <f t="shared" si="2417"/>
        <v>44227</v>
      </c>
    </row>
    <row r="14683" spans="1:6" x14ac:dyDescent="0.25">
      <c r="A14683" s="1" t="s">
        <v>136</v>
      </c>
      <c r="B14683" s="1" t="s">
        <v>1066</v>
      </c>
      <c r="C14683" s="1" t="s">
        <v>386</v>
      </c>
      <c r="D14683" s="3">
        <f>VALUE("8344")</f>
        <v>8344</v>
      </c>
      <c r="E14683" s="2">
        <f>DATEVALUE("1-11-2018")</f>
        <v>43405</v>
      </c>
      <c r="F14683" s="2">
        <f t="shared" si="2417"/>
        <v>44227</v>
      </c>
    </row>
    <row r="14684" spans="1:6" x14ac:dyDescent="0.25">
      <c r="A14684" s="1" t="s">
        <v>136</v>
      </c>
      <c r="B14684" s="1" t="s">
        <v>1066</v>
      </c>
      <c r="C14684" s="1" t="s">
        <v>387</v>
      </c>
      <c r="D14684" s="3">
        <f>VALUE("8344")</f>
        <v>8344</v>
      </c>
      <c r="E14684" s="2">
        <f>DATEVALUE("1-11-2018")</f>
        <v>43405</v>
      </c>
      <c r="F14684" s="2">
        <f t="shared" si="2417"/>
        <v>44227</v>
      </c>
    </row>
    <row r="14685" spans="1:6" x14ac:dyDescent="0.25">
      <c r="A14685" s="1" t="s">
        <v>136</v>
      </c>
      <c r="B14685" s="1" t="s">
        <v>1064</v>
      </c>
      <c r="C14685" s="1" t="s">
        <v>138</v>
      </c>
      <c r="D14685" s="3">
        <f t="shared" ref="D14685:D14703" si="2418">VALUE("8342")</f>
        <v>8342</v>
      </c>
      <c r="E14685" s="2">
        <f t="shared" ref="E14685:E14703" si="2419">DATEVALUE("1-10-2018")</f>
        <v>43374</v>
      </c>
      <c r="F14685" s="2">
        <f t="shared" si="2417"/>
        <v>44227</v>
      </c>
    </row>
    <row r="14686" spans="1:6" x14ac:dyDescent="0.25">
      <c r="A14686" s="1" t="s">
        <v>136</v>
      </c>
      <c r="B14686" s="1" t="s">
        <v>1064</v>
      </c>
      <c r="C14686" s="1" t="s">
        <v>62</v>
      </c>
      <c r="D14686" s="3">
        <f t="shared" si="2418"/>
        <v>8342</v>
      </c>
      <c r="E14686" s="2">
        <f t="shared" si="2419"/>
        <v>43374</v>
      </c>
      <c r="F14686" s="2">
        <f t="shared" si="2417"/>
        <v>44227</v>
      </c>
    </row>
    <row r="14687" spans="1:6" x14ac:dyDescent="0.25">
      <c r="A14687" s="1" t="s">
        <v>136</v>
      </c>
      <c r="B14687" s="1" t="s">
        <v>1064</v>
      </c>
      <c r="C14687" s="1" t="s">
        <v>63</v>
      </c>
      <c r="D14687" s="3">
        <f t="shared" si="2418"/>
        <v>8342</v>
      </c>
      <c r="E14687" s="2">
        <f t="shared" si="2419"/>
        <v>43374</v>
      </c>
      <c r="F14687" s="2">
        <f t="shared" si="2417"/>
        <v>44227</v>
      </c>
    </row>
    <row r="14688" spans="1:6" x14ac:dyDescent="0.25">
      <c r="A14688" s="1" t="s">
        <v>136</v>
      </c>
      <c r="B14688" s="1" t="s">
        <v>1064</v>
      </c>
      <c r="C14688" s="1" t="s">
        <v>65</v>
      </c>
      <c r="D14688" s="3">
        <f t="shared" si="2418"/>
        <v>8342</v>
      </c>
      <c r="E14688" s="2">
        <f t="shared" si="2419"/>
        <v>43374</v>
      </c>
      <c r="F14688" s="2">
        <f t="shared" si="2417"/>
        <v>44227</v>
      </c>
    </row>
    <row r="14689" spans="1:6" x14ac:dyDescent="0.25">
      <c r="A14689" s="1" t="s">
        <v>136</v>
      </c>
      <c r="B14689" s="1" t="s">
        <v>1064</v>
      </c>
      <c r="C14689" s="1" t="s">
        <v>14</v>
      </c>
      <c r="D14689" s="3">
        <f t="shared" si="2418"/>
        <v>8342</v>
      </c>
      <c r="E14689" s="2">
        <f t="shared" si="2419"/>
        <v>43374</v>
      </c>
      <c r="F14689" s="2">
        <f t="shared" si="2417"/>
        <v>44227</v>
      </c>
    </row>
    <row r="14690" spans="1:6" x14ac:dyDescent="0.25">
      <c r="A14690" s="1" t="s">
        <v>136</v>
      </c>
      <c r="B14690" s="1" t="s">
        <v>1064</v>
      </c>
      <c r="C14690" s="1" t="s">
        <v>15</v>
      </c>
      <c r="D14690" s="3">
        <f t="shared" si="2418"/>
        <v>8342</v>
      </c>
      <c r="E14690" s="2">
        <f t="shared" si="2419"/>
        <v>43374</v>
      </c>
      <c r="F14690" s="2">
        <f t="shared" si="2417"/>
        <v>44227</v>
      </c>
    </row>
    <row r="14691" spans="1:6" x14ac:dyDescent="0.25">
      <c r="A14691" s="1" t="s">
        <v>136</v>
      </c>
      <c r="B14691" s="1" t="s">
        <v>1064</v>
      </c>
      <c r="C14691" s="1" t="s">
        <v>17</v>
      </c>
      <c r="D14691" s="3">
        <f t="shared" si="2418"/>
        <v>8342</v>
      </c>
      <c r="E14691" s="2">
        <f t="shared" si="2419"/>
        <v>43374</v>
      </c>
      <c r="F14691" s="2">
        <f t="shared" si="2417"/>
        <v>44227</v>
      </c>
    </row>
    <row r="14692" spans="1:6" x14ac:dyDescent="0.25">
      <c r="A14692" s="1" t="s">
        <v>136</v>
      </c>
      <c r="B14692" s="1" t="s">
        <v>1064</v>
      </c>
      <c r="C14692" s="1" t="s">
        <v>291</v>
      </c>
      <c r="D14692" s="3">
        <f t="shared" si="2418"/>
        <v>8342</v>
      </c>
      <c r="E14692" s="2">
        <f t="shared" si="2419"/>
        <v>43374</v>
      </c>
      <c r="F14692" s="2">
        <f t="shared" si="2417"/>
        <v>44227</v>
      </c>
    </row>
    <row r="14693" spans="1:6" x14ac:dyDescent="0.25">
      <c r="A14693" s="1" t="s">
        <v>136</v>
      </c>
      <c r="B14693" s="1" t="s">
        <v>1064</v>
      </c>
      <c r="C14693" s="1" t="s">
        <v>146</v>
      </c>
      <c r="D14693" s="3">
        <f t="shared" si="2418"/>
        <v>8342</v>
      </c>
      <c r="E14693" s="2">
        <f t="shared" si="2419"/>
        <v>43374</v>
      </c>
      <c r="F14693" s="2">
        <f t="shared" si="2417"/>
        <v>44227</v>
      </c>
    </row>
    <row r="14694" spans="1:6" x14ac:dyDescent="0.25">
      <c r="A14694" s="1" t="s">
        <v>136</v>
      </c>
      <c r="B14694" s="1" t="s">
        <v>1064</v>
      </c>
      <c r="C14694" s="1" t="s">
        <v>67</v>
      </c>
      <c r="D14694" s="3">
        <f t="shared" si="2418"/>
        <v>8342</v>
      </c>
      <c r="E14694" s="2">
        <f t="shared" si="2419"/>
        <v>43374</v>
      </c>
      <c r="F14694" s="2">
        <f t="shared" si="2417"/>
        <v>44227</v>
      </c>
    </row>
    <row r="14695" spans="1:6" x14ac:dyDescent="0.25">
      <c r="A14695" s="1" t="s">
        <v>136</v>
      </c>
      <c r="B14695" s="1" t="s">
        <v>1064</v>
      </c>
      <c r="C14695" s="1" t="s">
        <v>147</v>
      </c>
      <c r="D14695" s="3">
        <f t="shared" si="2418"/>
        <v>8342</v>
      </c>
      <c r="E14695" s="2">
        <f t="shared" si="2419"/>
        <v>43374</v>
      </c>
      <c r="F14695" s="2">
        <f t="shared" si="2417"/>
        <v>44227</v>
      </c>
    </row>
    <row r="14696" spans="1:6" x14ac:dyDescent="0.25">
      <c r="A14696" s="1" t="s">
        <v>136</v>
      </c>
      <c r="B14696" s="1" t="s">
        <v>1064</v>
      </c>
      <c r="C14696" s="1" t="s">
        <v>148</v>
      </c>
      <c r="D14696" s="3">
        <f t="shared" si="2418"/>
        <v>8342</v>
      </c>
      <c r="E14696" s="2">
        <f t="shared" si="2419"/>
        <v>43374</v>
      </c>
      <c r="F14696" s="2">
        <f t="shared" si="2417"/>
        <v>44227</v>
      </c>
    </row>
    <row r="14697" spans="1:6" x14ac:dyDescent="0.25">
      <c r="A14697" s="1" t="s">
        <v>136</v>
      </c>
      <c r="B14697" s="1" t="s">
        <v>1064</v>
      </c>
      <c r="C14697" s="1" t="s">
        <v>149</v>
      </c>
      <c r="D14697" s="3">
        <f t="shared" si="2418"/>
        <v>8342</v>
      </c>
      <c r="E14697" s="2">
        <f t="shared" si="2419"/>
        <v>43374</v>
      </c>
      <c r="F14697" s="2">
        <f t="shared" si="2417"/>
        <v>44227</v>
      </c>
    </row>
    <row r="14698" spans="1:6" x14ac:dyDescent="0.25">
      <c r="A14698" s="1" t="s">
        <v>136</v>
      </c>
      <c r="B14698" s="1" t="s">
        <v>1064</v>
      </c>
      <c r="C14698" s="1" t="s">
        <v>92</v>
      </c>
      <c r="D14698" s="3">
        <f t="shared" si="2418"/>
        <v>8342</v>
      </c>
      <c r="E14698" s="2">
        <f t="shared" si="2419"/>
        <v>43374</v>
      </c>
      <c r="F14698" s="2">
        <f t="shared" si="2417"/>
        <v>44227</v>
      </c>
    </row>
    <row r="14699" spans="1:6" x14ac:dyDescent="0.25">
      <c r="A14699" s="1" t="s">
        <v>136</v>
      </c>
      <c r="B14699" s="1" t="s">
        <v>1064</v>
      </c>
      <c r="C14699" s="1" t="s">
        <v>70</v>
      </c>
      <c r="D14699" s="3">
        <f t="shared" si="2418"/>
        <v>8342</v>
      </c>
      <c r="E14699" s="2">
        <f t="shared" si="2419"/>
        <v>43374</v>
      </c>
      <c r="F14699" s="2">
        <f t="shared" si="2417"/>
        <v>44227</v>
      </c>
    </row>
    <row r="14700" spans="1:6" x14ac:dyDescent="0.25">
      <c r="A14700" s="1" t="s">
        <v>136</v>
      </c>
      <c r="B14700" s="1" t="s">
        <v>1064</v>
      </c>
      <c r="C14700" s="1" t="s">
        <v>73</v>
      </c>
      <c r="D14700" s="3">
        <f t="shared" si="2418"/>
        <v>8342</v>
      </c>
      <c r="E14700" s="2">
        <f t="shared" si="2419"/>
        <v>43374</v>
      </c>
      <c r="F14700" s="2">
        <f t="shared" si="2417"/>
        <v>44227</v>
      </c>
    </row>
    <row r="14701" spans="1:6" x14ac:dyDescent="0.25">
      <c r="A14701" s="1" t="s">
        <v>136</v>
      </c>
      <c r="B14701" s="1" t="s">
        <v>1064</v>
      </c>
      <c r="C14701" s="1" t="s">
        <v>53</v>
      </c>
      <c r="D14701" s="3">
        <f t="shared" si="2418"/>
        <v>8342</v>
      </c>
      <c r="E14701" s="2">
        <f t="shared" si="2419"/>
        <v>43374</v>
      </c>
      <c r="F14701" s="2">
        <f t="shared" si="2417"/>
        <v>44227</v>
      </c>
    </row>
    <row r="14702" spans="1:6" x14ac:dyDescent="0.25">
      <c r="A14702" s="1" t="s">
        <v>136</v>
      </c>
      <c r="B14702" s="1" t="s">
        <v>1064</v>
      </c>
      <c r="C14702" s="1" t="s">
        <v>378</v>
      </c>
      <c r="D14702" s="3">
        <f t="shared" si="2418"/>
        <v>8342</v>
      </c>
      <c r="E14702" s="2">
        <f t="shared" si="2419"/>
        <v>43374</v>
      </c>
      <c r="F14702" s="2">
        <f t="shared" si="2417"/>
        <v>44227</v>
      </c>
    </row>
    <row r="14703" spans="1:6" x14ac:dyDescent="0.25">
      <c r="A14703" s="1" t="s">
        <v>136</v>
      </c>
      <c r="B14703" s="1" t="s">
        <v>1064</v>
      </c>
      <c r="C14703" s="1" t="s">
        <v>306</v>
      </c>
      <c r="D14703" s="3">
        <f t="shared" si="2418"/>
        <v>8342</v>
      </c>
      <c r="E14703" s="2">
        <f t="shared" si="2419"/>
        <v>43374</v>
      </c>
      <c r="F14703" s="2">
        <f t="shared" si="2417"/>
        <v>44227</v>
      </c>
    </row>
    <row r="14704" spans="1:6" x14ac:dyDescent="0.25">
      <c r="A14704" s="1" t="s">
        <v>136</v>
      </c>
      <c r="B14704" s="1" t="s">
        <v>2348</v>
      </c>
      <c r="C14704" s="1" t="s">
        <v>83</v>
      </c>
      <c r="D14704" s="3">
        <f t="shared" ref="D14704:D14717" si="2420">VALUE("8218")</f>
        <v>8218</v>
      </c>
      <c r="E14704" s="2">
        <f t="shared" ref="E14704:E14717" si="2421">DATEVALUE("1-1-2018")</f>
        <v>43101</v>
      </c>
      <c r="F14704" s="2">
        <f t="shared" ref="F14704:F14717" si="2422">DATEVALUE("31-7-2019")</f>
        <v>43677</v>
      </c>
    </row>
    <row r="14705" spans="1:6" x14ac:dyDescent="0.25">
      <c r="A14705" s="1" t="s">
        <v>136</v>
      </c>
      <c r="B14705" s="1" t="s">
        <v>2348</v>
      </c>
      <c r="C14705" s="1" t="s">
        <v>66</v>
      </c>
      <c r="D14705" s="3">
        <f t="shared" si="2420"/>
        <v>8218</v>
      </c>
      <c r="E14705" s="2">
        <f t="shared" si="2421"/>
        <v>43101</v>
      </c>
      <c r="F14705" s="2">
        <f t="shared" si="2422"/>
        <v>43677</v>
      </c>
    </row>
    <row r="14706" spans="1:6" x14ac:dyDescent="0.25">
      <c r="A14706" s="1" t="s">
        <v>136</v>
      </c>
      <c r="B14706" s="1" t="s">
        <v>2348</v>
      </c>
      <c r="C14706" s="1" t="s">
        <v>15</v>
      </c>
      <c r="D14706" s="3">
        <f t="shared" si="2420"/>
        <v>8218</v>
      </c>
      <c r="E14706" s="2">
        <f t="shared" si="2421"/>
        <v>43101</v>
      </c>
      <c r="F14706" s="2">
        <f t="shared" si="2422"/>
        <v>43677</v>
      </c>
    </row>
    <row r="14707" spans="1:6" x14ac:dyDescent="0.25">
      <c r="A14707" s="1" t="s">
        <v>136</v>
      </c>
      <c r="B14707" s="1" t="s">
        <v>2348</v>
      </c>
      <c r="C14707" s="1" t="s">
        <v>17</v>
      </c>
      <c r="D14707" s="3">
        <f t="shared" si="2420"/>
        <v>8218</v>
      </c>
      <c r="E14707" s="2">
        <f t="shared" si="2421"/>
        <v>43101</v>
      </c>
      <c r="F14707" s="2">
        <f t="shared" si="2422"/>
        <v>43677</v>
      </c>
    </row>
    <row r="14708" spans="1:6" x14ac:dyDescent="0.25">
      <c r="A14708" s="1" t="s">
        <v>136</v>
      </c>
      <c r="B14708" s="1" t="s">
        <v>2348</v>
      </c>
      <c r="C14708" s="1" t="s">
        <v>257</v>
      </c>
      <c r="D14708" s="3">
        <f t="shared" si="2420"/>
        <v>8218</v>
      </c>
      <c r="E14708" s="2">
        <f t="shared" si="2421"/>
        <v>43101</v>
      </c>
      <c r="F14708" s="2">
        <f t="shared" si="2422"/>
        <v>43677</v>
      </c>
    </row>
    <row r="14709" spans="1:6" x14ac:dyDescent="0.25">
      <c r="A14709" s="1" t="s">
        <v>136</v>
      </c>
      <c r="B14709" s="1" t="s">
        <v>2348</v>
      </c>
      <c r="C14709" s="1" t="s">
        <v>22</v>
      </c>
      <c r="D14709" s="3">
        <f t="shared" si="2420"/>
        <v>8218</v>
      </c>
      <c r="E14709" s="2">
        <f t="shared" si="2421"/>
        <v>43101</v>
      </c>
      <c r="F14709" s="2">
        <f t="shared" si="2422"/>
        <v>43677</v>
      </c>
    </row>
    <row r="14710" spans="1:6" x14ac:dyDescent="0.25">
      <c r="A14710" s="1" t="s">
        <v>136</v>
      </c>
      <c r="B14710" s="1" t="s">
        <v>2348</v>
      </c>
      <c r="C14710" s="1" t="s">
        <v>146</v>
      </c>
      <c r="D14710" s="3">
        <f t="shared" si="2420"/>
        <v>8218</v>
      </c>
      <c r="E14710" s="2">
        <f t="shared" si="2421"/>
        <v>43101</v>
      </c>
      <c r="F14710" s="2">
        <f t="shared" si="2422"/>
        <v>43677</v>
      </c>
    </row>
    <row r="14711" spans="1:6" x14ac:dyDescent="0.25">
      <c r="A14711" s="1" t="s">
        <v>136</v>
      </c>
      <c r="B14711" s="1" t="s">
        <v>2348</v>
      </c>
      <c r="C14711" s="1" t="s">
        <v>67</v>
      </c>
      <c r="D14711" s="3">
        <f t="shared" si="2420"/>
        <v>8218</v>
      </c>
      <c r="E14711" s="2">
        <f t="shared" si="2421"/>
        <v>43101</v>
      </c>
      <c r="F14711" s="2">
        <f t="shared" si="2422"/>
        <v>43677</v>
      </c>
    </row>
    <row r="14712" spans="1:6" x14ac:dyDescent="0.25">
      <c r="A14712" s="1" t="s">
        <v>136</v>
      </c>
      <c r="B14712" s="1" t="s">
        <v>2348</v>
      </c>
      <c r="C14712" s="1" t="s">
        <v>148</v>
      </c>
      <c r="D14712" s="3">
        <f t="shared" si="2420"/>
        <v>8218</v>
      </c>
      <c r="E14712" s="2">
        <f t="shared" si="2421"/>
        <v>43101</v>
      </c>
      <c r="F14712" s="2">
        <f t="shared" si="2422"/>
        <v>43677</v>
      </c>
    </row>
    <row r="14713" spans="1:6" x14ac:dyDescent="0.25">
      <c r="A14713" s="1" t="s">
        <v>136</v>
      </c>
      <c r="B14713" s="1" t="s">
        <v>2348</v>
      </c>
      <c r="C14713" s="1" t="s">
        <v>149</v>
      </c>
      <c r="D14713" s="3">
        <f t="shared" si="2420"/>
        <v>8218</v>
      </c>
      <c r="E14713" s="2">
        <f t="shared" si="2421"/>
        <v>43101</v>
      </c>
      <c r="F14713" s="2">
        <f t="shared" si="2422"/>
        <v>43677</v>
      </c>
    </row>
    <row r="14714" spans="1:6" x14ac:dyDescent="0.25">
      <c r="A14714" s="1" t="s">
        <v>136</v>
      </c>
      <c r="B14714" s="1" t="s">
        <v>2348</v>
      </c>
      <c r="C14714" s="1" t="s">
        <v>73</v>
      </c>
      <c r="D14714" s="3">
        <f t="shared" si="2420"/>
        <v>8218</v>
      </c>
      <c r="E14714" s="2">
        <f t="shared" si="2421"/>
        <v>43101</v>
      </c>
      <c r="F14714" s="2">
        <f t="shared" si="2422"/>
        <v>43677</v>
      </c>
    </row>
    <row r="14715" spans="1:6" x14ac:dyDescent="0.25">
      <c r="A14715" s="1" t="s">
        <v>136</v>
      </c>
      <c r="B14715" s="1" t="s">
        <v>2348</v>
      </c>
      <c r="C14715" s="1" t="s">
        <v>652</v>
      </c>
      <c r="D14715" s="3">
        <f t="shared" si="2420"/>
        <v>8218</v>
      </c>
      <c r="E14715" s="2">
        <f t="shared" si="2421"/>
        <v>43101</v>
      </c>
      <c r="F14715" s="2">
        <f t="shared" si="2422"/>
        <v>43677</v>
      </c>
    </row>
    <row r="14716" spans="1:6" x14ac:dyDescent="0.25">
      <c r="A14716" s="1" t="s">
        <v>136</v>
      </c>
      <c r="B14716" s="1" t="s">
        <v>2348</v>
      </c>
      <c r="C14716" s="1" t="s">
        <v>1971</v>
      </c>
      <c r="D14716" s="3">
        <f t="shared" si="2420"/>
        <v>8218</v>
      </c>
      <c r="E14716" s="2">
        <f t="shared" si="2421"/>
        <v>43101</v>
      </c>
      <c r="F14716" s="2">
        <f t="shared" si="2422"/>
        <v>43677</v>
      </c>
    </row>
    <row r="14717" spans="1:6" x14ac:dyDescent="0.25">
      <c r="A14717" s="1" t="s">
        <v>136</v>
      </c>
      <c r="B14717" s="1" t="s">
        <v>2348</v>
      </c>
      <c r="C14717" s="1" t="s">
        <v>160</v>
      </c>
      <c r="D14717" s="3">
        <f t="shared" si="2420"/>
        <v>8218</v>
      </c>
      <c r="E14717" s="2">
        <f t="shared" si="2421"/>
        <v>43101</v>
      </c>
      <c r="F14717" s="2">
        <f t="shared" si="2422"/>
        <v>43677</v>
      </c>
    </row>
    <row r="14718" spans="1:6" x14ac:dyDescent="0.25">
      <c r="A14718" s="1" t="s">
        <v>136</v>
      </c>
      <c r="B14718" s="1" t="s">
        <v>135</v>
      </c>
      <c r="C14718" s="1" t="s">
        <v>7</v>
      </c>
      <c r="D14718" s="3">
        <f t="shared" ref="D14718:D14749" si="2423">VALUE("6191")</f>
        <v>6191</v>
      </c>
      <c r="E14718" s="2">
        <f t="shared" ref="E14718:E14749" si="2424">DATEVALUE("1-10-2009")</f>
        <v>40087</v>
      </c>
      <c r="F14718" s="2">
        <f t="shared" ref="F14718:F14749" si="2425">DATEVALUE("31-3-2025")</f>
        <v>45747</v>
      </c>
    </row>
    <row r="14719" spans="1:6" x14ac:dyDescent="0.25">
      <c r="A14719" s="1" t="s">
        <v>136</v>
      </c>
      <c r="B14719" s="1" t="s">
        <v>135</v>
      </c>
      <c r="C14719" s="1" t="s">
        <v>78</v>
      </c>
      <c r="D14719" s="3">
        <f t="shared" si="2423"/>
        <v>6191</v>
      </c>
      <c r="E14719" s="2">
        <f t="shared" si="2424"/>
        <v>40087</v>
      </c>
      <c r="F14719" s="2">
        <f t="shared" si="2425"/>
        <v>45747</v>
      </c>
    </row>
    <row r="14720" spans="1:6" x14ac:dyDescent="0.25">
      <c r="A14720" s="1" t="s">
        <v>136</v>
      </c>
      <c r="B14720" s="1" t="s">
        <v>135</v>
      </c>
      <c r="C14720" s="1" t="s">
        <v>79</v>
      </c>
      <c r="D14720" s="3">
        <f t="shared" si="2423"/>
        <v>6191</v>
      </c>
      <c r="E14720" s="2">
        <f t="shared" si="2424"/>
        <v>40087</v>
      </c>
      <c r="F14720" s="2">
        <f t="shared" si="2425"/>
        <v>45747</v>
      </c>
    </row>
    <row r="14721" spans="1:6" x14ac:dyDescent="0.25">
      <c r="A14721" s="1" t="s">
        <v>136</v>
      </c>
      <c r="B14721" s="1" t="s">
        <v>135</v>
      </c>
      <c r="C14721" s="1" t="s">
        <v>80</v>
      </c>
      <c r="D14721" s="3">
        <f t="shared" si="2423"/>
        <v>6191</v>
      </c>
      <c r="E14721" s="2">
        <f t="shared" si="2424"/>
        <v>40087</v>
      </c>
      <c r="F14721" s="2">
        <f t="shared" si="2425"/>
        <v>45747</v>
      </c>
    </row>
    <row r="14722" spans="1:6" x14ac:dyDescent="0.25">
      <c r="A14722" s="1" t="s">
        <v>136</v>
      </c>
      <c r="B14722" s="1" t="s">
        <v>135</v>
      </c>
      <c r="C14722" s="1" t="s">
        <v>39</v>
      </c>
      <c r="D14722" s="3">
        <f t="shared" si="2423"/>
        <v>6191</v>
      </c>
      <c r="E14722" s="2">
        <f t="shared" si="2424"/>
        <v>40087</v>
      </c>
      <c r="F14722" s="2">
        <f t="shared" si="2425"/>
        <v>45747</v>
      </c>
    </row>
    <row r="14723" spans="1:6" x14ac:dyDescent="0.25">
      <c r="A14723" s="1" t="s">
        <v>136</v>
      </c>
      <c r="B14723" s="1" t="s">
        <v>135</v>
      </c>
      <c r="C14723" s="1" t="s">
        <v>60</v>
      </c>
      <c r="D14723" s="3">
        <f t="shared" si="2423"/>
        <v>6191</v>
      </c>
      <c r="E14723" s="2">
        <f t="shared" si="2424"/>
        <v>40087</v>
      </c>
      <c r="F14723" s="2">
        <f t="shared" si="2425"/>
        <v>45747</v>
      </c>
    </row>
    <row r="14724" spans="1:6" x14ac:dyDescent="0.25">
      <c r="A14724" s="1" t="s">
        <v>136</v>
      </c>
      <c r="B14724" s="1" t="s">
        <v>135</v>
      </c>
      <c r="C14724" s="1" t="s">
        <v>82</v>
      </c>
      <c r="D14724" s="3">
        <f t="shared" si="2423"/>
        <v>6191</v>
      </c>
      <c r="E14724" s="2">
        <f t="shared" si="2424"/>
        <v>40087</v>
      </c>
      <c r="F14724" s="2">
        <f t="shared" si="2425"/>
        <v>45747</v>
      </c>
    </row>
    <row r="14725" spans="1:6" x14ac:dyDescent="0.25">
      <c r="A14725" s="1" t="s">
        <v>136</v>
      </c>
      <c r="B14725" s="1" t="s">
        <v>135</v>
      </c>
      <c r="C14725" s="1" t="s">
        <v>42</v>
      </c>
      <c r="D14725" s="3">
        <f t="shared" si="2423"/>
        <v>6191</v>
      </c>
      <c r="E14725" s="2">
        <f t="shared" si="2424"/>
        <v>40087</v>
      </c>
      <c r="F14725" s="2">
        <f t="shared" si="2425"/>
        <v>45747</v>
      </c>
    </row>
    <row r="14726" spans="1:6" x14ac:dyDescent="0.25">
      <c r="A14726" s="1" t="s">
        <v>136</v>
      </c>
      <c r="B14726" s="1" t="s">
        <v>135</v>
      </c>
      <c r="C14726" s="1" t="s">
        <v>8</v>
      </c>
      <c r="D14726" s="3">
        <f t="shared" si="2423"/>
        <v>6191</v>
      </c>
      <c r="E14726" s="2">
        <f t="shared" si="2424"/>
        <v>40087</v>
      </c>
      <c r="F14726" s="2">
        <f t="shared" si="2425"/>
        <v>45747</v>
      </c>
    </row>
    <row r="14727" spans="1:6" x14ac:dyDescent="0.25">
      <c r="A14727" s="1" t="s">
        <v>136</v>
      </c>
      <c r="B14727" s="1" t="s">
        <v>135</v>
      </c>
      <c r="C14727" s="1" t="s">
        <v>10</v>
      </c>
      <c r="D14727" s="3">
        <f t="shared" si="2423"/>
        <v>6191</v>
      </c>
      <c r="E14727" s="2">
        <f t="shared" si="2424"/>
        <v>40087</v>
      </c>
      <c r="F14727" s="2">
        <f t="shared" si="2425"/>
        <v>45747</v>
      </c>
    </row>
    <row r="14728" spans="1:6" x14ac:dyDescent="0.25">
      <c r="A14728" s="1" t="s">
        <v>136</v>
      </c>
      <c r="B14728" s="1" t="s">
        <v>135</v>
      </c>
      <c r="C14728" s="1" t="s">
        <v>11</v>
      </c>
      <c r="D14728" s="3">
        <f t="shared" si="2423"/>
        <v>6191</v>
      </c>
      <c r="E14728" s="2">
        <f t="shared" si="2424"/>
        <v>40087</v>
      </c>
      <c r="F14728" s="2">
        <f t="shared" si="2425"/>
        <v>45747</v>
      </c>
    </row>
    <row r="14729" spans="1:6" x14ac:dyDescent="0.25">
      <c r="A14729" s="1" t="s">
        <v>136</v>
      </c>
      <c r="B14729" s="1" t="s">
        <v>135</v>
      </c>
      <c r="C14729" s="1" t="s">
        <v>137</v>
      </c>
      <c r="D14729" s="3">
        <f t="shared" si="2423"/>
        <v>6191</v>
      </c>
      <c r="E14729" s="2">
        <f t="shared" si="2424"/>
        <v>40087</v>
      </c>
      <c r="F14729" s="2">
        <f t="shared" si="2425"/>
        <v>45747</v>
      </c>
    </row>
    <row r="14730" spans="1:6" x14ac:dyDescent="0.25">
      <c r="A14730" s="1" t="s">
        <v>136</v>
      </c>
      <c r="B14730" s="1" t="s">
        <v>135</v>
      </c>
      <c r="C14730" s="1" t="s">
        <v>12</v>
      </c>
      <c r="D14730" s="3">
        <f t="shared" si="2423"/>
        <v>6191</v>
      </c>
      <c r="E14730" s="2">
        <f t="shared" si="2424"/>
        <v>40087</v>
      </c>
      <c r="F14730" s="2">
        <f t="shared" si="2425"/>
        <v>45747</v>
      </c>
    </row>
    <row r="14731" spans="1:6" x14ac:dyDescent="0.25">
      <c r="A14731" s="1" t="s">
        <v>136</v>
      </c>
      <c r="B14731" s="1" t="s">
        <v>135</v>
      </c>
      <c r="C14731" s="1" t="s">
        <v>61</v>
      </c>
      <c r="D14731" s="3">
        <f t="shared" si="2423"/>
        <v>6191</v>
      </c>
      <c r="E14731" s="2">
        <f t="shared" si="2424"/>
        <v>40087</v>
      </c>
      <c r="F14731" s="2">
        <f t="shared" si="2425"/>
        <v>45747</v>
      </c>
    </row>
    <row r="14732" spans="1:6" x14ac:dyDescent="0.25">
      <c r="A14732" s="1" t="s">
        <v>136</v>
      </c>
      <c r="B14732" s="1" t="s">
        <v>135</v>
      </c>
      <c r="C14732" s="1" t="s">
        <v>83</v>
      </c>
      <c r="D14732" s="3">
        <f t="shared" si="2423"/>
        <v>6191</v>
      </c>
      <c r="E14732" s="2">
        <f t="shared" si="2424"/>
        <v>40087</v>
      </c>
      <c r="F14732" s="2">
        <f t="shared" si="2425"/>
        <v>45747</v>
      </c>
    </row>
    <row r="14733" spans="1:6" x14ac:dyDescent="0.25">
      <c r="A14733" s="1" t="s">
        <v>136</v>
      </c>
      <c r="B14733" s="1" t="s">
        <v>135</v>
      </c>
      <c r="C14733" s="1" t="s">
        <v>43</v>
      </c>
      <c r="D14733" s="3">
        <f t="shared" si="2423"/>
        <v>6191</v>
      </c>
      <c r="E14733" s="2">
        <f t="shared" si="2424"/>
        <v>40087</v>
      </c>
      <c r="F14733" s="2">
        <f t="shared" si="2425"/>
        <v>45747</v>
      </c>
    </row>
    <row r="14734" spans="1:6" x14ac:dyDescent="0.25">
      <c r="A14734" s="1" t="s">
        <v>136</v>
      </c>
      <c r="B14734" s="1" t="s">
        <v>135</v>
      </c>
      <c r="C14734" s="1" t="s">
        <v>138</v>
      </c>
      <c r="D14734" s="3">
        <f t="shared" si="2423"/>
        <v>6191</v>
      </c>
      <c r="E14734" s="2">
        <f t="shared" si="2424"/>
        <v>40087</v>
      </c>
      <c r="F14734" s="2">
        <f t="shared" si="2425"/>
        <v>45747</v>
      </c>
    </row>
    <row r="14735" spans="1:6" x14ac:dyDescent="0.25">
      <c r="A14735" s="1" t="s">
        <v>136</v>
      </c>
      <c r="B14735" s="1" t="s">
        <v>135</v>
      </c>
      <c r="C14735" s="1" t="s">
        <v>139</v>
      </c>
      <c r="D14735" s="3">
        <f t="shared" si="2423"/>
        <v>6191</v>
      </c>
      <c r="E14735" s="2">
        <f t="shared" si="2424"/>
        <v>40087</v>
      </c>
      <c r="F14735" s="2">
        <f t="shared" si="2425"/>
        <v>45747</v>
      </c>
    </row>
    <row r="14736" spans="1:6" x14ac:dyDescent="0.25">
      <c r="A14736" s="1" t="s">
        <v>136</v>
      </c>
      <c r="B14736" s="1" t="s">
        <v>135</v>
      </c>
      <c r="C14736" s="1" t="s">
        <v>140</v>
      </c>
      <c r="D14736" s="3">
        <f t="shared" si="2423"/>
        <v>6191</v>
      </c>
      <c r="E14736" s="2">
        <f t="shared" si="2424"/>
        <v>40087</v>
      </c>
      <c r="F14736" s="2">
        <f t="shared" si="2425"/>
        <v>45747</v>
      </c>
    </row>
    <row r="14737" spans="1:6" x14ac:dyDescent="0.25">
      <c r="A14737" s="1" t="s">
        <v>136</v>
      </c>
      <c r="B14737" s="1" t="s">
        <v>135</v>
      </c>
      <c r="C14737" s="1" t="s">
        <v>141</v>
      </c>
      <c r="D14737" s="3">
        <f t="shared" si="2423"/>
        <v>6191</v>
      </c>
      <c r="E14737" s="2">
        <f t="shared" si="2424"/>
        <v>40087</v>
      </c>
      <c r="F14737" s="2">
        <f t="shared" si="2425"/>
        <v>45747</v>
      </c>
    </row>
    <row r="14738" spans="1:6" x14ac:dyDescent="0.25">
      <c r="A14738" s="1" t="s">
        <v>136</v>
      </c>
      <c r="B14738" s="1" t="s">
        <v>135</v>
      </c>
      <c r="C14738" s="1" t="s">
        <v>142</v>
      </c>
      <c r="D14738" s="3">
        <f t="shared" si="2423"/>
        <v>6191</v>
      </c>
      <c r="E14738" s="2">
        <f t="shared" si="2424"/>
        <v>40087</v>
      </c>
      <c r="F14738" s="2">
        <f t="shared" si="2425"/>
        <v>45747</v>
      </c>
    </row>
    <row r="14739" spans="1:6" x14ac:dyDescent="0.25">
      <c r="A14739" s="1" t="s">
        <v>136</v>
      </c>
      <c r="B14739" s="1" t="s">
        <v>135</v>
      </c>
      <c r="C14739" s="1" t="s">
        <v>143</v>
      </c>
      <c r="D14739" s="3">
        <f t="shared" si="2423"/>
        <v>6191</v>
      </c>
      <c r="E14739" s="2">
        <f t="shared" si="2424"/>
        <v>40087</v>
      </c>
      <c r="F14739" s="2">
        <f t="shared" si="2425"/>
        <v>45747</v>
      </c>
    </row>
    <row r="14740" spans="1:6" x14ac:dyDescent="0.25">
      <c r="A14740" s="1" t="s">
        <v>136</v>
      </c>
      <c r="B14740" s="1" t="s">
        <v>135</v>
      </c>
      <c r="C14740" s="1" t="s">
        <v>46</v>
      </c>
      <c r="D14740" s="3">
        <f t="shared" si="2423"/>
        <v>6191</v>
      </c>
      <c r="E14740" s="2">
        <f t="shared" si="2424"/>
        <v>40087</v>
      </c>
      <c r="F14740" s="2">
        <f t="shared" si="2425"/>
        <v>45747</v>
      </c>
    </row>
    <row r="14741" spans="1:6" x14ac:dyDescent="0.25">
      <c r="A14741" s="1" t="s">
        <v>136</v>
      </c>
      <c r="B14741" s="1" t="s">
        <v>135</v>
      </c>
      <c r="C14741" s="1" t="s">
        <v>87</v>
      </c>
      <c r="D14741" s="3">
        <f t="shared" si="2423"/>
        <v>6191</v>
      </c>
      <c r="E14741" s="2">
        <f t="shared" si="2424"/>
        <v>40087</v>
      </c>
      <c r="F14741" s="2">
        <f t="shared" si="2425"/>
        <v>45747</v>
      </c>
    </row>
    <row r="14742" spans="1:6" x14ac:dyDescent="0.25">
      <c r="A14742" s="1" t="s">
        <v>136</v>
      </c>
      <c r="B14742" s="1" t="s">
        <v>135</v>
      </c>
      <c r="C14742" s="1" t="s">
        <v>14</v>
      </c>
      <c r="D14742" s="3">
        <f t="shared" si="2423"/>
        <v>6191</v>
      </c>
      <c r="E14742" s="2">
        <f t="shared" si="2424"/>
        <v>40087</v>
      </c>
      <c r="F14742" s="2">
        <f t="shared" si="2425"/>
        <v>45747</v>
      </c>
    </row>
    <row r="14743" spans="1:6" x14ac:dyDescent="0.25">
      <c r="A14743" s="1" t="s">
        <v>136</v>
      </c>
      <c r="B14743" s="1" t="s">
        <v>135</v>
      </c>
      <c r="C14743" s="1" t="s">
        <v>66</v>
      </c>
      <c r="D14743" s="3">
        <f t="shared" si="2423"/>
        <v>6191</v>
      </c>
      <c r="E14743" s="2">
        <f t="shared" si="2424"/>
        <v>40087</v>
      </c>
      <c r="F14743" s="2">
        <f t="shared" si="2425"/>
        <v>45747</v>
      </c>
    </row>
    <row r="14744" spans="1:6" x14ac:dyDescent="0.25">
      <c r="A14744" s="1" t="s">
        <v>136</v>
      </c>
      <c r="B14744" s="1" t="s">
        <v>135</v>
      </c>
      <c r="C14744" s="1" t="s">
        <v>15</v>
      </c>
      <c r="D14744" s="3">
        <f t="shared" si="2423"/>
        <v>6191</v>
      </c>
      <c r="E14744" s="2">
        <f t="shared" si="2424"/>
        <v>40087</v>
      </c>
      <c r="F14744" s="2">
        <f t="shared" si="2425"/>
        <v>45747</v>
      </c>
    </row>
    <row r="14745" spans="1:6" x14ac:dyDescent="0.25">
      <c r="A14745" s="1" t="s">
        <v>136</v>
      </c>
      <c r="B14745" s="1" t="s">
        <v>135</v>
      </c>
      <c r="C14745" s="1" t="s">
        <v>16</v>
      </c>
      <c r="D14745" s="3">
        <f t="shared" si="2423"/>
        <v>6191</v>
      </c>
      <c r="E14745" s="2">
        <f t="shared" si="2424"/>
        <v>40087</v>
      </c>
      <c r="F14745" s="2">
        <f t="shared" si="2425"/>
        <v>45747</v>
      </c>
    </row>
    <row r="14746" spans="1:6" x14ac:dyDescent="0.25">
      <c r="A14746" s="1" t="s">
        <v>136</v>
      </c>
      <c r="B14746" s="1" t="s">
        <v>135</v>
      </c>
      <c r="C14746" s="1" t="s">
        <v>88</v>
      </c>
      <c r="D14746" s="3">
        <f t="shared" si="2423"/>
        <v>6191</v>
      </c>
      <c r="E14746" s="2">
        <f t="shared" si="2424"/>
        <v>40087</v>
      </c>
      <c r="F14746" s="2">
        <f t="shared" si="2425"/>
        <v>45747</v>
      </c>
    </row>
    <row r="14747" spans="1:6" x14ac:dyDescent="0.25">
      <c r="A14747" s="1" t="s">
        <v>136</v>
      </c>
      <c r="B14747" s="1" t="s">
        <v>135</v>
      </c>
      <c r="C14747" s="1" t="s">
        <v>89</v>
      </c>
      <c r="D14747" s="3">
        <f t="shared" si="2423"/>
        <v>6191</v>
      </c>
      <c r="E14747" s="2">
        <f t="shared" si="2424"/>
        <v>40087</v>
      </c>
      <c r="F14747" s="2">
        <f t="shared" si="2425"/>
        <v>45747</v>
      </c>
    </row>
    <row r="14748" spans="1:6" x14ac:dyDescent="0.25">
      <c r="A14748" s="1" t="s">
        <v>136</v>
      </c>
      <c r="B14748" s="1" t="s">
        <v>135</v>
      </c>
      <c r="C14748" s="1" t="s">
        <v>17</v>
      </c>
      <c r="D14748" s="3">
        <f t="shared" si="2423"/>
        <v>6191</v>
      </c>
      <c r="E14748" s="2">
        <f t="shared" si="2424"/>
        <v>40087</v>
      </c>
      <c r="F14748" s="2">
        <f t="shared" si="2425"/>
        <v>45747</v>
      </c>
    </row>
    <row r="14749" spans="1:6" x14ac:dyDescent="0.25">
      <c r="A14749" s="1" t="s">
        <v>136</v>
      </c>
      <c r="B14749" s="1" t="s">
        <v>135</v>
      </c>
      <c r="C14749" s="1" t="s">
        <v>145</v>
      </c>
      <c r="D14749" s="3">
        <f t="shared" si="2423"/>
        <v>6191</v>
      </c>
      <c r="E14749" s="2">
        <f t="shared" si="2424"/>
        <v>40087</v>
      </c>
      <c r="F14749" s="2">
        <f t="shared" si="2425"/>
        <v>45747</v>
      </c>
    </row>
    <row r="14750" spans="1:6" x14ac:dyDescent="0.25">
      <c r="A14750" s="1" t="s">
        <v>136</v>
      </c>
      <c r="B14750" s="1" t="s">
        <v>135</v>
      </c>
      <c r="C14750" s="1" t="s">
        <v>144</v>
      </c>
      <c r="D14750" s="3">
        <f t="shared" ref="D14750:D14781" si="2426">VALUE("6191")</f>
        <v>6191</v>
      </c>
      <c r="E14750" s="2">
        <f t="shared" ref="E14750:E14781" si="2427">DATEVALUE("1-10-2009")</f>
        <v>40087</v>
      </c>
      <c r="F14750" s="2">
        <f t="shared" ref="F14750:F14781" si="2428">DATEVALUE("31-3-2025")</f>
        <v>45747</v>
      </c>
    </row>
    <row r="14751" spans="1:6" x14ac:dyDescent="0.25">
      <c r="A14751" s="1" t="s">
        <v>136</v>
      </c>
      <c r="B14751" s="1" t="s">
        <v>135</v>
      </c>
      <c r="C14751" s="1" t="s">
        <v>22</v>
      </c>
      <c r="D14751" s="3">
        <f t="shared" si="2426"/>
        <v>6191</v>
      </c>
      <c r="E14751" s="2">
        <f t="shared" si="2427"/>
        <v>40087</v>
      </c>
      <c r="F14751" s="2">
        <f t="shared" si="2428"/>
        <v>45747</v>
      </c>
    </row>
    <row r="14752" spans="1:6" x14ac:dyDescent="0.25">
      <c r="A14752" s="1" t="s">
        <v>136</v>
      </c>
      <c r="B14752" s="1" t="s">
        <v>135</v>
      </c>
      <c r="C14752" s="1" t="s">
        <v>146</v>
      </c>
      <c r="D14752" s="3">
        <f t="shared" si="2426"/>
        <v>6191</v>
      </c>
      <c r="E14752" s="2">
        <f t="shared" si="2427"/>
        <v>40087</v>
      </c>
      <c r="F14752" s="2">
        <f t="shared" si="2428"/>
        <v>45747</v>
      </c>
    </row>
    <row r="14753" spans="1:6" x14ac:dyDescent="0.25">
      <c r="A14753" s="1" t="s">
        <v>136</v>
      </c>
      <c r="B14753" s="1" t="s">
        <v>135</v>
      </c>
      <c r="C14753" s="1" t="s">
        <v>67</v>
      </c>
      <c r="D14753" s="3">
        <f t="shared" si="2426"/>
        <v>6191</v>
      </c>
      <c r="E14753" s="2">
        <f t="shared" si="2427"/>
        <v>40087</v>
      </c>
      <c r="F14753" s="2">
        <f t="shared" si="2428"/>
        <v>45747</v>
      </c>
    </row>
    <row r="14754" spans="1:6" x14ac:dyDescent="0.25">
      <c r="A14754" s="1" t="s">
        <v>136</v>
      </c>
      <c r="B14754" s="1" t="s">
        <v>135</v>
      </c>
      <c r="C14754" s="1" t="s">
        <v>147</v>
      </c>
      <c r="D14754" s="3">
        <f t="shared" si="2426"/>
        <v>6191</v>
      </c>
      <c r="E14754" s="2">
        <f t="shared" si="2427"/>
        <v>40087</v>
      </c>
      <c r="F14754" s="2">
        <f t="shared" si="2428"/>
        <v>45747</v>
      </c>
    </row>
    <row r="14755" spans="1:6" x14ac:dyDescent="0.25">
      <c r="A14755" s="1" t="s">
        <v>136</v>
      </c>
      <c r="B14755" s="1" t="s">
        <v>135</v>
      </c>
      <c r="C14755" s="1" t="s">
        <v>148</v>
      </c>
      <c r="D14755" s="3">
        <f t="shared" si="2426"/>
        <v>6191</v>
      </c>
      <c r="E14755" s="2">
        <f t="shared" si="2427"/>
        <v>40087</v>
      </c>
      <c r="F14755" s="2">
        <f t="shared" si="2428"/>
        <v>45747</v>
      </c>
    </row>
    <row r="14756" spans="1:6" x14ac:dyDescent="0.25">
      <c r="A14756" s="1" t="s">
        <v>136</v>
      </c>
      <c r="B14756" s="1" t="s">
        <v>135</v>
      </c>
      <c r="C14756" s="1" t="s">
        <v>149</v>
      </c>
      <c r="D14756" s="3">
        <f t="shared" si="2426"/>
        <v>6191</v>
      </c>
      <c r="E14756" s="2">
        <f t="shared" si="2427"/>
        <v>40087</v>
      </c>
      <c r="F14756" s="2">
        <f t="shared" si="2428"/>
        <v>45747</v>
      </c>
    </row>
    <row r="14757" spans="1:6" x14ac:dyDescent="0.25">
      <c r="A14757" s="1" t="s">
        <v>136</v>
      </c>
      <c r="B14757" s="1" t="s">
        <v>135</v>
      </c>
      <c r="C14757" s="1" t="s">
        <v>150</v>
      </c>
      <c r="D14757" s="3">
        <f t="shared" si="2426"/>
        <v>6191</v>
      </c>
      <c r="E14757" s="2">
        <f t="shared" si="2427"/>
        <v>40087</v>
      </c>
      <c r="F14757" s="2">
        <f t="shared" si="2428"/>
        <v>45747</v>
      </c>
    </row>
    <row r="14758" spans="1:6" x14ac:dyDescent="0.25">
      <c r="A14758" s="1" t="s">
        <v>136</v>
      </c>
      <c r="B14758" s="1" t="s">
        <v>135</v>
      </c>
      <c r="C14758" s="1" t="s">
        <v>48</v>
      </c>
      <c r="D14758" s="3">
        <f t="shared" si="2426"/>
        <v>6191</v>
      </c>
      <c r="E14758" s="2">
        <f t="shared" si="2427"/>
        <v>40087</v>
      </c>
      <c r="F14758" s="2">
        <f t="shared" si="2428"/>
        <v>45747</v>
      </c>
    </row>
    <row r="14759" spans="1:6" x14ac:dyDescent="0.25">
      <c r="A14759" s="1" t="s">
        <v>136</v>
      </c>
      <c r="B14759" s="1" t="s">
        <v>135</v>
      </c>
      <c r="C14759" s="1" t="s">
        <v>92</v>
      </c>
      <c r="D14759" s="3">
        <f t="shared" si="2426"/>
        <v>6191</v>
      </c>
      <c r="E14759" s="2">
        <f t="shared" si="2427"/>
        <v>40087</v>
      </c>
      <c r="F14759" s="2">
        <f t="shared" si="2428"/>
        <v>45747</v>
      </c>
    </row>
    <row r="14760" spans="1:6" x14ac:dyDescent="0.25">
      <c r="A14760" s="1" t="s">
        <v>136</v>
      </c>
      <c r="B14760" s="1" t="s">
        <v>135</v>
      </c>
      <c r="C14760" s="1" t="s">
        <v>151</v>
      </c>
      <c r="D14760" s="3">
        <f t="shared" si="2426"/>
        <v>6191</v>
      </c>
      <c r="E14760" s="2">
        <f t="shared" si="2427"/>
        <v>40087</v>
      </c>
      <c r="F14760" s="2">
        <f t="shared" si="2428"/>
        <v>45747</v>
      </c>
    </row>
    <row r="14761" spans="1:6" x14ac:dyDescent="0.25">
      <c r="A14761" s="1" t="s">
        <v>136</v>
      </c>
      <c r="B14761" s="1" t="s">
        <v>135</v>
      </c>
      <c r="C14761" s="1" t="s">
        <v>152</v>
      </c>
      <c r="D14761" s="3">
        <f t="shared" si="2426"/>
        <v>6191</v>
      </c>
      <c r="E14761" s="2">
        <f t="shared" si="2427"/>
        <v>40087</v>
      </c>
      <c r="F14761" s="2">
        <f t="shared" si="2428"/>
        <v>45747</v>
      </c>
    </row>
    <row r="14762" spans="1:6" x14ac:dyDescent="0.25">
      <c r="A14762" s="1" t="s">
        <v>136</v>
      </c>
      <c r="B14762" s="1" t="s">
        <v>135</v>
      </c>
      <c r="C14762" s="1" t="s">
        <v>153</v>
      </c>
      <c r="D14762" s="3">
        <f t="shared" si="2426"/>
        <v>6191</v>
      </c>
      <c r="E14762" s="2">
        <f t="shared" si="2427"/>
        <v>40087</v>
      </c>
      <c r="F14762" s="2">
        <f t="shared" si="2428"/>
        <v>45747</v>
      </c>
    </row>
    <row r="14763" spans="1:6" x14ac:dyDescent="0.25">
      <c r="A14763" s="1" t="s">
        <v>136</v>
      </c>
      <c r="B14763" s="1" t="s">
        <v>135</v>
      </c>
      <c r="C14763" s="1" t="s">
        <v>154</v>
      </c>
      <c r="D14763" s="3">
        <f t="shared" si="2426"/>
        <v>6191</v>
      </c>
      <c r="E14763" s="2">
        <f t="shared" si="2427"/>
        <v>40087</v>
      </c>
      <c r="F14763" s="2">
        <f t="shared" si="2428"/>
        <v>45747</v>
      </c>
    </row>
    <row r="14764" spans="1:6" x14ac:dyDescent="0.25">
      <c r="A14764" s="1" t="s">
        <v>136</v>
      </c>
      <c r="B14764" s="1" t="s">
        <v>135</v>
      </c>
      <c r="C14764" s="1" t="s">
        <v>95</v>
      </c>
      <c r="D14764" s="3">
        <f t="shared" si="2426"/>
        <v>6191</v>
      </c>
      <c r="E14764" s="2">
        <f t="shared" si="2427"/>
        <v>40087</v>
      </c>
      <c r="F14764" s="2">
        <f t="shared" si="2428"/>
        <v>45747</v>
      </c>
    </row>
    <row r="14765" spans="1:6" x14ac:dyDescent="0.25">
      <c r="A14765" s="1" t="s">
        <v>136</v>
      </c>
      <c r="B14765" s="1" t="s">
        <v>135</v>
      </c>
      <c r="C14765" s="1" t="s">
        <v>96</v>
      </c>
      <c r="D14765" s="3">
        <f t="shared" si="2426"/>
        <v>6191</v>
      </c>
      <c r="E14765" s="2">
        <f t="shared" si="2427"/>
        <v>40087</v>
      </c>
      <c r="F14765" s="2">
        <f t="shared" si="2428"/>
        <v>45747</v>
      </c>
    </row>
    <row r="14766" spans="1:6" x14ac:dyDescent="0.25">
      <c r="A14766" s="1" t="s">
        <v>136</v>
      </c>
      <c r="B14766" s="1" t="s">
        <v>135</v>
      </c>
      <c r="C14766" s="1" t="s">
        <v>155</v>
      </c>
      <c r="D14766" s="3">
        <f t="shared" si="2426"/>
        <v>6191</v>
      </c>
      <c r="E14766" s="2">
        <f t="shared" si="2427"/>
        <v>40087</v>
      </c>
      <c r="F14766" s="2">
        <f t="shared" si="2428"/>
        <v>45747</v>
      </c>
    </row>
    <row r="14767" spans="1:6" x14ac:dyDescent="0.25">
      <c r="A14767" s="1" t="s">
        <v>136</v>
      </c>
      <c r="B14767" s="1" t="s">
        <v>135</v>
      </c>
      <c r="C14767" s="1" t="s">
        <v>156</v>
      </c>
      <c r="D14767" s="3">
        <f t="shared" si="2426"/>
        <v>6191</v>
      </c>
      <c r="E14767" s="2">
        <f t="shared" si="2427"/>
        <v>40087</v>
      </c>
      <c r="F14767" s="2">
        <f t="shared" si="2428"/>
        <v>45747</v>
      </c>
    </row>
    <row r="14768" spans="1:6" x14ac:dyDescent="0.25">
      <c r="A14768" s="1" t="s">
        <v>136</v>
      </c>
      <c r="B14768" s="1" t="s">
        <v>135</v>
      </c>
      <c r="C14768" s="1" t="s">
        <v>24</v>
      </c>
      <c r="D14768" s="3">
        <f t="shared" si="2426"/>
        <v>6191</v>
      </c>
      <c r="E14768" s="2">
        <f t="shared" si="2427"/>
        <v>40087</v>
      </c>
      <c r="F14768" s="2">
        <f t="shared" si="2428"/>
        <v>45747</v>
      </c>
    </row>
    <row r="14769" spans="1:6" x14ac:dyDescent="0.25">
      <c r="A14769" s="1" t="s">
        <v>136</v>
      </c>
      <c r="B14769" s="1" t="s">
        <v>135</v>
      </c>
      <c r="C14769" s="1" t="s">
        <v>50</v>
      </c>
      <c r="D14769" s="3">
        <f t="shared" si="2426"/>
        <v>6191</v>
      </c>
      <c r="E14769" s="2">
        <f t="shared" si="2427"/>
        <v>40087</v>
      </c>
      <c r="F14769" s="2">
        <f t="shared" si="2428"/>
        <v>45747</v>
      </c>
    </row>
    <row r="14770" spans="1:6" x14ac:dyDescent="0.25">
      <c r="A14770" s="1" t="s">
        <v>136</v>
      </c>
      <c r="B14770" s="1" t="s">
        <v>135</v>
      </c>
      <c r="C14770" s="1" t="s">
        <v>97</v>
      </c>
      <c r="D14770" s="3">
        <f t="shared" si="2426"/>
        <v>6191</v>
      </c>
      <c r="E14770" s="2">
        <f t="shared" si="2427"/>
        <v>40087</v>
      </c>
      <c r="F14770" s="2">
        <f t="shared" si="2428"/>
        <v>45747</v>
      </c>
    </row>
    <row r="14771" spans="1:6" x14ac:dyDescent="0.25">
      <c r="A14771" s="1" t="s">
        <v>136</v>
      </c>
      <c r="B14771" s="1" t="s">
        <v>135</v>
      </c>
      <c r="C14771" s="1" t="s">
        <v>157</v>
      </c>
      <c r="D14771" s="3">
        <f t="shared" si="2426"/>
        <v>6191</v>
      </c>
      <c r="E14771" s="2">
        <f t="shared" si="2427"/>
        <v>40087</v>
      </c>
      <c r="F14771" s="2">
        <f t="shared" si="2428"/>
        <v>45747</v>
      </c>
    </row>
    <row r="14772" spans="1:6" x14ac:dyDescent="0.25">
      <c r="A14772" s="1" t="s">
        <v>136</v>
      </c>
      <c r="B14772" s="1" t="s">
        <v>135</v>
      </c>
      <c r="C14772" s="1" t="s">
        <v>157</v>
      </c>
      <c r="D14772" s="3">
        <f t="shared" si="2426"/>
        <v>6191</v>
      </c>
      <c r="E14772" s="2">
        <f t="shared" si="2427"/>
        <v>40087</v>
      </c>
      <c r="F14772" s="2">
        <f t="shared" si="2428"/>
        <v>45747</v>
      </c>
    </row>
    <row r="14773" spans="1:6" x14ac:dyDescent="0.25">
      <c r="A14773" s="1" t="s">
        <v>136</v>
      </c>
      <c r="B14773" s="1" t="s">
        <v>135</v>
      </c>
      <c r="C14773" s="1" t="s">
        <v>98</v>
      </c>
      <c r="D14773" s="3">
        <f t="shared" si="2426"/>
        <v>6191</v>
      </c>
      <c r="E14773" s="2">
        <f t="shared" si="2427"/>
        <v>40087</v>
      </c>
      <c r="F14773" s="2">
        <f t="shared" si="2428"/>
        <v>45747</v>
      </c>
    </row>
    <row r="14774" spans="1:6" x14ac:dyDescent="0.25">
      <c r="A14774" s="1" t="s">
        <v>136</v>
      </c>
      <c r="B14774" s="1" t="s">
        <v>135</v>
      </c>
      <c r="C14774" s="1" t="s">
        <v>99</v>
      </c>
      <c r="D14774" s="3">
        <f t="shared" si="2426"/>
        <v>6191</v>
      </c>
      <c r="E14774" s="2">
        <f t="shared" si="2427"/>
        <v>40087</v>
      </c>
      <c r="F14774" s="2">
        <f t="shared" si="2428"/>
        <v>45747</v>
      </c>
    </row>
    <row r="14775" spans="1:6" x14ac:dyDescent="0.25">
      <c r="A14775" s="1" t="s">
        <v>136</v>
      </c>
      <c r="B14775" s="1" t="s">
        <v>135</v>
      </c>
      <c r="C14775" s="1" t="s">
        <v>71</v>
      </c>
      <c r="D14775" s="3">
        <f t="shared" si="2426"/>
        <v>6191</v>
      </c>
      <c r="E14775" s="2">
        <f t="shared" si="2427"/>
        <v>40087</v>
      </c>
      <c r="F14775" s="2">
        <f t="shared" si="2428"/>
        <v>45747</v>
      </c>
    </row>
    <row r="14776" spans="1:6" x14ac:dyDescent="0.25">
      <c r="A14776" s="1" t="s">
        <v>136</v>
      </c>
      <c r="B14776" s="1" t="s">
        <v>135</v>
      </c>
      <c r="C14776" s="1" t="s">
        <v>100</v>
      </c>
      <c r="D14776" s="3">
        <f t="shared" si="2426"/>
        <v>6191</v>
      </c>
      <c r="E14776" s="2">
        <f t="shared" si="2427"/>
        <v>40087</v>
      </c>
      <c r="F14776" s="2">
        <f t="shared" si="2428"/>
        <v>45747</v>
      </c>
    </row>
    <row r="14777" spans="1:6" x14ac:dyDescent="0.25">
      <c r="A14777" s="1" t="s">
        <v>136</v>
      </c>
      <c r="B14777" s="1" t="s">
        <v>135</v>
      </c>
      <c r="C14777" s="1" t="s">
        <v>72</v>
      </c>
      <c r="D14777" s="3">
        <f t="shared" si="2426"/>
        <v>6191</v>
      </c>
      <c r="E14777" s="2">
        <f t="shared" si="2427"/>
        <v>40087</v>
      </c>
      <c r="F14777" s="2">
        <f t="shared" si="2428"/>
        <v>45747</v>
      </c>
    </row>
    <row r="14778" spans="1:6" x14ac:dyDescent="0.25">
      <c r="A14778" s="1" t="s">
        <v>136</v>
      </c>
      <c r="B14778" s="1" t="s">
        <v>135</v>
      </c>
      <c r="C14778" s="1" t="s">
        <v>104</v>
      </c>
      <c r="D14778" s="3">
        <f t="shared" si="2426"/>
        <v>6191</v>
      </c>
      <c r="E14778" s="2">
        <f t="shared" si="2427"/>
        <v>40087</v>
      </c>
      <c r="F14778" s="2">
        <f t="shared" si="2428"/>
        <v>45747</v>
      </c>
    </row>
    <row r="14779" spans="1:6" x14ac:dyDescent="0.25">
      <c r="A14779" s="1" t="s">
        <v>136</v>
      </c>
      <c r="B14779" s="1" t="s">
        <v>135</v>
      </c>
      <c r="C14779" s="1" t="s">
        <v>158</v>
      </c>
      <c r="D14779" s="3">
        <f t="shared" si="2426"/>
        <v>6191</v>
      </c>
      <c r="E14779" s="2">
        <f t="shared" si="2427"/>
        <v>40087</v>
      </c>
      <c r="F14779" s="2">
        <f t="shared" si="2428"/>
        <v>45747</v>
      </c>
    </row>
    <row r="14780" spans="1:6" x14ac:dyDescent="0.25">
      <c r="A14780" s="1" t="s">
        <v>136</v>
      </c>
      <c r="B14780" s="1" t="s">
        <v>135</v>
      </c>
      <c r="C14780" s="1" t="s">
        <v>121</v>
      </c>
      <c r="D14780" s="3">
        <f t="shared" si="2426"/>
        <v>6191</v>
      </c>
      <c r="E14780" s="2">
        <f t="shared" si="2427"/>
        <v>40087</v>
      </c>
      <c r="F14780" s="2">
        <f t="shared" si="2428"/>
        <v>45747</v>
      </c>
    </row>
    <row r="14781" spans="1:6" x14ac:dyDescent="0.25">
      <c r="A14781" s="1" t="s">
        <v>136</v>
      </c>
      <c r="B14781" s="1" t="s">
        <v>135</v>
      </c>
      <c r="C14781" s="1" t="s">
        <v>73</v>
      </c>
      <c r="D14781" s="3">
        <f t="shared" si="2426"/>
        <v>6191</v>
      </c>
      <c r="E14781" s="2">
        <f t="shared" si="2427"/>
        <v>40087</v>
      </c>
      <c r="F14781" s="2">
        <f t="shared" si="2428"/>
        <v>45747</v>
      </c>
    </row>
    <row r="14782" spans="1:6" x14ac:dyDescent="0.25">
      <c r="A14782" s="1" t="s">
        <v>136</v>
      </c>
      <c r="B14782" s="1" t="s">
        <v>135</v>
      </c>
      <c r="C14782" s="1" t="s">
        <v>52</v>
      </c>
      <c r="D14782" s="3">
        <f t="shared" ref="D14782:D14807" si="2429">VALUE("6191")</f>
        <v>6191</v>
      </c>
      <c r="E14782" s="2">
        <f t="shared" ref="E14782:E14807" si="2430">DATEVALUE("1-10-2009")</f>
        <v>40087</v>
      </c>
      <c r="F14782" s="2">
        <f t="shared" ref="F14782:F14807" si="2431">DATEVALUE("31-3-2025")</f>
        <v>45747</v>
      </c>
    </row>
    <row r="14783" spans="1:6" x14ac:dyDescent="0.25">
      <c r="A14783" s="1" t="s">
        <v>136</v>
      </c>
      <c r="B14783" s="1" t="s">
        <v>135</v>
      </c>
      <c r="C14783" s="1" t="s">
        <v>105</v>
      </c>
      <c r="D14783" s="3">
        <f t="shared" si="2429"/>
        <v>6191</v>
      </c>
      <c r="E14783" s="2">
        <f t="shared" si="2430"/>
        <v>40087</v>
      </c>
      <c r="F14783" s="2">
        <f t="shared" si="2431"/>
        <v>45747</v>
      </c>
    </row>
    <row r="14784" spans="1:6" x14ac:dyDescent="0.25">
      <c r="A14784" s="1" t="s">
        <v>136</v>
      </c>
      <c r="B14784" s="1" t="s">
        <v>135</v>
      </c>
      <c r="C14784" s="1" t="s">
        <v>106</v>
      </c>
      <c r="D14784" s="3">
        <f t="shared" si="2429"/>
        <v>6191</v>
      </c>
      <c r="E14784" s="2">
        <f t="shared" si="2430"/>
        <v>40087</v>
      </c>
      <c r="F14784" s="2">
        <f t="shared" si="2431"/>
        <v>45747</v>
      </c>
    </row>
    <row r="14785" spans="1:6" x14ac:dyDescent="0.25">
      <c r="A14785" s="1" t="s">
        <v>136</v>
      </c>
      <c r="B14785" s="1" t="s">
        <v>135</v>
      </c>
      <c r="C14785" s="1" t="s">
        <v>107</v>
      </c>
      <c r="D14785" s="3">
        <f t="shared" si="2429"/>
        <v>6191</v>
      </c>
      <c r="E14785" s="2">
        <f t="shared" si="2430"/>
        <v>40087</v>
      </c>
      <c r="F14785" s="2">
        <f t="shared" si="2431"/>
        <v>45747</v>
      </c>
    </row>
    <row r="14786" spans="1:6" x14ac:dyDescent="0.25">
      <c r="A14786" s="1" t="s">
        <v>136</v>
      </c>
      <c r="B14786" s="1" t="s">
        <v>135</v>
      </c>
      <c r="C14786" s="1" t="s">
        <v>32</v>
      </c>
      <c r="D14786" s="3">
        <f t="shared" si="2429"/>
        <v>6191</v>
      </c>
      <c r="E14786" s="2">
        <f t="shared" si="2430"/>
        <v>40087</v>
      </c>
      <c r="F14786" s="2">
        <f t="shared" si="2431"/>
        <v>45747</v>
      </c>
    </row>
    <row r="14787" spans="1:6" x14ac:dyDescent="0.25">
      <c r="A14787" s="1" t="s">
        <v>136</v>
      </c>
      <c r="B14787" s="1" t="s">
        <v>135</v>
      </c>
      <c r="C14787" s="1" t="s">
        <v>108</v>
      </c>
      <c r="D14787" s="3">
        <f t="shared" si="2429"/>
        <v>6191</v>
      </c>
      <c r="E14787" s="2">
        <f t="shared" si="2430"/>
        <v>40087</v>
      </c>
      <c r="F14787" s="2">
        <f t="shared" si="2431"/>
        <v>45747</v>
      </c>
    </row>
    <row r="14788" spans="1:6" x14ac:dyDescent="0.25">
      <c r="A14788" s="1" t="s">
        <v>136</v>
      </c>
      <c r="B14788" s="1" t="s">
        <v>135</v>
      </c>
      <c r="C14788" s="1" t="s">
        <v>109</v>
      </c>
      <c r="D14788" s="3">
        <f t="shared" si="2429"/>
        <v>6191</v>
      </c>
      <c r="E14788" s="2">
        <f t="shared" si="2430"/>
        <v>40087</v>
      </c>
      <c r="F14788" s="2">
        <f t="shared" si="2431"/>
        <v>45747</v>
      </c>
    </row>
    <row r="14789" spans="1:6" x14ac:dyDescent="0.25">
      <c r="A14789" s="1" t="s">
        <v>136</v>
      </c>
      <c r="B14789" s="1" t="s">
        <v>135</v>
      </c>
      <c r="C14789" s="1" t="s">
        <v>110</v>
      </c>
      <c r="D14789" s="3">
        <f t="shared" si="2429"/>
        <v>6191</v>
      </c>
      <c r="E14789" s="2">
        <f t="shared" si="2430"/>
        <v>40087</v>
      </c>
      <c r="F14789" s="2">
        <f t="shared" si="2431"/>
        <v>45747</v>
      </c>
    </row>
    <row r="14790" spans="1:6" x14ac:dyDescent="0.25">
      <c r="A14790" s="1" t="s">
        <v>136</v>
      </c>
      <c r="B14790" s="1" t="s">
        <v>135</v>
      </c>
      <c r="C14790" s="1" t="s">
        <v>111</v>
      </c>
      <c r="D14790" s="3">
        <f t="shared" si="2429"/>
        <v>6191</v>
      </c>
      <c r="E14790" s="2">
        <f t="shared" si="2430"/>
        <v>40087</v>
      </c>
      <c r="F14790" s="2">
        <f t="shared" si="2431"/>
        <v>45747</v>
      </c>
    </row>
    <row r="14791" spans="1:6" x14ac:dyDescent="0.25">
      <c r="A14791" s="1" t="s">
        <v>136</v>
      </c>
      <c r="B14791" s="1" t="s">
        <v>135</v>
      </c>
      <c r="C14791" s="1" t="s">
        <v>112</v>
      </c>
      <c r="D14791" s="3">
        <f t="shared" si="2429"/>
        <v>6191</v>
      </c>
      <c r="E14791" s="2">
        <f t="shared" si="2430"/>
        <v>40087</v>
      </c>
      <c r="F14791" s="2">
        <f t="shared" si="2431"/>
        <v>45747</v>
      </c>
    </row>
    <row r="14792" spans="1:6" x14ac:dyDescent="0.25">
      <c r="A14792" s="1" t="s">
        <v>136</v>
      </c>
      <c r="B14792" s="1" t="s">
        <v>135</v>
      </c>
      <c r="C14792" s="1" t="s">
        <v>113</v>
      </c>
      <c r="D14792" s="3">
        <f t="shared" si="2429"/>
        <v>6191</v>
      </c>
      <c r="E14792" s="2">
        <f t="shared" si="2430"/>
        <v>40087</v>
      </c>
      <c r="F14792" s="2">
        <f t="shared" si="2431"/>
        <v>45747</v>
      </c>
    </row>
    <row r="14793" spans="1:6" x14ac:dyDescent="0.25">
      <c r="A14793" s="1" t="s">
        <v>136</v>
      </c>
      <c r="B14793" s="1" t="s">
        <v>135</v>
      </c>
      <c r="C14793" s="1" t="s">
        <v>33</v>
      </c>
      <c r="D14793" s="3">
        <f t="shared" si="2429"/>
        <v>6191</v>
      </c>
      <c r="E14793" s="2">
        <f t="shared" si="2430"/>
        <v>40087</v>
      </c>
      <c r="F14793" s="2">
        <f t="shared" si="2431"/>
        <v>45747</v>
      </c>
    </row>
    <row r="14794" spans="1:6" x14ac:dyDescent="0.25">
      <c r="A14794" s="1" t="s">
        <v>136</v>
      </c>
      <c r="B14794" s="1" t="s">
        <v>135</v>
      </c>
      <c r="C14794" s="1" t="s">
        <v>159</v>
      </c>
      <c r="D14794" s="3">
        <f t="shared" si="2429"/>
        <v>6191</v>
      </c>
      <c r="E14794" s="2">
        <f t="shared" si="2430"/>
        <v>40087</v>
      </c>
      <c r="F14794" s="2">
        <f t="shared" si="2431"/>
        <v>45747</v>
      </c>
    </row>
    <row r="14795" spans="1:6" x14ac:dyDescent="0.25">
      <c r="A14795" s="1" t="s">
        <v>136</v>
      </c>
      <c r="B14795" s="1" t="s">
        <v>135</v>
      </c>
      <c r="C14795" s="1" t="s">
        <v>114</v>
      </c>
      <c r="D14795" s="3">
        <f t="shared" si="2429"/>
        <v>6191</v>
      </c>
      <c r="E14795" s="2">
        <f t="shared" si="2430"/>
        <v>40087</v>
      </c>
      <c r="F14795" s="2">
        <f t="shared" si="2431"/>
        <v>45747</v>
      </c>
    </row>
    <row r="14796" spans="1:6" x14ac:dyDescent="0.25">
      <c r="A14796" s="1" t="s">
        <v>136</v>
      </c>
      <c r="B14796" s="1" t="s">
        <v>135</v>
      </c>
      <c r="C14796" s="1" t="s">
        <v>160</v>
      </c>
      <c r="D14796" s="3">
        <f t="shared" si="2429"/>
        <v>6191</v>
      </c>
      <c r="E14796" s="2">
        <f t="shared" si="2430"/>
        <v>40087</v>
      </c>
      <c r="F14796" s="2">
        <f t="shared" si="2431"/>
        <v>45747</v>
      </c>
    </row>
    <row r="14797" spans="1:6" x14ac:dyDescent="0.25">
      <c r="A14797" s="1" t="s">
        <v>136</v>
      </c>
      <c r="B14797" s="1" t="s">
        <v>135</v>
      </c>
      <c r="C14797" s="1" t="s">
        <v>53</v>
      </c>
      <c r="D14797" s="3">
        <f t="shared" si="2429"/>
        <v>6191</v>
      </c>
      <c r="E14797" s="2">
        <f t="shared" si="2430"/>
        <v>40087</v>
      </c>
      <c r="F14797" s="2">
        <f t="shared" si="2431"/>
        <v>45747</v>
      </c>
    </row>
    <row r="14798" spans="1:6" x14ac:dyDescent="0.25">
      <c r="A14798" s="1" t="s">
        <v>136</v>
      </c>
      <c r="B14798" s="1" t="s">
        <v>135</v>
      </c>
      <c r="C14798" s="1" t="s">
        <v>161</v>
      </c>
      <c r="D14798" s="3">
        <f t="shared" si="2429"/>
        <v>6191</v>
      </c>
      <c r="E14798" s="2">
        <f t="shared" si="2430"/>
        <v>40087</v>
      </c>
      <c r="F14798" s="2">
        <f t="shared" si="2431"/>
        <v>45747</v>
      </c>
    </row>
    <row r="14799" spans="1:6" x14ac:dyDescent="0.25">
      <c r="A14799" s="1" t="s">
        <v>136</v>
      </c>
      <c r="B14799" s="1" t="s">
        <v>135</v>
      </c>
      <c r="C14799" s="1" t="s">
        <v>162</v>
      </c>
      <c r="D14799" s="3">
        <f t="shared" si="2429"/>
        <v>6191</v>
      </c>
      <c r="E14799" s="2">
        <f t="shared" si="2430"/>
        <v>40087</v>
      </c>
      <c r="F14799" s="2">
        <f t="shared" si="2431"/>
        <v>45747</v>
      </c>
    </row>
    <row r="14800" spans="1:6" x14ac:dyDescent="0.25">
      <c r="A14800" s="1" t="s">
        <v>136</v>
      </c>
      <c r="B14800" s="1" t="s">
        <v>135</v>
      </c>
      <c r="C14800" s="1" t="s">
        <v>34</v>
      </c>
      <c r="D14800" s="3">
        <f t="shared" si="2429"/>
        <v>6191</v>
      </c>
      <c r="E14800" s="2">
        <f t="shared" si="2430"/>
        <v>40087</v>
      </c>
      <c r="F14800" s="2">
        <f t="shared" si="2431"/>
        <v>45747</v>
      </c>
    </row>
    <row r="14801" spans="1:6" x14ac:dyDescent="0.25">
      <c r="A14801" s="1" t="s">
        <v>136</v>
      </c>
      <c r="B14801" s="1" t="s">
        <v>135</v>
      </c>
      <c r="C14801" s="1" t="s">
        <v>163</v>
      </c>
      <c r="D14801" s="3">
        <f t="shared" si="2429"/>
        <v>6191</v>
      </c>
      <c r="E14801" s="2">
        <f t="shared" si="2430"/>
        <v>40087</v>
      </c>
      <c r="F14801" s="2">
        <f t="shared" si="2431"/>
        <v>45747</v>
      </c>
    </row>
    <row r="14802" spans="1:6" x14ac:dyDescent="0.25">
      <c r="A14802" s="1" t="s">
        <v>136</v>
      </c>
      <c r="B14802" s="1" t="s">
        <v>135</v>
      </c>
      <c r="C14802" s="1" t="s">
        <v>115</v>
      </c>
      <c r="D14802" s="3">
        <f t="shared" si="2429"/>
        <v>6191</v>
      </c>
      <c r="E14802" s="2">
        <f t="shared" si="2430"/>
        <v>40087</v>
      </c>
      <c r="F14802" s="2">
        <f t="shared" si="2431"/>
        <v>45747</v>
      </c>
    </row>
    <row r="14803" spans="1:6" x14ac:dyDescent="0.25">
      <c r="A14803" s="1" t="s">
        <v>136</v>
      </c>
      <c r="B14803" s="1" t="s">
        <v>135</v>
      </c>
      <c r="C14803" s="1" t="s">
        <v>164</v>
      </c>
      <c r="D14803" s="3">
        <f t="shared" si="2429"/>
        <v>6191</v>
      </c>
      <c r="E14803" s="2">
        <f t="shared" si="2430"/>
        <v>40087</v>
      </c>
      <c r="F14803" s="2">
        <f t="shared" si="2431"/>
        <v>45747</v>
      </c>
    </row>
    <row r="14804" spans="1:6" x14ac:dyDescent="0.25">
      <c r="A14804" s="1" t="s">
        <v>136</v>
      </c>
      <c r="B14804" s="1" t="s">
        <v>135</v>
      </c>
      <c r="C14804" s="1" t="s">
        <v>116</v>
      </c>
      <c r="D14804" s="3">
        <f t="shared" si="2429"/>
        <v>6191</v>
      </c>
      <c r="E14804" s="2">
        <f t="shared" si="2430"/>
        <v>40087</v>
      </c>
      <c r="F14804" s="2">
        <f t="shared" si="2431"/>
        <v>45747</v>
      </c>
    </row>
    <row r="14805" spans="1:6" x14ac:dyDescent="0.25">
      <c r="A14805" s="1" t="s">
        <v>136</v>
      </c>
      <c r="B14805" s="1" t="s">
        <v>135</v>
      </c>
      <c r="C14805" s="1" t="s">
        <v>57</v>
      </c>
      <c r="D14805" s="3">
        <f t="shared" si="2429"/>
        <v>6191</v>
      </c>
      <c r="E14805" s="2">
        <f t="shared" si="2430"/>
        <v>40087</v>
      </c>
      <c r="F14805" s="2">
        <f t="shared" si="2431"/>
        <v>45747</v>
      </c>
    </row>
    <row r="14806" spans="1:6" x14ac:dyDescent="0.25">
      <c r="A14806" s="1" t="s">
        <v>136</v>
      </c>
      <c r="B14806" s="1" t="s">
        <v>135</v>
      </c>
      <c r="C14806" s="1" t="s">
        <v>36</v>
      </c>
      <c r="D14806" s="3">
        <f t="shared" si="2429"/>
        <v>6191</v>
      </c>
      <c r="E14806" s="2">
        <f t="shared" si="2430"/>
        <v>40087</v>
      </c>
      <c r="F14806" s="2">
        <f t="shared" si="2431"/>
        <v>45747</v>
      </c>
    </row>
    <row r="14807" spans="1:6" x14ac:dyDescent="0.25">
      <c r="A14807" s="1" t="s">
        <v>136</v>
      </c>
      <c r="B14807" s="1" t="s">
        <v>135</v>
      </c>
      <c r="C14807" s="1" t="s">
        <v>117</v>
      </c>
      <c r="D14807" s="3">
        <f t="shared" si="2429"/>
        <v>6191</v>
      </c>
      <c r="E14807" s="2">
        <f t="shared" si="2430"/>
        <v>40087</v>
      </c>
      <c r="F14807" s="2">
        <f t="shared" si="2431"/>
        <v>45747</v>
      </c>
    </row>
    <row r="14808" spans="1:6" x14ac:dyDescent="0.25">
      <c r="A14808" s="1" t="s">
        <v>1010</v>
      </c>
      <c r="B14808" s="1" t="s">
        <v>1493</v>
      </c>
      <c r="C14808" s="1" t="s">
        <v>8</v>
      </c>
      <c r="D14808" s="3">
        <f t="shared" ref="D14808:D14825" si="2432">VALUE("8691")</f>
        <v>8691</v>
      </c>
      <c r="E14808" s="2">
        <f t="shared" ref="E14808:E14825" si="2433">DATEVALUE("1-6-2020")</f>
        <v>43983</v>
      </c>
      <c r="F14808" s="2">
        <f t="shared" ref="F14808:F14825" si="2434">DATEVALUE("31-8-2024")</f>
        <v>45535</v>
      </c>
    </row>
    <row r="14809" spans="1:6" x14ac:dyDescent="0.25">
      <c r="A14809" s="1" t="s">
        <v>1010</v>
      </c>
      <c r="B14809" s="1" t="s">
        <v>1493</v>
      </c>
      <c r="C14809" s="1" t="s">
        <v>10</v>
      </c>
      <c r="D14809" s="3">
        <f t="shared" si="2432"/>
        <v>8691</v>
      </c>
      <c r="E14809" s="2">
        <f t="shared" si="2433"/>
        <v>43983</v>
      </c>
      <c r="F14809" s="2">
        <f t="shared" si="2434"/>
        <v>45535</v>
      </c>
    </row>
    <row r="14810" spans="1:6" x14ac:dyDescent="0.25">
      <c r="A14810" s="1" t="s">
        <v>1010</v>
      </c>
      <c r="B14810" s="1" t="s">
        <v>1493</v>
      </c>
      <c r="C14810" s="1" t="s">
        <v>14</v>
      </c>
      <c r="D14810" s="3">
        <f t="shared" si="2432"/>
        <v>8691</v>
      </c>
      <c r="E14810" s="2">
        <f t="shared" si="2433"/>
        <v>43983</v>
      </c>
      <c r="F14810" s="2">
        <f t="shared" si="2434"/>
        <v>45535</v>
      </c>
    </row>
    <row r="14811" spans="1:6" x14ac:dyDescent="0.25">
      <c r="A14811" s="1" t="s">
        <v>1010</v>
      </c>
      <c r="B14811" s="1" t="s">
        <v>1493</v>
      </c>
      <c r="C14811" s="1" t="s">
        <v>66</v>
      </c>
      <c r="D14811" s="3">
        <f t="shared" si="2432"/>
        <v>8691</v>
      </c>
      <c r="E14811" s="2">
        <f t="shared" si="2433"/>
        <v>43983</v>
      </c>
      <c r="F14811" s="2">
        <f t="shared" si="2434"/>
        <v>45535</v>
      </c>
    </row>
    <row r="14812" spans="1:6" x14ac:dyDescent="0.25">
      <c r="A14812" s="1" t="s">
        <v>1010</v>
      </c>
      <c r="B14812" s="1" t="s">
        <v>1493</v>
      </c>
      <c r="C14812" s="1" t="s">
        <v>15</v>
      </c>
      <c r="D14812" s="3">
        <f t="shared" si="2432"/>
        <v>8691</v>
      </c>
      <c r="E14812" s="2">
        <f t="shared" si="2433"/>
        <v>43983</v>
      </c>
      <c r="F14812" s="2">
        <f t="shared" si="2434"/>
        <v>45535</v>
      </c>
    </row>
    <row r="14813" spans="1:6" x14ac:dyDescent="0.25">
      <c r="A14813" s="1" t="s">
        <v>1010</v>
      </c>
      <c r="B14813" s="1" t="s">
        <v>1493</v>
      </c>
      <c r="C14813" s="1" t="s">
        <v>89</v>
      </c>
      <c r="D14813" s="3">
        <f t="shared" si="2432"/>
        <v>8691</v>
      </c>
      <c r="E14813" s="2">
        <f t="shared" si="2433"/>
        <v>43983</v>
      </c>
      <c r="F14813" s="2">
        <f t="shared" si="2434"/>
        <v>45535</v>
      </c>
    </row>
    <row r="14814" spans="1:6" x14ac:dyDescent="0.25">
      <c r="A14814" s="1" t="s">
        <v>1010</v>
      </c>
      <c r="B14814" s="1" t="s">
        <v>1493</v>
      </c>
      <c r="C14814" s="1" t="s">
        <v>17</v>
      </c>
      <c r="D14814" s="3">
        <f t="shared" si="2432"/>
        <v>8691</v>
      </c>
      <c r="E14814" s="2">
        <f t="shared" si="2433"/>
        <v>43983</v>
      </c>
      <c r="F14814" s="2">
        <f t="shared" si="2434"/>
        <v>45535</v>
      </c>
    </row>
    <row r="14815" spans="1:6" x14ac:dyDescent="0.25">
      <c r="A14815" s="1" t="s">
        <v>1010</v>
      </c>
      <c r="B14815" s="1" t="s">
        <v>1493</v>
      </c>
      <c r="C14815" s="1" t="s">
        <v>257</v>
      </c>
      <c r="D14815" s="3">
        <f t="shared" si="2432"/>
        <v>8691</v>
      </c>
      <c r="E14815" s="2">
        <f t="shared" si="2433"/>
        <v>43983</v>
      </c>
      <c r="F14815" s="2">
        <f t="shared" si="2434"/>
        <v>45535</v>
      </c>
    </row>
    <row r="14816" spans="1:6" x14ac:dyDescent="0.25">
      <c r="A14816" s="1" t="s">
        <v>1010</v>
      </c>
      <c r="B14816" s="1" t="s">
        <v>1493</v>
      </c>
      <c r="C14816" s="1" t="s">
        <v>67</v>
      </c>
      <c r="D14816" s="3">
        <f t="shared" si="2432"/>
        <v>8691</v>
      </c>
      <c r="E14816" s="2">
        <f t="shared" si="2433"/>
        <v>43983</v>
      </c>
      <c r="F14816" s="2">
        <f t="shared" si="2434"/>
        <v>45535</v>
      </c>
    </row>
    <row r="14817" spans="1:6" x14ac:dyDescent="0.25">
      <c r="A14817" s="1" t="s">
        <v>1010</v>
      </c>
      <c r="B14817" s="1" t="s">
        <v>1493</v>
      </c>
      <c r="C14817" s="1" t="s">
        <v>94</v>
      </c>
      <c r="D14817" s="3">
        <f t="shared" si="2432"/>
        <v>8691</v>
      </c>
      <c r="E14817" s="2">
        <f t="shared" si="2433"/>
        <v>43983</v>
      </c>
      <c r="F14817" s="2">
        <f t="shared" si="2434"/>
        <v>45535</v>
      </c>
    </row>
    <row r="14818" spans="1:6" x14ac:dyDescent="0.25">
      <c r="A14818" s="1" t="s">
        <v>1010</v>
      </c>
      <c r="B14818" s="1" t="s">
        <v>1493</v>
      </c>
      <c r="C14818" s="1" t="s">
        <v>571</v>
      </c>
      <c r="D14818" s="3">
        <f t="shared" si="2432"/>
        <v>8691</v>
      </c>
      <c r="E14818" s="2">
        <f t="shared" si="2433"/>
        <v>43983</v>
      </c>
      <c r="F14818" s="2">
        <f t="shared" si="2434"/>
        <v>45535</v>
      </c>
    </row>
    <row r="14819" spans="1:6" x14ac:dyDescent="0.25">
      <c r="A14819" s="1" t="s">
        <v>1010</v>
      </c>
      <c r="B14819" s="1" t="s">
        <v>1493</v>
      </c>
      <c r="C14819" s="1" t="s">
        <v>573</v>
      </c>
      <c r="D14819" s="3">
        <f t="shared" si="2432"/>
        <v>8691</v>
      </c>
      <c r="E14819" s="2">
        <f t="shared" si="2433"/>
        <v>43983</v>
      </c>
      <c r="F14819" s="2">
        <f t="shared" si="2434"/>
        <v>45535</v>
      </c>
    </row>
    <row r="14820" spans="1:6" x14ac:dyDescent="0.25">
      <c r="A14820" s="1" t="s">
        <v>1010</v>
      </c>
      <c r="B14820" s="1" t="s">
        <v>1493</v>
      </c>
      <c r="C14820" s="1" t="s">
        <v>24</v>
      </c>
      <c r="D14820" s="3">
        <f t="shared" si="2432"/>
        <v>8691</v>
      </c>
      <c r="E14820" s="2">
        <f t="shared" si="2433"/>
        <v>43983</v>
      </c>
      <c r="F14820" s="2">
        <f t="shared" si="2434"/>
        <v>45535</v>
      </c>
    </row>
    <row r="14821" spans="1:6" x14ac:dyDescent="0.25">
      <c r="A14821" s="1" t="s">
        <v>1010</v>
      </c>
      <c r="B14821" s="1" t="s">
        <v>1493</v>
      </c>
      <c r="C14821" s="1" t="s">
        <v>72</v>
      </c>
      <c r="D14821" s="3">
        <f t="shared" si="2432"/>
        <v>8691</v>
      </c>
      <c r="E14821" s="2">
        <f t="shared" si="2433"/>
        <v>43983</v>
      </c>
      <c r="F14821" s="2">
        <f t="shared" si="2434"/>
        <v>45535</v>
      </c>
    </row>
    <row r="14822" spans="1:6" x14ac:dyDescent="0.25">
      <c r="A14822" s="1" t="s">
        <v>1010</v>
      </c>
      <c r="B14822" s="1" t="s">
        <v>1493</v>
      </c>
      <c r="C14822" s="1" t="s">
        <v>52</v>
      </c>
      <c r="D14822" s="3">
        <f t="shared" si="2432"/>
        <v>8691</v>
      </c>
      <c r="E14822" s="2">
        <f t="shared" si="2433"/>
        <v>43983</v>
      </c>
      <c r="F14822" s="2">
        <f t="shared" si="2434"/>
        <v>45535</v>
      </c>
    </row>
    <row r="14823" spans="1:6" x14ac:dyDescent="0.25">
      <c r="A14823" s="1" t="s">
        <v>1010</v>
      </c>
      <c r="B14823" s="1" t="s">
        <v>1493</v>
      </c>
      <c r="C14823" s="1" t="s">
        <v>34</v>
      </c>
      <c r="D14823" s="3">
        <f t="shared" si="2432"/>
        <v>8691</v>
      </c>
      <c r="E14823" s="2">
        <f t="shared" si="2433"/>
        <v>43983</v>
      </c>
      <c r="F14823" s="2">
        <f t="shared" si="2434"/>
        <v>45535</v>
      </c>
    </row>
    <row r="14824" spans="1:6" x14ac:dyDescent="0.25">
      <c r="A14824" s="1" t="s">
        <v>1010</v>
      </c>
      <c r="B14824" s="1" t="s">
        <v>1493</v>
      </c>
      <c r="C14824" s="1" t="s">
        <v>55</v>
      </c>
      <c r="D14824" s="3">
        <f t="shared" si="2432"/>
        <v>8691</v>
      </c>
      <c r="E14824" s="2">
        <f t="shared" si="2433"/>
        <v>43983</v>
      </c>
      <c r="F14824" s="2">
        <f t="shared" si="2434"/>
        <v>45535</v>
      </c>
    </row>
    <row r="14825" spans="1:6" x14ac:dyDescent="0.25">
      <c r="A14825" s="1" t="s">
        <v>1010</v>
      </c>
      <c r="B14825" s="1" t="s">
        <v>1493</v>
      </c>
      <c r="C14825" s="1" t="s">
        <v>36</v>
      </c>
      <c r="D14825" s="3">
        <f t="shared" si="2432"/>
        <v>8691</v>
      </c>
      <c r="E14825" s="2">
        <f t="shared" si="2433"/>
        <v>43983</v>
      </c>
      <c r="F14825" s="2">
        <f t="shared" si="2434"/>
        <v>45535</v>
      </c>
    </row>
    <row r="14826" spans="1:6" x14ac:dyDescent="0.25">
      <c r="A14826" s="1" t="s">
        <v>1010</v>
      </c>
      <c r="B14826" s="1" t="s">
        <v>1489</v>
      </c>
      <c r="C14826" s="1" t="s">
        <v>69</v>
      </c>
      <c r="D14826" s="3">
        <f>VALUE("8676")</f>
        <v>8676</v>
      </c>
      <c r="E14826" s="2">
        <f>DATEVALUE("1-2-2020")</f>
        <v>43862</v>
      </c>
      <c r="F14826" s="2">
        <f>DATEVALUE("31-10-2020")</f>
        <v>44135</v>
      </c>
    </row>
    <row r="14827" spans="1:6" x14ac:dyDescent="0.25">
      <c r="A14827" s="1" t="s">
        <v>1010</v>
      </c>
      <c r="B14827" s="1" t="s">
        <v>1489</v>
      </c>
      <c r="C14827" s="1" t="s">
        <v>52</v>
      </c>
      <c r="D14827" s="3">
        <f>VALUE("8676")</f>
        <v>8676</v>
      </c>
      <c r="E14827" s="2">
        <f>DATEVALUE("1-2-2020")</f>
        <v>43862</v>
      </c>
      <c r="F14827" s="2">
        <f>DATEVALUE("31-10-2020")</f>
        <v>44135</v>
      </c>
    </row>
    <row r="14828" spans="1:6" x14ac:dyDescent="0.25">
      <c r="A14828" s="1" t="s">
        <v>1010</v>
      </c>
      <c r="B14828" s="1" t="s">
        <v>1345</v>
      </c>
      <c r="C14828" s="1" t="s">
        <v>7</v>
      </c>
      <c r="D14828" s="3">
        <f>VALUE("8578")</f>
        <v>8578</v>
      </c>
      <c r="E14828" s="2">
        <f>DATEVALUE("1-10-2019")</f>
        <v>43739</v>
      </c>
      <c r="F14828" s="2">
        <f>DATEVALUE("30-9-2021")</f>
        <v>44469</v>
      </c>
    </row>
    <row r="14829" spans="1:6" x14ac:dyDescent="0.25">
      <c r="A14829" s="1" t="s">
        <v>1010</v>
      </c>
      <c r="B14829" s="1" t="s">
        <v>1345</v>
      </c>
      <c r="C14829" s="1" t="s">
        <v>212</v>
      </c>
      <c r="D14829" s="3">
        <f>VALUE("8578")</f>
        <v>8578</v>
      </c>
      <c r="E14829" s="2">
        <f>DATEVALUE("1-10-2019")</f>
        <v>43739</v>
      </c>
      <c r="F14829" s="2">
        <f>DATEVALUE("30-9-2021")</f>
        <v>44469</v>
      </c>
    </row>
    <row r="14830" spans="1:6" x14ac:dyDescent="0.25">
      <c r="A14830" s="1" t="s">
        <v>1010</v>
      </c>
      <c r="B14830" s="1" t="s">
        <v>1180</v>
      </c>
      <c r="C14830" s="1" t="s">
        <v>252</v>
      </c>
      <c r="D14830" s="3">
        <f t="shared" ref="D14830:D14841" si="2435">VALUE("8451")</f>
        <v>8451</v>
      </c>
      <c r="E14830" s="2">
        <f t="shared" ref="E14830:E14841" si="2436">DATEVALUE("1-3-2019")</f>
        <v>43525</v>
      </c>
      <c r="F14830" s="2">
        <f t="shared" ref="F14830:F14841" si="2437">DATEVALUE("28-2-2021")</f>
        <v>44255</v>
      </c>
    </row>
    <row r="14831" spans="1:6" x14ac:dyDescent="0.25">
      <c r="A14831" s="1" t="s">
        <v>1010</v>
      </c>
      <c r="B14831" s="1" t="s">
        <v>1180</v>
      </c>
      <c r="C14831" s="1" t="s">
        <v>14</v>
      </c>
      <c r="D14831" s="3">
        <f t="shared" si="2435"/>
        <v>8451</v>
      </c>
      <c r="E14831" s="2">
        <f t="shared" si="2436"/>
        <v>43525</v>
      </c>
      <c r="F14831" s="2">
        <f t="shared" si="2437"/>
        <v>44255</v>
      </c>
    </row>
    <row r="14832" spans="1:6" x14ac:dyDescent="0.25">
      <c r="A14832" s="1" t="s">
        <v>1010</v>
      </c>
      <c r="B14832" s="1" t="s">
        <v>1180</v>
      </c>
      <c r="C14832" s="1" t="s">
        <v>17</v>
      </c>
      <c r="D14832" s="3">
        <f t="shared" si="2435"/>
        <v>8451</v>
      </c>
      <c r="E14832" s="2">
        <f t="shared" si="2436"/>
        <v>43525</v>
      </c>
      <c r="F14832" s="2">
        <f t="shared" si="2437"/>
        <v>44255</v>
      </c>
    </row>
    <row r="14833" spans="1:6" x14ac:dyDescent="0.25">
      <c r="A14833" s="1" t="s">
        <v>1010</v>
      </c>
      <c r="B14833" s="1" t="s">
        <v>1180</v>
      </c>
      <c r="C14833" s="1" t="s">
        <v>146</v>
      </c>
      <c r="D14833" s="3">
        <f t="shared" si="2435"/>
        <v>8451</v>
      </c>
      <c r="E14833" s="2">
        <f t="shared" si="2436"/>
        <v>43525</v>
      </c>
      <c r="F14833" s="2">
        <f t="shared" si="2437"/>
        <v>44255</v>
      </c>
    </row>
    <row r="14834" spans="1:6" x14ac:dyDescent="0.25">
      <c r="A14834" s="1" t="s">
        <v>1010</v>
      </c>
      <c r="B14834" s="1" t="s">
        <v>1180</v>
      </c>
      <c r="C14834" s="1" t="s">
        <v>67</v>
      </c>
      <c r="D14834" s="3">
        <f t="shared" si="2435"/>
        <v>8451</v>
      </c>
      <c r="E14834" s="2">
        <f t="shared" si="2436"/>
        <v>43525</v>
      </c>
      <c r="F14834" s="2">
        <f t="shared" si="2437"/>
        <v>44255</v>
      </c>
    </row>
    <row r="14835" spans="1:6" x14ac:dyDescent="0.25">
      <c r="A14835" s="1" t="s">
        <v>1010</v>
      </c>
      <c r="B14835" s="1" t="s">
        <v>1180</v>
      </c>
      <c r="C14835" s="1" t="s">
        <v>24</v>
      </c>
      <c r="D14835" s="3">
        <f t="shared" si="2435"/>
        <v>8451</v>
      </c>
      <c r="E14835" s="2">
        <f t="shared" si="2436"/>
        <v>43525</v>
      </c>
      <c r="F14835" s="2">
        <f t="shared" si="2437"/>
        <v>44255</v>
      </c>
    </row>
    <row r="14836" spans="1:6" x14ac:dyDescent="0.25">
      <c r="A14836" s="1" t="s">
        <v>1010</v>
      </c>
      <c r="B14836" s="1" t="s">
        <v>1180</v>
      </c>
      <c r="C14836" s="1" t="s">
        <v>1041</v>
      </c>
      <c r="D14836" s="3">
        <f t="shared" si="2435"/>
        <v>8451</v>
      </c>
      <c r="E14836" s="2">
        <f t="shared" si="2436"/>
        <v>43525</v>
      </c>
      <c r="F14836" s="2">
        <f t="shared" si="2437"/>
        <v>44255</v>
      </c>
    </row>
    <row r="14837" spans="1:6" x14ac:dyDescent="0.25">
      <c r="A14837" s="1" t="s">
        <v>1010</v>
      </c>
      <c r="B14837" s="1" t="s">
        <v>1180</v>
      </c>
      <c r="C14837" s="1" t="s">
        <v>206</v>
      </c>
      <c r="D14837" s="3">
        <f t="shared" si="2435"/>
        <v>8451</v>
      </c>
      <c r="E14837" s="2">
        <f t="shared" si="2436"/>
        <v>43525</v>
      </c>
      <c r="F14837" s="2">
        <f t="shared" si="2437"/>
        <v>44255</v>
      </c>
    </row>
    <row r="14838" spans="1:6" x14ac:dyDescent="0.25">
      <c r="A14838" s="1" t="s">
        <v>1010</v>
      </c>
      <c r="B14838" s="1" t="s">
        <v>1180</v>
      </c>
      <c r="C14838" s="1" t="s">
        <v>158</v>
      </c>
      <c r="D14838" s="3">
        <f t="shared" si="2435"/>
        <v>8451</v>
      </c>
      <c r="E14838" s="2">
        <f t="shared" si="2436"/>
        <v>43525</v>
      </c>
      <c r="F14838" s="2">
        <f t="shared" si="2437"/>
        <v>44255</v>
      </c>
    </row>
    <row r="14839" spans="1:6" x14ac:dyDescent="0.25">
      <c r="A14839" s="1" t="s">
        <v>1010</v>
      </c>
      <c r="B14839" s="1" t="s">
        <v>1180</v>
      </c>
      <c r="C14839" s="1" t="s">
        <v>160</v>
      </c>
      <c r="D14839" s="3">
        <f t="shared" si="2435"/>
        <v>8451</v>
      </c>
      <c r="E14839" s="2">
        <f t="shared" si="2436"/>
        <v>43525</v>
      </c>
      <c r="F14839" s="2">
        <f t="shared" si="2437"/>
        <v>44255</v>
      </c>
    </row>
    <row r="14840" spans="1:6" x14ac:dyDescent="0.25">
      <c r="A14840" s="1" t="s">
        <v>1010</v>
      </c>
      <c r="B14840" s="1" t="s">
        <v>1180</v>
      </c>
      <c r="C14840" s="1" t="s">
        <v>448</v>
      </c>
      <c r="D14840" s="3">
        <f t="shared" si="2435"/>
        <v>8451</v>
      </c>
      <c r="E14840" s="2">
        <f t="shared" si="2436"/>
        <v>43525</v>
      </c>
      <c r="F14840" s="2">
        <f t="shared" si="2437"/>
        <v>44255</v>
      </c>
    </row>
    <row r="14841" spans="1:6" x14ac:dyDescent="0.25">
      <c r="A14841" s="1" t="s">
        <v>1010</v>
      </c>
      <c r="B14841" s="1" t="s">
        <v>1180</v>
      </c>
      <c r="C14841" s="1" t="s">
        <v>34</v>
      </c>
      <c r="D14841" s="3">
        <f t="shared" si="2435"/>
        <v>8451</v>
      </c>
      <c r="E14841" s="2">
        <f t="shared" si="2436"/>
        <v>43525</v>
      </c>
      <c r="F14841" s="2">
        <f t="shared" si="2437"/>
        <v>44255</v>
      </c>
    </row>
    <row r="14842" spans="1:6" x14ac:dyDescent="0.25">
      <c r="A14842" s="1" t="s">
        <v>1010</v>
      </c>
      <c r="B14842" s="1" t="s">
        <v>1009</v>
      </c>
      <c r="C14842" s="1" t="s">
        <v>184</v>
      </c>
      <c r="D14842" s="3">
        <f t="shared" ref="D14842:D14860" si="2438">VALUE("8290")</f>
        <v>8290</v>
      </c>
      <c r="E14842" s="2">
        <f t="shared" ref="E14842:E14860" si="2439">DATEVALUE("1-7-2018")</f>
        <v>43282</v>
      </c>
      <c r="F14842" s="2">
        <f t="shared" ref="F14842:F14860" si="2440">DATEVALUE("30-6-2025")</f>
        <v>45838</v>
      </c>
    </row>
    <row r="14843" spans="1:6" x14ac:dyDescent="0.25">
      <c r="A14843" s="1" t="s">
        <v>1010</v>
      </c>
      <c r="B14843" s="1" t="s">
        <v>1009</v>
      </c>
      <c r="C14843" s="1" t="s">
        <v>14</v>
      </c>
      <c r="D14843" s="3">
        <f t="shared" si="2438"/>
        <v>8290</v>
      </c>
      <c r="E14843" s="2">
        <f t="shared" si="2439"/>
        <v>43282</v>
      </c>
      <c r="F14843" s="2">
        <f t="shared" si="2440"/>
        <v>45838</v>
      </c>
    </row>
    <row r="14844" spans="1:6" x14ac:dyDescent="0.25">
      <c r="A14844" s="1" t="s">
        <v>1010</v>
      </c>
      <c r="B14844" s="1" t="s">
        <v>1009</v>
      </c>
      <c r="C14844" s="1" t="s">
        <v>15</v>
      </c>
      <c r="D14844" s="3">
        <f t="shared" si="2438"/>
        <v>8290</v>
      </c>
      <c r="E14844" s="2">
        <f t="shared" si="2439"/>
        <v>43282</v>
      </c>
      <c r="F14844" s="2">
        <f t="shared" si="2440"/>
        <v>45838</v>
      </c>
    </row>
    <row r="14845" spans="1:6" x14ac:dyDescent="0.25">
      <c r="A14845" s="1" t="s">
        <v>1010</v>
      </c>
      <c r="B14845" s="1" t="s">
        <v>1009</v>
      </c>
      <c r="C14845" s="1" t="s">
        <v>16</v>
      </c>
      <c r="D14845" s="3">
        <f t="shared" si="2438"/>
        <v>8290</v>
      </c>
      <c r="E14845" s="2">
        <f t="shared" si="2439"/>
        <v>43282</v>
      </c>
      <c r="F14845" s="2">
        <f t="shared" si="2440"/>
        <v>45838</v>
      </c>
    </row>
    <row r="14846" spans="1:6" x14ac:dyDescent="0.25">
      <c r="A14846" s="1" t="s">
        <v>1010</v>
      </c>
      <c r="B14846" s="1" t="s">
        <v>1009</v>
      </c>
      <c r="C14846" s="1" t="s">
        <v>17</v>
      </c>
      <c r="D14846" s="3">
        <f t="shared" si="2438"/>
        <v>8290</v>
      </c>
      <c r="E14846" s="2">
        <f t="shared" si="2439"/>
        <v>43282</v>
      </c>
      <c r="F14846" s="2">
        <f t="shared" si="2440"/>
        <v>45838</v>
      </c>
    </row>
    <row r="14847" spans="1:6" x14ac:dyDescent="0.25">
      <c r="A14847" s="1" t="s">
        <v>1010</v>
      </c>
      <c r="B14847" s="1" t="s">
        <v>1009</v>
      </c>
      <c r="C14847" s="1" t="s">
        <v>22</v>
      </c>
      <c r="D14847" s="3">
        <f t="shared" si="2438"/>
        <v>8290</v>
      </c>
      <c r="E14847" s="2">
        <f t="shared" si="2439"/>
        <v>43282</v>
      </c>
      <c r="F14847" s="2">
        <f t="shared" si="2440"/>
        <v>45838</v>
      </c>
    </row>
    <row r="14848" spans="1:6" x14ac:dyDescent="0.25">
      <c r="A14848" s="1" t="s">
        <v>1010</v>
      </c>
      <c r="B14848" s="1" t="s">
        <v>1009</v>
      </c>
      <c r="C14848" s="1" t="s">
        <v>146</v>
      </c>
      <c r="D14848" s="3">
        <f t="shared" si="2438"/>
        <v>8290</v>
      </c>
      <c r="E14848" s="2">
        <f t="shared" si="2439"/>
        <v>43282</v>
      </c>
      <c r="F14848" s="2">
        <f t="shared" si="2440"/>
        <v>45838</v>
      </c>
    </row>
    <row r="14849" spans="1:6" x14ac:dyDescent="0.25">
      <c r="A14849" s="1" t="s">
        <v>1010</v>
      </c>
      <c r="B14849" s="1" t="s">
        <v>1009</v>
      </c>
      <c r="C14849" s="1" t="s">
        <v>67</v>
      </c>
      <c r="D14849" s="3">
        <f t="shared" si="2438"/>
        <v>8290</v>
      </c>
      <c r="E14849" s="2">
        <f t="shared" si="2439"/>
        <v>43282</v>
      </c>
      <c r="F14849" s="2">
        <f t="shared" si="2440"/>
        <v>45838</v>
      </c>
    </row>
    <row r="14850" spans="1:6" x14ac:dyDescent="0.25">
      <c r="A14850" s="1" t="s">
        <v>1010</v>
      </c>
      <c r="B14850" s="1" t="s">
        <v>1009</v>
      </c>
      <c r="C14850" s="1" t="s">
        <v>148</v>
      </c>
      <c r="D14850" s="3">
        <f t="shared" si="2438"/>
        <v>8290</v>
      </c>
      <c r="E14850" s="2">
        <f t="shared" si="2439"/>
        <v>43282</v>
      </c>
      <c r="F14850" s="2">
        <f t="shared" si="2440"/>
        <v>45838</v>
      </c>
    </row>
    <row r="14851" spans="1:6" x14ac:dyDescent="0.25">
      <c r="A14851" s="1" t="s">
        <v>1010</v>
      </c>
      <c r="B14851" s="1" t="s">
        <v>1009</v>
      </c>
      <c r="C14851" s="1" t="s">
        <v>149</v>
      </c>
      <c r="D14851" s="3">
        <f t="shared" si="2438"/>
        <v>8290</v>
      </c>
      <c r="E14851" s="2">
        <f t="shared" si="2439"/>
        <v>43282</v>
      </c>
      <c r="F14851" s="2">
        <f t="shared" si="2440"/>
        <v>45838</v>
      </c>
    </row>
    <row r="14852" spans="1:6" x14ac:dyDescent="0.25">
      <c r="A14852" s="1" t="s">
        <v>1010</v>
      </c>
      <c r="B14852" s="1" t="s">
        <v>1009</v>
      </c>
      <c r="C14852" s="1" t="s">
        <v>472</v>
      </c>
      <c r="D14852" s="3">
        <f t="shared" si="2438"/>
        <v>8290</v>
      </c>
      <c r="E14852" s="2">
        <f t="shared" si="2439"/>
        <v>43282</v>
      </c>
      <c r="F14852" s="2">
        <f t="shared" si="2440"/>
        <v>45838</v>
      </c>
    </row>
    <row r="14853" spans="1:6" x14ac:dyDescent="0.25">
      <c r="A14853" s="1" t="s">
        <v>1010</v>
      </c>
      <c r="B14853" s="1" t="s">
        <v>1009</v>
      </c>
      <c r="C14853" s="1" t="s">
        <v>92</v>
      </c>
      <c r="D14853" s="3">
        <f t="shared" si="2438"/>
        <v>8290</v>
      </c>
      <c r="E14853" s="2">
        <f t="shared" si="2439"/>
        <v>43282</v>
      </c>
      <c r="F14853" s="2">
        <f t="shared" si="2440"/>
        <v>45838</v>
      </c>
    </row>
    <row r="14854" spans="1:6" x14ac:dyDescent="0.25">
      <c r="A14854" s="1" t="s">
        <v>1010</v>
      </c>
      <c r="B14854" s="1" t="s">
        <v>1009</v>
      </c>
      <c r="C14854" s="1" t="s">
        <v>155</v>
      </c>
      <c r="D14854" s="3">
        <f t="shared" si="2438"/>
        <v>8290</v>
      </c>
      <c r="E14854" s="2">
        <f t="shared" si="2439"/>
        <v>43282</v>
      </c>
      <c r="F14854" s="2">
        <f t="shared" si="2440"/>
        <v>45838</v>
      </c>
    </row>
    <row r="14855" spans="1:6" x14ac:dyDescent="0.25">
      <c r="A14855" s="1" t="s">
        <v>1010</v>
      </c>
      <c r="B14855" s="1" t="s">
        <v>1009</v>
      </c>
      <c r="C14855" s="1" t="s">
        <v>475</v>
      </c>
      <c r="D14855" s="3">
        <f t="shared" si="2438"/>
        <v>8290</v>
      </c>
      <c r="E14855" s="2">
        <f t="shared" si="2439"/>
        <v>43282</v>
      </c>
      <c r="F14855" s="2">
        <f t="shared" si="2440"/>
        <v>45838</v>
      </c>
    </row>
    <row r="14856" spans="1:6" x14ac:dyDescent="0.25">
      <c r="A14856" s="1" t="s">
        <v>1010</v>
      </c>
      <c r="B14856" s="1" t="s">
        <v>1009</v>
      </c>
      <c r="C14856" s="1" t="s">
        <v>50</v>
      </c>
      <c r="D14856" s="3">
        <f t="shared" si="2438"/>
        <v>8290</v>
      </c>
      <c r="E14856" s="2">
        <f t="shared" si="2439"/>
        <v>43282</v>
      </c>
      <c r="F14856" s="2">
        <f t="shared" si="2440"/>
        <v>45838</v>
      </c>
    </row>
    <row r="14857" spans="1:6" x14ac:dyDescent="0.25">
      <c r="A14857" s="1" t="s">
        <v>1010</v>
      </c>
      <c r="B14857" s="1" t="s">
        <v>1009</v>
      </c>
      <c r="C14857" s="1" t="s">
        <v>206</v>
      </c>
      <c r="D14857" s="3">
        <f t="shared" si="2438"/>
        <v>8290</v>
      </c>
      <c r="E14857" s="2">
        <f t="shared" si="2439"/>
        <v>43282</v>
      </c>
      <c r="F14857" s="2">
        <f t="shared" si="2440"/>
        <v>45838</v>
      </c>
    </row>
    <row r="14858" spans="1:6" x14ac:dyDescent="0.25">
      <c r="A14858" s="1" t="s">
        <v>1010</v>
      </c>
      <c r="B14858" s="1" t="s">
        <v>1009</v>
      </c>
      <c r="C14858" s="1" t="s">
        <v>73</v>
      </c>
      <c r="D14858" s="3">
        <f t="shared" si="2438"/>
        <v>8290</v>
      </c>
      <c r="E14858" s="2">
        <f t="shared" si="2439"/>
        <v>43282</v>
      </c>
      <c r="F14858" s="2">
        <f t="shared" si="2440"/>
        <v>45838</v>
      </c>
    </row>
    <row r="14859" spans="1:6" x14ac:dyDescent="0.25">
      <c r="A14859" s="1" t="s">
        <v>1010</v>
      </c>
      <c r="B14859" s="1" t="s">
        <v>1009</v>
      </c>
      <c r="C14859" s="1" t="s">
        <v>162</v>
      </c>
      <c r="D14859" s="3">
        <f t="shared" si="2438"/>
        <v>8290</v>
      </c>
      <c r="E14859" s="2">
        <f t="shared" si="2439"/>
        <v>43282</v>
      </c>
      <c r="F14859" s="2">
        <f t="shared" si="2440"/>
        <v>45838</v>
      </c>
    </row>
    <row r="14860" spans="1:6" x14ac:dyDescent="0.25">
      <c r="A14860" s="1" t="s">
        <v>1010</v>
      </c>
      <c r="B14860" s="1" t="s">
        <v>1009</v>
      </c>
      <c r="C14860" s="1" t="s">
        <v>170</v>
      </c>
      <c r="D14860" s="3">
        <f t="shared" si="2438"/>
        <v>8290</v>
      </c>
      <c r="E14860" s="2">
        <f t="shared" si="2439"/>
        <v>43282</v>
      </c>
      <c r="F14860" s="2">
        <f t="shared" si="2440"/>
        <v>45838</v>
      </c>
    </row>
    <row r="14861" spans="1:6" x14ac:dyDescent="0.25">
      <c r="A14861" s="1" t="s">
        <v>1010</v>
      </c>
      <c r="B14861" s="1" t="s">
        <v>939</v>
      </c>
      <c r="C14861" s="1" t="s">
        <v>61</v>
      </c>
      <c r="D14861" s="3">
        <f t="shared" ref="D14861:D14873" si="2441">VALUE("7810")</f>
        <v>7810</v>
      </c>
      <c r="E14861" s="2">
        <f t="shared" ref="E14861:E14873" si="2442">DATEVALUE("1-1-2016")</f>
        <v>42370</v>
      </c>
      <c r="F14861" s="2">
        <f t="shared" ref="F14861:F14873" si="2443">DATEVALUE("31-12-2017")</f>
        <v>43100</v>
      </c>
    </row>
    <row r="14862" spans="1:6" x14ac:dyDescent="0.25">
      <c r="A14862" s="1" t="s">
        <v>1010</v>
      </c>
      <c r="B14862" s="1" t="s">
        <v>939</v>
      </c>
      <c r="C14862" s="1" t="s">
        <v>62</v>
      </c>
      <c r="D14862" s="3">
        <f t="shared" si="2441"/>
        <v>7810</v>
      </c>
      <c r="E14862" s="2">
        <f t="shared" si="2442"/>
        <v>42370</v>
      </c>
      <c r="F14862" s="2">
        <f t="shared" si="2443"/>
        <v>43100</v>
      </c>
    </row>
    <row r="14863" spans="1:6" x14ac:dyDescent="0.25">
      <c r="A14863" s="1" t="s">
        <v>1010</v>
      </c>
      <c r="B14863" s="1" t="s">
        <v>939</v>
      </c>
      <c r="C14863" s="1" t="s">
        <v>415</v>
      </c>
      <c r="D14863" s="3">
        <f t="shared" si="2441"/>
        <v>7810</v>
      </c>
      <c r="E14863" s="2">
        <f t="shared" si="2442"/>
        <v>42370</v>
      </c>
      <c r="F14863" s="2">
        <f t="shared" si="2443"/>
        <v>43100</v>
      </c>
    </row>
    <row r="14864" spans="1:6" x14ac:dyDescent="0.25">
      <c r="A14864" s="1" t="s">
        <v>1010</v>
      </c>
      <c r="B14864" s="1" t="s">
        <v>939</v>
      </c>
      <c r="C14864" s="1" t="s">
        <v>65</v>
      </c>
      <c r="D14864" s="3">
        <f t="shared" si="2441"/>
        <v>7810</v>
      </c>
      <c r="E14864" s="2">
        <f t="shared" si="2442"/>
        <v>42370</v>
      </c>
      <c r="F14864" s="2">
        <f t="shared" si="2443"/>
        <v>43100</v>
      </c>
    </row>
    <row r="14865" spans="1:6" x14ac:dyDescent="0.25">
      <c r="A14865" s="1" t="s">
        <v>1010</v>
      </c>
      <c r="B14865" s="1" t="s">
        <v>939</v>
      </c>
      <c r="C14865" s="1" t="s">
        <v>66</v>
      </c>
      <c r="D14865" s="3">
        <f t="shared" si="2441"/>
        <v>7810</v>
      </c>
      <c r="E14865" s="2">
        <f t="shared" si="2442"/>
        <v>42370</v>
      </c>
      <c r="F14865" s="2">
        <f t="shared" si="2443"/>
        <v>43100</v>
      </c>
    </row>
    <row r="14866" spans="1:6" x14ac:dyDescent="0.25">
      <c r="A14866" s="1" t="s">
        <v>1010</v>
      </c>
      <c r="B14866" s="1" t="s">
        <v>939</v>
      </c>
      <c r="C14866" s="1" t="s">
        <v>17</v>
      </c>
      <c r="D14866" s="3">
        <f t="shared" si="2441"/>
        <v>7810</v>
      </c>
      <c r="E14866" s="2">
        <f t="shared" si="2442"/>
        <v>42370</v>
      </c>
      <c r="F14866" s="2">
        <f t="shared" si="2443"/>
        <v>43100</v>
      </c>
    </row>
    <row r="14867" spans="1:6" x14ac:dyDescent="0.25">
      <c r="A14867" s="1" t="s">
        <v>1010</v>
      </c>
      <c r="B14867" s="1" t="s">
        <v>939</v>
      </c>
      <c r="C14867" s="1" t="s">
        <v>22</v>
      </c>
      <c r="D14867" s="3">
        <f t="shared" si="2441"/>
        <v>7810</v>
      </c>
      <c r="E14867" s="2">
        <f t="shared" si="2442"/>
        <v>42370</v>
      </c>
      <c r="F14867" s="2">
        <f t="shared" si="2443"/>
        <v>43100</v>
      </c>
    </row>
    <row r="14868" spans="1:6" x14ac:dyDescent="0.25">
      <c r="A14868" s="1" t="s">
        <v>1010</v>
      </c>
      <c r="B14868" s="1" t="s">
        <v>939</v>
      </c>
      <c r="C14868" s="1" t="s">
        <v>92</v>
      </c>
      <c r="D14868" s="3">
        <f t="shared" si="2441"/>
        <v>7810</v>
      </c>
      <c r="E14868" s="2">
        <f t="shared" si="2442"/>
        <v>42370</v>
      </c>
      <c r="F14868" s="2">
        <f t="shared" si="2443"/>
        <v>43100</v>
      </c>
    </row>
    <row r="14869" spans="1:6" x14ac:dyDescent="0.25">
      <c r="A14869" s="1" t="s">
        <v>1010</v>
      </c>
      <c r="B14869" s="1" t="s">
        <v>939</v>
      </c>
      <c r="C14869" s="1" t="s">
        <v>50</v>
      </c>
      <c r="D14869" s="3">
        <f t="shared" si="2441"/>
        <v>7810</v>
      </c>
      <c r="E14869" s="2">
        <f t="shared" si="2442"/>
        <v>42370</v>
      </c>
      <c r="F14869" s="2">
        <f t="shared" si="2443"/>
        <v>43100</v>
      </c>
    </row>
    <row r="14870" spans="1:6" x14ac:dyDescent="0.25">
      <c r="A14870" s="1" t="s">
        <v>1010</v>
      </c>
      <c r="B14870" s="1" t="s">
        <v>939</v>
      </c>
      <c r="C14870" s="1" t="s">
        <v>70</v>
      </c>
      <c r="D14870" s="3">
        <f t="shared" si="2441"/>
        <v>7810</v>
      </c>
      <c r="E14870" s="2">
        <f t="shared" si="2442"/>
        <v>42370</v>
      </c>
      <c r="F14870" s="2">
        <f t="shared" si="2443"/>
        <v>43100</v>
      </c>
    </row>
    <row r="14871" spans="1:6" x14ac:dyDescent="0.25">
      <c r="A14871" s="1" t="s">
        <v>1010</v>
      </c>
      <c r="B14871" s="1" t="s">
        <v>939</v>
      </c>
      <c r="C14871" s="1" t="s">
        <v>72</v>
      </c>
      <c r="D14871" s="3">
        <f t="shared" si="2441"/>
        <v>7810</v>
      </c>
      <c r="E14871" s="2">
        <f t="shared" si="2442"/>
        <v>42370</v>
      </c>
      <c r="F14871" s="2">
        <f t="shared" si="2443"/>
        <v>43100</v>
      </c>
    </row>
    <row r="14872" spans="1:6" x14ac:dyDescent="0.25">
      <c r="A14872" s="1" t="s">
        <v>1010</v>
      </c>
      <c r="B14872" s="1" t="s">
        <v>939</v>
      </c>
      <c r="C14872" s="1" t="s">
        <v>73</v>
      </c>
      <c r="D14872" s="3">
        <f t="shared" si="2441"/>
        <v>7810</v>
      </c>
      <c r="E14872" s="2">
        <f t="shared" si="2442"/>
        <v>42370</v>
      </c>
      <c r="F14872" s="2">
        <f t="shared" si="2443"/>
        <v>43100</v>
      </c>
    </row>
    <row r="14873" spans="1:6" x14ac:dyDescent="0.25">
      <c r="A14873" s="1" t="s">
        <v>1010</v>
      </c>
      <c r="B14873" s="1" t="s">
        <v>939</v>
      </c>
      <c r="C14873" s="1" t="s">
        <v>52</v>
      </c>
      <c r="D14873" s="3">
        <f t="shared" si="2441"/>
        <v>7810</v>
      </c>
      <c r="E14873" s="2">
        <f t="shared" si="2442"/>
        <v>42370</v>
      </c>
      <c r="F14873" s="2">
        <f t="shared" si="2443"/>
        <v>43100</v>
      </c>
    </row>
    <row r="14874" spans="1:6" x14ac:dyDescent="0.25">
      <c r="A14874" s="1" t="s">
        <v>406</v>
      </c>
      <c r="B14874" s="1" t="s">
        <v>2413</v>
      </c>
      <c r="C14874" s="1" t="s">
        <v>63</v>
      </c>
      <c r="D14874" s="3">
        <f t="shared" ref="D14874:D14882" si="2444">VALUE("8404")</f>
        <v>8404</v>
      </c>
      <c r="E14874" s="2">
        <f t="shared" ref="E14874:E14882" si="2445">DATEVALUE("1-5-2019")</f>
        <v>43586</v>
      </c>
      <c r="F14874" s="2">
        <f t="shared" ref="F14874:F14882" si="2446">DATEVALUE("31-10-2019")</f>
        <v>43769</v>
      </c>
    </row>
    <row r="14875" spans="1:6" x14ac:dyDescent="0.25">
      <c r="A14875" s="1" t="s">
        <v>406</v>
      </c>
      <c r="B14875" s="1" t="s">
        <v>2413</v>
      </c>
      <c r="C14875" s="1" t="s">
        <v>291</v>
      </c>
      <c r="D14875" s="3">
        <f t="shared" si="2444"/>
        <v>8404</v>
      </c>
      <c r="E14875" s="2">
        <f t="shared" si="2445"/>
        <v>43586</v>
      </c>
      <c r="F14875" s="2">
        <f t="shared" si="2446"/>
        <v>43769</v>
      </c>
    </row>
    <row r="14876" spans="1:6" x14ac:dyDescent="0.25">
      <c r="A14876" s="1" t="s">
        <v>406</v>
      </c>
      <c r="B14876" s="1" t="s">
        <v>2413</v>
      </c>
      <c r="C14876" s="1" t="s">
        <v>417</v>
      </c>
      <c r="D14876" s="3">
        <f t="shared" si="2444"/>
        <v>8404</v>
      </c>
      <c r="E14876" s="2">
        <f t="shared" si="2445"/>
        <v>43586</v>
      </c>
      <c r="F14876" s="2">
        <f t="shared" si="2446"/>
        <v>43769</v>
      </c>
    </row>
    <row r="14877" spans="1:6" x14ac:dyDescent="0.25">
      <c r="A14877" s="1" t="s">
        <v>406</v>
      </c>
      <c r="B14877" s="1" t="s">
        <v>2413</v>
      </c>
      <c r="C14877" s="1" t="s">
        <v>144</v>
      </c>
      <c r="D14877" s="3">
        <f t="shared" si="2444"/>
        <v>8404</v>
      </c>
      <c r="E14877" s="2">
        <f t="shared" si="2445"/>
        <v>43586</v>
      </c>
      <c r="F14877" s="2">
        <f t="shared" si="2446"/>
        <v>43769</v>
      </c>
    </row>
    <row r="14878" spans="1:6" x14ac:dyDescent="0.25">
      <c r="A14878" s="1" t="s">
        <v>406</v>
      </c>
      <c r="B14878" s="1" t="s">
        <v>2413</v>
      </c>
      <c r="C14878" s="1" t="s">
        <v>330</v>
      </c>
      <c r="D14878" s="3">
        <f t="shared" si="2444"/>
        <v>8404</v>
      </c>
      <c r="E14878" s="2">
        <f t="shared" si="2445"/>
        <v>43586</v>
      </c>
      <c r="F14878" s="2">
        <f t="shared" si="2446"/>
        <v>43769</v>
      </c>
    </row>
    <row r="14879" spans="1:6" x14ac:dyDescent="0.25">
      <c r="A14879" s="1" t="s">
        <v>406</v>
      </c>
      <c r="B14879" s="1" t="s">
        <v>2413</v>
      </c>
      <c r="C14879" s="1" t="s">
        <v>331</v>
      </c>
      <c r="D14879" s="3">
        <f t="shared" si="2444"/>
        <v>8404</v>
      </c>
      <c r="E14879" s="2">
        <f t="shared" si="2445"/>
        <v>43586</v>
      </c>
      <c r="F14879" s="2">
        <f t="shared" si="2446"/>
        <v>43769</v>
      </c>
    </row>
    <row r="14880" spans="1:6" x14ac:dyDescent="0.25">
      <c r="A14880" s="1" t="s">
        <v>406</v>
      </c>
      <c r="B14880" s="1" t="s">
        <v>2413</v>
      </c>
      <c r="C14880" s="1" t="s">
        <v>50</v>
      </c>
      <c r="D14880" s="3">
        <f t="shared" si="2444"/>
        <v>8404</v>
      </c>
      <c r="E14880" s="2">
        <f t="shared" si="2445"/>
        <v>43586</v>
      </c>
      <c r="F14880" s="2">
        <f t="shared" si="2446"/>
        <v>43769</v>
      </c>
    </row>
    <row r="14881" spans="1:6" x14ac:dyDescent="0.25">
      <c r="A14881" s="1" t="s">
        <v>406</v>
      </c>
      <c r="B14881" s="1" t="s">
        <v>2413</v>
      </c>
      <c r="C14881" s="1" t="s">
        <v>333</v>
      </c>
      <c r="D14881" s="3">
        <f t="shared" si="2444"/>
        <v>8404</v>
      </c>
      <c r="E14881" s="2">
        <f t="shared" si="2445"/>
        <v>43586</v>
      </c>
      <c r="F14881" s="2">
        <f t="shared" si="2446"/>
        <v>43769</v>
      </c>
    </row>
    <row r="14882" spans="1:6" x14ac:dyDescent="0.25">
      <c r="A14882" s="1" t="s">
        <v>406</v>
      </c>
      <c r="B14882" s="1" t="s">
        <v>2413</v>
      </c>
      <c r="C14882" s="1" t="s">
        <v>185</v>
      </c>
      <c r="D14882" s="3">
        <f t="shared" si="2444"/>
        <v>8404</v>
      </c>
      <c r="E14882" s="2">
        <f t="shared" si="2445"/>
        <v>43586</v>
      </c>
      <c r="F14882" s="2">
        <f t="shared" si="2446"/>
        <v>43769</v>
      </c>
    </row>
    <row r="14883" spans="1:6" x14ac:dyDescent="0.25">
      <c r="A14883" s="1" t="s">
        <v>406</v>
      </c>
      <c r="B14883" s="1" t="s">
        <v>405</v>
      </c>
      <c r="C14883" s="1" t="s">
        <v>7</v>
      </c>
      <c r="D14883" s="3">
        <f t="shared" ref="D14883:D14914" si="2447">VALUE("7614")</f>
        <v>7614</v>
      </c>
      <c r="E14883" s="2">
        <f t="shared" ref="E14883:E14914" si="2448">DATEVALUE("1-9-2014")</f>
        <v>41883</v>
      </c>
      <c r="F14883" s="2">
        <f t="shared" ref="F14883:F14914" si="2449">DATEVALUE("30-9-2020")</f>
        <v>44104</v>
      </c>
    </row>
    <row r="14884" spans="1:6" x14ac:dyDescent="0.25">
      <c r="A14884" s="1" t="s">
        <v>406</v>
      </c>
      <c r="B14884" s="1" t="s">
        <v>405</v>
      </c>
      <c r="C14884" s="1" t="s">
        <v>407</v>
      </c>
      <c r="D14884" s="3">
        <f t="shared" si="2447"/>
        <v>7614</v>
      </c>
      <c r="E14884" s="2">
        <f t="shared" si="2448"/>
        <v>41883</v>
      </c>
      <c r="F14884" s="2">
        <f t="shared" si="2449"/>
        <v>44104</v>
      </c>
    </row>
    <row r="14885" spans="1:6" x14ac:dyDescent="0.25">
      <c r="A14885" s="1" t="s">
        <v>406</v>
      </c>
      <c r="B14885" s="1" t="s">
        <v>405</v>
      </c>
      <c r="C14885" s="1" t="s">
        <v>79</v>
      </c>
      <c r="D14885" s="3">
        <f t="shared" si="2447"/>
        <v>7614</v>
      </c>
      <c r="E14885" s="2">
        <f t="shared" si="2448"/>
        <v>41883</v>
      </c>
      <c r="F14885" s="2">
        <f t="shared" si="2449"/>
        <v>44104</v>
      </c>
    </row>
    <row r="14886" spans="1:6" x14ac:dyDescent="0.25">
      <c r="A14886" s="1" t="s">
        <v>406</v>
      </c>
      <c r="B14886" s="1" t="s">
        <v>405</v>
      </c>
      <c r="C14886" s="1" t="s">
        <v>361</v>
      </c>
      <c r="D14886" s="3">
        <f t="shared" si="2447"/>
        <v>7614</v>
      </c>
      <c r="E14886" s="2">
        <f t="shared" si="2448"/>
        <v>41883</v>
      </c>
      <c r="F14886" s="2">
        <f t="shared" si="2449"/>
        <v>44104</v>
      </c>
    </row>
    <row r="14887" spans="1:6" x14ac:dyDescent="0.25">
      <c r="A14887" s="1" t="s">
        <v>406</v>
      </c>
      <c r="B14887" s="1" t="s">
        <v>405</v>
      </c>
      <c r="C14887" s="1" t="s">
        <v>39</v>
      </c>
      <c r="D14887" s="3">
        <f t="shared" si="2447"/>
        <v>7614</v>
      </c>
      <c r="E14887" s="2">
        <f t="shared" si="2448"/>
        <v>41883</v>
      </c>
      <c r="F14887" s="2">
        <f t="shared" si="2449"/>
        <v>44104</v>
      </c>
    </row>
    <row r="14888" spans="1:6" x14ac:dyDescent="0.25">
      <c r="A14888" s="1" t="s">
        <v>406</v>
      </c>
      <c r="B14888" s="1" t="s">
        <v>405</v>
      </c>
      <c r="C14888" s="1" t="s">
        <v>408</v>
      </c>
      <c r="D14888" s="3">
        <f t="shared" si="2447"/>
        <v>7614</v>
      </c>
      <c r="E14888" s="2">
        <f t="shared" si="2448"/>
        <v>41883</v>
      </c>
      <c r="F14888" s="2">
        <f t="shared" si="2449"/>
        <v>44104</v>
      </c>
    </row>
    <row r="14889" spans="1:6" x14ac:dyDescent="0.25">
      <c r="A14889" s="1" t="s">
        <v>406</v>
      </c>
      <c r="B14889" s="1" t="s">
        <v>405</v>
      </c>
      <c r="C14889" s="1" t="s">
        <v>42</v>
      </c>
      <c r="D14889" s="3">
        <f t="shared" si="2447"/>
        <v>7614</v>
      </c>
      <c r="E14889" s="2">
        <f t="shared" si="2448"/>
        <v>41883</v>
      </c>
      <c r="F14889" s="2">
        <f t="shared" si="2449"/>
        <v>44104</v>
      </c>
    </row>
    <row r="14890" spans="1:6" x14ac:dyDescent="0.25">
      <c r="A14890" s="1" t="s">
        <v>406</v>
      </c>
      <c r="B14890" s="1" t="s">
        <v>405</v>
      </c>
      <c r="C14890" s="1" t="s">
        <v>409</v>
      </c>
      <c r="D14890" s="3">
        <f t="shared" si="2447"/>
        <v>7614</v>
      </c>
      <c r="E14890" s="2">
        <f t="shared" si="2448"/>
        <v>41883</v>
      </c>
      <c r="F14890" s="2">
        <f t="shared" si="2449"/>
        <v>44104</v>
      </c>
    </row>
    <row r="14891" spans="1:6" x14ac:dyDescent="0.25">
      <c r="A14891" s="1" t="s">
        <v>406</v>
      </c>
      <c r="B14891" s="1" t="s">
        <v>405</v>
      </c>
      <c r="C14891" s="1" t="s">
        <v>8</v>
      </c>
      <c r="D14891" s="3">
        <f t="shared" si="2447"/>
        <v>7614</v>
      </c>
      <c r="E14891" s="2">
        <f t="shared" si="2448"/>
        <v>41883</v>
      </c>
      <c r="F14891" s="2">
        <f t="shared" si="2449"/>
        <v>44104</v>
      </c>
    </row>
    <row r="14892" spans="1:6" x14ac:dyDescent="0.25">
      <c r="A14892" s="1" t="s">
        <v>406</v>
      </c>
      <c r="B14892" s="1" t="s">
        <v>405</v>
      </c>
      <c r="C14892" s="1" t="s">
        <v>410</v>
      </c>
      <c r="D14892" s="3">
        <f t="shared" si="2447"/>
        <v>7614</v>
      </c>
      <c r="E14892" s="2">
        <f t="shared" si="2448"/>
        <v>41883</v>
      </c>
      <c r="F14892" s="2">
        <f t="shared" si="2449"/>
        <v>44104</v>
      </c>
    </row>
    <row r="14893" spans="1:6" x14ac:dyDescent="0.25">
      <c r="A14893" s="1" t="s">
        <v>406</v>
      </c>
      <c r="B14893" s="1" t="s">
        <v>405</v>
      </c>
      <c r="C14893" s="1" t="s">
        <v>10</v>
      </c>
      <c r="D14893" s="3">
        <f t="shared" si="2447"/>
        <v>7614</v>
      </c>
      <c r="E14893" s="2">
        <f t="shared" si="2448"/>
        <v>41883</v>
      </c>
      <c r="F14893" s="2">
        <f t="shared" si="2449"/>
        <v>44104</v>
      </c>
    </row>
    <row r="14894" spans="1:6" x14ac:dyDescent="0.25">
      <c r="A14894" s="1" t="s">
        <v>406</v>
      </c>
      <c r="B14894" s="1" t="s">
        <v>405</v>
      </c>
      <c r="C14894" s="1" t="s">
        <v>61</v>
      </c>
      <c r="D14894" s="3">
        <f t="shared" si="2447"/>
        <v>7614</v>
      </c>
      <c r="E14894" s="2">
        <f t="shared" si="2448"/>
        <v>41883</v>
      </c>
      <c r="F14894" s="2">
        <f t="shared" si="2449"/>
        <v>44104</v>
      </c>
    </row>
    <row r="14895" spans="1:6" x14ac:dyDescent="0.25">
      <c r="A14895" s="1" t="s">
        <v>406</v>
      </c>
      <c r="B14895" s="1" t="s">
        <v>405</v>
      </c>
      <c r="C14895" s="1" t="s">
        <v>411</v>
      </c>
      <c r="D14895" s="3">
        <f t="shared" si="2447"/>
        <v>7614</v>
      </c>
      <c r="E14895" s="2">
        <f t="shared" si="2448"/>
        <v>41883</v>
      </c>
      <c r="F14895" s="2">
        <f t="shared" si="2449"/>
        <v>44104</v>
      </c>
    </row>
    <row r="14896" spans="1:6" x14ac:dyDescent="0.25">
      <c r="A14896" s="1" t="s">
        <v>406</v>
      </c>
      <c r="B14896" s="1" t="s">
        <v>405</v>
      </c>
      <c r="C14896" s="1" t="s">
        <v>43</v>
      </c>
      <c r="D14896" s="3">
        <f t="shared" si="2447"/>
        <v>7614</v>
      </c>
      <c r="E14896" s="2">
        <f t="shared" si="2448"/>
        <v>41883</v>
      </c>
      <c r="F14896" s="2">
        <f t="shared" si="2449"/>
        <v>44104</v>
      </c>
    </row>
    <row r="14897" spans="1:6" x14ac:dyDescent="0.25">
      <c r="A14897" s="1" t="s">
        <v>406</v>
      </c>
      <c r="B14897" s="1" t="s">
        <v>405</v>
      </c>
      <c r="C14897" s="1" t="s">
        <v>412</v>
      </c>
      <c r="D14897" s="3">
        <f t="shared" si="2447"/>
        <v>7614</v>
      </c>
      <c r="E14897" s="2">
        <f t="shared" si="2448"/>
        <v>41883</v>
      </c>
      <c r="F14897" s="2">
        <f t="shared" si="2449"/>
        <v>44104</v>
      </c>
    </row>
    <row r="14898" spans="1:6" x14ac:dyDescent="0.25">
      <c r="A14898" s="1" t="s">
        <v>406</v>
      </c>
      <c r="B14898" s="1" t="s">
        <v>405</v>
      </c>
      <c r="C14898" s="1" t="s">
        <v>413</v>
      </c>
      <c r="D14898" s="3">
        <f t="shared" si="2447"/>
        <v>7614</v>
      </c>
      <c r="E14898" s="2">
        <f t="shared" si="2448"/>
        <v>41883</v>
      </c>
      <c r="F14898" s="2">
        <f t="shared" si="2449"/>
        <v>44104</v>
      </c>
    </row>
    <row r="14899" spans="1:6" x14ac:dyDescent="0.25">
      <c r="A14899" s="1" t="s">
        <v>406</v>
      </c>
      <c r="B14899" s="1" t="s">
        <v>405</v>
      </c>
      <c r="C14899" s="1" t="s">
        <v>184</v>
      </c>
      <c r="D14899" s="3">
        <f t="shared" si="2447"/>
        <v>7614</v>
      </c>
      <c r="E14899" s="2">
        <f t="shared" si="2448"/>
        <v>41883</v>
      </c>
      <c r="F14899" s="2">
        <f t="shared" si="2449"/>
        <v>44104</v>
      </c>
    </row>
    <row r="14900" spans="1:6" x14ac:dyDescent="0.25">
      <c r="A14900" s="1" t="s">
        <v>406</v>
      </c>
      <c r="B14900" s="1" t="s">
        <v>405</v>
      </c>
      <c r="C14900" s="1" t="s">
        <v>62</v>
      </c>
      <c r="D14900" s="3">
        <f t="shared" si="2447"/>
        <v>7614</v>
      </c>
      <c r="E14900" s="2">
        <f t="shared" si="2448"/>
        <v>41883</v>
      </c>
      <c r="F14900" s="2">
        <f t="shared" si="2449"/>
        <v>44104</v>
      </c>
    </row>
    <row r="14901" spans="1:6" x14ac:dyDescent="0.25">
      <c r="A14901" s="1" t="s">
        <v>406</v>
      </c>
      <c r="B14901" s="1" t="s">
        <v>405</v>
      </c>
      <c r="C14901" s="1" t="s">
        <v>63</v>
      </c>
      <c r="D14901" s="3">
        <f t="shared" si="2447"/>
        <v>7614</v>
      </c>
      <c r="E14901" s="2">
        <f t="shared" si="2448"/>
        <v>41883</v>
      </c>
      <c r="F14901" s="2">
        <f t="shared" si="2449"/>
        <v>44104</v>
      </c>
    </row>
    <row r="14902" spans="1:6" x14ac:dyDescent="0.25">
      <c r="A14902" s="1" t="s">
        <v>406</v>
      </c>
      <c r="B14902" s="1" t="s">
        <v>405</v>
      </c>
      <c r="C14902" s="1" t="s">
        <v>414</v>
      </c>
      <c r="D14902" s="3">
        <f t="shared" si="2447"/>
        <v>7614</v>
      </c>
      <c r="E14902" s="2">
        <f t="shared" si="2448"/>
        <v>41883</v>
      </c>
      <c r="F14902" s="2">
        <f t="shared" si="2449"/>
        <v>44104</v>
      </c>
    </row>
    <row r="14903" spans="1:6" x14ac:dyDescent="0.25">
      <c r="A14903" s="1" t="s">
        <v>406</v>
      </c>
      <c r="B14903" s="1" t="s">
        <v>405</v>
      </c>
      <c r="C14903" s="1" t="s">
        <v>45</v>
      </c>
      <c r="D14903" s="3">
        <f t="shared" si="2447"/>
        <v>7614</v>
      </c>
      <c r="E14903" s="2">
        <f t="shared" si="2448"/>
        <v>41883</v>
      </c>
      <c r="F14903" s="2">
        <f t="shared" si="2449"/>
        <v>44104</v>
      </c>
    </row>
    <row r="14904" spans="1:6" x14ac:dyDescent="0.25">
      <c r="A14904" s="1" t="s">
        <v>406</v>
      </c>
      <c r="B14904" s="1" t="s">
        <v>405</v>
      </c>
      <c r="C14904" s="1" t="s">
        <v>44</v>
      </c>
      <c r="D14904" s="3">
        <f t="shared" si="2447"/>
        <v>7614</v>
      </c>
      <c r="E14904" s="2">
        <f t="shared" si="2448"/>
        <v>41883</v>
      </c>
      <c r="F14904" s="2">
        <f t="shared" si="2449"/>
        <v>44104</v>
      </c>
    </row>
    <row r="14905" spans="1:6" x14ac:dyDescent="0.25">
      <c r="A14905" s="1" t="s">
        <v>406</v>
      </c>
      <c r="B14905" s="1" t="s">
        <v>405</v>
      </c>
      <c r="C14905" s="1" t="s">
        <v>415</v>
      </c>
      <c r="D14905" s="3">
        <f t="shared" si="2447"/>
        <v>7614</v>
      </c>
      <c r="E14905" s="2">
        <f t="shared" si="2448"/>
        <v>41883</v>
      </c>
      <c r="F14905" s="2">
        <f t="shared" si="2449"/>
        <v>44104</v>
      </c>
    </row>
    <row r="14906" spans="1:6" x14ac:dyDescent="0.25">
      <c r="A14906" s="1" t="s">
        <v>406</v>
      </c>
      <c r="B14906" s="1" t="s">
        <v>405</v>
      </c>
      <c r="C14906" s="1" t="s">
        <v>416</v>
      </c>
      <c r="D14906" s="3">
        <f t="shared" si="2447"/>
        <v>7614</v>
      </c>
      <c r="E14906" s="2">
        <f t="shared" si="2448"/>
        <v>41883</v>
      </c>
      <c r="F14906" s="2">
        <f t="shared" si="2449"/>
        <v>44104</v>
      </c>
    </row>
    <row r="14907" spans="1:6" x14ac:dyDescent="0.25">
      <c r="A14907" s="1" t="s">
        <v>406</v>
      </c>
      <c r="B14907" s="1" t="s">
        <v>405</v>
      </c>
      <c r="C14907" s="1" t="s">
        <v>14</v>
      </c>
      <c r="D14907" s="3">
        <f t="shared" si="2447"/>
        <v>7614</v>
      </c>
      <c r="E14907" s="2">
        <f t="shared" si="2448"/>
        <v>41883</v>
      </c>
      <c r="F14907" s="2">
        <f t="shared" si="2449"/>
        <v>44104</v>
      </c>
    </row>
    <row r="14908" spans="1:6" x14ac:dyDescent="0.25">
      <c r="A14908" s="1" t="s">
        <v>406</v>
      </c>
      <c r="B14908" s="1" t="s">
        <v>405</v>
      </c>
      <c r="C14908" s="1" t="s">
        <v>66</v>
      </c>
      <c r="D14908" s="3">
        <f t="shared" si="2447"/>
        <v>7614</v>
      </c>
      <c r="E14908" s="2">
        <f t="shared" si="2448"/>
        <v>41883</v>
      </c>
      <c r="F14908" s="2">
        <f t="shared" si="2449"/>
        <v>44104</v>
      </c>
    </row>
    <row r="14909" spans="1:6" x14ac:dyDescent="0.25">
      <c r="A14909" s="1" t="s">
        <v>406</v>
      </c>
      <c r="B14909" s="1" t="s">
        <v>405</v>
      </c>
      <c r="C14909" s="1" t="s">
        <v>15</v>
      </c>
      <c r="D14909" s="3">
        <f t="shared" si="2447"/>
        <v>7614</v>
      </c>
      <c r="E14909" s="2">
        <f t="shared" si="2448"/>
        <v>41883</v>
      </c>
      <c r="F14909" s="2">
        <f t="shared" si="2449"/>
        <v>44104</v>
      </c>
    </row>
    <row r="14910" spans="1:6" x14ac:dyDescent="0.25">
      <c r="A14910" s="1" t="s">
        <v>406</v>
      </c>
      <c r="B14910" s="1" t="s">
        <v>405</v>
      </c>
      <c r="C14910" s="1" t="s">
        <v>16</v>
      </c>
      <c r="D14910" s="3">
        <f t="shared" si="2447"/>
        <v>7614</v>
      </c>
      <c r="E14910" s="2">
        <f t="shared" si="2448"/>
        <v>41883</v>
      </c>
      <c r="F14910" s="2">
        <f t="shared" si="2449"/>
        <v>44104</v>
      </c>
    </row>
    <row r="14911" spans="1:6" x14ac:dyDescent="0.25">
      <c r="A14911" s="1" t="s">
        <v>406</v>
      </c>
      <c r="B14911" s="1" t="s">
        <v>405</v>
      </c>
      <c r="C14911" s="1" t="s">
        <v>17</v>
      </c>
      <c r="D14911" s="3">
        <f t="shared" si="2447"/>
        <v>7614</v>
      </c>
      <c r="E14911" s="2">
        <f t="shared" si="2448"/>
        <v>41883</v>
      </c>
      <c r="F14911" s="2">
        <f t="shared" si="2449"/>
        <v>44104</v>
      </c>
    </row>
    <row r="14912" spans="1:6" x14ac:dyDescent="0.25">
      <c r="A14912" s="1" t="s">
        <v>406</v>
      </c>
      <c r="B14912" s="1" t="s">
        <v>405</v>
      </c>
      <c r="C14912" s="1" t="s">
        <v>20</v>
      </c>
      <c r="D14912" s="3">
        <f t="shared" si="2447"/>
        <v>7614</v>
      </c>
      <c r="E14912" s="2">
        <f t="shared" si="2448"/>
        <v>41883</v>
      </c>
      <c r="F14912" s="2">
        <f t="shared" si="2449"/>
        <v>44104</v>
      </c>
    </row>
    <row r="14913" spans="1:6" x14ac:dyDescent="0.25">
      <c r="A14913" s="1" t="s">
        <v>406</v>
      </c>
      <c r="B14913" s="1" t="s">
        <v>405</v>
      </c>
      <c r="C14913" s="1" t="s">
        <v>417</v>
      </c>
      <c r="D14913" s="3">
        <f t="shared" si="2447"/>
        <v>7614</v>
      </c>
      <c r="E14913" s="2">
        <f t="shared" si="2448"/>
        <v>41883</v>
      </c>
      <c r="F14913" s="2">
        <f t="shared" si="2449"/>
        <v>44104</v>
      </c>
    </row>
    <row r="14914" spans="1:6" x14ac:dyDescent="0.25">
      <c r="A14914" s="1" t="s">
        <v>406</v>
      </c>
      <c r="B14914" s="1" t="s">
        <v>405</v>
      </c>
      <c r="C14914" s="1" t="s">
        <v>418</v>
      </c>
      <c r="D14914" s="3">
        <f t="shared" si="2447"/>
        <v>7614</v>
      </c>
      <c r="E14914" s="2">
        <f t="shared" si="2448"/>
        <v>41883</v>
      </c>
      <c r="F14914" s="2">
        <f t="shared" si="2449"/>
        <v>44104</v>
      </c>
    </row>
    <row r="14915" spans="1:6" x14ac:dyDescent="0.25">
      <c r="A14915" s="1" t="s">
        <v>406</v>
      </c>
      <c r="B14915" s="1" t="s">
        <v>405</v>
      </c>
      <c r="C14915" s="1" t="s">
        <v>22</v>
      </c>
      <c r="D14915" s="3">
        <f t="shared" ref="D14915:D14951" si="2450">VALUE("7614")</f>
        <v>7614</v>
      </c>
      <c r="E14915" s="2">
        <f t="shared" ref="E14915:E14951" si="2451">DATEVALUE("1-9-2014")</f>
        <v>41883</v>
      </c>
      <c r="F14915" s="2">
        <f t="shared" ref="F14915:F14951" si="2452">DATEVALUE("30-9-2020")</f>
        <v>44104</v>
      </c>
    </row>
    <row r="14916" spans="1:6" x14ac:dyDescent="0.25">
      <c r="A14916" s="1" t="s">
        <v>406</v>
      </c>
      <c r="B14916" s="1" t="s">
        <v>405</v>
      </c>
      <c r="C14916" s="1" t="s">
        <v>146</v>
      </c>
      <c r="D14916" s="3">
        <f t="shared" si="2450"/>
        <v>7614</v>
      </c>
      <c r="E14916" s="2">
        <f t="shared" si="2451"/>
        <v>41883</v>
      </c>
      <c r="F14916" s="2">
        <f t="shared" si="2452"/>
        <v>44104</v>
      </c>
    </row>
    <row r="14917" spans="1:6" x14ac:dyDescent="0.25">
      <c r="A14917" s="1" t="s">
        <v>406</v>
      </c>
      <c r="B14917" s="1" t="s">
        <v>405</v>
      </c>
      <c r="C14917" s="1" t="s">
        <v>67</v>
      </c>
      <c r="D14917" s="3">
        <f t="shared" si="2450"/>
        <v>7614</v>
      </c>
      <c r="E14917" s="2">
        <f t="shared" si="2451"/>
        <v>41883</v>
      </c>
      <c r="F14917" s="2">
        <f t="shared" si="2452"/>
        <v>44104</v>
      </c>
    </row>
    <row r="14918" spans="1:6" x14ac:dyDescent="0.25">
      <c r="A14918" s="1" t="s">
        <v>406</v>
      </c>
      <c r="B14918" s="1" t="s">
        <v>405</v>
      </c>
      <c r="C14918" s="1" t="s">
        <v>384</v>
      </c>
      <c r="D14918" s="3">
        <f t="shared" si="2450"/>
        <v>7614</v>
      </c>
      <c r="E14918" s="2">
        <f t="shared" si="2451"/>
        <v>41883</v>
      </c>
      <c r="F14918" s="2">
        <f t="shared" si="2452"/>
        <v>44104</v>
      </c>
    </row>
    <row r="14919" spans="1:6" x14ac:dyDescent="0.25">
      <c r="A14919" s="1" t="s">
        <v>406</v>
      </c>
      <c r="B14919" s="1" t="s">
        <v>405</v>
      </c>
      <c r="C14919" s="1" t="s">
        <v>147</v>
      </c>
      <c r="D14919" s="3">
        <f t="shared" si="2450"/>
        <v>7614</v>
      </c>
      <c r="E14919" s="2">
        <f t="shared" si="2451"/>
        <v>41883</v>
      </c>
      <c r="F14919" s="2">
        <f t="shared" si="2452"/>
        <v>44104</v>
      </c>
    </row>
    <row r="14920" spans="1:6" x14ac:dyDescent="0.25">
      <c r="A14920" s="1" t="s">
        <v>406</v>
      </c>
      <c r="B14920" s="1" t="s">
        <v>405</v>
      </c>
      <c r="C14920" s="1" t="s">
        <v>148</v>
      </c>
      <c r="D14920" s="3">
        <f t="shared" si="2450"/>
        <v>7614</v>
      </c>
      <c r="E14920" s="2">
        <f t="shared" si="2451"/>
        <v>41883</v>
      </c>
      <c r="F14920" s="2">
        <f t="shared" si="2452"/>
        <v>44104</v>
      </c>
    </row>
    <row r="14921" spans="1:6" x14ac:dyDescent="0.25">
      <c r="A14921" s="1" t="s">
        <v>406</v>
      </c>
      <c r="B14921" s="1" t="s">
        <v>405</v>
      </c>
      <c r="C14921" s="1" t="s">
        <v>149</v>
      </c>
      <c r="D14921" s="3">
        <f t="shared" si="2450"/>
        <v>7614</v>
      </c>
      <c r="E14921" s="2">
        <f t="shared" si="2451"/>
        <v>41883</v>
      </c>
      <c r="F14921" s="2">
        <f t="shared" si="2452"/>
        <v>44104</v>
      </c>
    </row>
    <row r="14922" spans="1:6" x14ac:dyDescent="0.25">
      <c r="A14922" s="1" t="s">
        <v>406</v>
      </c>
      <c r="B14922" s="1" t="s">
        <v>405</v>
      </c>
      <c r="C14922" s="1" t="s">
        <v>92</v>
      </c>
      <c r="D14922" s="3">
        <f t="shared" si="2450"/>
        <v>7614</v>
      </c>
      <c r="E14922" s="2">
        <f t="shared" si="2451"/>
        <v>41883</v>
      </c>
      <c r="F14922" s="2">
        <f t="shared" si="2452"/>
        <v>44104</v>
      </c>
    </row>
    <row r="14923" spans="1:6" x14ac:dyDescent="0.25">
      <c r="A14923" s="1" t="s">
        <v>406</v>
      </c>
      <c r="B14923" s="1" t="s">
        <v>405</v>
      </c>
      <c r="C14923" s="1" t="s">
        <v>330</v>
      </c>
      <c r="D14923" s="3">
        <f t="shared" si="2450"/>
        <v>7614</v>
      </c>
      <c r="E14923" s="2">
        <f t="shared" si="2451"/>
        <v>41883</v>
      </c>
      <c r="F14923" s="2">
        <f t="shared" si="2452"/>
        <v>44104</v>
      </c>
    </row>
    <row r="14924" spans="1:6" x14ac:dyDescent="0.25">
      <c r="A14924" s="1" t="s">
        <v>406</v>
      </c>
      <c r="B14924" s="1" t="s">
        <v>405</v>
      </c>
      <c r="C14924" s="1" t="s">
        <v>24</v>
      </c>
      <c r="D14924" s="3">
        <f t="shared" si="2450"/>
        <v>7614</v>
      </c>
      <c r="E14924" s="2">
        <f t="shared" si="2451"/>
        <v>41883</v>
      </c>
      <c r="F14924" s="2">
        <f t="shared" si="2452"/>
        <v>44104</v>
      </c>
    </row>
    <row r="14925" spans="1:6" x14ac:dyDescent="0.25">
      <c r="A14925" s="1" t="s">
        <v>406</v>
      </c>
      <c r="B14925" s="1" t="s">
        <v>405</v>
      </c>
      <c r="C14925" s="1" t="s">
        <v>50</v>
      </c>
      <c r="D14925" s="3">
        <f t="shared" si="2450"/>
        <v>7614</v>
      </c>
      <c r="E14925" s="2">
        <f t="shared" si="2451"/>
        <v>41883</v>
      </c>
      <c r="F14925" s="2">
        <f t="shared" si="2452"/>
        <v>44104</v>
      </c>
    </row>
    <row r="14926" spans="1:6" x14ac:dyDescent="0.25">
      <c r="A14926" s="1" t="s">
        <v>406</v>
      </c>
      <c r="B14926" s="1" t="s">
        <v>405</v>
      </c>
      <c r="C14926" s="1" t="s">
        <v>70</v>
      </c>
      <c r="D14926" s="3">
        <f t="shared" si="2450"/>
        <v>7614</v>
      </c>
      <c r="E14926" s="2">
        <f t="shared" si="2451"/>
        <v>41883</v>
      </c>
      <c r="F14926" s="2">
        <f t="shared" si="2452"/>
        <v>44104</v>
      </c>
    </row>
    <row r="14927" spans="1:6" x14ac:dyDescent="0.25">
      <c r="A14927" s="1" t="s">
        <v>406</v>
      </c>
      <c r="B14927" s="1" t="s">
        <v>405</v>
      </c>
      <c r="C14927" s="1" t="s">
        <v>419</v>
      </c>
      <c r="D14927" s="3">
        <f t="shared" si="2450"/>
        <v>7614</v>
      </c>
      <c r="E14927" s="2">
        <f t="shared" si="2451"/>
        <v>41883</v>
      </c>
      <c r="F14927" s="2">
        <f t="shared" si="2452"/>
        <v>44104</v>
      </c>
    </row>
    <row r="14928" spans="1:6" x14ac:dyDescent="0.25">
      <c r="A14928" s="1" t="s">
        <v>406</v>
      </c>
      <c r="B14928" s="1" t="s">
        <v>405</v>
      </c>
      <c r="C14928" s="1" t="s">
        <v>420</v>
      </c>
      <c r="D14928" s="3">
        <f t="shared" si="2450"/>
        <v>7614</v>
      </c>
      <c r="E14928" s="2">
        <f t="shared" si="2451"/>
        <v>41883</v>
      </c>
      <c r="F14928" s="2">
        <f t="shared" si="2452"/>
        <v>44104</v>
      </c>
    </row>
    <row r="14929" spans="1:6" x14ac:dyDescent="0.25">
      <c r="A14929" s="1" t="s">
        <v>406</v>
      </c>
      <c r="B14929" s="1" t="s">
        <v>405</v>
      </c>
      <c r="C14929" s="1" t="s">
        <v>99</v>
      </c>
      <c r="D14929" s="3">
        <f t="shared" si="2450"/>
        <v>7614</v>
      </c>
      <c r="E14929" s="2">
        <f t="shared" si="2451"/>
        <v>41883</v>
      </c>
      <c r="F14929" s="2">
        <f t="shared" si="2452"/>
        <v>44104</v>
      </c>
    </row>
    <row r="14930" spans="1:6" x14ac:dyDescent="0.25">
      <c r="A14930" s="1" t="s">
        <v>406</v>
      </c>
      <c r="B14930" s="1" t="s">
        <v>405</v>
      </c>
      <c r="C14930" s="1" t="s">
        <v>26</v>
      </c>
      <c r="D14930" s="3">
        <f t="shared" si="2450"/>
        <v>7614</v>
      </c>
      <c r="E14930" s="2">
        <f t="shared" si="2451"/>
        <v>41883</v>
      </c>
      <c r="F14930" s="2">
        <f t="shared" si="2452"/>
        <v>44104</v>
      </c>
    </row>
    <row r="14931" spans="1:6" x14ac:dyDescent="0.25">
      <c r="A14931" s="1" t="s">
        <v>406</v>
      </c>
      <c r="B14931" s="1" t="s">
        <v>405</v>
      </c>
      <c r="C14931" s="1" t="s">
        <v>421</v>
      </c>
      <c r="D14931" s="3">
        <f t="shared" si="2450"/>
        <v>7614</v>
      </c>
      <c r="E14931" s="2">
        <f t="shared" si="2451"/>
        <v>41883</v>
      </c>
      <c r="F14931" s="2">
        <f t="shared" si="2452"/>
        <v>44104</v>
      </c>
    </row>
    <row r="14932" spans="1:6" x14ac:dyDescent="0.25">
      <c r="A14932" s="1" t="s">
        <v>406</v>
      </c>
      <c r="B14932" s="1" t="s">
        <v>405</v>
      </c>
      <c r="C14932" s="1" t="s">
        <v>422</v>
      </c>
      <c r="D14932" s="3">
        <f t="shared" si="2450"/>
        <v>7614</v>
      </c>
      <c r="E14932" s="2">
        <f t="shared" si="2451"/>
        <v>41883</v>
      </c>
      <c r="F14932" s="2">
        <f t="shared" si="2452"/>
        <v>44104</v>
      </c>
    </row>
    <row r="14933" spans="1:6" x14ac:dyDescent="0.25">
      <c r="A14933" s="1" t="s">
        <v>406</v>
      </c>
      <c r="B14933" s="1" t="s">
        <v>405</v>
      </c>
      <c r="C14933" s="1" t="s">
        <v>72</v>
      </c>
      <c r="D14933" s="3">
        <f t="shared" si="2450"/>
        <v>7614</v>
      </c>
      <c r="E14933" s="2">
        <f t="shared" si="2451"/>
        <v>41883</v>
      </c>
      <c r="F14933" s="2">
        <f t="shared" si="2452"/>
        <v>44104</v>
      </c>
    </row>
    <row r="14934" spans="1:6" x14ac:dyDescent="0.25">
      <c r="A14934" s="1" t="s">
        <v>406</v>
      </c>
      <c r="B14934" s="1" t="s">
        <v>405</v>
      </c>
      <c r="C14934" s="1" t="s">
        <v>27</v>
      </c>
      <c r="D14934" s="3">
        <f t="shared" si="2450"/>
        <v>7614</v>
      </c>
      <c r="E14934" s="2">
        <f t="shared" si="2451"/>
        <v>41883</v>
      </c>
      <c r="F14934" s="2">
        <f t="shared" si="2452"/>
        <v>44104</v>
      </c>
    </row>
    <row r="14935" spans="1:6" x14ac:dyDescent="0.25">
      <c r="A14935" s="1" t="s">
        <v>406</v>
      </c>
      <c r="B14935" s="1" t="s">
        <v>405</v>
      </c>
      <c r="C14935" s="1" t="s">
        <v>262</v>
      </c>
      <c r="D14935" s="3">
        <f t="shared" si="2450"/>
        <v>7614</v>
      </c>
      <c r="E14935" s="2">
        <f t="shared" si="2451"/>
        <v>41883</v>
      </c>
      <c r="F14935" s="2">
        <f t="shared" si="2452"/>
        <v>44104</v>
      </c>
    </row>
    <row r="14936" spans="1:6" x14ac:dyDescent="0.25">
      <c r="A14936" s="1" t="s">
        <v>406</v>
      </c>
      <c r="B14936" s="1" t="s">
        <v>405</v>
      </c>
      <c r="C14936" s="1" t="s">
        <v>104</v>
      </c>
      <c r="D14936" s="3">
        <f t="shared" si="2450"/>
        <v>7614</v>
      </c>
      <c r="E14936" s="2">
        <f t="shared" si="2451"/>
        <v>41883</v>
      </c>
      <c r="F14936" s="2">
        <f t="shared" si="2452"/>
        <v>44104</v>
      </c>
    </row>
    <row r="14937" spans="1:6" x14ac:dyDescent="0.25">
      <c r="A14937" s="1" t="s">
        <v>406</v>
      </c>
      <c r="B14937" s="1" t="s">
        <v>405</v>
      </c>
      <c r="C14937" s="1" t="s">
        <v>73</v>
      </c>
      <c r="D14937" s="3">
        <f t="shared" si="2450"/>
        <v>7614</v>
      </c>
      <c r="E14937" s="2">
        <f t="shared" si="2451"/>
        <v>41883</v>
      </c>
      <c r="F14937" s="2">
        <f t="shared" si="2452"/>
        <v>44104</v>
      </c>
    </row>
    <row r="14938" spans="1:6" x14ac:dyDescent="0.25">
      <c r="A14938" s="1" t="s">
        <v>406</v>
      </c>
      <c r="B14938" s="1" t="s">
        <v>405</v>
      </c>
      <c r="C14938" s="1" t="s">
        <v>52</v>
      </c>
      <c r="D14938" s="3">
        <f t="shared" si="2450"/>
        <v>7614</v>
      </c>
      <c r="E14938" s="2">
        <f t="shared" si="2451"/>
        <v>41883</v>
      </c>
      <c r="F14938" s="2">
        <f t="shared" si="2452"/>
        <v>44104</v>
      </c>
    </row>
    <row r="14939" spans="1:6" x14ac:dyDescent="0.25">
      <c r="A14939" s="1" t="s">
        <v>406</v>
      </c>
      <c r="B14939" s="1" t="s">
        <v>405</v>
      </c>
      <c r="C14939" s="1" t="s">
        <v>423</v>
      </c>
      <c r="D14939" s="3">
        <f t="shared" si="2450"/>
        <v>7614</v>
      </c>
      <c r="E14939" s="2">
        <f t="shared" si="2451"/>
        <v>41883</v>
      </c>
      <c r="F14939" s="2">
        <f t="shared" si="2452"/>
        <v>44104</v>
      </c>
    </row>
    <row r="14940" spans="1:6" x14ac:dyDescent="0.25">
      <c r="A14940" s="1" t="s">
        <v>406</v>
      </c>
      <c r="B14940" s="1" t="s">
        <v>405</v>
      </c>
      <c r="C14940" s="1" t="s">
        <v>424</v>
      </c>
      <c r="D14940" s="3">
        <f t="shared" si="2450"/>
        <v>7614</v>
      </c>
      <c r="E14940" s="2">
        <f t="shared" si="2451"/>
        <v>41883</v>
      </c>
      <c r="F14940" s="2">
        <f t="shared" si="2452"/>
        <v>44104</v>
      </c>
    </row>
    <row r="14941" spans="1:6" x14ac:dyDescent="0.25">
      <c r="A14941" s="1" t="s">
        <v>406</v>
      </c>
      <c r="B14941" s="1" t="s">
        <v>405</v>
      </c>
      <c r="C14941" s="1" t="s">
        <v>425</v>
      </c>
      <c r="D14941" s="3">
        <f t="shared" si="2450"/>
        <v>7614</v>
      </c>
      <c r="E14941" s="2">
        <f t="shared" si="2451"/>
        <v>41883</v>
      </c>
      <c r="F14941" s="2">
        <f t="shared" si="2452"/>
        <v>44104</v>
      </c>
    </row>
    <row r="14942" spans="1:6" x14ac:dyDescent="0.25">
      <c r="A14942" s="1" t="s">
        <v>406</v>
      </c>
      <c r="B14942" s="1" t="s">
        <v>405</v>
      </c>
      <c r="C14942" s="1" t="s">
        <v>426</v>
      </c>
      <c r="D14942" s="3">
        <f t="shared" si="2450"/>
        <v>7614</v>
      </c>
      <c r="E14942" s="2">
        <f t="shared" si="2451"/>
        <v>41883</v>
      </c>
      <c r="F14942" s="2">
        <f t="shared" si="2452"/>
        <v>44104</v>
      </c>
    </row>
    <row r="14943" spans="1:6" x14ac:dyDescent="0.25">
      <c r="A14943" s="1" t="s">
        <v>406</v>
      </c>
      <c r="B14943" s="1" t="s">
        <v>405</v>
      </c>
      <c r="C14943" s="1" t="s">
        <v>34</v>
      </c>
      <c r="D14943" s="3">
        <f t="shared" si="2450"/>
        <v>7614</v>
      </c>
      <c r="E14943" s="2">
        <f t="shared" si="2451"/>
        <v>41883</v>
      </c>
      <c r="F14943" s="2">
        <f t="shared" si="2452"/>
        <v>44104</v>
      </c>
    </row>
    <row r="14944" spans="1:6" x14ac:dyDescent="0.25">
      <c r="A14944" s="1" t="s">
        <v>406</v>
      </c>
      <c r="B14944" s="1" t="s">
        <v>405</v>
      </c>
      <c r="C14944" s="1" t="s">
        <v>115</v>
      </c>
      <c r="D14944" s="3">
        <f t="shared" si="2450"/>
        <v>7614</v>
      </c>
      <c r="E14944" s="2">
        <f t="shared" si="2451"/>
        <v>41883</v>
      </c>
      <c r="F14944" s="2">
        <f t="shared" si="2452"/>
        <v>44104</v>
      </c>
    </row>
    <row r="14945" spans="1:6" x14ac:dyDescent="0.25">
      <c r="A14945" s="1" t="s">
        <v>406</v>
      </c>
      <c r="B14945" s="1" t="s">
        <v>405</v>
      </c>
      <c r="C14945" s="1" t="s">
        <v>362</v>
      </c>
      <c r="D14945" s="3">
        <f t="shared" si="2450"/>
        <v>7614</v>
      </c>
      <c r="E14945" s="2">
        <f t="shared" si="2451"/>
        <v>41883</v>
      </c>
      <c r="F14945" s="2">
        <f t="shared" si="2452"/>
        <v>44104</v>
      </c>
    </row>
    <row r="14946" spans="1:6" x14ac:dyDescent="0.25">
      <c r="A14946" s="1" t="s">
        <v>406</v>
      </c>
      <c r="B14946" s="1" t="s">
        <v>405</v>
      </c>
      <c r="C14946" s="1" t="s">
        <v>57</v>
      </c>
      <c r="D14946" s="3">
        <f t="shared" si="2450"/>
        <v>7614</v>
      </c>
      <c r="E14946" s="2">
        <f t="shared" si="2451"/>
        <v>41883</v>
      </c>
      <c r="F14946" s="2">
        <f t="shared" si="2452"/>
        <v>44104</v>
      </c>
    </row>
    <row r="14947" spans="1:6" x14ac:dyDescent="0.25">
      <c r="A14947" s="1" t="s">
        <v>406</v>
      </c>
      <c r="B14947" s="1" t="s">
        <v>405</v>
      </c>
      <c r="C14947" s="1" t="s">
        <v>427</v>
      </c>
      <c r="D14947" s="3">
        <f t="shared" si="2450"/>
        <v>7614</v>
      </c>
      <c r="E14947" s="2">
        <f t="shared" si="2451"/>
        <v>41883</v>
      </c>
      <c r="F14947" s="2">
        <f t="shared" si="2452"/>
        <v>44104</v>
      </c>
    </row>
    <row r="14948" spans="1:6" x14ac:dyDescent="0.25">
      <c r="A14948" s="1" t="s">
        <v>406</v>
      </c>
      <c r="B14948" s="1" t="s">
        <v>405</v>
      </c>
      <c r="C14948" s="1" t="s">
        <v>173</v>
      </c>
      <c r="D14948" s="3">
        <f t="shared" si="2450"/>
        <v>7614</v>
      </c>
      <c r="E14948" s="2">
        <f t="shared" si="2451"/>
        <v>41883</v>
      </c>
      <c r="F14948" s="2">
        <f t="shared" si="2452"/>
        <v>44104</v>
      </c>
    </row>
    <row r="14949" spans="1:6" x14ac:dyDescent="0.25">
      <c r="A14949" s="1" t="s">
        <v>406</v>
      </c>
      <c r="B14949" s="1" t="s">
        <v>405</v>
      </c>
      <c r="C14949" s="1" t="s">
        <v>35</v>
      </c>
      <c r="D14949" s="3">
        <f t="shared" si="2450"/>
        <v>7614</v>
      </c>
      <c r="E14949" s="2">
        <f t="shared" si="2451"/>
        <v>41883</v>
      </c>
      <c r="F14949" s="2">
        <f t="shared" si="2452"/>
        <v>44104</v>
      </c>
    </row>
    <row r="14950" spans="1:6" x14ac:dyDescent="0.25">
      <c r="A14950" s="1" t="s">
        <v>406</v>
      </c>
      <c r="B14950" s="1" t="s">
        <v>405</v>
      </c>
      <c r="C14950" s="1" t="s">
        <v>36</v>
      </c>
      <c r="D14950" s="3">
        <f t="shared" si="2450"/>
        <v>7614</v>
      </c>
      <c r="E14950" s="2">
        <f t="shared" si="2451"/>
        <v>41883</v>
      </c>
      <c r="F14950" s="2">
        <f t="shared" si="2452"/>
        <v>44104</v>
      </c>
    </row>
    <row r="14951" spans="1:6" x14ac:dyDescent="0.25">
      <c r="A14951" s="1" t="s">
        <v>406</v>
      </c>
      <c r="B14951" s="1" t="s">
        <v>405</v>
      </c>
      <c r="C14951" s="1" t="s">
        <v>117</v>
      </c>
      <c r="D14951" s="3">
        <f t="shared" si="2450"/>
        <v>7614</v>
      </c>
      <c r="E14951" s="2">
        <f t="shared" si="2451"/>
        <v>41883</v>
      </c>
      <c r="F14951" s="2">
        <f t="shared" si="2452"/>
        <v>44104</v>
      </c>
    </row>
    <row r="14952" spans="1:6" x14ac:dyDescent="0.25">
      <c r="A14952" s="1" t="s">
        <v>1907</v>
      </c>
      <c r="B14952" s="1" t="s">
        <v>1906</v>
      </c>
      <c r="C14952" s="1" t="s">
        <v>863</v>
      </c>
      <c r="D14952" s="3">
        <f>VALUE("7452")</f>
        <v>7452</v>
      </c>
      <c r="E14952" s="2">
        <f>DATEVALUE("1-6-2013")</f>
        <v>41426</v>
      </c>
      <c r="F14952" s="2">
        <f>DATEVALUE("30-4-2015")</f>
        <v>42124</v>
      </c>
    </row>
    <row r="14953" spans="1:6" x14ac:dyDescent="0.25">
      <c r="A14953" s="1" t="s">
        <v>1907</v>
      </c>
      <c r="B14953" s="1" t="s">
        <v>1906</v>
      </c>
      <c r="C14953" s="1" t="s">
        <v>172</v>
      </c>
      <c r="D14953" s="3">
        <f>VALUE("7452")</f>
        <v>7452</v>
      </c>
      <c r="E14953" s="2">
        <f>DATEVALUE("1-6-2013")</f>
        <v>41426</v>
      </c>
      <c r="F14953" s="2">
        <f>DATEVALUE("30-4-2015")</f>
        <v>42124</v>
      </c>
    </row>
    <row r="14954" spans="1:6" x14ac:dyDescent="0.25">
      <c r="A14954" s="1" t="s">
        <v>123</v>
      </c>
      <c r="B14954" s="1" t="s">
        <v>122</v>
      </c>
      <c r="C14954" s="1" t="s">
        <v>7</v>
      </c>
      <c r="D14954" s="3">
        <f>VALUE("6102")</f>
        <v>6102</v>
      </c>
      <c r="E14954" s="2">
        <f>DATEVALUE("1-12-2013")</f>
        <v>41609</v>
      </c>
      <c r="F14954" s="2">
        <f>DATEVALUE("31-12-2025")</f>
        <v>46022</v>
      </c>
    </row>
    <row r="14955" spans="1:6" x14ac:dyDescent="0.25">
      <c r="A14955" s="1" t="s">
        <v>123</v>
      </c>
      <c r="B14955" s="1" t="s">
        <v>122</v>
      </c>
      <c r="C14955" s="1" t="s">
        <v>13</v>
      </c>
      <c r="D14955" s="3">
        <f>VALUE("6102")</f>
        <v>6102</v>
      </c>
      <c r="E14955" s="2">
        <f>DATEVALUE("1-12-2013")</f>
        <v>41609</v>
      </c>
      <c r="F14955" s="2">
        <f>DATEVALUE("31-12-2025")</f>
        <v>46022</v>
      </c>
    </row>
    <row r="14956" spans="1:6" x14ac:dyDescent="0.25">
      <c r="A14956" s="1" t="s">
        <v>1507</v>
      </c>
      <c r="B14956" s="1" t="s">
        <v>1506</v>
      </c>
      <c r="C14956" s="1" t="s">
        <v>7</v>
      </c>
      <c r="D14956" s="3">
        <f t="shared" ref="D14956:D14962" si="2453">VALUE("8707")</f>
        <v>8707</v>
      </c>
      <c r="E14956" s="2">
        <f t="shared" ref="E14956:E14962" si="2454">DATEVALUE("1-4-2020")</f>
        <v>43922</v>
      </c>
      <c r="F14956" s="2">
        <f t="shared" ref="F14956:F14962" si="2455">DATEVALUE("31-1-2021")</f>
        <v>44227</v>
      </c>
    </row>
    <row r="14957" spans="1:6" x14ac:dyDescent="0.25">
      <c r="A14957" s="1" t="s">
        <v>1507</v>
      </c>
      <c r="B14957" s="1" t="s">
        <v>1506</v>
      </c>
      <c r="C14957" s="1" t="s">
        <v>8</v>
      </c>
      <c r="D14957" s="3">
        <f t="shared" si="2453"/>
        <v>8707</v>
      </c>
      <c r="E14957" s="2">
        <f t="shared" si="2454"/>
        <v>43922</v>
      </c>
      <c r="F14957" s="2">
        <f t="shared" si="2455"/>
        <v>44227</v>
      </c>
    </row>
    <row r="14958" spans="1:6" x14ac:dyDescent="0.25">
      <c r="A14958" s="1" t="s">
        <v>1507</v>
      </c>
      <c r="B14958" s="1" t="s">
        <v>1506</v>
      </c>
      <c r="C14958" s="1" t="s">
        <v>10</v>
      </c>
      <c r="D14958" s="3">
        <f t="shared" si="2453"/>
        <v>8707</v>
      </c>
      <c r="E14958" s="2">
        <f t="shared" si="2454"/>
        <v>43922</v>
      </c>
      <c r="F14958" s="2">
        <f t="shared" si="2455"/>
        <v>44227</v>
      </c>
    </row>
    <row r="14959" spans="1:6" x14ac:dyDescent="0.25">
      <c r="A14959" s="1" t="s">
        <v>1507</v>
      </c>
      <c r="B14959" s="1" t="s">
        <v>1506</v>
      </c>
      <c r="C14959" s="1" t="s">
        <v>13</v>
      </c>
      <c r="D14959" s="3">
        <f t="shared" si="2453"/>
        <v>8707</v>
      </c>
      <c r="E14959" s="2">
        <f t="shared" si="2454"/>
        <v>43922</v>
      </c>
      <c r="F14959" s="2">
        <f t="shared" si="2455"/>
        <v>44227</v>
      </c>
    </row>
    <row r="14960" spans="1:6" x14ac:dyDescent="0.25">
      <c r="A14960" s="1" t="s">
        <v>1507</v>
      </c>
      <c r="B14960" s="1" t="s">
        <v>1506</v>
      </c>
      <c r="C14960" s="1" t="s">
        <v>17</v>
      </c>
      <c r="D14960" s="3">
        <f t="shared" si="2453"/>
        <v>8707</v>
      </c>
      <c r="E14960" s="2">
        <f t="shared" si="2454"/>
        <v>43922</v>
      </c>
      <c r="F14960" s="2">
        <f t="shared" si="2455"/>
        <v>44227</v>
      </c>
    </row>
    <row r="14961" spans="1:6" x14ac:dyDescent="0.25">
      <c r="A14961" s="1" t="s">
        <v>1507</v>
      </c>
      <c r="B14961" s="1" t="s">
        <v>1506</v>
      </c>
      <c r="C14961" s="1" t="s">
        <v>221</v>
      </c>
      <c r="D14961" s="3">
        <f t="shared" si="2453"/>
        <v>8707</v>
      </c>
      <c r="E14961" s="2">
        <f t="shared" si="2454"/>
        <v>43922</v>
      </c>
      <c r="F14961" s="2">
        <f t="shared" si="2455"/>
        <v>44227</v>
      </c>
    </row>
    <row r="14962" spans="1:6" x14ac:dyDescent="0.25">
      <c r="A14962" s="1" t="s">
        <v>1507</v>
      </c>
      <c r="B14962" s="1" t="s">
        <v>1506</v>
      </c>
      <c r="C14962" s="1" t="s">
        <v>212</v>
      </c>
      <c r="D14962" s="3">
        <f t="shared" si="2453"/>
        <v>8707</v>
      </c>
      <c r="E14962" s="2">
        <f t="shared" si="2454"/>
        <v>43922</v>
      </c>
      <c r="F14962" s="2">
        <f t="shared" si="2455"/>
        <v>44227</v>
      </c>
    </row>
    <row r="14963" spans="1:6" x14ac:dyDescent="0.25">
      <c r="A14963" s="1" t="s">
        <v>1507</v>
      </c>
      <c r="B14963" s="1" t="s">
        <v>1718</v>
      </c>
      <c r="C14963" s="1" t="s">
        <v>7</v>
      </c>
      <c r="D14963" s="3">
        <f t="shared" ref="D14963:D14979" si="2456">VALUE("7565")</f>
        <v>7565</v>
      </c>
      <c r="E14963" s="2">
        <f t="shared" ref="E14963:E14979" si="2457">DATEVALUE("1-6-2014")</f>
        <v>41791</v>
      </c>
      <c r="F14963" s="2">
        <f t="shared" ref="F14963:F14979" si="2458">DATEVALUE("31-5-2020")</f>
        <v>43982</v>
      </c>
    </row>
    <row r="14964" spans="1:6" x14ac:dyDescent="0.25">
      <c r="A14964" s="1" t="s">
        <v>1507</v>
      </c>
      <c r="B14964" s="1" t="s">
        <v>1718</v>
      </c>
      <c r="C14964" s="1" t="s">
        <v>8</v>
      </c>
      <c r="D14964" s="3">
        <f t="shared" si="2456"/>
        <v>7565</v>
      </c>
      <c r="E14964" s="2">
        <f t="shared" si="2457"/>
        <v>41791</v>
      </c>
      <c r="F14964" s="2">
        <f t="shared" si="2458"/>
        <v>43982</v>
      </c>
    </row>
    <row r="14965" spans="1:6" x14ac:dyDescent="0.25">
      <c r="A14965" s="1" t="s">
        <v>1507</v>
      </c>
      <c r="B14965" s="1" t="s">
        <v>1718</v>
      </c>
      <c r="C14965" s="1" t="s">
        <v>10</v>
      </c>
      <c r="D14965" s="3">
        <f t="shared" si="2456"/>
        <v>7565</v>
      </c>
      <c r="E14965" s="2">
        <f t="shared" si="2457"/>
        <v>41791</v>
      </c>
      <c r="F14965" s="2">
        <f t="shared" si="2458"/>
        <v>43982</v>
      </c>
    </row>
    <row r="14966" spans="1:6" x14ac:dyDescent="0.25">
      <c r="A14966" s="1" t="s">
        <v>1507</v>
      </c>
      <c r="B14966" s="1" t="s">
        <v>1718</v>
      </c>
      <c r="C14966" s="1" t="s">
        <v>11</v>
      </c>
      <c r="D14966" s="3">
        <f t="shared" si="2456"/>
        <v>7565</v>
      </c>
      <c r="E14966" s="2">
        <f t="shared" si="2457"/>
        <v>41791</v>
      </c>
      <c r="F14966" s="2">
        <f t="shared" si="2458"/>
        <v>43982</v>
      </c>
    </row>
    <row r="14967" spans="1:6" x14ac:dyDescent="0.25">
      <c r="A14967" s="1" t="s">
        <v>1507</v>
      </c>
      <c r="B14967" s="1" t="s">
        <v>1718</v>
      </c>
      <c r="C14967" s="1" t="s">
        <v>13</v>
      </c>
      <c r="D14967" s="3">
        <f t="shared" si="2456"/>
        <v>7565</v>
      </c>
      <c r="E14967" s="2">
        <f t="shared" si="2457"/>
        <v>41791</v>
      </c>
      <c r="F14967" s="2">
        <f t="shared" si="2458"/>
        <v>43982</v>
      </c>
    </row>
    <row r="14968" spans="1:6" x14ac:dyDescent="0.25">
      <c r="A14968" s="1" t="s">
        <v>1507</v>
      </c>
      <c r="B14968" s="1" t="s">
        <v>1718</v>
      </c>
      <c r="C14968" s="1" t="s">
        <v>15</v>
      </c>
      <c r="D14968" s="3">
        <f t="shared" si="2456"/>
        <v>7565</v>
      </c>
      <c r="E14968" s="2">
        <f t="shared" si="2457"/>
        <v>41791</v>
      </c>
      <c r="F14968" s="2">
        <f t="shared" si="2458"/>
        <v>43982</v>
      </c>
    </row>
    <row r="14969" spans="1:6" x14ac:dyDescent="0.25">
      <c r="A14969" s="1" t="s">
        <v>1507</v>
      </c>
      <c r="B14969" s="1" t="s">
        <v>1718</v>
      </c>
      <c r="C14969" s="1" t="s">
        <v>17</v>
      </c>
      <c r="D14969" s="3">
        <f t="shared" si="2456"/>
        <v>7565</v>
      </c>
      <c r="E14969" s="2">
        <f t="shared" si="2457"/>
        <v>41791</v>
      </c>
      <c r="F14969" s="2">
        <f t="shared" si="2458"/>
        <v>43982</v>
      </c>
    </row>
    <row r="14970" spans="1:6" x14ac:dyDescent="0.25">
      <c r="A14970" s="1" t="s">
        <v>1507</v>
      </c>
      <c r="B14970" s="1" t="s">
        <v>1718</v>
      </c>
      <c r="C14970" s="1" t="s">
        <v>22</v>
      </c>
      <c r="D14970" s="3">
        <f t="shared" si="2456"/>
        <v>7565</v>
      </c>
      <c r="E14970" s="2">
        <f t="shared" si="2457"/>
        <v>41791</v>
      </c>
      <c r="F14970" s="2">
        <f t="shared" si="2458"/>
        <v>43982</v>
      </c>
    </row>
    <row r="14971" spans="1:6" x14ac:dyDescent="0.25">
      <c r="A14971" s="1" t="s">
        <v>1507</v>
      </c>
      <c r="B14971" s="1" t="s">
        <v>1718</v>
      </c>
      <c r="C14971" s="1" t="s">
        <v>221</v>
      </c>
      <c r="D14971" s="3">
        <f t="shared" si="2456"/>
        <v>7565</v>
      </c>
      <c r="E14971" s="2">
        <f t="shared" si="2457"/>
        <v>41791</v>
      </c>
      <c r="F14971" s="2">
        <f t="shared" si="2458"/>
        <v>43982</v>
      </c>
    </row>
    <row r="14972" spans="1:6" x14ac:dyDescent="0.25">
      <c r="A14972" s="1" t="s">
        <v>1507</v>
      </c>
      <c r="B14972" s="1" t="s">
        <v>1718</v>
      </c>
      <c r="C14972" s="1" t="s">
        <v>150</v>
      </c>
      <c r="D14972" s="3">
        <f t="shared" si="2456"/>
        <v>7565</v>
      </c>
      <c r="E14972" s="2">
        <f t="shared" si="2457"/>
        <v>41791</v>
      </c>
      <c r="F14972" s="2">
        <f t="shared" si="2458"/>
        <v>43982</v>
      </c>
    </row>
    <row r="14973" spans="1:6" x14ac:dyDescent="0.25">
      <c r="A14973" s="1" t="s">
        <v>1507</v>
      </c>
      <c r="B14973" s="1" t="s">
        <v>1718</v>
      </c>
      <c r="C14973" s="1" t="s">
        <v>23</v>
      </c>
      <c r="D14973" s="3">
        <f t="shared" si="2456"/>
        <v>7565</v>
      </c>
      <c r="E14973" s="2">
        <f t="shared" si="2457"/>
        <v>41791</v>
      </c>
      <c r="F14973" s="2">
        <f t="shared" si="2458"/>
        <v>43982</v>
      </c>
    </row>
    <row r="14974" spans="1:6" x14ac:dyDescent="0.25">
      <c r="A14974" s="1" t="s">
        <v>1507</v>
      </c>
      <c r="B14974" s="1" t="s">
        <v>1718</v>
      </c>
      <c r="C14974" s="1" t="s">
        <v>212</v>
      </c>
      <c r="D14974" s="3">
        <f t="shared" si="2456"/>
        <v>7565</v>
      </c>
      <c r="E14974" s="2">
        <f t="shared" si="2457"/>
        <v>41791</v>
      </c>
      <c r="F14974" s="2">
        <f t="shared" si="2458"/>
        <v>43982</v>
      </c>
    </row>
    <row r="14975" spans="1:6" x14ac:dyDescent="0.25">
      <c r="A14975" s="1" t="s">
        <v>1507</v>
      </c>
      <c r="B14975" s="1" t="s">
        <v>1718</v>
      </c>
      <c r="C14975" s="1" t="s">
        <v>194</v>
      </c>
      <c r="D14975" s="3">
        <f t="shared" si="2456"/>
        <v>7565</v>
      </c>
      <c r="E14975" s="2">
        <f t="shared" si="2457"/>
        <v>41791</v>
      </c>
      <c r="F14975" s="2">
        <f t="shared" si="2458"/>
        <v>43982</v>
      </c>
    </row>
    <row r="14976" spans="1:6" x14ac:dyDescent="0.25">
      <c r="A14976" s="1" t="s">
        <v>1507</v>
      </c>
      <c r="B14976" s="1" t="s">
        <v>1718</v>
      </c>
      <c r="C14976" s="1" t="s">
        <v>27</v>
      </c>
      <c r="D14976" s="3">
        <f t="shared" si="2456"/>
        <v>7565</v>
      </c>
      <c r="E14976" s="2">
        <f t="shared" si="2457"/>
        <v>41791</v>
      </c>
      <c r="F14976" s="2">
        <f t="shared" si="2458"/>
        <v>43982</v>
      </c>
    </row>
    <row r="14977" spans="1:6" x14ac:dyDescent="0.25">
      <c r="A14977" s="1" t="s">
        <v>1507</v>
      </c>
      <c r="B14977" s="1" t="s">
        <v>1718</v>
      </c>
      <c r="C14977" s="1" t="s">
        <v>73</v>
      </c>
      <c r="D14977" s="3">
        <f t="shared" si="2456"/>
        <v>7565</v>
      </c>
      <c r="E14977" s="2">
        <f t="shared" si="2457"/>
        <v>41791</v>
      </c>
      <c r="F14977" s="2">
        <f t="shared" si="2458"/>
        <v>43982</v>
      </c>
    </row>
    <row r="14978" spans="1:6" x14ac:dyDescent="0.25">
      <c r="A14978" s="1" t="s">
        <v>1507</v>
      </c>
      <c r="B14978" s="1" t="s">
        <v>1718</v>
      </c>
      <c r="C14978" s="1" t="s">
        <v>160</v>
      </c>
      <c r="D14978" s="3">
        <f t="shared" si="2456"/>
        <v>7565</v>
      </c>
      <c r="E14978" s="2">
        <f t="shared" si="2457"/>
        <v>41791</v>
      </c>
      <c r="F14978" s="2">
        <f t="shared" si="2458"/>
        <v>43982</v>
      </c>
    </row>
    <row r="14979" spans="1:6" x14ac:dyDescent="0.25">
      <c r="A14979" s="1" t="s">
        <v>1507</v>
      </c>
      <c r="B14979" s="1" t="s">
        <v>1718</v>
      </c>
      <c r="C14979" s="1" t="s">
        <v>35</v>
      </c>
      <c r="D14979" s="3">
        <f t="shared" si="2456"/>
        <v>7565</v>
      </c>
      <c r="E14979" s="2">
        <f t="shared" si="2457"/>
        <v>41791</v>
      </c>
      <c r="F14979" s="2">
        <f t="shared" si="2458"/>
        <v>43982</v>
      </c>
    </row>
    <row r="14980" spans="1:6" x14ac:dyDescent="0.25">
      <c r="A14980" s="1" t="s">
        <v>884</v>
      </c>
      <c r="B14980" s="1" t="s">
        <v>883</v>
      </c>
      <c r="C14980" s="1" t="s">
        <v>184</v>
      </c>
      <c r="D14980" s="3">
        <f t="shared" ref="D14980:D14988" si="2459">VALUE("8102")</f>
        <v>8102</v>
      </c>
      <c r="E14980" s="2">
        <f t="shared" ref="E14980:E14988" si="2460">DATEVALUE("1-5-2018")</f>
        <v>43221</v>
      </c>
      <c r="F14980" s="2">
        <f t="shared" ref="F14980:F14988" si="2461">DATEVALUE("30-4-2020")</f>
        <v>43951</v>
      </c>
    </row>
    <row r="14981" spans="1:6" x14ac:dyDescent="0.25">
      <c r="A14981" s="1" t="s">
        <v>884</v>
      </c>
      <c r="B14981" s="1" t="s">
        <v>883</v>
      </c>
      <c r="C14981" s="1" t="s">
        <v>14</v>
      </c>
      <c r="D14981" s="3">
        <f t="shared" si="2459"/>
        <v>8102</v>
      </c>
      <c r="E14981" s="2">
        <f t="shared" si="2460"/>
        <v>43221</v>
      </c>
      <c r="F14981" s="2">
        <f t="shared" si="2461"/>
        <v>43951</v>
      </c>
    </row>
    <row r="14982" spans="1:6" x14ac:dyDescent="0.25">
      <c r="A14982" s="1" t="s">
        <v>884</v>
      </c>
      <c r="B14982" s="1" t="s">
        <v>883</v>
      </c>
      <c r="C14982" s="1" t="s">
        <v>17</v>
      </c>
      <c r="D14982" s="3">
        <f t="shared" si="2459"/>
        <v>8102</v>
      </c>
      <c r="E14982" s="2">
        <f t="shared" si="2460"/>
        <v>43221</v>
      </c>
      <c r="F14982" s="2">
        <f t="shared" si="2461"/>
        <v>43951</v>
      </c>
    </row>
    <row r="14983" spans="1:6" x14ac:dyDescent="0.25">
      <c r="A14983" s="1" t="s">
        <v>884</v>
      </c>
      <c r="B14983" s="1" t="s">
        <v>883</v>
      </c>
      <c r="C14983" s="1" t="s">
        <v>22</v>
      </c>
      <c r="D14983" s="3">
        <f t="shared" si="2459"/>
        <v>8102</v>
      </c>
      <c r="E14983" s="2">
        <f t="shared" si="2460"/>
        <v>43221</v>
      </c>
      <c r="F14983" s="2">
        <f t="shared" si="2461"/>
        <v>43951</v>
      </c>
    </row>
    <row r="14984" spans="1:6" x14ac:dyDescent="0.25">
      <c r="A14984" s="1" t="s">
        <v>884</v>
      </c>
      <c r="B14984" s="1" t="s">
        <v>883</v>
      </c>
      <c r="C14984" s="1" t="s">
        <v>67</v>
      </c>
      <c r="D14984" s="3">
        <f t="shared" si="2459"/>
        <v>8102</v>
      </c>
      <c r="E14984" s="2">
        <f t="shared" si="2460"/>
        <v>43221</v>
      </c>
      <c r="F14984" s="2">
        <f t="shared" si="2461"/>
        <v>43951</v>
      </c>
    </row>
    <row r="14985" spans="1:6" x14ac:dyDescent="0.25">
      <c r="A14985" s="1" t="s">
        <v>884</v>
      </c>
      <c r="B14985" s="1" t="s">
        <v>883</v>
      </c>
      <c r="C14985" s="1" t="s">
        <v>149</v>
      </c>
      <c r="D14985" s="3">
        <f t="shared" si="2459"/>
        <v>8102</v>
      </c>
      <c r="E14985" s="2">
        <f t="shared" si="2460"/>
        <v>43221</v>
      </c>
      <c r="F14985" s="2">
        <f t="shared" si="2461"/>
        <v>43951</v>
      </c>
    </row>
    <row r="14986" spans="1:6" x14ac:dyDescent="0.25">
      <c r="A14986" s="1" t="s">
        <v>884</v>
      </c>
      <c r="B14986" s="1" t="s">
        <v>883</v>
      </c>
      <c r="C14986" s="1" t="s">
        <v>92</v>
      </c>
      <c r="D14986" s="3">
        <f t="shared" si="2459"/>
        <v>8102</v>
      </c>
      <c r="E14986" s="2">
        <f t="shared" si="2460"/>
        <v>43221</v>
      </c>
      <c r="F14986" s="2">
        <f t="shared" si="2461"/>
        <v>43951</v>
      </c>
    </row>
    <row r="14987" spans="1:6" x14ac:dyDescent="0.25">
      <c r="A14987" s="1" t="s">
        <v>884</v>
      </c>
      <c r="B14987" s="1" t="s">
        <v>883</v>
      </c>
      <c r="C14987" s="1" t="s">
        <v>24</v>
      </c>
      <c r="D14987" s="3">
        <f t="shared" si="2459"/>
        <v>8102</v>
      </c>
      <c r="E14987" s="2">
        <f t="shared" si="2460"/>
        <v>43221</v>
      </c>
      <c r="F14987" s="2">
        <f t="shared" si="2461"/>
        <v>43951</v>
      </c>
    </row>
    <row r="14988" spans="1:6" x14ac:dyDescent="0.25">
      <c r="A14988" s="1" t="s">
        <v>884</v>
      </c>
      <c r="B14988" s="1" t="s">
        <v>883</v>
      </c>
      <c r="C14988" s="1" t="s">
        <v>55</v>
      </c>
      <c r="D14988" s="3">
        <f t="shared" si="2459"/>
        <v>8102</v>
      </c>
      <c r="E14988" s="2">
        <f t="shared" si="2460"/>
        <v>43221</v>
      </c>
      <c r="F14988" s="2">
        <f t="shared" si="2461"/>
        <v>43951</v>
      </c>
    </row>
    <row r="14989" spans="1:6" x14ac:dyDescent="0.25">
      <c r="A14989" s="1" t="s">
        <v>689</v>
      </c>
      <c r="B14989" s="1" t="s">
        <v>1381</v>
      </c>
      <c r="C14989" s="1" t="s">
        <v>15</v>
      </c>
      <c r="D14989" s="3">
        <f t="shared" ref="D14989:D15000" si="2462">VALUE("8616")</f>
        <v>8616</v>
      </c>
      <c r="E14989" s="2">
        <f t="shared" ref="E14989:E15000" si="2463">DATEVALUE("1-10-2019")</f>
        <v>43739</v>
      </c>
      <c r="F14989" s="2">
        <f t="shared" ref="F14989:F15000" si="2464">DATEVALUE("31-8-2021")</f>
        <v>44439</v>
      </c>
    </row>
    <row r="14990" spans="1:6" x14ac:dyDescent="0.25">
      <c r="A14990" s="1" t="s">
        <v>689</v>
      </c>
      <c r="B14990" s="1" t="s">
        <v>1381</v>
      </c>
      <c r="C14990" s="1" t="s">
        <v>17</v>
      </c>
      <c r="D14990" s="3">
        <f t="shared" si="2462"/>
        <v>8616</v>
      </c>
      <c r="E14990" s="2">
        <f t="shared" si="2463"/>
        <v>43739</v>
      </c>
      <c r="F14990" s="2">
        <f t="shared" si="2464"/>
        <v>44439</v>
      </c>
    </row>
    <row r="14991" spans="1:6" x14ac:dyDescent="0.25">
      <c r="A14991" s="1" t="s">
        <v>689</v>
      </c>
      <c r="B14991" s="1" t="s">
        <v>1381</v>
      </c>
      <c r="C14991" s="1" t="s">
        <v>22</v>
      </c>
      <c r="D14991" s="3">
        <f t="shared" si="2462"/>
        <v>8616</v>
      </c>
      <c r="E14991" s="2">
        <f t="shared" si="2463"/>
        <v>43739</v>
      </c>
      <c r="F14991" s="2">
        <f t="shared" si="2464"/>
        <v>44439</v>
      </c>
    </row>
    <row r="14992" spans="1:6" x14ac:dyDescent="0.25">
      <c r="A14992" s="1" t="s">
        <v>689</v>
      </c>
      <c r="B14992" s="1" t="s">
        <v>1381</v>
      </c>
      <c r="C14992" s="1" t="s">
        <v>146</v>
      </c>
      <c r="D14992" s="3">
        <f t="shared" si="2462"/>
        <v>8616</v>
      </c>
      <c r="E14992" s="2">
        <f t="shared" si="2463"/>
        <v>43739</v>
      </c>
      <c r="F14992" s="2">
        <f t="shared" si="2464"/>
        <v>44439</v>
      </c>
    </row>
    <row r="14993" spans="1:6" x14ac:dyDescent="0.25">
      <c r="A14993" s="1" t="s">
        <v>689</v>
      </c>
      <c r="B14993" s="1" t="s">
        <v>1381</v>
      </c>
      <c r="C14993" s="1" t="s">
        <v>67</v>
      </c>
      <c r="D14993" s="3">
        <f t="shared" si="2462"/>
        <v>8616</v>
      </c>
      <c r="E14993" s="2">
        <f t="shared" si="2463"/>
        <v>43739</v>
      </c>
      <c r="F14993" s="2">
        <f t="shared" si="2464"/>
        <v>44439</v>
      </c>
    </row>
    <row r="14994" spans="1:6" x14ac:dyDescent="0.25">
      <c r="A14994" s="1" t="s">
        <v>689</v>
      </c>
      <c r="B14994" s="1" t="s">
        <v>1381</v>
      </c>
      <c r="C14994" s="1" t="s">
        <v>1383</v>
      </c>
      <c r="D14994" s="3">
        <f t="shared" si="2462"/>
        <v>8616</v>
      </c>
      <c r="E14994" s="2">
        <f t="shared" si="2463"/>
        <v>43739</v>
      </c>
      <c r="F14994" s="2">
        <f t="shared" si="2464"/>
        <v>44439</v>
      </c>
    </row>
    <row r="14995" spans="1:6" x14ac:dyDescent="0.25">
      <c r="A14995" s="1" t="s">
        <v>689</v>
      </c>
      <c r="B14995" s="1" t="s">
        <v>1381</v>
      </c>
      <c r="C14995" s="1" t="s">
        <v>1382</v>
      </c>
      <c r="D14995" s="3">
        <f t="shared" si="2462"/>
        <v>8616</v>
      </c>
      <c r="E14995" s="2">
        <f t="shared" si="2463"/>
        <v>43739</v>
      </c>
      <c r="F14995" s="2">
        <f t="shared" si="2464"/>
        <v>44439</v>
      </c>
    </row>
    <row r="14996" spans="1:6" x14ac:dyDescent="0.25">
      <c r="A14996" s="1" t="s">
        <v>689</v>
      </c>
      <c r="B14996" s="1" t="s">
        <v>1381</v>
      </c>
      <c r="C14996" s="1" t="s">
        <v>148</v>
      </c>
      <c r="D14996" s="3">
        <f t="shared" si="2462"/>
        <v>8616</v>
      </c>
      <c r="E14996" s="2">
        <f t="shared" si="2463"/>
        <v>43739</v>
      </c>
      <c r="F14996" s="2">
        <f t="shared" si="2464"/>
        <v>44439</v>
      </c>
    </row>
    <row r="14997" spans="1:6" x14ac:dyDescent="0.25">
      <c r="A14997" s="1" t="s">
        <v>689</v>
      </c>
      <c r="B14997" s="1" t="s">
        <v>1381</v>
      </c>
      <c r="C14997" s="1" t="s">
        <v>149</v>
      </c>
      <c r="D14997" s="3">
        <f t="shared" si="2462"/>
        <v>8616</v>
      </c>
      <c r="E14997" s="2">
        <f t="shared" si="2463"/>
        <v>43739</v>
      </c>
      <c r="F14997" s="2">
        <f t="shared" si="2464"/>
        <v>44439</v>
      </c>
    </row>
    <row r="14998" spans="1:6" x14ac:dyDescent="0.25">
      <c r="A14998" s="1" t="s">
        <v>689</v>
      </c>
      <c r="B14998" s="1" t="s">
        <v>1381</v>
      </c>
      <c r="C14998" s="1" t="s">
        <v>172</v>
      </c>
      <c r="D14998" s="3">
        <f t="shared" si="2462"/>
        <v>8616</v>
      </c>
      <c r="E14998" s="2">
        <f t="shared" si="2463"/>
        <v>43739</v>
      </c>
      <c r="F14998" s="2">
        <f t="shared" si="2464"/>
        <v>44439</v>
      </c>
    </row>
    <row r="14999" spans="1:6" x14ac:dyDescent="0.25">
      <c r="A14999" s="1" t="s">
        <v>689</v>
      </c>
      <c r="B14999" s="1" t="s">
        <v>1381</v>
      </c>
      <c r="C14999" s="1" t="s">
        <v>73</v>
      </c>
      <c r="D14999" s="3">
        <f t="shared" si="2462"/>
        <v>8616</v>
      </c>
      <c r="E14999" s="2">
        <f t="shared" si="2463"/>
        <v>43739</v>
      </c>
      <c r="F14999" s="2">
        <f t="shared" si="2464"/>
        <v>44439</v>
      </c>
    </row>
    <row r="15000" spans="1:6" x14ac:dyDescent="0.25">
      <c r="A15000" s="1" t="s">
        <v>689</v>
      </c>
      <c r="B15000" s="1" t="s">
        <v>1381</v>
      </c>
      <c r="C15000" s="1" t="s">
        <v>52</v>
      </c>
      <c r="D15000" s="3">
        <f t="shared" si="2462"/>
        <v>8616</v>
      </c>
      <c r="E15000" s="2">
        <f t="shared" si="2463"/>
        <v>43739</v>
      </c>
      <c r="F15000" s="2">
        <f t="shared" si="2464"/>
        <v>44439</v>
      </c>
    </row>
    <row r="15001" spans="1:6" x14ac:dyDescent="0.25">
      <c r="A15001" s="1" t="s">
        <v>689</v>
      </c>
      <c r="B15001" s="1" t="s">
        <v>688</v>
      </c>
      <c r="C15001" s="1" t="s">
        <v>138</v>
      </c>
      <c r="D15001" s="3">
        <f t="shared" ref="D15001:D15030" si="2465">VALUE("7887")</f>
        <v>7887</v>
      </c>
      <c r="E15001" s="2">
        <f t="shared" ref="E15001:E15030" si="2466">DATEVALUE("1-12-2016")</f>
        <v>42705</v>
      </c>
      <c r="F15001" s="2">
        <f t="shared" ref="F15001:F15030" si="2467">DATEVALUE("30-11-2020")</f>
        <v>44165</v>
      </c>
    </row>
    <row r="15002" spans="1:6" x14ac:dyDescent="0.25">
      <c r="A15002" s="1" t="s">
        <v>689</v>
      </c>
      <c r="B15002" s="1" t="s">
        <v>688</v>
      </c>
      <c r="C15002" s="1" t="s">
        <v>184</v>
      </c>
      <c r="D15002" s="3">
        <f t="shared" si="2465"/>
        <v>7887</v>
      </c>
      <c r="E15002" s="2">
        <f t="shared" si="2466"/>
        <v>42705</v>
      </c>
      <c r="F15002" s="2">
        <f t="shared" si="2467"/>
        <v>44165</v>
      </c>
    </row>
    <row r="15003" spans="1:6" x14ac:dyDescent="0.25">
      <c r="A15003" s="1" t="s">
        <v>689</v>
      </c>
      <c r="B15003" s="1" t="s">
        <v>688</v>
      </c>
      <c r="C15003" s="1" t="s">
        <v>140</v>
      </c>
      <c r="D15003" s="3">
        <f t="shared" si="2465"/>
        <v>7887</v>
      </c>
      <c r="E15003" s="2">
        <f t="shared" si="2466"/>
        <v>42705</v>
      </c>
      <c r="F15003" s="2">
        <f t="shared" si="2467"/>
        <v>44165</v>
      </c>
    </row>
    <row r="15004" spans="1:6" x14ac:dyDescent="0.25">
      <c r="A15004" s="1" t="s">
        <v>689</v>
      </c>
      <c r="B15004" s="1" t="s">
        <v>688</v>
      </c>
      <c r="C15004" s="1" t="s">
        <v>141</v>
      </c>
      <c r="D15004" s="3">
        <f t="shared" si="2465"/>
        <v>7887</v>
      </c>
      <c r="E15004" s="2">
        <f t="shared" si="2466"/>
        <v>42705</v>
      </c>
      <c r="F15004" s="2">
        <f t="shared" si="2467"/>
        <v>44165</v>
      </c>
    </row>
    <row r="15005" spans="1:6" x14ac:dyDescent="0.25">
      <c r="A15005" s="1" t="s">
        <v>689</v>
      </c>
      <c r="B15005" s="1" t="s">
        <v>688</v>
      </c>
      <c r="C15005" s="1" t="s">
        <v>142</v>
      </c>
      <c r="D15005" s="3">
        <f t="shared" si="2465"/>
        <v>7887</v>
      </c>
      <c r="E15005" s="2">
        <f t="shared" si="2466"/>
        <v>42705</v>
      </c>
      <c r="F15005" s="2">
        <f t="shared" si="2467"/>
        <v>44165</v>
      </c>
    </row>
    <row r="15006" spans="1:6" x14ac:dyDescent="0.25">
      <c r="A15006" s="1" t="s">
        <v>689</v>
      </c>
      <c r="B15006" s="1" t="s">
        <v>688</v>
      </c>
      <c r="C15006" s="1" t="s">
        <v>65</v>
      </c>
      <c r="D15006" s="3">
        <f t="shared" si="2465"/>
        <v>7887</v>
      </c>
      <c r="E15006" s="2">
        <f t="shared" si="2466"/>
        <v>42705</v>
      </c>
      <c r="F15006" s="2">
        <f t="shared" si="2467"/>
        <v>44165</v>
      </c>
    </row>
    <row r="15007" spans="1:6" x14ac:dyDescent="0.25">
      <c r="A15007" s="1" t="s">
        <v>689</v>
      </c>
      <c r="B15007" s="1" t="s">
        <v>688</v>
      </c>
      <c r="C15007" s="1" t="s">
        <v>14</v>
      </c>
      <c r="D15007" s="3">
        <f t="shared" si="2465"/>
        <v>7887</v>
      </c>
      <c r="E15007" s="2">
        <f t="shared" si="2466"/>
        <v>42705</v>
      </c>
      <c r="F15007" s="2">
        <f t="shared" si="2467"/>
        <v>44165</v>
      </c>
    </row>
    <row r="15008" spans="1:6" x14ac:dyDescent="0.25">
      <c r="A15008" s="1" t="s">
        <v>689</v>
      </c>
      <c r="B15008" s="1" t="s">
        <v>688</v>
      </c>
      <c r="C15008" s="1" t="s">
        <v>15</v>
      </c>
      <c r="D15008" s="3">
        <f t="shared" si="2465"/>
        <v>7887</v>
      </c>
      <c r="E15008" s="2">
        <f t="shared" si="2466"/>
        <v>42705</v>
      </c>
      <c r="F15008" s="2">
        <f t="shared" si="2467"/>
        <v>44165</v>
      </c>
    </row>
    <row r="15009" spans="1:6" x14ac:dyDescent="0.25">
      <c r="A15009" s="1" t="s">
        <v>689</v>
      </c>
      <c r="B15009" s="1" t="s">
        <v>688</v>
      </c>
      <c r="C15009" s="1" t="s">
        <v>17</v>
      </c>
      <c r="D15009" s="3">
        <f t="shared" si="2465"/>
        <v>7887</v>
      </c>
      <c r="E15009" s="2">
        <f t="shared" si="2466"/>
        <v>42705</v>
      </c>
      <c r="F15009" s="2">
        <f t="shared" si="2467"/>
        <v>44165</v>
      </c>
    </row>
    <row r="15010" spans="1:6" x14ac:dyDescent="0.25">
      <c r="A15010" s="1" t="s">
        <v>689</v>
      </c>
      <c r="B15010" s="1" t="s">
        <v>688</v>
      </c>
      <c r="C15010" s="1" t="s">
        <v>19</v>
      </c>
      <c r="D15010" s="3">
        <f t="shared" si="2465"/>
        <v>7887</v>
      </c>
      <c r="E15010" s="2">
        <f t="shared" si="2466"/>
        <v>42705</v>
      </c>
      <c r="F15010" s="2">
        <f t="shared" si="2467"/>
        <v>44165</v>
      </c>
    </row>
    <row r="15011" spans="1:6" x14ac:dyDescent="0.25">
      <c r="A15011" s="1" t="s">
        <v>689</v>
      </c>
      <c r="B15011" s="1" t="s">
        <v>688</v>
      </c>
      <c r="C15011" s="1" t="s">
        <v>21</v>
      </c>
      <c r="D15011" s="3">
        <f t="shared" si="2465"/>
        <v>7887</v>
      </c>
      <c r="E15011" s="2">
        <f t="shared" si="2466"/>
        <v>42705</v>
      </c>
      <c r="F15011" s="2">
        <f t="shared" si="2467"/>
        <v>44165</v>
      </c>
    </row>
    <row r="15012" spans="1:6" x14ac:dyDescent="0.25">
      <c r="A15012" s="1" t="s">
        <v>689</v>
      </c>
      <c r="B15012" s="1" t="s">
        <v>688</v>
      </c>
      <c r="C15012" s="1" t="s">
        <v>250</v>
      </c>
      <c r="D15012" s="3">
        <f t="shared" si="2465"/>
        <v>7887</v>
      </c>
      <c r="E15012" s="2">
        <f t="shared" si="2466"/>
        <v>42705</v>
      </c>
      <c r="F15012" s="2">
        <f t="shared" si="2467"/>
        <v>44165</v>
      </c>
    </row>
    <row r="15013" spans="1:6" x14ac:dyDescent="0.25">
      <c r="A15013" s="1" t="s">
        <v>689</v>
      </c>
      <c r="B15013" s="1" t="s">
        <v>688</v>
      </c>
      <c r="C15013" s="1" t="s">
        <v>690</v>
      </c>
      <c r="D15013" s="3">
        <f t="shared" si="2465"/>
        <v>7887</v>
      </c>
      <c r="E15013" s="2">
        <f t="shared" si="2466"/>
        <v>42705</v>
      </c>
      <c r="F15013" s="2">
        <f t="shared" si="2467"/>
        <v>44165</v>
      </c>
    </row>
    <row r="15014" spans="1:6" x14ac:dyDescent="0.25">
      <c r="A15014" s="1" t="s">
        <v>689</v>
      </c>
      <c r="B15014" s="1" t="s">
        <v>688</v>
      </c>
      <c r="C15014" s="1" t="s">
        <v>146</v>
      </c>
      <c r="D15014" s="3">
        <f t="shared" si="2465"/>
        <v>7887</v>
      </c>
      <c r="E15014" s="2">
        <f t="shared" si="2466"/>
        <v>42705</v>
      </c>
      <c r="F15014" s="2">
        <f t="shared" si="2467"/>
        <v>44165</v>
      </c>
    </row>
    <row r="15015" spans="1:6" x14ac:dyDescent="0.25">
      <c r="A15015" s="1" t="s">
        <v>689</v>
      </c>
      <c r="B15015" s="1" t="s">
        <v>688</v>
      </c>
      <c r="C15015" s="1" t="s">
        <v>67</v>
      </c>
      <c r="D15015" s="3">
        <f t="shared" si="2465"/>
        <v>7887</v>
      </c>
      <c r="E15015" s="2">
        <f t="shared" si="2466"/>
        <v>42705</v>
      </c>
      <c r="F15015" s="2">
        <f t="shared" si="2467"/>
        <v>44165</v>
      </c>
    </row>
    <row r="15016" spans="1:6" x14ac:dyDescent="0.25">
      <c r="A15016" s="1" t="s">
        <v>689</v>
      </c>
      <c r="B15016" s="1" t="s">
        <v>688</v>
      </c>
      <c r="C15016" s="1" t="s">
        <v>148</v>
      </c>
      <c r="D15016" s="3">
        <f t="shared" si="2465"/>
        <v>7887</v>
      </c>
      <c r="E15016" s="2">
        <f t="shared" si="2466"/>
        <v>42705</v>
      </c>
      <c r="F15016" s="2">
        <f t="shared" si="2467"/>
        <v>44165</v>
      </c>
    </row>
    <row r="15017" spans="1:6" x14ac:dyDescent="0.25">
      <c r="A15017" s="1" t="s">
        <v>689</v>
      </c>
      <c r="B15017" s="1" t="s">
        <v>688</v>
      </c>
      <c r="C15017" s="1" t="s">
        <v>149</v>
      </c>
      <c r="D15017" s="3">
        <f t="shared" si="2465"/>
        <v>7887</v>
      </c>
      <c r="E15017" s="2">
        <f t="shared" si="2466"/>
        <v>42705</v>
      </c>
      <c r="F15017" s="2">
        <f t="shared" si="2467"/>
        <v>44165</v>
      </c>
    </row>
    <row r="15018" spans="1:6" x14ac:dyDescent="0.25">
      <c r="A15018" s="1" t="s">
        <v>689</v>
      </c>
      <c r="B15018" s="1" t="s">
        <v>688</v>
      </c>
      <c r="C15018" s="1" t="s">
        <v>150</v>
      </c>
      <c r="D15018" s="3">
        <f t="shared" si="2465"/>
        <v>7887</v>
      </c>
      <c r="E15018" s="2">
        <f t="shared" si="2466"/>
        <v>42705</v>
      </c>
      <c r="F15018" s="2">
        <f t="shared" si="2467"/>
        <v>44165</v>
      </c>
    </row>
    <row r="15019" spans="1:6" x14ac:dyDescent="0.25">
      <c r="A15019" s="1" t="s">
        <v>689</v>
      </c>
      <c r="B15019" s="1" t="s">
        <v>688</v>
      </c>
      <c r="C15019" s="1" t="s">
        <v>92</v>
      </c>
      <c r="D15019" s="3">
        <f t="shared" si="2465"/>
        <v>7887</v>
      </c>
      <c r="E15019" s="2">
        <f t="shared" si="2466"/>
        <v>42705</v>
      </c>
      <c r="F15019" s="2">
        <f t="shared" si="2467"/>
        <v>44165</v>
      </c>
    </row>
    <row r="15020" spans="1:6" x14ac:dyDescent="0.25">
      <c r="A15020" s="1" t="s">
        <v>689</v>
      </c>
      <c r="B15020" s="1" t="s">
        <v>688</v>
      </c>
      <c r="C15020" s="1" t="s">
        <v>151</v>
      </c>
      <c r="D15020" s="3">
        <f t="shared" si="2465"/>
        <v>7887</v>
      </c>
      <c r="E15020" s="2">
        <f t="shared" si="2466"/>
        <v>42705</v>
      </c>
      <c r="F15020" s="2">
        <f t="shared" si="2467"/>
        <v>44165</v>
      </c>
    </row>
    <row r="15021" spans="1:6" x14ac:dyDescent="0.25">
      <c r="A15021" s="1" t="s">
        <v>689</v>
      </c>
      <c r="B15021" s="1" t="s">
        <v>688</v>
      </c>
      <c r="C15021" s="1" t="s">
        <v>24</v>
      </c>
      <c r="D15021" s="3">
        <f t="shared" si="2465"/>
        <v>7887</v>
      </c>
      <c r="E15021" s="2">
        <f t="shared" si="2466"/>
        <v>42705</v>
      </c>
      <c r="F15021" s="2">
        <f t="shared" si="2467"/>
        <v>44165</v>
      </c>
    </row>
    <row r="15022" spans="1:6" x14ac:dyDescent="0.25">
      <c r="A15022" s="1" t="s">
        <v>689</v>
      </c>
      <c r="B15022" s="1" t="s">
        <v>688</v>
      </c>
      <c r="C15022" s="1" t="s">
        <v>292</v>
      </c>
      <c r="D15022" s="3">
        <f t="shared" si="2465"/>
        <v>7887</v>
      </c>
      <c r="E15022" s="2">
        <f t="shared" si="2466"/>
        <v>42705</v>
      </c>
      <c r="F15022" s="2">
        <f t="shared" si="2467"/>
        <v>44165</v>
      </c>
    </row>
    <row r="15023" spans="1:6" x14ac:dyDescent="0.25">
      <c r="A15023" s="1" t="s">
        <v>689</v>
      </c>
      <c r="B15023" s="1" t="s">
        <v>688</v>
      </c>
      <c r="C15023" s="1" t="s">
        <v>72</v>
      </c>
      <c r="D15023" s="3">
        <f t="shared" si="2465"/>
        <v>7887</v>
      </c>
      <c r="E15023" s="2">
        <f t="shared" si="2466"/>
        <v>42705</v>
      </c>
      <c r="F15023" s="2">
        <f t="shared" si="2467"/>
        <v>44165</v>
      </c>
    </row>
    <row r="15024" spans="1:6" x14ac:dyDescent="0.25">
      <c r="A15024" s="1" t="s">
        <v>689</v>
      </c>
      <c r="B15024" s="1" t="s">
        <v>688</v>
      </c>
      <c r="C15024" s="1" t="s">
        <v>73</v>
      </c>
      <c r="D15024" s="3">
        <f t="shared" si="2465"/>
        <v>7887</v>
      </c>
      <c r="E15024" s="2">
        <f t="shared" si="2466"/>
        <v>42705</v>
      </c>
      <c r="F15024" s="2">
        <f t="shared" si="2467"/>
        <v>44165</v>
      </c>
    </row>
    <row r="15025" spans="1:6" x14ac:dyDescent="0.25">
      <c r="A15025" s="1" t="s">
        <v>689</v>
      </c>
      <c r="B15025" s="1" t="s">
        <v>688</v>
      </c>
      <c r="C15025" s="1" t="s">
        <v>52</v>
      </c>
      <c r="D15025" s="3">
        <f t="shared" si="2465"/>
        <v>7887</v>
      </c>
      <c r="E15025" s="2">
        <f t="shared" si="2466"/>
        <v>42705</v>
      </c>
      <c r="F15025" s="2">
        <f t="shared" si="2467"/>
        <v>44165</v>
      </c>
    </row>
    <row r="15026" spans="1:6" x14ac:dyDescent="0.25">
      <c r="A15026" s="1" t="s">
        <v>689</v>
      </c>
      <c r="B15026" s="1" t="s">
        <v>688</v>
      </c>
      <c r="C15026" s="1" t="s">
        <v>160</v>
      </c>
      <c r="D15026" s="3">
        <f t="shared" si="2465"/>
        <v>7887</v>
      </c>
      <c r="E15026" s="2">
        <f t="shared" si="2466"/>
        <v>42705</v>
      </c>
      <c r="F15026" s="2">
        <f t="shared" si="2467"/>
        <v>44165</v>
      </c>
    </row>
    <row r="15027" spans="1:6" x14ac:dyDescent="0.25">
      <c r="A15027" s="1" t="s">
        <v>689</v>
      </c>
      <c r="B15027" s="1" t="s">
        <v>688</v>
      </c>
      <c r="C15027" s="1" t="s">
        <v>34</v>
      </c>
      <c r="D15027" s="3">
        <f t="shared" si="2465"/>
        <v>7887</v>
      </c>
      <c r="E15027" s="2">
        <f t="shared" si="2466"/>
        <v>42705</v>
      </c>
      <c r="F15027" s="2">
        <f t="shared" si="2467"/>
        <v>44165</v>
      </c>
    </row>
    <row r="15028" spans="1:6" x14ac:dyDescent="0.25">
      <c r="A15028" s="1" t="s">
        <v>689</v>
      </c>
      <c r="B15028" s="1" t="s">
        <v>688</v>
      </c>
      <c r="C15028" s="1" t="s">
        <v>163</v>
      </c>
      <c r="D15028" s="3">
        <f t="shared" si="2465"/>
        <v>7887</v>
      </c>
      <c r="E15028" s="2">
        <f t="shared" si="2466"/>
        <v>42705</v>
      </c>
      <c r="F15028" s="2">
        <f t="shared" si="2467"/>
        <v>44165</v>
      </c>
    </row>
    <row r="15029" spans="1:6" x14ac:dyDescent="0.25">
      <c r="A15029" s="1" t="s">
        <v>689</v>
      </c>
      <c r="B15029" s="1" t="s">
        <v>688</v>
      </c>
      <c r="C15029" s="1" t="s">
        <v>306</v>
      </c>
      <c r="D15029" s="3">
        <f t="shared" si="2465"/>
        <v>7887</v>
      </c>
      <c r="E15029" s="2">
        <f t="shared" si="2466"/>
        <v>42705</v>
      </c>
      <c r="F15029" s="2">
        <f t="shared" si="2467"/>
        <v>44165</v>
      </c>
    </row>
    <row r="15030" spans="1:6" x14ac:dyDescent="0.25">
      <c r="A15030" s="1" t="s">
        <v>689</v>
      </c>
      <c r="B15030" s="1" t="s">
        <v>688</v>
      </c>
      <c r="C15030" s="1" t="s">
        <v>310</v>
      </c>
      <c r="D15030" s="3">
        <f t="shared" si="2465"/>
        <v>7887</v>
      </c>
      <c r="E15030" s="2">
        <f t="shared" si="2466"/>
        <v>42705</v>
      </c>
      <c r="F15030" s="2">
        <f t="shared" si="2467"/>
        <v>44165</v>
      </c>
    </row>
    <row r="15031" spans="1:6" x14ac:dyDescent="0.25">
      <c r="A15031" s="1" t="s">
        <v>358</v>
      </c>
      <c r="B15031" s="1" t="s">
        <v>357</v>
      </c>
      <c r="C15031" s="1" t="s">
        <v>325</v>
      </c>
      <c r="D15031" s="3">
        <f t="shared" ref="D15031:D15065" si="2468">VALUE("7521")</f>
        <v>7521</v>
      </c>
      <c r="E15031" s="2">
        <f t="shared" ref="E15031:E15065" si="2469">DATEVALUE("1-1-2014")</f>
        <v>41640</v>
      </c>
      <c r="F15031" s="2">
        <f t="shared" ref="F15031:F15065" si="2470">DATEVALUE("31-1-2022")</f>
        <v>44592</v>
      </c>
    </row>
    <row r="15032" spans="1:6" x14ac:dyDescent="0.25">
      <c r="A15032" s="1" t="s">
        <v>358</v>
      </c>
      <c r="B15032" s="1" t="s">
        <v>357</v>
      </c>
      <c r="C15032" s="1" t="s">
        <v>8</v>
      </c>
      <c r="D15032" s="3">
        <f t="shared" si="2468"/>
        <v>7521</v>
      </c>
      <c r="E15032" s="2">
        <f t="shared" si="2469"/>
        <v>41640</v>
      </c>
      <c r="F15032" s="2">
        <f t="shared" si="2470"/>
        <v>44592</v>
      </c>
    </row>
    <row r="15033" spans="1:6" x14ac:dyDescent="0.25">
      <c r="A15033" s="1" t="s">
        <v>358</v>
      </c>
      <c r="B15033" s="1" t="s">
        <v>357</v>
      </c>
      <c r="C15033" s="1" t="s">
        <v>11</v>
      </c>
      <c r="D15033" s="3">
        <f t="shared" si="2468"/>
        <v>7521</v>
      </c>
      <c r="E15033" s="2">
        <f t="shared" si="2469"/>
        <v>41640</v>
      </c>
      <c r="F15033" s="2">
        <f t="shared" si="2470"/>
        <v>44592</v>
      </c>
    </row>
    <row r="15034" spans="1:6" x14ac:dyDescent="0.25">
      <c r="A15034" s="1" t="s">
        <v>358</v>
      </c>
      <c r="B15034" s="1" t="s">
        <v>357</v>
      </c>
      <c r="C15034" s="1" t="s">
        <v>215</v>
      </c>
      <c r="D15034" s="3">
        <f t="shared" si="2468"/>
        <v>7521</v>
      </c>
      <c r="E15034" s="2">
        <f t="shared" si="2469"/>
        <v>41640</v>
      </c>
      <c r="F15034" s="2">
        <f t="shared" si="2470"/>
        <v>44592</v>
      </c>
    </row>
    <row r="15035" spans="1:6" x14ac:dyDescent="0.25">
      <c r="A15035" s="1" t="s">
        <v>358</v>
      </c>
      <c r="B15035" s="1" t="s">
        <v>357</v>
      </c>
      <c r="C15035" s="1" t="s">
        <v>141</v>
      </c>
      <c r="D15035" s="3">
        <f t="shared" si="2468"/>
        <v>7521</v>
      </c>
      <c r="E15035" s="2">
        <f t="shared" si="2469"/>
        <v>41640</v>
      </c>
      <c r="F15035" s="2">
        <f t="shared" si="2470"/>
        <v>44592</v>
      </c>
    </row>
    <row r="15036" spans="1:6" x14ac:dyDescent="0.25">
      <c r="A15036" s="1" t="s">
        <v>358</v>
      </c>
      <c r="B15036" s="1" t="s">
        <v>357</v>
      </c>
      <c r="C15036" s="1" t="s">
        <v>142</v>
      </c>
      <c r="D15036" s="3">
        <f t="shared" si="2468"/>
        <v>7521</v>
      </c>
      <c r="E15036" s="2">
        <f t="shared" si="2469"/>
        <v>41640</v>
      </c>
      <c r="F15036" s="2">
        <f t="shared" si="2470"/>
        <v>44592</v>
      </c>
    </row>
    <row r="15037" spans="1:6" x14ac:dyDescent="0.25">
      <c r="A15037" s="1" t="s">
        <v>358</v>
      </c>
      <c r="B15037" s="1" t="s">
        <v>357</v>
      </c>
      <c r="C15037" s="1" t="s">
        <v>46</v>
      </c>
      <c r="D15037" s="3">
        <f t="shared" si="2468"/>
        <v>7521</v>
      </c>
      <c r="E15037" s="2">
        <f t="shared" si="2469"/>
        <v>41640</v>
      </c>
      <c r="F15037" s="2">
        <f t="shared" si="2470"/>
        <v>44592</v>
      </c>
    </row>
    <row r="15038" spans="1:6" x14ac:dyDescent="0.25">
      <c r="A15038" s="1" t="s">
        <v>358</v>
      </c>
      <c r="B15038" s="1" t="s">
        <v>357</v>
      </c>
      <c r="C15038" s="1" t="s">
        <v>14</v>
      </c>
      <c r="D15038" s="3">
        <f t="shared" si="2468"/>
        <v>7521</v>
      </c>
      <c r="E15038" s="2">
        <f t="shared" si="2469"/>
        <v>41640</v>
      </c>
      <c r="F15038" s="2">
        <f t="shared" si="2470"/>
        <v>44592</v>
      </c>
    </row>
    <row r="15039" spans="1:6" x14ac:dyDescent="0.25">
      <c r="A15039" s="1" t="s">
        <v>358</v>
      </c>
      <c r="B15039" s="1" t="s">
        <v>357</v>
      </c>
      <c r="C15039" s="1" t="s">
        <v>15</v>
      </c>
      <c r="D15039" s="3">
        <f t="shared" si="2468"/>
        <v>7521</v>
      </c>
      <c r="E15039" s="2">
        <f t="shared" si="2469"/>
        <v>41640</v>
      </c>
      <c r="F15039" s="2">
        <f t="shared" si="2470"/>
        <v>44592</v>
      </c>
    </row>
    <row r="15040" spans="1:6" x14ac:dyDescent="0.25">
      <c r="A15040" s="1" t="s">
        <v>358</v>
      </c>
      <c r="B15040" s="1" t="s">
        <v>357</v>
      </c>
      <c r="C15040" s="1" t="s">
        <v>89</v>
      </c>
      <c r="D15040" s="3">
        <f t="shared" si="2468"/>
        <v>7521</v>
      </c>
      <c r="E15040" s="2">
        <f t="shared" si="2469"/>
        <v>41640</v>
      </c>
      <c r="F15040" s="2">
        <f t="shared" si="2470"/>
        <v>44592</v>
      </c>
    </row>
    <row r="15041" spans="1:6" x14ac:dyDescent="0.25">
      <c r="A15041" s="1" t="s">
        <v>358</v>
      </c>
      <c r="B15041" s="1" t="s">
        <v>357</v>
      </c>
      <c r="C15041" s="1" t="s">
        <v>17</v>
      </c>
      <c r="D15041" s="3">
        <f t="shared" si="2468"/>
        <v>7521</v>
      </c>
      <c r="E15041" s="2">
        <f t="shared" si="2469"/>
        <v>41640</v>
      </c>
      <c r="F15041" s="2">
        <f t="shared" si="2470"/>
        <v>44592</v>
      </c>
    </row>
    <row r="15042" spans="1:6" x14ac:dyDescent="0.25">
      <c r="A15042" s="1" t="s">
        <v>358</v>
      </c>
      <c r="B15042" s="1" t="s">
        <v>357</v>
      </c>
      <c r="C15042" s="1" t="s">
        <v>90</v>
      </c>
      <c r="D15042" s="3">
        <f t="shared" si="2468"/>
        <v>7521</v>
      </c>
      <c r="E15042" s="2">
        <f t="shared" si="2469"/>
        <v>41640</v>
      </c>
      <c r="F15042" s="2">
        <f t="shared" si="2470"/>
        <v>44592</v>
      </c>
    </row>
    <row r="15043" spans="1:6" x14ac:dyDescent="0.25">
      <c r="A15043" s="1" t="s">
        <v>358</v>
      </c>
      <c r="B15043" s="1" t="s">
        <v>357</v>
      </c>
      <c r="C15043" s="1" t="s">
        <v>19</v>
      </c>
      <c r="D15043" s="3">
        <f t="shared" si="2468"/>
        <v>7521</v>
      </c>
      <c r="E15043" s="2">
        <f t="shared" si="2469"/>
        <v>41640</v>
      </c>
      <c r="F15043" s="2">
        <f t="shared" si="2470"/>
        <v>44592</v>
      </c>
    </row>
    <row r="15044" spans="1:6" x14ac:dyDescent="0.25">
      <c r="A15044" s="1" t="s">
        <v>358</v>
      </c>
      <c r="B15044" s="1" t="s">
        <v>357</v>
      </c>
      <c r="C15044" s="1" t="s">
        <v>193</v>
      </c>
      <c r="D15044" s="3">
        <f t="shared" si="2468"/>
        <v>7521</v>
      </c>
      <c r="E15044" s="2">
        <f t="shared" si="2469"/>
        <v>41640</v>
      </c>
      <c r="F15044" s="2">
        <f t="shared" si="2470"/>
        <v>44592</v>
      </c>
    </row>
    <row r="15045" spans="1:6" x14ac:dyDescent="0.25">
      <c r="A15045" s="1" t="s">
        <v>358</v>
      </c>
      <c r="B15045" s="1" t="s">
        <v>357</v>
      </c>
      <c r="C15045" s="1" t="s">
        <v>20</v>
      </c>
      <c r="D15045" s="3">
        <f t="shared" si="2468"/>
        <v>7521</v>
      </c>
      <c r="E15045" s="2">
        <f t="shared" si="2469"/>
        <v>41640</v>
      </c>
      <c r="F15045" s="2">
        <f t="shared" si="2470"/>
        <v>44592</v>
      </c>
    </row>
    <row r="15046" spans="1:6" x14ac:dyDescent="0.25">
      <c r="A15046" s="1" t="s">
        <v>358</v>
      </c>
      <c r="B15046" s="1" t="s">
        <v>357</v>
      </c>
      <c r="C15046" s="1" t="s">
        <v>21</v>
      </c>
      <c r="D15046" s="3">
        <f t="shared" si="2468"/>
        <v>7521</v>
      </c>
      <c r="E15046" s="2">
        <f t="shared" si="2469"/>
        <v>41640</v>
      </c>
      <c r="F15046" s="2">
        <f t="shared" si="2470"/>
        <v>44592</v>
      </c>
    </row>
    <row r="15047" spans="1:6" x14ac:dyDescent="0.25">
      <c r="A15047" s="1" t="s">
        <v>358</v>
      </c>
      <c r="B15047" s="1" t="s">
        <v>357</v>
      </c>
      <c r="C15047" s="1" t="s">
        <v>22</v>
      </c>
      <c r="D15047" s="3">
        <f t="shared" si="2468"/>
        <v>7521</v>
      </c>
      <c r="E15047" s="2">
        <f t="shared" si="2469"/>
        <v>41640</v>
      </c>
      <c r="F15047" s="2">
        <f t="shared" si="2470"/>
        <v>44592</v>
      </c>
    </row>
    <row r="15048" spans="1:6" x14ac:dyDescent="0.25">
      <c r="A15048" s="1" t="s">
        <v>358</v>
      </c>
      <c r="B15048" s="1" t="s">
        <v>357</v>
      </c>
      <c r="C15048" s="1" t="s">
        <v>146</v>
      </c>
      <c r="D15048" s="3">
        <f t="shared" si="2468"/>
        <v>7521</v>
      </c>
      <c r="E15048" s="2">
        <f t="shared" si="2469"/>
        <v>41640</v>
      </c>
      <c r="F15048" s="2">
        <f t="shared" si="2470"/>
        <v>44592</v>
      </c>
    </row>
    <row r="15049" spans="1:6" x14ac:dyDescent="0.25">
      <c r="A15049" s="1" t="s">
        <v>358</v>
      </c>
      <c r="B15049" s="1" t="s">
        <v>357</v>
      </c>
      <c r="C15049" s="1" t="s">
        <v>67</v>
      </c>
      <c r="D15049" s="3">
        <f t="shared" si="2468"/>
        <v>7521</v>
      </c>
      <c r="E15049" s="2">
        <f t="shared" si="2469"/>
        <v>41640</v>
      </c>
      <c r="F15049" s="2">
        <f t="shared" si="2470"/>
        <v>44592</v>
      </c>
    </row>
    <row r="15050" spans="1:6" x14ac:dyDescent="0.25">
      <c r="A15050" s="1" t="s">
        <v>358</v>
      </c>
      <c r="B15050" s="1" t="s">
        <v>357</v>
      </c>
      <c r="C15050" s="1" t="s">
        <v>148</v>
      </c>
      <c r="D15050" s="3">
        <f t="shared" si="2468"/>
        <v>7521</v>
      </c>
      <c r="E15050" s="2">
        <f t="shared" si="2469"/>
        <v>41640</v>
      </c>
      <c r="F15050" s="2">
        <f t="shared" si="2470"/>
        <v>44592</v>
      </c>
    </row>
    <row r="15051" spans="1:6" x14ac:dyDescent="0.25">
      <c r="A15051" s="1" t="s">
        <v>358</v>
      </c>
      <c r="B15051" s="1" t="s">
        <v>357</v>
      </c>
      <c r="C15051" s="1" t="s">
        <v>149</v>
      </c>
      <c r="D15051" s="3">
        <f t="shared" si="2468"/>
        <v>7521</v>
      </c>
      <c r="E15051" s="2">
        <f t="shared" si="2469"/>
        <v>41640</v>
      </c>
      <c r="F15051" s="2">
        <f t="shared" si="2470"/>
        <v>44592</v>
      </c>
    </row>
    <row r="15052" spans="1:6" x14ac:dyDescent="0.25">
      <c r="A15052" s="1" t="s">
        <v>358</v>
      </c>
      <c r="B15052" s="1" t="s">
        <v>357</v>
      </c>
      <c r="C15052" s="1" t="s">
        <v>150</v>
      </c>
      <c r="D15052" s="3">
        <f t="shared" si="2468"/>
        <v>7521</v>
      </c>
      <c r="E15052" s="2">
        <f t="shared" si="2469"/>
        <v>41640</v>
      </c>
      <c r="F15052" s="2">
        <f t="shared" si="2470"/>
        <v>44592</v>
      </c>
    </row>
    <row r="15053" spans="1:6" x14ac:dyDescent="0.25">
      <c r="A15053" s="1" t="s">
        <v>358</v>
      </c>
      <c r="B15053" s="1" t="s">
        <v>357</v>
      </c>
      <c r="C15053" s="1" t="s">
        <v>211</v>
      </c>
      <c r="D15053" s="3">
        <f t="shared" si="2468"/>
        <v>7521</v>
      </c>
      <c r="E15053" s="2">
        <f t="shared" si="2469"/>
        <v>41640</v>
      </c>
      <c r="F15053" s="2">
        <f t="shared" si="2470"/>
        <v>44592</v>
      </c>
    </row>
    <row r="15054" spans="1:6" x14ac:dyDescent="0.25">
      <c r="A15054" s="1" t="s">
        <v>358</v>
      </c>
      <c r="B15054" s="1" t="s">
        <v>357</v>
      </c>
      <c r="C15054" s="1" t="s">
        <v>92</v>
      </c>
      <c r="D15054" s="3">
        <f t="shared" si="2468"/>
        <v>7521</v>
      </c>
      <c r="E15054" s="2">
        <f t="shared" si="2469"/>
        <v>41640</v>
      </c>
      <c r="F15054" s="2">
        <f t="shared" si="2470"/>
        <v>44592</v>
      </c>
    </row>
    <row r="15055" spans="1:6" x14ac:dyDescent="0.25">
      <c r="A15055" s="1" t="s">
        <v>358</v>
      </c>
      <c r="B15055" s="1" t="s">
        <v>357</v>
      </c>
      <c r="C15055" s="1" t="s">
        <v>72</v>
      </c>
      <c r="D15055" s="3">
        <f t="shared" si="2468"/>
        <v>7521</v>
      </c>
      <c r="E15055" s="2">
        <f t="shared" si="2469"/>
        <v>41640</v>
      </c>
      <c r="F15055" s="2">
        <f t="shared" si="2470"/>
        <v>44592</v>
      </c>
    </row>
    <row r="15056" spans="1:6" x14ac:dyDescent="0.25">
      <c r="A15056" s="1" t="s">
        <v>358</v>
      </c>
      <c r="B15056" s="1" t="s">
        <v>357</v>
      </c>
      <c r="C15056" s="1" t="s">
        <v>216</v>
      </c>
      <c r="D15056" s="3">
        <f t="shared" si="2468"/>
        <v>7521</v>
      </c>
      <c r="E15056" s="2">
        <f t="shared" si="2469"/>
        <v>41640</v>
      </c>
      <c r="F15056" s="2">
        <f t="shared" si="2470"/>
        <v>44592</v>
      </c>
    </row>
    <row r="15057" spans="1:6" x14ac:dyDescent="0.25">
      <c r="A15057" s="1" t="s">
        <v>358</v>
      </c>
      <c r="B15057" s="1" t="s">
        <v>357</v>
      </c>
      <c r="C15057" s="1" t="s">
        <v>73</v>
      </c>
      <c r="D15057" s="3">
        <f t="shared" si="2468"/>
        <v>7521</v>
      </c>
      <c r="E15057" s="2">
        <f t="shared" si="2469"/>
        <v>41640</v>
      </c>
      <c r="F15057" s="2">
        <f t="shared" si="2470"/>
        <v>44592</v>
      </c>
    </row>
    <row r="15058" spans="1:6" x14ac:dyDescent="0.25">
      <c r="A15058" s="1" t="s">
        <v>358</v>
      </c>
      <c r="B15058" s="1" t="s">
        <v>357</v>
      </c>
      <c r="C15058" s="1" t="s">
        <v>52</v>
      </c>
      <c r="D15058" s="3">
        <f t="shared" si="2468"/>
        <v>7521</v>
      </c>
      <c r="E15058" s="2">
        <f t="shared" si="2469"/>
        <v>41640</v>
      </c>
      <c r="F15058" s="2">
        <f t="shared" si="2470"/>
        <v>44592</v>
      </c>
    </row>
    <row r="15059" spans="1:6" x14ac:dyDescent="0.25">
      <c r="A15059" s="1" t="s">
        <v>358</v>
      </c>
      <c r="B15059" s="1" t="s">
        <v>357</v>
      </c>
      <c r="C15059" s="1" t="s">
        <v>160</v>
      </c>
      <c r="D15059" s="3">
        <f t="shared" si="2468"/>
        <v>7521</v>
      </c>
      <c r="E15059" s="2">
        <f t="shared" si="2469"/>
        <v>41640</v>
      </c>
      <c r="F15059" s="2">
        <f t="shared" si="2470"/>
        <v>44592</v>
      </c>
    </row>
    <row r="15060" spans="1:6" x14ac:dyDescent="0.25">
      <c r="A15060" s="1" t="s">
        <v>358</v>
      </c>
      <c r="B15060" s="1" t="s">
        <v>357</v>
      </c>
      <c r="C15060" s="1" t="s">
        <v>34</v>
      </c>
      <c r="D15060" s="3">
        <f t="shared" si="2468"/>
        <v>7521</v>
      </c>
      <c r="E15060" s="2">
        <f t="shared" si="2469"/>
        <v>41640</v>
      </c>
      <c r="F15060" s="2">
        <f t="shared" si="2470"/>
        <v>44592</v>
      </c>
    </row>
    <row r="15061" spans="1:6" x14ac:dyDescent="0.25">
      <c r="A15061" s="1" t="s">
        <v>358</v>
      </c>
      <c r="B15061" s="1" t="s">
        <v>357</v>
      </c>
      <c r="C15061" s="1" t="s">
        <v>55</v>
      </c>
      <c r="D15061" s="3">
        <f t="shared" si="2468"/>
        <v>7521</v>
      </c>
      <c r="E15061" s="2">
        <f t="shared" si="2469"/>
        <v>41640</v>
      </c>
      <c r="F15061" s="2">
        <f t="shared" si="2470"/>
        <v>44592</v>
      </c>
    </row>
    <row r="15062" spans="1:6" x14ac:dyDescent="0.25">
      <c r="A15062" s="1" t="s">
        <v>358</v>
      </c>
      <c r="B15062" s="1" t="s">
        <v>357</v>
      </c>
      <c r="C15062" s="1" t="s">
        <v>359</v>
      </c>
      <c r="D15062" s="3">
        <f t="shared" si="2468"/>
        <v>7521</v>
      </c>
      <c r="E15062" s="2">
        <f t="shared" si="2469"/>
        <v>41640</v>
      </c>
      <c r="F15062" s="2">
        <f t="shared" si="2470"/>
        <v>44592</v>
      </c>
    </row>
    <row r="15063" spans="1:6" x14ac:dyDescent="0.25">
      <c r="A15063" s="1" t="s">
        <v>358</v>
      </c>
      <c r="B15063" s="1" t="s">
        <v>357</v>
      </c>
      <c r="C15063" s="1" t="s">
        <v>310</v>
      </c>
      <c r="D15063" s="3">
        <f t="shared" si="2468"/>
        <v>7521</v>
      </c>
      <c r="E15063" s="2">
        <f t="shared" si="2469"/>
        <v>41640</v>
      </c>
      <c r="F15063" s="2">
        <f t="shared" si="2470"/>
        <v>44592</v>
      </c>
    </row>
    <row r="15064" spans="1:6" x14ac:dyDescent="0.25">
      <c r="A15064" s="1" t="s">
        <v>358</v>
      </c>
      <c r="B15064" s="1" t="s">
        <v>357</v>
      </c>
      <c r="C15064" s="1" t="s">
        <v>308</v>
      </c>
      <c r="D15064" s="3">
        <f t="shared" si="2468"/>
        <v>7521</v>
      </c>
      <c r="E15064" s="2">
        <f t="shared" si="2469"/>
        <v>41640</v>
      </c>
      <c r="F15064" s="2">
        <f t="shared" si="2470"/>
        <v>44592</v>
      </c>
    </row>
    <row r="15065" spans="1:6" x14ac:dyDescent="0.25">
      <c r="A15065" s="1" t="s">
        <v>358</v>
      </c>
      <c r="B15065" s="1" t="s">
        <v>357</v>
      </c>
      <c r="C15065" s="1" t="s">
        <v>36</v>
      </c>
      <c r="D15065" s="3">
        <f t="shared" si="2468"/>
        <v>7521</v>
      </c>
      <c r="E15065" s="2">
        <f t="shared" si="2469"/>
        <v>41640</v>
      </c>
      <c r="F15065" s="2">
        <f t="shared" si="2470"/>
        <v>44592</v>
      </c>
    </row>
    <row r="15066" spans="1:6" x14ac:dyDescent="0.25">
      <c r="A15066" s="1" t="s">
        <v>2759</v>
      </c>
      <c r="B15066" s="1" t="s">
        <v>2758</v>
      </c>
      <c r="C15066" s="1" t="s">
        <v>45</v>
      </c>
      <c r="D15066" s="3">
        <f t="shared" ref="D15066:D15074" si="2471">VALUE("7584")</f>
        <v>7584</v>
      </c>
      <c r="E15066" s="2">
        <f t="shared" ref="E15066:E15074" si="2472">DATEVALUE("1-3-2014")</f>
        <v>41699</v>
      </c>
      <c r="F15066" s="2">
        <f t="shared" ref="F15066:F15074" si="2473">DATEVALUE("30-9-2014")</f>
        <v>41912</v>
      </c>
    </row>
    <row r="15067" spans="1:6" x14ac:dyDescent="0.25">
      <c r="A15067" s="1" t="s">
        <v>2759</v>
      </c>
      <c r="B15067" s="1" t="s">
        <v>2758</v>
      </c>
      <c r="C15067" s="1" t="s">
        <v>46</v>
      </c>
      <c r="D15067" s="3">
        <f t="shared" si="2471"/>
        <v>7584</v>
      </c>
      <c r="E15067" s="2">
        <f t="shared" si="2472"/>
        <v>41699</v>
      </c>
      <c r="F15067" s="2">
        <f t="shared" si="2473"/>
        <v>41912</v>
      </c>
    </row>
    <row r="15068" spans="1:6" x14ac:dyDescent="0.25">
      <c r="A15068" s="1" t="s">
        <v>2759</v>
      </c>
      <c r="B15068" s="1" t="s">
        <v>2758</v>
      </c>
      <c r="C15068" s="1" t="s">
        <v>15</v>
      </c>
      <c r="D15068" s="3">
        <f t="shared" si="2471"/>
        <v>7584</v>
      </c>
      <c r="E15068" s="2">
        <f t="shared" si="2472"/>
        <v>41699</v>
      </c>
      <c r="F15068" s="2">
        <f t="shared" si="2473"/>
        <v>41912</v>
      </c>
    </row>
    <row r="15069" spans="1:6" x14ac:dyDescent="0.25">
      <c r="A15069" s="1" t="s">
        <v>2759</v>
      </c>
      <c r="B15069" s="1" t="s">
        <v>2758</v>
      </c>
      <c r="C15069" s="1" t="s">
        <v>17</v>
      </c>
      <c r="D15069" s="3">
        <f t="shared" si="2471"/>
        <v>7584</v>
      </c>
      <c r="E15069" s="2">
        <f t="shared" si="2472"/>
        <v>41699</v>
      </c>
      <c r="F15069" s="2">
        <f t="shared" si="2473"/>
        <v>41912</v>
      </c>
    </row>
    <row r="15070" spans="1:6" x14ac:dyDescent="0.25">
      <c r="A15070" s="1" t="s">
        <v>2759</v>
      </c>
      <c r="B15070" s="1" t="s">
        <v>2758</v>
      </c>
      <c r="C15070" s="1" t="s">
        <v>328</v>
      </c>
      <c r="D15070" s="3">
        <f t="shared" si="2471"/>
        <v>7584</v>
      </c>
      <c r="E15070" s="2">
        <f t="shared" si="2472"/>
        <v>41699</v>
      </c>
      <c r="F15070" s="2">
        <f t="shared" si="2473"/>
        <v>41912</v>
      </c>
    </row>
    <row r="15071" spans="1:6" x14ac:dyDescent="0.25">
      <c r="A15071" s="1" t="s">
        <v>2759</v>
      </c>
      <c r="B15071" s="1" t="s">
        <v>2758</v>
      </c>
      <c r="C15071" s="1" t="s">
        <v>22</v>
      </c>
      <c r="D15071" s="3">
        <f t="shared" si="2471"/>
        <v>7584</v>
      </c>
      <c r="E15071" s="2">
        <f t="shared" si="2472"/>
        <v>41699</v>
      </c>
      <c r="F15071" s="2">
        <f t="shared" si="2473"/>
        <v>41912</v>
      </c>
    </row>
    <row r="15072" spans="1:6" x14ac:dyDescent="0.25">
      <c r="A15072" s="1" t="s">
        <v>2759</v>
      </c>
      <c r="B15072" s="1" t="s">
        <v>2758</v>
      </c>
      <c r="C15072" s="1" t="s">
        <v>149</v>
      </c>
      <c r="D15072" s="3">
        <f t="shared" si="2471"/>
        <v>7584</v>
      </c>
      <c r="E15072" s="2">
        <f t="shared" si="2472"/>
        <v>41699</v>
      </c>
      <c r="F15072" s="2">
        <f t="shared" si="2473"/>
        <v>41912</v>
      </c>
    </row>
    <row r="15073" spans="1:6" x14ac:dyDescent="0.25">
      <c r="A15073" s="1" t="s">
        <v>2759</v>
      </c>
      <c r="B15073" s="1" t="s">
        <v>2758</v>
      </c>
      <c r="C15073" s="1" t="s">
        <v>73</v>
      </c>
      <c r="D15073" s="3">
        <f t="shared" si="2471"/>
        <v>7584</v>
      </c>
      <c r="E15073" s="2">
        <f t="shared" si="2472"/>
        <v>41699</v>
      </c>
      <c r="F15073" s="2">
        <f t="shared" si="2473"/>
        <v>41912</v>
      </c>
    </row>
    <row r="15074" spans="1:6" x14ac:dyDescent="0.25">
      <c r="A15074" s="1" t="s">
        <v>2759</v>
      </c>
      <c r="B15074" s="1" t="s">
        <v>2758</v>
      </c>
      <c r="C15074" s="1" t="s">
        <v>594</v>
      </c>
      <c r="D15074" s="3">
        <f t="shared" si="2471"/>
        <v>7584</v>
      </c>
      <c r="E15074" s="2">
        <f t="shared" si="2472"/>
        <v>41699</v>
      </c>
      <c r="F15074" s="2">
        <f t="shared" si="2473"/>
        <v>41912</v>
      </c>
    </row>
    <row r="15075" spans="1:6" x14ac:dyDescent="0.25">
      <c r="A15075" s="1" t="s">
        <v>2145</v>
      </c>
      <c r="B15075" s="1" t="s">
        <v>2144</v>
      </c>
      <c r="C15075" s="1" t="s">
        <v>8</v>
      </c>
      <c r="D15075" s="3">
        <f t="shared" ref="D15075:D15094" si="2474">VALUE("7460")</f>
        <v>7460</v>
      </c>
      <c r="E15075" s="2">
        <f t="shared" ref="E15075:E15094" si="2475">DATEVALUE("1-9-2013")</f>
        <v>41518</v>
      </c>
      <c r="F15075" s="2">
        <f t="shared" ref="F15075:F15094" si="2476">DATEVALUE("31-12-2018")</f>
        <v>43465</v>
      </c>
    </row>
    <row r="15076" spans="1:6" x14ac:dyDescent="0.25">
      <c r="A15076" s="1" t="s">
        <v>2145</v>
      </c>
      <c r="B15076" s="1" t="s">
        <v>2144</v>
      </c>
      <c r="C15076" s="1" t="s">
        <v>10</v>
      </c>
      <c r="D15076" s="3">
        <f t="shared" si="2474"/>
        <v>7460</v>
      </c>
      <c r="E15076" s="2">
        <f t="shared" si="2475"/>
        <v>41518</v>
      </c>
      <c r="F15076" s="2">
        <f t="shared" si="2476"/>
        <v>43465</v>
      </c>
    </row>
    <row r="15077" spans="1:6" x14ac:dyDescent="0.25">
      <c r="A15077" s="1" t="s">
        <v>2145</v>
      </c>
      <c r="B15077" s="1" t="s">
        <v>2144</v>
      </c>
      <c r="C15077" s="1" t="s">
        <v>609</v>
      </c>
      <c r="D15077" s="3">
        <f t="shared" si="2474"/>
        <v>7460</v>
      </c>
      <c r="E15077" s="2">
        <f t="shared" si="2475"/>
        <v>41518</v>
      </c>
      <c r="F15077" s="2">
        <f t="shared" si="2476"/>
        <v>43465</v>
      </c>
    </row>
    <row r="15078" spans="1:6" x14ac:dyDescent="0.25">
      <c r="A15078" s="1" t="s">
        <v>2145</v>
      </c>
      <c r="B15078" s="1" t="s">
        <v>2144</v>
      </c>
      <c r="C15078" s="1" t="s">
        <v>46</v>
      </c>
      <c r="D15078" s="3">
        <f t="shared" si="2474"/>
        <v>7460</v>
      </c>
      <c r="E15078" s="2">
        <f t="shared" si="2475"/>
        <v>41518</v>
      </c>
      <c r="F15078" s="2">
        <f t="shared" si="2476"/>
        <v>43465</v>
      </c>
    </row>
    <row r="15079" spans="1:6" x14ac:dyDescent="0.25">
      <c r="A15079" s="1" t="s">
        <v>2145</v>
      </c>
      <c r="B15079" s="1" t="s">
        <v>2144</v>
      </c>
      <c r="C15079" s="1" t="s">
        <v>14</v>
      </c>
      <c r="D15079" s="3">
        <f t="shared" si="2474"/>
        <v>7460</v>
      </c>
      <c r="E15079" s="2">
        <f t="shared" si="2475"/>
        <v>41518</v>
      </c>
      <c r="F15079" s="2">
        <f t="shared" si="2476"/>
        <v>43465</v>
      </c>
    </row>
    <row r="15080" spans="1:6" x14ac:dyDescent="0.25">
      <c r="A15080" s="1" t="s">
        <v>2145</v>
      </c>
      <c r="B15080" s="1" t="s">
        <v>2144</v>
      </c>
      <c r="C15080" s="1" t="s">
        <v>15</v>
      </c>
      <c r="D15080" s="3">
        <f t="shared" si="2474"/>
        <v>7460</v>
      </c>
      <c r="E15080" s="2">
        <f t="shared" si="2475"/>
        <v>41518</v>
      </c>
      <c r="F15080" s="2">
        <f t="shared" si="2476"/>
        <v>43465</v>
      </c>
    </row>
    <row r="15081" spans="1:6" x14ac:dyDescent="0.25">
      <c r="A15081" s="1" t="s">
        <v>2145</v>
      </c>
      <c r="B15081" s="1" t="s">
        <v>2144</v>
      </c>
      <c r="C15081" s="1" t="s">
        <v>16</v>
      </c>
      <c r="D15081" s="3">
        <f t="shared" si="2474"/>
        <v>7460</v>
      </c>
      <c r="E15081" s="2">
        <f t="shared" si="2475"/>
        <v>41518</v>
      </c>
      <c r="F15081" s="2">
        <f t="shared" si="2476"/>
        <v>43465</v>
      </c>
    </row>
    <row r="15082" spans="1:6" x14ac:dyDescent="0.25">
      <c r="A15082" s="1" t="s">
        <v>2145</v>
      </c>
      <c r="B15082" s="1" t="s">
        <v>2144</v>
      </c>
      <c r="C15082" s="1" t="s">
        <v>290</v>
      </c>
      <c r="D15082" s="3">
        <f t="shared" si="2474"/>
        <v>7460</v>
      </c>
      <c r="E15082" s="2">
        <f t="shared" si="2475"/>
        <v>41518</v>
      </c>
      <c r="F15082" s="2">
        <f t="shared" si="2476"/>
        <v>43465</v>
      </c>
    </row>
    <row r="15083" spans="1:6" x14ac:dyDescent="0.25">
      <c r="A15083" s="1" t="s">
        <v>2145</v>
      </c>
      <c r="B15083" s="1" t="s">
        <v>2144</v>
      </c>
      <c r="C15083" s="1" t="s">
        <v>17</v>
      </c>
      <c r="D15083" s="3">
        <f t="shared" si="2474"/>
        <v>7460</v>
      </c>
      <c r="E15083" s="2">
        <f t="shared" si="2475"/>
        <v>41518</v>
      </c>
      <c r="F15083" s="2">
        <f t="shared" si="2476"/>
        <v>43465</v>
      </c>
    </row>
    <row r="15084" spans="1:6" x14ac:dyDescent="0.25">
      <c r="A15084" s="1" t="s">
        <v>2145</v>
      </c>
      <c r="B15084" s="1" t="s">
        <v>2144</v>
      </c>
      <c r="C15084" s="1" t="s">
        <v>90</v>
      </c>
      <c r="D15084" s="3">
        <f t="shared" si="2474"/>
        <v>7460</v>
      </c>
      <c r="E15084" s="2">
        <f t="shared" si="2475"/>
        <v>41518</v>
      </c>
      <c r="F15084" s="2">
        <f t="shared" si="2476"/>
        <v>43465</v>
      </c>
    </row>
    <row r="15085" spans="1:6" x14ac:dyDescent="0.25">
      <c r="A15085" s="1" t="s">
        <v>2145</v>
      </c>
      <c r="B15085" s="1" t="s">
        <v>2144</v>
      </c>
      <c r="C15085" s="1" t="s">
        <v>328</v>
      </c>
      <c r="D15085" s="3">
        <f t="shared" si="2474"/>
        <v>7460</v>
      </c>
      <c r="E15085" s="2">
        <f t="shared" si="2475"/>
        <v>41518</v>
      </c>
      <c r="F15085" s="2">
        <f t="shared" si="2476"/>
        <v>43465</v>
      </c>
    </row>
    <row r="15086" spans="1:6" x14ac:dyDescent="0.25">
      <c r="A15086" s="1" t="s">
        <v>2145</v>
      </c>
      <c r="B15086" s="1" t="s">
        <v>2144</v>
      </c>
      <c r="C15086" s="1" t="s">
        <v>22</v>
      </c>
      <c r="D15086" s="3">
        <f t="shared" si="2474"/>
        <v>7460</v>
      </c>
      <c r="E15086" s="2">
        <f t="shared" si="2475"/>
        <v>41518</v>
      </c>
      <c r="F15086" s="2">
        <f t="shared" si="2476"/>
        <v>43465</v>
      </c>
    </row>
    <row r="15087" spans="1:6" x14ac:dyDescent="0.25">
      <c r="A15087" s="1" t="s">
        <v>2145</v>
      </c>
      <c r="B15087" s="1" t="s">
        <v>2144</v>
      </c>
      <c r="C15087" s="1" t="s">
        <v>146</v>
      </c>
      <c r="D15087" s="3">
        <f t="shared" si="2474"/>
        <v>7460</v>
      </c>
      <c r="E15087" s="2">
        <f t="shared" si="2475"/>
        <v>41518</v>
      </c>
      <c r="F15087" s="2">
        <f t="shared" si="2476"/>
        <v>43465</v>
      </c>
    </row>
    <row r="15088" spans="1:6" x14ac:dyDescent="0.25">
      <c r="A15088" s="1" t="s">
        <v>2145</v>
      </c>
      <c r="B15088" s="1" t="s">
        <v>2144</v>
      </c>
      <c r="C15088" s="1" t="s">
        <v>148</v>
      </c>
      <c r="D15088" s="3">
        <f t="shared" si="2474"/>
        <v>7460</v>
      </c>
      <c r="E15088" s="2">
        <f t="shared" si="2475"/>
        <v>41518</v>
      </c>
      <c r="F15088" s="2">
        <f t="shared" si="2476"/>
        <v>43465</v>
      </c>
    </row>
    <row r="15089" spans="1:6" x14ac:dyDescent="0.25">
      <c r="A15089" s="1" t="s">
        <v>2145</v>
      </c>
      <c r="B15089" s="1" t="s">
        <v>2144</v>
      </c>
      <c r="C15089" s="1" t="s">
        <v>92</v>
      </c>
      <c r="D15089" s="3">
        <f t="shared" si="2474"/>
        <v>7460</v>
      </c>
      <c r="E15089" s="2">
        <f t="shared" si="2475"/>
        <v>41518</v>
      </c>
      <c r="F15089" s="2">
        <f t="shared" si="2476"/>
        <v>43465</v>
      </c>
    </row>
    <row r="15090" spans="1:6" x14ac:dyDescent="0.25">
      <c r="A15090" s="1" t="s">
        <v>2145</v>
      </c>
      <c r="B15090" s="1" t="s">
        <v>2144</v>
      </c>
      <c r="C15090" s="1" t="s">
        <v>26</v>
      </c>
      <c r="D15090" s="3">
        <f t="shared" si="2474"/>
        <v>7460</v>
      </c>
      <c r="E15090" s="2">
        <f t="shared" si="2475"/>
        <v>41518</v>
      </c>
      <c r="F15090" s="2">
        <f t="shared" si="2476"/>
        <v>43465</v>
      </c>
    </row>
    <row r="15091" spans="1:6" x14ac:dyDescent="0.25">
      <c r="A15091" s="1" t="s">
        <v>2145</v>
      </c>
      <c r="B15091" s="1" t="s">
        <v>2144</v>
      </c>
      <c r="C15091" s="1" t="s">
        <v>262</v>
      </c>
      <c r="D15091" s="3">
        <f t="shared" si="2474"/>
        <v>7460</v>
      </c>
      <c r="E15091" s="2">
        <f t="shared" si="2475"/>
        <v>41518</v>
      </c>
      <c r="F15091" s="2">
        <f t="shared" si="2476"/>
        <v>43465</v>
      </c>
    </row>
    <row r="15092" spans="1:6" x14ac:dyDescent="0.25">
      <c r="A15092" s="1" t="s">
        <v>2145</v>
      </c>
      <c r="B15092" s="1" t="s">
        <v>2144</v>
      </c>
      <c r="C15092" s="1" t="s">
        <v>73</v>
      </c>
      <c r="D15092" s="3">
        <f t="shared" si="2474"/>
        <v>7460</v>
      </c>
      <c r="E15092" s="2">
        <f t="shared" si="2475"/>
        <v>41518</v>
      </c>
      <c r="F15092" s="2">
        <f t="shared" si="2476"/>
        <v>43465</v>
      </c>
    </row>
    <row r="15093" spans="1:6" x14ac:dyDescent="0.25">
      <c r="A15093" s="1" t="s">
        <v>2145</v>
      </c>
      <c r="B15093" s="1" t="s">
        <v>2144</v>
      </c>
      <c r="C15093" s="1" t="s">
        <v>479</v>
      </c>
      <c r="D15093" s="3">
        <f t="shared" si="2474"/>
        <v>7460</v>
      </c>
      <c r="E15093" s="2">
        <f t="shared" si="2475"/>
        <v>41518</v>
      </c>
      <c r="F15093" s="2">
        <f t="shared" si="2476"/>
        <v>43465</v>
      </c>
    </row>
    <row r="15094" spans="1:6" x14ac:dyDescent="0.25">
      <c r="A15094" s="1" t="s">
        <v>2145</v>
      </c>
      <c r="B15094" s="1" t="s">
        <v>2144</v>
      </c>
      <c r="C15094" s="1" t="s">
        <v>36</v>
      </c>
      <c r="D15094" s="3">
        <f t="shared" si="2474"/>
        <v>7460</v>
      </c>
      <c r="E15094" s="2">
        <f t="shared" si="2475"/>
        <v>41518</v>
      </c>
      <c r="F15094" s="2">
        <f t="shared" si="2476"/>
        <v>43465</v>
      </c>
    </row>
    <row r="15095" spans="1:6" x14ac:dyDescent="0.25">
      <c r="A15095" s="1" t="s">
        <v>886</v>
      </c>
      <c r="B15095" s="1" t="s">
        <v>885</v>
      </c>
      <c r="C15095" s="1" t="s">
        <v>887</v>
      </c>
      <c r="D15095" s="3">
        <f t="shared" ref="D15095:D15139" si="2477">VALUE("8112")</f>
        <v>8112</v>
      </c>
      <c r="E15095" s="2">
        <f t="shared" ref="E15095:E15139" si="2478">DATEVALUE("1-7-2017")</f>
        <v>42917</v>
      </c>
      <c r="F15095" s="2">
        <f t="shared" ref="F15095:F15139" si="2479">DATEVALUE("31-12-2020")</f>
        <v>44196</v>
      </c>
    </row>
    <row r="15096" spans="1:6" x14ac:dyDescent="0.25">
      <c r="A15096" s="1" t="s">
        <v>886</v>
      </c>
      <c r="B15096" s="1" t="s">
        <v>885</v>
      </c>
      <c r="C15096" s="1" t="s">
        <v>325</v>
      </c>
      <c r="D15096" s="3">
        <f t="shared" si="2477"/>
        <v>8112</v>
      </c>
      <c r="E15096" s="2">
        <f t="shared" si="2478"/>
        <v>42917</v>
      </c>
      <c r="F15096" s="2">
        <f t="shared" si="2479"/>
        <v>44196</v>
      </c>
    </row>
    <row r="15097" spans="1:6" x14ac:dyDescent="0.25">
      <c r="A15097" s="1" t="s">
        <v>886</v>
      </c>
      <c r="B15097" s="1" t="s">
        <v>885</v>
      </c>
      <c r="C15097" s="1" t="s">
        <v>39</v>
      </c>
      <c r="D15097" s="3">
        <f t="shared" si="2477"/>
        <v>8112</v>
      </c>
      <c r="E15097" s="2">
        <f t="shared" si="2478"/>
        <v>42917</v>
      </c>
      <c r="F15097" s="2">
        <f t="shared" si="2479"/>
        <v>44196</v>
      </c>
    </row>
    <row r="15098" spans="1:6" x14ac:dyDescent="0.25">
      <c r="A15098" s="1" t="s">
        <v>886</v>
      </c>
      <c r="B15098" s="1" t="s">
        <v>885</v>
      </c>
      <c r="C15098" s="1" t="s">
        <v>8</v>
      </c>
      <c r="D15098" s="3">
        <f t="shared" si="2477"/>
        <v>8112</v>
      </c>
      <c r="E15098" s="2">
        <f t="shared" si="2478"/>
        <v>42917</v>
      </c>
      <c r="F15098" s="2">
        <f t="shared" si="2479"/>
        <v>44196</v>
      </c>
    </row>
    <row r="15099" spans="1:6" x14ac:dyDescent="0.25">
      <c r="A15099" s="1" t="s">
        <v>886</v>
      </c>
      <c r="B15099" s="1" t="s">
        <v>885</v>
      </c>
      <c r="C15099" s="1" t="s">
        <v>46</v>
      </c>
      <c r="D15099" s="3">
        <f t="shared" si="2477"/>
        <v>8112</v>
      </c>
      <c r="E15099" s="2">
        <f t="shared" si="2478"/>
        <v>42917</v>
      </c>
      <c r="F15099" s="2">
        <f t="shared" si="2479"/>
        <v>44196</v>
      </c>
    </row>
    <row r="15100" spans="1:6" x14ac:dyDescent="0.25">
      <c r="A15100" s="1" t="s">
        <v>886</v>
      </c>
      <c r="B15100" s="1" t="s">
        <v>885</v>
      </c>
      <c r="C15100" s="1" t="s">
        <v>14</v>
      </c>
      <c r="D15100" s="3">
        <f t="shared" si="2477"/>
        <v>8112</v>
      </c>
      <c r="E15100" s="2">
        <f t="shared" si="2478"/>
        <v>42917</v>
      </c>
      <c r="F15100" s="2">
        <f t="shared" si="2479"/>
        <v>44196</v>
      </c>
    </row>
    <row r="15101" spans="1:6" x14ac:dyDescent="0.25">
      <c r="A15101" s="1" t="s">
        <v>886</v>
      </c>
      <c r="B15101" s="1" t="s">
        <v>885</v>
      </c>
      <c r="C15101" s="1" t="s">
        <v>66</v>
      </c>
      <c r="D15101" s="3">
        <f t="shared" si="2477"/>
        <v>8112</v>
      </c>
      <c r="E15101" s="2">
        <f t="shared" si="2478"/>
        <v>42917</v>
      </c>
      <c r="F15101" s="2">
        <f t="shared" si="2479"/>
        <v>44196</v>
      </c>
    </row>
    <row r="15102" spans="1:6" x14ac:dyDescent="0.25">
      <c r="A15102" s="1" t="s">
        <v>886</v>
      </c>
      <c r="B15102" s="1" t="s">
        <v>885</v>
      </c>
      <c r="C15102" s="1" t="s">
        <v>15</v>
      </c>
      <c r="D15102" s="3">
        <f t="shared" si="2477"/>
        <v>8112</v>
      </c>
      <c r="E15102" s="2">
        <f t="shared" si="2478"/>
        <v>42917</v>
      </c>
      <c r="F15102" s="2">
        <f t="shared" si="2479"/>
        <v>44196</v>
      </c>
    </row>
    <row r="15103" spans="1:6" x14ac:dyDescent="0.25">
      <c r="A15103" s="1" t="s">
        <v>886</v>
      </c>
      <c r="B15103" s="1" t="s">
        <v>885</v>
      </c>
      <c r="C15103" s="1" t="s">
        <v>17</v>
      </c>
      <c r="D15103" s="3">
        <f t="shared" si="2477"/>
        <v>8112</v>
      </c>
      <c r="E15103" s="2">
        <f t="shared" si="2478"/>
        <v>42917</v>
      </c>
      <c r="F15103" s="2">
        <f t="shared" si="2479"/>
        <v>44196</v>
      </c>
    </row>
    <row r="15104" spans="1:6" x14ac:dyDescent="0.25">
      <c r="A15104" s="1" t="s">
        <v>886</v>
      </c>
      <c r="B15104" s="1" t="s">
        <v>885</v>
      </c>
      <c r="C15104" s="1" t="s">
        <v>144</v>
      </c>
      <c r="D15104" s="3">
        <f t="shared" si="2477"/>
        <v>8112</v>
      </c>
      <c r="E15104" s="2">
        <f t="shared" si="2478"/>
        <v>42917</v>
      </c>
      <c r="F15104" s="2">
        <f t="shared" si="2479"/>
        <v>44196</v>
      </c>
    </row>
    <row r="15105" spans="1:6" x14ac:dyDescent="0.25">
      <c r="A15105" s="1" t="s">
        <v>886</v>
      </c>
      <c r="B15105" s="1" t="s">
        <v>885</v>
      </c>
      <c r="C15105" s="1" t="s">
        <v>22</v>
      </c>
      <c r="D15105" s="3">
        <f t="shared" si="2477"/>
        <v>8112</v>
      </c>
      <c r="E15105" s="2">
        <f t="shared" si="2478"/>
        <v>42917</v>
      </c>
      <c r="F15105" s="2">
        <f t="shared" si="2479"/>
        <v>44196</v>
      </c>
    </row>
    <row r="15106" spans="1:6" x14ac:dyDescent="0.25">
      <c r="A15106" s="1" t="s">
        <v>886</v>
      </c>
      <c r="B15106" s="1" t="s">
        <v>885</v>
      </c>
      <c r="C15106" s="1" t="s">
        <v>150</v>
      </c>
      <c r="D15106" s="3">
        <f t="shared" si="2477"/>
        <v>8112</v>
      </c>
      <c r="E15106" s="2">
        <f t="shared" si="2478"/>
        <v>42917</v>
      </c>
      <c r="F15106" s="2">
        <f t="shared" si="2479"/>
        <v>44196</v>
      </c>
    </row>
    <row r="15107" spans="1:6" x14ac:dyDescent="0.25">
      <c r="A15107" s="1" t="s">
        <v>886</v>
      </c>
      <c r="B15107" s="1" t="s">
        <v>885</v>
      </c>
      <c r="C15107" s="1" t="s">
        <v>329</v>
      </c>
      <c r="D15107" s="3">
        <f t="shared" si="2477"/>
        <v>8112</v>
      </c>
      <c r="E15107" s="2">
        <f t="shared" si="2478"/>
        <v>42917</v>
      </c>
      <c r="F15107" s="2">
        <f t="shared" si="2479"/>
        <v>44196</v>
      </c>
    </row>
    <row r="15108" spans="1:6" x14ac:dyDescent="0.25">
      <c r="A15108" s="1" t="s">
        <v>886</v>
      </c>
      <c r="B15108" s="1" t="s">
        <v>885</v>
      </c>
      <c r="C15108" s="1" t="s">
        <v>888</v>
      </c>
      <c r="D15108" s="3">
        <f t="shared" si="2477"/>
        <v>8112</v>
      </c>
      <c r="E15108" s="2">
        <f t="shared" si="2478"/>
        <v>42917</v>
      </c>
      <c r="F15108" s="2">
        <f t="shared" si="2479"/>
        <v>44196</v>
      </c>
    </row>
    <row r="15109" spans="1:6" x14ac:dyDescent="0.25">
      <c r="A15109" s="1" t="s">
        <v>886</v>
      </c>
      <c r="B15109" s="1" t="s">
        <v>885</v>
      </c>
      <c r="C15109" s="1" t="s">
        <v>889</v>
      </c>
      <c r="D15109" s="3">
        <f t="shared" si="2477"/>
        <v>8112</v>
      </c>
      <c r="E15109" s="2">
        <f t="shared" si="2478"/>
        <v>42917</v>
      </c>
      <c r="F15109" s="2">
        <f t="shared" si="2479"/>
        <v>44196</v>
      </c>
    </row>
    <row r="15110" spans="1:6" x14ac:dyDescent="0.25">
      <c r="A15110" s="1" t="s">
        <v>886</v>
      </c>
      <c r="B15110" s="1" t="s">
        <v>885</v>
      </c>
      <c r="C15110" s="1" t="s">
        <v>24</v>
      </c>
      <c r="D15110" s="3">
        <f t="shared" si="2477"/>
        <v>8112</v>
      </c>
      <c r="E15110" s="2">
        <f t="shared" si="2478"/>
        <v>42917</v>
      </c>
      <c r="F15110" s="2">
        <f t="shared" si="2479"/>
        <v>44196</v>
      </c>
    </row>
    <row r="15111" spans="1:6" x14ac:dyDescent="0.25">
      <c r="A15111" s="1" t="s">
        <v>886</v>
      </c>
      <c r="B15111" s="1" t="s">
        <v>885</v>
      </c>
      <c r="C15111" s="1" t="s">
        <v>494</v>
      </c>
      <c r="D15111" s="3">
        <f t="shared" si="2477"/>
        <v>8112</v>
      </c>
      <c r="E15111" s="2">
        <f t="shared" si="2478"/>
        <v>42917</v>
      </c>
      <c r="F15111" s="2">
        <f t="shared" si="2479"/>
        <v>44196</v>
      </c>
    </row>
    <row r="15112" spans="1:6" x14ac:dyDescent="0.25">
      <c r="A15112" s="1" t="s">
        <v>886</v>
      </c>
      <c r="B15112" s="1" t="s">
        <v>885</v>
      </c>
      <c r="C15112" s="1" t="s">
        <v>99</v>
      </c>
      <c r="D15112" s="3">
        <f t="shared" si="2477"/>
        <v>8112</v>
      </c>
      <c r="E15112" s="2">
        <f t="shared" si="2478"/>
        <v>42917</v>
      </c>
      <c r="F15112" s="2">
        <f t="shared" si="2479"/>
        <v>44196</v>
      </c>
    </row>
    <row r="15113" spans="1:6" x14ac:dyDescent="0.25">
      <c r="A15113" s="1" t="s">
        <v>886</v>
      </c>
      <c r="B15113" s="1" t="s">
        <v>885</v>
      </c>
      <c r="C15113" s="1" t="s">
        <v>100</v>
      </c>
      <c r="D15113" s="3">
        <f t="shared" si="2477"/>
        <v>8112</v>
      </c>
      <c r="E15113" s="2">
        <f t="shared" si="2478"/>
        <v>42917</v>
      </c>
      <c r="F15113" s="2">
        <f t="shared" si="2479"/>
        <v>44196</v>
      </c>
    </row>
    <row r="15114" spans="1:6" x14ac:dyDescent="0.25">
      <c r="A15114" s="1" t="s">
        <v>886</v>
      </c>
      <c r="B15114" s="1" t="s">
        <v>885</v>
      </c>
      <c r="C15114" s="1" t="s">
        <v>495</v>
      </c>
      <c r="D15114" s="3">
        <f t="shared" si="2477"/>
        <v>8112</v>
      </c>
      <c r="E15114" s="2">
        <f t="shared" si="2478"/>
        <v>42917</v>
      </c>
      <c r="F15114" s="2">
        <f t="shared" si="2479"/>
        <v>44196</v>
      </c>
    </row>
    <row r="15115" spans="1:6" x14ac:dyDescent="0.25">
      <c r="A15115" s="1" t="s">
        <v>886</v>
      </c>
      <c r="B15115" s="1" t="s">
        <v>885</v>
      </c>
      <c r="C15115" s="1" t="s">
        <v>72</v>
      </c>
      <c r="D15115" s="3">
        <f t="shared" si="2477"/>
        <v>8112</v>
      </c>
      <c r="E15115" s="2">
        <f t="shared" si="2478"/>
        <v>42917</v>
      </c>
      <c r="F15115" s="2">
        <f t="shared" si="2479"/>
        <v>44196</v>
      </c>
    </row>
    <row r="15116" spans="1:6" x14ac:dyDescent="0.25">
      <c r="A15116" s="1" t="s">
        <v>886</v>
      </c>
      <c r="B15116" s="1" t="s">
        <v>885</v>
      </c>
      <c r="C15116" s="1" t="s">
        <v>226</v>
      </c>
      <c r="D15116" s="3">
        <f t="shared" si="2477"/>
        <v>8112</v>
      </c>
      <c r="E15116" s="2">
        <f t="shared" si="2478"/>
        <v>42917</v>
      </c>
      <c r="F15116" s="2">
        <f t="shared" si="2479"/>
        <v>44196</v>
      </c>
    </row>
    <row r="15117" spans="1:6" x14ac:dyDescent="0.25">
      <c r="A15117" s="1" t="s">
        <v>886</v>
      </c>
      <c r="B15117" s="1" t="s">
        <v>885</v>
      </c>
      <c r="C15117" s="1" t="s">
        <v>104</v>
      </c>
      <c r="D15117" s="3">
        <f t="shared" si="2477"/>
        <v>8112</v>
      </c>
      <c r="E15117" s="2">
        <f t="shared" si="2478"/>
        <v>42917</v>
      </c>
      <c r="F15117" s="2">
        <f t="shared" si="2479"/>
        <v>44196</v>
      </c>
    </row>
    <row r="15118" spans="1:6" x14ac:dyDescent="0.25">
      <c r="A15118" s="1" t="s">
        <v>886</v>
      </c>
      <c r="B15118" s="1" t="s">
        <v>885</v>
      </c>
      <c r="C15118" s="1" t="s">
        <v>216</v>
      </c>
      <c r="D15118" s="3">
        <f t="shared" si="2477"/>
        <v>8112</v>
      </c>
      <c r="E15118" s="2">
        <f t="shared" si="2478"/>
        <v>42917</v>
      </c>
      <c r="F15118" s="2">
        <f t="shared" si="2479"/>
        <v>44196</v>
      </c>
    </row>
    <row r="15119" spans="1:6" x14ac:dyDescent="0.25">
      <c r="A15119" s="1" t="s">
        <v>886</v>
      </c>
      <c r="B15119" s="1" t="s">
        <v>885</v>
      </c>
      <c r="C15119" s="1" t="s">
        <v>293</v>
      </c>
      <c r="D15119" s="3">
        <f t="shared" si="2477"/>
        <v>8112</v>
      </c>
      <c r="E15119" s="2">
        <f t="shared" si="2478"/>
        <v>42917</v>
      </c>
      <c r="F15119" s="2">
        <f t="shared" si="2479"/>
        <v>44196</v>
      </c>
    </row>
    <row r="15120" spans="1:6" x14ac:dyDescent="0.25">
      <c r="A15120" s="1" t="s">
        <v>886</v>
      </c>
      <c r="B15120" s="1" t="s">
        <v>885</v>
      </c>
      <c r="C15120" s="1" t="s">
        <v>294</v>
      </c>
      <c r="D15120" s="3">
        <f t="shared" si="2477"/>
        <v>8112</v>
      </c>
      <c r="E15120" s="2">
        <f t="shared" si="2478"/>
        <v>42917</v>
      </c>
      <c r="F15120" s="2">
        <f t="shared" si="2479"/>
        <v>44196</v>
      </c>
    </row>
    <row r="15121" spans="1:6" x14ac:dyDescent="0.25">
      <c r="A15121" s="1" t="s">
        <v>886</v>
      </c>
      <c r="B15121" s="1" t="s">
        <v>885</v>
      </c>
      <c r="C15121" s="1" t="s">
        <v>73</v>
      </c>
      <c r="D15121" s="3">
        <f t="shared" si="2477"/>
        <v>8112</v>
      </c>
      <c r="E15121" s="2">
        <f t="shared" si="2478"/>
        <v>42917</v>
      </c>
      <c r="F15121" s="2">
        <f t="shared" si="2479"/>
        <v>44196</v>
      </c>
    </row>
    <row r="15122" spans="1:6" x14ac:dyDescent="0.25">
      <c r="A15122" s="1" t="s">
        <v>886</v>
      </c>
      <c r="B15122" s="1" t="s">
        <v>885</v>
      </c>
      <c r="C15122" s="1" t="s">
        <v>296</v>
      </c>
      <c r="D15122" s="3">
        <f t="shared" si="2477"/>
        <v>8112</v>
      </c>
      <c r="E15122" s="2">
        <f t="shared" si="2478"/>
        <v>42917</v>
      </c>
      <c r="F15122" s="2">
        <f t="shared" si="2479"/>
        <v>44196</v>
      </c>
    </row>
    <row r="15123" spans="1:6" x14ac:dyDescent="0.25">
      <c r="A15123" s="1" t="s">
        <v>886</v>
      </c>
      <c r="B15123" s="1" t="s">
        <v>885</v>
      </c>
      <c r="C15123" s="1" t="s">
        <v>298</v>
      </c>
      <c r="D15123" s="3">
        <f t="shared" si="2477"/>
        <v>8112</v>
      </c>
      <c r="E15123" s="2">
        <f t="shared" si="2478"/>
        <v>42917</v>
      </c>
      <c r="F15123" s="2">
        <f t="shared" si="2479"/>
        <v>44196</v>
      </c>
    </row>
    <row r="15124" spans="1:6" x14ac:dyDescent="0.25">
      <c r="A15124" s="1" t="s">
        <v>886</v>
      </c>
      <c r="B15124" s="1" t="s">
        <v>885</v>
      </c>
      <c r="C15124" s="1" t="s">
        <v>299</v>
      </c>
      <c r="D15124" s="3">
        <f t="shared" si="2477"/>
        <v>8112</v>
      </c>
      <c r="E15124" s="2">
        <f t="shared" si="2478"/>
        <v>42917</v>
      </c>
      <c r="F15124" s="2">
        <f t="shared" si="2479"/>
        <v>44196</v>
      </c>
    </row>
    <row r="15125" spans="1:6" x14ac:dyDescent="0.25">
      <c r="A15125" s="1" t="s">
        <v>886</v>
      </c>
      <c r="B15125" s="1" t="s">
        <v>885</v>
      </c>
      <c r="C15125" s="1" t="s">
        <v>300</v>
      </c>
      <c r="D15125" s="3">
        <f t="shared" si="2477"/>
        <v>8112</v>
      </c>
      <c r="E15125" s="2">
        <f t="shared" si="2478"/>
        <v>42917</v>
      </c>
      <c r="F15125" s="2">
        <f t="shared" si="2479"/>
        <v>44196</v>
      </c>
    </row>
    <row r="15126" spans="1:6" x14ac:dyDescent="0.25">
      <c r="A15126" s="1" t="s">
        <v>886</v>
      </c>
      <c r="B15126" s="1" t="s">
        <v>885</v>
      </c>
      <c r="C15126" s="1" t="s">
        <v>301</v>
      </c>
      <c r="D15126" s="3">
        <f t="shared" si="2477"/>
        <v>8112</v>
      </c>
      <c r="E15126" s="2">
        <f t="shared" si="2478"/>
        <v>42917</v>
      </c>
      <c r="F15126" s="2">
        <f t="shared" si="2479"/>
        <v>44196</v>
      </c>
    </row>
    <row r="15127" spans="1:6" x14ac:dyDescent="0.25">
      <c r="A15127" s="1" t="s">
        <v>886</v>
      </c>
      <c r="B15127" s="1" t="s">
        <v>885</v>
      </c>
      <c r="C15127" s="1" t="s">
        <v>302</v>
      </c>
      <c r="D15127" s="3">
        <f t="shared" si="2477"/>
        <v>8112</v>
      </c>
      <c r="E15127" s="2">
        <f t="shared" si="2478"/>
        <v>42917</v>
      </c>
      <c r="F15127" s="2">
        <f t="shared" si="2479"/>
        <v>44196</v>
      </c>
    </row>
    <row r="15128" spans="1:6" x14ac:dyDescent="0.25">
      <c r="A15128" s="1" t="s">
        <v>886</v>
      </c>
      <c r="B15128" s="1" t="s">
        <v>885</v>
      </c>
      <c r="C15128" s="1" t="s">
        <v>391</v>
      </c>
      <c r="D15128" s="3">
        <f t="shared" si="2477"/>
        <v>8112</v>
      </c>
      <c r="E15128" s="2">
        <f t="shared" si="2478"/>
        <v>42917</v>
      </c>
      <c r="F15128" s="2">
        <f t="shared" si="2479"/>
        <v>44196</v>
      </c>
    </row>
    <row r="15129" spans="1:6" x14ac:dyDescent="0.25">
      <c r="A15129" s="1" t="s">
        <v>886</v>
      </c>
      <c r="B15129" s="1" t="s">
        <v>885</v>
      </c>
      <c r="C15129" s="1" t="s">
        <v>52</v>
      </c>
      <c r="D15129" s="3">
        <f t="shared" si="2477"/>
        <v>8112</v>
      </c>
      <c r="E15129" s="2">
        <f t="shared" si="2478"/>
        <v>42917</v>
      </c>
      <c r="F15129" s="2">
        <f t="shared" si="2479"/>
        <v>44196</v>
      </c>
    </row>
    <row r="15130" spans="1:6" x14ac:dyDescent="0.25">
      <c r="A15130" s="1" t="s">
        <v>886</v>
      </c>
      <c r="B15130" s="1" t="s">
        <v>885</v>
      </c>
      <c r="C15130" s="1" t="s">
        <v>241</v>
      </c>
      <c r="D15130" s="3">
        <f t="shared" si="2477"/>
        <v>8112</v>
      </c>
      <c r="E15130" s="2">
        <f t="shared" si="2478"/>
        <v>42917</v>
      </c>
      <c r="F15130" s="2">
        <f t="shared" si="2479"/>
        <v>44196</v>
      </c>
    </row>
    <row r="15131" spans="1:6" x14ac:dyDescent="0.25">
      <c r="A15131" s="1" t="s">
        <v>886</v>
      </c>
      <c r="B15131" s="1" t="s">
        <v>885</v>
      </c>
      <c r="C15131" s="1" t="s">
        <v>160</v>
      </c>
      <c r="D15131" s="3">
        <f t="shared" si="2477"/>
        <v>8112</v>
      </c>
      <c r="E15131" s="2">
        <f t="shared" si="2478"/>
        <v>42917</v>
      </c>
      <c r="F15131" s="2">
        <f t="shared" si="2479"/>
        <v>44196</v>
      </c>
    </row>
    <row r="15132" spans="1:6" x14ac:dyDescent="0.25">
      <c r="A15132" s="1" t="s">
        <v>886</v>
      </c>
      <c r="B15132" s="1" t="s">
        <v>885</v>
      </c>
      <c r="C15132" s="1" t="s">
        <v>53</v>
      </c>
      <c r="D15132" s="3">
        <f t="shared" si="2477"/>
        <v>8112</v>
      </c>
      <c r="E15132" s="2">
        <f t="shared" si="2478"/>
        <v>42917</v>
      </c>
      <c r="F15132" s="2">
        <f t="shared" si="2479"/>
        <v>44196</v>
      </c>
    </row>
    <row r="15133" spans="1:6" x14ac:dyDescent="0.25">
      <c r="A15133" s="1" t="s">
        <v>886</v>
      </c>
      <c r="B15133" s="1" t="s">
        <v>885</v>
      </c>
      <c r="C15133" s="1" t="s">
        <v>378</v>
      </c>
      <c r="D15133" s="3">
        <f t="shared" si="2477"/>
        <v>8112</v>
      </c>
      <c r="E15133" s="2">
        <f t="shared" si="2478"/>
        <v>42917</v>
      </c>
      <c r="F15133" s="2">
        <f t="shared" si="2479"/>
        <v>44196</v>
      </c>
    </row>
    <row r="15134" spans="1:6" x14ac:dyDescent="0.25">
      <c r="A15134" s="1" t="s">
        <v>886</v>
      </c>
      <c r="B15134" s="1" t="s">
        <v>885</v>
      </c>
      <c r="C15134" s="1" t="s">
        <v>890</v>
      </c>
      <c r="D15134" s="3">
        <f t="shared" si="2477"/>
        <v>8112</v>
      </c>
      <c r="E15134" s="2">
        <f t="shared" si="2478"/>
        <v>42917</v>
      </c>
      <c r="F15134" s="2">
        <f t="shared" si="2479"/>
        <v>44196</v>
      </c>
    </row>
    <row r="15135" spans="1:6" x14ac:dyDescent="0.25">
      <c r="A15135" s="1" t="s">
        <v>886</v>
      </c>
      <c r="B15135" s="1" t="s">
        <v>885</v>
      </c>
      <c r="C15135" s="1" t="s">
        <v>34</v>
      </c>
      <c r="D15135" s="3">
        <f t="shared" si="2477"/>
        <v>8112</v>
      </c>
      <c r="E15135" s="2">
        <f t="shared" si="2478"/>
        <v>42917</v>
      </c>
      <c r="F15135" s="2">
        <f t="shared" si="2479"/>
        <v>44196</v>
      </c>
    </row>
    <row r="15136" spans="1:6" x14ac:dyDescent="0.25">
      <c r="A15136" s="1" t="s">
        <v>886</v>
      </c>
      <c r="B15136" s="1" t="s">
        <v>885</v>
      </c>
      <c r="C15136" s="1" t="s">
        <v>115</v>
      </c>
      <c r="D15136" s="3">
        <f t="shared" si="2477"/>
        <v>8112</v>
      </c>
      <c r="E15136" s="2">
        <f t="shared" si="2478"/>
        <v>42917</v>
      </c>
      <c r="F15136" s="2">
        <f t="shared" si="2479"/>
        <v>44196</v>
      </c>
    </row>
    <row r="15137" spans="1:6" x14ac:dyDescent="0.25">
      <c r="A15137" s="1" t="s">
        <v>886</v>
      </c>
      <c r="B15137" s="1" t="s">
        <v>885</v>
      </c>
      <c r="C15137" s="1" t="s">
        <v>169</v>
      </c>
      <c r="D15137" s="3">
        <f t="shared" si="2477"/>
        <v>8112</v>
      </c>
      <c r="E15137" s="2">
        <f t="shared" si="2478"/>
        <v>42917</v>
      </c>
      <c r="F15137" s="2">
        <f t="shared" si="2479"/>
        <v>44196</v>
      </c>
    </row>
    <row r="15138" spans="1:6" x14ac:dyDescent="0.25">
      <c r="A15138" s="1" t="s">
        <v>886</v>
      </c>
      <c r="B15138" s="1" t="s">
        <v>885</v>
      </c>
      <c r="C15138" s="1" t="s">
        <v>170</v>
      </c>
      <c r="D15138" s="3">
        <f t="shared" si="2477"/>
        <v>8112</v>
      </c>
      <c r="E15138" s="2">
        <f t="shared" si="2478"/>
        <v>42917</v>
      </c>
      <c r="F15138" s="2">
        <f t="shared" si="2479"/>
        <v>44196</v>
      </c>
    </row>
    <row r="15139" spans="1:6" x14ac:dyDescent="0.25">
      <c r="A15139" s="1" t="s">
        <v>886</v>
      </c>
      <c r="B15139" s="1" t="s">
        <v>885</v>
      </c>
      <c r="C15139" s="1" t="s">
        <v>117</v>
      </c>
      <c r="D15139" s="3">
        <f t="shared" si="2477"/>
        <v>8112</v>
      </c>
      <c r="E15139" s="2">
        <f t="shared" si="2478"/>
        <v>42917</v>
      </c>
      <c r="F15139" s="2">
        <f t="shared" si="2479"/>
        <v>44196</v>
      </c>
    </row>
    <row r="15140" spans="1:6" x14ac:dyDescent="0.25">
      <c r="A15140" s="1" t="s">
        <v>2137</v>
      </c>
      <c r="B15140" s="1" t="s">
        <v>2143</v>
      </c>
      <c r="C15140" s="1" t="s">
        <v>202</v>
      </c>
      <c r="D15140" s="3">
        <f t="shared" ref="D15140:D15151" si="2480">VALUE("7459")</f>
        <v>7459</v>
      </c>
      <c r="E15140" s="2">
        <f t="shared" ref="E15140:E15151" si="2481">DATEVALUE("1-9-2013")</f>
        <v>41518</v>
      </c>
      <c r="F15140" s="2">
        <f t="shared" ref="F15140:F15156" si="2482">DATEVALUE("30-9-2017")</f>
        <v>43008</v>
      </c>
    </row>
    <row r="15141" spans="1:6" x14ac:dyDescent="0.25">
      <c r="A15141" s="1" t="s">
        <v>2137</v>
      </c>
      <c r="B15141" s="1" t="s">
        <v>2143</v>
      </c>
      <c r="C15141" s="1" t="s">
        <v>46</v>
      </c>
      <c r="D15141" s="3">
        <f t="shared" si="2480"/>
        <v>7459</v>
      </c>
      <c r="E15141" s="2">
        <f t="shared" si="2481"/>
        <v>41518</v>
      </c>
      <c r="F15141" s="2">
        <f t="shared" si="2482"/>
        <v>43008</v>
      </c>
    </row>
    <row r="15142" spans="1:6" x14ac:dyDescent="0.25">
      <c r="A15142" s="1" t="s">
        <v>2137</v>
      </c>
      <c r="B15142" s="1" t="s">
        <v>2143</v>
      </c>
      <c r="C15142" s="1" t="s">
        <v>66</v>
      </c>
      <c r="D15142" s="3">
        <f t="shared" si="2480"/>
        <v>7459</v>
      </c>
      <c r="E15142" s="2">
        <f t="shared" si="2481"/>
        <v>41518</v>
      </c>
      <c r="F15142" s="2">
        <f t="shared" si="2482"/>
        <v>43008</v>
      </c>
    </row>
    <row r="15143" spans="1:6" x14ac:dyDescent="0.25">
      <c r="A15143" s="1" t="s">
        <v>2137</v>
      </c>
      <c r="B15143" s="1" t="s">
        <v>2143</v>
      </c>
      <c r="C15143" s="1" t="s">
        <v>15</v>
      </c>
      <c r="D15143" s="3">
        <f t="shared" si="2480"/>
        <v>7459</v>
      </c>
      <c r="E15143" s="2">
        <f t="shared" si="2481"/>
        <v>41518</v>
      </c>
      <c r="F15143" s="2">
        <f t="shared" si="2482"/>
        <v>43008</v>
      </c>
    </row>
    <row r="15144" spans="1:6" x14ac:dyDescent="0.25">
      <c r="A15144" s="1" t="s">
        <v>2137</v>
      </c>
      <c r="B15144" s="1" t="s">
        <v>2143</v>
      </c>
      <c r="C15144" s="1" t="s">
        <v>16</v>
      </c>
      <c r="D15144" s="3">
        <f t="shared" si="2480"/>
        <v>7459</v>
      </c>
      <c r="E15144" s="2">
        <f t="shared" si="2481"/>
        <v>41518</v>
      </c>
      <c r="F15144" s="2">
        <f t="shared" si="2482"/>
        <v>43008</v>
      </c>
    </row>
    <row r="15145" spans="1:6" x14ac:dyDescent="0.25">
      <c r="A15145" s="1" t="s">
        <v>2137</v>
      </c>
      <c r="B15145" s="1" t="s">
        <v>2143</v>
      </c>
      <c r="C15145" s="1" t="s">
        <v>88</v>
      </c>
      <c r="D15145" s="3">
        <f t="shared" si="2480"/>
        <v>7459</v>
      </c>
      <c r="E15145" s="2">
        <f t="shared" si="2481"/>
        <v>41518</v>
      </c>
      <c r="F15145" s="2">
        <f t="shared" si="2482"/>
        <v>43008</v>
      </c>
    </row>
    <row r="15146" spans="1:6" x14ac:dyDescent="0.25">
      <c r="A15146" s="1" t="s">
        <v>2137</v>
      </c>
      <c r="B15146" s="1" t="s">
        <v>2143</v>
      </c>
      <c r="C15146" s="1" t="s">
        <v>17</v>
      </c>
      <c r="D15146" s="3">
        <f t="shared" si="2480"/>
        <v>7459</v>
      </c>
      <c r="E15146" s="2">
        <f t="shared" si="2481"/>
        <v>41518</v>
      </c>
      <c r="F15146" s="2">
        <f t="shared" si="2482"/>
        <v>43008</v>
      </c>
    </row>
    <row r="15147" spans="1:6" x14ac:dyDescent="0.25">
      <c r="A15147" s="1" t="s">
        <v>2137</v>
      </c>
      <c r="B15147" s="1" t="s">
        <v>2143</v>
      </c>
      <c r="C15147" s="1" t="s">
        <v>257</v>
      </c>
      <c r="D15147" s="3">
        <f t="shared" si="2480"/>
        <v>7459</v>
      </c>
      <c r="E15147" s="2">
        <f t="shared" si="2481"/>
        <v>41518</v>
      </c>
      <c r="F15147" s="2">
        <f t="shared" si="2482"/>
        <v>43008</v>
      </c>
    </row>
    <row r="15148" spans="1:6" x14ac:dyDescent="0.25">
      <c r="A15148" s="1" t="s">
        <v>2137</v>
      </c>
      <c r="B15148" s="1" t="s">
        <v>2143</v>
      </c>
      <c r="C15148" s="1" t="s">
        <v>22</v>
      </c>
      <c r="D15148" s="3">
        <f t="shared" si="2480"/>
        <v>7459</v>
      </c>
      <c r="E15148" s="2">
        <f t="shared" si="2481"/>
        <v>41518</v>
      </c>
      <c r="F15148" s="2">
        <f t="shared" si="2482"/>
        <v>43008</v>
      </c>
    </row>
    <row r="15149" spans="1:6" x14ac:dyDescent="0.25">
      <c r="A15149" s="1" t="s">
        <v>2137</v>
      </c>
      <c r="B15149" s="1" t="s">
        <v>2143</v>
      </c>
      <c r="C15149" s="1" t="s">
        <v>211</v>
      </c>
      <c r="D15149" s="3">
        <f t="shared" si="2480"/>
        <v>7459</v>
      </c>
      <c r="E15149" s="2">
        <f t="shared" si="2481"/>
        <v>41518</v>
      </c>
      <c r="F15149" s="2">
        <f t="shared" si="2482"/>
        <v>43008</v>
      </c>
    </row>
    <row r="15150" spans="1:6" x14ac:dyDescent="0.25">
      <c r="A15150" s="1" t="s">
        <v>2137</v>
      </c>
      <c r="B15150" s="1" t="s">
        <v>2143</v>
      </c>
      <c r="C15150" s="1" t="s">
        <v>26</v>
      </c>
      <c r="D15150" s="3">
        <f t="shared" si="2480"/>
        <v>7459</v>
      </c>
      <c r="E15150" s="2">
        <f t="shared" si="2481"/>
        <v>41518</v>
      </c>
      <c r="F15150" s="2">
        <f t="shared" si="2482"/>
        <v>43008</v>
      </c>
    </row>
    <row r="15151" spans="1:6" x14ac:dyDescent="0.25">
      <c r="A15151" s="1" t="s">
        <v>2137</v>
      </c>
      <c r="B15151" s="1" t="s">
        <v>2143</v>
      </c>
      <c r="C15151" s="1" t="s">
        <v>207</v>
      </c>
      <c r="D15151" s="3">
        <f t="shared" si="2480"/>
        <v>7459</v>
      </c>
      <c r="E15151" s="2">
        <f t="shared" si="2481"/>
        <v>41518</v>
      </c>
      <c r="F15151" s="2">
        <f t="shared" si="2482"/>
        <v>43008</v>
      </c>
    </row>
    <row r="15152" spans="1:6" x14ac:dyDescent="0.25">
      <c r="A15152" s="1" t="s">
        <v>2137</v>
      </c>
      <c r="B15152" s="1" t="s">
        <v>2136</v>
      </c>
      <c r="C15152" s="1" t="s">
        <v>7</v>
      </c>
      <c r="D15152" s="3">
        <f>VALUE("7402")</f>
        <v>7402</v>
      </c>
      <c r="E15152" s="2">
        <f>DATEVALUE("1-3-2013")</f>
        <v>41334</v>
      </c>
      <c r="F15152" s="2">
        <f t="shared" si="2482"/>
        <v>43008</v>
      </c>
    </row>
    <row r="15153" spans="1:6" x14ac:dyDescent="0.25">
      <c r="A15153" s="1" t="s">
        <v>2137</v>
      </c>
      <c r="B15153" s="1" t="s">
        <v>2136</v>
      </c>
      <c r="C15153" s="1" t="s">
        <v>1891</v>
      </c>
      <c r="D15153" s="3">
        <f>VALUE("7402")</f>
        <v>7402</v>
      </c>
      <c r="E15153" s="2">
        <f>DATEVALUE("1-3-2013")</f>
        <v>41334</v>
      </c>
      <c r="F15153" s="2">
        <f t="shared" si="2482"/>
        <v>43008</v>
      </c>
    </row>
    <row r="15154" spans="1:6" x14ac:dyDescent="0.25">
      <c r="A15154" s="1" t="s">
        <v>2137</v>
      </c>
      <c r="B15154" s="1" t="s">
        <v>2136</v>
      </c>
      <c r="C15154" s="1" t="s">
        <v>212</v>
      </c>
      <c r="D15154" s="3">
        <f>VALUE("7402")</f>
        <v>7402</v>
      </c>
      <c r="E15154" s="2">
        <f>DATEVALUE("1-3-2013")</f>
        <v>41334</v>
      </c>
      <c r="F15154" s="2">
        <f t="shared" si="2482"/>
        <v>43008</v>
      </c>
    </row>
    <row r="15155" spans="1:6" x14ac:dyDescent="0.25">
      <c r="A15155" s="1" t="s">
        <v>2137</v>
      </c>
      <c r="B15155" s="1" t="s">
        <v>2136</v>
      </c>
      <c r="C15155" s="1" t="s">
        <v>31</v>
      </c>
      <c r="D15155" s="3">
        <f>VALUE("7402")</f>
        <v>7402</v>
      </c>
      <c r="E15155" s="2">
        <f>DATEVALUE("1-3-2013")</f>
        <v>41334</v>
      </c>
      <c r="F15155" s="2">
        <f t="shared" si="2482"/>
        <v>43008</v>
      </c>
    </row>
    <row r="15156" spans="1:6" x14ac:dyDescent="0.25">
      <c r="A15156" s="1" t="s">
        <v>2137</v>
      </c>
      <c r="B15156" s="1" t="s">
        <v>2136</v>
      </c>
      <c r="C15156" s="1" t="s">
        <v>213</v>
      </c>
      <c r="D15156" s="3">
        <f>VALUE("7402")</f>
        <v>7402</v>
      </c>
      <c r="E15156" s="2">
        <f>DATEVALUE("1-3-2013")</f>
        <v>41334</v>
      </c>
      <c r="F15156" s="2">
        <f t="shared" si="2482"/>
        <v>43008</v>
      </c>
    </row>
    <row r="15157" spans="1:6" x14ac:dyDescent="0.25">
      <c r="A15157" s="1" t="s">
        <v>1531</v>
      </c>
      <c r="B15157" s="1" t="s">
        <v>1530</v>
      </c>
      <c r="C15157" s="1" t="s">
        <v>39</v>
      </c>
      <c r="D15157" s="3">
        <f t="shared" ref="D15157:D15165" si="2483">VALUE("8719")</f>
        <v>8719</v>
      </c>
      <c r="E15157" s="2">
        <f t="shared" ref="E15157:E15165" si="2484">DATEVALUE("1-4-2020")</f>
        <v>43922</v>
      </c>
      <c r="F15157" s="2">
        <f t="shared" ref="F15157:F15165" si="2485">DATEVALUE("30-4-2022")</f>
        <v>44681</v>
      </c>
    </row>
    <row r="15158" spans="1:6" x14ac:dyDescent="0.25">
      <c r="A15158" s="1" t="s">
        <v>1531</v>
      </c>
      <c r="B15158" s="1" t="s">
        <v>1530</v>
      </c>
      <c r="C15158" s="1" t="s">
        <v>61</v>
      </c>
      <c r="D15158" s="3">
        <f t="shared" si="2483"/>
        <v>8719</v>
      </c>
      <c r="E15158" s="2">
        <f t="shared" si="2484"/>
        <v>43922</v>
      </c>
      <c r="F15158" s="2">
        <f t="shared" si="2485"/>
        <v>44681</v>
      </c>
    </row>
    <row r="15159" spans="1:6" x14ac:dyDescent="0.25">
      <c r="A15159" s="1" t="s">
        <v>1531</v>
      </c>
      <c r="B15159" s="1" t="s">
        <v>1530</v>
      </c>
      <c r="C15159" s="1" t="s">
        <v>66</v>
      </c>
      <c r="D15159" s="3">
        <f t="shared" si="2483"/>
        <v>8719</v>
      </c>
      <c r="E15159" s="2">
        <f t="shared" si="2484"/>
        <v>43922</v>
      </c>
      <c r="F15159" s="2">
        <f t="shared" si="2485"/>
        <v>44681</v>
      </c>
    </row>
    <row r="15160" spans="1:6" x14ac:dyDescent="0.25">
      <c r="A15160" s="1" t="s">
        <v>1531</v>
      </c>
      <c r="B15160" s="1" t="s">
        <v>1530</v>
      </c>
      <c r="C15160" s="1" t="s">
        <v>17</v>
      </c>
      <c r="D15160" s="3">
        <f t="shared" si="2483"/>
        <v>8719</v>
      </c>
      <c r="E15160" s="2">
        <f t="shared" si="2484"/>
        <v>43922</v>
      </c>
      <c r="F15160" s="2">
        <f t="shared" si="2485"/>
        <v>44681</v>
      </c>
    </row>
    <row r="15161" spans="1:6" x14ac:dyDescent="0.25">
      <c r="A15161" s="1" t="s">
        <v>1531</v>
      </c>
      <c r="B15161" s="1" t="s">
        <v>1530</v>
      </c>
      <c r="C15161" s="1" t="s">
        <v>441</v>
      </c>
      <c r="D15161" s="3">
        <f t="shared" si="2483"/>
        <v>8719</v>
      </c>
      <c r="E15161" s="2">
        <f t="shared" si="2484"/>
        <v>43922</v>
      </c>
      <c r="F15161" s="2">
        <f t="shared" si="2485"/>
        <v>44681</v>
      </c>
    </row>
    <row r="15162" spans="1:6" x14ac:dyDescent="0.25">
      <c r="A15162" s="1" t="s">
        <v>1531</v>
      </c>
      <c r="B15162" s="1" t="s">
        <v>1530</v>
      </c>
      <c r="C15162" s="1" t="s">
        <v>67</v>
      </c>
      <c r="D15162" s="3">
        <f t="shared" si="2483"/>
        <v>8719</v>
      </c>
      <c r="E15162" s="2">
        <f t="shared" si="2484"/>
        <v>43922</v>
      </c>
      <c r="F15162" s="2">
        <f t="shared" si="2485"/>
        <v>44681</v>
      </c>
    </row>
    <row r="15163" spans="1:6" x14ac:dyDescent="0.25">
      <c r="A15163" s="1" t="s">
        <v>1531</v>
      </c>
      <c r="B15163" s="1" t="s">
        <v>1530</v>
      </c>
      <c r="C15163" s="1" t="s">
        <v>52</v>
      </c>
      <c r="D15163" s="3">
        <f t="shared" si="2483"/>
        <v>8719</v>
      </c>
      <c r="E15163" s="2">
        <f t="shared" si="2484"/>
        <v>43922</v>
      </c>
      <c r="F15163" s="2">
        <f t="shared" si="2485"/>
        <v>44681</v>
      </c>
    </row>
    <row r="15164" spans="1:6" x14ac:dyDescent="0.25">
      <c r="A15164" s="1" t="s">
        <v>1531</v>
      </c>
      <c r="B15164" s="1" t="s">
        <v>1530</v>
      </c>
      <c r="C15164" s="1" t="s">
        <v>160</v>
      </c>
      <c r="D15164" s="3">
        <f t="shared" si="2483"/>
        <v>8719</v>
      </c>
      <c r="E15164" s="2">
        <f t="shared" si="2484"/>
        <v>43922</v>
      </c>
      <c r="F15164" s="2">
        <f t="shared" si="2485"/>
        <v>44681</v>
      </c>
    </row>
    <row r="15165" spans="1:6" x14ac:dyDescent="0.25">
      <c r="A15165" s="1" t="s">
        <v>1531</v>
      </c>
      <c r="B15165" s="1" t="s">
        <v>1530</v>
      </c>
      <c r="C15165" s="1" t="s">
        <v>57</v>
      </c>
      <c r="D15165" s="3">
        <f t="shared" si="2483"/>
        <v>8719</v>
      </c>
      <c r="E15165" s="2">
        <f t="shared" si="2484"/>
        <v>43922</v>
      </c>
      <c r="F15165" s="2">
        <f t="shared" si="2485"/>
        <v>44681</v>
      </c>
    </row>
    <row r="15166" spans="1:6" x14ac:dyDescent="0.25">
      <c r="A15166" s="1" t="s">
        <v>1898</v>
      </c>
      <c r="B15166" s="1" t="s">
        <v>1897</v>
      </c>
      <c r="C15166" s="1" t="s">
        <v>43</v>
      </c>
      <c r="D15166" s="3">
        <f t="shared" ref="D15166:D15172" si="2486">VALUE("7341")</f>
        <v>7341</v>
      </c>
      <c r="E15166" s="2">
        <f t="shared" ref="E15166:E15172" si="2487">DATEVALUE("1-7-2012")</f>
        <v>41091</v>
      </c>
      <c r="F15166" s="2">
        <f t="shared" ref="F15166:F15172" si="2488">DATEVALUE("28-2-2017")</f>
        <v>42794</v>
      </c>
    </row>
    <row r="15167" spans="1:6" x14ac:dyDescent="0.25">
      <c r="A15167" s="1" t="s">
        <v>1898</v>
      </c>
      <c r="B15167" s="1" t="s">
        <v>1897</v>
      </c>
      <c r="C15167" s="1" t="s">
        <v>46</v>
      </c>
      <c r="D15167" s="3">
        <f t="shared" si="2486"/>
        <v>7341</v>
      </c>
      <c r="E15167" s="2">
        <f t="shared" si="2487"/>
        <v>41091</v>
      </c>
      <c r="F15167" s="2">
        <f t="shared" si="2488"/>
        <v>42794</v>
      </c>
    </row>
    <row r="15168" spans="1:6" x14ac:dyDescent="0.25">
      <c r="A15168" s="1" t="s">
        <v>1898</v>
      </c>
      <c r="B15168" s="1" t="s">
        <v>1897</v>
      </c>
      <c r="C15168" s="1" t="s">
        <v>66</v>
      </c>
      <c r="D15168" s="3">
        <f t="shared" si="2486"/>
        <v>7341</v>
      </c>
      <c r="E15168" s="2">
        <f t="shared" si="2487"/>
        <v>41091</v>
      </c>
      <c r="F15168" s="2">
        <f t="shared" si="2488"/>
        <v>42794</v>
      </c>
    </row>
    <row r="15169" spans="1:6" x14ac:dyDescent="0.25">
      <c r="A15169" s="1" t="s">
        <v>1898</v>
      </c>
      <c r="B15169" s="1" t="s">
        <v>1897</v>
      </c>
      <c r="C15169" s="1" t="s">
        <v>15</v>
      </c>
      <c r="D15169" s="3">
        <f t="shared" si="2486"/>
        <v>7341</v>
      </c>
      <c r="E15169" s="2">
        <f t="shared" si="2487"/>
        <v>41091</v>
      </c>
      <c r="F15169" s="2">
        <f t="shared" si="2488"/>
        <v>42794</v>
      </c>
    </row>
    <row r="15170" spans="1:6" x14ac:dyDescent="0.25">
      <c r="A15170" s="1" t="s">
        <v>1898</v>
      </c>
      <c r="B15170" s="1" t="s">
        <v>1897</v>
      </c>
      <c r="C15170" s="1" t="s">
        <v>17</v>
      </c>
      <c r="D15170" s="3">
        <f t="shared" si="2486"/>
        <v>7341</v>
      </c>
      <c r="E15170" s="2">
        <f t="shared" si="2487"/>
        <v>41091</v>
      </c>
      <c r="F15170" s="2">
        <f t="shared" si="2488"/>
        <v>42794</v>
      </c>
    </row>
    <row r="15171" spans="1:6" x14ac:dyDescent="0.25">
      <c r="A15171" s="1" t="s">
        <v>1898</v>
      </c>
      <c r="B15171" s="1" t="s">
        <v>1897</v>
      </c>
      <c r="C15171" s="1" t="s">
        <v>172</v>
      </c>
      <c r="D15171" s="3">
        <f t="shared" si="2486"/>
        <v>7341</v>
      </c>
      <c r="E15171" s="2">
        <f t="shared" si="2487"/>
        <v>41091</v>
      </c>
      <c r="F15171" s="2">
        <f t="shared" si="2488"/>
        <v>42794</v>
      </c>
    </row>
    <row r="15172" spans="1:6" x14ac:dyDescent="0.25">
      <c r="A15172" s="1" t="s">
        <v>1898</v>
      </c>
      <c r="B15172" s="1" t="s">
        <v>1897</v>
      </c>
      <c r="C15172" s="1" t="s">
        <v>25</v>
      </c>
      <c r="D15172" s="3">
        <f t="shared" si="2486"/>
        <v>7341</v>
      </c>
      <c r="E15172" s="2">
        <f t="shared" si="2487"/>
        <v>41091</v>
      </c>
      <c r="F15172" s="2">
        <f t="shared" si="2488"/>
        <v>42794</v>
      </c>
    </row>
    <row r="15173" spans="1:6" x14ac:dyDescent="0.25">
      <c r="A15173" s="1" t="s">
        <v>1078</v>
      </c>
      <c r="B15173" s="1" t="s">
        <v>1077</v>
      </c>
      <c r="C15173" s="1" t="s">
        <v>45</v>
      </c>
      <c r="D15173" s="3">
        <f t="shared" ref="D15173:D15183" si="2489">VALUE("8365")</f>
        <v>8365</v>
      </c>
      <c r="E15173" s="2">
        <f t="shared" ref="E15173:E15183" si="2490">DATEVALUE("1-8-2019")</f>
        <v>43678</v>
      </c>
      <c r="F15173" s="2">
        <f t="shared" ref="F15173:F15183" si="2491">DATEVALUE("31-3-2021")</f>
        <v>44286</v>
      </c>
    </row>
    <row r="15174" spans="1:6" x14ac:dyDescent="0.25">
      <c r="A15174" s="1" t="s">
        <v>1078</v>
      </c>
      <c r="B15174" s="1" t="s">
        <v>1077</v>
      </c>
      <c r="C15174" s="1" t="s">
        <v>44</v>
      </c>
      <c r="D15174" s="3">
        <f t="shared" si="2489"/>
        <v>8365</v>
      </c>
      <c r="E15174" s="2">
        <f t="shared" si="2490"/>
        <v>43678</v>
      </c>
      <c r="F15174" s="2">
        <f t="shared" si="2491"/>
        <v>44286</v>
      </c>
    </row>
    <row r="15175" spans="1:6" x14ac:dyDescent="0.25">
      <c r="A15175" s="1" t="s">
        <v>1078</v>
      </c>
      <c r="B15175" s="1" t="s">
        <v>1077</v>
      </c>
      <c r="C15175" s="1" t="s">
        <v>14</v>
      </c>
      <c r="D15175" s="3">
        <f t="shared" si="2489"/>
        <v>8365</v>
      </c>
      <c r="E15175" s="2">
        <f t="shared" si="2490"/>
        <v>43678</v>
      </c>
      <c r="F15175" s="2">
        <f t="shared" si="2491"/>
        <v>44286</v>
      </c>
    </row>
    <row r="15176" spans="1:6" x14ac:dyDescent="0.25">
      <c r="A15176" s="1" t="s">
        <v>1078</v>
      </c>
      <c r="B15176" s="1" t="s">
        <v>1077</v>
      </c>
      <c r="C15176" s="1" t="s">
        <v>17</v>
      </c>
      <c r="D15176" s="3">
        <f t="shared" si="2489"/>
        <v>8365</v>
      </c>
      <c r="E15176" s="2">
        <f t="shared" si="2490"/>
        <v>43678</v>
      </c>
      <c r="F15176" s="2">
        <f t="shared" si="2491"/>
        <v>44286</v>
      </c>
    </row>
    <row r="15177" spans="1:6" x14ac:dyDescent="0.25">
      <c r="A15177" s="1" t="s">
        <v>1078</v>
      </c>
      <c r="B15177" s="1" t="s">
        <v>1077</v>
      </c>
      <c r="C15177" s="1" t="s">
        <v>172</v>
      </c>
      <c r="D15177" s="3">
        <f t="shared" si="2489"/>
        <v>8365</v>
      </c>
      <c r="E15177" s="2">
        <f t="shared" si="2490"/>
        <v>43678</v>
      </c>
      <c r="F15177" s="2">
        <f t="shared" si="2491"/>
        <v>44286</v>
      </c>
    </row>
    <row r="15178" spans="1:6" x14ac:dyDescent="0.25">
      <c r="A15178" s="1" t="s">
        <v>1078</v>
      </c>
      <c r="B15178" s="1" t="s">
        <v>1077</v>
      </c>
      <c r="C15178" s="1" t="s">
        <v>92</v>
      </c>
      <c r="D15178" s="3">
        <f t="shared" si="2489"/>
        <v>8365</v>
      </c>
      <c r="E15178" s="2">
        <f t="shared" si="2490"/>
        <v>43678</v>
      </c>
      <c r="F15178" s="2">
        <f t="shared" si="2491"/>
        <v>44286</v>
      </c>
    </row>
    <row r="15179" spans="1:6" x14ac:dyDescent="0.25">
      <c r="A15179" s="1" t="s">
        <v>1078</v>
      </c>
      <c r="B15179" s="1" t="s">
        <v>1077</v>
      </c>
      <c r="C15179" s="1" t="s">
        <v>205</v>
      </c>
      <c r="D15179" s="3">
        <f t="shared" si="2489"/>
        <v>8365</v>
      </c>
      <c r="E15179" s="2">
        <f t="shared" si="2490"/>
        <v>43678</v>
      </c>
      <c r="F15179" s="2">
        <f t="shared" si="2491"/>
        <v>44286</v>
      </c>
    </row>
    <row r="15180" spans="1:6" x14ac:dyDescent="0.25">
      <c r="A15180" s="1" t="s">
        <v>1078</v>
      </c>
      <c r="B15180" s="1" t="s">
        <v>1077</v>
      </c>
      <c r="C15180" s="1" t="s">
        <v>204</v>
      </c>
      <c r="D15180" s="3">
        <f t="shared" si="2489"/>
        <v>8365</v>
      </c>
      <c r="E15180" s="2">
        <f t="shared" si="2490"/>
        <v>43678</v>
      </c>
      <c r="F15180" s="2">
        <f t="shared" si="2491"/>
        <v>44286</v>
      </c>
    </row>
    <row r="15181" spans="1:6" x14ac:dyDescent="0.25">
      <c r="A15181" s="1" t="s">
        <v>1078</v>
      </c>
      <c r="B15181" s="1" t="s">
        <v>1077</v>
      </c>
      <c r="C15181" s="1" t="s">
        <v>24</v>
      </c>
      <c r="D15181" s="3">
        <f t="shared" si="2489"/>
        <v>8365</v>
      </c>
      <c r="E15181" s="2">
        <f t="shared" si="2490"/>
        <v>43678</v>
      </c>
      <c r="F15181" s="2">
        <f t="shared" si="2491"/>
        <v>44286</v>
      </c>
    </row>
    <row r="15182" spans="1:6" x14ac:dyDescent="0.25">
      <c r="A15182" s="1" t="s">
        <v>1078</v>
      </c>
      <c r="B15182" s="1" t="s">
        <v>1077</v>
      </c>
      <c r="C15182" s="1" t="s">
        <v>369</v>
      </c>
      <c r="D15182" s="3">
        <f t="shared" si="2489"/>
        <v>8365</v>
      </c>
      <c r="E15182" s="2">
        <f t="shared" si="2490"/>
        <v>43678</v>
      </c>
      <c r="F15182" s="2">
        <f t="shared" si="2491"/>
        <v>44286</v>
      </c>
    </row>
    <row r="15183" spans="1:6" x14ac:dyDescent="0.25">
      <c r="A15183" s="1" t="s">
        <v>1078</v>
      </c>
      <c r="B15183" s="1" t="s">
        <v>1077</v>
      </c>
      <c r="C15183" s="1" t="s">
        <v>34</v>
      </c>
      <c r="D15183" s="3">
        <f t="shared" si="2489"/>
        <v>8365</v>
      </c>
      <c r="E15183" s="2">
        <f t="shared" si="2490"/>
        <v>43678</v>
      </c>
      <c r="F15183" s="2">
        <f t="shared" si="2491"/>
        <v>44286</v>
      </c>
    </row>
    <row r="15184" spans="1:6" x14ac:dyDescent="0.25">
      <c r="A15184" s="1" t="s">
        <v>1455</v>
      </c>
      <c r="B15184" s="1" t="s">
        <v>1454</v>
      </c>
      <c r="C15184" s="1" t="s">
        <v>1468</v>
      </c>
      <c r="D15184" s="3">
        <f t="shared" ref="D15184:D15206" si="2492">VALUE("8666")</f>
        <v>8666</v>
      </c>
      <c r="E15184" s="2">
        <f t="shared" ref="E15184:E15206" si="2493">DATEVALUE("1-1-2020")</f>
        <v>43831</v>
      </c>
      <c r="F15184" s="2">
        <f t="shared" ref="F15184:F15206" si="2494">DATEVALUE("31-12-2020")</f>
        <v>44196</v>
      </c>
    </row>
    <row r="15185" spans="1:6" x14ac:dyDescent="0.25">
      <c r="A15185" s="1" t="s">
        <v>1455</v>
      </c>
      <c r="B15185" s="1" t="s">
        <v>1454</v>
      </c>
      <c r="C15185" s="1" t="s">
        <v>1456</v>
      </c>
      <c r="D15185" s="3">
        <f t="shared" si="2492"/>
        <v>8666</v>
      </c>
      <c r="E15185" s="2">
        <f t="shared" si="2493"/>
        <v>43831</v>
      </c>
      <c r="F15185" s="2">
        <f t="shared" si="2494"/>
        <v>44196</v>
      </c>
    </row>
    <row r="15186" spans="1:6" x14ac:dyDescent="0.25">
      <c r="A15186" s="1" t="s">
        <v>1455</v>
      </c>
      <c r="B15186" s="1" t="s">
        <v>1454</v>
      </c>
      <c r="C15186" s="1" t="s">
        <v>1457</v>
      </c>
      <c r="D15186" s="3">
        <f t="shared" si="2492"/>
        <v>8666</v>
      </c>
      <c r="E15186" s="2">
        <f t="shared" si="2493"/>
        <v>43831</v>
      </c>
      <c r="F15186" s="2">
        <f t="shared" si="2494"/>
        <v>44196</v>
      </c>
    </row>
    <row r="15187" spans="1:6" x14ac:dyDescent="0.25">
      <c r="A15187" s="1" t="s">
        <v>1455</v>
      </c>
      <c r="B15187" s="1" t="s">
        <v>1454</v>
      </c>
      <c r="C15187" s="1" t="s">
        <v>1458</v>
      </c>
      <c r="D15187" s="3">
        <f t="shared" si="2492"/>
        <v>8666</v>
      </c>
      <c r="E15187" s="2">
        <f t="shared" si="2493"/>
        <v>43831</v>
      </c>
      <c r="F15187" s="2">
        <f t="shared" si="2494"/>
        <v>44196</v>
      </c>
    </row>
    <row r="15188" spans="1:6" x14ac:dyDescent="0.25">
      <c r="A15188" s="1" t="s">
        <v>1455</v>
      </c>
      <c r="B15188" s="1" t="s">
        <v>1454</v>
      </c>
      <c r="C15188" s="1" t="s">
        <v>1459</v>
      </c>
      <c r="D15188" s="3">
        <f t="shared" si="2492"/>
        <v>8666</v>
      </c>
      <c r="E15188" s="2">
        <f t="shared" si="2493"/>
        <v>43831</v>
      </c>
      <c r="F15188" s="2">
        <f t="shared" si="2494"/>
        <v>44196</v>
      </c>
    </row>
    <row r="15189" spans="1:6" x14ac:dyDescent="0.25">
      <c r="A15189" s="1" t="s">
        <v>1455</v>
      </c>
      <c r="B15189" s="1" t="s">
        <v>1454</v>
      </c>
      <c r="C15189" s="1" t="s">
        <v>1460</v>
      </c>
      <c r="D15189" s="3">
        <f t="shared" si="2492"/>
        <v>8666</v>
      </c>
      <c r="E15189" s="2">
        <f t="shared" si="2493"/>
        <v>43831</v>
      </c>
      <c r="F15189" s="2">
        <f t="shared" si="2494"/>
        <v>44196</v>
      </c>
    </row>
    <row r="15190" spans="1:6" x14ac:dyDescent="0.25">
      <c r="A15190" s="1" t="s">
        <v>1455</v>
      </c>
      <c r="B15190" s="1" t="s">
        <v>1454</v>
      </c>
      <c r="C15190" s="1" t="s">
        <v>1461</v>
      </c>
      <c r="D15190" s="3">
        <f t="shared" si="2492"/>
        <v>8666</v>
      </c>
      <c r="E15190" s="2">
        <f t="shared" si="2493"/>
        <v>43831</v>
      </c>
      <c r="F15190" s="2">
        <f t="shared" si="2494"/>
        <v>44196</v>
      </c>
    </row>
    <row r="15191" spans="1:6" x14ac:dyDescent="0.25">
      <c r="A15191" s="1" t="s">
        <v>1455</v>
      </c>
      <c r="B15191" s="1" t="s">
        <v>1454</v>
      </c>
      <c r="C15191" s="1" t="s">
        <v>1462</v>
      </c>
      <c r="D15191" s="3">
        <f t="shared" si="2492"/>
        <v>8666</v>
      </c>
      <c r="E15191" s="2">
        <f t="shared" si="2493"/>
        <v>43831</v>
      </c>
      <c r="F15191" s="2">
        <f t="shared" si="2494"/>
        <v>44196</v>
      </c>
    </row>
    <row r="15192" spans="1:6" x14ac:dyDescent="0.25">
      <c r="A15192" s="1" t="s">
        <v>1455</v>
      </c>
      <c r="B15192" s="1" t="s">
        <v>1454</v>
      </c>
      <c r="C15192" s="1" t="s">
        <v>1463</v>
      </c>
      <c r="D15192" s="3">
        <f t="shared" si="2492"/>
        <v>8666</v>
      </c>
      <c r="E15192" s="2">
        <f t="shared" si="2493"/>
        <v>43831</v>
      </c>
      <c r="F15192" s="2">
        <f t="shared" si="2494"/>
        <v>44196</v>
      </c>
    </row>
    <row r="15193" spans="1:6" x14ac:dyDescent="0.25">
      <c r="A15193" s="1" t="s">
        <v>1455</v>
      </c>
      <c r="B15193" s="1" t="s">
        <v>1454</v>
      </c>
      <c r="C15193" s="1" t="s">
        <v>1464</v>
      </c>
      <c r="D15193" s="3">
        <f t="shared" si="2492"/>
        <v>8666</v>
      </c>
      <c r="E15193" s="2">
        <f t="shared" si="2493"/>
        <v>43831</v>
      </c>
      <c r="F15193" s="2">
        <f t="shared" si="2494"/>
        <v>44196</v>
      </c>
    </row>
    <row r="15194" spans="1:6" x14ac:dyDescent="0.25">
      <c r="A15194" s="1" t="s">
        <v>1455</v>
      </c>
      <c r="B15194" s="1" t="s">
        <v>1454</v>
      </c>
      <c r="C15194" s="1" t="s">
        <v>1465</v>
      </c>
      <c r="D15194" s="3">
        <f t="shared" si="2492"/>
        <v>8666</v>
      </c>
      <c r="E15194" s="2">
        <f t="shared" si="2493"/>
        <v>43831</v>
      </c>
      <c r="F15194" s="2">
        <f t="shared" si="2494"/>
        <v>44196</v>
      </c>
    </row>
    <row r="15195" spans="1:6" x14ac:dyDescent="0.25">
      <c r="A15195" s="1" t="s">
        <v>1455</v>
      </c>
      <c r="B15195" s="1" t="s">
        <v>1454</v>
      </c>
      <c r="C15195" s="1" t="s">
        <v>1466</v>
      </c>
      <c r="D15195" s="3">
        <f t="shared" si="2492"/>
        <v>8666</v>
      </c>
      <c r="E15195" s="2">
        <f t="shared" si="2493"/>
        <v>43831</v>
      </c>
      <c r="F15195" s="2">
        <f t="shared" si="2494"/>
        <v>44196</v>
      </c>
    </row>
    <row r="15196" spans="1:6" x14ac:dyDescent="0.25">
      <c r="A15196" s="1" t="s">
        <v>1455</v>
      </c>
      <c r="B15196" s="1" t="s">
        <v>1454</v>
      </c>
      <c r="C15196" s="1" t="s">
        <v>1467</v>
      </c>
      <c r="D15196" s="3">
        <f t="shared" si="2492"/>
        <v>8666</v>
      </c>
      <c r="E15196" s="2">
        <f t="shared" si="2493"/>
        <v>43831</v>
      </c>
      <c r="F15196" s="2">
        <f t="shared" si="2494"/>
        <v>44196</v>
      </c>
    </row>
    <row r="15197" spans="1:6" x14ac:dyDescent="0.25">
      <c r="A15197" s="1" t="s">
        <v>1455</v>
      </c>
      <c r="B15197" s="1" t="s">
        <v>1454</v>
      </c>
      <c r="C15197" s="1" t="s">
        <v>184</v>
      </c>
      <c r="D15197" s="3">
        <f t="shared" si="2492"/>
        <v>8666</v>
      </c>
      <c r="E15197" s="2">
        <f t="shared" si="2493"/>
        <v>43831</v>
      </c>
      <c r="F15197" s="2">
        <f t="shared" si="2494"/>
        <v>44196</v>
      </c>
    </row>
    <row r="15198" spans="1:6" x14ac:dyDescent="0.25">
      <c r="A15198" s="1" t="s">
        <v>1455</v>
      </c>
      <c r="B15198" s="1" t="s">
        <v>1454</v>
      </c>
      <c r="C15198" s="1" t="s">
        <v>65</v>
      </c>
      <c r="D15198" s="3">
        <f t="shared" si="2492"/>
        <v>8666</v>
      </c>
      <c r="E15198" s="2">
        <f t="shared" si="2493"/>
        <v>43831</v>
      </c>
      <c r="F15198" s="2">
        <f t="shared" si="2494"/>
        <v>44196</v>
      </c>
    </row>
    <row r="15199" spans="1:6" x14ac:dyDescent="0.25">
      <c r="A15199" s="1" t="s">
        <v>1455</v>
      </c>
      <c r="B15199" s="1" t="s">
        <v>1454</v>
      </c>
      <c r="C15199" s="1" t="s">
        <v>14</v>
      </c>
      <c r="D15199" s="3">
        <f t="shared" si="2492"/>
        <v>8666</v>
      </c>
      <c r="E15199" s="2">
        <f t="shared" si="2493"/>
        <v>43831</v>
      </c>
      <c r="F15199" s="2">
        <f t="shared" si="2494"/>
        <v>44196</v>
      </c>
    </row>
    <row r="15200" spans="1:6" x14ac:dyDescent="0.25">
      <c r="A15200" s="1" t="s">
        <v>1455</v>
      </c>
      <c r="B15200" s="1" t="s">
        <v>1454</v>
      </c>
      <c r="C15200" s="1" t="s">
        <v>17</v>
      </c>
      <c r="D15200" s="3">
        <f t="shared" si="2492"/>
        <v>8666</v>
      </c>
      <c r="E15200" s="2">
        <f t="shared" si="2493"/>
        <v>43831</v>
      </c>
      <c r="F15200" s="2">
        <f t="shared" si="2494"/>
        <v>44196</v>
      </c>
    </row>
    <row r="15201" spans="1:6" x14ac:dyDescent="0.25">
      <c r="A15201" s="1" t="s">
        <v>1455</v>
      </c>
      <c r="B15201" s="1" t="s">
        <v>1454</v>
      </c>
      <c r="C15201" s="1" t="s">
        <v>501</v>
      </c>
      <c r="D15201" s="3">
        <f t="shared" si="2492"/>
        <v>8666</v>
      </c>
      <c r="E15201" s="2">
        <f t="shared" si="2493"/>
        <v>43831</v>
      </c>
      <c r="F15201" s="2">
        <f t="shared" si="2494"/>
        <v>44196</v>
      </c>
    </row>
    <row r="15202" spans="1:6" x14ac:dyDescent="0.25">
      <c r="A15202" s="1" t="s">
        <v>1455</v>
      </c>
      <c r="B15202" s="1" t="s">
        <v>1454</v>
      </c>
      <c r="C15202" s="1" t="s">
        <v>92</v>
      </c>
      <c r="D15202" s="3">
        <f t="shared" si="2492"/>
        <v>8666</v>
      </c>
      <c r="E15202" s="2">
        <f t="shared" si="2493"/>
        <v>43831</v>
      </c>
      <c r="F15202" s="2">
        <f t="shared" si="2494"/>
        <v>44196</v>
      </c>
    </row>
    <row r="15203" spans="1:6" x14ac:dyDescent="0.25">
      <c r="A15203" s="1" t="s">
        <v>1455</v>
      </c>
      <c r="B15203" s="1" t="s">
        <v>1454</v>
      </c>
      <c r="C15203" s="1" t="s">
        <v>94</v>
      </c>
      <c r="D15203" s="3">
        <f t="shared" si="2492"/>
        <v>8666</v>
      </c>
      <c r="E15203" s="2">
        <f t="shared" si="2493"/>
        <v>43831</v>
      </c>
      <c r="F15203" s="2">
        <f t="shared" si="2494"/>
        <v>44196</v>
      </c>
    </row>
    <row r="15204" spans="1:6" x14ac:dyDescent="0.25">
      <c r="A15204" s="1" t="s">
        <v>1455</v>
      </c>
      <c r="B15204" s="1" t="s">
        <v>1454</v>
      </c>
      <c r="C15204" s="1" t="s">
        <v>24</v>
      </c>
      <c r="D15204" s="3">
        <f t="shared" si="2492"/>
        <v>8666</v>
      </c>
      <c r="E15204" s="2">
        <f t="shared" si="2493"/>
        <v>43831</v>
      </c>
      <c r="F15204" s="2">
        <f t="shared" si="2494"/>
        <v>44196</v>
      </c>
    </row>
    <row r="15205" spans="1:6" x14ac:dyDescent="0.25">
      <c r="A15205" s="1" t="s">
        <v>1455</v>
      </c>
      <c r="B15205" s="1" t="s">
        <v>1454</v>
      </c>
      <c r="C15205" s="1" t="s">
        <v>34</v>
      </c>
      <c r="D15205" s="3">
        <f t="shared" si="2492"/>
        <v>8666</v>
      </c>
      <c r="E15205" s="2">
        <f t="shared" si="2493"/>
        <v>43831</v>
      </c>
      <c r="F15205" s="2">
        <f t="shared" si="2494"/>
        <v>44196</v>
      </c>
    </row>
    <row r="15206" spans="1:6" x14ac:dyDescent="0.25">
      <c r="A15206" s="1" t="s">
        <v>1455</v>
      </c>
      <c r="B15206" s="1" t="s">
        <v>1454</v>
      </c>
      <c r="C15206" s="1" t="s">
        <v>55</v>
      </c>
      <c r="D15206" s="3">
        <f t="shared" si="2492"/>
        <v>8666</v>
      </c>
      <c r="E15206" s="2">
        <f t="shared" si="2493"/>
        <v>43831</v>
      </c>
      <c r="F15206" s="2">
        <f t="shared" si="2494"/>
        <v>44196</v>
      </c>
    </row>
    <row r="15207" spans="1:6" x14ac:dyDescent="0.25">
      <c r="A15207" s="1" t="s">
        <v>2225</v>
      </c>
      <c r="B15207" s="1" t="s">
        <v>2224</v>
      </c>
      <c r="C15207" s="1" t="s">
        <v>7</v>
      </c>
      <c r="D15207" s="3">
        <f t="shared" ref="D15207:D15233" si="2495">VALUE("7851")</f>
        <v>7851</v>
      </c>
      <c r="E15207" s="2">
        <f t="shared" ref="E15207:E15233" si="2496">DATEVALUE("1-3-2016")</f>
        <v>42430</v>
      </c>
      <c r="F15207" s="2">
        <f t="shared" ref="F15207:F15233" si="2497">DATEVALUE("31-5-2020")</f>
        <v>43982</v>
      </c>
    </row>
    <row r="15208" spans="1:6" x14ac:dyDescent="0.25">
      <c r="A15208" s="1" t="s">
        <v>2225</v>
      </c>
      <c r="B15208" s="1" t="s">
        <v>2224</v>
      </c>
      <c r="C15208" s="1" t="s">
        <v>8</v>
      </c>
      <c r="D15208" s="3">
        <f t="shared" si="2495"/>
        <v>7851</v>
      </c>
      <c r="E15208" s="2">
        <f t="shared" si="2496"/>
        <v>42430</v>
      </c>
      <c r="F15208" s="2">
        <f t="shared" si="2497"/>
        <v>43982</v>
      </c>
    </row>
    <row r="15209" spans="1:6" x14ac:dyDescent="0.25">
      <c r="A15209" s="1" t="s">
        <v>2225</v>
      </c>
      <c r="B15209" s="1" t="s">
        <v>2224</v>
      </c>
      <c r="C15209" s="1" t="s">
        <v>256</v>
      </c>
      <c r="D15209" s="3">
        <f t="shared" si="2495"/>
        <v>7851</v>
      </c>
      <c r="E15209" s="2">
        <f t="shared" si="2496"/>
        <v>42430</v>
      </c>
      <c r="F15209" s="2">
        <f t="shared" si="2497"/>
        <v>43982</v>
      </c>
    </row>
    <row r="15210" spans="1:6" x14ac:dyDescent="0.25">
      <c r="A15210" s="1" t="s">
        <v>2225</v>
      </c>
      <c r="B15210" s="1" t="s">
        <v>2224</v>
      </c>
      <c r="C15210" s="1" t="s">
        <v>87</v>
      </c>
      <c r="D15210" s="3">
        <f t="shared" si="2495"/>
        <v>7851</v>
      </c>
      <c r="E15210" s="2">
        <f t="shared" si="2496"/>
        <v>42430</v>
      </c>
      <c r="F15210" s="2">
        <f t="shared" si="2497"/>
        <v>43982</v>
      </c>
    </row>
    <row r="15211" spans="1:6" x14ac:dyDescent="0.25">
      <c r="A15211" s="1" t="s">
        <v>2225</v>
      </c>
      <c r="B15211" s="1" t="s">
        <v>2224</v>
      </c>
      <c r="C15211" s="1" t="s">
        <v>14</v>
      </c>
      <c r="D15211" s="3">
        <f t="shared" si="2495"/>
        <v>7851</v>
      </c>
      <c r="E15211" s="2">
        <f t="shared" si="2496"/>
        <v>42430</v>
      </c>
      <c r="F15211" s="2">
        <f t="shared" si="2497"/>
        <v>43982</v>
      </c>
    </row>
    <row r="15212" spans="1:6" x14ac:dyDescent="0.25">
      <c r="A15212" s="1" t="s">
        <v>2225</v>
      </c>
      <c r="B15212" s="1" t="s">
        <v>2224</v>
      </c>
      <c r="C15212" s="1" t="s">
        <v>15</v>
      </c>
      <c r="D15212" s="3">
        <f t="shared" si="2495"/>
        <v>7851</v>
      </c>
      <c r="E15212" s="2">
        <f t="shared" si="2496"/>
        <v>42430</v>
      </c>
      <c r="F15212" s="2">
        <f t="shared" si="2497"/>
        <v>43982</v>
      </c>
    </row>
    <row r="15213" spans="1:6" x14ac:dyDescent="0.25">
      <c r="A15213" s="1" t="s">
        <v>2225</v>
      </c>
      <c r="B15213" s="1" t="s">
        <v>2224</v>
      </c>
      <c r="C15213" s="1" t="s">
        <v>16</v>
      </c>
      <c r="D15213" s="3">
        <f t="shared" si="2495"/>
        <v>7851</v>
      </c>
      <c r="E15213" s="2">
        <f t="shared" si="2496"/>
        <v>42430</v>
      </c>
      <c r="F15213" s="2">
        <f t="shared" si="2497"/>
        <v>43982</v>
      </c>
    </row>
    <row r="15214" spans="1:6" x14ac:dyDescent="0.25">
      <c r="A15214" s="1" t="s">
        <v>2225</v>
      </c>
      <c r="B15214" s="1" t="s">
        <v>2224</v>
      </c>
      <c r="C15214" s="1" t="s">
        <v>290</v>
      </c>
      <c r="D15214" s="3">
        <f t="shared" si="2495"/>
        <v>7851</v>
      </c>
      <c r="E15214" s="2">
        <f t="shared" si="2496"/>
        <v>42430</v>
      </c>
      <c r="F15214" s="2">
        <f t="shared" si="2497"/>
        <v>43982</v>
      </c>
    </row>
    <row r="15215" spans="1:6" x14ac:dyDescent="0.25">
      <c r="A15215" s="1" t="s">
        <v>2225</v>
      </c>
      <c r="B15215" s="1" t="s">
        <v>2224</v>
      </c>
      <c r="C15215" s="1" t="s">
        <v>17</v>
      </c>
      <c r="D15215" s="3">
        <f t="shared" si="2495"/>
        <v>7851</v>
      </c>
      <c r="E15215" s="2">
        <f t="shared" si="2496"/>
        <v>42430</v>
      </c>
      <c r="F15215" s="2">
        <f t="shared" si="2497"/>
        <v>43982</v>
      </c>
    </row>
    <row r="15216" spans="1:6" x14ac:dyDescent="0.25">
      <c r="A15216" s="1" t="s">
        <v>2225</v>
      </c>
      <c r="B15216" s="1" t="s">
        <v>2224</v>
      </c>
      <c r="C15216" s="1" t="s">
        <v>19</v>
      </c>
      <c r="D15216" s="3">
        <f t="shared" si="2495"/>
        <v>7851</v>
      </c>
      <c r="E15216" s="2">
        <f t="shared" si="2496"/>
        <v>42430</v>
      </c>
      <c r="F15216" s="2">
        <f t="shared" si="2497"/>
        <v>43982</v>
      </c>
    </row>
    <row r="15217" spans="1:6" x14ac:dyDescent="0.25">
      <c r="A15217" s="1" t="s">
        <v>2225</v>
      </c>
      <c r="B15217" s="1" t="s">
        <v>2224</v>
      </c>
      <c r="C15217" s="1" t="s">
        <v>193</v>
      </c>
      <c r="D15217" s="3">
        <f t="shared" si="2495"/>
        <v>7851</v>
      </c>
      <c r="E15217" s="2">
        <f t="shared" si="2496"/>
        <v>42430</v>
      </c>
      <c r="F15217" s="2">
        <f t="shared" si="2497"/>
        <v>43982</v>
      </c>
    </row>
    <row r="15218" spans="1:6" x14ac:dyDescent="0.25">
      <c r="A15218" s="1" t="s">
        <v>2225</v>
      </c>
      <c r="B15218" s="1" t="s">
        <v>2224</v>
      </c>
      <c r="C15218" s="1" t="s">
        <v>20</v>
      </c>
      <c r="D15218" s="3">
        <f t="shared" si="2495"/>
        <v>7851</v>
      </c>
      <c r="E15218" s="2">
        <f t="shared" si="2496"/>
        <v>42430</v>
      </c>
      <c r="F15218" s="2">
        <f t="shared" si="2497"/>
        <v>43982</v>
      </c>
    </row>
    <row r="15219" spans="1:6" x14ac:dyDescent="0.25">
      <c r="A15219" s="1" t="s">
        <v>2225</v>
      </c>
      <c r="B15219" s="1" t="s">
        <v>2224</v>
      </c>
      <c r="C15219" s="1" t="s">
        <v>21</v>
      </c>
      <c r="D15219" s="3">
        <f t="shared" si="2495"/>
        <v>7851</v>
      </c>
      <c r="E15219" s="2">
        <f t="shared" si="2496"/>
        <v>42430</v>
      </c>
      <c r="F15219" s="2">
        <f t="shared" si="2497"/>
        <v>43982</v>
      </c>
    </row>
    <row r="15220" spans="1:6" x14ac:dyDescent="0.25">
      <c r="A15220" s="1" t="s">
        <v>2225</v>
      </c>
      <c r="B15220" s="1" t="s">
        <v>2224</v>
      </c>
      <c r="C15220" s="1" t="s">
        <v>417</v>
      </c>
      <c r="D15220" s="3">
        <f t="shared" si="2495"/>
        <v>7851</v>
      </c>
      <c r="E15220" s="2">
        <f t="shared" si="2496"/>
        <v>42430</v>
      </c>
      <c r="F15220" s="2">
        <f t="shared" si="2497"/>
        <v>43982</v>
      </c>
    </row>
    <row r="15221" spans="1:6" x14ac:dyDescent="0.25">
      <c r="A15221" s="1" t="s">
        <v>2225</v>
      </c>
      <c r="B15221" s="1" t="s">
        <v>2224</v>
      </c>
      <c r="C15221" s="1" t="s">
        <v>22</v>
      </c>
      <c r="D15221" s="3">
        <f t="shared" si="2495"/>
        <v>7851</v>
      </c>
      <c r="E15221" s="2">
        <f t="shared" si="2496"/>
        <v>42430</v>
      </c>
      <c r="F15221" s="2">
        <f t="shared" si="2497"/>
        <v>43982</v>
      </c>
    </row>
    <row r="15222" spans="1:6" x14ac:dyDescent="0.25">
      <c r="A15222" s="1" t="s">
        <v>2225</v>
      </c>
      <c r="B15222" s="1" t="s">
        <v>2224</v>
      </c>
      <c r="C15222" s="1" t="s">
        <v>146</v>
      </c>
      <c r="D15222" s="3">
        <f t="shared" si="2495"/>
        <v>7851</v>
      </c>
      <c r="E15222" s="2">
        <f t="shared" si="2496"/>
        <v>42430</v>
      </c>
      <c r="F15222" s="2">
        <f t="shared" si="2497"/>
        <v>43982</v>
      </c>
    </row>
    <row r="15223" spans="1:6" x14ac:dyDescent="0.25">
      <c r="A15223" s="1" t="s">
        <v>2225</v>
      </c>
      <c r="B15223" s="1" t="s">
        <v>2224</v>
      </c>
      <c r="C15223" s="1" t="s">
        <v>148</v>
      </c>
      <c r="D15223" s="3">
        <f t="shared" si="2495"/>
        <v>7851</v>
      </c>
      <c r="E15223" s="2">
        <f t="shared" si="2496"/>
        <v>42430</v>
      </c>
      <c r="F15223" s="2">
        <f t="shared" si="2497"/>
        <v>43982</v>
      </c>
    </row>
    <row r="15224" spans="1:6" x14ac:dyDescent="0.25">
      <c r="A15224" s="1" t="s">
        <v>2225</v>
      </c>
      <c r="B15224" s="1" t="s">
        <v>2224</v>
      </c>
      <c r="C15224" s="1" t="s">
        <v>149</v>
      </c>
      <c r="D15224" s="3">
        <f t="shared" si="2495"/>
        <v>7851</v>
      </c>
      <c r="E15224" s="2">
        <f t="shared" si="2496"/>
        <v>42430</v>
      </c>
      <c r="F15224" s="2">
        <f t="shared" si="2497"/>
        <v>43982</v>
      </c>
    </row>
    <row r="15225" spans="1:6" x14ac:dyDescent="0.25">
      <c r="A15225" s="1" t="s">
        <v>2225</v>
      </c>
      <c r="B15225" s="1" t="s">
        <v>2224</v>
      </c>
      <c r="C15225" s="1" t="s">
        <v>150</v>
      </c>
      <c r="D15225" s="3">
        <f t="shared" si="2495"/>
        <v>7851</v>
      </c>
      <c r="E15225" s="2">
        <f t="shared" si="2496"/>
        <v>42430</v>
      </c>
      <c r="F15225" s="2">
        <f t="shared" si="2497"/>
        <v>43982</v>
      </c>
    </row>
    <row r="15226" spans="1:6" x14ac:dyDescent="0.25">
      <c r="A15226" s="1" t="s">
        <v>2225</v>
      </c>
      <c r="B15226" s="1" t="s">
        <v>2224</v>
      </c>
      <c r="C15226" s="1" t="s">
        <v>24</v>
      </c>
      <c r="D15226" s="3">
        <f t="shared" si="2495"/>
        <v>7851</v>
      </c>
      <c r="E15226" s="2">
        <f t="shared" si="2496"/>
        <v>42430</v>
      </c>
      <c r="F15226" s="2">
        <f t="shared" si="2497"/>
        <v>43982</v>
      </c>
    </row>
    <row r="15227" spans="1:6" x14ac:dyDescent="0.25">
      <c r="A15227" s="1" t="s">
        <v>2225</v>
      </c>
      <c r="B15227" s="1" t="s">
        <v>2224</v>
      </c>
      <c r="C15227" s="1" t="s">
        <v>73</v>
      </c>
      <c r="D15227" s="3">
        <f t="shared" si="2495"/>
        <v>7851</v>
      </c>
      <c r="E15227" s="2">
        <f t="shared" si="2496"/>
        <v>42430</v>
      </c>
      <c r="F15227" s="2">
        <f t="shared" si="2497"/>
        <v>43982</v>
      </c>
    </row>
    <row r="15228" spans="1:6" x14ac:dyDescent="0.25">
      <c r="A15228" s="1" t="s">
        <v>2225</v>
      </c>
      <c r="B15228" s="1" t="s">
        <v>2224</v>
      </c>
      <c r="C15228" s="1" t="s">
        <v>52</v>
      </c>
      <c r="D15228" s="3">
        <f t="shared" si="2495"/>
        <v>7851</v>
      </c>
      <c r="E15228" s="2">
        <f t="shared" si="2496"/>
        <v>42430</v>
      </c>
      <c r="F15228" s="2">
        <f t="shared" si="2497"/>
        <v>43982</v>
      </c>
    </row>
    <row r="15229" spans="1:6" x14ac:dyDescent="0.25">
      <c r="A15229" s="1" t="s">
        <v>2225</v>
      </c>
      <c r="B15229" s="1" t="s">
        <v>2224</v>
      </c>
      <c r="C15229" s="1" t="s">
        <v>160</v>
      </c>
      <c r="D15229" s="3">
        <f t="shared" si="2495"/>
        <v>7851</v>
      </c>
      <c r="E15229" s="2">
        <f t="shared" si="2496"/>
        <v>42430</v>
      </c>
      <c r="F15229" s="2">
        <f t="shared" si="2497"/>
        <v>43982</v>
      </c>
    </row>
    <row r="15230" spans="1:6" x14ac:dyDescent="0.25">
      <c r="A15230" s="1" t="s">
        <v>2225</v>
      </c>
      <c r="B15230" s="1" t="s">
        <v>2224</v>
      </c>
      <c r="C15230" s="1" t="s">
        <v>34</v>
      </c>
      <c r="D15230" s="3">
        <f t="shared" si="2495"/>
        <v>7851</v>
      </c>
      <c r="E15230" s="2">
        <f t="shared" si="2496"/>
        <v>42430</v>
      </c>
      <c r="F15230" s="2">
        <f t="shared" si="2497"/>
        <v>43982</v>
      </c>
    </row>
    <row r="15231" spans="1:6" x14ac:dyDescent="0.25">
      <c r="A15231" s="1" t="s">
        <v>2225</v>
      </c>
      <c r="B15231" s="1" t="s">
        <v>2224</v>
      </c>
      <c r="C15231" s="1" t="s">
        <v>55</v>
      </c>
      <c r="D15231" s="3">
        <f t="shared" si="2495"/>
        <v>7851</v>
      </c>
      <c r="E15231" s="2">
        <f t="shared" si="2496"/>
        <v>42430</v>
      </c>
      <c r="F15231" s="2">
        <f t="shared" si="2497"/>
        <v>43982</v>
      </c>
    </row>
    <row r="15232" spans="1:6" x14ac:dyDescent="0.25">
      <c r="A15232" s="1" t="s">
        <v>2225</v>
      </c>
      <c r="B15232" s="1" t="s">
        <v>2224</v>
      </c>
      <c r="C15232" s="1" t="s">
        <v>163</v>
      </c>
      <c r="D15232" s="3">
        <f t="shared" si="2495"/>
        <v>7851</v>
      </c>
      <c r="E15232" s="2">
        <f t="shared" si="2496"/>
        <v>42430</v>
      </c>
      <c r="F15232" s="2">
        <f t="shared" si="2497"/>
        <v>43982</v>
      </c>
    </row>
    <row r="15233" spans="1:6" x14ac:dyDescent="0.25">
      <c r="A15233" s="1" t="s">
        <v>2225</v>
      </c>
      <c r="B15233" s="1" t="s">
        <v>2224</v>
      </c>
      <c r="C15233" s="1" t="s">
        <v>36</v>
      </c>
      <c r="D15233" s="3">
        <f t="shared" si="2495"/>
        <v>7851</v>
      </c>
      <c r="E15233" s="2">
        <f t="shared" si="2496"/>
        <v>42430</v>
      </c>
      <c r="F15233" s="2">
        <f t="shared" si="2497"/>
        <v>43982</v>
      </c>
    </row>
    <row r="15234" spans="1:6" x14ac:dyDescent="0.25">
      <c r="A15234" s="1" t="s">
        <v>2753</v>
      </c>
      <c r="B15234" s="1" t="s">
        <v>2752</v>
      </c>
      <c r="C15234" s="1" t="s">
        <v>39</v>
      </c>
      <c r="D15234" s="3">
        <f t="shared" ref="D15234:D15241" si="2498">VALUE("7571")</f>
        <v>7571</v>
      </c>
      <c r="E15234" s="2">
        <f t="shared" ref="E15234:E15241" si="2499">DATEVALUE("1-1-2014")</f>
        <v>41640</v>
      </c>
      <c r="F15234" s="2">
        <f t="shared" ref="F15234:F15241" si="2500">DATEVALUE("31-12-2014")</f>
        <v>42004</v>
      </c>
    </row>
    <row r="15235" spans="1:6" x14ac:dyDescent="0.25">
      <c r="A15235" s="1" t="s">
        <v>2753</v>
      </c>
      <c r="B15235" s="1" t="s">
        <v>2752</v>
      </c>
      <c r="C15235" s="1" t="s">
        <v>45</v>
      </c>
      <c r="D15235" s="3">
        <f t="shared" si="2498"/>
        <v>7571</v>
      </c>
      <c r="E15235" s="2">
        <f t="shared" si="2499"/>
        <v>41640</v>
      </c>
      <c r="F15235" s="2">
        <f t="shared" si="2500"/>
        <v>42004</v>
      </c>
    </row>
    <row r="15236" spans="1:6" x14ac:dyDescent="0.25">
      <c r="A15236" s="1" t="s">
        <v>2753</v>
      </c>
      <c r="B15236" s="1" t="s">
        <v>2752</v>
      </c>
      <c r="C15236" s="1" t="s">
        <v>17</v>
      </c>
      <c r="D15236" s="3">
        <f t="shared" si="2498"/>
        <v>7571</v>
      </c>
      <c r="E15236" s="2">
        <f t="shared" si="2499"/>
        <v>41640</v>
      </c>
      <c r="F15236" s="2">
        <f t="shared" si="2500"/>
        <v>42004</v>
      </c>
    </row>
    <row r="15237" spans="1:6" x14ac:dyDescent="0.25">
      <c r="A15237" s="1" t="s">
        <v>2753</v>
      </c>
      <c r="B15237" s="1" t="s">
        <v>2752</v>
      </c>
      <c r="C15237" s="1" t="s">
        <v>91</v>
      </c>
      <c r="D15237" s="3">
        <f t="shared" si="2498"/>
        <v>7571</v>
      </c>
      <c r="E15237" s="2">
        <f t="shared" si="2499"/>
        <v>41640</v>
      </c>
      <c r="F15237" s="2">
        <f t="shared" si="2500"/>
        <v>42004</v>
      </c>
    </row>
    <row r="15238" spans="1:6" x14ac:dyDescent="0.25">
      <c r="A15238" s="1" t="s">
        <v>2753</v>
      </c>
      <c r="B15238" s="1" t="s">
        <v>2752</v>
      </c>
      <c r="C15238" s="1" t="s">
        <v>22</v>
      </c>
      <c r="D15238" s="3">
        <f t="shared" si="2498"/>
        <v>7571</v>
      </c>
      <c r="E15238" s="2">
        <f t="shared" si="2499"/>
        <v>41640</v>
      </c>
      <c r="F15238" s="2">
        <f t="shared" si="2500"/>
        <v>42004</v>
      </c>
    </row>
    <row r="15239" spans="1:6" x14ac:dyDescent="0.25">
      <c r="A15239" s="1" t="s">
        <v>2753</v>
      </c>
      <c r="B15239" s="1" t="s">
        <v>2752</v>
      </c>
      <c r="C15239" s="1" t="s">
        <v>262</v>
      </c>
      <c r="D15239" s="3">
        <f t="shared" si="2498"/>
        <v>7571</v>
      </c>
      <c r="E15239" s="2">
        <f t="shared" si="2499"/>
        <v>41640</v>
      </c>
      <c r="F15239" s="2">
        <f t="shared" si="2500"/>
        <v>42004</v>
      </c>
    </row>
    <row r="15240" spans="1:6" x14ac:dyDescent="0.25">
      <c r="A15240" s="1" t="s">
        <v>2753</v>
      </c>
      <c r="B15240" s="1" t="s">
        <v>2752</v>
      </c>
      <c r="C15240" s="1" t="s">
        <v>103</v>
      </c>
      <c r="D15240" s="3">
        <f t="shared" si="2498"/>
        <v>7571</v>
      </c>
      <c r="E15240" s="2">
        <f t="shared" si="2499"/>
        <v>41640</v>
      </c>
      <c r="F15240" s="2">
        <f t="shared" si="2500"/>
        <v>42004</v>
      </c>
    </row>
    <row r="15241" spans="1:6" x14ac:dyDescent="0.25">
      <c r="A15241" s="1" t="s">
        <v>2753</v>
      </c>
      <c r="B15241" s="1" t="s">
        <v>2752</v>
      </c>
      <c r="C15241" s="1" t="s">
        <v>73</v>
      </c>
      <c r="D15241" s="3">
        <f t="shared" si="2498"/>
        <v>7571</v>
      </c>
      <c r="E15241" s="2">
        <f t="shared" si="2499"/>
        <v>41640</v>
      </c>
      <c r="F15241" s="2">
        <f t="shared" si="2500"/>
        <v>42004</v>
      </c>
    </row>
    <row r="15242" spans="1:6" x14ac:dyDescent="0.25">
      <c r="A15242" s="1" t="s">
        <v>1477</v>
      </c>
      <c r="B15242" s="1" t="s">
        <v>1476</v>
      </c>
      <c r="C15242" s="1" t="s">
        <v>7</v>
      </c>
      <c r="D15242" s="3">
        <f t="shared" ref="D15242:D15274" si="2501">VALUE("8678")</f>
        <v>8678</v>
      </c>
      <c r="E15242" s="2">
        <f t="shared" ref="E15242:E15274" si="2502">DATEVALUE("1-1-2020")</f>
        <v>43831</v>
      </c>
      <c r="F15242" s="2">
        <f t="shared" ref="F15242:F15274" si="2503">DATEVALUE("31-12-2020")</f>
        <v>44196</v>
      </c>
    </row>
    <row r="15243" spans="1:6" x14ac:dyDescent="0.25">
      <c r="A15243" s="1" t="s">
        <v>1477</v>
      </c>
      <c r="B15243" s="1" t="s">
        <v>1476</v>
      </c>
      <c r="C15243" s="1" t="s">
        <v>215</v>
      </c>
      <c r="D15243" s="3">
        <f t="shared" si="2501"/>
        <v>8678</v>
      </c>
      <c r="E15243" s="2">
        <f t="shared" si="2502"/>
        <v>43831</v>
      </c>
      <c r="F15243" s="2">
        <f t="shared" si="2503"/>
        <v>44196</v>
      </c>
    </row>
    <row r="15244" spans="1:6" x14ac:dyDescent="0.25">
      <c r="A15244" s="1" t="s">
        <v>1477</v>
      </c>
      <c r="B15244" s="1" t="s">
        <v>1476</v>
      </c>
      <c r="C15244" s="1" t="s">
        <v>1478</v>
      </c>
      <c r="D15244" s="3">
        <f t="shared" si="2501"/>
        <v>8678</v>
      </c>
      <c r="E15244" s="2">
        <f t="shared" si="2502"/>
        <v>43831</v>
      </c>
      <c r="F15244" s="2">
        <f t="shared" si="2503"/>
        <v>44196</v>
      </c>
    </row>
    <row r="15245" spans="1:6" x14ac:dyDescent="0.25">
      <c r="A15245" s="1" t="s">
        <v>1477</v>
      </c>
      <c r="B15245" s="1" t="s">
        <v>1476</v>
      </c>
      <c r="C15245" s="1" t="s">
        <v>1285</v>
      </c>
      <c r="D15245" s="3">
        <f t="shared" si="2501"/>
        <v>8678</v>
      </c>
      <c r="E15245" s="2">
        <f t="shared" si="2502"/>
        <v>43831</v>
      </c>
      <c r="F15245" s="2">
        <f t="shared" si="2503"/>
        <v>44196</v>
      </c>
    </row>
    <row r="15246" spans="1:6" x14ac:dyDescent="0.25">
      <c r="A15246" s="1" t="s">
        <v>1477</v>
      </c>
      <c r="B15246" s="1" t="s">
        <v>1476</v>
      </c>
      <c r="C15246" s="1" t="s">
        <v>439</v>
      </c>
      <c r="D15246" s="3">
        <f t="shared" si="2501"/>
        <v>8678</v>
      </c>
      <c r="E15246" s="2">
        <f t="shared" si="2502"/>
        <v>43831</v>
      </c>
      <c r="F15246" s="2">
        <f t="shared" si="2503"/>
        <v>44196</v>
      </c>
    </row>
    <row r="15247" spans="1:6" x14ac:dyDescent="0.25">
      <c r="A15247" s="1" t="s">
        <v>1477</v>
      </c>
      <c r="B15247" s="1" t="s">
        <v>1476</v>
      </c>
      <c r="C15247" s="1" t="s">
        <v>440</v>
      </c>
      <c r="D15247" s="3">
        <f t="shared" si="2501"/>
        <v>8678</v>
      </c>
      <c r="E15247" s="2">
        <f t="shared" si="2502"/>
        <v>43831</v>
      </c>
      <c r="F15247" s="2">
        <f t="shared" si="2503"/>
        <v>44196</v>
      </c>
    </row>
    <row r="15248" spans="1:6" x14ac:dyDescent="0.25">
      <c r="A15248" s="1" t="s">
        <v>1477</v>
      </c>
      <c r="B15248" s="1" t="s">
        <v>1476</v>
      </c>
      <c r="C15248" s="1" t="s">
        <v>46</v>
      </c>
      <c r="D15248" s="3">
        <f t="shared" si="2501"/>
        <v>8678</v>
      </c>
      <c r="E15248" s="2">
        <f t="shared" si="2502"/>
        <v>43831</v>
      </c>
      <c r="F15248" s="2">
        <f t="shared" si="2503"/>
        <v>44196</v>
      </c>
    </row>
    <row r="15249" spans="1:6" x14ac:dyDescent="0.25">
      <c r="A15249" s="1" t="s">
        <v>1477</v>
      </c>
      <c r="B15249" s="1" t="s">
        <v>1476</v>
      </c>
      <c r="C15249" s="1" t="s">
        <v>14</v>
      </c>
      <c r="D15249" s="3">
        <f t="shared" si="2501"/>
        <v>8678</v>
      </c>
      <c r="E15249" s="2">
        <f t="shared" si="2502"/>
        <v>43831</v>
      </c>
      <c r="F15249" s="2">
        <f t="shared" si="2503"/>
        <v>44196</v>
      </c>
    </row>
    <row r="15250" spans="1:6" x14ac:dyDescent="0.25">
      <c r="A15250" s="1" t="s">
        <v>1477</v>
      </c>
      <c r="B15250" s="1" t="s">
        <v>1476</v>
      </c>
      <c r="C15250" s="1" t="s">
        <v>15</v>
      </c>
      <c r="D15250" s="3">
        <f t="shared" si="2501"/>
        <v>8678</v>
      </c>
      <c r="E15250" s="2">
        <f t="shared" si="2502"/>
        <v>43831</v>
      </c>
      <c r="F15250" s="2">
        <f t="shared" si="2503"/>
        <v>44196</v>
      </c>
    </row>
    <row r="15251" spans="1:6" x14ac:dyDescent="0.25">
      <c r="A15251" s="1" t="s">
        <v>1477</v>
      </c>
      <c r="B15251" s="1" t="s">
        <v>1476</v>
      </c>
      <c r="C15251" s="1" t="s">
        <v>16</v>
      </c>
      <c r="D15251" s="3">
        <f t="shared" si="2501"/>
        <v>8678</v>
      </c>
      <c r="E15251" s="2">
        <f t="shared" si="2502"/>
        <v>43831</v>
      </c>
      <c r="F15251" s="2">
        <f t="shared" si="2503"/>
        <v>44196</v>
      </c>
    </row>
    <row r="15252" spans="1:6" x14ac:dyDescent="0.25">
      <c r="A15252" s="1" t="s">
        <v>1477</v>
      </c>
      <c r="B15252" s="1" t="s">
        <v>1476</v>
      </c>
      <c r="C15252" s="1" t="s">
        <v>17</v>
      </c>
      <c r="D15252" s="3">
        <f t="shared" si="2501"/>
        <v>8678</v>
      </c>
      <c r="E15252" s="2">
        <f t="shared" si="2502"/>
        <v>43831</v>
      </c>
      <c r="F15252" s="2">
        <f t="shared" si="2503"/>
        <v>44196</v>
      </c>
    </row>
    <row r="15253" spans="1:6" x14ac:dyDescent="0.25">
      <c r="A15253" s="1" t="s">
        <v>1477</v>
      </c>
      <c r="B15253" s="1" t="s">
        <v>1476</v>
      </c>
      <c r="C15253" s="1" t="s">
        <v>257</v>
      </c>
      <c r="D15253" s="3">
        <f t="shared" si="2501"/>
        <v>8678</v>
      </c>
      <c r="E15253" s="2">
        <f t="shared" si="2502"/>
        <v>43831</v>
      </c>
      <c r="F15253" s="2">
        <f t="shared" si="2503"/>
        <v>44196</v>
      </c>
    </row>
    <row r="15254" spans="1:6" x14ac:dyDescent="0.25">
      <c r="A15254" s="1" t="s">
        <v>1477</v>
      </c>
      <c r="B15254" s="1" t="s">
        <v>1476</v>
      </c>
      <c r="C15254" s="1" t="s">
        <v>22</v>
      </c>
      <c r="D15254" s="3">
        <f t="shared" si="2501"/>
        <v>8678</v>
      </c>
      <c r="E15254" s="2">
        <f t="shared" si="2502"/>
        <v>43831</v>
      </c>
      <c r="F15254" s="2">
        <f t="shared" si="2503"/>
        <v>44196</v>
      </c>
    </row>
    <row r="15255" spans="1:6" x14ac:dyDescent="0.25">
      <c r="A15255" s="1" t="s">
        <v>1477</v>
      </c>
      <c r="B15255" s="1" t="s">
        <v>1476</v>
      </c>
      <c r="C15255" s="1" t="s">
        <v>146</v>
      </c>
      <c r="D15255" s="3">
        <f t="shared" si="2501"/>
        <v>8678</v>
      </c>
      <c r="E15255" s="2">
        <f t="shared" si="2502"/>
        <v>43831</v>
      </c>
      <c r="F15255" s="2">
        <f t="shared" si="2503"/>
        <v>44196</v>
      </c>
    </row>
    <row r="15256" spans="1:6" x14ac:dyDescent="0.25">
      <c r="A15256" s="1" t="s">
        <v>1477</v>
      </c>
      <c r="B15256" s="1" t="s">
        <v>1476</v>
      </c>
      <c r="C15256" s="1" t="s">
        <v>148</v>
      </c>
      <c r="D15256" s="3">
        <f t="shared" si="2501"/>
        <v>8678</v>
      </c>
      <c r="E15256" s="2">
        <f t="shared" si="2502"/>
        <v>43831</v>
      </c>
      <c r="F15256" s="2">
        <f t="shared" si="2503"/>
        <v>44196</v>
      </c>
    </row>
    <row r="15257" spans="1:6" x14ac:dyDescent="0.25">
      <c r="A15257" s="1" t="s">
        <v>1477</v>
      </c>
      <c r="B15257" s="1" t="s">
        <v>1476</v>
      </c>
      <c r="C15257" s="1" t="s">
        <v>150</v>
      </c>
      <c r="D15257" s="3">
        <f t="shared" si="2501"/>
        <v>8678</v>
      </c>
      <c r="E15257" s="2">
        <f t="shared" si="2502"/>
        <v>43831</v>
      </c>
      <c r="F15257" s="2">
        <f t="shared" si="2503"/>
        <v>44196</v>
      </c>
    </row>
    <row r="15258" spans="1:6" x14ac:dyDescent="0.25">
      <c r="A15258" s="1" t="s">
        <v>1477</v>
      </c>
      <c r="B15258" s="1" t="s">
        <v>1476</v>
      </c>
      <c r="C15258" s="1" t="s">
        <v>172</v>
      </c>
      <c r="D15258" s="3">
        <f t="shared" si="2501"/>
        <v>8678</v>
      </c>
      <c r="E15258" s="2">
        <f t="shared" si="2502"/>
        <v>43831</v>
      </c>
      <c r="F15258" s="2">
        <f t="shared" si="2503"/>
        <v>44196</v>
      </c>
    </row>
    <row r="15259" spans="1:6" x14ac:dyDescent="0.25">
      <c r="A15259" s="1" t="s">
        <v>1477</v>
      </c>
      <c r="B15259" s="1" t="s">
        <v>1476</v>
      </c>
      <c r="C15259" s="1" t="s">
        <v>211</v>
      </c>
      <c r="D15259" s="3">
        <f t="shared" si="2501"/>
        <v>8678</v>
      </c>
      <c r="E15259" s="2">
        <f t="shared" si="2502"/>
        <v>43831</v>
      </c>
      <c r="F15259" s="2">
        <f t="shared" si="2503"/>
        <v>44196</v>
      </c>
    </row>
    <row r="15260" spans="1:6" x14ac:dyDescent="0.25">
      <c r="A15260" s="1" t="s">
        <v>1477</v>
      </c>
      <c r="B15260" s="1" t="s">
        <v>1476</v>
      </c>
      <c r="C15260" s="1" t="s">
        <v>92</v>
      </c>
      <c r="D15260" s="3">
        <f t="shared" si="2501"/>
        <v>8678</v>
      </c>
      <c r="E15260" s="2">
        <f t="shared" si="2502"/>
        <v>43831</v>
      </c>
      <c r="F15260" s="2">
        <f t="shared" si="2503"/>
        <v>44196</v>
      </c>
    </row>
    <row r="15261" spans="1:6" x14ac:dyDescent="0.25">
      <c r="A15261" s="1" t="s">
        <v>1477</v>
      </c>
      <c r="B15261" s="1" t="s">
        <v>1476</v>
      </c>
      <c r="C15261" s="1" t="s">
        <v>400</v>
      </c>
      <c r="D15261" s="3">
        <f t="shared" si="2501"/>
        <v>8678</v>
      </c>
      <c r="E15261" s="2">
        <f t="shared" si="2502"/>
        <v>43831</v>
      </c>
      <c r="F15261" s="2">
        <f t="shared" si="2503"/>
        <v>44196</v>
      </c>
    </row>
    <row r="15262" spans="1:6" x14ac:dyDescent="0.25">
      <c r="A15262" s="1" t="s">
        <v>1477</v>
      </c>
      <c r="B15262" s="1" t="s">
        <v>1476</v>
      </c>
      <c r="C15262" s="1" t="s">
        <v>329</v>
      </c>
      <c r="D15262" s="3">
        <f t="shared" si="2501"/>
        <v>8678</v>
      </c>
      <c r="E15262" s="2">
        <f t="shared" si="2502"/>
        <v>43831</v>
      </c>
      <c r="F15262" s="2">
        <f t="shared" si="2503"/>
        <v>44196</v>
      </c>
    </row>
    <row r="15263" spans="1:6" x14ac:dyDescent="0.25">
      <c r="A15263" s="1" t="s">
        <v>1477</v>
      </c>
      <c r="B15263" s="1" t="s">
        <v>1476</v>
      </c>
      <c r="C15263" s="1" t="s">
        <v>1479</v>
      </c>
      <c r="D15263" s="3">
        <f t="shared" si="2501"/>
        <v>8678</v>
      </c>
      <c r="E15263" s="2">
        <f t="shared" si="2502"/>
        <v>43831</v>
      </c>
      <c r="F15263" s="2">
        <f t="shared" si="2503"/>
        <v>44196</v>
      </c>
    </row>
    <row r="15264" spans="1:6" x14ac:dyDescent="0.25">
      <c r="A15264" s="1" t="s">
        <v>1477</v>
      </c>
      <c r="B15264" s="1" t="s">
        <v>1476</v>
      </c>
      <c r="C15264" s="1" t="s">
        <v>212</v>
      </c>
      <c r="D15264" s="3">
        <f t="shared" si="2501"/>
        <v>8678</v>
      </c>
      <c r="E15264" s="2">
        <f t="shared" si="2502"/>
        <v>43831</v>
      </c>
      <c r="F15264" s="2">
        <f t="shared" si="2503"/>
        <v>44196</v>
      </c>
    </row>
    <row r="15265" spans="1:6" x14ac:dyDescent="0.25">
      <c r="A15265" s="1" t="s">
        <v>1477</v>
      </c>
      <c r="B15265" s="1" t="s">
        <v>1476</v>
      </c>
      <c r="C15265" s="1" t="s">
        <v>27</v>
      </c>
      <c r="D15265" s="3">
        <f t="shared" si="2501"/>
        <v>8678</v>
      </c>
      <c r="E15265" s="2">
        <f t="shared" si="2502"/>
        <v>43831</v>
      </c>
      <c r="F15265" s="2">
        <f t="shared" si="2503"/>
        <v>44196</v>
      </c>
    </row>
    <row r="15266" spans="1:6" x14ac:dyDescent="0.25">
      <c r="A15266" s="1" t="s">
        <v>1477</v>
      </c>
      <c r="B15266" s="1" t="s">
        <v>1476</v>
      </c>
      <c r="C15266" s="1" t="s">
        <v>262</v>
      </c>
      <c r="D15266" s="3">
        <f t="shared" si="2501"/>
        <v>8678</v>
      </c>
      <c r="E15266" s="2">
        <f t="shared" si="2502"/>
        <v>43831</v>
      </c>
      <c r="F15266" s="2">
        <f t="shared" si="2503"/>
        <v>44196</v>
      </c>
    </row>
    <row r="15267" spans="1:6" x14ac:dyDescent="0.25">
      <c r="A15267" s="1" t="s">
        <v>1477</v>
      </c>
      <c r="B15267" s="1" t="s">
        <v>1476</v>
      </c>
      <c r="C15267" s="1" t="s">
        <v>1480</v>
      </c>
      <c r="D15267" s="3">
        <f t="shared" si="2501"/>
        <v>8678</v>
      </c>
      <c r="E15267" s="2">
        <f t="shared" si="2502"/>
        <v>43831</v>
      </c>
      <c r="F15267" s="2">
        <f t="shared" si="2503"/>
        <v>44196</v>
      </c>
    </row>
    <row r="15268" spans="1:6" x14ac:dyDescent="0.25">
      <c r="A15268" s="1" t="s">
        <v>1477</v>
      </c>
      <c r="B15268" s="1" t="s">
        <v>1476</v>
      </c>
      <c r="C15268" s="1" t="s">
        <v>73</v>
      </c>
      <c r="D15268" s="3">
        <f t="shared" si="2501"/>
        <v>8678</v>
      </c>
      <c r="E15268" s="2">
        <f t="shared" si="2502"/>
        <v>43831</v>
      </c>
      <c r="F15268" s="2">
        <f t="shared" si="2503"/>
        <v>44196</v>
      </c>
    </row>
    <row r="15269" spans="1:6" x14ac:dyDescent="0.25">
      <c r="A15269" s="1" t="s">
        <v>1477</v>
      </c>
      <c r="B15269" s="1" t="s">
        <v>1476</v>
      </c>
      <c r="C15269" s="1" t="s">
        <v>52</v>
      </c>
      <c r="D15269" s="3">
        <f t="shared" si="2501"/>
        <v>8678</v>
      </c>
      <c r="E15269" s="2">
        <f t="shared" si="2502"/>
        <v>43831</v>
      </c>
      <c r="F15269" s="2">
        <f t="shared" si="2503"/>
        <v>44196</v>
      </c>
    </row>
    <row r="15270" spans="1:6" x14ac:dyDescent="0.25">
      <c r="A15270" s="1" t="s">
        <v>1477</v>
      </c>
      <c r="B15270" s="1" t="s">
        <v>1476</v>
      </c>
      <c r="C15270" s="1" t="s">
        <v>160</v>
      </c>
      <c r="D15270" s="3">
        <f t="shared" si="2501"/>
        <v>8678</v>
      </c>
      <c r="E15270" s="2">
        <f t="shared" si="2502"/>
        <v>43831</v>
      </c>
      <c r="F15270" s="2">
        <f t="shared" si="2503"/>
        <v>44196</v>
      </c>
    </row>
    <row r="15271" spans="1:6" x14ac:dyDescent="0.25">
      <c r="A15271" s="1" t="s">
        <v>1477</v>
      </c>
      <c r="B15271" s="1" t="s">
        <v>1476</v>
      </c>
      <c r="C15271" s="1" t="s">
        <v>310</v>
      </c>
      <c r="D15271" s="3">
        <f t="shared" si="2501"/>
        <v>8678</v>
      </c>
      <c r="E15271" s="2">
        <f t="shared" si="2502"/>
        <v>43831</v>
      </c>
      <c r="F15271" s="2">
        <f t="shared" si="2503"/>
        <v>44196</v>
      </c>
    </row>
    <row r="15272" spans="1:6" x14ac:dyDescent="0.25">
      <c r="A15272" s="1" t="s">
        <v>1477</v>
      </c>
      <c r="B15272" s="1" t="s">
        <v>1476</v>
      </c>
      <c r="C15272" s="1" t="s">
        <v>433</v>
      </c>
      <c r="D15272" s="3">
        <f t="shared" si="2501"/>
        <v>8678</v>
      </c>
      <c r="E15272" s="2">
        <f t="shared" si="2502"/>
        <v>43831</v>
      </c>
      <c r="F15272" s="2">
        <f t="shared" si="2503"/>
        <v>44196</v>
      </c>
    </row>
    <row r="15273" spans="1:6" x14ac:dyDescent="0.25">
      <c r="A15273" s="1" t="s">
        <v>1477</v>
      </c>
      <c r="B15273" s="1" t="s">
        <v>1476</v>
      </c>
      <c r="C15273" s="1" t="s">
        <v>56</v>
      </c>
      <c r="D15273" s="3">
        <f t="shared" si="2501"/>
        <v>8678</v>
      </c>
      <c r="E15273" s="2">
        <f t="shared" si="2502"/>
        <v>43831</v>
      </c>
      <c r="F15273" s="2">
        <f t="shared" si="2503"/>
        <v>44196</v>
      </c>
    </row>
    <row r="15274" spans="1:6" x14ac:dyDescent="0.25">
      <c r="A15274" s="1" t="s">
        <v>1477</v>
      </c>
      <c r="B15274" s="1" t="s">
        <v>1476</v>
      </c>
      <c r="C15274" s="1" t="s">
        <v>173</v>
      </c>
      <c r="D15274" s="3">
        <f t="shared" si="2501"/>
        <v>8678</v>
      </c>
      <c r="E15274" s="2">
        <f t="shared" si="2502"/>
        <v>43831</v>
      </c>
      <c r="F15274" s="2">
        <f t="shared" si="2503"/>
        <v>44196</v>
      </c>
    </row>
    <row r="15275" spans="1:6" x14ac:dyDescent="0.25">
      <c r="A15275" s="1" t="s">
        <v>1945</v>
      </c>
      <c r="B15275" s="1" t="s">
        <v>1944</v>
      </c>
      <c r="C15275" s="1" t="s">
        <v>45</v>
      </c>
      <c r="D15275" s="3">
        <f>VALUE("7661")</f>
        <v>7661</v>
      </c>
      <c r="E15275" s="2">
        <f>DATEVALUE("1-3-2015")</f>
        <v>42064</v>
      </c>
      <c r="F15275" s="2">
        <f>DATEVALUE("31-3-2015")</f>
        <v>42094</v>
      </c>
    </row>
    <row r="15276" spans="1:6" x14ac:dyDescent="0.25">
      <c r="A15276" s="1" t="s">
        <v>2680</v>
      </c>
      <c r="B15276" s="1" t="s">
        <v>2679</v>
      </c>
      <c r="C15276" s="1" t="s">
        <v>13</v>
      </c>
      <c r="D15276" s="3">
        <f>VALUE("7371")</f>
        <v>7371</v>
      </c>
      <c r="E15276" s="2">
        <f>DATEVALUE("1-5-2013")</f>
        <v>41395</v>
      </c>
      <c r="F15276" s="2">
        <f>DATEVALUE("31-5-2013")</f>
        <v>41425</v>
      </c>
    </row>
    <row r="15277" spans="1:6" x14ac:dyDescent="0.25">
      <c r="A15277" s="1" t="s">
        <v>2569</v>
      </c>
      <c r="B15277" s="1" t="s">
        <v>2568</v>
      </c>
      <c r="C15277" s="1" t="s">
        <v>45</v>
      </c>
      <c r="D15277" s="3">
        <f>VALUE("7100")</f>
        <v>7100</v>
      </c>
      <c r="E15277" s="2">
        <f>DATEVALUE("1-10-2010")</f>
        <v>40452</v>
      </c>
      <c r="F15277" s="2">
        <f>DATEVALUE("30-6-2013")</f>
        <v>41455</v>
      </c>
    </row>
    <row r="15278" spans="1:6" x14ac:dyDescent="0.25">
      <c r="A15278" s="1" t="s">
        <v>2569</v>
      </c>
      <c r="B15278" s="1" t="s">
        <v>2568</v>
      </c>
      <c r="C15278" s="1" t="s">
        <v>2526</v>
      </c>
      <c r="D15278" s="3">
        <f>VALUE("7100")</f>
        <v>7100</v>
      </c>
      <c r="E15278" s="2">
        <f>DATEVALUE("1-10-2010")</f>
        <v>40452</v>
      </c>
      <c r="F15278" s="2">
        <f>DATEVALUE("30-6-2013")</f>
        <v>41455</v>
      </c>
    </row>
    <row r="15279" spans="1:6" x14ac:dyDescent="0.25">
      <c r="A15279" s="1" t="s">
        <v>1672</v>
      </c>
      <c r="B15279" s="1" t="s">
        <v>1671</v>
      </c>
      <c r="C15279" s="1" t="s">
        <v>7</v>
      </c>
      <c r="D15279" s="3">
        <f>VALUE("8851")</f>
        <v>8851</v>
      </c>
      <c r="E15279" s="2">
        <f>DATEVALUE("1-10-2020")</f>
        <v>44105</v>
      </c>
      <c r="F15279" s="2">
        <f>DATEVALUE("31-12-2021")</f>
        <v>44561</v>
      </c>
    </row>
    <row r="15280" spans="1:6" x14ac:dyDescent="0.25">
      <c r="A15280" s="1" t="s">
        <v>1672</v>
      </c>
      <c r="B15280" s="1" t="s">
        <v>1671</v>
      </c>
      <c r="C15280" s="1" t="s">
        <v>6</v>
      </c>
      <c r="D15280" s="3">
        <f>VALUE("8851")</f>
        <v>8851</v>
      </c>
      <c r="E15280" s="2">
        <f>DATEVALUE("1-10-2020")</f>
        <v>44105</v>
      </c>
      <c r="F15280" s="2">
        <f>DATEVALUE("31-12-2021")</f>
        <v>44561</v>
      </c>
    </row>
    <row r="15281" spans="1:6" x14ac:dyDescent="0.25">
      <c r="A15281" s="1" t="s">
        <v>1672</v>
      </c>
      <c r="B15281" s="1" t="s">
        <v>1671</v>
      </c>
      <c r="C15281" s="1" t="s">
        <v>319</v>
      </c>
      <c r="D15281" s="3">
        <f>VALUE("8851")</f>
        <v>8851</v>
      </c>
      <c r="E15281" s="2">
        <f>DATEVALUE("1-10-2020")</f>
        <v>44105</v>
      </c>
      <c r="F15281" s="2">
        <f>DATEVALUE("31-12-2021")</f>
        <v>44561</v>
      </c>
    </row>
    <row r="15282" spans="1:6" x14ac:dyDescent="0.25">
      <c r="A15282" s="1" t="s">
        <v>1672</v>
      </c>
      <c r="B15282" s="1" t="s">
        <v>1671</v>
      </c>
      <c r="C15282" s="1" t="s">
        <v>72</v>
      </c>
      <c r="D15282" s="3">
        <f>VALUE("8851")</f>
        <v>8851</v>
      </c>
      <c r="E15282" s="2">
        <f>DATEVALUE("1-10-2020")</f>
        <v>44105</v>
      </c>
      <c r="F15282" s="2">
        <f>DATEVALUE("31-12-2021")</f>
        <v>44561</v>
      </c>
    </row>
    <row r="15283" spans="1:6" x14ac:dyDescent="0.25">
      <c r="A15283" s="1" t="s">
        <v>1672</v>
      </c>
      <c r="B15283" s="1" t="s">
        <v>1671</v>
      </c>
      <c r="C15283" s="1" t="s">
        <v>52</v>
      </c>
      <c r="D15283" s="3">
        <f>VALUE("8851")</f>
        <v>8851</v>
      </c>
      <c r="E15283" s="2">
        <f>DATEVALUE("1-10-2020")</f>
        <v>44105</v>
      </c>
      <c r="F15283" s="2">
        <f>DATEVALUE("31-12-2021")</f>
        <v>44561</v>
      </c>
    </row>
    <row r="15284" spans="1:6" x14ac:dyDescent="0.25">
      <c r="A15284" s="1" t="s">
        <v>119</v>
      </c>
      <c r="B15284" s="1" t="s">
        <v>342</v>
      </c>
      <c r="C15284" s="1" t="s">
        <v>17</v>
      </c>
      <c r="D15284" s="3">
        <f>VALUE("7438")</f>
        <v>7438</v>
      </c>
      <c r="E15284" s="2">
        <f>DATEVALUE("1-1-2013")</f>
        <v>41275</v>
      </c>
      <c r="F15284" s="2">
        <f t="shared" ref="F15284:F15310" si="2504">DATEVALUE("31-3-2025")</f>
        <v>45747</v>
      </c>
    </row>
    <row r="15285" spans="1:6" x14ac:dyDescent="0.25">
      <c r="A15285" s="1" t="s">
        <v>119</v>
      </c>
      <c r="B15285" s="1" t="s">
        <v>342</v>
      </c>
      <c r="C15285" s="1" t="s">
        <v>120</v>
      </c>
      <c r="D15285" s="3">
        <f>VALUE("7438")</f>
        <v>7438</v>
      </c>
      <c r="E15285" s="2">
        <f>DATEVALUE("1-1-2013")</f>
        <v>41275</v>
      </c>
      <c r="F15285" s="2">
        <f t="shared" si="2504"/>
        <v>45747</v>
      </c>
    </row>
    <row r="15286" spans="1:6" x14ac:dyDescent="0.25">
      <c r="A15286" s="1" t="s">
        <v>119</v>
      </c>
      <c r="B15286" s="1" t="s">
        <v>342</v>
      </c>
      <c r="C15286" s="1" t="s">
        <v>25</v>
      </c>
      <c r="D15286" s="3">
        <f>VALUE("7438")</f>
        <v>7438</v>
      </c>
      <c r="E15286" s="2">
        <f>DATEVALUE("1-1-2013")</f>
        <v>41275</v>
      </c>
      <c r="F15286" s="2">
        <f t="shared" si="2504"/>
        <v>45747</v>
      </c>
    </row>
    <row r="15287" spans="1:6" x14ac:dyDescent="0.25">
      <c r="A15287" s="1" t="s">
        <v>119</v>
      </c>
      <c r="B15287" s="1" t="s">
        <v>342</v>
      </c>
      <c r="C15287" s="1" t="s">
        <v>121</v>
      </c>
      <c r="D15287" s="3">
        <f>VALUE("7438")</f>
        <v>7438</v>
      </c>
      <c r="E15287" s="2">
        <f>DATEVALUE("1-1-2013")</f>
        <v>41275</v>
      </c>
      <c r="F15287" s="2">
        <f t="shared" si="2504"/>
        <v>45747</v>
      </c>
    </row>
    <row r="15288" spans="1:6" x14ac:dyDescent="0.25">
      <c r="A15288" s="1" t="s">
        <v>119</v>
      </c>
      <c r="B15288" s="1" t="s">
        <v>339</v>
      </c>
      <c r="C15288" s="1" t="s">
        <v>45</v>
      </c>
      <c r="D15288" s="3">
        <f>VALUE("7415")</f>
        <v>7415</v>
      </c>
      <c r="E15288" s="2">
        <f>DATEVALUE("1-10-2012")</f>
        <v>41183</v>
      </c>
      <c r="F15288" s="2">
        <f t="shared" si="2504"/>
        <v>45747</v>
      </c>
    </row>
    <row r="15289" spans="1:6" x14ac:dyDescent="0.25">
      <c r="A15289" s="1" t="s">
        <v>119</v>
      </c>
      <c r="B15289" s="1" t="s">
        <v>339</v>
      </c>
      <c r="C15289" s="1" t="s">
        <v>44</v>
      </c>
      <c r="D15289" s="3">
        <f>VALUE("7415")</f>
        <v>7415</v>
      </c>
      <c r="E15289" s="2">
        <f>DATEVALUE("1-10-2012")</f>
        <v>41183</v>
      </c>
      <c r="F15289" s="2">
        <f t="shared" si="2504"/>
        <v>45747</v>
      </c>
    </row>
    <row r="15290" spans="1:6" x14ac:dyDescent="0.25">
      <c r="A15290" s="1" t="s">
        <v>119</v>
      </c>
      <c r="B15290" s="1" t="s">
        <v>124</v>
      </c>
      <c r="C15290" s="1" t="s">
        <v>125</v>
      </c>
      <c r="D15290" s="3">
        <f t="shared" ref="D15290:D15306" si="2505">VALUE("6111")</f>
        <v>6111</v>
      </c>
      <c r="E15290" s="2">
        <f t="shared" ref="E15290:E15306" si="2506">DATEVALUE("1-7-2008")</f>
        <v>39630</v>
      </c>
      <c r="F15290" s="2">
        <f t="shared" si="2504"/>
        <v>45747</v>
      </c>
    </row>
    <row r="15291" spans="1:6" x14ac:dyDescent="0.25">
      <c r="A15291" s="1" t="s">
        <v>119</v>
      </c>
      <c r="B15291" s="1" t="s">
        <v>124</v>
      </c>
      <c r="C15291" s="1" t="s">
        <v>126</v>
      </c>
      <c r="D15291" s="3">
        <f t="shared" si="2505"/>
        <v>6111</v>
      </c>
      <c r="E15291" s="2">
        <f t="shared" si="2506"/>
        <v>39630</v>
      </c>
      <c r="F15291" s="2">
        <f t="shared" si="2504"/>
        <v>45747</v>
      </c>
    </row>
    <row r="15292" spans="1:6" x14ac:dyDescent="0.25">
      <c r="A15292" s="1" t="s">
        <v>119</v>
      </c>
      <c r="B15292" s="1" t="s">
        <v>124</v>
      </c>
      <c r="C15292" s="1" t="s">
        <v>14</v>
      </c>
      <c r="D15292" s="3">
        <f t="shared" si="2505"/>
        <v>6111</v>
      </c>
      <c r="E15292" s="2">
        <f t="shared" si="2506"/>
        <v>39630</v>
      </c>
      <c r="F15292" s="2">
        <f t="shared" si="2504"/>
        <v>45747</v>
      </c>
    </row>
    <row r="15293" spans="1:6" x14ac:dyDescent="0.25">
      <c r="A15293" s="1" t="s">
        <v>119</v>
      </c>
      <c r="B15293" s="1" t="s">
        <v>124</v>
      </c>
      <c r="C15293" s="1" t="s">
        <v>17</v>
      </c>
      <c r="D15293" s="3">
        <f t="shared" si="2505"/>
        <v>6111</v>
      </c>
      <c r="E15293" s="2">
        <f t="shared" si="2506"/>
        <v>39630</v>
      </c>
      <c r="F15293" s="2">
        <f t="shared" si="2504"/>
        <v>45747</v>
      </c>
    </row>
    <row r="15294" spans="1:6" x14ac:dyDescent="0.25">
      <c r="A15294" s="1" t="s">
        <v>119</v>
      </c>
      <c r="B15294" s="1" t="s">
        <v>124</v>
      </c>
      <c r="C15294" s="1" t="s">
        <v>127</v>
      </c>
      <c r="D15294" s="3">
        <f t="shared" si="2505"/>
        <v>6111</v>
      </c>
      <c r="E15294" s="2">
        <f t="shared" si="2506"/>
        <v>39630</v>
      </c>
      <c r="F15294" s="2">
        <f t="shared" si="2504"/>
        <v>45747</v>
      </c>
    </row>
    <row r="15295" spans="1:6" x14ac:dyDescent="0.25">
      <c r="A15295" s="1" t="s">
        <v>119</v>
      </c>
      <c r="B15295" s="1" t="s">
        <v>124</v>
      </c>
      <c r="C15295" s="1" t="s">
        <v>128</v>
      </c>
      <c r="D15295" s="3">
        <f t="shared" si="2505"/>
        <v>6111</v>
      </c>
      <c r="E15295" s="2">
        <f t="shared" si="2506"/>
        <v>39630</v>
      </c>
      <c r="F15295" s="2">
        <f t="shared" si="2504"/>
        <v>45747</v>
      </c>
    </row>
    <row r="15296" spans="1:6" x14ac:dyDescent="0.25">
      <c r="A15296" s="1" t="s">
        <v>119</v>
      </c>
      <c r="B15296" s="1" t="s">
        <v>124</v>
      </c>
      <c r="C15296" s="1" t="s">
        <v>93</v>
      </c>
      <c r="D15296" s="3">
        <f t="shared" si="2505"/>
        <v>6111</v>
      </c>
      <c r="E15296" s="2">
        <f t="shared" si="2506"/>
        <v>39630</v>
      </c>
      <c r="F15296" s="2">
        <f t="shared" si="2504"/>
        <v>45747</v>
      </c>
    </row>
    <row r="15297" spans="1:6" x14ac:dyDescent="0.25">
      <c r="A15297" s="1" t="s">
        <v>119</v>
      </c>
      <c r="B15297" s="1" t="s">
        <v>124</v>
      </c>
      <c r="C15297" s="1" t="s">
        <v>129</v>
      </c>
      <c r="D15297" s="3">
        <f t="shared" si="2505"/>
        <v>6111</v>
      </c>
      <c r="E15297" s="2">
        <f t="shared" si="2506"/>
        <v>39630</v>
      </c>
      <c r="F15297" s="2">
        <f t="shared" si="2504"/>
        <v>45747</v>
      </c>
    </row>
    <row r="15298" spans="1:6" x14ac:dyDescent="0.25">
      <c r="A15298" s="1" t="s">
        <v>119</v>
      </c>
      <c r="B15298" s="1" t="s">
        <v>124</v>
      </c>
      <c r="C15298" s="1" t="s">
        <v>130</v>
      </c>
      <c r="D15298" s="3">
        <f t="shared" si="2505"/>
        <v>6111</v>
      </c>
      <c r="E15298" s="2">
        <f t="shared" si="2506"/>
        <v>39630</v>
      </c>
      <c r="F15298" s="2">
        <f t="shared" si="2504"/>
        <v>45747</v>
      </c>
    </row>
    <row r="15299" spans="1:6" x14ac:dyDescent="0.25">
      <c r="A15299" s="1" t="s">
        <v>119</v>
      </c>
      <c r="B15299" s="1" t="s">
        <v>124</v>
      </c>
      <c r="C15299" s="1" t="s">
        <v>24</v>
      </c>
      <c r="D15299" s="3">
        <f t="shared" si="2505"/>
        <v>6111</v>
      </c>
      <c r="E15299" s="2">
        <f t="shared" si="2506"/>
        <v>39630</v>
      </c>
      <c r="F15299" s="2">
        <f t="shared" si="2504"/>
        <v>45747</v>
      </c>
    </row>
    <row r="15300" spans="1:6" x14ac:dyDescent="0.25">
      <c r="A15300" s="1" t="s">
        <v>119</v>
      </c>
      <c r="B15300" s="1" t="s">
        <v>124</v>
      </c>
      <c r="C15300" s="1" t="s">
        <v>25</v>
      </c>
      <c r="D15300" s="3">
        <f t="shared" si="2505"/>
        <v>6111</v>
      </c>
      <c r="E15300" s="2">
        <f t="shared" si="2506"/>
        <v>39630</v>
      </c>
      <c r="F15300" s="2">
        <f t="shared" si="2504"/>
        <v>45747</v>
      </c>
    </row>
    <row r="15301" spans="1:6" x14ac:dyDescent="0.25">
      <c r="A15301" s="1" t="s">
        <v>119</v>
      </c>
      <c r="B15301" s="1" t="s">
        <v>124</v>
      </c>
      <c r="C15301" s="1" t="s">
        <v>121</v>
      </c>
      <c r="D15301" s="3">
        <f t="shared" si="2505"/>
        <v>6111</v>
      </c>
      <c r="E15301" s="2">
        <f t="shared" si="2506"/>
        <v>39630</v>
      </c>
      <c r="F15301" s="2">
        <f t="shared" si="2504"/>
        <v>45747</v>
      </c>
    </row>
    <row r="15302" spans="1:6" x14ac:dyDescent="0.25">
      <c r="A15302" s="1" t="s">
        <v>119</v>
      </c>
      <c r="B15302" s="1" t="s">
        <v>124</v>
      </c>
      <c r="C15302" s="1" t="s">
        <v>34</v>
      </c>
      <c r="D15302" s="3">
        <f t="shared" si="2505"/>
        <v>6111</v>
      </c>
      <c r="E15302" s="2">
        <f t="shared" si="2506"/>
        <v>39630</v>
      </c>
      <c r="F15302" s="2">
        <f t="shared" si="2504"/>
        <v>45747</v>
      </c>
    </row>
    <row r="15303" spans="1:6" x14ac:dyDescent="0.25">
      <c r="A15303" s="1" t="s">
        <v>119</v>
      </c>
      <c r="B15303" s="1" t="s">
        <v>124</v>
      </c>
      <c r="C15303" s="1" t="s">
        <v>131</v>
      </c>
      <c r="D15303" s="3">
        <f t="shared" si="2505"/>
        <v>6111</v>
      </c>
      <c r="E15303" s="2">
        <f t="shared" si="2506"/>
        <v>39630</v>
      </c>
      <c r="F15303" s="2">
        <f t="shared" si="2504"/>
        <v>45747</v>
      </c>
    </row>
    <row r="15304" spans="1:6" x14ac:dyDescent="0.25">
      <c r="A15304" s="1" t="s">
        <v>119</v>
      </c>
      <c r="B15304" s="1" t="s">
        <v>124</v>
      </c>
      <c r="C15304" s="1" t="s">
        <v>132</v>
      </c>
      <c r="D15304" s="3">
        <f t="shared" si="2505"/>
        <v>6111</v>
      </c>
      <c r="E15304" s="2">
        <f t="shared" si="2506"/>
        <v>39630</v>
      </c>
      <c r="F15304" s="2">
        <f t="shared" si="2504"/>
        <v>45747</v>
      </c>
    </row>
    <row r="15305" spans="1:6" x14ac:dyDescent="0.25">
      <c r="A15305" s="1" t="s">
        <v>119</v>
      </c>
      <c r="B15305" s="1" t="s">
        <v>124</v>
      </c>
      <c r="C15305" s="1" t="s">
        <v>133</v>
      </c>
      <c r="D15305" s="3">
        <f t="shared" si="2505"/>
        <v>6111</v>
      </c>
      <c r="E15305" s="2">
        <f t="shared" si="2506"/>
        <v>39630</v>
      </c>
      <c r="F15305" s="2">
        <f t="shared" si="2504"/>
        <v>45747</v>
      </c>
    </row>
    <row r="15306" spans="1:6" x14ac:dyDescent="0.25">
      <c r="A15306" s="1" t="s">
        <v>119</v>
      </c>
      <c r="B15306" s="1" t="s">
        <v>124</v>
      </c>
      <c r="C15306" s="1" t="s">
        <v>134</v>
      </c>
      <c r="D15306" s="3">
        <f t="shared" si="2505"/>
        <v>6111</v>
      </c>
      <c r="E15306" s="2">
        <f t="shared" si="2506"/>
        <v>39630</v>
      </c>
      <c r="F15306" s="2">
        <f t="shared" si="2504"/>
        <v>45747</v>
      </c>
    </row>
    <row r="15307" spans="1:6" x14ac:dyDescent="0.25">
      <c r="A15307" s="1" t="s">
        <v>119</v>
      </c>
      <c r="B15307" s="1" t="s">
        <v>118</v>
      </c>
      <c r="C15307" s="1" t="s">
        <v>17</v>
      </c>
      <c r="D15307" s="3">
        <f>VALUE("6071")</f>
        <v>6071</v>
      </c>
      <c r="E15307" s="2">
        <f>DATEVALUE("1-11-2007")</f>
        <v>39387</v>
      </c>
      <c r="F15307" s="2">
        <f t="shared" si="2504"/>
        <v>45747</v>
      </c>
    </row>
    <row r="15308" spans="1:6" x14ac:dyDescent="0.25">
      <c r="A15308" s="1" t="s">
        <v>119</v>
      </c>
      <c r="B15308" s="1" t="s">
        <v>118</v>
      </c>
      <c r="C15308" s="1" t="s">
        <v>120</v>
      </c>
      <c r="D15308" s="3">
        <f>VALUE("6071")</f>
        <v>6071</v>
      </c>
      <c r="E15308" s="2">
        <f>DATEVALUE("1-11-2007")</f>
        <v>39387</v>
      </c>
      <c r="F15308" s="2">
        <f t="shared" si="2504"/>
        <v>45747</v>
      </c>
    </row>
    <row r="15309" spans="1:6" x14ac:dyDescent="0.25">
      <c r="A15309" s="1" t="s">
        <v>119</v>
      </c>
      <c r="B15309" s="1" t="s">
        <v>118</v>
      </c>
      <c r="C15309" s="1" t="s">
        <v>25</v>
      </c>
      <c r="D15309" s="3">
        <f>VALUE("6071")</f>
        <v>6071</v>
      </c>
      <c r="E15309" s="2">
        <f>DATEVALUE("1-11-2007")</f>
        <v>39387</v>
      </c>
      <c r="F15309" s="2">
        <f t="shared" si="2504"/>
        <v>45747</v>
      </c>
    </row>
    <row r="15310" spans="1:6" x14ac:dyDescent="0.25">
      <c r="A15310" s="1" t="s">
        <v>119</v>
      </c>
      <c r="B15310" s="1" t="s">
        <v>118</v>
      </c>
      <c r="C15310" s="1" t="s">
        <v>121</v>
      </c>
      <c r="D15310" s="3">
        <f>VALUE("6071")</f>
        <v>6071</v>
      </c>
      <c r="E15310" s="2">
        <f>DATEVALUE("1-11-2007")</f>
        <v>39387</v>
      </c>
      <c r="F15310" s="2">
        <f t="shared" si="2504"/>
        <v>45747</v>
      </c>
    </row>
    <row r="15311" spans="1:6" x14ac:dyDescent="0.25">
      <c r="A15311" s="1" t="s">
        <v>2206</v>
      </c>
      <c r="B15311" s="1" t="s">
        <v>2205</v>
      </c>
      <c r="C15311" s="1" t="s">
        <v>14</v>
      </c>
      <c r="D15311" s="3">
        <f t="shared" ref="D15311:D15319" si="2507">VALUE("8142")</f>
        <v>8142</v>
      </c>
      <c r="E15311" s="2">
        <f t="shared" ref="E15311:E15319" si="2508">DATEVALUE("1-1-2018")</f>
        <v>43101</v>
      </c>
      <c r="F15311" s="2">
        <f t="shared" ref="F15311:F15319" si="2509">DATEVALUE("31-12-2018")</f>
        <v>43465</v>
      </c>
    </row>
    <row r="15312" spans="1:6" x14ac:dyDescent="0.25">
      <c r="A15312" s="1" t="s">
        <v>2206</v>
      </c>
      <c r="B15312" s="1" t="s">
        <v>2205</v>
      </c>
      <c r="C15312" s="1" t="s">
        <v>15</v>
      </c>
      <c r="D15312" s="3">
        <f t="shared" si="2507"/>
        <v>8142</v>
      </c>
      <c r="E15312" s="2">
        <f t="shared" si="2508"/>
        <v>43101</v>
      </c>
      <c r="F15312" s="2">
        <f t="shared" si="2509"/>
        <v>43465</v>
      </c>
    </row>
    <row r="15313" spans="1:6" x14ac:dyDescent="0.25">
      <c r="A15313" s="1" t="s">
        <v>2206</v>
      </c>
      <c r="B15313" s="1" t="s">
        <v>2205</v>
      </c>
      <c r="C15313" s="1" t="s">
        <v>17</v>
      </c>
      <c r="D15313" s="3">
        <f t="shared" si="2507"/>
        <v>8142</v>
      </c>
      <c r="E15313" s="2">
        <f t="shared" si="2508"/>
        <v>43101</v>
      </c>
      <c r="F15313" s="2">
        <f t="shared" si="2509"/>
        <v>43465</v>
      </c>
    </row>
    <row r="15314" spans="1:6" x14ac:dyDescent="0.25">
      <c r="A15314" s="1" t="s">
        <v>2206</v>
      </c>
      <c r="B15314" s="1" t="s">
        <v>2205</v>
      </c>
      <c r="C15314" s="1" t="s">
        <v>22</v>
      </c>
      <c r="D15314" s="3">
        <f t="shared" si="2507"/>
        <v>8142</v>
      </c>
      <c r="E15314" s="2">
        <f t="shared" si="2508"/>
        <v>43101</v>
      </c>
      <c r="F15314" s="2">
        <f t="shared" si="2509"/>
        <v>43465</v>
      </c>
    </row>
    <row r="15315" spans="1:6" x14ac:dyDescent="0.25">
      <c r="A15315" s="1" t="s">
        <v>2206</v>
      </c>
      <c r="B15315" s="1" t="s">
        <v>2205</v>
      </c>
      <c r="C15315" s="1" t="s">
        <v>146</v>
      </c>
      <c r="D15315" s="3">
        <f t="shared" si="2507"/>
        <v>8142</v>
      </c>
      <c r="E15315" s="2">
        <f t="shared" si="2508"/>
        <v>43101</v>
      </c>
      <c r="F15315" s="2">
        <f t="shared" si="2509"/>
        <v>43465</v>
      </c>
    </row>
    <row r="15316" spans="1:6" x14ac:dyDescent="0.25">
      <c r="A15316" s="1" t="s">
        <v>2206</v>
      </c>
      <c r="B15316" s="1" t="s">
        <v>2205</v>
      </c>
      <c r="C15316" s="1" t="s">
        <v>148</v>
      </c>
      <c r="D15316" s="3">
        <f t="shared" si="2507"/>
        <v>8142</v>
      </c>
      <c r="E15316" s="2">
        <f t="shared" si="2508"/>
        <v>43101</v>
      </c>
      <c r="F15316" s="2">
        <f t="shared" si="2509"/>
        <v>43465</v>
      </c>
    </row>
    <row r="15317" spans="1:6" x14ac:dyDescent="0.25">
      <c r="A15317" s="1" t="s">
        <v>2206</v>
      </c>
      <c r="B15317" s="1" t="s">
        <v>2205</v>
      </c>
      <c r="C15317" s="1" t="s">
        <v>24</v>
      </c>
      <c r="D15317" s="3">
        <f t="shared" si="2507"/>
        <v>8142</v>
      </c>
      <c r="E15317" s="2">
        <f t="shared" si="2508"/>
        <v>43101</v>
      </c>
      <c r="F15317" s="2">
        <f t="shared" si="2509"/>
        <v>43465</v>
      </c>
    </row>
    <row r="15318" spans="1:6" x14ac:dyDescent="0.25">
      <c r="A15318" s="1" t="s">
        <v>2206</v>
      </c>
      <c r="B15318" s="1" t="s">
        <v>2205</v>
      </c>
      <c r="C15318" s="1" t="s">
        <v>73</v>
      </c>
      <c r="D15318" s="3">
        <f t="shared" si="2507"/>
        <v>8142</v>
      </c>
      <c r="E15318" s="2">
        <f t="shared" si="2508"/>
        <v>43101</v>
      </c>
      <c r="F15318" s="2">
        <f t="shared" si="2509"/>
        <v>43465</v>
      </c>
    </row>
    <row r="15319" spans="1:6" x14ac:dyDescent="0.25">
      <c r="A15319" s="1" t="s">
        <v>2206</v>
      </c>
      <c r="B15319" s="1" t="s">
        <v>2205</v>
      </c>
      <c r="C15319" s="1" t="s">
        <v>34</v>
      </c>
      <c r="D15319" s="3">
        <f t="shared" si="2507"/>
        <v>8142</v>
      </c>
      <c r="E15319" s="2">
        <f t="shared" si="2508"/>
        <v>43101</v>
      </c>
      <c r="F15319" s="2">
        <f t="shared" si="2509"/>
        <v>43465</v>
      </c>
    </row>
    <row r="15320" spans="1:6" x14ac:dyDescent="0.25">
      <c r="A15320" s="1" t="s">
        <v>1741</v>
      </c>
      <c r="B15320" s="1" t="s">
        <v>1740</v>
      </c>
      <c r="C15320" s="1" t="s">
        <v>1742</v>
      </c>
      <c r="D15320" s="3">
        <f>VALUE("7793")</f>
        <v>7793</v>
      </c>
      <c r="E15320" s="2">
        <f>DATEVALUE("1-9-2015")</f>
        <v>42248</v>
      </c>
      <c r="F15320" s="2">
        <f>DATEVALUE("31-12-2019")</f>
        <v>43830</v>
      </c>
    </row>
    <row r="15321" spans="1:6" x14ac:dyDescent="0.25">
      <c r="A15321" s="1" t="s">
        <v>1641</v>
      </c>
      <c r="B15321" s="1" t="s">
        <v>1640</v>
      </c>
      <c r="C15321" s="1" t="s">
        <v>17</v>
      </c>
      <c r="D15321" s="3">
        <f t="shared" ref="D15321:D15326" si="2510">VALUE("8813")</f>
        <v>8813</v>
      </c>
      <c r="E15321" s="2">
        <f t="shared" ref="E15321:E15326" si="2511">DATEVALUE("1-8-2020")</f>
        <v>44044</v>
      </c>
      <c r="F15321" s="2">
        <f t="shared" ref="F15321:F15326" si="2512">DATEVALUE("31-12-2020")</f>
        <v>44196</v>
      </c>
    </row>
    <row r="15322" spans="1:6" x14ac:dyDescent="0.25">
      <c r="A15322" s="1" t="s">
        <v>1641</v>
      </c>
      <c r="B15322" s="1" t="s">
        <v>1640</v>
      </c>
      <c r="C15322" s="1" t="s">
        <v>91</v>
      </c>
      <c r="D15322" s="3">
        <f t="shared" si="2510"/>
        <v>8813</v>
      </c>
      <c r="E15322" s="2">
        <f t="shared" si="2511"/>
        <v>44044</v>
      </c>
      <c r="F15322" s="2">
        <f t="shared" si="2512"/>
        <v>44196</v>
      </c>
    </row>
    <row r="15323" spans="1:6" x14ac:dyDescent="0.25">
      <c r="A15323" s="1" t="s">
        <v>1641</v>
      </c>
      <c r="B15323" s="1" t="s">
        <v>1640</v>
      </c>
      <c r="C15323" s="1" t="s">
        <v>22</v>
      </c>
      <c r="D15323" s="3">
        <f t="shared" si="2510"/>
        <v>8813</v>
      </c>
      <c r="E15323" s="2">
        <f t="shared" si="2511"/>
        <v>44044</v>
      </c>
      <c r="F15323" s="2">
        <f t="shared" si="2512"/>
        <v>44196</v>
      </c>
    </row>
    <row r="15324" spans="1:6" x14ac:dyDescent="0.25">
      <c r="A15324" s="1" t="s">
        <v>1641</v>
      </c>
      <c r="B15324" s="1" t="s">
        <v>1640</v>
      </c>
      <c r="C15324" s="1" t="s">
        <v>383</v>
      </c>
      <c r="D15324" s="3">
        <f t="shared" si="2510"/>
        <v>8813</v>
      </c>
      <c r="E15324" s="2">
        <f t="shared" si="2511"/>
        <v>44044</v>
      </c>
      <c r="F15324" s="2">
        <f t="shared" si="2512"/>
        <v>44196</v>
      </c>
    </row>
    <row r="15325" spans="1:6" x14ac:dyDescent="0.25">
      <c r="A15325" s="1" t="s">
        <v>1641</v>
      </c>
      <c r="B15325" s="1" t="s">
        <v>1640</v>
      </c>
      <c r="C15325" s="1" t="s">
        <v>839</v>
      </c>
      <c r="D15325" s="3">
        <f t="shared" si="2510"/>
        <v>8813</v>
      </c>
      <c r="E15325" s="2">
        <f t="shared" si="2511"/>
        <v>44044</v>
      </c>
      <c r="F15325" s="2">
        <f t="shared" si="2512"/>
        <v>44196</v>
      </c>
    </row>
    <row r="15326" spans="1:6" x14ac:dyDescent="0.25">
      <c r="A15326" s="1" t="s">
        <v>1641</v>
      </c>
      <c r="B15326" s="1" t="s">
        <v>1640</v>
      </c>
      <c r="C15326" s="1" t="s">
        <v>520</v>
      </c>
      <c r="D15326" s="3">
        <f t="shared" si="2510"/>
        <v>8813</v>
      </c>
      <c r="E15326" s="2">
        <f t="shared" si="2511"/>
        <v>44044</v>
      </c>
      <c r="F15326" s="2">
        <f t="shared" si="2512"/>
        <v>44196</v>
      </c>
    </row>
    <row r="15327" spans="1:6" x14ac:dyDescent="0.25">
      <c r="A15327" s="1" t="s">
        <v>1641</v>
      </c>
      <c r="B15327" s="1" t="s">
        <v>1875</v>
      </c>
      <c r="C15327" s="1" t="s">
        <v>7</v>
      </c>
      <c r="D15327" s="3">
        <f t="shared" ref="D15327:D15345" si="2513">VALUE("7178")</f>
        <v>7178</v>
      </c>
      <c r="E15327" s="2">
        <f t="shared" ref="E15327:E15345" si="2514">DATEVALUE("1-3-2011")</f>
        <v>40603</v>
      </c>
      <c r="F15327" s="2">
        <f t="shared" ref="F15327:F15345" si="2515">DATEVALUE("30-6-2012")</f>
        <v>41090</v>
      </c>
    </row>
    <row r="15328" spans="1:6" x14ac:dyDescent="0.25">
      <c r="A15328" s="1" t="s">
        <v>1641</v>
      </c>
      <c r="B15328" s="1" t="s">
        <v>1875</v>
      </c>
      <c r="C15328" s="1" t="s">
        <v>13</v>
      </c>
      <c r="D15328" s="3">
        <f t="shared" si="2513"/>
        <v>7178</v>
      </c>
      <c r="E15328" s="2">
        <f t="shared" si="2514"/>
        <v>40603</v>
      </c>
      <c r="F15328" s="2">
        <f t="shared" si="2515"/>
        <v>41090</v>
      </c>
    </row>
    <row r="15329" spans="1:6" x14ac:dyDescent="0.25">
      <c r="A15329" s="1" t="s">
        <v>1641</v>
      </c>
      <c r="B15329" s="1" t="s">
        <v>1875</v>
      </c>
      <c r="C15329" s="1" t="s">
        <v>45</v>
      </c>
      <c r="D15329" s="3">
        <f t="shared" si="2513"/>
        <v>7178</v>
      </c>
      <c r="E15329" s="2">
        <f t="shared" si="2514"/>
        <v>40603</v>
      </c>
      <c r="F15329" s="2">
        <f t="shared" si="2515"/>
        <v>41090</v>
      </c>
    </row>
    <row r="15330" spans="1:6" x14ac:dyDescent="0.25">
      <c r="A15330" s="1" t="s">
        <v>1641</v>
      </c>
      <c r="B15330" s="1" t="s">
        <v>1875</v>
      </c>
      <c r="C15330" s="1" t="s">
        <v>220</v>
      </c>
      <c r="D15330" s="3">
        <f t="shared" si="2513"/>
        <v>7178</v>
      </c>
      <c r="E15330" s="2">
        <f t="shared" si="2514"/>
        <v>40603</v>
      </c>
      <c r="F15330" s="2">
        <f t="shared" si="2515"/>
        <v>41090</v>
      </c>
    </row>
    <row r="15331" spans="1:6" x14ac:dyDescent="0.25">
      <c r="A15331" s="1" t="s">
        <v>1641</v>
      </c>
      <c r="B15331" s="1" t="s">
        <v>1875</v>
      </c>
      <c r="C15331" s="1" t="s">
        <v>222</v>
      </c>
      <c r="D15331" s="3">
        <f t="shared" si="2513"/>
        <v>7178</v>
      </c>
      <c r="E15331" s="2">
        <f t="shared" si="2514"/>
        <v>40603</v>
      </c>
      <c r="F15331" s="2">
        <f t="shared" si="2515"/>
        <v>41090</v>
      </c>
    </row>
    <row r="15332" spans="1:6" x14ac:dyDescent="0.25">
      <c r="A15332" s="1" t="s">
        <v>1641</v>
      </c>
      <c r="B15332" s="1" t="s">
        <v>1875</v>
      </c>
      <c r="C15332" s="1" t="s">
        <v>25</v>
      </c>
      <c r="D15332" s="3">
        <f t="shared" si="2513"/>
        <v>7178</v>
      </c>
      <c r="E15332" s="2">
        <f t="shared" si="2514"/>
        <v>40603</v>
      </c>
      <c r="F15332" s="2">
        <f t="shared" si="2515"/>
        <v>41090</v>
      </c>
    </row>
    <row r="15333" spans="1:6" x14ac:dyDescent="0.25">
      <c r="A15333" s="1" t="s">
        <v>1641</v>
      </c>
      <c r="B15333" s="1" t="s">
        <v>1875</v>
      </c>
      <c r="C15333" s="1" t="s">
        <v>228</v>
      </c>
      <c r="D15333" s="3">
        <f t="shared" si="2513"/>
        <v>7178</v>
      </c>
      <c r="E15333" s="2">
        <f t="shared" si="2514"/>
        <v>40603</v>
      </c>
      <c r="F15333" s="2">
        <f t="shared" si="2515"/>
        <v>41090</v>
      </c>
    </row>
    <row r="15334" spans="1:6" x14ac:dyDescent="0.25">
      <c r="A15334" s="1" t="s">
        <v>1641</v>
      </c>
      <c r="B15334" s="1" t="s">
        <v>1875</v>
      </c>
      <c r="C15334" s="1" t="s">
        <v>28</v>
      </c>
      <c r="D15334" s="3">
        <f t="shared" si="2513"/>
        <v>7178</v>
      </c>
      <c r="E15334" s="2">
        <f t="shared" si="2514"/>
        <v>40603</v>
      </c>
      <c r="F15334" s="2">
        <f t="shared" si="2515"/>
        <v>41090</v>
      </c>
    </row>
    <row r="15335" spans="1:6" x14ac:dyDescent="0.25">
      <c r="A15335" s="1" t="s">
        <v>1641</v>
      </c>
      <c r="B15335" s="1" t="s">
        <v>1875</v>
      </c>
      <c r="C15335" s="1" t="s">
        <v>229</v>
      </c>
      <c r="D15335" s="3">
        <f t="shared" si="2513"/>
        <v>7178</v>
      </c>
      <c r="E15335" s="2">
        <f t="shared" si="2514"/>
        <v>40603</v>
      </c>
      <c r="F15335" s="2">
        <f t="shared" si="2515"/>
        <v>41090</v>
      </c>
    </row>
    <row r="15336" spans="1:6" x14ac:dyDescent="0.25">
      <c r="A15336" s="1" t="s">
        <v>1641</v>
      </c>
      <c r="B15336" s="1" t="s">
        <v>1875</v>
      </c>
      <c r="C15336" s="1" t="s">
        <v>29</v>
      </c>
      <c r="D15336" s="3">
        <f t="shared" si="2513"/>
        <v>7178</v>
      </c>
      <c r="E15336" s="2">
        <f t="shared" si="2514"/>
        <v>40603</v>
      </c>
      <c r="F15336" s="2">
        <f t="shared" si="2515"/>
        <v>41090</v>
      </c>
    </row>
    <row r="15337" spans="1:6" x14ac:dyDescent="0.25">
      <c r="A15337" s="1" t="s">
        <v>1641</v>
      </c>
      <c r="B15337" s="1" t="s">
        <v>1875</v>
      </c>
      <c r="C15337" s="1" t="s">
        <v>230</v>
      </c>
      <c r="D15337" s="3">
        <f t="shared" si="2513"/>
        <v>7178</v>
      </c>
      <c r="E15337" s="2">
        <f t="shared" si="2514"/>
        <v>40603</v>
      </c>
      <c r="F15337" s="2">
        <f t="shared" si="2515"/>
        <v>41090</v>
      </c>
    </row>
    <row r="15338" spans="1:6" x14ac:dyDescent="0.25">
      <c r="A15338" s="1" t="s">
        <v>1641</v>
      </c>
      <c r="B15338" s="1" t="s">
        <v>1875</v>
      </c>
      <c r="C15338" s="1" t="s">
        <v>232</v>
      </c>
      <c r="D15338" s="3">
        <f t="shared" si="2513"/>
        <v>7178</v>
      </c>
      <c r="E15338" s="2">
        <f t="shared" si="2514"/>
        <v>40603</v>
      </c>
      <c r="F15338" s="2">
        <f t="shared" si="2515"/>
        <v>41090</v>
      </c>
    </row>
    <row r="15339" spans="1:6" x14ac:dyDescent="0.25">
      <c r="A15339" s="1" t="s">
        <v>1641</v>
      </c>
      <c r="B15339" s="1" t="s">
        <v>1875</v>
      </c>
      <c r="C15339" s="1" t="s">
        <v>233</v>
      </c>
      <c r="D15339" s="3">
        <f t="shared" si="2513"/>
        <v>7178</v>
      </c>
      <c r="E15339" s="2">
        <f t="shared" si="2514"/>
        <v>40603</v>
      </c>
      <c r="F15339" s="2">
        <f t="shared" si="2515"/>
        <v>41090</v>
      </c>
    </row>
    <row r="15340" spans="1:6" x14ac:dyDescent="0.25">
      <c r="A15340" s="1" t="s">
        <v>1641</v>
      </c>
      <c r="B15340" s="1" t="s">
        <v>1875</v>
      </c>
      <c r="C15340" s="1" t="s">
        <v>234</v>
      </c>
      <c r="D15340" s="3">
        <f t="shared" si="2513"/>
        <v>7178</v>
      </c>
      <c r="E15340" s="2">
        <f t="shared" si="2514"/>
        <v>40603</v>
      </c>
      <c r="F15340" s="2">
        <f t="shared" si="2515"/>
        <v>41090</v>
      </c>
    </row>
    <row r="15341" spans="1:6" x14ac:dyDescent="0.25">
      <c r="A15341" s="1" t="s">
        <v>1641</v>
      </c>
      <c r="B15341" s="1" t="s">
        <v>1875</v>
      </c>
      <c r="C15341" s="1" t="s">
        <v>30</v>
      </c>
      <c r="D15341" s="3">
        <f t="shared" si="2513"/>
        <v>7178</v>
      </c>
      <c r="E15341" s="2">
        <f t="shared" si="2514"/>
        <v>40603</v>
      </c>
      <c r="F15341" s="2">
        <f t="shared" si="2515"/>
        <v>41090</v>
      </c>
    </row>
    <row r="15342" spans="1:6" x14ac:dyDescent="0.25">
      <c r="A15342" s="1" t="s">
        <v>1641</v>
      </c>
      <c r="B15342" s="1" t="s">
        <v>1875</v>
      </c>
      <c r="C15342" s="1" t="s">
        <v>235</v>
      </c>
      <c r="D15342" s="3">
        <f t="shared" si="2513"/>
        <v>7178</v>
      </c>
      <c r="E15342" s="2">
        <f t="shared" si="2514"/>
        <v>40603</v>
      </c>
      <c r="F15342" s="2">
        <f t="shared" si="2515"/>
        <v>41090</v>
      </c>
    </row>
    <row r="15343" spans="1:6" x14ac:dyDescent="0.25">
      <c r="A15343" s="1" t="s">
        <v>1641</v>
      </c>
      <c r="B15343" s="1" t="s">
        <v>1875</v>
      </c>
      <c r="C15343" s="1" t="s">
        <v>236</v>
      </c>
      <c r="D15343" s="3">
        <f t="shared" si="2513"/>
        <v>7178</v>
      </c>
      <c r="E15343" s="2">
        <f t="shared" si="2514"/>
        <v>40603</v>
      </c>
      <c r="F15343" s="2">
        <f t="shared" si="2515"/>
        <v>41090</v>
      </c>
    </row>
    <row r="15344" spans="1:6" x14ac:dyDescent="0.25">
      <c r="A15344" s="1" t="s">
        <v>1641</v>
      </c>
      <c r="B15344" s="1" t="s">
        <v>1875</v>
      </c>
      <c r="C15344" s="1" t="s">
        <v>237</v>
      </c>
      <c r="D15344" s="3">
        <f t="shared" si="2513"/>
        <v>7178</v>
      </c>
      <c r="E15344" s="2">
        <f t="shared" si="2514"/>
        <v>40603</v>
      </c>
      <c r="F15344" s="2">
        <f t="shared" si="2515"/>
        <v>41090</v>
      </c>
    </row>
    <row r="15345" spans="1:6" x14ac:dyDescent="0.25">
      <c r="A15345" s="1" t="s">
        <v>1641</v>
      </c>
      <c r="B15345" s="1" t="s">
        <v>1875</v>
      </c>
      <c r="C15345" s="1" t="s">
        <v>238</v>
      </c>
      <c r="D15345" s="3">
        <f t="shared" si="2513"/>
        <v>7178</v>
      </c>
      <c r="E15345" s="2">
        <f t="shared" si="2514"/>
        <v>40603</v>
      </c>
      <c r="F15345" s="2">
        <f t="shared" si="2515"/>
        <v>41090</v>
      </c>
    </row>
    <row r="15346" spans="1:6" x14ac:dyDescent="0.25">
      <c r="A15346" s="1" t="s">
        <v>753</v>
      </c>
      <c r="B15346" s="1" t="s">
        <v>1427</v>
      </c>
      <c r="C15346" s="1" t="s">
        <v>609</v>
      </c>
      <c r="D15346" s="3">
        <f t="shared" ref="D15346:D15355" si="2516">VALUE("8642")</f>
        <v>8642</v>
      </c>
      <c r="E15346" s="2">
        <f t="shared" ref="E15346:E15355" si="2517">DATEVALUE("1-6-2020")</f>
        <v>43983</v>
      </c>
      <c r="F15346" s="2">
        <f t="shared" ref="F15346:F15361" si="2518">DATEVALUE("31-12-2020")</f>
        <v>44196</v>
      </c>
    </row>
    <row r="15347" spans="1:6" x14ac:dyDescent="0.25">
      <c r="A15347" s="1" t="s">
        <v>753</v>
      </c>
      <c r="B15347" s="1" t="s">
        <v>1427</v>
      </c>
      <c r="C15347" s="1" t="s">
        <v>14</v>
      </c>
      <c r="D15347" s="3">
        <f t="shared" si="2516"/>
        <v>8642</v>
      </c>
      <c r="E15347" s="2">
        <f t="shared" si="2517"/>
        <v>43983</v>
      </c>
      <c r="F15347" s="2">
        <f t="shared" si="2518"/>
        <v>44196</v>
      </c>
    </row>
    <row r="15348" spans="1:6" x14ac:dyDescent="0.25">
      <c r="A15348" s="1" t="s">
        <v>753</v>
      </c>
      <c r="B15348" s="1" t="s">
        <v>1427</v>
      </c>
      <c r="C15348" s="1" t="s">
        <v>17</v>
      </c>
      <c r="D15348" s="3">
        <f t="shared" si="2516"/>
        <v>8642</v>
      </c>
      <c r="E15348" s="2">
        <f t="shared" si="2517"/>
        <v>43983</v>
      </c>
      <c r="F15348" s="2">
        <f t="shared" si="2518"/>
        <v>44196</v>
      </c>
    </row>
    <row r="15349" spans="1:6" x14ac:dyDescent="0.25">
      <c r="A15349" s="1" t="s">
        <v>753</v>
      </c>
      <c r="B15349" s="1" t="s">
        <v>1427</v>
      </c>
      <c r="C15349" s="1" t="s">
        <v>1428</v>
      </c>
      <c r="D15349" s="3">
        <f t="shared" si="2516"/>
        <v>8642</v>
      </c>
      <c r="E15349" s="2">
        <f t="shared" si="2517"/>
        <v>43983</v>
      </c>
      <c r="F15349" s="2">
        <f t="shared" si="2518"/>
        <v>44196</v>
      </c>
    </row>
    <row r="15350" spans="1:6" x14ac:dyDescent="0.25">
      <c r="A15350" s="1" t="s">
        <v>753</v>
      </c>
      <c r="B15350" s="1" t="s">
        <v>1427</v>
      </c>
      <c r="C15350" s="1" t="s">
        <v>67</v>
      </c>
      <c r="D15350" s="3">
        <f t="shared" si="2516"/>
        <v>8642</v>
      </c>
      <c r="E15350" s="2">
        <f t="shared" si="2517"/>
        <v>43983</v>
      </c>
      <c r="F15350" s="2">
        <f t="shared" si="2518"/>
        <v>44196</v>
      </c>
    </row>
    <row r="15351" spans="1:6" x14ac:dyDescent="0.25">
      <c r="A15351" s="1" t="s">
        <v>753</v>
      </c>
      <c r="B15351" s="1" t="s">
        <v>1427</v>
      </c>
      <c r="C15351" s="1" t="s">
        <v>92</v>
      </c>
      <c r="D15351" s="3">
        <f t="shared" si="2516"/>
        <v>8642</v>
      </c>
      <c r="E15351" s="2">
        <f t="shared" si="2517"/>
        <v>43983</v>
      </c>
      <c r="F15351" s="2">
        <f t="shared" si="2518"/>
        <v>44196</v>
      </c>
    </row>
    <row r="15352" spans="1:6" x14ac:dyDescent="0.25">
      <c r="A15352" s="1" t="s">
        <v>753</v>
      </c>
      <c r="B15352" s="1" t="s">
        <v>1427</v>
      </c>
      <c r="C15352" s="1" t="s">
        <v>24</v>
      </c>
      <c r="D15352" s="3">
        <f t="shared" si="2516"/>
        <v>8642</v>
      </c>
      <c r="E15352" s="2">
        <f t="shared" si="2517"/>
        <v>43983</v>
      </c>
      <c r="F15352" s="2">
        <f t="shared" si="2518"/>
        <v>44196</v>
      </c>
    </row>
    <row r="15353" spans="1:6" x14ac:dyDescent="0.25">
      <c r="A15353" s="1" t="s">
        <v>753</v>
      </c>
      <c r="B15353" s="1" t="s">
        <v>1427</v>
      </c>
      <c r="C15353" s="1" t="s">
        <v>50</v>
      </c>
      <c r="D15353" s="3">
        <f t="shared" si="2516"/>
        <v>8642</v>
      </c>
      <c r="E15353" s="2">
        <f t="shared" si="2517"/>
        <v>43983</v>
      </c>
      <c r="F15353" s="2">
        <f t="shared" si="2518"/>
        <v>44196</v>
      </c>
    </row>
    <row r="15354" spans="1:6" x14ac:dyDescent="0.25">
      <c r="A15354" s="1" t="s">
        <v>753</v>
      </c>
      <c r="B15354" s="1" t="s">
        <v>1427</v>
      </c>
      <c r="C15354" s="1" t="s">
        <v>160</v>
      </c>
      <c r="D15354" s="3">
        <f t="shared" si="2516"/>
        <v>8642</v>
      </c>
      <c r="E15354" s="2">
        <f t="shared" si="2517"/>
        <v>43983</v>
      </c>
      <c r="F15354" s="2">
        <f t="shared" si="2518"/>
        <v>44196</v>
      </c>
    </row>
    <row r="15355" spans="1:6" x14ac:dyDescent="0.25">
      <c r="A15355" s="1" t="s">
        <v>753</v>
      </c>
      <c r="B15355" s="1" t="s">
        <v>1427</v>
      </c>
      <c r="C15355" s="1" t="s">
        <v>34</v>
      </c>
      <c r="D15355" s="3">
        <f t="shared" si="2516"/>
        <v>8642</v>
      </c>
      <c r="E15355" s="2">
        <f t="shared" si="2517"/>
        <v>43983</v>
      </c>
      <c r="F15355" s="2">
        <f t="shared" si="2518"/>
        <v>44196</v>
      </c>
    </row>
    <row r="15356" spans="1:6" x14ac:dyDescent="0.25">
      <c r="A15356" s="1" t="s">
        <v>753</v>
      </c>
      <c r="B15356" s="1" t="s">
        <v>1416</v>
      </c>
      <c r="C15356" s="1" t="s">
        <v>85</v>
      </c>
      <c r="D15356" s="3">
        <f t="shared" ref="D15356:D15361" si="2519">VALUE("8632")</f>
        <v>8632</v>
      </c>
      <c r="E15356" s="2">
        <f t="shared" ref="E15356:E15361" si="2520">DATEVALUE("1-1-2020")</f>
        <v>43831</v>
      </c>
      <c r="F15356" s="2">
        <f t="shared" si="2518"/>
        <v>44196</v>
      </c>
    </row>
    <row r="15357" spans="1:6" x14ac:dyDescent="0.25">
      <c r="A15357" s="1" t="s">
        <v>753</v>
      </c>
      <c r="B15357" s="1" t="s">
        <v>1416</v>
      </c>
      <c r="C15357" s="1" t="s">
        <v>84</v>
      </c>
      <c r="D15357" s="3">
        <f t="shared" si="2519"/>
        <v>8632</v>
      </c>
      <c r="E15357" s="2">
        <f t="shared" si="2520"/>
        <v>43831</v>
      </c>
      <c r="F15357" s="2">
        <f t="shared" si="2518"/>
        <v>44196</v>
      </c>
    </row>
    <row r="15358" spans="1:6" x14ac:dyDescent="0.25">
      <c r="A15358" s="1" t="s">
        <v>753</v>
      </c>
      <c r="B15358" s="1" t="s">
        <v>1416</v>
      </c>
      <c r="C15358" s="1" t="s">
        <v>89</v>
      </c>
      <c r="D15358" s="3">
        <f t="shared" si="2519"/>
        <v>8632</v>
      </c>
      <c r="E15358" s="2">
        <f t="shared" si="2520"/>
        <v>43831</v>
      </c>
      <c r="F15358" s="2">
        <f t="shared" si="2518"/>
        <v>44196</v>
      </c>
    </row>
    <row r="15359" spans="1:6" x14ac:dyDescent="0.25">
      <c r="A15359" s="1" t="s">
        <v>753</v>
      </c>
      <c r="B15359" s="1" t="s">
        <v>1416</v>
      </c>
      <c r="C15359" s="1" t="s">
        <v>258</v>
      </c>
      <c r="D15359" s="3">
        <f t="shared" si="2519"/>
        <v>8632</v>
      </c>
      <c r="E15359" s="2">
        <f t="shared" si="2520"/>
        <v>43831</v>
      </c>
      <c r="F15359" s="2">
        <f t="shared" si="2518"/>
        <v>44196</v>
      </c>
    </row>
    <row r="15360" spans="1:6" x14ac:dyDescent="0.25">
      <c r="A15360" s="1" t="s">
        <v>753</v>
      </c>
      <c r="B15360" s="1" t="s">
        <v>1416</v>
      </c>
      <c r="C15360" s="1" t="s">
        <v>383</v>
      </c>
      <c r="D15360" s="3">
        <f t="shared" si="2519"/>
        <v>8632</v>
      </c>
      <c r="E15360" s="2">
        <f t="shared" si="2520"/>
        <v>43831</v>
      </c>
      <c r="F15360" s="2">
        <f t="shared" si="2518"/>
        <v>44196</v>
      </c>
    </row>
    <row r="15361" spans="1:6" x14ac:dyDescent="0.25">
      <c r="A15361" s="1" t="s">
        <v>753</v>
      </c>
      <c r="B15361" s="1" t="s">
        <v>1416</v>
      </c>
      <c r="C15361" s="1" t="s">
        <v>133</v>
      </c>
      <c r="D15361" s="3">
        <f t="shared" si="2519"/>
        <v>8632</v>
      </c>
      <c r="E15361" s="2">
        <f t="shared" si="2520"/>
        <v>43831</v>
      </c>
      <c r="F15361" s="2">
        <f t="shared" si="2518"/>
        <v>44196</v>
      </c>
    </row>
    <row r="15362" spans="1:6" x14ac:dyDescent="0.25">
      <c r="A15362" s="1" t="s">
        <v>753</v>
      </c>
      <c r="B15362" s="1" t="s">
        <v>1258</v>
      </c>
      <c r="C15362" s="1" t="s">
        <v>89</v>
      </c>
      <c r="D15362" s="3">
        <f t="shared" ref="D15362:D15367" si="2521">VALUE("8506")</f>
        <v>8506</v>
      </c>
      <c r="E15362" s="2">
        <f t="shared" ref="E15362:E15367" si="2522">DATEVALUE("1-10-2019")</f>
        <v>43739</v>
      </c>
      <c r="F15362" s="2">
        <f t="shared" ref="F15362:F15367" si="2523">DATEVALUE("30-9-2021")</f>
        <v>44469</v>
      </c>
    </row>
    <row r="15363" spans="1:6" x14ac:dyDescent="0.25">
      <c r="A15363" s="1" t="s">
        <v>753</v>
      </c>
      <c r="B15363" s="1" t="s">
        <v>1258</v>
      </c>
      <c r="C15363" s="1" t="s">
        <v>17</v>
      </c>
      <c r="D15363" s="3">
        <f t="shared" si="2521"/>
        <v>8506</v>
      </c>
      <c r="E15363" s="2">
        <f t="shared" si="2522"/>
        <v>43739</v>
      </c>
      <c r="F15363" s="2">
        <f t="shared" si="2523"/>
        <v>44469</v>
      </c>
    </row>
    <row r="15364" spans="1:6" x14ac:dyDescent="0.25">
      <c r="A15364" s="1" t="s">
        <v>753</v>
      </c>
      <c r="B15364" s="1" t="s">
        <v>1258</v>
      </c>
      <c r="C15364" s="1" t="s">
        <v>91</v>
      </c>
      <c r="D15364" s="3">
        <f t="shared" si="2521"/>
        <v>8506</v>
      </c>
      <c r="E15364" s="2">
        <f t="shared" si="2522"/>
        <v>43739</v>
      </c>
      <c r="F15364" s="2">
        <f t="shared" si="2523"/>
        <v>44469</v>
      </c>
    </row>
    <row r="15365" spans="1:6" x14ac:dyDescent="0.25">
      <c r="A15365" s="1" t="s">
        <v>753</v>
      </c>
      <c r="B15365" s="1" t="s">
        <v>1258</v>
      </c>
      <c r="C15365" s="1" t="s">
        <v>94</v>
      </c>
      <c r="D15365" s="3">
        <f t="shared" si="2521"/>
        <v>8506</v>
      </c>
      <c r="E15365" s="2">
        <f t="shared" si="2522"/>
        <v>43739</v>
      </c>
      <c r="F15365" s="2">
        <f t="shared" si="2523"/>
        <v>44469</v>
      </c>
    </row>
    <row r="15366" spans="1:6" x14ac:dyDescent="0.25">
      <c r="A15366" s="1" t="s">
        <v>753</v>
      </c>
      <c r="B15366" s="1" t="s">
        <v>1258</v>
      </c>
      <c r="C15366" s="1" t="s">
        <v>571</v>
      </c>
      <c r="D15366" s="3">
        <f t="shared" si="2521"/>
        <v>8506</v>
      </c>
      <c r="E15366" s="2">
        <f t="shared" si="2522"/>
        <v>43739</v>
      </c>
      <c r="F15366" s="2">
        <f t="shared" si="2523"/>
        <v>44469</v>
      </c>
    </row>
    <row r="15367" spans="1:6" x14ac:dyDescent="0.25">
      <c r="A15367" s="1" t="s">
        <v>753</v>
      </c>
      <c r="B15367" s="1" t="s">
        <v>1258</v>
      </c>
      <c r="C15367" s="1" t="s">
        <v>573</v>
      </c>
      <c r="D15367" s="3">
        <f t="shared" si="2521"/>
        <v>8506</v>
      </c>
      <c r="E15367" s="2">
        <f t="shared" si="2522"/>
        <v>43739</v>
      </c>
      <c r="F15367" s="2">
        <f t="shared" si="2523"/>
        <v>44469</v>
      </c>
    </row>
    <row r="15368" spans="1:6" x14ac:dyDescent="0.25">
      <c r="A15368" s="1" t="s">
        <v>753</v>
      </c>
      <c r="B15368" s="1" t="s">
        <v>903</v>
      </c>
      <c r="C15368" s="1" t="s">
        <v>85</v>
      </c>
      <c r="D15368" s="3">
        <f t="shared" ref="D15368:D15373" si="2524">VALUE("8154")</f>
        <v>8154</v>
      </c>
      <c r="E15368" s="2">
        <f t="shared" ref="E15368:E15373" si="2525">DATEVALUE("1-1-2018")</f>
        <v>43101</v>
      </c>
      <c r="F15368" s="2">
        <f t="shared" ref="F15368:F15373" si="2526">DATEVALUE("31-12-2020")</f>
        <v>44196</v>
      </c>
    </row>
    <row r="15369" spans="1:6" x14ac:dyDescent="0.25">
      <c r="A15369" s="1" t="s">
        <v>753</v>
      </c>
      <c r="B15369" s="1" t="s">
        <v>903</v>
      </c>
      <c r="C15369" s="1" t="s">
        <v>84</v>
      </c>
      <c r="D15369" s="3">
        <f t="shared" si="2524"/>
        <v>8154</v>
      </c>
      <c r="E15369" s="2">
        <f t="shared" si="2525"/>
        <v>43101</v>
      </c>
      <c r="F15369" s="2">
        <f t="shared" si="2526"/>
        <v>44196</v>
      </c>
    </row>
    <row r="15370" spans="1:6" x14ac:dyDescent="0.25">
      <c r="A15370" s="1" t="s">
        <v>753</v>
      </c>
      <c r="B15370" s="1" t="s">
        <v>903</v>
      </c>
      <c r="C15370" s="1" t="s">
        <v>89</v>
      </c>
      <c r="D15370" s="3">
        <f t="shared" si="2524"/>
        <v>8154</v>
      </c>
      <c r="E15370" s="2">
        <f t="shared" si="2525"/>
        <v>43101</v>
      </c>
      <c r="F15370" s="2">
        <f t="shared" si="2526"/>
        <v>44196</v>
      </c>
    </row>
    <row r="15371" spans="1:6" x14ac:dyDescent="0.25">
      <c r="A15371" s="1" t="s">
        <v>753</v>
      </c>
      <c r="B15371" s="1" t="s">
        <v>903</v>
      </c>
      <c r="C15371" s="1" t="s">
        <v>17</v>
      </c>
      <c r="D15371" s="3">
        <f t="shared" si="2524"/>
        <v>8154</v>
      </c>
      <c r="E15371" s="2">
        <f t="shared" si="2525"/>
        <v>43101</v>
      </c>
      <c r="F15371" s="2">
        <f t="shared" si="2526"/>
        <v>44196</v>
      </c>
    </row>
    <row r="15372" spans="1:6" x14ac:dyDescent="0.25">
      <c r="A15372" s="1" t="s">
        <v>753</v>
      </c>
      <c r="B15372" s="1" t="s">
        <v>903</v>
      </c>
      <c r="C15372" s="1" t="s">
        <v>571</v>
      </c>
      <c r="D15372" s="3">
        <f t="shared" si="2524"/>
        <v>8154</v>
      </c>
      <c r="E15372" s="2">
        <f t="shared" si="2525"/>
        <v>43101</v>
      </c>
      <c r="F15372" s="2">
        <f t="shared" si="2526"/>
        <v>44196</v>
      </c>
    </row>
    <row r="15373" spans="1:6" x14ac:dyDescent="0.25">
      <c r="A15373" s="1" t="s">
        <v>753</v>
      </c>
      <c r="B15373" s="1" t="s">
        <v>903</v>
      </c>
      <c r="C15373" s="1" t="s">
        <v>573</v>
      </c>
      <c r="D15373" s="3">
        <f t="shared" si="2524"/>
        <v>8154</v>
      </c>
      <c r="E15373" s="2">
        <f t="shared" si="2525"/>
        <v>43101</v>
      </c>
      <c r="F15373" s="2">
        <f t="shared" si="2526"/>
        <v>44196</v>
      </c>
    </row>
    <row r="15374" spans="1:6" x14ac:dyDescent="0.25">
      <c r="A15374" s="1" t="s">
        <v>753</v>
      </c>
      <c r="B15374" s="1" t="s">
        <v>752</v>
      </c>
      <c r="C15374" s="1" t="s">
        <v>754</v>
      </c>
      <c r="D15374" s="3">
        <f>VALUE("7932")</f>
        <v>7932</v>
      </c>
      <c r="E15374" s="2">
        <f>DATEVALUE("1-5-2017")</f>
        <v>42856</v>
      </c>
      <c r="F15374" s="2">
        <f>DATEVALUE("31-5-2021")</f>
        <v>44347</v>
      </c>
    </row>
    <row r="15375" spans="1:6" x14ac:dyDescent="0.25">
      <c r="A15375" s="1" t="s">
        <v>753</v>
      </c>
      <c r="B15375" s="1" t="s">
        <v>752</v>
      </c>
      <c r="C15375" s="1" t="s">
        <v>84</v>
      </c>
      <c r="D15375" s="3">
        <f>VALUE("7932")</f>
        <v>7932</v>
      </c>
      <c r="E15375" s="2">
        <f>DATEVALUE("1-5-2017")</f>
        <v>42856</v>
      </c>
      <c r="F15375" s="2">
        <f>DATEVALUE("31-5-2021")</f>
        <v>44347</v>
      </c>
    </row>
    <row r="15376" spans="1:6" x14ac:dyDescent="0.25">
      <c r="A15376" s="1" t="s">
        <v>753</v>
      </c>
      <c r="B15376" s="1" t="s">
        <v>755</v>
      </c>
      <c r="C15376" s="1" t="s">
        <v>85</v>
      </c>
      <c r="D15376" s="3">
        <f>VALUE("7935")</f>
        <v>7935</v>
      </c>
      <c r="E15376" s="2">
        <f>DATEVALUE("1-2-2017")</f>
        <v>42767</v>
      </c>
      <c r="F15376" s="2">
        <f>DATEVALUE("31-1-2021")</f>
        <v>44227</v>
      </c>
    </row>
    <row r="15377" spans="1:6" x14ac:dyDescent="0.25">
      <c r="A15377" s="1" t="s">
        <v>753</v>
      </c>
      <c r="B15377" s="1" t="s">
        <v>755</v>
      </c>
      <c r="C15377" s="1" t="s">
        <v>84</v>
      </c>
      <c r="D15377" s="3">
        <f>VALUE("7935")</f>
        <v>7935</v>
      </c>
      <c r="E15377" s="2">
        <f>DATEVALUE("1-2-2017")</f>
        <v>42767</v>
      </c>
      <c r="F15377" s="2">
        <f>DATEVALUE("31-1-2021")</f>
        <v>44227</v>
      </c>
    </row>
    <row r="15378" spans="1:6" x14ac:dyDescent="0.25">
      <c r="A15378" s="1" t="s">
        <v>753</v>
      </c>
      <c r="B15378" s="1" t="s">
        <v>755</v>
      </c>
      <c r="C15378" s="1" t="s">
        <v>89</v>
      </c>
      <c r="D15378" s="3">
        <f>VALUE("7935")</f>
        <v>7935</v>
      </c>
      <c r="E15378" s="2">
        <f>DATEVALUE("1-2-2017")</f>
        <v>42767</v>
      </c>
      <c r="F15378" s="2">
        <f>DATEVALUE("31-1-2021")</f>
        <v>44227</v>
      </c>
    </row>
    <row r="15379" spans="1:6" x14ac:dyDescent="0.25">
      <c r="A15379" s="1" t="s">
        <v>753</v>
      </c>
      <c r="B15379" s="1" t="s">
        <v>755</v>
      </c>
      <c r="C15379" s="1" t="s">
        <v>17</v>
      </c>
      <c r="D15379" s="3">
        <f>VALUE("7935")</f>
        <v>7935</v>
      </c>
      <c r="E15379" s="2">
        <f>DATEVALUE("1-2-2017")</f>
        <v>42767</v>
      </c>
      <c r="F15379" s="2">
        <f>DATEVALUE("31-1-2021")</f>
        <v>44227</v>
      </c>
    </row>
    <row r="15380" spans="1:6" x14ac:dyDescent="0.25">
      <c r="A15380" s="1" t="s">
        <v>753</v>
      </c>
      <c r="B15380" s="1" t="s">
        <v>755</v>
      </c>
      <c r="C15380" s="1" t="s">
        <v>258</v>
      </c>
      <c r="D15380" s="3">
        <f>VALUE("7935")</f>
        <v>7935</v>
      </c>
      <c r="E15380" s="2">
        <f>DATEVALUE("1-2-2017")</f>
        <v>42767</v>
      </c>
      <c r="F15380" s="2">
        <f>DATEVALUE("31-1-2021")</f>
        <v>44227</v>
      </c>
    </row>
    <row r="15381" spans="1:6" x14ac:dyDescent="0.25">
      <c r="A15381" s="1" t="s">
        <v>753</v>
      </c>
      <c r="B15381" s="1" t="s">
        <v>2728</v>
      </c>
      <c r="C15381" s="1" t="s">
        <v>85</v>
      </c>
      <c r="D15381" s="3">
        <f>VALUE("7509")</f>
        <v>7509</v>
      </c>
      <c r="E15381" s="2">
        <f>DATEVALUE("1-10-2013")</f>
        <v>41548</v>
      </c>
      <c r="F15381" s="2">
        <f>DATEVALUE("30-9-2014")</f>
        <v>41912</v>
      </c>
    </row>
    <row r="15382" spans="1:6" x14ac:dyDescent="0.25">
      <c r="A15382" s="1" t="s">
        <v>753</v>
      </c>
      <c r="B15382" s="1" t="s">
        <v>2728</v>
      </c>
      <c r="C15382" s="1" t="s">
        <v>94</v>
      </c>
      <c r="D15382" s="3">
        <f>VALUE("7509")</f>
        <v>7509</v>
      </c>
      <c r="E15382" s="2">
        <f>DATEVALUE("1-10-2013")</f>
        <v>41548</v>
      </c>
      <c r="F15382" s="2">
        <f>DATEVALUE("30-9-2014")</f>
        <v>41912</v>
      </c>
    </row>
    <row r="15383" spans="1:6" x14ac:dyDescent="0.25">
      <c r="A15383" s="1" t="s">
        <v>753</v>
      </c>
      <c r="B15383" s="1" t="s">
        <v>2567</v>
      </c>
      <c r="C15383" s="1" t="s">
        <v>85</v>
      </c>
      <c r="D15383" s="3">
        <f>VALUE("7099")</f>
        <v>7099</v>
      </c>
      <c r="E15383" s="2">
        <f>DATEVALUE("1-11-2010")</f>
        <v>40483</v>
      </c>
      <c r="F15383" s="2">
        <f>DATEVALUE("31-12-2011")</f>
        <v>40908</v>
      </c>
    </row>
    <row r="15384" spans="1:6" x14ac:dyDescent="0.25">
      <c r="A15384" s="1" t="s">
        <v>1764</v>
      </c>
      <c r="B15384" s="1" t="s">
        <v>2035</v>
      </c>
      <c r="C15384" s="1" t="s">
        <v>2036</v>
      </c>
      <c r="D15384" s="3">
        <f t="shared" ref="D15384:D15390" si="2527">VALUE("8073")</f>
        <v>8073</v>
      </c>
      <c r="E15384" s="2">
        <f t="shared" ref="E15384:E15390" si="2528">DATEVALUE("1-2-2018")</f>
        <v>43132</v>
      </c>
      <c r="F15384" s="2">
        <f t="shared" ref="F15384:F15390" si="2529">DATEVALUE("31-1-2019")</f>
        <v>43496</v>
      </c>
    </row>
    <row r="15385" spans="1:6" x14ac:dyDescent="0.25">
      <c r="A15385" s="1" t="s">
        <v>1764</v>
      </c>
      <c r="B15385" s="1" t="s">
        <v>2035</v>
      </c>
      <c r="C15385" s="1" t="s">
        <v>2037</v>
      </c>
      <c r="D15385" s="3">
        <f t="shared" si="2527"/>
        <v>8073</v>
      </c>
      <c r="E15385" s="2">
        <f t="shared" si="2528"/>
        <v>43132</v>
      </c>
      <c r="F15385" s="2">
        <f t="shared" si="2529"/>
        <v>43496</v>
      </c>
    </row>
    <row r="15386" spans="1:6" x14ac:dyDescent="0.25">
      <c r="A15386" s="1" t="s">
        <v>1764</v>
      </c>
      <c r="B15386" s="1" t="s">
        <v>2035</v>
      </c>
      <c r="C15386" s="1" t="s">
        <v>386</v>
      </c>
      <c r="D15386" s="3">
        <f t="shared" si="2527"/>
        <v>8073</v>
      </c>
      <c r="E15386" s="2">
        <f t="shared" si="2528"/>
        <v>43132</v>
      </c>
      <c r="F15386" s="2">
        <f t="shared" si="2529"/>
        <v>43496</v>
      </c>
    </row>
    <row r="15387" spans="1:6" x14ac:dyDescent="0.25">
      <c r="A15387" s="1" t="s">
        <v>1764</v>
      </c>
      <c r="B15387" s="1" t="s">
        <v>2035</v>
      </c>
      <c r="C15387" s="1" t="s">
        <v>387</v>
      </c>
      <c r="D15387" s="3">
        <f t="shared" si="2527"/>
        <v>8073</v>
      </c>
      <c r="E15387" s="2">
        <f t="shared" si="2528"/>
        <v>43132</v>
      </c>
      <c r="F15387" s="2">
        <f t="shared" si="2529"/>
        <v>43496</v>
      </c>
    </row>
    <row r="15388" spans="1:6" x14ac:dyDescent="0.25">
      <c r="A15388" s="1" t="s">
        <v>1764</v>
      </c>
      <c r="B15388" s="1" t="s">
        <v>2035</v>
      </c>
      <c r="C15388" s="1" t="s">
        <v>388</v>
      </c>
      <c r="D15388" s="3">
        <f t="shared" si="2527"/>
        <v>8073</v>
      </c>
      <c r="E15388" s="2">
        <f t="shared" si="2528"/>
        <v>43132</v>
      </c>
      <c r="F15388" s="2">
        <f t="shared" si="2529"/>
        <v>43496</v>
      </c>
    </row>
    <row r="15389" spans="1:6" x14ac:dyDescent="0.25">
      <c r="A15389" s="1" t="s">
        <v>1764</v>
      </c>
      <c r="B15389" s="1" t="s">
        <v>2035</v>
      </c>
      <c r="C15389" s="1" t="s">
        <v>2038</v>
      </c>
      <c r="D15389" s="3">
        <f t="shared" si="2527"/>
        <v>8073</v>
      </c>
      <c r="E15389" s="2">
        <f t="shared" si="2528"/>
        <v>43132</v>
      </c>
      <c r="F15389" s="2">
        <f t="shared" si="2529"/>
        <v>43496</v>
      </c>
    </row>
    <row r="15390" spans="1:6" x14ac:dyDescent="0.25">
      <c r="A15390" s="1" t="s">
        <v>1764</v>
      </c>
      <c r="B15390" s="1" t="s">
        <v>2035</v>
      </c>
      <c r="C15390" s="1" t="s">
        <v>2039</v>
      </c>
      <c r="D15390" s="3">
        <f t="shared" si="2527"/>
        <v>8073</v>
      </c>
      <c r="E15390" s="2">
        <f t="shared" si="2528"/>
        <v>43132</v>
      </c>
      <c r="F15390" s="2">
        <f t="shared" si="2529"/>
        <v>43496</v>
      </c>
    </row>
    <row r="15391" spans="1:6" x14ac:dyDescent="0.25">
      <c r="A15391" s="1" t="s">
        <v>1764</v>
      </c>
      <c r="B15391" s="1" t="s">
        <v>1763</v>
      </c>
      <c r="C15391" s="1" t="s">
        <v>15</v>
      </c>
      <c r="D15391" s="3">
        <f t="shared" ref="D15391:D15399" si="2530">VALUE("8086")</f>
        <v>8086</v>
      </c>
      <c r="E15391" s="2">
        <f t="shared" ref="E15391:E15399" si="2531">DATEVALUE("1-7-2017")</f>
        <v>42917</v>
      </c>
      <c r="F15391" s="2">
        <f t="shared" ref="F15391:F15399" si="2532">DATEVALUE("30-11-2019")</f>
        <v>43799</v>
      </c>
    </row>
    <row r="15392" spans="1:6" x14ac:dyDescent="0.25">
      <c r="A15392" s="1" t="s">
        <v>1764</v>
      </c>
      <c r="B15392" s="1" t="s">
        <v>1763</v>
      </c>
      <c r="C15392" s="1" t="s">
        <v>89</v>
      </c>
      <c r="D15392" s="3">
        <f t="shared" si="2530"/>
        <v>8086</v>
      </c>
      <c r="E15392" s="2">
        <f t="shared" si="2531"/>
        <v>42917</v>
      </c>
      <c r="F15392" s="2">
        <f t="shared" si="2532"/>
        <v>43799</v>
      </c>
    </row>
    <row r="15393" spans="1:6" x14ac:dyDescent="0.25">
      <c r="A15393" s="1" t="s">
        <v>1764</v>
      </c>
      <c r="B15393" s="1" t="s">
        <v>1763</v>
      </c>
      <c r="C15393" s="1" t="s">
        <v>326</v>
      </c>
      <c r="D15393" s="3">
        <f t="shared" si="2530"/>
        <v>8086</v>
      </c>
      <c r="E15393" s="2">
        <f t="shared" si="2531"/>
        <v>42917</v>
      </c>
      <c r="F15393" s="2">
        <f t="shared" si="2532"/>
        <v>43799</v>
      </c>
    </row>
    <row r="15394" spans="1:6" x14ac:dyDescent="0.25">
      <c r="A15394" s="1" t="s">
        <v>1764</v>
      </c>
      <c r="B15394" s="1" t="s">
        <v>1763</v>
      </c>
      <c r="C15394" s="1" t="s">
        <v>22</v>
      </c>
      <c r="D15394" s="3">
        <f t="shared" si="2530"/>
        <v>8086</v>
      </c>
      <c r="E15394" s="2">
        <f t="shared" si="2531"/>
        <v>42917</v>
      </c>
      <c r="F15394" s="2">
        <f t="shared" si="2532"/>
        <v>43799</v>
      </c>
    </row>
    <row r="15395" spans="1:6" x14ac:dyDescent="0.25">
      <c r="A15395" s="1" t="s">
        <v>1764</v>
      </c>
      <c r="B15395" s="1" t="s">
        <v>1763</v>
      </c>
      <c r="C15395" s="1" t="s">
        <v>149</v>
      </c>
      <c r="D15395" s="3">
        <f t="shared" si="2530"/>
        <v>8086</v>
      </c>
      <c r="E15395" s="2">
        <f t="shared" si="2531"/>
        <v>42917</v>
      </c>
      <c r="F15395" s="2">
        <f t="shared" si="2532"/>
        <v>43799</v>
      </c>
    </row>
    <row r="15396" spans="1:6" x14ac:dyDescent="0.25">
      <c r="A15396" s="1" t="s">
        <v>1764</v>
      </c>
      <c r="B15396" s="1" t="s">
        <v>1763</v>
      </c>
      <c r="C15396" s="1" t="s">
        <v>150</v>
      </c>
      <c r="D15396" s="3">
        <f t="shared" si="2530"/>
        <v>8086</v>
      </c>
      <c r="E15396" s="2">
        <f t="shared" si="2531"/>
        <v>42917</v>
      </c>
      <c r="F15396" s="2">
        <f t="shared" si="2532"/>
        <v>43799</v>
      </c>
    </row>
    <row r="15397" spans="1:6" x14ac:dyDescent="0.25">
      <c r="A15397" s="1" t="s">
        <v>1764</v>
      </c>
      <c r="B15397" s="1" t="s">
        <v>1763</v>
      </c>
      <c r="C15397" s="1" t="s">
        <v>1765</v>
      </c>
      <c r="D15397" s="3">
        <f t="shared" si="2530"/>
        <v>8086</v>
      </c>
      <c r="E15397" s="2">
        <f t="shared" si="2531"/>
        <v>42917</v>
      </c>
      <c r="F15397" s="2">
        <f t="shared" si="2532"/>
        <v>43799</v>
      </c>
    </row>
    <row r="15398" spans="1:6" x14ac:dyDescent="0.25">
      <c r="A15398" s="1" t="s">
        <v>1764</v>
      </c>
      <c r="B15398" s="1" t="s">
        <v>1763</v>
      </c>
      <c r="C15398" s="1" t="s">
        <v>294</v>
      </c>
      <c r="D15398" s="3">
        <f t="shared" si="2530"/>
        <v>8086</v>
      </c>
      <c r="E15398" s="2">
        <f t="shared" si="2531"/>
        <v>42917</v>
      </c>
      <c r="F15398" s="2">
        <f t="shared" si="2532"/>
        <v>43799</v>
      </c>
    </row>
    <row r="15399" spans="1:6" x14ac:dyDescent="0.25">
      <c r="A15399" s="1" t="s">
        <v>1764</v>
      </c>
      <c r="B15399" s="1" t="s">
        <v>1763</v>
      </c>
      <c r="C15399" s="1" t="s">
        <v>36</v>
      </c>
      <c r="D15399" s="3">
        <f t="shared" si="2530"/>
        <v>8086</v>
      </c>
      <c r="E15399" s="2">
        <f t="shared" si="2531"/>
        <v>42917</v>
      </c>
      <c r="F15399" s="2">
        <f t="shared" si="2532"/>
        <v>43799</v>
      </c>
    </row>
    <row r="15400" spans="1:6" x14ac:dyDescent="0.25">
      <c r="A15400" s="1" t="s">
        <v>940</v>
      </c>
      <c r="B15400" s="1" t="s">
        <v>1325</v>
      </c>
      <c r="C15400" s="1" t="s">
        <v>62</v>
      </c>
      <c r="D15400" s="3">
        <f t="shared" ref="D15400:D15413" si="2533">VALUE("8555")</f>
        <v>8555</v>
      </c>
      <c r="E15400" s="2">
        <f t="shared" ref="E15400:E15413" si="2534">DATEVALUE("1-1-2020")</f>
        <v>43831</v>
      </c>
      <c r="F15400" s="2">
        <f t="shared" ref="F15400:F15413" si="2535">DATEVALUE("31-12-2021")</f>
        <v>44561</v>
      </c>
    </row>
    <row r="15401" spans="1:6" x14ac:dyDescent="0.25">
      <c r="A15401" s="1" t="s">
        <v>940</v>
      </c>
      <c r="B15401" s="1" t="s">
        <v>1325</v>
      </c>
      <c r="C15401" s="1" t="s">
        <v>63</v>
      </c>
      <c r="D15401" s="3">
        <f t="shared" si="2533"/>
        <v>8555</v>
      </c>
      <c r="E15401" s="2">
        <f t="shared" si="2534"/>
        <v>43831</v>
      </c>
      <c r="F15401" s="2">
        <f t="shared" si="2535"/>
        <v>44561</v>
      </c>
    </row>
    <row r="15402" spans="1:6" x14ac:dyDescent="0.25">
      <c r="A15402" s="1" t="s">
        <v>940</v>
      </c>
      <c r="B15402" s="1" t="s">
        <v>1325</v>
      </c>
      <c r="C15402" s="1" t="s">
        <v>65</v>
      </c>
      <c r="D15402" s="3">
        <f t="shared" si="2533"/>
        <v>8555</v>
      </c>
      <c r="E15402" s="2">
        <f t="shared" si="2534"/>
        <v>43831</v>
      </c>
      <c r="F15402" s="2">
        <f t="shared" si="2535"/>
        <v>44561</v>
      </c>
    </row>
    <row r="15403" spans="1:6" x14ac:dyDescent="0.25">
      <c r="A15403" s="1" t="s">
        <v>940</v>
      </c>
      <c r="B15403" s="1" t="s">
        <v>1325</v>
      </c>
      <c r="C15403" s="1" t="s">
        <v>15</v>
      </c>
      <c r="D15403" s="3">
        <f t="shared" si="2533"/>
        <v>8555</v>
      </c>
      <c r="E15403" s="2">
        <f t="shared" si="2534"/>
        <v>43831</v>
      </c>
      <c r="F15403" s="2">
        <f t="shared" si="2535"/>
        <v>44561</v>
      </c>
    </row>
    <row r="15404" spans="1:6" x14ac:dyDescent="0.25">
      <c r="A15404" s="1" t="s">
        <v>940</v>
      </c>
      <c r="B15404" s="1" t="s">
        <v>1325</v>
      </c>
      <c r="C15404" s="1" t="s">
        <v>17</v>
      </c>
      <c r="D15404" s="3">
        <f t="shared" si="2533"/>
        <v>8555</v>
      </c>
      <c r="E15404" s="2">
        <f t="shared" si="2534"/>
        <v>43831</v>
      </c>
      <c r="F15404" s="2">
        <f t="shared" si="2535"/>
        <v>44561</v>
      </c>
    </row>
    <row r="15405" spans="1:6" x14ac:dyDescent="0.25">
      <c r="A15405" s="1" t="s">
        <v>940</v>
      </c>
      <c r="B15405" s="1" t="s">
        <v>1325</v>
      </c>
      <c r="C15405" s="1" t="s">
        <v>91</v>
      </c>
      <c r="D15405" s="3">
        <f t="shared" si="2533"/>
        <v>8555</v>
      </c>
      <c r="E15405" s="2">
        <f t="shared" si="2534"/>
        <v>43831</v>
      </c>
      <c r="F15405" s="2">
        <f t="shared" si="2535"/>
        <v>44561</v>
      </c>
    </row>
    <row r="15406" spans="1:6" x14ac:dyDescent="0.25">
      <c r="A15406" s="1" t="s">
        <v>940</v>
      </c>
      <c r="B15406" s="1" t="s">
        <v>1325</v>
      </c>
      <c r="C15406" s="1" t="s">
        <v>197</v>
      </c>
      <c r="D15406" s="3">
        <f t="shared" si="2533"/>
        <v>8555</v>
      </c>
      <c r="E15406" s="2">
        <f t="shared" si="2534"/>
        <v>43831</v>
      </c>
      <c r="F15406" s="2">
        <f t="shared" si="2535"/>
        <v>44561</v>
      </c>
    </row>
    <row r="15407" spans="1:6" x14ac:dyDescent="0.25">
      <c r="A15407" s="1" t="s">
        <v>940</v>
      </c>
      <c r="B15407" s="1" t="s">
        <v>1325</v>
      </c>
      <c r="C15407" s="1" t="s">
        <v>22</v>
      </c>
      <c r="D15407" s="3">
        <f t="shared" si="2533"/>
        <v>8555</v>
      </c>
      <c r="E15407" s="2">
        <f t="shared" si="2534"/>
        <v>43831</v>
      </c>
      <c r="F15407" s="2">
        <f t="shared" si="2535"/>
        <v>44561</v>
      </c>
    </row>
    <row r="15408" spans="1:6" x14ac:dyDescent="0.25">
      <c r="A15408" s="1" t="s">
        <v>940</v>
      </c>
      <c r="B15408" s="1" t="s">
        <v>1325</v>
      </c>
      <c r="C15408" s="1" t="s">
        <v>384</v>
      </c>
      <c r="D15408" s="3">
        <f t="shared" si="2533"/>
        <v>8555</v>
      </c>
      <c r="E15408" s="2">
        <f t="shared" si="2534"/>
        <v>43831</v>
      </c>
      <c r="F15408" s="2">
        <f t="shared" si="2535"/>
        <v>44561</v>
      </c>
    </row>
    <row r="15409" spans="1:6" x14ac:dyDescent="0.25">
      <c r="A15409" s="1" t="s">
        <v>940</v>
      </c>
      <c r="B15409" s="1" t="s">
        <v>1325</v>
      </c>
      <c r="C15409" s="1" t="s">
        <v>50</v>
      </c>
      <c r="D15409" s="3">
        <f t="shared" si="2533"/>
        <v>8555</v>
      </c>
      <c r="E15409" s="2">
        <f t="shared" si="2534"/>
        <v>43831</v>
      </c>
      <c r="F15409" s="2">
        <f t="shared" si="2535"/>
        <v>44561</v>
      </c>
    </row>
    <row r="15410" spans="1:6" x14ac:dyDescent="0.25">
      <c r="A15410" s="1" t="s">
        <v>940</v>
      </c>
      <c r="B15410" s="1" t="s">
        <v>1325</v>
      </c>
      <c r="C15410" s="1" t="s">
        <v>73</v>
      </c>
      <c r="D15410" s="3">
        <f t="shared" si="2533"/>
        <v>8555</v>
      </c>
      <c r="E15410" s="2">
        <f t="shared" si="2534"/>
        <v>43831</v>
      </c>
      <c r="F15410" s="2">
        <f t="shared" si="2535"/>
        <v>44561</v>
      </c>
    </row>
    <row r="15411" spans="1:6" x14ac:dyDescent="0.25">
      <c r="A15411" s="1" t="s">
        <v>940</v>
      </c>
      <c r="B15411" s="1" t="s">
        <v>1325</v>
      </c>
      <c r="C15411" s="1" t="s">
        <v>52</v>
      </c>
      <c r="D15411" s="3">
        <f t="shared" si="2533"/>
        <v>8555</v>
      </c>
      <c r="E15411" s="2">
        <f t="shared" si="2534"/>
        <v>43831</v>
      </c>
      <c r="F15411" s="2">
        <f t="shared" si="2535"/>
        <v>44561</v>
      </c>
    </row>
    <row r="15412" spans="1:6" x14ac:dyDescent="0.25">
      <c r="A15412" s="1" t="s">
        <v>940</v>
      </c>
      <c r="B15412" s="1" t="s">
        <v>1325</v>
      </c>
      <c r="C15412" s="1" t="s">
        <v>306</v>
      </c>
      <c r="D15412" s="3">
        <f t="shared" si="2533"/>
        <v>8555</v>
      </c>
      <c r="E15412" s="2">
        <f t="shared" si="2534"/>
        <v>43831</v>
      </c>
      <c r="F15412" s="2">
        <f t="shared" si="2535"/>
        <v>44561</v>
      </c>
    </row>
    <row r="15413" spans="1:6" x14ac:dyDescent="0.25">
      <c r="A15413" s="1" t="s">
        <v>940</v>
      </c>
      <c r="B15413" s="1" t="s">
        <v>1325</v>
      </c>
      <c r="C15413" s="1" t="s">
        <v>1326</v>
      </c>
      <c r="D15413" s="3">
        <f t="shared" si="2533"/>
        <v>8555</v>
      </c>
      <c r="E15413" s="2">
        <f t="shared" si="2534"/>
        <v>43831</v>
      </c>
      <c r="F15413" s="2">
        <f t="shared" si="2535"/>
        <v>44561</v>
      </c>
    </row>
    <row r="15414" spans="1:6" x14ac:dyDescent="0.25">
      <c r="A15414" s="1" t="s">
        <v>940</v>
      </c>
      <c r="B15414" s="1" t="s">
        <v>1377</v>
      </c>
      <c r="C15414" s="1" t="s">
        <v>61</v>
      </c>
      <c r="D15414" s="3">
        <f t="shared" ref="D15414:D15424" si="2536">VALUE("8602")</f>
        <v>8602</v>
      </c>
      <c r="E15414" s="2">
        <f t="shared" ref="E15414:E15424" si="2537">DATEVALUE("1-11-2019")</f>
        <v>43770</v>
      </c>
      <c r="F15414" s="2">
        <f t="shared" ref="F15414:F15424" si="2538">DATEVALUE("31-10-2020")</f>
        <v>44135</v>
      </c>
    </row>
    <row r="15415" spans="1:6" x14ac:dyDescent="0.25">
      <c r="A15415" s="1" t="s">
        <v>940</v>
      </c>
      <c r="B15415" s="1" t="s">
        <v>1377</v>
      </c>
      <c r="C15415" s="1" t="s">
        <v>62</v>
      </c>
      <c r="D15415" s="3">
        <f t="shared" si="2536"/>
        <v>8602</v>
      </c>
      <c r="E15415" s="2">
        <f t="shared" si="2537"/>
        <v>43770</v>
      </c>
      <c r="F15415" s="2">
        <f t="shared" si="2538"/>
        <v>44135</v>
      </c>
    </row>
    <row r="15416" spans="1:6" x14ac:dyDescent="0.25">
      <c r="A15416" s="1" t="s">
        <v>940</v>
      </c>
      <c r="B15416" s="1" t="s">
        <v>1377</v>
      </c>
      <c r="C15416" s="1" t="s">
        <v>63</v>
      </c>
      <c r="D15416" s="3">
        <f t="shared" si="2536"/>
        <v>8602</v>
      </c>
      <c r="E15416" s="2">
        <f t="shared" si="2537"/>
        <v>43770</v>
      </c>
      <c r="F15416" s="2">
        <f t="shared" si="2538"/>
        <v>44135</v>
      </c>
    </row>
    <row r="15417" spans="1:6" x14ac:dyDescent="0.25">
      <c r="A15417" s="1" t="s">
        <v>940</v>
      </c>
      <c r="B15417" s="1" t="s">
        <v>1377</v>
      </c>
      <c r="C15417" s="1" t="s">
        <v>415</v>
      </c>
      <c r="D15417" s="3">
        <f t="shared" si="2536"/>
        <v>8602</v>
      </c>
      <c r="E15417" s="2">
        <f t="shared" si="2537"/>
        <v>43770</v>
      </c>
      <c r="F15417" s="2">
        <f t="shared" si="2538"/>
        <v>44135</v>
      </c>
    </row>
    <row r="15418" spans="1:6" x14ac:dyDescent="0.25">
      <c r="A15418" s="1" t="s">
        <v>940</v>
      </c>
      <c r="B15418" s="1" t="s">
        <v>1377</v>
      </c>
      <c r="C15418" s="1" t="s">
        <v>65</v>
      </c>
      <c r="D15418" s="3">
        <f t="shared" si="2536"/>
        <v>8602</v>
      </c>
      <c r="E15418" s="2">
        <f t="shared" si="2537"/>
        <v>43770</v>
      </c>
      <c r="F15418" s="2">
        <f t="shared" si="2538"/>
        <v>44135</v>
      </c>
    </row>
    <row r="15419" spans="1:6" x14ac:dyDescent="0.25">
      <c r="A15419" s="1" t="s">
        <v>940</v>
      </c>
      <c r="B15419" s="1" t="s">
        <v>1377</v>
      </c>
      <c r="C15419" s="1" t="s">
        <v>17</v>
      </c>
      <c r="D15419" s="3">
        <f t="shared" si="2536"/>
        <v>8602</v>
      </c>
      <c r="E15419" s="2">
        <f t="shared" si="2537"/>
        <v>43770</v>
      </c>
      <c r="F15419" s="2">
        <f t="shared" si="2538"/>
        <v>44135</v>
      </c>
    </row>
    <row r="15420" spans="1:6" x14ac:dyDescent="0.25">
      <c r="A15420" s="1" t="s">
        <v>940</v>
      </c>
      <c r="B15420" s="1" t="s">
        <v>1377</v>
      </c>
      <c r="C15420" s="1" t="s">
        <v>22</v>
      </c>
      <c r="D15420" s="3">
        <f t="shared" si="2536"/>
        <v>8602</v>
      </c>
      <c r="E15420" s="2">
        <f t="shared" si="2537"/>
        <v>43770</v>
      </c>
      <c r="F15420" s="2">
        <f t="shared" si="2538"/>
        <v>44135</v>
      </c>
    </row>
    <row r="15421" spans="1:6" x14ac:dyDescent="0.25">
      <c r="A15421" s="1" t="s">
        <v>940</v>
      </c>
      <c r="B15421" s="1" t="s">
        <v>1377</v>
      </c>
      <c r="C15421" s="1" t="s">
        <v>50</v>
      </c>
      <c r="D15421" s="3">
        <f t="shared" si="2536"/>
        <v>8602</v>
      </c>
      <c r="E15421" s="2">
        <f t="shared" si="2537"/>
        <v>43770</v>
      </c>
      <c r="F15421" s="2">
        <f t="shared" si="2538"/>
        <v>44135</v>
      </c>
    </row>
    <row r="15422" spans="1:6" x14ac:dyDescent="0.25">
      <c r="A15422" s="1" t="s">
        <v>940</v>
      </c>
      <c r="B15422" s="1" t="s">
        <v>1377</v>
      </c>
      <c r="C15422" s="1" t="s">
        <v>70</v>
      </c>
      <c r="D15422" s="3">
        <f t="shared" si="2536"/>
        <v>8602</v>
      </c>
      <c r="E15422" s="2">
        <f t="shared" si="2537"/>
        <v>43770</v>
      </c>
      <c r="F15422" s="2">
        <f t="shared" si="2538"/>
        <v>44135</v>
      </c>
    </row>
    <row r="15423" spans="1:6" x14ac:dyDescent="0.25">
      <c r="A15423" s="1" t="s">
        <v>940</v>
      </c>
      <c r="B15423" s="1" t="s">
        <v>1377</v>
      </c>
      <c r="C15423" s="1" t="s">
        <v>73</v>
      </c>
      <c r="D15423" s="3">
        <f t="shared" si="2536"/>
        <v>8602</v>
      </c>
      <c r="E15423" s="2">
        <f t="shared" si="2537"/>
        <v>43770</v>
      </c>
      <c r="F15423" s="2">
        <f t="shared" si="2538"/>
        <v>44135</v>
      </c>
    </row>
    <row r="15424" spans="1:6" x14ac:dyDescent="0.25">
      <c r="A15424" s="1" t="s">
        <v>940</v>
      </c>
      <c r="B15424" s="1" t="s">
        <v>1377</v>
      </c>
      <c r="C15424" s="1" t="s">
        <v>52</v>
      </c>
      <c r="D15424" s="3">
        <f t="shared" si="2536"/>
        <v>8602</v>
      </c>
      <c r="E15424" s="2">
        <f t="shared" si="2537"/>
        <v>43770</v>
      </c>
      <c r="F15424" s="2">
        <f t="shared" si="2538"/>
        <v>44135</v>
      </c>
    </row>
    <row r="15425" spans="1:6" x14ac:dyDescent="0.25">
      <c r="A15425" s="1" t="s">
        <v>940</v>
      </c>
      <c r="B15425" s="1" t="s">
        <v>939</v>
      </c>
      <c r="C15425" s="1" t="s">
        <v>61</v>
      </c>
      <c r="D15425" s="3">
        <f t="shared" ref="D15425:D15437" si="2539">VALUE("8216")</f>
        <v>8216</v>
      </c>
      <c r="E15425" s="2">
        <f t="shared" ref="E15425:E15437" si="2540">DATEVALUE("1-1-2018")</f>
        <v>43101</v>
      </c>
      <c r="F15425" s="2">
        <f t="shared" ref="F15425:F15437" si="2541">DATEVALUE("31-12-2019")</f>
        <v>43830</v>
      </c>
    </row>
    <row r="15426" spans="1:6" x14ac:dyDescent="0.25">
      <c r="A15426" s="1" t="s">
        <v>940</v>
      </c>
      <c r="B15426" s="1" t="s">
        <v>939</v>
      </c>
      <c r="C15426" s="1" t="s">
        <v>62</v>
      </c>
      <c r="D15426" s="3">
        <f t="shared" si="2539"/>
        <v>8216</v>
      </c>
      <c r="E15426" s="2">
        <f t="shared" si="2540"/>
        <v>43101</v>
      </c>
      <c r="F15426" s="2">
        <f t="shared" si="2541"/>
        <v>43830</v>
      </c>
    </row>
    <row r="15427" spans="1:6" x14ac:dyDescent="0.25">
      <c r="A15427" s="1" t="s">
        <v>940</v>
      </c>
      <c r="B15427" s="1" t="s">
        <v>939</v>
      </c>
      <c r="C15427" s="1" t="s">
        <v>415</v>
      </c>
      <c r="D15427" s="3">
        <f t="shared" si="2539"/>
        <v>8216</v>
      </c>
      <c r="E15427" s="2">
        <f t="shared" si="2540"/>
        <v>43101</v>
      </c>
      <c r="F15427" s="2">
        <f t="shared" si="2541"/>
        <v>43830</v>
      </c>
    </row>
    <row r="15428" spans="1:6" x14ac:dyDescent="0.25">
      <c r="A15428" s="1" t="s">
        <v>940</v>
      </c>
      <c r="B15428" s="1" t="s">
        <v>939</v>
      </c>
      <c r="C15428" s="1" t="s">
        <v>65</v>
      </c>
      <c r="D15428" s="3">
        <f t="shared" si="2539"/>
        <v>8216</v>
      </c>
      <c r="E15428" s="2">
        <f t="shared" si="2540"/>
        <v>43101</v>
      </c>
      <c r="F15428" s="2">
        <f t="shared" si="2541"/>
        <v>43830</v>
      </c>
    </row>
    <row r="15429" spans="1:6" x14ac:dyDescent="0.25">
      <c r="A15429" s="1" t="s">
        <v>940</v>
      </c>
      <c r="B15429" s="1" t="s">
        <v>939</v>
      </c>
      <c r="C15429" s="1" t="s">
        <v>66</v>
      </c>
      <c r="D15429" s="3">
        <f t="shared" si="2539"/>
        <v>8216</v>
      </c>
      <c r="E15429" s="2">
        <f t="shared" si="2540"/>
        <v>43101</v>
      </c>
      <c r="F15429" s="2">
        <f t="shared" si="2541"/>
        <v>43830</v>
      </c>
    </row>
    <row r="15430" spans="1:6" x14ac:dyDescent="0.25">
      <c r="A15430" s="1" t="s">
        <v>940</v>
      </c>
      <c r="B15430" s="1" t="s">
        <v>939</v>
      </c>
      <c r="C15430" s="1" t="s">
        <v>17</v>
      </c>
      <c r="D15430" s="3">
        <f t="shared" si="2539"/>
        <v>8216</v>
      </c>
      <c r="E15430" s="2">
        <f t="shared" si="2540"/>
        <v>43101</v>
      </c>
      <c r="F15430" s="2">
        <f t="shared" si="2541"/>
        <v>43830</v>
      </c>
    </row>
    <row r="15431" spans="1:6" x14ac:dyDescent="0.25">
      <c r="A15431" s="1" t="s">
        <v>940</v>
      </c>
      <c r="B15431" s="1" t="s">
        <v>939</v>
      </c>
      <c r="C15431" s="1" t="s">
        <v>22</v>
      </c>
      <c r="D15431" s="3">
        <f t="shared" si="2539"/>
        <v>8216</v>
      </c>
      <c r="E15431" s="2">
        <f t="shared" si="2540"/>
        <v>43101</v>
      </c>
      <c r="F15431" s="2">
        <f t="shared" si="2541"/>
        <v>43830</v>
      </c>
    </row>
    <row r="15432" spans="1:6" x14ac:dyDescent="0.25">
      <c r="A15432" s="1" t="s">
        <v>940</v>
      </c>
      <c r="B15432" s="1" t="s">
        <v>939</v>
      </c>
      <c r="C15432" s="1" t="s">
        <v>92</v>
      </c>
      <c r="D15432" s="3">
        <f t="shared" si="2539"/>
        <v>8216</v>
      </c>
      <c r="E15432" s="2">
        <f t="shared" si="2540"/>
        <v>43101</v>
      </c>
      <c r="F15432" s="2">
        <f t="shared" si="2541"/>
        <v>43830</v>
      </c>
    </row>
    <row r="15433" spans="1:6" x14ac:dyDescent="0.25">
      <c r="A15433" s="1" t="s">
        <v>940</v>
      </c>
      <c r="B15433" s="1" t="s">
        <v>939</v>
      </c>
      <c r="C15433" s="1" t="s">
        <v>50</v>
      </c>
      <c r="D15433" s="3">
        <f t="shared" si="2539"/>
        <v>8216</v>
      </c>
      <c r="E15433" s="2">
        <f t="shared" si="2540"/>
        <v>43101</v>
      </c>
      <c r="F15433" s="2">
        <f t="shared" si="2541"/>
        <v>43830</v>
      </c>
    </row>
    <row r="15434" spans="1:6" x14ac:dyDescent="0.25">
      <c r="A15434" s="1" t="s">
        <v>940</v>
      </c>
      <c r="B15434" s="1" t="s">
        <v>939</v>
      </c>
      <c r="C15434" s="1" t="s">
        <v>70</v>
      </c>
      <c r="D15434" s="3">
        <f t="shared" si="2539"/>
        <v>8216</v>
      </c>
      <c r="E15434" s="2">
        <f t="shared" si="2540"/>
        <v>43101</v>
      </c>
      <c r="F15434" s="2">
        <f t="shared" si="2541"/>
        <v>43830</v>
      </c>
    </row>
    <row r="15435" spans="1:6" x14ac:dyDescent="0.25">
      <c r="A15435" s="1" t="s">
        <v>940</v>
      </c>
      <c r="B15435" s="1" t="s">
        <v>939</v>
      </c>
      <c r="C15435" s="1" t="s">
        <v>72</v>
      </c>
      <c r="D15435" s="3">
        <f t="shared" si="2539"/>
        <v>8216</v>
      </c>
      <c r="E15435" s="2">
        <f t="shared" si="2540"/>
        <v>43101</v>
      </c>
      <c r="F15435" s="2">
        <f t="shared" si="2541"/>
        <v>43830</v>
      </c>
    </row>
    <row r="15436" spans="1:6" x14ac:dyDescent="0.25">
      <c r="A15436" s="1" t="s">
        <v>940</v>
      </c>
      <c r="B15436" s="1" t="s">
        <v>939</v>
      </c>
      <c r="C15436" s="1" t="s">
        <v>73</v>
      </c>
      <c r="D15436" s="3">
        <f t="shared" si="2539"/>
        <v>8216</v>
      </c>
      <c r="E15436" s="2">
        <f t="shared" si="2540"/>
        <v>43101</v>
      </c>
      <c r="F15436" s="2">
        <f t="shared" si="2541"/>
        <v>43830</v>
      </c>
    </row>
    <row r="15437" spans="1:6" x14ac:dyDescent="0.25">
      <c r="A15437" s="1" t="s">
        <v>940</v>
      </c>
      <c r="B15437" s="1" t="s">
        <v>939</v>
      </c>
      <c r="C15437" s="1" t="s">
        <v>52</v>
      </c>
      <c r="D15437" s="3">
        <f t="shared" si="2539"/>
        <v>8216</v>
      </c>
      <c r="E15437" s="2">
        <f t="shared" si="2540"/>
        <v>43101</v>
      </c>
      <c r="F15437" s="2">
        <f t="shared" si="2541"/>
        <v>43830</v>
      </c>
    </row>
    <row r="15438" spans="1:6" x14ac:dyDescent="0.25">
      <c r="A15438" s="1" t="s">
        <v>1117</v>
      </c>
      <c r="B15438" s="1" t="s">
        <v>1594</v>
      </c>
      <c r="C15438" s="1" t="s">
        <v>146</v>
      </c>
      <c r="D15438" s="3">
        <f>VALUE("8785")</f>
        <v>8785</v>
      </c>
      <c r="E15438" s="2">
        <f>DATEVALUE("1-6-2020")</f>
        <v>43983</v>
      </c>
      <c r="F15438" s="2">
        <f>DATEVALUE("31-8-2021")</f>
        <v>44439</v>
      </c>
    </row>
    <row r="15439" spans="1:6" x14ac:dyDescent="0.25">
      <c r="A15439" s="1" t="s">
        <v>1117</v>
      </c>
      <c r="B15439" s="1" t="s">
        <v>1594</v>
      </c>
      <c r="C15439" s="1" t="s">
        <v>400</v>
      </c>
      <c r="D15439" s="3">
        <f>VALUE("8785")</f>
        <v>8785</v>
      </c>
      <c r="E15439" s="2">
        <f>DATEVALUE("1-6-2020")</f>
        <v>43983</v>
      </c>
      <c r="F15439" s="2">
        <f>DATEVALUE("31-8-2021")</f>
        <v>44439</v>
      </c>
    </row>
    <row r="15440" spans="1:6" x14ac:dyDescent="0.25">
      <c r="A15440" s="1" t="s">
        <v>1117</v>
      </c>
      <c r="B15440" s="1" t="s">
        <v>1532</v>
      </c>
      <c r="C15440" s="1" t="s">
        <v>1224</v>
      </c>
      <c r="D15440" s="3">
        <f>VALUE("8722")</f>
        <v>8722</v>
      </c>
      <c r="E15440" s="2">
        <f>DATEVALUE("1-3-2020")</f>
        <v>43891</v>
      </c>
      <c r="F15440" s="2">
        <f>DATEVALUE("28-2-2021")</f>
        <v>44255</v>
      </c>
    </row>
    <row r="15441" spans="1:6" x14ac:dyDescent="0.25">
      <c r="A15441" s="1" t="s">
        <v>1117</v>
      </c>
      <c r="B15441" s="1" t="s">
        <v>1532</v>
      </c>
      <c r="C15441" s="1" t="s">
        <v>817</v>
      </c>
      <c r="D15441" s="3">
        <f>VALUE("8722")</f>
        <v>8722</v>
      </c>
      <c r="E15441" s="2">
        <f>DATEVALUE("1-3-2020")</f>
        <v>43891</v>
      </c>
      <c r="F15441" s="2">
        <f>DATEVALUE("28-2-2021")</f>
        <v>44255</v>
      </c>
    </row>
    <row r="15442" spans="1:6" x14ac:dyDescent="0.25">
      <c r="A15442" s="1" t="s">
        <v>1117</v>
      </c>
      <c r="B15442" s="1" t="s">
        <v>1532</v>
      </c>
      <c r="C15442" s="1" t="s">
        <v>821</v>
      </c>
      <c r="D15442" s="3">
        <f>VALUE("8722")</f>
        <v>8722</v>
      </c>
      <c r="E15442" s="2">
        <f>DATEVALUE("1-3-2020")</f>
        <v>43891</v>
      </c>
      <c r="F15442" s="2">
        <f>DATEVALUE("28-2-2021")</f>
        <v>44255</v>
      </c>
    </row>
    <row r="15443" spans="1:6" x14ac:dyDescent="0.25">
      <c r="A15443" s="1" t="s">
        <v>1117</v>
      </c>
      <c r="B15443" s="1" t="s">
        <v>1532</v>
      </c>
      <c r="C15443" s="1" t="s">
        <v>829</v>
      </c>
      <c r="D15443" s="3">
        <f>VALUE("8722")</f>
        <v>8722</v>
      </c>
      <c r="E15443" s="2">
        <f>DATEVALUE("1-3-2020")</f>
        <v>43891</v>
      </c>
      <c r="F15443" s="2">
        <f>DATEVALUE("28-2-2021")</f>
        <v>44255</v>
      </c>
    </row>
    <row r="15444" spans="1:6" x14ac:dyDescent="0.25">
      <c r="A15444" s="1" t="s">
        <v>1117</v>
      </c>
      <c r="B15444" s="1" t="s">
        <v>1532</v>
      </c>
      <c r="C15444" s="1" t="s">
        <v>830</v>
      </c>
      <c r="D15444" s="3">
        <f>VALUE("8722")</f>
        <v>8722</v>
      </c>
      <c r="E15444" s="2">
        <f>DATEVALUE("1-3-2020")</f>
        <v>43891</v>
      </c>
      <c r="F15444" s="2">
        <f>DATEVALUE("28-2-2021")</f>
        <v>44255</v>
      </c>
    </row>
    <row r="15445" spans="1:6" x14ac:dyDescent="0.25">
      <c r="A15445" s="1" t="s">
        <v>1117</v>
      </c>
      <c r="B15445" s="1" t="s">
        <v>1360</v>
      </c>
      <c r="C15445" s="1" t="s">
        <v>17</v>
      </c>
      <c r="D15445" s="3">
        <f t="shared" ref="D15445:D15450" si="2542">VALUE("8590")</f>
        <v>8590</v>
      </c>
      <c r="E15445" s="2">
        <f t="shared" ref="E15445:E15450" si="2543">DATEVALUE("1-2-2020")</f>
        <v>43862</v>
      </c>
      <c r="F15445" s="2">
        <f t="shared" ref="F15445:F15450" si="2544">DATEVALUE("30-9-2025")</f>
        <v>45930</v>
      </c>
    </row>
    <row r="15446" spans="1:6" x14ac:dyDescent="0.25">
      <c r="A15446" s="1" t="s">
        <v>1117</v>
      </c>
      <c r="B15446" s="1" t="s">
        <v>1360</v>
      </c>
      <c r="C15446" s="1" t="s">
        <v>499</v>
      </c>
      <c r="D15446" s="3">
        <f t="shared" si="2542"/>
        <v>8590</v>
      </c>
      <c r="E15446" s="2">
        <f t="shared" si="2543"/>
        <v>43862</v>
      </c>
      <c r="F15446" s="2">
        <f t="shared" si="2544"/>
        <v>45930</v>
      </c>
    </row>
    <row r="15447" spans="1:6" x14ac:dyDescent="0.25">
      <c r="A15447" s="1" t="s">
        <v>1117</v>
      </c>
      <c r="B15447" s="1" t="s">
        <v>1360</v>
      </c>
      <c r="C15447" s="1" t="s">
        <v>501</v>
      </c>
      <c r="D15447" s="3">
        <f t="shared" si="2542"/>
        <v>8590</v>
      </c>
      <c r="E15447" s="2">
        <f t="shared" si="2543"/>
        <v>43862</v>
      </c>
      <c r="F15447" s="2">
        <f t="shared" si="2544"/>
        <v>45930</v>
      </c>
    </row>
    <row r="15448" spans="1:6" x14ac:dyDescent="0.25">
      <c r="A15448" s="1" t="s">
        <v>1117</v>
      </c>
      <c r="B15448" s="1" t="s">
        <v>1360</v>
      </c>
      <c r="C15448" s="1" t="s">
        <v>22</v>
      </c>
      <c r="D15448" s="3">
        <f t="shared" si="2542"/>
        <v>8590</v>
      </c>
      <c r="E15448" s="2">
        <f t="shared" si="2543"/>
        <v>43862</v>
      </c>
      <c r="F15448" s="2">
        <f t="shared" si="2544"/>
        <v>45930</v>
      </c>
    </row>
    <row r="15449" spans="1:6" x14ac:dyDescent="0.25">
      <c r="A15449" s="1" t="s">
        <v>1117</v>
      </c>
      <c r="B15449" s="1" t="s">
        <v>1360</v>
      </c>
      <c r="C15449" s="1" t="s">
        <v>92</v>
      </c>
      <c r="D15449" s="3">
        <f t="shared" si="2542"/>
        <v>8590</v>
      </c>
      <c r="E15449" s="2">
        <f t="shared" si="2543"/>
        <v>43862</v>
      </c>
      <c r="F15449" s="2">
        <f t="shared" si="2544"/>
        <v>45930</v>
      </c>
    </row>
    <row r="15450" spans="1:6" x14ac:dyDescent="0.25">
      <c r="A15450" s="1" t="s">
        <v>1117</v>
      </c>
      <c r="B15450" s="1" t="s">
        <v>1360</v>
      </c>
      <c r="C15450" s="1" t="s">
        <v>170</v>
      </c>
      <c r="D15450" s="3">
        <f t="shared" si="2542"/>
        <v>8590</v>
      </c>
      <c r="E15450" s="2">
        <f t="shared" si="2543"/>
        <v>43862</v>
      </c>
      <c r="F15450" s="2">
        <f t="shared" si="2544"/>
        <v>45930</v>
      </c>
    </row>
    <row r="15451" spans="1:6" x14ac:dyDescent="0.25">
      <c r="A15451" s="1" t="s">
        <v>1117</v>
      </c>
      <c r="B15451" s="1" t="s">
        <v>1126</v>
      </c>
      <c r="C15451" s="1" t="s">
        <v>22</v>
      </c>
      <c r="D15451" s="3">
        <f>VALUE("8393")</f>
        <v>8393</v>
      </c>
      <c r="E15451" s="2">
        <f>DATEVALUE("1-12-2018")</f>
        <v>43435</v>
      </c>
      <c r="F15451" s="2">
        <f>DATEVALUE("31-12-2020")</f>
        <v>44196</v>
      </c>
    </row>
    <row r="15452" spans="1:6" x14ac:dyDescent="0.25">
      <c r="A15452" s="1" t="s">
        <v>1117</v>
      </c>
      <c r="B15452" s="1" t="s">
        <v>1126</v>
      </c>
      <c r="C15452" s="1" t="s">
        <v>146</v>
      </c>
      <c r="D15452" s="3">
        <f>VALUE("8393")</f>
        <v>8393</v>
      </c>
      <c r="E15452" s="2">
        <f>DATEVALUE("1-12-2018")</f>
        <v>43435</v>
      </c>
      <c r="F15452" s="2">
        <f>DATEVALUE("31-12-2020")</f>
        <v>44196</v>
      </c>
    </row>
    <row r="15453" spans="1:6" x14ac:dyDescent="0.25">
      <c r="A15453" s="1" t="s">
        <v>1117</v>
      </c>
      <c r="B15453" s="1" t="s">
        <v>1126</v>
      </c>
      <c r="C15453" s="1" t="s">
        <v>67</v>
      </c>
      <c r="D15453" s="3">
        <f>VALUE("8393")</f>
        <v>8393</v>
      </c>
      <c r="E15453" s="2">
        <f>DATEVALUE("1-12-2018")</f>
        <v>43435</v>
      </c>
      <c r="F15453" s="2">
        <f>DATEVALUE("31-12-2020")</f>
        <v>44196</v>
      </c>
    </row>
    <row r="15454" spans="1:6" x14ac:dyDescent="0.25">
      <c r="A15454" s="1" t="s">
        <v>1117</v>
      </c>
      <c r="B15454" s="1" t="s">
        <v>1126</v>
      </c>
      <c r="C15454" s="1" t="s">
        <v>160</v>
      </c>
      <c r="D15454" s="3">
        <f>VALUE("8393")</f>
        <v>8393</v>
      </c>
      <c r="E15454" s="2">
        <f>DATEVALUE("1-12-2018")</f>
        <v>43435</v>
      </c>
      <c r="F15454" s="2">
        <f>DATEVALUE("31-12-2020")</f>
        <v>44196</v>
      </c>
    </row>
    <row r="15455" spans="1:6" x14ac:dyDescent="0.25">
      <c r="A15455" s="1" t="s">
        <v>1117</v>
      </c>
      <c r="B15455" s="1" t="s">
        <v>1126</v>
      </c>
      <c r="C15455" s="1" t="s">
        <v>170</v>
      </c>
      <c r="D15455" s="3">
        <f>VALUE("8393")</f>
        <v>8393</v>
      </c>
      <c r="E15455" s="2">
        <f>DATEVALUE("1-12-2018")</f>
        <v>43435</v>
      </c>
      <c r="F15455" s="2">
        <f>DATEVALUE("31-12-2020")</f>
        <v>44196</v>
      </c>
    </row>
    <row r="15456" spans="1:6" x14ac:dyDescent="0.25">
      <c r="A15456" s="1" t="s">
        <v>1117</v>
      </c>
      <c r="B15456" s="1" t="s">
        <v>1116</v>
      </c>
      <c r="C15456" s="1" t="s">
        <v>506</v>
      </c>
      <c r="D15456" s="3">
        <f>VALUE("8384")</f>
        <v>8384</v>
      </c>
      <c r="E15456" s="2">
        <f>DATEVALUE("1-11-2018")</f>
        <v>43405</v>
      </c>
      <c r="F15456" s="2">
        <f>DATEVALUE("31-10-2021")</f>
        <v>44500</v>
      </c>
    </row>
    <row r="15457" spans="1:6" x14ac:dyDescent="0.25">
      <c r="A15457" s="1" t="s">
        <v>1117</v>
      </c>
      <c r="B15457" s="1" t="s">
        <v>1116</v>
      </c>
      <c r="C15457" s="1" t="s">
        <v>17</v>
      </c>
      <c r="D15457" s="3">
        <f>VALUE("8384")</f>
        <v>8384</v>
      </c>
      <c r="E15457" s="2">
        <f>DATEVALUE("1-11-2018")</f>
        <v>43405</v>
      </c>
      <c r="F15457" s="2">
        <f>DATEVALUE("31-10-2021")</f>
        <v>44500</v>
      </c>
    </row>
    <row r="15458" spans="1:6" x14ac:dyDescent="0.25">
      <c r="A15458" s="1" t="s">
        <v>1117</v>
      </c>
      <c r="B15458" s="1" t="s">
        <v>1116</v>
      </c>
      <c r="C15458" s="1" t="s">
        <v>92</v>
      </c>
      <c r="D15458" s="3">
        <f>VALUE("8384")</f>
        <v>8384</v>
      </c>
      <c r="E15458" s="2">
        <f>DATEVALUE("1-11-2018")</f>
        <v>43405</v>
      </c>
      <c r="F15458" s="2">
        <f>DATEVALUE("31-10-2021")</f>
        <v>44500</v>
      </c>
    </row>
    <row r="15459" spans="1:6" x14ac:dyDescent="0.25">
      <c r="A15459" s="1" t="s">
        <v>1117</v>
      </c>
      <c r="B15459" s="1" t="s">
        <v>1116</v>
      </c>
      <c r="C15459" s="1" t="s">
        <v>1118</v>
      </c>
      <c r="D15459" s="3">
        <f>VALUE("8384")</f>
        <v>8384</v>
      </c>
      <c r="E15459" s="2">
        <f>DATEVALUE("1-11-2018")</f>
        <v>43405</v>
      </c>
      <c r="F15459" s="2">
        <f>DATEVALUE("31-10-2021")</f>
        <v>44500</v>
      </c>
    </row>
    <row r="15460" spans="1:6" x14ac:dyDescent="0.25">
      <c r="A15460" s="1" t="s">
        <v>1872</v>
      </c>
      <c r="B15460" s="1" t="s">
        <v>1871</v>
      </c>
      <c r="C15460" s="1" t="s">
        <v>172</v>
      </c>
      <c r="D15460" s="3">
        <f>VALUE("7094")</f>
        <v>7094</v>
      </c>
      <c r="E15460" s="2">
        <f>DATEVALUE("1-9-2010")</f>
        <v>40422</v>
      </c>
      <c r="F15460" s="2">
        <f>DATEVALUE("31-3-2013")</f>
        <v>41364</v>
      </c>
    </row>
    <row r="15461" spans="1:6" x14ac:dyDescent="0.25">
      <c r="A15461" s="1" t="s">
        <v>1872</v>
      </c>
      <c r="B15461" s="1" t="s">
        <v>1871</v>
      </c>
      <c r="C15461" s="1" t="s">
        <v>102</v>
      </c>
      <c r="D15461" s="3">
        <f>VALUE("7094")</f>
        <v>7094</v>
      </c>
      <c r="E15461" s="2">
        <f>DATEVALUE("1-9-2010")</f>
        <v>40422</v>
      </c>
      <c r="F15461" s="2">
        <f>DATEVALUE("31-3-2013")</f>
        <v>41364</v>
      </c>
    </row>
    <row r="15462" spans="1:6" x14ac:dyDescent="0.25">
      <c r="A15462" s="1" t="s">
        <v>748</v>
      </c>
      <c r="B15462" s="1" t="s">
        <v>930</v>
      </c>
      <c r="C15462" s="1" t="s">
        <v>85</v>
      </c>
      <c r="D15462" s="3">
        <f t="shared" ref="D15462:D15471" si="2545">VALUE("8194")</f>
        <v>8194</v>
      </c>
      <c r="E15462" s="2">
        <f t="shared" ref="E15462:E15471" si="2546">DATEVALUE("1-1-2018")</f>
        <v>43101</v>
      </c>
      <c r="F15462" s="2">
        <f t="shared" ref="F15462:F15471" si="2547">DATEVALUE("30-6-2021")</f>
        <v>44377</v>
      </c>
    </row>
    <row r="15463" spans="1:6" x14ac:dyDescent="0.25">
      <c r="A15463" s="1" t="s">
        <v>748</v>
      </c>
      <c r="B15463" s="1" t="s">
        <v>930</v>
      </c>
      <c r="C15463" s="1" t="s">
        <v>84</v>
      </c>
      <c r="D15463" s="3">
        <f t="shared" si="2545"/>
        <v>8194</v>
      </c>
      <c r="E15463" s="2">
        <f t="shared" si="2546"/>
        <v>43101</v>
      </c>
      <c r="F15463" s="2">
        <f t="shared" si="2547"/>
        <v>44377</v>
      </c>
    </row>
    <row r="15464" spans="1:6" x14ac:dyDescent="0.25">
      <c r="A15464" s="1" t="s">
        <v>748</v>
      </c>
      <c r="B15464" s="1" t="s">
        <v>930</v>
      </c>
      <c r="C15464" s="1" t="s">
        <v>66</v>
      </c>
      <c r="D15464" s="3">
        <f t="shared" si="2545"/>
        <v>8194</v>
      </c>
      <c r="E15464" s="2">
        <f t="shared" si="2546"/>
        <v>43101</v>
      </c>
      <c r="F15464" s="2">
        <f t="shared" si="2547"/>
        <v>44377</v>
      </c>
    </row>
    <row r="15465" spans="1:6" x14ac:dyDescent="0.25">
      <c r="A15465" s="1" t="s">
        <v>748</v>
      </c>
      <c r="B15465" s="1" t="s">
        <v>930</v>
      </c>
      <c r="C15465" s="1" t="s">
        <v>89</v>
      </c>
      <c r="D15465" s="3">
        <f t="shared" si="2545"/>
        <v>8194</v>
      </c>
      <c r="E15465" s="2">
        <f t="shared" si="2546"/>
        <v>43101</v>
      </c>
      <c r="F15465" s="2">
        <f t="shared" si="2547"/>
        <v>44377</v>
      </c>
    </row>
    <row r="15466" spans="1:6" x14ac:dyDescent="0.25">
      <c r="A15466" s="1" t="s">
        <v>748</v>
      </c>
      <c r="B15466" s="1" t="s">
        <v>930</v>
      </c>
      <c r="C15466" s="1" t="s">
        <v>17</v>
      </c>
      <c r="D15466" s="3">
        <f t="shared" si="2545"/>
        <v>8194</v>
      </c>
      <c r="E15466" s="2">
        <f t="shared" si="2546"/>
        <v>43101</v>
      </c>
      <c r="F15466" s="2">
        <f t="shared" si="2547"/>
        <v>44377</v>
      </c>
    </row>
    <row r="15467" spans="1:6" x14ac:dyDescent="0.25">
      <c r="A15467" s="1" t="s">
        <v>748</v>
      </c>
      <c r="B15467" s="1" t="s">
        <v>930</v>
      </c>
      <c r="C15467" s="1" t="s">
        <v>22</v>
      </c>
      <c r="D15467" s="3">
        <f t="shared" si="2545"/>
        <v>8194</v>
      </c>
      <c r="E15467" s="2">
        <f t="shared" si="2546"/>
        <v>43101</v>
      </c>
      <c r="F15467" s="2">
        <f t="shared" si="2547"/>
        <v>44377</v>
      </c>
    </row>
    <row r="15468" spans="1:6" x14ac:dyDescent="0.25">
      <c r="A15468" s="1" t="s">
        <v>748</v>
      </c>
      <c r="B15468" s="1" t="s">
        <v>930</v>
      </c>
      <c r="C15468" s="1" t="s">
        <v>931</v>
      </c>
      <c r="D15468" s="3">
        <f t="shared" si="2545"/>
        <v>8194</v>
      </c>
      <c r="E15468" s="2">
        <f t="shared" si="2546"/>
        <v>43101</v>
      </c>
      <c r="F15468" s="2">
        <f t="shared" si="2547"/>
        <v>44377</v>
      </c>
    </row>
    <row r="15469" spans="1:6" x14ac:dyDescent="0.25">
      <c r="A15469" s="1" t="s">
        <v>748</v>
      </c>
      <c r="B15469" s="1" t="s">
        <v>930</v>
      </c>
      <c r="C15469" s="1" t="s">
        <v>571</v>
      </c>
      <c r="D15469" s="3">
        <f t="shared" si="2545"/>
        <v>8194</v>
      </c>
      <c r="E15469" s="2">
        <f t="shared" si="2546"/>
        <v>43101</v>
      </c>
      <c r="F15469" s="2">
        <f t="shared" si="2547"/>
        <v>44377</v>
      </c>
    </row>
    <row r="15470" spans="1:6" x14ac:dyDescent="0.25">
      <c r="A15470" s="1" t="s">
        <v>748</v>
      </c>
      <c r="B15470" s="1" t="s">
        <v>930</v>
      </c>
      <c r="C15470" s="1" t="s">
        <v>572</v>
      </c>
      <c r="D15470" s="3">
        <f t="shared" si="2545"/>
        <v>8194</v>
      </c>
      <c r="E15470" s="2">
        <f t="shared" si="2546"/>
        <v>43101</v>
      </c>
      <c r="F15470" s="2">
        <f t="shared" si="2547"/>
        <v>44377</v>
      </c>
    </row>
    <row r="15471" spans="1:6" x14ac:dyDescent="0.25">
      <c r="A15471" s="1" t="s">
        <v>748</v>
      </c>
      <c r="B15471" s="1" t="s">
        <v>930</v>
      </c>
      <c r="C15471" s="1" t="s">
        <v>573</v>
      </c>
      <c r="D15471" s="3">
        <f t="shared" si="2545"/>
        <v>8194</v>
      </c>
      <c r="E15471" s="2">
        <f t="shared" si="2546"/>
        <v>43101</v>
      </c>
      <c r="F15471" s="2">
        <f t="shared" si="2547"/>
        <v>44377</v>
      </c>
    </row>
    <row r="15472" spans="1:6" x14ac:dyDescent="0.25">
      <c r="A15472" s="1" t="s">
        <v>748</v>
      </c>
      <c r="B15472" s="1" t="s">
        <v>747</v>
      </c>
      <c r="C15472" s="1" t="s">
        <v>85</v>
      </c>
      <c r="D15472" s="3">
        <f t="shared" ref="D15472:D15493" si="2548">VALUE("7929")</f>
        <v>7929</v>
      </c>
      <c r="E15472" s="2">
        <f t="shared" ref="E15472:E15493" si="2549">DATEVALUE("1-3-2017")</f>
        <v>42795</v>
      </c>
      <c r="F15472" s="2">
        <f t="shared" ref="F15472:F15493" si="2550">DATEVALUE("31-12-2021")</f>
        <v>44561</v>
      </c>
    </row>
    <row r="15473" spans="1:6" x14ac:dyDescent="0.25">
      <c r="A15473" s="1" t="s">
        <v>748</v>
      </c>
      <c r="B15473" s="1" t="s">
        <v>747</v>
      </c>
      <c r="C15473" s="1" t="s">
        <v>84</v>
      </c>
      <c r="D15473" s="3">
        <f t="shared" si="2548"/>
        <v>7929</v>
      </c>
      <c r="E15473" s="2">
        <f t="shared" si="2549"/>
        <v>42795</v>
      </c>
      <c r="F15473" s="2">
        <f t="shared" si="2550"/>
        <v>44561</v>
      </c>
    </row>
    <row r="15474" spans="1:6" x14ac:dyDescent="0.25">
      <c r="A15474" s="1" t="s">
        <v>748</v>
      </c>
      <c r="B15474" s="1" t="s">
        <v>747</v>
      </c>
      <c r="C15474" s="1" t="s">
        <v>14</v>
      </c>
      <c r="D15474" s="3">
        <f t="shared" si="2548"/>
        <v>7929</v>
      </c>
      <c r="E15474" s="2">
        <f t="shared" si="2549"/>
        <v>42795</v>
      </c>
      <c r="F15474" s="2">
        <f t="shared" si="2550"/>
        <v>44561</v>
      </c>
    </row>
    <row r="15475" spans="1:6" x14ac:dyDescent="0.25">
      <c r="A15475" s="1" t="s">
        <v>748</v>
      </c>
      <c r="B15475" s="1" t="s">
        <v>747</v>
      </c>
      <c r="C15475" s="1" t="s">
        <v>15</v>
      </c>
      <c r="D15475" s="3">
        <f t="shared" si="2548"/>
        <v>7929</v>
      </c>
      <c r="E15475" s="2">
        <f t="shared" si="2549"/>
        <v>42795</v>
      </c>
      <c r="F15475" s="2">
        <f t="shared" si="2550"/>
        <v>44561</v>
      </c>
    </row>
    <row r="15476" spans="1:6" x14ac:dyDescent="0.25">
      <c r="A15476" s="1" t="s">
        <v>748</v>
      </c>
      <c r="B15476" s="1" t="s">
        <v>747</v>
      </c>
      <c r="C15476" s="1" t="s">
        <v>89</v>
      </c>
      <c r="D15476" s="3">
        <f t="shared" si="2548"/>
        <v>7929</v>
      </c>
      <c r="E15476" s="2">
        <f t="shared" si="2549"/>
        <v>42795</v>
      </c>
      <c r="F15476" s="2">
        <f t="shared" si="2550"/>
        <v>44561</v>
      </c>
    </row>
    <row r="15477" spans="1:6" x14ac:dyDescent="0.25">
      <c r="A15477" s="1" t="s">
        <v>748</v>
      </c>
      <c r="B15477" s="1" t="s">
        <v>747</v>
      </c>
      <c r="C15477" s="1" t="s">
        <v>17</v>
      </c>
      <c r="D15477" s="3">
        <f t="shared" si="2548"/>
        <v>7929</v>
      </c>
      <c r="E15477" s="2">
        <f t="shared" si="2549"/>
        <v>42795</v>
      </c>
      <c r="F15477" s="2">
        <f t="shared" si="2550"/>
        <v>44561</v>
      </c>
    </row>
    <row r="15478" spans="1:6" x14ac:dyDescent="0.25">
      <c r="A15478" s="1" t="s">
        <v>748</v>
      </c>
      <c r="B15478" s="1" t="s">
        <v>747</v>
      </c>
      <c r="C15478" s="1" t="s">
        <v>127</v>
      </c>
      <c r="D15478" s="3">
        <f t="shared" si="2548"/>
        <v>7929</v>
      </c>
      <c r="E15478" s="2">
        <f t="shared" si="2549"/>
        <v>42795</v>
      </c>
      <c r="F15478" s="2">
        <f t="shared" si="2550"/>
        <v>44561</v>
      </c>
    </row>
    <row r="15479" spans="1:6" x14ac:dyDescent="0.25">
      <c r="A15479" s="1" t="s">
        <v>748</v>
      </c>
      <c r="B15479" s="1" t="s">
        <v>747</v>
      </c>
      <c r="C15479" s="1" t="s">
        <v>167</v>
      </c>
      <c r="D15479" s="3">
        <f t="shared" si="2548"/>
        <v>7929</v>
      </c>
      <c r="E15479" s="2">
        <f t="shared" si="2549"/>
        <v>42795</v>
      </c>
      <c r="F15479" s="2">
        <f t="shared" si="2550"/>
        <v>44561</v>
      </c>
    </row>
    <row r="15480" spans="1:6" x14ac:dyDescent="0.25">
      <c r="A15480" s="1" t="s">
        <v>748</v>
      </c>
      <c r="B15480" s="1" t="s">
        <v>747</v>
      </c>
      <c r="C15480" s="1" t="s">
        <v>168</v>
      </c>
      <c r="D15480" s="3">
        <f t="shared" si="2548"/>
        <v>7929</v>
      </c>
      <c r="E15480" s="2">
        <f t="shared" si="2549"/>
        <v>42795</v>
      </c>
      <c r="F15480" s="2">
        <f t="shared" si="2550"/>
        <v>44561</v>
      </c>
    </row>
    <row r="15481" spans="1:6" x14ac:dyDescent="0.25">
      <c r="A15481" s="1" t="s">
        <v>748</v>
      </c>
      <c r="B15481" s="1" t="s">
        <v>747</v>
      </c>
      <c r="C15481" s="1" t="s">
        <v>258</v>
      </c>
      <c r="D15481" s="3">
        <f t="shared" si="2548"/>
        <v>7929</v>
      </c>
      <c r="E15481" s="2">
        <f t="shared" si="2549"/>
        <v>42795</v>
      </c>
      <c r="F15481" s="2">
        <f t="shared" si="2550"/>
        <v>44561</v>
      </c>
    </row>
    <row r="15482" spans="1:6" x14ac:dyDescent="0.25">
      <c r="A15482" s="1" t="s">
        <v>748</v>
      </c>
      <c r="B15482" s="1" t="s">
        <v>747</v>
      </c>
      <c r="C15482" s="1" t="s">
        <v>146</v>
      </c>
      <c r="D15482" s="3">
        <f t="shared" si="2548"/>
        <v>7929</v>
      </c>
      <c r="E15482" s="2">
        <f t="shared" si="2549"/>
        <v>42795</v>
      </c>
      <c r="F15482" s="2">
        <f t="shared" si="2550"/>
        <v>44561</v>
      </c>
    </row>
    <row r="15483" spans="1:6" x14ac:dyDescent="0.25">
      <c r="A15483" s="1" t="s">
        <v>748</v>
      </c>
      <c r="B15483" s="1" t="s">
        <v>747</v>
      </c>
      <c r="C15483" s="1" t="s">
        <v>148</v>
      </c>
      <c r="D15483" s="3">
        <f t="shared" si="2548"/>
        <v>7929</v>
      </c>
      <c r="E15483" s="2">
        <f t="shared" si="2549"/>
        <v>42795</v>
      </c>
      <c r="F15483" s="2">
        <f t="shared" si="2550"/>
        <v>44561</v>
      </c>
    </row>
    <row r="15484" spans="1:6" x14ac:dyDescent="0.25">
      <c r="A15484" s="1" t="s">
        <v>748</v>
      </c>
      <c r="B15484" s="1" t="s">
        <v>747</v>
      </c>
      <c r="C15484" s="1" t="s">
        <v>128</v>
      </c>
      <c r="D15484" s="3">
        <f t="shared" si="2548"/>
        <v>7929</v>
      </c>
      <c r="E15484" s="2">
        <f t="shared" si="2549"/>
        <v>42795</v>
      </c>
      <c r="F15484" s="2">
        <f t="shared" si="2550"/>
        <v>44561</v>
      </c>
    </row>
    <row r="15485" spans="1:6" x14ac:dyDescent="0.25">
      <c r="A15485" s="1" t="s">
        <v>748</v>
      </c>
      <c r="B15485" s="1" t="s">
        <v>747</v>
      </c>
      <c r="C15485" s="1" t="s">
        <v>93</v>
      </c>
      <c r="D15485" s="3">
        <f t="shared" si="2548"/>
        <v>7929</v>
      </c>
      <c r="E15485" s="2">
        <f t="shared" si="2549"/>
        <v>42795</v>
      </c>
      <c r="F15485" s="2">
        <f t="shared" si="2550"/>
        <v>44561</v>
      </c>
    </row>
    <row r="15486" spans="1:6" x14ac:dyDescent="0.25">
      <c r="A15486" s="1" t="s">
        <v>748</v>
      </c>
      <c r="B15486" s="1" t="s">
        <v>747</v>
      </c>
      <c r="C15486" s="1" t="s">
        <v>94</v>
      </c>
      <c r="D15486" s="3">
        <f t="shared" si="2548"/>
        <v>7929</v>
      </c>
      <c r="E15486" s="2">
        <f t="shared" si="2549"/>
        <v>42795</v>
      </c>
      <c r="F15486" s="2">
        <f t="shared" si="2550"/>
        <v>44561</v>
      </c>
    </row>
    <row r="15487" spans="1:6" x14ac:dyDescent="0.25">
      <c r="A15487" s="1" t="s">
        <v>748</v>
      </c>
      <c r="B15487" s="1" t="s">
        <v>747</v>
      </c>
      <c r="C15487" s="1" t="s">
        <v>198</v>
      </c>
      <c r="D15487" s="3">
        <f t="shared" si="2548"/>
        <v>7929</v>
      </c>
      <c r="E15487" s="2">
        <f t="shared" si="2549"/>
        <v>42795</v>
      </c>
      <c r="F15487" s="2">
        <f t="shared" si="2550"/>
        <v>44561</v>
      </c>
    </row>
    <row r="15488" spans="1:6" x14ac:dyDescent="0.25">
      <c r="A15488" s="1" t="s">
        <v>748</v>
      </c>
      <c r="B15488" s="1" t="s">
        <v>747</v>
      </c>
      <c r="C15488" s="1" t="s">
        <v>533</v>
      </c>
      <c r="D15488" s="3">
        <f t="shared" si="2548"/>
        <v>7929</v>
      </c>
      <c r="E15488" s="2">
        <f t="shared" si="2549"/>
        <v>42795</v>
      </c>
      <c r="F15488" s="2">
        <f t="shared" si="2550"/>
        <v>44561</v>
      </c>
    </row>
    <row r="15489" spans="1:6" x14ac:dyDescent="0.25">
      <c r="A15489" s="1" t="s">
        <v>748</v>
      </c>
      <c r="B15489" s="1" t="s">
        <v>747</v>
      </c>
      <c r="C15489" s="1" t="s">
        <v>55</v>
      </c>
      <c r="D15489" s="3">
        <f t="shared" si="2548"/>
        <v>7929</v>
      </c>
      <c r="E15489" s="2">
        <f t="shared" si="2549"/>
        <v>42795</v>
      </c>
      <c r="F15489" s="2">
        <f t="shared" si="2550"/>
        <v>44561</v>
      </c>
    </row>
    <row r="15490" spans="1:6" x14ac:dyDescent="0.25">
      <c r="A15490" s="1" t="s">
        <v>748</v>
      </c>
      <c r="B15490" s="1" t="s">
        <v>747</v>
      </c>
      <c r="C15490" s="1" t="s">
        <v>133</v>
      </c>
      <c r="D15490" s="3">
        <f t="shared" si="2548"/>
        <v>7929</v>
      </c>
      <c r="E15490" s="2">
        <f t="shared" si="2549"/>
        <v>42795</v>
      </c>
      <c r="F15490" s="2">
        <f t="shared" si="2550"/>
        <v>44561</v>
      </c>
    </row>
    <row r="15491" spans="1:6" x14ac:dyDescent="0.25">
      <c r="A15491" s="1" t="s">
        <v>748</v>
      </c>
      <c r="B15491" s="1" t="s">
        <v>747</v>
      </c>
      <c r="C15491" s="1" t="s">
        <v>134</v>
      </c>
      <c r="D15491" s="3">
        <f t="shared" si="2548"/>
        <v>7929</v>
      </c>
      <c r="E15491" s="2">
        <f t="shared" si="2549"/>
        <v>42795</v>
      </c>
      <c r="F15491" s="2">
        <f t="shared" si="2550"/>
        <v>44561</v>
      </c>
    </row>
    <row r="15492" spans="1:6" x14ac:dyDescent="0.25">
      <c r="A15492" s="1" t="s">
        <v>748</v>
      </c>
      <c r="B15492" s="1" t="s">
        <v>747</v>
      </c>
      <c r="C15492" s="1" t="s">
        <v>169</v>
      </c>
      <c r="D15492" s="3">
        <f t="shared" si="2548"/>
        <v>7929</v>
      </c>
      <c r="E15492" s="2">
        <f t="shared" si="2549"/>
        <v>42795</v>
      </c>
      <c r="F15492" s="2">
        <f t="shared" si="2550"/>
        <v>44561</v>
      </c>
    </row>
    <row r="15493" spans="1:6" x14ac:dyDescent="0.25">
      <c r="A15493" s="1" t="s">
        <v>748</v>
      </c>
      <c r="B15493" s="1" t="s">
        <v>747</v>
      </c>
      <c r="C15493" s="1" t="s">
        <v>170</v>
      </c>
      <c r="D15493" s="3">
        <f t="shared" si="2548"/>
        <v>7929</v>
      </c>
      <c r="E15493" s="2">
        <f t="shared" si="2549"/>
        <v>42795</v>
      </c>
      <c r="F15493" s="2">
        <f t="shared" si="2550"/>
        <v>44561</v>
      </c>
    </row>
    <row r="15494" spans="1:6" x14ac:dyDescent="0.25">
      <c r="A15494" s="1" t="s">
        <v>748</v>
      </c>
      <c r="B15494" s="1" t="s">
        <v>2266</v>
      </c>
      <c r="C15494" s="1" t="s">
        <v>17</v>
      </c>
      <c r="D15494" s="3">
        <f>VALUE("8024")</f>
        <v>8024</v>
      </c>
      <c r="E15494" s="2">
        <f>DATEVALUE("1-2-2017")</f>
        <v>42767</v>
      </c>
      <c r="F15494" s="2">
        <f>DATEVALUE("30-9-2019")</f>
        <v>43738</v>
      </c>
    </row>
    <row r="15495" spans="1:6" x14ac:dyDescent="0.25">
      <c r="A15495" s="1" t="s">
        <v>748</v>
      </c>
      <c r="B15495" s="1" t="s">
        <v>2266</v>
      </c>
      <c r="C15495" s="1" t="s">
        <v>73</v>
      </c>
      <c r="D15495" s="3">
        <f>VALUE("8024")</f>
        <v>8024</v>
      </c>
      <c r="E15495" s="2">
        <f>DATEVALUE("1-2-2017")</f>
        <v>42767</v>
      </c>
      <c r="F15495" s="2">
        <f>DATEVALUE("30-9-2019")</f>
        <v>43738</v>
      </c>
    </row>
    <row r="15496" spans="1:6" x14ac:dyDescent="0.25">
      <c r="A15496" s="1" t="s">
        <v>748</v>
      </c>
      <c r="B15496" s="1" t="s">
        <v>1751</v>
      </c>
      <c r="C15496" s="1" t="s">
        <v>407</v>
      </c>
      <c r="D15496" s="3">
        <f t="shared" ref="D15496:D15501" si="2551">VALUE("7875")</f>
        <v>7875</v>
      </c>
      <c r="E15496" s="2">
        <f t="shared" ref="E15496:E15501" si="2552">DATEVALUE("1-7-2016")</f>
        <v>42552</v>
      </c>
      <c r="F15496" s="2">
        <f t="shared" ref="F15496:F15501" si="2553">DATEVALUE("31-12-2017")</f>
        <v>43100</v>
      </c>
    </row>
    <row r="15497" spans="1:6" x14ac:dyDescent="0.25">
      <c r="A15497" s="1" t="s">
        <v>748</v>
      </c>
      <c r="B15497" s="1" t="s">
        <v>1751</v>
      </c>
      <c r="C15497" s="1" t="s">
        <v>408</v>
      </c>
      <c r="D15497" s="3">
        <f t="shared" si="2551"/>
        <v>7875</v>
      </c>
      <c r="E15497" s="2">
        <f t="shared" si="2552"/>
        <v>42552</v>
      </c>
      <c r="F15497" s="2">
        <f t="shared" si="2553"/>
        <v>43100</v>
      </c>
    </row>
    <row r="15498" spans="1:6" x14ac:dyDescent="0.25">
      <c r="A15498" s="1" t="s">
        <v>748</v>
      </c>
      <c r="B15498" s="1" t="s">
        <v>1751</v>
      </c>
      <c r="C15498" s="1" t="s">
        <v>17</v>
      </c>
      <c r="D15498" s="3">
        <f t="shared" si="2551"/>
        <v>7875</v>
      </c>
      <c r="E15498" s="2">
        <f t="shared" si="2552"/>
        <v>42552</v>
      </c>
      <c r="F15498" s="2">
        <f t="shared" si="2553"/>
        <v>43100</v>
      </c>
    </row>
    <row r="15499" spans="1:6" x14ac:dyDescent="0.25">
      <c r="A15499" s="1" t="s">
        <v>748</v>
      </c>
      <c r="B15499" s="1" t="s">
        <v>1751</v>
      </c>
      <c r="C15499" s="1" t="s">
        <v>22</v>
      </c>
      <c r="D15499" s="3">
        <f t="shared" si="2551"/>
        <v>7875</v>
      </c>
      <c r="E15499" s="2">
        <f t="shared" si="2552"/>
        <v>42552</v>
      </c>
      <c r="F15499" s="2">
        <f t="shared" si="2553"/>
        <v>43100</v>
      </c>
    </row>
    <row r="15500" spans="1:6" x14ac:dyDescent="0.25">
      <c r="A15500" s="1" t="s">
        <v>748</v>
      </c>
      <c r="B15500" s="1" t="s">
        <v>1751</v>
      </c>
      <c r="C15500" s="1" t="s">
        <v>421</v>
      </c>
      <c r="D15500" s="3">
        <f t="shared" si="2551"/>
        <v>7875</v>
      </c>
      <c r="E15500" s="2">
        <f t="shared" si="2552"/>
        <v>42552</v>
      </c>
      <c r="F15500" s="2">
        <f t="shared" si="2553"/>
        <v>43100</v>
      </c>
    </row>
    <row r="15501" spans="1:6" x14ac:dyDescent="0.25">
      <c r="A15501" s="1" t="s">
        <v>748</v>
      </c>
      <c r="B15501" s="1" t="s">
        <v>1751</v>
      </c>
      <c r="C15501" s="1" t="s">
        <v>73</v>
      </c>
      <c r="D15501" s="3">
        <f t="shared" si="2551"/>
        <v>7875</v>
      </c>
      <c r="E15501" s="2">
        <f t="shared" si="2552"/>
        <v>42552</v>
      </c>
      <c r="F15501" s="2">
        <f t="shared" si="2553"/>
        <v>43100</v>
      </c>
    </row>
    <row r="15502" spans="1:6" x14ac:dyDescent="0.25">
      <c r="A15502" s="1" t="s">
        <v>748</v>
      </c>
      <c r="B15502" s="1" t="s">
        <v>1969</v>
      </c>
      <c r="C15502" s="1" t="s">
        <v>80</v>
      </c>
      <c r="D15502" s="3">
        <f t="shared" ref="D15502:D15513" si="2554">VALUE("7736")</f>
        <v>7736</v>
      </c>
      <c r="E15502" s="2">
        <f t="shared" ref="E15502:E15513" si="2555">DATEVALUE("1-5-2015")</f>
        <v>42125</v>
      </c>
      <c r="F15502" s="2">
        <f t="shared" ref="F15502:F15513" si="2556">DATEVALUE("31-1-2018")</f>
        <v>43131</v>
      </c>
    </row>
    <row r="15503" spans="1:6" x14ac:dyDescent="0.25">
      <c r="A15503" s="1" t="s">
        <v>748</v>
      </c>
      <c r="B15503" s="1" t="s">
        <v>1969</v>
      </c>
      <c r="C15503" s="1" t="s">
        <v>60</v>
      </c>
      <c r="D15503" s="3">
        <f t="shared" si="2554"/>
        <v>7736</v>
      </c>
      <c r="E15503" s="2">
        <f t="shared" si="2555"/>
        <v>42125</v>
      </c>
      <c r="F15503" s="2">
        <f t="shared" si="2556"/>
        <v>43131</v>
      </c>
    </row>
    <row r="15504" spans="1:6" x14ac:dyDescent="0.25">
      <c r="A15504" s="1" t="s">
        <v>748</v>
      </c>
      <c r="B15504" s="1" t="s">
        <v>1969</v>
      </c>
      <c r="C15504" s="1" t="s">
        <v>46</v>
      </c>
      <c r="D15504" s="3">
        <f t="shared" si="2554"/>
        <v>7736</v>
      </c>
      <c r="E15504" s="2">
        <f t="shared" si="2555"/>
        <v>42125</v>
      </c>
      <c r="F15504" s="2">
        <f t="shared" si="2556"/>
        <v>43131</v>
      </c>
    </row>
    <row r="15505" spans="1:6" x14ac:dyDescent="0.25">
      <c r="A15505" s="1" t="s">
        <v>748</v>
      </c>
      <c r="B15505" s="1" t="s">
        <v>1969</v>
      </c>
      <c r="C15505" s="1" t="s">
        <v>67</v>
      </c>
      <c r="D15505" s="3">
        <f t="shared" si="2554"/>
        <v>7736</v>
      </c>
      <c r="E15505" s="2">
        <f t="shared" si="2555"/>
        <v>42125</v>
      </c>
      <c r="F15505" s="2">
        <f t="shared" si="2556"/>
        <v>43131</v>
      </c>
    </row>
    <row r="15506" spans="1:6" x14ac:dyDescent="0.25">
      <c r="A15506" s="1" t="s">
        <v>748</v>
      </c>
      <c r="B15506" s="1" t="s">
        <v>1969</v>
      </c>
      <c r="C15506" s="1" t="s">
        <v>149</v>
      </c>
      <c r="D15506" s="3">
        <f t="shared" si="2554"/>
        <v>7736</v>
      </c>
      <c r="E15506" s="2">
        <f t="shared" si="2555"/>
        <v>42125</v>
      </c>
      <c r="F15506" s="2">
        <f t="shared" si="2556"/>
        <v>43131</v>
      </c>
    </row>
    <row r="15507" spans="1:6" x14ac:dyDescent="0.25">
      <c r="A15507" s="1" t="s">
        <v>748</v>
      </c>
      <c r="B15507" s="1" t="s">
        <v>1969</v>
      </c>
      <c r="C15507" s="1" t="s">
        <v>150</v>
      </c>
      <c r="D15507" s="3">
        <f t="shared" si="2554"/>
        <v>7736</v>
      </c>
      <c r="E15507" s="2">
        <f t="shared" si="2555"/>
        <v>42125</v>
      </c>
      <c r="F15507" s="2">
        <f t="shared" si="2556"/>
        <v>43131</v>
      </c>
    </row>
    <row r="15508" spans="1:6" x14ac:dyDescent="0.25">
      <c r="A15508" s="1" t="s">
        <v>748</v>
      </c>
      <c r="B15508" s="1" t="s">
        <v>1969</v>
      </c>
      <c r="C15508" s="1" t="s">
        <v>207</v>
      </c>
      <c r="D15508" s="3">
        <f t="shared" si="2554"/>
        <v>7736</v>
      </c>
      <c r="E15508" s="2">
        <f t="shared" si="2555"/>
        <v>42125</v>
      </c>
      <c r="F15508" s="2">
        <f t="shared" si="2556"/>
        <v>43131</v>
      </c>
    </row>
    <row r="15509" spans="1:6" x14ac:dyDescent="0.25">
      <c r="A15509" s="1" t="s">
        <v>748</v>
      </c>
      <c r="B15509" s="1" t="s">
        <v>1969</v>
      </c>
      <c r="C15509" s="1" t="s">
        <v>73</v>
      </c>
      <c r="D15509" s="3">
        <f t="shared" si="2554"/>
        <v>7736</v>
      </c>
      <c r="E15509" s="2">
        <f t="shared" si="2555"/>
        <v>42125</v>
      </c>
      <c r="F15509" s="2">
        <f t="shared" si="2556"/>
        <v>43131</v>
      </c>
    </row>
    <row r="15510" spans="1:6" x14ac:dyDescent="0.25">
      <c r="A15510" s="1" t="s">
        <v>748</v>
      </c>
      <c r="B15510" s="1" t="s">
        <v>1969</v>
      </c>
      <c r="C15510" s="1" t="s">
        <v>297</v>
      </c>
      <c r="D15510" s="3">
        <f t="shared" si="2554"/>
        <v>7736</v>
      </c>
      <c r="E15510" s="2">
        <f t="shared" si="2555"/>
        <v>42125</v>
      </c>
      <c r="F15510" s="2">
        <f t="shared" si="2556"/>
        <v>43131</v>
      </c>
    </row>
    <row r="15511" spans="1:6" x14ac:dyDescent="0.25">
      <c r="A15511" s="1" t="s">
        <v>748</v>
      </c>
      <c r="B15511" s="1" t="s">
        <v>1969</v>
      </c>
      <c r="C15511" s="1" t="s">
        <v>837</v>
      </c>
      <c r="D15511" s="3">
        <f t="shared" si="2554"/>
        <v>7736</v>
      </c>
      <c r="E15511" s="2">
        <f t="shared" si="2555"/>
        <v>42125</v>
      </c>
      <c r="F15511" s="2">
        <f t="shared" si="2556"/>
        <v>43131</v>
      </c>
    </row>
    <row r="15512" spans="1:6" x14ac:dyDescent="0.25">
      <c r="A15512" s="1" t="s">
        <v>748</v>
      </c>
      <c r="B15512" s="1" t="s">
        <v>1969</v>
      </c>
      <c r="C15512" s="1" t="s">
        <v>160</v>
      </c>
      <c r="D15512" s="3">
        <f t="shared" si="2554"/>
        <v>7736</v>
      </c>
      <c r="E15512" s="2">
        <f t="shared" si="2555"/>
        <v>42125</v>
      </c>
      <c r="F15512" s="2">
        <f t="shared" si="2556"/>
        <v>43131</v>
      </c>
    </row>
    <row r="15513" spans="1:6" x14ac:dyDescent="0.25">
      <c r="A15513" s="1" t="s">
        <v>748</v>
      </c>
      <c r="B15513" s="1" t="s">
        <v>1969</v>
      </c>
      <c r="C15513" s="1" t="s">
        <v>116</v>
      </c>
      <c r="D15513" s="3">
        <f t="shared" si="2554"/>
        <v>7736</v>
      </c>
      <c r="E15513" s="2">
        <f t="shared" si="2555"/>
        <v>42125</v>
      </c>
      <c r="F15513" s="2">
        <f t="shared" si="2556"/>
        <v>43131</v>
      </c>
    </row>
    <row r="15514" spans="1:6" x14ac:dyDescent="0.25">
      <c r="A15514" s="1" t="s">
        <v>748</v>
      </c>
      <c r="B15514" s="1" t="s">
        <v>2166</v>
      </c>
      <c r="C15514" s="1" t="s">
        <v>85</v>
      </c>
      <c r="D15514" s="3">
        <f t="shared" ref="D15514:D15520" si="2557">VALUE("7594")</f>
        <v>7594</v>
      </c>
      <c r="E15514" s="2">
        <f t="shared" ref="E15514:E15520" si="2558">DATEVALUE("1-5-2014")</f>
        <v>41760</v>
      </c>
      <c r="F15514" s="2">
        <f t="shared" ref="F15514:F15520" si="2559">DATEVALUE("30-6-2018")</f>
        <v>43281</v>
      </c>
    </row>
    <row r="15515" spans="1:6" x14ac:dyDescent="0.25">
      <c r="A15515" s="1" t="s">
        <v>748</v>
      </c>
      <c r="B15515" s="1" t="s">
        <v>2166</v>
      </c>
      <c r="C15515" s="1" t="s">
        <v>66</v>
      </c>
      <c r="D15515" s="3">
        <f t="shared" si="2557"/>
        <v>7594</v>
      </c>
      <c r="E15515" s="2">
        <f t="shared" si="2558"/>
        <v>41760</v>
      </c>
      <c r="F15515" s="2">
        <f t="shared" si="2559"/>
        <v>43281</v>
      </c>
    </row>
    <row r="15516" spans="1:6" x14ac:dyDescent="0.25">
      <c r="A15516" s="1" t="s">
        <v>748</v>
      </c>
      <c r="B15516" s="1" t="s">
        <v>2166</v>
      </c>
      <c r="C15516" s="1" t="s">
        <v>17</v>
      </c>
      <c r="D15516" s="3">
        <f t="shared" si="2557"/>
        <v>7594</v>
      </c>
      <c r="E15516" s="2">
        <f t="shared" si="2558"/>
        <v>41760</v>
      </c>
      <c r="F15516" s="2">
        <f t="shared" si="2559"/>
        <v>43281</v>
      </c>
    </row>
    <row r="15517" spans="1:6" x14ac:dyDescent="0.25">
      <c r="A15517" s="1" t="s">
        <v>748</v>
      </c>
      <c r="B15517" s="1" t="s">
        <v>2166</v>
      </c>
      <c r="C15517" s="1" t="s">
        <v>168</v>
      </c>
      <c r="D15517" s="3">
        <f t="shared" si="2557"/>
        <v>7594</v>
      </c>
      <c r="E15517" s="2">
        <f t="shared" si="2558"/>
        <v>41760</v>
      </c>
      <c r="F15517" s="2">
        <f t="shared" si="2559"/>
        <v>43281</v>
      </c>
    </row>
    <row r="15518" spans="1:6" x14ac:dyDescent="0.25">
      <c r="A15518" s="1" t="s">
        <v>748</v>
      </c>
      <c r="B15518" s="1" t="s">
        <v>2166</v>
      </c>
      <c r="C15518" s="1" t="s">
        <v>93</v>
      </c>
      <c r="D15518" s="3">
        <f t="shared" si="2557"/>
        <v>7594</v>
      </c>
      <c r="E15518" s="2">
        <f t="shared" si="2558"/>
        <v>41760</v>
      </c>
      <c r="F15518" s="2">
        <f t="shared" si="2559"/>
        <v>43281</v>
      </c>
    </row>
    <row r="15519" spans="1:6" x14ac:dyDescent="0.25">
      <c r="A15519" s="1" t="s">
        <v>748</v>
      </c>
      <c r="B15519" s="1" t="s">
        <v>2166</v>
      </c>
      <c r="C15519" s="1" t="s">
        <v>176</v>
      </c>
      <c r="D15519" s="3">
        <f t="shared" si="2557"/>
        <v>7594</v>
      </c>
      <c r="E15519" s="2">
        <f t="shared" si="2558"/>
        <v>41760</v>
      </c>
      <c r="F15519" s="2">
        <f t="shared" si="2559"/>
        <v>43281</v>
      </c>
    </row>
    <row r="15520" spans="1:6" x14ac:dyDescent="0.25">
      <c r="A15520" s="1" t="s">
        <v>748</v>
      </c>
      <c r="B15520" s="1" t="s">
        <v>2166</v>
      </c>
      <c r="C15520" s="1" t="s">
        <v>133</v>
      </c>
      <c r="D15520" s="3">
        <f t="shared" si="2557"/>
        <v>7594</v>
      </c>
      <c r="E15520" s="2">
        <f t="shared" si="2558"/>
        <v>41760</v>
      </c>
      <c r="F15520" s="2">
        <f t="shared" si="2559"/>
        <v>43281</v>
      </c>
    </row>
    <row r="15521" spans="1:6" x14ac:dyDescent="0.25">
      <c r="A15521" s="1" t="s">
        <v>4</v>
      </c>
      <c r="B15521" s="1" t="s">
        <v>1644</v>
      </c>
      <c r="C15521" s="1" t="s">
        <v>138</v>
      </c>
      <c r="D15521" s="3">
        <f t="shared" ref="D15521:D15560" si="2560">VALUE("8818")</f>
        <v>8818</v>
      </c>
      <c r="E15521" s="2">
        <f t="shared" ref="E15521:E15560" si="2561">DATEVALUE("1-9-2020")</f>
        <v>44075</v>
      </c>
      <c r="F15521" s="2">
        <f t="shared" ref="F15521:F15560" si="2562">DATEVALUE("31-8-2022")</f>
        <v>44804</v>
      </c>
    </row>
    <row r="15522" spans="1:6" x14ac:dyDescent="0.25">
      <c r="A15522" s="1" t="s">
        <v>4</v>
      </c>
      <c r="B15522" s="1" t="s">
        <v>1644</v>
      </c>
      <c r="C15522" s="1" t="s">
        <v>486</v>
      </c>
      <c r="D15522" s="3">
        <f t="shared" si="2560"/>
        <v>8818</v>
      </c>
      <c r="E15522" s="2">
        <f t="shared" si="2561"/>
        <v>44075</v>
      </c>
      <c r="F15522" s="2">
        <f t="shared" si="2562"/>
        <v>44804</v>
      </c>
    </row>
    <row r="15523" spans="1:6" x14ac:dyDescent="0.25">
      <c r="A15523" s="1" t="s">
        <v>4</v>
      </c>
      <c r="B15523" s="1" t="s">
        <v>1644</v>
      </c>
      <c r="C15523" s="1" t="s">
        <v>614</v>
      </c>
      <c r="D15523" s="3">
        <f t="shared" si="2560"/>
        <v>8818</v>
      </c>
      <c r="E15523" s="2">
        <f t="shared" si="2561"/>
        <v>44075</v>
      </c>
      <c r="F15523" s="2">
        <f t="shared" si="2562"/>
        <v>44804</v>
      </c>
    </row>
    <row r="15524" spans="1:6" x14ac:dyDescent="0.25">
      <c r="A15524" s="1" t="s">
        <v>4</v>
      </c>
      <c r="B15524" s="1" t="s">
        <v>1644</v>
      </c>
      <c r="C15524" s="1" t="s">
        <v>413</v>
      </c>
      <c r="D15524" s="3">
        <f t="shared" si="2560"/>
        <v>8818</v>
      </c>
      <c r="E15524" s="2">
        <f t="shared" si="2561"/>
        <v>44075</v>
      </c>
      <c r="F15524" s="2">
        <f t="shared" si="2562"/>
        <v>44804</v>
      </c>
    </row>
    <row r="15525" spans="1:6" x14ac:dyDescent="0.25">
      <c r="A15525" s="1" t="s">
        <v>4</v>
      </c>
      <c r="B15525" s="1" t="s">
        <v>1644</v>
      </c>
      <c r="C15525" s="1" t="s">
        <v>289</v>
      </c>
      <c r="D15525" s="3">
        <f t="shared" si="2560"/>
        <v>8818</v>
      </c>
      <c r="E15525" s="2">
        <f t="shared" si="2561"/>
        <v>44075</v>
      </c>
      <c r="F15525" s="2">
        <f t="shared" si="2562"/>
        <v>44804</v>
      </c>
    </row>
    <row r="15526" spans="1:6" x14ac:dyDescent="0.25">
      <c r="A15526" s="1" t="s">
        <v>4</v>
      </c>
      <c r="B15526" s="1" t="s">
        <v>1644</v>
      </c>
      <c r="C15526" s="1" t="s">
        <v>139</v>
      </c>
      <c r="D15526" s="3">
        <f t="shared" si="2560"/>
        <v>8818</v>
      </c>
      <c r="E15526" s="2">
        <f t="shared" si="2561"/>
        <v>44075</v>
      </c>
      <c r="F15526" s="2">
        <f t="shared" si="2562"/>
        <v>44804</v>
      </c>
    </row>
    <row r="15527" spans="1:6" x14ac:dyDescent="0.25">
      <c r="A15527" s="1" t="s">
        <v>4</v>
      </c>
      <c r="B15527" s="1" t="s">
        <v>1644</v>
      </c>
      <c r="C15527" s="1" t="s">
        <v>184</v>
      </c>
      <c r="D15527" s="3">
        <f t="shared" si="2560"/>
        <v>8818</v>
      </c>
      <c r="E15527" s="2">
        <f t="shared" si="2561"/>
        <v>44075</v>
      </c>
      <c r="F15527" s="2">
        <f t="shared" si="2562"/>
        <v>44804</v>
      </c>
    </row>
    <row r="15528" spans="1:6" x14ac:dyDescent="0.25">
      <c r="A15528" s="1" t="s">
        <v>4</v>
      </c>
      <c r="B15528" s="1" t="s">
        <v>1644</v>
      </c>
      <c r="C15528" s="1" t="s">
        <v>624</v>
      </c>
      <c r="D15528" s="3">
        <f t="shared" si="2560"/>
        <v>8818</v>
      </c>
      <c r="E15528" s="2">
        <f t="shared" si="2561"/>
        <v>44075</v>
      </c>
      <c r="F15528" s="2">
        <f t="shared" si="2562"/>
        <v>44804</v>
      </c>
    </row>
    <row r="15529" spans="1:6" x14ac:dyDescent="0.25">
      <c r="A15529" s="1" t="s">
        <v>4</v>
      </c>
      <c r="B15529" s="1" t="s">
        <v>1644</v>
      </c>
      <c r="C15529" s="1" t="s">
        <v>62</v>
      </c>
      <c r="D15529" s="3">
        <f t="shared" si="2560"/>
        <v>8818</v>
      </c>
      <c r="E15529" s="2">
        <f t="shared" si="2561"/>
        <v>44075</v>
      </c>
      <c r="F15529" s="2">
        <f t="shared" si="2562"/>
        <v>44804</v>
      </c>
    </row>
    <row r="15530" spans="1:6" x14ac:dyDescent="0.25">
      <c r="A15530" s="1" t="s">
        <v>4</v>
      </c>
      <c r="B15530" s="1" t="s">
        <v>1644</v>
      </c>
      <c r="C15530" s="1" t="s">
        <v>63</v>
      </c>
      <c r="D15530" s="3">
        <f t="shared" si="2560"/>
        <v>8818</v>
      </c>
      <c r="E15530" s="2">
        <f t="shared" si="2561"/>
        <v>44075</v>
      </c>
      <c r="F15530" s="2">
        <f t="shared" si="2562"/>
        <v>44804</v>
      </c>
    </row>
    <row r="15531" spans="1:6" x14ac:dyDescent="0.25">
      <c r="A15531" s="1" t="s">
        <v>4</v>
      </c>
      <c r="B15531" s="1" t="s">
        <v>1644</v>
      </c>
      <c r="C15531" s="1" t="s">
        <v>414</v>
      </c>
      <c r="D15531" s="3">
        <f t="shared" si="2560"/>
        <v>8818</v>
      </c>
      <c r="E15531" s="2">
        <f t="shared" si="2561"/>
        <v>44075</v>
      </c>
      <c r="F15531" s="2">
        <f t="shared" si="2562"/>
        <v>44804</v>
      </c>
    </row>
    <row r="15532" spans="1:6" x14ac:dyDescent="0.25">
      <c r="A15532" s="1" t="s">
        <v>4</v>
      </c>
      <c r="B15532" s="1" t="s">
        <v>1644</v>
      </c>
      <c r="C15532" s="1" t="s">
        <v>598</v>
      </c>
      <c r="D15532" s="3">
        <f t="shared" si="2560"/>
        <v>8818</v>
      </c>
      <c r="E15532" s="2">
        <f t="shared" si="2561"/>
        <v>44075</v>
      </c>
      <c r="F15532" s="2">
        <f t="shared" si="2562"/>
        <v>44804</v>
      </c>
    </row>
    <row r="15533" spans="1:6" x14ac:dyDescent="0.25">
      <c r="A15533" s="1" t="s">
        <v>4</v>
      </c>
      <c r="B15533" s="1" t="s">
        <v>1644</v>
      </c>
      <c r="C15533" s="1" t="s">
        <v>487</v>
      </c>
      <c r="D15533" s="3">
        <f t="shared" si="2560"/>
        <v>8818</v>
      </c>
      <c r="E15533" s="2">
        <f t="shared" si="2561"/>
        <v>44075</v>
      </c>
      <c r="F15533" s="2">
        <f t="shared" si="2562"/>
        <v>44804</v>
      </c>
    </row>
    <row r="15534" spans="1:6" x14ac:dyDescent="0.25">
      <c r="A15534" s="1" t="s">
        <v>4</v>
      </c>
      <c r="B15534" s="1" t="s">
        <v>1644</v>
      </c>
      <c r="C15534" s="1" t="s">
        <v>319</v>
      </c>
      <c r="D15534" s="3">
        <f t="shared" si="2560"/>
        <v>8818</v>
      </c>
      <c r="E15534" s="2">
        <f t="shared" si="2561"/>
        <v>44075</v>
      </c>
      <c r="F15534" s="2">
        <f t="shared" si="2562"/>
        <v>44804</v>
      </c>
    </row>
    <row r="15535" spans="1:6" x14ac:dyDescent="0.25">
      <c r="A15535" s="1" t="s">
        <v>4</v>
      </c>
      <c r="B15535" s="1" t="s">
        <v>1644</v>
      </c>
      <c r="C15535" s="1" t="s">
        <v>65</v>
      </c>
      <c r="D15535" s="3">
        <f t="shared" si="2560"/>
        <v>8818</v>
      </c>
      <c r="E15535" s="2">
        <f t="shared" si="2561"/>
        <v>44075</v>
      </c>
      <c r="F15535" s="2">
        <f t="shared" si="2562"/>
        <v>44804</v>
      </c>
    </row>
    <row r="15536" spans="1:6" x14ac:dyDescent="0.25">
      <c r="A15536" s="1" t="s">
        <v>4</v>
      </c>
      <c r="B15536" s="1" t="s">
        <v>1644</v>
      </c>
      <c r="C15536" s="1" t="s">
        <v>416</v>
      </c>
      <c r="D15536" s="3">
        <f t="shared" si="2560"/>
        <v>8818</v>
      </c>
      <c r="E15536" s="2">
        <f t="shared" si="2561"/>
        <v>44075</v>
      </c>
      <c r="F15536" s="2">
        <f t="shared" si="2562"/>
        <v>44804</v>
      </c>
    </row>
    <row r="15537" spans="1:6" x14ac:dyDescent="0.25">
      <c r="A15537" s="1" t="s">
        <v>4</v>
      </c>
      <c r="B15537" s="1" t="s">
        <v>1644</v>
      </c>
      <c r="C15537" s="1" t="s">
        <v>14</v>
      </c>
      <c r="D15537" s="3">
        <f t="shared" si="2560"/>
        <v>8818</v>
      </c>
      <c r="E15537" s="2">
        <f t="shared" si="2561"/>
        <v>44075</v>
      </c>
      <c r="F15537" s="2">
        <f t="shared" si="2562"/>
        <v>44804</v>
      </c>
    </row>
    <row r="15538" spans="1:6" x14ac:dyDescent="0.25">
      <c r="A15538" s="1" t="s">
        <v>4</v>
      </c>
      <c r="B15538" s="1" t="s">
        <v>1644</v>
      </c>
      <c r="C15538" s="1" t="s">
        <v>15</v>
      </c>
      <c r="D15538" s="3">
        <f t="shared" si="2560"/>
        <v>8818</v>
      </c>
      <c r="E15538" s="2">
        <f t="shared" si="2561"/>
        <v>44075</v>
      </c>
      <c r="F15538" s="2">
        <f t="shared" si="2562"/>
        <v>44804</v>
      </c>
    </row>
    <row r="15539" spans="1:6" x14ac:dyDescent="0.25">
      <c r="A15539" s="1" t="s">
        <v>4</v>
      </c>
      <c r="B15539" s="1" t="s">
        <v>1644</v>
      </c>
      <c r="C15539" s="1" t="s">
        <v>17</v>
      </c>
      <c r="D15539" s="3">
        <f t="shared" si="2560"/>
        <v>8818</v>
      </c>
      <c r="E15539" s="2">
        <f t="shared" si="2561"/>
        <v>44075</v>
      </c>
      <c r="F15539" s="2">
        <f t="shared" si="2562"/>
        <v>44804</v>
      </c>
    </row>
    <row r="15540" spans="1:6" x14ac:dyDescent="0.25">
      <c r="A15540" s="1" t="s">
        <v>4</v>
      </c>
      <c r="B15540" s="1" t="s">
        <v>1644</v>
      </c>
      <c r="C15540" s="1" t="s">
        <v>417</v>
      </c>
      <c r="D15540" s="3">
        <f t="shared" si="2560"/>
        <v>8818</v>
      </c>
      <c r="E15540" s="2">
        <f t="shared" si="2561"/>
        <v>44075</v>
      </c>
      <c r="F15540" s="2">
        <f t="shared" si="2562"/>
        <v>44804</v>
      </c>
    </row>
    <row r="15541" spans="1:6" x14ac:dyDescent="0.25">
      <c r="A15541" s="1" t="s">
        <v>4</v>
      </c>
      <c r="B15541" s="1" t="s">
        <v>1644</v>
      </c>
      <c r="C15541" s="1" t="s">
        <v>328</v>
      </c>
      <c r="D15541" s="3">
        <f t="shared" si="2560"/>
        <v>8818</v>
      </c>
      <c r="E15541" s="2">
        <f t="shared" si="2561"/>
        <v>44075</v>
      </c>
      <c r="F15541" s="2">
        <f t="shared" si="2562"/>
        <v>44804</v>
      </c>
    </row>
    <row r="15542" spans="1:6" x14ac:dyDescent="0.25">
      <c r="A15542" s="1" t="s">
        <v>4</v>
      </c>
      <c r="B15542" s="1" t="s">
        <v>1644</v>
      </c>
      <c r="C15542" s="1" t="s">
        <v>418</v>
      </c>
      <c r="D15542" s="3">
        <f t="shared" si="2560"/>
        <v>8818</v>
      </c>
      <c r="E15542" s="2">
        <f t="shared" si="2561"/>
        <v>44075</v>
      </c>
      <c r="F15542" s="2">
        <f t="shared" si="2562"/>
        <v>44804</v>
      </c>
    </row>
    <row r="15543" spans="1:6" x14ac:dyDescent="0.25">
      <c r="A15543" s="1" t="s">
        <v>4</v>
      </c>
      <c r="B15543" s="1" t="s">
        <v>1644</v>
      </c>
      <c r="C15543" s="1" t="s">
        <v>22</v>
      </c>
      <c r="D15543" s="3">
        <f t="shared" si="2560"/>
        <v>8818</v>
      </c>
      <c r="E15543" s="2">
        <f t="shared" si="2561"/>
        <v>44075</v>
      </c>
      <c r="F15543" s="2">
        <f t="shared" si="2562"/>
        <v>44804</v>
      </c>
    </row>
    <row r="15544" spans="1:6" x14ac:dyDescent="0.25">
      <c r="A15544" s="1" t="s">
        <v>4</v>
      </c>
      <c r="B15544" s="1" t="s">
        <v>1644</v>
      </c>
      <c r="C15544" s="1" t="s">
        <v>146</v>
      </c>
      <c r="D15544" s="3">
        <f t="shared" si="2560"/>
        <v>8818</v>
      </c>
      <c r="E15544" s="2">
        <f t="shared" si="2561"/>
        <v>44075</v>
      </c>
      <c r="F15544" s="2">
        <f t="shared" si="2562"/>
        <v>44804</v>
      </c>
    </row>
    <row r="15545" spans="1:6" x14ac:dyDescent="0.25">
      <c r="A15545" s="1" t="s">
        <v>4</v>
      </c>
      <c r="B15545" s="1" t="s">
        <v>1644</v>
      </c>
      <c r="C15545" s="1" t="s">
        <v>147</v>
      </c>
      <c r="D15545" s="3">
        <f t="shared" si="2560"/>
        <v>8818</v>
      </c>
      <c r="E15545" s="2">
        <f t="shared" si="2561"/>
        <v>44075</v>
      </c>
      <c r="F15545" s="2">
        <f t="shared" si="2562"/>
        <v>44804</v>
      </c>
    </row>
    <row r="15546" spans="1:6" x14ac:dyDescent="0.25">
      <c r="A15546" s="1" t="s">
        <v>4</v>
      </c>
      <c r="B15546" s="1" t="s">
        <v>1644</v>
      </c>
      <c r="C15546" s="1" t="s">
        <v>92</v>
      </c>
      <c r="D15546" s="3">
        <f t="shared" si="2560"/>
        <v>8818</v>
      </c>
      <c r="E15546" s="2">
        <f t="shared" si="2561"/>
        <v>44075</v>
      </c>
      <c r="F15546" s="2">
        <f t="shared" si="2562"/>
        <v>44804</v>
      </c>
    </row>
    <row r="15547" spans="1:6" x14ac:dyDescent="0.25">
      <c r="A15547" s="1" t="s">
        <v>4</v>
      </c>
      <c r="B15547" s="1" t="s">
        <v>1644</v>
      </c>
      <c r="C15547" s="1" t="s">
        <v>400</v>
      </c>
      <c r="D15547" s="3">
        <f t="shared" si="2560"/>
        <v>8818</v>
      </c>
      <c r="E15547" s="2">
        <f t="shared" si="2561"/>
        <v>44075</v>
      </c>
      <c r="F15547" s="2">
        <f t="shared" si="2562"/>
        <v>44804</v>
      </c>
    </row>
    <row r="15548" spans="1:6" x14ac:dyDescent="0.25">
      <c r="A15548" s="1" t="s">
        <v>4</v>
      </c>
      <c r="B15548" s="1" t="s">
        <v>1644</v>
      </c>
      <c r="C15548" s="1" t="s">
        <v>330</v>
      </c>
      <c r="D15548" s="3">
        <f t="shared" si="2560"/>
        <v>8818</v>
      </c>
      <c r="E15548" s="2">
        <f t="shared" si="2561"/>
        <v>44075</v>
      </c>
      <c r="F15548" s="2">
        <f t="shared" si="2562"/>
        <v>44804</v>
      </c>
    </row>
    <row r="15549" spans="1:6" x14ac:dyDescent="0.25">
      <c r="A15549" s="1" t="s">
        <v>4</v>
      </c>
      <c r="B15549" s="1" t="s">
        <v>1644</v>
      </c>
      <c r="C15549" s="1" t="s">
        <v>24</v>
      </c>
      <c r="D15549" s="3">
        <f t="shared" si="2560"/>
        <v>8818</v>
      </c>
      <c r="E15549" s="2">
        <f t="shared" si="2561"/>
        <v>44075</v>
      </c>
      <c r="F15549" s="2">
        <f t="shared" si="2562"/>
        <v>44804</v>
      </c>
    </row>
    <row r="15550" spans="1:6" x14ac:dyDescent="0.25">
      <c r="A15550" s="1" t="s">
        <v>4</v>
      </c>
      <c r="B15550" s="1" t="s">
        <v>1644</v>
      </c>
      <c r="C15550" s="1" t="s">
        <v>50</v>
      </c>
      <c r="D15550" s="3">
        <f t="shared" si="2560"/>
        <v>8818</v>
      </c>
      <c r="E15550" s="2">
        <f t="shared" si="2561"/>
        <v>44075</v>
      </c>
      <c r="F15550" s="2">
        <f t="shared" si="2562"/>
        <v>44804</v>
      </c>
    </row>
    <row r="15551" spans="1:6" x14ac:dyDescent="0.25">
      <c r="A15551" s="1" t="s">
        <v>4</v>
      </c>
      <c r="B15551" s="1" t="s">
        <v>1644</v>
      </c>
      <c r="C15551" s="1" t="s">
        <v>70</v>
      </c>
      <c r="D15551" s="3">
        <f t="shared" si="2560"/>
        <v>8818</v>
      </c>
      <c r="E15551" s="2">
        <f t="shared" si="2561"/>
        <v>44075</v>
      </c>
      <c r="F15551" s="2">
        <f t="shared" si="2562"/>
        <v>44804</v>
      </c>
    </row>
    <row r="15552" spans="1:6" x14ac:dyDescent="0.25">
      <c r="A15552" s="1" t="s">
        <v>4</v>
      </c>
      <c r="B15552" s="1" t="s">
        <v>1644</v>
      </c>
      <c r="C15552" s="1" t="s">
        <v>368</v>
      </c>
      <c r="D15552" s="3">
        <f t="shared" si="2560"/>
        <v>8818</v>
      </c>
      <c r="E15552" s="2">
        <f t="shared" si="2561"/>
        <v>44075</v>
      </c>
      <c r="F15552" s="2">
        <f t="shared" si="2562"/>
        <v>44804</v>
      </c>
    </row>
    <row r="15553" spans="1:6" x14ac:dyDescent="0.25">
      <c r="A15553" s="1" t="s">
        <v>4</v>
      </c>
      <c r="B15553" s="1" t="s">
        <v>1644</v>
      </c>
      <c r="C15553" s="1" t="s">
        <v>72</v>
      </c>
      <c r="D15553" s="3">
        <f t="shared" si="2560"/>
        <v>8818</v>
      </c>
      <c r="E15553" s="2">
        <f t="shared" si="2561"/>
        <v>44075</v>
      </c>
      <c r="F15553" s="2">
        <f t="shared" si="2562"/>
        <v>44804</v>
      </c>
    </row>
    <row r="15554" spans="1:6" x14ac:dyDescent="0.25">
      <c r="A15554" s="1" t="s">
        <v>4</v>
      </c>
      <c r="B15554" s="1" t="s">
        <v>1644</v>
      </c>
      <c r="C15554" s="1" t="s">
        <v>337</v>
      </c>
      <c r="D15554" s="3">
        <f t="shared" si="2560"/>
        <v>8818</v>
      </c>
      <c r="E15554" s="2">
        <f t="shared" si="2561"/>
        <v>44075</v>
      </c>
      <c r="F15554" s="2">
        <f t="shared" si="2562"/>
        <v>44804</v>
      </c>
    </row>
    <row r="15555" spans="1:6" x14ac:dyDescent="0.25">
      <c r="A15555" s="1" t="s">
        <v>4</v>
      </c>
      <c r="B15555" s="1" t="s">
        <v>1644</v>
      </c>
      <c r="C15555" s="1" t="s">
        <v>52</v>
      </c>
      <c r="D15555" s="3">
        <f t="shared" si="2560"/>
        <v>8818</v>
      </c>
      <c r="E15555" s="2">
        <f t="shared" si="2561"/>
        <v>44075</v>
      </c>
      <c r="F15555" s="2">
        <f t="shared" si="2562"/>
        <v>44804</v>
      </c>
    </row>
    <row r="15556" spans="1:6" x14ac:dyDescent="0.25">
      <c r="A15556" s="1" t="s">
        <v>4</v>
      </c>
      <c r="B15556" s="1" t="s">
        <v>1644</v>
      </c>
      <c r="C15556" s="1" t="s">
        <v>338</v>
      </c>
      <c r="D15556" s="3">
        <f t="shared" si="2560"/>
        <v>8818</v>
      </c>
      <c r="E15556" s="2">
        <f t="shared" si="2561"/>
        <v>44075</v>
      </c>
      <c r="F15556" s="2">
        <f t="shared" si="2562"/>
        <v>44804</v>
      </c>
    </row>
    <row r="15557" spans="1:6" x14ac:dyDescent="0.25">
      <c r="A15557" s="1" t="s">
        <v>4</v>
      </c>
      <c r="B15557" s="1" t="s">
        <v>1644</v>
      </c>
      <c r="C15557" s="1" t="s">
        <v>303</v>
      </c>
      <c r="D15557" s="3">
        <f t="shared" si="2560"/>
        <v>8818</v>
      </c>
      <c r="E15557" s="2">
        <f t="shared" si="2561"/>
        <v>44075</v>
      </c>
      <c r="F15557" s="2">
        <f t="shared" si="2562"/>
        <v>44804</v>
      </c>
    </row>
    <row r="15558" spans="1:6" x14ac:dyDescent="0.25">
      <c r="A15558" s="1" t="s">
        <v>4</v>
      </c>
      <c r="B15558" s="1" t="s">
        <v>1644</v>
      </c>
      <c r="C15558" s="1" t="s">
        <v>594</v>
      </c>
      <c r="D15558" s="3">
        <f t="shared" si="2560"/>
        <v>8818</v>
      </c>
      <c r="E15558" s="2">
        <f t="shared" si="2561"/>
        <v>44075</v>
      </c>
      <c r="F15558" s="2">
        <f t="shared" si="2562"/>
        <v>44804</v>
      </c>
    </row>
    <row r="15559" spans="1:6" x14ac:dyDescent="0.25">
      <c r="A15559" s="1" t="s">
        <v>4</v>
      </c>
      <c r="B15559" s="1" t="s">
        <v>1644</v>
      </c>
      <c r="C15559" s="1" t="s">
        <v>185</v>
      </c>
      <c r="D15559" s="3">
        <f t="shared" si="2560"/>
        <v>8818</v>
      </c>
      <c r="E15559" s="2">
        <f t="shared" si="2561"/>
        <v>44075</v>
      </c>
      <c r="F15559" s="2">
        <f t="shared" si="2562"/>
        <v>44804</v>
      </c>
    </row>
    <row r="15560" spans="1:6" x14ac:dyDescent="0.25">
      <c r="A15560" s="1" t="s">
        <v>4</v>
      </c>
      <c r="B15560" s="1" t="s">
        <v>1644</v>
      </c>
      <c r="C15560" s="1" t="s">
        <v>34</v>
      </c>
      <c r="D15560" s="3">
        <f t="shared" si="2560"/>
        <v>8818</v>
      </c>
      <c r="E15560" s="2">
        <f t="shared" si="2561"/>
        <v>44075</v>
      </c>
      <c r="F15560" s="2">
        <f t="shared" si="2562"/>
        <v>44804</v>
      </c>
    </row>
    <row r="15561" spans="1:6" x14ac:dyDescent="0.25">
      <c r="A15561" s="1" t="s">
        <v>4</v>
      </c>
      <c r="B15561" s="1" t="s">
        <v>1135</v>
      </c>
      <c r="C15561" s="1" t="s">
        <v>14</v>
      </c>
      <c r="D15561" s="3">
        <f t="shared" ref="D15561:D15567" si="2563">VALUE("8412")</f>
        <v>8412</v>
      </c>
      <c r="E15561" s="2">
        <f t="shared" ref="E15561:E15567" si="2564">DATEVALUE("1-7-2020")</f>
        <v>44013</v>
      </c>
      <c r="F15561" s="2">
        <f t="shared" ref="F15561:F15567" si="2565">DATEVALUE("31-12-2021")</f>
        <v>44561</v>
      </c>
    </row>
    <row r="15562" spans="1:6" x14ac:dyDescent="0.25">
      <c r="A15562" s="1" t="s">
        <v>4</v>
      </c>
      <c r="B15562" s="1" t="s">
        <v>1135</v>
      </c>
      <c r="C15562" s="1" t="s">
        <v>15</v>
      </c>
      <c r="D15562" s="3">
        <f t="shared" si="2563"/>
        <v>8412</v>
      </c>
      <c r="E15562" s="2">
        <f t="shared" si="2564"/>
        <v>44013</v>
      </c>
      <c r="F15562" s="2">
        <f t="shared" si="2565"/>
        <v>44561</v>
      </c>
    </row>
    <row r="15563" spans="1:6" x14ac:dyDescent="0.25">
      <c r="A15563" s="1" t="s">
        <v>4</v>
      </c>
      <c r="B15563" s="1" t="s">
        <v>1135</v>
      </c>
      <c r="C15563" s="1" t="s">
        <v>17</v>
      </c>
      <c r="D15563" s="3">
        <f t="shared" si="2563"/>
        <v>8412</v>
      </c>
      <c r="E15563" s="2">
        <f t="shared" si="2564"/>
        <v>44013</v>
      </c>
      <c r="F15563" s="2">
        <f t="shared" si="2565"/>
        <v>44561</v>
      </c>
    </row>
    <row r="15564" spans="1:6" x14ac:dyDescent="0.25">
      <c r="A15564" s="1" t="s">
        <v>4</v>
      </c>
      <c r="B15564" s="1" t="s">
        <v>1135</v>
      </c>
      <c r="C15564" s="1" t="s">
        <v>22</v>
      </c>
      <c r="D15564" s="3">
        <f t="shared" si="2563"/>
        <v>8412</v>
      </c>
      <c r="E15564" s="2">
        <f t="shared" si="2564"/>
        <v>44013</v>
      </c>
      <c r="F15564" s="2">
        <f t="shared" si="2565"/>
        <v>44561</v>
      </c>
    </row>
    <row r="15565" spans="1:6" x14ac:dyDescent="0.25">
      <c r="A15565" s="1" t="s">
        <v>4</v>
      </c>
      <c r="B15565" s="1" t="s">
        <v>1135</v>
      </c>
      <c r="C15565" s="1" t="s">
        <v>94</v>
      </c>
      <c r="D15565" s="3">
        <f t="shared" si="2563"/>
        <v>8412</v>
      </c>
      <c r="E15565" s="2">
        <f t="shared" si="2564"/>
        <v>44013</v>
      </c>
      <c r="F15565" s="2">
        <f t="shared" si="2565"/>
        <v>44561</v>
      </c>
    </row>
    <row r="15566" spans="1:6" x14ac:dyDescent="0.25">
      <c r="A15566" s="1" t="s">
        <v>4</v>
      </c>
      <c r="B15566" s="1" t="s">
        <v>1135</v>
      </c>
      <c r="C15566" s="1" t="s">
        <v>24</v>
      </c>
      <c r="D15566" s="3">
        <f t="shared" si="2563"/>
        <v>8412</v>
      </c>
      <c r="E15566" s="2">
        <f t="shared" si="2564"/>
        <v>44013</v>
      </c>
      <c r="F15566" s="2">
        <f t="shared" si="2565"/>
        <v>44561</v>
      </c>
    </row>
    <row r="15567" spans="1:6" x14ac:dyDescent="0.25">
      <c r="A15567" s="1" t="s">
        <v>4</v>
      </c>
      <c r="B15567" s="1" t="s">
        <v>1135</v>
      </c>
      <c r="C15567" s="1" t="s">
        <v>34</v>
      </c>
      <c r="D15567" s="3">
        <f t="shared" si="2563"/>
        <v>8412</v>
      </c>
      <c r="E15567" s="2">
        <f t="shared" si="2564"/>
        <v>44013</v>
      </c>
      <c r="F15567" s="2">
        <f t="shared" si="2565"/>
        <v>44561</v>
      </c>
    </row>
    <row r="15568" spans="1:6" x14ac:dyDescent="0.25">
      <c r="A15568" s="1" t="s">
        <v>4</v>
      </c>
      <c r="B15568" s="1" t="s">
        <v>1538</v>
      </c>
      <c r="C15568" s="1" t="s">
        <v>65</v>
      </c>
      <c r="D15568" s="3">
        <f t="shared" ref="D15568:D15578" si="2566">VALUE("8726")</f>
        <v>8726</v>
      </c>
      <c r="E15568" s="2">
        <f t="shared" ref="E15568:E15578" si="2567">DATEVALUE("1-5-2020")</f>
        <v>43952</v>
      </c>
      <c r="F15568" s="2">
        <f t="shared" ref="F15568:F15578" si="2568">DATEVALUE("30-4-2021")</f>
        <v>44316</v>
      </c>
    </row>
    <row r="15569" spans="1:6" x14ac:dyDescent="0.25">
      <c r="A15569" s="1" t="s">
        <v>4</v>
      </c>
      <c r="B15569" s="1" t="s">
        <v>1538</v>
      </c>
      <c r="C15569" s="1" t="s">
        <v>66</v>
      </c>
      <c r="D15569" s="3">
        <f t="shared" si="2566"/>
        <v>8726</v>
      </c>
      <c r="E15569" s="2">
        <f t="shared" si="2567"/>
        <v>43952</v>
      </c>
      <c r="F15569" s="2">
        <f t="shared" si="2568"/>
        <v>44316</v>
      </c>
    </row>
    <row r="15570" spans="1:6" x14ac:dyDescent="0.25">
      <c r="A15570" s="1" t="s">
        <v>4</v>
      </c>
      <c r="B15570" s="1" t="s">
        <v>1538</v>
      </c>
      <c r="C15570" s="1" t="s">
        <v>15</v>
      </c>
      <c r="D15570" s="3">
        <f t="shared" si="2566"/>
        <v>8726</v>
      </c>
      <c r="E15570" s="2">
        <f t="shared" si="2567"/>
        <v>43952</v>
      </c>
      <c r="F15570" s="2">
        <f t="shared" si="2568"/>
        <v>44316</v>
      </c>
    </row>
    <row r="15571" spans="1:6" x14ac:dyDescent="0.25">
      <c r="A15571" s="1" t="s">
        <v>4</v>
      </c>
      <c r="B15571" s="1" t="s">
        <v>1538</v>
      </c>
      <c r="C15571" s="1" t="s">
        <v>17</v>
      </c>
      <c r="D15571" s="3">
        <f t="shared" si="2566"/>
        <v>8726</v>
      </c>
      <c r="E15571" s="2">
        <f t="shared" si="2567"/>
        <v>43952</v>
      </c>
      <c r="F15571" s="2">
        <f t="shared" si="2568"/>
        <v>44316</v>
      </c>
    </row>
    <row r="15572" spans="1:6" x14ac:dyDescent="0.25">
      <c r="A15572" s="1" t="s">
        <v>4</v>
      </c>
      <c r="B15572" s="1" t="s">
        <v>1538</v>
      </c>
      <c r="C15572" s="1" t="s">
        <v>257</v>
      </c>
      <c r="D15572" s="3">
        <f t="shared" si="2566"/>
        <v>8726</v>
      </c>
      <c r="E15572" s="2">
        <f t="shared" si="2567"/>
        <v>43952</v>
      </c>
      <c r="F15572" s="2">
        <f t="shared" si="2568"/>
        <v>44316</v>
      </c>
    </row>
    <row r="15573" spans="1:6" x14ac:dyDescent="0.25">
      <c r="A15573" s="1" t="s">
        <v>4</v>
      </c>
      <c r="B15573" s="1" t="s">
        <v>1538</v>
      </c>
      <c r="C15573" s="1" t="s">
        <v>22</v>
      </c>
      <c r="D15573" s="3">
        <f t="shared" si="2566"/>
        <v>8726</v>
      </c>
      <c r="E15573" s="2">
        <f t="shared" si="2567"/>
        <v>43952</v>
      </c>
      <c r="F15573" s="2">
        <f t="shared" si="2568"/>
        <v>44316</v>
      </c>
    </row>
    <row r="15574" spans="1:6" x14ac:dyDescent="0.25">
      <c r="A15574" s="1" t="s">
        <v>4</v>
      </c>
      <c r="B15574" s="1" t="s">
        <v>1538</v>
      </c>
      <c r="C15574" s="1" t="s">
        <v>146</v>
      </c>
      <c r="D15574" s="3">
        <f t="shared" si="2566"/>
        <v>8726</v>
      </c>
      <c r="E15574" s="2">
        <f t="shared" si="2567"/>
        <v>43952</v>
      </c>
      <c r="F15574" s="2">
        <f t="shared" si="2568"/>
        <v>44316</v>
      </c>
    </row>
    <row r="15575" spans="1:6" x14ac:dyDescent="0.25">
      <c r="A15575" s="1" t="s">
        <v>4</v>
      </c>
      <c r="B15575" s="1" t="s">
        <v>1538</v>
      </c>
      <c r="C15575" s="1" t="s">
        <v>147</v>
      </c>
      <c r="D15575" s="3">
        <f t="shared" si="2566"/>
        <v>8726</v>
      </c>
      <c r="E15575" s="2">
        <f t="shared" si="2567"/>
        <v>43952</v>
      </c>
      <c r="F15575" s="2">
        <f t="shared" si="2568"/>
        <v>44316</v>
      </c>
    </row>
    <row r="15576" spans="1:6" x14ac:dyDescent="0.25">
      <c r="A15576" s="1" t="s">
        <v>4</v>
      </c>
      <c r="B15576" s="1" t="s">
        <v>1538</v>
      </c>
      <c r="C15576" s="1" t="s">
        <v>92</v>
      </c>
      <c r="D15576" s="3">
        <f t="shared" si="2566"/>
        <v>8726</v>
      </c>
      <c r="E15576" s="2">
        <f t="shared" si="2567"/>
        <v>43952</v>
      </c>
      <c r="F15576" s="2">
        <f t="shared" si="2568"/>
        <v>44316</v>
      </c>
    </row>
    <row r="15577" spans="1:6" x14ac:dyDescent="0.25">
      <c r="A15577" s="1" t="s">
        <v>4</v>
      </c>
      <c r="B15577" s="1" t="s">
        <v>1538</v>
      </c>
      <c r="C15577" s="1" t="s">
        <v>70</v>
      </c>
      <c r="D15577" s="3">
        <f t="shared" si="2566"/>
        <v>8726</v>
      </c>
      <c r="E15577" s="2">
        <f t="shared" si="2567"/>
        <v>43952</v>
      </c>
      <c r="F15577" s="2">
        <f t="shared" si="2568"/>
        <v>44316</v>
      </c>
    </row>
    <row r="15578" spans="1:6" x14ac:dyDescent="0.25">
      <c r="A15578" s="1" t="s">
        <v>4</v>
      </c>
      <c r="B15578" s="1" t="s">
        <v>1538</v>
      </c>
      <c r="C15578" s="1" t="s">
        <v>26</v>
      </c>
      <c r="D15578" s="3">
        <f t="shared" si="2566"/>
        <v>8726</v>
      </c>
      <c r="E15578" s="2">
        <f t="shared" si="2567"/>
        <v>43952</v>
      </c>
      <c r="F15578" s="2">
        <f t="shared" si="2568"/>
        <v>44316</v>
      </c>
    </row>
    <row r="15579" spans="1:6" x14ac:dyDescent="0.25">
      <c r="A15579" s="1" t="s">
        <v>4</v>
      </c>
      <c r="B15579" s="1" t="s">
        <v>1487</v>
      </c>
      <c r="C15579" s="1" t="s">
        <v>65</v>
      </c>
      <c r="D15579" s="3">
        <f t="shared" ref="D15579:D15595" si="2569">VALUE("8674")</f>
        <v>8674</v>
      </c>
      <c r="E15579" s="2">
        <f t="shared" ref="E15579:E15595" si="2570">DATEVALUE("1-2-2020")</f>
        <v>43862</v>
      </c>
      <c r="F15579" s="2">
        <f t="shared" ref="F15579:F15595" si="2571">DATEVALUE("31-12-2020")</f>
        <v>44196</v>
      </c>
    </row>
    <row r="15580" spans="1:6" x14ac:dyDescent="0.25">
      <c r="A15580" s="1" t="s">
        <v>4</v>
      </c>
      <c r="B15580" s="1" t="s">
        <v>1487</v>
      </c>
      <c r="C15580" s="1" t="s">
        <v>14</v>
      </c>
      <c r="D15580" s="3">
        <f t="shared" si="2569"/>
        <v>8674</v>
      </c>
      <c r="E15580" s="2">
        <f t="shared" si="2570"/>
        <v>43862</v>
      </c>
      <c r="F15580" s="2">
        <f t="shared" si="2571"/>
        <v>44196</v>
      </c>
    </row>
    <row r="15581" spans="1:6" x14ac:dyDescent="0.25">
      <c r="A15581" s="1" t="s">
        <v>4</v>
      </c>
      <c r="B15581" s="1" t="s">
        <v>1487</v>
      </c>
      <c r="C15581" s="1" t="s">
        <v>15</v>
      </c>
      <c r="D15581" s="3">
        <f t="shared" si="2569"/>
        <v>8674</v>
      </c>
      <c r="E15581" s="2">
        <f t="shared" si="2570"/>
        <v>43862</v>
      </c>
      <c r="F15581" s="2">
        <f t="shared" si="2571"/>
        <v>44196</v>
      </c>
    </row>
    <row r="15582" spans="1:6" x14ac:dyDescent="0.25">
      <c r="A15582" s="1" t="s">
        <v>4</v>
      </c>
      <c r="B15582" s="1" t="s">
        <v>1487</v>
      </c>
      <c r="C15582" s="1" t="s">
        <v>17</v>
      </c>
      <c r="D15582" s="3">
        <f t="shared" si="2569"/>
        <v>8674</v>
      </c>
      <c r="E15582" s="2">
        <f t="shared" si="2570"/>
        <v>43862</v>
      </c>
      <c r="F15582" s="2">
        <f t="shared" si="2571"/>
        <v>44196</v>
      </c>
    </row>
    <row r="15583" spans="1:6" x14ac:dyDescent="0.25">
      <c r="A15583" s="1" t="s">
        <v>4</v>
      </c>
      <c r="B15583" s="1" t="s">
        <v>1487</v>
      </c>
      <c r="C15583" s="1" t="s">
        <v>91</v>
      </c>
      <c r="D15583" s="3">
        <f t="shared" si="2569"/>
        <v>8674</v>
      </c>
      <c r="E15583" s="2">
        <f t="shared" si="2570"/>
        <v>43862</v>
      </c>
      <c r="F15583" s="2">
        <f t="shared" si="2571"/>
        <v>44196</v>
      </c>
    </row>
    <row r="15584" spans="1:6" x14ac:dyDescent="0.25">
      <c r="A15584" s="1" t="s">
        <v>4</v>
      </c>
      <c r="B15584" s="1" t="s">
        <v>1487</v>
      </c>
      <c r="C15584" s="1" t="s">
        <v>146</v>
      </c>
      <c r="D15584" s="3">
        <f t="shared" si="2569"/>
        <v>8674</v>
      </c>
      <c r="E15584" s="2">
        <f t="shared" si="2570"/>
        <v>43862</v>
      </c>
      <c r="F15584" s="2">
        <f t="shared" si="2571"/>
        <v>44196</v>
      </c>
    </row>
    <row r="15585" spans="1:6" x14ac:dyDescent="0.25">
      <c r="A15585" s="1" t="s">
        <v>4</v>
      </c>
      <c r="B15585" s="1" t="s">
        <v>1487</v>
      </c>
      <c r="C15585" s="1" t="s">
        <v>147</v>
      </c>
      <c r="D15585" s="3">
        <f t="shared" si="2569"/>
        <v>8674</v>
      </c>
      <c r="E15585" s="2">
        <f t="shared" si="2570"/>
        <v>43862</v>
      </c>
      <c r="F15585" s="2">
        <f t="shared" si="2571"/>
        <v>44196</v>
      </c>
    </row>
    <row r="15586" spans="1:6" x14ac:dyDescent="0.25">
      <c r="A15586" s="1" t="s">
        <v>4</v>
      </c>
      <c r="B15586" s="1" t="s">
        <v>1487</v>
      </c>
      <c r="C15586" s="1" t="s">
        <v>148</v>
      </c>
      <c r="D15586" s="3">
        <f t="shared" si="2569"/>
        <v>8674</v>
      </c>
      <c r="E15586" s="2">
        <f t="shared" si="2570"/>
        <v>43862</v>
      </c>
      <c r="F15586" s="2">
        <f t="shared" si="2571"/>
        <v>44196</v>
      </c>
    </row>
    <row r="15587" spans="1:6" x14ac:dyDescent="0.25">
      <c r="A15587" s="1" t="s">
        <v>4</v>
      </c>
      <c r="B15587" s="1" t="s">
        <v>1487</v>
      </c>
      <c r="C15587" s="1" t="s">
        <v>92</v>
      </c>
      <c r="D15587" s="3">
        <f t="shared" si="2569"/>
        <v>8674</v>
      </c>
      <c r="E15587" s="2">
        <f t="shared" si="2570"/>
        <v>43862</v>
      </c>
      <c r="F15587" s="2">
        <f t="shared" si="2571"/>
        <v>44196</v>
      </c>
    </row>
    <row r="15588" spans="1:6" x14ac:dyDescent="0.25">
      <c r="A15588" s="1" t="s">
        <v>4</v>
      </c>
      <c r="B15588" s="1" t="s">
        <v>1487</v>
      </c>
      <c r="C15588" s="1" t="s">
        <v>24</v>
      </c>
      <c r="D15588" s="3">
        <f t="shared" si="2569"/>
        <v>8674</v>
      </c>
      <c r="E15588" s="2">
        <f t="shared" si="2570"/>
        <v>43862</v>
      </c>
      <c r="F15588" s="2">
        <f t="shared" si="2571"/>
        <v>44196</v>
      </c>
    </row>
    <row r="15589" spans="1:6" x14ac:dyDescent="0.25">
      <c r="A15589" s="1" t="s">
        <v>4</v>
      </c>
      <c r="B15589" s="1" t="s">
        <v>1487</v>
      </c>
      <c r="C15589" s="1" t="s">
        <v>451</v>
      </c>
      <c r="D15589" s="3">
        <f t="shared" si="2569"/>
        <v>8674</v>
      </c>
      <c r="E15589" s="2">
        <f t="shared" si="2570"/>
        <v>43862</v>
      </c>
      <c r="F15589" s="2">
        <f t="shared" si="2571"/>
        <v>44196</v>
      </c>
    </row>
    <row r="15590" spans="1:6" x14ac:dyDescent="0.25">
      <c r="A15590" s="1" t="s">
        <v>4</v>
      </c>
      <c r="B15590" s="1" t="s">
        <v>1487</v>
      </c>
      <c r="C15590" s="1" t="s">
        <v>70</v>
      </c>
      <c r="D15590" s="3">
        <f t="shared" si="2569"/>
        <v>8674</v>
      </c>
      <c r="E15590" s="2">
        <f t="shared" si="2570"/>
        <v>43862</v>
      </c>
      <c r="F15590" s="2">
        <f t="shared" si="2571"/>
        <v>44196</v>
      </c>
    </row>
    <row r="15591" spans="1:6" x14ac:dyDescent="0.25">
      <c r="A15591" s="1" t="s">
        <v>4</v>
      </c>
      <c r="B15591" s="1" t="s">
        <v>1487</v>
      </c>
      <c r="C15591" s="1" t="s">
        <v>157</v>
      </c>
      <c r="D15591" s="3">
        <f t="shared" si="2569"/>
        <v>8674</v>
      </c>
      <c r="E15591" s="2">
        <f t="shared" si="2570"/>
        <v>43862</v>
      </c>
      <c r="F15591" s="2">
        <f t="shared" si="2571"/>
        <v>44196</v>
      </c>
    </row>
    <row r="15592" spans="1:6" x14ac:dyDescent="0.25">
      <c r="A15592" s="1" t="s">
        <v>4</v>
      </c>
      <c r="B15592" s="1" t="s">
        <v>1487</v>
      </c>
      <c r="C15592" s="1" t="s">
        <v>157</v>
      </c>
      <c r="D15592" s="3">
        <f t="shared" si="2569"/>
        <v>8674</v>
      </c>
      <c r="E15592" s="2">
        <f t="shared" si="2570"/>
        <v>43862</v>
      </c>
      <c r="F15592" s="2">
        <f t="shared" si="2571"/>
        <v>44196</v>
      </c>
    </row>
    <row r="15593" spans="1:6" x14ac:dyDescent="0.25">
      <c r="A15593" s="1" t="s">
        <v>4</v>
      </c>
      <c r="B15593" s="1" t="s">
        <v>1487</v>
      </c>
      <c r="C15593" s="1" t="s">
        <v>34</v>
      </c>
      <c r="D15593" s="3">
        <f t="shared" si="2569"/>
        <v>8674</v>
      </c>
      <c r="E15593" s="2">
        <f t="shared" si="2570"/>
        <v>43862</v>
      </c>
      <c r="F15593" s="2">
        <f t="shared" si="2571"/>
        <v>44196</v>
      </c>
    </row>
    <row r="15594" spans="1:6" x14ac:dyDescent="0.25">
      <c r="A15594" s="1" t="s">
        <v>4</v>
      </c>
      <c r="B15594" s="1" t="s">
        <v>1487</v>
      </c>
      <c r="C15594" s="1" t="s">
        <v>306</v>
      </c>
      <c r="D15594" s="3">
        <f t="shared" si="2569"/>
        <v>8674</v>
      </c>
      <c r="E15594" s="2">
        <f t="shared" si="2570"/>
        <v>43862</v>
      </c>
      <c r="F15594" s="2">
        <f t="shared" si="2571"/>
        <v>44196</v>
      </c>
    </row>
    <row r="15595" spans="1:6" x14ac:dyDescent="0.25">
      <c r="A15595" s="1" t="s">
        <v>4</v>
      </c>
      <c r="B15595" s="1" t="s">
        <v>1487</v>
      </c>
      <c r="C15595" s="1" t="s">
        <v>170</v>
      </c>
      <c r="D15595" s="3">
        <f t="shared" si="2569"/>
        <v>8674</v>
      </c>
      <c r="E15595" s="2">
        <f t="shared" si="2570"/>
        <v>43862</v>
      </c>
      <c r="F15595" s="2">
        <f t="shared" si="2571"/>
        <v>44196</v>
      </c>
    </row>
    <row r="15596" spans="1:6" x14ac:dyDescent="0.25">
      <c r="A15596" s="1" t="s">
        <v>4</v>
      </c>
      <c r="B15596" s="1" t="s">
        <v>1818</v>
      </c>
      <c r="C15596" s="1" t="s">
        <v>45</v>
      </c>
      <c r="D15596" s="3">
        <f>VALUE("8573")</f>
        <v>8573</v>
      </c>
      <c r="E15596" s="2">
        <f>DATEVALUE("1-9-2019")</f>
        <v>43709</v>
      </c>
      <c r="F15596" s="2">
        <f>DATEVALUE("31-8-2020")</f>
        <v>44074</v>
      </c>
    </row>
    <row r="15597" spans="1:6" x14ac:dyDescent="0.25">
      <c r="A15597" s="1" t="s">
        <v>4</v>
      </c>
      <c r="B15597" s="1" t="s">
        <v>1818</v>
      </c>
      <c r="C15597" s="1" t="s">
        <v>67</v>
      </c>
      <c r="D15597" s="3">
        <f>VALUE("8573")</f>
        <v>8573</v>
      </c>
      <c r="E15597" s="2">
        <f>DATEVALUE("1-9-2019")</f>
        <v>43709</v>
      </c>
      <c r="F15597" s="2">
        <f>DATEVALUE("31-8-2020")</f>
        <v>44074</v>
      </c>
    </row>
    <row r="15598" spans="1:6" x14ac:dyDescent="0.25">
      <c r="A15598" s="1" t="s">
        <v>4</v>
      </c>
      <c r="B15598" s="1" t="s">
        <v>1174</v>
      </c>
      <c r="C15598" s="1" t="s">
        <v>17</v>
      </c>
      <c r="D15598" s="3">
        <f t="shared" ref="D15598:D15606" si="2572">VALUE("8447")</f>
        <v>8447</v>
      </c>
      <c r="E15598" s="2">
        <f t="shared" ref="E15598:E15606" si="2573">DATEVALUE("1-2-2019")</f>
        <v>43497</v>
      </c>
      <c r="F15598" s="2">
        <f t="shared" ref="F15598:F15606" si="2574">DATEVALUE("31-1-2021")</f>
        <v>44227</v>
      </c>
    </row>
    <row r="15599" spans="1:6" x14ac:dyDescent="0.25">
      <c r="A15599" s="1" t="s">
        <v>4</v>
      </c>
      <c r="B15599" s="1" t="s">
        <v>1174</v>
      </c>
      <c r="C15599" s="1" t="s">
        <v>501</v>
      </c>
      <c r="D15599" s="3">
        <f t="shared" si="2572"/>
        <v>8447</v>
      </c>
      <c r="E15599" s="2">
        <f t="shared" si="2573"/>
        <v>43497</v>
      </c>
      <c r="F15599" s="2">
        <f t="shared" si="2574"/>
        <v>44227</v>
      </c>
    </row>
    <row r="15600" spans="1:6" x14ac:dyDescent="0.25">
      <c r="A15600" s="1" t="s">
        <v>4</v>
      </c>
      <c r="B15600" s="1" t="s">
        <v>1174</v>
      </c>
      <c r="C15600" s="1" t="s">
        <v>22</v>
      </c>
      <c r="D15600" s="3">
        <f t="shared" si="2572"/>
        <v>8447</v>
      </c>
      <c r="E15600" s="2">
        <f t="shared" si="2573"/>
        <v>43497</v>
      </c>
      <c r="F15600" s="2">
        <f t="shared" si="2574"/>
        <v>44227</v>
      </c>
    </row>
    <row r="15601" spans="1:6" x14ac:dyDescent="0.25">
      <c r="A15601" s="1" t="s">
        <v>4</v>
      </c>
      <c r="B15601" s="1" t="s">
        <v>1174</v>
      </c>
      <c r="C15601" s="1" t="s">
        <v>67</v>
      </c>
      <c r="D15601" s="3">
        <f t="shared" si="2572"/>
        <v>8447</v>
      </c>
      <c r="E15601" s="2">
        <f t="shared" si="2573"/>
        <v>43497</v>
      </c>
      <c r="F15601" s="2">
        <f t="shared" si="2574"/>
        <v>44227</v>
      </c>
    </row>
    <row r="15602" spans="1:6" x14ac:dyDescent="0.25">
      <c r="A15602" s="1" t="s">
        <v>4</v>
      </c>
      <c r="B15602" s="1" t="s">
        <v>1174</v>
      </c>
      <c r="C15602" s="1" t="s">
        <v>149</v>
      </c>
      <c r="D15602" s="3">
        <f t="shared" si="2572"/>
        <v>8447</v>
      </c>
      <c r="E15602" s="2">
        <f t="shared" si="2573"/>
        <v>43497</v>
      </c>
      <c r="F15602" s="2">
        <f t="shared" si="2574"/>
        <v>44227</v>
      </c>
    </row>
    <row r="15603" spans="1:6" x14ac:dyDescent="0.25">
      <c r="A15603" s="1" t="s">
        <v>4</v>
      </c>
      <c r="B15603" s="1" t="s">
        <v>1174</v>
      </c>
      <c r="C15603" s="1" t="s">
        <v>72</v>
      </c>
      <c r="D15603" s="3">
        <f t="shared" si="2572"/>
        <v>8447</v>
      </c>
      <c r="E15603" s="2">
        <f t="shared" si="2573"/>
        <v>43497</v>
      </c>
      <c r="F15603" s="2">
        <f t="shared" si="2574"/>
        <v>44227</v>
      </c>
    </row>
    <row r="15604" spans="1:6" x14ac:dyDescent="0.25">
      <c r="A15604" s="1" t="s">
        <v>4</v>
      </c>
      <c r="B15604" s="1" t="s">
        <v>1174</v>
      </c>
      <c r="C15604" s="1" t="s">
        <v>73</v>
      </c>
      <c r="D15604" s="3">
        <f t="shared" si="2572"/>
        <v>8447</v>
      </c>
      <c r="E15604" s="2">
        <f t="shared" si="2573"/>
        <v>43497</v>
      </c>
      <c r="F15604" s="2">
        <f t="shared" si="2574"/>
        <v>44227</v>
      </c>
    </row>
    <row r="15605" spans="1:6" x14ac:dyDescent="0.25">
      <c r="A15605" s="1" t="s">
        <v>4</v>
      </c>
      <c r="B15605" s="1" t="s">
        <v>1174</v>
      </c>
      <c r="C15605" s="1" t="s">
        <v>52</v>
      </c>
      <c r="D15605" s="3">
        <f t="shared" si="2572"/>
        <v>8447</v>
      </c>
      <c r="E15605" s="2">
        <f t="shared" si="2573"/>
        <v>43497</v>
      </c>
      <c r="F15605" s="2">
        <f t="shared" si="2574"/>
        <v>44227</v>
      </c>
    </row>
    <row r="15606" spans="1:6" x14ac:dyDescent="0.25">
      <c r="A15606" s="1" t="s">
        <v>4</v>
      </c>
      <c r="B15606" s="1" t="s">
        <v>1174</v>
      </c>
      <c r="C15606" s="1" t="s">
        <v>170</v>
      </c>
      <c r="D15606" s="3">
        <f t="shared" si="2572"/>
        <v>8447</v>
      </c>
      <c r="E15606" s="2">
        <f t="shared" si="2573"/>
        <v>43497</v>
      </c>
      <c r="F15606" s="2">
        <f t="shared" si="2574"/>
        <v>44227</v>
      </c>
    </row>
    <row r="15607" spans="1:6" x14ac:dyDescent="0.25">
      <c r="A15607" s="1" t="s">
        <v>4</v>
      </c>
      <c r="B15607" s="1" t="s">
        <v>1778</v>
      </c>
      <c r="C15607" s="1" t="s">
        <v>609</v>
      </c>
      <c r="D15607" s="3">
        <f t="shared" ref="D15607:D15621" si="2575">VALUE("8275")</f>
        <v>8275</v>
      </c>
      <c r="E15607" s="2">
        <f t="shared" ref="E15607:E15621" si="2576">DATEVALUE("1-3-2018")</f>
        <v>43160</v>
      </c>
      <c r="F15607" s="2">
        <f t="shared" ref="F15607:F15621" si="2577">DATEVALUE("30-9-2020")</f>
        <v>44104</v>
      </c>
    </row>
    <row r="15608" spans="1:6" x14ac:dyDescent="0.25">
      <c r="A15608" s="1" t="s">
        <v>4</v>
      </c>
      <c r="B15608" s="1" t="s">
        <v>1778</v>
      </c>
      <c r="C15608" s="1" t="s">
        <v>14</v>
      </c>
      <c r="D15608" s="3">
        <f t="shared" si="2575"/>
        <v>8275</v>
      </c>
      <c r="E15608" s="2">
        <f t="shared" si="2576"/>
        <v>43160</v>
      </c>
      <c r="F15608" s="2">
        <f t="shared" si="2577"/>
        <v>44104</v>
      </c>
    </row>
    <row r="15609" spans="1:6" x14ac:dyDescent="0.25">
      <c r="A15609" s="1" t="s">
        <v>4</v>
      </c>
      <c r="B15609" s="1" t="s">
        <v>1778</v>
      </c>
      <c r="C15609" s="1" t="s">
        <v>15</v>
      </c>
      <c r="D15609" s="3">
        <f t="shared" si="2575"/>
        <v>8275</v>
      </c>
      <c r="E15609" s="2">
        <f t="shared" si="2576"/>
        <v>43160</v>
      </c>
      <c r="F15609" s="2">
        <f t="shared" si="2577"/>
        <v>44104</v>
      </c>
    </row>
    <row r="15610" spans="1:6" x14ac:dyDescent="0.25">
      <c r="A15610" s="1" t="s">
        <v>4</v>
      </c>
      <c r="B15610" s="1" t="s">
        <v>1778</v>
      </c>
      <c r="C15610" s="1" t="s">
        <v>89</v>
      </c>
      <c r="D15610" s="3">
        <f t="shared" si="2575"/>
        <v>8275</v>
      </c>
      <c r="E15610" s="2">
        <f t="shared" si="2576"/>
        <v>43160</v>
      </c>
      <c r="F15610" s="2">
        <f t="shared" si="2577"/>
        <v>44104</v>
      </c>
    </row>
    <row r="15611" spans="1:6" x14ac:dyDescent="0.25">
      <c r="A15611" s="1" t="s">
        <v>4</v>
      </c>
      <c r="B15611" s="1" t="s">
        <v>1778</v>
      </c>
      <c r="C15611" s="1" t="s">
        <v>17</v>
      </c>
      <c r="D15611" s="3">
        <f t="shared" si="2575"/>
        <v>8275</v>
      </c>
      <c r="E15611" s="2">
        <f t="shared" si="2576"/>
        <v>43160</v>
      </c>
      <c r="F15611" s="2">
        <f t="shared" si="2577"/>
        <v>44104</v>
      </c>
    </row>
    <row r="15612" spans="1:6" x14ac:dyDescent="0.25">
      <c r="A15612" s="1" t="s">
        <v>4</v>
      </c>
      <c r="B15612" s="1" t="s">
        <v>1778</v>
      </c>
      <c r="C15612" s="1" t="s">
        <v>470</v>
      </c>
      <c r="D15612" s="3">
        <f t="shared" si="2575"/>
        <v>8275</v>
      </c>
      <c r="E15612" s="2">
        <f t="shared" si="2576"/>
        <v>43160</v>
      </c>
      <c r="F15612" s="2">
        <f t="shared" si="2577"/>
        <v>44104</v>
      </c>
    </row>
    <row r="15613" spans="1:6" x14ac:dyDescent="0.25">
      <c r="A15613" s="1" t="s">
        <v>4</v>
      </c>
      <c r="B15613" s="1" t="s">
        <v>1778</v>
      </c>
      <c r="C15613" s="1" t="s">
        <v>471</v>
      </c>
      <c r="D15613" s="3">
        <f t="shared" si="2575"/>
        <v>8275</v>
      </c>
      <c r="E15613" s="2">
        <f t="shared" si="2576"/>
        <v>43160</v>
      </c>
      <c r="F15613" s="2">
        <f t="shared" si="2577"/>
        <v>44104</v>
      </c>
    </row>
    <row r="15614" spans="1:6" x14ac:dyDescent="0.25">
      <c r="A15614" s="1" t="s">
        <v>4</v>
      </c>
      <c r="B15614" s="1" t="s">
        <v>1778</v>
      </c>
      <c r="C15614" s="1" t="s">
        <v>328</v>
      </c>
      <c r="D15614" s="3">
        <f t="shared" si="2575"/>
        <v>8275</v>
      </c>
      <c r="E15614" s="2">
        <f t="shared" si="2576"/>
        <v>43160</v>
      </c>
      <c r="F15614" s="2">
        <f t="shared" si="2577"/>
        <v>44104</v>
      </c>
    </row>
    <row r="15615" spans="1:6" x14ac:dyDescent="0.25">
      <c r="A15615" s="1" t="s">
        <v>4</v>
      </c>
      <c r="B15615" s="1" t="s">
        <v>1778</v>
      </c>
      <c r="C15615" s="1" t="s">
        <v>22</v>
      </c>
      <c r="D15615" s="3">
        <f t="shared" si="2575"/>
        <v>8275</v>
      </c>
      <c r="E15615" s="2">
        <f t="shared" si="2576"/>
        <v>43160</v>
      </c>
      <c r="F15615" s="2">
        <f t="shared" si="2577"/>
        <v>44104</v>
      </c>
    </row>
    <row r="15616" spans="1:6" x14ac:dyDescent="0.25">
      <c r="A15616" s="1" t="s">
        <v>4</v>
      </c>
      <c r="B15616" s="1" t="s">
        <v>1778</v>
      </c>
      <c r="C15616" s="1" t="s">
        <v>92</v>
      </c>
      <c r="D15616" s="3">
        <f t="shared" si="2575"/>
        <v>8275</v>
      </c>
      <c r="E15616" s="2">
        <f t="shared" si="2576"/>
        <v>43160</v>
      </c>
      <c r="F15616" s="2">
        <f t="shared" si="2577"/>
        <v>44104</v>
      </c>
    </row>
    <row r="15617" spans="1:6" x14ac:dyDescent="0.25">
      <c r="A15617" s="1" t="s">
        <v>4</v>
      </c>
      <c r="B15617" s="1" t="s">
        <v>1778</v>
      </c>
      <c r="C15617" s="1" t="s">
        <v>128</v>
      </c>
      <c r="D15617" s="3">
        <f t="shared" si="2575"/>
        <v>8275</v>
      </c>
      <c r="E15617" s="2">
        <f t="shared" si="2576"/>
        <v>43160</v>
      </c>
      <c r="F15617" s="2">
        <f t="shared" si="2577"/>
        <v>44104</v>
      </c>
    </row>
    <row r="15618" spans="1:6" x14ac:dyDescent="0.25">
      <c r="A15618" s="1" t="s">
        <v>4</v>
      </c>
      <c r="B15618" s="1" t="s">
        <v>1778</v>
      </c>
      <c r="C15618" s="1" t="s">
        <v>93</v>
      </c>
      <c r="D15618" s="3">
        <f t="shared" si="2575"/>
        <v>8275</v>
      </c>
      <c r="E15618" s="2">
        <f t="shared" si="2576"/>
        <v>43160</v>
      </c>
      <c r="F15618" s="2">
        <f t="shared" si="2577"/>
        <v>44104</v>
      </c>
    </row>
    <row r="15619" spans="1:6" x14ac:dyDescent="0.25">
      <c r="A15619" s="1" t="s">
        <v>4</v>
      </c>
      <c r="B15619" s="1" t="s">
        <v>1778</v>
      </c>
      <c r="C15619" s="1" t="s">
        <v>94</v>
      </c>
      <c r="D15619" s="3">
        <f t="shared" si="2575"/>
        <v>8275</v>
      </c>
      <c r="E15619" s="2">
        <f t="shared" si="2576"/>
        <v>43160</v>
      </c>
      <c r="F15619" s="2">
        <f t="shared" si="2577"/>
        <v>44104</v>
      </c>
    </row>
    <row r="15620" spans="1:6" x14ac:dyDescent="0.25">
      <c r="A15620" s="1" t="s">
        <v>4</v>
      </c>
      <c r="B15620" s="1" t="s">
        <v>1778</v>
      </c>
      <c r="C15620" s="1" t="s">
        <v>573</v>
      </c>
      <c r="D15620" s="3">
        <f t="shared" si="2575"/>
        <v>8275</v>
      </c>
      <c r="E15620" s="2">
        <f t="shared" si="2576"/>
        <v>43160</v>
      </c>
      <c r="F15620" s="2">
        <f t="shared" si="2577"/>
        <v>44104</v>
      </c>
    </row>
    <row r="15621" spans="1:6" x14ac:dyDescent="0.25">
      <c r="A15621" s="1" t="s">
        <v>4</v>
      </c>
      <c r="B15621" s="1" t="s">
        <v>1778</v>
      </c>
      <c r="C15621" s="1" t="s">
        <v>170</v>
      </c>
      <c r="D15621" s="3">
        <f t="shared" si="2575"/>
        <v>8275</v>
      </c>
      <c r="E15621" s="2">
        <f t="shared" si="2576"/>
        <v>43160</v>
      </c>
      <c r="F15621" s="2">
        <f t="shared" si="2577"/>
        <v>44104</v>
      </c>
    </row>
    <row r="15622" spans="1:6" x14ac:dyDescent="0.25">
      <c r="A15622" s="1" t="s">
        <v>4</v>
      </c>
      <c r="B15622" s="1" t="s">
        <v>867</v>
      </c>
      <c r="C15622" s="1" t="s">
        <v>6</v>
      </c>
      <c r="D15622" s="3">
        <f t="shared" ref="D15622:D15634" si="2578">VALUE("8087")</f>
        <v>8087</v>
      </c>
      <c r="E15622" s="2">
        <f t="shared" ref="E15622:E15634" si="2579">DATEVALUE("1-6-2017")</f>
        <v>42887</v>
      </c>
      <c r="F15622" s="2">
        <f t="shared" ref="F15622:F15634" si="2580">DATEVALUE("31-12-2025")</f>
        <v>46022</v>
      </c>
    </row>
    <row r="15623" spans="1:6" x14ac:dyDescent="0.25">
      <c r="A15623" s="1" t="s">
        <v>4</v>
      </c>
      <c r="B15623" s="1" t="s">
        <v>867</v>
      </c>
      <c r="C15623" s="1" t="s">
        <v>215</v>
      </c>
      <c r="D15623" s="3">
        <f t="shared" si="2578"/>
        <v>8087</v>
      </c>
      <c r="E15623" s="2">
        <f t="shared" si="2579"/>
        <v>42887</v>
      </c>
      <c r="F15623" s="2">
        <f t="shared" si="2580"/>
        <v>46022</v>
      </c>
    </row>
    <row r="15624" spans="1:6" x14ac:dyDescent="0.25">
      <c r="A15624" s="1" t="s">
        <v>4</v>
      </c>
      <c r="B15624" s="1" t="s">
        <v>867</v>
      </c>
      <c r="C15624" s="1" t="s">
        <v>14</v>
      </c>
      <c r="D15624" s="3">
        <f t="shared" si="2578"/>
        <v>8087</v>
      </c>
      <c r="E15624" s="2">
        <f t="shared" si="2579"/>
        <v>42887</v>
      </c>
      <c r="F15624" s="2">
        <f t="shared" si="2580"/>
        <v>46022</v>
      </c>
    </row>
    <row r="15625" spans="1:6" x14ac:dyDescent="0.25">
      <c r="A15625" s="1" t="s">
        <v>4</v>
      </c>
      <c r="B15625" s="1" t="s">
        <v>867</v>
      </c>
      <c r="C15625" s="1" t="s">
        <v>15</v>
      </c>
      <c r="D15625" s="3">
        <f t="shared" si="2578"/>
        <v>8087</v>
      </c>
      <c r="E15625" s="2">
        <f t="shared" si="2579"/>
        <v>42887</v>
      </c>
      <c r="F15625" s="2">
        <f t="shared" si="2580"/>
        <v>46022</v>
      </c>
    </row>
    <row r="15626" spans="1:6" x14ac:dyDescent="0.25">
      <c r="A15626" s="1" t="s">
        <v>4</v>
      </c>
      <c r="B15626" s="1" t="s">
        <v>867</v>
      </c>
      <c r="C15626" s="1" t="s">
        <v>17</v>
      </c>
      <c r="D15626" s="3">
        <f t="shared" si="2578"/>
        <v>8087</v>
      </c>
      <c r="E15626" s="2">
        <f t="shared" si="2579"/>
        <v>42887</v>
      </c>
      <c r="F15626" s="2">
        <f t="shared" si="2580"/>
        <v>46022</v>
      </c>
    </row>
    <row r="15627" spans="1:6" x14ac:dyDescent="0.25">
      <c r="A15627" s="1" t="s">
        <v>4</v>
      </c>
      <c r="B15627" s="1" t="s">
        <v>867</v>
      </c>
      <c r="C15627" s="1" t="s">
        <v>22</v>
      </c>
      <c r="D15627" s="3">
        <f t="shared" si="2578"/>
        <v>8087</v>
      </c>
      <c r="E15627" s="2">
        <f t="shared" si="2579"/>
        <v>42887</v>
      </c>
      <c r="F15627" s="2">
        <f t="shared" si="2580"/>
        <v>46022</v>
      </c>
    </row>
    <row r="15628" spans="1:6" x14ac:dyDescent="0.25">
      <c r="A15628" s="1" t="s">
        <v>4</v>
      </c>
      <c r="B15628" s="1" t="s">
        <v>867</v>
      </c>
      <c r="C15628" s="1" t="s">
        <v>250</v>
      </c>
      <c r="D15628" s="3">
        <f t="shared" si="2578"/>
        <v>8087</v>
      </c>
      <c r="E15628" s="2">
        <f t="shared" si="2579"/>
        <v>42887</v>
      </c>
      <c r="F15628" s="2">
        <f t="shared" si="2580"/>
        <v>46022</v>
      </c>
    </row>
    <row r="15629" spans="1:6" x14ac:dyDescent="0.25">
      <c r="A15629" s="1" t="s">
        <v>4</v>
      </c>
      <c r="B15629" s="1" t="s">
        <v>867</v>
      </c>
      <c r="C15629" s="1" t="s">
        <v>146</v>
      </c>
      <c r="D15629" s="3">
        <f t="shared" si="2578"/>
        <v>8087</v>
      </c>
      <c r="E15629" s="2">
        <f t="shared" si="2579"/>
        <v>42887</v>
      </c>
      <c r="F15629" s="2">
        <f t="shared" si="2580"/>
        <v>46022</v>
      </c>
    </row>
    <row r="15630" spans="1:6" x14ac:dyDescent="0.25">
      <c r="A15630" s="1" t="s">
        <v>4</v>
      </c>
      <c r="B15630" s="1" t="s">
        <v>867</v>
      </c>
      <c r="C15630" s="1" t="s">
        <v>148</v>
      </c>
      <c r="D15630" s="3">
        <f t="shared" si="2578"/>
        <v>8087</v>
      </c>
      <c r="E15630" s="2">
        <f t="shared" si="2579"/>
        <v>42887</v>
      </c>
      <c r="F15630" s="2">
        <f t="shared" si="2580"/>
        <v>46022</v>
      </c>
    </row>
    <row r="15631" spans="1:6" x14ac:dyDescent="0.25">
      <c r="A15631" s="1" t="s">
        <v>4</v>
      </c>
      <c r="B15631" s="1" t="s">
        <v>867</v>
      </c>
      <c r="C15631" s="1" t="s">
        <v>24</v>
      </c>
      <c r="D15631" s="3">
        <f t="shared" si="2578"/>
        <v>8087</v>
      </c>
      <c r="E15631" s="2">
        <f t="shared" si="2579"/>
        <v>42887</v>
      </c>
      <c r="F15631" s="2">
        <f t="shared" si="2580"/>
        <v>46022</v>
      </c>
    </row>
    <row r="15632" spans="1:6" x14ac:dyDescent="0.25">
      <c r="A15632" s="1" t="s">
        <v>4</v>
      </c>
      <c r="B15632" s="1" t="s">
        <v>867</v>
      </c>
      <c r="C15632" s="1" t="s">
        <v>72</v>
      </c>
      <c r="D15632" s="3">
        <f t="shared" si="2578"/>
        <v>8087</v>
      </c>
      <c r="E15632" s="2">
        <f t="shared" si="2579"/>
        <v>42887</v>
      </c>
      <c r="F15632" s="2">
        <f t="shared" si="2580"/>
        <v>46022</v>
      </c>
    </row>
    <row r="15633" spans="1:6" x14ac:dyDescent="0.25">
      <c r="A15633" s="1" t="s">
        <v>4</v>
      </c>
      <c r="B15633" s="1" t="s">
        <v>867</v>
      </c>
      <c r="C15633" s="1" t="s">
        <v>52</v>
      </c>
      <c r="D15633" s="3">
        <f t="shared" si="2578"/>
        <v>8087</v>
      </c>
      <c r="E15633" s="2">
        <f t="shared" si="2579"/>
        <v>42887</v>
      </c>
      <c r="F15633" s="2">
        <f t="shared" si="2580"/>
        <v>46022</v>
      </c>
    </row>
    <row r="15634" spans="1:6" x14ac:dyDescent="0.25">
      <c r="A15634" s="1" t="s">
        <v>4</v>
      </c>
      <c r="B15634" s="1" t="s">
        <v>867</v>
      </c>
      <c r="C15634" s="1" t="s">
        <v>34</v>
      </c>
      <c r="D15634" s="3">
        <f t="shared" si="2578"/>
        <v>8087</v>
      </c>
      <c r="E15634" s="2">
        <f t="shared" si="2579"/>
        <v>42887</v>
      </c>
      <c r="F15634" s="2">
        <f t="shared" si="2580"/>
        <v>46022</v>
      </c>
    </row>
    <row r="15635" spans="1:6" x14ac:dyDescent="0.25">
      <c r="A15635" s="1" t="s">
        <v>4</v>
      </c>
      <c r="B15635" s="1" t="s">
        <v>749</v>
      </c>
      <c r="C15635" s="1" t="s">
        <v>42</v>
      </c>
      <c r="D15635" s="3">
        <f t="shared" ref="D15635:D15669" si="2581">VALUE("7930")</f>
        <v>7930</v>
      </c>
      <c r="E15635" s="2">
        <f t="shared" ref="E15635:E15669" si="2582">DATEVALUE("1-7-2016")</f>
        <v>42552</v>
      </c>
      <c r="F15635" s="2">
        <f t="shared" ref="F15635:F15669" si="2583">DATEVALUE("31-12-2020")</f>
        <v>44196</v>
      </c>
    </row>
    <row r="15636" spans="1:6" x14ac:dyDescent="0.25">
      <c r="A15636" s="1" t="s">
        <v>4</v>
      </c>
      <c r="B15636" s="1" t="s">
        <v>749</v>
      </c>
      <c r="C15636" s="1" t="s">
        <v>8</v>
      </c>
      <c r="D15636" s="3">
        <f t="shared" si="2581"/>
        <v>7930</v>
      </c>
      <c r="E15636" s="2">
        <f t="shared" si="2582"/>
        <v>42552</v>
      </c>
      <c r="F15636" s="2">
        <f t="shared" si="2583"/>
        <v>44196</v>
      </c>
    </row>
    <row r="15637" spans="1:6" x14ac:dyDescent="0.25">
      <c r="A15637" s="1" t="s">
        <v>4</v>
      </c>
      <c r="B15637" s="1" t="s">
        <v>749</v>
      </c>
      <c r="C15637" s="1" t="s">
        <v>256</v>
      </c>
      <c r="D15637" s="3">
        <f t="shared" si="2581"/>
        <v>7930</v>
      </c>
      <c r="E15637" s="2">
        <f t="shared" si="2582"/>
        <v>42552</v>
      </c>
      <c r="F15637" s="2">
        <f t="shared" si="2583"/>
        <v>44196</v>
      </c>
    </row>
    <row r="15638" spans="1:6" x14ac:dyDescent="0.25">
      <c r="A15638" s="1" t="s">
        <v>4</v>
      </c>
      <c r="B15638" s="1" t="s">
        <v>749</v>
      </c>
      <c r="C15638" s="1" t="s">
        <v>61</v>
      </c>
      <c r="D15638" s="3">
        <f t="shared" si="2581"/>
        <v>7930</v>
      </c>
      <c r="E15638" s="2">
        <f t="shared" si="2582"/>
        <v>42552</v>
      </c>
      <c r="F15638" s="2">
        <f t="shared" si="2583"/>
        <v>44196</v>
      </c>
    </row>
    <row r="15639" spans="1:6" x14ac:dyDescent="0.25">
      <c r="A15639" s="1" t="s">
        <v>4</v>
      </c>
      <c r="B15639" s="1" t="s">
        <v>749</v>
      </c>
      <c r="C15639" s="1" t="s">
        <v>609</v>
      </c>
      <c r="D15639" s="3">
        <f t="shared" si="2581"/>
        <v>7930</v>
      </c>
      <c r="E15639" s="2">
        <f t="shared" si="2582"/>
        <v>42552</v>
      </c>
      <c r="F15639" s="2">
        <f t="shared" si="2583"/>
        <v>44196</v>
      </c>
    </row>
    <row r="15640" spans="1:6" x14ac:dyDescent="0.25">
      <c r="A15640" s="1" t="s">
        <v>4</v>
      </c>
      <c r="B15640" s="1" t="s">
        <v>749</v>
      </c>
      <c r="C15640" s="1" t="s">
        <v>138</v>
      </c>
      <c r="D15640" s="3">
        <f t="shared" si="2581"/>
        <v>7930</v>
      </c>
      <c r="E15640" s="2">
        <f t="shared" si="2582"/>
        <v>42552</v>
      </c>
      <c r="F15640" s="2">
        <f t="shared" si="2583"/>
        <v>44196</v>
      </c>
    </row>
    <row r="15641" spans="1:6" x14ac:dyDescent="0.25">
      <c r="A15641" s="1" t="s">
        <v>4</v>
      </c>
      <c r="B15641" s="1" t="s">
        <v>749</v>
      </c>
      <c r="C15641" s="1" t="s">
        <v>184</v>
      </c>
      <c r="D15641" s="3">
        <f t="shared" si="2581"/>
        <v>7930</v>
      </c>
      <c r="E15641" s="2">
        <f t="shared" si="2582"/>
        <v>42552</v>
      </c>
      <c r="F15641" s="2">
        <f t="shared" si="2583"/>
        <v>44196</v>
      </c>
    </row>
    <row r="15642" spans="1:6" x14ac:dyDescent="0.25">
      <c r="A15642" s="1" t="s">
        <v>4</v>
      </c>
      <c r="B15642" s="1" t="s">
        <v>749</v>
      </c>
      <c r="C15642" s="1" t="s">
        <v>65</v>
      </c>
      <c r="D15642" s="3">
        <f t="shared" si="2581"/>
        <v>7930</v>
      </c>
      <c r="E15642" s="2">
        <f t="shared" si="2582"/>
        <v>42552</v>
      </c>
      <c r="F15642" s="2">
        <f t="shared" si="2583"/>
        <v>44196</v>
      </c>
    </row>
    <row r="15643" spans="1:6" x14ac:dyDescent="0.25">
      <c r="A15643" s="1" t="s">
        <v>4</v>
      </c>
      <c r="B15643" s="1" t="s">
        <v>749</v>
      </c>
      <c r="C15643" s="1" t="s">
        <v>750</v>
      </c>
      <c r="D15643" s="3">
        <f t="shared" si="2581"/>
        <v>7930</v>
      </c>
      <c r="E15643" s="2">
        <f t="shared" si="2582"/>
        <v>42552</v>
      </c>
      <c r="F15643" s="2">
        <f t="shared" si="2583"/>
        <v>44196</v>
      </c>
    </row>
    <row r="15644" spans="1:6" x14ac:dyDescent="0.25">
      <c r="A15644" s="1" t="s">
        <v>4</v>
      </c>
      <c r="B15644" s="1" t="s">
        <v>749</v>
      </c>
      <c r="C15644" s="1" t="s">
        <v>416</v>
      </c>
      <c r="D15644" s="3">
        <f t="shared" si="2581"/>
        <v>7930</v>
      </c>
      <c r="E15644" s="2">
        <f t="shared" si="2582"/>
        <v>42552</v>
      </c>
      <c r="F15644" s="2">
        <f t="shared" si="2583"/>
        <v>44196</v>
      </c>
    </row>
    <row r="15645" spans="1:6" x14ac:dyDescent="0.25">
      <c r="A15645" s="1" t="s">
        <v>4</v>
      </c>
      <c r="B15645" s="1" t="s">
        <v>749</v>
      </c>
      <c r="C15645" s="1" t="s">
        <v>14</v>
      </c>
      <c r="D15645" s="3">
        <f t="shared" si="2581"/>
        <v>7930</v>
      </c>
      <c r="E15645" s="2">
        <f t="shared" si="2582"/>
        <v>42552</v>
      </c>
      <c r="F15645" s="2">
        <f t="shared" si="2583"/>
        <v>44196</v>
      </c>
    </row>
    <row r="15646" spans="1:6" x14ac:dyDescent="0.25">
      <c r="A15646" s="1" t="s">
        <v>4</v>
      </c>
      <c r="B15646" s="1" t="s">
        <v>749</v>
      </c>
      <c r="C15646" s="1" t="s">
        <v>66</v>
      </c>
      <c r="D15646" s="3">
        <f t="shared" si="2581"/>
        <v>7930</v>
      </c>
      <c r="E15646" s="2">
        <f t="shared" si="2582"/>
        <v>42552</v>
      </c>
      <c r="F15646" s="2">
        <f t="shared" si="2583"/>
        <v>44196</v>
      </c>
    </row>
    <row r="15647" spans="1:6" x14ac:dyDescent="0.25">
      <c r="A15647" s="1" t="s">
        <v>4</v>
      </c>
      <c r="B15647" s="1" t="s">
        <v>749</v>
      </c>
      <c r="C15647" s="1" t="s">
        <v>15</v>
      </c>
      <c r="D15647" s="3">
        <f t="shared" si="2581"/>
        <v>7930</v>
      </c>
      <c r="E15647" s="2">
        <f t="shared" si="2582"/>
        <v>42552</v>
      </c>
      <c r="F15647" s="2">
        <f t="shared" si="2583"/>
        <v>44196</v>
      </c>
    </row>
    <row r="15648" spans="1:6" x14ac:dyDescent="0.25">
      <c r="A15648" s="1" t="s">
        <v>4</v>
      </c>
      <c r="B15648" s="1" t="s">
        <v>749</v>
      </c>
      <c r="C15648" s="1" t="s">
        <v>89</v>
      </c>
      <c r="D15648" s="3">
        <f t="shared" si="2581"/>
        <v>7930</v>
      </c>
      <c r="E15648" s="2">
        <f t="shared" si="2582"/>
        <v>42552</v>
      </c>
      <c r="F15648" s="2">
        <f t="shared" si="2583"/>
        <v>44196</v>
      </c>
    </row>
    <row r="15649" spans="1:6" x14ac:dyDescent="0.25">
      <c r="A15649" s="1" t="s">
        <v>4</v>
      </c>
      <c r="B15649" s="1" t="s">
        <v>749</v>
      </c>
      <c r="C15649" s="1" t="s">
        <v>17</v>
      </c>
      <c r="D15649" s="3">
        <f t="shared" si="2581"/>
        <v>7930</v>
      </c>
      <c r="E15649" s="2">
        <f t="shared" si="2582"/>
        <v>42552</v>
      </c>
      <c r="F15649" s="2">
        <f t="shared" si="2583"/>
        <v>44196</v>
      </c>
    </row>
    <row r="15650" spans="1:6" x14ac:dyDescent="0.25">
      <c r="A15650" s="1" t="s">
        <v>4</v>
      </c>
      <c r="B15650" s="1" t="s">
        <v>749</v>
      </c>
      <c r="C15650" s="1" t="s">
        <v>257</v>
      </c>
      <c r="D15650" s="3">
        <f t="shared" si="2581"/>
        <v>7930</v>
      </c>
      <c r="E15650" s="2">
        <f t="shared" si="2582"/>
        <v>42552</v>
      </c>
      <c r="F15650" s="2">
        <f t="shared" si="2583"/>
        <v>44196</v>
      </c>
    </row>
    <row r="15651" spans="1:6" x14ac:dyDescent="0.25">
      <c r="A15651" s="1" t="s">
        <v>4</v>
      </c>
      <c r="B15651" s="1" t="s">
        <v>749</v>
      </c>
      <c r="C15651" s="1" t="s">
        <v>470</v>
      </c>
      <c r="D15651" s="3">
        <f t="shared" si="2581"/>
        <v>7930</v>
      </c>
      <c r="E15651" s="2">
        <f t="shared" si="2582"/>
        <v>42552</v>
      </c>
      <c r="F15651" s="2">
        <f t="shared" si="2583"/>
        <v>44196</v>
      </c>
    </row>
    <row r="15652" spans="1:6" x14ac:dyDescent="0.25">
      <c r="A15652" s="1" t="s">
        <v>4</v>
      </c>
      <c r="B15652" s="1" t="s">
        <v>749</v>
      </c>
      <c r="C15652" s="1" t="s">
        <v>471</v>
      </c>
      <c r="D15652" s="3">
        <f t="shared" si="2581"/>
        <v>7930</v>
      </c>
      <c r="E15652" s="2">
        <f t="shared" si="2582"/>
        <v>42552</v>
      </c>
      <c r="F15652" s="2">
        <f t="shared" si="2583"/>
        <v>44196</v>
      </c>
    </row>
    <row r="15653" spans="1:6" x14ac:dyDescent="0.25">
      <c r="A15653" s="1" t="s">
        <v>4</v>
      </c>
      <c r="B15653" s="1" t="s">
        <v>749</v>
      </c>
      <c r="C15653" s="1" t="s">
        <v>328</v>
      </c>
      <c r="D15653" s="3">
        <f t="shared" si="2581"/>
        <v>7930</v>
      </c>
      <c r="E15653" s="2">
        <f t="shared" si="2582"/>
        <v>42552</v>
      </c>
      <c r="F15653" s="2">
        <f t="shared" si="2583"/>
        <v>44196</v>
      </c>
    </row>
    <row r="15654" spans="1:6" x14ac:dyDescent="0.25">
      <c r="A15654" s="1" t="s">
        <v>4</v>
      </c>
      <c r="B15654" s="1" t="s">
        <v>749</v>
      </c>
      <c r="C15654" s="1" t="s">
        <v>22</v>
      </c>
      <c r="D15654" s="3">
        <f t="shared" si="2581"/>
        <v>7930</v>
      </c>
      <c r="E15654" s="2">
        <f t="shared" si="2582"/>
        <v>42552</v>
      </c>
      <c r="F15654" s="2">
        <f t="shared" si="2583"/>
        <v>44196</v>
      </c>
    </row>
    <row r="15655" spans="1:6" x14ac:dyDescent="0.25">
      <c r="A15655" s="1" t="s">
        <v>4</v>
      </c>
      <c r="B15655" s="1" t="s">
        <v>749</v>
      </c>
      <c r="C15655" s="1" t="s">
        <v>146</v>
      </c>
      <c r="D15655" s="3">
        <f t="shared" si="2581"/>
        <v>7930</v>
      </c>
      <c r="E15655" s="2">
        <f t="shared" si="2582"/>
        <v>42552</v>
      </c>
      <c r="F15655" s="2">
        <f t="shared" si="2583"/>
        <v>44196</v>
      </c>
    </row>
    <row r="15656" spans="1:6" x14ac:dyDescent="0.25">
      <c r="A15656" s="1" t="s">
        <v>4</v>
      </c>
      <c r="B15656" s="1" t="s">
        <v>749</v>
      </c>
      <c r="C15656" s="1" t="s">
        <v>67</v>
      </c>
      <c r="D15656" s="3">
        <f t="shared" si="2581"/>
        <v>7930</v>
      </c>
      <c r="E15656" s="2">
        <f t="shared" si="2582"/>
        <v>42552</v>
      </c>
      <c r="F15656" s="2">
        <f t="shared" si="2583"/>
        <v>44196</v>
      </c>
    </row>
    <row r="15657" spans="1:6" x14ac:dyDescent="0.25">
      <c r="A15657" s="1" t="s">
        <v>4</v>
      </c>
      <c r="B15657" s="1" t="s">
        <v>749</v>
      </c>
      <c r="C15657" s="1" t="s">
        <v>472</v>
      </c>
      <c r="D15657" s="3">
        <f t="shared" si="2581"/>
        <v>7930</v>
      </c>
      <c r="E15657" s="2">
        <f t="shared" si="2582"/>
        <v>42552</v>
      </c>
      <c r="F15657" s="2">
        <f t="shared" si="2583"/>
        <v>44196</v>
      </c>
    </row>
    <row r="15658" spans="1:6" x14ac:dyDescent="0.25">
      <c r="A15658" s="1" t="s">
        <v>4</v>
      </c>
      <c r="B15658" s="1" t="s">
        <v>749</v>
      </c>
      <c r="C15658" s="1" t="s">
        <v>92</v>
      </c>
      <c r="D15658" s="3">
        <f t="shared" si="2581"/>
        <v>7930</v>
      </c>
      <c r="E15658" s="2">
        <f t="shared" si="2582"/>
        <v>42552</v>
      </c>
      <c r="F15658" s="2">
        <f t="shared" si="2583"/>
        <v>44196</v>
      </c>
    </row>
    <row r="15659" spans="1:6" x14ac:dyDescent="0.25">
      <c r="A15659" s="1" t="s">
        <v>4</v>
      </c>
      <c r="B15659" s="1" t="s">
        <v>749</v>
      </c>
      <c r="C15659" s="1" t="s">
        <v>751</v>
      </c>
      <c r="D15659" s="3">
        <f t="shared" si="2581"/>
        <v>7930</v>
      </c>
      <c r="E15659" s="2">
        <f t="shared" si="2582"/>
        <v>42552</v>
      </c>
      <c r="F15659" s="2">
        <f t="shared" si="2583"/>
        <v>44196</v>
      </c>
    </row>
    <row r="15660" spans="1:6" x14ac:dyDescent="0.25">
      <c r="A15660" s="1" t="s">
        <v>4</v>
      </c>
      <c r="B15660" s="1" t="s">
        <v>749</v>
      </c>
      <c r="C15660" s="1" t="s">
        <v>94</v>
      </c>
      <c r="D15660" s="3">
        <f t="shared" si="2581"/>
        <v>7930</v>
      </c>
      <c r="E15660" s="2">
        <f t="shared" si="2582"/>
        <v>42552</v>
      </c>
      <c r="F15660" s="2">
        <f t="shared" si="2583"/>
        <v>44196</v>
      </c>
    </row>
    <row r="15661" spans="1:6" x14ac:dyDescent="0.25">
      <c r="A15661" s="1" t="s">
        <v>4</v>
      </c>
      <c r="B15661" s="1" t="s">
        <v>749</v>
      </c>
      <c r="C15661" s="1" t="s">
        <v>573</v>
      </c>
      <c r="D15661" s="3">
        <f t="shared" si="2581"/>
        <v>7930</v>
      </c>
      <c r="E15661" s="2">
        <f t="shared" si="2582"/>
        <v>42552</v>
      </c>
      <c r="F15661" s="2">
        <f t="shared" si="2583"/>
        <v>44196</v>
      </c>
    </row>
    <row r="15662" spans="1:6" x14ac:dyDescent="0.25">
      <c r="A15662" s="1" t="s">
        <v>4</v>
      </c>
      <c r="B15662" s="1" t="s">
        <v>749</v>
      </c>
      <c r="C15662" s="1" t="s">
        <v>24</v>
      </c>
      <c r="D15662" s="3">
        <f t="shared" si="2581"/>
        <v>7930</v>
      </c>
      <c r="E15662" s="2">
        <f t="shared" si="2582"/>
        <v>42552</v>
      </c>
      <c r="F15662" s="2">
        <f t="shared" si="2583"/>
        <v>44196</v>
      </c>
    </row>
    <row r="15663" spans="1:6" x14ac:dyDescent="0.25">
      <c r="A15663" s="1" t="s">
        <v>4</v>
      </c>
      <c r="B15663" s="1" t="s">
        <v>749</v>
      </c>
      <c r="C15663" s="1" t="s">
        <v>70</v>
      </c>
      <c r="D15663" s="3">
        <f t="shared" si="2581"/>
        <v>7930</v>
      </c>
      <c r="E15663" s="2">
        <f t="shared" si="2582"/>
        <v>42552</v>
      </c>
      <c r="F15663" s="2">
        <f t="shared" si="2583"/>
        <v>44196</v>
      </c>
    </row>
    <row r="15664" spans="1:6" x14ac:dyDescent="0.25">
      <c r="A15664" s="1" t="s">
        <v>4</v>
      </c>
      <c r="B15664" s="1" t="s">
        <v>749</v>
      </c>
      <c r="C15664" s="1" t="s">
        <v>97</v>
      </c>
      <c r="D15664" s="3">
        <f t="shared" si="2581"/>
        <v>7930</v>
      </c>
      <c r="E15664" s="2">
        <f t="shared" si="2582"/>
        <v>42552</v>
      </c>
      <c r="F15664" s="2">
        <f t="shared" si="2583"/>
        <v>44196</v>
      </c>
    </row>
    <row r="15665" spans="1:6" x14ac:dyDescent="0.25">
      <c r="A15665" s="1" t="s">
        <v>4</v>
      </c>
      <c r="B15665" s="1" t="s">
        <v>749</v>
      </c>
      <c r="C15665" s="1" t="s">
        <v>26</v>
      </c>
      <c r="D15665" s="3">
        <f t="shared" si="2581"/>
        <v>7930</v>
      </c>
      <c r="E15665" s="2">
        <f t="shared" si="2582"/>
        <v>42552</v>
      </c>
      <c r="F15665" s="2">
        <f t="shared" si="2583"/>
        <v>44196</v>
      </c>
    </row>
    <row r="15666" spans="1:6" x14ac:dyDescent="0.25">
      <c r="A15666" s="1" t="s">
        <v>4</v>
      </c>
      <c r="B15666" s="1" t="s">
        <v>749</v>
      </c>
      <c r="C15666" s="1" t="s">
        <v>72</v>
      </c>
      <c r="D15666" s="3">
        <f t="shared" si="2581"/>
        <v>7930</v>
      </c>
      <c r="E15666" s="2">
        <f t="shared" si="2582"/>
        <v>42552</v>
      </c>
      <c r="F15666" s="2">
        <f t="shared" si="2583"/>
        <v>44196</v>
      </c>
    </row>
    <row r="15667" spans="1:6" x14ac:dyDescent="0.25">
      <c r="A15667" s="1" t="s">
        <v>4</v>
      </c>
      <c r="B15667" s="1" t="s">
        <v>749</v>
      </c>
      <c r="C15667" s="1" t="s">
        <v>52</v>
      </c>
      <c r="D15667" s="3">
        <f t="shared" si="2581"/>
        <v>7930</v>
      </c>
      <c r="E15667" s="2">
        <f t="shared" si="2582"/>
        <v>42552</v>
      </c>
      <c r="F15667" s="2">
        <f t="shared" si="2583"/>
        <v>44196</v>
      </c>
    </row>
    <row r="15668" spans="1:6" x14ac:dyDescent="0.25">
      <c r="A15668" s="1" t="s">
        <v>4</v>
      </c>
      <c r="B15668" s="1" t="s">
        <v>749</v>
      </c>
      <c r="C15668" s="1" t="s">
        <v>34</v>
      </c>
      <c r="D15668" s="3">
        <f t="shared" si="2581"/>
        <v>7930</v>
      </c>
      <c r="E15668" s="2">
        <f t="shared" si="2582"/>
        <v>42552</v>
      </c>
      <c r="F15668" s="2">
        <f t="shared" si="2583"/>
        <v>44196</v>
      </c>
    </row>
    <row r="15669" spans="1:6" x14ac:dyDescent="0.25">
      <c r="A15669" s="1" t="s">
        <v>4</v>
      </c>
      <c r="B15669" s="1" t="s">
        <v>749</v>
      </c>
      <c r="C15669" s="1" t="s">
        <v>36</v>
      </c>
      <c r="D15669" s="3">
        <f t="shared" si="2581"/>
        <v>7930</v>
      </c>
      <c r="E15669" s="2">
        <f t="shared" si="2582"/>
        <v>42552</v>
      </c>
      <c r="F15669" s="2">
        <f t="shared" si="2583"/>
        <v>44196</v>
      </c>
    </row>
    <row r="15670" spans="1:6" x14ac:dyDescent="0.25">
      <c r="A15670" s="1" t="s">
        <v>4</v>
      </c>
      <c r="B15670" s="1" t="s">
        <v>885</v>
      </c>
      <c r="C15670" s="1" t="s">
        <v>325</v>
      </c>
      <c r="D15670" s="3">
        <f t="shared" ref="D15670:D15697" si="2584">VALUE("7633")</f>
        <v>7633</v>
      </c>
      <c r="E15670" s="2">
        <f t="shared" ref="E15670:E15697" si="2585">DATEVALUE("1-6-2014")</f>
        <v>41791</v>
      </c>
      <c r="F15670" s="2">
        <f t="shared" ref="F15670:F15697" si="2586">DATEVALUE("30-6-2017")</f>
        <v>42916</v>
      </c>
    </row>
    <row r="15671" spans="1:6" x14ac:dyDescent="0.25">
      <c r="A15671" s="1" t="s">
        <v>4</v>
      </c>
      <c r="B15671" s="1" t="s">
        <v>885</v>
      </c>
      <c r="C15671" s="1" t="s">
        <v>39</v>
      </c>
      <c r="D15671" s="3">
        <f t="shared" si="2584"/>
        <v>7633</v>
      </c>
      <c r="E15671" s="2">
        <f t="shared" si="2585"/>
        <v>41791</v>
      </c>
      <c r="F15671" s="2">
        <f t="shared" si="2586"/>
        <v>42916</v>
      </c>
    </row>
    <row r="15672" spans="1:6" x14ac:dyDescent="0.25">
      <c r="A15672" s="1" t="s">
        <v>4</v>
      </c>
      <c r="B15672" s="1" t="s">
        <v>885</v>
      </c>
      <c r="C15672" s="1" t="s">
        <v>8</v>
      </c>
      <c r="D15672" s="3">
        <f t="shared" si="2584"/>
        <v>7633</v>
      </c>
      <c r="E15672" s="2">
        <f t="shared" si="2585"/>
        <v>41791</v>
      </c>
      <c r="F15672" s="2">
        <f t="shared" si="2586"/>
        <v>42916</v>
      </c>
    </row>
    <row r="15673" spans="1:6" x14ac:dyDescent="0.25">
      <c r="A15673" s="1" t="s">
        <v>4</v>
      </c>
      <c r="B15673" s="1" t="s">
        <v>885</v>
      </c>
      <c r="C15673" s="1" t="s">
        <v>43</v>
      </c>
      <c r="D15673" s="3">
        <f t="shared" si="2584"/>
        <v>7633</v>
      </c>
      <c r="E15673" s="2">
        <f t="shared" si="2585"/>
        <v>41791</v>
      </c>
      <c r="F15673" s="2">
        <f t="shared" si="2586"/>
        <v>42916</v>
      </c>
    </row>
    <row r="15674" spans="1:6" x14ac:dyDescent="0.25">
      <c r="A15674" s="1" t="s">
        <v>4</v>
      </c>
      <c r="B15674" s="1" t="s">
        <v>885</v>
      </c>
      <c r="C15674" s="1" t="s">
        <v>46</v>
      </c>
      <c r="D15674" s="3">
        <f t="shared" si="2584"/>
        <v>7633</v>
      </c>
      <c r="E15674" s="2">
        <f t="shared" si="2585"/>
        <v>41791</v>
      </c>
      <c r="F15674" s="2">
        <f t="shared" si="2586"/>
        <v>42916</v>
      </c>
    </row>
    <row r="15675" spans="1:6" x14ac:dyDescent="0.25">
      <c r="A15675" s="1" t="s">
        <v>4</v>
      </c>
      <c r="B15675" s="1" t="s">
        <v>885</v>
      </c>
      <c r="C15675" s="1" t="s">
        <v>66</v>
      </c>
      <c r="D15675" s="3">
        <f t="shared" si="2584"/>
        <v>7633</v>
      </c>
      <c r="E15675" s="2">
        <f t="shared" si="2585"/>
        <v>41791</v>
      </c>
      <c r="F15675" s="2">
        <f t="shared" si="2586"/>
        <v>42916</v>
      </c>
    </row>
    <row r="15676" spans="1:6" x14ac:dyDescent="0.25">
      <c r="A15676" s="1" t="s">
        <v>4</v>
      </c>
      <c r="B15676" s="1" t="s">
        <v>885</v>
      </c>
      <c r="C15676" s="1" t="s">
        <v>15</v>
      </c>
      <c r="D15676" s="3">
        <f t="shared" si="2584"/>
        <v>7633</v>
      </c>
      <c r="E15676" s="2">
        <f t="shared" si="2585"/>
        <v>41791</v>
      </c>
      <c r="F15676" s="2">
        <f t="shared" si="2586"/>
        <v>42916</v>
      </c>
    </row>
    <row r="15677" spans="1:6" x14ac:dyDescent="0.25">
      <c r="A15677" s="1" t="s">
        <v>4</v>
      </c>
      <c r="B15677" s="1" t="s">
        <v>885</v>
      </c>
      <c r="C15677" s="1" t="s">
        <v>17</v>
      </c>
      <c r="D15677" s="3">
        <f t="shared" si="2584"/>
        <v>7633</v>
      </c>
      <c r="E15677" s="2">
        <f t="shared" si="2585"/>
        <v>41791</v>
      </c>
      <c r="F15677" s="2">
        <f t="shared" si="2586"/>
        <v>42916</v>
      </c>
    </row>
    <row r="15678" spans="1:6" x14ac:dyDescent="0.25">
      <c r="A15678" s="1" t="s">
        <v>4</v>
      </c>
      <c r="B15678" s="1" t="s">
        <v>885</v>
      </c>
      <c r="C15678" s="1" t="s">
        <v>144</v>
      </c>
      <c r="D15678" s="3">
        <f t="shared" si="2584"/>
        <v>7633</v>
      </c>
      <c r="E15678" s="2">
        <f t="shared" si="2585"/>
        <v>41791</v>
      </c>
      <c r="F15678" s="2">
        <f t="shared" si="2586"/>
        <v>42916</v>
      </c>
    </row>
    <row r="15679" spans="1:6" x14ac:dyDescent="0.25">
      <c r="A15679" s="1" t="s">
        <v>4</v>
      </c>
      <c r="B15679" s="1" t="s">
        <v>885</v>
      </c>
      <c r="C15679" s="1" t="s">
        <v>22</v>
      </c>
      <c r="D15679" s="3">
        <f t="shared" si="2584"/>
        <v>7633</v>
      </c>
      <c r="E15679" s="2">
        <f t="shared" si="2585"/>
        <v>41791</v>
      </c>
      <c r="F15679" s="2">
        <f t="shared" si="2586"/>
        <v>42916</v>
      </c>
    </row>
    <row r="15680" spans="1:6" x14ac:dyDescent="0.25">
      <c r="A15680" s="1" t="s">
        <v>4</v>
      </c>
      <c r="B15680" s="1" t="s">
        <v>885</v>
      </c>
      <c r="C15680" s="1" t="s">
        <v>48</v>
      </c>
      <c r="D15680" s="3">
        <f t="shared" si="2584"/>
        <v>7633</v>
      </c>
      <c r="E15680" s="2">
        <f t="shared" si="2585"/>
        <v>41791</v>
      </c>
      <c r="F15680" s="2">
        <f t="shared" si="2586"/>
        <v>42916</v>
      </c>
    </row>
    <row r="15681" spans="1:6" x14ac:dyDescent="0.25">
      <c r="A15681" s="1" t="s">
        <v>4</v>
      </c>
      <c r="B15681" s="1" t="s">
        <v>885</v>
      </c>
      <c r="C15681" s="1" t="s">
        <v>99</v>
      </c>
      <c r="D15681" s="3">
        <f t="shared" si="2584"/>
        <v>7633</v>
      </c>
      <c r="E15681" s="2">
        <f t="shared" si="2585"/>
        <v>41791</v>
      </c>
      <c r="F15681" s="2">
        <f t="shared" si="2586"/>
        <v>42916</v>
      </c>
    </row>
    <row r="15682" spans="1:6" x14ac:dyDescent="0.25">
      <c r="A15682" s="1" t="s">
        <v>4</v>
      </c>
      <c r="B15682" s="1" t="s">
        <v>885</v>
      </c>
      <c r="C15682" s="1" t="s">
        <v>100</v>
      </c>
      <c r="D15682" s="3">
        <f t="shared" si="2584"/>
        <v>7633</v>
      </c>
      <c r="E15682" s="2">
        <f t="shared" si="2585"/>
        <v>41791</v>
      </c>
      <c r="F15682" s="2">
        <f t="shared" si="2586"/>
        <v>42916</v>
      </c>
    </row>
    <row r="15683" spans="1:6" x14ac:dyDescent="0.25">
      <c r="A15683" s="1" t="s">
        <v>4</v>
      </c>
      <c r="B15683" s="1" t="s">
        <v>885</v>
      </c>
      <c r="C15683" s="1" t="s">
        <v>216</v>
      </c>
      <c r="D15683" s="3">
        <f t="shared" si="2584"/>
        <v>7633</v>
      </c>
      <c r="E15683" s="2">
        <f t="shared" si="2585"/>
        <v>41791</v>
      </c>
      <c r="F15683" s="2">
        <f t="shared" si="2586"/>
        <v>42916</v>
      </c>
    </row>
    <row r="15684" spans="1:6" x14ac:dyDescent="0.25">
      <c r="A15684" s="1" t="s">
        <v>4</v>
      </c>
      <c r="B15684" s="1" t="s">
        <v>885</v>
      </c>
      <c r="C15684" s="1" t="s">
        <v>293</v>
      </c>
      <c r="D15684" s="3">
        <f t="shared" si="2584"/>
        <v>7633</v>
      </c>
      <c r="E15684" s="2">
        <f t="shared" si="2585"/>
        <v>41791</v>
      </c>
      <c r="F15684" s="2">
        <f t="shared" si="2586"/>
        <v>42916</v>
      </c>
    </row>
    <row r="15685" spans="1:6" x14ac:dyDescent="0.25">
      <c r="A15685" s="1" t="s">
        <v>4</v>
      </c>
      <c r="B15685" s="1" t="s">
        <v>885</v>
      </c>
      <c r="C15685" s="1" t="s">
        <v>294</v>
      </c>
      <c r="D15685" s="3">
        <f t="shared" si="2584"/>
        <v>7633</v>
      </c>
      <c r="E15685" s="2">
        <f t="shared" si="2585"/>
        <v>41791</v>
      </c>
      <c r="F15685" s="2">
        <f t="shared" si="2586"/>
        <v>42916</v>
      </c>
    </row>
    <row r="15686" spans="1:6" x14ac:dyDescent="0.25">
      <c r="A15686" s="1" t="s">
        <v>4</v>
      </c>
      <c r="B15686" s="1" t="s">
        <v>885</v>
      </c>
      <c r="C15686" s="1" t="s">
        <v>73</v>
      </c>
      <c r="D15686" s="3">
        <f t="shared" si="2584"/>
        <v>7633</v>
      </c>
      <c r="E15686" s="2">
        <f t="shared" si="2585"/>
        <v>41791</v>
      </c>
      <c r="F15686" s="2">
        <f t="shared" si="2586"/>
        <v>42916</v>
      </c>
    </row>
    <row r="15687" spans="1:6" x14ac:dyDescent="0.25">
      <c r="A15687" s="1" t="s">
        <v>4</v>
      </c>
      <c r="B15687" s="1" t="s">
        <v>885</v>
      </c>
      <c r="C15687" s="1" t="s">
        <v>296</v>
      </c>
      <c r="D15687" s="3">
        <f t="shared" si="2584"/>
        <v>7633</v>
      </c>
      <c r="E15687" s="2">
        <f t="shared" si="2585"/>
        <v>41791</v>
      </c>
      <c r="F15687" s="2">
        <f t="shared" si="2586"/>
        <v>42916</v>
      </c>
    </row>
    <row r="15688" spans="1:6" x14ac:dyDescent="0.25">
      <c r="A15688" s="1" t="s">
        <v>4</v>
      </c>
      <c r="B15688" s="1" t="s">
        <v>885</v>
      </c>
      <c r="C15688" s="1" t="s">
        <v>298</v>
      </c>
      <c r="D15688" s="3">
        <f t="shared" si="2584"/>
        <v>7633</v>
      </c>
      <c r="E15688" s="2">
        <f t="shared" si="2585"/>
        <v>41791</v>
      </c>
      <c r="F15688" s="2">
        <f t="shared" si="2586"/>
        <v>42916</v>
      </c>
    </row>
    <row r="15689" spans="1:6" x14ac:dyDescent="0.25">
      <c r="A15689" s="1" t="s">
        <v>4</v>
      </c>
      <c r="B15689" s="1" t="s">
        <v>885</v>
      </c>
      <c r="C15689" s="1" t="s">
        <v>299</v>
      </c>
      <c r="D15689" s="3">
        <f t="shared" si="2584"/>
        <v>7633</v>
      </c>
      <c r="E15689" s="2">
        <f t="shared" si="2585"/>
        <v>41791</v>
      </c>
      <c r="F15689" s="2">
        <f t="shared" si="2586"/>
        <v>42916</v>
      </c>
    </row>
    <row r="15690" spans="1:6" x14ac:dyDescent="0.25">
      <c r="A15690" s="1" t="s">
        <v>4</v>
      </c>
      <c r="B15690" s="1" t="s">
        <v>885</v>
      </c>
      <c r="C15690" s="1" t="s">
        <v>300</v>
      </c>
      <c r="D15690" s="3">
        <f t="shared" si="2584"/>
        <v>7633</v>
      </c>
      <c r="E15690" s="2">
        <f t="shared" si="2585"/>
        <v>41791</v>
      </c>
      <c r="F15690" s="2">
        <f t="shared" si="2586"/>
        <v>42916</v>
      </c>
    </row>
    <row r="15691" spans="1:6" x14ac:dyDescent="0.25">
      <c r="A15691" s="1" t="s">
        <v>4</v>
      </c>
      <c r="B15691" s="1" t="s">
        <v>885</v>
      </c>
      <c r="C15691" s="1" t="s">
        <v>301</v>
      </c>
      <c r="D15691" s="3">
        <f t="shared" si="2584"/>
        <v>7633</v>
      </c>
      <c r="E15691" s="2">
        <f t="shared" si="2585"/>
        <v>41791</v>
      </c>
      <c r="F15691" s="2">
        <f t="shared" si="2586"/>
        <v>42916</v>
      </c>
    </row>
    <row r="15692" spans="1:6" x14ac:dyDescent="0.25">
      <c r="A15692" s="1" t="s">
        <v>4</v>
      </c>
      <c r="B15692" s="1" t="s">
        <v>885</v>
      </c>
      <c r="C15692" s="1" t="s">
        <v>302</v>
      </c>
      <c r="D15692" s="3">
        <f t="shared" si="2584"/>
        <v>7633</v>
      </c>
      <c r="E15692" s="2">
        <f t="shared" si="2585"/>
        <v>41791</v>
      </c>
      <c r="F15692" s="2">
        <f t="shared" si="2586"/>
        <v>42916</v>
      </c>
    </row>
    <row r="15693" spans="1:6" x14ac:dyDescent="0.25">
      <c r="A15693" s="1" t="s">
        <v>4</v>
      </c>
      <c r="B15693" s="1" t="s">
        <v>885</v>
      </c>
      <c r="C15693" s="1" t="s">
        <v>391</v>
      </c>
      <c r="D15693" s="3">
        <f t="shared" si="2584"/>
        <v>7633</v>
      </c>
      <c r="E15693" s="2">
        <f t="shared" si="2585"/>
        <v>41791</v>
      </c>
      <c r="F15693" s="2">
        <f t="shared" si="2586"/>
        <v>42916</v>
      </c>
    </row>
    <row r="15694" spans="1:6" x14ac:dyDescent="0.25">
      <c r="A15694" s="1" t="s">
        <v>4</v>
      </c>
      <c r="B15694" s="1" t="s">
        <v>885</v>
      </c>
      <c r="C15694" s="1" t="s">
        <v>53</v>
      </c>
      <c r="D15694" s="3">
        <f t="shared" si="2584"/>
        <v>7633</v>
      </c>
      <c r="E15694" s="2">
        <f t="shared" si="2585"/>
        <v>41791</v>
      </c>
      <c r="F15694" s="2">
        <f t="shared" si="2586"/>
        <v>42916</v>
      </c>
    </row>
    <row r="15695" spans="1:6" x14ac:dyDescent="0.25">
      <c r="A15695" s="1" t="s">
        <v>4</v>
      </c>
      <c r="B15695" s="1" t="s">
        <v>885</v>
      </c>
      <c r="C15695" s="1" t="s">
        <v>378</v>
      </c>
      <c r="D15695" s="3">
        <f t="shared" si="2584"/>
        <v>7633</v>
      </c>
      <c r="E15695" s="2">
        <f t="shared" si="2585"/>
        <v>41791</v>
      </c>
      <c r="F15695" s="2">
        <f t="shared" si="2586"/>
        <v>42916</v>
      </c>
    </row>
    <row r="15696" spans="1:6" x14ac:dyDescent="0.25">
      <c r="A15696" s="1" t="s">
        <v>4</v>
      </c>
      <c r="B15696" s="1" t="s">
        <v>885</v>
      </c>
      <c r="C15696" s="1" t="s">
        <v>169</v>
      </c>
      <c r="D15696" s="3">
        <f t="shared" si="2584"/>
        <v>7633</v>
      </c>
      <c r="E15696" s="2">
        <f t="shared" si="2585"/>
        <v>41791</v>
      </c>
      <c r="F15696" s="2">
        <f t="shared" si="2586"/>
        <v>42916</v>
      </c>
    </row>
    <row r="15697" spans="1:6" x14ac:dyDescent="0.25">
      <c r="A15697" s="1" t="s">
        <v>4</v>
      </c>
      <c r="B15697" s="1" t="s">
        <v>885</v>
      </c>
      <c r="C15697" s="1" t="s">
        <v>170</v>
      </c>
      <c r="D15697" s="3">
        <f t="shared" si="2584"/>
        <v>7633</v>
      </c>
      <c r="E15697" s="2">
        <f t="shared" si="2585"/>
        <v>41791</v>
      </c>
      <c r="F15697" s="2">
        <f t="shared" si="2586"/>
        <v>42916</v>
      </c>
    </row>
    <row r="15698" spans="1:6" x14ac:dyDescent="0.25">
      <c r="A15698" s="1" t="s">
        <v>4</v>
      </c>
      <c r="B15698" s="1" t="s">
        <v>1719</v>
      </c>
      <c r="C15698" s="1" t="s">
        <v>89</v>
      </c>
      <c r="D15698" s="3">
        <f t="shared" ref="D15698:D15712" si="2587">VALUE("7587")</f>
        <v>7587</v>
      </c>
      <c r="E15698" s="2">
        <f t="shared" ref="E15698:E15712" si="2588">DATEVALUE("1-2-2014")</f>
        <v>41671</v>
      </c>
      <c r="F15698" s="2">
        <f t="shared" ref="F15698:F15712" si="2589">DATEVALUE("31-3-2018")</f>
        <v>43190</v>
      </c>
    </row>
    <row r="15699" spans="1:6" x14ac:dyDescent="0.25">
      <c r="A15699" s="1" t="s">
        <v>4</v>
      </c>
      <c r="B15699" s="1" t="s">
        <v>1719</v>
      </c>
      <c r="C15699" s="1" t="s">
        <v>17</v>
      </c>
      <c r="D15699" s="3">
        <f t="shared" si="2587"/>
        <v>7587</v>
      </c>
      <c r="E15699" s="2">
        <f t="shared" si="2588"/>
        <v>41671</v>
      </c>
      <c r="F15699" s="2">
        <f t="shared" si="2589"/>
        <v>43190</v>
      </c>
    </row>
    <row r="15700" spans="1:6" x14ac:dyDescent="0.25">
      <c r="A15700" s="1" t="s">
        <v>4</v>
      </c>
      <c r="B15700" s="1" t="s">
        <v>1719</v>
      </c>
      <c r="C15700" s="1" t="s">
        <v>168</v>
      </c>
      <c r="D15700" s="3">
        <f t="shared" si="2587"/>
        <v>7587</v>
      </c>
      <c r="E15700" s="2">
        <f t="shared" si="2588"/>
        <v>41671</v>
      </c>
      <c r="F15700" s="2">
        <f t="shared" si="2589"/>
        <v>43190</v>
      </c>
    </row>
    <row r="15701" spans="1:6" x14ac:dyDescent="0.25">
      <c r="A15701" s="1" t="s">
        <v>4</v>
      </c>
      <c r="B15701" s="1" t="s">
        <v>1719</v>
      </c>
      <c r="C15701" s="1" t="s">
        <v>258</v>
      </c>
      <c r="D15701" s="3">
        <f t="shared" si="2587"/>
        <v>7587</v>
      </c>
      <c r="E15701" s="2">
        <f t="shared" si="2588"/>
        <v>41671</v>
      </c>
      <c r="F15701" s="2">
        <f t="shared" si="2589"/>
        <v>43190</v>
      </c>
    </row>
    <row r="15702" spans="1:6" x14ac:dyDescent="0.25">
      <c r="A15702" s="1" t="s">
        <v>4</v>
      </c>
      <c r="B15702" s="1" t="s">
        <v>1719</v>
      </c>
      <c r="C15702" s="1" t="s">
        <v>146</v>
      </c>
      <c r="D15702" s="3">
        <f t="shared" si="2587"/>
        <v>7587</v>
      </c>
      <c r="E15702" s="2">
        <f t="shared" si="2588"/>
        <v>41671</v>
      </c>
      <c r="F15702" s="2">
        <f t="shared" si="2589"/>
        <v>43190</v>
      </c>
    </row>
    <row r="15703" spans="1:6" x14ac:dyDescent="0.25">
      <c r="A15703" s="1" t="s">
        <v>4</v>
      </c>
      <c r="B15703" s="1" t="s">
        <v>1719</v>
      </c>
      <c r="C15703" s="1" t="s">
        <v>67</v>
      </c>
      <c r="D15703" s="3">
        <f t="shared" si="2587"/>
        <v>7587</v>
      </c>
      <c r="E15703" s="2">
        <f t="shared" si="2588"/>
        <v>41671</v>
      </c>
      <c r="F15703" s="2">
        <f t="shared" si="2589"/>
        <v>43190</v>
      </c>
    </row>
    <row r="15704" spans="1:6" x14ac:dyDescent="0.25">
      <c r="A15704" s="1" t="s">
        <v>4</v>
      </c>
      <c r="B15704" s="1" t="s">
        <v>1719</v>
      </c>
      <c r="C15704" s="1" t="s">
        <v>148</v>
      </c>
      <c r="D15704" s="3">
        <f t="shared" si="2587"/>
        <v>7587</v>
      </c>
      <c r="E15704" s="2">
        <f t="shared" si="2588"/>
        <v>41671</v>
      </c>
      <c r="F15704" s="2">
        <f t="shared" si="2589"/>
        <v>43190</v>
      </c>
    </row>
    <row r="15705" spans="1:6" x14ac:dyDescent="0.25">
      <c r="A15705" s="1" t="s">
        <v>4</v>
      </c>
      <c r="B15705" s="1" t="s">
        <v>1719</v>
      </c>
      <c r="C15705" s="1" t="s">
        <v>149</v>
      </c>
      <c r="D15705" s="3">
        <f t="shared" si="2587"/>
        <v>7587</v>
      </c>
      <c r="E15705" s="2">
        <f t="shared" si="2588"/>
        <v>41671</v>
      </c>
      <c r="F15705" s="2">
        <f t="shared" si="2589"/>
        <v>43190</v>
      </c>
    </row>
    <row r="15706" spans="1:6" x14ac:dyDescent="0.25">
      <c r="A15706" s="1" t="s">
        <v>4</v>
      </c>
      <c r="B15706" s="1" t="s">
        <v>1719</v>
      </c>
      <c r="C15706" s="1" t="s">
        <v>150</v>
      </c>
      <c r="D15706" s="3">
        <f t="shared" si="2587"/>
        <v>7587</v>
      </c>
      <c r="E15706" s="2">
        <f t="shared" si="2588"/>
        <v>41671</v>
      </c>
      <c r="F15706" s="2">
        <f t="shared" si="2589"/>
        <v>43190</v>
      </c>
    </row>
    <row r="15707" spans="1:6" x14ac:dyDescent="0.25">
      <c r="A15707" s="1" t="s">
        <v>4</v>
      </c>
      <c r="B15707" s="1" t="s">
        <v>1719</v>
      </c>
      <c r="C15707" s="1" t="s">
        <v>26</v>
      </c>
      <c r="D15707" s="3">
        <f t="shared" si="2587"/>
        <v>7587</v>
      </c>
      <c r="E15707" s="2">
        <f t="shared" si="2588"/>
        <v>41671</v>
      </c>
      <c r="F15707" s="2">
        <f t="shared" si="2589"/>
        <v>43190</v>
      </c>
    </row>
    <row r="15708" spans="1:6" x14ac:dyDescent="0.25">
      <c r="A15708" s="1" t="s">
        <v>4</v>
      </c>
      <c r="B15708" s="1" t="s">
        <v>1719</v>
      </c>
      <c r="C15708" s="1" t="s">
        <v>160</v>
      </c>
      <c r="D15708" s="3">
        <f t="shared" si="2587"/>
        <v>7587</v>
      </c>
      <c r="E15708" s="2">
        <f t="shared" si="2588"/>
        <v>41671</v>
      </c>
      <c r="F15708" s="2">
        <f t="shared" si="2589"/>
        <v>43190</v>
      </c>
    </row>
    <row r="15709" spans="1:6" x14ac:dyDescent="0.25">
      <c r="A15709" s="1" t="s">
        <v>4</v>
      </c>
      <c r="B15709" s="1" t="s">
        <v>1719</v>
      </c>
      <c r="C15709" s="1" t="s">
        <v>359</v>
      </c>
      <c r="D15709" s="3">
        <f t="shared" si="2587"/>
        <v>7587</v>
      </c>
      <c r="E15709" s="2">
        <f t="shared" si="2588"/>
        <v>41671</v>
      </c>
      <c r="F15709" s="2">
        <f t="shared" si="2589"/>
        <v>43190</v>
      </c>
    </row>
    <row r="15710" spans="1:6" x14ac:dyDescent="0.25">
      <c r="A15710" s="1" t="s">
        <v>4</v>
      </c>
      <c r="B15710" s="1" t="s">
        <v>1719</v>
      </c>
      <c r="C15710" s="1" t="s">
        <v>310</v>
      </c>
      <c r="D15710" s="3">
        <f t="shared" si="2587"/>
        <v>7587</v>
      </c>
      <c r="E15710" s="2">
        <f t="shared" si="2588"/>
        <v>41671</v>
      </c>
      <c r="F15710" s="2">
        <f t="shared" si="2589"/>
        <v>43190</v>
      </c>
    </row>
    <row r="15711" spans="1:6" x14ac:dyDescent="0.25">
      <c r="A15711" s="1" t="s">
        <v>4</v>
      </c>
      <c r="B15711" s="1" t="s">
        <v>1719</v>
      </c>
      <c r="C15711" s="1" t="s">
        <v>133</v>
      </c>
      <c r="D15711" s="3">
        <f t="shared" si="2587"/>
        <v>7587</v>
      </c>
      <c r="E15711" s="2">
        <f t="shared" si="2588"/>
        <v>41671</v>
      </c>
      <c r="F15711" s="2">
        <f t="shared" si="2589"/>
        <v>43190</v>
      </c>
    </row>
    <row r="15712" spans="1:6" x14ac:dyDescent="0.25">
      <c r="A15712" s="1" t="s">
        <v>4</v>
      </c>
      <c r="B15712" s="1" t="s">
        <v>1719</v>
      </c>
      <c r="C15712" s="1" t="s">
        <v>134</v>
      </c>
      <c r="D15712" s="3">
        <f t="shared" si="2587"/>
        <v>7587</v>
      </c>
      <c r="E15712" s="2">
        <f t="shared" si="2588"/>
        <v>41671</v>
      </c>
      <c r="F15712" s="2">
        <f t="shared" si="2589"/>
        <v>43190</v>
      </c>
    </row>
    <row r="15713" spans="1:6" x14ac:dyDescent="0.25">
      <c r="A15713" s="1" t="s">
        <v>4</v>
      </c>
      <c r="B15713" s="1" t="s">
        <v>360</v>
      </c>
      <c r="C15713" s="1" t="s">
        <v>7</v>
      </c>
      <c r="D15713" s="3">
        <f t="shared" ref="D15713:D15723" si="2590">VALUE("7530")</f>
        <v>7530</v>
      </c>
      <c r="E15713" s="2">
        <f t="shared" ref="E15713:E15723" si="2591">DATEVALUE("1-9-2013")</f>
        <v>41518</v>
      </c>
      <c r="F15713" s="2">
        <f t="shared" ref="F15713:F15723" si="2592">DATEVALUE("31-1-2021")</f>
        <v>44227</v>
      </c>
    </row>
    <row r="15714" spans="1:6" x14ac:dyDescent="0.25">
      <c r="A15714" s="1" t="s">
        <v>4</v>
      </c>
      <c r="B15714" s="1" t="s">
        <v>360</v>
      </c>
      <c r="C15714" s="1" t="s">
        <v>361</v>
      </c>
      <c r="D15714" s="3">
        <f t="shared" si="2590"/>
        <v>7530</v>
      </c>
      <c r="E15714" s="2">
        <f t="shared" si="2591"/>
        <v>41518</v>
      </c>
      <c r="F15714" s="2">
        <f t="shared" si="2592"/>
        <v>44227</v>
      </c>
    </row>
    <row r="15715" spans="1:6" x14ac:dyDescent="0.25">
      <c r="A15715" s="1" t="s">
        <v>4</v>
      </c>
      <c r="B15715" s="1" t="s">
        <v>360</v>
      </c>
      <c r="C15715" s="1" t="s">
        <v>39</v>
      </c>
      <c r="D15715" s="3">
        <f t="shared" si="2590"/>
        <v>7530</v>
      </c>
      <c r="E15715" s="2">
        <f t="shared" si="2591"/>
        <v>41518</v>
      </c>
      <c r="F15715" s="2">
        <f t="shared" si="2592"/>
        <v>44227</v>
      </c>
    </row>
    <row r="15716" spans="1:6" x14ac:dyDescent="0.25">
      <c r="A15716" s="1" t="s">
        <v>4</v>
      </c>
      <c r="B15716" s="1" t="s">
        <v>360</v>
      </c>
      <c r="C15716" s="1" t="s">
        <v>8</v>
      </c>
      <c r="D15716" s="3">
        <f t="shared" si="2590"/>
        <v>7530</v>
      </c>
      <c r="E15716" s="2">
        <f t="shared" si="2591"/>
        <v>41518</v>
      </c>
      <c r="F15716" s="2">
        <f t="shared" si="2592"/>
        <v>44227</v>
      </c>
    </row>
    <row r="15717" spans="1:6" x14ac:dyDescent="0.25">
      <c r="A15717" s="1" t="s">
        <v>4</v>
      </c>
      <c r="B15717" s="1" t="s">
        <v>360</v>
      </c>
      <c r="C15717" s="1" t="s">
        <v>10</v>
      </c>
      <c r="D15717" s="3">
        <f t="shared" si="2590"/>
        <v>7530</v>
      </c>
      <c r="E15717" s="2">
        <f t="shared" si="2591"/>
        <v>41518</v>
      </c>
      <c r="F15717" s="2">
        <f t="shared" si="2592"/>
        <v>44227</v>
      </c>
    </row>
    <row r="15718" spans="1:6" x14ac:dyDescent="0.25">
      <c r="A15718" s="1" t="s">
        <v>4</v>
      </c>
      <c r="B15718" s="1" t="s">
        <v>360</v>
      </c>
      <c r="C15718" s="1" t="s">
        <v>15</v>
      </c>
      <c r="D15718" s="3">
        <f t="shared" si="2590"/>
        <v>7530</v>
      </c>
      <c r="E15718" s="2">
        <f t="shared" si="2591"/>
        <v>41518</v>
      </c>
      <c r="F15718" s="2">
        <f t="shared" si="2592"/>
        <v>44227</v>
      </c>
    </row>
    <row r="15719" spans="1:6" x14ac:dyDescent="0.25">
      <c r="A15719" s="1" t="s">
        <v>4</v>
      </c>
      <c r="B15719" s="1" t="s">
        <v>360</v>
      </c>
      <c r="C15719" s="1" t="s">
        <v>17</v>
      </c>
      <c r="D15719" s="3">
        <f t="shared" si="2590"/>
        <v>7530</v>
      </c>
      <c r="E15719" s="2">
        <f t="shared" si="2591"/>
        <v>41518</v>
      </c>
      <c r="F15719" s="2">
        <f t="shared" si="2592"/>
        <v>44227</v>
      </c>
    </row>
    <row r="15720" spans="1:6" x14ac:dyDescent="0.25">
      <c r="A15720" s="1" t="s">
        <v>4</v>
      </c>
      <c r="B15720" s="1" t="s">
        <v>360</v>
      </c>
      <c r="C15720" s="1" t="s">
        <v>27</v>
      </c>
      <c r="D15720" s="3">
        <f t="shared" si="2590"/>
        <v>7530</v>
      </c>
      <c r="E15720" s="2">
        <f t="shared" si="2591"/>
        <v>41518</v>
      </c>
      <c r="F15720" s="2">
        <f t="shared" si="2592"/>
        <v>44227</v>
      </c>
    </row>
    <row r="15721" spans="1:6" x14ac:dyDescent="0.25">
      <c r="A15721" s="1" t="s">
        <v>4</v>
      </c>
      <c r="B15721" s="1" t="s">
        <v>360</v>
      </c>
      <c r="C15721" s="1" t="s">
        <v>262</v>
      </c>
      <c r="D15721" s="3">
        <f t="shared" si="2590"/>
        <v>7530</v>
      </c>
      <c r="E15721" s="2">
        <f t="shared" si="2591"/>
        <v>41518</v>
      </c>
      <c r="F15721" s="2">
        <f t="shared" si="2592"/>
        <v>44227</v>
      </c>
    </row>
    <row r="15722" spans="1:6" x14ac:dyDescent="0.25">
      <c r="A15722" s="1" t="s">
        <v>4</v>
      </c>
      <c r="B15722" s="1" t="s">
        <v>360</v>
      </c>
      <c r="C15722" s="1" t="s">
        <v>52</v>
      </c>
      <c r="D15722" s="3">
        <f t="shared" si="2590"/>
        <v>7530</v>
      </c>
      <c r="E15722" s="2">
        <f t="shared" si="2591"/>
        <v>41518</v>
      </c>
      <c r="F15722" s="2">
        <f t="shared" si="2592"/>
        <v>44227</v>
      </c>
    </row>
    <row r="15723" spans="1:6" x14ac:dyDescent="0.25">
      <c r="A15723" s="1" t="s">
        <v>4</v>
      </c>
      <c r="B15723" s="1" t="s">
        <v>360</v>
      </c>
      <c r="C15723" s="1" t="s">
        <v>362</v>
      </c>
      <c r="D15723" s="3">
        <f t="shared" si="2590"/>
        <v>7530</v>
      </c>
      <c r="E15723" s="2">
        <f t="shared" si="2591"/>
        <v>41518</v>
      </c>
      <c r="F15723" s="2">
        <f t="shared" si="2592"/>
        <v>44227</v>
      </c>
    </row>
    <row r="15724" spans="1:6" x14ac:dyDescent="0.25">
      <c r="A15724" s="1" t="s">
        <v>4</v>
      </c>
      <c r="B15724" s="1" t="s">
        <v>1709</v>
      </c>
      <c r="C15724" s="1" t="s">
        <v>66</v>
      </c>
      <c r="D15724" s="3">
        <f>VALUE("7485")</f>
        <v>7485</v>
      </c>
      <c r="E15724" s="2">
        <f>DATEVALUE("1-7-2013")</f>
        <v>41456</v>
      </c>
      <c r="F15724" s="2">
        <f>DATEVALUE("31-3-2020")</f>
        <v>43921</v>
      </c>
    </row>
    <row r="15725" spans="1:6" x14ac:dyDescent="0.25">
      <c r="A15725" s="1" t="s">
        <v>4</v>
      </c>
      <c r="B15725" s="1" t="s">
        <v>1709</v>
      </c>
      <c r="C15725" s="1" t="s">
        <v>15</v>
      </c>
      <c r="D15725" s="3">
        <f>VALUE("7485")</f>
        <v>7485</v>
      </c>
      <c r="E15725" s="2">
        <f>DATEVALUE("1-7-2013")</f>
        <v>41456</v>
      </c>
      <c r="F15725" s="2">
        <f>DATEVALUE("31-3-2020")</f>
        <v>43921</v>
      </c>
    </row>
    <row r="15726" spans="1:6" x14ac:dyDescent="0.25">
      <c r="A15726" s="1" t="s">
        <v>4</v>
      </c>
      <c r="B15726" s="1" t="s">
        <v>1709</v>
      </c>
      <c r="C15726" s="1" t="s">
        <v>17</v>
      </c>
      <c r="D15726" s="3">
        <f>VALUE("7485")</f>
        <v>7485</v>
      </c>
      <c r="E15726" s="2">
        <f>DATEVALUE("1-7-2013")</f>
        <v>41456</v>
      </c>
      <c r="F15726" s="2">
        <f>DATEVALUE("31-3-2020")</f>
        <v>43921</v>
      </c>
    </row>
    <row r="15727" spans="1:6" x14ac:dyDescent="0.25">
      <c r="A15727" s="1" t="s">
        <v>4</v>
      </c>
      <c r="B15727" s="1" t="s">
        <v>1709</v>
      </c>
      <c r="C15727" s="1" t="s">
        <v>133</v>
      </c>
      <c r="D15727" s="3">
        <f>VALUE("7485")</f>
        <v>7485</v>
      </c>
      <c r="E15727" s="2">
        <f>DATEVALUE("1-7-2013")</f>
        <v>41456</v>
      </c>
      <c r="F15727" s="2">
        <f>DATEVALUE("31-3-2020")</f>
        <v>43921</v>
      </c>
    </row>
    <row r="15728" spans="1:6" x14ac:dyDescent="0.25">
      <c r="A15728" s="1" t="s">
        <v>4</v>
      </c>
      <c r="B15728" s="1" t="s">
        <v>1709</v>
      </c>
      <c r="C15728" s="1" t="s">
        <v>134</v>
      </c>
      <c r="D15728" s="3">
        <f>VALUE("7485")</f>
        <v>7485</v>
      </c>
      <c r="E15728" s="2">
        <f>DATEVALUE("1-7-2013")</f>
        <v>41456</v>
      </c>
      <c r="F15728" s="2">
        <f>DATEVALUE("31-3-2020")</f>
        <v>43921</v>
      </c>
    </row>
    <row r="15729" spans="1:6" x14ac:dyDescent="0.25">
      <c r="A15729" s="1" t="s">
        <v>4</v>
      </c>
      <c r="B15729" s="1" t="s">
        <v>2147</v>
      </c>
      <c r="C15729" s="1" t="s">
        <v>78</v>
      </c>
      <c r="D15729" s="3">
        <f t="shared" ref="D15729:D15771" si="2593">VALUE("7473")</f>
        <v>7473</v>
      </c>
      <c r="E15729" s="2">
        <f t="shared" ref="E15729:E15760" si="2594">DATEVALUE("1-3-2013")</f>
        <v>41334</v>
      </c>
      <c r="F15729" s="2">
        <f t="shared" ref="F15729:F15771" si="2595">DATEVALUE("30-9-2018")</f>
        <v>43373</v>
      </c>
    </row>
    <row r="15730" spans="1:6" x14ac:dyDescent="0.25">
      <c r="A15730" s="1" t="s">
        <v>4</v>
      </c>
      <c r="B15730" s="1" t="s">
        <v>2147</v>
      </c>
      <c r="C15730" s="1" t="s">
        <v>79</v>
      </c>
      <c r="D15730" s="3">
        <f t="shared" si="2593"/>
        <v>7473</v>
      </c>
      <c r="E15730" s="2">
        <f t="shared" si="2594"/>
        <v>41334</v>
      </c>
      <c r="F15730" s="2">
        <f t="shared" si="2595"/>
        <v>43373</v>
      </c>
    </row>
    <row r="15731" spans="1:6" x14ac:dyDescent="0.25">
      <c r="A15731" s="1" t="s">
        <v>4</v>
      </c>
      <c r="B15731" s="1" t="s">
        <v>2147</v>
      </c>
      <c r="C15731" s="1" t="s">
        <v>80</v>
      </c>
      <c r="D15731" s="3">
        <f t="shared" si="2593"/>
        <v>7473</v>
      </c>
      <c r="E15731" s="2">
        <f t="shared" si="2594"/>
        <v>41334</v>
      </c>
      <c r="F15731" s="2">
        <f t="shared" si="2595"/>
        <v>43373</v>
      </c>
    </row>
    <row r="15732" spans="1:6" x14ac:dyDescent="0.25">
      <c r="A15732" s="1" t="s">
        <v>4</v>
      </c>
      <c r="B15732" s="1" t="s">
        <v>2147</v>
      </c>
      <c r="C15732" s="1" t="s">
        <v>39</v>
      </c>
      <c r="D15732" s="3">
        <f t="shared" si="2593"/>
        <v>7473</v>
      </c>
      <c r="E15732" s="2">
        <f t="shared" si="2594"/>
        <v>41334</v>
      </c>
      <c r="F15732" s="2">
        <f t="shared" si="2595"/>
        <v>43373</v>
      </c>
    </row>
    <row r="15733" spans="1:6" x14ac:dyDescent="0.25">
      <c r="A15733" s="1" t="s">
        <v>4</v>
      </c>
      <c r="B15733" s="1" t="s">
        <v>2147</v>
      </c>
      <c r="C15733" s="1" t="s">
        <v>60</v>
      </c>
      <c r="D15733" s="3">
        <f t="shared" si="2593"/>
        <v>7473</v>
      </c>
      <c r="E15733" s="2">
        <f t="shared" si="2594"/>
        <v>41334</v>
      </c>
      <c r="F15733" s="2">
        <f t="shared" si="2595"/>
        <v>43373</v>
      </c>
    </row>
    <row r="15734" spans="1:6" x14ac:dyDescent="0.25">
      <c r="A15734" s="1" t="s">
        <v>4</v>
      </c>
      <c r="B15734" s="1" t="s">
        <v>2147</v>
      </c>
      <c r="C15734" s="1" t="s">
        <v>82</v>
      </c>
      <c r="D15734" s="3">
        <f t="shared" si="2593"/>
        <v>7473</v>
      </c>
      <c r="E15734" s="2">
        <f t="shared" si="2594"/>
        <v>41334</v>
      </c>
      <c r="F15734" s="2">
        <f t="shared" si="2595"/>
        <v>43373</v>
      </c>
    </row>
    <row r="15735" spans="1:6" x14ac:dyDescent="0.25">
      <c r="A15735" s="1" t="s">
        <v>4</v>
      </c>
      <c r="B15735" s="1" t="s">
        <v>2147</v>
      </c>
      <c r="C15735" s="1" t="s">
        <v>8</v>
      </c>
      <c r="D15735" s="3">
        <f t="shared" si="2593"/>
        <v>7473</v>
      </c>
      <c r="E15735" s="2">
        <f t="shared" si="2594"/>
        <v>41334</v>
      </c>
      <c r="F15735" s="2">
        <f t="shared" si="2595"/>
        <v>43373</v>
      </c>
    </row>
    <row r="15736" spans="1:6" x14ac:dyDescent="0.25">
      <c r="A15736" s="1" t="s">
        <v>4</v>
      </c>
      <c r="B15736" s="1" t="s">
        <v>2147</v>
      </c>
      <c r="C15736" s="1" t="s">
        <v>256</v>
      </c>
      <c r="D15736" s="3">
        <f t="shared" si="2593"/>
        <v>7473</v>
      </c>
      <c r="E15736" s="2">
        <f t="shared" si="2594"/>
        <v>41334</v>
      </c>
      <c r="F15736" s="2">
        <f t="shared" si="2595"/>
        <v>43373</v>
      </c>
    </row>
    <row r="15737" spans="1:6" x14ac:dyDescent="0.25">
      <c r="A15737" s="1" t="s">
        <v>4</v>
      </c>
      <c r="B15737" s="1" t="s">
        <v>2147</v>
      </c>
      <c r="C15737" s="1" t="s">
        <v>10</v>
      </c>
      <c r="D15737" s="3">
        <f t="shared" si="2593"/>
        <v>7473</v>
      </c>
      <c r="E15737" s="2">
        <f t="shared" si="2594"/>
        <v>41334</v>
      </c>
      <c r="F15737" s="2">
        <f t="shared" si="2595"/>
        <v>43373</v>
      </c>
    </row>
    <row r="15738" spans="1:6" x14ac:dyDescent="0.25">
      <c r="A15738" s="1" t="s">
        <v>4</v>
      </c>
      <c r="B15738" s="1" t="s">
        <v>2147</v>
      </c>
      <c r="C15738" s="1" t="s">
        <v>11</v>
      </c>
      <c r="D15738" s="3">
        <f t="shared" si="2593"/>
        <v>7473</v>
      </c>
      <c r="E15738" s="2">
        <f t="shared" si="2594"/>
        <v>41334</v>
      </c>
      <c r="F15738" s="2">
        <f t="shared" si="2595"/>
        <v>43373</v>
      </c>
    </row>
    <row r="15739" spans="1:6" x14ac:dyDescent="0.25">
      <c r="A15739" s="1" t="s">
        <v>4</v>
      </c>
      <c r="B15739" s="1" t="s">
        <v>2147</v>
      </c>
      <c r="C15739" s="1" t="s">
        <v>12</v>
      </c>
      <c r="D15739" s="3">
        <f t="shared" si="2593"/>
        <v>7473</v>
      </c>
      <c r="E15739" s="2">
        <f t="shared" si="2594"/>
        <v>41334</v>
      </c>
      <c r="F15739" s="2">
        <f t="shared" si="2595"/>
        <v>43373</v>
      </c>
    </row>
    <row r="15740" spans="1:6" x14ac:dyDescent="0.25">
      <c r="A15740" s="1" t="s">
        <v>4</v>
      </c>
      <c r="B15740" s="1" t="s">
        <v>2147</v>
      </c>
      <c r="C15740" s="1" t="s">
        <v>85</v>
      </c>
      <c r="D15740" s="3">
        <f t="shared" si="2593"/>
        <v>7473</v>
      </c>
      <c r="E15740" s="2">
        <f t="shared" si="2594"/>
        <v>41334</v>
      </c>
      <c r="F15740" s="2">
        <f t="shared" si="2595"/>
        <v>43373</v>
      </c>
    </row>
    <row r="15741" spans="1:6" x14ac:dyDescent="0.25">
      <c r="A15741" s="1" t="s">
        <v>4</v>
      </c>
      <c r="B15741" s="1" t="s">
        <v>2147</v>
      </c>
      <c r="C15741" s="1" t="s">
        <v>46</v>
      </c>
      <c r="D15741" s="3">
        <f t="shared" si="2593"/>
        <v>7473</v>
      </c>
      <c r="E15741" s="2">
        <f t="shared" si="2594"/>
        <v>41334</v>
      </c>
      <c r="F15741" s="2">
        <f t="shared" si="2595"/>
        <v>43373</v>
      </c>
    </row>
    <row r="15742" spans="1:6" x14ac:dyDescent="0.25">
      <c r="A15742" s="1" t="s">
        <v>4</v>
      </c>
      <c r="B15742" s="1" t="s">
        <v>2147</v>
      </c>
      <c r="C15742" s="1" t="s">
        <v>66</v>
      </c>
      <c r="D15742" s="3">
        <f t="shared" si="2593"/>
        <v>7473</v>
      </c>
      <c r="E15742" s="2">
        <f t="shared" si="2594"/>
        <v>41334</v>
      </c>
      <c r="F15742" s="2">
        <f t="shared" si="2595"/>
        <v>43373</v>
      </c>
    </row>
    <row r="15743" spans="1:6" x14ac:dyDescent="0.25">
      <c r="A15743" s="1" t="s">
        <v>4</v>
      </c>
      <c r="B15743" s="1" t="s">
        <v>2147</v>
      </c>
      <c r="C15743" s="1" t="s">
        <v>15</v>
      </c>
      <c r="D15743" s="3">
        <f t="shared" si="2593"/>
        <v>7473</v>
      </c>
      <c r="E15743" s="2">
        <f t="shared" si="2594"/>
        <v>41334</v>
      </c>
      <c r="F15743" s="2">
        <f t="shared" si="2595"/>
        <v>43373</v>
      </c>
    </row>
    <row r="15744" spans="1:6" x14ac:dyDescent="0.25">
      <c r="A15744" s="1" t="s">
        <v>4</v>
      </c>
      <c r="B15744" s="1" t="s">
        <v>2147</v>
      </c>
      <c r="C15744" s="1" t="s">
        <v>16</v>
      </c>
      <c r="D15744" s="3">
        <f t="shared" si="2593"/>
        <v>7473</v>
      </c>
      <c r="E15744" s="2">
        <f t="shared" si="2594"/>
        <v>41334</v>
      </c>
      <c r="F15744" s="2">
        <f t="shared" si="2595"/>
        <v>43373</v>
      </c>
    </row>
    <row r="15745" spans="1:6" x14ac:dyDescent="0.25">
      <c r="A15745" s="1" t="s">
        <v>4</v>
      </c>
      <c r="B15745" s="1" t="s">
        <v>2147</v>
      </c>
      <c r="C15745" s="1" t="s">
        <v>88</v>
      </c>
      <c r="D15745" s="3">
        <f t="shared" si="2593"/>
        <v>7473</v>
      </c>
      <c r="E15745" s="2">
        <f t="shared" si="2594"/>
        <v>41334</v>
      </c>
      <c r="F15745" s="2">
        <f t="shared" si="2595"/>
        <v>43373</v>
      </c>
    </row>
    <row r="15746" spans="1:6" x14ac:dyDescent="0.25">
      <c r="A15746" s="1" t="s">
        <v>4</v>
      </c>
      <c r="B15746" s="1" t="s">
        <v>2147</v>
      </c>
      <c r="C15746" s="1" t="s">
        <v>89</v>
      </c>
      <c r="D15746" s="3">
        <f t="shared" si="2593"/>
        <v>7473</v>
      </c>
      <c r="E15746" s="2">
        <f t="shared" si="2594"/>
        <v>41334</v>
      </c>
      <c r="F15746" s="2">
        <f t="shared" si="2595"/>
        <v>43373</v>
      </c>
    </row>
    <row r="15747" spans="1:6" x14ac:dyDescent="0.25">
      <c r="A15747" s="1" t="s">
        <v>4</v>
      </c>
      <c r="B15747" s="1" t="s">
        <v>2147</v>
      </c>
      <c r="C15747" s="1" t="s">
        <v>17</v>
      </c>
      <c r="D15747" s="3">
        <f t="shared" si="2593"/>
        <v>7473</v>
      </c>
      <c r="E15747" s="2">
        <f t="shared" si="2594"/>
        <v>41334</v>
      </c>
      <c r="F15747" s="2">
        <f t="shared" si="2595"/>
        <v>43373</v>
      </c>
    </row>
    <row r="15748" spans="1:6" x14ac:dyDescent="0.25">
      <c r="A15748" s="1" t="s">
        <v>4</v>
      </c>
      <c r="B15748" s="1" t="s">
        <v>2147</v>
      </c>
      <c r="C15748" s="1" t="s">
        <v>172</v>
      </c>
      <c r="D15748" s="3">
        <f t="shared" si="2593"/>
        <v>7473</v>
      </c>
      <c r="E15748" s="2">
        <f t="shared" si="2594"/>
        <v>41334</v>
      </c>
      <c r="F15748" s="2">
        <f t="shared" si="2595"/>
        <v>43373</v>
      </c>
    </row>
    <row r="15749" spans="1:6" x14ac:dyDescent="0.25">
      <c r="A15749" s="1" t="s">
        <v>4</v>
      </c>
      <c r="B15749" s="1" t="s">
        <v>2147</v>
      </c>
      <c r="C15749" s="1" t="s">
        <v>211</v>
      </c>
      <c r="D15749" s="3">
        <f t="shared" si="2593"/>
        <v>7473</v>
      </c>
      <c r="E15749" s="2">
        <f t="shared" si="2594"/>
        <v>41334</v>
      </c>
      <c r="F15749" s="2">
        <f t="shared" si="2595"/>
        <v>43373</v>
      </c>
    </row>
    <row r="15750" spans="1:6" x14ac:dyDescent="0.25">
      <c r="A15750" s="1" t="s">
        <v>4</v>
      </c>
      <c r="B15750" s="1" t="s">
        <v>2147</v>
      </c>
      <c r="C15750" s="1" t="s">
        <v>92</v>
      </c>
      <c r="D15750" s="3">
        <f t="shared" si="2593"/>
        <v>7473</v>
      </c>
      <c r="E15750" s="2">
        <f t="shared" si="2594"/>
        <v>41334</v>
      </c>
      <c r="F15750" s="2">
        <f t="shared" si="2595"/>
        <v>43373</v>
      </c>
    </row>
    <row r="15751" spans="1:6" x14ac:dyDescent="0.25">
      <c r="A15751" s="1" t="s">
        <v>4</v>
      </c>
      <c r="B15751" s="1" t="s">
        <v>2147</v>
      </c>
      <c r="C15751" s="1" t="s">
        <v>93</v>
      </c>
      <c r="D15751" s="3">
        <f t="shared" si="2593"/>
        <v>7473</v>
      </c>
      <c r="E15751" s="2">
        <f t="shared" si="2594"/>
        <v>41334</v>
      </c>
      <c r="F15751" s="2">
        <f t="shared" si="2595"/>
        <v>43373</v>
      </c>
    </row>
    <row r="15752" spans="1:6" x14ac:dyDescent="0.25">
      <c r="A15752" s="1" t="s">
        <v>4</v>
      </c>
      <c r="B15752" s="1" t="s">
        <v>2147</v>
      </c>
      <c r="C15752" s="1" t="s">
        <v>25</v>
      </c>
      <c r="D15752" s="3">
        <f t="shared" si="2593"/>
        <v>7473</v>
      </c>
      <c r="E15752" s="2">
        <f t="shared" si="2594"/>
        <v>41334</v>
      </c>
      <c r="F15752" s="2">
        <f t="shared" si="2595"/>
        <v>43373</v>
      </c>
    </row>
    <row r="15753" spans="1:6" x14ac:dyDescent="0.25">
      <c r="A15753" s="1" t="s">
        <v>4</v>
      </c>
      <c r="B15753" s="1" t="s">
        <v>2147</v>
      </c>
      <c r="C15753" s="1" t="s">
        <v>98</v>
      </c>
      <c r="D15753" s="3">
        <f t="shared" si="2593"/>
        <v>7473</v>
      </c>
      <c r="E15753" s="2">
        <f t="shared" si="2594"/>
        <v>41334</v>
      </c>
      <c r="F15753" s="2">
        <f t="shared" si="2595"/>
        <v>43373</v>
      </c>
    </row>
    <row r="15754" spans="1:6" x14ac:dyDescent="0.25">
      <c r="A15754" s="1" t="s">
        <v>4</v>
      </c>
      <c r="B15754" s="1" t="s">
        <v>2147</v>
      </c>
      <c r="C15754" s="1" t="s">
        <v>99</v>
      </c>
      <c r="D15754" s="3">
        <f t="shared" si="2593"/>
        <v>7473</v>
      </c>
      <c r="E15754" s="2">
        <f t="shared" si="2594"/>
        <v>41334</v>
      </c>
      <c r="F15754" s="2">
        <f t="shared" si="2595"/>
        <v>43373</v>
      </c>
    </row>
    <row r="15755" spans="1:6" x14ac:dyDescent="0.25">
      <c r="A15755" s="1" t="s">
        <v>4</v>
      </c>
      <c r="B15755" s="1" t="s">
        <v>2147</v>
      </c>
      <c r="C15755" s="1" t="s">
        <v>26</v>
      </c>
      <c r="D15755" s="3">
        <f t="shared" si="2593"/>
        <v>7473</v>
      </c>
      <c r="E15755" s="2">
        <f t="shared" si="2594"/>
        <v>41334</v>
      </c>
      <c r="F15755" s="2">
        <f t="shared" si="2595"/>
        <v>43373</v>
      </c>
    </row>
    <row r="15756" spans="1:6" x14ac:dyDescent="0.25">
      <c r="A15756" s="1" t="s">
        <v>4</v>
      </c>
      <c r="B15756" s="1" t="s">
        <v>2147</v>
      </c>
      <c r="C15756" s="1" t="s">
        <v>207</v>
      </c>
      <c r="D15756" s="3">
        <f t="shared" si="2593"/>
        <v>7473</v>
      </c>
      <c r="E15756" s="2">
        <f t="shared" si="2594"/>
        <v>41334</v>
      </c>
      <c r="F15756" s="2">
        <f t="shared" si="2595"/>
        <v>43373</v>
      </c>
    </row>
    <row r="15757" spans="1:6" x14ac:dyDescent="0.25">
      <c r="A15757" s="1" t="s">
        <v>4</v>
      </c>
      <c r="B15757" s="1" t="s">
        <v>2147</v>
      </c>
      <c r="C15757" s="1" t="s">
        <v>208</v>
      </c>
      <c r="D15757" s="3">
        <f t="shared" si="2593"/>
        <v>7473</v>
      </c>
      <c r="E15757" s="2">
        <f t="shared" si="2594"/>
        <v>41334</v>
      </c>
      <c r="F15757" s="2">
        <f t="shared" si="2595"/>
        <v>43373</v>
      </c>
    </row>
    <row r="15758" spans="1:6" x14ac:dyDescent="0.25">
      <c r="A15758" s="1" t="s">
        <v>4</v>
      </c>
      <c r="B15758" s="1" t="s">
        <v>2147</v>
      </c>
      <c r="C15758" s="1" t="s">
        <v>71</v>
      </c>
      <c r="D15758" s="3">
        <f t="shared" si="2593"/>
        <v>7473</v>
      </c>
      <c r="E15758" s="2">
        <f t="shared" si="2594"/>
        <v>41334</v>
      </c>
      <c r="F15758" s="2">
        <f t="shared" si="2595"/>
        <v>43373</v>
      </c>
    </row>
    <row r="15759" spans="1:6" x14ac:dyDescent="0.25">
      <c r="A15759" s="1" t="s">
        <v>4</v>
      </c>
      <c r="B15759" s="1" t="s">
        <v>2147</v>
      </c>
      <c r="C15759" s="1" t="s">
        <v>100</v>
      </c>
      <c r="D15759" s="3">
        <f t="shared" si="2593"/>
        <v>7473</v>
      </c>
      <c r="E15759" s="2">
        <f t="shared" si="2594"/>
        <v>41334</v>
      </c>
      <c r="F15759" s="2">
        <f t="shared" si="2595"/>
        <v>43373</v>
      </c>
    </row>
    <row r="15760" spans="1:6" x14ac:dyDescent="0.25">
      <c r="A15760" s="1" t="s">
        <v>4</v>
      </c>
      <c r="B15760" s="1" t="s">
        <v>2147</v>
      </c>
      <c r="C15760" s="1" t="s">
        <v>101</v>
      </c>
      <c r="D15760" s="3">
        <f t="shared" si="2593"/>
        <v>7473</v>
      </c>
      <c r="E15760" s="2">
        <f t="shared" si="2594"/>
        <v>41334</v>
      </c>
      <c r="F15760" s="2">
        <f t="shared" si="2595"/>
        <v>43373</v>
      </c>
    </row>
    <row r="15761" spans="1:6" x14ac:dyDescent="0.25">
      <c r="A15761" s="1" t="s">
        <v>4</v>
      </c>
      <c r="B15761" s="1" t="s">
        <v>2147</v>
      </c>
      <c r="C15761" s="1" t="s">
        <v>27</v>
      </c>
      <c r="D15761" s="3">
        <f t="shared" si="2593"/>
        <v>7473</v>
      </c>
      <c r="E15761" s="2">
        <f t="shared" ref="E15761:E15792" si="2596">DATEVALUE("1-3-2013")</f>
        <v>41334</v>
      </c>
      <c r="F15761" s="2">
        <f t="shared" si="2595"/>
        <v>43373</v>
      </c>
    </row>
    <row r="15762" spans="1:6" x14ac:dyDescent="0.25">
      <c r="A15762" s="1" t="s">
        <v>4</v>
      </c>
      <c r="B15762" s="1" t="s">
        <v>2147</v>
      </c>
      <c r="C15762" s="1" t="s">
        <v>262</v>
      </c>
      <c r="D15762" s="3">
        <f t="shared" si="2593"/>
        <v>7473</v>
      </c>
      <c r="E15762" s="2">
        <f t="shared" si="2596"/>
        <v>41334</v>
      </c>
      <c r="F15762" s="2">
        <f t="shared" si="2595"/>
        <v>43373</v>
      </c>
    </row>
    <row r="15763" spans="1:6" x14ac:dyDescent="0.25">
      <c r="A15763" s="1" t="s">
        <v>4</v>
      </c>
      <c r="B15763" s="1" t="s">
        <v>2147</v>
      </c>
      <c r="C15763" s="1" t="s">
        <v>106</v>
      </c>
      <c r="D15763" s="3">
        <f t="shared" si="2593"/>
        <v>7473</v>
      </c>
      <c r="E15763" s="2">
        <f t="shared" si="2596"/>
        <v>41334</v>
      </c>
      <c r="F15763" s="2">
        <f t="shared" si="2595"/>
        <v>43373</v>
      </c>
    </row>
    <row r="15764" spans="1:6" x14ac:dyDescent="0.25">
      <c r="A15764" s="1" t="s">
        <v>4</v>
      </c>
      <c r="B15764" s="1" t="s">
        <v>2147</v>
      </c>
      <c r="C15764" s="1" t="s">
        <v>32</v>
      </c>
      <c r="D15764" s="3">
        <f t="shared" si="2593"/>
        <v>7473</v>
      </c>
      <c r="E15764" s="2">
        <f t="shared" si="2596"/>
        <v>41334</v>
      </c>
      <c r="F15764" s="2">
        <f t="shared" si="2595"/>
        <v>43373</v>
      </c>
    </row>
    <row r="15765" spans="1:6" x14ac:dyDescent="0.25">
      <c r="A15765" s="1" t="s">
        <v>4</v>
      </c>
      <c r="B15765" s="1" t="s">
        <v>2147</v>
      </c>
      <c r="C15765" s="1" t="s">
        <v>110</v>
      </c>
      <c r="D15765" s="3">
        <f t="shared" si="2593"/>
        <v>7473</v>
      </c>
      <c r="E15765" s="2">
        <f t="shared" si="2596"/>
        <v>41334</v>
      </c>
      <c r="F15765" s="2">
        <f t="shared" si="2595"/>
        <v>43373</v>
      </c>
    </row>
    <row r="15766" spans="1:6" x14ac:dyDescent="0.25">
      <c r="A15766" s="1" t="s">
        <v>4</v>
      </c>
      <c r="B15766" s="1" t="s">
        <v>2147</v>
      </c>
      <c r="C15766" s="1" t="s">
        <v>111</v>
      </c>
      <c r="D15766" s="3">
        <f t="shared" si="2593"/>
        <v>7473</v>
      </c>
      <c r="E15766" s="2">
        <f t="shared" si="2596"/>
        <v>41334</v>
      </c>
      <c r="F15766" s="2">
        <f t="shared" si="2595"/>
        <v>43373</v>
      </c>
    </row>
    <row r="15767" spans="1:6" x14ac:dyDescent="0.25">
      <c r="A15767" s="1" t="s">
        <v>4</v>
      </c>
      <c r="B15767" s="1" t="s">
        <v>2147</v>
      </c>
      <c r="C15767" s="1" t="s">
        <v>113</v>
      </c>
      <c r="D15767" s="3">
        <f t="shared" si="2593"/>
        <v>7473</v>
      </c>
      <c r="E15767" s="2">
        <f t="shared" si="2596"/>
        <v>41334</v>
      </c>
      <c r="F15767" s="2">
        <f t="shared" si="2595"/>
        <v>43373</v>
      </c>
    </row>
    <row r="15768" spans="1:6" x14ac:dyDescent="0.25">
      <c r="A15768" s="1" t="s">
        <v>4</v>
      </c>
      <c r="B15768" s="1" t="s">
        <v>2147</v>
      </c>
      <c r="C15768" s="1" t="s">
        <v>33</v>
      </c>
      <c r="D15768" s="3">
        <f t="shared" si="2593"/>
        <v>7473</v>
      </c>
      <c r="E15768" s="2">
        <f t="shared" si="2596"/>
        <v>41334</v>
      </c>
      <c r="F15768" s="2">
        <f t="shared" si="2595"/>
        <v>43373</v>
      </c>
    </row>
    <row r="15769" spans="1:6" x14ac:dyDescent="0.25">
      <c r="A15769" s="1" t="s">
        <v>4</v>
      </c>
      <c r="B15769" s="1" t="s">
        <v>2147</v>
      </c>
      <c r="C15769" s="1" t="s">
        <v>116</v>
      </c>
      <c r="D15769" s="3">
        <f t="shared" si="2593"/>
        <v>7473</v>
      </c>
      <c r="E15769" s="2">
        <f t="shared" si="2596"/>
        <v>41334</v>
      </c>
      <c r="F15769" s="2">
        <f t="shared" si="2595"/>
        <v>43373</v>
      </c>
    </row>
    <row r="15770" spans="1:6" x14ac:dyDescent="0.25">
      <c r="A15770" s="1" t="s">
        <v>4</v>
      </c>
      <c r="B15770" s="1" t="s">
        <v>2147</v>
      </c>
      <c r="C15770" s="1" t="s">
        <v>57</v>
      </c>
      <c r="D15770" s="3">
        <f t="shared" si="2593"/>
        <v>7473</v>
      </c>
      <c r="E15770" s="2">
        <f t="shared" si="2596"/>
        <v>41334</v>
      </c>
      <c r="F15770" s="2">
        <f t="shared" si="2595"/>
        <v>43373</v>
      </c>
    </row>
    <row r="15771" spans="1:6" x14ac:dyDescent="0.25">
      <c r="A15771" s="1" t="s">
        <v>4</v>
      </c>
      <c r="B15771" s="1" t="s">
        <v>2147</v>
      </c>
      <c r="C15771" s="1" t="s">
        <v>36</v>
      </c>
      <c r="D15771" s="3">
        <f t="shared" si="2593"/>
        <v>7473</v>
      </c>
      <c r="E15771" s="2">
        <f t="shared" si="2596"/>
        <v>41334</v>
      </c>
      <c r="F15771" s="2">
        <f t="shared" si="2595"/>
        <v>43373</v>
      </c>
    </row>
    <row r="15772" spans="1:6" x14ac:dyDescent="0.25">
      <c r="A15772" s="1" t="s">
        <v>4</v>
      </c>
      <c r="B15772" s="1" t="s">
        <v>353</v>
      </c>
      <c r="C15772" s="1" t="s">
        <v>78</v>
      </c>
      <c r="D15772" s="3">
        <f t="shared" ref="D15772:D15803" si="2597">VALUE("7474")</f>
        <v>7474</v>
      </c>
      <c r="E15772" s="2">
        <f t="shared" si="2596"/>
        <v>41334</v>
      </c>
      <c r="F15772" s="2">
        <f t="shared" ref="F15772:F15803" si="2598">DATEVALUE("31-12-2020")</f>
        <v>44196</v>
      </c>
    </row>
    <row r="15773" spans="1:6" x14ac:dyDescent="0.25">
      <c r="A15773" s="1" t="s">
        <v>4</v>
      </c>
      <c r="B15773" s="1" t="s">
        <v>353</v>
      </c>
      <c r="C15773" s="1" t="s">
        <v>79</v>
      </c>
      <c r="D15773" s="3">
        <f t="shared" si="2597"/>
        <v>7474</v>
      </c>
      <c r="E15773" s="2">
        <f t="shared" si="2596"/>
        <v>41334</v>
      </c>
      <c r="F15773" s="2">
        <f t="shared" si="2598"/>
        <v>44196</v>
      </c>
    </row>
    <row r="15774" spans="1:6" x14ac:dyDescent="0.25">
      <c r="A15774" s="1" t="s">
        <v>4</v>
      </c>
      <c r="B15774" s="1" t="s">
        <v>353</v>
      </c>
      <c r="C15774" s="1" t="s">
        <v>81</v>
      </c>
      <c r="D15774" s="3">
        <f t="shared" si="2597"/>
        <v>7474</v>
      </c>
      <c r="E15774" s="2">
        <f t="shared" si="2596"/>
        <v>41334</v>
      </c>
      <c r="F15774" s="2">
        <f t="shared" si="2598"/>
        <v>44196</v>
      </c>
    </row>
    <row r="15775" spans="1:6" x14ac:dyDescent="0.25">
      <c r="A15775" s="1" t="s">
        <v>4</v>
      </c>
      <c r="B15775" s="1" t="s">
        <v>353</v>
      </c>
      <c r="C15775" s="1" t="s">
        <v>80</v>
      </c>
      <c r="D15775" s="3">
        <f t="shared" si="2597"/>
        <v>7474</v>
      </c>
      <c r="E15775" s="2">
        <f t="shared" si="2596"/>
        <v>41334</v>
      </c>
      <c r="F15775" s="2">
        <f t="shared" si="2598"/>
        <v>44196</v>
      </c>
    </row>
    <row r="15776" spans="1:6" x14ac:dyDescent="0.25">
      <c r="A15776" s="1" t="s">
        <v>4</v>
      </c>
      <c r="B15776" s="1" t="s">
        <v>353</v>
      </c>
      <c r="C15776" s="1" t="s">
        <v>39</v>
      </c>
      <c r="D15776" s="3">
        <f t="shared" si="2597"/>
        <v>7474</v>
      </c>
      <c r="E15776" s="2">
        <f t="shared" si="2596"/>
        <v>41334</v>
      </c>
      <c r="F15776" s="2">
        <f t="shared" si="2598"/>
        <v>44196</v>
      </c>
    </row>
    <row r="15777" spans="1:6" x14ac:dyDescent="0.25">
      <c r="A15777" s="1" t="s">
        <v>4</v>
      </c>
      <c r="B15777" s="1" t="s">
        <v>353</v>
      </c>
      <c r="C15777" s="1" t="s">
        <v>40</v>
      </c>
      <c r="D15777" s="3">
        <f t="shared" si="2597"/>
        <v>7474</v>
      </c>
      <c r="E15777" s="2">
        <f t="shared" si="2596"/>
        <v>41334</v>
      </c>
      <c r="F15777" s="2">
        <f t="shared" si="2598"/>
        <v>44196</v>
      </c>
    </row>
    <row r="15778" spans="1:6" x14ac:dyDescent="0.25">
      <c r="A15778" s="1" t="s">
        <v>4</v>
      </c>
      <c r="B15778" s="1" t="s">
        <v>353</v>
      </c>
      <c r="C15778" s="1" t="s">
        <v>41</v>
      </c>
      <c r="D15778" s="3">
        <f t="shared" si="2597"/>
        <v>7474</v>
      </c>
      <c r="E15778" s="2">
        <f t="shared" si="2596"/>
        <v>41334</v>
      </c>
      <c r="F15778" s="2">
        <f t="shared" si="2598"/>
        <v>44196</v>
      </c>
    </row>
    <row r="15779" spans="1:6" x14ac:dyDescent="0.25">
      <c r="A15779" s="1" t="s">
        <v>4</v>
      </c>
      <c r="B15779" s="1" t="s">
        <v>353</v>
      </c>
      <c r="C15779" s="1" t="s">
        <v>60</v>
      </c>
      <c r="D15779" s="3">
        <f t="shared" si="2597"/>
        <v>7474</v>
      </c>
      <c r="E15779" s="2">
        <f t="shared" si="2596"/>
        <v>41334</v>
      </c>
      <c r="F15779" s="2">
        <f t="shared" si="2598"/>
        <v>44196</v>
      </c>
    </row>
    <row r="15780" spans="1:6" x14ac:dyDescent="0.25">
      <c r="A15780" s="1" t="s">
        <v>4</v>
      </c>
      <c r="B15780" s="1" t="s">
        <v>353</v>
      </c>
      <c r="C15780" s="1" t="s">
        <v>82</v>
      </c>
      <c r="D15780" s="3">
        <f t="shared" si="2597"/>
        <v>7474</v>
      </c>
      <c r="E15780" s="2">
        <f t="shared" si="2596"/>
        <v>41334</v>
      </c>
      <c r="F15780" s="2">
        <f t="shared" si="2598"/>
        <v>44196</v>
      </c>
    </row>
    <row r="15781" spans="1:6" x14ac:dyDescent="0.25">
      <c r="A15781" s="1" t="s">
        <v>4</v>
      </c>
      <c r="B15781" s="1" t="s">
        <v>353</v>
      </c>
      <c r="C15781" s="1" t="s">
        <v>42</v>
      </c>
      <c r="D15781" s="3">
        <f t="shared" si="2597"/>
        <v>7474</v>
      </c>
      <c r="E15781" s="2">
        <f t="shared" si="2596"/>
        <v>41334</v>
      </c>
      <c r="F15781" s="2">
        <f t="shared" si="2598"/>
        <v>44196</v>
      </c>
    </row>
    <row r="15782" spans="1:6" x14ac:dyDescent="0.25">
      <c r="A15782" s="1" t="s">
        <v>4</v>
      </c>
      <c r="B15782" s="1" t="s">
        <v>353</v>
      </c>
      <c r="C15782" s="1" t="s">
        <v>8</v>
      </c>
      <c r="D15782" s="3">
        <f t="shared" si="2597"/>
        <v>7474</v>
      </c>
      <c r="E15782" s="2">
        <f t="shared" si="2596"/>
        <v>41334</v>
      </c>
      <c r="F15782" s="2">
        <f t="shared" si="2598"/>
        <v>44196</v>
      </c>
    </row>
    <row r="15783" spans="1:6" x14ac:dyDescent="0.25">
      <c r="A15783" s="1" t="s">
        <v>4</v>
      </c>
      <c r="B15783" s="1" t="s">
        <v>353</v>
      </c>
      <c r="C15783" s="1" t="s">
        <v>256</v>
      </c>
      <c r="D15783" s="3">
        <f t="shared" si="2597"/>
        <v>7474</v>
      </c>
      <c r="E15783" s="2">
        <f t="shared" si="2596"/>
        <v>41334</v>
      </c>
      <c r="F15783" s="2">
        <f t="shared" si="2598"/>
        <v>44196</v>
      </c>
    </row>
    <row r="15784" spans="1:6" x14ac:dyDescent="0.25">
      <c r="A15784" s="1" t="s">
        <v>4</v>
      </c>
      <c r="B15784" s="1" t="s">
        <v>353</v>
      </c>
      <c r="C15784" s="1" t="s">
        <v>10</v>
      </c>
      <c r="D15784" s="3">
        <f t="shared" si="2597"/>
        <v>7474</v>
      </c>
      <c r="E15784" s="2">
        <f t="shared" si="2596"/>
        <v>41334</v>
      </c>
      <c r="F15784" s="2">
        <f t="shared" si="2598"/>
        <v>44196</v>
      </c>
    </row>
    <row r="15785" spans="1:6" x14ac:dyDescent="0.25">
      <c r="A15785" s="1" t="s">
        <v>4</v>
      </c>
      <c r="B15785" s="1" t="s">
        <v>353</v>
      </c>
      <c r="C15785" s="1" t="s">
        <v>11</v>
      </c>
      <c r="D15785" s="3">
        <f t="shared" si="2597"/>
        <v>7474</v>
      </c>
      <c r="E15785" s="2">
        <f t="shared" si="2596"/>
        <v>41334</v>
      </c>
      <c r="F15785" s="2">
        <f t="shared" si="2598"/>
        <v>44196</v>
      </c>
    </row>
    <row r="15786" spans="1:6" x14ac:dyDescent="0.25">
      <c r="A15786" s="1" t="s">
        <v>4</v>
      </c>
      <c r="B15786" s="1" t="s">
        <v>353</v>
      </c>
      <c r="C15786" s="1" t="s">
        <v>12</v>
      </c>
      <c r="D15786" s="3">
        <f t="shared" si="2597"/>
        <v>7474</v>
      </c>
      <c r="E15786" s="2">
        <f t="shared" si="2596"/>
        <v>41334</v>
      </c>
      <c r="F15786" s="2">
        <f t="shared" si="2598"/>
        <v>44196</v>
      </c>
    </row>
    <row r="15787" spans="1:6" x14ac:dyDescent="0.25">
      <c r="A15787" s="1" t="s">
        <v>4</v>
      </c>
      <c r="B15787" s="1" t="s">
        <v>353</v>
      </c>
      <c r="C15787" s="1" t="s">
        <v>83</v>
      </c>
      <c r="D15787" s="3">
        <f t="shared" si="2597"/>
        <v>7474</v>
      </c>
      <c r="E15787" s="2">
        <f t="shared" si="2596"/>
        <v>41334</v>
      </c>
      <c r="F15787" s="2">
        <f t="shared" si="2598"/>
        <v>44196</v>
      </c>
    </row>
    <row r="15788" spans="1:6" x14ac:dyDescent="0.25">
      <c r="A15788" s="1" t="s">
        <v>4</v>
      </c>
      <c r="B15788" s="1" t="s">
        <v>353</v>
      </c>
      <c r="C15788" s="1" t="s">
        <v>43</v>
      </c>
      <c r="D15788" s="3">
        <f t="shared" si="2597"/>
        <v>7474</v>
      </c>
      <c r="E15788" s="2">
        <f t="shared" si="2596"/>
        <v>41334</v>
      </c>
      <c r="F15788" s="2">
        <f t="shared" si="2598"/>
        <v>44196</v>
      </c>
    </row>
    <row r="15789" spans="1:6" x14ac:dyDescent="0.25">
      <c r="A15789" s="1" t="s">
        <v>4</v>
      </c>
      <c r="B15789" s="1" t="s">
        <v>353</v>
      </c>
      <c r="C15789" s="1" t="s">
        <v>125</v>
      </c>
      <c r="D15789" s="3">
        <f t="shared" si="2597"/>
        <v>7474</v>
      </c>
      <c r="E15789" s="2">
        <f t="shared" si="2596"/>
        <v>41334</v>
      </c>
      <c r="F15789" s="2">
        <f t="shared" si="2598"/>
        <v>44196</v>
      </c>
    </row>
    <row r="15790" spans="1:6" x14ac:dyDescent="0.25">
      <c r="A15790" s="1" t="s">
        <v>4</v>
      </c>
      <c r="B15790" s="1" t="s">
        <v>353</v>
      </c>
      <c r="C15790" s="1" t="s">
        <v>85</v>
      </c>
      <c r="D15790" s="3">
        <f t="shared" si="2597"/>
        <v>7474</v>
      </c>
      <c r="E15790" s="2">
        <f t="shared" si="2596"/>
        <v>41334</v>
      </c>
      <c r="F15790" s="2">
        <f t="shared" si="2598"/>
        <v>44196</v>
      </c>
    </row>
    <row r="15791" spans="1:6" x14ac:dyDescent="0.25">
      <c r="A15791" s="1" t="s">
        <v>4</v>
      </c>
      <c r="B15791" s="1" t="s">
        <v>353</v>
      </c>
      <c r="C15791" s="1" t="s">
        <v>84</v>
      </c>
      <c r="D15791" s="3">
        <f t="shared" si="2597"/>
        <v>7474</v>
      </c>
      <c r="E15791" s="2">
        <f t="shared" si="2596"/>
        <v>41334</v>
      </c>
      <c r="F15791" s="2">
        <f t="shared" si="2598"/>
        <v>44196</v>
      </c>
    </row>
    <row r="15792" spans="1:6" x14ac:dyDescent="0.25">
      <c r="A15792" s="1" t="s">
        <v>4</v>
      </c>
      <c r="B15792" s="1" t="s">
        <v>353</v>
      </c>
      <c r="C15792" s="1" t="s">
        <v>45</v>
      </c>
      <c r="D15792" s="3">
        <f t="shared" si="2597"/>
        <v>7474</v>
      </c>
      <c r="E15792" s="2">
        <f t="shared" si="2596"/>
        <v>41334</v>
      </c>
      <c r="F15792" s="2">
        <f t="shared" si="2598"/>
        <v>44196</v>
      </c>
    </row>
    <row r="15793" spans="1:6" x14ac:dyDescent="0.25">
      <c r="A15793" s="1" t="s">
        <v>4</v>
      </c>
      <c r="B15793" s="1" t="s">
        <v>353</v>
      </c>
      <c r="C15793" s="1" t="s">
        <v>46</v>
      </c>
      <c r="D15793" s="3">
        <f t="shared" si="2597"/>
        <v>7474</v>
      </c>
      <c r="E15793" s="2">
        <f t="shared" ref="E15793:E15824" si="2599">DATEVALUE("1-3-2013")</f>
        <v>41334</v>
      </c>
      <c r="F15793" s="2">
        <f t="shared" si="2598"/>
        <v>44196</v>
      </c>
    </row>
    <row r="15794" spans="1:6" x14ac:dyDescent="0.25">
      <c r="A15794" s="1" t="s">
        <v>4</v>
      </c>
      <c r="B15794" s="1" t="s">
        <v>353</v>
      </c>
      <c r="C15794" s="1" t="s">
        <v>66</v>
      </c>
      <c r="D15794" s="3">
        <f t="shared" si="2597"/>
        <v>7474</v>
      </c>
      <c r="E15794" s="2">
        <f t="shared" si="2599"/>
        <v>41334</v>
      </c>
      <c r="F15794" s="2">
        <f t="shared" si="2598"/>
        <v>44196</v>
      </c>
    </row>
    <row r="15795" spans="1:6" x14ac:dyDescent="0.25">
      <c r="A15795" s="1" t="s">
        <v>4</v>
      </c>
      <c r="B15795" s="1" t="s">
        <v>353</v>
      </c>
      <c r="C15795" s="1" t="s">
        <v>15</v>
      </c>
      <c r="D15795" s="3">
        <f t="shared" si="2597"/>
        <v>7474</v>
      </c>
      <c r="E15795" s="2">
        <f t="shared" si="2599"/>
        <v>41334</v>
      </c>
      <c r="F15795" s="2">
        <f t="shared" si="2598"/>
        <v>44196</v>
      </c>
    </row>
    <row r="15796" spans="1:6" x14ac:dyDescent="0.25">
      <c r="A15796" s="1" t="s">
        <v>4</v>
      </c>
      <c r="B15796" s="1" t="s">
        <v>353</v>
      </c>
      <c r="C15796" s="1" t="s">
        <v>16</v>
      </c>
      <c r="D15796" s="3">
        <f t="shared" si="2597"/>
        <v>7474</v>
      </c>
      <c r="E15796" s="2">
        <f t="shared" si="2599"/>
        <v>41334</v>
      </c>
      <c r="F15796" s="2">
        <f t="shared" si="2598"/>
        <v>44196</v>
      </c>
    </row>
    <row r="15797" spans="1:6" x14ac:dyDescent="0.25">
      <c r="A15797" s="1" t="s">
        <v>4</v>
      </c>
      <c r="B15797" s="1" t="s">
        <v>353</v>
      </c>
      <c r="C15797" s="1" t="s">
        <v>88</v>
      </c>
      <c r="D15797" s="3">
        <f t="shared" si="2597"/>
        <v>7474</v>
      </c>
      <c r="E15797" s="2">
        <f t="shared" si="2599"/>
        <v>41334</v>
      </c>
      <c r="F15797" s="2">
        <f t="shared" si="2598"/>
        <v>44196</v>
      </c>
    </row>
    <row r="15798" spans="1:6" x14ac:dyDescent="0.25">
      <c r="A15798" s="1" t="s">
        <v>4</v>
      </c>
      <c r="B15798" s="1" t="s">
        <v>353</v>
      </c>
      <c r="C15798" s="1" t="s">
        <v>89</v>
      </c>
      <c r="D15798" s="3">
        <f t="shared" si="2597"/>
        <v>7474</v>
      </c>
      <c r="E15798" s="2">
        <f t="shared" si="2599"/>
        <v>41334</v>
      </c>
      <c r="F15798" s="2">
        <f t="shared" si="2598"/>
        <v>44196</v>
      </c>
    </row>
    <row r="15799" spans="1:6" x14ac:dyDescent="0.25">
      <c r="A15799" s="1" t="s">
        <v>4</v>
      </c>
      <c r="B15799" s="1" t="s">
        <v>353</v>
      </c>
      <c r="C15799" s="1" t="s">
        <v>17</v>
      </c>
      <c r="D15799" s="3">
        <f t="shared" si="2597"/>
        <v>7474</v>
      </c>
      <c r="E15799" s="2">
        <f t="shared" si="2599"/>
        <v>41334</v>
      </c>
      <c r="F15799" s="2">
        <f t="shared" si="2598"/>
        <v>44196</v>
      </c>
    </row>
    <row r="15800" spans="1:6" x14ac:dyDescent="0.25">
      <c r="A15800" s="1" t="s">
        <v>4</v>
      </c>
      <c r="B15800" s="1" t="s">
        <v>353</v>
      </c>
      <c r="C15800" s="1" t="s">
        <v>90</v>
      </c>
      <c r="D15800" s="3">
        <f t="shared" si="2597"/>
        <v>7474</v>
      </c>
      <c r="E15800" s="2">
        <f t="shared" si="2599"/>
        <v>41334</v>
      </c>
      <c r="F15800" s="2">
        <f t="shared" si="2598"/>
        <v>44196</v>
      </c>
    </row>
    <row r="15801" spans="1:6" x14ac:dyDescent="0.25">
      <c r="A15801" s="1" t="s">
        <v>4</v>
      </c>
      <c r="B15801" s="1" t="s">
        <v>353</v>
      </c>
      <c r="C15801" s="1" t="s">
        <v>93</v>
      </c>
      <c r="D15801" s="3">
        <f t="shared" si="2597"/>
        <v>7474</v>
      </c>
      <c r="E15801" s="2">
        <f t="shared" si="2599"/>
        <v>41334</v>
      </c>
      <c r="F15801" s="2">
        <f t="shared" si="2598"/>
        <v>44196</v>
      </c>
    </row>
    <row r="15802" spans="1:6" x14ac:dyDescent="0.25">
      <c r="A15802" s="1" t="s">
        <v>4</v>
      </c>
      <c r="B15802" s="1" t="s">
        <v>353</v>
      </c>
      <c r="C15802" s="1" t="s">
        <v>177</v>
      </c>
      <c r="D15802" s="3">
        <f t="shared" si="2597"/>
        <v>7474</v>
      </c>
      <c r="E15802" s="2">
        <f t="shared" si="2599"/>
        <v>41334</v>
      </c>
      <c r="F15802" s="2">
        <f t="shared" si="2598"/>
        <v>44196</v>
      </c>
    </row>
    <row r="15803" spans="1:6" x14ac:dyDescent="0.25">
      <c r="A15803" s="1" t="s">
        <v>4</v>
      </c>
      <c r="B15803" s="1" t="s">
        <v>353</v>
      </c>
      <c r="C15803" s="1" t="s">
        <v>25</v>
      </c>
      <c r="D15803" s="3">
        <f t="shared" si="2597"/>
        <v>7474</v>
      </c>
      <c r="E15803" s="2">
        <f t="shared" si="2599"/>
        <v>41334</v>
      </c>
      <c r="F15803" s="2">
        <f t="shared" si="2598"/>
        <v>44196</v>
      </c>
    </row>
    <row r="15804" spans="1:6" x14ac:dyDescent="0.25">
      <c r="A15804" s="1" t="s">
        <v>4</v>
      </c>
      <c r="B15804" s="1" t="s">
        <v>353</v>
      </c>
      <c r="C15804" s="1" t="s">
        <v>97</v>
      </c>
      <c r="D15804" s="3">
        <f t="shared" ref="D15804:D15826" si="2600">VALUE("7474")</f>
        <v>7474</v>
      </c>
      <c r="E15804" s="2">
        <f t="shared" si="2599"/>
        <v>41334</v>
      </c>
      <c r="F15804" s="2">
        <f t="shared" ref="F15804:F15826" si="2601">DATEVALUE("31-12-2020")</f>
        <v>44196</v>
      </c>
    </row>
    <row r="15805" spans="1:6" x14ac:dyDescent="0.25">
      <c r="A15805" s="1" t="s">
        <v>4</v>
      </c>
      <c r="B15805" s="1" t="s">
        <v>353</v>
      </c>
      <c r="C15805" s="1" t="s">
        <v>98</v>
      </c>
      <c r="D15805" s="3">
        <f t="shared" si="2600"/>
        <v>7474</v>
      </c>
      <c r="E15805" s="2">
        <f t="shared" si="2599"/>
        <v>41334</v>
      </c>
      <c r="F15805" s="2">
        <f t="shared" si="2601"/>
        <v>44196</v>
      </c>
    </row>
    <row r="15806" spans="1:6" x14ac:dyDescent="0.25">
      <c r="A15806" s="1" t="s">
        <v>4</v>
      </c>
      <c r="B15806" s="1" t="s">
        <v>353</v>
      </c>
      <c r="C15806" s="1" t="s">
        <v>99</v>
      </c>
      <c r="D15806" s="3">
        <f t="shared" si="2600"/>
        <v>7474</v>
      </c>
      <c r="E15806" s="2">
        <f t="shared" si="2599"/>
        <v>41334</v>
      </c>
      <c r="F15806" s="2">
        <f t="shared" si="2601"/>
        <v>44196</v>
      </c>
    </row>
    <row r="15807" spans="1:6" x14ac:dyDescent="0.25">
      <c r="A15807" s="1" t="s">
        <v>4</v>
      </c>
      <c r="B15807" s="1" t="s">
        <v>353</v>
      </c>
      <c r="C15807" s="1" t="s">
        <v>27</v>
      </c>
      <c r="D15807" s="3">
        <f t="shared" si="2600"/>
        <v>7474</v>
      </c>
      <c r="E15807" s="2">
        <f t="shared" si="2599"/>
        <v>41334</v>
      </c>
      <c r="F15807" s="2">
        <f t="shared" si="2601"/>
        <v>44196</v>
      </c>
    </row>
    <row r="15808" spans="1:6" x14ac:dyDescent="0.25">
      <c r="A15808" s="1" t="s">
        <v>4</v>
      </c>
      <c r="B15808" s="1" t="s">
        <v>353</v>
      </c>
      <c r="C15808" s="1" t="s">
        <v>262</v>
      </c>
      <c r="D15808" s="3">
        <f t="shared" si="2600"/>
        <v>7474</v>
      </c>
      <c r="E15808" s="2">
        <f t="shared" si="2599"/>
        <v>41334</v>
      </c>
      <c r="F15808" s="2">
        <f t="shared" si="2601"/>
        <v>44196</v>
      </c>
    </row>
    <row r="15809" spans="1:6" x14ac:dyDescent="0.25">
      <c r="A15809" s="1" t="s">
        <v>4</v>
      </c>
      <c r="B15809" s="1" t="s">
        <v>353</v>
      </c>
      <c r="C15809" s="1" t="s">
        <v>104</v>
      </c>
      <c r="D15809" s="3">
        <f t="shared" si="2600"/>
        <v>7474</v>
      </c>
      <c r="E15809" s="2">
        <f t="shared" si="2599"/>
        <v>41334</v>
      </c>
      <c r="F15809" s="2">
        <f t="shared" si="2601"/>
        <v>44196</v>
      </c>
    </row>
    <row r="15810" spans="1:6" x14ac:dyDescent="0.25">
      <c r="A15810" s="1" t="s">
        <v>4</v>
      </c>
      <c r="B15810" s="1" t="s">
        <v>353</v>
      </c>
      <c r="C15810" s="1" t="s">
        <v>105</v>
      </c>
      <c r="D15810" s="3">
        <f t="shared" si="2600"/>
        <v>7474</v>
      </c>
      <c r="E15810" s="2">
        <f t="shared" si="2599"/>
        <v>41334</v>
      </c>
      <c r="F15810" s="2">
        <f t="shared" si="2601"/>
        <v>44196</v>
      </c>
    </row>
    <row r="15811" spans="1:6" x14ac:dyDescent="0.25">
      <c r="A15811" s="1" t="s">
        <v>4</v>
      </c>
      <c r="B15811" s="1" t="s">
        <v>353</v>
      </c>
      <c r="C15811" s="1" t="s">
        <v>106</v>
      </c>
      <c r="D15811" s="3">
        <f t="shared" si="2600"/>
        <v>7474</v>
      </c>
      <c r="E15811" s="2">
        <f t="shared" si="2599"/>
        <v>41334</v>
      </c>
      <c r="F15811" s="2">
        <f t="shared" si="2601"/>
        <v>44196</v>
      </c>
    </row>
    <row r="15812" spans="1:6" x14ac:dyDescent="0.25">
      <c r="A15812" s="1" t="s">
        <v>4</v>
      </c>
      <c r="B15812" s="1" t="s">
        <v>353</v>
      </c>
      <c r="C15812" s="1" t="s">
        <v>107</v>
      </c>
      <c r="D15812" s="3">
        <f t="shared" si="2600"/>
        <v>7474</v>
      </c>
      <c r="E15812" s="2">
        <f t="shared" si="2599"/>
        <v>41334</v>
      </c>
      <c r="F15812" s="2">
        <f t="shared" si="2601"/>
        <v>44196</v>
      </c>
    </row>
    <row r="15813" spans="1:6" x14ac:dyDescent="0.25">
      <c r="A15813" s="1" t="s">
        <v>4</v>
      </c>
      <c r="B15813" s="1" t="s">
        <v>353</v>
      </c>
      <c r="C15813" s="1" t="s">
        <v>32</v>
      </c>
      <c r="D15813" s="3">
        <f t="shared" si="2600"/>
        <v>7474</v>
      </c>
      <c r="E15813" s="2">
        <f t="shared" si="2599"/>
        <v>41334</v>
      </c>
      <c r="F15813" s="2">
        <f t="shared" si="2601"/>
        <v>44196</v>
      </c>
    </row>
    <row r="15814" spans="1:6" x14ac:dyDescent="0.25">
      <c r="A15814" s="1" t="s">
        <v>4</v>
      </c>
      <c r="B15814" s="1" t="s">
        <v>353</v>
      </c>
      <c r="C15814" s="1" t="s">
        <v>110</v>
      </c>
      <c r="D15814" s="3">
        <f t="shared" si="2600"/>
        <v>7474</v>
      </c>
      <c r="E15814" s="2">
        <f t="shared" si="2599"/>
        <v>41334</v>
      </c>
      <c r="F15814" s="2">
        <f t="shared" si="2601"/>
        <v>44196</v>
      </c>
    </row>
    <row r="15815" spans="1:6" x14ac:dyDescent="0.25">
      <c r="A15815" s="1" t="s">
        <v>4</v>
      </c>
      <c r="B15815" s="1" t="s">
        <v>353</v>
      </c>
      <c r="C15815" s="1" t="s">
        <v>111</v>
      </c>
      <c r="D15815" s="3">
        <f t="shared" si="2600"/>
        <v>7474</v>
      </c>
      <c r="E15815" s="2">
        <f t="shared" si="2599"/>
        <v>41334</v>
      </c>
      <c r="F15815" s="2">
        <f t="shared" si="2601"/>
        <v>44196</v>
      </c>
    </row>
    <row r="15816" spans="1:6" x14ac:dyDescent="0.25">
      <c r="A15816" s="1" t="s">
        <v>4</v>
      </c>
      <c r="B15816" s="1" t="s">
        <v>353</v>
      </c>
      <c r="C15816" s="1" t="s">
        <v>112</v>
      </c>
      <c r="D15816" s="3">
        <f t="shared" si="2600"/>
        <v>7474</v>
      </c>
      <c r="E15816" s="2">
        <f t="shared" si="2599"/>
        <v>41334</v>
      </c>
      <c r="F15816" s="2">
        <f t="shared" si="2601"/>
        <v>44196</v>
      </c>
    </row>
    <row r="15817" spans="1:6" x14ac:dyDescent="0.25">
      <c r="A15817" s="1" t="s">
        <v>4</v>
      </c>
      <c r="B15817" s="1" t="s">
        <v>353</v>
      </c>
      <c r="C15817" s="1" t="s">
        <v>113</v>
      </c>
      <c r="D15817" s="3">
        <f t="shared" si="2600"/>
        <v>7474</v>
      </c>
      <c r="E15817" s="2">
        <f t="shared" si="2599"/>
        <v>41334</v>
      </c>
      <c r="F15817" s="2">
        <f t="shared" si="2601"/>
        <v>44196</v>
      </c>
    </row>
    <row r="15818" spans="1:6" x14ac:dyDescent="0.25">
      <c r="A15818" s="1" t="s">
        <v>4</v>
      </c>
      <c r="B15818" s="1" t="s">
        <v>353</v>
      </c>
      <c r="C15818" s="1" t="s">
        <v>33</v>
      </c>
      <c r="D15818" s="3">
        <f t="shared" si="2600"/>
        <v>7474</v>
      </c>
      <c r="E15818" s="2">
        <f t="shared" si="2599"/>
        <v>41334</v>
      </c>
      <c r="F15818" s="2">
        <f t="shared" si="2601"/>
        <v>44196</v>
      </c>
    </row>
    <row r="15819" spans="1:6" x14ac:dyDescent="0.25">
      <c r="A15819" s="1" t="s">
        <v>4</v>
      </c>
      <c r="B15819" s="1" t="s">
        <v>353</v>
      </c>
      <c r="C15819" s="1" t="s">
        <v>114</v>
      </c>
      <c r="D15819" s="3">
        <f t="shared" si="2600"/>
        <v>7474</v>
      </c>
      <c r="E15819" s="2">
        <f t="shared" si="2599"/>
        <v>41334</v>
      </c>
      <c r="F15819" s="2">
        <f t="shared" si="2601"/>
        <v>44196</v>
      </c>
    </row>
    <row r="15820" spans="1:6" x14ac:dyDescent="0.25">
      <c r="A15820" s="1" t="s">
        <v>4</v>
      </c>
      <c r="B15820" s="1" t="s">
        <v>353</v>
      </c>
      <c r="C15820" s="1" t="s">
        <v>115</v>
      </c>
      <c r="D15820" s="3">
        <f t="shared" si="2600"/>
        <v>7474</v>
      </c>
      <c r="E15820" s="2">
        <f t="shared" si="2599"/>
        <v>41334</v>
      </c>
      <c r="F15820" s="2">
        <f t="shared" si="2601"/>
        <v>44196</v>
      </c>
    </row>
    <row r="15821" spans="1:6" x14ac:dyDescent="0.25">
      <c r="A15821" s="1" t="s">
        <v>4</v>
      </c>
      <c r="B15821" s="1" t="s">
        <v>353</v>
      </c>
      <c r="C15821" s="1" t="s">
        <v>116</v>
      </c>
      <c r="D15821" s="3">
        <f t="shared" si="2600"/>
        <v>7474</v>
      </c>
      <c r="E15821" s="2">
        <f t="shared" si="2599"/>
        <v>41334</v>
      </c>
      <c r="F15821" s="2">
        <f t="shared" si="2601"/>
        <v>44196</v>
      </c>
    </row>
    <row r="15822" spans="1:6" x14ac:dyDescent="0.25">
      <c r="A15822" s="1" t="s">
        <v>4</v>
      </c>
      <c r="B15822" s="1" t="s">
        <v>353</v>
      </c>
      <c r="C15822" s="1" t="s">
        <v>57</v>
      </c>
      <c r="D15822" s="3">
        <f t="shared" si="2600"/>
        <v>7474</v>
      </c>
      <c r="E15822" s="2">
        <f t="shared" si="2599"/>
        <v>41334</v>
      </c>
      <c r="F15822" s="2">
        <f t="shared" si="2601"/>
        <v>44196</v>
      </c>
    </row>
    <row r="15823" spans="1:6" x14ac:dyDescent="0.25">
      <c r="A15823" s="1" t="s">
        <v>4</v>
      </c>
      <c r="B15823" s="1" t="s">
        <v>353</v>
      </c>
      <c r="C15823" s="1" t="s">
        <v>36</v>
      </c>
      <c r="D15823" s="3">
        <f t="shared" si="2600"/>
        <v>7474</v>
      </c>
      <c r="E15823" s="2">
        <f t="shared" si="2599"/>
        <v>41334</v>
      </c>
      <c r="F15823" s="2">
        <f t="shared" si="2601"/>
        <v>44196</v>
      </c>
    </row>
    <row r="15824" spans="1:6" x14ac:dyDescent="0.25">
      <c r="A15824" s="1" t="s">
        <v>4</v>
      </c>
      <c r="B15824" s="1" t="s">
        <v>353</v>
      </c>
      <c r="C15824" s="1" t="s">
        <v>133</v>
      </c>
      <c r="D15824" s="3">
        <f t="shared" si="2600"/>
        <v>7474</v>
      </c>
      <c r="E15824" s="2">
        <f t="shared" si="2599"/>
        <v>41334</v>
      </c>
      <c r="F15824" s="2">
        <f t="shared" si="2601"/>
        <v>44196</v>
      </c>
    </row>
    <row r="15825" spans="1:6" x14ac:dyDescent="0.25">
      <c r="A15825" s="1" t="s">
        <v>4</v>
      </c>
      <c r="B15825" s="1" t="s">
        <v>353</v>
      </c>
      <c r="C15825" s="1" t="s">
        <v>134</v>
      </c>
      <c r="D15825" s="3">
        <f t="shared" si="2600"/>
        <v>7474</v>
      </c>
      <c r="E15825" s="2">
        <f t="shared" ref="E15825:E15856" si="2602">DATEVALUE("1-3-2013")</f>
        <v>41334</v>
      </c>
      <c r="F15825" s="2">
        <f t="shared" si="2601"/>
        <v>44196</v>
      </c>
    </row>
    <row r="15826" spans="1:6" x14ac:dyDescent="0.25">
      <c r="A15826" s="1" t="s">
        <v>4</v>
      </c>
      <c r="B15826" s="1" t="s">
        <v>353</v>
      </c>
      <c r="C15826" s="1" t="s">
        <v>117</v>
      </c>
      <c r="D15826" s="3">
        <f t="shared" si="2600"/>
        <v>7474</v>
      </c>
      <c r="E15826" s="2">
        <f t="shared" si="2602"/>
        <v>41334</v>
      </c>
      <c r="F15826" s="2">
        <f t="shared" si="2601"/>
        <v>44196</v>
      </c>
    </row>
    <row r="15827" spans="1:6" x14ac:dyDescent="0.25">
      <c r="A15827" s="1" t="s">
        <v>4</v>
      </c>
      <c r="B15827" s="1" t="s">
        <v>2148</v>
      </c>
      <c r="C15827" s="1" t="s">
        <v>7</v>
      </c>
      <c r="D15827" s="3">
        <f t="shared" ref="D15827:D15873" si="2603">VALUE("7475")</f>
        <v>7475</v>
      </c>
      <c r="E15827" s="2">
        <f t="shared" si="2602"/>
        <v>41334</v>
      </c>
      <c r="F15827" s="2">
        <f t="shared" ref="F15827:F15873" si="2604">DATEVALUE("31-10-2018")</f>
        <v>43404</v>
      </c>
    </row>
    <row r="15828" spans="1:6" x14ac:dyDescent="0.25">
      <c r="A15828" s="1" t="s">
        <v>4</v>
      </c>
      <c r="B15828" s="1" t="s">
        <v>2148</v>
      </c>
      <c r="C15828" s="1" t="s">
        <v>6</v>
      </c>
      <c r="D15828" s="3">
        <f t="shared" si="2603"/>
        <v>7475</v>
      </c>
      <c r="E15828" s="2">
        <f t="shared" si="2602"/>
        <v>41334</v>
      </c>
      <c r="F15828" s="2">
        <f t="shared" si="2604"/>
        <v>43404</v>
      </c>
    </row>
    <row r="15829" spans="1:6" x14ac:dyDescent="0.25">
      <c r="A15829" s="1" t="s">
        <v>4</v>
      </c>
      <c r="B15829" s="1" t="s">
        <v>2148</v>
      </c>
      <c r="C15829" s="1" t="s">
        <v>345</v>
      </c>
      <c r="D15829" s="3">
        <f t="shared" si="2603"/>
        <v>7475</v>
      </c>
      <c r="E15829" s="2">
        <f t="shared" si="2602"/>
        <v>41334</v>
      </c>
      <c r="F15829" s="2">
        <f t="shared" si="2604"/>
        <v>43404</v>
      </c>
    </row>
    <row r="15830" spans="1:6" x14ac:dyDescent="0.25">
      <c r="A15830" s="1" t="s">
        <v>4</v>
      </c>
      <c r="B15830" s="1" t="s">
        <v>2148</v>
      </c>
      <c r="C15830" s="1" t="s">
        <v>78</v>
      </c>
      <c r="D15830" s="3">
        <f t="shared" si="2603"/>
        <v>7475</v>
      </c>
      <c r="E15830" s="2">
        <f t="shared" si="2602"/>
        <v>41334</v>
      </c>
      <c r="F15830" s="2">
        <f t="shared" si="2604"/>
        <v>43404</v>
      </c>
    </row>
    <row r="15831" spans="1:6" x14ac:dyDescent="0.25">
      <c r="A15831" s="1" t="s">
        <v>4</v>
      </c>
      <c r="B15831" s="1" t="s">
        <v>2148</v>
      </c>
      <c r="C15831" s="1" t="s">
        <v>79</v>
      </c>
      <c r="D15831" s="3">
        <f t="shared" si="2603"/>
        <v>7475</v>
      </c>
      <c r="E15831" s="2">
        <f t="shared" si="2602"/>
        <v>41334</v>
      </c>
      <c r="F15831" s="2">
        <f t="shared" si="2604"/>
        <v>43404</v>
      </c>
    </row>
    <row r="15832" spans="1:6" x14ac:dyDescent="0.25">
      <c r="A15832" s="1" t="s">
        <v>4</v>
      </c>
      <c r="B15832" s="1" t="s">
        <v>2148</v>
      </c>
      <c r="C15832" s="1" t="s">
        <v>81</v>
      </c>
      <c r="D15832" s="3">
        <f t="shared" si="2603"/>
        <v>7475</v>
      </c>
      <c r="E15832" s="2">
        <f t="shared" si="2602"/>
        <v>41334</v>
      </c>
      <c r="F15832" s="2">
        <f t="shared" si="2604"/>
        <v>43404</v>
      </c>
    </row>
    <row r="15833" spans="1:6" x14ac:dyDescent="0.25">
      <c r="A15833" s="1" t="s">
        <v>4</v>
      </c>
      <c r="B15833" s="1" t="s">
        <v>2148</v>
      </c>
      <c r="C15833" s="1" t="s">
        <v>80</v>
      </c>
      <c r="D15833" s="3">
        <f t="shared" si="2603"/>
        <v>7475</v>
      </c>
      <c r="E15833" s="2">
        <f t="shared" si="2602"/>
        <v>41334</v>
      </c>
      <c r="F15833" s="2">
        <f t="shared" si="2604"/>
        <v>43404</v>
      </c>
    </row>
    <row r="15834" spans="1:6" x14ac:dyDescent="0.25">
      <c r="A15834" s="1" t="s">
        <v>4</v>
      </c>
      <c r="B15834" s="1" t="s">
        <v>2148</v>
      </c>
      <c r="C15834" s="1" t="s">
        <v>39</v>
      </c>
      <c r="D15834" s="3">
        <f t="shared" si="2603"/>
        <v>7475</v>
      </c>
      <c r="E15834" s="2">
        <f t="shared" si="2602"/>
        <v>41334</v>
      </c>
      <c r="F15834" s="2">
        <f t="shared" si="2604"/>
        <v>43404</v>
      </c>
    </row>
    <row r="15835" spans="1:6" x14ac:dyDescent="0.25">
      <c r="A15835" s="1" t="s">
        <v>4</v>
      </c>
      <c r="B15835" s="1" t="s">
        <v>2148</v>
      </c>
      <c r="C15835" s="1" t="s">
        <v>60</v>
      </c>
      <c r="D15835" s="3">
        <f t="shared" si="2603"/>
        <v>7475</v>
      </c>
      <c r="E15835" s="2">
        <f t="shared" si="2602"/>
        <v>41334</v>
      </c>
      <c r="F15835" s="2">
        <f t="shared" si="2604"/>
        <v>43404</v>
      </c>
    </row>
    <row r="15836" spans="1:6" x14ac:dyDescent="0.25">
      <c r="A15836" s="1" t="s">
        <v>4</v>
      </c>
      <c r="B15836" s="1" t="s">
        <v>2148</v>
      </c>
      <c r="C15836" s="1" t="s">
        <v>82</v>
      </c>
      <c r="D15836" s="3">
        <f t="shared" si="2603"/>
        <v>7475</v>
      </c>
      <c r="E15836" s="2">
        <f t="shared" si="2602"/>
        <v>41334</v>
      </c>
      <c r="F15836" s="2">
        <f t="shared" si="2604"/>
        <v>43404</v>
      </c>
    </row>
    <row r="15837" spans="1:6" x14ac:dyDescent="0.25">
      <c r="A15837" s="1" t="s">
        <v>4</v>
      </c>
      <c r="B15837" s="1" t="s">
        <v>2148</v>
      </c>
      <c r="C15837" s="1" t="s">
        <v>42</v>
      </c>
      <c r="D15837" s="3">
        <f t="shared" si="2603"/>
        <v>7475</v>
      </c>
      <c r="E15837" s="2">
        <f t="shared" si="2602"/>
        <v>41334</v>
      </c>
      <c r="F15837" s="2">
        <f t="shared" si="2604"/>
        <v>43404</v>
      </c>
    </row>
    <row r="15838" spans="1:6" x14ac:dyDescent="0.25">
      <c r="A15838" s="1" t="s">
        <v>4</v>
      </c>
      <c r="B15838" s="1" t="s">
        <v>2148</v>
      </c>
      <c r="C15838" s="1" t="s">
        <v>8</v>
      </c>
      <c r="D15838" s="3">
        <f t="shared" si="2603"/>
        <v>7475</v>
      </c>
      <c r="E15838" s="2">
        <f t="shared" si="2602"/>
        <v>41334</v>
      </c>
      <c r="F15838" s="2">
        <f t="shared" si="2604"/>
        <v>43404</v>
      </c>
    </row>
    <row r="15839" spans="1:6" x14ac:dyDescent="0.25">
      <c r="A15839" s="1" t="s">
        <v>4</v>
      </c>
      <c r="B15839" s="1" t="s">
        <v>2148</v>
      </c>
      <c r="C15839" s="1" t="s">
        <v>256</v>
      </c>
      <c r="D15839" s="3">
        <f t="shared" si="2603"/>
        <v>7475</v>
      </c>
      <c r="E15839" s="2">
        <f t="shared" si="2602"/>
        <v>41334</v>
      </c>
      <c r="F15839" s="2">
        <f t="shared" si="2604"/>
        <v>43404</v>
      </c>
    </row>
    <row r="15840" spans="1:6" x14ac:dyDescent="0.25">
      <c r="A15840" s="1" t="s">
        <v>4</v>
      </c>
      <c r="B15840" s="1" t="s">
        <v>2148</v>
      </c>
      <c r="C15840" s="1" t="s">
        <v>10</v>
      </c>
      <c r="D15840" s="3">
        <f t="shared" si="2603"/>
        <v>7475</v>
      </c>
      <c r="E15840" s="2">
        <f t="shared" si="2602"/>
        <v>41334</v>
      </c>
      <c r="F15840" s="2">
        <f t="shared" si="2604"/>
        <v>43404</v>
      </c>
    </row>
    <row r="15841" spans="1:6" x14ac:dyDescent="0.25">
      <c r="A15841" s="1" t="s">
        <v>4</v>
      </c>
      <c r="B15841" s="1" t="s">
        <v>2148</v>
      </c>
      <c r="C15841" s="1" t="s">
        <v>11</v>
      </c>
      <c r="D15841" s="3">
        <f t="shared" si="2603"/>
        <v>7475</v>
      </c>
      <c r="E15841" s="2">
        <f t="shared" si="2602"/>
        <v>41334</v>
      </c>
      <c r="F15841" s="2">
        <f t="shared" si="2604"/>
        <v>43404</v>
      </c>
    </row>
    <row r="15842" spans="1:6" x14ac:dyDescent="0.25">
      <c r="A15842" s="1" t="s">
        <v>4</v>
      </c>
      <c r="B15842" s="1" t="s">
        <v>2148</v>
      </c>
      <c r="C15842" s="1" t="s">
        <v>12</v>
      </c>
      <c r="D15842" s="3">
        <f t="shared" si="2603"/>
        <v>7475</v>
      </c>
      <c r="E15842" s="2">
        <f t="shared" si="2602"/>
        <v>41334</v>
      </c>
      <c r="F15842" s="2">
        <f t="shared" si="2604"/>
        <v>43404</v>
      </c>
    </row>
    <row r="15843" spans="1:6" x14ac:dyDescent="0.25">
      <c r="A15843" s="1" t="s">
        <v>4</v>
      </c>
      <c r="B15843" s="1" t="s">
        <v>2148</v>
      </c>
      <c r="C15843" s="1" t="s">
        <v>609</v>
      </c>
      <c r="D15843" s="3">
        <f t="shared" si="2603"/>
        <v>7475</v>
      </c>
      <c r="E15843" s="2">
        <f t="shared" si="2602"/>
        <v>41334</v>
      </c>
      <c r="F15843" s="2">
        <f t="shared" si="2604"/>
        <v>43404</v>
      </c>
    </row>
    <row r="15844" spans="1:6" x14ac:dyDescent="0.25">
      <c r="A15844" s="1" t="s">
        <v>4</v>
      </c>
      <c r="B15844" s="1" t="s">
        <v>2148</v>
      </c>
      <c r="C15844" s="1" t="s">
        <v>83</v>
      </c>
      <c r="D15844" s="3">
        <f t="shared" si="2603"/>
        <v>7475</v>
      </c>
      <c r="E15844" s="2">
        <f t="shared" si="2602"/>
        <v>41334</v>
      </c>
      <c r="F15844" s="2">
        <f t="shared" si="2604"/>
        <v>43404</v>
      </c>
    </row>
    <row r="15845" spans="1:6" x14ac:dyDescent="0.25">
      <c r="A15845" s="1" t="s">
        <v>4</v>
      </c>
      <c r="B15845" s="1" t="s">
        <v>2148</v>
      </c>
      <c r="C15845" s="1" t="s">
        <v>43</v>
      </c>
      <c r="D15845" s="3">
        <f t="shared" si="2603"/>
        <v>7475</v>
      </c>
      <c r="E15845" s="2">
        <f t="shared" si="2602"/>
        <v>41334</v>
      </c>
      <c r="F15845" s="2">
        <f t="shared" si="2604"/>
        <v>43404</v>
      </c>
    </row>
    <row r="15846" spans="1:6" x14ac:dyDescent="0.25">
      <c r="A15846" s="1" t="s">
        <v>4</v>
      </c>
      <c r="B15846" s="1" t="s">
        <v>2148</v>
      </c>
      <c r="C15846" s="1" t="s">
        <v>347</v>
      </c>
      <c r="D15846" s="3">
        <f t="shared" si="2603"/>
        <v>7475</v>
      </c>
      <c r="E15846" s="2">
        <f t="shared" si="2602"/>
        <v>41334</v>
      </c>
      <c r="F15846" s="2">
        <f t="shared" si="2604"/>
        <v>43404</v>
      </c>
    </row>
    <row r="15847" spans="1:6" x14ac:dyDescent="0.25">
      <c r="A15847" s="1" t="s">
        <v>4</v>
      </c>
      <c r="B15847" s="1" t="s">
        <v>2148</v>
      </c>
      <c r="C15847" s="1" t="s">
        <v>2149</v>
      </c>
      <c r="D15847" s="3">
        <f t="shared" si="2603"/>
        <v>7475</v>
      </c>
      <c r="E15847" s="2">
        <f t="shared" si="2602"/>
        <v>41334</v>
      </c>
      <c r="F15847" s="2">
        <f t="shared" si="2604"/>
        <v>43404</v>
      </c>
    </row>
    <row r="15848" spans="1:6" x14ac:dyDescent="0.25">
      <c r="A15848" s="1" t="s">
        <v>4</v>
      </c>
      <c r="B15848" s="1" t="s">
        <v>2148</v>
      </c>
      <c r="C15848" s="1" t="s">
        <v>46</v>
      </c>
      <c r="D15848" s="3">
        <f t="shared" si="2603"/>
        <v>7475</v>
      </c>
      <c r="E15848" s="2">
        <f t="shared" si="2602"/>
        <v>41334</v>
      </c>
      <c r="F15848" s="2">
        <f t="shared" si="2604"/>
        <v>43404</v>
      </c>
    </row>
    <row r="15849" spans="1:6" x14ac:dyDescent="0.25">
      <c r="A15849" s="1" t="s">
        <v>4</v>
      </c>
      <c r="B15849" s="1" t="s">
        <v>2148</v>
      </c>
      <c r="C15849" s="1" t="s">
        <v>66</v>
      </c>
      <c r="D15849" s="3">
        <f t="shared" si="2603"/>
        <v>7475</v>
      </c>
      <c r="E15849" s="2">
        <f t="shared" si="2602"/>
        <v>41334</v>
      </c>
      <c r="F15849" s="2">
        <f t="shared" si="2604"/>
        <v>43404</v>
      </c>
    </row>
    <row r="15850" spans="1:6" x14ac:dyDescent="0.25">
      <c r="A15850" s="1" t="s">
        <v>4</v>
      </c>
      <c r="B15850" s="1" t="s">
        <v>2148</v>
      </c>
      <c r="C15850" s="1" t="s">
        <v>15</v>
      </c>
      <c r="D15850" s="3">
        <f t="shared" si="2603"/>
        <v>7475</v>
      </c>
      <c r="E15850" s="2">
        <f t="shared" si="2602"/>
        <v>41334</v>
      </c>
      <c r="F15850" s="2">
        <f t="shared" si="2604"/>
        <v>43404</v>
      </c>
    </row>
    <row r="15851" spans="1:6" x14ac:dyDescent="0.25">
      <c r="A15851" s="1" t="s">
        <v>4</v>
      </c>
      <c r="B15851" s="1" t="s">
        <v>2148</v>
      </c>
      <c r="C15851" s="1" t="s">
        <v>88</v>
      </c>
      <c r="D15851" s="3">
        <f t="shared" si="2603"/>
        <v>7475</v>
      </c>
      <c r="E15851" s="2">
        <f t="shared" si="2602"/>
        <v>41334</v>
      </c>
      <c r="F15851" s="2">
        <f t="shared" si="2604"/>
        <v>43404</v>
      </c>
    </row>
    <row r="15852" spans="1:6" x14ac:dyDescent="0.25">
      <c r="A15852" s="1" t="s">
        <v>4</v>
      </c>
      <c r="B15852" s="1" t="s">
        <v>2148</v>
      </c>
      <c r="C15852" s="1" t="s">
        <v>17</v>
      </c>
      <c r="D15852" s="3">
        <f t="shared" si="2603"/>
        <v>7475</v>
      </c>
      <c r="E15852" s="2">
        <f t="shared" si="2602"/>
        <v>41334</v>
      </c>
      <c r="F15852" s="2">
        <f t="shared" si="2604"/>
        <v>43404</v>
      </c>
    </row>
    <row r="15853" spans="1:6" x14ac:dyDescent="0.25">
      <c r="A15853" s="1" t="s">
        <v>4</v>
      </c>
      <c r="B15853" s="1" t="s">
        <v>2148</v>
      </c>
      <c r="C15853" s="1" t="s">
        <v>327</v>
      </c>
      <c r="D15853" s="3">
        <f t="shared" si="2603"/>
        <v>7475</v>
      </c>
      <c r="E15853" s="2">
        <f t="shared" si="2602"/>
        <v>41334</v>
      </c>
      <c r="F15853" s="2">
        <f t="shared" si="2604"/>
        <v>43404</v>
      </c>
    </row>
    <row r="15854" spans="1:6" x14ac:dyDescent="0.25">
      <c r="A15854" s="1" t="s">
        <v>4</v>
      </c>
      <c r="B15854" s="1" t="s">
        <v>2148</v>
      </c>
      <c r="C15854" s="1" t="s">
        <v>22</v>
      </c>
      <c r="D15854" s="3">
        <f t="shared" si="2603"/>
        <v>7475</v>
      </c>
      <c r="E15854" s="2">
        <f t="shared" si="2602"/>
        <v>41334</v>
      </c>
      <c r="F15854" s="2">
        <f t="shared" si="2604"/>
        <v>43404</v>
      </c>
    </row>
    <row r="15855" spans="1:6" x14ac:dyDescent="0.25">
      <c r="A15855" s="1" t="s">
        <v>4</v>
      </c>
      <c r="B15855" s="1" t="s">
        <v>2148</v>
      </c>
      <c r="C15855" s="1" t="s">
        <v>92</v>
      </c>
      <c r="D15855" s="3">
        <f t="shared" si="2603"/>
        <v>7475</v>
      </c>
      <c r="E15855" s="2">
        <f t="shared" si="2602"/>
        <v>41334</v>
      </c>
      <c r="F15855" s="2">
        <f t="shared" si="2604"/>
        <v>43404</v>
      </c>
    </row>
    <row r="15856" spans="1:6" x14ac:dyDescent="0.25">
      <c r="A15856" s="1" t="s">
        <v>4</v>
      </c>
      <c r="B15856" s="1" t="s">
        <v>2148</v>
      </c>
      <c r="C15856" s="1" t="s">
        <v>25</v>
      </c>
      <c r="D15856" s="3">
        <f t="shared" si="2603"/>
        <v>7475</v>
      </c>
      <c r="E15856" s="2">
        <f t="shared" si="2602"/>
        <v>41334</v>
      </c>
      <c r="F15856" s="2">
        <f t="shared" si="2604"/>
        <v>43404</v>
      </c>
    </row>
    <row r="15857" spans="1:6" x14ac:dyDescent="0.25">
      <c r="A15857" s="1" t="s">
        <v>4</v>
      </c>
      <c r="B15857" s="1" t="s">
        <v>2148</v>
      </c>
      <c r="C15857" s="1" t="s">
        <v>225</v>
      </c>
      <c r="D15857" s="3">
        <f t="shared" si="2603"/>
        <v>7475</v>
      </c>
      <c r="E15857" s="2">
        <f t="shared" ref="E15857:E15873" si="2605">DATEVALUE("1-3-2013")</f>
        <v>41334</v>
      </c>
      <c r="F15857" s="2">
        <f t="shared" si="2604"/>
        <v>43404</v>
      </c>
    </row>
    <row r="15858" spans="1:6" x14ac:dyDescent="0.25">
      <c r="A15858" s="1" t="s">
        <v>4</v>
      </c>
      <c r="B15858" s="1" t="s">
        <v>2148</v>
      </c>
      <c r="C15858" s="1" t="s">
        <v>98</v>
      </c>
      <c r="D15858" s="3">
        <f t="shared" si="2603"/>
        <v>7475</v>
      </c>
      <c r="E15858" s="2">
        <f t="shared" si="2605"/>
        <v>41334</v>
      </c>
      <c r="F15858" s="2">
        <f t="shared" si="2604"/>
        <v>43404</v>
      </c>
    </row>
    <row r="15859" spans="1:6" x14ac:dyDescent="0.25">
      <c r="A15859" s="1" t="s">
        <v>4</v>
      </c>
      <c r="B15859" s="1" t="s">
        <v>2148</v>
      </c>
      <c r="C15859" s="1" t="s">
        <v>99</v>
      </c>
      <c r="D15859" s="3">
        <f t="shared" si="2603"/>
        <v>7475</v>
      </c>
      <c r="E15859" s="2">
        <f t="shared" si="2605"/>
        <v>41334</v>
      </c>
      <c r="F15859" s="2">
        <f t="shared" si="2604"/>
        <v>43404</v>
      </c>
    </row>
    <row r="15860" spans="1:6" x14ac:dyDescent="0.25">
      <c r="A15860" s="1" t="s">
        <v>4</v>
      </c>
      <c r="B15860" s="1" t="s">
        <v>2148</v>
      </c>
      <c r="C15860" s="1" t="s">
        <v>71</v>
      </c>
      <c r="D15860" s="3">
        <f t="shared" si="2603"/>
        <v>7475</v>
      </c>
      <c r="E15860" s="2">
        <f t="shared" si="2605"/>
        <v>41334</v>
      </c>
      <c r="F15860" s="2">
        <f t="shared" si="2604"/>
        <v>43404</v>
      </c>
    </row>
    <row r="15861" spans="1:6" x14ac:dyDescent="0.25">
      <c r="A15861" s="1" t="s">
        <v>4</v>
      </c>
      <c r="B15861" s="1" t="s">
        <v>2148</v>
      </c>
      <c r="C15861" s="1" t="s">
        <v>100</v>
      </c>
      <c r="D15861" s="3">
        <f t="shared" si="2603"/>
        <v>7475</v>
      </c>
      <c r="E15861" s="2">
        <f t="shared" si="2605"/>
        <v>41334</v>
      </c>
      <c r="F15861" s="2">
        <f t="shared" si="2604"/>
        <v>43404</v>
      </c>
    </row>
    <row r="15862" spans="1:6" x14ac:dyDescent="0.25">
      <c r="A15862" s="1" t="s">
        <v>4</v>
      </c>
      <c r="B15862" s="1" t="s">
        <v>2148</v>
      </c>
      <c r="C15862" s="1" t="s">
        <v>27</v>
      </c>
      <c r="D15862" s="3">
        <f t="shared" si="2603"/>
        <v>7475</v>
      </c>
      <c r="E15862" s="2">
        <f t="shared" si="2605"/>
        <v>41334</v>
      </c>
      <c r="F15862" s="2">
        <f t="shared" si="2604"/>
        <v>43404</v>
      </c>
    </row>
    <row r="15863" spans="1:6" x14ac:dyDescent="0.25">
      <c r="A15863" s="1" t="s">
        <v>4</v>
      </c>
      <c r="B15863" s="1" t="s">
        <v>2148</v>
      </c>
      <c r="C15863" s="1" t="s">
        <v>262</v>
      </c>
      <c r="D15863" s="3">
        <f t="shared" si="2603"/>
        <v>7475</v>
      </c>
      <c r="E15863" s="2">
        <f t="shared" si="2605"/>
        <v>41334</v>
      </c>
      <c r="F15863" s="2">
        <f t="shared" si="2604"/>
        <v>43404</v>
      </c>
    </row>
    <row r="15864" spans="1:6" x14ac:dyDescent="0.25">
      <c r="A15864" s="1" t="s">
        <v>4</v>
      </c>
      <c r="B15864" s="1" t="s">
        <v>2148</v>
      </c>
      <c r="C15864" s="1" t="s">
        <v>52</v>
      </c>
      <c r="D15864" s="3">
        <f t="shared" si="2603"/>
        <v>7475</v>
      </c>
      <c r="E15864" s="2">
        <f t="shared" si="2605"/>
        <v>41334</v>
      </c>
      <c r="F15864" s="2">
        <f t="shared" si="2604"/>
        <v>43404</v>
      </c>
    </row>
    <row r="15865" spans="1:6" x14ac:dyDescent="0.25">
      <c r="A15865" s="1" t="s">
        <v>4</v>
      </c>
      <c r="B15865" s="1" t="s">
        <v>2148</v>
      </c>
      <c r="C15865" s="1" t="s">
        <v>349</v>
      </c>
      <c r="D15865" s="3">
        <f t="shared" si="2603"/>
        <v>7475</v>
      </c>
      <c r="E15865" s="2">
        <f t="shared" si="2605"/>
        <v>41334</v>
      </c>
      <c r="F15865" s="2">
        <f t="shared" si="2604"/>
        <v>43404</v>
      </c>
    </row>
    <row r="15866" spans="1:6" x14ac:dyDescent="0.25">
      <c r="A15866" s="1" t="s">
        <v>4</v>
      </c>
      <c r="B15866" s="1" t="s">
        <v>2148</v>
      </c>
      <c r="C15866" s="1" t="s">
        <v>107</v>
      </c>
      <c r="D15866" s="3">
        <f t="shared" si="2603"/>
        <v>7475</v>
      </c>
      <c r="E15866" s="2">
        <f t="shared" si="2605"/>
        <v>41334</v>
      </c>
      <c r="F15866" s="2">
        <f t="shared" si="2604"/>
        <v>43404</v>
      </c>
    </row>
    <row r="15867" spans="1:6" x14ac:dyDescent="0.25">
      <c r="A15867" s="1" t="s">
        <v>4</v>
      </c>
      <c r="B15867" s="1" t="s">
        <v>2148</v>
      </c>
      <c r="C15867" s="1" t="s">
        <v>112</v>
      </c>
      <c r="D15867" s="3">
        <f t="shared" si="2603"/>
        <v>7475</v>
      </c>
      <c r="E15867" s="2">
        <f t="shared" si="2605"/>
        <v>41334</v>
      </c>
      <c r="F15867" s="2">
        <f t="shared" si="2604"/>
        <v>43404</v>
      </c>
    </row>
    <row r="15868" spans="1:6" x14ac:dyDescent="0.25">
      <c r="A15868" s="1" t="s">
        <v>4</v>
      </c>
      <c r="B15868" s="1" t="s">
        <v>2148</v>
      </c>
      <c r="C15868" s="1" t="s">
        <v>114</v>
      </c>
      <c r="D15868" s="3">
        <f t="shared" si="2603"/>
        <v>7475</v>
      </c>
      <c r="E15868" s="2">
        <f t="shared" si="2605"/>
        <v>41334</v>
      </c>
      <c r="F15868" s="2">
        <f t="shared" si="2604"/>
        <v>43404</v>
      </c>
    </row>
    <row r="15869" spans="1:6" x14ac:dyDescent="0.25">
      <c r="A15869" s="1" t="s">
        <v>4</v>
      </c>
      <c r="B15869" s="1" t="s">
        <v>2148</v>
      </c>
      <c r="C15869" s="1" t="s">
        <v>1697</v>
      </c>
      <c r="D15869" s="3">
        <f t="shared" si="2603"/>
        <v>7475</v>
      </c>
      <c r="E15869" s="2">
        <f t="shared" si="2605"/>
        <v>41334</v>
      </c>
      <c r="F15869" s="2">
        <f t="shared" si="2604"/>
        <v>43404</v>
      </c>
    </row>
    <row r="15870" spans="1:6" x14ac:dyDescent="0.25">
      <c r="A15870" s="1" t="s">
        <v>4</v>
      </c>
      <c r="B15870" s="1" t="s">
        <v>2148</v>
      </c>
      <c r="C15870" s="1" t="s">
        <v>116</v>
      </c>
      <c r="D15870" s="3">
        <f t="shared" si="2603"/>
        <v>7475</v>
      </c>
      <c r="E15870" s="2">
        <f t="shared" si="2605"/>
        <v>41334</v>
      </c>
      <c r="F15870" s="2">
        <f t="shared" si="2604"/>
        <v>43404</v>
      </c>
    </row>
    <row r="15871" spans="1:6" x14ac:dyDescent="0.25">
      <c r="A15871" s="1" t="s">
        <v>4</v>
      </c>
      <c r="B15871" s="1" t="s">
        <v>2148</v>
      </c>
      <c r="C15871" s="1" t="s">
        <v>362</v>
      </c>
      <c r="D15871" s="3">
        <f t="shared" si="2603"/>
        <v>7475</v>
      </c>
      <c r="E15871" s="2">
        <f t="shared" si="2605"/>
        <v>41334</v>
      </c>
      <c r="F15871" s="2">
        <f t="shared" si="2604"/>
        <v>43404</v>
      </c>
    </row>
    <row r="15872" spans="1:6" x14ac:dyDescent="0.25">
      <c r="A15872" s="1" t="s">
        <v>4</v>
      </c>
      <c r="B15872" s="1" t="s">
        <v>2148</v>
      </c>
      <c r="C15872" s="1" t="s">
        <v>57</v>
      </c>
      <c r="D15872" s="3">
        <f t="shared" si="2603"/>
        <v>7475</v>
      </c>
      <c r="E15872" s="2">
        <f t="shared" si="2605"/>
        <v>41334</v>
      </c>
      <c r="F15872" s="2">
        <f t="shared" si="2604"/>
        <v>43404</v>
      </c>
    </row>
    <row r="15873" spans="1:6" x14ac:dyDescent="0.25">
      <c r="A15873" s="1" t="s">
        <v>4</v>
      </c>
      <c r="B15873" s="1" t="s">
        <v>2148</v>
      </c>
      <c r="C15873" s="1" t="s">
        <v>36</v>
      </c>
      <c r="D15873" s="3">
        <f t="shared" si="2603"/>
        <v>7475</v>
      </c>
      <c r="E15873" s="2">
        <f t="shared" si="2605"/>
        <v>41334</v>
      </c>
      <c r="F15873" s="2">
        <f t="shared" si="2604"/>
        <v>43404</v>
      </c>
    </row>
    <row r="15874" spans="1:6" x14ac:dyDescent="0.25">
      <c r="A15874" s="1" t="s">
        <v>4</v>
      </c>
      <c r="B15874" s="1" t="s">
        <v>341</v>
      </c>
      <c r="C15874" s="1" t="s">
        <v>6</v>
      </c>
      <c r="D15874" s="3">
        <f t="shared" ref="D15874:D15885" si="2606">VALUE("7435")</f>
        <v>7435</v>
      </c>
      <c r="E15874" s="2">
        <f t="shared" ref="E15874:E15885" si="2607">DATEVALUE("1-1-2013")</f>
        <v>41275</v>
      </c>
      <c r="F15874" s="2">
        <f t="shared" ref="F15874:F15885" si="2608">DATEVALUE("31-12-2025")</f>
        <v>46022</v>
      </c>
    </row>
    <row r="15875" spans="1:6" x14ac:dyDescent="0.25">
      <c r="A15875" s="1" t="s">
        <v>4</v>
      </c>
      <c r="B15875" s="1" t="s">
        <v>341</v>
      </c>
      <c r="C15875" s="1" t="s">
        <v>45</v>
      </c>
      <c r="D15875" s="3">
        <f t="shared" si="2606"/>
        <v>7435</v>
      </c>
      <c r="E15875" s="2">
        <f t="shared" si="2607"/>
        <v>41275</v>
      </c>
      <c r="F15875" s="2">
        <f t="shared" si="2608"/>
        <v>46022</v>
      </c>
    </row>
    <row r="15876" spans="1:6" x14ac:dyDescent="0.25">
      <c r="A15876" s="1" t="s">
        <v>4</v>
      </c>
      <c r="B15876" s="1" t="s">
        <v>341</v>
      </c>
      <c r="C15876" s="1" t="s">
        <v>46</v>
      </c>
      <c r="D15876" s="3">
        <f t="shared" si="2606"/>
        <v>7435</v>
      </c>
      <c r="E15876" s="2">
        <f t="shared" si="2607"/>
        <v>41275</v>
      </c>
      <c r="F15876" s="2">
        <f t="shared" si="2608"/>
        <v>46022</v>
      </c>
    </row>
    <row r="15877" spans="1:6" x14ac:dyDescent="0.25">
      <c r="A15877" s="1" t="s">
        <v>4</v>
      </c>
      <c r="B15877" s="1" t="s">
        <v>341</v>
      </c>
      <c r="C15877" s="1" t="s">
        <v>15</v>
      </c>
      <c r="D15877" s="3">
        <f t="shared" si="2606"/>
        <v>7435</v>
      </c>
      <c r="E15877" s="2">
        <f t="shared" si="2607"/>
        <v>41275</v>
      </c>
      <c r="F15877" s="2">
        <f t="shared" si="2608"/>
        <v>46022</v>
      </c>
    </row>
    <row r="15878" spans="1:6" x14ac:dyDescent="0.25">
      <c r="A15878" s="1" t="s">
        <v>4</v>
      </c>
      <c r="B15878" s="1" t="s">
        <v>341</v>
      </c>
      <c r="C15878" s="1" t="s">
        <v>17</v>
      </c>
      <c r="D15878" s="3">
        <f t="shared" si="2606"/>
        <v>7435</v>
      </c>
      <c r="E15878" s="2">
        <f t="shared" si="2607"/>
        <v>41275</v>
      </c>
      <c r="F15878" s="2">
        <f t="shared" si="2608"/>
        <v>46022</v>
      </c>
    </row>
    <row r="15879" spans="1:6" x14ac:dyDescent="0.25">
      <c r="A15879" s="1" t="s">
        <v>4</v>
      </c>
      <c r="B15879" s="1" t="s">
        <v>341</v>
      </c>
      <c r="C15879" s="1" t="s">
        <v>20</v>
      </c>
      <c r="D15879" s="3">
        <f t="shared" si="2606"/>
        <v>7435</v>
      </c>
      <c r="E15879" s="2">
        <f t="shared" si="2607"/>
        <v>41275</v>
      </c>
      <c r="F15879" s="2">
        <f t="shared" si="2608"/>
        <v>46022</v>
      </c>
    </row>
    <row r="15880" spans="1:6" x14ac:dyDescent="0.25">
      <c r="A15880" s="1" t="s">
        <v>4</v>
      </c>
      <c r="B15880" s="1" t="s">
        <v>341</v>
      </c>
      <c r="C15880" s="1" t="s">
        <v>22</v>
      </c>
      <c r="D15880" s="3">
        <f t="shared" si="2606"/>
        <v>7435</v>
      </c>
      <c r="E15880" s="2">
        <f t="shared" si="2607"/>
        <v>41275</v>
      </c>
      <c r="F15880" s="2">
        <f t="shared" si="2608"/>
        <v>46022</v>
      </c>
    </row>
    <row r="15881" spans="1:6" x14ac:dyDescent="0.25">
      <c r="A15881" s="1" t="s">
        <v>4</v>
      </c>
      <c r="B15881" s="1" t="s">
        <v>341</v>
      </c>
      <c r="C15881" s="1" t="s">
        <v>146</v>
      </c>
      <c r="D15881" s="3">
        <f t="shared" si="2606"/>
        <v>7435</v>
      </c>
      <c r="E15881" s="2">
        <f t="shared" si="2607"/>
        <v>41275</v>
      </c>
      <c r="F15881" s="2">
        <f t="shared" si="2608"/>
        <v>46022</v>
      </c>
    </row>
    <row r="15882" spans="1:6" x14ac:dyDescent="0.25">
      <c r="A15882" s="1" t="s">
        <v>4</v>
      </c>
      <c r="B15882" s="1" t="s">
        <v>341</v>
      </c>
      <c r="C15882" s="1" t="s">
        <v>148</v>
      </c>
      <c r="D15882" s="3">
        <f t="shared" si="2606"/>
        <v>7435</v>
      </c>
      <c r="E15882" s="2">
        <f t="shared" si="2607"/>
        <v>41275</v>
      </c>
      <c r="F15882" s="2">
        <f t="shared" si="2608"/>
        <v>46022</v>
      </c>
    </row>
    <row r="15883" spans="1:6" x14ac:dyDescent="0.25">
      <c r="A15883" s="1" t="s">
        <v>4</v>
      </c>
      <c r="B15883" s="1" t="s">
        <v>341</v>
      </c>
      <c r="C15883" s="1" t="s">
        <v>27</v>
      </c>
      <c r="D15883" s="3">
        <f t="shared" si="2606"/>
        <v>7435</v>
      </c>
      <c r="E15883" s="2">
        <f t="shared" si="2607"/>
        <v>41275</v>
      </c>
      <c r="F15883" s="2">
        <f t="shared" si="2608"/>
        <v>46022</v>
      </c>
    </row>
    <row r="15884" spans="1:6" x14ac:dyDescent="0.25">
      <c r="A15884" s="1" t="s">
        <v>4</v>
      </c>
      <c r="B15884" s="1" t="s">
        <v>341</v>
      </c>
      <c r="C15884" s="1" t="s">
        <v>262</v>
      </c>
      <c r="D15884" s="3">
        <f t="shared" si="2606"/>
        <v>7435</v>
      </c>
      <c r="E15884" s="2">
        <f t="shared" si="2607"/>
        <v>41275</v>
      </c>
      <c r="F15884" s="2">
        <f t="shared" si="2608"/>
        <v>46022</v>
      </c>
    </row>
    <row r="15885" spans="1:6" x14ac:dyDescent="0.25">
      <c r="A15885" s="1" t="s">
        <v>4</v>
      </c>
      <c r="B15885" s="1" t="s">
        <v>341</v>
      </c>
      <c r="C15885" s="1" t="s">
        <v>164</v>
      </c>
      <c r="D15885" s="3">
        <f t="shared" si="2606"/>
        <v>7435</v>
      </c>
      <c r="E15885" s="2">
        <f t="shared" si="2607"/>
        <v>41275</v>
      </c>
      <c r="F15885" s="2">
        <f t="shared" si="2608"/>
        <v>46022</v>
      </c>
    </row>
    <row r="15886" spans="1:6" x14ac:dyDescent="0.25">
      <c r="A15886" s="1" t="s">
        <v>4</v>
      </c>
      <c r="B15886" s="1" t="s">
        <v>1902</v>
      </c>
      <c r="C15886" s="1" t="s">
        <v>45</v>
      </c>
      <c r="D15886" s="3">
        <f>VALUE("7423")</f>
        <v>7423</v>
      </c>
      <c r="E15886" s="2">
        <f>DATEVALUE("1-12-2012")</f>
        <v>41244</v>
      </c>
      <c r="F15886" s="2">
        <f>DATEVALUE("31-12-2015")</f>
        <v>42369</v>
      </c>
    </row>
    <row r="15887" spans="1:6" x14ac:dyDescent="0.25">
      <c r="A15887" s="1" t="s">
        <v>4</v>
      </c>
      <c r="B15887" s="1" t="s">
        <v>1902</v>
      </c>
      <c r="C15887" s="1" t="s">
        <v>46</v>
      </c>
      <c r="D15887" s="3">
        <f>VALUE("7423")</f>
        <v>7423</v>
      </c>
      <c r="E15887" s="2">
        <f>DATEVALUE("1-12-2012")</f>
        <v>41244</v>
      </c>
      <c r="F15887" s="2">
        <f>DATEVALUE("31-12-2015")</f>
        <v>42369</v>
      </c>
    </row>
    <row r="15888" spans="1:6" x14ac:dyDescent="0.25">
      <c r="A15888" s="1" t="s">
        <v>4</v>
      </c>
      <c r="B15888" s="1" t="s">
        <v>1902</v>
      </c>
      <c r="C15888" s="1" t="s">
        <v>20</v>
      </c>
      <c r="D15888" s="3">
        <f>VALUE("7423")</f>
        <v>7423</v>
      </c>
      <c r="E15888" s="2">
        <f>DATEVALUE("1-12-2012")</f>
        <v>41244</v>
      </c>
      <c r="F15888" s="2">
        <f>DATEVALUE("31-12-2015")</f>
        <v>42369</v>
      </c>
    </row>
    <row r="15889" spans="1:6" x14ac:dyDescent="0.25">
      <c r="A15889" s="1" t="s">
        <v>4</v>
      </c>
      <c r="B15889" s="1" t="s">
        <v>251</v>
      </c>
      <c r="C15889" s="1" t="s">
        <v>252</v>
      </c>
      <c r="D15889" s="3">
        <f>VALUE("7248")</f>
        <v>7248</v>
      </c>
      <c r="E15889" s="2">
        <f>DATEVALUE("1-1-2012")</f>
        <v>40909</v>
      </c>
      <c r="F15889" s="2">
        <f>DATEVALUE("31-12-2025")</f>
        <v>46022</v>
      </c>
    </row>
    <row r="15890" spans="1:6" x14ac:dyDescent="0.25">
      <c r="A15890" s="1" t="s">
        <v>4</v>
      </c>
      <c r="B15890" s="1" t="s">
        <v>2625</v>
      </c>
      <c r="C15890" s="1" t="s">
        <v>7</v>
      </c>
      <c r="D15890" s="3">
        <f t="shared" ref="D15890:D15900" si="2609">VALUE("7238")</f>
        <v>7238</v>
      </c>
      <c r="E15890" s="2">
        <f t="shared" ref="E15890:E15900" si="2610">DATEVALUE("1-9-2011")</f>
        <v>40787</v>
      </c>
      <c r="F15890" s="2">
        <f t="shared" ref="F15890:F15900" si="2611">DATEVALUE("31-12-2012")</f>
        <v>41274</v>
      </c>
    </row>
    <row r="15891" spans="1:6" x14ac:dyDescent="0.25">
      <c r="A15891" s="1" t="s">
        <v>4</v>
      </c>
      <c r="B15891" s="1" t="s">
        <v>2625</v>
      </c>
      <c r="C15891" s="1" t="s">
        <v>13</v>
      </c>
      <c r="D15891" s="3">
        <f t="shared" si="2609"/>
        <v>7238</v>
      </c>
      <c r="E15891" s="2">
        <f t="shared" si="2610"/>
        <v>40787</v>
      </c>
      <c r="F15891" s="2">
        <f t="shared" si="2611"/>
        <v>41274</v>
      </c>
    </row>
    <row r="15892" spans="1:6" x14ac:dyDescent="0.25">
      <c r="A15892" s="1" t="s">
        <v>4</v>
      </c>
      <c r="B15892" s="1" t="s">
        <v>2625</v>
      </c>
      <c r="C15892" s="1" t="s">
        <v>45</v>
      </c>
      <c r="D15892" s="3">
        <f t="shared" si="2609"/>
        <v>7238</v>
      </c>
      <c r="E15892" s="2">
        <f t="shared" si="2610"/>
        <v>40787</v>
      </c>
      <c r="F15892" s="2">
        <f t="shared" si="2611"/>
        <v>41274</v>
      </c>
    </row>
    <row r="15893" spans="1:6" x14ac:dyDescent="0.25">
      <c r="A15893" s="1" t="s">
        <v>4</v>
      </c>
      <c r="B15893" s="1" t="s">
        <v>2625</v>
      </c>
      <c r="C15893" s="1" t="s">
        <v>228</v>
      </c>
      <c r="D15893" s="3">
        <f t="shared" si="2609"/>
        <v>7238</v>
      </c>
      <c r="E15893" s="2">
        <f t="shared" si="2610"/>
        <v>40787</v>
      </c>
      <c r="F15893" s="2">
        <f t="shared" si="2611"/>
        <v>41274</v>
      </c>
    </row>
    <row r="15894" spans="1:6" x14ac:dyDescent="0.25">
      <c r="A15894" s="1" t="s">
        <v>4</v>
      </c>
      <c r="B15894" s="1" t="s">
        <v>2625</v>
      </c>
      <c r="C15894" s="1" t="s">
        <v>28</v>
      </c>
      <c r="D15894" s="3">
        <f t="shared" si="2609"/>
        <v>7238</v>
      </c>
      <c r="E15894" s="2">
        <f t="shared" si="2610"/>
        <v>40787</v>
      </c>
      <c r="F15894" s="2">
        <f t="shared" si="2611"/>
        <v>41274</v>
      </c>
    </row>
    <row r="15895" spans="1:6" x14ac:dyDescent="0.25">
      <c r="A15895" s="1" t="s">
        <v>4</v>
      </c>
      <c r="B15895" s="1" t="s">
        <v>2625</v>
      </c>
      <c r="C15895" s="1" t="s">
        <v>229</v>
      </c>
      <c r="D15895" s="3">
        <f t="shared" si="2609"/>
        <v>7238</v>
      </c>
      <c r="E15895" s="2">
        <f t="shared" si="2610"/>
        <v>40787</v>
      </c>
      <c r="F15895" s="2">
        <f t="shared" si="2611"/>
        <v>41274</v>
      </c>
    </row>
    <row r="15896" spans="1:6" x14ac:dyDescent="0.25">
      <c r="A15896" s="1" t="s">
        <v>4</v>
      </c>
      <c r="B15896" s="1" t="s">
        <v>2625</v>
      </c>
      <c r="C15896" s="1" t="s">
        <v>29</v>
      </c>
      <c r="D15896" s="3">
        <f t="shared" si="2609"/>
        <v>7238</v>
      </c>
      <c r="E15896" s="2">
        <f t="shared" si="2610"/>
        <v>40787</v>
      </c>
      <c r="F15896" s="2">
        <f t="shared" si="2611"/>
        <v>41274</v>
      </c>
    </row>
    <row r="15897" spans="1:6" x14ac:dyDescent="0.25">
      <c r="A15897" s="1" t="s">
        <v>4</v>
      </c>
      <c r="B15897" s="1" t="s">
        <v>2625</v>
      </c>
      <c r="C15897" s="1" t="s">
        <v>234</v>
      </c>
      <c r="D15897" s="3">
        <f t="shared" si="2609"/>
        <v>7238</v>
      </c>
      <c r="E15897" s="2">
        <f t="shared" si="2610"/>
        <v>40787</v>
      </c>
      <c r="F15897" s="2">
        <f t="shared" si="2611"/>
        <v>41274</v>
      </c>
    </row>
    <row r="15898" spans="1:6" x14ac:dyDescent="0.25">
      <c r="A15898" s="1" t="s">
        <v>4</v>
      </c>
      <c r="B15898" s="1" t="s">
        <v>2625</v>
      </c>
      <c r="C15898" s="1" t="s">
        <v>30</v>
      </c>
      <c r="D15898" s="3">
        <f t="shared" si="2609"/>
        <v>7238</v>
      </c>
      <c r="E15898" s="2">
        <f t="shared" si="2610"/>
        <v>40787</v>
      </c>
      <c r="F15898" s="2">
        <f t="shared" si="2611"/>
        <v>41274</v>
      </c>
    </row>
    <row r="15899" spans="1:6" x14ac:dyDescent="0.25">
      <c r="A15899" s="1" t="s">
        <v>4</v>
      </c>
      <c r="B15899" s="1" t="s">
        <v>2625</v>
      </c>
      <c r="C15899" s="1" t="s">
        <v>237</v>
      </c>
      <c r="D15899" s="3">
        <f t="shared" si="2609"/>
        <v>7238</v>
      </c>
      <c r="E15899" s="2">
        <f t="shared" si="2610"/>
        <v>40787</v>
      </c>
      <c r="F15899" s="2">
        <f t="shared" si="2611"/>
        <v>41274</v>
      </c>
    </row>
    <row r="15900" spans="1:6" x14ac:dyDescent="0.25">
      <c r="A15900" s="1" t="s">
        <v>4</v>
      </c>
      <c r="B15900" s="1" t="s">
        <v>2625</v>
      </c>
      <c r="C15900" s="1" t="s">
        <v>238</v>
      </c>
      <c r="D15900" s="3">
        <f t="shared" si="2609"/>
        <v>7238</v>
      </c>
      <c r="E15900" s="2">
        <f t="shared" si="2610"/>
        <v>40787</v>
      </c>
      <c r="F15900" s="2">
        <f t="shared" si="2611"/>
        <v>41274</v>
      </c>
    </row>
    <row r="15901" spans="1:6" x14ac:dyDescent="0.25">
      <c r="A15901" s="1" t="s">
        <v>4</v>
      </c>
      <c r="B15901" s="1" t="s">
        <v>214</v>
      </c>
      <c r="C15901" s="1" t="s">
        <v>8</v>
      </c>
      <c r="D15901" s="3">
        <f t="shared" ref="D15901:D15917" si="2612">VALUE("7157")</f>
        <v>7157</v>
      </c>
      <c r="E15901" s="2">
        <f t="shared" ref="E15901:E15932" si="2613">DATEVALUE("1-2-2011")</f>
        <v>40575</v>
      </c>
      <c r="F15901" s="2">
        <f t="shared" ref="F15901:F15917" si="2614">DATEVALUE("31-12-2025")</f>
        <v>46022</v>
      </c>
    </row>
    <row r="15902" spans="1:6" x14ac:dyDescent="0.25">
      <c r="A15902" s="1" t="s">
        <v>4</v>
      </c>
      <c r="B15902" s="1" t="s">
        <v>214</v>
      </c>
      <c r="C15902" s="1" t="s">
        <v>10</v>
      </c>
      <c r="D15902" s="3">
        <f t="shared" si="2612"/>
        <v>7157</v>
      </c>
      <c r="E15902" s="2">
        <f t="shared" si="2613"/>
        <v>40575</v>
      </c>
      <c r="F15902" s="2">
        <f t="shared" si="2614"/>
        <v>46022</v>
      </c>
    </row>
    <row r="15903" spans="1:6" x14ac:dyDescent="0.25">
      <c r="A15903" s="1" t="s">
        <v>4</v>
      </c>
      <c r="B15903" s="1" t="s">
        <v>214</v>
      </c>
      <c r="C15903" s="1" t="s">
        <v>11</v>
      </c>
      <c r="D15903" s="3">
        <f t="shared" si="2612"/>
        <v>7157</v>
      </c>
      <c r="E15903" s="2">
        <f t="shared" si="2613"/>
        <v>40575</v>
      </c>
      <c r="F15903" s="2">
        <f t="shared" si="2614"/>
        <v>46022</v>
      </c>
    </row>
    <row r="15904" spans="1:6" x14ac:dyDescent="0.25">
      <c r="A15904" s="1" t="s">
        <v>4</v>
      </c>
      <c r="B15904" s="1" t="s">
        <v>214</v>
      </c>
      <c r="C15904" s="1" t="s">
        <v>12</v>
      </c>
      <c r="D15904" s="3">
        <f t="shared" si="2612"/>
        <v>7157</v>
      </c>
      <c r="E15904" s="2">
        <f t="shared" si="2613"/>
        <v>40575</v>
      </c>
      <c r="F15904" s="2">
        <f t="shared" si="2614"/>
        <v>46022</v>
      </c>
    </row>
    <row r="15905" spans="1:6" x14ac:dyDescent="0.25">
      <c r="A15905" s="1" t="s">
        <v>4</v>
      </c>
      <c r="B15905" s="1" t="s">
        <v>214</v>
      </c>
      <c r="C15905" s="1" t="s">
        <v>215</v>
      </c>
      <c r="D15905" s="3">
        <f t="shared" si="2612"/>
        <v>7157</v>
      </c>
      <c r="E15905" s="2">
        <f t="shared" si="2613"/>
        <v>40575</v>
      </c>
      <c r="F15905" s="2">
        <f t="shared" si="2614"/>
        <v>46022</v>
      </c>
    </row>
    <row r="15906" spans="1:6" x14ac:dyDescent="0.25">
      <c r="A15906" s="1" t="s">
        <v>4</v>
      </c>
      <c r="B15906" s="1" t="s">
        <v>214</v>
      </c>
      <c r="C15906" s="1" t="s">
        <v>141</v>
      </c>
      <c r="D15906" s="3">
        <f t="shared" si="2612"/>
        <v>7157</v>
      </c>
      <c r="E15906" s="2">
        <f t="shared" si="2613"/>
        <v>40575</v>
      </c>
      <c r="F15906" s="2">
        <f t="shared" si="2614"/>
        <v>46022</v>
      </c>
    </row>
    <row r="15907" spans="1:6" x14ac:dyDescent="0.25">
      <c r="A15907" s="1" t="s">
        <v>4</v>
      </c>
      <c r="B15907" s="1" t="s">
        <v>214</v>
      </c>
      <c r="C15907" s="1" t="s">
        <v>142</v>
      </c>
      <c r="D15907" s="3">
        <f t="shared" si="2612"/>
        <v>7157</v>
      </c>
      <c r="E15907" s="2">
        <f t="shared" si="2613"/>
        <v>40575</v>
      </c>
      <c r="F15907" s="2">
        <f t="shared" si="2614"/>
        <v>46022</v>
      </c>
    </row>
    <row r="15908" spans="1:6" x14ac:dyDescent="0.25">
      <c r="A15908" s="1" t="s">
        <v>4</v>
      </c>
      <c r="B15908" s="1" t="s">
        <v>214</v>
      </c>
      <c r="C15908" s="1" t="s">
        <v>46</v>
      </c>
      <c r="D15908" s="3">
        <f t="shared" si="2612"/>
        <v>7157</v>
      </c>
      <c r="E15908" s="2">
        <f t="shared" si="2613"/>
        <v>40575</v>
      </c>
      <c r="F15908" s="2">
        <f t="shared" si="2614"/>
        <v>46022</v>
      </c>
    </row>
    <row r="15909" spans="1:6" x14ac:dyDescent="0.25">
      <c r="A15909" s="1" t="s">
        <v>4</v>
      </c>
      <c r="B15909" s="1" t="s">
        <v>214</v>
      </c>
      <c r="C15909" s="1" t="s">
        <v>15</v>
      </c>
      <c r="D15909" s="3">
        <f t="shared" si="2612"/>
        <v>7157</v>
      </c>
      <c r="E15909" s="2">
        <f t="shared" si="2613"/>
        <v>40575</v>
      </c>
      <c r="F15909" s="2">
        <f t="shared" si="2614"/>
        <v>46022</v>
      </c>
    </row>
    <row r="15910" spans="1:6" x14ac:dyDescent="0.25">
      <c r="A15910" s="1" t="s">
        <v>4</v>
      </c>
      <c r="B15910" s="1" t="s">
        <v>214</v>
      </c>
      <c r="C15910" s="1" t="s">
        <v>17</v>
      </c>
      <c r="D15910" s="3">
        <f t="shared" si="2612"/>
        <v>7157</v>
      </c>
      <c r="E15910" s="2">
        <f t="shared" si="2613"/>
        <v>40575</v>
      </c>
      <c r="F15910" s="2">
        <f t="shared" si="2614"/>
        <v>46022</v>
      </c>
    </row>
    <row r="15911" spans="1:6" x14ac:dyDescent="0.25">
      <c r="A15911" s="1" t="s">
        <v>4</v>
      </c>
      <c r="B15911" s="1" t="s">
        <v>214</v>
      </c>
      <c r="C15911" s="1" t="s">
        <v>146</v>
      </c>
      <c r="D15911" s="3">
        <f t="shared" si="2612"/>
        <v>7157</v>
      </c>
      <c r="E15911" s="2">
        <f t="shared" si="2613"/>
        <v>40575</v>
      </c>
      <c r="F15911" s="2">
        <f t="shared" si="2614"/>
        <v>46022</v>
      </c>
    </row>
    <row r="15912" spans="1:6" x14ac:dyDescent="0.25">
      <c r="A15912" s="1" t="s">
        <v>4</v>
      </c>
      <c r="B15912" s="1" t="s">
        <v>214</v>
      </c>
      <c r="C15912" s="1" t="s">
        <v>148</v>
      </c>
      <c r="D15912" s="3">
        <f t="shared" si="2612"/>
        <v>7157</v>
      </c>
      <c r="E15912" s="2">
        <f t="shared" si="2613"/>
        <v>40575</v>
      </c>
      <c r="F15912" s="2">
        <f t="shared" si="2614"/>
        <v>46022</v>
      </c>
    </row>
    <row r="15913" spans="1:6" x14ac:dyDescent="0.25">
      <c r="A15913" s="1" t="s">
        <v>4</v>
      </c>
      <c r="B15913" s="1" t="s">
        <v>214</v>
      </c>
      <c r="C15913" s="1" t="s">
        <v>155</v>
      </c>
      <c r="D15913" s="3">
        <f t="shared" si="2612"/>
        <v>7157</v>
      </c>
      <c r="E15913" s="2">
        <f t="shared" si="2613"/>
        <v>40575</v>
      </c>
      <c r="F15913" s="2">
        <f t="shared" si="2614"/>
        <v>46022</v>
      </c>
    </row>
    <row r="15914" spans="1:6" x14ac:dyDescent="0.25">
      <c r="A15914" s="1" t="s">
        <v>4</v>
      </c>
      <c r="B15914" s="1" t="s">
        <v>214</v>
      </c>
      <c r="C15914" s="1" t="s">
        <v>216</v>
      </c>
      <c r="D15914" s="3">
        <f t="shared" si="2612"/>
        <v>7157</v>
      </c>
      <c r="E15914" s="2">
        <f t="shared" si="2613"/>
        <v>40575</v>
      </c>
      <c r="F15914" s="2">
        <f t="shared" si="2614"/>
        <v>46022</v>
      </c>
    </row>
    <row r="15915" spans="1:6" x14ac:dyDescent="0.25">
      <c r="A15915" s="1" t="s">
        <v>4</v>
      </c>
      <c r="B15915" s="1" t="s">
        <v>214</v>
      </c>
      <c r="C15915" s="1" t="s">
        <v>121</v>
      </c>
      <c r="D15915" s="3">
        <f t="shared" si="2612"/>
        <v>7157</v>
      </c>
      <c r="E15915" s="2">
        <f t="shared" si="2613"/>
        <v>40575</v>
      </c>
      <c r="F15915" s="2">
        <f t="shared" si="2614"/>
        <v>46022</v>
      </c>
    </row>
    <row r="15916" spans="1:6" x14ac:dyDescent="0.25">
      <c r="A15916" s="1" t="s">
        <v>4</v>
      </c>
      <c r="B15916" s="1" t="s">
        <v>214</v>
      </c>
      <c r="C15916" s="1" t="s">
        <v>32</v>
      </c>
      <c r="D15916" s="3">
        <f t="shared" si="2612"/>
        <v>7157</v>
      </c>
      <c r="E15916" s="2">
        <f t="shared" si="2613"/>
        <v>40575</v>
      </c>
      <c r="F15916" s="2">
        <f t="shared" si="2614"/>
        <v>46022</v>
      </c>
    </row>
    <row r="15917" spans="1:6" x14ac:dyDescent="0.25">
      <c r="A15917" s="1" t="s">
        <v>4</v>
      </c>
      <c r="B15917" s="1" t="s">
        <v>214</v>
      </c>
      <c r="C15917" s="1" t="s">
        <v>162</v>
      </c>
      <c r="D15917" s="3">
        <f t="shared" si="2612"/>
        <v>7157</v>
      </c>
      <c r="E15917" s="2">
        <f t="shared" si="2613"/>
        <v>40575</v>
      </c>
      <c r="F15917" s="2">
        <f t="shared" si="2614"/>
        <v>46022</v>
      </c>
    </row>
    <row r="15918" spans="1:6" x14ac:dyDescent="0.25">
      <c r="A15918" s="1" t="s">
        <v>4</v>
      </c>
      <c r="B15918" s="1" t="s">
        <v>217</v>
      </c>
      <c r="C15918" s="1" t="s">
        <v>218</v>
      </c>
      <c r="D15918" s="3">
        <f t="shared" ref="D15918:D15949" si="2615">VALUE("7171")</f>
        <v>7171</v>
      </c>
      <c r="E15918" s="2">
        <f t="shared" si="2613"/>
        <v>40575</v>
      </c>
      <c r="F15918" s="2">
        <f t="shared" ref="F15918:F15949" si="2616">DATEVALUE("31-12-2020")</f>
        <v>44196</v>
      </c>
    </row>
    <row r="15919" spans="1:6" x14ac:dyDescent="0.25">
      <c r="A15919" s="1" t="s">
        <v>4</v>
      </c>
      <c r="B15919" s="1" t="s">
        <v>217</v>
      </c>
      <c r="C15919" s="1" t="s">
        <v>7</v>
      </c>
      <c r="D15919" s="3">
        <f t="shared" si="2615"/>
        <v>7171</v>
      </c>
      <c r="E15919" s="2">
        <f t="shared" si="2613"/>
        <v>40575</v>
      </c>
      <c r="F15919" s="2">
        <f t="shared" si="2616"/>
        <v>44196</v>
      </c>
    </row>
    <row r="15920" spans="1:6" x14ac:dyDescent="0.25">
      <c r="A15920" s="1" t="s">
        <v>4</v>
      </c>
      <c r="B15920" s="1" t="s">
        <v>217</v>
      </c>
      <c r="C15920" s="1" t="s">
        <v>8</v>
      </c>
      <c r="D15920" s="3">
        <f t="shared" si="2615"/>
        <v>7171</v>
      </c>
      <c r="E15920" s="2">
        <f t="shared" si="2613"/>
        <v>40575</v>
      </c>
      <c r="F15920" s="2">
        <f t="shared" si="2616"/>
        <v>44196</v>
      </c>
    </row>
    <row r="15921" spans="1:6" x14ac:dyDescent="0.25">
      <c r="A15921" s="1" t="s">
        <v>4</v>
      </c>
      <c r="B15921" s="1" t="s">
        <v>217</v>
      </c>
      <c r="C15921" s="1" t="s">
        <v>10</v>
      </c>
      <c r="D15921" s="3">
        <f t="shared" si="2615"/>
        <v>7171</v>
      </c>
      <c r="E15921" s="2">
        <f t="shared" si="2613"/>
        <v>40575</v>
      </c>
      <c r="F15921" s="2">
        <f t="shared" si="2616"/>
        <v>44196</v>
      </c>
    </row>
    <row r="15922" spans="1:6" x14ac:dyDescent="0.25">
      <c r="A15922" s="1" t="s">
        <v>4</v>
      </c>
      <c r="B15922" s="1" t="s">
        <v>217</v>
      </c>
      <c r="C15922" s="1" t="s">
        <v>11</v>
      </c>
      <c r="D15922" s="3">
        <f t="shared" si="2615"/>
        <v>7171</v>
      </c>
      <c r="E15922" s="2">
        <f t="shared" si="2613"/>
        <v>40575</v>
      </c>
      <c r="F15922" s="2">
        <f t="shared" si="2616"/>
        <v>44196</v>
      </c>
    </row>
    <row r="15923" spans="1:6" x14ac:dyDescent="0.25">
      <c r="A15923" s="1" t="s">
        <v>4</v>
      </c>
      <c r="B15923" s="1" t="s">
        <v>217</v>
      </c>
      <c r="C15923" s="1" t="s">
        <v>219</v>
      </c>
      <c r="D15923" s="3">
        <f t="shared" si="2615"/>
        <v>7171</v>
      </c>
      <c r="E15923" s="2">
        <f t="shared" si="2613"/>
        <v>40575</v>
      </c>
      <c r="F15923" s="2">
        <f t="shared" si="2616"/>
        <v>44196</v>
      </c>
    </row>
    <row r="15924" spans="1:6" x14ac:dyDescent="0.25">
      <c r="A15924" s="1" t="s">
        <v>4</v>
      </c>
      <c r="B15924" s="1" t="s">
        <v>217</v>
      </c>
      <c r="C15924" s="1" t="s">
        <v>12</v>
      </c>
      <c r="D15924" s="3">
        <f t="shared" si="2615"/>
        <v>7171</v>
      </c>
      <c r="E15924" s="2">
        <f t="shared" si="2613"/>
        <v>40575</v>
      </c>
      <c r="F15924" s="2">
        <f t="shared" si="2616"/>
        <v>44196</v>
      </c>
    </row>
    <row r="15925" spans="1:6" x14ac:dyDescent="0.25">
      <c r="A15925" s="1" t="s">
        <v>4</v>
      </c>
      <c r="B15925" s="1" t="s">
        <v>217</v>
      </c>
      <c r="C15925" s="1" t="s">
        <v>13</v>
      </c>
      <c r="D15925" s="3">
        <f t="shared" si="2615"/>
        <v>7171</v>
      </c>
      <c r="E15925" s="2">
        <f t="shared" si="2613"/>
        <v>40575</v>
      </c>
      <c r="F15925" s="2">
        <f t="shared" si="2616"/>
        <v>44196</v>
      </c>
    </row>
    <row r="15926" spans="1:6" x14ac:dyDescent="0.25">
      <c r="A15926" s="1" t="s">
        <v>4</v>
      </c>
      <c r="B15926" s="1" t="s">
        <v>217</v>
      </c>
      <c r="C15926" s="1" t="s">
        <v>45</v>
      </c>
      <c r="D15926" s="3">
        <f t="shared" si="2615"/>
        <v>7171</v>
      </c>
      <c r="E15926" s="2">
        <f t="shared" si="2613"/>
        <v>40575</v>
      </c>
      <c r="F15926" s="2">
        <f t="shared" si="2616"/>
        <v>44196</v>
      </c>
    </row>
    <row r="15927" spans="1:6" x14ac:dyDescent="0.25">
      <c r="A15927" s="1" t="s">
        <v>4</v>
      </c>
      <c r="B15927" s="1" t="s">
        <v>217</v>
      </c>
      <c r="C15927" s="1" t="s">
        <v>44</v>
      </c>
      <c r="D15927" s="3">
        <f t="shared" si="2615"/>
        <v>7171</v>
      </c>
      <c r="E15927" s="2">
        <f t="shared" si="2613"/>
        <v>40575</v>
      </c>
      <c r="F15927" s="2">
        <f t="shared" si="2616"/>
        <v>44196</v>
      </c>
    </row>
    <row r="15928" spans="1:6" x14ac:dyDescent="0.25">
      <c r="A15928" s="1" t="s">
        <v>4</v>
      </c>
      <c r="B15928" s="1" t="s">
        <v>217</v>
      </c>
      <c r="C15928" s="1" t="s">
        <v>17</v>
      </c>
      <c r="D15928" s="3">
        <f t="shared" si="2615"/>
        <v>7171</v>
      </c>
      <c r="E15928" s="2">
        <f t="shared" si="2613"/>
        <v>40575</v>
      </c>
      <c r="F15928" s="2">
        <f t="shared" si="2616"/>
        <v>44196</v>
      </c>
    </row>
    <row r="15929" spans="1:6" x14ac:dyDescent="0.25">
      <c r="A15929" s="1" t="s">
        <v>4</v>
      </c>
      <c r="B15929" s="1" t="s">
        <v>217</v>
      </c>
      <c r="C15929" s="1" t="s">
        <v>22</v>
      </c>
      <c r="D15929" s="3">
        <f t="shared" si="2615"/>
        <v>7171</v>
      </c>
      <c r="E15929" s="2">
        <f t="shared" si="2613"/>
        <v>40575</v>
      </c>
      <c r="F15929" s="2">
        <f t="shared" si="2616"/>
        <v>44196</v>
      </c>
    </row>
    <row r="15930" spans="1:6" x14ac:dyDescent="0.25">
      <c r="A15930" s="1" t="s">
        <v>4</v>
      </c>
      <c r="B15930" s="1" t="s">
        <v>217</v>
      </c>
      <c r="C15930" s="1" t="s">
        <v>220</v>
      </c>
      <c r="D15930" s="3">
        <f t="shared" si="2615"/>
        <v>7171</v>
      </c>
      <c r="E15930" s="2">
        <f t="shared" si="2613"/>
        <v>40575</v>
      </c>
      <c r="F15930" s="2">
        <f t="shared" si="2616"/>
        <v>44196</v>
      </c>
    </row>
    <row r="15931" spans="1:6" x14ac:dyDescent="0.25">
      <c r="A15931" s="1" t="s">
        <v>4</v>
      </c>
      <c r="B15931" s="1" t="s">
        <v>217</v>
      </c>
      <c r="C15931" s="1" t="s">
        <v>221</v>
      </c>
      <c r="D15931" s="3">
        <f t="shared" si="2615"/>
        <v>7171</v>
      </c>
      <c r="E15931" s="2">
        <f t="shared" si="2613"/>
        <v>40575</v>
      </c>
      <c r="F15931" s="2">
        <f t="shared" si="2616"/>
        <v>44196</v>
      </c>
    </row>
    <row r="15932" spans="1:6" x14ac:dyDescent="0.25">
      <c r="A15932" s="1" t="s">
        <v>4</v>
      </c>
      <c r="B15932" s="1" t="s">
        <v>217</v>
      </c>
      <c r="C15932" s="1" t="s">
        <v>67</v>
      </c>
      <c r="D15932" s="3">
        <f t="shared" si="2615"/>
        <v>7171</v>
      </c>
      <c r="E15932" s="2">
        <f t="shared" si="2613"/>
        <v>40575</v>
      </c>
      <c r="F15932" s="2">
        <f t="shared" si="2616"/>
        <v>44196</v>
      </c>
    </row>
    <row r="15933" spans="1:6" x14ac:dyDescent="0.25">
      <c r="A15933" s="1" t="s">
        <v>4</v>
      </c>
      <c r="B15933" s="1" t="s">
        <v>217</v>
      </c>
      <c r="C15933" s="1" t="s">
        <v>148</v>
      </c>
      <c r="D15933" s="3">
        <f t="shared" si="2615"/>
        <v>7171</v>
      </c>
      <c r="E15933" s="2">
        <f t="shared" ref="E15933:E15964" si="2617">DATEVALUE("1-2-2011")</f>
        <v>40575</v>
      </c>
      <c r="F15933" s="2">
        <f t="shared" si="2616"/>
        <v>44196</v>
      </c>
    </row>
    <row r="15934" spans="1:6" x14ac:dyDescent="0.25">
      <c r="A15934" s="1" t="s">
        <v>4</v>
      </c>
      <c r="B15934" s="1" t="s">
        <v>217</v>
      </c>
      <c r="C15934" s="1" t="s">
        <v>149</v>
      </c>
      <c r="D15934" s="3">
        <f t="shared" si="2615"/>
        <v>7171</v>
      </c>
      <c r="E15934" s="2">
        <f t="shared" si="2617"/>
        <v>40575</v>
      </c>
      <c r="F15934" s="2">
        <f t="shared" si="2616"/>
        <v>44196</v>
      </c>
    </row>
    <row r="15935" spans="1:6" x14ac:dyDescent="0.25">
      <c r="A15935" s="1" t="s">
        <v>4</v>
      </c>
      <c r="B15935" s="1" t="s">
        <v>217</v>
      </c>
      <c r="C15935" s="1" t="s">
        <v>222</v>
      </c>
      <c r="D15935" s="3">
        <f t="shared" si="2615"/>
        <v>7171</v>
      </c>
      <c r="E15935" s="2">
        <f t="shared" si="2617"/>
        <v>40575</v>
      </c>
      <c r="F15935" s="2">
        <f t="shared" si="2616"/>
        <v>44196</v>
      </c>
    </row>
    <row r="15936" spans="1:6" x14ac:dyDescent="0.25">
      <c r="A15936" s="1" t="s">
        <v>4</v>
      </c>
      <c r="B15936" s="1" t="s">
        <v>217</v>
      </c>
      <c r="C15936" s="1" t="s">
        <v>23</v>
      </c>
      <c r="D15936" s="3">
        <f t="shared" si="2615"/>
        <v>7171</v>
      </c>
      <c r="E15936" s="2">
        <f t="shared" si="2617"/>
        <v>40575</v>
      </c>
      <c r="F15936" s="2">
        <f t="shared" si="2616"/>
        <v>44196</v>
      </c>
    </row>
    <row r="15937" spans="1:6" x14ac:dyDescent="0.25">
      <c r="A15937" s="1" t="s">
        <v>4</v>
      </c>
      <c r="B15937" s="1" t="s">
        <v>217</v>
      </c>
      <c r="C15937" s="1" t="s">
        <v>223</v>
      </c>
      <c r="D15937" s="3">
        <f t="shared" si="2615"/>
        <v>7171</v>
      </c>
      <c r="E15937" s="2">
        <f t="shared" si="2617"/>
        <v>40575</v>
      </c>
      <c r="F15937" s="2">
        <f t="shared" si="2616"/>
        <v>44196</v>
      </c>
    </row>
    <row r="15938" spans="1:6" x14ac:dyDescent="0.25">
      <c r="A15938" s="1" t="s">
        <v>4</v>
      </c>
      <c r="B15938" s="1" t="s">
        <v>217</v>
      </c>
      <c r="C15938" s="1" t="s">
        <v>224</v>
      </c>
      <c r="D15938" s="3">
        <f t="shared" si="2615"/>
        <v>7171</v>
      </c>
      <c r="E15938" s="2">
        <f t="shared" si="2617"/>
        <v>40575</v>
      </c>
      <c r="F15938" s="2">
        <f t="shared" si="2616"/>
        <v>44196</v>
      </c>
    </row>
    <row r="15939" spans="1:6" x14ac:dyDescent="0.25">
      <c r="A15939" s="1" t="s">
        <v>4</v>
      </c>
      <c r="B15939" s="1" t="s">
        <v>217</v>
      </c>
      <c r="C15939" s="1" t="s">
        <v>212</v>
      </c>
      <c r="D15939" s="3">
        <f t="shared" si="2615"/>
        <v>7171</v>
      </c>
      <c r="E15939" s="2">
        <f t="shared" si="2617"/>
        <v>40575</v>
      </c>
      <c r="F15939" s="2">
        <f t="shared" si="2616"/>
        <v>44196</v>
      </c>
    </row>
    <row r="15940" spans="1:6" x14ac:dyDescent="0.25">
      <c r="A15940" s="1" t="s">
        <v>4</v>
      </c>
      <c r="B15940" s="1" t="s">
        <v>217</v>
      </c>
      <c r="C15940" s="1" t="s">
        <v>25</v>
      </c>
      <c r="D15940" s="3">
        <f t="shared" si="2615"/>
        <v>7171</v>
      </c>
      <c r="E15940" s="2">
        <f t="shared" si="2617"/>
        <v>40575</v>
      </c>
      <c r="F15940" s="2">
        <f t="shared" si="2616"/>
        <v>44196</v>
      </c>
    </row>
    <row r="15941" spans="1:6" x14ac:dyDescent="0.25">
      <c r="A15941" s="1" t="s">
        <v>4</v>
      </c>
      <c r="B15941" s="1" t="s">
        <v>217</v>
      </c>
      <c r="C15941" s="1" t="s">
        <v>225</v>
      </c>
      <c r="D15941" s="3">
        <f t="shared" si="2615"/>
        <v>7171</v>
      </c>
      <c r="E15941" s="2">
        <f t="shared" si="2617"/>
        <v>40575</v>
      </c>
      <c r="F15941" s="2">
        <f t="shared" si="2616"/>
        <v>44196</v>
      </c>
    </row>
    <row r="15942" spans="1:6" x14ac:dyDescent="0.25">
      <c r="A15942" s="1" t="s">
        <v>4</v>
      </c>
      <c r="B15942" s="1" t="s">
        <v>217</v>
      </c>
      <c r="C15942" s="1" t="s">
        <v>194</v>
      </c>
      <c r="D15942" s="3">
        <f t="shared" si="2615"/>
        <v>7171</v>
      </c>
      <c r="E15942" s="2">
        <f t="shared" si="2617"/>
        <v>40575</v>
      </c>
      <c r="F15942" s="2">
        <f t="shared" si="2616"/>
        <v>44196</v>
      </c>
    </row>
    <row r="15943" spans="1:6" x14ac:dyDescent="0.25">
      <c r="A15943" s="1" t="s">
        <v>4</v>
      </c>
      <c r="B15943" s="1" t="s">
        <v>217</v>
      </c>
      <c r="C15943" s="1" t="s">
        <v>72</v>
      </c>
      <c r="D15943" s="3">
        <f t="shared" si="2615"/>
        <v>7171</v>
      </c>
      <c r="E15943" s="2">
        <f t="shared" si="2617"/>
        <v>40575</v>
      </c>
      <c r="F15943" s="2">
        <f t="shared" si="2616"/>
        <v>44196</v>
      </c>
    </row>
    <row r="15944" spans="1:6" x14ac:dyDescent="0.25">
      <c r="A15944" s="1" t="s">
        <v>4</v>
      </c>
      <c r="B15944" s="1" t="s">
        <v>217</v>
      </c>
      <c r="C15944" s="1" t="s">
        <v>226</v>
      </c>
      <c r="D15944" s="3">
        <f t="shared" si="2615"/>
        <v>7171</v>
      </c>
      <c r="E15944" s="2">
        <f t="shared" si="2617"/>
        <v>40575</v>
      </c>
      <c r="F15944" s="2">
        <f t="shared" si="2616"/>
        <v>44196</v>
      </c>
    </row>
    <row r="15945" spans="1:6" x14ac:dyDescent="0.25">
      <c r="A15945" s="1" t="s">
        <v>4</v>
      </c>
      <c r="B15945" s="1" t="s">
        <v>217</v>
      </c>
      <c r="C15945" s="1" t="s">
        <v>227</v>
      </c>
      <c r="D15945" s="3">
        <f t="shared" si="2615"/>
        <v>7171</v>
      </c>
      <c r="E15945" s="2">
        <f t="shared" si="2617"/>
        <v>40575</v>
      </c>
      <c r="F15945" s="2">
        <f t="shared" si="2616"/>
        <v>44196</v>
      </c>
    </row>
    <row r="15946" spans="1:6" x14ac:dyDescent="0.25">
      <c r="A15946" s="1" t="s">
        <v>4</v>
      </c>
      <c r="B15946" s="1" t="s">
        <v>217</v>
      </c>
      <c r="C15946" s="1" t="s">
        <v>228</v>
      </c>
      <c r="D15946" s="3">
        <f t="shared" si="2615"/>
        <v>7171</v>
      </c>
      <c r="E15946" s="2">
        <f t="shared" si="2617"/>
        <v>40575</v>
      </c>
      <c r="F15946" s="2">
        <f t="shared" si="2616"/>
        <v>44196</v>
      </c>
    </row>
    <row r="15947" spans="1:6" x14ac:dyDescent="0.25">
      <c r="A15947" s="1" t="s">
        <v>4</v>
      </c>
      <c r="B15947" s="1" t="s">
        <v>217</v>
      </c>
      <c r="C15947" s="1" t="s">
        <v>28</v>
      </c>
      <c r="D15947" s="3">
        <f t="shared" si="2615"/>
        <v>7171</v>
      </c>
      <c r="E15947" s="2">
        <f t="shared" si="2617"/>
        <v>40575</v>
      </c>
      <c r="F15947" s="2">
        <f t="shared" si="2616"/>
        <v>44196</v>
      </c>
    </row>
    <row r="15948" spans="1:6" x14ac:dyDescent="0.25">
      <c r="A15948" s="1" t="s">
        <v>4</v>
      </c>
      <c r="B15948" s="1" t="s">
        <v>217</v>
      </c>
      <c r="C15948" s="1" t="s">
        <v>229</v>
      </c>
      <c r="D15948" s="3">
        <f t="shared" si="2615"/>
        <v>7171</v>
      </c>
      <c r="E15948" s="2">
        <f t="shared" si="2617"/>
        <v>40575</v>
      </c>
      <c r="F15948" s="2">
        <f t="shared" si="2616"/>
        <v>44196</v>
      </c>
    </row>
    <row r="15949" spans="1:6" x14ac:dyDescent="0.25">
      <c r="A15949" s="1" t="s">
        <v>4</v>
      </c>
      <c r="B15949" s="1" t="s">
        <v>217</v>
      </c>
      <c r="C15949" s="1" t="s">
        <v>29</v>
      </c>
      <c r="D15949" s="3">
        <f t="shared" si="2615"/>
        <v>7171</v>
      </c>
      <c r="E15949" s="2">
        <f t="shared" si="2617"/>
        <v>40575</v>
      </c>
      <c r="F15949" s="2">
        <f t="shared" si="2616"/>
        <v>44196</v>
      </c>
    </row>
    <row r="15950" spans="1:6" x14ac:dyDescent="0.25">
      <c r="A15950" s="1" t="s">
        <v>4</v>
      </c>
      <c r="B15950" s="1" t="s">
        <v>217</v>
      </c>
      <c r="C15950" s="1" t="s">
        <v>230</v>
      </c>
      <c r="D15950" s="3">
        <f t="shared" ref="D15950:D15968" si="2618">VALUE("7171")</f>
        <v>7171</v>
      </c>
      <c r="E15950" s="2">
        <f t="shared" si="2617"/>
        <v>40575</v>
      </c>
      <c r="F15950" s="2">
        <f t="shared" ref="F15950:F15968" si="2619">DATEVALUE("31-12-2020")</f>
        <v>44196</v>
      </c>
    </row>
    <row r="15951" spans="1:6" x14ac:dyDescent="0.25">
      <c r="A15951" s="1" t="s">
        <v>4</v>
      </c>
      <c r="B15951" s="1" t="s">
        <v>217</v>
      </c>
      <c r="C15951" s="1" t="s">
        <v>231</v>
      </c>
      <c r="D15951" s="3">
        <f t="shared" si="2618"/>
        <v>7171</v>
      </c>
      <c r="E15951" s="2">
        <f t="shared" si="2617"/>
        <v>40575</v>
      </c>
      <c r="F15951" s="2">
        <f t="shared" si="2619"/>
        <v>44196</v>
      </c>
    </row>
    <row r="15952" spans="1:6" x14ac:dyDescent="0.25">
      <c r="A15952" s="1" t="s">
        <v>4</v>
      </c>
      <c r="B15952" s="1" t="s">
        <v>217</v>
      </c>
      <c r="C15952" s="1" t="s">
        <v>232</v>
      </c>
      <c r="D15952" s="3">
        <f t="shared" si="2618"/>
        <v>7171</v>
      </c>
      <c r="E15952" s="2">
        <f t="shared" si="2617"/>
        <v>40575</v>
      </c>
      <c r="F15952" s="2">
        <f t="shared" si="2619"/>
        <v>44196</v>
      </c>
    </row>
    <row r="15953" spans="1:6" x14ac:dyDescent="0.25">
      <c r="A15953" s="1" t="s">
        <v>4</v>
      </c>
      <c r="B15953" s="1" t="s">
        <v>217</v>
      </c>
      <c r="C15953" s="1" t="s">
        <v>233</v>
      </c>
      <c r="D15953" s="3">
        <f t="shared" si="2618"/>
        <v>7171</v>
      </c>
      <c r="E15953" s="2">
        <f t="shared" si="2617"/>
        <v>40575</v>
      </c>
      <c r="F15953" s="2">
        <f t="shared" si="2619"/>
        <v>44196</v>
      </c>
    </row>
    <row r="15954" spans="1:6" x14ac:dyDescent="0.25">
      <c r="A15954" s="1" t="s">
        <v>4</v>
      </c>
      <c r="B15954" s="1" t="s">
        <v>217</v>
      </c>
      <c r="C15954" s="1" t="s">
        <v>234</v>
      </c>
      <c r="D15954" s="3">
        <f t="shared" si="2618"/>
        <v>7171</v>
      </c>
      <c r="E15954" s="2">
        <f t="shared" si="2617"/>
        <v>40575</v>
      </c>
      <c r="F15954" s="2">
        <f t="shared" si="2619"/>
        <v>44196</v>
      </c>
    </row>
    <row r="15955" spans="1:6" x14ac:dyDescent="0.25">
      <c r="A15955" s="1" t="s">
        <v>4</v>
      </c>
      <c r="B15955" s="1" t="s">
        <v>217</v>
      </c>
      <c r="C15955" s="1" t="s">
        <v>30</v>
      </c>
      <c r="D15955" s="3">
        <f t="shared" si="2618"/>
        <v>7171</v>
      </c>
      <c r="E15955" s="2">
        <f t="shared" si="2617"/>
        <v>40575</v>
      </c>
      <c r="F15955" s="2">
        <f t="shared" si="2619"/>
        <v>44196</v>
      </c>
    </row>
    <row r="15956" spans="1:6" x14ac:dyDescent="0.25">
      <c r="A15956" s="1" t="s">
        <v>4</v>
      </c>
      <c r="B15956" s="1" t="s">
        <v>217</v>
      </c>
      <c r="C15956" s="1" t="s">
        <v>235</v>
      </c>
      <c r="D15956" s="3">
        <f t="shared" si="2618"/>
        <v>7171</v>
      </c>
      <c r="E15956" s="2">
        <f t="shared" si="2617"/>
        <v>40575</v>
      </c>
      <c r="F15956" s="2">
        <f t="shared" si="2619"/>
        <v>44196</v>
      </c>
    </row>
    <row r="15957" spans="1:6" x14ac:dyDescent="0.25">
      <c r="A15957" s="1" t="s">
        <v>4</v>
      </c>
      <c r="B15957" s="1" t="s">
        <v>217</v>
      </c>
      <c r="C15957" s="1" t="s">
        <v>236</v>
      </c>
      <c r="D15957" s="3">
        <f t="shared" si="2618"/>
        <v>7171</v>
      </c>
      <c r="E15957" s="2">
        <f t="shared" si="2617"/>
        <v>40575</v>
      </c>
      <c r="F15957" s="2">
        <f t="shared" si="2619"/>
        <v>44196</v>
      </c>
    </row>
    <row r="15958" spans="1:6" x14ac:dyDescent="0.25">
      <c r="A15958" s="1" t="s">
        <v>4</v>
      </c>
      <c r="B15958" s="1" t="s">
        <v>217</v>
      </c>
      <c r="C15958" s="1" t="s">
        <v>237</v>
      </c>
      <c r="D15958" s="3">
        <f t="shared" si="2618"/>
        <v>7171</v>
      </c>
      <c r="E15958" s="2">
        <f t="shared" si="2617"/>
        <v>40575</v>
      </c>
      <c r="F15958" s="2">
        <f t="shared" si="2619"/>
        <v>44196</v>
      </c>
    </row>
    <row r="15959" spans="1:6" x14ac:dyDescent="0.25">
      <c r="A15959" s="1" t="s">
        <v>4</v>
      </c>
      <c r="B15959" s="1" t="s">
        <v>217</v>
      </c>
      <c r="C15959" s="1" t="s">
        <v>238</v>
      </c>
      <c r="D15959" s="3">
        <f t="shared" si="2618"/>
        <v>7171</v>
      </c>
      <c r="E15959" s="2">
        <f t="shared" si="2617"/>
        <v>40575</v>
      </c>
      <c r="F15959" s="2">
        <f t="shared" si="2619"/>
        <v>44196</v>
      </c>
    </row>
    <row r="15960" spans="1:6" x14ac:dyDescent="0.25">
      <c r="A15960" s="1" t="s">
        <v>4</v>
      </c>
      <c r="B15960" s="1" t="s">
        <v>217</v>
      </c>
      <c r="C15960" s="1" t="s">
        <v>239</v>
      </c>
      <c r="D15960" s="3">
        <f t="shared" si="2618"/>
        <v>7171</v>
      </c>
      <c r="E15960" s="2">
        <f t="shared" si="2617"/>
        <v>40575</v>
      </c>
      <c r="F15960" s="2">
        <f t="shared" si="2619"/>
        <v>44196</v>
      </c>
    </row>
    <row r="15961" spans="1:6" x14ac:dyDescent="0.25">
      <c r="A15961" s="1" t="s">
        <v>4</v>
      </c>
      <c r="B15961" s="1" t="s">
        <v>217</v>
      </c>
      <c r="C15961" s="1" t="s">
        <v>240</v>
      </c>
      <c r="D15961" s="3">
        <f t="shared" si="2618"/>
        <v>7171</v>
      </c>
      <c r="E15961" s="2">
        <f t="shared" si="2617"/>
        <v>40575</v>
      </c>
      <c r="F15961" s="2">
        <f t="shared" si="2619"/>
        <v>44196</v>
      </c>
    </row>
    <row r="15962" spans="1:6" x14ac:dyDescent="0.25">
      <c r="A15962" s="1" t="s">
        <v>4</v>
      </c>
      <c r="B15962" s="1" t="s">
        <v>217</v>
      </c>
      <c r="C15962" s="1" t="s">
        <v>73</v>
      </c>
      <c r="D15962" s="3">
        <f t="shared" si="2618"/>
        <v>7171</v>
      </c>
      <c r="E15962" s="2">
        <f t="shared" si="2617"/>
        <v>40575</v>
      </c>
      <c r="F15962" s="2">
        <f t="shared" si="2619"/>
        <v>44196</v>
      </c>
    </row>
    <row r="15963" spans="1:6" x14ac:dyDescent="0.25">
      <c r="A15963" s="1" t="s">
        <v>4</v>
      </c>
      <c r="B15963" s="1" t="s">
        <v>217</v>
      </c>
      <c r="C15963" s="1" t="s">
        <v>52</v>
      </c>
      <c r="D15963" s="3">
        <f t="shared" si="2618"/>
        <v>7171</v>
      </c>
      <c r="E15963" s="2">
        <f t="shared" si="2617"/>
        <v>40575</v>
      </c>
      <c r="F15963" s="2">
        <f t="shared" si="2619"/>
        <v>44196</v>
      </c>
    </row>
    <row r="15964" spans="1:6" x14ac:dyDescent="0.25">
      <c r="A15964" s="1" t="s">
        <v>4</v>
      </c>
      <c r="B15964" s="1" t="s">
        <v>217</v>
      </c>
      <c r="C15964" s="1" t="s">
        <v>241</v>
      </c>
      <c r="D15964" s="3">
        <f t="shared" si="2618"/>
        <v>7171</v>
      </c>
      <c r="E15964" s="2">
        <f t="shared" si="2617"/>
        <v>40575</v>
      </c>
      <c r="F15964" s="2">
        <f t="shared" si="2619"/>
        <v>44196</v>
      </c>
    </row>
    <row r="15965" spans="1:6" x14ac:dyDescent="0.25">
      <c r="A15965" s="1" t="s">
        <v>4</v>
      </c>
      <c r="B15965" s="1" t="s">
        <v>217</v>
      </c>
      <c r="C15965" s="1" t="s">
        <v>32</v>
      </c>
      <c r="D15965" s="3">
        <f t="shared" si="2618"/>
        <v>7171</v>
      </c>
      <c r="E15965" s="2">
        <f t="shared" ref="E15965:E15991" si="2620">DATEVALUE("1-2-2011")</f>
        <v>40575</v>
      </c>
      <c r="F15965" s="2">
        <f t="shared" si="2619"/>
        <v>44196</v>
      </c>
    </row>
    <row r="15966" spans="1:6" x14ac:dyDescent="0.25">
      <c r="A15966" s="1" t="s">
        <v>4</v>
      </c>
      <c r="B15966" s="1" t="s">
        <v>217</v>
      </c>
      <c r="C15966" s="1" t="s">
        <v>111</v>
      </c>
      <c r="D15966" s="3">
        <f t="shared" si="2618"/>
        <v>7171</v>
      </c>
      <c r="E15966" s="2">
        <f t="shared" si="2620"/>
        <v>40575</v>
      </c>
      <c r="F15966" s="2">
        <f t="shared" si="2619"/>
        <v>44196</v>
      </c>
    </row>
    <row r="15967" spans="1:6" x14ac:dyDescent="0.25">
      <c r="A15967" s="1" t="s">
        <v>4</v>
      </c>
      <c r="B15967" s="1" t="s">
        <v>217</v>
      </c>
      <c r="C15967" s="1" t="s">
        <v>242</v>
      </c>
      <c r="D15967" s="3">
        <f t="shared" si="2618"/>
        <v>7171</v>
      </c>
      <c r="E15967" s="2">
        <f t="shared" si="2620"/>
        <v>40575</v>
      </c>
      <c r="F15967" s="2">
        <f t="shared" si="2619"/>
        <v>44196</v>
      </c>
    </row>
    <row r="15968" spans="1:6" x14ac:dyDescent="0.25">
      <c r="A15968" s="1" t="s">
        <v>4</v>
      </c>
      <c r="B15968" s="1" t="s">
        <v>217</v>
      </c>
      <c r="C15968" s="1" t="s">
        <v>243</v>
      </c>
      <c r="D15968" s="3">
        <f t="shared" si="2618"/>
        <v>7171</v>
      </c>
      <c r="E15968" s="2">
        <f t="shared" si="2620"/>
        <v>40575</v>
      </c>
      <c r="F15968" s="2">
        <f t="shared" si="2619"/>
        <v>44196</v>
      </c>
    </row>
    <row r="15969" spans="1:6" x14ac:dyDescent="0.25">
      <c r="A15969" s="1" t="s">
        <v>4</v>
      </c>
      <c r="B15969" s="1" t="s">
        <v>2595</v>
      </c>
      <c r="C15969" s="1" t="s">
        <v>7</v>
      </c>
      <c r="D15969" s="3">
        <f t="shared" ref="D15969:D15991" si="2621">VALUE("7172")</f>
        <v>7172</v>
      </c>
      <c r="E15969" s="2">
        <f t="shared" si="2620"/>
        <v>40575</v>
      </c>
      <c r="F15969" s="2">
        <f t="shared" ref="F15969:F15991" si="2622">DATEVALUE("30-9-2012")</f>
        <v>41182</v>
      </c>
    </row>
    <row r="15970" spans="1:6" x14ac:dyDescent="0.25">
      <c r="A15970" s="1" t="s">
        <v>4</v>
      </c>
      <c r="B15970" s="1" t="s">
        <v>2595</v>
      </c>
      <c r="C15970" s="1" t="s">
        <v>8</v>
      </c>
      <c r="D15970" s="3">
        <f t="shared" si="2621"/>
        <v>7172</v>
      </c>
      <c r="E15970" s="2">
        <f t="shared" si="2620"/>
        <v>40575</v>
      </c>
      <c r="F15970" s="2">
        <f t="shared" si="2622"/>
        <v>41182</v>
      </c>
    </row>
    <row r="15971" spans="1:6" x14ac:dyDescent="0.25">
      <c r="A15971" s="1" t="s">
        <v>4</v>
      </c>
      <c r="B15971" s="1" t="s">
        <v>2595</v>
      </c>
      <c r="C15971" s="1" t="s">
        <v>10</v>
      </c>
      <c r="D15971" s="3">
        <f t="shared" si="2621"/>
        <v>7172</v>
      </c>
      <c r="E15971" s="2">
        <f t="shared" si="2620"/>
        <v>40575</v>
      </c>
      <c r="F15971" s="2">
        <f t="shared" si="2622"/>
        <v>41182</v>
      </c>
    </row>
    <row r="15972" spans="1:6" x14ac:dyDescent="0.25">
      <c r="A15972" s="1" t="s">
        <v>4</v>
      </c>
      <c r="B15972" s="1" t="s">
        <v>2595</v>
      </c>
      <c r="C15972" s="1" t="s">
        <v>11</v>
      </c>
      <c r="D15972" s="3">
        <f t="shared" si="2621"/>
        <v>7172</v>
      </c>
      <c r="E15972" s="2">
        <f t="shared" si="2620"/>
        <v>40575</v>
      </c>
      <c r="F15972" s="2">
        <f t="shared" si="2622"/>
        <v>41182</v>
      </c>
    </row>
    <row r="15973" spans="1:6" x14ac:dyDescent="0.25">
      <c r="A15973" s="1" t="s">
        <v>4</v>
      </c>
      <c r="B15973" s="1" t="s">
        <v>2595</v>
      </c>
      <c r="C15973" s="1" t="s">
        <v>12</v>
      </c>
      <c r="D15973" s="3">
        <f t="shared" si="2621"/>
        <v>7172</v>
      </c>
      <c r="E15973" s="2">
        <f t="shared" si="2620"/>
        <v>40575</v>
      </c>
      <c r="F15973" s="2">
        <f t="shared" si="2622"/>
        <v>41182</v>
      </c>
    </row>
    <row r="15974" spans="1:6" x14ac:dyDescent="0.25">
      <c r="A15974" s="1" t="s">
        <v>4</v>
      </c>
      <c r="B15974" s="1" t="s">
        <v>2595</v>
      </c>
      <c r="C15974" s="1" t="s">
        <v>13</v>
      </c>
      <c r="D15974" s="3">
        <f t="shared" si="2621"/>
        <v>7172</v>
      </c>
      <c r="E15974" s="2">
        <f t="shared" si="2620"/>
        <v>40575</v>
      </c>
      <c r="F15974" s="2">
        <f t="shared" si="2622"/>
        <v>41182</v>
      </c>
    </row>
    <row r="15975" spans="1:6" x14ac:dyDescent="0.25">
      <c r="A15975" s="1" t="s">
        <v>4</v>
      </c>
      <c r="B15975" s="1" t="s">
        <v>2595</v>
      </c>
      <c r="C15975" s="1" t="s">
        <v>220</v>
      </c>
      <c r="D15975" s="3">
        <f t="shared" si="2621"/>
        <v>7172</v>
      </c>
      <c r="E15975" s="2">
        <f t="shared" si="2620"/>
        <v>40575</v>
      </c>
      <c r="F15975" s="2">
        <f t="shared" si="2622"/>
        <v>41182</v>
      </c>
    </row>
    <row r="15976" spans="1:6" x14ac:dyDescent="0.25">
      <c r="A15976" s="1" t="s">
        <v>4</v>
      </c>
      <c r="B15976" s="1" t="s">
        <v>2595</v>
      </c>
      <c r="C15976" s="1" t="s">
        <v>222</v>
      </c>
      <c r="D15976" s="3">
        <f t="shared" si="2621"/>
        <v>7172</v>
      </c>
      <c r="E15976" s="2">
        <f t="shared" si="2620"/>
        <v>40575</v>
      </c>
      <c r="F15976" s="2">
        <f t="shared" si="2622"/>
        <v>41182</v>
      </c>
    </row>
    <row r="15977" spans="1:6" x14ac:dyDescent="0.25">
      <c r="A15977" s="1" t="s">
        <v>4</v>
      </c>
      <c r="B15977" s="1" t="s">
        <v>2595</v>
      </c>
      <c r="C15977" s="1" t="s">
        <v>25</v>
      </c>
      <c r="D15977" s="3">
        <f t="shared" si="2621"/>
        <v>7172</v>
      </c>
      <c r="E15977" s="2">
        <f t="shared" si="2620"/>
        <v>40575</v>
      </c>
      <c r="F15977" s="2">
        <f t="shared" si="2622"/>
        <v>41182</v>
      </c>
    </row>
    <row r="15978" spans="1:6" x14ac:dyDescent="0.25">
      <c r="A15978" s="1" t="s">
        <v>4</v>
      </c>
      <c r="B15978" s="1" t="s">
        <v>2595</v>
      </c>
      <c r="C15978" s="1" t="s">
        <v>228</v>
      </c>
      <c r="D15978" s="3">
        <f t="shared" si="2621"/>
        <v>7172</v>
      </c>
      <c r="E15978" s="2">
        <f t="shared" si="2620"/>
        <v>40575</v>
      </c>
      <c r="F15978" s="2">
        <f t="shared" si="2622"/>
        <v>41182</v>
      </c>
    </row>
    <row r="15979" spans="1:6" x14ac:dyDescent="0.25">
      <c r="A15979" s="1" t="s">
        <v>4</v>
      </c>
      <c r="B15979" s="1" t="s">
        <v>2595</v>
      </c>
      <c r="C15979" s="1" t="s">
        <v>28</v>
      </c>
      <c r="D15979" s="3">
        <f t="shared" si="2621"/>
        <v>7172</v>
      </c>
      <c r="E15979" s="2">
        <f t="shared" si="2620"/>
        <v>40575</v>
      </c>
      <c r="F15979" s="2">
        <f t="shared" si="2622"/>
        <v>41182</v>
      </c>
    </row>
    <row r="15980" spans="1:6" x14ac:dyDescent="0.25">
      <c r="A15980" s="1" t="s">
        <v>4</v>
      </c>
      <c r="B15980" s="1" t="s">
        <v>2595</v>
      </c>
      <c r="C15980" s="1" t="s">
        <v>229</v>
      </c>
      <c r="D15980" s="3">
        <f t="shared" si="2621"/>
        <v>7172</v>
      </c>
      <c r="E15980" s="2">
        <f t="shared" si="2620"/>
        <v>40575</v>
      </c>
      <c r="F15980" s="2">
        <f t="shared" si="2622"/>
        <v>41182</v>
      </c>
    </row>
    <row r="15981" spans="1:6" x14ac:dyDescent="0.25">
      <c r="A15981" s="1" t="s">
        <v>4</v>
      </c>
      <c r="B15981" s="1" t="s">
        <v>2595</v>
      </c>
      <c r="C15981" s="1" t="s">
        <v>29</v>
      </c>
      <c r="D15981" s="3">
        <f t="shared" si="2621"/>
        <v>7172</v>
      </c>
      <c r="E15981" s="2">
        <f t="shared" si="2620"/>
        <v>40575</v>
      </c>
      <c r="F15981" s="2">
        <f t="shared" si="2622"/>
        <v>41182</v>
      </c>
    </row>
    <row r="15982" spans="1:6" x14ac:dyDescent="0.25">
      <c r="A15982" s="1" t="s">
        <v>4</v>
      </c>
      <c r="B15982" s="1" t="s">
        <v>2595</v>
      </c>
      <c r="C15982" s="1" t="s">
        <v>230</v>
      </c>
      <c r="D15982" s="3">
        <f t="shared" si="2621"/>
        <v>7172</v>
      </c>
      <c r="E15982" s="2">
        <f t="shared" si="2620"/>
        <v>40575</v>
      </c>
      <c r="F15982" s="2">
        <f t="shared" si="2622"/>
        <v>41182</v>
      </c>
    </row>
    <row r="15983" spans="1:6" x14ac:dyDescent="0.25">
      <c r="A15983" s="1" t="s">
        <v>4</v>
      </c>
      <c r="B15983" s="1" t="s">
        <v>2595</v>
      </c>
      <c r="C15983" s="1" t="s">
        <v>232</v>
      </c>
      <c r="D15983" s="3">
        <f t="shared" si="2621"/>
        <v>7172</v>
      </c>
      <c r="E15983" s="2">
        <f t="shared" si="2620"/>
        <v>40575</v>
      </c>
      <c r="F15983" s="2">
        <f t="shared" si="2622"/>
        <v>41182</v>
      </c>
    </row>
    <row r="15984" spans="1:6" x14ac:dyDescent="0.25">
      <c r="A15984" s="1" t="s">
        <v>4</v>
      </c>
      <c r="B15984" s="1" t="s">
        <v>2595</v>
      </c>
      <c r="C15984" s="1" t="s">
        <v>233</v>
      </c>
      <c r="D15984" s="3">
        <f t="shared" si="2621"/>
        <v>7172</v>
      </c>
      <c r="E15984" s="2">
        <f t="shared" si="2620"/>
        <v>40575</v>
      </c>
      <c r="F15984" s="2">
        <f t="shared" si="2622"/>
        <v>41182</v>
      </c>
    </row>
    <row r="15985" spans="1:6" x14ac:dyDescent="0.25">
      <c r="A15985" s="1" t="s">
        <v>4</v>
      </c>
      <c r="B15985" s="1" t="s">
        <v>2595</v>
      </c>
      <c r="C15985" s="1" t="s">
        <v>234</v>
      </c>
      <c r="D15985" s="3">
        <f t="shared" si="2621"/>
        <v>7172</v>
      </c>
      <c r="E15985" s="2">
        <f t="shared" si="2620"/>
        <v>40575</v>
      </c>
      <c r="F15985" s="2">
        <f t="shared" si="2622"/>
        <v>41182</v>
      </c>
    </row>
    <row r="15986" spans="1:6" x14ac:dyDescent="0.25">
      <c r="A15986" s="1" t="s">
        <v>4</v>
      </c>
      <c r="B15986" s="1" t="s">
        <v>2595</v>
      </c>
      <c r="C15986" s="1" t="s">
        <v>30</v>
      </c>
      <c r="D15986" s="3">
        <f t="shared" si="2621"/>
        <v>7172</v>
      </c>
      <c r="E15986" s="2">
        <f t="shared" si="2620"/>
        <v>40575</v>
      </c>
      <c r="F15986" s="2">
        <f t="shared" si="2622"/>
        <v>41182</v>
      </c>
    </row>
    <row r="15987" spans="1:6" x14ac:dyDescent="0.25">
      <c r="A15987" s="1" t="s">
        <v>4</v>
      </c>
      <c r="B15987" s="1" t="s">
        <v>2595</v>
      </c>
      <c r="C15987" s="1" t="s">
        <v>235</v>
      </c>
      <c r="D15987" s="3">
        <f t="shared" si="2621"/>
        <v>7172</v>
      </c>
      <c r="E15987" s="2">
        <f t="shared" si="2620"/>
        <v>40575</v>
      </c>
      <c r="F15987" s="2">
        <f t="shared" si="2622"/>
        <v>41182</v>
      </c>
    </row>
    <row r="15988" spans="1:6" x14ac:dyDescent="0.25">
      <c r="A15988" s="1" t="s">
        <v>4</v>
      </c>
      <c r="B15988" s="1" t="s">
        <v>2595</v>
      </c>
      <c r="C15988" s="1" t="s">
        <v>236</v>
      </c>
      <c r="D15988" s="3">
        <f t="shared" si="2621"/>
        <v>7172</v>
      </c>
      <c r="E15988" s="2">
        <f t="shared" si="2620"/>
        <v>40575</v>
      </c>
      <c r="F15988" s="2">
        <f t="shared" si="2622"/>
        <v>41182</v>
      </c>
    </row>
    <row r="15989" spans="1:6" x14ac:dyDescent="0.25">
      <c r="A15989" s="1" t="s">
        <v>4</v>
      </c>
      <c r="B15989" s="1" t="s">
        <v>2595</v>
      </c>
      <c r="C15989" s="1" t="s">
        <v>237</v>
      </c>
      <c r="D15989" s="3">
        <f t="shared" si="2621"/>
        <v>7172</v>
      </c>
      <c r="E15989" s="2">
        <f t="shared" si="2620"/>
        <v>40575</v>
      </c>
      <c r="F15989" s="2">
        <f t="shared" si="2622"/>
        <v>41182</v>
      </c>
    </row>
    <row r="15990" spans="1:6" x14ac:dyDescent="0.25">
      <c r="A15990" s="1" t="s">
        <v>4</v>
      </c>
      <c r="B15990" s="1" t="s">
        <v>2595</v>
      </c>
      <c r="C15990" s="1" t="s">
        <v>238</v>
      </c>
      <c r="D15990" s="3">
        <f t="shared" si="2621"/>
        <v>7172</v>
      </c>
      <c r="E15990" s="2">
        <f t="shared" si="2620"/>
        <v>40575</v>
      </c>
      <c r="F15990" s="2">
        <f t="shared" si="2622"/>
        <v>41182</v>
      </c>
    </row>
    <row r="15991" spans="1:6" x14ac:dyDescent="0.25">
      <c r="A15991" s="1" t="s">
        <v>4</v>
      </c>
      <c r="B15991" s="1" t="s">
        <v>2595</v>
      </c>
      <c r="C15991" s="1" t="s">
        <v>32</v>
      </c>
      <c r="D15991" s="3">
        <f t="shared" si="2621"/>
        <v>7172</v>
      </c>
      <c r="E15991" s="2">
        <f t="shared" si="2620"/>
        <v>40575</v>
      </c>
      <c r="F15991" s="2">
        <f t="shared" si="2622"/>
        <v>41182</v>
      </c>
    </row>
    <row r="15992" spans="1:6" x14ac:dyDescent="0.25">
      <c r="A15992" s="1" t="s">
        <v>4</v>
      </c>
      <c r="B15992" s="1" t="s">
        <v>2117</v>
      </c>
      <c r="C15992" s="1" t="s">
        <v>7</v>
      </c>
      <c r="D15992" s="3">
        <f t="shared" ref="D15992:D16022" si="2623">VALUE("7136")</f>
        <v>7136</v>
      </c>
      <c r="E15992" s="2">
        <f t="shared" ref="E15992:E16022" si="2624">DATEVALUE("1-11-2010")</f>
        <v>40483</v>
      </c>
      <c r="F15992" s="2">
        <f t="shared" ref="F15992:F16022" si="2625">DATEVALUE("31-12-2018")</f>
        <v>43465</v>
      </c>
    </row>
    <row r="15993" spans="1:6" x14ac:dyDescent="0.25">
      <c r="A15993" s="1" t="s">
        <v>4</v>
      </c>
      <c r="B15993" s="1" t="s">
        <v>2117</v>
      </c>
      <c r="C15993" s="1" t="s">
        <v>80</v>
      </c>
      <c r="D15993" s="3">
        <f t="shared" si="2623"/>
        <v>7136</v>
      </c>
      <c r="E15993" s="2">
        <f t="shared" si="2624"/>
        <v>40483</v>
      </c>
      <c r="F15993" s="2">
        <f t="shared" si="2625"/>
        <v>43465</v>
      </c>
    </row>
    <row r="15994" spans="1:6" x14ac:dyDescent="0.25">
      <c r="A15994" s="1" t="s">
        <v>4</v>
      </c>
      <c r="B15994" s="1" t="s">
        <v>2117</v>
      </c>
      <c r="C15994" s="1" t="s">
        <v>39</v>
      </c>
      <c r="D15994" s="3">
        <f t="shared" si="2623"/>
        <v>7136</v>
      </c>
      <c r="E15994" s="2">
        <f t="shared" si="2624"/>
        <v>40483</v>
      </c>
      <c r="F15994" s="2">
        <f t="shared" si="2625"/>
        <v>43465</v>
      </c>
    </row>
    <row r="15995" spans="1:6" x14ac:dyDescent="0.25">
      <c r="A15995" s="1" t="s">
        <v>4</v>
      </c>
      <c r="B15995" s="1" t="s">
        <v>2117</v>
      </c>
      <c r="C15995" s="1" t="s">
        <v>8</v>
      </c>
      <c r="D15995" s="3">
        <f t="shared" si="2623"/>
        <v>7136</v>
      </c>
      <c r="E15995" s="2">
        <f t="shared" si="2624"/>
        <v>40483</v>
      </c>
      <c r="F15995" s="2">
        <f t="shared" si="2625"/>
        <v>43465</v>
      </c>
    </row>
    <row r="15996" spans="1:6" x14ac:dyDescent="0.25">
      <c r="A15996" s="1" t="s">
        <v>4</v>
      </c>
      <c r="B15996" s="1" t="s">
        <v>2117</v>
      </c>
      <c r="C15996" s="1" t="s">
        <v>10</v>
      </c>
      <c r="D15996" s="3">
        <f t="shared" si="2623"/>
        <v>7136</v>
      </c>
      <c r="E15996" s="2">
        <f t="shared" si="2624"/>
        <v>40483</v>
      </c>
      <c r="F15996" s="2">
        <f t="shared" si="2625"/>
        <v>43465</v>
      </c>
    </row>
    <row r="15997" spans="1:6" x14ac:dyDescent="0.25">
      <c r="A15997" s="1" t="s">
        <v>4</v>
      </c>
      <c r="B15997" s="1" t="s">
        <v>2117</v>
      </c>
      <c r="C15997" s="1" t="s">
        <v>11</v>
      </c>
      <c r="D15997" s="3">
        <f t="shared" si="2623"/>
        <v>7136</v>
      </c>
      <c r="E15997" s="2">
        <f t="shared" si="2624"/>
        <v>40483</v>
      </c>
      <c r="F15997" s="2">
        <f t="shared" si="2625"/>
        <v>43465</v>
      </c>
    </row>
    <row r="15998" spans="1:6" x14ac:dyDescent="0.25">
      <c r="A15998" s="1" t="s">
        <v>4</v>
      </c>
      <c r="B15998" s="1" t="s">
        <v>2117</v>
      </c>
      <c r="C15998" s="1" t="s">
        <v>12</v>
      </c>
      <c r="D15998" s="3">
        <f t="shared" si="2623"/>
        <v>7136</v>
      </c>
      <c r="E15998" s="2">
        <f t="shared" si="2624"/>
        <v>40483</v>
      </c>
      <c r="F15998" s="2">
        <f t="shared" si="2625"/>
        <v>43465</v>
      </c>
    </row>
    <row r="15999" spans="1:6" x14ac:dyDescent="0.25">
      <c r="A15999" s="1" t="s">
        <v>4</v>
      </c>
      <c r="B15999" s="1" t="s">
        <v>2117</v>
      </c>
      <c r="C15999" s="1" t="s">
        <v>83</v>
      </c>
      <c r="D15999" s="3">
        <f t="shared" si="2623"/>
        <v>7136</v>
      </c>
      <c r="E15999" s="2">
        <f t="shared" si="2624"/>
        <v>40483</v>
      </c>
      <c r="F15999" s="2">
        <f t="shared" si="2625"/>
        <v>43465</v>
      </c>
    </row>
    <row r="16000" spans="1:6" x14ac:dyDescent="0.25">
      <c r="A16000" s="1" t="s">
        <v>4</v>
      </c>
      <c r="B16000" s="1" t="s">
        <v>2117</v>
      </c>
      <c r="C16000" s="1" t="s">
        <v>43</v>
      </c>
      <c r="D16000" s="3">
        <f t="shared" si="2623"/>
        <v>7136</v>
      </c>
      <c r="E16000" s="2">
        <f t="shared" si="2624"/>
        <v>40483</v>
      </c>
      <c r="F16000" s="2">
        <f t="shared" si="2625"/>
        <v>43465</v>
      </c>
    </row>
    <row r="16001" spans="1:6" x14ac:dyDescent="0.25">
      <c r="A16001" s="1" t="s">
        <v>4</v>
      </c>
      <c r="B16001" s="1" t="s">
        <v>2117</v>
      </c>
      <c r="C16001" s="1" t="s">
        <v>25</v>
      </c>
      <c r="D16001" s="3">
        <f t="shared" si="2623"/>
        <v>7136</v>
      </c>
      <c r="E16001" s="2">
        <f t="shared" si="2624"/>
        <v>40483</v>
      </c>
      <c r="F16001" s="2">
        <f t="shared" si="2625"/>
        <v>43465</v>
      </c>
    </row>
    <row r="16002" spans="1:6" x14ac:dyDescent="0.25">
      <c r="A16002" s="1" t="s">
        <v>4</v>
      </c>
      <c r="B16002" s="1" t="s">
        <v>2117</v>
      </c>
      <c r="C16002" s="1" t="s">
        <v>228</v>
      </c>
      <c r="D16002" s="3">
        <f t="shared" si="2623"/>
        <v>7136</v>
      </c>
      <c r="E16002" s="2">
        <f t="shared" si="2624"/>
        <v>40483</v>
      </c>
      <c r="F16002" s="2">
        <f t="shared" si="2625"/>
        <v>43465</v>
      </c>
    </row>
    <row r="16003" spans="1:6" x14ac:dyDescent="0.25">
      <c r="A16003" s="1" t="s">
        <v>4</v>
      </c>
      <c r="B16003" s="1" t="s">
        <v>2117</v>
      </c>
      <c r="C16003" s="1" t="s">
        <v>28</v>
      </c>
      <c r="D16003" s="3">
        <f t="shared" si="2623"/>
        <v>7136</v>
      </c>
      <c r="E16003" s="2">
        <f t="shared" si="2624"/>
        <v>40483</v>
      </c>
      <c r="F16003" s="2">
        <f t="shared" si="2625"/>
        <v>43465</v>
      </c>
    </row>
    <row r="16004" spans="1:6" x14ac:dyDescent="0.25">
      <c r="A16004" s="1" t="s">
        <v>4</v>
      </c>
      <c r="B16004" s="1" t="s">
        <v>2117</v>
      </c>
      <c r="C16004" s="1" t="s">
        <v>229</v>
      </c>
      <c r="D16004" s="3">
        <f t="shared" si="2623"/>
        <v>7136</v>
      </c>
      <c r="E16004" s="2">
        <f t="shared" si="2624"/>
        <v>40483</v>
      </c>
      <c r="F16004" s="2">
        <f t="shared" si="2625"/>
        <v>43465</v>
      </c>
    </row>
    <row r="16005" spans="1:6" x14ac:dyDescent="0.25">
      <c r="A16005" s="1" t="s">
        <v>4</v>
      </c>
      <c r="B16005" s="1" t="s">
        <v>2117</v>
      </c>
      <c r="C16005" s="1" t="s">
        <v>29</v>
      </c>
      <c r="D16005" s="3">
        <f t="shared" si="2623"/>
        <v>7136</v>
      </c>
      <c r="E16005" s="2">
        <f t="shared" si="2624"/>
        <v>40483</v>
      </c>
      <c r="F16005" s="2">
        <f t="shared" si="2625"/>
        <v>43465</v>
      </c>
    </row>
    <row r="16006" spans="1:6" x14ac:dyDescent="0.25">
      <c r="A16006" s="1" t="s">
        <v>4</v>
      </c>
      <c r="B16006" s="1" t="s">
        <v>2117</v>
      </c>
      <c r="C16006" s="1" t="s">
        <v>230</v>
      </c>
      <c r="D16006" s="3">
        <f t="shared" si="2623"/>
        <v>7136</v>
      </c>
      <c r="E16006" s="2">
        <f t="shared" si="2624"/>
        <v>40483</v>
      </c>
      <c r="F16006" s="2">
        <f t="shared" si="2625"/>
        <v>43465</v>
      </c>
    </row>
    <row r="16007" spans="1:6" x14ac:dyDescent="0.25">
      <c r="A16007" s="1" t="s">
        <v>4</v>
      </c>
      <c r="B16007" s="1" t="s">
        <v>2117</v>
      </c>
      <c r="C16007" s="1" t="s">
        <v>232</v>
      </c>
      <c r="D16007" s="3">
        <f t="shared" si="2623"/>
        <v>7136</v>
      </c>
      <c r="E16007" s="2">
        <f t="shared" si="2624"/>
        <v>40483</v>
      </c>
      <c r="F16007" s="2">
        <f t="shared" si="2625"/>
        <v>43465</v>
      </c>
    </row>
    <row r="16008" spans="1:6" x14ac:dyDescent="0.25">
      <c r="A16008" s="1" t="s">
        <v>4</v>
      </c>
      <c r="B16008" s="1" t="s">
        <v>2117</v>
      </c>
      <c r="C16008" s="1" t="s">
        <v>234</v>
      </c>
      <c r="D16008" s="3">
        <f t="shared" si="2623"/>
        <v>7136</v>
      </c>
      <c r="E16008" s="2">
        <f t="shared" si="2624"/>
        <v>40483</v>
      </c>
      <c r="F16008" s="2">
        <f t="shared" si="2625"/>
        <v>43465</v>
      </c>
    </row>
    <row r="16009" spans="1:6" x14ac:dyDescent="0.25">
      <c r="A16009" s="1" t="s">
        <v>4</v>
      </c>
      <c r="B16009" s="1" t="s">
        <v>2117</v>
      </c>
      <c r="C16009" s="1" t="s">
        <v>30</v>
      </c>
      <c r="D16009" s="3">
        <f t="shared" si="2623"/>
        <v>7136</v>
      </c>
      <c r="E16009" s="2">
        <f t="shared" si="2624"/>
        <v>40483</v>
      </c>
      <c r="F16009" s="2">
        <f t="shared" si="2625"/>
        <v>43465</v>
      </c>
    </row>
    <row r="16010" spans="1:6" x14ac:dyDescent="0.25">
      <c r="A16010" s="1" t="s">
        <v>4</v>
      </c>
      <c r="B16010" s="1" t="s">
        <v>2117</v>
      </c>
      <c r="C16010" s="1" t="s">
        <v>235</v>
      </c>
      <c r="D16010" s="3">
        <f t="shared" si="2623"/>
        <v>7136</v>
      </c>
      <c r="E16010" s="2">
        <f t="shared" si="2624"/>
        <v>40483</v>
      </c>
      <c r="F16010" s="2">
        <f t="shared" si="2625"/>
        <v>43465</v>
      </c>
    </row>
    <row r="16011" spans="1:6" x14ac:dyDescent="0.25">
      <c r="A16011" s="1" t="s">
        <v>4</v>
      </c>
      <c r="B16011" s="1" t="s">
        <v>2117</v>
      </c>
      <c r="C16011" s="1" t="s">
        <v>236</v>
      </c>
      <c r="D16011" s="3">
        <f t="shared" si="2623"/>
        <v>7136</v>
      </c>
      <c r="E16011" s="2">
        <f t="shared" si="2624"/>
        <v>40483</v>
      </c>
      <c r="F16011" s="2">
        <f t="shared" si="2625"/>
        <v>43465</v>
      </c>
    </row>
    <row r="16012" spans="1:6" x14ac:dyDescent="0.25">
      <c r="A16012" s="1" t="s">
        <v>4</v>
      </c>
      <c r="B16012" s="1" t="s">
        <v>2117</v>
      </c>
      <c r="C16012" s="1" t="s">
        <v>237</v>
      </c>
      <c r="D16012" s="3">
        <f t="shared" si="2623"/>
        <v>7136</v>
      </c>
      <c r="E16012" s="2">
        <f t="shared" si="2624"/>
        <v>40483</v>
      </c>
      <c r="F16012" s="2">
        <f t="shared" si="2625"/>
        <v>43465</v>
      </c>
    </row>
    <row r="16013" spans="1:6" x14ac:dyDescent="0.25">
      <c r="A16013" s="1" t="s">
        <v>4</v>
      </c>
      <c r="B16013" s="1" t="s">
        <v>2117</v>
      </c>
      <c r="C16013" s="1" t="s">
        <v>238</v>
      </c>
      <c r="D16013" s="3">
        <f t="shared" si="2623"/>
        <v>7136</v>
      </c>
      <c r="E16013" s="2">
        <f t="shared" si="2624"/>
        <v>40483</v>
      </c>
      <c r="F16013" s="2">
        <f t="shared" si="2625"/>
        <v>43465</v>
      </c>
    </row>
    <row r="16014" spans="1:6" x14ac:dyDescent="0.25">
      <c r="A16014" s="1" t="s">
        <v>4</v>
      </c>
      <c r="B16014" s="1" t="s">
        <v>2117</v>
      </c>
      <c r="C16014" s="1" t="s">
        <v>105</v>
      </c>
      <c r="D16014" s="3">
        <f t="shared" si="2623"/>
        <v>7136</v>
      </c>
      <c r="E16014" s="2">
        <f t="shared" si="2624"/>
        <v>40483</v>
      </c>
      <c r="F16014" s="2">
        <f t="shared" si="2625"/>
        <v>43465</v>
      </c>
    </row>
    <row r="16015" spans="1:6" x14ac:dyDescent="0.25">
      <c r="A16015" s="1" t="s">
        <v>4</v>
      </c>
      <c r="B16015" s="1" t="s">
        <v>2117</v>
      </c>
      <c r="C16015" s="1" t="s">
        <v>106</v>
      </c>
      <c r="D16015" s="3">
        <f t="shared" si="2623"/>
        <v>7136</v>
      </c>
      <c r="E16015" s="2">
        <f t="shared" si="2624"/>
        <v>40483</v>
      </c>
      <c r="F16015" s="2">
        <f t="shared" si="2625"/>
        <v>43465</v>
      </c>
    </row>
    <row r="16016" spans="1:6" x14ac:dyDescent="0.25">
      <c r="A16016" s="1" t="s">
        <v>4</v>
      </c>
      <c r="B16016" s="1" t="s">
        <v>2117</v>
      </c>
      <c r="C16016" s="1" t="s">
        <v>32</v>
      </c>
      <c r="D16016" s="3">
        <f t="shared" si="2623"/>
        <v>7136</v>
      </c>
      <c r="E16016" s="2">
        <f t="shared" si="2624"/>
        <v>40483</v>
      </c>
      <c r="F16016" s="2">
        <f t="shared" si="2625"/>
        <v>43465</v>
      </c>
    </row>
    <row r="16017" spans="1:6" x14ac:dyDescent="0.25">
      <c r="A16017" s="1" t="s">
        <v>4</v>
      </c>
      <c r="B16017" s="1" t="s">
        <v>2117</v>
      </c>
      <c r="C16017" s="1" t="s">
        <v>113</v>
      </c>
      <c r="D16017" s="3">
        <f t="shared" si="2623"/>
        <v>7136</v>
      </c>
      <c r="E16017" s="2">
        <f t="shared" si="2624"/>
        <v>40483</v>
      </c>
      <c r="F16017" s="2">
        <f t="shared" si="2625"/>
        <v>43465</v>
      </c>
    </row>
    <row r="16018" spans="1:6" x14ac:dyDescent="0.25">
      <c r="A16018" s="1" t="s">
        <v>4</v>
      </c>
      <c r="B16018" s="1" t="s">
        <v>2117</v>
      </c>
      <c r="C16018" s="1" t="s">
        <v>33</v>
      </c>
      <c r="D16018" s="3">
        <f t="shared" si="2623"/>
        <v>7136</v>
      </c>
      <c r="E16018" s="2">
        <f t="shared" si="2624"/>
        <v>40483</v>
      </c>
      <c r="F16018" s="2">
        <f t="shared" si="2625"/>
        <v>43465</v>
      </c>
    </row>
    <row r="16019" spans="1:6" x14ac:dyDescent="0.25">
      <c r="A16019" s="1" t="s">
        <v>4</v>
      </c>
      <c r="B16019" s="1" t="s">
        <v>2117</v>
      </c>
      <c r="C16019" s="1" t="s">
        <v>164</v>
      </c>
      <c r="D16019" s="3">
        <f t="shared" si="2623"/>
        <v>7136</v>
      </c>
      <c r="E16019" s="2">
        <f t="shared" si="2624"/>
        <v>40483</v>
      </c>
      <c r="F16019" s="2">
        <f t="shared" si="2625"/>
        <v>43465</v>
      </c>
    </row>
    <row r="16020" spans="1:6" x14ac:dyDescent="0.25">
      <c r="A16020" s="1" t="s">
        <v>4</v>
      </c>
      <c r="B16020" s="1" t="s">
        <v>2117</v>
      </c>
      <c r="C16020" s="1" t="s">
        <v>116</v>
      </c>
      <c r="D16020" s="3">
        <f t="shared" si="2623"/>
        <v>7136</v>
      </c>
      <c r="E16020" s="2">
        <f t="shared" si="2624"/>
        <v>40483</v>
      </c>
      <c r="F16020" s="2">
        <f t="shared" si="2625"/>
        <v>43465</v>
      </c>
    </row>
    <row r="16021" spans="1:6" x14ac:dyDescent="0.25">
      <c r="A16021" s="1" t="s">
        <v>4</v>
      </c>
      <c r="B16021" s="1" t="s">
        <v>2117</v>
      </c>
      <c r="C16021" s="1" t="s">
        <v>57</v>
      </c>
      <c r="D16021" s="3">
        <f t="shared" si="2623"/>
        <v>7136</v>
      </c>
      <c r="E16021" s="2">
        <f t="shared" si="2624"/>
        <v>40483</v>
      </c>
      <c r="F16021" s="2">
        <f t="shared" si="2625"/>
        <v>43465</v>
      </c>
    </row>
    <row r="16022" spans="1:6" x14ac:dyDescent="0.25">
      <c r="A16022" s="1" t="s">
        <v>4</v>
      </c>
      <c r="B16022" s="1" t="s">
        <v>2117</v>
      </c>
      <c r="C16022" s="1" t="s">
        <v>36</v>
      </c>
      <c r="D16022" s="3">
        <f t="shared" si="2623"/>
        <v>7136</v>
      </c>
      <c r="E16022" s="2">
        <f t="shared" si="2624"/>
        <v>40483</v>
      </c>
      <c r="F16022" s="2">
        <f t="shared" si="2625"/>
        <v>43465</v>
      </c>
    </row>
    <row r="16023" spans="1:6" x14ac:dyDescent="0.25">
      <c r="A16023" s="1" t="s">
        <v>4</v>
      </c>
      <c r="B16023" s="1" t="s">
        <v>190</v>
      </c>
      <c r="C16023" s="1" t="s">
        <v>7</v>
      </c>
      <c r="D16023" s="3">
        <f t="shared" ref="D16023:D16045" si="2626">VALUE("7062")</f>
        <v>7062</v>
      </c>
      <c r="E16023" s="2">
        <f t="shared" ref="E16023:E16045" si="2627">DATEVALUE("1-5-2010")</f>
        <v>40299</v>
      </c>
      <c r="F16023" s="2">
        <f t="shared" ref="F16023:F16045" si="2628">DATEVALUE("31-5-2022")</f>
        <v>44712</v>
      </c>
    </row>
    <row r="16024" spans="1:6" x14ac:dyDescent="0.25">
      <c r="A16024" s="1" t="s">
        <v>4</v>
      </c>
      <c r="B16024" s="1" t="s">
        <v>190</v>
      </c>
      <c r="C16024" s="1" t="s">
        <v>6</v>
      </c>
      <c r="D16024" s="3">
        <f t="shared" si="2626"/>
        <v>7062</v>
      </c>
      <c r="E16024" s="2">
        <f t="shared" si="2627"/>
        <v>40299</v>
      </c>
      <c r="F16024" s="2">
        <f t="shared" si="2628"/>
        <v>44712</v>
      </c>
    </row>
    <row r="16025" spans="1:6" x14ac:dyDescent="0.25">
      <c r="A16025" s="1" t="s">
        <v>4</v>
      </c>
      <c r="B16025" s="1" t="s">
        <v>190</v>
      </c>
      <c r="C16025" s="1" t="s">
        <v>191</v>
      </c>
      <c r="D16025" s="3">
        <f t="shared" si="2626"/>
        <v>7062</v>
      </c>
      <c r="E16025" s="2">
        <f t="shared" si="2627"/>
        <v>40299</v>
      </c>
      <c r="F16025" s="2">
        <f t="shared" si="2628"/>
        <v>44712</v>
      </c>
    </row>
    <row r="16026" spans="1:6" x14ac:dyDescent="0.25">
      <c r="A16026" s="1" t="s">
        <v>4</v>
      </c>
      <c r="B16026" s="1" t="s">
        <v>190</v>
      </c>
      <c r="C16026" s="1" t="s">
        <v>8</v>
      </c>
      <c r="D16026" s="3">
        <f t="shared" si="2626"/>
        <v>7062</v>
      </c>
      <c r="E16026" s="2">
        <f t="shared" si="2627"/>
        <v>40299</v>
      </c>
      <c r="F16026" s="2">
        <f t="shared" si="2628"/>
        <v>44712</v>
      </c>
    </row>
    <row r="16027" spans="1:6" x14ac:dyDescent="0.25">
      <c r="A16027" s="1" t="s">
        <v>4</v>
      </c>
      <c r="B16027" s="1" t="s">
        <v>190</v>
      </c>
      <c r="C16027" s="1" t="s">
        <v>10</v>
      </c>
      <c r="D16027" s="3">
        <f t="shared" si="2626"/>
        <v>7062</v>
      </c>
      <c r="E16027" s="2">
        <f t="shared" si="2627"/>
        <v>40299</v>
      </c>
      <c r="F16027" s="2">
        <f t="shared" si="2628"/>
        <v>44712</v>
      </c>
    </row>
    <row r="16028" spans="1:6" x14ac:dyDescent="0.25">
      <c r="A16028" s="1" t="s">
        <v>4</v>
      </c>
      <c r="B16028" s="1" t="s">
        <v>190</v>
      </c>
      <c r="C16028" s="1" t="s">
        <v>11</v>
      </c>
      <c r="D16028" s="3">
        <f t="shared" si="2626"/>
        <v>7062</v>
      </c>
      <c r="E16028" s="2">
        <f t="shared" si="2627"/>
        <v>40299</v>
      </c>
      <c r="F16028" s="2">
        <f t="shared" si="2628"/>
        <v>44712</v>
      </c>
    </row>
    <row r="16029" spans="1:6" x14ac:dyDescent="0.25">
      <c r="A16029" s="1" t="s">
        <v>4</v>
      </c>
      <c r="B16029" s="1" t="s">
        <v>190</v>
      </c>
      <c r="C16029" s="1" t="s">
        <v>12</v>
      </c>
      <c r="D16029" s="3">
        <f t="shared" si="2626"/>
        <v>7062</v>
      </c>
      <c r="E16029" s="2">
        <f t="shared" si="2627"/>
        <v>40299</v>
      </c>
      <c r="F16029" s="2">
        <f t="shared" si="2628"/>
        <v>44712</v>
      </c>
    </row>
    <row r="16030" spans="1:6" x14ac:dyDescent="0.25">
      <c r="A16030" s="1" t="s">
        <v>4</v>
      </c>
      <c r="B16030" s="1" t="s">
        <v>190</v>
      </c>
      <c r="C16030" s="1" t="s">
        <v>192</v>
      </c>
      <c r="D16030" s="3">
        <f t="shared" si="2626"/>
        <v>7062</v>
      </c>
      <c r="E16030" s="2">
        <f t="shared" si="2627"/>
        <v>40299</v>
      </c>
      <c r="F16030" s="2">
        <f t="shared" si="2628"/>
        <v>44712</v>
      </c>
    </row>
    <row r="16031" spans="1:6" x14ac:dyDescent="0.25">
      <c r="A16031" s="1" t="s">
        <v>4</v>
      </c>
      <c r="B16031" s="1" t="s">
        <v>190</v>
      </c>
      <c r="C16031" s="1" t="s">
        <v>61</v>
      </c>
      <c r="D16031" s="3">
        <f t="shared" si="2626"/>
        <v>7062</v>
      </c>
      <c r="E16031" s="2">
        <f t="shared" si="2627"/>
        <v>40299</v>
      </c>
      <c r="F16031" s="2">
        <f t="shared" si="2628"/>
        <v>44712</v>
      </c>
    </row>
    <row r="16032" spans="1:6" x14ac:dyDescent="0.25">
      <c r="A16032" s="1" t="s">
        <v>4</v>
      </c>
      <c r="B16032" s="1" t="s">
        <v>190</v>
      </c>
      <c r="C16032" s="1" t="s">
        <v>13</v>
      </c>
      <c r="D16032" s="3">
        <f t="shared" si="2626"/>
        <v>7062</v>
      </c>
      <c r="E16032" s="2">
        <f t="shared" si="2627"/>
        <v>40299</v>
      </c>
      <c r="F16032" s="2">
        <f t="shared" si="2628"/>
        <v>44712</v>
      </c>
    </row>
    <row r="16033" spans="1:6" x14ac:dyDescent="0.25">
      <c r="A16033" s="1" t="s">
        <v>4</v>
      </c>
      <c r="B16033" s="1" t="s">
        <v>190</v>
      </c>
      <c r="C16033" s="1" t="s">
        <v>45</v>
      </c>
      <c r="D16033" s="3">
        <f t="shared" si="2626"/>
        <v>7062</v>
      </c>
      <c r="E16033" s="2">
        <f t="shared" si="2627"/>
        <v>40299</v>
      </c>
      <c r="F16033" s="2">
        <f t="shared" si="2628"/>
        <v>44712</v>
      </c>
    </row>
    <row r="16034" spans="1:6" x14ac:dyDescent="0.25">
      <c r="A16034" s="1" t="s">
        <v>4</v>
      </c>
      <c r="B16034" s="1" t="s">
        <v>190</v>
      </c>
      <c r="C16034" s="1" t="s">
        <v>44</v>
      </c>
      <c r="D16034" s="3">
        <f t="shared" si="2626"/>
        <v>7062</v>
      </c>
      <c r="E16034" s="2">
        <f t="shared" si="2627"/>
        <v>40299</v>
      </c>
      <c r="F16034" s="2">
        <f t="shared" si="2628"/>
        <v>44712</v>
      </c>
    </row>
    <row r="16035" spans="1:6" x14ac:dyDescent="0.25">
      <c r="A16035" s="1" t="s">
        <v>4</v>
      </c>
      <c r="B16035" s="1" t="s">
        <v>190</v>
      </c>
      <c r="C16035" s="1" t="s">
        <v>46</v>
      </c>
      <c r="D16035" s="3">
        <f t="shared" si="2626"/>
        <v>7062</v>
      </c>
      <c r="E16035" s="2">
        <f t="shared" si="2627"/>
        <v>40299</v>
      </c>
      <c r="F16035" s="2">
        <f t="shared" si="2628"/>
        <v>44712</v>
      </c>
    </row>
    <row r="16036" spans="1:6" x14ac:dyDescent="0.25">
      <c r="A16036" s="1" t="s">
        <v>4</v>
      </c>
      <c r="B16036" s="1" t="s">
        <v>190</v>
      </c>
      <c r="C16036" s="1" t="s">
        <v>16</v>
      </c>
      <c r="D16036" s="3">
        <f t="shared" si="2626"/>
        <v>7062</v>
      </c>
      <c r="E16036" s="2">
        <f t="shared" si="2627"/>
        <v>40299</v>
      </c>
      <c r="F16036" s="2">
        <f t="shared" si="2628"/>
        <v>44712</v>
      </c>
    </row>
    <row r="16037" spans="1:6" x14ac:dyDescent="0.25">
      <c r="A16037" s="1" t="s">
        <v>4</v>
      </c>
      <c r="B16037" s="1" t="s">
        <v>190</v>
      </c>
      <c r="C16037" s="1" t="s">
        <v>88</v>
      </c>
      <c r="D16037" s="3">
        <f t="shared" si="2626"/>
        <v>7062</v>
      </c>
      <c r="E16037" s="2">
        <f t="shared" si="2627"/>
        <v>40299</v>
      </c>
      <c r="F16037" s="2">
        <f t="shared" si="2628"/>
        <v>44712</v>
      </c>
    </row>
    <row r="16038" spans="1:6" x14ac:dyDescent="0.25">
      <c r="A16038" s="1" t="s">
        <v>4</v>
      </c>
      <c r="B16038" s="1" t="s">
        <v>190</v>
      </c>
      <c r="C16038" s="1" t="s">
        <v>17</v>
      </c>
      <c r="D16038" s="3">
        <f t="shared" si="2626"/>
        <v>7062</v>
      </c>
      <c r="E16038" s="2">
        <f t="shared" si="2627"/>
        <v>40299</v>
      </c>
      <c r="F16038" s="2">
        <f t="shared" si="2628"/>
        <v>44712</v>
      </c>
    </row>
    <row r="16039" spans="1:6" x14ac:dyDescent="0.25">
      <c r="A16039" s="1" t="s">
        <v>4</v>
      </c>
      <c r="B16039" s="1" t="s">
        <v>190</v>
      </c>
      <c r="C16039" s="1" t="s">
        <v>193</v>
      </c>
      <c r="D16039" s="3">
        <f t="shared" si="2626"/>
        <v>7062</v>
      </c>
      <c r="E16039" s="2">
        <f t="shared" si="2627"/>
        <v>40299</v>
      </c>
      <c r="F16039" s="2">
        <f t="shared" si="2628"/>
        <v>44712</v>
      </c>
    </row>
    <row r="16040" spans="1:6" x14ac:dyDescent="0.25">
      <c r="A16040" s="1" t="s">
        <v>4</v>
      </c>
      <c r="B16040" s="1" t="s">
        <v>190</v>
      </c>
      <c r="C16040" s="1" t="s">
        <v>20</v>
      </c>
      <c r="D16040" s="3">
        <f t="shared" si="2626"/>
        <v>7062</v>
      </c>
      <c r="E16040" s="2">
        <f t="shared" si="2627"/>
        <v>40299</v>
      </c>
      <c r="F16040" s="2">
        <f t="shared" si="2628"/>
        <v>44712</v>
      </c>
    </row>
    <row r="16041" spans="1:6" x14ac:dyDescent="0.25">
      <c r="A16041" s="1" t="s">
        <v>4</v>
      </c>
      <c r="B16041" s="1" t="s">
        <v>190</v>
      </c>
      <c r="C16041" s="1" t="s">
        <v>22</v>
      </c>
      <c r="D16041" s="3">
        <f t="shared" si="2626"/>
        <v>7062</v>
      </c>
      <c r="E16041" s="2">
        <f t="shared" si="2627"/>
        <v>40299</v>
      </c>
      <c r="F16041" s="2">
        <f t="shared" si="2628"/>
        <v>44712</v>
      </c>
    </row>
    <row r="16042" spans="1:6" x14ac:dyDescent="0.25">
      <c r="A16042" s="1" t="s">
        <v>4</v>
      </c>
      <c r="B16042" s="1" t="s">
        <v>190</v>
      </c>
      <c r="C16042" s="1" t="s">
        <v>23</v>
      </c>
      <c r="D16042" s="3">
        <f t="shared" si="2626"/>
        <v>7062</v>
      </c>
      <c r="E16042" s="2">
        <f t="shared" si="2627"/>
        <v>40299</v>
      </c>
      <c r="F16042" s="2">
        <f t="shared" si="2628"/>
        <v>44712</v>
      </c>
    </row>
    <row r="16043" spans="1:6" x14ac:dyDescent="0.25">
      <c r="A16043" s="1" t="s">
        <v>4</v>
      </c>
      <c r="B16043" s="1" t="s">
        <v>190</v>
      </c>
      <c r="C16043" s="1" t="s">
        <v>92</v>
      </c>
      <c r="D16043" s="3">
        <f t="shared" si="2626"/>
        <v>7062</v>
      </c>
      <c r="E16043" s="2">
        <f t="shared" si="2627"/>
        <v>40299</v>
      </c>
      <c r="F16043" s="2">
        <f t="shared" si="2628"/>
        <v>44712</v>
      </c>
    </row>
    <row r="16044" spans="1:6" x14ac:dyDescent="0.25">
      <c r="A16044" s="1" t="s">
        <v>4</v>
      </c>
      <c r="B16044" s="1" t="s">
        <v>190</v>
      </c>
      <c r="C16044" s="1" t="s">
        <v>194</v>
      </c>
      <c r="D16044" s="3">
        <f t="shared" si="2626"/>
        <v>7062</v>
      </c>
      <c r="E16044" s="2">
        <f t="shared" si="2627"/>
        <v>40299</v>
      </c>
      <c r="F16044" s="2">
        <f t="shared" si="2628"/>
        <v>44712</v>
      </c>
    </row>
    <row r="16045" spans="1:6" x14ac:dyDescent="0.25">
      <c r="A16045" s="1" t="s">
        <v>4</v>
      </c>
      <c r="B16045" s="1" t="s">
        <v>190</v>
      </c>
      <c r="C16045" s="1" t="s">
        <v>32</v>
      </c>
      <c r="D16045" s="3">
        <f t="shared" si="2626"/>
        <v>7062</v>
      </c>
      <c r="E16045" s="2">
        <f t="shared" si="2627"/>
        <v>40299</v>
      </c>
      <c r="F16045" s="2">
        <f t="shared" si="2628"/>
        <v>44712</v>
      </c>
    </row>
    <row r="16046" spans="1:6" x14ac:dyDescent="0.25">
      <c r="A16046" s="1" t="s">
        <v>4</v>
      </c>
      <c r="B16046" s="1" t="s">
        <v>171</v>
      </c>
      <c r="C16046" s="1" t="s">
        <v>8</v>
      </c>
      <c r="D16046" s="3">
        <f t="shared" ref="D16046:D16062" si="2629">VALUE("7020")</f>
        <v>7020</v>
      </c>
      <c r="E16046" s="2">
        <f t="shared" ref="E16046:E16062" si="2630">DATEVALUE("1-1-2010")</f>
        <v>40179</v>
      </c>
      <c r="F16046" s="2">
        <f t="shared" ref="F16046:F16062" si="2631">DATEVALUE("31-12-2025")</f>
        <v>46022</v>
      </c>
    </row>
    <row r="16047" spans="1:6" x14ac:dyDescent="0.25">
      <c r="A16047" s="1" t="s">
        <v>4</v>
      </c>
      <c r="B16047" s="1" t="s">
        <v>171</v>
      </c>
      <c r="C16047" s="1" t="s">
        <v>10</v>
      </c>
      <c r="D16047" s="3">
        <f t="shared" si="2629"/>
        <v>7020</v>
      </c>
      <c r="E16047" s="2">
        <f t="shared" si="2630"/>
        <v>40179</v>
      </c>
      <c r="F16047" s="2">
        <f t="shared" si="2631"/>
        <v>46022</v>
      </c>
    </row>
    <row r="16048" spans="1:6" x14ac:dyDescent="0.25">
      <c r="A16048" s="1" t="s">
        <v>4</v>
      </c>
      <c r="B16048" s="1" t="s">
        <v>171</v>
      </c>
      <c r="C16048" s="1" t="s">
        <v>11</v>
      </c>
      <c r="D16048" s="3">
        <f t="shared" si="2629"/>
        <v>7020</v>
      </c>
      <c r="E16048" s="2">
        <f t="shared" si="2630"/>
        <v>40179</v>
      </c>
      <c r="F16048" s="2">
        <f t="shared" si="2631"/>
        <v>46022</v>
      </c>
    </row>
    <row r="16049" spans="1:6" x14ac:dyDescent="0.25">
      <c r="A16049" s="1" t="s">
        <v>4</v>
      </c>
      <c r="B16049" s="1" t="s">
        <v>171</v>
      </c>
      <c r="C16049" s="1" t="s">
        <v>12</v>
      </c>
      <c r="D16049" s="3">
        <f t="shared" si="2629"/>
        <v>7020</v>
      </c>
      <c r="E16049" s="2">
        <f t="shared" si="2630"/>
        <v>40179</v>
      </c>
      <c r="F16049" s="2">
        <f t="shared" si="2631"/>
        <v>46022</v>
      </c>
    </row>
    <row r="16050" spans="1:6" x14ac:dyDescent="0.25">
      <c r="A16050" s="1" t="s">
        <v>4</v>
      </c>
      <c r="B16050" s="1" t="s">
        <v>171</v>
      </c>
      <c r="C16050" s="1" t="s">
        <v>45</v>
      </c>
      <c r="D16050" s="3">
        <f t="shared" si="2629"/>
        <v>7020</v>
      </c>
      <c r="E16050" s="2">
        <f t="shared" si="2630"/>
        <v>40179</v>
      </c>
      <c r="F16050" s="2">
        <f t="shared" si="2631"/>
        <v>46022</v>
      </c>
    </row>
    <row r="16051" spans="1:6" x14ac:dyDescent="0.25">
      <c r="A16051" s="1" t="s">
        <v>4</v>
      </c>
      <c r="B16051" s="1" t="s">
        <v>171</v>
      </c>
      <c r="C16051" s="1" t="s">
        <v>14</v>
      </c>
      <c r="D16051" s="3">
        <f t="shared" si="2629"/>
        <v>7020</v>
      </c>
      <c r="E16051" s="2">
        <f t="shared" si="2630"/>
        <v>40179</v>
      </c>
      <c r="F16051" s="2">
        <f t="shared" si="2631"/>
        <v>46022</v>
      </c>
    </row>
    <row r="16052" spans="1:6" x14ac:dyDescent="0.25">
      <c r="A16052" s="1" t="s">
        <v>4</v>
      </c>
      <c r="B16052" s="1" t="s">
        <v>171</v>
      </c>
      <c r="C16052" s="1" t="s">
        <v>15</v>
      </c>
      <c r="D16052" s="3">
        <f t="shared" si="2629"/>
        <v>7020</v>
      </c>
      <c r="E16052" s="2">
        <f t="shared" si="2630"/>
        <v>40179</v>
      </c>
      <c r="F16052" s="2">
        <f t="shared" si="2631"/>
        <v>46022</v>
      </c>
    </row>
    <row r="16053" spans="1:6" x14ac:dyDescent="0.25">
      <c r="A16053" s="1" t="s">
        <v>4</v>
      </c>
      <c r="B16053" s="1" t="s">
        <v>171</v>
      </c>
      <c r="C16053" s="1" t="s">
        <v>17</v>
      </c>
      <c r="D16053" s="3">
        <f t="shared" si="2629"/>
        <v>7020</v>
      </c>
      <c r="E16053" s="2">
        <f t="shared" si="2630"/>
        <v>40179</v>
      </c>
      <c r="F16053" s="2">
        <f t="shared" si="2631"/>
        <v>46022</v>
      </c>
    </row>
    <row r="16054" spans="1:6" x14ac:dyDescent="0.25">
      <c r="A16054" s="1" t="s">
        <v>4</v>
      </c>
      <c r="B16054" s="1" t="s">
        <v>171</v>
      </c>
      <c r="C16054" s="1" t="s">
        <v>22</v>
      </c>
      <c r="D16054" s="3">
        <f t="shared" si="2629"/>
        <v>7020</v>
      </c>
      <c r="E16054" s="2">
        <f t="shared" si="2630"/>
        <v>40179</v>
      </c>
      <c r="F16054" s="2">
        <f t="shared" si="2631"/>
        <v>46022</v>
      </c>
    </row>
    <row r="16055" spans="1:6" x14ac:dyDescent="0.25">
      <c r="A16055" s="1" t="s">
        <v>4</v>
      </c>
      <c r="B16055" s="1" t="s">
        <v>171</v>
      </c>
      <c r="C16055" s="1" t="s">
        <v>172</v>
      </c>
      <c r="D16055" s="3">
        <f t="shared" si="2629"/>
        <v>7020</v>
      </c>
      <c r="E16055" s="2">
        <f t="shared" si="2630"/>
        <v>40179</v>
      </c>
      <c r="F16055" s="2">
        <f t="shared" si="2631"/>
        <v>46022</v>
      </c>
    </row>
    <row r="16056" spans="1:6" x14ac:dyDescent="0.25">
      <c r="A16056" s="1" t="s">
        <v>4</v>
      </c>
      <c r="B16056" s="1" t="s">
        <v>171</v>
      </c>
      <c r="C16056" s="1" t="s">
        <v>24</v>
      </c>
      <c r="D16056" s="3">
        <f t="shared" si="2629"/>
        <v>7020</v>
      </c>
      <c r="E16056" s="2">
        <f t="shared" si="2630"/>
        <v>40179</v>
      </c>
      <c r="F16056" s="2">
        <f t="shared" si="2631"/>
        <v>46022</v>
      </c>
    </row>
    <row r="16057" spans="1:6" x14ac:dyDescent="0.25">
      <c r="A16057" s="1" t="s">
        <v>4</v>
      </c>
      <c r="B16057" s="1" t="s">
        <v>171</v>
      </c>
      <c r="C16057" s="1" t="s">
        <v>32</v>
      </c>
      <c r="D16057" s="3">
        <f t="shared" si="2629"/>
        <v>7020</v>
      </c>
      <c r="E16057" s="2">
        <f t="shared" si="2630"/>
        <v>40179</v>
      </c>
      <c r="F16057" s="2">
        <f t="shared" si="2631"/>
        <v>46022</v>
      </c>
    </row>
    <row r="16058" spans="1:6" x14ac:dyDescent="0.25">
      <c r="A16058" s="1" t="s">
        <v>4</v>
      </c>
      <c r="B16058" s="1" t="s">
        <v>171</v>
      </c>
      <c r="C16058" s="1" t="s">
        <v>113</v>
      </c>
      <c r="D16058" s="3">
        <f t="shared" si="2629"/>
        <v>7020</v>
      </c>
      <c r="E16058" s="2">
        <f t="shared" si="2630"/>
        <v>40179</v>
      </c>
      <c r="F16058" s="2">
        <f t="shared" si="2631"/>
        <v>46022</v>
      </c>
    </row>
    <row r="16059" spans="1:6" x14ac:dyDescent="0.25">
      <c r="A16059" s="1" t="s">
        <v>4</v>
      </c>
      <c r="B16059" s="1" t="s">
        <v>171</v>
      </c>
      <c r="C16059" s="1" t="s">
        <v>34</v>
      </c>
      <c r="D16059" s="3">
        <f t="shared" si="2629"/>
        <v>7020</v>
      </c>
      <c r="E16059" s="2">
        <f t="shared" si="2630"/>
        <v>40179</v>
      </c>
      <c r="F16059" s="2">
        <f t="shared" si="2631"/>
        <v>46022</v>
      </c>
    </row>
    <row r="16060" spans="1:6" x14ac:dyDescent="0.25">
      <c r="A16060" s="1" t="s">
        <v>4</v>
      </c>
      <c r="B16060" s="1" t="s">
        <v>171</v>
      </c>
      <c r="C16060" s="1" t="s">
        <v>116</v>
      </c>
      <c r="D16060" s="3">
        <f t="shared" si="2629"/>
        <v>7020</v>
      </c>
      <c r="E16060" s="2">
        <f t="shared" si="2630"/>
        <v>40179</v>
      </c>
      <c r="F16060" s="2">
        <f t="shared" si="2631"/>
        <v>46022</v>
      </c>
    </row>
    <row r="16061" spans="1:6" x14ac:dyDescent="0.25">
      <c r="A16061" s="1" t="s">
        <v>4</v>
      </c>
      <c r="B16061" s="1" t="s">
        <v>171</v>
      </c>
      <c r="C16061" s="1" t="s">
        <v>57</v>
      </c>
      <c r="D16061" s="3">
        <f t="shared" si="2629"/>
        <v>7020</v>
      </c>
      <c r="E16061" s="2">
        <f t="shared" si="2630"/>
        <v>40179</v>
      </c>
      <c r="F16061" s="2">
        <f t="shared" si="2631"/>
        <v>46022</v>
      </c>
    </row>
    <row r="16062" spans="1:6" x14ac:dyDescent="0.25">
      <c r="A16062" s="1" t="s">
        <v>4</v>
      </c>
      <c r="B16062" s="1" t="s">
        <v>171</v>
      </c>
      <c r="C16062" s="1" t="s">
        <v>173</v>
      </c>
      <c r="D16062" s="3">
        <f t="shared" si="2629"/>
        <v>7020</v>
      </c>
      <c r="E16062" s="2">
        <f t="shared" si="2630"/>
        <v>40179</v>
      </c>
      <c r="F16062" s="2">
        <f t="shared" si="2631"/>
        <v>46022</v>
      </c>
    </row>
    <row r="16063" spans="1:6" x14ac:dyDescent="0.25">
      <c r="A16063" s="1" t="s">
        <v>4</v>
      </c>
      <c r="B16063" s="1" t="s">
        <v>2498</v>
      </c>
      <c r="C16063" s="1" t="s">
        <v>7</v>
      </c>
      <c r="D16063" s="3">
        <f t="shared" ref="D16063:D16084" si="2632">VALUE("1076")</f>
        <v>1076</v>
      </c>
      <c r="E16063" s="2">
        <f t="shared" ref="E16063:E16084" si="2633">DATEVALUE("1-10-2008")</f>
        <v>39722</v>
      </c>
      <c r="F16063" s="2">
        <f t="shared" ref="F16063:F16084" si="2634">DATEVALUE("31-12-2014")</f>
        <v>42004</v>
      </c>
    </row>
    <row r="16064" spans="1:6" x14ac:dyDescent="0.25">
      <c r="A16064" s="1" t="s">
        <v>4</v>
      </c>
      <c r="B16064" s="1" t="s">
        <v>2498</v>
      </c>
      <c r="C16064" s="1" t="s">
        <v>13</v>
      </c>
      <c r="D16064" s="3">
        <f t="shared" si="2632"/>
        <v>1076</v>
      </c>
      <c r="E16064" s="2">
        <f t="shared" si="2633"/>
        <v>39722</v>
      </c>
      <c r="F16064" s="2">
        <f t="shared" si="2634"/>
        <v>42004</v>
      </c>
    </row>
    <row r="16065" spans="1:6" x14ac:dyDescent="0.25">
      <c r="A16065" s="1" t="s">
        <v>4</v>
      </c>
      <c r="B16065" s="1" t="s">
        <v>2498</v>
      </c>
      <c r="C16065" s="1" t="s">
        <v>212</v>
      </c>
      <c r="D16065" s="3">
        <f t="shared" si="2632"/>
        <v>1076</v>
      </c>
      <c r="E16065" s="2">
        <f t="shared" si="2633"/>
        <v>39722</v>
      </c>
      <c r="F16065" s="2">
        <f t="shared" si="2634"/>
        <v>42004</v>
      </c>
    </row>
    <row r="16066" spans="1:6" x14ac:dyDescent="0.25">
      <c r="A16066" s="1" t="s">
        <v>4</v>
      </c>
      <c r="B16066" s="1" t="s">
        <v>2498</v>
      </c>
      <c r="C16066" s="1" t="s">
        <v>227</v>
      </c>
      <c r="D16066" s="3">
        <f t="shared" si="2632"/>
        <v>1076</v>
      </c>
      <c r="E16066" s="2">
        <f t="shared" si="2633"/>
        <v>39722</v>
      </c>
      <c r="F16066" s="2">
        <f t="shared" si="2634"/>
        <v>42004</v>
      </c>
    </row>
    <row r="16067" spans="1:6" x14ac:dyDescent="0.25">
      <c r="A16067" s="1" t="s">
        <v>4</v>
      </c>
      <c r="B16067" s="1" t="s">
        <v>2498</v>
      </c>
      <c r="C16067" s="1" t="s">
        <v>228</v>
      </c>
      <c r="D16067" s="3">
        <f t="shared" si="2632"/>
        <v>1076</v>
      </c>
      <c r="E16067" s="2">
        <f t="shared" si="2633"/>
        <v>39722</v>
      </c>
      <c r="F16067" s="2">
        <f t="shared" si="2634"/>
        <v>42004</v>
      </c>
    </row>
    <row r="16068" spans="1:6" x14ac:dyDescent="0.25">
      <c r="A16068" s="1" t="s">
        <v>4</v>
      </c>
      <c r="B16068" s="1" t="s">
        <v>2498</v>
      </c>
      <c r="C16068" s="1" t="s">
        <v>28</v>
      </c>
      <c r="D16068" s="3">
        <f t="shared" si="2632"/>
        <v>1076</v>
      </c>
      <c r="E16068" s="2">
        <f t="shared" si="2633"/>
        <v>39722</v>
      </c>
      <c r="F16068" s="2">
        <f t="shared" si="2634"/>
        <v>42004</v>
      </c>
    </row>
    <row r="16069" spans="1:6" x14ac:dyDescent="0.25">
      <c r="A16069" s="1" t="s">
        <v>4</v>
      </c>
      <c r="B16069" s="1" t="s">
        <v>2498</v>
      </c>
      <c r="C16069" s="1" t="s">
        <v>229</v>
      </c>
      <c r="D16069" s="3">
        <f t="shared" si="2632"/>
        <v>1076</v>
      </c>
      <c r="E16069" s="2">
        <f t="shared" si="2633"/>
        <v>39722</v>
      </c>
      <c r="F16069" s="2">
        <f t="shared" si="2634"/>
        <v>42004</v>
      </c>
    </row>
    <row r="16070" spans="1:6" x14ac:dyDescent="0.25">
      <c r="A16070" s="1" t="s">
        <v>4</v>
      </c>
      <c r="B16070" s="1" t="s">
        <v>2498</v>
      </c>
      <c r="C16070" s="1" t="s">
        <v>29</v>
      </c>
      <c r="D16070" s="3">
        <f t="shared" si="2632"/>
        <v>1076</v>
      </c>
      <c r="E16070" s="2">
        <f t="shared" si="2633"/>
        <v>39722</v>
      </c>
      <c r="F16070" s="2">
        <f t="shared" si="2634"/>
        <v>42004</v>
      </c>
    </row>
    <row r="16071" spans="1:6" x14ac:dyDescent="0.25">
      <c r="A16071" s="1" t="s">
        <v>4</v>
      </c>
      <c r="B16071" s="1" t="s">
        <v>2498</v>
      </c>
      <c r="C16071" s="1" t="s">
        <v>230</v>
      </c>
      <c r="D16071" s="3">
        <f t="shared" si="2632"/>
        <v>1076</v>
      </c>
      <c r="E16071" s="2">
        <f t="shared" si="2633"/>
        <v>39722</v>
      </c>
      <c r="F16071" s="2">
        <f t="shared" si="2634"/>
        <v>42004</v>
      </c>
    </row>
    <row r="16072" spans="1:6" x14ac:dyDescent="0.25">
      <c r="A16072" s="1" t="s">
        <v>4</v>
      </c>
      <c r="B16072" s="1" t="s">
        <v>2498</v>
      </c>
      <c r="C16072" s="1" t="s">
        <v>231</v>
      </c>
      <c r="D16072" s="3">
        <f t="shared" si="2632"/>
        <v>1076</v>
      </c>
      <c r="E16072" s="2">
        <f t="shared" si="2633"/>
        <v>39722</v>
      </c>
      <c r="F16072" s="2">
        <f t="shared" si="2634"/>
        <v>42004</v>
      </c>
    </row>
    <row r="16073" spans="1:6" x14ac:dyDescent="0.25">
      <c r="A16073" s="1" t="s">
        <v>4</v>
      </c>
      <c r="B16073" s="1" t="s">
        <v>2498</v>
      </c>
      <c r="C16073" s="1" t="s">
        <v>232</v>
      </c>
      <c r="D16073" s="3">
        <f t="shared" si="2632"/>
        <v>1076</v>
      </c>
      <c r="E16073" s="2">
        <f t="shared" si="2633"/>
        <v>39722</v>
      </c>
      <c r="F16073" s="2">
        <f t="shared" si="2634"/>
        <v>42004</v>
      </c>
    </row>
    <row r="16074" spans="1:6" x14ac:dyDescent="0.25">
      <c r="A16074" s="1" t="s">
        <v>4</v>
      </c>
      <c r="B16074" s="1" t="s">
        <v>2498</v>
      </c>
      <c r="C16074" s="1" t="s">
        <v>233</v>
      </c>
      <c r="D16074" s="3">
        <f t="shared" si="2632"/>
        <v>1076</v>
      </c>
      <c r="E16074" s="2">
        <f t="shared" si="2633"/>
        <v>39722</v>
      </c>
      <c r="F16074" s="2">
        <f t="shared" si="2634"/>
        <v>42004</v>
      </c>
    </row>
    <row r="16075" spans="1:6" x14ac:dyDescent="0.25">
      <c r="A16075" s="1" t="s">
        <v>4</v>
      </c>
      <c r="B16075" s="1" t="s">
        <v>2498</v>
      </c>
      <c r="C16075" s="1" t="s">
        <v>234</v>
      </c>
      <c r="D16075" s="3">
        <f t="shared" si="2632"/>
        <v>1076</v>
      </c>
      <c r="E16075" s="2">
        <f t="shared" si="2633"/>
        <v>39722</v>
      </c>
      <c r="F16075" s="2">
        <f t="shared" si="2634"/>
        <v>42004</v>
      </c>
    </row>
    <row r="16076" spans="1:6" x14ac:dyDescent="0.25">
      <c r="A16076" s="1" t="s">
        <v>4</v>
      </c>
      <c r="B16076" s="1" t="s">
        <v>2498</v>
      </c>
      <c r="C16076" s="1" t="s">
        <v>596</v>
      </c>
      <c r="D16076" s="3">
        <f t="shared" si="2632"/>
        <v>1076</v>
      </c>
      <c r="E16076" s="2">
        <f t="shared" si="2633"/>
        <v>39722</v>
      </c>
      <c r="F16076" s="2">
        <f t="shared" si="2634"/>
        <v>42004</v>
      </c>
    </row>
    <row r="16077" spans="1:6" x14ac:dyDescent="0.25">
      <c r="A16077" s="1" t="s">
        <v>4</v>
      </c>
      <c r="B16077" s="1" t="s">
        <v>2498</v>
      </c>
      <c r="C16077" s="1" t="s">
        <v>30</v>
      </c>
      <c r="D16077" s="3">
        <f t="shared" si="2632"/>
        <v>1076</v>
      </c>
      <c r="E16077" s="2">
        <f t="shared" si="2633"/>
        <v>39722</v>
      </c>
      <c r="F16077" s="2">
        <f t="shared" si="2634"/>
        <v>42004</v>
      </c>
    </row>
    <row r="16078" spans="1:6" x14ac:dyDescent="0.25">
      <c r="A16078" s="1" t="s">
        <v>4</v>
      </c>
      <c r="B16078" s="1" t="s">
        <v>2498</v>
      </c>
      <c r="C16078" s="1" t="s">
        <v>235</v>
      </c>
      <c r="D16078" s="3">
        <f t="shared" si="2632"/>
        <v>1076</v>
      </c>
      <c r="E16078" s="2">
        <f t="shared" si="2633"/>
        <v>39722</v>
      </c>
      <c r="F16078" s="2">
        <f t="shared" si="2634"/>
        <v>42004</v>
      </c>
    </row>
    <row r="16079" spans="1:6" x14ac:dyDescent="0.25">
      <c r="A16079" s="1" t="s">
        <v>4</v>
      </c>
      <c r="B16079" s="1" t="s">
        <v>2498</v>
      </c>
      <c r="C16079" s="1" t="s">
        <v>1839</v>
      </c>
      <c r="D16079" s="3">
        <f t="shared" si="2632"/>
        <v>1076</v>
      </c>
      <c r="E16079" s="2">
        <f t="shared" si="2633"/>
        <v>39722</v>
      </c>
      <c r="F16079" s="2">
        <f t="shared" si="2634"/>
        <v>42004</v>
      </c>
    </row>
    <row r="16080" spans="1:6" x14ac:dyDescent="0.25">
      <c r="A16080" s="1" t="s">
        <v>4</v>
      </c>
      <c r="B16080" s="1" t="s">
        <v>2498</v>
      </c>
      <c r="C16080" s="1" t="s">
        <v>236</v>
      </c>
      <c r="D16080" s="3">
        <f t="shared" si="2632"/>
        <v>1076</v>
      </c>
      <c r="E16080" s="2">
        <f t="shared" si="2633"/>
        <v>39722</v>
      </c>
      <c r="F16080" s="2">
        <f t="shared" si="2634"/>
        <v>42004</v>
      </c>
    </row>
    <row r="16081" spans="1:6" x14ac:dyDescent="0.25">
      <c r="A16081" s="1" t="s">
        <v>4</v>
      </c>
      <c r="B16081" s="1" t="s">
        <v>2498</v>
      </c>
      <c r="C16081" s="1" t="s">
        <v>237</v>
      </c>
      <c r="D16081" s="3">
        <f t="shared" si="2632"/>
        <v>1076</v>
      </c>
      <c r="E16081" s="2">
        <f t="shared" si="2633"/>
        <v>39722</v>
      </c>
      <c r="F16081" s="2">
        <f t="shared" si="2634"/>
        <v>42004</v>
      </c>
    </row>
    <row r="16082" spans="1:6" x14ac:dyDescent="0.25">
      <c r="A16082" s="1" t="s">
        <v>4</v>
      </c>
      <c r="B16082" s="1" t="s">
        <v>2498</v>
      </c>
      <c r="C16082" s="1" t="s">
        <v>238</v>
      </c>
      <c r="D16082" s="3">
        <f t="shared" si="2632"/>
        <v>1076</v>
      </c>
      <c r="E16082" s="2">
        <f t="shared" si="2633"/>
        <v>39722</v>
      </c>
      <c r="F16082" s="2">
        <f t="shared" si="2634"/>
        <v>42004</v>
      </c>
    </row>
    <row r="16083" spans="1:6" x14ac:dyDescent="0.25">
      <c r="A16083" s="1" t="s">
        <v>4</v>
      </c>
      <c r="B16083" s="1" t="s">
        <v>2498</v>
      </c>
      <c r="C16083" s="1" t="s">
        <v>239</v>
      </c>
      <c r="D16083" s="3">
        <f t="shared" si="2632"/>
        <v>1076</v>
      </c>
      <c r="E16083" s="2">
        <f t="shared" si="2633"/>
        <v>39722</v>
      </c>
      <c r="F16083" s="2">
        <f t="shared" si="2634"/>
        <v>42004</v>
      </c>
    </row>
    <row r="16084" spans="1:6" x14ac:dyDescent="0.25">
      <c r="A16084" s="1" t="s">
        <v>4</v>
      </c>
      <c r="B16084" s="1" t="s">
        <v>2498</v>
      </c>
      <c r="C16084" s="1" t="s">
        <v>593</v>
      </c>
      <c r="D16084" s="3">
        <f t="shared" si="2632"/>
        <v>1076</v>
      </c>
      <c r="E16084" s="2">
        <f t="shared" si="2633"/>
        <v>39722</v>
      </c>
      <c r="F16084" s="2">
        <f t="shared" si="2634"/>
        <v>42004</v>
      </c>
    </row>
    <row r="16085" spans="1:6" x14ac:dyDescent="0.25">
      <c r="A16085" s="1" t="s">
        <v>4</v>
      </c>
      <c r="B16085" s="1" t="s">
        <v>3</v>
      </c>
      <c r="C16085" s="1" t="s">
        <v>7</v>
      </c>
      <c r="D16085" s="3">
        <f t="shared" ref="D16085:D16116" si="2635">VALUE("1033")</f>
        <v>1033</v>
      </c>
      <c r="E16085" s="2">
        <f t="shared" ref="E16085:E16116" si="2636">DATEVALUE("1-10-2007")</f>
        <v>39356</v>
      </c>
      <c r="F16085" s="2">
        <f t="shared" ref="F16085:F16116" si="2637">DATEVALUE("31-12-2021")</f>
        <v>44561</v>
      </c>
    </row>
    <row r="16086" spans="1:6" x14ac:dyDescent="0.25">
      <c r="A16086" s="1" t="s">
        <v>4</v>
      </c>
      <c r="B16086" s="1" t="s">
        <v>3</v>
      </c>
      <c r="C16086" s="1" t="s">
        <v>5</v>
      </c>
      <c r="D16086" s="3">
        <f t="shared" si="2635"/>
        <v>1033</v>
      </c>
      <c r="E16086" s="2">
        <f t="shared" si="2636"/>
        <v>39356</v>
      </c>
      <c r="F16086" s="2">
        <f t="shared" si="2637"/>
        <v>44561</v>
      </c>
    </row>
    <row r="16087" spans="1:6" x14ac:dyDescent="0.25">
      <c r="A16087" s="1" t="s">
        <v>4</v>
      </c>
      <c r="B16087" s="1" t="s">
        <v>3</v>
      </c>
      <c r="C16087" s="1" t="s">
        <v>6</v>
      </c>
      <c r="D16087" s="3">
        <f t="shared" si="2635"/>
        <v>1033</v>
      </c>
      <c r="E16087" s="2">
        <f t="shared" si="2636"/>
        <v>39356</v>
      </c>
      <c r="F16087" s="2">
        <f t="shared" si="2637"/>
        <v>44561</v>
      </c>
    </row>
    <row r="16088" spans="1:6" x14ac:dyDescent="0.25">
      <c r="A16088" s="1" t="s">
        <v>4</v>
      </c>
      <c r="B16088" s="1" t="s">
        <v>3</v>
      </c>
      <c r="C16088" s="1" t="s">
        <v>8</v>
      </c>
      <c r="D16088" s="3">
        <f t="shared" si="2635"/>
        <v>1033</v>
      </c>
      <c r="E16088" s="2">
        <f t="shared" si="2636"/>
        <v>39356</v>
      </c>
      <c r="F16088" s="2">
        <f t="shared" si="2637"/>
        <v>44561</v>
      </c>
    </row>
    <row r="16089" spans="1:6" x14ac:dyDescent="0.25">
      <c r="A16089" s="1" t="s">
        <v>4</v>
      </c>
      <c r="B16089" s="1" t="s">
        <v>3</v>
      </c>
      <c r="C16089" s="1" t="s">
        <v>9</v>
      </c>
      <c r="D16089" s="3">
        <f t="shared" si="2635"/>
        <v>1033</v>
      </c>
      <c r="E16089" s="2">
        <f t="shared" si="2636"/>
        <v>39356</v>
      </c>
      <c r="F16089" s="2">
        <f t="shared" si="2637"/>
        <v>44561</v>
      </c>
    </row>
    <row r="16090" spans="1:6" x14ac:dyDescent="0.25">
      <c r="A16090" s="1" t="s">
        <v>4</v>
      </c>
      <c r="B16090" s="1" t="s">
        <v>3</v>
      </c>
      <c r="C16090" s="1" t="s">
        <v>10</v>
      </c>
      <c r="D16090" s="3">
        <f t="shared" si="2635"/>
        <v>1033</v>
      </c>
      <c r="E16090" s="2">
        <f t="shared" si="2636"/>
        <v>39356</v>
      </c>
      <c r="F16090" s="2">
        <f t="shared" si="2637"/>
        <v>44561</v>
      </c>
    </row>
    <row r="16091" spans="1:6" x14ac:dyDescent="0.25">
      <c r="A16091" s="1" t="s">
        <v>4</v>
      </c>
      <c r="B16091" s="1" t="s">
        <v>3</v>
      </c>
      <c r="C16091" s="1" t="s">
        <v>11</v>
      </c>
      <c r="D16091" s="3">
        <f t="shared" si="2635"/>
        <v>1033</v>
      </c>
      <c r="E16091" s="2">
        <f t="shared" si="2636"/>
        <v>39356</v>
      </c>
      <c r="F16091" s="2">
        <f t="shared" si="2637"/>
        <v>44561</v>
      </c>
    </row>
    <row r="16092" spans="1:6" x14ac:dyDescent="0.25">
      <c r="A16092" s="1" t="s">
        <v>4</v>
      </c>
      <c r="B16092" s="1" t="s">
        <v>3</v>
      </c>
      <c r="C16092" s="1" t="s">
        <v>12</v>
      </c>
      <c r="D16092" s="3">
        <f t="shared" si="2635"/>
        <v>1033</v>
      </c>
      <c r="E16092" s="2">
        <f t="shared" si="2636"/>
        <v>39356</v>
      </c>
      <c r="F16092" s="2">
        <f t="shared" si="2637"/>
        <v>44561</v>
      </c>
    </row>
    <row r="16093" spans="1:6" x14ac:dyDescent="0.25">
      <c r="A16093" s="1" t="s">
        <v>4</v>
      </c>
      <c r="B16093" s="1" t="s">
        <v>3</v>
      </c>
      <c r="C16093" s="1" t="s">
        <v>13</v>
      </c>
      <c r="D16093" s="3">
        <f t="shared" si="2635"/>
        <v>1033</v>
      </c>
      <c r="E16093" s="2">
        <f t="shared" si="2636"/>
        <v>39356</v>
      </c>
      <c r="F16093" s="2">
        <f t="shared" si="2637"/>
        <v>44561</v>
      </c>
    </row>
    <row r="16094" spans="1:6" x14ac:dyDescent="0.25">
      <c r="A16094" s="1" t="s">
        <v>4</v>
      </c>
      <c r="B16094" s="1" t="s">
        <v>3</v>
      </c>
      <c r="C16094" s="1" t="s">
        <v>14</v>
      </c>
      <c r="D16094" s="3">
        <f t="shared" si="2635"/>
        <v>1033</v>
      </c>
      <c r="E16094" s="2">
        <f t="shared" si="2636"/>
        <v>39356</v>
      </c>
      <c r="F16094" s="2">
        <f t="shared" si="2637"/>
        <v>44561</v>
      </c>
    </row>
    <row r="16095" spans="1:6" x14ac:dyDescent="0.25">
      <c r="A16095" s="1" t="s">
        <v>4</v>
      </c>
      <c r="B16095" s="1" t="s">
        <v>3</v>
      </c>
      <c r="C16095" s="1" t="s">
        <v>15</v>
      </c>
      <c r="D16095" s="3">
        <f t="shared" si="2635"/>
        <v>1033</v>
      </c>
      <c r="E16095" s="2">
        <f t="shared" si="2636"/>
        <v>39356</v>
      </c>
      <c r="F16095" s="2">
        <f t="shared" si="2637"/>
        <v>44561</v>
      </c>
    </row>
    <row r="16096" spans="1:6" x14ac:dyDescent="0.25">
      <c r="A16096" s="1" t="s">
        <v>4</v>
      </c>
      <c r="B16096" s="1" t="s">
        <v>3</v>
      </c>
      <c r="C16096" s="1" t="s">
        <v>16</v>
      </c>
      <c r="D16096" s="3">
        <f t="shared" si="2635"/>
        <v>1033</v>
      </c>
      <c r="E16096" s="2">
        <f t="shared" si="2636"/>
        <v>39356</v>
      </c>
      <c r="F16096" s="2">
        <f t="shared" si="2637"/>
        <v>44561</v>
      </c>
    </row>
    <row r="16097" spans="1:6" x14ac:dyDescent="0.25">
      <c r="A16097" s="1" t="s">
        <v>4</v>
      </c>
      <c r="B16097" s="1" t="s">
        <v>3</v>
      </c>
      <c r="C16097" s="1" t="s">
        <v>17</v>
      </c>
      <c r="D16097" s="3">
        <f t="shared" si="2635"/>
        <v>1033</v>
      </c>
      <c r="E16097" s="2">
        <f t="shared" si="2636"/>
        <v>39356</v>
      </c>
      <c r="F16097" s="2">
        <f t="shared" si="2637"/>
        <v>44561</v>
      </c>
    </row>
    <row r="16098" spans="1:6" x14ac:dyDescent="0.25">
      <c r="A16098" s="1" t="s">
        <v>4</v>
      </c>
      <c r="B16098" s="1" t="s">
        <v>3</v>
      </c>
      <c r="C16098" s="1" t="s">
        <v>18</v>
      </c>
      <c r="D16098" s="3">
        <f t="shared" si="2635"/>
        <v>1033</v>
      </c>
      <c r="E16098" s="2">
        <f t="shared" si="2636"/>
        <v>39356</v>
      </c>
      <c r="F16098" s="2">
        <f t="shared" si="2637"/>
        <v>44561</v>
      </c>
    </row>
    <row r="16099" spans="1:6" x14ac:dyDescent="0.25">
      <c r="A16099" s="1" t="s">
        <v>4</v>
      </c>
      <c r="B16099" s="1" t="s">
        <v>3</v>
      </c>
      <c r="C16099" s="1" t="s">
        <v>19</v>
      </c>
      <c r="D16099" s="3">
        <f t="shared" si="2635"/>
        <v>1033</v>
      </c>
      <c r="E16099" s="2">
        <f t="shared" si="2636"/>
        <v>39356</v>
      </c>
      <c r="F16099" s="2">
        <f t="shared" si="2637"/>
        <v>44561</v>
      </c>
    </row>
    <row r="16100" spans="1:6" x14ac:dyDescent="0.25">
      <c r="A16100" s="1" t="s">
        <v>4</v>
      </c>
      <c r="B16100" s="1" t="s">
        <v>3</v>
      </c>
      <c r="C16100" s="1" t="s">
        <v>20</v>
      </c>
      <c r="D16100" s="3">
        <f t="shared" si="2635"/>
        <v>1033</v>
      </c>
      <c r="E16100" s="2">
        <f t="shared" si="2636"/>
        <v>39356</v>
      </c>
      <c r="F16100" s="2">
        <f t="shared" si="2637"/>
        <v>44561</v>
      </c>
    </row>
    <row r="16101" spans="1:6" x14ac:dyDescent="0.25">
      <c r="A16101" s="1" t="s">
        <v>4</v>
      </c>
      <c r="B16101" s="1" t="s">
        <v>3</v>
      </c>
      <c r="C16101" s="1" t="s">
        <v>21</v>
      </c>
      <c r="D16101" s="3">
        <f t="shared" si="2635"/>
        <v>1033</v>
      </c>
      <c r="E16101" s="2">
        <f t="shared" si="2636"/>
        <v>39356</v>
      </c>
      <c r="F16101" s="2">
        <f t="shared" si="2637"/>
        <v>44561</v>
      </c>
    </row>
    <row r="16102" spans="1:6" x14ac:dyDescent="0.25">
      <c r="A16102" s="1" t="s">
        <v>4</v>
      </c>
      <c r="B16102" s="1" t="s">
        <v>3</v>
      </c>
      <c r="C16102" s="1" t="s">
        <v>22</v>
      </c>
      <c r="D16102" s="3">
        <f t="shared" si="2635"/>
        <v>1033</v>
      </c>
      <c r="E16102" s="2">
        <f t="shared" si="2636"/>
        <v>39356</v>
      </c>
      <c r="F16102" s="2">
        <f t="shared" si="2637"/>
        <v>44561</v>
      </c>
    </row>
    <row r="16103" spans="1:6" x14ac:dyDescent="0.25">
      <c r="A16103" s="1" t="s">
        <v>4</v>
      </c>
      <c r="B16103" s="1" t="s">
        <v>3</v>
      </c>
      <c r="C16103" s="1" t="s">
        <v>23</v>
      </c>
      <c r="D16103" s="3">
        <f t="shared" si="2635"/>
        <v>1033</v>
      </c>
      <c r="E16103" s="2">
        <f t="shared" si="2636"/>
        <v>39356</v>
      </c>
      <c r="F16103" s="2">
        <f t="shared" si="2637"/>
        <v>44561</v>
      </c>
    </row>
    <row r="16104" spans="1:6" x14ac:dyDescent="0.25">
      <c r="A16104" s="1" t="s">
        <v>4</v>
      </c>
      <c r="B16104" s="1" t="s">
        <v>3</v>
      </c>
      <c r="C16104" s="1" t="s">
        <v>24</v>
      </c>
      <c r="D16104" s="3">
        <f t="shared" si="2635"/>
        <v>1033</v>
      </c>
      <c r="E16104" s="2">
        <f t="shared" si="2636"/>
        <v>39356</v>
      </c>
      <c r="F16104" s="2">
        <f t="shared" si="2637"/>
        <v>44561</v>
      </c>
    </row>
    <row r="16105" spans="1:6" x14ac:dyDescent="0.25">
      <c r="A16105" s="1" t="s">
        <v>4</v>
      </c>
      <c r="B16105" s="1" t="s">
        <v>3</v>
      </c>
      <c r="C16105" s="1" t="s">
        <v>25</v>
      </c>
      <c r="D16105" s="3">
        <f t="shared" si="2635"/>
        <v>1033</v>
      </c>
      <c r="E16105" s="2">
        <f t="shared" si="2636"/>
        <v>39356</v>
      </c>
      <c r="F16105" s="2">
        <f t="shared" si="2637"/>
        <v>44561</v>
      </c>
    </row>
    <row r="16106" spans="1:6" x14ac:dyDescent="0.25">
      <c r="A16106" s="1" t="s">
        <v>4</v>
      </c>
      <c r="B16106" s="1" t="s">
        <v>3</v>
      </c>
      <c r="C16106" s="1" t="s">
        <v>26</v>
      </c>
      <c r="D16106" s="3">
        <f t="shared" si="2635"/>
        <v>1033</v>
      </c>
      <c r="E16106" s="2">
        <f t="shared" si="2636"/>
        <v>39356</v>
      </c>
      <c r="F16106" s="2">
        <f t="shared" si="2637"/>
        <v>44561</v>
      </c>
    </row>
    <row r="16107" spans="1:6" x14ac:dyDescent="0.25">
      <c r="A16107" s="1" t="s">
        <v>4</v>
      </c>
      <c r="B16107" s="1" t="s">
        <v>3</v>
      </c>
      <c r="C16107" s="1" t="s">
        <v>27</v>
      </c>
      <c r="D16107" s="3">
        <f t="shared" si="2635"/>
        <v>1033</v>
      </c>
      <c r="E16107" s="2">
        <f t="shared" si="2636"/>
        <v>39356</v>
      </c>
      <c r="F16107" s="2">
        <f t="shared" si="2637"/>
        <v>44561</v>
      </c>
    </row>
    <row r="16108" spans="1:6" x14ac:dyDescent="0.25">
      <c r="A16108" s="1" t="s">
        <v>4</v>
      </c>
      <c r="B16108" s="1" t="s">
        <v>3</v>
      </c>
      <c r="C16108" s="1" t="s">
        <v>28</v>
      </c>
      <c r="D16108" s="3">
        <f t="shared" si="2635"/>
        <v>1033</v>
      </c>
      <c r="E16108" s="2">
        <f t="shared" si="2636"/>
        <v>39356</v>
      </c>
      <c r="F16108" s="2">
        <f t="shared" si="2637"/>
        <v>44561</v>
      </c>
    </row>
    <row r="16109" spans="1:6" x14ac:dyDescent="0.25">
      <c r="A16109" s="1" t="s">
        <v>4</v>
      </c>
      <c r="B16109" s="1" t="s">
        <v>3</v>
      </c>
      <c r="C16109" s="1" t="s">
        <v>29</v>
      </c>
      <c r="D16109" s="3">
        <f t="shared" si="2635"/>
        <v>1033</v>
      </c>
      <c r="E16109" s="2">
        <f t="shared" si="2636"/>
        <v>39356</v>
      </c>
      <c r="F16109" s="2">
        <f t="shared" si="2637"/>
        <v>44561</v>
      </c>
    </row>
    <row r="16110" spans="1:6" x14ac:dyDescent="0.25">
      <c r="A16110" s="1" t="s">
        <v>4</v>
      </c>
      <c r="B16110" s="1" t="s">
        <v>3</v>
      </c>
      <c r="C16110" s="1" t="s">
        <v>30</v>
      </c>
      <c r="D16110" s="3">
        <f t="shared" si="2635"/>
        <v>1033</v>
      </c>
      <c r="E16110" s="2">
        <f t="shared" si="2636"/>
        <v>39356</v>
      </c>
      <c r="F16110" s="2">
        <f t="shared" si="2637"/>
        <v>44561</v>
      </c>
    </row>
    <row r="16111" spans="1:6" x14ac:dyDescent="0.25">
      <c r="A16111" s="1" t="s">
        <v>4</v>
      </c>
      <c r="B16111" s="1" t="s">
        <v>3</v>
      </c>
      <c r="C16111" s="1" t="s">
        <v>31</v>
      </c>
      <c r="D16111" s="3">
        <f t="shared" si="2635"/>
        <v>1033</v>
      </c>
      <c r="E16111" s="2">
        <f t="shared" si="2636"/>
        <v>39356</v>
      </c>
      <c r="F16111" s="2">
        <f t="shared" si="2637"/>
        <v>44561</v>
      </c>
    </row>
    <row r="16112" spans="1:6" x14ac:dyDescent="0.25">
      <c r="A16112" s="1" t="s">
        <v>4</v>
      </c>
      <c r="B16112" s="1" t="s">
        <v>3</v>
      </c>
      <c r="C16112" s="1" t="s">
        <v>32</v>
      </c>
      <c r="D16112" s="3">
        <f t="shared" si="2635"/>
        <v>1033</v>
      </c>
      <c r="E16112" s="2">
        <f t="shared" si="2636"/>
        <v>39356</v>
      </c>
      <c r="F16112" s="2">
        <f t="shared" si="2637"/>
        <v>44561</v>
      </c>
    </row>
    <row r="16113" spans="1:6" x14ac:dyDescent="0.25">
      <c r="A16113" s="1" t="s">
        <v>4</v>
      </c>
      <c r="B16113" s="1" t="s">
        <v>3</v>
      </c>
      <c r="C16113" s="1" t="s">
        <v>33</v>
      </c>
      <c r="D16113" s="3">
        <f t="shared" si="2635"/>
        <v>1033</v>
      </c>
      <c r="E16113" s="2">
        <f t="shared" si="2636"/>
        <v>39356</v>
      </c>
      <c r="F16113" s="2">
        <f t="shared" si="2637"/>
        <v>44561</v>
      </c>
    </row>
    <row r="16114" spans="1:6" x14ac:dyDescent="0.25">
      <c r="A16114" s="1" t="s">
        <v>4</v>
      </c>
      <c r="B16114" s="1" t="s">
        <v>3</v>
      </c>
      <c r="C16114" s="1" t="s">
        <v>34</v>
      </c>
      <c r="D16114" s="3">
        <f t="shared" si="2635"/>
        <v>1033</v>
      </c>
      <c r="E16114" s="2">
        <f t="shared" si="2636"/>
        <v>39356</v>
      </c>
      <c r="F16114" s="2">
        <f t="shared" si="2637"/>
        <v>44561</v>
      </c>
    </row>
    <row r="16115" spans="1:6" x14ac:dyDescent="0.25">
      <c r="A16115" s="1" t="s">
        <v>4</v>
      </c>
      <c r="B16115" s="1" t="s">
        <v>3</v>
      </c>
      <c r="C16115" s="1" t="s">
        <v>35</v>
      </c>
      <c r="D16115" s="3">
        <f t="shared" si="2635"/>
        <v>1033</v>
      </c>
      <c r="E16115" s="2">
        <f t="shared" si="2636"/>
        <v>39356</v>
      </c>
      <c r="F16115" s="2">
        <f t="shared" si="2637"/>
        <v>44561</v>
      </c>
    </row>
    <row r="16116" spans="1:6" x14ac:dyDescent="0.25">
      <c r="A16116" s="1" t="s">
        <v>4</v>
      </c>
      <c r="B16116" s="1" t="s">
        <v>3</v>
      </c>
      <c r="C16116" s="1" t="s">
        <v>36</v>
      </c>
      <c r="D16116" s="3">
        <f t="shared" si="2635"/>
        <v>1033</v>
      </c>
      <c r="E16116" s="2">
        <f t="shared" si="2636"/>
        <v>39356</v>
      </c>
      <c r="F16116" s="2">
        <f t="shared" si="2637"/>
        <v>44561</v>
      </c>
    </row>
    <row r="16117" spans="1:6" x14ac:dyDescent="0.25">
      <c r="A16117" s="1" t="s">
        <v>2538</v>
      </c>
      <c r="B16117" s="1" t="s">
        <v>2537</v>
      </c>
      <c r="C16117" s="1" t="s">
        <v>78</v>
      </c>
      <c r="D16117" s="3">
        <f t="shared" ref="D16117:D16148" si="2638">VALUE("6115")</f>
        <v>6115</v>
      </c>
      <c r="E16117" s="2">
        <f t="shared" ref="E16117:E16148" si="2639">DATEVALUE("1-11-2008")</f>
        <v>39753</v>
      </c>
      <c r="F16117" s="2">
        <f t="shared" ref="F16117:F16148" si="2640">DATEVALUE("28-2-2013")</f>
        <v>41333</v>
      </c>
    </row>
    <row r="16118" spans="1:6" x14ac:dyDescent="0.25">
      <c r="A16118" s="1" t="s">
        <v>2538</v>
      </c>
      <c r="B16118" s="1" t="s">
        <v>2537</v>
      </c>
      <c r="C16118" s="1" t="s">
        <v>79</v>
      </c>
      <c r="D16118" s="3">
        <f t="shared" si="2638"/>
        <v>6115</v>
      </c>
      <c r="E16118" s="2">
        <f t="shared" si="2639"/>
        <v>39753</v>
      </c>
      <c r="F16118" s="2">
        <f t="shared" si="2640"/>
        <v>41333</v>
      </c>
    </row>
    <row r="16119" spans="1:6" x14ac:dyDescent="0.25">
      <c r="A16119" s="1" t="s">
        <v>2538</v>
      </c>
      <c r="B16119" s="1" t="s">
        <v>2537</v>
      </c>
      <c r="C16119" s="1" t="s">
        <v>81</v>
      </c>
      <c r="D16119" s="3">
        <f t="shared" si="2638"/>
        <v>6115</v>
      </c>
      <c r="E16119" s="2">
        <f t="shared" si="2639"/>
        <v>39753</v>
      </c>
      <c r="F16119" s="2">
        <f t="shared" si="2640"/>
        <v>41333</v>
      </c>
    </row>
    <row r="16120" spans="1:6" x14ac:dyDescent="0.25">
      <c r="A16120" s="1" t="s">
        <v>2538</v>
      </c>
      <c r="B16120" s="1" t="s">
        <v>2537</v>
      </c>
      <c r="C16120" s="1" t="s">
        <v>80</v>
      </c>
      <c r="D16120" s="3">
        <f t="shared" si="2638"/>
        <v>6115</v>
      </c>
      <c r="E16120" s="2">
        <f t="shared" si="2639"/>
        <v>39753</v>
      </c>
      <c r="F16120" s="2">
        <f t="shared" si="2640"/>
        <v>41333</v>
      </c>
    </row>
    <row r="16121" spans="1:6" x14ac:dyDescent="0.25">
      <c r="A16121" s="1" t="s">
        <v>2538</v>
      </c>
      <c r="B16121" s="1" t="s">
        <v>2537</v>
      </c>
      <c r="C16121" s="1" t="s">
        <v>39</v>
      </c>
      <c r="D16121" s="3">
        <f t="shared" si="2638"/>
        <v>6115</v>
      </c>
      <c r="E16121" s="2">
        <f t="shared" si="2639"/>
        <v>39753</v>
      </c>
      <c r="F16121" s="2">
        <f t="shared" si="2640"/>
        <v>41333</v>
      </c>
    </row>
    <row r="16122" spans="1:6" x14ac:dyDescent="0.25">
      <c r="A16122" s="1" t="s">
        <v>2538</v>
      </c>
      <c r="B16122" s="1" t="s">
        <v>2537</v>
      </c>
      <c r="C16122" s="1" t="s">
        <v>60</v>
      </c>
      <c r="D16122" s="3">
        <f t="shared" si="2638"/>
        <v>6115</v>
      </c>
      <c r="E16122" s="2">
        <f t="shared" si="2639"/>
        <v>39753</v>
      </c>
      <c r="F16122" s="2">
        <f t="shared" si="2640"/>
        <v>41333</v>
      </c>
    </row>
    <row r="16123" spans="1:6" x14ac:dyDescent="0.25">
      <c r="A16123" s="1" t="s">
        <v>2538</v>
      </c>
      <c r="B16123" s="1" t="s">
        <v>2537</v>
      </c>
      <c r="C16123" s="1" t="s">
        <v>82</v>
      </c>
      <c r="D16123" s="3">
        <f t="shared" si="2638"/>
        <v>6115</v>
      </c>
      <c r="E16123" s="2">
        <f t="shared" si="2639"/>
        <v>39753</v>
      </c>
      <c r="F16123" s="2">
        <f t="shared" si="2640"/>
        <v>41333</v>
      </c>
    </row>
    <row r="16124" spans="1:6" x14ac:dyDescent="0.25">
      <c r="A16124" s="1" t="s">
        <v>2538</v>
      </c>
      <c r="B16124" s="1" t="s">
        <v>2537</v>
      </c>
      <c r="C16124" s="1" t="s">
        <v>42</v>
      </c>
      <c r="D16124" s="3">
        <f t="shared" si="2638"/>
        <v>6115</v>
      </c>
      <c r="E16124" s="2">
        <f t="shared" si="2639"/>
        <v>39753</v>
      </c>
      <c r="F16124" s="2">
        <f t="shared" si="2640"/>
        <v>41333</v>
      </c>
    </row>
    <row r="16125" spans="1:6" x14ac:dyDescent="0.25">
      <c r="A16125" s="1" t="s">
        <v>2538</v>
      </c>
      <c r="B16125" s="1" t="s">
        <v>2537</v>
      </c>
      <c r="C16125" s="1" t="s">
        <v>8</v>
      </c>
      <c r="D16125" s="3">
        <f t="shared" si="2638"/>
        <v>6115</v>
      </c>
      <c r="E16125" s="2">
        <f t="shared" si="2639"/>
        <v>39753</v>
      </c>
      <c r="F16125" s="2">
        <f t="shared" si="2640"/>
        <v>41333</v>
      </c>
    </row>
    <row r="16126" spans="1:6" x14ac:dyDescent="0.25">
      <c r="A16126" s="1" t="s">
        <v>2538</v>
      </c>
      <c r="B16126" s="1" t="s">
        <v>2537</v>
      </c>
      <c r="C16126" s="1" t="s">
        <v>256</v>
      </c>
      <c r="D16126" s="3">
        <f t="shared" si="2638"/>
        <v>6115</v>
      </c>
      <c r="E16126" s="2">
        <f t="shared" si="2639"/>
        <v>39753</v>
      </c>
      <c r="F16126" s="2">
        <f t="shared" si="2640"/>
        <v>41333</v>
      </c>
    </row>
    <row r="16127" spans="1:6" x14ac:dyDescent="0.25">
      <c r="A16127" s="1" t="s">
        <v>2538</v>
      </c>
      <c r="B16127" s="1" t="s">
        <v>2537</v>
      </c>
      <c r="C16127" s="1" t="s">
        <v>10</v>
      </c>
      <c r="D16127" s="3">
        <f t="shared" si="2638"/>
        <v>6115</v>
      </c>
      <c r="E16127" s="2">
        <f t="shared" si="2639"/>
        <v>39753</v>
      </c>
      <c r="F16127" s="2">
        <f t="shared" si="2640"/>
        <v>41333</v>
      </c>
    </row>
    <row r="16128" spans="1:6" x14ac:dyDescent="0.25">
      <c r="A16128" s="1" t="s">
        <v>2538</v>
      </c>
      <c r="B16128" s="1" t="s">
        <v>2537</v>
      </c>
      <c r="C16128" s="1" t="s">
        <v>11</v>
      </c>
      <c r="D16128" s="3">
        <f t="shared" si="2638"/>
        <v>6115</v>
      </c>
      <c r="E16128" s="2">
        <f t="shared" si="2639"/>
        <v>39753</v>
      </c>
      <c r="F16128" s="2">
        <f t="shared" si="2640"/>
        <v>41333</v>
      </c>
    </row>
    <row r="16129" spans="1:6" x14ac:dyDescent="0.25">
      <c r="A16129" s="1" t="s">
        <v>2538</v>
      </c>
      <c r="B16129" s="1" t="s">
        <v>2537</v>
      </c>
      <c r="C16129" s="1" t="s">
        <v>12</v>
      </c>
      <c r="D16129" s="3">
        <f t="shared" si="2638"/>
        <v>6115</v>
      </c>
      <c r="E16129" s="2">
        <f t="shared" si="2639"/>
        <v>39753</v>
      </c>
      <c r="F16129" s="2">
        <f t="shared" si="2640"/>
        <v>41333</v>
      </c>
    </row>
    <row r="16130" spans="1:6" x14ac:dyDescent="0.25">
      <c r="A16130" s="1" t="s">
        <v>2538</v>
      </c>
      <c r="B16130" s="1" t="s">
        <v>2537</v>
      </c>
      <c r="C16130" s="1" t="s">
        <v>83</v>
      </c>
      <c r="D16130" s="3">
        <f t="shared" si="2638"/>
        <v>6115</v>
      </c>
      <c r="E16130" s="2">
        <f t="shared" si="2639"/>
        <v>39753</v>
      </c>
      <c r="F16130" s="2">
        <f t="shared" si="2640"/>
        <v>41333</v>
      </c>
    </row>
    <row r="16131" spans="1:6" x14ac:dyDescent="0.25">
      <c r="A16131" s="1" t="s">
        <v>2538</v>
      </c>
      <c r="B16131" s="1" t="s">
        <v>2537</v>
      </c>
      <c r="C16131" s="1" t="s">
        <v>43</v>
      </c>
      <c r="D16131" s="3">
        <f t="shared" si="2638"/>
        <v>6115</v>
      </c>
      <c r="E16131" s="2">
        <f t="shared" si="2639"/>
        <v>39753</v>
      </c>
      <c r="F16131" s="2">
        <f t="shared" si="2640"/>
        <v>41333</v>
      </c>
    </row>
    <row r="16132" spans="1:6" x14ac:dyDescent="0.25">
      <c r="A16132" s="1" t="s">
        <v>2538</v>
      </c>
      <c r="B16132" s="1" t="s">
        <v>2537</v>
      </c>
      <c r="C16132" s="1" t="s">
        <v>125</v>
      </c>
      <c r="D16132" s="3">
        <f t="shared" si="2638"/>
        <v>6115</v>
      </c>
      <c r="E16132" s="2">
        <f t="shared" si="2639"/>
        <v>39753</v>
      </c>
      <c r="F16132" s="2">
        <f t="shared" si="2640"/>
        <v>41333</v>
      </c>
    </row>
    <row r="16133" spans="1:6" x14ac:dyDescent="0.25">
      <c r="A16133" s="1" t="s">
        <v>2538</v>
      </c>
      <c r="B16133" s="1" t="s">
        <v>2537</v>
      </c>
      <c r="C16133" s="1" t="s">
        <v>126</v>
      </c>
      <c r="D16133" s="3">
        <f t="shared" si="2638"/>
        <v>6115</v>
      </c>
      <c r="E16133" s="2">
        <f t="shared" si="2639"/>
        <v>39753</v>
      </c>
      <c r="F16133" s="2">
        <f t="shared" si="2640"/>
        <v>41333</v>
      </c>
    </row>
    <row r="16134" spans="1:6" x14ac:dyDescent="0.25">
      <c r="A16134" s="1" t="s">
        <v>2538</v>
      </c>
      <c r="B16134" s="1" t="s">
        <v>2537</v>
      </c>
      <c r="C16134" s="1" t="s">
        <v>2149</v>
      </c>
      <c r="D16134" s="3">
        <f t="shared" si="2638"/>
        <v>6115</v>
      </c>
      <c r="E16134" s="2">
        <f t="shared" si="2639"/>
        <v>39753</v>
      </c>
      <c r="F16134" s="2">
        <f t="shared" si="2640"/>
        <v>41333</v>
      </c>
    </row>
    <row r="16135" spans="1:6" x14ac:dyDescent="0.25">
      <c r="A16135" s="1" t="s">
        <v>2538</v>
      </c>
      <c r="B16135" s="1" t="s">
        <v>2537</v>
      </c>
      <c r="C16135" s="1" t="s">
        <v>85</v>
      </c>
      <c r="D16135" s="3">
        <f t="shared" si="2638"/>
        <v>6115</v>
      </c>
      <c r="E16135" s="2">
        <f t="shared" si="2639"/>
        <v>39753</v>
      </c>
      <c r="F16135" s="2">
        <f t="shared" si="2640"/>
        <v>41333</v>
      </c>
    </row>
    <row r="16136" spans="1:6" x14ac:dyDescent="0.25">
      <c r="A16136" s="1" t="s">
        <v>2538</v>
      </c>
      <c r="B16136" s="1" t="s">
        <v>2537</v>
      </c>
      <c r="C16136" s="1" t="s">
        <v>46</v>
      </c>
      <c r="D16136" s="3">
        <f t="shared" si="2638"/>
        <v>6115</v>
      </c>
      <c r="E16136" s="2">
        <f t="shared" si="2639"/>
        <v>39753</v>
      </c>
      <c r="F16136" s="2">
        <f t="shared" si="2640"/>
        <v>41333</v>
      </c>
    </row>
    <row r="16137" spans="1:6" x14ac:dyDescent="0.25">
      <c r="A16137" s="1" t="s">
        <v>2538</v>
      </c>
      <c r="B16137" s="1" t="s">
        <v>2537</v>
      </c>
      <c r="C16137" s="1" t="s">
        <v>16</v>
      </c>
      <c r="D16137" s="3">
        <f t="shared" si="2638"/>
        <v>6115</v>
      </c>
      <c r="E16137" s="2">
        <f t="shared" si="2639"/>
        <v>39753</v>
      </c>
      <c r="F16137" s="2">
        <f t="shared" si="2640"/>
        <v>41333</v>
      </c>
    </row>
    <row r="16138" spans="1:6" x14ac:dyDescent="0.25">
      <c r="A16138" s="1" t="s">
        <v>2538</v>
      </c>
      <c r="B16138" s="1" t="s">
        <v>2537</v>
      </c>
      <c r="C16138" s="1" t="s">
        <v>88</v>
      </c>
      <c r="D16138" s="3">
        <f t="shared" si="2638"/>
        <v>6115</v>
      </c>
      <c r="E16138" s="2">
        <f t="shared" si="2639"/>
        <v>39753</v>
      </c>
      <c r="F16138" s="2">
        <f t="shared" si="2640"/>
        <v>41333</v>
      </c>
    </row>
    <row r="16139" spans="1:6" x14ac:dyDescent="0.25">
      <c r="A16139" s="1" t="s">
        <v>2538</v>
      </c>
      <c r="B16139" s="1" t="s">
        <v>2537</v>
      </c>
      <c r="C16139" s="1" t="s">
        <v>89</v>
      </c>
      <c r="D16139" s="3">
        <f t="shared" si="2638"/>
        <v>6115</v>
      </c>
      <c r="E16139" s="2">
        <f t="shared" si="2639"/>
        <v>39753</v>
      </c>
      <c r="F16139" s="2">
        <f t="shared" si="2640"/>
        <v>41333</v>
      </c>
    </row>
    <row r="16140" spans="1:6" x14ac:dyDescent="0.25">
      <c r="A16140" s="1" t="s">
        <v>2538</v>
      </c>
      <c r="B16140" s="1" t="s">
        <v>2537</v>
      </c>
      <c r="C16140" s="1" t="s">
        <v>90</v>
      </c>
      <c r="D16140" s="3">
        <f t="shared" si="2638"/>
        <v>6115</v>
      </c>
      <c r="E16140" s="2">
        <f t="shared" si="2639"/>
        <v>39753</v>
      </c>
      <c r="F16140" s="2">
        <f t="shared" si="2640"/>
        <v>41333</v>
      </c>
    </row>
    <row r="16141" spans="1:6" x14ac:dyDescent="0.25">
      <c r="A16141" s="1" t="s">
        <v>2538</v>
      </c>
      <c r="B16141" s="1" t="s">
        <v>2537</v>
      </c>
      <c r="C16141" s="1" t="s">
        <v>327</v>
      </c>
      <c r="D16141" s="3">
        <f t="shared" si="2638"/>
        <v>6115</v>
      </c>
      <c r="E16141" s="2">
        <f t="shared" si="2639"/>
        <v>39753</v>
      </c>
      <c r="F16141" s="2">
        <f t="shared" si="2640"/>
        <v>41333</v>
      </c>
    </row>
    <row r="16142" spans="1:6" x14ac:dyDescent="0.25">
      <c r="A16142" s="1" t="s">
        <v>2538</v>
      </c>
      <c r="B16142" s="1" t="s">
        <v>2537</v>
      </c>
      <c r="C16142" s="1" t="s">
        <v>172</v>
      </c>
      <c r="D16142" s="3">
        <f t="shared" si="2638"/>
        <v>6115</v>
      </c>
      <c r="E16142" s="2">
        <f t="shared" si="2639"/>
        <v>39753</v>
      </c>
      <c r="F16142" s="2">
        <f t="shared" si="2640"/>
        <v>41333</v>
      </c>
    </row>
    <row r="16143" spans="1:6" x14ac:dyDescent="0.25">
      <c r="A16143" s="1" t="s">
        <v>2538</v>
      </c>
      <c r="B16143" s="1" t="s">
        <v>2537</v>
      </c>
      <c r="C16143" s="1" t="s">
        <v>93</v>
      </c>
      <c r="D16143" s="3">
        <f t="shared" si="2638"/>
        <v>6115</v>
      </c>
      <c r="E16143" s="2">
        <f t="shared" si="2639"/>
        <v>39753</v>
      </c>
      <c r="F16143" s="2">
        <f t="shared" si="2640"/>
        <v>41333</v>
      </c>
    </row>
    <row r="16144" spans="1:6" x14ac:dyDescent="0.25">
      <c r="A16144" s="1" t="s">
        <v>2538</v>
      </c>
      <c r="B16144" s="1" t="s">
        <v>2537</v>
      </c>
      <c r="C16144" s="1" t="s">
        <v>25</v>
      </c>
      <c r="D16144" s="3">
        <f t="shared" si="2638"/>
        <v>6115</v>
      </c>
      <c r="E16144" s="2">
        <f t="shared" si="2639"/>
        <v>39753</v>
      </c>
      <c r="F16144" s="2">
        <f t="shared" si="2640"/>
        <v>41333</v>
      </c>
    </row>
    <row r="16145" spans="1:6" x14ac:dyDescent="0.25">
      <c r="A16145" s="1" t="s">
        <v>2538</v>
      </c>
      <c r="B16145" s="1" t="s">
        <v>2537</v>
      </c>
      <c r="C16145" s="1" t="s">
        <v>97</v>
      </c>
      <c r="D16145" s="3">
        <f t="shared" si="2638"/>
        <v>6115</v>
      </c>
      <c r="E16145" s="2">
        <f t="shared" si="2639"/>
        <v>39753</v>
      </c>
      <c r="F16145" s="2">
        <f t="shared" si="2640"/>
        <v>41333</v>
      </c>
    </row>
    <row r="16146" spans="1:6" x14ac:dyDescent="0.25">
      <c r="A16146" s="1" t="s">
        <v>2538</v>
      </c>
      <c r="B16146" s="1" t="s">
        <v>2537</v>
      </c>
      <c r="C16146" s="1" t="s">
        <v>98</v>
      </c>
      <c r="D16146" s="3">
        <f t="shared" si="2638"/>
        <v>6115</v>
      </c>
      <c r="E16146" s="2">
        <f t="shared" si="2639"/>
        <v>39753</v>
      </c>
      <c r="F16146" s="2">
        <f t="shared" si="2640"/>
        <v>41333</v>
      </c>
    </row>
    <row r="16147" spans="1:6" x14ac:dyDescent="0.25">
      <c r="A16147" s="1" t="s">
        <v>2538</v>
      </c>
      <c r="B16147" s="1" t="s">
        <v>2537</v>
      </c>
      <c r="C16147" s="1" t="s">
        <v>99</v>
      </c>
      <c r="D16147" s="3">
        <f t="shared" si="2638"/>
        <v>6115</v>
      </c>
      <c r="E16147" s="2">
        <f t="shared" si="2639"/>
        <v>39753</v>
      </c>
      <c r="F16147" s="2">
        <f t="shared" si="2640"/>
        <v>41333</v>
      </c>
    </row>
    <row r="16148" spans="1:6" x14ac:dyDescent="0.25">
      <c r="A16148" s="1" t="s">
        <v>2538</v>
      </c>
      <c r="B16148" s="1" t="s">
        <v>2537</v>
      </c>
      <c r="C16148" s="1" t="s">
        <v>207</v>
      </c>
      <c r="D16148" s="3">
        <f t="shared" si="2638"/>
        <v>6115</v>
      </c>
      <c r="E16148" s="2">
        <f t="shared" si="2639"/>
        <v>39753</v>
      </c>
      <c r="F16148" s="2">
        <f t="shared" si="2640"/>
        <v>41333</v>
      </c>
    </row>
    <row r="16149" spans="1:6" x14ac:dyDescent="0.25">
      <c r="A16149" s="1" t="s">
        <v>2538</v>
      </c>
      <c r="B16149" s="1" t="s">
        <v>2537</v>
      </c>
      <c r="C16149" s="1" t="s">
        <v>208</v>
      </c>
      <c r="D16149" s="3">
        <f t="shared" ref="D16149:D16172" si="2641">VALUE("6115")</f>
        <v>6115</v>
      </c>
      <c r="E16149" s="2">
        <f t="shared" ref="E16149:E16172" si="2642">DATEVALUE("1-11-2008")</f>
        <v>39753</v>
      </c>
      <c r="F16149" s="2">
        <f t="shared" ref="F16149:F16172" si="2643">DATEVALUE("28-2-2013")</f>
        <v>41333</v>
      </c>
    </row>
    <row r="16150" spans="1:6" x14ac:dyDescent="0.25">
      <c r="A16150" s="1" t="s">
        <v>2538</v>
      </c>
      <c r="B16150" s="1" t="s">
        <v>2537</v>
      </c>
      <c r="C16150" s="1" t="s">
        <v>71</v>
      </c>
      <c r="D16150" s="3">
        <f t="shared" si="2641"/>
        <v>6115</v>
      </c>
      <c r="E16150" s="2">
        <f t="shared" si="2642"/>
        <v>39753</v>
      </c>
      <c r="F16150" s="2">
        <f t="shared" si="2643"/>
        <v>41333</v>
      </c>
    </row>
    <row r="16151" spans="1:6" x14ac:dyDescent="0.25">
      <c r="A16151" s="1" t="s">
        <v>2538</v>
      </c>
      <c r="B16151" s="1" t="s">
        <v>2537</v>
      </c>
      <c r="C16151" s="1" t="s">
        <v>100</v>
      </c>
      <c r="D16151" s="3">
        <f t="shared" si="2641"/>
        <v>6115</v>
      </c>
      <c r="E16151" s="2">
        <f t="shared" si="2642"/>
        <v>39753</v>
      </c>
      <c r="F16151" s="2">
        <f t="shared" si="2643"/>
        <v>41333</v>
      </c>
    </row>
    <row r="16152" spans="1:6" x14ac:dyDescent="0.25">
      <c r="A16152" s="1" t="s">
        <v>2538</v>
      </c>
      <c r="B16152" s="1" t="s">
        <v>2537</v>
      </c>
      <c r="C16152" s="1" t="s">
        <v>101</v>
      </c>
      <c r="D16152" s="3">
        <f t="shared" si="2641"/>
        <v>6115</v>
      </c>
      <c r="E16152" s="2">
        <f t="shared" si="2642"/>
        <v>39753</v>
      </c>
      <c r="F16152" s="2">
        <f t="shared" si="2643"/>
        <v>41333</v>
      </c>
    </row>
    <row r="16153" spans="1:6" x14ac:dyDescent="0.25">
      <c r="A16153" s="1" t="s">
        <v>2538</v>
      </c>
      <c r="B16153" s="1" t="s">
        <v>2537</v>
      </c>
      <c r="C16153" s="1" t="s">
        <v>27</v>
      </c>
      <c r="D16153" s="3">
        <f t="shared" si="2641"/>
        <v>6115</v>
      </c>
      <c r="E16153" s="2">
        <f t="shared" si="2642"/>
        <v>39753</v>
      </c>
      <c r="F16153" s="2">
        <f t="shared" si="2643"/>
        <v>41333</v>
      </c>
    </row>
    <row r="16154" spans="1:6" x14ac:dyDescent="0.25">
      <c r="A16154" s="1" t="s">
        <v>2538</v>
      </c>
      <c r="B16154" s="1" t="s">
        <v>2537</v>
      </c>
      <c r="C16154" s="1" t="s">
        <v>262</v>
      </c>
      <c r="D16154" s="3">
        <f t="shared" si="2641"/>
        <v>6115</v>
      </c>
      <c r="E16154" s="2">
        <f t="shared" si="2642"/>
        <v>39753</v>
      </c>
      <c r="F16154" s="2">
        <f t="shared" si="2643"/>
        <v>41333</v>
      </c>
    </row>
    <row r="16155" spans="1:6" x14ac:dyDescent="0.25">
      <c r="A16155" s="1" t="s">
        <v>2538</v>
      </c>
      <c r="B16155" s="1" t="s">
        <v>2537</v>
      </c>
      <c r="C16155" s="1" t="s">
        <v>105</v>
      </c>
      <c r="D16155" s="3">
        <f t="shared" si="2641"/>
        <v>6115</v>
      </c>
      <c r="E16155" s="2">
        <f t="shared" si="2642"/>
        <v>39753</v>
      </c>
      <c r="F16155" s="2">
        <f t="shared" si="2643"/>
        <v>41333</v>
      </c>
    </row>
    <row r="16156" spans="1:6" x14ac:dyDescent="0.25">
      <c r="A16156" s="1" t="s">
        <v>2538</v>
      </c>
      <c r="B16156" s="1" t="s">
        <v>2537</v>
      </c>
      <c r="C16156" s="1" t="s">
        <v>106</v>
      </c>
      <c r="D16156" s="3">
        <f t="shared" si="2641"/>
        <v>6115</v>
      </c>
      <c r="E16156" s="2">
        <f t="shared" si="2642"/>
        <v>39753</v>
      </c>
      <c r="F16156" s="2">
        <f t="shared" si="2643"/>
        <v>41333</v>
      </c>
    </row>
    <row r="16157" spans="1:6" x14ac:dyDescent="0.25">
      <c r="A16157" s="1" t="s">
        <v>2538</v>
      </c>
      <c r="B16157" s="1" t="s">
        <v>2537</v>
      </c>
      <c r="C16157" s="1" t="s">
        <v>107</v>
      </c>
      <c r="D16157" s="3">
        <f t="shared" si="2641"/>
        <v>6115</v>
      </c>
      <c r="E16157" s="2">
        <f t="shared" si="2642"/>
        <v>39753</v>
      </c>
      <c r="F16157" s="2">
        <f t="shared" si="2643"/>
        <v>41333</v>
      </c>
    </row>
    <row r="16158" spans="1:6" x14ac:dyDescent="0.25">
      <c r="A16158" s="1" t="s">
        <v>2538</v>
      </c>
      <c r="B16158" s="1" t="s">
        <v>2537</v>
      </c>
      <c r="C16158" s="1" t="s">
        <v>32</v>
      </c>
      <c r="D16158" s="3">
        <f t="shared" si="2641"/>
        <v>6115</v>
      </c>
      <c r="E16158" s="2">
        <f t="shared" si="2642"/>
        <v>39753</v>
      </c>
      <c r="F16158" s="2">
        <f t="shared" si="2643"/>
        <v>41333</v>
      </c>
    </row>
    <row r="16159" spans="1:6" x14ac:dyDescent="0.25">
      <c r="A16159" s="1" t="s">
        <v>2538</v>
      </c>
      <c r="B16159" s="1" t="s">
        <v>2537</v>
      </c>
      <c r="C16159" s="1" t="s">
        <v>108</v>
      </c>
      <c r="D16159" s="3">
        <f t="shared" si="2641"/>
        <v>6115</v>
      </c>
      <c r="E16159" s="2">
        <f t="shared" si="2642"/>
        <v>39753</v>
      </c>
      <c r="F16159" s="2">
        <f t="shared" si="2643"/>
        <v>41333</v>
      </c>
    </row>
    <row r="16160" spans="1:6" x14ac:dyDescent="0.25">
      <c r="A16160" s="1" t="s">
        <v>2538</v>
      </c>
      <c r="B16160" s="1" t="s">
        <v>2537</v>
      </c>
      <c r="C16160" s="1" t="s">
        <v>109</v>
      </c>
      <c r="D16160" s="3">
        <f t="shared" si="2641"/>
        <v>6115</v>
      </c>
      <c r="E16160" s="2">
        <f t="shared" si="2642"/>
        <v>39753</v>
      </c>
      <c r="F16160" s="2">
        <f t="shared" si="2643"/>
        <v>41333</v>
      </c>
    </row>
    <row r="16161" spans="1:6" x14ac:dyDescent="0.25">
      <c r="A16161" s="1" t="s">
        <v>2538</v>
      </c>
      <c r="B16161" s="1" t="s">
        <v>2537</v>
      </c>
      <c r="C16161" s="1" t="s">
        <v>110</v>
      </c>
      <c r="D16161" s="3">
        <f t="shared" si="2641"/>
        <v>6115</v>
      </c>
      <c r="E16161" s="2">
        <f t="shared" si="2642"/>
        <v>39753</v>
      </c>
      <c r="F16161" s="2">
        <f t="shared" si="2643"/>
        <v>41333</v>
      </c>
    </row>
    <row r="16162" spans="1:6" x14ac:dyDescent="0.25">
      <c r="A16162" s="1" t="s">
        <v>2538</v>
      </c>
      <c r="B16162" s="1" t="s">
        <v>2537</v>
      </c>
      <c r="C16162" s="1" t="s">
        <v>111</v>
      </c>
      <c r="D16162" s="3">
        <f t="shared" si="2641"/>
        <v>6115</v>
      </c>
      <c r="E16162" s="2">
        <f t="shared" si="2642"/>
        <v>39753</v>
      </c>
      <c r="F16162" s="2">
        <f t="shared" si="2643"/>
        <v>41333</v>
      </c>
    </row>
    <row r="16163" spans="1:6" x14ac:dyDescent="0.25">
      <c r="A16163" s="1" t="s">
        <v>2538</v>
      </c>
      <c r="B16163" s="1" t="s">
        <v>2537</v>
      </c>
      <c r="C16163" s="1" t="s">
        <v>112</v>
      </c>
      <c r="D16163" s="3">
        <f t="shared" si="2641"/>
        <v>6115</v>
      </c>
      <c r="E16163" s="2">
        <f t="shared" si="2642"/>
        <v>39753</v>
      </c>
      <c r="F16163" s="2">
        <f t="shared" si="2643"/>
        <v>41333</v>
      </c>
    </row>
    <row r="16164" spans="1:6" x14ac:dyDescent="0.25">
      <c r="A16164" s="1" t="s">
        <v>2538</v>
      </c>
      <c r="B16164" s="1" t="s">
        <v>2537</v>
      </c>
      <c r="C16164" s="1" t="s">
        <v>113</v>
      </c>
      <c r="D16164" s="3">
        <f t="shared" si="2641"/>
        <v>6115</v>
      </c>
      <c r="E16164" s="2">
        <f t="shared" si="2642"/>
        <v>39753</v>
      </c>
      <c r="F16164" s="2">
        <f t="shared" si="2643"/>
        <v>41333</v>
      </c>
    </row>
    <row r="16165" spans="1:6" x14ac:dyDescent="0.25">
      <c r="A16165" s="1" t="s">
        <v>2538</v>
      </c>
      <c r="B16165" s="1" t="s">
        <v>2537</v>
      </c>
      <c r="C16165" s="1" t="s">
        <v>33</v>
      </c>
      <c r="D16165" s="3">
        <f t="shared" si="2641"/>
        <v>6115</v>
      </c>
      <c r="E16165" s="2">
        <f t="shared" si="2642"/>
        <v>39753</v>
      </c>
      <c r="F16165" s="2">
        <f t="shared" si="2643"/>
        <v>41333</v>
      </c>
    </row>
    <row r="16166" spans="1:6" x14ac:dyDescent="0.25">
      <c r="A16166" s="1" t="s">
        <v>2538</v>
      </c>
      <c r="B16166" s="1" t="s">
        <v>2537</v>
      </c>
      <c r="C16166" s="1" t="s">
        <v>114</v>
      </c>
      <c r="D16166" s="3">
        <f t="shared" si="2641"/>
        <v>6115</v>
      </c>
      <c r="E16166" s="2">
        <f t="shared" si="2642"/>
        <v>39753</v>
      </c>
      <c r="F16166" s="2">
        <f t="shared" si="2643"/>
        <v>41333</v>
      </c>
    </row>
    <row r="16167" spans="1:6" x14ac:dyDescent="0.25">
      <c r="A16167" s="1" t="s">
        <v>2538</v>
      </c>
      <c r="B16167" s="1" t="s">
        <v>2537</v>
      </c>
      <c r="C16167" s="1" t="s">
        <v>333</v>
      </c>
      <c r="D16167" s="3">
        <f t="shared" si="2641"/>
        <v>6115</v>
      </c>
      <c r="E16167" s="2">
        <f t="shared" si="2642"/>
        <v>39753</v>
      </c>
      <c r="F16167" s="2">
        <f t="shared" si="2643"/>
        <v>41333</v>
      </c>
    </row>
    <row r="16168" spans="1:6" x14ac:dyDescent="0.25">
      <c r="A16168" s="1" t="s">
        <v>2538</v>
      </c>
      <c r="B16168" s="1" t="s">
        <v>2537</v>
      </c>
      <c r="C16168" s="1" t="s">
        <v>116</v>
      </c>
      <c r="D16168" s="3">
        <f t="shared" si="2641"/>
        <v>6115</v>
      </c>
      <c r="E16168" s="2">
        <f t="shared" si="2642"/>
        <v>39753</v>
      </c>
      <c r="F16168" s="2">
        <f t="shared" si="2643"/>
        <v>41333</v>
      </c>
    </row>
    <row r="16169" spans="1:6" x14ac:dyDescent="0.25">
      <c r="A16169" s="1" t="s">
        <v>2538</v>
      </c>
      <c r="B16169" s="1" t="s">
        <v>2537</v>
      </c>
      <c r="C16169" s="1" t="s">
        <v>57</v>
      </c>
      <c r="D16169" s="3">
        <f t="shared" si="2641"/>
        <v>6115</v>
      </c>
      <c r="E16169" s="2">
        <f t="shared" si="2642"/>
        <v>39753</v>
      </c>
      <c r="F16169" s="2">
        <f t="shared" si="2643"/>
        <v>41333</v>
      </c>
    </row>
    <row r="16170" spans="1:6" x14ac:dyDescent="0.25">
      <c r="A16170" s="1" t="s">
        <v>2538</v>
      </c>
      <c r="B16170" s="1" t="s">
        <v>2537</v>
      </c>
      <c r="C16170" s="1" t="s">
        <v>36</v>
      </c>
      <c r="D16170" s="3">
        <f t="shared" si="2641"/>
        <v>6115</v>
      </c>
      <c r="E16170" s="2">
        <f t="shared" si="2642"/>
        <v>39753</v>
      </c>
      <c r="F16170" s="2">
        <f t="shared" si="2643"/>
        <v>41333</v>
      </c>
    </row>
    <row r="16171" spans="1:6" x14ac:dyDescent="0.25">
      <c r="A16171" s="1" t="s">
        <v>2538</v>
      </c>
      <c r="B16171" s="1" t="s">
        <v>2537</v>
      </c>
      <c r="C16171" s="1" t="s">
        <v>133</v>
      </c>
      <c r="D16171" s="3">
        <f t="shared" si="2641"/>
        <v>6115</v>
      </c>
      <c r="E16171" s="2">
        <f t="shared" si="2642"/>
        <v>39753</v>
      </c>
      <c r="F16171" s="2">
        <f t="shared" si="2643"/>
        <v>41333</v>
      </c>
    </row>
    <row r="16172" spans="1:6" x14ac:dyDescent="0.25">
      <c r="A16172" s="1" t="s">
        <v>2538</v>
      </c>
      <c r="B16172" s="1" t="s">
        <v>2537</v>
      </c>
      <c r="C16172" s="1" t="s">
        <v>134</v>
      </c>
      <c r="D16172" s="3">
        <f t="shared" si="2641"/>
        <v>6115</v>
      </c>
      <c r="E16172" s="2">
        <f t="shared" si="2642"/>
        <v>39753</v>
      </c>
      <c r="F16172" s="2">
        <f t="shared" si="2643"/>
        <v>41333</v>
      </c>
    </row>
    <row r="16173" spans="1:6" x14ac:dyDescent="0.25">
      <c r="A16173" s="1" t="s">
        <v>1131</v>
      </c>
      <c r="B16173" s="1" t="s">
        <v>1130</v>
      </c>
      <c r="C16173" s="1" t="s">
        <v>142</v>
      </c>
      <c r="D16173" s="3">
        <f t="shared" ref="D16173:D16187" si="2644">VALUE("8403")</f>
        <v>8403</v>
      </c>
      <c r="E16173" s="2">
        <f t="shared" ref="E16173:E16187" si="2645">DATEVALUE("1-1-2019")</f>
        <v>43466</v>
      </c>
      <c r="F16173" s="2">
        <f t="shared" ref="F16173:F16187" si="2646">DATEVALUE("31-12-2020")</f>
        <v>44196</v>
      </c>
    </row>
    <row r="16174" spans="1:6" x14ac:dyDescent="0.25">
      <c r="A16174" s="1" t="s">
        <v>1131</v>
      </c>
      <c r="B16174" s="1" t="s">
        <v>1130</v>
      </c>
      <c r="C16174" s="1" t="s">
        <v>14</v>
      </c>
      <c r="D16174" s="3">
        <f t="shared" si="2644"/>
        <v>8403</v>
      </c>
      <c r="E16174" s="2">
        <f t="shared" si="2645"/>
        <v>43466</v>
      </c>
      <c r="F16174" s="2">
        <f t="shared" si="2646"/>
        <v>44196</v>
      </c>
    </row>
    <row r="16175" spans="1:6" x14ac:dyDescent="0.25">
      <c r="A16175" s="1" t="s">
        <v>1131</v>
      </c>
      <c r="B16175" s="1" t="s">
        <v>1130</v>
      </c>
      <c r="C16175" s="1" t="s">
        <v>17</v>
      </c>
      <c r="D16175" s="3">
        <f t="shared" si="2644"/>
        <v>8403</v>
      </c>
      <c r="E16175" s="2">
        <f t="shared" si="2645"/>
        <v>43466</v>
      </c>
      <c r="F16175" s="2">
        <f t="shared" si="2646"/>
        <v>44196</v>
      </c>
    </row>
    <row r="16176" spans="1:6" x14ac:dyDescent="0.25">
      <c r="A16176" s="1" t="s">
        <v>1131</v>
      </c>
      <c r="B16176" s="1" t="s">
        <v>1130</v>
      </c>
      <c r="C16176" s="1" t="s">
        <v>168</v>
      </c>
      <c r="D16176" s="3">
        <f t="shared" si="2644"/>
        <v>8403</v>
      </c>
      <c r="E16176" s="2">
        <f t="shared" si="2645"/>
        <v>43466</v>
      </c>
      <c r="F16176" s="2">
        <f t="shared" si="2646"/>
        <v>44196</v>
      </c>
    </row>
    <row r="16177" spans="1:6" x14ac:dyDescent="0.25">
      <c r="A16177" s="1" t="s">
        <v>1131</v>
      </c>
      <c r="B16177" s="1" t="s">
        <v>1130</v>
      </c>
      <c r="C16177" s="1" t="s">
        <v>258</v>
      </c>
      <c r="D16177" s="3">
        <f t="shared" si="2644"/>
        <v>8403</v>
      </c>
      <c r="E16177" s="2">
        <f t="shared" si="2645"/>
        <v>43466</v>
      </c>
      <c r="F16177" s="2">
        <f t="shared" si="2646"/>
        <v>44196</v>
      </c>
    </row>
    <row r="16178" spans="1:6" x14ac:dyDescent="0.25">
      <c r="A16178" s="1" t="s">
        <v>1131</v>
      </c>
      <c r="B16178" s="1" t="s">
        <v>1130</v>
      </c>
      <c r="C16178" s="1" t="s">
        <v>146</v>
      </c>
      <c r="D16178" s="3">
        <f t="shared" si="2644"/>
        <v>8403</v>
      </c>
      <c r="E16178" s="2">
        <f t="shared" si="2645"/>
        <v>43466</v>
      </c>
      <c r="F16178" s="2">
        <f t="shared" si="2646"/>
        <v>44196</v>
      </c>
    </row>
    <row r="16179" spans="1:6" x14ac:dyDescent="0.25">
      <c r="A16179" s="1" t="s">
        <v>1131</v>
      </c>
      <c r="B16179" s="1" t="s">
        <v>1130</v>
      </c>
      <c r="C16179" s="1" t="s">
        <v>67</v>
      </c>
      <c r="D16179" s="3">
        <f t="shared" si="2644"/>
        <v>8403</v>
      </c>
      <c r="E16179" s="2">
        <f t="shared" si="2645"/>
        <v>43466</v>
      </c>
      <c r="F16179" s="2">
        <f t="shared" si="2646"/>
        <v>44196</v>
      </c>
    </row>
    <row r="16180" spans="1:6" x14ac:dyDescent="0.25">
      <c r="A16180" s="1" t="s">
        <v>1131</v>
      </c>
      <c r="B16180" s="1" t="s">
        <v>1130</v>
      </c>
      <c r="C16180" s="1" t="s">
        <v>149</v>
      </c>
      <c r="D16180" s="3">
        <f t="shared" si="2644"/>
        <v>8403</v>
      </c>
      <c r="E16180" s="2">
        <f t="shared" si="2645"/>
        <v>43466</v>
      </c>
      <c r="F16180" s="2">
        <f t="shared" si="2646"/>
        <v>44196</v>
      </c>
    </row>
    <row r="16181" spans="1:6" x14ac:dyDescent="0.25">
      <c r="A16181" s="1" t="s">
        <v>1131</v>
      </c>
      <c r="B16181" s="1" t="s">
        <v>1130</v>
      </c>
      <c r="C16181" s="1" t="s">
        <v>92</v>
      </c>
      <c r="D16181" s="3">
        <f t="shared" si="2644"/>
        <v>8403</v>
      </c>
      <c r="E16181" s="2">
        <f t="shared" si="2645"/>
        <v>43466</v>
      </c>
      <c r="F16181" s="2">
        <f t="shared" si="2646"/>
        <v>44196</v>
      </c>
    </row>
    <row r="16182" spans="1:6" x14ac:dyDescent="0.25">
      <c r="A16182" s="1" t="s">
        <v>1131</v>
      </c>
      <c r="B16182" s="1" t="s">
        <v>1130</v>
      </c>
      <c r="C16182" s="1" t="s">
        <v>24</v>
      </c>
      <c r="D16182" s="3">
        <f t="shared" si="2644"/>
        <v>8403</v>
      </c>
      <c r="E16182" s="2">
        <f t="shared" si="2645"/>
        <v>43466</v>
      </c>
      <c r="F16182" s="2">
        <f t="shared" si="2646"/>
        <v>44196</v>
      </c>
    </row>
    <row r="16183" spans="1:6" x14ac:dyDescent="0.25">
      <c r="A16183" s="1" t="s">
        <v>1131</v>
      </c>
      <c r="B16183" s="1" t="s">
        <v>1130</v>
      </c>
      <c r="C16183" s="1" t="s">
        <v>26</v>
      </c>
      <c r="D16183" s="3">
        <f t="shared" si="2644"/>
        <v>8403</v>
      </c>
      <c r="E16183" s="2">
        <f t="shared" si="2645"/>
        <v>43466</v>
      </c>
      <c r="F16183" s="2">
        <f t="shared" si="2646"/>
        <v>44196</v>
      </c>
    </row>
    <row r="16184" spans="1:6" x14ac:dyDescent="0.25">
      <c r="A16184" s="1" t="s">
        <v>1131</v>
      </c>
      <c r="B16184" s="1" t="s">
        <v>1130</v>
      </c>
      <c r="C16184" s="1" t="s">
        <v>533</v>
      </c>
      <c r="D16184" s="3">
        <f t="shared" si="2644"/>
        <v>8403</v>
      </c>
      <c r="E16184" s="2">
        <f t="shared" si="2645"/>
        <v>43466</v>
      </c>
      <c r="F16184" s="2">
        <f t="shared" si="2646"/>
        <v>44196</v>
      </c>
    </row>
    <row r="16185" spans="1:6" x14ac:dyDescent="0.25">
      <c r="A16185" s="1" t="s">
        <v>1131</v>
      </c>
      <c r="B16185" s="1" t="s">
        <v>1130</v>
      </c>
      <c r="C16185" s="1" t="s">
        <v>160</v>
      </c>
      <c r="D16185" s="3">
        <f t="shared" si="2644"/>
        <v>8403</v>
      </c>
      <c r="E16185" s="2">
        <f t="shared" si="2645"/>
        <v>43466</v>
      </c>
      <c r="F16185" s="2">
        <f t="shared" si="2646"/>
        <v>44196</v>
      </c>
    </row>
    <row r="16186" spans="1:6" x14ac:dyDescent="0.25">
      <c r="A16186" s="1" t="s">
        <v>1131</v>
      </c>
      <c r="B16186" s="1" t="s">
        <v>1130</v>
      </c>
      <c r="C16186" s="1" t="s">
        <v>34</v>
      </c>
      <c r="D16186" s="3">
        <f t="shared" si="2644"/>
        <v>8403</v>
      </c>
      <c r="E16186" s="2">
        <f t="shared" si="2645"/>
        <v>43466</v>
      </c>
      <c r="F16186" s="2">
        <f t="shared" si="2646"/>
        <v>44196</v>
      </c>
    </row>
    <row r="16187" spans="1:6" x14ac:dyDescent="0.25">
      <c r="A16187" s="1" t="s">
        <v>1131</v>
      </c>
      <c r="B16187" s="1" t="s">
        <v>1130</v>
      </c>
      <c r="C16187" s="1" t="s">
        <v>133</v>
      </c>
      <c r="D16187" s="3">
        <f t="shared" si="2644"/>
        <v>8403</v>
      </c>
      <c r="E16187" s="2">
        <f t="shared" si="2645"/>
        <v>43466</v>
      </c>
      <c r="F16187" s="2">
        <f t="shared" si="2646"/>
        <v>44196</v>
      </c>
    </row>
    <row r="16188" spans="1:6" x14ac:dyDescent="0.25">
      <c r="A16188" s="1" t="s">
        <v>1131</v>
      </c>
      <c r="B16188" s="1" t="s">
        <v>1910</v>
      </c>
      <c r="C16188" s="1" t="s">
        <v>7</v>
      </c>
      <c r="D16188" s="3">
        <f t="shared" ref="D16188:D16216" si="2647">VALUE("7468")</f>
        <v>7468</v>
      </c>
      <c r="E16188" s="2">
        <f t="shared" ref="E16188:E16216" si="2648">DATEVALUE("1-3-2013")</f>
        <v>41334</v>
      </c>
      <c r="F16188" s="2">
        <f t="shared" ref="F16188:F16216" si="2649">DATEVALUE("31-12-2013")</f>
        <v>41639</v>
      </c>
    </row>
    <row r="16189" spans="1:6" x14ac:dyDescent="0.25">
      <c r="A16189" s="1" t="s">
        <v>1131</v>
      </c>
      <c r="B16189" s="1" t="s">
        <v>1910</v>
      </c>
      <c r="C16189" s="1" t="s">
        <v>8</v>
      </c>
      <c r="D16189" s="3">
        <f t="shared" si="2647"/>
        <v>7468</v>
      </c>
      <c r="E16189" s="2">
        <f t="shared" si="2648"/>
        <v>41334</v>
      </c>
      <c r="F16189" s="2">
        <f t="shared" si="2649"/>
        <v>41639</v>
      </c>
    </row>
    <row r="16190" spans="1:6" x14ac:dyDescent="0.25">
      <c r="A16190" s="1" t="s">
        <v>1131</v>
      </c>
      <c r="B16190" s="1" t="s">
        <v>1910</v>
      </c>
      <c r="C16190" s="1" t="s">
        <v>10</v>
      </c>
      <c r="D16190" s="3">
        <f t="shared" si="2647"/>
        <v>7468</v>
      </c>
      <c r="E16190" s="2">
        <f t="shared" si="2648"/>
        <v>41334</v>
      </c>
      <c r="F16190" s="2">
        <f t="shared" si="2649"/>
        <v>41639</v>
      </c>
    </row>
    <row r="16191" spans="1:6" x14ac:dyDescent="0.25">
      <c r="A16191" s="1" t="s">
        <v>1131</v>
      </c>
      <c r="B16191" s="1" t="s">
        <v>1910</v>
      </c>
      <c r="C16191" s="1" t="s">
        <v>12</v>
      </c>
      <c r="D16191" s="3">
        <f t="shared" si="2647"/>
        <v>7468</v>
      </c>
      <c r="E16191" s="2">
        <f t="shared" si="2648"/>
        <v>41334</v>
      </c>
      <c r="F16191" s="2">
        <f t="shared" si="2649"/>
        <v>41639</v>
      </c>
    </row>
    <row r="16192" spans="1:6" x14ac:dyDescent="0.25">
      <c r="A16192" s="1" t="s">
        <v>1131</v>
      </c>
      <c r="B16192" s="1" t="s">
        <v>1910</v>
      </c>
      <c r="C16192" s="1" t="s">
        <v>13</v>
      </c>
      <c r="D16192" s="3">
        <f t="shared" si="2647"/>
        <v>7468</v>
      </c>
      <c r="E16192" s="2">
        <f t="shared" si="2648"/>
        <v>41334</v>
      </c>
      <c r="F16192" s="2">
        <f t="shared" si="2649"/>
        <v>41639</v>
      </c>
    </row>
    <row r="16193" spans="1:6" x14ac:dyDescent="0.25">
      <c r="A16193" s="1" t="s">
        <v>1131</v>
      </c>
      <c r="B16193" s="1" t="s">
        <v>1910</v>
      </c>
      <c r="C16193" s="1" t="s">
        <v>66</v>
      </c>
      <c r="D16193" s="3">
        <f t="shared" si="2647"/>
        <v>7468</v>
      </c>
      <c r="E16193" s="2">
        <f t="shared" si="2648"/>
        <v>41334</v>
      </c>
      <c r="F16193" s="2">
        <f t="shared" si="2649"/>
        <v>41639</v>
      </c>
    </row>
    <row r="16194" spans="1:6" x14ac:dyDescent="0.25">
      <c r="A16194" s="1" t="s">
        <v>1131</v>
      </c>
      <c r="B16194" s="1" t="s">
        <v>1910</v>
      </c>
      <c r="C16194" s="1" t="s">
        <v>15</v>
      </c>
      <c r="D16194" s="3">
        <f t="shared" si="2647"/>
        <v>7468</v>
      </c>
      <c r="E16194" s="2">
        <f t="shared" si="2648"/>
        <v>41334</v>
      </c>
      <c r="F16194" s="2">
        <f t="shared" si="2649"/>
        <v>41639</v>
      </c>
    </row>
    <row r="16195" spans="1:6" x14ac:dyDescent="0.25">
      <c r="A16195" s="1" t="s">
        <v>1131</v>
      </c>
      <c r="B16195" s="1" t="s">
        <v>1910</v>
      </c>
      <c r="C16195" s="1" t="s">
        <v>17</v>
      </c>
      <c r="D16195" s="3">
        <f t="shared" si="2647"/>
        <v>7468</v>
      </c>
      <c r="E16195" s="2">
        <f t="shared" si="2648"/>
        <v>41334</v>
      </c>
      <c r="F16195" s="2">
        <f t="shared" si="2649"/>
        <v>41639</v>
      </c>
    </row>
    <row r="16196" spans="1:6" x14ac:dyDescent="0.25">
      <c r="A16196" s="1" t="s">
        <v>1131</v>
      </c>
      <c r="B16196" s="1" t="s">
        <v>1910</v>
      </c>
      <c r="C16196" s="1" t="s">
        <v>22</v>
      </c>
      <c r="D16196" s="3">
        <f t="shared" si="2647"/>
        <v>7468</v>
      </c>
      <c r="E16196" s="2">
        <f t="shared" si="2648"/>
        <v>41334</v>
      </c>
      <c r="F16196" s="2">
        <f t="shared" si="2649"/>
        <v>41639</v>
      </c>
    </row>
    <row r="16197" spans="1:6" x14ac:dyDescent="0.25">
      <c r="A16197" s="1" t="s">
        <v>1131</v>
      </c>
      <c r="B16197" s="1" t="s">
        <v>1910</v>
      </c>
      <c r="C16197" s="1" t="s">
        <v>220</v>
      </c>
      <c r="D16197" s="3">
        <f t="shared" si="2647"/>
        <v>7468</v>
      </c>
      <c r="E16197" s="2">
        <f t="shared" si="2648"/>
        <v>41334</v>
      </c>
      <c r="F16197" s="2">
        <f t="shared" si="2649"/>
        <v>41639</v>
      </c>
    </row>
    <row r="16198" spans="1:6" x14ac:dyDescent="0.25">
      <c r="A16198" s="1" t="s">
        <v>1131</v>
      </c>
      <c r="B16198" s="1" t="s">
        <v>1910</v>
      </c>
      <c r="C16198" s="1" t="s">
        <v>222</v>
      </c>
      <c r="D16198" s="3">
        <f t="shared" si="2647"/>
        <v>7468</v>
      </c>
      <c r="E16198" s="2">
        <f t="shared" si="2648"/>
        <v>41334</v>
      </c>
      <c r="F16198" s="2">
        <f t="shared" si="2649"/>
        <v>41639</v>
      </c>
    </row>
    <row r="16199" spans="1:6" x14ac:dyDescent="0.25">
      <c r="A16199" s="1" t="s">
        <v>1131</v>
      </c>
      <c r="B16199" s="1" t="s">
        <v>1910</v>
      </c>
      <c r="C16199" s="1" t="s">
        <v>227</v>
      </c>
      <c r="D16199" s="3">
        <f t="shared" si="2647"/>
        <v>7468</v>
      </c>
      <c r="E16199" s="2">
        <f t="shared" si="2648"/>
        <v>41334</v>
      </c>
      <c r="F16199" s="2">
        <f t="shared" si="2649"/>
        <v>41639</v>
      </c>
    </row>
    <row r="16200" spans="1:6" x14ac:dyDescent="0.25">
      <c r="A16200" s="1" t="s">
        <v>1131</v>
      </c>
      <c r="B16200" s="1" t="s">
        <v>1910</v>
      </c>
      <c r="C16200" s="1" t="s">
        <v>228</v>
      </c>
      <c r="D16200" s="3">
        <f t="shared" si="2647"/>
        <v>7468</v>
      </c>
      <c r="E16200" s="2">
        <f t="shared" si="2648"/>
        <v>41334</v>
      </c>
      <c r="F16200" s="2">
        <f t="shared" si="2649"/>
        <v>41639</v>
      </c>
    </row>
    <row r="16201" spans="1:6" x14ac:dyDescent="0.25">
      <c r="A16201" s="1" t="s">
        <v>1131</v>
      </c>
      <c r="B16201" s="1" t="s">
        <v>1910</v>
      </c>
      <c r="C16201" s="1" t="s">
        <v>28</v>
      </c>
      <c r="D16201" s="3">
        <f t="shared" si="2647"/>
        <v>7468</v>
      </c>
      <c r="E16201" s="2">
        <f t="shared" si="2648"/>
        <v>41334</v>
      </c>
      <c r="F16201" s="2">
        <f t="shared" si="2649"/>
        <v>41639</v>
      </c>
    </row>
    <row r="16202" spans="1:6" x14ac:dyDescent="0.25">
      <c r="A16202" s="1" t="s">
        <v>1131</v>
      </c>
      <c r="B16202" s="1" t="s">
        <v>1910</v>
      </c>
      <c r="C16202" s="1" t="s">
        <v>229</v>
      </c>
      <c r="D16202" s="3">
        <f t="shared" si="2647"/>
        <v>7468</v>
      </c>
      <c r="E16202" s="2">
        <f t="shared" si="2648"/>
        <v>41334</v>
      </c>
      <c r="F16202" s="2">
        <f t="shared" si="2649"/>
        <v>41639</v>
      </c>
    </row>
    <row r="16203" spans="1:6" x14ac:dyDescent="0.25">
      <c r="A16203" s="1" t="s">
        <v>1131</v>
      </c>
      <c r="B16203" s="1" t="s">
        <v>1910</v>
      </c>
      <c r="C16203" s="1" t="s">
        <v>29</v>
      </c>
      <c r="D16203" s="3">
        <f t="shared" si="2647"/>
        <v>7468</v>
      </c>
      <c r="E16203" s="2">
        <f t="shared" si="2648"/>
        <v>41334</v>
      </c>
      <c r="F16203" s="2">
        <f t="shared" si="2649"/>
        <v>41639</v>
      </c>
    </row>
    <row r="16204" spans="1:6" x14ac:dyDescent="0.25">
      <c r="A16204" s="1" t="s">
        <v>1131</v>
      </c>
      <c r="B16204" s="1" t="s">
        <v>1910</v>
      </c>
      <c r="C16204" s="1" t="s">
        <v>230</v>
      </c>
      <c r="D16204" s="3">
        <f t="shared" si="2647"/>
        <v>7468</v>
      </c>
      <c r="E16204" s="2">
        <f t="shared" si="2648"/>
        <v>41334</v>
      </c>
      <c r="F16204" s="2">
        <f t="shared" si="2649"/>
        <v>41639</v>
      </c>
    </row>
    <row r="16205" spans="1:6" x14ac:dyDescent="0.25">
      <c r="A16205" s="1" t="s">
        <v>1131</v>
      </c>
      <c r="B16205" s="1" t="s">
        <v>1910</v>
      </c>
      <c r="C16205" s="1" t="s">
        <v>231</v>
      </c>
      <c r="D16205" s="3">
        <f t="shared" si="2647"/>
        <v>7468</v>
      </c>
      <c r="E16205" s="2">
        <f t="shared" si="2648"/>
        <v>41334</v>
      </c>
      <c r="F16205" s="2">
        <f t="shared" si="2649"/>
        <v>41639</v>
      </c>
    </row>
    <row r="16206" spans="1:6" x14ac:dyDescent="0.25">
      <c r="A16206" s="1" t="s">
        <v>1131</v>
      </c>
      <c r="B16206" s="1" t="s">
        <v>1910</v>
      </c>
      <c r="C16206" s="1" t="s">
        <v>232</v>
      </c>
      <c r="D16206" s="3">
        <f t="shared" si="2647"/>
        <v>7468</v>
      </c>
      <c r="E16206" s="2">
        <f t="shared" si="2648"/>
        <v>41334</v>
      </c>
      <c r="F16206" s="2">
        <f t="shared" si="2649"/>
        <v>41639</v>
      </c>
    </row>
    <row r="16207" spans="1:6" x14ac:dyDescent="0.25">
      <c r="A16207" s="1" t="s">
        <v>1131</v>
      </c>
      <c r="B16207" s="1" t="s">
        <v>1910</v>
      </c>
      <c r="C16207" s="1" t="s">
        <v>233</v>
      </c>
      <c r="D16207" s="3">
        <f t="shared" si="2647"/>
        <v>7468</v>
      </c>
      <c r="E16207" s="2">
        <f t="shared" si="2648"/>
        <v>41334</v>
      </c>
      <c r="F16207" s="2">
        <f t="shared" si="2649"/>
        <v>41639</v>
      </c>
    </row>
    <row r="16208" spans="1:6" x14ac:dyDescent="0.25">
      <c r="A16208" s="1" t="s">
        <v>1131</v>
      </c>
      <c r="B16208" s="1" t="s">
        <v>1910</v>
      </c>
      <c r="C16208" s="1" t="s">
        <v>234</v>
      </c>
      <c r="D16208" s="3">
        <f t="shared" si="2647"/>
        <v>7468</v>
      </c>
      <c r="E16208" s="2">
        <f t="shared" si="2648"/>
        <v>41334</v>
      </c>
      <c r="F16208" s="2">
        <f t="shared" si="2649"/>
        <v>41639</v>
      </c>
    </row>
    <row r="16209" spans="1:6" x14ac:dyDescent="0.25">
      <c r="A16209" s="1" t="s">
        <v>1131</v>
      </c>
      <c r="B16209" s="1" t="s">
        <v>1910</v>
      </c>
      <c r="C16209" s="1" t="s">
        <v>596</v>
      </c>
      <c r="D16209" s="3">
        <f t="shared" si="2647"/>
        <v>7468</v>
      </c>
      <c r="E16209" s="2">
        <f t="shared" si="2648"/>
        <v>41334</v>
      </c>
      <c r="F16209" s="2">
        <f t="shared" si="2649"/>
        <v>41639</v>
      </c>
    </row>
    <row r="16210" spans="1:6" x14ac:dyDescent="0.25">
      <c r="A16210" s="1" t="s">
        <v>1131</v>
      </c>
      <c r="B16210" s="1" t="s">
        <v>1910</v>
      </c>
      <c r="C16210" s="1" t="s">
        <v>30</v>
      </c>
      <c r="D16210" s="3">
        <f t="shared" si="2647"/>
        <v>7468</v>
      </c>
      <c r="E16210" s="2">
        <f t="shared" si="2648"/>
        <v>41334</v>
      </c>
      <c r="F16210" s="2">
        <f t="shared" si="2649"/>
        <v>41639</v>
      </c>
    </row>
    <row r="16211" spans="1:6" x14ac:dyDescent="0.25">
      <c r="A16211" s="1" t="s">
        <v>1131</v>
      </c>
      <c r="B16211" s="1" t="s">
        <v>1910</v>
      </c>
      <c r="C16211" s="1" t="s">
        <v>235</v>
      </c>
      <c r="D16211" s="3">
        <f t="shared" si="2647"/>
        <v>7468</v>
      </c>
      <c r="E16211" s="2">
        <f t="shared" si="2648"/>
        <v>41334</v>
      </c>
      <c r="F16211" s="2">
        <f t="shared" si="2649"/>
        <v>41639</v>
      </c>
    </row>
    <row r="16212" spans="1:6" x14ac:dyDescent="0.25">
      <c r="A16212" s="1" t="s">
        <v>1131</v>
      </c>
      <c r="B16212" s="1" t="s">
        <v>1910</v>
      </c>
      <c r="C16212" s="1" t="s">
        <v>1839</v>
      </c>
      <c r="D16212" s="3">
        <f t="shared" si="2647"/>
        <v>7468</v>
      </c>
      <c r="E16212" s="2">
        <f t="shared" si="2648"/>
        <v>41334</v>
      </c>
      <c r="F16212" s="2">
        <f t="shared" si="2649"/>
        <v>41639</v>
      </c>
    </row>
    <row r="16213" spans="1:6" x14ac:dyDescent="0.25">
      <c r="A16213" s="1" t="s">
        <v>1131</v>
      </c>
      <c r="B16213" s="1" t="s">
        <v>1910</v>
      </c>
      <c r="C16213" s="1" t="s">
        <v>236</v>
      </c>
      <c r="D16213" s="3">
        <f t="shared" si="2647"/>
        <v>7468</v>
      </c>
      <c r="E16213" s="2">
        <f t="shared" si="2648"/>
        <v>41334</v>
      </c>
      <c r="F16213" s="2">
        <f t="shared" si="2649"/>
        <v>41639</v>
      </c>
    </row>
    <row r="16214" spans="1:6" x14ac:dyDescent="0.25">
      <c r="A16214" s="1" t="s">
        <v>1131</v>
      </c>
      <c r="B16214" s="1" t="s">
        <v>1910</v>
      </c>
      <c r="C16214" s="1" t="s">
        <v>237</v>
      </c>
      <c r="D16214" s="3">
        <f t="shared" si="2647"/>
        <v>7468</v>
      </c>
      <c r="E16214" s="2">
        <f t="shared" si="2648"/>
        <v>41334</v>
      </c>
      <c r="F16214" s="2">
        <f t="shared" si="2649"/>
        <v>41639</v>
      </c>
    </row>
    <row r="16215" spans="1:6" x14ac:dyDescent="0.25">
      <c r="A16215" s="1" t="s">
        <v>1131</v>
      </c>
      <c r="B16215" s="1" t="s">
        <v>1910</v>
      </c>
      <c r="C16215" s="1" t="s">
        <v>238</v>
      </c>
      <c r="D16215" s="3">
        <f t="shared" si="2647"/>
        <v>7468</v>
      </c>
      <c r="E16215" s="2">
        <f t="shared" si="2648"/>
        <v>41334</v>
      </c>
      <c r="F16215" s="2">
        <f t="shared" si="2649"/>
        <v>41639</v>
      </c>
    </row>
    <row r="16216" spans="1:6" x14ac:dyDescent="0.25">
      <c r="A16216" s="1" t="s">
        <v>1131</v>
      </c>
      <c r="B16216" s="1" t="s">
        <v>1910</v>
      </c>
      <c r="C16216" s="1" t="s">
        <v>239</v>
      </c>
      <c r="D16216" s="3">
        <f t="shared" si="2647"/>
        <v>7468</v>
      </c>
      <c r="E16216" s="2">
        <f t="shared" si="2648"/>
        <v>41334</v>
      </c>
      <c r="F16216" s="2">
        <f t="shared" si="2649"/>
        <v>41639</v>
      </c>
    </row>
    <row r="16217" spans="1:6" x14ac:dyDescent="0.25">
      <c r="A16217" s="1" t="s">
        <v>175</v>
      </c>
      <c r="B16217" s="1" t="s">
        <v>174</v>
      </c>
      <c r="C16217" s="1" t="s">
        <v>125</v>
      </c>
      <c r="D16217" s="3">
        <f t="shared" ref="D16217:D16223" si="2650">VALUE("7022")</f>
        <v>7022</v>
      </c>
      <c r="E16217" s="2">
        <f t="shared" ref="E16217:E16223" si="2651">DATEVALUE("1-1-2010")</f>
        <v>40179</v>
      </c>
      <c r="F16217" s="2">
        <f t="shared" ref="F16217:F16223" si="2652">DATEVALUE("31-12-2021")</f>
        <v>44561</v>
      </c>
    </row>
    <row r="16218" spans="1:6" x14ac:dyDescent="0.25">
      <c r="A16218" s="1" t="s">
        <v>175</v>
      </c>
      <c r="B16218" s="1" t="s">
        <v>174</v>
      </c>
      <c r="C16218" s="1" t="s">
        <v>93</v>
      </c>
      <c r="D16218" s="3">
        <f t="shared" si="2650"/>
        <v>7022</v>
      </c>
      <c r="E16218" s="2">
        <f t="shared" si="2651"/>
        <v>40179</v>
      </c>
      <c r="F16218" s="2">
        <f t="shared" si="2652"/>
        <v>44561</v>
      </c>
    </row>
    <row r="16219" spans="1:6" x14ac:dyDescent="0.25">
      <c r="A16219" s="1" t="s">
        <v>175</v>
      </c>
      <c r="B16219" s="1" t="s">
        <v>174</v>
      </c>
      <c r="C16219" s="1" t="s">
        <v>129</v>
      </c>
      <c r="D16219" s="3">
        <f t="shared" si="2650"/>
        <v>7022</v>
      </c>
      <c r="E16219" s="2">
        <f t="shared" si="2651"/>
        <v>40179</v>
      </c>
      <c r="F16219" s="2">
        <f t="shared" si="2652"/>
        <v>44561</v>
      </c>
    </row>
    <row r="16220" spans="1:6" x14ac:dyDescent="0.25">
      <c r="A16220" s="1" t="s">
        <v>175</v>
      </c>
      <c r="B16220" s="1" t="s">
        <v>174</v>
      </c>
      <c r="C16220" s="1" t="s">
        <v>177</v>
      </c>
      <c r="D16220" s="3">
        <f t="shared" si="2650"/>
        <v>7022</v>
      </c>
      <c r="E16220" s="2">
        <f t="shared" si="2651"/>
        <v>40179</v>
      </c>
      <c r="F16220" s="2">
        <f t="shared" si="2652"/>
        <v>44561</v>
      </c>
    </row>
    <row r="16221" spans="1:6" x14ac:dyDescent="0.25">
      <c r="A16221" s="1" t="s">
        <v>175</v>
      </c>
      <c r="B16221" s="1" t="s">
        <v>174</v>
      </c>
      <c r="C16221" s="1" t="s">
        <v>176</v>
      </c>
      <c r="D16221" s="3">
        <f t="shared" si="2650"/>
        <v>7022</v>
      </c>
      <c r="E16221" s="2">
        <f t="shared" si="2651"/>
        <v>40179</v>
      </c>
      <c r="F16221" s="2">
        <f t="shared" si="2652"/>
        <v>44561</v>
      </c>
    </row>
    <row r="16222" spans="1:6" x14ac:dyDescent="0.25">
      <c r="A16222" s="1" t="s">
        <v>175</v>
      </c>
      <c r="B16222" s="1" t="s">
        <v>174</v>
      </c>
      <c r="C16222" s="1" t="s">
        <v>130</v>
      </c>
      <c r="D16222" s="3">
        <f t="shared" si="2650"/>
        <v>7022</v>
      </c>
      <c r="E16222" s="2">
        <f t="shared" si="2651"/>
        <v>40179</v>
      </c>
      <c r="F16222" s="2">
        <f t="shared" si="2652"/>
        <v>44561</v>
      </c>
    </row>
    <row r="16223" spans="1:6" x14ac:dyDescent="0.25">
      <c r="A16223" s="1" t="s">
        <v>175</v>
      </c>
      <c r="B16223" s="1" t="s">
        <v>174</v>
      </c>
      <c r="C16223" s="1" t="s">
        <v>133</v>
      </c>
      <c r="D16223" s="3">
        <f t="shared" si="2650"/>
        <v>7022</v>
      </c>
      <c r="E16223" s="2">
        <f t="shared" si="2651"/>
        <v>40179</v>
      </c>
      <c r="F16223" s="2">
        <f t="shared" si="2652"/>
        <v>44561</v>
      </c>
    </row>
    <row r="16224" spans="1:6" x14ac:dyDescent="0.25">
      <c r="A16224" s="1" t="s">
        <v>1723</v>
      </c>
      <c r="B16224" s="1" t="s">
        <v>1722</v>
      </c>
      <c r="C16224" s="1" t="s">
        <v>80</v>
      </c>
      <c r="D16224" s="3">
        <f t="shared" ref="D16224:D16232" si="2653">VALUE("7610")</f>
        <v>7610</v>
      </c>
      <c r="E16224" s="2">
        <f t="shared" ref="E16224:E16232" si="2654">DATEVALUE("1-12-2014")</f>
        <v>41974</v>
      </c>
      <c r="F16224" s="2">
        <f t="shared" ref="F16224:F16232" si="2655">DATEVALUE("31-5-2015")</f>
        <v>42155</v>
      </c>
    </row>
    <row r="16225" spans="1:6" x14ac:dyDescent="0.25">
      <c r="A16225" s="1" t="s">
        <v>1723</v>
      </c>
      <c r="B16225" s="1" t="s">
        <v>1722</v>
      </c>
      <c r="C16225" s="1" t="s">
        <v>361</v>
      </c>
      <c r="D16225" s="3">
        <f t="shared" si="2653"/>
        <v>7610</v>
      </c>
      <c r="E16225" s="2">
        <f t="shared" si="2654"/>
        <v>41974</v>
      </c>
      <c r="F16225" s="2">
        <f t="shared" si="2655"/>
        <v>42155</v>
      </c>
    </row>
    <row r="16226" spans="1:6" x14ac:dyDescent="0.25">
      <c r="A16226" s="1" t="s">
        <v>1723</v>
      </c>
      <c r="B16226" s="1" t="s">
        <v>1722</v>
      </c>
      <c r="C16226" s="1" t="s">
        <v>39</v>
      </c>
      <c r="D16226" s="3">
        <f t="shared" si="2653"/>
        <v>7610</v>
      </c>
      <c r="E16226" s="2">
        <f t="shared" si="2654"/>
        <v>41974</v>
      </c>
      <c r="F16226" s="2">
        <f t="shared" si="2655"/>
        <v>42155</v>
      </c>
    </row>
    <row r="16227" spans="1:6" x14ac:dyDescent="0.25">
      <c r="A16227" s="1" t="s">
        <v>1723</v>
      </c>
      <c r="B16227" s="1" t="s">
        <v>1722</v>
      </c>
      <c r="C16227" s="1" t="s">
        <v>66</v>
      </c>
      <c r="D16227" s="3">
        <f t="shared" si="2653"/>
        <v>7610</v>
      </c>
      <c r="E16227" s="2">
        <f t="shared" si="2654"/>
        <v>41974</v>
      </c>
      <c r="F16227" s="2">
        <f t="shared" si="2655"/>
        <v>42155</v>
      </c>
    </row>
    <row r="16228" spans="1:6" x14ac:dyDescent="0.25">
      <c r="A16228" s="1" t="s">
        <v>1723</v>
      </c>
      <c r="B16228" s="1" t="s">
        <v>1722</v>
      </c>
      <c r="C16228" s="1" t="s">
        <v>15</v>
      </c>
      <c r="D16228" s="3">
        <f t="shared" si="2653"/>
        <v>7610</v>
      </c>
      <c r="E16228" s="2">
        <f t="shared" si="2654"/>
        <v>41974</v>
      </c>
      <c r="F16228" s="2">
        <f t="shared" si="2655"/>
        <v>42155</v>
      </c>
    </row>
    <row r="16229" spans="1:6" x14ac:dyDescent="0.25">
      <c r="A16229" s="1" t="s">
        <v>1723</v>
      </c>
      <c r="B16229" s="1" t="s">
        <v>1722</v>
      </c>
      <c r="C16229" s="1" t="s">
        <v>88</v>
      </c>
      <c r="D16229" s="3">
        <f t="shared" si="2653"/>
        <v>7610</v>
      </c>
      <c r="E16229" s="2">
        <f t="shared" si="2654"/>
        <v>41974</v>
      </c>
      <c r="F16229" s="2">
        <f t="shared" si="2655"/>
        <v>42155</v>
      </c>
    </row>
    <row r="16230" spans="1:6" x14ac:dyDescent="0.25">
      <c r="A16230" s="1" t="s">
        <v>1723</v>
      </c>
      <c r="B16230" s="1" t="s">
        <v>1722</v>
      </c>
      <c r="C16230" s="1" t="s">
        <v>17</v>
      </c>
      <c r="D16230" s="3">
        <f t="shared" si="2653"/>
        <v>7610</v>
      </c>
      <c r="E16230" s="2">
        <f t="shared" si="2654"/>
        <v>41974</v>
      </c>
      <c r="F16230" s="2">
        <f t="shared" si="2655"/>
        <v>42155</v>
      </c>
    </row>
    <row r="16231" spans="1:6" x14ac:dyDescent="0.25">
      <c r="A16231" s="1" t="s">
        <v>1723</v>
      </c>
      <c r="B16231" s="1" t="s">
        <v>1722</v>
      </c>
      <c r="C16231" s="1" t="s">
        <v>73</v>
      </c>
      <c r="D16231" s="3">
        <f t="shared" si="2653"/>
        <v>7610</v>
      </c>
      <c r="E16231" s="2">
        <f t="shared" si="2654"/>
        <v>41974</v>
      </c>
      <c r="F16231" s="2">
        <f t="shared" si="2655"/>
        <v>42155</v>
      </c>
    </row>
    <row r="16232" spans="1:6" x14ac:dyDescent="0.25">
      <c r="A16232" s="1" t="s">
        <v>1723</v>
      </c>
      <c r="B16232" s="1" t="s">
        <v>1722</v>
      </c>
      <c r="C16232" s="1" t="s">
        <v>349</v>
      </c>
      <c r="D16232" s="3">
        <f t="shared" si="2653"/>
        <v>7610</v>
      </c>
      <c r="E16232" s="2">
        <f t="shared" si="2654"/>
        <v>41974</v>
      </c>
      <c r="F16232" s="2">
        <f t="shared" si="2655"/>
        <v>42155</v>
      </c>
    </row>
    <row r="16233" spans="1:6" x14ac:dyDescent="0.25">
      <c r="A16233" s="1" t="s">
        <v>1996</v>
      </c>
      <c r="B16233" s="1" t="s">
        <v>1995</v>
      </c>
      <c r="C16233" s="1" t="s">
        <v>7</v>
      </c>
      <c r="D16233" s="3">
        <f>VALUE("7809")</f>
        <v>7809</v>
      </c>
      <c r="E16233" s="2">
        <f>DATEVALUE("1-10-2015")</f>
        <v>42278</v>
      </c>
      <c r="F16233" s="2">
        <f>DATEVALUE("30-11-2015")</f>
        <v>42338</v>
      </c>
    </row>
    <row r="16234" spans="1:6" x14ac:dyDescent="0.25">
      <c r="A16234" s="1" t="s">
        <v>1996</v>
      </c>
      <c r="B16234" s="1" t="s">
        <v>1995</v>
      </c>
      <c r="C16234" s="1" t="s">
        <v>793</v>
      </c>
      <c r="D16234" s="3">
        <f>VALUE("7809")</f>
        <v>7809</v>
      </c>
      <c r="E16234" s="2">
        <f>DATEVALUE("1-10-2015")</f>
        <v>42278</v>
      </c>
      <c r="F16234" s="2">
        <f>DATEVALUE("30-11-2015")</f>
        <v>42338</v>
      </c>
    </row>
    <row r="16235" spans="1:6" x14ac:dyDescent="0.25">
      <c r="A16235" s="1" t="s">
        <v>1996</v>
      </c>
      <c r="B16235" s="1" t="s">
        <v>1995</v>
      </c>
      <c r="C16235" s="1" t="s">
        <v>30</v>
      </c>
      <c r="D16235" s="3">
        <f>VALUE("7809")</f>
        <v>7809</v>
      </c>
      <c r="E16235" s="2">
        <f>DATEVALUE("1-10-2015")</f>
        <v>42278</v>
      </c>
      <c r="F16235" s="2">
        <f>DATEVALUE("30-11-2015")</f>
        <v>42338</v>
      </c>
    </row>
    <row r="16236" spans="1:6" x14ac:dyDescent="0.25">
      <c r="A16236" s="1" t="s">
        <v>1996</v>
      </c>
      <c r="B16236" s="1" t="s">
        <v>2712</v>
      </c>
      <c r="C16236" s="1" t="s">
        <v>13</v>
      </c>
      <c r="D16236" s="3">
        <f>VALUE("7451")</f>
        <v>7451</v>
      </c>
      <c r="E16236" s="2">
        <f>DATEVALUE("1-3-2013")</f>
        <v>41334</v>
      </c>
      <c r="F16236" s="2">
        <f>DATEVALUE("30-11-2014")</f>
        <v>41973</v>
      </c>
    </row>
    <row r="16237" spans="1:6" x14ac:dyDescent="0.25">
      <c r="A16237" s="1" t="s">
        <v>1996</v>
      </c>
      <c r="B16237" s="1" t="s">
        <v>2712</v>
      </c>
      <c r="C16237" s="1" t="s">
        <v>1882</v>
      </c>
      <c r="D16237" s="3">
        <f>VALUE("7451")</f>
        <v>7451</v>
      </c>
      <c r="E16237" s="2">
        <f>DATEVALUE("1-3-2013")</f>
        <v>41334</v>
      </c>
      <c r="F16237" s="2">
        <f>DATEVALUE("30-11-2014")</f>
        <v>41973</v>
      </c>
    </row>
    <row r="16238" spans="1:6" x14ac:dyDescent="0.25">
      <c r="A16238" s="1" t="s">
        <v>1996</v>
      </c>
      <c r="B16238" s="1" t="s">
        <v>2493</v>
      </c>
      <c r="C16238" s="1" t="s">
        <v>13</v>
      </c>
      <c r="D16238" s="3">
        <f>VALUE("434")</f>
        <v>434</v>
      </c>
      <c r="E16238" s="2">
        <f>DATEVALUE("1-9-2004")</f>
        <v>38231</v>
      </c>
      <c r="F16238" s="2">
        <f>DATEVALUE("31-3-2012")</f>
        <v>40999</v>
      </c>
    </row>
    <row r="16239" spans="1:6" x14ac:dyDescent="0.25">
      <c r="A16239" s="1" t="s">
        <v>1717</v>
      </c>
      <c r="B16239" s="1" t="s">
        <v>1716</v>
      </c>
      <c r="C16239" s="1" t="s">
        <v>7</v>
      </c>
      <c r="D16239" s="3">
        <f>VALUE("7561")</f>
        <v>7561</v>
      </c>
      <c r="E16239" s="2">
        <f>DATEVALUE("1-10-2013")</f>
        <v>41548</v>
      </c>
      <c r="F16239" s="2">
        <f>DATEVALUE("31-12-2019")</f>
        <v>43830</v>
      </c>
    </row>
    <row r="16240" spans="1:6" x14ac:dyDescent="0.25">
      <c r="A16240" s="1" t="s">
        <v>1717</v>
      </c>
      <c r="B16240" s="1" t="s">
        <v>1716</v>
      </c>
      <c r="C16240" s="1" t="s">
        <v>6</v>
      </c>
      <c r="D16240" s="3">
        <f>VALUE("7561")</f>
        <v>7561</v>
      </c>
      <c r="E16240" s="2">
        <f>DATEVALUE("1-10-2013")</f>
        <v>41548</v>
      </c>
      <c r="F16240" s="2">
        <f>DATEVALUE("31-12-2019")</f>
        <v>43830</v>
      </c>
    </row>
    <row r="16241" spans="1:6" x14ac:dyDescent="0.25">
      <c r="A16241" s="1" t="s">
        <v>1717</v>
      </c>
      <c r="B16241" s="1" t="s">
        <v>1716</v>
      </c>
      <c r="C16241" s="1" t="s">
        <v>13</v>
      </c>
      <c r="D16241" s="3">
        <f>VALUE("7561")</f>
        <v>7561</v>
      </c>
      <c r="E16241" s="2">
        <f>DATEVALUE("1-10-2013")</f>
        <v>41548</v>
      </c>
      <c r="F16241" s="2">
        <f>DATEVALUE("31-12-2019")</f>
        <v>43830</v>
      </c>
    </row>
    <row r="16242" spans="1:6" x14ac:dyDescent="0.25">
      <c r="A16242" s="1" t="s">
        <v>1717</v>
      </c>
      <c r="B16242" s="1" t="s">
        <v>1716</v>
      </c>
      <c r="C16242" s="1" t="s">
        <v>240</v>
      </c>
      <c r="D16242" s="3">
        <f>VALUE("7561")</f>
        <v>7561</v>
      </c>
      <c r="E16242" s="2">
        <f>DATEVALUE("1-10-2013")</f>
        <v>41548</v>
      </c>
      <c r="F16242" s="2">
        <f>DATEVALUE("31-12-2019")</f>
        <v>43830</v>
      </c>
    </row>
    <row r="16243" spans="1:6" x14ac:dyDescent="0.25">
      <c r="A16243" s="1" t="s">
        <v>1717</v>
      </c>
      <c r="B16243" s="1" t="s">
        <v>1856</v>
      </c>
      <c r="C16243" s="1" t="s">
        <v>234</v>
      </c>
      <c r="D16243" s="3">
        <f>VALUE("1110")</f>
        <v>1110</v>
      </c>
      <c r="E16243" s="2">
        <f>DATEVALUE("1-9-2009")</f>
        <v>40057</v>
      </c>
      <c r="F16243" s="2">
        <f t="shared" ref="F16243:F16251" si="2656">DATEVALUE("31-12-2016")</f>
        <v>42735</v>
      </c>
    </row>
    <row r="16244" spans="1:6" x14ac:dyDescent="0.25">
      <c r="A16244" s="1" t="s">
        <v>1717</v>
      </c>
      <c r="B16244" s="1" t="s">
        <v>1856</v>
      </c>
      <c r="C16244" s="1" t="s">
        <v>30</v>
      </c>
      <c r="D16244" s="3">
        <f>VALUE("1110")</f>
        <v>1110</v>
      </c>
      <c r="E16244" s="2">
        <f>DATEVALUE("1-9-2009")</f>
        <v>40057</v>
      </c>
      <c r="F16244" s="2">
        <f t="shared" si="2656"/>
        <v>42735</v>
      </c>
    </row>
    <row r="16245" spans="1:6" x14ac:dyDescent="0.25">
      <c r="A16245" s="1" t="s">
        <v>2180</v>
      </c>
      <c r="B16245" s="1" t="s">
        <v>2179</v>
      </c>
      <c r="C16245" s="1" t="s">
        <v>46</v>
      </c>
      <c r="D16245" s="3">
        <f t="shared" ref="D16245:D16251" si="2657">VALUE("7687")</f>
        <v>7687</v>
      </c>
      <c r="E16245" s="2">
        <f t="shared" ref="E16245:E16251" si="2658">DATEVALUE("1-12-2014")</f>
        <v>41974</v>
      </c>
      <c r="F16245" s="2">
        <f t="shared" si="2656"/>
        <v>42735</v>
      </c>
    </row>
    <row r="16246" spans="1:6" x14ac:dyDescent="0.25">
      <c r="A16246" s="1" t="s">
        <v>2180</v>
      </c>
      <c r="B16246" s="1" t="s">
        <v>2179</v>
      </c>
      <c r="C16246" s="1" t="s">
        <v>66</v>
      </c>
      <c r="D16246" s="3">
        <f t="shared" si="2657"/>
        <v>7687</v>
      </c>
      <c r="E16246" s="2">
        <f t="shared" si="2658"/>
        <v>41974</v>
      </c>
      <c r="F16246" s="2">
        <f t="shared" si="2656"/>
        <v>42735</v>
      </c>
    </row>
    <row r="16247" spans="1:6" x14ac:dyDescent="0.25">
      <c r="A16247" s="1" t="s">
        <v>2180</v>
      </c>
      <c r="B16247" s="1" t="s">
        <v>2179</v>
      </c>
      <c r="C16247" s="1" t="s">
        <v>15</v>
      </c>
      <c r="D16247" s="3">
        <f t="shared" si="2657"/>
        <v>7687</v>
      </c>
      <c r="E16247" s="2">
        <f t="shared" si="2658"/>
        <v>41974</v>
      </c>
      <c r="F16247" s="2">
        <f t="shared" si="2656"/>
        <v>42735</v>
      </c>
    </row>
    <row r="16248" spans="1:6" x14ac:dyDescent="0.25">
      <c r="A16248" s="1" t="s">
        <v>2180</v>
      </c>
      <c r="B16248" s="1" t="s">
        <v>2179</v>
      </c>
      <c r="C16248" s="1" t="s">
        <v>17</v>
      </c>
      <c r="D16248" s="3">
        <f t="shared" si="2657"/>
        <v>7687</v>
      </c>
      <c r="E16248" s="2">
        <f t="shared" si="2658"/>
        <v>41974</v>
      </c>
      <c r="F16248" s="2">
        <f t="shared" si="2656"/>
        <v>42735</v>
      </c>
    </row>
    <row r="16249" spans="1:6" x14ac:dyDescent="0.25">
      <c r="A16249" s="1" t="s">
        <v>2180</v>
      </c>
      <c r="B16249" s="1" t="s">
        <v>2179</v>
      </c>
      <c r="C16249" s="1" t="s">
        <v>148</v>
      </c>
      <c r="D16249" s="3">
        <f t="shared" si="2657"/>
        <v>7687</v>
      </c>
      <c r="E16249" s="2">
        <f t="shared" si="2658"/>
        <v>41974</v>
      </c>
      <c r="F16249" s="2">
        <f t="shared" si="2656"/>
        <v>42735</v>
      </c>
    </row>
    <row r="16250" spans="1:6" x14ac:dyDescent="0.25">
      <c r="A16250" s="1" t="s">
        <v>2180</v>
      </c>
      <c r="B16250" s="1" t="s">
        <v>2179</v>
      </c>
      <c r="C16250" s="1" t="s">
        <v>320</v>
      </c>
      <c r="D16250" s="3">
        <f t="shared" si="2657"/>
        <v>7687</v>
      </c>
      <c r="E16250" s="2">
        <f t="shared" si="2658"/>
        <v>41974</v>
      </c>
      <c r="F16250" s="2">
        <f t="shared" si="2656"/>
        <v>42735</v>
      </c>
    </row>
    <row r="16251" spans="1:6" x14ac:dyDescent="0.25">
      <c r="A16251" s="1" t="s">
        <v>2180</v>
      </c>
      <c r="B16251" s="1" t="s">
        <v>2179</v>
      </c>
      <c r="C16251" s="1" t="s">
        <v>216</v>
      </c>
      <c r="D16251" s="3">
        <f t="shared" si="2657"/>
        <v>7687</v>
      </c>
      <c r="E16251" s="2">
        <f t="shared" si="2658"/>
        <v>41974</v>
      </c>
      <c r="F16251" s="2">
        <f t="shared" si="2656"/>
        <v>42735</v>
      </c>
    </row>
    <row r="16252" spans="1:6" x14ac:dyDescent="0.25">
      <c r="A16252" s="1" t="s">
        <v>545</v>
      </c>
      <c r="B16252" s="1" t="s">
        <v>1642</v>
      </c>
      <c r="C16252" s="1" t="s">
        <v>1643</v>
      </c>
      <c r="D16252" s="3">
        <f t="shared" ref="D16252:D16263" si="2659">VALUE("8814")</f>
        <v>8814</v>
      </c>
      <c r="E16252" s="2">
        <f t="shared" ref="E16252:E16263" si="2660">DATEVALUE("1-8-2020")</f>
        <v>44044</v>
      </c>
      <c r="F16252" s="2">
        <f t="shared" ref="F16252:F16263" si="2661">DATEVALUE("30-9-2021")</f>
        <v>44469</v>
      </c>
    </row>
    <row r="16253" spans="1:6" x14ac:dyDescent="0.25">
      <c r="A16253" s="1" t="s">
        <v>545</v>
      </c>
      <c r="B16253" s="1" t="s">
        <v>1642</v>
      </c>
      <c r="C16253" s="1" t="s">
        <v>15</v>
      </c>
      <c r="D16253" s="3">
        <f t="shared" si="2659"/>
        <v>8814</v>
      </c>
      <c r="E16253" s="2">
        <f t="shared" si="2660"/>
        <v>44044</v>
      </c>
      <c r="F16253" s="2">
        <f t="shared" si="2661"/>
        <v>44469</v>
      </c>
    </row>
    <row r="16254" spans="1:6" x14ac:dyDescent="0.25">
      <c r="A16254" s="1" t="s">
        <v>545</v>
      </c>
      <c r="B16254" s="1" t="s">
        <v>1642</v>
      </c>
      <c r="C16254" s="1" t="s">
        <v>17</v>
      </c>
      <c r="D16254" s="3">
        <f t="shared" si="2659"/>
        <v>8814</v>
      </c>
      <c r="E16254" s="2">
        <f t="shared" si="2660"/>
        <v>44044</v>
      </c>
      <c r="F16254" s="2">
        <f t="shared" si="2661"/>
        <v>44469</v>
      </c>
    </row>
    <row r="16255" spans="1:6" x14ac:dyDescent="0.25">
      <c r="A16255" s="1" t="s">
        <v>545</v>
      </c>
      <c r="B16255" s="1" t="s">
        <v>1642</v>
      </c>
      <c r="C16255" s="1" t="s">
        <v>291</v>
      </c>
      <c r="D16255" s="3">
        <f t="shared" si="2659"/>
        <v>8814</v>
      </c>
      <c r="E16255" s="2">
        <f t="shared" si="2660"/>
        <v>44044</v>
      </c>
      <c r="F16255" s="2">
        <f t="shared" si="2661"/>
        <v>44469</v>
      </c>
    </row>
    <row r="16256" spans="1:6" x14ac:dyDescent="0.25">
      <c r="A16256" s="1" t="s">
        <v>545</v>
      </c>
      <c r="B16256" s="1" t="s">
        <v>1642</v>
      </c>
      <c r="C16256" s="1" t="s">
        <v>417</v>
      </c>
      <c r="D16256" s="3">
        <f t="shared" si="2659"/>
        <v>8814</v>
      </c>
      <c r="E16256" s="2">
        <f t="shared" si="2660"/>
        <v>44044</v>
      </c>
      <c r="F16256" s="2">
        <f t="shared" si="2661"/>
        <v>44469</v>
      </c>
    </row>
    <row r="16257" spans="1:6" x14ac:dyDescent="0.25">
      <c r="A16257" s="1" t="s">
        <v>545</v>
      </c>
      <c r="B16257" s="1" t="s">
        <v>1642</v>
      </c>
      <c r="C16257" s="1" t="s">
        <v>22</v>
      </c>
      <c r="D16257" s="3">
        <f t="shared" si="2659"/>
        <v>8814</v>
      </c>
      <c r="E16257" s="2">
        <f t="shared" si="2660"/>
        <v>44044</v>
      </c>
      <c r="F16257" s="2">
        <f t="shared" si="2661"/>
        <v>44469</v>
      </c>
    </row>
    <row r="16258" spans="1:6" x14ac:dyDescent="0.25">
      <c r="A16258" s="1" t="s">
        <v>545</v>
      </c>
      <c r="B16258" s="1" t="s">
        <v>1642</v>
      </c>
      <c r="C16258" s="1" t="s">
        <v>386</v>
      </c>
      <c r="D16258" s="3">
        <f t="shared" si="2659"/>
        <v>8814</v>
      </c>
      <c r="E16258" s="2">
        <f t="shared" si="2660"/>
        <v>44044</v>
      </c>
      <c r="F16258" s="2">
        <f t="shared" si="2661"/>
        <v>44469</v>
      </c>
    </row>
    <row r="16259" spans="1:6" x14ac:dyDescent="0.25">
      <c r="A16259" s="1" t="s">
        <v>545</v>
      </c>
      <c r="B16259" s="1" t="s">
        <v>1642</v>
      </c>
      <c r="C16259" s="1" t="s">
        <v>387</v>
      </c>
      <c r="D16259" s="3">
        <f t="shared" si="2659"/>
        <v>8814</v>
      </c>
      <c r="E16259" s="2">
        <f t="shared" si="2660"/>
        <v>44044</v>
      </c>
      <c r="F16259" s="2">
        <f t="shared" si="2661"/>
        <v>44469</v>
      </c>
    </row>
    <row r="16260" spans="1:6" x14ac:dyDescent="0.25">
      <c r="A16260" s="1" t="s">
        <v>545</v>
      </c>
      <c r="B16260" s="1" t="s">
        <v>1642</v>
      </c>
      <c r="C16260" s="1" t="s">
        <v>388</v>
      </c>
      <c r="D16260" s="3">
        <f t="shared" si="2659"/>
        <v>8814</v>
      </c>
      <c r="E16260" s="2">
        <f t="shared" si="2660"/>
        <v>44044</v>
      </c>
      <c r="F16260" s="2">
        <f t="shared" si="2661"/>
        <v>44469</v>
      </c>
    </row>
    <row r="16261" spans="1:6" x14ac:dyDescent="0.25">
      <c r="A16261" s="1" t="s">
        <v>545</v>
      </c>
      <c r="B16261" s="1" t="s">
        <v>1642</v>
      </c>
      <c r="C16261" s="1" t="s">
        <v>390</v>
      </c>
      <c r="D16261" s="3">
        <f t="shared" si="2659"/>
        <v>8814</v>
      </c>
      <c r="E16261" s="2">
        <f t="shared" si="2660"/>
        <v>44044</v>
      </c>
      <c r="F16261" s="2">
        <f t="shared" si="2661"/>
        <v>44469</v>
      </c>
    </row>
    <row r="16262" spans="1:6" x14ac:dyDescent="0.25">
      <c r="A16262" s="1" t="s">
        <v>545</v>
      </c>
      <c r="B16262" s="1" t="s">
        <v>1642</v>
      </c>
      <c r="C16262" s="1" t="s">
        <v>70</v>
      </c>
      <c r="D16262" s="3">
        <f t="shared" si="2659"/>
        <v>8814</v>
      </c>
      <c r="E16262" s="2">
        <f t="shared" si="2660"/>
        <v>44044</v>
      </c>
      <c r="F16262" s="2">
        <f t="shared" si="2661"/>
        <v>44469</v>
      </c>
    </row>
    <row r="16263" spans="1:6" x14ac:dyDescent="0.25">
      <c r="A16263" s="1" t="s">
        <v>545</v>
      </c>
      <c r="B16263" s="1" t="s">
        <v>1642</v>
      </c>
      <c r="C16263" s="1" t="s">
        <v>73</v>
      </c>
      <c r="D16263" s="3">
        <f t="shared" si="2659"/>
        <v>8814</v>
      </c>
      <c r="E16263" s="2">
        <f t="shared" si="2660"/>
        <v>44044</v>
      </c>
      <c r="F16263" s="2">
        <f t="shared" si="2661"/>
        <v>44469</v>
      </c>
    </row>
    <row r="16264" spans="1:6" x14ac:dyDescent="0.25">
      <c r="A16264" s="1" t="s">
        <v>545</v>
      </c>
      <c r="B16264" s="1" t="s">
        <v>1448</v>
      </c>
      <c r="C16264" s="1" t="s">
        <v>1449</v>
      </c>
      <c r="D16264" s="3">
        <f>VALUE("8663")</f>
        <v>8663</v>
      </c>
      <c r="E16264" s="2">
        <f>DATEVALUE("1-2-2020")</f>
        <v>43862</v>
      </c>
      <c r="F16264" s="2">
        <f>DATEVALUE("31-10-2020")</f>
        <v>44135</v>
      </c>
    </row>
    <row r="16265" spans="1:6" x14ac:dyDescent="0.25">
      <c r="A16265" s="1" t="s">
        <v>545</v>
      </c>
      <c r="B16265" s="1" t="s">
        <v>1448</v>
      </c>
      <c r="C16265" s="1" t="s">
        <v>1450</v>
      </c>
      <c r="D16265" s="3">
        <f>VALUE("8663")</f>
        <v>8663</v>
      </c>
      <c r="E16265" s="2">
        <f>DATEVALUE("1-2-2020")</f>
        <v>43862</v>
      </c>
      <c r="F16265" s="2">
        <f>DATEVALUE("31-10-2020")</f>
        <v>44135</v>
      </c>
    </row>
    <row r="16266" spans="1:6" x14ac:dyDescent="0.25">
      <c r="A16266" s="1" t="s">
        <v>545</v>
      </c>
      <c r="B16266" s="1" t="s">
        <v>1448</v>
      </c>
      <c r="C16266" s="1" t="s">
        <v>1451</v>
      </c>
      <c r="D16266" s="3">
        <f>VALUE("8663")</f>
        <v>8663</v>
      </c>
      <c r="E16266" s="2">
        <f>DATEVALUE("1-2-2020")</f>
        <v>43862</v>
      </c>
      <c r="F16266" s="2">
        <f>DATEVALUE("31-10-2020")</f>
        <v>44135</v>
      </c>
    </row>
    <row r="16267" spans="1:6" x14ac:dyDescent="0.25">
      <c r="A16267" s="1" t="s">
        <v>545</v>
      </c>
      <c r="B16267" s="1" t="s">
        <v>1448</v>
      </c>
      <c r="C16267" s="1" t="s">
        <v>1452</v>
      </c>
      <c r="D16267" s="3">
        <f>VALUE("8663")</f>
        <v>8663</v>
      </c>
      <c r="E16267" s="2">
        <f>DATEVALUE("1-2-2020")</f>
        <v>43862</v>
      </c>
      <c r="F16267" s="2">
        <f>DATEVALUE("31-10-2020")</f>
        <v>44135</v>
      </c>
    </row>
    <row r="16268" spans="1:6" x14ac:dyDescent="0.25">
      <c r="A16268" s="1" t="s">
        <v>545</v>
      </c>
      <c r="B16268" s="1" t="s">
        <v>1102</v>
      </c>
      <c r="C16268" s="1" t="s">
        <v>17</v>
      </c>
      <c r="D16268" s="3">
        <f t="shared" ref="D16268:D16281" si="2662">VALUE("8376")</f>
        <v>8376</v>
      </c>
      <c r="E16268" s="2">
        <f t="shared" ref="E16268:E16281" si="2663">DATEVALUE("1-12-2018")</f>
        <v>43435</v>
      </c>
      <c r="F16268" s="2">
        <f t="shared" ref="F16268:F16281" si="2664">DATEVALUE("31-10-2023")</f>
        <v>45230</v>
      </c>
    </row>
    <row r="16269" spans="1:6" x14ac:dyDescent="0.25">
      <c r="A16269" s="1" t="s">
        <v>545</v>
      </c>
      <c r="B16269" s="1" t="s">
        <v>1102</v>
      </c>
      <c r="C16269" s="1" t="s">
        <v>291</v>
      </c>
      <c r="D16269" s="3">
        <f t="shared" si="2662"/>
        <v>8376</v>
      </c>
      <c r="E16269" s="2">
        <f t="shared" si="2663"/>
        <v>43435</v>
      </c>
      <c r="F16269" s="2">
        <f t="shared" si="2664"/>
        <v>45230</v>
      </c>
    </row>
    <row r="16270" spans="1:6" x14ac:dyDescent="0.25">
      <c r="A16270" s="1" t="s">
        <v>545</v>
      </c>
      <c r="B16270" s="1" t="s">
        <v>1102</v>
      </c>
      <c r="C16270" s="1" t="s">
        <v>144</v>
      </c>
      <c r="D16270" s="3">
        <f t="shared" si="2662"/>
        <v>8376</v>
      </c>
      <c r="E16270" s="2">
        <f t="shared" si="2663"/>
        <v>43435</v>
      </c>
      <c r="F16270" s="2">
        <f t="shared" si="2664"/>
        <v>45230</v>
      </c>
    </row>
    <row r="16271" spans="1:6" x14ac:dyDescent="0.25">
      <c r="A16271" s="1" t="s">
        <v>545</v>
      </c>
      <c r="B16271" s="1" t="s">
        <v>1102</v>
      </c>
      <c r="C16271" s="1" t="s">
        <v>22</v>
      </c>
      <c r="D16271" s="3">
        <f t="shared" si="2662"/>
        <v>8376</v>
      </c>
      <c r="E16271" s="2">
        <f t="shared" si="2663"/>
        <v>43435</v>
      </c>
      <c r="F16271" s="2">
        <f t="shared" si="2664"/>
        <v>45230</v>
      </c>
    </row>
    <row r="16272" spans="1:6" x14ac:dyDescent="0.25">
      <c r="A16272" s="1" t="s">
        <v>545</v>
      </c>
      <c r="B16272" s="1" t="s">
        <v>1102</v>
      </c>
      <c r="C16272" s="1" t="s">
        <v>146</v>
      </c>
      <c r="D16272" s="3">
        <f t="shared" si="2662"/>
        <v>8376</v>
      </c>
      <c r="E16272" s="2">
        <f t="shared" si="2663"/>
        <v>43435</v>
      </c>
      <c r="F16272" s="2">
        <f t="shared" si="2664"/>
        <v>45230</v>
      </c>
    </row>
    <row r="16273" spans="1:6" x14ac:dyDescent="0.25">
      <c r="A16273" s="1" t="s">
        <v>545</v>
      </c>
      <c r="B16273" s="1" t="s">
        <v>1102</v>
      </c>
      <c r="C16273" s="1" t="s">
        <v>386</v>
      </c>
      <c r="D16273" s="3">
        <f t="shared" si="2662"/>
        <v>8376</v>
      </c>
      <c r="E16273" s="2">
        <f t="shared" si="2663"/>
        <v>43435</v>
      </c>
      <c r="F16273" s="2">
        <f t="shared" si="2664"/>
        <v>45230</v>
      </c>
    </row>
    <row r="16274" spans="1:6" x14ac:dyDescent="0.25">
      <c r="A16274" s="1" t="s">
        <v>545</v>
      </c>
      <c r="B16274" s="1" t="s">
        <v>1102</v>
      </c>
      <c r="C16274" s="1" t="s">
        <v>387</v>
      </c>
      <c r="D16274" s="3">
        <f t="shared" si="2662"/>
        <v>8376</v>
      </c>
      <c r="E16274" s="2">
        <f t="shared" si="2663"/>
        <v>43435</v>
      </c>
      <c r="F16274" s="2">
        <f t="shared" si="2664"/>
        <v>45230</v>
      </c>
    </row>
    <row r="16275" spans="1:6" x14ac:dyDescent="0.25">
      <c r="A16275" s="1" t="s">
        <v>545</v>
      </c>
      <c r="B16275" s="1" t="s">
        <v>1102</v>
      </c>
      <c r="C16275" s="1" t="s">
        <v>388</v>
      </c>
      <c r="D16275" s="3">
        <f t="shared" si="2662"/>
        <v>8376</v>
      </c>
      <c r="E16275" s="2">
        <f t="shared" si="2663"/>
        <v>43435</v>
      </c>
      <c r="F16275" s="2">
        <f t="shared" si="2664"/>
        <v>45230</v>
      </c>
    </row>
    <row r="16276" spans="1:6" x14ac:dyDescent="0.25">
      <c r="A16276" s="1" t="s">
        <v>545</v>
      </c>
      <c r="B16276" s="1" t="s">
        <v>1102</v>
      </c>
      <c r="C16276" s="1" t="s">
        <v>1103</v>
      </c>
      <c r="D16276" s="3">
        <f t="shared" si="2662"/>
        <v>8376</v>
      </c>
      <c r="E16276" s="2">
        <f t="shared" si="2663"/>
        <v>43435</v>
      </c>
      <c r="F16276" s="2">
        <f t="shared" si="2664"/>
        <v>45230</v>
      </c>
    </row>
    <row r="16277" spans="1:6" x14ac:dyDescent="0.25">
      <c r="A16277" s="1" t="s">
        <v>545</v>
      </c>
      <c r="B16277" s="1" t="s">
        <v>1102</v>
      </c>
      <c r="C16277" s="1" t="s">
        <v>92</v>
      </c>
      <c r="D16277" s="3">
        <f t="shared" si="2662"/>
        <v>8376</v>
      </c>
      <c r="E16277" s="2">
        <f t="shared" si="2663"/>
        <v>43435</v>
      </c>
      <c r="F16277" s="2">
        <f t="shared" si="2664"/>
        <v>45230</v>
      </c>
    </row>
    <row r="16278" spans="1:6" x14ac:dyDescent="0.25">
      <c r="A16278" s="1" t="s">
        <v>545</v>
      </c>
      <c r="B16278" s="1" t="s">
        <v>1102</v>
      </c>
      <c r="C16278" s="1" t="s">
        <v>1056</v>
      </c>
      <c r="D16278" s="3">
        <f t="shared" si="2662"/>
        <v>8376</v>
      </c>
      <c r="E16278" s="2">
        <f t="shared" si="2663"/>
        <v>43435</v>
      </c>
      <c r="F16278" s="2">
        <f t="shared" si="2664"/>
        <v>45230</v>
      </c>
    </row>
    <row r="16279" spans="1:6" x14ac:dyDescent="0.25">
      <c r="A16279" s="1" t="s">
        <v>545</v>
      </c>
      <c r="B16279" s="1" t="s">
        <v>1102</v>
      </c>
      <c r="C16279" s="1" t="s">
        <v>457</v>
      </c>
      <c r="D16279" s="3">
        <f t="shared" si="2662"/>
        <v>8376</v>
      </c>
      <c r="E16279" s="2">
        <f t="shared" si="2663"/>
        <v>43435</v>
      </c>
      <c r="F16279" s="2">
        <f t="shared" si="2664"/>
        <v>45230</v>
      </c>
    </row>
    <row r="16280" spans="1:6" x14ac:dyDescent="0.25">
      <c r="A16280" s="1" t="s">
        <v>545</v>
      </c>
      <c r="B16280" s="1" t="s">
        <v>1102</v>
      </c>
      <c r="C16280" s="1" t="s">
        <v>1104</v>
      </c>
      <c r="D16280" s="3">
        <f t="shared" si="2662"/>
        <v>8376</v>
      </c>
      <c r="E16280" s="2">
        <f t="shared" si="2663"/>
        <v>43435</v>
      </c>
      <c r="F16280" s="2">
        <f t="shared" si="2664"/>
        <v>45230</v>
      </c>
    </row>
    <row r="16281" spans="1:6" x14ac:dyDescent="0.25">
      <c r="A16281" s="1" t="s">
        <v>545</v>
      </c>
      <c r="B16281" s="1" t="s">
        <v>1102</v>
      </c>
      <c r="C16281" s="1" t="s">
        <v>378</v>
      </c>
      <c r="D16281" s="3">
        <f t="shared" si="2662"/>
        <v>8376</v>
      </c>
      <c r="E16281" s="2">
        <f t="shared" si="2663"/>
        <v>43435</v>
      </c>
      <c r="F16281" s="2">
        <f t="shared" si="2664"/>
        <v>45230</v>
      </c>
    </row>
    <row r="16282" spans="1:6" x14ac:dyDescent="0.25">
      <c r="A16282" s="1" t="s">
        <v>545</v>
      </c>
      <c r="B16282" s="1" t="s">
        <v>2064</v>
      </c>
      <c r="C16282" s="1" t="s">
        <v>15</v>
      </c>
      <c r="D16282" s="3">
        <f>VALUE("8271")</f>
        <v>8271</v>
      </c>
      <c r="E16282" s="2">
        <f>DATEVALUE("1-10-2018")</f>
        <v>43374</v>
      </c>
      <c r="F16282" s="2">
        <f>DATEVALUE("31-1-2020")</f>
        <v>43861</v>
      </c>
    </row>
    <row r="16283" spans="1:6" x14ac:dyDescent="0.25">
      <c r="A16283" s="1" t="s">
        <v>545</v>
      </c>
      <c r="B16283" s="1" t="s">
        <v>2064</v>
      </c>
      <c r="C16283" s="1" t="s">
        <v>73</v>
      </c>
      <c r="D16283" s="3">
        <f>VALUE("8271")</f>
        <v>8271</v>
      </c>
      <c r="E16283" s="2">
        <f>DATEVALUE("1-10-2018")</f>
        <v>43374</v>
      </c>
      <c r="F16283" s="2">
        <f>DATEVALUE("31-1-2020")</f>
        <v>43861</v>
      </c>
    </row>
    <row r="16284" spans="1:6" x14ac:dyDescent="0.25">
      <c r="A16284" s="1" t="s">
        <v>545</v>
      </c>
      <c r="B16284" s="1" t="s">
        <v>2064</v>
      </c>
      <c r="C16284" s="1" t="s">
        <v>380</v>
      </c>
      <c r="D16284" s="3">
        <f>VALUE("8271")</f>
        <v>8271</v>
      </c>
      <c r="E16284" s="2">
        <f>DATEVALUE("1-10-2018")</f>
        <v>43374</v>
      </c>
      <c r="F16284" s="2">
        <f>DATEVALUE("31-1-2020")</f>
        <v>43861</v>
      </c>
    </row>
    <row r="16285" spans="1:6" x14ac:dyDescent="0.25">
      <c r="A16285" s="1" t="s">
        <v>545</v>
      </c>
      <c r="B16285" s="1" t="s">
        <v>2064</v>
      </c>
      <c r="C16285" s="1" t="s">
        <v>381</v>
      </c>
      <c r="D16285" s="3">
        <f>VALUE("8271")</f>
        <v>8271</v>
      </c>
      <c r="E16285" s="2">
        <f>DATEVALUE("1-10-2018")</f>
        <v>43374</v>
      </c>
      <c r="F16285" s="2">
        <f>DATEVALUE("31-1-2020")</f>
        <v>43861</v>
      </c>
    </row>
    <row r="16286" spans="1:6" x14ac:dyDescent="0.25">
      <c r="A16286" s="1" t="s">
        <v>545</v>
      </c>
      <c r="B16286" s="1" t="s">
        <v>623</v>
      </c>
      <c r="C16286" s="1" t="s">
        <v>624</v>
      </c>
      <c r="D16286" s="3">
        <f t="shared" ref="D16286:D16304" si="2665">VALUE("7843")</f>
        <v>7843</v>
      </c>
      <c r="E16286" s="2">
        <f t="shared" ref="E16286:E16304" si="2666">DATEVALUE("1-9-2017")</f>
        <v>42979</v>
      </c>
      <c r="F16286" s="2">
        <f t="shared" ref="F16286:F16304" si="2667">DATEVALUE("30-6-2023")</f>
        <v>45107</v>
      </c>
    </row>
    <row r="16287" spans="1:6" x14ac:dyDescent="0.25">
      <c r="A16287" s="1" t="s">
        <v>545</v>
      </c>
      <c r="B16287" s="1" t="s">
        <v>623</v>
      </c>
      <c r="C16287" s="1" t="s">
        <v>62</v>
      </c>
      <c r="D16287" s="3">
        <f t="shared" si="2665"/>
        <v>7843</v>
      </c>
      <c r="E16287" s="2">
        <f t="shared" si="2666"/>
        <v>42979</v>
      </c>
      <c r="F16287" s="2">
        <f t="shared" si="2667"/>
        <v>45107</v>
      </c>
    </row>
    <row r="16288" spans="1:6" x14ac:dyDescent="0.25">
      <c r="A16288" s="1" t="s">
        <v>545</v>
      </c>
      <c r="B16288" s="1" t="s">
        <v>623</v>
      </c>
      <c r="C16288" s="1" t="s">
        <v>63</v>
      </c>
      <c r="D16288" s="3">
        <f t="shared" si="2665"/>
        <v>7843</v>
      </c>
      <c r="E16288" s="2">
        <f t="shared" si="2666"/>
        <v>42979</v>
      </c>
      <c r="F16288" s="2">
        <f t="shared" si="2667"/>
        <v>45107</v>
      </c>
    </row>
    <row r="16289" spans="1:6" x14ac:dyDescent="0.25">
      <c r="A16289" s="1" t="s">
        <v>545</v>
      </c>
      <c r="B16289" s="1" t="s">
        <v>623</v>
      </c>
      <c r="C16289" s="1" t="s">
        <v>414</v>
      </c>
      <c r="D16289" s="3">
        <f t="shared" si="2665"/>
        <v>7843</v>
      </c>
      <c r="E16289" s="2">
        <f t="shared" si="2666"/>
        <v>42979</v>
      </c>
      <c r="F16289" s="2">
        <f t="shared" si="2667"/>
        <v>45107</v>
      </c>
    </row>
    <row r="16290" spans="1:6" x14ac:dyDescent="0.25">
      <c r="A16290" s="1" t="s">
        <v>545</v>
      </c>
      <c r="B16290" s="1" t="s">
        <v>623</v>
      </c>
      <c r="C16290" s="1" t="s">
        <v>15</v>
      </c>
      <c r="D16290" s="3">
        <f t="shared" si="2665"/>
        <v>7843</v>
      </c>
      <c r="E16290" s="2">
        <f t="shared" si="2666"/>
        <v>42979</v>
      </c>
      <c r="F16290" s="2">
        <f t="shared" si="2667"/>
        <v>45107</v>
      </c>
    </row>
    <row r="16291" spans="1:6" x14ac:dyDescent="0.25">
      <c r="A16291" s="1" t="s">
        <v>545</v>
      </c>
      <c r="B16291" s="1" t="s">
        <v>623</v>
      </c>
      <c r="C16291" s="1" t="s">
        <v>17</v>
      </c>
      <c r="D16291" s="3">
        <f t="shared" si="2665"/>
        <v>7843</v>
      </c>
      <c r="E16291" s="2">
        <f t="shared" si="2666"/>
        <v>42979</v>
      </c>
      <c r="F16291" s="2">
        <f t="shared" si="2667"/>
        <v>45107</v>
      </c>
    </row>
    <row r="16292" spans="1:6" x14ac:dyDescent="0.25">
      <c r="A16292" s="1" t="s">
        <v>545</v>
      </c>
      <c r="B16292" s="1" t="s">
        <v>623</v>
      </c>
      <c r="C16292" s="1" t="s">
        <v>22</v>
      </c>
      <c r="D16292" s="3">
        <f t="shared" si="2665"/>
        <v>7843</v>
      </c>
      <c r="E16292" s="2">
        <f t="shared" si="2666"/>
        <v>42979</v>
      </c>
      <c r="F16292" s="2">
        <f t="shared" si="2667"/>
        <v>45107</v>
      </c>
    </row>
    <row r="16293" spans="1:6" x14ac:dyDescent="0.25">
      <c r="A16293" s="1" t="s">
        <v>545</v>
      </c>
      <c r="B16293" s="1" t="s">
        <v>623</v>
      </c>
      <c r="C16293" s="1" t="s">
        <v>67</v>
      </c>
      <c r="D16293" s="3">
        <f t="shared" si="2665"/>
        <v>7843</v>
      </c>
      <c r="E16293" s="2">
        <f t="shared" si="2666"/>
        <v>42979</v>
      </c>
      <c r="F16293" s="2">
        <f t="shared" si="2667"/>
        <v>45107</v>
      </c>
    </row>
    <row r="16294" spans="1:6" x14ac:dyDescent="0.25">
      <c r="A16294" s="1" t="s">
        <v>545</v>
      </c>
      <c r="B16294" s="1" t="s">
        <v>623</v>
      </c>
      <c r="C16294" s="1" t="s">
        <v>149</v>
      </c>
      <c r="D16294" s="3">
        <f t="shared" si="2665"/>
        <v>7843</v>
      </c>
      <c r="E16294" s="2">
        <f t="shared" si="2666"/>
        <v>42979</v>
      </c>
      <c r="F16294" s="2">
        <f t="shared" si="2667"/>
        <v>45107</v>
      </c>
    </row>
    <row r="16295" spans="1:6" x14ac:dyDescent="0.25">
      <c r="A16295" s="1" t="s">
        <v>545</v>
      </c>
      <c r="B16295" s="1" t="s">
        <v>623</v>
      </c>
      <c r="C16295" s="1" t="s">
        <v>385</v>
      </c>
      <c r="D16295" s="3">
        <f t="shared" si="2665"/>
        <v>7843</v>
      </c>
      <c r="E16295" s="2">
        <f t="shared" si="2666"/>
        <v>42979</v>
      </c>
      <c r="F16295" s="2">
        <f t="shared" si="2667"/>
        <v>45107</v>
      </c>
    </row>
    <row r="16296" spans="1:6" x14ac:dyDescent="0.25">
      <c r="A16296" s="1" t="s">
        <v>545</v>
      </c>
      <c r="B16296" s="1" t="s">
        <v>623</v>
      </c>
      <c r="C16296" s="1" t="s">
        <v>386</v>
      </c>
      <c r="D16296" s="3">
        <f t="shared" si="2665"/>
        <v>7843</v>
      </c>
      <c r="E16296" s="2">
        <f t="shared" si="2666"/>
        <v>42979</v>
      </c>
      <c r="F16296" s="2">
        <f t="shared" si="2667"/>
        <v>45107</v>
      </c>
    </row>
    <row r="16297" spans="1:6" x14ac:dyDescent="0.25">
      <c r="A16297" s="1" t="s">
        <v>545</v>
      </c>
      <c r="B16297" s="1" t="s">
        <v>623</v>
      </c>
      <c r="C16297" s="1" t="s">
        <v>387</v>
      </c>
      <c r="D16297" s="3">
        <f t="shared" si="2665"/>
        <v>7843</v>
      </c>
      <c r="E16297" s="2">
        <f t="shared" si="2666"/>
        <v>42979</v>
      </c>
      <c r="F16297" s="2">
        <f t="shared" si="2667"/>
        <v>45107</v>
      </c>
    </row>
    <row r="16298" spans="1:6" x14ac:dyDescent="0.25">
      <c r="A16298" s="1" t="s">
        <v>545</v>
      </c>
      <c r="B16298" s="1" t="s">
        <v>623</v>
      </c>
      <c r="C16298" s="1" t="s">
        <v>388</v>
      </c>
      <c r="D16298" s="3">
        <f t="shared" si="2665"/>
        <v>7843</v>
      </c>
      <c r="E16298" s="2">
        <f t="shared" si="2666"/>
        <v>42979</v>
      </c>
      <c r="F16298" s="2">
        <f t="shared" si="2667"/>
        <v>45107</v>
      </c>
    </row>
    <row r="16299" spans="1:6" x14ac:dyDescent="0.25">
      <c r="A16299" s="1" t="s">
        <v>545</v>
      </c>
      <c r="B16299" s="1" t="s">
        <v>623</v>
      </c>
      <c r="C16299" s="1" t="s">
        <v>456</v>
      </c>
      <c r="D16299" s="3">
        <f t="shared" si="2665"/>
        <v>7843</v>
      </c>
      <c r="E16299" s="2">
        <f t="shared" si="2666"/>
        <v>42979</v>
      </c>
      <c r="F16299" s="2">
        <f t="shared" si="2667"/>
        <v>45107</v>
      </c>
    </row>
    <row r="16300" spans="1:6" x14ac:dyDescent="0.25">
      <c r="A16300" s="1" t="s">
        <v>545</v>
      </c>
      <c r="B16300" s="1" t="s">
        <v>623</v>
      </c>
      <c r="C16300" s="1" t="s">
        <v>389</v>
      </c>
      <c r="D16300" s="3">
        <f t="shared" si="2665"/>
        <v>7843</v>
      </c>
      <c r="E16300" s="2">
        <f t="shared" si="2666"/>
        <v>42979</v>
      </c>
      <c r="F16300" s="2">
        <f t="shared" si="2667"/>
        <v>45107</v>
      </c>
    </row>
    <row r="16301" spans="1:6" x14ac:dyDescent="0.25">
      <c r="A16301" s="1" t="s">
        <v>545</v>
      </c>
      <c r="B16301" s="1" t="s">
        <v>623</v>
      </c>
      <c r="C16301" s="1" t="s">
        <v>390</v>
      </c>
      <c r="D16301" s="3">
        <f t="shared" si="2665"/>
        <v>7843</v>
      </c>
      <c r="E16301" s="2">
        <f t="shared" si="2666"/>
        <v>42979</v>
      </c>
      <c r="F16301" s="2">
        <f t="shared" si="2667"/>
        <v>45107</v>
      </c>
    </row>
    <row r="16302" spans="1:6" x14ac:dyDescent="0.25">
      <c r="A16302" s="1" t="s">
        <v>545</v>
      </c>
      <c r="B16302" s="1" t="s">
        <v>623</v>
      </c>
      <c r="C16302" s="1" t="s">
        <v>70</v>
      </c>
      <c r="D16302" s="3">
        <f t="shared" si="2665"/>
        <v>7843</v>
      </c>
      <c r="E16302" s="2">
        <f t="shared" si="2666"/>
        <v>42979</v>
      </c>
      <c r="F16302" s="2">
        <f t="shared" si="2667"/>
        <v>45107</v>
      </c>
    </row>
    <row r="16303" spans="1:6" x14ac:dyDescent="0.25">
      <c r="A16303" s="1" t="s">
        <v>545</v>
      </c>
      <c r="B16303" s="1" t="s">
        <v>623</v>
      </c>
      <c r="C16303" s="1" t="s">
        <v>73</v>
      </c>
      <c r="D16303" s="3">
        <f t="shared" si="2665"/>
        <v>7843</v>
      </c>
      <c r="E16303" s="2">
        <f t="shared" si="2666"/>
        <v>42979</v>
      </c>
      <c r="F16303" s="2">
        <f t="shared" si="2667"/>
        <v>45107</v>
      </c>
    </row>
    <row r="16304" spans="1:6" x14ac:dyDescent="0.25">
      <c r="A16304" s="1" t="s">
        <v>545</v>
      </c>
      <c r="B16304" s="1" t="s">
        <v>623</v>
      </c>
      <c r="C16304" s="1" t="s">
        <v>52</v>
      </c>
      <c r="D16304" s="3">
        <f t="shared" si="2665"/>
        <v>7843</v>
      </c>
      <c r="E16304" s="2">
        <f t="shared" si="2666"/>
        <v>42979</v>
      </c>
      <c r="F16304" s="2">
        <f t="shared" si="2667"/>
        <v>45107</v>
      </c>
    </row>
    <row r="16305" spans="1:6" x14ac:dyDescent="0.25">
      <c r="A16305" s="1" t="s">
        <v>545</v>
      </c>
      <c r="B16305" s="1" t="s">
        <v>544</v>
      </c>
      <c r="C16305" s="1" t="s">
        <v>8</v>
      </c>
      <c r="D16305" s="3">
        <f t="shared" ref="D16305:D16315" si="2668">VALUE("7730")</f>
        <v>7730</v>
      </c>
      <c r="E16305" s="2">
        <f t="shared" ref="E16305:E16315" si="2669">DATEVALUE("1-6-2017")</f>
        <v>42887</v>
      </c>
      <c r="F16305" s="2">
        <f t="shared" ref="F16305:F16315" si="2670">DATEVALUE("31-12-2023")</f>
        <v>45291</v>
      </c>
    </row>
    <row r="16306" spans="1:6" x14ac:dyDescent="0.25">
      <c r="A16306" s="1" t="s">
        <v>545</v>
      </c>
      <c r="B16306" s="1" t="s">
        <v>544</v>
      </c>
      <c r="C16306" s="1" t="s">
        <v>43</v>
      </c>
      <c r="D16306" s="3">
        <f t="shared" si="2668"/>
        <v>7730</v>
      </c>
      <c r="E16306" s="2">
        <f t="shared" si="2669"/>
        <v>42887</v>
      </c>
      <c r="F16306" s="2">
        <f t="shared" si="2670"/>
        <v>45291</v>
      </c>
    </row>
    <row r="16307" spans="1:6" x14ac:dyDescent="0.25">
      <c r="A16307" s="1" t="s">
        <v>545</v>
      </c>
      <c r="B16307" s="1" t="s">
        <v>544</v>
      </c>
      <c r="C16307" s="1" t="s">
        <v>141</v>
      </c>
      <c r="D16307" s="3">
        <f t="shared" si="2668"/>
        <v>7730</v>
      </c>
      <c r="E16307" s="2">
        <f t="shared" si="2669"/>
        <v>42887</v>
      </c>
      <c r="F16307" s="2">
        <f t="shared" si="2670"/>
        <v>45291</v>
      </c>
    </row>
    <row r="16308" spans="1:6" x14ac:dyDescent="0.25">
      <c r="A16308" s="1" t="s">
        <v>545</v>
      </c>
      <c r="B16308" s="1" t="s">
        <v>544</v>
      </c>
      <c r="C16308" s="1" t="s">
        <v>14</v>
      </c>
      <c r="D16308" s="3">
        <f t="shared" si="2668"/>
        <v>7730</v>
      </c>
      <c r="E16308" s="2">
        <f t="shared" si="2669"/>
        <v>42887</v>
      </c>
      <c r="F16308" s="2">
        <f t="shared" si="2670"/>
        <v>45291</v>
      </c>
    </row>
    <row r="16309" spans="1:6" x14ac:dyDescent="0.25">
      <c r="A16309" s="1" t="s">
        <v>545</v>
      </c>
      <c r="B16309" s="1" t="s">
        <v>544</v>
      </c>
      <c r="C16309" s="1" t="s">
        <v>15</v>
      </c>
      <c r="D16309" s="3">
        <f t="shared" si="2668"/>
        <v>7730</v>
      </c>
      <c r="E16309" s="2">
        <f t="shared" si="2669"/>
        <v>42887</v>
      </c>
      <c r="F16309" s="2">
        <f t="shared" si="2670"/>
        <v>45291</v>
      </c>
    </row>
    <row r="16310" spans="1:6" x14ac:dyDescent="0.25">
      <c r="A16310" s="1" t="s">
        <v>545</v>
      </c>
      <c r="B16310" s="1" t="s">
        <v>544</v>
      </c>
      <c r="C16310" s="1" t="s">
        <v>17</v>
      </c>
      <c r="D16310" s="3">
        <f t="shared" si="2668"/>
        <v>7730</v>
      </c>
      <c r="E16310" s="2">
        <f t="shared" si="2669"/>
        <v>42887</v>
      </c>
      <c r="F16310" s="2">
        <f t="shared" si="2670"/>
        <v>45291</v>
      </c>
    </row>
    <row r="16311" spans="1:6" x14ac:dyDescent="0.25">
      <c r="A16311" s="1" t="s">
        <v>545</v>
      </c>
      <c r="B16311" s="1" t="s">
        <v>544</v>
      </c>
      <c r="C16311" s="1" t="s">
        <v>22</v>
      </c>
      <c r="D16311" s="3">
        <f t="shared" si="2668"/>
        <v>7730</v>
      </c>
      <c r="E16311" s="2">
        <f t="shared" si="2669"/>
        <v>42887</v>
      </c>
      <c r="F16311" s="2">
        <f t="shared" si="2670"/>
        <v>45291</v>
      </c>
    </row>
    <row r="16312" spans="1:6" x14ac:dyDescent="0.25">
      <c r="A16312" s="1" t="s">
        <v>545</v>
      </c>
      <c r="B16312" s="1" t="s">
        <v>544</v>
      </c>
      <c r="C16312" s="1" t="s">
        <v>151</v>
      </c>
      <c r="D16312" s="3">
        <f t="shared" si="2668"/>
        <v>7730</v>
      </c>
      <c r="E16312" s="2">
        <f t="shared" si="2669"/>
        <v>42887</v>
      </c>
      <c r="F16312" s="2">
        <f t="shared" si="2670"/>
        <v>45291</v>
      </c>
    </row>
    <row r="16313" spans="1:6" x14ac:dyDescent="0.25">
      <c r="A16313" s="1" t="s">
        <v>545</v>
      </c>
      <c r="B16313" s="1" t="s">
        <v>544</v>
      </c>
      <c r="C16313" s="1" t="s">
        <v>73</v>
      </c>
      <c r="D16313" s="3">
        <f t="shared" si="2668"/>
        <v>7730</v>
      </c>
      <c r="E16313" s="2">
        <f t="shared" si="2669"/>
        <v>42887</v>
      </c>
      <c r="F16313" s="2">
        <f t="shared" si="2670"/>
        <v>45291</v>
      </c>
    </row>
    <row r="16314" spans="1:6" x14ac:dyDescent="0.25">
      <c r="A16314" s="1" t="s">
        <v>545</v>
      </c>
      <c r="B16314" s="1" t="s">
        <v>544</v>
      </c>
      <c r="C16314" s="1" t="s">
        <v>379</v>
      </c>
      <c r="D16314" s="3">
        <f t="shared" si="2668"/>
        <v>7730</v>
      </c>
      <c r="E16314" s="2">
        <f t="shared" si="2669"/>
        <v>42887</v>
      </c>
      <c r="F16314" s="2">
        <f t="shared" si="2670"/>
        <v>45291</v>
      </c>
    </row>
    <row r="16315" spans="1:6" x14ac:dyDescent="0.25">
      <c r="A16315" s="1" t="s">
        <v>545</v>
      </c>
      <c r="B16315" s="1" t="s">
        <v>544</v>
      </c>
      <c r="C16315" s="1" t="s">
        <v>381</v>
      </c>
      <c r="D16315" s="3">
        <f t="shared" si="2668"/>
        <v>7730</v>
      </c>
      <c r="E16315" s="2">
        <f t="shared" si="2669"/>
        <v>42887</v>
      </c>
      <c r="F16315" s="2">
        <f t="shared" si="2670"/>
        <v>45291</v>
      </c>
    </row>
    <row r="16316" spans="1:6" x14ac:dyDescent="0.25">
      <c r="A16316" s="1" t="s">
        <v>545</v>
      </c>
      <c r="B16316" s="1" t="s">
        <v>2198</v>
      </c>
      <c r="C16316" s="1" t="s">
        <v>197</v>
      </c>
      <c r="D16316" s="3">
        <f>VALUE("7776")</f>
        <v>7776</v>
      </c>
      <c r="E16316" s="2">
        <f>DATEVALUE("1-10-2016")</f>
        <v>42644</v>
      </c>
      <c r="F16316" s="2">
        <f>DATEVALUE("31-10-2016")</f>
        <v>42674</v>
      </c>
    </row>
    <row r="16317" spans="1:6" x14ac:dyDescent="0.25">
      <c r="A16317" s="1" t="s">
        <v>545</v>
      </c>
      <c r="B16317" s="1" t="s">
        <v>2243</v>
      </c>
      <c r="C16317" s="1" t="s">
        <v>15</v>
      </c>
      <c r="D16317" s="3">
        <f>VALUE("7937")</f>
        <v>7937</v>
      </c>
      <c r="E16317" s="2">
        <f>DATEVALUE("1-9-2016")</f>
        <v>42614</v>
      </c>
      <c r="F16317" s="2">
        <f>DATEVALUE("31-3-2018")</f>
        <v>43190</v>
      </c>
    </row>
    <row r="16318" spans="1:6" x14ac:dyDescent="0.25">
      <c r="A16318" s="1" t="s">
        <v>545</v>
      </c>
      <c r="B16318" s="1" t="s">
        <v>2243</v>
      </c>
      <c r="C16318" s="1" t="s">
        <v>53</v>
      </c>
      <c r="D16318" s="3">
        <f>VALUE("7937")</f>
        <v>7937</v>
      </c>
      <c r="E16318" s="2">
        <f>DATEVALUE("1-9-2016")</f>
        <v>42614</v>
      </c>
      <c r="F16318" s="2">
        <f>DATEVALUE("31-3-2018")</f>
        <v>43190</v>
      </c>
    </row>
    <row r="16319" spans="1:6" x14ac:dyDescent="0.25">
      <c r="A16319" s="1" t="s">
        <v>545</v>
      </c>
      <c r="B16319" s="1" t="s">
        <v>692</v>
      </c>
      <c r="C16319" s="1" t="s">
        <v>14</v>
      </c>
      <c r="D16319" s="3">
        <f t="shared" ref="D16319:D16336" si="2671">VALUE("7893")</f>
        <v>7893</v>
      </c>
      <c r="E16319" s="2">
        <f t="shared" ref="E16319:E16336" si="2672">DATEVALUE("1-7-2016")</f>
        <v>42552</v>
      </c>
      <c r="F16319" s="2">
        <f t="shared" ref="F16319:F16336" si="2673">DATEVALUE("30-6-2023")</f>
        <v>45107</v>
      </c>
    </row>
    <row r="16320" spans="1:6" x14ac:dyDescent="0.25">
      <c r="A16320" s="1" t="s">
        <v>545</v>
      </c>
      <c r="B16320" s="1" t="s">
        <v>692</v>
      </c>
      <c r="C16320" s="1" t="s">
        <v>15</v>
      </c>
      <c r="D16320" s="3">
        <f t="shared" si="2671"/>
        <v>7893</v>
      </c>
      <c r="E16320" s="2">
        <f t="shared" si="2672"/>
        <v>42552</v>
      </c>
      <c r="F16320" s="2">
        <f t="shared" si="2673"/>
        <v>45107</v>
      </c>
    </row>
    <row r="16321" spans="1:6" x14ac:dyDescent="0.25">
      <c r="A16321" s="1" t="s">
        <v>545</v>
      </c>
      <c r="B16321" s="1" t="s">
        <v>692</v>
      </c>
      <c r="C16321" s="1" t="s">
        <v>16</v>
      </c>
      <c r="D16321" s="3">
        <f t="shared" si="2671"/>
        <v>7893</v>
      </c>
      <c r="E16321" s="2">
        <f t="shared" si="2672"/>
        <v>42552</v>
      </c>
      <c r="F16321" s="2">
        <f t="shared" si="2673"/>
        <v>45107</v>
      </c>
    </row>
    <row r="16322" spans="1:6" x14ac:dyDescent="0.25">
      <c r="A16322" s="1" t="s">
        <v>545</v>
      </c>
      <c r="B16322" s="1" t="s">
        <v>692</v>
      </c>
      <c r="C16322" s="1" t="s">
        <v>17</v>
      </c>
      <c r="D16322" s="3">
        <f t="shared" si="2671"/>
        <v>7893</v>
      </c>
      <c r="E16322" s="2">
        <f t="shared" si="2672"/>
        <v>42552</v>
      </c>
      <c r="F16322" s="2">
        <f t="shared" si="2673"/>
        <v>45107</v>
      </c>
    </row>
    <row r="16323" spans="1:6" x14ac:dyDescent="0.25">
      <c r="A16323" s="1" t="s">
        <v>545</v>
      </c>
      <c r="B16323" s="1" t="s">
        <v>692</v>
      </c>
      <c r="C16323" s="1" t="s">
        <v>257</v>
      </c>
      <c r="D16323" s="3">
        <f t="shared" si="2671"/>
        <v>7893</v>
      </c>
      <c r="E16323" s="2">
        <f t="shared" si="2672"/>
        <v>42552</v>
      </c>
      <c r="F16323" s="2">
        <f t="shared" si="2673"/>
        <v>45107</v>
      </c>
    </row>
    <row r="16324" spans="1:6" x14ac:dyDescent="0.25">
      <c r="A16324" s="1" t="s">
        <v>545</v>
      </c>
      <c r="B16324" s="1" t="s">
        <v>692</v>
      </c>
      <c r="C16324" s="1" t="s">
        <v>291</v>
      </c>
      <c r="D16324" s="3">
        <f t="shared" si="2671"/>
        <v>7893</v>
      </c>
      <c r="E16324" s="2">
        <f t="shared" si="2672"/>
        <v>42552</v>
      </c>
      <c r="F16324" s="2">
        <f t="shared" si="2673"/>
        <v>45107</v>
      </c>
    </row>
    <row r="16325" spans="1:6" x14ac:dyDescent="0.25">
      <c r="A16325" s="1" t="s">
        <v>545</v>
      </c>
      <c r="B16325" s="1" t="s">
        <v>692</v>
      </c>
      <c r="C16325" s="1" t="s">
        <v>144</v>
      </c>
      <c r="D16325" s="3">
        <f t="shared" si="2671"/>
        <v>7893</v>
      </c>
      <c r="E16325" s="2">
        <f t="shared" si="2672"/>
        <v>42552</v>
      </c>
      <c r="F16325" s="2">
        <f t="shared" si="2673"/>
        <v>45107</v>
      </c>
    </row>
    <row r="16326" spans="1:6" x14ac:dyDescent="0.25">
      <c r="A16326" s="1" t="s">
        <v>545</v>
      </c>
      <c r="B16326" s="1" t="s">
        <v>692</v>
      </c>
      <c r="C16326" s="1" t="s">
        <v>22</v>
      </c>
      <c r="D16326" s="3">
        <f t="shared" si="2671"/>
        <v>7893</v>
      </c>
      <c r="E16326" s="2">
        <f t="shared" si="2672"/>
        <v>42552</v>
      </c>
      <c r="F16326" s="2">
        <f t="shared" si="2673"/>
        <v>45107</v>
      </c>
    </row>
    <row r="16327" spans="1:6" x14ac:dyDescent="0.25">
      <c r="A16327" s="1" t="s">
        <v>545</v>
      </c>
      <c r="B16327" s="1" t="s">
        <v>692</v>
      </c>
      <c r="C16327" s="1" t="s">
        <v>146</v>
      </c>
      <c r="D16327" s="3">
        <f t="shared" si="2671"/>
        <v>7893</v>
      </c>
      <c r="E16327" s="2">
        <f t="shared" si="2672"/>
        <v>42552</v>
      </c>
      <c r="F16327" s="2">
        <f t="shared" si="2673"/>
        <v>45107</v>
      </c>
    </row>
    <row r="16328" spans="1:6" x14ac:dyDescent="0.25">
      <c r="A16328" s="1" t="s">
        <v>545</v>
      </c>
      <c r="B16328" s="1" t="s">
        <v>692</v>
      </c>
      <c r="C16328" s="1" t="s">
        <v>67</v>
      </c>
      <c r="D16328" s="3">
        <f t="shared" si="2671"/>
        <v>7893</v>
      </c>
      <c r="E16328" s="2">
        <f t="shared" si="2672"/>
        <v>42552</v>
      </c>
      <c r="F16328" s="2">
        <f t="shared" si="2673"/>
        <v>45107</v>
      </c>
    </row>
    <row r="16329" spans="1:6" x14ac:dyDescent="0.25">
      <c r="A16329" s="1" t="s">
        <v>545</v>
      </c>
      <c r="B16329" s="1" t="s">
        <v>692</v>
      </c>
      <c r="C16329" s="1" t="s">
        <v>148</v>
      </c>
      <c r="D16329" s="3">
        <f t="shared" si="2671"/>
        <v>7893</v>
      </c>
      <c r="E16329" s="2">
        <f t="shared" si="2672"/>
        <v>42552</v>
      </c>
      <c r="F16329" s="2">
        <f t="shared" si="2673"/>
        <v>45107</v>
      </c>
    </row>
    <row r="16330" spans="1:6" x14ac:dyDescent="0.25">
      <c r="A16330" s="1" t="s">
        <v>545</v>
      </c>
      <c r="B16330" s="1" t="s">
        <v>692</v>
      </c>
      <c r="C16330" s="1" t="s">
        <v>149</v>
      </c>
      <c r="D16330" s="3">
        <f t="shared" si="2671"/>
        <v>7893</v>
      </c>
      <c r="E16330" s="2">
        <f t="shared" si="2672"/>
        <v>42552</v>
      </c>
      <c r="F16330" s="2">
        <f t="shared" si="2673"/>
        <v>45107</v>
      </c>
    </row>
    <row r="16331" spans="1:6" x14ac:dyDescent="0.25">
      <c r="A16331" s="1" t="s">
        <v>545</v>
      </c>
      <c r="B16331" s="1" t="s">
        <v>692</v>
      </c>
      <c r="C16331" s="1" t="s">
        <v>24</v>
      </c>
      <c r="D16331" s="3">
        <f t="shared" si="2671"/>
        <v>7893</v>
      </c>
      <c r="E16331" s="2">
        <f t="shared" si="2672"/>
        <v>42552</v>
      </c>
      <c r="F16331" s="2">
        <f t="shared" si="2673"/>
        <v>45107</v>
      </c>
    </row>
    <row r="16332" spans="1:6" x14ac:dyDescent="0.25">
      <c r="A16332" s="1" t="s">
        <v>545</v>
      </c>
      <c r="B16332" s="1" t="s">
        <v>692</v>
      </c>
      <c r="C16332" s="1" t="s">
        <v>70</v>
      </c>
      <c r="D16332" s="3">
        <f t="shared" si="2671"/>
        <v>7893</v>
      </c>
      <c r="E16332" s="2">
        <f t="shared" si="2672"/>
        <v>42552</v>
      </c>
      <c r="F16332" s="2">
        <f t="shared" si="2673"/>
        <v>45107</v>
      </c>
    </row>
    <row r="16333" spans="1:6" x14ac:dyDescent="0.25">
      <c r="A16333" s="1" t="s">
        <v>545</v>
      </c>
      <c r="B16333" s="1" t="s">
        <v>692</v>
      </c>
      <c r="C16333" s="1" t="s">
        <v>73</v>
      </c>
      <c r="D16333" s="3">
        <f t="shared" si="2671"/>
        <v>7893</v>
      </c>
      <c r="E16333" s="2">
        <f t="shared" si="2672"/>
        <v>42552</v>
      </c>
      <c r="F16333" s="2">
        <f t="shared" si="2673"/>
        <v>45107</v>
      </c>
    </row>
    <row r="16334" spans="1:6" x14ac:dyDescent="0.25">
      <c r="A16334" s="1" t="s">
        <v>545</v>
      </c>
      <c r="B16334" s="1" t="s">
        <v>692</v>
      </c>
      <c r="C16334" s="1" t="s">
        <v>391</v>
      </c>
      <c r="D16334" s="3">
        <f t="shared" si="2671"/>
        <v>7893</v>
      </c>
      <c r="E16334" s="2">
        <f t="shared" si="2672"/>
        <v>42552</v>
      </c>
      <c r="F16334" s="2">
        <f t="shared" si="2673"/>
        <v>45107</v>
      </c>
    </row>
    <row r="16335" spans="1:6" x14ac:dyDescent="0.25">
      <c r="A16335" s="1" t="s">
        <v>545</v>
      </c>
      <c r="B16335" s="1" t="s">
        <v>692</v>
      </c>
      <c r="C16335" s="1" t="s">
        <v>378</v>
      </c>
      <c r="D16335" s="3">
        <f t="shared" si="2671"/>
        <v>7893</v>
      </c>
      <c r="E16335" s="2">
        <f t="shared" si="2672"/>
        <v>42552</v>
      </c>
      <c r="F16335" s="2">
        <f t="shared" si="2673"/>
        <v>45107</v>
      </c>
    </row>
    <row r="16336" spans="1:6" x14ac:dyDescent="0.25">
      <c r="A16336" s="1" t="s">
        <v>545</v>
      </c>
      <c r="B16336" s="1" t="s">
        <v>692</v>
      </c>
      <c r="C16336" s="1" t="s">
        <v>34</v>
      </c>
      <c r="D16336" s="3">
        <f t="shared" si="2671"/>
        <v>7893</v>
      </c>
      <c r="E16336" s="2">
        <f t="shared" si="2672"/>
        <v>42552</v>
      </c>
      <c r="F16336" s="2">
        <f t="shared" si="2673"/>
        <v>45107</v>
      </c>
    </row>
    <row r="16337" spans="1:6" x14ac:dyDescent="0.25">
      <c r="A16337" s="1" t="s">
        <v>545</v>
      </c>
      <c r="B16337" s="1" t="s">
        <v>2199</v>
      </c>
      <c r="C16337" s="1" t="s">
        <v>14</v>
      </c>
      <c r="D16337" s="3">
        <f t="shared" ref="D16337:D16351" si="2674">VALUE("7779")</f>
        <v>7779</v>
      </c>
      <c r="E16337" s="2">
        <f t="shared" ref="E16337:E16351" si="2675">DATEVALUE("1-9-2015")</f>
        <v>42248</v>
      </c>
      <c r="F16337" s="2">
        <f t="shared" ref="F16337:F16351" si="2676">DATEVALUE("31-12-2018")</f>
        <v>43465</v>
      </c>
    </row>
    <row r="16338" spans="1:6" x14ac:dyDescent="0.25">
      <c r="A16338" s="1" t="s">
        <v>545</v>
      </c>
      <c r="B16338" s="1" t="s">
        <v>2199</v>
      </c>
      <c r="C16338" s="1" t="s">
        <v>15</v>
      </c>
      <c r="D16338" s="3">
        <f t="shared" si="2674"/>
        <v>7779</v>
      </c>
      <c r="E16338" s="2">
        <f t="shared" si="2675"/>
        <v>42248</v>
      </c>
      <c r="F16338" s="2">
        <f t="shared" si="2676"/>
        <v>43465</v>
      </c>
    </row>
    <row r="16339" spans="1:6" x14ac:dyDescent="0.25">
      <c r="A16339" s="1" t="s">
        <v>545</v>
      </c>
      <c r="B16339" s="1" t="s">
        <v>2199</v>
      </c>
      <c r="C16339" s="1" t="s">
        <v>16</v>
      </c>
      <c r="D16339" s="3">
        <f t="shared" si="2674"/>
        <v>7779</v>
      </c>
      <c r="E16339" s="2">
        <f t="shared" si="2675"/>
        <v>42248</v>
      </c>
      <c r="F16339" s="2">
        <f t="shared" si="2676"/>
        <v>43465</v>
      </c>
    </row>
    <row r="16340" spans="1:6" x14ac:dyDescent="0.25">
      <c r="A16340" s="1" t="s">
        <v>545</v>
      </c>
      <c r="B16340" s="1" t="s">
        <v>2199</v>
      </c>
      <c r="C16340" s="1" t="s">
        <v>17</v>
      </c>
      <c r="D16340" s="3">
        <f t="shared" si="2674"/>
        <v>7779</v>
      </c>
      <c r="E16340" s="2">
        <f t="shared" si="2675"/>
        <v>42248</v>
      </c>
      <c r="F16340" s="2">
        <f t="shared" si="2676"/>
        <v>43465</v>
      </c>
    </row>
    <row r="16341" spans="1:6" x14ac:dyDescent="0.25">
      <c r="A16341" s="1" t="s">
        <v>545</v>
      </c>
      <c r="B16341" s="1" t="s">
        <v>2199</v>
      </c>
      <c r="C16341" s="1" t="s">
        <v>291</v>
      </c>
      <c r="D16341" s="3">
        <f t="shared" si="2674"/>
        <v>7779</v>
      </c>
      <c r="E16341" s="2">
        <f t="shared" si="2675"/>
        <v>42248</v>
      </c>
      <c r="F16341" s="2">
        <f t="shared" si="2676"/>
        <v>43465</v>
      </c>
    </row>
    <row r="16342" spans="1:6" x14ac:dyDescent="0.25">
      <c r="A16342" s="1" t="s">
        <v>545</v>
      </c>
      <c r="B16342" s="1" t="s">
        <v>2199</v>
      </c>
      <c r="C16342" s="1" t="s">
        <v>144</v>
      </c>
      <c r="D16342" s="3">
        <f t="shared" si="2674"/>
        <v>7779</v>
      </c>
      <c r="E16342" s="2">
        <f t="shared" si="2675"/>
        <v>42248</v>
      </c>
      <c r="F16342" s="2">
        <f t="shared" si="2676"/>
        <v>43465</v>
      </c>
    </row>
    <row r="16343" spans="1:6" x14ac:dyDescent="0.25">
      <c r="A16343" s="1" t="s">
        <v>545</v>
      </c>
      <c r="B16343" s="1" t="s">
        <v>2199</v>
      </c>
      <c r="C16343" s="1" t="s">
        <v>22</v>
      </c>
      <c r="D16343" s="3">
        <f t="shared" si="2674"/>
        <v>7779</v>
      </c>
      <c r="E16343" s="2">
        <f t="shared" si="2675"/>
        <v>42248</v>
      </c>
      <c r="F16343" s="2">
        <f t="shared" si="2676"/>
        <v>43465</v>
      </c>
    </row>
    <row r="16344" spans="1:6" x14ac:dyDescent="0.25">
      <c r="A16344" s="1" t="s">
        <v>545</v>
      </c>
      <c r="B16344" s="1" t="s">
        <v>2199</v>
      </c>
      <c r="C16344" s="1" t="s">
        <v>146</v>
      </c>
      <c r="D16344" s="3">
        <f t="shared" si="2674"/>
        <v>7779</v>
      </c>
      <c r="E16344" s="2">
        <f t="shared" si="2675"/>
        <v>42248</v>
      </c>
      <c r="F16344" s="2">
        <f t="shared" si="2676"/>
        <v>43465</v>
      </c>
    </row>
    <row r="16345" spans="1:6" x14ac:dyDescent="0.25">
      <c r="A16345" s="1" t="s">
        <v>545</v>
      </c>
      <c r="B16345" s="1" t="s">
        <v>2199</v>
      </c>
      <c r="C16345" s="1" t="s">
        <v>148</v>
      </c>
      <c r="D16345" s="3">
        <f t="shared" si="2674"/>
        <v>7779</v>
      </c>
      <c r="E16345" s="2">
        <f t="shared" si="2675"/>
        <v>42248</v>
      </c>
      <c r="F16345" s="2">
        <f t="shared" si="2676"/>
        <v>43465</v>
      </c>
    </row>
    <row r="16346" spans="1:6" x14ac:dyDescent="0.25">
      <c r="A16346" s="1" t="s">
        <v>545</v>
      </c>
      <c r="B16346" s="1" t="s">
        <v>2199</v>
      </c>
      <c r="C16346" s="1" t="s">
        <v>150</v>
      </c>
      <c r="D16346" s="3">
        <f t="shared" si="2674"/>
        <v>7779</v>
      </c>
      <c r="E16346" s="2">
        <f t="shared" si="2675"/>
        <v>42248</v>
      </c>
      <c r="F16346" s="2">
        <f t="shared" si="2676"/>
        <v>43465</v>
      </c>
    </row>
    <row r="16347" spans="1:6" x14ac:dyDescent="0.25">
      <c r="A16347" s="1" t="s">
        <v>545</v>
      </c>
      <c r="B16347" s="1" t="s">
        <v>2199</v>
      </c>
      <c r="C16347" s="1" t="s">
        <v>24</v>
      </c>
      <c r="D16347" s="3">
        <f t="shared" si="2674"/>
        <v>7779</v>
      </c>
      <c r="E16347" s="2">
        <f t="shared" si="2675"/>
        <v>42248</v>
      </c>
      <c r="F16347" s="2">
        <f t="shared" si="2676"/>
        <v>43465</v>
      </c>
    </row>
    <row r="16348" spans="1:6" x14ac:dyDescent="0.25">
      <c r="A16348" s="1" t="s">
        <v>545</v>
      </c>
      <c r="B16348" s="1" t="s">
        <v>2199</v>
      </c>
      <c r="C16348" s="1" t="s">
        <v>73</v>
      </c>
      <c r="D16348" s="3">
        <f t="shared" si="2674"/>
        <v>7779</v>
      </c>
      <c r="E16348" s="2">
        <f t="shared" si="2675"/>
        <v>42248</v>
      </c>
      <c r="F16348" s="2">
        <f t="shared" si="2676"/>
        <v>43465</v>
      </c>
    </row>
    <row r="16349" spans="1:6" x14ac:dyDescent="0.25">
      <c r="A16349" s="1" t="s">
        <v>545</v>
      </c>
      <c r="B16349" s="1" t="s">
        <v>2199</v>
      </c>
      <c r="C16349" s="1" t="s">
        <v>160</v>
      </c>
      <c r="D16349" s="3">
        <f t="shared" si="2674"/>
        <v>7779</v>
      </c>
      <c r="E16349" s="2">
        <f t="shared" si="2675"/>
        <v>42248</v>
      </c>
      <c r="F16349" s="2">
        <f t="shared" si="2676"/>
        <v>43465</v>
      </c>
    </row>
    <row r="16350" spans="1:6" x14ac:dyDescent="0.25">
      <c r="A16350" s="1" t="s">
        <v>545</v>
      </c>
      <c r="B16350" s="1" t="s">
        <v>2199</v>
      </c>
      <c r="C16350" s="1" t="s">
        <v>53</v>
      </c>
      <c r="D16350" s="3">
        <f t="shared" si="2674"/>
        <v>7779</v>
      </c>
      <c r="E16350" s="2">
        <f t="shared" si="2675"/>
        <v>42248</v>
      </c>
      <c r="F16350" s="2">
        <f t="shared" si="2676"/>
        <v>43465</v>
      </c>
    </row>
    <row r="16351" spans="1:6" x14ac:dyDescent="0.25">
      <c r="A16351" s="1" t="s">
        <v>545</v>
      </c>
      <c r="B16351" s="1" t="s">
        <v>2199</v>
      </c>
      <c r="C16351" s="1" t="s">
        <v>34</v>
      </c>
      <c r="D16351" s="3">
        <f t="shared" si="2674"/>
        <v>7779</v>
      </c>
      <c r="E16351" s="2">
        <f t="shared" si="2675"/>
        <v>42248</v>
      </c>
      <c r="F16351" s="2">
        <f t="shared" si="2676"/>
        <v>43465</v>
      </c>
    </row>
    <row r="16352" spans="1:6" x14ac:dyDescent="0.25">
      <c r="A16352" s="1" t="s">
        <v>545</v>
      </c>
      <c r="B16352" s="1" t="s">
        <v>1729</v>
      </c>
      <c r="C16352" s="1" t="s">
        <v>1730</v>
      </c>
      <c r="D16352" s="3">
        <f>VALUE("7679")</f>
        <v>7679</v>
      </c>
      <c r="E16352" s="2">
        <f>DATEVALUE("1-1-2015")</f>
        <v>42005</v>
      </c>
      <c r="F16352" s="2">
        <f>DATEVALUE("31-3-2019")</f>
        <v>43555</v>
      </c>
    </row>
    <row r="16353" spans="1:6" x14ac:dyDescent="0.25">
      <c r="A16353" s="1" t="s">
        <v>545</v>
      </c>
      <c r="B16353" s="1" t="s">
        <v>1924</v>
      </c>
      <c r="C16353" s="1" t="s">
        <v>46</v>
      </c>
      <c r="D16353" s="3">
        <f t="shared" ref="D16353:D16360" si="2677">VALUE("7582")</f>
        <v>7582</v>
      </c>
      <c r="E16353" s="2">
        <f t="shared" ref="E16353:E16360" si="2678">DATEVALUE("1-9-2014")</f>
        <v>41883</v>
      </c>
      <c r="F16353" s="2">
        <f t="shared" ref="F16353:F16360" si="2679">DATEVALUE("30-6-2015")</f>
        <v>42185</v>
      </c>
    </row>
    <row r="16354" spans="1:6" x14ac:dyDescent="0.25">
      <c r="A16354" s="1" t="s">
        <v>545</v>
      </c>
      <c r="B16354" s="1" t="s">
        <v>1924</v>
      </c>
      <c r="C16354" s="1" t="s">
        <v>15</v>
      </c>
      <c r="D16354" s="3">
        <f t="shared" si="2677"/>
        <v>7582</v>
      </c>
      <c r="E16354" s="2">
        <f t="shared" si="2678"/>
        <v>41883</v>
      </c>
      <c r="F16354" s="2">
        <f t="shared" si="2679"/>
        <v>42185</v>
      </c>
    </row>
    <row r="16355" spans="1:6" x14ac:dyDescent="0.25">
      <c r="A16355" s="1" t="s">
        <v>545</v>
      </c>
      <c r="B16355" s="1" t="s">
        <v>1924</v>
      </c>
      <c r="C16355" s="1" t="s">
        <v>17</v>
      </c>
      <c r="D16355" s="3">
        <f t="shared" si="2677"/>
        <v>7582</v>
      </c>
      <c r="E16355" s="2">
        <f t="shared" si="2678"/>
        <v>41883</v>
      </c>
      <c r="F16355" s="2">
        <f t="shared" si="2679"/>
        <v>42185</v>
      </c>
    </row>
    <row r="16356" spans="1:6" x14ac:dyDescent="0.25">
      <c r="A16356" s="1" t="s">
        <v>545</v>
      </c>
      <c r="B16356" s="1" t="s">
        <v>1924</v>
      </c>
      <c r="C16356" s="1" t="s">
        <v>22</v>
      </c>
      <c r="D16356" s="3">
        <f t="shared" si="2677"/>
        <v>7582</v>
      </c>
      <c r="E16356" s="2">
        <f t="shared" si="2678"/>
        <v>41883</v>
      </c>
      <c r="F16356" s="2">
        <f t="shared" si="2679"/>
        <v>42185</v>
      </c>
    </row>
    <row r="16357" spans="1:6" x14ac:dyDescent="0.25">
      <c r="A16357" s="1" t="s">
        <v>545</v>
      </c>
      <c r="B16357" s="1" t="s">
        <v>1924</v>
      </c>
      <c r="C16357" s="1" t="s">
        <v>148</v>
      </c>
      <c r="D16357" s="3">
        <f t="shared" si="2677"/>
        <v>7582</v>
      </c>
      <c r="E16357" s="2">
        <f t="shared" si="2678"/>
        <v>41883</v>
      </c>
      <c r="F16357" s="2">
        <f t="shared" si="2679"/>
        <v>42185</v>
      </c>
    </row>
    <row r="16358" spans="1:6" x14ac:dyDescent="0.25">
      <c r="A16358" s="1" t="s">
        <v>545</v>
      </c>
      <c r="B16358" s="1" t="s">
        <v>1924</v>
      </c>
      <c r="C16358" s="1" t="s">
        <v>149</v>
      </c>
      <c r="D16358" s="3">
        <f t="shared" si="2677"/>
        <v>7582</v>
      </c>
      <c r="E16358" s="2">
        <f t="shared" si="2678"/>
        <v>41883</v>
      </c>
      <c r="F16358" s="2">
        <f t="shared" si="2679"/>
        <v>42185</v>
      </c>
    </row>
    <row r="16359" spans="1:6" x14ac:dyDescent="0.25">
      <c r="A16359" s="1" t="s">
        <v>545</v>
      </c>
      <c r="B16359" s="1" t="s">
        <v>1924</v>
      </c>
      <c r="C16359" s="1" t="s">
        <v>48</v>
      </c>
      <c r="D16359" s="3">
        <f t="shared" si="2677"/>
        <v>7582</v>
      </c>
      <c r="E16359" s="2">
        <f t="shared" si="2678"/>
        <v>41883</v>
      </c>
      <c r="F16359" s="2">
        <f t="shared" si="2679"/>
        <v>42185</v>
      </c>
    </row>
    <row r="16360" spans="1:6" x14ac:dyDescent="0.25">
      <c r="A16360" s="1" t="s">
        <v>545</v>
      </c>
      <c r="B16360" s="1" t="s">
        <v>1924</v>
      </c>
      <c r="C16360" s="1" t="s">
        <v>73</v>
      </c>
      <c r="D16360" s="3">
        <f t="shared" si="2677"/>
        <v>7582</v>
      </c>
      <c r="E16360" s="2">
        <f t="shared" si="2678"/>
        <v>41883</v>
      </c>
      <c r="F16360" s="2">
        <f t="shared" si="2679"/>
        <v>42185</v>
      </c>
    </row>
    <row r="16361" spans="1:6" x14ac:dyDescent="0.25">
      <c r="A16361" s="1" t="s">
        <v>545</v>
      </c>
      <c r="B16361" s="1" t="s">
        <v>1936</v>
      </c>
      <c r="C16361" s="1" t="s">
        <v>66</v>
      </c>
      <c r="D16361" s="3">
        <f t="shared" ref="D16361:D16374" si="2680">VALUE("7630")</f>
        <v>7630</v>
      </c>
      <c r="E16361" s="2">
        <f t="shared" ref="E16361:E16374" si="2681">DATEVALUE("1-5-2014")</f>
        <v>41760</v>
      </c>
      <c r="F16361" s="2">
        <f t="shared" ref="F16361:F16374" si="2682">DATEVALUE("31-8-2015")</f>
        <v>42247</v>
      </c>
    </row>
    <row r="16362" spans="1:6" x14ac:dyDescent="0.25">
      <c r="A16362" s="1" t="s">
        <v>545</v>
      </c>
      <c r="B16362" s="1" t="s">
        <v>1936</v>
      </c>
      <c r="C16362" s="1" t="s">
        <v>15</v>
      </c>
      <c r="D16362" s="3">
        <f t="shared" si="2680"/>
        <v>7630</v>
      </c>
      <c r="E16362" s="2">
        <f t="shared" si="2681"/>
        <v>41760</v>
      </c>
      <c r="F16362" s="2">
        <f t="shared" si="2682"/>
        <v>42247</v>
      </c>
    </row>
    <row r="16363" spans="1:6" x14ac:dyDescent="0.25">
      <c r="A16363" s="1" t="s">
        <v>545</v>
      </c>
      <c r="B16363" s="1" t="s">
        <v>1936</v>
      </c>
      <c r="C16363" s="1" t="s">
        <v>17</v>
      </c>
      <c r="D16363" s="3">
        <f t="shared" si="2680"/>
        <v>7630</v>
      </c>
      <c r="E16363" s="2">
        <f t="shared" si="2681"/>
        <v>41760</v>
      </c>
      <c r="F16363" s="2">
        <f t="shared" si="2682"/>
        <v>42247</v>
      </c>
    </row>
    <row r="16364" spans="1:6" x14ac:dyDescent="0.25">
      <c r="A16364" s="1" t="s">
        <v>545</v>
      </c>
      <c r="B16364" s="1" t="s">
        <v>1936</v>
      </c>
      <c r="C16364" s="1" t="s">
        <v>22</v>
      </c>
      <c r="D16364" s="3">
        <f t="shared" si="2680"/>
        <v>7630</v>
      </c>
      <c r="E16364" s="2">
        <f t="shared" si="2681"/>
        <v>41760</v>
      </c>
      <c r="F16364" s="2">
        <f t="shared" si="2682"/>
        <v>42247</v>
      </c>
    </row>
    <row r="16365" spans="1:6" x14ac:dyDescent="0.25">
      <c r="A16365" s="1" t="s">
        <v>545</v>
      </c>
      <c r="B16365" s="1" t="s">
        <v>1936</v>
      </c>
      <c r="C16365" s="1" t="s">
        <v>148</v>
      </c>
      <c r="D16365" s="3">
        <f t="shared" si="2680"/>
        <v>7630</v>
      </c>
      <c r="E16365" s="2">
        <f t="shared" si="2681"/>
        <v>41760</v>
      </c>
      <c r="F16365" s="2">
        <f t="shared" si="2682"/>
        <v>42247</v>
      </c>
    </row>
    <row r="16366" spans="1:6" x14ac:dyDescent="0.25">
      <c r="A16366" s="1" t="s">
        <v>545</v>
      </c>
      <c r="B16366" s="1" t="s">
        <v>1936</v>
      </c>
      <c r="C16366" s="1" t="s">
        <v>149</v>
      </c>
      <c r="D16366" s="3">
        <f t="shared" si="2680"/>
        <v>7630</v>
      </c>
      <c r="E16366" s="2">
        <f t="shared" si="2681"/>
        <v>41760</v>
      </c>
      <c r="F16366" s="2">
        <f t="shared" si="2682"/>
        <v>42247</v>
      </c>
    </row>
    <row r="16367" spans="1:6" x14ac:dyDescent="0.25">
      <c r="A16367" s="1" t="s">
        <v>545</v>
      </c>
      <c r="B16367" s="1" t="s">
        <v>1936</v>
      </c>
      <c r="C16367" s="1" t="s">
        <v>73</v>
      </c>
      <c r="D16367" s="3">
        <f t="shared" si="2680"/>
        <v>7630</v>
      </c>
      <c r="E16367" s="2">
        <f t="shared" si="2681"/>
        <v>41760</v>
      </c>
      <c r="F16367" s="2">
        <f t="shared" si="2682"/>
        <v>42247</v>
      </c>
    </row>
    <row r="16368" spans="1:6" x14ac:dyDescent="0.25">
      <c r="A16368" s="1" t="s">
        <v>545</v>
      </c>
      <c r="B16368" s="1" t="s">
        <v>1936</v>
      </c>
      <c r="C16368" s="1" t="s">
        <v>296</v>
      </c>
      <c r="D16368" s="3">
        <f t="shared" si="2680"/>
        <v>7630</v>
      </c>
      <c r="E16368" s="2">
        <f t="shared" si="2681"/>
        <v>41760</v>
      </c>
      <c r="F16368" s="2">
        <f t="shared" si="2682"/>
        <v>42247</v>
      </c>
    </row>
    <row r="16369" spans="1:6" x14ac:dyDescent="0.25">
      <c r="A16369" s="1" t="s">
        <v>545</v>
      </c>
      <c r="B16369" s="1" t="s">
        <v>1936</v>
      </c>
      <c r="C16369" s="1" t="s">
        <v>297</v>
      </c>
      <c r="D16369" s="3">
        <f t="shared" si="2680"/>
        <v>7630</v>
      </c>
      <c r="E16369" s="2">
        <f t="shared" si="2681"/>
        <v>41760</v>
      </c>
      <c r="F16369" s="2">
        <f t="shared" si="2682"/>
        <v>42247</v>
      </c>
    </row>
    <row r="16370" spans="1:6" x14ac:dyDescent="0.25">
      <c r="A16370" s="1" t="s">
        <v>545</v>
      </c>
      <c r="B16370" s="1" t="s">
        <v>1936</v>
      </c>
      <c r="C16370" s="1" t="s">
        <v>298</v>
      </c>
      <c r="D16370" s="3">
        <f t="shared" si="2680"/>
        <v>7630</v>
      </c>
      <c r="E16370" s="2">
        <f t="shared" si="2681"/>
        <v>41760</v>
      </c>
      <c r="F16370" s="2">
        <f t="shared" si="2682"/>
        <v>42247</v>
      </c>
    </row>
    <row r="16371" spans="1:6" x14ac:dyDescent="0.25">
      <c r="A16371" s="1" t="s">
        <v>545</v>
      </c>
      <c r="B16371" s="1" t="s">
        <v>1936</v>
      </c>
      <c r="C16371" s="1" t="s">
        <v>299</v>
      </c>
      <c r="D16371" s="3">
        <f t="shared" si="2680"/>
        <v>7630</v>
      </c>
      <c r="E16371" s="2">
        <f t="shared" si="2681"/>
        <v>41760</v>
      </c>
      <c r="F16371" s="2">
        <f t="shared" si="2682"/>
        <v>42247</v>
      </c>
    </row>
    <row r="16372" spans="1:6" x14ac:dyDescent="0.25">
      <c r="A16372" s="1" t="s">
        <v>545</v>
      </c>
      <c r="B16372" s="1" t="s">
        <v>1936</v>
      </c>
      <c r="C16372" s="1" t="s">
        <v>300</v>
      </c>
      <c r="D16372" s="3">
        <f t="shared" si="2680"/>
        <v>7630</v>
      </c>
      <c r="E16372" s="2">
        <f t="shared" si="2681"/>
        <v>41760</v>
      </c>
      <c r="F16372" s="2">
        <f t="shared" si="2682"/>
        <v>42247</v>
      </c>
    </row>
    <row r="16373" spans="1:6" x14ac:dyDescent="0.25">
      <c r="A16373" s="1" t="s">
        <v>545</v>
      </c>
      <c r="B16373" s="1" t="s">
        <v>1936</v>
      </c>
      <c r="C16373" s="1" t="s">
        <v>301</v>
      </c>
      <c r="D16373" s="3">
        <f t="shared" si="2680"/>
        <v>7630</v>
      </c>
      <c r="E16373" s="2">
        <f t="shared" si="2681"/>
        <v>41760</v>
      </c>
      <c r="F16373" s="2">
        <f t="shared" si="2682"/>
        <v>42247</v>
      </c>
    </row>
    <row r="16374" spans="1:6" x14ac:dyDescent="0.25">
      <c r="A16374" s="1" t="s">
        <v>545</v>
      </c>
      <c r="B16374" s="1" t="s">
        <v>1936</v>
      </c>
      <c r="C16374" s="1" t="s">
        <v>302</v>
      </c>
      <c r="D16374" s="3">
        <f t="shared" si="2680"/>
        <v>7630</v>
      </c>
      <c r="E16374" s="2">
        <f t="shared" si="2681"/>
        <v>41760</v>
      </c>
      <c r="F16374" s="2">
        <f t="shared" si="2682"/>
        <v>42247</v>
      </c>
    </row>
    <row r="16375" spans="1:6" x14ac:dyDescent="0.25">
      <c r="A16375" s="1" t="s">
        <v>545</v>
      </c>
      <c r="B16375" s="1" t="s">
        <v>2720</v>
      </c>
      <c r="C16375" s="1" t="s">
        <v>85</v>
      </c>
      <c r="D16375" s="3">
        <f>VALUE("7470")</f>
        <v>7470</v>
      </c>
      <c r="E16375" s="2">
        <f>DATEVALUE("1-10-2013")</f>
        <v>41548</v>
      </c>
      <c r="F16375" s="2">
        <f>DATEVALUE("30-6-2014")</f>
        <v>41820</v>
      </c>
    </row>
    <row r="16376" spans="1:6" x14ac:dyDescent="0.25">
      <c r="A16376" s="1" t="s">
        <v>545</v>
      </c>
      <c r="B16376" s="1" t="s">
        <v>2710</v>
      </c>
      <c r="C16376" s="1" t="s">
        <v>46</v>
      </c>
      <c r="D16376" s="3">
        <f t="shared" ref="D16376:D16384" si="2683">VALUE("7446")</f>
        <v>7446</v>
      </c>
      <c r="E16376" s="2">
        <f t="shared" ref="E16376:E16384" si="2684">DATEVALUE("1-2-2013")</f>
        <v>41306</v>
      </c>
      <c r="F16376" s="2">
        <f t="shared" ref="F16376:F16384" si="2685">DATEVALUE("30-11-2013")</f>
        <v>41608</v>
      </c>
    </row>
    <row r="16377" spans="1:6" x14ac:dyDescent="0.25">
      <c r="A16377" s="1" t="s">
        <v>545</v>
      </c>
      <c r="B16377" s="1" t="s">
        <v>2710</v>
      </c>
      <c r="C16377" s="1" t="s">
        <v>66</v>
      </c>
      <c r="D16377" s="3">
        <f t="shared" si="2683"/>
        <v>7446</v>
      </c>
      <c r="E16377" s="2">
        <f t="shared" si="2684"/>
        <v>41306</v>
      </c>
      <c r="F16377" s="2">
        <f t="shared" si="2685"/>
        <v>41608</v>
      </c>
    </row>
    <row r="16378" spans="1:6" x14ac:dyDescent="0.25">
      <c r="A16378" s="1" t="s">
        <v>545</v>
      </c>
      <c r="B16378" s="1" t="s">
        <v>2710</v>
      </c>
      <c r="C16378" s="1" t="s">
        <v>15</v>
      </c>
      <c r="D16378" s="3">
        <f t="shared" si="2683"/>
        <v>7446</v>
      </c>
      <c r="E16378" s="2">
        <f t="shared" si="2684"/>
        <v>41306</v>
      </c>
      <c r="F16378" s="2">
        <f t="shared" si="2685"/>
        <v>41608</v>
      </c>
    </row>
    <row r="16379" spans="1:6" x14ac:dyDescent="0.25">
      <c r="A16379" s="1" t="s">
        <v>545</v>
      </c>
      <c r="B16379" s="1" t="s">
        <v>2710</v>
      </c>
      <c r="C16379" s="1" t="s">
        <v>17</v>
      </c>
      <c r="D16379" s="3">
        <f t="shared" si="2683"/>
        <v>7446</v>
      </c>
      <c r="E16379" s="2">
        <f t="shared" si="2684"/>
        <v>41306</v>
      </c>
      <c r="F16379" s="2">
        <f t="shared" si="2685"/>
        <v>41608</v>
      </c>
    </row>
    <row r="16380" spans="1:6" x14ac:dyDescent="0.25">
      <c r="A16380" s="1" t="s">
        <v>545</v>
      </c>
      <c r="B16380" s="1" t="s">
        <v>2710</v>
      </c>
      <c r="C16380" s="1" t="s">
        <v>22</v>
      </c>
      <c r="D16380" s="3">
        <f t="shared" si="2683"/>
        <v>7446</v>
      </c>
      <c r="E16380" s="2">
        <f t="shared" si="2684"/>
        <v>41306</v>
      </c>
      <c r="F16380" s="2">
        <f t="shared" si="2685"/>
        <v>41608</v>
      </c>
    </row>
    <row r="16381" spans="1:6" x14ac:dyDescent="0.25">
      <c r="A16381" s="1" t="s">
        <v>545</v>
      </c>
      <c r="B16381" s="1" t="s">
        <v>2710</v>
      </c>
      <c r="C16381" s="1" t="s">
        <v>148</v>
      </c>
      <c r="D16381" s="3">
        <f t="shared" si="2683"/>
        <v>7446</v>
      </c>
      <c r="E16381" s="2">
        <f t="shared" si="2684"/>
        <v>41306</v>
      </c>
      <c r="F16381" s="2">
        <f t="shared" si="2685"/>
        <v>41608</v>
      </c>
    </row>
    <row r="16382" spans="1:6" x14ac:dyDescent="0.25">
      <c r="A16382" s="1" t="s">
        <v>545</v>
      </c>
      <c r="B16382" s="1" t="s">
        <v>2710</v>
      </c>
      <c r="C16382" s="1" t="s">
        <v>149</v>
      </c>
      <c r="D16382" s="3">
        <f t="shared" si="2683"/>
        <v>7446</v>
      </c>
      <c r="E16382" s="2">
        <f t="shared" si="2684"/>
        <v>41306</v>
      </c>
      <c r="F16382" s="2">
        <f t="shared" si="2685"/>
        <v>41608</v>
      </c>
    </row>
    <row r="16383" spans="1:6" x14ac:dyDescent="0.25">
      <c r="A16383" s="1" t="s">
        <v>545</v>
      </c>
      <c r="B16383" s="1" t="s">
        <v>2710</v>
      </c>
      <c r="C16383" s="1" t="s">
        <v>92</v>
      </c>
      <c r="D16383" s="3">
        <f t="shared" si="2683"/>
        <v>7446</v>
      </c>
      <c r="E16383" s="2">
        <f t="shared" si="2684"/>
        <v>41306</v>
      </c>
      <c r="F16383" s="2">
        <f t="shared" si="2685"/>
        <v>41608</v>
      </c>
    </row>
    <row r="16384" spans="1:6" x14ac:dyDescent="0.25">
      <c r="A16384" s="1" t="s">
        <v>545</v>
      </c>
      <c r="B16384" s="1" t="s">
        <v>2710</v>
      </c>
      <c r="C16384" s="1" t="s">
        <v>26</v>
      </c>
      <c r="D16384" s="3">
        <f t="shared" si="2683"/>
        <v>7446</v>
      </c>
      <c r="E16384" s="2">
        <f t="shared" si="2684"/>
        <v>41306</v>
      </c>
      <c r="F16384" s="2">
        <f t="shared" si="2685"/>
        <v>41608</v>
      </c>
    </row>
    <row r="16385" spans="1:6" x14ac:dyDescent="0.25">
      <c r="A16385" s="1" t="s">
        <v>545</v>
      </c>
      <c r="B16385" s="1" t="s">
        <v>2697</v>
      </c>
      <c r="C16385" s="1" t="s">
        <v>361</v>
      </c>
      <c r="D16385" s="3">
        <f t="shared" ref="D16385:D16400" si="2686">VALUE("7418")</f>
        <v>7418</v>
      </c>
      <c r="E16385" s="2">
        <f t="shared" ref="E16385:E16400" si="2687">DATEVALUE("1-12-2012")</f>
        <v>41244</v>
      </c>
      <c r="F16385" s="2">
        <f t="shared" ref="F16385:F16400" si="2688">DATEVALUE("31-12-2013")</f>
        <v>41639</v>
      </c>
    </row>
    <row r="16386" spans="1:6" x14ac:dyDescent="0.25">
      <c r="A16386" s="1" t="s">
        <v>545</v>
      </c>
      <c r="B16386" s="1" t="s">
        <v>2697</v>
      </c>
      <c r="C16386" s="1" t="s">
        <v>39</v>
      </c>
      <c r="D16386" s="3">
        <f t="shared" si="2686"/>
        <v>7418</v>
      </c>
      <c r="E16386" s="2">
        <f t="shared" si="2687"/>
        <v>41244</v>
      </c>
      <c r="F16386" s="2">
        <f t="shared" si="2688"/>
        <v>41639</v>
      </c>
    </row>
    <row r="16387" spans="1:6" x14ac:dyDescent="0.25">
      <c r="A16387" s="1" t="s">
        <v>545</v>
      </c>
      <c r="B16387" s="1" t="s">
        <v>2697</v>
      </c>
      <c r="C16387" s="1" t="s">
        <v>411</v>
      </c>
      <c r="D16387" s="3">
        <f t="shared" si="2686"/>
        <v>7418</v>
      </c>
      <c r="E16387" s="2">
        <f t="shared" si="2687"/>
        <v>41244</v>
      </c>
      <c r="F16387" s="2">
        <f t="shared" si="2688"/>
        <v>41639</v>
      </c>
    </row>
    <row r="16388" spans="1:6" x14ac:dyDescent="0.25">
      <c r="A16388" s="1" t="s">
        <v>545</v>
      </c>
      <c r="B16388" s="1" t="s">
        <v>2697</v>
      </c>
      <c r="C16388" s="1" t="s">
        <v>43</v>
      </c>
      <c r="D16388" s="3">
        <f t="shared" si="2686"/>
        <v>7418</v>
      </c>
      <c r="E16388" s="2">
        <f t="shared" si="2687"/>
        <v>41244</v>
      </c>
      <c r="F16388" s="2">
        <f t="shared" si="2688"/>
        <v>41639</v>
      </c>
    </row>
    <row r="16389" spans="1:6" x14ac:dyDescent="0.25">
      <c r="A16389" s="1" t="s">
        <v>545</v>
      </c>
      <c r="B16389" s="1" t="s">
        <v>2697</v>
      </c>
      <c r="C16389" s="1" t="s">
        <v>66</v>
      </c>
      <c r="D16389" s="3">
        <f t="shared" si="2686"/>
        <v>7418</v>
      </c>
      <c r="E16389" s="2">
        <f t="shared" si="2687"/>
        <v>41244</v>
      </c>
      <c r="F16389" s="2">
        <f t="shared" si="2688"/>
        <v>41639</v>
      </c>
    </row>
    <row r="16390" spans="1:6" x14ac:dyDescent="0.25">
      <c r="A16390" s="1" t="s">
        <v>545</v>
      </c>
      <c r="B16390" s="1" t="s">
        <v>2697</v>
      </c>
      <c r="C16390" s="1" t="s">
        <v>15</v>
      </c>
      <c r="D16390" s="3">
        <f t="shared" si="2686"/>
        <v>7418</v>
      </c>
      <c r="E16390" s="2">
        <f t="shared" si="2687"/>
        <v>41244</v>
      </c>
      <c r="F16390" s="2">
        <f t="shared" si="2688"/>
        <v>41639</v>
      </c>
    </row>
    <row r="16391" spans="1:6" x14ac:dyDescent="0.25">
      <c r="A16391" s="1" t="s">
        <v>545</v>
      </c>
      <c r="B16391" s="1" t="s">
        <v>2697</v>
      </c>
      <c r="C16391" s="1" t="s">
        <v>17</v>
      </c>
      <c r="D16391" s="3">
        <f t="shared" si="2686"/>
        <v>7418</v>
      </c>
      <c r="E16391" s="2">
        <f t="shared" si="2687"/>
        <v>41244</v>
      </c>
      <c r="F16391" s="2">
        <f t="shared" si="2688"/>
        <v>41639</v>
      </c>
    </row>
    <row r="16392" spans="1:6" x14ac:dyDescent="0.25">
      <c r="A16392" s="1" t="s">
        <v>545</v>
      </c>
      <c r="B16392" s="1" t="s">
        <v>2697</v>
      </c>
      <c r="C16392" s="1" t="s">
        <v>22</v>
      </c>
      <c r="D16392" s="3">
        <f t="shared" si="2686"/>
        <v>7418</v>
      </c>
      <c r="E16392" s="2">
        <f t="shared" si="2687"/>
        <v>41244</v>
      </c>
      <c r="F16392" s="2">
        <f t="shared" si="2688"/>
        <v>41639</v>
      </c>
    </row>
    <row r="16393" spans="1:6" x14ac:dyDescent="0.25">
      <c r="A16393" s="1" t="s">
        <v>545</v>
      </c>
      <c r="B16393" s="1" t="s">
        <v>2697</v>
      </c>
      <c r="C16393" s="1" t="s">
        <v>27</v>
      </c>
      <c r="D16393" s="3">
        <f t="shared" si="2686"/>
        <v>7418</v>
      </c>
      <c r="E16393" s="2">
        <f t="shared" si="2687"/>
        <v>41244</v>
      </c>
      <c r="F16393" s="2">
        <f t="shared" si="2688"/>
        <v>41639</v>
      </c>
    </row>
    <row r="16394" spans="1:6" x14ac:dyDescent="0.25">
      <c r="A16394" s="1" t="s">
        <v>545</v>
      </c>
      <c r="B16394" s="1" t="s">
        <v>2697</v>
      </c>
      <c r="C16394" s="1" t="s">
        <v>262</v>
      </c>
      <c r="D16394" s="3">
        <f t="shared" si="2686"/>
        <v>7418</v>
      </c>
      <c r="E16394" s="2">
        <f t="shared" si="2687"/>
        <v>41244</v>
      </c>
      <c r="F16394" s="2">
        <f t="shared" si="2688"/>
        <v>41639</v>
      </c>
    </row>
    <row r="16395" spans="1:6" x14ac:dyDescent="0.25">
      <c r="A16395" s="1" t="s">
        <v>545</v>
      </c>
      <c r="B16395" s="1" t="s">
        <v>2697</v>
      </c>
      <c r="C16395" s="1" t="s">
        <v>73</v>
      </c>
      <c r="D16395" s="3">
        <f t="shared" si="2686"/>
        <v>7418</v>
      </c>
      <c r="E16395" s="2">
        <f t="shared" si="2687"/>
        <v>41244</v>
      </c>
      <c r="F16395" s="2">
        <f t="shared" si="2688"/>
        <v>41639</v>
      </c>
    </row>
    <row r="16396" spans="1:6" x14ac:dyDescent="0.25">
      <c r="A16396" s="1" t="s">
        <v>545</v>
      </c>
      <c r="B16396" s="1" t="s">
        <v>2697</v>
      </c>
      <c r="C16396" s="1" t="s">
        <v>303</v>
      </c>
      <c r="D16396" s="3">
        <f t="shared" si="2686"/>
        <v>7418</v>
      </c>
      <c r="E16396" s="2">
        <f t="shared" si="2687"/>
        <v>41244</v>
      </c>
      <c r="F16396" s="2">
        <f t="shared" si="2688"/>
        <v>41639</v>
      </c>
    </row>
    <row r="16397" spans="1:6" x14ac:dyDescent="0.25">
      <c r="A16397" s="1" t="s">
        <v>545</v>
      </c>
      <c r="B16397" s="1" t="s">
        <v>2697</v>
      </c>
      <c r="C16397" s="1" t="s">
        <v>362</v>
      </c>
      <c r="D16397" s="3">
        <f t="shared" si="2686"/>
        <v>7418</v>
      </c>
      <c r="E16397" s="2">
        <f t="shared" si="2687"/>
        <v>41244</v>
      </c>
      <c r="F16397" s="2">
        <f t="shared" si="2688"/>
        <v>41639</v>
      </c>
    </row>
    <row r="16398" spans="1:6" x14ac:dyDescent="0.25">
      <c r="A16398" s="1" t="s">
        <v>545</v>
      </c>
      <c r="B16398" s="1" t="s">
        <v>2697</v>
      </c>
      <c r="C16398" s="1" t="s">
        <v>57</v>
      </c>
      <c r="D16398" s="3">
        <f t="shared" si="2686"/>
        <v>7418</v>
      </c>
      <c r="E16398" s="2">
        <f t="shared" si="2687"/>
        <v>41244</v>
      </c>
      <c r="F16398" s="2">
        <f t="shared" si="2688"/>
        <v>41639</v>
      </c>
    </row>
    <row r="16399" spans="1:6" x14ac:dyDescent="0.25">
      <c r="A16399" s="1" t="s">
        <v>545</v>
      </c>
      <c r="B16399" s="1" t="s">
        <v>2697</v>
      </c>
      <c r="C16399" s="1" t="s">
        <v>35</v>
      </c>
      <c r="D16399" s="3">
        <f t="shared" si="2686"/>
        <v>7418</v>
      </c>
      <c r="E16399" s="2">
        <f t="shared" si="2687"/>
        <v>41244</v>
      </c>
      <c r="F16399" s="2">
        <f t="shared" si="2688"/>
        <v>41639</v>
      </c>
    </row>
    <row r="16400" spans="1:6" x14ac:dyDescent="0.25">
      <c r="A16400" s="1" t="s">
        <v>545</v>
      </c>
      <c r="B16400" s="1" t="s">
        <v>2697</v>
      </c>
      <c r="C16400" s="1" t="s">
        <v>36</v>
      </c>
      <c r="D16400" s="3">
        <f t="shared" si="2686"/>
        <v>7418</v>
      </c>
      <c r="E16400" s="2">
        <f t="shared" si="2687"/>
        <v>41244</v>
      </c>
      <c r="F16400" s="2">
        <f t="shared" si="2688"/>
        <v>41639</v>
      </c>
    </row>
    <row r="16401" spans="1:6" x14ac:dyDescent="0.25">
      <c r="A16401" s="1" t="s">
        <v>545</v>
      </c>
      <c r="B16401" s="1" t="s">
        <v>1904</v>
      </c>
      <c r="C16401" s="1" t="s">
        <v>48</v>
      </c>
      <c r="D16401" s="3">
        <f>VALUE("7431")</f>
        <v>7431</v>
      </c>
      <c r="E16401" s="2">
        <f>DATEVALUE("1-11-2012")</f>
        <v>41214</v>
      </c>
      <c r="F16401" s="2">
        <f>DATEVALUE("28-2-2017")</f>
        <v>42794</v>
      </c>
    </row>
    <row r="16402" spans="1:6" x14ac:dyDescent="0.25">
      <c r="A16402" s="1" t="s">
        <v>545</v>
      </c>
      <c r="B16402" s="1" t="s">
        <v>1904</v>
      </c>
      <c r="C16402" s="1" t="s">
        <v>53</v>
      </c>
      <c r="D16402" s="3">
        <f>VALUE("7431")</f>
        <v>7431</v>
      </c>
      <c r="E16402" s="2">
        <f>DATEVALUE("1-11-2012")</f>
        <v>41214</v>
      </c>
      <c r="F16402" s="2">
        <f>DATEVALUE("28-2-2017")</f>
        <v>42794</v>
      </c>
    </row>
    <row r="16403" spans="1:6" x14ac:dyDescent="0.25">
      <c r="A16403" s="1" t="s">
        <v>545</v>
      </c>
      <c r="B16403" s="1" t="s">
        <v>1904</v>
      </c>
      <c r="C16403" s="1" t="s">
        <v>890</v>
      </c>
      <c r="D16403" s="3">
        <f>VALUE("7431")</f>
        <v>7431</v>
      </c>
      <c r="E16403" s="2">
        <f>DATEVALUE("1-11-2012")</f>
        <v>41214</v>
      </c>
      <c r="F16403" s="2">
        <f>DATEVALUE("28-2-2017")</f>
        <v>42794</v>
      </c>
    </row>
    <row r="16404" spans="1:6" x14ac:dyDescent="0.25">
      <c r="A16404" s="1" t="s">
        <v>2422</v>
      </c>
      <c r="B16404" s="1" t="s">
        <v>2199</v>
      </c>
      <c r="C16404" s="1" t="s">
        <v>14</v>
      </c>
      <c r="D16404" s="3">
        <f t="shared" ref="D16404:D16418" si="2689">VALUE("8475")</f>
        <v>8475</v>
      </c>
      <c r="E16404" s="2">
        <f t="shared" ref="E16404:E16418" si="2690">DATEVALUE("1-1-2019")</f>
        <v>43466</v>
      </c>
      <c r="F16404" s="2">
        <f t="shared" ref="F16404:F16418" si="2691">DATEVALUE("31-3-2020")</f>
        <v>43921</v>
      </c>
    </row>
    <row r="16405" spans="1:6" x14ac:dyDescent="0.25">
      <c r="A16405" s="1" t="s">
        <v>2422</v>
      </c>
      <c r="B16405" s="1" t="s">
        <v>2199</v>
      </c>
      <c r="C16405" s="1" t="s">
        <v>15</v>
      </c>
      <c r="D16405" s="3">
        <f t="shared" si="2689"/>
        <v>8475</v>
      </c>
      <c r="E16405" s="2">
        <f t="shared" si="2690"/>
        <v>43466</v>
      </c>
      <c r="F16405" s="2">
        <f t="shared" si="2691"/>
        <v>43921</v>
      </c>
    </row>
    <row r="16406" spans="1:6" x14ac:dyDescent="0.25">
      <c r="A16406" s="1" t="s">
        <v>2422</v>
      </c>
      <c r="B16406" s="1" t="s">
        <v>2199</v>
      </c>
      <c r="C16406" s="1" t="s">
        <v>16</v>
      </c>
      <c r="D16406" s="3">
        <f t="shared" si="2689"/>
        <v>8475</v>
      </c>
      <c r="E16406" s="2">
        <f t="shared" si="2690"/>
        <v>43466</v>
      </c>
      <c r="F16406" s="2">
        <f t="shared" si="2691"/>
        <v>43921</v>
      </c>
    </row>
    <row r="16407" spans="1:6" x14ac:dyDescent="0.25">
      <c r="A16407" s="1" t="s">
        <v>2422</v>
      </c>
      <c r="B16407" s="1" t="s">
        <v>2199</v>
      </c>
      <c r="C16407" s="1" t="s">
        <v>17</v>
      </c>
      <c r="D16407" s="3">
        <f t="shared" si="2689"/>
        <v>8475</v>
      </c>
      <c r="E16407" s="2">
        <f t="shared" si="2690"/>
        <v>43466</v>
      </c>
      <c r="F16407" s="2">
        <f t="shared" si="2691"/>
        <v>43921</v>
      </c>
    </row>
    <row r="16408" spans="1:6" x14ac:dyDescent="0.25">
      <c r="A16408" s="1" t="s">
        <v>2422</v>
      </c>
      <c r="B16408" s="1" t="s">
        <v>2199</v>
      </c>
      <c r="C16408" s="1" t="s">
        <v>291</v>
      </c>
      <c r="D16408" s="3">
        <f t="shared" si="2689"/>
        <v>8475</v>
      </c>
      <c r="E16408" s="2">
        <f t="shared" si="2690"/>
        <v>43466</v>
      </c>
      <c r="F16408" s="2">
        <f t="shared" si="2691"/>
        <v>43921</v>
      </c>
    </row>
    <row r="16409" spans="1:6" x14ac:dyDescent="0.25">
      <c r="A16409" s="1" t="s">
        <v>2422</v>
      </c>
      <c r="B16409" s="1" t="s">
        <v>2199</v>
      </c>
      <c r="C16409" s="1" t="s">
        <v>144</v>
      </c>
      <c r="D16409" s="3">
        <f t="shared" si="2689"/>
        <v>8475</v>
      </c>
      <c r="E16409" s="2">
        <f t="shared" si="2690"/>
        <v>43466</v>
      </c>
      <c r="F16409" s="2">
        <f t="shared" si="2691"/>
        <v>43921</v>
      </c>
    </row>
    <row r="16410" spans="1:6" x14ac:dyDescent="0.25">
      <c r="A16410" s="1" t="s">
        <v>2422</v>
      </c>
      <c r="B16410" s="1" t="s">
        <v>2199</v>
      </c>
      <c r="C16410" s="1" t="s">
        <v>22</v>
      </c>
      <c r="D16410" s="3">
        <f t="shared" si="2689"/>
        <v>8475</v>
      </c>
      <c r="E16410" s="2">
        <f t="shared" si="2690"/>
        <v>43466</v>
      </c>
      <c r="F16410" s="2">
        <f t="shared" si="2691"/>
        <v>43921</v>
      </c>
    </row>
    <row r="16411" spans="1:6" x14ac:dyDescent="0.25">
      <c r="A16411" s="1" t="s">
        <v>2422</v>
      </c>
      <c r="B16411" s="1" t="s">
        <v>2199</v>
      </c>
      <c r="C16411" s="1" t="s">
        <v>146</v>
      </c>
      <c r="D16411" s="3">
        <f t="shared" si="2689"/>
        <v>8475</v>
      </c>
      <c r="E16411" s="2">
        <f t="shared" si="2690"/>
        <v>43466</v>
      </c>
      <c r="F16411" s="2">
        <f t="shared" si="2691"/>
        <v>43921</v>
      </c>
    </row>
    <row r="16412" spans="1:6" x14ac:dyDescent="0.25">
      <c r="A16412" s="1" t="s">
        <v>2422</v>
      </c>
      <c r="B16412" s="1" t="s">
        <v>2199</v>
      </c>
      <c r="C16412" s="1" t="s">
        <v>148</v>
      </c>
      <c r="D16412" s="3">
        <f t="shared" si="2689"/>
        <v>8475</v>
      </c>
      <c r="E16412" s="2">
        <f t="shared" si="2690"/>
        <v>43466</v>
      </c>
      <c r="F16412" s="2">
        <f t="shared" si="2691"/>
        <v>43921</v>
      </c>
    </row>
    <row r="16413" spans="1:6" x14ac:dyDescent="0.25">
      <c r="A16413" s="1" t="s">
        <v>2422</v>
      </c>
      <c r="B16413" s="1" t="s">
        <v>2199</v>
      </c>
      <c r="C16413" s="1" t="s">
        <v>150</v>
      </c>
      <c r="D16413" s="3">
        <f t="shared" si="2689"/>
        <v>8475</v>
      </c>
      <c r="E16413" s="2">
        <f t="shared" si="2690"/>
        <v>43466</v>
      </c>
      <c r="F16413" s="2">
        <f t="shared" si="2691"/>
        <v>43921</v>
      </c>
    </row>
    <row r="16414" spans="1:6" x14ac:dyDescent="0.25">
      <c r="A16414" s="1" t="s">
        <v>2422</v>
      </c>
      <c r="B16414" s="1" t="s">
        <v>2199</v>
      </c>
      <c r="C16414" s="1" t="s">
        <v>24</v>
      </c>
      <c r="D16414" s="3">
        <f t="shared" si="2689"/>
        <v>8475</v>
      </c>
      <c r="E16414" s="2">
        <f t="shared" si="2690"/>
        <v>43466</v>
      </c>
      <c r="F16414" s="2">
        <f t="shared" si="2691"/>
        <v>43921</v>
      </c>
    </row>
    <row r="16415" spans="1:6" x14ac:dyDescent="0.25">
      <c r="A16415" s="1" t="s">
        <v>2422</v>
      </c>
      <c r="B16415" s="1" t="s">
        <v>2199</v>
      </c>
      <c r="C16415" s="1" t="s">
        <v>73</v>
      </c>
      <c r="D16415" s="3">
        <f t="shared" si="2689"/>
        <v>8475</v>
      </c>
      <c r="E16415" s="2">
        <f t="shared" si="2690"/>
        <v>43466</v>
      </c>
      <c r="F16415" s="2">
        <f t="shared" si="2691"/>
        <v>43921</v>
      </c>
    </row>
    <row r="16416" spans="1:6" x14ac:dyDescent="0.25">
      <c r="A16416" s="1" t="s">
        <v>2422</v>
      </c>
      <c r="B16416" s="1" t="s">
        <v>2199</v>
      </c>
      <c r="C16416" s="1" t="s">
        <v>160</v>
      </c>
      <c r="D16416" s="3">
        <f t="shared" si="2689"/>
        <v>8475</v>
      </c>
      <c r="E16416" s="2">
        <f t="shared" si="2690"/>
        <v>43466</v>
      </c>
      <c r="F16416" s="2">
        <f t="shared" si="2691"/>
        <v>43921</v>
      </c>
    </row>
    <row r="16417" spans="1:6" x14ac:dyDescent="0.25">
      <c r="A16417" s="1" t="s">
        <v>2422</v>
      </c>
      <c r="B16417" s="1" t="s">
        <v>2199</v>
      </c>
      <c r="C16417" s="1" t="s">
        <v>53</v>
      </c>
      <c r="D16417" s="3">
        <f t="shared" si="2689"/>
        <v>8475</v>
      </c>
      <c r="E16417" s="2">
        <f t="shared" si="2690"/>
        <v>43466</v>
      </c>
      <c r="F16417" s="2">
        <f t="shared" si="2691"/>
        <v>43921</v>
      </c>
    </row>
    <row r="16418" spans="1:6" x14ac:dyDescent="0.25">
      <c r="A16418" s="1" t="s">
        <v>2422</v>
      </c>
      <c r="B16418" s="1" t="s">
        <v>2199</v>
      </c>
      <c r="C16418" s="1" t="s">
        <v>34</v>
      </c>
      <c r="D16418" s="3">
        <f t="shared" si="2689"/>
        <v>8475</v>
      </c>
      <c r="E16418" s="2">
        <f t="shared" si="2690"/>
        <v>43466</v>
      </c>
      <c r="F16418" s="2">
        <f t="shared" si="2691"/>
        <v>43921</v>
      </c>
    </row>
    <row r="16419" spans="1:6" x14ac:dyDescent="0.25">
      <c r="A16419" s="1" t="s">
        <v>2396</v>
      </c>
      <c r="B16419" s="1" t="s">
        <v>2395</v>
      </c>
      <c r="C16419" s="1" t="s">
        <v>252</v>
      </c>
      <c r="D16419" s="3">
        <f>VALUE("8360")</f>
        <v>8360</v>
      </c>
      <c r="E16419" s="2">
        <f>DATEVALUE("1-9-2018")</f>
        <v>43344</v>
      </c>
      <c r="F16419" s="2">
        <f>DATEVALUE("31-12-2018")</f>
        <v>43465</v>
      </c>
    </row>
    <row r="16420" spans="1:6" x14ac:dyDescent="0.25">
      <c r="A16420" s="1" t="s">
        <v>2396</v>
      </c>
      <c r="B16420" s="1" t="s">
        <v>2395</v>
      </c>
      <c r="C16420" s="1" t="s">
        <v>140</v>
      </c>
      <c r="D16420" s="3">
        <f>VALUE("8360")</f>
        <v>8360</v>
      </c>
      <c r="E16420" s="2">
        <f>DATEVALUE("1-9-2018")</f>
        <v>43344</v>
      </c>
      <c r="F16420" s="2">
        <f>DATEVALUE("31-12-2018")</f>
        <v>43465</v>
      </c>
    </row>
    <row r="16421" spans="1:6" x14ac:dyDescent="0.25">
      <c r="A16421" s="1" t="s">
        <v>2396</v>
      </c>
      <c r="B16421" s="1" t="s">
        <v>2395</v>
      </c>
      <c r="C16421" s="1" t="s">
        <v>248</v>
      </c>
      <c r="D16421" s="3">
        <f>VALUE("8360")</f>
        <v>8360</v>
      </c>
      <c r="E16421" s="2">
        <f>DATEVALUE("1-9-2018")</f>
        <v>43344</v>
      </c>
      <c r="F16421" s="2">
        <f>DATEVALUE("31-12-2018")</f>
        <v>43465</v>
      </c>
    </row>
    <row r="16422" spans="1:6" x14ac:dyDescent="0.25">
      <c r="A16422" s="1" t="s">
        <v>2396</v>
      </c>
      <c r="B16422" s="1" t="s">
        <v>2395</v>
      </c>
      <c r="C16422" s="1" t="s">
        <v>14</v>
      </c>
      <c r="D16422" s="3">
        <f>VALUE("8360")</f>
        <v>8360</v>
      </c>
      <c r="E16422" s="2">
        <f>DATEVALUE("1-9-2018")</f>
        <v>43344</v>
      </c>
      <c r="F16422" s="2">
        <f>DATEVALUE("31-12-2018")</f>
        <v>43465</v>
      </c>
    </row>
    <row r="16423" spans="1:6" x14ac:dyDescent="0.25">
      <c r="A16423" s="1" t="s">
        <v>2396</v>
      </c>
      <c r="B16423" s="1" t="s">
        <v>2395</v>
      </c>
      <c r="C16423" s="1" t="s">
        <v>146</v>
      </c>
      <c r="D16423" s="3">
        <f>VALUE("8360")</f>
        <v>8360</v>
      </c>
      <c r="E16423" s="2">
        <f>DATEVALUE("1-9-2018")</f>
        <v>43344</v>
      </c>
      <c r="F16423" s="2">
        <f>DATEVALUE("31-12-2018")</f>
        <v>43465</v>
      </c>
    </row>
    <row r="16424" spans="1:6" x14ac:dyDescent="0.25">
      <c r="A16424" s="1" t="s">
        <v>522</v>
      </c>
      <c r="B16424" s="1" t="s">
        <v>1673</v>
      </c>
      <c r="C16424" s="1" t="s">
        <v>14</v>
      </c>
      <c r="D16424" s="3">
        <f>VALUE("8857")</f>
        <v>8857</v>
      </c>
      <c r="E16424" s="2">
        <f>DATEVALUE("1-10-2020")</f>
        <v>44105</v>
      </c>
      <c r="F16424" s="2">
        <f>DATEVALUE("30-9-2021")</f>
        <v>44469</v>
      </c>
    </row>
    <row r="16425" spans="1:6" x14ac:dyDescent="0.25">
      <c r="A16425" s="1" t="s">
        <v>522</v>
      </c>
      <c r="B16425" s="1" t="s">
        <v>1673</v>
      </c>
      <c r="C16425" s="1" t="s">
        <v>15</v>
      </c>
      <c r="D16425" s="3">
        <f>VALUE("8857")</f>
        <v>8857</v>
      </c>
      <c r="E16425" s="2">
        <f>DATEVALUE("1-10-2020")</f>
        <v>44105</v>
      </c>
      <c r="F16425" s="2">
        <f>DATEVALUE("30-9-2021")</f>
        <v>44469</v>
      </c>
    </row>
    <row r="16426" spans="1:6" x14ac:dyDescent="0.25">
      <c r="A16426" s="1" t="s">
        <v>522</v>
      </c>
      <c r="B16426" s="1" t="s">
        <v>1673</v>
      </c>
      <c r="C16426" s="1" t="s">
        <v>17</v>
      </c>
      <c r="D16426" s="3">
        <f>VALUE("8857")</f>
        <v>8857</v>
      </c>
      <c r="E16426" s="2">
        <f>DATEVALUE("1-10-2020")</f>
        <v>44105</v>
      </c>
      <c r="F16426" s="2">
        <f>DATEVALUE("30-9-2021")</f>
        <v>44469</v>
      </c>
    </row>
    <row r="16427" spans="1:6" x14ac:dyDescent="0.25">
      <c r="A16427" s="1" t="s">
        <v>522</v>
      </c>
      <c r="B16427" s="1" t="s">
        <v>1673</v>
      </c>
      <c r="C16427" s="1" t="s">
        <v>34</v>
      </c>
      <c r="D16427" s="3">
        <f>VALUE("8857")</f>
        <v>8857</v>
      </c>
      <c r="E16427" s="2">
        <f>DATEVALUE("1-10-2020")</f>
        <v>44105</v>
      </c>
      <c r="F16427" s="2">
        <f>DATEVALUE("30-9-2021")</f>
        <v>44469</v>
      </c>
    </row>
    <row r="16428" spans="1:6" x14ac:dyDescent="0.25">
      <c r="A16428" s="1" t="s">
        <v>522</v>
      </c>
      <c r="B16428" s="1" t="s">
        <v>2300</v>
      </c>
      <c r="C16428" s="1" t="s">
        <v>85</v>
      </c>
      <c r="D16428" s="3">
        <f t="shared" ref="D16428:D16434" si="2692">VALUE("8109")</f>
        <v>8109</v>
      </c>
      <c r="E16428" s="2">
        <f t="shared" ref="E16428:E16434" si="2693">DATEVALUE("1-9-2017")</f>
        <v>42979</v>
      </c>
      <c r="F16428" s="2">
        <f t="shared" ref="F16428:F16434" si="2694">DATEVALUE("31-12-2017")</f>
        <v>43100</v>
      </c>
    </row>
    <row r="16429" spans="1:6" x14ac:dyDescent="0.25">
      <c r="A16429" s="1" t="s">
        <v>522</v>
      </c>
      <c r="B16429" s="1" t="s">
        <v>2300</v>
      </c>
      <c r="C16429" s="1" t="s">
        <v>84</v>
      </c>
      <c r="D16429" s="3">
        <f t="shared" si="2692"/>
        <v>8109</v>
      </c>
      <c r="E16429" s="2">
        <f t="shared" si="2693"/>
        <v>42979</v>
      </c>
      <c r="F16429" s="2">
        <f t="shared" si="2694"/>
        <v>43100</v>
      </c>
    </row>
    <row r="16430" spans="1:6" x14ac:dyDescent="0.25">
      <c r="A16430" s="1" t="s">
        <v>522</v>
      </c>
      <c r="B16430" s="1" t="s">
        <v>2300</v>
      </c>
      <c r="C16430" s="1" t="s">
        <v>46</v>
      </c>
      <c r="D16430" s="3">
        <f t="shared" si="2692"/>
        <v>8109</v>
      </c>
      <c r="E16430" s="2">
        <f t="shared" si="2693"/>
        <v>42979</v>
      </c>
      <c r="F16430" s="2">
        <f t="shared" si="2694"/>
        <v>43100</v>
      </c>
    </row>
    <row r="16431" spans="1:6" x14ac:dyDescent="0.25">
      <c r="A16431" s="1" t="s">
        <v>522</v>
      </c>
      <c r="B16431" s="1" t="s">
        <v>2300</v>
      </c>
      <c r="C16431" s="1" t="s">
        <v>89</v>
      </c>
      <c r="D16431" s="3">
        <f t="shared" si="2692"/>
        <v>8109</v>
      </c>
      <c r="E16431" s="2">
        <f t="shared" si="2693"/>
        <v>42979</v>
      </c>
      <c r="F16431" s="2">
        <f t="shared" si="2694"/>
        <v>43100</v>
      </c>
    </row>
    <row r="16432" spans="1:6" x14ac:dyDescent="0.25">
      <c r="A16432" s="1" t="s">
        <v>522</v>
      </c>
      <c r="B16432" s="1" t="s">
        <v>2300</v>
      </c>
      <c r="C16432" s="1" t="s">
        <v>17</v>
      </c>
      <c r="D16432" s="3">
        <f t="shared" si="2692"/>
        <v>8109</v>
      </c>
      <c r="E16432" s="2">
        <f t="shared" si="2693"/>
        <v>42979</v>
      </c>
      <c r="F16432" s="2">
        <f t="shared" si="2694"/>
        <v>43100</v>
      </c>
    </row>
    <row r="16433" spans="1:6" x14ac:dyDescent="0.25">
      <c r="A16433" s="1" t="s">
        <v>522</v>
      </c>
      <c r="B16433" s="1" t="s">
        <v>2300</v>
      </c>
      <c r="C16433" s="1" t="s">
        <v>24</v>
      </c>
      <c r="D16433" s="3">
        <f t="shared" si="2692"/>
        <v>8109</v>
      </c>
      <c r="E16433" s="2">
        <f t="shared" si="2693"/>
        <v>42979</v>
      </c>
      <c r="F16433" s="2">
        <f t="shared" si="2694"/>
        <v>43100</v>
      </c>
    </row>
    <row r="16434" spans="1:6" x14ac:dyDescent="0.25">
      <c r="A16434" s="1" t="s">
        <v>522</v>
      </c>
      <c r="B16434" s="1" t="s">
        <v>2300</v>
      </c>
      <c r="C16434" s="1" t="s">
        <v>34</v>
      </c>
      <c r="D16434" s="3">
        <f t="shared" si="2692"/>
        <v>8109</v>
      </c>
      <c r="E16434" s="2">
        <f t="shared" si="2693"/>
        <v>42979</v>
      </c>
      <c r="F16434" s="2">
        <f t="shared" si="2694"/>
        <v>43100</v>
      </c>
    </row>
    <row r="16435" spans="1:6" x14ac:dyDescent="0.25">
      <c r="A16435" s="1" t="s">
        <v>522</v>
      </c>
      <c r="B16435" s="1" t="s">
        <v>521</v>
      </c>
      <c r="C16435" s="1" t="s">
        <v>61</v>
      </c>
      <c r="D16435" s="3">
        <f t="shared" ref="D16435:D16456" si="2695">VALUE("7694")</f>
        <v>7694</v>
      </c>
      <c r="E16435" s="2">
        <f t="shared" ref="E16435:E16456" si="2696">DATEVALUE("1-2-2015")</f>
        <v>42036</v>
      </c>
      <c r="F16435" s="2">
        <f t="shared" ref="F16435:F16456" si="2697">DATEVALUE("31-12-2025")</f>
        <v>46022</v>
      </c>
    </row>
    <row r="16436" spans="1:6" x14ac:dyDescent="0.25">
      <c r="A16436" s="1" t="s">
        <v>522</v>
      </c>
      <c r="B16436" s="1" t="s">
        <v>521</v>
      </c>
      <c r="C16436" s="1" t="s">
        <v>45</v>
      </c>
      <c r="D16436" s="3">
        <f t="shared" si="2695"/>
        <v>7694</v>
      </c>
      <c r="E16436" s="2">
        <f t="shared" si="2696"/>
        <v>42036</v>
      </c>
      <c r="F16436" s="2">
        <f t="shared" si="2697"/>
        <v>46022</v>
      </c>
    </row>
    <row r="16437" spans="1:6" x14ac:dyDescent="0.25">
      <c r="A16437" s="1" t="s">
        <v>522</v>
      </c>
      <c r="B16437" s="1" t="s">
        <v>521</v>
      </c>
      <c r="C16437" s="1" t="s">
        <v>44</v>
      </c>
      <c r="D16437" s="3">
        <f t="shared" si="2695"/>
        <v>7694</v>
      </c>
      <c r="E16437" s="2">
        <f t="shared" si="2696"/>
        <v>42036</v>
      </c>
      <c r="F16437" s="2">
        <f t="shared" si="2697"/>
        <v>46022</v>
      </c>
    </row>
    <row r="16438" spans="1:6" x14ac:dyDescent="0.25">
      <c r="A16438" s="1" t="s">
        <v>522</v>
      </c>
      <c r="B16438" s="1" t="s">
        <v>521</v>
      </c>
      <c r="C16438" s="1" t="s">
        <v>87</v>
      </c>
      <c r="D16438" s="3">
        <f t="shared" si="2695"/>
        <v>7694</v>
      </c>
      <c r="E16438" s="2">
        <f t="shared" si="2696"/>
        <v>42036</v>
      </c>
      <c r="F16438" s="2">
        <f t="shared" si="2697"/>
        <v>46022</v>
      </c>
    </row>
    <row r="16439" spans="1:6" x14ac:dyDescent="0.25">
      <c r="A16439" s="1" t="s">
        <v>522</v>
      </c>
      <c r="B16439" s="1" t="s">
        <v>521</v>
      </c>
      <c r="C16439" s="1" t="s">
        <v>14</v>
      </c>
      <c r="D16439" s="3">
        <f t="shared" si="2695"/>
        <v>7694</v>
      </c>
      <c r="E16439" s="2">
        <f t="shared" si="2696"/>
        <v>42036</v>
      </c>
      <c r="F16439" s="2">
        <f t="shared" si="2697"/>
        <v>46022</v>
      </c>
    </row>
    <row r="16440" spans="1:6" x14ac:dyDescent="0.25">
      <c r="A16440" s="1" t="s">
        <v>522</v>
      </c>
      <c r="B16440" s="1" t="s">
        <v>521</v>
      </c>
      <c r="C16440" s="1" t="s">
        <v>16</v>
      </c>
      <c r="D16440" s="3">
        <f t="shared" si="2695"/>
        <v>7694</v>
      </c>
      <c r="E16440" s="2">
        <f t="shared" si="2696"/>
        <v>42036</v>
      </c>
      <c r="F16440" s="2">
        <f t="shared" si="2697"/>
        <v>46022</v>
      </c>
    </row>
    <row r="16441" spans="1:6" x14ac:dyDescent="0.25">
      <c r="A16441" s="1" t="s">
        <v>522</v>
      </c>
      <c r="B16441" s="1" t="s">
        <v>521</v>
      </c>
      <c r="C16441" s="1" t="s">
        <v>523</v>
      </c>
      <c r="D16441" s="3">
        <f t="shared" si="2695"/>
        <v>7694</v>
      </c>
      <c r="E16441" s="2">
        <f t="shared" si="2696"/>
        <v>42036</v>
      </c>
      <c r="F16441" s="2">
        <f t="shared" si="2697"/>
        <v>46022</v>
      </c>
    </row>
    <row r="16442" spans="1:6" x14ac:dyDescent="0.25">
      <c r="A16442" s="1" t="s">
        <v>522</v>
      </c>
      <c r="B16442" s="1" t="s">
        <v>521</v>
      </c>
      <c r="C16442" s="1" t="s">
        <v>88</v>
      </c>
      <c r="D16442" s="3">
        <f t="shared" si="2695"/>
        <v>7694</v>
      </c>
      <c r="E16442" s="2">
        <f t="shared" si="2696"/>
        <v>42036</v>
      </c>
      <c r="F16442" s="2">
        <f t="shared" si="2697"/>
        <v>46022</v>
      </c>
    </row>
    <row r="16443" spans="1:6" x14ac:dyDescent="0.25">
      <c r="A16443" s="1" t="s">
        <v>522</v>
      </c>
      <c r="B16443" s="1" t="s">
        <v>521</v>
      </c>
      <c r="C16443" s="1" t="s">
        <v>17</v>
      </c>
      <c r="D16443" s="3">
        <f t="shared" si="2695"/>
        <v>7694</v>
      </c>
      <c r="E16443" s="2">
        <f t="shared" si="2696"/>
        <v>42036</v>
      </c>
      <c r="F16443" s="2">
        <f t="shared" si="2697"/>
        <v>46022</v>
      </c>
    </row>
    <row r="16444" spans="1:6" x14ac:dyDescent="0.25">
      <c r="A16444" s="1" t="s">
        <v>522</v>
      </c>
      <c r="B16444" s="1" t="s">
        <v>521</v>
      </c>
      <c r="C16444" s="1" t="s">
        <v>19</v>
      </c>
      <c r="D16444" s="3">
        <f t="shared" si="2695"/>
        <v>7694</v>
      </c>
      <c r="E16444" s="2">
        <f t="shared" si="2696"/>
        <v>42036</v>
      </c>
      <c r="F16444" s="2">
        <f t="shared" si="2697"/>
        <v>46022</v>
      </c>
    </row>
    <row r="16445" spans="1:6" x14ac:dyDescent="0.25">
      <c r="A16445" s="1" t="s">
        <v>522</v>
      </c>
      <c r="B16445" s="1" t="s">
        <v>521</v>
      </c>
      <c r="C16445" s="1" t="s">
        <v>20</v>
      </c>
      <c r="D16445" s="3">
        <f t="shared" si="2695"/>
        <v>7694</v>
      </c>
      <c r="E16445" s="2">
        <f t="shared" si="2696"/>
        <v>42036</v>
      </c>
      <c r="F16445" s="2">
        <f t="shared" si="2697"/>
        <v>46022</v>
      </c>
    </row>
    <row r="16446" spans="1:6" x14ac:dyDescent="0.25">
      <c r="A16446" s="1" t="s">
        <v>522</v>
      </c>
      <c r="B16446" s="1" t="s">
        <v>521</v>
      </c>
      <c r="C16446" s="1" t="s">
        <v>21</v>
      </c>
      <c r="D16446" s="3">
        <f t="shared" si="2695"/>
        <v>7694</v>
      </c>
      <c r="E16446" s="2">
        <f t="shared" si="2696"/>
        <v>42036</v>
      </c>
      <c r="F16446" s="2">
        <f t="shared" si="2697"/>
        <v>46022</v>
      </c>
    </row>
    <row r="16447" spans="1:6" x14ac:dyDescent="0.25">
      <c r="A16447" s="1" t="s">
        <v>522</v>
      </c>
      <c r="B16447" s="1" t="s">
        <v>521</v>
      </c>
      <c r="C16447" s="1" t="s">
        <v>22</v>
      </c>
      <c r="D16447" s="3">
        <f t="shared" si="2695"/>
        <v>7694</v>
      </c>
      <c r="E16447" s="2">
        <f t="shared" si="2696"/>
        <v>42036</v>
      </c>
      <c r="F16447" s="2">
        <f t="shared" si="2697"/>
        <v>46022</v>
      </c>
    </row>
    <row r="16448" spans="1:6" x14ac:dyDescent="0.25">
      <c r="A16448" s="1" t="s">
        <v>522</v>
      </c>
      <c r="B16448" s="1" t="s">
        <v>521</v>
      </c>
      <c r="C16448" s="1" t="s">
        <v>155</v>
      </c>
      <c r="D16448" s="3">
        <f t="shared" si="2695"/>
        <v>7694</v>
      </c>
      <c r="E16448" s="2">
        <f t="shared" si="2696"/>
        <v>42036</v>
      </c>
      <c r="F16448" s="2">
        <f t="shared" si="2697"/>
        <v>46022</v>
      </c>
    </row>
    <row r="16449" spans="1:6" x14ac:dyDescent="0.25">
      <c r="A16449" s="1" t="s">
        <v>522</v>
      </c>
      <c r="B16449" s="1" t="s">
        <v>521</v>
      </c>
      <c r="C16449" s="1" t="s">
        <v>475</v>
      </c>
      <c r="D16449" s="3">
        <f t="shared" si="2695"/>
        <v>7694</v>
      </c>
      <c r="E16449" s="2">
        <f t="shared" si="2696"/>
        <v>42036</v>
      </c>
      <c r="F16449" s="2">
        <f t="shared" si="2697"/>
        <v>46022</v>
      </c>
    </row>
    <row r="16450" spans="1:6" x14ac:dyDescent="0.25">
      <c r="A16450" s="1" t="s">
        <v>522</v>
      </c>
      <c r="B16450" s="1" t="s">
        <v>521</v>
      </c>
      <c r="C16450" s="1" t="s">
        <v>24</v>
      </c>
      <c r="D16450" s="3">
        <f t="shared" si="2695"/>
        <v>7694</v>
      </c>
      <c r="E16450" s="2">
        <f t="shared" si="2696"/>
        <v>42036</v>
      </c>
      <c r="F16450" s="2">
        <f t="shared" si="2697"/>
        <v>46022</v>
      </c>
    </row>
    <row r="16451" spans="1:6" x14ac:dyDescent="0.25">
      <c r="A16451" s="1" t="s">
        <v>522</v>
      </c>
      <c r="B16451" s="1" t="s">
        <v>521</v>
      </c>
      <c r="C16451" s="1" t="s">
        <v>72</v>
      </c>
      <c r="D16451" s="3">
        <f t="shared" si="2695"/>
        <v>7694</v>
      </c>
      <c r="E16451" s="2">
        <f t="shared" si="2696"/>
        <v>42036</v>
      </c>
      <c r="F16451" s="2">
        <f t="shared" si="2697"/>
        <v>46022</v>
      </c>
    </row>
    <row r="16452" spans="1:6" x14ac:dyDescent="0.25">
      <c r="A16452" s="1" t="s">
        <v>522</v>
      </c>
      <c r="B16452" s="1" t="s">
        <v>521</v>
      </c>
      <c r="C16452" s="1" t="s">
        <v>52</v>
      </c>
      <c r="D16452" s="3">
        <f t="shared" si="2695"/>
        <v>7694</v>
      </c>
      <c r="E16452" s="2">
        <f t="shared" si="2696"/>
        <v>42036</v>
      </c>
      <c r="F16452" s="2">
        <f t="shared" si="2697"/>
        <v>46022</v>
      </c>
    </row>
    <row r="16453" spans="1:6" x14ac:dyDescent="0.25">
      <c r="A16453" s="1" t="s">
        <v>522</v>
      </c>
      <c r="B16453" s="1" t="s">
        <v>521</v>
      </c>
      <c r="C16453" s="1" t="s">
        <v>162</v>
      </c>
      <c r="D16453" s="3">
        <f t="shared" si="2695"/>
        <v>7694</v>
      </c>
      <c r="E16453" s="2">
        <f t="shared" si="2696"/>
        <v>42036</v>
      </c>
      <c r="F16453" s="2">
        <f t="shared" si="2697"/>
        <v>46022</v>
      </c>
    </row>
    <row r="16454" spans="1:6" x14ac:dyDescent="0.25">
      <c r="A16454" s="1" t="s">
        <v>522</v>
      </c>
      <c r="B16454" s="1" t="s">
        <v>521</v>
      </c>
      <c r="C16454" s="1" t="s">
        <v>425</v>
      </c>
      <c r="D16454" s="3">
        <f t="shared" si="2695"/>
        <v>7694</v>
      </c>
      <c r="E16454" s="2">
        <f t="shared" si="2696"/>
        <v>42036</v>
      </c>
      <c r="F16454" s="2">
        <f t="shared" si="2697"/>
        <v>46022</v>
      </c>
    </row>
    <row r="16455" spans="1:6" x14ac:dyDescent="0.25">
      <c r="A16455" s="1" t="s">
        <v>522</v>
      </c>
      <c r="B16455" s="1" t="s">
        <v>521</v>
      </c>
      <c r="C16455" s="1" t="s">
        <v>34</v>
      </c>
      <c r="D16455" s="3">
        <f t="shared" si="2695"/>
        <v>7694</v>
      </c>
      <c r="E16455" s="2">
        <f t="shared" si="2696"/>
        <v>42036</v>
      </c>
      <c r="F16455" s="2">
        <f t="shared" si="2697"/>
        <v>46022</v>
      </c>
    </row>
    <row r="16456" spans="1:6" x14ac:dyDescent="0.25">
      <c r="A16456" s="1" t="s">
        <v>522</v>
      </c>
      <c r="B16456" s="1" t="s">
        <v>521</v>
      </c>
      <c r="C16456" s="1" t="s">
        <v>57</v>
      </c>
      <c r="D16456" s="3">
        <f t="shared" si="2695"/>
        <v>7694</v>
      </c>
      <c r="E16456" s="2">
        <f t="shared" si="2696"/>
        <v>42036</v>
      </c>
      <c r="F16456" s="2">
        <f t="shared" si="2697"/>
        <v>46022</v>
      </c>
    </row>
    <row r="16457" spans="1:6" x14ac:dyDescent="0.25">
      <c r="A16457"/>
      <c r="B16457"/>
      <c r="C16457"/>
      <c r="E16457"/>
      <c r="F16457"/>
    </row>
    <row r="16458" spans="1:6" x14ac:dyDescent="0.25">
      <c r="A16458"/>
      <c r="B16458"/>
      <c r="C16458"/>
      <c r="E16458"/>
      <c r="F16458"/>
    </row>
    <row r="16459" spans="1:6" x14ac:dyDescent="0.25">
      <c r="A16459"/>
      <c r="B16459"/>
      <c r="C16459"/>
      <c r="E16459"/>
      <c r="F16459"/>
    </row>
    <row r="16460" spans="1:6" x14ac:dyDescent="0.25">
      <c r="A16460"/>
      <c r="B16460"/>
      <c r="C16460"/>
      <c r="E16460"/>
      <c r="F16460"/>
    </row>
    <row r="16461" spans="1:6" x14ac:dyDescent="0.25">
      <c r="A16461"/>
      <c r="B16461"/>
      <c r="C16461"/>
      <c r="E16461"/>
      <c r="F16461"/>
    </row>
    <row r="16462" spans="1:6" x14ac:dyDescent="0.25">
      <c r="A16462"/>
      <c r="B16462"/>
      <c r="C16462"/>
      <c r="E16462"/>
      <c r="F16462"/>
    </row>
    <row r="16463" spans="1:6" x14ac:dyDescent="0.25">
      <c r="A16463"/>
      <c r="B16463"/>
      <c r="C16463"/>
      <c r="E16463"/>
      <c r="F16463"/>
    </row>
    <row r="16464" spans="1:6" x14ac:dyDescent="0.25">
      <c r="A16464"/>
      <c r="B16464"/>
      <c r="C16464"/>
      <c r="E16464"/>
      <c r="F16464"/>
    </row>
    <row r="16465" spans="1:6" x14ac:dyDescent="0.25">
      <c r="A16465"/>
      <c r="B16465"/>
      <c r="C16465"/>
      <c r="E16465"/>
      <c r="F16465"/>
    </row>
    <row r="16466" spans="1:6" x14ac:dyDescent="0.25">
      <c r="A16466"/>
      <c r="B16466"/>
      <c r="C16466"/>
      <c r="E16466"/>
      <c r="F16466"/>
    </row>
    <row r="16467" spans="1:6" x14ac:dyDescent="0.25">
      <c r="A16467"/>
      <c r="B16467"/>
      <c r="C16467"/>
      <c r="E16467"/>
      <c r="F16467"/>
    </row>
    <row r="16468" spans="1:6" x14ac:dyDescent="0.25">
      <c r="A16468"/>
      <c r="B16468"/>
      <c r="C16468"/>
      <c r="E16468"/>
      <c r="F16468"/>
    </row>
    <row r="16469" spans="1:6" x14ac:dyDescent="0.25">
      <c r="A16469"/>
      <c r="B16469"/>
      <c r="C16469"/>
      <c r="E16469"/>
      <c r="F16469"/>
    </row>
    <row r="16470" spans="1:6" x14ac:dyDescent="0.25">
      <c r="A16470"/>
      <c r="B16470"/>
      <c r="C16470"/>
      <c r="E16470"/>
      <c r="F16470"/>
    </row>
    <row r="16471" spans="1:6" x14ac:dyDescent="0.25">
      <c r="A16471"/>
      <c r="B16471"/>
      <c r="C16471"/>
      <c r="E16471"/>
      <c r="F16471"/>
    </row>
    <row r="16472" spans="1:6" x14ac:dyDescent="0.25">
      <c r="A16472"/>
      <c r="B16472"/>
      <c r="C16472"/>
      <c r="E16472"/>
      <c r="F16472"/>
    </row>
    <row r="16473" spans="1:6" x14ac:dyDescent="0.25">
      <c r="A16473"/>
      <c r="B16473"/>
      <c r="C16473"/>
      <c r="E16473"/>
      <c r="F16473"/>
    </row>
    <row r="16474" spans="1:6" x14ac:dyDescent="0.25">
      <c r="A16474"/>
      <c r="B16474"/>
      <c r="C16474"/>
      <c r="E16474"/>
      <c r="F16474"/>
    </row>
    <row r="16475" spans="1:6" x14ac:dyDescent="0.25">
      <c r="A16475"/>
      <c r="B16475"/>
      <c r="C16475"/>
      <c r="E16475"/>
      <c r="F16475"/>
    </row>
    <row r="16476" spans="1:6" x14ac:dyDescent="0.25">
      <c r="A16476"/>
      <c r="B16476"/>
      <c r="C16476"/>
      <c r="E16476"/>
      <c r="F16476"/>
    </row>
    <row r="16477" spans="1:6" x14ac:dyDescent="0.25">
      <c r="A16477"/>
      <c r="B16477"/>
      <c r="C16477"/>
      <c r="E16477"/>
      <c r="F16477"/>
    </row>
    <row r="16478" spans="1:6" x14ac:dyDescent="0.25">
      <c r="A16478"/>
      <c r="B16478"/>
      <c r="C16478"/>
      <c r="E16478"/>
      <c r="F16478"/>
    </row>
    <row r="16479" spans="1:6" x14ac:dyDescent="0.25">
      <c r="A16479"/>
      <c r="B16479"/>
      <c r="C16479"/>
      <c r="E16479"/>
      <c r="F16479"/>
    </row>
    <row r="16480" spans="1:6" x14ac:dyDescent="0.25">
      <c r="A16480"/>
      <c r="B16480"/>
      <c r="C16480"/>
      <c r="E16480"/>
      <c r="F16480"/>
    </row>
    <row r="16481" spans="1:6" x14ac:dyDescent="0.25">
      <c r="A16481"/>
      <c r="B16481"/>
      <c r="C16481"/>
      <c r="E16481"/>
      <c r="F16481"/>
    </row>
    <row r="16482" spans="1:6" x14ac:dyDescent="0.25">
      <c r="A16482"/>
      <c r="B16482"/>
      <c r="C16482"/>
      <c r="E16482"/>
      <c r="F16482"/>
    </row>
    <row r="16483" spans="1:6" x14ac:dyDescent="0.25">
      <c r="A16483"/>
      <c r="B16483"/>
      <c r="C16483"/>
      <c r="E16483"/>
      <c r="F16483"/>
    </row>
    <row r="16484" spans="1:6" x14ac:dyDescent="0.25">
      <c r="A16484"/>
      <c r="B16484"/>
      <c r="C16484"/>
      <c r="E16484"/>
      <c r="F16484"/>
    </row>
    <row r="16485" spans="1:6" x14ac:dyDescent="0.25">
      <c r="A16485"/>
      <c r="B16485"/>
      <c r="C16485"/>
      <c r="E16485"/>
      <c r="F16485"/>
    </row>
    <row r="16486" spans="1:6" x14ac:dyDescent="0.25">
      <c r="A16486"/>
      <c r="B16486"/>
      <c r="C16486"/>
      <c r="E16486"/>
      <c r="F16486"/>
    </row>
    <row r="16487" spans="1:6" x14ac:dyDescent="0.25">
      <c r="A16487"/>
      <c r="B16487"/>
      <c r="C16487"/>
      <c r="E16487"/>
      <c r="F16487"/>
    </row>
    <row r="16488" spans="1:6" x14ac:dyDescent="0.25">
      <c r="A16488"/>
      <c r="B16488"/>
      <c r="C16488"/>
      <c r="E16488"/>
      <c r="F16488"/>
    </row>
    <row r="16489" spans="1:6" x14ac:dyDescent="0.25">
      <c r="A16489"/>
      <c r="B16489"/>
      <c r="C16489"/>
      <c r="E16489"/>
      <c r="F16489"/>
    </row>
    <row r="16490" spans="1:6" x14ac:dyDescent="0.25">
      <c r="A16490"/>
      <c r="B16490"/>
      <c r="C16490"/>
      <c r="E16490"/>
      <c r="F16490"/>
    </row>
    <row r="16491" spans="1:6" x14ac:dyDescent="0.25">
      <c r="A16491"/>
      <c r="B16491"/>
      <c r="C16491"/>
      <c r="E16491"/>
      <c r="F16491"/>
    </row>
    <row r="16492" spans="1:6" x14ac:dyDescent="0.25">
      <c r="A16492"/>
      <c r="B16492"/>
      <c r="C16492"/>
      <c r="E16492"/>
      <c r="F16492"/>
    </row>
    <row r="16493" spans="1:6" x14ac:dyDescent="0.25">
      <c r="A16493"/>
      <c r="B16493"/>
      <c r="C16493"/>
      <c r="E16493"/>
      <c r="F16493"/>
    </row>
    <row r="16494" spans="1:6" x14ac:dyDescent="0.25">
      <c r="A16494"/>
      <c r="B16494"/>
      <c r="C16494"/>
      <c r="E16494"/>
      <c r="F16494"/>
    </row>
    <row r="16495" spans="1:6" x14ac:dyDescent="0.25">
      <c r="A16495"/>
      <c r="B16495"/>
      <c r="C16495"/>
      <c r="E16495"/>
      <c r="F16495"/>
    </row>
    <row r="16496" spans="1:6" x14ac:dyDescent="0.25">
      <c r="A16496"/>
      <c r="B16496"/>
      <c r="C16496"/>
      <c r="E16496"/>
      <c r="F16496"/>
    </row>
    <row r="16497" spans="1:6" x14ac:dyDescent="0.25">
      <c r="A16497"/>
      <c r="B16497"/>
      <c r="C16497"/>
      <c r="E16497"/>
      <c r="F16497"/>
    </row>
    <row r="16498" spans="1:6" x14ac:dyDescent="0.25">
      <c r="A16498"/>
      <c r="B16498"/>
      <c r="C16498"/>
      <c r="E16498"/>
      <c r="F16498"/>
    </row>
    <row r="16499" spans="1:6" x14ac:dyDescent="0.25">
      <c r="A16499"/>
      <c r="B16499"/>
      <c r="C16499"/>
      <c r="E16499"/>
      <c r="F16499"/>
    </row>
    <row r="16500" spans="1:6" x14ac:dyDescent="0.25">
      <c r="A16500"/>
      <c r="B16500"/>
      <c r="C16500"/>
      <c r="E16500"/>
      <c r="F16500"/>
    </row>
    <row r="16501" spans="1:6" x14ac:dyDescent="0.25">
      <c r="A16501"/>
      <c r="B16501"/>
      <c r="C16501"/>
      <c r="E16501"/>
      <c r="F16501"/>
    </row>
    <row r="16502" spans="1:6" x14ac:dyDescent="0.25">
      <c r="A16502"/>
      <c r="B16502"/>
      <c r="C16502"/>
      <c r="E16502"/>
      <c r="F16502"/>
    </row>
    <row r="16503" spans="1:6" x14ac:dyDescent="0.25">
      <c r="A16503"/>
      <c r="B16503"/>
      <c r="C16503"/>
      <c r="E16503"/>
      <c r="F16503"/>
    </row>
    <row r="16504" spans="1:6" x14ac:dyDescent="0.25">
      <c r="A16504"/>
      <c r="B16504"/>
      <c r="C16504"/>
      <c r="E16504"/>
      <c r="F16504"/>
    </row>
    <row r="16505" spans="1:6" x14ac:dyDescent="0.25">
      <c r="A16505"/>
      <c r="B16505"/>
      <c r="C16505"/>
      <c r="E16505"/>
      <c r="F16505"/>
    </row>
    <row r="16506" spans="1:6" x14ac:dyDescent="0.25">
      <c r="A16506"/>
      <c r="B16506"/>
      <c r="C16506"/>
      <c r="E16506"/>
      <c r="F16506"/>
    </row>
    <row r="16507" spans="1:6" x14ac:dyDescent="0.25">
      <c r="A16507"/>
      <c r="B16507"/>
      <c r="C16507"/>
      <c r="E16507"/>
      <c r="F16507"/>
    </row>
    <row r="16508" spans="1:6" x14ac:dyDescent="0.25">
      <c r="A16508"/>
      <c r="B16508"/>
      <c r="C16508"/>
      <c r="E16508"/>
      <c r="F16508"/>
    </row>
    <row r="16509" spans="1:6" x14ac:dyDescent="0.25">
      <c r="A16509"/>
      <c r="B16509"/>
      <c r="C16509"/>
      <c r="E16509"/>
      <c r="F16509"/>
    </row>
    <row r="16510" spans="1:6" x14ac:dyDescent="0.25">
      <c r="A16510"/>
      <c r="B16510"/>
      <c r="C16510"/>
      <c r="E16510"/>
      <c r="F16510"/>
    </row>
    <row r="16511" spans="1:6" x14ac:dyDescent="0.25">
      <c r="A16511"/>
      <c r="B16511"/>
      <c r="C16511"/>
      <c r="E16511"/>
      <c r="F16511"/>
    </row>
    <row r="16512" spans="1:6" x14ac:dyDescent="0.25">
      <c r="A16512"/>
      <c r="B16512"/>
      <c r="C16512"/>
      <c r="E16512"/>
      <c r="F16512"/>
    </row>
    <row r="16513" spans="1:6" x14ac:dyDescent="0.25">
      <c r="A16513"/>
      <c r="B16513"/>
      <c r="C16513"/>
      <c r="E16513"/>
      <c r="F16513"/>
    </row>
    <row r="16514" spans="1:6" x14ac:dyDescent="0.25">
      <c r="A16514"/>
      <c r="B16514"/>
      <c r="C16514"/>
      <c r="E16514"/>
      <c r="F16514"/>
    </row>
    <row r="16515" spans="1:6" x14ac:dyDescent="0.25">
      <c r="A16515"/>
      <c r="B16515"/>
      <c r="C16515"/>
      <c r="E16515"/>
      <c r="F16515"/>
    </row>
    <row r="16516" spans="1:6" x14ac:dyDescent="0.25">
      <c r="A16516"/>
      <c r="B16516"/>
      <c r="C16516"/>
      <c r="E16516"/>
      <c r="F16516"/>
    </row>
    <row r="16517" spans="1:6" x14ac:dyDescent="0.25">
      <c r="A16517"/>
      <c r="B16517"/>
      <c r="C16517"/>
      <c r="E16517"/>
      <c r="F16517"/>
    </row>
    <row r="16518" spans="1:6" x14ac:dyDescent="0.25">
      <c r="A16518"/>
      <c r="B16518"/>
      <c r="C16518"/>
      <c r="E16518"/>
      <c r="F16518"/>
    </row>
    <row r="16519" spans="1:6" x14ac:dyDescent="0.25">
      <c r="A16519"/>
      <c r="B16519"/>
      <c r="C16519"/>
      <c r="E16519"/>
      <c r="F16519"/>
    </row>
    <row r="16520" spans="1:6" x14ac:dyDescent="0.25">
      <c r="A16520"/>
      <c r="B16520"/>
      <c r="C16520"/>
      <c r="E16520"/>
      <c r="F16520"/>
    </row>
    <row r="16521" spans="1:6" x14ac:dyDescent="0.25">
      <c r="A16521"/>
      <c r="B16521"/>
      <c r="C16521"/>
      <c r="E16521"/>
      <c r="F16521"/>
    </row>
    <row r="16522" spans="1:6" x14ac:dyDescent="0.25">
      <c r="A16522"/>
      <c r="B16522"/>
      <c r="C16522"/>
      <c r="E16522"/>
      <c r="F16522"/>
    </row>
    <row r="16523" spans="1:6" x14ac:dyDescent="0.25">
      <c r="A16523"/>
      <c r="B16523"/>
      <c r="C16523"/>
      <c r="E16523"/>
      <c r="F16523"/>
    </row>
    <row r="16524" spans="1:6" x14ac:dyDescent="0.25">
      <c r="A16524"/>
      <c r="B16524"/>
      <c r="C16524"/>
      <c r="E16524"/>
      <c r="F16524"/>
    </row>
    <row r="16525" spans="1:6" x14ac:dyDescent="0.25">
      <c r="A16525"/>
      <c r="B16525"/>
      <c r="C16525"/>
      <c r="E16525"/>
      <c r="F16525"/>
    </row>
    <row r="16526" spans="1:6" x14ac:dyDescent="0.25">
      <c r="A16526"/>
      <c r="B16526"/>
      <c r="C16526"/>
      <c r="E16526"/>
      <c r="F16526"/>
    </row>
    <row r="16527" spans="1:6" x14ac:dyDescent="0.25">
      <c r="A16527"/>
      <c r="B16527"/>
      <c r="C16527"/>
      <c r="E16527"/>
      <c r="F16527"/>
    </row>
    <row r="16528" spans="1:6" x14ac:dyDescent="0.25">
      <c r="A16528"/>
      <c r="B16528"/>
      <c r="C16528"/>
      <c r="E16528"/>
      <c r="F16528"/>
    </row>
    <row r="16529" spans="1:6" x14ac:dyDescent="0.25">
      <c r="A16529"/>
      <c r="B16529"/>
      <c r="C16529"/>
      <c r="E16529"/>
      <c r="F16529"/>
    </row>
    <row r="16530" spans="1:6" x14ac:dyDescent="0.25">
      <c r="A16530"/>
      <c r="B16530"/>
      <c r="C16530"/>
      <c r="E16530"/>
      <c r="F16530"/>
    </row>
    <row r="16531" spans="1:6" x14ac:dyDescent="0.25">
      <c r="A16531"/>
      <c r="B16531"/>
      <c r="C16531"/>
      <c r="E16531"/>
      <c r="F16531"/>
    </row>
    <row r="16532" spans="1:6" x14ac:dyDescent="0.25">
      <c r="A16532"/>
      <c r="B16532"/>
      <c r="C16532"/>
      <c r="E16532"/>
      <c r="F16532"/>
    </row>
    <row r="16533" spans="1:6" x14ac:dyDescent="0.25">
      <c r="A16533"/>
      <c r="B16533"/>
      <c r="C16533"/>
      <c r="E16533"/>
      <c r="F16533"/>
    </row>
    <row r="16534" spans="1:6" x14ac:dyDescent="0.25">
      <c r="A16534"/>
      <c r="B16534"/>
      <c r="C16534"/>
      <c r="E16534"/>
      <c r="F16534"/>
    </row>
    <row r="16535" spans="1:6" x14ac:dyDescent="0.25">
      <c r="A16535"/>
      <c r="B16535"/>
      <c r="C16535"/>
      <c r="E16535"/>
      <c r="F16535"/>
    </row>
    <row r="16536" spans="1:6" x14ac:dyDescent="0.25">
      <c r="A16536"/>
      <c r="B16536"/>
      <c r="C16536"/>
      <c r="E16536"/>
      <c r="F16536"/>
    </row>
    <row r="16537" spans="1:6" x14ac:dyDescent="0.25">
      <c r="A16537"/>
      <c r="B16537"/>
      <c r="C16537"/>
      <c r="E16537"/>
      <c r="F16537"/>
    </row>
    <row r="16538" spans="1:6" x14ac:dyDescent="0.25">
      <c r="A16538"/>
      <c r="B16538"/>
      <c r="C16538"/>
      <c r="E16538"/>
      <c r="F16538"/>
    </row>
    <row r="16539" spans="1:6" x14ac:dyDescent="0.25">
      <c r="A16539"/>
      <c r="B16539"/>
      <c r="C16539"/>
      <c r="E16539"/>
      <c r="F16539"/>
    </row>
    <row r="16540" spans="1:6" x14ac:dyDescent="0.25">
      <c r="A16540"/>
      <c r="B16540"/>
      <c r="C16540"/>
      <c r="E16540"/>
      <c r="F16540"/>
    </row>
    <row r="16541" spans="1:6" x14ac:dyDescent="0.25">
      <c r="A16541"/>
      <c r="B16541"/>
      <c r="C16541"/>
      <c r="E16541"/>
      <c r="F16541"/>
    </row>
    <row r="16542" spans="1:6" x14ac:dyDescent="0.25">
      <c r="A16542"/>
      <c r="B16542"/>
      <c r="C16542"/>
      <c r="E16542"/>
      <c r="F16542"/>
    </row>
    <row r="16543" spans="1:6" x14ac:dyDescent="0.25">
      <c r="A16543"/>
      <c r="B16543"/>
      <c r="C16543"/>
      <c r="E16543"/>
      <c r="F16543"/>
    </row>
    <row r="16544" spans="1:6" x14ac:dyDescent="0.25">
      <c r="A16544"/>
      <c r="B16544"/>
      <c r="C16544"/>
      <c r="E16544"/>
      <c r="F16544"/>
    </row>
    <row r="16545" spans="1:6" x14ac:dyDescent="0.25">
      <c r="A16545"/>
      <c r="B16545"/>
      <c r="C16545"/>
      <c r="E16545"/>
      <c r="F16545"/>
    </row>
    <row r="16546" spans="1:6" x14ac:dyDescent="0.25">
      <c r="A16546"/>
      <c r="B16546"/>
      <c r="C16546"/>
      <c r="E16546"/>
      <c r="F16546"/>
    </row>
    <row r="16547" spans="1:6" x14ac:dyDescent="0.25">
      <c r="A16547"/>
      <c r="B16547"/>
      <c r="C16547"/>
      <c r="E16547"/>
      <c r="F16547"/>
    </row>
    <row r="16548" spans="1:6" x14ac:dyDescent="0.25">
      <c r="A16548"/>
      <c r="B16548"/>
      <c r="C16548"/>
      <c r="E16548"/>
      <c r="F16548"/>
    </row>
    <row r="16549" spans="1:6" x14ac:dyDescent="0.25">
      <c r="A16549"/>
      <c r="B16549"/>
      <c r="C16549"/>
      <c r="E16549"/>
      <c r="F16549"/>
    </row>
    <row r="16550" spans="1:6" x14ac:dyDescent="0.25">
      <c r="A16550"/>
      <c r="B16550"/>
      <c r="C16550"/>
      <c r="E16550"/>
      <c r="F16550"/>
    </row>
    <row r="16551" spans="1:6" x14ac:dyDescent="0.25">
      <c r="A16551"/>
      <c r="B16551"/>
      <c r="C16551"/>
      <c r="E16551"/>
      <c r="F16551"/>
    </row>
    <row r="16552" spans="1:6" x14ac:dyDescent="0.25">
      <c r="A16552"/>
      <c r="B16552"/>
      <c r="C16552"/>
      <c r="E16552"/>
      <c r="F16552"/>
    </row>
    <row r="16553" spans="1:6" x14ac:dyDescent="0.25">
      <c r="A16553"/>
      <c r="B16553"/>
      <c r="C16553"/>
      <c r="E16553"/>
      <c r="F16553"/>
    </row>
    <row r="16554" spans="1:6" x14ac:dyDescent="0.25">
      <c r="A16554"/>
      <c r="B16554"/>
      <c r="C16554"/>
      <c r="E16554"/>
      <c r="F16554"/>
    </row>
    <row r="16555" spans="1:6" x14ac:dyDescent="0.25">
      <c r="A16555"/>
      <c r="B16555"/>
      <c r="C16555"/>
      <c r="E16555"/>
      <c r="F16555"/>
    </row>
    <row r="16556" spans="1:6" x14ac:dyDescent="0.25">
      <c r="A16556"/>
      <c r="B16556"/>
      <c r="C16556"/>
      <c r="E16556"/>
      <c r="F16556"/>
    </row>
    <row r="16557" spans="1:6" x14ac:dyDescent="0.25">
      <c r="A16557"/>
      <c r="B16557"/>
      <c r="C16557"/>
      <c r="E16557"/>
      <c r="F16557"/>
    </row>
    <row r="16558" spans="1:6" x14ac:dyDescent="0.25">
      <c r="A16558"/>
      <c r="B16558"/>
      <c r="C16558"/>
      <c r="E16558"/>
      <c r="F16558"/>
    </row>
    <row r="16559" spans="1:6" x14ac:dyDescent="0.25">
      <c r="A16559"/>
      <c r="B16559"/>
      <c r="C16559"/>
      <c r="E16559"/>
      <c r="F16559"/>
    </row>
    <row r="16560" spans="1:6" x14ac:dyDescent="0.25">
      <c r="A16560"/>
      <c r="B16560"/>
      <c r="C16560"/>
      <c r="E16560"/>
      <c r="F16560"/>
    </row>
    <row r="16561" spans="1:6" x14ac:dyDescent="0.25">
      <c r="A16561"/>
      <c r="B16561"/>
      <c r="C16561"/>
      <c r="E16561"/>
      <c r="F16561"/>
    </row>
    <row r="16562" spans="1:6" x14ac:dyDescent="0.25">
      <c r="A16562"/>
      <c r="B16562"/>
      <c r="C16562"/>
      <c r="E16562"/>
      <c r="F16562"/>
    </row>
    <row r="16563" spans="1:6" x14ac:dyDescent="0.25">
      <c r="A16563"/>
      <c r="B16563"/>
      <c r="C16563"/>
      <c r="E16563"/>
      <c r="F16563"/>
    </row>
    <row r="16564" spans="1:6" x14ac:dyDescent="0.25">
      <c r="A16564"/>
      <c r="B16564"/>
      <c r="C16564"/>
      <c r="E16564"/>
      <c r="F16564"/>
    </row>
    <row r="16565" spans="1:6" x14ac:dyDescent="0.25">
      <c r="A16565"/>
      <c r="B16565"/>
      <c r="C16565"/>
      <c r="E16565"/>
      <c r="F16565"/>
    </row>
    <row r="16566" spans="1:6" x14ac:dyDescent="0.25">
      <c r="A16566"/>
      <c r="B16566"/>
      <c r="C16566"/>
      <c r="E16566"/>
      <c r="F16566"/>
    </row>
    <row r="16567" spans="1:6" x14ac:dyDescent="0.25">
      <c r="A16567"/>
      <c r="B16567"/>
      <c r="C16567"/>
      <c r="E16567"/>
      <c r="F16567"/>
    </row>
    <row r="16568" spans="1:6" x14ac:dyDescent="0.25">
      <c r="A16568"/>
      <c r="B16568"/>
      <c r="C16568"/>
      <c r="E16568"/>
      <c r="F16568"/>
    </row>
    <row r="16569" spans="1:6" x14ac:dyDescent="0.25">
      <c r="A16569"/>
      <c r="B16569"/>
      <c r="C16569"/>
      <c r="E16569"/>
      <c r="F16569"/>
    </row>
    <row r="16570" spans="1:6" x14ac:dyDescent="0.25">
      <c r="A16570"/>
      <c r="B16570"/>
      <c r="C16570"/>
      <c r="E16570"/>
      <c r="F16570"/>
    </row>
    <row r="16571" spans="1:6" x14ac:dyDescent="0.25">
      <c r="A16571"/>
      <c r="B16571"/>
      <c r="C16571"/>
      <c r="E16571"/>
      <c r="F16571"/>
    </row>
    <row r="16572" spans="1:6" x14ac:dyDescent="0.25">
      <c r="A16572"/>
      <c r="B16572"/>
      <c r="C16572"/>
      <c r="E16572"/>
      <c r="F16572"/>
    </row>
    <row r="16573" spans="1:6" x14ac:dyDescent="0.25">
      <c r="A16573"/>
      <c r="B16573"/>
      <c r="C16573"/>
      <c r="E16573"/>
      <c r="F16573"/>
    </row>
    <row r="16574" spans="1:6" x14ac:dyDescent="0.25">
      <c r="A16574"/>
      <c r="B16574"/>
      <c r="C16574"/>
      <c r="E16574"/>
      <c r="F16574"/>
    </row>
    <row r="16575" spans="1:6" x14ac:dyDescent="0.25">
      <c r="A16575"/>
      <c r="B16575"/>
      <c r="C16575"/>
      <c r="E16575"/>
      <c r="F16575"/>
    </row>
    <row r="16576" spans="1:6" x14ac:dyDescent="0.25">
      <c r="A16576"/>
      <c r="B16576"/>
      <c r="C16576"/>
      <c r="E16576"/>
      <c r="F16576"/>
    </row>
    <row r="16577" spans="1:6" x14ac:dyDescent="0.25">
      <c r="A16577"/>
      <c r="B16577"/>
      <c r="C16577"/>
      <c r="E16577"/>
      <c r="F16577"/>
    </row>
    <row r="16578" spans="1:6" x14ac:dyDescent="0.25">
      <c r="A16578"/>
      <c r="B16578"/>
      <c r="C16578"/>
      <c r="E16578"/>
      <c r="F16578"/>
    </row>
    <row r="16579" spans="1:6" x14ac:dyDescent="0.25">
      <c r="A16579"/>
      <c r="B16579"/>
      <c r="C16579"/>
      <c r="E16579"/>
      <c r="F16579"/>
    </row>
    <row r="16580" spans="1:6" x14ac:dyDescent="0.25">
      <c r="A16580"/>
      <c r="B16580"/>
      <c r="C16580"/>
      <c r="E16580"/>
      <c r="F16580"/>
    </row>
    <row r="16581" spans="1:6" x14ac:dyDescent="0.25">
      <c r="A16581"/>
      <c r="B16581"/>
      <c r="C16581"/>
      <c r="E16581"/>
      <c r="F16581"/>
    </row>
    <row r="16582" spans="1:6" x14ac:dyDescent="0.25">
      <c r="A16582"/>
      <c r="B16582"/>
      <c r="C16582"/>
      <c r="E16582"/>
      <c r="F16582"/>
    </row>
    <row r="16583" spans="1:6" x14ac:dyDescent="0.25">
      <c r="A16583"/>
      <c r="B16583"/>
      <c r="C16583"/>
      <c r="E16583"/>
      <c r="F16583"/>
    </row>
    <row r="16584" spans="1:6" x14ac:dyDescent="0.25">
      <c r="A16584"/>
      <c r="B16584"/>
      <c r="C16584"/>
      <c r="E16584"/>
      <c r="F16584"/>
    </row>
    <row r="16585" spans="1:6" x14ac:dyDescent="0.25">
      <c r="A16585"/>
      <c r="B16585"/>
      <c r="C16585"/>
      <c r="E16585"/>
      <c r="F16585"/>
    </row>
    <row r="16586" spans="1:6" x14ac:dyDescent="0.25">
      <c r="A16586"/>
      <c r="B16586"/>
      <c r="C16586"/>
      <c r="E16586"/>
      <c r="F16586"/>
    </row>
    <row r="16587" spans="1:6" x14ac:dyDescent="0.25">
      <c r="A16587"/>
      <c r="B16587"/>
      <c r="C16587"/>
      <c r="E16587"/>
      <c r="F16587"/>
    </row>
    <row r="16588" spans="1:6" x14ac:dyDescent="0.25">
      <c r="A16588"/>
      <c r="B16588"/>
      <c r="C16588"/>
      <c r="E16588"/>
      <c r="F16588"/>
    </row>
    <row r="16589" spans="1:6" x14ac:dyDescent="0.25">
      <c r="A16589"/>
      <c r="B16589"/>
      <c r="C16589"/>
      <c r="E16589"/>
      <c r="F16589"/>
    </row>
    <row r="16590" spans="1:6" x14ac:dyDescent="0.25">
      <c r="A16590"/>
      <c r="B16590"/>
      <c r="C16590"/>
      <c r="E16590"/>
      <c r="F16590"/>
    </row>
    <row r="16591" spans="1:6" x14ac:dyDescent="0.25">
      <c r="A16591"/>
      <c r="B16591"/>
      <c r="C16591"/>
      <c r="E16591"/>
      <c r="F16591"/>
    </row>
    <row r="16592" spans="1:6" x14ac:dyDescent="0.25">
      <c r="A16592"/>
      <c r="B16592"/>
      <c r="C16592"/>
      <c r="E16592"/>
      <c r="F16592"/>
    </row>
    <row r="16593" spans="1:6" x14ac:dyDescent="0.25">
      <c r="A16593"/>
      <c r="B16593"/>
      <c r="C16593"/>
      <c r="E16593"/>
      <c r="F16593"/>
    </row>
    <row r="16594" spans="1:6" x14ac:dyDescent="0.25">
      <c r="A16594"/>
      <c r="B16594"/>
      <c r="C16594"/>
      <c r="E16594"/>
      <c r="F16594"/>
    </row>
    <row r="16595" spans="1:6" x14ac:dyDescent="0.25">
      <c r="A16595"/>
      <c r="B16595"/>
      <c r="C16595"/>
      <c r="E16595"/>
      <c r="F16595"/>
    </row>
    <row r="16596" spans="1:6" x14ac:dyDescent="0.25">
      <c r="A16596"/>
      <c r="B16596"/>
      <c r="C16596"/>
      <c r="E16596"/>
      <c r="F16596"/>
    </row>
    <row r="16597" spans="1:6" x14ac:dyDescent="0.25">
      <c r="A16597"/>
      <c r="B16597"/>
      <c r="C16597"/>
      <c r="E16597"/>
      <c r="F16597"/>
    </row>
    <row r="16598" spans="1:6" x14ac:dyDescent="0.25">
      <c r="A16598"/>
      <c r="B16598"/>
      <c r="C16598"/>
      <c r="E16598"/>
      <c r="F16598"/>
    </row>
    <row r="16599" spans="1:6" x14ac:dyDescent="0.25">
      <c r="A16599"/>
      <c r="B16599"/>
      <c r="C16599"/>
      <c r="E16599"/>
      <c r="F16599"/>
    </row>
    <row r="16600" spans="1:6" x14ac:dyDescent="0.25">
      <c r="A16600"/>
      <c r="B16600"/>
      <c r="C16600"/>
      <c r="E16600"/>
      <c r="F16600"/>
    </row>
    <row r="16601" spans="1:6" x14ac:dyDescent="0.25">
      <c r="A16601"/>
      <c r="B16601"/>
      <c r="C16601"/>
      <c r="E16601"/>
      <c r="F16601"/>
    </row>
    <row r="16602" spans="1:6" x14ac:dyDescent="0.25">
      <c r="A16602"/>
      <c r="B16602"/>
      <c r="C16602"/>
      <c r="E16602"/>
      <c r="F16602"/>
    </row>
    <row r="16603" spans="1:6" x14ac:dyDescent="0.25">
      <c r="A16603"/>
      <c r="B16603"/>
      <c r="C16603"/>
      <c r="E16603"/>
      <c r="F16603"/>
    </row>
    <row r="16604" spans="1:6" x14ac:dyDescent="0.25">
      <c r="A16604"/>
      <c r="B16604"/>
      <c r="C16604"/>
      <c r="E16604"/>
      <c r="F16604"/>
    </row>
    <row r="16605" spans="1:6" x14ac:dyDescent="0.25">
      <c r="A16605"/>
      <c r="B16605"/>
      <c r="C16605"/>
      <c r="E16605"/>
      <c r="F16605"/>
    </row>
    <row r="16606" spans="1:6" x14ac:dyDescent="0.25">
      <c r="A16606"/>
      <c r="B16606"/>
      <c r="C16606"/>
      <c r="E16606"/>
      <c r="F16606"/>
    </row>
    <row r="16607" spans="1:6" x14ac:dyDescent="0.25">
      <c r="A16607"/>
      <c r="B16607"/>
      <c r="C16607"/>
      <c r="E16607"/>
      <c r="F16607"/>
    </row>
    <row r="16608" spans="1:6" x14ac:dyDescent="0.25">
      <c r="A16608"/>
      <c r="B16608"/>
      <c r="C16608"/>
      <c r="E16608"/>
      <c r="F16608"/>
    </row>
    <row r="16609" spans="1:6" x14ac:dyDescent="0.25">
      <c r="A16609"/>
      <c r="B16609"/>
      <c r="C16609"/>
      <c r="E16609"/>
      <c r="F16609"/>
    </row>
    <row r="16610" spans="1:6" x14ac:dyDescent="0.25">
      <c r="A16610"/>
      <c r="B16610"/>
      <c r="C16610"/>
      <c r="E16610"/>
      <c r="F16610"/>
    </row>
    <row r="16611" spans="1:6" x14ac:dyDescent="0.25">
      <c r="A16611"/>
      <c r="B16611"/>
      <c r="C16611"/>
      <c r="E16611"/>
      <c r="F16611"/>
    </row>
    <row r="16612" spans="1:6" x14ac:dyDescent="0.25">
      <c r="A16612"/>
      <c r="B16612"/>
      <c r="C16612"/>
      <c r="E16612"/>
      <c r="F16612"/>
    </row>
    <row r="16613" spans="1:6" x14ac:dyDescent="0.25">
      <c r="A16613"/>
      <c r="B16613"/>
      <c r="C16613"/>
      <c r="E16613"/>
      <c r="F16613"/>
    </row>
    <row r="16614" spans="1:6" x14ac:dyDescent="0.25">
      <c r="A16614"/>
      <c r="B16614"/>
      <c r="C16614"/>
      <c r="E16614"/>
      <c r="F16614"/>
    </row>
    <row r="16615" spans="1:6" x14ac:dyDescent="0.25">
      <c r="A16615"/>
      <c r="B16615"/>
      <c r="C16615"/>
      <c r="E16615"/>
      <c r="F16615"/>
    </row>
    <row r="16616" spans="1:6" x14ac:dyDescent="0.25">
      <c r="A16616"/>
      <c r="B16616"/>
      <c r="C16616"/>
      <c r="E16616"/>
      <c r="F16616"/>
    </row>
    <row r="16617" spans="1:6" x14ac:dyDescent="0.25">
      <c r="A16617"/>
      <c r="B16617"/>
      <c r="C16617"/>
      <c r="E16617"/>
      <c r="F16617"/>
    </row>
    <row r="16618" spans="1:6" x14ac:dyDescent="0.25">
      <c r="A16618"/>
      <c r="B16618"/>
      <c r="C16618"/>
      <c r="E16618"/>
      <c r="F16618"/>
    </row>
    <row r="16619" spans="1:6" x14ac:dyDescent="0.25">
      <c r="A16619"/>
      <c r="B16619"/>
      <c r="C16619"/>
      <c r="E16619"/>
      <c r="F16619"/>
    </row>
    <row r="16620" spans="1:6" x14ac:dyDescent="0.25">
      <c r="A16620"/>
      <c r="B16620"/>
      <c r="C16620"/>
      <c r="E16620"/>
      <c r="F16620"/>
    </row>
    <row r="16621" spans="1:6" x14ac:dyDescent="0.25">
      <c r="A16621"/>
      <c r="B16621"/>
      <c r="C16621"/>
      <c r="E16621"/>
      <c r="F16621"/>
    </row>
    <row r="16622" spans="1:6" x14ac:dyDescent="0.25">
      <c r="A16622"/>
      <c r="B16622"/>
      <c r="C16622"/>
      <c r="E16622"/>
      <c r="F16622"/>
    </row>
    <row r="16623" spans="1:6" x14ac:dyDescent="0.25">
      <c r="A16623"/>
      <c r="B16623"/>
      <c r="C16623"/>
      <c r="E16623"/>
      <c r="F16623"/>
    </row>
    <row r="16624" spans="1:6" x14ac:dyDescent="0.25">
      <c r="A16624"/>
      <c r="B16624"/>
      <c r="C16624"/>
      <c r="E16624"/>
      <c r="F16624"/>
    </row>
    <row r="16625" spans="1:6" x14ac:dyDescent="0.25">
      <c r="A16625"/>
      <c r="B16625"/>
      <c r="C16625"/>
      <c r="E16625"/>
      <c r="F16625"/>
    </row>
    <row r="16626" spans="1:6" x14ac:dyDescent="0.25">
      <c r="A16626"/>
      <c r="B16626"/>
      <c r="C16626"/>
      <c r="E16626"/>
      <c r="F16626"/>
    </row>
    <row r="16627" spans="1:6" x14ac:dyDescent="0.25">
      <c r="A16627"/>
      <c r="B16627"/>
      <c r="C16627"/>
      <c r="E16627"/>
      <c r="F16627"/>
    </row>
    <row r="16628" spans="1:6" x14ac:dyDescent="0.25">
      <c r="A16628"/>
      <c r="B16628"/>
      <c r="C16628"/>
      <c r="E16628"/>
      <c r="F16628"/>
    </row>
    <row r="16629" spans="1:6" x14ac:dyDescent="0.25">
      <c r="A16629"/>
      <c r="B16629"/>
      <c r="C16629"/>
      <c r="E16629"/>
      <c r="F16629"/>
    </row>
    <row r="16630" spans="1:6" x14ac:dyDescent="0.25">
      <c r="A16630"/>
      <c r="B16630"/>
      <c r="C16630"/>
      <c r="E16630"/>
      <c r="F16630"/>
    </row>
    <row r="16631" spans="1:6" x14ac:dyDescent="0.25">
      <c r="A16631"/>
      <c r="B16631"/>
      <c r="C16631"/>
      <c r="E16631"/>
      <c r="F16631"/>
    </row>
    <row r="16632" spans="1:6" x14ac:dyDescent="0.25">
      <c r="A16632"/>
      <c r="B16632"/>
      <c r="C16632"/>
      <c r="E16632"/>
      <c r="F16632"/>
    </row>
    <row r="16633" spans="1:6" x14ac:dyDescent="0.25">
      <c r="A16633"/>
      <c r="B16633"/>
      <c r="C16633"/>
      <c r="E16633"/>
      <c r="F16633"/>
    </row>
    <row r="16634" spans="1:6" x14ac:dyDescent="0.25">
      <c r="A16634"/>
      <c r="B16634"/>
      <c r="C16634"/>
      <c r="E16634"/>
      <c r="F16634"/>
    </row>
    <row r="16635" spans="1:6" x14ac:dyDescent="0.25">
      <c r="A16635"/>
      <c r="B16635"/>
      <c r="C16635"/>
      <c r="E16635"/>
      <c r="F16635"/>
    </row>
    <row r="16636" spans="1:6" x14ac:dyDescent="0.25">
      <c r="A16636"/>
      <c r="B16636"/>
      <c r="C16636"/>
      <c r="E16636"/>
      <c r="F16636"/>
    </row>
    <row r="16637" spans="1:6" x14ac:dyDescent="0.25">
      <c r="A16637"/>
      <c r="B16637"/>
      <c r="C16637"/>
      <c r="E16637"/>
      <c r="F16637"/>
    </row>
    <row r="16638" spans="1:6" x14ac:dyDescent="0.25">
      <c r="A16638"/>
      <c r="B16638"/>
      <c r="C16638"/>
      <c r="E16638"/>
      <c r="F16638"/>
    </row>
    <row r="16639" spans="1:6" x14ac:dyDescent="0.25">
      <c r="A16639"/>
      <c r="B16639"/>
      <c r="C16639"/>
      <c r="E16639"/>
      <c r="F16639"/>
    </row>
    <row r="16640" spans="1:6" x14ac:dyDescent="0.25">
      <c r="A16640"/>
      <c r="B16640"/>
      <c r="C16640"/>
      <c r="E16640"/>
      <c r="F16640"/>
    </row>
    <row r="16641" spans="1:6" x14ac:dyDescent="0.25">
      <c r="A16641"/>
      <c r="B16641"/>
      <c r="C16641"/>
      <c r="E16641"/>
      <c r="F16641"/>
    </row>
    <row r="16642" spans="1:6" x14ac:dyDescent="0.25">
      <c r="A16642"/>
      <c r="B16642"/>
      <c r="C16642"/>
      <c r="E16642"/>
      <c r="F16642"/>
    </row>
    <row r="16643" spans="1:6" x14ac:dyDescent="0.25">
      <c r="A16643"/>
      <c r="B16643"/>
      <c r="C16643"/>
      <c r="E16643"/>
      <c r="F16643"/>
    </row>
    <row r="16644" spans="1:6" x14ac:dyDescent="0.25">
      <c r="A16644"/>
      <c r="B16644"/>
      <c r="C16644"/>
      <c r="E16644"/>
      <c r="F16644"/>
    </row>
    <row r="16645" spans="1:6" x14ac:dyDescent="0.25">
      <c r="A16645"/>
      <c r="B16645"/>
      <c r="C16645"/>
      <c r="E16645"/>
      <c r="F16645"/>
    </row>
    <row r="16646" spans="1:6" x14ac:dyDescent="0.25">
      <c r="A16646"/>
      <c r="B16646"/>
      <c r="C16646"/>
      <c r="E16646"/>
      <c r="F16646"/>
    </row>
    <row r="16647" spans="1:6" x14ac:dyDescent="0.25">
      <c r="A16647"/>
      <c r="B16647"/>
      <c r="C16647"/>
      <c r="E16647"/>
      <c r="F16647"/>
    </row>
    <row r="16648" spans="1:6" x14ac:dyDescent="0.25">
      <c r="A16648"/>
      <c r="B16648"/>
      <c r="C16648"/>
      <c r="E16648"/>
      <c r="F16648"/>
    </row>
    <row r="16649" spans="1:6" x14ac:dyDescent="0.25">
      <c r="A16649"/>
      <c r="B16649"/>
      <c r="C16649"/>
      <c r="E16649"/>
      <c r="F16649"/>
    </row>
    <row r="16650" spans="1:6" x14ac:dyDescent="0.25">
      <c r="A16650"/>
      <c r="B16650"/>
      <c r="C16650"/>
      <c r="E16650"/>
      <c r="F16650"/>
    </row>
    <row r="16651" spans="1:6" x14ac:dyDescent="0.25">
      <c r="A16651"/>
      <c r="B16651"/>
      <c r="C16651"/>
      <c r="E16651"/>
      <c r="F16651"/>
    </row>
    <row r="16652" spans="1:6" x14ac:dyDescent="0.25">
      <c r="A16652"/>
      <c r="B16652"/>
      <c r="C16652"/>
      <c r="E16652"/>
      <c r="F16652"/>
    </row>
    <row r="16653" spans="1:6" x14ac:dyDescent="0.25">
      <c r="A16653"/>
      <c r="B16653"/>
      <c r="C16653"/>
      <c r="E16653"/>
      <c r="F16653"/>
    </row>
    <row r="16654" spans="1:6" x14ac:dyDescent="0.25">
      <c r="A16654"/>
      <c r="B16654"/>
      <c r="C16654"/>
      <c r="E16654"/>
      <c r="F16654"/>
    </row>
    <row r="16655" spans="1:6" x14ac:dyDescent="0.25">
      <c r="A16655"/>
      <c r="B16655"/>
      <c r="C16655"/>
      <c r="E16655"/>
      <c r="F16655"/>
    </row>
    <row r="16656" spans="1:6" x14ac:dyDescent="0.25">
      <c r="A16656"/>
      <c r="B16656"/>
      <c r="C16656"/>
      <c r="E16656"/>
      <c r="F16656"/>
    </row>
    <row r="16657" spans="1:6" x14ac:dyDescent="0.25">
      <c r="A16657"/>
      <c r="B16657"/>
      <c r="C16657"/>
      <c r="E16657"/>
      <c r="F16657"/>
    </row>
    <row r="16658" spans="1:6" x14ac:dyDescent="0.25">
      <c r="A16658"/>
      <c r="B16658"/>
      <c r="C16658"/>
      <c r="E16658"/>
      <c r="F16658"/>
    </row>
    <row r="16659" spans="1:6" x14ac:dyDescent="0.25">
      <c r="A16659"/>
      <c r="B16659"/>
      <c r="C16659"/>
      <c r="E16659"/>
      <c r="F16659"/>
    </row>
    <row r="16660" spans="1:6" x14ac:dyDescent="0.25">
      <c r="A16660"/>
      <c r="B16660"/>
      <c r="C16660"/>
      <c r="E16660"/>
      <c r="F16660"/>
    </row>
    <row r="16661" spans="1:6" x14ac:dyDescent="0.25">
      <c r="A16661"/>
      <c r="B16661"/>
      <c r="C16661"/>
      <c r="E16661"/>
      <c r="F16661"/>
    </row>
    <row r="16662" spans="1:6" x14ac:dyDescent="0.25">
      <c r="A16662"/>
      <c r="B16662"/>
      <c r="C16662"/>
      <c r="E16662"/>
      <c r="F16662"/>
    </row>
    <row r="16663" spans="1:6" x14ac:dyDescent="0.25">
      <c r="A16663"/>
      <c r="B16663"/>
      <c r="C16663"/>
      <c r="E16663"/>
      <c r="F16663"/>
    </row>
    <row r="16664" spans="1:6" x14ac:dyDescent="0.25">
      <c r="A16664"/>
      <c r="B16664"/>
      <c r="C16664"/>
      <c r="E16664"/>
      <c r="F16664"/>
    </row>
    <row r="16665" spans="1:6" x14ac:dyDescent="0.25">
      <c r="A16665"/>
      <c r="B16665"/>
      <c r="C16665"/>
      <c r="E16665"/>
      <c r="F16665"/>
    </row>
    <row r="16666" spans="1:6" x14ac:dyDescent="0.25">
      <c r="A16666"/>
      <c r="B16666"/>
      <c r="C16666"/>
      <c r="E16666"/>
      <c r="F16666"/>
    </row>
    <row r="16667" spans="1:6" x14ac:dyDescent="0.25">
      <c r="A16667"/>
      <c r="B16667"/>
      <c r="C16667"/>
      <c r="E16667"/>
      <c r="F16667"/>
    </row>
    <row r="16668" spans="1:6" x14ac:dyDescent="0.25">
      <c r="A16668"/>
      <c r="B16668"/>
      <c r="C16668"/>
      <c r="E16668"/>
      <c r="F16668"/>
    </row>
    <row r="16669" spans="1:6" x14ac:dyDescent="0.25">
      <c r="A16669"/>
      <c r="B16669"/>
      <c r="C16669"/>
      <c r="E16669"/>
      <c r="F16669"/>
    </row>
    <row r="16670" spans="1:6" x14ac:dyDescent="0.25">
      <c r="A16670"/>
      <c r="B16670"/>
      <c r="C16670"/>
      <c r="E16670"/>
      <c r="F16670"/>
    </row>
    <row r="16671" spans="1:6" x14ac:dyDescent="0.25">
      <c r="A16671"/>
      <c r="B16671"/>
      <c r="C16671"/>
      <c r="E16671"/>
      <c r="F16671"/>
    </row>
    <row r="16672" spans="1:6" x14ac:dyDescent="0.25">
      <c r="A16672"/>
      <c r="B16672"/>
      <c r="C16672"/>
      <c r="E16672"/>
      <c r="F16672"/>
    </row>
    <row r="16673" spans="1:6" x14ac:dyDescent="0.25">
      <c r="A16673"/>
      <c r="B16673"/>
      <c r="C16673"/>
      <c r="E16673"/>
      <c r="F16673"/>
    </row>
    <row r="16674" spans="1:6" x14ac:dyDescent="0.25">
      <c r="A16674"/>
      <c r="B16674"/>
      <c r="C16674"/>
      <c r="E16674"/>
      <c r="F16674"/>
    </row>
    <row r="16675" spans="1:6" x14ac:dyDescent="0.25">
      <c r="A16675"/>
      <c r="B16675"/>
      <c r="C16675"/>
      <c r="E16675"/>
      <c r="F16675"/>
    </row>
    <row r="16676" spans="1:6" x14ac:dyDescent="0.25">
      <c r="A16676"/>
      <c r="B16676"/>
      <c r="C16676"/>
      <c r="E16676"/>
      <c r="F16676"/>
    </row>
    <row r="16677" spans="1:6" x14ac:dyDescent="0.25">
      <c r="A16677"/>
      <c r="B16677"/>
      <c r="C16677"/>
      <c r="E16677"/>
      <c r="F16677"/>
    </row>
    <row r="16678" spans="1:6" x14ac:dyDescent="0.25">
      <c r="A16678"/>
      <c r="B16678"/>
      <c r="C16678"/>
      <c r="E16678"/>
      <c r="F16678"/>
    </row>
    <row r="16679" spans="1:6" x14ac:dyDescent="0.25">
      <c r="A16679"/>
      <c r="B16679"/>
      <c r="C16679"/>
      <c r="E16679"/>
      <c r="F16679"/>
    </row>
    <row r="16680" spans="1:6" x14ac:dyDescent="0.25">
      <c r="A16680"/>
      <c r="B16680"/>
      <c r="C16680"/>
      <c r="E16680"/>
      <c r="F16680"/>
    </row>
    <row r="16681" spans="1:6" x14ac:dyDescent="0.25">
      <c r="A16681"/>
      <c r="B16681"/>
      <c r="C16681"/>
      <c r="E16681"/>
      <c r="F16681"/>
    </row>
    <row r="16682" spans="1:6" x14ac:dyDescent="0.25">
      <c r="A16682"/>
      <c r="B16682"/>
      <c r="C16682"/>
      <c r="E16682"/>
      <c r="F16682"/>
    </row>
    <row r="16683" spans="1:6" x14ac:dyDescent="0.25">
      <c r="A16683"/>
      <c r="B16683"/>
      <c r="C16683"/>
      <c r="E16683"/>
      <c r="F16683"/>
    </row>
    <row r="16684" spans="1:6" x14ac:dyDescent="0.25">
      <c r="A16684"/>
      <c r="B16684"/>
      <c r="C16684"/>
      <c r="E16684"/>
      <c r="F16684"/>
    </row>
    <row r="16685" spans="1:6" x14ac:dyDescent="0.25">
      <c r="A16685"/>
      <c r="B16685"/>
      <c r="C16685"/>
      <c r="E16685"/>
      <c r="F16685"/>
    </row>
    <row r="16686" spans="1:6" x14ac:dyDescent="0.25">
      <c r="A16686"/>
      <c r="B16686"/>
      <c r="C16686"/>
      <c r="E16686"/>
      <c r="F16686"/>
    </row>
    <row r="16687" spans="1:6" x14ac:dyDescent="0.25">
      <c r="A16687"/>
      <c r="B16687"/>
      <c r="C16687"/>
      <c r="E16687"/>
      <c r="F16687"/>
    </row>
    <row r="16688" spans="1:6" x14ac:dyDescent="0.25">
      <c r="A16688"/>
      <c r="B16688"/>
      <c r="C16688"/>
      <c r="E16688"/>
      <c r="F16688"/>
    </row>
    <row r="16689" spans="1:6" x14ac:dyDescent="0.25">
      <c r="A16689"/>
      <c r="B16689"/>
      <c r="C16689"/>
      <c r="E16689"/>
      <c r="F16689"/>
    </row>
    <row r="16690" spans="1:6" x14ac:dyDescent="0.25">
      <c r="A16690"/>
      <c r="B16690"/>
      <c r="C16690"/>
      <c r="E16690"/>
      <c r="F16690"/>
    </row>
    <row r="16691" spans="1:6" x14ac:dyDescent="0.25">
      <c r="A16691"/>
      <c r="B16691"/>
      <c r="C16691"/>
      <c r="E16691"/>
      <c r="F16691"/>
    </row>
    <row r="16692" spans="1:6" x14ac:dyDescent="0.25">
      <c r="A16692"/>
      <c r="B16692"/>
      <c r="C16692"/>
      <c r="E16692"/>
      <c r="F16692"/>
    </row>
    <row r="16693" spans="1:6" x14ac:dyDescent="0.25">
      <c r="A16693"/>
      <c r="B16693"/>
      <c r="C16693"/>
      <c r="E16693"/>
      <c r="F16693"/>
    </row>
    <row r="16694" spans="1:6" x14ac:dyDescent="0.25">
      <c r="A16694"/>
      <c r="B16694"/>
      <c r="C16694"/>
      <c r="E16694"/>
      <c r="F16694"/>
    </row>
    <row r="16695" spans="1:6" x14ac:dyDescent="0.25">
      <c r="A16695"/>
      <c r="B16695"/>
      <c r="C16695"/>
      <c r="E16695"/>
      <c r="F16695"/>
    </row>
    <row r="16696" spans="1:6" x14ac:dyDescent="0.25">
      <c r="A16696"/>
      <c r="B16696"/>
      <c r="C16696"/>
      <c r="E16696"/>
      <c r="F16696"/>
    </row>
    <row r="16697" spans="1:6" x14ac:dyDescent="0.25">
      <c r="A16697"/>
      <c r="B16697"/>
      <c r="C16697"/>
      <c r="E16697"/>
      <c r="F16697"/>
    </row>
    <row r="16698" spans="1:6" x14ac:dyDescent="0.25">
      <c r="A16698"/>
      <c r="B16698"/>
      <c r="C16698"/>
      <c r="E16698"/>
      <c r="F16698"/>
    </row>
    <row r="16699" spans="1:6" x14ac:dyDescent="0.25">
      <c r="A16699"/>
      <c r="B16699"/>
      <c r="C16699"/>
      <c r="E16699"/>
      <c r="F16699"/>
    </row>
    <row r="16700" spans="1:6" x14ac:dyDescent="0.25">
      <c r="A16700"/>
      <c r="B16700"/>
      <c r="C16700"/>
      <c r="E16700"/>
      <c r="F16700"/>
    </row>
    <row r="16701" spans="1:6" x14ac:dyDescent="0.25">
      <c r="A16701"/>
      <c r="B16701"/>
      <c r="C16701"/>
      <c r="E16701"/>
      <c r="F16701"/>
    </row>
    <row r="16702" spans="1:6" x14ac:dyDescent="0.25">
      <c r="A16702"/>
      <c r="B16702"/>
      <c r="C16702"/>
      <c r="E16702"/>
      <c r="F16702"/>
    </row>
    <row r="16703" spans="1:6" x14ac:dyDescent="0.25">
      <c r="A16703"/>
      <c r="B16703"/>
      <c r="C16703"/>
      <c r="E16703"/>
      <c r="F16703"/>
    </row>
    <row r="16704" spans="1:6" x14ac:dyDescent="0.25">
      <c r="A16704"/>
      <c r="B16704"/>
      <c r="C16704"/>
      <c r="E16704"/>
      <c r="F16704"/>
    </row>
    <row r="16705" spans="1:6" x14ac:dyDescent="0.25">
      <c r="A16705"/>
      <c r="B16705"/>
      <c r="C16705"/>
      <c r="E16705"/>
      <c r="F16705"/>
    </row>
    <row r="16706" spans="1:6" x14ac:dyDescent="0.25">
      <c r="A16706"/>
      <c r="B16706"/>
      <c r="C16706"/>
      <c r="E16706"/>
      <c r="F16706"/>
    </row>
    <row r="16707" spans="1:6" x14ac:dyDescent="0.25">
      <c r="A16707"/>
      <c r="B16707"/>
      <c r="C16707"/>
      <c r="E16707"/>
      <c r="F16707"/>
    </row>
    <row r="16708" spans="1:6" x14ac:dyDescent="0.25">
      <c r="A16708"/>
      <c r="B16708"/>
      <c r="C16708"/>
      <c r="E16708"/>
      <c r="F16708"/>
    </row>
    <row r="16709" spans="1:6" x14ac:dyDescent="0.25">
      <c r="A16709"/>
      <c r="B16709"/>
      <c r="C16709"/>
      <c r="E16709"/>
      <c r="F16709"/>
    </row>
    <row r="16710" spans="1:6" x14ac:dyDescent="0.25">
      <c r="A16710"/>
      <c r="B16710"/>
      <c r="C16710"/>
      <c r="E16710"/>
      <c r="F16710"/>
    </row>
    <row r="16711" spans="1:6" x14ac:dyDescent="0.25">
      <c r="A16711"/>
      <c r="B16711"/>
      <c r="C16711"/>
      <c r="E16711"/>
      <c r="F16711"/>
    </row>
    <row r="16712" spans="1:6" x14ac:dyDescent="0.25">
      <c r="A16712"/>
      <c r="B16712"/>
      <c r="C16712"/>
      <c r="E16712"/>
      <c r="F16712"/>
    </row>
    <row r="16713" spans="1:6" x14ac:dyDescent="0.25">
      <c r="A16713"/>
      <c r="B16713"/>
      <c r="C16713"/>
      <c r="E16713"/>
      <c r="F16713"/>
    </row>
    <row r="16714" spans="1:6" x14ac:dyDescent="0.25">
      <c r="A16714"/>
      <c r="B16714"/>
      <c r="C16714"/>
      <c r="E16714"/>
      <c r="F16714"/>
    </row>
    <row r="16715" spans="1:6" x14ac:dyDescent="0.25">
      <c r="A16715"/>
      <c r="B16715"/>
      <c r="C16715"/>
      <c r="E16715"/>
      <c r="F16715"/>
    </row>
    <row r="16716" spans="1:6" x14ac:dyDescent="0.25">
      <c r="A16716"/>
      <c r="B16716"/>
      <c r="C16716"/>
      <c r="E16716"/>
      <c r="F16716"/>
    </row>
    <row r="16717" spans="1:6" x14ac:dyDescent="0.25">
      <c r="A16717"/>
      <c r="B16717"/>
      <c r="C16717"/>
      <c r="E16717"/>
      <c r="F16717"/>
    </row>
    <row r="16718" spans="1:6" x14ac:dyDescent="0.25">
      <c r="A16718"/>
      <c r="B16718"/>
      <c r="C16718"/>
      <c r="E16718"/>
      <c r="F16718"/>
    </row>
    <row r="16719" spans="1:6" x14ac:dyDescent="0.25">
      <c r="A16719"/>
      <c r="B16719"/>
      <c r="C16719"/>
      <c r="E16719"/>
      <c r="F16719"/>
    </row>
    <row r="16720" spans="1:6" x14ac:dyDescent="0.25">
      <c r="A16720"/>
      <c r="B16720"/>
      <c r="C16720"/>
      <c r="E16720"/>
      <c r="F16720"/>
    </row>
    <row r="16721" spans="1:6" x14ac:dyDescent="0.25">
      <c r="A16721"/>
      <c r="B16721"/>
      <c r="C16721"/>
      <c r="E16721"/>
      <c r="F16721"/>
    </row>
    <row r="16722" spans="1:6" x14ac:dyDescent="0.25">
      <c r="A16722"/>
      <c r="B16722"/>
      <c r="C16722"/>
      <c r="E16722"/>
      <c r="F16722"/>
    </row>
    <row r="16723" spans="1:6" x14ac:dyDescent="0.25">
      <c r="A16723"/>
      <c r="B16723"/>
      <c r="C16723"/>
      <c r="E16723"/>
      <c r="F16723"/>
    </row>
    <row r="16724" spans="1:6" x14ac:dyDescent="0.25">
      <c r="A16724"/>
      <c r="B16724"/>
      <c r="C16724"/>
      <c r="E16724"/>
      <c r="F16724"/>
    </row>
    <row r="16725" spans="1:6" x14ac:dyDescent="0.25">
      <c r="A16725"/>
      <c r="B16725"/>
      <c r="C16725"/>
      <c r="E16725"/>
      <c r="F16725"/>
    </row>
    <row r="16726" spans="1:6" x14ac:dyDescent="0.25">
      <c r="A16726"/>
      <c r="B16726"/>
      <c r="C16726"/>
      <c r="E16726"/>
      <c r="F16726"/>
    </row>
    <row r="16727" spans="1:6" x14ac:dyDescent="0.25">
      <c r="A16727"/>
      <c r="B16727"/>
      <c r="C16727"/>
      <c r="E16727"/>
      <c r="F16727"/>
    </row>
    <row r="16728" spans="1:6" x14ac:dyDescent="0.25">
      <c r="A16728"/>
      <c r="B16728"/>
      <c r="C16728"/>
      <c r="E16728"/>
      <c r="F16728"/>
    </row>
    <row r="16729" spans="1:6" x14ac:dyDescent="0.25">
      <c r="A16729"/>
      <c r="B16729"/>
      <c r="C16729"/>
      <c r="E16729"/>
      <c r="F16729"/>
    </row>
    <row r="16730" spans="1:6" x14ac:dyDescent="0.25">
      <c r="A16730"/>
      <c r="B16730"/>
      <c r="C16730"/>
      <c r="E16730"/>
      <c r="F16730"/>
    </row>
    <row r="16731" spans="1:6" x14ac:dyDescent="0.25">
      <c r="A16731"/>
      <c r="B16731"/>
      <c r="C16731"/>
      <c r="E16731"/>
      <c r="F16731"/>
    </row>
    <row r="16732" spans="1:6" x14ac:dyDescent="0.25">
      <c r="A16732"/>
      <c r="B16732"/>
      <c r="C16732"/>
      <c r="E16732"/>
      <c r="F16732"/>
    </row>
    <row r="16733" spans="1:6" x14ac:dyDescent="0.25">
      <c r="A16733"/>
      <c r="B16733"/>
      <c r="C16733"/>
      <c r="E16733"/>
      <c r="F16733"/>
    </row>
    <row r="16734" spans="1:6" x14ac:dyDescent="0.25">
      <c r="A16734"/>
      <c r="B16734"/>
      <c r="C16734"/>
      <c r="E16734"/>
      <c r="F16734"/>
    </row>
    <row r="16735" spans="1:6" x14ac:dyDescent="0.25">
      <c r="A16735"/>
      <c r="B16735"/>
      <c r="C16735"/>
      <c r="E16735"/>
      <c r="F16735"/>
    </row>
    <row r="16736" spans="1:6" x14ac:dyDescent="0.25">
      <c r="A16736"/>
      <c r="B16736"/>
      <c r="C16736"/>
      <c r="E16736"/>
      <c r="F16736"/>
    </row>
    <row r="16737" spans="1:6" x14ac:dyDescent="0.25">
      <c r="A16737"/>
      <c r="B16737"/>
      <c r="C16737"/>
      <c r="E16737"/>
      <c r="F16737"/>
    </row>
    <row r="16738" spans="1:6" x14ac:dyDescent="0.25">
      <c r="A16738"/>
      <c r="B16738"/>
      <c r="C16738"/>
      <c r="E16738"/>
      <c r="F16738"/>
    </row>
    <row r="16739" spans="1:6" x14ac:dyDescent="0.25">
      <c r="A16739"/>
      <c r="B16739"/>
      <c r="C16739"/>
      <c r="E16739"/>
      <c r="F16739"/>
    </row>
    <row r="16740" spans="1:6" x14ac:dyDescent="0.25">
      <c r="A16740"/>
      <c r="B16740"/>
      <c r="C16740"/>
      <c r="E16740"/>
      <c r="F16740"/>
    </row>
    <row r="16741" spans="1:6" x14ac:dyDescent="0.25">
      <c r="A16741"/>
      <c r="B16741"/>
      <c r="C16741"/>
      <c r="E16741"/>
      <c r="F16741"/>
    </row>
    <row r="16742" spans="1:6" x14ac:dyDescent="0.25">
      <c r="A16742"/>
      <c r="B16742"/>
      <c r="C16742"/>
      <c r="E16742"/>
      <c r="F16742"/>
    </row>
    <row r="16743" spans="1:6" x14ac:dyDescent="0.25">
      <c r="A16743"/>
      <c r="B16743"/>
      <c r="C16743"/>
      <c r="E16743"/>
      <c r="F16743"/>
    </row>
    <row r="16744" spans="1:6" x14ac:dyDescent="0.25">
      <c r="A16744"/>
      <c r="B16744"/>
      <c r="C16744"/>
      <c r="E16744"/>
      <c r="F16744"/>
    </row>
    <row r="16745" spans="1:6" x14ac:dyDescent="0.25">
      <c r="A16745"/>
      <c r="B16745"/>
      <c r="C16745"/>
      <c r="E16745"/>
      <c r="F16745"/>
    </row>
    <row r="16746" spans="1:6" x14ac:dyDescent="0.25">
      <c r="A16746"/>
      <c r="B16746"/>
      <c r="C16746"/>
      <c r="E16746"/>
      <c r="F16746"/>
    </row>
    <row r="16747" spans="1:6" x14ac:dyDescent="0.25">
      <c r="A16747"/>
      <c r="B16747"/>
      <c r="C16747"/>
      <c r="E16747"/>
      <c r="F16747"/>
    </row>
    <row r="16748" spans="1:6" x14ac:dyDescent="0.25">
      <c r="A16748"/>
      <c r="B16748"/>
      <c r="C16748"/>
      <c r="E16748"/>
      <c r="F16748"/>
    </row>
    <row r="16749" spans="1:6" x14ac:dyDescent="0.25">
      <c r="A16749"/>
      <c r="B16749"/>
      <c r="C16749"/>
      <c r="E16749"/>
      <c r="F16749"/>
    </row>
    <row r="16750" spans="1:6" x14ac:dyDescent="0.25">
      <c r="A16750"/>
      <c r="B16750"/>
      <c r="C16750"/>
      <c r="E16750"/>
      <c r="F16750"/>
    </row>
    <row r="16751" spans="1:6" x14ac:dyDescent="0.25">
      <c r="A16751"/>
      <c r="B16751"/>
      <c r="C16751"/>
      <c r="E16751"/>
      <c r="F16751"/>
    </row>
    <row r="16752" spans="1:6" x14ac:dyDescent="0.25">
      <c r="A16752"/>
      <c r="B16752"/>
      <c r="C16752"/>
      <c r="E16752"/>
      <c r="F16752"/>
    </row>
    <row r="16753" spans="1:6" x14ac:dyDescent="0.25">
      <c r="A16753"/>
      <c r="B16753"/>
      <c r="C16753"/>
      <c r="E16753"/>
      <c r="F16753"/>
    </row>
    <row r="16754" spans="1:6" x14ac:dyDescent="0.25">
      <c r="A16754"/>
      <c r="B16754"/>
      <c r="C16754"/>
      <c r="E16754"/>
      <c r="F16754"/>
    </row>
    <row r="16755" spans="1:6" x14ac:dyDescent="0.25">
      <c r="A16755"/>
      <c r="B16755"/>
      <c r="C16755"/>
      <c r="E16755"/>
      <c r="F16755"/>
    </row>
    <row r="16756" spans="1:6" x14ac:dyDescent="0.25">
      <c r="A16756"/>
      <c r="B16756"/>
      <c r="C16756"/>
      <c r="E16756"/>
      <c r="F16756"/>
    </row>
    <row r="16757" spans="1:6" x14ac:dyDescent="0.25">
      <c r="A16757"/>
      <c r="B16757"/>
      <c r="C16757"/>
      <c r="E16757"/>
      <c r="F16757"/>
    </row>
    <row r="16758" spans="1:6" x14ac:dyDescent="0.25">
      <c r="A16758"/>
      <c r="B16758"/>
      <c r="C16758"/>
      <c r="E16758"/>
      <c r="F16758"/>
    </row>
    <row r="16759" spans="1:6" x14ac:dyDescent="0.25">
      <c r="A16759"/>
      <c r="B16759"/>
      <c r="C16759"/>
      <c r="E16759"/>
      <c r="F16759"/>
    </row>
    <row r="16760" spans="1:6" x14ac:dyDescent="0.25">
      <c r="A16760"/>
      <c r="B16760"/>
      <c r="C16760"/>
      <c r="E16760"/>
      <c r="F16760"/>
    </row>
    <row r="16761" spans="1:6" x14ac:dyDescent="0.25">
      <c r="A16761"/>
      <c r="B16761"/>
      <c r="C16761"/>
      <c r="E16761"/>
      <c r="F16761"/>
    </row>
    <row r="16762" spans="1:6" x14ac:dyDescent="0.25">
      <c r="A16762"/>
      <c r="B16762"/>
      <c r="C16762"/>
      <c r="E16762"/>
      <c r="F16762"/>
    </row>
    <row r="16763" spans="1:6" x14ac:dyDescent="0.25">
      <c r="A16763"/>
      <c r="B16763"/>
      <c r="C16763"/>
      <c r="E16763"/>
      <c r="F16763"/>
    </row>
    <row r="16764" spans="1:6" x14ac:dyDescent="0.25">
      <c r="A16764"/>
      <c r="B16764"/>
      <c r="C16764"/>
      <c r="E16764"/>
      <c r="F16764"/>
    </row>
    <row r="16765" spans="1:6" x14ac:dyDescent="0.25">
      <c r="A16765"/>
      <c r="B16765"/>
      <c r="C16765"/>
      <c r="E16765"/>
      <c r="F16765"/>
    </row>
    <row r="16766" spans="1:6" x14ac:dyDescent="0.25">
      <c r="A16766"/>
      <c r="B16766"/>
      <c r="C16766"/>
      <c r="E16766"/>
      <c r="F16766"/>
    </row>
    <row r="16767" spans="1:6" x14ac:dyDescent="0.25">
      <c r="A16767"/>
      <c r="B16767"/>
      <c r="C16767"/>
      <c r="E16767"/>
      <c r="F16767"/>
    </row>
    <row r="16768" spans="1:6" x14ac:dyDescent="0.25">
      <c r="A16768"/>
      <c r="B16768"/>
      <c r="C16768"/>
      <c r="E16768"/>
      <c r="F16768"/>
    </row>
    <row r="16769" spans="1:6" x14ac:dyDescent="0.25">
      <c r="A16769"/>
      <c r="B16769"/>
      <c r="C16769"/>
      <c r="E16769"/>
      <c r="F16769"/>
    </row>
    <row r="16770" spans="1:6" x14ac:dyDescent="0.25">
      <c r="A16770"/>
      <c r="B16770"/>
      <c r="C16770"/>
      <c r="E16770"/>
      <c r="F16770"/>
    </row>
    <row r="16771" spans="1:6" x14ac:dyDescent="0.25">
      <c r="A16771"/>
      <c r="B16771"/>
      <c r="C16771"/>
      <c r="E16771"/>
      <c r="F16771"/>
    </row>
    <row r="16772" spans="1:6" x14ac:dyDescent="0.25">
      <c r="A16772"/>
      <c r="B16772"/>
      <c r="C16772"/>
      <c r="E16772"/>
      <c r="F16772"/>
    </row>
    <row r="16773" spans="1:6" x14ac:dyDescent="0.25">
      <c r="A16773"/>
      <c r="B16773"/>
      <c r="C16773"/>
      <c r="E16773"/>
      <c r="F16773"/>
    </row>
    <row r="16774" spans="1:6" x14ac:dyDescent="0.25">
      <c r="A16774"/>
      <c r="B16774"/>
      <c r="C16774"/>
      <c r="E16774"/>
      <c r="F16774"/>
    </row>
    <row r="16775" spans="1:6" x14ac:dyDescent="0.25">
      <c r="A16775"/>
      <c r="B16775"/>
      <c r="C16775"/>
      <c r="E16775"/>
      <c r="F16775"/>
    </row>
    <row r="16776" spans="1:6" x14ac:dyDescent="0.25">
      <c r="A16776"/>
      <c r="B16776"/>
      <c r="C16776"/>
      <c r="E16776"/>
      <c r="F16776"/>
    </row>
    <row r="16777" spans="1:6" x14ac:dyDescent="0.25">
      <c r="A16777"/>
      <c r="B16777"/>
      <c r="C16777"/>
      <c r="E16777"/>
      <c r="F16777"/>
    </row>
    <row r="16778" spans="1:6" x14ac:dyDescent="0.25">
      <c r="A16778"/>
      <c r="B16778"/>
      <c r="C16778"/>
      <c r="E16778"/>
      <c r="F16778"/>
    </row>
    <row r="16779" spans="1:6" x14ac:dyDescent="0.25">
      <c r="A16779"/>
      <c r="B16779"/>
      <c r="C16779"/>
      <c r="E16779"/>
      <c r="F16779"/>
    </row>
    <row r="16780" spans="1:6" x14ac:dyDescent="0.25">
      <c r="A16780"/>
      <c r="B16780"/>
      <c r="C16780"/>
      <c r="E16780"/>
      <c r="F16780"/>
    </row>
    <row r="16781" spans="1:6" x14ac:dyDescent="0.25">
      <c r="A16781"/>
      <c r="B16781"/>
      <c r="C16781"/>
      <c r="E16781"/>
      <c r="F16781"/>
    </row>
    <row r="16782" spans="1:6" x14ac:dyDescent="0.25">
      <c r="A16782"/>
      <c r="B16782"/>
      <c r="C16782"/>
      <c r="E16782"/>
      <c r="F16782"/>
    </row>
    <row r="16783" spans="1:6" x14ac:dyDescent="0.25">
      <c r="A16783"/>
      <c r="B16783"/>
      <c r="C16783"/>
      <c r="E16783"/>
      <c r="F16783"/>
    </row>
    <row r="16784" spans="1:6" x14ac:dyDescent="0.25">
      <c r="A16784"/>
      <c r="B16784"/>
      <c r="C16784"/>
      <c r="E16784"/>
      <c r="F16784"/>
    </row>
    <row r="16785" spans="1:6" x14ac:dyDescent="0.25">
      <c r="A16785"/>
      <c r="B16785"/>
      <c r="C16785"/>
      <c r="E16785"/>
      <c r="F16785"/>
    </row>
    <row r="16786" spans="1:6" x14ac:dyDescent="0.25">
      <c r="A16786"/>
      <c r="B16786"/>
      <c r="C16786"/>
      <c r="E16786"/>
      <c r="F16786"/>
    </row>
    <row r="16787" spans="1:6" x14ac:dyDescent="0.25">
      <c r="A16787"/>
      <c r="B16787"/>
      <c r="C16787"/>
      <c r="E16787"/>
      <c r="F16787"/>
    </row>
    <row r="16788" spans="1:6" x14ac:dyDescent="0.25">
      <c r="A16788"/>
      <c r="B16788"/>
      <c r="C16788"/>
      <c r="E16788"/>
      <c r="F16788"/>
    </row>
    <row r="16789" spans="1:6" x14ac:dyDescent="0.25">
      <c r="A16789"/>
      <c r="B16789"/>
      <c r="C16789"/>
      <c r="E16789"/>
      <c r="F16789"/>
    </row>
    <row r="16790" spans="1:6" x14ac:dyDescent="0.25">
      <c r="A16790"/>
      <c r="B16790"/>
      <c r="C16790"/>
      <c r="E16790"/>
      <c r="F16790"/>
    </row>
    <row r="16791" spans="1:6" x14ac:dyDescent="0.25">
      <c r="A16791"/>
      <c r="B16791"/>
      <c r="C16791"/>
      <c r="E16791"/>
      <c r="F16791"/>
    </row>
    <row r="16792" spans="1:6" x14ac:dyDescent="0.25">
      <c r="A16792"/>
      <c r="B16792"/>
      <c r="C16792"/>
      <c r="E16792"/>
      <c r="F16792"/>
    </row>
    <row r="16793" spans="1:6" x14ac:dyDescent="0.25">
      <c r="A16793"/>
      <c r="B16793"/>
      <c r="C16793"/>
      <c r="E16793"/>
      <c r="F16793"/>
    </row>
    <row r="16794" spans="1:6" x14ac:dyDescent="0.25">
      <c r="A16794"/>
      <c r="B16794"/>
      <c r="C16794"/>
      <c r="E16794"/>
      <c r="F16794"/>
    </row>
    <row r="16795" spans="1:6" x14ac:dyDescent="0.25">
      <c r="A16795"/>
      <c r="B16795"/>
      <c r="C16795"/>
      <c r="E16795"/>
      <c r="F16795"/>
    </row>
    <row r="16796" spans="1:6" x14ac:dyDescent="0.25">
      <c r="A16796"/>
      <c r="B16796"/>
      <c r="C16796"/>
      <c r="E16796"/>
      <c r="F16796"/>
    </row>
    <row r="16797" spans="1:6" x14ac:dyDescent="0.25">
      <c r="A16797"/>
      <c r="B16797"/>
      <c r="C16797"/>
      <c r="E16797"/>
      <c r="F16797"/>
    </row>
    <row r="16798" spans="1:6" x14ac:dyDescent="0.25">
      <c r="A16798"/>
      <c r="B16798"/>
      <c r="C16798"/>
      <c r="E16798"/>
      <c r="F16798"/>
    </row>
    <row r="16799" spans="1:6" x14ac:dyDescent="0.25">
      <c r="A16799"/>
      <c r="B16799"/>
      <c r="C16799"/>
      <c r="E16799"/>
      <c r="F16799"/>
    </row>
    <row r="16800" spans="1:6" x14ac:dyDescent="0.25">
      <c r="A16800"/>
      <c r="B16800"/>
      <c r="C16800"/>
      <c r="E16800"/>
      <c r="F16800"/>
    </row>
    <row r="16801" spans="1:6" x14ac:dyDescent="0.25">
      <c r="A16801"/>
      <c r="B16801"/>
      <c r="C16801"/>
      <c r="E16801"/>
      <c r="F16801"/>
    </row>
    <row r="16802" spans="1:6" x14ac:dyDescent="0.25">
      <c r="A16802"/>
      <c r="B16802"/>
      <c r="C16802"/>
      <c r="E16802"/>
      <c r="F16802"/>
    </row>
    <row r="16803" spans="1:6" x14ac:dyDescent="0.25">
      <c r="A16803"/>
      <c r="B16803"/>
      <c r="C16803"/>
      <c r="E16803"/>
      <c r="F16803"/>
    </row>
    <row r="16804" spans="1:6" x14ac:dyDescent="0.25">
      <c r="A16804"/>
      <c r="B16804"/>
      <c r="C16804"/>
      <c r="E16804"/>
      <c r="F16804"/>
    </row>
    <row r="16805" spans="1:6" x14ac:dyDescent="0.25">
      <c r="A16805"/>
      <c r="B16805"/>
      <c r="C16805"/>
      <c r="E16805"/>
      <c r="F16805"/>
    </row>
    <row r="16806" spans="1:6" x14ac:dyDescent="0.25">
      <c r="A16806"/>
      <c r="B16806"/>
      <c r="C16806"/>
      <c r="E16806"/>
      <c r="F16806"/>
    </row>
    <row r="16807" spans="1:6" x14ac:dyDescent="0.25">
      <c r="A16807"/>
      <c r="B16807"/>
      <c r="C16807"/>
      <c r="E16807"/>
      <c r="F16807"/>
    </row>
    <row r="16808" spans="1:6" x14ac:dyDescent="0.25">
      <c r="A16808"/>
      <c r="B16808"/>
      <c r="C16808"/>
      <c r="E16808"/>
      <c r="F16808"/>
    </row>
    <row r="16809" spans="1:6" x14ac:dyDescent="0.25">
      <c r="A16809"/>
      <c r="B16809"/>
      <c r="C16809"/>
      <c r="E16809"/>
      <c r="F16809"/>
    </row>
    <row r="16810" spans="1:6" x14ac:dyDescent="0.25">
      <c r="A16810"/>
      <c r="B16810"/>
      <c r="C16810"/>
      <c r="E16810"/>
      <c r="F16810"/>
    </row>
    <row r="16811" spans="1:6" x14ac:dyDescent="0.25">
      <c r="A16811"/>
      <c r="B16811"/>
      <c r="C16811"/>
      <c r="E16811"/>
      <c r="F16811"/>
    </row>
    <row r="16812" spans="1:6" x14ac:dyDescent="0.25">
      <c r="A16812"/>
      <c r="B16812"/>
      <c r="C16812"/>
      <c r="E16812"/>
      <c r="F16812"/>
    </row>
    <row r="16813" spans="1:6" x14ac:dyDescent="0.25">
      <c r="A16813"/>
      <c r="B16813"/>
      <c r="C16813"/>
      <c r="E16813"/>
      <c r="F16813"/>
    </row>
    <row r="16814" spans="1:6" x14ac:dyDescent="0.25">
      <c r="A16814"/>
      <c r="B16814"/>
      <c r="C16814"/>
      <c r="E16814"/>
      <c r="F16814"/>
    </row>
    <row r="16815" spans="1:6" x14ac:dyDescent="0.25">
      <c r="A16815"/>
      <c r="B16815"/>
      <c r="C16815"/>
      <c r="E16815"/>
      <c r="F16815"/>
    </row>
    <row r="16816" spans="1:6" x14ac:dyDescent="0.25">
      <c r="A16816"/>
      <c r="B16816"/>
      <c r="C16816"/>
      <c r="E16816"/>
      <c r="F16816"/>
    </row>
    <row r="16817" spans="1:6" x14ac:dyDescent="0.25">
      <c r="A16817"/>
      <c r="B16817"/>
      <c r="C16817"/>
      <c r="E16817"/>
      <c r="F16817"/>
    </row>
    <row r="16818" spans="1:6" x14ac:dyDescent="0.25">
      <c r="A16818"/>
      <c r="B16818"/>
      <c r="C16818"/>
      <c r="E16818"/>
      <c r="F16818"/>
    </row>
    <row r="16819" spans="1:6" x14ac:dyDescent="0.25">
      <c r="A16819"/>
      <c r="B16819"/>
      <c r="C16819"/>
      <c r="E16819"/>
      <c r="F16819"/>
    </row>
    <row r="16820" spans="1:6" x14ac:dyDescent="0.25">
      <c r="A16820"/>
      <c r="B16820"/>
      <c r="C16820"/>
      <c r="E16820"/>
      <c r="F16820"/>
    </row>
    <row r="16821" spans="1:6" x14ac:dyDescent="0.25">
      <c r="A16821"/>
      <c r="B16821"/>
      <c r="C16821"/>
      <c r="E16821"/>
      <c r="F16821"/>
    </row>
    <row r="16822" spans="1:6" x14ac:dyDescent="0.25">
      <c r="A16822"/>
      <c r="B16822"/>
      <c r="C16822"/>
      <c r="E16822"/>
      <c r="F16822"/>
    </row>
    <row r="16823" spans="1:6" x14ac:dyDescent="0.25">
      <c r="A16823"/>
      <c r="B16823"/>
      <c r="C16823"/>
      <c r="E16823"/>
      <c r="F16823"/>
    </row>
    <row r="16824" spans="1:6" x14ac:dyDescent="0.25">
      <c r="A16824"/>
      <c r="B16824"/>
      <c r="C16824"/>
      <c r="E16824"/>
      <c r="F16824"/>
    </row>
    <row r="16825" spans="1:6" x14ac:dyDescent="0.25">
      <c r="A16825"/>
      <c r="B16825"/>
      <c r="C16825"/>
      <c r="E16825"/>
      <c r="F16825"/>
    </row>
    <row r="16826" spans="1:6" x14ac:dyDescent="0.25">
      <c r="A16826"/>
      <c r="B16826"/>
      <c r="C16826"/>
      <c r="E16826"/>
      <c r="F16826"/>
    </row>
    <row r="16827" spans="1:6" x14ac:dyDescent="0.25">
      <c r="A16827"/>
      <c r="B16827"/>
      <c r="C16827"/>
      <c r="E16827"/>
      <c r="F16827"/>
    </row>
    <row r="16828" spans="1:6" x14ac:dyDescent="0.25">
      <c r="A16828"/>
      <c r="B16828"/>
      <c r="C16828"/>
      <c r="E16828"/>
      <c r="F16828"/>
    </row>
    <row r="16829" spans="1:6" x14ac:dyDescent="0.25">
      <c r="A16829"/>
      <c r="B16829"/>
      <c r="C16829"/>
      <c r="E16829"/>
      <c r="F16829"/>
    </row>
    <row r="16830" spans="1:6" x14ac:dyDescent="0.25">
      <c r="A16830"/>
      <c r="B16830"/>
      <c r="C16830"/>
      <c r="E16830"/>
      <c r="F16830"/>
    </row>
    <row r="16831" spans="1:6" x14ac:dyDescent="0.25">
      <c r="A16831"/>
      <c r="B16831"/>
      <c r="C16831"/>
      <c r="E16831"/>
      <c r="F16831"/>
    </row>
    <row r="16832" spans="1:6" x14ac:dyDescent="0.25">
      <c r="A16832"/>
      <c r="B16832"/>
      <c r="C16832"/>
      <c r="E16832"/>
      <c r="F16832"/>
    </row>
    <row r="16833" spans="1:6" x14ac:dyDescent="0.25">
      <c r="A16833"/>
      <c r="B16833"/>
      <c r="C16833"/>
      <c r="E16833"/>
      <c r="F16833"/>
    </row>
    <row r="16834" spans="1:6" x14ac:dyDescent="0.25">
      <c r="A16834"/>
      <c r="B16834"/>
      <c r="C16834"/>
      <c r="E16834"/>
      <c r="F16834"/>
    </row>
    <row r="16835" spans="1:6" x14ac:dyDescent="0.25">
      <c r="A16835"/>
      <c r="B16835"/>
      <c r="C16835"/>
      <c r="E16835"/>
      <c r="F16835"/>
    </row>
    <row r="16836" spans="1:6" x14ac:dyDescent="0.25">
      <c r="A16836"/>
      <c r="B16836"/>
      <c r="C16836"/>
      <c r="E16836"/>
      <c r="F16836"/>
    </row>
    <row r="16837" spans="1:6" x14ac:dyDescent="0.25">
      <c r="A16837"/>
      <c r="B16837"/>
      <c r="C16837"/>
      <c r="E16837"/>
      <c r="F16837"/>
    </row>
    <row r="16838" spans="1:6" x14ac:dyDescent="0.25">
      <c r="A16838"/>
      <c r="B16838"/>
      <c r="C16838"/>
      <c r="E16838"/>
      <c r="F16838"/>
    </row>
    <row r="16839" spans="1:6" x14ac:dyDescent="0.25">
      <c r="A16839"/>
      <c r="B16839"/>
      <c r="C16839"/>
      <c r="E16839"/>
      <c r="F16839"/>
    </row>
    <row r="16840" spans="1:6" x14ac:dyDescent="0.25">
      <c r="A16840"/>
      <c r="B16840"/>
      <c r="C16840"/>
      <c r="E16840"/>
      <c r="F16840"/>
    </row>
    <row r="16841" spans="1:6" x14ac:dyDescent="0.25">
      <c r="A16841"/>
      <c r="B16841"/>
      <c r="C16841"/>
      <c r="E16841"/>
      <c r="F16841"/>
    </row>
    <row r="16842" spans="1:6" x14ac:dyDescent="0.25">
      <c r="A16842"/>
      <c r="B16842"/>
      <c r="C16842"/>
      <c r="E16842"/>
      <c r="F16842"/>
    </row>
    <row r="16843" spans="1:6" x14ac:dyDescent="0.25">
      <c r="A16843"/>
      <c r="B16843"/>
      <c r="C16843"/>
      <c r="E16843"/>
      <c r="F16843"/>
    </row>
    <row r="16844" spans="1:6" x14ac:dyDescent="0.25">
      <c r="A16844"/>
      <c r="B16844"/>
      <c r="C16844"/>
      <c r="E16844"/>
      <c r="F16844"/>
    </row>
    <row r="16845" spans="1:6" x14ac:dyDescent="0.25">
      <c r="A16845"/>
      <c r="B16845"/>
      <c r="C16845"/>
      <c r="E16845"/>
      <c r="F16845"/>
    </row>
    <row r="16846" spans="1:6" x14ac:dyDescent="0.25">
      <c r="A16846"/>
      <c r="B16846"/>
      <c r="C16846"/>
      <c r="E16846"/>
      <c r="F16846"/>
    </row>
    <row r="16847" spans="1:6" x14ac:dyDescent="0.25">
      <c r="A16847"/>
      <c r="B16847"/>
      <c r="C16847"/>
      <c r="E16847"/>
      <c r="F16847"/>
    </row>
    <row r="16848" spans="1:6" x14ac:dyDescent="0.25">
      <c r="A16848"/>
      <c r="B16848"/>
      <c r="C16848"/>
      <c r="E16848"/>
      <c r="F16848"/>
    </row>
    <row r="16849" spans="1:6" x14ac:dyDescent="0.25">
      <c r="A16849"/>
      <c r="B16849"/>
      <c r="C16849"/>
      <c r="E16849"/>
      <c r="F16849"/>
    </row>
    <row r="16850" spans="1:6" x14ac:dyDescent="0.25">
      <c r="A16850"/>
      <c r="B16850"/>
      <c r="C16850"/>
      <c r="E16850"/>
      <c r="F16850"/>
    </row>
    <row r="16851" spans="1:6" x14ac:dyDescent="0.25">
      <c r="A16851"/>
      <c r="B16851"/>
      <c r="C16851"/>
      <c r="E16851"/>
      <c r="F16851"/>
    </row>
    <row r="16852" spans="1:6" x14ac:dyDescent="0.25">
      <c r="A16852"/>
      <c r="B16852"/>
      <c r="C16852"/>
      <c r="E16852"/>
      <c r="F16852"/>
    </row>
    <row r="16853" spans="1:6" x14ac:dyDescent="0.25">
      <c r="A16853"/>
      <c r="B16853"/>
      <c r="C16853"/>
      <c r="E16853"/>
      <c r="F16853"/>
    </row>
    <row r="16854" spans="1:6" x14ac:dyDescent="0.25">
      <c r="A16854"/>
      <c r="B16854"/>
      <c r="C16854"/>
      <c r="E16854"/>
      <c r="F16854"/>
    </row>
    <row r="16855" spans="1:6" x14ac:dyDescent="0.25">
      <c r="A16855"/>
      <c r="B16855"/>
      <c r="C16855"/>
      <c r="E16855"/>
      <c r="F16855"/>
    </row>
    <row r="16856" spans="1:6" x14ac:dyDescent="0.25">
      <c r="A16856"/>
      <c r="B16856"/>
      <c r="C16856"/>
      <c r="E16856"/>
      <c r="F16856"/>
    </row>
    <row r="16857" spans="1:6" x14ac:dyDescent="0.25">
      <c r="A16857"/>
      <c r="B16857"/>
      <c r="C16857"/>
      <c r="E16857"/>
      <c r="F16857"/>
    </row>
    <row r="16858" spans="1:6" x14ac:dyDescent="0.25">
      <c r="A16858"/>
      <c r="B16858"/>
      <c r="C16858"/>
      <c r="E16858"/>
      <c r="F16858"/>
    </row>
    <row r="16859" spans="1:6" x14ac:dyDescent="0.25">
      <c r="A16859"/>
      <c r="B16859"/>
      <c r="C16859"/>
      <c r="E16859"/>
      <c r="F16859"/>
    </row>
    <row r="16860" spans="1:6" x14ac:dyDescent="0.25">
      <c r="A16860"/>
      <c r="B16860"/>
      <c r="C16860"/>
      <c r="E16860"/>
      <c r="F16860"/>
    </row>
    <row r="16861" spans="1:6" x14ac:dyDescent="0.25">
      <c r="A16861"/>
      <c r="B16861"/>
      <c r="C16861"/>
      <c r="E16861"/>
      <c r="F16861"/>
    </row>
    <row r="16862" spans="1:6" x14ac:dyDescent="0.25">
      <c r="A16862"/>
      <c r="B16862"/>
      <c r="C16862"/>
      <c r="E16862"/>
      <c r="F16862"/>
    </row>
    <row r="16863" spans="1:6" x14ac:dyDescent="0.25">
      <c r="A16863"/>
      <c r="B16863"/>
      <c r="C16863"/>
      <c r="E16863"/>
      <c r="F16863"/>
    </row>
    <row r="16864" spans="1:6" x14ac:dyDescent="0.25">
      <c r="A16864"/>
      <c r="B16864"/>
      <c r="C16864"/>
      <c r="E16864"/>
      <c r="F16864"/>
    </row>
    <row r="16865" spans="1:6" x14ac:dyDescent="0.25">
      <c r="A16865"/>
      <c r="B16865"/>
      <c r="C16865"/>
      <c r="E16865"/>
      <c r="F16865"/>
    </row>
    <row r="16866" spans="1:6" x14ac:dyDescent="0.25">
      <c r="A16866"/>
      <c r="B16866"/>
      <c r="C16866"/>
      <c r="E16866"/>
      <c r="F16866"/>
    </row>
    <row r="16867" spans="1:6" x14ac:dyDescent="0.25">
      <c r="A16867"/>
      <c r="B16867"/>
      <c r="C16867"/>
      <c r="E16867"/>
      <c r="F16867"/>
    </row>
    <row r="16868" spans="1:6" x14ac:dyDescent="0.25">
      <c r="A16868"/>
      <c r="B16868"/>
      <c r="C16868"/>
      <c r="E16868"/>
      <c r="F16868"/>
    </row>
    <row r="16869" spans="1:6" x14ac:dyDescent="0.25">
      <c r="A16869"/>
      <c r="B16869"/>
      <c r="C16869"/>
      <c r="E16869"/>
      <c r="F16869"/>
    </row>
    <row r="16870" spans="1:6" x14ac:dyDescent="0.25">
      <c r="A16870"/>
      <c r="B16870"/>
      <c r="C16870"/>
      <c r="E16870"/>
      <c r="F16870"/>
    </row>
    <row r="16871" spans="1:6" x14ac:dyDescent="0.25">
      <c r="A16871"/>
      <c r="B16871"/>
      <c r="C16871"/>
      <c r="E16871"/>
      <c r="F16871"/>
    </row>
    <row r="16872" spans="1:6" x14ac:dyDescent="0.25">
      <c r="A16872"/>
      <c r="B16872"/>
      <c r="C16872"/>
      <c r="E16872"/>
      <c r="F16872"/>
    </row>
    <row r="16873" spans="1:6" x14ac:dyDescent="0.25">
      <c r="A16873"/>
      <c r="B16873"/>
      <c r="C16873"/>
      <c r="E16873"/>
      <c r="F16873"/>
    </row>
    <row r="16874" spans="1:6" x14ac:dyDescent="0.25">
      <c r="A16874"/>
      <c r="B16874"/>
      <c r="C16874"/>
      <c r="E16874"/>
      <c r="F16874"/>
    </row>
    <row r="16875" spans="1:6" x14ac:dyDescent="0.25">
      <c r="A16875"/>
      <c r="B16875"/>
      <c r="C16875"/>
      <c r="E16875"/>
      <c r="F16875"/>
    </row>
    <row r="16876" spans="1:6" x14ac:dyDescent="0.25">
      <c r="A16876"/>
      <c r="B16876"/>
      <c r="C16876"/>
      <c r="E16876"/>
      <c r="F16876"/>
    </row>
    <row r="16877" spans="1:6" x14ac:dyDescent="0.25">
      <c r="A16877"/>
      <c r="B16877"/>
      <c r="C16877"/>
      <c r="E16877"/>
      <c r="F16877"/>
    </row>
    <row r="16878" spans="1:6" x14ac:dyDescent="0.25">
      <c r="A16878"/>
      <c r="B16878"/>
      <c r="C16878"/>
      <c r="E16878"/>
      <c r="F16878"/>
    </row>
    <row r="16879" spans="1:6" x14ac:dyDescent="0.25">
      <c r="A16879"/>
      <c r="B16879"/>
      <c r="C16879"/>
      <c r="E16879"/>
      <c r="F16879"/>
    </row>
    <row r="16880" spans="1:6" x14ac:dyDescent="0.25">
      <c r="A16880"/>
      <c r="B16880"/>
      <c r="C16880"/>
      <c r="E16880"/>
      <c r="F16880"/>
    </row>
    <row r="16881" spans="1:6" x14ac:dyDescent="0.25">
      <c r="A16881"/>
      <c r="B16881"/>
      <c r="C16881"/>
      <c r="E16881"/>
      <c r="F16881"/>
    </row>
    <row r="16882" spans="1:6" x14ac:dyDescent="0.25">
      <c r="A16882"/>
      <c r="B16882"/>
      <c r="C16882"/>
      <c r="E16882"/>
      <c r="F16882"/>
    </row>
    <row r="16883" spans="1:6" x14ac:dyDescent="0.25">
      <c r="A16883"/>
      <c r="B16883"/>
      <c r="C16883"/>
      <c r="E16883"/>
      <c r="F16883"/>
    </row>
    <row r="16884" spans="1:6" x14ac:dyDescent="0.25">
      <c r="A16884"/>
      <c r="B16884"/>
      <c r="C16884"/>
      <c r="E16884"/>
      <c r="F16884"/>
    </row>
    <row r="16885" spans="1:6" x14ac:dyDescent="0.25">
      <c r="A16885"/>
      <c r="B16885"/>
      <c r="C16885"/>
      <c r="E16885"/>
      <c r="F16885"/>
    </row>
    <row r="16886" spans="1:6" x14ac:dyDescent="0.25">
      <c r="A16886"/>
      <c r="B16886"/>
      <c r="C16886"/>
      <c r="E16886"/>
      <c r="F16886"/>
    </row>
    <row r="16887" spans="1:6" x14ac:dyDescent="0.25">
      <c r="A16887"/>
      <c r="B16887"/>
      <c r="C16887"/>
      <c r="E16887"/>
      <c r="F16887"/>
    </row>
    <row r="16888" spans="1:6" x14ac:dyDescent="0.25">
      <c r="A16888"/>
      <c r="B16888"/>
      <c r="C16888"/>
      <c r="E16888"/>
      <c r="F16888"/>
    </row>
    <row r="16889" spans="1:6" x14ac:dyDescent="0.25">
      <c r="A16889"/>
      <c r="B16889"/>
      <c r="C16889"/>
      <c r="E16889"/>
      <c r="F16889"/>
    </row>
    <row r="16890" spans="1:6" x14ac:dyDescent="0.25">
      <c r="A16890"/>
      <c r="B16890"/>
      <c r="C16890"/>
      <c r="E16890"/>
      <c r="F16890"/>
    </row>
    <row r="16891" spans="1:6" x14ac:dyDescent="0.25">
      <c r="A16891"/>
      <c r="B16891"/>
      <c r="C16891"/>
      <c r="E16891"/>
      <c r="F16891"/>
    </row>
    <row r="16892" spans="1:6" x14ac:dyDescent="0.25">
      <c r="A16892"/>
      <c r="B16892"/>
      <c r="C16892"/>
      <c r="E16892"/>
      <c r="F16892"/>
    </row>
    <row r="16893" spans="1:6" x14ac:dyDescent="0.25">
      <c r="A16893"/>
      <c r="B16893"/>
      <c r="C16893"/>
      <c r="E16893"/>
      <c r="F16893"/>
    </row>
    <row r="16894" spans="1:6" x14ac:dyDescent="0.25">
      <c r="A16894"/>
      <c r="B16894"/>
      <c r="C16894"/>
      <c r="E16894"/>
      <c r="F16894"/>
    </row>
    <row r="16895" spans="1:6" x14ac:dyDescent="0.25">
      <c r="A16895"/>
      <c r="B16895"/>
      <c r="C16895"/>
      <c r="E16895"/>
      <c r="F16895"/>
    </row>
    <row r="16896" spans="1:6" x14ac:dyDescent="0.25">
      <c r="A16896"/>
      <c r="B16896"/>
      <c r="C16896"/>
      <c r="E16896"/>
      <c r="F16896"/>
    </row>
    <row r="16897" spans="1:6" x14ac:dyDescent="0.25">
      <c r="A16897"/>
      <c r="B16897"/>
      <c r="C16897"/>
      <c r="E16897"/>
      <c r="F16897"/>
    </row>
    <row r="16898" spans="1:6" x14ac:dyDescent="0.25">
      <c r="A16898"/>
      <c r="B16898"/>
      <c r="C16898"/>
      <c r="E16898"/>
      <c r="F16898"/>
    </row>
    <row r="16899" spans="1:6" x14ac:dyDescent="0.25">
      <c r="A16899"/>
      <c r="B16899"/>
      <c r="C16899"/>
      <c r="E16899"/>
      <c r="F16899"/>
    </row>
    <row r="16900" spans="1:6" x14ac:dyDescent="0.25">
      <c r="A16900"/>
      <c r="B16900"/>
      <c r="C16900"/>
      <c r="E16900"/>
      <c r="F16900"/>
    </row>
    <row r="16901" spans="1:6" x14ac:dyDescent="0.25">
      <c r="A16901"/>
      <c r="B16901"/>
      <c r="C16901"/>
      <c r="E16901"/>
      <c r="F16901"/>
    </row>
    <row r="16902" spans="1:6" x14ac:dyDescent="0.25">
      <c r="A16902"/>
      <c r="B16902"/>
      <c r="C16902"/>
      <c r="E16902"/>
      <c r="F16902"/>
    </row>
    <row r="16903" spans="1:6" x14ac:dyDescent="0.25">
      <c r="A16903"/>
      <c r="B16903"/>
      <c r="C16903"/>
      <c r="E16903"/>
      <c r="F16903"/>
    </row>
    <row r="16904" spans="1:6" x14ac:dyDescent="0.25">
      <c r="A16904"/>
      <c r="B16904"/>
      <c r="C16904"/>
      <c r="E16904"/>
      <c r="F16904"/>
    </row>
    <row r="16905" spans="1:6" x14ac:dyDescent="0.25">
      <c r="A16905"/>
      <c r="B16905"/>
      <c r="C16905"/>
      <c r="E16905"/>
      <c r="F16905"/>
    </row>
    <row r="16906" spans="1:6" x14ac:dyDescent="0.25">
      <c r="A16906"/>
      <c r="B16906"/>
      <c r="C16906"/>
      <c r="E16906"/>
      <c r="F16906"/>
    </row>
    <row r="16907" spans="1:6" x14ac:dyDescent="0.25">
      <c r="A16907"/>
      <c r="B16907"/>
      <c r="C16907"/>
      <c r="E16907"/>
      <c r="F16907"/>
    </row>
    <row r="16908" spans="1:6" x14ac:dyDescent="0.25">
      <c r="A16908"/>
      <c r="B16908"/>
      <c r="C16908"/>
      <c r="E16908"/>
      <c r="F16908"/>
    </row>
    <row r="16909" spans="1:6" x14ac:dyDescent="0.25">
      <c r="A16909"/>
      <c r="B16909"/>
      <c r="C16909"/>
      <c r="E16909"/>
      <c r="F16909"/>
    </row>
    <row r="16910" spans="1:6" x14ac:dyDescent="0.25">
      <c r="A16910"/>
      <c r="B16910"/>
      <c r="C16910"/>
      <c r="E16910"/>
      <c r="F16910"/>
    </row>
    <row r="16911" spans="1:6" x14ac:dyDescent="0.25">
      <c r="A16911"/>
      <c r="B16911"/>
      <c r="C16911"/>
      <c r="E16911"/>
      <c r="F16911"/>
    </row>
    <row r="16912" spans="1:6" x14ac:dyDescent="0.25">
      <c r="A16912"/>
      <c r="B16912"/>
      <c r="C16912"/>
      <c r="E16912"/>
      <c r="F16912"/>
    </row>
    <row r="16913" spans="1:6" x14ac:dyDescent="0.25">
      <c r="A16913"/>
      <c r="B16913"/>
      <c r="C16913"/>
      <c r="E16913"/>
      <c r="F16913"/>
    </row>
    <row r="16914" spans="1:6" x14ac:dyDescent="0.25">
      <c r="A16914"/>
      <c r="B16914"/>
      <c r="C16914"/>
      <c r="E16914"/>
      <c r="F16914"/>
    </row>
    <row r="16915" spans="1:6" x14ac:dyDescent="0.25">
      <c r="A16915"/>
      <c r="B16915"/>
      <c r="C16915"/>
      <c r="E16915"/>
      <c r="F16915"/>
    </row>
    <row r="16916" spans="1:6" x14ac:dyDescent="0.25">
      <c r="A16916"/>
      <c r="B16916"/>
      <c r="C16916"/>
      <c r="E16916"/>
      <c r="F16916"/>
    </row>
    <row r="16917" spans="1:6" x14ac:dyDescent="0.25">
      <c r="A16917"/>
      <c r="B16917"/>
      <c r="C16917"/>
      <c r="E16917"/>
      <c r="F16917"/>
    </row>
    <row r="16918" spans="1:6" x14ac:dyDescent="0.25">
      <c r="A16918"/>
      <c r="B16918"/>
      <c r="C16918"/>
      <c r="E16918"/>
      <c r="F16918"/>
    </row>
    <row r="16919" spans="1:6" x14ac:dyDescent="0.25">
      <c r="A16919"/>
      <c r="B16919"/>
      <c r="C16919"/>
      <c r="E16919"/>
      <c r="F16919"/>
    </row>
    <row r="16920" spans="1:6" x14ac:dyDescent="0.25">
      <c r="A16920"/>
      <c r="B16920"/>
      <c r="C16920"/>
      <c r="E16920"/>
      <c r="F16920"/>
    </row>
    <row r="16921" spans="1:6" x14ac:dyDescent="0.25">
      <c r="A16921"/>
      <c r="B16921"/>
      <c r="C16921"/>
      <c r="E16921"/>
      <c r="F16921"/>
    </row>
    <row r="16922" spans="1:6" x14ac:dyDescent="0.25">
      <c r="A16922"/>
      <c r="B16922"/>
      <c r="C16922"/>
      <c r="E16922"/>
      <c r="F16922"/>
    </row>
    <row r="16923" spans="1:6" x14ac:dyDescent="0.25">
      <c r="A16923"/>
      <c r="B16923"/>
      <c r="C16923"/>
      <c r="E16923"/>
      <c r="F16923"/>
    </row>
    <row r="16924" spans="1:6" x14ac:dyDescent="0.25">
      <c r="A16924"/>
      <c r="B16924"/>
      <c r="C16924"/>
      <c r="E16924"/>
      <c r="F16924"/>
    </row>
    <row r="16925" spans="1:6" x14ac:dyDescent="0.25">
      <c r="A16925"/>
      <c r="B16925"/>
      <c r="C16925"/>
      <c r="E16925"/>
      <c r="F16925"/>
    </row>
    <row r="16926" spans="1:6" x14ac:dyDescent="0.25">
      <c r="A16926"/>
      <c r="B16926"/>
      <c r="C16926"/>
      <c r="E16926"/>
      <c r="F16926"/>
    </row>
    <row r="16927" spans="1:6" x14ac:dyDescent="0.25">
      <c r="A16927"/>
      <c r="B16927"/>
      <c r="C16927"/>
      <c r="E16927"/>
      <c r="F16927"/>
    </row>
    <row r="16928" spans="1:6" x14ac:dyDescent="0.25">
      <c r="A16928"/>
      <c r="B16928"/>
      <c r="C16928"/>
      <c r="E16928"/>
      <c r="F16928"/>
    </row>
    <row r="16929" spans="1:6" x14ac:dyDescent="0.25">
      <c r="A16929"/>
      <c r="B16929"/>
      <c r="C16929"/>
      <c r="E16929"/>
      <c r="F16929"/>
    </row>
    <row r="16930" spans="1:6" x14ac:dyDescent="0.25">
      <c r="A16930"/>
      <c r="B16930"/>
      <c r="C16930"/>
      <c r="E16930"/>
      <c r="F16930"/>
    </row>
    <row r="16931" spans="1:6" x14ac:dyDescent="0.25">
      <c r="A16931"/>
      <c r="B16931"/>
      <c r="C16931"/>
      <c r="E16931"/>
      <c r="F16931"/>
    </row>
    <row r="16932" spans="1:6" x14ac:dyDescent="0.25">
      <c r="A16932"/>
      <c r="B16932"/>
      <c r="C16932"/>
      <c r="E16932"/>
      <c r="F16932"/>
    </row>
    <row r="16933" spans="1:6" x14ac:dyDescent="0.25">
      <c r="A16933"/>
      <c r="B16933"/>
      <c r="C16933"/>
      <c r="E16933"/>
      <c r="F16933"/>
    </row>
    <row r="16934" spans="1:6" x14ac:dyDescent="0.25">
      <c r="A16934"/>
      <c r="B16934"/>
      <c r="C16934"/>
      <c r="E16934"/>
      <c r="F16934"/>
    </row>
    <row r="16935" spans="1:6" x14ac:dyDescent="0.25">
      <c r="A16935"/>
      <c r="B16935"/>
      <c r="C16935"/>
      <c r="E16935"/>
      <c r="F16935"/>
    </row>
    <row r="16936" spans="1:6" x14ac:dyDescent="0.25">
      <c r="A16936"/>
      <c r="B16936"/>
      <c r="C16936"/>
      <c r="E16936"/>
      <c r="F16936"/>
    </row>
    <row r="16937" spans="1:6" x14ac:dyDescent="0.25">
      <c r="A16937"/>
      <c r="B16937"/>
      <c r="C16937"/>
      <c r="E16937"/>
      <c r="F16937"/>
    </row>
    <row r="16938" spans="1:6" x14ac:dyDescent="0.25">
      <c r="A16938"/>
      <c r="B16938"/>
      <c r="C16938"/>
      <c r="E16938"/>
      <c r="F16938"/>
    </row>
    <row r="16939" spans="1:6" x14ac:dyDescent="0.25">
      <c r="A16939"/>
      <c r="B16939"/>
      <c r="C16939"/>
      <c r="E16939"/>
      <c r="F16939"/>
    </row>
    <row r="16940" spans="1:6" x14ac:dyDescent="0.25">
      <c r="A16940"/>
      <c r="B16940"/>
      <c r="C16940"/>
      <c r="E16940"/>
      <c r="F16940"/>
    </row>
    <row r="16941" spans="1:6" x14ac:dyDescent="0.25">
      <c r="A16941"/>
      <c r="B16941"/>
      <c r="C16941"/>
      <c r="E16941"/>
      <c r="F16941"/>
    </row>
    <row r="16942" spans="1:6" x14ac:dyDescent="0.25">
      <c r="A16942"/>
      <c r="B16942"/>
      <c r="C16942"/>
      <c r="E16942"/>
      <c r="F16942"/>
    </row>
    <row r="16943" spans="1:6" x14ac:dyDescent="0.25">
      <c r="A16943"/>
      <c r="B16943"/>
      <c r="C16943"/>
      <c r="E16943"/>
      <c r="F16943"/>
    </row>
    <row r="16944" spans="1:6" x14ac:dyDescent="0.25">
      <c r="A16944"/>
      <c r="B16944"/>
      <c r="C16944"/>
      <c r="E16944"/>
      <c r="F16944"/>
    </row>
    <row r="16945" spans="1:6" x14ac:dyDescent="0.25">
      <c r="A16945"/>
      <c r="B16945"/>
      <c r="C16945"/>
      <c r="E16945"/>
      <c r="F16945"/>
    </row>
    <row r="16946" spans="1:6" x14ac:dyDescent="0.25">
      <c r="A16946"/>
      <c r="B16946"/>
      <c r="C16946"/>
      <c r="E16946"/>
      <c r="F16946"/>
    </row>
    <row r="16947" spans="1:6" x14ac:dyDescent="0.25">
      <c r="A16947"/>
      <c r="B16947"/>
      <c r="C16947"/>
      <c r="E16947"/>
      <c r="F16947"/>
    </row>
    <row r="16948" spans="1:6" x14ac:dyDescent="0.25">
      <c r="A16948"/>
      <c r="B16948"/>
      <c r="C16948"/>
      <c r="E16948"/>
      <c r="F16948"/>
    </row>
    <row r="16949" spans="1:6" x14ac:dyDescent="0.25">
      <c r="A16949"/>
      <c r="B16949"/>
      <c r="C16949"/>
      <c r="E16949"/>
      <c r="F16949"/>
    </row>
    <row r="16950" spans="1:6" x14ac:dyDescent="0.25">
      <c r="A16950"/>
      <c r="B16950"/>
      <c r="C16950"/>
      <c r="E16950"/>
      <c r="F16950"/>
    </row>
    <row r="16951" spans="1:6" x14ac:dyDescent="0.25">
      <c r="A16951"/>
      <c r="B16951"/>
      <c r="C16951"/>
      <c r="E16951"/>
      <c r="F16951"/>
    </row>
    <row r="16952" spans="1:6" x14ac:dyDescent="0.25">
      <c r="A16952"/>
      <c r="B16952"/>
      <c r="C16952"/>
      <c r="E16952"/>
      <c r="F16952"/>
    </row>
    <row r="16953" spans="1:6" x14ac:dyDescent="0.25">
      <c r="A16953"/>
      <c r="B16953"/>
      <c r="C16953"/>
      <c r="E16953"/>
      <c r="F16953"/>
    </row>
    <row r="16954" spans="1:6" x14ac:dyDescent="0.25">
      <c r="A16954"/>
      <c r="B16954"/>
      <c r="C16954"/>
      <c r="E16954"/>
      <c r="F16954"/>
    </row>
    <row r="16955" spans="1:6" x14ac:dyDescent="0.25">
      <c r="A16955"/>
      <c r="B16955"/>
      <c r="C16955"/>
      <c r="E16955"/>
      <c r="F16955"/>
    </row>
    <row r="16956" spans="1:6" x14ac:dyDescent="0.25">
      <c r="A16956"/>
      <c r="B16956"/>
      <c r="C16956"/>
      <c r="E16956"/>
      <c r="F16956"/>
    </row>
    <row r="16957" spans="1:6" x14ac:dyDescent="0.25">
      <c r="A16957"/>
      <c r="B16957"/>
      <c r="C16957"/>
      <c r="E16957"/>
      <c r="F16957"/>
    </row>
    <row r="16958" spans="1:6" x14ac:dyDescent="0.25">
      <c r="A16958"/>
      <c r="B16958"/>
      <c r="C16958"/>
      <c r="E16958"/>
      <c r="F16958"/>
    </row>
    <row r="16959" spans="1:6" x14ac:dyDescent="0.25">
      <c r="A16959"/>
      <c r="B16959"/>
      <c r="C16959"/>
      <c r="E16959"/>
      <c r="F16959"/>
    </row>
    <row r="16960" spans="1:6" x14ac:dyDescent="0.25">
      <c r="A16960"/>
      <c r="B16960"/>
      <c r="C16960"/>
      <c r="E16960"/>
      <c r="F16960"/>
    </row>
    <row r="16961" spans="1:6" x14ac:dyDescent="0.25">
      <c r="A16961"/>
      <c r="B16961"/>
      <c r="C16961"/>
      <c r="E16961"/>
      <c r="F16961"/>
    </row>
    <row r="16962" spans="1:6" x14ac:dyDescent="0.25">
      <c r="A16962"/>
      <c r="B16962"/>
      <c r="C16962"/>
      <c r="E16962"/>
      <c r="F16962"/>
    </row>
    <row r="16963" spans="1:6" x14ac:dyDescent="0.25">
      <c r="A16963"/>
      <c r="B16963"/>
      <c r="C16963"/>
      <c r="E16963"/>
      <c r="F16963"/>
    </row>
    <row r="16964" spans="1:6" x14ac:dyDescent="0.25">
      <c r="A16964"/>
      <c r="B16964"/>
      <c r="C16964"/>
      <c r="E16964"/>
      <c r="F16964"/>
    </row>
    <row r="16965" spans="1:6" x14ac:dyDescent="0.25">
      <c r="A16965"/>
      <c r="B16965"/>
      <c r="C16965"/>
      <c r="E16965"/>
      <c r="F16965"/>
    </row>
    <row r="16966" spans="1:6" x14ac:dyDescent="0.25">
      <c r="A16966"/>
      <c r="B16966"/>
      <c r="C16966"/>
      <c r="E16966"/>
      <c r="F16966"/>
    </row>
    <row r="16967" spans="1:6" x14ac:dyDescent="0.25">
      <c r="A16967"/>
      <c r="B16967"/>
      <c r="C16967"/>
      <c r="E16967"/>
      <c r="F16967"/>
    </row>
    <row r="16968" spans="1:6" x14ac:dyDescent="0.25">
      <c r="A16968"/>
      <c r="B16968"/>
      <c r="C16968"/>
      <c r="E16968"/>
      <c r="F16968"/>
    </row>
    <row r="16969" spans="1:6" x14ac:dyDescent="0.25">
      <c r="A16969"/>
      <c r="B16969"/>
      <c r="C16969"/>
      <c r="E16969"/>
      <c r="F16969"/>
    </row>
    <row r="16970" spans="1:6" x14ac:dyDescent="0.25">
      <c r="A16970"/>
      <c r="B16970"/>
      <c r="C16970"/>
      <c r="E16970"/>
      <c r="F16970"/>
    </row>
    <row r="16971" spans="1:6" x14ac:dyDescent="0.25">
      <c r="A16971"/>
      <c r="B16971"/>
      <c r="C16971"/>
      <c r="E16971"/>
      <c r="F16971"/>
    </row>
    <row r="16972" spans="1:6" x14ac:dyDescent="0.25">
      <c r="A16972"/>
      <c r="B16972"/>
      <c r="C16972"/>
      <c r="E16972"/>
      <c r="F16972"/>
    </row>
    <row r="16973" spans="1:6" x14ac:dyDescent="0.25">
      <c r="A16973"/>
      <c r="B16973"/>
      <c r="C16973"/>
      <c r="E16973"/>
      <c r="F16973"/>
    </row>
    <row r="16974" spans="1:6" x14ac:dyDescent="0.25">
      <c r="A16974"/>
      <c r="B16974"/>
      <c r="C16974"/>
      <c r="E16974"/>
      <c r="F16974"/>
    </row>
    <row r="16975" spans="1:6" x14ac:dyDescent="0.25">
      <c r="A16975"/>
      <c r="B16975"/>
      <c r="C16975"/>
      <c r="E16975"/>
      <c r="F16975"/>
    </row>
    <row r="16976" spans="1:6" x14ac:dyDescent="0.25">
      <c r="A16976"/>
      <c r="B16976"/>
      <c r="C16976"/>
      <c r="E16976"/>
      <c r="F16976"/>
    </row>
    <row r="16977" spans="1:6" x14ac:dyDescent="0.25">
      <c r="A16977"/>
      <c r="B16977"/>
      <c r="C16977"/>
      <c r="E16977"/>
      <c r="F16977"/>
    </row>
    <row r="16978" spans="1:6" x14ac:dyDescent="0.25">
      <c r="A16978"/>
      <c r="B16978"/>
      <c r="C16978"/>
      <c r="E16978"/>
      <c r="F16978"/>
    </row>
    <row r="16979" spans="1:6" x14ac:dyDescent="0.25">
      <c r="A16979"/>
      <c r="B16979"/>
      <c r="C16979"/>
      <c r="E16979"/>
      <c r="F16979"/>
    </row>
    <row r="16980" spans="1:6" x14ac:dyDescent="0.25">
      <c r="A16980"/>
      <c r="B16980"/>
      <c r="C16980"/>
      <c r="E16980"/>
      <c r="F16980"/>
    </row>
    <row r="16981" spans="1:6" x14ac:dyDescent="0.25">
      <c r="A16981"/>
      <c r="B16981"/>
      <c r="C16981"/>
      <c r="E16981"/>
      <c r="F16981"/>
    </row>
    <row r="16982" spans="1:6" x14ac:dyDescent="0.25">
      <c r="A16982"/>
      <c r="B16982"/>
      <c r="C16982"/>
      <c r="E16982"/>
      <c r="F16982"/>
    </row>
    <row r="16983" spans="1:6" x14ac:dyDescent="0.25">
      <c r="A16983"/>
      <c r="B16983"/>
      <c r="C16983"/>
      <c r="E16983"/>
      <c r="F16983"/>
    </row>
    <row r="16984" spans="1:6" x14ac:dyDescent="0.25">
      <c r="A16984"/>
      <c r="B16984"/>
      <c r="C16984"/>
      <c r="E16984"/>
      <c r="F16984"/>
    </row>
    <row r="16985" spans="1:6" x14ac:dyDescent="0.25">
      <c r="A16985"/>
      <c r="B16985"/>
      <c r="C16985"/>
      <c r="E16985"/>
      <c r="F16985"/>
    </row>
    <row r="16986" spans="1:6" x14ac:dyDescent="0.25">
      <c r="A16986"/>
      <c r="B16986"/>
      <c r="C16986"/>
      <c r="E16986"/>
      <c r="F16986"/>
    </row>
    <row r="16987" spans="1:6" x14ac:dyDescent="0.25">
      <c r="A16987"/>
      <c r="B16987"/>
      <c r="C16987"/>
      <c r="E16987"/>
      <c r="F16987"/>
    </row>
    <row r="16988" spans="1:6" x14ac:dyDescent="0.25">
      <c r="A16988"/>
      <c r="B16988"/>
      <c r="C16988"/>
      <c r="E16988"/>
      <c r="F16988"/>
    </row>
    <row r="16989" spans="1:6" x14ac:dyDescent="0.25">
      <c r="A16989"/>
      <c r="B16989"/>
      <c r="C16989"/>
      <c r="E16989"/>
      <c r="F16989"/>
    </row>
    <row r="16990" spans="1:6" x14ac:dyDescent="0.25">
      <c r="A16990"/>
      <c r="B16990"/>
      <c r="C16990"/>
      <c r="E16990"/>
      <c r="F16990"/>
    </row>
    <row r="16991" spans="1:6" x14ac:dyDescent="0.25">
      <c r="A16991"/>
      <c r="B16991"/>
      <c r="C16991"/>
      <c r="E16991"/>
      <c r="F16991"/>
    </row>
    <row r="16992" spans="1:6" x14ac:dyDescent="0.25">
      <c r="A16992"/>
      <c r="B16992"/>
      <c r="C16992"/>
      <c r="E16992"/>
      <c r="F16992"/>
    </row>
    <row r="16993" spans="1:6" x14ac:dyDescent="0.25">
      <c r="A16993"/>
      <c r="B16993"/>
      <c r="C16993"/>
      <c r="E16993"/>
      <c r="F16993"/>
    </row>
    <row r="16994" spans="1:6" x14ac:dyDescent="0.25">
      <c r="A16994"/>
      <c r="B16994"/>
      <c r="C16994"/>
      <c r="E16994"/>
      <c r="F16994"/>
    </row>
    <row r="16995" spans="1:6" x14ac:dyDescent="0.25">
      <c r="A16995"/>
      <c r="B16995"/>
      <c r="C16995"/>
      <c r="E16995"/>
      <c r="F16995"/>
    </row>
    <row r="16996" spans="1:6" x14ac:dyDescent="0.25">
      <c r="A16996"/>
      <c r="B16996"/>
      <c r="C16996"/>
      <c r="E16996"/>
      <c r="F16996"/>
    </row>
    <row r="16997" spans="1:6" x14ac:dyDescent="0.25">
      <c r="A16997"/>
      <c r="B16997"/>
      <c r="C16997"/>
      <c r="E16997"/>
      <c r="F16997"/>
    </row>
    <row r="16998" spans="1:6" x14ac:dyDescent="0.25">
      <c r="A16998"/>
      <c r="B16998"/>
      <c r="C16998"/>
      <c r="E16998"/>
      <c r="F16998"/>
    </row>
    <row r="16999" spans="1:6" x14ac:dyDescent="0.25">
      <c r="A16999"/>
      <c r="B16999"/>
      <c r="C16999"/>
      <c r="E16999"/>
      <c r="F16999"/>
    </row>
    <row r="17000" spans="1:6" x14ac:dyDescent="0.25">
      <c r="A17000"/>
      <c r="B17000"/>
      <c r="C17000"/>
      <c r="E17000"/>
      <c r="F17000"/>
    </row>
    <row r="17001" spans="1:6" x14ac:dyDescent="0.25">
      <c r="A17001"/>
      <c r="B17001"/>
      <c r="C17001"/>
      <c r="E17001"/>
      <c r="F17001"/>
    </row>
    <row r="17002" spans="1:6" x14ac:dyDescent="0.25">
      <c r="A17002"/>
      <c r="B17002"/>
      <c r="C17002"/>
      <c r="E17002"/>
      <c r="F17002"/>
    </row>
    <row r="17003" spans="1:6" x14ac:dyDescent="0.25">
      <c r="A17003"/>
      <c r="B17003"/>
      <c r="C17003"/>
      <c r="E17003"/>
      <c r="F17003"/>
    </row>
    <row r="17004" spans="1:6" x14ac:dyDescent="0.25">
      <c r="A17004"/>
      <c r="B17004"/>
      <c r="C17004"/>
      <c r="E17004"/>
      <c r="F17004"/>
    </row>
    <row r="17005" spans="1:6" x14ac:dyDescent="0.25">
      <c r="A17005"/>
      <c r="B17005"/>
      <c r="C17005"/>
      <c r="E17005"/>
      <c r="F17005"/>
    </row>
    <row r="17006" spans="1:6" x14ac:dyDescent="0.25">
      <c r="A17006"/>
      <c r="B17006"/>
      <c r="C17006"/>
      <c r="E17006"/>
      <c r="F17006"/>
    </row>
    <row r="17007" spans="1:6" x14ac:dyDescent="0.25">
      <c r="A17007"/>
      <c r="B17007"/>
      <c r="C17007"/>
      <c r="E17007"/>
      <c r="F17007"/>
    </row>
    <row r="17008" spans="1:6" x14ac:dyDescent="0.25">
      <c r="A17008"/>
      <c r="B17008"/>
      <c r="C17008"/>
      <c r="E17008"/>
      <c r="F17008"/>
    </row>
    <row r="17009" spans="1:6" x14ac:dyDescent="0.25">
      <c r="A17009"/>
      <c r="B17009"/>
      <c r="C17009"/>
      <c r="E17009"/>
      <c r="F17009"/>
    </row>
    <row r="17010" spans="1:6" x14ac:dyDescent="0.25">
      <c r="A17010"/>
      <c r="B17010"/>
      <c r="C17010"/>
      <c r="E17010"/>
      <c r="F17010"/>
    </row>
    <row r="17011" spans="1:6" x14ac:dyDescent="0.25">
      <c r="A17011"/>
      <c r="B17011"/>
      <c r="C17011"/>
      <c r="E17011"/>
      <c r="F17011"/>
    </row>
    <row r="17012" spans="1:6" x14ac:dyDescent="0.25">
      <c r="A17012"/>
      <c r="B17012"/>
      <c r="C17012"/>
      <c r="E17012"/>
      <c r="F17012"/>
    </row>
    <row r="17013" spans="1:6" x14ac:dyDescent="0.25">
      <c r="A17013"/>
      <c r="B17013"/>
      <c r="C17013"/>
      <c r="E17013"/>
      <c r="F17013"/>
    </row>
    <row r="17014" spans="1:6" x14ac:dyDescent="0.25">
      <c r="A17014"/>
      <c r="B17014"/>
      <c r="C17014"/>
      <c r="E17014"/>
      <c r="F17014"/>
    </row>
    <row r="17015" spans="1:6" x14ac:dyDescent="0.25">
      <c r="A17015"/>
      <c r="B17015"/>
      <c r="C17015"/>
      <c r="E17015"/>
      <c r="F17015"/>
    </row>
    <row r="17016" spans="1:6" x14ac:dyDescent="0.25">
      <c r="A17016"/>
      <c r="B17016"/>
      <c r="C17016"/>
      <c r="E17016"/>
      <c r="F17016"/>
    </row>
    <row r="17017" spans="1:6" x14ac:dyDescent="0.25">
      <c r="A17017"/>
      <c r="B17017"/>
      <c r="C17017"/>
      <c r="E17017"/>
      <c r="F17017"/>
    </row>
    <row r="17018" spans="1:6" x14ac:dyDescent="0.25">
      <c r="A17018"/>
      <c r="B17018"/>
      <c r="C17018"/>
      <c r="E17018"/>
      <c r="F17018"/>
    </row>
    <row r="17019" spans="1:6" x14ac:dyDescent="0.25">
      <c r="A17019"/>
      <c r="B17019"/>
      <c r="C17019"/>
      <c r="E17019"/>
      <c r="F17019"/>
    </row>
    <row r="17020" spans="1:6" x14ac:dyDescent="0.25">
      <c r="A17020"/>
      <c r="B17020"/>
      <c r="C17020"/>
      <c r="E17020"/>
      <c r="F17020"/>
    </row>
    <row r="17021" spans="1:6" x14ac:dyDescent="0.25">
      <c r="A17021"/>
      <c r="B17021"/>
      <c r="C17021"/>
      <c r="E17021"/>
      <c r="F17021"/>
    </row>
    <row r="17022" spans="1:6" x14ac:dyDescent="0.25">
      <c r="A17022"/>
      <c r="B17022"/>
      <c r="C17022"/>
      <c r="E17022"/>
      <c r="F17022"/>
    </row>
    <row r="17023" spans="1:6" x14ac:dyDescent="0.25">
      <c r="A17023"/>
      <c r="B17023"/>
      <c r="C17023"/>
      <c r="E17023"/>
      <c r="F17023"/>
    </row>
    <row r="17024" spans="1:6" x14ac:dyDescent="0.25">
      <c r="A17024"/>
      <c r="B17024"/>
      <c r="C17024"/>
      <c r="E17024"/>
      <c r="F17024"/>
    </row>
    <row r="17025" spans="1:6" x14ac:dyDescent="0.25">
      <c r="A17025"/>
      <c r="B17025"/>
      <c r="C17025"/>
      <c r="E17025"/>
      <c r="F17025"/>
    </row>
    <row r="17026" spans="1:6" x14ac:dyDescent="0.25">
      <c r="A17026"/>
      <c r="B17026"/>
      <c r="C17026"/>
      <c r="E17026"/>
      <c r="F17026"/>
    </row>
    <row r="17027" spans="1:6" x14ac:dyDescent="0.25">
      <c r="A17027"/>
      <c r="B17027"/>
      <c r="C17027"/>
      <c r="E17027"/>
      <c r="F17027"/>
    </row>
    <row r="17028" spans="1:6" x14ac:dyDescent="0.25">
      <c r="A17028"/>
      <c r="B17028"/>
      <c r="C17028"/>
      <c r="E17028"/>
      <c r="F17028"/>
    </row>
    <row r="17029" spans="1:6" x14ac:dyDescent="0.25">
      <c r="A17029"/>
      <c r="B17029"/>
      <c r="C17029"/>
      <c r="E17029"/>
      <c r="F17029"/>
    </row>
    <row r="17030" spans="1:6" x14ac:dyDescent="0.25">
      <c r="A17030"/>
      <c r="B17030"/>
      <c r="C17030"/>
      <c r="E17030"/>
      <c r="F17030"/>
    </row>
    <row r="17031" spans="1:6" x14ac:dyDescent="0.25">
      <c r="A17031"/>
      <c r="B17031"/>
      <c r="C17031"/>
      <c r="E17031"/>
      <c r="F17031"/>
    </row>
    <row r="17032" spans="1:6" x14ac:dyDescent="0.25">
      <c r="A17032"/>
      <c r="B17032"/>
      <c r="C17032"/>
      <c r="E17032"/>
      <c r="F17032"/>
    </row>
    <row r="17033" spans="1:6" x14ac:dyDescent="0.25">
      <c r="A17033"/>
      <c r="B17033"/>
      <c r="C17033"/>
      <c r="E17033"/>
      <c r="F17033"/>
    </row>
    <row r="17034" spans="1:6" x14ac:dyDescent="0.25">
      <c r="A17034"/>
      <c r="B17034"/>
      <c r="C17034"/>
      <c r="E17034"/>
      <c r="F17034"/>
    </row>
    <row r="17035" spans="1:6" x14ac:dyDescent="0.25">
      <c r="A17035"/>
      <c r="B17035"/>
      <c r="C17035"/>
      <c r="E17035"/>
      <c r="F17035"/>
    </row>
    <row r="17036" spans="1:6" x14ac:dyDescent="0.25">
      <c r="A17036"/>
      <c r="B17036"/>
      <c r="C17036"/>
      <c r="E17036"/>
      <c r="F17036"/>
    </row>
    <row r="17037" spans="1:6" x14ac:dyDescent="0.25">
      <c r="A17037"/>
      <c r="B17037"/>
      <c r="C17037"/>
      <c r="E17037"/>
      <c r="F17037"/>
    </row>
    <row r="17038" spans="1:6" x14ac:dyDescent="0.25">
      <c r="A17038"/>
      <c r="B17038"/>
      <c r="C17038"/>
      <c r="E17038"/>
      <c r="F17038"/>
    </row>
    <row r="17039" spans="1:6" x14ac:dyDescent="0.25">
      <c r="A17039"/>
      <c r="B17039"/>
      <c r="C17039"/>
      <c r="E17039"/>
      <c r="F17039"/>
    </row>
    <row r="17040" spans="1:6" x14ac:dyDescent="0.25">
      <c r="A17040"/>
      <c r="B17040"/>
      <c r="C17040"/>
      <c r="E17040"/>
      <c r="F17040"/>
    </row>
    <row r="17041" spans="1:6" x14ac:dyDescent="0.25">
      <c r="A17041"/>
      <c r="B17041"/>
      <c r="C17041"/>
      <c r="E17041"/>
      <c r="F17041"/>
    </row>
    <row r="17042" spans="1:6" x14ac:dyDescent="0.25">
      <c r="A17042"/>
      <c r="B17042"/>
      <c r="C17042"/>
      <c r="E17042"/>
      <c r="F17042"/>
    </row>
    <row r="17043" spans="1:6" x14ac:dyDescent="0.25">
      <c r="A17043"/>
      <c r="B17043"/>
      <c r="C17043"/>
      <c r="E17043"/>
      <c r="F17043"/>
    </row>
    <row r="17044" spans="1:6" x14ac:dyDescent="0.25">
      <c r="A17044"/>
      <c r="B17044"/>
      <c r="C17044"/>
      <c r="E17044"/>
      <c r="F17044"/>
    </row>
    <row r="17045" spans="1:6" x14ac:dyDescent="0.25">
      <c r="A17045"/>
      <c r="B17045"/>
      <c r="C17045"/>
      <c r="E17045"/>
      <c r="F17045"/>
    </row>
    <row r="17046" spans="1:6" x14ac:dyDescent="0.25">
      <c r="A17046"/>
      <c r="B17046"/>
      <c r="C17046"/>
      <c r="E17046"/>
      <c r="F17046"/>
    </row>
    <row r="17047" spans="1:6" x14ac:dyDescent="0.25">
      <c r="A17047"/>
      <c r="B17047"/>
      <c r="C17047"/>
      <c r="E17047"/>
      <c r="F17047"/>
    </row>
    <row r="17048" spans="1:6" x14ac:dyDescent="0.25">
      <c r="A17048"/>
      <c r="B17048"/>
      <c r="C17048"/>
      <c r="E17048"/>
      <c r="F17048"/>
    </row>
    <row r="17049" spans="1:6" x14ac:dyDescent="0.25">
      <c r="A17049"/>
      <c r="B17049"/>
      <c r="C17049"/>
      <c r="E17049"/>
      <c r="F17049"/>
    </row>
    <row r="17050" spans="1:6" x14ac:dyDescent="0.25">
      <c r="A17050"/>
      <c r="B17050"/>
      <c r="C17050"/>
      <c r="E17050"/>
      <c r="F17050"/>
    </row>
    <row r="17051" spans="1:6" x14ac:dyDescent="0.25">
      <c r="A17051"/>
      <c r="B17051"/>
      <c r="C17051"/>
      <c r="E17051"/>
      <c r="F17051"/>
    </row>
    <row r="17052" spans="1:6" x14ac:dyDescent="0.25">
      <c r="A17052"/>
      <c r="B17052"/>
      <c r="C17052"/>
      <c r="E17052"/>
      <c r="F17052"/>
    </row>
    <row r="17053" spans="1:6" x14ac:dyDescent="0.25">
      <c r="A17053"/>
      <c r="B17053"/>
      <c r="C17053"/>
      <c r="E17053"/>
      <c r="F17053"/>
    </row>
    <row r="17054" spans="1:6" x14ac:dyDescent="0.25">
      <c r="A17054"/>
      <c r="B17054"/>
      <c r="C17054"/>
      <c r="E17054"/>
      <c r="F17054"/>
    </row>
    <row r="17055" spans="1:6" x14ac:dyDescent="0.25">
      <c r="A17055"/>
      <c r="B17055"/>
      <c r="C17055"/>
      <c r="E17055"/>
      <c r="F17055"/>
    </row>
    <row r="17056" spans="1:6" x14ac:dyDescent="0.25">
      <c r="A17056"/>
      <c r="B17056"/>
      <c r="C17056"/>
      <c r="E17056"/>
      <c r="F17056"/>
    </row>
    <row r="17057" spans="1:6" x14ac:dyDescent="0.25">
      <c r="A17057"/>
      <c r="B17057"/>
      <c r="C17057"/>
      <c r="E17057"/>
      <c r="F17057"/>
    </row>
    <row r="17058" spans="1:6" x14ac:dyDescent="0.25">
      <c r="A17058"/>
      <c r="B17058"/>
      <c r="C17058"/>
      <c r="E17058"/>
      <c r="F17058"/>
    </row>
    <row r="17059" spans="1:6" x14ac:dyDescent="0.25">
      <c r="A17059"/>
      <c r="B17059"/>
      <c r="C17059"/>
      <c r="E17059"/>
      <c r="F17059"/>
    </row>
    <row r="17060" spans="1:6" x14ac:dyDescent="0.25">
      <c r="A17060"/>
      <c r="B17060"/>
      <c r="C17060"/>
      <c r="E17060"/>
      <c r="F17060"/>
    </row>
    <row r="17061" spans="1:6" x14ac:dyDescent="0.25">
      <c r="A17061"/>
      <c r="B17061"/>
      <c r="C17061"/>
      <c r="E17061"/>
      <c r="F17061"/>
    </row>
    <row r="17062" spans="1:6" x14ac:dyDescent="0.25">
      <c r="A17062"/>
      <c r="B17062"/>
      <c r="C17062"/>
      <c r="E17062"/>
      <c r="F17062"/>
    </row>
    <row r="17063" spans="1:6" x14ac:dyDescent="0.25">
      <c r="A17063"/>
      <c r="B17063"/>
      <c r="C17063"/>
      <c r="E17063"/>
      <c r="F17063"/>
    </row>
    <row r="17064" spans="1:6" x14ac:dyDescent="0.25">
      <c r="A17064"/>
      <c r="B17064"/>
      <c r="C17064"/>
      <c r="E17064"/>
      <c r="F17064"/>
    </row>
    <row r="17065" spans="1:6" x14ac:dyDescent="0.25">
      <c r="A17065"/>
      <c r="B17065"/>
      <c r="C17065"/>
      <c r="E17065"/>
      <c r="F17065"/>
    </row>
    <row r="17066" spans="1:6" x14ac:dyDescent="0.25">
      <c r="A17066"/>
      <c r="B17066"/>
      <c r="C17066"/>
      <c r="E17066"/>
      <c r="F17066"/>
    </row>
    <row r="17067" spans="1:6" x14ac:dyDescent="0.25">
      <c r="A17067"/>
      <c r="B17067"/>
      <c r="C17067"/>
      <c r="E17067"/>
      <c r="F17067"/>
    </row>
    <row r="17068" spans="1:6" x14ac:dyDescent="0.25">
      <c r="A17068"/>
      <c r="B17068"/>
      <c r="C17068"/>
      <c r="E17068"/>
      <c r="F17068"/>
    </row>
    <row r="17069" spans="1:6" x14ac:dyDescent="0.25">
      <c r="A17069"/>
      <c r="B17069"/>
      <c r="C17069"/>
      <c r="E17069"/>
      <c r="F17069"/>
    </row>
    <row r="17070" spans="1:6" x14ac:dyDescent="0.25">
      <c r="A17070"/>
      <c r="B17070"/>
      <c r="C17070"/>
      <c r="E17070"/>
      <c r="F17070"/>
    </row>
    <row r="17071" spans="1:6" x14ac:dyDescent="0.25">
      <c r="A17071"/>
      <c r="B17071"/>
      <c r="C17071"/>
      <c r="E17071"/>
      <c r="F17071"/>
    </row>
    <row r="17072" spans="1:6" x14ac:dyDescent="0.25">
      <c r="A17072"/>
      <c r="B17072"/>
      <c r="C17072"/>
      <c r="E17072"/>
      <c r="F17072"/>
    </row>
    <row r="17073" spans="1:6" x14ac:dyDescent="0.25">
      <c r="A17073"/>
      <c r="B17073"/>
      <c r="C17073"/>
      <c r="E17073"/>
      <c r="F17073"/>
    </row>
    <row r="17074" spans="1:6" x14ac:dyDescent="0.25">
      <c r="A17074"/>
      <c r="B17074"/>
      <c r="C17074"/>
      <c r="E17074"/>
      <c r="F17074"/>
    </row>
    <row r="17075" spans="1:6" x14ac:dyDescent="0.25">
      <c r="A17075"/>
      <c r="B17075"/>
      <c r="C17075"/>
      <c r="E17075"/>
      <c r="F17075"/>
    </row>
    <row r="17076" spans="1:6" x14ac:dyDescent="0.25">
      <c r="A17076"/>
      <c r="B17076"/>
      <c r="C17076"/>
      <c r="E17076"/>
      <c r="F17076"/>
    </row>
    <row r="17077" spans="1:6" x14ac:dyDescent="0.25">
      <c r="A17077"/>
      <c r="B17077"/>
      <c r="C17077"/>
      <c r="E17077"/>
      <c r="F17077"/>
    </row>
    <row r="17078" spans="1:6" x14ac:dyDescent="0.25">
      <c r="A17078"/>
      <c r="B17078"/>
      <c r="C17078"/>
      <c r="E17078"/>
      <c r="F17078"/>
    </row>
    <row r="17079" spans="1:6" x14ac:dyDescent="0.25">
      <c r="A17079"/>
      <c r="B17079"/>
      <c r="C17079"/>
      <c r="E17079"/>
      <c r="F17079"/>
    </row>
    <row r="17080" spans="1:6" x14ac:dyDescent="0.25">
      <c r="A17080"/>
      <c r="B17080"/>
      <c r="C17080"/>
      <c r="E17080"/>
      <c r="F17080"/>
    </row>
    <row r="17081" spans="1:6" x14ac:dyDescent="0.25">
      <c r="A17081"/>
      <c r="B17081"/>
      <c r="C17081"/>
      <c r="E17081"/>
      <c r="F17081"/>
    </row>
    <row r="17082" spans="1:6" x14ac:dyDescent="0.25">
      <c r="A17082"/>
      <c r="B17082"/>
      <c r="C17082"/>
      <c r="E17082"/>
      <c r="F17082"/>
    </row>
    <row r="17083" spans="1:6" x14ac:dyDescent="0.25">
      <c r="A17083"/>
      <c r="B17083"/>
      <c r="C17083"/>
      <c r="E17083"/>
      <c r="F17083"/>
    </row>
    <row r="17084" spans="1:6" x14ac:dyDescent="0.25">
      <c r="A17084"/>
      <c r="B17084"/>
      <c r="C17084"/>
      <c r="E17084"/>
      <c r="F17084"/>
    </row>
    <row r="17085" spans="1:6" x14ac:dyDescent="0.25">
      <c r="A17085"/>
      <c r="B17085"/>
      <c r="C17085"/>
      <c r="E17085"/>
      <c r="F17085"/>
    </row>
    <row r="17086" spans="1:6" x14ac:dyDescent="0.25">
      <c r="A17086"/>
      <c r="B17086"/>
      <c r="C17086"/>
      <c r="E17086"/>
      <c r="F17086"/>
    </row>
    <row r="17087" spans="1:6" x14ac:dyDescent="0.25">
      <c r="A17087"/>
      <c r="B17087"/>
      <c r="C17087"/>
      <c r="E17087"/>
      <c r="F17087"/>
    </row>
    <row r="17088" spans="1:6" x14ac:dyDescent="0.25">
      <c r="A17088"/>
      <c r="B17088"/>
      <c r="C17088"/>
      <c r="E17088"/>
      <c r="F17088"/>
    </row>
    <row r="17089" spans="1:6" x14ac:dyDescent="0.25">
      <c r="A17089"/>
      <c r="B17089"/>
      <c r="C17089"/>
      <c r="E17089"/>
      <c r="F17089"/>
    </row>
    <row r="17090" spans="1:6" x14ac:dyDescent="0.25">
      <c r="A17090"/>
      <c r="B17090"/>
      <c r="C17090"/>
      <c r="E17090"/>
      <c r="F17090"/>
    </row>
    <row r="17091" spans="1:6" x14ac:dyDescent="0.25">
      <c r="A17091"/>
      <c r="B17091"/>
      <c r="C17091"/>
      <c r="E17091"/>
      <c r="F17091"/>
    </row>
    <row r="17092" spans="1:6" x14ac:dyDescent="0.25">
      <c r="A17092"/>
      <c r="B17092"/>
      <c r="C17092"/>
      <c r="E17092"/>
      <c r="F17092"/>
    </row>
    <row r="17093" spans="1:6" x14ac:dyDescent="0.25">
      <c r="A17093"/>
      <c r="B17093"/>
      <c r="C17093"/>
      <c r="E17093"/>
      <c r="F17093"/>
    </row>
    <row r="17094" spans="1:6" x14ac:dyDescent="0.25">
      <c r="A17094"/>
      <c r="B17094"/>
      <c r="C17094"/>
      <c r="E17094"/>
      <c r="F17094"/>
    </row>
    <row r="17095" spans="1:6" x14ac:dyDescent="0.25">
      <c r="A17095"/>
      <c r="B17095"/>
      <c r="C17095"/>
      <c r="E17095"/>
      <c r="F17095"/>
    </row>
    <row r="17096" spans="1:6" x14ac:dyDescent="0.25">
      <c r="A17096"/>
      <c r="B17096"/>
      <c r="C17096"/>
      <c r="E17096"/>
      <c r="F17096"/>
    </row>
    <row r="17097" spans="1:6" x14ac:dyDescent="0.25">
      <c r="A17097"/>
      <c r="B17097"/>
      <c r="C17097"/>
      <c r="E17097"/>
      <c r="F17097"/>
    </row>
    <row r="17098" spans="1:6" x14ac:dyDescent="0.25">
      <c r="A17098"/>
      <c r="B17098"/>
      <c r="C17098"/>
      <c r="E17098"/>
      <c r="F17098"/>
    </row>
    <row r="17099" spans="1:6" x14ac:dyDescent="0.25">
      <c r="A17099"/>
      <c r="B17099"/>
      <c r="C17099"/>
      <c r="E17099"/>
      <c r="F17099"/>
    </row>
    <row r="17100" spans="1:6" x14ac:dyDescent="0.25">
      <c r="A17100"/>
      <c r="B17100"/>
      <c r="C17100"/>
      <c r="E17100"/>
      <c r="F17100"/>
    </row>
    <row r="17101" spans="1:6" x14ac:dyDescent="0.25">
      <c r="A17101"/>
      <c r="B17101"/>
      <c r="C17101"/>
      <c r="E17101"/>
      <c r="F17101"/>
    </row>
    <row r="17102" spans="1:6" x14ac:dyDescent="0.25">
      <c r="A17102"/>
      <c r="B17102"/>
      <c r="C17102"/>
      <c r="E17102"/>
      <c r="F17102"/>
    </row>
    <row r="17103" spans="1:6" x14ac:dyDescent="0.25">
      <c r="A17103"/>
      <c r="B17103"/>
      <c r="C17103"/>
      <c r="E17103"/>
      <c r="F17103"/>
    </row>
    <row r="17104" spans="1:6" x14ac:dyDescent="0.25">
      <c r="A17104"/>
      <c r="B17104"/>
      <c r="C17104"/>
      <c r="E17104"/>
      <c r="F17104"/>
    </row>
    <row r="17105" spans="1:6" x14ac:dyDescent="0.25">
      <c r="A17105"/>
      <c r="B17105"/>
      <c r="C17105"/>
      <c r="E17105"/>
      <c r="F17105"/>
    </row>
    <row r="17106" spans="1:6" x14ac:dyDescent="0.25">
      <c r="A17106"/>
      <c r="B17106"/>
      <c r="C17106"/>
      <c r="E17106"/>
      <c r="F17106"/>
    </row>
    <row r="17107" spans="1:6" x14ac:dyDescent="0.25">
      <c r="A17107"/>
      <c r="B17107"/>
      <c r="C17107"/>
      <c r="E17107"/>
      <c r="F17107"/>
    </row>
    <row r="17108" spans="1:6" x14ac:dyDescent="0.25">
      <c r="A17108"/>
      <c r="B17108"/>
      <c r="C17108"/>
      <c r="E17108"/>
      <c r="F17108"/>
    </row>
    <row r="17109" spans="1:6" x14ac:dyDescent="0.25">
      <c r="A17109"/>
      <c r="B17109"/>
      <c r="C17109"/>
      <c r="E17109"/>
      <c r="F17109"/>
    </row>
    <row r="17110" spans="1:6" x14ac:dyDescent="0.25">
      <c r="A17110"/>
      <c r="B17110"/>
      <c r="C17110"/>
      <c r="E17110"/>
      <c r="F17110"/>
    </row>
    <row r="17111" spans="1:6" x14ac:dyDescent="0.25">
      <c r="A17111"/>
      <c r="B17111"/>
      <c r="C17111"/>
      <c r="E17111"/>
      <c r="F17111"/>
    </row>
    <row r="17112" spans="1:6" x14ac:dyDescent="0.25">
      <c r="A17112"/>
      <c r="B17112"/>
      <c r="C17112"/>
      <c r="E17112"/>
      <c r="F17112"/>
    </row>
    <row r="17113" spans="1:6" x14ac:dyDescent="0.25">
      <c r="A17113"/>
      <c r="B17113"/>
      <c r="C17113"/>
      <c r="E17113"/>
      <c r="F17113"/>
    </row>
    <row r="17114" spans="1:6" x14ac:dyDescent="0.25">
      <c r="A17114"/>
      <c r="B17114"/>
      <c r="C17114"/>
      <c r="E17114"/>
      <c r="F17114"/>
    </row>
    <row r="17115" spans="1:6" x14ac:dyDescent="0.25">
      <c r="A17115"/>
      <c r="B17115"/>
      <c r="C17115"/>
      <c r="E17115"/>
      <c r="F17115"/>
    </row>
    <row r="17116" spans="1:6" x14ac:dyDescent="0.25">
      <c r="A17116"/>
      <c r="B17116"/>
      <c r="C17116"/>
      <c r="E17116"/>
      <c r="F17116"/>
    </row>
    <row r="17117" spans="1:6" x14ac:dyDescent="0.25">
      <c r="A17117"/>
      <c r="B17117"/>
      <c r="C17117"/>
      <c r="E17117"/>
      <c r="F17117"/>
    </row>
    <row r="17118" spans="1:6" x14ac:dyDescent="0.25">
      <c r="A17118"/>
      <c r="B17118"/>
      <c r="C17118"/>
      <c r="E17118"/>
      <c r="F17118"/>
    </row>
    <row r="17119" spans="1:6" x14ac:dyDescent="0.25">
      <c r="A17119"/>
      <c r="B17119"/>
      <c r="C17119"/>
      <c r="E17119"/>
      <c r="F17119"/>
    </row>
    <row r="17120" spans="1:6" x14ac:dyDescent="0.25">
      <c r="A17120"/>
      <c r="B17120"/>
      <c r="C17120"/>
      <c r="E17120"/>
      <c r="F17120"/>
    </row>
    <row r="17121" spans="1:6" x14ac:dyDescent="0.25">
      <c r="A17121"/>
      <c r="B17121"/>
      <c r="C17121"/>
      <c r="E17121"/>
      <c r="F17121"/>
    </row>
    <row r="17122" spans="1:6" x14ac:dyDescent="0.25">
      <c r="A17122"/>
      <c r="B17122"/>
      <c r="C17122"/>
      <c r="E17122"/>
      <c r="F17122"/>
    </row>
    <row r="17123" spans="1:6" x14ac:dyDescent="0.25">
      <c r="A17123"/>
      <c r="B17123"/>
      <c r="C17123"/>
      <c r="E17123"/>
      <c r="F17123"/>
    </row>
    <row r="17124" spans="1:6" x14ac:dyDescent="0.25">
      <c r="A17124"/>
      <c r="B17124"/>
      <c r="C17124"/>
      <c r="E17124"/>
      <c r="F17124"/>
    </row>
    <row r="17125" spans="1:6" x14ac:dyDescent="0.25">
      <c r="A17125"/>
      <c r="B17125"/>
      <c r="C17125"/>
      <c r="E17125"/>
      <c r="F17125"/>
    </row>
    <row r="17126" spans="1:6" x14ac:dyDescent="0.25">
      <c r="A17126"/>
      <c r="B17126"/>
      <c r="C17126"/>
      <c r="E17126"/>
      <c r="F17126"/>
    </row>
    <row r="17127" spans="1:6" x14ac:dyDescent="0.25">
      <c r="A17127"/>
      <c r="B17127"/>
      <c r="C17127"/>
      <c r="E17127"/>
      <c r="F17127"/>
    </row>
    <row r="17128" spans="1:6" x14ac:dyDescent="0.25">
      <c r="A17128"/>
      <c r="B17128"/>
      <c r="C17128"/>
      <c r="E17128"/>
      <c r="F17128"/>
    </row>
    <row r="17129" spans="1:6" x14ac:dyDescent="0.25">
      <c r="A17129"/>
      <c r="B17129"/>
      <c r="C17129"/>
      <c r="E17129"/>
      <c r="F17129"/>
    </row>
    <row r="17130" spans="1:6" x14ac:dyDescent="0.25">
      <c r="A17130"/>
      <c r="B17130"/>
      <c r="C17130"/>
      <c r="E17130"/>
      <c r="F17130"/>
    </row>
    <row r="17131" spans="1:6" x14ac:dyDescent="0.25">
      <c r="A17131"/>
      <c r="B17131"/>
      <c r="C17131"/>
      <c r="E17131"/>
      <c r="F17131"/>
    </row>
    <row r="17132" spans="1:6" x14ac:dyDescent="0.25">
      <c r="A17132"/>
      <c r="B17132"/>
      <c r="C17132"/>
      <c r="E17132"/>
      <c r="F17132"/>
    </row>
    <row r="17133" spans="1:6" x14ac:dyDescent="0.25">
      <c r="A17133"/>
      <c r="B17133"/>
      <c r="C17133"/>
      <c r="E17133"/>
      <c r="F17133"/>
    </row>
    <row r="17134" spans="1:6" x14ac:dyDescent="0.25">
      <c r="A17134"/>
      <c r="B17134"/>
      <c r="C17134"/>
      <c r="E17134"/>
      <c r="F17134"/>
    </row>
    <row r="17135" spans="1:6" x14ac:dyDescent="0.25">
      <c r="A17135"/>
      <c r="B17135"/>
      <c r="C17135"/>
      <c r="E17135"/>
      <c r="F17135"/>
    </row>
    <row r="17136" spans="1:6" x14ac:dyDescent="0.25">
      <c r="A17136"/>
      <c r="B17136"/>
      <c r="C17136"/>
      <c r="E17136"/>
      <c r="F17136"/>
    </row>
    <row r="17137" spans="1:6" x14ac:dyDescent="0.25">
      <c r="A17137"/>
      <c r="B17137"/>
      <c r="C17137"/>
      <c r="E17137"/>
      <c r="F17137"/>
    </row>
    <row r="17138" spans="1:6" x14ac:dyDescent="0.25">
      <c r="A17138"/>
      <c r="B17138"/>
      <c r="C17138"/>
      <c r="E17138"/>
      <c r="F17138"/>
    </row>
    <row r="17139" spans="1:6" x14ac:dyDescent="0.25">
      <c r="A17139"/>
      <c r="B17139"/>
      <c r="C17139"/>
      <c r="E17139"/>
      <c r="F17139"/>
    </row>
    <row r="17140" spans="1:6" x14ac:dyDescent="0.25">
      <c r="A17140"/>
      <c r="B17140"/>
      <c r="C17140"/>
      <c r="E17140"/>
      <c r="F17140"/>
    </row>
    <row r="17141" spans="1:6" x14ac:dyDescent="0.25">
      <c r="A17141"/>
      <c r="B17141"/>
      <c r="C17141"/>
      <c r="E17141"/>
      <c r="F17141"/>
    </row>
    <row r="17142" spans="1:6" x14ac:dyDescent="0.25">
      <c r="A17142"/>
      <c r="B17142"/>
      <c r="C17142"/>
      <c r="E17142"/>
      <c r="F17142"/>
    </row>
    <row r="17143" spans="1:6" x14ac:dyDescent="0.25">
      <c r="A17143"/>
      <c r="B17143"/>
      <c r="C17143"/>
      <c r="E17143"/>
      <c r="F17143"/>
    </row>
    <row r="17144" spans="1:6" x14ac:dyDescent="0.25">
      <c r="A17144"/>
      <c r="B17144"/>
      <c r="C17144"/>
      <c r="E17144"/>
      <c r="F17144"/>
    </row>
    <row r="17145" spans="1:6" x14ac:dyDescent="0.25">
      <c r="A17145"/>
      <c r="B17145"/>
      <c r="C17145"/>
      <c r="E17145"/>
      <c r="F17145"/>
    </row>
    <row r="17146" spans="1:6" x14ac:dyDescent="0.25">
      <c r="A17146"/>
      <c r="B17146"/>
      <c r="C17146"/>
      <c r="E17146"/>
      <c r="F17146"/>
    </row>
    <row r="17147" spans="1:6" x14ac:dyDescent="0.25">
      <c r="A17147"/>
      <c r="B17147"/>
      <c r="C17147"/>
      <c r="E17147"/>
      <c r="F17147"/>
    </row>
    <row r="17148" spans="1:6" x14ac:dyDescent="0.25">
      <c r="A17148"/>
      <c r="B17148"/>
      <c r="C17148"/>
      <c r="E17148"/>
      <c r="F17148"/>
    </row>
    <row r="17149" spans="1:6" x14ac:dyDescent="0.25">
      <c r="A17149"/>
      <c r="B17149"/>
      <c r="C17149"/>
      <c r="E17149"/>
      <c r="F17149"/>
    </row>
    <row r="17150" spans="1:6" x14ac:dyDescent="0.25">
      <c r="A17150"/>
      <c r="B17150"/>
      <c r="C17150"/>
      <c r="E17150"/>
      <c r="F17150"/>
    </row>
    <row r="17151" spans="1:6" x14ac:dyDescent="0.25">
      <c r="A17151"/>
      <c r="B17151"/>
      <c r="C17151"/>
      <c r="E17151"/>
      <c r="F17151"/>
    </row>
    <row r="17152" spans="1:6" x14ac:dyDescent="0.25">
      <c r="A17152"/>
      <c r="B17152"/>
      <c r="C17152"/>
      <c r="E17152"/>
      <c r="F17152"/>
    </row>
    <row r="17153" spans="1:6" x14ac:dyDescent="0.25">
      <c r="A17153"/>
      <c r="B17153"/>
      <c r="C17153"/>
      <c r="E17153"/>
      <c r="F17153"/>
    </row>
    <row r="17154" spans="1:6" x14ac:dyDescent="0.25">
      <c r="A17154"/>
      <c r="B17154"/>
      <c r="C17154"/>
      <c r="E17154"/>
      <c r="F17154"/>
    </row>
    <row r="17155" spans="1:6" x14ac:dyDescent="0.25">
      <c r="A17155"/>
      <c r="B17155"/>
      <c r="C17155"/>
      <c r="E17155"/>
      <c r="F17155"/>
    </row>
    <row r="17156" spans="1:6" x14ac:dyDescent="0.25">
      <c r="A17156"/>
      <c r="B17156"/>
      <c r="C17156"/>
      <c r="E17156"/>
      <c r="F17156"/>
    </row>
    <row r="17157" spans="1:6" x14ac:dyDescent="0.25">
      <c r="A17157"/>
      <c r="B17157"/>
      <c r="C17157"/>
      <c r="E17157"/>
      <c r="F17157"/>
    </row>
    <row r="17158" spans="1:6" x14ac:dyDescent="0.25">
      <c r="A17158"/>
      <c r="B17158"/>
      <c r="C17158"/>
      <c r="E17158"/>
      <c r="F17158"/>
    </row>
    <row r="17159" spans="1:6" x14ac:dyDescent="0.25">
      <c r="A17159"/>
      <c r="B17159"/>
      <c r="C17159"/>
      <c r="E17159"/>
      <c r="F17159"/>
    </row>
    <row r="17160" spans="1:6" x14ac:dyDescent="0.25">
      <c r="A17160"/>
      <c r="B17160"/>
      <c r="C17160"/>
      <c r="E17160"/>
      <c r="F17160"/>
    </row>
    <row r="17161" spans="1:6" x14ac:dyDescent="0.25">
      <c r="A17161"/>
      <c r="B17161"/>
      <c r="C17161"/>
      <c r="E17161"/>
      <c r="F17161"/>
    </row>
    <row r="17162" spans="1:6" x14ac:dyDescent="0.25">
      <c r="A17162"/>
      <c r="B17162"/>
      <c r="C17162"/>
      <c r="E17162"/>
      <c r="F17162"/>
    </row>
    <row r="17163" spans="1:6" x14ac:dyDescent="0.25">
      <c r="A17163"/>
      <c r="B17163"/>
      <c r="C17163"/>
      <c r="E17163"/>
      <c r="F17163"/>
    </row>
    <row r="17164" spans="1:6" x14ac:dyDescent="0.25">
      <c r="A17164"/>
      <c r="B17164"/>
      <c r="C17164"/>
      <c r="E17164"/>
      <c r="F17164"/>
    </row>
    <row r="17165" spans="1:6" x14ac:dyDescent="0.25">
      <c r="A17165"/>
      <c r="B17165"/>
      <c r="C17165"/>
      <c r="E17165"/>
      <c r="F17165"/>
    </row>
    <row r="17166" spans="1:6" x14ac:dyDescent="0.25">
      <c r="A17166"/>
      <c r="B17166"/>
      <c r="C17166"/>
      <c r="E17166"/>
      <c r="F17166"/>
    </row>
    <row r="17167" spans="1:6" x14ac:dyDescent="0.25">
      <c r="A17167"/>
      <c r="B17167"/>
      <c r="C17167"/>
      <c r="E17167"/>
      <c r="F17167"/>
    </row>
    <row r="17168" spans="1:6" x14ac:dyDescent="0.25">
      <c r="A17168"/>
      <c r="B17168"/>
      <c r="C17168"/>
      <c r="E17168"/>
      <c r="F17168"/>
    </row>
    <row r="17169" spans="1:6" x14ac:dyDescent="0.25">
      <c r="A17169"/>
      <c r="B17169"/>
      <c r="C17169"/>
      <c r="E17169"/>
      <c r="F17169"/>
    </row>
    <row r="17170" spans="1:6" x14ac:dyDescent="0.25">
      <c r="A17170"/>
      <c r="B17170"/>
      <c r="C17170"/>
      <c r="E17170"/>
      <c r="F17170"/>
    </row>
    <row r="17171" spans="1:6" x14ac:dyDescent="0.25">
      <c r="A17171"/>
      <c r="B17171"/>
      <c r="C17171"/>
      <c r="E17171"/>
      <c r="F17171"/>
    </row>
    <row r="17172" spans="1:6" x14ac:dyDescent="0.25">
      <c r="A17172"/>
      <c r="B17172"/>
      <c r="C17172"/>
      <c r="E17172"/>
      <c r="F17172"/>
    </row>
    <row r="17173" spans="1:6" x14ac:dyDescent="0.25">
      <c r="A17173"/>
      <c r="B17173"/>
      <c r="C17173"/>
      <c r="E17173"/>
      <c r="F17173"/>
    </row>
    <row r="17174" spans="1:6" x14ac:dyDescent="0.25">
      <c r="A17174"/>
      <c r="B17174"/>
      <c r="C17174"/>
      <c r="E17174"/>
      <c r="F17174"/>
    </row>
    <row r="17175" spans="1:6" x14ac:dyDescent="0.25">
      <c r="A17175"/>
      <c r="B17175"/>
      <c r="C17175"/>
      <c r="E17175"/>
      <c r="F17175"/>
    </row>
    <row r="17176" spans="1:6" x14ac:dyDescent="0.25">
      <c r="A17176"/>
      <c r="B17176"/>
      <c r="C17176"/>
      <c r="E17176"/>
      <c r="F17176"/>
    </row>
    <row r="17177" spans="1:6" x14ac:dyDescent="0.25">
      <c r="A17177"/>
      <c r="B17177"/>
      <c r="C17177"/>
      <c r="E17177"/>
      <c r="F17177"/>
    </row>
    <row r="17178" spans="1:6" x14ac:dyDescent="0.25">
      <c r="A17178"/>
      <c r="B17178"/>
      <c r="C17178"/>
      <c r="E17178"/>
      <c r="F17178"/>
    </row>
    <row r="17179" spans="1:6" x14ac:dyDescent="0.25">
      <c r="A17179"/>
      <c r="B17179"/>
      <c r="C17179"/>
      <c r="E17179"/>
      <c r="F17179"/>
    </row>
    <row r="17180" spans="1:6" x14ac:dyDescent="0.25">
      <c r="A17180"/>
      <c r="B17180"/>
      <c r="C17180"/>
      <c r="E17180"/>
      <c r="F17180"/>
    </row>
    <row r="17181" spans="1:6" x14ac:dyDescent="0.25">
      <c r="A17181"/>
      <c r="B17181"/>
      <c r="C17181"/>
      <c r="E17181"/>
      <c r="F17181"/>
    </row>
    <row r="17182" spans="1:6" x14ac:dyDescent="0.25">
      <c r="A17182"/>
      <c r="B17182"/>
      <c r="C17182"/>
      <c r="E17182"/>
      <c r="F17182"/>
    </row>
    <row r="17183" spans="1:6" x14ac:dyDescent="0.25">
      <c r="A17183"/>
      <c r="B17183"/>
      <c r="C17183"/>
      <c r="E17183"/>
      <c r="F17183"/>
    </row>
    <row r="17184" spans="1:6" x14ac:dyDescent="0.25">
      <c r="A17184"/>
      <c r="B17184"/>
      <c r="C17184"/>
      <c r="E17184"/>
      <c r="F17184"/>
    </row>
    <row r="17185" spans="1:6" x14ac:dyDescent="0.25">
      <c r="A17185"/>
      <c r="B17185"/>
      <c r="C17185"/>
      <c r="E17185"/>
      <c r="F17185"/>
    </row>
    <row r="17186" spans="1:6" x14ac:dyDescent="0.25">
      <c r="A17186"/>
      <c r="B17186"/>
      <c r="C17186"/>
      <c r="E17186"/>
      <c r="F17186"/>
    </row>
    <row r="17187" spans="1:6" x14ac:dyDescent="0.25">
      <c r="A17187"/>
      <c r="B17187"/>
      <c r="C17187"/>
      <c r="E17187"/>
      <c r="F17187"/>
    </row>
    <row r="17188" spans="1:6" x14ac:dyDescent="0.25">
      <c r="A17188"/>
      <c r="B17188"/>
      <c r="C17188"/>
      <c r="E17188"/>
      <c r="F17188"/>
    </row>
    <row r="17189" spans="1:6" x14ac:dyDescent="0.25">
      <c r="A17189"/>
      <c r="B17189"/>
      <c r="C17189"/>
      <c r="E17189"/>
      <c r="F17189"/>
    </row>
    <row r="17190" spans="1:6" x14ac:dyDescent="0.25">
      <c r="A17190"/>
      <c r="B17190"/>
      <c r="C17190"/>
      <c r="E17190"/>
      <c r="F17190"/>
    </row>
    <row r="17191" spans="1:6" x14ac:dyDescent="0.25">
      <c r="A17191"/>
      <c r="B17191"/>
      <c r="C17191"/>
      <c r="E17191"/>
      <c r="F17191"/>
    </row>
    <row r="17192" spans="1:6" x14ac:dyDescent="0.25">
      <c r="A17192"/>
      <c r="B17192"/>
      <c r="C17192"/>
      <c r="E17192"/>
      <c r="F17192"/>
    </row>
    <row r="17193" spans="1:6" x14ac:dyDescent="0.25">
      <c r="A17193"/>
      <c r="B17193"/>
      <c r="C17193"/>
      <c r="E17193"/>
      <c r="F17193"/>
    </row>
    <row r="17194" spans="1:6" x14ac:dyDescent="0.25">
      <c r="A17194"/>
      <c r="B17194"/>
      <c r="C17194"/>
      <c r="E17194"/>
      <c r="F17194"/>
    </row>
    <row r="17195" spans="1:6" x14ac:dyDescent="0.25">
      <c r="A17195"/>
      <c r="B17195"/>
      <c r="C17195"/>
      <c r="E17195"/>
      <c r="F17195"/>
    </row>
    <row r="17196" spans="1:6" x14ac:dyDescent="0.25">
      <c r="A17196"/>
      <c r="B17196"/>
      <c r="C17196"/>
      <c r="E17196"/>
      <c r="F17196"/>
    </row>
    <row r="17197" spans="1:6" x14ac:dyDescent="0.25">
      <c r="A17197"/>
      <c r="B17197"/>
      <c r="C17197"/>
      <c r="E17197"/>
      <c r="F17197"/>
    </row>
    <row r="17198" spans="1:6" x14ac:dyDescent="0.25">
      <c r="A17198"/>
      <c r="B17198"/>
      <c r="C17198"/>
      <c r="E17198"/>
      <c r="F17198"/>
    </row>
    <row r="17199" spans="1:6" x14ac:dyDescent="0.25">
      <c r="A17199"/>
      <c r="B17199"/>
      <c r="C17199"/>
      <c r="E17199"/>
      <c r="F17199"/>
    </row>
    <row r="17200" spans="1:6" x14ac:dyDescent="0.25">
      <c r="A17200"/>
      <c r="B17200"/>
      <c r="C17200"/>
      <c r="E17200"/>
      <c r="F17200"/>
    </row>
    <row r="17201" spans="1:6" x14ac:dyDescent="0.25">
      <c r="A17201"/>
      <c r="B17201"/>
      <c r="C17201"/>
      <c r="E17201"/>
      <c r="F17201"/>
    </row>
    <row r="17202" spans="1:6" x14ac:dyDescent="0.25">
      <c r="A17202"/>
      <c r="B17202"/>
      <c r="C17202"/>
      <c r="E17202"/>
      <c r="F17202"/>
    </row>
    <row r="17203" spans="1:6" x14ac:dyDescent="0.25">
      <c r="A17203"/>
      <c r="B17203"/>
      <c r="C17203"/>
      <c r="E17203"/>
      <c r="F17203"/>
    </row>
    <row r="17204" spans="1:6" x14ac:dyDescent="0.25">
      <c r="A17204"/>
      <c r="B17204"/>
      <c r="C17204"/>
      <c r="E17204"/>
      <c r="F17204"/>
    </row>
    <row r="17205" spans="1:6" x14ac:dyDescent="0.25">
      <c r="A17205"/>
      <c r="B17205"/>
      <c r="C17205"/>
      <c r="E17205"/>
      <c r="F17205"/>
    </row>
    <row r="17206" spans="1:6" x14ac:dyDescent="0.25">
      <c r="A17206"/>
      <c r="B17206"/>
      <c r="C17206"/>
      <c r="E17206"/>
      <c r="F17206"/>
    </row>
    <row r="17207" spans="1:6" x14ac:dyDescent="0.25">
      <c r="A17207"/>
      <c r="B17207"/>
      <c r="C17207"/>
      <c r="E17207"/>
      <c r="F17207"/>
    </row>
    <row r="17208" spans="1:6" x14ac:dyDescent="0.25">
      <c r="A17208"/>
      <c r="B17208"/>
      <c r="C17208"/>
      <c r="E17208"/>
      <c r="F17208"/>
    </row>
    <row r="17209" spans="1:6" x14ac:dyDescent="0.25">
      <c r="A17209"/>
      <c r="B17209"/>
      <c r="C17209"/>
      <c r="E17209"/>
      <c r="F17209"/>
    </row>
    <row r="17210" spans="1:6" x14ac:dyDescent="0.25">
      <c r="A17210"/>
      <c r="B17210"/>
      <c r="C17210"/>
      <c r="E17210"/>
      <c r="F17210"/>
    </row>
    <row r="17211" spans="1:6" x14ac:dyDescent="0.25">
      <c r="A17211"/>
      <c r="B17211"/>
      <c r="C17211"/>
      <c r="E17211"/>
      <c r="F17211"/>
    </row>
    <row r="17212" spans="1:6" x14ac:dyDescent="0.25">
      <c r="A17212"/>
      <c r="B17212"/>
      <c r="C17212"/>
      <c r="E17212"/>
      <c r="F17212"/>
    </row>
    <row r="17213" spans="1:6" x14ac:dyDescent="0.25">
      <c r="A17213"/>
      <c r="B17213"/>
      <c r="C17213"/>
      <c r="E17213"/>
      <c r="F17213"/>
    </row>
    <row r="17214" spans="1:6" x14ac:dyDescent="0.25">
      <c r="A17214"/>
      <c r="B17214"/>
      <c r="C17214"/>
      <c r="E17214"/>
      <c r="F17214"/>
    </row>
    <row r="17215" spans="1:6" x14ac:dyDescent="0.25">
      <c r="A17215"/>
      <c r="B17215"/>
      <c r="C17215"/>
      <c r="E17215"/>
      <c r="F17215"/>
    </row>
    <row r="17216" spans="1:6" x14ac:dyDescent="0.25">
      <c r="A17216"/>
      <c r="B17216"/>
      <c r="C17216"/>
      <c r="E17216"/>
      <c r="F17216"/>
    </row>
    <row r="17217" spans="1:6" x14ac:dyDescent="0.25">
      <c r="A17217"/>
      <c r="B17217"/>
      <c r="C17217"/>
      <c r="E17217"/>
      <c r="F17217"/>
    </row>
    <row r="17218" spans="1:6" x14ac:dyDescent="0.25">
      <c r="A17218"/>
      <c r="B17218"/>
      <c r="C17218"/>
      <c r="E17218"/>
      <c r="F17218"/>
    </row>
    <row r="17219" spans="1:6" x14ac:dyDescent="0.25">
      <c r="A17219"/>
      <c r="B17219"/>
      <c r="C17219"/>
      <c r="E17219"/>
      <c r="F17219"/>
    </row>
    <row r="17220" spans="1:6" x14ac:dyDescent="0.25">
      <c r="A17220"/>
      <c r="B17220"/>
      <c r="C17220"/>
      <c r="E17220"/>
      <c r="F17220"/>
    </row>
    <row r="17221" spans="1:6" x14ac:dyDescent="0.25">
      <c r="A17221"/>
      <c r="B17221"/>
      <c r="C17221"/>
      <c r="E17221"/>
      <c r="F17221"/>
    </row>
    <row r="17222" spans="1:6" x14ac:dyDescent="0.25">
      <c r="A17222"/>
      <c r="B17222"/>
      <c r="C17222"/>
      <c r="E17222"/>
      <c r="F17222"/>
    </row>
    <row r="17223" spans="1:6" x14ac:dyDescent="0.25">
      <c r="A17223"/>
      <c r="B17223"/>
      <c r="C17223"/>
      <c r="E17223"/>
      <c r="F17223"/>
    </row>
    <row r="17224" spans="1:6" x14ac:dyDescent="0.25">
      <c r="A17224"/>
      <c r="B17224"/>
      <c r="C17224"/>
      <c r="E17224"/>
      <c r="F17224"/>
    </row>
    <row r="17225" spans="1:6" x14ac:dyDescent="0.25">
      <c r="A17225"/>
      <c r="B17225"/>
      <c r="C17225"/>
      <c r="E17225"/>
      <c r="F17225"/>
    </row>
    <row r="17226" spans="1:6" x14ac:dyDescent="0.25">
      <c r="A17226"/>
      <c r="B17226"/>
      <c r="C17226"/>
      <c r="E17226"/>
      <c r="F17226"/>
    </row>
    <row r="17227" spans="1:6" x14ac:dyDescent="0.25">
      <c r="A17227"/>
      <c r="B17227"/>
      <c r="C17227"/>
      <c r="E17227"/>
      <c r="F17227"/>
    </row>
    <row r="17228" spans="1:6" x14ac:dyDescent="0.25">
      <c r="A17228"/>
      <c r="B17228"/>
      <c r="C17228"/>
      <c r="E17228"/>
      <c r="F17228"/>
    </row>
    <row r="17229" spans="1:6" x14ac:dyDescent="0.25">
      <c r="A17229"/>
      <c r="B17229"/>
      <c r="C17229"/>
      <c r="E17229"/>
      <c r="F17229"/>
    </row>
    <row r="17230" spans="1:6" x14ac:dyDescent="0.25">
      <c r="A17230"/>
      <c r="B17230"/>
      <c r="C17230"/>
      <c r="E17230"/>
      <c r="F17230"/>
    </row>
    <row r="17231" spans="1:6" x14ac:dyDescent="0.25">
      <c r="A17231"/>
      <c r="B17231"/>
      <c r="C17231"/>
      <c r="E17231"/>
      <c r="F17231"/>
    </row>
    <row r="17232" spans="1:6" x14ac:dyDescent="0.25">
      <c r="A17232"/>
      <c r="B17232"/>
      <c r="C17232"/>
      <c r="E17232"/>
      <c r="F17232"/>
    </row>
    <row r="17233" spans="1:6" x14ac:dyDescent="0.25">
      <c r="A17233"/>
      <c r="B17233"/>
      <c r="C17233"/>
      <c r="E17233"/>
      <c r="F17233"/>
    </row>
    <row r="17234" spans="1:6" x14ac:dyDescent="0.25">
      <c r="A17234"/>
      <c r="B17234"/>
      <c r="C17234"/>
      <c r="E17234"/>
      <c r="F17234"/>
    </row>
    <row r="17235" spans="1:6" x14ac:dyDescent="0.25">
      <c r="A17235"/>
      <c r="B17235"/>
      <c r="C17235"/>
      <c r="E17235"/>
      <c r="F17235"/>
    </row>
    <row r="17236" spans="1:6" x14ac:dyDescent="0.25">
      <c r="A17236"/>
      <c r="B17236"/>
      <c r="C17236"/>
      <c r="E17236"/>
      <c r="F17236"/>
    </row>
    <row r="17237" spans="1:6" x14ac:dyDescent="0.25">
      <c r="A17237"/>
      <c r="B17237"/>
      <c r="C17237"/>
      <c r="E17237"/>
      <c r="F17237"/>
    </row>
    <row r="17238" spans="1:6" x14ac:dyDescent="0.25">
      <c r="A17238"/>
      <c r="B17238"/>
      <c r="C17238"/>
      <c r="E17238"/>
      <c r="F17238"/>
    </row>
    <row r="17239" spans="1:6" x14ac:dyDescent="0.25">
      <c r="A17239"/>
      <c r="B17239"/>
      <c r="C17239"/>
      <c r="E17239"/>
      <c r="F17239"/>
    </row>
    <row r="17240" spans="1:6" x14ac:dyDescent="0.25">
      <c r="A17240"/>
      <c r="B17240"/>
      <c r="C17240"/>
      <c r="E17240"/>
      <c r="F17240"/>
    </row>
    <row r="17241" spans="1:6" x14ac:dyDescent="0.25">
      <c r="A17241"/>
      <c r="B17241"/>
      <c r="C17241"/>
      <c r="E17241"/>
      <c r="F17241"/>
    </row>
    <row r="17242" spans="1:6" x14ac:dyDescent="0.25">
      <c r="A17242"/>
      <c r="B17242"/>
      <c r="C17242"/>
      <c r="E17242"/>
      <c r="F17242"/>
    </row>
    <row r="17243" spans="1:6" x14ac:dyDescent="0.25">
      <c r="A17243"/>
      <c r="B17243"/>
      <c r="C17243"/>
      <c r="E17243"/>
      <c r="F17243"/>
    </row>
    <row r="17244" spans="1:6" x14ac:dyDescent="0.25">
      <c r="A17244"/>
      <c r="B17244"/>
      <c r="C17244"/>
      <c r="E17244"/>
      <c r="F17244"/>
    </row>
    <row r="17245" spans="1:6" x14ac:dyDescent="0.25">
      <c r="A17245"/>
      <c r="B17245"/>
      <c r="C17245"/>
      <c r="E17245"/>
      <c r="F17245"/>
    </row>
    <row r="17246" spans="1:6" x14ac:dyDescent="0.25">
      <c r="A17246"/>
      <c r="B17246"/>
      <c r="C17246"/>
      <c r="E17246"/>
      <c r="F17246"/>
    </row>
    <row r="17247" spans="1:6" x14ac:dyDescent="0.25">
      <c r="A17247"/>
      <c r="B17247"/>
      <c r="C17247"/>
      <c r="E17247"/>
      <c r="F17247"/>
    </row>
    <row r="17248" spans="1:6" x14ac:dyDescent="0.25">
      <c r="A17248"/>
      <c r="B17248"/>
      <c r="C17248"/>
      <c r="E17248"/>
      <c r="F17248"/>
    </row>
    <row r="17249" spans="1:6" x14ac:dyDescent="0.25">
      <c r="A17249"/>
      <c r="B17249"/>
      <c r="C17249"/>
      <c r="E17249"/>
      <c r="F17249"/>
    </row>
    <row r="17250" spans="1:6" x14ac:dyDescent="0.25">
      <c r="A17250"/>
      <c r="B17250"/>
      <c r="C17250"/>
      <c r="E17250"/>
      <c r="F17250"/>
    </row>
    <row r="17251" spans="1:6" x14ac:dyDescent="0.25">
      <c r="A17251"/>
      <c r="B17251"/>
      <c r="C17251"/>
      <c r="E17251"/>
      <c r="F17251"/>
    </row>
    <row r="17252" spans="1:6" x14ac:dyDescent="0.25">
      <c r="A17252"/>
      <c r="B17252"/>
      <c r="C17252"/>
      <c r="E17252"/>
      <c r="F17252"/>
    </row>
    <row r="17253" spans="1:6" x14ac:dyDescent="0.25">
      <c r="A17253"/>
      <c r="B17253"/>
      <c r="C17253"/>
      <c r="E17253"/>
      <c r="F17253"/>
    </row>
    <row r="17254" spans="1:6" x14ac:dyDescent="0.25">
      <c r="A17254"/>
      <c r="B17254"/>
      <c r="C17254"/>
      <c r="E17254"/>
      <c r="F17254"/>
    </row>
    <row r="17255" spans="1:6" x14ac:dyDescent="0.25">
      <c r="A17255"/>
      <c r="B17255"/>
      <c r="C17255"/>
      <c r="E17255"/>
      <c r="F17255"/>
    </row>
    <row r="17256" spans="1:6" x14ac:dyDescent="0.25">
      <c r="A17256"/>
      <c r="B17256"/>
      <c r="C17256"/>
      <c r="E17256"/>
      <c r="F17256"/>
    </row>
    <row r="17257" spans="1:6" x14ac:dyDescent="0.25">
      <c r="A17257"/>
      <c r="B17257"/>
      <c r="C17257"/>
      <c r="E17257"/>
      <c r="F17257"/>
    </row>
    <row r="17258" spans="1:6" x14ac:dyDescent="0.25">
      <c r="A17258"/>
      <c r="B17258"/>
      <c r="C17258"/>
      <c r="E17258"/>
      <c r="F17258"/>
    </row>
    <row r="17259" spans="1:6" x14ac:dyDescent="0.25">
      <c r="A17259"/>
      <c r="B17259"/>
      <c r="C17259"/>
      <c r="E17259"/>
      <c r="F17259"/>
    </row>
    <row r="17260" spans="1:6" x14ac:dyDescent="0.25">
      <c r="A17260"/>
      <c r="B17260"/>
      <c r="C17260"/>
      <c r="E17260"/>
      <c r="F17260"/>
    </row>
    <row r="17261" spans="1:6" x14ac:dyDescent="0.25">
      <c r="A17261"/>
      <c r="B17261"/>
      <c r="C17261"/>
      <c r="E17261"/>
      <c r="F17261"/>
    </row>
    <row r="17262" spans="1:6" x14ac:dyDescent="0.25">
      <c r="A17262"/>
      <c r="B17262"/>
      <c r="C17262"/>
      <c r="E17262"/>
      <c r="F17262"/>
    </row>
    <row r="17263" spans="1:6" x14ac:dyDescent="0.25">
      <c r="A17263"/>
      <c r="B17263"/>
      <c r="C17263"/>
      <c r="E17263"/>
      <c r="F17263"/>
    </row>
    <row r="17264" spans="1:6" x14ac:dyDescent="0.25">
      <c r="A17264"/>
      <c r="B17264"/>
      <c r="C17264"/>
      <c r="E17264"/>
      <c r="F17264"/>
    </row>
    <row r="17265" spans="1:6" x14ac:dyDescent="0.25">
      <c r="A17265"/>
      <c r="B17265"/>
      <c r="C17265"/>
      <c r="E17265"/>
      <c r="F17265"/>
    </row>
    <row r="17266" spans="1:6" x14ac:dyDescent="0.25">
      <c r="A17266"/>
      <c r="B17266"/>
      <c r="C17266"/>
      <c r="E17266"/>
      <c r="F17266"/>
    </row>
    <row r="17267" spans="1:6" x14ac:dyDescent="0.25">
      <c r="A17267"/>
      <c r="B17267"/>
      <c r="C17267"/>
      <c r="E17267"/>
      <c r="F17267"/>
    </row>
    <row r="17268" spans="1:6" x14ac:dyDescent="0.25">
      <c r="A17268"/>
      <c r="B17268"/>
      <c r="C17268"/>
      <c r="E17268"/>
      <c r="F17268"/>
    </row>
    <row r="17269" spans="1:6" x14ac:dyDescent="0.25">
      <c r="A17269"/>
      <c r="B17269"/>
      <c r="C17269"/>
      <c r="E17269"/>
      <c r="F17269"/>
    </row>
    <row r="17270" spans="1:6" x14ac:dyDescent="0.25">
      <c r="A17270"/>
      <c r="B17270"/>
      <c r="C17270"/>
      <c r="E17270"/>
      <c r="F17270"/>
    </row>
    <row r="17271" spans="1:6" x14ac:dyDescent="0.25">
      <c r="A17271"/>
      <c r="B17271"/>
      <c r="C17271"/>
      <c r="E17271"/>
      <c r="F17271"/>
    </row>
    <row r="17272" spans="1:6" x14ac:dyDescent="0.25">
      <c r="A17272"/>
      <c r="B17272"/>
      <c r="C17272"/>
      <c r="E17272"/>
      <c r="F17272"/>
    </row>
    <row r="17273" spans="1:6" x14ac:dyDescent="0.25">
      <c r="A17273"/>
      <c r="B17273"/>
      <c r="C17273"/>
      <c r="E17273"/>
      <c r="F17273"/>
    </row>
    <row r="17274" spans="1:6" x14ac:dyDescent="0.25">
      <c r="A17274"/>
      <c r="B17274"/>
      <c r="C17274"/>
      <c r="E17274"/>
      <c r="F17274"/>
    </row>
    <row r="17275" spans="1:6" x14ac:dyDescent="0.25">
      <c r="A17275"/>
      <c r="B17275"/>
      <c r="C17275"/>
      <c r="E17275"/>
      <c r="F17275"/>
    </row>
    <row r="17276" spans="1:6" x14ac:dyDescent="0.25">
      <c r="A17276"/>
      <c r="B17276"/>
      <c r="C17276"/>
      <c r="E17276"/>
      <c r="F17276"/>
    </row>
    <row r="17277" spans="1:6" x14ac:dyDescent="0.25">
      <c r="A17277"/>
      <c r="B17277"/>
      <c r="C17277"/>
      <c r="E17277"/>
      <c r="F17277"/>
    </row>
    <row r="17278" spans="1:6" x14ac:dyDescent="0.25">
      <c r="A17278"/>
      <c r="B17278"/>
      <c r="C17278"/>
      <c r="E17278"/>
      <c r="F17278"/>
    </row>
    <row r="17279" spans="1:6" x14ac:dyDescent="0.25">
      <c r="A17279"/>
      <c r="B17279"/>
      <c r="C17279"/>
      <c r="E17279"/>
      <c r="F17279"/>
    </row>
    <row r="17280" spans="1:6" x14ac:dyDescent="0.25">
      <c r="A17280"/>
      <c r="B17280"/>
      <c r="C17280"/>
      <c r="E17280"/>
      <c r="F17280"/>
    </row>
    <row r="17281" spans="1:6" x14ac:dyDescent="0.25">
      <c r="A17281"/>
      <c r="B17281"/>
      <c r="C17281"/>
      <c r="E17281"/>
      <c r="F17281"/>
    </row>
    <row r="17282" spans="1:6" x14ac:dyDescent="0.25">
      <c r="A17282"/>
      <c r="B17282"/>
      <c r="C17282"/>
      <c r="E17282"/>
      <c r="F17282"/>
    </row>
    <row r="17283" spans="1:6" x14ac:dyDescent="0.25">
      <c r="A17283"/>
      <c r="B17283"/>
      <c r="C17283"/>
      <c r="E17283"/>
      <c r="F17283"/>
    </row>
    <row r="17284" spans="1:6" x14ac:dyDescent="0.25">
      <c r="A17284"/>
      <c r="B17284"/>
      <c r="C17284"/>
      <c r="E17284"/>
      <c r="F17284"/>
    </row>
    <row r="17285" spans="1:6" x14ac:dyDescent="0.25">
      <c r="A17285"/>
      <c r="B17285"/>
      <c r="C17285"/>
      <c r="E17285"/>
      <c r="F17285"/>
    </row>
    <row r="17286" spans="1:6" x14ac:dyDescent="0.25">
      <c r="A17286"/>
      <c r="B17286"/>
      <c r="C17286"/>
      <c r="E17286"/>
      <c r="F17286"/>
    </row>
    <row r="17287" spans="1:6" x14ac:dyDescent="0.25">
      <c r="A17287"/>
      <c r="B17287"/>
      <c r="C17287"/>
      <c r="E17287"/>
      <c r="F17287"/>
    </row>
    <row r="17288" spans="1:6" x14ac:dyDescent="0.25">
      <c r="A17288"/>
      <c r="B17288"/>
      <c r="C17288"/>
      <c r="E17288"/>
      <c r="F17288"/>
    </row>
    <row r="17289" spans="1:6" x14ac:dyDescent="0.25">
      <c r="A17289"/>
      <c r="B17289"/>
      <c r="C17289"/>
      <c r="E17289"/>
      <c r="F17289"/>
    </row>
    <row r="17290" spans="1:6" x14ac:dyDescent="0.25">
      <c r="A17290"/>
      <c r="B17290"/>
      <c r="C17290"/>
      <c r="E17290"/>
      <c r="F17290"/>
    </row>
    <row r="17291" spans="1:6" x14ac:dyDescent="0.25">
      <c r="A17291"/>
      <c r="B17291"/>
      <c r="C17291"/>
      <c r="E17291"/>
      <c r="F17291"/>
    </row>
    <row r="17292" spans="1:6" x14ac:dyDescent="0.25">
      <c r="A17292"/>
      <c r="B17292"/>
      <c r="C17292"/>
      <c r="E17292"/>
      <c r="F17292"/>
    </row>
    <row r="17293" spans="1:6" x14ac:dyDescent="0.25">
      <c r="A17293"/>
      <c r="B17293"/>
      <c r="C17293"/>
      <c r="E17293"/>
      <c r="F17293"/>
    </row>
    <row r="17294" spans="1:6" x14ac:dyDescent="0.25">
      <c r="A17294"/>
      <c r="B17294"/>
      <c r="C17294"/>
      <c r="E17294"/>
      <c r="F17294"/>
    </row>
    <row r="17295" spans="1:6" x14ac:dyDescent="0.25">
      <c r="A17295"/>
      <c r="B17295"/>
      <c r="C17295"/>
      <c r="E17295"/>
      <c r="F17295"/>
    </row>
    <row r="17296" spans="1:6" x14ac:dyDescent="0.25">
      <c r="A17296"/>
      <c r="B17296"/>
      <c r="C17296"/>
      <c r="E17296"/>
      <c r="F17296"/>
    </row>
    <row r="17297" spans="1:6" x14ac:dyDescent="0.25">
      <c r="A17297"/>
      <c r="B17297"/>
      <c r="C17297"/>
      <c r="E17297"/>
      <c r="F17297"/>
    </row>
    <row r="17298" spans="1:6" x14ac:dyDescent="0.25">
      <c r="A17298"/>
      <c r="B17298"/>
      <c r="C17298"/>
      <c r="E17298"/>
      <c r="F17298"/>
    </row>
    <row r="17299" spans="1:6" x14ac:dyDescent="0.25">
      <c r="A17299"/>
      <c r="B17299"/>
      <c r="C17299"/>
      <c r="E17299"/>
      <c r="F17299"/>
    </row>
    <row r="17300" spans="1:6" x14ac:dyDescent="0.25">
      <c r="A17300"/>
      <c r="B17300"/>
      <c r="C17300"/>
      <c r="E17300"/>
      <c r="F17300"/>
    </row>
    <row r="17301" spans="1:6" x14ac:dyDescent="0.25">
      <c r="A17301"/>
      <c r="B17301"/>
      <c r="C17301"/>
      <c r="E17301"/>
      <c r="F17301"/>
    </row>
    <row r="17302" spans="1:6" x14ac:dyDescent="0.25">
      <c r="A17302"/>
      <c r="B17302"/>
      <c r="C17302"/>
      <c r="E17302"/>
      <c r="F17302"/>
    </row>
    <row r="17303" spans="1:6" x14ac:dyDescent="0.25">
      <c r="A17303"/>
      <c r="B17303"/>
      <c r="C17303"/>
      <c r="E17303"/>
      <c r="F17303"/>
    </row>
    <row r="17304" spans="1:6" x14ac:dyDescent="0.25">
      <c r="A17304"/>
      <c r="B17304"/>
      <c r="C17304"/>
      <c r="E17304"/>
      <c r="F17304"/>
    </row>
    <row r="17305" spans="1:6" x14ac:dyDescent="0.25">
      <c r="A17305"/>
      <c r="B17305"/>
      <c r="C17305"/>
      <c r="E17305"/>
      <c r="F17305"/>
    </row>
    <row r="17306" spans="1:6" x14ac:dyDescent="0.25">
      <c r="A17306"/>
      <c r="B17306"/>
      <c r="C17306"/>
      <c r="E17306"/>
      <c r="F17306"/>
    </row>
    <row r="17307" spans="1:6" x14ac:dyDescent="0.25">
      <c r="A17307"/>
      <c r="B17307"/>
      <c r="C17307"/>
      <c r="E17307"/>
      <c r="F17307"/>
    </row>
    <row r="17308" spans="1:6" x14ac:dyDescent="0.25">
      <c r="A17308"/>
      <c r="B17308"/>
      <c r="C17308"/>
      <c r="E17308"/>
      <c r="F17308"/>
    </row>
    <row r="17309" spans="1:6" x14ac:dyDescent="0.25">
      <c r="A17309"/>
      <c r="B17309"/>
      <c r="C17309"/>
      <c r="E17309"/>
      <c r="F17309"/>
    </row>
    <row r="17310" spans="1:6" x14ac:dyDescent="0.25">
      <c r="A17310"/>
      <c r="B17310"/>
      <c r="C17310"/>
      <c r="E17310"/>
      <c r="F17310"/>
    </row>
    <row r="17311" spans="1:6" x14ac:dyDescent="0.25">
      <c r="A17311"/>
      <c r="B17311"/>
      <c r="C17311"/>
      <c r="E17311"/>
      <c r="F17311"/>
    </row>
    <row r="17312" spans="1:6" x14ac:dyDescent="0.25">
      <c r="A17312"/>
      <c r="B17312"/>
      <c r="C17312"/>
      <c r="E17312"/>
      <c r="F17312"/>
    </row>
    <row r="17313" spans="1:6" x14ac:dyDescent="0.25">
      <c r="A17313"/>
      <c r="B17313"/>
      <c r="C17313"/>
      <c r="E17313"/>
      <c r="F17313"/>
    </row>
    <row r="17314" spans="1:6" x14ac:dyDescent="0.25">
      <c r="A17314"/>
      <c r="B17314"/>
      <c r="C17314"/>
      <c r="E17314"/>
      <c r="F17314"/>
    </row>
    <row r="17315" spans="1:6" x14ac:dyDescent="0.25">
      <c r="A17315"/>
      <c r="B17315"/>
      <c r="C17315"/>
      <c r="E17315"/>
      <c r="F17315"/>
    </row>
    <row r="17316" spans="1:6" x14ac:dyDescent="0.25">
      <c r="A17316"/>
      <c r="B17316"/>
      <c r="C17316"/>
      <c r="E17316"/>
      <c r="F17316"/>
    </row>
    <row r="17317" spans="1:6" x14ac:dyDescent="0.25">
      <c r="A17317"/>
      <c r="B17317"/>
      <c r="C17317"/>
      <c r="E17317"/>
      <c r="F17317"/>
    </row>
    <row r="17318" spans="1:6" x14ac:dyDescent="0.25">
      <c r="A17318"/>
      <c r="B17318"/>
      <c r="C17318"/>
      <c r="E17318"/>
      <c r="F17318"/>
    </row>
    <row r="17319" spans="1:6" x14ac:dyDescent="0.25">
      <c r="A17319"/>
      <c r="B17319"/>
      <c r="C17319"/>
      <c r="E17319"/>
      <c r="F17319"/>
    </row>
    <row r="17320" spans="1:6" x14ac:dyDescent="0.25">
      <c r="A17320"/>
      <c r="B17320"/>
      <c r="C17320"/>
      <c r="E17320"/>
      <c r="F17320"/>
    </row>
    <row r="17321" spans="1:6" x14ac:dyDescent="0.25">
      <c r="A17321"/>
      <c r="B17321"/>
      <c r="C17321"/>
      <c r="E17321"/>
      <c r="F17321"/>
    </row>
    <row r="17322" spans="1:6" x14ac:dyDescent="0.25">
      <c r="A17322"/>
      <c r="B17322"/>
      <c r="C17322"/>
      <c r="E17322"/>
      <c r="F17322"/>
    </row>
    <row r="17323" spans="1:6" x14ac:dyDescent="0.25">
      <c r="A17323"/>
      <c r="B17323"/>
      <c r="C17323"/>
      <c r="E17323"/>
      <c r="F17323"/>
    </row>
    <row r="17324" spans="1:6" x14ac:dyDescent="0.25">
      <c r="A17324"/>
      <c r="B17324"/>
      <c r="C17324"/>
      <c r="E17324"/>
      <c r="F17324"/>
    </row>
    <row r="17325" spans="1:6" x14ac:dyDescent="0.25">
      <c r="A17325"/>
      <c r="B17325"/>
      <c r="C17325"/>
      <c r="E17325"/>
      <c r="F17325"/>
    </row>
    <row r="17326" spans="1:6" x14ac:dyDescent="0.25">
      <c r="A17326"/>
      <c r="B17326"/>
      <c r="C17326"/>
      <c r="E17326"/>
      <c r="F17326"/>
    </row>
    <row r="17327" spans="1:6" x14ac:dyDescent="0.25">
      <c r="A17327"/>
      <c r="B17327"/>
      <c r="C17327"/>
      <c r="E17327"/>
      <c r="F17327"/>
    </row>
    <row r="17328" spans="1:6" x14ac:dyDescent="0.25">
      <c r="A17328"/>
      <c r="B17328"/>
      <c r="C17328"/>
      <c r="E17328"/>
      <c r="F17328"/>
    </row>
    <row r="17329" spans="1:6" x14ac:dyDescent="0.25">
      <c r="A17329"/>
      <c r="B17329"/>
      <c r="C17329"/>
      <c r="E17329"/>
      <c r="F17329"/>
    </row>
    <row r="17330" spans="1:6" x14ac:dyDescent="0.25">
      <c r="A17330"/>
      <c r="B17330"/>
      <c r="C17330"/>
      <c r="E17330"/>
      <c r="F17330"/>
    </row>
    <row r="17331" spans="1:6" x14ac:dyDescent="0.25">
      <c r="A17331"/>
      <c r="B17331"/>
      <c r="C17331"/>
      <c r="E17331"/>
      <c r="F17331"/>
    </row>
    <row r="17332" spans="1:6" x14ac:dyDescent="0.25">
      <c r="A17332"/>
      <c r="B17332"/>
      <c r="C17332"/>
      <c r="E17332"/>
      <c r="F17332"/>
    </row>
    <row r="17333" spans="1:6" x14ac:dyDescent="0.25">
      <c r="A17333"/>
      <c r="B17333"/>
      <c r="C17333"/>
      <c r="E17333"/>
      <c r="F17333"/>
    </row>
    <row r="17334" spans="1:6" x14ac:dyDescent="0.25">
      <c r="A17334"/>
      <c r="B17334"/>
      <c r="C17334"/>
      <c r="E17334"/>
      <c r="F17334"/>
    </row>
    <row r="17335" spans="1:6" x14ac:dyDescent="0.25">
      <c r="A17335"/>
      <c r="B17335"/>
      <c r="C17335"/>
      <c r="E17335"/>
      <c r="F17335"/>
    </row>
    <row r="17336" spans="1:6" x14ac:dyDescent="0.25">
      <c r="A17336"/>
      <c r="B17336"/>
      <c r="C17336"/>
      <c r="E17336"/>
      <c r="F17336"/>
    </row>
    <row r="17337" spans="1:6" x14ac:dyDescent="0.25">
      <c r="A17337"/>
      <c r="B17337"/>
      <c r="C17337"/>
      <c r="E17337"/>
      <c r="F17337"/>
    </row>
    <row r="17338" spans="1:6" x14ac:dyDescent="0.25">
      <c r="A17338"/>
      <c r="B17338"/>
      <c r="C17338"/>
      <c r="E17338"/>
      <c r="F17338"/>
    </row>
    <row r="17339" spans="1:6" x14ac:dyDescent="0.25">
      <c r="A17339"/>
      <c r="B17339"/>
      <c r="C17339"/>
      <c r="E17339"/>
      <c r="F17339"/>
    </row>
    <row r="17340" spans="1:6" x14ac:dyDescent="0.25">
      <c r="A17340"/>
      <c r="B17340"/>
      <c r="C17340"/>
      <c r="E17340"/>
      <c r="F17340"/>
    </row>
    <row r="17341" spans="1:6" x14ac:dyDescent="0.25">
      <c r="A17341"/>
      <c r="B17341"/>
      <c r="C17341"/>
      <c r="E17341"/>
      <c r="F17341"/>
    </row>
    <row r="17342" spans="1:6" x14ac:dyDescent="0.25">
      <c r="A17342"/>
      <c r="B17342"/>
      <c r="C17342"/>
      <c r="E17342"/>
      <c r="F17342"/>
    </row>
    <row r="17343" spans="1:6" x14ac:dyDescent="0.25">
      <c r="A17343"/>
      <c r="B17343"/>
      <c r="C17343"/>
      <c r="E17343"/>
      <c r="F17343"/>
    </row>
    <row r="17344" spans="1:6" x14ac:dyDescent="0.25">
      <c r="A17344"/>
      <c r="B17344"/>
      <c r="C17344"/>
      <c r="E17344"/>
      <c r="F17344"/>
    </row>
    <row r="17345" spans="1:6" x14ac:dyDescent="0.25">
      <c r="A17345"/>
      <c r="B17345"/>
      <c r="C17345"/>
      <c r="E17345"/>
      <c r="F17345"/>
    </row>
    <row r="17346" spans="1:6" x14ac:dyDescent="0.25">
      <c r="A17346"/>
      <c r="B17346"/>
      <c r="C17346"/>
      <c r="E17346"/>
      <c r="F17346"/>
    </row>
    <row r="17347" spans="1:6" x14ac:dyDescent="0.25">
      <c r="A17347"/>
      <c r="B17347"/>
      <c r="C17347"/>
      <c r="E17347"/>
      <c r="F17347"/>
    </row>
    <row r="17348" spans="1:6" x14ac:dyDescent="0.25">
      <c r="A17348"/>
      <c r="B17348"/>
      <c r="C17348"/>
      <c r="E17348"/>
      <c r="F17348"/>
    </row>
    <row r="17349" spans="1:6" x14ac:dyDescent="0.25">
      <c r="A17349"/>
      <c r="B17349"/>
      <c r="C17349"/>
      <c r="E17349"/>
      <c r="F17349"/>
    </row>
    <row r="17350" spans="1:6" x14ac:dyDescent="0.25">
      <c r="A17350"/>
      <c r="B17350"/>
      <c r="C17350"/>
      <c r="E17350"/>
      <c r="F17350"/>
    </row>
    <row r="17351" spans="1:6" x14ac:dyDescent="0.25">
      <c r="A17351"/>
      <c r="B17351"/>
      <c r="C17351"/>
      <c r="E17351"/>
      <c r="F17351"/>
    </row>
    <row r="17352" spans="1:6" x14ac:dyDescent="0.25">
      <c r="A17352"/>
      <c r="B17352"/>
      <c r="C17352"/>
      <c r="E17352"/>
      <c r="F17352"/>
    </row>
    <row r="17353" spans="1:6" x14ac:dyDescent="0.25">
      <c r="A17353"/>
      <c r="B17353"/>
      <c r="C17353"/>
      <c r="E17353"/>
      <c r="F17353"/>
    </row>
    <row r="17354" spans="1:6" x14ac:dyDescent="0.25">
      <c r="A17354"/>
      <c r="B17354"/>
      <c r="C17354"/>
      <c r="E17354"/>
      <c r="F17354"/>
    </row>
    <row r="17355" spans="1:6" x14ac:dyDescent="0.25">
      <c r="A17355"/>
      <c r="B17355"/>
      <c r="C17355"/>
      <c r="E17355"/>
      <c r="F17355"/>
    </row>
    <row r="17356" spans="1:6" x14ac:dyDescent="0.25">
      <c r="A17356"/>
      <c r="B17356"/>
      <c r="C17356"/>
      <c r="E17356"/>
      <c r="F17356"/>
    </row>
    <row r="17357" spans="1:6" x14ac:dyDescent="0.25">
      <c r="A17357"/>
      <c r="B17357"/>
      <c r="C17357"/>
      <c r="E17357"/>
      <c r="F17357"/>
    </row>
    <row r="17358" spans="1:6" x14ac:dyDescent="0.25">
      <c r="A17358"/>
      <c r="B17358"/>
      <c r="C17358"/>
      <c r="E17358"/>
      <c r="F17358"/>
    </row>
    <row r="17359" spans="1:6" x14ac:dyDescent="0.25">
      <c r="A17359"/>
      <c r="B17359"/>
      <c r="C17359"/>
      <c r="E17359"/>
      <c r="F17359"/>
    </row>
    <row r="17360" spans="1:6" x14ac:dyDescent="0.25">
      <c r="A17360"/>
      <c r="B17360"/>
      <c r="C17360"/>
      <c r="E17360"/>
      <c r="F17360"/>
    </row>
    <row r="17361" spans="1:6" x14ac:dyDescent="0.25">
      <c r="A17361"/>
      <c r="B17361"/>
      <c r="C17361"/>
      <c r="E17361"/>
      <c r="F17361"/>
    </row>
    <row r="17362" spans="1:6" x14ac:dyDescent="0.25">
      <c r="A17362"/>
      <c r="B17362"/>
      <c r="C17362"/>
      <c r="E17362"/>
      <c r="F17362"/>
    </row>
    <row r="17363" spans="1:6" x14ac:dyDescent="0.25">
      <c r="A17363"/>
      <c r="B17363"/>
      <c r="C17363"/>
      <c r="E17363"/>
      <c r="F17363"/>
    </row>
    <row r="17364" spans="1:6" x14ac:dyDescent="0.25">
      <c r="A17364"/>
      <c r="B17364"/>
      <c r="C17364"/>
      <c r="E17364"/>
      <c r="F17364"/>
    </row>
    <row r="17365" spans="1:6" x14ac:dyDescent="0.25">
      <c r="A17365"/>
      <c r="B17365"/>
      <c r="C17365"/>
      <c r="E17365"/>
      <c r="F17365"/>
    </row>
    <row r="17366" spans="1:6" x14ac:dyDescent="0.25">
      <c r="A17366"/>
      <c r="B17366"/>
      <c r="C17366"/>
      <c r="E17366"/>
      <c r="F17366"/>
    </row>
    <row r="17367" spans="1:6" x14ac:dyDescent="0.25">
      <c r="A17367"/>
      <c r="B17367"/>
      <c r="C17367"/>
      <c r="E17367"/>
      <c r="F17367"/>
    </row>
    <row r="17368" spans="1:6" x14ac:dyDescent="0.25">
      <c r="A17368"/>
      <c r="B17368"/>
      <c r="C17368"/>
      <c r="E17368"/>
      <c r="F17368"/>
    </row>
    <row r="17369" spans="1:6" x14ac:dyDescent="0.25">
      <c r="A17369"/>
      <c r="B17369"/>
      <c r="C17369"/>
      <c r="E17369"/>
      <c r="F17369"/>
    </row>
    <row r="17370" spans="1:6" x14ac:dyDescent="0.25">
      <c r="A17370"/>
      <c r="B17370"/>
      <c r="C17370"/>
      <c r="E17370"/>
      <c r="F17370"/>
    </row>
    <row r="17371" spans="1:6" x14ac:dyDescent="0.25">
      <c r="A17371"/>
      <c r="B17371"/>
      <c r="C17371"/>
      <c r="E17371"/>
      <c r="F17371"/>
    </row>
    <row r="17372" spans="1:6" x14ac:dyDescent="0.25">
      <c r="A17372"/>
      <c r="B17372"/>
      <c r="C17372"/>
      <c r="E17372"/>
      <c r="F17372"/>
    </row>
    <row r="17373" spans="1:6" x14ac:dyDescent="0.25">
      <c r="A17373"/>
      <c r="B17373"/>
      <c r="C17373"/>
      <c r="E17373"/>
      <c r="F17373"/>
    </row>
    <row r="17374" spans="1:6" x14ac:dyDescent="0.25">
      <c r="A17374"/>
      <c r="B17374"/>
      <c r="C17374"/>
      <c r="E17374"/>
      <c r="F17374"/>
    </row>
    <row r="17375" spans="1:6" x14ac:dyDescent="0.25">
      <c r="A17375"/>
      <c r="B17375"/>
      <c r="C17375"/>
      <c r="E17375"/>
      <c r="F17375"/>
    </row>
    <row r="17376" spans="1:6" x14ac:dyDescent="0.25">
      <c r="A17376"/>
      <c r="B17376"/>
      <c r="C17376"/>
      <c r="E17376"/>
      <c r="F17376"/>
    </row>
    <row r="17377" spans="1:6" x14ac:dyDescent="0.25">
      <c r="A17377"/>
      <c r="B17377"/>
      <c r="C17377"/>
      <c r="E17377"/>
      <c r="F17377"/>
    </row>
    <row r="17378" spans="1:6" x14ac:dyDescent="0.25">
      <c r="A17378"/>
      <c r="B17378"/>
      <c r="C17378"/>
      <c r="E17378"/>
      <c r="F17378"/>
    </row>
    <row r="17379" spans="1:6" x14ac:dyDescent="0.25">
      <c r="A17379"/>
      <c r="B17379"/>
      <c r="C17379"/>
      <c r="E17379"/>
      <c r="F17379"/>
    </row>
    <row r="17380" spans="1:6" x14ac:dyDescent="0.25">
      <c r="A17380"/>
      <c r="B17380"/>
      <c r="C17380"/>
      <c r="E17380"/>
      <c r="F17380"/>
    </row>
    <row r="17381" spans="1:6" x14ac:dyDescent="0.25">
      <c r="A17381"/>
      <c r="B17381"/>
      <c r="C17381"/>
      <c r="E17381"/>
      <c r="F17381"/>
    </row>
    <row r="17382" spans="1:6" x14ac:dyDescent="0.25">
      <c r="A17382"/>
      <c r="B17382"/>
      <c r="C17382"/>
      <c r="E17382"/>
      <c r="F17382"/>
    </row>
    <row r="17383" spans="1:6" x14ac:dyDescent="0.25">
      <c r="A17383"/>
      <c r="B17383"/>
      <c r="C17383"/>
      <c r="E17383"/>
      <c r="F17383"/>
    </row>
    <row r="17384" spans="1:6" x14ac:dyDescent="0.25">
      <c r="A17384"/>
      <c r="B17384"/>
      <c r="C17384"/>
      <c r="E17384"/>
      <c r="F17384"/>
    </row>
    <row r="17385" spans="1:6" x14ac:dyDescent="0.25">
      <c r="A17385"/>
      <c r="B17385"/>
      <c r="C17385"/>
      <c r="E17385"/>
      <c r="F17385"/>
    </row>
    <row r="17386" spans="1:6" x14ac:dyDescent="0.25">
      <c r="A17386"/>
      <c r="B17386"/>
      <c r="C17386"/>
      <c r="E17386"/>
      <c r="F17386"/>
    </row>
    <row r="17387" spans="1:6" x14ac:dyDescent="0.25">
      <c r="A17387"/>
      <c r="B17387"/>
      <c r="C17387"/>
      <c r="E17387"/>
      <c r="F17387"/>
    </row>
    <row r="17388" spans="1:6" x14ac:dyDescent="0.25">
      <c r="A17388"/>
      <c r="B17388"/>
      <c r="C17388"/>
      <c r="E17388"/>
      <c r="F17388"/>
    </row>
    <row r="17389" spans="1:6" x14ac:dyDescent="0.25">
      <c r="A17389"/>
      <c r="B17389"/>
      <c r="C17389"/>
      <c r="E17389"/>
      <c r="F17389"/>
    </row>
    <row r="17390" spans="1:6" x14ac:dyDescent="0.25">
      <c r="A17390"/>
      <c r="B17390"/>
      <c r="C17390"/>
      <c r="E17390"/>
      <c r="F17390"/>
    </row>
    <row r="17391" spans="1:6" x14ac:dyDescent="0.25">
      <c r="A17391"/>
      <c r="B17391"/>
      <c r="C17391"/>
      <c r="E17391"/>
      <c r="F17391"/>
    </row>
    <row r="17392" spans="1:6" x14ac:dyDescent="0.25">
      <c r="A17392"/>
      <c r="B17392"/>
      <c r="C17392"/>
      <c r="E17392"/>
      <c r="F17392"/>
    </row>
    <row r="17393" spans="1:6" x14ac:dyDescent="0.25">
      <c r="A17393"/>
      <c r="B17393"/>
      <c r="C17393"/>
      <c r="E17393"/>
      <c r="F17393"/>
    </row>
    <row r="17394" spans="1:6" x14ac:dyDescent="0.25">
      <c r="A17394"/>
      <c r="B17394"/>
      <c r="C17394"/>
      <c r="E17394"/>
      <c r="F17394"/>
    </row>
    <row r="17395" spans="1:6" x14ac:dyDescent="0.25">
      <c r="A17395"/>
      <c r="B17395"/>
      <c r="C17395"/>
      <c r="E17395"/>
      <c r="F17395"/>
    </row>
    <row r="17396" spans="1:6" x14ac:dyDescent="0.25">
      <c r="A17396"/>
      <c r="B17396"/>
      <c r="C17396"/>
      <c r="E17396"/>
      <c r="F17396"/>
    </row>
    <row r="17397" spans="1:6" x14ac:dyDescent="0.25">
      <c r="A17397"/>
      <c r="B17397"/>
      <c r="C17397"/>
      <c r="E17397"/>
      <c r="F17397"/>
    </row>
    <row r="17398" spans="1:6" x14ac:dyDescent="0.25">
      <c r="A17398"/>
      <c r="B17398"/>
      <c r="C17398"/>
      <c r="E17398"/>
      <c r="F17398"/>
    </row>
    <row r="17399" spans="1:6" x14ac:dyDescent="0.25">
      <c r="A17399"/>
      <c r="B17399"/>
      <c r="C17399"/>
      <c r="E17399"/>
      <c r="F17399"/>
    </row>
    <row r="17400" spans="1:6" x14ac:dyDescent="0.25">
      <c r="A17400"/>
      <c r="B17400"/>
      <c r="C17400"/>
      <c r="E17400"/>
      <c r="F17400"/>
    </row>
    <row r="17401" spans="1:6" x14ac:dyDescent="0.25">
      <c r="A17401"/>
      <c r="B17401"/>
      <c r="C17401"/>
      <c r="E17401"/>
      <c r="F17401"/>
    </row>
    <row r="17402" spans="1:6" x14ac:dyDescent="0.25">
      <c r="A17402"/>
      <c r="B17402"/>
      <c r="C17402"/>
      <c r="E17402"/>
      <c r="F17402"/>
    </row>
    <row r="17403" spans="1:6" x14ac:dyDescent="0.25">
      <c r="A17403"/>
      <c r="B17403"/>
      <c r="C17403"/>
      <c r="E17403"/>
      <c r="F17403"/>
    </row>
    <row r="17404" spans="1:6" x14ac:dyDescent="0.25">
      <c r="A17404"/>
      <c r="B17404"/>
      <c r="C17404"/>
      <c r="E17404"/>
      <c r="F17404"/>
    </row>
    <row r="17405" spans="1:6" x14ac:dyDescent="0.25">
      <c r="A17405"/>
      <c r="B17405"/>
      <c r="C17405"/>
      <c r="E17405"/>
      <c r="F17405"/>
    </row>
    <row r="17406" spans="1:6" x14ac:dyDescent="0.25">
      <c r="A17406"/>
      <c r="B17406"/>
      <c r="C17406"/>
      <c r="E17406"/>
      <c r="F17406"/>
    </row>
    <row r="17407" spans="1:6" x14ac:dyDescent="0.25">
      <c r="A17407"/>
      <c r="B17407"/>
      <c r="C17407"/>
      <c r="E17407"/>
      <c r="F17407"/>
    </row>
    <row r="17408" spans="1:6" x14ac:dyDescent="0.25">
      <c r="A17408"/>
      <c r="B17408"/>
      <c r="C17408"/>
      <c r="E17408"/>
      <c r="F17408"/>
    </row>
    <row r="17409" spans="1:6" x14ac:dyDescent="0.25">
      <c r="A17409"/>
      <c r="B17409"/>
      <c r="C17409"/>
      <c r="E17409"/>
      <c r="F17409"/>
    </row>
    <row r="17410" spans="1:6" x14ac:dyDescent="0.25">
      <c r="A17410"/>
      <c r="B17410"/>
      <c r="C17410"/>
      <c r="E17410"/>
      <c r="F17410"/>
    </row>
    <row r="17411" spans="1:6" x14ac:dyDescent="0.25">
      <c r="A17411"/>
      <c r="B17411"/>
      <c r="C17411"/>
      <c r="E17411"/>
      <c r="F17411"/>
    </row>
    <row r="17412" spans="1:6" x14ac:dyDescent="0.25">
      <c r="A17412"/>
      <c r="B17412"/>
      <c r="C17412"/>
      <c r="E17412"/>
      <c r="F17412"/>
    </row>
    <row r="17413" spans="1:6" x14ac:dyDescent="0.25">
      <c r="A17413"/>
      <c r="B17413"/>
      <c r="C17413"/>
      <c r="E17413"/>
      <c r="F17413"/>
    </row>
    <row r="17414" spans="1:6" x14ac:dyDescent="0.25">
      <c r="A17414"/>
      <c r="B17414"/>
      <c r="C17414"/>
      <c r="E17414"/>
      <c r="F17414"/>
    </row>
    <row r="17415" spans="1:6" x14ac:dyDescent="0.25">
      <c r="A17415"/>
      <c r="B17415"/>
      <c r="C17415"/>
      <c r="E17415"/>
      <c r="F17415"/>
    </row>
    <row r="17416" spans="1:6" x14ac:dyDescent="0.25">
      <c r="A17416"/>
      <c r="B17416"/>
      <c r="C17416"/>
      <c r="E17416"/>
      <c r="F17416"/>
    </row>
    <row r="17417" spans="1:6" x14ac:dyDescent="0.25">
      <c r="A17417"/>
      <c r="B17417"/>
      <c r="C17417"/>
      <c r="E17417"/>
      <c r="F17417"/>
    </row>
    <row r="17418" spans="1:6" x14ac:dyDescent="0.25">
      <c r="A17418"/>
      <c r="B17418"/>
      <c r="C17418"/>
      <c r="E17418"/>
      <c r="F17418"/>
    </row>
    <row r="17419" spans="1:6" x14ac:dyDescent="0.25">
      <c r="A17419"/>
      <c r="B17419"/>
      <c r="C17419"/>
      <c r="E17419"/>
      <c r="F17419"/>
    </row>
    <row r="17420" spans="1:6" x14ac:dyDescent="0.25">
      <c r="A17420"/>
      <c r="B17420"/>
      <c r="C17420"/>
      <c r="E17420"/>
      <c r="F17420"/>
    </row>
    <row r="17421" spans="1:6" x14ac:dyDescent="0.25">
      <c r="A17421"/>
      <c r="B17421"/>
      <c r="C17421"/>
      <c r="E17421"/>
      <c r="F17421"/>
    </row>
    <row r="17422" spans="1:6" x14ac:dyDescent="0.25">
      <c r="A17422"/>
      <c r="B17422"/>
      <c r="C17422"/>
      <c r="E17422"/>
      <c r="F17422"/>
    </row>
    <row r="17423" spans="1:6" x14ac:dyDescent="0.25">
      <c r="A17423"/>
      <c r="B17423"/>
      <c r="C17423"/>
      <c r="E17423"/>
      <c r="F17423"/>
    </row>
    <row r="17424" spans="1:6" x14ac:dyDescent="0.25">
      <c r="A17424"/>
      <c r="B17424"/>
      <c r="C17424"/>
      <c r="E17424"/>
      <c r="F17424"/>
    </row>
    <row r="17425" spans="1:6" x14ac:dyDescent="0.25">
      <c r="A17425"/>
      <c r="B17425"/>
      <c r="C17425"/>
      <c r="E17425"/>
      <c r="F17425"/>
    </row>
    <row r="17426" spans="1:6" x14ac:dyDescent="0.25">
      <c r="A17426"/>
      <c r="B17426"/>
      <c r="C17426"/>
      <c r="E17426"/>
      <c r="F17426"/>
    </row>
    <row r="17427" spans="1:6" x14ac:dyDescent="0.25">
      <c r="A17427"/>
      <c r="B17427"/>
      <c r="C17427"/>
      <c r="E17427"/>
      <c r="F17427"/>
    </row>
    <row r="17428" spans="1:6" x14ac:dyDescent="0.25">
      <c r="A17428"/>
      <c r="B17428"/>
      <c r="C17428"/>
      <c r="E17428"/>
      <c r="F17428"/>
    </row>
    <row r="17429" spans="1:6" x14ac:dyDescent="0.25">
      <c r="A17429"/>
      <c r="B17429"/>
      <c r="C17429"/>
      <c r="E17429"/>
      <c r="F17429"/>
    </row>
    <row r="17430" spans="1:6" x14ac:dyDescent="0.25">
      <c r="A17430"/>
      <c r="B17430"/>
      <c r="C17430"/>
      <c r="E17430"/>
      <c r="F17430"/>
    </row>
    <row r="17431" spans="1:6" x14ac:dyDescent="0.25">
      <c r="A17431"/>
      <c r="B17431"/>
      <c r="C17431"/>
      <c r="E17431"/>
      <c r="F17431"/>
    </row>
    <row r="17432" spans="1:6" x14ac:dyDescent="0.25">
      <c r="A17432"/>
      <c r="B17432"/>
      <c r="C17432"/>
      <c r="E17432"/>
      <c r="F17432"/>
    </row>
    <row r="17433" spans="1:6" x14ac:dyDescent="0.25">
      <c r="A17433"/>
      <c r="B17433"/>
      <c r="C17433"/>
      <c r="E17433"/>
      <c r="F17433"/>
    </row>
    <row r="17434" spans="1:6" x14ac:dyDescent="0.25">
      <c r="A17434"/>
      <c r="B17434"/>
      <c r="C17434"/>
      <c r="E17434"/>
      <c r="F17434"/>
    </row>
    <row r="17435" spans="1:6" x14ac:dyDescent="0.25">
      <c r="A17435"/>
      <c r="B17435"/>
      <c r="C17435"/>
      <c r="E17435"/>
      <c r="F17435"/>
    </row>
    <row r="17436" spans="1:6" x14ac:dyDescent="0.25">
      <c r="A17436"/>
      <c r="B17436"/>
      <c r="C17436"/>
      <c r="E17436"/>
      <c r="F17436"/>
    </row>
    <row r="17437" spans="1:6" x14ac:dyDescent="0.25">
      <c r="A17437"/>
      <c r="B17437"/>
      <c r="C17437"/>
      <c r="E17437"/>
      <c r="F17437"/>
    </row>
    <row r="17438" spans="1:6" x14ac:dyDescent="0.25">
      <c r="A17438"/>
      <c r="B17438"/>
      <c r="C17438"/>
      <c r="E17438"/>
      <c r="F17438"/>
    </row>
    <row r="17439" spans="1:6" x14ac:dyDescent="0.25">
      <c r="A17439"/>
      <c r="B17439"/>
      <c r="C17439"/>
      <c r="E17439"/>
      <c r="F17439"/>
    </row>
    <row r="17440" spans="1:6" x14ac:dyDescent="0.25">
      <c r="A17440"/>
      <c r="B17440"/>
      <c r="C17440"/>
      <c r="E17440"/>
      <c r="F17440"/>
    </row>
    <row r="17441" spans="1:6" x14ac:dyDescent="0.25">
      <c r="A17441"/>
      <c r="B17441"/>
      <c r="C17441"/>
      <c r="E17441"/>
      <c r="F17441"/>
    </row>
    <row r="17442" spans="1:6" x14ac:dyDescent="0.25">
      <c r="A17442"/>
      <c r="B17442"/>
      <c r="C17442"/>
      <c r="E17442"/>
      <c r="F17442"/>
    </row>
    <row r="17443" spans="1:6" x14ac:dyDescent="0.25">
      <c r="A17443"/>
      <c r="B17443"/>
      <c r="C17443"/>
      <c r="E17443"/>
      <c r="F17443"/>
    </row>
    <row r="17444" spans="1:6" x14ac:dyDescent="0.25">
      <c r="A17444"/>
      <c r="B17444"/>
      <c r="C17444"/>
      <c r="E17444"/>
      <c r="F17444"/>
    </row>
    <row r="17445" spans="1:6" x14ac:dyDescent="0.25">
      <c r="A17445"/>
      <c r="B17445"/>
      <c r="C17445"/>
      <c r="E17445"/>
      <c r="F17445"/>
    </row>
    <row r="17446" spans="1:6" x14ac:dyDescent="0.25">
      <c r="A17446"/>
      <c r="B17446"/>
      <c r="C17446"/>
      <c r="E17446"/>
      <c r="F17446"/>
    </row>
    <row r="17447" spans="1:6" x14ac:dyDescent="0.25">
      <c r="A17447"/>
      <c r="B17447"/>
      <c r="C17447"/>
      <c r="E17447"/>
      <c r="F17447"/>
    </row>
    <row r="17448" spans="1:6" x14ac:dyDescent="0.25">
      <c r="A17448"/>
      <c r="B17448"/>
      <c r="C17448"/>
      <c r="E17448"/>
      <c r="F17448"/>
    </row>
    <row r="17449" spans="1:6" x14ac:dyDescent="0.25">
      <c r="A17449"/>
      <c r="B17449"/>
      <c r="C17449"/>
      <c r="E17449"/>
      <c r="F17449"/>
    </row>
    <row r="17450" spans="1:6" x14ac:dyDescent="0.25">
      <c r="A17450"/>
      <c r="B17450"/>
      <c r="C17450"/>
      <c r="E17450"/>
      <c r="F17450"/>
    </row>
    <row r="17451" spans="1:6" x14ac:dyDescent="0.25">
      <c r="A17451"/>
      <c r="B17451"/>
      <c r="C17451"/>
      <c r="E17451"/>
      <c r="F17451"/>
    </row>
    <row r="17452" spans="1:6" x14ac:dyDescent="0.25">
      <c r="A17452"/>
      <c r="B17452"/>
      <c r="C17452"/>
      <c r="E17452"/>
      <c r="F17452"/>
    </row>
    <row r="17453" spans="1:6" x14ac:dyDescent="0.25">
      <c r="A17453"/>
      <c r="B17453"/>
      <c r="C17453"/>
      <c r="E17453"/>
      <c r="F17453"/>
    </row>
    <row r="17454" spans="1:6" x14ac:dyDescent="0.25">
      <c r="A17454"/>
      <c r="B17454"/>
      <c r="C17454"/>
      <c r="E17454"/>
      <c r="F17454"/>
    </row>
    <row r="17455" spans="1:6" x14ac:dyDescent="0.25">
      <c r="A17455"/>
      <c r="B17455"/>
      <c r="C17455"/>
      <c r="E17455"/>
      <c r="F17455"/>
    </row>
    <row r="17456" spans="1:6" x14ac:dyDescent="0.25">
      <c r="A17456"/>
      <c r="B17456"/>
      <c r="C17456"/>
      <c r="E17456"/>
      <c r="F17456"/>
    </row>
    <row r="17457" spans="1:6" x14ac:dyDescent="0.25">
      <c r="A17457"/>
      <c r="B17457"/>
      <c r="C17457"/>
      <c r="E17457"/>
      <c r="F17457"/>
    </row>
    <row r="17458" spans="1:6" x14ac:dyDescent="0.25">
      <c r="A17458"/>
      <c r="B17458"/>
      <c r="C17458"/>
      <c r="E17458"/>
      <c r="F17458"/>
    </row>
    <row r="17459" spans="1:6" x14ac:dyDescent="0.25">
      <c r="A17459"/>
      <c r="B17459"/>
      <c r="C17459"/>
      <c r="E17459"/>
      <c r="F17459"/>
    </row>
    <row r="17460" spans="1:6" x14ac:dyDescent="0.25">
      <c r="A17460"/>
      <c r="B17460"/>
      <c r="C17460"/>
      <c r="E17460"/>
      <c r="F17460"/>
    </row>
    <row r="17461" spans="1:6" x14ac:dyDescent="0.25">
      <c r="A17461"/>
      <c r="B17461"/>
      <c r="C17461"/>
      <c r="E17461"/>
      <c r="F17461"/>
    </row>
    <row r="17462" spans="1:6" x14ac:dyDescent="0.25">
      <c r="A17462"/>
      <c r="B17462"/>
      <c r="C17462"/>
      <c r="E17462"/>
      <c r="F17462"/>
    </row>
    <row r="17463" spans="1:6" x14ac:dyDescent="0.25">
      <c r="A17463"/>
      <c r="B17463"/>
      <c r="C17463"/>
      <c r="E17463"/>
      <c r="F17463"/>
    </row>
    <row r="17464" spans="1:6" x14ac:dyDescent="0.25">
      <c r="A17464"/>
      <c r="B17464"/>
      <c r="C17464"/>
      <c r="E17464"/>
      <c r="F17464"/>
    </row>
    <row r="17465" spans="1:6" x14ac:dyDescent="0.25">
      <c r="A17465"/>
      <c r="B17465"/>
      <c r="C17465"/>
      <c r="E17465"/>
      <c r="F17465"/>
    </row>
    <row r="17466" spans="1:6" x14ac:dyDescent="0.25">
      <c r="A17466"/>
      <c r="B17466"/>
      <c r="C17466"/>
      <c r="E17466"/>
      <c r="F17466"/>
    </row>
    <row r="17467" spans="1:6" x14ac:dyDescent="0.25">
      <c r="A17467"/>
      <c r="B17467"/>
      <c r="C17467"/>
      <c r="E17467"/>
      <c r="F17467"/>
    </row>
    <row r="17468" spans="1:6" x14ac:dyDescent="0.25">
      <c r="A17468"/>
      <c r="B17468"/>
      <c r="C17468"/>
      <c r="E17468"/>
      <c r="F17468"/>
    </row>
    <row r="17469" spans="1:6" x14ac:dyDescent="0.25">
      <c r="A17469"/>
      <c r="B17469"/>
      <c r="C17469"/>
      <c r="E17469"/>
      <c r="F17469"/>
    </row>
    <row r="17470" spans="1:6" x14ac:dyDescent="0.25">
      <c r="A17470"/>
      <c r="B17470"/>
      <c r="C17470"/>
      <c r="E17470"/>
      <c r="F17470"/>
    </row>
    <row r="17471" spans="1:6" x14ac:dyDescent="0.25">
      <c r="A17471"/>
      <c r="B17471"/>
      <c r="C17471"/>
      <c r="E17471"/>
      <c r="F17471"/>
    </row>
    <row r="17472" spans="1:6" x14ac:dyDescent="0.25">
      <c r="A17472"/>
      <c r="B17472"/>
      <c r="C17472"/>
      <c r="E17472"/>
      <c r="F17472"/>
    </row>
    <row r="17473" spans="1:6" x14ac:dyDescent="0.25">
      <c r="A17473"/>
      <c r="B17473"/>
      <c r="C17473"/>
      <c r="E17473"/>
      <c r="F17473"/>
    </row>
    <row r="17474" spans="1:6" x14ac:dyDescent="0.25">
      <c r="A17474"/>
      <c r="B17474"/>
      <c r="C17474"/>
      <c r="E17474"/>
      <c r="F17474"/>
    </row>
    <row r="17475" spans="1:6" x14ac:dyDescent="0.25">
      <c r="A17475"/>
      <c r="B17475"/>
      <c r="C17475"/>
      <c r="E17475"/>
      <c r="F17475"/>
    </row>
    <row r="17476" spans="1:6" x14ac:dyDescent="0.25">
      <c r="A17476"/>
      <c r="B17476"/>
      <c r="C17476"/>
      <c r="E17476"/>
      <c r="F17476"/>
    </row>
    <row r="17477" spans="1:6" x14ac:dyDescent="0.25">
      <c r="A17477"/>
      <c r="B17477"/>
      <c r="C17477"/>
      <c r="E17477"/>
      <c r="F17477"/>
    </row>
    <row r="17478" spans="1:6" x14ac:dyDescent="0.25">
      <c r="A17478"/>
      <c r="B17478"/>
      <c r="C17478"/>
      <c r="E17478"/>
      <c r="F17478"/>
    </row>
    <row r="17479" spans="1:6" x14ac:dyDescent="0.25">
      <c r="A17479"/>
      <c r="B17479"/>
      <c r="C17479"/>
      <c r="E17479"/>
      <c r="F17479"/>
    </row>
    <row r="17480" spans="1:6" x14ac:dyDescent="0.25">
      <c r="A17480"/>
      <c r="B17480"/>
      <c r="C17480"/>
      <c r="E17480"/>
      <c r="F17480"/>
    </row>
    <row r="17481" spans="1:6" x14ac:dyDescent="0.25">
      <c r="A17481"/>
      <c r="B17481"/>
      <c r="C17481"/>
      <c r="E17481"/>
      <c r="F17481"/>
    </row>
    <row r="17482" spans="1:6" x14ac:dyDescent="0.25">
      <c r="A17482"/>
      <c r="B17482"/>
      <c r="C17482"/>
      <c r="E17482"/>
      <c r="F17482"/>
    </row>
    <row r="17483" spans="1:6" x14ac:dyDescent="0.25">
      <c r="A17483"/>
      <c r="B17483"/>
      <c r="C17483"/>
      <c r="E17483"/>
      <c r="F17483"/>
    </row>
    <row r="17484" spans="1:6" x14ac:dyDescent="0.25">
      <c r="A17484"/>
      <c r="B17484"/>
      <c r="C17484"/>
      <c r="E17484"/>
      <c r="F17484"/>
    </row>
    <row r="17485" spans="1:6" x14ac:dyDescent="0.25">
      <c r="A17485"/>
      <c r="B17485"/>
      <c r="C17485"/>
      <c r="E17485"/>
      <c r="F17485"/>
    </row>
    <row r="17486" spans="1:6" x14ac:dyDescent="0.25">
      <c r="A17486"/>
      <c r="B17486"/>
      <c r="C17486"/>
      <c r="E17486"/>
      <c r="F17486"/>
    </row>
    <row r="17487" spans="1:6" x14ac:dyDescent="0.25">
      <c r="A17487"/>
      <c r="B17487"/>
      <c r="C17487"/>
      <c r="E17487"/>
      <c r="F17487"/>
    </row>
    <row r="17488" spans="1:6" x14ac:dyDescent="0.25">
      <c r="A17488"/>
      <c r="B17488"/>
      <c r="C17488"/>
      <c r="E17488"/>
      <c r="F17488"/>
    </row>
    <row r="17489" spans="1:6" x14ac:dyDescent="0.25">
      <c r="A17489"/>
      <c r="B17489"/>
      <c r="C17489"/>
      <c r="E17489"/>
      <c r="F17489"/>
    </row>
    <row r="17490" spans="1:6" x14ac:dyDescent="0.25">
      <c r="A17490"/>
      <c r="B17490"/>
      <c r="C17490"/>
      <c r="E17490"/>
      <c r="F17490"/>
    </row>
    <row r="17491" spans="1:6" x14ac:dyDescent="0.25">
      <c r="A17491"/>
      <c r="B17491"/>
      <c r="C17491"/>
      <c r="E17491"/>
      <c r="F17491"/>
    </row>
    <row r="17492" spans="1:6" x14ac:dyDescent="0.25">
      <c r="A17492"/>
      <c r="B17492"/>
      <c r="C17492"/>
      <c r="E17492"/>
      <c r="F17492"/>
    </row>
    <row r="17493" spans="1:6" x14ac:dyDescent="0.25">
      <c r="A17493"/>
      <c r="B17493"/>
      <c r="C17493"/>
      <c r="E17493"/>
      <c r="F17493"/>
    </row>
    <row r="17494" spans="1:6" x14ac:dyDescent="0.25">
      <c r="A17494"/>
      <c r="B17494"/>
      <c r="C17494"/>
      <c r="E17494"/>
      <c r="F17494"/>
    </row>
    <row r="17495" spans="1:6" x14ac:dyDescent="0.25">
      <c r="A17495"/>
      <c r="B17495"/>
      <c r="C17495"/>
      <c r="E17495"/>
      <c r="F17495"/>
    </row>
    <row r="17496" spans="1:6" x14ac:dyDescent="0.25">
      <c r="A17496"/>
      <c r="B17496"/>
      <c r="C17496"/>
      <c r="E17496"/>
      <c r="F17496"/>
    </row>
    <row r="17497" spans="1:6" x14ac:dyDescent="0.25">
      <c r="A17497"/>
      <c r="B17497"/>
      <c r="C17497"/>
      <c r="E17497"/>
      <c r="F17497"/>
    </row>
    <row r="17498" spans="1:6" x14ac:dyDescent="0.25">
      <c r="A17498"/>
      <c r="B17498"/>
      <c r="C17498"/>
      <c r="E17498"/>
      <c r="F17498"/>
    </row>
    <row r="17499" spans="1:6" x14ac:dyDescent="0.25">
      <c r="A17499"/>
      <c r="B17499"/>
      <c r="C17499"/>
      <c r="E17499"/>
      <c r="F17499"/>
    </row>
    <row r="17500" spans="1:6" x14ac:dyDescent="0.25">
      <c r="A17500"/>
      <c r="B17500"/>
      <c r="C17500"/>
      <c r="E17500"/>
      <c r="F17500"/>
    </row>
    <row r="17501" spans="1:6" x14ac:dyDescent="0.25">
      <c r="A17501"/>
      <c r="B17501"/>
      <c r="C17501"/>
      <c r="E17501"/>
      <c r="F17501"/>
    </row>
    <row r="17502" spans="1:6" x14ac:dyDescent="0.25">
      <c r="A17502"/>
      <c r="B17502"/>
      <c r="C17502"/>
      <c r="E17502"/>
      <c r="F17502"/>
    </row>
    <row r="17503" spans="1:6" x14ac:dyDescent="0.25">
      <c r="A17503"/>
      <c r="B17503"/>
      <c r="C17503"/>
      <c r="E17503"/>
      <c r="F17503"/>
    </row>
    <row r="17504" spans="1:6" x14ac:dyDescent="0.25">
      <c r="A17504"/>
      <c r="B17504"/>
      <c r="C17504"/>
      <c r="E17504"/>
      <c r="F17504"/>
    </row>
    <row r="17505" spans="1:6" x14ac:dyDescent="0.25">
      <c r="A17505"/>
      <c r="B17505"/>
      <c r="C17505"/>
      <c r="E17505"/>
      <c r="F17505"/>
    </row>
    <row r="17506" spans="1:6" x14ac:dyDescent="0.25">
      <c r="A17506"/>
      <c r="B17506"/>
      <c r="C17506"/>
      <c r="E17506"/>
      <c r="F17506"/>
    </row>
    <row r="17507" spans="1:6" x14ac:dyDescent="0.25">
      <c r="A17507"/>
      <c r="B17507"/>
      <c r="C17507"/>
      <c r="E17507"/>
      <c r="F17507"/>
    </row>
    <row r="17508" spans="1:6" x14ac:dyDescent="0.25">
      <c r="A17508"/>
      <c r="B17508"/>
      <c r="C17508"/>
      <c r="E17508"/>
      <c r="F17508"/>
    </row>
    <row r="17509" spans="1:6" x14ac:dyDescent="0.25">
      <c r="A17509"/>
      <c r="B17509"/>
      <c r="C17509"/>
      <c r="E17509"/>
      <c r="F17509"/>
    </row>
    <row r="17510" spans="1:6" x14ac:dyDescent="0.25">
      <c r="A17510"/>
      <c r="B17510"/>
      <c r="C17510"/>
      <c r="E17510"/>
      <c r="F17510"/>
    </row>
    <row r="17511" spans="1:6" x14ac:dyDescent="0.25">
      <c r="A17511"/>
      <c r="B17511"/>
      <c r="C17511"/>
      <c r="E17511"/>
      <c r="F17511"/>
    </row>
    <row r="17512" spans="1:6" x14ac:dyDescent="0.25">
      <c r="A17512"/>
      <c r="B17512"/>
      <c r="C17512"/>
      <c r="E17512"/>
      <c r="F17512"/>
    </row>
    <row r="17513" spans="1:6" x14ac:dyDescent="0.25">
      <c r="A17513"/>
      <c r="B17513"/>
      <c r="C17513"/>
      <c r="E17513"/>
      <c r="F17513"/>
    </row>
    <row r="17514" spans="1:6" x14ac:dyDescent="0.25">
      <c r="A17514"/>
      <c r="B17514"/>
      <c r="C17514"/>
      <c r="E17514"/>
      <c r="F17514"/>
    </row>
    <row r="17515" spans="1:6" x14ac:dyDescent="0.25">
      <c r="A17515"/>
      <c r="B17515"/>
      <c r="C17515"/>
      <c r="E17515"/>
      <c r="F17515"/>
    </row>
    <row r="17516" spans="1:6" x14ac:dyDescent="0.25">
      <c r="A17516"/>
      <c r="B17516"/>
      <c r="C17516"/>
      <c r="E17516"/>
      <c r="F17516"/>
    </row>
    <row r="17517" spans="1:6" x14ac:dyDescent="0.25">
      <c r="A17517"/>
      <c r="B17517"/>
      <c r="C17517"/>
      <c r="E17517"/>
      <c r="F17517"/>
    </row>
    <row r="17518" spans="1:6" x14ac:dyDescent="0.25">
      <c r="A17518"/>
      <c r="B17518"/>
      <c r="C17518"/>
      <c r="E17518"/>
      <c r="F17518"/>
    </row>
    <row r="17519" spans="1:6" x14ac:dyDescent="0.25">
      <c r="A17519"/>
      <c r="B17519"/>
      <c r="C17519"/>
      <c r="E17519"/>
      <c r="F17519"/>
    </row>
    <row r="17520" spans="1:6" x14ac:dyDescent="0.25">
      <c r="A17520"/>
      <c r="B17520"/>
      <c r="C17520"/>
      <c r="E17520"/>
      <c r="F17520"/>
    </row>
    <row r="17521" spans="1:6" x14ac:dyDescent="0.25">
      <c r="A17521"/>
      <c r="B17521"/>
      <c r="C17521"/>
      <c r="E17521"/>
      <c r="F17521"/>
    </row>
    <row r="17522" spans="1:6" x14ac:dyDescent="0.25">
      <c r="A17522"/>
      <c r="B17522"/>
      <c r="C17522"/>
      <c r="E17522"/>
      <c r="F17522"/>
    </row>
    <row r="17523" spans="1:6" x14ac:dyDescent="0.25">
      <c r="A17523"/>
      <c r="B17523"/>
      <c r="C17523"/>
      <c r="E17523"/>
      <c r="F17523"/>
    </row>
    <row r="17524" spans="1:6" x14ac:dyDescent="0.25">
      <c r="A17524"/>
      <c r="B17524"/>
      <c r="C17524"/>
      <c r="E17524"/>
      <c r="F17524"/>
    </row>
    <row r="17525" spans="1:6" x14ac:dyDescent="0.25">
      <c r="A17525"/>
      <c r="B17525"/>
      <c r="C17525"/>
      <c r="E17525"/>
      <c r="F17525"/>
    </row>
    <row r="17526" spans="1:6" x14ac:dyDescent="0.25">
      <c r="A17526"/>
      <c r="B17526"/>
      <c r="C17526"/>
      <c r="E17526"/>
      <c r="F17526"/>
    </row>
    <row r="17527" spans="1:6" x14ac:dyDescent="0.25">
      <c r="A17527"/>
      <c r="B17527"/>
      <c r="C17527"/>
      <c r="E17527"/>
      <c r="F17527"/>
    </row>
    <row r="17528" spans="1:6" x14ac:dyDescent="0.25">
      <c r="A17528"/>
      <c r="B17528"/>
      <c r="C17528"/>
      <c r="E17528"/>
      <c r="F17528"/>
    </row>
    <row r="17529" spans="1:6" x14ac:dyDescent="0.25">
      <c r="A17529"/>
      <c r="B17529"/>
      <c r="C17529"/>
      <c r="E17529"/>
      <c r="F17529"/>
    </row>
    <row r="17530" spans="1:6" x14ac:dyDescent="0.25">
      <c r="A17530"/>
      <c r="B17530"/>
      <c r="C17530"/>
      <c r="E17530"/>
      <c r="F17530"/>
    </row>
    <row r="17531" spans="1:6" x14ac:dyDescent="0.25">
      <c r="A17531"/>
      <c r="B17531"/>
      <c r="C17531"/>
      <c r="E17531"/>
      <c r="F17531"/>
    </row>
    <row r="17532" spans="1:6" x14ac:dyDescent="0.25">
      <c r="A17532"/>
      <c r="B17532"/>
      <c r="C17532"/>
      <c r="E17532"/>
      <c r="F17532"/>
    </row>
    <row r="17533" spans="1:6" x14ac:dyDescent="0.25">
      <c r="A17533"/>
      <c r="B17533"/>
      <c r="C17533"/>
      <c r="E17533"/>
      <c r="F17533"/>
    </row>
    <row r="17534" spans="1:6" x14ac:dyDescent="0.25">
      <c r="A17534"/>
      <c r="B17534"/>
      <c r="C17534"/>
      <c r="E17534"/>
      <c r="F17534"/>
    </row>
    <row r="17535" spans="1:6" x14ac:dyDescent="0.25">
      <c r="A17535"/>
      <c r="B17535"/>
      <c r="C17535"/>
      <c r="E17535"/>
      <c r="F17535"/>
    </row>
    <row r="17536" spans="1:6" x14ac:dyDescent="0.25">
      <c r="A17536"/>
      <c r="B17536"/>
      <c r="C17536"/>
      <c r="E17536"/>
      <c r="F17536"/>
    </row>
    <row r="17537" spans="1:6" x14ac:dyDescent="0.25">
      <c r="A17537"/>
      <c r="B17537"/>
      <c r="C17537"/>
      <c r="E17537"/>
      <c r="F17537"/>
    </row>
    <row r="17538" spans="1:6" x14ac:dyDescent="0.25">
      <c r="A17538"/>
      <c r="B17538"/>
      <c r="C17538"/>
      <c r="E17538"/>
      <c r="F17538"/>
    </row>
    <row r="17539" spans="1:6" x14ac:dyDescent="0.25">
      <c r="A17539"/>
      <c r="B17539"/>
      <c r="C17539"/>
      <c r="E17539"/>
      <c r="F17539"/>
    </row>
    <row r="17540" spans="1:6" x14ac:dyDescent="0.25">
      <c r="A17540"/>
      <c r="B17540"/>
      <c r="C17540"/>
      <c r="E17540"/>
      <c r="F17540"/>
    </row>
    <row r="17541" spans="1:6" x14ac:dyDescent="0.25">
      <c r="A17541"/>
      <c r="B17541"/>
      <c r="C17541"/>
      <c r="E17541"/>
      <c r="F17541"/>
    </row>
    <row r="17542" spans="1:6" x14ac:dyDescent="0.25">
      <c r="A17542"/>
      <c r="B17542"/>
      <c r="C17542"/>
      <c r="E17542"/>
      <c r="F17542"/>
    </row>
    <row r="17543" spans="1:6" x14ac:dyDescent="0.25">
      <c r="A17543"/>
      <c r="B17543"/>
      <c r="C17543"/>
      <c r="E17543"/>
      <c r="F17543"/>
    </row>
    <row r="17544" spans="1:6" x14ac:dyDescent="0.25">
      <c r="A17544"/>
      <c r="B17544"/>
      <c r="C17544"/>
      <c r="E17544"/>
      <c r="F17544"/>
    </row>
    <row r="17545" spans="1:6" x14ac:dyDescent="0.25">
      <c r="A17545"/>
      <c r="B17545"/>
      <c r="C17545"/>
      <c r="E17545"/>
      <c r="F17545"/>
    </row>
    <row r="17546" spans="1:6" x14ac:dyDescent="0.25">
      <c r="A17546"/>
      <c r="B17546"/>
      <c r="C17546"/>
      <c r="E17546"/>
      <c r="F17546"/>
    </row>
    <row r="17547" spans="1:6" x14ac:dyDescent="0.25">
      <c r="A17547"/>
      <c r="B17547"/>
      <c r="C17547"/>
      <c r="E17547"/>
      <c r="F17547"/>
    </row>
    <row r="17548" spans="1:6" x14ac:dyDescent="0.25">
      <c r="A17548"/>
      <c r="B17548"/>
      <c r="C17548"/>
      <c r="E17548"/>
      <c r="F17548"/>
    </row>
    <row r="17549" spans="1:6" x14ac:dyDescent="0.25">
      <c r="A17549"/>
      <c r="B17549"/>
      <c r="C17549"/>
      <c r="E17549"/>
      <c r="F17549"/>
    </row>
    <row r="17550" spans="1:6" x14ac:dyDescent="0.25">
      <c r="A17550"/>
      <c r="B17550"/>
      <c r="C17550"/>
      <c r="E17550"/>
      <c r="F17550"/>
    </row>
    <row r="17551" spans="1:6" x14ac:dyDescent="0.25">
      <c r="A17551"/>
      <c r="B17551"/>
      <c r="C17551"/>
      <c r="E17551"/>
      <c r="F17551"/>
    </row>
    <row r="17552" spans="1:6" x14ac:dyDescent="0.25">
      <c r="A17552"/>
      <c r="B17552"/>
      <c r="C17552"/>
      <c r="E17552"/>
      <c r="F17552"/>
    </row>
    <row r="17553" spans="1:6" x14ac:dyDescent="0.25">
      <c r="A17553"/>
      <c r="B17553"/>
      <c r="C17553"/>
      <c r="E17553"/>
      <c r="F17553"/>
    </row>
    <row r="17554" spans="1:6" x14ac:dyDescent="0.25">
      <c r="A17554"/>
      <c r="B17554"/>
      <c r="C17554"/>
      <c r="E17554"/>
      <c r="F17554"/>
    </row>
    <row r="17555" spans="1:6" x14ac:dyDescent="0.25">
      <c r="A17555"/>
      <c r="B17555"/>
      <c r="C17555"/>
      <c r="E17555"/>
      <c r="F17555"/>
    </row>
    <row r="17556" spans="1:6" x14ac:dyDescent="0.25">
      <c r="A17556"/>
      <c r="B17556"/>
      <c r="C17556"/>
      <c r="E17556"/>
      <c r="F17556"/>
    </row>
    <row r="17557" spans="1:6" x14ac:dyDescent="0.25">
      <c r="A17557"/>
      <c r="B17557"/>
      <c r="C17557"/>
      <c r="E17557"/>
      <c r="F17557"/>
    </row>
    <row r="17558" spans="1:6" x14ac:dyDescent="0.25">
      <c r="A17558"/>
      <c r="B17558"/>
      <c r="C17558"/>
      <c r="E17558"/>
      <c r="F17558"/>
    </row>
    <row r="17559" spans="1:6" x14ac:dyDescent="0.25">
      <c r="A17559"/>
      <c r="B17559"/>
      <c r="C17559"/>
      <c r="E17559"/>
      <c r="F17559"/>
    </row>
    <row r="17560" spans="1:6" x14ac:dyDescent="0.25">
      <c r="A17560"/>
      <c r="B17560"/>
      <c r="C17560"/>
      <c r="E17560"/>
      <c r="F17560"/>
    </row>
    <row r="17561" spans="1:6" x14ac:dyDescent="0.25">
      <c r="A17561"/>
      <c r="B17561"/>
      <c r="C17561"/>
      <c r="E17561"/>
      <c r="F17561"/>
    </row>
    <row r="17562" spans="1:6" x14ac:dyDescent="0.25">
      <c r="A17562"/>
      <c r="B17562"/>
      <c r="C17562"/>
      <c r="E17562"/>
      <c r="F17562"/>
    </row>
    <row r="17563" spans="1:6" x14ac:dyDescent="0.25">
      <c r="A17563"/>
      <c r="B17563"/>
      <c r="C17563"/>
      <c r="E17563"/>
      <c r="F17563"/>
    </row>
    <row r="17564" spans="1:6" x14ac:dyDescent="0.25">
      <c r="A17564"/>
      <c r="B17564"/>
      <c r="C17564"/>
      <c r="E17564"/>
      <c r="F17564"/>
    </row>
    <row r="17565" spans="1:6" x14ac:dyDescent="0.25">
      <c r="A17565"/>
      <c r="B17565"/>
      <c r="C17565"/>
      <c r="E17565"/>
      <c r="F17565"/>
    </row>
    <row r="17566" spans="1:6" x14ac:dyDescent="0.25">
      <c r="A17566"/>
      <c r="B17566"/>
      <c r="C17566"/>
      <c r="E17566"/>
      <c r="F17566"/>
    </row>
    <row r="17567" spans="1:6" x14ac:dyDescent="0.25">
      <c r="A17567"/>
      <c r="B17567"/>
      <c r="C17567"/>
      <c r="E17567"/>
      <c r="F17567"/>
    </row>
    <row r="17568" spans="1:6" x14ac:dyDescent="0.25">
      <c r="A17568"/>
      <c r="B17568"/>
      <c r="C17568"/>
      <c r="E17568"/>
      <c r="F17568"/>
    </row>
    <row r="17569" spans="1:6" x14ac:dyDescent="0.25">
      <c r="A17569"/>
      <c r="B17569"/>
      <c r="C17569"/>
      <c r="E17569"/>
      <c r="F17569"/>
    </row>
    <row r="17570" spans="1:6" x14ac:dyDescent="0.25">
      <c r="A17570"/>
      <c r="B17570"/>
      <c r="C17570"/>
      <c r="E17570"/>
      <c r="F17570"/>
    </row>
    <row r="17571" spans="1:6" x14ac:dyDescent="0.25">
      <c r="A17571"/>
      <c r="B17571"/>
      <c r="C17571"/>
      <c r="E17571"/>
      <c r="F17571"/>
    </row>
    <row r="17572" spans="1:6" x14ac:dyDescent="0.25">
      <c r="A17572"/>
      <c r="B17572"/>
      <c r="C17572"/>
      <c r="E17572"/>
      <c r="F17572"/>
    </row>
    <row r="17573" spans="1:6" x14ac:dyDescent="0.25">
      <c r="A17573"/>
      <c r="B17573"/>
      <c r="C17573"/>
      <c r="E17573"/>
      <c r="F17573"/>
    </row>
    <row r="17574" spans="1:6" x14ac:dyDescent="0.25">
      <c r="A17574"/>
      <c r="B17574"/>
      <c r="C17574"/>
      <c r="E17574"/>
      <c r="F17574"/>
    </row>
    <row r="17575" spans="1:6" x14ac:dyDescent="0.25">
      <c r="A17575"/>
      <c r="B17575"/>
      <c r="C17575"/>
      <c r="E17575"/>
      <c r="F17575"/>
    </row>
    <row r="17576" spans="1:6" x14ac:dyDescent="0.25">
      <c r="A17576"/>
      <c r="B17576"/>
      <c r="C17576"/>
      <c r="E17576"/>
      <c r="F17576"/>
    </row>
    <row r="17577" spans="1:6" x14ac:dyDescent="0.25">
      <c r="A17577"/>
      <c r="B17577"/>
      <c r="C17577"/>
      <c r="E17577"/>
      <c r="F17577"/>
    </row>
    <row r="17578" spans="1:6" x14ac:dyDescent="0.25">
      <c r="A17578"/>
      <c r="B17578"/>
      <c r="C17578"/>
      <c r="E17578"/>
      <c r="F17578"/>
    </row>
    <row r="17579" spans="1:6" x14ac:dyDescent="0.25">
      <c r="A17579"/>
      <c r="B17579"/>
      <c r="C17579"/>
      <c r="E17579"/>
      <c r="F17579"/>
    </row>
    <row r="17580" spans="1:6" x14ac:dyDescent="0.25">
      <c r="A17580"/>
      <c r="B17580"/>
      <c r="C17580"/>
      <c r="E17580"/>
      <c r="F17580"/>
    </row>
    <row r="17581" spans="1:6" x14ac:dyDescent="0.25">
      <c r="A17581"/>
      <c r="B17581"/>
      <c r="C17581"/>
      <c r="E17581"/>
      <c r="F17581"/>
    </row>
    <row r="17582" spans="1:6" x14ac:dyDescent="0.25">
      <c r="A17582"/>
      <c r="B17582"/>
      <c r="C17582"/>
      <c r="E17582"/>
      <c r="F17582"/>
    </row>
    <row r="17583" spans="1:6" x14ac:dyDescent="0.25">
      <c r="A17583"/>
      <c r="B17583"/>
      <c r="C17583"/>
      <c r="E17583"/>
      <c r="F17583"/>
    </row>
    <row r="17584" spans="1:6" x14ac:dyDescent="0.25">
      <c r="A17584"/>
      <c r="B17584"/>
      <c r="C17584"/>
      <c r="E17584"/>
      <c r="F17584"/>
    </row>
    <row r="17585" spans="1:6" x14ac:dyDescent="0.25">
      <c r="A17585"/>
      <c r="B17585"/>
      <c r="C17585"/>
      <c r="E17585"/>
      <c r="F17585"/>
    </row>
    <row r="17586" spans="1:6" x14ac:dyDescent="0.25">
      <c r="A17586"/>
      <c r="B17586"/>
      <c r="C17586"/>
      <c r="E17586"/>
      <c r="F17586"/>
    </row>
    <row r="17587" spans="1:6" x14ac:dyDescent="0.25">
      <c r="A17587"/>
      <c r="B17587"/>
      <c r="C17587"/>
      <c r="E17587"/>
      <c r="F17587"/>
    </row>
    <row r="17588" spans="1:6" x14ac:dyDescent="0.25">
      <c r="A17588"/>
      <c r="B17588"/>
      <c r="C17588"/>
      <c r="E17588"/>
      <c r="F17588"/>
    </row>
    <row r="17589" spans="1:6" x14ac:dyDescent="0.25">
      <c r="A17589"/>
      <c r="B17589"/>
      <c r="C17589"/>
      <c r="E17589"/>
      <c r="F17589"/>
    </row>
    <row r="17590" spans="1:6" x14ac:dyDescent="0.25">
      <c r="A17590"/>
      <c r="B17590"/>
      <c r="C17590"/>
      <c r="E17590"/>
      <c r="F17590"/>
    </row>
    <row r="17591" spans="1:6" x14ac:dyDescent="0.25">
      <c r="A17591"/>
      <c r="B17591"/>
      <c r="C17591"/>
      <c r="E17591"/>
      <c r="F17591"/>
    </row>
    <row r="17592" spans="1:6" x14ac:dyDescent="0.25">
      <c r="A17592"/>
      <c r="B17592"/>
      <c r="C17592"/>
      <c r="E17592"/>
      <c r="F17592"/>
    </row>
    <row r="17593" spans="1:6" x14ac:dyDescent="0.25">
      <c r="A17593"/>
      <c r="B17593"/>
      <c r="C17593"/>
      <c r="E17593"/>
      <c r="F17593"/>
    </row>
    <row r="17594" spans="1:6" x14ac:dyDescent="0.25">
      <c r="A17594"/>
      <c r="B17594"/>
      <c r="C17594"/>
      <c r="E17594"/>
      <c r="F17594"/>
    </row>
    <row r="17595" spans="1:6" x14ac:dyDescent="0.25">
      <c r="A17595"/>
      <c r="B17595"/>
      <c r="C17595"/>
      <c r="E17595"/>
      <c r="F17595"/>
    </row>
    <row r="17596" spans="1:6" x14ac:dyDescent="0.25">
      <c r="A17596"/>
      <c r="B17596"/>
      <c r="C17596"/>
      <c r="E17596"/>
      <c r="F17596"/>
    </row>
    <row r="17597" spans="1:6" x14ac:dyDescent="0.25">
      <c r="A17597"/>
      <c r="B17597"/>
      <c r="C17597"/>
      <c r="E17597"/>
      <c r="F17597"/>
    </row>
    <row r="17598" spans="1:6" x14ac:dyDescent="0.25">
      <c r="A17598"/>
      <c r="B17598"/>
      <c r="C17598"/>
      <c r="E17598"/>
      <c r="F17598"/>
    </row>
    <row r="17599" spans="1:6" x14ac:dyDescent="0.25">
      <c r="A17599"/>
      <c r="B17599"/>
      <c r="C17599"/>
      <c r="E17599"/>
      <c r="F17599"/>
    </row>
    <row r="17600" spans="1:6" x14ac:dyDescent="0.25">
      <c r="A17600"/>
      <c r="B17600"/>
      <c r="C17600"/>
      <c r="E17600"/>
      <c r="F17600"/>
    </row>
    <row r="17601" spans="1:6" x14ac:dyDescent="0.25">
      <c r="A17601"/>
      <c r="B17601"/>
      <c r="C17601"/>
      <c r="E17601"/>
      <c r="F17601"/>
    </row>
    <row r="17602" spans="1:6" x14ac:dyDescent="0.25">
      <c r="A17602"/>
      <c r="B17602"/>
      <c r="C17602"/>
      <c r="E17602"/>
      <c r="F17602"/>
    </row>
    <row r="17603" spans="1:6" x14ac:dyDescent="0.25">
      <c r="A17603"/>
      <c r="B17603"/>
      <c r="C17603"/>
      <c r="E17603"/>
      <c r="F17603"/>
    </row>
    <row r="17604" spans="1:6" x14ac:dyDescent="0.25">
      <c r="A17604"/>
      <c r="B17604"/>
      <c r="C17604"/>
      <c r="E17604"/>
      <c r="F17604"/>
    </row>
    <row r="17605" spans="1:6" x14ac:dyDescent="0.25">
      <c r="A17605"/>
      <c r="B17605"/>
      <c r="C17605"/>
      <c r="E17605"/>
      <c r="F17605"/>
    </row>
    <row r="17606" spans="1:6" x14ac:dyDescent="0.25">
      <c r="A17606"/>
      <c r="B17606"/>
      <c r="C17606"/>
      <c r="E17606"/>
      <c r="F17606"/>
    </row>
    <row r="17607" spans="1:6" x14ac:dyDescent="0.25">
      <c r="A17607"/>
      <c r="B17607"/>
      <c r="C17607"/>
      <c r="E17607"/>
      <c r="F17607"/>
    </row>
    <row r="17608" spans="1:6" x14ac:dyDescent="0.25">
      <c r="A17608"/>
      <c r="B17608"/>
      <c r="C17608"/>
      <c r="E17608"/>
      <c r="F17608"/>
    </row>
    <row r="17609" spans="1:6" x14ac:dyDescent="0.25">
      <c r="A17609"/>
      <c r="B17609"/>
      <c r="C17609"/>
      <c r="E17609"/>
      <c r="F17609"/>
    </row>
    <row r="17610" spans="1:6" x14ac:dyDescent="0.25">
      <c r="A17610"/>
      <c r="B17610"/>
      <c r="C17610"/>
      <c r="E17610"/>
      <c r="F17610"/>
    </row>
    <row r="17611" spans="1:6" x14ac:dyDescent="0.25">
      <c r="A17611"/>
      <c r="B17611"/>
      <c r="C17611"/>
      <c r="E17611"/>
      <c r="F17611"/>
    </row>
    <row r="17612" spans="1:6" x14ac:dyDescent="0.25">
      <c r="A17612"/>
      <c r="B17612"/>
      <c r="C17612"/>
      <c r="E17612"/>
      <c r="F17612"/>
    </row>
    <row r="17613" spans="1:6" x14ac:dyDescent="0.25">
      <c r="A17613"/>
      <c r="B17613"/>
      <c r="C17613"/>
      <c r="E17613"/>
      <c r="F17613"/>
    </row>
    <row r="17614" spans="1:6" x14ac:dyDescent="0.25">
      <c r="A17614"/>
      <c r="B17614"/>
      <c r="C17614"/>
      <c r="E17614"/>
      <c r="F17614"/>
    </row>
    <row r="17615" spans="1:6" x14ac:dyDescent="0.25">
      <c r="A17615"/>
      <c r="B17615"/>
      <c r="C17615"/>
      <c r="E17615"/>
      <c r="F17615"/>
    </row>
    <row r="17616" spans="1:6" x14ac:dyDescent="0.25">
      <c r="A17616"/>
      <c r="B17616"/>
      <c r="C17616"/>
      <c r="E17616"/>
      <c r="F17616"/>
    </row>
    <row r="17617" spans="1:6" x14ac:dyDescent="0.25">
      <c r="A17617"/>
      <c r="B17617"/>
      <c r="C17617"/>
      <c r="E17617"/>
      <c r="F17617"/>
    </row>
    <row r="17618" spans="1:6" x14ac:dyDescent="0.25">
      <c r="A17618"/>
      <c r="B17618"/>
      <c r="C17618"/>
      <c r="E17618"/>
      <c r="F17618"/>
    </row>
    <row r="17619" spans="1:6" x14ac:dyDescent="0.25">
      <c r="A17619"/>
      <c r="B17619"/>
      <c r="C17619"/>
      <c r="E17619"/>
      <c r="F17619"/>
    </row>
    <row r="17620" spans="1:6" x14ac:dyDescent="0.25">
      <c r="A17620"/>
      <c r="B17620"/>
      <c r="C17620"/>
      <c r="E17620"/>
      <c r="F17620"/>
    </row>
    <row r="17621" spans="1:6" x14ac:dyDescent="0.25">
      <c r="A17621"/>
      <c r="B17621"/>
      <c r="C17621"/>
      <c r="E17621"/>
      <c r="F17621"/>
    </row>
    <row r="17622" spans="1:6" x14ac:dyDescent="0.25">
      <c r="A17622"/>
      <c r="B17622"/>
      <c r="C17622"/>
      <c r="E17622"/>
      <c r="F17622"/>
    </row>
    <row r="17623" spans="1:6" x14ac:dyDescent="0.25">
      <c r="A17623"/>
      <c r="B17623"/>
      <c r="C17623"/>
      <c r="E17623"/>
      <c r="F17623"/>
    </row>
    <row r="17624" spans="1:6" x14ac:dyDescent="0.25">
      <c r="A17624"/>
      <c r="B17624"/>
      <c r="C17624"/>
      <c r="E17624"/>
      <c r="F17624"/>
    </row>
    <row r="17625" spans="1:6" x14ac:dyDescent="0.25">
      <c r="A17625"/>
      <c r="B17625"/>
      <c r="C17625"/>
      <c r="E17625"/>
      <c r="F17625"/>
    </row>
    <row r="17626" spans="1:6" x14ac:dyDescent="0.25">
      <c r="A17626"/>
      <c r="B17626"/>
      <c r="C17626"/>
      <c r="E17626"/>
      <c r="F17626"/>
    </row>
    <row r="17627" spans="1:6" x14ac:dyDescent="0.25">
      <c r="A17627"/>
      <c r="B17627"/>
      <c r="C17627"/>
      <c r="E17627"/>
      <c r="F17627"/>
    </row>
    <row r="17628" spans="1:6" x14ac:dyDescent="0.25">
      <c r="A17628"/>
      <c r="B17628"/>
      <c r="C17628"/>
      <c r="E17628"/>
      <c r="F17628"/>
    </row>
    <row r="17629" spans="1:6" x14ac:dyDescent="0.25">
      <c r="A17629"/>
      <c r="B17629"/>
      <c r="C17629"/>
      <c r="E17629"/>
      <c r="F17629"/>
    </row>
    <row r="17630" spans="1:6" x14ac:dyDescent="0.25">
      <c r="A17630"/>
      <c r="B17630"/>
      <c r="C17630"/>
      <c r="E17630"/>
      <c r="F17630"/>
    </row>
    <row r="17631" spans="1:6" x14ac:dyDescent="0.25">
      <c r="A17631"/>
      <c r="B17631"/>
      <c r="C17631"/>
      <c r="E17631"/>
      <c r="F17631"/>
    </row>
    <row r="17632" spans="1:6" x14ac:dyDescent="0.25">
      <c r="A17632"/>
      <c r="B17632"/>
      <c r="C17632"/>
      <c r="E17632"/>
      <c r="F17632"/>
    </row>
    <row r="17633" spans="1:6" x14ac:dyDescent="0.25">
      <c r="A17633"/>
      <c r="B17633"/>
      <c r="C17633"/>
      <c r="E17633"/>
      <c r="F17633"/>
    </row>
    <row r="17634" spans="1:6" x14ac:dyDescent="0.25">
      <c r="A17634"/>
      <c r="B17634"/>
      <c r="C17634"/>
      <c r="E17634"/>
      <c r="F17634"/>
    </row>
    <row r="17635" spans="1:6" x14ac:dyDescent="0.25">
      <c r="A17635"/>
      <c r="B17635"/>
      <c r="C17635"/>
      <c r="E17635"/>
      <c r="F17635"/>
    </row>
    <row r="17636" spans="1:6" x14ac:dyDescent="0.25">
      <c r="A17636"/>
      <c r="B17636"/>
      <c r="C17636"/>
      <c r="E17636"/>
      <c r="F17636"/>
    </row>
    <row r="17637" spans="1:6" x14ac:dyDescent="0.25">
      <c r="A17637"/>
      <c r="B17637"/>
      <c r="C17637"/>
      <c r="E17637"/>
      <c r="F17637"/>
    </row>
    <row r="17638" spans="1:6" x14ac:dyDescent="0.25">
      <c r="A17638"/>
      <c r="B17638"/>
      <c r="C17638"/>
      <c r="E17638"/>
      <c r="F17638"/>
    </row>
    <row r="17639" spans="1:6" x14ac:dyDescent="0.25">
      <c r="A17639"/>
      <c r="B17639"/>
      <c r="C17639"/>
      <c r="E17639"/>
      <c r="F17639"/>
    </row>
    <row r="17640" spans="1:6" x14ac:dyDescent="0.25">
      <c r="A17640"/>
      <c r="B17640"/>
      <c r="C17640"/>
      <c r="E17640"/>
      <c r="F17640"/>
    </row>
    <row r="17641" spans="1:6" x14ac:dyDescent="0.25">
      <c r="A17641"/>
      <c r="B17641"/>
      <c r="C17641"/>
      <c r="E17641"/>
      <c r="F17641"/>
    </row>
    <row r="17642" spans="1:6" x14ac:dyDescent="0.25">
      <c r="A17642"/>
      <c r="B17642"/>
      <c r="C17642"/>
      <c r="E17642"/>
      <c r="F17642"/>
    </row>
    <row r="17643" spans="1:6" x14ac:dyDescent="0.25">
      <c r="A17643"/>
      <c r="B17643"/>
      <c r="C17643"/>
      <c r="E17643"/>
      <c r="F17643"/>
    </row>
    <row r="17644" spans="1:6" x14ac:dyDescent="0.25">
      <c r="A17644"/>
      <c r="B17644"/>
      <c r="C17644"/>
      <c r="E17644"/>
      <c r="F17644"/>
    </row>
    <row r="17645" spans="1:6" x14ac:dyDescent="0.25">
      <c r="A17645"/>
      <c r="B17645"/>
      <c r="C17645"/>
      <c r="E17645"/>
      <c r="F17645"/>
    </row>
    <row r="17646" spans="1:6" x14ac:dyDescent="0.25">
      <c r="A17646"/>
      <c r="B17646"/>
      <c r="C17646"/>
      <c r="E17646"/>
      <c r="F17646"/>
    </row>
    <row r="17647" spans="1:6" x14ac:dyDescent="0.25">
      <c r="A17647"/>
      <c r="B17647"/>
      <c r="C17647"/>
      <c r="E17647"/>
      <c r="F17647"/>
    </row>
    <row r="17648" spans="1:6" x14ac:dyDescent="0.25">
      <c r="A17648"/>
      <c r="B17648"/>
      <c r="C17648"/>
      <c r="E17648"/>
      <c r="F17648"/>
    </row>
    <row r="17649" spans="1:6" x14ac:dyDescent="0.25">
      <c r="A17649"/>
      <c r="B17649"/>
      <c r="C17649"/>
      <c r="E17649"/>
      <c r="F17649"/>
    </row>
    <row r="17650" spans="1:6" x14ac:dyDescent="0.25">
      <c r="A17650"/>
      <c r="B17650"/>
      <c r="C17650"/>
      <c r="E17650"/>
      <c r="F17650"/>
    </row>
    <row r="17651" spans="1:6" x14ac:dyDescent="0.25">
      <c r="A17651"/>
      <c r="B17651"/>
      <c r="C17651"/>
      <c r="E17651"/>
      <c r="F17651"/>
    </row>
    <row r="17652" spans="1:6" x14ac:dyDescent="0.25">
      <c r="A17652"/>
      <c r="B17652"/>
      <c r="C17652"/>
      <c r="E17652"/>
      <c r="F17652"/>
    </row>
    <row r="17653" spans="1:6" x14ac:dyDescent="0.25">
      <c r="A17653"/>
      <c r="B17653"/>
      <c r="C17653"/>
      <c r="E17653"/>
      <c r="F17653"/>
    </row>
    <row r="17654" spans="1:6" x14ac:dyDescent="0.25">
      <c r="A17654"/>
      <c r="B17654"/>
      <c r="C17654"/>
      <c r="E17654"/>
      <c r="F17654"/>
    </row>
    <row r="17655" spans="1:6" x14ac:dyDescent="0.25">
      <c r="A17655"/>
      <c r="B17655"/>
      <c r="C17655"/>
      <c r="E17655"/>
      <c r="F17655"/>
    </row>
    <row r="17656" spans="1:6" x14ac:dyDescent="0.25">
      <c r="A17656"/>
      <c r="B17656"/>
      <c r="C17656"/>
      <c r="E17656"/>
      <c r="F17656"/>
    </row>
    <row r="17657" spans="1:6" x14ac:dyDescent="0.25">
      <c r="A17657"/>
      <c r="B17657"/>
      <c r="C17657"/>
      <c r="E17657"/>
      <c r="F17657"/>
    </row>
    <row r="17658" spans="1:6" x14ac:dyDescent="0.25">
      <c r="A17658"/>
      <c r="B17658"/>
      <c r="C17658"/>
      <c r="E17658"/>
      <c r="F17658"/>
    </row>
    <row r="17659" spans="1:6" x14ac:dyDescent="0.25">
      <c r="A17659"/>
      <c r="B17659"/>
      <c r="C17659"/>
      <c r="E17659"/>
      <c r="F17659"/>
    </row>
    <row r="17660" spans="1:6" x14ac:dyDescent="0.25">
      <c r="A17660"/>
      <c r="B17660"/>
      <c r="C17660"/>
      <c r="E17660"/>
      <c r="F17660"/>
    </row>
    <row r="17661" spans="1:6" x14ac:dyDescent="0.25">
      <c r="A17661"/>
      <c r="B17661"/>
      <c r="C17661"/>
      <c r="E17661"/>
      <c r="F17661"/>
    </row>
    <row r="17662" spans="1:6" x14ac:dyDescent="0.25">
      <c r="A17662"/>
      <c r="B17662"/>
      <c r="C17662"/>
      <c r="E17662"/>
      <c r="F17662"/>
    </row>
    <row r="17663" spans="1:6" x14ac:dyDescent="0.25">
      <c r="A17663"/>
      <c r="B17663"/>
      <c r="C17663"/>
      <c r="E17663"/>
      <c r="F17663"/>
    </row>
    <row r="17664" spans="1:6" x14ac:dyDescent="0.25">
      <c r="A17664"/>
      <c r="B17664"/>
      <c r="C17664"/>
      <c r="E17664"/>
      <c r="F17664"/>
    </row>
    <row r="17665" spans="1:6" x14ac:dyDescent="0.25">
      <c r="A17665"/>
      <c r="B17665"/>
      <c r="C17665"/>
      <c r="E17665"/>
      <c r="F17665"/>
    </row>
    <row r="17666" spans="1:6" x14ac:dyDescent="0.25">
      <c r="A17666"/>
      <c r="B17666"/>
      <c r="C17666"/>
      <c r="E17666"/>
      <c r="F17666"/>
    </row>
    <row r="17667" spans="1:6" x14ac:dyDescent="0.25">
      <c r="A17667"/>
      <c r="B17667"/>
      <c r="C17667"/>
      <c r="E17667"/>
      <c r="F17667"/>
    </row>
    <row r="17668" spans="1:6" x14ac:dyDescent="0.25">
      <c r="A17668"/>
      <c r="B17668"/>
      <c r="C17668"/>
      <c r="E17668"/>
      <c r="F17668"/>
    </row>
    <row r="17669" spans="1:6" x14ac:dyDescent="0.25">
      <c r="A17669"/>
      <c r="B17669"/>
      <c r="C17669"/>
      <c r="E17669"/>
      <c r="F17669"/>
    </row>
    <row r="17670" spans="1:6" x14ac:dyDescent="0.25">
      <c r="A17670"/>
      <c r="B17670"/>
      <c r="C17670"/>
      <c r="E17670"/>
      <c r="F17670"/>
    </row>
    <row r="17671" spans="1:6" x14ac:dyDescent="0.25">
      <c r="A17671"/>
      <c r="B17671"/>
      <c r="C17671"/>
      <c r="E17671"/>
      <c r="F17671"/>
    </row>
    <row r="17672" spans="1:6" x14ac:dyDescent="0.25">
      <c r="A17672"/>
      <c r="B17672"/>
      <c r="C17672"/>
      <c r="E17672"/>
      <c r="F17672"/>
    </row>
    <row r="17673" spans="1:6" x14ac:dyDescent="0.25">
      <c r="A17673"/>
      <c r="B17673"/>
      <c r="C17673"/>
      <c r="E17673"/>
      <c r="F17673"/>
    </row>
    <row r="17674" spans="1:6" x14ac:dyDescent="0.25">
      <c r="A17674"/>
      <c r="B17674"/>
      <c r="C17674"/>
      <c r="E17674"/>
      <c r="F17674"/>
    </row>
    <row r="17675" spans="1:6" x14ac:dyDescent="0.25">
      <c r="A17675"/>
      <c r="B17675"/>
      <c r="C17675"/>
      <c r="E17675"/>
      <c r="F17675"/>
    </row>
    <row r="17676" spans="1:6" x14ac:dyDescent="0.25">
      <c r="A17676"/>
      <c r="B17676"/>
      <c r="C17676"/>
      <c r="E17676"/>
      <c r="F17676"/>
    </row>
    <row r="17677" spans="1:6" x14ac:dyDescent="0.25">
      <c r="A17677"/>
      <c r="B17677"/>
      <c r="C17677"/>
      <c r="E17677"/>
      <c r="F17677"/>
    </row>
    <row r="17678" spans="1:6" x14ac:dyDescent="0.25">
      <c r="A17678"/>
      <c r="B17678"/>
      <c r="C17678"/>
      <c r="E17678"/>
      <c r="F17678"/>
    </row>
    <row r="17679" spans="1:6" x14ac:dyDescent="0.25">
      <c r="A17679"/>
      <c r="B17679"/>
      <c r="C17679"/>
      <c r="E17679"/>
      <c r="F17679"/>
    </row>
    <row r="17680" spans="1:6" x14ac:dyDescent="0.25">
      <c r="A17680"/>
      <c r="B17680"/>
      <c r="C17680"/>
      <c r="E17680"/>
      <c r="F17680"/>
    </row>
    <row r="17681" spans="1:6" x14ac:dyDescent="0.25">
      <c r="A17681"/>
      <c r="B17681"/>
      <c r="C17681"/>
      <c r="E17681"/>
      <c r="F17681"/>
    </row>
    <row r="17682" spans="1:6" x14ac:dyDescent="0.25">
      <c r="A17682"/>
      <c r="B17682"/>
      <c r="C17682"/>
      <c r="E17682"/>
      <c r="F17682"/>
    </row>
    <row r="17683" spans="1:6" x14ac:dyDescent="0.25">
      <c r="A17683"/>
      <c r="B17683"/>
      <c r="C17683"/>
      <c r="E17683"/>
      <c r="F17683"/>
    </row>
    <row r="17684" spans="1:6" x14ac:dyDescent="0.25">
      <c r="A17684"/>
      <c r="B17684"/>
      <c r="C17684"/>
      <c r="E17684"/>
      <c r="F17684"/>
    </row>
    <row r="17685" spans="1:6" x14ac:dyDescent="0.25">
      <c r="A17685"/>
      <c r="B17685"/>
      <c r="C17685"/>
      <c r="E17685"/>
      <c r="F17685"/>
    </row>
    <row r="17686" spans="1:6" x14ac:dyDescent="0.25">
      <c r="A17686"/>
      <c r="B17686"/>
      <c r="C17686"/>
      <c r="E17686"/>
      <c r="F17686"/>
    </row>
    <row r="17687" spans="1:6" x14ac:dyDescent="0.25">
      <c r="A17687"/>
      <c r="B17687"/>
      <c r="C17687"/>
      <c r="E17687"/>
      <c r="F17687"/>
    </row>
    <row r="17688" spans="1:6" x14ac:dyDescent="0.25">
      <c r="A17688"/>
      <c r="B17688"/>
      <c r="C17688"/>
      <c r="E17688"/>
      <c r="F17688"/>
    </row>
    <row r="17689" spans="1:6" x14ac:dyDescent="0.25">
      <c r="A17689"/>
      <c r="B17689"/>
      <c r="C17689"/>
      <c r="E17689"/>
      <c r="F17689"/>
    </row>
    <row r="17690" spans="1:6" x14ac:dyDescent="0.25">
      <c r="A17690"/>
      <c r="B17690"/>
      <c r="C17690"/>
      <c r="E17690"/>
      <c r="F17690"/>
    </row>
    <row r="17691" spans="1:6" x14ac:dyDescent="0.25">
      <c r="A17691"/>
      <c r="B17691"/>
      <c r="C17691"/>
      <c r="E17691"/>
      <c r="F17691"/>
    </row>
    <row r="17692" spans="1:6" x14ac:dyDescent="0.25">
      <c r="A17692"/>
      <c r="B17692"/>
      <c r="C17692"/>
      <c r="E17692"/>
      <c r="F17692"/>
    </row>
    <row r="17693" spans="1:6" x14ac:dyDescent="0.25">
      <c r="A17693"/>
      <c r="B17693"/>
      <c r="C17693"/>
      <c r="E17693"/>
      <c r="F17693"/>
    </row>
    <row r="17694" spans="1:6" x14ac:dyDescent="0.25">
      <c r="A17694"/>
      <c r="B17694"/>
      <c r="C17694"/>
      <c r="E17694"/>
      <c r="F17694"/>
    </row>
    <row r="17695" spans="1:6" x14ac:dyDescent="0.25">
      <c r="A17695"/>
      <c r="B17695"/>
      <c r="C17695"/>
      <c r="E17695"/>
      <c r="F17695"/>
    </row>
    <row r="17696" spans="1:6" x14ac:dyDescent="0.25">
      <c r="A17696"/>
      <c r="B17696"/>
      <c r="C17696"/>
      <c r="E17696"/>
      <c r="F17696"/>
    </row>
    <row r="17697" spans="1:6" x14ac:dyDescent="0.25">
      <c r="A17697"/>
      <c r="B17697"/>
      <c r="C17697"/>
      <c r="E17697"/>
      <c r="F17697"/>
    </row>
    <row r="17698" spans="1:6" x14ac:dyDescent="0.25">
      <c r="A17698"/>
      <c r="B17698"/>
      <c r="C17698"/>
      <c r="E17698"/>
      <c r="F17698"/>
    </row>
    <row r="17699" spans="1:6" x14ac:dyDescent="0.25">
      <c r="A17699"/>
      <c r="B17699"/>
      <c r="C17699"/>
      <c r="E17699"/>
      <c r="F17699"/>
    </row>
    <row r="17700" spans="1:6" x14ac:dyDescent="0.25">
      <c r="A17700"/>
      <c r="B17700"/>
      <c r="C17700"/>
      <c r="E17700"/>
      <c r="F17700"/>
    </row>
    <row r="17701" spans="1:6" x14ac:dyDescent="0.25">
      <c r="A17701"/>
      <c r="B17701"/>
      <c r="C17701"/>
      <c r="E17701"/>
      <c r="F17701"/>
    </row>
    <row r="17702" spans="1:6" x14ac:dyDescent="0.25">
      <c r="A17702"/>
      <c r="B17702"/>
      <c r="C17702"/>
      <c r="E17702"/>
      <c r="F17702"/>
    </row>
    <row r="17703" spans="1:6" x14ac:dyDescent="0.25">
      <c r="A17703"/>
      <c r="B17703"/>
      <c r="C17703"/>
      <c r="E17703"/>
      <c r="F17703"/>
    </row>
    <row r="17704" spans="1:6" x14ac:dyDescent="0.25">
      <c r="A17704"/>
      <c r="B17704"/>
      <c r="C17704"/>
      <c r="E17704"/>
      <c r="F17704"/>
    </row>
    <row r="17705" spans="1:6" x14ac:dyDescent="0.25">
      <c r="A17705"/>
      <c r="B17705"/>
      <c r="C17705"/>
      <c r="E17705"/>
      <c r="F17705"/>
    </row>
    <row r="17706" spans="1:6" x14ac:dyDescent="0.25">
      <c r="A17706"/>
      <c r="B17706"/>
      <c r="C17706"/>
      <c r="E17706"/>
      <c r="F17706"/>
    </row>
    <row r="17707" spans="1:6" x14ac:dyDescent="0.25">
      <c r="A17707"/>
      <c r="B17707"/>
      <c r="C17707"/>
      <c r="E17707"/>
      <c r="F17707"/>
    </row>
    <row r="17708" spans="1:6" x14ac:dyDescent="0.25">
      <c r="A17708"/>
      <c r="B17708"/>
      <c r="C17708"/>
      <c r="E17708"/>
      <c r="F17708"/>
    </row>
    <row r="17709" spans="1:6" x14ac:dyDescent="0.25">
      <c r="A17709"/>
      <c r="B17709"/>
      <c r="C17709"/>
      <c r="E17709"/>
      <c r="F17709"/>
    </row>
    <row r="17710" spans="1:6" x14ac:dyDescent="0.25">
      <c r="A17710"/>
      <c r="B17710"/>
      <c r="C17710"/>
      <c r="E17710"/>
      <c r="F17710"/>
    </row>
    <row r="17711" spans="1:6" x14ac:dyDescent="0.25">
      <c r="A17711"/>
      <c r="B17711"/>
      <c r="C17711"/>
      <c r="E17711"/>
      <c r="F17711"/>
    </row>
    <row r="17712" spans="1:6" x14ac:dyDescent="0.25">
      <c r="A17712"/>
      <c r="B17712"/>
      <c r="C17712"/>
      <c r="E17712"/>
      <c r="F17712"/>
    </row>
    <row r="17713" spans="1:6" x14ac:dyDescent="0.25">
      <c r="A17713"/>
      <c r="B17713"/>
      <c r="C17713"/>
      <c r="E17713"/>
      <c r="F17713"/>
    </row>
    <row r="17714" spans="1:6" x14ac:dyDescent="0.25">
      <c r="A17714"/>
      <c r="B17714"/>
      <c r="C17714"/>
      <c r="E17714"/>
      <c r="F17714"/>
    </row>
    <row r="17715" spans="1:6" x14ac:dyDescent="0.25">
      <c r="A17715"/>
      <c r="B17715"/>
      <c r="C17715"/>
      <c r="E17715"/>
      <c r="F17715"/>
    </row>
    <row r="17716" spans="1:6" x14ac:dyDescent="0.25">
      <c r="A17716"/>
      <c r="B17716"/>
      <c r="C17716"/>
      <c r="E17716"/>
      <c r="F17716"/>
    </row>
    <row r="17717" spans="1:6" x14ac:dyDescent="0.25">
      <c r="A17717"/>
      <c r="B17717"/>
      <c r="C17717"/>
      <c r="E17717"/>
      <c r="F17717"/>
    </row>
    <row r="17718" spans="1:6" x14ac:dyDescent="0.25">
      <c r="A17718"/>
      <c r="B17718"/>
      <c r="C17718"/>
      <c r="E17718"/>
      <c r="F17718"/>
    </row>
    <row r="17719" spans="1:6" x14ac:dyDescent="0.25">
      <c r="A17719"/>
      <c r="B17719"/>
      <c r="C17719"/>
      <c r="E17719"/>
      <c r="F17719"/>
    </row>
    <row r="17720" spans="1:6" x14ac:dyDescent="0.25">
      <c r="A17720"/>
      <c r="B17720"/>
      <c r="C17720"/>
      <c r="E17720"/>
      <c r="F17720"/>
    </row>
    <row r="17721" spans="1:6" x14ac:dyDescent="0.25">
      <c r="A17721"/>
      <c r="B17721"/>
      <c r="C17721"/>
      <c r="E17721"/>
      <c r="F17721"/>
    </row>
    <row r="17722" spans="1:6" x14ac:dyDescent="0.25">
      <c r="A17722"/>
      <c r="B17722"/>
      <c r="C17722"/>
      <c r="E17722"/>
      <c r="F17722"/>
    </row>
    <row r="17723" spans="1:6" x14ac:dyDescent="0.25">
      <c r="A17723"/>
      <c r="B17723"/>
      <c r="C17723"/>
      <c r="E17723"/>
      <c r="F17723"/>
    </row>
    <row r="17724" spans="1:6" x14ac:dyDescent="0.25">
      <c r="A17724"/>
      <c r="B17724"/>
      <c r="C17724"/>
      <c r="E17724"/>
      <c r="F17724"/>
    </row>
    <row r="17725" spans="1:6" x14ac:dyDescent="0.25">
      <c r="A17725"/>
      <c r="B17725"/>
      <c r="C17725"/>
      <c r="E17725"/>
      <c r="F17725"/>
    </row>
    <row r="17726" spans="1:6" x14ac:dyDescent="0.25">
      <c r="A17726"/>
      <c r="B17726"/>
      <c r="C17726"/>
      <c r="E17726"/>
      <c r="F17726"/>
    </row>
    <row r="17727" spans="1:6" x14ac:dyDescent="0.25">
      <c r="A17727"/>
      <c r="B17727"/>
      <c r="C17727"/>
      <c r="E17727"/>
      <c r="F17727"/>
    </row>
    <row r="17728" spans="1:6" x14ac:dyDescent="0.25">
      <c r="A17728"/>
      <c r="B17728"/>
      <c r="C17728"/>
      <c r="E17728"/>
      <c r="F17728"/>
    </row>
    <row r="17729" spans="1:6" x14ac:dyDescent="0.25">
      <c r="A17729"/>
      <c r="B17729"/>
      <c r="C17729"/>
      <c r="E17729"/>
      <c r="F17729"/>
    </row>
    <row r="17730" spans="1:6" x14ac:dyDescent="0.25">
      <c r="A17730"/>
      <c r="B17730"/>
      <c r="C17730"/>
      <c r="E17730"/>
      <c r="F17730"/>
    </row>
    <row r="17731" spans="1:6" x14ac:dyDescent="0.25">
      <c r="A17731"/>
      <c r="B17731"/>
      <c r="C17731"/>
      <c r="E17731"/>
      <c r="F17731"/>
    </row>
    <row r="17732" spans="1:6" x14ac:dyDescent="0.25">
      <c r="A17732"/>
      <c r="B17732"/>
      <c r="C17732"/>
      <c r="E17732"/>
      <c r="F17732"/>
    </row>
    <row r="17733" spans="1:6" x14ac:dyDescent="0.25">
      <c r="A17733"/>
      <c r="B17733"/>
      <c r="C17733"/>
      <c r="E17733"/>
      <c r="F17733"/>
    </row>
    <row r="17734" spans="1:6" x14ac:dyDescent="0.25">
      <c r="A17734"/>
      <c r="B17734"/>
      <c r="C17734"/>
      <c r="E17734"/>
      <c r="F17734"/>
    </row>
    <row r="17735" spans="1:6" x14ac:dyDescent="0.25">
      <c r="A17735"/>
      <c r="B17735"/>
      <c r="C17735"/>
      <c r="E17735"/>
      <c r="F17735"/>
    </row>
    <row r="17736" spans="1:6" x14ac:dyDescent="0.25">
      <c r="A17736"/>
      <c r="B17736"/>
      <c r="C17736"/>
      <c r="E17736"/>
      <c r="F17736"/>
    </row>
    <row r="17737" spans="1:6" x14ac:dyDescent="0.25">
      <c r="A17737"/>
      <c r="B17737"/>
      <c r="C17737"/>
      <c r="E17737"/>
      <c r="F17737"/>
    </row>
    <row r="17738" spans="1:6" x14ac:dyDescent="0.25">
      <c r="A17738"/>
      <c r="B17738"/>
      <c r="C17738"/>
      <c r="E17738"/>
      <c r="F17738"/>
    </row>
    <row r="17739" spans="1:6" x14ac:dyDescent="0.25">
      <c r="A17739"/>
      <c r="B17739"/>
      <c r="C17739"/>
      <c r="E17739"/>
      <c r="F17739"/>
    </row>
    <row r="17740" spans="1:6" x14ac:dyDescent="0.25">
      <c r="A17740"/>
      <c r="B17740"/>
      <c r="C17740"/>
      <c r="E17740"/>
      <c r="F17740"/>
    </row>
    <row r="17741" spans="1:6" x14ac:dyDescent="0.25">
      <c r="A17741"/>
      <c r="B17741"/>
      <c r="C17741"/>
      <c r="E17741"/>
      <c r="F17741"/>
    </row>
    <row r="17742" spans="1:6" x14ac:dyDescent="0.25">
      <c r="A17742"/>
      <c r="B17742"/>
      <c r="C17742"/>
      <c r="E17742"/>
      <c r="F17742"/>
    </row>
    <row r="17743" spans="1:6" x14ac:dyDescent="0.25">
      <c r="A17743"/>
      <c r="B17743"/>
      <c r="C17743"/>
      <c r="E17743"/>
      <c r="F17743"/>
    </row>
    <row r="17744" spans="1:6" x14ac:dyDescent="0.25">
      <c r="A17744"/>
      <c r="B17744"/>
      <c r="C17744"/>
      <c r="E17744"/>
      <c r="F17744"/>
    </row>
    <row r="17745" spans="1:6" x14ac:dyDescent="0.25">
      <c r="A17745"/>
      <c r="B17745"/>
      <c r="C17745"/>
      <c r="E17745"/>
      <c r="F17745"/>
    </row>
    <row r="17746" spans="1:6" x14ac:dyDescent="0.25">
      <c r="A17746"/>
      <c r="B17746"/>
      <c r="C17746"/>
      <c r="E17746"/>
      <c r="F17746"/>
    </row>
    <row r="17747" spans="1:6" x14ac:dyDescent="0.25">
      <c r="A17747"/>
      <c r="B17747"/>
      <c r="C17747"/>
      <c r="E17747"/>
      <c r="F17747"/>
    </row>
    <row r="17748" spans="1:6" x14ac:dyDescent="0.25">
      <c r="A17748"/>
      <c r="B17748"/>
      <c r="C17748"/>
      <c r="E17748"/>
      <c r="F17748"/>
    </row>
    <row r="17749" spans="1:6" x14ac:dyDescent="0.25">
      <c r="A17749"/>
      <c r="B17749"/>
      <c r="C17749"/>
      <c r="E17749"/>
      <c r="F17749"/>
    </row>
    <row r="17750" spans="1:6" x14ac:dyDescent="0.25">
      <c r="A17750"/>
      <c r="B17750"/>
      <c r="C17750"/>
      <c r="E17750"/>
      <c r="F17750"/>
    </row>
    <row r="17751" spans="1:6" x14ac:dyDescent="0.25">
      <c r="A17751"/>
      <c r="B17751"/>
      <c r="C17751"/>
      <c r="E17751"/>
      <c r="F17751"/>
    </row>
    <row r="17752" spans="1:6" x14ac:dyDescent="0.25">
      <c r="A17752"/>
      <c r="B17752"/>
      <c r="C17752"/>
      <c r="E17752"/>
      <c r="F17752"/>
    </row>
    <row r="17753" spans="1:6" x14ac:dyDescent="0.25">
      <c r="A17753"/>
      <c r="B17753"/>
      <c r="C17753"/>
      <c r="E17753"/>
      <c r="F17753"/>
    </row>
    <row r="17754" spans="1:6" x14ac:dyDescent="0.25">
      <c r="A17754"/>
      <c r="B17754"/>
      <c r="C17754"/>
      <c r="E17754"/>
      <c r="F17754"/>
    </row>
    <row r="17755" spans="1:6" x14ac:dyDescent="0.25">
      <c r="A17755"/>
      <c r="B17755"/>
      <c r="C17755"/>
      <c r="E17755"/>
      <c r="F17755"/>
    </row>
    <row r="17756" spans="1:6" x14ac:dyDescent="0.25">
      <c r="A17756"/>
      <c r="B17756"/>
      <c r="C17756"/>
      <c r="E17756"/>
      <c r="F17756"/>
    </row>
    <row r="17757" spans="1:6" x14ac:dyDescent="0.25">
      <c r="A17757"/>
      <c r="B17757"/>
      <c r="C17757"/>
      <c r="E17757"/>
      <c r="F17757"/>
    </row>
    <row r="17758" spans="1:6" x14ac:dyDescent="0.25">
      <c r="A17758"/>
      <c r="B17758"/>
      <c r="C17758"/>
      <c r="E17758"/>
      <c r="F17758"/>
    </row>
    <row r="17759" spans="1:6" x14ac:dyDescent="0.25">
      <c r="A17759"/>
      <c r="B17759"/>
      <c r="C17759"/>
      <c r="E17759"/>
      <c r="F17759"/>
    </row>
    <row r="17760" spans="1:6" x14ac:dyDescent="0.25">
      <c r="A17760"/>
      <c r="B17760"/>
      <c r="C17760"/>
      <c r="E17760"/>
      <c r="F17760"/>
    </row>
    <row r="17761" spans="1:6" x14ac:dyDescent="0.25">
      <c r="A17761"/>
      <c r="B17761"/>
      <c r="C17761"/>
      <c r="E17761"/>
      <c r="F17761"/>
    </row>
    <row r="17762" spans="1:6" x14ac:dyDescent="0.25">
      <c r="A17762"/>
      <c r="B17762"/>
      <c r="C17762"/>
      <c r="E17762"/>
      <c r="F17762"/>
    </row>
    <row r="17763" spans="1:6" x14ac:dyDescent="0.25">
      <c r="A17763"/>
      <c r="B17763"/>
      <c r="C17763"/>
      <c r="E17763"/>
      <c r="F17763"/>
    </row>
    <row r="17764" spans="1:6" x14ac:dyDescent="0.25">
      <c r="A17764"/>
      <c r="B17764"/>
      <c r="C17764"/>
      <c r="E17764"/>
      <c r="F17764"/>
    </row>
    <row r="17765" spans="1:6" x14ac:dyDescent="0.25">
      <c r="A17765"/>
      <c r="B17765"/>
      <c r="C17765"/>
      <c r="E17765"/>
      <c r="F17765"/>
    </row>
    <row r="17766" spans="1:6" x14ac:dyDescent="0.25">
      <c r="A17766"/>
      <c r="B17766"/>
      <c r="C17766"/>
      <c r="E17766"/>
      <c r="F17766"/>
    </row>
    <row r="17767" spans="1:6" x14ac:dyDescent="0.25">
      <c r="A17767"/>
      <c r="B17767"/>
      <c r="C17767"/>
      <c r="E17767"/>
      <c r="F17767"/>
    </row>
    <row r="17768" spans="1:6" x14ac:dyDescent="0.25">
      <c r="A17768"/>
      <c r="B17768"/>
      <c r="C17768"/>
      <c r="E17768"/>
      <c r="F17768"/>
    </row>
    <row r="17769" spans="1:6" x14ac:dyDescent="0.25">
      <c r="A17769"/>
      <c r="B17769"/>
      <c r="C17769"/>
      <c r="E17769"/>
      <c r="F17769"/>
    </row>
    <row r="17770" spans="1:6" x14ac:dyDescent="0.25">
      <c r="A17770"/>
      <c r="B17770"/>
      <c r="C17770"/>
      <c r="E17770"/>
      <c r="F17770"/>
    </row>
    <row r="17771" spans="1:6" x14ac:dyDescent="0.25">
      <c r="A17771"/>
      <c r="B17771"/>
      <c r="C17771"/>
      <c r="E17771"/>
      <c r="F17771"/>
    </row>
    <row r="17772" spans="1:6" x14ac:dyDescent="0.25">
      <c r="A17772"/>
      <c r="B17772"/>
      <c r="C17772"/>
      <c r="E17772"/>
      <c r="F17772"/>
    </row>
    <row r="17773" spans="1:6" x14ac:dyDescent="0.25">
      <c r="A17773"/>
      <c r="B17773"/>
      <c r="C17773"/>
      <c r="E17773"/>
      <c r="F17773"/>
    </row>
    <row r="17774" spans="1:6" x14ac:dyDescent="0.25">
      <c r="A17774"/>
      <c r="B17774"/>
      <c r="C17774"/>
      <c r="E17774"/>
      <c r="F17774"/>
    </row>
    <row r="17775" spans="1:6" x14ac:dyDescent="0.25">
      <c r="A17775"/>
      <c r="B17775"/>
      <c r="C17775"/>
      <c r="E17775"/>
      <c r="F17775"/>
    </row>
    <row r="17776" spans="1:6" x14ac:dyDescent="0.25">
      <c r="A17776"/>
      <c r="B17776"/>
      <c r="C17776"/>
      <c r="E17776"/>
      <c r="F17776"/>
    </row>
    <row r="17777" spans="1:6" x14ac:dyDescent="0.25">
      <c r="A17777"/>
      <c r="B17777"/>
      <c r="C17777"/>
      <c r="E17777"/>
      <c r="F17777"/>
    </row>
    <row r="17778" spans="1:6" x14ac:dyDescent="0.25">
      <c r="A17778"/>
      <c r="B17778"/>
      <c r="C17778"/>
      <c r="E17778"/>
      <c r="F17778"/>
    </row>
    <row r="17779" spans="1:6" x14ac:dyDescent="0.25">
      <c r="A17779"/>
      <c r="B17779"/>
      <c r="C17779"/>
      <c r="E17779"/>
      <c r="F17779"/>
    </row>
    <row r="17780" spans="1:6" x14ac:dyDescent="0.25">
      <c r="A17780"/>
      <c r="B17780"/>
      <c r="C17780"/>
      <c r="E17780"/>
      <c r="F17780"/>
    </row>
    <row r="17781" spans="1:6" x14ac:dyDescent="0.25">
      <c r="A17781"/>
      <c r="B17781"/>
      <c r="C17781"/>
      <c r="E17781"/>
      <c r="F17781"/>
    </row>
    <row r="17782" spans="1:6" x14ac:dyDescent="0.25">
      <c r="A17782"/>
      <c r="B17782"/>
      <c r="C17782"/>
      <c r="E17782"/>
      <c r="F17782"/>
    </row>
    <row r="17783" spans="1:6" x14ac:dyDescent="0.25">
      <c r="A17783"/>
      <c r="B17783"/>
      <c r="C17783"/>
      <c r="E17783"/>
      <c r="F17783"/>
    </row>
    <row r="17784" spans="1:6" x14ac:dyDescent="0.25">
      <c r="A17784"/>
      <c r="B17784"/>
      <c r="C17784"/>
      <c r="E17784"/>
      <c r="F17784"/>
    </row>
    <row r="17785" spans="1:6" x14ac:dyDescent="0.25">
      <c r="A17785"/>
      <c r="B17785"/>
      <c r="C17785"/>
      <c r="E17785"/>
      <c r="F17785"/>
    </row>
    <row r="17786" spans="1:6" x14ac:dyDescent="0.25">
      <c r="A17786"/>
      <c r="B17786"/>
      <c r="C17786"/>
      <c r="E17786"/>
      <c r="F17786"/>
    </row>
    <row r="17787" spans="1:6" x14ac:dyDescent="0.25">
      <c r="A17787"/>
      <c r="B17787"/>
      <c r="C17787"/>
      <c r="E17787"/>
      <c r="F17787"/>
    </row>
    <row r="17788" spans="1:6" x14ac:dyDescent="0.25">
      <c r="A17788"/>
      <c r="B17788"/>
      <c r="C17788"/>
      <c r="E17788"/>
      <c r="F17788"/>
    </row>
    <row r="17789" spans="1:6" x14ac:dyDescent="0.25">
      <c r="A17789"/>
      <c r="B17789"/>
      <c r="C17789"/>
      <c r="E17789"/>
      <c r="F17789"/>
    </row>
    <row r="17790" spans="1:6" x14ac:dyDescent="0.25">
      <c r="A17790"/>
      <c r="B17790"/>
      <c r="C17790"/>
      <c r="E17790"/>
      <c r="F17790"/>
    </row>
    <row r="17791" spans="1:6" x14ac:dyDescent="0.25">
      <c r="A17791"/>
      <c r="B17791"/>
      <c r="C17791"/>
      <c r="E17791"/>
      <c r="F17791"/>
    </row>
    <row r="17792" spans="1:6" x14ac:dyDescent="0.25">
      <c r="A17792"/>
      <c r="B17792"/>
      <c r="C17792"/>
      <c r="E17792"/>
      <c r="F17792"/>
    </row>
    <row r="17793" spans="1:6" x14ac:dyDescent="0.25">
      <c r="A17793"/>
      <c r="B17793"/>
      <c r="C17793"/>
      <c r="E17793"/>
      <c r="F17793"/>
    </row>
    <row r="17794" spans="1:6" x14ac:dyDescent="0.25">
      <c r="A17794"/>
      <c r="B17794"/>
      <c r="C17794"/>
      <c r="E17794"/>
      <c r="F17794"/>
    </row>
    <row r="17795" spans="1:6" x14ac:dyDescent="0.25">
      <c r="A17795"/>
      <c r="B17795"/>
      <c r="C17795"/>
      <c r="E17795"/>
      <c r="F17795"/>
    </row>
    <row r="17796" spans="1:6" x14ac:dyDescent="0.25">
      <c r="A17796"/>
      <c r="B17796"/>
      <c r="C17796"/>
      <c r="E17796"/>
      <c r="F17796"/>
    </row>
    <row r="17797" spans="1:6" x14ac:dyDescent="0.25">
      <c r="A17797"/>
      <c r="B17797"/>
      <c r="C17797"/>
      <c r="E17797"/>
      <c r="F17797"/>
    </row>
    <row r="17798" spans="1:6" x14ac:dyDescent="0.25">
      <c r="A17798"/>
      <c r="B17798"/>
      <c r="C17798"/>
      <c r="E17798"/>
      <c r="F17798"/>
    </row>
    <row r="17799" spans="1:6" x14ac:dyDescent="0.25">
      <c r="A17799"/>
      <c r="B17799"/>
      <c r="C17799"/>
      <c r="E17799"/>
      <c r="F17799"/>
    </row>
    <row r="17800" spans="1:6" x14ac:dyDescent="0.25">
      <c r="A17800"/>
      <c r="B17800"/>
      <c r="C17800"/>
      <c r="E17800"/>
      <c r="F17800"/>
    </row>
    <row r="17801" spans="1:6" x14ac:dyDescent="0.25">
      <c r="A17801"/>
      <c r="B17801"/>
      <c r="C17801"/>
      <c r="E17801"/>
      <c r="F17801"/>
    </row>
    <row r="17802" spans="1:6" x14ac:dyDescent="0.25">
      <c r="A17802"/>
      <c r="B17802"/>
      <c r="C17802"/>
      <c r="E17802"/>
      <c r="F17802"/>
    </row>
    <row r="17803" spans="1:6" x14ac:dyDescent="0.25">
      <c r="A17803"/>
      <c r="B17803"/>
      <c r="C17803"/>
      <c r="E17803"/>
      <c r="F17803"/>
    </row>
    <row r="17804" spans="1:6" x14ac:dyDescent="0.25">
      <c r="A17804"/>
      <c r="B17804"/>
      <c r="C17804"/>
      <c r="E17804"/>
      <c r="F17804"/>
    </row>
    <row r="17805" spans="1:6" x14ac:dyDescent="0.25">
      <c r="A17805"/>
      <c r="B17805"/>
      <c r="C17805"/>
      <c r="E17805"/>
      <c r="F17805"/>
    </row>
    <row r="17806" spans="1:6" x14ac:dyDescent="0.25">
      <c r="A17806"/>
      <c r="B17806"/>
      <c r="C17806"/>
      <c r="E17806"/>
      <c r="F17806"/>
    </row>
    <row r="17807" spans="1:6" x14ac:dyDescent="0.25">
      <c r="A17807"/>
      <c r="B17807"/>
      <c r="C17807"/>
      <c r="E17807"/>
      <c r="F17807"/>
    </row>
    <row r="17808" spans="1:6" x14ac:dyDescent="0.25">
      <c r="A17808"/>
      <c r="B17808"/>
      <c r="C17808"/>
      <c r="E17808"/>
      <c r="F17808"/>
    </row>
    <row r="17809" spans="1:6" x14ac:dyDescent="0.25">
      <c r="A17809"/>
      <c r="B17809"/>
      <c r="C17809"/>
      <c r="E17809"/>
      <c r="F17809"/>
    </row>
    <row r="17810" spans="1:6" x14ac:dyDescent="0.25">
      <c r="A17810"/>
      <c r="B17810"/>
      <c r="C17810"/>
      <c r="E17810"/>
      <c r="F17810"/>
    </row>
    <row r="17811" spans="1:6" x14ac:dyDescent="0.25">
      <c r="A17811"/>
      <c r="B17811"/>
      <c r="C17811"/>
      <c r="E17811"/>
      <c r="F17811"/>
    </row>
    <row r="17812" spans="1:6" x14ac:dyDescent="0.25">
      <c r="A17812"/>
      <c r="B17812"/>
      <c r="C17812"/>
      <c r="E17812"/>
      <c r="F17812"/>
    </row>
    <row r="17813" spans="1:6" x14ac:dyDescent="0.25">
      <c r="A17813"/>
      <c r="B17813"/>
      <c r="C17813"/>
      <c r="E17813"/>
      <c r="F17813"/>
    </row>
    <row r="17814" spans="1:6" x14ac:dyDescent="0.25">
      <c r="A17814"/>
      <c r="B17814"/>
      <c r="C17814"/>
      <c r="E17814"/>
      <c r="F17814"/>
    </row>
    <row r="17815" spans="1:6" x14ac:dyDescent="0.25">
      <c r="A17815"/>
      <c r="B17815"/>
      <c r="C17815"/>
      <c r="E17815"/>
      <c r="F17815"/>
    </row>
    <row r="17816" spans="1:6" x14ac:dyDescent="0.25">
      <c r="A17816"/>
      <c r="B17816"/>
      <c r="C17816"/>
      <c r="E17816"/>
      <c r="F17816"/>
    </row>
    <row r="17817" spans="1:6" x14ac:dyDescent="0.25">
      <c r="A17817"/>
      <c r="B17817"/>
      <c r="C17817"/>
      <c r="E17817"/>
      <c r="F17817"/>
    </row>
    <row r="17818" spans="1:6" x14ac:dyDescent="0.25">
      <c r="A17818"/>
      <c r="B17818"/>
      <c r="C17818"/>
      <c r="E17818"/>
      <c r="F17818"/>
    </row>
    <row r="17819" spans="1:6" x14ac:dyDescent="0.25">
      <c r="A17819"/>
      <c r="B17819"/>
      <c r="C17819"/>
      <c r="E17819"/>
      <c r="F17819"/>
    </row>
    <row r="17820" spans="1:6" x14ac:dyDescent="0.25">
      <c r="A17820"/>
      <c r="B17820"/>
      <c r="C17820"/>
      <c r="E17820"/>
      <c r="F17820"/>
    </row>
    <row r="17821" spans="1:6" x14ac:dyDescent="0.25">
      <c r="A17821"/>
      <c r="B17821"/>
      <c r="C17821"/>
      <c r="E17821"/>
      <c r="F17821"/>
    </row>
    <row r="17822" spans="1:6" x14ac:dyDescent="0.25">
      <c r="A17822"/>
      <c r="B17822"/>
      <c r="C17822"/>
      <c r="E17822"/>
      <c r="F17822"/>
    </row>
    <row r="17823" spans="1:6" x14ac:dyDescent="0.25">
      <c r="A17823"/>
      <c r="B17823"/>
      <c r="C17823"/>
      <c r="E17823"/>
      <c r="F17823"/>
    </row>
    <row r="17824" spans="1:6" x14ac:dyDescent="0.25">
      <c r="A17824"/>
      <c r="B17824"/>
      <c r="C17824"/>
      <c r="E17824"/>
      <c r="F17824"/>
    </row>
    <row r="17825" spans="1:6" x14ac:dyDescent="0.25">
      <c r="A17825"/>
      <c r="B17825"/>
      <c r="C17825"/>
      <c r="E17825"/>
      <c r="F17825"/>
    </row>
    <row r="17826" spans="1:6" x14ac:dyDescent="0.25">
      <c r="A17826"/>
      <c r="B17826"/>
      <c r="C17826"/>
      <c r="E17826"/>
      <c r="F17826"/>
    </row>
    <row r="17827" spans="1:6" x14ac:dyDescent="0.25">
      <c r="A17827"/>
      <c r="B17827"/>
      <c r="C17827"/>
      <c r="E17827"/>
      <c r="F17827"/>
    </row>
    <row r="17828" spans="1:6" x14ac:dyDescent="0.25">
      <c r="A17828"/>
      <c r="B17828"/>
      <c r="C17828"/>
      <c r="E17828"/>
      <c r="F17828"/>
    </row>
    <row r="17829" spans="1:6" x14ac:dyDescent="0.25">
      <c r="A17829"/>
      <c r="B17829"/>
      <c r="C17829"/>
      <c r="E17829"/>
      <c r="F17829"/>
    </row>
    <row r="17830" spans="1:6" x14ac:dyDescent="0.25">
      <c r="A17830"/>
      <c r="B17830"/>
      <c r="C17830"/>
      <c r="E17830"/>
      <c r="F17830"/>
    </row>
    <row r="17831" spans="1:6" x14ac:dyDescent="0.25">
      <c r="A17831"/>
      <c r="B17831"/>
      <c r="C17831"/>
      <c r="E17831"/>
      <c r="F17831"/>
    </row>
    <row r="17832" spans="1:6" x14ac:dyDescent="0.25">
      <c r="A17832"/>
      <c r="B17832"/>
      <c r="C17832"/>
      <c r="E17832"/>
      <c r="F17832"/>
    </row>
    <row r="17833" spans="1:6" x14ac:dyDescent="0.25">
      <c r="A17833"/>
      <c r="B17833"/>
      <c r="C17833"/>
      <c r="E17833"/>
      <c r="F17833"/>
    </row>
    <row r="17834" spans="1:6" x14ac:dyDescent="0.25">
      <c r="A17834"/>
      <c r="B17834"/>
      <c r="C17834"/>
      <c r="E17834"/>
      <c r="F17834"/>
    </row>
    <row r="17835" spans="1:6" x14ac:dyDescent="0.25">
      <c r="A17835"/>
      <c r="B17835"/>
      <c r="C17835"/>
      <c r="E17835"/>
      <c r="F17835"/>
    </row>
    <row r="17836" spans="1:6" x14ac:dyDescent="0.25">
      <c r="A17836"/>
      <c r="B17836"/>
      <c r="C17836"/>
      <c r="E17836"/>
      <c r="F17836"/>
    </row>
    <row r="17837" spans="1:6" x14ac:dyDescent="0.25">
      <c r="A17837"/>
      <c r="B17837"/>
      <c r="C17837"/>
      <c r="E17837"/>
      <c r="F17837"/>
    </row>
    <row r="17838" spans="1:6" x14ac:dyDescent="0.25">
      <c r="A17838"/>
      <c r="B17838"/>
      <c r="C17838"/>
      <c r="E17838"/>
      <c r="F17838"/>
    </row>
    <row r="17839" spans="1:6" x14ac:dyDescent="0.25">
      <c r="A17839"/>
      <c r="B17839"/>
      <c r="C17839"/>
      <c r="E17839"/>
      <c r="F17839"/>
    </row>
    <row r="17840" spans="1:6" x14ac:dyDescent="0.25">
      <c r="A17840"/>
      <c r="B17840"/>
      <c r="C17840"/>
      <c r="E17840"/>
      <c r="F17840"/>
    </row>
    <row r="17841" spans="1:6" x14ac:dyDescent="0.25">
      <c r="A17841"/>
      <c r="B17841"/>
      <c r="C17841"/>
      <c r="E17841"/>
      <c r="F17841"/>
    </row>
    <row r="17842" spans="1:6" x14ac:dyDescent="0.25">
      <c r="A17842"/>
      <c r="B17842"/>
      <c r="C17842"/>
      <c r="E17842"/>
      <c r="F17842"/>
    </row>
    <row r="17843" spans="1:6" x14ac:dyDescent="0.25">
      <c r="A17843"/>
      <c r="B17843"/>
      <c r="C17843"/>
      <c r="E17843"/>
      <c r="F17843"/>
    </row>
    <row r="17844" spans="1:6" x14ac:dyDescent="0.25">
      <c r="A17844"/>
      <c r="B17844"/>
      <c r="C17844"/>
      <c r="E17844"/>
      <c r="F17844"/>
    </row>
    <row r="17845" spans="1:6" x14ac:dyDescent="0.25">
      <c r="A17845"/>
      <c r="B17845"/>
      <c r="C17845"/>
      <c r="E17845"/>
      <c r="F17845"/>
    </row>
    <row r="17846" spans="1:6" x14ac:dyDescent="0.25">
      <c r="A17846"/>
      <c r="B17846"/>
      <c r="C17846"/>
      <c r="E17846"/>
      <c r="F17846"/>
    </row>
    <row r="17847" spans="1:6" x14ac:dyDescent="0.25">
      <c r="A17847"/>
      <c r="B17847"/>
      <c r="C17847"/>
      <c r="E17847"/>
      <c r="F17847"/>
    </row>
    <row r="17848" spans="1:6" x14ac:dyDescent="0.25">
      <c r="A17848"/>
      <c r="B17848"/>
      <c r="C17848"/>
      <c r="E17848"/>
      <c r="F17848"/>
    </row>
    <row r="17849" spans="1:6" x14ac:dyDescent="0.25">
      <c r="A17849"/>
      <c r="B17849"/>
      <c r="C17849"/>
      <c r="E17849"/>
      <c r="F17849"/>
    </row>
    <row r="17850" spans="1:6" x14ac:dyDescent="0.25">
      <c r="A17850"/>
      <c r="B17850"/>
      <c r="C17850"/>
      <c r="E17850"/>
      <c r="F17850"/>
    </row>
    <row r="17851" spans="1:6" x14ac:dyDescent="0.25">
      <c r="A17851"/>
      <c r="B17851"/>
      <c r="C17851"/>
      <c r="E17851"/>
      <c r="F17851"/>
    </row>
    <row r="17852" spans="1:6" x14ac:dyDescent="0.25">
      <c r="A17852"/>
      <c r="B17852"/>
      <c r="C17852"/>
      <c r="E17852"/>
      <c r="F17852"/>
    </row>
    <row r="17853" spans="1:6" x14ac:dyDescent="0.25">
      <c r="A17853"/>
      <c r="B17853"/>
      <c r="C17853"/>
      <c r="E17853"/>
      <c r="F17853"/>
    </row>
    <row r="17854" spans="1:6" x14ac:dyDescent="0.25">
      <c r="A17854"/>
      <c r="B17854"/>
      <c r="C17854"/>
      <c r="E17854"/>
      <c r="F17854"/>
    </row>
    <row r="17855" spans="1:6" x14ac:dyDescent="0.25">
      <c r="A17855"/>
      <c r="B17855"/>
      <c r="C17855"/>
      <c r="E17855"/>
      <c r="F17855"/>
    </row>
    <row r="17856" spans="1:6" x14ac:dyDescent="0.25">
      <c r="A17856"/>
      <c r="B17856"/>
      <c r="C17856"/>
      <c r="E17856"/>
      <c r="F17856"/>
    </row>
    <row r="17857" spans="1:6" x14ac:dyDescent="0.25">
      <c r="A17857"/>
      <c r="B17857"/>
      <c r="C17857"/>
      <c r="E17857"/>
      <c r="F17857"/>
    </row>
    <row r="17858" spans="1:6" x14ac:dyDescent="0.25">
      <c r="A17858"/>
      <c r="B17858"/>
      <c r="C17858"/>
      <c r="E17858"/>
      <c r="F17858"/>
    </row>
    <row r="17859" spans="1:6" x14ac:dyDescent="0.25">
      <c r="A17859"/>
      <c r="B17859"/>
      <c r="C17859"/>
      <c r="E17859"/>
      <c r="F17859"/>
    </row>
    <row r="17860" spans="1:6" x14ac:dyDescent="0.25">
      <c r="A17860"/>
      <c r="B17860"/>
      <c r="C17860"/>
      <c r="E17860"/>
      <c r="F17860"/>
    </row>
    <row r="17861" spans="1:6" x14ac:dyDescent="0.25">
      <c r="A17861"/>
      <c r="B17861"/>
      <c r="C17861"/>
      <c r="E17861"/>
      <c r="F17861"/>
    </row>
    <row r="17862" spans="1:6" x14ac:dyDescent="0.25">
      <c r="A17862"/>
      <c r="B17862"/>
      <c r="C17862"/>
      <c r="E17862"/>
      <c r="F17862"/>
    </row>
    <row r="17863" spans="1:6" x14ac:dyDescent="0.25">
      <c r="A17863"/>
      <c r="B17863"/>
      <c r="C17863"/>
      <c r="E17863"/>
      <c r="F17863"/>
    </row>
    <row r="17864" spans="1:6" x14ac:dyDescent="0.25">
      <c r="A17864"/>
      <c r="B17864"/>
      <c r="C17864"/>
      <c r="E17864"/>
      <c r="F17864"/>
    </row>
    <row r="17865" spans="1:6" x14ac:dyDescent="0.25">
      <c r="A17865"/>
      <c r="B17865"/>
      <c r="C17865"/>
      <c r="E17865"/>
      <c r="F17865"/>
    </row>
    <row r="17866" spans="1:6" x14ac:dyDescent="0.25">
      <c r="A17866"/>
      <c r="B17866"/>
      <c r="C17866"/>
      <c r="E17866"/>
      <c r="F17866"/>
    </row>
    <row r="17867" spans="1:6" x14ac:dyDescent="0.25">
      <c r="A17867"/>
      <c r="B17867"/>
      <c r="C17867"/>
      <c r="E17867"/>
      <c r="F17867"/>
    </row>
    <row r="17868" spans="1:6" x14ac:dyDescent="0.25">
      <c r="A17868"/>
      <c r="B17868"/>
      <c r="C17868"/>
      <c r="E17868"/>
      <c r="F17868"/>
    </row>
    <row r="17869" spans="1:6" x14ac:dyDescent="0.25">
      <c r="A17869"/>
      <c r="B17869"/>
      <c r="C17869"/>
      <c r="E17869"/>
      <c r="F17869"/>
    </row>
    <row r="17870" spans="1:6" x14ac:dyDescent="0.25">
      <c r="A17870"/>
      <c r="B17870"/>
      <c r="C17870"/>
      <c r="E17870"/>
      <c r="F17870"/>
    </row>
    <row r="17871" spans="1:6" x14ac:dyDescent="0.25">
      <c r="A17871"/>
      <c r="B17871"/>
      <c r="C17871"/>
      <c r="E17871"/>
      <c r="F17871"/>
    </row>
    <row r="17872" spans="1:6" x14ac:dyDescent="0.25">
      <c r="A17872"/>
      <c r="B17872"/>
      <c r="C17872"/>
      <c r="E17872"/>
      <c r="F17872"/>
    </row>
    <row r="17873" spans="1:6" x14ac:dyDescent="0.25">
      <c r="A17873"/>
      <c r="B17873"/>
      <c r="C17873"/>
      <c r="E17873"/>
      <c r="F17873"/>
    </row>
    <row r="17874" spans="1:6" x14ac:dyDescent="0.25">
      <c r="A17874"/>
      <c r="B17874"/>
      <c r="C17874"/>
      <c r="E17874"/>
      <c r="F17874"/>
    </row>
    <row r="17875" spans="1:6" x14ac:dyDescent="0.25">
      <c r="A17875"/>
      <c r="B17875"/>
      <c r="C17875"/>
      <c r="E17875"/>
      <c r="F17875"/>
    </row>
    <row r="17876" spans="1:6" x14ac:dyDescent="0.25">
      <c r="A17876"/>
      <c r="B17876"/>
      <c r="C17876"/>
      <c r="E17876"/>
      <c r="F17876"/>
    </row>
    <row r="17877" spans="1:6" x14ac:dyDescent="0.25">
      <c r="A17877"/>
      <c r="B17877"/>
      <c r="C17877"/>
      <c r="E17877"/>
      <c r="F17877"/>
    </row>
    <row r="17878" spans="1:6" x14ac:dyDescent="0.25">
      <c r="A17878"/>
      <c r="B17878"/>
      <c r="C17878"/>
      <c r="E17878"/>
      <c r="F17878"/>
    </row>
    <row r="17879" spans="1:6" x14ac:dyDescent="0.25">
      <c r="A17879"/>
      <c r="B17879"/>
      <c r="C17879"/>
      <c r="E17879"/>
      <c r="F17879"/>
    </row>
    <row r="17880" spans="1:6" x14ac:dyDescent="0.25">
      <c r="A17880"/>
      <c r="B17880"/>
      <c r="C17880"/>
      <c r="E17880"/>
      <c r="F17880"/>
    </row>
    <row r="17881" spans="1:6" x14ac:dyDescent="0.25">
      <c r="A17881"/>
      <c r="B17881"/>
      <c r="C17881"/>
      <c r="E17881"/>
      <c r="F17881"/>
    </row>
    <row r="17882" spans="1:6" x14ac:dyDescent="0.25">
      <c r="A17882"/>
      <c r="B17882"/>
      <c r="C17882"/>
      <c r="E17882"/>
      <c r="F17882"/>
    </row>
    <row r="17883" spans="1:6" x14ac:dyDescent="0.25">
      <c r="A17883"/>
      <c r="B17883"/>
      <c r="C17883"/>
      <c r="E17883"/>
      <c r="F17883"/>
    </row>
    <row r="17884" spans="1:6" x14ac:dyDescent="0.25">
      <c r="A17884"/>
      <c r="B17884"/>
      <c r="C17884"/>
      <c r="E17884"/>
      <c r="F17884"/>
    </row>
    <row r="17885" spans="1:6" x14ac:dyDescent="0.25">
      <c r="A17885"/>
      <c r="B17885"/>
      <c r="C17885"/>
      <c r="E17885"/>
      <c r="F17885"/>
    </row>
    <row r="17886" spans="1:6" x14ac:dyDescent="0.25">
      <c r="A17886"/>
      <c r="B17886"/>
      <c r="C17886"/>
      <c r="E17886"/>
      <c r="F17886"/>
    </row>
    <row r="17887" spans="1:6" x14ac:dyDescent="0.25">
      <c r="A17887"/>
      <c r="B17887"/>
      <c r="C17887"/>
      <c r="E17887"/>
      <c r="F17887"/>
    </row>
    <row r="17888" spans="1:6" x14ac:dyDescent="0.25">
      <c r="A17888"/>
      <c r="B17888"/>
      <c r="C17888"/>
      <c r="E17888"/>
      <c r="F17888"/>
    </row>
    <row r="17889" spans="1:6" x14ac:dyDescent="0.25">
      <c r="A17889"/>
      <c r="B17889"/>
      <c r="C17889"/>
      <c r="E17889"/>
      <c r="F17889"/>
    </row>
    <row r="17890" spans="1:6" x14ac:dyDescent="0.25">
      <c r="A17890"/>
      <c r="B17890"/>
      <c r="C17890"/>
      <c r="E17890"/>
      <c r="F17890"/>
    </row>
    <row r="17891" spans="1:6" x14ac:dyDescent="0.25">
      <c r="A17891"/>
      <c r="B17891"/>
      <c r="C17891"/>
      <c r="E17891"/>
      <c r="F17891"/>
    </row>
    <row r="17892" spans="1:6" x14ac:dyDescent="0.25">
      <c r="A17892"/>
      <c r="B17892"/>
      <c r="C17892"/>
      <c r="E17892"/>
      <c r="F17892"/>
    </row>
    <row r="17893" spans="1:6" x14ac:dyDescent="0.25">
      <c r="A17893"/>
      <c r="B17893"/>
      <c r="C17893"/>
      <c r="E17893"/>
      <c r="F17893"/>
    </row>
    <row r="17894" spans="1:6" x14ac:dyDescent="0.25">
      <c r="A17894"/>
      <c r="B17894"/>
      <c r="C17894"/>
      <c r="E17894"/>
      <c r="F17894"/>
    </row>
    <row r="17895" spans="1:6" x14ac:dyDescent="0.25">
      <c r="A17895"/>
      <c r="B17895"/>
      <c r="C17895"/>
      <c r="E17895"/>
      <c r="F17895"/>
    </row>
    <row r="17896" spans="1:6" x14ac:dyDescent="0.25">
      <c r="A17896"/>
      <c r="B17896"/>
      <c r="C17896"/>
      <c r="E17896"/>
      <c r="F17896"/>
    </row>
    <row r="17897" spans="1:6" x14ac:dyDescent="0.25">
      <c r="A17897"/>
      <c r="B17897"/>
      <c r="C17897"/>
      <c r="E17897"/>
      <c r="F17897"/>
    </row>
    <row r="17898" spans="1:6" x14ac:dyDescent="0.25">
      <c r="A17898"/>
      <c r="B17898"/>
      <c r="C17898"/>
      <c r="E17898"/>
      <c r="F17898"/>
    </row>
    <row r="17899" spans="1:6" x14ac:dyDescent="0.25">
      <c r="A17899"/>
      <c r="B17899"/>
      <c r="C17899"/>
      <c r="E17899"/>
      <c r="F17899"/>
    </row>
    <row r="17900" spans="1:6" x14ac:dyDescent="0.25">
      <c r="A17900"/>
      <c r="B17900"/>
      <c r="C17900"/>
      <c r="E17900"/>
      <c r="F17900"/>
    </row>
    <row r="17901" spans="1:6" x14ac:dyDescent="0.25">
      <c r="A17901"/>
      <c r="B17901"/>
      <c r="C17901"/>
      <c r="E17901"/>
      <c r="F17901"/>
    </row>
    <row r="17902" spans="1:6" x14ac:dyDescent="0.25">
      <c r="A17902"/>
      <c r="B17902"/>
      <c r="C17902"/>
      <c r="E17902"/>
      <c r="F17902"/>
    </row>
    <row r="17903" spans="1:6" x14ac:dyDescent="0.25">
      <c r="A17903"/>
      <c r="B17903"/>
      <c r="C17903"/>
      <c r="E17903"/>
      <c r="F17903"/>
    </row>
    <row r="17904" spans="1:6" x14ac:dyDescent="0.25">
      <c r="A17904"/>
      <c r="B17904"/>
      <c r="C17904"/>
      <c r="E17904"/>
      <c r="F17904"/>
    </row>
    <row r="17905" spans="1:6" x14ac:dyDescent="0.25">
      <c r="A17905"/>
      <c r="B17905"/>
      <c r="C17905"/>
      <c r="E17905"/>
      <c r="F17905"/>
    </row>
    <row r="17906" spans="1:6" x14ac:dyDescent="0.25">
      <c r="A17906"/>
      <c r="B17906"/>
      <c r="C17906"/>
      <c r="E17906"/>
      <c r="F17906"/>
    </row>
    <row r="17907" spans="1:6" x14ac:dyDescent="0.25">
      <c r="A17907"/>
      <c r="B17907"/>
      <c r="C17907"/>
      <c r="E17907"/>
      <c r="F17907"/>
    </row>
    <row r="17908" spans="1:6" x14ac:dyDescent="0.25">
      <c r="A17908"/>
      <c r="B17908"/>
      <c r="C17908"/>
      <c r="E17908"/>
      <c r="F17908"/>
    </row>
    <row r="17909" spans="1:6" x14ac:dyDescent="0.25">
      <c r="A17909"/>
      <c r="B17909"/>
      <c r="C17909"/>
      <c r="E17909"/>
      <c r="F17909"/>
    </row>
    <row r="17910" spans="1:6" x14ac:dyDescent="0.25">
      <c r="A17910"/>
      <c r="B17910"/>
      <c r="C17910"/>
      <c r="E17910"/>
      <c r="F17910"/>
    </row>
    <row r="17911" spans="1:6" x14ac:dyDescent="0.25">
      <c r="A17911"/>
      <c r="B17911"/>
      <c r="C17911"/>
      <c r="E17911"/>
      <c r="F17911"/>
    </row>
    <row r="17912" spans="1:6" x14ac:dyDescent="0.25">
      <c r="A17912"/>
      <c r="B17912"/>
      <c r="C17912"/>
      <c r="E17912"/>
      <c r="F17912"/>
    </row>
    <row r="17913" spans="1:6" x14ac:dyDescent="0.25">
      <c r="A17913"/>
      <c r="B17913"/>
      <c r="C17913"/>
      <c r="E17913"/>
      <c r="F17913"/>
    </row>
    <row r="17914" spans="1:6" x14ac:dyDescent="0.25">
      <c r="A17914"/>
      <c r="B17914"/>
      <c r="C17914"/>
      <c r="E17914"/>
      <c r="F17914"/>
    </row>
    <row r="17915" spans="1:6" x14ac:dyDescent="0.25">
      <c r="A17915"/>
      <c r="B17915"/>
      <c r="C17915"/>
      <c r="E17915"/>
      <c r="F17915"/>
    </row>
    <row r="17916" spans="1:6" x14ac:dyDescent="0.25">
      <c r="A17916"/>
      <c r="B17916"/>
      <c r="C17916"/>
      <c r="E17916"/>
      <c r="F17916"/>
    </row>
    <row r="17917" spans="1:6" x14ac:dyDescent="0.25">
      <c r="A17917"/>
      <c r="B17917"/>
      <c r="C17917"/>
      <c r="E17917"/>
      <c r="F17917"/>
    </row>
    <row r="17918" spans="1:6" x14ac:dyDescent="0.25">
      <c r="A17918"/>
      <c r="B17918"/>
      <c r="C17918"/>
      <c r="E17918"/>
      <c r="F17918"/>
    </row>
    <row r="17919" spans="1:6" x14ac:dyDescent="0.25">
      <c r="A17919"/>
      <c r="B17919"/>
      <c r="C17919"/>
      <c r="E17919"/>
      <c r="F17919"/>
    </row>
    <row r="17920" spans="1:6" x14ac:dyDescent="0.25">
      <c r="A17920"/>
      <c r="B17920"/>
      <c r="C17920"/>
      <c r="E17920"/>
      <c r="F17920"/>
    </row>
    <row r="17921" spans="1:6" x14ac:dyDescent="0.25">
      <c r="A17921"/>
      <c r="B17921"/>
      <c r="C17921"/>
      <c r="E17921"/>
      <c r="F17921"/>
    </row>
    <row r="17922" spans="1:6" x14ac:dyDescent="0.25">
      <c r="A17922"/>
      <c r="B17922"/>
      <c r="C17922"/>
      <c r="E17922"/>
      <c r="F17922"/>
    </row>
    <row r="17923" spans="1:6" x14ac:dyDescent="0.25">
      <c r="A17923"/>
      <c r="B17923"/>
      <c r="C17923"/>
      <c r="E17923"/>
      <c r="F17923"/>
    </row>
    <row r="17924" spans="1:6" x14ac:dyDescent="0.25">
      <c r="A17924"/>
      <c r="B17924"/>
      <c r="C17924"/>
      <c r="E17924"/>
      <c r="F17924"/>
    </row>
    <row r="17925" spans="1:6" x14ac:dyDescent="0.25">
      <c r="A17925"/>
      <c r="B17925"/>
      <c r="C17925"/>
      <c r="E17925"/>
      <c r="F17925"/>
    </row>
    <row r="17926" spans="1:6" x14ac:dyDescent="0.25">
      <c r="A17926"/>
      <c r="B17926"/>
      <c r="C17926"/>
      <c r="E17926"/>
      <c r="F17926"/>
    </row>
    <row r="17927" spans="1:6" x14ac:dyDescent="0.25">
      <c r="A17927"/>
      <c r="B17927"/>
      <c r="C17927"/>
      <c r="E17927"/>
      <c r="F17927"/>
    </row>
    <row r="17928" spans="1:6" x14ac:dyDescent="0.25">
      <c r="A17928"/>
      <c r="B17928"/>
      <c r="C17928"/>
      <c r="E17928"/>
      <c r="F17928"/>
    </row>
    <row r="17929" spans="1:6" x14ac:dyDescent="0.25">
      <c r="A17929"/>
      <c r="B17929"/>
      <c r="C17929"/>
      <c r="E17929"/>
      <c r="F17929"/>
    </row>
    <row r="17930" spans="1:6" x14ac:dyDescent="0.25">
      <c r="A17930"/>
      <c r="B17930"/>
      <c r="C17930"/>
      <c r="E17930"/>
      <c r="F17930"/>
    </row>
    <row r="17931" spans="1:6" x14ac:dyDescent="0.25">
      <c r="A17931"/>
      <c r="B17931"/>
      <c r="C17931"/>
      <c r="E17931"/>
      <c r="F17931"/>
    </row>
    <row r="17932" spans="1:6" x14ac:dyDescent="0.25">
      <c r="A17932"/>
      <c r="B17932"/>
      <c r="C17932"/>
      <c r="E17932"/>
      <c r="F17932"/>
    </row>
    <row r="17933" spans="1:6" x14ac:dyDescent="0.25">
      <c r="A17933"/>
      <c r="B17933"/>
      <c r="C17933"/>
      <c r="E17933"/>
      <c r="F17933"/>
    </row>
    <row r="17934" spans="1:6" x14ac:dyDescent="0.25">
      <c r="A17934"/>
      <c r="B17934"/>
      <c r="C17934"/>
      <c r="E17934"/>
      <c r="F17934"/>
    </row>
    <row r="17935" spans="1:6" x14ac:dyDescent="0.25">
      <c r="A17935"/>
      <c r="B17935"/>
      <c r="C17935"/>
      <c r="E17935"/>
      <c r="F17935"/>
    </row>
    <row r="17936" spans="1:6" x14ac:dyDescent="0.25">
      <c r="A17936"/>
      <c r="B17936"/>
      <c r="C17936"/>
      <c r="E17936"/>
      <c r="F17936"/>
    </row>
    <row r="17937" spans="1:6" x14ac:dyDescent="0.25">
      <c r="A17937"/>
      <c r="B17937"/>
      <c r="C17937"/>
      <c r="E17937"/>
      <c r="F17937"/>
    </row>
    <row r="17938" spans="1:6" x14ac:dyDescent="0.25">
      <c r="A17938"/>
      <c r="B17938"/>
      <c r="C17938"/>
      <c r="E17938"/>
      <c r="F17938"/>
    </row>
    <row r="17939" spans="1:6" x14ac:dyDescent="0.25">
      <c r="A17939"/>
      <c r="B17939"/>
      <c r="C17939"/>
      <c r="E17939"/>
      <c r="F17939"/>
    </row>
    <row r="17940" spans="1:6" x14ac:dyDescent="0.25">
      <c r="A17940"/>
      <c r="B17940"/>
      <c r="C17940"/>
      <c r="E17940"/>
      <c r="F17940"/>
    </row>
    <row r="17941" spans="1:6" x14ac:dyDescent="0.25">
      <c r="A17941"/>
      <c r="B17941"/>
      <c r="C17941"/>
      <c r="E17941"/>
      <c r="F17941"/>
    </row>
    <row r="17942" spans="1:6" x14ac:dyDescent="0.25">
      <c r="A17942"/>
      <c r="B17942"/>
      <c r="C17942"/>
      <c r="E17942"/>
      <c r="F17942"/>
    </row>
    <row r="17943" spans="1:6" x14ac:dyDescent="0.25">
      <c r="A17943"/>
      <c r="B17943"/>
      <c r="C17943"/>
      <c r="E17943"/>
      <c r="F17943"/>
    </row>
    <row r="17944" spans="1:6" x14ac:dyDescent="0.25">
      <c r="A17944"/>
      <c r="B17944"/>
      <c r="C17944"/>
      <c r="E17944"/>
      <c r="F17944"/>
    </row>
    <row r="17945" spans="1:6" x14ac:dyDescent="0.25">
      <c r="A17945"/>
      <c r="B17945"/>
      <c r="C17945"/>
      <c r="E17945"/>
      <c r="F17945"/>
    </row>
    <row r="17946" spans="1:6" x14ac:dyDescent="0.25">
      <c r="A17946"/>
      <c r="B17946"/>
      <c r="C17946"/>
      <c r="E17946"/>
      <c r="F17946"/>
    </row>
    <row r="17947" spans="1:6" x14ac:dyDescent="0.25">
      <c r="A17947"/>
      <c r="B17947"/>
      <c r="C17947"/>
      <c r="E17947"/>
      <c r="F17947"/>
    </row>
    <row r="17948" spans="1:6" x14ac:dyDescent="0.25">
      <c r="A17948"/>
      <c r="B17948"/>
      <c r="C17948"/>
      <c r="E17948"/>
      <c r="F17948"/>
    </row>
    <row r="17949" spans="1:6" x14ac:dyDescent="0.25">
      <c r="A17949"/>
      <c r="B17949"/>
      <c r="C17949"/>
      <c r="E17949"/>
      <c r="F17949"/>
    </row>
    <row r="17950" spans="1:6" x14ac:dyDescent="0.25">
      <c r="A17950"/>
      <c r="B17950"/>
      <c r="C17950"/>
      <c r="E17950"/>
      <c r="F17950"/>
    </row>
    <row r="17951" spans="1:6" x14ac:dyDescent="0.25">
      <c r="A17951"/>
      <c r="B17951"/>
      <c r="C17951"/>
      <c r="E17951"/>
      <c r="F17951"/>
    </row>
    <row r="17952" spans="1:6" x14ac:dyDescent="0.25">
      <c r="A17952"/>
      <c r="B17952"/>
      <c r="C17952"/>
      <c r="E17952"/>
      <c r="F17952"/>
    </row>
    <row r="17953" spans="1:6" x14ac:dyDescent="0.25">
      <c r="A17953"/>
      <c r="B17953"/>
      <c r="C17953"/>
      <c r="E17953"/>
      <c r="F17953"/>
    </row>
    <row r="17954" spans="1:6" x14ac:dyDescent="0.25">
      <c r="A17954"/>
      <c r="B17954"/>
      <c r="C17954"/>
      <c r="E17954"/>
      <c r="F17954"/>
    </row>
    <row r="17955" spans="1:6" x14ac:dyDescent="0.25">
      <c r="A17955"/>
      <c r="B17955"/>
      <c r="C17955"/>
      <c r="E17955"/>
      <c r="F17955"/>
    </row>
    <row r="17956" spans="1:6" x14ac:dyDescent="0.25">
      <c r="A17956"/>
      <c r="B17956"/>
      <c r="C17956"/>
      <c r="E17956"/>
      <c r="F17956"/>
    </row>
    <row r="17957" spans="1:6" x14ac:dyDescent="0.25">
      <c r="A17957"/>
      <c r="B17957"/>
      <c r="C17957"/>
      <c r="E17957"/>
      <c r="F17957"/>
    </row>
    <row r="17958" spans="1:6" x14ac:dyDescent="0.25">
      <c r="A17958"/>
      <c r="B17958"/>
      <c r="C17958"/>
      <c r="E17958"/>
      <c r="F17958"/>
    </row>
    <row r="17959" spans="1:6" x14ac:dyDescent="0.25">
      <c r="A17959"/>
      <c r="B17959"/>
      <c r="C17959"/>
      <c r="E17959"/>
      <c r="F17959"/>
    </row>
    <row r="17960" spans="1:6" x14ac:dyDescent="0.25">
      <c r="A17960"/>
      <c r="B17960"/>
      <c r="C17960"/>
      <c r="E17960"/>
      <c r="F17960"/>
    </row>
    <row r="17961" spans="1:6" x14ac:dyDescent="0.25">
      <c r="A17961"/>
      <c r="B17961"/>
      <c r="C17961"/>
      <c r="E17961"/>
      <c r="F17961"/>
    </row>
    <row r="17962" spans="1:6" x14ac:dyDescent="0.25">
      <c r="A17962"/>
      <c r="B17962"/>
      <c r="C17962"/>
      <c r="E17962"/>
      <c r="F17962"/>
    </row>
    <row r="17963" spans="1:6" x14ac:dyDescent="0.25">
      <c r="A17963"/>
      <c r="B17963"/>
      <c r="C17963"/>
      <c r="E17963"/>
      <c r="F17963"/>
    </row>
    <row r="17964" spans="1:6" x14ac:dyDescent="0.25">
      <c r="A17964"/>
      <c r="B17964"/>
      <c r="C17964"/>
      <c r="E17964"/>
      <c r="F17964"/>
    </row>
    <row r="17965" spans="1:6" x14ac:dyDescent="0.25">
      <c r="A17965"/>
      <c r="B17965"/>
      <c r="C17965"/>
      <c r="E17965"/>
      <c r="F17965"/>
    </row>
    <row r="17966" spans="1:6" x14ac:dyDescent="0.25">
      <c r="A17966"/>
      <c r="B17966"/>
      <c r="C17966"/>
      <c r="E17966"/>
      <c r="F17966"/>
    </row>
    <row r="17967" spans="1:6" x14ac:dyDescent="0.25">
      <c r="A17967"/>
      <c r="B17967"/>
      <c r="C17967"/>
      <c r="E17967"/>
      <c r="F17967"/>
    </row>
    <row r="17968" spans="1:6" x14ac:dyDescent="0.25">
      <c r="A17968"/>
      <c r="B17968"/>
      <c r="C17968"/>
      <c r="E17968"/>
      <c r="F17968"/>
    </row>
    <row r="17969" spans="1:6" x14ac:dyDescent="0.25">
      <c r="A17969"/>
      <c r="B17969"/>
      <c r="C17969"/>
      <c r="E17969"/>
      <c r="F17969"/>
    </row>
    <row r="17970" spans="1:6" x14ac:dyDescent="0.25">
      <c r="A17970"/>
      <c r="B17970"/>
      <c r="C17970"/>
      <c r="E17970"/>
      <c r="F17970"/>
    </row>
    <row r="17971" spans="1:6" x14ac:dyDescent="0.25">
      <c r="A17971"/>
      <c r="B17971"/>
      <c r="C17971"/>
      <c r="E17971"/>
      <c r="F17971"/>
    </row>
    <row r="17972" spans="1:6" x14ac:dyDescent="0.25">
      <c r="A17972"/>
      <c r="B17972"/>
      <c r="C17972"/>
      <c r="E17972"/>
      <c r="F17972"/>
    </row>
    <row r="17973" spans="1:6" x14ac:dyDescent="0.25">
      <c r="A17973"/>
      <c r="B17973"/>
      <c r="C17973"/>
      <c r="E17973"/>
      <c r="F17973"/>
    </row>
    <row r="17974" spans="1:6" x14ac:dyDescent="0.25">
      <c r="A17974"/>
      <c r="B17974"/>
      <c r="C17974"/>
      <c r="E17974"/>
      <c r="F17974"/>
    </row>
    <row r="17975" spans="1:6" x14ac:dyDescent="0.25">
      <c r="A17975"/>
      <c r="B17975"/>
      <c r="C17975"/>
      <c r="E17975"/>
      <c r="F17975"/>
    </row>
    <row r="17976" spans="1:6" x14ac:dyDescent="0.25">
      <c r="A17976"/>
      <c r="B17976"/>
      <c r="C17976"/>
      <c r="E17976"/>
      <c r="F17976"/>
    </row>
    <row r="17977" spans="1:6" x14ac:dyDescent="0.25">
      <c r="A17977"/>
      <c r="B17977"/>
      <c r="C17977"/>
      <c r="E17977"/>
      <c r="F17977"/>
    </row>
    <row r="17978" spans="1:6" x14ac:dyDescent="0.25">
      <c r="A17978"/>
      <c r="B17978"/>
      <c r="C17978"/>
      <c r="E17978"/>
      <c r="F17978"/>
    </row>
    <row r="17979" spans="1:6" x14ac:dyDescent="0.25">
      <c r="A17979"/>
      <c r="B17979"/>
      <c r="C17979"/>
      <c r="E17979"/>
      <c r="F17979"/>
    </row>
    <row r="17980" spans="1:6" x14ac:dyDescent="0.25">
      <c r="A17980"/>
      <c r="B17980"/>
      <c r="C17980"/>
      <c r="E17980"/>
      <c r="F17980"/>
    </row>
    <row r="17981" spans="1:6" x14ac:dyDescent="0.25">
      <c r="A17981"/>
      <c r="B17981"/>
      <c r="C17981"/>
      <c r="E17981"/>
      <c r="F17981"/>
    </row>
    <row r="17982" spans="1:6" x14ac:dyDescent="0.25">
      <c r="A17982"/>
      <c r="B17982"/>
      <c r="C17982"/>
      <c r="E17982"/>
      <c r="F17982"/>
    </row>
    <row r="17983" spans="1:6" x14ac:dyDescent="0.25">
      <c r="A17983"/>
      <c r="B17983"/>
      <c r="C17983"/>
      <c r="E17983"/>
      <c r="F17983"/>
    </row>
    <row r="17984" spans="1:6" x14ac:dyDescent="0.25">
      <c r="A17984"/>
      <c r="B17984"/>
      <c r="C17984"/>
      <c r="E17984"/>
      <c r="F17984"/>
    </row>
    <row r="17985" spans="1:6" x14ac:dyDescent="0.25">
      <c r="A17985"/>
      <c r="B17985"/>
      <c r="C17985"/>
      <c r="E17985"/>
      <c r="F17985"/>
    </row>
    <row r="17986" spans="1:6" x14ac:dyDescent="0.25">
      <c r="A17986"/>
      <c r="B17986"/>
      <c r="C17986"/>
      <c r="E17986"/>
      <c r="F17986"/>
    </row>
    <row r="17987" spans="1:6" x14ac:dyDescent="0.25">
      <c r="A17987"/>
      <c r="B17987"/>
      <c r="C17987"/>
      <c r="E17987"/>
      <c r="F17987"/>
    </row>
    <row r="17988" spans="1:6" x14ac:dyDescent="0.25">
      <c r="A17988"/>
      <c r="B17988"/>
      <c r="C17988"/>
      <c r="E17988"/>
      <c r="F17988"/>
    </row>
    <row r="17989" spans="1:6" x14ac:dyDescent="0.25">
      <c r="A17989"/>
      <c r="B17989"/>
      <c r="C17989"/>
      <c r="E17989"/>
      <c r="F17989"/>
    </row>
    <row r="17990" spans="1:6" x14ac:dyDescent="0.25">
      <c r="A17990"/>
      <c r="B17990"/>
      <c r="C17990"/>
      <c r="E17990"/>
      <c r="F17990"/>
    </row>
    <row r="17991" spans="1:6" x14ac:dyDescent="0.25">
      <c r="A17991"/>
      <c r="B17991"/>
      <c r="C17991"/>
      <c r="E17991"/>
      <c r="F17991"/>
    </row>
    <row r="17992" spans="1:6" x14ac:dyDescent="0.25">
      <c r="A17992"/>
      <c r="B17992"/>
      <c r="C17992"/>
      <c r="E17992"/>
      <c r="F17992"/>
    </row>
    <row r="17993" spans="1:6" x14ac:dyDescent="0.25">
      <c r="A17993"/>
      <c r="B17993"/>
      <c r="C17993"/>
      <c r="E17993"/>
      <c r="F17993"/>
    </row>
    <row r="17994" spans="1:6" x14ac:dyDescent="0.25">
      <c r="A17994"/>
      <c r="B17994"/>
      <c r="C17994"/>
      <c r="E17994"/>
      <c r="F17994"/>
    </row>
    <row r="17995" spans="1:6" x14ac:dyDescent="0.25">
      <c r="A17995"/>
      <c r="B17995"/>
      <c r="C17995"/>
      <c r="E17995"/>
      <c r="F17995"/>
    </row>
    <row r="17996" spans="1:6" x14ac:dyDescent="0.25">
      <c r="A17996"/>
      <c r="B17996"/>
      <c r="C17996"/>
      <c r="E17996"/>
      <c r="F17996"/>
    </row>
    <row r="17997" spans="1:6" x14ac:dyDescent="0.25">
      <c r="A17997"/>
      <c r="B17997"/>
      <c r="C17997"/>
      <c r="E17997"/>
      <c r="F17997"/>
    </row>
    <row r="17998" spans="1:6" x14ac:dyDescent="0.25">
      <c r="A17998"/>
      <c r="B17998"/>
      <c r="C17998"/>
      <c r="E17998"/>
      <c r="F17998"/>
    </row>
    <row r="17999" spans="1:6" x14ac:dyDescent="0.25">
      <c r="A17999"/>
      <c r="B17999"/>
      <c r="C17999"/>
      <c r="E17999"/>
      <c r="F17999"/>
    </row>
    <row r="18000" spans="1:6" x14ac:dyDescent="0.25">
      <c r="A18000"/>
      <c r="B18000"/>
      <c r="C18000"/>
      <c r="E18000"/>
      <c r="F18000"/>
    </row>
    <row r="18001" spans="1:6" x14ac:dyDescent="0.25">
      <c r="A18001"/>
      <c r="B18001"/>
      <c r="C18001"/>
      <c r="E18001"/>
      <c r="F18001"/>
    </row>
    <row r="18002" spans="1:6" x14ac:dyDescent="0.25">
      <c r="A18002"/>
      <c r="B18002"/>
      <c r="C18002"/>
      <c r="E18002"/>
      <c r="F18002"/>
    </row>
    <row r="18003" spans="1:6" x14ac:dyDescent="0.25">
      <c r="A18003"/>
      <c r="B18003"/>
      <c r="C18003"/>
      <c r="E18003"/>
      <c r="F18003"/>
    </row>
    <row r="18004" spans="1:6" x14ac:dyDescent="0.25">
      <c r="A18004"/>
      <c r="B18004"/>
      <c r="C18004"/>
      <c r="E18004"/>
      <c r="F18004"/>
    </row>
    <row r="18005" spans="1:6" x14ac:dyDescent="0.25">
      <c r="A18005"/>
      <c r="B18005"/>
      <c r="C18005"/>
      <c r="E18005"/>
      <c r="F18005"/>
    </row>
    <row r="18006" spans="1:6" x14ac:dyDescent="0.25">
      <c r="A18006"/>
      <c r="B18006"/>
      <c r="C18006"/>
      <c r="E18006"/>
      <c r="F18006"/>
    </row>
    <row r="18007" spans="1:6" x14ac:dyDescent="0.25">
      <c r="A18007"/>
      <c r="B18007"/>
      <c r="C18007"/>
      <c r="E18007"/>
      <c r="F18007"/>
    </row>
    <row r="18008" spans="1:6" x14ac:dyDescent="0.25">
      <c r="A18008"/>
      <c r="B18008"/>
      <c r="C18008"/>
      <c r="E18008"/>
      <c r="F18008"/>
    </row>
    <row r="18009" spans="1:6" x14ac:dyDescent="0.25">
      <c r="A18009"/>
      <c r="B18009"/>
      <c r="C18009"/>
      <c r="E18009"/>
      <c r="F18009"/>
    </row>
    <row r="18010" spans="1:6" x14ac:dyDescent="0.25">
      <c r="A18010"/>
      <c r="B18010"/>
      <c r="C18010"/>
      <c r="E18010"/>
      <c r="F18010"/>
    </row>
    <row r="18011" spans="1:6" x14ac:dyDescent="0.25">
      <c r="A18011"/>
      <c r="B18011"/>
      <c r="C18011"/>
      <c r="E18011"/>
      <c r="F18011"/>
    </row>
    <row r="18012" spans="1:6" x14ac:dyDescent="0.25">
      <c r="A18012"/>
      <c r="B18012"/>
      <c r="C18012"/>
      <c r="E18012"/>
      <c r="F18012"/>
    </row>
    <row r="18013" spans="1:6" x14ac:dyDescent="0.25">
      <c r="A18013"/>
      <c r="B18013"/>
      <c r="C18013"/>
      <c r="E18013"/>
      <c r="F18013"/>
    </row>
    <row r="18014" spans="1:6" x14ac:dyDescent="0.25">
      <c r="A18014"/>
      <c r="B18014"/>
      <c r="C18014"/>
      <c r="E18014"/>
      <c r="F18014"/>
    </row>
    <row r="18015" spans="1:6" x14ac:dyDescent="0.25">
      <c r="A18015"/>
      <c r="B18015"/>
      <c r="C18015"/>
      <c r="E18015"/>
      <c r="F18015"/>
    </row>
    <row r="18016" spans="1:6" x14ac:dyDescent="0.25">
      <c r="A18016"/>
      <c r="B18016"/>
      <c r="C18016"/>
      <c r="E18016"/>
      <c r="F18016"/>
    </row>
    <row r="18017" spans="1:6" x14ac:dyDescent="0.25">
      <c r="A18017"/>
      <c r="B18017"/>
      <c r="C18017"/>
      <c r="E18017"/>
      <c r="F18017"/>
    </row>
    <row r="18018" spans="1:6" x14ac:dyDescent="0.25">
      <c r="A18018"/>
      <c r="B18018"/>
      <c r="C18018"/>
      <c r="E18018"/>
      <c r="F18018"/>
    </row>
    <row r="18019" spans="1:6" x14ac:dyDescent="0.25">
      <c r="A18019"/>
      <c r="B18019"/>
      <c r="C18019"/>
      <c r="E18019"/>
      <c r="F18019"/>
    </row>
    <row r="18020" spans="1:6" x14ac:dyDescent="0.25">
      <c r="A18020"/>
      <c r="B18020"/>
      <c r="C18020"/>
      <c r="E18020"/>
      <c r="F18020"/>
    </row>
    <row r="18021" spans="1:6" x14ac:dyDescent="0.25">
      <c r="A18021"/>
      <c r="B18021"/>
      <c r="C18021"/>
      <c r="E18021"/>
      <c r="F18021"/>
    </row>
    <row r="18022" spans="1:6" x14ac:dyDescent="0.25">
      <c r="A18022"/>
      <c r="B18022"/>
      <c r="C18022"/>
      <c r="E18022"/>
      <c r="F18022"/>
    </row>
    <row r="18023" spans="1:6" x14ac:dyDescent="0.25">
      <c r="A18023"/>
      <c r="B18023"/>
      <c r="C18023"/>
      <c r="E18023"/>
      <c r="F18023"/>
    </row>
    <row r="18024" spans="1:6" x14ac:dyDescent="0.25">
      <c r="A18024"/>
      <c r="B18024"/>
      <c r="C18024"/>
      <c r="E18024"/>
      <c r="F18024"/>
    </row>
    <row r="18025" spans="1:6" x14ac:dyDescent="0.25">
      <c r="A18025"/>
      <c r="B18025"/>
      <c r="C18025"/>
      <c r="E18025"/>
      <c r="F18025"/>
    </row>
    <row r="18026" spans="1:6" x14ac:dyDescent="0.25">
      <c r="A18026"/>
      <c r="B18026"/>
      <c r="C18026"/>
      <c r="E18026"/>
      <c r="F18026"/>
    </row>
    <row r="18027" spans="1:6" x14ac:dyDescent="0.25">
      <c r="A18027"/>
      <c r="B18027"/>
      <c r="C18027"/>
      <c r="E18027"/>
      <c r="F18027"/>
    </row>
    <row r="18028" spans="1:6" x14ac:dyDescent="0.25">
      <c r="A18028"/>
      <c r="B18028"/>
      <c r="C18028"/>
      <c r="E18028"/>
      <c r="F18028"/>
    </row>
    <row r="18029" spans="1:6" x14ac:dyDescent="0.25">
      <c r="A18029"/>
      <c r="B18029"/>
      <c r="C18029"/>
      <c r="E18029"/>
      <c r="F18029"/>
    </row>
    <row r="18030" spans="1:6" x14ac:dyDescent="0.25">
      <c r="A18030"/>
      <c r="B18030"/>
      <c r="C18030"/>
      <c r="E18030"/>
      <c r="F18030"/>
    </row>
    <row r="18031" spans="1:6" x14ac:dyDescent="0.25">
      <c r="A18031"/>
      <c r="B18031"/>
      <c r="C18031"/>
      <c r="E18031"/>
      <c r="F18031"/>
    </row>
    <row r="18032" spans="1:6" x14ac:dyDescent="0.25">
      <c r="A18032"/>
      <c r="B18032"/>
      <c r="C18032"/>
      <c r="E18032"/>
      <c r="F18032"/>
    </row>
    <row r="18033" spans="1:6" x14ac:dyDescent="0.25">
      <c r="A18033"/>
      <c r="B18033"/>
      <c r="C18033"/>
      <c r="E18033"/>
      <c r="F18033"/>
    </row>
    <row r="18034" spans="1:6" x14ac:dyDescent="0.25">
      <c r="A18034"/>
      <c r="B18034"/>
      <c r="C18034"/>
      <c r="E18034"/>
      <c r="F18034"/>
    </row>
    <row r="18035" spans="1:6" x14ac:dyDescent="0.25">
      <c r="A18035"/>
      <c r="B18035"/>
      <c r="C18035"/>
      <c r="E18035"/>
      <c r="F18035"/>
    </row>
    <row r="18036" spans="1:6" x14ac:dyDescent="0.25">
      <c r="A18036"/>
      <c r="B18036"/>
      <c r="C18036"/>
      <c r="E18036"/>
      <c r="F18036"/>
    </row>
    <row r="18037" spans="1:6" x14ac:dyDescent="0.25">
      <c r="A18037"/>
      <c r="B18037"/>
      <c r="C18037"/>
      <c r="E18037"/>
      <c r="F18037"/>
    </row>
    <row r="18038" spans="1:6" x14ac:dyDescent="0.25">
      <c r="A18038"/>
      <c r="B18038"/>
      <c r="C18038"/>
      <c r="E18038"/>
      <c r="F18038"/>
    </row>
    <row r="18039" spans="1:6" x14ac:dyDescent="0.25">
      <c r="A18039"/>
      <c r="B18039"/>
      <c r="C18039"/>
      <c r="E18039"/>
      <c r="F18039"/>
    </row>
    <row r="18040" spans="1:6" x14ac:dyDescent="0.25">
      <c r="A18040"/>
      <c r="B18040"/>
      <c r="C18040"/>
      <c r="E18040"/>
      <c r="F18040"/>
    </row>
    <row r="18041" spans="1:6" x14ac:dyDescent="0.25">
      <c r="A18041"/>
      <c r="B18041"/>
      <c r="C18041"/>
      <c r="E18041"/>
      <c r="F18041"/>
    </row>
    <row r="18042" spans="1:6" x14ac:dyDescent="0.25">
      <c r="A18042"/>
      <c r="B18042"/>
      <c r="C18042"/>
      <c r="E18042"/>
      <c r="F18042"/>
    </row>
    <row r="18043" spans="1:6" x14ac:dyDescent="0.25">
      <c r="A18043"/>
      <c r="B18043"/>
      <c r="C18043"/>
      <c r="E18043"/>
      <c r="F18043"/>
    </row>
    <row r="18044" spans="1:6" x14ac:dyDescent="0.25">
      <c r="A18044"/>
      <c r="B18044"/>
      <c r="C18044"/>
      <c r="E18044"/>
      <c r="F18044"/>
    </row>
    <row r="18045" spans="1:6" x14ac:dyDescent="0.25">
      <c r="A18045"/>
      <c r="B18045"/>
      <c r="C18045"/>
      <c r="E18045"/>
      <c r="F18045"/>
    </row>
    <row r="18046" spans="1:6" x14ac:dyDescent="0.25">
      <c r="A18046"/>
      <c r="B18046"/>
      <c r="C18046"/>
      <c r="E18046"/>
      <c r="F18046"/>
    </row>
    <row r="18047" spans="1:6" x14ac:dyDescent="0.25">
      <c r="A18047"/>
      <c r="B18047"/>
      <c r="C18047"/>
      <c r="E18047"/>
      <c r="F18047"/>
    </row>
    <row r="18048" spans="1:6" x14ac:dyDescent="0.25">
      <c r="A18048"/>
      <c r="B18048"/>
      <c r="C18048"/>
      <c r="E18048"/>
      <c r="F18048"/>
    </row>
    <row r="18049" spans="1:6" x14ac:dyDescent="0.25">
      <c r="A18049"/>
      <c r="B18049"/>
      <c r="C18049"/>
      <c r="E18049"/>
      <c r="F18049"/>
    </row>
    <row r="18050" spans="1:6" x14ac:dyDescent="0.25">
      <c r="A18050"/>
      <c r="B18050"/>
      <c r="C18050"/>
      <c r="E18050"/>
      <c r="F18050"/>
    </row>
    <row r="18051" spans="1:6" x14ac:dyDescent="0.25">
      <c r="A18051"/>
      <c r="B18051"/>
      <c r="C18051"/>
      <c r="E18051"/>
      <c r="F18051"/>
    </row>
    <row r="18052" spans="1:6" x14ac:dyDescent="0.25">
      <c r="A18052"/>
      <c r="B18052"/>
      <c r="C18052"/>
      <c r="E18052"/>
      <c r="F18052"/>
    </row>
    <row r="18053" spans="1:6" x14ac:dyDescent="0.25">
      <c r="A18053"/>
      <c r="B18053"/>
      <c r="C18053"/>
      <c r="E18053"/>
      <c r="F18053"/>
    </row>
    <row r="18054" spans="1:6" x14ac:dyDescent="0.25">
      <c r="A18054"/>
      <c r="B18054"/>
      <c r="C18054"/>
      <c r="E18054"/>
      <c r="F18054"/>
    </row>
    <row r="18055" spans="1:6" x14ac:dyDescent="0.25">
      <c r="A18055"/>
      <c r="B18055"/>
      <c r="C18055"/>
      <c r="E18055"/>
      <c r="F18055"/>
    </row>
    <row r="18056" spans="1:6" x14ac:dyDescent="0.25">
      <c r="A18056"/>
      <c r="B18056"/>
      <c r="C18056"/>
      <c r="E18056"/>
      <c r="F18056"/>
    </row>
    <row r="18057" spans="1:6" x14ac:dyDescent="0.25">
      <c r="A18057"/>
      <c r="B18057"/>
      <c r="C18057"/>
      <c r="E18057"/>
      <c r="F18057"/>
    </row>
    <row r="18058" spans="1:6" x14ac:dyDescent="0.25">
      <c r="A18058"/>
      <c r="B18058"/>
      <c r="C18058"/>
      <c r="E18058"/>
      <c r="F18058"/>
    </row>
    <row r="18059" spans="1:6" x14ac:dyDescent="0.25">
      <c r="A18059"/>
      <c r="B18059"/>
      <c r="C18059"/>
      <c r="E18059"/>
      <c r="F18059"/>
    </row>
    <row r="18060" spans="1:6" x14ac:dyDescent="0.25">
      <c r="A18060"/>
      <c r="B18060"/>
      <c r="C18060"/>
      <c r="E18060"/>
      <c r="F18060"/>
    </row>
    <row r="18061" spans="1:6" x14ac:dyDescent="0.25">
      <c r="A18061"/>
      <c r="B18061"/>
      <c r="C18061"/>
      <c r="E18061"/>
      <c r="F18061"/>
    </row>
    <row r="18062" spans="1:6" x14ac:dyDescent="0.25">
      <c r="A18062"/>
      <c r="B18062"/>
      <c r="C18062"/>
      <c r="E18062"/>
      <c r="F18062"/>
    </row>
    <row r="18063" spans="1:6" x14ac:dyDescent="0.25">
      <c r="A18063"/>
      <c r="B18063"/>
      <c r="C18063"/>
      <c r="E18063"/>
      <c r="F18063"/>
    </row>
    <row r="18064" spans="1:6" x14ac:dyDescent="0.25">
      <c r="A18064"/>
      <c r="B18064"/>
      <c r="C18064"/>
      <c r="E18064"/>
      <c r="F18064"/>
    </row>
    <row r="18065" spans="1:6" x14ac:dyDescent="0.25">
      <c r="A18065"/>
      <c r="B18065"/>
      <c r="C18065"/>
      <c r="E18065"/>
      <c r="F18065"/>
    </row>
    <row r="18066" spans="1:6" x14ac:dyDescent="0.25">
      <c r="A18066"/>
      <c r="B18066"/>
      <c r="C18066"/>
      <c r="E18066"/>
      <c r="F18066"/>
    </row>
    <row r="18067" spans="1:6" x14ac:dyDescent="0.25">
      <c r="A18067"/>
      <c r="B18067"/>
      <c r="C18067"/>
      <c r="E18067"/>
      <c r="F18067"/>
    </row>
    <row r="18068" spans="1:6" x14ac:dyDescent="0.25">
      <c r="A18068"/>
      <c r="B18068"/>
      <c r="C18068"/>
      <c r="E18068"/>
      <c r="F18068"/>
    </row>
    <row r="18069" spans="1:6" x14ac:dyDescent="0.25">
      <c r="A18069"/>
      <c r="B18069"/>
      <c r="C18069"/>
      <c r="E18069"/>
      <c r="F18069"/>
    </row>
    <row r="18070" spans="1:6" x14ac:dyDescent="0.25">
      <c r="A18070"/>
      <c r="B18070"/>
      <c r="C18070"/>
      <c r="E18070"/>
      <c r="F18070"/>
    </row>
    <row r="18071" spans="1:6" x14ac:dyDescent="0.25">
      <c r="A18071"/>
      <c r="B18071"/>
      <c r="C18071"/>
      <c r="E18071"/>
      <c r="F18071"/>
    </row>
    <row r="18072" spans="1:6" x14ac:dyDescent="0.25">
      <c r="A18072"/>
      <c r="B18072"/>
      <c r="C18072"/>
      <c r="E18072"/>
      <c r="F18072"/>
    </row>
    <row r="18073" spans="1:6" x14ac:dyDescent="0.25">
      <c r="A18073"/>
      <c r="B18073"/>
      <c r="C18073"/>
      <c r="E18073"/>
      <c r="F18073"/>
    </row>
    <row r="18074" spans="1:6" x14ac:dyDescent="0.25">
      <c r="A18074"/>
      <c r="B18074"/>
      <c r="C18074"/>
      <c r="E18074"/>
      <c r="F18074"/>
    </row>
    <row r="18075" spans="1:6" x14ac:dyDescent="0.25">
      <c r="A18075"/>
      <c r="B18075"/>
      <c r="C18075"/>
      <c r="E18075"/>
      <c r="F18075"/>
    </row>
    <row r="18076" spans="1:6" x14ac:dyDescent="0.25">
      <c r="A18076"/>
      <c r="B18076"/>
      <c r="C18076"/>
      <c r="E18076"/>
      <c r="F18076"/>
    </row>
    <row r="18077" spans="1:6" x14ac:dyDescent="0.25">
      <c r="A18077"/>
      <c r="B18077"/>
      <c r="C18077"/>
      <c r="E18077"/>
      <c r="F18077"/>
    </row>
    <row r="18078" spans="1:6" x14ac:dyDescent="0.25">
      <c r="A18078"/>
      <c r="B18078"/>
      <c r="C18078"/>
      <c r="E18078"/>
      <c r="F18078"/>
    </row>
    <row r="18079" spans="1:6" x14ac:dyDescent="0.25">
      <c r="A18079"/>
      <c r="B18079"/>
      <c r="C18079"/>
      <c r="E18079"/>
      <c r="F18079"/>
    </row>
    <row r="18080" spans="1:6" x14ac:dyDescent="0.25">
      <c r="A18080"/>
      <c r="B18080"/>
      <c r="C18080"/>
      <c r="E18080"/>
      <c r="F18080"/>
    </row>
    <row r="18081" spans="1:6" x14ac:dyDescent="0.25">
      <c r="A18081"/>
      <c r="B18081"/>
      <c r="C18081"/>
      <c r="E18081"/>
      <c r="F18081"/>
    </row>
    <row r="18082" spans="1:6" x14ac:dyDescent="0.25">
      <c r="A18082"/>
      <c r="B18082"/>
      <c r="C18082"/>
      <c r="E18082"/>
      <c r="F18082"/>
    </row>
    <row r="18083" spans="1:6" x14ac:dyDescent="0.25">
      <c r="A18083"/>
      <c r="B18083"/>
      <c r="C18083"/>
      <c r="E18083"/>
      <c r="F18083"/>
    </row>
    <row r="18084" spans="1:6" x14ac:dyDescent="0.25">
      <c r="A18084"/>
      <c r="B18084"/>
      <c r="C18084"/>
      <c r="E18084"/>
      <c r="F18084"/>
    </row>
    <row r="18085" spans="1:6" x14ac:dyDescent="0.25">
      <c r="A18085"/>
      <c r="B18085"/>
      <c r="C18085"/>
      <c r="E18085"/>
      <c r="F18085"/>
    </row>
    <row r="18086" spans="1:6" x14ac:dyDescent="0.25">
      <c r="A18086"/>
      <c r="B18086"/>
      <c r="C18086"/>
      <c r="E18086"/>
      <c r="F18086"/>
    </row>
    <row r="18087" spans="1:6" x14ac:dyDescent="0.25">
      <c r="A18087"/>
      <c r="B18087"/>
      <c r="C18087"/>
      <c r="E18087"/>
      <c r="F18087"/>
    </row>
    <row r="18088" spans="1:6" x14ac:dyDescent="0.25">
      <c r="A18088"/>
      <c r="B18088"/>
      <c r="C18088"/>
      <c r="E18088"/>
      <c r="F18088"/>
    </row>
    <row r="18089" spans="1:6" x14ac:dyDescent="0.25">
      <c r="A18089"/>
      <c r="B18089"/>
      <c r="C18089"/>
      <c r="E18089"/>
      <c r="F18089"/>
    </row>
    <row r="18090" spans="1:6" x14ac:dyDescent="0.25">
      <c r="A18090"/>
      <c r="B18090"/>
      <c r="C18090"/>
      <c r="E18090"/>
      <c r="F18090"/>
    </row>
    <row r="18091" spans="1:6" x14ac:dyDescent="0.25">
      <c r="A18091"/>
      <c r="B18091"/>
      <c r="C18091"/>
      <c r="E18091"/>
      <c r="F18091"/>
    </row>
    <row r="18092" spans="1:6" x14ac:dyDescent="0.25">
      <c r="A18092"/>
      <c r="B18092"/>
      <c r="C18092"/>
      <c r="E18092"/>
      <c r="F18092"/>
    </row>
    <row r="18093" spans="1:6" x14ac:dyDescent="0.25">
      <c r="A18093"/>
      <c r="B18093"/>
      <c r="C18093"/>
      <c r="E18093"/>
      <c r="F18093"/>
    </row>
    <row r="18094" spans="1:6" x14ac:dyDescent="0.25">
      <c r="A18094"/>
      <c r="B18094"/>
      <c r="C18094"/>
      <c r="E18094"/>
      <c r="F18094"/>
    </row>
    <row r="18095" spans="1:6" x14ac:dyDescent="0.25">
      <c r="A18095"/>
      <c r="B18095"/>
      <c r="C18095"/>
      <c r="E18095"/>
      <c r="F18095"/>
    </row>
    <row r="18096" spans="1:6" x14ac:dyDescent="0.25">
      <c r="A18096"/>
      <c r="B18096"/>
      <c r="C18096"/>
      <c r="E18096"/>
      <c r="F18096"/>
    </row>
    <row r="18097" spans="1:6" x14ac:dyDescent="0.25">
      <c r="A18097"/>
      <c r="B18097"/>
      <c r="C18097"/>
      <c r="E18097"/>
      <c r="F18097"/>
    </row>
    <row r="18098" spans="1:6" x14ac:dyDescent="0.25">
      <c r="A18098"/>
      <c r="B18098"/>
      <c r="C18098"/>
      <c r="E18098"/>
      <c r="F18098"/>
    </row>
    <row r="18099" spans="1:6" x14ac:dyDescent="0.25">
      <c r="A18099"/>
      <c r="B18099"/>
      <c r="C18099"/>
      <c r="E18099"/>
      <c r="F18099"/>
    </row>
    <row r="18100" spans="1:6" x14ac:dyDescent="0.25">
      <c r="A18100"/>
      <c r="B18100"/>
      <c r="C18100"/>
      <c r="E18100"/>
      <c r="F18100"/>
    </row>
    <row r="18101" spans="1:6" x14ac:dyDescent="0.25">
      <c r="A18101"/>
      <c r="B18101"/>
      <c r="C18101"/>
      <c r="E18101"/>
      <c r="F18101"/>
    </row>
    <row r="18102" spans="1:6" x14ac:dyDescent="0.25">
      <c r="A18102"/>
      <c r="B18102"/>
      <c r="C18102"/>
      <c r="E18102"/>
      <c r="F18102"/>
    </row>
    <row r="18103" spans="1:6" x14ac:dyDescent="0.25">
      <c r="A18103"/>
      <c r="B18103"/>
      <c r="C18103"/>
      <c r="E18103"/>
      <c r="F18103"/>
    </row>
    <row r="18104" spans="1:6" x14ac:dyDescent="0.25">
      <c r="A18104"/>
      <c r="B18104"/>
      <c r="C18104"/>
      <c r="E18104"/>
      <c r="F18104"/>
    </row>
    <row r="18105" spans="1:6" x14ac:dyDescent="0.25">
      <c r="A18105"/>
      <c r="B18105"/>
      <c r="C18105"/>
      <c r="E18105"/>
      <c r="F18105"/>
    </row>
    <row r="18106" spans="1:6" x14ac:dyDescent="0.25">
      <c r="A18106"/>
      <c r="B18106"/>
      <c r="C18106"/>
      <c r="E18106"/>
      <c r="F18106"/>
    </row>
    <row r="18107" spans="1:6" x14ac:dyDescent="0.25">
      <c r="A18107"/>
      <c r="B18107"/>
      <c r="C18107"/>
      <c r="E18107"/>
      <c r="F18107"/>
    </row>
    <row r="18108" spans="1:6" x14ac:dyDescent="0.25">
      <c r="A18108"/>
      <c r="B18108"/>
      <c r="C18108"/>
      <c r="E18108"/>
      <c r="F18108"/>
    </row>
    <row r="18109" spans="1:6" x14ac:dyDescent="0.25">
      <c r="A18109"/>
      <c r="B18109"/>
      <c r="C18109"/>
      <c r="E18109"/>
      <c r="F18109"/>
    </row>
    <row r="18110" spans="1:6" x14ac:dyDescent="0.25">
      <c r="A18110"/>
      <c r="B18110"/>
      <c r="C18110"/>
      <c r="E18110"/>
      <c r="F18110"/>
    </row>
    <row r="18111" spans="1:6" x14ac:dyDescent="0.25">
      <c r="A18111"/>
      <c r="B18111"/>
      <c r="C18111"/>
      <c r="E18111"/>
      <c r="F18111"/>
    </row>
    <row r="18112" spans="1:6" x14ac:dyDescent="0.25">
      <c r="A18112"/>
      <c r="B18112"/>
      <c r="C18112"/>
      <c r="E18112"/>
      <c r="F18112"/>
    </row>
    <row r="18113" spans="1:6" x14ac:dyDescent="0.25">
      <c r="A18113"/>
      <c r="B18113"/>
      <c r="C18113"/>
      <c r="E18113"/>
      <c r="F18113"/>
    </row>
    <row r="18114" spans="1:6" x14ac:dyDescent="0.25">
      <c r="A18114"/>
      <c r="B18114"/>
      <c r="C18114"/>
      <c r="E18114"/>
      <c r="F18114"/>
    </row>
    <row r="18115" spans="1:6" x14ac:dyDescent="0.25">
      <c r="A18115"/>
      <c r="B18115"/>
      <c r="C18115"/>
      <c r="E18115"/>
      <c r="F18115"/>
    </row>
    <row r="18116" spans="1:6" x14ac:dyDescent="0.25">
      <c r="A18116"/>
      <c r="B18116"/>
      <c r="C18116"/>
      <c r="E18116"/>
      <c r="F18116"/>
    </row>
    <row r="18117" spans="1:6" x14ac:dyDescent="0.25">
      <c r="A18117"/>
      <c r="B18117"/>
      <c r="C18117"/>
      <c r="E18117"/>
      <c r="F18117"/>
    </row>
    <row r="18118" spans="1:6" x14ac:dyDescent="0.25">
      <c r="A18118"/>
      <c r="B18118"/>
      <c r="C18118"/>
      <c r="E18118"/>
      <c r="F18118"/>
    </row>
    <row r="18119" spans="1:6" x14ac:dyDescent="0.25">
      <c r="A18119"/>
      <c r="B18119"/>
      <c r="C18119"/>
      <c r="E18119"/>
      <c r="F18119"/>
    </row>
    <row r="18120" spans="1:6" x14ac:dyDescent="0.25">
      <c r="A18120"/>
      <c r="B18120"/>
      <c r="C18120"/>
      <c r="E18120"/>
      <c r="F18120"/>
    </row>
    <row r="18121" spans="1:6" x14ac:dyDescent="0.25">
      <c r="A18121"/>
      <c r="B18121"/>
      <c r="C18121"/>
      <c r="E18121"/>
      <c r="F18121"/>
    </row>
    <row r="18122" spans="1:6" x14ac:dyDescent="0.25">
      <c r="A18122"/>
      <c r="B18122"/>
      <c r="C18122"/>
      <c r="E18122"/>
      <c r="F18122"/>
    </row>
    <row r="18123" spans="1:6" x14ac:dyDescent="0.25">
      <c r="A18123"/>
      <c r="B18123"/>
      <c r="C18123"/>
      <c r="E18123"/>
      <c r="F18123"/>
    </row>
    <row r="18124" spans="1:6" x14ac:dyDescent="0.25">
      <c r="A18124"/>
      <c r="B18124"/>
      <c r="C18124"/>
      <c r="E18124"/>
      <c r="F18124"/>
    </row>
    <row r="18125" spans="1:6" x14ac:dyDescent="0.25">
      <c r="A18125"/>
      <c r="B18125"/>
      <c r="C18125"/>
      <c r="E18125"/>
      <c r="F18125"/>
    </row>
    <row r="18126" spans="1:6" x14ac:dyDescent="0.25">
      <c r="A18126"/>
      <c r="B18126"/>
      <c r="C18126"/>
      <c r="E18126"/>
      <c r="F18126"/>
    </row>
    <row r="18127" spans="1:6" x14ac:dyDescent="0.25">
      <c r="A18127"/>
      <c r="B18127"/>
      <c r="C18127"/>
      <c r="E18127"/>
      <c r="F18127"/>
    </row>
    <row r="18128" spans="1:6" x14ac:dyDescent="0.25">
      <c r="A18128"/>
      <c r="B18128"/>
      <c r="C18128"/>
      <c r="E18128"/>
      <c r="F18128"/>
    </row>
    <row r="18129" spans="1:6" x14ac:dyDescent="0.25">
      <c r="A18129"/>
      <c r="B18129"/>
      <c r="C18129"/>
      <c r="E18129"/>
      <c r="F18129"/>
    </row>
    <row r="18130" spans="1:6" x14ac:dyDescent="0.25">
      <c r="A18130"/>
      <c r="B18130"/>
      <c r="C18130"/>
      <c r="E18130"/>
      <c r="F18130"/>
    </row>
    <row r="18131" spans="1:6" x14ac:dyDescent="0.25">
      <c r="A18131"/>
      <c r="B18131"/>
      <c r="C18131"/>
      <c r="E18131"/>
      <c r="F18131"/>
    </row>
    <row r="18132" spans="1:6" x14ac:dyDescent="0.25">
      <c r="A18132"/>
      <c r="B18132"/>
      <c r="C18132"/>
      <c r="E18132"/>
      <c r="F18132"/>
    </row>
    <row r="18133" spans="1:6" x14ac:dyDescent="0.25">
      <c r="A18133"/>
      <c r="B18133"/>
      <c r="C18133"/>
      <c r="E18133"/>
      <c r="F18133"/>
    </row>
    <row r="18134" spans="1:6" x14ac:dyDescent="0.25">
      <c r="A18134"/>
      <c r="B18134"/>
      <c r="C18134"/>
      <c r="E18134"/>
      <c r="F18134"/>
    </row>
    <row r="18135" spans="1:6" x14ac:dyDescent="0.25">
      <c r="A18135"/>
      <c r="B18135"/>
      <c r="C18135"/>
      <c r="E18135"/>
      <c r="F18135"/>
    </row>
    <row r="18136" spans="1:6" x14ac:dyDescent="0.25">
      <c r="A18136"/>
      <c r="B18136"/>
      <c r="C18136"/>
      <c r="E18136"/>
      <c r="F18136"/>
    </row>
    <row r="18137" spans="1:6" x14ac:dyDescent="0.25">
      <c r="A18137"/>
      <c r="B18137"/>
      <c r="C18137"/>
      <c r="E18137"/>
      <c r="F18137"/>
    </row>
    <row r="18138" spans="1:6" x14ac:dyDescent="0.25">
      <c r="A18138"/>
      <c r="B18138"/>
      <c r="C18138"/>
      <c r="E18138"/>
      <c r="F18138"/>
    </row>
    <row r="18139" spans="1:6" x14ac:dyDescent="0.25">
      <c r="A18139"/>
      <c r="B18139"/>
      <c r="C18139"/>
      <c r="E18139"/>
      <c r="F18139"/>
    </row>
    <row r="18140" spans="1:6" x14ac:dyDescent="0.25">
      <c r="A18140"/>
      <c r="B18140"/>
      <c r="C18140"/>
      <c r="E18140"/>
      <c r="F18140"/>
    </row>
    <row r="18141" spans="1:6" x14ac:dyDescent="0.25">
      <c r="A18141"/>
      <c r="B18141"/>
      <c r="C18141"/>
      <c r="E18141"/>
      <c r="F18141"/>
    </row>
    <row r="18142" spans="1:6" x14ac:dyDescent="0.25">
      <c r="A18142"/>
      <c r="B18142"/>
      <c r="C18142"/>
      <c r="E18142"/>
      <c r="F18142"/>
    </row>
    <row r="18143" spans="1:6" x14ac:dyDescent="0.25">
      <c r="A18143"/>
      <c r="B18143"/>
      <c r="C18143"/>
      <c r="E18143"/>
      <c r="F18143"/>
    </row>
    <row r="18144" spans="1:6" x14ac:dyDescent="0.25">
      <c r="A18144"/>
      <c r="B18144"/>
      <c r="C18144"/>
      <c r="E18144"/>
      <c r="F18144"/>
    </row>
    <row r="18145" spans="1:6" x14ac:dyDescent="0.25">
      <c r="A18145"/>
      <c r="B18145"/>
      <c r="C18145"/>
      <c r="E18145"/>
      <c r="F18145"/>
    </row>
    <row r="18146" spans="1:6" x14ac:dyDescent="0.25">
      <c r="A18146"/>
      <c r="B18146"/>
      <c r="C18146"/>
      <c r="E18146"/>
      <c r="F18146"/>
    </row>
    <row r="18147" spans="1:6" x14ac:dyDescent="0.25">
      <c r="A18147"/>
      <c r="B18147"/>
      <c r="C18147"/>
      <c r="E18147"/>
      <c r="F18147"/>
    </row>
    <row r="18148" spans="1:6" x14ac:dyDescent="0.25">
      <c r="A18148"/>
      <c r="B18148"/>
      <c r="C18148"/>
      <c r="E18148"/>
      <c r="F18148"/>
    </row>
    <row r="18149" spans="1:6" x14ac:dyDescent="0.25">
      <c r="A18149"/>
      <c r="B18149"/>
      <c r="C18149"/>
      <c r="E18149"/>
      <c r="F18149"/>
    </row>
    <row r="18150" spans="1:6" x14ac:dyDescent="0.25">
      <c r="A18150"/>
      <c r="B18150"/>
      <c r="C18150"/>
      <c r="E18150"/>
      <c r="F18150"/>
    </row>
    <row r="18151" spans="1:6" x14ac:dyDescent="0.25">
      <c r="A18151"/>
      <c r="B18151"/>
      <c r="C18151"/>
      <c r="E18151"/>
      <c r="F18151"/>
    </row>
    <row r="18152" spans="1:6" x14ac:dyDescent="0.25">
      <c r="A18152"/>
      <c r="B18152"/>
      <c r="C18152"/>
      <c r="E18152"/>
      <c r="F18152"/>
    </row>
    <row r="18153" spans="1:6" x14ac:dyDescent="0.25">
      <c r="A18153"/>
      <c r="B18153"/>
      <c r="C18153"/>
      <c r="E18153"/>
      <c r="F18153"/>
    </row>
    <row r="18154" spans="1:6" x14ac:dyDescent="0.25">
      <c r="A18154"/>
      <c r="B18154"/>
      <c r="C18154"/>
      <c r="E18154"/>
      <c r="F18154"/>
    </row>
    <row r="18155" spans="1:6" x14ac:dyDescent="0.25">
      <c r="A18155"/>
      <c r="B18155"/>
      <c r="C18155"/>
      <c r="E18155"/>
      <c r="F18155"/>
    </row>
    <row r="18156" spans="1:6" x14ac:dyDescent="0.25">
      <c r="A18156"/>
      <c r="B18156"/>
      <c r="C18156"/>
      <c r="E18156"/>
      <c r="F18156"/>
    </row>
    <row r="18157" spans="1:6" x14ac:dyDescent="0.25">
      <c r="A18157"/>
      <c r="B18157"/>
      <c r="C18157"/>
      <c r="E18157"/>
      <c r="F18157"/>
    </row>
    <row r="18158" spans="1:6" x14ac:dyDescent="0.25">
      <c r="A18158"/>
      <c r="B18158"/>
      <c r="C18158"/>
      <c r="E18158"/>
      <c r="F18158"/>
    </row>
    <row r="18159" spans="1:6" x14ac:dyDescent="0.25">
      <c r="A18159"/>
      <c r="B18159"/>
      <c r="C18159"/>
      <c r="E18159"/>
      <c r="F18159"/>
    </row>
    <row r="18160" spans="1:6" x14ac:dyDescent="0.25">
      <c r="A18160"/>
      <c r="B18160"/>
      <c r="C18160"/>
      <c r="E18160"/>
      <c r="F18160"/>
    </row>
    <row r="18161" spans="1:6" x14ac:dyDescent="0.25">
      <c r="A18161"/>
      <c r="B18161"/>
      <c r="C18161"/>
      <c r="E18161"/>
      <c r="F18161"/>
    </row>
    <row r="18162" spans="1:6" x14ac:dyDescent="0.25">
      <c r="A18162"/>
      <c r="B18162"/>
      <c r="C18162"/>
      <c r="E18162"/>
      <c r="F18162"/>
    </row>
    <row r="18163" spans="1:6" x14ac:dyDescent="0.25">
      <c r="A18163"/>
      <c r="B18163"/>
      <c r="C18163"/>
      <c r="E18163"/>
      <c r="F18163"/>
    </row>
    <row r="18164" spans="1:6" x14ac:dyDescent="0.25">
      <c r="A18164"/>
      <c r="B18164"/>
      <c r="C18164"/>
      <c r="E18164"/>
      <c r="F18164"/>
    </row>
    <row r="18165" spans="1:6" x14ac:dyDescent="0.25">
      <c r="A18165"/>
      <c r="B18165"/>
      <c r="C18165"/>
      <c r="E18165"/>
      <c r="F18165"/>
    </row>
    <row r="18166" spans="1:6" x14ac:dyDescent="0.25">
      <c r="A18166"/>
      <c r="B18166"/>
      <c r="C18166"/>
      <c r="E18166"/>
      <c r="F18166"/>
    </row>
    <row r="18167" spans="1:6" x14ac:dyDescent="0.25">
      <c r="A18167"/>
      <c r="B18167"/>
      <c r="C18167"/>
      <c r="E18167"/>
      <c r="F18167"/>
    </row>
    <row r="18168" spans="1:6" x14ac:dyDescent="0.25">
      <c r="A18168"/>
      <c r="B18168"/>
      <c r="C18168"/>
      <c r="E18168"/>
      <c r="F18168"/>
    </row>
    <row r="18169" spans="1:6" x14ac:dyDescent="0.25">
      <c r="A18169"/>
      <c r="B18169"/>
      <c r="C18169"/>
      <c r="E18169"/>
      <c r="F18169"/>
    </row>
    <row r="18170" spans="1:6" x14ac:dyDescent="0.25">
      <c r="A18170"/>
      <c r="B18170"/>
      <c r="C18170"/>
      <c r="E18170"/>
      <c r="F18170"/>
    </row>
    <row r="18171" spans="1:6" x14ac:dyDescent="0.25">
      <c r="A18171"/>
      <c r="B18171"/>
      <c r="C18171"/>
      <c r="E18171"/>
      <c r="F18171"/>
    </row>
    <row r="18172" spans="1:6" x14ac:dyDescent="0.25">
      <c r="A18172"/>
      <c r="B18172"/>
      <c r="C18172"/>
      <c r="E18172"/>
      <c r="F18172"/>
    </row>
    <row r="18173" spans="1:6" x14ac:dyDescent="0.25">
      <c r="A18173"/>
      <c r="B18173"/>
      <c r="C18173"/>
      <c r="E18173"/>
      <c r="F18173"/>
    </row>
    <row r="18174" spans="1:6" x14ac:dyDescent="0.25">
      <c r="A18174"/>
      <c r="B18174"/>
      <c r="C18174"/>
      <c r="E18174"/>
      <c r="F18174"/>
    </row>
    <row r="18175" spans="1:6" x14ac:dyDescent="0.25">
      <c r="A18175"/>
      <c r="B18175"/>
      <c r="C18175"/>
      <c r="E18175"/>
      <c r="F18175"/>
    </row>
    <row r="18176" spans="1:6" x14ac:dyDescent="0.25">
      <c r="A18176"/>
      <c r="B18176"/>
      <c r="C18176"/>
      <c r="E18176"/>
      <c r="F18176"/>
    </row>
    <row r="18177" spans="1:6" x14ac:dyDescent="0.25">
      <c r="A18177"/>
      <c r="B18177"/>
      <c r="C18177"/>
      <c r="E18177"/>
      <c r="F18177"/>
    </row>
    <row r="18178" spans="1:6" x14ac:dyDescent="0.25">
      <c r="A18178"/>
      <c r="B18178"/>
      <c r="C18178"/>
      <c r="E18178"/>
      <c r="F18178"/>
    </row>
    <row r="18179" spans="1:6" x14ac:dyDescent="0.25">
      <c r="A18179"/>
      <c r="B18179"/>
      <c r="C18179"/>
      <c r="E18179"/>
      <c r="F18179"/>
    </row>
    <row r="18180" spans="1:6" x14ac:dyDescent="0.25">
      <c r="A18180"/>
      <c r="B18180"/>
      <c r="C18180"/>
      <c r="E18180"/>
      <c r="F18180"/>
    </row>
    <row r="18181" spans="1:6" x14ac:dyDescent="0.25">
      <c r="A18181"/>
      <c r="B18181"/>
      <c r="C18181"/>
      <c r="E18181"/>
      <c r="F18181"/>
    </row>
    <row r="18182" spans="1:6" x14ac:dyDescent="0.25">
      <c r="A18182"/>
      <c r="B18182"/>
      <c r="C18182"/>
      <c r="E18182"/>
      <c r="F18182"/>
    </row>
    <row r="18183" spans="1:6" x14ac:dyDescent="0.25">
      <c r="A18183"/>
      <c r="B18183"/>
      <c r="C18183"/>
      <c r="E18183"/>
      <c r="F18183"/>
    </row>
    <row r="18184" spans="1:6" x14ac:dyDescent="0.25">
      <c r="A18184"/>
      <c r="B18184"/>
      <c r="C18184"/>
      <c r="E18184"/>
      <c r="F18184"/>
    </row>
    <row r="18185" spans="1:6" x14ac:dyDescent="0.25">
      <c r="A18185"/>
      <c r="B18185"/>
      <c r="C18185"/>
      <c r="E18185"/>
      <c r="F18185"/>
    </row>
    <row r="18186" spans="1:6" x14ac:dyDescent="0.25">
      <c r="A18186"/>
      <c r="B18186"/>
      <c r="C18186"/>
      <c r="E18186"/>
      <c r="F18186"/>
    </row>
    <row r="18187" spans="1:6" x14ac:dyDescent="0.25">
      <c r="A18187"/>
      <c r="B18187"/>
      <c r="C18187"/>
      <c r="E18187"/>
      <c r="F18187"/>
    </row>
    <row r="18188" spans="1:6" x14ac:dyDescent="0.25">
      <c r="A18188"/>
      <c r="B18188"/>
      <c r="C18188"/>
      <c r="E18188"/>
      <c r="F18188"/>
    </row>
    <row r="18189" spans="1:6" x14ac:dyDescent="0.25">
      <c r="A18189"/>
      <c r="B18189"/>
      <c r="C18189"/>
      <c r="E18189"/>
      <c r="F18189"/>
    </row>
    <row r="18190" spans="1:6" x14ac:dyDescent="0.25">
      <c r="A18190"/>
      <c r="B18190"/>
      <c r="C18190"/>
      <c r="E18190"/>
      <c r="F18190"/>
    </row>
    <row r="18191" spans="1:6" x14ac:dyDescent="0.25">
      <c r="A18191"/>
      <c r="B18191"/>
      <c r="C18191"/>
      <c r="E18191"/>
      <c r="F18191"/>
    </row>
    <row r="18192" spans="1:6" x14ac:dyDescent="0.25">
      <c r="A18192"/>
      <c r="B18192"/>
      <c r="C18192"/>
      <c r="E18192"/>
      <c r="F18192"/>
    </row>
    <row r="18193" spans="1:6" x14ac:dyDescent="0.25">
      <c r="A18193"/>
      <c r="B18193"/>
      <c r="C18193"/>
      <c r="E18193"/>
      <c r="F18193"/>
    </row>
    <row r="18194" spans="1:6" x14ac:dyDescent="0.25">
      <c r="A18194"/>
      <c r="B18194"/>
      <c r="C18194"/>
      <c r="E18194"/>
      <c r="F18194"/>
    </row>
    <row r="18195" spans="1:6" x14ac:dyDescent="0.25">
      <c r="A18195"/>
      <c r="B18195"/>
      <c r="C18195"/>
      <c r="E18195"/>
      <c r="F18195"/>
    </row>
    <row r="18196" spans="1:6" x14ac:dyDescent="0.25">
      <c r="A18196"/>
      <c r="B18196"/>
      <c r="C18196"/>
      <c r="E18196"/>
      <c r="F18196"/>
    </row>
    <row r="18197" spans="1:6" x14ac:dyDescent="0.25">
      <c r="A18197"/>
      <c r="B18197"/>
      <c r="C18197"/>
      <c r="E18197"/>
      <c r="F18197"/>
    </row>
    <row r="18198" spans="1:6" x14ac:dyDescent="0.25">
      <c r="A18198"/>
      <c r="B18198"/>
      <c r="C18198"/>
      <c r="E18198"/>
      <c r="F18198"/>
    </row>
    <row r="18199" spans="1:6" x14ac:dyDescent="0.25">
      <c r="A18199"/>
      <c r="B18199"/>
      <c r="C18199"/>
      <c r="E18199"/>
      <c r="F18199"/>
    </row>
    <row r="18200" spans="1:6" x14ac:dyDescent="0.25">
      <c r="A18200"/>
      <c r="B18200"/>
      <c r="C18200"/>
      <c r="E18200"/>
      <c r="F18200"/>
    </row>
    <row r="18201" spans="1:6" x14ac:dyDescent="0.25">
      <c r="A18201"/>
      <c r="B18201"/>
      <c r="C18201"/>
      <c r="E18201"/>
      <c r="F18201"/>
    </row>
    <row r="18202" spans="1:6" x14ac:dyDescent="0.25">
      <c r="A18202"/>
      <c r="B18202"/>
      <c r="C18202"/>
      <c r="E18202"/>
      <c r="F18202"/>
    </row>
    <row r="18203" spans="1:6" x14ac:dyDescent="0.25">
      <c r="A18203"/>
      <c r="B18203"/>
      <c r="C18203"/>
      <c r="E18203"/>
      <c r="F18203"/>
    </row>
    <row r="18204" spans="1:6" x14ac:dyDescent="0.25">
      <c r="A18204"/>
      <c r="B18204"/>
      <c r="C18204"/>
      <c r="E18204"/>
      <c r="F18204"/>
    </row>
    <row r="18205" spans="1:6" x14ac:dyDescent="0.25">
      <c r="A18205"/>
      <c r="B18205"/>
      <c r="C18205"/>
      <c r="E18205"/>
      <c r="F18205"/>
    </row>
    <row r="18206" spans="1:6" x14ac:dyDescent="0.25">
      <c r="A18206"/>
      <c r="B18206"/>
      <c r="C18206"/>
      <c r="E18206"/>
      <c r="F18206"/>
    </row>
    <row r="18207" spans="1:6" x14ac:dyDescent="0.25">
      <c r="A18207"/>
      <c r="B18207"/>
      <c r="C18207"/>
      <c r="E18207"/>
      <c r="F18207"/>
    </row>
    <row r="18208" spans="1:6" x14ac:dyDescent="0.25">
      <c r="A18208"/>
      <c r="B18208"/>
      <c r="C18208"/>
      <c r="E18208"/>
      <c r="F18208"/>
    </row>
    <row r="18209" spans="1:6" x14ac:dyDescent="0.25">
      <c r="A18209"/>
      <c r="B18209"/>
      <c r="C18209"/>
      <c r="E18209"/>
      <c r="F18209"/>
    </row>
    <row r="18210" spans="1:6" x14ac:dyDescent="0.25">
      <c r="A18210"/>
      <c r="B18210"/>
      <c r="C18210"/>
      <c r="E18210"/>
      <c r="F18210"/>
    </row>
    <row r="18211" spans="1:6" x14ac:dyDescent="0.25">
      <c r="A18211"/>
      <c r="B18211"/>
      <c r="C18211"/>
      <c r="E18211"/>
      <c r="F18211"/>
    </row>
    <row r="18212" spans="1:6" x14ac:dyDescent="0.25">
      <c r="A18212"/>
      <c r="B18212"/>
      <c r="C18212"/>
      <c r="E18212"/>
      <c r="F18212"/>
    </row>
    <row r="18213" spans="1:6" x14ac:dyDescent="0.25">
      <c r="A18213"/>
      <c r="B18213"/>
      <c r="C18213"/>
      <c r="E18213"/>
      <c r="F18213"/>
    </row>
    <row r="18214" spans="1:6" x14ac:dyDescent="0.25">
      <c r="A18214"/>
      <c r="B18214"/>
      <c r="C18214"/>
      <c r="E18214"/>
      <c r="F18214"/>
    </row>
    <row r="18215" spans="1:6" x14ac:dyDescent="0.25">
      <c r="A18215"/>
      <c r="B18215"/>
      <c r="C18215"/>
      <c r="E18215"/>
      <c r="F18215"/>
    </row>
    <row r="18216" spans="1:6" x14ac:dyDescent="0.25">
      <c r="A18216"/>
      <c r="B18216"/>
      <c r="C18216"/>
      <c r="E18216"/>
      <c r="F18216"/>
    </row>
    <row r="18217" spans="1:6" x14ac:dyDescent="0.25">
      <c r="A18217"/>
      <c r="B18217"/>
      <c r="C18217"/>
      <c r="E18217"/>
      <c r="F18217"/>
    </row>
    <row r="18218" spans="1:6" x14ac:dyDescent="0.25">
      <c r="A18218"/>
      <c r="B18218"/>
      <c r="C18218"/>
      <c r="E18218"/>
      <c r="F18218"/>
    </row>
    <row r="18219" spans="1:6" x14ac:dyDescent="0.25">
      <c r="A18219"/>
      <c r="B18219"/>
      <c r="C18219"/>
      <c r="E18219"/>
      <c r="F18219"/>
    </row>
    <row r="18220" spans="1:6" x14ac:dyDescent="0.25">
      <c r="A18220"/>
      <c r="B18220"/>
      <c r="C18220"/>
      <c r="E18220"/>
      <c r="F18220"/>
    </row>
    <row r="18221" spans="1:6" x14ac:dyDescent="0.25">
      <c r="A18221"/>
      <c r="B18221"/>
      <c r="C18221"/>
      <c r="E18221"/>
      <c r="F18221"/>
    </row>
    <row r="18222" spans="1:6" x14ac:dyDescent="0.25">
      <c r="A18222"/>
      <c r="B18222"/>
      <c r="C18222"/>
      <c r="E18222"/>
      <c r="F18222"/>
    </row>
    <row r="18223" spans="1:6" x14ac:dyDescent="0.25">
      <c r="A18223"/>
      <c r="B18223"/>
      <c r="C18223"/>
      <c r="E18223"/>
      <c r="F18223"/>
    </row>
    <row r="18224" spans="1:6" x14ac:dyDescent="0.25">
      <c r="A18224"/>
      <c r="B18224"/>
      <c r="C18224"/>
      <c r="E18224"/>
      <c r="F18224"/>
    </row>
    <row r="18225" spans="1:6" x14ac:dyDescent="0.25">
      <c r="A18225"/>
      <c r="B18225"/>
      <c r="C18225"/>
      <c r="E18225"/>
      <c r="F18225"/>
    </row>
    <row r="18226" spans="1:6" x14ac:dyDescent="0.25">
      <c r="A18226"/>
      <c r="B18226"/>
      <c r="C18226"/>
      <c r="E18226"/>
      <c r="F18226"/>
    </row>
    <row r="18227" spans="1:6" x14ac:dyDescent="0.25">
      <c r="A18227"/>
      <c r="B18227"/>
      <c r="C18227"/>
      <c r="E18227"/>
      <c r="F18227"/>
    </row>
    <row r="18228" spans="1:6" x14ac:dyDescent="0.25">
      <c r="A18228"/>
      <c r="B18228"/>
      <c r="C18228"/>
      <c r="E18228"/>
      <c r="F18228"/>
    </row>
    <row r="18229" spans="1:6" x14ac:dyDescent="0.25">
      <c r="A18229"/>
      <c r="B18229"/>
      <c r="C18229"/>
      <c r="E18229"/>
      <c r="F18229"/>
    </row>
    <row r="18230" spans="1:6" x14ac:dyDescent="0.25">
      <c r="A18230"/>
      <c r="B18230"/>
      <c r="C18230"/>
      <c r="E18230"/>
      <c r="F18230"/>
    </row>
    <row r="18231" spans="1:6" x14ac:dyDescent="0.25">
      <c r="A18231"/>
      <c r="B18231"/>
      <c r="C18231"/>
      <c r="E18231"/>
      <c r="F18231"/>
    </row>
    <row r="18232" spans="1:6" x14ac:dyDescent="0.25">
      <c r="A18232"/>
      <c r="B18232"/>
      <c r="C18232"/>
      <c r="E18232"/>
      <c r="F18232"/>
    </row>
    <row r="18233" spans="1:6" x14ac:dyDescent="0.25">
      <c r="A18233"/>
      <c r="B18233"/>
      <c r="C18233"/>
      <c r="E18233"/>
      <c r="F18233"/>
    </row>
    <row r="18234" spans="1:6" x14ac:dyDescent="0.25">
      <c r="A18234"/>
      <c r="B18234"/>
      <c r="C18234"/>
      <c r="E18234"/>
      <c r="F18234"/>
    </row>
    <row r="18235" spans="1:6" x14ac:dyDescent="0.25">
      <c r="A18235"/>
      <c r="B18235"/>
      <c r="C18235"/>
      <c r="E18235"/>
      <c r="F18235"/>
    </row>
    <row r="18236" spans="1:6" x14ac:dyDescent="0.25">
      <c r="A18236"/>
      <c r="B18236"/>
      <c r="C18236"/>
      <c r="E18236"/>
      <c r="F18236"/>
    </row>
    <row r="18237" spans="1:6" x14ac:dyDescent="0.25">
      <c r="A18237"/>
      <c r="B18237"/>
      <c r="C18237"/>
      <c r="E18237"/>
      <c r="F18237"/>
    </row>
    <row r="18238" spans="1:6" x14ac:dyDescent="0.25">
      <c r="A18238"/>
      <c r="B18238"/>
      <c r="C18238"/>
      <c r="E18238"/>
      <c r="F18238"/>
    </row>
    <row r="18239" spans="1:6" x14ac:dyDescent="0.25">
      <c r="A18239"/>
      <c r="B18239"/>
      <c r="C18239"/>
      <c r="E18239"/>
      <c r="F18239"/>
    </row>
    <row r="18240" spans="1:6" x14ac:dyDescent="0.25">
      <c r="A18240"/>
      <c r="B18240"/>
      <c r="C18240"/>
      <c r="E18240"/>
      <c r="F18240"/>
    </row>
    <row r="18241" spans="1:6" x14ac:dyDescent="0.25">
      <c r="A18241"/>
      <c r="B18241"/>
      <c r="C18241"/>
      <c r="E18241"/>
      <c r="F18241"/>
    </row>
    <row r="18242" spans="1:6" x14ac:dyDescent="0.25">
      <c r="A18242"/>
      <c r="B18242"/>
      <c r="C18242"/>
      <c r="E18242"/>
      <c r="F18242"/>
    </row>
    <row r="18243" spans="1:6" x14ac:dyDescent="0.25">
      <c r="A18243"/>
      <c r="B18243"/>
      <c r="C18243"/>
      <c r="E18243"/>
      <c r="F18243"/>
    </row>
    <row r="18244" spans="1:6" x14ac:dyDescent="0.25">
      <c r="A18244"/>
      <c r="B18244"/>
      <c r="C18244"/>
      <c r="E18244"/>
      <c r="F18244"/>
    </row>
    <row r="18245" spans="1:6" x14ac:dyDescent="0.25">
      <c r="A18245"/>
      <c r="B18245"/>
      <c r="C18245"/>
      <c r="E18245"/>
      <c r="F18245"/>
    </row>
    <row r="18246" spans="1:6" x14ac:dyDescent="0.25">
      <c r="A18246"/>
      <c r="B18246"/>
      <c r="C18246"/>
      <c r="E18246"/>
      <c r="F18246"/>
    </row>
    <row r="18247" spans="1:6" x14ac:dyDescent="0.25">
      <c r="A18247"/>
      <c r="B18247"/>
      <c r="C18247"/>
      <c r="E18247"/>
      <c r="F18247"/>
    </row>
    <row r="18248" spans="1:6" x14ac:dyDescent="0.25">
      <c r="A18248"/>
      <c r="B18248"/>
      <c r="C18248"/>
      <c r="E18248"/>
      <c r="F18248"/>
    </row>
    <row r="18249" spans="1:6" x14ac:dyDescent="0.25">
      <c r="A18249"/>
      <c r="B18249"/>
      <c r="C18249"/>
      <c r="E18249"/>
      <c r="F18249"/>
    </row>
    <row r="18250" spans="1:6" x14ac:dyDescent="0.25">
      <c r="A18250"/>
      <c r="B18250"/>
      <c r="C18250"/>
      <c r="E18250"/>
      <c r="F18250"/>
    </row>
    <row r="18251" spans="1:6" x14ac:dyDescent="0.25">
      <c r="A18251"/>
      <c r="B18251"/>
      <c r="C18251"/>
      <c r="E18251"/>
      <c r="F18251"/>
    </row>
    <row r="18252" spans="1:6" x14ac:dyDescent="0.25">
      <c r="A18252"/>
      <c r="B18252"/>
      <c r="C18252"/>
      <c r="E18252"/>
      <c r="F18252"/>
    </row>
    <row r="18253" spans="1:6" x14ac:dyDescent="0.25">
      <c r="A18253"/>
      <c r="B18253"/>
      <c r="C18253"/>
      <c r="E18253"/>
      <c r="F18253"/>
    </row>
    <row r="18254" spans="1:6" x14ac:dyDescent="0.25">
      <c r="A18254"/>
      <c r="B18254"/>
      <c r="C18254"/>
      <c r="E18254"/>
      <c r="F18254"/>
    </row>
    <row r="18255" spans="1:6" x14ac:dyDescent="0.25">
      <c r="A18255"/>
      <c r="B18255"/>
      <c r="C18255"/>
      <c r="E18255"/>
      <c r="F18255"/>
    </row>
    <row r="18256" spans="1:6" x14ac:dyDescent="0.25">
      <c r="A18256"/>
      <c r="B18256"/>
      <c r="C18256"/>
      <c r="E18256"/>
      <c r="F18256"/>
    </row>
    <row r="18257" spans="1:6" x14ac:dyDescent="0.25">
      <c r="A18257"/>
      <c r="B18257"/>
      <c r="C18257"/>
      <c r="E18257"/>
      <c r="F18257"/>
    </row>
    <row r="18258" spans="1:6" x14ac:dyDescent="0.25">
      <c r="A18258"/>
      <c r="B18258"/>
      <c r="C18258"/>
      <c r="E18258"/>
      <c r="F18258"/>
    </row>
    <row r="18259" spans="1:6" x14ac:dyDescent="0.25">
      <c r="A18259"/>
      <c r="B18259"/>
      <c r="C18259"/>
      <c r="E18259"/>
      <c r="F18259"/>
    </row>
    <row r="18260" spans="1:6" x14ac:dyDescent="0.25">
      <c r="A18260"/>
      <c r="B18260"/>
      <c r="C18260"/>
      <c r="E18260"/>
      <c r="F18260"/>
    </row>
    <row r="18261" spans="1:6" x14ac:dyDescent="0.25">
      <c r="A18261"/>
      <c r="B18261"/>
      <c r="C18261"/>
      <c r="E18261"/>
      <c r="F18261"/>
    </row>
    <row r="18262" spans="1:6" x14ac:dyDescent="0.25">
      <c r="A18262"/>
      <c r="B18262"/>
      <c r="C18262"/>
      <c r="E18262"/>
      <c r="F18262"/>
    </row>
    <row r="18263" spans="1:6" x14ac:dyDescent="0.25">
      <c r="A18263"/>
      <c r="B18263"/>
      <c r="C18263"/>
      <c r="E18263"/>
      <c r="F18263"/>
    </row>
    <row r="18264" spans="1:6" x14ac:dyDescent="0.25">
      <c r="A18264"/>
      <c r="B18264"/>
      <c r="C18264"/>
      <c r="E18264"/>
      <c r="F18264"/>
    </row>
    <row r="18265" spans="1:6" x14ac:dyDescent="0.25">
      <c r="A18265"/>
      <c r="B18265"/>
      <c r="C18265"/>
      <c r="E18265"/>
      <c r="F18265"/>
    </row>
    <row r="18266" spans="1:6" x14ac:dyDescent="0.25">
      <c r="A18266"/>
      <c r="B18266"/>
      <c r="C18266"/>
      <c r="E18266"/>
      <c r="F18266"/>
    </row>
    <row r="18267" spans="1:6" x14ac:dyDescent="0.25">
      <c r="A18267"/>
      <c r="B18267"/>
      <c r="C18267"/>
      <c r="E18267"/>
      <c r="F18267"/>
    </row>
    <row r="18268" spans="1:6" x14ac:dyDescent="0.25">
      <c r="A18268"/>
      <c r="B18268"/>
      <c r="C18268"/>
      <c r="E18268"/>
      <c r="F18268"/>
    </row>
    <row r="18269" spans="1:6" x14ac:dyDescent="0.25">
      <c r="A18269"/>
      <c r="B18269"/>
      <c r="C18269"/>
      <c r="E18269"/>
      <c r="F18269"/>
    </row>
    <row r="18270" spans="1:6" x14ac:dyDescent="0.25">
      <c r="A18270"/>
      <c r="B18270"/>
      <c r="C18270"/>
      <c r="E18270"/>
      <c r="F18270"/>
    </row>
    <row r="18271" spans="1:6" x14ac:dyDescent="0.25">
      <c r="A18271"/>
      <c r="B18271"/>
      <c r="C18271"/>
      <c r="E18271"/>
      <c r="F18271"/>
    </row>
    <row r="18272" spans="1:6" x14ac:dyDescent="0.25">
      <c r="A18272"/>
      <c r="B18272"/>
      <c r="C18272"/>
      <c r="E18272"/>
      <c r="F18272"/>
    </row>
    <row r="18273" spans="1:6" x14ac:dyDescent="0.25">
      <c r="A18273"/>
      <c r="B18273"/>
      <c r="C18273"/>
      <c r="E18273"/>
      <c r="F18273"/>
    </row>
    <row r="18274" spans="1:6" x14ac:dyDescent="0.25">
      <c r="A18274"/>
      <c r="B18274"/>
      <c r="C18274"/>
      <c r="E18274"/>
      <c r="F18274"/>
    </row>
    <row r="18275" spans="1:6" x14ac:dyDescent="0.25">
      <c r="A18275"/>
      <c r="B18275"/>
      <c r="C18275"/>
      <c r="E18275"/>
      <c r="F18275"/>
    </row>
    <row r="18276" spans="1:6" x14ac:dyDescent="0.25">
      <c r="A18276"/>
      <c r="B18276"/>
      <c r="C18276"/>
      <c r="E18276"/>
      <c r="F18276"/>
    </row>
    <row r="18277" spans="1:6" x14ac:dyDescent="0.25">
      <c r="A18277"/>
      <c r="B18277"/>
      <c r="C18277"/>
      <c r="E18277"/>
      <c r="F18277"/>
    </row>
    <row r="18278" spans="1:6" x14ac:dyDescent="0.25">
      <c r="A18278"/>
      <c r="B18278"/>
      <c r="C18278"/>
      <c r="E18278"/>
      <c r="F18278"/>
    </row>
    <row r="18279" spans="1:6" x14ac:dyDescent="0.25">
      <c r="A18279"/>
      <c r="B18279"/>
      <c r="C18279"/>
      <c r="E18279"/>
      <c r="F18279"/>
    </row>
    <row r="18280" spans="1:6" x14ac:dyDescent="0.25">
      <c r="A18280"/>
      <c r="B18280"/>
      <c r="C18280"/>
      <c r="E18280"/>
      <c r="F18280"/>
    </row>
    <row r="18281" spans="1:6" x14ac:dyDescent="0.25">
      <c r="A18281"/>
      <c r="B18281"/>
      <c r="C18281"/>
      <c r="E18281"/>
      <c r="F18281"/>
    </row>
    <row r="18282" spans="1:6" x14ac:dyDescent="0.25">
      <c r="A18282"/>
      <c r="B18282"/>
      <c r="C18282"/>
      <c r="E18282"/>
      <c r="F18282"/>
    </row>
    <row r="18283" spans="1:6" x14ac:dyDescent="0.25">
      <c r="A18283"/>
      <c r="B18283"/>
      <c r="C18283"/>
      <c r="E18283"/>
      <c r="F18283"/>
    </row>
    <row r="18284" spans="1:6" x14ac:dyDescent="0.25">
      <c r="A18284"/>
      <c r="B18284"/>
      <c r="C18284"/>
      <c r="E18284"/>
      <c r="F18284"/>
    </row>
    <row r="18285" spans="1:6" x14ac:dyDescent="0.25">
      <c r="A18285"/>
      <c r="B18285"/>
      <c r="C18285"/>
      <c r="E18285"/>
      <c r="F18285"/>
    </row>
    <row r="18286" spans="1:6" x14ac:dyDescent="0.25">
      <c r="A18286"/>
      <c r="B18286"/>
      <c r="C18286"/>
      <c r="E18286"/>
      <c r="F18286"/>
    </row>
    <row r="18287" spans="1:6" x14ac:dyDescent="0.25">
      <c r="A18287"/>
      <c r="B18287"/>
      <c r="C18287"/>
      <c r="E18287"/>
      <c r="F18287"/>
    </row>
    <row r="18288" spans="1:6" x14ac:dyDescent="0.25">
      <c r="A18288"/>
      <c r="B18288"/>
      <c r="C18288"/>
      <c r="E18288"/>
      <c r="F18288"/>
    </row>
    <row r="18289" spans="1:6" x14ac:dyDescent="0.25">
      <c r="A18289"/>
      <c r="B18289"/>
      <c r="C18289"/>
      <c r="E18289"/>
      <c r="F18289"/>
    </row>
    <row r="18290" spans="1:6" x14ac:dyDescent="0.25">
      <c r="A18290"/>
      <c r="B18290"/>
      <c r="C18290"/>
      <c r="E18290"/>
      <c r="F18290"/>
    </row>
    <row r="18291" spans="1:6" x14ac:dyDescent="0.25">
      <c r="A18291"/>
      <c r="B18291"/>
      <c r="C18291"/>
      <c r="E18291"/>
      <c r="F18291"/>
    </row>
    <row r="18292" spans="1:6" x14ac:dyDescent="0.25">
      <c r="A18292"/>
      <c r="B18292"/>
      <c r="C18292"/>
      <c r="E18292"/>
      <c r="F18292"/>
    </row>
    <row r="18293" spans="1:6" x14ac:dyDescent="0.25">
      <c r="A18293"/>
      <c r="B18293"/>
      <c r="C18293"/>
      <c r="E18293"/>
      <c r="F18293"/>
    </row>
    <row r="18294" spans="1:6" x14ac:dyDescent="0.25">
      <c r="A18294"/>
      <c r="B18294"/>
      <c r="C18294"/>
      <c r="E18294"/>
      <c r="F18294"/>
    </row>
    <row r="18295" spans="1:6" x14ac:dyDescent="0.25">
      <c r="A18295"/>
      <c r="B18295"/>
      <c r="C18295"/>
      <c r="E18295"/>
      <c r="F18295"/>
    </row>
    <row r="18296" spans="1:6" x14ac:dyDescent="0.25">
      <c r="A18296"/>
      <c r="B18296"/>
      <c r="C18296"/>
      <c r="E18296"/>
      <c r="F18296"/>
    </row>
    <row r="18297" spans="1:6" x14ac:dyDescent="0.25">
      <c r="A18297"/>
      <c r="B18297"/>
      <c r="C18297"/>
      <c r="E18297"/>
      <c r="F18297"/>
    </row>
    <row r="18298" spans="1:6" x14ac:dyDescent="0.25">
      <c r="A18298"/>
      <c r="B18298"/>
      <c r="C18298"/>
      <c r="E18298"/>
      <c r="F18298"/>
    </row>
    <row r="18299" spans="1:6" x14ac:dyDescent="0.25">
      <c r="A18299"/>
      <c r="B18299"/>
      <c r="C18299"/>
      <c r="E18299"/>
      <c r="F18299"/>
    </row>
    <row r="18300" spans="1:6" x14ac:dyDescent="0.25">
      <c r="A18300"/>
      <c r="B18300"/>
      <c r="C18300"/>
      <c r="E18300"/>
      <c r="F18300"/>
    </row>
    <row r="18301" spans="1:6" x14ac:dyDescent="0.25">
      <c r="A18301"/>
      <c r="B18301"/>
      <c r="C18301"/>
      <c r="E18301"/>
      <c r="F18301"/>
    </row>
    <row r="18302" spans="1:6" x14ac:dyDescent="0.25">
      <c r="A18302"/>
      <c r="B18302"/>
      <c r="C18302"/>
      <c r="E18302"/>
      <c r="F18302"/>
    </row>
    <row r="18303" spans="1:6" x14ac:dyDescent="0.25">
      <c r="A18303"/>
      <c r="B18303"/>
      <c r="C18303"/>
      <c r="E18303"/>
      <c r="F18303"/>
    </row>
    <row r="18304" spans="1:6" x14ac:dyDescent="0.25">
      <c r="A18304"/>
      <c r="B18304"/>
      <c r="C18304"/>
      <c r="E18304"/>
      <c r="F18304"/>
    </row>
    <row r="18305" spans="1:6" x14ac:dyDescent="0.25">
      <c r="A18305"/>
      <c r="B18305"/>
      <c r="C18305"/>
      <c r="E18305"/>
      <c r="F18305"/>
    </row>
    <row r="18306" spans="1:6" x14ac:dyDescent="0.25">
      <c r="A18306"/>
      <c r="B18306"/>
      <c r="C18306"/>
      <c r="E18306"/>
      <c r="F18306"/>
    </row>
    <row r="18307" spans="1:6" x14ac:dyDescent="0.25">
      <c r="A18307"/>
      <c r="B18307"/>
      <c r="C18307"/>
      <c r="E18307"/>
      <c r="F18307"/>
    </row>
    <row r="18308" spans="1:6" x14ac:dyDescent="0.25">
      <c r="A18308"/>
      <c r="B18308"/>
      <c r="C18308"/>
      <c r="E18308"/>
      <c r="F18308"/>
    </row>
    <row r="18309" spans="1:6" x14ac:dyDescent="0.25">
      <c r="A18309"/>
      <c r="B18309"/>
      <c r="C18309"/>
      <c r="E18309"/>
      <c r="F18309"/>
    </row>
    <row r="18310" spans="1:6" x14ac:dyDescent="0.25">
      <c r="A18310"/>
      <c r="B18310"/>
      <c r="C18310"/>
      <c r="E18310"/>
      <c r="F18310"/>
    </row>
    <row r="18311" spans="1:6" x14ac:dyDescent="0.25">
      <c r="A18311"/>
      <c r="B18311"/>
      <c r="C18311"/>
      <c r="E18311"/>
      <c r="F18311"/>
    </row>
    <row r="18312" spans="1:6" x14ac:dyDescent="0.25">
      <c r="A18312"/>
      <c r="B18312"/>
      <c r="C18312"/>
      <c r="E18312"/>
      <c r="F18312"/>
    </row>
    <row r="18313" spans="1:6" x14ac:dyDescent="0.25">
      <c r="A18313"/>
      <c r="B18313"/>
      <c r="C18313"/>
      <c r="E18313"/>
      <c r="F18313"/>
    </row>
    <row r="18314" spans="1:6" x14ac:dyDescent="0.25">
      <c r="A18314"/>
      <c r="B18314"/>
      <c r="C18314"/>
      <c r="E18314"/>
      <c r="F18314"/>
    </row>
    <row r="18315" spans="1:6" x14ac:dyDescent="0.25">
      <c r="A18315"/>
      <c r="B18315"/>
      <c r="C18315"/>
      <c r="E18315"/>
      <c r="F18315"/>
    </row>
    <row r="18316" spans="1:6" x14ac:dyDescent="0.25">
      <c r="A18316"/>
      <c r="B18316"/>
      <c r="C18316"/>
      <c r="E18316"/>
      <c r="F18316"/>
    </row>
    <row r="18317" spans="1:6" x14ac:dyDescent="0.25">
      <c r="A18317"/>
      <c r="B18317"/>
      <c r="C18317"/>
      <c r="E18317"/>
      <c r="F18317"/>
    </row>
    <row r="18318" spans="1:6" x14ac:dyDescent="0.25">
      <c r="A18318"/>
      <c r="B18318"/>
      <c r="C18318"/>
      <c r="E18318"/>
      <c r="F18318"/>
    </row>
    <row r="18319" spans="1:6" x14ac:dyDescent="0.25">
      <c r="A18319"/>
      <c r="B18319"/>
      <c r="C18319"/>
      <c r="E18319"/>
      <c r="F18319"/>
    </row>
    <row r="18320" spans="1:6" x14ac:dyDescent="0.25">
      <c r="A18320"/>
      <c r="B18320"/>
      <c r="C18320"/>
      <c r="E18320"/>
      <c r="F18320"/>
    </row>
    <row r="18321" spans="1:6" x14ac:dyDescent="0.25">
      <c r="A18321"/>
      <c r="B18321"/>
      <c r="C18321"/>
      <c r="E18321"/>
      <c r="F18321"/>
    </row>
    <row r="18322" spans="1:6" x14ac:dyDescent="0.25">
      <c r="A18322"/>
      <c r="B18322"/>
      <c r="C18322"/>
      <c r="E18322"/>
      <c r="F18322"/>
    </row>
    <row r="18323" spans="1:6" x14ac:dyDescent="0.25">
      <c r="A18323"/>
      <c r="B18323"/>
      <c r="C18323"/>
      <c r="E18323"/>
      <c r="F18323"/>
    </row>
    <row r="18324" spans="1:6" x14ac:dyDescent="0.25">
      <c r="A18324"/>
      <c r="B18324"/>
      <c r="C18324"/>
      <c r="E18324"/>
      <c r="F18324"/>
    </row>
    <row r="18325" spans="1:6" x14ac:dyDescent="0.25">
      <c r="A18325"/>
      <c r="B18325"/>
      <c r="C18325"/>
      <c r="E18325"/>
      <c r="F18325"/>
    </row>
    <row r="18326" spans="1:6" x14ac:dyDescent="0.25">
      <c r="A18326"/>
      <c r="B18326"/>
      <c r="C18326"/>
      <c r="E18326"/>
      <c r="F18326"/>
    </row>
    <row r="18327" spans="1:6" x14ac:dyDescent="0.25">
      <c r="A18327"/>
      <c r="B18327"/>
      <c r="C18327"/>
      <c r="E18327"/>
      <c r="F18327"/>
    </row>
    <row r="18328" spans="1:6" x14ac:dyDescent="0.25">
      <c r="A18328"/>
      <c r="B18328"/>
      <c r="C18328"/>
      <c r="E18328"/>
      <c r="F18328"/>
    </row>
    <row r="18329" spans="1:6" x14ac:dyDescent="0.25">
      <c r="A18329"/>
      <c r="B18329"/>
      <c r="C18329"/>
      <c r="E18329"/>
      <c r="F18329"/>
    </row>
    <row r="18330" spans="1:6" x14ac:dyDescent="0.25">
      <c r="A18330"/>
      <c r="B18330"/>
      <c r="C18330"/>
      <c r="E18330"/>
      <c r="F18330"/>
    </row>
    <row r="18331" spans="1:6" x14ac:dyDescent="0.25">
      <c r="A18331"/>
      <c r="B18331"/>
      <c r="C18331"/>
      <c r="E18331"/>
      <c r="F18331"/>
    </row>
    <row r="18332" spans="1:6" x14ac:dyDescent="0.25">
      <c r="A18332"/>
      <c r="B18332"/>
      <c r="C18332"/>
      <c r="E18332"/>
      <c r="F18332"/>
    </row>
    <row r="18333" spans="1:6" x14ac:dyDescent="0.25">
      <c r="A18333"/>
      <c r="B18333"/>
      <c r="C18333"/>
      <c r="E18333"/>
      <c r="F18333"/>
    </row>
    <row r="18334" spans="1:6" x14ac:dyDescent="0.25">
      <c r="A18334"/>
      <c r="B18334"/>
      <c r="C18334"/>
      <c r="E18334"/>
      <c r="F18334"/>
    </row>
    <row r="18335" spans="1:6" x14ac:dyDescent="0.25">
      <c r="A18335"/>
      <c r="B18335"/>
      <c r="C18335"/>
      <c r="E18335"/>
      <c r="F18335"/>
    </row>
    <row r="18336" spans="1:6" x14ac:dyDescent="0.25">
      <c r="A18336"/>
      <c r="B18336"/>
      <c r="C18336"/>
      <c r="E18336"/>
      <c r="F18336"/>
    </row>
    <row r="18337" spans="1:6" x14ac:dyDescent="0.25">
      <c r="A18337"/>
      <c r="B18337"/>
      <c r="C18337"/>
      <c r="E18337"/>
      <c r="F18337"/>
    </row>
    <row r="18338" spans="1:6" x14ac:dyDescent="0.25">
      <c r="A18338"/>
      <c r="B18338"/>
      <c r="C18338"/>
      <c r="E18338"/>
      <c r="F18338"/>
    </row>
    <row r="18339" spans="1:6" x14ac:dyDescent="0.25">
      <c r="A18339"/>
      <c r="B18339"/>
      <c r="C18339"/>
      <c r="E18339"/>
      <c r="F18339"/>
    </row>
    <row r="18340" spans="1:6" x14ac:dyDescent="0.25">
      <c r="A18340"/>
      <c r="B18340"/>
      <c r="C18340"/>
      <c r="E18340"/>
      <c r="F18340"/>
    </row>
    <row r="18341" spans="1:6" x14ac:dyDescent="0.25">
      <c r="A18341"/>
      <c r="B18341"/>
      <c r="C18341"/>
      <c r="E18341"/>
      <c r="F18341"/>
    </row>
    <row r="18342" spans="1:6" x14ac:dyDescent="0.25">
      <c r="A18342"/>
      <c r="B18342"/>
      <c r="C18342"/>
      <c r="E18342"/>
      <c r="F18342"/>
    </row>
    <row r="18343" spans="1:6" x14ac:dyDescent="0.25">
      <c r="A18343"/>
      <c r="B18343"/>
      <c r="C18343"/>
      <c r="E18343"/>
      <c r="F18343"/>
    </row>
    <row r="18344" spans="1:6" x14ac:dyDescent="0.25">
      <c r="A18344"/>
      <c r="B18344"/>
      <c r="C18344"/>
      <c r="E18344"/>
      <c r="F18344"/>
    </row>
    <row r="18345" spans="1:6" x14ac:dyDescent="0.25">
      <c r="A18345"/>
      <c r="B18345"/>
      <c r="C18345"/>
      <c r="E18345"/>
      <c r="F18345"/>
    </row>
    <row r="18346" spans="1:6" x14ac:dyDescent="0.25">
      <c r="A18346"/>
      <c r="B18346"/>
      <c r="C18346"/>
      <c r="E18346"/>
      <c r="F18346"/>
    </row>
    <row r="18347" spans="1:6" x14ac:dyDescent="0.25">
      <c r="A18347"/>
      <c r="B18347"/>
      <c r="C18347"/>
      <c r="E18347"/>
      <c r="F18347"/>
    </row>
    <row r="18348" spans="1:6" x14ac:dyDescent="0.25">
      <c r="A18348"/>
      <c r="B18348"/>
      <c r="C18348"/>
      <c r="E18348"/>
      <c r="F18348"/>
    </row>
    <row r="18349" spans="1:6" x14ac:dyDescent="0.25">
      <c r="A18349"/>
      <c r="B18349"/>
      <c r="C18349"/>
      <c r="E18349"/>
      <c r="F18349"/>
    </row>
    <row r="18350" spans="1:6" x14ac:dyDescent="0.25">
      <c r="A18350"/>
      <c r="B18350"/>
      <c r="C18350"/>
      <c r="E18350"/>
      <c r="F18350"/>
    </row>
    <row r="18351" spans="1:6" x14ac:dyDescent="0.25">
      <c r="A18351"/>
      <c r="B18351"/>
      <c r="C18351"/>
      <c r="E18351"/>
      <c r="F18351"/>
    </row>
    <row r="18352" spans="1:6" x14ac:dyDescent="0.25">
      <c r="A18352"/>
      <c r="B18352"/>
      <c r="C18352"/>
      <c r="E18352"/>
      <c r="F18352"/>
    </row>
    <row r="18353" spans="1:6" x14ac:dyDescent="0.25">
      <c r="A18353"/>
      <c r="B18353"/>
      <c r="C18353"/>
      <c r="E18353"/>
      <c r="F18353"/>
    </row>
    <row r="18354" spans="1:6" x14ac:dyDescent="0.25">
      <c r="A18354"/>
      <c r="B18354"/>
      <c r="C18354"/>
      <c r="E18354"/>
      <c r="F18354"/>
    </row>
    <row r="18355" spans="1:6" x14ac:dyDescent="0.25">
      <c r="A18355"/>
      <c r="B18355"/>
      <c r="C18355"/>
      <c r="E18355"/>
      <c r="F18355"/>
    </row>
    <row r="18356" spans="1:6" x14ac:dyDescent="0.25">
      <c r="A18356"/>
      <c r="B18356"/>
      <c r="C18356"/>
      <c r="E18356"/>
      <c r="F18356"/>
    </row>
    <row r="18357" spans="1:6" x14ac:dyDescent="0.25">
      <c r="A18357"/>
      <c r="B18357"/>
      <c r="C18357"/>
      <c r="E18357"/>
      <c r="F18357"/>
    </row>
    <row r="18358" spans="1:6" x14ac:dyDescent="0.25">
      <c r="A18358"/>
      <c r="B18358"/>
      <c r="C18358"/>
      <c r="E18358"/>
      <c r="F18358"/>
    </row>
    <row r="18359" spans="1:6" x14ac:dyDescent="0.25">
      <c r="A18359"/>
      <c r="B18359"/>
      <c r="C18359"/>
      <c r="E18359"/>
      <c r="F18359"/>
    </row>
    <row r="18360" spans="1:6" x14ac:dyDescent="0.25">
      <c r="A18360"/>
      <c r="B18360"/>
      <c r="C18360"/>
      <c r="E18360"/>
      <c r="F18360"/>
    </row>
    <row r="18361" spans="1:6" x14ac:dyDescent="0.25">
      <c r="A18361"/>
      <c r="B18361"/>
      <c r="C18361"/>
      <c r="E18361"/>
      <c r="F18361"/>
    </row>
    <row r="18362" spans="1:6" x14ac:dyDescent="0.25">
      <c r="A18362"/>
      <c r="B18362"/>
      <c r="C18362"/>
      <c r="E18362"/>
      <c r="F18362"/>
    </row>
    <row r="18363" spans="1:6" x14ac:dyDescent="0.25">
      <c r="A18363"/>
      <c r="B18363"/>
      <c r="C18363"/>
      <c r="E18363"/>
      <c r="F18363"/>
    </row>
    <row r="18364" spans="1:6" x14ac:dyDescent="0.25">
      <c r="A18364"/>
      <c r="B18364"/>
      <c r="C18364"/>
      <c r="E18364"/>
      <c r="F18364"/>
    </row>
    <row r="18365" spans="1:6" x14ac:dyDescent="0.25">
      <c r="A18365"/>
      <c r="B18365"/>
      <c r="C18365"/>
      <c r="E18365"/>
      <c r="F18365"/>
    </row>
    <row r="18366" spans="1:6" x14ac:dyDescent="0.25">
      <c r="A18366"/>
      <c r="B18366"/>
      <c r="C18366"/>
      <c r="E18366"/>
      <c r="F18366"/>
    </row>
    <row r="18367" spans="1:6" x14ac:dyDescent="0.25">
      <c r="A18367"/>
      <c r="B18367"/>
      <c r="C18367"/>
      <c r="E18367"/>
      <c r="F18367"/>
    </row>
    <row r="18368" spans="1:6" x14ac:dyDescent="0.25">
      <c r="A18368"/>
      <c r="B18368"/>
      <c r="C18368"/>
      <c r="E18368"/>
      <c r="F18368"/>
    </row>
    <row r="18369" spans="1:6" x14ac:dyDescent="0.25">
      <c r="A18369"/>
      <c r="B18369"/>
      <c r="C18369"/>
      <c r="E18369"/>
      <c r="F18369"/>
    </row>
    <row r="18370" spans="1:6" x14ac:dyDescent="0.25">
      <c r="A18370"/>
      <c r="B18370"/>
      <c r="C18370"/>
      <c r="E18370"/>
      <c r="F18370"/>
    </row>
    <row r="18371" spans="1:6" x14ac:dyDescent="0.25">
      <c r="A18371"/>
      <c r="B18371"/>
      <c r="C18371"/>
      <c r="E18371"/>
      <c r="F18371"/>
    </row>
    <row r="18372" spans="1:6" x14ac:dyDescent="0.25">
      <c r="A18372"/>
      <c r="B18372"/>
      <c r="C18372"/>
      <c r="E18372"/>
      <c r="F18372"/>
    </row>
    <row r="18373" spans="1:6" x14ac:dyDescent="0.25">
      <c r="A18373"/>
      <c r="B18373"/>
      <c r="C18373"/>
      <c r="E18373"/>
      <c r="F18373"/>
    </row>
    <row r="18374" spans="1:6" x14ac:dyDescent="0.25">
      <c r="A18374"/>
      <c r="B18374"/>
      <c r="C18374"/>
      <c r="E18374"/>
      <c r="F18374"/>
    </row>
    <row r="18375" spans="1:6" x14ac:dyDescent="0.25">
      <c r="A18375"/>
      <c r="B18375"/>
      <c r="C18375"/>
      <c r="E18375"/>
      <c r="F18375"/>
    </row>
    <row r="18376" spans="1:6" x14ac:dyDescent="0.25">
      <c r="A18376"/>
      <c r="B18376"/>
      <c r="C18376"/>
      <c r="E18376"/>
      <c r="F18376"/>
    </row>
    <row r="18377" spans="1:6" x14ac:dyDescent="0.25">
      <c r="A18377"/>
      <c r="B18377"/>
      <c r="C18377"/>
      <c r="E18377"/>
      <c r="F18377"/>
    </row>
    <row r="18378" spans="1:6" x14ac:dyDescent="0.25">
      <c r="A18378"/>
      <c r="B18378"/>
      <c r="C18378"/>
      <c r="E18378"/>
      <c r="F18378"/>
    </row>
    <row r="18379" spans="1:6" x14ac:dyDescent="0.25">
      <c r="A18379"/>
      <c r="B18379"/>
      <c r="C18379"/>
      <c r="E18379"/>
      <c r="F18379"/>
    </row>
    <row r="18380" spans="1:6" x14ac:dyDescent="0.25">
      <c r="A18380"/>
      <c r="B18380"/>
      <c r="C18380"/>
      <c r="E18380"/>
      <c r="F18380"/>
    </row>
    <row r="18381" spans="1:6" x14ac:dyDescent="0.25">
      <c r="A18381"/>
      <c r="B18381"/>
      <c r="C18381"/>
      <c r="E18381"/>
      <c r="F18381"/>
    </row>
    <row r="18382" spans="1:6" x14ac:dyDescent="0.25">
      <c r="A18382"/>
      <c r="B18382"/>
      <c r="C18382"/>
      <c r="E18382"/>
      <c r="F18382"/>
    </row>
    <row r="18383" spans="1:6" x14ac:dyDescent="0.25">
      <c r="A18383"/>
      <c r="B18383"/>
      <c r="C18383"/>
      <c r="E18383"/>
      <c r="F18383"/>
    </row>
    <row r="18384" spans="1:6" x14ac:dyDescent="0.25">
      <c r="A18384"/>
      <c r="B18384"/>
      <c r="C18384"/>
      <c r="E18384"/>
      <c r="F18384"/>
    </row>
    <row r="18385" spans="1:6" x14ac:dyDescent="0.25">
      <c r="A18385"/>
      <c r="B18385"/>
      <c r="C18385"/>
      <c r="E18385"/>
      <c r="F18385"/>
    </row>
    <row r="18386" spans="1:6" x14ac:dyDescent="0.25">
      <c r="A18386"/>
      <c r="B18386"/>
      <c r="C18386"/>
      <c r="E18386"/>
      <c r="F18386"/>
    </row>
    <row r="18387" spans="1:6" x14ac:dyDescent="0.25">
      <c r="A18387"/>
      <c r="B18387"/>
      <c r="C18387"/>
      <c r="E18387"/>
      <c r="F18387"/>
    </row>
    <row r="18388" spans="1:6" x14ac:dyDescent="0.25">
      <c r="A18388"/>
      <c r="B18388"/>
      <c r="C18388"/>
      <c r="E18388"/>
      <c r="F18388"/>
    </row>
    <row r="18389" spans="1:6" x14ac:dyDescent="0.25">
      <c r="A18389"/>
      <c r="B18389"/>
      <c r="C18389"/>
      <c r="E18389"/>
      <c r="F18389"/>
    </row>
    <row r="18390" spans="1:6" x14ac:dyDescent="0.25">
      <c r="A18390"/>
      <c r="B18390"/>
      <c r="C18390"/>
      <c r="E18390"/>
      <c r="F18390"/>
    </row>
    <row r="18391" spans="1:6" x14ac:dyDescent="0.25">
      <c r="A18391"/>
      <c r="B18391"/>
      <c r="C18391"/>
      <c r="E18391"/>
      <c r="F18391"/>
    </row>
    <row r="18392" spans="1:6" x14ac:dyDescent="0.25">
      <c r="A18392"/>
      <c r="B18392"/>
      <c r="C18392"/>
      <c r="E18392"/>
      <c r="F18392"/>
    </row>
    <row r="18393" spans="1:6" x14ac:dyDescent="0.25">
      <c r="A18393"/>
      <c r="B18393"/>
      <c r="C18393"/>
      <c r="E18393"/>
      <c r="F18393"/>
    </row>
    <row r="18394" spans="1:6" x14ac:dyDescent="0.25">
      <c r="A18394"/>
      <c r="B18394"/>
      <c r="C18394"/>
      <c r="E18394"/>
      <c r="F18394"/>
    </row>
    <row r="18395" spans="1:6" x14ac:dyDescent="0.25">
      <c r="A18395"/>
      <c r="B18395"/>
      <c r="C18395"/>
      <c r="E18395"/>
      <c r="F18395"/>
    </row>
    <row r="18396" spans="1:6" x14ac:dyDescent="0.25">
      <c r="A18396"/>
      <c r="B18396"/>
      <c r="C18396"/>
      <c r="E18396"/>
      <c r="F18396"/>
    </row>
    <row r="18397" spans="1:6" x14ac:dyDescent="0.25">
      <c r="A18397"/>
      <c r="B18397"/>
      <c r="C18397"/>
      <c r="E18397"/>
      <c r="F18397"/>
    </row>
    <row r="18398" spans="1:6" x14ac:dyDescent="0.25">
      <c r="A18398"/>
      <c r="B18398"/>
      <c r="C18398"/>
      <c r="E18398"/>
      <c r="F18398"/>
    </row>
    <row r="18399" spans="1:6" x14ac:dyDescent="0.25">
      <c r="A18399"/>
      <c r="B18399"/>
      <c r="C18399"/>
      <c r="E18399"/>
      <c r="F18399"/>
    </row>
    <row r="18400" spans="1:6" x14ac:dyDescent="0.25">
      <c r="A18400"/>
      <c r="B18400"/>
      <c r="C18400"/>
      <c r="E18400"/>
      <c r="F18400"/>
    </row>
    <row r="18401" spans="1:6" x14ac:dyDescent="0.25">
      <c r="A18401"/>
      <c r="B18401"/>
      <c r="C18401"/>
      <c r="E18401"/>
      <c r="F18401"/>
    </row>
    <row r="18402" spans="1:6" x14ac:dyDescent="0.25">
      <c r="A18402"/>
      <c r="B18402"/>
      <c r="C18402"/>
      <c r="E18402"/>
      <c r="F18402"/>
    </row>
    <row r="18403" spans="1:6" x14ac:dyDescent="0.25">
      <c r="A18403"/>
      <c r="B18403"/>
      <c r="C18403"/>
      <c r="E18403"/>
      <c r="F18403"/>
    </row>
    <row r="18404" spans="1:6" x14ac:dyDescent="0.25">
      <c r="A18404"/>
      <c r="B18404"/>
      <c r="C18404"/>
      <c r="E18404"/>
      <c r="F18404"/>
    </row>
    <row r="18405" spans="1:6" x14ac:dyDescent="0.25">
      <c r="A18405"/>
      <c r="B18405"/>
      <c r="C18405"/>
      <c r="E18405"/>
      <c r="F18405"/>
    </row>
    <row r="18406" spans="1:6" x14ac:dyDescent="0.25">
      <c r="A18406"/>
      <c r="B18406"/>
      <c r="C18406"/>
      <c r="E18406"/>
      <c r="F18406"/>
    </row>
    <row r="18407" spans="1:6" x14ac:dyDescent="0.25">
      <c r="A18407"/>
      <c r="B18407"/>
      <c r="C18407"/>
      <c r="E18407"/>
      <c r="F18407"/>
    </row>
    <row r="18408" spans="1:6" x14ac:dyDescent="0.25">
      <c r="A18408"/>
      <c r="B18408"/>
      <c r="C18408"/>
      <c r="E18408"/>
      <c r="F18408"/>
    </row>
    <row r="18409" spans="1:6" x14ac:dyDescent="0.25">
      <c r="A18409"/>
      <c r="B18409"/>
      <c r="C18409"/>
      <c r="E18409"/>
      <c r="F18409"/>
    </row>
    <row r="18410" spans="1:6" x14ac:dyDescent="0.25">
      <c r="A18410"/>
      <c r="B18410"/>
      <c r="C18410"/>
      <c r="E18410"/>
      <c r="F18410"/>
    </row>
    <row r="18411" spans="1:6" x14ac:dyDescent="0.25">
      <c r="A18411"/>
      <c r="B18411"/>
      <c r="C18411"/>
      <c r="E18411"/>
      <c r="F18411"/>
    </row>
    <row r="18412" spans="1:6" x14ac:dyDescent="0.25">
      <c r="A18412"/>
      <c r="B18412"/>
      <c r="C18412"/>
      <c r="E18412"/>
      <c r="F18412"/>
    </row>
    <row r="18413" spans="1:6" x14ac:dyDescent="0.25">
      <c r="A18413"/>
      <c r="B18413"/>
      <c r="C18413"/>
      <c r="E18413"/>
      <c r="F18413"/>
    </row>
    <row r="18414" spans="1:6" x14ac:dyDescent="0.25">
      <c r="A18414"/>
      <c r="B18414"/>
      <c r="C18414"/>
      <c r="E18414"/>
      <c r="F18414"/>
    </row>
    <row r="18415" spans="1:6" x14ac:dyDescent="0.25">
      <c r="A18415"/>
      <c r="B18415"/>
      <c r="C18415"/>
      <c r="E18415"/>
      <c r="F18415"/>
    </row>
    <row r="18416" spans="1:6" x14ac:dyDescent="0.25">
      <c r="A18416"/>
      <c r="B18416"/>
      <c r="C18416"/>
      <c r="E18416"/>
      <c r="F18416"/>
    </row>
    <row r="18417" spans="1:6" x14ac:dyDescent="0.25">
      <c r="A18417"/>
      <c r="B18417"/>
      <c r="C18417"/>
      <c r="E18417"/>
      <c r="F18417"/>
    </row>
    <row r="18418" spans="1:6" x14ac:dyDescent="0.25">
      <c r="A18418"/>
      <c r="B18418"/>
      <c r="C18418"/>
      <c r="E18418"/>
      <c r="F18418"/>
    </row>
    <row r="18419" spans="1:6" x14ac:dyDescent="0.25">
      <c r="A18419"/>
      <c r="B18419"/>
      <c r="C18419"/>
      <c r="E18419"/>
      <c r="F18419"/>
    </row>
    <row r="18420" spans="1:6" x14ac:dyDescent="0.25">
      <c r="A18420"/>
      <c r="B18420"/>
      <c r="C18420"/>
      <c r="E18420"/>
      <c r="F18420"/>
    </row>
    <row r="18421" spans="1:6" x14ac:dyDescent="0.25">
      <c r="A18421"/>
      <c r="B18421"/>
      <c r="C18421"/>
      <c r="E18421"/>
      <c r="F18421"/>
    </row>
    <row r="18422" spans="1:6" x14ac:dyDescent="0.25">
      <c r="A18422"/>
      <c r="B18422"/>
      <c r="C18422"/>
      <c r="E18422"/>
      <c r="F18422"/>
    </row>
    <row r="18423" spans="1:6" x14ac:dyDescent="0.25">
      <c r="A18423"/>
      <c r="B18423"/>
      <c r="C18423"/>
      <c r="E18423"/>
      <c r="F18423"/>
    </row>
    <row r="18424" spans="1:6" x14ac:dyDescent="0.25">
      <c r="A18424"/>
      <c r="B18424"/>
      <c r="C18424"/>
      <c r="E18424"/>
      <c r="F18424"/>
    </row>
    <row r="18425" spans="1:6" x14ac:dyDescent="0.25">
      <c r="A18425"/>
      <c r="B18425"/>
      <c r="C18425"/>
      <c r="E18425"/>
      <c r="F18425"/>
    </row>
    <row r="18426" spans="1:6" x14ac:dyDescent="0.25">
      <c r="A18426"/>
      <c r="B18426"/>
      <c r="C18426"/>
      <c r="E18426"/>
      <c r="F18426"/>
    </row>
    <row r="18427" spans="1:6" x14ac:dyDescent="0.25">
      <c r="A18427"/>
      <c r="B18427"/>
      <c r="C18427"/>
      <c r="E18427"/>
      <c r="F18427"/>
    </row>
    <row r="18428" spans="1:6" x14ac:dyDescent="0.25">
      <c r="A18428"/>
      <c r="B18428"/>
      <c r="C18428"/>
      <c r="E18428"/>
      <c r="F18428"/>
    </row>
    <row r="18429" spans="1:6" x14ac:dyDescent="0.25">
      <c r="A18429"/>
      <c r="B18429"/>
      <c r="C18429"/>
      <c r="E18429"/>
      <c r="F18429"/>
    </row>
    <row r="18430" spans="1:6" x14ac:dyDescent="0.25">
      <c r="A18430"/>
      <c r="B18430"/>
      <c r="C18430"/>
      <c r="E18430"/>
      <c r="F18430"/>
    </row>
    <row r="18431" spans="1:6" x14ac:dyDescent="0.25">
      <c r="A18431"/>
      <c r="B18431"/>
      <c r="C18431"/>
      <c r="E18431"/>
      <c r="F18431"/>
    </row>
    <row r="18432" spans="1:6" x14ac:dyDescent="0.25">
      <c r="A18432"/>
      <c r="B18432"/>
      <c r="C18432"/>
      <c r="E18432"/>
      <c r="F18432"/>
    </row>
    <row r="18433" spans="1:6" x14ac:dyDescent="0.25">
      <c r="A18433"/>
      <c r="B18433"/>
      <c r="C18433"/>
      <c r="E18433"/>
      <c r="F18433"/>
    </row>
    <row r="18434" spans="1:6" x14ac:dyDescent="0.25">
      <c r="A18434"/>
      <c r="B18434"/>
      <c r="C18434"/>
      <c r="E18434"/>
      <c r="F18434"/>
    </row>
    <row r="18435" spans="1:6" x14ac:dyDescent="0.25">
      <c r="A18435"/>
      <c r="B18435"/>
      <c r="C18435"/>
      <c r="E18435"/>
      <c r="F18435"/>
    </row>
    <row r="18436" spans="1:6" x14ac:dyDescent="0.25">
      <c r="A18436"/>
      <c r="B18436"/>
      <c r="C18436"/>
      <c r="E18436"/>
      <c r="F18436"/>
    </row>
    <row r="18437" spans="1:6" x14ac:dyDescent="0.25">
      <c r="A18437"/>
      <c r="B18437"/>
      <c r="C18437"/>
      <c r="E18437"/>
      <c r="F18437"/>
    </row>
    <row r="18438" spans="1:6" x14ac:dyDescent="0.25">
      <c r="A18438"/>
      <c r="B18438"/>
      <c r="C18438"/>
      <c r="E18438"/>
      <c r="F18438"/>
    </row>
    <row r="18439" spans="1:6" x14ac:dyDescent="0.25">
      <c r="A18439"/>
      <c r="B18439"/>
      <c r="C18439"/>
      <c r="E18439"/>
      <c r="F18439"/>
    </row>
    <row r="18440" spans="1:6" x14ac:dyDescent="0.25">
      <c r="A18440"/>
      <c r="B18440"/>
      <c r="C18440"/>
      <c r="E18440"/>
      <c r="F18440"/>
    </row>
    <row r="18441" spans="1:6" x14ac:dyDescent="0.25">
      <c r="A18441"/>
      <c r="B18441"/>
      <c r="C18441"/>
      <c r="E18441"/>
      <c r="F18441"/>
    </row>
    <row r="18442" spans="1:6" x14ac:dyDescent="0.25">
      <c r="A18442"/>
      <c r="B18442"/>
      <c r="C18442"/>
      <c r="E18442"/>
      <c r="F18442"/>
    </row>
    <row r="18443" spans="1:6" x14ac:dyDescent="0.25">
      <c r="A18443"/>
      <c r="B18443"/>
      <c r="C18443"/>
      <c r="E18443"/>
      <c r="F18443"/>
    </row>
    <row r="18444" spans="1:6" x14ac:dyDescent="0.25">
      <c r="A18444"/>
      <c r="B18444"/>
      <c r="C18444"/>
      <c r="E18444"/>
      <c r="F18444"/>
    </row>
    <row r="18445" spans="1:6" x14ac:dyDescent="0.25">
      <c r="A18445"/>
      <c r="B18445"/>
      <c r="C18445"/>
      <c r="E18445"/>
      <c r="F18445"/>
    </row>
    <row r="18446" spans="1:6" x14ac:dyDescent="0.25">
      <c r="A18446"/>
      <c r="B18446"/>
      <c r="C18446"/>
      <c r="E18446"/>
      <c r="F18446"/>
    </row>
    <row r="18447" spans="1:6" x14ac:dyDescent="0.25">
      <c r="A18447"/>
      <c r="B18447"/>
      <c r="C18447"/>
      <c r="E18447"/>
      <c r="F18447"/>
    </row>
    <row r="18448" spans="1:6" x14ac:dyDescent="0.25">
      <c r="A18448"/>
      <c r="B18448"/>
      <c r="C18448"/>
      <c r="E18448"/>
      <c r="F18448"/>
    </row>
    <row r="18449" spans="1:6" x14ac:dyDescent="0.25">
      <c r="A18449"/>
      <c r="B18449"/>
      <c r="C18449"/>
      <c r="E18449"/>
      <c r="F18449"/>
    </row>
    <row r="18450" spans="1:6" x14ac:dyDescent="0.25">
      <c r="A18450"/>
      <c r="B18450"/>
      <c r="C18450"/>
      <c r="E18450"/>
      <c r="F18450"/>
    </row>
    <row r="18451" spans="1:6" x14ac:dyDescent="0.25">
      <c r="A18451"/>
      <c r="B18451"/>
      <c r="C18451"/>
      <c r="E18451"/>
      <c r="F18451"/>
    </row>
    <row r="18452" spans="1:6" x14ac:dyDescent="0.25">
      <c r="A18452"/>
      <c r="B18452"/>
      <c r="C18452"/>
      <c r="E18452"/>
      <c r="F18452"/>
    </row>
    <row r="18453" spans="1:6" x14ac:dyDescent="0.25">
      <c r="A18453"/>
      <c r="B18453"/>
      <c r="C18453"/>
      <c r="E18453"/>
      <c r="F18453"/>
    </row>
    <row r="18454" spans="1:6" x14ac:dyDescent="0.25">
      <c r="A18454"/>
      <c r="B18454"/>
      <c r="C18454"/>
      <c r="E18454"/>
      <c r="F18454"/>
    </row>
    <row r="18455" spans="1:6" x14ac:dyDescent="0.25">
      <c r="A18455"/>
      <c r="B18455"/>
      <c r="C18455"/>
      <c r="E18455"/>
      <c r="F18455"/>
    </row>
    <row r="18456" spans="1:6" x14ac:dyDescent="0.25">
      <c r="A18456"/>
      <c r="B18456"/>
      <c r="C18456"/>
      <c r="E18456"/>
      <c r="F18456"/>
    </row>
    <row r="18457" spans="1:6" x14ac:dyDescent="0.25">
      <c r="A18457"/>
      <c r="B18457"/>
      <c r="C18457"/>
      <c r="E18457"/>
      <c r="F18457"/>
    </row>
    <row r="18458" spans="1:6" x14ac:dyDescent="0.25">
      <c r="A18458"/>
      <c r="B18458"/>
      <c r="C18458"/>
      <c r="E18458"/>
      <c r="F18458"/>
    </row>
    <row r="18459" spans="1:6" x14ac:dyDescent="0.25">
      <c r="A18459"/>
      <c r="B18459"/>
      <c r="C18459"/>
      <c r="E18459"/>
      <c r="F18459"/>
    </row>
    <row r="18460" spans="1:6" x14ac:dyDescent="0.25">
      <c r="A18460"/>
      <c r="B18460"/>
      <c r="C18460"/>
      <c r="E18460"/>
      <c r="F18460"/>
    </row>
    <row r="18461" spans="1:6" x14ac:dyDescent="0.25">
      <c r="A18461"/>
      <c r="B18461"/>
      <c r="C18461"/>
      <c r="E18461"/>
      <c r="F18461"/>
    </row>
    <row r="18462" spans="1:6" x14ac:dyDescent="0.25">
      <c r="A18462"/>
      <c r="B18462"/>
      <c r="C18462"/>
      <c r="E18462"/>
      <c r="F18462"/>
    </row>
    <row r="18463" spans="1:6" x14ac:dyDescent="0.25">
      <c r="A18463"/>
      <c r="B18463"/>
      <c r="C18463"/>
      <c r="E18463"/>
      <c r="F18463"/>
    </row>
    <row r="18464" spans="1:6" x14ac:dyDescent="0.25">
      <c r="A18464"/>
      <c r="B18464"/>
      <c r="C18464"/>
      <c r="E18464"/>
      <c r="F18464"/>
    </row>
    <row r="18465" spans="1:6" x14ac:dyDescent="0.25">
      <c r="A18465"/>
      <c r="B18465"/>
      <c r="C18465"/>
      <c r="E18465"/>
      <c r="F18465"/>
    </row>
    <row r="18466" spans="1:6" x14ac:dyDescent="0.25">
      <c r="A18466"/>
      <c r="B18466"/>
      <c r="C18466"/>
      <c r="E18466"/>
      <c r="F18466"/>
    </row>
    <row r="18467" spans="1:6" x14ac:dyDescent="0.25">
      <c r="A18467"/>
      <c r="B18467"/>
      <c r="C18467"/>
      <c r="E18467"/>
      <c r="F18467"/>
    </row>
    <row r="18468" spans="1:6" x14ac:dyDescent="0.25">
      <c r="A18468"/>
      <c r="B18468"/>
      <c r="C18468"/>
      <c r="E18468"/>
      <c r="F18468"/>
    </row>
    <row r="18469" spans="1:6" x14ac:dyDescent="0.25">
      <c r="A18469"/>
      <c r="B18469"/>
      <c r="C18469"/>
      <c r="E18469"/>
      <c r="F18469"/>
    </row>
    <row r="18470" spans="1:6" x14ac:dyDescent="0.25">
      <c r="A18470"/>
      <c r="B18470"/>
      <c r="C18470"/>
      <c r="E18470"/>
      <c r="F18470"/>
    </row>
    <row r="18471" spans="1:6" x14ac:dyDescent="0.25">
      <c r="A18471"/>
      <c r="B18471"/>
      <c r="C18471"/>
      <c r="E18471"/>
      <c r="F18471"/>
    </row>
    <row r="18472" spans="1:6" x14ac:dyDescent="0.25">
      <c r="A18472"/>
      <c r="B18472"/>
      <c r="C18472"/>
      <c r="E18472"/>
      <c r="F18472"/>
    </row>
    <row r="18473" spans="1:6" x14ac:dyDescent="0.25">
      <c r="A18473"/>
      <c r="B18473"/>
      <c r="C18473"/>
      <c r="E18473"/>
      <c r="F18473"/>
    </row>
    <row r="18474" spans="1:6" x14ac:dyDescent="0.25">
      <c r="A18474"/>
      <c r="B18474"/>
      <c r="C18474"/>
      <c r="E18474"/>
      <c r="F18474"/>
    </row>
    <row r="18475" spans="1:6" x14ac:dyDescent="0.25">
      <c r="A18475"/>
      <c r="B18475"/>
      <c r="C18475"/>
      <c r="E18475"/>
      <c r="F18475"/>
    </row>
    <row r="18476" spans="1:6" x14ac:dyDescent="0.25">
      <c r="A18476"/>
      <c r="B18476"/>
      <c r="C18476"/>
      <c r="E18476"/>
      <c r="F18476"/>
    </row>
    <row r="18477" spans="1:6" x14ac:dyDescent="0.25">
      <c r="A18477"/>
      <c r="B18477"/>
      <c r="C18477"/>
      <c r="E18477"/>
      <c r="F18477"/>
    </row>
    <row r="18478" spans="1:6" x14ac:dyDescent="0.25">
      <c r="A18478"/>
      <c r="B18478"/>
      <c r="C18478"/>
      <c r="E18478"/>
      <c r="F18478"/>
    </row>
    <row r="18479" spans="1:6" x14ac:dyDescent="0.25">
      <c r="A18479"/>
      <c r="B18479"/>
      <c r="C18479"/>
      <c r="E18479"/>
      <c r="F18479"/>
    </row>
    <row r="18480" spans="1:6" x14ac:dyDescent="0.25">
      <c r="A18480"/>
      <c r="B18480"/>
      <c r="C18480"/>
      <c r="E18480"/>
      <c r="F18480"/>
    </row>
    <row r="18481" spans="1:6" x14ac:dyDescent="0.25">
      <c r="A18481"/>
      <c r="B18481"/>
      <c r="C18481"/>
      <c r="E18481"/>
      <c r="F18481"/>
    </row>
    <row r="18482" spans="1:6" x14ac:dyDescent="0.25">
      <c r="A18482"/>
      <c r="B18482"/>
      <c r="C18482"/>
      <c r="E18482"/>
      <c r="F18482"/>
    </row>
    <row r="18483" spans="1:6" x14ac:dyDescent="0.25">
      <c r="A18483"/>
      <c r="B18483"/>
      <c r="C18483"/>
      <c r="E18483"/>
      <c r="F18483"/>
    </row>
    <row r="18484" spans="1:6" x14ac:dyDescent="0.25">
      <c r="A18484"/>
      <c r="B18484"/>
      <c r="C18484"/>
      <c r="E18484"/>
      <c r="F18484"/>
    </row>
    <row r="18485" spans="1:6" x14ac:dyDescent="0.25">
      <c r="A18485"/>
      <c r="B18485"/>
      <c r="C18485"/>
      <c r="E18485"/>
      <c r="F18485"/>
    </row>
    <row r="18486" spans="1:6" x14ac:dyDescent="0.25">
      <c r="A18486"/>
      <c r="B18486"/>
      <c r="C18486"/>
      <c r="E18486"/>
      <c r="F18486"/>
    </row>
    <row r="18487" spans="1:6" x14ac:dyDescent="0.25">
      <c r="A18487"/>
      <c r="B18487"/>
      <c r="C18487"/>
      <c r="E18487"/>
      <c r="F18487"/>
    </row>
    <row r="18488" spans="1:6" x14ac:dyDescent="0.25">
      <c r="A18488"/>
      <c r="B18488"/>
      <c r="C18488"/>
      <c r="E18488"/>
      <c r="F18488"/>
    </row>
    <row r="18489" spans="1:6" x14ac:dyDescent="0.25">
      <c r="A18489"/>
      <c r="B18489"/>
      <c r="C18489"/>
      <c r="E18489"/>
      <c r="F18489"/>
    </row>
    <row r="18490" spans="1:6" x14ac:dyDescent="0.25">
      <c r="A18490"/>
      <c r="B18490"/>
      <c r="C18490"/>
      <c r="E18490"/>
      <c r="F18490"/>
    </row>
    <row r="18491" spans="1:6" x14ac:dyDescent="0.25">
      <c r="A18491"/>
      <c r="B18491"/>
      <c r="C18491"/>
      <c r="E18491"/>
      <c r="F18491"/>
    </row>
    <row r="18492" spans="1:6" x14ac:dyDescent="0.25">
      <c r="A18492"/>
      <c r="B18492"/>
      <c r="C18492"/>
      <c r="E18492"/>
      <c r="F18492"/>
    </row>
    <row r="18493" spans="1:6" x14ac:dyDescent="0.25">
      <c r="A18493"/>
      <c r="B18493"/>
      <c r="C18493"/>
      <c r="E18493"/>
      <c r="F18493"/>
    </row>
    <row r="18494" spans="1:6" x14ac:dyDescent="0.25">
      <c r="A18494"/>
      <c r="B18494"/>
      <c r="C18494"/>
      <c r="E18494"/>
      <c r="F18494"/>
    </row>
    <row r="18495" spans="1:6" x14ac:dyDescent="0.25">
      <c r="A18495"/>
      <c r="B18495"/>
      <c r="C18495"/>
      <c r="E18495"/>
      <c r="F18495"/>
    </row>
    <row r="18496" spans="1:6" x14ac:dyDescent="0.25">
      <c r="A18496"/>
      <c r="B18496"/>
      <c r="C18496"/>
      <c r="E18496"/>
      <c r="F18496"/>
    </row>
    <row r="18497" spans="1:6" x14ac:dyDescent="0.25">
      <c r="A18497"/>
      <c r="B18497"/>
      <c r="C18497"/>
      <c r="E18497"/>
      <c r="F18497"/>
    </row>
    <row r="18498" spans="1:6" x14ac:dyDescent="0.25">
      <c r="A18498"/>
      <c r="B18498"/>
      <c r="C18498"/>
      <c r="E18498"/>
      <c r="F18498"/>
    </row>
    <row r="18499" spans="1:6" x14ac:dyDescent="0.25">
      <c r="A18499"/>
      <c r="B18499"/>
      <c r="C18499"/>
      <c r="E18499"/>
      <c r="F18499"/>
    </row>
    <row r="18500" spans="1:6" x14ac:dyDescent="0.25">
      <c r="A18500"/>
      <c r="B18500"/>
      <c r="C18500"/>
      <c r="E18500"/>
      <c r="F18500"/>
    </row>
    <row r="18501" spans="1:6" x14ac:dyDescent="0.25">
      <c r="A18501"/>
      <c r="B18501"/>
      <c r="C18501"/>
      <c r="E18501"/>
      <c r="F18501"/>
    </row>
    <row r="18502" spans="1:6" x14ac:dyDescent="0.25">
      <c r="A18502"/>
      <c r="B18502"/>
      <c r="C18502"/>
      <c r="E18502"/>
      <c r="F18502"/>
    </row>
    <row r="18503" spans="1:6" x14ac:dyDescent="0.25">
      <c r="A18503"/>
      <c r="B18503"/>
      <c r="C18503"/>
      <c r="E18503"/>
      <c r="F18503"/>
    </row>
    <row r="18504" spans="1:6" x14ac:dyDescent="0.25">
      <c r="A18504"/>
      <c r="B18504"/>
      <c r="C18504"/>
      <c r="E18504"/>
      <c r="F18504"/>
    </row>
    <row r="18505" spans="1:6" x14ac:dyDescent="0.25">
      <c r="A18505"/>
      <c r="B18505"/>
      <c r="C18505"/>
      <c r="E18505"/>
      <c r="F18505"/>
    </row>
    <row r="18506" spans="1:6" x14ac:dyDescent="0.25">
      <c r="A18506"/>
      <c r="B18506"/>
      <c r="C18506"/>
      <c r="E18506"/>
      <c r="F18506"/>
    </row>
    <row r="18507" spans="1:6" x14ac:dyDescent="0.25">
      <c r="A18507"/>
      <c r="B18507"/>
      <c r="C18507"/>
      <c r="E18507"/>
      <c r="F18507"/>
    </row>
    <row r="18508" spans="1:6" x14ac:dyDescent="0.25">
      <c r="A18508"/>
      <c r="B18508"/>
      <c r="C18508"/>
      <c r="E18508"/>
      <c r="F18508"/>
    </row>
    <row r="18509" spans="1:6" x14ac:dyDescent="0.25">
      <c r="A18509"/>
      <c r="B18509"/>
      <c r="C18509"/>
      <c r="E18509"/>
      <c r="F18509"/>
    </row>
    <row r="18510" spans="1:6" x14ac:dyDescent="0.25">
      <c r="A18510"/>
      <c r="B18510"/>
      <c r="C18510"/>
      <c r="E18510"/>
      <c r="F18510"/>
    </row>
    <row r="18511" spans="1:6" x14ac:dyDescent="0.25">
      <c r="A18511"/>
      <c r="B18511"/>
      <c r="C18511"/>
      <c r="E18511"/>
      <c r="F18511"/>
    </row>
    <row r="18512" spans="1:6" x14ac:dyDescent="0.25">
      <c r="A18512"/>
      <c r="B18512"/>
      <c r="C18512"/>
      <c r="E18512"/>
      <c r="F18512"/>
    </row>
    <row r="18513" spans="1:6" x14ac:dyDescent="0.25">
      <c r="A18513"/>
      <c r="B18513"/>
      <c r="C18513"/>
      <c r="E18513"/>
      <c r="F18513"/>
    </row>
    <row r="18514" spans="1:6" x14ac:dyDescent="0.25">
      <c r="A18514"/>
      <c r="B18514"/>
      <c r="C18514"/>
      <c r="E18514"/>
      <c r="F18514"/>
    </row>
    <row r="18515" spans="1:6" x14ac:dyDescent="0.25">
      <c r="A18515"/>
      <c r="B18515"/>
      <c r="C18515"/>
      <c r="E18515"/>
      <c r="F18515"/>
    </row>
    <row r="18516" spans="1:6" x14ac:dyDescent="0.25">
      <c r="A18516"/>
      <c r="B18516"/>
      <c r="C18516"/>
      <c r="E18516"/>
      <c r="F18516"/>
    </row>
    <row r="18517" spans="1:6" x14ac:dyDescent="0.25">
      <c r="A18517"/>
      <c r="B18517"/>
      <c r="C18517"/>
      <c r="E18517"/>
      <c r="F18517"/>
    </row>
    <row r="18518" spans="1:6" x14ac:dyDescent="0.25">
      <c r="A18518"/>
      <c r="B18518"/>
      <c r="C18518"/>
      <c r="E18518"/>
      <c r="F18518"/>
    </row>
    <row r="18519" spans="1:6" x14ac:dyDescent="0.25">
      <c r="A18519"/>
      <c r="B18519"/>
      <c r="C18519"/>
      <c r="E18519"/>
      <c r="F18519"/>
    </row>
    <row r="18520" spans="1:6" x14ac:dyDescent="0.25">
      <c r="A18520"/>
      <c r="B18520"/>
      <c r="C18520"/>
      <c r="E18520"/>
      <c r="F18520"/>
    </row>
    <row r="18521" spans="1:6" x14ac:dyDescent="0.25">
      <c r="A18521"/>
      <c r="B18521"/>
      <c r="C18521"/>
      <c r="E18521"/>
      <c r="F18521"/>
    </row>
    <row r="18522" spans="1:6" x14ac:dyDescent="0.25">
      <c r="A18522"/>
      <c r="B18522"/>
      <c r="C18522"/>
      <c r="E18522"/>
      <c r="F18522"/>
    </row>
    <row r="18523" spans="1:6" x14ac:dyDescent="0.25">
      <c r="A18523"/>
      <c r="B18523"/>
      <c r="C18523"/>
      <c r="E18523"/>
      <c r="F18523"/>
    </row>
    <row r="18524" spans="1:6" x14ac:dyDescent="0.25">
      <c r="A18524"/>
      <c r="B18524"/>
      <c r="C18524"/>
      <c r="E18524"/>
      <c r="F18524"/>
    </row>
    <row r="18525" spans="1:6" x14ac:dyDescent="0.25">
      <c r="A18525"/>
      <c r="B18525"/>
      <c r="C18525"/>
      <c r="E18525"/>
      <c r="F18525"/>
    </row>
    <row r="18526" spans="1:6" x14ac:dyDescent="0.25">
      <c r="A18526"/>
      <c r="B18526"/>
      <c r="C18526"/>
      <c r="E18526"/>
      <c r="F18526"/>
    </row>
    <row r="18527" spans="1:6" x14ac:dyDescent="0.25">
      <c r="A18527"/>
      <c r="B18527"/>
      <c r="C18527"/>
      <c r="E18527"/>
      <c r="F18527"/>
    </row>
    <row r="18528" spans="1:6" x14ac:dyDescent="0.25">
      <c r="A18528"/>
      <c r="B18528"/>
      <c r="C18528"/>
      <c r="E18528"/>
      <c r="F18528"/>
    </row>
    <row r="18529" spans="1:6" x14ac:dyDescent="0.25">
      <c r="A18529"/>
      <c r="B18529"/>
      <c r="C18529"/>
      <c r="E18529"/>
      <c r="F18529"/>
    </row>
    <row r="18530" spans="1:6" x14ac:dyDescent="0.25">
      <c r="A18530"/>
      <c r="B18530"/>
      <c r="C18530"/>
      <c r="E18530"/>
      <c r="F18530"/>
    </row>
    <row r="18531" spans="1:6" x14ac:dyDescent="0.25">
      <c r="A18531"/>
      <c r="B18531"/>
      <c r="C18531"/>
      <c r="E18531"/>
      <c r="F18531"/>
    </row>
    <row r="18532" spans="1:6" x14ac:dyDescent="0.25">
      <c r="A18532"/>
      <c r="B18532"/>
      <c r="C18532"/>
      <c r="E18532"/>
      <c r="F18532"/>
    </row>
    <row r="18533" spans="1:6" x14ac:dyDescent="0.25">
      <c r="A18533"/>
      <c r="B18533"/>
      <c r="C18533"/>
      <c r="E18533"/>
      <c r="F18533"/>
    </row>
    <row r="18534" spans="1:6" x14ac:dyDescent="0.25">
      <c r="A18534"/>
      <c r="B18534"/>
      <c r="C18534"/>
      <c r="E18534"/>
      <c r="F18534"/>
    </row>
    <row r="18535" spans="1:6" x14ac:dyDescent="0.25">
      <c r="A18535"/>
      <c r="B18535"/>
      <c r="C18535"/>
      <c r="E18535"/>
      <c r="F18535"/>
    </row>
    <row r="18536" spans="1:6" x14ac:dyDescent="0.25">
      <c r="A18536"/>
      <c r="B18536"/>
      <c r="C18536"/>
      <c r="E18536"/>
      <c r="F18536"/>
    </row>
    <row r="18537" spans="1:6" x14ac:dyDescent="0.25">
      <c r="A18537"/>
      <c r="B18537"/>
      <c r="C18537"/>
      <c r="E18537"/>
      <c r="F18537"/>
    </row>
    <row r="18538" spans="1:6" x14ac:dyDescent="0.25">
      <c r="A18538"/>
      <c r="B18538"/>
      <c r="C18538"/>
      <c r="E18538"/>
      <c r="F18538"/>
    </row>
    <row r="18539" spans="1:6" x14ac:dyDescent="0.25">
      <c r="A18539"/>
      <c r="B18539"/>
      <c r="C18539"/>
      <c r="E18539"/>
      <c r="F18539"/>
    </row>
    <row r="18540" spans="1:6" x14ac:dyDescent="0.25">
      <c r="A18540"/>
      <c r="B18540"/>
      <c r="C18540"/>
      <c r="E18540"/>
      <c r="F18540"/>
    </row>
    <row r="18541" spans="1:6" x14ac:dyDescent="0.25">
      <c r="A18541"/>
      <c r="B18541"/>
      <c r="C18541"/>
      <c r="E18541"/>
      <c r="F18541"/>
    </row>
    <row r="18542" spans="1:6" x14ac:dyDescent="0.25">
      <c r="A18542"/>
      <c r="B18542"/>
      <c r="C18542"/>
      <c r="E18542"/>
      <c r="F18542"/>
    </row>
    <row r="18543" spans="1:6" x14ac:dyDescent="0.25">
      <c r="A18543"/>
      <c r="B18543"/>
      <c r="C18543"/>
      <c r="E18543"/>
      <c r="F18543"/>
    </row>
    <row r="18544" spans="1:6" x14ac:dyDescent="0.25">
      <c r="A18544"/>
      <c r="B18544"/>
      <c r="C18544"/>
      <c r="E18544"/>
      <c r="F18544"/>
    </row>
    <row r="18545" spans="1:6" x14ac:dyDescent="0.25">
      <c r="A18545"/>
      <c r="B18545"/>
      <c r="C18545"/>
      <c r="E18545"/>
      <c r="F18545"/>
    </row>
    <row r="18546" spans="1:6" x14ac:dyDescent="0.25">
      <c r="A18546"/>
      <c r="B18546"/>
      <c r="C18546"/>
      <c r="E18546"/>
      <c r="F18546"/>
    </row>
    <row r="18547" spans="1:6" x14ac:dyDescent="0.25">
      <c r="A18547"/>
      <c r="B18547"/>
      <c r="C18547"/>
      <c r="E18547"/>
      <c r="F18547"/>
    </row>
    <row r="18548" spans="1:6" x14ac:dyDescent="0.25">
      <c r="A18548"/>
      <c r="B18548"/>
      <c r="C18548"/>
      <c r="E18548"/>
      <c r="F18548"/>
    </row>
    <row r="18549" spans="1:6" x14ac:dyDescent="0.25">
      <c r="A18549"/>
      <c r="B18549"/>
      <c r="C18549"/>
      <c r="E18549"/>
      <c r="F18549"/>
    </row>
    <row r="18550" spans="1:6" x14ac:dyDescent="0.25">
      <c r="A18550"/>
      <c r="B18550"/>
      <c r="C18550"/>
      <c r="E18550"/>
      <c r="F18550"/>
    </row>
    <row r="18551" spans="1:6" x14ac:dyDescent="0.25">
      <c r="A18551"/>
      <c r="B18551"/>
      <c r="C18551"/>
      <c r="E18551"/>
      <c r="F18551"/>
    </row>
    <row r="18552" spans="1:6" x14ac:dyDescent="0.25">
      <c r="A18552"/>
      <c r="B18552"/>
      <c r="C18552"/>
      <c r="E18552"/>
      <c r="F18552"/>
    </row>
    <row r="18553" spans="1:6" x14ac:dyDescent="0.25">
      <c r="A18553"/>
      <c r="B18553"/>
      <c r="C18553"/>
      <c r="E18553"/>
      <c r="F18553"/>
    </row>
    <row r="18554" spans="1:6" x14ac:dyDescent="0.25">
      <c r="A18554"/>
      <c r="B18554"/>
      <c r="C18554"/>
      <c r="E18554"/>
      <c r="F18554"/>
    </row>
    <row r="18555" spans="1:6" x14ac:dyDescent="0.25">
      <c r="A18555"/>
      <c r="B18555"/>
      <c r="C18555"/>
      <c r="E18555"/>
      <c r="F18555"/>
    </row>
    <row r="18556" spans="1:6" x14ac:dyDescent="0.25">
      <c r="A18556"/>
      <c r="B18556"/>
      <c r="C18556"/>
      <c r="E18556"/>
      <c r="F18556"/>
    </row>
    <row r="18557" spans="1:6" x14ac:dyDescent="0.25">
      <c r="A18557"/>
      <c r="B18557"/>
      <c r="C18557"/>
      <c r="E18557"/>
      <c r="F18557"/>
    </row>
    <row r="18558" spans="1:6" x14ac:dyDescent="0.25">
      <c r="A18558"/>
      <c r="B18558"/>
      <c r="C18558"/>
      <c r="E18558"/>
      <c r="F18558"/>
    </row>
    <row r="18559" spans="1:6" x14ac:dyDescent="0.25">
      <c r="A18559"/>
      <c r="B18559"/>
      <c r="C18559"/>
      <c r="E18559"/>
      <c r="F18559"/>
    </row>
    <row r="18560" spans="1:6" x14ac:dyDescent="0.25">
      <c r="A18560"/>
      <c r="B18560"/>
      <c r="C18560"/>
      <c r="E18560"/>
      <c r="F18560"/>
    </row>
    <row r="18561" spans="1:6" x14ac:dyDescent="0.25">
      <c r="A18561"/>
      <c r="B18561"/>
      <c r="C18561"/>
      <c r="E18561"/>
      <c r="F18561"/>
    </row>
    <row r="18562" spans="1:6" x14ac:dyDescent="0.25">
      <c r="A18562"/>
      <c r="B18562"/>
      <c r="C18562"/>
      <c r="E18562"/>
      <c r="F18562"/>
    </row>
    <row r="18563" spans="1:6" x14ac:dyDescent="0.25">
      <c r="A18563"/>
      <c r="B18563"/>
      <c r="C18563"/>
      <c r="E18563"/>
      <c r="F18563"/>
    </row>
    <row r="18564" spans="1:6" x14ac:dyDescent="0.25">
      <c r="A18564"/>
      <c r="B18564"/>
      <c r="C18564"/>
      <c r="E18564"/>
      <c r="F18564"/>
    </row>
    <row r="18565" spans="1:6" x14ac:dyDescent="0.25">
      <c r="A18565"/>
      <c r="B18565"/>
      <c r="C18565"/>
      <c r="E18565"/>
      <c r="F18565"/>
    </row>
    <row r="18566" spans="1:6" x14ac:dyDescent="0.25">
      <c r="A18566"/>
      <c r="B18566"/>
      <c r="C18566"/>
      <c r="E18566"/>
      <c r="F18566"/>
    </row>
    <row r="18567" spans="1:6" x14ac:dyDescent="0.25">
      <c r="A18567"/>
      <c r="B18567"/>
      <c r="C18567"/>
      <c r="E18567"/>
      <c r="F18567"/>
    </row>
    <row r="18568" spans="1:6" x14ac:dyDescent="0.25">
      <c r="A18568"/>
      <c r="B18568"/>
      <c r="C18568"/>
      <c r="E18568"/>
      <c r="F18568"/>
    </row>
    <row r="18569" spans="1:6" x14ac:dyDescent="0.25">
      <c r="A18569"/>
      <c r="B18569"/>
      <c r="C18569"/>
      <c r="E18569"/>
      <c r="F18569"/>
    </row>
    <row r="18570" spans="1:6" x14ac:dyDescent="0.25">
      <c r="A18570"/>
      <c r="B18570"/>
      <c r="C18570"/>
      <c r="E18570"/>
      <c r="F18570"/>
    </row>
    <row r="18571" spans="1:6" x14ac:dyDescent="0.25">
      <c r="A18571"/>
      <c r="B18571"/>
      <c r="C18571"/>
      <c r="E18571"/>
      <c r="F18571"/>
    </row>
    <row r="18572" spans="1:6" x14ac:dyDescent="0.25">
      <c r="A18572"/>
      <c r="B18572"/>
      <c r="C18572"/>
      <c r="E18572"/>
      <c r="F18572"/>
    </row>
    <row r="18573" spans="1:6" x14ac:dyDescent="0.25">
      <c r="A18573"/>
      <c r="B18573"/>
      <c r="C18573"/>
      <c r="E18573"/>
      <c r="F18573"/>
    </row>
    <row r="18574" spans="1:6" x14ac:dyDescent="0.25">
      <c r="A18574"/>
      <c r="B18574"/>
      <c r="C18574"/>
      <c r="E18574"/>
      <c r="F18574"/>
    </row>
    <row r="18575" spans="1:6" x14ac:dyDescent="0.25">
      <c r="A18575"/>
      <c r="B18575"/>
      <c r="C18575"/>
      <c r="E18575"/>
      <c r="F18575"/>
    </row>
    <row r="18576" spans="1:6" x14ac:dyDescent="0.25">
      <c r="A18576"/>
      <c r="B18576"/>
      <c r="C18576"/>
      <c r="E18576"/>
      <c r="F18576"/>
    </row>
    <row r="18577" spans="1:6" x14ac:dyDescent="0.25">
      <c r="A18577"/>
      <c r="B18577"/>
      <c r="C18577"/>
      <c r="E18577"/>
      <c r="F18577"/>
    </row>
    <row r="18578" spans="1:6" x14ac:dyDescent="0.25">
      <c r="A18578"/>
      <c r="B18578"/>
      <c r="C18578"/>
      <c r="E18578"/>
      <c r="F18578"/>
    </row>
    <row r="18579" spans="1:6" x14ac:dyDescent="0.25">
      <c r="A18579"/>
      <c r="B18579"/>
      <c r="C18579"/>
      <c r="E18579"/>
      <c r="F18579"/>
    </row>
    <row r="18580" spans="1:6" x14ac:dyDescent="0.25">
      <c r="A18580"/>
      <c r="B18580"/>
      <c r="C18580"/>
      <c r="E18580"/>
      <c r="F18580"/>
    </row>
    <row r="18581" spans="1:6" x14ac:dyDescent="0.25">
      <c r="A18581"/>
      <c r="B18581"/>
      <c r="C18581"/>
      <c r="E18581"/>
      <c r="F18581"/>
    </row>
    <row r="18582" spans="1:6" x14ac:dyDescent="0.25">
      <c r="A18582"/>
      <c r="B18582"/>
      <c r="C18582"/>
      <c r="E18582"/>
      <c r="F18582"/>
    </row>
    <row r="18583" spans="1:6" x14ac:dyDescent="0.25">
      <c r="A18583"/>
      <c r="B18583"/>
      <c r="C18583"/>
      <c r="E18583"/>
      <c r="F18583"/>
    </row>
    <row r="18584" spans="1:6" x14ac:dyDescent="0.25">
      <c r="A18584"/>
      <c r="B18584"/>
      <c r="C18584"/>
      <c r="E18584"/>
      <c r="F18584"/>
    </row>
    <row r="18585" spans="1:6" x14ac:dyDescent="0.25">
      <c r="A18585"/>
      <c r="B18585"/>
      <c r="C18585"/>
      <c r="E18585"/>
      <c r="F18585"/>
    </row>
    <row r="18586" spans="1:6" x14ac:dyDescent="0.25">
      <c r="A18586"/>
      <c r="B18586"/>
      <c r="C18586"/>
      <c r="E18586"/>
      <c r="F18586"/>
    </row>
    <row r="18587" spans="1:6" x14ac:dyDescent="0.25">
      <c r="A18587"/>
      <c r="B18587"/>
      <c r="C18587"/>
      <c r="E18587"/>
      <c r="F18587"/>
    </row>
    <row r="18588" spans="1:6" x14ac:dyDescent="0.25">
      <c r="A18588"/>
      <c r="B18588"/>
      <c r="C18588"/>
      <c r="E18588"/>
      <c r="F18588"/>
    </row>
    <row r="18589" spans="1:6" x14ac:dyDescent="0.25">
      <c r="A18589"/>
      <c r="B18589"/>
      <c r="C18589"/>
      <c r="E18589"/>
      <c r="F18589"/>
    </row>
    <row r="18590" spans="1:6" x14ac:dyDescent="0.25">
      <c r="A18590"/>
      <c r="B18590"/>
      <c r="C18590"/>
      <c r="E18590"/>
      <c r="F18590"/>
    </row>
    <row r="18591" spans="1:6" x14ac:dyDescent="0.25">
      <c r="A18591"/>
      <c r="B18591"/>
      <c r="C18591"/>
      <c r="E18591"/>
      <c r="F18591"/>
    </row>
    <row r="18592" spans="1:6" x14ac:dyDescent="0.25">
      <c r="A18592"/>
      <c r="B18592"/>
      <c r="C18592"/>
      <c r="E18592"/>
      <c r="F18592"/>
    </row>
    <row r="18593" spans="1:6" x14ac:dyDescent="0.25">
      <c r="A18593"/>
      <c r="B18593"/>
      <c r="C18593"/>
      <c r="E18593"/>
      <c r="F18593"/>
    </row>
    <row r="18594" spans="1:6" x14ac:dyDescent="0.25">
      <c r="A18594"/>
      <c r="B18594"/>
      <c r="C18594"/>
      <c r="E18594"/>
      <c r="F18594"/>
    </row>
    <row r="18595" spans="1:6" x14ac:dyDescent="0.25">
      <c r="A18595"/>
      <c r="B18595"/>
      <c r="C18595"/>
      <c r="E18595"/>
      <c r="F18595"/>
    </row>
    <row r="18596" spans="1:6" x14ac:dyDescent="0.25">
      <c r="A18596"/>
      <c r="B18596"/>
      <c r="C18596"/>
      <c r="E18596"/>
      <c r="F18596"/>
    </row>
    <row r="18597" spans="1:6" x14ac:dyDescent="0.25">
      <c r="A18597"/>
      <c r="B18597"/>
      <c r="C18597"/>
      <c r="E18597"/>
      <c r="F18597"/>
    </row>
    <row r="18598" spans="1:6" x14ac:dyDescent="0.25">
      <c r="A18598"/>
      <c r="B18598"/>
      <c r="C18598"/>
      <c r="E18598"/>
      <c r="F18598"/>
    </row>
    <row r="18599" spans="1:6" x14ac:dyDescent="0.25">
      <c r="A18599"/>
      <c r="B18599"/>
      <c r="C18599"/>
      <c r="E18599"/>
      <c r="F18599"/>
    </row>
    <row r="18600" spans="1:6" x14ac:dyDescent="0.25">
      <c r="A18600"/>
      <c r="B18600"/>
      <c r="C18600"/>
      <c r="E18600"/>
      <c r="F18600"/>
    </row>
    <row r="18601" spans="1:6" x14ac:dyDescent="0.25">
      <c r="A18601"/>
      <c r="B18601"/>
      <c r="C18601"/>
      <c r="E18601"/>
      <c r="F18601"/>
    </row>
    <row r="18602" spans="1:6" x14ac:dyDescent="0.25">
      <c r="A18602"/>
      <c r="B18602"/>
      <c r="C18602"/>
      <c r="E18602"/>
      <c r="F18602"/>
    </row>
    <row r="18603" spans="1:6" x14ac:dyDescent="0.25">
      <c r="A18603"/>
      <c r="B18603"/>
      <c r="C18603"/>
      <c r="E18603"/>
      <c r="F18603"/>
    </row>
    <row r="18604" spans="1:6" x14ac:dyDescent="0.25">
      <c r="A18604"/>
      <c r="B18604"/>
      <c r="C18604"/>
      <c r="E18604"/>
      <c r="F18604"/>
    </row>
    <row r="18605" spans="1:6" x14ac:dyDescent="0.25">
      <c r="A18605"/>
      <c r="B18605"/>
      <c r="C18605"/>
      <c r="E18605"/>
      <c r="F18605"/>
    </row>
    <row r="18606" spans="1:6" x14ac:dyDescent="0.25">
      <c r="A18606"/>
      <c r="B18606"/>
      <c r="C18606"/>
      <c r="E18606"/>
      <c r="F18606"/>
    </row>
    <row r="18607" spans="1:6" x14ac:dyDescent="0.25">
      <c r="A18607"/>
      <c r="B18607"/>
      <c r="C18607"/>
      <c r="E18607"/>
      <c r="F18607"/>
    </row>
    <row r="18608" spans="1:6" x14ac:dyDescent="0.25">
      <c r="A18608"/>
      <c r="B18608"/>
      <c r="C18608"/>
      <c r="E18608"/>
      <c r="F18608"/>
    </row>
    <row r="18609" spans="1:6" x14ac:dyDescent="0.25">
      <c r="A18609"/>
      <c r="B18609"/>
      <c r="C18609"/>
      <c r="E18609"/>
      <c r="F18609"/>
    </row>
    <row r="18610" spans="1:6" x14ac:dyDescent="0.25">
      <c r="A18610"/>
      <c r="B18610"/>
      <c r="C18610"/>
      <c r="E18610"/>
      <c r="F18610"/>
    </row>
    <row r="18611" spans="1:6" x14ac:dyDescent="0.25">
      <c r="A18611"/>
      <c r="B18611"/>
      <c r="C18611"/>
      <c r="E18611"/>
      <c r="F18611"/>
    </row>
    <row r="18612" spans="1:6" x14ac:dyDescent="0.25">
      <c r="A18612"/>
      <c r="B18612"/>
      <c r="C18612"/>
      <c r="E18612"/>
      <c r="F18612"/>
    </row>
    <row r="18613" spans="1:6" x14ac:dyDescent="0.25">
      <c r="A18613"/>
      <c r="B18613"/>
      <c r="C18613"/>
      <c r="E18613"/>
      <c r="F18613"/>
    </row>
    <row r="18614" spans="1:6" x14ac:dyDescent="0.25">
      <c r="A18614"/>
      <c r="B18614"/>
      <c r="C18614"/>
      <c r="E18614"/>
      <c r="F18614"/>
    </row>
    <row r="18615" spans="1:6" x14ac:dyDescent="0.25">
      <c r="A18615"/>
      <c r="B18615"/>
      <c r="C18615"/>
      <c r="E18615"/>
      <c r="F18615"/>
    </row>
    <row r="18616" spans="1:6" x14ac:dyDescent="0.25">
      <c r="A18616"/>
      <c r="B18616"/>
      <c r="C18616"/>
      <c r="E18616"/>
      <c r="F18616"/>
    </row>
    <row r="18617" spans="1:6" x14ac:dyDescent="0.25">
      <c r="A18617"/>
      <c r="B18617"/>
      <c r="C18617"/>
      <c r="E18617"/>
      <c r="F18617"/>
    </row>
    <row r="18618" spans="1:6" x14ac:dyDescent="0.25">
      <c r="A18618"/>
      <c r="B18618"/>
      <c r="C18618"/>
      <c r="E18618"/>
      <c r="F18618"/>
    </row>
    <row r="18619" spans="1:6" x14ac:dyDescent="0.25">
      <c r="A18619"/>
      <c r="B18619"/>
      <c r="C18619"/>
      <c r="E18619"/>
      <c r="F18619"/>
    </row>
    <row r="18620" spans="1:6" x14ac:dyDescent="0.25">
      <c r="A18620"/>
      <c r="B18620"/>
      <c r="C18620"/>
      <c r="E18620"/>
      <c r="F18620"/>
    </row>
    <row r="18621" spans="1:6" x14ac:dyDescent="0.25">
      <c r="A18621"/>
      <c r="B18621"/>
      <c r="C18621"/>
      <c r="E18621"/>
      <c r="F18621"/>
    </row>
    <row r="18622" spans="1:6" x14ac:dyDescent="0.25">
      <c r="A18622"/>
      <c r="B18622"/>
      <c r="C18622"/>
      <c r="E18622"/>
      <c r="F18622"/>
    </row>
    <row r="18623" spans="1:6" x14ac:dyDescent="0.25">
      <c r="A18623"/>
      <c r="B18623"/>
      <c r="C18623"/>
      <c r="E18623"/>
      <c r="F18623"/>
    </row>
    <row r="18624" spans="1:6" x14ac:dyDescent="0.25">
      <c r="A18624"/>
      <c r="B18624"/>
      <c r="C18624"/>
      <c r="E18624"/>
      <c r="F18624"/>
    </row>
    <row r="18625" spans="1:6" x14ac:dyDescent="0.25">
      <c r="A18625"/>
      <c r="B18625"/>
      <c r="C18625"/>
      <c r="E18625"/>
      <c r="F18625"/>
    </row>
    <row r="18626" spans="1:6" x14ac:dyDescent="0.25">
      <c r="A18626"/>
      <c r="B18626"/>
      <c r="C18626"/>
      <c r="E18626"/>
      <c r="F18626"/>
    </row>
    <row r="18627" spans="1:6" x14ac:dyDescent="0.25">
      <c r="A18627"/>
      <c r="B18627"/>
      <c r="C18627"/>
      <c r="E18627"/>
      <c r="F18627"/>
    </row>
    <row r="18628" spans="1:6" x14ac:dyDescent="0.25">
      <c r="A18628"/>
      <c r="B18628"/>
      <c r="C18628"/>
      <c r="E18628"/>
      <c r="F18628"/>
    </row>
    <row r="18629" spans="1:6" x14ac:dyDescent="0.25">
      <c r="A18629"/>
      <c r="B18629"/>
      <c r="C18629"/>
      <c r="E18629"/>
      <c r="F18629"/>
    </row>
    <row r="18630" spans="1:6" x14ac:dyDescent="0.25">
      <c r="A18630"/>
      <c r="B18630"/>
      <c r="C18630"/>
      <c r="E18630"/>
      <c r="F18630"/>
    </row>
    <row r="18631" spans="1:6" x14ac:dyDescent="0.25">
      <c r="A18631"/>
      <c r="B18631"/>
      <c r="C18631"/>
      <c r="E18631"/>
      <c r="F18631"/>
    </row>
    <row r="18632" spans="1:6" x14ac:dyDescent="0.25">
      <c r="A18632"/>
      <c r="B18632"/>
      <c r="C18632"/>
      <c r="E18632"/>
      <c r="F18632"/>
    </row>
    <row r="18633" spans="1:6" x14ac:dyDescent="0.25">
      <c r="A18633"/>
      <c r="B18633"/>
      <c r="C18633"/>
      <c r="E18633"/>
      <c r="F18633"/>
    </row>
    <row r="18634" spans="1:6" x14ac:dyDescent="0.25">
      <c r="A18634"/>
      <c r="B18634"/>
      <c r="C18634"/>
      <c r="E18634"/>
      <c r="F18634"/>
    </row>
    <row r="18635" spans="1:6" x14ac:dyDescent="0.25">
      <c r="A18635"/>
      <c r="B18635"/>
      <c r="C18635"/>
      <c r="E18635"/>
      <c r="F18635"/>
    </row>
    <row r="18636" spans="1:6" x14ac:dyDescent="0.25">
      <c r="A18636"/>
      <c r="B18636"/>
      <c r="C18636"/>
      <c r="E18636"/>
      <c r="F18636"/>
    </row>
    <row r="18637" spans="1:6" x14ac:dyDescent="0.25">
      <c r="A18637"/>
      <c r="B18637"/>
      <c r="C18637"/>
      <c r="E18637"/>
      <c r="F18637"/>
    </row>
    <row r="18638" spans="1:6" x14ac:dyDescent="0.25">
      <c r="A18638"/>
      <c r="B18638"/>
      <c r="C18638"/>
      <c r="E18638"/>
      <c r="F18638"/>
    </row>
    <row r="18639" spans="1:6" x14ac:dyDescent="0.25">
      <c r="A18639"/>
      <c r="B18639"/>
      <c r="C18639"/>
      <c r="E18639"/>
      <c r="F18639"/>
    </row>
    <row r="18640" spans="1:6" x14ac:dyDescent="0.25">
      <c r="A18640"/>
      <c r="B18640"/>
      <c r="C18640"/>
      <c r="E18640"/>
      <c r="F18640"/>
    </row>
    <row r="18641" spans="1:6" x14ac:dyDescent="0.25">
      <c r="A18641"/>
      <c r="B18641"/>
      <c r="C18641"/>
      <c r="E18641"/>
      <c r="F18641"/>
    </row>
    <row r="18642" spans="1:6" x14ac:dyDescent="0.25">
      <c r="A18642"/>
      <c r="B18642"/>
      <c r="C18642"/>
      <c r="E18642"/>
      <c r="F18642"/>
    </row>
    <row r="18643" spans="1:6" x14ac:dyDescent="0.25">
      <c r="A18643"/>
      <c r="B18643"/>
      <c r="C18643"/>
      <c r="E18643"/>
      <c r="F18643"/>
    </row>
    <row r="18644" spans="1:6" x14ac:dyDescent="0.25">
      <c r="A18644"/>
      <c r="B18644"/>
      <c r="C18644"/>
      <c r="E18644"/>
      <c r="F18644"/>
    </row>
    <row r="18645" spans="1:6" x14ac:dyDescent="0.25">
      <c r="A18645"/>
      <c r="B18645"/>
      <c r="C18645"/>
      <c r="E18645"/>
      <c r="F18645"/>
    </row>
    <row r="18646" spans="1:6" x14ac:dyDescent="0.25">
      <c r="A18646"/>
      <c r="B18646"/>
      <c r="C18646"/>
      <c r="E18646"/>
      <c r="F18646"/>
    </row>
    <row r="18647" spans="1:6" x14ac:dyDescent="0.25">
      <c r="A18647"/>
      <c r="B18647"/>
      <c r="C18647"/>
      <c r="E18647"/>
      <c r="F18647"/>
    </row>
    <row r="18648" spans="1:6" x14ac:dyDescent="0.25">
      <c r="A18648"/>
      <c r="B18648"/>
      <c r="C18648"/>
      <c r="E18648"/>
      <c r="F18648"/>
    </row>
    <row r="18649" spans="1:6" x14ac:dyDescent="0.25">
      <c r="A18649"/>
      <c r="B18649"/>
      <c r="C18649"/>
      <c r="E18649"/>
      <c r="F18649"/>
    </row>
    <row r="18650" spans="1:6" x14ac:dyDescent="0.25">
      <c r="A18650"/>
      <c r="B18650"/>
      <c r="C18650"/>
      <c r="E18650"/>
      <c r="F18650"/>
    </row>
    <row r="18651" spans="1:6" x14ac:dyDescent="0.25">
      <c r="A18651"/>
      <c r="B18651"/>
      <c r="C18651"/>
      <c r="E18651"/>
      <c r="F18651"/>
    </row>
    <row r="18652" spans="1:6" x14ac:dyDescent="0.25">
      <c r="A18652"/>
      <c r="B18652"/>
      <c r="C18652"/>
      <c r="E18652"/>
      <c r="F18652"/>
    </row>
    <row r="18653" spans="1:6" x14ac:dyDescent="0.25">
      <c r="A18653"/>
      <c r="B18653"/>
      <c r="C18653"/>
      <c r="E18653"/>
      <c r="F18653"/>
    </row>
    <row r="18654" spans="1:6" x14ac:dyDescent="0.25">
      <c r="A18654"/>
      <c r="B18654"/>
      <c r="C18654"/>
      <c r="E18654"/>
      <c r="F18654"/>
    </row>
    <row r="18655" spans="1:6" x14ac:dyDescent="0.25">
      <c r="A18655"/>
      <c r="B18655"/>
      <c r="C18655"/>
      <c r="E18655"/>
      <c r="F18655"/>
    </row>
    <row r="18656" spans="1:6" x14ac:dyDescent="0.25">
      <c r="A18656"/>
      <c r="B18656"/>
      <c r="C18656"/>
      <c r="E18656"/>
      <c r="F18656"/>
    </row>
    <row r="18657" spans="1:6" x14ac:dyDescent="0.25">
      <c r="A18657"/>
      <c r="B18657"/>
      <c r="C18657"/>
      <c r="E18657"/>
      <c r="F18657"/>
    </row>
    <row r="18658" spans="1:6" x14ac:dyDescent="0.25">
      <c r="A18658"/>
      <c r="B18658"/>
      <c r="C18658"/>
      <c r="E18658"/>
      <c r="F18658"/>
    </row>
    <row r="18659" spans="1:6" x14ac:dyDescent="0.25">
      <c r="A18659"/>
      <c r="B18659"/>
      <c r="C18659"/>
      <c r="E18659"/>
      <c r="F18659"/>
    </row>
    <row r="18660" spans="1:6" x14ac:dyDescent="0.25">
      <c r="A18660"/>
      <c r="B18660"/>
      <c r="C18660"/>
      <c r="E18660"/>
      <c r="F18660"/>
    </row>
    <row r="18661" spans="1:6" x14ac:dyDescent="0.25">
      <c r="A18661"/>
      <c r="B18661"/>
      <c r="C18661"/>
      <c r="E18661"/>
      <c r="F18661"/>
    </row>
    <row r="18662" spans="1:6" x14ac:dyDescent="0.25">
      <c r="A18662"/>
      <c r="B18662"/>
      <c r="C18662"/>
      <c r="E18662"/>
      <c r="F18662"/>
    </row>
    <row r="18663" spans="1:6" x14ac:dyDescent="0.25">
      <c r="A18663"/>
      <c r="B18663"/>
      <c r="C18663"/>
      <c r="E18663"/>
      <c r="F18663"/>
    </row>
    <row r="18664" spans="1:6" x14ac:dyDescent="0.25">
      <c r="A18664"/>
      <c r="B18664"/>
      <c r="C18664"/>
      <c r="E18664"/>
      <c r="F18664"/>
    </row>
    <row r="18665" spans="1:6" x14ac:dyDescent="0.25">
      <c r="A18665"/>
      <c r="B18665"/>
      <c r="C18665"/>
      <c r="E18665"/>
      <c r="F18665"/>
    </row>
    <row r="18666" spans="1:6" x14ac:dyDescent="0.25">
      <c r="A18666"/>
      <c r="B18666"/>
      <c r="C18666"/>
      <c r="E18666"/>
      <c r="F18666"/>
    </row>
    <row r="18667" spans="1:6" x14ac:dyDescent="0.25">
      <c r="A18667"/>
      <c r="B18667"/>
      <c r="C18667"/>
      <c r="E18667"/>
      <c r="F18667"/>
    </row>
    <row r="18668" spans="1:6" x14ac:dyDescent="0.25">
      <c r="A18668"/>
      <c r="B18668"/>
      <c r="C18668"/>
      <c r="E18668"/>
      <c r="F18668"/>
    </row>
    <row r="18669" spans="1:6" x14ac:dyDescent="0.25">
      <c r="A18669"/>
      <c r="B18669"/>
      <c r="C18669"/>
      <c r="E18669"/>
      <c r="F18669"/>
    </row>
    <row r="18670" spans="1:6" x14ac:dyDescent="0.25">
      <c r="A18670"/>
      <c r="B18670"/>
      <c r="C18670"/>
      <c r="E18670"/>
      <c r="F18670"/>
    </row>
    <row r="18671" spans="1:6" x14ac:dyDescent="0.25">
      <c r="A18671"/>
      <c r="B18671"/>
      <c r="C18671"/>
      <c r="E18671"/>
      <c r="F18671"/>
    </row>
    <row r="18672" spans="1:6" x14ac:dyDescent="0.25">
      <c r="A18672"/>
      <c r="B18672"/>
      <c r="C18672"/>
      <c r="E18672"/>
      <c r="F18672"/>
    </row>
    <row r="18673" spans="1:6" x14ac:dyDescent="0.25">
      <c r="A18673"/>
      <c r="B18673"/>
      <c r="C18673"/>
      <c r="E18673"/>
      <c r="F18673"/>
    </row>
    <row r="18674" spans="1:6" x14ac:dyDescent="0.25">
      <c r="A18674"/>
      <c r="B18674"/>
      <c r="C18674"/>
      <c r="E18674"/>
      <c r="F18674"/>
    </row>
    <row r="18675" spans="1:6" x14ac:dyDescent="0.25">
      <c r="A18675"/>
      <c r="B18675"/>
      <c r="C18675"/>
      <c r="E18675"/>
      <c r="F18675"/>
    </row>
    <row r="18676" spans="1:6" x14ac:dyDescent="0.25">
      <c r="A18676"/>
      <c r="B18676"/>
      <c r="C18676"/>
      <c r="E18676"/>
      <c r="F18676"/>
    </row>
    <row r="18677" spans="1:6" x14ac:dyDescent="0.25">
      <c r="A18677"/>
      <c r="B18677"/>
      <c r="C18677"/>
      <c r="E18677"/>
      <c r="F18677"/>
    </row>
    <row r="18678" spans="1:6" x14ac:dyDescent="0.25">
      <c r="A18678"/>
      <c r="B18678"/>
      <c r="C18678"/>
      <c r="E18678"/>
      <c r="F18678"/>
    </row>
    <row r="18679" spans="1:6" x14ac:dyDescent="0.25">
      <c r="A18679"/>
      <c r="B18679"/>
      <c r="C18679"/>
      <c r="E18679"/>
      <c r="F18679"/>
    </row>
    <row r="18680" spans="1:6" x14ac:dyDescent="0.25">
      <c r="A18680"/>
      <c r="B18680"/>
      <c r="C18680"/>
      <c r="E18680"/>
      <c r="F18680"/>
    </row>
    <row r="18681" spans="1:6" x14ac:dyDescent="0.25">
      <c r="A18681"/>
      <c r="B18681"/>
      <c r="C18681"/>
      <c r="E18681"/>
      <c r="F18681"/>
    </row>
    <row r="18682" spans="1:6" x14ac:dyDescent="0.25">
      <c r="A18682"/>
      <c r="B18682"/>
      <c r="C18682"/>
      <c r="E18682"/>
      <c r="F18682"/>
    </row>
    <row r="18683" spans="1:6" x14ac:dyDescent="0.25">
      <c r="A18683"/>
      <c r="B18683"/>
      <c r="C18683"/>
      <c r="E18683"/>
      <c r="F18683"/>
    </row>
    <row r="18684" spans="1:6" x14ac:dyDescent="0.25">
      <c r="A18684"/>
      <c r="B18684"/>
      <c r="C18684"/>
      <c r="E18684"/>
      <c r="F18684"/>
    </row>
    <row r="18685" spans="1:6" x14ac:dyDescent="0.25">
      <c r="A18685"/>
      <c r="B18685"/>
      <c r="C18685"/>
      <c r="E18685"/>
      <c r="F18685"/>
    </row>
    <row r="18686" spans="1:6" x14ac:dyDescent="0.25">
      <c r="A18686"/>
      <c r="B18686"/>
      <c r="C18686"/>
      <c r="E18686"/>
      <c r="F18686"/>
    </row>
    <row r="18687" spans="1:6" x14ac:dyDescent="0.25">
      <c r="A18687"/>
      <c r="B18687"/>
      <c r="C18687"/>
      <c r="E18687"/>
      <c r="F18687"/>
    </row>
    <row r="18688" spans="1:6" x14ac:dyDescent="0.25">
      <c r="A18688"/>
      <c r="B18688"/>
      <c r="C18688"/>
      <c r="E18688"/>
      <c r="F18688"/>
    </row>
    <row r="18689" spans="1:6" x14ac:dyDescent="0.25">
      <c r="A18689"/>
      <c r="B18689"/>
      <c r="C18689"/>
      <c r="E18689"/>
      <c r="F18689"/>
    </row>
    <row r="18690" spans="1:6" x14ac:dyDescent="0.25">
      <c r="A18690"/>
      <c r="B18690"/>
      <c r="C18690"/>
      <c r="E18690"/>
      <c r="F18690"/>
    </row>
    <row r="18691" spans="1:6" x14ac:dyDescent="0.25">
      <c r="A18691"/>
      <c r="B18691"/>
      <c r="C18691"/>
      <c r="E18691"/>
      <c r="F18691"/>
    </row>
    <row r="18692" spans="1:6" x14ac:dyDescent="0.25">
      <c r="A18692"/>
      <c r="B18692"/>
      <c r="C18692"/>
      <c r="E18692"/>
      <c r="F18692"/>
    </row>
    <row r="18693" spans="1:6" x14ac:dyDescent="0.25">
      <c r="A18693"/>
      <c r="B18693"/>
      <c r="C18693"/>
      <c r="E18693"/>
      <c r="F18693"/>
    </row>
    <row r="18694" spans="1:6" x14ac:dyDescent="0.25">
      <c r="A18694"/>
      <c r="B18694"/>
      <c r="C18694"/>
      <c r="E18694"/>
      <c r="F18694"/>
    </row>
    <row r="18695" spans="1:6" x14ac:dyDescent="0.25">
      <c r="A18695"/>
      <c r="B18695"/>
      <c r="C18695"/>
      <c r="E18695"/>
      <c r="F18695"/>
    </row>
    <row r="18696" spans="1:6" x14ac:dyDescent="0.25">
      <c r="A18696"/>
      <c r="B18696"/>
      <c r="C18696"/>
      <c r="E18696"/>
      <c r="F18696"/>
    </row>
    <row r="18697" spans="1:6" x14ac:dyDescent="0.25">
      <c r="A18697"/>
      <c r="B18697"/>
      <c r="C18697"/>
      <c r="E18697"/>
      <c r="F18697"/>
    </row>
    <row r="18698" spans="1:6" x14ac:dyDescent="0.25">
      <c r="A18698"/>
      <c r="B18698"/>
      <c r="C18698"/>
      <c r="E18698"/>
      <c r="F18698"/>
    </row>
    <row r="18699" spans="1:6" x14ac:dyDescent="0.25">
      <c r="A18699"/>
      <c r="B18699"/>
      <c r="C18699"/>
      <c r="E18699"/>
      <c r="F18699"/>
    </row>
    <row r="18700" spans="1:6" x14ac:dyDescent="0.25">
      <c r="A18700"/>
      <c r="B18700"/>
      <c r="C18700"/>
      <c r="E18700"/>
      <c r="F18700"/>
    </row>
    <row r="18701" spans="1:6" x14ac:dyDescent="0.25">
      <c r="A18701"/>
      <c r="B18701"/>
      <c r="C18701"/>
      <c r="E18701"/>
      <c r="F18701"/>
    </row>
    <row r="18702" spans="1:6" x14ac:dyDescent="0.25">
      <c r="A18702"/>
      <c r="B18702"/>
      <c r="C18702"/>
      <c r="E18702"/>
      <c r="F18702"/>
    </row>
    <row r="18703" spans="1:6" x14ac:dyDescent="0.25">
      <c r="A18703"/>
      <c r="B18703"/>
      <c r="C18703"/>
      <c r="E18703"/>
      <c r="F18703"/>
    </row>
    <row r="18704" spans="1:6" x14ac:dyDescent="0.25">
      <c r="A18704"/>
      <c r="B18704"/>
      <c r="C18704"/>
      <c r="E18704"/>
      <c r="F18704"/>
    </row>
    <row r="18705" spans="1:6" x14ac:dyDescent="0.25">
      <c r="A18705"/>
      <c r="B18705"/>
      <c r="C18705"/>
      <c r="E18705"/>
      <c r="F18705"/>
    </row>
    <row r="18706" spans="1:6" x14ac:dyDescent="0.25">
      <c r="A18706"/>
      <c r="B18706"/>
      <c r="C18706"/>
      <c r="E18706"/>
      <c r="F18706"/>
    </row>
    <row r="18707" spans="1:6" x14ac:dyDescent="0.25">
      <c r="A18707"/>
      <c r="B18707"/>
      <c r="C18707"/>
      <c r="E18707"/>
      <c r="F18707"/>
    </row>
    <row r="18708" spans="1:6" x14ac:dyDescent="0.25">
      <c r="A18708"/>
      <c r="B18708"/>
      <c r="C18708"/>
      <c r="E18708"/>
      <c r="F18708"/>
    </row>
    <row r="18709" spans="1:6" x14ac:dyDescent="0.25">
      <c r="A18709"/>
      <c r="B18709"/>
      <c r="C18709"/>
      <c r="E18709"/>
      <c r="F18709"/>
    </row>
    <row r="18710" spans="1:6" x14ac:dyDescent="0.25">
      <c r="A18710"/>
      <c r="B18710"/>
      <c r="C18710"/>
      <c r="E18710"/>
      <c r="F18710"/>
    </row>
    <row r="18711" spans="1:6" x14ac:dyDescent="0.25">
      <c r="A18711"/>
      <c r="B18711"/>
      <c r="C18711"/>
      <c r="E18711"/>
      <c r="F18711"/>
    </row>
    <row r="18712" spans="1:6" x14ac:dyDescent="0.25">
      <c r="A18712"/>
      <c r="B18712"/>
      <c r="C18712"/>
      <c r="E18712"/>
      <c r="F18712"/>
    </row>
    <row r="18713" spans="1:6" x14ac:dyDescent="0.25">
      <c r="A18713"/>
      <c r="B18713"/>
      <c r="C18713"/>
      <c r="E18713"/>
      <c r="F18713"/>
    </row>
    <row r="18714" spans="1:6" x14ac:dyDescent="0.25">
      <c r="A18714"/>
      <c r="B18714"/>
      <c r="C18714"/>
      <c r="E18714"/>
      <c r="F18714"/>
    </row>
    <row r="18715" spans="1:6" x14ac:dyDescent="0.25">
      <c r="A18715"/>
      <c r="B18715"/>
      <c r="C18715"/>
      <c r="E18715"/>
      <c r="F18715"/>
    </row>
    <row r="18716" spans="1:6" x14ac:dyDescent="0.25">
      <c r="A18716"/>
      <c r="B18716"/>
      <c r="C18716"/>
      <c r="E18716"/>
      <c r="F18716"/>
    </row>
    <row r="18717" spans="1:6" x14ac:dyDescent="0.25">
      <c r="A18717"/>
      <c r="B18717"/>
      <c r="C18717"/>
      <c r="E18717"/>
      <c r="F18717"/>
    </row>
    <row r="18718" spans="1:6" x14ac:dyDescent="0.25">
      <c r="A18718"/>
      <c r="B18718"/>
      <c r="C18718"/>
      <c r="E18718"/>
      <c r="F18718"/>
    </row>
    <row r="18719" spans="1:6" x14ac:dyDescent="0.25">
      <c r="A18719"/>
      <c r="B18719"/>
      <c r="C18719"/>
      <c r="E18719"/>
      <c r="F18719"/>
    </row>
    <row r="18720" spans="1:6" x14ac:dyDescent="0.25">
      <c r="A18720"/>
      <c r="B18720"/>
      <c r="C18720"/>
      <c r="E18720"/>
      <c r="F18720"/>
    </row>
    <row r="18721" spans="1:6" x14ac:dyDescent="0.25">
      <c r="A18721"/>
      <c r="B18721"/>
      <c r="C18721"/>
      <c r="E18721"/>
      <c r="F18721"/>
    </row>
    <row r="18722" spans="1:6" x14ac:dyDescent="0.25">
      <c r="A18722"/>
      <c r="B18722"/>
      <c r="C18722"/>
      <c r="E18722"/>
      <c r="F18722"/>
    </row>
    <row r="18723" spans="1:6" x14ac:dyDescent="0.25">
      <c r="A18723"/>
      <c r="B18723"/>
      <c r="C18723"/>
      <c r="E18723"/>
      <c r="F18723"/>
    </row>
    <row r="18724" spans="1:6" x14ac:dyDescent="0.25">
      <c r="A18724"/>
      <c r="B18724"/>
      <c r="C18724"/>
      <c r="E18724"/>
      <c r="F18724"/>
    </row>
    <row r="18725" spans="1:6" x14ac:dyDescent="0.25">
      <c r="A18725"/>
      <c r="B18725"/>
      <c r="C18725"/>
      <c r="E18725"/>
      <c r="F18725"/>
    </row>
    <row r="18726" spans="1:6" x14ac:dyDescent="0.25">
      <c r="A18726"/>
      <c r="B18726"/>
      <c r="C18726"/>
      <c r="E18726"/>
      <c r="F18726"/>
    </row>
    <row r="18727" spans="1:6" x14ac:dyDescent="0.25">
      <c r="A18727"/>
      <c r="B18727"/>
      <c r="C18727"/>
      <c r="E18727"/>
      <c r="F18727"/>
    </row>
    <row r="18728" spans="1:6" x14ac:dyDescent="0.25">
      <c r="A18728"/>
      <c r="B18728"/>
      <c r="C18728"/>
      <c r="E18728"/>
      <c r="F18728"/>
    </row>
    <row r="18729" spans="1:6" x14ac:dyDescent="0.25">
      <c r="A18729"/>
      <c r="B18729"/>
      <c r="C18729"/>
      <c r="E18729"/>
      <c r="F18729"/>
    </row>
    <row r="18730" spans="1:6" x14ac:dyDescent="0.25">
      <c r="A18730"/>
      <c r="B18730"/>
      <c r="C18730"/>
      <c r="E18730"/>
      <c r="F18730"/>
    </row>
    <row r="18731" spans="1:6" x14ac:dyDescent="0.25">
      <c r="A18731"/>
      <c r="B18731"/>
      <c r="C18731"/>
      <c r="E18731"/>
      <c r="F18731"/>
    </row>
    <row r="18732" spans="1:6" x14ac:dyDescent="0.25">
      <c r="A18732"/>
      <c r="B18732"/>
      <c r="C18732"/>
      <c r="E18732"/>
      <c r="F18732"/>
    </row>
    <row r="18733" spans="1:6" x14ac:dyDescent="0.25">
      <c r="A18733"/>
      <c r="B18733"/>
      <c r="C18733"/>
      <c r="E18733"/>
      <c r="F18733"/>
    </row>
    <row r="18734" spans="1:6" x14ac:dyDescent="0.25">
      <c r="A18734"/>
      <c r="B18734"/>
      <c r="C18734"/>
      <c r="E18734"/>
      <c r="F18734"/>
    </row>
    <row r="18735" spans="1:6" x14ac:dyDescent="0.25">
      <c r="A18735"/>
      <c r="B18735"/>
      <c r="C18735"/>
      <c r="E18735"/>
      <c r="F18735"/>
    </row>
    <row r="18736" spans="1:6" x14ac:dyDescent="0.25">
      <c r="A18736"/>
      <c r="B18736"/>
      <c r="C18736"/>
      <c r="E18736"/>
      <c r="F18736"/>
    </row>
    <row r="18737" spans="1:6" x14ac:dyDescent="0.25">
      <c r="A18737"/>
      <c r="B18737"/>
      <c r="C18737"/>
      <c r="E18737"/>
      <c r="F18737"/>
    </row>
    <row r="18738" spans="1:6" x14ac:dyDescent="0.25">
      <c r="A18738"/>
      <c r="B18738"/>
      <c r="C18738"/>
      <c r="E18738"/>
      <c r="F18738"/>
    </row>
    <row r="18739" spans="1:6" x14ac:dyDescent="0.25">
      <c r="A18739"/>
      <c r="B18739"/>
      <c r="C18739"/>
      <c r="E18739"/>
      <c r="F18739"/>
    </row>
    <row r="18740" spans="1:6" x14ac:dyDescent="0.25">
      <c r="A18740"/>
      <c r="B18740"/>
      <c r="C18740"/>
      <c r="E18740"/>
      <c r="F18740"/>
    </row>
    <row r="18741" spans="1:6" x14ac:dyDescent="0.25">
      <c r="A18741"/>
      <c r="B18741"/>
      <c r="C18741"/>
      <c r="E18741"/>
      <c r="F18741"/>
    </row>
    <row r="18742" spans="1:6" x14ac:dyDescent="0.25">
      <c r="A18742"/>
      <c r="B18742"/>
      <c r="C18742"/>
      <c r="E18742"/>
      <c r="F18742"/>
    </row>
    <row r="18743" spans="1:6" x14ac:dyDescent="0.25">
      <c r="A18743"/>
      <c r="B18743"/>
      <c r="C18743"/>
      <c r="E18743"/>
      <c r="F18743"/>
    </row>
    <row r="18744" spans="1:6" x14ac:dyDescent="0.25">
      <c r="A18744"/>
      <c r="B18744"/>
      <c r="C18744"/>
      <c r="E18744"/>
      <c r="F18744"/>
    </row>
    <row r="18745" spans="1:6" x14ac:dyDescent="0.25">
      <c r="A18745"/>
      <c r="B18745"/>
      <c r="C18745"/>
      <c r="E18745"/>
      <c r="F18745"/>
    </row>
    <row r="18746" spans="1:6" x14ac:dyDescent="0.25">
      <c r="A18746"/>
      <c r="B18746"/>
      <c r="C18746"/>
      <c r="E18746"/>
      <c r="F18746"/>
    </row>
    <row r="18747" spans="1:6" x14ac:dyDescent="0.25">
      <c r="A18747"/>
      <c r="B18747"/>
      <c r="C18747"/>
      <c r="E18747"/>
      <c r="F18747"/>
    </row>
    <row r="18748" spans="1:6" x14ac:dyDescent="0.25">
      <c r="A18748"/>
      <c r="B18748"/>
      <c r="C18748"/>
      <c r="E18748"/>
      <c r="F18748"/>
    </row>
    <row r="18749" spans="1:6" x14ac:dyDescent="0.25">
      <c r="A18749"/>
      <c r="B18749"/>
      <c r="C18749"/>
      <c r="E18749"/>
      <c r="F18749"/>
    </row>
    <row r="18750" spans="1:6" x14ac:dyDescent="0.25">
      <c r="A18750"/>
      <c r="B18750"/>
      <c r="C18750"/>
      <c r="E18750"/>
      <c r="F18750"/>
    </row>
    <row r="18751" spans="1:6" x14ac:dyDescent="0.25">
      <c r="A18751"/>
      <c r="B18751"/>
      <c r="C18751"/>
      <c r="E18751"/>
      <c r="F18751"/>
    </row>
    <row r="18752" spans="1:6" x14ac:dyDescent="0.25">
      <c r="A18752"/>
      <c r="B18752"/>
      <c r="C18752"/>
      <c r="E18752"/>
      <c r="F18752"/>
    </row>
    <row r="18753" spans="1:6" x14ac:dyDescent="0.25">
      <c r="A18753"/>
      <c r="B18753"/>
      <c r="C18753"/>
      <c r="E18753"/>
      <c r="F18753"/>
    </row>
    <row r="18754" spans="1:6" x14ac:dyDescent="0.25">
      <c r="A18754"/>
      <c r="B18754"/>
      <c r="C18754"/>
      <c r="E18754"/>
      <c r="F18754"/>
    </row>
    <row r="18755" spans="1:6" x14ac:dyDescent="0.25">
      <c r="A18755"/>
      <c r="B18755"/>
      <c r="C18755"/>
      <c r="E18755"/>
      <c r="F18755"/>
    </row>
    <row r="18756" spans="1:6" x14ac:dyDescent="0.25">
      <c r="A18756"/>
      <c r="B18756"/>
      <c r="C18756"/>
      <c r="E18756"/>
      <c r="F18756"/>
    </row>
    <row r="18757" spans="1:6" x14ac:dyDescent="0.25">
      <c r="A18757"/>
      <c r="B18757"/>
      <c r="C18757"/>
      <c r="E18757"/>
      <c r="F18757"/>
    </row>
    <row r="18758" spans="1:6" x14ac:dyDescent="0.25">
      <c r="A18758"/>
      <c r="B18758"/>
      <c r="C18758"/>
      <c r="E18758"/>
      <c r="F18758"/>
    </row>
    <row r="18759" spans="1:6" x14ac:dyDescent="0.25">
      <c r="A18759"/>
      <c r="B18759"/>
      <c r="C18759"/>
      <c r="E18759"/>
      <c r="F18759"/>
    </row>
    <row r="18760" spans="1:6" x14ac:dyDescent="0.25">
      <c r="A18760"/>
      <c r="B18760"/>
      <c r="C18760"/>
      <c r="E18760"/>
      <c r="F18760"/>
    </row>
    <row r="18761" spans="1:6" x14ac:dyDescent="0.25">
      <c r="A18761"/>
      <c r="B18761"/>
      <c r="C18761"/>
      <c r="E18761"/>
      <c r="F18761"/>
    </row>
    <row r="18762" spans="1:6" x14ac:dyDescent="0.25">
      <c r="A18762"/>
      <c r="B18762"/>
      <c r="C18762"/>
      <c r="E18762"/>
      <c r="F18762"/>
    </row>
    <row r="18763" spans="1:6" x14ac:dyDescent="0.25">
      <c r="A18763"/>
      <c r="B18763"/>
      <c r="C18763"/>
      <c r="E18763"/>
      <c r="F18763"/>
    </row>
    <row r="18764" spans="1:6" x14ac:dyDescent="0.25">
      <c r="A18764"/>
      <c r="B18764"/>
      <c r="C18764"/>
      <c r="E18764"/>
      <c r="F18764"/>
    </row>
    <row r="18765" spans="1:6" x14ac:dyDescent="0.25">
      <c r="A18765"/>
      <c r="B18765"/>
      <c r="C18765"/>
      <c r="E18765"/>
      <c r="F18765"/>
    </row>
    <row r="18766" spans="1:6" x14ac:dyDescent="0.25">
      <c r="A18766"/>
      <c r="B18766"/>
      <c r="C18766"/>
      <c r="E18766"/>
      <c r="F18766"/>
    </row>
    <row r="18767" spans="1:6" x14ac:dyDescent="0.25">
      <c r="A18767"/>
      <c r="B18767"/>
      <c r="C18767"/>
      <c r="E18767"/>
      <c r="F18767"/>
    </row>
    <row r="18768" spans="1:6" x14ac:dyDescent="0.25">
      <c r="A18768"/>
      <c r="B18768"/>
      <c r="C18768"/>
      <c r="E18768"/>
      <c r="F18768"/>
    </row>
    <row r="18769" spans="1:6" x14ac:dyDescent="0.25">
      <c r="A18769"/>
      <c r="B18769"/>
      <c r="C18769"/>
      <c r="E18769"/>
      <c r="F18769"/>
    </row>
    <row r="18770" spans="1:6" x14ac:dyDescent="0.25">
      <c r="A18770"/>
      <c r="B18770"/>
      <c r="C18770"/>
      <c r="E18770"/>
      <c r="F18770"/>
    </row>
    <row r="18771" spans="1:6" x14ac:dyDescent="0.25">
      <c r="A18771"/>
      <c r="B18771"/>
      <c r="C18771"/>
      <c r="E18771"/>
      <c r="F18771"/>
    </row>
    <row r="18772" spans="1:6" x14ac:dyDescent="0.25">
      <c r="A18772"/>
      <c r="B18772"/>
      <c r="C18772"/>
      <c r="E18772"/>
      <c r="F18772"/>
    </row>
    <row r="18773" spans="1:6" x14ac:dyDescent="0.25">
      <c r="A18773"/>
      <c r="B18773"/>
      <c r="C18773"/>
      <c r="E18773"/>
      <c r="F18773"/>
    </row>
    <row r="18774" spans="1:6" x14ac:dyDescent="0.25">
      <c r="A18774"/>
      <c r="B18774"/>
      <c r="C18774"/>
      <c r="E18774"/>
      <c r="F18774"/>
    </row>
    <row r="18775" spans="1:6" x14ac:dyDescent="0.25">
      <c r="A18775"/>
      <c r="B18775"/>
      <c r="C18775"/>
      <c r="E18775"/>
      <c r="F18775"/>
    </row>
    <row r="18776" spans="1:6" x14ac:dyDescent="0.25">
      <c r="A18776"/>
      <c r="B18776"/>
      <c r="C18776"/>
      <c r="E18776"/>
      <c r="F18776"/>
    </row>
    <row r="18777" spans="1:6" x14ac:dyDescent="0.25">
      <c r="A18777"/>
      <c r="B18777"/>
      <c r="C18777"/>
      <c r="E18777"/>
      <c r="F18777"/>
    </row>
    <row r="18778" spans="1:6" x14ac:dyDescent="0.25">
      <c r="A18778"/>
      <c r="B18778"/>
      <c r="C18778"/>
      <c r="E18778"/>
      <c r="F18778"/>
    </row>
    <row r="18779" spans="1:6" x14ac:dyDescent="0.25">
      <c r="A18779"/>
      <c r="B18779"/>
      <c r="C18779"/>
      <c r="E18779"/>
      <c r="F18779"/>
    </row>
    <row r="18780" spans="1:6" x14ac:dyDescent="0.25">
      <c r="A18780"/>
      <c r="B18780"/>
      <c r="C18780"/>
      <c r="E18780"/>
      <c r="F18780"/>
    </row>
    <row r="18781" spans="1:6" x14ac:dyDescent="0.25">
      <c r="A18781"/>
      <c r="B18781"/>
      <c r="C18781"/>
      <c r="E18781"/>
      <c r="F18781"/>
    </row>
    <row r="18782" spans="1:6" x14ac:dyDescent="0.25">
      <c r="A18782"/>
      <c r="B18782"/>
      <c r="C18782"/>
      <c r="E18782"/>
      <c r="F18782"/>
    </row>
    <row r="18783" spans="1:6" x14ac:dyDescent="0.25">
      <c r="A18783"/>
      <c r="B18783"/>
      <c r="C18783"/>
      <c r="E18783"/>
      <c r="F18783"/>
    </row>
    <row r="18784" spans="1:6" x14ac:dyDescent="0.25">
      <c r="A18784"/>
      <c r="B18784"/>
      <c r="C18784"/>
      <c r="E18784"/>
      <c r="F18784"/>
    </row>
    <row r="18785" spans="1:6" x14ac:dyDescent="0.25">
      <c r="A18785"/>
      <c r="B18785"/>
      <c r="C18785"/>
      <c r="E18785"/>
      <c r="F18785"/>
    </row>
    <row r="18786" spans="1:6" x14ac:dyDescent="0.25">
      <c r="A18786"/>
      <c r="B18786"/>
      <c r="C18786"/>
      <c r="E18786"/>
      <c r="F18786"/>
    </row>
    <row r="18787" spans="1:6" x14ac:dyDescent="0.25">
      <c r="A18787"/>
      <c r="B18787"/>
      <c r="C18787"/>
      <c r="E18787"/>
      <c r="F18787"/>
    </row>
    <row r="18788" spans="1:6" x14ac:dyDescent="0.25">
      <c r="A18788"/>
      <c r="B18788"/>
      <c r="C18788"/>
      <c r="E18788"/>
      <c r="F18788"/>
    </row>
    <row r="18789" spans="1:6" x14ac:dyDescent="0.25">
      <c r="A18789"/>
      <c r="B18789"/>
      <c r="C18789"/>
      <c r="E18789"/>
      <c r="F18789"/>
    </row>
    <row r="18790" spans="1:6" x14ac:dyDescent="0.25">
      <c r="A18790"/>
      <c r="B18790"/>
      <c r="C18790"/>
      <c r="E18790"/>
      <c r="F18790"/>
    </row>
    <row r="18791" spans="1:6" x14ac:dyDescent="0.25">
      <c r="A18791"/>
      <c r="B18791"/>
      <c r="C18791"/>
      <c r="E18791"/>
      <c r="F18791"/>
    </row>
    <row r="18792" spans="1:6" x14ac:dyDescent="0.25">
      <c r="A18792"/>
      <c r="B18792"/>
      <c r="C18792"/>
      <c r="E18792"/>
      <c r="F18792"/>
    </row>
    <row r="18793" spans="1:6" x14ac:dyDescent="0.25">
      <c r="A18793"/>
      <c r="B18793"/>
      <c r="C18793"/>
      <c r="E18793"/>
      <c r="F18793"/>
    </row>
    <row r="18794" spans="1:6" x14ac:dyDescent="0.25">
      <c r="A18794"/>
      <c r="B18794"/>
      <c r="C18794"/>
      <c r="E18794"/>
      <c r="F18794"/>
    </row>
    <row r="18795" spans="1:6" x14ac:dyDescent="0.25">
      <c r="A18795"/>
      <c r="B18795"/>
      <c r="C18795"/>
      <c r="E18795"/>
      <c r="F18795"/>
    </row>
    <row r="18796" spans="1:6" x14ac:dyDescent="0.25">
      <c r="A18796"/>
      <c r="B18796"/>
      <c r="C18796"/>
      <c r="E18796"/>
      <c r="F18796"/>
    </row>
    <row r="18797" spans="1:6" x14ac:dyDescent="0.25">
      <c r="A18797"/>
      <c r="B18797"/>
      <c r="C18797"/>
      <c r="E18797"/>
      <c r="F18797"/>
    </row>
    <row r="18798" spans="1:6" x14ac:dyDescent="0.25">
      <c r="A18798"/>
      <c r="B18798"/>
      <c r="C18798"/>
      <c r="E18798"/>
      <c r="F18798"/>
    </row>
    <row r="18799" spans="1:6" x14ac:dyDescent="0.25">
      <c r="A18799"/>
      <c r="B18799"/>
      <c r="C18799"/>
      <c r="E18799"/>
      <c r="F18799"/>
    </row>
    <row r="18800" spans="1:6" x14ac:dyDescent="0.25">
      <c r="A18800"/>
      <c r="B18800"/>
      <c r="C18800"/>
      <c r="E18800"/>
      <c r="F18800"/>
    </row>
    <row r="18801" spans="1:6" x14ac:dyDescent="0.25">
      <c r="A18801"/>
      <c r="B18801"/>
      <c r="C18801"/>
      <c r="E18801"/>
      <c r="F18801"/>
    </row>
    <row r="18802" spans="1:6" x14ac:dyDescent="0.25">
      <c r="A18802"/>
      <c r="B18802"/>
      <c r="C18802"/>
      <c r="E18802"/>
      <c r="F18802"/>
    </row>
    <row r="18803" spans="1:6" x14ac:dyDescent="0.25">
      <c r="A18803"/>
      <c r="B18803"/>
      <c r="C18803"/>
      <c r="E18803"/>
      <c r="F18803"/>
    </row>
    <row r="18804" spans="1:6" x14ac:dyDescent="0.25">
      <c r="A18804"/>
      <c r="B18804"/>
      <c r="C18804"/>
      <c r="E18804"/>
      <c r="F18804"/>
    </row>
    <row r="18805" spans="1:6" x14ac:dyDescent="0.25">
      <c r="A18805"/>
      <c r="B18805"/>
      <c r="C18805"/>
      <c r="E18805"/>
      <c r="F18805"/>
    </row>
    <row r="18806" spans="1:6" x14ac:dyDescent="0.25">
      <c r="A18806"/>
      <c r="B18806"/>
      <c r="C18806"/>
      <c r="E18806"/>
      <c r="F18806"/>
    </row>
    <row r="18807" spans="1:6" x14ac:dyDescent="0.25">
      <c r="A18807"/>
      <c r="B18807"/>
      <c r="C18807"/>
      <c r="E18807"/>
      <c r="F18807"/>
    </row>
    <row r="18808" spans="1:6" x14ac:dyDescent="0.25">
      <c r="A18808"/>
      <c r="B18808"/>
      <c r="C18808"/>
      <c r="E18808"/>
      <c r="F18808"/>
    </row>
    <row r="18809" spans="1:6" x14ac:dyDescent="0.25">
      <c r="A18809"/>
      <c r="B18809"/>
      <c r="C18809"/>
      <c r="E18809"/>
      <c r="F18809"/>
    </row>
    <row r="18810" spans="1:6" x14ac:dyDescent="0.25">
      <c r="A18810"/>
      <c r="B18810"/>
      <c r="C18810"/>
      <c r="E18810"/>
      <c r="F18810"/>
    </row>
    <row r="18811" spans="1:6" x14ac:dyDescent="0.25">
      <c r="A18811"/>
      <c r="B18811"/>
      <c r="C18811"/>
      <c r="E18811"/>
      <c r="F18811"/>
    </row>
    <row r="18812" spans="1:6" x14ac:dyDescent="0.25">
      <c r="A18812"/>
      <c r="B18812"/>
      <c r="C18812"/>
      <c r="E18812"/>
      <c r="F18812"/>
    </row>
    <row r="18813" spans="1:6" x14ac:dyDescent="0.25">
      <c r="A18813"/>
      <c r="B18813"/>
      <c r="C18813"/>
      <c r="E18813"/>
      <c r="F18813"/>
    </row>
    <row r="18814" spans="1:6" x14ac:dyDescent="0.25">
      <c r="A18814"/>
      <c r="B18814"/>
      <c r="C18814"/>
      <c r="E18814"/>
      <c r="F18814"/>
    </row>
    <row r="18815" spans="1:6" x14ac:dyDescent="0.25">
      <c r="A18815"/>
      <c r="B18815"/>
      <c r="C18815"/>
      <c r="E18815"/>
      <c r="F18815"/>
    </row>
    <row r="18816" spans="1:6" x14ac:dyDescent="0.25">
      <c r="A18816"/>
      <c r="B18816"/>
      <c r="C18816"/>
      <c r="E18816"/>
      <c r="F18816"/>
    </row>
    <row r="18817" spans="1:6" x14ac:dyDescent="0.25">
      <c r="A18817"/>
      <c r="B18817"/>
      <c r="C18817"/>
      <c r="E18817"/>
      <c r="F18817"/>
    </row>
    <row r="18818" spans="1:6" x14ac:dyDescent="0.25">
      <c r="A18818"/>
      <c r="B18818"/>
      <c r="C18818"/>
      <c r="E18818"/>
      <c r="F18818"/>
    </row>
    <row r="18819" spans="1:6" x14ac:dyDescent="0.25">
      <c r="A18819"/>
      <c r="B18819"/>
      <c r="C18819"/>
      <c r="E18819"/>
      <c r="F18819"/>
    </row>
    <row r="18820" spans="1:6" x14ac:dyDescent="0.25">
      <c r="A18820"/>
      <c r="B18820"/>
      <c r="C18820"/>
      <c r="E18820"/>
      <c r="F18820"/>
    </row>
    <row r="18821" spans="1:6" x14ac:dyDescent="0.25">
      <c r="A18821"/>
      <c r="B18821"/>
      <c r="C18821"/>
      <c r="E18821"/>
      <c r="F18821"/>
    </row>
    <row r="18822" spans="1:6" x14ac:dyDescent="0.25">
      <c r="A18822"/>
      <c r="B18822"/>
      <c r="C18822"/>
      <c r="E18822"/>
      <c r="F18822"/>
    </row>
    <row r="18823" spans="1:6" x14ac:dyDescent="0.25">
      <c r="A18823"/>
      <c r="B18823"/>
      <c r="C18823"/>
      <c r="E18823"/>
      <c r="F18823"/>
    </row>
    <row r="18824" spans="1:6" x14ac:dyDescent="0.25">
      <c r="A18824"/>
      <c r="B18824"/>
      <c r="C18824"/>
      <c r="E18824"/>
      <c r="F18824"/>
    </row>
    <row r="18825" spans="1:6" x14ac:dyDescent="0.25">
      <c r="A18825"/>
      <c r="B18825"/>
      <c r="C18825"/>
      <c r="E18825"/>
      <c r="F18825"/>
    </row>
    <row r="18826" spans="1:6" x14ac:dyDescent="0.25">
      <c r="A18826"/>
      <c r="B18826"/>
      <c r="C18826"/>
      <c r="E18826"/>
      <c r="F18826"/>
    </row>
    <row r="18827" spans="1:6" x14ac:dyDescent="0.25">
      <c r="A18827"/>
      <c r="B18827"/>
      <c r="C18827"/>
      <c r="E18827"/>
      <c r="F18827"/>
    </row>
    <row r="18828" spans="1:6" x14ac:dyDescent="0.25">
      <c r="A18828"/>
      <c r="B18828"/>
      <c r="C18828"/>
      <c r="E18828"/>
      <c r="F18828"/>
    </row>
    <row r="18829" spans="1:6" x14ac:dyDescent="0.25">
      <c r="A18829"/>
      <c r="B18829"/>
      <c r="C18829"/>
      <c r="E18829"/>
      <c r="F18829"/>
    </row>
    <row r="18830" spans="1:6" x14ac:dyDescent="0.25">
      <c r="A18830"/>
      <c r="B18830"/>
      <c r="C18830"/>
      <c r="E18830"/>
      <c r="F18830"/>
    </row>
    <row r="18831" spans="1:6" x14ac:dyDescent="0.25">
      <c r="A18831"/>
      <c r="B18831"/>
      <c r="C18831"/>
      <c r="E18831"/>
      <c r="F18831"/>
    </row>
    <row r="18832" spans="1:6" x14ac:dyDescent="0.25">
      <c r="A18832"/>
      <c r="B18832"/>
      <c r="C18832"/>
      <c r="E18832"/>
      <c r="F18832"/>
    </row>
    <row r="18833" spans="1:6" x14ac:dyDescent="0.25">
      <c r="A18833"/>
      <c r="B18833"/>
      <c r="C18833"/>
      <c r="E18833"/>
      <c r="F18833"/>
    </row>
    <row r="18834" spans="1:6" x14ac:dyDescent="0.25">
      <c r="A18834"/>
      <c r="B18834"/>
      <c r="C18834"/>
      <c r="E18834"/>
      <c r="F18834"/>
    </row>
    <row r="18835" spans="1:6" x14ac:dyDescent="0.25">
      <c r="A18835"/>
      <c r="B18835"/>
      <c r="C18835"/>
      <c r="E18835"/>
      <c r="F18835"/>
    </row>
    <row r="18836" spans="1:6" x14ac:dyDescent="0.25">
      <c r="A18836"/>
      <c r="B18836"/>
      <c r="C18836"/>
      <c r="E18836"/>
      <c r="F18836"/>
    </row>
    <row r="18837" spans="1:6" x14ac:dyDescent="0.25">
      <c r="A18837"/>
      <c r="B18837"/>
      <c r="C18837"/>
      <c r="E18837"/>
      <c r="F18837"/>
    </row>
    <row r="18838" spans="1:6" x14ac:dyDescent="0.25">
      <c r="A18838"/>
      <c r="B18838"/>
      <c r="C18838"/>
      <c r="E18838"/>
      <c r="F18838"/>
    </row>
    <row r="18839" spans="1:6" x14ac:dyDescent="0.25">
      <c r="A18839"/>
      <c r="B18839"/>
      <c r="C18839"/>
      <c r="E18839"/>
      <c r="F18839"/>
    </row>
    <row r="18840" spans="1:6" x14ac:dyDescent="0.25">
      <c r="A18840"/>
      <c r="B18840"/>
      <c r="C18840"/>
      <c r="E18840"/>
      <c r="F18840"/>
    </row>
    <row r="18841" spans="1:6" x14ac:dyDescent="0.25">
      <c r="A18841"/>
      <c r="B18841"/>
      <c r="C18841"/>
      <c r="E18841"/>
      <c r="F18841"/>
    </row>
    <row r="18842" spans="1:6" x14ac:dyDescent="0.25">
      <c r="A18842"/>
      <c r="B18842"/>
      <c r="C18842"/>
      <c r="E18842"/>
      <c r="F18842"/>
    </row>
    <row r="18843" spans="1:6" x14ac:dyDescent="0.25">
      <c r="A18843"/>
      <c r="B18843"/>
      <c r="C18843"/>
      <c r="E18843"/>
      <c r="F18843"/>
    </row>
    <row r="18844" spans="1:6" x14ac:dyDescent="0.25">
      <c r="A18844"/>
      <c r="B18844"/>
      <c r="C18844"/>
      <c r="E18844"/>
      <c r="F18844"/>
    </row>
    <row r="18845" spans="1:6" x14ac:dyDescent="0.25">
      <c r="A18845"/>
      <c r="B18845"/>
      <c r="C18845"/>
      <c r="E18845"/>
      <c r="F18845"/>
    </row>
    <row r="18846" spans="1:6" x14ac:dyDescent="0.25">
      <c r="A18846"/>
      <c r="B18846"/>
      <c r="C18846"/>
      <c r="E18846"/>
      <c r="F18846"/>
    </row>
    <row r="18847" spans="1:6" x14ac:dyDescent="0.25">
      <c r="A18847"/>
      <c r="B18847"/>
      <c r="C18847"/>
      <c r="E18847"/>
      <c r="F18847"/>
    </row>
    <row r="18848" spans="1:6" x14ac:dyDescent="0.25">
      <c r="A18848"/>
      <c r="B18848"/>
      <c r="C18848"/>
      <c r="E18848"/>
      <c r="F18848"/>
    </row>
    <row r="18849" spans="1:6" x14ac:dyDescent="0.25">
      <c r="A18849"/>
      <c r="B18849"/>
      <c r="C18849"/>
      <c r="E18849"/>
      <c r="F18849"/>
    </row>
    <row r="18850" spans="1:6" x14ac:dyDescent="0.25">
      <c r="A18850"/>
      <c r="B18850"/>
      <c r="C18850"/>
      <c r="E18850"/>
      <c r="F18850"/>
    </row>
    <row r="18851" spans="1:6" x14ac:dyDescent="0.25">
      <c r="A18851"/>
      <c r="B18851"/>
      <c r="C18851"/>
      <c r="E18851"/>
      <c r="F18851"/>
    </row>
    <row r="18852" spans="1:6" x14ac:dyDescent="0.25">
      <c r="A18852"/>
      <c r="B18852"/>
      <c r="C18852"/>
      <c r="E18852"/>
      <c r="F18852"/>
    </row>
    <row r="18853" spans="1:6" x14ac:dyDescent="0.25">
      <c r="A18853"/>
      <c r="B18853"/>
      <c r="C18853"/>
      <c r="E18853"/>
      <c r="F18853"/>
    </row>
    <row r="18854" spans="1:6" x14ac:dyDescent="0.25">
      <c r="A18854"/>
      <c r="B18854"/>
      <c r="C18854"/>
      <c r="E18854"/>
      <c r="F18854"/>
    </row>
    <row r="18855" spans="1:6" x14ac:dyDescent="0.25">
      <c r="A18855"/>
      <c r="B18855"/>
      <c r="C18855"/>
      <c r="E18855"/>
      <c r="F18855"/>
    </row>
    <row r="18856" spans="1:6" x14ac:dyDescent="0.25">
      <c r="A18856"/>
      <c r="B18856"/>
      <c r="C18856"/>
      <c r="E18856"/>
      <c r="F18856"/>
    </row>
    <row r="18857" spans="1:6" x14ac:dyDescent="0.25">
      <c r="A18857"/>
      <c r="B18857"/>
      <c r="C18857"/>
      <c r="E18857"/>
      <c r="F18857"/>
    </row>
    <row r="18858" spans="1:6" x14ac:dyDescent="0.25">
      <c r="A18858"/>
      <c r="B18858"/>
      <c r="C18858"/>
      <c r="E18858"/>
      <c r="F18858"/>
    </row>
    <row r="18859" spans="1:6" x14ac:dyDescent="0.25">
      <c r="A18859"/>
      <c r="B18859"/>
      <c r="C18859"/>
      <c r="E18859"/>
      <c r="F18859"/>
    </row>
    <row r="18860" spans="1:6" x14ac:dyDescent="0.25">
      <c r="A18860"/>
      <c r="B18860"/>
      <c r="C18860"/>
      <c r="E18860"/>
      <c r="F18860"/>
    </row>
    <row r="18861" spans="1:6" x14ac:dyDescent="0.25">
      <c r="A18861"/>
      <c r="B18861"/>
      <c r="C18861"/>
      <c r="E18861"/>
      <c r="F18861"/>
    </row>
    <row r="18862" spans="1:6" x14ac:dyDescent="0.25">
      <c r="A18862"/>
      <c r="B18862"/>
      <c r="C18862"/>
      <c r="E18862"/>
      <c r="F18862"/>
    </row>
    <row r="18863" spans="1:6" x14ac:dyDescent="0.25">
      <c r="A18863"/>
      <c r="B18863"/>
      <c r="C18863"/>
      <c r="E18863"/>
      <c r="F18863"/>
    </row>
    <row r="18864" spans="1:6" x14ac:dyDescent="0.25">
      <c r="A18864"/>
      <c r="B18864"/>
      <c r="C18864"/>
      <c r="E18864"/>
      <c r="F18864"/>
    </row>
    <row r="18865" spans="1:6" x14ac:dyDescent="0.25">
      <c r="A18865"/>
      <c r="B18865"/>
      <c r="C18865"/>
      <c r="E18865"/>
      <c r="F18865"/>
    </row>
    <row r="18866" spans="1:6" x14ac:dyDescent="0.25">
      <c r="A18866"/>
      <c r="B18866"/>
      <c r="C18866"/>
      <c r="E18866"/>
      <c r="F18866"/>
    </row>
    <row r="18867" spans="1:6" x14ac:dyDescent="0.25">
      <c r="A18867"/>
      <c r="B18867"/>
      <c r="C18867"/>
      <c r="E18867"/>
      <c r="F18867"/>
    </row>
    <row r="18868" spans="1:6" x14ac:dyDescent="0.25">
      <c r="A18868"/>
      <c r="B18868"/>
      <c r="C18868"/>
      <c r="E18868"/>
      <c r="F18868"/>
    </row>
    <row r="18869" spans="1:6" x14ac:dyDescent="0.25">
      <c r="A18869"/>
      <c r="B18869"/>
      <c r="C18869"/>
      <c r="E18869"/>
      <c r="F18869"/>
    </row>
    <row r="18870" spans="1:6" x14ac:dyDescent="0.25">
      <c r="A18870"/>
      <c r="B18870"/>
      <c r="C18870"/>
      <c r="E18870"/>
      <c r="F18870"/>
    </row>
    <row r="18871" spans="1:6" x14ac:dyDescent="0.25">
      <c r="A18871"/>
      <c r="B18871"/>
      <c r="C18871"/>
      <c r="E18871"/>
      <c r="F18871"/>
    </row>
    <row r="18872" spans="1:6" x14ac:dyDescent="0.25">
      <c r="A18872"/>
      <c r="B18872"/>
      <c r="C18872"/>
      <c r="E18872"/>
      <c r="F18872"/>
    </row>
    <row r="18873" spans="1:6" x14ac:dyDescent="0.25">
      <c r="A18873"/>
      <c r="B18873"/>
      <c r="C18873"/>
      <c r="E18873"/>
      <c r="F18873"/>
    </row>
    <row r="18874" spans="1:6" x14ac:dyDescent="0.25">
      <c r="A18874"/>
      <c r="B18874"/>
      <c r="C18874"/>
      <c r="E18874"/>
      <c r="F18874"/>
    </row>
    <row r="18875" spans="1:6" x14ac:dyDescent="0.25">
      <c r="A18875"/>
      <c r="B18875"/>
      <c r="C18875"/>
      <c r="E18875"/>
      <c r="F18875"/>
    </row>
    <row r="18876" spans="1:6" x14ac:dyDescent="0.25">
      <c r="A18876"/>
      <c r="B18876"/>
      <c r="C18876"/>
      <c r="E18876"/>
      <c r="F18876"/>
    </row>
    <row r="18877" spans="1:6" x14ac:dyDescent="0.25">
      <c r="A18877"/>
      <c r="B18877"/>
      <c r="C18877"/>
      <c r="E18877"/>
      <c r="F18877"/>
    </row>
    <row r="18878" spans="1:6" x14ac:dyDescent="0.25">
      <c r="A18878"/>
      <c r="B18878"/>
      <c r="C18878"/>
      <c r="E18878"/>
      <c r="F18878"/>
    </row>
    <row r="18879" spans="1:6" x14ac:dyDescent="0.25">
      <c r="A18879"/>
      <c r="B18879"/>
      <c r="C18879"/>
      <c r="E18879"/>
      <c r="F18879"/>
    </row>
    <row r="18880" spans="1:6" x14ac:dyDescent="0.25">
      <c r="A18880"/>
      <c r="B18880"/>
      <c r="C18880"/>
      <c r="E18880"/>
      <c r="F18880"/>
    </row>
    <row r="18881" spans="1:6" x14ac:dyDescent="0.25">
      <c r="A18881"/>
      <c r="B18881"/>
      <c r="C18881"/>
      <c r="E18881"/>
      <c r="F18881"/>
    </row>
    <row r="18882" spans="1:6" x14ac:dyDescent="0.25">
      <c r="A18882"/>
      <c r="B18882"/>
      <c r="C18882"/>
      <c r="E18882"/>
      <c r="F18882"/>
    </row>
    <row r="18883" spans="1:6" x14ac:dyDescent="0.25">
      <c r="A18883"/>
      <c r="B18883"/>
      <c r="C18883"/>
      <c r="E18883"/>
      <c r="F18883"/>
    </row>
    <row r="18884" spans="1:6" x14ac:dyDescent="0.25">
      <c r="A18884"/>
      <c r="B18884"/>
      <c r="C18884"/>
      <c r="E18884"/>
      <c r="F18884"/>
    </row>
    <row r="18885" spans="1:6" x14ac:dyDescent="0.25">
      <c r="A18885"/>
      <c r="B18885"/>
      <c r="C18885"/>
      <c r="E18885"/>
      <c r="F18885"/>
    </row>
    <row r="18886" spans="1:6" x14ac:dyDescent="0.25">
      <c r="A18886"/>
      <c r="B18886"/>
      <c r="C18886"/>
      <c r="E18886"/>
      <c r="F18886"/>
    </row>
    <row r="18887" spans="1:6" x14ac:dyDescent="0.25">
      <c r="A18887"/>
      <c r="B18887"/>
      <c r="C18887"/>
      <c r="E18887"/>
      <c r="F18887"/>
    </row>
    <row r="18888" spans="1:6" x14ac:dyDescent="0.25">
      <c r="A18888"/>
      <c r="B18888"/>
      <c r="C18888"/>
      <c r="E18888"/>
      <c r="F18888"/>
    </row>
    <row r="18889" spans="1:6" x14ac:dyDescent="0.25">
      <c r="A18889"/>
      <c r="B18889"/>
      <c r="C18889"/>
      <c r="E18889"/>
      <c r="F18889"/>
    </row>
    <row r="18890" spans="1:6" x14ac:dyDescent="0.25">
      <c r="A18890"/>
      <c r="B18890"/>
      <c r="C18890"/>
      <c r="E18890"/>
      <c r="F18890"/>
    </row>
    <row r="18891" spans="1:6" x14ac:dyDescent="0.25">
      <c r="A18891"/>
      <c r="B18891"/>
      <c r="C18891"/>
      <c r="E18891"/>
      <c r="F18891"/>
    </row>
    <row r="18892" spans="1:6" x14ac:dyDescent="0.25">
      <c r="A18892"/>
      <c r="B18892"/>
      <c r="C18892"/>
      <c r="E18892"/>
      <c r="F18892"/>
    </row>
    <row r="18893" spans="1:6" x14ac:dyDescent="0.25">
      <c r="A18893"/>
      <c r="B18893"/>
      <c r="C18893"/>
      <c r="E18893"/>
      <c r="F18893"/>
    </row>
    <row r="18894" spans="1:6" x14ac:dyDescent="0.25">
      <c r="A18894"/>
      <c r="B18894"/>
      <c r="C18894"/>
      <c r="E18894"/>
      <c r="F18894"/>
    </row>
    <row r="18895" spans="1:6" x14ac:dyDescent="0.25">
      <c r="A18895"/>
      <c r="B18895"/>
      <c r="C18895"/>
      <c r="E18895"/>
      <c r="F18895"/>
    </row>
    <row r="18896" spans="1:6" x14ac:dyDescent="0.25">
      <c r="A18896"/>
      <c r="B18896"/>
      <c r="C18896"/>
      <c r="E18896"/>
      <c r="F18896"/>
    </row>
    <row r="18897" spans="1:6" x14ac:dyDescent="0.25">
      <c r="A18897"/>
      <c r="B18897"/>
      <c r="C18897"/>
      <c r="E18897"/>
      <c r="F18897"/>
    </row>
    <row r="18898" spans="1:6" x14ac:dyDescent="0.25">
      <c r="A18898"/>
      <c r="B18898"/>
      <c r="C18898"/>
      <c r="E18898"/>
      <c r="F18898"/>
    </row>
    <row r="18899" spans="1:6" x14ac:dyDescent="0.25">
      <c r="A18899"/>
      <c r="B18899"/>
      <c r="C18899"/>
      <c r="E18899"/>
      <c r="F18899"/>
    </row>
    <row r="18900" spans="1:6" x14ac:dyDescent="0.25">
      <c r="A18900"/>
      <c r="B18900"/>
      <c r="C18900"/>
      <c r="E18900"/>
      <c r="F18900"/>
    </row>
    <row r="18901" spans="1:6" x14ac:dyDescent="0.25">
      <c r="A18901"/>
      <c r="B18901"/>
      <c r="C18901"/>
      <c r="E18901"/>
      <c r="F18901"/>
    </row>
    <row r="18902" spans="1:6" x14ac:dyDescent="0.25">
      <c r="A18902"/>
      <c r="B18902"/>
      <c r="C18902"/>
      <c r="E18902"/>
      <c r="F18902"/>
    </row>
    <row r="18903" spans="1:6" x14ac:dyDescent="0.25">
      <c r="A18903"/>
      <c r="B18903"/>
      <c r="C18903"/>
      <c r="E18903"/>
      <c r="F18903"/>
    </row>
    <row r="18904" spans="1:6" x14ac:dyDescent="0.25">
      <c r="A18904"/>
      <c r="B18904"/>
      <c r="C18904"/>
      <c r="E18904"/>
      <c r="F18904"/>
    </row>
    <row r="18905" spans="1:6" x14ac:dyDescent="0.25">
      <c r="A18905"/>
      <c r="B18905"/>
      <c r="C18905"/>
      <c r="E18905"/>
      <c r="F18905"/>
    </row>
    <row r="18906" spans="1:6" x14ac:dyDescent="0.25">
      <c r="A18906"/>
      <c r="B18906"/>
      <c r="C18906"/>
      <c r="E18906"/>
      <c r="F18906"/>
    </row>
    <row r="18907" spans="1:6" x14ac:dyDescent="0.25">
      <c r="A18907"/>
      <c r="B18907"/>
      <c r="C18907"/>
      <c r="E18907"/>
      <c r="F18907"/>
    </row>
    <row r="18908" spans="1:6" x14ac:dyDescent="0.25">
      <c r="A18908"/>
      <c r="B18908"/>
      <c r="C18908"/>
      <c r="E18908"/>
      <c r="F18908"/>
    </row>
    <row r="18909" spans="1:6" x14ac:dyDescent="0.25">
      <c r="A18909"/>
      <c r="B18909"/>
      <c r="C18909"/>
      <c r="E18909"/>
      <c r="F18909"/>
    </row>
    <row r="18910" spans="1:6" x14ac:dyDescent="0.25">
      <c r="A18910"/>
      <c r="B18910"/>
      <c r="C18910"/>
      <c r="E18910"/>
      <c r="F18910"/>
    </row>
    <row r="18911" spans="1:6" x14ac:dyDescent="0.25">
      <c r="A18911"/>
      <c r="B18911"/>
      <c r="C18911"/>
      <c r="E18911"/>
      <c r="F18911"/>
    </row>
    <row r="18912" spans="1:6" x14ac:dyDescent="0.25">
      <c r="A18912"/>
      <c r="B18912"/>
      <c r="C18912"/>
      <c r="E18912"/>
      <c r="F18912"/>
    </row>
    <row r="18913" spans="1:6" x14ac:dyDescent="0.25">
      <c r="A18913"/>
      <c r="B18913"/>
      <c r="C18913"/>
      <c r="E18913"/>
      <c r="F18913"/>
    </row>
    <row r="18914" spans="1:6" x14ac:dyDescent="0.25">
      <c r="A18914"/>
      <c r="B18914"/>
      <c r="C18914"/>
      <c r="E18914"/>
      <c r="F18914"/>
    </row>
    <row r="18915" spans="1:6" x14ac:dyDescent="0.25">
      <c r="A18915"/>
      <c r="B18915"/>
      <c r="C18915"/>
      <c r="E18915"/>
      <c r="F18915"/>
    </row>
    <row r="18916" spans="1:6" x14ac:dyDescent="0.25">
      <c r="A18916"/>
      <c r="B18916"/>
      <c r="C18916"/>
      <c r="E18916"/>
      <c r="F18916"/>
    </row>
    <row r="18917" spans="1:6" x14ac:dyDescent="0.25">
      <c r="A18917"/>
      <c r="B18917"/>
      <c r="C18917"/>
      <c r="E18917"/>
      <c r="F18917"/>
    </row>
    <row r="18918" spans="1:6" x14ac:dyDescent="0.25">
      <c r="A18918"/>
      <c r="B18918"/>
      <c r="C18918"/>
      <c r="E18918"/>
      <c r="F18918"/>
    </row>
    <row r="18919" spans="1:6" x14ac:dyDescent="0.25">
      <c r="A18919"/>
      <c r="B18919"/>
      <c r="C18919"/>
      <c r="E18919"/>
      <c r="F18919"/>
    </row>
    <row r="18920" spans="1:6" x14ac:dyDescent="0.25">
      <c r="A18920"/>
      <c r="B18920"/>
      <c r="C18920"/>
      <c r="E18920"/>
      <c r="F18920"/>
    </row>
    <row r="18921" spans="1:6" x14ac:dyDescent="0.25">
      <c r="A18921"/>
      <c r="B18921"/>
      <c r="C18921"/>
      <c r="E18921"/>
      <c r="F18921"/>
    </row>
    <row r="18922" spans="1:6" x14ac:dyDescent="0.25">
      <c r="A18922"/>
      <c r="B18922"/>
      <c r="C18922"/>
      <c r="E18922"/>
      <c r="F18922"/>
    </row>
    <row r="18923" spans="1:6" x14ac:dyDescent="0.25">
      <c r="A18923"/>
      <c r="B18923"/>
      <c r="C18923"/>
      <c r="E18923"/>
      <c r="F18923"/>
    </row>
    <row r="18924" spans="1:6" x14ac:dyDescent="0.25">
      <c r="A18924"/>
      <c r="B18924"/>
      <c r="C18924"/>
      <c r="E18924"/>
      <c r="F18924"/>
    </row>
    <row r="18925" spans="1:6" x14ac:dyDescent="0.25">
      <c r="A18925"/>
      <c r="B18925"/>
      <c r="C18925"/>
      <c r="E18925"/>
      <c r="F18925"/>
    </row>
    <row r="18926" spans="1:6" x14ac:dyDescent="0.25">
      <c r="A18926"/>
      <c r="B18926"/>
      <c r="C18926"/>
      <c r="E18926"/>
      <c r="F18926"/>
    </row>
    <row r="18927" spans="1:6" x14ac:dyDescent="0.25">
      <c r="A18927"/>
      <c r="B18927"/>
      <c r="C18927"/>
      <c r="E18927"/>
      <c r="F18927"/>
    </row>
    <row r="18928" spans="1:6" x14ac:dyDescent="0.25">
      <c r="A18928"/>
      <c r="B18928"/>
      <c r="C18928"/>
      <c r="E18928"/>
      <c r="F18928"/>
    </row>
    <row r="18929" spans="1:6" x14ac:dyDescent="0.25">
      <c r="A18929"/>
      <c r="B18929"/>
      <c r="C18929"/>
      <c r="E18929"/>
      <c r="F18929"/>
    </row>
    <row r="18930" spans="1:6" x14ac:dyDescent="0.25">
      <c r="A18930"/>
      <c r="B18930"/>
      <c r="C18930"/>
      <c r="E18930"/>
      <c r="F18930"/>
    </row>
    <row r="18931" spans="1:6" x14ac:dyDescent="0.25">
      <c r="A18931"/>
      <c r="B18931"/>
      <c r="C18931"/>
      <c r="E18931"/>
      <c r="F18931"/>
    </row>
    <row r="18932" spans="1:6" x14ac:dyDescent="0.25">
      <c r="A18932"/>
      <c r="B18932"/>
      <c r="C18932"/>
      <c r="E18932"/>
      <c r="F18932"/>
    </row>
    <row r="18933" spans="1:6" x14ac:dyDescent="0.25">
      <c r="A18933"/>
      <c r="B18933"/>
      <c r="C18933"/>
      <c r="E18933"/>
      <c r="F18933"/>
    </row>
    <row r="18934" spans="1:6" x14ac:dyDescent="0.25">
      <c r="A18934"/>
      <c r="B18934"/>
      <c r="C18934"/>
      <c r="E18934"/>
      <c r="F18934"/>
    </row>
    <row r="18935" spans="1:6" x14ac:dyDescent="0.25">
      <c r="A18935"/>
      <c r="B18935"/>
      <c r="C18935"/>
      <c r="E18935"/>
      <c r="F18935"/>
    </row>
    <row r="18936" spans="1:6" x14ac:dyDescent="0.25">
      <c r="A18936"/>
      <c r="B18936"/>
      <c r="C18936"/>
      <c r="E18936"/>
      <c r="F18936"/>
    </row>
    <row r="18937" spans="1:6" x14ac:dyDescent="0.25">
      <c r="A18937"/>
      <c r="B18937"/>
      <c r="C18937"/>
      <c r="E18937"/>
      <c r="F18937"/>
    </row>
    <row r="18938" spans="1:6" x14ac:dyDescent="0.25">
      <c r="A18938"/>
      <c r="B18938"/>
      <c r="C18938"/>
      <c r="E18938"/>
      <c r="F18938"/>
    </row>
    <row r="18939" spans="1:6" x14ac:dyDescent="0.25">
      <c r="A18939"/>
      <c r="B18939"/>
      <c r="C18939"/>
      <c r="E18939"/>
      <c r="F18939"/>
    </row>
    <row r="18940" spans="1:6" x14ac:dyDescent="0.25">
      <c r="A18940"/>
      <c r="B18940"/>
      <c r="C18940"/>
      <c r="E18940"/>
      <c r="F18940"/>
    </row>
    <row r="18941" spans="1:6" x14ac:dyDescent="0.25">
      <c r="A18941"/>
      <c r="B18941"/>
      <c r="C18941"/>
      <c r="E18941"/>
      <c r="F18941"/>
    </row>
    <row r="18942" spans="1:6" x14ac:dyDescent="0.25">
      <c r="A18942"/>
      <c r="B18942"/>
      <c r="C18942"/>
      <c r="E18942"/>
      <c r="F18942"/>
    </row>
    <row r="18943" spans="1:6" x14ac:dyDescent="0.25">
      <c r="A18943"/>
      <c r="B18943"/>
      <c r="C18943"/>
      <c r="E18943"/>
      <c r="F18943"/>
    </row>
    <row r="18944" spans="1:6" x14ac:dyDescent="0.25">
      <c r="A18944"/>
      <c r="B18944"/>
      <c r="C18944"/>
      <c r="E18944"/>
      <c r="F18944"/>
    </row>
    <row r="18945" spans="1:6" x14ac:dyDescent="0.25">
      <c r="A18945"/>
      <c r="B18945"/>
      <c r="C18945"/>
      <c r="E18945"/>
      <c r="F18945"/>
    </row>
    <row r="18946" spans="1:6" x14ac:dyDescent="0.25">
      <c r="A18946"/>
      <c r="B18946"/>
      <c r="C18946"/>
      <c r="E18946"/>
      <c r="F18946"/>
    </row>
    <row r="18947" spans="1:6" x14ac:dyDescent="0.25">
      <c r="A18947"/>
      <c r="B18947"/>
      <c r="C18947"/>
      <c r="E18947"/>
      <c r="F18947"/>
    </row>
    <row r="18948" spans="1:6" x14ac:dyDescent="0.25">
      <c r="A18948"/>
      <c r="B18948"/>
      <c r="C18948"/>
      <c r="E18948"/>
      <c r="F18948"/>
    </row>
    <row r="18949" spans="1:6" x14ac:dyDescent="0.25">
      <c r="A18949"/>
      <c r="B18949"/>
      <c r="C18949"/>
      <c r="E18949"/>
      <c r="F18949"/>
    </row>
    <row r="18950" spans="1:6" x14ac:dyDescent="0.25">
      <c r="A18950"/>
      <c r="B18950"/>
      <c r="C18950"/>
      <c r="E18950"/>
      <c r="F18950"/>
    </row>
    <row r="18951" spans="1:6" x14ac:dyDescent="0.25">
      <c r="A18951"/>
      <c r="B18951"/>
      <c r="C18951"/>
      <c r="E18951"/>
      <c r="F18951"/>
    </row>
    <row r="18952" spans="1:6" x14ac:dyDescent="0.25">
      <c r="A18952"/>
      <c r="B18952"/>
      <c r="C18952"/>
      <c r="E18952"/>
      <c r="F18952"/>
    </row>
    <row r="18953" spans="1:6" x14ac:dyDescent="0.25">
      <c r="A18953"/>
      <c r="B18953"/>
      <c r="C18953"/>
      <c r="E18953"/>
      <c r="F18953"/>
    </row>
    <row r="18954" spans="1:6" x14ac:dyDescent="0.25">
      <c r="A18954"/>
      <c r="B18954"/>
      <c r="C18954"/>
      <c r="E18954"/>
      <c r="F18954"/>
    </row>
    <row r="18955" spans="1:6" x14ac:dyDescent="0.25">
      <c r="A18955"/>
      <c r="B18955"/>
      <c r="C18955"/>
      <c r="E18955"/>
      <c r="F18955"/>
    </row>
    <row r="18956" spans="1:6" x14ac:dyDescent="0.25">
      <c r="A18956"/>
      <c r="B18956"/>
      <c r="C18956"/>
      <c r="E18956"/>
      <c r="F18956"/>
    </row>
    <row r="18957" spans="1:6" x14ac:dyDescent="0.25">
      <c r="A18957"/>
      <c r="B18957"/>
      <c r="C18957"/>
      <c r="E18957"/>
      <c r="F18957"/>
    </row>
    <row r="18958" spans="1:6" x14ac:dyDescent="0.25">
      <c r="A18958"/>
      <c r="B18958"/>
      <c r="C18958"/>
      <c r="E18958"/>
      <c r="F18958"/>
    </row>
    <row r="18959" spans="1:6" x14ac:dyDescent="0.25">
      <c r="A18959"/>
      <c r="B18959"/>
      <c r="C18959"/>
      <c r="E18959"/>
      <c r="F18959"/>
    </row>
    <row r="18960" spans="1:6" x14ac:dyDescent="0.25">
      <c r="A18960"/>
      <c r="B18960"/>
      <c r="C18960"/>
      <c r="E18960"/>
      <c r="F18960"/>
    </row>
    <row r="18961" spans="1:6" x14ac:dyDescent="0.25">
      <c r="A18961"/>
      <c r="B18961"/>
      <c r="C18961"/>
      <c r="E18961"/>
      <c r="F18961"/>
    </row>
    <row r="18962" spans="1:6" x14ac:dyDescent="0.25">
      <c r="A18962"/>
      <c r="B18962"/>
      <c r="C18962"/>
      <c r="E18962"/>
      <c r="F18962"/>
    </row>
    <row r="18963" spans="1:6" x14ac:dyDescent="0.25">
      <c r="A18963"/>
      <c r="B18963"/>
      <c r="C18963"/>
      <c r="E18963"/>
      <c r="F18963"/>
    </row>
    <row r="18964" spans="1:6" x14ac:dyDescent="0.25">
      <c r="A18964"/>
      <c r="B18964"/>
      <c r="C18964"/>
      <c r="E18964"/>
      <c r="F18964"/>
    </row>
    <row r="18965" spans="1:6" x14ac:dyDescent="0.25">
      <c r="A18965"/>
      <c r="B18965"/>
      <c r="C18965"/>
      <c r="E18965"/>
      <c r="F18965"/>
    </row>
    <row r="18966" spans="1:6" x14ac:dyDescent="0.25">
      <c r="A18966"/>
      <c r="B18966"/>
      <c r="C18966"/>
      <c r="E18966"/>
      <c r="F18966"/>
    </row>
    <row r="18967" spans="1:6" x14ac:dyDescent="0.25">
      <c r="A18967"/>
      <c r="B18967"/>
      <c r="C18967"/>
      <c r="E18967"/>
      <c r="F18967"/>
    </row>
    <row r="18968" spans="1:6" x14ac:dyDescent="0.25">
      <c r="A18968"/>
      <c r="B18968"/>
      <c r="C18968"/>
      <c r="E18968"/>
      <c r="F18968"/>
    </row>
    <row r="18969" spans="1:6" x14ac:dyDescent="0.25">
      <c r="A18969"/>
      <c r="B18969"/>
      <c r="C18969"/>
      <c r="E18969"/>
      <c r="F18969"/>
    </row>
    <row r="18970" spans="1:6" x14ac:dyDescent="0.25">
      <c r="A18970"/>
      <c r="B18970"/>
      <c r="C18970"/>
      <c r="E18970"/>
      <c r="F18970"/>
    </row>
    <row r="18971" spans="1:6" x14ac:dyDescent="0.25">
      <c r="A18971"/>
      <c r="B18971"/>
      <c r="C18971"/>
      <c r="E18971"/>
      <c r="F18971"/>
    </row>
    <row r="18972" spans="1:6" x14ac:dyDescent="0.25">
      <c r="A18972"/>
      <c r="B18972"/>
      <c r="C18972"/>
      <c r="E18972"/>
      <c r="F18972"/>
    </row>
    <row r="18973" spans="1:6" x14ac:dyDescent="0.25">
      <c r="A18973"/>
      <c r="B18973"/>
      <c r="C18973"/>
      <c r="E18973"/>
      <c r="F18973"/>
    </row>
    <row r="18974" spans="1:6" x14ac:dyDescent="0.25">
      <c r="A18974"/>
      <c r="B18974"/>
      <c r="C18974"/>
      <c r="E18974"/>
      <c r="F18974"/>
    </row>
    <row r="18975" spans="1:6" x14ac:dyDescent="0.25">
      <c r="A18975"/>
      <c r="B18975"/>
      <c r="C18975"/>
      <c r="E18975"/>
      <c r="F18975"/>
    </row>
    <row r="18976" spans="1:6" x14ac:dyDescent="0.25">
      <c r="A18976"/>
      <c r="B18976"/>
      <c r="C18976"/>
      <c r="E18976"/>
      <c r="F18976"/>
    </row>
    <row r="18977" spans="1:6" x14ac:dyDescent="0.25">
      <c r="A18977"/>
      <c r="B18977"/>
      <c r="C18977"/>
      <c r="E18977"/>
      <c r="F18977"/>
    </row>
    <row r="18978" spans="1:6" x14ac:dyDescent="0.25">
      <c r="A18978"/>
      <c r="B18978"/>
      <c r="C18978"/>
      <c r="E18978"/>
      <c r="F18978"/>
    </row>
    <row r="18979" spans="1:6" x14ac:dyDescent="0.25">
      <c r="A18979"/>
      <c r="B18979"/>
      <c r="C18979"/>
      <c r="E18979"/>
      <c r="F18979"/>
    </row>
    <row r="18980" spans="1:6" x14ac:dyDescent="0.25">
      <c r="A18980"/>
      <c r="B18980"/>
      <c r="C18980"/>
      <c r="E18980"/>
      <c r="F18980"/>
    </row>
    <row r="18981" spans="1:6" x14ac:dyDescent="0.25">
      <c r="A18981"/>
      <c r="B18981"/>
      <c r="C18981"/>
      <c r="E18981"/>
      <c r="F18981"/>
    </row>
    <row r="18982" spans="1:6" x14ac:dyDescent="0.25">
      <c r="A18982"/>
      <c r="B18982"/>
      <c r="C18982"/>
      <c r="E18982"/>
      <c r="F18982"/>
    </row>
    <row r="18983" spans="1:6" x14ac:dyDescent="0.25">
      <c r="A18983"/>
      <c r="B18983"/>
      <c r="C18983"/>
      <c r="E18983"/>
      <c r="F18983"/>
    </row>
    <row r="18984" spans="1:6" x14ac:dyDescent="0.25">
      <c r="A18984"/>
      <c r="B18984"/>
      <c r="C18984"/>
      <c r="E18984"/>
      <c r="F18984"/>
    </row>
    <row r="18985" spans="1:6" x14ac:dyDescent="0.25">
      <c r="A18985"/>
      <c r="B18985"/>
      <c r="C18985"/>
      <c r="E18985"/>
      <c r="F18985"/>
    </row>
    <row r="18986" spans="1:6" x14ac:dyDescent="0.25">
      <c r="A18986"/>
      <c r="B18986"/>
      <c r="C18986"/>
      <c r="E18986"/>
      <c r="F18986"/>
    </row>
    <row r="18987" spans="1:6" x14ac:dyDescent="0.25">
      <c r="A18987"/>
      <c r="B18987"/>
      <c r="C18987"/>
      <c r="E18987"/>
      <c r="F18987"/>
    </row>
    <row r="18988" spans="1:6" x14ac:dyDescent="0.25">
      <c r="A18988"/>
      <c r="B18988"/>
      <c r="C18988"/>
      <c r="E18988"/>
      <c r="F18988"/>
    </row>
    <row r="18989" spans="1:6" x14ac:dyDescent="0.25">
      <c r="A18989"/>
      <c r="B18989"/>
      <c r="C18989"/>
      <c r="E18989"/>
      <c r="F18989"/>
    </row>
    <row r="18990" spans="1:6" x14ac:dyDescent="0.25">
      <c r="A18990"/>
      <c r="B18990"/>
      <c r="C18990"/>
      <c r="E18990"/>
      <c r="F18990"/>
    </row>
    <row r="18991" spans="1:6" x14ac:dyDescent="0.25">
      <c r="A18991"/>
      <c r="B18991"/>
      <c r="C18991"/>
      <c r="E18991"/>
      <c r="F18991"/>
    </row>
    <row r="18992" spans="1:6" x14ac:dyDescent="0.25">
      <c r="A18992"/>
      <c r="B18992"/>
      <c r="C18992"/>
      <c r="E18992"/>
      <c r="F18992"/>
    </row>
    <row r="18993" spans="1:6" x14ac:dyDescent="0.25">
      <c r="A18993"/>
      <c r="B18993"/>
      <c r="C18993"/>
      <c r="E18993"/>
      <c r="F18993"/>
    </row>
    <row r="18994" spans="1:6" x14ac:dyDescent="0.25">
      <c r="A18994"/>
      <c r="B18994"/>
      <c r="C18994"/>
      <c r="E18994"/>
      <c r="F18994"/>
    </row>
    <row r="18995" spans="1:6" x14ac:dyDescent="0.25">
      <c r="A18995"/>
      <c r="B18995"/>
      <c r="C18995"/>
      <c r="E18995"/>
      <c r="F18995"/>
    </row>
    <row r="18996" spans="1:6" x14ac:dyDescent="0.25">
      <c r="A18996"/>
      <c r="B18996"/>
      <c r="C18996"/>
      <c r="E18996"/>
      <c r="F18996"/>
    </row>
    <row r="18997" spans="1:6" x14ac:dyDescent="0.25">
      <c r="A18997"/>
      <c r="B18997"/>
      <c r="C18997"/>
      <c r="E18997"/>
      <c r="F18997"/>
    </row>
    <row r="18998" spans="1:6" x14ac:dyDescent="0.25">
      <c r="A18998"/>
      <c r="B18998"/>
      <c r="C18998"/>
      <c r="E18998"/>
      <c r="F18998"/>
    </row>
    <row r="18999" spans="1:6" x14ac:dyDescent="0.25">
      <c r="A18999"/>
      <c r="B18999"/>
      <c r="C18999"/>
      <c r="E18999"/>
      <c r="F18999"/>
    </row>
    <row r="19000" spans="1:6" x14ac:dyDescent="0.25">
      <c r="A19000"/>
      <c r="B19000"/>
      <c r="C19000"/>
      <c r="E19000"/>
      <c r="F19000"/>
    </row>
    <row r="19001" spans="1:6" x14ac:dyDescent="0.25">
      <c r="A19001"/>
      <c r="B19001"/>
      <c r="C19001"/>
      <c r="E19001"/>
      <c r="F19001"/>
    </row>
    <row r="19002" spans="1:6" x14ac:dyDescent="0.25">
      <c r="A19002"/>
      <c r="B19002"/>
      <c r="C19002"/>
      <c r="E19002"/>
      <c r="F19002"/>
    </row>
    <row r="19003" spans="1:6" x14ac:dyDescent="0.25">
      <c r="A19003"/>
      <c r="B19003"/>
      <c r="C19003"/>
      <c r="E19003"/>
      <c r="F19003"/>
    </row>
    <row r="19004" spans="1:6" x14ac:dyDescent="0.25">
      <c r="A19004"/>
      <c r="B19004"/>
      <c r="C19004"/>
      <c r="E19004"/>
      <c r="F19004"/>
    </row>
    <row r="19005" spans="1:6" x14ac:dyDescent="0.25">
      <c r="A19005"/>
      <c r="B19005"/>
      <c r="C19005"/>
      <c r="E19005"/>
      <c r="F19005"/>
    </row>
    <row r="19006" spans="1:6" x14ac:dyDescent="0.25">
      <c r="A19006"/>
      <c r="B19006"/>
      <c r="C19006"/>
      <c r="E19006"/>
      <c r="F19006"/>
    </row>
    <row r="19007" spans="1:6" x14ac:dyDescent="0.25">
      <c r="A19007"/>
      <c r="B19007"/>
      <c r="C19007"/>
      <c r="E19007"/>
      <c r="F19007"/>
    </row>
    <row r="19008" spans="1:6" x14ac:dyDescent="0.25">
      <c r="A19008"/>
      <c r="B19008"/>
      <c r="C19008"/>
      <c r="E19008"/>
      <c r="F19008"/>
    </row>
    <row r="19009" spans="1:6" x14ac:dyDescent="0.25">
      <c r="A19009"/>
      <c r="B19009"/>
      <c r="C19009"/>
      <c r="E19009"/>
      <c r="F19009"/>
    </row>
    <row r="19010" spans="1:6" x14ac:dyDescent="0.25">
      <c r="A19010"/>
      <c r="B19010"/>
      <c r="C19010"/>
      <c r="E19010"/>
      <c r="F19010"/>
    </row>
    <row r="19011" spans="1:6" x14ac:dyDescent="0.25">
      <c r="A19011"/>
      <c r="B19011"/>
      <c r="C19011"/>
      <c r="E19011"/>
      <c r="F19011"/>
    </row>
    <row r="19012" spans="1:6" x14ac:dyDescent="0.25">
      <c r="A19012"/>
      <c r="B19012"/>
      <c r="C19012"/>
      <c r="E19012"/>
      <c r="F19012"/>
    </row>
    <row r="19013" spans="1:6" x14ac:dyDescent="0.25">
      <c r="A19013"/>
      <c r="B19013"/>
      <c r="C19013"/>
      <c r="E19013"/>
      <c r="F19013"/>
    </row>
    <row r="19014" spans="1:6" x14ac:dyDescent="0.25">
      <c r="A19014"/>
      <c r="B19014"/>
      <c r="C19014"/>
      <c r="E19014"/>
      <c r="F19014"/>
    </row>
    <row r="19015" spans="1:6" x14ac:dyDescent="0.25">
      <c r="A19015"/>
      <c r="B19015"/>
      <c r="C19015"/>
      <c r="E19015"/>
      <c r="F19015"/>
    </row>
    <row r="19016" spans="1:6" x14ac:dyDescent="0.25">
      <c r="A19016"/>
      <c r="B19016"/>
      <c r="C19016"/>
      <c r="E19016"/>
      <c r="F19016"/>
    </row>
    <row r="19017" spans="1:6" x14ac:dyDescent="0.25">
      <c r="A19017"/>
      <c r="B19017"/>
      <c r="C19017"/>
      <c r="E19017"/>
      <c r="F19017"/>
    </row>
    <row r="19018" spans="1:6" x14ac:dyDescent="0.25">
      <c r="A19018"/>
      <c r="B19018"/>
      <c r="C19018"/>
      <c r="E19018"/>
      <c r="F19018"/>
    </row>
    <row r="19019" spans="1:6" x14ac:dyDescent="0.25">
      <c r="A19019"/>
      <c r="B19019"/>
      <c r="C19019"/>
      <c r="E19019"/>
      <c r="F19019"/>
    </row>
    <row r="19020" spans="1:6" x14ac:dyDescent="0.25">
      <c r="A19020"/>
      <c r="B19020"/>
      <c r="C19020"/>
      <c r="E19020"/>
      <c r="F19020"/>
    </row>
    <row r="19021" spans="1:6" x14ac:dyDescent="0.25">
      <c r="A19021"/>
      <c r="B19021"/>
      <c r="C19021"/>
      <c r="E19021"/>
      <c r="F19021"/>
    </row>
    <row r="19022" spans="1:6" x14ac:dyDescent="0.25">
      <c r="A19022"/>
      <c r="B19022"/>
      <c r="C19022"/>
      <c r="E19022"/>
      <c r="F19022"/>
    </row>
    <row r="19023" spans="1:6" x14ac:dyDescent="0.25">
      <c r="A19023"/>
      <c r="B19023"/>
      <c r="C19023"/>
      <c r="E19023"/>
      <c r="F19023"/>
    </row>
    <row r="19024" spans="1:6" x14ac:dyDescent="0.25">
      <c r="A19024"/>
      <c r="B19024"/>
      <c r="C19024"/>
      <c r="E19024"/>
      <c r="F19024"/>
    </row>
    <row r="19025" spans="1:6" x14ac:dyDescent="0.25">
      <c r="A19025"/>
      <c r="B19025"/>
      <c r="C19025"/>
      <c r="E19025"/>
      <c r="F19025"/>
    </row>
    <row r="19026" spans="1:6" x14ac:dyDescent="0.25">
      <c r="A19026"/>
      <c r="B19026"/>
      <c r="C19026"/>
      <c r="E19026"/>
      <c r="F19026"/>
    </row>
    <row r="19027" spans="1:6" x14ac:dyDescent="0.25">
      <c r="A19027"/>
      <c r="B19027"/>
      <c r="C19027"/>
      <c r="E19027"/>
      <c r="F19027"/>
    </row>
    <row r="19028" spans="1:6" x14ac:dyDescent="0.25">
      <c r="A19028"/>
      <c r="B19028"/>
      <c r="C19028"/>
      <c r="E19028"/>
      <c r="F19028"/>
    </row>
    <row r="19029" spans="1:6" x14ac:dyDescent="0.25">
      <c r="A19029"/>
      <c r="B19029"/>
      <c r="C19029"/>
      <c r="E19029"/>
      <c r="F19029"/>
    </row>
    <row r="19030" spans="1:6" x14ac:dyDescent="0.25">
      <c r="A19030"/>
      <c r="B19030"/>
      <c r="C19030"/>
      <c r="E19030"/>
      <c r="F19030"/>
    </row>
    <row r="19031" spans="1:6" x14ac:dyDescent="0.25">
      <c r="A19031"/>
      <c r="B19031"/>
      <c r="C19031"/>
      <c r="E19031"/>
      <c r="F19031"/>
    </row>
    <row r="19032" spans="1:6" x14ac:dyDescent="0.25">
      <c r="A19032"/>
      <c r="B19032"/>
      <c r="C19032"/>
      <c r="E19032"/>
      <c r="F19032"/>
    </row>
    <row r="19033" spans="1:6" x14ac:dyDescent="0.25">
      <c r="A19033"/>
      <c r="B19033"/>
      <c r="C19033"/>
      <c r="E19033"/>
      <c r="F19033"/>
    </row>
    <row r="19034" spans="1:6" x14ac:dyDescent="0.25">
      <c r="A19034"/>
      <c r="B19034"/>
      <c r="C19034"/>
      <c r="E19034"/>
      <c r="F19034"/>
    </row>
    <row r="19035" spans="1:6" x14ac:dyDescent="0.25">
      <c r="A19035"/>
      <c r="B19035"/>
      <c r="C19035"/>
      <c r="E19035"/>
      <c r="F19035"/>
    </row>
    <row r="19036" spans="1:6" x14ac:dyDescent="0.25">
      <c r="A19036"/>
      <c r="B19036"/>
      <c r="C19036"/>
      <c r="E19036"/>
      <c r="F19036"/>
    </row>
    <row r="19037" spans="1:6" x14ac:dyDescent="0.25">
      <c r="A19037"/>
      <c r="B19037"/>
      <c r="C19037"/>
      <c r="E19037"/>
      <c r="F19037"/>
    </row>
    <row r="19038" spans="1:6" x14ac:dyDescent="0.25">
      <c r="A19038"/>
      <c r="B19038"/>
      <c r="C19038"/>
      <c r="E19038"/>
      <c r="F19038"/>
    </row>
    <row r="19039" spans="1:6" x14ac:dyDescent="0.25">
      <c r="A19039"/>
      <c r="B19039"/>
      <c r="C19039"/>
      <c r="E19039"/>
      <c r="F19039"/>
    </row>
    <row r="19040" spans="1:6" x14ac:dyDescent="0.25">
      <c r="A19040"/>
      <c r="B19040"/>
      <c r="C19040"/>
      <c r="E19040"/>
      <c r="F19040"/>
    </row>
    <row r="19041" spans="1:6" x14ac:dyDescent="0.25">
      <c r="A19041"/>
      <c r="B19041"/>
      <c r="C19041"/>
      <c r="E19041"/>
      <c r="F19041"/>
    </row>
    <row r="19042" spans="1:6" x14ac:dyDescent="0.25">
      <c r="A19042"/>
      <c r="B19042"/>
      <c r="C19042"/>
      <c r="E19042"/>
      <c r="F19042"/>
    </row>
    <row r="19043" spans="1:6" x14ac:dyDescent="0.25">
      <c r="A19043"/>
      <c r="B19043"/>
      <c r="C19043"/>
      <c r="E19043"/>
      <c r="F19043"/>
    </row>
    <row r="19044" spans="1:6" x14ac:dyDescent="0.25">
      <c r="A19044"/>
      <c r="B19044"/>
      <c r="C19044"/>
      <c r="E19044"/>
      <c r="F19044"/>
    </row>
    <row r="19045" spans="1:6" x14ac:dyDescent="0.25">
      <c r="A19045"/>
      <c r="B19045"/>
      <c r="C19045"/>
      <c r="E19045"/>
      <c r="F19045"/>
    </row>
    <row r="19046" spans="1:6" x14ac:dyDescent="0.25">
      <c r="A19046"/>
      <c r="B19046"/>
      <c r="C19046"/>
      <c r="E19046"/>
      <c r="F19046"/>
    </row>
    <row r="19047" spans="1:6" x14ac:dyDescent="0.25">
      <c r="A19047"/>
      <c r="B19047"/>
      <c r="C19047"/>
      <c r="E19047"/>
      <c r="F19047"/>
    </row>
    <row r="19048" spans="1:6" x14ac:dyDescent="0.25">
      <c r="A19048"/>
      <c r="B19048"/>
      <c r="C19048"/>
      <c r="E19048"/>
      <c r="F19048"/>
    </row>
    <row r="19049" spans="1:6" x14ac:dyDescent="0.25">
      <c r="A19049"/>
      <c r="B19049"/>
      <c r="C19049"/>
      <c r="E19049"/>
      <c r="F19049"/>
    </row>
    <row r="19050" spans="1:6" x14ac:dyDescent="0.25">
      <c r="A19050"/>
      <c r="B19050"/>
      <c r="C19050"/>
      <c r="E19050"/>
      <c r="F19050"/>
    </row>
    <row r="19051" spans="1:6" x14ac:dyDescent="0.25">
      <c r="A19051"/>
      <c r="B19051"/>
      <c r="C19051"/>
      <c r="E19051"/>
      <c r="F19051"/>
    </row>
    <row r="19052" spans="1:6" x14ac:dyDescent="0.25">
      <c r="A19052"/>
      <c r="B19052"/>
      <c r="C19052"/>
      <c r="E19052"/>
      <c r="F19052"/>
    </row>
    <row r="19053" spans="1:6" x14ac:dyDescent="0.25">
      <c r="A19053"/>
      <c r="B19053"/>
      <c r="C19053"/>
      <c r="E19053"/>
      <c r="F19053"/>
    </row>
    <row r="19054" spans="1:6" x14ac:dyDescent="0.25">
      <c r="A19054"/>
      <c r="B19054"/>
      <c r="C19054"/>
      <c r="E19054"/>
      <c r="F19054"/>
    </row>
    <row r="19055" spans="1:6" x14ac:dyDescent="0.25">
      <c r="A19055"/>
      <c r="B19055"/>
      <c r="C19055"/>
      <c r="E19055"/>
      <c r="F19055"/>
    </row>
    <row r="19056" spans="1:6" x14ac:dyDescent="0.25">
      <c r="A19056"/>
      <c r="B19056"/>
      <c r="C19056"/>
      <c r="E19056"/>
      <c r="F19056"/>
    </row>
    <row r="19057" spans="1:6" x14ac:dyDescent="0.25">
      <c r="A19057"/>
      <c r="B19057"/>
      <c r="C19057"/>
      <c r="E19057"/>
      <c r="F19057"/>
    </row>
    <row r="19058" spans="1:6" x14ac:dyDescent="0.25">
      <c r="A19058"/>
      <c r="B19058"/>
      <c r="C19058"/>
      <c r="E19058"/>
      <c r="F19058"/>
    </row>
    <row r="19059" spans="1:6" x14ac:dyDescent="0.25">
      <c r="A19059"/>
      <c r="B19059"/>
      <c r="C19059"/>
      <c r="E19059"/>
      <c r="F19059"/>
    </row>
    <row r="19060" spans="1:6" x14ac:dyDescent="0.25">
      <c r="A19060"/>
      <c r="B19060"/>
      <c r="C19060"/>
      <c r="E19060"/>
      <c r="F19060"/>
    </row>
    <row r="19061" spans="1:6" x14ac:dyDescent="0.25">
      <c r="A19061"/>
      <c r="B19061"/>
      <c r="C19061"/>
      <c r="E19061"/>
      <c r="F19061"/>
    </row>
    <row r="19062" spans="1:6" x14ac:dyDescent="0.25">
      <c r="A19062"/>
      <c r="B19062"/>
      <c r="C19062"/>
      <c r="E19062"/>
      <c r="F19062"/>
    </row>
    <row r="19063" spans="1:6" x14ac:dyDescent="0.25">
      <c r="A19063"/>
      <c r="B19063"/>
      <c r="C19063"/>
      <c r="E19063"/>
      <c r="F19063"/>
    </row>
    <row r="19064" spans="1:6" x14ac:dyDescent="0.25">
      <c r="A19064"/>
      <c r="B19064"/>
      <c r="C19064"/>
      <c r="E19064"/>
      <c r="F19064"/>
    </row>
    <row r="19065" spans="1:6" x14ac:dyDescent="0.25">
      <c r="A19065"/>
      <c r="B19065"/>
      <c r="C19065"/>
      <c r="E19065"/>
      <c r="F19065"/>
    </row>
    <row r="19066" spans="1:6" x14ac:dyDescent="0.25">
      <c r="A19066"/>
      <c r="B19066"/>
      <c r="C19066"/>
      <c r="E19066"/>
      <c r="F19066"/>
    </row>
    <row r="19067" spans="1:6" x14ac:dyDescent="0.25">
      <c r="A19067"/>
      <c r="B19067"/>
      <c r="C19067"/>
      <c r="E19067"/>
      <c r="F19067"/>
    </row>
    <row r="19068" spans="1:6" x14ac:dyDescent="0.25">
      <c r="A19068"/>
      <c r="B19068"/>
      <c r="C19068"/>
      <c r="E19068"/>
      <c r="F19068"/>
    </row>
    <row r="19069" spans="1:6" x14ac:dyDescent="0.25">
      <c r="A19069"/>
      <c r="B19069"/>
      <c r="C19069"/>
      <c r="E19069"/>
      <c r="F19069"/>
    </row>
    <row r="19070" spans="1:6" x14ac:dyDescent="0.25">
      <c r="A19070"/>
      <c r="B19070"/>
      <c r="C19070"/>
      <c r="E19070"/>
      <c r="F19070"/>
    </row>
    <row r="19071" spans="1:6" x14ac:dyDescent="0.25">
      <c r="A19071"/>
      <c r="B19071"/>
      <c r="C19071"/>
      <c r="E19071"/>
      <c r="F19071"/>
    </row>
    <row r="19072" spans="1:6" x14ac:dyDescent="0.25">
      <c r="A19072"/>
      <c r="B19072"/>
      <c r="C19072"/>
      <c r="E19072"/>
      <c r="F19072"/>
    </row>
    <row r="19073" spans="1:6" x14ac:dyDescent="0.25">
      <c r="A19073"/>
      <c r="B19073"/>
      <c r="C19073"/>
      <c r="E19073"/>
      <c r="F19073"/>
    </row>
    <row r="19074" spans="1:6" x14ac:dyDescent="0.25">
      <c r="A19074"/>
      <c r="B19074"/>
      <c r="C19074"/>
      <c r="E19074"/>
      <c r="F19074"/>
    </row>
    <row r="19075" spans="1:6" x14ac:dyDescent="0.25">
      <c r="A19075"/>
      <c r="B19075"/>
      <c r="C19075"/>
      <c r="E19075"/>
      <c r="F19075"/>
    </row>
    <row r="19076" spans="1:6" x14ac:dyDescent="0.25">
      <c r="A19076"/>
      <c r="B19076"/>
      <c r="C19076"/>
      <c r="E19076"/>
      <c r="F19076"/>
    </row>
    <row r="19077" spans="1:6" x14ac:dyDescent="0.25">
      <c r="A19077"/>
      <c r="B19077"/>
      <c r="C19077"/>
      <c r="E19077"/>
      <c r="F19077"/>
    </row>
    <row r="19078" spans="1:6" x14ac:dyDescent="0.25">
      <c r="A19078"/>
      <c r="B19078"/>
      <c r="C19078"/>
      <c r="E19078"/>
      <c r="F19078"/>
    </row>
    <row r="19079" spans="1:6" x14ac:dyDescent="0.25">
      <c r="A19079"/>
      <c r="B19079"/>
      <c r="C19079"/>
      <c r="E19079"/>
      <c r="F19079"/>
    </row>
    <row r="19080" spans="1:6" x14ac:dyDescent="0.25">
      <c r="A19080"/>
      <c r="B19080"/>
      <c r="C19080"/>
      <c r="E19080"/>
      <c r="F19080"/>
    </row>
    <row r="19081" spans="1:6" x14ac:dyDescent="0.25">
      <c r="A19081"/>
      <c r="B19081"/>
      <c r="C19081"/>
      <c r="E19081"/>
      <c r="F19081"/>
    </row>
    <row r="19082" spans="1:6" x14ac:dyDescent="0.25">
      <c r="A19082"/>
      <c r="B19082"/>
      <c r="C19082"/>
      <c r="E19082"/>
      <c r="F19082"/>
    </row>
    <row r="19083" spans="1:6" x14ac:dyDescent="0.25">
      <c r="A19083"/>
      <c r="B19083"/>
      <c r="C19083"/>
      <c r="E19083"/>
      <c r="F19083"/>
    </row>
    <row r="19084" spans="1:6" x14ac:dyDescent="0.25">
      <c r="A19084"/>
      <c r="B19084"/>
      <c r="C19084"/>
      <c r="E19084"/>
      <c r="F19084"/>
    </row>
    <row r="19085" spans="1:6" x14ac:dyDescent="0.25">
      <c r="A19085"/>
      <c r="B19085"/>
      <c r="C19085"/>
      <c r="E19085"/>
      <c r="F19085"/>
    </row>
    <row r="19086" spans="1:6" x14ac:dyDescent="0.25">
      <c r="A19086"/>
      <c r="B19086"/>
      <c r="C19086"/>
      <c r="E19086"/>
      <c r="F19086"/>
    </row>
    <row r="19087" spans="1:6" x14ac:dyDescent="0.25">
      <c r="A19087"/>
      <c r="B19087"/>
      <c r="C19087"/>
      <c r="E19087"/>
      <c r="F19087"/>
    </row>
    <row r="19088" spans="1:6" x14ac:dyDescent="0.25">
      <c r="A19088"/>
      <c r="B19088"/>
      <c r="C19088"/>
      <c r="E19088"/>
      <c r="F19088"/>
    </row>
    <row r="19089" spans="1:6" x14ac:dyDescent="0.25">
      <c r="A19089"/>
      <c r="B19089"/>
      <c r="C19089"/>
      <c r="E19089"/>
      <c r="F19089"/>
    </row>
    <row r="19090" spans="1:6" x14ac:dyDescent="0.25">
      <c r="A19090"/>
      <c r="B19090"/>
      <c r="C19090"/>
      <c r="E19090"/>
      <c r="F19090"/>
    </row>
    <row r="19091" spans="1:6" x14ac:dyDescent="0.25">
      <c r="A19091"/>
      <c r="B19091"/>
      <c r="C19091"/>
      <c r="E19091"/>
      <c r="F19091"/>
    </row>
    <row r="19092" spans="1:6" x14ac:dyDescent="0.25">
      <c r="A19092"/>
      <c r="B19092"/>
      <c r="C19092"/>
      <c r="E19092"/>
      <c r="F19092"/>
    </row>
    <row r="19093" spans="1:6" x14ac:dyDescent="0.25">
      <c r="A19093"/>
      <c r="B19093"/>
      <c r="C19093"/>
      <c r="E19093"/>
      <c r="F19093"/>
    </row>
    <row r="19094" spans="1:6" x14ac:dyDescent="0.25">
      <c r="A19094"/>
      <c r="B19094"/>
      <c r="C19094"/>
      <c r="E19094"/>
      <c r="F19094"/>
    </row>
    <row r="19095" spans="1:6" x14ac:dyDescent="0.25">
      <c r="A19095"/>
      <c r="B19095"/>
      <c r="C19095"/>
      <c r="E19095"/>
      <c r="F19095"/>
    </row>
    <row r="19096" spans="1:6" x14ac:dyDescent="0.25">
      <c r="A19096"/>
      <c r="B19096"/>
      <c r="C19096"/>
      <c r="E19096"/>
      <c r="F19096"/>
    </row>
    <row r="19097" spans="1:6" x14ac:dyDescent="0.25">
      <c r="A19097"/>
      <c r="B19097"/>
      <c r="C19097"/>
      <c r="E19097"/>
      <c r="F19097"/>
    </row>
    <row r="19098" spans="1:6" x14ac:dyDescent="0.25">
      <c r="A19098"/>
      <c r="B19098"/>
      <c r="C19098"/>
      <c r="E19098"/>
      <c r="F19098"/>
    </row>
    <row r="19099" spans="1:6" x14ac:dyDescent="0.25">
      <c r="A19099"/>
      <c r="B19099"/>
      <c r="C19099"/>
      <c r="E19099"/>
      <c r="F19099"/>
    </row>
    <row r="19100" spans="1:6" x14ac:dyDescent="0.25">
      <c r="A19100"/>
      <c r="B19100"/>
      <c r="C19100"/>
      <c r="E19100"/>
      <c r="F19100"/>
    </row>
    <row r="19101" spans="1:6" x14ac:dyDescent="0.25">
      <c r="A19101"/>
      <c r="B19101"/>
      <c r="C19101"/>
      <c r="E19101"/>
      <c r="F19101"/>
    </row>
    <row r="19102" spans="1:6" x14ac:dyDescent="0.25">
      <c r="A19102"/>
      <c r="B19102"/>
      <c r="C19102"/>
      <c r="E19102"/>
      <c r="F19102"/>
    </row>
    <row r="19103" spans="1:6" x14ac:dyDescent="0.25">
      <c r="A19103"/>
      <c r="B19103"/>
      <c r="C19103"/>
      <c r="E19103"/>
      <c r="F19103"/>
    </row>
    <row r="19104" spans="1:6" x14ac:dyDescent="0.25">
      <c r="A19104"/>
      <c r="B19104"/>
      <c r="C19104"/>
      <c r="E19104"/>
      <c r="F19104"/>
    </row>
    <row r="19105" spans="1:6" x14ac:dyDescent="0.25">
      <c r="A19105"/>
      <c r="B19105"/>
      <c r="C19105"/>
      <c r="E19105"/>
      <c r="F19105"/>
    </row>
    <row r="19106" spans="1:6" x14ac:dyDescent="0.25">
      <c r="A19106"/>
      <c r="B19106"/>
      <c r="C19106"/>
      <c r="E19106"/>
      <c r="F19106"/>
    </row>
    <row r="19107" spans="1:6" x14ac:dyDescent="0.25">
      <c r="A19107"/>
      <c r="B19107"/>
      <c r="C19107"/>
      <c r="E19107"/>
      <c r="F19107"/>
    </row>
    <row r="19108" spans="1:6" x14ac:dyDescent="0.25">
      <c r="A19108"/>
      <c r="B19108"/>
      <c r="C19108"/>
      <c r="E19108"/>
      <c r="F19108"/>
    </row>
    <row r="19109" spans="1:6" x14ac:dyDescent="0.25">
      <c r="A19109"/>
      <c r="B19109"/>
      <c r="C19109"/>
      <c r="E19109"/>
      <c r="F19109"/>
    </row>
    <row r="19110" spans="1:6" x14ac:dyDescent="0.25">
      <c r="A19110"/>
      <c r="B19110"/>
      <c r="C19110"/>
      <c r="E19110"/>
      <c r="F19110"/>
    </row>
    <row r="19111" spans="1:6" x14ac:dyDescent="0.25">
      <c r="A19111"/>
      <c r="B19111"/>
      <c r="C19111"/>
      <c r="E19111"/>
      <c r="F19111"/>
    </row>
    <row r="19112" spans="1:6" x14ac:dyDescent="0.25">
      <c r="A19112"/>
      <c r="B19112"/>
      <c r="C19112"/>
      <c r="E19112"/>
      <c r="F19112"/>
    </row>
    <row r="19113" spans="1:6" x14ac:dyDescent="0.25">
      <c r="A19113"/>
      <c r="B19113"/>
      <c r="C19113"/>
      <c r="E19113"/>
      <c r="F19113"/>
    </row>
    <row r="19114" spans="1:6" x14ac:dyDescent="0.25">
      <c r="A19114"/>
      <c r="B19114"/>
      <c r="C19114"/>
      <c r="E19114"/>
      <c r="F19114"/>
    </row>
    <row r="19115" spans="1:6" x14ac:dyDescent="0.25">
      <c r="A19115"/>
      <c r="B19115"/>
      <c r="C19115"/>
      <c r="E19115"/>
      <c r="F19115"/>
    </row>
    <row r="19116" spans="1:6" x14ac:dyDescent="0.25">
      <c r="A19116"/>
      <c r="B19116"/>
      <c r="C19116"/>
      <c r="E19116"/>
      <c r="F19116"/>
    </row>
    <row r="19117" spans="1:6" x14ac:dyDescent="0.25">
      <c r="A19117"/>
      <c r="B19117"/>
      <c r="C19117"/>
      <c r="E19117"/>
      <c r="F19117"/>
    </row>
    <row r="19118" spans="1:6" x14ac:dyDescent="0.25">
      <c r="A19118"/>
      <c r="B19118"/>
      <c r="C19118"/>
      <c r="E19118"/>
      <c r="F19118"/>
    </row>
    <row r="19119" spans="1:6" x14ac:dyDescent="0.25">
      <c r="A19119"/>
      <c r="B19119"/>
      <c r="C19119"/>
      <c r="E19119"/>
      <c r="F19119"/>
    </row>
    <row r="19120" spans="1:6" x14ac:dyDescent="0.25">
      <c r="A19120"/>
      <c r="B19120"/>
      <c r="C19120"/>
      <c r="E19120"/>
      <c r="F19120"/>
    </row>
    <row r="19121" spans="1:6" x14ac:dyDescent="0.25">
      <c r="A19121"/>
      <c r="B19121"/>
      <c r="C19121"/>
      <c r="E19121"/>
      <c r="F19121"/>
    </row>
    <row r="19122" spans="1:6" x14ac:dyDescent="0.25">
      <c r="A19122"/>
      <c r="B19122"/>
      <c r="C19122"/>
      <c r="E19122"/>
      <c r="F19122"/>
    </row>
    <row r="19123" spans="1:6" x14ac:dyDescent="0.25">
      <c r="A19123"/>
      <c r="B19123"/>
      <c r="C19123"/>
      <c r="E19123"/>
      <c r="F19123"/>
    </row>
    <row r="19124" spans="1:6" x14ac:dyDescent="0.25">
      <c r="A19124"/>
      <c r="B19124"/>
      <c r="C19124"/>
      <c r="E19124"/>
      <c r="F19124"/>
    </row>
    <row r="19125" spans="1:6" x14ac:dyDescent="0.25">
      <c r="A19125"/>
      <c r="B19125"/>
      <c r="C19125"/>
      <c r="E19125"/>
      <c r="F19125"/>
    </row>
    <row r="19126" spans="1:6" x14ac:dyDescent="0.25">
      <c r="A19126"/>
      <c r="B19126"/>
      <c r="C19126"/>
      <c r="E19126"/>
      <c r="F19126"/>
    </row>
    <row r="19127" spans="1:6" x14ac:dyDescent="0.25">
      <c r="A19127"/>
      <c r="B19127"/>
      <c r="C19127"/>
      <c r="E19127"/>
      <c r="F19127"/>
    </row>
    <row r="19128" spans="1:6" x14ac:dyDescent="0.25">
      <c r="A19128"/>
      <c r="B19128"/>
      <c r="C19128"/>
      <c r="E19128"/>
      <c r="F19128"/>
    </row>
    <row r="19129" spans="1:6" x14ac:dyDescent="0.25">
      <c r="A19129"/>
      <c r="B19129"/>
      <c r="C19129"/>
      <c r="E19129"/>
      <c r="F19129"/>
    </row>
    <row r="19130" spans="1:6" x14ac:dyDescent="0.25">
      <c r="A19130"/>
      <c r="B19130"/>
      <c r="C19130"/>
      <c r="E19130"/>
      <c r="F19130"/>
    </row>
    <row r="19131" spans="1:6" x14ac:dyDescent="0.25">
      <c r="A19131"/>
      <c r="B19131"/>
      <c r="C19131"/>
      <c r="E19131"/>
      <c r="F19131"/>
    </row>
    <row r="19132" spans="1:6" x14ac:dyDescent="0.25">
      <c r="A19132"/>
      <c r="B19132"/>
      <c r="C19132"/>
      <c r="E19132"/>
      <c r="F19132"/>
    </row>
    <row r="19133" spans="1:6" x14ac:dyDescent="0.25">
      <c r="A19133"/>
      <c r="B19133"/>
      <c r="C19133"/>
      <c r="E19133"/>
      <c r="F19133"/>
    </row>
    <row r="19134" spans="1:6" x14ac:dyDescent="0.25">
      <c r="A19134"/>
      <c r="B19134"/>
      <c r="C19134"/>
      <c r="E19134"/>
      <c r="F19134"/>
    </row>
    <row r="19135" spans="1:6" x14ac:dyDescent="0.25">
      <c r="A19135"/>
      <c r="B19135"/>
      <c r="C19135"/>
      <c r="E19135"/>
      <c r="F19135"/>
    </row>
    <row r="19136" spans="1:6" x14ac:dyDescent="0.25">
      <c r="A19136"/>
      <c r="B19136"/>
      <c r="C19136"/>
      <c r="E19136"/>
      <c r="F19136"/>
    </row>
    <row r="19137" spans="1:6" x14ac:dyDescent="0.25">
      <c r="A19137"/>
      <c r="B19137"/>
      <c r="C19137"/>
      <c r="E19137"/>
      <c r="F19137"/>
    </row>
    <row r="19138" spans="1:6" x14ac:dyDescent="0.25">
      <c r="A19138"/>
      <c r="B19138"/>
      <c r="C19138"/>
      <c r="E19138"/>
      <c r="F19138"/>
    </row>
    <row r="19139" spans="1:6" x14ac:dyDescent="0.25">
      <c r="A19139"/>
      <c r="B19139"/>
      <c r="C19139"/>
      <c r="E19139"/>
      <c r="F19139"/>
    </row>
    <row r="19140" spans="1:6" x14ac:dyDescent="0.25">
      <c r="A19140"/>
      <c r="B19140"/>
      <c r="C19140"/>
      <c r="E19140"/>
      <c r="F19140"/>
    </row>
    <row r="19141" spans="1:6" x14ac:dyDescent="0.25">
      <c r="A19141"/>
      <c r="B19141"/>
      <c r="C19141"/>
      <c r="E19141"/>
      <c r="F19141"/>
    </row>
    <row r="19142" spans="1:6" x14ac:dyDescent="0.25">
      <c r="A19142"/>
      <c r="B19142"/>
      <c r="C19142"/>
      <c r="E19142"/>
      <c r="F19142"/>
    </row>
    <row r="19143" spans="1:6" x14ac:dyDescent="0.25">
      <c r="A19143"/>
      <c r="B19143"/>
      <c r="C19143"/>
      <c r="E19143"/>
      <c r="F19143"/>
    </row>
    <row r="19144" spans="1:6" x14ac:dyDescent="0.25">
      <c r="A19144"/>
      <c r="B19144"/>
      <c r="C19144"/>
      <c r="E19144"/>
      <c r="F19144"/>
    </row>
    <row r="19145" spans="1:6" x14ac:dyDescent="0.25">
      <c r="A19145"/>
      <c r="B19145"/>
      <c r="C19145"/>
      <c r="E19145"/>
      <c r="F19145"/>
    </row>
    <row r="19146" spans="1:6" x14ac:dyDescent="0.25">
      <c r="A19146"/>
      <c r="B19146"/>
      <c r="C19146"/>
      <c r="E19146"/>
      <c r="F19146"/>
    </row>
    <row r="19147" spans="1:6" x14ac:dyDescent="0.25">
      <c r="A19147"/>
      <c r="B19147"/>
      <c r="C19147"/>
      <c r="E19147"/>
      <c r="F19147"/>
    </row>
    <row r="19148" spans="1:6" x14ac:dyDescent="0.25">
      <c r="A19148"/>
      <c r="B19148"/>
      <c r="C19148"/>
      <c r="E19148"/>
      <c r="F19148"/>
    </row>
    <row r="19149" spans="1:6" x14ac:dyDescent="0.25">
      <c r="A19149"/>
      <c r="B19149"/>
      <c r="C19149"/>
      <c r="E19149"/>
      <c r="F19149"/>
    </row>
    <row r="19150" spans="1:6" x14ac:dyDescent="0.25">
      <c r="A19150"/>
      <c r="B19150"/>
      <c r="C19150"/>
      <c r="E19150"/>
      <c r="F19150"/>
    </row>
    <row r="19151" spans="1:6" x14ac:dyDescent="0.25">
      <c r="A19151"/>
      <c r="B19151"/>
      <c r="C19151"/>
      <c r="E19151"/>
      <c r="F19151"/>
    </row>
    <row r="19152" spans="1:6" x14ac:dyDescent="0.25">
      <c r="A19152"/>
      <c r="B19152"/>
      <c r="C19152"/>
      <c r="E19152"/>
      <c r="F19152"/>
    </row>
    <row r="19153" spans="1:6" x14ac:dyDescent="0.25">
      <c r="A19153"/>
      <c r="B19153"/>
      <c r="C19153"/>
      <c r="E19153"/>
      <c r="F19153"/>
    </row>
    <row r="19154" spans="1:6" x14ac:dyDescent="0.25">
      <c r="A19154"/>
      <c r="B19154"/>
      <c r="C19154"/>
      <c r="E19154"/>
      <c r="F19154"/>
    </row>
    <row r="19155" spans="1:6" x14ac:dyDescent="0.25">
      <c r="A19155"/>
      <c r="B19155"/>
      <c r="C19155"/>
      <c r="E19155"/>
      <c r="F19155"/>
    </row>
    <row r="19156" spans="1:6" x14ac:dyDescent="0.25">
      <c r="A19156"/>
      <c r="B19156"/>
      <c r="C19156"/>
      <c r="E19156"/>
      <c r="F19156"/>
    </row>
    <row r="19157" spans="1:6" x14ac:dyDescent="0.25">
      <c r="A19157"/>
      <c r="B19157"/>
      <c r="C19157"/>
      <c r="E19157"/>
      <c r="F19157"/>
    </row>
    <row r="19158" spans="1:6" x14ac:dyDescent="0.25">
      <c r="A19158"/>
      <c r="B19158"/>
      <c r="C19158"/>
      <c r="E19158"/>
      <c r="F19158"/>
    </row>
    <row r="19159" spans="1:6" x14ac:dyDescent="0.25">
      <c r="A19159"/>
      <c r="B19159"/>
      <c r="C19159"/>
      <c r="E19159"/>
      <c r="F19159"/>
    </row>
    <row r="19160" spans="1:6" x14ac:dyDescent="0.25">
      <c r="A19160"/>
      <c r="B19160"/>
      <c r="C19160"/>
      <c r="E19160"/>
      <c r="F19160"/>
    </row>
    <row r="19161" spans="1:6" x14ac:dyDescent="0.25">
      <c r="A19161"/>
      <c r="B19161"/>
      <c r="C19161"/>
      <c r="E19161"/>
      <c r="F19161"/>
    </row>
    <row r="19162" spans="1:6" x14ac:dyDescent="0.25">
      <c r="A19162"/>
      <c r="B19162"/>
      <c r="C19162"/>
      <c r="E19162"/>
      <c r="F19162"/>
    </row>
    <row r="19163" spans="1:6" x14ac:dyDescent="0.25">
      <c r="A19163"/>
      <c r="B19163"/>
      <c r="C19163"/>
      <c r="E19163"/>
      <c r="F19163"/>
    </row>
    <row r="19164" spans="1:6" x14ac:dyDescent="0.25">
      <c r="A19164"/>
      <c r="B19164"/>
      <c r="C19164"/>
      <c r="E19164"/>
      <c r="F19164"/>
    </row>
    <row r="19165" spans="1:6" x14ac:dyDescent="0.25">
      <c r="A19165"/>
      <c r="B19165"/>
      <c r="C19165"/>
      <c r="E19165"/>
      <c r="F19165"/>
    </row>
    <row r="19166" spans="1:6" x14ac:dyDescent="0.25">
      <c r="A19166"/>
      <c r="B19166"/>
      <c r="C19166"/>
      <c r="E19166"/>
      <c r="F19166"/>
    </row>
    <row r="19167" spans="1:6" x14ac:dyDescent="0.25">
      <c r="A19167"/>
      <c r="B19167"/>
      <c r="C19167"/>
      <c r="E19167"/>
      <c r="F19167"/>
    </row>
    <row r="19168" spans="1:6" x14ac:dyDescent="0.25">
      <c r="A19168"/>
      <c r="B19168"/>
      <c r="C19168"/>
      <c r="E19168"/>
      <c r="F19168"/>
    </row>
    <row r="19169" spans="1:6" x14ac:dyDescent="0.25">
      <c r="A19169"/>
      <c r="B19169"/>
      <c r="C19169"/>
      <c r="E19169"/>
      <c r="F19169"/>
    </row>
    <row r="19170" spans="1:6" x14ac:dyDescent="0.25">
      <c r="A19170"/>
      <c r="B19170"/>
      <c r="C19170"/>
      <c r="E19170"/>
      <c r="F19170"/>
    </row>
    <row r="19171" spans="1:6" x14ac:dyDescent="0.25">
      <c r="A19171"/>
      <c r="B19171"/>
      <c r="C19171"/>
      <c r="E19171"/>
      <c r="F19171"/>
    </row>
    <row r="19172" spans="1:6" x14ac:dyDescent="0.25">
      <c r="A19172"/>
      <c r="B19172"/>
      <c r="C19172"/>
      <c r="E19172"/>
      <c r="F19172"/>
    </row>
    <row r="19173" spans="1:6" x14ac:dyDescent="0.25">
      <c r="A19173"/>
      <c r="B19173"/>
      <c r="C19173"/>
      <c r="E19173"/>
      <c r="F19173"/>
    </row>
    <row r="19174" spans="1:6" x14ac:dyDescent="0.25">
      <c r="A19174"/>
      <c r="B19174"/>
      <c r="C19174"/>
      <c r="E19174"/>
      <c r="F19174"/>
    </row>
    <row r="19175" spans="1:6" x14ac:dyDescent="0.25">
      <c r="A19175"/>
      <c r="B19175"/>
      <c r="C19175"/>
      <c r="E19175"/>
      <c r="F19175"/>
    </row>
    <row r="19176" spans="1:6" x14ac:dyDescent="0.25">
      <c r="A19176"/>
      <c r="B19176"/>
      <c r="C19176"/>
      <c r="E19176"/>
      <c r="F19176"/>
    </row>
    <row r="19177" spans="1:6" x14ac:dyDescent="0.25">
      <c r="A19177"/>
      <c r="B19177"/>
      <c r="C19177"/>
      <c r="E19177"/>
      <c r="F19177"/>
    </row>
    <row r="19178" spans="1:6" x14ac:dyDescent="0.25">
      <c r="A19178"/>
      <c r="B19178"/>
      <c r="C19178"/>
      <c r="E19178"/>
      <c r="F19178"/>
    </row>
    <row r="19179" spans="1:6" x14ac:dyDescent="0.25">
      <c r="A19179"/>
      <c r="B19179"/>
      <c r="C19179"/>
      <c r="E19179"/>
      <c r="F19179"/>
    </row>
    <row r="19180" spans="1:6" x14ac:dyDescent="0.25">
      <c r="A19180"/>
      <c r="B19180"/>
      <c r="C19180"/>
      <c r="E19180"/>
      <c r="F19180"/>
    </row>
    <row r="19181" spans="1:6" x14ac:dyDescent="0.25">
      <c r="A19181"/>
      <c r="B19181"/>
      <c r="C19181"/>
      <c r="E19181"/>
      <c r="F19181"/>
    </row>
    <row r="19182" spans="1:6" x14ac:dyDescent="0.25">
      <c r="A19182"/>
      <c r="B19182"/>
      <c r="C19182"/>
      <c r="E19182"/>
      <c r="F19182"/>
    </row>
    <row r="19183" spans="1:6" x14ac:dyDescent="0.25">
      <c r="A19183"/>
      <c r="B19183"/>
      <c r="C19183"/>
      <c r="E19183"/>
      <c r="F19183"/>
    </row>
    <row r="19184" spans="1:6" x14ac:dyDescent="0.25">
      <c r="A19184"/>
      <c r="B19184"/>
      <c r="C19184"/>
      <c r="E19184"/>
      <c r="F19184"/>
    </row>
    <row r="19185" spans="1:6" x14ac:dyDescent="0.25">
      <c r="A19185"/>
      <c r="B19185"/>
      <c r="C19185"/>
      <c r="E19185"/>
      <c r="F19185"/>
    </row>
    <row r="19186" spans="1:6" x14ac:dyDescent="0.25">
      <c r="A19186"/>
      <c r="B19186"/>
      <c r="C19186"/>
      <c r="E19186"/>
      <c r="F19186"/>
    </row>
    <row r="19187" spans="1:6" x14ac:dyDescent="0.25">
      <c r="A19187"/>
      <c r="B19187"/>
      <c r="C19187"/>
      <c r="E19187"/>
      <c r="F19187"/>
    </row>
    <row r="19188" spans="1:6" x14ac:dyDescent="0.25">
      <c r="A19188"/>
      <c r="B19188"/>
      <c r="C19188"/>
      <c r="E19188"/>
      <c r="F19188"/>
    </row>
    <row r="19189" spans="1:6" x14ac:dyDescent="0.25">
      <c r="A19189"/>
      <c r="B19189"/>
      <c r="C19189"/>
      <c r="E19189"/>
      <c r="F19189"/>
    </row>
    <row r="19190" spans="1:6" x14ac:dyDescent="0.25">
      <c r="A19190"/>
      <c r="B19190"/>
      <c r="C19190"/>
      <c r="E19190"/>
      <c r="F19190"/>
    </row>
    <row r="19191" spans="1:6" x14ac:dyDescent="0.25">
      <c r="A19191"/>
      <c r="B19191"/>
      <c r="C19191"/>
      <c r="E19191"/>
      <c r="F19191"/>
    </row>
    <row r="19192" spans="1:6" x14ac:dyDescent="0.25">
      <c r="A19192"/>
      <c r="B19192"/>
      <c r="C19192"/>
      <c r="E19192"/>
      <c r="F19192"/>
    </row>
    <row r="19193" spans="1:6" x14ac:dyDescent="0.25">
      <c r="A19193"/>
      <c r="B19193"/>
      <c r="C19193"/>
      <c r="E19193"/>
      <c r="F19193"/>
    </row>
    <row r="19194" spans="1:6" x14ac:dyDescent="0.25">
      <c r="A19194"/>
      <c r="B19194"/>
      <c r="C19194"/>
      <c r="E19194"/>
      <c r="F19194"/>
    </row>
    <row r="19195" spans="1:6" x14ac:dyDescent="0.25">
      <c r="A19195"/>
      <c r="B19195"/>
      <c r="C19195"/>
      <c r="E19195"/>
      <c r="F19195"/>
    </row>
    <row r="19196" spans="1:6" x14ac:dyDescent="0.25">
      <c r="A19196"/>
      <c r="B19196"/>
      <c r="C19196"/>
      <c r="E19196"/>
      <c r="F19196"/>
    </row>
    <row r="19197" spans="1:6" x14ac:dyDescent="0.25">
      <c r="A19197"/>
      <c r="B19197"/>
      <c r="C19197"/>
      <c r="E19197"/>
      <c r="F19197"/>
    </row>
    <row r="19198" spans="1:6" x14ac:dyDescent="0.25">
      <c r="A19198"/>
      <c r="B19198"/>
      <c r="C19198"/>
      <c r="E19198"/>
      <c r="F19198"/>
    </row>
    <row r="19199" spans="1:6" x14ac:dyDescent="0.25">
      <c r="A19199"/>
      <c r="B19199"/>
      <c r="C19199"/>
      <c r="E19199"/>
      <c r="F19199"/>
    </row>
    <row r="19200" spans="1:6" x14ac:dyDescent="0.25">
      <c r="A19200"/>
      <c r="B19200"/>
      <c r="C19200"/>
      <c r="E19200"/>
      <c r="F19200"/>
    </row>
    <row r="19201" spans="1:6" x14ac:dyDescent="0.25">
      <c r="A19201"/>
      <c r="B19201"/>
      <c r="C19201"/>
      <c r="E19201"/>
      <c r="F19201"/>
    </row>
    <row r="19202" spans="1:6" x14ac:dyDescent="0.25">
      <c r="A19202"/>
      <c r="B19202"/>
      <c r="C19202"/>
      <c r="E19202"/>
      <c r="F19202"/>
    </row>
    <row r="19203" spans="1:6" x14ac:dyDescent="0.25">
      <c r="A19203"/>
      <c r="B19203"/>
      <c r="C19203"/>
      <c r="E19203"/>
      <c r="F19203"/>
    </row>
    <row r="19204" spans="1:6" x14ac:dyDescent="0.25">
      <c r="A19204"/>
      <c r="B19204"/>
      <c r="C19204"/>
      <c r="E19204"/>
      <c r="F19204"/>
    </row>
    <row r="19205" spans="1:6" x14ac:dyDescent="0.25">
      <c r="A19205"/>
      <c r="B19205"/>
      <c r="C19205"/>
      <c r="E19205"/>
      <c r="F19205"/>
    </row>
    <row r="19206" spans="1:6" x14ac:dyDescent="0.25">
      <c r="A19206"/>
      <c r="B19206"/>
      <c r="C19206"/>
      <c r="E19206"/>
      <c r="F19206"/>
    </row>
    <row r="19207" spans="1:6" x14ac:dyDescent="0.25">
      <c r="A19207"/>
      <c r="B19207"/>
      <c r="C19207"/>
      <c r="E19207"/>
      <c r="F19207"/>
    </row>
    <row r="19208" spans="1:6" x14ac:dyDescent="0.25">
      <c r="A19208"/>
      <c r="B19208"/>
      <c r="C19208"/>
      <c r="E19208"/>
      <c r="F19208"/>
    </row>
    <row r="19209" spans="1:6" x14ac:dyDescent="0.25">
      <c r="A19209"/>
      <c r="B19209"/>
      <c r="C19209"/>
      <c r="E19209"/>
      <c r="F19209"/>
    </row>
    <row r="19210" spans="1:6" x14ac:dyDescent="0.25">
      <c r="A19210"/>
      <c r="B19210"/>
      <c r="C19210"/>
      <c r="E19210"/>
      <c r="F19210"/>
    </row>
    <row r="19211" spans="1:6" x14ac:dyDescent="0.25">
      <c r="A19211"/>
      <c r="B19211"/>
      <c r="C19211"/>
      <c r="E19211"/>
      <c r="F19211"/>
    </row>
    <row r="19212" spans="1:6" x14ac:dyDescent="0.25">
      <c r="A19212"/>
      <c r="B19212"/>
      <c r="C19212"/>
      <c r="E19212"/>
      <c r="F19212"/>
    </row>
    <row r="19213" spans="1:6" x14ac:dyDescent="0.25">
      <c r="A19213"/>
      <c r="B19213"/>
      <c r="C19213"/>
      <c r="E19213"/>
      <c r="F19213"/>
    </row>
    <row r="19214" spans="1:6" x14ac:dyDescent="0.25">
      <c r="A19214"/>
      <c r="B19214"/>
      <c r="C19214"/>
      <c r="E19214"/>
      <c r="F19214"/>
    </row>
    <row r="19215" spans="1:6" x14ac:dyDescent="0.25">
      <c r="A19215"/>
      <c r="B19215"/>
      <c r="C19215"/>
      <c r="E19215"/>
      <c r="F19215"/>
    </row>
    <row r="19216" spans="1:6" x14ac:dyDescent="0.25">
      <c r="A19216"/>
      <c r="B19216"/>
      <c r="C19216"/>
      <c r="E19216"/>
      <c r="F19216"/>
    </row>
    <row r="19217" spans="1:6" x14ac:dyDescent="0.25">
      <c r="A19217"/>
      <c r="B19217"/>
      <c r="C19217"/>
      <c r="E19217"/>
      <c r="F19217"/>
    </row>
    <row r="19218" spans="1:6" x14ac:dyDescent="0.25">
      <c r="A19218"/>
      <c r="B19218"/>
      <c r="C19218"/>
      <c r="E19218"/>
      <c r="F19218"/>
    </row>
    <row r="19219" spans="1:6" x14ac:dyDescent="0.25">
      <c r="A19219"/>
      <c r="B19219"/>
      <c r="C19219"/>
      <c r="E19219"/>
      <c r="F19219"/>
    </row>
    <row r="19220" spans="1:6" x14ac:dyDescent="0.25">
      <c r="A19220"/>
      <c r="B19220"/>
      <c r="C19220"/>
      <c r="E19220"/>
      <c r="F19220"/>
    </row>
    <row r="19221" spans="1:6" x14ac:dyDescent="0.25">
      <c r="A19221"/>
      <c r="B19221"/>
      <c r="C19221"/>
      <c r="E19221"/>
      <c r="F19221"/>
    </row>
    <row r="19222" spans="1:6" x14ac:dyDescent="0.25">
      <c r="A19222"/>
      <c r="B19222"/>
      <c r="C19222"/>
      <c r="E19222"/>
      <c r="F19222"/>
    </row>
    <row r="19223" spans="1:6" x14ac:dyDescent="0.25">
      <c r="A19223"/>
      <c r="B19223"/>
      <c r="C19223"/>
      <c r="E19223"/>
      <c r="F19223"/>
    </row>
    <row r="19224" spans="1:6" x14ac:dyDescent="0.25">
      <c r="A19224"/>
      <c r="B19224"/>
      <c r="C19224"/>
      <c r="E19224"/>
      <c r="F19224"/>
    </row>
    <row r="19225" spans="1:6" x14ac:dyDescent="0.25">
      <c r="A19225"/>
      <c r="B19225"/>
      <c r="C19225"/>
      <c r="E19225"/>
      <c r="F19225"/>
    </row>
    <row r="19226" spans="1:6" x14ac:dyDescent="0.25">
      <c r="A19226"/>
      <c r="B19226"/>
      <c r="C19226"/>
      <c r="E19226"/>
      <c r="F19226"/>
    </row>
    <row r="19227" spans="1:6" x14ac:dyDescent="0.25">
      <c r="A19227"/>
      <c r="B19227"/>
      <c r="C19227"/>
      <c r="E19227"/>
      <c r="F19227"/>
    </row>
    <row r="19228" spans="1:6" x14ac:dyDescent="0.25">
      <c r="A19228"/>
      <c r="B19228"/>
      <c r="C19228"/>
      <c r="E19228"/>
      <c r="F19228"/>
    </row>
    <row r="19229" spans="1:6" x14ac:dyDescent="0.25">
      <c r="A19229"/>
      <c r="B19229"/>
      <c r="C19229"/>
      <c r="E19229"/>
      <c r="F19229"/>
    </row>
    <row r="19230" spans="1:6" x14ac:dyDescent="0.25">
      <c r="A19230"/>
      <c r="B19230"/>
      <c r="C19230"/>
      <c r="E19230"/>
      <c r="F19230"/>
    </row>
    <row r="19231" spans="1:6" x14ac:dyDescent="0.25">
      <c r="A19231"/>
      <c r="B19231"/>
      <c r="C19231"/>
      <c r="E19231"/>
      <c r="F19231"/>
    </row>
    <row r="19232" spans="1:6" x14ac:dyDescent="0.25">
      <c r="A19232"/>
      <c r="B19232"/>
      <c r="C19232"/>
      <c r="E19232"/>
      <c r="F19232"/>
    </row>
    <row r="19233" spans="1:6" x14ac:dyDescent="0.25">
      <c r="A19233"/>
      <c r="B19233"/>
      <c r="C19233"/>
      <c r="E19233"/>
      <c r="F19233"/>
    </row>
    <row r="19234" spans="1:6" x14ac:dyDescent="0.25">
      <c r="A19234"/>
      <c r="B19234"/>
      <c r="C19234"/>
      <c r="E19234"/>
      <c r="F19234"/>
    </row>
    <row r="19235" spans="1:6" x14ac:dyDescent="0.25">
      <c r="A19235"/>
      <c r="B19235"/>
      <c r="C19235"/>
      <c r="E19235"/>
      <c r="F19235"/>
    </row>
    <row r="19236" spans="1:6" x14ac:dyDescent="0.25">
      <c r="A19236"/>
      <c r="B19236"/>
      <c r="C19236"/>
      <c r="E19236"/>
      <c r="F19236"/>
    </row>
    <row r="19237" spans="1:6" x14ac:dyDescent="0.25">
      <c r="A19237"/>
      <c r="B19237"/>
      <c r="C19237"/>
      <c r="E19237"/>
      <c r="F19237"/>
    </row>
    <row r="19238" spans="1:6" x14ac:dyDescent="0.25">
      <c r="A19238"/>
      <c r="B19238"/>
      <c r="C19238"/>
      <c r="E19238"/>
      <c r="F19238"/>
    </row>
    <row r="19239" spans="1:6" x14ac:dyDescent="0.25">
      <c r="A19239"/>
      <c r="B19239"/>
      <c r="C19239"/>
      <c r="E19239"/>
      <c r="F19239"/>
    </row>
    <row r="19240" spans="1:6" x14ac:dyDescent="0.25">
      <c r="A19240"/>
      <c r="B19240"/>
      <c r="C19240"/>
      <c r="E19240"/>
      <c r="F19240"/>
    </row>
    <row r="19241" spans="1:6" x14ac:dyDescent="0.25">
      <c r="A19241"/>
      <c r="B19241"/>
      <c r="C19241"/>
      <c r="E19241"/>
      <c r="F19241"/>
    </row>
    <row r="19242" spans="1:6" x14ac:dyDescent="0.25">
      <c r="A19242"/>
      <c r="B19242"/>
      <c r="C19242"/>
      <c r="E19242"/>
      <c r="F19242"/>
    </row>
    <row r="19243" spans="1:6" x14ac:dyDescent="0.25">
      <c r="A19243"/>
      <c r="B19243"/>
      <c r="C19243"/>
      <c r="E19243"/>
      <c r="F19243"/>
    </row>
    <row r="19244" spans="1:6" x14ac:dyDescent="0.25">
      <c r="A19244"/>
      <c r="B19244"/>
      <c r="C19244"/>
      <c r="E19244"/>
      <c r="F19244"/>
    </row>
    <row r="19245" spans="1:6" x14ac:dyDescent="0.25">
      <c r="A19245"/>
      <c r="B19245"/>
      <c r="C19245"/>
      <c r="E19245"/>
      <c r="F19245"/>
    </row>
    <row r="19246" spans="1:6" x14ac:dyDescent="0.25">
      <c r="A19246"/>
      <c r="B19246"/>
      <c r="C19246"/>
      <c r="E19246"/>
      <c r="F19246"/>
    </row>
    <row r="19247" spans="1:6" x14ac:dyDescent="0.25">
      <c r="A19247"/>
      <c r="B19247"/>
      <c r="C19247"/>
      <c r="E19247"/>
      <c r="F19247"/>
    </row>
    <row r="19248" spans="1:6" x14ac:dyDescent="0.25">
      <c r="A19248"/>
      <c r="B19248"/>
      <c r="C19248"/>
      <c r="E19248"/>
      <c r="F19248"/>
    </row>
    <row r="19249" spans="1:6" x14ac:dyDescent="0.25">
      <c r="A19249"/>
      <c r="B19249"/>
      <c r="C19249"/>
      <c r="E19249"/>
      <c r="F19249"/>
    </row>
    <row r="19250" spans="1:6" x14ac:dyDescent="0.25">
      <c r="A19250"/>
      <c r="B19250"/>
      <c r="C19250"/>
      <c r="E19250"/>
      <c r="F19250"/>
    </row>
    <row r="19251" spans="1:6" x14ac:dyDescent="0.25">
      <c r="A19251"/>
      <c r="B19251"/>
      <c r="C19251"/>
      <c r="E19251"/>
      <c r="F19251"/>
    </row>
    <row r="19252" spans="1:6" x14ac:dyDescent="0.25">
      <c r="A19252"/>
      <c r="B19252"/>
      <c r="C19252"/>
      <c r="E19252"/>
      <c r="F19252"/>
    </row>
    <row r="19253" spans="1:6" x14ac:dyDescent="0.25">
      <c r="A19253"/>
      <c r="B19253"/>
      <c r="C19253"/>
      <c r="E19253"/>
      <c r="F19253"/>
    </row>
    <row r="19254" spans="1:6" x14ac:dyDescent="0.25">
      <c r="A19254"/>
      <c r="B19254"/>
      <c r="C19254"/>
      <c r="E19254"/>
      <c r="F19254"/>
    </row>
    <row r="19255" spans="1:6" x14ac:dyDescent="0.25">
      <c r="A19255"/>
      <c r="B19255"/>
      <c r="C19255"/>
      <c r="E19255"/>
      <c r="F19255"/>
    </row>
    <row r="19256" spans="1:6" x14ac:dyDescent="0.25">
      <c r="A19256"/>
      <c r="B19256"/>
      <c r="C19256"/>
      <c r="E19256"/>
      <c r="F19256"/>
    </row>
    <row r="19257" spans="1:6" x14ac:dyDescent="0.25">
      <c r="A19257"/>
      <c r="B19257"/>
      <c r="C19257"/>
      <c r="E19257"/>
      <c r="F19257"/>
    </row>
    <row r="19258" spans="1:6" x14ac:dyDescent="0.25">
      <c r="A19258"/>
      <c r="B19258"/>
      <c r="C19258"/>
      <c r="E19258"/>
      <c r="F19258"/>
    </row>
    <row r="19259" spans="1:6" x14ac:dyDescent="0.25">
      <c r="A19259"/>
      <c r="B19259"/>
      <c r="C19259"/>
      <c r="E19259"/>
      <c r="F19259"/>
    </row>
    <row r="19260" spans="1:6" x14ac:dyDescent="0.25">
      <c r="A19260"/>
      <c r="B19260"/>
      <c r="C19260"/>
      <c r="E19260"/>
      <c r="F19260"/>
    </row>
    <row r="19261" spans="1:6" x14ac:dyDescent="0.25">
      <c r="A19261"/>
      <c r="B19261"/>
      <c r="C19261"/>
      <c r="E19261"/>
      <c r="F19261"/>
    </row>
    <row r="19262" spans="1:6" x14ac:dyDescent="0.25">
      <c r="A19262"/>
      <c r="B19262"/>
      <c r="C19262"/>
      <c r="E19262"/>
      <c r="F19262"/>
    </row>
    <row r="19263" spans="1:6" x14ac:dyDescent="0.25">
      <c r="A19263"/>
      <c r="B19263"/>
      <c r="C19263"/>
      <c r="E19263"/>
      <c r="F19263"/>
    </row>
    <row r="19264" spans="1:6" x14ac:dyDescent="0.25">
      <c r="A19264"/>
      <c r="B19264"/>
      <c r="C19264"/>
      <c r="E19264"/>
      <c r="F19264"/>
    </row>
    <row r="19265" spans="1:6" x14ac:dyDescent="0.25">
      <c r="A19265"/>
      <c r="B19265"/>
      <c r="C19265"/>
      <c r="E19265"/>
      <c r="F19265"/>
    </row>
    <row r="19266" spans="1:6" x14ac:dyDescent="0.25">
      <c r="A19266"/>
      <c r="B19266"/>
      <c r="C19266"/>
      <c r="E19266"/>
      <c r="F19266"/>
    </row>
    <row r="19267" spans="1:6" x14ac:dyDescent="0.25">
      <c r="A19267"/>
      <c r="B19267"/>
      <c r="C19267"/>
      <c r="E19267"/>
      <c r="F19267"/>
    </row>
    <row r="19268" spans="1:6" x14ac:dyDescent="0.25">
      <c r="A19268"/>
      <c r="B19268"/>
      <c r="C19268"/>
      <c r="E19268"/>
      <c r="F19268"/>
    </row>
    <row r="19269" spans="1:6" x14ac:dyDescent="0.25">
      <c r="A19269"/>
      <c r="B19269"/>
      <c r="C19269"/>
      <c r="E19269"/>
      <c r="F19269"/>
    </row>
    <row r="19270" spans="1:6" x14ac:dyDescent="0.25">
      <c r="A19270"/>
      <c r="B19270"/>
      <c r="C19270"/>
      <c r="E19270"/>
      <c r="F19270"/>
    </row>
    <row r="19271" spans="1:6" x14ac:dyDescent="0.25">
      <c r="A19271"/>
      <c r="B19271"/>
      <c r="C19271"/>
      <c r="E19271"/>
      <c r="F19271"/>
    </row>
    <row r="19272" spans="1:6" x14ac:dyDescent="0.25">
      <c r="A19272"/>
      <c r="B19272"/>
      <c r="C19272"/>
      <c r="E19272"/>
      <c r="F19272"/>
    </row>
    <row r="19273" spans="1:6" x14ac:dyDescent="0.25">
      <c r="A19273"/>
      <c r="B19273"/>
      <c r="C19273"/>
      <c r="E19273"/>
      <c r="F19273"/>
    </row>
    <row r="19274" spans="1:6" x14ac:dyDescent="0.25">
      <c r="A19274"/>
      <c r="B19274"/>
      <c r="C19274"/>
      <c r="E19274"/>
      <c r="F19274"/>
    </row>
    <row r="19275" spans="1:6" x14ac:dyDescent="0.25">
      <c r="A19275"/>
      <c r="B19275"/>
      <c r="C19275"/>
      <c r="E19275"/>
      <c r="F19275"/>
    </row>
    <row r="19276" spans="1:6" x14ac:dyDescent="0.25">
      <c r="A19276"/>
      <c r="B19276"/>
      <c r="C19276"/>
      <c r="E19276"/>
      <c r="F19276"/>
    </row>
    <row r="19277" spans="1:6" x14ac:dyDescent="0.25">
      <c r="A19277"/>
      <c r="B19277"/>
      <c r="C19277"/>
      <c r="E19277"/>
      <c r="F19277"/>
    </row>
    <row r="19278" spans="1:6" x14ac:dyDescent="0.25">
      <c r="A19278"/>
      <c r="B19278"/>
      <c r="C19278"/>
      <c r="E19278"/>
      <c r="F19278"/>
    </row>
    <row r="19279" spans="1:6" x14ac:dyDescent="0.25">
      <c r="A19279"/>
      <c r="B19279"/>
      <c r="C19279"/>
      <c r="E19279"/>
      <c r="F19279"/>
    </row>
    <row r="19280" spans="1:6" x14ac:dyDescent="0.25">
      <c r="A19280"/>
      <c r="B19280"/>
      <c r="C19280"/>
      <c r="E19280"/>
      <c r="F19280"/>
    </row>
    <row r="19281" spans="1:6" x14ac:dyDescent="0.25">
      <c r="A19281"/>
      <c r="B19281"/>
      <c r="C19281"/>
      <c r="E19281"/>
      <c r="F19281"/>
    </row>
    <row r="19282" spans="1:6" x14ac:dyDescent="0.25">
      <c r="A19282"/>
      <c r="B19282"/>
      <c r="C19282"/>
      <c r="E19282"/>
      <c r="F19282"/>
    </row>
    <row r="19283" spans="1:6" x14ac:dyDescent="0.25">
      <c r="A19283"/>
      <c r="B19283"/>
      <c r="C19283"/>
      <c r="E19283"/>
      <c r="F19283"/>
    </row>
    <row r="19284" spans="1:6" x14ac:dyDescent="0.25">
      <c r="A19284"/>
      <c r="B19284"/>
      <c r="C19284"/>
      <c r="E19284"/>
      <c r="F19284"/>
    </row>
    <row r="19285" spans="1:6" x14ac:dyDescent="0.25">
      <c r="A19285"/>
      <c r="B19285"/>
      <c r="C19285"/>
      <c r="E19285"/>
      <c r="F19285"/>
    </row>
    <row r="19286" spans="1:6" x14ac:dyDescent="0.25">
      <c r="A19286"/>
      <c r="B19286"/>
      <c r="C19286"/>
      <c r="E19286"/>
      <c r="F19286"/>
    </row>
    <row r="19287" spans="1:6" x14ac:dyDescent="0.25">
      <c r="A19287"/>
      <c r="B19287"/>
      <c r="C19287"/>
      <c r="E19287"/>
      <c r="F19287"/>
    </row>
    <row r="19288" spans="1:6" x14ac:dyDescent="0.25">
      <c r="A19288"/>
      <c r="B19288"/>
      <c r="C19288"/>
      <c r="E19288"/>
      <c r="F19288"/>
    </row>
    <row r="19289" spans="1:6" x14ac:dyDescent="0.25">
      <c r="A19289"/>
      <c r="B19289"/>
      <c r="C19289"/>
      <c r="E19289"/>
      <c r="F19289"/>
    </row>
    <row r="19290" spans="1:6" x14ac:dyDescent="0.25">
      <c r="A19290"/>
      <c r="B19290"/>
      <c r="C19290"/>
      <c r="E19290"/>
      <c r="F19290"/>
    </row>
    <row r="19291" spans="1:6" x14ac:dyDescent="0.25">
      <c r="A19291"/>
      <c r="B19291"/>
      <c r="C19291"/>
      <c r="E19291"/>
      <c r="F19291"/>
    </row>
    <row r="19292" spans="1:6" x14ac:dyDescent="0.25">
      <c r="A19292"/>
      <c r="B19292"/>
      <c r="C19292"/>
      <c r="E19292"/>
      <c r="F19292"/>
    </row>
    <row r="19293" spans="1:6" x14ac:dyDescent="0.25">
      <c r="A19293"/>
      <c r="B19293"/>
      <c r="C19293"/>
      <c r="E19293"/>
      <c r="F19293"/>
    </row>
    <row r="19294" spans="1:6" x14ac:dyDescent="0.25">
      <c r="A19294"/>
      <c r="B19294"/>
      <c r="C19294"/>
      <c r="E19294"/>
      <c r="F19294"/>
    </row>
    <row r="19295" spans="1:6" x14ac:dyDescent="0.25">
      <c r="A19295"/>
      <c r="B19295"/>
      <c r="C19295"/>
      <c r="E19295"/>
      <c r="F19295"/>
    </row>
    <row r="19296" spans="1:6" x14ac:dyDescent="0.25">
      <c r="A19296"/>
      <c r="B19296"/>
      <c r="C19296"/>
      <c r="E19296"/>
      <c r="F19296"/>
    </row>
    <row r="19297" spans="1:6" x14ac:dyDescent="0.25">
      <c r="A19297"/>
      <c r="B19297"/>
      <c r="C19297"/>
      <c r="E19297"/>
      <c r="F19297"/>
    </row>
    <row r="19298" spans="1:6" x14ac:dyDescent="0.25">
      <c r="A19298"/>
      <c r="B19298"/>
      <c r="C19298"/>
      <c r="E19298"/>
      <c r="F19298"/>
    </row>
    <row r="19299" spans="1:6" x14ac:dyDescent="0.25">
      <c r="A19299"/>
      <c r="B19299"/>
      <c r="C19299"/>
      <c r="E19299"/>
      <c r="F19299"/>
    </row>
    <row r="19300" spans="1:6" x14ac:dyDescent="0.25">
      <c r="A19300"/>
      <c r="B19300"/>
      <c r="C19300"/>
      <c r="E19300"/>
      <c r="F19300"/>
    </row>
    <row r="19301" spans="1:6" x14ac:dyDescent="0.25">
      <c r="A19301"/>
      <c r="B19301"/>
      <c r="C19301"/>
      <c r="E19301"/>
      <c r="F19301"/>
    </row>
    <row r="19302" spans="1:6" x14ac:dyDescent="0.25">
      <c r="A19302"/>
      <c r="B19302"/>
      <c r="C19302"/>
      <c r="E19302"/>
      <c r="F19302"/>
    </row>
    <row r="19303" spans="1:6" x14ac:dyDescent="0.25">
      <c r="A19303"/>
      <c r="B19303"/>
      <c r="C19303"/>
      <c r="E19303"/>
      <c r="F19303"/>
    </row>
    <row r="19304" spans="1:6" x14ac:dyDescent="0.25">
      <c r="A19304"/>
      <c r="B19304"/>
      <c r="C19304"/>
      <c r="E19304"/>
      <c r="F19304"/>
    </row>
    <row r="19305" spans="1:6" x14ac:dyDescent="0.25">
      <c r="A19305"/>
      <c r="B19305"/>
      <c r="C19305"/>
      <c r="E19305"/>
      <c r="F19305"/>
    </row>
    <row r="19306" spans="1:6" x14ac:dyDescent="0.25">
      <c r="A19306"/>
      <c r="B19306"/>
      <c r="C19306"/>
      <c r="E19306"/>
      <c r="F19306"/>
    </row>
    <row r="19307" spans="1:6" x14ac:dyDescent="0.25">
      <c r="A19307"/>
      <c r="B19307"/>
      <c r="C19307"/>
      <c r="E19307"/>
      <c r="F19307"/>
    </row>
    <row r="19308" spans="1:6" x14ac:dyDescent="0.25">
      <c r="A19308"/>
      <c r="B19308"/>
      <c r="C19308"/>
      <c r="E19308"/>
      <c r="F19308"/>
    </row>
    <row r="19309" spans="1:6" x14ac:dyDescent="0.25">
      <c r="A19309"/>
      <c r="B19309"/>
      <c r="C19309"/>
      <c r="E19309"/>
      <c r="F19309"/>
    </row>
    <row r="19310" spans="1:6" x14ac:dyDescent="0.25">
      <c r="A19310"/>
      <c r="B19310"/>
      <c r="C19310"/>
      <c r="E19310"/>
      <c r="F19310"/>
    </row>
    <row r="19311" spans="1:6" x14ac:dyDescent="0.25">
      <c r="A19311"/>
      <c r="B19311"/>
      <c r="C19311"/>
      <c r="E19311"/>
      <c r="F19311"/>
    </row>
    <row r="19312" spans="1:6" x14ac:dyDescent="0.25">
      <c r="A19312"/>
      <c r="B19312"/>
      <c r="C19312"/>
      <c r="E19312"/>
      <c r="F19312"/>
    </row>
    <row r="19313" spans="1:6" x14ac:dyDescent="0.25">
      <c r="A19313"/>
      <c r="B19313"/>
      <c r="C19313"/>
      <c r="E19313"/>
      <c r="F19313"/>
    </row>
    <row r="19314" spans="1:6" x14ac:dyDescent="0.25">
      <c r="A19314"/>
      <c r="B19314"/>
      <c r="C19314"/>
      <c r="E19314"/>
      <c r="F19314"/>
    </row>
    <row r="19315" spans="1:6" x14ac:dyDescent="0.25">
      <c r="A19315"/>
      <c r="B19315"/>
      <c r="C19315"/>
      <c r="E19315"/>
      <c r="F19315"/>
    </row>
    <row r="19316" spans="1:6" x14ac:dyDescent="0.25">
      <c r="A19316"/>
      <c r="B19316"/>
      <c r="C19316"/>
      <c r="E19316"/>
      <c r="F19316"/>
    </row>
    <row r="19317" spans="1:6" x14ac:dyDescent="0.25">
      <c r="A19317"/>
      <c r="B19317"/>
      <c r="C19317"/>
      <c r="E19317"/>
      <c r="F19317"/>
    </row>
    <row r="19318" spans="1:6" x14ac:dyDescent="0.25">
      <c r="A19318"/>
      <c r="B19318"/>
      <c r="C19318"/>
      <c r="E19318"/>
      <c r="F19318"/>
    </row>
    <row r="19319" spans="1:6" x14ac:dyDescent="0.25">
      <c r="A19319"/>
      <c r="B19319"/>
      <c r="C19319"/>
      <c r="E19319"/>
      <c r="F19319"/>
    </row>
    <row r="19320" spans="1:6" x14ac:dyDescent="0.25">
      <c r="A19320"/>
      <c r="B19320"/>
      <c r="C19320"/>
      <c r="E19320"/>
      <c r="F19320"/>
    </row>
    <row r="19321" spans="1:6" x14ac:dyDescent="0.25">
      <c r="A19321"/>
      <c r="B19321"/>
      <c r="C19321"/>
      <c r="E19321"/>
      <c r="F19321"/>
    </row>
    <row r="19322" spans="1:6" x14ac:dyDescent="0.25">
      <c r="A19322"/>
      <c r="B19322"/>
      <c r="C19322"/>
      <c r="E19322"/>
      <c r="F19322"/>
    </row>
    <row r="19323" spans="1:6" x14ac:dyDescent="0.25">
      <c r="A19323"/>
      <c r="B19323"/>
      <c r="C19323"/>
      <c r="E19323"/>
      <c r="F19323"/>
    </row>
    <row r="19324" spans="1:6" x14ac:dyDescent="0.25">
      <c r="A19324"/>
      <c r="B19324"/>
      <c r="C19324"/>
      <c r="E19324"/>
      <c r="F19324"/>
    </row>
    <row r="19325" spans="1:6" x14ac:dyDescent="0.25">
      <c r="A19325"/>
      <c r="B19325"/>
      <c r="C19325"/>
      <c r="E19325"/>
      <c r="F19325"/>
    </row>
    <row r="19326" spans="1:6" x14ac:dyDescent="0.25">
      <c r="A19326"/>
      <c r="B19326"/>
      <c r="C19326"/>
      <c r="E19326"/>
      <c r="F19326"/>
    </row>
    <row r="19327" spans="1:6" x14ac:dyDescent="0.25">
      <c r="A19327"/>
      <c r="B19327"/>
      <c r="C19327"/>
      <c r="E19327"/>
      <c r="F19327"/>
    </row>
    <row r="19328" spans="1:6" x14ac:dyDescent="0.25">
      <c r="A19328"/>
      <c r="B19328"/>
      <c r="C19328"/>
      <c r="E19328"/>
      <c r="F19328"/>
    </row>
    <row r="19329" spans="1:6" x14ac:dyDescent="0.25">
      <c r="A19329"/>
      <c r="B19329"/>
      <c r="C19329"/>
      <c r="E19329"/>
      <c r="F19329"/>
    </row>
    <row r="19330" spans="1:6" x14ac:dyDescent="0.25">
      <c r="A19330"/>
      <c r="B19330"/>
      <c r="C19330"/>
      <c r="E19330"/>
      <c r="F19330"/>
    </row>
    <row r="19331" spans="1:6" x14ac:dyDescent="0.25">
      <c r="A19331"/>
      <c r="B19331"/>
      <c r="C19331"/>
      <c r="E19331"/>
      <c r="F19331"/>
    </row>
    <row r="19332" spans="1:6" x14ac:dyDescent="0.25">
      <c r="A19332"/>
      <c r="B19332"/>
      <c r="C19332"/>
      <c r="E19332"/>
      <c r="F19332"/>
    </row>
    <row r="19333" spans="1:6" x14ac:dyDescent="0.25">
      <c r="A19333"/>
      <c r="B19333"/>
      <c r="C19333"/>
      <c r="E19333"/>
      <c r="F19333"/>
    </row>
    <row r="19334" spans="1:6" x14ac:dyDescent="0.25">
      <c r="A19334"/>
      <c r="B19334"/>
      <c r="C19334"/>
      <c r="E19334"/>
      <c r="F19334"/>
    </row>
    <row r="19335" spans="1:6" x14ac:dyDescent="0.25">
      <c r="A19335"/>
      <c r="B19335"/>
      <c r="C19335"/>
      <c r="E19335"/>
      <c r="F19335"/>
    </row>
    <row r="19336" spans="1:6" x14ac:dyDescent="0.25">
      <c r="A19336"/>
      <c r="B19336"/>
      <c r="C19336"/>
      <c r="E19336"/>
      <c r="F19336"/>
    </row>
    <row r="19337" spans="1:6" x14ac:dyDescent="0.25">
      <c r="A19337"/>
      <c r="B19337"/>
      <c r="C19337"/>
      <c r="E19337"/>
      <c r="F19337"/>
    </row>
    <row r="19338" spans="1:6" x14ac:dyDescent="0.25">
      <c r="A19338"/>
      <c r="B19338"/>
      <c r="C19338"/>
      <c r="E19338"/>
      <c r="F19338"/>
    </row>
    <row r="19339" spans="1:6" x14ac:dyDescent="0.25">
      <c r="A19339"/>
      <c r="B19339"/>
      <c r="C19339"/>
      <c r="E19339"/>
      <c r="F19339"/>
    </row>
    <row r="19340" spans="1:6" x14ac:dyDescent="0.25">
      <c r="A19340"/>
      <c r="B19340"/>
      <c r="C19340"/>
      <c r="E19340"/>
      <c r="F19340"/>
    </row>
    <row r="19341" spans="1:6" x14ac:dyDescent="0.25">
      <c r="A19341"/>
      <c r="B19341"/>
      <c r="C19341"/>
      <c r="E19341"/>
      <c r="F19341"/>
    </row>
    <row r="19342" spans="1:6" x14ac:dyDescent="0.25">
      <c r="A19342"/>
      <c r="B19342"/>
      <c r="C19342"/>
      <c r="E19342"/>
      <c r="F19342"/>
    </row>
    <row r="19343" spans="1:6" x14ac:dyDescent="0.25">
      <c r="A19343"/>
      <c r="B19343"/>
      <c r="C19343"/>
      <c r="E19343"/>
      <c r="F19343"/>
    </row>
    <row r="19344" spans="1:6" x14ac:dyDescent="0.25">
      <c r="A19344"/>
      <c r="B19344"/>
      <c r="C19344"/>
      <c r="E19344"/>
      <c r="F19344"/>
    </row>
    <row r="19345" spans="1:6" x14ac:dyDescent="0.25">
      <c r="A19345"/>
      <c r="B19345"/>
      <c r="C19345"/>
      <c r="E19345"/>
      <c r="F19345"/>
    </row>
    <row r="19346" spans="1:6" x14ac:dyDescent="0.25">
      <c r="A19346"/>
      <c r="B19346"/>
      <c r="C19346"/>
      <c r="E19346"/>
      <c r="F19346"/>
    </row>
    <row r="19347" spans="1:6" x14ac:dyDescent="0.25">
      <c r="A19347"/>
      <c r="B19347"/>
      <c r="C19347"/>
      <c r="E19347"/>
      <c r="F19347"/>
    </row>
    <row r="19348" spans="1:6" x14ac:dyDescent="0.25">
      <c r="A19348"/>
      <c r="B19348"/>
      <c r="C19348"/>
      <c r="E19348"/>
      <c r="F19348"/>
    </row>
    <row r="19349" spans="1:6" x14ac:dyDescent="0.25">
      <c r="A19349"/>
      <c r="B19349"/>
      <c r="C19349"/>
      <c r="E19349"/>
      <c r="F19349"/>
    </row>
    <row r="19350" spans="1:6" x14ac:dyDescent="0.25">
      <c r="A19350"/>
      <c r="B19350"/>
      <c r="C19350"/>
      <c r="E19350"/>
      <c r="F19350"/>
    </row>
    <row r="19351" spans="1:6" x14ac:dyDescent="0.25">
      <c r="A19351"/>
      <c r="B19351"/>
      <c r="C19351"/>
      <c r="E19351"/>
      <c r="F19351"/>
    </row>
    <row r="19352" spans="1:6" x14ac:dyDescent="0.25">
      <c r="A19352"/>
      <c r="B19352"/>
      <c r="C19352"/>
      <c r="E19352"/>
      <c r="F19352"/>
    </row>
    <row r="19353" spans="1:6" x14ac:dyDescent="0.25">
      <c r="A19353"/>
      <c r="B19353"/>
      <c r="C19353"/>
      <c r="E19353"/>
      <c r="F19353"/>
    </row>
    <row r="19354" spans="1:6" x14ac:dyDescent="0.25">
      <c r="A19354"/>
      <c r="B19354"/>
      <c r="C19354"/>
      <c r="E19354"/>
      <c r="F19354"/>
    </row>
    <row r="19355" spans="1:6" x14ac:dyDescent="0.25">
      <c r="A19355"/>
      <c r="B19355"/>
      <c r="C19355"/>
      <c r="E19355"/>
      <c r="F19355"/>
    </row>
    <row r="19356" spans="1:6" x14ac:dyDescent="0.25">
      <c r="A19356"/>
      <c r="B19356"/>
      <c r="C19356"/>
      <c r="E19356"/>
      <c r="F19356"/>
    </row>
    <row r="19357" spans="1:6" x14ac:dyDescent="0.25">
      <c r="A19357"/>
      <c r="B19357"/>
      <c r="C19357"/>
      <c r="E19357"/>
      <c r="F19357"/>
    </row>
    <row r="19358" spans="1:6" x14ac:dyDescent="0.25">
      <c r="A19358"/>
      <c r="B19358"/>
      <c r="C19358"/>
      <c r="E19358"/>
      <c r="F19358"/>
    </row>
    <row r="19359" spans="1:6" x14ac:dyDescent="0.25">
      <c r="A19359"/>
      <c r="B19359"/>
      <c r="C19359"/>
      <c r="E19359"/>
      <c r="F19359"/>
    </row>
    <row r="19360" spans="1:6" x14ac:dyDescent="0.25">
      <c r="A19360"/>
      <c r="B19360"/>
      <c r="C19360"/>
      <c r="E19360"/>
      <c r="F19360"/>
    </row>
    <row r="19361" spans="1:6" x14ac:dyDescent="0.25">
      <c r="A19361"/>
      <c r="B19361"/>
      <c r="C19361"/>
      <c r="E19361"/>
      <c r="F19361"/>
    </row>
    <row r="19362" spans="1:6" x14ac:dyDescent="0.25">
      <c r="A19362"/>
      <c r="B19362"/>
      <c r="C19362"/>
      <c r="E19362"/>
      <c r="F19362"/>
    </row>
    <row r="19363" spans="1:6" x14ac:dyDescent="0.25">
      <c r="A19363"/>
      <c r="B19363"/>
      <c r="C19363"/>
      <c r="E19363"/>
      <c r="F19363"/>
    </row>
    <row r="19364" spans="1:6" x14ac:dyDescent="0.25">
      <c r="A19364"/>
      <c r="B19364"/>
      <c r="C19364"/>
      <c r="E19364"/>
      <c r="F19364"/>
    </row>
    <row r="19365" spans="1:6" x14ac:dyDescent="0.25">
      <c r="A19365"/>
      <c r="B19365"/>
      <c r="C19365"/>
      <c r="E19365"/>
      <c r="F19365"/>
    </row>
    <row r="19366" spans="1:6" x14ac:dyDescent="0.25">
      <c r="A19366"/>
      <c r="B19366"/>
      <c r="C19366"/>
      <c r="E19366"/>
      <c r="F19366"/>
    </row>
    <row r="19367" spans="1:6" x14ac:dyDescent="0.25">
      <c r="A19367"/>
      <c r="B19367"/>
      <c r="C19367"/>
      <c r="E19367"/>
      <c r="F19367"/>
    </row>
    <row r="19368" spans="1:6" x14ac:dyDescent="0.25">
      <c r="A19368"/>
      <c r="B19368"/>
      <c r="C19368"/>
      <c r="E19368"/>
      <c r="F19368"/>
    </row>
    <row r="19369" spans="1:6" x14ac:dyDescent="0.25">
      <c r="A19369"/>
      <c r="B19369"/>
      <c r="C19369"/>
      <c r="E19369"/>
      <c r="F19369"/>
    </row>
    <row r="19370" spans="1:6" x14ac:dyDescent="0.25">
      <c r="A19370"/>
      <c r="B19370"/>
      <c r="C19370"/>
      <c r="E19370"/>
      <c r="F19370"/>
    </row>
    <row r="19371" spans="1:6" x14ac:dyDescent="0.25">
      <c r="A19371"/>
      <c r="B19371"/>
      <c r="C19371"/>
      <c r="E19371"/>
      <c r="F19371"/>
    </row>
    <row r="19372" spans="1:6" x14ac:dyDescent="0.25">
      <c r="A19372"/>
      <c r="B19372"/>
      <c r="C19372"/>
      <c r="E19372"/>
      <c r="F19372"/>
    </row>
    <row r="19373" spans="1:6" x14ac:dyDescent="0.25">
      <c r="A19373"/>
      <c r="B19373"/>
      <c r="C19373"/>
      <c r="E19373"/>
      <c r="F19373"/>
    </row>
    <row r="19374" spans="1:6" x14ac:dyDescent="0.25">
      <c r="A19374"/>
      <c r="B19374"/>
      <c r="C19374"/>
      <c r="E19374"/>
      <c r="F19374"/>
    </row>
    <row r="19375" spans="1:6" x14ac:dyDescent="0.25">
      <c r="A19375"/>
      <c r="B19375"/>
      <c r="C19375"/>
      <c r="E19375"/>
      <c r="F19375"/>
    </row>
    <row r="19376" spans="1:6" x14ac:dyDescent="0.25">
      <c r="A19376"/>
      <c r="B19376"/>
      <c r="C19376"/>
      <c r="E19376"/>
      <c r="F19376"/>
    </row>
    <row r="19377" spans="1:6" x14ac:dyDescent="0.25">
      <c r="A19377"/>
      <c r="B19377"/>
      <c r="C19377"/>
      <c r="E19377"/>
      <c r="F19377"/>
    </row>
    <row r="19378" spans="1:6" x14ac:dyDescent="0.25">
      <c r="A19378"/>
      <c r="B19378"/>
      <c r="C19378"/>
      <c r="E19378"/>
      <c r="F19378"/>
    </row>
    <row r="19379" spans="1:6" x14ac:dyDescent="0.25">
      <c r="A19379"/>
      <c r="B19379"/>
      <c r="C19379"/>
      <c r="E19379"/>
      <c r="F19379"/>
    </row>
    <row r="19380" spans="1:6" x14ac:dyDescent="0.25">
      <c r="A19380"/>
      <c r="B19380"/>
      <c r="C19380"/>
      <c r="E19380"/>
      <c r="F19380"/>
    </row>
    <row r="19381" spans="1:6" x14ac:dyDescent="0.25">
      <c r="A19381"/>
      <c r="B19381"/>
      <c r="C19381"/>
      <c r="E19381"/>
      <c r="F19381"/>
    </row>
    <row r="19382" spans="1:6" x14ac:dyDescent="0.25">
      <c r="A19382"/>
      <c r="B19382"/>
      <c r="C19382"/>
      <c r="E19382"/>
      <c r="F19382"/>
    </row>
    <row r="19383" spans="1:6" x14ac:dyDescent="0.25">
      <c r="A19383"/>
      <c r="B19383"/>
      <c r="C19383"/>
      <c r="E19383"/>
      <c r="F19383"/>
    </row>
    <row r="19384" spans="1:6" x14ac:dyDescent="0.25">
      <c r="A19384"/>
      <c r="B19384"/>
      <c r="C19384"/>
      <c r="E19384"/>
      <c r="F19384"/>
    </row>
    <row r="19385" spans="1:6" x14ac:dyDescent="0.25">
      <c r="A19385"/>
      <c r="B19385"/>
      <c r="C19385"/>
      <c r="E19385"/>
      <c r="F19385"/>
    </row>
    <row r="19386" spans="1:6" x14ac:dyDescent="0.25">
      <c r="A19386"/>
      <c r="B19386"/>
      <c r="C19386"/>
      <c r="E19386"/>
      <c r="F19386"/>
    </row>
    <row r="19387" spans="1:6" x14ac:dyDescent="0.25">
      <c r="A19387"/>
      <c r="B19387"/>
      <c r="C19387"/>
      <c r="E19387"/>
      <c r="F19387"/>
    </row>
    <row r="19388" spans="1:6" x14ac:dyDescent="0.25">
      <c r="A19388"/>
      <c r="B19388"/>
      <c r="C19388"/>
      <c r="E19388"/>
      <c r="F19388"/>
    </row>
    <row r="19389" spans="1:6" x14ac:dyDescent="0.25">
      <c r="A19389"/>
      <c r="B19389"/>
      <c r="C19389"/>
      <c r="E19389"/>
      <c r="F19389"/>
    </row>
    <row r="19390" spans="1:6" x14ac:dyDescent="0.25">
      <c r="A19390"/>
      <c r="B19390"/>
      <c r="C19390"/>
      <c r="E19390"/>
      <c r="F19390"/>
    </row>
    <row r="19391" spans="1:6" x14ac:dyDescent="0.25">
      <c r="A19391"/>
      <c r="B19391"/>
      <c r="C19391"/>
      <c r="E19391"/>
      <c r="F19391"/>
    </row>
    <row r="19392" spans="1:6" x14ac:dyDescent="0.25">
      <c r="A19392"/>
      <c r="B19392"/>
      <c r="C19392"/>
      <c r="E19392"/>
      <c r="F19392"/>
    </row>
    <row r="19393" spans="1:6" x14ac:dyDescent="0.25">
      <c r="A19393"/>
      <c r="B19393"/>
      <c r="C19393"/>
      <c r="E19393"/>
      <c r="F19393"/>
    </row>
    <row r="19394" spans="1:6" x14ac:dyDescent="0.25">
      <c r="A19394"/>
      <c r="B19394"/>
      <c r="C19394"/>
      <c r="E19394"/>
      <c r="F19394"/>
    </row>
    <row r="19395" spans="1:6" x14ac:dyDescent="0.25">
      <c r="A19395"/>
      <c r="B19395"/>
      <c r="C19395"/>
      <c r="E19395"/>
      <c r="F19395"/>
    </row>
    <row r="19396" spans="1:6" x14ac:dyDescent="0.25">
      <c r="A19396"/>
      <c r="B19396"/>
      <c r="C19396"/>
      <c r="E19396"/>
      <c r="F19396"/>
    </row>
    <row r="19397" spans="1:6" x14ac:dyDescent="0.25">
      <c r="A19397"/>
      <c r="B19397"/>
      <c r="C19397"/>
      <c r="E19397"/>
      <c r="F19397"/>
    </row>
    <row r="19398" spans="1:6" x14ac:dyDescent="0.25">
      <c r="A19398"/>
      <c r="B19398"/>
      <c r="C19398"/>
      <c r="E19398"/>
      <c r="F19398"/>
    </row>
    <row r="19399" spans="1:6" x14ac:dyDescent="0.25">
      <c r="A19399"/>
      <c r="B19399"/>
      <c r="C19399"/>
      <c r="E19399"/>
      <c r="F19399"/>
    </row>
    <row r="19400" spans="1:6" x14ac:dyDescent="0.25">
      <c r="A19400"/>
      <c r="B19400"/>
      <c r="C19400"/>
      <c r="E19400"/>
      <c r="F19400"/>
    </row>
    <row r="19401" spans="1:6" x14ac:dyDescent="0.25">
      <c r="A19401"/>
      <c r="B19401"/>
      <c r="C19401"/>
      <c r="E19401"/>
      <c r="F19401"/>
    </row>
    <row r="19402" spans="1:6" x14ac:dyDescent="0.25">
      <c r="A19402"/>
      <c r="B19402"/>
      <c r="C19402"/>
      <c r="E19402"/>
      <c r="F19402"/>
    </row>
    <row r="19403" spans="1:6" x14ac:dyDescent="0.25">
      <c r="A19403"/>
      <c r="B19403"/>
      <c r="C19403"/>
      <c r="E19403"/>
      <c r="F19403"/>
    </row>
    <row r="19404" spans="1:6" x14ac:dyDescent="0.25">
      <c r="A19404"/>
      <c r="B19404"/>
      <c r="C19404"/>
      <c r="E19404"/>
      <c r="F19404"/>
    </row>
    <row r="19405" spans="1:6" x14ac:dyDescent="0.25">
      <c r="A19405"/>
      <c r="B19405"/>
      <c r="C19405"/>
      <c r="E19405"/>
      <c r="F19405"/>
    </row>
    <row r="19406" spans="1:6" x14ac:dyDescent="0.25">
      <c r="A19406"/>
      <c r="B19406"/>
      <c r="C19406"/>
      <c r="E19406"/>
      <c r="F19406"/>
    </row>
    <row r="19407" spans="1:6" x14ac:dyDescent="0.25">
      <c r="A19407"/>
      <c r="B19407"/>
      <c r="C19407"/>
      <c r="E19407"/>
      <c r="F19407"/>
    </row>
    <row r="19408" spans="1:6" x14ac:dyDescent="0.25">
      <c r="A19408"/>
      <c r="B19408"/>
      <c r="C19408"/>
      <c r="E19408"/>
      <c r="F19408"/>
    </row>
    <row r="19409" spans="1:6" x14ac:dyDescent="0.25">
      <c r="A19409"/>
      <c r="B19409"/>
      <c r="C19409"/>
      <c r="E19409"/>
      <c r="F19409"/>
    </row>
    <row r="19410" spans="1:6" x14ac:dyDescent="0.25">
      <c r="A19410"/>
      <c r="B19410"/>
      <c r="C19410"/>
      <c r="E19410"/>
      <c r="F19410"/>
    </row>
    <row r="19411" spans="1:6" x14ac:dyDescent="0.25">
      <c r="A19411"/>
      <c r="B19411"/>
      <c r="C19411"/>
      <c r="E19411"/>
      <c r="F19411"/>
    </row>
    <row r="19412" spans="1:6" x14ac:dyDescent="0.25">
      <c r="A19412"/>
      <c r="B19412"/>
      <c r="C19412"/>
      <c r="E19412"/>
      <c r="F19412"/>
    </row>
    <row r="19413" spans="1:6" x14ac:dyDescent="0.25">
      <c r="A19413"/>
      <c r="B19413"/>
      <c r="C19413"/>
      <c r="E19413"/>
      <c r="F19413"/>
    </row>
    <row r="19414" spans="1:6" x14ac:dyDescent="0.25">
      <c r="A19414"/>
      <c r="B19414"/>
      <c r="C19414"/>
      <c r="E19414"/>
      <c r="F19414"/>
    </row>
    <row r="19415" spans="1:6" x14ac:dyDescent="0.25">
      <c r="A19415"/>
      <c r="B19415"/>
      <c r="C19415"/>
      <c r="E19415"/>
      <c r="F19415"/>
    </row>
    <row r="19416" spans="1:6" x14ac:dyDescent="0.25">
      <c r="A19416"/>
      <c r="B19416"/>
      <c r="C19416"/>
      <c r="E19416"/>
      <c r="F19416"/>
    </row>
    <row r="19417" spans="1:6" x14ac:dyDescent="0.25">
      <c r="A19417"/>
      <c r="B19417"/>
      <c r="C19417"/>
      <c r="E19417"/>
      <c r="F19417"/>
    </row>
    <row r="19418" spans="1:6" x14ac:dyDescent="0.25">
      <c r="A19418"/>
      <c r="B19418"/>
      <c r="C19418"/>
      <c r="E19418"/>
      <c r="F19418"/>
    </row>
    <row r="19419" spans="1:6" x14ac:dyDescent="0.25">
      <c r="A19419"/>
      <c r="B19419"/>
      <c r="C19419"/>
      <c r="E19419"/>
      <c r="F19419"/>
    </row>
    <row r="19420" spans="1:6" x14ac:dyDescent="0.25">
      <c r="A19420"/>
      <c r="B19420"/>
      <c r="C19420"/>
      <c r="E19420"/>
      <c r="F19420"/>
    </row>
    <row r="19421" spans="1:6" x14ac:dyDescent="0.25">
      <c r="A19421"/>
      <c r="B19421"/>
      <c r="C19421"/>
      <c r="E19421"/>
      <c r="F19421"/>
    </row>
    <row r="19422" spans="1:6" x14ac:dyDescent="0.25">
      <c r="A19422"/>
      <c r="B19422"/>
      <c r="C19422"/>
      <c r="E19422"/>
      <c r="F19422"/>
    </row>
    <row r="19423" spans="1:6" x14ac:dyDescent="0.25">
      <c r="A19423"/>
      <c r="B19423"/>
      <c r="C19423"/>
      <c r="E19423"/>
      <c r="F19423"/>
    </row>
    <row r="19424" spans="1:6" x14ac:dyDescent="0.25">
      <c r="A19424"/>
      <c r="B19424"/>
      <c r="C19424"/>
      <c r="E19424"/>
      <c r="F19424"/>
    </row>
    <row r="19425" spans="1:6" x14ac:dyDescent="0.25">
      <c r="A19425"/>
      <c r="B19425"/>
      <c r="C19425"/>
      <c r="E19425"/>
      <c r="F19425"/>
    </row>
    <row r="19426" spans="1:6" x14ac:dyDescent="0.25">
      <c r="A19426"/>
      <c r="B19426"/>
      <c r="C19426"/>
      <c r="E19426"/>
      <c r="F19426"/>
    </row>
    <row r="19427" spans="1:6" x14ac:dyDescent="0.25">
      <c r="A19427"/>
      <c r="B19427"/>
      <c r="C19427"/>
      <c r="E19427"/>
      <c r="F19427"/>
    </row>
    <row r="19428" spans="1:6" x14ac:dyDescent="0.25">
      <c r="A19428"/>
      <c r="B19428"/>
      <c r="C19428"/>
      <c r="E19428"/>
      <c r="F19428"/>
    </row>
    <row r="19429" spans="1:6" x14ac:dyDescent="0.25">
      <c r="A19429"/>
      <c r="B19429"/>
      <c r="C19429"/>
      <c r="E19429"/>
      <c r="F19429"/>
    </row>
    <row r="19430" spans="1:6" x14ac:dyDescent="0.25">
      <c r="A19430"/>
      <c r="B19430"/>
      <c r="C19430"/>
      <c r="E19430"/>
      <c r="F19430"/>
    </row>
    <row r="19431" spans="1:6" x14ac:dyDescent="0.25">
      <c r="A19431"/>
      <c r="B19431"/>
      <c r="C19431"/>
      <c r="E19431"/>
      <c r="F19431"/>
    </row>
    <row r="19432" spans="1:6" x14ac:dyDescent="0.25">
      <c r="A19432"/>
      <c r="B19432"/>
      <c r="C19432"/>
      <c r="E19432"/>
      <c r="F19432"/>
    </row>
    <row r="19433" spans="1:6" x14ac:dyDescent="0.25">
      <c r="A19433"/>
      <c r="B19433"/>
      <c r="C19433"/>
      <c r="E19433"/>
      <c r="F19433"/>
    </row>
    <row r="19434" spans="1:6" x14ac:dyDescent="0.25">
      <c r="A19434"/>
      <c r="B19434"/>
      <c r="C19434"/>
      <c r="E19434"/>
      <c r="F19434"/>
    </row>
    <row r="19435" spans="1:6" x14ac:dyDescent="0.25">
      <c r="A19435"/>
      <c r="B19435"/>
      <c r="C19435"/>
      <c r="E19435"/>
      <c r="F19435"/>
    </row>
    <row r="19436" spans="1:6" x14ac:dyDescent="0.25">
      <c r="A19436"/>
      <c r="B19436"/>
      <c r="C19436"/>
      <c r="E19436"/>
      <c r="F19436"/>
    </row>
    <row r="19437" spans="1:6" x14ac:dyDescent="0.25">
      <c r="A19437"/>
      <c r="B19437"/>
      <c r="C19437"/>
      <c r="E19437"/>
      <c r="F19437"/>
    </row>
    <row r="19438" spans="1:6" x14ac:dyDescent="0.25">
      <c r="A19438"/>
      <c r="B19438"/>
      <c r="C19438"/>
      <c r="E19438"/>
      <c r="F19438"/>
    </row>
    <row r="19439" spans="1:6" x14ac:dyDescent="0.25">
      <c r="A19439"/>
      <c r="B19439"/>
      <c r="C19439"/>
      <c r="E19439"/>
      <c r="F19439"/>
    </row>
    <row r="19440" spans="1:6" x14ac:dyDescent="0.25">
      <c r="A19440"/>
      <c r="B19440"/>
      <c r="C19440"/>
      <c r="E19440"/>
      <c r="F19440"/>
    </row>
    <row r="19441" spans="1:6" x14ac:dyDescent="0.25">
      <c r="A19441"/>
      <c r="B19441"/>
      <c r="C19441"/>
      <c r="E19441"/>
      <c r="F19441"/>
    </row>
    <row r="19442" spans="1:6" x14ac:dyDescent="0.25">
      <c r="A19442"/>
      <c r="B19442"/>
      <c r="C19442"/>
      <c r="E19442"/>
      <c r="F19442"/>
    </row>
    <row r="19443" spans="1:6" x14ac:dyDescent="0.25">
      <c r="A19443"/>
      <c r="B19443"/>
      <c r="C19443"/>
      <c r="E19443"/>
      <c r="F19443"/>
    </row>
    <row r="19444" spans="1:6" x14ac:dyDescent="0.25">
      <c r="A19444"/>
      <c r="B19444"/>
      <c r="C19444"/>
      <c r="E19444"/>
      <c r="F19444"/>
    </row>
    <row r="19445" spans="1:6" x14ac:dyDescent="0.25">
      <c r="A19445"/>
      <c r="B19445"/>
      <c r="C19445"/>
      <c r="E19445"/>
      <c r="F19445"/>
    </row>
    <row r="19446" spans="1:6" x14ac:dyDescent="0.25">
      <c r="A19446"/>
      <c r="B19446"/>
      <c r="C19446"/>
      <c r="E19446"/>
      <c r="F19446"/>
    </row>
    <row r="19447" spans="1:6" x14ac:dyDescent="0.25">
      <c r="A19447"/>
      <c r="B19447"/>
      <c r="C19447"/>
      <c r="E19447"/>
      <c r="F19447"/>
    </row>
    <row r="19448" spans="1:6" x14ac:dyDescent="0.25">
      <c r="A19448"/>
      <c r="B19448"/>
      <c r="C19448"/>
      <c r="E19448"/>
      <c r="F19448"/>
    </row>
    <row r="19449" spans="1:6" x14ac:dyDescent="0.25">
      <c r="A19449"/>
      <c r="B19449"/>
      <c r="C19449"/>
      <c r="E19449"/>
      <c r="F19449"/>
    </row>
    <row r="19450" spans="1:6" x14ac:dyDescent="0.25">
      <c r="A19450"/>
      <c r="B19450"/>
      <c r="C19450"/>
      <c r="E19450"/>
      <c r="F19450"/>
    </row>
    <row r="19451" spans="1:6" x14ac:dyDescent="0.25">
      <c r="A19451"/>
      <c r="B19451"/>
      <c r="C19451"/>
      <c r="E19451"/>
      <c r="F19451"/>
    </row>
    <row r="19452" spans="1:6" x14ac:dyDescent="0.25">
      <c r="A19452"/>
      <c r="B19452"/>
      <c r="C19452"/>
      <c r="E19452"/>
      <c r="F19452"/>
    </row>
    <row r="19453" spans="1:6" x14ac:dyDescent="0.25">
      <c r="A19453"/>
      <c r="B19453"/>
      <c r="C19453"/>
      <c r="E19453"/>
      <c r="F19453"/>
    </row>
    <row r="19454" spans="1:6" x14ac:dyDescent="0.25">
      <c r="A19454"/>
      <c r="B19454"/>
      <c r="C19454"/>
      <c r="E19454"/>
      <c r="F19454"/>
    </row>
    <row r="19455" spans="1:6" x14ac:dyDescent="0.25">
      <c r="A19455"/>
      <c r="B19455"/>
      <c r="C19455"/>
      <c r="E19455"/>
      <c r="F19455"/>
    </row>
    <row r="19456" spans="1:6" x14ac:dyDescent="0.25">
      <c r="A19456"/>
      <c r="B19456"/>
      <c r="C19456"/>
      <c r="E19456"/>
      <c r="F19456"/>
    </row>
    <row r="19457" spans="1:6" x14ac:dyDescent="0.25">
      <c r="A19457"/>
      <c r="B19457"/>
      <c r="C19457"/>
      <c r="E19457"/>
      <c r="F19457"/>
    </row>
    <row r="19458" spans="1:6" x14ac:dyDescent="0.25">
      <c r="A19458"/>
      <c r="B19458"/>
      <c r="C19458"/>
      <c r="E19458"/>
      <c r="F19458"/>
    </row>
    <row r="19459" spans="1:6" x14ac:dyDescent="0.25">
      <c r="A19459"/>
      <c r="B19459"/>
      <c r="C19459"/>
      <c r="E19459"/>
      <c r="F19459"/>
    </row>
    <row r="19460" spans="1:6" x14ac:dyDescent="0.25">
      <c r="A19460"/>
      <c r="B19460"/>
      <c r="C19460"/>
      <c r="E19460"/>
      <c r="F19460"/>
    </row>
    <row r="19461" spans="1:6" x14ac:dyDescent="0.25">
      <c r="A19461"/>
      <c r="B19461"/>
      <c r="C19461"/>
      <c r="E19461"/>
      <c r="F19461"/>
    </row>
    <row r="19462" spans="1:6" x14ac:dyDescent="0.25">
      <c r="A19462"/>
      <c r="B19462"/>
      <c r="C19462"/>
      <c r="E19462"/>
      <c r="F19462"/>
    </row>
    <row r="19463" spans="1:6" x14ac:dyDescent="0.25">
      <c r="A19463"/>
      <c r="B19463"/>
      <c r="C19463"/>
      <c r="E19463"/>
      <c r="F19463"/>
    </row>
    <row r="19464" spans="1:6" x14ac:dyDescent="0.25">
      <c r="A19464"/>
      <c r="B19464"/>
      <c r="C19464"/>
      <c r="E19464"/>
      <c r="F19464"/>
    </row>
    <row r="19465" spans="1:6" x14ac:dyDescent="0.25">
      <c r="A19465"/>
      <c r="B19465"/>
      <c r="C19465"/>
      <c r="E19465"/>
      <c r="F19465"/>
    </row>
    <row r="19466" spans="1:6" x14ac:dyDescent="0.25">
      <c r="A19466"/>
      <c r="B19466"/>
      <c r="C19466"/>
      <c r="E19466"/>
      <c r="F19466"/>
    </row>
    <row r="19467" spans="1:6" x14ac:dyDescent="0.25">
      <c r="A19467"/>
      <c r="B19467"/>
      <c r="C19467"/>
      <c r="E19467"/>
      <c r="F19467"/>
    </row>
    <row r="19468" spans="1:6" x14ac:dyDescent="0.25">
      <c r="A19468"/>
      <c r="B19468"/>
      <c r="C19468"/>
      <c r="E19468"/>
      <c r="F19468"/>
    </row>
    <row r="19469" spans="1:6" x14ac:dyDescent="0.25">
      <c r="A19469"/>
      <c r="B19469"/>
      <c r="C19469"/>
      <c r="E19469"/>
      <c r="F19469"/>
    </row>
    <row r="19470" spans="1:6" x14ac:dyDescent="0.25">
      <c r="A19470"/>
      <c r="B19470"/>
      <c r="C19470"/>
      <c r="E19470"/>
      <c r="F19470"/>
    </row>
    <row r="19471" spans="1:6" x14ac:dyDescent="0.25">
      <c r="A19471"/>
      <c r="B19471"/>
      <c r="C19471"/>
      <c r="E19471"/>
      <c r="F19471"/>
    </row>
    <row r="19472" spans="1:6" x14ac:dyDescent="0.25">
      <c r="A19472"/>
      <c r="B19472"/>
      <c r="C19472"/>
      <c r="E19472"/>
      <c r="F19472"/>
    </row>
    <row r="19473" spans="1:6" x14ac:dyDescent="0.25">
      <c r="A19473"/>
      <c r="B19473"/>
      <c r="C19473"/>
      <c r="E19473"/>
      <c r="F19473"/>
    </row>
    <row r="19474" spans="1:6" x14ac:dyDescent="0.25">
      <c r="A19474"/>
      <c r="B19474"/>
      <c r="C19474"/>
      <c r="E19474"/>
      <c r="F19474"/>
    </row>
    <row r="19475" spans="1:6" x14ac:dyDescent="0.25">
      <c r="A19475"/>
      <c r="B19475"/>
      <c r="C19475"/>
      <c r="E19475"/>
      <c r="F19475"/>
    </row>
    <row r="19476" spans="1:6" x14ac:dyDescent="0.25">
      <c r="A19476"/>
      <c r="B19476"/>
      <c r="C19476"/>
      <c r="E19476"/>
      <c r="F19476"/>
    </row>
    <row r="19477" spans="1:6" x14ac:dyDescent="0.25">
      <c r="A19477"/>
      <c r="B19477"/>
      <c r="C19477"/>
      <c r="E19477"/>
      <c r="F19477"/>
    </row>
    <row r="19478" spans="1:6" x14ac:dyDescent="0.25">
      <c r="A19478"/>
      <c r="B19478"/>
      <c r="C19478"/>
      <c r="E19478"/>
      <c r="F19478"/>
    </row>
    <row r="19479" spans="1:6" x14ac:dyDescent="0.25">
      <c r="A19479"/>
      <c r="B19479"/>
      <c r="C19479"/>
      <c r="E19479"/>
      <c r="F19479"/>
    </row>
    <row r="19480" spans="1:6" x14ac:dyDescent="0.25">
      <c r="A19480"/>
      <c r="B19480"/>
      <c r="C19480"/>
      <c r="E19480"/>
      <c r="F19480"/>
    </row>
    <row r="19481" spans="1:6" x14ac:dyDescent="0.25">
      <c r="A19481"/>
      <c r="B19481"/>
      <c r="C19481"/>
      <c r="E19481"/>
      <c r="F19481"/>
    </row>
    <row r="19482" spans="1:6" x14ac:dyDescent="0.25">
      <c r="A19482"/>
      <c r="B19482"/>
      <c r="C19482"/>
      <c r="E19482"/>
      <c r="F19482"/>
    </row>
    <row r="19483" spans="1:6" x14ac:dyDescent="0.25">
      <c r="A19483"/>
      <c r="B19483"/>
      <c r="C19483"/>
      <c r="E19483"/>
      <c r="F19483"/>
    </row>
    <row r="19484" spans="1:6" x14ac:dyDescent="0.25">
      <c r="A19484"/>
      <c r="B19484"/>
      <c r="C19484"/>
      <c r="E19484"/>
      <c r="F19484"/>
    </row>
    <row r="19485" spans="1:6" x14ac:dyDescent="0.25">
      <c r="A19485"/>
      <c r="B19485"/>
      <c r="C19485"/>
      <c r="E19485"/>
      <c r="F19485"/>
    </row>
    <row r="19486" spans="1:6" x14ac:dyDescent="0.25">
      <c r="A19486"/>
      <c r="B19486"/>
      <c r="C19486"/>
      <c r="E19486"/>
      <c r="F19486"/>
    </row>
    <row r="19487" spans="1:6" x14ac:dyDescent="0.25">
      <c r="A19487"/>
      <c r="B19487"/>
      <c r="C19487"/>
      <c r="E19487"/>
      <c r="F19487"/>
    </row>
    <row r="19488" spans="1:6" x14ac:dyDescent="0.25">
      <c r="A19488"/>
      <c r="B19488"/>
      <c r="C19488"/>
      <c r="E19488"/>
      <c r="F19488"/>
    </row>
    <row r="19489" spans="1:6" x14ac:dyDescent="0.25">
      <c r="A19489"/>
      <c r="B19489"/>
      <c r="C19489"/>
      <c r="E19489"/>
      <c r="F19489"/>
    </row>
    <row r="19490" spans="1:6" x14ac:dyDescent="0.25">
      <c r="A19490"/>
      <c r="B19490"/>
      <c r="C19490"/>
      <c r="E19490"/>
      <c r="F19490"/>
    </row>
    <row r="19491" spans="1:6" x14ac:dyDescent="0.25">
      <c r="A19491"/>
      <c r="B19491"/>
      <c r="C19491"/>
      <c r="E19491"/>
      <c r="F19491"/>
    </row>
    <row r="19492" spans="1:6" x14ac:dyDescent="0.25">
      <c r="A19492"/>
      <c r="B19492"/>
      <c r="C19492"/>
      <c r="E19492"/>
      <c r="F19492"/>
    </row>
    <row r="19493" spans="1:6" x14ac:dyDescent="0.25">
      <c r="A19493"/>
      <c r="B19493"/>
      <c r="C19493"/>
      <c r="E19493"/>
      <c r="F19493"/>
    </row>
    <row r="19494" spans="1:6" x14ac:dyDescent="0.25">
      <c r="A19494"/>
      <c r="B19494"/>
      <c r="C19494"/>
      <c r="E19494"/>
      <c r="F19494"/>
    </row>
    <row r="19495" spans="1:6" x14ac:dyDescent="0.25">
      <c r="A19495"/>
      <c r="B19495"/>
      <c r="C19495"/>
      <c r="E19495"/>
      <c r="F19495"/>
    </row>
    <row r="19496" spans="1:6" x14ac:dyDescent="0.25">
      <c r="A19496"/>
      <c r="B19496"/>
      <c r="C19496"/>
      <c r="E19496"/>
      <c r="F19496"/>
    </row>
    <row r="19497" spans="1:6" x14ac:dyDescent="0.25">
      <c r="A19497"/>
      <c r="B19497"/>
      <c r="C19497"/>
      <c r="E19497"/>
      <c r="F19497"/>
    </row>
    <row r="19498" spans="1:6" x14ac:dyDescent="0.25">
      <c r="A19498"/>
      <c r="B19498"/>
      <c r="C19498"/>
      <c r="E19498"/>
      <c r="F19498"/>
    </row>
    <row r="19499" spans="1:6" x14ac:dyDescent="0.25">
      <c r="A19499"/>
      <c r="B19499"/>
      <c r="C19499"/>
      <c r="E19499"/>
      <c r="F19499"/>
    </row>
    <row r="19500" spans="1:6" x14ac:dyDescent="0.25">
      <c r="A19500"/>
      <c r="B19500"/>
      <c r="C19500"/>
      <c r="E19500"/>
      <c r="F19500"/>
    </row>
    <row r="19501" spans="1:6" x14ac:dyDescent="0.25">
      <c r="A19501"/>
      <c r="B19501"/>
      <c r="C19501"/>
      <c r="E19501"/>
      <c r="F19501"/>
    </row>
    <row r="19502" spans="1:6" x14ac:dyDescent="0.25">
      <c r="A19502"/>
      <c r="B19502"/>
      <c r="C19502"/>
      <c r="E19502"/>
      <c r="F19502"/>
    </row>
    <row r="19503" spans="1:6" x14ac:dyDescent="0.25">
      <c r="A19503"/>
      <c r="B19503"/>
      <c r="C19503"/>
      <c r="E19503"/>
      <c r="F19503"/>
    </row>
    <row r="19504" spans="1:6" x14ac:dyDescent="0.25">
      <c r="A19504"/>
      <c r="B19504"/>
      <c r="C19504"/>
      <c r="E19504"/>
      <c r="F19504"/>
    </row>
    <row r="19505" spans="1:6" x14ac:dyDescent="0.25">
      <c r="A19505"/>
      <c r="B19505"/>
      <c r="C19505"/>
      <c r="E19505"/>
      <c r="F19505"/>
    </row>
    <row r="19506" spans="1:6" x14ac:dyDescent="0.25">
      <c r="A19506"/>
      <c r="B19506"/>
      <c r="C19506"/>
      <c r="E19506"/>
      <c r="F19506"/>
    </row>
    <row r="19507" spans="1:6" x14ac:dyDescent="0.25">
      <c r="A19507"/>
      <c r="B19507"/>
      <c r="C19507"/>
      <c r="E19507"/>
      <c r="F19507"/>
    </row>
    <row r="19508" spans="1:6" x14ac:dyDescent="0.25">
      <c r="A19508"/>
      <c r="B19508"/>
      <c r="C19508"/>
      <c r="E19508"/>
      <c r="F19508"/>
    </row>
    <row r="19509" spans="1:6" x14ac:dyDescent="0.25">
      <c r="A19509"/>
      <c r="B19509"/>
      <c r="C19509"/>
      <c r="E19509"/>
      <c r="F19509"/>
    </row>
    <row r="19510" spans="1:6" x14ac:dyDescent="0.25">
      <c r="A19510"/>
      <c r="B19510"/>
      <c r="C19510"/>
      <c r="E19510"/>
      <c r="F19510"/>
    </row>
    <row r="19511" spans="1:6" x14ac:dyDescent="0.25">
      <c r="A19511"/>
      <c r="B19511"/>
      <c r="C19511"/>
      <c r="E19511"/>
      <c r="F19511"/>
    </row>
    <row r="19512" spans="1:6" x14ac:dyDescent="0.25">
      <c r="A19512"/>
      <c r="B19512"/>
      <c r="C19512"/>
      <c r="E19512"/>
      <c r="F19512"/>
    </row>
    <row r="19513" spans="1:6" x14ac:dyDescent="0.25">
      <c r="A19513"/>
      <c r="B19513"/>
      <c r="C19513"/>
      <c r="E19513"/>
      <c r="F19513"/>
    </row>
    <row r="19514" spans="1:6" x14ac:dyDescent="0.25">
      <c r="A19514"/>
      <c r="B19514"/>
      <c r="C19514"/>
      <c r="E19514"/>
      <c r="F19514"/>
    </row>
    <row r="19515" spans="1:6" x14ac:dyDescent="0.25">
      <c r="A19515"/>
      <c r="B19515"/>
      <c r="C19515"/>
      <c r="E19515"/>
      <c r="F19515"/>
    </row>
    <row r="19516" spans="1:6" x14ac:dyDescent="0.25">
      <c r="A19516"/>
      <c r="B19516"/>
      <c r="C19516"/>
      <c r="E19516"/>
      <c r="F19516"/>
    </row>
    <row r="19517" spans="1:6" x14ac:dyDescent="0.25">
      <c r="A19517"/>
      <c r="B19517"/>
      <c r="C19517"/>
      <c r="E19517"/>
      <c r="F19517"/>
    </row>
    <row r="19518" spans="1:6" x14ac:dyDescent="0.25">
      <c r="A19518"/>
      <c r="B19518"/>
      <c r="C19518"/>
      <c r="E19518"/>
      <c r="F19518"/>
    </row>
    <row r="19519" spans="1:6" x14ac:dyDescent="0.25">
      <c r="A19519"/>
      <c r="B19519"/>
      <c r="C19519"/>
      <c r="E19519"/>
      <c r="F19519"/>
    </row>
    <row r="19520" spans="1:6" x14ac:dyDescent="0.25">
      <c r="A19520"/>
      <c r="B19520"/>
      <c r="C19520"/>
      <c r="E19520"/>
      <c r="F19520"/>
    </row>
    <row r="19521" spans="1:6" x14ac:dyDescent="0.25">
      <c r="A19521"/>
      <c r="B19521"/>
      <c r="C19521"/>
      <c r="E19521"/>
      <c r="F19521"/>
    </row>
    <row r="19522" spans="1:6" x14ac:dyDescent="0.25">
      <c r="A19522"/>
      <c r="B19522"/>
      <c r="C19522"/>
      <c r="E19522"/>
      <c r="F19522"/>
    </row>
    <row r="19523" spans="1:6" x14ac:dyDescent="0.25">
      <c r="A19523"/>
      <c r="B19523"/>
      <c r="C19523"/>
      <c r="E19523"/>
      <c r="F19523"/>
    </row>
    <row r="19524" spans="1:6" x14ac:dyDescent="0.25">
      <c r="A19524"/>
      <c r="B19524"/>
      <c r="C19524"/>
      <c r="E19524"/>
      <c r="F19524"/>
    </row>
    <row r="19525" spans="1:6" x14ac:dyDescent="0.25">
      <c r="A19525"/>
      <c r="B19525"/>
      <c r="C19525"/>
      <c r="E19525"/>
      <c r="F19525"/>
    </row>
    <row r="19526" spans="1:6" x14ac:dyDescent="0.25">
      <c r="A19526"/>
      <c r="B19526"/>
      <c r="C19526"/>
      <c r="E19526"/>
      <c r="F19526"/>
    </row>
    <row r="19527" spans="1:6" x14ac:dyDescent="0.25">
      <c r="A19527"/>
      <c r="B19527"/>
      <c r="C19527"/>
      <c r="E19527"/>
      <c r="F19527"/>
    </row>
    <row r="19528" spans="1:6" x14ac:dyDescent="0.25">
      <c r="A19528"/>
      <c r="B19528"/>
      <c r="C19528"/>
      <c r="E19528"/>
      <c r="F19528"/>
    </row>
    <row r="19529" spans="1:6" x14ac:dyDescent="0.25">
      <c r="A19529"/>
      <c r="B19529"/>
      <c r="C19529"/>
      <c r="E19529"/>
      <c r="F19529"/>
    </row>
    <row r="19530" spans="1:6" x14ac:dyDescent="0.25">
      <c r="A19530"/>
      <c r="B19530"/>
      <c r="C19530"/>
      <c r="E19530"/>
      <c r="F19530"/>
    </row>
    <row r="19531" spans="1:6" x14ac:dyDescent="0.25">
      <c r="A19531"/>
      <c r="B19531"/>
      <c r="C19531"/>
      <c r="E19531"/>
      <c r="F19531"/>
    </row>
    <row r="19532" spans="1:6" x14ac:dyDescent="0.25">
      <c r="A19532"/>
      <c r="B19532"/>
      <c r="C19532"/>
      <c r="E19532"/>
      <c r="F19532"/>
    </row>
    <row r="19533" spans="1:6" x14ac:dyDescent="0.25">
      <c r="A19533"/>
      <c r="B19533"/>
      <c r="C19533"/>
      <c r="E19533"/>
      <c r="F19533"/>
    </row>
    <row r="19534" spans="1:6" x14ac:dyDescent="0.25">
      <c r="A19534"/>
      <c r="B19534"/>
      <c r="C19534"/>
      <c r="E19534"/>
      <c r="F19534"/>
    </row>
    <row r="19535" spans="1:6" x14ac:dyDescent="0.25">
      <c r="A19535"/>
      <c r="B19535"/>
      <c r="C19535"/>
      <c r="E19535"/>
      <c r="F19535"/>
    </row>
    <row r="19536" spans="1:6" x14ac:dyDescent="0.25">
      <c r="A19536"/>
      <c r="B19536"/>
      <c r="C19536"/>
      <c r="E19536"/>
      <c r="F19536"/>
    </row>
    <row r="19537" spans="1:6" x14ac:dyDescent="0.25">
      <c r="A19537"/>
      <c r="B19537"/>
      <c r="C19537"/>
      <c r="E19537"/>
      <c r="F19537"/>
    </row>
    <row r="19538" spans="1:6" x14ac:dyDescent="0.25">
      <c r="A19538"/>
      <c r="B19538"/>
      <c r="C19538"/>
      <c r="E19538"/>
      <c r="F19538"/>
    </row>
    <row r="19539" spans="1:6" x14ac:dyDescent="0.25">
      <c r="A19539"/>
      <c r="B19539"/>
      <c r="C19539"/>
      <c r="E19539"/>
      <c r="F19539"/>
    </row>
    <row r="19540" spans="1:6" x14ac:dyDescent="0.25">
      <c r="A19540"/>
      <c r="B19540"/>
      <c r="C19540"/>
      <c r="E19540"/>
      <c r="F19540"/>
    </row>
    <row r="19541" spans="1:6" x14ac:dyDescent="0.25">
      <c r="A19541"/>
      <c r="B19541"/>
      <c r="C19541"/>
      <c r="E19541"/>
      <c r="F19541"/>
    </row>
    <row r="19542" spans="1:6" x14ac:dyDescent="0.25">
      <c r="A19542"/>
      <c r="B19542"/>
      <c r="C19542"/>
      <c r="E19542"/>
      <c r="F19542"/>
    </row>
    <row r="19543" spans="1:6" x14ac:dyDescent="0.25">
      <c r="A19543"/>
      <c r="B19543"/>
      <c r="C19543"/>
      <c r="E19543"/>
      <c r="F19543"/>
    </row>
    <row r="19544" spans="1:6" x14ac:dyDescent="0.25">
      <c r="A19544"/>
      <c r="B19544"/>
      <c r="C19544"/>
      <c r="E19544"/>
      <c r="F19544"/>
    </row>
    <row r="19545" spans="1:6" x14ac:dyDescent="0.25">
      <c r="A19545"/>
      <c r="B19545"/>
      <c r="C19545"/>
      <c r="E19545"/>
      <c r="F19545"/>
    </row>
    <row r="19546" spans="1:6" x14ac:dyDescent="0.25">
      <c r="A19546"/>
      <c r="B19546"/>
      <c r="C19546"/>
      <c r="E19546"/>
      <c r="F19546"/>
    </row>
    <row r="19547" spans="1:6" x14ac:dyDescent="0.25">
      <c r="A19547"/>
      <c r="B19547"/>
      <c r="C19547"/>
      <c r="E19547"/>
      <c r="F19547"/>
    </row>
    <row r="19548" spans="1:6" x14ac:dyDescent="0.25">
      <c r="A19548"/>
      <c r="B19548"/>
      <c r="C19548"/>
      <c r="E19548"/>
      <c r="F19548"/>
    </row>
    <row r="19549" spans="1:6" x14ac:dyDescent="0.25">
      <c r="A19549"/>
      <c r="B19549"/>
      <c r="C19549"/>
      <c r="E19549"/>
      <c r="F19549"/>
    </row>
    <row r="19550" spans="1:6" x14ac:dyDescent="0.25">
      <c r="A19550"/>
      <c r="B19550"/>
      <c r="C19550"/>
      <c r="E19550"/>
      <c r="F19550"/>
    </row>
    <row r="19551" spans="1:6" x14ac:dyDescent="0.25">
      <c r="A19551"/>
      <c r="B19551"/>
      <c r="C19551"/>
      <c r="E19551"/>
      <c r="F19551"/>
    </row>
    <row r="19552" spans="1:6" x14ac:dyDescent="0.25">
      <c r="A19552"/>
      <c r="B19552"/>
      <c r="C19552"/>
      <c r="E19552"/>
      <c r="F19552"/>
    </row>
    <row r="19553" spans="1:6" x14ac:dyDescent="0.25">
      <c r="A19553"/>
      <c r="B19553"/>
      <c r="C19553"/>
      <c r="E19553"/>
      <c r="F19553"/>
    </row>
    <row r="19554" spans="1:6" x14ac:dyDescent="0.25">
      <c r="A19554"/>
      <c r="B19554"/>
      <c r="C19554"/>
      <c r="E19554"/>
      <c r="F19554"/>
    </row>
    <row r="19555" spans="1:6" x14ac:dyDescent="0.25">
      <c r="A19555"/>
      <c r="B19555"/>
      <c r="C19555"/>
      <c r="E19555"/>
      <c r="F19555"/>
    </row>
    <row r="19556" spans="1:6" x14ac:dyDescent="0.25">
      <c r="A19556"/>
      <c r="B19556"/>
      <c r="C19556"/>
      <c r="E19556"/>
      <c r="F19556"/>
    </row>
    <row r="19557" spans="1:6" x14ac:dyDescent="0.25">
      <c r="A19557"/>
      <c r="B19557"/>
      <c r="C19557"/>
      <c r="E19557"/>
      <c r="F19557"/>
    </row>
    <row r="19558" spans="1:6" x14ac:dyDescent="0.25">
      <c r="A19558"/>
      <c r="B19558"/>
      <c r="C19558"/>
      <c r="E19558"/>
      <c r="F19558"/>
    </row>
    <row r="19559" spans="1:6" x14ac:dyDescent="0.25">
      <c r="A19559"/>
      <c r="B19559"/>
      <c r="C19559"/>
      <c r="E19559"/>
      <c r="F19559"/>
    </row>
    <row r="19560" spans="1:6" x14ac:dyDescent="0.25">
      <c r="A19560"/>
      <c r="B19560"/>
      <c r="C19560"/>
      <c r="E19560"/>
      <c r="F19560"/>
    </row>
    <row r="19561" spans="1:6" x14ac:dyDescent="0.25">
      <c r="A19561"/>
      <c r="B19561"/>
      <c r="C19561"/>
      <c r="E19561"/>
      <c r="F19561"/>
    </row>
    <row r="19562" spans="1:6" x14ac:dyDescent="0.25">
      <c r="A19562"/>
      <c r="B19562"/>
      <c r="C19562"/>
      <c r="E19562"/>
      <c r="F19562"/>
    </row>
    <row r="19563" spans="1:6" x14ac:dyDescent="0.25">
      <c r="A19563"/>
      <c r="B19563"/>
      <c r="C19563"/>
      <c r="E19563"/>
      <c r="F19563"/>
    </row>
    <row r="19564" spans="1:6" x14ac:dyDescent="0.25">
      <c r="A19564"/>
      <c r="B19564"/>
      <c r="C19564"/>
      <c r="E19564"/>
      <c r="F19564"/>
    </row>
    <row r="19565" spans="1:6" x14ac:dyDescent="0.25">
      <c r="A19565"/>
      <c r="B19565"/>
      <c r="C19565"/>
      <c r="E19565"/>
      <c r="F19565"/>
    </row>
    <row r="19566" spans="1:6" x14ac:dyDescent="0.25">
      <c r="A19566"/>
      <c r="B19566"/>
      <c r="C19566"/>
      <c r="E19566"/>
      <c r="F19566"/>
    </row>
    <row r="19567" spans="1:6" x14ac:dyDescent="0.25">
      <c r="A19567"/>
      <c r="B19567"/>
      <c r="C19567"/>
      <c r="E19567"/>
      <c r="F19567"/>
    </row>
    <row r="19568" spans="1:6" x14ac:dyDescent="0.25">
      <c r="A19568"/>
      <c r="B19568"/>
      <c r="C19568"/>
      <c r="E19568"/>
      <c r="F19568"/>
    </row>
    <row r="19569" spans="1:6" x14ac:dyDescent="0.25">
      <c r="A19569"/>
      <c r="B19569"/>
      <c r="C19569"/>
      <c r="E19569"/>
      <c r="F19569"/>
    </row>
    <row r="19570" spans="1:6" x14ac:dyDescent="0.25">
      <c r="A19570"/>
      <c r="B19570"/>
      <c r="C19570"/>
      <c r="E19570"/>
      <c r="F19570"/>
    </row>
    <row r="19571" spans="1:6" x14ac:dyDescent="0.25">
      <c r="A19571"/>
      <c r="B19571"/>
      <c r="C19571"/>
      <c r="E19571"/>
      <c r="F19571"/>
    </row>
    <row r="19572" spans="1:6" x14ac:dyDescent="0.25">
      <c r="A19572"/>
      <c r="B19572"/>
      <c r="C19572"/>
      <c r="E19572"/>
      <c r="F19572"/>
    </row>
    <row r="19573" spans="1:6" x14ac:dyDescent="0.25">
      <c r="A19573"/>
      <c r="B19573"/>
      <c r="C19573"/>
      <c r="E19573"/>
      <c r="F19573"/>
    </row>
    <row r="19574" spans="1:6" x14ac:dyDescent="0.25">
      <c r="A19574"/>
      <c r="B19574"/>
      <c r="C19574"/>
      <c r="E19574"/>
      <c r="F19574"/>
    </row>
    <row r="19575" spans="1:6" x14ac:dyDescent="0.25">
      <c r="A19575"/>
      <c r="B19575"/>
      <c r="C19575"/>
      <c r="E19575"/>
      <c r="F19575"/>
    </row>
    <row r="19576" spans="1:6" x14ac:dyDescent="0.25">
      <c r="A19576"/>
      <c r="B19576"/>
      <c r="C19576"/>
      <c r="E19576"/>
      <c r="F19576"/>
    </row>
    <row r="19577" spans="1:6" x14ac:dyDescent="0.25">
      <c r="A19577"/>
      <c r="B19577"/>
      <c r="C19577"/>
      <c r="E19577"/>
      <c r="F19577"/>
    </row>
    <row r="19578" spans="1:6" x14ac:dyDescent="0.25">
      <c r="A19578"/>
      <c r="B19578"/>
      <c r="C19578"/>
      <c r="E19578"/>
      <c r="F19578"/>
    </row>
    <row r="19579" spans="1:6" x14ac:dyDescent="0.25">
      <c r="A19579"/>
      <c r="B19579"/>
      <c r="C19579"/>
      <c r="E19579"/>
      <c r="F19579"/>
    </row>
    <row r="19580" spans="1:6" x14ac:dyDescent="0.25">
      <c r="A19580"/>
      <c r="B19580"/>
      <c r="C19580"/>
      <c r="E19580"/>
      <c r="F19580"/>
    </row>
    <row r="19581" spans="1:6" x14ac:dyDescent="0.25">
      <c r="A19581"/>
      <c r="B19581"/>
      <c r="C19581"/>
      <c r="E19581"/>
      <c r="F19581"/>
    </row>
    <row r="19582" spans="1:6" x14ac:dyDescent="0.25">
      <c r="A19582"/>
      <c r="B19582"/>
      <c r="C19582"/>
      <c r="E19582"/>
      <c r="F19582"/>
    </row>
    <row r="19583" spans="1:6" x14ac:dyDescent="0.25">
      <c r="A19583"/>
      <c r="B19583"/>
      <c r="C19583"/>
      <c r="E19583"/>
      <c r="F19583"/>
    </row>
    <row r="19584" spans="1:6" x14ac:dyDescent="0.25">
      <c r="A19584"/>
      <c r="B19584"/>
      <c r="C19584"/>
      <c r="E19584"/>
      <c r="F19584"/>
    </row>
    <row r="19585" spans="1:6" x14ac:dyDescent="0.25">
      <c r="A19585"/>
      <c r="B19585"/>
      <c r="C19585"/>
      <c r="E19585"/>
      <c r="F19585"/>
    </row>
    <row r="19586" spans="1:6" x14ac:dyDescent="0.25">
      <c r="A19586"/>
      <c r="B19586"/>
      <c r="C19586"/>
      <c r="E19586"/>
      <c r="F19586"/>
    </row>
    <row r="19587" spans="1:6" x14ac:dyDescent="0.25">
      <c r="A19587"/>
      <c r="B19587"/>
      <c r="C19587"/>
      <c r="E19587"/>
      <c r="F19587"/>
    </row>
    <row r="19588" spans="1:6" x14ac:dyDescent="0.25">
      <c r="A19588"/>
      <c r="B19588"/>
      <c r="C19588"/>
      <c r="E19588"/>
      <c r="F19588"/>
    </row>
    <row r="19589" spans="1:6" x14ac:dyDescent="0.25">
      <c r="A19589"/>
      <c r="B19589"/>
      <c r="C19589"/>
      <c r="E19589"/>
      <c r="F19589"/>
    </row>
    <row r="19590" spans="1:6" x14ac:dyDescent="0.25">
      <c r="A19590"/>
      <c r="B19590"/>
      <c r="C19590"/>
      <c r="E19590"/>
      <c r="F19590"/>
    </row>
    <row r="19591" spans="1:6" x14ac:dyDescent="0.25">
      <c r="A19591"/>
      <c r="B19591"/>
      <c r="C19591"/>
      <c r="E19591"/>
      <c r="F19591"/>
    </row>
    <row r="19592" spans="1:6" x14ac:dyDescent="0.25">
      <c r="A19592"/>
      <c r="B19592"/>
      <c r="C19592"/>
      <c r="E19592"/>
      <c r="F19592"/>
    </row>
    <row r="19593" spans="1:6" x14ac:dyDescent="0.25">
      <c r="A19593"/>
      <c r="B19593"/>
      <c r="C19593"/>
      <c r="E19593"/>
      <c r="F19593"/>
    </row>
    <row r="19594" spans="1:6" x14ac:dyDescent="0.25">
      <c r="A19594"/>
      <c r="B19594"/>
      <c r="C19594"/>
      <c r="E19594"/>
      <c r="F19594"/>
    </row>
    <row r="19595" spans="1:6" x14ac:dyDescent="0.25">
      <c r="A19595"/>
      <c r="B19595"/>
      <c r="C19595"/>
      <c r="E19595"/>
      <c r="F19595"/>
    </row>
    <row r="19596" spans="1:6" x14ac:dyDescent="0.25">
      <c r="A19596"/>
      <c r="B19596"/>
      <c r="C19596"/>
      <c r="E19596"/>
      <c r="F19596"/>
    </row>
    <row r="19597" spans="1:6" x14ac:dyDescent="0.25">
      <c r="A19597"/>
      <c r="B19597"/>
      <c r="C19597"/>
      <c r="E19597"/>
      <c r="F19597"/>
    </row>
    <row r="19598" spans="1:6" x14ac:dyDescent="0.25">
      <c r="A19598"/>
      <c r="B19598"/>
      <c r="C19598"/>
      <c r="E19598"/>
      <c r="F19598"/>
    </row>
    <row r="19599" spans="1:6" x14ac:dyDescent="0.25">
      <c r="A19599"/>
      <c r="B19599"/>
      <c r="C19599"/>
      <c r="E19599"/>
      <c r="F19599"/>
    </row>
    <row r="19600" spans="1:6" x14ac:dyDescent="0.25">
      <c r="A19600"/>
      <c r="B19600"/>
      <c r="C19600"/>
      <c r="E19600"/>
      <c r="F19600"/>
    </row>
    <row r="19601" spans="1:6" x14ac:dyDescent="0.25">
      <c r="A19601"/>
      <c r="B19601"/>
      <c r="C19601"/>
      <c r="E19601"/>
      <c r="F19601"/>
    </row>
    <row r="19602" spans="1:6" x14ac:dyDescent="0.25">
      <c r="A19602"/>
      <c r="B19602"/>
      <c r="C19602"/>
      <c r="E19602"/>
      <c r="F19602"/>
    </row>
    <row r="19603" spans="1:6" x14ac:dyDescent="0.25">
      <c r="A19603"/>
      <c r="B19603"/>
      <c r="C19603"/>
      <c r="E19603"/>
      <c r="F19603"/>
    </row>
    <row r="19604" spans="1:6" x14ac:dyDescent="0.25">
      <c r="A19604"/>
      <c r="B19604"/>
      <c r="C19604"/>
      <c r="E19604"/>
      <c r="F19604"/>
    </row>
    <row r="19605" spans="1:6" x14ac:dyDescent="0.25">
      <c r="A19605"/>
      <c r="B19605"/>
      <c r="C19605"/>
      <c r="E19605"/>
      <c r="F19605"/>
    </row>
    <row r="19606" spans="1:6" x14ac:dyDescent="0.25">
      <c r="A19606"/>
      <c r="B19606"/>
      <c r="C19606"/>
      <c r="E19606"/>
      <c r="F19606"/>
    </row>
    <row r="19607" spans="1:6" x14ac:dyDescent="0.25">
      <c r="A19607"/>
      <c r="B19607"/>
      <c r="C19607"/>
      <c r="E19607"/>
      <c r="F19607"/>
    </row>
    <row r="19608" spans="1:6" x14ac:dyDescent="0.25">
      <c r="A19608"/>
      <c r="B19608"/>
      <c r="C19608"/>
      <c r="E19608"/>
      <c r="F19608"/>
    </row>
    <row r="19609" spans="1:6" x14ac:dyDescent="0.25">
      <c r="A19609"/>
      <c r="B19609"/>
      <c r="C19609"/>
      <c r="E19609"/>
      <c r="F19609"/>
    </row>
    <row r="19610" spans="1:6" x14ac:dyDescent="0.25">
      <c r="A19610"/>
      <c r="B19610"/>
      <c r="C19610"/>
      <c r="E19610"/>
      <c r="F19610"/>
    </row>
    <row r="19611" spans="1:6" x14ac:dyDescent="0.25">
      <c r="A19611"/>
      <c r="B19611"/>
      <c r="C19611"/>
      <c r="E19611"/>
      <c r="F19611"/>
    </row>
    <row r="19612" spans="1:6" x14ac:dyDescent="0.25">
      <c r="A19612"/>
      <c r="B19612"/>
      <c r="C19612"/>
      <c r="E19612"/>
      <c r="F19612"/>
    </row>
    <row r="19613" spans="1:6" x14ac:dyDescent="0.25">
      <c r="A19613"/>
      <c r="B19613"/>
      <c r="C19613"/>
      <c r="E19613"/>
      <c r="F19613"/>
    </row>
    <row r="19614" spans="1:6" x14ac:dyDescent="0.25">
      <c r="A19614"/>
      <c r="B19614"/>
      <c r="C19614"/>
      <c r="E19614"/>
      <c r="F19614"/>
    </row>
    <row r="19615" spans="1:6" x14ac:dyDescent="0.25">
      <c r="A19615"/>
      <c r="B19615"/>
      <c r="C19615"/>
      <c r="E19615"/>
      <c r="F19615"/>
    </row>
    <row r="19616" spans="1:6" x14ac:dyDescent="0.25">
      <c r="A19616"/>
      <c r="B19616"/>
      <c r="C19616"/>
      <c r="E19616"/>
      <c r="F19616"/>
    </row>
    <row r="19617" spans="1:6" x14ac:dyDescent="0.25">
      <c r="A19617"/>
      <c r="B19617"/>
      <c r="C19617"/>
      <c r="E19617"/>
      <c r="F19617"/>
    </row>
    <row r="19618" spans="1:6" x14ac:dyDescent="0.25">
      <c r="A19618"/>
      <c r="B19618"/>
      <c r="C19618"/>
      <c r="E19618"/>
      <c r="F19618"/>
    </row>
    <row r="19619" spans="1:6" x14ac:dyDescent="0.25">
      <c r="A19619"/>
      <c r="B19619"/>
      <c r="C19619"/>
      <c r="E19619"/>
      <c r="F19619"/>
    </row>
    <row r="19620" spans="1:6" x14ac:dyDescent="0.25">
      <c r="A19620"/>
      <c r="B19620"/>
      <c r="C19620"/>
      <c r="E19620"/>
      <c r="F19620"/>
    </row>
    <row r="19621" spans="1:6" x14ac:dyDescent="0.25">
      <c r="A19621"/>
      <c r="B19621"/>
      <c r="C19621"/>
      <c r="E19621"/>
      <c r="F19621"/>
    </row>
    <row r="19622" spans="1:6" x14ac:dyDescent="0.25">
      <c r="A19622"/>
      <c r="B19622"/>
      <c r="C19622"/>
      <c r="E19622"/>
      <c r="F19622"/>
    </row>
    <row r="19623" spans="1:6" x14ac:dyDescent="0.25">
      <c r="A19623"/>
      <c r="B19623"/>
      <c r="C19623"/>
      <c r="E19623"/>
      <c r="F19623"/>
    </row>
    <row r="19624" spans="1:6" x14ac:dyDescent="0.25">
      <c r="A19624"/>
      <c r="B19624"/>
      <c r="C19624"/>
      <c r="E19624"/>
      <c r="F19624"/>
    </row>
    <row r="19625" spans="1:6" x14ac:dyDescent="0.25">
      <c r="A19625"/>
      <c r="B19625"/>
      <c r="C19625"/>
      <c r="E19625"/>
      <c r="F19625"/>
    </row>
    <row r="19626" spans="1:6" x14ac:dyDescent="0.25">
      <c r="A19626"/>
      <c r="B19626"/>
      <c r="C19626"/>
      <c r="E19626"/>
      <c r="F19626"/>
    </row>
    <row r="19627" spans="1:6" x14ac:dyDescent="0.25">
      <c r="A19627"/>
      <c r="B19627"/>
      <c r="C19627"/>
      <c r="E19627"/>
      <c r="F19627"/>
    </row>
    <row r="19628" spans="1:6" x14ac:dyDescent="0.25">
      <c r="A19628"/>
      <c r="B19628"/>
      <c r="C19628"/>
      <c r="E19628"/>
      <c r="F19628"/>
    </row>
    <row r="19629" spans="1:6" x14ac:dyDescent="0.25">
      <c r="A19629"/>
      <c r="B19629"/>
      <c r="C19629"/>
      <c r="E19629"/>
      <c r="F19629"/>
    </row>
    <row r="19630" spans="1:6" x14ac:dyDescent="0.25">
      <c r="A19630"/>
      <c r="B19630"/>
      <c r="C19630"/>
      <c r="E19630"/>
      <c r="F19630"/>
    </row>
    <row r="19631" spans="1:6" x14ac:dyDescent="0.25">
      <c r="A19631"/>
      <c r="B19631"/>
      <c r="C19631"/>
      <c r="E19631"/>
      <c r="F19631"/>
    </row>
    <row r="19632" spans="1:6" x14ac:dyDescent="0.25">
      <c r="A19632"/>
      <c r="B19632"/>
      <c r="C19632"/>
      <c r="E19632"/>
      <c r="F19632"/>
    </row>
    <row r="19633" spans="1:6" x14ac:dyDescent="0.25">
      <c r="A19633"/>
      <c r="B19633"/>
      <c r="C19633"/>
      <c r="E19633"/>
      <c r="F19633"/>
    </row>
    <row r="19634" spans="1:6" x14ac:dyDescent="0.25">
      <c r="A19634"/>
      <c r="B19634"/>
      <c r="C19634"/>
      <c r="E19634"/>
      <c r="F19634"/>
    </row>
    <row r="19635" spans="1:6" x14ac:dyDescent="0.25">
      <c r="A19635"/>
      <c r="B19635"/>
      <c r="C19635"/>
      <c r="E19635"/>
      <c r="F19635"/>
    </row>
    <row r="19636" spans="1:6" x14ac:dyDescent="0.25">
      <c r="A19636"/>
      <c r="B19636"/>
      <c r="C19636"/>
      <c r="E19636"/>
      <c r="F19636"/>
    </row>
    <row r="19637" spans="1:6" x14ac:dyDescent="0.25">
      <c r="A19637"/>
      <c r="B19637"/>
      <c r="C19637"/>
      <c r="E19637"/>
      <c r="F19637"/>
    </row>
    <row r="19638" spans="1:6" x14ac:dyDescent="0.25">
      <c r="A19638"/>
      <c r="B19638"/>
      <c r="C19638"/>
      <c r="E19638"/>
      <c r="F19638"/>
    </row>
    <row r="19639" spans="1:6" x14ac:dyDescent="0.25">
      <c r="A19639"/>
      <c r="B19639"/>
      <c r="C19639"/>
      <c r="E19639"/>
      <c r="F19639"/>
    </row>
    <row r="19640" spans="1:6" x14ac:dyDescent="0.25">
      <c r="A19640"/>
      <c r="B19640"/>
      <c r="C19640"/>
      <c r="E19640"/>
      <c r="F19640"/>
    </row>
    <row r="19641" spans="1:6" x14ac:dyDescent="0.25">
      <c r="A19641"/>
      <c r="B19641"/>
      <c r="C19641"/>
      <c r="E19641"/>
      <c r="F19641"/>
    </row>
    <row r="19642" spans="1:6" x14ac:dyDescent="0.25">
      <c r="A19642"/>
      <c r="B19642"/>
      <c r="C19642"/>
      <c r="E19642"/>
      <c r="F19642"/>
    </row>
    <row r="19643" spans="1:6" x14ac:dyDescent="0.25">
      <c r="A19643"/>
      <c r="B19643"/>
      <c r="C19643"/>
      <c r="E19643"/>
      <c r="F19643"/>
    </row>
    <row r="19644" spans="1:6" x14ac:dyDescent="0.25">
      <c r="A19644"/>
      <c r="B19644"/>
      <c r="C19644"/>
      <c r="E19644"/>
      <c r="F19644"/>
    </row>
    <row r="19645" spans="1:6" x14ac:dyDescent="0.25">
      <c r="A19645"/>
      <c r="B19645"/>
      <c r="C19645"/>
      <c r="E19645"/>
      <c r="F19645"/>
    </row>
    <row r="19646" spans="1:6" x14ac:dyDescent="0.25">
      <c r="A19646"/>
      <c r="B19646"/>
      <c r="C19646"/>
      <c r="E19646"/>
      <c r="F19646"/>
    </row>
    <row r="19647" spans="1:6" x14ac:dyDescent="0.25">
      <c r="A19647"/>
      <c r="B19647"/>
      <c r="C19647"/>
      <c r="E19647"/>
      <c r="F19647"/>
    </row>
    <row r="19648" spans="1:6" x14ac:dyDescent="0.25">
      <c r="A19648"/>
      <c r="B19648"/>
      <c r="C19648"/>
      <c r="E19648"/>
      <c r="F19648"/>
    </row>
    <row r="19649" spans="1:6" x14ac:dyDescent="0.25">
      <c r="A19649"/>
      <c r="B19649"/>
      <c r="C19649"/>
      <c r="E19649"/>
      <c r="F19649"/>
    </row>
    <row r="19650" spans="1:6" x14ac:dyDescent="0.25">
      <c r="A19650"/>
      <c r="B19650"/>
      <c r="C19650"/>
      <c r="E19650"/>
      <c r="F19650"/>
    </row>
    <row r="19651" spans="1:6" x14ac:dyDescent="0.25">
      <c r="A19651"/>
      <c r="B19651"/>
      <c r="C19651"/>
      <c r="E19651"/>
      <c r="F19651"/>
    </row>
    <row r="19652" spans="1:6" x14ac:dyDescent="0.25">
      <c r="A19652"/>
      <c r="B19652"/>
      <c r="C19652"/>
      <c r="E19652"/>
      <c r="F19652"/>
    </row>
    <row r="19653" spans="1:6" x14ac:dyDescent="0.25">
      <c r="A19653"/>
      <c r="B19653"/>
      <c r="C19653"/>
      <c r="E19653"/>
      <c r="F19653"/>
    </row>
    <row r="19654" spans="1:6" x14ac:dyDescent="0.25">
      <c r="A19654"/>
      <c r="B19654"/>
      <c r="C19654"/>
      <c r="E19654"/>
      <c r="F19654"/>
    </row>
    <row r="19655" spans="1:6" x14ac:dyDescent="0.25">
      <c r="A19655"/>
      <c r="B19655"/>
      <c r="C19655"/>
      <c r="E19655"/>
      <c r="F19655"/>
    </row>
    <row r="19656" spans="1:6" x14ac:dyDescent="0.25">
      <c r="A19656"/>
      <c r="B19656"/>
      <c r="C19656"/>
      <c r="E19656"/>
      <c r="F19656"/>
    </row>
    <row r="19657" spans="1:6" x14ac:dyDescent="0.25">
      <c r="A19657"/>
      <c r="B19657"/>
      <c r="C19657"/>
      <c r="E19657"/>
      <c r="F19657"/>
    </row>
    <row r="19658" spans="1:6" x14ac:dyDescent="0.25">
      <c r="A19658"/>
      <c r="B19658"/>
      <c r="C19658"/>
      <c r="E19658"/>
      <c r="F19658"/>
    </row>
    <row r="19659" spans="1:6" x14ac:dyDescent="0.25">
      <c r="A19659"/>
      <c r="B19659"/>
      <c r="C19659"/>
      <c r="E19659"/>
      <c r="F19659"/>
    </row>
    <row r="19660" spans="1:6" x14ac:dyDescent="0.25">
      <c r="A19660"/>
      <c r="B19660"/>
      <c r="C19660"/>
      <c r="E19660"/>
      <c r="F19660"/>
    </row>
    <row r="19661" spans="1:6" x14ac:dyDescent="0.25">
      <c r="A19661"/>
      <c r="B19661"/>
      <c r="C19661"/>
      <c r="E19661"/>
      <c r="F19661"/>
    </row>
    <row r="19662" spans="1:6" x14ac:dyDescent="0.25">
      <c r="A19662"/>
      <c r="B19662"/>
      <c r="C19662"/>
      <c r="E19662"/>
      <c r="F19662"/>
    </row>
    <row r="19663" spans="1:6" x14ac:dyDescent="0.25">
      <c r="A19663"/>
      <c r="B19663"/>
      <c r="C19663"/>
      <c r="E19663"/>
      <c r="F19663"/>
    </row>
    <row r="19664" spans="1:6" x14ac:dyDescent="0.25">
      <c r="A19664"/>
      <c r="B19664"/>
      <c r="C19664"/>
      <c r="E19664"/>
      <c r="F19664"/>
    </row>
    <row r="19665" spans="1:6" x14ac:dyDescent="0.25">
      <c r="A19665"/>
      <c r="B19665"/>
      <c r="C19665"/>
      <c r="E19665"/>
      <c r="F19665"/>
    </row>
    <row r="19666" spans="1:6" x14ac:dyDescent="0.25">
      <c r="A19666"/>
      <c r="B19666"/>
      <c r="C19666"/>
      <c r="E19666"/>
      <c r="F19666"/>
    </row>
    <row r="19667" spans="1:6" x14ac:dyDescent="0.25">
      <c r="A19667"/>
      <c r="B19667"/>
      <c r="C19667"/>
      <c r="E19667"/>
      <c r="F19667"/>
    </row>
    <row r="19668" spans="1:6" x14ac:dyDescent="0.25">
      <c r="A19668"/>
      <c r="B19668"/>
      <c r="C19668"/>
      <c r="E19668"/>
      <c r="F19668"/>
    </row>
    <row r="19669" spans="1:6" x14ac:dyDescent="0.25">
      <c r="A19669"/>
      <c r="B19669"/>
      <c r="C19669"/>
      <c r="E19669"/>
      <c r="F19669"/>
    </row>
    <row r="19670" spans="1:6" x14ac:dyDescent="0.25">
      <c r="A19670"/>
      <c r="B19670"/>
      <c r="C19670"/>
      <c r="E19670"/>
      <c r="F19670"/>
    </row>
    <row r="19671" spans="1:6" x14ac:dyDescent="0.25">
      <c r="A19671"/>
      <c r="B19671"/>
      <c r="C19671"/>
      <c r="E19671"/>
      <c r="F19671"/>
    </row>
    <row r="19672" spans="1:6" x14ac:dyDescent="0.25">
      <c r="A19672"/>
      <c r="B19672"/>
      <c r="C19672"/>
      <c r="E19672"/>
      <c r="F19672"/>
    </row>
    <row r="19673" spans="1:6" x14ac:dyDescent="0.25">
      <c r="A19673"/>
      <c r="B19673"/>
      <c r="C19673"/>
      <c r="E19673"/>
      <c r="F19673"/>
    </row>
    <row r="19674" spans="1:6" x14ac:dyDescent="0.25">
      <c r="A19674"/>
      <c r="B19674"/>
      <c r="C19674"/>
      <c r="E19674"/>
      <c r="F19674"/>
    </row>
    <row r="19675" spans="1:6" x14ac:dyDescent="0.25">
      <c r="A19675"/>
      <c r="B19675"/>
      <c r="C19675"/>
      <c r="E19675"/>
      <c r="F19675"/>
    </row>
    <row r="19676" spans="1:6" x14ac:dyDescent="0.25">
      <c r="A19676"/>
      <c r="B19676"/>
      <c r="C19676"/>
      <c r="E19676"/>
      <c r="F19676"/>
    </row>
    <row r="19677" spans="1:6" x14ac:dyDescent="0.25">
      <c r="A19677"/>
      <c r="B19677"/>
      <c r="C19677"/>
      <c r="E19677"/>
      <c r="F19677"/>
    </row>
    <row r="19678" spans="1:6" x14ac:dyDescent="0.25">
      <c r="A19678"/>
      <c r="B19678"/>
      <c r="C19678"/>
      <c r="E19678"/>
      <c r="F19678"/>
    </row>
    <row r="19679" spans="1:6" x14ac:dyDescent="0.25">
      <c r="A19679"/>
      <c r="B19679"/>
      <c r="C19679"/>
      <c r="E19679"/>
      <c r="F19679"/>
    </row>
    <row r="19680" spans="1:6" x14ac:dyDescent="0.25">
      <c r="A19680"/>
      <c r="B19680"/>
      <c r="C19680"/>
      <c r="E19680"/>
      <c r="F19680"/>
    </row>
    <row r="19681" spans="1:6" x14ac:dyDescent="0.25">
      <c r="A19681"/>
      <c r="B19681"/>
      <c r="C19681"/>
      <c r="E19681"/>
      <c r="F19681"/>
    </row>
    <row r="19682" spans="1:6" x14ac:dyDescent="0.25">
      <c r="A19682"/>
      <c r="B19682"/>
      <c r="C19682"/>
      <c r="E19682"/>
      <c r="F19682"/>
    </row>
    <row r="19683" spans="1:6" x14ac:dyDescent="0.25">
      <c r="A19683"/>
      <c r="B19683"/>
      <c r="C19683"/>
      <c r="E19683"/>
      <c r="F19683"/>
    </row>
    <row r="19684" spans="1:6" x14ac:dyDescent="0.25">
      <c r="A19684"/>
      <c r="B19684"/>
      <c r="C19684"/>
      <c r="E19684"/>
      <c r="F19684"/>
    </row>
    <row r="19685" spans="1:6" x14ac:dyDescent="0.25">
      <c r="A19685"/>
      <c r="B19685"/>
      <c r="C19685"/>
      <c r="E19685"/>
      <c r="F19685"/>
    </row>
    <row r="19686" spans="1:6" x14ac:dyDescent="0.25">
      <c r="A19686"/>
      <c r="B19686"/>
      <c r="C19686"/>
      <c r="E19686"/>
      <c r="F19686"/>
    </row>
    <row r="19687" spans="1:6" x14ac:dyDescent="0.25">
      <c r="A19687"/>
      <c r="B19687"/>
      <c r="C19687"/>
      <c r="E19687"/>
      <c r="F19687"/>
    </row>
    <row r="19688" spans="1:6" x14ac:dyDescent="0.25">
      <c r="A19688"/>
      <c r="B19688"/>
      <c r="C19688"/>
      <c r="E19688"/>
      <c r="F19688"/>
    </row>
    <row r="19689" spans="1:6" x14ac:dyDescent="0.25">
      <c r="A19689"/>
      <c r="B19689"/>
      <c r="C19689"/>
      <c r="E19689"/>
      <c r="F19689"/>
    </row>
    <row r="19690" spans="1:6" x14ac:dyDescent="0.25">
      <c r="A19690"/>
      <c r="B19690"/>
      <c r="C19690"/>
      <c r="E19690"/>
      <c r="F19690"/>
    </row>
    <row r="19691" spans="1:6" x14ac:dyDescent="0.25">
      <c r="A19691"/>
      <c r="B19691"/>
      <c r="C19691"/>
      <c r="E19691"/>
      <c r="F19691"/>
    </row>
    <row r="19692" spans="1:6" x14ac:dyDescent="0.25">
      <c r="A19692"/>
      <c r="B19692"/>
      <c r="C19692"/>
      <c r="E19692"/>
      <c r="F19692"/>
    </row>
    <row r="19693" spans="1:6" x14ac:dyDescent="0.25">
      <c r="A19693"/>
      <c r="B19693"/>
      <c r="C19693"/>
      <c r="E19693"/>
      <c r="F19693"/>
    </row>
    <row r="19694" spans="1:6" x14ac:dyDescent="0.25">
      <c r="A19694"/>
      <c r="B19694"/>
      <c r="C19694"/>
      <c r="E19694"/>
      <c r="F19694"/>
    </row>
    <row r="19695" spans="1:6" x14ac:dyDescent="0.25">
      <c r="A19695"/>
      <c r="B19695"/>
      <c r="C19695"/>
      <c r="E19695"/>
      <c r="F19695"/>
    </row>
    <row r="19696" spans="1:6" x14ac:dyDescent="0.25">
      <c r="A19696"/>
      <c r="B19696"/>
      <c r="C19696"/>
      <c r="E19696"/>
      <c r="F19696"/>
    </row>
    <row r="19697" spans="1:6" x14ac:dyDescent="0.25">
      <c r="A19697"/>
      <c r="B19697"/>
      <c r="C19697"/>
      <c r="E19697"/>
      <c r="F19697"/>
    </row>
    <row r="19698" spans="1:6" x14ac:dyDescent="0.25">
      <c r="A19698"/>
      <c r="B19698"/>
      <c r="C19698"/>
      <c r="E19698"/>
      <c r="F19698"/>
    </row>
    <row r="19699" spans="1:6" x14ac:dyDescent="0.25">
      <c r="A19699"/>
      <c r="B19699"/>
      <c r="C19699"/>
      <c r="E19699"/>
      <c r="F19699"/>
    </row>
    <row r="19700" spans="1:6" x14ac:dyDescent="0.25">
      <c r="A19700"/>
      <c r="B19700"/>
      <c r="C19700"/>
      <c r="E19700"/>
      <c r="F19700"/>
    </row>
    <row r="19701" spans="1:6" x14ac:dyDescent="0.25">
      <c r="A19701"/>
      <c r="B19701"/>
      <c r="C19701"/>
      <c r="E19701"/>
      <c r="F19701"/>
    </row>
    <row r="19702" spans="1:6" x14ac:dyDescent="0.25">
      <c r="A19702"/>
      <c r="B19702"/>
      <c r="C19702"/>
      <c r="E19702"/>
      <c r="F19702"/>
    </row>
    <row r="19703" spans="1:6" x14ac:dyDescent="0.25">
      <c r="A19703"/>
      <c r="B19703"/>
      <c r="C19703"/>
      <c r="E19703"/>
      <c r="F19703"/>
    </row>
    <row r="19704" spans="1:6" x14ac:dyDescent="0.25">
      <c r="A19704"/>
      <c r="B19704"/>
      <c r="C19704"/>
      <c r="E19704"/>
      <c r="F19704"/>
    </row>
    <row r="19705" spans="1:6" x14ac:dyDescent="0.25">
      <c r="A19705"/>
      <c r="B19705"/>
      <c r="C19705"/>
      <c r="E19705"/>
      <c r="F19705"/>
    </row>
    <row r="19706" spans="1:6" x14ac:dyDescent="0.25">
      <c r="A19706"/>
      <c r="B19706"/>
      <c r="C19706"/>
      <c r="E19706"/>
      <c r="F19706"/>
    </row>
    <row r="19707" spans="1:6" x14ac:dyDescent="0.25">
      <c r="A19707"/>
      <c r="B19707"/>
      <c r="C19707"/>
      <c r="E19707"/>
      <c r="F19707"/>
    </row>
    <row r="19708" spans="1:6" x14ac:dyDescent="0.25">
      <c r="A19708"/>
      <c r="B19708"/>
      <c r="C19708"/>
      <c r="E19708"/>
      <c r="F19708"/>
    </row>
    <row r="19709" spans="1:6" x14ac:dyDescent="0.25">
      <c r="A19709"/>
      <c r="B19709"/>
      <c r="C19709"/>
      <c r="E19709"/>
      <c r="F19709"/>
    </row>
    <row r="19710" spans="1:6" x14ac:dyDescent="0.25">
      <c r="A19710"/>
      <c r="B19710"/>
      <c r="C19710"/>
      <c r="E19710"/>
      <c r="F19710"/>
    </row>
    <row r="19711" spans="1:6" x14ac:dyDescent="0.25">
      <c r="A19711"/>
      <c r="B19711"/>
      <c r="C19711"/>
      <c r="E19711"/>
      <c r="F19711"/>
    </row>
    <row r="19712" spans="1:6" x14ac:dyDescent="0.25">
      <c r="A19712"/>
      <c r="B19712"/>
      <c r="C19712"/>
      <c r="E19712"/>
      <c r="F19712"/>
    </row>
    <row r="19713" spans="1:6" x14ac:dyDescent="0.25">
      <c r="A19713"/>
      <c r="B19713"/>
      <c r="C19713"/>
      <c r="E19713"/>
      <c r="F19713"/>
    </row>
    <row r="19714" spans="1:6" x14ac:dyDescent="0.25">
      <c r="A19714"/>
      <c r="B19714"/>
      <c r="C19714"/>
      <c r="E19714"/>
      <c r="F19714"/>
    </row>
    <row r="19715" spans="1:6" x14ac:dyDescent="0.25">
      <c r="A19715"/>
      <c r="B19715"/>
      <c r="C19715"/>
      <c r="E19715"/>
      <c r="F19715"/>
    </row>
    <row r="19716" spans="1:6" x14ac:dyDescent="0.25">
      <c r="A19716"/>
      <c r="B19716"/>
      <c r="C19716"/>
      <c r="E19716"/>
      <c r="F19716"/>
    </row>
    <row r="19717" spans="1:6" x14ac:dyDescent="0.25">
      <c r="A19717"/>
      <c r="B19717"/>
      <c r="C19717"/>
      <c r="E19717"/>
      <c r="F19717"/>
    </row>
    <row r="19718" spans="1:6" x14ac:dyDescent="0.25">
      <c r="A19718"/>
      <c r="B19718"/>
      <c r="C19718"/>
      <c r="E19718"/>
      <c r="F19718"/>
    </row>
    <row r="19719" spans="1:6" x14ac:dyDescent="0.25">
      <c r="A19719"/>
      <c r="B19719"/>
      <c r="C19719"/>
      <c r="E19719"/>
      <c r="F19719"/>
    </row>
    <row r="19720" spans="1:6" x14ac:dyDescent="0.25">
      <c r="A19720"/>
      <c r="B19720"/>
      <c r="C19720"/>
      <c r="E19720"/>
      <c r="F19720"/>
    </row>
    <row r="19721" spans="1:6" x14ac:dyDescent="0.25">
      <c r="A19721"/>
      <c r="B19721"/>
      <c r="C19721"/>
      <c r="E19721"/>
      <c r="F19721"/>
    </row>
    <row r="19722" spans="1:6" x14ac:dyDescent="0.25">
      <c r="A19722"/>
      <c r="B19722"/>
      <c r="C19722"/>
      <c r="E19722"/>
      <c r="F19722"/>
    </row>
    <row r="19723" spans="1:6" x14ac:dyDescent="0.25">
      <c r="A19723"/>
      <c r="B19723"/>
      <c r="C19723"/>
      <c r="E19723"/>
      <c r="F19723"/>
    </row>
    <row r="19724" spans="1:6" x14ac:dyDescent="0.25">
      <c r="A19724"/>
      <c r="B19724"/>
      <c r="C19724"/>
      <c r="E19724"/>
      <c r="F19724"/>
    </row>
    <row r="19725" spans="1:6" x14ac:dyDescent="0.25">
      <c r="A19725"/>
      <c r="B19725"/>
      <c r="C19725"/>
      <c r="E19725"/>
      <c r="F19725"/>
    </row>
    <row r="19726" spans="1:6" x14ac:dyDescent="0.25">
      <c r="A19726"/>
      <c r="B19726"/>
      <c r="C19726"/>
      <c r="E19726"/>
      <c r="F19726"/>
    </row>
    <row r="19727" spans="1:6" x14ac:dyDescent="0.25">
      <c r="A19727"/>
      <c r="B19727"/>
      <c r="C19727"/>
      <c r="E19727"/>
      <c r="F19727"/>
    </row>
    <row r="19728" spans="1:6" x14ac:dyDescent="0.25">
      <c r="A19728"/>
      <c r="B19728"/>
      <c r="C19728"/>
      <c r="E19728"/>
      <c r="F19728"/>
    </row>
    <row r="19729" spans="1:6" x14ac:dyDescent="0.25">
      <c r="A19729"/>
      <c r="B19729"/>
      <c r="C19729"/>
      <c r="E19729"/>
      <c r="F19729"/>
    </row>
    <row r="19730" spans="1:6" x14ac:dyDescent="0.25">
      <c r="A19730"/>
      <c r="B19730"/>
      <c r="C19730"/>
      <c r="E19730"/>
      <c r="F19730"/>
    </row>
    <row r="19731" spans="1:6" x14ac:dyDescent="0.25">
      <c r="A19731"/>
      <c r="B19731"/>
      <c r="C19731"/>
      <c r="E19731"/>
      <c r="F19731"/>
    </row>
    <row r="19732" spans="1:6" x14ac:dyDescent="0.25">
      <c r="A19732"/>
      <c r="B19732"/>
      <c r="C19732"/>
      <c r="E19732"/>
      <c r="F19732"/>
    </row>
    <row r="19733" spans="1:6" x14ac:dyDescent="0.25">
      <c r="A19733"/>
      <c r="B19733"/>
      <c r="C19733"/>
      <c r="E19733"/>
      <c r="F19733"/>
    </row>
    <row r="19734" spans="1:6" x14ac:dyDescent="0.25">
      <c r="A19734"/>
      <c r="B19734"/>
      <c r="C19734"/>
      <c r="E19734"/>
      <c r="F19734"/>
    </row>
    <row r="19735" spans="1:6" x14ac:dyDescent="0.25">
      <c r="A19735"/>
      <c r="B19735"/>
      <c r="C19735"/>
      <c r="E19735"/>
      <c r="F19735"/>
    </row>
    <row r="19736" spans="1:6" x14ac:dyDescent="0.25">
      <c r="A19736"/>
      <c r="B19736"/>
      <c r="C19736"/>
      <c r="E19736"/>
      <c r="F19736"/>
    </row>
    <row r="19737" spans="1:6" x14ac:dyDescent="0.25">
      <c r="A19737"/>
      <c r="B19737"/>
      <c r="C19737"/>
      <c r="E19737"/>
      <c r="F19737"/>
    </row>
    <row r="19738" spans="1:6" x14ac:dyDescent="0.25">
      <c r="A19738"/>
      <c r="B19738"/>
      <c r="C19738"/>
      <c r="E19738"/>
      <c r="F19738"/>
    </row>
    <row r="19739" spans="1:6" x14ac:dyDescent="0.25">
      <c r="A19739"/>
      <c r="B19739"/>
      <c r="C19739"/>
      <c r="E19739"/>
      <c r="F19739"/>
    </row>
    <row r="19740" spans="1:6" x14ac:dyDescent="0.25">
      <c r="A19740"/>
      <c r="B19740"/>
      <c r="C19740"/>
      <c r="E19740"/>
      <c r="F19740"/>
    </row>
    <row r="19741" spans="1:6" x14ac:dyDescent="0.25">
      <c r="A19741"/>
      <c r="B19741"/>
      <c r="C19741"/>
      <c r="E19741"/>
      <c r="F19741"/>
    </row>
    <row r="19742" spans="1:6" x14ac:dyDescent="0.25">
      <c r="A19742"/>
      <c r="B19742"/>
      <c r="C19742"/>
      <c r="E19742"/>
      <c r="F19742"/>
    </row>
    <row r="19743" spans="1:6" x14ac:dyDescent="0.25">
      <c r="A19743"/>
      <c r="B19743"/>
      <c r="C19743"/>
      <c r="E19743"/>
      <c r="F19743"/>
    </row>
    <row r="19744" spans="1:6" x14ac:dyDescent="0.25">
      <c r="A19744"/>
      <c r="B19744"/>
      <c r="C19744"/>
      <c r="E19744"/>
      <c r="F19744"/>
    </row>
    <row r="19745" spans="1:6" x14ac:dyDescent="0.25">
      <c r="A19745"/>
      <c r="B19745"/>
      <c r="C19745"/>
      <c r="E19745"/>
      <c r="F19745"/>
    </row>
    <row r="19746" spans="1:6" x14ac:dyDescent="0.25">
      <c r="A19746"/>
      <c r="B19746"/>
      <c r="C19746"/>
      <c r="E19746"/>
      <c r="F19746"/>
    </row>
    <row r="19747" spans="1:6" x14ac:dyDescent="0.25">
      <c r="A19747"/>
      <c r="B19747"/>
      <c r="C19747"/>
      <c r="E19747"/>
      <c r="F19747"/>
    </row>
    <row r="19748" spans="1:6" x14ac:dyDescent="0.25">
      <c r="A19748"/>
      <c r="B19748"/>
      <c r="C19748"/>
      <c r="E19748"/>
      <c r="F19748"/>
    </row>
    <row r="19749" spans="1:6" x14ac:dyDescent="0.25">
      <c r="A19749"/>
      <c r="B19749"/>
      <c r="C19749"/>
      <c r="E19749"/>
      <c r="F19749"/>
    </row>
    <row r="19750" spans="1:6" x14ac:dyDescent="0.25">
      <c r="A19750"/>
      <c r="B19750"/>
      <c r="C19750"/>
      <c r="E19750"/>
      <c r="F19750"/>
    </row>
    <row r="19751" spans="1:6" x14ac:dyDescent="0.25">
      <c r="A19751"/>
      <c r="B19751"/>
      <c r="C19751"/>
      <c r="E19751"/>
      <c r="F19751"/>
    </row>
    <row r="19752" spans="1:6" x14ac:dyDescent="0.25">
      <c r="A19752"/>
      <c r="B19752"/>
      <c r="C19752"/>
      <c r="E19752"/>
      <c r="F19752"/>
    </row>
    <row r="19753" spans="1:6" x14ac:dyDescent="0.25">
      <c r="A19753"/>
      <c r="B19753"/>
      <c r="C19753"/>
      <c r="E19753"/>
      <c r="F19753"/>
    </row>
    <row r="19754" spans="1:6" x14ac:dyDescent="0.25">
      <c r="A19754"/>
      <c r="B19754"/>
      <c r="C19754"/>
      <c r="E19754"/>
      <c r="F19754"/>
    </row>
    <row r="19755" spans="1:6" x14ac:dyDescent="0.25">
      <c r="A19755"/>
      <c r="B19755"/>
      <c r="C19755"/>
      <c r="E19755"/>
      <c r="F19755"/>
    </row>
    <row r="19756" spans="1:6" x14ac:dyDescent="0.25">
      <c r="A19756"/>
      <c r="B19756"/>
      <c r="C19756"/>
      <c r="E19756"/>
      <c r="F19756"/>
    </row>
    <row r="19757" spans="1:6" x14ac:dyDescent="0.25">
      <c r="A19757"/>
      <c r="B19757"/>
      <c r="C19757"/>
      <c r="E19757"/>
      <c r="F19757"/>
    </row>
    <row r="19758" spans="1:6" x14ac:dyDescent="0.25">
      <c r="A19758"/>
      <c r="B19758"/>
      <c r="C19758"/>
      <c r="E19758"/>
      <c r="F19758"/>
    </row>
    <row r="19759" spans="1:6" x14ac:dyDescent="0.25">
      <c r="A19759"/>
      <c r="B19759"/>
      <c r="C19759"/>
      <c r="E19759"/>
      <c r="F19759"/>
    </row>
    <row r="19760" spans="1:6" x14ac:dyDescent="0.25">
      <c r="A19760"/>
      <c r="B19760"/>
      <c r="C19760"/>
      <c r="E19760"/>
      <c r="F19760"/>
    </row>
    <row r="19761" spans="1:6" x14ac:dyDescent="0.25">
      <c r="A19761"/>
      <c r="B19761"/>
      <c r="C19761"/>
      <c r="E19761"/>
      <c r="F19761"/>
    </row>
    <row r="19762" spans="1:6" x14ac:dyDescent="0.25">
      <c r="A19762"/>
      <c r="B19762"/>
      <c r="C19762"/>
      <c r="E19762"/>
      <c r="F19762"/>
    </row>
    <row r="19763" spans="1:6" x14ac:dyDescent="0.25">
      <c r="A19763"/>
      <c r="B19763"/>
      <c r="C19763"/>
      <c r="E19763"/>
      <c r="F19763"/>
    </row>
    <row r="19764" spans="1:6" x14ac:dyDescent="0.25">
      <c r="A19764"/>
      <c r="B19764"/>
      <c r="C19764"/>
      <c r="E19764"/>
      <c r="F19764"/>
    </row>
    <row r="19765" spans="1:6" x14ac:dyDescent="0.25">
      <c r="A19765"/>
      <c r="B19765"/>
      <c r="C19765"/>
      <c r="E19765"/>
      <c r="F19765"/>
    </row>
    <row r="19766" spans="1:6" x14ac:dyDescent="0.25">
      <c r="A19766"/>
      <c r="B19766"/>
      <c r="C19766"/>
      <c r="E19766"/>
      <c r="F19766"/>
    </row>
    <row r="19767" spans="1:6" x14ac:dyDescent="0.25">
      <c r="A19767"/>
      <c r="B19767"/>
      <c r="C19767"/>
      <c r="E19767"/>
      <c r="F19767"/>
    </row>
    <row r="19768" spans="1:6" x14ac:dyDescent="0.25">
      <c r="A19768"/>
      <c r="B19768"/>
      <c r="C19768"/>
      <c r="E19768"/>
      <c r="F19768"/>
    </row>
    <row r="19769" spans="1:6" x14ac:dyDescent="0.25">
      <c r="A19769"/>
      <c r="B19769"/>
      <c r="C19769"/>
      <c r="E19769"/>
      <c r="F19769"/>
    </row>
    <row r="19770" spans="1:6" x14ac:dyDescent="0.25">
      <c r="A19770"/>
      <c r="B19770"/>
      <c r="C19770"/>
      <c r="E19770"/>
      <c r="F19770"/>
    </row>
    <row r="19771" spans="1:6" x14ac:dyDescent="0.25">
      <c r="A19771"/>
      <c r="B19771"/>
      <c r="C19771"/>
      <c r="E19771"/>
      <c r="F19771"/>
    </row>
    <row r="19772" spans="1:6" x14ac:dyDescent="0.25">
      <c r="A19772"/>
      <c r="B19772"/>
      <c r="C19772"/>
      <c r="E19772"/>
      <c r="F19772"/>
    </row>
    <row r="19773" spans="1:6" x14ac:dyDescent="0.25">
      <c r="A19773"/>
      <c r="B19773"/>
      <c r="C19773"/>
      <c r="E19773"/>
      <c r="F19773"/>
    </row>
    <row r="19774" spans="1:6" x14ac:dyDescent="0.25">
      <c r="A19774"/>
      <c r="B19774"/>
      <c r="C19774"/>
      <c r="E19774"/>
      <c r="F19774"/>
    </row>
    <row r="19775" spans="1:6" x14ac:dyDescent="0.25">
      <c r="A19775"/>
      <c r="B19775"/>
      <c r="C19775"/>
      <c r="E19775"/>
      <c r="F19775"/>
    </row>
    <row r="19776" spans="1:6" x14ac:dyDescent="0.25">
      <c r="A19776"/>
      <c r="B19776"/>
      <c r="C19776"/>
      <c r="E19776"/>
      <c r="F19776"/>
    </row>
    <row r="19777" spans="1:6" x14ac:dyDescent="0.25">
      <c r="A19777"/>
      <c r="B19777"/>
      <c r="C19777"/>
      <c r="E19777"/>
      <c r="F19777"/>
    </row>
    <row r="19778" spans="1:6" x14ac:dyDescent="0.25">
      <c r="A19778"/>
      <c r="B19778"/>
      <c r="C19778"/>
      <c r="E19778"/>
      <c r="F19778"/>
    </row>
    <row r="19779" spans="1:6" x14ac:dyDescent="0.25">
      <c r="A19779"/>
      <c r="B19779"/>
      <c r="C19779"/>
      <c r="E19779"/>
      <c r="F19779"/>
    </row>
    <row r="19780" spans="1:6" x14ac:dyDescent="0.25">
      <c r="A19780"/>
      <c r="B19780"/>
      <c r="C19780"/>
      <c r="E19780"/>
      <c r="F19780"/>
    </row>
    <row r="19781" spans="1:6" x14ac:dyDescent="0.25">
      <c r="A19781"/>
      <c r="B19781"/>
      <c r="C19781"/>
      <c r="E19781"/>
      <c r="F19781"/>
    </row>
    <row r="19782" spans="1:6" x14ac:dyDescent="0.25">
      <c r="A19782"/>
      <c r="B19782"/>
      <c r="C19782"/>
      <c r="E19782"/>
      <c r="F19782"/>
    </row>
    <row r="19783" spans="1:6" x14ac:dyDescent="0.25">
      <c r="A19783"/>
      <c r="B19783"/>
      <c r="C19783"/>
      <c r="E19783"/>
      <c r="F19783"/>
    </row>
    <row r="19784" spans="1:6" x14ac:dyDescent="0.25">
      <c r="A19784"/>
      <c r="B19784"/>
      <c r="C19784"/>
      <c r="E19784"/>
      <c r="F19784"/>
    </row>
    <row r="19785" spans="1:6" x14ac:dyDescent="0.25">
      <c r="A19785"/>
      <c r="B19785"/>
      <c r="C19785"/>
      <c r="E19785"/>
      <c r="F19785"/>
    </row>
    <row r="19786" spans="1:6" x14ac:dyDescent="0.25">
      <c r="A19786"/>
      <c r="B19786"/>
      <c r="C19786"/>
      <c r="E19786"/>
      <c r="F19786"/>
    </row>
    <row r="19787" spans="1:6" x14ac:dyDescent="0.25">
      <c r="A19787"/>
      <c r="B19787"/>
      <c r="C19787"/>
      <c r="E19787"/>
      <c r="F19787"/>
    </row>
    <row r="19788" spans="1:6" x14ac:dyDescent="0.25">
      <c r="A19788"/>
      <c r="B19788"/>
      <c r="C19788"/>
      <c r="E19788"/>
      <c r="F19788"/>
    </row>
    <row r="19789" spans="1:6" x14ac:dyDescent="0.25">
      <c r="A19789"/>
      <c r="B19789"/>
      <c r="C19789"/>
      <c r="E19789"/>
      <c r="F19789"/>
    </row>
    <row r="19790" spans="1:6" x14ac:dyDescent="0.25">
      <c r="A19790"/>
      <c r="B19790"/>
      <c r="C19790"/>
      <c r="E19790"/>
      <c r="F19790"/>
    </row>
    <row r="19791" spans="1:6" x14ac:dyDescent="0.25">
      <c r="A19791"/>
      <c r="B19791"/>
      <c r="C19791"/>
      <c r="E19791"/>
      <c r="F19791"/>
    </row>
    <row r="19792" spans="1:6" x14ac:dyDescent="0.25">
      <c r="A19792"/>
      <c r="B19792"/>
      <c r="C19792"/>
      <c r="E19792"/>
      <c r="F19792"/>
    </row>
    <row r="19793" spans="1:6" x14ac:dyDescent="0.25">
      <c r="A19793"/>
      <c r="B19793"/>
      <c r="C19793"/>
      <c r="E19793"/>
      <c r="F19793"/>
    </row>
    <row r="19794" spans="1:6" x14ac:dyDescent="0.25">
      <c r="A19794"/>
      <c r="B19794"/>
      <c r="C19794"/>
      <c r="E19794"/>
      <c r="F19794"/>
    </row>
    <row r="19795" spans="1:6" x14ac:dyDescent="0.25">
      <c r="A19795"/>
      <c r="B19795"/>
      <c r="C19795"/>
      <c r="E19795"/>
      <c r="F19795"/>
    </row>
    <row r="19796" spans="1:6" x14ac:dyDescent="0.25">
      <c r="A19796"/>
      <c r="B19796"/>
      <c r="C19796"/>
      <c r="E19796"/>
      <c r="F19796"/>
    </row>
    <row r="19797" spans="1:6" x14ac:dyDescent="0.25">
      <c r="A19797"/>
      <c r="B19797"/>
      <c r="C19797"/>
      <c r="E19797"/>
      <c r="F19797"/>
    </row>
    <row r="19798" spans="1:6" x14ac:dyDescent="0.25">
      <c r="A19798"/>
      <c r="B19798"/>
      <c r="C19798"/>
      <c r="E19798"/>
      <c r="F19798"/>
    </row>
    <row r="19799" spans="1:6" x14ac:dyDescent="0.25">
      <c r="A19799"/>
      <c r="B19799"/>
      <c r="C19799"/>
      <c r="E19799"/>
      <c r="F19799"/>
    </row>
    <row r="19800" spans="1:6" x14ac:dyDescent="0.25">
      <c r="A19800"/>
      <c r="B19800"/>
      <c r="C19800"/>
      <c r="E19800"/>
      <c r="F19800"/>
    </row>
    <row r="19801" spans="1:6" x14ac:dyDescent="0.25">
      <c r="A19801"/>
      <c r="B19801"/>
      <c r="C19801"/>
      <c r="E19801"/>
      <c r="F19801"/>
    </row>
    <row r="19802" spans="1:6" x14ac:dyDescent="0.25">
      <c r="A19802"/>
      <c r="B19802"/>
      <c r="C19802"/>
      <c r="E19802"/>
      <c r="F19802"/>
    </row>
    <row r="19803" spans="1:6" x14ac:dyDescent="0.25">
      <c r="A19803"/>
      <c r="B19803"/>
      <c r="C19803"/>
      <c r="E19803"/>
      <c r="F19803"/>
    </row>
    <row r="19804" spans="1:6" x14ac:dyDescent="0.25">
      <c r="A19804"/>
      <c r="B19804"/>
      <c r="C19804"/>
      <c r="E19804"/>
      <c r="F19804"/>
    </row>
    <row r="19805" spans="1:6" x14ac:dyDescent="0.25">
      <c r="A19805"/>
      <c r="B19805"/>
      <c r="C19805"/>
      <c r="E19805"/>
      <c r="F19805"/>
    </row>
    <row r="19806" spans="1:6" x14ac:dyDescent="0.25">
      <c r="A19806"/>
      <c r="B19806"/>
      <c r="C19806"/>
      <c r="E19806"/>
      <c r="F19806"/>
    </row>
    <row r="19807" spans="1:6" x14ac:dyDescent="0.25">
      <c r="A19807"/>
      <c r="B19807"/>
      <c r="C19807"/>
      <c r="E19807"/>
      <c r="F19807"/>
    </row>
    <row r="19808" spans="1:6" x14ac:dyDescent="0.25">
      <c r="A19808"/>
      <c r="B19808"/>
      <c r="C19808"/>
      <c r="E19808"/>
      <c r="F19808"/>
    </row>
    <row r="19809" spans="1:6" x14ac:dyDescent="0.25">
      <c r="A19809"/>
      <c r="B19809"/>
      <c r="C19809"/>
      <c r="E19809"/>
      <c r="F19809"/>
    </row>
    <row r="19810" spans="1:6" x14ac:dyDescent="0.25">
      <c r="A19810"/>
      <c r="B19810"/>
      <c r="C19810"/>
      <c r="E19810"/>
      <c r="F19810"/>
    </row>
    <row r="19811" spans="1:6" x14ac:dyDescent="0.25">
      <c r="A19811"/>
      <c r="B19811"/>
      <c r="C19811"/>
      <c r="E19811"/>
      <c r="F19811"/>
    </row>
    <row r="19812" spans="1:6" x14ac:dyDescent="0.25">
      <c r="A19812"/>
      <c r="B19812"/>
      <c r="C19812"/>
      <c r="E19812"/>
      <c r="F19812"/>
    </row>
    <row r="19813" spans="1:6" x14ac:dyDescent="0.25">
      <c r="A19813"/>
      <c r="B19813"/>
      <c r="C19813"/>
      <c r="E19813"/>
      <c r="F19813"/>
    </row>
    <row r="19814" spans="1:6" x14ac:dyDescent="0.25">
      <c r="A19814"/>
      <c r="B19814"/>
      <c r="C19814"/>
      <c r="E19814"/>
      <c r="F19814"/>
    </row>
    <row r="19815" spans="1:6" x14ac:dyDescent="0.25">
      <c r="A19815"/>
      <c r="B19815"/>
      <c r="C19815"/>
      <c r="E19815"/>
      <c r="F19815"/>
    </row>
    <row r="19816" spans="1:6" x14ac:dyDescent="0.25">
      <c r="A19816"/>
      <c r="B19816"/>
      <c r="C19816"/>
      <c r="E19816"/>
      <c r="F19816"/>
    </row>
    <row r="19817" spans="1:6" x14ac:dyDescent="0.25">
      <c r="A19817"/>
      <c r="B19817"/>
      <c r="C19817"/>
      <c r="E19817"/>
      <c r="F19817"/>
    </row>
    <row r="19818" spans="1:6" x14ac:dyDescent="0.25">
      <c r="A19818"/>
      <c r="B19818"/>
      <c r="C19818"/>
      <c r="E19818"/>
      <c r="F19818"/>
    </row>
    <row r="19819" spans="1:6" x14ac:dyDescent="0.25">
      <c r="A19819"/>
      <c r="B19819"/>
      <c r="C19819"/>
      <c r="E19819"/>
      <c r="F19819"/>
    </row>
    <row r="19820" spans="1:6" x14ac:dyDescent="0.25">
      <c r="A19820"/>
      <c r="B19820"/>
      <c r="C19820"/>
      <c r="E19820"/>
      <c r="F19820"/>
    </row>
    <row r="19821" spans="1:6" x14ac:dyDescent="0.25">
      <c r="A19821"/>
      <c r="B19821"/>
      <c r="C19821"/>
      <c r="E19821"/>
      <c r="F19821"/>
    </row>
    <row r="19822" spans="1:6" x14ac:dyDescent="0.25">
      <c r="A19822"/>
      <c r="B19822"/>
      <c r="C19822"/>
      <c r="E19822"/>
      <c r="F19822"/>
    </row>
    <row r="19823" spans="1:6" x14ac:dyDescent="0.25">
      <c r="A19823"/>
      <c r="B19823"/>
      <c r="C19823"/>
      <c r="E19823"/>
      <c r="F19823"/>
    </row>
    <row r="19824" spans="1:6" x14ac:dyDescent="0.25">
      <c r="A19824"/>
      <c r="B19824"/>
      <c r="C19824"/>
      <c r="E19824"/>
      <c r="F19824"/>
    </row>
    <row r="19825" spans="1:6" x14ac:dyDescent="0.25">
      <c r="A19825"/>
      <c r="B19825"/>
      <c r="C19825"/>
      <c r="E19825"/>
      <c r="F19825"/>
    </row>
    <row r="19826" spans="1:6" x14ac:dyDescent="0.25">
      <c r="A19826"/>
      <c r="B19826"/>
      <c r="C19826"/>
      <c r="E19826"/>
      <c r="F19826"/>
    </row>
    <row r="19827" spans="1:6" x14ac:dyDescent="0.25">
      <c r="A19827"/>
      <c r="B19827"/>
      <c r="C19827"/>
      <c r="E19827"/>
      <c r="F19827"/>
    </row>
    <row r="19828" spans="1:6" x14ac:dyDescent="0.25">
      <c r="A19828"/>
      <c r="B19828"/>
      <c r="C19828"/>
      <c r="E19828"/>
      <c r="F19828"/>
    </row>
    <row r="19829" spans="1:6" x14ac:dyDescent="0.25">
      <c r="A19829"/>
      <c r="B19829"/>
      <c r="C19829"/>
      <c r="E19829"/>
      <c r="F19829"/>
    </row>
    <row r="19830" spans="1:6" x14ac:dyDescent="0.25">
      <c r="A19830"/>
      <c r="B19830"/>
      <c r="C19830"/>
      <c r="E19830"/>
      <c r="F19830"/>
    </row>
    <row r="19831" spans="1:6" x14ac:dyDescent="0.25">
      <c r="A19831"/>
      <c r="B19831"/>
      <c r="C19831"/>
      <c r="E19831"/>
      <c r="F19831"/>
    </row>
    <row r="19832" spans="1:6" x14ac:dyDescent="0.25">
      <c r="A19832"/>
      <c r="B19832"/>
      <c r="C19832"/>
      <c r="E19832"/>
      <c r="F19832"/>
    </row>
    <row r="19833" spans="1:6" x14ac:dyDescent="0.25">
      <c r="A19833"/>
      <c r="B19833"/>
      <c r="C19833"/>
      <c r="E19833"/>
      <c r="F19833"/>
    </row>
    <row r="19834" spans="1:6" x14ac:dyDescent="0.25">
      <c r="A19834"/>
      <c r="B19834"/>
      <c r="C19834"/>
      <c r="E19834"/>
      <c r="F19834"/>
    </row>
    <row r="19835" spans="1:6" x14ac:dyDescent="0.25">
      <c r="A19835"/>
      <c r="B19835"/>
      <c r="C19835"/>
      <c r="E19835"/>
      <c r="F19835"/>
    </row>
    <row r="19836" spans="1:6" x14ac:dyDescent="0.25">
      <c r="A19836"/>
      <c r="B19836"/>
      <c r="C19836"/>
      <c r="E19836"/>
      <c r="F19836"/>
    </row>
    <row r="19837" spans="1:6" x14ac:dyDescent="0.25">
      <c r="A19837"/>
      <c r="B19837"/>
      <c r="C19837"/>
      <c r="E19837"/>
      <c r="F19837"/>
    </row>
    <row r="19838" spans="1:6" x14ac:dyDescent="0.25">
      <c r="A19838"/>
      <c r="B19838"/>
      <c r="C19838"/>
      <c r="E19838"/>
      <c r="F19838"/>
    </row>
    <row r="19839" spans="1:6" x14ac:dyDescent="0.25">
      <c r="A19839"/>
      <c r="B19839"/>
      <c r="C19839"/>
      <c r="E19839"/>
      <c r="F19839"/>
    </row>
    <row r="19840" spans="1:6" x14ac:dyDescent="0.25">
      <c r="A19840"/>
      <c r="B19840"/>
      <c r="C19840"/>
      <c r="E19840"/>
      <c r="F19840"/>
    </row>
    <row r="19841" spans="1:6" x14ac:dyDescent="0.25">
      <c r="A19841"/>
      <c r="B19841"/>
      <c r="C19841"/>
      <c r="E19841"/>
      <c r="F19841"/>
    </row>
    <row r="19842" spans="1:6" x14ac:dyDescent="0.25">
      <c r="A19842"/>
      <c r="B19842"/>
      <c r="C19842"/>
      <c r="E19842"/>
      <c r="F19842"/>
    </row>
    <row r="19843" spans="1:6" x14ac:dyDescent="0.25">
      <c r="A19843"/>
      <c r="B19843"/>
      <c r="C19843"/>
      <c r="E19843"/>
      <c r="F19843"/>
    </row>
    <row r="19844" spans="1:6" x14ac:dyDescent="0.25">
      <c r="A19844"/>
      <c r="B19844"/>
      <c r="C19844"/>
      <c r="E19844"/>
      <c r="F19844"/>
    </row>
    <row r="19845" spans="1:6" x14ac:dyDescent="0.25">
      <c r="A19845"/>
      <c r="B19845"/>
      <c r="C19845"/>
      <c r="E19845"/>
      <c r="F19845"/>
    </row>
    <row r="19846" spans="1:6" x14ac:dyDescent="0.25">
      <c r="A19846"/>
      <c r="B19846"/>
      <c r="C19846"/>
      <c r="E19846"/>
      <c r="F19846"/>
    </row>
    <row r="19847" spans="1:6" x14ac:dyDescent="0.25">
      <c r="A19847"/>
      <c r="B19847"/>
      <c r="C19847"/>
      <c r="E19847"/>
      <c r="F19847"/>
    </row>
    <row r="19848" spans="1:6" x14ac:dyDescent="0.25">
      <c r="A19848"/>
      <c r="B19848"/>
      <c r="C19848"/>
      <c r="E19848"/>
      <c r="F19848"/>
    </row>
    <row r="19849" spans="1:6" x14ac:dyDescent="0.25">
      <c r="A19849"/>
      <c r="B19849"/>
      <c r="C19849"/>
      <c r="E19849"/>
      <c r="F19849"/>
    </row>
    <row r="19850" spans="1:6" x14ac:dyDescent="0.25">
      <c r="A19850"/>
      <c r="B19850"/>
      <c r="C19850"/>
      <c r="E19850"/>
      <c r="F19850"/>
    </row>
    <row r="19851" spans="1:6" x14ac:dyDescent="0.25">
      <c r="A19851"/>
      <c r="B19851"/>
      <c r="C19851"/>
      <c r="E19851"/>
      <c r="F19851"/>
    </row>
    <row r="19852" spans="1:6" x14ac:dyDescent="0.25">
      <c r="A19852"/>
      <c r="B19852"/>
      <c r="C19852"/>
      <c r="E19852"/>
      <c r="F19852"/>
    </row>
    <row r="19853" spans="1:6" x14ac:dyDescent="0.25">
      <c r="A19853"/>
      <c r="B19853"/>
      <c r="C19853"/>
      <c r="E19853"/>
      <c r="F19853"/>
    </row>
    <row r="19854" spans="1:6" x14ac:dyDescent="0.25">
      <c r="A19854"/>
      <c r="B19854"/>
      <c r="C19854"/>
      <c r="E19854"/>
      <c r="F19854"/>
    </row>
    <row r="19855" spans="1:6" x14ac:dyDescent="0.25">
      <c r="A19855"/>
      <c r="B19855"/>
      <c r="C19855"/>
      <c r="E19855"/>
      <c r="F19855"/>
    </row>
    <row r="19856" spans="1:6" x14ac:dyDescent="0.25">
      <c r="A19856"/>
      <c r="B19856"/>
      <c r="C19856"/>
      <c r="E19856"/>
      <c r="F19856"/>
    </row>
    <row r="19857" spans="1:6" x14ac:dyDescent="0.25">
      <c r="A19857"/>
      <c r="B19857"/>
      <c r="C19857"/>
      <c r="E19857"/>
      <c r="F19857"/>
    </row>
    <row r="19858" spans="1:6" x14ac:dyDescent="0.25">
      <c r="A19858"/>
      <c r="B19858"/>
      <c r="C19858"/>
      <c r="E19858"/>
      <c r="F19858"/>
    </row>
    <row r="19859" spans="1:6" x14ac:dyDescent="0.25">
      <c r="A19859"/>
      <c r="B19859"/>
      <c r="C19859"/>
      <c r="E19859"/>
      <c r="F19859"/>
    </row>
    <row r="19860" spans="1:6" x14ac:dyDescent="0.25">
      <c r="A19860"/>
      <c r="B19860"/>
      <c r="C19860"/>
      <c r="E19860"/>
      <c r="F19860"/>
    </row>
    <row r="19861" spans="1:6" x14ac:dyDescent="0.25">
      <c r="A19861"/>
      <c r="B19861"/>
      <c r="C19861"/>
      <c r="E19861"/>
      <c r="F19861"/>
    </row>
    <row r="19862" spans="1:6" x14ac:dyDescent="0.25">
      <c r="A19862"/>
      <c r="B19862"/>
      <c r="C19862"/>
      <c r="E19862"/>
      <c r="F19862"/>
    </row>
    <row r="19863" spans="1:6" x14ac:dyDescent="0.25">
      <c r="A19863"/>
      <c r="B19863"/>
      <c r="C19863"/>
      <c r="E19863"/>
      <c r="F19863"/>
    </row>
    <row r="19864" spans="1:6" x14ac:dyDescent="0.25">
      <c r="A19864"/>
      <c r="B19864"/>
      <c r="C19864"/>
      <c r="E19864"/>
      <c r="F19864"/>
    </row>
    <row r="19865" spans="1:6" x14ac:dyDescent="0.25">
      <c r="A19865"/>
      <c r="B19865"/>
      <c r="C19865"/>
      <c r="E19865"/>
      <c r="F19865"/>
    </row>
    <row r="19866" spans="1:6" x14ac:dyDescent="0.25">
      <c r="A19866"/>
      <c r="B19866"/>
      <c r="C19866"/>
      <c r="E19866"/>
      <c r="F19866"/>
    </row>
    <row r="19867" spans="1:6" x14ac:dyDescent="0.25">
      <c r="A19867"/>
      <c r="B19867"/>
      <c r="C19867"/>
      <c r="E19867"/>
      <c r="F19867"/>
    </row>
    <row r="19868" spans="1:6" x14ac:dyDescent="0.25">
      <c r="A19868"/>
      <c r="B19868"/>
      <c r="C19868"/>
      <c r="E19868"/>
      <c r="F19868"/>
    </row>
    <row r="19869" spans="1:6" x14ac:dyDescent="0.25">
      <c r="A19869"/>
      <c r="B19869"/>
      <c r="C19869"/>
      <c r="E19869"/>
      <c r="F19869"/>
    </row>
    <row r="19870" spans="1:6" x14ac:dyDescent="0.25">
      <c r="A19870"/>
      <c r="B19870"/>
      <c r="C19870"/>
      <c r="E19870"/>
      <c r="F19870"/>
    </row>
    <row r="19871" spans="1:6" x14ac:dyDescent="0.25">
      <c r="A19871"/>
      <c r="B19871"/>
      <c r="C19871"/>
      <c r="E19871"/>
      <c r="F19871"/>
    </row>
    <row r="19872" spans="1:6" x14ac:dyDescent="0.25">
      <c r="A19872"/>
      <c r="B19872"/>
      <c r="C19872"/>
      <c r="E19872"/>
      <c r="F19872"/>
    </row>
    <row r="19873" spans="1:6" x14ac:dyDescent="0.25">
      <c r="A19873"/>
      <c r="B19873"/>
      <c r="C19873"/>
      <c r="E19873"/>
      <c r="F19873"/>
    </row>
    <row r="19874" spans="1:6" x14ac:dyDescent="0.25">
      <c r="A19874"/>
      <c r="B19874"/>
      <c r="C19874"/>
      <c r="E19874"/>
      <c r="F19874"/>
    </row>
    <row r="19875" spans="1:6" x14ac:dyDescent="0.25">
      <c r="A19875"/>
      <c r="B19875"/>
      <c r="C19875"/>
      <c r="E19875"/>
      <c r="F19875"/>
    </row>
    <row r="19876" spans="1:6" x14ac:dyDescent="0.25">
      <c r="A19876"/>
      <c r="B19876"/>
      <c r="C19876"/>
      <c r="E19876"/>
      <c r="F19876"/>
    </row>
    <row r="19877" spans="1:6" x14ac:dyDescent="0.25">
      <c r="A19877"/>
      <c r="B19877"/>
      <c r="C19877"/>
      <c r="E19877"/>
      <c r="F19877"/>
    </row>
    <row r="19878" spans="1:6" x14ac:dyDescent="0.25">
      <c r="A19878"/>
      <c r="B19878"/>
      <c r="C19878"/>
      <c r="E19878"/>
      <c r="F19878"/>
    </row>
    <row r="19879" spans="1:6" x14ac:dyDescent="0.25">
      <c r="A19879"/>
      <c r="B19879"/>
      <c r="C19879"/>
      <c r="E19879"/>
      <c r="F19879"/>
    </row>
    <row r="19880" spans="1:6" x14ac:dyDescent="0.25">
      <c r="A19880"/>
      <c r="B19880"/>
      <c r="C19880"/>
      <c r="E19880"/>
      <c r="F19880"/>
    </row>
    <row r="19881" spans="1:6" x14ac:dyDescent="0.25">
      <c r="A19881"/>
      <c r="B19881"/>
      <c r="C19881"/>
      <c r="E19881"/>
      <c r="F19881"/>
    </row>
    <row r="19882" spans="1:6" x14ac:dyDescent="0.25">
      <c r="A19882"/>
      <c r="B19882"/>
      <c r="C19882"/>
      <c r="E19882"/>
      <c r="F19882"/>
    </row>
    <row r="19883" spans="1:6" x14ac:dyDescent="0.25">
      <c r="A19883"/>
      <c r="B19883"/>
      <c r="C19883"/>
      <c r="E19883"/>
      <c r="F19883"/>
    </row>
    <row r="19884" spans="1:6" x14ac:dyDescent="0.25">
      <c r="A19884"/>
      <c r="B19884"/>
      <c r="C19884"/>
      <c r="E19884"/>
      <c r="F19884"/>
    </row>
    <row r="19885" spans="1:6" x14ac:dyDescent="0.25">
      <c r="A19885"/>
      <c r="B19885"/>
      <c r="C19885"/>
      <c r="E19885"/>
      <c r="F19885"/>
    </row>
    <row r="19886" spans="1:6" x14ac:dyDescent="0.25">
      <c r="A19886"/>
      <c r="B19886"/>
      <c r="C19886"/>
      <c r="E19886"/>
      <c r="F19886"/>
    </row>
    <row r="19887" spans="1:6" x14ac:dyDescent="0.25">
      <c r="A19887"/>
      <c r="B19887"/>
      <c r="C19887"/>
      <c r="E19887"/>
      <c r="F19887"/>
    </row>
    <row r="19888" spans="1:6" x14ac:dyDescent="0.25">
      <c r="A19888"/>
      <c r="B19888"/>
      <c r="C19888"/>
      <c r="E19888"/>
      <c r="F19888"/>
    </row>
    <row r="19889" spans="1:6" x14ac:dyDescent="0.25">
      <c r="A19889"/>
      <c r="B19889"/>
      <c r="C19889"/>
      <c r="E19889"/>
      <c r="F19889"/>
    </row>
    <row r="19890" spans="1:6" x14ac:dyDescent="0.25">
      <c r="A19890"/>
      <c r="B19890"/>
      <c r="C19890"/>
      <c r="E19890"/>
      <c r="F19890"/>
    </row>
    <row r="19891" spans="1:6" x14ac:dyDescent="0.25">
      <c r="A19891"/>
      <c r="B19891"/>
      <c r="C19891"/>
      <c r="E19891"/>
      <c r="F19891"/>
    </row>
    <row r="19892" spans="1:6" x14ac:dyDescent="0.25">
      <c r="A19892"/>
      <c r="B19892"/>
      <c r="C19892"/>
      <c r="E19892"/>
      <c r="F19892"/>
    </row>
    <row r="19893" spans="1:6" x14ac:dyDescent="0.25">
      <c r="A19893"/>
      <c r="B19893"/>
      <c r="C19893"/>
      <c r="E19893"/>
      <c r="F19893"/>
    </row>
    <row r="19894" spans="1:6" x14ac:dyDescent="0.25">
      <c r="A19894"/>
      <c r="B19894"/>
      <c r="C19894"/>
      <c r="E19894"/>
      <c r="F19894"/>
    </row>
    <row r="19895" spans="1:6" x14ac:dyDescent="0.25">
      <c r="A19895"/>
      <c r="B19895"/>
      <c r="C19895"/>
      <c r="E19895"/>
      <c r="F19895"/>
    </row>
    <row r="19896" spans="1:6" x14ac:dyDescent="0.25">
      <c r="A19896"/>
      <c r="B19896"/>
      <c r="C19896"/>
      <c r="E19896"/>
      <c r="F19896"/>
    </row>
    <row r="19897" spans="1:6" x14ac:dyDescent="0.25">
      <c r="A19897"/>
      <c r="B19897"/>
      <c r="C19897"/>
      <c r="E19897"/>
      <c r="F19897"/>
    </row>
    <row r="19898" spans="1:6" x14ac:dyDescent="0.25">
      <c r="A19898"/>
      <c r="B19898"/>
      <c r="C19898"/>
      <c r="E19898"/>
      <c r="F19898"/>
    </row>
    <row r="19899" spans="1:6" x14ac:dyDescent="0.25">
      <c r="A19899"/>
      <c r="B19899"/>
      <c r="C19899"/>
      <c r="E19899"/>
      <c r="F19899"/>
    </row>
    <row r="19900" spans="1:6" x14ac:dyDescent="0.25">
      <c r="A19900"/>
      <c r="B19900"/>
      <c r="C19900"/>
      <c r="E19900"/>
      <c r="F19900"/>
    </row>
    <row r="19901" spans="1:6" x14ac:dyDescent="0.25">
      <c r="A19901"/>
      <c r="B19901"/>
      <c r="C19901"/>
      <c r="E19901"/>
      <c r="F19901"/>
    </row>
    <row r="19902" spans="1:6" x14ac:dyDescent="0.25">
      <c r="A19902"/>
      <c r="B19902"/>
      <c r="C19902"/>
      <c r="E19902"/>
      <c r="F19902"/>
    </row>
    <row r="19903" spans="1:6" x14ac:dyDescent="0.25">
      <c r="A19903"/>
      <c r="B19903"/>
      <c r="C19903"/>
      <c r="E19903"/>
      <c r="F19903"/>
    </row>
    <row r="19904" spans="1:6" x14ac:dyDescent="0.25">
      <c r="A19904"/>
      <c r="B19904"/>
      <c r="C19904"/>
      <c r="E19904"/>
      <c r="F19904"/>
    </row>
    <row r="19905" spans="1:6" x14ac:dyDescent="0.25">
      <c r="A19905"/>
      <c r="B19905"/>
      <c r="C19905"/>
      <c r="E19905"/>
      <c r="F19905"/>
    </row>
    <row r="19906" spans="1:6" x14ac:dyDescent="0.25">
      <c r="A19906"/>
      <c r="B19906"/>
      <c r="C19906"/>
      <c r="E19906"/>
      <c r="F19906"/>
    </row>
    <row r="19907" spans="1:6" x14ac:dyDescent="0.25">
      <c r="A19907"/>
      <c r="B19907"/>
      <c r="C19907"/>
      <c r="E19907"/>
      <c r="F19907"/>
    </row>
    <row r="19908" spans="1:6" x14ac:dyDescent="0.25">
      <c r="A19908"/>
      <c r="B19908"/>
      <c r="C19908"/>
      <c r="E19908"/>
      <c r="F19908"/>
    </row>
    <row r="19909" spans="1:6" x14ac:dyDescent="0.25">
      <c r="A19909"/>
      <c r="B19909"/>
      <c r="C19909"/>
      <c r="E19909"/>
      <c r="F19909"/>
    </row>
    <row r="19910" spans="1:6" x14ac:dyDescent="0.25">
      <c r="A19910"/>
      <c r="B19910"/>
      <c r="C19910"/>
      <c r="E19910"/>
      <c r="F19910"/>
    </row>
    <row r="19911" spans="1:6" x14ac:dyDescent="0.25">
      <c r="A19911"/>
      <c r="B19911"/>
      <c r="C19911"/>
      <c r="E19911"/>
      <c r="F19911"/>
    </row>
    <row r="19912" spans="1:6" x14ac:dyDescent="0.25">
      <c r="A19912"/>
      <c r="B19912"/>
      <c r="C19912"/>
      <c r="E19912"/>
      <c r="F19912"/>
    </row>
    <row r="19913" spans="1:6" x14ac:dyDescent="0.25">
      <c r="A19913"/>
      <c r="B19913"/>
      <c r="C19913"/>
      <c r="E19913"/>
      <c r="F19913"/>
    </row>
    <row r="19914" spans="1:6" x14ac:dyDescent="0.25">
      <c r="A19914"/>
      <c r="B19914"/>
      <c r="C19914"/>
      <c r="E19914"/>
      <c r="F19914"/>
    </row>
    <row r="19915" spans="1:6" x14ac:dyDescent="0.25">
      <c r="A19915"/>
      <c r="B19915"/>
      <c r="C19915"/>
      <c r="E19915"/>
      <c r="F19915"/>
    </row>
    <row r="19916" spans="1:6" x14ac:dyDescent="0.25">
      <c r="A19916"/>
      <c r="B19916"/>
      <c r="C19916"/>
      <c r="E19916"/>
      <c r="F19916"/>
    </row>
    <row r="19917" spans="1:6" x14ac:dyDescent="0.25">
      <c r="A19917"/>
      <c r="B19917"/>
      <c r="C19917"/>
      <c r="E19917"/>
      <c r="F19917"/>
    </row>
    <row r="19918" spans="1:6" x14ac:dyDescent="0.25">
      <c r="A19918"/>
      <c r="B19918"/>
      <c r="C19918"/>
      <c r="E19918"/>
      <c r="F19918"/>
    </row>
    <row r="19919" spans="1:6" x14ac:dyDescent="0.25">
      <c r="A19919"/>
      <c r="B19919"/>
      <c r="C19919"/>
      <c r="E19919"/>
      <c r="F19919"/>
    </row>
    <row r="19920" spans="1:6" x14ac:dyDescent="0.25">
      <c r="A19920"/>
      <c r="B19920"/>
      <c r="C19920"/>
      <c r="E19920"/>
      <c r="F19920"/>
    </row>
    <row r="19921" spans="1:6" x14ac:dyDescent="0.25">
      <c r="A19921"/>
      <c r="B19921"/>
      <c r="C19921"/>
      <c r="E19921"/>
      <c r="F19921"/>
    </row>
    <row r="19922" spans="1:6" x14ac:dyDescent="0.25">
      <c r="A19922"/>
      <c r="B19922"/>
      <c r="C19922"/>
      <c r="E19922"/>
      <c r="F19922"/>
    </row>
    <row r="19923" spans="1:6" x14ac:dyDescent="0.25">
      <c r="A19923"/>
      <c r="B19923"/>
      <c r="C19923"/>
      <c r="E19923"/>
      <c r="F19923"/>
    </row>
    <row r="19924" spans="1:6" x14ac:dyDescent="0.25">
      <c r="A19924"/>
      <c r="B19924"/>
      <c r="C19924"/>
      <c r="E19924"/>
      <c r="F19924"/>
    </row>
    <row r="19925" spans="1:6" x14ac:dyDescent="0.25">
      <c r="A19925"/>
      <c r="B19925"/>
      <c r="C19925"/>
      <c r="E19925"/>
      <c r="F19925"/>
    </row>
    <row r="19926" spans="1:6" x14ac:dyDescent="0.25">
      <c r="A19926"/>
      <c r="B19926"/>
      <c r="C19926"/>
      <c r="E19926"/>
      <c r="F19926"/>
    </row>
    <row r="19927" spans="1:6" x14ac:dyDescent="0.25">
      <c r="A19927"/>
      <c r="B19927"/>
      <c r="C19927"/>
      <c r="E19927"/>
      <c r="F19927"/>
    </row>
    <row r="19928" spans="1:6" x14ac:dyDescent="0.25">
      <c r="A19928"/>
      <c r="B19928"/>
      <c r="C19928"/>
      <c r="E19928"/>
      <c r="F19928"/>
    </row>
    <row r="19929" spans="1:6" x14ac:dyDescent="0.25">
      <c r="A19929"/>
      <c r="B19929"/>
      <c r="C19929"/>
      <c r="E19929"/>
      <c r="F19929"/>
    </row>
    <row r="19930" spans="1:6" x14ac:dyDescent="0.25">
      <c r="A19930"/>
      <c r="B19930"/>
      <c r="C19930"/>
      <c r="E19930"/>
      <c r="F19930"/>
    </row>
    <row r="19931" spans="1:6" x14ac:dyDescent="0.25">
      <c r="A19931"/>
      <c r="B19931"/>
      <c r="C19931"/>
      <c r="E19931"/>
      <c r="F19931"/>
    </row>
    <row r="19932" spans="1:6" x14ac:dyDescent="0.25">
      <c r="A19932"/>
      <c r="B19932"/>
      <c r="C19932"/>
      <c r="E19932"/>
      <c r="F19932"/>
    </row>
    <row r="19933" spans="1:6" x14ac:dyDescent="0.25">
      <c r="A19933"/>
      <c r="B19933"/>
      <c r="C19933"/>
      <c r="E19933"/>
      <c r="F19933"/>
    </row>
    <row r="19934" spans="1:6" x14ac:dyDescent="0.25">
      <c r="A19934"/>
      <c r="B19934"/>
      <c r="C19934"/>
      <c r="E19934"/>
      <c r="F19934"/>
    </row>
    <row r="19935" spans="1:6" x14ac:dyDescent="0.25">
      <c r="A19935"/>
      <c r="B19935"/>
      <c r="C19935"/>
      <c r="E19935"/>
      <c r="F19935"/>
    </row>
    <row r="19936" spans="1:6" x14ac:dyDescent="0.25">
      <c r="A19936"/>
      <c r="B19936"/>
      <c r="C19936"/>
      <c r="E19936"/>
      <c r="F19936"/>
    </row>
    <row r="19937" spans="1:6" x14ac:dyDescent="0.25">
      <c r="A19937"/>
      <c r="B19937"/>
      <c r="C19937"/>
      <c r="E19937"/>
      <c r="F19937"/>
    </row>
    <row r="19938" spans="1:6" x14ac:dyDescent="0.25">
      <c r="A19938"/>
      <c r="B19938"/>
      <c r="C19938"/>
      <c r="E19938"/>
      <c r="F19938"/>
    </row>
    <row r="19939" spans="1:6" x14ac:dyDescent="0.25">
      <c r="A19939"/>
      <c r="B19939"/>
      <c r="C19939"/>
      <c r="E19939"/>
      <c r="F19939"/>
    </row>
    <row r="19940" spans="1:6" x14ac:dyDescent="0.25">
      <c r="A19940"/>
      <c r="B19940"/>
      <c r="C19940"/>
      <c r="E19940"/>
      <c r="F19940"/>
    </row>
    <row r="19941" spans="1:6" x14ac:dyDescent="0.25">
      <c r="A19941"/>
      <c r="B19941"/>
      <c r="C19941"/>
      <c r="E19941"/>
      <c r="F19941"/>
    </row>
    <row r="19942" spans="1:6" x14ac:dyDescent="0.25">
      <c r="A19942"/>
      <c r="B19942"/>
      <c r="C19942"/>
      <c r="E19942"/>
      <c r="F19942"/>
    </row>
    <row r="19943" spans="1:6" x14ac:dyDescent="0.25">
      <c r="A19943"/>
      <c r="B19943"/>
      <c r="C19943"/>
      <c r="E19943"/>
      <c r="F19943"/>
    </row>
    <row r="19944" spans="1:6" x14ac:dyDescent="0.25">
      <c r="A19944"/>
      <c r="B19944"/>
      <c r="C19944"/>
      <c r="E19944"/>
      <c r="F19944"/>
    </row>
    <row r="19945" spans="1:6" x14ac:dyDescent="0.25">
      <c r="A19945"/>
      <c r="B19945"/>
      <c r="C19945"/>
      <c r="E19945"/>
      <c r="F19945"/>
    </row>
    <row r="19946" spans="1:6" x14ac:dyDescent="0.25">
      <c r="A19946"/>
      <c r="B19946"/>
      <c r="C19946"/>
      <c r="E19946"/>
      <c r="F19946"/>
    </row>
    <row r="19947" spans="1:6" x14ac:dyDescent="0.25">
      <c r="A19947"/>
      <c r="B19947"/>
      <c r="C19947"/>
      <c r="E19947"/>
      <c r="F19947"/>
    </row>
    <row r="19948" spans="1:6" x14ac:dyDescent="0.25">
      <c r="A19948"/>
      <c r="B19948"/>
      <c r="C19948"/>
      <c r="E19948"/>
      <c r="F19948"/>
    </row>
    <row r="19949" spans="1:6" x14ac:dyDescent="0.25">
      <c r="A19949"/>
      <c r="B19949"/>
      <c r="C19949"/>
      <c r="E19949"/>
      <c r="F19949"/>
    </row>
    <row r="19950" spans="1:6" x14ac:dyDescent="0.25">
      <c r="A19950"/>
      <c r="B19950"/>
      <c r="C19950"/>
      <c r="E19950"/>
      <c r="F19950"/>
    </row>
    <row r="19951" spans="1:6" x14ac:dyDescent="0.25">
      <c r="A19951"/>
      <c r="B19951"/>
      <c r="C19951"/>
      <c r="E19951"/>
      <c r="F19951"/>
    </row>
    <row r="19952" spans="1:6" x14ac:dyDescent="0.25">
      <c r="A19952"/>
      <c r="B19952"/>
      <c r="C19952"/>
      <c r="E19952"/>
      <c r="F19952"/>
    </row>
    <row r="19953" spans="1:6" x14ac:dyDescent="0.25">
      <c r="A19953"/>
      <c r="B19953"/>
      <c r="C19953"/>
      <c r="E19953"/>
      <c r="F19953"/>
    </row>
    <row r="19954" spans="1:6" x14ac:dyDescent="0.25">
      <c r="A19954"/>
      <c r="B19954"/>
      <c r="C19954"/>
      <c r="E19954"/>
      <c r="F19954"/>
    </row>
    <row r="19955" spans="1:6" x14ac:dyDescent="0.25">
      <c r="A19955"/>
      <c r="B19955"/>
      <c r="C19955"/>
      <c r="E19955"/>
      <c r="F19955"/>
    </row>
    <row r="19956" spans="1:6" x14ac:dyDescent="0.25">
      <c r="A19956"/>
      <c r="B19956"/>
      <c r="C19956"/>
      <c r="E19956"/>
      <c r="F19956"/>
    </row>
    <row r="19957" spans="1:6" x14ac:dyDescent="0.25">
      <c r="A19957"/>
      <c r="B19957"/>
      <c r="C19957"/>
      <c r="E19957"/>
      <c r="F19957"/>
    </row>
    <row r="19958" spans="1:6" x14ac:dyDescent="0.25">
      <c r="A19958"/>
      <c r="B19958"/>
      <c r="C19958"/>
      <c r="E19958"/>
      <c r="F19958"/>
    </row>
    <row r="19959" spans="1:6" x14ac:dyDescent="0.25">
      <c r="A19959"/>
      <c r="B19959"/>
      <c r="C19959"/>
      <c r="E19959"/>
      <c r="F19959"/>
    </row>
    <row r="19960" spans="1:6" x14ac:dyDescent="0.25">
      <c r="A19960"/>
      <c r="B19960"/>
      <c r="C19960"/>
      <c r="E19960"/>
      <c r="F19960"/>
    </row>
    <row r="19961" spans="1:6" x14ac:dyDescent="0.25">
      <c r="A19961"/>
      <c r="B19961"/>
      <c r="C19961"/>
      <c r="E19961"/>
      <c r="F19961"/>
    </row>
    <row r="19962" spans="1:6" x14ac:dyDescent="0.25">
      <c r="A19962"/>
      <c r="B19962"/>
      <c r="C19962"/>
      <c r="E19962"/>
      <c r="F19962"/>
    </row>
    <row r="19963" spans="1:6" x14ac:dyDescent="0.25">
      <c r="A19963"/>
      <c r="B19963"/>
      <c r="C19963"/>
      <c r="E19963"/>
      <c r="F19963"/>
    </row>
    <row r="19964" spans="1:6" x14ac:dyDescent="0.25">
      <c r="A19964"/>
      <c r="B19964"/>
      <c r="C19964"/>
      <c r="E19964"/>
      <c r="F19964"/>
    </row>
    <row r="19965" spans="1:6" x14ac:dyDescent="0.25">
      <c r="A19965"/>
      <c r="B19965"/>
      <c r="C19965"/>
      <c r="E19965"/>
      <c r="F19965"/>
    </row>
    <row r="19966" spans="1:6" x14ac:dyDescent="0.25">
      <c r="A19966"/>
      <c r="B19966"/>
      <c r="C19966"/>
      <c r="E19966"/>
      <c r="F19966"/>
    </row>
    <row r="19967" spans="1:6" x14ac:dyDescent="0.25">
      <c r="A19967"/>
      <c r="B19967"/>
      <c r="C19967"/>
      <c r="E19967"/>
      <c r="F19967"/>
    </row>
    <row r="19968" spans="1:6" x14ac:dyDescent="0.25">
      <c r="A19968"/>
      <c r="B19968"/>
      <c r="C19968"/>
      <c r="E19968"/>
      <c r="F19968"/>
    </row>
    <row r="19969" spans="1:6" x14ac:dyDescent="0.25">
      <c r="A19969"/>
      <c r="B19969"/>
      <c r="C19969"/>
      <c r="E19969"/>
      <c r="F19969"/>
    </row>
    <row r="19970" spans="1:6" x14ac:dyDescent="0.25">
      <c r="A19970"/>
      <c r="B19970"/>
      <c r="C19970"/>
      <c r="E19970"/>
      <c r="F19970"/>
    </row>
    <row r="19971" spans="1:6" x14ac:dyDescent="0.25">
      <c r="A19971"/>
      <c r="B19971"/>
      <c r="C19971"/>
      <c r="E19971"/>
      <c r="F19971"/>
    </row>
    <row r="19972" spans="1:6" x14ac:dyDescent="0.25">
      <c r="A19972"/>
      <c r="B19972"/>
      <c r="C19972"/>
      <c r="E19972"/>
      <c r="F19972"/>
    </row>
    <row r="19973" spans="1:6" x14ac:dyDescent="0.25">
      <c r="A19973"/>
      <c r="B19973"/>
      <c r="C19973"/>
      <c r="E19973"/>
      <c r="F19973"/>
    </row>
    <row r="19974" spans="1:6" x14ac:dyDescent="0.25">
      <c r="A19974"/>
      <c r="B19974"/>
      <c r="C19974"/>
      <c r="E19974"/>
      <c r="F19974"/>
    </row>
    <row r="19975" spans="1:6" x14ac:dyDescent="0.25">
      <c r="A19975"/>
      <c r="B19975"/>
      <c r="C19975"/>
      <c r="E19975"/>
      <c r="F19975"/>
    </row>
    <row r="19976" spans="1:6" x14ac:dyDescent="0.25">
      <c r="A19976"/>
      <c r="B19976"/>
      <c r="C19976"/>
      <c r="E19976"/>
      <c r="F19976"/>
    </row>
    <row r="19977" spans="1:6" x14ac:dyDescent="0.25">
      <c r="A19977"/>
      <c r="B19977"/>
      <c r="C19977"/>
      <c r="E19977"/>
      <c r="F19977"/>
    </row>
    <row r="19978" spans="1:6" x14ac:dyDescent="0.25">
      <c r="A19978"/>
      <c r="B19978"/>
      <c r="C19978"/>
      <c r="E19978"/>
      <c r="F19978"/>
    </row>
    <row r="19979" spans="1:6" x14ac:dyDescent="0.25">
      <c r="A19979"/>
      <c r="B19979"/>
      <c r="C19979"/>
      <c r="E19979"/>
      <c r="F19979"/>
    </row>
    <row r="19980" spans="1:6" x14ac:dyDescent="0.25">
      <c r="A19980"/>
      <c r="B19980"/>
      <c r="C19980"/>
      <c r="E19980"/>
      <c r="F19980"/>
    </row>
    <row r="19981" spans="1:6" x14ac:dyDescent="0.25">
      <c r="A19981"/>
      <c r="B19981"/>
      <c r="C19981"/>
      <c r="E19981"/>
      <c r="F19981"/>
    </row>
    <row r="19982" spans="1:6" x14ac:dyDescent="0.25">
      <c r="A19982"/>
      <c r="B19982"/>
      <c r="C19982"/>
      <c r="E19982"/>
      <c r="F19982"/>
    </row>
    <row r="19983" spans="1:6" x14ac:dyDescent="0.25">
      <c r="A19983"/>
      <c r="B19983"/>
      <c r="C19983"/>
      <c r="E19983"/>
      <c r="F19983"/>
    </row>
    <row r="19984" spans="1:6" x14ac:dyDescent="0.25">
      <c r="A19984"/>
      <c r="B19984"/>
      <c r="C19984"/>
      <c r="E19984"/>
      <c r="F19984"/>
    </row>
    <row r="19985" spans="1:6" x14ac:dyDescent="0.25">
      <c r="A19985"/>
      <c r="B19985"/>
      <c r="C19985"/>
      <c r="E19985"/>
      <c r="F19985"/>
    </row>
    <row r="19986" spans="1:6" x14ac:dyDescent="0.25">
      <c r="A19986"/>
      <c r="B19986"/>
      <c r="C19986"/>
      <c r="E19986"/>
      <c r="F19986"/>
    </row>
    <row r="19987" spans="1:6" x14ac:dyDescent="0.25">
      <c r="A19987"/>
      <c r="B19987"/>
      <c r="C19987"/>
      <c r="E19987"/>
      <c r="F19987"/>
    </row>
    <row r="19988" spans="1:6" x14ac:dyDescent="0.25">
      <c r="A19988"/>
      <c r="B19988"/>
      <c r="C19988"/>
      <c r="E19988"/>
      <c r="F19988"/>
    </row>
    <row r="19989" spans="1:6" x14ac:dyDescent="0.25">
      <c r="A19989"/>
      <c r="B19989"/>
      <c r="C19989"/>
      <c r="E19989"/>
      <c r="F19989"/>
    </row>
    <row r="19990" spans="1:6" x14ac:dyDescent="0.25">
      <c r="A19990"/>
      <c r="B19990"/>
      <c r="C19990"/>
      <c r="E19990"/>
      <c r="F19990"/>
    </row>
    <row r="19991" spans="1:6" x14ac:dyDescent="0.25">
      <c r="A19991"/>
      <c r="B19991"/>
      <c r="C19991"/>
      <c r="E19991"/>
      <c r="F19991"/>
    </row>
    <row r="19992" spans="1:6" x14ac:dyDescent="0.25">
      <c r="A19992"/>
      <c r="B19992"/>
      <c r="C19992"/>
      <c r="E19992"/>
      <c r="F19992"/>
    </row>
    <row r="19993" spans="1:6" x14ac:dyDescent="0.25">
      <c r="A19993"/>
      <c r="B19993"/>
      <c r="C19993"/>
      <c r="E19993"/>
      <c r="F19993"/>
    </row>
    <row r="19994" spans="1:6" x14ac:dyDescent="0.25">
      <c r="A19994"/>
      <c r="B19994"/>
      <c r="C19994"/>
      <c r="E19994"/>
      <c r="F19994"/>
    </row>
    <row r="19995" spans="1:6" x14ac:dyDescent="0.25">
      <c r="A19995"/>
      <c r="B19995"/>
      <c r="C19995"/>
      <c r="E19995"/>
      <c r="F19995"/>
    </row>
    <row r="19996" spans="1:6" x14ac:dyDescent="0.25">
      <c r="A19996"/>
      <c r="B19996"/>
      <c r="C19996"/>
      <c r="E19996"/>
      <c r="F19996"/>
    </row>
    <row r="19997" spans="1:6" x14ac:dyDescent="0.25">
      <c r="A19997"/>
      <c r="B19997"/>
      <c r="C19997"/>
      <c r="E19997"/>
      <c r="F19997"/>
    </row>
    <row r="19998" spans="1:6" x14ac:dyDescent="0.25">
      <c r="A19998"/>
      <c r="B19998"/>
      <c r="C19998"/>
      <c r="E19998"/>
      <c r="F19998"/>
    </row>
    <row r="19999" spans="1:6" x14ac:dyDescent="0.25">
      <c r="A19999"/>
      <c r="B19999"/>
      <c r="C19999"/>
      <c r="E19999"/>
      <c r="F19999"/>
    </row>
    <row r="20000" spans="1:6" x14ac:dyDescent="0.25">
      <c r="A20000"/>
      <c r="B20000"/>
      <c r="C20000"/>
      <c r="E20000"/>
      <c r="F20000"/>
    </row>
    <row r="20001" spans="1:6" x14ac:dyDescent="0.25">
      <c r="A20001"/>
      <c r="B20001"/>
      <c r="C20001"/>
      <c r="E20001"/>
      <c r="F20001"/>
    </row>
    <row r="20002" spans="1:6" x14ac:dyDescent="0.25">
      <c r="A20002"/>
      <c r="B20002"/>
      <c r="C20002"/>
      <c r="E20002"/>
      <c r="F20002"/>
    </row>
    <row r="20003" spans="1:6" x14ac:dyDescent="0.25">
      <c r="A20003"/>
      <c r="B20003"/>
      <c r="C20003"/>
      <c r="E20003"/>
      <c r="F20003"/>
    </row>
    <row r="20004" spans="1:6" x14ac:dyDescent="0.25">
      <c r="A20004"/>
      <c r="B20004"/>
      <c r="C20004"/>
      <c r="E20004"/>
      <c r="F20004"/>
    </row>
    <row r="20005" spans="1:6" x14ac:dyDescent="0.25">
      <c r="A20005"/>
      <c r="B20005"/>
      <c r="C20005"/>
      <c r="E20005"/>
      <c r="F20005"/>
    </row>
    <row r="20006" spans="1:6" x14ac:dyDescent="0.25">
      <c r="A20006"/>
      <c r="B20006"/>
      <c r="C20006"/>
      <c r="E20006"/>
      <c r="F20006"/>
    </row>
    <row r="20007" spans="1:6" x14ac:dyDescent="0.25">
      <c r="A20007"/>
      <c r="B20007"/>
      <c r="C20007"/>
      <c r="E20007"/>
      <c r="F20007"/>
    </row>
    <row r="20008" spans="1:6" x14ac:dyDescent="0.25">
      <c r="A20008"/>
      <c r="B20008"/>
      <c r="C20008"/>
      <c r="E20008"/>
      <c r="F20008"/>
    </row>
    <row r="20009" spans="1:6" x14ac:dyDescent="0.25">
      <c r="A20009"/>
      <c r="B20009"/>
      <c r="C20009"/>
      <c r="E20009"/>
      <c r="F20009"/>
    </row>
    <row r="20010" spans="1:6" x14ac:dyDescent="0.25">
      <c r="A20010"/>
      <c r="B20010"/>
      <c r="C20010"/>
      <c r="E20010"/>
      <c r="F20010"/>
    </row>
    <row r="20011" spans="1:6" x14ac:dyDescent="0.25">
      <c r="A20011"/>
      <c r="B20011"/>
      <c r="C20011"/>
      <c r="E20011"/>
      <c r="F20011"/>
    </row>
    <row r="20012" spans="1:6" x14ac:dyDescent="0.25">
      <c r="A20012"/>
      <c r="B20012"/>
      <c r="C20012"/>
      <c r="E20012"/>
      <c r="F20012"/>
    </row>
    <row r="20013" spans="1:6" x14ac:dyDescent="0.25">
      <c r="A20013"/>
      <c r="B20013"/>
      <c r="C20013"/>
      <c r="E20013"/>
      <c r="F20013"/>
    </row>
    <row r="20014" spans="1:6" x14ac:dyDescent="0.25">
      <c r="A20014"/>
      <c r="B20014"/>
      <c r="C20014"/>
      <c r="E20014"/>
      <c r="F20014"/>
    </row>
    <row r="20015" spans="1:6" x14ac:dyDescent="0.25">
      <c r="A20015"/>
      <c r="B20015"/>
      <c r="C20015"/>
      <c r="E20015"/>
      <c r="F20015"/>
    </row>
    <row r="20016" spans="1:6" x14ac:dyDescent="0.25">
      <c r="A20016"/>
      <c r="B20016"/>
      <c r="C20016"/>
      <c r="E20016"/>
      <c r="F20016"/>
    </row>
    <row r="20017" spans="1:6" x14ac:dyDescent="0.25">
      <c r="A20017"/>
      <c r="B20017"/>
      <c r="C20017"/>
      <c r="E20017"/>
      <c r="F20017"/>
    </row>
    <row r="20018" spans="1:6" x14ac:dyDescent="0.25">
      <c r="A20018"/>
      <c r="B20018"/>
      <c r="C20018"/>
      <c r="E20018"/>
      <c r="F20018"/>
    </row>
    <row r="20019" spans="1:6" x14ac:dyDescent="0.25">
      <c r="A20019"/>
      <c r="B20019"/>
      <c r="C20019"/>
      <c r="E20019"/>
      <c r="F20019"/>
    </row>
    <row r="20020" spans="1:6" x14ac:dyDescent="0.25">
      <c r="A20020"/>
      <c r="B20020"/>
      <c r="C20020"/>
      <c r="E20020"/>
      <c r="F20020"/>
    </row>
    <row r="20021" spans="1:6" x14ac:dyDescent="0.25">
      <c r="A20021"/>
      <c r="B20021"/>
      <c r="C20021"/>
      <c r="E20021"/>
      <c r="F20021"/>
    </row>
    <row r="20022" spans="1:6" x14ac:dyDescent="0.25">
      <c r="A20022"/>
      <c r="B20022"/>
      <c r="C20022"/>
      <c r="E20022"/>
      <c r="F20022"/>
    </row>
    <row r="20023" spans="1:6" x14ac:dyDescent="0.25">
      <c r="A20023"/>
      <c r="B20023"/>
      <c r="C20023"/>
      <c r="E20023"/>
      <c r="F20023"/>
    </row>
    <row r="20024" spans="1:6" x14ac:dyDescent="0.25">
      <c r="A20024"/>
      <c r="B20024"/>
      <c r="C20024"/>
      <c r="E20024"/>
      <c r="F20024"/>
    </row>
    <row r="20025" spans="1:6" x14ac:dyDescent="0.25">
      <c r="A20025"/>
      <c r="B20025"/>
      <c r="C20025"/>
      <c r="E20025"/>
      <c r="F20025"/>
    </row>
    <row r="20026" spans="1:6" x14ac:dyDescent="0.25">
      <c r="A20026"/>
      <c r="B20026"/>
      <c r="C20026"/>
      <c r="E20026"/>
      <c r="F20026"/>
    </row>
    <row r="20027" spans="1:6" x14ac:dyDescent="0.25">
      <c r="A20027"/>
      <c r="B20027"/>
      <c r="C20027"/>
      <c r="E20027"/>
      <c r="F20027"/>
    </row>
    <row r="20028" spans="1:6" x14ac:dyDescent="0.25">
      <c r="A20028"/>
      <c r="B20028"/>
      <c r="C20028"/>
      <c r="E20028"/>
      <c r="F20028"/>
    </row>
    <row r="20029" spans="1:6" x14ac:dyDescent="0.25">
      <c r="A20029"/>
      <c r="B20029"/>
      <c r="C20029"/>
      <c r="E20029"/>
      <c r="F20029"/>
    </row>
    <row r="20030" spans="1:6" x14ac:dyDescent="0.25">
      <c r="A20030"/>
      <c r="B20030"/>
      <c r="C20030"/>
      <c r="E20030"/>
      <c r="F20030"/>
    </row>
    <row r="20031" spans="1:6" x14ac:dyDescent="0.25">
      <c r="A20031"/>
      <c r="B20031"/>
      <c r="C20031"/>
      <c r="E20031"/>
      <c r="F20031"/>
    </row>
    <row r="20032" spans="1:6" x14ac:dyDescent="0.25">
      <c r="A20032"/>
      <c r="B20032"/>
      <c r="C20032"/>
      <c r="E20032"/>
      <c r="F20032"/>
    </row>
    <row r="20033" spans="1:6" x14ac:dyDescent="0.25">
      <c r="A20033"/>
      <c r="B20033"/>
      <c r="C20033"/>
      <c r="E20033"/>
      <c r="F20033"/>
    </row>
    <row r="20034" spans="1:6" x14ac:dyDescent="0.25">
      <c r="A20034"/>
      <c r="B20034"/>
      <c r="C20034"/>
      <c r="E20034"/>
      <c r="F20034"/>
    </row>
    <row r="20035" spans="1:6" x14ac:dyDescent="0.25">
      <c r="A20035"/>
      <c r="B20035"/>
      <c r="C20035"/>
      <c r="E20035"/>
      <c r="F20035"/>
    </row>
    <row r="20036" spans="1:6" x14ac:dyDescent="0.25">
      <c r="A20036"/>
      <c r="B20036"/>
      <c r="C20036"/>
      <c r="E20036"/>
      <c r="F20036"/>
    </row>
    <row r="20037" spans="1:6" x14ac:dyDescent="0.25">
      <c r="A20037"/>
      <c r="B20037"/>
      <c r="C20037"/>
      <c r="E20037"/>
      <c r="F20037"/>
    </row>
    <row r="20038" spans="1:6" x14ac:dyDescent="0.25">
      <c r="A20038"/>
      <c r="B20038"/>
      <c r="C20038"/>
      <c r="E20038"/>
      <c r="F20038"/>
    </row>
    <row r="20039" spans="1:6" x14ac:dyDescent="0.25">
      <c r="A20039"/>
      <c r="B20039"/>
      <c r="C20039"/>
      <c r="E20039"/>
      <c r="F20039"/>
    </row>
    <row r="20040" spans="1:6" x14ac:dyDescent="0.25">
      <c r="A20040"/>
      <c r="B20040"/>
      <c r="C20040"/>
      <c r="E20040"/>
      <c r="F20040"/>
    </row>
    <row r="20041" spans="1:6" x14ac:dyDescent="0.25">
      <c r="A20041"/>
      <c r="B20041"/>
      <c r="C20041"/>
      <c r="E20041"/>
      <c r="F20041"/>
    </row>
    <row r="20042" spans="1:6" x14ac:dyDescent="0.25">
      <c r="A20042"/>
      <c r="B20042"/>
      <c r="C20042"/>
      <c r="E20042"/>
      <c r="F20042"/>
    </row>
    <row r="20043" spans="1:6" x14ac:dyDescent="0.25">
      <c r="A20043"/>
      <c r="B20043"/>
      <c r="C20043"/>
      <c r="E20043"/>
      <c r="F20043"/>
    </row>
    <row r="20044" spans="1:6" x14ac:dyDescent="0.25">
      <c r="A20044"/>
      <c r="B20044"/>
      <c r="C20044"/>
      <c r="E20044"/>
      <c r="F20044"/>
    </row>
    <row r="20045" spans="1:6" x14ac:dyDescent="0.25">
      <c r="A20045"/>
      <c r="B20045"/>
      <c r="C20045"/>
      <c r="E20045"/>
      <c r="F20045"/>
    </row>
    <row r="20046" spans="1:6" x14ac:dyDescent="0.25">
      <c r="A20046"/>
      <c r="B20046"/>
      <c r="C20046"/>
      <c r="E20046"/>
      <c r="F20046"/>
    </row>
    <row r="20047" spans="1:6" x14ac:dyDescent="0.25">
      <c r="A20047"/>
      <c r="B20047"/>
      <c r="C20047"/>
      <c r="E20047"/>
      <c r="F20047"/>
    </row>
    <row r="20048" spans="1:6" x14ac:dyDescent="0.25">
      <c r="A20048"/>
      <c r="B20048"/>
      <c r="C20048"/>
      <c r="E20048"/>
      <c r="F20048"/>
    </row>
    <row r="20049" spans="1:6" x14ac:dyDescent="0.25">
      <c r="A20049"/>
      <c r="B20049"/>
      <c r="C20049"/>
      <c r="E20049"/>
      <c r="F20049"/>
    </row>
    <row r="20050" spans="1:6" x14ac:dyDescent="0.25">
      <c r="A20050"/>
      <c r="B20050"/>
      <c r="C20050"/>
      <c r="E20050"/>
      <c r="F20050"/>
    </row>
    <row r="20051" spans="1:6" x14ac:dyDescent="0.25">
      <c r="A20051"/>
      <c r="B20051"/>
      <c r="C20051"/>
      <c r="E20051"/>
      <c r="F20051"/>
    </row>
    <row r="20052" spans="1:6" x14ac:dyDescent="0.25">
      <c r="A20052"/>
      <c r="B20052"/>
      <c r="C20052"/>
      <c r="E20052"/>
      <c r="F20052"/>
    </row>
    <row r="20053" spans="1:6" x14ac:dyDescent="0.25">
      <c r="A20053"/>
      <c r="B20053"/>
      <c r="C20053"/>
      <c r="E20053"/>
      <c r="F20053"/>
    </row>
    <row r="20054" spans="1:6" x14ac:dyDescent="0.25">
      <c r="A20054"/>
      <c r="B20054"/>
      <c r="C20054"/>
      <c r="E20054"/>
      <c r="F20054"/>
    </row>
    <row r="20055" spans="1:6" x14ac:dyDescent="0.25">
      <c r="A20055"/>
      <c r="B20055"/>
      <c r="C20055"/>
      <c r="E20055"/>
      <c r="F20055"/>
    </row>
    <row r="20056" spans="1:6" x14ac:dyDescent="0.25">
      <c r="A20056"/>
      <c r="B20056"/>
      <c r="C20056"/>
      <c r="E20056"/>
      <c r="F20056"/>
    </row>
    <row r="20057" spans="1:6" x14ac:dyDescent="0.25">
      <c r="A20057"/>
      <c r="B20057"/>
      <c r="C20057"/>
      <c r="E20057"/>
      <c r="F20057"/>
    </row>
    <row r="20058" spans="1:6" x14ac:dyDescent="0.25">
      <c r="A20058"/>
      <c r="B20058"/>
      <c r="C20058"/>
      <c r="E20058"/>
      <c r="F20058"/>
    </row>
    <row r="20059" spans="1:6" x14ac:dyDescent="0.25">
      <c r="A20059"/>
      <c r="B20059"/>
      <c r="C20059"/>
      <c r="E20059"/>
      <c r="F20059"/>
    </row>
    <row r="20060" spans="1:6" x14ac:dyDescent="0.25">
      <c r="A20060"/>
      <c r="B20060"/>
      <c r="C20060"/>
      <c r="E20060"/>
      <c r="F20060"/>
    </row>
    <row r="20061" spans="1:6" x14ac:dyDescent="0.25">
      <c r="A20061"/>
      <c r="B20061"/>
      <c r="C20061"/>
      <c r="E20061"/>
      <c r="F20061"/>
    </row>
    <row r="20062" spans="1:6" x14ac:dyDescent="0.25">
      <c r="A20062"/>
      <c r="B20062"/>
      <c r="C20062"/>
      <c r="E20062"/>
      <c r="F20062"/>
    </row>
    <row r="20063" spans="1:6" x14ac:dyDescent="0.25">
      <c r="A20063"/>
      <c r="B20063"/>
      <c r="C20063"/>
      <c r="E20063"/>
      <c r="F20063"/>
    </row>
    <row r="20064" spans="1:6" x14ac:dyDescent="0.25">
      <c r="A20064"/>
      <c r="B20064"/>
      <c r="C20064"/>
      <c r="E20064"/>
      <c r="F20064"/>
    </row>
    <row r="20065" spans="1:6" x14ac:dyDescent="0.25">
      <c r="A20065"/>
      <c r="B20065"/>
      <c r="C20065"/>
      <c r="E20065"/>
      <c r="F20065"/>
    </row>
    <row r="20066" spans="1:6" x14ac:dyDescent="0.25">
      <c r="A20066"/>
      <c r="B20066"/>
      <c r="C20066"/>
      <c r="E20066"/>
      <c r="F20066"/>
    </row>
    <row r="20067" spans="1:6" x14ac:dyDescent="0.25">
      <c r="A20067"/>
      <c r="B20067"/>
      <c r="C20067"/>
      <c r="E20067"/>
      <c r="F20067"/>
    </row>
    <row r="20068" spans="1:6" x14ac:dyDescent="0.25">
      <c r="A20068"/>
      <c r="B20068"/>
      <c r="C20068"/>
      <c r="E20068"/>
      <c r="F20068"/>
    </row>
    <row r="20069" spans="1:6" x14ac:dyDescent="0.25">
      <c r="A20069"/>
      <c r="B20069"/>
      <c r="C20069"/>
      <c r="E20069"/>
      <c r="F20069"/>
    </row>
    <row r="20070" spans="1:6" x14ac:dyDescent="0.25">
      <c r="A20070"/>
      <c r="B20070"/>
      <c r="C20070"/>
      <c r="E20070"/>
      <c r="F20070"/>
    </row>
    <row r="20071" spans="1:6" x14ac:dyDescent="0.25">
      <c r="A20071"/>
      <c r="B20071"/>
      <c r="C20071"/>
      <c r="E20071"/>
      <c r="F20071"/>
    </row>
    <row r="20072" spans="1:6" x14ac:dyDescent="0.25">
      <c r="A20072"/>
      <c r="B20072"/>
      <c r="C20072"/>
      <c r="E20072"/>
      <c r="F20072"/>
    </row>
    <row r="20073" spans="1:6" x14ac:dyDescent="0.25">
      <c r="A20073"/>
      <c r="B20073"/>
      <c r="C20073"/>
      <c r="E20073"/>
      <c r="F20073"/>
    </row>
    <row r="20074" spans="1:6" x14ac:dyDescent="0.25">
      <c r="A20074"/>
      <c r="B20074"/>
      <c r="C20074"/>
      <c r="E20074"/>
      <c r="F20074"/>
    </row>
    <row r="20075" spans="1:6" x14ac:dyDescent="0.25">
      <c r="A20075"/>
      <c r="B20075"/>
      <c r="C20075"/>
      <c r="E20075"/>
      <c r="F20075"/>
    </row>
    <row r="20076" spans="1:6" x14ac:dyDescent="0.25">
      <c r="A20076"/>
      <c r="B20076"/>
      <c r="C20076"/>
      <c r="E20076"/>
      <c r="F20076"/>
    </row>
    <row r="20077" spans="1:6" x14ac:dyDescent="0.25">
      <c r="A20077"/>
      <c r="B20077"/>
      <c r="C20077"/>
      <c r="E20077"/>
      <c r="F20077"/>
    </row>
    <row r="20078" spans="1:6" x14ac:dyDescent="0.25">
      <c r="A20078"/>
      <c r="B20078"/>
      <c r="C20078"/>
      <c r="E20078"/>
      <c r="F20078"/>
    </row>
    <row r="20079" spans="1:6" x14ac:dyDescent="0.25">
      <c r="A20079"/>
      <c r="B20079"/>
      <c r="C20079"/>
      <c r="E20079"/>
      <c r="F20079"/>
    </row>
    <row r="20080" spans="1:6" x14ac:dyDescent="0.25">
      <c r="A20080"/>
      <c r="B20080"/>
      <c r="C20080"/>
      <c r="E20080"/>
      <c r="F20080"/>
    </row>
    <row r="20081" spans="1:6" x14ac:dyDescent="0.25">
      <c r="A20081"/>
      <c r="B20081"/>
      <c r="C20081"/>
      <c r="E20081"/>
      <c r="F20081"/>
    </row>
    <row r="20082" spans="1:6" x14ac:dyDescent="0.25">
      <c r="A20082"/>
      <c r="B20082"/>
      <c r="C20082"/>
      <c r="E20082"/>
      <c r="F20082"/>
    </row>
    <row r="20083" spans="1:6" x14ac:dyDescent="0.25">
      <c r="A20083"/>
      <c r="B20083"/>
      <c r="C20083"/>
      <c r="E20083"/>
      <c r="F20083"/>
    </row>
    <row r="20084" spans="1:6" x14ac:dyDescent="0.25">
      <c r="A20084"/>
      <c r="B20084"/>
      <c r="C20084"/>
      <c r="E20084"/>
      <c r="F20084"/>
    </row>
    <row r="20085" spans="1:6" x14ac:dyDescent="0.25">
      <c r="A20085"/>
      <c r="B20085"/>
      <c r="C20085"/>
      <c r="E20085"/>
      <c r="F20085"/>
    </row>
    <row r="20086" spans="1:6" x14ac:dyDescent="0.25">
      <c r="A20086"/>
      <c r="B20086"/>
      <c r="C20086"/>
      <c r="E20086"/>
      <c r="F20086"/>
    </row>
    <row r="20087" spans="1:6" x14ac:dyDescent="0.25">
      <c r="A20087"/>
      <c r="B20087"/>
      <c r="C20087"/>
      <c r="E20087"/>
      <c r="F20087"/>
    </row>
    <row r="20088" spans="1:6" x14ac:dyDescent="0.25">
      <c r="A20088"/>
      <c r="B20088"/>
      <c r="C20088"/>
      <c r="E20088"/>
      <c r="F20088"/>
    </row>
    <row r="20089" spans="1:6" x14ac:dyDescent="0.25">
      <c r="A20089"/>
      <c r="B20089"/>
      <c r="C20089"/>
      <c r="E20089"/>
      <c r="F20089"/>
    </row>
    <row r="20090" spans="1:6" x14ac:dyDescent="0.25">
      <c r="A20090"/>
      <c r="B20090"/>
      <c r="C20090"/>
      <c r="E20090"/>
      <c r="F20090"/>
    </row>
    <row r="20091" spans="1:6" x14ac:dyDescent="0.25">
      <c r="A20091"/>
      <c r="B20091"/>
      <c r="C20091"/>
      <c r="E20091"/>
      <c r="F20091"/>
    </row>
    <row r="20092" spans="1:6" x14ac:dyDescent="0.25">
      <c r="A20092"/>
      <c r="B20092"/>
      <c r="C20092"/>
      <c r="E20092"/>
      <c r="F20092"/>
    </row>
    <row r="20093" spans="1:6" x14ac:dyDescent="0.25">
      <c r="A20093"/>
      <c r="B20093"/>
      <c r="C20093"/>
      <c r="E20093"/>
      <c r="F20093"/>
    </row>
    <row r="20094" spans="1:6" x14ac:dyDescent="0.25">
      <c r="A20094"/>
      <c r="B20094"/>
      <c r="C20094"/>
      <c r="E20094"/>
      <c r="F20094"/>
    </row>
    <row r="20095" spans="1:6" x14ac:dyDescent="0.25">
      <c r="A20095"/>
      <c r="B20095"/>
      <c r="C20095"/>
      <c r="E20095"/>
      <c r="F20095"/>
    </row>
    <row r="20096" spans="1:6" x14ac:dyDescent="0.25">
      <c r="A20096"/>
      <c r="B20096"/>
      <c r="C20096"/>
      <c r="E20096"/>
      <c r="F20096"/>
    </row>
    <row r="20097" spans="1:6" x14ac:dyDescent="0.25">
      <c r="A20097"/>
      <c r="B20097"/>
      <c r="C20097"/>
      <c r="E20097"/>
      <c r="F20097"/>
    </row>
    <row r="20098" spans="1:6" x14ac:dyDescent="0.25">
      <c r="A20098"/>
      <c r="B20098"/>
      <c r="C20098"/>
      <c r="E20098"/>
      <c r="F20098"/>
    </row>
    <row r="20099" spans="1:6" x14ac:dyDescent="0.25">
      <c r="A20099"/>
      <c r="B20099"/>
      <c r="C20099"/>
      <c r="E20099"/>
      <c r="F20099"/>
    </row>
    <row r="20100" spans="1:6" x14ac:dyDescent="0.25">
      <c r="A20100"/>
      <c r="B20100"/>
      <c r="C20100"/>
      <c r="E20100"/>
      <c r="F20100"/>
    </row>
    <row r="20101" spans="1:6" x14ac:dyDescent="0.25">
      <c r="A20101"/>
      <c r="B20101"/>
      <c r="C20101"/>
      <c r="E20101"/>
      <c r="F20101"/>
    </row>
    <row r="20102" spans="1:6" x14ac:dyDescent="0.25">
      <c r="A20102"/>
      <c r="B20102"/>
      <c r="C20102"/>
      <c r="E20102"/>
      <c r="F20102"/>
    </row>
    <row r="20103" spans="1:6" x14ac:dyDescent="0.25">
      <c r="A20103"/>
      <c r="B20103"/>
      <c r="C20103"/>
      <c r="E20103"/>
      <c r="F20103"/>
    </row>
    <row r="20104" spans="1:6" x14ac:dyDescent="0.25">
      <c r="A20104"/>
      <c r="B20104"/>
      <c r="C20104"/>
      <c r="E20104"/>
      <c r="F20104"/>
    </row>
    <row r="20105" spans="1:6" x14ac:dyDescent="0.25">
      <c r="A20105"/>
      <c r="B20105"/>
      <c r="C20105"/>
      <c r="E20105"/>
      <c r="F20105"/>
    </row>
    <row r="20106" spans="1:6" x14ac:dyDescent="0.25">
      <c r="A20106"/>
      <c r="B20106"/>
      <c r="C20106"/>
      <c r="E20106"/>
      <c r="F20106"/>
    </row>
    <row r="20107" spans="1:6" x14ac:dyDescent="0.25">
      <c r="A20107"/>
      <c r="B20107"/>
      <c r="C20107"/>
      <c r="E20107"/>
      <c r="F20107"/>
    </row>
    <row r="20108" spans="1:6" x14ac:dyDescent="0.25">
      <c r="A20108"/>
      <c r="B20108"/>
      <c r="C20108"/>
      <c r="E20108"/>
      <c r="F20108"/>
    </row>
    <row r="20109" spans="1:6" x14ac:dyDescent="0.25">
      <c r="A20109"/>
      <c r="B20109"/>
      <c r="C20109"/>
      <c r="E20109"/>
      <c r="F20109"/>
    </row>
    <row r="20110" spans="1:6" x14ac:dyDescent="0.25">
      <c r="A20110"/>
      <c r="B20110"/>
      <c r="C20110"/>
      <c r="E20110"/>
      <c r="F20110"/>
    </row>
    <row r="20111" spans="1:6" x14ac:dyDescent="0.25">
      <c r="A20111"/>
      <c r="B20111"/>
      <c r="C20111"/>
      <c r="E20111"/>
      <c r="F20111"/>
    </row>
    <row r="20112" spans="1:6" x14ac:dyDescent="0.25">
      <c r="A20112"/>
      <c r="B20112"/>
      <c r="C20112"/>
      <c r="E20112"/>
      <c r="F20112"/>
    </row>
    <row r="20113" spans="1:6" x14ac:dyDescent="0.25">
      <c r="A20113"/>
      <c r="B20113"/>
      <c r="C20113"/>
      <c r="E20113"/>
      <c r="F20113"/>
    </row>
    <row r="20114" spans="1:6" x14ac:dyDescent="0.25">
      <c r="A20114"/>
      <c r="B20114"/>
      <c r="C20114"/>
      <c r="E20114"/>
      <c r="F20114"/>
    </row>
    <row r="20115" spans="1:6" x14ac:dyDescent="0.25">
      <c r="A20115"/>
      <c r="B20115"/>
      <c r="C20115"/>
      <c r="E20115"/>
      <c r="F20115"/>
    </row>
    <row r="20116" spans="1:6" x14ac:dyDescent="0.25">
      <c r="A20116"/>
      <c r="B20116"/>
      <c r="C20116"/>
      <c r="E20116"/>
      <c r="F20116"/>
    </row>
    <row r="20117" spans="1:6" x14ac:dyDescent="0.25">
      <c r="A20117"/>
      <c r="B20117"/>
      <c r="C20117"/>
      <c r="E20117"/>
      <c r="F20117"/>
    </row>
    <row r="20118" spans="1:6" x14ac:dyDescent="0.25">
      <c r="A20118"/>
      <c r="B20118"/>
      <c r="C20118"/>
      <c r="E20118"/>
      <c r="F20118"/>
    </row>
    <row r="20119" spans="1:6" x14ac:dyDescent="0.25">
      <c r="A20119"/>
      <c r="B20119"/>
      <c r="C20119"/>
      <c r="E20119"/>
      <c r="F20119"/>
    </row>
    <row r="20120" spans="1:6" x14ac:dyDescent="0.25">
      <c r="A20120"/>
      <c r="B20120"/>
      <c r="C20120"/>
      <c r="E20120"/>
      <c r="F20120"/>
    </row>
    <row r="20121" spans="1:6" x14ac:dyDescent="0.25">
      <c r="A20121"/>
      <c r="B20121"/>
      <c r="C20121"/>
      <c r="E20121"/>
      <c r="F20121"/>
    </row>
    <row r="20122" spans="1:6" x14ac:dyDescent="0.25">
      <c r="A20122"/>
      <c r="B20122"/>
      <c r="C20122"/>
      <c r="E20122"/>
      <c r="F20122"/>
    </row>
    <row r="20123" spans="1:6" x14ac:dyDescent="0.25">
      <c r="A20123"/>
      <c r="B20123"/>
      <c r="C20123"/>
      <c r="E20123"/>
      <c r="F20123"/>
    </row>
    <row r="20124" spans="1:6" x14ac:dyDescent="0.25">
      <c r="A20124"/>
      <c r="B20124"/>
      <c r="C20124"/>
      <c r="E20124"/>
      <c r="F20124"/>
    </row>
    <row r="20125" spans="1:6" x14ac:dyDescent="0.25">
      <c r="A20125"/>
      <c r="B20125"/>
      <c r="C20125"/>
      <c r="E20125"/>
      <c r="F20125"/>
    </row>
    <row r="20126" spans="1:6" x14ac:dyDescent="0.25">
      <c r="A20126"/>
      <c r="B20126"/>
      <c r="C20126"/>
      <c r="E20126"/>
      <c r="F20126"/>
    </row>
    <row r="20127" spans="1:6" x14ac:dyDescent="0.25">
      <c r="A20127"/>
      <c r="B20127"/>
      <c r="C20127"/>
      <c r="E20127"/>
      <c r="F20127"/>
    </row>
    <row r="20128" spans="1:6" x14ac:dyDescent="0.25">
      <c r="A20128"/>
      <c r="B20128"/>
      <c r="C20128"/>
      <c r="E20128"/>
      <c r="F20128"/>
    </row>
    <row r="20129" spans="1:6" x14ac:dyDescent="0.25">
      <c r="A20129"/>
      <c r="B20129"/>
      <c r="C20129"/>
      <c r="E20129"/>
      <c r="F20129"/>
    </row>
    <row r="20130" spans="1:6" x14ac:dyDescent="0.25">
      <c r="A20130"/>
      <c r="B20130"/>
      <c r="C20130"/>
      <c r="E20130"/>
      <c r="F20130"/>
    </row>
    <row r="20131" spans="1:6" x14ac:dyDescent="0.25">
      <c r="A20131"/>
      <c r="B20131"/>
      <c r="C20131"/>
      <c r="E20131"/>
      <c r="F20131"/>
    </row>
    <row r="20132" spans="1:6" x14ac:dyDescent="0.25">
      <c r="A20132"/>
      <c r="B20132"/>
      <c r="C20132"/>
      <c r="E20132"/>
      <c r="F20132"/>
    </row>
    <row r="20133" spans="1:6" x14ac:dyDescent="0.25">
      <c r="A20133"/>
      <c r="B20133"/>
      <c r="C20133"/>
      <c r="E20133"/>
      <c r="F20133"/>
    </row>
    <row r="20134" spans="1:6" x14ac:dyDescent="0.25">
      <c r="A20134"/>
      <c r="B20134"/>
      <c r="C20134"/>
      <c r="E20134"/>
      <c r="F20134"/>
    </row>
    <row r="20135" spans="1:6" x14ac:dyDescent="0.25">
      <c r="A20135"/>
      <c r="B20135"/>
      <c r="C20135"/>
      <c r="E20135"/>
      <c r="F20135"/>
    </row>
    <row r="20136" spans="1:6" x14ac:dyDescent="0.25">
      <c r="A20136"/>
      <c r="B20136"/>
      <c r="C20136"/>
      <c r="E20136"/>
      <c r="F20136"/>
    </row>
    <row r="20137" spans="1:6" x14ac:dyDescent="0.25">
      <c r="A20137"/>
      <c r="B20137"/>
      <c r="C20137"/>
      <c r="E20137"/>
      <c r="F20137"/>
    </row>
    <row r="20138" spans="1:6" x14ac:dyDescent="0.25">
      <c r="A20138"/>
      <c r="B20138"/>
      <c r="C20138"/>
      <c r="E20138"/>
      <c r="F20138"/>
    </row>
    <row r="20139" spans="1:6" x14ac:dyDescent="0.25">
      <c r="A20139"/>
      <c r="B20139"/>
      <c r="C20139"/>
      <c r="E20139"/>
      <c r="F20139"/>
    </row>
    <row r="20140" spans="1:6" x14ac:dyDescent="0.25">
      <c r="A20140"/>
      <c r="B20140"/>
      <c r="C20140"/>
      <c r="E20140"/>
      <c r="F20140"/>
    </row>
    <row r="20141" spans="1:6" x14ac:dyDescent="0.25">
      <c r="A20141"/>
      <c r="B20141"/>
      <c r="C20141"/>
      <c r="E20141"/>
      <c r="F20141"/>
    </row>
    <row r="20142" spans="1:6" x14ac:dyDescent="0.25">
      <c r="A20142"/>
      <c r="B20142"/>
      <c r="C20142"/>
      <c r="E20142"/>
      <c r="F20142"/>
    </row>
    <row r="20143" spans="1:6" x14ac:dyDescent="0.25">
      <c r="A20143"/>
      <c r="B20143"/>
      <c r="C20143"/>
      <c r="E20143"/>
      <c r="F20143"/>
    </row>
    <row r="20144" spans="1:6" x14ac:dyDescent="0.25">
      <c r="A20144"/>
      <c r="B20144"/>
      <c r="C20144"/>
      <c r="E20144"/>
      <c r="F20144"/>
    </row>
    <row r="20145" spans="1:6" x14ac:dyDescent="0.25">
      <c r="A20145"/>
      <c r="B20145"/>
      <c r="C20145"/>
      <c r="E20145"/>
      <c r="F20145"/>
    </row>
    <row r="20146" spans="1:6" x14ac:dyDescent="0.25">
      <c r="A20146"/>
      <c r="B20146"/>
      <c r="C20146"/>
      <c r="E20146"/>
      <c r="F20146"/>
    </row>
    <row r="20147" spans="1:6" x14ac:dyDescent="0.25">
      <c r="A20147"/>
      <c r="B20147"/>
      <c r="C20147"/>
      <c r="E20147"/>
      <c r="F20147"/>
    </row>
    <row r="20148" spans="1:6" x14ac:dyDescent="0.25">
      <c r="A20148"/>
      <c r="B20148"/>
      <c r="C20148"/>
      <c r="E20148"/>
      <c r="F20148"/>
    </row>
    <row r="20149" spans="1:6" x14ac:dyDescent="0.25">
      <c r="A20149"/>
      <c r="B20149"/>
      <c r="C20149"/>
      <c r="E20149"/>
      <c r="F20149"/>
    </row>
    <row r="20150" spans="1:6" x14ac:dyDescent="0.25">
      <c r="A20150"/>
      <c r="B20150"/>
      <c r="C20150"/>
      <c r="E20150"/>
      <c r="F20150"/>
    </row>
    <row r="20151" spans="1:6" x14ac:dyDescent="0.25">
      <c r="A20151"/>
      <c r="B20151"/>
      <c r="C20151"/>
      <c r="E20151"/>
      <c r="F20151"/>
    </row>
    <row r="20152" spans="1:6" x14ac:dyDescent="0.25">
      <c r="A20152"/>
      <c r="B20152"/>
      <c r="C20152"/>
      <c r="E20152"/>
      <c r="F20152"/>
    </row>
    <row r="20153" spans="1:6" x14ac:dyDescent="0.25">
      <c r="A20153"/>
      <c r="B20153"/>
      <c r="C20153"/>
      <c r="E20153"/>
      <c r="F20153"/>
    </row>
    <row r="20154" spans="1:6" x14ac:dyDescent="0.25">
      <c r="A20154"/>
      <c r="B20154"/>
      <c r="C20154"/>
      <c r="E20154"/>
      <c r="F20154"/>
    </row>
    <row r="20155" spans="1:6" x14ac:dyDescent="0.25">
      <c r="A20155"/>
      <c r="B20155"/>
      <c r="C20155"/>
      <c r="E20155"/>
      <c r="F20155"/>
    </row>
    <row r="20156" spans="1:6" x14ac:dyDescent="0.25">
      <c r="A20156"/>
      <c r="B20156"/>
      <c r="C20156"/>
      <c r="E20156"/>
      <c r="F20156"/>
    </row>
    <row r="20157" spans="1:6" x14ac:dyDescent="0.25">
      <c r="A20157"/>
      <c r="B20157"/>
      <c r="C20157"/>
      <c r="E20157"/>
      <c r="F20157"/>
    </row>
    <row r="20158" spans="1:6" x14ac:dyDescent="0.25">
      <c r="A20158"/>
      <c r="B20158"/>
      <c r="C20158"/>
      <c r="E20158"/>
      <c r="F20158"/>
    </row>
    <row r="20159" spans="1:6" x14ac:dyDescent="0.25">
      <c r="A20159"/>
      <c r="B20159"/>
      <c r="C20159"/>
      <c r="E20159"/>
      <c r="F20159"/>
    </row>
    <row r="20160" spans="1:6" x14ac:dyDescent="0.25">
      <c r="A20160"/>
      <c r="B20160"/>
      <c r="C20160"/>
      <c r="E20160"/>
      <c r="F20160"/>
    </row>
    <row r="20161" spans="1:6" x14ac:dyDescent="0.25">
      <c r="A20161"/>
      <c r="B20161"/>
      <c r="C20161"/>
      <c r="E20161"/>
      <c r="F20161"/>
    </row>
    <row r="20162" spans="1:6" x14ac:dyDescent="0.25">
      <c r="A20162"/>
      <c r="B20162"/>
      <c r="C20162"/>
      <c r="E20162"/>
      <c r="F20162"/>
    </row>
    <row r="20163" spans="1:6" x14ac:dyDescent="0.25">
      <c r="A20163"/>
      <c r="B20163"/>
      <c r="C20163"/>
      <c r="E20163"/>
      <c r="F20163"/>
    </row>
    <row r="20164" spans="1:6" x14ac:dyDescent="0.25">
      <c r="A20164"/>
      <c r="B20164"/>
      <c r="C20164"/>
      <c r="E20164"/>
      <c r="F20164"/>
    </row>
    <row r="20165" spans="1:6" x14ac:dyDescent="0.25">
      <c r="A20165"/>
      <c r="B20165"/>
      <c r="C20165"/>
      <c r="E20165"/>
      <c r="F20165"/>
    </row>
    <row r="20166" spans="1:6" x14ac:dyDescent="0.25">
      <c r="A20166"/>
      <c r="B20166"/>
      <c r="C20166"/>
      <c r="E20166"/>
      <c r="F20166"/>
    </row>
    <row r="20167" spans="1:6" x14ac:dyDescent="0.25">
      <c r="A20167"/>
      <c r="B20167"/>
      <c r="C20167"/>
      <c r="E20167"/>
      <c r="F20167"/>
    </row>
    <row r="20168" spans="1:6" x14ac:dyDescent="0.25">
      <c r="A20168"/>
      <c r="B20168"/>
      <c r="C20168"/>
      <c r="E20168"/>
      <c r="F20168"/>
    </row>
    <row r="20169" spans="1:6" x14ac:dyDescent="0.25">
      <c r="A20169"/>
      <c r="B20169"/>
      <c r="C20169"/>
      <c r="E20169"/>
      <c r="F20169"/>
    </row>
    <row r="20170" spans="1:6" x14ac:dyDescent="0.25">
      <c r="A20170"/>
      <c r="B20170"/>
      <c r="C20170"/>
      <c r="E20170"/>
      <c r="F20170"/>
    </row>
    <row r="20171" spans="1:6" x14ac:dyDescent="0.25">
      <c r="A20171"/>
      <c r="B20171"/>
      <c r="C20171"/>
      <c r="E20171"/>
      <c r="F20171"/>
    </row>
    <row r="20172" spans="1:6" x14ac:dyDescent="0.25">
      <c r="A20172"/>
      <c r="B20172"/>
      <c r="C20172"/>
      <c r="E20172"/>
      <c r="F20172"/>
    </row>
    <row r="20173" spans="1:6" x14ac:dyDescent="0.25">
      <c r="A20173"/>
      <c r="B20173"/>
      <c r="C20173"/>
      <c r="E20173"/>
      <c r="F20173"/>
    </row>
    <row r="20174" spans="1:6" x14ac:dyDescent="0.25">
      <c r="A20174"/>
      <c r="B20174"/>
      <c r="C20174"/>
      <c r="E20174"/>
      <c r="F20174"/>
    </row>
    <row r="20175" spans="1:6" x14ac:dyDescent="0.25">
      <c r="A20175"/>
      <c r="B20175"/>
      <c r="C20175"/>
      <c r="E20175"/>
      <c r="F20175"/>
    </row>
    <row r="20176" spans="1:6" x14ac:dyDescent="0.25">
      <c r="A20176"/>
      <c r="B20176"/>
      <c r="C20176"/>
      <c r="E20176"/>
      <c r="F20176"/>
    </row>
    <row r="20177" spans="1:6" x14ac:dyDescent="0.25">
      <c r="A20177"/>
      <c r="B20177"/>
      <c r="C20177"/>
      <c r="E20177"/>
      <c r="F20177"/>
    </row>
    <row r="20178" spans="1:6" x14ac:dyDescent="0.25">
      <c r="A20178"/>
      <c r="B20178"/>
      <c r="C20178"/>
      <c r="E20178"/>
      <c r="F20178"/>
    </row>
    <row r="20179" spans="1:6" x14ac:dyDescent="0.25">
      <c r="A20179"/>
      <c r="B20179"/>
      <c r="C20179"/>
      <c r="E20179"/>
      <c r="F20179"/>
    </row>
    <row r="20180" spans="1:6" x14ac:dyDescent="0.25">
      <c r="A20180"/>
      <c r="B20180"/>
      <c r="C20180"/>
      <c r="E20180"/>
      <c r="F20180"/>
    </row>
    <row r="20181" spans="1:6" x14ac:dyDescent="0.25">
      <c r="A20181"/>
      <c r="B20181"/>
      <c r="C20181"/>
      <c r="E20181"/>
      <c r="F20181"/>
    </row>
    <row r="20182" spans="1:6" x14ac:dyDescent="0.25">
      <c r="A20182"/>
      <c r="B20182"/>
      <c r="C20182"/>
      <c r="E20182"/>
      <c r="F20182"/>
    </row>
    <row r="20183" spans="1:6" x14ac:dyDescent="0.25">
      <c r="A20183"/>
      <c r="B20183"/>
      <c r="C20183"/>
      <c r="E20183"/>
      <c r="F20183"/>
    </row>
    <row r="20184" spans="1:6" x14ac:dyDescent="0.25">
      <c r="A20184"/>
      <c r="B20184"/>
      <c r="C20184"/>
      <c r="E20184"/>
      <c r="F20184"/>
    </row>
    <row r="20185" spans="1:6" x14ac:dyDescent="0.25">
      <c r="A20185"/>
      <c r="B20185"/>
      <c r="C20185"/>
      <c r="E20185"/>
      <c r="F20185"/>
    </row>
    <row r="20186" spans="1:6" x14ac:dyDescent="0.25">
      <c r="A20186"/>
      <c r="B20186"/>
      <c r="C20186"/>
      <c r="E20186"/>
      <c r="F20186"/>
    </row>
    <row r="20187" spans="1:6" x14ac:dyDescent="0.25">
      <c r="A20187"/>
      <c r="B20187"/>
      <c r="C20187"/>
      <c r="E20187"/>
      <c r="F20187"/>
    </row>
    <row r="20188" spans="1:6" x14ac:dyDescent="0.25">
      <c r="A20188"/>
      <c r="B20188"/>
      <c r="C20188"/>
      <c r="E20188"/>
      <c r="F20188"/>
    </row>
    <row r="20189" spans="1:6" x14ac:dyDescent="0.25">
      <c r="A20189"/>
      <c r="B20189"/>
      <c r="C20189"/>
      <c r="E20189"/>
      <c r="F20189"/>
    </row>
    <row r="20190" spans="1:6" x14ac:dyDescent="0.25">
      <c r="A20190"/>
      <c r="B20190"/>
      <c r="C20190"/>
      <c r="E20190"/>
      <c r="F20190"/>
    </row>
    <row r="20191" spans="1:6" x14ac:dyDescent="0.25">
      <c r="A20191"/>
      <c r="B20191"/>
      <c r="C20191"/>
      <c r="E20191"/>
      <c r="F20191"/>
    </row>
    <row r="20192" spans="1:6" x14ac:dyDescent="0.25">
      <c r="A20192"/>
      <c r="B20192"/>
      <c r="C20192"/>
      <c r="E20192"/>
      <c r="F20192"/>
    </row>
    <row r="20193" spans="1:6" x14ac:dyDescent="0.25">
      <c r="A20193"/>
      <c r="B20193"/>
      <c r="C20193"/>
      <c r="E20193"/>
      <c r="F20193"/>
    </row>
    <row r="20194" spans="1:6" x14ac:dyDescent="0.25">
      <c r="A20194"/>
      <c r="B20194"/>
      <c r="C20194"/>
      <c r="E20194"/>
      <c r="F20194"/>
    </row>
    <row r="20195" spans="1:6" x14ac:dyDescent="0.25">
      <c r="A20195"/>
      <c r="B20195"/>
      <c r="C20195"/>
      <c r="E20195"/>
      <c r="F20195"/>
    </row>
    <row r="20196" spans="1:6" x14ac:dyDescent="0.25">
      <c r="A20196"/>
      <c r="B20196"/>
      <c r="C20196"/>
      <c r="E20196"/>
      <c r="F20196"/>
    </row>
    <row r="20197" spans="1:6" x14ac:dyDescent="0.25">
      <c r="A20197"/>
      <c r="B20197"/>
      <c r="C20197"/>
      <c r="E20197"/>
      <c r="F20197"/>
    </row>
    <row r="20198" spans="1:6" x14ac:dyDescent="0.25">
      <c r="A20198"/>
      <c r="B20198"/>
      <c r="C20198"/>
      <c r="E20198"/>
      <c r="F20198"/>
    </row>
    <row r="20199" spans="1:6" x14ac:dyDescent="0.25">
      <c r="A20199"/>
      <c r="B20199"/>
      <c r="C20199"/>
      <c r="E20199"/>
      <c r="F20199"/>
    </row>
    <row r="20200" spans="1:6" x14ac:dyDescent="0.25">
      <c r="A20200"/>
      <c r="B20200"/>
      <c r="C20200"/>
      <c r="E20200"/>
      <c r="F20200"/>
    </row>
    <row r="20201" spans="1:6" x14ac:dyDescent="0.25">
      <c r="A20201"/>
      <c r="B20201"/>
      <c r="C20201"/>
      <c r="E20201"/>
      <c r="F20201"/>
    </row>
    <row r="20202" spans="1:6" x14ac:dyDescent="0.25">
      <c r="A20202"/>
      <c r="B20202"/>
      <c r="C20202"/>
      <c r="E20202"/>
      <c r="F20202"/>
    </row>
    <row r="20203" spans="1:6" x14ac:dyDescent="0.25">
      <c r="A20203"/>
      <c r="B20203"/>
      <c r="C20203"/>
      <c r="E20203"/>
      <c r="F20203"/>
    </row>
    <row r="20204" spans="1:6" x14ac:dyDescent="0.25">
      <c r="A20204"/>
      <c r="B20204"/>
      <c r="C20204"/>
      <c r="E20204"/>
      <c r="F20204"/>
    </row>
    <row r="20205" spans="1:6" x14ac:dyDescent="0.25">
      <c r="A20205"/>
      <c r="B20205"/>
      <c r="C20205"/>
      <c r="E20205"/>
      <c r="F20205"/>
    </row>
    <row r="20206" spans="1:6" x14ac:dyDescent="0.25">
      <c r="A20206"/>
      <c r="B20206"/>
      <c r="C20206"/>
      <c r="E20206"/>
      <c r="F20206"/>
    </row>
    <row r="20207" spans="1:6" x14ac:dyDescent="0.25">
      <c r="A20207"/>
      <c r="B20207"/>
      <c r="C20207"/>
      <c r="E20207"/>
      <c r="F20207"/>
    </row>
    <row r="20208" spans="1:6" x14ac:dyDescent="0.25">
      <c r="A20208"/>
      <c r="B20208"/>
      <c r="C20208"/>
      <c r="E20208"/>
      <c r="F20208"/>
    </row>
    <row r="20209" spans="1:6" x14ac:dyDescent="0.25">
      <c r="A20209"/>
      <c r="B20209"/>
      <c r="C20209"/>
      <c r="E20209"/>
      <c r="F20209"/>
    </row>
    <row r="20210" spans="1:6" x14ac:dyDescent="0.25">
      <c r="A20210"/>
      <c r="B20210"/>
      <c r="C20210"/>
      <c r="E20210"/>
      <c r="F20210"/>
    </row>
    <row r="20211" spans="1:6" x14ac:dyDescent="0.25">
      <c r="A20211"/>
      <c r="B20211"/>
      <c r="C20211"/>
      <c r="E20211"/>
      <c r="F20211"/>
    </row>
    <row r="20212" spans="1:6" x14ac:dyDescent="0.25">
      <c r="A20212"/>
      <c r="B20212"/>
      <c r="C20212"/>
      <c r="E20212"/>
      <c r="F20212"/>
    </row>
    <row r="20213" spans="1:6" x14ac:dyDescent="0.25">
      <c r="A20213"/>
      <c r="B20213"/>
      <c r="C20213"/>
      <c r="E20213"/>
      <c r="F20213"/>
    </row>
    <row r="20214" spans="1:6" x14ac:dyDescent="0.25">
      <c r="A20214"/>
      <c r="B20214"/>
      <c r="C20214"/>
      <c r="E20214"/>
      <c r="F20214"/>
    </row>
    <row r="20215" spans="1:6" x14ac:dyDescent="0.25">
      <c r="A20215"/>
      <c r="B20215"/>
      <c r="C20215"/>
      <c r="E20215"/>
      <c r="F20215"/>
    </row>
    <row r="20216" spans="1:6" x14ac:dyDescent="0.25">
      <c r="A20216"/>
      <c r="B20216"/>
      <c r="C20216"/>
      <c r="E20216"/>
      <c r="F20216"/>
    </row>
    <row r="20217" spans="1:6" x14ac:dyDescent="0.25">
      <c r="A20217"/>
      <c r="B20217"/>
      <c r="C20217"/>
      <c r="E20217"/>
      <c r="F20217"/>
    </row>
    <row r="20218" spans="1:6" x14ac:dyDescent="0.25">
      <c r="A20218"/>
      <c r="B20218"/>
      <c r="C20218"/>
      <c r="E20218"/>
      <c r="F20218"/>
    </row>
    <row r="20219" spans="1:6" x14ac:dyDescent="0.25">
      <c r="A20219"/>
      <c r="B20219"/>
      <c r="C20219"/>
      <c r="E20219"/>
      <c r="F20219"/>
    </row>
    <row r="20220" spans="1:6" x14ac:dyDescent="0.25">
      <c r="A20220"/>
      <c r="B20220"/>
      <c r="C20220"/>
      <c r="E20220"/>
      <c r="F20220"/>
    </row>
    <row r="20221" spans="1:6" x14ac:dyDescent="0.25">
      <c r="A20221"/>
      <c r="B20221"/>
      <c r="C20221"/>
      <c r="E20221"/>
      <c r="F20221"/>
    </row>
    <row r="20222" spans="1:6" x14ac:dyDescent="0.25">
      <c r="A20222"/>
      <c r="B20222"/>
      <c r="C20222"/>
      <c r="E20222"/>
      <c r="F20222"/>
    </row>
    <row r="20223" spans="1:6" x14ac:dyDescent="0.25">
      <c r="A20223"/>
      <c r="B20223"/>
      <c r="C20223"/>
      <c r="E20223"/>
      <c r="F20223"/>
    </row>
    <row r="20224" spans="1:6" x14ac:dyDescent="0.25">
      <c r="A20224"/>
      <c r="B20224"/>
      <c r="C20224"/>
      <c r="E20224"/>
      <c r="F20224"/>
    </row>
    <row r="20225" spans="1:6" x14ac:dyDescent="0.25">
      <c r="A20225"/>
      <c r="B20225"/>
      <c r="C20225"/>
      <c r="E20225"/>
      <c r="F20225"/>
    </row>
    <row r="20226" spans="1:6" x14ac:dyDescent="0.25">
      <c r="A20226"/>
      <c r="B20226"/>
      <c r="C20226"/>
      <c r="E20226"/>
      <c r="F20226"/>
    </row>
    <row r="20227" spans="1:6" x14ac:dyDescent="0.25">
      <c r="A20227"/>
      <c r="B20227"/>
      <c r="C20227"/>
      <c r="E20227"/>
      <c r="F20227"/>
    </row>
    <row r="20228" spans="1:6" x14ac:dyDescent="0.25">
      <c r="A20228"/>
      <c r="B20228"/>
      <c r="C20228"/>
      <c r="E20228"/>
      <c r="F20228"/>
    </row>
    <row r="20229" spans="1:6" x14ac:dyDescent="0.25">
      <c r="A20229"/>
      <c r="B20229"/>
      <c r="C20229"/>
      <c r="E20229"/>
      <c r="F20229"/>
    </row>
    <row r="20230" spans="1:6" x14ac:dyDescent="0.25">
      <c r="A20230"/>
      <c r="B20230"/>
      <c r="C20230"/>
      <c r="E20230"/>
      <c r="F20230"/>
    </row>
    <row r="20231" spans="1:6" x14ac:dyDescent="0.25">
      <c r="A20231"/>
      <c r="B20231"/>
      <c r="C20231"/>
      <c r="E20231"/>
      <c r="F20231"/>
    </row>
    <row r="20232" spans="1:6" x14ac:dyDescent="0.25">
      <c r="A20232"/>
      <c r="B20232"/>
      <c r="C20232"/>
      <c r="E20232"/>
      <c r="F20232"/>
    </row>
    <row r="20233" spans="1:6" x14ac:dyDescent="0.25">
      <c r="A20233"/>
      <c r="B20233"/>
      <c r="C20233"/>
      <c r="E20233"/>
      <c r="F20233"/>
    </row>
    <row r="20234" spans="1:6" x14ac:dyDescent="0.25">
      <c r="A20234"/>
      <c r="B20234"/>
      <c r="C20234"/>
      <c r="E20234"/>
      <c r="F20234"/>
    </row>
    <row r="20235" spans="1:6" x14ac:dyDescent="0.25">
      <c r="A20235"/>
      <c r="B20235"/>
      <c r="C20235"/>
      <c r="E20235"/>
      <c r="F20235"/>
    </row>
    <row r="20236" spans="1:6" x14ac:dyDescent="0.25">
      <c r="A20236"/>
      <c r="B20236"/>
      <c r="C20236"/>
      <c r="E20236"/>
      <c r="F20236"/>
    </row>
    <row r="20237" spans="1:6" x14ac:dyDescent="0.25">
      <c r="A20237"/>
      <c r="B20237"/>
      <c r="C20237"/>
      <c r="E20237"/>
      <c r="F20237"/>
    </row>
    <row r="20238" spans="1:6" x14ac:dyDescent="0.25">
      <c r="A20238"/>
      <c r="B20238"/>
      <c r="C20238"/>
      <c r="E20238"/>
      <c r="F20238"/>
    </row>
    <row r="20239" spans="1:6" x14ac:dyDescent="0.25">
      <c r="A20239"/>
      <c r="B20239"/>
      <c r="C20239"/>
      <c r="E20239"/>
      <c r="F20239"/>
    </row>
    <row r="20240" spans="1:6" x14ac:dyDescent="0.25">
      <c r="A20240"/>
      <c r="B20240"/>
      <c r="C20240"/>
      <c r="E20240"/>
      <c r="F20240"/>
    </row>
    <row r="20241" spans="1:6" x14ac:dyDescent="0.25">
      <c r="A20241"/>
      <c r="B20241"/>
      <c r="C20241"/>
      <c r="E20241"/>
      <c r="F20241"/>
    </row>
    <row r="20242" spans="1:6" x14ac:dyDescent="0.25">
      <c r="A20242"/>
      <c r="B20242"/>
      <c r="C20242"/>
      <c r="E20242"/>
      <c r="F20242"/>
    </row>
    <row r="20243" spans="1:6" x14ac:dyDescent="0.25">
      <c r="A20243"/>
      <c r="B20243"/>
      <c r="C20243"/>
      <c r="E20243"/>
      <c r="F20243"/>
    </row>
    <row r="20244" spans="1:6" x14ac:dyDescent="0.25">
      <c r="A20244"/>
      <c r="B20244"/>
      <c r="C20244"/>
      <c r="E20244"/>
      <c r="F20244"/>
    </row>
    <row r="20245" spans="1:6" x14ac:dyDescent="0.25">
      <c r="A20245"/>
      <c r="B20245"/>
      <c r="C20245"/>
      <c r="E20245"/>
      <c r="F20245"/>
    </row>
    <row r="20246" spans="1:6" x14ac:dyDescent="0.25">
      <c r="A20246"/>
      <c r="B20246"/>
      <c r="C20246"/>
      <c r="E20246"/>
      <c r="F20246"/>
    </row>
    <row r="20247" spans="1:6" x14ac:dyDescent="0.25">
      <c r="A20247"/>
      <c r="B20247"/>
      <c r="C20247"/>
      <c r="E20247"/>
      <c r="F20247"/>
    </row>
    <row r="20248" spans="1:6" x14ac:dyDescent="0.25">
      <c r="A20248"/>
      <c r="B20248"/>
      <c r="C20248"/>
      <c r="E20248"/>
      <c r="F20248"/>
    </row>
    <row r="20249" spans="1:6" x14ac:dyDescent="0.25">
      <c r="A20249"/>
      <c r="B20249"/>
      <c r="C20249"/>
      <c r="E20249"/>
      <c r="F20249"/>
    </row>
    <row r="20250" spans="1:6" x14ac:dyDescent="0.25">
      <c r="A20250"/>
      <c r="B20250"/>
      <c r="C20250"/>
      <c r="E20250"/>
      <c r="F20250"/>
    </row>
    <row r="20251" spans="1:6" x14ac:dyDescent="0.25">
      <c r="A20251"/>
      <c r="B20251"/>
      <c r="C20251"/>
      <c r="E20251"/>
      <c r="F20251"/>
    </row>
    <row r="20252" spans="1:6" x14ac:dyDescent="0.25">
      <c r="A20252"/>
      <c r="B20252"/>
      <c r="C20252"/>
      <c r="E20252"/>
      <c r="F20252"/>
    </row>
    <row r="20253" spans="1:6" x14ac:dyDescent="0.25">
      <c r="A20253"/>
      <c r="B20253"/>
      <c r="C20253"/>
      <c r="E20253"/>
      <c r="F20253"/>
    </row>
    <row r="20254" spans="1:6" x14ac:dyDescent="0.25">
      <c r="A20254"/>
      <c r="B20254"/>
      <c r="C20254"/>
      <c r="E20254"/>
      <c r="F20254"/>
    </row>
    <row r="20255" spans="1:6" x14ac:dyDescent="0.25">
      <c r="A20255"/>
      <c r="B20255"/>
      <c r="C20255"/>
      <c r="E20255"/>
      <c r="F20255"/>
    </row>
    <row r="20256" spans="1:6" x14ac:dyDescent="0.25">
      <c r="A20256"/>
      <c r="B20256"/>
      <c r="C20256"/>
      <c r="E20256"/>
      <c r="F20256"/>
    </row>
    <row r="20257" spans="1:6" x14ac:dyDescent="0.25">
      <c r="A20257"/>
      <c r="B20257"/>
      <c r="C20257"/>
      <c r="E20257"/>
      <c r="F20257"/>
    </row>
    <row r="20258" spans="1:6" x14ac:dyDescent="0.25">
      <c r="A20258"/>
      <c r="B20258"/>
      <c r="C20258"/>
      <c r="E20258"/>
      <c r="F20258"/>
    </row>
    <row r="20259" spans="1:6" x14ac:dyDescent="0.25">
      <c r="A20259"/>
      <c r="B20259"/>
      <c r="C20259"/>
      <c r="E20259"/>
      <c r="F20259"/>
    </row>
    <row r="20260" spans="1:6" x14ac:dyDescent="0.25">
      <c r="A20260"/>
      <c r="B20260"/>
      <c r="C20260"/>
      <c r="E20260"/>
      <c r="F20260"/>
    </row>
    <row r="20261" spans="1:6" x14ac:dyDescent="0.25">
      <c r="A20261"/>
      <c r="B20261"/>
      <c r="C20261"/>
      <c r="E20261"/>
      <c r="F20261"/>
    </row>
    <row r="20262" spans="1:6" x14ac:dyDescent="0.25">
      <c r="A20262"/>
      <c r="B20262"/>
      <c r="C20262"/>
      <c r="E20262"/>
      <c r="F20262"/>
    </row>
    <row r="20263" spans="1:6" x14ac:dyDescent="0.25">
      <c r="A20263"/>
      <c r="B20263"/>
      <c r="C20263"/>
      <c r="E20263"/>
      <c r="F20263"/>
    </row>
    <row r="20264" spans="1:6" x14ac:dyDescent="0.25">
      <c r="A20264"/>
      <c r="B20264"/>
      <c r="C20264"/>
      <c r="E20264"/>
      <c r="F20264"/>
    </row>
    <row r="20265" spans="1:6" x14ac:dyDescent="0.25">
      <c r="A20265"/>
      <c r="B20265"/>
      <c r="C20265"/>
      <c r="E20265"/>
      <c r="F20265"/>
    </row>
    <row r="20266" spans="1:6" x14ac:dyDescent="0.25">
      <c r="A20266"/>
      <c r="B20266"/>
      <c r="C20266"/>
      <c r="E20266"/>
      <c r="F20266"/>
    </row>
    <row r="20267" spans="1:6" x14ac:dyDescent="0.25">
      <c r="A20267"/>
      <c r="B20267"/>
      <c r="C20267"/>
      <c r="E20267"/>
      <c r="F20267"/>
    </row>
    <row r="20268" spans="1:6" x14ac:dyDescent="0.25">
      <c r="A20268"/>
      <c r="B20268"/>
      <c r="C20268"/>
      <c r="E20268"/>
      <c r="F20268"/>
    </row>
    <row r="20269" spans="1:6" x14ac:dyDescent="0.25">
      <c r="A20269"/>
      <c r="B20269"/>
      <c r="C20269"/>
      <c r="E20269"/>
      <c r="F20269"/>
    </row>
    <row r="20270" spans="1:6" x14ac:dyDescent="0.25">
      <c r="A20270"/>
      <c r="B20270"/>
      <c r="C20270"/>
      <c r="E20270"/>
      <c r="F20270"/>
    </row>
    <row r="20271" spans="1:6" x14ac:dyDescent="0.25">
      <c r="A20271"/>
      <c r="B20271"/>
      <c r="C20271"/>
      <c r="E20271"/>
      <c r="F20271"/>
    </row>
    <row r="20272" spans="1:6" x14ac:dyDescent="0.25">
      <c r="A20272"/>
      <c r="B20272"/>
      <c r="C20272"/>
      <c r="E20272"/>
      <c r="F20272"/>
    </row>
    <row r="20273" spans="1:6" x14ac:dyDescent="0.25">
      <c r="A20273"/>
      <c r="B20273"/>
      <c r="C20273"/>
      <c r="E20273"/>
      <c r="F20273"/>
    </row>
    <row r="20274" spans="1:6" x14ac:dyDescent="0.25">
      <c r="A20274"/>
      <c r="B20274"/>
      <c r="C20274"/>
      <c r="E20274"/>
      <c r="F20274"/>
    </row>
    <row r="20275" spans="1:6" x14ac:dyDescent="0.25">
      <c r="A20275"/>
      <c r="B20275"/>
      <c r="C20275"/>
      <c r="E20275"/>
      <c r="F20275"/>
    </row>
    <row r="20276" spans="1:6" x14ac:dyDescent="0.25">
      <c r="A20276"/>
      <c r="B20276"/>
      <c r="C20276"/>
      <c r="E20276"/>
      <c r="F20276"/>
    </row>
    <row r="20277" spans="1:6" x14ac:dyDescent="0.25">
      <c r="A20277"/>
      <c r="B20277"/>
      <c r="C20277"/>
      <c r="E20277"/>
      <c r="F20277"/>
    </row>
    <row r="20278" spans="1:6" x14ac:dyDescent="0.25">
      <c r="A20278"/>
      <c r="B20278"/>
      <c r="C20278"/>
      <c r="E20278"/>
      <c r="F20278"/>
    </row>
    <row r="20279" spans="1:6" x14ac:dyDescent="0.25">
      <c r="A20279"/>
      <c r="B20279"/>
      <c r="C20279"/>
      <c r="E20279"/>
      <c r="F20279"/>
    </row>
    <row r="20280" spans="1:6" x14ac:dyDescent="0.25">
      <c r="A20280"/>
      <c r="B20280"/>
      <c r="C20280"/>
      <c r="E20280"/>
      <c r="F20280"/>
    </row>
    <row r="20281" spans="1:6" x14ac:dyDescent="0.25">
      <c r="A20281"/>
      <c r="B20281"/>
      <c r="C20281"/>
      <c r="E20281"/>
      <c r="F20281"/>
    </row>
    <row r="20282" spans="1:6" x14ac:dyDescent="0.25">
      <c r="A20282"/>
      <c r="B20282"/>
      <c r="C20282"/>
      <c r="E20282"/>
      <c r="F20282"/>
    </row>
    <row r="20283" spans="1:6" x14ac:dyDescent="0.25">
      <c r="A20283"/>
      <c r="B20283"/>
      <c r="C20283"/>
      <c r="E20283"/>
      <c r="F20283"/>
    </row>
    <row r="20284" spans="1:6" x14ac:dyDescent="0.25">
      <c r="A20284"/>
      <c r="B20284"/>
      <c r="C20284"/>
      <c r="E20284"/>
      <c r="F20284"/>
    </row>
    <row r="20285" spans="1:6" x14ac:dyDescent="0.25">
      <c r="A20285"/>
      <c r="B20285"/>
      <c r="C20285"/>
      <c r="E20285"/>
      <c r="F20285"/>
    </row>
    <row r="20286" spans="1:6" x14ac:dyDescent="0.25">
      <c r="A20286"/>
      <c r="B20286"/>
      <c r="C20286"/>
      <c r="E20286"/>
      <c r="F20286"/>
    </row>
    <row r="20287" spans="1:6" x14ac:dyDescent="0.25">
      <c r="A20287"/>
      <c r="B20287"/>
      <c r="C20287"/>
      <c r="E20287"/>
      <c r="F20287"/>
    </row>
    <row r="20288" spans="1:6" x14ac:dyDescent="0.25">
      <c r="A20288"/>
      <c r="B20288"/>
      <c r="C20288"/>
      <c r="E20288"/>
      <c r="F20288"/>
    </row>
    <row r="20289" spans="1:6" x14ac:dyDescent="0.25">
      <c r="A20289"/>
      <c r="B20289"/>
      <c r="C20289"/>
      <c r="E20289"/>
      <c r="F20289"/>
    </row>
    <row r="20290" spans="1:6" x14ac:dyDescent="0.25">
      <c r="A20290"/>
      <c r="B20290"/>
      <c r="C20290"/>
      <c r="E20290"/>
      <c r="F20290"/>
    </row>
    <row r="20291" spans="1:6" x14ac:dyDescent="0.25">
      <c r="A20291"/>
      <c r="B20291"/>
      <c r="C20291"/>
      <c r="E20291"/>
      <c r="F20291"/>
    </row>
    <row r="20292" spans="1:6" x14ac:dyDescent="0.25">
      <c r="A20292"/>
      <c r="B20292"/>
      <c r="C20292"/>
      <c r="E20292"/>
      <c r="F20292"/>
    </row>
    <row r="20293" spans="1:6" x14ac:dyDescent="0.25">
      <c r="A20293"/>
      <c r="B20293"/>
      <c r="C20293"/>
      <c r="E20293"/>
      <c r="F20293"/>
    </row>
    <row r="20294" spans="1:6" x14ac:dyDescent="0.25">
      <c r="A20294"/>
      <c r="B20294"/>
      <c r="C20294"/>
      <c r="E20294"/>
      <c r="F20294"/>
    </row>
    <row r="20295" spans="1:6" x14ac:dyDescent="0.25">
      <c r="A20295"/>
      <c r="B20295"/>
      <c r="C20295"/>
      <c r="E20295"/>
      <c r="F20295"/>
    </row>
    <row r="20296" spans="1:6" x14ac:dyDescent="0.25">
      <c r="A20296"/>
      <c r="B20296"/>
      <c r="C20296"/>
      <c r="E20296"/>
      <c r="F20296"/>
    </row>
    <row r="20297" spans="1:6" x14ac:dyDescent="0.25">
      <c r="A20297"/>
      <c r="B20297"/>
      <c r="C20297"/>
      <c r="E20297"/>
      <c r="F20297"/>
    </row>
    <row r="20298" spans="1:6" x14ac:dyDescent="0.25">
      <c r="A20298"/>
      <c r="B20298"/>
      <c r="C20298"/>
      <c r="E20298"/>
      <c r="F20298"/>
    </row>
    <row r="20299" spans="1:6" x14ac:dyDescent="0.25">
      <c r="A20299"/>
      <c r="B20299"/>
      <c r="C20299"/>
      <c r="E20299"/>
      <c r="F20299"/>
    </row>
    <row r="20300" spans="1:6" x14ac:dyDescent="0.25">
      <c r="A20300"/>
      <c r="B20300"/>
      <c r="C20300"/>
      <c r="E20300"/>
      <c r="F20300"/>
    </row>
    <row r="20301" spans="1:6" x14ac:dyDescent="0.25">
      <c r="A20301"/>
      <c r="B20301"/>
      <c r="C20301"/>
      <c r="E20301"/>
      <c r="F20301"/>
    </row>
    <row r="20302" spans="1:6" x14ac:dyDescent="0.25">
      <c r="A20302"/>
      <c r="B20302"/>
      <c r="C20302"/>
      <c r="E20302"/>
      <c r="F20302"/>
    </row>
    <row r="20303" spans="1:6" x14ac:dyDescent="0.25">
      <c r="A20303"/>
      <c r="B20303"/>
      <c r="C20303"/>
      <c r="E20303"/>
      <c r="F20303"/>
    </row>
    <row r="20304" spans="1:6" x14ac:dyDescent="0.25">
      <c r="A20304"/>
      <c r="B20304"/>
      <c r="C20304"/>
      <c r="E20304"/>
      <c r="F20304"/>
    </row>
    <row r="20305" spans="1:6" x14ac:dyDescent="0.25">
      <c r="A20305"/>
      <c r="B20305"/>
      <c r="C20305"/>
      <c r="E20305"/>
      <c r="F20305"/>
    </row>
    <row r="20306" spans="1:6" x14ac:dyDescent="0.25">
      <c r="A20306"/>
      <c r="B20306"/>
      <c r="C20306"/>
      <c r="E20306"/>
      <c r="F20306"/>
    </row>
    <row r="20307" spans="1:6" x14ac:dyDescent="0.25">
      <c r="A20307"/>
      <c r="B20307"/>
      <c r="C20307"/>
      <c r="E20307"/>
      <c r="F20307"/>
    </row>
    <row r="20308" spans="1:6" x14ac:dyDescent="0.25">
      <c r="A20308"/>
      <c r="B20308"/>
      <c r="C20308"/>
      <c r="E20308"/>
      <c r="F20308"/>
    </row>
    <row r="20309" spans="1:6" x14ac:dyDescent="0.25">
      <c r="A20309"/>
      <c r="B20309"/>
      <c r="C20309"/>
      <c r="E20309"/>
      <c r="F20309"/>
    </row>
    <row r="20310" spans="1:6" x14ac:dyDescent="0.25">
      <c r="A20310"/>
      <c r="B20310"/>
      <c r="C20310"/>
      <c r="E20310"/>
      <c r="F20310"/>
    </row>
    <row r="20311" spans="1:6" x14ac:dyDescent="0.25">
      <c r="A20311"/>
      <c r="B20311"/>
      <c r="C20311"/>
      <c r="E20311"/>
      <c r="F20311"/>
    </row>
    <row r="20312" spans="1:6" x14ac:dyDescent="0.25">
      <c r="A20312"/>
      <c r="B20312"/>
      <c r="C20312"/>
      <c r="E20312"/>
      <c r="F20312"/>
    </row>
    <row r="20313" spans="1:6" x14ac:dyDescent="0.25">
      <c r="A20313"/>
      <c r="B20313"/>
      <c r="C20313"/>
      <c r="E20313"/>
      <c r="F20313"/>
    </row>
    <row r="20314" spans="1:6" x14ac:dyDescent="0.25">
      <c r="A20314"/>
      <c r="B20314"/>
      <c r="C20314"/>
      <c r="E20314"/>
      <c r="F20314"/>
    </row>
    <row r="20315" spans="1:6" x14ac:dyDescent="0.25">
      <c r="A20315"/>
      <c r="B20315"/>
      <c r="C20315"/>
      <c r="E20315"/>
      <c r="F20315"/>
    </row>
    <row r="20316" spans="1:6" x14ac:dyDescent="0.25">
      <c r="A20316"/>
      <c r="B20316"/>
      <c r="C20316"/>
      <c r="E20316"/>
      <c r="F20316"/>
    </row>
    <row r="20317" spans="1:6" x14ac:dyDescent="0.25">
      <c r="A20317"/>
      <c r="B20317"/>
      <c r="C20317"/>
      <c r="E20317"/>
      <c r="F20317"/>
    </row>
    <row r="20318" spans="1:6" x14ac:dyDescent="0.25">
      <c r="A20318"/>
      <c r="B20318"/>
      <c r="C20318"/>
      <c r="E20318"/>
      <c r="F20318"/>
    </row>
    <row r="20319" spans="1:6" x14ac:dyDescent="0.25">
      <c r="A20319"/>
      <c r="B20319"/>
      <c r="C20319"/>
      <c r="E20319"/>
      <c r="F20319"/>
    </row>
    <row r="20320" spans="1:6" x14ac:dyDescent="0.25">
      <c r="A20320"/>
      <c r="B20320"/>
      <c r="C20320"/>
      <c r="E20320"/>
      <c r="F20320"/>
    </row>
    <row r="20321" spans="1:6" x14ac:dyDescent="0.25">
      <c r="A20321"/>
      <c r="B20321"/>
      <c r="C20321"/>
      <c r="E20321"/>
      <c r="F20321"/>
    </row>
    <row r="20322" spans="1:6" x14ac:dyDescent="0.25">
      <c r="A20322"/>
      <c r="B20322"/>
      <c r="C20322"/>
      <c r="E20322"/>
      <c r="F20322"/>
    </row>
    <row r="20323" spans="1:6" x14ac:dyDescent="0.25">
      <c r="A20323"/>
      <c r="B20323"/>
      <c r="C20323"/>
      <c r="E20323"/>
      <c r="F20323"/>
    </row>
    <row r="20324" spans="1:6" x14ac:dyDescent="0.25">
      <c r="A20324"/>
      <c r="B20324"/>
      <c r="C20324"/>
      <c r="E20324"/>
      <c r="F20324"/>
    </row>
    <row r="20325" spans="1:6" x14ac:dyDescent="0.25">
      <c r="A20325"/>
      <c r="B20325"/>
      <c r="C20325"/>
      <c r="E20325"/>
      <c r="F20325"/>
    </row>
    <row r="20326" spans="1:6" x14ac:dyDescent="0.25">
      <c r="A20326"/>
      <c r="B20326"/>
      <c r="C20326"/>
      <c r="E20326"/>
      <c r="F20326"/>
    </row>
    <row r="20327" spans="1:6" x14ac:dyDescent="0.25">
      <c r="A20327"/>
      <c r="B20327"/>
      <c r="C20327"/>
      <c r="E20327"/>
      <c r="F20327"/>
    </row>
    <row r="20328" spans="1:6" x14ac:dyDescent="0.25">
      <c r="A20328"/>
      <c r="B20328"/>
      <c r="C20328"/>
      <c r="E20328"/>
      <c r="F20328"/>
    </row>
    <row r="20329" spans="1:6" x14ac:dyDescent="0.25">
      <c r="A20329"/>
      <c r="B20329"/>
      <c r="C20329"/>
      <c r="E20329"/>
      <c r="F20329"/>
    </row>
    <row r="20330" spans="1:6" x14ac:dyDescent="0.25">
      <c r="A20330"/>
      <c r="B20330"/>
      <c r="C20330"/>
      <c r="E20330"/>
      <c r="F20330"/>
    </row>
    <row r="20331" spans="1:6" x14ac:dyDescent="0.25">
      <c r="A20331"/>
      <c r="B20331"/>
      <c r="C20331"/>
      <c r="E20331"/>
      <c r="F20331"/>
    </row>
    <row r="20332" spans="1:6" x14ac:dyDescent="0.25">
      <c r="A20332"/>
      <c r="B20332"/>
      <c r="C20332"/>
      <c r="E20332"/>
      <c r="F20332"/>
    </row>
    <row r="20333" spans="1:6" x14ac:dyDescent="0.25">
      <c r="A20333"/>
      <c r="B20333"/>
      <c r="C20333"/>
      <c r="E20333"/>
      <c r="F20333"/>
    </row>
    <row r="20334" spans="1:6" x14ac:dyDescent="0.25">
      <c r="A20334"/>
      <c r="B20334"/>
      <c r="C20334"/>
      <c r="E20334"/>
      <c r="F20334"/>
    </row>
    <row r="20335" spans="1:6" x14ac:dyDescent="0.25">
      <c r="A20335"/>
      <c r="B20335"/>
      <c r="C20335"/>
      <c r="E20335"/>
      <c r="F20335"/>
    </row>
    <row r="20336" spans="1:6" x14ac:dyDescent="0.25">
      <c r="A20336"/>
      <c r="B20336"/>
      <c r="C20336"/>
      <c r="E20336"/>
      <c r="F20336"/>
    </row>
    <row r="20337" spans="1:6" x14ac:dyDescent="0.25">
      <c r="A20337"/>
      <c r="B20337"/>
      <c r="C20337"/>
      <c r="E20337"/>
      <c r="F20337"/>
    </row>
    <row r="20338" spans="1:6" x14ac:dyDescent="0.25">
      <c r="A20338"/>
      <c r="B20338"/>
      <c r="C20338"/>
      <c r="E20338"/>
      <c r="F20338"/>
    </row>
    <row r="20339" spans="1:6" x14ac:dyDescent="0.25">
      <c r="A20339"/>
      <c r="B20339"/>
      <c r="C20339"/>
      <c r="E20339"/>
      <c r="F20339"/>
    </row>
    <row r="20340" spans="1:6" x14ac:dyDescent="0.25">
      <c r="A20340"/>
      <c r="B20340"/>
      <c r="C20340"/>
      <c r="E20340"/>
      <c r="F20340"/>
    </row>
    <row r="20341" spans="1:6" x14ac:dyDescent="0.25">
      <c r="A20341"/>
      <c r="B20341"/>
      <c r="C20341"/>
      <c r="E20341"/>
      <c r="F20341"/>
    </row>
    <row r="20342" spans="1:6" x14ac:dyDescent="0.25">
      <c r="A20342"/>
      <c r="B20342"/>
      <c r="C20342"/>
      <c r="E20342"/>
      <c r="F20342"/>
    </row>
    <row r="20343" spans="1:6" x14ac:dyDescent="0.25">
      <c r="A20343"/>
      <c r="B20343"/>
      <c r="C20343"/>
      <c r="E20343"/>
      <c r="F20343"/>
    </row>
    <row r="20344" spans="1:6" x14ac:dyDescent="0.25">
      <c r="A20344"/>
      <c r="B20344"/>
      <c r="C20344"/>
      <c r="E20344"/>
      <c r="F20344"/>
    </row>
    <row r="20345" spans="1:6" x14ac:dyDescent="0.25">
      <c r="A20345"/>
      <c r="B20345"/>
      <c r="C20345"/>
      <c r="E20345"/>
      <c r="F20345"/>
    </row>
    <row r="20346" spans="1:6" x14ac:dyDescent="0.25">
      <c r="A20346"/>
      <c r="B20346"/>
      <c r="C20346"/>
      <c r="E20346"/>
      <c r="F20346"/>
    </row>
    <row r="20347" spans="1:6" x14ac:dyDescent="0.25">
      <c r="A20347"/>
      <c r="B20347"/>
      <c r="C20347"/>
      <c r="E20347"/>
      <c r="F20347"/>
    </row>
    <row r="20348" spans="1:6" x14ac:dyDescent="0.25">
      <c r="A20348"/>
      <c r="B20348"/>
      <c r="C20348"/>
      <c r="E20348"/>
      <c r="F20348"/>
    </row>
    <row r="20349" spans="1:6" x14ac:dyDescent="0.25">
      <c r="A20349"/>
      <c r="B20349"/>
      <c r="C20349"/>
      <c r="E20349"/>
      <c r="F20349"/>
    </row>
    <row r="20350" spans="1:6" x14ac:dyDescent="0.25">
      <c r="A20350"/>
      <c r="B20350"/>
      <c r="C20350"/>
      <c r="E20350"/>
      <c r="F20350"/>
    </row>
    <row r="20351" spans="1:6" x14ac:dyDescent="0.25">
      <c r="A20351"/>
      <c r="B20351"/>
      <c r="C20351"/>
      <c r="E20351"/>
      <c r="F20351"/>
    </row>
    <row r="20352" spans="1:6" x14ac:dyDescent="0.25">
      <c r="A20352"/>
      <c r="B20352"/>
      <c r="C20352"/>
      <c r="E20352"/>
      <c r="F20352"/>
    </row>
    <row r="20353" spans="1:6" x14ac:dyDescent="0.25">
      <c r="A20353"/>
      <c r="B20353"/>
      <c r="C20353"/>
      <c r="E20353"/>
      <c r="F20353"/>
    </row>
    <row r="20354" spans="1:6" x14ac:dyDescent="0.25">
      <c r="A20354"/>
      <c r="B20354"/>
      <c r="C20354"/>
      <c r="E20354"/>
      <c r="F20354"/>
    </row>
    <row r="20355" spans="1:6" x14ac:dyDescent="0.25">
      <c r="A20355"/>
      <c r="B20355"/>
      <c r="C20355"/>
      <c r="E20355"/>
      <c r="F20355"/>
    </row>
    <row r="20356" spans="1:6" x14ac:dyDescent="0.25">
      <c r="A20356"/>
      <c r="B20356"/>
      <c r="C20356"/>
      <c r="E20356"/>
      <c r="F20356"/>
    </row>
    <row r="20357" spans="1:6" x14ac:dyDescent="0.25">
      <c r="A20357"/>
      <c r="B20357"/>
      <c r="C20357"/>
      <c r="E20357"/>
      <c r="F20357"/>
    </row>
    <row r="20358" spans="1:6" x14ac:dyDescent="0.25">
      <c r="A20358"/>
      <c r="B20358"/>
      <c r="C20358"/>
      <c r="E20358"/>
      <c r="F20358"/>
    </row>
    <row r="20359" spans="1:6" x14ac:dyDescent="0.25">
      <c r="A20359"/>
      <c r="B20359"/>
      <c r="C20359"/>
      <c r="E20359"/>
      <c r="F20359"/>
    </row>
    <row r="20360" spans="1:6" x14ac:dyDescent="0.25">
      <c r="A20360"/>
      <c r="B20360"/>
      <c r="C20360"/>
      <c r="E20360"/>
      <c r="F20360"/>
    </row>
    <row r="20361" spans="1:6" x14ac:dyDescent="0.25">
      <c r="A20361"/>
      <c r="B20361"/>
      <c r="C20361"/>
      <c r="E20361"/>
      <c r="F20361"/>
    </row>
    <row r="20362" spans="1:6" x14ac:dyDescent="0.25">
      <c r="A20362"/>
      <c r="B20362"/>
      <c r="C20362"/>
      <c r="E20362"/>
      <c r="F20362"/>
    </row>
    <row r="20363" spans="1:6" x14ac:dyDescent="0.25">
      <c r="A20363"/>
      <c r="B20363"/>
      <c r="C20363"/>
      <c r="E20363"/>
      <c r="F20363"/>
    </row>
    <row r="20364" spans="1:6" x14ac:dyDescent="0.25">
      <c r="A20364"/>
      <c r="B20364"/>
      <c r="C20364"/>
      <c r="E20364"/>
      <c r="F20364"/>
    </row>
    <row r="20365" spans="1:6" x14ac:dyDescent="0.25">
      <c r="A20365"/>
      <c r="B20365"/>
      <c r="C20365"/>
      <c r="E20365"/>
      <c r="F20365"/>
    </row>
    <row r="20366" spans="1:6" x14ac:dyDescent="0.25">
      <c r="A20366"/>
      <c r="B20366"/>
      <c r="C20366"/>
      <c r="E20366"/>
      <c r="F20366"/>
    </row>
    <row r="20367" spans="1:6" x14ac:dyDescent="0.25">
      <c r="A20367"/>
      <c r="B20367"/>
      <c r="C20367"/>
      <c r="E20367"/>
      <c r="F20367"/>
    </row>
    <row r="20368" spans="1:6" x14ac:dyDescent="0.25">
      <c r="A20368"/>
      <c r="B20368"/>
      <c r="C20368"/>
      <c r="E20368"/>
      <c r="F20368"/>
    </row>
    <row r="20369" spans="1:6" x14ac:dyDescent="0.25">
      <c r="A20369"/>
      <c r="B20369"/>
      <c r="C20369"/>
      <c r="E20369"/>
      <c r="F20369"/>
    </row>
    <row r="20370" spans="1:6" x14ac:dyDescent="0.25">
      <c r="A20370"/>
      <c r="B20370"/>
      <c r="C20370"/>
      <c r="E20370"/>
      <c r="F20370"/>
    </row>
    <row r="20371" spans="1:6" x14ac:dyDescent="0.25">
      <c r="A20371"/>
      <c r="B20371"/>
      <c r="C20371"/>
      <c r="E20371"/>
      <c r="F20371"/>
    </row>
    <row r="20372" spans="1:6" x14ac:dyDescent="0.25">
      <c r="A20372"/>
      <c r="B20372"/>
      <c r="C20372"/>
      <c r="E20372"/>
      <c r="F20372"/>
    </row>
    <row r="20373" spans="1:6" x14ac:dyDescent="0.25">
      <c r="A20373"/>
      <c r="B20373"/>
      <c r="C20373"/>
      <c r="E20373"/>
      <c r="F20373"/>
    </row>
    <row r="20374" spans="1:6" x14ac:dyDescent="0.25">
      <c r="A20374"/>
      <c r="B20374"/>
      <c r="C20374"/>
      <c r="E20374"/>
      <c r="F20374"/>
    </row>
    <row r="20375" spans="1:6" x14ac:dyDescent="0.25">
      <c r="A20375"/>
      <c r="B20375"/>
      <c r="C20375"/>
      <c r="E20375"/>
      <c r="F20375"/>
    </row>
    <row r="20376" spans="1:6" x14ac:dyDescent="0.25">
      <c r="A20376"/>
      <c r="B20376"/>
      <c r="C20376"/>
      <c r="E20376"/>
      <c r="F20376"/>
    </row>
    <row r="20377" spans="1:6" x14ac:dyDescent="0.25">
      <c r="A20377"/>
      <c r="B20377"/>
      <c r="C20377"/>
      <c r="E20377"/>
      <c r="F20377"/>
    </row>
    <row r="20378" spans="1:6" x14ac:dyDescent="0.25">
      <c r="A20378"/>
      <c r="B20378"/>
      <c r="C20378"/>
      <c r="E20378"/>
      <c r="F20378"/>
    </row>
    <row r="20379" spans="1:6" x14ac:dyDescent="0.25">
      <c r="A20379"/>
      <c r="B20379"/>
      <c r="C20379"/>
      <c r="E20379"/>
      <c r="F20379"/>
    </row>
    <row r="20380" spans="1:6" x14ac:dyDescent="0.25">
      <c r="A20380"/>
      <c r="B20380"/>
      <c r="C20380"/>
      <c r="E20380"/>
      <c r="F20380"/>
    </row>
    <row r="20381" spans="1:6" x14ac:dyDescent="0.25">
      <c r="A20381"/>
      <c r="B20381"/>
      <c r="C20381"/>
      <c r="E20381"/>
      <c r="F20381"/>
    </row>
    <row r="20382" spans="1:6" x14ac:dyDescent="0.25">
      <c r="A20382"/>
      <c r="B20382"/>
      <c r="C20382"/>
      <c r="E20382"/>
      <c r="F20382"/>
    </row>
    <row r="20383" spans="1:6" x14ac:dyDescent="0.25">
      <c r="A20383"/>
      <c r="B20383"/>
      <c r="C20383"/>
      <c r="E20383"/>
      <c r="F20383"/>
    </row>
    <row r="20384" spans="1:6" x14ac:dyDescent="0.25">
      <c r="A20384"/>
      <c r="B20384"/>
      <c r="C20384"/>
      <c r="E20384"/>
      <c r="F20384"/>
    </row>
    <row r="20385" spans="1:6" x14ac:dyDescent="0.25">
      <c r="A20385"/>
      <c r="B20385"/>
      <c r="C20385"/>
      <c r="E20385"/>
      <c r="F20385"/>
    </row>
    <row r="20386" spans="1:6" x14ac:dyDescent="0.25">
      <c r="A20386"/>
      <c r="B20386"/>
      <c r="C20386"/>
      <c r="E20386"/>
      <c r="F20386"/>
    </row>
    <row r="20387" spans="1:6" x14ac:dyDescent="0.25">
      <c r="A20387"/>
      <c r="B20387"/>
      <c r="C20387"/>
      <c r="E20387"/>
      <c r="F20387"/>
    </row>
    <row r="20388" spans="1:6" x14ac:dyDescent="0.25">
      <c r="A20388"/>
      <c r="B20388"/>
      <c r="C20388"/>
      <c r="E20388"/>
      <c r="F20388"/>
    </row>
    <row r="20389" spans="1:6" x14ac:dyDescent="0.25">
      <c r="A20389"/>
      <c r="B20389"/>
      <c r="C20389"/>
      <c r="E20389"/>
      <c r="F20389"/>
    </row>
    <row r="20390" spans="1:6" x14ac:dyDescent="0.25">
      <c r="A20390"/>
      <c r="B20390"/>
      <c r="C20390"/>
      <c r="E20390"/>
      <c r="F20390"/>
    </row>
    <row r="20391" spans="1:6" x14ac:dyDescent="0.25">
      <c r="A20391"/>
      <c r="B20391"/>
      <c r="C20391"/>
      <c r="E20391"/>
      <c r="F20391"/>
    </row>
    <row r="20392" spans="1:6" x14ac:dyDescent="0.25">
      <c r="A20392"/>
      <c r="B20392"/>
      <c r="C20392"/>
      <c r="E20392"/>
      <c r="F20392"/>
    </row>
    <row r="20393" spans="1:6" x14ac:dyDescent="0.25">
      <c r="A20393"/>
      <c r="B20393"/>
      <c r="C20393"/>
      <c r="E20393"/>
      <c r="F20393"/>
    </row>
    <row r="20394" spans="1:6" x14ac:dyDescent="0.25">
      <c r="A20394"/>
      <c r="B20394"/>
      <c r="C20394"/>
      <c r="E20394"/>
      <c r="F20394"/>
    </row>
    <row r="20395" spans="1:6" x14ac:dyDescent="0.25">
      <c r="A20395"/>
      <c r="B20395"/>
      <c r="C20395"/>
      <c r="E20395"/>
      <c r="F20395"/>
    </row>
    <row r="20396" spans="1:6" x14ac:dyDescent="0.25">
      <c r="A20396"/>
      <c r="B20396"/>
      <c r="C20396"/>
      <c r="E20396"/>
      <c r="F20396"/>
    </row>
    <row r="20397" spans="1:6" x14ac:dyDescent="0.25">
      <c r="A20397"/>
      <c r="B20397"/>
      <c r="C20397"/>
      <c r="E20397"/>
      <c r="F20397"/>
    </row>
    <row r="20398" spans="1:6" x14ac:dyDescent="0.25">
      <c r="A20398"/>
      <c r="B20398"/>
      <c r="C20398"/>
      <c r="E20398"/>
      <c r="F20398"/>
    </row>
    <row r="20399" spans="1:6" x14ac:dyDescent="0.25">
      <c r="A20399"/>
      <c r="B20399"/>
      <c r="C20399"/>
      <c r="E20399"/>
      <c r="F20399"/>
    </row>
    <row r="20400" spans="1:6" x14ac:dyDescent="0.25">
      <c r="A20400"/>
      <c r="B20400"/>
      <c r="C20400"/>
      <c r="E20400"/>
      <c r="F20400"/>
    </row>
    <row r="20401" spans="1:6" x14ac:dyDescent="0.25">
      <c r="A20401"/>
      <c r="B20401"/>
      <c r="C20401"/>
      <c r="E20401"/>
      <c r="F20401"/>
    </row>
    <row r="20402" spans="1:6" x14ac:dyDescent="0.25">
      <c r="A20402"/>
      <c r="B20402"/>
      <c r="C20402"/>
      <c r="E20402"/>
      <c r="F20402"/>
    </row>
    <row r="20403" spans="1:6" x14ac:dyDescent="0.25">
      <c r="A20403"/>
      <c r="B20403"/>
      <c r="C20403"/>
      <c r="E20403"/>
      <c r="F20403"/>
    </row>
    <row r="20404" spans="1:6" x14ac:dyDescent="0.25">
      <c r="A20404"/>
      <c r="B20404"/>
      <c r="C20404"/>
      <c r="E20404"/>
      <c r="F20404"/>
    </row>
    <row r="20405" spans="1:6" x14ac:dyDescent="0.25">
      <c r="A20405"/>
      <c r="B20405"/>
      <c r="C20405"/>
      <c r="E20405"/>
      <c r="F20405"/>
    </row>
    <row r="20406" spans="1:6" x14ac:dyDescent="0.25">
      <c r="A20406"/>
      <c r="B20406"/>
      <c r="C20406"/>
      <c r="E20406"/>
      <c r="F20406"/>
    </row>
    <row r="20407" spans="1:6" x14ac:dyDescent="0.25">
      <c r="A20407"/>
      <c r="B20407"/>
      <c r="C20407"/>
      <c r="E20407"/>
      <c r="F20407"/>
    </row>
    <row r="20408" spans="1:6" x14ac:dyDescent="0.25">
      <c r="A20408"/>
      <c r="B20408"/>
      <c r="C20408"/>
      <c r="E20408"/>
      <c r="F20408"/>
    </row>
    <row r="20409" spans="1:6" x14ac:dyDescent="0.25">
      <c r="A20409"/>
      <c r="B20409"/>
      <c r="C20409"/>
      <c r="E20409"/>
      <c r="F20409"/>
    </row>
    <row r="20410" spans="1:6" x14ac:dyDescent="0.25">
      <c r="A20410"/>
      <c r="B20410"/>
      <c r="C20410"/>
      <c r="E20410"/>
      <c r="F20410"/>
    </row>
    <row r="20411" spans="1:6" x14ac:dyDescent="0.25">
      <c r="A20411"/>
      <c r="B20411"/>
      <c r="C20411"/>
      <c r="E20411"/>
      <c r="F20411"/>
    </row>
    <row r="20412" spans="1:6" x14ac:dyDescent="0.25">
      <c r="A20412"/>
      <c r="B20412"/>
      <c r="C20412"/>
      <c r="E20412"/>
      <c r="F20412"/>
    </row>
    <row r="20413" spans="1:6" x14ac:dyDescent="0.25">
      <c r="A20413"/>
      <c r="B20413"/>
      <c r="C20413"/>
      <c r="E20413"/>
      <c r="F20413"/>
    </row>
    <row r="20414" spans="1:6" x14ac:dyDescent="0.25">
      <c r="A20414"/>
      <c r="B20414"/>
      <c r="C20414"/>
      <c r="E20414"/>
      <c r="F20414"/>
    </row>
    <row r="20415" spans="1:6" x14ac:dyDescent="0.25">
      <c r="A20415"/>
      <c r="B20415"/>
      <c r="C20415"/>
      <c r="E20415"/>
      <c r="F20415"/>
    </row>
    <row r="20416" spans="1:6" x14ac:dyDescent="0.25">
      <c r="A20416"/>
      <c r="B20416"/>
      <c r="C20416"/>
      <c r="E20416"/>
      <c r="F20416"/>
    </row>
    <row r="20417" spans="1:6" x14ac:dyDescent="0.25">
      <c r="A20417"/>
      <c r="B20417"/>
      <c r="C20417"/>
      <c r="E20417"/>
      <c r="F20417"/>
    </row>
    <row r="20418" spans="1:6" x14ac:dyDescent="0.25">
      <c r="A20418"/>
      <c r="B20418"/>
      <c r="C20418"/>
      <c r="E20418"/>
      <c r="F20418"/>
    </row>
    <row r="20419" spans="1:6" x14ac:dyDescent="0.25">
      <c r="A20419"/>
      <c r="B20419"/>
      <c r="C20419"/>
      <c r="E20419"/>
      <c r="F20419"/>
    </row>
    <row r="20420" spans="1:6" x14ac:dyDescent="0.25">
      <c r="A20420"/>
      <c r="B20420"/>
      <c r="C20420"/>
      <c r="E20420"/>
      <c r="F20420"/>
    </row>
    <row r="20421" spans="1:6" x14ac:dyDescent="0.25">
      <c r="A20421"/>
      <c r="B20421"/>
      <c r="C20421"/>
      <c r="E20421"/>
      <c r="F20421"/>
    </row>
    <row r="20422" spans="1:6" x14ac:dyDescent="0.25">
      <c r="A20422"/>
      <c r="B20422"/>
      <c r="C20422"/>
      <c r="E20422"/>
      <c r="F20422"/>
    </row>
    <row r="20423" spans="1:6" x14ac:dyDescent="0.25">
      <c r="A20423"/>
      <c r="B20423"/>
      <c r="C20423"/>
      <c r="E20423"/>
      <c r="F20423"/>
    </row>
    <row r="20424" spans="1:6" x14ac:dyDescent="0.25">
      <c r="A20424"/>
      <c r="B20424"/>
      <c r="C20424"/>
      <c r="E20424"/>
      <c r="F20424"/>
    </row>
    <row r="20425" spans="1:6" x14ac:dyDescent="0.25">
      <c r="A20425"/>
      <c r="B20425"/>
      <c r="C20425"/>
      <c r="E20425"/>
      <c r="F20425"/>
    </row>
    <row r="20426" spans="1:6" x14ac:dyDescent="0.25">
      <c r="A20426"/>
      <c r="B20426"/>
      <c r="C20426"/>
      <c r="E20426"/>
      <c r="F20426"/>
    </row>
    <row r="20427" spans="1:6" x14ac:dyDescent="0.25">
      <c r="A20427"/>
      <c r="B20427"/>
      <c r="C20427"/>
      <c r="E20427"/>
      <c r="F20427"/>
    </row>
    <row r="20428" spans="1:6" x14ac:dyDescent="0.25">
      <c r="A20428"/>
      <c r="B20428"/>
      <c r="C20428"/>
      <c r="E20428"/>
      <c r="F20428"/>
    </row>
    <row r="20429" spans="1:6" x14ac:dyDescent="0.25">
      <c r="A20429"/>
      <c r="B20429"/>
      <c r="C20429"/>
      <c r="E20429"/>
      <c r="F20429"/>
    </row>
    <row r="20430" spans="1:6" x14ac:dyDescent="0.25">
      <c r="A20430"/>
      <c r="B20430"/>
      <c r="C20430"/>
      <c r="E20430"/>
      <c r="F20430"/>
    </row>
    <row r="20431" spans="1:6" x14ac:dyDescent="0.25">
      <c r="A20431"/>
      <c r="B20431"/>
      <c r="C20431"/>
      <c r="E20431"/>
      <c r="F20431"/>
    </row>
    <row r="20432" spans="1:6" x14ac:dyDescent="0.25">
      <c r="A20432"/>
      <c r="B20432"/>
      <c r="C20432"/>
      <c r="E20432"/>
      <c r="F20432"/>
    </row>
    <row r="20433" spans="1:6" x14ac:dyDescent="0.25">
      <c r="A20433"/>
      <c r="B20433"/>
      <c r="C20433"/>
      <c r="E20433"/>
      <c r="F20433"/>
    </row>
    <row r="20434" spans="1:6" x14ac:dyDescent="0.25">
      <c r="A20434"/>
      <c r="B20434"/>
      <c r="C20434"/>
      <c r="E20434"/>
      <c r="F20434"/>
    </row>
    <row r="20435" spans="1:6" x14ac:dyDescent="0.25">
      <c r="A20435"/>
      <c r="B20435"/>
      <c r="C20435"/>
      <c r="E20435"/>
      <c r="F20435"/>
    </row>
    <row r="20436" spans="1:6" x14ac:dyDescent="0.25">
      <c r="A20436"/>
      <c r="B20436"/>
      <c r="C20436"/>
      <c r="E20436"/>
      <c r="F20436"/>
    </row>
    <row r="20437" spans="1:6" x14ac:dyDescent="0.25">
      <c r="A20437"/>
      <c r="B20437"/>
      <c r="C20437"/>
      <c r="E20437"/>
      <c r="F20437"/>
    </row>
    <row r="20438" spans="1:6" x14ac:dyDescent="0.25">
      <c r="A20438"/>
      <c r="B20438"/>
      <c r="C20438"/>
      <c r="E20438"/>
      <c r="F20438"/>
    </row>
    <row r="20439" spans="1:6" x14ac:dyDescent="0.25">
      <c r="A20439"/>
      <c r="B20439"/>
      <c r="C20439"/>
      <c r="E20439"/>
      <c r="F20439"/>
    </row>
    <row r="20440" spans="1:6" x14ac:dyDescent="0.25">
      <c r="A20440"/>
      <c r="B20440"/>
      <c r="C20440"/>
      <c r="E20440"/>
      <c r="F20440"/>
    </row>
    <row r="20441" spans="1:6" x14ac:dyDescent="0.25">
      <c r="A20441"/>
      <c r="B20441"/>
      <c r="C20441"/>
      <c r="E20441"/>
      <c r="F20441"/>
    </row>
    <row r="20442" spans="1:6" x14ac:dyDescent="0.25">
      <c r="A20442"/>
      <c r="B20442"/>
      <c r="C20442"/>
      <c r="E20442"/>
      <c r="F20442"/>
    </row>
    <row r="20443" spans="1:6" x14ac:dyDescent="0.25">
      <c r="A20443"/>
      <c r="B20443"/>
      <c r="C20443"/>
      <c r="E20443"/>
      <c r="F20443"/>
    </row>
    <row r="20444" spans="1:6" x14ac:dyDescent="0.25">
      <c r="A20444"/>
      <c r="B20444"/>
      <c r="C20444"/>
      <c r="E20444"/>
      <c r="F20444"/>
    </row>
    <row r="20445" spans="1:6" x14ac:dyDescent="0.25">
      <c r="A20445"/>
      <c r="B20445"/>
      <c r="C20445"/>
      <c r="E20445"/>
      <c r="F20445"/>
    </row>
    <row r="20446" spans="1:6" x14ac:dyDescent="0.25">
      <c r="A20446"/>
      <c r="B20446"/>
      <c r="C20446"/>
      <c r="E20446"/>
      <c r="F20446"/>
    </row>
    <row r="20447" spans="1:6" x14ac:dyDescent="0.25">
      <c r="A20447"/>
      <c r="B20447"/>
      <c r="C20447"/>
      <c r="E20447"/>
      <c r="F20447"/>
    </row>
    <row r="20448" spans="1:6" x14ac:dyDescent="0.25">
      <c r="A20448"/>
      <c r="B20448"/>
      <c r="C20448"/>
      <c r="E20448"/>
      <c r="F20448"/>
    </row>
    <row r="20449" spans="1:6" x14ac:dyDescent="0.25">
      <c r="A20449"/>
      <c r="B20449"/>
      <c r="C20449"/>
      <c r="E20449"/>
      <c r="F20449"/>
    </row>
    <row r="20450" spans="1:6" x14ac:dyDescent="0.25">
      <c r="A20450"/>
      <c r="B20450"/>
      <c r="C20450"/>
      <c r="E20450"/>
      <c r="F20450"/>
    </row>
    <row r="20451" spans="1:6" x14ac:dyDescent="0.25">
      <c r="A20451"/>
      <c r="B20451"/>
      <c r="C20451"/>
      <c r="E20451"/>
      <c r="F20451"/>
    </row>
    <row r="20452" spans="1:6" x14ac:dyDescent="0.25">
      <c r="A20452"/>
      <c r="B20452"/>
      <c r="C20452"/>
      <c r="E20452"/>
      <c r="F20452"/>
    </row>
    <row r="20453" spans="1:6" x14ac:dyDescent="0.25">
      <c r="A20453"/>
      <c r="B20453"/>
      <c r="C20453"/>
      <c r="E20453"/>
      <c r="F20453"/>
    </row>
    <row r="20454" spans="1:6" x14ac:dyDescent="0.25">
      <c r="A20454"/>
      <c r="B20454"/>
      <c r="C20454"/>
      <c r="E20454"/>
      <c r="F20454"/>
    </row>
    <row r="20455" spans="1:6" x14ac:dyDescent="0.25">
      <c r="A20455"/>
      <c r="B20455"/>
      <c r="C20455"/>
      <c r="E20455"/>
      <c r="F20455"/>
    </row>
    <row r="20456" spans="1:6" x14ac:dyDescent="0.25">
      <c r="A20456"/>
      <c r="B20456"/>
      <c r="C20456"/>
      <c r="E20456"/>
      <c r="F20456"/>
    </row>
    <row r="20457" spans="1:6" x14ac:dyDescent="0.25">
      <c r="A20457"/>
      <c r="B20457"/>
      <c r="C20457"/>
      <c r="E20457"/>
      <c r="F20457"/>
    </row>
    <row r="20458" spans="1:6" x14ac:dyDescent="0.25">
      <c r="A20458"/>
      <c r="B20458"/>
      <c r="C20458"/>
      <c r="E20458"/>
      <c r="F20458"/>
    </row>
    <row r="20459" spans="1:6" x14ac:dyDescent="0.25">
      <c r="A20459"/>
      <c r="B20459"/>
      <c r="C20459"/>
      <c r="E20459"/>
      <c r="F20459"/>
    </row>
    <row r="20460" spans="1:6" x14ac:dyDescent="0.25">
      <c r="A20460"/>
      <c r="B20460"/>
      <c r="C20460"/>
      <c r="E20460"/>
      <c r="F20460"/>
    </row>
    <row r="20461" spans="1:6" x14ac:dyDescent="0.25">
      <c r="A20461"/>
      <c r="B20461"/>
      <c r="C20461"/>
      <c r="E20461"/>
      <c r="F20461"/>
    </row>
    <row r="20462" spans="1:6" x14ac:dyDescent="0.25">
      <c r="A20462"/>
      <c r="B20462"/>
      <c r="C20462"/>
      <c r="E20462"/>
      <c r="F20462"/>
    </row>
    <row r="20463" spans="1:6" x14ac:dyDescent="0.25">
      <c r="A20463"/>
      <c r="B20463"/>
      <c r="C20463"/>
      <c r="E20463"/>
      <c r="F20463"/>
    </row>
    <row r="20464" spans="1:6" x14ac:dyDescent="0.25">
      <c r="A20464"/>
      <c r="B20464"/>
      <c r="C20464"/>
      <c r="E20464"/>
      <c r="F20464"/>
    </row>
    <row r="20465" spans="1:6" x14ac:dyDescent="0.25">
      <c r="A20465"/>
      <c r="B20465"/>
      <c r="C20465"/>
      <c r="E20465"/>
      <c r="F20465"/>
    </row>
    <row r="20466" spans="1:6" x14ac:dyDescent="0.25">
      <c r="A20466"/>
      <c r="B20466"/>
      <c r="C20466"/>
      <c r="E20466"/>
      <c r="F20466"/>
    </row>
    <row r="20467" spans="1:6" x14ac:dyDescent="0.25">
      <c r="A20467"/>
      <c r="B20467"/>
      <c r="C20467"/>
      <c r="E20467"/>
      <c r="F20467"/>
    </row>
    <row r="20468" spans="1:6" x14ac:dyDescent="0.25">
      <c r="A20468"/>
      <c r="B20468"/>
      <c r="C20468"/>
      <c r="E20468"/>
      <c r="F20468"/>
    </row>
    <row r="20469" spans="1:6" x14ac:dyDescent="0.25">
      <c r="A20469"/>
      <c r="B20469"/>
      <c r="C20469"/>
      <c r="E20469"/>
      <c r="F20469"/>
    </row>
    <row r="20470" spans="1:6" x14ac:dyDescent="0.25">
      <c r="A20470"/>
      <c r="B20470"/>
      <c r="C20470"/>
      <c r="E20470"/>
      <c r="F20470"/>
    </row>
    <row r="20471" spans="1:6" x14ac:dyDescent="0.25">
      <c r="A20471"/>
      <c r="B20471"/>
      <c r="C20471"/>
      <c r="E20471"/>
      <c r="F20471"/>
    </row>
    <row r="20472" spans="1:6" x14ac:dyDescent="0.25">
      <c r="A20472"/>
      <c r="B20472"/>
      <c r="C20472"/>
      <c r="E20472"/>
      <c r="F20472"/>
    </row>
    <row r="20473" spans="1:6" x14ac:dyDescent="0.25">
      <c r="A20473"/>
      <c r="B20473"/>
      <c r="C20473"/>
      <c r="E20473"/>
      <c r="F20473"/>
    </row>
    <row r="20474" spans="1:6" x14ac:dyDescent="0.25">
      <c r="A20474"/>
      <c r="B20474"/>
      <c r="C20474"/>
      <c r="E20474"/>
      <c r="F20474"/>
    </row>
    <row r="20475" spans="1:6" x14ac:dyDescent="0.25">
      <c r="A20475"/>
      <c r="B20475"/>
      <c r="C20475"/>
      <c r="E20475"/>
      <c r="F20475"/>
    </row>
    <row r="20476" spans="1:6" x14ac:dyDescent="0.25">
      <c r="A20476"/>
      <c r="B20476"/>
      <c r="C20476"/>
      <c r="E20476"/>
      <c r="F20476"/>
    </row>
    <row r="20477" spans="1:6" x14ac:dyDescent="0.25">
      <c r="A20477"/>
      <c r="B20477"/>
      <c r="C20477"/>
      <c r="E20477"/>
      <c r="F20477"/>
    </row>
    <row r="20478" spans="1:6" x14ac:dyDescent="0.25">
      <c r="A20478"/>
      <c r="B20478"/>
      <c r="C20478"/>
      <c r="E20478"/>
      <c r="F20478"/>
    </row>
    <row r="20479" spans="1:6" x14ac:dyDescent="0.25">
      <c r="A20479"/>
      <c r="B20479"/>
      <c r="C20479"/>
      <c r="E20479"/>
      <c r="F20479"/>
    </row>
    <row r="20480" spans="1:6" x14ac:dyDescent="0.25">
      <c r="A20480"/>
      <c r="B20480"/>
      <c r="C20480"/>
      <c r="E20480"/>
      <c r="F20480"/>
    </row>
    <row r="20481" spans="1:6" x14ac:dyDescent="0.25">
      <c r="A20481"/>
      <c r="B20481"/>
      <c r="C20481"/>
      <c r="E20481"/>
      <c r="F20481"/>
    </row>
    <row r="20482" spans="1:6" x14ac:dyDescent="0.25">
      <c r="A20482"/>
      <c r="B20482"/>
      <c r="C20482"/>
      <c r="E20482"/>
      <c r="F20482"/>
    </row>
    <row r="20483" spans="1:6" x14ac:dyDescent="0.25">
      <c r="A20483"/>
      <c r="B20483"/>
      <c r="C20483"/>
      <c r="E20483"/>
      <c r="F20483"/>
    </row>
    <row r="20484" spans="1:6" x14ac:dyDescent="0.25">
      <c r="A20484"/>
      <c r="B20484"/>
      <c r="C20484"/>
      <c r="E20484"/>
      <c r="F20484"/>
    </row>
    <row r="20485" spans="1:6" x14ac:dyDescent="0.25">
      <c r="A20485"/>
      <c r="B20485"/>
      <c r="C20485"/>
      <c r="E20485"/>
      <c r="F20485"/>
    </row>
    <row r="20486" spans="1:6" x14ac:dyDescent="0.25">
      <c r="A20486"/>
      <c r="B20486"/>
      <c r="C20486"/>
      <c r="E20486"/>
      <c r="F20486"/>
    </row>
    <row r="20487" spans="1:6" x14ac:dyDescent="0.25">
      <c r="A20487"/>
      <c r="B20487"/>
      <c r="C20487"/>
      <c r="E20487"/>
      <c r="F20487"/>
    </row>
    <row r="20488" spans="1:6" x14ac:dyDescent="0.25">
      <c r="A20488"/>
      <c r="B20488"/>
      <c r="C20488"/>
      <c r="E20488"/>
      <c r="F20488"/>
    </row>
    <row r="20489" spans="1:6" x14ac:dyDescent="0.25">
      <c r="A20489"/>
      <c r="B20489"/>
      <c r="C20489"/>
      <c r="E20489"/>
      <c r="F20489"/>
    </row>
    <row r="20490" spans="1:6" x14ac:dyDescent="0.25">
      <c r="A20490"/>
      <c r="B20490"/>
      <c r="C20490"/>
      <c r="E20490"/>
      <c r="F20490"/>
    </row>
    <row r="20491" spans="1:6" x14ac:dyDescent="0.25">
      <c r="A20491"/>
      <c r="B20491"/>
      <c r="C20491"/>
      <c r="E20491"/>
      <c r="F20491"/>
    </row>
    <row r="20492" spans="1:6" x14ac:dyDescent="0.25">
      <c r="A20492"/>
      <c r="B20492"/>
      <c r="C20492"/>
      <c r="E20492"/>
      <c r="F20492"/>
    </row>
    <row r="20493" spans="1:6" x14ac:dyDescent="0.25">
      <c r="A20493"/>
      <c r="B20493"/>
      <c r="C20493"/>
      <c r="E20493"/>
      <c r="F20493"/>
    </row>
    <row r="20494" spans="1:6" x14ac:dyDescent="0.25">
      <c r="A20494"/>
      <c r="B20494"/>
      <c r="C20494"/>
      <c r="E20494"/>
      <c r="F20494"/>
    </row>
    <row r="20495" spans="1:6" x14ac:dyDescent="0.25">
      <c r="A20495"/>
      <c r="B20495"/>
      <c r="C20495"/>
      <c r="E20495"/>
      <c r="F20495"/>
    </row>
    <row r="20496" spans="1:6" x14ac:dyDescent="0.25">
      <c r="A20496"/>
      <c r="B20496"/>
      <c r="C20496"/>
      <c r="E20496"/>
      <c r="F20496"/>
    </row>
    <row r="20497" spans="1:6" x14ac:dyDescent="0.25">
      <c r="A20497"/>
      <c r="B20497"/>
      <c r="C20497"/>
      <c r="E20497"/>
      <c r="F20497"/>
    </row>
    <row r="20498" spans="1:6" x14ac:dyDescent="0.25">
      <c r="A20498"/>
      <c r="B20498"/>
      <c r="C20498"/>
      <c r="E20498"/>
      <c r="F20498"/>
    </row>
    <row r="20499" spans="1:6" x14ac:dyDescent="0.25">
      <c r="A20499"/>
      <c r="B20499"/>
      <c r="C20499"/>
      <c r="E20499"/>
      <c r="F20499"/>
    </row>
    <row r="20500" spans="1:6" x14ac:dyDescent="0.25">
      <c r="A20500"/>
      <c r="B20500"/>
      <c r="C20500"/>
      <c r="E20500"/>
      <c r="F20500"/>
    </row>
    <row r="20501" spans="1:6" x14ac:dyDescent="0.25">
      <c r="A20501"/>
      <c r="B20501"/>
      <c r="C20501"/>
      <c r="E20501"/>
      <c r="F20501"/>
    </row>
    <row r="20502" spans="1:6" x14ac:dyDescent="0.25">
      <c r="A20502"/>
      <c r="B20502"/>
      <c r="C20502"/>
      <c r="E20502"/>
      <c r="F20502"/>
    </row>
    <row r="20503" spans="1:6" x14ac:dyDescent="0.25">
      <c r="A20503"/>
      <c r="B20503"/>
      <c r="C20503"/>
      <c r="E20503"/>
      <c r="F20503"/>
    </row>
    <row r="20504" spans="1:6" x14ac:dyDescent="0.25">
      <c r="A20504"/>
      <c r="B20504"/>
      <c r="C20504"/>
      <c r="E20504"/>
      <c r="F20504"/>
    </row>
    <row r="20505" spans="1:6" x14ac:dyDescent="0.25">
      <c r="A20505"/>
      <c r="B20505"/>
      <c r="C20505"/>
      <c r="E20505"/>
      <c r="F20505"/>
    </row>
    <row r="20506" spans="1:6" x14ac:dyDescent="0.25">
      <c r="A20506"/>
      <c r="B20506"/>
      <c r="C20506"/>
      <c r="E20506"/>
      <c r="F20506"/>
    </row>
    <row r="20507" spans="1:6" x14ac:dyDescent="0.25">
      <c r="A20507"/>
      <c r="B20507"/>
      <c r="C20507"/>
      <c r="E20507"/>
      <c r="F20507"/>
    </row>
    <row r="20508" spans="1:6" x14ac:dyDescent="0.25">
      <c r="A20508"/>
      <c r="B20508"/>
      <c r="C20508"/>
      <c r="E20508"/>
      <c r="F20508"/>
    </row>
    <row r="20509" spans="1:6" x14ac:dyDescent="0.25">
      <c r="A20509"/>
      <c r="B20509"/>
      <c r="C20509"/>
      <c r="E20509"/>
      <c r="F20509"/>
    </row>
    <row r="20510" spans="1:6" x14ac:dyDescent="0.25">
      <c r="A20510"/>
      <c r="B20510"/>
      <c r="C20510"/>
      <c r="E20510"/>
      <c r="F20510"/>
    </row>
    <row r="20511" spans="1:6" x14ac:dyDescent="0.25">
      <c r="A20511"/>
      <c r="B20511"/>
      <c r="C20511"/>
      <c r="E20511"/>
      <c r="F20511"/>
    </row>
    <row r="20512" spans="1:6" x14ac:dyDescent="0.25">
      <c r="A20512"/>
      <c r="B20512"/>
      <c r="C20512"/>
      <c r="E20512"/>
      <c r="F20512"/>
    </row>
    <row r="20513" spans="1:6" x14ac:dyDescent="0.25">
      <c r="A20513"/>
      <c r="B20513"/>
      <c r="C20513"/>
      <c r="E20513"/>
      <c r="F20513"/>
    </row>
    <row r="20514" spans="1:6" x14ac:dyDescent="0.25">
      <c r="A20514"/>
      <c r="B20514"/>
      <c r="C20514"/>
      <c r="E20514"/>
      <c r="F20514"/>
    </row>
    <row r="20515" spans="1:6" x14ac:dyDescent="0.25">
      <c r="A20515"/>
      <c r="B20515"/>
      <c r="C20515"/>
      <c r="E20515"/>
      <c r="F20515"/>
    </row>
    <row r="20516" spans="1:6" x14ac:dyDescent="0.25">
      <c r="A20516"/>
      <c r="B20516"/>
      <c r="C20516"/>
      <c r="E20516"/>
      <c r="F20516"/>
    </row>
    <row r="20517" spans="1:6" x14ac:dyDescent="0.25">
      <c r="A20517"/>
      <c r="B20517"/>
      <c r="C20517"/>
      <c r="E20517"/>
      <c r="F20517"/>
    </row>
    <row r="20518" spans="1:6" x14ac:dyDescent="0.25">
      <c r="A20518"/>
      <c r="B20518"/>
      <c r="C20518"/>
      <c r="E20518"/>
      <c r="F20518"/>
    </row>
    <row r="20519" spans="1:6" x14ac:dyDescent="0.25">
      <c r="A20519"/>
      <c r="B20519"/>
      <c r="C20519"/>
      <c r="E20519"/>
      <c r="F20519"/>
    </row>
    <row r="20520" spans="1:6" x14ac:dyDescent="0.25">
      <c r="A20520"/>
      <c r="B20520"/>
      <c r="C20520"/>
      <c r="E20520"/>
      <c r="F20520"/>
    </row>
    <row r="20521" spans="1:6" x14ac:dyDescent="0.25">
      <c r="A20521"/>
      <c r="B20521"/>
      <c r="C20521"/>
      <c r="E20521"/>
      <c r="F20521"/>
    </row>
    <row r="20522" spans="1:6" x14ac:dyDescent="0.25">
      <c r="A20522"/>
      <c r="B20522"/>
      <c r="C20522"/>
      <c r="E20522"/>
      <c r="F20522"/>
    </row>
    <row r="20523" spans="1:6" x14ac:dyDescent="0.25">
      <c r="A20523"/>
      <c r="B20523"/>
      <c r="C20523"/>
      <c r="E20523"/>
      <c r="F20523"/>
    </row>
    <row r="20524" spans="1:6" x14ac:dyDescent="0.25">
      <c r="A20524"/>
      <c r="B20524"/>
      <c r="C20524"/>
      <c r="E20524"/>
      <c r="F20524"/>
    </row>
    <row r="20525" spans="1:6" x14ac:dyDescent="0.25">
      <c r="A20525"/>
      <c r="B20525"/>
      <c r="C20525"/>
      <c r="E20525"/>
      <c r="F20525"/>
    </row>
    <row r="20526" spans="1:6" x14ac:dyDescent="0.25">
      <c r="A20526"/>
      <c r="B20526"/>
      <c r="C20526"/>
      <c r="E20526"/>
      <c r="F20526"/>
    </row>
    <row r="20527" spans="1:6" x14ac:dyDescent="0.25">
      <c r="A20527"/>
      <c r="B20527"/>
      <c r="C20527"/>
      <c r="E20527"/>
      <c r="F20527"/>
    </row>
    <row r="20528" spans="1:6" x14ac:dyDescent="0.25">
      <c r="A20528"/>
      <c r="B20528"/>
      <c r="C20528"/>
      <c r="E20528"/>
      <c r="F20528"/>
    </row>
    <row r="20529" spans="1:6" x14ac:dyDescent="0.25">
      <c r="A20529"/>
      <c r="B20529"/>
      <c r="C20529"/>
      <c r="E20529"/>
      <c r="F20529"/>
    </row>
    <row r="20530" spans="1:6" x14ac:dyDescent="0.25">
      <c r="A20530"/>
      <c r="B20530"/>
      <c r="C20530"/>
      <c r="E20530"/>
      <c r="F20530"/>
    </row>
    <row r="20531" spans="1:6" x14ac:dyDescent="0.25">
      <c r="A20531"/>
      <c r="B20531"/>
      <c r="C20531"/>
      <c r="E20531"/>
      <c r="F20531"/>
    </row>
    <row r="20532" spans="1:6" x14ac:dyDescent="0.25">
      <c r="A20532"/>
      <c r="B20532"/>
      <c r="C20532"/>
      <c r="E20532"/>
      <c r="F20532"/>
    </row>
    <row r="20533" spans="1:6" x14ac:dyDescent="0.25">
      <c r="A20533"/>
      <c r="B20533"/>
      <c r="C20533"/>
      <c r="E20533"/>
      <c r="F20533"/>
    </row>
    <row r="20534" spans="1:6" x14ac:dyDescent="0.25">
      <c r="A20534"/>
      <c r="B20534"/>
      <c r="C20534"/>
      <c r="E20534"/>
      <c r="F20534"/>
    </row>
    <row r="20535" spans="1:6" x14ac:dyDescent="0.25">
      <c r="A20535"/>
      <c r="B20535"/>
      <c r="C20535"/>
      <c r="E20535"/>
      <c r="F20535"/>
    </row>
    <row r="20536" spans="1:6" x14ac:dyDescent="0.25">
      <c r="A20536"/>
      <c r="B20536"/>
      <c r="C20536"/>
      <c r="E20536"/>
      <c r="F20536"/>
    </row>
    <row r="20537" spans="1:6" x14ac:dyDescent="0.25">
      <c r="A20537"/>
      <c r="B20537"/>
      <c r="C20537"/>
      <c r="E20537"/>
      <c r="F20537"/>
    </row>
    <row r="20538" spans="1:6" x14ac:dyDescent="0.25">
      <c r="A20538"/>
      <c r="B20538"/>
      <c r="C20538"/>
      <c r="E20538"/>
      <c r="F20538"/>
    </row>
    <row r="20539" spans="1:6" x14ac:dyDescent="0.25">
      <c r="A20539"/>
      <c r="B20539"/>
      <c r="C20539"/>
      <c r="E20539"/>
      <c r="F20539"/>
    </row>
    <row r="20540" spans="1:6" x14ac:dyDescent="0.25">
      <c r="A20540"/>
      <c r="B20540"/>
      <c r="C20540"/>
      <c r="E20540"/>
      <c r="F20540"/>
    </row>
    <row r="20541" spans="1:6" x14ac:dyDescent="0.25">
      <c r="A20541"/>
      <c r="B20541"/>
      <c r="C20541"/>
      <c r="E20541"/>
      <c r="F20541"/>
    </row>
    <row r="20542" spans="1:6" x14ac:dyDescent="0.25">
      <c r="A20542"/>
      <c r="B20542"/>
      <c r="C20542"/>
      <c r="E20542"/>
      <c r="F20542"/>
    </row>
    <row r="20543" spans="1:6" x14ac:dyDescent="0.25">
      <c r="A20543"/>
      <c r="B20543"/>
      <c r="C20543"/>
      <c r="E20543"/>
      <c r="F20543"/>
    </row>
    <row r="20544" spans="1:6" x14ac:dyDescent="0.25">
      <c r="A20544"/>
      <c r="B20544"/>
      <c r="C20544"/>
      <c r="E20544"/>
      <c r="F20544"/>
    </row>
    <row r="20545" spans="1:6" x14ac:dyDescent="0.25">
      <c r="A20545"/>
      <c r="B20545"/>
      <c r="C20545"/>
      <c r="E20545"/>
      <c r="F20545"/>
    </row>
    <row r="20546" spans="1:6" x14ac:dyDescent="0.25">
      <c r="A20546"/>
      <c r="B20546"/>
      <c r="C20546"/>
      <c r="E20546"/>
      <c r="F20546"/>
    </row>
    <row r="20547" spans="1:6" x14ac:dyDescent="0.25">
      <c r="A20547"/>
      <c r="B20547"/>
      <c r="C20547"/>
      <c r="E20547"/>
      <c r="F20547"/>
    </row>
    <row r="20548" spans="1:6" x14ac:dyDescent="0.25">
      <c r="A20548"/>
      <c r="B20548"/>
      <c r="C20548"/>
      <c r="E20548"/>
      <c r="F20548"/>
    </row>
    <row r="20549" spans="1:6" x14ac:dyDescent="0.25">
      <c r="A20549"/>
      <c r="B20549"/>
      <c r="C20549"/>
      <c r="E20549"/>
      <c r="F20549"/>
    </row>
    <row r="20550" spans="1:6" x14ac:dyDescent="0.25">
      <c r="A20550"/>
      <c r="B20550"/>
      <c r="C20550"/>
      <c r="E20550"/>
      <c r="F20550"/>
    </row>
    <row r="20551" spans="1:6" x14ac:dyDescent="0.25">
      <c r="A20551"/>
      <c r="B20551"/>
      <c r="C20551"/>
      <c r="E20551"/>
      <c r="F20551"/>
    </row>
    <row r="20552" spans="1:6" x14ac:dyDescent="0.25">
      <c r="A20552"/>
      <c r="B20552"/>
      <c r="C20552"/>
      <c r="E20552"/>
      <c r="F20552"/>
    </row>
    <row r="20553" spans="1:6" x14ac:dyDescent="0.25">
      <c r="A20553"/>
      <c r="B20553"/>
      <c r="C20553"/>
      <c r="E20553"/>
      <c r="F20553"/>
    </row>
    <row r="20554" spans="1:6" x14ac:dyDescent="0.25">
      <c r="A20554"/>
      <c r="B20554"/>
      <c r="C20554"/>
      <c r="E20554"/>
      <c r="F20554"/>
    </row>
    <row r="20555" spans="1:6" x14ac:dyDescent="0.25">
      <c r="A20555"/>
      <c r="B20555"/>
      <c r="C20555"/>
      <c r="E20555"/>
      <c r="F20555"/>
    </row>
    <row r="20556" spans="1:6" x14ac:dyDescent="0.25">
      <c r="A20556"/>
      <c r="B20556"/>
      <c r="C20556"/>
      <c r="E20556"/>
      <c r="F20556"/>
    </row>
    <row r="20557" spans="1:6" x14ac:dyDescent="0.25">
      <c r="A20557"/>
      <c r="B20557"/>
      <c r="C20557"/>
      <c r="E20557"/>
      <c r="F20557"/>
    </row>
    <row r="20558" spans="1:6" x14ac:dyDescent="0.25">
      <c r="A20558"/>
      <c r="B20558"/>
      <c r="C20558"/>
      <c r="E20558"/>
      <c r="F20558"/>
    </row>
    <row r="20559" spans="1:6" x14ac:dyDescent="0.25">
      <c r="A20559"/>
      <c r="B20559"/>
      <c r="C20559"/>
      <c r="E20559"/>
      <c r="F20559"/>
    </row>
    <row r="20560" spans="1:6" x14ac:dyDescent="0.25">
      <c r="A20560"/>
      <c r="B20560"/>
      <c r="C20560"/>
      <c r="E20560"/>
      <c r="F20560"/>
    </row>
    <row r="20561" spans="1:6" x14ac:dyDescent="0.25">
      <c r="A20561"/>
      <c r="B20561"/>
      <c r="C20561"/>
      <c r="E20561"/>
      <c r="F20561"/>
    </row>
    <row r="20562" spans="1:6" x14ac:dyDescent="0.25">
      <c r="A20562"/>
      <c r="B20562"/>
      <c r="C20562"/>
      <c r="E20562"/>
      <c r="F20562"/>
    </row>
    <row r="20563" spans="1:6" x14ac:dyDescent="0.25">
      <c r="A20563"/>
      <c r="B20563"/>
      <c r="C20563"/>
      <c r="E20563"/>
      <c r="F20563"/>
    </row>
    <row r="20564" spans="1:6" x14ac:dyDescent="0.25">
      <c r="A20564"/>
      <c r="B20564"/>
      <c r="C20564"/>
      <c r="E20564"/>
      <c r="F20564"/>
    </row>
    <row r="20565" spans="1:6" x14ac:dyDescent="0.25">
      <c r="A20565"/>
      <c r="B20565"/>
      <c r="C20565"/>
      <c r="E20565"/>
      <c r="F20565"/>
    </row>
    <row r="20566" spans="1:6" x14ac:dyDescent="0.25">
      <c r="A20566"/>
      <c r="B20566"/>
      <c r="C20566"/>
      <c r="E20566"/>
      <c r="F20566"/>
    </row>
    <row r="20567" spans="1:6" x14ac:dyDescent="0.25">
      <c r="A20567"/>
      <c r="B20567"/>
      <c r="C20567"/>
      <c r="E20567"/>
      <c r="F20567"/>
    </row>
    <row r="20568" spans="1:6" x14ac:dyDescent="0.25">
      <c r="A20568"/>
      <c r="B20568"/>
      <c r="C20568"/>
      <c r="E20568"/>
      <c r="F20568"/>
    </row>
    <row r="20569" spans="1:6" x14ac:dyDescent="0.25">
      <c r="A20569"/>
      <c r="B20569"/>
      <c r="C20569"/>
      <c r="E20569"/>
      <c r="F20569"/>
    </row>
    <row r="20570" spans="1:6" x14ac:dyDescent="0.25">
      <c r="A20570"/>
      <c r="B20570"/>
      <c r="C20570"/>
      <c r="E20570"/>
      <c r="F20570"/>
    </row>
    <row r="20571" spans="1:6" x14ac:dyDescent="0.25">
      <c r="A20571"/>
      <c r="B20571"/>
      <c r="C20571"/>
      <c r="E20571"/>
      <c r="F20571"/>
    </row>
    <row r="20572" spans="1:6" x14ac:dyDescent="0.25">
      <c r="A20572"/>
      <c r="B20572"/>
      <c r="C20572"/>
      <c r="E20572"/>
      <c r="F20572"/>
    </row>
    <row r="20573" spans="1:6" x14ac:dyDescent="0.25">
      <c r="A20573"/>
      <c r="B20573"/>
      <c r="C20573"/>
      <c r="E20573"/>
      <c r="F20573"/>
    </row>
    <row r="20574" spans="1:6" x14ac:dyDescent="0.25">
      <c r="A20574"/>
      <c r="B20574"/>
      <c r="C20574"/>
      <c r="E20574"/>
      <c r="F20574"/>
    </row>
    <row r="20575" spans="1:6" x14ac:dyDescent="0.25">
      <c r="A20575"/>
      <c r="B20575"/>
      <c r="C20575"/>
      <c r="E20575"/>
      <c r="F20575"/>
    </row>
    <row r="20576" spans="1:6" x14ac:dyDescent="0.25">
      <c r="A20576"/>
      <c r="B20576"/>
      <c r="C20576"/>
      <c r="E20576"/>
      <c r="F20576"/>
    </row>
    <row r="20577" spans="1:6" x14ac:dyDescent="0.25">
      <c r="A20577"/>
      <c r="B20577"/>
      <c r="C20577"/>
      <c r="E20577"/>
      <c r="F20577"/>
    </row>
    <row r="20578" spans="1:6" x14ac:dyDescent="0.25">
      <c r="A20578"/>
      <c r="B20578"/>
      <c r="C20578"/>
      <c r="E20578"/>
      <c r="F20578"/>
    </row>
    <row r="20579" spans="1:6" x14ac:dyDescent="0.25">
      <c r="A20579"/>
      <c r="B20579"/>
      <c r="C20579"/>
      <c r="E20579"/>
      <c r="F20579"/>
    </row>
    <row r="20580" spans="1:6" x14ac:dyDescent="0.25">
      <c r="A20580"/>
      <c r="B20580"/>
      <c r="C20580"/>
      <c r="E20580"/>
      <c r="F20580"/>
    </row>
    <row r="20581" spans="1:6" x14ac:dyDescent="0.25">
      <c r="A20581"/>
      <c r="B20581"/>
      <c r="C20581"/>
      <c r="E20581"/>
      <c r="F20581"/>
    </row>
    <row r="20582" spans="1:6" x14ac:dyDescent="0.25">
      <c r="A20582"/>
      <c r="B20582"/>
      <c r="C20582"/>
      <c r="E20582"/>
      <c r="F20582"/>
    </row>
    <row r="20583" spans="1:6" x14ac:dyDescent="0.25">
      <c r="A20583"/>
      <c r="B20583"/>
      <c r="C20583"/>
      <c r="E20583"/>
      <c r="F20583"/>
    </row>
    <row r="20584" spans="1:6" x14ac:dyDescent="0.25">
      <c r="A20584"/>
      <c r="B20584"/>
      <c r="C20584"/>
      <c r="E20584"/>
      <c r="F20584"/>
    </row>
    <row r="20585" spans="1:6" x14ac:dyDescent="0.25">
      <c r="A20585"/>
      <c r="B20585"/>
      <c r="C20585"/>
      <c r="E20585"/>
      <c r="F20585"/>
    </row>
    <row r="20586" spans="1:6" x14ac:dyDescent="0.25">
      <c r="A20586"/>
      <c r="B20586"/>
      <c r="C20586"/>
      <c r="E20586"/>
      <c r="F20586"/>
    </row>
    <row r="20587" spans="1:6" x14ac:dyDescent="0.25">
      <c r="A20587"/>
      <c r="B20587"/>
      <c r="C20587"/>
      <c r="E20587"/>
      <c r="F20587"/>
    </row>
    <row r="20588" spans="1:6" x14ac:dyDescent="0.25">
      <c r="A20588"/>
      <c r="B20588"/>
      <c r="C20588"/>
      <c r="E20588"/>
      <c r="F20588"/>
    </row>
    <row r="20589" spans="1:6" x14ac:dyDescent="0.25">
      <c r="A20589"/>
      <c r="B20589"/>
      <c r="C20589"/>
      <c r="E20589"/>
      <c r="F20589"/>
    </row>
    <row r="20590" spans="1:6" x14ac:dyDescent="0.25">
      <c r="A20590"/>
      <c r="B20590"/>
      <c r="C20590"/>
      <c r="E20590"/>
      <c r="F20590"/>
    </row>
    <row r="20591" spans="1:6" x14ac:dyDescent="0.25">
      <c r="A20591"/>
      <c r="B20591"/>
      <c r="C20591"/>
      <c r="E20591"/>
      <c r="F20591"/>
    </row>
    <row r="20592" spans="1:6" x14ac:dyDescent="0.25">
      <c r="A20592"/>
      <c r="B20592"/>
      <c r="C20592"/>
      <c r="E20592"/>
      <c r="F20592"/>
    </row>
    <row r="20593" spans="1:6" x14ac:dyDescent="0.25">
      <c r="A20593"/>
      <c r="B20593"/>
      <c r="C20593"/>
      <c r="E20593"/>
      <c r="F20593"/>
    </row>
    <row r="20594" spans="1:6" x14ac:dyDescent="0.25">
      <c r="A20594"/>
      <c r="B20594"/>
      <c r="C20594"/>
      <c r="E20594"/>
      <c r="F20594"/>
    </row>
    <row r="20595" spans="1:6" x14ac:dyDescent="0.25">
      <c r="A20595"/>
      <c r="B20595"/>
      <c r="C20595"/>
      <c r="E20595"/>
      <c r="F20595"/>
    </row>
    <row r="20596" spans="1:6" x14ac:dyDescent="0.25">
      <c r="A20596"/>
      <c r="B20596"/>
      <c r="C20596"/>
      <c r="E20596"/>
      <c r="F20596"/>
    </row>
    <row r="20597" spans="1:6" x14ac:dyDescent="0.25">
      <c r="A20597"/>
      <c r="B20597"/>
      <c r="C20597"/>
      <c r="E20597"/>
      <c r="F20597"/>
    </row>
    <row r="20598" spans="1:6" x14ac:dyDescent="0.25">
      <c r="A20598"/>
      <c r="B20598"/>
      <c r="C20598"/>
      <c r="E20598"/>
      <c r="F20598"/>
    </row>
    <row r="20599" spans="1:6" x14ac:dyDescent="0.25">
      <c r="A20599"/>
      <c r="B20599"/>
      <c r="C20599"/>
      <c r="E20599"/>
      <c r="F20599"/>
    </row>
    <row r="20600" spans="1:6" x14ac:dyDescent="0.25">
      <c r="A20600"/>
      <c r="B20600"/>
      <c r="C20600"/>
      <c r="E20600"/>
      <c r="F20600"/>
    </row>
    <row r="20601" spans="1:6" x14ac:dyDescent="0.25">
      <c r="A20601"/>
      <c r="B20601"/>
      <c r="C20601"/>
      <c r="E20601"/>
      <c r="F20601"/>
    </row>
    <row r="20602" spans="1:6" x14ac:dyDescent="0.25">
      <c r="A20602"/>
      <c r="B20602"/>
      <c r="C20602"/>
      <c r="E20602"/>
      <c r="F20602"/>
    </row>
    <row r="20603" spans="1:6" x14ac:dyDescent="0.25">
      <c r="A20603"/>
      <c r="B20603"/>
      <c r="C20603"/>
      <c r="E20603"/>
      <c r="F20603"/>
    </row>
    <row r="20604" spans="1:6" x14ac:dyDescent="0.25">
      <c r="A20604"/>
      <c r="B20604"/>
      <c r="C20604"/>
      <c r="E20604"/>
      <c r="F20604"/>
    </row>
    <row r="20605" spans="1:6" x14ac:dyDescent="0.25">
      <c r="A20605"/>
      <c r="B20605"/>
      <c r="C20605"/>
      <c r="E20605"/>
      <c r="F20605"/>
    </row>
    <row r="20606" spans="1:6" x14ac:dyDescent="0.25">
      <c r="A20606"/>
      <c r="B20606"/>
      <c r="C20606"/>
      <c r="E20606"/>
      <c r="F20606"/>
    </row>
    <row r="20607" spans="1:6" x14ac:dyDescent="0.25">
      <c r="A20607"/>
      <c r="B20607"/>
      <c r="C20607"/>
      <c r="E20607"/>
      <c r="F20607"/>
    </row>
    <row r="20608" spans="1:6" x14ac:dyDescent="0.25">
      <c r="A20608"/>
      <c r="B20608"/>
      <c r="C20608"/>
      <c r="E20608"/>
      <c r="F20608"/>
    </row>
    <row r="20609" spans="1:6" x14ac:dyDescent="0.25">
      <c r="A20609"/>
      <c r="B20609"/>
      <c r="C20609"/>
      <c r="E20609"/>
      <c r="F20609"/>
    </row>
    <row r="20610" spans="1:6" x14ac:dyDescent="0.25">
      <c r="A20610"/>
      <c r="B20610"/>
      <c r="C20610"/>
      <c r="E20610"/>
      <c r="F20610"/>
    </row>
    <row r="20611" spans="1:6" x14ac:dyDescent="0.25">
      <c r="A20611"/>
      <c r="B20611"/>
      <c r="C20611"/>
      <c r="E20611"/>
      <c r="F20611"/>
    </row>
    <row r="20612" spans="1:6" x14ac:dyDescent="0.25">
      <c r="A20612"/>
      <c r="B20612"/>
      <c r="C20612"/>
      <c r="E20612"/>
      <c r="F20612"/>
    </row>
    <row r="20613" spans="1:6" x14ac:dyDescent="0.25">
      <c r="A20613"/>
      <c r="B20613"/>
      <c r="C20613"/>
      <c r="E20613"/>
      <c r="F20613"/>
    </row>
    <row r="20614" spans="1:6" x14ac:dyDescent="0.25">
      <c r="A20614"/>
      <c r="B20614"/>
      <c r="C20614"/>
      <c r="E20614"/>
      <c r="F20614"/>
    </row>
    <row r="20615" spans="1:6" x14ac:dyDescent="0.25">
      <c r="A20615"/>
      <c r="B20615"/>
      <c r="C20615"/>
      <c r="E20615"/>
      <c r="F20615"/>
    </row>
    <row r="20616" spans="1:6" x14ac:dyDescent="0.25">
      <c r="A20616"/>
      <c r="B20616"/>
      <c r="C20616"/>
      <c r="E20616"/>
      <c r="F20616"/>
    </row>
    <row r="20617" spans="1:6" x14ac:dyDescent="0.25">
      <c r="A20617"/>
      <c r="B20617"/>
      <c r="C20617"/>
      <c r="E20617"/>
      <c r="F20617"/>
    </row>
    <row r="20618" spans="1:6" x14ac:dyDescent="0.25">
      <c r="A20618"/>
      <c r="B20618"/>
      <c r="C20618"/>
      <c r="E20618"/>
      <c r="F20618"/>
    </row>
    <row r="20619" spans="1:6" x14ac:dyDescent="0.25">
      <c r="A20619"/>
      <c r="B20619"/>
      <c r="C20619"/>
      <c r="E20619"/>
      <c r="F20619"/>
    </row>
    <row r="20620" spans="1:6" x14ac:dyDescent="0.25">
      <c r="A20620"/>
      <c r="B20620"/>
      <c r="C20620"/>
      <c r="E20620"/>
      <c r="F20620"/>
    </row>
    <row r="20621" spans="1:6" x14ac:dyDescent="0.25">
      <c r="A20621"/>
      <c r="B20621"/>
      <c r="C20621"/>
      <c r="E20621"/>
      <c r="F20621"/>
    </row>
    <row r="20622" spans="1:6" x14ac:dyDescent="0.25">
      <c r="A20622"/>
      <c r="B20622"/>
      <c r="C20622"/>
      <c r="E20622"/>
      <c r="F20622"/>
    </row>
    <row r="20623" spans="1:6" x14ac:dyDescent="0.25">
      <c r="A20623"/>
      <c r="B20623"/>
      <c r="C20623"/>
      <c r="E20623"/>
      <c r="F20623"/>
    </row>
    <row r="20624" spans="1:6" x14ac:dyDescent="0.25">
      <c r="A20624"/>
      <c r="B20624"/>
      <c r="C20624"/>
      <c r="E20624"/>
      <c r="F20624"/>
    </row>
    <row r="20625" spans="1:6" x14ac:dyDescent="0.25">
      <c r="A20625"/>
      <c r="B20625"/>
      <c r="C20625"/>
      <c r="E20625"/>
      <c r="F20625"/>
    </row>
    <row r="20626" spans="1:6" x14ac:dyDescent="0.25">
      <c r="A20626"/>
      <c r="B20626"/>
      <c r="C20626"/>
      <c r="E20626"/>
      <c r="F20626"/>
    </row>
    <row r="20627" spans="1:6" x14ac:dyDescent="0.25">
      <c r="A20627"/>
      <c r="B20627"/>
      <c r="C20627"/>
      <c r="E20627"/>
      <c r="F20627"/>
    </row>
    <row r="20628" spans="1:6" x14ac:dyDescent="0.25">
      <c r="A20628"/>
      <c r="B20628"/>
      <c r="C20628"/>
      <c r="E20628"/>
      <c r="F20628"/>
    </row>
    <row r="20629" spans="1:6" x14ac:dyDescent="0.25">
      <c r="A20629"/>
      <c r="B20629"/>
      <c r="C20629"/>
      <c r="E20629"/>
      <c r="F20629"/>
    </row>
    <row r="20630" spans="1:6" x14ac:dyDescent="0.25">
      <c r="A20630"/>
      <c r="B20630"/>
      <c r="C20630"/>
      <c r="E20630"/>
      <c r="F20630"/>
    </row>
    <row r="20631" spans="1:6" x14ac:dyDescent="0.25">
      <c r="A20631"/>
      <c r="B20631"/>
      <c r="C20631"/>
      <c r="E20631"/>
      <c r="F20631"/>
    </row>
    <row r="20632" spans="1:6" x14ac:dyDescent="0.25">
      <c r="A20632"/>
      <c r="B20632"/>
      <c r="C20632"/>
      <c r="E20632"/>
      <c r="F20632"/>
    </row>
    <row r="20633" spans="1:6" x14ac:dyDescent="0.25">
      <c r="A20633"/>
      <c r="B20633"/>
      <c r="C20633"/>
      <c r="E20633"/>
      <c r="F20633"/>
    </row>
    <row r="20634" spans="1:6" x14ac:dyDescent="0.25">
      <c r="A20634"/>
      <c r="B20634"/>
      <c r="C20634"/>
      <c r="E20634"/>
      <c r="F20634"/>
    </row>
    <row r="20635" spans="1:6" x14ac:dyDescent="0.25">
      <c r="A20635"/>
      <c r="B20635"/>
      <c r="C20635"/>
      <c r="E20635"/>
      <c r="F20635"/>
    </row>
    <row r="20636" spans="1:6" x14ac:dyDescent="0.25">
      <c r="A20636"/>
      <c r="B20636"/>
      <c r="C20636"/>
      <c r="E20636"/>
      <c r="F20636"/>
    </row>
    <row r="20637" spans="1:6" x14ac:dyDescent="0.25">
      <c r="A20637"/>
      <c r="B20637"/>
      <c r="C20637"/>
      <c r="E20637"/>
      <c r="F20637"/>
    </row>
    <row r="20638" spans="1:6" x14ac:dyDescent="0.25">
      <c r="A20638"/>
      <c r="B20638"/>
      <c r="C20638"/>
      <c r="E20638"/>
      <c r="F20638"/>
    </row>
    <row r="20639" spans="1:6" x14ac:dyDescent="0.25">
      <c r="A20639"/>
      <c r="B20639"/>
      <c r="C20639"/>
      <c r="E20639"/>
      <c r="F20639"/>
    </row>
    <row r="20640" spans="1:6" x14ac:dyDescent="0.25">
      <c r="A20640"/>
      <c r="B20640"/>
      <c r="C20640"/>
      <c r="E20640"/>
      <c r="F20640"/>
    </row>
    <row r="20641" spans="1:6" x14ac:dyDescent="0.25">
      <c r="A20641"/>
      <c r="B20641"/>
      <c r="C20641"/>
      <c r="E20641"/>
      <c r="F20641"/>
    </row>
    <row r="20642" spans="1:6" x14ac:dyDescent="0.25">
      <c r="A20642"/>
      <c r="B20642"/>
      <c r="C20642"/>
      <c r="E20642"/>
      <c r="F20642"/>
    </row>
    <row r="20643" spans="1:6" x14ac:dyDescent="0.25">
      <c r="A20643"/>
      <c r="B20643"/>
      <c r="C20643"/>
      <c r="E20643"/>
      <c r="F20643"/>
    </row>
    <row r="20644" spans="1:6" x14ac:dyDescent="0.25">
      <c r="A20644"/>
      <c r="B20644"/>
      <c r="C20644"/>
      <c r="E20644"/>
      <c r="F20644"/>
    </row>
    <row r="20645" spans="1:6" x14ac:dyDescent="0.25">
      <c r="A20645"/>
      <c r="B20645"/>
      <c r="C20645"/>
      <c r="E20645"/>
      <c r="F20645"/>
    </row>
    <row r="20646" spans="1:6" x14ac:dyDescent="0.25">
      <c r="A20646"/>
      <c r="B20646"/>
      <c r="C20646"/>
      <c r="E20646"/>
      <c r="F20646"/>
    </row>
    <row r="20647" spans="1:6" x14ac:dyDescent="0.25">
      <c r="A20647"/>
      <c r="B20647"/>
      <c r="C20647"/>
      <c r="E20647"/>
      <c r="F20647"/>
    </row>
    <row r="20648" spans="1:6" x14ac:dyDescent="0.25">
      <c r="A20648"/>
      <c r="B20648"/>
      <c r="C20648"/>
      <c r="E20648"/>
      <c r="F20648"/>
    </row>
    <row r="20649" spans="1:6" x14ac:dyDescent="0.25">
      <c r="A20649"/>
      <c r="B20649"/>
      <c r="C20649"/>
      <c r="E20649"/>
      <c r="F20649"/>
    </row>
    <row r="20650" spans="1:6" x14ac:dyDescent="0.25">
      <c r="A20650"/>
      <c r="B20650"/>
      <c r="C20650"/>
      <c r="E20650"/>
      <c r="F20650"/>
    </row>
    <row r="20651" spans="1:6" x14ac:dyDescent="0.25">
      <c r="A20651"/>
      <c r="B20651"/>
      <c r="C20651"/>
      <c r="E20651"/>
      <c r="F20651"/>
    </row>
    <row r="20652" spans="1:6" x14ac:dyDescent="0.25">
      <c r="A20652"/>
      <c r="B20652"/>
      <c r="C20652"/>
      <c r="E20652"/>
      <c r="F20652"/>
    </row>
    <row r="20653" spans="1:6" x14ac:dyDescent="0.25">
      <c r="A20653"/>
      <c r="B20653"/>
      <c r="C20653"/>
      <c r="E20653"/>
      <c r="F20653"/>
    </row>
    <row r="20654" spans="1:6" x14ac:dyDescent="0.25">
      <c r="A20654"/>
      <c r="B20654"/>
      <c r="C20654"/>
      <c r="E20654"/>
      <c r="F20654"/>
    </row>
    <row r="20655" spans="1:6" x14ac:dyDescent="0.25">
      <c r="A20655"/>
      <c r="B20655"/>
      <c r="C20655"/>
      <c r="E20655"/>
      <c r="F20655"/>
    </row>
    <row r="20656" spans="1:6" x14ac:dyDescent="0.25">
      <c r="A20656"/>
      <c r="B20656"/>
      <c r="C20656"/>
      <c r="E20656"/>
      <c r="F20656"/>
    </row>
    <row r="20657" spans="1:6" x14ac:dyDescent="0.25">
      <c r="A20657"/>
      <c r="B20657"/>
      <c r="C20657"/>
      <c r="E20657"/>
      <c r="F20657"/>
    </row>
    <row r="20658" spans="1:6" x14ac:dyDescent="0.25">
      <c r="A20658"/>
      <c r="B20658"/>
      <c r="C20658"/>
      <c r="E20658"/>
      <c r="F20658"/>
    </row>
    <row r="20659" spans="1:6" x14ac:dyDescent="0.25">
      <c r="A20659"/>
      <c r="B20659"/>
      <c r="C20659"/>
      <c r="E20659"/>
      <c r="F20659"/>
    </row>
    <row r="20660" spans="1:6" x14ac:dyDescent="0.25">
      <c r="A20660"/>
      <c r="B20660"/>
      <c r="C20660"/>
      <c r="E20660"/>
      <c r="F20660"/>
    </row>
    <row r="20661" spans="1:6" x14ac:dyDescent="0.25">
      <c r="A20661"/>
      <c r="B20661"/>
      <c r="C20661"/>
      <c r="E20661"/>
      <c r="F20661"/>
    </row>
    <row r="20662" spans="1:6" x14ac:dyDescent="0.25">
      <c r="A20662"/>
      <c r="B20662"/>
      <c r="C20662"/>
      <c r="E20662"/>
      <c r="F20662"/>
    </row>
    <row r="20663" spans="1:6" x14ac:dyDescent="0.25">
      <c r="A20663"/>
      <c r="B20663"/>
      <c r="C20663"/>
      <c r="E20663"/>
      <c r="F20663"/>
    </row>
    <row r="20664" spans="1:6" x14ac:dyDescent="0.25">
      <c r="A20664"/>
      <c r="B20664"/>
      <c r="C20664"/>
      <c r="E20664"/>
      <c r="F20664"/>
    </row>
    <row r="20665" spans="1:6" x14ac:dyDescent="0.25">
      <c r="A20665"/>
      <c r="B20665"/>
      <c r="C20665"/>
      <c r="E20665"/>
      <c r="F20665"/>
    </row>
    <row r="20666" spans="1:6" x14ac:dyDescent="0.25">
      <c r="A20666"/>
      <c r="B20666"/>
      <c r="C20666"/>
      <c r="E20666"/>
      <c r="F20666"/>
    </row>
    <row r="20667" spans="1:6" x14ac:dyDescent="0.25">
      <c r="A20667"/>
      <c r="B20667"/>
      <c r="C20667"/>
      <c r="E20667"/>
      <c r="F20667"/>
    </row>
    <row r="20668" spans="1:6" x14ac:dyDescent="0.25">
      <c r="A20668"/>
      <c r="B20668"/>
      <c r="C20668"/>
      <c r="E20668"/>
      <c r="F20668"/>
    </row>
    <row r="20669" spans="1:6" x14ac:dyDescent="0.25">
      <c r="A20669"/>
      <c r="B20669"/>
      <c r="C20669"/>
      <c r="E20669"/>
      <c r="F20669"/>
    </row>
    <row r="20670" spans="1:6" x14ac:dyDescent="0.25">
      <c r="A20670"/>
      <c r="B20670"/>
      <c r="C20670"/>
      <c r="E20670"/>
      <c r="F20670"/>
    </row>
    <row r="20671" spans="1:6" x14ac:dyDescent="0.25">
      <c r="A20671"/>
      <c r="B20671"/>
      <c r="C20671"/>
      <c r="E20671"/>
      <c r="F20671"/>
    </row>
    <row r="20672" spans="1:6" x14ac:dyDescent="0.25">
      <c r="A20672"/>
      <c r="B20672"/>
      <c r="C20672"/>
      <c r="E20672"/>
      <c r="F20672"/>
    </row>
    <row r="20673" spans="1:6" x14ac:dyDescent="0.25">
      <c r="A20673"/>
      <c r="B20673"/>
      <c r="C20673"/>
      <c r="E20673"/>
      <c r="F20673"/>
    </row>
    <row r="20674" spans="1:6" x14ac:dyDescent="0.25">
      <c r="A20674"/>
      <c r="B20674"/>
      <c r="C20674"/>
      <c r="E20674"/>
      <c r="F20674"/>
    </row>
    <row r="20675" spans="1:6" x14ac:dyDescent="0.25">
      <c r="A20675"/>
      <c r="B20675"/>
      <c r="C20675"/>
      <c r="E20675"/>
      <c r="F20675"/>
    </row>
    <row r="20676" spans="1:6" x14ac:dyDescent="0.25">
      <c r="A20676"/>
      <c r="B20676"/>
      <c r="C20676"/>
      <c r="E20676"/>
      <c r="F20676"/>
    </row>
    <row r="20677" spans="1:6" x14ac:dyDescent="0.25">
      <c r="A20677"/>
      <c r="B20677"/>
      <c r="C20677"/>
      <c r="E20677"/>
      <c r="F20677"/>
    </row>
    <row r="20678" spans="1:6" x14ac:dyDescent="0.25">
      <c r="A20678"/>
      <c r="B20678"/>
      <c r="C20678"/>
      <c r="E20678"/>
      <c r="F20678"/>
    </row>
    <row r="20679" spans="1:6" x14ac:dyDescent="0.25">
      <c r="A20679"/>
      <c r="B20679"/>
      <c r="C20679"/>
      <c r="E20679"/>
      <c r="F20679"/>
    </row>
    <row r="20680" spans="1:6" x14ac:dyDescent="0.25">
      <c r="A20680"/>
      <c r="B20680"/>
      <c r="C20680"/>
      <c r="E20680"/>
      <c r="F20680"/>
    </row>
    <row r="20681" spans="1:6" x14ac:dyDescent="0.25">
      <c r="A20681"/>
      <c r="B20681"/>
      <c r="C20681"/>
      <c r="E20681"/>
      <c r="F20681"/>
    </row>
    <row r="20682" spans="1:6" x14ac:dyDescent="0.25">
      <c r="A20682"/>
      <c r="B20682"/>
      <c r="C20682"/>
      <c r="E20682"/>
      <c r="F20682"/>
    </row>
    <row r="20683" spans="1:6" x14ac:dyDescent="0.25">
      <c r="A20683"/>
      <c r="B20683"/>
      <c r="C20683"/>
      <c r="E20683"/>
      <c r="F20683"/>
    </row>
    <row r="20684" spans="1:6" x14ac:dyDescent="0.25">
      <c r="A20684"/>
      <c r="B20684"/>
      <c r="C20684"/>
      <c r="E20684"/>
      <c r="F20684"/>
    </row>
    <row r="20685" spans="1:6" x14ac:dyDescent="0.25">
      <c r="A20685"/>
      <c r="B20685"/>
      <c r="C20685"/>
      <c r="E20685"/>
      <c r="F20685"/>
    </row>
    <row r="20686" spans="1:6" x14ac:dyDescent="0.25">
      <c r="A20686"/>
      <c r="B20686"/>
      <c r="C20686"/>
      <c r="E20686"/>
      <c r="F20686"/>
    </row>
    <row r="20687" spans="1:6" x14ac:dyDescent="0.25">
      <c r="A20687"/>
      <c r="B20687"/>
      <c r="C20687"/>
      <c r="E20687"/>
      <c r="F20687"/>
    </row>
    <row r="20688" spans="1:6" x14ac:dyDescent="0.25">
      <c r="A20688"/>
      <c r="B20688"/>
      <c r="C20688"/>
      <c r="E20688"/>
      <c r="F20688"/>
    </row>
    <row r="20689" spans="1:6" x14ac:dyDescent="0.25">
      <c r="A20689"/>
      <c r="B20689"/>
      <c r="C20689"/>
      <c r="E20689"/>
      <c r="F20689"/>
    </row>
    <row r="20690" spans="1:6" x14ac:dyDescent="0.25">
      <c r="A20690"/>
      <c r="B20690"/>
      <c r="C20690"/>
      <c r="E20690"/>
      <c r="F20690"/>
    </row>
    <row r="20691" spans="1:6" x14ac:dyDescent="0.25">
      <c r="A20691"/>
      <c r="B20691"/>
      <c r="C20691"/>
      <c r="E20691"/>
      <c r="F20691"/>
    </row>
    <row r="20692" spans="1:6" x14ac:dyDescent="0.25">
      <c r="A20692"/>
      <c r="B20692"/>
      <c r="C20692"/>
      <c r="E20692"/>
      <c r="F20692"/>
    </row>
    <row r="20693" spans="1:6" x14ac:dyDescent="0.25">
      <c r="A20693"/>
      <c r="B20693"/>
      <c r="C20693"/>
      <c r="E20693"/>
      <c r="F20693"/>
    </row>
    <row r="20694" spans="1:6" x14ac:dyDescent="0.25">
      <c r="A20694"/>
      <c r="B20694"/>
      <c r="C20694"/>
      <c r="E20694"/>
      <c r="F20694"/>
    </row>
    <row r="20695" spans="1:6" x14ac:dyDescent="0.25">
      <c r="A20695"/>
      <c r="B20695"/>
      <c r="C20695"/>
      <c r="E20695"/>
      <c r="F20695"/>
    </row>
    <row r="20696" spans="1:6" x14ac:dyDescent="0.25">
      <c r="A20696"/>
      <c r="B20696"/>
      <c r="C20696"/>
      <c r="E20696"/>
      <c r="F20696"/>
    </row>
    <row r="20697" spans="1:6" x14ac:dyDescent="0.25">
      <c r="A20697"/>
      <c r="B20697"/>
      <c r="C20697"/>
      <c r="E20697"/>
      <c r="F20697"/>
    </row>
    <row r="20698" spans="1:6" x14ac:dyDescent="0.25">
      <c r="A20698"/>
      <c r="B20698"/>
      <c r="C20698"/>
      <c r="E20698"/>
      <c r="F20698"/>
    </row>
    <row r="20699" spans="1:6" x14ac:dyDescent="0.25">
      <c r="A20699"/>
      <c r="B20699"/>
      <c r="C20699"/>
      <c r="E20699"/>
      <c r="F20699"/>
    </row>
    <row r="20700" spans="1:6" x14ac:dyDescent="0.25">
      <c r="A20700"/>
      <c r="B20700"/>
      <c r="C20700"/>
      <c r="E20700"/>
      <c r="F20700"/>
    </row>
    <row r="20701" spans="1:6" x14ac:dyDescent="0.25">
      <c r="A20701"/>
      <c r="B20701"/>
      <c r="C20701"/>
      <c r="E20701"/>
      <c r="F20701"/>
    </row>
    <row r="20702" spans="1:6" x14ac:dyDescent="0.25">
      <c r="A20702"/>
      <c r="B20702"/>
      <c r="C20702"/>
      <c r="E20702"/>
      <c r="F20702"/>
    </row>
    <row r="20703" spans="1:6" x14ac:dyDescent="0.25">
      <c r="A20703"/>
      <c r="B20703"/>
      <c r="C20703"/>
      <c r="E20703"/>
      <c r="F20703"/>
    </row>
    <row r="20704" spans="1:6" x14ac:dyDescent="0.25">
      <c r="A20704"/>
      <c r="B20704"/>
      <c r="C20704"/>
      <c r="E20704"/>
      <c r="F20704"/>
    </row>
    <row r="20705" spans="1:6" x14ac:dyDescent="0.25">
      <c r="A20705"/>
      <c r="B20705"/>
      <c r="C20705"/>
      <c r="E20705"/>
      <c r="F20705"/>
    </row>
    <row r="20706" spans="1:6" x14ac:dyDescent="0.25">
      <c r="A20706"/>
      <c r="B20706"/>
      <c r="C20706"/>
      <c r="E20706"/>
      <c r="F20706"/>
    </row>
    <row r="20707" spans="1:6" x14ac:dyDescent="0.25">
      <c r="A20707"/>
      <c r="B20707"/>
      <c r="C20707"/>
      <c r="E20707"/>
      <c r="F20707"/>
    </row>
    <row r="20708" spans="1:6" x14ac:dyDescent="0.25">
      <c r="A20708"/>
      <c r="B20708"/>
      <c r="C20708"/>
      <c r="E20708"/>
      <c r="F20708"/>
    </row>
    <row r="20709" spans="1:6" x14ac:dyDescent="0.25">
      <c r="A20709"/>
      <c r="B20709"/>
      <c r="C20709"/>
      <c r="E20709"/>
      <c r="F20709"/>
    </row>
    <row r="20710" spans="1:6" x14ac:dyDescent="0.25">
      <c r="A20710"/>
      <c r="B20710"/>
      <c r="C20710"/>
      <c r="E20710"/>
      <c r="F20710"/>
    </row>
    <row r="20711" spans="1:6" x14ac:dyDescent="0.25">
      <c r="A20711"/>
      <c r="B20711"/>
      <c r="C20711"/>
      <c r="E20711"/>
      <c r="F20711"/>
    </row>
    <row r="20712" spans="1:6" x14ac:dyDescent="0.25">
      <c r="A20712"/>
      <c r="B20712"/>
      <c r="C20712"/>
      <c r="E20712"/>
      <c r="F20712"/>
    </row>
    <row r="20713" spans="1:6" x14ac:dyDescent="0.25">
      <c r="A20713"/>
      <c r="B20713"/>
      <c r="C20713"/>
      <c r="E20713"/>
      <c r="F20713"/>
    </row>
    <row r="20714" spans="1:6" x14ac:dyDescent="0.25">
      <c r="A20714"/>
      <c r="B20714"/>
      <c r="C20714"/>
      <c r="E20714"/>
      <c r="F20714"/>
    </row>
    <row r="20715" spans="1:6" x14ac:dyDescent="0.25">
      <c r="A20715"/>
      <c r="B20715"/>
      <c r="C20715"/>
      <c r="E20715"/>
      <c r="F20715"/>
    </row>
    <row r="20716" spans="1:6" x14ac:dyDescent="0.25">
      <c r="A20716"/>
      <c r="B20716"/>
      <c r="C20716"/>
      <c r="E20716"/>
      <c r="F20716"/>
    </row>
    <row r="20717" spans="1:6" x14ac:dyDescent="0.25">
      <c r="A20717"/>
      <c r="B20717"/>
      <c r="C20717"/>
      <c r="E20717"/>
      <c r="F20717"/>
    </row>
    <row r="20718" spans="1:6" x14ac:dyDescent="0.25">
      <c r="A20718"/>
      <c r="B20718"/>
      <c r="C20718"/>
      <c r="E20718"/>
      <c r="F20718"/>
    </row>
    <row r="20719" spans="1:6" x14ac:dyDescent="0.25">
      <c r="A20719"/>
      <c r="B20719"/>
      <c r="C20719"/>
      <c r="E20719"/>
      <c r="F20719"/>
    </row>
    <row r="20720" spans="1:6" x14ac:dyDescent="0.25">
      <c r="A20720"/>
      <c r="B20720"/>
      <c r="C20720"/>
      <c r="E20720"/>
      <c r="F20720"/>
    </row>
    <row r="20721" spans="1:6" x14ac:dyDescent="0.25">
      <c r="A20721"/>
      <c r="B20721"/>
      <c r="C20721"/>
      <c r="E20721"/>
      <c r="F20721"/>
    </row>
    <row r="20722" spans="1:6" x14ac:dyDescent="0.25">
      <c r="A20722"/>
      <c r="B20722"/>
      <c r="C20722"/>
      <c r="E20722"/>
      <c r="F20722"/>
    </row>
    <row r="20723" spans="1:6" x14ac:dyDescent="0.25">
      <c r="A20723"/>
      <c r="B20723"/>
      <c r="C20723"/>
      <c r="E20723"/>
      <c r="F20723"/>
    </row>
    <row r="20724" spans="1:6" x14ac:dyDescent="0.25">
      <c r="A20724"/>
      <c r="B20724"/>
      <c r="C20724"/>
      <c r="E20724"/>
      <c r="F20724"/>
    </row>
    <row r="20725" spans="1:6" x14ac:dyDescent="0.25">
      <c r="A20725"/>
      <c r="B20725"/>
      <c r="C20725"/>
      <c r="E20725"/>
      <c r="F20725"/>
    </row>
    <row r="20726" spans="1:6" x14ac:dyDescent="0.25">
      <c r="A20726"/>
      <c r="B20726"/>
      <c r="C20726"/>
      <c r="E20726"/>
      <c r="F20726"/>
    </row>
    <row r="20727" spans="1:6" x14ac:dyDescent="0.25">
      <c r="A20727"/>
      <c r="B20727"/>
      <c r="C20727"/>
      <c r="E20727"/>
      <c r="F20727"/>
    </row>
    <row r="20728" spans="1:6" x14ac:dyDescent="0.25">
      <c r="A20728"/>
      <c r="B20728"/>
      <c r="C20728"/>
      <c r="E20728"/>
      <c r="F20728"/>
    </row>
    <row r="20729" spans="1:6" x14ac:dyDescent="0.25">
      <c r="A20729"/>
      <c r="B20729"/>
      <c r="C20729"/>
      <c r="E20729"/>
      <c r="F20729"/>
    </row>
    <row r="20730" spans="1:6" x14ac:dyDescent="0.25">
      <c r="A20730"/>
      <c r="B20730"/>
      <c r="C20730"/>
      <c r="E20730"/>
      <c r="F20730"/>
    </row>
    <row r="20731" spans="1:6" x14ac:dyDescent="0.25">
      <c r="A20731"/>
      <c r="B20731"/>
      <c r="C20731"/>
      <c r="E20731"/>
      <c r="F20731"/>
    </row>
    <row r="20732" spans="1:6" x14ac:dyDescent="0.25">
      <c r="A20732"/>
      <c r="B20732"/>
      <c r="C20732"/>
      <c r="E20732"/>
      <c r="F20732"/>
    </row>
    <row r="20733" spans="1:6" x14ac:dyDescent="0.25">
      <c r="A20733"/>
      <c r="B20733"/>
      <c r="C20733"/>
      <c r="E20733"/>
      <c r="F20733"/>
    </row>
    <row r="20734" spans="1:6" x14ac:dyDescent="0.25">
      <c r="A20734"/>
      <c r="B20734"/>
      <c r="C20734"/>
      <c r="E20734"/>
      <c r="F20734"/>
    </row>
    <row r="20735" spans="1:6" x14ac:dyDescent="0.25">
      <c r="A20735"/>
      <c r="B20735"/>
      <c r="C20735"/>
      <c r="E20735"/>
      <c r="F20735"/>
    </row>
    <row r="20736" spans="1:6" x14ac:dyDescent="0.25">
      <c r="A20736"/>
      <c r="B20736"/>
      <c r="C20736"/>
      <c r="E20736"/>
      <c r="F20736"/>
    </row>
    <row r="20737" spans="1:6" x14ac:dyDescent="0.25">
      <c r="A20737"/>
      <c r="B20737"/>
      <c r="C20737"/>
      <c r="E20737"/>
      <c r="F20737"/>
    </row>
    <row r="20738" spans="1:6" x14ac:dyDescent="0.25">
      <c r="A20738"/>
      <c r="B20738"/>
      <c r="C20738"/>
      <c r="E20738"/>
      <c r="F20738"/>
    </row>
    <row r="20739" spans="1:6" x14ac:dyDescent="0.25">
      <c r="A20739"/>
      <c r="B20739"/>
      <c r="C20739"/>
      <c r="E20739"/>
      <c r="F20739"/>
    </row>
    <row r="20740" spans="1:6" x14ac:dyDescent="0.25">
      <c r="A20740"/>
      <c r="B20740"/>
      <c r="C20740"/>
      <c r="E20740"/>
      <c r="F20740"/>
    </row>
    <row r="20741" spans="1:6" x14ac:dyDescent="0.25">
      <c r="A20741"/>
      <c r="B20741"/>
      <c r="C20741"/>
      <c r="E20741"/>
      <c r="F20741"/>
    </row>
    <row r="20742" spans="1:6" x14ac:dyDescent="0.25">
      <c r="A20742"/>
      <c r="B20742"/>
      <c r="C20742"/>
      <c r="E20742"/>
      <c r="F20742"/>
    </row>
    <row r="20743" spans="1:6" x14ac:dyDescent="0.25">
      <c r="A20743"/>
      <c r="B20743"/>
      <c r="C20743"/>
      <c r="E20743"/>
      <c r="F20743"/>
    </row>
    <row r="20744" spans="1:6" x14ac:dyDescent="0.25">
      <c r="A20744"/>
      <c r="B20744"/>
      <c r="C20744"/>
      <c r="E20744"/>
      <c r="F20744"/>
    </row>
    <row r="20745" spans="1:6" x14ac:dyDescent="0.25">
      <c r="A20745"/>
      <c r="B20745"/>
      <c r="C20745"/>
      <c r="E20745"/>
      <c r="F20745"/>
    </row>
    <row r="20746" spans="1:6" x14ac:dyDescent="0.25">
      <c r="A20746"/>
      <c r="B20746"/>
      <c r="C20746"/>
      <c r="E20746"/>
      <c r="F20746"/>
    </row>
    <row r="20747" spans="1:6" x14ac:dyDescent="0.25">
      <c r="A20747"/>
      <c r="B20747"/>
      <c r="C20747"/>
      <c r="E20747"/>
      <c r="F20747"/>
    </row>
    <row r="20748" spans="1:6" x14ac:dyDescent="0.25">
      <c r="A20748"/>
      <c r="B20748"/>
      <c r="C20748"/>
      <c r="E20748"/>
      <c r="F20748"/>
    </row>
    <row r="20749" spans="1:6" x14ac:dyDescent="0.25">
      <c r="A20749"/>
      <c r="B20749"/>
      <c r="C20749"/>
      <c r="E20749"/>
      <c r="F20749"/>
    </row>
    <row r="20750" spans="1:6" x14ac:dyDescent="0.25">
      <c r="A20750"/>
      <c r="B20750"/>
      <c r="C20750"/>
      <c r="E20750"/>
      <c r="F20750"/>
    </row>
    <row r="20751" spans="1:6" x14ac:dyDescent="0.25">
      <c r="A20751"/>
      <c r="B20751"/>
      <c r="C20751"/>
      <c r="E20751"/>
      <c r="F20751"/>
    </row>
    <row r="20752" spans="1:6" x14ac:dyDescent="0.25">
      <c r="A20752"/>
      <c r="B20752"/>
      <c r="C20752"/>
      <c r="E20752"/>
      <c r="F20752"/>
    </row>
    <row r="20753" spans="1:6" x14ac:dyDescent="0.25">
      <c r="A20753"/>
      <c r="B20753"/>
      <c r="C20753"/>
      <c r="E20753"/>
      <c r="F20753"/>
    </row>
    <row r="20754" spans="1:6" x14ac:dyDescent="0.25">
      <c r="A20754"/>
      <c r="B20754"/>
      <c r="C20754"/>
      <c r="E20754"/>
      <c r="F20754"/>
    </row>
    <row r="20755" spans="1:6" x14ac:dyDescent="0.25">
      <c r="A20755"/>
      <c r="B20755"/>
      <c r="C20755"/>
      <c r="E20755"/>
      <c r="F20755"/>
    </row>
    <row r="20756" spans="1:6" x14ac:dyDescent="0.25">
      <c r="A20756"/>
      <c r="B20756"/>
      <c r="C20756"/>
      <c r="E20756"/>
      <c r="F20756"/>
    </row>
    <row r="20757" spans="1:6" x14ac:dyDescent="0.25">
      <c r="A20757"/>
      <c r="B20757"/>
      <c r="C20757"/>
      <c r="E20757"/>
      <c r="F20757"/>
    </row>
    <row r="20758" spans="1:6" x14ac:dyDescent="0.25">
      <c r="A20758"/>
      <c r="B20758"/>
      <c r="C20758"/>
      <c r="E20758"/>
      <c r="F20758"/>
    </row>
    <row r="20759" spans="1:6" x14ac:dyDescent="0.25">
      <c r="A20759"/>
      <c r="B20759"/>
      <c r="C20759"/>
      <c r="E20759"/>
      <c r="F20759"/>
    </row>
    <row r="20760" spans="1:6" x14ac:dyDescent="0.25">
      <c r="A20760"/>
      <c r="B20760"/>
      <c r="C20760"/>
      <c r="E20760"/>
      <c r="F20760"/>
    </row>
    <row r="20761" spans="1:6" x14ac:dyDescent="0.25">
      <c r="A20761"/>
      <c r="B20761"/>
      <c r="C20761"/>
      <c r="E20761"/>
      <c r="F20761"/>
    </row>
    <row r="20762" spans="1:6" x14ac:dyDescent="0.25">
      <c r="A20762"/>
      <c r="B20762"/>
      <c r="C20762"/>
      <c r="E20762"/>
      <c r="F20762"/>
    </row>
    <row r="20763" spans="1:6" x14ac:dyDescent="0.25">
      <c r="A20763"/>
      <c r="B20763"/>
      <c r="C20763"/>
      <c r="E20763"/>
      <c r="F20763"/>
    </row>
    <row r="20764" spans="1:6" x14ac:dyDescent="0.25">
      <c r="A20764"/>
      <c r="B20764"/>
      <c r="C20764"/>
      <c r="E20764"/>
      <c r="F20764"/>
    </row>
    <row r="20765" spans="1:6" x14ac:dyDescent="0.25">
      <c r="A20765"/>
      <c r="B20765"/>
      <c r="C20765"/>
      <c r="E20765"/>
      <c r="F20765"/>
    </row>
    <row r="20766" spans="1:6" x14ac:dyDescent="0.25">
      <c r="A20766"/>
      <c r="B20766"/>
      <c r="C20766"/>
      <c r="E20766"/>
      <c r="F20766"/>
    </row>
    <row r="20767" spans="1:6" x14ac:dyDescent="0.25">
      <c r="A20767"/>
      <c r="B20767"/>
      <c r="C20767"/>
      <c r="E20767"/>
      <c r="F20767"/>
    </row>
    <row r="20768" spans="1:6" x14ac:dyDescent="0.25">
      <c r="A20768"/>
      <c r="B20768"/>
      <c r="C20768"/>
      <c r="E20768"/>
      <c r="F20768"/>
    </row>
    <row r="20769" spans="1:6" x14ac:dyDescent="0.25">
      <c r="A20769"/>
      <c r="B20769"/>
      <c r="C20769"/>
      <c r="E20769"/>
      <c r="F20769"/>
    </row>
    <row r="20770" spans="1:6" x14ac:dyDescent="0.25">
      <c r="A20770"/>
      <c r="B20770"/>
      <c r="C20770"/>
      <c r="E20770"/>
      <c r="F20770"/>
    </row>
    <row r="20771" spans="1:6" x14ac:dyDescent="0.25">
      <c r="A20771"/>
      <c r="B20771"/>
      <c r="C20771"/>
      <c r="E20771"/>
      <c r="F20771"/>
    </row>
    <row r="20772" spans="1:6" x14ac:dyDescent="0.25">
      <c r="A20772"/>
      <c r="B20772"/>
      <c r="C20772"/>
      <c r="E20772"/>
      <c r="F20772"/>
    </row>
    <row r="20773" spans="1:6" x14ac:dyDescent="0.25">
      <c r="A20773"/>
      <c r="B20773"/>
      <c r="C20773"/>
      <c r="E20773"/>
      <c r="F20773"/>
    </row>
    <row r="20774" spans="1:6" x14ac:dyDescent="0.25">
      <c r="A20774"/>
      <c r="B20774"/>
      <c r="C20774"/>
      <c r="E20774"/>
      <c r="F20774"/>
    </row>
    <row r="20775" spans="1:6" x14ac:dyDescent="0.25">
      <c r="A20775"/>
      <c r="B20775"/>
      <c r="C20775"/>
      <c r="E20775"/>
      <c r="F20775"/>
    </row>
    <row r="20776" spans="1:6" x14ac:dyDescent="0.25">
      <c r="A20776"/>
      <c r="B20776"/>
      <c r="C20776"/>
      <c r="E20776"/>
      <c r="F20776"/>
    </row>
    <row r="20777" spans="1:6" x14ac:dyDescent="0.25">
      <c r="A20777"/>
      <c r="B20777"/>
      <c r="C20777"/>
      <c r="E20777"/>
      <c r="F20777"/>
    </row>
    <row r="20778" spans="1:6" x14ac:dyDescent="0.25">
      <c r="A20778"/>
      <c r="B20778"/>
      <c r="C20778"/>
      <c r="E20778"/>
      <c r="F20778"/>
    </row>
    <row r="20779" spans="1:6" x14ac:dyDescent="0.25">
      <c r="A20779"/>
      <c r="B20779"/>
      <c r="C20779"/>
      <c r="E20779"/>
      <c r="F20779"/>
    </row>
    <row r="20780" spans="1:6" x14ac:dyDescent="0.25">
      <c r="A20780"/>
      <c r="B20780"/>
      <c r="C20780"/>
      <c r="E20780"/>
      <c r="F20780"/>
    </row>
    <row r="20781" spans="1:6" x14ac:dyDescent="0.25">
      <c r="A20781"/>
      <c r="B20781"/>
      <c r="C20781"/>
      <c r="E20781"/>
      <c r="F20781"/>
    </row>
    <row r="20782" spans="1:6" x14ac:dyDescent="0.25">
      <c r="A20782"/>
      <c r="B20782"/>
      <c r="C20782"/>
      <c r="E20782"/>
      <c r="F20782"/>
    </row>
    <row r="20783" spans="1:6" x14ac:dyDescent="0.25">
      <c r="A20783"/>
      <c r="B20783"/>
      <c r="C20783"/>
      <c r="E20783"/>
      <c r="F20783"/>
    </row>
    <row r="20784" spans="1:6" x14ac:dyDescent="0.25">
      <c r="A20784"/>
      <c r="B20784"/>
      <c r="C20784"/>
      <c r="E20784"/>
      <c r="F20784"/>
    </row>
    <row r="20785" spans="1:6" x14ac:dyDescent="0.25">
      <c r="A20785"/>
      <c r="B20785"/>
      <c r="C20785"/>
      <c r="E20785"/>
      <c r="F20785"/>
    </row>
    <row r="20786" spans="1:6" x14ac:dyDescent="0.25">
      <c r="A20786"/>
      <c r="B20786"/>
      <c r="C20786"/>
      <c r="E20786"/>
      <c r="F20786"/>
    </row>
    <row r="20787" spans="1:6" x14ac:dyDescent="0.25">
      <c r="A20787"/>
      <c r="B20787"/>
      <c r="C20787"/>
      <c r="E20787"/>
      <c r="F20787"/>
    </row>
    <row r="20788" spans="1:6" x14ac:dyDescent="0.25">
      <c r="A20788"/>
      <c r="B20788"/>
      <c r="C20788"/>
      <c r="E20788"/>
      <c r="F20788"/>
    </row>
    <row r="20789" spans="1:6" x14ac:dyDescent="0.25">
      <c r="A20789"/>
      <c r="B20789"/>
      <c r="C20789"/>
      <c r="E20789"/>
      <c r="F20789"/>
    </row>
    <row r="20790" spans="1:6" x14ac:dyDescent="0.25">
      <c r="A20790"/>
      <c r="B20790"/>
      <c r="C20790"/>
      <c r="E20790"/>
      <c r="F20790"/>
    </row>
    <row r="20791" spans="1:6" x14ac:dyDescent="0.25">
      <c r="A20791"/>
      <c r="B20791"/>
      <c r="C20791"/>
      <c r="E20791"/>
      <c r="F20791"/>
    </row>
    <row r="20792" spans="1:6" x14ac:dyDescent="0.25">
      <c r="A20792"/>
      <c r="B20792"/>
      <c r="C20792"/>
      <c r="E20792"/>
      <c r="F20792"/>
    </row>
    <row r="20793" spans="1:6" x14ac:dyDescent="0.25">
      <c r="A20793"/>
      <c r="B20793"/>
      <c r="C20793"/>
      <c r="E20793"/>
      <c r="F20793"/>
    </row>
    <row r="20794" spans="1:6" x14ac:dyDescent="0.25">
      <c r="A20794"/>
      <c r="B20794"/>
      <c r="C20794"/>
      <c r="E20794"/>
      <c r="F20794"/>
    </row>
    <row r="20795" spans="1:6" x14ac:dyDescent="0.25">
      <c r="A20795"/>
      <c r="B20795"/>
      <c r="C20795"/>
      <c r="E20795"/>
      <c r="F20795"/>
    </row>
    <row r="20796" spans="1:6" x14ac:dyDescent="0.25">
      <c r="A20796"/>
      <c r="B20796"/>
      <c r="C20796"/>
      <c r="E20796"/>
      <c r="F20796"/>
    </row>
    <row r="20797" spans="1:6" x14ac:dyDescent="0.25">
      <c r="A20797"/>
      <c r="B20797"/>
      <c r="C20797"/>
      <c r="E20797"/>
      <c r="F20797"/>
    </row>
    <row r="20798" spans="1:6" x14ac:dyDescent="0.25">
      <c r="A20798"/>
      <c r="B20798"/>
      <c r="C20798"/>
      <c r="E20798"/>
      <c r="F20798"/>
    </row>
    <row r="20799" spans="1:6" x14ac:dyDescent="0.25">
      <c r="A20799"/>
      <c r="B20799"/>
      <c r="C20799"/>
      <c r="E20799"/>
      <c r="F20799"/>
    </row>
    <row r="20800" spans="1:6" x14ac:dyDescent="0.25">
      <c r="A20800"/>
      <c r="B20800"/>
      <c r="C20800"/>
      <c r="E20800"/>
      <c r="F20800"/>
    </row>
    <row r="20801" spans="1:6" x14ac:dyDescent="0.25">
      <c r="A20801"/>
      <c r="B20801"/>
      <c r="C20801"/>
      <c r="E20801"/>
      <c r="F20801"/>
    </row>
    <row r="20802" spans="1:6" x14ac:dyDescent="0.25">
      <c r="A20802"/>
      <c r="B20802"/>
      <c r="C20802"/>
      <c r="E20802"/>
      <c r="F20802"/>
    </row>
    <row r="20803" spans="1:6" x14ac:dyDescent="0.25">
      <c r="A20803"/>
      <c r="B20803"/>
      <c r="C20803"/>
      <c r="E20803"/>
      <c r="F20803"/>
    </row>
    <row r="20804" spans="1:6" x14ac:dyDescent="0.25">
      <c r="A20804"/>
      <c r="B20804"/>
      <c r="C20804"/>
      <c r="E20804"/>
      <c r="F20804"/>
    </row>
    <row r="20805" spans="1:6" x14ac:dyDescent="0.25">
      <c r="A20805"/>
      <c r="B20805"/>
      <c r="C20805"/>
      <c r="E20805"/>
      <c r="F20805"/>
    </row>
    <row r="20806" spans="1:6" x14ac:dyDescent="0.25">
      <c r="A20806"/>
      <c r="B20806"/>
      <c r="C20806"/>
      <c r="E20806"/>
      <c r="F20806"/>
    </row>
    <row r="20807" spans="1:6" x14ac:dyDescent="0.25">
      <c r="A20807"/>
      <c r="B20807"/>
      <c r="C20807"/>
      <c r="E20807"/>
      <c r="F20807"/>
    </row>
    <row r="20808" spans="1:6" x14ac:dyDescent="0.25">
      <c r="A20808"/>
      <c r="B20808"/>
      <c r="C20808"/>
      <c r="E20808"/>
      <c r="F20808"/>
    </row>
    <row r="20809" spans="1:6" x14ac:dyDescent="0.25">
      <c r="A20809"/>
      <c r="B20809"/>
      <c r="C20809"/>
      <c r="E20809"/>
      <c r="F20809"/>
    </row>
    <row r="20810" spans="1:6" x14ac:dyDescent="0.25">
      <c r="A20810"/>
      <c r="B20810"/>
      <c r="C20810"/>
      <c r="E20810"/>
      <c r="F20810"/>
    </row>
    <row r="20811" spans="1:6" x14ac:dyDescent="0.25">
      <c r="A20811"/>
      <c r="B20811"/>
      <c r="C20811"/>
      <c r="E20811"/>
      <c r="F20811"/>
    </row>
    <row r="20812" spans="1:6" x14ac:dyDescent="0.25">
      <c r="A20812"/>
      <c r="B20812"/>
      <c r="C20812"/>
      <c r="E20812"/>
      <c r="F20812"/>
    </row>
    <row r="20813" spans="1:6" x14ac:dyDescent="0.25">
      <c r="A20813"/>
      <c r="B20813"/>
      <c r="C20813"/>
      <c r="E20813"/>
      <c r="F20813"/>
    </row>
    <row r="20814" spans="1:6" x14ac:dyDescent="0.25">
      <c r="A20814"/>
      <c r="B20814"/>
      <c r="C20814"/>
      <c r="E20814"/>
      <c r="F20814"/>
    </row>
    <row r="20815" spans="1:6" x14ac:dyDescent="0.25">
      <c r="A20815"/>
      <c r="B20815"/>
      <c r="C20815"/>
      <c r="E20815"/>
      <c r="F20815"/>
    </row>
    <row r="20816" spans="1:6" x14ac:dyDescent="0.25">
      <c r="A20816"/>
      <c r="B20816"/>
      <c r="C20816"/>
      <c r="E20816"/>
      <c r="F20816"/>
    </row>
    <row r="20817" spans="1:6" x14ac:dyDescent="0.25">
      <c r="A20817"/>
      <c r="B20817"/>
      <c r="C20817"/>
      <c r="E20817"/>
      <c r="F20817"/>
    </row>
    <row r="20818" spans="1:6" x14ac:dyDescent="0.25">
      <c r="A20818"/>
      <c r="B20818"/>
      <c r="C20818"/>
      <c r="E20818"/>
      <c r="F20818"/>
    </row>
    <row r="20819" spans="1:6" x14ac:dyDescent="0.25">
      <c r="A20819"/>
      <c r="B20819"/>
      <c r="C20819"/>
      <c r="E20819"/>
      <c r="F20819"/>
    </row>
    <row r="20820" spans="1:6" x14ac:dyDescent="0.25">
      <c r="A20820"/>
      <c r="B20820"/>
      <c r="C20820"/>
      <c r="E20820"/>
      <c r="F20820"/>
    </row>
    <row r="20821" spans="1:6" x14ac:dyDescent="0.25">
      <c r="A20821"/>
      <c r="B20821"/>
      <c r="C20821"/>
      <c r="E20821"/>
      <c r="F20821"/>
    </row>
    <row r="20822" spans="1:6" x14ac:dyDescent="0.25">
      <c r="A20822"/>
      <c r="B20822"/>
      <c r="C20822"/>
      <c r="E20822"/>
      <c r="F20822"/>
    </row>
    <row r="20823" spans="1:6" x14ac:dyDescent="0.25">
      <c r="A20823"/>
      <c r="B20823"/>
      <c r="C20823"/>
      <c r="E20823"/>
      <c r="F20823"/>
    </row>
    <row r="20824" spans="1:6" x14ac:dyDescent="0.25">
      <c r="A20824"/>
      <c r="B20824"/>
      <c r="C20824"/>
      <c r="E20824"/>
      <c r="F20824"/>
    </row>
    <row r="20825" spans="1:6" x14ac:dyDescent="0.25">
      <c r="A20825"/>
      <c r="B20825"/>
      <c r="C20825"/>
      <c r="E20825"/>
      <c r="F20825"/>
    </row>
    <row r="20826" spans="1:6" x14ac:dyDescent="0.25">
      <c r="A20826"/>
      <c r="B20826"/>
      <c r="C20826"/>
      <c r="E20826"/>
      <c r="F20826"/>
    </row>
    <row r="20827" spans="1:6" x14ac:dyDescent="0.25">
      <c r="A20827"/>
      <c r="B20827"/>
      <c r="C20827"/>
      <c r="E20827"/>
      <c r="F20827"/>
    </row>
    <row r="20828" spans="1:6" x14ac:dyDescent="0.25">
      <c r="A20828"/>
      <c r="B20828"/>
      <c r="C20828"/>
      <c r="E20828"/>
      <c r="F20828"/>
    </row>
    <row r="20829" spans="1:6" x14ac:dyDescent="0.25">
      <c r="A20829"/>
      <c r="B20829"/>
      <c r="C20829"/>
      <c r="E20829"/>
      <c r="F20829"/>
    </row>
    <row r="20830" spans="1:6" x14ac:dyDescent="0.25">
      <c r="A20830"/>
      <c r="B20830"/>
      <c r="C20830"/>
      <c r="E20830"/>
      <c r="F20830"/>
    </row>
    <row r="20831" spans="1:6" x14ac:dyDescent="0.25">
      <c r="A20831"/>
      <c r="B20831"/>
      <c r="C20831"/>
      <c r="E20831"/>
      <c r="F20831"/>
    </row>
    <row r="20832" spans="1:6" x14ac:dyDescent="0.25">
      <c r="A20832"/>
      <c r="B20832"/>
      <c r="C20832"/>
      <c r="E20832"/>
      <c r="F20832"/>
    </row>
    <row r="20833" spans="1:6" x14ac:dyDescent="0.25">
      <c r="A20833"/>
      <c r="B20833"/>
      <c r="C20833"/>
      <c r="E20833"/>
      <c r="F20833"/>
    </row>
    <row r="20834" spans="1:6" x14ac:dyDescent="0.25">
      <c r="A20834"/>
      <c r="B20834"/>
      <c r="C20834"/>
      <c r="E20834"/>
      <c r="F20834"/>
    </row>
    <row r="20835" spans="1:6" x14ac:dyDescent="0.25">
      <c r="A20835"/>
      <c r="B20835"/>
      <c r="C20835"/>
      <c r="E20835"/>
      <c r="F20835"/>
    </row>
    <row r="20836" spans="1:6" x14ac:dyDescent="0.25">
      <c r="A20836"/>
      <c r="B20836"/>
      <c r="C20836"/>
      <c r="E20836"/>
      <c r="F20836"/>
    </row>
    <row r="20837" spans="1:6" x14ac:dyDescent="0.25">
      <c r="A20837"/>
      <c r="B20837"/>
      <c r="C20837"/>
      <c r="E20837"/>
      <c r="F20837"/>
    </row>
    <row r="20838" spans="1:6" x14ac:dyDescent="0.25">
      <c r="A20838"/>
      <c r="B20838"/>
      <c r="C20838"/>
      <c r="E20838"/>
      <c r="F20838"/>
    </row>
    <row r="20839" spans="1:6" x14ac:dyDescent="0.25">
      <c r="A20839"/>
      <c r="B20839"/>
      <c r="C20839"/>
      <c r="E20839"/>
      <c r="F20839"/>
    </row>
    <row r="20840" spans="1:6" x14ac:dyDescent="0.25">
      <c r="A20840"/>
      <c r="B20840"/>
      <c r="C20840"/>
      <c r="E20840"/>
      <c r="F20840"/>
    </row>
    <row r="20841" spans="1:6" x14ac:dyDescent="0.25">
      <c r="A20841"/>
      <c r="B20841"/>
      <c r="C20841"/>
      <c r="E20841"/>
      <c r="F20841"/>
    </row>
    <row r="20842" spans="1:6" x14ac:dyDescent="0.25">
      <c r="A20842"/>
      <c r="B20842"/>
      <c r="C20842"/>
      <c r="E20842"/>
      <c r="F20842"/>
    </row>
    <row r="20843" spans="1:6" x14ac:dyDescent="0.25">
      <c r="A20843"/>
      <c r="B20843"/>
      <c r="C20843"/>
      <c r="E20843"/>
      <c r="F20843"/>
    </row>
    <row r="20844" spans="1:6" x14ac:dyDescent="0.25">
      <c r="A20844"/>
      <c r="B20844"/>
      <c r="C20844"/>
      <c r="E20844"/>
      <c r="F20844"/>
    </row>
    <row r="20845" spans="1:6" x14ac:dyDescent="0.25">
      <c r="A20845"/>
      <c r="B20845"/>
      <c r="C20845"/>
      <c r="E20845"/>
      <c r="F20845"/>
    </row>
    <row r="20846" spans="1:6" x14ac:dyDescent="0.25">
      <c r="A20846"/>
      <c r="B20846"/>
      <c r="C20846"/>
      <c r="E20846"/>
      <c r="F20846"/>
    </row>
    <row r="20847" spans="1:6" x14ac:dyDescent="0.25">
      <c r="A20847"/>
      <c r="B20847"/>
      <c r="C20847"/>
      <c r="E20847"/>
      <c r="F20847"/>
    </row>
    <row r="20848" spans="1:6" x14ac:dyDescent="0.25">
      <c r="A20848"/>
      <c r="B20848"/>
      <c r="C20848"/>
      <c r="E20848"/>
      <c r="F20848"/>
    </row>
    <row r="20849" spans="1:6" x14ac:dyDescent="0.25">
      <c r="A20849"/>
      <c r="B20849"/>
      <c r="C20849"/>
      <c r="E20849"/>
      <c r="F20849"/>
    </row>
    <row r="20850" spans="1:6" x14ac:dyDescent="0.25">
      <c r="A20850"/>
      <c r="B20850"/>
      <c r="C20850"/>
      <c r="E20850"/>
      <c r="F20850"/>
    </row>
    <row r="20851" spans="1:6" x14ac:dyDescent="0.25">
      <c r="A20851"/>
      <c r="B20851"/>
      <c r="C20851"/>
      <c r="E20851"/>
      <c r="F20851"/>
    </row>
    <row r="20852" spans="1:6" x14ac:dyDescent="0.25">
      <c r="A20852"/>
      <c r="B20852"/>
      <c r="C20852"/>
      <c r="E20852"/>
      <c r="F20852"/>
    </row>
    <row r="20853" spans="1:6" x14ac:dyDescent="0.25">
      <c r="A20853"/>
      <c r="B20853"/>
      <c r="C20853"/>
      <c r="E20853"/>
      <c r="F20853"/>
    </row>
    <row r="20854" spans="1:6" x14ac:dyDescent="0.25">
      <c r="A20854"/>
      <c r="B20854"/>
      <c r="C20854"/>
      <c r="E20854"/>
      <c r="F20854"/>
    </row>
    <row r="20855" spans="1:6" x14ac:dyDescent="0.25">
      <c r="A20855"/>
      <c r="B20855"/>
      <c r="C20855"/>
      <c r="E20855"/>
      <c r="F20855"/>
    </row>
    <row r="20856" spans="1:6" x14ac:dyDescent="0.25">
      <c r="A20856"/>
      <c r="B20856"/>
      <c r="C20856"/>
      <c r="E20856"/>
      <c r="F20856"/>
    </row>
    <row r="20857" spans="1:6" x14ac:dyDescent="0.25">
      <c r="A20857"/>
      <c r="B20857"/>
      <c r="C20857"/>
      <c r="E20857"/>
      <c r="F20857"/>
    </row>
    <row r="20858" spans="1:6" x14ac:dyDescent="0.25">
      <c r="A20858"/>
      <c r="B20858"/>
      <c r="C20858"/>
      <c r="E20858"/>
      <c r="F20858"/>
    </row>
    <row r="20859" spans="1:6" x14ac:dyDescent="0.25">
      <c r="A20859"/>
      <c r="B20859"/>
      <c r="C20859"/>
      <c r="E20859"/>
      <c r="F20859"/>
    </row>
    <row r="20860" spans="1:6" x14ac:dyDescent="0.25">
      <c r="A20860"/>
      <c r="B20860"/>
      <c r="C20860"/>
      <c r="E20860"/>
      <c r="F20860"/>
    </row>
    <row r="20861" spans="1:6" x14ac:dyDescent="0.25">
      <c r="A20861"/>
      <c r="B20861"/>
      <c r="C20861"/>
      <c r="E20861"/>
      <c r="F20861"/>
    </row>
    <row r="20862" spans="1:6" x14ac:dyDescent="0.25">
      <c r="A20862"/>
      <c r="B20862"/>
      <c r="C20862"/>
      <c r="E20862"/>
      <c r="F20862"/>
    </row>
    <row r="20863" spans="1:6" x14ac:dyDescent="0.25">
      <c r="A20863"/>
      <c r="B20863"/>
      <c r="C20863"/>
      <c r="E20863"/>
      <c r="F20863"/>
    </row>
    <row r="20864" spans="1:6" x14ac:dyDescent="0.25">
      <c r="A20864"/>
      <c r="B20864"/>
      <c r="C20864"/>
      <c r="E20864"/>
      <c r="F20864"/>
    </row>
    <row r="20865" spans="1:6" x14ac:dyDescent="0.25">
      <c r="A20865"/>
      <c r="B20865"/>
      <c r="C20865"/>
      <c r="E20865"/>
      <c r="F20865"/>
    </row>
    <row r="20866" spans="1:6" x14ac:dyDescent="0.25">
      <c r="A20866"/>
      <c r="B20866"/>
      <c r="C20866"/>
      <c r="E20866"/>
      <c r="F20866"/>
    </row>
    <row r="20867" spans="1:6" x14ac:dyDescent="0.25">
      <c r="A20867"/>
      <c r="B20867"/>
      <c r="C20867"/>
      <c r="E20867"/>
      <c r="F20867"/>
    </row>
    <row r="20868" spans="1:6" x14ac:dyDescent="0.25">
      <c r="A20868"/>
      <c r="B20868"/>
      <c r="C20868"/>
      <c r="E20868"/>
      <c r="F20868"/>
    </row>
    <row r="20869" spans="1:6" x14ac:dyDescent="0.25">
      <c r="A20869"/>
      <c r="B20869"/>
      <c r="C20869"/>
      <c r="E20869"/>
      <c r="F20869"/>
    </row>
    <row r="20870" spans="1:6" x14ac:dyDescent="0.25">
      <c r="A20870"/>
      <c r="B20870"/>
      <c r="C20870"/>
      <c r="E20870"/>
      <c r="F20870"/>
    </row>
    <row r="20871" spans="1:6" x14ac:dyDescent="0.25">
      <c r="A20871"/>
      <c r="B20871"/>
      <c r="C20871"/>
      <c r="E20871"/>
      <c r="F20871"/>
    </row>
    <row r="20872" spans="1:6" x14ac:dyDescent="0.25">
      <c r="A20872"/>
      <c r="B20872"/>
      <c r="C20872"/>
      <c r="E20872"/>
      <c r="F20872"/>
    </row>
    <row r="20873" spans="1:6" x14ac:dyDescent="0.25">
      <c r="A20873"/>
      <c r="B20873"/>
      <c r="C20873"/>
      <c r="E20873"/>
      <c r="F20873"/>
    </row>
    <row r="20874" spans="1:6" x14ac:dyDescent="0.25">
      <c r="A20874"/>
      <c r="B20874"/>
      <c r="C20874"/>
      <c r="E20874"/>
      <c r="F20874"/>
    </row>
    <row r="20875" spans="1:6" x14ac:dyDescent="0.25">
      <c r="A20875"/>
      <c r="B20875"/>
      <c r="C20875"/>
      <c r="E20875"/>
      <c r="F20875"/>
    </row>
    <row r="20876" spans="1:6" x14ac:dyDescent="0.25">
      <c r="A20876"/>
      <c r="B20876"/>
      <c r="C20876"/>
      <c r="E20876"/>
      <c r="F20876"/>
    </row>
    <row r="20877" spans="1:6" x14ac:dyDescent="0.25">
      <c r="A20877"/>
      <c r="B20877"/>
      <c r="C20877"/>
      <c r="E20877"/>
      <c r="F20877"/>
    </row>
    <row r="20878" spans="1:6" x14ac:dyDescent="0.25">
      <c r="A20878"/>
      <c r="B20878"/>
      <c r="C20878"/>
      <c r="E20878"/>
      <c r="F20878"/>
    </row>
    <row r="20879" spans="1:6" x14ac:dyDescent="0.25">
      <c r="A20879"/>
      <c r="B20879"/>
      <c r="C20879"/>
      <c r="E20879"/>
      <c r="F20879"/>
    </row>
    <row r="20880" spans="1:6" x14ac:dyDescent="0.25">
      <c r="A20880"/>
      <c r="B20880"/>
      <c r="C20880"/>
      <c r="E20880"/>
      <c r="F20880"/>
    </row>
    <row r="20881" spans="1:6" x14ac:dyDescent="0.25">
      <c r="A20881"/>
      <c r="B20881"/>
      <c r="C20881"/>
      <c r="E20881"/>
      <c r="F20881"/>
    </row>
    <row r="20882" spans="1:6" x14ac:dyDescent="0.25">
      <c r="A20882"/>
      <c r="B20882"/>
      <c r="C20882"/>
      <c r="E20882"/>
      <c r="F20882"/>
    </row>
    <row r="20883" spans="1:6" x14ac:dyDescent="0.25">
      <c r="A20883"/>
      <c r="B20883"/>
      <c r="C20883"/>
      <c r="E20883"/>
      <c r="F20883"/>
    </row>
    <row r="20884" spans="1:6" x14ac:dyDescent="0.25">
      <c r="A20884"/>
      <c r="B20884"/>
      <c r="C20884"/>
      <c r="E20884"/>
      <c r="F20884"/>
    </row>
    <row r="20885" spans="1:6" x14ac:dyDescent="0.25">
      <c r="A20885"/>
      <c r="B20885"/>
      <c r="C20885"/>
      <c r="E20885"/>
      <c r="F20885"/>
    </row>
    <row r="20886" spans="1:6" x14ac:dyDescent="0.25">
      <c r="A20886"/>
      <c r="B20886"/>
      <c r="C20886"/>
      <c r="E20886"/>
      <c r="F20886"/>
    </row>
    <row r="20887" spans="1:6" x14ac:dyDescent="0.25">
      <c r="A20887"/>
      <c r="B20887"/>
      <c r="C20887"/>
      <c r="E20887"/>
      <c r="F20887"/>
    </row>
    <row r="20888" spans="1:6" x14ac:dyDescent="0.25">
      <c r="A20888"/>
      <c r="B20888"/>
      <c r="C20888"/>
      <c r="E20888"/>
      <c r="F20888"/>
    </row>
    <row r="20889" spans="1:6" x14ac:dyDescent="0.25">
      <c r="A20889"/>
      <c r="B20889"/>
      <c r="C20889"/>
      <c r="E20889"/>
      <c r="F20889"/>
    </row>
    <row r="20890" spans="1:6" x14ac:dyDescent="0.25">
      <c r="A20890"/>
      <c r="B20890"/>
      <c r="C20890"/>
      <c r="E20890"/>
      <c r="F20890"/>
    </row>
    <row r="20891" spans="1:6" x14ac:dyDescent="0.25">
      <c r="A20891"/>
      <c r="B20891"/>
      <c r="C20891"/>
      <c r="E20891"/>
      <c r="F20891"/>
    </row>
    <row r="20892" spans="1:6" x14ac:dyDescent="0.25">
      <c r="A20892"/>
      <c r="B20892"/>
      <c r="C20892"/>
      <c r="E20892"/>
      <c r="F20892"/>
    </row>
    <row r="20893" spans="1:6" x14ac:dyDescent="0.25">
      <c r="A20893"/>
      <c r="B20893"/>
      <c r="C20893"/>
      <c r="E20893"/>
      <c r="F20893"/>
    </row>
    <row r="20894" spans="1:6" x14ac:dyDescent="0.25">
      <c r="A20894"/>
      <c r="B20894"/>
      <c r="C20894"/>
      <c r="E20894"/>
      <c r="F20894"/>
    </row>
    <row r="20895" spans="1:6" x14ac:dyDescent="0.25">
      <c r="A20895"/>
      <c r="B20895"/>
      <c r="C20895"/>
      <c r="E20895"/>
      <c r="F20895"/>
    </row>
    <row r="20896" spans="1:6" x14ac:dyDescent="0.25">
      <c r="A20896"/>
      <c r="B20896"/>
      <c r="C20896"/>
      <c r="E20896"/>
      <c r="F20896"/>
    </row>
    <row r="20897" spans="1:6" x14ac:dyDescent="0.25">
      <c r="A20897"/>
      <c r="B20897"/>
      <c r="C20897"/>
      <c r="E20897"/>
      <c r="F20897"/>
    </row>
    <row r="20898" spans="1:6" x14ac:dyDescent="0.25">
      <c r="A20898"/>
      <c r="B20898"/>
      <c r="C20898"/>
      <c r="E20898"/>
      <c r="F20898"/>
    </row>
    <row r="20899" spans="1:6" x14ac:dyDescent="0.25">
      <c r="A20899"/>
      <c r="B20899"/>
      <c r="C20899"/>
      <c r="E20899"/>
      <c r="F20899"/>
    </row>
    <row r="20900" spans="1:6" x14ac:dyDescent="0.25">
      <c r="A20900"/>
      <c r="B20900"/>
      <c r="C20900"/>
      <c r="E20900"/>
      <c r="F20900"/>
    </row>
    <row r="20901" spans="1:6" x14ac:dyDescent="0.25">
      <c r="A20901"/>
      <c r="B20901"/>
      <c r="C20901"/>
      <c r="E20901"/>
      <c r="F20901"/>
    </row>
    <row r="20902" spans="1:6" x14ac:dyDescent="0.25">
      <c r="A20902"/>
      <c r="B20902"/>
      <c r="C20902"/>
      <c r="E20902"/>
      <c r="F20902"/>
    </row>
    <row r="20903" spans="1:6" x14ac:dyDescent="0.25">
      <c r="A20903"/>
      <c r="B20903"/>
      <c r="C20903"/>
      <c r="E20903"/>
      <c r="F20903"/>
    </row>
    <row r="20904" spans="1:6" x14ac:dyDescent="0.25">
      <c r="A20904"/>
      <c r="B20904"/>
      <c r="C20904"/>
      <c r="E20904"/>
      <c r="F20904"/>
    </row>
    <row r="20905" spans="1:6" x14ac:dyDescent="0.25">
      <c r="A20905"/>
      <c r="B20905"/>
      <c r="C20905"/>
      <c r="E20905"/>
      <c r="F20905"/>
    </row>
    <row r="20906" spans="1:6" x14ac:dyDescent="0.25">
      <c r="A20906"/>
      <c r="B20906"/>
      <c r="C20906"/>
      <c r="E20906"/>
      <c r="F20906"/>
    </row>
    <row r="20907" spans="1:6" x14ac:dyDescent="0.25">
      <c r="A20907"/>
      <c r="B20907"/>
      <c r="C20907"/>
      <c r="E20907"/>
      <c r="F20907"/>
    </row>
    <row r="20908" spans="1:6" x14ac:dyDescent="0.25">
      <c r="A20908"/>
      <c r="B20908"/>
      <c r="C20908"/>
      <c r="E20908"/>
      <c r="F20908"/>
    </row>
    <row r="20909" spans="1:6" x14ac:dyDescent="0.25">
      <c r="A20909"/>
      <c r="B20909"/>
      <c r="C20909"/>
      <c r="E20909"/>
      <c r="F20909"/>
    </row>
    <row r="20910" spans="1:6" x14ac:dyDescent="0.25">
      <c r="A20910"/>
      <c r="B20910"/>
      <c r="C20910"/>
      <c r="E20910"/>
      <c r="F20910"/>
    </row>
    <row r="20911" spans="1:6" x14ac:dyDescent="0.25">
      <c r="A20911"/>
      <c r="B20911"/>
      <c r="C20911"/>
      <c r="E20911"/>
      <c r="F20911"/>
    </row>
    <row r="20912" spans="1:6" x14ac:dyDescent="0.25">
      <c r="A20912"/>
      <c r="B20912"/>
      <c r="C20912"/>
      <c r="E20912"/>
      <c r="F20912"/>
    </row>
    <row r="20913" spans="1:6" x14ac:dyDescent="0.25">
      <c r="A20913"/>
      <c r="B20913"/>
      <c r="C20913"/>
      <c r="E20913"/>
      <c r="F20913"/>
    </row>
    <row r="20914" spans="1:6" x14ac:dyDescent="0.25">
      <c r="A20914"/>
      <c r="B20914"/>
      <c r="C20914"/>
      <c r="E20914"/>
      <c r="F20914"/>
    </row>
    <row r="20915" spans="1:6" x14ac:dyDescent="0.25">
      <c r="A20915"/>
      <c r="B20915"/>
      <c r="C20915"/>
      <c r="E20915"/>
      <c r="F20915"/>
    </row>
    <row r="20916" spans="1:6" x14ac:dyDescent="0.25">
      <c r="A20916"/>
      <c r="B20916"/>
      <c r="C20916"/>
      <c r="E20916"/>
      <c r="F20916"/>
    </row>
    <row r="20917" spans="1:6" x14ac:dyDescent="0.25">
      <c r="A20917"/>
      <c r="B20917"/>
      <c r="C20917"/>
      <c r="E20917"/>
      <c r="F20917"/>
    </row>
    <row r="20918" spans="1:6" x14ac:dyDescent="0.25">
      <c r="A20918"/>
      <c r="B20918"/>
      <c r="C20918"/>
      <c r="E20918"/>
      <c r="F20918"/>
    </row>
    <row r="20919" spans="1:6" x14ac:dyDescent="0.25">
      <c r="A20919"/>
      <c r="B20919"/>
      <c r="C20919"/>
      <c r="E20919"/>
      <c r="F20919"/>
    </row>
    <row r="20920" spans="1:6" x14ac:dyDescent="0.25">
      <c r="A20920"/>
      <c r="B20920"/>
      <c r="C20920"/>
      <c r="E20920"/>
      <c r="F20920"/>
    </row>
    <row r="20921" spans="1:6" x14ac:dyDescent="0.25">
      <c r="A20921"/>
      <c r="B20921"/>
      <c r="C20921"/>
      <c r="E20921"/>
      <c r="F20921"/>
    </row>
    <row r="20922" spans="1:6" x14ac:dyDescent="0.25">
      <c r="A20922"/>
      <c r="B20922"/>
      <c r="C20922"/>
      <c r="E20922"/>
      <c r="F20922"/>
    </row>
    <row r="20923" spans="1:6" x14ac:dyDescent="0.25">
      <c r="A20923"/>
      <c r="B20923"/>
      <c r="C20923"/>
      <c r="E20923"/>
      <c r="F20923"/>
    </row>
    <row r="20924" spans="1:6" x14ac:dyDescent="0.25">
      <c r="A20924"/>
      <c r="B20924"/>
      <c r="C20924"/>
      <c r="E20924"/>
      <c r="F20924"/>
    </row>
    <row r="20925" spans="1:6" x14ac:dyDescent="0.25">
      <c r="A20925"/>
      <c r="B20925"/>
      <c r="C20925"/>
      <c r="E20925"/>
      <c r="F20925"/>
    </row>
    <row r="20926" spans="1:6" x14ac:dyDescent="0.25">
      <c r="A20926"/>
      <c r="B20926"/>
      <c r="C20926"/>
      <c r="E20926"/>
      <c r="F20926"/>
    </row>
    <row r="20927" spans="1:6" x14ac:dyDescent="0.25">
      <c r="A20927"/>
      <c r="B20927"/>
      <c r="C20927"/>
      <c r="E20927"/>
      <c r="F20927"/>
    </row>
    <row r="20928" spans="1:6" x14ac:dyDescent="0.25">
      <c r="A20928"/>
      <c r="B20928"/>
      <c r="C20928"/>
      <c r="E20928"/>
      <c r="F20928"/>
    </row>
    <row r="20929" spans="1:6" x14ac:dyDescent="0.25">
      <c r="A20929"/>
      <c r="B20929"/>
      <c r="C20929"/>
      <c r="E20929"/>
      <c r="F20929"/>
    </row>
    <row r="20930" spans="1:6" x14ac:dyDescent="0.25">
      <c r="A20930"/>
      <c r="B20930"/>
      <c r="C20930"/>
      <c r="E20930"/>
      <c r="F20930"/>
    </row>
    <row r="20931" spans="1:6" x14ac:dyDescent="0.25">
      <c r="A20931"/>
      <c r="B20931"/>
      <c r="C20931"/>
      <c r="E20931"/>
      <c r="F20931"/>
    </row>
    <row r="20932" spans="1:6" x14ac:dyDescent="0.25">
      <c r="A20932"/>
      <c r="B20932"/>
      <c r="C20932"/>
      <c r="E20932"/>
      <c r="F20932"/>
    </row>
    <row r="20933" spans="1:6" x14ac:dyDescent="0.25">
      <c r="A20933"/>
      <c r="B20933"/>
      <c r="C20933"/>
      <c r="E20933"/>
      <c r="F20933"/>
    </row>
    <row r="20934" spans="1:6" x14ac:dyDescent="0.25">
      <c r="A20934"/>
      <c r="B20934"/>
      <c r="C20934"/>
      <c r="E20934"/>
      <c r="F20934"/>
    </row>
    <row r="20935" spans="1:6" x14ac:dyDescent="0.25">
      <c r="A20935"/>
      <c r="B20935"/>
      <c r="C20935"/>
      <c r="E20935"/>
      <c r="F20935"/>
    </row>
    <row r="20936" spans="1:6" x14ac:dyDescent="0.25">
      <c r="A20936"/>
      <c r="B20936"/>
      <c r="C20936"/>
      <c r="E20936"/>
      <c r="F20936"/>
    </row>
    <row r="20937" spans="1:6" x14ac:dyDescent="0.25">
      <c r="A20937"/>
      <c r="B20937"/>
      <c r="C20937"/>
      <c r="E20937"/>
      <c r="F20937"/>
    </row>
    <row r="20938" spans="1:6" x14ac:dyDescent="0.25">
      <c r="A20938"/>
      <c r="B20938"/>
      <c r="C20938"/>
      <c r="E20938"/>
      <c r="F20938"/>
    </row>
    <row r="20939" spans="1:6" x14ac:dyDescent="0.25">
      <c r="A20939"/>
      <c r="B20939"/>
      <c r="C20939"/>
      <c r="E20939"/>
      <c r="F20939"/>
    </row>
    <row r="20940" spans="1:6" x14ac:dyDescent="0.25">
      <c r="A20940"/>
      <c r="B20940"/>
      <c r="C20940"/>
      <c r="E20940"/>
      <c r="F20940"/>
    </row>
    <row r="20941" spans="1:6" x14ac:dyDescent="0.25">
      <c r="A20941"/>
      <c r="B20941"/>
      <c r="C20941"/>
      <c r="E20941"/>
      <c r="F20941"/>
    </row>
    <row r="20942" spans="1:6" x14ac:dyDescent="0.25">
      <c r="A20942"/>
      <c r="B20942"/>
      <c r="C20942"/>
      <c r="E20942"/>
      <c r="F20942"/>
    </row>
    <row r="20943" spans="1:6" x14ac:dyDescent="0.25">
      <c r="A20943"/>
      <c r="B20943"/>
      <c r="C20943"/>
      <c r="E20943"/>
      <c r="F20943"/>
    </row>
    <row r="20944" spans="1:6" x14ac:dyDescent="0.25">
      <c r="A20944"/>
      <c r="B20944"/>
      <c r="C20944"/>
      <c r="E20944"/>
      <c r="F20944"/>
    </row>
    <row r="20945" spans="1:6" x14ac:dyDescent="0.25">
      <c r="A20945"/>
      <c r="B20945"/>
      <c r="C20945"/>
      <c r="E20945"/>
      <c r="F20945"/>
    </row>
    <row r="20946" spans="1:6" x14ac:dyDescent="0.25">
      <c r="A20946"/>
      <c r="B20946"/>
      <c r="C20946"/>
      <c r="E20946"/>
      <c r="F20946"/>
    </row>
    <row r="20947" spans="1:6" x14ac:dyDescent="0.25">
      <c r="A20947"/>
      <c r="B20947"/>
      <c r="C20947"/>
      <c r="E20947"/>
      <c r="F20947"/>
    </row>
    <row r="20948" spans="1:6" x14ac:dyDescent="0.25">
      <c r="A20948"/>
      <c r="B20948"/>
      <c r="C20948"/>
      <c r="E20948"/>
      <c r="F20948"/>
    </row>
    <row r="20949" spans="1:6" x14ac:dyDescent="0.25">
      <c r="A20949"/>
      <c r="B20949"/>
      <c r="C20949"/>
      <c r="E20949"/>
      <c r="F20949"/>
    </row>
    <row r="20950" spans="1:6" x14ac:dyDescent="0.25">
      <c r="A20950"/>
      <c r="B20950"/>
      <c r="C20950"/>
      <c r="E20950"/>
      <c r="F20950"/>
    </row>
    <row r="20951" spans="1:6" x14ac:dyDescent="0.25">
      <c r="A20951"/>
      <c r="B20951"/>
      <c r="C20951"/>
      <c r="E20951"/>
      <c r="F20951"/>
    </row>
    <row r="20952" spans="1:6" x14ac:dyDescent="0.25">
      <c r="A20952"/>
      <c r="B20952"/>
      <c r="C20952"/>
      <c r="E20952"/>
      <c r="F20952"/>
    </row>
    <row r="20953" spans="1:6" x14ac:dyDescent="0.25">
      <c r="A20953"/>
      <c r="B20953"/>
      <c r="C20953"/>
      <c r="E20953"/>
      <c r="F20953"/>
    </row>
    <row r="20954" spans="1:6" x14ac:dyDescent="0.25">
      <c r="A20954"/>
      <c r="B20954"/>
      <c r="C20954"/>
      <c r="E20954"/>
      <c r="F20954"/>
    </row>
    <row r="20955" spans="1:6" x14ac:dyDescent="0.25">
      <c r="A20955"/>
      <c r="B20955"/>
      <c r="C20955"/>
      <c r="E20955"/>
      <c r="F20955"/>
    </row>
    <row r="20956" spans="1:6" x14ac:dyDescent="0.25">
      <c r="A20956"/>
      <c r="B20956"/>
      <c r="C20956"/>
      <c r="E20956"/>
      <c r="F20956"/>
    </row>
    <row r="20957" spans="1:6" x14ac:dyDescent="0.25">
      <c r="A20957"/>
      <c r="B20957"/>
      <c r="C20957"/>
      <c r="E20957"/>
      <c r="F20957"/>
    </row>
    <row r="20958" spans="1:6" x14ac:dyDescent="0.25">
      <c r="A20958"/>
      <c r="B20958"/>
      <c r="C20958"/>
      <c r="E20958"/>
      <c r="F20958"/>
    </row>
    <row r="20959" spans="1:6" x14ac:dyDescent="0.25">
      <c r="A20959"/>
      <c r="B20959"/>
      <c r="C20959"/>
      <c r="E20959"/>
      <c r="F20959"/>
    </row>
    <row r="20960" spans="1:6" x14ac:dyDescent="0.25">
      <c r="A20960"/>
      <c r="B20960"/>
      <c r="C20960"/>
      <c r="E20960"/>
      <c r="F20960"/>
    </row>
    <row r="20961" spans="1:6" x14ac:dyDescent="0.25">
      <c r="A20961"/>
      <c r="B20961"/>
      <c r="C20961"/>
      <c r="E20961"/>
      <c r="F20961"/>
    </row>
    <row r="20962" spans="1:6" x14ac:dyDescent="0.25">
      <c r="A20962"/>
      <c r="B20962"/>
      <c r="C20962"/>
      <c r="E20962"/>
      <c r="F20962"/>
    </row>
    <row r="20963" spans="1:6" x14ac:dyDescent="0.25">
      <c r="A20963"/>
      <c r="B20963"/>
      <c r="C20963"/>
      <c r="E20963"/>
      <c r="F20963"/>
    </row>
    <row r="20964" spans="1:6" x14ac:dyDescent="0.25">
      <c r="A20964"/>
      <c r="B20964"/>
      <c r="C20964"/>
      <c r="E20964"/>
      <c r="F20964"/>
    </row>
    <row r="20965" spans="1:6" x14ac:dyDescent="0.25">
      <c r="A20965"/>
      <c r="B20965"/>
      <c r="C20965"/>
      <c r="E20965"/>
      <c r="F20965"/>
    </row>
    <row r="20966" spans="1:6" x14ac:dyDescent="0.25">
      <c r="A20966"/>
      <c r="B20966"/>
      <c r="C20966"/>
      <c r="E20966"/>
      <c r="F20966"/>
    </row>
    <row r="20967" spans="1:6" x14ac:dyDescent="0.25">
      <c r="A20967"/>
      <c r="B20967"/>
      <c r="C20967"/>
      <c r="E20967"/>
      <c r="F20967"/>
    </row>
    <row r="20968" spans="1:6" x14ac:dyDescent="0.25">
      <c r="A20968"/>
      <c r="B20968"/>
      <c r="C20968"/>
      <c r="E20968"/>
      <c r="F20968"/>
    </row>
    <row r="20969" spans="1:6" x14ac:dyDescent="0.25">
      <c r="A20969"/>
      <c r="B20969"/>
      <c r="C20969"/>
      <c r="E20969"/>
      <c r="F20969"/>
    </row>
    <row r="20970" spans="1:6" x14ac:dyDescent="0.25">
      <c r="A20970"/>
      <c r="B20970"/>
      <c r="C20970"/>
      <c r="E20970"/>
      <c r="F20970"/>
    </row>
    <row r="20971" spans="1:6" x14ac:dyDescent="0.25">
      <c r="A20971"/>
      <c r="B20971"/>
      <c r="C20971"/>
      <c r="E20971"/>
      <c r="F20971"/>
    </row>
    <row r="20972" spans="1:6" x14ac:dyDescent="0.25">
      <c r="A20972"/>
      <c r="B20972"/>
      <c r="C20972"/>
      <c r="E20972"/>
      <c r="F20972"/>
    </row>
    <row r="20973" spans="1:6" x14ac:dyDescent="0.25">
      <c r="A20973"/>
      <c r="B20973"/>
      <c r="C20973"/>
      <c r="E20973"/>
      <c r="F20973"/>
    </row>
    <row r="20974" spans="1:6" x14ac:dyDescent="0.25">
      <c r="A20974"/>
      <c r="B20974"/>
      <c r="C20974"/>
      <c r="E20974"/>
      <c r="F20974"/>
    </row>
    <row r="20975" spans="1:6" x14ac:dyDescent="0.25">
      <c r="A20975"/>
      <c r="B20975"/>
      <c r="C20975"/>
      <c r="E20975"/>
      <c r="F20975"/>
    </row>
    <row r="20976" spans="1:6" x14ac:dyDescent="0.25">
      <c r="A20976"/>
      <c r="B20976"/>
      <c r="C20976"/>
      <c r="E20976"/>
      <c r="F20976"/>
    </row>
    <row r="20977" spans="1:6" x14ac:dyDescent="0.25">
      <c r="A20977"/>
      <c r="B20977"/>
      <c r="C20977"/>
      <c r="E20977"/>
      <c r="F20977"/>
    </row>
    <row r="20978" spans="1:6" x14ac:dyDescent="0.25">
      <c r="A20978"/>
      <c r="B20978"/>
      <c r="C20978"/>
      <c r="E20978"/>
      <c r="F20978"/>
    </row>
    <row r="20979" spans="1:6" x14ac:dyDescent="0.25">
      <c r="A20979"/>
      <c r="B20979"/>
      <c r="C20979"/>
      <c r="E20979"/>
      <c r="F20979"/>
    </row>
    <row r="20980" spans="1:6" x14ac:dyDescent="0.25">
      <c r="A20980"/>
      <c r="B20980"/>
      <c r="C20980"/>
      <c r="E20980"/>
      <c r="F20980"/>
    </row>
    <row r="20981" spans="1:6" x14ac:dyDescent="0.25">
      <c r="A20981"/>
      <c r="B20981"/>
      <c r="C20981"/>
      <c r="E20981"/>
      <c r="F20981"/>
    </row>
    <row r="20982" spans="1:6" x14ac:dyDescent="0.25">
      <c r="A20982"/>
      <c r="B20982"/>
      <c r="C20982"/>
      <c r="E20982"/>
      <c r="F20982"/>
    </row>
    <row r="20983" spans="1:6" x14ac:dyDescent="0.25">
      <c r="A20983"/>
      <c r="B20983"/>
      <c r="C20983"/>
      <c r="E20983"/>
      <c r="F20983"/>
    </row>
    <row r="20984" spans="1:6" x14ac:dyDescent="0.25">
      <c r="A20984"/>
      <c r="B20984"/>
      <c r="C20984"/>
      <c r="E20984"/>
      <c r="F20984"/>
    </row>
    <row r="20985" spans="1:6" x14ac:dyDescent="0.25">
      <c r="A20985"/>
      <c r="B20985"/>
      <c r="C20985"/>
      <c r="E20985"/>
      <c r="F20985"/>
    </row>
    <row r="20986" spans="1:6" x14ac:dyDescent="0.25">
      <c r="A20986"/>
      <c r="B20986"/>
      <c r="C20986"/>
      <c r="E20986"/>
      <c r="F20986"/>
    </row>
    <row r="20987" spans="1:6" x14ac:dyDescent="0.25">
      <c r="A20987"/>
      <c r="B20987"/>
      <c r="C20987"/>
      <c r="E20987"/>
      <c r="F20987"/>
    </row>
    <row r="20988" spans="1:6" x14ac:dyDescent="0.25">
      <c r="A20988"/>
      <c r="B20988"/>
      <c r="C20988"/>
      <c r="E20988"/>
      <c r="F20988"/>
    </row>
    <row r="20989" spans="1:6" x14ac:dyDescent="0.25">
      <c r="A20989"/>
      <c r="B20989"/>
      <c r="C20989"/>
      <c r="E20989"/>
      <c r="F20989"/>
    </row>
    <row r="20990" spans="1:6" x14ac:dyDescent="0.25">
      <c r="A20990"/>
      <c r="B20990"/>
      <c r="C20990"/>
      <c r="E20990"/>
      <c r="F20990"/>
    </row>
    <row r="20991" spans="1:6" x14ac:dyDescent="0.25">
      <c r="A20991"/>
      <c r="B20991"/>
      <c r="C20991"/>
      <c r="E20991"/>
      <c r="F20991"/>
    </row>
    <row r="20992" spans="1:6" x14ac:dyDescent="0.25">
      <c r="A20992"/>
      <c r="B20992"/>
      <c r="C20992"/>
      <c r="E20992"/>
      <c r="F20992"/>
    </row>
    <row r="20993" spans="1:6" x14ac:dyDescent="0.25">
      <c r="A20993"/>
      <c r="B20993"/>
      <c r="C20993"/>
      <c r="E20993"/>
      <c r="F20993"/>
    </row>
    <row r="20994" spans="1:6" x14ac:dyDescent="0.25">
      <c r="A20994"/>
      <c r="B20994"/>
      <c r="C20994"/>
      <c r="E20994"/>
      <c r="F20994"/>
    </row>
    <row r="20995" spans="1:6" x14ac:dyDescent="0.25">
      <c r="A20995"/>
      <c r="B20995"/>
      <c r="C20995"/>
      <c r="E20995"/>
      <c r="F20995"/>
    </row>
    <row r="20996" spans="1:6" x14ac:dyDescent="0.25">
      <c r="A20996"/>
      <c r="B20996"/>
      <c r="C20996"/>
      <c r="E20996"/>
      <c r="F20996"/>
    </row>
    <row r="20997" spans="1:6" x14ac:dyDescent="0.25">
      <c r="A20997"/>
      <c r="B20997"/>
      <c r="C20997"/>
      <c r="E20997"/>
      <c r="F20997"/>
    </row>
    <row r="20998" spans="1:6" x14ac:dyDescent="0.25">
      <c r="A20998"/>
      <c r="B20998"/>
      <c r="C20998"/>
      <c r="E20998"/>
      <c r="F20998"/>
    </row>
    <row r="20999" spans="1:6" x14ac:dyDescent="0.25">
      <c r="A20999"/>
      <c r="B20999"/>
      <c r="C20999"/>
      <c r="E20999"/>
      <c r="F20999"/>
    </row>
    <row r="21000" spans="1:6" x14ac:dyDescent="0.25">
      <c r="A21000"/>
      <c r="B21000"/>
      <c r="C21000"/>
      <c r="E21000"/>
      <c r="F21000"/>
    </row>
    <row r="21001" spans="1:6" x14ac:dyDescent="0.25">
      <c r="A21001"/>
      <c r="B21001"/>
      <c r="C21001"/>
      <c r="E21001"/>
      <c r="F21001"/>
    </row>
    <row r="21002" spans="1:6" x14ac:dyDescent="0.25">
      <c r="A21002"/>
      <c r="B21002"/>
      <c r="C21002"/>
      <c r="E21002"/>
      <c r="F21002"/>
    </row>
    <row r="21003" spans="1:6" x14ac:dyDescent="0.25">
      <c r="A21003"/>
      <c r="B21003"/>
      <c r="C21003"/>
      <c r="E21003"/>
      <c r="F21003"/>
    </row>
    <row r="21004" spans="1:6" x14ac:dyDescent="0.25">
      <c r="A21004"/>
      <c r="B21004"/>
      <c r="C21004"/>
      <c r="E21004"/>
      <c r="F21004"/>
    </row>
    <row r="21005" spans="1:6" x14ac:dyDescent="0.25">
      <c r="A21005"/>
      <c r="B21005"/>
      <c r="C21005"/>
      <c r="E21005"/>
      <c r="F21005"/>
    </row>
    <row r="21006" spans="1:6" x14ac:dyDescent="0.25">
      <c r="A21006"/>
      <c r="B21006"/>
      <c r="C21006"/>
      <c r="E21006"/>
      <c r="F21006"/>
    </row>
    <row r="21007" spans="1:6" x14ac:dyDescent="0.25">
      <c r="A21007"/>
      <c r="B21007"/>
      <c r="C21007"/>
      <c r="E21007"/>
      <c r="F21007"/>
    </row>
    <row r="21008" spans="1:6" x14ac:dyDescent="0.25">
      <c r="A21008"/>
      <c r="B21008"/>
      <c r="C21008"/>
      <c r="E21008"/>
      <c r="F21008"/>
    </row>
    <row r="21009" spans="1:6" x14ac:dyDescent="0.25">
      <c r="A21009"/>
      <c r="B21009"/>
      <c r="C21009"/>
      <c r="E21009"/>
      <c r="F21009"/>
    </row>
    <row r="21010" spans="1:6" x14ac:dyDescent="0.25">
      <c r="A21010"/>
      <c r="B21010"/>
      <c r="C21010"/>
      <c r="E21010"/>
      <c r="F21010"/>
    </row>
    <row r="21011" spans="1:6" x14ac:dyDescent="0.25">
      <c r="A21011"/>
      <c r="B21011"/>
      <c r="C21011"/>
      <c r="E21011"/>
      <c r="F21011"/>
    </row>
    <row r="21012" spans="1:6" x14ac:dyDescent="0.25">
      <c r="A21012"/>
      <c r="B21012"/>
      <c r="C21012"/>
      <c r="E21012"/>
      <c r="F21012"/>
    </row>
    <row r="21013" spans="1:6" x14ac:dyDescent="0.25">
      <c r="A21013"/>
      <c r="B21013"/>
      <c r="C21013"/>
      <c r="E21013"/>
      <c r="F21013"/>
    </row>
    <row r="21014" spans="1:6" x14ac:dyDescent="0.25">
      <c r="A21014"/>
      <c r="B21014"/>
      <c r="C21014"/>
      <c r="E21014"/>
      <c r="F21014"/>
    </row>
    <row r="21015" spans="1:6" x14ac:dyDescent="0.25">
      <c r="A21015"/>
      <c r="B21015"/>
      <c r="C21015"/>
      <c r="E21015"/>
      <c r="F21015"/>
    </row>
    <row r="21016" spans="1:6" x14ac:dyDescent="0.25">
      <c r="A21016"/>
      <c r="B21016"/>
      <c r="C21016"/>
      <c r="E21016"/>
      <c r="F21016"/>
    </row>
    <row r="21017" spans="1:6" x14ac:dyDescent="0.25">
      <c r="A21017"/>
      <c r="B21017"/>
      <c r="C21017"/>
      <c r="E21017"/>
      <c r="F21017"/>
    </row>
    <row r="21018" spans="1:6" x14ac:dyDescent="0.25">
      <c r="A21018"/>
      <c r="B21018"/>
      <c r="C21018"/>
      <c r="E21018"/>
      <c r="F21018"/>
    </row>
    <row r="21019" spans="1:6" x14ac:dyDescent="0.25">
      <c r="A21019"/>
      <c r="B21019"/>
      <c r="C21019"/>
      <c r="E21019"/>
      <c r="F21019"/>
    </row>
    <row r="21020" spans="1:6" x14ac:dyDescent="0.25">
      <c r="A21020"/>
      <c r="B21020"/>
      <c r="C21020"/>
      <c r="E21020"/>
      <c r="F21020"/>
    </row>
    <row r="21021" spans="1:6" x14ac:dyDescent="0.25">
      <c r="A21021"/>
      <c r="B21021"/>
      <c r="C21021"/>
      <c r="E21021"/>
      <c r="F21021"/>
    </row>
    <row r="21022" spans="1:6" x14ac:dyDescent="0.25">
      <c r="A21022"/>
      <c r="B21022"/>
      <c r="C21022"/>
      <c r="E21022"/>
      <c r="F21022"/>
    </row>
    <row r="21023" spans="1:6" x14ac:dyDescent="0.25">
      <c r="A21023"/>
      <c r="B21023"/>
      <c r="C21023"/>
      <c r="E21023"/>
      <c r="F21023"/>
    </row>
    <row r="21024" spans="1:6" x14ac:dyDescent="0.25">
      <c r="A21024"/>
      <c r="B21024"/>
      <c r="C21024"/>
      <c r="E21024"/>
      <c r="F21024"/>
    </row>
    <row r="21025" spans="1:6" x14ac:dyDescent="0.25">
      <c r="A21025"/>
      <c r="B21025"/>
      <c r="C21025"/>
      <c r="E21025"/>
      <c r="F21025"/>
    </row>
    <row r="21026" spans="1:6" x14ac:dyDescent="0.25">
      <c r="A21026"/>
      <c r="B21026"/>
      <c r="C21026"/>
      <c r="E21026"/>
      <c r="F21026"/>
    </row>
    <row r="21027" spans="1:6" x14ac:dyDescent="0.25">
      <c r="A21027"/>
      <c r="B21027"/>
      <c r="C21027"/>
      <c r="E21027"/>
      <c r="F21027"/>
    </row>
    <row r="21028" spans="1:6" x14ac:dyDescent="0.25">
      <c r="A21028"/>
      <c r="B21028"/>
      <c r="C21028"/>
      <c r="E21028"/>
      <c r="F21028"/>
    </row>
    <row r="21029" spans="1:6" x14ac:dyDescent="0.25">
      <c r="A21029"/>
      <c r="B21029"/>
      <c r="C21029"/>
      <c r="E21029"/>
      <c r="F21029"/>
    </row>
    <row r="21030" spans="1:6" x14ac:dyDescent="0.25">
      <c r="A21030"/>
      <c r="B21030"/>
      <c r="C21030"/>
      <c r="E21030"/>
      <c r="F21030"/>
    </row>
    <row r="21031" spans="1:6" x14ac:dyDescent="0.25">
      <c r="A21031"/>
      <c r="B21031"/>
      <c r="C21031"/>
      <c r="E21031"/>
      <c r="F21031"/>
    </row>
    <row r="21032" spans="1:6" x14ac:dyDescent="0.25">
      <c r="A21032"/>
      <c r="B21032"/>
      <c r="C21032"/>
      <c r="E21032"/>
      <c r="F21032"/>
    </row>
    <row r="21033" spans="1:6" x14ac:dyDescent="0.25">
      <c r="A21033"/>
      <c r="B21033"/>
      <c r="C21033"/>
      <c r="E21033"/>
      <c r="F21033"/>
    </row>
    <row r="21034" spans="1:6" x14ac:dyDescent="0.25">
      <c r="A21034"/>
      <c r="B21034"/>
      <c r="C21034"/>
      <c r="E21034"/>
      <c r="F21034"/>
    </row>
    <row r="21035" spans="1:6" x14ac:dyDescent="0.25">
      <c r="A21035"/>
      <c r="B21035"/>
      <c r="C21035"/>
      <c r="E21035"/>
      <c r="F21035"/>
    </row>
    <row r="21036" spans="1:6" x14ac:dyDescent="0.25">
      <c r="A21036"/>
      <c r="B21036"/>
      <c r="C21036"/>
      <c r="E21036"/>
      <c r="F21036"/>
    </row>
    <row r="21037" spans="1:6" x14ac:dyDescent="0.25">
      <c r="A21037"/>
      <c r="B21037"/>
      <c r="C21037"/>
      <c r="E21037"/>
      <c r="F21037"/>
    </row>
    <row r="21038" spans="1:6" x14ac:dyDescent="0.25">
      <c r="A21038"/>
      <c r="B21038"/>
      <c r="C21038"/>
      <c r="E21038"/>
      <c r="F21038"/>
    </row>
    <row r="21039" spans="1:6" x14ac:dyDescent="0.25">
      <c r="A21039"/>
      <c r="B21039"/>
      <c r="C21039"/>
      <c r="E21039"/>
      <c r="F21039"/>
    </row>
    <row r="21040" spans="1:6" x14ac:dyDescent="0.25">
      <c r="A21040"/>
      <c r="B21040"/>
      <c r="C21040"/>
      <c r="E21040"/>
      <c r="F21040"/>
    </row>
    <row r="21041" spans="1:6" x14ac:dyDescent="0.25">
      <c r="A21041"/>
      <c r="B21041"/>
      <c r="C21041"/>
      <c r="E21041"/>
      <c r="F21041"/>
    </row>
    <row r="21042" spans="1:6" x14ac:dyDescent="0.25">
      <c r="A21042"/>
      <c r="B21042"/>
      <c r="C21042"/>
      <c r="E21042"/>
      <c r="F21042"/>
    </row>
    <row r="21043" spans="1:6" x14ac:dyDescent="0.25">
      <c r="A21043"/>
      <c r="B21043"/>
      <c r="C21043"/>
      <c r="E21043"/>
      <c r="F21043"/>
    </row>
    <row r="21044" spans="1:6" x14ac:dyDescent="0.25">
      <c r="A21044"/>
      <c r="B21044"/>
      <c r="C21044"/>
      <c r="E21044"/>
      <c r="F21044"/>
    </row>
    <row r="21045" spans="1:6" x14ac:dyDescent="0.25">
      <c r="A21045"/>
      <c r="B21045"/>
      <c r="C21045"/>
      <c r="E21045"/>
      <c r="F21045"/>
    </row>
    <row r="21046" spans="1:6" x14ac:dyDescent="0.25">
      <c r="A21046"/>
      <c r="B21046"/>
      <c r="C21046"/>
      <c r="E21046"/>
      <c r="F21046"/>
    </row>
    <row r="21047" spans="1:6" x14ac:dyDescent="0.25">
      <c r="A21047"/>
      <c r="B21047"/>
      <c r="C21047"/>
      <c r="E21047"/>
      <c r="F21047"/>
    </row>
    <row r="21048" spans="1:6" x14ac:dyDescent="0.25">
      <c r="A21048"/>
      <c r="B21048"/>
      <c r="C21048"/>
      <c r="E21048"/>
      <c r="F21048"/>
    </row>
    <row r="21049" spans="1:6" x14ac:dyDescent="0.25">
      <c r="A21049"/>
      <c r="B21049"/>
      <c r="C21049"/>
      <c r="E21049"/>
      <c r="F21049"/>
    </row>
    <row r="21050" spans="1:6" x14ac:dyDescent="0.25">
      <c r="A21050"/>
      <c r="B21050"/>
      <c r="C21050"/>
      <c r="E21050"/>
      <c r="F21050"/>
    </row>
    <row r="21051" spans="1:6" x14ac:dyDescent="0.25">
      <c r="A21051"/>
      <c r="B21051"/>
      <c r="C21051"/>
      <c r="E21051"/>
      <c r="F21051"/>
    </row>
    <row r="21052" spans="1:6" x14ac:dyDescent="0.25">
      <c r="A21052"/>
      <c r="B21052"/>
      <c r="C21052"/>
      <c r="E21052"/>
      <c r="F21052"/>
    </row>
    <row r="21053" spans="1:6" x14ac:dyDescent="0.25">
      <c r="A21053"/>
      <c r="B21053"/>
      <c r="C21053"/>
      <c r="E21053"/>
      <c r="F21053"/>
    </row>
    <row r="21054" spans="1:6" x14ac:dyDescent="0.25">
      <c r="A21054"/>
      <c r="B21054"/>
      <c r="C21054"/>
      <c r="E21054"/>
      <c r="F21054"/>
    </row>
    <row r="21055" spans="1:6" x14ac:dyDescent="0.25">
      <c r="A21055"/>
      <c r="B21055"/>
      <c r="C21055"/>
      <c r="E21055"/>
      <c r="F21055"/>
    </row>
    <row r="21056" spans="1:6" x14ac:dyDescent="0.25">
      <c r="A21056"/>
      <c r="B21056"/>
      <c r="C21056"/>
      <c r="E21056"/>
      <c r="F21056"/>
    </row>
    <row r="21057" spans="1:6" x14ac:dyDescent="0.25">
      <c r="A21057"/>
      <c r="B21057"/>
      <c r="C21057"/>
      <c r="E21057"/>
      <c r="F21057"/>
    </row>
    <row r="21058" spans="1:6" x14ac:dyDescent="0.25">
      <c r="A21058"/>
      <c r="B21058"/>
      <c r="C21058"/>
      <c r="E21058"/>
      <c r="F21058"/>
    </row>
    <row r="21059" spans="1:6" x14ac:dyDescent="0.25">
      <c r="A21059"/>
      <c r="B21059"/>
      <c r="C21059"/>
      <c r="E21059"/>
      <c r="F21059"/>
    </row>
    <row r="21060" spans="1:6" x14ac:dyDescent="0.25">
      <c r="A21060"/>
      <c r="B21060"/>
      <c r="C21060"/>
      <c r="E21060"/>
      <c r="F21060"/>
    </row>
    <row r="21061" spans="1:6" x14ac:dyDescent="0.25">
      <c r="A21061"/>
      <c r="B21061"/>
      <c r="C21061"/>
      <c r="E21061"/>
      <c r="F21061"/>
    </row>
    <row r="21062" spans="1:6" x14ac:dyDescent="0.25">
      <c r="A21062"/>
      <c r="B21062"/>
      <c r="C21062"/>
      <c r="E21062"/>
      <c r="F21062"/>
    </row>
    <row r="21063" spans="1:6" x14ac:dyDescent="0.25">
      <c r="A21063"/>
      <c r="B21063"/>
      <c r="C21063"/>
      <c r="E21063"/>
      <c r="F21063"/>
    </row>
    <row r="21064" spans="1:6" x14ac:dyDescent="0.25">
      <c r="A21064"/>
      <c r="B21064"/>
      <c r="C21064"/>
      <c r="E21064"/>
      <c r="F21064"/>
    </row>
    <row r="21065" spans="1:6" x14ac:dyDescent="0.25">
      <c r="A21065"/>
      <c r="B21065"/>
      <c r="C21065"/>
      <c r="E21065"/>
      <c r="F21065"/>
    </row>
    <row r="21066" spans="1:6" x14ac:dyDescent="0.25">
      <c r="A21066"/>
      <c r="B21066"/>
      <c r="C21066"/>
      <c r="E21066"/>
      <c r="F21066"/>
    </row>
    <row r="21067" spans="1:6" x14ac:dyDescent="0.25">
      <c r="A21067"/>
      <c r="B21067"/>
      <c r="C21067"/>
      <c r="E21067"/>
      <c r="F21067"/>
    </row>
    <row r="21068" spans="1:6" x14ac:dyDescent="0.25">
      <c r="A21068"/>
      <c r="B21068"/>
      <c r="C21068"/>
      <c r="E21068"/>
      <c r="F21068"/>
    </row>
    <row r="21069" spans="1:6" x14ac:dyDescent="0.25">
      <c r="A21069"/>
      <c r="B21069"/>
      <c r="C21069"/>
      <c r="E21069"/>
      <c r="F21069"/>
    </row>
    <row r="21070" spans="1:6" x14ac:dyDescent="0.25">
      <c r="A21070"/>
      <c r="B21070"/>
      <c r="C21070"/>
      <c r="E21070"/>
      <c r="F21070"/>
    </row>
    <row r="21071" spans="1:6" x14ac:dyDescent="0.25">
      <c r="A21071"/>
      <c r="B21071"/>
      <c r="C21071"/>
      <c r="E21071"/>
      <c r="F21071"/>
    </row>
    <row r="21072" spans="1:6" x14ac:dyDescent="0.25">
      <c r="A21072"/>
      <c r="B21072"/>
      <c r="C21072"/>
      <c r="E21072"/>
      <c r="F21072"/>
    </row>
    <row r="21073" spans="1:6" x14ac:dyDescent="0.25">
      <c r="A21073"/>
      <c r="B21073"/>
      <c r="C21073"/>
      <c r="E21073"/>
      <c r="F21073"/>
    </row>
    <row r="21074" spans="1:6" x14ac:dyDescent="0.25">
      <c r="A21074"/>
      <c r="B21074"/>
      <c r="C21074"/>
      <c r="E21074"/>
      <c r="F21074"/>
    </row>
    <row r="21075" spans="1:6" x14ac:dyDescent="0.25">
      <c r="A21075"/>
      <c r="B21075"/>
      <c r="C21075"/>
      <c r="E21075"/>
      <c r="F21075"/>
    </row>
    <row r="21076" spans="1:6" x14ac:dyDescent="0.25">
      <c r="A21076"/>
      <c r="B21076"/>
      <c r="C21076"/>
      <c r="E21076"/>
      <c r="F21076"/>
    </row>
    <row r="21077" spans="1:6" x14ac:dyDescent="0.25">
      <c r="A21077"/>
      <c r="B21077"/>
      <c r="C21077"/>
      <c r="E21077"/>
      <c r="F21077"/>
    </row>
    <row r="21078" spans="1:6" x14ac:dyDescent="0.25">
      <c r="A21078"/>
      <c r="B21078"/>
      <c r="C21078"/>
      <c r="E21078"/>
      <c r="F21078"/>
    </row>
    <row r="21079" spans="1:6" x14ac:dyDescent="0.25">
      <c r="A21079"/>
      <c r="B21079"/>
      <c r="C21079"/>
      <c r="E21079"/>
      <c r="F21079"/>
    </row>
    <row r="21080" spans="1:6" x14ac:dyDescent="0.25">
      <c r="A21080"/>
      <c r="B21080"/>
      <c r="C21080"/>
      <c r="E21080"/>
      <c r="F21080"/>
    </row>
    <row r="21081" spans="1:6" x14ac:dyDescent="0.25">
      <c r="A21081"/>
      <c r="B21081"/>
      <c r="C21081"/>
      <c r="E21081"/>
      <c r="F21081"/>
    </row>
    <row r="21082" spans="1:6" x14ac:dyDescent="0.25">
      <c r="A21082"/>
      <c r="B21082"/>
      <c r="C21082"/>
      <c r="E21082"/>
      <c r="F21082"/>
    </row>
    <row r="21083" spans="1:6" x14ac:dyDescent="0.25">
      <c r="A21083"/>
      <c r="B21083"/>
      <c r="C21083"/>
      <c r="E21083"/>
      <c r="F21083"/>
    </row>
    <row r="21084" spans="1:6" x14ac:dyDescent="0.25">
      <c r="A21084"/>
      <c r="B21084"/>
      <c r="C21084"/>
      <c r="E21084"/>
      <c r="F21084"/>
    </row>
    <row r="21085" spans="1:6" x14ac:dyDescent="0.25">
      <c r="A21085"/>
      <c r="B21085"/>
      <c r="C21085"/>
      <c r="E21085"/>
      <c r="F21085"/>
    </row>
    <row r="21086" spans="1:6" x14ac:dyDescent="0.25">
      <c r="A21086"/>
      <c r="B21086"/>
      <c r="C21086"/>
      <c r="E21086"/>
      <c r="F21086"/>
    </row>
    <row r="21087" spans="1:6" x14ac:dyDescent="0.25">
      <c r="A21087"/>
      <c r="B21087"/>
      <c r="C21087"/>
      <c r="E21087"/>
      <c r="F21087"/>
    </row>
    <row r="21088" spans="1:6" x14ac:dyDescent="0.25">
      <c r="A21088"/>
      <c r="B21088"/>
      <c r="C21088"/>
      <c r="E21088"/>
      <c r="F21088"/>
    </row>
    <row r="21089" spans="1:6" x14ac:dyDescent="0.25">
      <c r="A21089"/>
      <c r="B21089"/>
      <c r="C21089"/>
      <c r="E21089"/>
      <c r="F21089"/>
    </row>
    <row r="21090" spans="1:6" x14ac:dyDescent="0.25">
      <c r="A21090"/>
      <c r="B21090"/>
      <c r="C21090"/>
      <c r="E21090"/>
      <c r="F21090"/>
    </row>
    <row r="21091" spans="1:6" x14ac:dyDescent="0.25">
      <c r="A21091"/>
      <c r="B21091"/>
      <c r="C21091"/>
      <c r="E21091"/>
      <c r="F21091"/>
    </row>
    <row r="21092" spans="1:6" x14ac:dyDescent="0.25">
      <c r="A21092"/>
      <c r="B21092"/>
      <c r="C21092"/>
      <c r="E21092"/>
      <c r="F21092"/>
    </row>
    <row r="21093" spans="1:6" x14ac:dyDescent="0.25">
      <c r="A21093"/>
      <c r="B21093"/>
      <c r="C21093"/>
      <c r="E21093"/>
      <c r="F21093"/>
    </row>
    <row r="21094" spans="1:6" x14ac:dyDescent="0.25">
      <c r="A21094"/>
      <c r="B21094"/>
      <c r="C21094"/>
      <c r="E21094"/>
      <c r="F21094"/>
    </row>
    <row r="21095" spans="1:6" x14ac:dyDescent="0.25">
      <c r="A21095"/>
      <c r="B21095"/>
      <c r="C21095"/>
      <c r="E21095"/>
      <c r="F21095"/>
    </row>
    <row r="21096" spans="1:6" x14ac:dyDescent="0.25">
      <c r="A21096"/>
      <c r="B21096"/>
      <c r="C21096"/>
      <c r="E21096"/>
      <c r="F21096"/>
    </row>
    <row r="21097" spans="1:6" x14ac:dyDescent="0.25">
      <c r="A21097"/>
      <c r="B21097"/>
      <c r="C21097"/>
      <c r="E21097"/>
      <c r="F21097"/>
    </row>
    <row r="21098" spans="1:6" x14ac:dyDescent="0.25">
      <c r="A21098"/>
      <c r="B21098"/>
      <c r="C21098"/>
      <c r="E21098"/>
      <c r="F21098"/>
    </row>
    <row r="21099" spans="1:6" x14ac:dyDescent="0.25">
      <c r="A21099"/>
      <c r="B21099"/>
      <c r="C21099"/>
      <c r="E21099"/>
      <c r="F21099"/>
    </row>
    <row r="21100" spans="1:6" x14ac:dyDescent="0.25">
      <c r="A21100"/>
      <c r="B21100"/>
      <c r="C21100"/>
      <c r="E21100"/>
      <c r="F21100"/>
    </row>
    <row r="21101" spans="1:6" x14ac:dyDescent="0.25">
      <c r="A21101"/>
      <c r="B21101"/>
      <c r="C21101"/>
      <c r="E21101"/>
      <c r="F21101"/>
    </row>
    <row r="21102" spans="1:6" x14ac:dyDescent="0.25">
      <c r="A21102"/>
      <c r="B21102"/>
      <c r="C21102"/>
      <c r="E21102"/>
      <c r="F21102"/>
    </row>
    <row r="21103" spans="1:6" x14ac:dyDescent="0.25">
      <c r="A21103"/>
      <c r="B21103"/>
      <c r="C21103"/>
      <c r="E21103"/>
      <c r="F21103"/>
    </row>
    <row r="21104" spans="1:6" x14ac:dyDescent="0.25">
      <c r="A21104"/>
      <c r="B21104"/>
      <c r="C21104"/>
      <c r="E21104"/>
      <c r="F21104"/>
    </row>
    <row r="21105" spans="1:6" x14ac:dyDescent="0.25">
      <c r="A21105"/>
      <c r="B21105"/>
      <c r="C21105"/>
      <c r="E21105"/>
      <c r="F21105"/>
    </row>
    <row r="21106" spans="1:6" x14ac:dyDescent="0.25">
      <c r="A21106"/>
      <c r="B21106"/>
      <c r="C21106"/>
      <c r="E21106"/>
      <c r="F21106"/>
    </row>
    <row r="21107" spans="1:6" x14ac:dyDescent="0.25">
      <c r="A21107"/>
      <c r="B21107"/>
      <c r="C21107"/>
      <c r="E21107"/>
      <c r="F21107"/>
    </row>
    <row r="21108" spans="1:6" x14ac:dyDescent="0.25">
      <c r="A21108"/>
      <c r="B21108"/>
      <c r="C21108"/>
      <c r="E21108"/>
      <c r="F21108"/>
    </row>
    <row r="21109" spans="1:6" x14ac:dyDescent="0.25">
      <c r="A21109"/>
      <c r="B21109"/>
      <c r="C21109"/>
      <c r="E21109"/>
      <c r="F21109"/>
    </row>
    <row r="21110" spans="1:6" x14ac:dyDescent="0.25">
      <c r="A21110"/>
      <c r="B21110"/>
      <c r="C21110"/>
      <c r="E21110"/>
      <c r="F21110"/>
    </row>
    <row r="21111" spans="1:6" x14ac:dyDescent="0.25">
      <c r="A21111"/>
      <c r="B21111"/>
      <c r="C21111"/>
      <c r="E21111"/>
      <c r="F21111"/>
    </row>
    <row r="21112" spans="1:6" x14ac:dyDescent="0.25">
      <c r="A21112"/>
      <c r="B21112"/>
      <c r="C21112"/>
      <c r="E21112"/>
      <c r="F21112"/>
    </row>
    <row r="21113" spans="1:6" x14ac:dyDescent="0.25">
      <c r="A21113"/>
      <c r="B21113"/>
      <c r="C21113"/>
      <c r="E21113"/>
      <c r="F21113"/>
    </row>
    <row r="21114" spans="1:6" x14ac:dyDescent="0.25">
      <c r="A21114"/>
      <c r="B21114"/>
      <c r="C21114"/>
      <c r="E21114"/>
      <c r="F21114"/>
    </row>
    <row r="21115" spans="1:6" x14ac:dyDescent="0.25">
      <c r="A21115"/>
      <c r="B21115"/>
      <c r="C21115"/>
      <c r="E21115"/>
      <c r="F21115"/>
    </row>
    <row r="21116" spans="1:6" x14ac:dyDescent="0.25">
      <c r="A21116"/>
      <c r="B21116"/>
      <c r="C21116"/>
      <c r="E21116"/>
      <c r="F21116"/>
    </row>
    <row r="21117" spans="1:6" x14ac:dyDescent="0.25">
      <c r="A21117"/>
      <c r="B21117"/>
      <c r="C21117"/>
      <c r="E21117"/>
      <c r="F21117"/>
    </row>
    <row r="21118" spans="1:6" x14ac:dyDescent="0.25">
      <c r="A21118"/>
      <c r="B21118"/>
      <c r="C21118"/>
      <c r="E21118"/>
      <c r="F21118"/>
    </row>
    <row r="21119" spans="1:6" x14ac:dyDescent="0.25">
      <c r="A21119"/>
      <c r="B21119"/>
      <c r="C21119"/>
      <c r="E21119"/>
      <c r="F21119"/>
    </row>
    <row r="21120" spans="1:6" x14ac:dyDescent="0.25">
      <c r="A21120"/>
      <c r="B21120"/>
      <c r="C21120"/>
      <c r="E21120"/>
      <c r="F21120"/>
    </row>
    <row r="21121" spans="1:6" x14ac:dyDescent="0.25">
      <c r="A21121"/>
      <c r="B21121"/>
      <c r="C21121"/>
      <c r="E21121"/>
      <c r="F21121"/>
    </row>
    <row r="21122" spans="1:6" x14ac:dyDescent="0.25">
      <c r="A21122"/>
      <c r="B21122"/>
      <c r="C21122"/>
      <c r="E21122"/>
      <c r="F21122"/>
    </row>
    <row r="21123" spans="1:6" x14ac:dyDescent="0.25">
      <c r="A21123"/>
      <c r="B21123"/>
      <c r="C21123"/>
      <c r="E21123"/>
      <c r="F21123"/>
    </row>
    <row r="21124" spans="1:6" x14ac:dyDescent="0.25">
      <c r="A21124"/>
      <c r="B21124"/>
      <c r="C21124"/>
      <c r="E21124"/>
      <c r="F21124"/>
    </row>
    <row r="21125" spans="1:6" x14ac:dyDescent="0.25">
      <c r="A21125"/>
      <c r="B21125"/>
      <c r="C21125"/>
      <c r="E21125"/>
      <c r="F21125"/>
    </row>
    <row r="21126" spans="1:6" x14ac:dyDescent="0.25">
      <c r="A21126"/>
      <c r="B21126"/>
      <c r="C21126"/>
      <c r="E21126"/>
      <c r="F21126"/>
    </row>
    <row r="21127" spans="1:6" x14ac:dyDescent="0.25">
      <c r="A21127"/>
      <c r="B21127"/>
      <c r="C21127"/>
      <c r="E21127"/>
      <c r="F21127"/>
    </row>
    <row r="21128" spans="1:6" x14ac:dyDescent="0.25">
      <c r="A21128"/>
      <c r="B21128"/>
      <c r="C21128"/>
      <c r="E21128"/>
      <c r="F21128"/>
    </row>
    <row r="21129" spans="1:6" x14ac:dyDescent="0.25">
      <c r="A21129"/>
      <c r="B21129"/>
      <c r="C21129"/>
      <c r="E21129"/>
      <c r="F21129"/>
    </row>
    <row r="21130" spans="1:6" x14ac:dyDescent="0.25">
      <c r="A21130"/>
      <c r="B21130"/>
      <c r="C21130"/>
      <c r="E21130"/>
      <c r="F21130"/>
    </row>
    <row r="21131" spans="1:6" x14ac:dyDescent="0.25">
      <c r="A21131"/>
      <c r="B21131"/>
      <c r="C21131"/>
      <c r="E21131"/>
      <c r="F21131"/>
    </row>
    <row r="21132" spans="1:6" x14ac:dyDescent="0.25">
      <c r="A21132"/>
      <c r="B21132"/>
      <c r="C21132"/>
      <c r="E21132"/>
      <c r="F21132"/>
    </row>
    <row r="21133" spans="1:6" x14ac:dyDescent="0.25">
      <c r="A21133"/>
      <c r="B21133"/>
      <c r="C21133"/>
      <c r="E21133"/>
      <c r="F21133"/>
    </row>
    <row r="21134" spans="1:6" x14ac:dyDescent="0.25">
      <c r="A21134"/>
      <c r="B21134"/>
      <c r="C21134"/>
      <c r="E21134"/>
      <c r="F21134"/>
    </row>
    <row r="21135" spans="1:6" x14ac:dyDescent="0.25">
      <c r="A21135"/>
      <c r="B21135"/>
      <c r="C21135"/>
      <c r="E21135"/>
      <c r="F21135"/>
    </row>
    <row r="21136" spans="1:6" x14ac:dyDescent="0.25">
      <c r="A21136"/>
      <c r="B21136"/>
      <c r="C21136"/>
      <c r="E21136"/>
      <c r="F21136"/>
    </row>
    <row r="21137" spans="1:6" x14ac:dyDescent="0.25">
      <c r="A21137"/>
      <c r="B21137"/>
      <c r="C21137"/>
      <c r="E21137"/>
      <c r="F21137"/>
    </row>
    <row r="21138" spans="1:6" x14ac:dyDescent="0.25">
      <c r="A21138"/>
      <c r="B21138"/>
      <c r="C21138"/>
      <c r="E21138"/>
      <c r="F21138"/>
    </row>
    <row r="21139" spans="1:6" x14ac:dyDescent="0.25">
      <c r="A21139"/>
      <c r="B21139"/>
      <c r="C21139"/>
      <c r="E21139"/>
      <c r="F21139"/>
    </row>
    <row r="21140" spans="1:6" x14ac:dyDescent="0.25">
      <c r="A21140"/>
      <c r="B21140"/>
      <c r="C21140"/>
      <c r="E21140"/>
      <c r="F21140"/>
    </row>
    <row r="21141" spans="1:6" x14ac:dyDescent="0.25">
      <c r="A21141"/>
      <c r="B21141"/>
      <c r="C21141"/>
      <c r="E21141"/>
      <c r="F21141"/>
    </row>
    <row r="21142" spans="1:6" x14ac:dyDescent="0.25">
      <c r="A21142"/>
      <c r="B21142"/>
      <c r="C21142"/>
      <c r="E21142"/>
      <c r="F21142"/>
    </row>
    <row r="21143" spans="1:6" x14ac:dyDescent="0.25">
      <c r="A21143"/>
      <c r="B21143"/>
      <c r="C21143"/>
      <c r="E21143"/>
      <c r="F21143"/>
    </row>
    <row r="21144" spans="1:6" x14ac:dyDescent="0.25">
      <c r="A21144"/>
      <c r="B21144"/>
      <c r="C21144"/>
      <c r="E21144"/>
      <c r="F21144"/>
    </row>
    <row r="21145" spans="1:6" x14ac:dyDescent="0.25">
      <c r="A21145"/>
      <c r="B21145"/>
      <c r="C21145"/>
      <c r="E21145"/>
      <c r="F21145"/>
    </row>
    <row r="21146" spans="1:6" x14ac:dyDescent="0.25">
      <c r="A21146"/>
      <c r="B21146"/>
      <c r="C21146"/>
      <c r="E21146"/>
      <c r="F21146"/>
    </row>
    <row r="21147" spans="1:6" x14ac:dyDescent="0.25">
      <c r="A21147"/>
      <c r="B21147"/>
      <c r="C21147"/>
      <c r="E21147"/>
      <c r="F21147"/>
    </row>
    <row r="21148" spans="1:6" x14ac:dyDescent="0.25">
      <c r="A21148"/>
      <c r="B21148"/>
      <c r="C21148"/>
      <c r="E21148"/>
      <c r="F21148"/>
    </row>
    <row r="21149" spans="1:6" x14ac:dyDescent="0.25">
      <c r="A21149"/>
      <c r="B21149"/>
      <c r="C21149"/>
      <c r="E21149"/>
      <c r="F21149"/>
    </row>
    <row r="21150" spans="1:6" x14ac:dyDescent="0.25">
      <c r="A21150"/>
      <c r="B21150"/>
      <c r="C21150"/>
      <c r="E21150"/>
      <c r="F21150"/>
    </row>
    <row r="21151" spans="1:6" x14ac:dyDescent="0.25">
      <c r="A21151"/>
      <c r="B21151"/>
      <c r="C21151"/>
      <c r="E21151"/>
      <c r="F21151"/>
    </row>
    <row r="21152" spans="1:6" x14ac:dyDescent="0.25">
      <c r="A21152"/>
      <c r="B21152"/>
      <c r="C21152"/>
      <c r="E21152"/>
      <c r="F21152"/>
    </row>
    <row r="21153" spans="1:6" x14ac:dyDescent="0.25">
      <c r="A21153"/>
      <c r="B21153"/>
      <c r="C21153"/>
      <c r="E21153"/>
      <c r="F21153"/>
    </row>
    <row r="21154" spans="1:6" x14ac:dyDescent="0.25">
      <c r="A21154"/>
      <c r="B21154"/>
      <c r="C21154"/>
      <c r="E21154"/>
      <c r="F21154"/>
    </row>
    <row r="21155" spans="1:6" x14ac:dyDescent="0.25">
      <c r="A21155"/>
      <c r="B21155"/>
      <c r="C21155"/>
      <c r="E21155"/>
      <c r="F21155"/>
    </row>
    <row r="21156" spans="1:6" x14ac:dyDescent="0.25">
      <c r="A21156"/>
      <c r="B21156"/>
      <c r="C21156"/>
      <c r="E21156"/>
      <c r="F21156"/>
    </row>
    <row r="21157" spans="1:6" x14ac:dyDescent="0.25">
      <c r="A21157"/>
      <c r="B21157"/>
      <c r="C21157"/>
      <c r="E21157"/>
      <c r="F21157"/>
    </row>
    <row r="21158" spans="1:6" x14ac:dyDescent="0.25">
      <c r="A21158"/>
      <c r="B21158"/>
      <c r="C21158"/>
      <c r="E21158"/>
      <c r="F21158"/>
    </row>
    <row r="21159" spans="1:6" x14ac:dyDescent="0.25">
      <c r="A21159"/>
      <c r="B21159"/>
      <c r="C21159"/>
      <c r="E21159"/>
      <c r="F21159"/>
    </row>
    <row r="21160" spans="1:6" x14ac:dyDescent="0.25">
      <c r="A21160"/>
      <c r="B21160"/>
      <c r="C21160"/>
      <c r="E21160"/>
      <c r="F21160"/>
    </row>
    <row r="21161" spans="1:6" x14ac:dyDescent="0.25">
      <c r="A21161"/>
      <c r="B21161"/>
      <c r="C21161"/>
      <c r="E21161"/>
      <c r="F21161"/>
    </row>
    <row r="21162" spans="1:6" x14ac:dyDescent="0.25">
      <c r="A21162"/>
      <c r="B21162"/>
      <c r="C21162"/>
      <c r="E21162"/>
      <c r="F21162"/>
    </row>
    <row r="21163" spans="1:6" x14ac:dyDescent="0.25">
      <c r="A21163"/>
      <c r="B21163"/>
      <c r="C21163"/>
      <c r="E21163"/>
      <c r="F21163"/>
    </row>
    <row r="21164" spans="1:6" x14ac:dyDescent="0.25">
      <c r="A21164"/>
      <c r="B21164"/>
      <c r="C21164"/>
      <c r="E21164"/>
      <c r="F21164"/>
    </row>
    <row r="21165" spans="1:6" x14ac:dyDescent="0.25">
      <c r="A21165"/>
      <c r="B21165"/>
      <c r="C21165"/>
      <c r="E21165"/>
      <c r="F21165"/>
    </row>
    <row r="21166" spans="1:6" x14ac:dyDescent="0.25">
      <c r="A21166"/>
      <c r="B21166"/>
      <c r="C21166"/>
      <c r="E21166"/>
      <c r="F21166"/>
    </row>
    <row r="21167" spans="1:6" x14ac:dyDescent="0.25">
      <c r="A21167"/>
      <c r="B21167"/>
      <c r="C21167"/>
      <c r="E21167"/>
      <c r="F21167"/>
    </row>
    <row r="21168" spans="1:6" x14ac:dyDescent="0.25">
      <c r="A21168"/>
      <c r="B21168"/>
      <c r="C21168"/>
      <c r="E21168"/>
      <c r="F21168"/>
    </row>
    <row r="21169" spans="1:6" x14ac:dyDescent="0.25">
      <c r="A21169"/>
      <c r="B21169"/>
      <c r="C21169"/>
      <c r="E21169"/>
      <c r="F21169"/>
    </row>
    <row r="21170" spans="1:6" x14ac:dyDescent="0.25">
      <c r="A21170"/>
      <c r="B21170"/>
      <c r="C21170"/>
      <c r="E21170"/>
      <c r="F21170"/>
    </row>
    <row r="21171" spans="1:6" x14ac:dyDescent="0.25">
      <c r="A21171"/>
      <c r="B21171"/>
      <c r="C21171"/>
      <c r="E21171"/>
      <c r="F21171"/>
    </row>
    <row r="21172" spans="1:6" x14ac:dyDescent="0.25">
      <c r="A21172"/>
      <c r="B21172"/>
      <c r="C21172"/>
      <c r="E21172"/>
      <c r="F21172"/>
    </row>
    <row r="21173" spans="1:6" x14ac:dyDescent="0.25">
      <c r="A21173"/>
      <c r="B21173"/>
      <c r="C21173"/>
      <c r="E21173"/>
      <c r="F21173"/>
    </row>
    <row r="21174" spans="1:6" x14ac:dyDescent="0.25">
      <c r="A21174"/>
      <c r="B21174"/>
      <c r="C21174"/>
      <c r="E21174"/>
      <c r="F21174"/>
    </row>
    <row r="21175" spans="1:6" x14ac:dyDescent="0.25">
      <c r="A21175"/>
      <c r="B21175"/>
      <c r="C21175"/>
      <c r="E21175"/>
      <c r="F21175"/>
    </row>
    <row r="21176" spans="1:6" x14ac:dyDescent="0.25">
      <c r="A21176"/>
      <c r="B21176"/>
      <c r="C21176"/>
      <c r="E21176"/>
      <c r="F21176"/>
    </row>
    <row r="21177" spans="1:6" x14ac:dyDescent="0.25">
      <c r="A21177"/>
      <c r="B21177"/>
      <c r="C21177"/>
      <c r="E21177"/>
      <c r="F21177"/>
    </row>
    <row r="21178" spans="1:6" x14ac:dyDescent="0.25">
      <c r="A21178"/>
      <c r="B21178"/>
      <c r="C21178"/>
      <c r="E21178"/>
      <c r="F21178"/>
    </row>
    <row r="21179" spans="1:6" x14ac:dyDescent="0.25">
      <c r="A21179"/>
      <c r="B21179"/>
      <c r="C21179"/>
      <c r="E21179"/>
      <c r="F21179"/>
    </row>
    <row r="21180" spans="1:6" x14ac:dyDescent="0.25">
      <c r="A21180"/>
      <c r="B21180"/>
      <c r="C21180"/>
      <c r="E21180"/>
      <c r="F21180"/>
    </row>
    <row r="21181" spans="1:6" x14ac:dyDescent="0.25">
      <c r="A21181"/>
      <c r="B21181"/>
      <c r="C21181"/>
      <c r="E21181"/>
      <c r="F21181"/>
    </row>
    <row r="21182" spans="1:6" x14ac:dyDescent="0.25">
      <c r="A21182"/>
      <c r="B21182"/>
      <c r="C21182"/>
      <c r="E21182"/>
      <c r="F21182"/>
    </row>
    <row r="21183" spans="1:6" x14ac:dyDescent="0.25">
      <c r="A21183"/>
      <c r="B21183"/>
      <c r="C21183"/>
      <c r="E21183"/>
      <c r="F21183"/>
    </row>
    <row r="21184" spans="1:6" x14ac:dyDescent="0.25">
      <c r="A21184"/>
      <c r="B21184"/>
      <c r="C21184"/>
      <c r="E21184"/>
      <c r="F21184"/>
    </row>
    <row r="21185" spans="1:6" x14ac:dyDescent="0.25">
      <c r="A21185"/>
      <c r="B21185"/>
      <c r="C21185"/>
      <c r="E21185"/>
      <c r="F21185"/>
    </row>
    <row r="21186" spans="1:6" x14ac:dyDescent="0.25">
      <c r="A21186"/>
      <c r="B21186"/>
      <c r="C21186"/>
      <c r="E21186"/>
      <c r="F21186"/>
    </row>
    <row r="21187" spans="1:6" x14ac:dyDescent="0.25">
      <c r="A21187"/>
      <c r="B21187"/>
      <c r="C21187"/>
      <c r="E21187"/>
      <c r="F21187"/>
    </row>
    <row r="21188" spans="1:6" x14ac:dyDescent="0.25">
      <c r="A21188"/>
      <c r="B21188"/>
      <c r="C21188"/>
      <c r="E21188"/>
      <c r="F21188"/>
    </row>
    <row r="21189" spans="1:6" x14ac:dyDescent="0.25">
      <c r="A21189"/>
      <c r="B21189"/>
      <c r="C21189"/>
      <c r="E21189"/>
      <c r="F21189"/>
    </row>
    <row r="21190" spans="1:6" x14ac:dyDescent="0.25">
      <c r="A21190"/>
      <c r="B21190"/>
      <c r="C21190"/>
      <c r="E21190"/>
      <c r="F21190"/>
    </row>
    <row r="21191" spans="1:6" x14ac:dyDescent="0.25">
      <c r="A21191"/>
      <c r="B21191"/>
      <c r="C21191"/>
      <c r="E21191"/>
      <c r="F21191"/>
    </row>
    <row r="21192" spans="1:6" x14ac:dyDescent="0.25">
      <c r="A21192"/>
      <c r="B21192"/>
      <c r="C21192"/>
      <c r="E21192"/>
      <c r="F21192"/>
    </row>
    <row r="21193" spans="1:6" x14ac:dyDescent="0.25">
      <c r="A21193"/>
      <c r="B21193"/>
      <c r="C21193"/>
      <c r="E21193"/>
      <c r="F21193"/>
    </row>
    <row r="21194" spans="1:6" x14ac:dyDescent="0.25">
      <c r="A21194"/>
      <c r="B21194"/>
      <c r="C21194"/>
      <c r="E21194"/>
      <c r="F21194"/>
    </row>
    <row r="21195" spans="1:6" x14ac:dyDescent="0.25">
      <c r="A21195"/>
      <c r="B21195"/>
      <c r="C21195"/>
      <c r="E21195"/>
      <c r="F21195"/>
    </row>
    <row r="21196" spans="1:6" x14ac:dyDescent="0.25">
      <c r="A21196"/>
      <c r="B21196"/>
      <c r="C21196"/>
      <c r="E21196"/>
      <c r="F21196"/>
    </row>
    <row r="21197" spans="1:6" x14ac:dyDescent="0.25">
      <c r="A21197"/>
      <c r="B21197"/>
      <c r="C21197"/>
      <c r="E21197"/>
      <c r="F21197"/>
    </row>
    <row r="21198" spans="1:6" x14ac:dyDescent="0.25">
      <c r="A21198"/>
      <c r="B21198"/>
      <c r="C21198"/>
      <c r="E21198"/>
      <c r="F21198"/>
    </row>
    <row r="21199" spans="1:6" x14ac:dyDescent="0.25">
      <c r="A21199"/>
      <c r="B21199"/>
      <c r="C21199"/>
      <c r="E21199"/>
      <c r="F21199"/>
    </row>
    <row r="21200" spans="1:6" x14ac:dyDescent="0.25">
      <c r="A21200"/>
      <c r="B21200"/>
      <c r="C21200"/>
      <c r="E21200"/>
      <c r="F21200"/>
    </row>
    <row r="21201" spans="1:6" x14ac:dyDescent="0.25">
      <c r="A21201"/>
      <c r="B21201"/>
      <c r="C21201"/>
      <c r="E21201"/>
      <c r="F21201"/>
    </row>
    <row r="21202" spans="1:6" x14ac:dyDescent="0.25">
      <c r="A21202"/>
      <c r="B21202"/>
      <c r="C21202"/>
      <c r="E21202"/>
      <c r="F21202"/>
    </row>
    <row r="21203" spans="1:6" x14ac:dyDescent="0.25">
      <c r="A21203"/>
      <c r="B21203"/>
      <c r="C21203"/>
      <c r="E21203"/>
      <c r="F21203"/>
    </row>
    <row r="21204" spans="1:6" x14ac:dyDescent="0.25">
      <c r="A21204"/>
      <c r="B21204"/>
      <c r="C21204"/>
      <c r="E21204"/>
      <c r="F21204"/>
    </row>
    <row r="21205" spans="1:6" x14ac:dyDescent="0.25">
      <c r="A21205"/>
      <c r="B21205"/>
      <c r="C21205"/>
      <c r="E21205"/>
      <c r="F21205"/>
    </row>
    <row r="21206" spans="1:6" x14ac:dyDescent="0.25">
      <c r="A21206"/>
      <c r="B21206"/>
      <c r="C21206"/>
      <c r="E21206"/>
      <c r="F21206"/>
    </row>
    <row r="21207" spans="1:6" x14ac:dyDescent="0.25">
      <c r="A21207"/>
      <c r="B21207"/>
      <c r="C21207"/>
      <c r="E21207"/>
      <c r="F21207"/>
    </row>
    <row r="21208" spans="1:6" x14ac:dyDescent="0.25">
      <c r="A21208"/>
      <c r="B21208"/>
      <c r="C21208"/>
      <c r="E21208"/>
      <c r="F21208"/>
    </row>
    <row r="21209" spans="1:6" x14ac:dyDescent="0.25">
      <c r="A21209"/>
      <c r="B21209"/>
      <c r="C21209"/>
      <c r="E21209"/>
      <c r="F21209"/>
    </row>
    <row r="21210" spans="1:6" x14ac:dyDescent="0.25">
      <c r="A21210"/>
      <c r="B21210"/>
      <c r="C21210"/>
      <c r="E21210"/>
      <c r="F21210"/>
    </row>
    <row r="21211" spans="1:6" x14ac:dyDescent="0.25">
      <c r="A21211"/>
      <c r="B21211"/>
      <c r="C21211"/>
      <c r="E21211"/>
      <c r="F21211"/>
    </row>
    <row r="21212" spans="1:6" x14ac:dyDescent="0.25">
      <c r="A21212"/>
      <c r="B21212"/>
      <c r="C21212"/>
      <c r="E21212"/>
      <c r="F21212"/>
    </row>
    <row r="21213" spans="1:6" x14ac:dyDescent="0.25">
      <c r="A21213"/>
      <c r="B21213"/>
      <c r="C21213"/>
      <c r="E21213"/>
      <c r="F21213"/>
    </row>
    <row r="21214" spans="1:6" x14ac:dyDescent="0.25">
      <c r="A21214"/>
      <c r="B21214"/>
      <c r="C21214"/>
      <c r="E21214"/>
      <c r="F21214"/>
    </row>
    <row r="21215" spans="1:6" x14ac:dyDescent="0.25">
      <c r="A21215"/>
      <c r="B21215"/>
      <c r="C21215"/>
      <c r="E21215"/>
      <c r="F21215"/>
    </row>
    <row r="21216" spans="1:6" x14ac:dyDescent="0.25">
      <c r="A21216"/>
      <c r="B21216"/>
      <c r="C21216"/>
      <c r="E21216"/>
      <c r="F21216"/>
    </row>
    <row r="21217" spans="1:6" x14ac:dyDescent="0.25">
      <c r="A21217"/>
      <c r="B21217"/>
      <c r="C21217"/>
      <c r="E21217"/>
      <c r="F21217"/>
    </row>
    <row r="21218" spans="1:6" x14ac:dyDescent="0.25">
      <c r="A21218"/>
      <c r="B21218"/>
      <c r="C21218"/>
      <c r="E21218"/>
      <c r="F21218"/>
    </row>
    <row r="21219" spans="1:6" x14ac:dyDescent="0.25">
      <c r="A21219"/>
      <c r="B21219"/>
      <c r="C21219"/>
      <c r="E21219"/>
      <c r="F21219"/>
    </row>
    <row r="21220" spans="1:6" x14ac:dyDescent="0.25">
      <c r="A21220"/>
      <c r="B21220"/>
      <c r="C21220"/>
      <c r="E21220"/>
      <c r="F21220"/>
    </row>
    <row r="21221" spans="1:6" x14ac:dyDescent="0.25">
      <c r="A21221"/>
      <c r="B21221"/>
      <c r="C21221"/>
      <c r="E21221"/>
      <c r="F21221"/>
    </row>
    <row r="21222" spans="1:6" x14ac:dyDescent="0.25">
      <c r="A21222"/>
      <c r="B21222"/>
      <c r="C21222"/>
      <c r="E21222"/>
      <c r="F21222"/>
    </row>
    <row r="21223" spans="1:6" x14ac:dyDescent="0.25">
      <c r="A21223"/>
      <c r="B21223"/>
      <c r="C21223"/>
      <c r="E21223"/>
      <c r="F21223"/>
    </row>
    <row r="21224" spans="1:6" x14ac:dyDescent="0.25">
      <c r="A21224"/>
      <c r="B21224"/>
      <c r="C21224"/>
      <c r="E21224"/>
      <c r="F21224"/>
    </row>
    <row r="21225" spans="1:6" x14ac:dyDescent="0.25">
      <c r="A21225"/>
      <c r="B21225"/>
      <c r="C21225"/>
      <c r="E21225"/>
      <c r="F21225"/>
    </row>
    <row r="21226" spans="1:6" x14ac:dyDescent="0.25">
      <c r="A21226"/>
      <c r="B21226"/>
      <c r="C21226"/>
      <c r="E21226"/>
      <c r="F21226"/>
    </row>
    <row r="21227" spans="1:6" x14ac:dyDescent="0.25">
      <c r="A21227"/>
      <c r="B21227"/>
      <c r="C21227"/>
      <c r="E21227"/>
      <c r="F21227"/>
    </row>
    <row r="21228" spans="1:6" x14ac:dyDescent="0.25">
      <c r="A21228"/>
      <c r="B21228"/>
      <c r="C21228"/>
      <c r="E21228"/>
      <c r="F21228"/>
    </row>
    <row r="21229" spans="1:6" x14ac:dyDescent="0.25">
      <c r="A21229"/>
      <c r="B21229"/>
      <c r="C21229"/>
      <c r="E21229"/>
      <c r="F21229"/>
    </row>
    <row r="21230" spans="1:6" x14ac:dyDescent="0.25">
      <c r="A21230"/>
      <c r="B21230"/>
      <c r="C21230"/>
      <c r="E21230"/>
      <c r="F21230"/>
    </row>
    <row r="21231" spans="1:6" x14ac:dyDescent="0.25">
      <c r="A21231"/>
      <c r="B21231"/>
      <c r="C21231"/>
      <c r="E21231"/>
      <c r="F21231"/>
    </row>
    <row r="21232" spans="1:6" x14ac:dyDescent="0.25">
      <c r="A21232"/>
      <c r="B21232"/>
      <c r="C21232"/>
      <c r="E21232"/>
      <c r="F21232"/>
    </row>
    <row r="21233" spans="1:6" x14ac:dyDescent="0.25">
      <c r="A21233"/>
      <c r="B21233"/>
      <c r="C21233"/>
      <c r="E21233"/>
      <c r="F21233"/>
    </row>
    <row r="21234" spans="1:6" x14ac:dyDescent="0.25">
      <c r="A21234"/>
      <c r="B21234"/>
      <c r="C21234"/>
      <c r="E21234"/>
      <c r="F21234"/>
    </row>
    <row r="21235" spans="1:6" x14ac:dyDescent="0.25">
      <c r="A21235"/>
      <c r="B21235"/>
      <c r="C21235"/>
      <c r="E21235"/>
      <c r="F21235"/>
    </row>
    <row r="21236" spans="1:6" x14ac:dyDescent="0.25">
      <c r="A21236"/>
      <c r="B21236"/>
      <c r="C21236"/>
      <c r="E21236"/>
      <c r="F21236"/>
    </row>
    <row r="21237" spans="1:6" x14ac:dyDescent="0.25">
      <c r="A21237"/>
      <c r="B21237"/>
      <c r="C21237"/>
      <c r="E21237"/>
      <c r="F21237"/>
    </row>
    <row r="21238" spans="1:6" x14ac:dyDescent="0.25">
      <c r="A21238"/>
      <c r="B21238"/>
      <c r="C21238"/>
      <c r="E21238"/>
      <c r="F21238"/>
    </row>
    <row r="21239" spans="1:6" x14ac:dyDescent="0.25">
      <c r="A21239"/>
      <c r="B21239"/>
      <c r="C21239"/>
      <c r="E21239"/>
      <c r="F21239"/>
    </row>
    <row r="21240" spans="1:6" x14ac:dyDescent="0.25">
      <c r="A21240"/>
      <c r="B21240"/>
      <c r="C21240"/>
      <c r="E21240"/>
      <c r="F21240"/>
    </row>
    <row r="21241" spans="1:6" x14ac:dyDescent="0.25">
      <c r="A21241"/>
      <c r="B21241"/>
      <c r="C21241"/>
      <c r="E21241"/>
      <c r="F21241"/>
    </row>
    <row r="21242" spans="1:6" x14ac:dyDescent="0.25">
      <c r="A21242"/>
      <c r="B21242"/>
      <c r="C21242"/>
      <c r="E21242"/>
      <c r="F21242"/>
    </row>
    <row r="21243" spans="1:6" x14ac:dyDescent="0.25">
      <c r="A21243"/>
      <c r="B21243"/>
      <c r="C21243"/>
      <c r="E21243"/>
      <c r="F21243"/>
    </row>
    <row r="21244" spans="1:6" x14ac:dyDescent="0.25">
      <c r="A21244"/>
      <c r="B21244"/>
      <c r="C21244"/>
      <c r="E21244"/>
      <c r="F21244"/>
    </row>
    <row r="21245" spans="1:6" x14ac:dyDescent="0.25">
      <c r="A21245"/>
      <c r="B21245"/>
      <c r="C21245"/>
      <c r="E21245"/>
      <c r="F21245"/>
    </row>
    <row r="21246" spans="1:6" x14ac:dyDescent="0.25">
      <c r="A21246"/>
      <c r="B21246"/>
      <c r="C21246"/>
      <c r="E21246"/>
      <c r="F21246"/>
    </row>
    <row r="21247" spans="1:6" x14ac:dyDescent="0.25">
      <c r="A21247"/>
      <c r="B21247"/>
      <c r="C21247"/>
      <c r="E21247"/>
      <c r="F21247"/>
    </row>
    <row r="21248" spans="1:6" x14ac:dyDescent="0.25">
      <c r="A21248"/>
      <c r="B21248"/>
      <c r="C21248"/>
      <c r="E21248"/>
      <c r="F21248"/>
    </row>
    <row r="21249" spans="1:6" x14ac:dyDescent="0.25">
      <c r="A21249"/>
      <c r="B21249"/>
      <c r="C21249"/>
      <c r="E21249"/>
      <c r="F21249"/>
    </row>
    <row r="21250" spans="1:6" x14ac:dyDescent="0.25">
      <c r="A21250"/>
      <c r="B21250"/>
      <c r="C21250"/>
      <c r="E21250"/>
      <c r="F21250"/>
    </row>
    <row r="21251" spans="1:6" x14ac:dyDescent="0.25">
      <c r="A21251"/>
      <c r="B21251"/>
      <c r="C21251"/>
      <c r="E21251"/>
      <c r="F21251"/>
    </row>
    <row r="21252" spans="1:6" x14ac:dyDescent="0.25">
      <c r="A21252"/>
      <c r="B21252"/>
      <c r="C21252"/>
      <c r="E21252"/>
      <c r="F21252"/>
    </row>
    <row r="21253" spans="1:6" x14ac:dyDescent="0.25">
      <c r="A21253"/>
      <c r="B21253"/>
      <c r="C21253"/>
      <c r="E21253"/>
      <c r="F21253"/>
    </row>
    <row r="21254" spans="1:6" x14ac:dyDescent="0.25">
      <c r="A21254"/>
      <c r="B21254"/>
      <c r="C21254"/>
      <c r="E21254"/>
      <c r="F21254"/>
    </row>
    <row r="21255" spans="1:6" x14ac:dyDescent="0.25">
      <c r="A21255"/>
      <c r="B21255"/>
      <c r="C21255"/>
      <c r="E21255"/>
      <c r="F21255"/>
    </row>
    <row r="21256" spans="1:6" x14ac:dyDescent="0.25">
      <c r="A21256"/>
      <c r="B21256"/>
      <c r="C21256"/>
      <c r="E21256"/>
      <c r="F21256"/>
    </row>
    <row r="21257" spans="1:6" x14ac:dyDescent="0.25">
      <c r="A21257"/>
      <c r="B21257"/>
      <c r="C21257"/>
      <c r="E21257"/>
      <c r="F21257"/>
    </row>
    <row r="21258" spans="1:6" x14ac:dyDescent="0.25">
      <c r="A21258"/>
      <c r="B21258"/>
      <c r="C21258"/>
      <c r="E21258"/>
      <c r="F21258"/>
    </row>
    <row r="21259" spans="1:6" x14ac:dyDescent="0.25">
      <c r="A21259"/>
      <c r="B21259"/>
      <c r="C21259"/>
      <c r="E21259"/>
      <c r="F21259"/>
    </row>
    <row r="21260" spans="1:6" x14ac:dyDescent="0.25">
      <c r="A21260"/>
      <c r="B21260"/>
      <c r="C21260"/>
      <c r="E21260"/>
      <c r="F21260"/>
    </row>
    <row r="21261" spans="1:6" x14ac:dyDescent="0.25">
      <c r="A21261"/>
      <c r="B21261"/>
      <c r="C21261"/>
      <c r="E21261"/>
      <c r="F21261"/>
    </row>
    <row r="21262" spans="1:6" x14ac:dyDescent="0.25">
      <c r="A21262"/>
      <c r="B21262"/>
      <c r="C21262"/>
      <c r="E21262"/>
      <c r="F21262"/>
    </row>
    <row r="21263" spans="1:6" x14ac:dyDescent="0.25">
      <c r="A21263"/>
      <c r="B21263"/>
      <c r="C21263"/>
      <c r="E21263"/>
      <c r="F21263"/>
    </row>
    <row r="21264" spans="1:6" x14ac:dyDescent="0.25">
      <c r="A21264"/>
      <c r="B21264"/>
      <c r="C21264"/>
      <c r="E21264"/>
      <c r="F21264"/>
    </row>
    <row r="21265" spans="1:6" x14ac:dyDescent="0.25">
      <c r="A21265"/>
      <c r="B21265"/>
      <c r="C21265"/>
      <c r="E21265"/>
      <c r="F21265"/>
    </row>
    <row r="21266" spans="1:6" x14ac:dyDescent="0.25">
      <c r="A21266"/>
      <c r="B21266"/>
      <c r="C21266"/>
      <c r="E21266"/>
      <c r="F21266"/>
    </row>
    <row r="21267" spans="1:6" x14ac:dyDescent="0.25">
      <c r="A21267"/>
      <c r="B21267"/>
      <c r="C21267"/>
      <c r="E21267"/>
      <c r="F21267"/>
    </row>
    <row r="21268" spans="1:6" x14ac:dyDescent="0.25">
      <c r="A21268"/>
      <c r="B21268"/>
      <c r="C21268"/>
      <c r="E21268"/>
      <c r="F21268"/>
    </row>
    <row r="21269" spans="1:6" x14ac:dyDescent="0.25">
      <c r="A21269"/>
      <c r="B21269"/>
      <c r="C21269"/>
      <c r="E21269"/>
      <c r="F21269"/>
    </row>
    <row r="21270" spans="1:6" x14ac:dyDescent="0.25">
      <c r="A21270"/>
      <c r="B21270"/>
      <c r="C21270"/>
      <c r="E21270"/>
      <c r="F21270"/>
    </row>
    <row r="21271" spans="1:6" x14ac:dyDescent="0.25">
      <c r="A21271"/>
      <c r="B21271"/>
      <c r="C21271"/>
      <c r="E21271"/>
      <c r="F21271"/>
    </row>
    <row r="21272" spans="1:6" x14ac:dyDescent="0.25">
      <c r="A21272"/>
      <c r="B21272"/>
      <c r="C21272"/>
      <c r="E21272"/>
      <c r="F21272"/>
    </row>
    <row r="21273" spans="1:6" x14ac:dyDescent="0.25">
      <c r="A21273"/>
      <c r="B21273"/>
      <c r="C21273"/>
      <c r="E21273"/>
      <c r="F21273"/>
    </row>
    <row r="21274" spans="1:6" x14ac:dyDescent="0.25">
      <c r="A21274"/>
      <c r="B21274"/>
      <c r="C21274"/>
      <c r="E21274"/>
      <c r="F21274"/>
    </row>
    <row r="21275" spans="1:6" x14ac:dyDescent="0.25">
      <c r="A21275"/>
      <c r="B21275"/>
      <c r="C21275"/>
      <c r="E21275"/>
      <c r="F21275"/>
    </row>
    <row r="21276" spans="1:6" x14ac:dyDescent="0.25">
      <c r="A21276"/>
      <c r="B21276"/>
      <c r="C21276"/>
      <c r="E21276"/>
      <c r="F21276"/>
    </row>
    <row r="21277" spans="1:6" x14ac:dyDescent="0.25">
      <c r="A21277"/>
      <c r="B21277"/>
      <c r="C21277"/>
      <c r="E21277"/>
      <c r="F21277"/>
    </row>
    <row r="21278" spans="1:6" x14ac:dyDescent="0.25">
      <c r="A21278"/>
      <c r="B21278"/>
      <c r="C21278"/>
      <c r="E21278"/>
      <c r="F21278"/>
    </row>
    <row r="21279" spans="1:6" x14ac:dyDescent="0.25">
      <c r="A21279"/>
      <c r="B21279"/>
      <c r="C21279"/>
      <c r="E21279"/>
      <c r="F21279"/>
    </row>
    <row r="21280" spans="1:6" x14ac:dyDescent="0.25">
      <c r="A21280"/>
      <c r="B21280"/>
      <c r="C21280"/>
      <c r="E21280"/>
      <c r="F21280"/>
    </row>
    <row r="21281" spans="1:6" x14ac:dyDescent="0.25">
      <c r="A21281"/>
      <c r="B21281"/>
      <c r="C21281"/>
      <c r="E21281"/>
      <c r="F21281"/>
    </row>
    <row r="21282" spans="1:6" x14ac:dyDescent="0.25">
      <c r="A21282"/>
      <c r="B21282"/>
      <c r="C21282"/>
      <c r="E21282"/>
      <c r="F21282"/>
    </row>
    <row r="21283" spans="1:6" x14ac:dyDescent="0.25">
      <c r="A21283"/>
      <c r="B21283"/>
      <c r="C21283"/>
      <c r="E21283"/>
      <c r="F21283"/>
    </row>
    <row r="21284" spans="1:6" x14ac:dyDescent="0.25">
      <c r="A21284"/>
      <c r="B21284"/>
      <c r="C21284"/>
      <c r="E21284"/>
      <c r="F21284"/>
    </row>
    <row r="21285" spans="1:6" x14ac:dyDescent="0.25">
      <c r="A21285"/>
      <c r="B21285"/>
      <c r="C21285"/>
      <c r="E21285"/>
      <c r="F21285"/>
    </row>
    <row r="21286" spans="1:6" x14ac:dyDescent="0.25">
      <c r="A21286"/>
      <c r="B21286"/>
      <c r="C21286"/>
      <c r="E21286"/>
      <c r="F21286"/>
    </row>
    <row r="21287" spans="1:6" x14ac:dyDescent="0.25">
      <c r="A21287"/>
      <c r="B21287"/>
      <c r="C21287"/>
      <c r="E21287"/>
      <c r="F21287"/>
    </row>
    <row r="21288" spans="1:6" x14ac:dyDescent="0.25">
      <c r="A21288"/>
      <c r="B21288"/>
      <c r="C21288"/>
      <c r="E21288"/>
      <c r="F21288"/>
    </row>
    <row r="21289" spans="1:6" x14ac:dyDescent="0.25">
      <c r="A21289"/>
      <c r="B21289"/>
      <c r="C21289"/>
      <c r="E21289"/>
      <c r="F21289"/>
    </row>
    <row r="21290" spans="1:6" x14ac:dyDescent="0.25">
      <c r="A21290"/>
      <c r="B21290"/>
      <c r="C21290"/>
      <c r="E21290"/>
      <c r="F21290"/>
    </row>
    <row r="21291" spans="1:6" x14ac:dyDescent="0.25">
      <c r="A21291"/>
      <c r="B21291"/>
      <c r="C21291"/>
      <c r="E21291"/>
      <c r="F21291"/>
    </row>
    <row r="21292" spans="1:6" x14ac:dyDescent="0.25">
      <c r="A21292"/>
      <c r="B21292"/>
      <c r="C21292"/>
      <c r="E21292"/>
      <c r="F21292"/>
    </row>
    <row r="21293" spans="1:6" x14ac:dyDescent="0.25">
      <c r="A21293"/>
      <c r="B21293"/>
      <c r="C21293"/>
      <c r="E21293"/>
      <c r="F21293"/>
    </row>
    <row r="21294" spans="1:6" x14ac:dyDescent="0.25">
      <c r="A21294"/>
      <c r="B21294"/>
      <c r="C21294"/>
      <c r="E21294"/>
      <c r="F21294"/>
    </row>
    <row r="21295" spans="1:6" x14ac:dyDescent="0.25">
      <c r="A21295"/>
      <c r="B21295"/>
      <c r="C21295"/>
      <c r="E21295"/>
      <c r="F21295"/>
    </row>
    <row r="21296" spans="1:6" x14ac:dyDescent="0.25">
      <c r="A21296"/>
      <c r="B21296"/>
      <c r="C21296"/>
      <c r="E21296"/>
      <c r="F21296"/>
    </row>
    <row r="21297" spans="1:6" x14ac:dyDescent="0.25">
      <c r="A21297"/>
      <c r="B21297"/>
      <c r="C21297"/>
      <c r="E21297"/>
      <c r="F21297"/>
    </row>
    <row r="21298" spans="1:6" x14ac:dyDescent="0.25">
      <c r="A21298"/>
      <c r="B21298"/>
      <c r="C21298"/>
      <c r="E21298"/>
      <c r="F21298"/>
    </row>
    <row r="21299" spans="1:6" x14ac:dyDescent="0.25">
      <c r="A21299"/>
      <c r="B21299"/>
      <c r="C21299"/>
      <c r="E21299"/>
      <c r="F21299"/>
    </row>
    <row r="21300" spans="1:6" x14ac:dyDescent="0.25">
      <c r="A21300"/>
      <c r="B21300"/>
      <c r="C21300"/>
      <c r="E21300"/>
      <c r="F21300"/>
    </row>
    <row r="21301" spans="1:6" x14ac:dyDescent="0.25">
      <c r="A21301"/>
      <c r="B21301"/>
      <c r="C21301"/>
      <c r="E21301"/>
      <c r="F21301"/>
    </row>
    <row r="21302" spans="1:6" x14ac:dyDescent="0.25">
      <c r="A21302"/>
      <c r="B21302"/>
      <c r="C21302"/>
      <c r="E21302"/>
      <c r="F21302"/>
    </row>
    <row r="21303" spans="1:6" x14ac:dyDescent="0.25">
      <c r="A21303"/>
      <c r="B21303"/>
      <c r="C21303"/>
      <c r="E21303"/>
      <c r="F21303"/>
    </row>
    <row r="21304" spans="1:6" x14ac:dyDescent="0.25">
      <c r="A21304"/>
      <c r="B21304"/>
      <c r="C21304"/>
      <c r="E21304"/>
      <c r="F21304"/>
    </row>
    <row r="21305" spans="1:6" x14ac:dyDescent="0.25">
      <c r="A21305"/>
      <c r="B21305"/>
      <c r="C21305"/>
      <c r="E21305"/>
      <c r="F21305"/>
    </row>
    <row r="21306" spans="1:6" x14ac:dyDescent="0.25">
      <c r="A21306"/>
      <c r="B21306"/>
      <c r="C21306"/>
      <c r="E21306"/>
      <c r="F21306"/>
    </row>
    <row r="21307" spans="1:6" x14ac:dyDescent="0.25">
      <c r="A21307"/>
      <c r="B21307"/>
      <c r="C21307"/>
      <c r="E21307"/>
      <c r="F21307"/>
    </row>
    <row r="21308" spans="1:6" x14ac:dyDescent="0.25">
      <c r="A21308"/>
      <c r="B21308"/>
      <c r="C21308"/>
      <c r="E21308"/>
      <c r="F21308"/>
    </row>
    <row r="21309" spans="1:6" x14ac:dyDescent="0.25">
      <c r="A21309"/>
      <c r="B21309"/>
      <c r="C21309"/>
      <c r="E21309"/>
      <c r="F21309"/>
    </row>
    <row r="21310" spans="1:6" x14ac:dyDescent="0.25">
      <c r="A21310"/>
      <c r="B21310"/>
      <c r="C21310"/>
      <c r="E21310"/>
      <c r="F21310"/>
    </row>
    <row r="21311" spans="1:6" x14ac:dyDescent="0.25">
      <c r="A21311"/>
      <c r="B21311"/>
      <c r="C21311"/>
      <c r="E21311"/>
      <c r="F21311"/>
    </row>
    <row r="21312" spans="1:6" x14ac:dyDescent="0.25">
      <c r="A21312"/>
      <c r="B21312"/>
      <c r="C21312"/>
      <c r="E21312"/>
      <c r="F21312"/>
    </row>
    <row r="21313" spans="1:6" x14ac:dyDescent="0.25">
      <c r="A21313"/>
      <c r="B21313"/>
      <c r="C21313"/>
      <c r="E21313"/>
      <c r="F21313"/>
    </row>
    <row r="21314" spans="1:6" x14ac:dyDescent="0.25">
      <c r="A21314"/>
      <c r="B21314"/>
      <c r="C21314"/>
      <c r="E21314"/>
      <c r="F21314"/>
    </row>
    <row r="21315" spans="1:6" x14ac:dyDescent="0.25">
      <c r="A21315"/>
      <c r="B21315"/>
      <c r="C21315"/>
      <c r="E21315"/>
      <c r="F21315"/>
    </row>
    <row r="21316" spans="1:6" x14ac:dyDescent="0.25">
      <c r="A21316"/>
      <c r="B21316"/>
      <c r="C21316"/>
      <c r="E21316"/>
      <c r="F21316"/>
    </row>
    <row r="21317" spans="1:6" x14ac:dyDescent="0.25">
      <c r="A21317"/>
      <c r="B21317"/>
      <c r="C21317"/>
      <c r="E21317"/>
      <c r="F21317"/>
    </row>
    <row r="21318" spans="1:6" x14ac:dyDescent="0.25">
      <c r="A21318"/>
      <c r="B21318"/>
      <c r="C21318"/>
      <c r="E21318"/>
      <c r="F21318"/>
    </row>
    <row r="21319" spans="1:6" x14ac:dyDescent="0.25">
      <c r="A21319"/>
      <c r="B21319"/>
      <c r="C21319"/>
      <c r="E21319"/>
      <c r="F21319"/>
    </row>
    <row r="21320" spans="1:6" x14ac:dyDescent="0.25">
      <c r="A21320"/>
      <c r="B21320"/>
      <c r="C21320"/>
      <c r="E21320"/>
      <c r="F21320"/>
    </row>
    <row r="21321" spans="1:6" x14ac:dyDescent="0.25">
      <c r="A21321"/>
      <c r="B21321"/>
      <c r="C21321"/>
      <c r="E21321"/>
      <c r="F21321"/>
    </row>
    <row r="21322" spans="1:6" x14ac:dyDescent="0.25">
      <c r="A21322"/>
      <c r="B21322"/>
      <c r="C21322"/>
      <c r="E21322"/>
      <c r="F21322"/>
    </row>
    <row r="21323" spans="1:6" x14ac:dyDescent="0.25">
      <c r="A21323"/>
      <c r="B21323"/>
      <c r="C21323"/>
      <c r="E21323"/>
      <c r="F21323"/>
    </row>
    <row r="21324" spans="1:6" x14ac:dyDescent="0.25">
      <c r="A21324"/>
      <c r="B21324"/>
      <c r="C21324"/>
      <c r="E21324"/>
      <c r="F21324"/>
    </row>
    <row r="21325" spans="1:6" x14ac:dyDescent="0.25">
      <c r="A21325"/>
      <c r="B21325"/>
      <c r="C21325"/>
      <c r="E21325"/>
      <c r="F21325"/>
    </row>
    <row r="21326" spans="1:6" x14ac:dyDescent="0.25">
      <c r="A21326"/>
      <c r="B21326"/>
      <c r="C21326"/>
      <c r="E21326"/>
      <c r="F21326"/>
    </row>
    <row r="21327" spans="1:6" x14ac:dyDescent="0.25">
      <c r="A21327"/>
      <c r="B21327"/>
      <c r="C21327"/>
      <c r="E21327"/>
      <c r="F21327"/>
    </row>
    <row r="21328" spans="1:6" x14ac:dyDescent="0.25">
      <c r="A21328"/>
      <c r="B21328"/>
      <c r="C21328"/>
      <c r="E21328"/>
      <c r="F21328"/>
    </row>
    <row r="21329" spans="1:6" x14ac:dyDescent="0.25">
      <c r="A21329"/>
      <c r="B21329"/>
      <c r="C21329"/>
      <c r="E21329"/>
      <c r="F21329"/>
    </row>
    <row r="21330" spans="1:6" x14ac:dyDescent="0.25">
      <c r="A21330"/>
      <c r="B21330"/>
      <c r="C21330"/>
      <c r="E21330"/>
      <c r="F21330"/>
    </row>
    <row r="21331" spans="1:6" x14ac:dyDescent="0.25">
      <c r="A21331"/>
      <c r="B21331"/>
      <c r="C21331"/>
      <c r="E21331"/>
      <c r="F21331"/>
    </row>
    <row r="21332" spans="1:6" x14ac:dyDescent="0.25">
      <c r="A21332"/>
      <c r="B21332"/>
      <c r="C21332"/>
      <c r="E21332"/>
      <c r="F21332"/>
    </row>
    <row r="21333" spans="1:6" x14ac:dyDescent="0.25">
      <c r="A21333"/>
      <c r="B21333"/>
      <c r="C21333"/>
      <c r="E21333"/>
      <c r="F21333"/>
    </row>
    <row r="21334" spans="1:6" x14ac:dyDescent="0.25">
      <c r="A21334"/>
      <c r="B21334"/>
      <c r="C21334"/>
      <c r="E21334"/>
      <c r="F21334"/>
    </row>
    <row r="21335" spans="1:6" x14ac:dyDescent="0.25">
      <c r="A21335"/>
      <c r="B21335"/>
      <c r="C21335"/>
      <c r="E21335"/>
      <c r="F21335"/>
    </row>
    <row r="21336" spans="1:6" x14ac:dyDescent="0.25">
      <c r="A21336"/>
      <c r="B21336"/>
      <c r="C21336"/>
      <c r="E21336"/>
      <c r="F21336"/>
    </row>
    <row r="21337" spans="1:6" x14ac:dyDescent="0.25">
      <c r="A21337"/>
      <c r="B21337"/>
      <c r="C21337"/>
      <c r="E21337"/>
      <c r="F21337"/>
    </row>
    <row r="21338" spans="1:6" x14ac:dyDescent="0.25">
      <c r="A21338"/>
      <c r="B21338"/>
      <c r="C21338"/>
      <c r="E21338"/>
      <c r="F21338"/>
    </row>
    <row r="21339" spans="1:6" x14ac:dyDescent="0.25">
      <c r="A21339"/>
      <c r="B21339"/>
      <c r="C21339"/>
      <c r="E21339"/>
      <c r="F21339"/>
    </row>
    <row r="21340" spans="1:6" x14ac:dyDescent="0.25">
      <c r="A21340"/>
      <c r="B21340"/>
      <c r="C21340"/>
      <c r="E21340"/>
      <c r="F21340"/>
    </row>
    <row r="21341" spans="1:6" x14ac:dyDescent="0.25">
      <c r="A21341"/>
      <c r="B21341"/>
      <c r="C21341"/>
      <c r="E21341"/>
      <c r="F21341"/>
    </row>
    <row r="21342" spans="1:6" x14ac:dyDescent="0.25">
      <c r="A21342"/>
      <c r="B21342"/>
      <c r="C21342"/>
      <c r="E21342"/>
      <c r="F21342"/>
    </row>
    <row r="21343" spans="1:6" x14ac:dyDescent="0.25">
      <c r="A21343"/>
      <c r="B21343"/>
      <c r="C21343"/>
      <c r="E21343"/>
      <c r="F21343"/>
    </row>
    <row r="21344" spans="1:6" x14ac:dyDescent="0.25">
      <c r="A21344"/>
      <c r="B21344"/>
      <c r="C21344"/>
      <c r="E21344"/>
      <c r="F21344"/>
    </row>
    <row r="21345" spans="1:6" x14ac:dyDescent="0.25">
      <c r="A21345"/>
      <c r="B21345"/>
      <c r="C21345"/>
      <c r="E21345"/>
      <c r="F21345"/>
    </row>
    <row r="21346" spans="1:6" x14ac:dyDescent="0.25">
      <c r="A21346"/>
      <c r="B21346"/>
      <c r="C21346"/>
      <c r="E21346"/>
      <c r="F21346"/>
    </row>
    <row r="21347" spans="1:6" x14ac:dyDescent="0.25">
      <c r="A21347"/>
      <c r="B21347"/>
      <c r="C21347"/>
      <c r="E21347"/>
      <c r="F21347"/>
    </row>
    <row r="21348" spans="1:6" x14ac:dyDescent="0.25">
      <c r="A21348"/>
      <c r="B21348"/>
      <c r="C21348"/>
      <c r="E21348"/>
      <c r="F21348"/>
    </row>
    <row r="21349" spans="1:6" x14ac:dyDescent="0.25">
      <c r="A21349"/>
      <c r="B21349"/>
      <c r="C21349"/>
      <c r="E21349"/>
      <c r="F21349"/>
    </row>
    <row r="21350" spans="1:6" x14ac:dyDescent="0.25">
      <c r="A21350"/>
      <c r="B21350"/>
      <c r="C21350"/>
      <c r="E21350"/>
      <c r="F21350"/>
    </row>
    <row r="21351" spans="1:6" x14ac:dyDescent="0.25">
      <c r="A21351"/>
      <c r="B21351"/>
      <c r="C21351"/>
      <c r="E21351"/>
      <c r="F21351"/>
    </row>
    <row r="21352" spans="1:6" x14ac:dyDescent="0.25">
      <c r="A21352"/>
      <c r="B21352"/>
      <c r="C21352"/>
      <c r="E21352"/>
      <c r="F21352"/>
    </row>
    <row r="21353" spans="1:6" x14ac:dyDescent="0.25">
      <c r="A21353"/>
      <c r="B21353"/>
      <c r="C21353"/>
      <c r="E21353"/>
      <c r="F21353"/>
    </row>
    <row r="21354" spans="1:6" x14ac:dyDescent="0.25">
      <c r="A21354"/>
      <c r="B21354"/>
      <c r="C21354"/>
      <c r="E21354"/>
      <c r="F21354"/>
    </row>
    <row r="21355" spans="1:6" x14ac:dyDescent="0.25">
      <c r="A21355"/>
      <c r="B21355"/>
      <c r="C21355"/>
      <c r="E21355"/>
      <c r="F21355"/>
    </row>
    <row r="21356" spans="1:6" x14ac:dyDescent="0.25">
      <c r="A21356"/>
      <c r="B21356"/>
      <c r="C21356"/>
      <c r="E21356"/>
      <c r="F21356"/>
    </row>
    <row r="21357" spans="1:6" x14ac:dyDescent="0.25">
      <c r="A21357"/>
      <c r="B21357"/>
      <c r="C21357"/>
      <c r="E21357"/>
      <c r="F21357"/>
    </row>
    <row r="21358" spans="1:6" x14ac:dyDescent="0.25">
      <c r="A21358"/>
      <c r="B21358"/>
      <c r="C21358"/>
      <c r="E21358"/>
      <c r="F21358"/>
    </row>
    <row r="21359" spans="1:6" x14ac:dyDescent="0.25">
      <c r="A21359"/>
      <c r="B21359"/>
      <c r="C21359"/>
      <c r="E21359"/>
      <c r="F21359"/>
    </row>
    <row r="21360" spans="1:6" x14ac:dyDescent="0.25">
      <c r="A21360"/>
      <c r="B21360"/>
      <c r="C21360"/>
      <c r="E21360"/>
      <c r="F21360"/>
    </row>
    <row r="21361" spans="1:6" x14ac:dyDescent="0.25">
      <c r="A21361"/>
      <c r="B21361"/>
      <c r="C21361"/>
      <c r="E21361"/>
      <c r="F21361"/>
    </row>
    <row r="21362" spans="1:6" x14ac:dyDescent="0.25">
      <c r="A21362"/>
      <c r="B21362"/>
      <c r="C21362"/>
      <c r="E21362"/>
      <c r="F21362"/>
    </row>
    <row r="21363" spans="1:6" x14ac:dyDescent="0.25">
      <c r="A21363"/>
      <c r="B21363"/>
      <c r="C21363"/>
      <c r="E21363"/>
      <c r="F21363"/>
    </row>
    <row r="21364" spans="1:6" x14ac:dyDescent="0.25">
      <c r="A21364"/>
      <c r="B21364"/>
      <c r="C21364"/>
      <c r="E21364"/>
      <c r="F21364"/>
    </row>
    <row r="21365" spans="1:6" x14ac:dyDescent="0.25">
      <c r="A21365"/>
      <c r="B21365"/>
      <c r="C21365"/>
      <c r="E21365"/>
      <c r="F21365"/>
    </row>
    <row r="21366" spans="1:6" x14ac:dyDescent="0.25">
      <c r="A21366"/>
      <c r="B21366"/>
      <c r="C21366"/>
      <c r="E21366"/>
      <c r="F21366"/>
    </row>
    <row r="21367" spans="1:6" x14ac:dyDescent="0.25">
      <c r="A21367"/>
      <c r="B21367"/>
      <c r="C21367"/>
      <c r="E21367"/>
      <c r="F21367"/>
    </row>
    <row r="21368" spans="1:6" x14ac:dyDescent="0.25">
      <c r="A21368"/>
      <c r="B21368"/>
      <c r="C21368"/>
      <c r="E21368"/>
      <c r="F21368"/>
    </row>
    <row r="21369" spans="1:6" x14ac:dyDescent="0.25">
      <c r="A21369"/>
      <c r="B21369"/>
      <c r="C21369"/>
      <c r="E21369"/>
      <c r="F21369"/>
    </row>
    <row r="21370" spans="1:6" x14ac:dyDescent="0.25">
      <c r="A21370"/>
      <c r="B21370"/>
      <c r="C21370"/>
      <c r="E21370"/>
      <c r="F21370"/>
    </row>
    <row r="21371" spans="1:6" x14ac:dyDescent="0.25">
      <c r="A21371"/>
      <c r="B21371"/>
      <c r="C21371"/>
      <c r="E21371"/>
      <c r="F21371"/>
    </row>
    <row r="21372" spans="1:6" x14ac:dyDescent="0.25">
      <c r="A21372"/>
      <c r="B21372"/>
      <c r="C21372"/>
      <c r="E21372"/>
      <c r="F21372"/>
    </row>
    <row r="21373" spans="1:6" x14ac:dyDescent="0.25">
      <c r="A21373"/>
      <c r="B21373"/>
      <c r="C21373"/>
      <c r="E21373"/>
      <c r="F21373"/>
    </row>
    <row r="21374" spans="1:6" x14ac:dyDescent="0.25">
      <c r="A21374"/>
      <c r="B21374"/>
      <c r="C21374"/>
      <c r="E21374"/>
      <c r="F21374"/>
    </row>
    <row r="21375" spans="1:6" x14ac:dyDescent="0.25">
      <c r="A21375"/>
      <c r="B21375"/>
      <c r="C21375"/>
      <c r="E21375"/>
      <c r="F21375"/>
    </row>
    <row r="21376" spans="1:6" x14ac:dyDescent="0.25">
      <c r="A21376"/>
      <c r="B21376"/>
      <c r="C21376"/>
      <c r="E21376"/>
      <c r="F21376"/>
    </row>
    <row r="21377" spans="1:6" x14ac:dyDescent="0.25">
      <c r="A21377"/>
      <c r="B21377"/>
      <c r="C21377"/>
      <c r="E21377"/>
      <c r="F21377"/>
    </row>
    <row r="21378" spans="1:6" x14ac:dyDescent="0.25">
      <c r="A21378"/>
      <c r="B21378"/>
      <c r="C21378"/>
      <c r="E21378"/>
      <c r="F21378"/>
    </row>
    <row r="21379" spans="1:6" x14ac:dyDescent="0.25">
      <c r="A21379"/>
      <c r="B21379"/>
      <c r="C21379"/>
      <c r="E21379"/>
      <c r="F21379"/>
    </row>
    <row r="21380" spans="1:6" x14ac:dyDescent="0.25">
      <c r="A21380"/>
      <c r="B21380"/>
      <c r="C21380"/>
      <c r="E21380"/>
      <c r="F21380"/>
    </row>
    <row r="21381" spans="1:6" x14ac:dyDescent="0.25">
      <c r="A21381"/>
      <c r="B21381"/>
      <c r="C21381"/>
      <c r="E21381"/>
      <c r="F21381"/>
    </row>
    <row r="21382" spans="1:6" x14ac:dyDescent="0.25">
      <c r="A21382"/>
      <c r="B21382"/>
      <c r="C21382"/>
      <c r="E21382"/>
      <c r="F21382"/>
    </row>
    <row r="21383" spans="1:6" x14ac:dyDescent="0.25">
      <c r="A21383"/>
      <c r="B21383"/>
      <c r="C21383"/>
      <c r="E21383"/>
      <c r="F21383"/>
    </row>
    <row r="21384" spans="1:6" x14ac:dyDescent="0.25">
      <c r="A21384"/>
      <c r="B21384"/>
      <c r="C21384"/>
      <c r="E21384"/>
      <c r="F21384"/>
    </row>
    <row r="21385" spans="1:6" x14ac:dyDescent="0.25">
      <c r="A21385"/>
      <c r="B21385"/>
      <c r="C21385"/>
      <c r="E21385"/>
      <c r="F21385"/>
    </row>
    <row r="21386" spans="1:6" x14ac:dyDescent="0.25">
      <c r="A21386"/>
      <c r="B21386"/>
      <c r="C21386"/>
      <c r="E21386"/>
      <c r="F21386"/>
    </row>
    <row r="21387" spans="1:6" x14ac:dyDescent="0.25">
      <c r="A21387"/>
      <c r="B21387"/>
      <c r="C21387"/>
      <c r="E21387"/>
      <c r="F21387"/>
    </row>
    <row r="21388" spans="1:6" x14ac:dyDescent="0.25">
      <c r="A21388"/>
      <c r="B21388"/>
      <c r="C21388"/>
      <c r="E21388"/>
      <c r="F21388"/>
    </row>
    <row r="21389" spans="1:6" x14ac:dyDescent="0.25">
      <c r="A21389"/>
      <c r="B21389"/>
      <c r="C21389"/>
      <c r="E21389"/>
      <c r="F21389"/>
    </row>
    <row r="21390" spans="1:6" x14ac:dyDescent="0.25">
      <c r="A21390"/>
      <c r="B21390"/>
      <c r="C21390"/>
      <c r="E21390"/>
      <c r="F21390"/>
    </row>
    <row r="21391" spans="1:6" x14ac:dyDescent="0.25">
      <c r="A21391"/>
      <c r="B21391"/>
      <c r="C21391"/>
      <c r="E21391"/>
      <c r="F21391"/>
    </row>
    <row r="21392" spans="1:6" x14ac:dyDescent="0.25">
      <c r="A21392"/>
      <c r="B21392"/>
      <c r="C21392"/>
      <c r="E21392"/>
      <c r="F21392"/>
    </row>
    <row r="21393" spans="1:6" x14ac:dyDescent="0.25">
      <c r="A21393"/>
      <c r="B21393"/>
      <c r="C21393"/>
      <c r="E21393"/>
      <c r="F21393"/>
    </row>
    <row r="21394" spans="1:6" x14ac:dyDescent="0.25">
      <c r="A21394"/>
      <c r="B21394"/>
      <c r="C21394"/>
      <c r="E21394"/>
      <c r="F21394"/>
    </row>
    <row r="21395" spans="1:6" x14ac:dyDescent="0.25">
      <c r="A21395"/>
      <c r="B21395"/>
      <c r="C21395"/>
      <c r="E21395"/>
      <c r="F21395"/>
    </row>
    <row r="21396" spans="1:6" x14ac:dyDescent="0.25">
      <c r="A21396"/>
      <c r="B21396"/>
      <c r="C21396"/>
      <c r="E21396"/>
      <c r="F21396"/>
    </row>
    <row r="21397" spans="1:6" x14ac:dyDescent="0.25">
      <c r="A21397"/>
      <c r="B21397"/>
      <c r="C21397"/>
      <c r="E21397"/>
      <c r="F21397"/>
    </row>
    <row r="21398" spans="1:6" x14ac:dyDescent="0.25">
      <c r="A21398"/>
      <c r="B21398"/>
      <c r="C21398"/>
      <c r="E21398"/>
      <c r="F21398"/>
    </row>
    <row r="21399" spans="1:6" x14ac:dyDescent="0.25">
      <c r="A21399"/>
      <c r="B21399"/>
      <c r="C21399"/>
      <c r="E21399"/>
      <c r="F21399"/>
    </row>
    <row r="21400" spans="1:6" x14ac:dyDescent="0.25">
      <c r="A21400"/>
      <c r="B21400"/>
      <c r="C21400"/>
      <c r="E21400"/>
      <c r="F21400"/>
    </row>
    <row r="21401" spans="1:6" x14ac:dyDescent="0.25">
      <c r="A21401"/>
      <c r="B21401"/>
      <c r="C21401"/>
      <c r="E21401"/>
      <c r="F21401"/>
    </row>
    <row r="21402" spans="1:6" x14ac:dyDescent="0.25">
      <c r="A21402"/>
      <c r="B21402"/>
      <c r="C21402"/>
      <c r="E21402"/>
      <c r="F21402"/>
    </row>
    <row r="21403" spans="1:6" x14ac:dyDescent="0.25">
      <c r="A21403"/>
      <c r="B21403"/>
      <c r="C21403"/>
      <c r="E21403"/>
      <c r="F21403"/>
    </row>
    <row r="21404" spans="1:6" x14ac:dyDescent="0.25">
      <c r="A21404"/>
      <c r="B21404"/>
      <c r="C21404"/>
      <c r="E21404"/>
      <c r="F21404"/>
    </row>
    <row r="21405" spans="1:6" x14ac:dyDescent="0.25">
      <c r="A21405"/>
      <c r="B21405"/>
      <c r="C21405"/>
      <c r="E21405"/>
      <c r="F21405"/>
    </row>
    <row r="21406" spans="1:6" x14ac:dyDescent="0.25">
      <c r="A21406"/>
      <c r="B21406"/>
      <c r="C21406"/>
      <c r="E21406"/>
      <c r="F21406"/>
    </row>
    <row r="21407" spans="1:6" x14ac:dyDescent="0.25">
      <c r="A21407"/>
      <c r="B21407"/>
      <c r="C21407"/>
      <c r="E21407"/>
      <c r="F21407"/>
    </row>
    <row r="21408" spans="1:6" x14ac:dyDescent="0.25">
      <c r="A21408"/>
      <c r="B21408"/>
      <c r="C21408"/>
      <c r="E21408"/>
      <c r="F21408"/>
    </row>
    <row r="21409" spans="1:6" x14ac:dyDescent="0.25">
      <c r="A21409"/>
      <c r="B21409"/>
      <c r="C21409"/>
      <c r="E21409"/>
      <c r="F21409"/>
    </row>
    <row r="21410" spans="1:6" x14ac:dyDescent="0.25">
      <c r="A21410"/>
      <c r="B21410"/>
      <c r="C21410"/>
      <c r="E21410"/>
      <c r="F21410"/>
    </row>
    <row r="21411" spans="1:6" x14ac:dyDescent="0.25">
      <c r="A21411"/>
      <c r="B21411"/>
      <c r="C21411"/>
      <c r="E21411"/>
      <c r="F21411"/>
    </row>
    <row r="21412" spans="1:6" x14ac:dyDescent="0.25">
      <c r="A21412"/>
      <c r="B21412"/>
      <c r="C21412"/>
      <c r="E21412"/>
      <c r="F21412"/>
    </row>
    <row r="21413" spans="1:6" x14ac:dyDescent="0.25">
      <c r="A21413"/>
      <c r="B21413"/>
      <c r="C21413"/>
      <c r="E21413"/>
      <c r="F21413"/>
    </row>
    <row r="21414" spans="1:6" x14ac:dyDescent="0.25">
      <c r="A21414"/>
      <c r="B21414"/>
      <c r="C21414"/>
      <c r="E21414"/>
      <c r="F21414"/>
    </row>
    <row r="21415" spans="1:6" x14ac:dyDescent="0.25">
      <c r="A21415"/>
      <c r="B21415"/>
      <c r="C21415"/>
      <c r="E21415"/>
      <c r="F21415"/>
    </row>
    <row r="21416" spans="1:6" x14ac:dyDescent="0.25">
      <c r="A21416"/>
      <c r="B21416"/>
      <c r="C21416"/>
      <c r="E21416"/>
      <c r="F21416"/>
    </row>
    <row r="21417" spans="1:6" x14ac:dyDescent="0.25">
      <c r="A21417"/>
      <c r="B21417"/>
      <c r="C21417"/>
      <c r="E21417"/>
      <c r="F21417"/>
    </row>
    <row r="21418" spans="1:6" x14ac:dyDescent="0.25">
      <c r="A21418"/>
      <c r="B21418"/>
      <c r="C21418"/>
      <c r="E21418"/>
      <c r="F21418"/>
    </row>
    <row r="21419" spans="1:6" x14ac:dyDescent="0.25">
      <c r="A21419"/>
      <c r="B21419"/>
      <c r="C21419"/>
      <c r="E21419"/>
      <c r="F21419"/>
    </row>
    <row r="21420" spans="1:6" x14ac:dyDescent="0.25">
      <c r="A21420"/>
      <c r="B21420"/>
      <c r="C21420"/>
      <c r="E21420"/>
      <c r="F21420"/>
    </row>
    <row r="21421" spans="1:6" x14ac:dyDescent="0.25">
      <c r="A21421"/>
      <c r="B21421"/>
      <c r="C21421"/>
      <c r="E21421"/>
      <c r="F21421"/>
    </row>
    <row r="21422" spans="1:6" x14ac:dyDescent="0.25">
      <c r="A21422"/>
      <c r="B21422"/>
      <c r="C21422"/>
      <c r="E21422"/>
      <c r="F21422"/>
    </row>
    <row r="21423" spans="1:6" x14ac:dyDescent="0.25">
      <c r="A21423"/>
      <c r="B21423"/>
      <c r="C21423"/>
      <c r="E21423"/>
      <c r="F21423"/>
    </row>
    <row r="21424" spans="1:6" x14ac:dyDescent="0.25">
      <c r="A21424"/>
      <c r="B21424"/>
      <c r="C21424"/>
      <c r="E21424"/>
      <c r="F21424"/>
    </row>
    <row r="21425" spans="1:6" x14ac:dyDescent="0.25">
      <c r="A21425"/>
      <c r="B21425"/>
      <c r="C21425"/>
      <c r="E21425"/>
      <c r="F21425"/>
    </row>
    <row r="21426" spans="1:6" x14ac:dyDescent="0.25">
      <c r="A21426"/>
      <c r="B21426"/>
      <c r="C21426"/>
      <c r="E21426"/>
      <c r="F21426"/>
    </row>
    <row r="21427" spans="1:6" x14ac:dyDescent="0.25">
      <c r="A21427"/>
      <c r="B21427"/>
      <c r="C21427"/>
      <c r="E21427"/>
      <c r="F21427"/>
    </row>
    <row r="21428" spans="1:6" x14ac:dyDescent="0.25">
      <c r="A21428"/>
      <c r="B21428"/>
      <c r="C21428"/>
      <c r="E21428"/>
      <c r="F21428"/>
    </row>
    <row r="21429" spans="1:6" x14ac:dyDescent="0.25">
      <c r="A21429"/>
      <c r="B21429"/>
      <c r="C21429"/>
      <c r="E21429"/>
      <c r="F21429"/>
    </row>
    <row r="21430" spans="1:6" x14ac:dyDescent="0.25">
      <c r="A21430"/>
      <c r="B21430"/>
      <c r="C21430"/>
      <c r="E21430"/>
      <c r="F21430"/>
    </row>
    <row r="21431" spans="1:6" x14ac:dyDescent="0.25">
      <c r="A21431"/>
      <c r="B21431"/>
      <c r="C21431"/>
      <c r="E21431"/>
      <c r="F21431"/>
    </row>
    <row r="21432" spans="1:6" x14ac:dyDescent="0.25">
      <c r="A21432"/>
      <c r="B21432"/>
      <c r="C21432"/>
      <c r="E21432"/>
      <c r="F21432"/>
    </row>
    <row r="21433" spans="1:6" x14ac:dyDescent="0.25">
      <c r="A21433"/>
      <c r="B21433"/>
      <c r="C21433"/>
      <c r="E21433"/>
      <c r="F21433"/>
    </row>
    <row r="21434" spans="1:6" x14ac:dyDescent="0.25">
      <c r="A21434"/>
      <c r="B21434"/>
      <c r="C21434"/>
      <c r="E21434"/>
      <c r="F21434"/>
    </row>
    <row r="21435" spans="1:6" x14ac:dyDescent="0.25">
      <c r="A21435"/>
      <c r="B21435"/>
      <c r="C21435"/>
      <c r="E21435"/>
      <c r="F21435"/>
    </row>
    <row r="21436" spans="1:6" x14ac:dyDescent="0.25">
      <c r="A21436"/>
      <c r="B21436"/>
      <c r="C21436"/>
      <c r="E21436"/>
      <c r="F21436"/>
    </row>
    <row r="21437" spans="1:6" x14ac:dyDescent="0.25">
      <c r="A21437"/>
      <c r="B21437"/>
      <c r="C21437"/>
      <c r="E21437"/>
      <c r="F21437"/>
    </row>
    <row r="21438" spans="1:6" x14ac:dyDescent="0.25">
      <c r="A21438"/>
      <c r="B21438"/>
      <c r="C21438"/>
      <c r="E21438"/>
      <c r="F21438"/>
    </row>
    <row r="21439" spans="1:6" x14ac:dyDescent="0.25">
      <c r="A21439"/>
      <c r="B21439"/>
      <c r="C21439"/>
      <c r="E21439"/>
      <c r="F21439"/>
    </row>
    <row r="21440" spans="1:6" x14ac:dyDescent="0.25">
      <c r="A21440"/>
      <c r="B21440"/>
      <c r="C21440"/>
      <c r="E21440"/>
      <c r="F21440"/>
    </row>
    <row r="21441" spans="1:6" x14ac:dyDescent="0.25">
      <c r="A21441"/>
      <c r="B21441"/>
      <c r="C21441"/>
      <c r="E21441"/>
      <c r="F21441"/>
    </row>
    <row r="21442" spans="1:6" x14ac:dyDescent="0.25">
      <c r="A21442"/>
      <c r="B21442"/>
      <c r="C21442"/>
      <c r="E21442"/>
      <c r="F21442"/>
    </row>
    <row r="21443" spans="1:6" x14ac:dyDescent="0.25">
      <c r="A21443"/>
      <c r="B21443"/>
      <c r="C21443"/>
      <c r="E21443"/>
      <c r="F21443"/>
    </row>
    <row r="21444" spans="1:6" x14ac:dyDescent="0.25">
      <c r="A21444"/>
      <c r="B21444"/>
      <c r="C21444"/>
      <c r="E21444"/>
      <c r="F21444"/>
    </row>
    <row r="21445" spans="1:6" x14ac:dyDescent="0.25">
      <c r="A21445"/>
      <c r="B21445"/>
      <c r="C21445"/>
      <c r="E21445"/>
      <c r="F21445"/>
    </row>
    <row r="21446" spans="1:6" x14ac:dyDescent="0.25">
      <c r="A21446"/>
      <c r="B21446"/>
      <c r="C21446"/>
      <c r="E21446"/>
      <c r="F21446"/>
    </row>
    <row r="21447" spans="1:6" x14ac:dyDescent="0.25">
      <c r="A21447"/>
      <c r="B21447"/>
      <c r="C21447"/>
      <c r="E21447"/>
      <c r="F21447"/>
    </row>
    <row r="21448" spans="1:6" x14ac:dyDescent="0.25">
      <c r="A21448"/>
      <c r="B21448"/>
      <c r="C21448"/>
      <c r="E21448"/>
      <c r="F21448"/>
    </row>
    <row r="21449" spans="1:6" x14ac:dyDescent="0.25">
      <c r="A21449"/>
      <c r="B21449"/>
      <c r="C21449"/>
      <c r="E21449"/>
      <c r="F21449"/>
    </row>
    <row r="21450" spans="1:6" x14ac:dyDescent="0.25">
      <c r="A21450"/>
      <c r="B21450"/>
      <c r="C21450"/>
      <c r="E21450"/>
      <c r="F21450"/>
    </row>
    <row r="21451" spans="1:6" x14ac:dyDescent="0.25">
      <c r="A21451"/>
      <c r="B21451"/>
      <c r="C21451"/>
      <c r="E21451"/>
      <c r="F21451"/>
    </row>
    <row r="21452" spans="1:6" x14ac:dyDescent="0.25">
      <c r="A21452"/>
      <c r="B21452"/>
      <c r="C21452"/>
      <c r="E21452"/>
      <c r="F21452"/>
    </row>
    <row r="21453" spans="1:6" x14ac:dyDescent="0.25">
      <c r="A21453"/>
      <c r="B21453"/>
      <c r="C21453"/>
      <c r="E21453"/>
      <c r="F21453"/>
    </row>
    <row r="21454" spans="1:6" x14ac:dyDescent="0.25">
      <c r="A21454"/>
      <c r="B21454"/>
      <c r="C21454"/>
      <c r="E21454"/>
      <c r="F21454"/>
    </row>
    <row r="21455" spans="1:6" x14ac:dyDescent="0.25">
      <c r="A21455"/>
      <c r="B21455"/>
      <c r="C21455"/>
      <c r="E21455"/>
      <c r="F21455"/>
    </row>
    <row r="21456" spans="1:6" x14ac:dyDescent="0.25">
      <c r="A21456"/>
      <c r="B21456"/>
      <c r="C21456"/>
      <c r="E21456"/>
      <c r="F21456"/>
    </row>
    <row r="21457" spans="1:6" x14ac:dyDescent="0.25">
      <c r="A21457"/>
      <c r="B21457"/>
      <c r="C21457"/>
      <c r="E21457"/>
      <c r="F21457"/>
    </row>
    <row r="21458" spans="1:6" x14ac:dyDescent="0.25">
      <c r="A21458"/>
      <c r="B21458"/>
      <c r="C21458"/>
      <c r="E21458"/>
      <c r="F21458"/>
    </row>
    <row r="21459" spans="1:6" x14ac:dyDescent="0.25">
      <c r="A21459"/>
      <c r="B21459"/>
      <c r="C21459"/>
      <c r="E21459"/>
      <c r="F21459"/>
    </row>
    <row r="21460" spans="1:6" x14ac:dyDescent="0.25">
      <c r="A21460"/>
      <c r="B21460"/>
      <c r="C21460"/>
      <c r="E21460"/>
      <c r="F21460"/>
    </row>
    <row r="21461" spans="1:6" x14ac:dyDescent="0.25">
      <c r="A21461"/>
      <c r="B21461"/>
      <c r="C21461"/>
      <c r="E21461"/>
      <c r="F21461"/>
    </row>
    <row r="21462" spans="1:6" x14ac:dyDescent="0.25">
      <c r="A21462"/>
      <c r="B21462"/>
      <c r="C21462"/>
      <c r="E21462"/>
      <c r="F21462"/>
    </row>
    <row r="21463" spans="1:6" x14ac:dyDescent="0.25">
      <c r="A21463"/>
      <c r="B21463"/>
      <c r="C21463"/>
      <c r="E21463"/>
      <c r="F21463"/>
    </row>
    <row r="21464" spans="1:6" x14ac:dyDescent="0.25">
      <c r="A21464"/>
      <c r="B21464"/>
      <c r="C21464"/>
      <c r="E21464"/>
      <c r="F21464"/>
    </row>
    <row r="21465" spans="1:6" x14ac:dyDescent="0.25">
      <c r="A21465"/>
      <c r="B21465"/>
      <c r="C21465"/>
      <c r="E21465"/>
      <c r="F21465"/>
    </row>
    <row r="21466" spans="1:6" x14ac:dyDescent="0.25">
      <c r="A21466"/>
      <c r="B21466"/>
      <c r="C21466"/>
      <c r="E21466"/>
      <c r="F21466"/>
    </row>
    <row r="21467" spans="1:6" x14ac:dyDescent="0.25">
      <c r="A21467"/>
      <c r="B21467"/>
      <c r="C21467"/>
      <c r="E21467"/>
      <c r="F21467"/>
    </row>
    <row r="21468" spans="1:6" x14ac:dyDescent="0.25">
      <c r="A21468"/>
      <c r="B21468"/>
      <c r="C21468"/>
      <c r="E21468"/>
      <c r="F21468"/>
    </row>
    <row r="21469" spans="1:6" x14ac:dyDescent="0.25">
      <c r="A21469"/>
      <c r="B21469"/>
      <c r="C21469"/>
      <c r="E21469"/>
      <c r="F21469"/>
    </row>
    <row r="21470" spans="1:6" x14ac:dyDescent="0.25">
      <c r="A21470"/>
      <c r="B21470"/>
      <c r="C21470"/>
      <c r="E21470"/>
      <c r="F21470"/>
    </row>
    <row r="21471" spans="1:6" x14ac:dyDescent="0.25">
      <c r="A21471"/>
      <c r="B21471"/>
      <c r="C21471"/>
      <c r="E21471"/>
      <c r="F21471"/>
    </row>
    <row r="21472" spans="1:6" x14ac:dyDescent="0.25">
      <c r="A21472"/>
      <c r="B21472"/>
      <c r="C21472"/>
      <c r="E21472"/>
      <c r="F21472"/>
    </row>
    <row r="21473" spans="1:6" x14ac:dyDescent="0.25">
      <c r="A21473"/>
      <c r="B21473"/>
      <c r="C21473"/>
      <c r="E21473"/>
      <c r="F21473"/>
    </row>
    <row r="21474" spans="1:6" x14ac:dyDescent="0.25">
      <c r="A21474"/>
      <c r="B21474"/>
      <c r="C21474"/>
      <c r="E21474"/>
      <c r="F21474"/>
    </row>
    <row r="21475" spans="1:6" x14ac:dyDescent="0.25">
      <c r="A21475"/>
      <c r="B21475"/>
      <c r="C21475"/>
      <c r="E21475"/>
      <c r="F21475"/>
    </row>
    <row r="21476" spans="1:6" x14ac:dyDescent="0.25">
      <c r="A21476"/>
      <c r="B21476"/>
      <c r="C21476"/>
      <c r="E21476"/>
      <c r="F21476"/>
    </row>
    <row r="21477" spans="1:6" x14ac:dyDescent="0.25">
      <c r="A21477"/>
      <c r="B21477"/>
      <c r="C21477"/>
      <c r="E21477"/>
      <c r="F21477"/>
    </row>
    <row r="21478" spans="1:6" x14ac:dyDescent="0.25">
      <c r="A21478"/>
      <c r="B21478"/>
      <c r="C21478"/>
      <c r="E21478"/>
      <c r="F21478"/>
    </row>
    <row r="21479" spans="1:6" x14ac:dyDescent="0.25">
      <c r="A21479"/>
      <c r="B21479"/>
      <c r="C21479"/>
      <c r="E21479"/>
      <c r="F21479"/>
    </row>
    <row r="21480" spans="1:6" x14ac:dyDescent="0.25">
      <c r="A21480"/>
      <c r="B21480"/>
      <c r="C21480"/>
      <c r="E21480"/>
      <c r="F21480"/>
    </row>
    <row r="21481" spans="1:6" x14ac:dyDescent="0.25">
      <c r="A21481"/>
      <c r="B21481"/>
      <c r="C21481"/>
      <c r="E21481"/>
      <c r="F21481"/>
    </row>
    <row r="21482" spans="1:6" x14ac:dyDescent="0.25">
      <c r="A21482"/>
      <c r="B21482"/>
      <c r="C21482"/>
      <c r="E21482"/>
      <c r="F21482"/>
    </row>
    <row r="21483" spans="1:6" x14ac:dyDescent="0.25">
      <c r="A21483"/>
      <c r="B21483"/>
      <c r="C21483"/>
      <c r="E21483"/>
      <c r="F21483"/>
    </row>
    <row r="21484" spans="1:6" x14ac:dyDescent="0.25">
      <c r="A21484"/>
      <c r="B21484"/>
      <c r="C21484"/>
      <c r="E21484"/>
      <c r="F21484"/>
    </row>
    <row r="21485" spans="1:6" x14ac:dyDescent="0.25">
      <c r="A21485"/>
      <c r="B21485"/>
      <c r="C21485"/>
      <c r="E21485"/>
      <c r="F21485"/>
    </row>
    <row r="21486" spans="1:6" x14ac:dyDescent="0.25">
      <c r="A21486"/>
      <c r="B21486"/>
      <c r="C21486"/>
      <c r="E21486"/>
      <c r="F21486"/>
    </row>
    <row r="21487" spans="1:6" x14ac:dyDescent="0.25">
      <c r="A21487"/>
      <c r="B21487"/>
      <c r="C21487"/>
      <c r="E21487"/>
      <c r="F21487"/>
    </row>
    <row r="21488" spans="1:6" x14ac:dyDescent="0.25">
      <c r="A21488"/>
      <c r="B21488"/>
      <c r="C21488"/>
      <c r="E21488"/>
      <c r="F21488"/>
    </row>
    <row r="21489" spans="1:6" x14ac:dyDescent="0.25">
      <c r="A21489"/>
      <c r="B21489"/>
      <c r="C21489"/>
      <c r="E21489"/>
      <c r="F21489"/>
    </row>
    <row r="21490" spans="1:6" x14ac:dyDescent="0.25">
      <c r="A21490"/>
      <c r="B21490"/>
      <c r="C21490"/>
      <c r="E21490"/>
      <c r="F21490"/>
    </row>
    <row r="21491" spans="1:6" x14ac:dyDescent="0.25">
      <c r="A21491"/>
      <c r="B21491"/>
      <c r="C21491"/>
      <c r="E21491"/>
      <c r="F21491"/>
    </row>
    <row r="21492" spans="1:6" x14ac:dyDescent="0.25">
      <c r="A21492"/>
      <c r="B21492"/>
      <c r="C21492"/>
      <c r="E21492"/>
      <c r="F21492"/>
    </row>
    <row r="21493" spans="1:6" x14ac:dyDescent="0.25">
      <c r="A21493"/>
      <c r="B21493"/>
      <c r="C21493"/>
      <c r="E21493"/>
      <c r="F21493"/>
    </row>
    <row r="21494" spans="1:6" x14ac:dyDescent="0.25">
      <c r="A21494"/>
      <c r="B21494"/>
      <c r="C21494"/>
      <c r="E21494"/>
      <c r="F21494"/>
    </row>
    <row r="21495" spans="1:6" x14ac:dyDescent="0.25">
      <c r="A21495"/>
      <c r="B21495"/>
      <c r="C21495"/>
      <c r="E21495"/>
      <c r="F21495"/>
    </row>
    <row r="21496" spans="1:6" x14ac:dyDescent="0.25">
      <c r="A21496"/>
      <c r="B21496"/>
      <c r="C21496"/>
      <c r="E21496"/>
      <c r="F21496"/>
    </row>
    <row r="21497" spans="1:6" x14ac:dyDescent="0.25">
      <c r="A21497"/>
      <c r="B21497"/>
      <c r="C21497"/>
      <c r="E21497"/>
      <c r="F21497"/>
    </row>
    <row r="21498" spans="1:6" x14ac:dyDescent="0.25">
      <c r="A21498"/>
      <c r="B21498"/>
      <c r="C21498"/>
      <c r="E21498"/>
      <c r="F21498"/>
    </row>
    <row r="21499" spans="1:6" x14ac:dyDescent="0.25">
      <c r="A21499"/>
      <c r="B21499"/>
      <c r="C21499"/>
      <c r="E21499"/>
      <c r="F21499"/>
    </row>
    <row r="21500" spans="1:6" x14ac:dyDescent="0.25">
      <c r="A21500"/>
      <c r="B21500"/>
      <c r="C21500"/>
      <c r="E21500"/>
      <c r="F21500"/>
    </row>
    <row r="21501" spans="1:6" x14ac:dyDescent="0.25">
      <c r="A21501"/>
      <c r="B21501"/>
      <c r="C21501"/>
      <c r="E21501"/>
      <c r="F21501"/>
    </row>
    <row r="21502" spans="1:6" x14ac:dyDescent="0.25">
      <c r="A21502"/>
      <c r="B21502"/>
      <c r="C21502"/>
      <c r="E21502"/>
      <c r="F21502"/>
    </row>
    <row r="21503" spans="1:6" x14ac:dyDescent="0.25">
      <c r="A21503"/>
      <c r="B21503"/>
      <c r="C21503"/>
      <c r="E21503"/>
      <c r="F21503"/>
    </row>
    <row r="21504" spans="1:6" x14ac:dyDescent="0.25">
      <c r="A21504"/>
      <c r="B21504"/>
      <c r="C21504"/>
      <c r="E21504"/>
      <c r="F21504"/>
    </row>
    <row r="21505" spans="1:6" x14ac:dyDescent="0.25">
      <c r="A21505"/>
      <c r="B21505"/>
      <c r="C21505"/>
      <c r="E21505"/>
      <c r="F21505"/>
    </row>
    <row r="21506" spans="1:6" x14ac:dyDescent="0.25">
      <c r="A21506"/>
      <c r="B21506"/>
      <c r="C21506"/>
      <c r="E21506"/>
      <c r="F21506"/>
    </row>
    <row r="21507" spans="1:6" x14ac:dyDescent="0.25">
      <c r="A21507"/>
      <c r="B21507"/>
      <c r="C21507"/>
      <c r="E21507"/>
      <c r="F21507"/>
    </row>
    <row r="21508" spans="1:6" x14ac:dyDescent="0.25">
      <c r="A21508"/>
      <c r="B21508"/>
      <c r="C21508"/>
      <c r="E21508"/>
      <c r="F21508"/>
    </row>
    <row r="21509" spans="1:6" x14ac:dyDescent="0.25">
      <c r="A21509"/>
      <c r="B21509"/>
      <c r="C21509"/>
      <c r="E21509"/>
      <c r="F21509"/>
    </row>
    <row r="21510" spans="1:6" x14ac:dyDescent="0.25">
      <c r="A21510"/>
      <c r="B21510"/>
      <c r="C21510"/>
      <c r="E21510"/>
      <c r="F21510"/>
    </row>
    <row r="21511" spans="1:6" x14ac:dyDescent="0.25">
      <c r="A21511"/>
      <c r="B21511"/>
      <c r="C21511"/>
      <c r="E21511"/>
      <c r="F21511"/>
    </row>
    <row r="21512" spans="1:6" x14ac:dyDescent="0.25">
      <c r="A21512"/>
      <c r="B21512"/>
      <c r="C21512"/>
      <c r="E21512"/>
      <c r="F21512"/>
    </row>
    <row r="21513" spans="1:6" x14ac:dyDescent="0.25">
      <c r="A21513"/>
      <c r="B21513"/>
      <c r="C21513"/>
      <c r="E21513"/>
      <c r="F21513"/>
    </row>
    <row r="21514" spans="1:6" x14ac:dyDescent="0.25">
      <c r="A21514"/>
      <c r="B21514"/>
      <c r="C21514"/>
      <c r="E21514"/>
      <c r="F21514"/>
    </row>
    <row r="21515" spans="1:6" x14ac:dyDescent="0.25">
      <c r="A21515"/>
      <c r="B21515"/>
      <c r="C21515"/>
      <c r="E21515"/>
      <c r="F21515"/>
    </row>
    <row r="21516" spans="1:6" x14ac:dyDescent="0.25">
      <c r="A21516"/>
      <c r="B21516"/>
      <c r="C21516"/>
      <c r="E21516"/>
      <c r="F21516"/>
    </row>
    <row r="21517" spans="1:6" x14ac:dyDescent="0.25">
      <c r="A21517"/>
      <c r="B21517"/>
      <c r="C21517"/>
      <c r="E21517"/>
      <c r="F21517"/>
    </row>
    <row r="21518" spans="1:6" x14ac:dyDescent="0.25">
      <c r="A21518"/>
      <c r="B21518"/>
      <c r="C21518"/>
      <c r="E21518"/>
      <c r="F21518"/>
    </row>
    <row r="21519" spans="1:6" x14ac:dyDescent="0.25">
      <c r="A21519"/>
      <c r="B21519"/>
      <c r="C21519"/>
      <c r="E21519"/>
      <c r="F21519"/>
    </row>
    <row r="21520" spans="1:6" x14ac:dyDescent="0.25">
      <c r="A21520"/>
      <c r="B21520"/>
      <c r="C21520"/>
      <c r="E21520"/>
      <c r="F21520"/>
    </row>
    <row r="21521" spans="1:6" x14ac:dyDescent="0.25">
      <c r="A21521"/>
      <c r="B21521"/>
      <c r="C21521"/>
      <c r="E21521"/>
      <c r="F21521"/>
    </row>
    <row r="21522" spans="1:6" x14ac:dyDescent="0.25">
      <c r="A21522"/>
      <c r="B21522"/>
      <c r="C21522"/>
      <c r="E21522"/>
      <c r="F21522"/>
    </row>
    <row r="21523" spans="1:6" x14ac:dyDescent="0.25">
      <c r="A21523"/>
      <c r="B21523"/>
      <c r="C21523"/>
      <c r="E21523"/>
      <c r="F21523"/>
    </row>
    <row r="21524" spans="1:6" x14ac:dyDescent="0.25">
      <c r="A21524"/>
      <c r="B21524"/>
      <c r="C21524"/>
      <c r="E21524"/>
      <c r="F21524"/>
    </row>
    <row r="21525" spans="1:6" x14ac:dyDescent="0.25">
      <c r="A21525"/>
      <c r="B21525"/>
      <c r="C21525"/>
      <c r="E21525"/>
      <c r="F21525"/>
    </row>
    <row r="21526" spans="1:6" x14ac:dyDescent="0.25">
      <c r="A21526"/>
      <c r="B21526"/>
      <c r="C21526"/>
      <c r="E21526"/>
      <c r="F21526"/>
    </row>
    <row r="21527" spans="1:6" x14ac:dyDescent="0.25">
      <c r="A21527"/>
      <c r="B21527"/>
      <c r="C21527"/>
      <c r="E21527"/>
      <c r="F21527"/>
    </row>
    <row r="21528" spans="1:6" x14ac:dyDescent="0.25">
      <c r="A21528"/>
      <c r="B21528"/>
      <c r="C21528"/>
      <c r="E21528"/>
      <c r="F21528"/>
    </row>
    <row r="21529" spans="1:6" x14ac:dyDescent="0.25">
      <c r="A21529"/>
      <c r="B21529"/>
      <c r="C21529"/>
      <c r="E21529"/>
      <c r="F21529"/>
    </row>
    <row r="21530" spans="1:6" x14ac:dyDescent="0.25">
      <c r="A21530"/>
      <c r="B21530"/>
      <c r="C21530"/>
      <c r="E21530"/>
      <c r="F21530"/>
    </row>
    <row r="21531" spans="1:6" x14ac:dyDescent="0.25">
      <c r="A21531"/>
      <c r="B21531"/>
      <c r="C21531"/>
      <c r="E21531"/>
      <c r="F21531"/>
    </row>
    <row r="21532" spans="1:6" x14ac:dyDescent="0.25">
      <c r="A21532"/>
      <c r="B21532"/>
      <c r="C21532"/>
      <c r="E21532"/>
      <c r="F21532"/>
    </row>
    <row r="21533" spans="1:6" x14ac:dyDescent="0.25">
      <c r="A21533"/>
      <c r="B21533"/>
      <c r="C21533"/>
      <c r="E21533"/>
      <c r="F21533"/>
    </row>
    <row r="21534" spans="1:6" x14ac:dyDescent="0.25">
      <c r="A21534"/>
      <c r="B21534"/>
      <c r="C21534"/>
      <c r="E21534"/>
      <c r="F21534"/>
    </row>
    <row r="21535" spans="1:6" x14ac:dyDescent="0.25">
      <c r="A21535"/>
      <c r="B21535"/>
      <c r="C21535"/>
      <c r="E21535"/>
      <c r="F21535"/>
    </row>
    <row r="21536" spans="1:6" x14ac:dyDescent="0.25">
      <c r="A21536"/>
      <c r="B21536"/>
      <c r="C21536"/>
      <c r="E21536"/>
      <c r="F21536"/>
    </row>
    <row r="21537" spans="1:6" x14ac:dyDescent="0.25">
      <c r="A21537"/>
      <c r="B21537"/>
      <c r="C21537"/>
      <c r="E21537"/>
      <c r="F21537"/>
    </row>
    <row r="21538" spans="1:6" x14ac:dyDescent="0.25">
      <c r="A21538"/>
      <c r="B21538"/>
      <c r="C21538"/>
      <c r="E21538"/>
      <c r="F21538"/>
    </row>
    <row r="21539" spans="1:6" x14ac:dyDescent="0.25">
      <c r="A21539"/>
      <c r="B21539"/>
      <c r="C21539"/>
      <c r="E21539"/>
      <c r="F21539"/>
    </row>
    <row r="21540" spans="1:6" x14ac:dyDescent="0.25">
      <c r="A21540"/>
      <c r="B21540"/>
      <c r="C21540"/>
      <c r="E21540"/>
      <c r="F21540"/>
    </row>
    <row r="21541" spans="1:6" x14ac:dyDescent="0.25">
      <c r="A21541"/>
      <c r="B21541"/>
      <c r="C21541"/>
      <c r="E21541"/>
      <c r="F21541"/>
    </row>
    <row r="21542" spans="1:6" x14ac:dyDescent="0.25">
      <c r="A21542"/>
      <c r="B21542"/>
      <c r="C21542"/>
      <c r="E21542"/>
      <c r="F21542"/>
    </row>
    <row r="21543" spans="1:6" x14ac:dyDescent="0.25">
      <c r="A21543"/>
      <c r="B21543"/>
      <c r="C21543"/>
      <c r="E21543"/>
      <c r="F21543"/>
    </row>
    <row r="21544" spans="1:6" x14ac:dyDescent="0.25">
      <c r="A21544"/>
      <c r="B21544"/>
      <c r="C21544"/>
      <c r="E21544"/>
      <c r="F21544"/>
    </row>
    <row r="21545" spans="1:6" x14ac:dyDescent="0.25">
      <c r="A21545"/>
      <c r="B21545"/>
      <c r="C21545"/>
      <c r="E21545"/>
      <c r="F21545"/>
    </row>
    <row r="21546" spans="1:6" x14ac:dyDescent="0.25">
      <c r="A21546"/>
      <c r="B21546"/>
      <c r="C21546"/>
      <c r="E21546"/>
      <c r="F21546"/>
    </row>
    <row r="21547" spans="1:6" x14ac:dyDescent="0.25">
      <c r="A21547"/>
      <c r="B21547"/>
      <c r="C21547"/>
      <c r="E21547"/>
      <c r="F21547"/>
    </row>
    <row r="21548" spans="1:6" x14ac:dyDescent="0.25">
      <c r="A21548"/>
      <c r="B21548"/>
      <c r="C21548"/>
      <c r="E21548"/>
      <c r="F21548"/>
    </row>
    <row r="21549" spans="1:6" x14ac:dyDescent="0.25">
      <c r="A21549"/>
      <c r="B21549"/>
      <c r="C21549"/>
      <c r="E21549"/>
      <c r="F21549"/>
    </row>
    <row r="21550" spans="1:6" x14ac:dyDescent="0.25">
      <c r="A21550"/>
      <c r="B21550"/>
      <c r="C21550"/>
      <c r="E21550"/>
      <c r="F21550"/>
    </row>
    <row r="21551" spans="1:6" x14ac:dyDescent="0.25">
      <c r="A21551"/>
      <c r="B21551"/>
      <c r="C21551"/>
      <c r="E21551"/>
      <c r="F21551"/>
    </row>
    <row r="21552" spans="1:6" x14ac:dyDescent="0.25">
      <c r="A21552"/>
      <c r="B21552"/>
      <c r="C21552"/>
      <c r="E21552"/>
      <c r="F21552"/>
    </row>
    <row r="21553" spans="1:6" x14ac:dyDescent="0.25">
      <c r="A21553"/>
      <c r="B21553"/>
      <c r="C21553"/>
      <c r="E21553"/>
      <c r="F21553"/>
    </row>
    <row r="21554" spans="1:6" x14ac:dyDescent="0.25">
      <c r="A21554"/>
      <c r="B21554"/>
      <c r="C21554"/>
      <c r="E21554"/>
      <c r="F21554"/>
    </row>
    <row r="21555" spans="1:6" x14ac:dyDescent="0.25">
      <c r="A21555"/>
      <c r="B21555"/>
      <c r="C21555"/>
      <c r="E21555"/>
      <c r="F21555"/>
    </row>
    <row r="21556" spans="1:6" x14ac:dyDescent="0.25">
      <c r="A21556"/>
      <c r="B21556"/>
      <c r="C21556"/>
      <c r="E21556"/>
      <c r="F21556"/>
    </row>
    <row r="21557" spans="1:6" x14ac:dyDescent="0.25">
      <c r="A21557"/>
      <c r="B21557"/>
      <c r="C21557"/>
      <c r="E21557"/>
      <c r="F21557"/>
    </row>
    <row r="21558" spans="1:6" x14ac:dyDescent="0.25">
      <c r="A21558"/>
      <c r="B21558"/>
      <c r="C21558"/>
      <c r="E21558"/>
      <c r="F21558"/>
    </row>
    <row r="21559" spans="1:6" x14ac:dyDescent="0.25">
      <c r="A21559"/>
      <c r="B21559"/>
      <c r="C21559"/>
      <c r="E21559"/>
      <c r="F21559"/>
    </row>
    <row r="21560" spans="1:6" x14ac:dyDescent="0.25">
      <c r="A21560"/>
      <c r="B21560"/>
      <c r="C21560"/>
      <c r="E21560"/>
      <c r="F21560"/>
    </row>
    <row r="21561" spans="1:6" x14ac:dyDescent="0.25">
      <c r="A21561"/>
      <c r="B21561"/>
      <c r="C21561"/>
      <c r="E21561"/>
      <c r="F21561"/>
    </row>
    <row r="21562" spans="1:6" x14ac:dyDescent="0.25">
      <c r="A21562"/>
      <c r="B21562"/>
      <c r="C21562"/>
      <c r="E21562"/>
      <c r="F21562"/>
    </row>
    <row r="21563" spans="1:6" x14ac:dyDescent="0.25">
      <c r="A21563"/>
      <c r="B21563"/>
      <c r="C21563"/>
      <c r="E21563"/>
      <c r="F21563"/>
    </row>
    <row r="21564" spans="1:6" x14ac:dyDescent="0.25">
      <c r="A21564"/>
      <c r="B21564"/>
      <c r="C21564"/>
      <c r="E21564"/>
      <c r="F21564"/>
    </row>
    <row r="21565" spans="1:6" x14ac:dyDescent="0.25">
      <c r="A21565"/>
      <c r="B21565"/>
      <c r="C21565"/>
      <c r="E21565"/>
      <c r="F21565"/>
    </row>
    <row r="21566" spans="1:6" x14ac:dyDescent="0.25">
      <c r="A21566"/>
      <c r="B21566"/>
      <c r="C21566"/>
      <c r="E21566"/>
      <c r="F21566"/>
    </row>
    <row r="21567" spans="1:6" x14ac:dyDescent="0.25">
      <c r="A21567"/>
      <c r="B21567"/>
      <c r="C21567"/>
      <c r="E21567"/>
      <c r="F21567"/>
    </row>
    <row r="21568" spans="1:6" x14ac:dyDescent="0.25">
      <c r="A21568"/>
      <c r="B21568"/>
      <c r="C21568"/>
      <c r="E21568"/>
      <c r="F21568"/>
    </row>
    <row r="21569" spans="1:6" x14ac:dyDescent="0.25">
      <c r="A21569"/>
      <c r="B21569"/>
      <c r="C21569"/>
      <c r="E21569"/>
      <c r="F21569"/>
    </row>
    <row r="21570" spans="1:6" x14ac:dyDescent="0.25">
      <c r="A21570"/>
      <c r="B21570"/>
      <c r="C21570"/>
      <c r="E21570"/>
      <c r="F21570"/>
    </row>
    <row r="21571" spans="1:6" x14ac:dyDescent="0.25">
      <c r="A21571"/>
      <c r="B21571"/>
      <c r="C21571"/>
      <c r="E21571"/>
      <c r="F21571"/>
    </row>
    <row r="21572" spans="1:6" x14ac:dyDescent="0.25">
      <c r="A21572"/>
      <c r="B21572"/>
      <c r="C21572"/>
      <c r="E21572"/>
      <c r="F21572"/>
    </row>
    <row r="21573" spans="1:6" x14ac:dyDescent="0.25">
      <c r="A21573"/>
      <c r="B21573"/>
      <c r="C21573"/>
      <c r="E21573"/>
      <c r="F21573"/>
    </row>
    <row r="21574" spans="1:6" x14ac:dyDescent="0.25">
      <c r="A21574"/>
      <c r="B21574"/>
      <c r="C21574"/>
      <c r="E21574"/>
      <c r="F21574"/>
    </row>
    <row r="21575" spans="1:6" x14ac:dyDescent="0.25">
      <c r="A21575"/>
      <c r="B21575"/>
      <c r="C21575"/>
      <c r="E21575"/>
      <c r="F21575"/>
    </row>
    <row r="21576" spans="1:6" x14ac:dyDescent="0.25">
      <c r="A21576"/>
      <c r="B21576"/>
      <c r="C21576"/>
      <c r="E21576"/>
      <c r="F21576"/>
    </row>
    <row r="21577" spans="1:6" x14ac:dyDescent="0.25">
      <c r="A21577"/>
      <c r="B21577"/>
      <c r="C21577"/>
      <c r="E21577"/>
      <c r="F21577"/>
    </row>
    <row r="21578" spans="1:6" x14ac:dyDescent="0.25">
      <c r="A21578"/>
      <c r="B21578"/>
      <c r="C21578"/>
      <c r="E21578"/>
      <c r="F21578"/>
    </row>
    <row r="21579" spans="1:6" x14ac:dyDescent="0.25">
      <c r="A21579"/>
      <c r="B21579"/>
      <c r="C21579"/>
      <c r="E21579"/>
      <c r="F21579"/>
    </row>
    <row r="21580" spans="1:6" x14ac:dyDescent="0.25">
      <c r="A21580"/>
      <c r="B21580"/>
      <c r="C21580"/>
      <c r="E21580"/>
      <c r="F21580"/>
    </row>
    <row r="21581" spans="1:6" x14ac:dyDescent="0.25">
      <c r="A21581"/>
      <c r="B21581"/>
      <c r="C21581"/>
      <c r="E21581"/>
      <c r="F21581"/>
    </row>
    <row r="21582" spans="1:6" x14ac:dyDescent="0.25">
      <c r="A21582"/>
      <c r="B21582"/>
      <c r="C21582"/>
      <c r="E21582"/>
      <c r="F21582"/>
    </row>
    <row r="21583" spans="1:6" x14ac:dyDescent="0.25">
      <c r="A21583"/>
      <c r="B21583"/>
      <c r="C21583"/>
      <c r="E21583"/>
      <c r="F21583"/>
    </row>
    <row r="21584" spans="1:6" x14ac:dyDescent="0.25">
      <c r="A21584"/>
      <c r="B21584"/>
      <c r="C21584"/>
      <c r="E21584"/>
      <c r="F21584"/>
    </row>
    <row r="21585" spans="1:6" x14ac:dyDescent="0.25">
      <c r="A21585"/>
      <c r="B21585"/>
      <c r="C21585"/>
      <c r="E21585"/>
      <c r="F21585"/>
    </row>
    <row r="21586" spans="1:6" x14ac:dyDescent="0.25">
      <c r="A21586"/>
      <c r="B21586"/>
      <c r="C21586"/>
      <c r="E21586"/>
      <c r="F21586"/>
    </row>
    <row r="21587" spans="1:6" x14ac:dyDescent="0.25">
      <c r="A21587"/>
      <c r="B21587"/>
      <c r="C21587"/>
      <c r="E21587"/>
      <c r="F21587"/>
    </row>
    <row r="21588" spans="1:6" x14ac:dyDescent="0.25">
      <c r="A21588"/>
      <c r="B21588"/>
      <c r="C21588"/>
      <c r="E21588"/>
      <c r="F21588"/>
    </row>
    <row r="21589" spans="1:6" x14ac:dyDescent="0.25">
      <c r="A21589"/>
      <c r="B21589"/>
      <c r="C21589"/>
      <c r="E21589"/>
      <c r="F21589"/>
    </row>
    <row r="21590" spans="1:6" x14ac:dyDescent="0.25">
      <c r="A21590"/>
      <c r="B21590"/>
      <c r="C21590"/>
      <c r="E21590"/>
      <c r="F21590"/>
    </row>
    <row r="21591" spans="1:6" x14ac:dyDescent="0.25">
      <c r="A21591"/>
      <c r="B21591"/>
      <c r="C21591"/>
      <c r="E21591"/>
      <c r="F21591"/>
    </row>
    <row r="21592" spans="1:6" x14ac:dyDescent="0.25">
      <c r="A21592"/>
      <c r="B21592"/>
      <c r="C21592"/>
      <c r="E21592"/>
      <c r="F21592"/>
    </row>
    <row r="21593" spans="1:6" x14ac:dyDescent="0.25">
      <c r="A21593"/>
      <c r="B21593"/>
      <c r="C21593"/>
      <c r="E21593"/>
      <c r="F21593"/>
    </row>
    <row r="21594" spans="1:6" x14ac:dyDescent="0.25">
      <c r="A21594"/>
      <c r="B21594"/>
      <c r="C21594"/>
      <c r="E21594"/>
      <c r="F21594"/>
    </row>
    <row r="21595" spans="1:6" x14ac:dyDescent="0.25">
      <c r="A21595"/>
      <c r="B21595"/>
      <c r="C21595"/>
      <c r="E21595"/>
      <c r="F21595"/>
    </row>
    <row r="21596" spans="1:6" x14ac:dyDescent="0.25">
      <c r="A21596"/>
      <c r="B21596"/>
      <c r="C21596"/>
      <c r="E21596"/>
      <c r="F21596"/>
    </row>
    <row r="21597" spans="1:6" x14ac:dyDescent="0.25">
      <c r="A21597"/>
      <c r="B21597"/>
      <c r="C21597"/>
      <c r="E21597"/>
      <c r="F21597"/>
    </row>
    <row r="21598" spans="1:6" x14ac:dyDescent="0.25">
      <c r="A21598"/>
      <c r="B21598"/>
      <c r="C21598"/>
      <c r="E21598"/>
      <c r="F21598"/>
    </row>
    <row r="21599" spans="1:6" x14ac:dyDescent="0.25">
      <c r="A21599"/>
      <c r="B21599"/>
      <c r="C21599"/>
      <c r="E21599"/>
      <c r="F21599"/>
    </row>
    <row r="21600" spans="1:6" x14ac:dyDescent="0.25">
      <c r="A21600"/>
      <c r="B21600"/>
      <c r="C21600"/>
      <c r="E21600"/>
      <c r="F21600"/>
    </row>
    <row r="21601" spans="1:6" x14ac:dyDescent="0.25">
      <c r="A21601"/>
      <c r="B21601"/>
      <c r="C21601"/>
      <c r="E21601"/>
      <c r="F21601"/>
    </row>
    <row r="21602" spans="1:6" x14ac:dyDescent="0.25">
      <c r="A21602"/>
      <c r="B21602"/>
      <c r="C21602"/>
      <c r="E21602"/>
      <c r="F21602"/>
    </row>
    <row r="21603" spans="1:6" x14ac:dyDescent="0.25">
      <c r="A21603"/>
      <c r="B21603"/>
      <c r="C21603"/>
      <c r="E21603"/>
      <c r="F21603"/>
    </row>
    <row r="21604" spans="1:6" x14ac:dyDescent="0.25">
      <c r="A21604"/>
      <c r="B21604"/>
      <c r="C21604"/>
      <c r="E21604"/>
      <c r="F21604"/>
    </row>
    <row r="21605" spans="1:6" x14ac:dyDescent="0.25">
      <c r="A21605"/>
      <c r="B21605"/>
      <c r="C21605"/>
      <c r="E21605"/>
      <c r="F21605"/>
    </row>
    <row r="21606" spans="1:6" x14ac:dyDescent="0.25">
      <c r="A21606"/>
      <c r="B21606"/>
      <c r="C21606"/>
      <c r="E21606"/>
      <c r="F21606"/>
    </row>
    <row r="21607" spans="1:6" x14ac:dyDescent="0.25">
      <c r="A21607"/>
      <c r="B21607"/>
      <c r="C21607"/>
      <c r="E21607"/>
      <c r="F21607"/>
    </row>
    <row r="21608" spans="1:6" x14ac:dyDescent="0.25">
      <c r="A21608"/>
      <c r="B21608"/>
      <c r="C21608"/>
      <c r="E21608"/>
      <c r="F21608"/>
    </row>
    <row r="21609" spans="1:6" x14ac:dyDescent="0.25">
      <c r="A21609"/>
      <c r="B21609"/>
      <c r="C21609"/>
      <c r="E21609"/>
      <c r="F21609"/>
    </row>
    <row r="21610" spans="1:6" x14ac:dyDescent="0.25">
      <c r="A21610"/>
      <c r="B21610"/>
      <c r="C21610"/>
      <c r="E21610"/>
      <c r="F21610"/>
    </row>
    <row r="21611" spans="1:6" x14ac:dyDescent="0.25">
      <c r="A21611"/>
      <c r="B21611"/>
      <c r="C21611"/>
      <c r="E21611"/>
      <c r="F21611"/>
    </row>
    <row r="21612" spans="1:6" x14ac:dyDescent="0.25">
      <c r="A21612"/>
      <c r="B21612"/>
      <c r="C21612"/>
      <c r="E21612"/>
      <c r="F21612"/>
    </row>
    <row r="21613" spans="1:6" x14ac:dyDescent="0.25">
      <c r="A21613"/>
      <c r="B21613"/>
      <c r="C21613"/>
      <c r="E21613"/>
      <c r="F21613"/>
    </row>
    <row r="21614" spans="1:6" x14ac:dyDescent="0.25">
      <c r="A21614"/>
      <c r="B21614"/>
      <c r="C21614"/>
      <c r="E21614"/>
      <c r="F21614"/>
    </row>
    <row r="21615" spans="1:6" x14ac:dyDescent="0.25">
      <c r="A21615"/>
      <c r="B21615"/>
      <c r="C21615"/>
      <c r="E21615"/>
      <c r="F21615"/>
    </row>
    <row r="21616" spans="1:6" x14ac:dyDescent="0.25">
      <c r="A21616"/>
      <c r="B21616"/>
      <c r="C21616"/>
      <c r="E21616"/>
      <c r="F21616"/>
    </row>
    <row r="21617" spans="1:6" x14ac:dyDescent="0.25">
      <c r="A21617"/>
      <c r="B21617"/>
      <c r="C21617"/>
      <c r="E21617"/>
      <c r="F21617"/>
    </row>
    <row r="21618" spans="1:6" x14ac:dyDescent="0.25">
      <c r="A21618"/>
      <c r="B21618"/>
      <c r="C21618"/>
      <c r="E21618"/>
      <c r="F21618"/>
    </row>
    <row r="21619" spans="1:6" x14ac:dyDescent="0.25">
      <c r="A21619"/>
      <c r="B21619"/>
      <c r="C21619"/>
      <c r="E21619"/>
      <c r="F21619"/>
    </row>
    <row r="21620" spans="1:6" x14ac:dyDescent="0.25">
      <c r="A21620"/>
      <c r="B21620"/>
      <c r="C21620"/>
      <c r="E21620"/>
      <c r="F21620"/>
    </row>
    <row r="21621" spans="1:6" x14ac:dyDescent="0.25">
      <c r="A21621"/>
      <c r="B21621"/>
      <c r="C21621"/>
      <c r="E21621"/>
      <c r="F21621"/>
    </row>
    <row r="21622" spans="1:6" x14ac:dyDescent="0.25">
      <c r="A21622"/>
      <c r="B21622"/>
      <c r="C21622"/>
      <c r="E21622"/>
      <c r="F21622"/>
    </row>
    <row r="21623" spans="1:6" x14ac:dyDescent="0.25">
      <c r="A21623"/>
      <c r="B21623"/>
      <c r="C21623"/>
      <c r="E21623"/>
      <c r="F21623"/>
    </row>
    <row r="21624" spans="1:6" x14ac:dyDescent="0.25">
      <c r="A21624"/>
      <c r="B21624"/>
      <c r="C21624"/>
      <c r="E21624"/>
      <c r="F21624"/>
    </row>
    <row r="21625" spans="1:6" x14ac:dyDescent="0.25">
      <c r="A21625"/>
      <c r="B21625"/>
      <c r="C21625"/>
      <c r="E21625"/>
      <c r="F21625"/>
    </row>
    <row r="21626" spans="1:6" x14ac:dyDescent="0.25">
      <c r="A21626"/>
      <c r="B21626"/>
      <c r="C21626"/>
      <c r="E21626"/>
      <c r="F21626"/>
    </row>
    <row r="21627" spans="1:6" x14ac:dyDescent="0.25">
      <c r="A21627"/>
      <c r="B21627"/>
      <c r="C21627"/>
      <c r="E21627"/>
      <c r="F21627"/>
    </row>
    <row r="21628" spans="1:6" x14ac:dyDescent="0.25">
      <c r="A21628"/>
      <c r="B21628"/>
      <c r="C21628"/>
      <c r="E21628"/>
      <c r="F21628"/>
    </row>
    <row r="21629" spans="1:6" x14ac:dyDescent="0.25">
      <c r="A21629"/>
      <c r="B21629"/>
      <c r="C21629"/>
      <c r="E21629"/>
      <c r="F21629"/>
    </row>
    <row r="21630" spans="1:6" x14ac:dyDescent="0.25">
      <c r="A21630"/>
      <c r="B21630"/>
      <c r="C21630"/>
      <c r="E21630"/>
      <c r="F21630"/>
    </row>
    <row r="21631" spans="1:6" x14ac:dyDescent="0.25">
      <c r="A21631"/>
      <c r="B21631"/>
      <c r="C21631"/>
      <c r="E21631"/>
      <c r="F21631"/>
    </row>
    <row r="21632" spans="1:6" x14ac:dyDescent="0.25">
      <c r="A21632"/>
      <c r="B21632"/>
      <c r="C21632"/>
      <c r="E21632"/>
      <c r="F21632"/>
    </row>
    <row r="21633" spans="1:6" x14ac:dyDescent="0.25">
      <c r="A21633"/>
      <c r="B21633"/>
      <c r="C21633"/>
      <c r="E21633"/>
      <c r="F21633"/>
    </row>
    <row r="21634" spans="1:6" x14ac:dyDescent="0.25">
      <c r="A21634"/>
      <c r="B21634"/>
      <c r="C21634"/>
      <c r="E21634"/>
      <c r="F21634"/>
    </row>
    <row r="21635" spans="1:6" x14ac:dyDescent="0.25">
      <c r="A21635"/>
      <c r="B21635"/>
      <c r="C21635"/>
      <c r="E21635"/>
      <c r="F21635"/>
    </row>
    <row r="21636" spans="1:6" x14ac:dyDescent="0.25">
      <c r="A21636"/>
      <c r="B21636"/>
      <c r="C21636"/>
      <c r="E21636"/>
      <c r="F21636"/>
    </row>
    <row r="21637" spans="1:6" x14ac:dyDescent="0.25">
      <c r="A21637"/>
      <c r="B21637"/>
      <c r="C21637"/>
      <c r="E21637"/>
      <c r="F21637"/>
    </row>
    <row r="21638" spans="1:6" x14ac:dyDescent="0.25">
      <c r="A21638"/>
      <c r="B21638"/>
      <c r="C21638"/>
      <c r="E21638"/>
      <c r="F21638"/>
    </row>
    <row r="21639" spans="1:6" x14ac:dyDescent="0.25">
      <c r="A21639"/>
      <c r="B21639"/>
      <c r="C21639"/>
      <c r="E21639"/>
      <c r="F21639"/>
    </row>
    <row r="21640" spans="1:6" x14ac:dyDescent="0.25">
      <c r="A21640"/>
      <c r="B21640"/>
      <c r="C21640"/>
      <c r="E21640"/>
      <c r="F21640"/>
    </row>
    <row r="21641" spans="1:6" x14ac:dyDescent="0.25">
      <c r="A21641"/>
      <c r="B21641"/>
      <c r="C21641"/>
      <c r="E21641"/>
      <c r="F21641"/>
    </row>
    <row r="21642" spans="1:6" x14ac:dyDescent="0.25">
      <c r="A21642"/>
      <c r="B21642"/>
      <c r="C21642"/>
      <c r="E21642"/>
      <c r="F21642"/>
    </row>
    <row r="21643" spans="1:6" x14ac:dyDescent="0.25">
      <c r="A21643"/>
      <c r="B21643"/>
      <c r="C21643"/>
      <c r="E21643"/>
      <c r="F21643"/>
    </row>
    <row r="21644" spans="1:6" x14ac:dyDescent="0.25">
      <c r="A21644"/>
      <c r="B21644"/>
      <c r="C21644"/>
      <c r="E21644"/>
      <c r="F21644"/>
    </row>
    <row r="21645" spans="1:6" x14ac:dyDescent="0.25">
      <c r="A21645"/>
      <c r="B21645"/>
      <c r="C21645"/>
      <c r="E21645"/>
      <c r="F21645"/>
    </row>
    <row r="21646" spans="1:6" x14ac:dyDescent="0.25">
      <c r="A21646"/>
      <c r="B21646"/>
      <c r="C21646"/>
      <c r="E21646"/>
      <c r="F21646"/>
    </row>
    <row r="21647" spans="1:6" x14ac:dyDescent="0.25">
      <c r="A21647"/>
      <c r="B21647"/>
      <c r="C21647"/>
      <c r="E21647"/>
      <c r="F21647"/>
    </row>
    <row r="21648" spans="1:6" x14ac:dyDescent="0.25">
      <c r="A21648"/>
      <c r="B21648"/>
      <c r="C21648"/>
      <c r="E21648"/>
      <c r="F21648"/>
    </row>
    <row r="21649" spans="1:6" x14ac:dyDescent="0.25">
      <c r="A21649"/>
      <c r="B21649"/>
      <c r="C21649"/>
      <c r="E21649"/>
      <c r="F21649"/>
    </row>
    <row r="21650" spans="1:6" x14ac:dyDescent="0.25">
      <c r="A21650"/>
      <c r="B21650"/>
      <c r="C21650"/>
      <c r="E21650"/>
      <c r="F21650"/>
    </row>
    <row r="21651" spans="1:6" x14ac:dyDescent="0.25">
      <c r="A21651"/>
      <c r="B21651"/>
      <c r="C21651"/>
      <c r="E21651"/>
      <c r="F21651"/>
    </row>
    <row r="21652" spans="1:6" x14ac:dyDescent="0.25">
      <c r="A21652"/>
      <c r="B21652"/>
      <c r="C21652"/>
      <c r="E21652"/>
      <c r="F21652"/>
    </row>
    <row r="21653" spans="1:6" x14ac:dyDescent="0.25">
      <c r="A21653"/>
      <c r="B21653"/>
      <c r="C21653"/>
      <c r="E21653"/>
      <c r="F21653"/>
    </row>
    <row r="21654" spans="1:6" x14ac:dyDescent="0.25">
      <c r="A21654"/>
      <c r="B21654"/>
      <c r="C21654"/>
      <c r="E21654"/>
      <c r="F21654"/>
    </row>
    <row r="21655" spans="1:6" x14ac:dyDescent="0.25">
      <c r="A21655"/>
      <c r="B21655"/>
      <c r="C21655"/>
      <c r="E21655"/>
      <c r="F21655"/>
    </row>
    <row r="21656" spans="1:6" x14ac:dyDescent="0.25">
      <c r="A21656"/>
      <c r="B21656"/>
      <c r="C21656"/>
      <c r="E21656"/>
      <c r="F21656"/>
    </row>
    <row r="21657" spans="1:6" x14ac:dyDescent="0.25">
      <c r="A21657"/>
      <c r="B21657"/>
      <c r="C21657"/>
      <c r="E21657"/>
      <c r="F21657"/>
    </row>
    <row r="21658" spans="1:6" x14ac:dyDescent="0.25">
      <c r="A21658"/>
      <c r="B21658"/>
      <c r="C21658"/>
      <c r="E21658"/>
      <c r="F21658"/>
    </row>
    <row r="21659" spans="1:6" x14ac:dyDescent="0.25">
      <c r="A21659"/>
      <c r="B21659"/>
      <c r="C21659"/>
      <c r="E21659"/>
      <c r="F21659"/>
    </row>
    <row r="21660" spans="1:6" x14ac:dyDescent="0.25">
      <c r="A21660"/>
      <c r="B21660"/>
      <c r="C21660"/>
      <c r="E21660"/>
      <c r="F21660"/>
    </row>
    <row r="21661" spans="1:6" x14ac:dyDescent="0.25">
      <c r="A21661"/>
      <c r="B21661"/>
      <c r="C21661"/>
      <c r="E21661"/>
      <c r="F21661"/>
    </row>
    <row r="21662" spans="1:6" x14ac:dyDescent="0.25">
      <c r="A21662"/>
      <c r="B21662"/>
      <c r="C21662"/>
      <c r="E21662"/>
      <c r="F21662"/>
    </row>
    <row r="21663" spans="1:6" x14ac:dyDescent="0.25">
      <c r="A21663"/>
      <c r="B21663"/>
      <c r="C21663"/>
      <c r="E21663"/>
      <c r="F21663"/>
    </row>
    <row r="21664" spans="1:6" x14ac:dyDescent="0.25">
      <c r="A21664"/>
      <c r="B21664"/>
      <c r="C21664"/>
      <c r="E21664"/>
      <c r="F21664"/>
    </row>
    <row r="21665" spans="1:6" x14ac:dyDescent="0.25">
      <c r="A21665"/>
      <c r="B21665"/>
      <c r="C21665"/>
      <c r="E21665"/>
      <c r="F21665"/>
    </row>
    <row r="21666" spans="1:6" x14ac:dyDescent="0.25">
      <c r="A21666"/>
      <c r="B21666"/>
      <c r="C21666"/>
      <c r="E21666"/>
      <c r="F21666"/>
    </row>
    <row r="21667" spans="1:6" x14ac:dyDescent="0.25">
      <c r="A21667"/>
      <c r="B21667"/>
      <c r="C21667"/>
      <c r="E21667"/>
      <c r="F21667"/>
    </row>
    <row r="21668" spans="1:6" x14ac:dyDescent="0.25">
      <c r="A21668"/>
      <c r="B21668"/>
      <c r="C21668"/>
      <c r="E21668"/>
      <c r="F21668"/>
    </row>
    <row r="21669" spans="1:6" x14ac:dyDescent="0.25">
      <c r="A21669"/>
      <c r="B21669"/>
      <c r="C21669"/>
      <c r="E21669"/>
      <c r="F21669"/>
    </row>
    <row r="21670" spans="1:6" x14ac:dyDescent="0.25">
      <c r="A21670"/>
      <c r="B21670"/>
      <c r="C21670"/>
      <c r="E21670"/>
      <c r="F21670"/>
    </row>
    <row r="21671" spans="1:6" x14ac:dyDescent="0.25">
      <c r="A21671"/>
      <c r="B21671"/>
      <c r="C21671"/>
      <c r="E21671"/>
      <c r="F21671"/>
    </row>
    <row r="21672" spans="1:6" x14ac:dyDescent="0.25">
      <c r="A21672"/>
      <c r="B21672"/>
      <c r="C21672"/>
      <c r="E21672"/>
      <c r="F21672"/>
    </row>
    <row r="21673" spans="1:6" x14ac:dyDescent="0.25">
      <c r="A21673"/>
      <c r="B21673"/>
      <c r="C21673"/>
      <c r="E21673"/>
      <c r="F21673"/>
    </row>
    <row r="21674" spans="1:6" x14ac:dyDescent="0.25">
      <c r="A21674"/>
      <c r="B21674"/>
      <c r="C21674"/>
      <c r="E21674"/>
      <c r="F21674"/>
    </row>
    <row r="21675" spans="1:6" x14ac:dyDescent="0.25">
      <c r="A21675"/>
      <c r="B21675"/>
      <c r="C21675"/>
      <c r="E21675"/>
      <c r="F21675"/>
    </row>
    <row r="21676" spans="1:6" x14ac:dyDescent="0.25">
      <c r="A21676"/>
      <c r="B21676"/>
      <c r="C21676"/>
      <c r="E21676"/>
      <c r="F21676"/>
    </row>
    <row r="21677" spans="1:6" x14ac:dyDescent="0.25">
      <c r="A21677"/>
      <c r="B21677"/>
      <c r="C21677"/>
      <c r="E21677"/>
      <c r="F21677"/>
    </row>
    <row r="21678" spans="1:6" x14ac:dyDescent="0.25">
      <c r="A21678"/>
      <c r="B21678"/>
      <c r="C21678"/>
      <c r="E21678"/>
      <c r="F21678"/>
    </row>
    <row r="21679" spans="1:6" x14ac:dyDescent="0.25">
      <c r="A21679"/>
      <c r="B21679"/>
      <c r="C21679"/>
      <c r="E21679"/>
      <c r="F21679"/>
    </row>
    <row r="21680" spans="1:6" x14ac:dyDescent="0.25">
      <c r="A21680"/>
      <c r="B21680"/>
      <c r="C21680"/>
      <c r="E21680"/>
      <c r="F21680"/>
    </row>
    <row r="21681" spans="1:6" x14ac:dyDescent="0.25">
      <c r="A21681"/>
      <c r="B21681"/>
      <c r="C21681"/>
      <c r="E21681"/>
      <c r="F21681"/>
    </row>
    <row r="21682" spans="1:6" x14ac:dyDescent="0.25">
      <c r="A21682"/>
      <c r="B21682"/>
      <c r="C21682"/>
      <c r="E21682"/>
      <c r="F21682"/>
    </row>
    <row r="21683" spans="1:6" x14ac:dyDescent="0.25">
      <c r="A21683"/>
      <c r="B21683"/>
      <c r="C21683"/>
      <c r="E21683"/>
      <c r="F21683"/>
    </row>
    <row r="21684" spans="1:6" x14ac:dyDescent="0.25">
      <c r="A21684"/>
      <c r="B21684"/>
      <c r="C21684"/>
      <c r="E21684"/>
      <c r="F21684"/>
    </row>
    <row r="21685" spans="1:6" x14ac:dyDescent="0.25">
      <c r="A21685"/>
      <c r="B21685"/>
      <c r="C21685"/>
      <c r="E21685"/>
      <c r="F21685"/>
    </row>
    <row r="21686" spans="1:6" x14ac:dyDescent="0.25">
      <c r="A21686"/>
      <c r="B21686"/>
      <c r="C21686"/>
      <c r="E21686"/>
      <c r="F21686"/>
    </row>
    <row r="21687" spans="1:6" x14ac:dyDescent="0.25">
      <c r="A21687"/>
      <c r="B21687"/>
      <c r="C21687"/>
      <c r="E21687"/>
      <c r="F21687"/>
    </row>
    <row r="21688" spans="1:6" x14ac:dyDescent="0.25">
      <c r="A21688"/>
      <c r="B21688"/>
      <c r="C21688"/>
      <c r="E21688"/>
      <c r="F21688"/>
    </row>
    <row r="21689" spans="1:6" x14ac:dyDescent="0.25">
      <c r="A21689"/>
      <c r="B21689"/>
      <c r="C21689"/>
      <c r="E21689"/>
      <c r="F21689"/>
    </row>
    <row r="21690" spans="1:6" x14ac:dyDescent="0.25">
      <c r="A21690"/>
      <c r="B21690"/>
      <c r="C21690"/>
      <c r="E21690"/>
      <c r="F21690"/>
    </row>
    <row r="21691" spans="1:6" x14ac:dyDescent="0.25">
      <c r="A21691"/>
      <c r="B21691"/>
      <c r="C21691"/>
      <c r="E21691"/>
      <c r="F21691"/>
    </row>
    <row r="21692" spans="1:6" x14ac:dyDescent="0.25">
      <c r="A21692"/>
      <c r="B21692"/>
      <c r="C21692"/>
      <c r="E21692"/>
      <c r="F21692"/>
    </row>
    <row r="21693" spans="1:6" x14ac:dyDescent="0.25">
      <c r="A21693"/>
      <c r="B21693"/>
      <c r="C21693"/>
      <c r="E21693"/>
      <c r="F21693"/>
    </row>
    <row r="21694" spans="1:6" x14ac:dyDescent="0.25">
      <c r="A21694"/>
      <c r="B21694"/>
      <c r="C21694"/>
      <c r="E21694"/>
      <c r="F21694"/>
    </row>
    <row r="21695" spans="1:6" x14ac:dyDescent="0.25">
      <c r="A21695"/>
      <c r="B21695"/>
      <c r="C21695"/>
      <c r="E21695"/>
      <c r="F21695"/>
    </row>
    <row r="21696" spans="1:6" x14ac:dyDescent="0.25">
      <c r="A21696"/>
      <c r="B21696"/>
      <c r="C21696"/>
      <c r="E21696"/>
      <c r="F21696"/>
    </row>
    <row r="21697" spans="1:6" x14ac:dyDescent="0.25">
      <c r="A21697"/>
      <c r="B21697"/>
      <c r="C21697"/>
      <c r="E21697"/>
      <c r="F21697"/>
    </row>
    <row r="21698" spans="1:6" x14ac:dyDescent="0.25">
      <c r="A21698"/>
      <c r="B21698"/>
      <c r="C21698"/>
      <c r="E21698"/>
      <c r="F21698"/>
    </row>
    <row r="21699" spans="1:6" x14ac:dyDescent="0.25">
      <c r="A21699"/>
      <c r="B21699"/>
      <c r="C21699"/>
      <c r="E21699"/>
      <c r="F21699"/>
    </row>
    <row r="21700" spans="1:6" x14ac:dyDescent="0.25">
      <c r="A21700"/>
      <c r="B21700"/>
      <c r="C21700"/>
      <c r="E21700"/>
      <c r="F21700"/>
    </row>
    <row r="21701" spans="1:6" x14ac:dyDescent="0.25">
      <c r="A21701"/>
      <c r="B21701"/>
      <c r="C21701"/>
      <c r="E21701"/>
      <c r="F21701"/>
    </row>
    <row r="21702" spans="1:6" x14ac:dyDescent="0.25">
      <c r="A21702"/>
      <c r="B21702"/>
      <c r="C21702"/>
      <c r="E21702"/>
      <c r="F21702"/>
    </row>
    <row r="21703" spans="1:6" x14ac:dyDescent="0.25">
      <c r="A21703"/>
      <c r="B21703"/>
      <c r="C21703"/>
      <c r="E21703"/>
      <c r="F21703"/>
    </row>
    <row r="21704" spans="1:6" x14ac:dyDescent="0.25">
      <c r="A21704"/>
      <c r="B21704"/>
      <c r="C21704"/>
      <c r="E21704"/>
      <c r="F21704"/>
    </row>
    <row r="21705" spans="1:6" x14ac:dyDescent="0.25">
      <c r="A21705"/>
      <c r="B21705"/>
      <c r="C21705"/>
      <c r="E21705"/>
      <c r="F21705"/>
    </row>
    <row r="21706" spans="1:6" x14ac:dyDescent="0.25">
      <c r="A21706"/>
      <c r="B21706"/>
      <c r="C21706"/>
      <c r="E21706"/>
      <c r="F21706"/>
    </row>
    <row r="21707" spans="1:6" x14ac:dyDescent="0.25">
      <c r="A21707"/>
      <c r="B21707"/>
      <c r="C21707"/>
      <c r="E21707"/>
      <c r="F21707"/>
    </row>
    <row r="21708" spans="1:6" x14ac:dyDescent="0.25">
      <c r="A21708"/>
      <c r="B21708"/>
      <c r="C21708"/>
      <c r="E21708"/>
      <c r="F21708"/>
    </row>
    <row r="21709" spans="1:6" x14ac:dyDescent="0.25">
      <c r="A21709"/>
      <c r="B21709"/>
      <c r="C21709"/>
      <c r="E21709"/>
      <c r="F21709"/>
    </row>
    <row r="21710" spans="1:6" x14ac:dyDescent="0.25">
      <c r="A21710"/>
      <c r="B21710"/>
      <c r="C21710"/>
      <c r="E21710"/>
      <c r="F21710"/>
    </row>
    <row r="21711" spans="1:6" x14ac:dyDescent="0.25">
      <c r="A21711"/>
      <c r="B21711"/>
      <c r="C21711"/>
      <c r="E21711"/>
      <c r="F21711"/>
    </row>
    <row r="21712" spans="1:6" x14ac:dyDescent="0.25">
      <c r="A21712"/>
      <c r="B21712"/>
      <c r="C21712"/>
      <c r="E21712"/>
      <c r="F21712"/>
    </row>
    <row r="21713" spans="1:6" x14ac:dyDescent="0.25">
      <c r="A21713"/>
      <c r="B21713"/>
      <c r="C21713"/>
      <c r="E21713"/>
      <c r="F21713"/>
    </row>
    <row r="21714" spans="1:6" x14ac:dyDescent="0.25">
      <c r="A21714"/>
      <c r="B21714"/>
      <c r="C21714"/>
      <c r="E21714"/>
      <c r="F21714"/>
    </row>
    <row r="21715" spans="1:6" x14ac:dyDescent="0.25">
      <c r="A21715"/>
      <c r="B21715"/>
      <c r="C21715"/>
      <c r="E21715"/>
      <c r="F21715"/>
    </row>
    <row r="21716" spans="1:6" x14ac:dyDescent="0.25">
      <c r="A21716"/>
      <c r="B21716"/>
      <c r="C21716"/>
      <c r="E21716"/>
      <c r="F21716"/>
    </row>
    <row r="21717" spans="1:6" x14ac:dyDescent="0.25">
      <c r="A21717"/>
      <c r="B21717"/>
      <c r="C21717"/>
      <c r="E21717"/>
      <c r="F21717"/>
    </row>
    <row r="21718" spans="1:6" x14ac:dyDescent="0.25">
      <c r="A21718"/>
      <c r="B21718"/>
      <c r="C21718"/>
      <c r="E21718"/>
      <c r="F21718"/>
    </row>
    <row r="21719" spans="1:6" x14ac:dyDescent="0.25">
      <c r="A21719"/>
      <c r="B21719"/>
      <c r="C21719"/>
      <c r="E21719"/>
      <c r="F21719"/>
    </row>
    <row r="21720" spans="1:6" x14ac:dyDescent="0.25">
      <c r="A21720"/>
      <c r="B21720"/>
      <c r="C21720"/>
      <c r="E21720"/>
      <c r="F21720"/>
    </row>
    <row r="21721" spans="1:6" x14ac:dyDescent="0.25">
      <c r="A21721"/>
      <c r="B21721"/>
      <c r="C21721"/>
      <c r="E21721"/>
      <c r="F21721"/>
    </row>
    <row r="21722" spans="1:6" x14ac:dyDescent="0.25">
      <c r="A21722"/>
      <c r="B21722"/>
      <c r="C21722"/>
      <c r="E21722"/>
      <c r="F21722"/>
    </row>
    <row r="21723" spans="1:6" x14ac:dyDescent="0.25">
      <c r="A21723"/>
      <c r="B21723"/>
      <c r="C21723"/>
      <c r="E21723"/>
      <c r="F21723"/>
    </row>
    <row r="21724" spans="1:6" x14ac:dyDescent="0.25">
      <c r="A21724"/>
      <c r="B21724"/>
      <c r="C21724"/>
      <c r="E21724"/>
      <c r="F21724"/>
    </row>
    <row r="21725" spans="1:6" x14ac:dyDescent="0.25">
      <c r="A21725"/>
      <c r="B21725"/>
      <c r="C21725"/>
      <c r="E21725"/>
      <c r="F21725"/>
    </row>
    <row r="21726" spans="1:6" x14ac:dyDescent="0.25">
      <c r="A21726"/>
      <c r="B21726"/>
      <c r="C21726"/>
      <c r="E21726"/>
      <c r="F21726"/>
    </row>
    <row r="21727" spans="1:6" x14ac:dyDescent="0.25">
      <c r="A21727"/>
      <c r="B21727"/>
      <c r="C21727"/>
      <c r="E21727"/>
      <c r="F21727"/>
    </row>
    <row r="21728" spans="1:6" x14ac:dyDescent="0.25">
      <c r="A21728"/>
      <c r="B21728"/>
      <c r="C21728"/>
      <c r="E21728"/>
      <c r="F21728"/>
    </row>
    <row r="21729" spans="1:6" x14ac:dyDescent="0.25">
      <c r="A21729"/>
      <c r="B21729"/>
      <c r="C21729"/>
      <c r="E21729"/>
      <c r="F21729"/>
    </row>
    <row r="21730" spans="1:6" x14ac:dyDescent="0.25">
      <c r="A21730"/>
      <c r="B21730"/>
      <c r="C21730"/>
      <c r="E21730"/>
      <c r="F21730"/>
    </row>
    <row r="21731" spans="1:6" x14ac:dyDescent="0.25">
      <c r="A21731"/>
      <c r="B21731"/>
      <c r="C21731"/>
      <c r="E21731"/>
      <c r="F21731"/>
    </row>
    <row r="21732" spans="1:6" x14ac:dyDescent="0.25">
      <c r="A21732"/>
      <c r="B21732"/>
      <c r="C21732"/>
      <c r="E21732"/>
      <c r="F21732"/>
    </row>
    <row r="21733" spans="1:6" x14ac:dyDescent="0.25">
      <c r="A21733"/>
      <c r="B21733"/>
      <c r="C21733"/>
      <c r="E21733"/>
      <c r="F21733"/>
    </row>
    <row r="21734" spans="1:6" x14ac:dyDescent="0.25">
      <c r="A21734"/>
      <c r="B21734"/>
      <c r="C21734"/>
      <c r="E21734"/>
      <c r="F21734"/>
    </row>
    <row r="21735" spans="1:6" x14ac:dyDescent="0.25">
      <c r="A21735"/>
      <c r="B21735"/>
      <c r="C21735"/>
      <c r="E21735"/>
      <c r="F21735"/>
    </row>
    <row r="21736" spans="1:6" x14ac:dyDescent="0.25">
      <c r="A21736"/>
      <c r="B21736"/>
      <c r="C21736"/>
      <c r="E21736"/>
      <c r="F21736"/>
    </row>
    <row r="21737" spans="1:6" x14ac:dyDescent="0.25">
      <c r="A21737"/>
      <c r="B21737"/>
      <c r="C21737"/>
      <c r="E21737"/>
      <c r="F21737"/>
    </row>
    <row r="21738" spans="1:6" x14ac:dyDescent="0.25">
      <c r="A21738"/>
      <c r="B21738"/>
      <c r="C21738"/>
      <c r="E21738"/>
      <c r="F21738"/>
    </row>
    <row r="21739" spans="1:6" x14ac:dyDescent="0.25">
      <c r="A21739"/>
      <c r="B21739"/>
      <c r="C21739"/>
      <c r="E21739"/>
      <c r="F21739"/>
    </row>
    <row r="21740" spans="1:6" x14ac:dyDescent="0.25">
      <c r="A21740"/>
      <c r="B21740"/>
      <c r="C21740"/>
      <c r="E21740"/>
      <c r="F21740"/>
    </row>
    <row r="21741" spans="1:6" x14ac:dyDescent="0.25">
      <c r="A21741"/>
      <c r="B21741"/>
      <c r="C21741"/>
      <c r="E21741"/>
      <c r="F21741"/>
    </row>
    <row r="21742" spans="1:6" x14ac:dyDescent="0.25">
      <c r="A21742"/>
      <c r="B21742"/>
      <c r="C21742"/>
      <c r="E21742"/>
      <c r="F21742"/>
    </row>
    <row r="21743" spans="1:6" x14ac:dyDescent="0.25">
      <c r="A21743"/>
      <c r="B21743"/>
      <c r="C21743"/>
      <c r="E21743"/>
      <c r="F21743"/>
    </row>
    <row r="21744" spans="1:6" x14ac:dyDescent="0.25">
      <c r="A21744"/>
      <c r="B21744"/>
      <c r="C21744"/>
      <c r="E21744"/>
      <c r="F21744"/>
    </row>
    <row r="21745" spans="1:6" x14ac:dyDescent="0.25">
      <c r="A21745"/>
      <c r="B21745"/>
      <c r="C21745"/>
      <c r="E21745"/>
      <c r="F21745"/>
    </row>
    <row r="21746" spans="1:6" x14ac:dyDescent="0.25">
      <c r="A21746"/>
      <c r="B21746"/>
      <c r="C21746"/>
      <c r="E21746"/>
      <c r="F21746"/>
    </row>
    <row r="21747" spans="1:6" x14ac:dyDescent="0.25">
      <c r="A21747"/>
      <c r="B21747"/>
      <c r="C21747"/>
      <c r="E21747"/>
      <c r="F21747"/>
    </row>
    <row r="21748" spans="1:6" x14ac:dyDescent="0.25">
      <c r="A21748"/>
      <c r="B21748"/>
      <c r="C21748"/>
      <c r="E21748"/>
      <c r="F21748"/>
    </row>
    <row r="21749" spans="1:6" x14ac:dyDescent="0.25">
      <c r="A21749"/>
      <c r="B21749"/>
      <c r="C21749"/>
      <c r="E21749"/>
      <c r="F21749"/>
    </row>
    <row r="21750" spans="1:6" x14ac:dyDescent="0.25">
      <c r="A21750"/>
      <c r="B21750"/>
      <c r="C21750"/>
      <c r="E21750"/>
      <c r="F21750"/>
    </row>
    <row r="21751" spans="1:6" x14ac:dyDescent="0.25">
      <c r="A21751"/>
      <c r="B21751"/>
      <c r="C21751"/>
      <c r="E21751"/>
      <c r="F21751"/>
    </row>
    <row r="21752" spans="1:6" x14ac:dyDescent="0.25">
      <c r="A21752"/>
      <c r="B21752"/>
      <c r="C21752"/>
      <c r="E21752"/>
      <c r="F21752"/>
    </row>
    <row r="21753" spans="1:6" x14ac:dyDescent="0.25">
      <c r="A21753"/>
      <c r="B21753"/>
      <c r="C21753"/>
      <c r="E21753"/>
      <c r="F21753"/>
    </row>
    <row r="21754" spans="1:6" x14ac:dyDescent="0.25">
      <c r="A21754"/>
      <c r="B21754"/>
      <c r="C21754"/>
      <c r="E21754"/>
      <c r="F21754"/>
    </row>
    <row r="21755" spans="1:6" x14ac:dyDescent="0.25">
      <c r="A21755"/>
      <c r="B21755"/>
      <c r="C21755"/>
      <c r="E21755"/>
      <c r="F21755"/>
    </row>
    <row r="21756" spans="1:6" x14ac:dyDescent="0.25">
      <c r="A21756"/>
      <c r="B21756"/>
      <c r="C21756"/>
      <c r="E21756"/>
      <c r="F21756"/>
    </row>
    <row r="21757" spans="1:6" x14ac:dyDescent="0.25">
      <c r="A21757"/>
      <c r="B21757"/>
      <c r="C21757"/>
      <c r="E21757"/>
      <c r="F21757"/>
    </row>
    <row r="21758" spans="1:6" x14ac:dyDescent="0.25">
      <c r="A21758"/>
      <c r="B21758"/>
      <c r="C21758"/>
      <c r="E21758"/>
      <c r="F21758"/>
    </row>
    <row r="21759" spans="1:6" x14ac:dyDescent="0.25">
      <c r="A21759"/>
      <c r="B21759"/>
      <c r="C21759"/>
      <c r="E21759"/>
      <c r="F21759"/>
    </row>
    <row r="21760" spans="1:6" x14ac:dyDescent="0.25">
      <c r="A21760"/>
      <c r="B21760"/>
      <c r="C21760"/>
      <c r="E21760"/>
      <c r="F21760"/>
    </row>
    <row r="21761" spans="1:6" x14ac:dyDescent="0.25">
      <c r="A21761"/>
      <c r="B21761"/>
      <c r="C21761"/>
      <c r="E21761"/>
      <c r="F21761"/>
    </row>
    <row r="21762" spans="1:6" x14ac:dyDescent="0.25">
      <c r="A21762"/>
      <c r="B21762"/>
      <c r="C21762"/>
      <c r="E21762"/>
      <c r="F21762"/>
    </row>
    <row r="21763" spans="1:6" x14ac:dyDescent="0.25">
      <c r="A21763"/>
      <c r="B21763"/>
      <c r="C21763"/>
      <c r="E21763"/>
      <c r="F21763"/>
    </row>
    <row r="21764" spans="1:6" x14ac:dyDescent="0.25">
      <c r="A21764"/>
      <c r="B21764"/>
      <c r="C21764"/>
      <c r="E21764"/>
      <c r="F21764"/>
    </row>
    <row r="21765" spans="1:6" x14ac:dyDescent="0.25">
      <c r="A21765"/>
      <c r="B21765"/>
      <c r="C21765"/>
      <c r="E21765"/>
      <c r="F21765"/>
    </row>
    <row r="21766" spans="1:6" x14ac:dyDescent="0.25">
      <c r="A21766"/>
      <c r="B21766"/>
      <c r="C21766"/>
      <c r="E21766"/>
      <c r="F21766"/>
    </row>
    <row r="21767" spans="1:6" x14ac:dyDescent="0.25">
      <c r="A21767"/>
      <c r="B21767"/>
      <c r="C21767"/>
      <c r="E21767"/>
      <c r="F21767"/>
    </row>
    <row r="21768" spans="1:6" x14ac:dyDescent="0.25">
      <c r="A21768"/>
      <c r="B21768"/>
      <c r="C21768"/>
      <c r="E21768"/>
      <c r="F21768"/>
    </row>
    <row r="21769" spans="1:6" x14ac:dyDescent="0.25">
      <c r="A21769"/>
      <c r="B21769"/>
      <c r="C21769"/>
      <c r="E21769"/>
      <c r="F21769"/>
    </row>
    <row r="21770" spans="1:6" x14ac:dyDescent="0.25">
      <c r="A21770"/>
      <c r="B21770"/>
      <c r="C21770"/>
      <c r="E21770"/>
      <c r="F21770"/>
    </row>
    <row r="21771" spans="1:6" x14ac:dyDescent="0.25">
      <c r="A21771"/>
      <c r="B21771"/>
      <c r="C21771"/>
      <c r="E21771"/>
      <c r="F21771"/>
    </row>
    <row r="21772" spans="1:6" x14ac:dyDescent="0.25">
      <c r="A21772"/>
      <c r="B21772"/>
      <c r="C21772"/>
      <c r="E21772"/>
      <c r="F21772"/>
    </row>
    <row r="21773" spans="1:6" x14ac:dyDescent="0.25">
      <c r="A21773"/>
      <c r="B21773"/>
      <c r="C21773"/>
      <c r="E21773"/>
      <c r="F21773"/>
    </row>
    <row r="21774" spans="1:6" x14ac:dyDescent="0.25">
      <c r="A21774"/>
      <c r="B21774"/>
      <c r="C21774"/>
      <c r="E21774"/>
      <c r="F21774"/>
    </row>
    <row r="21775" spans="1:6" x14ac:dyDescent="0.25">
      <c r="A21775"/>
      <c r="B21775"/>
      <c r="C21775"/>
      <c r="E21775"/>
      <c r="F21775"/>
    </row>
    <row r="21776" spans="1:6" x14ac:dyDescent="0.25">
      <c r="A21776"/>
      <c r="B21776"/>
      <c r="C21776"/>
      <c r="E21776"/>
      <c r="F21776"/>
    </row>
    <row r="21777" spans="1:6" x14ac:dyDescent="0.25">
      <c r="A21777"/>
      <c r="B21777"/>
      <c r="C21777"/>
      <c r="E21777"/>
      <c r="F21777"/>
    </row>
    <row r="21778" spans="1:6" x14ac:dyDescent="0.25">
      <c r="A21778"/>
      <c r="B21778"/>
      <c r="C21778"/>
      <c r="E21778"/>
      <c r="F21778"/>
    </row>
    <row r="21779" spans="1:6" x14ac:dyDescent="0.25">
      <c r="A21779"/>
      <c r="B21779"/>
      <c r="C21779"/>
      <c r="E21779"/>
      <c r="F21779"/>
    </row>
    <row r="21780" spans="1:6" x14ac:dyDescent="0.25">
      <c r="A21780"/>
      <c r="B21780"/>
      <c r="C21780"/>
      <c r="E21780"/>
      <c r="F21780"/>
    </row>
    <row r="21781" spans="1:6" x14ac:dyDescent="0.25">
      <c r="A21781"/>
      <c r="B21781"/>
      <c r="C21781"/>
      <c r="E21781"/>
      <c r="F21781"/>
    </row>
    <row r="21782" spans="1:6" x14ac:dyDescent="0.25">
      <c r="A21782"/>
      <c r="B21782"/>
      <c r="C21782"/>
      <c r="E21782"/>
      <c r="F21782"/>
    </row>
    <row r="21783" spans="1:6" x14ac:dyDescent="0.25">
      <c r="A21783"/>
      <c r="B21783"/>
      <c r="C21783"/>
      <c r="E21783"/>
      <c r="F21783"/>
    </row>
    <row r="21784" spans="1:6" x14ac:dyDescent="0.25">
      <c r="A21784"/>
      <c r="B21784"/>
      <c r="C21784"/>
      <c r="E21784"/>
      <c r="F21784"/>
    </row>
    <row r="21785" spans="1:6" x14ac:dyDescent="0.25">
      <c r="A21785"/>
      <c r="B21785"/>
      <c r="C21785"/>
      <c r="E21785"/>
      <c r="F21785"/>
    </row>
    <row r="21786" spans="1:6" x14ac:dyDescent="0.25">
      <c r="A21786"/>
      <c r="B21786"/>
      <c r="C21786"/>
      <c r="E21786"/>
      <c r="F21786"/>
    </row>
    <row r="21787" spans="1:6" x14ac:dyDescent="0.25">
      <c r="A21787"/>
      <c r="B21787"/>
      <c r="C21787"/>
      <c r="E21787"/>
      <c r="F21787"/>
    </row>
    <row r="21788" spans="1:6" x14ac:dyDescent="0.25">
      <c r="A21788"/>
      <c r="B21788"/>
      <c r="C21788"/>
      <c r="E21788"/>
      <c r="F21788"/>
    </row>
    <row r="21789" spans="1:6" x14ac:dyDescent="0.25">
      <c r="A21789"/>
      <c r="B21789"/>
      <c r="C21789"/>
      <c r="E21789"/>
      <c r="F21789"/>
    </row>
    <row r="21790" spans="1:6" x14ac:dyDescent="0.25">
      <c r="A21790"/>
      <c r="B21790"/>
      <c r="C21790"/>
      <c r="E21790"/>
      <c r="F21790"/>
    </row>
    <row r="21791" spans="1:6" x14ac:dyDescent="0.25">
      <c r="A21791"/>
      <c r="B21791"/>
      <c r="C21791"/>
      <c r="E21791"/>
      <c r="F21791"/>
    </row>
    <row r="21792" spans="1:6" x14ac:dyDescent="0.25">
      <c r="A21792"/>
      <c r="B21792"/>
      <c r="C21792"/>
      <c r="E21792"/>
      <c r="F21792"/>
    </row>
    <row r="21793" spans="1:6" x14ac:dyDescent="0.25">
      <c r="A21793"/>
      <c r="B21793"/>
      <c r="C21793"/>
      <c r="E21793"/>
      <c r="F21793"/>
    </row>
    <row r="21794" spans="1:6" x14ac:dyDescent="0.25">
      <c r="A21794"/>
      <c r="B21794"/>
      <c r="C21794"/>
      <c r="E21794"/>
      <c r="F21794"/>
    </row>
    <row r="21795" spans="1:6" x14ac:dyDescent="0.25">
      <c r="A21795"/>
      <c r="B21795"/>
      <c r="C21795"/>
      <c r="E21795"/>
      <c r="F21795"/>
    </row>
    <row r="21796" spans="1:6" x14ac:dyDescent="0.25">
      <c r="A21796"/>
      <c r="B21796"/>
      <c r="C21796"/>
      <c r="E21796"/>
      <c r="F21796"/>
    </row>
    <row r="21797" spans="1:6" x14ac:dyDescent="0.25">
      <c r="A21797"/>
      <c r="B21797"/>
      <c r="C21797"/>
      <c r="E21797"/>
      <c r="F21797"/>
    </row>
    <row r="21798" spans="1:6" x14ac:dyDescent="0.25">
      <c r="A21798"/>
      <c r="B21798"/>
      <c r="C21798"/>
      <c r="E21798"/>
      <c r="F21798"/>
    </row>
    <row r="21799" spans="1:6" x14ac:dyDescent="0.25">
      <c r="A21799"/>
      <c r="B21799"/>
      <c r="C21799"/>
      <c r="E21799"/>
      <c r="F21799"/>
    </row>
    <row r="21800" spans="1:6" x14ac:dyDescent="0.25">
      <c r="A21800"/>
      <c r="B21800"/>
      <c r="C21800"/>
      <c r="E21800"/>
      <c r="F21800"/>
    </row>
    <row r="21801" spans="1:6" x14ac:dyDescent="0.25">
      <c r="A21801"/>
      <c r="B21801"/>
      <c r="C21801"/>
      <c r="E21801"/>
      <c r="F21801"/>
    </row>
    <row r="21802" spans="1:6" x14ac:dyDescent="0.25">
      <c r="A21802"/>
      <c r="B21802"/>
      <c r="C21802"/>
      <c r="E21802"/>
      <c r="F21802"/>
    </row>
    <row r="21803" spans="1:6" x14ac:dyDescent="0.25">
      <c r="A21803"/>
      <c r="B21803"/>
      <c r="C21803"/>
      <c r="E21803"/>
      <c r="F21803"/>
    </row>
    <row r="21804" spans="1:6" x14ac:dyDescent="0.25">
      <c r="A21804"/>
      <c r="B21804"/>
      <c r="C21804"/>
      <c r="E21804"/>
      <c r="F21804"/>
    </row>
    <row r="21805" spans="1:6" x14ac:dyDescent="0.25">
      <c r="A21805"/>
      <c r="B21805"/>
      <c r="C21805"/>
      <c r="E21805"/>
      <c r="F21805"/>
    </row>
    <row r="21806" spans="1:6" x14ac:dyDescent="0.25">
      <c r="A21806"/>
      <c r="B21806"/>
      <c r="C21806"/>
      <c r="E21806"/>
      <c r="F21806"/>
    </row>
    <row r="21807" spans="1:6" x14ac:dyDescent="0.25">
      <c r="A21807"/>
      <c r="B21807"/>
      <c r="C21807"/>
      <c r="E21807"/>
      <c r="F21807"/>
    </row>
    <row r="21808" spans="1:6" x14ac:dyDescent="0.25">
      <c r="A21808"/>
      <c r="B21808"/>
      <c r="C21808"/>
      <c r="E21808"/>
      <c r="F21808"/>
    </row>
    <row r="21809" spans="1:6" x14ac:dyDescent="0.25">
      <c r="A21809"/>
      <c r="B21809"/>
      <c r="C21809"/>
      <c r="E21809"/>
      <c r="F21809"/>
    </row>
    <row r="21810" spans="1:6" x14ac:dyDescent="0.25">
      <c r="A21810"/>
      <c r="B21810"/>
      <c r="C21810"/>
      <c r="E21810"/>
      <c r="F21810"/>
    </row>
    <row r="21811" spans="1:6" x14ac:dyDescent="0.25">
      <c r="A21811"/>
      <c r="B21811"/>
      <c r="C21811"/>
      <c r="E21811"/>
      <c r="F21811"/>
    </row>
    <row r="21812" spans="1:6" x14ac:dyDescent="0.25">
      <c r="A21812"/>
      <c r="B21812"/>
      <c r="C21812"/>
      <c r="E21812"/>
      <c r="F21812"/>
    </row>
    <row r="21813" spans="1:6" x14ac:dyDescent="0.25">
      <c r="A21813"/>
      <c r="B21813"/>
      <c r="C21813"/>
      <c r="E21813"/>
      <c r="F21813"/>
    </row>
    <row r="21814" spans="1:6" x14ac:dyDescent="0.25">
      <c r="A21814"/>
      <c r="B21814"/>
      <c r="C21814"/>
      <c r="E21814"/>
      <c r="F21814"/>
    </row>
    <row r="21815" spans="1:6" x14ac:dyDescent="0.25">
      <c r="A21815"/>
      <c r="B21815"/>
      <c r="C21815"/>
      <c r="E21815"/>
      <c r="F21815"/>
    </row>
    <row r="21816" spans="1:6" x14ac:dyDescent="0.25">
      <c r="A21816"/>
      <c r="B21816"/>
      <c r="C21816"/>
      <c r="E21816"/>
      <c r="F21816"/>
    </row>
    <row r="21817" spans="1:6" x14ac:dyDescent="0.25">
      <c r="A21817"/>
      <c r="B21817"/>
      <c r="C21817"/>
      <c r="E21817"/>
      <c r="F21817"/>
    </row>
    <row r="21818" spans="1:6" x14ac:dyDescent="0.25">
      <c r="A21818"/>
      <c r="B21818"/>
      <c r="C21818"/>
      <c r="E21818"/>
      <c r="F21818"/>
    </row>
    <row r="21819" spans="1:6" x14ac:dyDescent="0.25">
      <c r="A21819"/>
      <c r="B21819"/>
      <c r="C21819"/>
      <c r="E21819"/>
      <c r="F21819"/>
    </row>
    <row r="21820" spans="1:6" x14ac:dyDescent="0.25">
      <c r="A21820"/>
      <c r="B21820"/>
      <c r="C21820"/>
      <c r="E21820"/>
      <c r="F21820"/>
    </row>
    <row r="21821" spans="1:6" x14ac:dyDescent="0.25">
      <c r="A21821"/>
      <c r="B21821"/>
      <c r="C21821"/>
      <c r="E21821"/>
      <c r="F21821"/>
    </row>
    <row r="21822" spans="1:6" x14ac:dyDescent="0.25">
      <c r="A21822"/>
      <c r="B21822"/>
      <c r="C21822"/>
      <c r="E21822"/>
      <c r="F21822"/>
    </row>
    <row r="21823" spans="1:6" x14ac:dyDescent="0.25">
      <c r="A21823"/>
      <c r="B21823"/>
      <c r="C21823"/>
      <c r="E21823"/>
      <c r="F21823"/>
    </row>
    <row r="21824" spans="1:6" x14ac:dyDescent="0.25">
      <c r="A21824"/>
      <c r="B21824"/>
      <c r="C21824"/>
      <c r="E21824"/>
      <c r="F21824"/>
    </row>
    <row r="21825" spans="1:6" x14ac:dyDescent="0.25">
      <c r="A21825"/>
      <c r="B21825"/>
      <c r="C21825"/>
      <c r="E21825"/>
      <c r="F21825"/>
    </row>
    <row r="21826" spans="1:6" x14ac:dyDescent="0.25">
      <c r="A21826"/>
      <c r="B21826"/>
      <c r="C21826"/>
      <c r="E21826"/>
      <c r="F21826"/>
    </row>
    <row r="21827" spans="1:6" x14ac:dyDescent="0.25">
      <c r="A21827"/>
      <c r="B21827"/>
      <c r="C21827"/>
      <c r="E21827"/>
      <c r="F21827"/>
    </row>
    <row r="21828" spans="1:6" x14ac:dyDescent="0.25">
      <c r="A21828"/>
      <c r="B21828"/>
      <c r="C21828"/>
      <c r="E21828"/>
      <c r="F21828"/>
    </row>
    <row r="21829" spans="1:6" x14ac:dyDescent="0.25">
      <c r="A21829"/>
      <c r="B21829"/>
      <c r="C21829"/>
      <c r="E21829"/>
      <c r="F21829"/>
    </row>
    <row r="21830" spans="1:6" x14ac:dyDescent="0.25">
      <c r="A21830"/>
      <c r="B21830"/>
      <c r="C21830"/>
      <c r="E21830"/>
      <c r="F21830"/>
    </row>
    <row r="21831" spans="1:6" x14ac:dyDescent="0.25">
      <c r="A21831"/>
      <c r="B21831"/>
      <c r="C21831"/>
      <c r="E21831"/>
      <c r="F21831"/>
    </row>
    <row r="21832" spans="1:6" x14ac:dyDescent="0.25">
      <c r="A21832"/>
      <c r="B21832"/>
      <c r="C21832"/>
      <c r="E21832"/>
      <c r="F21832"/>
    </row>
    <row r="21833" spans="1:6" x14ac:dyDescent="0.25">
      <c r="A21833"/>
      <c r="B21833"/>
      <c r="C21833"/>
      <c r="E21833"/>
      <c r="F21833"/>
    </row>
    <row r="21834" spans="1:6" x14ac:dyDescent="0.25">
      <c r="A21834"/>
      <c r="B21834"/>
      <c r="C21834"/>
      <c r="E21834"/>
      <c r="F21834"/>
    </row>
    <row r="21835" spans="1:6" x14ac:dyDescent="0.25">
      <c r="A21835"/>
      <c r="B21835"/>
      <c r="C21835"/>
      <c r="E21835"/>
      <c r="F21835"/>
    </row>
    <row r="21836" spans="1:6" x14ac:dyDescent="0.25">
      <c r="A21836"/>
      <c r="B21836"/>
      <c r="C21836"/>
      <c r="E21836"/>
      <c r="F21836"/>
    </row>
    <row r="21837" spans="1:6" x14ac:dyDescent="0.25">
      <c r="A21837"/>
      <c r="B21837"/>
      <c r="C21837"/>
      <c r="E21837"/>
      <c r="F21837"/>
    </row>
    <row r="21838" spans="1:6" x14ac:dyDescent="0.25">
      <c r="A21838"/>
      <c r="B21838"/>
      <c r="C21838"/>
      <c r="E21838"/>
      <c r="F21838"/>
    </row>
    <row r="21839" spans="1:6" x14ac:dyDescent="0.25">
      <c r="A21839"/>
      <c r="B21839"/>
      <c r="C21839"/>
      <c r="E21839"/>
      <c r="F21839"/>
    </row>
    <row r="21840" spans="1:6" x14ac:dyDescent="0.25">
      <c r="A21840"/>
      <c r="B21840"/>
      <c r="C21840"/>
      <c r="E21840"/>
      <c r="F21840"/>
    </row>
    <row r="21841" spans="1:6" x14ac:dyDescent="0.25">
      <c r="A21841"/>
      <c r="B21841"/>
      <c r="C21841"/>
      <c r="E21841"/>
      <c r="F21841"/>
    </row>
    <row r="21842" spans="1:6" x14ac:dyDescent="0.25">
      <c r="A21842"/>
      <c r="B21842"/>
      <c r="C21842"/>
      <c r="E21842"/>
      <c r="F21842"/>
    </row>
    <row r="21843" spans="1:6" x14ac:dyDescent="0.25">
      <c r="A21843"/>
      <c r="B21843"/>
      <c r="C21843"/>
      <c r="E21843"/>
      <c r="F21843"/>
    </row>
    <row r="21844" spans="1:6" x14ac:dyDescent="0.25">
      <c r="A21844"/>
      <c r="B21844"/>
      <c r="C21844"/>
      <c r="E21844"/>
      <c r="F21844"/>
    </row>
    <row r="21845" spans="1:6" x14ac:dyDescent="0.25">
      <c r="A21845"/>
      <c r="B21845"/>
      <c r="C21845"/>
      <c r="E21845"/>
      <c r="F21845"/>
    </row>
    <row r="21846" spans="1:6" x14ac:dyDescent="0.25">
      <c r="A21846"/>
      <c r="B21846"/>
      <c r="C21846"/>
      <c r="E21846"/>
      <c r="F21846"/>
    </row>
    <row r="21847" spans="1:6" x14ac:dyDescent="0.25">
      <c r="A21847"/>
      <c r="B21847"/>
      <c r="C21847"/>
      <c r="E21847"/>
      <c r="F21847"/>
    </row>
    <row r="21848" spans="1:6" x14ac:dyDescent="0.25">
      <c r="A21848"/>
      <c r="B21848"/>
      <c r="C21848"/>
      <c r="E21848"/>
      <c r="F21848"/>
    </row>
    <row r="21849" spans="1:6" x14ac:dyDescent="0.25">
      <c r="A21849"/>
      <c r="B21849"/>
      <c r="C21849"/>
      <c r="E21849"/>
      <c r="F21849"/>
    </row>
    <row r="21850" spans="1:6" x14ac:dyDescent="0.25">
      <c r="A21850"/>
      <c r="B21850"/>
      <c r="C21850"/>
      <c r="E21850"/>
      <c r="F21850"/>
    </row>
    <row r="21851" spans="1:6" x14ac:dyDescent="0.25">
      <c r="A21851"/>
      <c r="B21851"/>
      <c r="C21851"/>
      <c r="E21851"/>
      <c r="F21851"/>
    </row>
    <row r="21852" spans="1:6" x14ac:dyDescent="0.25">
      <c r="A21852"/>
      <c r="B21852"/>
      <c r="C21852"/>
      <c r="E21852"/>
      <c r="F21852"/>
    </row>
    <row r="21853" spans="1:6" x14ac:dyDescent="0.25">
      <c r="A21853"/>
      <c r="B21853"/>
      <c r="C21853"/>
      <c r="E21853"/>
      <c r="F21853"/>
    </row>
    <row r="21854" spans="1:6" x14ac:dyDescent="0.25">
      <c r="A21854"/>
      <c r="B21854"/>
      <c r="C21854"/>
      <c r="E21854"/>
      <c r="F21854"/>
    </row>
    <row r="21855" spans="1:6" x14ac:dyDescent="0.25">
      <c r="A21855"/>
      <c r="B21855"/>
      <c r="C21855"/>
      <c r="E21855"/>
      <c r="F21855"/>
    </row>
    <row r="21856" spans="1:6" x14ac:dyDescent="0.25">
      <c r="A21856"/>
      <c r="B21856"/>
      <c r="C21856"/>
      <c r="E21856"/>
      <c r="F21856"/>
    </row>
    <row r="21857" spans="1:6" x14ac:dyDescent="0.25">
      <c r="A21857"/>
      <c r="B21857"/>
      <c r="C21857"/>
      <c r="E21857"/>
      <c r="F21857"/>
    </row>
    <row r="21858" spans="1:6" x14ac:dyDescent="0.25">
      <c r="A21858"/>
      <c r="B21858"/>
      <c r="C21858"/>
      <c r="E21858"/>
      <c r="F21858"/>
    </row>
    <row r="21859" spans="1:6" x14ac:dyDescent="0.25">
      <c r="A21859"/>
      <c r="B21859"/>
      <c r="C21859"/>
      <c r="E21859"/>
      <c r="F21859"/>
    </row>
    <row r="21860" spans="1:6" x14ac:dyDescent="0.25">
      <c r="A21860"/>
      <c r="B21860"/>
      <c r="C21860"/>
      <c r="E21860"/>
      <c r="F21860"/>
    </row>
    <row r="21861" spans="1:6" x14ac:dyDescent="0.25">
      <c r="A21861"/>
      <c r="B21861"/>
      <c r="C21861"/>
      <c r="E21861"/>
      <c r="F21861"/>
    </row>
    <row r="21862" spans="1:6" x14ac:dyDescent="0.25">
      <c r="A21862"/>
      <c r="B21862"/>
      <c r="C21862"/>
      <c r="E21862"/>
      <c r="F21862"/>
    </row>
    <row r="21863" spans="1:6" x14ac:dyDescent="0.25">
      <c r="A21863"/>
      <c r="B21863"/>
      <c r="C21863"/>
      <c r="E21863"/>
      <c r="F21863"/>
    </row>
    <row r="21864" spans="1:6" x14ac:dyDescent="0.25">
      <c r="A21864"/>
      <c r="B21864"/>
      <c r="C21864"/>
      <c r="E21864"/>
      <c r="F21864"/>
    </row>
    <row r="21865" spans="1:6" x14ac:dyDescent="0.25">
      <c r="A21865"/>
      <c r="B21865"/>
      <c r="C21865"/>
      <c r="E21865"/>
      <c r="F21865"/>
    </row>
    <row r="21866" spans="1:6" x14ac:dyDescent="0.25">
      <c r="A21866"/>
      <c r="B21866"/>
      <c r="C21866"/>
      <c r="E21866"/>
      <c r="F21866"/>
    </row>
    <row r="21867" spans="1:6" x14ac:dyDescent="0.25">
      <c r="A21867"/>
      <c r="B21867"/>
      <c r="C21867"/>
      <c r="E21867"/>
      <c r="F21867"/>
    </row>
    <row r="21868" spans="1:6" x14ac:dyDescent="0.25">
      <c r="A21868"/>
      <c r="B21868"/>
      <c r="C21868"/>
      <c r="E21868"/>
      <c r="F21868"/>
    </row>
    <row r="21869" spans="1:6" x14ac:dyDescent="0.25">
      <c r="A21869"/>
      <c r="B21869"/>
      <c r="C21869"/>
      <c r="E21869"/>
      <c r="F21869"/>
    </row>
    <row r="21870" spans="1:6" x14ac:dyDescent="0.25">
      <c r="A21870"/>
      <c r="B21870"/>
      <c r="C21870"/>
      <c r="E21870"/>
      <c r="F21870"/>
    </row>
    <row r="21871" spans="1:6" x14ac:dyDescent="0.25">
      <c r="A21871"/>
      <c r="B21871"/>
      <c r="C21871"/>
      <c r="E21871"/>
      <c r="F21871"/>
    </row>
    <row r="21872" spans="1:6" x14ac:dyDescent="0.25">
      <c r="A21872"/>
      <c r="B21872"/>
      <c r="C21872"/>
      <c r="E21872"/>
      <c r="F21872"/>
    </row>
    <row r="21873" spans="1:6" x14ac:dyDescent="0.25">
      <c r="A21873"/>
      <c r="B21873"/>
      <c r="C21873"/>
      <c r="E21873"/>
      <c r="F21873"/>
    </row>
    <row r="21874" spans="1:6" x14ac:dyDescent="0.25">
      <c r="A21874"/>
      <c r="B21874"/>
      <c r="C21874"/>
      <c r="E21874"/>
      <c r="F21874"/>
    </row>
    <row r="21875" spans="1:6" x14ac:dyDescent="0.25">
      <c r="A21875"/>
      <c r="B21875"/>
      <c r="C21875"/>
      <c r="E21875"/>
      <c r="F21875"/>
    </row>
    <row r="21876" spans="1:6" x14ac:dyDescent="0.25">
      <c r="A21876"/>
      <c r="B21876"/>
      <c r="C21876"/>
      <c r="E21876"/>
      <c r="F21876"/>
    </row>
    <row r="21877" spans="1:6" x14ac:dyDescent="0.25">
      <c r="A21877"/>
      <c r="B21877"/>
      <c r="C21877"/>
      <c r="E21877"/>
      <c r="F21877"/>
    </row>
    <row r="21878" spans="1:6" x14ac:dyDescent="0.25">
      <c r="A21878"/>
      <c r="B21878"/>
      <c r="C21878"/>
      <c r="E21878"/>
      <c r="F21878"/>
    </row>
    <row r="21879" spans="1:6" x14ac:dyDescent="0.25">
      <c r="A21879"/>
      <c r="B21879"/>
      <c r="C21879"/>
      <c r="E21879"/>
      <c r="F21879"/>
    </row>
    <row r="21880" spans="1:6" x14ac:dyDescent="0.25">
      <c r="A21880"/>
      <c r="B21880"/>
      <c r="C21880"/>
      <c r="E21880"/>
      <c r="F21880"/>
    </row>
    <row r="21881" spans="1:6" x14ac:dyDescent="0.25">
      <c r="A21881"/>
      <c r="B21881"/>
      <c r="C21881"/>
      <c r="E21881"/>
      <c r="F21881"/>
    </row>
    <row r="21882" spans="1:6" x14ac:dyDescent="0.25">
      <c r="A21882"/>
      <c r="B21882"/>
      <c r="C21882"/>
      <c r="E21882"/>
      <c r="F21882"/>
    </row>
    <row r="21883" spans="1:6" x14ac:dyDescent="0.25">
      <c r="A21883"/>
      <c r="B21883"/>
      <c r="C21883"/>
      <c r="E21883"/>
      <c r="F21883"/>
    </row>
    <row r="21884" spans="1:6" x14ac:dyDescent="0.25">
      <c r="A21884"/>
      <c r="B21884"/>
      <c r="C21884"/>
      <c r="E21884"/>
      <c r="F21884"/>
    </row>
    <row r="21885" spans="1:6" x14ac:dyDescent="0.25">
      <c r="A21885"/>
      <c r="B21885"/>
      <c r="C21885"/>
      <c r="E21885"/>
      <c r="F21885"/>
    </row>
    <row r="21886" spans="1:6" x14ac:dyDescent="0.25">
      <c r="A21886"/>
      <c r="B21886"/>
      <c r="C21886"/>
      <c r="E21886"/>
      <c r="F21886"/>
    </row>
    <row r="21887" spans="1:6" x14ac:dyDescent="0.25">
      <c r="A21887"/>
      <c r="B21887"/>
      <c r="C21887"/>
      <c r="E21887"/>
      <c r="F21887"/>
    </row>
    <row r="21888" spans="1:6" x14ac:dyDescent="0.25">
      <c r="A21888"/>
      <c r="B21888"/>
      <c r="C21888"/>
      <c r="E21888"/>
      <c r="F21888"/>
    </row>
    <row r="21889" spans="1:6" x14ac:dyDescent="0.25">
      <c r="A21889"/>
      <c r="B21889"/>
      <c r="C21889"/>
      <c r="E21889"/>
      <c r="F21889"/>
    </row>
    <row r="21890" spans="1:6" x14ac:dyDescent="0.25">
      <c r="A21890"/>
      <c r="B21890"/>
      <c r="C21890"/>
      <c r="E21890"/>
      <c r="F21890"/>
    </row>
    <row r="21891" spans="1:6" x14ac:dyDescent="0.25">
      <c r="A21891"/>
      <c r="B21891"/>
      <c r="C21891"/>
      <c r="E21891"/>
      <c r="F21891"/>
    </row>
    <row r="21892" spans="1:6" x14ac:dyDescent="0.25">
      <c r="A21892"/>
      <c r="B21892"/>
      <c r="C21892"/>
      <c r="E21892"/>
      <c r="F21892"/>
    </row>
    <row r="21893" spans="1:6" x14ac:dyDescent="0.25">
      <c r="A21893"/>
      <c r="B21893"/>
      <c r="C21893"/>
      <c r="E21893"/>
      <c r="F21893"/>
    </row>
    <row r="21894" spans="1:6" x14ac:dyDescent="0.25">
      <c r="A21894"/>
      <c r="B21894"/>
      <c r="C21894"/>
      <c r="E21894"/>
      <c r="F21894"/>
    </row>
    <row r="21895" spans="1:6" x14ac:dyDescent="0.25">
      <c r="A21895"/>
      <c r="B21895"/>
      <c r="C21895"/>
      <c r="E21895"/>
      <c r="F21895"/>
    </row>
    <row r="21896" spans="1:6" x14ac:dyDescent="0.25">
      <c r="A21896"/>
      <c r="B21896"/>
      <c r="C21896"/>
      <c r="E21896"/>
      <c r="F21896"/>
    </row>
    <row r="21897" spans="1:6" x14ac:dyDescent="0.25">
      <c r="A21897"/>
      <c r="B21897"/>
      <c r="C21897"/>
      <c r="E21897"/>
      <c r="F21897"/>
    </row>
    <row r="21898" spans="1:6" x14ac:dyDescent="0.25">
      <c r="A21898"/>
      <c r="B21898"/>
      <c r="C21898"/>
      <c r="E21898"/>
      <c r="F21898"/>
    </row>
    <row r="21899" spans="1:6" x14ac:dyDescent="0.25">
      <c r="A21899"/>
      <c r="B21899"/>
      <c r="C21899"/>
      <c r="E21899"/>
      <c r="F21899"/>
    </row>
    <row r="21900" spans="1:6" x14ac:dyDescent="0.25">
      <c r="A21900"/>
      <c r="B21900"/>
      <c r="C21900"/>
      <c r="E21900"/>
      <c r="F21900"/>
    </row>
    <row r="21901" spans="1:6" x14ac:dyDescent="0.25">
      <c r="A21901"/>
      <c r="B21901"/>
      <c r="C21901"/>
      <c r="E21901"/>
      <c r="F21901"/>
    </row>
    <row r="21902" spans="1:6" x14ac:dyDescent="0.25">
      <c r="A21902"/>
      <c r="B21902"/>
      <c r="C21902"/>
      <c r="E21902"/>
      <c r="F21902"/>
    </row>
    <row r="21903" spans="1:6" x14ac:dyDescent="0.25">
      <c r="A21903"/>
      <c r="B21903"/>
      <c r="C21903"/>
      <c r="E21903"/>
      <c r="F21903"/>
    </row>
    <row r="21904" spans="1:6" x14ac:dyDescent="0.25">
      <c r="A21904"/>
      <c r="B21904"/>
      <c r="C21904"/>
      <c r="E21904"/>
      <c r="F21904"/>
    </row>
    <row r="21905" spans="1:6" x14ac:dyDescent="0.25">
      <c r="A21905"/>
      <c r="B21905"/>
      <c r="C21905"/>
      <c r="E21905"/>
      <c r="F21905"/>
    </row>
    <row r="21906" spans="1:6" x14ac:dyDescent="0.25">
      <c r="A21906"/>
      <c r="B21906"/>
      <c r="C21906"/>
      <c r="E21906"/>
      <c r="F21906"/>
    </row>
    <row r="21907" spans="1:6" x14ac:dyDescent="0.25">
      <c r="A21907"/>
      <c r="B21907"/>
      <c r="C21907"/>
      <c r="E21907"/>
      <c r="F21907"/>
    </row>
    <row r="21908" spans="1:6" x14ac:dyDescent="0.25">
      <c r="A21908"/>
      <c r="B21908"/>
      <c r="C21908"/>
      <c r="E21908"/>
      <c r="F21908"/>
    </row>
    <row r="21909" spans="1:6" x14ac:dyDescent="0.25">
      <c r="A21909"/>
      <c r="B21909"/>
      <c r="C21909"/>
      <c r="E21909"/>
      <c r="F21909"/>
    </row>
    <row r="21910" spans="1:6" x14ac:dyDescent="0.25">
      <c r="A21910"/>
      <c r="B21910"/>
      <c r="C21910"/>
      <c r="E21910"/>
      <c r="F21910"/>
    </row>
    <row r="21911" spans="1:6" x14ac:dyDescent="0.25">
      <c r="A21911"/>
      <c r="B21911"/>
      <c r="C21911"/>
      <c r="E21911"/>
      <c r="F21911"/>
    </row>
    <row r="21912" spans="1:6" x14ac:dyDescent="0.25">
      <c r="A21912"/>
      <c r="B21912"/>
      <c r="C21912"/>
      <c r="E21912"/>
      <c r="F21912"/>
    </row>
    <row r="21913" spans="1:6" x14ac:dyDescent="0.25">
      <c r="A21913"/>
      <c r="B21913"/>
      <c r="C21913"/>
      <c r="E21913"/>
      <c r="F21913"/>
    </row>
    <row r="21914" spans="1:6" x14ac:dyDescent="0.25">
      <c r="A21914"/>
      <c r="B21914"/>
      <c r="C21914"/>
      <c r="E21914"/>
      <c r="F21914"/>
    </row>
    <row r="21915" spans="1:6" x14ac:dyDescent="0.25">
      <c r="A21915"/>
      <c r="B21915"/>
      <c r="C21915"/>
      <c r="E21915"/>
      <c r="F21915"/>
    </row>
    <row r="21916" spans="1:6" x14ac:dyDescent="0.25">
      <c r="A21916"/>
      <c r="B21916"/>
      <c r="C21916"/>
      <c r="E21916"/>
      <c r="F21916"/>
    </row>
    <row r="21917" spans="1:6" x14ac:dyDescent="0.25">
      <c r="A21917"/>
      <c r="B21917"/>
      <c r="C21917"/>
      <c r="E21917"/>
      <c r="F21917"/>
    </row>
    <row r="21918" spans="1:6" x14ac:dyDescent="0.25">
      <c r="A21918"/>
      <c r="B21918"/>
      <c r="C21918"/>
      <c r="E21918"/>
      <c r="F21918"/>
    </row>
    <row r="21919" spans="1:6" x14ac:dyDescent="0.25">
      <c r="A21919"/>
      <c r="B21919"/>
      <c r="C21919"/>
      <c r="E21919"/>
      <c r="F21919"/>
    </row>
    <row r="21920" spans="1:6" x14ac:dyDescent="0.25">
      <c r="A21920"/>
      <c r="B21920"/>
      <c r="C21920"/>
      <c r="E21920"/>
      <c r="F21920"/>
    </row>
    <row r="21921" spans="1:6" x14ac:dyDescent="0.25">
      <c r="A21921"/>
      <c r="B21921"/>
      <c r="C21921"/>
      <c r="E21921"/>
      <c r="F21921"/>
    </row>
    <row r="21922" spans="1:6" x14ac:dyDescent="0.25">
      <c r="A21922"/>
      <c r="B21922"/>
      <c r="C21922"/>
      <c r="E21922"/>
      <c r="F21922"/>
    </row>
    <row r="21923" spans="1:6" x14ac:dyDescent="0.25">
      <c r="A21923"/>
      <c r="B21923"/>
      <c r="C21923"/>
      <c r="E21923"/>
      <c r="F21923"/>
    </row>
    <row r="21924" spans="1:6" x14ac:dyDescent="0.25">
      <c r="A21924"/>
      <c r="B21924"/>
      <c r="C21924"/>
      <c r="E21924"/>
      <c r="F21924"/>
    </row>
    <row r="21925" spans="1:6" x14ac:dyDescent="0.25">
      <c r="A21925"/>
      <c r="B21925"/>
      <c r="C21925"/>
      <c r="E21925"/>
      <c r="F21925"/>
    </row>
    <row r="21926" spans="1:6" x14ac:dyDescent="0.25">
      <c r="A21926"/>
      <c r="B21926"/>
      <c r="C21926"/>
      <c r="E21926"/>
      <c r="F21926"/>
    </row>
    <row r="21927" spans="1:6" x14ac:dyDescent="0.25">
      <c r="A21927"/>
      <c r="B21927"/>
      <c r="C21927"/>
      <c r="E21927"/>
      <c r="F21927"/>
    </row>
    <row r="21928" spans="1:6" x14ac:dyDescent="0.25">
      <c r="A21928"/>
      <c r="B21928"/>
      <c r="C21928"/>
      <c r="E21928"/>
      <c r="F21928"/>
    </row>
    <row r="21929" spans="1:6" x14ac:dyDescent="0.25">
      <c r="A21929"/>
      <c r="B21929"/>
      <c r="C21929"/>
      <c r="E21929"/>
      <c r="F21929"/>
    </row>
    <row r="21930" spans="1:6" x14ac:dyDescent="0.25">
      <c r="A21930"/>
      <c r="B21930"/>
      <c r="C21930"/>
      <c r="E21930"/>
      <c r="F21930"/>
    </row>
    <row r="21931" spans="1:6" x14ac:dyDescent="0.25">
      <c r="A21931"/>
      <c r="B21931"/>
      <c r="C21931"/>
      <c r="E21931"/>
      <c r="F21931"/>
    </row>
    <row r="21932" spans="1:6" x14ac:dyDescent="0.25">
      <c r="A21932"/>
      <c r="B21932"/>
      <c r="C21932"/>
      <c r="E21932"/>
      <c r="F21932"/>
    </row>
    <row r="21933" spans="1:6" x14ac:dyDescent="0.25">
      <c r="A21933"/>
      <c r="B21933"/>
      <c r="C21933"/>
      <c r="E21933"/>
      <c r="F21933"/>
    </row>
    <row r="21934" spans="1:6" x14ac:dyDescent="0.25">
      <c r="A21934"/>
      <c r="B21934"/>
      <c r="C21934"/>
      <c r="E21934"/>
      <c r="F21934"/>
    </row>
    <row r="21935" spans="1:6" x14ac:dyDescent="0.25">
      <c r="A21935"/>
      <c r="B21935"/>
      <c r="C21935"/>
      <c r="E21935"/>
      <c r="F21935"/>
    </row>
    <row r="21936" spans="1:6" x14ac:dyDescent="0.25">
      <c r="A21936"/>
      <c r="B21936"/>
      <c r="C21936"/>
      <c r="E21936"/>
      <c r="F21936"/>
    </row>
    <row r="21937" spans="1:6" x14ac:dyDescent="0.25">
      <c r="A21937"/>
      <c r="B21937"/>
      <c r="C21937"/>
      <c r="E21937"/>
      <c r="F21937"/>
    </row>
    <row r="21938" spans="1:6" x14ac:dyDescent="0.25">
      <c r="A21938"/>
      <c r="B21938"/>
      <c r="C21938"/>
      <c r="E21938"/>
      <c r="F21938"/>
    </row>
    <row r="21939" spans="1:6" x14ac:dyDescent="0.25">
      <c r="A21939"/>
      <c r="B21939"/>
      <c r="C21939"/>
      <c r="E21939"/>
      <c r="F21939"/>
    </row>
    <row r="21940" spans="1:6" x14ac:dyDescent="0.25">
      <c r="A21940"/>
      <c r="B21940"/>
      <c r="C21940"/>
      <c r="E21940"/>
      <c r="F21940"/>
    </row>
    <row r="21941" spans="1:6" x14ac:dyDescent="0.25">
      <c r="A21941"/>
      <c r="B21941"/>
      <c r="C21941"/>
      <c r="E21941"/>
      <c r="F21941"/>
    </row>
    <row r="21942" spans="1:6" x14ac:dyDescent="0.25">
      <c r="A21942"/>
      <c r="B21942"/>
      <c r="C21942"/>
      <c r="E21942"/>
      <c r="F21942"/>
    </row>
    <row r="21943" spans="1:6" x14ac:dyDescent="0.25">
      <c r="A21943"/>
      <c r="B21943"/>
      <c r="C21943"/>
      <c r="E21943"/>
      <c r="F21943"/>
    </row>
    <row r="21944" spans="1:6" x14ac:dyDescent="0.25">
      <c r="A21944"/>
      <c r="B21944"/>
      <c r="C21944"/>
      <c r="E21944"/>
      <c r="F21944"/>
    </row>
    <row r="21945" spans="1:6" x14ac:dyDescent="0.25">
      <c r="A21945"/>
      <c r="B21945"/>
      <c r="C21945"/>
      <c r="E21945"/>
      <c r="F21945"/>
    </row>
    <row r="21946" spans="1:6" x14ac:dyDescent="0.25">
      <c r="A21946"/>
      <c r="B21946"/>
      <c r="C21946"/>
      <c r="E21946"/>
      <c r="F21946"/>
    </row>
    <row r="21947" spans="1:6" x14ac:dyDescent="0.25">
      <c r="A21947"/>
      <c r="B21947"/>
      <c r="C21947"/>
      <c r="E21947"/>
      <c r="F21947"/>
    </row>
    <row r="21948" spans="1:6" x14ac:dyDescent="0.25">
      <c r="A21948"/>
      <c r="B21948"/>
      <c r="C21948"/>
      <c r="E21948"/>
      <c r="F21948"/>
    </row>
    <row r="21949" spans="1:6" x14ac:dyDescent="0.25">
      <c r="A21949"/>
      <c r="B21949"/>
      <c r="C21949"/>
      <c r="E21949"/>
      <c r="F21949"/>
    </row>
    <row r="21950" spans="1:6" x14ac:dyDescent="0.25">
      <c r="A21950"/>
      <c r="B21950"/>
      <c r="C21950"/>
      <c r="E21950"/>
      <c r="F21950"/>
    </row>
    <row r="21951" spans="1:6" x14ac:dyDescent="0.25">
      <c r="A21951"/>
      <c r="B21951"/>
      <c r="C21951"/>
      <c r="E21951"/>
      <c r="F21951"/>
    </row>
    <row r="21952" spans="1:6" x14ac:dyDescent="0.25">
      <c r="A21952"/>
      <c r="B21952"/>
      <c r="C21952"/>
      <c r="E21952"/>
      <c r="F21952"/>
    </row>
    <row r="21953" spans="1:6" x14ac:dyDescent="0.25">
      <c r="A21953"/>
      <c r="B21953"/>
      <c r="C21953"/>
      <c r="E21953"/>
      <c r="F21953"/>
    </row>
    <row r="21954" spans="1:6" x14ac:dyDescent="0.25">
      <c r="A21954"/>
      <c r="B21954"/>
      <c r="C21954"/>
      <c r="E21954"/>
      <c r="F21954"/>
    </row>
    <row r="21955" spans="1:6" x14ac:dyDescent="0.25">
      <c r="A21955"/>
      <c r="B21955"/>
      <c r="C21955"/>
      <c r="E21955"/>
      <c r="F21955"/>
    </row>
    <row r="21956" spans="1:6" x14ac:dyDescent="0.25">
      <c r="A21956"/>
      <c r="B21956"/>
      <c r="C21956"/>
      <c r="E21956"/>
      <c r="F21956"/>
    </row>
    <row r="21957" spans="1:6" x14ac:dyDescent="0.25">
      <c r="A21957"/>
      <c r="B21957"/>
      <c r="C21957"/>
      <c r="E21957"/>
      <c r="F21957"/>
    </row>
    <row r="21958" spans="1:6" x14ac:dyDescent="0.25">
      <c r="A21958"/>
      <c r="B21958"/>
      <c r="C21958"/>
      <c r="E21958"/>
      <c r="F21958"/>
    </row>
    <row r="21959" spans="1:6" x14ac:dyDescent="0.25">
      <c r="A21959"/>
      <c r="B21959"/>
      <c r="C21959"/>
      <c r="E21959"/>
      <c r="F21959"/>
    </row>
    <row r="21960" spans="1:6" x14ac:dyDescent="0.25">
      <c r="A21960"/>
      <c r="B21960"/>
      <c r="C21960"/>
      <c r="E21960"/>
      <c r="F21960"/>
    </row>
    <row r="21961" spans="1:6" x14ac:dyDescent="0.25">
      <c r="A21961"/>
      <c r="B21961"/>
      <c r="C21961"/>
      <c r="E21961"/>
      <c r="F21961"/>
    </row>
    <row r="21962" spans="1:6" x14ac:dyDescent="0.25">
      <c r="A21962"/>
      <c r="B21962"/>
      <c r="C21962"/>
      <c r="E21962"/>
      <c r="F21962"/>
    </row>
    <row r="21963" spans="1:6" x14ac:dyDescent="0.25">
      <c r="A21963"/>
      <c r="B21963"/>
      <c r="C21963"/>
      <c r="E21963"/>
      <c r="F21963"/>
    </row>
    <row r="21964" spans="1:6" x14ac:dyDescent="0.25">
      <c r="A21964"/>
      <c r="B21964"/>
      <c r="C21964"/>
      <c r="E21964"/>
      <c r="F21964"/>
    </row>
    <row r="21965" spans="1:6" x14ac:dyDescent="0.25">
      <c r="A21965"/>
      <c r="B21965"/>
      <c r="C21965"/>
      <c r="E21965"/>
      <c r="F21965"/>
    </row>
    <row r="21966" spans="1:6" x14ac:dyDescent="0.25">
      <c r="A21966"/>
      <c r="B21966"/>
      <c r="C21966"/>
      <c r="E21966"/>
      <c r="F21966"/>
    </row>
    <row r="21967" spans="1:6" x14ac:dyDescent="0.25">
      <c r="A21967"/>
      <c r="B21967"/>
      <c r="C21967"/>
      <c r="E21967"/>
      <c r="F21967"/>
    </row>
    <row r="21968" spans="1:6" x14ac:dyDescent="0.25">
      <c r="A21968"/>
      <c r="B21968"/>
      <c r="C21968"/>
      <c r="E21968"/>
      <c r="F21968"/>
    </row>
    <row r="21969" spans="1:6" x14ac:dyDescent="0.25">
      <c r="A21969"/>
      <c r="B21969"/>
      <c r="C21969"/>
      <c r="E21969"/>
      <c r="F21969"/>
    </row>
    <row r="21970" spans="1:6" x14ac:dyDescent="0.25">
      <c r="A21970"/>
      <c r="B21970"/>
      <c r="C21970"/>
      <c r="E21970"/>
      <c r="F21970"/>
    </row>
    <row r="21971" spans="1:6" x14ac:dyDescent="0.25">
      <c r="A21971"/>
      <c r="B21971"/>
      <c r="C21971"/>
      <c r="E21971"/>
      <c r="F21971"/>
    </row>
    <row r="21972" spans="1:6" x14ac:dyDescent="0.25">
      <c r="A21972"/>
      <c r="B21972"/>
      <c r="C21972"/>
      <c r="E21972"/>
      <c r="F21972"/>
    </row>
    <row r="21973" spans="1:6" x14ac:dyDescent="0.25">
      <c r="A21973"/>
      <c r="B21973"/>
      <c r="C21973"/>
      <c r="E21973"/>
      <c r="F21973"/>
    </row>
    <row r="21974" spans="1:6" x14ac:dyDescent="0.25">
      <c r="A21974"/>
      <c r="B21974"/>
      <c r="C21974"/>
      <c r="E21974"/>
      <c r="F21974"/>
    </row>
    <row r="21975" spans="1:6" x14ac:dyDescent="0.25">
      <c r="A21975"/>
      <c r="B21975"/>
      <c r="C21975"/>
      <c r="E21975"/>
      <c r="F21975"/>
    </row>
    <row r="21976" spans="1:6" x14ac:dyDescent="0.25">
      <c r="A21976"/>
      <c r="B21976"/>
      <c r="C21976"/>
      <c r="E21976"/>
      <c r="F21976"/>
    </row>
    <row r="21977" spans="1:6" x14ac:dyDescent="0.25">
      <c r="A21977"/>
      <c r="B21977"/>
      <c r="C21977"/>
      <c r="E21977"/>
      <c r="F21977"/>
    </row>
    <row r="21978" spans="1:6" x14ac:dyDescent="0.25">
      <c r="A21978"/>
      <c r="B21978"/>
      <c r="C21978"/>
      <c r="E21978"/>
      <c r="F21978"/>
    </row>
    <row r="21979" spans="1:6" x14ac:dyDescent="0.25">
      <c r="A21979"/>
      <c r="B21979"/>
      <c r="C21979"/>
      <c r="E21979"/>
      <c r="F21979"/>
    </row>
    <row r="21980" spans="1:6" x14ac:dyDescent="0.25">
      <c r="A21980"/>
      <c r="B21980"/>
      <c r="C21980"/>
      <c r="E21980"/>
      <c r="F21980"/>
    </row>
    <row r="21981" spans="1:6" x14ac:dyDescent="0.25">
      <c r="A21981"/>
      <c r="B21981"/>
      <c r="C21981"/>
      <c r="E21981"/>
      <c r="F21981"/>
    </row>
    <row r="21982" spans="1:6" x14ac:dyDescent="0.25">
      <c r="A21982"/>
      <c r="B21982"/>
      <c r="C21982"/>
      <c r="E21982"/>
      <c r="F21982"/>
    </row>
    <row r="21983" spans="1:6" x14ac:dyDescent="0.25">
      <c r="A21983"/>
      <c r="B21983"/>
      <c r="C21983"/>
      <c r="E21983"/>
      <c r="F21983"/>
    </row>
    <row r="21984" spans="1:6" x14ac:dyDescent="0.25">
      <c r="A21984"/>
      <c r="B21984"/>
      <c r="C21984"/>
      <c r="E21984"/>
      <c r="F21984"/>
    </row>
    <row r="21985" spans="1:6" x14ac:dyDescent="0.25">
      <c r="A21985"/>
      <c r="B21985"/>
      <c r="C21985"/>
      <c r="E21985"/>
      <c r="F21985"/>
    </row>
    <row r="21986" spans="1:6" x14ac:dyDescent="0.25">
      <c r="A21986"/>
      <c r="B21986"/>
      <c r="C21986"/>
      <c r="E21986"/>
      <c r="F21986"/>
    </row>
    <row r="21987" spans="1:6" x14ac:dyDescent="0.25">
      <c r="A21987"/>
      <c r="B21987"/>
      <c r="C21987"/>
      <c r="E21987"/>
      <c r="F21987"/>
    </row>
    <row r="21988" spans="1:6" x14ac:dyDescent="0.25">
      <c r="A21988"/>
      <c r="B21988"/>
      <c r="C21988"/>
      <c r="E21988"/>
      <c r="F21988"/>
    </row>
    <row r="21989" spans="1:6" x14ac:dyDescent="0.25">
      <c r="A21989"/>
      <c r="B21989"/>
      <c r="C21989"/>
      <c r="E21989"/>
      <c r="F21989"/>
    </row>
    <row r="21990" spans="1:6" x14ac:dyDescent="0.25">
      <c r="A21990"/>
      <c r="B21990"/>
      <c r="C21990"/>
      <c r="E21990"/>
      <c r="F21990"/>
    </row>
    <row r="21991" spans="1:6" x14ac:dyDescent="0.25">
      <c r="A21991"/>
      <c r="B21991"/>
      <c r="C21991"/>
      <c r="E21991"/>
      <c r="F21991"/>
    </row>
    <row r="21992" spans="1:6" x14ac:dyDescent="0.25">
      <c r="A21992"/>
      <c r="B21992"/>
      <c r="C21992"/>
      <c r="E21992"/>
      <c r="F21992"/>
    </row>
    <row r="21993" spans="1:6" x14ac:dyDescent="0.25">
      <c r="A21993"/>
      <c r="B21993"/>
      <c r="C21993"/>
      <c r="E21993"/>
      <c r="F21993"/>
    </row>
    <row r="21994" spans="1:6" x14ac:dyDescent="0.25">
      <c r="A21994"/>
      <c r="B21994"/>
      <c r="C21994"/>
      <c r="E21994"/>
      <c r="F21994"/>
    </row>
    <row r="21995" spans="1:6" x14ac:dyDescent="0.25">
      <c r="A21995"/>
      <c r="B21995"/>
      <c r="C21995"/>
      <c r="E21995"/>
      <c r="F21995"/>
    </row>
    <row r="21996" spans="1:6" x14ac:dyDescent="0.25">
      <c r="A21996"/>
      <c r="B21996"/>
      <c r="C21996"/>
      <c r="E21996"/>
      <c r="F21996"/>
    </row>
    <row r="21997" spans="1:6" x14ac:dyDescent="0.25">
      <c r="A21997"/>
      <c r="B21997"/>
      <c r="C21997"/>
      <c r="E21997"/>
      <c r="F21997"/>
    </row>
    <row r="21998" spans="1:6" x14ac:dyDescent="0.25">
      <c r="A21998"/>
      <c r="B21998"/>
      <c r="C21998"/>
      <c r="E21998"/>
      <c r="F21998"/>
    </row>
    <row r="21999" spans="1:6" x14ac:dyDescent="0.25">
      <c r="A21999"/>
      <c r="B21999"/>
      <c r="C21999"/>
      <c r="E21999"/>
      <c r="F21999"/>
    </row>
    <row r="22000" spans="1:6" x14ac:dyDescent="0.25">
      <c r="A22000"/>
      <c r="B22000"/>
      <c r="C22000"/>
      <c r="E22000"/>
      <c r="F22000"/>
    </row>
    <row r="22001" spans="1:6" x14ac:dyDescent="0.25">
      <c r="A22001"/>
      <c r="B22001"/>
      <c r="C22001"/>
      <c r="E22001"/>
      <c r="F22001"/>
    </row>
    <row r="22002" spans="1:6" x14ac:dyDescent="0.25">
      <c r="A22002"/>
      <c r="B22002"/>
      <c r="C22002"/>
      <c r="E22002"/>
      <c r="F22002"/>
    </row>
    <row r="22003" spans="1:6" x14ac:dyDescent="0.25">
      <c r="A22003"/>
      <c r="B22003"/>
      <c r="C22003"/>
      <c r="E22003"/>
      <c r="F22003"/>
    </row>
    <row r="22004" spans="1:6" x14ac:dyDescent="0.25">
      <c r="A22004"/>
      <c r="B22004"/>
      <c r="C22004"/>
      <c r="E22004"/>
      <c r="F22004"/>
    </row>
    <row r="22005" spans="1:6" x14ac:dyDescent="0.25">
      <c r="A22005"/>
      <c r="B22005"/>
      <c r="C22005"/>
      <c r="E22005"/>
      <c r="F22005"/>
    </row>
    <row r="22006" spans="1:6" x14ac:dyDescent="0.25">
      <c r="A22006"/>
      <c r="B22006"/>
      <c r="C22006"/>
      <c r="E22006"/>
      <c r="F22006"/>
    </row>
    <row r="22007" spans="1:6" x14ac:dyDescent="0.25">
      <c r="A22007"/>
      <c r="B22007"/>
      <c r="C22007"/>
      <c r="E22007"/>
      <c r="F22007"/>
    </row>
    <row r="22008" spans="1:6" x14ac:dyDescent="0.25">
      <c r="A22008"/>
      <c r="B22008"/>
      <c r="C22008"/>
      <c r="E22008"/>
      <c r="F22008"/>
    </row>
    <row r="22009" spans="1:6" x14ac:dyDescent="0.25">
      <c r="A22009"/>
      <c r="B22009"/>
      <c r="C22009"/>
      <c r="E22009"/>
      <c r="F22009"/>
    </row>
    <row r="22010" spans="1:6" x14ac:dyDescent="0.25">
      <c r="A22010"/>
      <c r="B22010"/>
      <c r="C22010"/>
      <c r="E22010"/>
      <c r="F22010"/>
    </row>
    <row r="22011" spans="1:6" x14ac:dyDescent="0.25">
      <c r="A22011"/>
      <c r="B22011"/>
      <c r="C22011"/>
      <c r="E22011"/>
      <c r="F22011"/>
    </row>
    <row r="22012" spans="1:6" x14ac:dyDescent="0.25">
      <c r="A22012"/>
      <c r="B22012"/>
      <c r="C22012"/>
      <c r="E22012"/>
      <c r="F22012"/>
    </row>
    <row r="22013" spans="1:6" x14ac:dyDescent="0.25">
      <c r="A22013"/>
      <c r="B22013"/>
      <c r="C22013"/>
      <c r="E22013"/>
      <c r="F22013"/>
    </row>
    <row r="22014" spans="1:6" x14ac:dyDescent="0.25">
      <c r="A22014"/>
      <c r="B22014"/>
      <c r="C22014"/>
      <c r="E22014"/>
      <c r="F22014"/>
    </row>
    <row r="22015" spans="1:6" x14ac:dyDescent="0.25">
      <c r="A22015"/>
      <c r="B22015"/>
      <c r="C22015"/>
      <c r="E22015"/>
      <c r="F22015"/>
    </row>
    <row r="22016" spans="1:6" x14ac:dyDescent="0.25">
      <c r="A22016"/>
      <c r="B22016"/>
      <c r="C22016"/>
      <c r="E22016"/>
      <c r="F22016"/>
    </row>
    <row r="22017" spans="1:6" x14ac:dyDescent="0.25">
      <c r="A22017"/>
      <c r="B22017"/>
      <c r="C22017"/>
      <c r="E22017"/>
      <c r="F22017"/>
    </row>
    <row r="22018" spans="1:6" x14ac:dyDescent="0.25">
      <c r="A22018"/>
      <c r="B22018"/>
      <c r="C22018"/>
      <c r="E22018"/>
      <c r="F22018"/>
    </row>
    <row r="22019" spans="1:6" x14ac:dyDescent="0.25">
      <c r="A22019"/>
      <c r="B22019"/>
      <c r="C22019"/>
      <c r="E22019"/>
      <c r="F22019"/>
    </row>
    <row r="22020" spans="1:6" x14ac:dyDescent="0.25">
      <c r="A22020"/>
      <c r="B22020"/>
      <c r="C22020"/>
      <c r="E22020"/>
      <c r="F22020"/>
    </row>
    <row r="22021" spans="1:6" x14ac:dyDescent="0.25">
      <c r="A22021"/>
      <c r="B22021"/>
      <c r="C22021"/>
      <c r="E22021"/>
      <c r="F22021"/>
    </row>
    <row r="22022" spans="1:6" x14ac:dyDescent="0.25">
      <c r="A22022"/>
      <c r="B22022"/>
      <c r="C22022"/>
      <c r="E22022"/>
      <c r="F22022"/>
    </row>
    <row r="22023" spans="1:6" x14ac:dyDescent="0.25">
      <c r="A22023"/>
      <c r="B22023"/>
      <c r="C22023"/>
      <c r="E22023"/>
      <c r="F22023"/>
    </row>
    <row r="22024" spans="1:6" x14ac:dyDescent="0.25">
      <c r="A22024"/>
      <c r="B22024"/>
      <c r="C22024"/>
      <c r="E22024"/>
      <c r="F22024"/>
    </row>
    <row r="22025" spans="1:6" x14ac:dyDescent="0.25">
      <c r="A22025"/>
      <c r="B22025"/>
      <c r="C22025"/>
      <c r="E22025"/>
      <c r="F22025"/>
    </row>
    <row r="22026" spans="1:6" x14ac:dyDescent="0.25">
      <c r="A22026"/>
      <c r="B22026"/>
      <c r="C22026"/>
      <c r="E22026"/>
      <c r="F22026"/>
    </row>
    <row r="22027" spans="1:6" x14ac:dyDescent="0.25">
      <c r="A22027"/>
      <c r="B22027"/>
      <c r="C22027"/>
      <c r="E22027"/>
      <c r="F22027"/>
    </row>
    <row r="22028" spans="1:6" x14ac:dyDescent="0.25">
      <c r="A22028"/>
      <c r="B22028"/>
      <c r="C22028"/>
      <c r="E22028"/>
      <c r="F22028"/>
    </row>
    <row r="22029" spans="1:6" x14ac:dyDescent="0.25">
      <c r="A22029"/>
      <c r="B22029"/>
      <c r="C22029"/>
      <c r="E22029"/>
      <c r="F22029"/>
    </row>
    <row r="22030" spans="1:6" x14ac:dyDescent="0.25">
      <c r="A22030"/>
      <c r="B22030"/>
      <c r="C22030"/>
      <c r="E22030"/>
      <c r="F22030"/>
    </row>
    <row r="22031" spans="1:6" x14ac:dyDescent="0.25">
      <c r="A22031"/>
      <c r="B22031"/>
      <c r="C22031"/>
      <c r="E22031"/>
      <c r="F22031"/>
    </row>
    <row r="22032" spans="1:6" x14ac:dyDescent="0.25">
      <c r="A22032"/>
      <c r="B22032"/>
      <c r="C22032"/>
      <c r="E22032"/>
      <c r="F22032"/>
    </row>
    <row r="22033" spans="1:6" x14ac:dyDescent="0.25">
      <c r="A22033"/>
      <c r="B22033"/>
      <c r="C22033"/>
      <c r="E22033"/>
      <c r="F22033"/>
    </row>
    <row r="22034" spans="1:6" x14ac:dyDescent="0.25">
      <c r="A22034"/>
      <c r="B22034"/>
      <c r="C22034"/>
      <c r="E22034"/>
      <c r="F22034"/>
    </row>
    <row r="22035" spans="1:6" x14ac:dyDescent="0.25">
      <c r="A22035"/>
      <c r="B22035"/>
      <c r="C22035"/>
      <c r="E22035"/>
      <c r="F22035"/>
    </row>
    <row r="22036" spans="1:6" x14ac:dyDescent="0.25">
      <c r="A22036"/>
      <c r="B22036"/>
      <c r="C22036"/>
      <c r="E22036"/>
      <c r="F22036"/>
    </row>
    <row r="22037" spans="1:6" x14ac:dyDescent="0.25">
      <c r="A22037"/>
      <c r="B22037"/>
      <c r="C22037"/>
      <c r="E22037"/>
      <c r="F22037"/>
    </row>
    <row r="22038" spans="1:6" x14ac:dyDescent="0.25">
      <c r="A22038"/>
      <c r="B22038"/>
      <c r="C22038"/>
      <c r="E22038"/>
      <c r="F22038"/>
    </row>
    <row r="22039" spans="1:6" x14ac:dyDescent="0.25">
      <c r="A22039"/>
      <c r="B22039"/>
      <c r="C22039"/>
      <c r="E22039"/>
      <c r="F22039"/>
    </row>
    <row r="22040" spans="1:6" x14ac:dyDescent="0.25">
      <c r="A22040"/>
      <c r="B22040"/>
      <c r="C22040"/>
      <c r="E22040"/>
      <c r="F22040"/>
    </row>
    <row r="22041" spans="1:6" x14ac:dyDescent="0.25">
      <c r="A22041"/>
      <c r="B22041"/>
      <c r="C22041"/>
      <c r="E22041"/>
      <c r="F22041"/>
    </row>
    <row r="22042" spans="1:6" x14ac:dyDescent="0.25">
      <c r="A22042"/>
      <c r="B22042"/>
      <c r="C22042"/>
      <c r="E22042"/>
      <c r="F22042"/>
    </row>
    <row r="22043" spans="1:6" x14ac:dyDescent="0.25">
      <c r="A22043"/>
      <c r="B22043"/>
      <c r="C22043"/>
      <c r="E22043"/>
      <c r="F22043"/>
    </row>
    <row r="22044" spans="1:6" x14ac:dyDescent="0.25">
      <c r="A22044"/>
      <c r="B22044"/>
      <c r="C22044"/>
      <c r="E22044"/>
      <c r="F22044"/>
    </row>
    <row r="22045" spans="1:6" x14ac:dyDescent="0.25">
      <c r="A22045"/>
      <c r="B22045"/>
      <c r="C22045"/>
      <c r="E22045"/>
      <c r="F22045"/>
    </row>
    <row r="22046" spans="1:6" x14ac:dyDescent="0.25">
      <c r="A22046"/>
      <c r="B22046"/>
      <c r="C22046"/>
      <c r="E22046"/>
      <c r="F22046"/>
    </row>
    <row r="22047" spans="1:6" x14ac:dyDescent="0.25">
      <c r="A22047"/>
      <c r="B22047"/>
      <c r="C22047"/>
      <c r="E22047"/>
      <c r="F22047"/>
    </row>
    <row r="22048" spans="1:6" x14ac:dyDescent="0.25">
      <c r="A22048"/>
      <c r="B22048"/>
      <c r="C22048"/>
      <c r="E22048"/>
      <c r="F22048"/>
    </row>
    <row r="22049" spans="1:6" x14ac:dyDescent="0.25">
      <c r="A22049"/>
      <c r="B22049"/>
      <c r="C22049"/>
      <c r="E22049"/>
      <c r="F22049"/>
    </row>
    <row r="22050" spans="1:6" x14ac:dyDescent="0.25">
      <c r="A22050"/>
      <c r="B22050"/>
      <c r="C22050"/>
      <c r="E22050"/>
      <c r="F22050"/>
    </row>
    <row r="22051" spans="1:6" x14ac:dyDescent="0.25">
      <c r="A22051"/>
      <c r="B22051"/>
      <c r="C22051"/>
      <c r="E22051"/>
      <c r="F22051"/>
    </row>
    <row r="22052" spans="1:6" x14ac:dyDescent="0.25">
      <c r="A22052"/>
      <c r="B22052"/>
      <c r="C22052"/>
      <c r="E22052"/>
      <c r="F22052"/>
    </row>
    <row r="22053" spans="1:6" x14ac:dyDescent="0.25">
      <c r="A22053"/>
      <c r="B22053"/>
      <c r="C22053"/>
      <c r="E22053"/>
      <c r="F22053"/>
    </row>
    <row r="22054" spans="1:6" x14ac:dyDescent="0.25">
      <c r="A22054"/>
      <c r="B22054"/>
      <c r="C22054"/>
      <c r="E22054"/>
      <c r="F22054"/>
    </row>
    <row r="22055" spans="1:6" x14ac:dyDescent="0.25">
      <c r="A22055"/>
      <c r="B22055"/>
      <c r="C22055"/>
      <c r="E22055"/>
      <c r="F22055"/>
    </row>
    <row r="22056" spans="1:6" x14ac:dyDescent="0.25">
      <c r="A22056"/>
      <c r="B22056"/>
      <c r="C22056"/>
      <c r="E22056"/>
      <c r="F22056"/>
    </row>
    <row r="22057" spans="1:6" x14ac:dyDescent="0.25">
      <c r="A22057"/>
      <c r="B22057"/>
      <c r="C22057"/>
      <c r="E22057"/>
      <c r="F22057"/>
    </row>
    <row r="22058" spans="1:6" x14ac:dyDescent="0.25">
      <c r="A22058"/>
      <c r="B22058"/>
      <c r="C22058"/>
      <c r="E22058"/>
      <c r="F22058"/>
    </row>
    <row r="22059" spans="1:6" x14ac:dyDescent="0.25">
      <c r="A22059"/>
      <c r="B22059"/>
      <c r="C22059"/>
      <c r="E22059"/>
      <c r="F22059"/>
    </row>
    <row r="22060" spans="1:6" x14ac:dyDescent="0.25">
      <c r="A22060"/>
      <c r="B22060"/>
      <c r="C22060"/>
      <c r="E22060"/>
      <c r="F22060"/>
    </row>
    <row r="22061" spans="1:6" x14ac:dyDescent="0.25">
      <c r="A22061"/>
      <c r="B22061"/>
      <c r="C22061"/>
      <c r="E22061"/>
      <c r="F22061"/>
    </row>
    <row r="22062" spans="1:6" x14ac:dyDescent="0.25">
      <c r="A22062"/>
      <c r="B22062"/>
      <c r="C22062"/>
      <c r="E22062"/>
      <c r="F22062"/>
    </row>
    <row r="22063" spans="1:6" x14ac:dyDescent="0.25">
      <c r="A22063"/>
      <c r="B22063"/>
      <c r="C22063"/>
      <c r="E22063"/>
      <c r="F22063"/>
    </row>
    <row r="22064" spans="1:6" x14ac:dyDescent="0.25">
      <c r="A22064"/>
      <c r="B22064"/>
      <c r="C22064"/>
      <c r="E22064"/>
      <c r="F22064"/>
    </row>
    <row r="22065" spans="1:6" x14ac:dyDescent="0.25">
      <c r="A22065"/>
      <c r="B22065"/>
      <c r="C22065"/>
      <c r="E22065"/>
      <c r="F22065"/>
    </row>
    <row r="22066" spans="1:6" x14ac:dyDescent="0.25">
      <c r="A22066"/>
      <c r="B22066"/>
      <c r="C22066"/>
      <c r="E22066"/>
      <c r="F22066"/>
    </row>
    <row r="22067" spans="1:6" x14ac:dyDescent="0.25">
      <c r="A22067"/>
      <c r="B22067"/>
      <c r="C22067"/>
      <c r="E22067"/>
      <c r="F22067"/>
    </row>
    <row r="22068" spans="1:6" x14ac:dyDescent="0.25">
      <c r="A22068"/>
      <c r="B22068"/>
      <c r="C22068"/>
      <c r="E22068"/>
      <c r="F22068"/>
    </row>
    <row r="22069" spans="1:6" x14ac:dyDescent="0.25">
      <c r="A22069"/>
      <c r="B22069"/>
      <c r="C22069"/>
      <c r="E22069"/>
      <c r="F22069"/>
    </row>
    <row r="22070" spans="1:6" x14ac:dyDescent="0.25">
      <c r="A22070"/>
      <c r="B22070"/>
      <c r="C22070"/>
      <c r="E22070"/>
      <c r="F22070"/>
    </row>
    <row r="22071" spans="1:6" x14ac:dyDescent="0.25">
      <c r="A22071"/>
      <c r="B22071"/>
      <c r="C22071"/>
      <c r="E22071"/>
      <c r="F22071"/>
    </row>
    <row r="22072" spans="1:6" x14ac:dyDescent="0.25">
      <c r="A22072"/>
      <c r="B22072"/>
      <c r="C22072"/>
      <c r="E22072"/>
      <c r="F22072"/>
    </row>
    <row r="22073" spans="1:6" x14ac:dyDescent="0.25">
      <c r="A22073"/>
      <c r="B22073"/>
      <c r="C22073"/>
      <c r="E22073"/>
      <c r="F22073"/>
    </row>
    <row r="22074" spans="1:6" x14ac:dyDescent="0.25">
      <c r="A22074"/>
      <c r="B22074"/>
      <c r="C22074"/>
      <c r="E22074"/>
      <c r="F22074"/>
    </row>
    <row r="22075" spans="1:6" x14ac:dyDescent="0.25">
      <c r="A22075"/>
      <c r="B22075"/>
      <c r="C22075"/>
      <c r="E22075"/>
      <c r="F22075"/>
    </row>
    <row r="22076" spans="1:6" x14ac:dyDescent="0.25">
      <c r="A22076"/>
      <c r="B22076"/>
      <c r="C22076"/>
      <c r="E22076"/>
      <c r="F22076"/>
    </row>
    <row r="22077" spans="1:6" x14ac:dyDescent="0.25">
      <c r="A22077"/>
      <c r="B22077"/>
      <c r="C22077"/>
      <c r="E22077"/>
      <c r="F22077"/>
    </row>
    <row r="22078" spans="1:6" x14ac:dyDescent="0.25">
      <c r="A22078"/>
      <c r="B22078"/>
      <c r="C22078"/>
      <c r="E22078"/>
      <c r="F22078"/>
    </row>
    <row r="22079" spans="1:6" x14ac:dyDescent="0.25">
      <c r="A22079"/>
      <c r="B22079"/>
      <c r="C22079"/>
      <c r="E22079"/>
      <c r="F22079"/>
    </row>
    <row r="22080" spans="1:6" x14ac:dyDescent="0.25">
      <c r="A22080"/>
      <c r="B22080"/>
      <c r="C22080"/>
      <c r="E22080"/>
      <c r="F22080"/>
    </row>
    <row r="22081" spans="1:6" x14ac:dyDescent="0.25">
      <c r="A22081"/>
      <c r="B22081"/>
      <c r="C22081"/>
      <c r="E22081"/>
      <c r="F22081"/>
    </row>
    <row r="22082" spans="1:6" x14ac:dyDescent="0.25">
      <c r="A22082"/>
      <c r="B22082"/>
      <c r="C22082"/>
      <c r="E22082"/>
      <c r="F22082"/>
    </row>
    <row r="22083" spans="1:6" x14ac:dyDescent="0.25">
      <c r="A22083"/>
      <c r="B22083"/>
      <c r="C22083"/>
      <c r="E22083"/>
      <c r="F22083"/>
    </row>
    <row r="22084" spans="1:6" x14ac:dyDescent="0.25">
      <c r="A22084"/>
      <c r="B22084"/>
      <c r="C22084"/>
      <c r="E22084"/>
      <c r="F22084"/>
    </row>
    <row r="22085" spans="1:6" x14ac:dyDescent="0.25">
      <c r="A22085"/>
      <c r="B22085"/>
      <c r="C22085"/>
      <c r="E22085"/>
      <c r="F22085"/>
    </row>
    <row r="22086" spans="1:6" x14ac:dyDescent="0.25">
      <c r="A22086"/>
      <c r="B22086"/>
      <c r="C22086"/>
      <c r="E22086"/>
      <c r="F22086"/>
    </row>
    <row r="22087" spans="1:6" x14ac:dyDescent="0.25">
      <c r="A22087"/>
      <c r="B22087"/>
      <c r="C22087"/>
      <c r="E22087"/>
      <c r="F22087"/>
    </row>
    <row r="22088" spans="1:6" x14ac:dyDescent="0.25">
      <c r="A22088"/>
      <c r="B22088"/>
      <c r="C22088"/>
      <c r="E22088"/>
      <c r="F22088"/>
    </row>
    <row r="22089" spans="1:6" x14ac:dyDescent="0.25">
      <c r="A22089"/>
      <c r="B22089"/>
      <c r="C22089"/>
      <c r="E22089"/>
      <c r="F22089"/>
    </row>
    <row r="22090" spans="1:6" x14ac:dyDescent="0.25">
      <c r="A22090"/>
      <c r="B22090"/>
      <c r="C22090"/>
      <c r="E22090"/>
      <c r="F22090"/>
    </row>
    <row r="22091" spans="1:6" x14ac:dyDescent="0.25">
      <c r="A22091"/>
      <c r="B22091"/>
      <c r="C22091"/>
      <c r="E22091"/>
      <c r="F22091"/>
    </row>
    <row r="22092" spans="1:6" x14ac:dyDescent="0.25">
      <c r="A22092"/>
      <c r="B22092"/>
      <c r="C22092"/>
      <c r="E22092"/>
      <c r="F22092"/>
    </row>
    <row r="22093" spans="1:6" x14ac:dyDescent="0.25">
      <c r="A22093"/>
      <c r="B22093"/>
      <c r="C22093"/>
      <c r="E22093"/>
      <c r="F22093"/>
    </row>
    <row r="22094" spans="1:6" x14ac:dyDescent="0.25">
      <c r="A22094"/>
      <c r="B22094"/>
      <c r="C22094"/>
      <c r="E22094"/>
      <c r="F22094"/>
    </row>
    <row r="22095" spans="1:6" x14ac:dyDescent="0.25">
      <c r="A22095"/>
      <c r="B22095"/>
      <c r="C22095"/>
      <c r="E22095"/>
      <c r="F22095"/>
    </row>
    <row r="22096" spans="1:6" x14ac:dyDescent="0.25">
      <c r="A22096"/>
      <c r="B22096"/>
      <c r="C22096"/>
      <c r="E22096"/>
      <c r="F22096"/>
    </row>
    <row r="22097" spans="1:6" x14ac:dyDescent="0.25">
      <c r="A22097"/>
      <c r="B22097"/>
      <c r="C22097"/>
      <c r="E22097"/>
      <c r="F22097"/>
    </row>
    <row r="22098" spans="1:6" x14ac:dyDescent="0.25">
      <c r="A22098"/>
      <c r="B22098"/>
      <c r="C22098"/>
      <c r="E22098"/>
      <c r="F22098"/>
    </row>
    <row r="22099" spans="1:6" x14ac:dyDescent="0.25">
      <c r="A22099"/>
      <c r="B22099"/>
      <c r="C22099"/>
      <c r="E22099"/>
      <c r="F22099"/>
    </row>
    <row r="22100" spans="1:6" x14ac:dyDescent="0.25">
      <c r="A22100"/>
      <c r="B22100"/>
      <c r="C22100"/>
      <c r="E22100"/>
      <c r="F22100"/>
    </row>
    <row r="22101" spans="1:6" x14ac:dyDescent="0.25">
      <c r="A22101"/>
      <c r="B22101"/>
      <c r="C22101"/>
      <c r="E22101"/>
      <c r="F22101"/>
    </row>
    <row r="22102" spans="1:6" x14ac:dyDescent="0.25">
      <c r="A22102"/>
      <c r="B22102"/>
      <c r="C22102"/>
      <c r="E22102"/>
      <c r="F22102"/>
    </row>
    <row r="22103" spans="1:6" x14ac:dyDescent="0.25">
      <c r="A22103"/>
      <c r="B22103"/>
      <c r="C22103"/>
      <c r="E22103"/>
      <c r="F22103"/>
    </row>
    <row r="22104" spans="1:6" x14ac:dyDescent="0.25">
      <c r="A22104"/>
      <c r="B22104"/>
      <c r="C22104"/>
      <c r="E22104"/>
      <c r="F22104"/>
    </row>
    <row r="22105" spans="1:6" x14ac:dyDescent="0.25">
      <c r="A22105"/>
      <c r="B22105"/>
      <c r="C22105"/>
      <c r="E22105"/>
      <c r="F22105"/>
    </row>
    <row r="22106" spans="1:6" x14ac:dyDescent="0.25">
      <c r="A22106"/>
      <c r="B22106"/>
      <c r="C22106"/>
      <c r="E22106"/>
      <c r="F22106"/>
    </row>
    <row r="22107" spans="1:6" x14ac:dyDescent="0.25">
      <c r="A22107"/>
      <c r="B22107"/>
      <c r="C22107"/>
      <c r="E22107"/>
      <c r="F22107"/>
    </row>
    <row r="22108" spans="1:6" x14ac:dyDescent="0.25">
      <c r="A22108"/>
      <c r="B22108"/>
      <c r="C22108"/>
      <c r="E22108"/>
      <c r="F22108"/>
    </row>
    <row r="22109" spans="1:6" x14ac:dyDescent="0.25">
      <c r="A22109"/>
      <c r="B22109"/>
      <c r="C22109"/>
      <c r="E22109"/>
      <c r="F22109"/>
    </row>
    <row r="22110" spans="1:6" x14ac:dyDescent="0.25">
      <c r="A22110"/>
      <c r="B22110"/>
      <c r="C22110"/>
      <c r="E22110"/>
      <c r="F22110"/>
    </row>
    <row r="22111" spans="1:6" x14ac:dyDescent="0.25">
      <c r="A22111"/>
      <c r="B22111"/>
      <c r="C22111"/>
      <c r="E22111"/>
      <c r="F22111"/>
    </row>
    <row r="22112" spans="1:6" x14ac:dyDescent="0.25">
      <c r="A22112"/>
      <c r="B22112"/>
      <c r="C22112"/>
      <c r="E22112"/>
      <c r="F22112"/>
    </row>
    <row r="22113" spans="1:6" x14ac:dyDescent="0.25">
      <c r="A22113"/>
      <c r="B22113"/>
      <c r="C22113"/>
      <c r="E22113"/>
      <c r="F22113"/>
    </row>
    <row r="22114" spans="1:6" x14ac:dyDescent="0.25">
      <c r="A22114"/>
      <c r="B22114"/>
      <c r="C22114"/>
      <c r="E22114"/>
      <c r="F22114"/>
    </row>
    <row r="22115" spans="1:6" x14ac:dyDescent="0.25">
      <c r="A22115"/>
      <c r="B22115"/>
      <c r="C22115"/>
      <c r="E22115"/>
      <c r="F22115"/>
    </row>
    <row r="22116" spans="1:6" x14ac:dyDescent="0.25">
      <c r="A22116"/>
      <c r="B22116"/>
      <c r="C22116"/>
      <c r="E22116"/>
      <c r="F22116"/>
    </row>
    <row r="22117" spans="1:6" x14ac:dyDescent="0.25">
      <c r="A22117"/>
      <c r="B22117"/>
      <c r="C22117"/>
      <c r="E22117"/>
      <c r="F22117"/>
    </row>
    <row r="22118" spans="1:6" x14ac:dyDescent="0.25">
      <c r="A22118"/>
      <c r="B22118"/>
      <c r="C22118"/>
      <c r="E22118"/>
      <c r="F22118"/>
    </row>
    <row r="22119" spans="1:6" x14ac:dyDescent="0.25">
      <c r="A22119"/>
      <c r="B22119"/>
      <c r="C22119"/>
      <c r="E22119"/>
      <c r="F22119"/>
    </row>
    <row r="22120" spans="1:6" x14ac:dyDescent="0.25">
      <c r="A22120"/>
      <c r="B22120"/>
      <c r="C22120"/>
      <c r="E22120"/>
      <c r="F22120"/>
    </row>
    <row r="22121" spans="1:6" x14ac:dyDescent="0.25">
      <c r="A22121"/>
      <c r="B22121"/>
      <c r="C22121"/>
      <c r="E22121"/>
      <c r="F22121"/>
    </row>
    <row r="22122" spans="1:6" x14ac:dyDescent="0.25">
      <c r="A22122"/>
      <c r="B22122"/>
      <c r="C22122"/>
      <c r="E22122"/>
      <c r="F22122"/>
    </row>
    <row r="22123" spans="1:6" x14ac:dyDescent="0.25">
      <c r="A22123"/>
      <c r="B22123"/>
      <c r="C22123"/>
      <c r="E22123"/>
      <c r="F22123"/>
    </row>
    <row r="22124" spans="1:6" x14ac:dyDescent="0.25">
      <c r="A22124"/>
      <c r="B22124"/>
      <c r="C22124"/>
      <c r="E22124"/>
      <c r="F22124"/>
    </row>
    <row r="22125" spans="1:6" x14ac:dyDescent="0.25">
      <c r="A22125"/>
      <c r="B22125"/>
      <c r="C22125"/>
      <c r="E22125"/>
      <c r="F22125"/>
    </row>
    <row r="22126" spans="1:6" x14ac:dyDescent="0.25">
      <c r="A22126"/>
      <c r="B22126"/>
      <c r="C22126"/>
      <c r="E22126"/>
      <c r="F22126"/>
    </row>
    <row r="22127" spans="1:6" x14ac:dyDescent="0.25">
      <c r="A22127"/>
      <c r="B22127"/>
      <c r="C22127"/>
      <c r="E22127"/>
      <c r="F22127"/>
    </row>
    <row r="22128" spans="1:6" x14ac:dyDescent="0.25">
      <c r="A22128"/>
      <c r="B22128"/>
      <c r="C22128"/>
      <c r="E22128"/>
      <c r="F22128"/>
    </row>
    <row r="22129" spans="1:6" x14ac:dyDescent="0.25">
      <c r="A22129"/>
      <c r="B22129"/>
      <c r="C22129"/>
      <c r="E22129"/>
      <c r="F22129"/>
    </row>
    <row r="22130" spans="1:6" x14ac:dyDescent="0.25">
      <c r="A22130"/>
      <c r="B22130"/>
      <c r="C22130"/>
      <c r="E22130"/>
      <c r="F22130"/>
    </row>
    <row r="22131" spans="1:6" x14ac:dyDescent="0.25">
      <c r="A22131"/>
      <c r="B22131"/>
      <c r="C22131"/>
      <c r="E22131"/>
      <c r="F22131"/>
    </row>
    <row r="22132" spans="1:6" x14ac:dyDescent="0.25">
      <c r="A22132"/>
      <c r="B22132"/>
      <c r="C22132"/>
      <c r="E22132"/>
      <c r="F22132"/>
    </row>
    <row r="22133" spans="1:6" x14ac:dyDescent="0.25">
      <c r="A22133"/>
      <c r="B22133"/>
      <c r="C22133"/>
      <c r="E22133"/>
      <c r="F22133"/>
    </row>
    <row r="22134" spans="1:6" x14ac:dyDescent="0.25">
      <c r="A22134"/>
      <c r="B22134"/>
      <c r="C22134"/>
      <c r="E22134"/>
      <c r="F22134"/>
    </row>
    <row r="22135" spans="1:6" x14ac:dyDescent="0.25">
      <c r="A22135"/>
      <c r="B22135"/>
      <c r="C22135"/>
      <c r="E22135"/>
      <c r="F22135"/>
    </row>
    <row r="22136" spans="1:6" x14ac:dyDescent="0.25">
      <c r="A22136"/>
      <c r="B22136"/>
      <c r="C22136"/>
      <c r="E22136"/>
      <c r="F22136"/>
    </row>
    <row r="22137" spans="1:6" x14ac:dyDescent="0.25">
      <c r="A22137"/>
      <c r="B22137"/>
      <c r="C22137"/>
      <c r="E22137"/>
      <c r="F22137"/>
    </row>
    <row r="22138" spans="1:6" x14ac:dyDescent="0.25">
      <c r="A22138"/>
      <c r="B22138"/>
      <c r="C22138"/>
      <c r="E22138"/>
      <c r="F22138"/>
    </row>
    <row r="22139" spans="1:6" x14ac:dyDescent="0.25">
      <c r="A22139"/>
      <c r="B22139"/>
      <c r="C22139"/>
      <c r="E22139"/>
      <c r="F22139"/>
    </row>
    <row r="22140" spans="1:6" x14ac:dyDescent="0.25">
      <c r="A22140"/>
      <c r="B22140"/>
      <c r="C22140"/>
      <c r="E22140"/>
      <c r="F22140"/>
    </row>
    <row r="22141" spans="1:6" x14ac:dyDescent="0.25">
      <c r="A22141"/>
      <c r="B22141"/>
      <c r="C22141"/>
      <c r="E22141"/>
      <c r="F22141"/>
    </row>
    <row r="22142" spans="1:6" x14ac:dyDescent="0.25">
      <c r="A22142"/>
      <c r="B22142"/>
      <c r="C22142"/>
      <c r="E22142"/>
      <c r="F22142"/>
    </row>
    <row r="22143" spans="1:6" x14ac:dyDescent="0.25">
      <c r="A22143"/>
      <c r="B22143"/>
      <c r="C22143"/>
      <c r="E22143"/>
      <c r="F22143"/>
    </row>
    <row r="22144" spans="1:6" x14ac:dyDescent="0.25">
      <c r="A22144"/>
      <c r="B22144"/>
      <c r="C22144"/>
      <c r="E22144"/>
      <c r="F22144"/>
    </row>
    <row r="22145" spans="1:6" x14ac:dyDescent="0.25">
      <c r="A22145"/>
      <c r="B22145"/>
      <c r="C22145"/>
      <c r="E22145"/>
      <c r="F22145"/>
    </row>
    <row r="22146" spans="1:6" x14ac:dyDescent="0.25">
      <c r="A22146"/>
      <c r="B22146"/>
      <c r="C22146"/>
      <c r="E22146"/>
      <c r="F22146"/>
    </row>
    <row r="22147" spans="1:6" x14ac:dyDescent="0.25">
      <c r="A22147"/>
      <c r="B22147"/>
      <c r="C22147"/>
      <c r="E22147"/>
      <c r="F22147"/>
    </row>
    <row r="22148" spans="1:6" x14ac:dyDescent="0.25">
      <c r="A22148"/>
      <c r="B22148"/>
      <c r="C22148"/>
      <c r="E22148"/>
      <c r="F22148"/>
    </row>
    <row r="22149" spans="1:6" x14ac:dyDescent="0.25">
      <c r="A22149"/>
      <c r="B22149"/>
      <c r="C22149"/>
      <c r="E22149"/>
      <c r="F22149"/>
    </row>
    <row r="22150" spans="1:6" x14ac:dyDescent="0.25">
      <c r="A22150"/>
      <c r="B22150"/>
      <c r="C22150"/>
      <c r="E22150"/>
      <c r="F22150"/>
    </row>
    <row r="22151" spans="1:6" x14ac:dyDescent="0.25">
      <c r="A22151"/>
      <c r="B22151"/>
      <c r="C22151"/>
      <c r="E22151"/>
      <c r="F22151"/>
    </row>
    <row r="22152" spans="1:6" x14ac:dyDescent="0.25">
      <c r="A22152"/>
      <c r="B22152"/>
      <c r="C22152"/>
      <c r="E22152"/>
      <c r="F22152"/>
    </row>
    <row r="22153" spans="1:6" x14ac:dyDescent="0.25">
      <c r="A22153"/>
      <c r="B22153"/>
      <c r="C22153"/>
      <c r="E22153"/>
      <c r="F22153"/>
    </row>
    <row r="22154" spans="1:6" x14ac:dyDescent="0.25">
      <c r="A22154"/>
      <c r="B22154"/>
      <c r="C22154"/>
      <c r="E22154"/>
      <c r="F22154"/>
    </row>
    <row r="22155" spans="1:6" x14ac:dyDescent="0.25">
      <c r="A22155"/>
      <c r="B22155"/>
      <c r="C22155"/>
      <c r="E22155"/>
      <c r="F22155"/>
    </row>
    <row r="22156" spans="1:6" x14ac:dyDescent="0.25">
      <c r="A22156"/>
      <c r="B22156"/>
      <c r="C22156"/>
      <c r="E22156"/>
      <c r="F22156"/>
    </row>
    <row r="22157" spans="1:6" x14ac:dyDescent="0.25">
      <c r="A22157"/>
      <c r="B22157"/>
      <c r="C22157"/>
      <c r="E22157"/>
      <c r="F22157"/>
    </row>
    <row r="22158" spans="1:6" x14ac:dyDescent="0.25">
      <c r="A22158"/>
      <c r="B22158"/>
      <c r="C22158"/>
      <c r="E22158"/>
      <c r="F22158"/>
    </row>
    <row r="22159" spans="1:6" x14ac:dyDescent="0.25">
      <c r="A22159"/>
      <c r="B22159"/>
      <c r="C22159"/>
      <c r="E22159"/>
      <c r="F22159"/>
    </row>
    <row r="22160" spans="1:6" x14ac:dyDescent="0.25">
      <c r="A22160"/>
      <c r="B22160"/>
      <c r="C22160"/>
      <c r="E22160"/>
      <c r="F22160"/>
    </row>
    <row r="22161" spans="1:6" x14ac:dyDescent="0.25">
      <c r="A22161"/>
      <c r="B22161"/>
      <c r="C22161"/>
      <c r="E22161"/>
      <c r="F22161"/>
    </row>
    <row r="22162" spans="1:6" x14ac:dyDescent="0.25">
      <c r="A22162"/>
      <c r="B22162"/>
      <c r="C22162"/>
      <c r="E22162"/>
      <c r="F22162"/>
    </row>
    <row r="22163" spans="1:6" x14ac:dyDescent="0.25">
      <c r="A22163"/>
      <c r="B22163"/>
      <c r="C22163"/>
      <c r="E22163"/>
      <c r="F22163"/>
    </row>
    <row r="22164" spans="1:6" x14ac:dyDescent="0.25">
      <c r="A22164"/>
      <c r="B22164"/>
      <c r="C22164"/>
      <c r="E22164"/>
      <c r="F22164"/>
    </row>
    <row r="22165" spans="1:6" x14ac:dyDescent="0.25">
      <c r="A22165"/>
      <c r="B22165"/>
      <c r="C22165"/>
      <c r="E22165"/>
      <c r="F22165"/>
    </row>
    <row r="22166" spans="1:6" x14ac:dyDescent="0.25">
      <c r="A22166"/>
      <c r="B22166"/>
      <c r="C22166"/>
      <c r="E22166"/>
      <c r="F22166"/>
    </row>
    <row r="22167" spans="1:6" x14ac:dyDescent="0.25">
      <c r="A22167"/>
      <c r="B22167"/>
      <c r="C22167"/>
      <c r="E22167"/>
      <c r="F22167"/>
    </row>
    <row r="22168" spans="1:6" x14ac:dyDescent="0.25">
      <c r="A22168"/>
      <c r="B22168"/>
      <c r="C22168"/>
      <c r="E22168"/>
      <c r="F22168"/>
    </row>
    <row r="22169" spans="1:6" x14ac:dyDescent="0.25">
      <c r="A22169"/>
      <c r="B22169"/>
      <c r="C22169"/>
      <c r="E22169"/>
      <c r="F22169"/>
    </row>
    <row r="22170" spans="1:6" x14ac:dyDescent="0.25">
      <c r="A22170"/>
      <c r="B22170"/>
      <c r="C22170"/>
      <c r="E22170"/>
      <c r="F22170"/>
    </row>
    <row r="22171" spans="1:6" x14ac:dyDescent="0.25">
      <c r="A22171"/>
      <c r="B22171"/>
      <c r="C22171"/>
      <c r="E22171"/>
      <c r="F22171"/>
    </row>
    <row r="22172" spans="1:6" x14ac:dyDescent="0.25">
      <c r="A22172"/>
      <c r="B22172"/>
      <c r="C22172"/>
      <c r="E22172"/>
      <c r="F22172"/>
    </row>
    <row r="22173" spans="1:6" x14ac:dyDescent="0.25">
      <c r="A22173"/>
      <c r="B22173"/>
      <c r="C22173"/>
      <c r="E22173"/>
      <c r="F22173"/>
    </row>
    <row r="22174" spans="1:6" x14ac:dyDescent="0.25">
      <c r="A22174"/>
      <c r="B22174"/>
      <c r="C22174"/>
      <c r="E22174"/>
      <c r="F22174"/>
    </row>
    <row r="22175" spans="1:6" x14ac:dyDescent="0.25">
      <c r="A22175"/>
      <c r="B22175"/>
      <c r="C22175"/>
      <c r="E22175"/>
      <c r="F22175"/>
    </row>
    <row r="22176" spans="1:6" x14ac:dyDescent="0.25">
      <c r="A22176"/>
      <c r="B22176"/>
      <c r="C22176"/>
      <c r="E22176"/>
      <c r="F22176"/>
    </row>
    <row r="22177" spans="1:6" x14ac:dyDescent="0.25">
      <c r="A22177"/>
      <c r="B22177"/>
      <c r="C22177"/>
      <c r="E22177"/>
      <c r="F22177"/>
    </row>
    <row r="22178" spans="1:6" x14ac:dyDescent="0.25">
      <c r="A22178"/>
      <c r="B22178"/>
      <c r="C22178"/>
      <c r="E22178"/>
      <c r="F22178"/>
    </row>
    <row r="22179" spans="1:6" x14ac:dyDescent="0.25">
      <c r="A22179"/>
      <c r="B22179"/>
      <c r="C22179"/>
      <c r="E22179"/>
      <c r="F22179"/>
    </row>
    <row r="22180" spans="1:6" x14ac:dyDescent="0.25">
      <c r="A22180"/>
      <c r="B22180"/>
      <c r="C22180"/>
      <c r="E22180"/>
      <c r="F22180"/>
    </row>
    <row r="22181" spans="1:6" x14ac:dyDescent="0.25">
      <c r="A22181"/>
      <c r="B22181"/>
      <c r="C22181"/>
      <c r="E22181"/>
      <c r="F22181"/>
    </row>
    <row r="22182" spans="1:6" x14ac:dyDescent="0.25">
      <c r="A22182"/>
      <c r="B22182"/>
      <c r="C22182"/>
      <c r="E22182"/>
      <c r="F22182"/>
    </row>
    <row r="22183" spans="1:6" x14ac:dyDescent="0.25">
      <c r="A22183"/>
      <c r="B22183"/>
      <c r="C22183"/>
      <c r="E22183"/>
      <c r="F22183"/>
    </row>
    <row r="22184" spans="1:6" x14ac:dyDescent="0.25">
      <c r="A22184"/>
      <c r="B22184"/>
      <c r="C22184"/>
      <c r="E22184"/>
      <c r="F22184"/>
    </row>
    <row r="22185" spans="1:6" x14ac:dyDescent="0.25">
      <c r="A22185"/>
      <c r="B22185"/>
      <c r="C22185"/>
      <c r="E22185"/>
      <c r="F22185"/>
    </row>
    <row r="22186" spans="1:6" x14ac:dyDescent="0.25">
      <c r="A22186"/>
      <c r="B22186"/>
      <c r="C22186"/>
      <c r="E22186"/>
      <c r="F22186"/>
    </row>
    <row r="22187" spans="1:6" x14ac:dyDescent="0.25">
      <c r="A22187"/>
      <c r="B22187"/>
      <c r="C22187"/>
      <c r="E22187"/>
      <c r="F22187"/>
    </row>
    <row r="22188" spans="1:6" x14ac:dyDescent="0.25">
      <c r="A22188"/>
      <c r="B22188"/>
      <c r="C22188"/>
      <c r="E22188"/>
      <c r="F22188"/>
    </row>
    <row r="22189" spans="1:6" x14ac:dyDescent="0.25">
      <c r="A22189"/>
      <c r="B22189"/>
      <c r="C22189"/>
      <c r="E22189"/>
      <c r="F22189"/>
    </row>
    <row r="22190" spans="1:6" x14ac:dyDescent="0.25">
      <c r="A22190"/>
      <c r="B22190"/>
      <c r="C22190"/>
      <c r="E22190"/>
      <c r="F22190"/>
    </row>
    <row r="22191" spans="1:6" x14ac:dyDescent="0.25">
      <c r="A22191"/>
      <c r="B22191"/>
      <c r="C22191"/>
      <c r="E22191"/>
      <c r="F22191"/>
    </row>
    <row r="22192" spans="1:6" x14ac:dyDescent="0.25">
      <c r="A22192"/>
      <c r="B22192"/>
      <c r="C22192"/>
      <c r="E22192"/>
      <c r="F22192"/>
    </row>
    <row r="22193" spans="1:6" x14ac:dyDescent="0.25">
      <c r="A22193"/>
      <c r="B22193"/>
      <c r="C22193"/>
      <c r="E22193"/>
      <c r="F22193"/>
    </row>
    <row r="22194" spans="1:6" x14ac:dyDescent="0.25">
      <c r="A22194"/>
      <c r="B22194"/>
      <c r="C22194"/>
      <c r="E22194"/>
      <c r="F22194"/>
    </row>
    <row r="22195" spans="1:6" x14ac:dyDescent="0.25">
      <c r="A22195"/>
      <c r="B22195"/>
      <c r="C22195"/>
      <c r="E22195"/>
      <c r="F22195"/>
    </row>
    <row r="22196" spans="1:6" x14ac:dyDescent="0.25">
      <c r="A22196"/>
      <c r="B22196"/>
      <c r="C22196"/>
      <c r="E22196"/>
      <c r="F22196"/>
    </row>
    <row r="22197" spans="1:6" x14ac:dyDescent="0.25">
      <c r="A22197"/>
      <c r="B22197"/>
      <c r="C22197"/>
      <c r="E22197"/>
      <c r="F22197"/>
    </row>
    <row r="22198" spans="1:6" x14ac:dyDescent="0.25">
      <c r="A22198"/>
      <c r="B22198"/>
      <c r="C22198"/>
      <c r="E22198"/>
      <c r="F22198"/>
    </row>
    <row r="22199" spans="1:6" x14ac:dyDescent="0.25">
      <c r="A22199"/>
      <c r="B22199"/>
      <c r="C22199"/>
      <c r="E22199"/>
      <c r="F22199"/>
    </row>
    <row r="22200" spans="1:6" x14ac:dyDescent="0.25">
      <c r="A22200"/>
      <c r="B22200"/>
      <c r="C22200"/>
      <c r="E22200"/>
      <c r="F22200"/>
    </row>
    <row r="22201" spans="1:6" x14ac:dyDescent="0.25">
      <c r="A22201"/>
      <c r="B22201"/>
      <c r="C22201"/>
      <c r="E22201"/>
      <c r="F22201"/>
    </row>
    <row r="22202" spans="1:6" x14ac:dyDescent="0.25">
      <c r="A22202"/>
      <c r="B22202"/>
      <c r="C22202"/>
      <c r="E22202"/>
      <c r="F22202"/>
    </row>
    <row r="22203" spans="1:6" x14ac:dyDescent="0.25">
      <c r="A22203"/>
      <c r="B22203"/>
      <c r="C22203"/>
      <c r="E22203"/>
      <c r="F22203"/>
    </row>
    <row r="22204" spans="1:6" x14ac:dyDescent="0.25">
      <c r="A22204"/>
      <c r="B22204"/>
      <c r="C22204"/>
      <c r="E22204"/>
      <c r="F22204"/>
    </row>
    <row r="22205" spans="1:6" x14ac:dyDescent="0.25">
      <c r="A22205"/>
      <c r="B22205"/>
      <c r="C22205"/>
      <c r="E22205"/>
      <c r="F22205"/>
    </row>
    <row r="22206" spans="1:6" x14ac:dyDescent="0.25">
      <c r="A22206"/>
      <c r="B22206"/>
      <c r="C22206"/>
      <c r="E22206"/>
      <c r="F22206"/>
    </row>
    <row r="22207" spans="1:6" x14ac:dyDescent="0.25">
      <c r="A22207"/>
      <c r="B22207"/>
      <c r="C22207"/>
      <c r="E22207"/>
      <c r="F22207"/>
    </row>
    <row r="22208" spans="1:6" x14ac:dyDescent="0.25">
      <c r="A22208"/>
      <c r="B22208"/>
      <c r="C22208"/>
      <c r="E22208"/>
      <c r="F22208"/>
    </row>
    <row r="22209" spans="1:6" x14ac:dyDescent="0.25">
      <c r="A22209"/>
      <c r="B22209"/>
      <c r="C22209"/>
      <c r="E22209"/>
      <c r="F22209"/>
    </row>
    <row r="22210" spans="1:6" x14ac:dyDescent="0.25">
      <c r="A22210"/>
      <c r="B22210"/>
      <c r="C22210"/>
      <c r="E22210"/>
      <c r="F22210"/>
    </row>
    <row r="22211" spans="1:6" x14ac:dyDescent="0.25">
      <c r="A22211"/>
      <c r="B22211"/>
      <c r="C22211"/>
      <c r="E22211"/>
      <c r="F22211"/>
    </row>
    <row r="22212" spans="1:6" x14ac:dyDescent="0.25">
      <c r="A22212"/>
      <c r="B22212"/>
      <c r="C22212"/>
      <c r="E22212"/>
      <c r="F22212"/>
    </row>
    <row r="22213" spans="1:6" x14ac:dyDescent="0.25">
      <c r="A22213"/>
      <c r="B22213"/>
      <c r="C22213"/>
      <c r="E22213"/>
      <c r="F22213"/>
    </row>
    <row r="22214" spans="1:6" x14ac:dyDescent="0.25">
      <c r="A22214"/>
      <c r="B22214"/>
      <c r="C22214"/>
      <c r="E22214"/>
      <c r="F22214"/>
    </row>
    <row r="22215" spans="1:6" x14ac:dyDescent="0.25">
      <c r="A22215"/>
      <c r="B22215"/>
      <c r="C22215"/>
      <c r="E22215"/>
      <c r="F22215"/>
    </row>
    <row r="22216" spans="1:6" x14ac:dyDescent="0.25">
      <c r="A22216"/>
      <c r="B22216"/>
      <c r="C22216"/>
      <c r="E22216"/>
      <c r="F22216"/>
    </row>
    <row r="22217" spans="1:6" x14ac:dyDescent="0.25">
      <c r="A22217"/>
      <c r="B22217"/>
      <c r="C22217"/>
      <c r="E22217"/>
      <c r="F22217"/>
    </row>
    <row r="22218" spans="1:6" x14ac:dyDescent="0.25">
      <c r="A22218"/>
      <c r="B22218"/>
      <c r="C22218"/>
      <c r="E22218"/>
      <c r="F22218"/>
    </row>
    <row r="22219" spans="1:6" x14ac:dyDescent="0.25">
      <c r="A22219"/>
      <c r="B22219"/>
      <c r="C22219"/>
      <c r="E22219"/>
      <c r="F22219"/>
    </row>
    <row r="22220" spans="1:6" x14ac:dyDescent="0.25">
      <c r="A22220"/>
      <c r="B22220"/>
      <c r="C22220"/>
      <c r="E22220"/>
      <c r="F22220"/>
    </row>
    <row r="22221" spans="1:6" x14ac:dyDescent="0.25">
      <c r="A22221"/>
      <c r="B22221"/>
      <c r="C22221"/>
      <c r="E22221"/>
      <c r="F22221"/>
    </row>
    <row r="22222" spans="1:6" x14ac:dyDescent="0.25">
      <c r="A22222"/>
      <c r="B22222"/>
      <c r="C22222"/>
      <c r="E22222"/>
      <c r="F22222"/>
    </row>
    <row r="22223" spans="1:6" x14ac:dyDescent="0.25">
      <c r="A22223"/>
      <c r="B22223"/>
      <c r="C22223"/>
      <c r="E22223"/>
      <c r="F22223"/>
    </row>
    <row r="22224" spans="1:6" x14ac:dyDescent="0.25">
      <c r="A22224"/>
      <c r="B22224"/>
      <c r="C22224"/>
      <c r="E22224"/>
      <c r="F22224"/>
    </row>
    <row r="22225" spans="1:6" x14ac:dyDescent="0.25">
      <c r="A22225"/>
      <c r="B22225"/>
      <c r="C22225"/>
      <c r="E22225"/>
      <c r="F22225"/>
    </row>
    <row r="22226" spans="1:6" x14ac:dyDescent="0.25">
      <c r="A22226"/>
      <c r="B22226"/>
      <c r="C22226"/>
      <c r="E22226"/>
      <c r="F22226"/>
    </row>
    <row r="22227" spans="1:6" x14ac:dyDescent="0.25">
      <c r="A22227"/>
      <c r="B22227"/>
      <c r="C22227"/>
      <c r="E22227"/>
      <c r="F22227"/>
    </row>
    <row r="22228" spans="1:6" x14ac:dyDescent="0.25">
      <c r="A22228"/>
      <c r="B22228"/>
      <c r="C22228"/>
      <c r="E22228"/>
      <c r="F22228"/>
    </row>
    <row r="22229" spans="1:6" x14ac:dyDescent="0.25">
      <c r="A22229"/>
      <c r="B22229"/>
      <c r="C22229"/>
      <c r="E22229"/>
      <c r="F22229"/>
    </row>
    <row r="22230" spans="1:6" x14ac:dyDescent="0.25">
      <c r="A22230"/>
      <c r="B22230"/>
      <c r="C22230"/>
      <c r="E22230"/>
      <c r="F22230"/>
    </row>
    <row r="22231" spans="1:6" x14ac:dyDescent="0.25">
      <c r="A22231"/>
      <c r="B22231"/>
      <c r="C22231"/>
      <c r="E22231"/>
      <c r="F22231"/>
    </row>
    <row r="22232" spans="1:6" x14ac:dyDescent="0.25">
      <c r="A22232"/>
      <c r="B22232"/>
      <c r="C22232"/>
      <c r="E22232"/>
      <c r="F22232"/>
    </row>
    <row r="22233" spans="1:6" x14ac:dyDescent="0.25">
      <c r="A22233"/>
      <c r="B22233"/>
      <c r="C22233"/>
      <c r="E22233"/>
      <c r="F22233"/>
    </row>
    <row r="22234" spans="1:6" x14ac:dyDescent="0.25">
      <c r="A22234"/>
      <c r="B22234"/>
      <c r="C22234"/>
      <c r="E22234"/>
      <c r="F22234"/>
    </row>
    <row r="22235" spans="1:6" x14ac:dyDescent="0.25">
      <c r="A22235"/>
      <c r="B22235"/>
      <c r="C22235"/>
      <c r="E22235"/>
      <c r="F22235"/>
    </row>
    <row r="22236" spans="1:6" x14ac:dyDescent="0.25">
      <c r="A22236"/>
      <c r="B22236"/>
      <c r="C22236"/>
      <c r="E22236"/>
      <c r="F22236"/>
    </row>
    <row r="22237" spans="1:6" x14ac:dyDescent="0.25">
      <c r="A22237"/>
      <c r="B22237"/>
      <c r="C22237"/>
      <c r="E22237"/>
      <c r="F22237"/>
    </row>
    <row r="22238" spans="1:6" x14ac:dyDescent="0.25">
      <c r="A22238"/>
      <c r="B22238"/>
      <c r="C22238"/>
      <c r="E22238"/>
      <c r="F22238"/>
    </row>
    <row r="22239" spans="1:6" x14ac:dyDescent="0.25">
      <c r="A22239"/>
      <c r="B22239"/>
      <c r="C22239"/>
      <c r="E22239"/>
      <c r="F22239"/>
    </row>
    <row r="22240" spans="1:6" x14ac:dyDescent="0.25">
      <c r="A22240"/>
      <c r="B22240"/>
      <c r="C22240"/>
      <c r="E22240"/>
      <c r="F22240"/>
    </row>
    <row r="22241" spans="1:6" x14ac:dyDescent="0.25">
      <c r="A22241"/>
      <c r="B22241"/>
      <c r="C22241"/>
      <c r="E22241"/>
      <c r="F22241"/>
    </row>
    <row r="22242" spans="1:6" x14ac:dyDescent="0.25">
      <c r="A22242"/>
      <c r="B22242"/>
      <c r="C22242"/>
      <c r="E22242"/>
      <c r="F22242"/>
    </row>
    <row r="22243" spans="1:6" x14ac:dyDescent="0.25">
      <c r="A22243"/>
      <c r="B22243"/>
      <c r="C22243"/>
      <c r="E22243"/>
      <c r="F22243"/>
    </row>
    <row r="22244" spans="1:6" x14ac:dyDescent="0.25">
      <c r="A22244"/>
      <c r="B22244"/>
      <c r="C22244"/>
      <c r="E22244"/>
      <c r="F22244"/>
    </row>
    <row r="22245" spans="1:6" x14ac:dyDescent="0.25">
      <c r="A22245"/>
      <c r="B22245"/>
      <c r="C22245"/>
      <c r="E22245"/>
      <c r="F22245"/>
    </row>
    <row r="22246" spans="1:6" x14ac:dyDescent="0.25">
      <c r="A22246"/>
      <c r="B22246"/>
      <c r="C22246"/>
      <c r="E22246"/>
      <c r="F22246"/>
    </row>
    <row r="22247" spans="1:6" x14ac:dyDescent="0.25">
      <c r="A22247"/>
      <c r="B22247"/>
      <c r="C22247"/>
      <c r="E22247"/>
      <c r="F22247"/>
    </row>
    <row r="22248" spans="1:6" x14ac:dyDescent="0.25">
      <c r="A22248"/>
      <c r="B22248"/>
      <c r="C22248"/>
      <c r="E22248"/>
      <c r="F22248"/>
    </row>
    <row r="22249" spans="1:6" x14ac:dyDescent="0.25">
      <c r="A22249"/>
      <c r="B22249"/>
      <c r="C22249"/>
      <c r="E22249"/>
      <c r="F22249"/>
    </row>
    <row r="22250" spans="1:6" x14ac:dyDescent="0.25">
      <c r="A22250"/>
      <c r="B22250"/>
      <c r="C22250"/>
      <c r="E22250"/>
      <c r="F22250"/>
    </row>
    <row r="22251" spans="1:6" x14ac:dyDescent="0.25">
      <c r="A22251"/>
      <c r="B22251"/>
      <c r="C22251"/>
      <c r="E22251"/>
      <c r="F22251"/>
    </row>
    <row r="22252" spans="1:6" x14ac:dyDescent="0.25">
      <c r="A22252"/>
      <c r="B22252"/>
      <c r="C22252"/>
      <c r="E22252"/>
      <c r="F22252"/>
    </row>
    <row r="22253" spans="1:6" x14ac:dyDescent="0.25">
      <c r="A22253"/>
      <c r="B22253"/>
      <c r="C22253"/>
      <c r="E22253"/>
      <c r="F22253"/>
    </row>
    <row r="22254" spans="1:6" x14ac:dyDescent="0.25">
      <c r="A22254"/>
      <c r="B22254"/>
      <c r="C22254"/>
      <c r="E22254"/>
      <c r="F22254"/>
    </row>
    <row r="22255" spans="1:6" x14ac:dyDescent="0.25">
      <c r="A22255"/>
      <c r="B22255"/>
      <c r="C22255"/>
      <c r="E22255"/>
      <c r="F22255"/>
    </row>
    <row r="22256" spans="1:6" x14ac:dyDescent="0.25">
      <c r="A22256"/>
      <c r="B22256"/>
      <c r="C22256"/>
      <c r="E22256"/>
      <c r="F22256"/>
    </row>
    <row r="22257" spans="1:6" x14ac:dyDescent="0.25">
      <c r="A22257"/>
      <c r="B22257"/>
      <c r="C22257"/>
      <c r="E22257"/>
      <c r="F22257"/>
    </row>
    <row r="22258" spans="1:6" x14ac:dyDescent="0.25">
      <c r="A22258"/>
      <c r="B22258"/>
      <c r="C22258"/>
      <c r="E22258"/>
      <c r="F22258"/>
    </row>
    <row r="22259" spans="1:6" x14ac:dyDescent="0.25">
      <c r="A22259"/>
      <c r="B22259"/>
      <c r="C22259"/>
      <c r="E22259"/>
      <c r="F22259"/>
    </row>
    <row r="22260" spans="1:6" x14ac:dyDescent="0.25">
      <c r="A22260"/>
      <c r="B22260"/>
      <c r="C22260"/>
      <c r="E22260"/>
      <c r="F22260"/>
    </row>
    <row r="22261" spans="1:6" x14ac:dyDescent="0.25">
      <c r="A22261"/>
      <c r="B22261"/>
      <c r="C22261"/>
      <c r="E22261"/>
      <c r="F22261"/>
    </row>
    <row r="22262" spans="1:6" x14ac:dyDescent="0.25">
      <c r="A22262"/>
      <c r="B22262"/>
      <c r="C22262"/>
      <c r="E22262"/>
      <c r="F22262"/>
    </row>
    <row r="22263" spans="1:6" x14ac:dyDescent="0.25">
      <c r="A22263"/>
      <c r="B22263"/>
      <c r="C22263"/>
      <c r="E22263"/>
      <c r="F22263"/>
    </row>
    <row r="22264" spans="1:6" x14ac:dyDescent="0.25">
      <c r="A22264"/>
      <c r="B22264"/>
      <c r="C22264"/>
      <c r="E22264"/>
      <c r="F22264"/>
    </row>
    <row r="22265" spans="1:6" x14ac:dyDescent="0.25">
      <c r="A22265"/>
      <c r="B22265"/>
      <c r="C22265"/>
      <c r="E22265"/>
      <c r="F22265"/>
    </row>
    <row r="22266" spans="1:6" x14ac:dyDescent="0.25">
      <c r="A22266"/>
      <c r="B22266"/>
      <c r="C22266"/>
      <c r="E22266"/>
      <c r="F22266"/>
    </row>
    <row r="22267" spans="1:6" x14ac:dyDescent="0.25">
      <c r="A22267"/>
      <c r="B22267"/>
      <c r="C22267"/>
      <c r="E22267"/>
      <c r="F22267"/>
    </row>
    <row r="22268" spans="1:6" x14ac:dyDescent="0.25">
      <c r="A22268"/>
      <c r="B22268"/>
      <c r="C22268"/>
      <c r="E22268"/>
      <c r="F22268"/>
    </row>
    <row r="22269" spans="1:6" x14ac:dyDescent="0.25">
      <c r="A22269"/>
      <c r="B22269"/>
      <c r="C22269"/>
      <c r="E22269"/>
      <c r="F22269"/>
    </row>
    <row r="22270" spans="1:6" x14ac:dyDescent="0.25">
      <c r="A22270"/>
      <c r="B22270"/>
      <c r="C22270"/>
      <c r="E22270"/>
      <c r="F22270"/>
    </row>
    <row r="22271" spans="1:6" x14ac:dyDescent="0.25">
      <c r="A22271"/>
      <c r="B22271"/>
      <c r="C22271"/>
      <c r="E22271"/>
      <c r="F22271"/>
    </row>
    <row r="22272" spans="1:6" x14ac:dyDescent="0.25">
      <c r="A22272"/>
      <c r="B22272"/>
      <c r="C22272"/>
      <c r="E22272"/>
      <c r="F22272"/>
    </row>
    <row r="22273" spans="1:6" x14ac:dyDescent="0.25">
      <c r="A22273"/>
      <c r="B22273"/>
      <c r="C22273"/>
      <c r="E22273"/>
      <c r="F22273"/>
    </row>
    <row r="22274" spans="1:6" x14ac:dyDescent="0.25">
      <c r="A22274"/>
      <c r="B22274"/>
      <c r="C22274"/>
      <c r="E22274"/>
      <c r="F22274"/>
    </row>
    <row r="22275" spans="1:6" x14ac:dyDescent="0.25">
      <c r="A22275"/>
      <c r="B22275"/>
      <c r="C22275"/>
      <c r="E22275"/>
      <c r="F22275"/>
    </row>
    <row r="22276" spans="1:6" x14ac:dyDescent="0.25">
      <c r="A22276"/>
      <c r="B22276"/>
      <c r="C22276"/>
      <c r="E22276"/>
      <c r="F22276"/>
    </row>
    <row r="22277" spans="1:6" x14ac:dyDescent="0.25">
      <c r="A22277"/>
      <c r="B22277"/>
      <c r="C22277"/>
      <c r="E22277"/>
      <c r="F22277"/>
    </row>
    <row r="22278" spans="1:6" x14ac:dyDescent="0.25">
      <c r="A22278"/>
      <c r="B22278"/>
      <c r="C22278"/>
      <c r="E22278"/>
      <c r="F22278"/>
    </row>
    <row r="22279" spans="1:6" x14ac:dyDescent="0.25">
      <c r="A22279"/>
      <c r="B22279"/>
      <c r="C22279"/>
      <c r="E22279"/>
      <c r="F22279"/>
    </row>
    <row r="22280" spans="1:6" x14ac:dyDescent="0.25">
      <c r="A22280"/>
      <c r="B22280"/>
      <c r="C22280"/>
      <c r="E22280"/>
      <c r="F22280"/>
    </row>
    <row r="22281" spans="1:6" x14ac:dyDescent="0.25">
      <c r="A22281"/>
      <c r="B22281"/>
      <c r="C22281"/>
      <c r="E22281"/>
      <c r="F22281"/>
    </row>
    <row r="22282" spans="1:6" x14ac:dyDescent="0.25">
      <c r="A22282"/>
      <c r="B22282"/>
      <c r="C22282"/>
      <c r="E22282"/>
      <c r="F22282"/>
    </row>
    <row r="22283" spans="1:6" x14ac:dyDescent="0.25">
      <c r="A22283"/>
      <c r="B22283"/>
      <c r="C22283"/>
      <c r="E22283"/>
      <c r="F22283"/>
    </row>
    <row r="22284" spans="1:6" x14ac:dyDescent="0.25">
      <c r="A22284"/>
      <c r="B22284"/>
      <c r="C22284"/>
      <c r="E22284"/>
      <c r="F22284"/>
    </row>
    <row r="22285" spans="1:6" x14ac:dyDescent="0.25">
      <c r="A22285"/>
      <c r="B22285"/>
      <c r="C22285"/>
      <c r="E22285"/>
      <c r="F22285"/>
    </row>
    <row r="22286" spans="1:6" x14ac:dyDescent="0.25">
      <c r="A22286"/>
      <c r="B22286"/>
      <c r="C22286"/>
      <c r="E22286"/>
      <c r="F22286"/>
    </row>
    <row r="22287" spans="1:6" x14ac:dyDescent="0.25">
      <c r="A22287"/>
      <c r="B22287"/>
      <c r="C22287"/>
      <c r="E22287"/>
      <c r="F22287"/>
    </row>
    <row r="22288" spans="1:6" x14ac:dyDescent="0.25">
      <c r="A22288"/>
      <c r="B22288"/>
      <c r="C22288"/>
      <c r="E22288"/>
      <c r="F22288"/>
    </row>
    <row r="22289" spans="1:6" x14ac:dyDescent="0.25">
      <c r="A22289"/>
      <c r="B22289"/>
      <c r="C22289"/>
      <c r="E22289"/>
      <c r="F22289"/>
    </row>
    <row r="22290" spans="1:6" x14ac:dyDescent="0.25">
      <c r="A22290"/>
      <c r="B22290"/>
      <c r="C22290"/>
      <c r="E22290"/>
      <c r="F22290"/>
    </row>
    <row r="22291" spans="1:6" x14ac:dyDescent="0.25">
      <c r="A22291"/>
      <c r="B22291"/>
      <c r="C22291"/>
      <c r="E22291"/>
      <c r="F22291"/>
    </row>
    <row r="22292" spans="1:6" x14ac:dyDescent="0.25">
      <c r="A22292"/>
      <c r="B22292"/>
      <c r="C22292"/>
      <c r="E22292"/>
      <c r="F22292"/>
    </row>
    <row r="22293" spans="1:6" x14ac:dyDescent="0.25">
      <c r="A22293"/>
      <c r="B22293"/>
      <c r="C22293"/>
      <c r="E22293"/>
      <c r="F22293"/>
    </row>
    <row r="22294" spans="1:6" x14ac:dyDescent="0.25">
      <c r="A22294"/>
      <c r="B22294"/>
      <c r="C22294"/>
      <c r="E22294"/>
      <c r="F22294"/>
    </row>
    <row r="22295" spans="1:6" x14ac:dyDescent="0.25">
      <c r="A22295"/>
      <c r="B22295"/>
      <c r="C22295"/>
      <c r="E22295"/>
      <c r="F22295"/>
    </row>
    <row r="22296" spans="1:6" x14ac:dyDescent="0.25">
      <c r="A22296"/>
      <c r="B22296"/>
      <c r="C22296"/>
      <c r="E22296"/>
      <c r="F22296"/>
    </row>
    <row r="22297" spans="1:6" x14ac:dyDescent="0.25">
      <c r="A22297"/>
      <c r="B22297"/>
      <c r="C22297"/>
      <c r="E22297"/>
      <c r="F22297"/>
    </row>
    <row r="22298" spans="1:6" x14ac:dyDescent="0.25">
      <c r="A22298"/>
      <c r="B22298"/>
      <c r="C22298"/>
      <c r="E22298"/>
      <c r="F22298"/>
    </row>
    <row r="22299" spans="1:6" x14ac:dyDescent="0.25">
      <c r="A22299"/>
      <c r="B22299"/>
      <c r="C22299"/>
      <c r="E22299"/>
      <c r="F22299"/>
    </row>
    <row r="22300" spans="1:6" x14ac:dyDescent="0.25">
      <c r="A22300"/>
      <c r="B22300"/>
      <c r="C22300"/>
      <c r="E22300"/>
      <c r="F22300"/>
    </row>
    <row r="22301" spans="1:6" x14ac:dyDescent="0.25">
      <c r="A22301"/>
      <c r="B22301"/>
      <c r="C22301"/>
      <c r="E22301"/>
      <c r="F22301"/>
    </row>
    <row r="22302" spans="1:6" x14ac:dyDescent="0.25">
      <c r="A22302"/>
      <c r="B22302"/>
      <c r="C22302"/>
      <c r="E22302"/>
      <c r="F22302"/>
    </row>
    <row r="22303" spans="1:6" x14ac:dyDescent="0.25">
      <c r="A22303"/>
      <c r="B22303"/>
      <c r="C22303"/>
      <c r="E22303"/>
      <c r="F22303"/>
    </row>
    <row r="22304" spans="1:6" x14ac:dyDescent="0.25">
      <c r="A22304"/>
      <c r="B22304"/>
      <c r="C22304"/>
      <c r="E22304"/>
      <c r="F22304"/>
    </row>
    <row r="22305" spans="1:6" x14ac:dyDescent="0.25">
      <c r="A22305"/>
      <c r="B22305"/>
      <c r="C22305"/>
      <c r="E22305"/>
      <c r="F22305"/>
    </row>
    <row r="22306" spans="1:6" x14ac:dyDescent="0.25">
      <c r="A22306"/>
      <c r="B22306"/>
      <c r="C22306"/>
      <c r="E22306"/>
      <c r="F22306"/>
    </row>
    <row r="22307" spans="1:6" x14ac:dyDescent="0.25">
      <c r="A22307"/>
      <c r="B22307"/>
      <c r="C22307"/>
      <c r="E22307"/>
      <c r="F22307"/>
    </row>
    <row r="22308" spans="1:6" x14ac:dyDescent="0.25">
      <c r="A22308"/>
      <c r="B22308"/>
      <c r="C22308"/>
      <c r="E22308"/>
      <c r="F22308"/>
    </row>
    <row r="22309" spans="1:6" x14ac:dyDescent="0.25">
      <c r="A22309"/>
      <c r="B22309"/>
      <c r="C22309"/>
      <c r="E22309"/>
      <c r="F22309"/>
    </row>
    <row r="22310" spans="1:6" x14ac:dyDescent="0.25">
      <c r="A22310"/>
      <c r="B22310"/>
      <c r="C22310"/>
      <c r="E22310"/>
      <c r="F22310"/>
    </row>
    <row r="22311" spans="1:6" x14ac:dyDescent="0.25">
      <c r="A22311"/>
      <c r="B22311"/>
      <c r="C22311"/>
      <c r="E22311"/>
      <c r="F22311"/>
    </row>
    <row r="22312" spans="1:6" x14ac:dyDescent="0.25">
      <c r="A22312"/>
      <c r="B22312"/>
      <c r="C22312"/>
      <c r="E22312"/>
      <c r="F22312"/>
    </row>
    <row r="22313" spans="1:6" x14ac:dyDescent="0.25">
      <c r="A22313"/>
      <c r="B22313"/>
      <c r="C22313"/>
      <c r="E22313"/>
      <c r="F22313"/>
    </row>
    <row r="22314" spans="1:6" x14ac:dyDescent="0.25">
      <c r="A22314"/>
      <c r="B22314"/>
      <c r="C22314"/>
      <c r="E22314"/>
      <c r="F22314"/>
    </row>
    <row r="22315" spans="1:6" x14ac:dyDescent="0.25">
      <c r="A22315"/>
      <c r="B22315"/>
      <c r="C22315"/>
      <c r="E22315"/>
      <c r="F22315"/>
    </row>
    <row r="22316" spans="1:6" x14ac:dyDescent="0.25">
      <c r="A22316"/>
      <c r="B22316"/>
      <c r="C22316"/>
      <c r="E22316"/>
      <c r="F22316"/>
    </row>
    <row r="22317" spans="1:6" x14ac:dyDescent="0.25">
      <c r="A22317"/>
      <c r="B22317"/>
      <c r="C22317"/>
      <c r="E22317"/>
      <c r="F22317"/>
    </row>
    <row r="22318" spans="1:6" x14ac:dyDescent="0.25">
      <c r="A22318"/>
      <c r="B22318"/>
      <c r="C22318"/>
      <c r="E22318"/>
      <c r="F22318"/>
    </row>
    <row r="22319" spans="1:6" x14ac:dyDescent="0.25">
      <c r="A22319"/>
      <c r="B22319"/>
      <c r="C22319"/>
      <c r="E22319"/>
      <c r="F22319"/>
    </row>
    <row r="22320" spans="1:6" x14ac:dyDescent="0.25">
      <c r="A22320"/>
      <c r="B22320"/>
      <c r="C22320"/>
      <c r="E22320"/>
      <c r="F22320"/>
    </row>
    <row r="22321" spans="1:6" x14ac:dyDescent="0.25">
      <c r="A22321"/>
      <c r="B22321"/>
      <c r="C22321"/>
      <c r="E22321"/>
      <c r="F22321"/>
    </row>
    <row r="22322" spans="1:6" x14ac:dyDescent="0.25">
      <c r="A22322"/>
      <c r="B22322"/>
      <c r="C22322"/>
      <c r="E22322"/>
      <c r="F22322"/>
    </row>
    <row r="22323" spans="1:6" x14ac:dyDescent="0.25">
      <c r="A22323"/>
      <c r="B22323"/>
      <c r="C22323"/>
      <c r="E22323"/>
      <c r="F22323"/>
    </row>
    <row r="22324" spans="1:6" x14ac:dyDescent="0.25">
      <c r="A22324"/>
      <c r="B22324"/>
      <c r="C22324"/>
      <c r="E22324"/>
      <c r="F22324"/>
    </row>
    <row r="22325" spans="1:6" x14ac:dyDescent="0.25">
      <c r="A22325"/>
      <c r="B22325"/>
      <c r="C22325"/>
      <c r="E22325"/>
      <c r="F22325"/>
    </row>
    <row r="22326" spans="1:6" x14ac:dyDescent="0.25">
      <c r="A22326"/>
      <c r="B22326"/>
      <c r="C22326"/>
      <c r="E22326"/>
      <c r="F22326"/>
    </row>
    <row r="22327" spans="1:6" x14ac:dyDescent="0.25">
      <c r="A22327"/>
      <c r="B22327"/>
      <c r="C22327"/>
      <c r="E22327"/>
      <c r="F22327"/>
    </row>
    <row r="22328" spans="1:6" x14ac:dyDescent="0.25">
      <c r="A22328"/>
      <c r="B22328"/>
      <c r="C22328"/>
      <c r="E22328"/>
      <c r="F22328"/>
    </row>
    <row r="22329" spans="1:6" x14ac:dyDescent="0.25">
      <c r="A22329"/>
      <c r="B22329"/>
      <c r="C22329"/>
      <c r="E22329"/>
      <c r="F22329"/>
    </row>
    <row r="22330" spans="1:6" x14ac:dyDescent="0.25">
      <c r="A22330"/>
      <c r="B22330"/>
      <c r="C22330"/>
      <c r="E22330"/>
      <c r="F22330"/>
    </row>
    <row r="22331" spans="1:6" x14ac:dyDescent="0.25">
      <c r="A22331"/>
      <c r="B22331"/>
      <c r="C22331"/>
      <c r="E22331"/>
      <c r="F22331"/>
    </row>
    <row r="22332" spans="1:6" x14ac:dyDescent="0.25">
      <c r="A22332"/>
      <c r="B22332"/>
      <c r="C22332"/>
      <c r="E22332"/>
      <c r="F22332"/>
    </row>
    <row r="22333" spans="1:6" x14ac:dyDescent="0.25">
      <c r="A22333"/>
      <c r="B22333"/>
      <c r="C22333"/>
      <c r="E22333"/>
      <c r="F22333"/>
    </row>
    <row r="22334" spans="1:6" x14ac:dyDescent="0.25">
      <c r="A22334"/>
      <c r="B22334"/>
      <c r="C22334"/>
      <c r="E22334"/>
      <c r="F22334"/>
    </row>
    <row r="22335" spans="1:6" x14ac:dyDescent="0.25">
      <c r="A22335"/>
      <c r="B22335"/>
      <c r="C22335"/>
      <c r="E22335"/>
      <c r="F22335"/>
    </row>
    <row r="22336" spans="1:6" x14ac:dyDescent="0.25">
      <c r="A22336"/>
      <c r="B22336"/>
      <c r="C22336"/>
      <c r="E22336"/>
      <c r="F22336"/>
    </row>
    <row r="22337" spans="1:6" x14ac:dyDescent="0.25">
      <c r="A22337"/>
      <c r="B22337"/>
      <c r="C22337"/>
      <c r="E22337"/>
      <c r="F22337"/>
    </row>
    <row r="22338" spans="1:6" x14ac:dyDescent="0.25">
      <c r="A22338"/>
      <c r="B22338"/>
      <c r="C22338"/>
      <c r="E22338"/>
      <c r="F22338"/>
    </row>
    <row r="22339" spans="1:6" x14ac:dyDescent="0.25">
      <c r="A22339"/>
      <c r="B22339"/>
      <c r="C22339"/>
      <c r="E22339"/>
      <c r="F22339"/>
    </row>
    <row r="22340" spans="1:6" x14ac:dyDescent="0.25">
      <c r="A22340"/>
      <c r="B22340"/>
      <c r="C22340"/>
      <c r="E22340"/>
      <c r="F22340"/>
    </row>
    <row r="22341" spans="1:6" x14ac:dyDescent="0.25">
      <c r="A22341"/>
      <c r="B22341"/>
      <c r="C22341"/>
      <c r="E22341"/>
      <c r="F22341"/>
    </row>
    <row r="22342" spans="1:6" x14ac:dyDescent="0.25">
      <c r="A22342"/>
      <c r="B22342"/>
      <c r="C22342"/>
      <c r="E22342"/>
      <c r="F22342"/>
    </row>
    <row r="22343" spans="1:6" x14ac:dyDescent="0.25">
      <c r="A22343"/>
      <c r="B22343"/>
      <c r="C22343"/>
      <c r="E22343"/>
      <c r="F22343"/>
    </row>
    <row r="22344" spans="1:6" x14ac:dyDescent="0.25">
      <c r="A22344"/>
      <c r="B22344"/>
      <c r="C22344"/>
      <c r="E22344"/>
      <c r="F22344"/>
    </row>
    <row r="22345" spans="1:6" x14ac:dyDescent="0.25">
      <c r="A22345"/>
      <c r="B22345"/>
      <c r="C22345"/>
      <c r="E22345"/>
      <c r="F22345"/>
    </row>
    <row r="22346" spans="1:6" x14ac:dyDescent="0.25">
      <c r="A22346"/>
      <c r="B22346"/>
      <c r="C22346"/>
      <c r="E22346"/>
      <c r="F22346"/>
    </row>
    <row r="22347" spans="1:6" x14ac:dyDescent="0.25">
      <c r="A22347"/>
      <c r="B22347"/>
      <c r="C22347"/>
      <c r="E22347"/>
      <c r="F22347"/>
    </row>
    <row r="22348" spans="1:6" x14ac:dyDescent="0.25">
      <c r="A22348"/>
      <c r="B22348"/>
      <c r="C22348"/>
      <c r="E22348"/>
      <c r="F22348"/>
    </row>
    <row r="22349" spans="1:6" x14ac:dyDescent="0.25">
      <c r="A22349"/>
      <c r="B22349"/>
      <c r="C22349"/>
      <c r="E22349"/>
      <c r="F22349"/>
    </row>
    <row r="22350" spans="1:6" x14ac:dyDescent="0.25">
      <c r="A22350"/>
      <c r="B22350"/>
      <c r="C22350"/>
      <c r="E22350"/>
      <c r="F22350"/>
    </row>
    <row r="22351" spans="1:6" x14ac:dyDescent="0.25">
      <c r="A22351"/>
      <c r="B22351"/>
      <c r="C22351"/>
      <c r="E22351"/>
      <c r="F22351"/>
    </row>
    <row r="22352" spans="1:6" x14ac:dyDescent="0.25">
      <c r="A22352"/>
      <c r="B22352"/>
      <c r="C22352"/>
      <c r="E22352"/>
      <c r="F22352"/>
    </row>
    <row r="22353" spans="1:6" x14ac:dyDescent="0.25">
      <c r="A22353"/>
      <c r="B22353"/>
      <c r="C22353"/>
      <c r="E22353"/>
      <c r="F22353"/>
    </row>
    <row r="22354" spans="1:6" x14ac:dyDescent="0.25">
      <c r="A22354"/>
      <c r="B22354"/>
      <c r="C22354"/>
      <c r="E22354"/>
      <c r="F22354"/>
    </row>
    <row r="22355" spans="1:6" x14ac:dyDescent="0.25">
      <c r="A22355"/>
      <c r="B22355"/>
      <c r="C22355"/>
      <c r="E22355"/>
      <c r="F22355"/>
    </row>
    <row r="22356" spans="1:6" x14ac:dyDescent="0.25">
      <c r="A22356"/>
      <c r="B22356"/>
      <c r="C22356"/>
      <c r="E22356"/>
      <c r="F22356"/>
    </row>
    <row r="22357" spans="1:6" x14ac:dyDescent="0.25">
      <c r="A22357"/>
      <c r="B22357"/>
      <c r="C22357"/>
      <c r="E22357"/>
      <c r="F22357"/>
    </row>
    <row r="22358" spans="1:6" x14ac:dyDescent="0.25">
      <c r="A22358"/>
      <c r="B22358"/>
      <c r="C22358"/>
      <c r="E22358"/>
      <c r="F22358"/>
    </row>
    <row r="22359" spans="1:6" x14ac:dyDescent="0.25">
      <c r="A22359"/>
      <c r="B22359"/>
      <c r="C22359"/>
      <c r="E22359"/>
      <c r="F22359"/>
    </row>
    <row r="22360" spans="1:6" x14ac:dyDescent="0.25">
      <c r="A22360"/>
      <c r="B22360"/>
      <c r="C22360"/>
      <c r="E22360"/>
      <c r="F22360"/>
    </row>
    <row r="22361" spans="1:6" x14ac:dyDescent="0.25">
      <c r="A22361"/>
      <c r="B22361"/>
      <c r="C22361"/>
      <c r="E22361"/>
      <c r="F22361"/>
    </row>
    <row r="22362" spans="1:6" x14ac:dyDescent="0.25">
      <c r="A22362"/>
      <c r="B22362"/>
      <c r="C22362"/>
      <c r="E22362"/>
      <c r="F22362"/>
    </row>
    <row r="22363" spans="1:6" x14ac:dyDescent="0.25">
      <c r="A22363"/>
      <c r="B22363"/>
      <c r="C22363"/>
      <c r="E22363"/>
      <c r="F22363"/>
    </row>
    <row r="22364" spans="1:6" x14ac:dyDescent="0.25">
      <c r="A22364"/>
      <c r="B22364"/>
      <c r="C22364"/>
      <c r="E22364"/>
      <c r="F22364"/>
    </row>
    <row r="22365" spans="1:6" x14ac:dyDescent="0.25">
      <c r="A22365"/>
      <c r="B22365"/>
      <c r="C22365"/>
      <c r="E22365"/>
      <c r="F22365"/>
    </row>
    <row r="22366" spans="1:6" x14ac:dyDescent="0.25">
      <c r="A22366"/>
      <c r="B22366"/>
      <c r="C22366"/>
      <c r="E22366"/>
      <c r="F22366"/>
    </row>
    <row r="22367" spans="1:6" x14ac:dyDescent="0.25">
      <c r="A22367"/>
      <c r="B22367"/>
      <c r="C22367"/>
      <c r="E22367"/>
      <c r="F22367"/>
    </row>
    <row r="22368" spans="1:6" x14ac:dyDescent="0.25">
      <c r="A22368"/>
      <c r="B22368"/>
      <c r="C22368"/>
      <c r="E22368"/>
      <c r="F22368"/>
    </row>
    <row r="22369" spans="1:6" x14ac:dyDescent="0.25">
      <c r="A22369"/>
      <c r="B22369"/>
      <c r="C22369"/>
      <c r="E22369"/>
      <c r="F22369"/>
    </row>
    <row r="22370" spans="1:6" x14ac:dyDescent="0.25">
      <c r="A22370"/>
      <c r="B22370"/>
      <c r="C22370"/>
      <c r="E22370"/>
      <c r="F22370"/>
    </row>
    <row r="22371" spans="1:6" x14ac:dyDescent="0.25">
      <c r="A22371"/>
      <c r="B22371"/>
      <c r="C22371"/>
      <c r="E22371"/>
      <c r="F22371"/>
    </row>
    <row r="22372" spans="1:6" x14ac:dyDescent="0.25">
      <c r="A22372"/>
      <c r="B22372"/>
      <c r="C22372"/>
      <c r="E22372"/>
      <c r="F22372"/>
    </row>
    <row r="22373" spans="1:6" x14ac:dyDescent="0.25">
      <c r="A22373"/>
      <c r="B22373"/>
      <c r="C22373"/>
      <c r="E22373"/>
      <c r="F22373"/>
    </row>
    <row r="22374" spans="1:6" x14ac:dyDescent="0.25">
      <c r="A22374"/>
      <c r="B22374"/>
      <c r="C22374"/>
      <c r="E22374"/>
      <c r="F22374"/>
    </row>
    <row r="22375" spans="1:6" x14ac:dyDescent="0.25">
      <c r="A22375"/>
      <c r="B22375"/>
      <c r="C22375"/>
      <c r="E22375"/>
      <c r="F22375"/>
    </row>
    <row r="22376" spans="1:6" x14ac:dyDescent="0.25">
      <c r="A22376"/>
      <c r="B22376"/>
      <c r="C22376"/>
      <c r="E22376"/>
      <c r="F22376"/>
    </row>
    <row r="22377" spans="1:6" x14ac:dyDescent="0.25">
      <c r="A22377"/>
      <c r="B22377"/>
      <c r="C22377"/>
      <c r="E22377"/>
      <c r="F22377"/>
    </row>
    <row r="22378" spans="1:6" x14ac:dyDescent="0.25">
      <c r="A22378"/>
      <c r="B22378"/>
      <c r="C22378"/>
      <c r="E22378"/>
      <c r="F22378"/>
    </row>
    <row r="22379" spans="1:6" x14ac:dyDescent="0.25">
      <c r="A22379"/>
      <c r="B22379"/>
      <c r="C22379"/>
      <c r="E22379"/>
      <c r="F22379"/>
    </row>
    <row r="22380" spans="1:6" x14ac:dyDescent="0.25">
      <c r="A22380"/>
      <c r="B22380"/>
      <c r="C22380"/>
      <c r="E22380"/>
      <c r="F22380"/>
    </row>
    <row r="22381" spans="1:6" x14ac:dyDescent="0.25">
      <c r="A22381"/>
      <c r="B22381"/>
      <c r="C22381"/>
      <c r="E22381"/>
      <c r="F22381"/>
    </row>
    <row r="22382" spans="1:6" x14ac:dyDescent="0.25">
      <c r="A22382"/>
      <c r="B22382"/>
      <c r="C22382"/>
      <c r="E22382"/>
      <c r="F22382"/>
    </row>
    <row r="22383" spans="1:6" x14ac:dyDescent="0.25">
      <c r="A22383"/>
      <c r="B22383"/>
      <c r="C22383"/>
      <c r="E22383"/>
      <c r="F22383"/>
    </row>
    <row r="22384" spans="1:6" x14ac:dyDescent="0.25">
      <c r="A22384"/>
      <c r="B22384"/>
      <c r="C22384"/>
      <c r="E22384"/>
      <c r="F22384"/>
    </row>
    <row r="22385" spans="1:6" x14ac:dyDescent="0.25">
      <c r="A22385"/>
      <c r="B22385"/>
      <c r="C22385"/>
      <c r="E22385"/>
      <c r="F22385"/>
    </row>
    <row r="22386" spans="1:6" x14ac:dyDescent="0.25">
      <c r="A22386"/>
      <c r="B22386"/>
      <c r="C22386"/>
      <c r="E22386"/>
      <c r="F22386"/>
    </row>
    <row r="22387" spans="1:6" x14ac:dyDescent="0.25">
      <c r="A22387"/>
      <c r="B22387"/>
      <c r="C22387"/>
      <c r="E22387"/>
      <c r="F22387"/>
    </row>
    <row r="22388" spans="1:6" x14ac:dyDescent="0.25">
      <c r="A22388"/>
      <c r="B22388"/>
      <c r="C22388"/>
      <c r="E22388"/>
      <c r="F22388"/>
    </row>
    <row r="22389" spans="1:6" x14ac:dyDescent="0.25">
      <c r="A22389"/>
      <c r="B22389"/>
      <c r="C22389"/>
      <c r="E22389"/>
      <c r="F22389"/>
    </row>
    <row r="22390" spans="1:6" x14ac:dyDescent="0.25">
      <c r="A22390"/>
      <c r="B22390"/>
      <c r="C22390"/>
      <c r="E22390"/>
      <c r="F22390"/>
    </row>
    <row r="22391" spans="1:6" x14ac:dyDescent="0.25">
      <c r="A22391"/>
      <c r="B22391"/>
      <c r="C22391"/>
      <c r="E22391"/>
      <c r="F22391"/>
    </row>
    <row r="22392" spans="1:6" x14ac:dyDescent="0.25">
      <c r="A22392"/>
      <c r="B22392"/>
      <c r="C22392"/>
      <c r="E22392"/>
      <c r="F22392"/>
    </row>
    <row r="22393" spans="1:6" x14ac:dyDescent="0.25">
      <c r="A22393"/>
      <c r="B22393"/>
      <c r="C22393"/>
      <c r="E22393"/>
      <c r="F22393"/>
    </row>
    <row r="22394" spans="1:6" x14ac:dyDescent="0.25">
      <c r="A22394"/>
      <c r="B22394"/>
      <c r="C22394"/>
      <c r="E22394"/>
      <c r="F22394"/>
    </row>
    <row r="22395" spans="1:6" x14ac:dyDescent="0.25">
      <c r="A22395"/>
      <c r="B22395"/>
      <c r="C22395"/>
      <c r="E22395"/>
      <c r="F22395"/>
    </row>
    <row r="22396" spans="1:6" x14ac:dyDescent="0.25">
      <c r="A22396"/>
      <c r="B22396"/>
      <c r="C22396"/>
      <c r="E22396"/>
      <c r="F22396"/>
    </row>
    <row r="22397" spans="1:6" x14ac:dyDescent="0.25">
      <c r="A22397"/>
      <c r="B22397"/>
      <c r="C22397"/>
      <c r="E22397"/>
      <c r="F22397"/>
    </row>
    <row r="22398" spans="1:6" x14ac:dyDescent="0.25">
      <c r="A22398"/>
      <c r="B22398"/>
      <c r="C22398"/>
      <c r="E22398"/>
      <c r="F22398"/>
    </row>
    <row r="22399" spans="1:6" x14ac:dyDescent="0.25">
      <c r="A22399"/>
      <c r="B22399"/>
      <c r="C22399"/>
      <c r="E22399"/>
      <c r="F22399"/>
    </row>
    <row r="22400" spans="1:6" x14ac:dyDescent="0.25">
      <c r="A22400"/>
      <c r="B22400"/>
      <c r="C22400"/>
      <c r="E22400"/>
      <c r="F22400"/>
    </row>
    <row r="22401" spans="1:6" x14ac:dyDescent="0.25">
      <c r="A22401"/>
      <c r="B22401"/>
      <c r="C22401"/>
      <c r="E22401"/>
      <c r="F22401"/>
    </row>
    <row r="22402" spans="1:6" x14ac:dyDescent="0.25">
      <c r="A22402"/>
      <c r="B22402"/>
      <c r="C22402"/>
      <c r="E22402"/>
      <c r="F22402"/>
    </row>
    <row r="22403" spans="1:6" x14ac:dyDescent="0.25">
      <c r="A22403"/>
      <c r="B22403"/>
      <c r="C22403"/>
      <c r="E22403"/>
      <c r="F22403"/>
    </row>
    <row r="22404" spans="1:6" x14ac:dyDescent="0.25">
      <c r="A22404"/>
      <c r="B22404"/>
      <c r="C22404"/>
      <c r="E22404"/>
      <c r="F22404"/>
    </row>
    <row r="22405" spans="1:6" x14ac:dyDescent="0.25">
      <c r="A22405"/>
      <c r="B22405"/>
      <c r="C22405"/>
      <c r="E22405"/>
      <c r="F22405"/>
    </row>
    <row r="22406" spans="1:6" x14ac:dyDescent="0.25">
      <c r="A22406"/>
      <c r="B22406"/>
      <c r="C22406"/>
      <c r="E22406"/>
      <c r="F22406"/>
    </row>
    <row r="22407" spans="1:6" x14ac:dyDescent="0.25">
      <c r="A22407"/>
      <c r="B22407"/>
      <c r="C22407"/>
      <c r="E22407"/>
      <c r="F22407"/>
    </row>
    <row r="22408" spans="1:6" x14ac:dyDescent="0.25">
      <c r="A22408"/>
      <c r="B22408"/>
      <c r="C22408"/>
      <c r="E22408"/>
      <c r="F22408"/>
    </row>
    <row r="22409" spans="1:6" x14ac:dyDescent="0.25">
      <c r="A22409"/>
      <c r="B22409"/>
      <c r="C22409"/>
      <c r="E22409"/>
      <c r="F22409"/>
    </row>
    <row r="22410" spans="1:6" x14ac:dyDescent="0.25">
      <c r="A22410"/>
      <c r="B22410"/>
      <c r="C22410"/>
      <c r="E22410"/>
      <c r="F22410"/>
    </row>
    <row r="22411" spans="1:6" x14ac:dyDescent="0.25">
      <c r="A22411"/>
      <c r="B22411"/>
      <c r="C22411"/>
      <c r="E22411"/>
      <c r="F22411"/>
    </row>
    <row r="22412" spans="1:6" x14ac:dyDescent="0.25">
      <c r="A22412"/>
      <c r="B22412"/>
      <c r="C22412"/>
      <c r="E22412"/>
      <c r="F22412"/>
    </row>
    <row r="22413" spans="1:6" x14ac:dyDescent="0.25">
      <c r="A22413"/>
      <c r="B22413"/>
      <c r="C22413"/>
      <c r="E22413"/>
      <c r="F22413"/>
    </row>
    <row r="22414" spans="1:6" x14ac:dyDescent="0.25">
      <c r="A22414"/>
      <c r="B22414"/>
      <c r="C22414"/>
      <c r="E22414"/>
      <c r="F22414"/>
    </row>
    <row r="22415" spans="1:6" x14ac:dyDescent="0.25">
      <c r="A22415"/>
      <c r="B22415"/>
      <c r="C22415"/>
      <c r="E22415"/>
      <c r="F22415"/>
    </row>
    <row r="22416" spans="1:6" x14ac:dyDescent="0.25">
      <c r="A22416"/>
      <c r="B22416"/>
      <c r="C22416"/>
      <c r="E22416"/>
      <c r="F22416"/>
    </row>
    <row r="22417" spans="1:6" x14ac:dyDescent="0.25">
      <c r="A22417"/>
      <c r="B22417"/>
      <c r="C22417"/>
      <c r="E22417"/>
      <c r="F22417"/>
    </row>
    <row r="22418" spans="1:6" x14ac:dyDescent="0.25">
      <c r="A22418"/>
      <c r="B22418"/>
      <c r="C22418"/>
      <c r="E22418"/>
      <c r="F22418"/>
    </row>
    <row r="22419" spans="1:6" x14ac:dyDescent="0.25">
      <c r="A22419"/>
      <c r="B22419"/>
      <c r="C22419"/>
      <c r="E22419"/>
      <c r="F22419"/>
    </row>
    <row r="22420" spans="1:6" x14ac:dyDescent="0.25">
      <c r="A22420"/>
      <c r="B22420"/>
      <c r="C22420"/>
      <c r="E22420"/>
      <c r="F22420"/>
    </row>
    <row r="22421" spans="1:6" x14ac:dyDescent="0.25">
      <c r="A22421"/>
      <c r="B22421"/>
      <c r="C22421"/>
      <c r="E22421"/>
      <c r="F22421"/>
    </row>
    <row r="22422" spans="1:6" x14ac:dyDescent="0.25">
      <c r="A22422"/>
      <c r="B22422"/>
      <c r="C22422"/>
      <c r="E22422"/>
      <c r="F22422"/>
    </row>
    <row r="22423" spans="1:6" x14ac:dyDescent="0.25">
      <c r="A22423"/>
      <c r="B22423"/>
      <c r="C22423"/>
      <c r="E22423"/>
      <c r="F22423"/>
    </row>
    <row r="22424" spans="1:6" x14ac:dyDescent="0.25">
      <c r="A22424"/>
      <c r="B22424"/>
      <c r="C22424"/>
      <c r="E22424"/>
      <c r="F22424"/>
    </row>
    <row r="22425" spans="1:6" x14ac:dyDescent="0.25">
      <c r="A22425"/>
      <c r="B22425"/>
      <c r="C22425"/>
      <c r="E22425"/>
      <c r="F22425"/>
    </row>
    <row r="22426" spans="1:6" x14ac:dyDescent="0.25">
      <c r="A22426"/>
      <c r="B22426"/>
      <c r="C22426"/>
      <c r="E22426"/>
      <c r="F22426"/>
    </row>
    <row r="22427" spans="1:6" x14ac:dyDescent="0.25">
      <c r="A22427"/>
      <c r="B22427"/>
      <c r="C22427"/>
      <c r="E22427"/>
      <c r="F22427"/>
    </row>
    <row r="22428" spans="1:6" x14ac:dyDescent="0.25">
      <c r="A22428"/>
      <c r="B22428"/>
      <c r="C22428"/>
      <c r="E22428"/>
      <c r="F22428"/>
    </row>
    <row r="22429" spans="1:6" x14ac:dyDescent="0.25">
      <c r="A22429"/>
      <c r="B22429"/>
      <c r="C22429"/>
      <c r="E22429"/>
      <c r="F22429"/>
    </row>
    <row r="22430" spans="1:6" x14ac:dyDescent="0.25">
      <c r="A22430"/>
      <c r="B22430"/>
      <c r="C22430"/>
      <c r="E22430"/>
      <c r="F22430"/>
    </row>
    <row r="22431" spans="1:6" x14ac:dyDescent="0.25">
      <c r="A22431"/>
      <c r="B22431"/>
      <c r="C22431"/>
      <c r="E22431"/>
      <c r="F22431"/>
    </row>
    <row r="22432" spans="1:6" x14ac:dyDescent="0.25">
      <c r="A22432"/>
      <c r="B22432"/>
      <c r="C22432"/>
      <c r="E22432"/>
      <c r="F22432"/>
    </row>
    <row r="22433" spans="1:6" x14ac:dyDescent="0.25">
      <c r="A22433"/>
      <c r="B22433"/>
      <c r="C22433"/>
      <c r="E22433"/>
      <c r="F22433"/>
    </row>
    <row r="22434" spans="1:6" x14ac:dyDescent="0.25">
      <c r="A22434"/>
      <c r="B22434"/>
      <c r="C22434"/>
      <c r="E22434"/>
      <c r="F22434"/>
    </row>
    <row r="22435" spans="1:6" x14ac:dyDescent="0.25">
      <c r="A22435"/>
      <c r="B22435"/>
      <c r="C22435"/>
      <c r="E22435"/>
      <c r="F22435"/>
    </row>
    <row r="22436" spans="1:6" x14ac:dyDescent="0.25">
      <c r="A22436"/>
      <c r="B22436"/>
      <c r="C22436"/>
      <c r="E22436"/>
      <c r="F22436"/>
    </row>
    <row r="22437" spans="1:6" x14ac:dyDescent="0.25">
      <c r="A22437"/>
      <c r="B22437"/>
      <c r="C22437"/>
      <c r="E22437"/>
      <c r="F22437"/>
    </row>
    <row r="22438" spans="1:6" x14ac:dyDescent="0.25">
      <c r="A22438"/>
      <c r="B22438"/>
      <c r="C22438"/>
      <c r="E22438"/>
      <c r="F22438"/>
    </row>
    <row r="22439" spans="1:6" x14ac:dyDescent="0.25">
      <c r="A22439"/>
      <c r="B22439"/>
      <c r="C22439"/>
      <c r="E22439"/>
      <c r="F22439"/>
    </row>
    <row r="22440" spans="1:6" x14ac:dyDescent="0.25">
      <c r="A22440"/>
      <c r="B22440"/>
      <c r="C22440"/>
      <c r="E22440"/>
      <c r="F22440"/>
    </row>
    <row r="22441" spans="1:6" x14ac:dyDescent="0.25">
      <c r="A22441"/>
      <c r="B22441"/>
      <c r="C22441"/>
      <c r="E22441"/>
      <c r="F22441"/>
    </row>
    <row r="22442" spans="1:6" x14ac:dyDescent="0.25">
      <c r="A22442"/>
      <c r="B22442"/>
      <c r="C22442"/>
      <c r="E22442"/>
      <c r="F22442"/>
    </row>
    <row r="22443" spans="1:6" x14ac:dyDescent="0.25">
      <c r="A22443"/>
      <c r="B22443"/>
      <c r="C22443"/>
      <c r="E22443"/>
      <c r="F22443"/>
    </row>
    <row r="22444" spans="1:6" x14ac:dyDescent="0.25">
      <c r="A22444"/>
      <c r="B22444"/>
      <c r="C22444"/>
      <c r="E22444"/>
      <c r="F22444"/>
    </row>
    <row r="22445" spans="1:6" x14ac:dyDescent="0.25">
      <c r="A22445"/>
      <c r="B22445"/>
      <c r="C22445"/>
      <c r="E22445"/>
      <c r="F22445"/>
    </row>
    <row r="22446" spans="1:6" x14ac:dyDescent="0.25">
      <c r="A22446"/>
      <c r="B22446"/>
      <c r="C22446"/>
      <c r="E22446"/>
      <c r="F22446"/>
    </row>
    <row r="22447" spans="1:6" x14ac:dyDescent="0.25">
      <c r="A22447"/>
      <c r="B22447"/>
      <c r="C22447"/>
      <c r="E22447"/>
      <c r="F22447"/>
    </row>
    <row r="22448" spans="1:6" x14ac:dyDescent="0.25">
      <c r="A22448"/>
      <c r="B22448"/>
      <c r="C22448"/>
      <c r="E22448"/>
      <c r="F22448"/>
    </row>
    <row r="22449" spans="1:6" x14ac:dyDescent="0.25">
      <c r="A22449"/>
      <c r="B22449"/>
      <c r="C22449"/>
      <c r="E22449"/>
      <c r="F22449"/>
    </row>
    <row r="22450" spans="1:6" x14ac:dyDescent="0.25">
      <c r="A22450"/>
      <c r="B22450"/>
      <c r="C22450"/>
      <c r="E22450"/>
      <c r="F22450"/>
    </row>
    <row r="22451" spans="1:6" x14ac:dyDescent="0.25">
      <c r="A22451"/>
      <c r="B22451"/>
      <c r="C22451"/>
      <c r="E22451"/>
      <c r="F22451"/>
    </row>
    <row r="22452" spans="1:6" x14ac:dyDescent="0.25">
      <c r="A22452"/>
      <c r="B22452"/>
      <c r="C22452"/>
      <c r="E22452"/>
      <c r="F22452"/>
    </row>
    <row r="22453" spans="1:6" x14ac:dyDescent="0.25">
      <c r="A22453"/>
      <c r="B22453"/>
      <c r="C22453"/>
      <c r="E22453"/>
      <c r="F22453"/>
    </row>
    <row r="22454" spans="1:6" x14ac:dyDescent="0.25">
      <c r="A22454"/>
      <c r="B22454"/>
      <c r="C22454"/>
      <c r="E22454"/>
      <c r="F22454"/>
    </row>
    <row r="22455" spans="1:6" x14ac:dyDescent="0.25">
      <c r="A22455"/>
      <c r="B22455"/>
      <c r="C22455"/>
      <c r="E22455"/>
      <c r="F22455"/>
    </row>
    <row r="22456" spans="1:6" x14ac:dyDescent="0.25">
      <c r="A22456"/>
      <c r="B22456"/>
      <c r="C22456"/>
      <c r="E22456"/>
      <c r="F22456"/>
    </row>
    <row r="22457" spans="1:6" x14ac:dyDescent="0.25">
      <c r="A22457"/>
      <c r="B22457"/>
      <c r="C22457"/>
      <c r="E22457"/>
      <c r="F22457"/>
    </row>
    <row r="22458" spans="1:6" x14ac:dyDescent="0.25">
      <c r="A22458"/>
      <c r="B22458"/>
      <c r="C22458"/>
      <c r="E22458"/>
      <c r="F22458"/>
    </row>
    <row r="22459" spans="1:6" x14ac:dyDescent="0.25">
      <c r="A22459"/>
      <c r="B22459"/>
      <c r="C22459"/>
      <c r="E22459"/>
      <c r="F22459"/>
    </row>
    <row r="22460" spans="1:6" x14ac:dyDescent="0.25">
      <c r="A22460"/>
      <c r="B22460"/>
      <c r="C22460"/>
      <c r="E22460"/>
      <c r="F22460"/>
    </row>
    <row r="22461" spans="1:6" x14ac:dyDescent="0.25">
      <c r="A22461"/>
      <c r="B22461"/>
      <c r="C22461"/>
      <c r="E22461"/>
      <c r="F22461"/>
    </row>
    <row r="22462" spans="1:6" x14ac:dyDescent="0.25">
      <c r="A22462"/>
      <c r="B22462"/>
      <c r="C22462"/>
      <c r="E22462"/>
      <c r="F22462"/>
    </row>
    <row r="22463" spans="1:6" x14ac:dyDescent="0.25">
      <c r="A22463"/>
      <c r="B22463"/>
      <c r="C22463"/>
      <c r="E22463"/>
      <c r="F22463"/>
    </row>
    <row r="22464" spans="1:6" x14ac:dyDescent="0.25">
      <c r="A22464"/>
      <c r="B22464"/>
      <c r="C22464"/>
      <c r="E22464"/>
      <c r="F22464"/>
    </row>
    <row r="22465" spans="1:6" x14ac:dyDescent="0.25">
      <c r="A22465"/>
      <c r="B22465"/>
      <c r="C22465"/>
      <c r="E22465"/>
      <c r="F22465"/>
    </row>
    <row r="22466" spans="1:6" x14ac:dyDescent="0.25">
      <c r="A22466"/>
      <c r="B22466"/>
      <c r="C22466"/>
      <c r="E22466"/>
      <c r="F22466"/>
    </row>
    <row r="22467" spans="1:6" x14ac:dyDescent="0.25">
      <c r="A22467"/>
      <c r="B22467"/>
      <c r="C22467"/>
      <c r="E22467"/>
      <c r="F22467"/>
    </row>
    <row r="22468" spans="1:6" x14ac:dyDescent="0.25">
      <c r="A22468"/>
      <c r="B22468"/>
      <c r="C22468"/>
      <c r="E22468"/>
      <c r="F22468"/>
    </row>
    <row r="22469" spans="1:6" x14ac:dyDescent="0.25">
      <c r="A22469"/>
      <c r="B22469"/>
      <c r="C22469"/>
      <c r="E22469"/>
      <c r="F22469"/>
    </row>
    <row r="22470" spans="1:6" x14ac:dyDescent="0.25">
      <c r="A22470"/>
      <c r="B22470"/>
      <c r="C22470"/>
      <c r="E22470"/>
      <c r="F22470"/>
    </row>
    <row r="22471" spans="1:6" x14ac:dyDescent="0.25">
      <c r="A22471"/>
      <c r="B22471"/>
      <c r="C22471"/>
      <c r="E22471"/>
      <c r="F22471"/>
    </row>
    <row r="22472" spans="1:6" x14ac:dyDescent="0.25">
      <c r="A22472"/>
      <c r="B22472"/>
      <c r="C22472"/>
      <c r="E22472"/>
      <c r="F22472"/>
    </row>
    <row r="22473" spans="1:6" x14ac:dyDescent="0.25">
      <c r="A22473"/>
      <c r="B22473"/>
      <c r="C22473"/>
      <c r="E22473"/>
      <c r="F22473"/>
    </row>
    <row r="22474" spans="1:6" x14ac:dyDescent="0.25">
      <c r="A22474"/>
      <c r="B22474"/>
      <c r="C22474"/>
      <c r="E22474"/>
      <c r="F22474"/>
    </row>
    <row r="22475" spans="1:6" x14ac:dyDescent="0.25">
      <c r="A22475"/>
      <c r="B22475"/>
      <c r="C22475"/>
      <c r="E22475"/>
      <c r="F22475"/>
    </row>
    <row r="22476" spans="1:6" x14ac:dyDescent="0.25">
      <c r="A22476"/>
      <c r="B22476"/>
      <c r="C22476"/>
      <c r="E22476"/>
      <c r="F22476"/>
    </row>
    <row r="22477" spans="1:6" x14ac:dyDescent="0.25">
      <c r="A22477"/>
      <c r="B22477"/>
      <c r="C22477"/>
      <c r="E22477"/>
      <c r="F22477"/>
    </row>
    <row r="22478" spans="1:6" x14ac:dyDescent="0.25">
      <c r="A22478"/>
      <c r="B22478"/>
      <c r="C22478"/>
      <c r="E22478"/>
      <c r="F22478"/>
    </row>
    <row r="22479" spans="1:6" x14ac:dyDescent="0.25">
      <c r="A22479"/>
      <c r="B22479"/>
      <c r="C22479"/>
      <c r="E22479"/>
      <c r="F22479"/>
    </row>
    <row r="22480" spans="1:6" x14ac:dyDescent="0.25">
      <c r="A22480"/>
      <c r="B22480"/>
      <c r="C22480"/>
      <c r="E22480"/>
      <c r="F22480"/>
    </row>
    <row r="22481" spans="1:6" x14ac:dyDescent="0.25">
      <c r="A22481"/>
      <c r="B22481"/>
      <c r="C22481"/>
      <c r="E22481"/>
      <c r="F22481"/>
    </row>
    <row r="22482" spans="1:6" x14ac:dyDescent="0.25">
      <c r="A22482"/>
      <c r="B22482"/>
      <c r="C22482"/>
      <c r="E22482"/>
      <c r="F22482"/>
    </row>
    <row r="22483" spans="1:6" x14ac:dyDescent="0.25">
      <c r="A22483"/>
      <c r="B22483"/>
      <c r="C22483"/>
      <c r="E22483"/>
      <c r="F22483"/>
    </row>
    <row r="22484" spans="1:6" x14ac:dyDescent="0.25">
      <c r="A22484"/>
      <c r="B22484"/>
      <c r="C22484"/>
      <c r="E22484"/>
      <c r="F22484"/>
    </row>
    <row r="22485" spans="1:6" x14ac:dyDescent="0.25">
      <c r="A22485"/>
      <c r="B22485"/>
      <c r="C22485"/>
      <c r="E22485"/>
      <c r="F22485"/>
    </row>
    <row r="22486" spans="1:6" x14ac:dyDescent="0.25">
      <c r="A22486"/>
      <c r="B22486"/>
      <c r="C22486"/>
      <c r="E22486"/>
      <c r="F22486"/>
    </row>
    <row r="22487" spans="1:6" x14ac:dyDescent="0.25">
      <c r="A22487"/>
      <c r="B22487"/>
      <c r="C22487"/>
      <c r="E22487"/>
      <c r="F22487"/>
    </row>
    <row r="22488" spans="1:6" x14ac:dyDescent="0.25">
      <c r="A22488"/>
      <c r="B22488"/>
      <c r="C22488"/>
      <c r="E22488"/>
      <c r="F22488"/>
    </row>
    <row r="22489" spans="1:6" x14ac:dyDescent="0.25">
      <c r="A22489"/>
      <c r="B22489"/>
      <c r="C22489"/>
      <c r="E22489"/>
      <c r="F22489"/>
    </row>
    <row r="22490" spans="1:6" x14ac:dyDescent="0.25">
      <c r="A22490"/>
      <c r="B22490"/>
      <c r="C22490"/>
      <c r="E22490"/>
      <c r="F22490"/>
    </row>
    <row r="22491" spans="1:6" x14ac:dyDescent="0.25">
      <c r="A22491"/>
      <c r="B22491"/>
      <c r="C22491"/>
      <c r="E22491"/>
      <c r="F22491"/>
    </row>
    <row r="22492" spans="1:6" x14ac:dyDescent="0.25">
      <c r="A22492"/>
      <c r="B22492"/>
      <c r="C22492"/>
      <c r="E22492"/>
      <c r="F22492"/>
    </row>
    <row r="22493" spans="1:6" x14ac:dyDescent="0.25">
      <c r="A22493"/>
      <c r="B22493"/>
      <c r="C22493"/>
      <c r="E22493"/>
      <c r="F22493"/>
    </row>
    <row r="22494" spans="1:6" x14ac:dyDescent="0.25">
      <c r="A22494"/>
      <c r="B22494"/>
      <c r="C22494"/>
      <c r="E22494"/>
      <c r="F22494"/>
    </row>
    <row r="22495" spans="1:6" x14ac:dyDescent="0.25">
      <c r="A22495"/>
      <c r="B22495"/>
      <c r="C22495"/>
      <c r="E22495"/>
      <c r="F22495"/>
    </row>
    <row r="22496" spans="1:6" x14ac:dyDescent="0.25">
      <c r="A22496"/>
      <c r="B22496"/>
      <c r="C22496"/>
      <c r="E22496"/>
      <c r="F22496"/>
    </row>
    <row r="22497" spans="1:6" x14ac:dyDescent="0.25">
      <c r="A22497"/>
      <c r="B22497"/>
      <c r="C22497"/>
      <c r="E22497"/>
      <c r="F22497"/>
    </row>
    <row r="22498" spans="1:6" x14ac:dyDescent="0.25">
      <c r="A22498"/>
      <c r="B22498"/>
      <c r="C22498"/>
      <c r="E22498"/>
      <c r="F22498"/>
    </row>
    <row r="22499" spans="1:6" x14ac:dyDescent="0.25">
      <c r="A22499"/>
      <c r="B22499"/>
      <c r="C22499"/>
      <c r="E22499"/>
      <c r="F22499"/>
    </row>
    <row r="22500" spans="1:6" x14ac:dyDescent="0.25">
      <c r="A22500"/>
      <c r="B22500"/>
      <c r="C22500"/>
      <c r="E22500"/>
      <c r="F22500"/>
    </row>
    <row r="22501" spans="1:6" x14ac:dyDescent="0.25">
      <c r="A22501"/>
      <c r="B22501"/>
      <c r="C22501"/>
      <c r="E22501"/>
      <c r="F22501"/>
    </row>
    <row r="22502" spans="1:6" x14ac:dyDescent="0.25">
      <c r="A22502"/>
      <c r="B22502"/>
      <c r="C22502"/>
      <c r="E22502"/>
      <c r="F22502"/>
    </row>
    <row r="22503" spans="1:6" x14ac:dyDescent="0.25">
      <c r="A22503"/>
      <c r="B22503"/>
      <c r="C22503"/>
      <c r="E22503"/>
      <c r="F22503"/>
    </row>
    <row r="22504" spans="1:6" x14ac:dyDescent="0.25">
      <c r="A22504"/>
      <c r="B22504"/>
      <c r="C22504"/>
      <c r="E22504"/>
      <c r="F22504"/>
    </row>
    <row r="22505" spans="1:6" x14ac:dyDescent="0.25">
      <c r="A22505"/>
      <c r="B22505"/>
      <c r="C22505"/>
      <c r="E22505"/>
      <c r="F22505"/>
    </row>
    <row r="22506" spans="1:6" x14ac:dyDescent="0.25">
      <c r="A22506"/>
      <c r="B22506"/>
      <c r="C22506"/>
      <c r="E22506"/>
      <c r="F22506"/>
    </row>
    <row r="22507" spans="1:6" x14ac:dyDescent="0.25">
      <c r="A22507"/>
      <c r="B22507"/>
      <c r="C22507"/>
      <c r="E22507"/>
      <c r="F22507"/>
    </row>
    <row r="22508" spans="1:6" x14ac:dyDescent="0.25">
      <c r="A22508"/>
      <c r="B22508"/>
      <c r="C22508"/>
      <c r="E22508"/>
      <c r="F22508"/>
    </row>
    <row r="22509" spans="1:6" x14ac:dyDescent="0.25">
      <c r="A22509"/>
      <c r="B22509"/>
      <c r="C22509"/>
      <c r="E22509"/>
      <c r="F22509"/>
    </row>
    <row r="22510" spans="1:6" x14ac:dyDescent="0.25">
      <c r="A22510"/>
      <c r="B22510"/>
      <c r="C22510"/>
      <c r="E22510"/>
      <c r="F22510"/>
    </row>
    <row r="22511" spans="1:6" x14ac:dyDescent="0.25">
      <c r="A22511"/>
      <c r="B22511"/>
      <c r="C22511"/>
      <c r="E22511"/>
      <c r="F22511"/>
    </row>
    <row r="22512" spans="1:6" x14ac:dyDescent="0.25">
      <c r="A22512"/>
      <c r="B22512"/>
      <c r="C22512"/>
      <c r="E22512"/>
      <c r="F22512"/>
    </row>
    <row r="22513" spans="1:6" x14ac:dyDescent="0.25">
      <c r="A22513"/>
      <c r="B22513"/>
      <c r="C22513"/>
      <c r="E22513"/>
      <c r="F22513"/>
    </row>
    <row r="22514" spans="1:6" x14ac:dyDescent="0.25">
      <c r="A22514"/>
      <c r="B22514"/>
      <c r="C22514"/>
      <c r="E22514"/>
      <c r="F22514"/>
    </row>
    <row r="22515" spans="1:6" x14ac:dyDescent="0.25">
      <c r="A22515"/>
      <c r="B22515"/>
      <c r="C22515"/>
      <c r="E22515"/>
      <c r="F22515"/>
    </row>
    <row r="22516" spans="1:6" x14ac:dyDescent="0.25">
      <c r="A22516"/>
      <c r="B22516"/>
      <c r="C22516"/>
      <c r="E22516"/>
      <c r="F22516"/>
    </row>
    <row r="22517" spans="1:6" x14ac:dyDescent="0.25">
      <c r="A22517"/>
      <c r="B22517"/>
      <c r="C22517"/>
      <c r="E22517"/>
      <c r="F22517"/>
    </row>
    <row r="22518" spans="1:6" x14ac:dyDescent="0.25">
      <c r="A22518"/>
      <c r="B22518"/>
      <c r="C22518"/>
      <c r="E22518"/>
      <c r="F22518"/>
    </row>
    <row r="22519" spans="1:6" x14ac:dyDescent="0.25">
      <c r="A22519"/>
      <c r="B22519"/>
      <c r="C22519"/>
      <c r="E22519"/>
      <c r="F22519"/>
    </row>
    <row r="22520" spans="1:6" x14ac:dyDescent="0.25">
      <c r="A22520"/>
      <c r="B22520"/>
      <c r="C22520"/>
      <c r="E22520"/>
      <c r="F22520"/>
    </row>
    <row r="22521" spans="1:6" x14ac:dyDescent="0.25">
      <c r="A22521"/>
      <c r="B22521"/>
      <c r="C22521"/>
      <c r="E22521"/>
      <c r="F22521"/>
    </row>
    <row r="22522" spans="1:6" x14ac:dyDescent="0.25">
      <c r="A22522"/>
      <c r="B22522"/>
      <c r="C22522"/>
      <c r="E22522"/>
      <c r="F22522"/>
    </row>
    <row r="22523" spans="1:6" x14ac:dyDescent="0.25">
      <c r="A22523"/>
      <c r="B22523"/>
      <c r="C22523"/>
      <c r="E22523"/>
      <c r="F22523"/>
    </row>
    <row r="22524" spans="1:6" x14ac:dyDescent="0.25">
      <c r="A22524"/>
      <c r="B22524"/>
      <c r="C22524"/>
      <c r="E22524"/>
      <c r="F22524"/>
    </row>
    <row r="22525" spans="1:6" x14ac:dyDescent="0.25">
      <c r="A22525"/>
      <c r="B22525"/>
      <c r="C22525"/>
      <c r="E22525"/>
      <c r="F22525"/>
    </row>
    <row r="22526" spans="1:6" x14ac:dyDescent="0.25">
      <c r="A22526"/>
      <c r="B22526"/>
      <c r="C22526"/>
      <c r="E22526"/>
      <c r="F22526"/>
    </row>
    <row r="22527" spans="1:6" x14ac:dyDescent="0.25">
      <c r="A22527"/>
      <c r="B22527"/>
      <c r="C22527"/>
      <c r="E22527"/>
      <c r="F22527"/>
    </row>
    <row r="22528" spans="1:6" x14ac:dyDescent="0.25">
      <c r="A22528"/>
      <c r="B22528"/>
      <c r="C22528"/>
      <c r="E22528"/>
      <c r="F22528"/>
    </row>
    <row r="22529" spans="1:6" x14ac:dyDescent="0.25">
      <c r="A22529"/>
      <c r="B22529"/>
      <c r="C22529"/>
      <c r="E22529"/>
      <c r="F22529"/>
    </row>
    <row r="22530" spans="1:6" x14ac:dyDescent="0.25">
      <c r="A22530"/>
      <c r="B22530"/>
      <c r="C22530"/>
      <c r="E22530"/>
      <c r="F22530"/>
    </row>
    <row r="22531" spans="1:6" x14ac:dyDescent="0.25">
      <c r="A22531"/>
      <c r="B22531"/>
      <c r="C22531"/>
      <c r="E22531"/>
      <c r="F22531"/>
    </row>
    <row r="22532" spans="1:6" x14ac:dyDescent="0.25">
      <c r="A22532"/>
      <c r="B22532"/>
      <c r="C22532"/>
      <c r="E22532"/>
      <c r="F22532"/>
    </row>
    <row r="22533" spans="1:6" x14ac:dyDescent="0.25">
      <c r="A22533"/>
      <c r="B22533"/>
      <c r="C22533"/>
      <c r="E22533"/>
      <c r="F22533"/>
    </row>
    <row r="22534" spans="1:6" x14ac:dyDescent="0.25">
      <c r="A22534"/>
      <c r="B22534"/>
      <c r="C22534"/>
      <c r="E22534"/>
      <c r="F22534"/>
    </row>
    <row r="22535" spans="1:6" x14ac:dyDescent="0.25">
      <c r="A22535"/>
      <c r="B22535"/>
      <c r="C22535"/>
      <c r="E22535"/>
      <c r="F22535"/>
    </row>
    <row r="22536" spans="1:6" x14ac:dyDescent="0.25">
      <c r="A22536"/>
      <c r="B22536"/>
      <c r="C22536"/>
      <c r="E22536"/>
      <c r="F22536"/>
    </row>
    <row r="22537" spans="1:6" x14ac:dyDescent="0.25">
      <c r="A22537"/>
      <c r="B22537"/>
      <c r="C22537"/>
      <c r="E22537"/>
      <c r="F22537"/>
    </row>
    <row r="22538" spans="1:6" x14ac:dyDescent="0.25">
      <c r="A22538"/>
      <c r="B22538"/>
      <c r="C22538"/>
      <c r="E22538"/>
      <c r="F22538"/>
    </row>
    <row r="22539" spans="1:6" x14ac:dyDescent="0.25">
      <c r="A22539"/>
      <c r="B22539"/>
      <c r="C22539"/>
      <c r="E22539"/>
      <c r="F22539"/>
    </row>
    <row r="22540" spans="1:6" x14ac:dyDescent="0.25">
      <c r="A22540"/>
      <c r="B22540"/>
      <c r="C22540"/>
      <c r="E22540"/>
      <c r="F22540"/>
    </row>
    <row r="22541" spans="1:6" x14ac:dyDescent="0.25">
      <c r="A22541"/>
      <c r="B22541"/>
      <c r="C22541"/>
      <c r="E22541"/>
      <c r="F22541"/>
    </row>
    <row r="22542" spans="1:6" x14ac:dyDescent="0.25">
      <c r="A22542"/>
      <c r="B22542"/>
      <c r="C22542"/>
      <c r="E22542"/>
      <c r="F22542"/>
    </row>
    <row r="22543" spans="1:6" x14ac:dyDescent="0.25">
      <c r="A22543"/>
      <c r="B22543"/>
      <c r="C22543"/>
      <c r="E22543"/>
      <c r="F22543"/>
    </row>
    <row r="22544" spans="1:6" x14ac:dyDescent="0.25">
      <c r="A22544"/>
      <c r="B22544"/>
      <c r="C22544"/>
      <c r="E22544"/>
      <c r="F22544"/>
    </row>
    <row r="22545" spans="1:6" x14ac:dyDescent="0.25">
      <c r="A22545"/>
      <c r="B22545"/>
      <c r="C22545"/>
      <c r="E22545"/>
      <c r="F22545"/>
    </row>
    <row r="22546" spans="1:6" x14ac:dyDescent="0.25">
      <c r="A22546"/>
      <c r="B22546"/>
      <c r="C22546"/>
      <c r="E22546"/>
      <c r="F22546"/>
    </row>
    <row r="22547" spans="1:6" x14ac:dyDescent="0.25">
      <c r="A22547"/>
      <c r="B22547"/>
      <c r="C22547"/>
      <c r="E22547"/>
      <c r="F22547"/>
    </row>
    <row r="22548" spans="1:6" x14ac:dyDescent="0.25">
      <c r="A22548"/>
      <c r="B22548"/>
      <c r="C22548"/>
      <c r="E22548"/>
      <c r="F22548"/>
    </row>
    <row r="22549" spans="1:6" x14ac:dyDescent="0.25">
      <c r="A22549"/>
      <c r="B22549"/>
      <c r="C22549"/>
      <c r="E22549"/>
      <c r="F22549"/>
    </row>
    <row r="22550" spans="1:6" x14ac:dyDescent="0.25">
      <c r="A22550"/>
      <c r="B22550"/>
      <c r="C22550"/>
      <c r="E22550"/>
      <c r="F22550"/>
    </row>
    <row r="22551" spans="1:6" x14ac:dyDescent="0.25">
      <c r="A22551"/>
      <c r="B22551"/>
      <c r="C22551"/>
      <c r="E22551"/>
      <c r="F22551"/>
    </row>
    <row r="22552" spans="1:6" x14ac:dyDescent="0.25">
      <c r="A22552"/>
      <c r="B22552"/>
      <c r="C22552"/>
      <c r="E22552"/>
      <c r="F22552"/>
    </row>
    <row r="22553" spans="1:6" x14ac:dyDescent="0.25">
      <c r="A22553"/>
      <c r="B22553"/>
      <c r="C22553"/>
      <c r="E22553"/>
      <c r="F22553"/>
    </row>
    <row r="22554" spans="1:6" x14ac:dyDescent="0.25">
      <c r="A22554"/>
      <c r="B22554"/>
      <c r="C22554"/>
      <c r="E22554"/>
      <c r="F22554"/>
    </row>
    <row r="22555" spans="1:6" x14ac:dyDescent="0.25">
      <c r="A22555"/>
      <c r="B22555"/>
      <c r="C22555"/>
      <c r="E22555"/>
      <c r="F22555"/>
    </row>
    <row r="22556" spans="1:6" x14ac:dyDescent="0.25">
      <c r="A22556"/>
      <c r="B22556"/>
      <c r="C22556"/>
      <c r="E22556"/>
      <c r="F22556"/>
    </row>
    <row r="22557" spans="1:6" x14ac:dyDescent="0.25">
      <c r="A22557"/>
      <c r="B22557"/>
      <c r="C22557"/>
      <c r="E22557"/>
      <c r="F22557"/>
    </row>
    <row r="22558" spans="1:6" x14ac:dyDescent="0.25">
      <c r="A22558"/>
      <c r="B22558"/>
      <c r="C22558"/>
      <c r="E22558"/>
      <c r="F22558"/>
    </row>
    <row r="22559" spans="1:6" x14ac:dyDescent="0.25">
      <c r="A22559"/>
      <c r="B22559"/>
      <c r="C22559"/>
      <c r="E22559"/>
      <c r="F22559"/>
    </row>
    <row r="22560" spans="1:6" x14ac:dyDescent="0.25">
      <c r="A22560"/>
      <c r="B22560"/>
      <c r="C22560"/>
      <c r="E22560"/>
      <c r="F22560"/>
    </row>
    <row r="22561" spans="1:6" x14ac:dyDescent="0.25">
      <c r="A22561"/>
      <c r="B22561"/>
      <c r="C22561"/>
      <c r="E22561"/>
      <c r="F22561"/>
    </row>
    <row r="22562" spans="1:6" x14ac:dyDescent="0.25">
      <c r="A22562"/>
      <c r="B22562"/>
      <c r="C22562"/>
      <c r="E22562"/>
      <c r="F22562"/>
    </row>
    <row r="22563" spans="1:6" x14ac:dyDescent="0.25">
      <c r="A22563"/>
      <c r="B22563"/>
      <c r="C22563"/>
      <c r="E22563"/>
      <c r="F22563"/>
    </row>
    <row r="22564" spans="1:6" x14ac:dyDescent="0.25">
      <c r="A22564"/>
      <c r="B22564"/>
      <c r="C22564"/>
      <c r="E22564"/>
      <c r="F22564"/>
    </row>
    <row r="22565" spans="1:6" x14ac:dyDescent="0.25">
      <c r="A22565"/>
      <c r="B22565"/>
      <c r="C22565"/>
      <c r="E22565"/>
      <c r="F22565"/>
    </row>
    <row r="22566" spans="1:6" x14ac:dyDescent="0.25">
      <c r="A22566"/>
      <c r="B22566"/>
      <c r="C22566"/>
      <c r="E22566"/>
      <c r="F22566"/>
    </row>
    <row r="22567" spans="1:6" x14ac:dyDescent="0.25">
      <c r="A22567"/>
      <c r="B22567"/>
      <c r="C22567"/>
      <c r="E22567"/>
      <c r="F22567"/>
    </row>
    <row r="22568" spans="1:6" x14ac:dyDescent="0.25">
      <c r="A22568"/>
      <c r="B22568"/>
      <c r="C22568"/>
      <c r="E22568"/>
      <c r="F22568"/>
    </row>
    <row r="22569" spans="1:6" x14ac:dyDescent="0.25">
      <c r="A22569"/>
      <c r="B22569"/>
      <c r="C22569"/>
      <c r="E22569"/>
      <c r="F22569"/>
    </row>
    <row r="22570" spans="1:6" x14ac:dyDescent="0.25">
      <c r="A22570"/>
      <c r="B22570"/>
      <c r="C22570"/>
      <c r="E22570"/>
      <c r="F22570"/>
    </row>
    <row r="22571" spans="1:6" x14ac:dyDescent="0.25">
      <c r="A22571"/>
      <c r="B22571"/>
      <c r="C22571"/>
      <c r="E22571"/>
      <c r="F22571"/>
    </row>
    <row r="22572" spans="1:6" x14ac:dyDescent="0.25">
      <c r="A22572"/>
      <c r="B22572"/>
      <c r="C22572"/>
      <c r="E22572"/>
      <c r="F22572"/>
    </row>
    <row r="22573" spans="1:6" x14ac:dyDescent="0.25">
      <c r="A22573"/>
      <c r="B22573"/>
      <c r="C22573"/>
      <c r="E22573"/>
      <c r="F22573"/>
    </row>
    <row r="22574" spans="1:6" x14ac:dyDescent="0.25">
      <c r="A22574"/>
      <c r="B22574"/>
      <c r="C22574"/>
      <c r="E22574"/>
      <c r="F22574"/>
    </row>
    <row r="22575" spans="1:6" x14ac:dyDescent="0.25">
      <c r="A22575"/>
      <c r="B22575"/>
      <c r="C22575"/>
      <c r="E22575"/>
      <c r="F22575"/>
    </row>
    <row r="22576" spans="1:6" x14ac:dyDescent="0.25">
      <c r="A22576"/>
      <c r="B22576"/>
      <c r="C22576"/>
      <c r="E22576"/>
      <c r="F22576"/>
    </row>
    <row r="22577" spans="1:6" x14ac:dyDescent="0.25">
      <c r="A22577"/>
      <c r="B22577"/>
      <c r="C22577"/>
      <c r="E22577"/>
      <c r="F22577"/>
    </row>
    <row r="22578" spans="1:6" x14ac:dyDescent="0.25">
      <c r="A22578"/>
      <c r="B22578"/>
      <c r="C22578"/>
      <c r="E22578"/>
      <c r="F22578"/>
    </row>
    <row r="22579" spans="1:6" x14ac:dyDescent="0.25">
      <c r="A22579"/>
      <c r="B22579"/>
      <c r="C22579"/>
      <c r="E22579"/>
      <c r="F22579"/>
    </row>
    <row r="22580" spans="1:6" x14ac:dyDescent="0.25">
      <c r="A22580"/>
      <c r="B22580"/>
      <c r="C22580"/>
      <c r="E22580"/>
      <c r="F22580"/>
    </row>
    <row r="22581" spans="1:6" x14ac:dyDescent="0.25">
      <c r="A22581"/>
      <c r="B22581"/>
      <c r="C22581"/>
      <c r="E22581"/>
      <c r="F22581"/>
    </row>
    <row r="22582" spans="1:6" x14ac:dyDescent="0.25">
      <c r="A22582"/>
      <c r="B22582"/>
      <c r="C22582"/>
      <c r="E22582"/>
      <c r="F22582"/>
    </row>
    <row r="22583" spans="1:6" x14ac:dyDescent="0.25">
      <c r="A22583"/>
      <c r="B22583"/>
      <c r="C22583"/>
      <c r="E22583"/>
      <c r="F22583"/>
    </row>
    <row r="22584" spans="1:6" x14ac:dyDescent="0.25">
      <c r="A22584"/>
      <c r="B22584"/>
      <c r="C22584"/>
      <c r="E22584"/>
      <c r="F22584"/>
    </row>
    <row r="22585" spans="1:6" x14ac:dyDescent="0.25">
      <c r="A22585"/>
      <c r="B22585"/>
      <c r="C22585"/>
      <c r="E22585"/>
      <c r="F22585"/>
    </row>
    <row r="22586" spans="1:6" x14ac:dyDescent="0.25">
      <c r="A22586"/>
      <c r="B22586"/>
      <c r="C22586"/>
      <c r="E22586"/>
      <c r="F22586"/>
    </row>
    <row r="22587" spans="1:6" x14ac:dyDescent="0.25">
      <c r="A22587"/>
      <c r="B22587"/>
      <c r="C22587"/>
      <c r="E22587"/>
      <c r="F22587"/>
    </row>
    <row r="22588" spans="1:6" x14ac:dyDescent="0.25">
      <c r="A22588"/>
      <c r="B22588"/>
      <c r="C22588"/>
      <c r="E22588"/>
      <c r="F22588"/>
    </row>
    <row r="22589" spans="1:6" x14ac:dyDescent="0.25">
      <c r="A22589"/>
      <c r="B22589"/>
      <c r="C22589"/>
      <c r="E22589"/>
      <c r="F22589"/>
    </row>
    <row r="22590" spans="1:6" x14ac:dyDescent="0.25">
      <c r="A22590"/>
      <c r="B22590"/>
      <c r="C22590"/>
      <c r="E22590"/>
      <c r="F22590"/>
    </row>
    <row r="22591" spans="1:6" x14ac:dyDescent="0.25">
      <c r="A22591"/>
      <c r="B22591"/>
      <c r="C22591"/>
      <c r="E22591"/>
      <c r="F22591"/>
    </row>
    <row r="22592" spans="1:6" x14ac:dyDescent="0.25">
      <c r="A22592"/>
      <c r="B22592"/>
      <c r="C22592"/>
      <c r="E22592"/>
      <c r="F22592"/>
    </row>
    <row r="22593" spans="1:6" x14ac:dyDescent="0.25">
      <c r="A22593"/>
      <c r="B22593"/>
      <c r="C22593"/>
      <c r="E22593"/>
      <c r="F22593"/>
    </row>
    <row r="22594" spans="1:6" x14ac:dyDescent="0.25">
      <c r="A22594"/>
      <c r="B22594"/>
      <c r="C22594"/>
      <c r="E22594"/>
      <c r="F22594"/>
    </row>
    <row r="22595" spans="1:6" x14ac:dyDescent="0.25">
      <c r="A22595"/>
      <c r="B22595"/>
      <c r="C22595"/>
      <c r="E22595"/>
      <c r="F22595"/>
    </row>
    <row r="22596" spans="1:6" x14ac:dyDescent="0.25">
      <c r="A22596"/>
      <c r="B22596"/>
      <c r="C22596"/>
      <c r="E22596"/>
      <c r="F22596"/>
    </row>
    <row r="22597" spans="1:6" x14ac:dyDescent="0.25">
      <c r="A22597"/>
      <c r="B22597"/>
      <c r="C22597"/>
      <c r="E22597"/>
      <c r="F22597"/>
    </row>
    <row r="22598" spans="1:6" x14ac:dyDescent="0.25">
      <c r="A22598"/>
      <c r="B22598"/>
      <c r="C22598"/>
      <c r="E22598"/>
      <c r="F22598"/>
    </row>
    <row r="22599" spans="1:6" x14ac:dyDescent="0.25">
      <c r="A22599"/>
      <c r="B22599"/>
      <c r="C22599"/>
      <c r="E22599"/>
      <c r="F22599"/>
    </row>
    <row r="22600" spans="1:6" x14ac:dyDescent="0.25">
      <c r="A22600"/>
      <c r="B22600"/>
      <c r="C22600"/>
      <c r="E22600"/>
      <c r="F22600"/>
    </row>
    <row r="22601" spans="1:6" x14ac:dyDescent="0.25">
      <c r="A22601"/>
      <c r="B22601"/>
      <c r="C22601"/>
      <c r="E22601"/>
      <c r="F22601"/>
    </row>
    <row r="22602" spans="1:6" x14ac:dyDescent="0.25">
      <c r="A22602"/>
      <c r="B22602"/>
      <c r="C22602"/>
      <c r="E22602"/>
      <c r="F22602"/>
    </row>
    <row r="22603" spans="1:6" x14ac:dyDescent="0.25">
      <c r="A22603"/>
      <c r="B22603"/>
      <c r="C22603"/>
      <c r="E22603"/>
      <c r="F22603"/>
    </row>
    <row r="22604" spans="1:6" x14ac:dyDescent="0.25">
      <c r="A22604"/>
      <c r="B22604"/>
      <c r="C22604"/>
      <c r="E22604"/>
      <c r="F22604"/>
    </row>
    <row r="22605" spans="1:6" x14ac:dyDescent="0.25">
      <c r="A22605"/>
      <c r="B22605"/>
      <c r="C22605"/>
      <c r="E22605"/>
      <c r="F22605"/>
    </row>
    <row r="22606" spans="1:6" x14ac:dyDescent="0.25">
      <c r="A22606"/>
      <c r="B22606"/>
      <c r="C22606"/>
      <c r="E22606"/>
      <c r="F22606"/>
    </row>
    <row r="22607" spans="1:6" x14ac:dyDescent="0.25">
      <c r="A22607"/>
      <c r="B22607"/>
      <c r="C22607"/>
      <c r="E22607"/>
      <c r="F22607"/>
    </row>
    <row r="22608" spans="1:6" x14ac:dyDescent="0.25">
      <c r="A22608"/>
      <c r="B22608"/>
      <c r="C22608"/>
      <c r="E22608"/>
      <c r="F22608"/>
    </row>
    <row r="22609" spans="1:6" x14ac:dyDescent="0.25">
      <c r="A22609"/>
      <c r="B22609"/>
      <c r="C22609"/>
      <c r="E22609"/>
      <c r="F22609"/>
    </row>
    <row r="22610" spans="1:6" x14ac:dyDescent="0.25">
      <c r="A22610"/>
      <c r="B22610"/>
      <c r="C22610"/>
      <c r="E22610"/>
      <c r="F22610"/>
    </row>
    <row r="22611" spans="1:6" x14ac:dyDescent="0.25">
      <c r="A22611"/>
      <c r="B22611"/>
      <c r="C22611"/>
      <c r="E22611"/>
      <c r="F22611"/>
    </row>
    <row r="22612" spans="1:6" x14ac:dyDescent="0.25">
      <c r="A22612"/>
      <c r="B22612"/>
      <c r="C22612"/>
      <c r="E22612"/>
      <c r="F22612"/>
    </row>
    <row r="22613" spans="1:6" x14ac:dyDescent="0.25">
      <c r="A22613"/>
      <c r="B22613"/>
      <c r="C22613"/>
      <c r="E22613"/>
      <c r="F22613"/>
    </row>
    <row r="22614" spans="1:6" x14ac:dyDescent="0.25">
      <c r="A22614"/>
      <c r="B22614"/>
      <c r="C22614"/>
      <c r="E22614"/>
      <c r="F22614"/>
    </row>
    <row r="22615" spans="1:6" x14ac:dyDescent="0.25">
      <c r="A22615"/>
      <c r="B22615"/>
      <c r="C22615"/>
      <c r="E22615"/>
      <c r="F22615"/>
    </row>
    <row r="22616" spans="1:6" x14ac:dyDescent="0.25">
      <c r="A22616"/>
      <c r="B22616"/>
      <c r="C22616"/>
      <c r="E22616"/>
      <c r="F22616"/>
    </row>
    <row r="22617" spans="1:6" x14ac:dyDescent="0.25">
      <c r="A22617"/>
      <c r="B22617"/>
      <c r="C22617"/>
      <c r="E22617"/>
      <c r="F22617"/>
    </row>
    <row r="22618" spans="1:6" x14ac:dyDescent="0.25">
      <c r="A22618"/>
      <c r="B22618"/>
      <c r="C22618"/>
      <c r="E22618"/>
      <c r="F22618"/>
    </row>
    <row r="22619" spans="1:6" x14ac:dyDescent="0.25">
      <c r="A22619"/>
      <c r="B22619"/>
      <c r="C22619"/>
      <c r="E22619"/>
      <c r="F22619"/>
    </row>
    <row r="22620" spans="1:6" x14ac:dyDescent="0.25">
      <c r="A22620"/>
      <c r="B22620"/>
      <c r="C22620"/>
      <c r="E22620"/>
      <c r="F22620"/>
    </row>
    <row r="22621" spans="1:6" x14ac:dyDescent="0.25">
      <c r="A22621"/>
      <c r="B22621"/>
      <c r="C22621"/>
      <c r="E22621"/>
      <c r="F22621"/>
    </row>
    <row r="22622" spans="1:6" x14ac:dyDescent="0.25">
      <c r="A22622"/>
      <c r="B22622"/>
      <c r="C22622"/>
      <c r="E22622"/>
      <c r="F22622"/>
    </row>
    <row r="22623" spans="1:6" x14ac:dyDescent="0.25">
      <c r="A22623"/>
      <c r="B22623"/>
      <c r="C22623"/>
      <c r="E22623"/>
      <c r="F22623"/>
    </row>
    <row r="22624" spans="1:6" x14ac:dyDescent="0.25">
      <c r="A22624"/>
      <c r="B22624"/>
      <c r="C22624"/>
      <c r="E22624"/>
      <c r="F22624"/>
    </row>
    <row r="22625" spans="1:6" x14ac:dyDescent="0.25">
      <c r="A22625"/>
      <c r="B22625"/>
      <c r="C22625"/>
      <c r="E22625"/>
      <c r="F22625"/>
    </row>
    <row r="22626" spans="1:6" x14ac:dyDescent="0.25">
      <c r="A22626"/>
      <c r="B22626"/>
      <c r="C22626"/>
      <c r="E22626"/>
      <c r="F22626"/>
    </row>
    <row r="22627" spans="1:6" x14ac:dyDescent="0.25">
      <c r="A22627"/>
      <c r="B22627"/>
      <c r="C22627"/>
      <c r="E22627"/>
      <c r="F22627"/>
    </row>
    <row r="22628" spans="1:6" x14ac:dyDescent="0.25">
      <c r="A22628"/>
      <c r="B22628"/>
      <c r="C22628"/>
      <c r="E22628"/>
      <c r="F22628"/>
    </row>
    <row r="22629" spans="1:6" x14ac:dyDescent="0.25">
      <c r="A22629"/>
      <c r="B22629"/>
      <c r="C22629"/>
      <c r="E22629"/>
      <c r="F22629"/>
    </row>
    <row r="22630" spans="1:6" x14ac:dyDescent="0.25">
      <c r="A22630"/>
      <c r="B22630"/>
      <c r="C22630"/>
      <c r="E22630"/>
      <c r="F22630"/>
    </row>
    <row r="22631" spans="1:6" x14ac:dyDescent="0.25">
      <c r="A22631"/>
      <c r="B22631"/>
      <c r="C22631"/>
      <c r="E22631"/>
      <c r="F22631"/>
    </row>
    <row r="22632" spans="1:6" x14ac:dyDescent="0.25">
      <c r="A22632"/>
      <c r="B22632"/>
      <c r="C22632"/>
      <c r="E22632"/>
      <c r="F22632"/>
    </row>
    <row r="22633" spans="1:6" x14ac:dyDescent="0.25">
      <c r="A22633"/>
      <c r="B22633"/>
      <c r="C22633"/>
      <c r="E22633"/>
      <c r="F22633"/>
    </row>
    <row r="22634" spans="1:6" x14ac:dyDescent="0.25">
      <c r="A22634"/>
      <c r="B22634"/>
      <c r="C22634"/>
      <c r="E22634"/>
      <c r="F22634"/>
    </row>
    <row r="22635" spans="1:6" x14ac:dyDescent="0.25">
      <c r="A22635"/>
      <c r="B22635"/>
      <c r="C22635"/>
      <c r="E22635"/>
      <c r="F22635"/>
    </row>
    <row r="22636" spans="1:6" x14ac:dyDescent="0.25">
      <c r="A22636"/>
      <c r="B22636"/>
      <c r="C22636"/>
      <c r="E22636"/>
      <c r="F22636"/>
    </row>
    <row r="22637" spans="1:6" x14ac:dyDescent="0.25">
      <c r="A22637"/>
      <c r="B22637"/>
      <c r="C22637"/>
      <c r="E22637"/>
      <c r="F22637"/>
    </row>
    <row r="22638" spans="1:6" x14ac:dyDescent="0.25">
      <c r="A22638"/>
      <c r="B22638"/>
      <c r="C22638"/>
      <c r="E22638"/>
      <c r="F22638"/>
    </row>
    <row r="22639" spans="1:6" x14ac:dyDescent="0.25">
      <c r="A22639"/>
      <c r="B22639"/>
      <c r="C22639"/>
      <c r="E22639"/>
      <c r="F22639"/>
    </row>
    <row r="22640" spans="1:6" x14ac:dyDescent="0.25">
      <c r="A22640"/>
      <c r="B22640"/>
      <c r="C22640"/>
      <c r="E22640"/>
      <c r="F22640"/>
    </row>
    <row r="22641" spans="1:6" x14ac:dyDescent="0.25">
      <c r="A22641"/>
      <c r="B22641"/>
      <c r="C22641"/>
      <c r="E22641"/>
      <c r="F22641"/>
    </row>
    <row r="22642" spans="1:6" x14ac:dyDescent="0.25">
      <c r="A22642"/>
      <c r="B22642"/>
      <c r="C22642"/>
      <c r="E22642"/>
      <c r="F22642"/>
    </row>
    <row r="22643" spans="1:6" x14ac:dyDescent="0.25">
      <c r="A22643"/>
      <c r="B22643"/>
      <c r="C22643"/>
      <c r="E22643"/>
      <c r="F22643"/>
    </row>
    <row r="22644" spans="1:6" x14ac:dyDescent="0.25">
      <c r="A22644"/>
      <c r="B22644"/>
      <c r="C22644"/>
      <c r="E22644"/>
      <c r="F22644"/>
    </row>
    <row r="22645" spans="1:6" x14ac:dyDescent="0.25">
      <c r="A22645"/>
      <c r="B22645"/>
      <c r="C22645"/>
      <c r="E22645"/>
      <c r="F22645"/>
    </row>
    <row r="22646" spans="1:6" x14ac:dyDescent="0.25">
      <c r="A22646"/>
      <c r="B22646"/>
      <c r="C22646"/>
      <c r="E22646"/>
      <c r="F22646"/>
    </row>
    <row r="22647" spans="1:6" x14ac:dyDescent="0.25">
      <c r="A22647"/>
      <c r="B22647"/>
      <c r="C22647"/>
      <c r="E22647"/>
      <c r="F22647"/>
    </row>
    <row r="22648" spans="1:6" x14ac:dyDescent="0.25">
      <c r="A22648"/>
      <c r="B22648"/>
      <c r="C22648"/>
      <c r="E22648"/>
      <c r="F22648"/>
    </row>
    <row r="22649" spans="1:6" x14ac:dyDescent="0.25">
      <c r="A22649"/>
      <c r="B22649"/>
      <c r="C22649"/>
      <c r="E22649"/>
      <c r="F22649"/>
    </row>
    <row r="22650" spans="1:6" x14ac:dyDescent="0.25">
      <c r="A22650"/>
      <c r="B22650"/>
      <c r="C22650"/>
      <c r="E22650"/>
      <c r="F22650"/>
    </row>
    <row r="22651" spans="1:6" x14ac:dyDescent="0.25">
      <c r="A22651"/>
      <c r="B22651"/>
      <c r="C22651"/>
      <c r="E22651"/>
      <c r="F22651"/>
    </row>
    <row r="22652" spans="1:6" x14ac:dyDescent="0.25">
      <c r="A22652"/>
      <c r="B22652"/>
      <c r="C22652"/>
      <c r="E22652"/>
      <c r="F22652"/>
    </row>
    <row r="22653" spans="1:6" x14ac:dyDescent="0.25">
      <c r="A22653"/>
      <c r="B22653"/>
      <c r="C22653"/>
      <c r="E22653"/>
      <c r="F22653"/>
    </row>
    <row r="22654" spans="1:6" x14ac:dyDescent="0.25">
      <c r="A22654"/>
      <c r="B22654"/>
      <c r="C22654"/>
      <c r="E22654"/>
      <c r="F22654"/>
    </row>
    <row r="22655" spans="1:6" x14ac:dyDescent="0.25">
      <c r="A22655"/>
      <c r="B22655"/>
      <c r="C22655"/>
      <c r="E22655"/>
      <c r="F22655"/>
    </row>
    <row r="22656" spans="1:6" x14ac:dyDescent="0.25">
      <c r="A22656"/>
      <c r="B22656"/>
      <c r="C22656"/>
      <c r="E22656"/>
      <c r="F22656"/>
    </row>
    <row r="22657" spans="1:6" x14ac:dyDescent="0.25">
      <c r="A22657"/>
      <c r="B22657"/>
      <c r="C22657"/>
      <c r="E22657"/>
      <c r="F22657"/>
    </row>
    <row r="22658" spans="1:6" x14ac:dyDescent="0.25">
      <c r="A22658"/>
      <c r="B22658"/>
      <c r="C22658"/>
      <c r="E22658"/>
      <c r="F22658"/>
    </row>
    <row r="22659" spans="1:6" x14ac:dyDescent="0.25">
      <c r="A22659"/>
      <c r="B22659"/>
      <c r="C22659"/>
      <c r="E22659"/>
      <c r="F22659"/>
    </row>
    <row r="22660" spans="1:6" x14ac:dyDescent="0.25">
      <c r="A22660"/>
      <c r="B22660"/>
      <c r="C22660"/>
      <c r="E22660"/>
      <c r="F22660"/>
    </row>
    <row r="22661" spans="1:6" x14ac:dyDescent="0.25">
      <c r="A22661"/>
      <c r="B22661"/>
      <c r="C22661"/>
      <c r="E22661"/>
      <c r="F22661"/>
    </row>
    <row r="22662" spans="1:6" x14ac:dyDescent="0.25">
      <c r="A22662"/>
      <c r="B22662"/>
      <c r="C22662"/>
      <c r="E22662"/>
      <c r="F22662"/>
    </row>
    <row r="22663" spans="1:6" x14ac:dyDescent="0.25">
      <c r="A22663"/>
      <c r="B22663"/>
      <c r="C22663"/>
      <c r="E22663"/>
      <c r="F22663"/>
    </row>
    <row r="22664" spans="1:6" x14ac:dyDescent="0.25">
      <c r="A22664"/>
      <c r="B22664"/>
      <c r="C22664"/>
      <c r="E22664"/>
      <c r="F22664"/>
    </row>
    <row r="22665" spans="1:6" x14ac:dyDescent="0.25">
      <c r="A22665"/>
      <c r="B22665"/>
      <c r="C22665"/>
      <c r="E22665"/>
      <c r="F22665"/>
    </row>
    <row r="22666" spans="1:6" x14ac:dyDescent="0.25">
      <c r="A22666"/>
      <c r="B22666"/>
      <c r="C22666"/>
      <c r="E22666"/>
      <c r="F22666"/>
    </row>
    <row r="22667" spans="1:6" x14ac:dyDescent="0.25">
      <c r="A22667"/>
      <c r="B22667"/>
      <c r="C22667"/>
      <c r="E22667"/>
      <c r="F22667"/>
    </row>
    <row r="22668" spans="1:6" x14ac:dyDescent="0.25">
      <c r="A22668"/>
      <c r="B22668"/>
      <c r="C22668"/>
      <c r="E22668"/>
      <c r="F22668"/>
    </row>
    <row r="22669" spans="1:6" x14ac:dyDescent="0.25">
      <c r="A22669"/>
      <c r="B22669"/>
      <c r="C22669"/>
      <c r="E22669"/>
      <c r="F22669"/>
    </row>
    <row r="22670" spans="1:6" x14ac:dyDescent="0.25">
      <c r="A22670"/>
      <c r="B22670"/>
      <c r="C22670"/>
      <c r="E22670"/>
      <c r="F22670"/>
    </row>
    <row r="22671" spans="1:6" x14ac:dyDescent="0.25">
      <c r="A22671"/>
      <c r="B22671"/>
      <c r="C22671"/>
      <c r="E22671"/>
      <c r="F22671"/>
    </row>
    <row r="22672" spans="1:6" x14ac:dyDescent="0.25">
      <c r="A22672"/>
      <c r="B22672"/>
      <c r="C22672"/>
      <c r="E22672"/>
      <c r="F22672"/>
    </row>
    <row r="22673" spans="1:6" x14ac:dyDescent="0.25">
      <c r="A22673"/>
      <c r="B22673"/>
      <c r="C22673"/>
      <c r="E22673"/>
      <c r="F22673"/>
    </row>
    <row r="22674" spans="1:6" x14ac:dyDescent="0.25">
      <c r="A22674"/>
      <c r="B22674"/>
      <c r="C22674"/>
      <c r="E22674"/>
      <c r="F22674"/>
    </row>
    <row r="22675" spans="1:6" x14ac:dyDescent="0.25">
      <c r="A22675"/>
      <c r="B22675"/>
      <c r="C22675"/>
      <c r="E22675"/>
      <c r="F22675"/>
    </row>
    <row r="22676" spans="1:6" x14ac:dyDescent="0.25">
      <c r="A22676"/>
      <c r="B22676"/>
      <c r="C22676"/>
      <c r="E22676"/>
      <c r="F22676"/>
    </row>
    <row r="22677" spans="1:6" x14ac:dyDescent="0.25">
      <c r="A22677"/>
      <c r="B22677"/>
      <c r="C22677"/>
      <c r="E22677"/>
      <c r="F22677"/>
    </row>
    <row r="22678" spans="1:6" x14ac:dyDescent="0.25">
      <c r="A22678"/>
      <c r="B22678"/>
      <c r="C22678"/>
      <c r="E22678"/>
      <c r="F22678"/>
    </row>
    <row r="22679" spans="1:6" x14ac:dyDescent="0.25">
      <c r="A22679"/>
      <c r="B22679"/>
      <c r="C22679"/>
      <c r="E22679"/>
      <c r="F22679"/>
    </row>
    <row r="22680" spans="1:6" x14ac:dyDescent="0.25">
      <c r="A22680"/>
      <c r="B22680"/>
      <c r="C22680"/>
      <c r="E22680"/>
      <c r="F22680"/>
    </row>
    <row r="22681" spans="1:6" x14ac:dyDescent="0.25">
      <c r="A22681"/>
      <c r="B22681"/>
      <c r="C22681"/>
      <c r="E22681"/>
      <c r="F22681"/>
    </row>
    <row r="22682" spans="1:6" x14ac:dyDescent="0.25">
      <c r="A22682"/>
      <c r="B22682"/>
      <c r="C22682"/>
      <c r="E22682"/>
      <c r="F22682"/>
    </row>
    <row r="22683" spans="1:6" x14ac:dyDescent="0.25">
      <c r="A22683"/>
      <c r="B22683"/>
      <c r="C22683"/>
      <c r="E22683"/>
      <c r="F22683"/>
    </row>
    <row r="22684" spans="1:6" x14ac:dyDescent="0.25">
      <c r="A22684"/>
      <c r="B22684"/>
      <c r="C22684"/>
      <c r="E22684"/>
      <c r="F22684"/>
    </row>
    <row r="22685" spans="1:6" x14ac:dyDescent="0.25">
      <c r="A22685"/>
      <c r="B22685"/>
      <c r="C22685"/>
      <c r="E22685"/>
      <c r="F22685"/>
    </row>
    <row r="22686" spans="1:6" x14ac:dyDescent="0.25">
      <c r="A22686"/>
      <c r="B22686"/>
      <c r="C22686"/>
      <c r="E22686"/>
      <c r="F22686"/>
    </row>
    <row r="22687" spans="1:6" x14ac:dyDescent="0.25">
      <c r="A22687"/>
      <c r="B22687"/>
      <c r="C22687"/>
      <c r="E22687"/>
      <c r="F22687"/>
    </row>
    <row r="22688" spans="1:6" x14ac:dyDescent="0.25">
      <c r="A22688"/>
      <c r="B22688"/>
      <c r="C22688"/>
      <c r="E22688"/>
      <c r="F22688"/>
    </row>
    <row r="22689" spans="1:6" x14ac:dyDescent="0.25">
      <c r="A22689"/>
      <c r="B22689"/>
      <c r="C22689"/>
      <c r="E22689"/>
      <c r="F22689"/>
    </row>
    <row r="22690" spans="1:6" x14ac:dyDescent="0.25">
      <c r="A22690"/>
      <c r="B22690"/>
      <c r="C22690"/>
      <c r="E22690"/>
      <c r="F22690"/>
    </row>
    <row r="22691" spans="1:6" x14ac:dyDescent="0.25">
      <c r="A22691"/>
      <c r="B22691"/>
      <c r="C22691"/>
      <c r="E22691"/>
      <c r="F22691"/>
    </row>
    <row r="22692" spans="1:6" x14ac:dyDescent="0.25">
      <c r="A22692"/>
      <c r="B22692"/>
      <c r="C22692"/>
      <c r="E22692"/>
      <c r="F22692"/>
    </row>
    <row r="22693" spans="1:6" x14ac:dyDescent="0.25">
      <c r="A22693"/>
      <c r="B22693"/>
      <c r="C22693"/>
      <c r="E22693"/>
      <c r="F22693"/>
    </row>
    <row r="22694" spans="1:6" x14ac:dyDescent="0.25">
      <c r="A22694"/>
      <c r="B22694"/>
      <c r="C22694"/>
      <c r="E22694"/>
      <c r="F22694"/>
    </row>
    <row r="22695" spans="1:6" x14ac:dyDescent="0.25">
      <c r="A22695"/>
      <c r="B22695"/>
      <c r="C22695"/>
      <c r="E22695"/>
      <c r="F22695"/>
    </row>
    <row r="22696" spans="1:6" x14ac:dyDescent="0.25">
      <c r="A22696"/>
      <c r="B22696"/>
      <c r="C22696"/>
      <c r="E22696"/>
      <c r="F22696"/>
    </row>
    <row r="22697" spans="1:6" x14ac:dyDescent="0.25">
      <c r="A22697"/>
      <c r="B22697"/>
      <c r="C22697"/>
      <c r="E22697"/>
      <c r="F22697"/>
    </row>
    <row r="22698" spans="1:6" x14ac:dyDescent="0.25">
      <c r="A22698"/>
      <c r="B22698"/>
      <c r="C22698"/>
      <c r="E22698"/>
      <c r="F22698"/>
    </row>
    <row r="22699" spans="1:6" x14ac:dyDescent="0.25">
      <c r="A22699"/>
      <c r="B22699"/>
      <c r="C22699"/>
      <c r="E22699"/>
      <c r="F22699"/>
    </row>
    <row r="22700" spans="1:6" x14ac:dyDescent="0.25">
      <c r="A22700"/>
      <c r="B22700"/>
      <c r="C22700"/>
      <c r="E22700"/>
      <c r="F22700"/>
    </row>
    <row r="22701" spans="1:6" x14ac:dyDescent="0.25">
      <c r="A22701"/>
      <c r="B22701"/>
      <c r="C22701"/>
      <c r="E22701"/>
      <c r="F22701"/>
    </row>
    <row r="22702" spans="1:6" x14ac:dyDescent="0.25">
      <c r="A22702"/>
      <c r="B22702"/>
      <c r="C22702"/>
      <c r="E22702"/>
      <c r="F22702"/>
    </row>
    <row r="22703" spans="1:6" x14ac:dyDescent="0.25">
      <c r="A22703"/>
      <c r="B22703"/>
      <c r="C22703"/>
      <c r="E22703"/>
      <c r="F22703"/>
    </row>
    <row r="22704" spans="1:6" x14ac:dyDescent="0.25">
      <c r="A22704"/>
      <c r="B22704"/>
      <c r="C22704"/>
      <c r="E22704"/>
      <c r="F22704"/>
    </row>
    <row r="22705" spans="1:6" x14ac:dyDescent="0.25">
      <c r="A22705"/>
      <c r="B22705"/>
      <c r="C22705"/>
      <c r="E22705"/>
      <c r="F22705"/>
    </row>
    <row r="22706" spans="1:6" x14ac:dyDescent="0.25">
      <c r="A22706"/>
      <c r="B22706"/>
      <c r="C22706"/>
      <c r="E22706"/>
      <c r="F22706"/>
    </row>
    <row r="22707" spans="1:6" x14ac:dyDescent="0.25">
      <c r="A22707"/>
      <c r="B22707"/>
      <c r="C22707"/>
      <c r="E22707"/>
      <c r="F22707"/>
    </row>
    <row r="22708" spans="1:6" x14ac:dyDescent="0.25">
      <c r="A22708"/>
      <c r="B22708"/>
      <c r="C22708"/>
      <c r="E22708"/>
      <c r="F22708"/>
    </row>
    <row r="22709" spans="1:6" x14ac:dyDescent="0.25">
      <c r="A22709"/>
      <c r="B22709"/>
      <c r="C22709"/>
      <c r="E22709"/>
      <c r="F22709"/>
    </row>
    <row r="22710" spans="1:6" x14ac:dyDescent="0.25">
      <c r="A22710"/>
      <c r="B22710"/>
      <c r="C22710"/>
      <c r="E22710"/>
      <c r="F22710"/>
    </row>
    <row r="22711" spans="1:6" x14ac:dyDescent="0.25">
      <c r="A22711"/>
      <c r="B22711"/>
      <c r="C22711"/>
      <c r="E22711"/>
      <c r="F22711"/>
    </row>
    <row r="22712" spans="1:6" x14ac:dyDescent="0.25">
      <c r="A22712"/>
      <c r="B22712"/>
      <c r="C22712"/>
      <c r="E22712"/>
      <c r="F22712"/>
    </row>
    <row r="22713" spans="1:6" x14ac:dyDescent="0.25">
      <c r="A22713"/>
      <c r="B22713"/>
      <c r="C22713"/>
      <c r="E22713"/>
      <c r="F22713"/>
    </row>
    <row r="22714" spans="1:6" x14ac:dyDescent="0.25">
      <c r="A22714"/>
      <c r="B22714"/>
      <c r="C22714"/>
      <c r="E22714"/>
      <c r="F22714"/>
    </row>
    <row r="22715" spans="1:6" x14ac:dyDescent="0.25">
      <c r="A22715"/>
      <c r="B22715"/>
      <c r="C22715"/>
      <c r="E22715"/>
      <c r="F22715"/>
    </row>
    <row r="22716" spans="1:6" x14ac:dyDescent="0.25">
      <c r="A22716"/>
      <c r="B22716"/>
      <c r="C22716"/>
      <c r="E22716"/>
      <c r="F22716"/>
    </row>
    <row r="22717" spans="1:6" x14ac:dyDescent="0.25">
      <c r="A22717"/>
      <c r="B22717"/>
      <c r="C22717"/>
      <c r="E22717"/>
      <c r="F22717"/>
    </row>
    <row r="22718" spans="1:6" x14ac:dyDescent="0.25">
      <c r="A22718"/>
      <c r="B22718"/>
      <c r="C22718"/>
      <c r="E22718"/>
      <c r="F22718"/>
    </row>
    <row r="22719" spans="1:6" x14ac:dyDescent="0.25">
      <c r="A22719"/>
      <c r="B22719"/>
      <c r="C22719"/>
      <c r="E22719"/>
      <c r="F22719"/>
    </row>
    <row r="22720" spans="1:6" x14ac:dyDescent="0.25">
      <c r="A22720"/>
      <c r="B22720"/>
      <c r="C22720"/>
      <c r="E22720"/>
      <c r="F22720"/>
    </row>
    <row r="22721" spans="1:6" x14ac:dyDescent="0.25">
      <c r="A22721"/>
      <c r="B22721"/>
      <c r="C22721"/>
      <c r="E22721"/>
      <c r="F22721"/>
    </row>
    <row r="22722" spans="1:6" x14ac:dyDescent="0.25">
      <c r="A22722"/>
      <c r="B22722"/>
      <c r="C22722"/>
      <c r="E22722"/>
      <c r="F22722"/>
    </row>
    <row r="22723" spans="1:6" x14ac:dyDescent="0.25">
      <c r="A22723"/>
      <c r="B22723"/>
      <c r="C22723"/>
      <c r="E22723"/>
      <c r="F22723"/>
    </row>
    <row r="22724" spans="1:6" x14ac:dyDescent="0.25">
      <c r="A22724"/>
      <c r="B22724"/>
      <c r="C22724"/>
      <c r="E22724"/>
      <c r="F22724"/>
    </row>
    <row r="22725" spans="1:6" x14ac:dyDescent="0.25">
      <c r="A22725"/>
      <c r="B22725"/>
      <c r="C22725"/>
      <c r="E22725"/>
      <c r="F22725"/>
    </row>
    <row r="22726" spans="1:6" x14ac:dyDescent="0.25">
      <c r="A22726"/>
      <c r="B22726"/>
      <c r="C22726"/>
      <c r="E22726"/>
      <c r="F22726"/>
    </row>
    <row r="22727" spans="1:6" x14ac:dyDescent="0.25">
      <c r="A22727"/>
      <c r="B22727"/>
      <c r="C22727"/>
      <c r="E22727"/>
      <c r="F22727"/>
    </row>
    <row r="22728" spans="1:6" x14ac:dyDescent="0.25">
      <c r="A22728"/>
      <c r="B22728"/>
      <c r="C22728"/>
      <c r="E22728"/>
      <c r="F22728"/>
    </row>
    <row r="22729" spans="1:6" x14ac:dyDescent="0.25">
      <c r="A22729"/>
      <c r="B22729"/>
      <c r="C22729"/>
      <c r="E22729"/>
      <c r="F22729"/>
    </row>
    <row r="22730" spans="1:6" x14ac:dyDescent="0.25">
      <c r="A22730"/>
      <c r="B22730"/>
      <c r="C22730"/>
      <c r="E22730"/>
      <c r="F22730"/>
    </row>
    <row r="22731" spans="1:6" x14ac:dyDescent="0.25">
      <c r="A22731"/>
      <c r="B22731"/>
      <c r="C22731"/>
      <c r="E22731"/>
      <c r="F22731"/>
    </row>
    <row r="22732" spans="1:6" x14ac:dyDescent="0.25">
      <c r="A22732"/>
      <c r="B22732"/>
      <c r="C22732"/>
      <c r="E22732"/>
      <c r="F22732"/>
    </row>
    <row r="22733" spans="1:6" x14ac:dyDescent="0.25">
      <c r="A22733"/>
      <c r="B22733"/>
      <c r="C22733"/>
      <c r="E22733"/>
      <c r="F22733"/>
    </row>
    <row r="22734" spans="1:6" x14ac:dyDescent="0.25">
      <c r="A22734"/>
      <c r="B22734"/>
      <c r="C22734"/>
      <c r="E22734"/>
      <c r="F22734"/>
    </row>
    <row r="22735" spans="1:6" x14ac:dyDescent="0.25">
      <c r="A22735"/>
      <c r="B22735"/>
      <c r="C22735"/>
      <c r="E22735"/>
      <c r="F22735"/>
    </row>
    <row r="22736" spans="1:6" x14ac:dyDescent="0.25">
      <c r="A22736"/>
      <c r="B22736"/>
      <c r="C22736"/>
      <c r="E22736"/>
      <c r="F22736"/>
    </row>
    <row r="22737" spans="1:6" x14ac:dyDescent="0.25">
      <c r="A22737"/>
      <c r="B22737"/>
      <c r="C22737"/>
      <c r="E22737"/>
      <c r="F22737"/>
    </row>
    <row r="22738" spans="1:6" x14ac:dyDescent="0.25">
      <c r="A22738"/>
      <c r="B22738"/>
      <c r="C22738"/>
      <c r="E22738"/>
      <c r="F22738"/>
    </row>
    <row r="22739" spans="1:6" x14ac:dyDescent="0.25">
      <c r="A22739"/>
      <c r="B22739"/>
      <c r="C22739"/>
      <c r="E22739"/>
      <c r="F22739"/>
    </row>
    <row r="22740" spans="1:6" x14ac:dyDescent="0.25">
      <c r="A22740"/>
      <c r="B22740"/>
      <c r="C22740"/>
      <c r="E22740"/>
      <c r="F22740"/>
    </row>
    <row r="22741" spans="1:6" x14ac:dyDescent="0.25">
      <c r="A22741"/>
      <c r="B22741"/>
      <c r="C22741"/>
      <c r="E22741"/>
      <c r="F22741"/>
    </row>
    <row r="22742" spans="1:6" x14ac:dyDescent="0.25">
      <c r="A22742"/>
      <c r="B22742"/>
      <c r="C22742"/>
      <c r="E22742"/>
      <c r="F22742"/>
    </row>
    <row r="22743" spans="1:6" x14ac:dyDescent="0.25">
      <c r="A22743"/>
      <c r="B22743"/>
      <c r="C22743"/>
      <c r="E22743"/>
      <c r="F22743"/>
    </row>
    <row r="22744" spans="1:6" x14ac:dyDescent="0.25">
      <c r="A22744"/>
      <c r="B22744"/>
      <c r="C22744"/>
      <c r="E22744"/>
      <c r="F22744"/>
    </row>
    <row r="22745" spans="1:6" x14ac:dyDescent="0.25">
      <c r="A22745"/>
      <c r="B22745"/>
      <c r="C22745"/>
      <c r="E22745"/>
      <c r="F22745"/>
    </row>
    <row r="22746" spans="1:6" x14ac:dyDescent="0.25">
      <c r="A22746"/>
      <c r="B22746"/>
      <c r="C22746"/>
      <c r="E22746"/>
      <c r="F22746"/>
    </row>
    <row r="22747" spans="1:6" x14ac:dyDescent="0.25">
      <c r="A22747"/>
      <c r="B22747"/>
      <c r="C22747"/>
      <c r="E22747"/>
      <c r="F22747"/>
    </row>
    <row r="22748" spans="1:6" x14ac:dyDescent="0.25">
      <c r="A22748"/>
      <c r="B22748"/>
      <c r="C22748"/>
      <c r="E22748"/>
      <c r="F22748"/>
    </row>
    <row r="22749" spans="1:6" x14ac:dyDescent="0.25">
      <c r="A22749"/>
      <c r="B22749"/>
      <c r="C22749"/>
      <c r="E22749"/>
      <c r="F22749"/>
    </row>
    <row r="22750" spans="1:6" x14ac:dyDescent="0.25">
      <c r="A22750"/>
      <c r="B22750"/>
      <c r="C22750"/>
      <c r="E22750"/>
      <c r="F22750"/>
    </row>
    <row r="22751" spans="1:6" x14ac:dyDescent="0.25">
      <c r="A22751"/>
      <c r="B22751"/>
      <c r="C22751"/>
      <c r="E22751"/>
      <c r="F22751"/>
    </row>
    <row r="22752" spans="1:6" x14ac:dyDescent="0.25">
      <c r="A22752"/>
      <c r="B22752"/>
      <c r="C22752"/>
      <c r="E22752"/>
      <c r="F22752"/>
    </row>
    <row r="22753" spans="1:6" x14ac:dyDescent="0.25">
      <c r="A22753"/>
      <c r="B22753"/>
      <c r="C22753"/>
      <c r="E22753"/>
      <c r="F22753"/>
    </row>
    <row r="22754" spans="1:6" x14ac:dyDescent="0.25">
      <c r="A22754"/>
      <c r="B22754"/>
      <c r="C22754"/>
      <c r="E22754"/>
      <c r="F22754"/>
    </row>
    <row r="22755" spans="1:6" x14ac:dyDescent="0.25">
      <c r="A22755"/>
      <c r="B22755"/>
      <c r="C22755"/>
      <c r="E22755"/>
      <c r="F22755"/>
    </row>
    <row r="22756" spans="1:6" x14ac:dyDescent="0.25">
      <c r="A22756"/>
      <c r="B22756"/>
      <c r="C22756"/>
      <c r="E22756"/>
      <c r="F22756"/>
    </row>
    <row r="22757" spans="1:6" x14ac:dyDescent="0.25">
      <c r="A22757"/>
      <c r="B22757"/>
      <c r="C22757"/>
      <c r="E22757"/>
      <c r="F22757"/>
    </row>
    <row r="22758" spans="1:6" x14ac:dyDescent="0.25">
      <c r="A22758"/>
      <c r="B22758"/>
      <c r="C22758"/>
      <c r="E22758"/>
      <c r="F22758"/>
    </row>
    <row r="22759" spans="1:6" x14ac:dyDescent="0.25">
      <c r="A22759"/>
      <c r="B22759"/>
      <c r="C22759"/>
      <c r="E22759"/>
      <c r="F22759"/>
    </row>
    <row r="22760" spans="1:6" x14ac:dyDescent="0.25">
      <c r="A22760"/>
      <c r="B22760"/>
      <c r="C22760"/>
      <c r="E22760"/>
      <c r="F22760"/>
    </row>
    <row r="22761" spans="1:6" x14ac:dyDescent="0.25">
      <c r="A22761"/>
      <c r="B22761"/>
      <c r="C22761"/>
      <c r="E22761"/>
      <c r="F22761"/>
    </row>
    <row r="22762" spans="1:6" x14ac:dyDescent="0.25">
      <c r="A22762"/>
      <c r="B22762"/>
      <c r="C22762"/>
      <c r="E22762"/>
      <c r="F22762"/>
    </row>
    <row r="22763" spans="1:6" x14ac:dyDescent="0.25">
      <c r="A22763"/>
      <c r="B22763"/>
      <c r="C22763"/>
      <c r="E22763"/>
      <c r="F22763"/>
    </row>
    <row r="22764" spans="1:6" x14ac:dyDescent="0.25">
      <c r="A22764"/>
      <c r="B22764"/>
      <c r="C22764"/>
      <c r="E22764"/>
      <c r="F22764"/>
    </row>
    <row r="22765" spans="1:6" x14ac:dyDescent="0.25">
      <c r="A22765"/>
      <c r="B22765"/>
      <c r="C22765"/>
      <c r="E22765"/>
      <c r="F22765"/>
    </row>
    <row r="22766" spans="1:6" x14ac:dyDescent="0.25">
      <c r="A22766"/>
      <c r="B22766"/>
      <c r="C22766"/>
      <c r="E22766"/>
      <c r="F22766"/>
    </row>
    <row r="22767" spans="1:6" x14ac:dyDescent="0.25">
      <c r="A22767"/>
      <c r="B22767"/>
      <c r="C22767"/>
      <c r="E22767"/>
      <c r="F22767"/>
    </row>
    <row r="22768" spans="1:6" x14ac:dyDescent="0.25">
      <c r="A22768"/>
      <c r="B22768"/>
      <c r="C22768"/>
      <c r="E22768"/>
      <c r="F22768"/>
    </row>
    <row r="22769" spans="1:6" x14ac:dyDescent="0.25">
      <c r="A22769"/>
      <c r="B22769"/>
      <c r="C22769"/>
      <c r="E22769"/>
      <c r="F22769"/>
    </row>
    <row r="22770" spans="1:6" x14ac:dyDescent="0.25">
      <c r="A22770"/>
      <c r="B22770"/>
      <c r="C22770"/>
      <c r="E22770"/>
      <c r="F22770"/>
    </row>
    <row r="22771" spans="1:6" x14ac:dyDescent="0.25">
      <c r="A22771"/>
      <c r="B22771"/>
      <c r="C22771"/>
      <c r="E22771"/>
      <c r="F22771"/>
    </row>
    <row r="22772" spans="1:6" x14ac:dyDescent="0.25">
      <c r="A22772"/>
      <c r="B22772"/>
      <c r="C22772"/>
      <c r="E22772"/>
      <c r="F22772"/>
    </row>
    <row r="22773" spans="1:6" x14ac:dyDescent="0.25">
      <c r="A22773"/>
      <c r="B22773"/>
      <c r="C22773"/>
      <c r="E22773"/>
      <c r="F22773"/>
    </row>
    <row r="22774" spans="1:6" x14ac:dyDescent="0.25">
      <c r="A22774"/>
      <c r="B22774"/>
      <c r="C22774"/>
      <c r="E22774"/>
      <c r="F22774"/>
    </row>
    <row r="22775" spans="1:6" x14ac:dyDescent="0.25">
      <c r="A22775"/>
      <c r="B22775"/>
      <c r="C22775"/>
      <c r="E22775"/>
      <c r="F22775"/>
    </row>
    <row r="22776" spans="1:6" x14ac:dyDescent="0.25">
      <c r="A22776"/>
      <c r="B22776"/>
      <c r="C22776"/>
      <c r="E22776"/>
      <c r="F22776"/>
    </row>
    <row r="22777" spans="1:6" x14ac:dyDescent="0.25">
      <c r="A22777"/>
      <c r="B22777"/>
      <c r="C22777"/>
      <c r="E22777"/>
      <c r="F22777"/>
    </row>
    <row r="22778" spans="1:6" x14ac:dyDescent="0.25">
      <c r="A22778"/>
      <c r="B22778"/>
      <c r="C22778"/>
      <c r="E22778"/>
      <c r="F22778"/>
    </row>
    <row r="22779" spans="1:6" x14ac:dyDescent="0.25">
      <c r="A22779"/>
      <c r="B22779"/>
      <c r="C22779"/>
      <c r="E22779"/>
      <c r="F22779"/>
    </row>
    <row r="22780" spans="1:6" x14ac:dyDescent="0.25">
      <c r="A22780"/>
      <c r="B22780"/>
      <c r="C22780"/>
      <c r="E22780"/>
      <c r="F22780"/>
    </row>
    <row r="22781" spans="1:6" x14ac:dyDescent="0.25">
      <c r="A22781"/>
      <c r="B22781"/>
      <c r="C22781"/>
      <c r="E22781"/>
      <c r="F22781"/>
    </row>
    <row r="22782" spans="1:6" x14ac:dyDescent="0.25">
      <c r="A22782"/>
      <c r="B22782"/>
      <c r="C22782"/>
      <c r="E22782"/>
      <c r="F22782"/>
    </row>
    <row r="22783" spans="1:6" x14ac:dyDescent="0.25">
      <c r="A22783"/>
      <c r="B22783"/>
      <c r="C22783"/>
      <c r="E22783"/>
      <c r="F22783"/>
    </row>
    <row r="22784" spans="1:6" x14ac:dyDescent="0.25">
      <c r="A22784"/>
      <c r="B22784"/>
      <c r="C22784"/>
      <c r="E22784"/>
      <c r="F22784"/>
    </row>
    <row r="22785" spans="1:6" x14ac:dyDescent="0.25">
      <c r="A22785"/>
      <c r="B22785"/>
      <c r="C22785"/>
      <c r="E22785"/>
      <c r="F22785"/>
    </row>
    <row r="22786" spans="1:6" x14ac:dyDescent="0.25">
      <c r="A22786"/>
      <c r="B22786"/>
      <c r="C22786"/>
      <c r="E22786"/>
      <c r="F22786"/>
    </row>
    <row r="22787" spans="1:6" x14ac:dyDescent="0.25">
      <c r="A22787"/>
      <c r="B22787"/>
      <c r="C22787"/>
      <c r="E22787"/>
      <c r="F22787"/>
    </row>
    <row r="22788" spans="1:6" x14ac:dyDescent="0.25">
      <c r="A22788"/>
      <c r="B22788"/>
      <c r="C22788"/>
      <c r="E22788"/>
      <c r="F22788"/>
    </row>
    <row r="22789" spans="1:6" x14ac:dyDescent="0.25">
      <c r="A22789"/>
      <c r="B22789"/>
      <c r="C22789"/>
      <c r="E22789"/>
      <c r="F22789"/>
    </row>
    <row r="22790" spans="1:6" x14ac:dyDescent="0.25">
      <c r="A22790"/>
      <c r="B22790"/>
      <c r="C22790"/>
      <c r="E22790"/>
      <c r="F22790"/>
    </row>
    <row r="22791" spans="1:6" x14ac:dyDescent="0.25">
      <c r="A22791"/>
      <c r="B22791"/>
      <c r="C22791"/>
      <c r="E22791"/>
      <c r="F22791"/>
    </row>
    <row r="22792" spans="1:6" x14ac:dyDescent="0.25">
      <c r="A22792"/>
      <c r="B22792"/>
      <c r="C22792"/>
      <c r="E22792"/>
      <c r="F22792"/>
    </row>
    <row r="22793" spans="1:6" x14ac:dyDescent="0.25">
      <c r="A22793"/>
      <c r="B22793"/>
      <c r="C22793"/>
      <c r="E22793"/>
      <c r="F22793"/>
    </row>
    <row r="22794" spans="1:6" x14ac:dyDescent="0.25">
      <c r="A22794"/>
      <c r="B22794"/>
      <c r="C22794"/>
      <c r="E22794"/>
      <c r="F22794"/>
    </row>
    <row r="22795" spans="1:6" x14ac:dyDescent="0.25">
      <c r="A22795"/>
      <c r="B22795"/>
      <c r="C22795"/>
      <c r="E22795"/>
      <c r="F22795"/>
    </row>
    <row r="22796" spans="1:6" x14ac:dyDescent="0.25">
      <c r="A22796"/>
      <c r="B22796"/>
      <c r="C22796"/>
      <c r="E22796"/>
      <c r="F22796"/>
    </row>
    <row r="22797" spans="1:6" x14ac:dyDescent="0.25">
      <c r="A22797"/>
      <c r="B22797"/>
      <c r="C22797"/>
      <c r="E22797"/>
      <c r="F22797"/>
    </row>
    <row r="22798" spans="1:6" x14ac:dyDescent="0.25">
      <c r="A22798"/>
      <c r="B22798"/>
      <c r="C22798"/>
      <c r="E22798"/>
      <c r="F22798"/>
    </row>
    <row r="22799" spans="1:6" x14ac:dyDescent="0.25">
      <c r="A22799"/>
      <c r="B22799"/>
      <c r="C22799"/>
      <c r="E22799"/>
      <c r="F22799"/>
    </row>
    <row r="22800" spans="1:6" x14ac:dyDescent="0.25">
      <c r="A22800"/>
      <c r="B22800"/>
      <c r="C22800"/>
      <c r="E22800"/>
      <c r="F22800"/>
    </row>
    <row r="22801" spans="1:6" x14ac:dyDescent="0.25">
      <c r="A22801"/>
      <c r="B22801"/>
      <c r="C22801"/>
      <c r="E22801"/>
      <c r="F22801"/>
    </row>
    <row r="22802" spans="1:6" x14ac:dyDescent="0.25">
      <c r="A22802"/>
      <c r="B22802"/>
      <c r="C22802"/>
      <c r="E22802"/>
      <c r="F22802"/>
    </row>
    <row r="22803" spans="1:6" x14ac:dyDescent="0.25">
      <c r="A22803"/>
      <c r="B22803"/>
      <c r="C22803"/>
      <c r="E22803"/>
      <c r="F22803"/>
    </row>
    <row r="22804" spans="1:6" x14ac:dyDescent="0.25">
      <c r="A22804"/>
      <c r="B22804"/>
      <c r="C22804"/>
      <c r="E22804"/>
      <c r="F22804"/>
    </row>
    <row r="22805" spans="1:6" x14ac:dyDescent="0.25">
      <c r="A22805"/>
      <c r="B22805"/>
      <c r="C22805"/>
      <c r="E22805"/>
      <c r="F22805"/>
    </row>
    <row r="22806" spans="1:6" x14ac:dyDescent="0.25">
      <c r="A22806"/>
      <c r="B22806"/>
      <c r="C22806"/>
      <c r="E22806"/>
      <c r="F22806"/>
    </row>
    <row r="22807" spans="1:6" x14ac:dyDescent="0.25">
      <c r="A22807"/>
      <c r="B22807"/>
      <c r="C22807"/>
      <c r="E22807"/>
      <c r="F22807"/>
    </row>
    <row r="22808" spans="1:6" x14ac:dyDescent="0.25">
      <c r="A22808"/>
      <c r="B22808"/>
      <c r="C22808"/>
      <c r="E22808"/>
      <c r="F22808"/>
    </row>
    <row r="22809" spans="1:6" x14ac:dyDescent="0.25">
      <c r="A22809"/>
      <c r="B22809"/>
      <c r="C22809"/>
      <c r="E22809"/>
      <c r="F22809"/>
    </row>
    <row r="22810" spans="1:6" x14ac:dyDescent="0.25">
      <c r="A22810"/>
      <c r="B22810"/>
      <c r="C22810"/>
      <c r="E22810"/>
      <c r="F22810"/>
    </row>
    <row r="22811" spans="1:6" x14ac:dyDescent="0.25">
      <c r="A22811"/>
      <c r="B22811"/>
      <c r="C22811"/>
      <c r="E22811"/>
      <c r="F22811"/>
    </row>
    <row r="22812" spans="1:6" x14ac:dyDescent="0.25">
      <c r="A22812"/>
      <c r="B22812"/>
      <c r="C22812"/>
      <c r="E22812"/>
      <c r="F22812"/>
    </row>
    <row r="22813" spans="1:6" x14ac:dyDescent="0.25">
      <c r="A22813"/>
      <c r="B22813"/>
      <c r="C22813"/>
      <c r="E22813"/>
      <c r="F22813"/>
    </row>
    <row r="22814" spans="1:6" x14ac:dyDescent="0.25">
      <c r="A22814"/>
      <c r="B22814"/>
      <c r="C22814"/>
      <c r="E22814"/>
      <c r="F22814"/>
    </row>
    <row r="22815" spans="1:6" x14ac:dyDescent="0.25">
      <c r="A22815"/>
      <c r="B22815"/>
      <c r="C22815"/>
      <c r="E22815"/>
      <c r="F22815"/>
    </row>
    <row r="22816" spans="1:6" x14ac:dyDescent="0.25">
      <c r="A22816"/>
      <c r="B22816"/>
      <c r="C22816"/>
      <c r="E22816"/>
      <c r="F22816"/>
    </row>
    <row r="22817" spans="1:6" x14ac:dyDescent="0.25">
      <c r="A22817"/>
      <c r="B22817"/>
      <c r="C22817"/>
      <c r="E22817"/>
      <c r="F22817"/>
    </row>
    <row r="22818" spans="1:6" x14ac:dyDescent="0.25">
      <c r="A22818"/>
      <c r="B22818"/>
      <c r="C22818"/>
      <c r="E22818"/>
      <c r="F22818"/>
    </row>
    <row r="22819" spans="1:6" x14ac:dyDescent="0.25">
      <c r="A22819"/>
      <c r="B22819"/>
      <c r="C22819"/>
      <c r="E22819"/>
      <c r="F22819"/>
    </row>
    <row r="22820" spans="1:6" x14ac:dyDescent="0.25">
      <c r="A22820"/>
      <c r="B22820"/>
      <c r="C22820"/>
      <c r="E22820"/>
      <c r="F22820"/>
    </row>
    <row r="22821" spans="1:6" x14ac:dyDescent="0.25">
      <c r="A22821"/>
      <c r="B22821"/>
      <c r="C22821"/>
      <c r="E22821"/>
      <c r="F22821"/>
    </row>
    <row r="22822" spans="1:6" x14ac:dyDescent="0.25">
      <c r="A22822"/>
      <c r="B22822"/>
      <c r="C22822"/>
      <c r="E22822"/>
      <c r="F22822"/>
    </row>
    <row r="22823" spans="1:6" x14ac:dyDescent="0.25">
      <c r="A22823"/>
      <c r="B22823"/>
      <c r="C22823"/>
      <c r="E22823"/>
      <c r="F22823"/>
    </row>
    <row r="22824" spans="1:6" x14ac:dyDescent="0.25">
      <c r="A22824"/>
      <c r="B22824"/>
      <c r="C22824"/>
      <c r="E22824"/>
      <c r="F22824"/>
    </row>
    <row r="22825" spans="1:6" x14ac:dyDescent="0.25">
      <c r="A22825"/>
      <c r="B22825"/>
      <c r="C22825"/>
      <c r="E22825"/>
      <c r="F22825"/>
    </row>
    <row r="22826" spans="1:6" x14ac:dyDescent="0.25">
      <c r="A22826"/>
      <c r="B22826"/>
      <c r="C22826"/>
      <c r="E22826"/>
      <c r="F22826"/>
    </row>
    <row r="22827" spans="1:6" x14ac:dyDescent="0.25">
      <c r="A22827"/>
      <c r="B22827"/>
      <c r="C22827"/>
      <c r="E22827"/>
      <c r="F22827"/>
    </row>
    <row r="22828" spans="1:6" x14ac:dyDescent="0.25">
      <c r="A22828"/>
      <c r="B22828"/>
      <c r="C22828"/>
      <c r="E22828"/>
      <c r="F22828"/>
    </row>
    <row r="22829" spans="1:6" x14ac:dyDescent="0.25">
      <c r="A22829"/>
      <c r="B22829"/>
      <c r="C22829"/>
      <c r="E22829"/>
      <c r="F22829"/>
    </row>
    <row r="22830" spans="1:6" x14ac:dyDescent="0.25">
      <c r="A22830"/>
      <c r="B22830"/>
      <c r="C22830"/>
      <c r="E22830"/>
      <c r="F22830"/>
    </row>
    <row r="22831" spans="1:6" x14ac:dyDescent="0.25">
      <c r="A22831"/>
      <c r="B22831"/>
      <c r="C22831"/>
      <c r="E22831"/>
      <c r="F22831"/>
    </row>
    <row r="22832" spans="1:6" x14ac:dyDescent="0.25">
      <c r="A22832"/>
      <c r="B22832"/>
      <c r="C22832"/>
      <c r="E22832"/>
      <c r="F22832"/>
    </row>
    <row r="22833" spans="1:6" x14ac:dyDescent="0.25">
      <c r="A22833"/>
      <c r="B22833"/>
      <c r="C22833"/>
      <c r="E22833"/>
      <c r="F22833"/>
    </row>
    <row r="22834" spans="1:6" x14ac:dyDescent="0.25">
      <c r="A22834"/>
      <c r="B22834"/>
      <c r="C22834"/>
      <c r="E22834"/>
      <c r="F22834"/>
    </row>
    <row r="22835" spans="1:6" x14ac:dyDescent="0.25">
      <c r="A22835"/>
      <c r="B22835"/>
      <c r="C22835"/>
      <c r="E22835"/>
      <c r="F22835"/>
    </row>
    <row r="22836" spans="1:6" x14ac:dyDescent="0.25">
      <c r="A22836"/>
      <c r="B22836"/>
      <c r="C22836"/>
      <c r="E22836"/>
      <c r="F22836"/>
    </row>
    <row r="22837" spans="1:6" x14ac:dyDescent="0.25">
      <c r="A22837"/>
      <c r="B22837"/>
      <c r="C22837"/>
      <c r="E22837"/>
      <c r="F22837"/>
    </row>
    <row r="22838" spans="1:6" x14ac:dyDescent="0.25">
      <c r="A22838"/>
      <c r="B22838"/>
      <c r="C22838"/>
      <c r="E22838"/>
      <c r="F22838"/>
    </row>
    <row r="22839" spans="1:6" x14ac:dyDescent="0.25">
      <c r="A22839"/>
      <c r="B22839"/>
      <c r="C22839"/>
      <c r="E22839"/>
      <c r="F22839"/>
    </row>
    <row r="22840" spans="1:6" x14ac:dyDescent="0.25">
      <c r="A22840"/>
      <c r="B22840"/>
      <c r="C22840"/>
      <c r="E22840"/>
      <c r="F22840"/>
    </row>
    <row r="22841" spans="1:6" x14ac:dyDescent="0.25">
      <c r="A22841"/>
      <c r="B22841"/>
      <c r="C22841"/>
      <c r="E22841"/>
      <c r="F22841"/>
    </row>
    <row r="22842" spans="1:6" x14ac:dyDescent="0.25">
      <c r="A22842"/>
      <c r="B22842"/>
      <c r="C22842"/>
      <c r="E22842"/>
      <c r="F22842"/>
    </row>
    <row r="22843" spans="1:6" x14ac:dyDescent="0.25">
      <c r="A22843"/>
      <c r="B22843"/>
      <c r="C22843"/>
      <c r="E22843"/>
      <c r="F22843"/>
    </row>
    <row r="22844" spans="1:6" x14ac:dyDescent="0.25">
      <c r="A22844"/>
      <c r="B22844"/>
      <c r="C22844"/>
      <c r="E22844"/>
      <c r="F22844"/>
    </row>
    <row r="22845" spans="1:6" x14ac:dyDescent="0.25">
      <c r="A22845"/>
      <c r="B22845"/>
      <c r="C22845"/>
      <c r="E22845"/>
      <c r="F22845"/>
    </row>
    <row r="22846" spans="1:6" x14ac:dyDescent="0.25">
      <c r="A22846"/>
      <c r="B22846"/>
      <c r="C22846"/>
      <c r="E22846"/>
      <c r="F22846"/>
    </row>
    <row r="22847" spans="1:6" x14ac:dyDescent="0.25">
      <c r="A22847"/>
      <c r="B22847"/>
      <c r="C22847"/>
      <c r="E22847"/>
      <c r="F22847"/>
    </row>
    <row r="22848" spans="1:6" x14ac:dyDescent="0.25">
      <c r="A22848"/>
      <c r="B22848"/>
      <c r="C22848"/>
      <c r="E22848"/>
      <c r="F22848"/>
    </row>
    <row r="22849" spans="1:6" x14ac:dyDescent="0.25">
      <c r="A22849"/>
      <c r="B22849"/>
      <c r="C22849"/>
      <c r="E22849"/>
      <c r="F22849"/>
    </row>
    <row r="22850" spans="1:6" x14ac:dyDescent="0.25">
      <c r="A22850"/>
      <c r="B22850"/>
      <c r="C22850"/>
      <c r="E22850"/>
      <c r="F22850"/>
    </row>
    <row r="22851" spans="1:6" x14ac:dyDescent="0.25">
      <c r="A22851"/>
      <c r="B22851"/>
      <c r="C22851"/>
      <c r="E22851"/>
      <c r="F22851"/>
    </row>
    <row r="22852" spans="1:6" x14ac:dyDescent="0.25">
      <c r="A22852"/>
      <c r="B22852"/>
      <c r="C22852"/>
      <c r="E22852"/>
      <c r="F22852"/>
    </row>
    <row r="22853" spans="1:6" x14ac:dyDescent="0.25">
      <c r="A22853"/>
      <c r="B22853"/>
      <c r="C22853"/>
      <c r="E22853"/>
      <c r="F22853"/>
    </row>
    <row r="22854" spans="1:6" x14ac:dyDescent="0.25">
      <c r="A22854"/>
      <c r="B22854"/>
      <c r="C22854"/>
      <c r="E22854"/>
      <c r="F22854"/>
    </row>
    <row r="22855" spans="1:6" x14ac:dyDescent="0.25">
      <c r="A22855"/>
      <c r="B22855"/>
      <c r="C22855"/>
      <c r="E22855"/>
      <c r="F22855"/>
    </row>
    <row r="22856" spans="1:6" x14ac:dyDescent="0.25">
      <c r="A22856"/>
      <c r="B22856"/>
      <c r="C22856"/>
      <c r="E22856"/>
      <c r="F22856"/>
    </row>
    <row r="22857" spans="1:6" x14ac:dyDescent="0.25">
      <c r="A22857"/>
      <c r="B22857"/>
      <c r="C22857"/>
      <c r="E22857"/>
      <c r="F22857"/>
    </row>
    <row r="22858" spans="1:6" x14ac:dyDescent="0.25">
      <c r="A22858"/>
      <c r="B22858"/>
      <c r="C22858"/>
      <c r="E22858"/>
      <c r="F22858"/>
    </row>
    <row r="22859" spans="1:6" x14ac:dyDescent="0.25">
      <c r="A22859"/>
      <c r="B22859"/>
      <c r="C22859"/>
      <c r="E22859"/>
      <c r="F22859"/>
    </row>
    <row r="22860" spans="1:6" x14ac:dyDescent="0.25">
      <c r="A22860"/>
      <c r="B22860"/>
      <c r="C22860"/>
      <c r="E22860"/>
      <c r="F22860"/>
    </row>
    <row r="22861" spans="1:6" x14ac:dyDescent="0.25">
      <c r="A22861"/>
      <c r="B22861"/>
      <c r="C22861"/>
      <c r="E22861"/>
      <c r="F22861"/>
    </row>
    <row r="22862" spans="1:6" x14ac:dyDescent="0.25">
      <c r="A22862"/>
      <c r="B22862"/>
      <c r="C22862"/>
      <c r="E22862"/>
      <c r="F22862"/>
    </row>
    <row r="22863" spans="1:6" x14ac:dyDescent="0.25">
      <c r="A22863"/>
      <c r="B22863"/>
      <c r="C22863"/>
      <c r="E22863"/>
      <c r="F22863"/>
    </row>
    <row r="22864" spans="1:6" x14ac:dyDescent="0.25">
      <c r="A22864"/>
      <c r="B22864"/>
      <c r="C22864"/>
      <c r="E22864"/>
      <c r="F22864"/>
    </row>
    <row r="22865" spans="1:6" x14ac:dyDescent="0.25">
      <c r="A22865"/>
      <c r="B22865"/>
      <c r="C22865"/>
      <c r="E22865"/>
      <c r="F22865"/>
    </row>
    <row r="22866" spans="1:6" x14ac:dyDescent="0.25">
      <c r="A22866"/>
      <c r="B22866"/>
      <c r="C22866"/>
      <c r="E22866"/>
      <c r="F22866"/>
    </row>
    <row r="22867" spans="1:6" x14ac:dyDescent="0.25">
      <c r="A22867"/>
      <c r="B22867"/>
      <c r="C22867"/>
      <c r="E22867"/>
      <c r="F22867"/>
    </row>
    <row r="22868" spans="1:6" x14ac:dyDescent="0.25">
      <c r="A22868"/>
      <c r="B22868"/>
      <c r="C22868"/>
      <c r="E22868"/>
      <c r="F22868"/>
    </row>
    <row r="22869" spans="1:6" x14ac:dyDescent="0.25">
      <c r="A22869"/>
      <c r="B22869"/>
      <c r="C22869"/>
      <c r="E22869"/>
      <c r="F22869"/>
    </row>
    <row r="22870" spans="1:6" x14ac:dyDescent="0.25">
      <c r="A22870"/>
      <c r="B22870"/>
      <c r="C22870"/>
      <c r="E22870"/>
      <c r="F22870"/>
    </row>
    <row r="22871" spans="1:6" x14ac:dyDescent="0.25">
      <c r="A22871"/>
      <c r="B22871"/>
      <c r="C22871"/>
      <c r="E22871"/>
      <c r="F22871"/>
    </row>
    <row r="22872" spans="1:6" x14ac:dyDescent="0.25">
      <c r="A22872"/>
      <c r="B22872"/>
      <c r="C22872"/>
      <c r="E22872"/>
      <c r="F22872"/>
    </row>
    <row r="22873" spans="1:6" x14ac:dyDescent="0.25">
      <c r="A22873"/>
      <c r="B22873"/>
      <c r="C22873"/>
      <c r="E22873"/>
      <c r="F22873"/>
    </row>
    <row r="22874" spans="1:6" x14ac:dyDescent="0.25">
      <c r="A22874"/>
      <c r="B22874"/>
      <c r="C22874"/>
      <c r="E22874"/>
      <c r="F22874"/>
    </row>
    <row r="22875" spans="1:6" x14ac:dyDescent="0.25">
      <c r="A22875"/>
      <c r="B22875"/>
      <c r="C22875"/>
      <c r="E22875"/>
      <c r="F22875"/>
    </row>
    <row r="22876" spans="1:6" x14ac:dyDescent="0.25">
      <c r="A22876"/>
      <c r="B22876"/>
      <c r="C22876"/>
      <c r="E22876"/>
      <c r="F22876"/>
    </row>
    <row r="22877" spans="1:6" x14ac:dyDescent="0.25">
      <c r="A22877"/>
      <c r="B22877"/>
      <c r="C22877"/>
      <c r="E22877"/>
      <c r="F22877"/>
    </row>
    <row r="22878" spans="1:6" x14ac:dyDescent="0.25">
      <c r="A22878"/>
      <c r="B22878"/>
      <c r="C22878"/>
      <c r="E22878"/>
      <c r="F22878"/>
    </row>
    <row r="22879" spans="1:6" x14ac:dyDescent="0.25">
      <c r="A22879"/>
      <c r="B22879"/>
      <c r="C22879"/>
      <c r="E22879"/>
      <c r="F22879"/>
    </row>
    <row r="22880" spans="1:6" x14ac:dyDescent="0.25">
      <c r="A22880"/>
      <c r="B22880"/>
      <c r="C22880"/>
      <c r="E22880"/>
      <c r="F22880"/>
    </row>
    <row r="22881" spans="1:6" x14ac:dyDescent="0.25">
      <c r="A22881"/>
      <c r="B22881"/>
      <c r="C22881"/>
      <c r="E22881"/>
      <c r="F22881"/>
    </row>
    <row r="22882" spans="1:6" x14ac:dyDescent="0.25">
      <c r="A22882"/>
      <c r="B22882"/>
      <c r="C22882"/>
      <c r="E22882"/>
      <c r="F22882"/>
    </row>
    <row r="22883" spans="1:6" x14ac:dyDescent="0.25">
      <c r="A22883"/>
      <c r="B22883"/>
      <c r="C22883"/>
      <c r="E22883"/>
      <c r="F22883"/>
    </row>
    <row r="22884" spans="1:6" x14ac:dyDescent="0.25">
      <c r="A22884"/>
      <c r="B22884"/>
      <c r="C22884"/>
      <c r="E22884"/>
      <c r="F22884"/>
    </row>
    <row r="22885" spans="1:6" x14ac:dyDescent="0.25">
      <c r="A22885"/>
      <c r="B22885"/>
      <c r="C22885"/>
      <c r="E22885"/>
      <c r="F22885"/>
    </row>
    <row r="22886" spans="1:6" x14ac:dyDescent="0.25">
      <c r="A22886"/>
      <c r="B22886"/>
      <c r="C22886"/>
      <c r="E22886"/>
      <c r="F22886"/>
    </row>
    <row r="22887" spans="1:6" x14ac:dyDescent="0.25">
      <c r="A22887"/>
      <c r="B22887"/>
      <c r="C22887"/>
      <c r="E22887"/>
      <c r="F22887"/>
    </row>
    <row r="22888" spans="1:6" x14ac:dyDescent="0.25">
      <c r="A22888"/>
      <c r="B22888"/>
      <c r="C22888"/>
      <c r="E22888"/>
      <c r="F22888"/>
    </row>
    <row r="22889" spans="1:6" x14ac:dyDescent="0.25">
      <c r="A22889"/>
      <c r="B22889"/>
      <c r="C22889"/>
      <c r="E22889"/>
      <c r="F22889"/>
    </row>
    <row r="22890" spans="1:6" x14ac:dyDescent="0.25">
      <c r="A22890"/>
      <c r="B22890"/>
      <c r="C22890"/>
      <c r="E22890"/>
      <c r="F22890"/>
    </row>
    <row r="22891" spans="1:6" x14ac:dyDescent="0.25">
      <c r="A22891"/>
      <c r="B22891"/>
      <c r="C22891"/>
      <c r="E22891"/>
      <c r="F22891"/>
    </row>
    <row r="22892" spans="1:6" x14ac:dyDescent="0.25">
      <c r="A22892"/>
      <c r="B22892"/>
      <c r="C22892"/>
      <c r="E22892"/>
      <c r="F22892"/>
    </row>
    <row r="22893" spans="1:6" x14ac:dyDescent="0.25">
      <c r="A22893"/>
      <c r="B22893"/>
      <c r="C22893"/>
      <c r="E22893"/>
      <c r="F22893"/>
    </row>
    <row r="22894" spans="1:6" x14ac:dyDescent="0.25">
      <c r="A22894"/>
      <c r="B22894"/>
      <c r="C22894"/>
      <c r="E22894"/>
      <c r="F22894"/>
    </row>
    <row r="22895" spans="1:6" x14ac:dyDescent="0.25">
      <c r="A22895"/>
      <c r="B22895"/>
      <c r="C22895"/>
      <c r="E22895"/>
      <c r="F22895"/>
    </row>
    <row r="22896" spans="1:6" x14ac:dyDescent="0.25">
      <c r="A22896"/>
      <c r="B22896"/>
      <c r="C22896"/>
      <c r="E22896"/>
      <c r="F22896"/>
    </row>
    <row r="22897" spans="1:6" x14ac:dyDescent="0.25">
      <c r="A22897"/>
      <c r="B22897"/>
      <c r="C22897"/>
      <c r="E22897"/>
      <c r="F22897"/>
    </row>
    <row r="22898" spans="1:6" x14ac:dyDescent="0.25">
      <c r="A22898"/>
      <c r="B22898"/>
      <c r="C22898"/>
      <c r="E22898"/>
      <c r="F22898"/>
    </row>
    <row r="22899" spans="1:6" x14ac:dyDescent="0.25">
      <c r="A22899"/>
      <c r="B22899"/>
      <c r="C22899"/>
      <c r="E22899"/>
      <c r="F22899"/>
    </row>
    <row r="22900" spans="1:6" x14ac:dyDescent="0.25">
      <c r="A22900"/>
      <c r="B22900"/>
      <c r="C22900"/>
      <c r="E22900"/>
      <c r="F22900"/>
    </row>
    <row r="22901" spans="1:6" x14ac:dyDescent="0.25">
      <c r="A22901"/>
      <c r="B22901"/>
      <c r="C22901"/>
      <c r="E22901"/>
      <c r="F22901"/>
    </row>
    <row r="22902" spans="1:6" x14ac:dyDescent="0.25">
      <c r="A22902"/>
      <c r="B22902"/>
      <c r="C22902"/>
      <c r="E22902"/>
      <c r="F22902"/>
    </row>
    <row r="22903" spans="1:6" x14ac:dyDescent="0.25">
      <c r="A22903"/>
      <c r="B22903"/>
      <c r="C22903"/>
      <c r="E22903"/>
      <c r="F22903"/>
    </row>
    <row r="22904" spans="1:6" x14ac:dyDescent="0.25">
      <c r="A22904"/>
      <c r="B22904"/>
      <c r="C22904"/>
      <c r="E22904"/>
      <c r="F22904"/>
    </row>
    <row r="22905" spans="1:6" x14ac:dyDescent="0.25">
      <c r="A22905"/>
      <c r="B22905"/>
      <c r="C22905"/>
      <c r="E22905"/>
      <c r="F22905"/>
    </row>
    <row r="22906" spans="1:6" x14ac:dyDescent="0.25">
      <c r="A22906"/>
      <c r="B22906"/>
      <c r="C22906"/>
      <c r="E22906"/>
      <c r="F22906"/>
    </row>
    <row r="22907" spans="1:6" x14ac:dyDescent="0.25">
      <c r="A22907"/>
      <c r="B22907"/>
      <c r="C22907"/>
      <c r="E22907"/>
      <c r="F22907"/>
    </row>
    <row r="22908" spans="1:6" x14ac:dyDescent="0.25">
      <c r="A22908"/>
      <c r="B22908"/>
      <c r="C22908"/>
      <c r="E22908"/>
      <c r="F22908"/>
    </row>
    <row r="22909" spans="1:6" x14ac:dyDescent="0.25">
      <c r="A22909"/>
      <c r="B22909"/>
      <c r="C22909"/>
      <c r="E22909"/>
      <c r="F22909"/>
    </row>
    <row r="22910" spans="1:6" x14ac:dyDescent="0.25">
      <c r="A22910"/>
      <c r="B22910"/>
      <c r="C22910"/>
      <c r="E22910"/>
      <c r="F22910"/>
    </row>
    <row r="22911" spans="1:6" x14ac:dyDescent="0.25">
      <c r="A22911"/>
      <c r="B22911"/>
      <c r="C22911"/>
      <c r="E22911"/>
      <c r="F22911"/>
    </row>
    <row r="22912" spans="1:6" x14ac:dyDescent="0.25">
      <c r="A22912"/>
      <c r="B22912"/>
      <c r="C22912"/>
      <c r="E22912"/>
      <c r="F22912"/>
    </row>
    <row r="22913" spans="1:6" x14ac:dyDescent="0.25">
      <c r="A22913"/>
      <c r="B22913"/>
      <c r="C22913"/>
      <c r="E22913"/>
      <c r="F22913"/>
    </row>
    <row r="22914" spans="1:6" x14ac:dyDescent="0.25">
      <c r="A22914"/>
      <c r="B22914"/>
      <c r="C22914"/>
      <c r="E22914"/>
      <c r="F22914"/>
    </row>
    <row r="22915" spans="1:6" x14ac:dyDescent="0.25">
      <c r="A22915"/>
      <c r="B22915"/>
      <c r="C22915"/>
      <c r="E22915"/>
      <c r="F22915"/>
    </row>
    <row r="22916" spans="1:6" x14ac:dyDescent="0.25">
      <c r="A22916"/>
      <c r="B22916"/>
      <c r="C22916"/>
      <c r="E22916"/>
      <c r="F22916"/>
    </row>
    <row r="22917" spans="1:6" x14ac:dyDescent="0.25">
      <c r="A22917"/>
      <c r="B22917"/>
      <c r="C22917"/>
      <c r="E22917"/>
      <c r="F22917"/>
    </row>
    <row r="22918" spans="1:6" x14ac:dyDescent="0.25">
      <c r="A22918"/>
      <c r="B22918"/>
      <c r="C22918"/>
      <c r="E22918"/>
      <c r="F22918"/>
    </row>
    <row r="22919" spans="1:6" x14ac:dyDescent="0.25">
      <c r="A22919"/>
      <c r="B22919"/>
      <c r="C22919"/>
      <c r="E22919"/>
      <c r="F22919"/>
    </row>
    <row r="22920" spans="1:6" x14ac:dyDescent="0.25">
      <c r="A22920"/>
      <c r="B22920"/>
      <c r="C22920"/>
      <c r="E22920"/>
      <c r="F22920"/>
    </row>
    <row r="22921" spans="1:6" x14ac:dyDescent="0.25">
      <c r="A22921"/>
      <c r="B22921"/>
      <c r="C22921"/>
      <c r="E22921"/>
      <c r="F22921"/>
    </row>
    <row r="22922" spans="1:6" x14ac:dyDescent="0.25">
      <c r="A22922"/>
      <c r="B22922"/>
      <c r="C22922"/>
      <c r="E22922"/>
      <c r="F22922"/>
    </row>
    <row r="22923" spans="1:6" x14ac:dyDescent="0.25">
      <c r="A22923"/>
      <c r="B22923"/>
      <c r="C22923"/>
      <c r="E22923"/>
      <c r="F22923"/>
    </row>
    <row r="22924" spans="1:6" x14ac:dyDescent="0.25">
      <c r="A22924"/>
      <c r="B22924"/>
      <c r="C22924"/>
      <c r="E22924"/>
      <c r="F22924"/>
    </row>
    <row r="22925" spans="1:6" x14ac:dyDescent="0.25">
      <c r="A22925"/>
      <c r="B22925"/>
      <c r="C22925"/>
      <c r="E22925"/>
      <c r="F22925"/>
    </row>
    <row r="22926" spans="1:6" x14ac:dyDescent="0.25">
      <c r="A22926"/>
      <c r="B22926"/>
      <c r="C22926"/>
      <c r="E22926"/>
      <c r="F22926"/>
    </row>
    <row r="22927" spans="1:6" x14ac:dyDescent="0.25">
      <c r="A22927"/>
      <c r="B22927"/>
      <c r="C22927"/>
      <c r="E22927"/>
      <c r="F22927"/>
    </row>
    <row r="22928" spans="1:6" x14ac:dyDescent="0.25">
      <c r="A22928"/>
      <c r="B22928"/>
      <c r="C22928"/>
      <c r="E22928"/>
      <c r="F22928"/>
    </row>
    <row r="22929" spans="1:6" x14ac:dyDescent="0.25">
      <c r="A22929"/>
      <c r="B22929"/>
      <c r="C22929"/>
      <c r="E22929"/>
      <c r="F22929"/>
    </row>
    <row r="22930" spans="1:6" x14ac:dyDescent="0.25">
      <c r="A22930"/>
      <c r="B22930"/>
      <c r="C22930"/>
      <c r="E22930"/>
      <c r="F22930"/>
    </row>
    <row r="22931" spans="1:6" x14ac:dyDescent="0.25">
      <c r="A22931"/>
      <c r="B22931"/>
      <c r="C22931"/>
      <c r="E22931"/>
      <c r="F22931"/>
    </row>
    <row r="22932" spans="1:6" x14ac:dyDescent="0.25">
      <c r="A22932"/>
      <c r="B22932"/>
      <c r="C22932"/>
      <c r="E22932"/>
      <c r="F22932"/>
    </row>
    <row r="22933" spans="1:6" x14ac:dyDescent="0.25">
      <c r="A22933"/>
      <c r="B22933"/>
      <c r="C22933"/>
      <c r="E22933"/>
      <c r="F22933"/>
    </row>
    <row r="22934" spans="1:6" x14ac:dyDescent="0.25">
      <c r="A22934"/>
      <c r="B22934"/>
      <c r="C22934"/>
      <c r="E22934"/>
      <c r="F22934"/>
    </row>
    <row r="22935" spans="1:6" x14ac:dyDescent="0.25">
      <c r="A22935"/>
      <c r="B22935"/>
      <c r="C22935"/>
      <c r="E22935"/>
      <c r="F22935"/>
    </row>
    <row r="22936" spans="1:6" x14ac:dyDescent="0.25">
      <c r="A22936"/>
      <c r="B22936"/>
      <c r="C22936"/>
      <c r="E22936"/>
      <c r="F22936"/>
    </row>
    <row r="22937" spans="1:6" x14ac:dyDescent="0.25">
      <c r="A22937"/>
      <c r="B22937"/>
      <c r="C22937"/>
      <c r="E22937"/>
      <c r="F22937"/>
    </row>
    <row r="22938" spans="1:6" x14ac:dyDescent="0.25">
      <c r="A22938"/>
      <c r="B22938"/>
      <c r="C22938"/>
      <c r="E22938"/>
      <c r="F22938"/>
    </row>
    <row r="22939" spans="1:6" x14ac:dyDescent="0.25">
      <c r="A22939"/>
      <c r="B22939"/>
      <c r="C22939"/>
      <c r="E22939"/>
      <c r="F22939"/>
    </row>
    <row r="22940" spans="1:6" x14ac:dyDescent="0.25">
      <c r="A22940"/>
      <c r="B22940"/>
      <c r="C22940"/>
      <c r="E22940"/>
      <c r="F22940"/>
    </row>
    <row r="22941" spans="1:6" x14ac:dyDescent="0.25">
      <c r="A22941"/>
      <c r="B22941"/>
      <c r="C22941"/>
      <c r="E22941"/>
      <c r="F22941"/>
    </row>
    <row r="22942" spans="1:6" x14ac:dyDescent="0.25">
      <c r="A22942"/>
      <c r="B22942"/>
      <c r="C22942"/>
      <c r="E22942"/>
      <c r="F22942"/>
    </row>
    <row r="22943" spans="1:6" x14ac:dyDescent="0.25">
      <c r="A22943"/>
      <c r="B22943"/>
      <c r="C22943"/>
      <c r="E22943"/>
      <c r="F22943"/>
    </row>
    <row r="22944" spans="1:6" x14ac:dyDescent="0.25">
      <c r="A22944"/>
      <c r="B22944"/>
      <c r="C22944"/>
      <c r="E22944"/>
      <c r="F22944"/>
    </row>
    <row r="22945" spans="1:6" x14ac:dyDescent="0.25">
      <c r="A22945"/>
      <c r="B22945"/>
      <c r="C22945"/>
      <c r="E22945"/>
      <c r="F22945"/>
    </row>
    <row r="22946" spans="1:6" x14ac:dyDescent="0.25">
      <c r="A22946"/>
      <c r="B22946"/>
      <c r="C22946"/>
      <c r="E22946"/>
      <c r="F22946"/>
    </row>
    <row r="22947" spans="1:6" x14ac:dyDescent="0.25">
      <c r="A22947"/>
      <c r="B22947"/>
      <c r="C22947"/>
      <c r="E22947"/>
      <c r="F22947"/>
    </row>
    <row r="22948" spans="1:6" x14ac:dyDescent="0.25">
      <c r="A22948"/>
      <c r="B22948"/>
      <c r="C22948"/>
      <c r="E22948"/>
      <c r="F22948"/>
    </row>
    <row r="22949" spans="1:6" x14ac:dyDescent="0.25">
      <c r="A22949"/>
      <c r="B22949"/>
      <c r="C22949"/>
      <c r="E22949"/>
      <c r="F22949"/>
    </row>
    <row r="22950" spans="1:6" x14ac:dyDescent="0.25">
      <c r="A22950"/>
      <c r="B22950"/>
      <c r="C22950"/>
      <c r="E22950"/>
      <c r="F22950"/>
    </row>
    <row r="22951" spans="1:6" x14ac:dyDescent="0.25">
      <c r="A22951"/>
      <c r="B22951"/>
      <c r="C22951"/>
      <c r="E22951"/>
      <c r="F22951"/>
    </row>
    <row r="22952" spans="1:6" x14ac:dyDescent="0.25">
      <c r="A22952"/>
      <c r="B22952"/>
      <c r="C22952"/>
      <c r="E22952"/>
      <c r="F22952"/>
    </row>
    <row r="22953" spans="1:6" x14ac:dyDescent="0.25">
      <c r="A22953"/>
      <c r="B22953"/>
      <c r="C22953"/>
      <c r="E22953"/>
      <c r="F22953"/>
    </row>
    <row r="22954" spans="1:6" x14ac:dyDescent="0.25">
      <c r="A22954"/>
      <c r="B22954"/>
      <c r="C22954"/>
      <c r="E22954"/>
      <c r="F22954"/>
    </row>
    <row r="22955" spans="1:6" x14ac:dyDescent="0.25">
      <c r="A22955"/>
      <c r="B22955"/>
      <c r="C22955"/>
      <c r="E22955"/>
      <c r="F22955"/>
    </row>
    <row r="22956" spans="1:6" x14ac:dyDescent="0.25">
      <c r="A22956"/>
      <c r="B22956"/>
      <c r="C22956"/>
      <c r="E22956"/>
      <c r="F22956"/>
    </row>
    <row r="22957" spans="1:6" x14ac:dyDescent="0.25">
      <c r="A22957"/>
      <c r="B22957"/>
      <c r="C22957"/>
      <c r="E22957"/>
      <c r="F22957"/>
    </row>
    <row r="22958" spans="1:6" x14ac:dyDescent="0.25">
      <c r="A22958"/>
      <c r="B22958"/>
      <c r="C22958"/>
      <c r="E22958"/>
      <c r="F22958"/>
    </row>
    <row r="22959" spans="1:6" x14ac:dyDescent="0.25">
      <c r="A22959"/>
      <c r="B22959"/>
      <c r="C22959"/>
      <c r="E22959"/>
      <c r="F22959"/>
    </row>
    <row r="22960" spans="1:6" x14ac:dyDescent="0.25">
      <c r="A22960"/>
      <c r="B22960"/>
      <c r="C22960"/>
      <c r="E22960"/>
      <c r="F22960"/>
    </row>
    <row r="22961" spans="1:6" x14ac:dyDescent="0.25">
      <c r="A22961"/>
      <c r="B22961"/>
      <c r="C22961"/>
      <c r="E22961"/>
      <c r="F22961"/>
    </row>
    <row r="22962" spans="1:6" x14ac:dyDescent="0.25">
      <c r="A22962"/>
      <c r="B22962"/>
      <c r="C22962"/>
      <c r="E22962"/>
      <c r="F22962"/>
    </row>
    <row r="22963" spans="1:6" x14ac:dyDescent="0.25">
      <c r="A22963"/>
      <c r="B22963"/>
      <c r="C22963"/>
      <c r="E22963"/>
      <c r="F22963"/>
    </row>
    <row r="22964" spans="1:6" x14ac:dyDescent="0.25">
      <c r="A22964"/>
      <c r="B22964"/>
      <c r="C22964"/>
      <c r="E22964"/>
      <c r="F22964"/>
    </row>
    <row r="22965" spans="1:6" x14ac:dyDescent="0.25">
      <c r="A22965"/>
      <c r="B22965"/>
      <c r="C22965"/>
      <c r="E22965"/>
      <c r="F22965"/>
    </row>
    <row r="22966" spans="1:6" x14ac:dyDescent="0.25">
      <c r="A22966"/>
      <c r="B22966"/>
      <c r="C22966"/>
      <c r="E22966"/>
      <c r="F22966"/>
    </row>
    <row r="22967" spans="1:6" x14ac:dyDescent="0.25">
      <c r="A22967"/>
      <c r="B22967"/>
      <c r="C22967"/>
      <c r="E22967"/>
      <c r="F22967"/>
    </row>
    <row r="22968" spans="1:6" x14ac:dyDescent="0.25">
      <c r="A22968"/>
      <c r="B22968"/>
      <c r="C22968"/>
      <c r="E22968"/>
      <c r="F22968"/>
    </row>
    <row r="22969" spans="1:6" x14ac:dyDescent="0.25">
      <c r="A22969"/>
      <c r="B22969"/>
      <c r="C22969"/>
      <c r="E22969"/>
      <c r="F22969"/>
    </row>
    <row r="22970" spans="1:6" x14ac:dyDescent="0.25">
      <c r="A22970"/>
      <c r="B22970"/>
      <c r="C22970"/>
      <c r="E22970"/>
      <c r="F22970"/>
    </row>
    <row r="22971" spans="1:6" x14ac:dyDescent="0.25">
      <c r="A22971"/>
      <c r="B22971"/>
      <c r="C22971"/>
      <c r="E22971"/>
      <c r="F22971"/>
    </row>
    <row r="22972" spans="1:6" x14ac:dyDescent="0.25">
      <c r="A22972"/>
      <c r="B22972"/>
      <c r="C22972"/>
      <c r="E22972"/>
      <c r="F22972"/>
    </row>
    <row r="22973" spans="1:6" x14ac:dyDescent="0.25">
      <c r="A22973"/>
      <c r="B22973"/>
      <c r="C22973"/>
      <c r="E22973"/>
      <c r="F22973"/>
    </row>
    <row r="22974" spans="1:6" x14ac:dyDescent="0.25">
      <c r="A22974"/>
      <c r="B22974"/>
      <c r="C22974"/>
      <c r="E22974"/>
      <c r="F22974"/>
    </row>
    <row r="22975" spans="1:6" x14ac:dyDescent="0.25">
      <c r="A22975"/>
      <c r="B22975"/>
      <c r="C22975"/>
      <c r="E22975"/>
      <c r="F22975"/>
    </row>
    <row r="22976" spans="1:6" x14ac:dyDescent="0.25">
      <c r="A22976"/>
      <c r="B22976"/>
      <c r="C22976"/>
      <c r="E22976"/>
      <c r="F22976"/>
    </row>
    <row r="22977" spans="1:6" x14ac:dyDescent="0.25">
      <c r="A22977"/>
      <c r="B22977"/>
      <c r="C22977"/>
      <c r="E22977"/>
      <c r="F22977"/>
    </row>
    <row r="22978" spans="1:6" x14ac:dyDescent="0.25">
      <c r="A22978"/>
      <c r="B22978"/>
      <c r="C22978"/>
      <c r="E22978"/>
      <c r="F22978"/>
    </row>
    <row r="22979" spans="1:6" x14ac:dyDescent="0.25">
      <c r="A22979"/>
      <c r="B22979"/>
      <c r="C22979"/>
      <c r="E22979"/>
      <c r="F22979"/>
    </row>
    <row r="22980" spans="1:6" x14ac:dyDescent="0.25">
      <c r="A22980"/>
      <c r="B22980"/>
      <c r="C22980"/>
      <c r="E22980"/>
      <c r="F22980"/>
    </row>
    <row r="22981" spans="1:6" x14ac:dyDescent="0.25">
      <c r="A22981"/>
      <c r="B22981"/>
      <c r="C22981"/>
      <c r="E22981"/>
      <c r="F22981"/>
    </row>
    <row r="22982" spans="1:6" x14ac:dyDescent="0.25">
      <c r="A22982"/>
      <c r="B22982"/>
      <c r="C22982"/>
      <c r="E22982"/>
      <c r="F22982"/>
    </row>
    <row r="22983" spans="1:6" x14ac:dyDescent="0.25">
      <c r="A22983"/>
      <c r="B22983"/>
      <c r="C22983"/>
      <c r="E22983"/>
      <c r="F22983"/>
    </row>
    <row r="22984" spans="1:6" x14ac:dyDescent="0.25">
      <c r="A22984"/>
      <c r="B22984"/>
      <c r="C22984"/>
      <c r="E22984"/>
      <c r="F22984"/>
    </row>
    <row r="22985" spans="1:6" x14ac:dyDescent="0.25">
      <c r="A22985"/>
      <c r="B22985"/>
      <c r="C22985"/>
      <c r="E22985"/>
      <c r="F22985"/>
    </row>
    <row r="22986" spans="1:6" x14ac:dyDescent="0.25">
      <c r="A22986"/>
      <c r="B22986"/>
      <c r="C22986"/>
      <c r="E22986"/>
      <c r="F22986"/>
    </row>
    <row r="22987" spans="1:6" x14ac:dyDescent="0.25">
      <c r="A22987"/>
      <c r="B22987"/>
      <c r="C22987"/>
      <c r="E22987"/>
      <c r="F22987"/>
    </row>
    <row r="22988" spans="1:6" x14ac:dyDescent="0.25">
      <c r="A22988"/>
      <c r="B22988"/>
      <c r="C22988"/>
      <c r="E22988"/>
      <c r="F22988"/>
    </row>
    <row r="22989" spans="1:6" x14ac:dyDescent="0.25">
      <c r="A22989"/>
      <c r="B22989"/>
      <c r="C22989"/>
      <c r="E22989"/>
      <c r="F22989"/>
    </row>
    <row r="22990" spans="1:6" x14ac:dyDescent="0.25">
      <c r="A22990"/>
      <c r="B22990"/>
      <c r="C22990"/>
      <c r="E22990"/>
      <c r="F22990"/>
    </row>
    <row r="22991" spans="1:6" x14ac:dyDescent="0.25">
      <c r="A22991"/>
      <c r="B22991"/>
      <c r="C22991"/>
      <c r="E22991"/>
      <c r="F22991"/>
    </row>
    <row r="22992" spans="1:6" x14ac:dyDescent="0.25">
      <c r="A22992"/>
      <c r="B22992"/>
      <c r="C22992"/>
      <c r="E22992"/>
      <c r="F22992"/>
    </row>
    <row r="22993" spans="1:6" x14ac:dyDescent="0.25">
      <c r="A22993"/>
      <c r="B22993"/>
      <c r="C22993"/>
      <c r="E22993"/>
      <c r="F22993"/>
    </row>
    <row r="22994" spans="1:6" x14ac:dyDescent="0.25">
      <c r="A22994"/>
      <c r="B22994"/>
      <c r="C22994"/>
      <c r="E22994"/>
      <c r="F22994"/>
    </row>
    <row r="22995" spans="1:6" x14ac:dyDescent="0.25">
      <c r="A22995"/>
      <c r="B22995"/>
      <c r="C22995"/>
      <c r="E22995"/>
      <c r="F22995"/>
    </row>
    <row r="22996" spans="1:6" x14ac:dyDescent="0.25">
      <c r="A22996"/>
      <c r="B22996"/>
      <c r="C22996"/>
      <c r="E22996"/>
      <c r="F22996"/>
    </row>
    <row r="22997" spans="1:6" x14ac:dyDescent="0.25">
      <c r="A22997"/>
      <c r="B22997"/>
      <c r="C22997"/>
      <c r="E22997"/>
      <c r="F22997"/>
    </row>
    <row r="22998" spans="1:6" x14ac:dyDescent="0.25">
      <c r="A22998"/>
      <c r="B22998"/>
      <c r="C22998"/>
      <c r="E22998"/>
      <c r="F22998"/>
    </row>
    <row r="22999" spans="1:6" x14ac:dyDescent="0.25">
      <c r="A22999"/>
      <c r="B22999"/>
      <c r="C22999"/>
      <c r="E22999"/>
      <c r="F22999"/>
    </row>
    <row r="23000" spans="1:6" x14ac:dyDescent="0.25">
      <c r="A23000"/>
      <c r="B23000"/>
      <c r="C23000"/>
      <c r="E23000"/>
      <c r="F23000"/>
    </row>
    <row r="23001" spans="1:6" x14ac:dyDescent="0.25">
      <c r="A23001"/>
      <c r="B23001"/>
      <c r="C23001"/>
      <c r="E23001"/>
      <c r="F23001"/>
    </row>
    <row r="23002" spans="1:6" x14ac:dyDescent="0.25">
      <c r="A23002"/>
      <c r="B23002"/>
      <c r="C23002"/>
      <c r="E23002"/>
      <c r="F23002"/>
    </row>
    <row r="23003" spans="1:6" x14ac:dyDescent="0.25">
      <c r="A23003"/>
      <c r="B23003"/>
      <c r="C23003"/>
      <c r="E23003"/>
      <c r="F23003"/>
    </row>
    <row r="23004" spans="1:6" x14ac:dyDescent="0.25">
      <c r="A23004"/>
      <c r="B23004"/>
      <c r="C23004"/>
      <c r="E23004"/>
      <c r="F23004"/>
    </row>
    <row r="23005" spans="1:6" x14ac:dyDescent="0.25">
      <c r="A23005"/>
      <c r="B23005"/>
      <c r="C23005"/>
      <c r="E23005"/>
      <c r="F23005"/>
    </row>
    <row r="23006" spans="1:6" x14ac:dyDescent="0.25">
      <c r="A23006"/>
      <c r="B23006"/>
      <c r="C23006"/>
      <c r="E23006"/>
      <c r="F23006"/>
    </row>
    <row r="23007" spans="1:6" x14ac:dyDescent="0.25">
      <c r="A23007"/>
      <c r="B23007"/>
      <c r="C23007"/>
      <c r="E23007"/>
      <c r="F23007"/>
    </row>
    <row r="23008" spans="1:6" x14ac:dyDescent="0.25">
      <c r="A23008"/>
      <c r="B23008"/>
      <c r="C23008"/>
      <c r="E23008"/>
      <c r="F23008"/>
    </row>
    <row r="23009" spans="1:6" x14ac:dyDescent="0.25">
      <c r="A23009"/>
      <c r="B23009"/>
      <c r="C23009"/>
      <c r="E23009"/>
      <c r="F23009"/>
    </row>
    <row r="23010" spans="1:6" x14ac:dyDescent="0.25">
      <c r="A23010"/>
      <c r="B23010"/>
      <c r="C23010"/>
      <c r="E23010"/>
      <c r="F23010"/>
    </row>
    <row r="23011" spans="1:6" x14ac:dyDescent="0.25">
      <c r="A23011"/>
      <c r="B23011"/>
      <c r="C23011"/>
      <c r="E23011"/>
      <c r="F23011"/>
    </row>
    <row r="23012" spans="1:6" x14ac:dyDescent="0.25">
      <c r="A23012"/>
      <c r="B23012"/>
      <c r="C23012"/>
      <c r="E23012"/>
      <c r="F23012"/>
    </row>
    <row r="23013" spans="1:6" x14ac:dyDescent="0.25">
      <c r="A23013"/>
      <c r="B23013"/>
      <c r="C23013"/>
      <c r="E23013"/>
      <c r="F23013"/>
    </row>
    <row r="23014" spans="1:6" x14ac:dyDescent="0.25">
      <c r="A23014"/>
      <c r="B23014"/>
      <c r="C23014"/>
      <c r="E23014"/>
      <c r="F23014"/>
    </row>
    <row r="23015" spans="1:6" x14ac:dyDescent="0.25">
      <c r="A23015"/>
      <c r="B23015"/>
      <c r="C23015"/>
      <c r="E23015"/>
      <c r="F23015"/>
    </row>
    <row r="23016" spans="1:6" x14ac:dyDescent="0.25">
      <c r="A23016"/>
      <c r="B23016"/>
      <c r="C23016"/>
      <c r="E23016"/>
      <c r="F23016"/>
    </row>
    <row r="23017" spans="1:6" x14ac:dyDescent="0.25">
      <c r="A23017"/>
      <c r="B23017"/>
      <c r="C23017"/>
      <c r="E23017"/>
      <c r="F23017"/>
    </row>
    <row r="23018" spans="1:6" x14ac:dyDescent="0.25">
      <c r="A23018"/>
      <c r="B23018"/>
      <c r="C23018"/>
      <c r="E23018"/>
      <c r="F23018"/>
    </row>
    <row r="23019" spans="1:6" x14ac:dyDescent="0.25">
      <c r="A23019"/>
      <c r="B23019"/>
      <c r="C23019"/>
      <c r="E23019"/>
      <c r="F23019"/>
    </row>
    <row r="23020" spans="1:6" x14ac:dyDescent="0.25">
      <c r="A23020"/>
      <c r="B23020"/>
      <c r="C23020"/>
      <c r="E23020"/>
      <c r="F23020"/>
    </row>
    <row r="23021" spans="1:6" x14ac:dyDescent="0.25">
      <c r="A23021"/>
      <c r="B23021"/>
      <c r="C23021"/>
      <c r="E23021"/>
      <c r="F23021"/>
    </row>
    <row r="23022" spans="1:6" x14ac:dyDescent="0.25">
      <c r="A23022"/>
      <c r="B23022"/>
      <c r="C23022"/>
      <c r="E23022"/>
      <c r="F23022"/>
    </row>
    <row r="23023" spans="1:6" x14ac:dyDescent="0.25">
      <c r="A23023"/>
      <c r="B23023"/>
      <c r="C23023"/>
      <c r="E23023"/>
      <c r="F23023"/>
    </row>
    <row r="23024" spans="1:6" x14ac:dyDescent="0.25">
      <c r="A23024"/>
      <c r="B23024"/>
      <c r="C23024"/>
      <c r="E23024"/>
      <c r="F23024"/>
    </row>
    <row r="23025" spans="1:6" x14ac:dyDescent="0.25">
      <c r="A23025"/>
      <c r="B23025"/>
      <c r="C23025"/>
      <c r="E23025"/>
      <c r="F23025"/>
    </row>
    <row r="23026" spans="1:6" x14ac:dyDescent="0.25">
      <c r="A23026"/>
      <c r="B23026"/>
      <c r="C23026"/>
      <c r="E23026"/>
      <c r="F23026"/>
    </row>
    <row r="23027" spans="1:6" x14ac:dyDescent="0.25">
      <c r="A23027"/>
      <c r="B23027"/>
      <c r="C23027"/>
      <c r="E23027"/>
      <c r="F23027"/>
    </row>
    <row r="23028" spans="1:6" x14ac:dyDescent="0.25">
      <c r="A23028"/>
      <c r="B23028"/>
      <c r="C23028"/>
      <c r="E23028"/>
      <c r="F23028"/>
    </row>
    <row r="23029" spans="1:6" x14ac:dyDescent="0.25">
      <c r="A23029"/>
      <c r="B23029"/>
      <c r="C23029"/>
      <c r="E23029"/>
      <c r="F23029"/>
    </row>
    <row r="23030" spans="1:6" x14ac:dyDescent="0.25">
      <c r="A23030"/>
      <c r="B23030"/>
      <c r="C23030"/>
      <c r="E23030"/>
      <c r="F23030"/>
    </row>
    <row r="23031" spans="1:6" x14ac:dyDescent="0.25">
      <c r="A23031"/>
      <c r="B23031"/>
      <c r="C23031"/>
      <c r="E23031"/>
      <c r="F23031"/>
    </row>
    <row r="23032" spans="1:6" x14ac:dyDescent="0.25">
      <c r="A23032"/>
      <c r="B23032"/>
      <c r="C23032"/>
      <c r="E23032"/>
      <c r="F23032"/>
    </row>
    <row r="23033" spans="1:6" x14ac:dyDescent="0.25">
      <c r="A23033"/>
      <c r="B23033"/>
      <c r="C23033"/>
      <c r="E23033"/>
      <c r="F23033"/>
    </row>
    <row r="23034" spans="1:6" x14ac:dyDescent="0.25">
      <c r="A23034"/>
      <c r="B23034"/>
      <c r="C23034"/>
      <c r="E23034"/>
      <c r="F23034"/>
    </row>
    <row r="23035" spans="1:6" x14ac:dyDescent="0.25">
      <c r="A23035"/>
      <c r="B23035"/>
      <c r="C23035"/>
      <c r="E23035"/>
      <c r="F23035"/>
    </row>
    <row r="23036" spans="1:6" x14ac:dyDescent="0.25">
      <c r="A23036"/>
      <c r="B23036"/>
      <c r="C23036"/>
      <c r="E23036"/>
      <c r="F23036"/>
    </row>
    <row r="23037" spans="1:6" x14ac:dyDescent="0.25">
      <c r="A23037"/>
      <c r="B23037"/>
      <c r="C23037"/>
      <c r="E23037"/>
      <c r="F23037"/>
    </row>
    <row r="23038" spans="1:6" x14ac:dyDescent="0.25">
      <c r="A23038"/>
      <c r="B23038"/>
      <c r="C23038"/>
      <c r="E23038"/>
      <c r="F23038"/>
    </row>
    <row r="23039" spans="1:6" x14ac:dyDescent="0.25">
      <c r="A23039"/>
      <c r="B23039"/>
      <c r="C23039"/>
      <c r="E23039"/>
      <c r="F23039"/>
    </row>
    <row r="23040" spans="1:6" x14ac:dyDescent="0.25">
      <c r="A23040"/>
      <c r="B23040"/>
      <c r="C23040"/>
      <c r="E23040"/>
      <c r="F23040"/>
    </row>
    <row r="23041" spans="1:6" x14ac:dyDescent="0.25">
      <c r="A23041"/>
      <c r="B23041"/>
      <c r="C23041"/>
      <c r="E23041"/>
      <c r="F23041"/>
    </row>
    <row r="23042" spans="1:6" x14ac:dyDescent="0.25">
      <c r="A23042"/>
      <c r="B23042"/>
      <c r="C23042"/>
      <c r="E23042"/>
      <c r="F23042"/>
    </row>
    <row r="23043" spans="1:6" x14ac:dyDescent="0.25">
      <c r="A23043"/>
      <c r="B23043"/>
      <c r="C23043"/>
      <c r="E23043"/>
      <c r="F23043"/>
    </row>
    <row r="23044" spans="1:6" x14ac:dyDescent="0.25">
      <c r="A23044"/>
      <c r="B23044"/>
      <c r="C23044"/>
      <c r="E23044"/>
      <c r="F23044"/>
    </row>
    <row r="23045" spans="1:6" x14ac:dyDescent="0.25">
      <c r="A23045"/>
      <c r="B23045"/>
      <c r="C23045"/>
      <c r="E23045"/>
      <c r="F23045"/>
    </row>
    <row r="23046" spans="1:6" x14ac:dyDescent="0.25">
      <c r="A23046"/>
      <c r="B23046"/>
      <c r="C23046"/>
      <c r="E23046"/>
      <c r="F23046"/>
    </row>
    <row r="23047" spans="1:6" x14ac:dyDescent="0.25">
      <c r="A23047"/>
      <c r="B23047"/>
      <c r="C23047"/>
      <c r="E23047"/>
      <c r="F23047"/>
    </row>
    <row r="23048" spans="1:6" x14ac:dyDescent="0.25">
      <c r="A23048"/>
      <c r="B23048"/>
      <c r="C23048"/>
      <c r="E23048"/>
      <c r="F23048"/>
    </row>
    <row r="23049" spans="1:6" x14ac:dyDescent="0.25">
      <c r="A23049"/>
      <c r="B23049"/>
      <c r="C23049"/>
      <c r="E23049"/>
      <c r="F23049"/>
    </row>
    <row r="23050" spans="1:6" x14ac:dyDescent="0.25">
      <c r="A23050"/>
      <c r="B23050"/>
      <c r="C23050"/>
      <c r="E23050"/>
      <c r="F23050"/>
    </row>
    <row r="23051" spans="1:6" x14ac:dyDescent="0.25">
      <c r="A23051"/>
      <c r="B23051"/>
      <c r="C23051"/>
      <c r="E23051"/>
      <c r="F23051"/>
    </row>
    <row r="23052" spans="1:6" x14ac:dyDescent="0.25">
      <c r="A23052"/>
      <c r="B23052"/>
      <c r="C23052"/>
      <c r="E23052"/>
      <c r="F23052"/>
    </row>
    <row r="23053" spans="1:6" x14ac:dyDescent="0.25">
      <c r="A23053"/>
      <c r="B23053"/>
      <c r="C23053"/>
      <c r="E23053"/>
      <c r="F23053"/>
    </row>
    <row r="23054" spans="1:6" x14ac:dyDescent="0.25">
      <c r="A23054"/>
      <c r="B23054"/>
      <c r="C23054"/>
      <c r="E23054"/>
      <c r="F23054"/>
    </row>
    <row r="23055" spans="1:6" x14ac:dyDescent="0.25">
      <c r="A23055"/>
      <c r="B23055"/>
      <c r="C23055"/>
      <c r="E23055"/>
      <c r="F23055"/>
    </row>
    <row r="23056" spans="1:6" x14ac:dyDescent="0.25">
      <c r="A23056"/>
      <c r="B23056"/>
      <c r="C23056"/>
      <c r="E23056"/>
      <c r="F23056"/>
    </row>
    <row r="23057" spans="1:6" x14ac:dyDescent="0.25">
      <c r="A23057"/>
      <c r="B23057"/>
      <c r="C23057"/>
      <c r="E23057"/>
      <c r="F23057"/>
    </row>
    <row r="23058" spans="1:6" x14ac:dyDescent="0.25">
      <c r="A23058"/>
      <c r="B23058"/>
      <c r="C23058"/>
      <c r="E23058"/>
      <c r="F23058"/>
    </row>
    <row r="23059" spans="1:6" x14ac:dyDescent="0.25">
      <c r="A23059"/>
      <c r="B23059"/>
      <c r="C23059"/>
      <c r="E23059"/>
      <c r="F23059"/>
    </row>
    <row r="23060" spans="1:6" x14ac:dyDescent="0.25">
      <c r="A23060"/>
      <c r="B23060"/>
      <c r="C23060"/>
      <c r="E23060"/>
      <c r="F23060"/>
    </row>
    <row r="23061" spans="1:6" x14ac:dyDescent="0.25">
      <c r="A23061"/>
      <c r="B23061"/>
      <c r="C23061"/>
      <c r="E23061"/>
      <c r="F23061"/>
    </row>
    <row r="23062" spans="1:6" x14ac:dyDescent="0.25">
      <c r="A23062"/>
      <c r="B23062"/>
      <c r="C23062"/>
      <c r="E23062"/>
      <c r="F23062"/>
    </row>
    <row r="23063" spans="1:6" x14ac:dyDescent="0.25">
      <c r="A23063"/>
      <c r="B23063"/>
      <c r="C23063"/>
      <c r="E23063"/>
      <c r="F23063"/>
    </row>
    <row r="23064" spans="1:6" x14ac:dyDescent="0.25">
      <c r="A23064"/>
      <c r="B23064"/>
      <c r="C23064"/>
      <c r="E23064"/>
      <c r="F23064"/>
    </row>
    <row r="23065" spans="1:6" x14ac:dyDescent="0.25">
      <c r="A23065"/>
      <c r="B23065"/>
      <c r="C23065"/>
      <c r="E23065"/>
      <c r="F23065"/>
    </row>
    <row r="23066" spans="1:6" x14ac:dyDescent="0.25">
      <c r="A23066"/>
      <c r="B23066"/>
      <c r="C23066"/>
      <c r="E23066"/>
      <c r="F23066"/>
    </row>
    <row r="23067" spans="1:6" x14ac:dyDescent="0.25">
      <c r="A23067"/>
      <c r="B23067"/>
      <c r="C23067"/>
      <c r="E23067"/>
      <c r="F23067"/>
    </row>
    <row r="23068" spans="1:6" x14ac:dyDescent="0.25">
      <c r="A23068"/>
      <c r="B23068"/>
      <c r="C23068"/>
      <c r="E23068"/>
      <c r="F23068"/>
    </row>
    <row r="23069" spans="1:6" x14ac:dyDescent="0.25">
      <c r="A23069"/>
      <c r="B23069"/>
      <c r="C23069"/>
      <c r="E23069"/>
      <c r="F23069"/>
    </row>
    <row r="23070" spans="1:6" x14ac:dyDescent="0.25">
      <c r="A23070"/>
      <c r="B23070"/>
      <c r="C23070"/>
      <c r="E23070"/>
      <c r="F23070"/>
    </row>
    <row r="23071" spans="1:6" x14ac:dyDescent="0.25">
      <c r="A23071"/>
      <c r="B23071"/>
      <c r="C23071"/>
      <c r="E23071"/>
      <c r="F23071"/>
    </row>
    <row r="23072" spans="1:6" x14ac:dyDescent="0.25">
      <c r="A23072"/>
      <c r="B23072"/>
      <c r="C23072"/>
      <c r="E23072"/>
      <c r="F23072"/>
    </row>
    <row r="23073" spans="1:6" x14ac:dyDescent="0.25">
      <c r="A23073"/>
      <c r="B23073"/>
      <c r="C23073"/>
      <c r="E23073"/>
      <c r="F23073"/>
    </row>
    <row r="23074" spans="1:6" x14ac:dyDescent="0.25">
      <c r="A23074"/>
      <c r="B23074"/>
      <c r="C23074"/>
      <c r="E23074"/>
      <c r="F23074"/>
    </row>
    <row r="23075" spans="1:6" x14ac:dyDescent="0.25">
      <c r="A23075"/>
      <c r="B23075"/>
      <c r="C23075"/>
      <c r="E23075"/>
      <c r="F23075"/>
    </row>
    <row r="23076" spans="1:6" x14ac:dyDescent="0.25">
      <c r="A23076"/>
      <c r="B23076"/>
      <c r="C23076"/>
      <c r="E23076"/>
      <c r="F23076"/>
    </row>
    <row r="23077" spans="1:6" x14ac:dyDescent="0.25">
      <c r="A23077"/>
      <c r="B23077"/>
      <c r="C23077"/>
      <c r="E23077"/>
      <c r="F23077"/>
    </row>
    <row r="23078" spans="1:6" x14ac:dyDescent="0.25">
      <c r="A23078"/>
      <c r="B23078"/>
      <c r="C23078"/>
      <c r="E23078"/>
      <c r="F23078"/>
    </row>
    <row r="23079" spans="1:6" x14ac:dyDescent="0.25">
      <c r="A23079"/>
      <c r="B23079"/>
      <c r="C23079"/>
      <c r="E23079"/>
      <c r="F23079"/>
    </row>
    <row r="23080" spans="1:6" x14ac:dyDescent="0.25">
      <c r="A23080"/>
      <c r="B23080"/>
      <c r="C23080"/>
      <c r="E23080"/>
      <c r="F23080"/>
    </row>
    <row r="23081" spans="1:6" x14ac:dyDescent="0.25">
      <c r="A23081"/>
      <c r="B23081"/>
      <c r="C23081"/>
      <c r="E23081"/>
      <c r="F23081"/>
    </row>
    <row r="23082" spans="1:6" x14ac:dyDescent="0.25">
      <c r="A23082"/>
      <c r="B23082"/>
      <c r="C23082"/>
      <c r="E23082"/>
      <c r="F23082"/>
    </row>
    <row r="23083" spans="1:6" x14ac:dyDescent="0.25">
      <c r="A23083"/>
      <c r="B23083"/>
      <c r="C23083"/>
      <c r="E23083"/>
      <c r="F23083"/>
    </row>
    <row r="23084" spans="1:6" x14ac:dyDescent="0.25">
      <c r="A23084"/>
      <c r="B23084"/>
      <c r="C23084"/>
      <c r="E23084"/>
      <c r="F23084"/>
    </row>
    <row r="23085" spans="1:6" x14ac:dyDescent="0.25">
      <c r="A23085"/>
      <c r="B23085"/>
      <c r="C23085"/>
      <c r="E23085"/>
      <c r="F23085"/>
    </row>
    <row r="23086" spans="1:6" x14ac:dyDescent="0.25">
      <c r="A23086"/>
      <c r="B23086"/>
      <c r="C23086"/>
      <c r="E23086"/>
      <c r="F23086"/>
    </row>
    <row r="23087" spans="1:6" x14ac:dyDescent="0.25">
      <c r="A23087"/>
      <c r="B23087"/>
      <c r="C23087"/>
      <c r="E23087"/>
      <c r="F23087"/>
    </row>
    <row r="23088" spans="1:6" x14ac:dyDescent="0.25">
      <c r="A23088"/>
      <c r="B23088"/>
      <c r="C23088"/>
      <c r="E23088"/>
      <c r="F23088"/>
    </row>
    <row r="23089" spans="1:6" x14ac:dyDescent="0.25">
      <c r="A23089"/>
      <c r="B23089"/>
      <c r="C23089"/>
      <c r="E23089"/>
      <c r="F23089"/>
    </row>
    <row r="23090" spans="1:6" x14ac:dyDescent="0.25">
      <c r="A23090"/>
      <c r="B23090"/>
      <c r="C23090"/>
      <c r="E23090"/>
      <c r="F23090"/>
    </row>
    <row r="23091" spans="1:6" x14ac:dyDescent="0.25">
      <c r="A23091"/>
      <c r="B23091"/>
      <c r="C23091"/>
      <c r="E23091"/>
      <c r="F23091"/>
    </row>
    <row r="23092" spans="1:6" x14ac:dyDescent="0.25">
      <c r="A23092"/>
      <c r="B23092"/>
      <c r="C23092"/>
      <c r="E23092"/>
      <c r="F23092"/>
    </row>
    <row r="23093" spans="1:6" x14ac:dyDescent="0.25">
      <c r="A23093"/>
      <c r="B23093"/>
      <c r="C23093"/>
      <c r="E23093"/>
      <c r="F23093"/>
    </row>
    <row r="23094" spans="1:6" x14ac:dyDescent="0.25">
      <c r="A23094"/>
      <c r="B23094"/>
      <c r="C23094"/>
      <c r="E23094"/>
      <c r="F23094"/>
    </row>
    <row r="23095" spans="1:6" x14ac:dyDescent="0.25">
      <c r="A23095"/>
      <c r="B23095"/>
      <c r="C23095"/>
      <c r="E23095"/>
      <c r="F23095"/>
    </row>
    <row r="23096" spans="1:6" x14ac:dyDescent="0.25">
      <c r="A23096"/>
      <c r="B23096"/>
      <c r="C23096"/>
      <c r="E23096"/>
      <c r="F23096"/>
    </row>
    <row r="23097" spans="1:6" x14ac:dyDescent="0.25">
      <c r="A23097"/>
      <c r="B23097"/>
      <c r="C23097"/>
      <c r="E23097"/>
      <c r="F23097"/>
    </row>
    <row r="23098" spans="1:6" x14ac:dyDescent="0.25">
      <c r="A23098"/>
      <c r="B23098"/>
      <c r="C23098"/>
      <c r="E23098"/>
      <c r="F23098"/>
    </row>
    <row r="23099" spans="1:6" x14ac:dyDescent="0.25">
      <c r="A23099"/>
      <c r="B23099"/>
      <c r="C23099"/>
      <c r="E23099"/>
      <c r="F23099"/>
    </row>
    <row r="23100" spans="1:6" x14ac:dyDescent="0.25">
      <c r="A23100"/>
      <c r="B23100"/>
      <c r="C23100"/>
      <c r="E23100"/>
      <c r="F23100"/>
    </row>
    <row r="23101" spans="1:6" x14ac:dyDescent="0.25">
      <c r="A23101"/>
      <c r="B23101"/>
      <c r="C23101"/>
      <c r="E23101"/>
      <c r="F23101"/>
    </row>
    <row r="23102" spans="1:6" x14ac:dyDescent="0.25">
      <c r="A23102"/>
      <c r="B23102"/>
      <c r="C23102"/>
      <c r="E23102"/>
      <c r="F23102"/>
    </row>
    <row r="23103" spans="1:6" x14ac:dyDescent="0.25">
      <c r="A23103"/>
      <c r="B23103"/>
      <c r="C23103"/>
      <c r="E23103"/>
      <c r="F23103"/>
    </row>
    <row r="23104" spans="1:6" x14ac:dyDescent="0.25">
      <c r="A23104"/>
      <c r="B23104"/>
      <c r="C23104"/>
      <c r="E23104"/>
      <c r="F23104"/>
    </row>
    <row r="23105" spans="1:6" x14ac:dyDescent="0.25">
      <c r="A23105"/>
      <c r="B23105"/>
      <c r="C23105"/>
      <c r="E23105"/>
      <c r="F23105"/>
    </row>
    <row r="23106" spans="1:6" x14ac:dyDescent="0.25">
      <c r="A23106"/>
      <c r="B23106"/>
      <c r="C23106"/>
      <c r="E23106"/>
      <c r="F23106"/>
    </row>
    <row r="23107" spans="1:6" x14ac:dyDescent="0.25">
      <c r="A23107"/>
      <c r="B23107"/>
      <c r="C23107"/>
      <c r="E23107"/>
      <c r="F23107"/>
    </row>
    <row r="23108" spans="1:6" x14ac:dyDescent="0.25">
      <c r="A23108"/>
      <c r="B23108"/>
      <c r="C23108"/>
      <c r="E23108"/>
      <c r="F23108"/>
    </row>
    <row r="23109" spans="1:6" x14ac:dyDescent="0.25">
      <c r="A23109"/>
      <c r="B23109"/>
      <c r="C23109"/>
      <c r="E23109"/>
      <c r="F23109"/>
    </row>
    <row r="23110" spans="1:6" x14ac:dyDescent="0.25">
      <c r="A23110"/>
      <c r="B23110"/>
      <c r="C23110"/>
      <c r="E23110"/>
      <c r="F23110"/>
    </row>
    <row r="23111" spans="1:6" x14ac:dyDescent="0.25">
      <c r="A23111"/>
      <c r="B23111"/>
      <c r="C23111"/>
      <c r="E23111"/>
      <c r="F23111"/>
    </row>
    <row r="23112" spans="1:6" x14ac:dyDescent="0.25">
      <c r="A23112"/>
      <c r="B23112"/>
      <c r="C23112"/>
      <c r="E23112"/>
      <c r="F23112"/>
    </row>
    <row r="23113" spans="1:6" x14ac:dyDescent="0.25">
      <c r="A23113"/>
      <c r="B23113"/>
      <c r="C23113"/>
      <c r="E23113"/>
      <c r="F23113"/>
    </row>
    <row r="23114" spans="1:6" x14ac:dyDescent="0.25">
      <c r="A23114"/>
      <c r="B23114"/>
      <c r="C23114"/>
      <c r="E23114"/>
      <c r="F23114"/>
    </row>
    <row r="23115" spans="1:6" x14ac:dyDescent="0.25">
      <c r="A23115"/>
      <c r="B23115"/>
      <c r="C23115"/>
      <c r="E23115"/>
      <c r="F23115"/>
    </row>
    <row r="23116" spans="1:6" x14ac:dyDescent="0.25">
      <c r="A23116"/>
      <c r="B23116"/>
      <c r="C23116"/>
      <c r="E23116"/>
      <c r="F23116"/>
    </row>
    <row r="23117" spans="1:6" x14ac:dyDescent="0.25">
      <c r="A23117"/>
      <c r="B23117"/>
      <c r="C23117"/>
      <c r="E23117"/>
      <c r="F23117"/>
    </row>
    <row r="23118" spans="1:6" x14ac:dyDescent="0.25">
      <c r="A23118"/>
      <c r="B23118"/>
      <c r="C23118"/>
      <c r="E23118"/>
      <c r="F23118"/>
    </row>
    <row r="23119" spans="1:6" x14ac:dyDescent="0.25">
      <c r="A23119"/>
      <c r="B23119"/>
      <c r="C23119"/>
      <c r="E23119"/>
      <c r="F23119"/>
    </row>
    <row r="23120" spans="1:6" x14ac:dyDescent="0.25">
      <c r="A23120"/>
      <c r="B23120"/>
      <c r="C23120"/>
      <c r="E23120"/>
      <c r="F23120"/>
    </row>
    <row r="23121" spans="1:6" x14ac:dyDescent="0.25">
      <c r="A23121"/>
      <c r="B23121"/>
      <c r="C23121"/>
      <c r="E23121"/>
      <c r="F23121"/>
    </row>
    <row r="23122" spans="1:6" x14ac:dyDescent="0.25">
      <c r="A23122"/>
      <c r="B23122"/>
      <c r="C23122"/>
      <c r="E23122"/>
      <c r="F23122"/>
    </row>
    <row r="23123" spans="1:6" x14ac:dyDescent="0.25">
      <c r="A23123"/>
      <c r="B23123"/>
      <c r="C23123"/>
      <c r="E23123"/>
      <c r="F23123"/>
    </row>
    <row r="23124" spans="1:6" x14ac:dyDescent="0.25">
      <c r="A23124"/>
      <c r="B23124"/>
      <c r="C23124"/>
      <c r="E23124"/>
      <c r="F23124"/>
    </row>
    <row r="23125" spans="1:6" x14ac:dyDescent="0.25">
      <c r="A23125"/>
      <c r="B23125"/>
      <c r="C23125"/>
      <c r="E23125"/>
      <c r="F23125"/>
    </row>
    <row r="23126" spans="1:6" x14ac:dyDescent="0.25">
      <c r="A23126"/>
      <c r="B23126"/>
      <c r="C23126"/>
      <c r="E23126"/>
      <c r="F23126"/>
    </row>
    <row r="23127" spans="1:6" x14ac:dyDescent="0.25">
      <c r="A23127"/>
      <c r="B23127"/>
      <c r="C23127"/>
      <c r="E23127"/>
      <c r="F23127"/>
    </row>
    <row r="23128" spans="1:6" x14ac:dyDescent="0.25">
      <c r="A23128"/>
      <c r="B23128"/>
      <c r="C23128"/>
      <c r="E23128"/>
      <c r="F23128"/>
    </row>
    <row r="23129" spans="1:6" x14ac:dyDescent="0.25">
      <c r="A23129"/>
      <c r="B23129"/>
      <c r="C23129"/>
      <c r="E23129"/>
      <c r="F23129"/>
    </row>
    <row r="23130" spans="1:6" x14ac:dyDescent="0.25">
      <c r="A23130"/>
      <c r="B23130"/>
      <c r="C23130"/>
      <c r="E23130"/>
      <c r="F23130"/>
    </row>
    <row r="23131" spans="1:6" x14ac:dyDescent="0.25">
      <c r="A23131"/>
      <c r="B23131"/>
      <c r="C23131"/>
      <c r="E23131"/>
      <c r="F23131"/>
    </row>
    <row r="23132" spans="1:6" x14ac:dyDescent="0.25">
      <c r="A23132"/>
      <c r="B23132"/>
      <c r="C23132"/>
      <c r="E23132"/>
      <c r="F23132"/>
    </row>
    <row r="23133" spans="1:6" x14ac:dyDescent="0.25">
      <c r="A23133"/>
      <c r="B23133"/>
      <c r="C23133"/>
      <c r="E23133"/>
      <c r="F23133"/>
    </row>
    <row r="23134" spans="1:6" x14ac:dyDescent="0.25">
      <c r="A23134"/>
      <c r="B23134"/>
      <c r="C23134"/>
      <c r="E23134"/>
      <c r="F23134"/>
    </row>
    <row r="23135" spans="1:6" x14ac:dyDescent="0.25">
      <c r="A23135"/>
      <c r="B23135"/>
      <c r="C23135"/>
      <c r="E23135"/>
      <c r="F23135"/>
    </row>
    <row r="23136" spans="1:6" x14ac:dyDescent="0.25">
      <c r="A23136"/>
      <c r="B23136"/>
      <c r="C23136"/>
      <c r="E23136"/>
      <c r="F23136"/>
    </row>
    <row r="23137" spans="1:6" x14ac:dyDescent="0.25">
      <c r="A23137"/>
      <c r="B23137"/>
      <c r="C23137"/>
      <c r="E23137"/>
      <c r="F23137"/>
    </row>
    <row r="23138" spans="1:6" x14ac:dyDescent="0.25">
      <c r="A23138"/>
      <c r="B23138"/>
      <c r="C23138"/>
      <c r="E23138"/>
      <c r="F23138"/>
    </row>
    <row r="23139" spans="1:6" x14ac:dyDescent="0.25">
      <c r="A23139"/>
      <c r="B23139"/>
      <c r="C23139"/>
      <c r="E23139"/>
      <c r="F23139"/>
    </row>
    <row r="23140" spans="1:6" x14ac:dyDescent="0.25">
      <c r="A23140"/>
      <c r="B23140"/>
      <c r="C23140"/>
      <c r="E23140"/>
      <c r="F23140"/>
    </row>
    <row r="23141" spans="1:6" x14ac:dyDescent="0.25">
      <c r="A23141"/>
      <c r="B23141"/>
      <c r="C23141"/>
      <c r="E23141"/>
      <c r="F23141"/>
    </row>
    <row r="23142" spans="1:6" x14ac:dyDescent="0.25">
      <c r="A23142"/>
      <c r="B23142"/>
      <c r="C23142"/>
      <c r="E23142"/>
      <c r="F23142"/>
    </row>
    <row r="23143" spans="1:6" x14ac:dyDescent="0.25">
      <c r="A23143"/>
      <c r="B23143"/>
      <c r="C23143"/>
      <c r="E23143"/>
      <c r="F23143"/>
    </row>
    <row r="23144" spans="1:6" x14ac:dyDescent="0.25">
      <c r="A23144"/>
      <c r="B23144"/>
      <c r="C23144"/>
      <c r="E23144"/>
      <c r="F23144"/>
    </row>
    <row r="23145" spans="1:6" x14ac:dyDescent="0.25">
      <c r="A23145"/>
      <c r="B23145"/>
      <c r="C23145"/>
      <c r="E23145"/>
      <c r="F23145"/>
    </row>
    <row r="23146" spans="1:6" x14ac:dyDescent="0.25">
      <c r="A23146"/>
      <c r="B23146"/>
      <c r="C23146"/>
      <c r="E23146"/>
      <c r="F23146"/>
    </row>
    <row r="23147" spans="1:6" x14ac:dyDescent="0.25">
      <c r="A23147"/>
      <c r="B23147"/>
      <c r="C23147"/>
      <c r="E23147"/>
      <c r="F23147"/>
    </row>
    <row r="23148" spans="1:6" x14ac:dyDescent="0.25">
      <c r="A23148"/>
      <c r="B23148"/>
      <c r="C23148"/>
      <c r="E23148"/>
      <c r="F23148"/>
    </row>
    <row r="23149" spans="1:6" x14ac:dyDescent="0.25">
      <c r="A23149"/>
      <c r="B23149"/>
      <c r="C23149"/>
      <c r="E23149"/>
      <c r="F23149"/>
    </row>
    <row r="23150" spans="1:6" x14ac:dyDescent="0.25">
      <c r="A23150"/>
      <c r="B23150"/>
      <c r="C23150"/>
      <c r="E23150"/>
      <c r="F23150"/>
    </row>
    <row r="23151" spans="1:6" x14ac:dyDescent="0.25">
      <c r="A23151"/>
      <c r="B23151"/>
      <c r="C23151"/>
      <c r="E23151"/>
      <c r="F23151"/>
    </row>
    <row r="23152" spans="1:6" x14ac:dyDescent="0.25">
      <c r="A23152"/>
      <c r="B23152"/>
      <c r="C23152"/>
      <c r="E23152"/>
      <c r="F23152"/>
    </row>
    <row r="23153" spans="1:6" x14ac:dyDescent="0.25">
      <c r="A23153"/>
      <c r="B23153"/>
      <c r="C23153"/>
      <c r="E23153"/>
      <c r="F23153"/>
    </row>
    <row r="23154" spans="1:6" x14ac:dyDescent="0.25">
      <c r="A23154"/>
      <c r="B23154"/>
      <c r="C23154"/>
      <c r="E23154"/>
      <c r="F23154"/>
    </row>
    <row r="23155" spans="1:6" x14ac:dyDescent="0.25">
      <c r="A23155"/>
      <c r="B23155"/>
      <c r="C23155"/>
      <c r="E23155"/>
      <c r="F23155"/>
    </row>
    <row r="23156" spans="1:6" x14ac:dyDescent="0.25">
      <c r="A23156"/>
      <c r="B23156"/>
      <c r="C23156"/>
      <c r="E23156"/>
      <c r="F23156"/>
    </row>
    <row r="23157" spans="1:6" x14ac:dyDescent="0.25">
      <c r="A23157"/>
      <c r="B23157"/>
      <c r="C23157"/>
      <c r="E23157"/>
      <c r="F23157"/>
    </row>
    <row r="23158" spans="1:6" x14ac:dyDescent="0.25">
      <c r="A23158"/>
      <c r="B23158"/>
      <c r="C23158"/>
      <c r="E23158"/>
      <c r="F23158"/>
    </row>
    <row r="23159" spans="1:6" x14ac:dyDescent="0.25">
      <c r="A23159"/>
      <c r="B23159"/>
      <c r="C23159"/>
      <c r="E23159"/>
      <c r="F23159"/>
    </row>
    <row r="23160" spans="1:6" x14ac:dyDescent="0.25">
      <c r="A23160"/>
      <c r="B23160"/>
      <c r="C23160"/>
      <c r="E23160"/>
      <c r="F23160"/>
    </row>
    <row r="23161" spans="1:6" x14ac:dyDescent="0.25">
      <c r="A23161"/>
      <c r="B23161"/>
      <c r="C23161"/>
      <c r="E23161"/>
      <c r="F23161"/>
    </row>
    <row r="23162" spans="1:6" x14ac:dyDescent="0.25">
      <c r="A23162"/>
      <c r="B23162"/>
      <c r="C23162"/>
      <c r="E23162"/>
      <c r="F23162"/>
    </row>
    <row r="23163" spans="1:6" x14ac:dyDescent="0.25">
      <c r="A23163"/>
      <c r="B23163"/>
      <c r="C23163"/>
      <c r="E23163"/>
      <c r="F23163"/>
    </row>
    <row r="23164" spans="1:6" x14ac:dyDescent="0.25">
      <c r="A23164"/>
      <c r="B23164"/>
      <c r="C23164"/>
      <c r="E23164"/>
      <c r="F23164"/>
    </row>
    <row r="23165" spans="1:6" x14ac:dyDescent="0.25">
      <c r="A23165"/>
      <c r="B23165"/>
      <c r="C23165"/>
      <c r="E23165"/>
      <c r="F23165"/>
    </row>
    <row r="23166" spans="1:6" x14ac:dyDescent="0.25">
      <c r="A23166"/>
      <c r="B23166"/>
      <c r="C23166"/>
      <c r="E23166"/>
      <c r="F23166"/>
    </row>
    <row r="23167" spans="1:6" x14ac:dyDescent="0.25">
      <c r="A23167"/>
      <c r="B23167"/>
      <c r="C23167"/>
      <c r="E23167"/>
      <c r="F23167"/>
    </row>
    <row r="23168" spans="1:6" x14ac:dyDescent="0.25">
      <c r="A23168"/>
      <c r="B23168"/>
      <c r="C23168"/>
      <c r="E23168"/>
      <c r="F23168"/>
    </row>
    <row r="23169" spans="1:6" x14ac:dyDescent="0.25">
      <c r="A23169"/>
      <c r="B23169"/>
      <c r="C23169"/>
      <c r="E23169"/>
      <c r="F23169"/>
    </row>
    <row r="23170" spans="1:6" x14ac:dyDescent="0.25">
      <c r="A23170"/>
      <c r="B23170"/>
      <c r="C23170"/>
      <c r="E23170"/>
      <c r="F23170"/>
    </row>
    <row r="23171" spans="1:6" x14ac:dyDescent="0.25">
      <c r="A23171"/>
      <c r="B23171"/>
      <c r="C23171"/>
      <c r="E23171"/>
      <c r="F23171"/>
    </row>
    <row r="23172" spans="1:6" x14ac:dyDescent="0.25">
      <c r="A23172"/>
      <c r="B23172"/>
      <c r="C23172"/>
      <c r="E23172"/>
      <c r="F23172"/>
    </row>
    <row r="23173" spans="1:6" x14ac:dyDescent="0.25">
      <c r="A23173"/>
      <c r="B23173"/>
      <c r="C23173"/>
      <c r="E23173"/>
      <c r="F23173"/>
    </row>
    <row r="23174" spans="1:6" x14ac:dyDescent="0.25">
      <c r="A23174"/>
      <c r="B23174"/>
      <c r="C23174"/>
      <c r="E23174"/>
      <c r="F23174"/>
    </row>
    <row r="23175" spans="1:6" x14ac:dyDescent="0.25">
      <c r="A23175"/>
      <c r="B23175"/>
      <c r="C23175"/>
      <c r="E23175"/>
      <c r="F23175"/>
    </row>
    <row r="23176" spans="1:6" x14ac:dyDescent="0.25">
      <c r="A23176"/>
      <c r="B23176"/>
      <c r="C23176"/>
      <c r="E23176"/>
      <c r="F23176"/>
    </row>
    <row r="23177" spans="1:6" x14ac:dyDescent="0.25">
      <c r="A23177"/>
      <c r="B23177"/>
      <c r="C23177"/>
      <c r="E23177"/>
      <c r="F23177"/>
    </row>
    <row r="23178" spans="1:6" x14ac:dyDescent="0.25">
      <c r="A23178"/>
      <c r="B23178"/>
      <c r="C23178"/>
      <c r="E23178"/>
      <c r="F23178"/>
    </row>
    <row r="23179" spans="1:6" x14ac:dyDescent="0.25">
      <c r="A23179"/>
      <c r="B23179"/>
      <c r="C23179"/>
      <c r="E23179"/>
      <c r="F23179"/>
    </row>
    <row r="23180" spans="1:6" x14ac:dyDescent="0.25">
      <c r="A23180"/>
      <c r="B23180"/>
      <c r="C23180"/>
      <c r="E23180"/>
      <c r="F23180"/>
    </row>
    <row r="23181" spans="1:6" x14ac:dyDescent="0.25">
      <c r="A23181"/>
      <c r="B23181"/>
      <c r="C23181"/>
      <c r="E23181"/>
      <c r="F23181"/>
    </row>
    <row r="23182" spans="1:6" x14ac:dyDescent="0.25">
      <c r="A23182"/>
      <c r="B23182"/>
      <c r="C23182"/>
      <c r="E23182"/>
      <c r="F23182"/>
    </row>
    <row r="23183" spans="1:6" x14ac:dyDescent="0.25">
      <c r="A23183"/>
      <c r="B23183"/>
      <c r="C23183"/>
      <c r="E23183"/>
      <c r="F23183"/>
    </row>
    <row r="23184" spans="1:6" x14ac:dyDescent="0.25">
      <c r="A23184"/>
      <c r="B23184"/>
      <c r="C23184"/>
      <c r="E23184"/>
      <c r="F23184"/>
    </row>
    <row r="23185" spans="1:6" x14ac:dyDescent="0.25">
      <c r="A23185"/>
      <c r="B23185"/>
      <c r="C23185"/>
      <c r="E23185"/>
      <c r="F23185"/>
    </row>
    <row r="23186" spans="1:6" x14ac:dyDescent="0.25">
      <c r="A23186"/>
      <c r="B23186"/>
      <c r="C23186"/>
      <c r="E23186"/>
      <c r="F23186"/>
    </row>
    <row r="23187" spans="1:6" x14ac:dyDescent="0.25">
      <c r="A23187"/>
      <c r="B23187"/>
      <c r="C23187"/>
      <c r="E23187"/>
      <c r="F23187"/>
    </row>
    <row r="23188" spans="1:6" x14ac:dyDescent="0.25">
      <c r="A23188"/>
      <c r="B23188"/>
      <c r="C23188"/>
      <c r="E23188"/>
      <c r="F23188"/>
    </row>
    <row r="23189" spans="1:6" x14ac:dyDescent="0.25">
      <c r="A23189"/>
      <c r="B23189"/>
      <c r="C23189"/>
      <c r="E23189"/>
      <c r="F23189"/>
    </row>
    <row r="23190" spans="1:6" x14ac:dyDescent="0.25">
      <c r="A23190"/>
      <c r="B23190"/>
      <c r="C23190"/>
      <c r="E23190"/>
      <c r="F23190"/>
    </row>
    <row r="23191" spans="1:6" x14ac:dyDescent="0.25">
      <c r="A23191"/>
      <c r="B23191"/>
      <c r="C23191"/>
      <c r="E23191"/>
      <c r="F23191"/>
    </row>
    <row r="23192" spans="1:6" x14ac:dyDescent="0.25">
      <c r="A23192"/>
      <c r="B23192"/>
      <c r="C23192"/>
      <c r="E23192"/>
      <c r="F23192"/>
    </row>
    <row r="23193" spans="1:6" x14ac:dyDescent="0.25">
      <c r="A23193"/>
      <c r="B23193"/>
      <c r="C23193"/>
      <c r="E23193"/>
      <c r="F23193"/>
    </row>
    <row r="23194" spans="1:6" x14ac:dyDescent="0.25">
      <c r="A23194"/>
      <c r="B23194"/>
      <c r="C23194"/>
      <c r="E23194"/>
      <c r="F23194"/>
    </row>
    <row r="23195" spans="1:6" x14ac:dyDescent="0.25">
      <c r="A23195"/>
      <c r="B23195"/>
      <c r="C23195"/>
      <c r="E23195"/>
      <c r="F23195"/>
    </row>
    <row r="23196" spans="1:6" x14ac:dyDescent="0.25">
      <c r="A23196"/>
      <c r="B23196"/>
      <c r="C23196"/>
      <c r="E23196"/>
      <c r="F23196"/>
    </row>
    <row r="23197" spans="1:6" x14ac:dyDescent="0.25">
      <c r="A23197"/>
      <c r="B23197"/>
      <c r="C23197"/>
      <c r="E23197"/>
      <c r="F23197"/>
    </row>
    <row r="23198" spans="1:6" x14ac:dyDescent="0.25">
      <c r="A23198"/>
      <c r="B23198"/>
      <c r="C23198"/>
      <c r="E23198"/>
      <c r="F23198"/>
    </row>
    <row r="23199" spans="1:6" x14ac:dyDescent="0.25">
      <c r="A23199"/>
      <c r="B23199"/>
      <c r="C23199"/>
      <c r="E23199"/>
      <c r="F23199"/>
    </row>
    <row r="23200" spans="1:6" x14ac:dyDescent="0.25">
      <c r="A23200"/>
      <c r="B23200"/>
      <c r="C23200"/>
      <c r="E23200"/>
      <c r="F23200"/>
    </row>
    <row r="23201" spans="1:6" x14ac:dyDescent="0.25">
      <c r="A23201"/>
      <c r="B23201"/>
      <c r="C23201"/>
      <c r="E23201"/>
      <c r="F23201"/>
    </row>
    <row r="23202" spans="1:6" x14ac:dyDescent="0.25">
      <c r="A23202"/>
      <c r="B23202"/>
      <c r="C23202"/>
      <c r="E23202"/>
      <c r="F23202"/>
    </row>
    <row r="23203" spans="1:6" x14ac:dyDescent="0.25">
      <c r="A23203"/>
      <c r="B23203"/>
      <c r="C23203"/>
      <c r="E23203"/>
      <c r="F23203"/>
    </row>
    <row r="23204" spans="1:6" x14ac:dyDescent="0.25">
      <c r="A23204"/>
      <c r="B23204"/>
      <c r="C23204"/>
      <c r="E23204"/>
      <c r="F23204"/>
    </row>
    <row r="23205" spans="1:6" x14ac:dyDescent="0.25">
      <c r="A23205"/>
      <c r="B23205"/>
      <c r="C23205"/>
      <c r="E23205"/>
      <c r="F23205"/>
    </row>
    <row r="23206" spans="1:6" x14ac:dyDescent="0.25">
      <c r="A23206"/>
      <c r="B23206"/>
      <c r="C23206"/>
      <c r="E23206"/>
      <c r="F23206"/>
    </row>
    <row r="23207" spans="1:6" x14ac:dyDescent="0.25">
      <c r="A23207"/>
      <c r="B23207"/>
      <c r="C23207"/>
      <c r="E23207"/>
      <c r="F23207"/>
    </row>
    <row r="23208" spans="1:6" x14ac:dyDescent="0.25">
      <c r="A23208"/>
      <c r="B23208"/>
      <c r="C23208"/>
      <c r="E23208"/>
      <c r="F23208"/>
    </row>
    <row r="23209" spans="1:6" x14ac:dyDescent="0.25">
      <c r="A23209"/>
      <c r="B23209"/>
      <c r="C23209"/>
      <c r="E23209"/>
      <c r="F23209"/>
    </row>
    <row r="23210" spans="1:6" x14ac:dyDescent="0.25">
      <c r="A23210"/>
      <c r="B23210"/>
      <c r="C23210"/>
      <c r="E23210"/>
      <c r="F23210"/>
    </row>
    <row r="23211" spans="1:6" x14ac:dyDescent="0.25">
      <c r="A23211"/>
      <c r="B23211"/>
      <c r="C23211"/>
      <c r="E23211"/>
      <c r="F23211"/>
    </row>
    <row r="23212" spans="1:6" x14ac:dyDescent="0.25">
      <c r="A23212"/>
      <c r="B23212"/>
      <c r="C23212"/>
      <c r="E23212"/>
      <c r="F23212"/>
    </row>
    <row r="23213" spans="1:6" x14ac:dyDescent="0.25">
      <c r="A23213"/>
      <c r="B23213"/>
      <c r="C23213"/>
      <c r="E23213"/>
      <c r="F23213"/>
    </row>
    <row r="23214" spans="1:6" x14ac:dyDescent="0.25">
      <c r="A23214"/>
      <c r="B23214"/>
      <c r="C23214"/>
      <c r="E23214"/>
      <c r="F23214"/>
    </row>
    <row r="23215" spans="1:6" x14ac:dyDescent="0.25">
      <c r="A23215"/>
      <c r="B23215"/>
      <c r="C23215"/>
      <c r="E23215"/>
      <c r="F23215"/>
    </row>
    <row r="23216" spans="1:6" x14ac:dyDescent="0.25">
      <c r="A23216"/>
      <c r="B23216"/>
      <c r="C23216"/>
      <c r="E23216"/>
      <c r="F23216"/>
    </row>
    <row r="23217" spans="1:6" x14ac:dyDescent="0.25">
      <c r="A23217"/>
      <c r="B23217"/>
      <c r="C23217"/>
      <c r="E23217"/>
      <c r="F23217"/>
    </row>
    <row r="23218" spans="1:6" x14ac:dyDescent="0.25">
      <c r="A23218"/>
      <c r="B23218"/>
      <c r="C23218"/>
      <c r="E23218"/>
      <c r="F23218"/>
    </row>
    <row r="23219" spans="1:6" x14ac:dyDescent="0.25">
      <c r="A23219"/>
      <c r="B23219"/>
      <c r="C23219"/>
      <c r="E23219"/>
      <c r="F23219"/>
    </row>
    <row r="23220" spans="1:6" x14ac:dyDescent="0.25">
      <c r="A23220"/>
      <c r="B23220"/>
      <c r="C23220"/>
      <c r="E23220"/>
      <c r="F23220"/>
    </row>
    <row r="23221" spans="1:6" x14ac:dyDescent="0.25">
      <c r="A23221"/>
      <c r="B23221"/>
      <c r="C23221"/>
      <c r="E23221"/>
      <c r="F23221"/>
    </row>
    <row r="23222" spans="1:6" x14ac:dyDescent="0.25">
      <c r="A23222"/>
      <c r="B23222"/>
      <c r="C23222"/>
      <c r="E23222"/>
      <c r="F23222"/>
    </row>
    <row r="23223" spans="1:6" x14ac:dyDescent="0.25">
      <c r="A23223"/>
      <c r="B23223"/>
      <c r="C23223"/>
      <c r="E23223"/>
      <c r="F23223"/>
    </row>
    <row r="23224" spans="1:6" x14ac:dyDescent="0.25">
      <c r="A23224"/>
      <c r="B23224"/>
      <c r="C23224"/>
      <c r="E23224"/>
      <c r="F23224"/>
    </row>
    <row r="23225" spans="1:6" x14ac:dyDescent="0.25">
      <c r="A23225"/>
      <c r="B23225"/>
      <c r="C23225"/>
      <c r="E23225"/>
      <c r="F23225"/>
    </row>
    <row r="23226" spans="1:6" x14ac:dyDescent="0.25">
      <c r="A23226"/>
      <c r="B23226"/>
      <c r="C23226"/>
      <c r="E23226"/>
      <c r="F23226"/>
    </row>
    <row r="23227" spans="1:6" x14ac:dyDescent="0.25">
      <c r="A23227"/>
      <c r="B23227"/>
      <c r="C23227"/>
      <c r="E23227"/>
      <c r="F23227"/>
    </row>
    <row r="23228" spans="1:6" x14ac:dyDescent="0.25">
      <c r="A23228"/>
      <c r="B23228"/>
      <c r="C23228"/>
      <c r="E23228"/>
      <c r="F23228"/>
    </row>
    <row r="23229" spans="1:6" x14ac:dyDescent="0.25">
      <c r="A23229"/>
      <c r="B23229"/>
      <c r="C23229"/>
      <c r="E23229"/>
      <c r="F23229"/>
    </row>
    <row r="23230" spans="1:6" x14ac:dyDescent="0.25">
      <c r="A23230"/>
      <c r="B23230"/>
      <c r="C23230"/>
      <c r="E23230"/>
      <c r="F23230"/>
    </row>
    <row r="23231" spans="1:6" x14ac:dyDescent="0.25">
      <c r="A23231"/>
      <c r="B23231"/>
      <c r="C23231"/>
      <c r="E23231"/>
      <c r="F23231"/>
    </row>
    <row r="23232" spans="1:6" x14ac:dyDescent="0.25">
      <c r="A23232"/>
      <c r="B23232"/>
      <c r="C23232"/>
      <c r="E23232"/>
      <c r="F23232"/>
    </row>
    <row r="23233" spans="1:6" x14ac:dyDescent="0.25">
      <c r="A23233"/>
      <c r="B23233"/>
      <c r="C23233"/>
      <c r="E23233"/>
      <c r="F23233"/>
    </row>
    <row r="23234" spans="1:6" x14ac:dyDescent="0.25">
      <c r="A23234"/>
      <c r="B23234"/>
      <c r="C23234"/>
      <c r="E23234"/>
      <c r="F23234"/>
    </row>
    <row r="23235" spans="1:6" x14ac:dyDescent="0.25">
      <c r="A23235"/>
      <c r="B23235"/>
      <c r="C23235"/>
      <c r="E23235"/>
      <c r="F23235"/>
    </row>
    <row r="23236" spans="1:6" x14ac:dyDescent="0.25">
      <c r="A23236"/>
      <c r="B23236"/>
      <c r="C23236"/>
      <c r="E23236"/>
      <c r="F23236"/>
    </row>
    <row r="23237" spans="1:6" x14ac:dyDescent="0.25">
      <c r="A23237"/>
      <c r="B23237"/>
      <c r="C23237"/>
      <c r="E23237"/>
      <c r="F23237"/>
    </row>
    <row r="23238" spans="1:6" x14ac:dyDescent="0.25">
      <c r="A23238"/>
      <c r="B23238"/>
      <c r="C23238"/>
      <c r="E23238"/>
      <c r="F23238"/>
    </row>
    <row r="23239" spans="1:6" x14ac:dyDescent="0.25">
      <c r="A23239"/>
      <c r="B23239"/>
      <c r="C23239"/>
      <c r="E23239"/>
      <c r="F23239"/>
    </row>
    <row r="23240" spans="1:6" x14ac:dyDescent="0.25">
      <c r="A23240"/>
      <c r="B23240"/>
      <c r="C23240"/>
      <c r="E23240"/>
      <c r="F23240"/>
    </row>
    <row r="23241" spans="1:6" x14ac:dyDescent="0.25">
      <c r="A23241"/>
      <c r="B23241"/>
      <c r="C23241"/>
      <c r="E23241"/>
      <c r="F23241"/>
    </row>
    <row r="23242" spans="1:6" x14ac:dyDescent="0.25">
      <c r="A23242"/>
      <c r="B23242"/>
      <c r="C23242"/>
      <c r="E23242"/>
      <c r="F23242"/>
    </row>
    <row r="23243" spans="1:6" x14ac:dyDescent="0.25">
      <c r="A23243"/>
      <c r="B23243"/>
      <c r="C23243"/>
      <c r="E23243"/>
      <c r="F23243"/>
    </row>
    <row r="23244" spans="1:6" x14ac:dyDescent="0.25">
      <c r="A23244"/>
      <c r="B23244"/>
      <c r="C23244"/>
      <c r="E23244"/>
      <c r="F23244"/>
    </row>
    <row r="23245" spans="1:6" x14ac:dyDescent="0.25">
      <c r="A23245"/>
      <c r="B23245"/>
      <c r="C23245"/>
      <c r="E23245"/>
      <c r="F23245"/>
    </row>
    <row r="23246" spans="1:6" x14ac:dyDescent="0.25">
      <c r="A23246"/>
      <c r="B23246"/>
      <c r="C23246"/>
      <c r="E23246"/>
      <c r="F23246"/>
    </row>
    <row r="23247" spans="1:6" x14ac:dyDescent="0.25">
      <c r="A23247"/>
      <c r="B23247"/>
      <c r="C23247"/>
      <c r="E23247"/>
      <c r="F23247"/>
    </row>
    <row r="23248" spans="1:6" x14ac:dyDescent="0.25">
      <c r="A23248"/>
      <c r="B23248"/>
      <c r="C23248"/>
      <c r="E23248"/>
      <c r="F23248"/>
    </row>
    <row r="23249" spans="1:6" x14ac:dyDescent="0.25">
      <c r="A23249"/>
      <c r="B23249"/>
      <c r="C23249"/>
      <c r="E23249"/>
      <c r="F23249"/>
    </row>
    <row r="23250" spans="1:6" x14ac:dyDescent="0.25">
      <c r="A23250"/>
      <c r="B23250"/>
      <c r="C23250"/>
      <c r="E23250"/>
      <c r="F23250"/>
    </row>
    <row r="23251" spans="1:6" x14ac:dyDescent="0.25">
      <c r="A23251"/>
      <c r="B23251"/>
      <c r="C23251"/>
      <c r="E23251"/>
      <c r="F23251"/>
    </row>
    <row r="23252" spans="1:6" x14ac:dyDescent="0.25">
      <c r="A23252"/>
      <c r="B23252"/>
      <c r="C23252"/>
      <c r="E23252"/>
      <c r="F23252"/>
    </row>
    <row r="23253" spans="1:6" x14ac:dyDescent="0.25">
      <c r="A23253"/>
      <c r="B23253"/>
      <c r="C23253"/>
      <c r="E23253"/>
      <c r="F23253"/>
    </row>
    <row r="23254" spans="1:6" x14ac:dyDescent="0.25">
      <c r="A23254"/>
      <c r="B23254"/>
      <c r="C23254"/>
      <c r="E23254"/>
      <c r="F23254"/>
    </row>
    <row r="23255" spans="1:6" x14ac:dyDescent="0.25">
      <c r="A23255"/>
      <c r="B23255"/>
      <c r="C23255"/>
      <c r="E23255"/>
      <c r="F23255"/>
    </row>
    <row r="23256" spans="1:6" x14ac:dyDescent="0.25">
      <c r="A23256"/>
      <c r="B23256"/>
      <c r="C23256"/>
      <c r="E23256"/>
      <c r="F23256"/>
    </row>
    <row r="23257" spans="1:6" x14ac:dyDescent="0.25">
      <c r="A23257"/>
      <c r="B23257"/>
      <c r="C23257"/>
      <c r="E23257"/>
      <c r="F23257"/>
    </row>
    <row r="23258" spans="1:6" x14ac:dyDescent="0.25">
      <c r="A23258"/>
      <c r="B23258"/>
      <c r="C23258"/>
      <c r="E23258"/>
      <c r="F23258"/>
    </row>
    <row r="23259" spans="1:6" x14ac:dyDescent="0.25">
      <c r="A23259"/>
      <c r="B23259"/>
      <c r="C23259"/>
      <c r="E23259"/>
      <c r="F23259"/>
    </row>
    <row r="23260" spans="1:6" x14ac:dyDescent="0.25">
      <c r="A23260"/>
      <c r="B23260"/>
      <c r="C23260"/>
      <c r="E23260"/>
      <c r="F23260"/>
    </row>
    <row r="23261" spans="1:6" x14ac:dyDescent="0.25">
      <c r="A23261"/>
      <c r="B23261"/>
      <c r="C23261"/>
      <c r="E23261"/>
      <c r="F23261"/>
    </row>
    <row r="23262" spans="1:6" x14ac:dyDescent="0.25">
      <c r="A23262"/>
      <c r="B23262"/>
      <c r="C23262"/>
      <c r="E23262"/>
      <c r="F23262"/>
    </row>
    <row r="23263" spans="1:6" x14ac:dyDescent="0.25">
      <c r="A23263"/>
      <c r="B23263"/>
      <c r="C23263"/>
      <c r="E23263"/>
      <c r="F23263"/>
    </row>
    <row r="23264" spans="1:6" x14ac:dyDescent="0.25">
      <c r="A23264"/>
      <c r="B23264"/>
      <c r="C23264"/>
      <c r="E23264"/>
      <c r="F23264"/>
    </row>
    <row r="23265" spans="1:6" x14ac:dyDescent="0.25">
      <c r="A23265"/>
      <c r="B23265"/>
      <c r="C23265"/>
      <c r="E23265"/>
      <c r="F23265"/>
    </row>
    <row r="23266" spans="1:6" x14ac:dyDescent="0.25">
      <c r="A23266"/>
      <c r="B23266"/>
      <c r="C23266"/>
      <c r="E23266"/>
      <c r="F23266"/>
    </row>
    <row r="23267" spans="1:6" x14ac:dyDescent="0.25">
      <c r="A23267"/>
      <c r="B23267"/>
      <c r="C23267"/>
      <c r="E23267"/>
      <c r="F23267"/>
    </row>
    <row r="23268" spans="1:6" x14ac:dyDescent="0.25">
      <c r="A23268"/>
      <c r="B23268"/>
      <c r="C23268"/>
      <c r="E23268"/>
      <c r="F23268"/>
    </row>
    <row r="23269" spans="1:6" x14ac:dyDescent="0.25">
      <c r="A23269"/>
      <c r="B23269"/>
      <c r="C23269"/>
      <c r="E23269"/>
      <c r="F23269"/>
    </row>
    <row r="23270" spans="1:6" x14ac:dyDescent="0.25">
      <c r="A23270"/>
      <c r="B23270"/>
      <c r="C23270"/>
      <c r="E23270"/>
      <c r="F23270"/>
    </row>
    <row r="23271" spans="1:6" x14ac:dyDescent="0.25">
      <c r="A23271"/>
      <c r="B23271"/>
      <c r="C23271"/>
      <c r="E23271"/>
      <c r="F23271"/>
    </row>
    <row r="23272" spans="1:6" x14ac:dyDescent="0.25">
      <c r="A23272"/>
      <c r="B23272"/>
      <c r="C23272"/>
      <c r="E23272"/>
      <c r="F23272"/>
    </row>
    <row r="23273" spans="1:6" x14ac:dyDescent="0.25">
      <c r="A23273"/>
      <c r="B23273"/>
      <c r="C23273"/>
      <c r="E23273"/>
      <c r="F23273"/>
    </row>
    <row r="23274" spans="1:6" x14ac:dyDescent="0.25">
      <c r="A23274"/>
      <c r="B23274"/>
      <c r="C23274"/>
      <c r="E23274"/>
      <c r="F23274"/>
    </row>
    <row r="23275" spans="1:6" x14ac:dyDescent="0.25">
      <c r="A23275"/>
      <c r="B23275"/>
      <c r="C23275"/>
      <c r="E23275"/>
      <c r="F23275"/>
    </row>
    <row r="23276" spans="1:6" x14ac:dyDescent="0.25">
      <c r="A23276"/>
      <c r="B23276"/>
      <c r="C23276"/>
      <c r="E23276"/>
      <c r="F23276"/>
    </row>
    <row r="23277" spans="1:6" x14ac:dyDescent="0.25">
      <c r="A23277"/>
      <c r="B23277"/>
      <c r="C23277"/>
      <c r="E23277"/>
      <c r="F23277"/>
    </row>
    <row r="23278" spans="1:6" x14ac:dyDescent="0.25">
      <c r="A23278"/>
      <c r="B23278"/>
      <c r="C23278"/>
      <c r="E23278"/>
      <c r="F23278"/>
    </row>
    <row r="23279" spans="1:6" x14ac:dyDescent="0.25">
      <c r="A23279"/>
      <c r="B23279"/>
      <c r="C23279"/>
      <c r="E23279"/>
      <c r="F23279"/>
    </row>
    <row r="23280" spans="1:6" x14ac:dyDescent="0.25">
      <c r="A23280"/>
      <c r="B23280"/>
      <c r="C23280"/>
      <c r="E23280"/>
      <c r="F23280"/>
    </row>
    <row r="23281" spans="1:6" x14ac:dyDescent="0.25">
      <c r="A23281"/>
      <c r="B23281"/>
      <c r="C23281"/>
      <c r="E23281"/>
      <c r="F23281"/>
    </row>
    <row r="23282" spans="1:6" x14ac:dyDescent="0.25">
      <c r="A23282"/>
      <c r="B23282"/>
      <c r="C23282"/>
      <c r="E23282"/>
      <c r="F23282"/>
    </row>
    <row r="23283" spans="1:6" x14ac:dyDescent="0.25">
      <c r="A23283"/>
      <c r="B23283"/>
      <c r="C23283"/>
      <c r="E23283"/>
      <c r="F23283"/>
    </row>
    <row r="23284" spans="1:6" x14ac:dyDescent="0.25">
      <c r="A23284"/>
      <c r="B23284"/>
      <c r="C23284"/>
      <c r="E23284"/>
      <c r="F23284"/>
    </row>
    <row r="23285" spans="1:6" x14ac:dyDescent="0.25">
      <c r="A23285"/>
      <c r="B23285"/>
      <c r="C23285"/>
      <c r="E23285"/>
      <c r="F23285"/>
    </row>
    <row r="23286" spans="1:6" x14ac:dyDescent="0.25">
      <c r="A23286"/>
      <c r="B23286"/>
      <c r="C23286"/>
      <c r="E23286"/>
      <c r="F23286"/>
    </row>
    <row r="23287" spans="1:6" x14ac:dyDescent="0.25">
      <c r="A23287"/>
      <c r="B23287"/>
      <c r="C23287"/>
      <c r="E23287"/>
      <c r="F23287"/>
    </row>
    <row r="23288" spans="1:6" x14ac:dyDescent="0.25">
      <c r="A23288"/>
      <c r="B23288"/>
      <c r="C23288"/>
      <c r="E23288"/>
      <c r="F23288"/>
    </row>
    <row r="23289" spans="1:6" x14ac:dyDescent="0.25">
      <c r="A23289"/>
      <c r="B23289"/>
      <c r="C23289"/>
      <c r="E23289"/>
      <c r="F23289"/>
    </row>
    <row r="23290" spans="1:6" x14ac:dyDescent="0.25">
      <c r="A23290"/>
      <c r="B23290"/>
      <c r="C23290"/>
      <c r="E23290"/>
      <c r="F23290"/>
    </row>
    <row r="23291" spans="1:6" x14ac:dyDescent="0.25">
      <c r="A23291"/>
      <c r="B23291"/>
      <c r="C23291"/>
      <c r="E23291"/>
      <c r="F23291"/>
    </row>
    <row r="23292" spans="1:6" x14ac:dyDescent="0.25">
      <c r="A23292"/>
      <c r="B23292"/>
      <c r="C23292"/>
      <c r="E23292"/>
      <c r="F23292"/>
    </row>
    <row r="23293" spans="1:6" x14ac:dyDescent="0.25">
      <c r="A23293"/>
      <c r="B23293"/>
      <c r="C23293"/>
      <c r="E23293"/>
      <c r="F23293"/>
    </row>
    <row r="23294" spans="1:6" x14ac:dyDescent="0.25">
      <c r="A23294"/>
      <c r="B23294"/>
      <c r="C23294"/>
      <c r="E23294"/>
      <c r="F23294"/>
    </row>
    <row r="23295" spans="1:6" x14ac:dyDescent="0.25">
      <c r="A23295"/>
      <c r="B23295"/>
      <c r="C23295"/>
      <c r="E23295"/>
      <c r="F23295"/>
    </row>
    <row r="23296" spans="1:6" x14ac:dyDescent="0.25">
      <c r="A23296"/>
      <c r="B23296"/>
      <c r="C23296"/>
      <c r="E23296"/>
      <c r="F23296"/>
    </row>
    <row r="23297" spans="1:6" x14ac:dyDescent="0.25">
      <c r="A23297"/>
      <c r="B23297"/>
      <c r="C23297"/>
      <c r="E23297"/>
      <c r="F23297"/>
    </row>
    <row r="23298" spans="1:6" x14ac:dyDescent="0.25">
      <c r="A23298"/>
      <c r="B23298"/>
      <c r="C23298"/>
      <c r="E23298"/>
      <c r="F23298"/>
    </row>
    <row r="23299" spans="1:6" x14ac:dyDescent="0.25">
      <c r="A23299"/>
      <c r="B23299"/>
      <c r="C23299"/>
      <c r="E23299"/>
      <c r="F23299"/>
    </row>
    <row r="23300" spans="1:6" x14ac:dyDescent="0.25">
      <c r="A23300"/>
      <c r="B23300"/>
      <c r="C23300"/>
      <c r="E23300"/>
      <c r="F23300"/>
    </row>
    <row r="23301" spans="1:6" x14ac:dyDescent="0.25">
      <c r="A23301"/>
      <c r="B23301"/>
      <c r="C23301"/>
      <c r="E23301"/>
      <c r="F23301"/>
    </row>
    <row r="23302" spans="1:6" x14ac:dyDescent="0.25">
      <c r="A23302"/>
      <c r="B23302"/>
      <c r="C23302"/>
      <c r="E23302"/>
      <c r="F23302"/>
    </row>
    <row r="23303" spans="1:6" x14ac:dyDescent="0.25">
      <c r="A23303"/>
      <c r="B23303"/>
      <c r="C23303"/>
      <c r="E23303"/>
      <c r="F23303"/>
    </row>
    <row r="23304" spans="1:6" x14ac:dyDescent="0.25">
      <c r="A23304"/>
      <c r="B23304"/>
      <c r="C23304"/>
      <c r="E23304"/>
      <c r="F23304"/>
    </row>
    <row r="23305" spans="1:6" x14ac:dyDescent="0.25">
      <c r="A23305"/>
      <c r="B23305"/>
      <c r="C23305"/>
      <c r="E23305"/>
      <c r="F23305"/>
    </row>
    <row r="23306" spans="1:6" x14ac:dyDescent="0.25">
      <c r="A23306"/>
      <c r="B23306"/>
      <c r="C23306"/>
      <c r="E23306"/>
      <c r="F23306"/>
    </row>
    <row r="23307" spans="1:6" x14ac:dyDescent="0.25">
      <c r="A23307"/>
      <c r="B23307"/>
      <c r="C23307"/>
      <c r="E23307"/>
      <c r="F23307"/>
    </row>
    <row r="23308" spans="1:6" x14ac:dyDescent="0.25">
      <c r="A23308"/>
      <c r="B23308"/>
      <c r="C23308"/>
      <c r="E23308"/>
      <c r="F23308"/>
    </row>
    <row r="23309" spans="1:6" x14ac:dyDescent="0.25">
      <c r="A23309"/>
      <c r="B23309"/>
      <c r="C23309"/>
      <c r="E23309"/>
      <c r="F23309"/>
    </row>
    <row r="23310" spans="1:6" x14ac:dyDescent="0.25">
      <c r="A23310"/>
      <c r="B23310"/>
      <c r="C23310"/>
      <c r="E23310"/>
      <c r="F23310"/>
    </row>
    <row r="23311" spans="1:6" x14ac:dyDescent="0.25">
      <c r="A23311"/>
      <c r="B23311"/>
      <c r="C23311"/>
      <c r="E23311"/>
      <c r="F23311"/>
    </row>
    <row r="23312" spans="1:6" x14ac:dyDescent="0.25">
      <c r="A23312"/>
      <c r="B23312"/>
      <c r="C23312"/>
      <c r="E23312"/>
      <c r="F23312"/>
    </row>
    <row r="23313" spans="1:6" x14ac:dyDescent="0.25">
      <c r="A23313"/>
      <c r="B23313"/>
      <c r="C23313"/>
      <c r="E23313"/>
      <c r="F23313"/>
    </row>
    <row r="23314" spans="1:6" x14ac:dyDescent="0.25">
      <c r="A23314"/>
      <c r="B23314"/>
      <c r="C23314"/>
      <c r="E23314"/>
      <c r="F23314"/>
    </row>
    <row r="23315" spans="1:6" x14ac:dyDescent="0.25">
      <c r="A23315"/>
      <c r="B23315"/>
      <c r="C23315"/>
      <c r="E23315"/>
      <c r="F23315"/>
    </row>
    <row r="23316" spans="1:6" x14ac:dyDescent="0.25">
      <c r="A23316"/>
      <c r="B23316"/>
      <c r="C23316"/>
      <c r="E23316"/>
      <c r="F23316"/>
    </row>
    <row r="23317" spans="1:6" x14ac:dyDescent="0.25">
      <c r="A23317"/>
      <c r="B23317"/>
      <c r="C23317"/>
      <c r="E23317"/>
      <c r="F23317"/>
    </row>
    <row r="23318" spans="1:6" x14ac:dyDescent="0.25">
      <c r="A23318"/>
      <c r="B23318"/>
      <c r="C23318"/>
      <c r="E23318"/>
      <c r="F23318"/>
    </row>
    <row r="23319" spans="1:6" x14ac:dyDescent="0.25">
      <c r="A23319"/>
      <c r="B23319"/>
      <c r="C23319"/>
      <c r="E23319"/>
      <c r="F23319"/>
    </row>
    <row r="23320" spans="1:6" x14ac:dyDescent="0.25">
      <c r="A23320"/>
      <c r="B23320"/>
      <c r="C23320"/>
      <c r="E23320"/>
      <c r="F23320"/>
    </row>
    <row r="23321" spans="1:6" x14ac:dyDescent="0.25">
      <c r="A23321"/>
      <c r="B23321"/>
      <c r="C23321"/>
      <c r="E23321"/>
      <c r="F23321"/>
    </row>
    <row r="23322" spans="1:6" x14ac:dyDescent="0.25">
      <c r="A23322"/>
      <c r="B23322"/>
      <c r="C23322"/>
      <c r="E23322"/>
      <c r="F23322"/>
    </row>
    <row r="23323" spans="1:6" x14ac:dyDescent="0.25">
      <c r="A23323"/>
      <c r="B23323"/>
      <c r="C23323"/>
      <c r="E23323"/>
      <c r="F23323"/>
    </row>
    <row r="23324" spans="1:6" x14ac:dyDescent="0.25">
      <c r="A23324"/>
      <c r="B23324"/>
      <c r="C23324"/>
      <c r="E23324"/>
      <c r="F23324"/>
    </row>
    <row r="23325" spans="1:6" x14ac:dyDescent="0.25">
      <c r="A23325"/>
      <c r="B23325"/>
      <c r="C23325"/>
      <c r="E23325"/>
      <c r="F23325"/>
    </row>
    <row r="23326" spans="1:6" x14ac:dyDescent="0.25">
      <c r="A23326"/>
      <c r="B23326"/>
      <c r="C23326"/>
      <c r="E23326"/>
      <c r="F23326"/>
    </row>
    <row r="23327" spans="1:6" x14ac:dyDescent="0.25">
      <c r="A23327"/>
      <c r="B23327"/>
      <c r="C23327"/>
      <c r="E23327"/>
      <c r="F23327"/>
    </row>
    <row r="23328" spans="1:6" x14ac:dyDescent="0.25">
      <c r="A23328"/>
      <c r="B23328"/>
      <c r="C23328"/>
      <c r="E23328"/>
      <c r="F23328"/>
    </row>
    <row r="23329" spans="1:6" x14ac:dyDescent="0.25">
      <c r="A23329"/>
      <c r="B23329"/>
      <c r="C23329"/>
      <c r="E23329"/>
      <c r="F23329"/>
    </row>
    <row r="23330" spans="1:6" x14ac:dyDescent="0.25">
      <c r="A23330"/>
      <c r="B23330"/>
      <c r="C23330"/>
      <c r="E23330"/>
      <c r="F23330"/>
    </row>
    <row r="23331" spans="1:6" x14ac:dyDescent="0.25">
      <c r="A23331"/>
      <c r="B23331"/>
      <c r="C23331"/>
      <c r="E23331"/>
      <c r="F23331"/>
    </row>
    <row r="23332" spans="1:6" x14ac:dyDescent="0.25">
      <c r="A23332"/>
      <c r="B23332"/>
      <c r="C23332"/>
      <c r="E23332"/>
      <c r="F23332"/>
    </row>
    <row r="23333" spans="1:6" x14ac:dyDescent="0.25">
      <c r="A23333"/>
      <c r="B23333"/>
      <c r="C23333"/>
      <c r="E23333"/>
      <c r="F23333"/>
    </row>
    <row r="23334" spans="1:6" x14ac:dyDescent="0.25">
      <c r="A23334"/>
      <c r="B23334"/>
      <c r="C23334"/>
      <c r="E23334"/>
      <c r="F23334"/>
    </row>
    <row r="23335" spans="1:6" x14ac:dyDescent="0.25">
      <c r="A23335"/>
      <c r="B23335"/>
      <c r="C23335"/>
      <c r="E23335"/>
      <c r="F23335"/>
    </row>
    <row r="23336" spans="1:6" x14ac:dyDescent="0.25">
      <c r="A23336"/>
      <c r="B23336"/>
      <c r="C23336"/>
      <c r="E23336"/>
      <c r="F23336"/>
    </row>
    <row r="23337" spans="1:6" x14ac:dyDescent="0.25">
      <c r="A23337"/>
      <c r="B23337"/>
      <c r="C23337"/>
      <c r="E23337"/>
      <c r="F23337"/>
    </row>
    <row r="23338" spans="1:6" x14ac:dyDescent="0.25">
      <c r="A23338"/>
      <c r="B23338"/>
      <c r="C23338"/>
      <c r="E23338"/>
      <c r="F23338"/>
    </row>
    <row r="23339" spans="1:6" x14ac:dyDescent="0.25">
      <c r="A23339"/>
      <c r="B23339"/>
      <c r="C23339"/>
      <c r="E23339"/>
      <c r="F23339"/>
    </row>
    <row r="23340" spans="1:6" x14ac:dyDescent="0.25">
      <c r="A23340"/>
      <c r="B23340"/>
      <c r="C23340"/>
      <c r="E23340"/>
      <c r="F23340"/>
    </row>
    <row r="23341" spans="1:6" x14ac:dyDescent="0.25">
      <c r="A23341"/>
      <c r="B23341"/>
      <c r="C23341"/>
      <c r="E23341"/>
      <c r="F23341"/>
    </row>
    <row r="23342" spans="1:6" x14ac:dyDescent="0.25">
      <c r="A23342"/>
      <c r="B23342"/>
      <c r="C23342"/>
      <c r="E23342"/>
      <c r="F23342"/>
    </row>
    <row r="23343" spans="1:6" x14ac:dyDescent="0.25">
      <c r="A23343"/>
      <c r="B23343"/>
      <c r="C23343"/>
      <c r="E23343"/>
      <c r="F23343"/>
    </row>
    <row r="23344" spans="1:6" x14ac:dyDescent="0.25">
      <c r="A23344"/>
      <c r="B23344"/>
      <c r="C23344"/>
      <c r="E23344"/>
      <c r="F23344"/>
    </row>
    <row r="23345" spans="1:6" x14ac:dyDescent="0.25">
      <c r="A23345"/>
      <c r="B23345"/>
      <c r="C23345"/>
      <c r="E23345"/>
      <c r="F23345"/>
    </row>
    <row r="23346" spans="1:6" x14ac:dyDescent="0.25">
      <c r="A23346"/>
      <c r="B23346"/>
      <c r="C23346"/>
      <c r="E23346"/>
      <c r="F23346"/>
    </row>
    <row r="23347" spans="1:6" x14ac:dyDescent="0.25">
      <c r="A23347"/>
      <c r="B23347"/>
      <c r="C23347"/>
      <c r="E23347"/>
      <c r="F23347"/>
    </row>
    <row r="23348" spans="1:6" x14ac:dyDescent="0.25">
      <c r="A23348"/>
      <c r="B23348"/>
      <c r="C23348"/>
      <c r="E23348"/>
      <c r="F23348"/>
    </row>
    <row r="23349" spans="1:6" x14ac:dyDescent="0.25">
      <c r="A23349"/>
      <c r="B23349"/>
      <c r="C23349"/>
      <c r="E23349"/>
      <c r="F23349"/>
    </row>
    <row r="23350" spans="1:6" x14ac:dyDescent="0.25">
      <c r="A23350"/>
      <c r="B23350"/>
      <c r="C23350"/>
      <c r="E23350"/>
      <c r="F23350"/>
    </row>
    <row r="23351" spans="1:6" x14ac:dyDescent="0.25">
      <c r="A23351"/>
      <c r="B23351"/>
      <c r="C23351"/>
      <c r="E23351"/>
      <c r="F23351"/>
    </row>
    <row r="23352" spans="1:6" x14ac:dyDescent="0.25">
      <c r="A23352"/>
      <c r="B23352"/>
      <c r="C23352"/>
      <c r="E23352"/>
      <c r="F23352"/>
    </row>
    <row r="23353" spans="1:6" x14ac:dyDescent="0.25">
      <c r="A23353"/>
      <c r="B23353"/>
      <c r="C23353"/>
      <c r="E23353"/>
      <c r="F23353"/>
    </row>
    <row r="23354" spans="1:6" x14ac:dyDescent="0.25">
      <c r="A23354"/>
      <c r="B23354"/>
      <c r="C23354"/>
      <c r="E23354"/>
      <c r="F23354"/>
    </row>
    <row r="23355" spans="1:6" x14ac:dyDescent="0.25">
      <c r="A23355"/>
      <c r="B23355"/>
      <c r="C23355"/>
      <c r="E23355"/>
      <c r="F23355"/>
    </row>
    <row r="23356" spans="1:6" x14ac:dyDescent="0.25">
      <c r="A23356"/>
      <c r="B23356"/>
      <c r="C23356"/>
      <c r="E23356"/>
      <c r="F23356"/>
    </row>
    <row r="23357" spans="1:6" x14ac:dyDescent="0.25">
      <c r="A23357"/>
      <c r="B23357"/>
      <c r="C23357"/>
      <c r="E23357"/>
      <c r="F23357"/>
    </row>
    <row r="23358" spans="1:6" x14ac:dyDescent="0.25">
      <c r="A23358"/>
      <c r="B23358"/>
      <c r="C23358"/>
      <c r="E23358"/>
      <c r="F23358"/>
    </row>
    <row r="23359" spans="1:6" x14ac:dyDescent="0.25">
      <c r="A23359"/>
      <c r="B23359"/>
      <c r="C23359"/>
      <c r="E23359"/>
      <c r="F23359"/>
    </row>
    <row r="23360" spans="1:6" x14ac:dyDescent="0.25">
      <c r="A23360"/>
      <c r="B23360"/>
      <c r="C23360"/>
      <c r="E23360"/>
      <c r="F23360"/>
    </row>
    <row r="23361" spans="1:6" x14ac:dyDescent="0.25">
      <c r="A23361"/>
      <c r="B23361"/>
      <c r="C23361"/>
      <c r="E23361"/>
      <c r="F23361"/>
    </row>
    <row r="23362" spans="1:6" x14ac:dyDescent="0.25">
      <c r="A23362"/>
      <c r="B23362"/>
      <c r="C23362"/>
      <c r="E23362"/>
      <c r="F23362"/>
    </row>
    <row r="23363" spans="1:6" x14ac:dyDescent="0.25">
      <c r="A23363"/>
      <c r="B23363"/>
      <c r="C23363"/>
      <c r="E23363"/>
      <c r="F23363"/>
    </row>
    <row r="23364" spans="1:6" x14ac:dyDescent="0.25">
      <c r="A23364"/>
      <c r="B23364"/>
      <c r="C23364"/>
      <c r="E23364"/>
      <c r="F23364"/>
    </row>
    <row r="23365" spans="1:6" x14ac:dyDescent="0.25">
      <c r="A23365"/>
      <c r="B23365"/>
      <c r="C23365"/>
      <c r="E23365"/>
      <c r="F23365"/>
    </row>
    <row r="23366" spans="1:6" x14ac:dyDescent="0.25">
      <c r="A23366"/>
      <c r="B23366"/>
      <c r="C23366"/>
      <c r="E23366"/>
      <c r="F23366"/>
    </row>
    <row r="23367" spans="1:6" x14ac:dyDescent="0.25">
      <c r="A23367"/>
      <c r="B23367"/>
      <c r="C23367"/>
      <c r="E23367"/>
      <c r="F23367"/>
    </row>
    <row r="23368" spans="1:6" x14ac:dyDescent="0.25">
      <c r="A23368"/>
      <c r="B23368"/>
      <c r="C23368"/>
      <c r="E23368"/>
      <c r="F23368"/>
    </row>
    <row r="23369" spans="1:6" x14ac:dyDescent="0.25">
      <c r="A23369"/>
      <c r="B23369"/>
      <c r="C23369"/>
      <c r="E23369"/>
      <c r="F23369"/>
    </row>
    <row r="23370" spans="1:6" x14ac:dyDescent="0.25">
      <c r="A23370"/>
      <c r="B23370"/>
      <c r="C23370"/>
      <c r="E23370"/>
      <c r="F23370"/>
    </row>
    <row r="23371" spans="1:6" x14ac:dyDescent="0.25">
      <c r="A23371"/>
      <c r="B23371"/>
      <c r="C23371"/>
      <c r="E23371"/>
      <c r="F23371"/>
    </row>
    <row r="23372" spans="1:6" x14ac:dyDescent="0.25">
      <c r="A23372"/>
      <c r="B23372"/>
      <c r="C23372"/>
      <c r="E23372"/>
      <c r="F23372"/>
    </row>
    <row r="23373" spans="1:6" x14ac:dyDescent="0.25">
      <c r="A23373"/>
      <c r="B23373"/>
      <c r="C23373"/>
      <c r="E23373"/>
      <c r="F23373"/>
    </row>
    <row r="23374" spans="1:6" x14ac:dyDescent="0.25">
      <c r="A23374"/>
      <c r="B23374"/>
      <c r="C23374"/>
      <c r="E23374"/>
      <c r="F23374"/>
    </row>
    <row r="23375" spans="1:6" x14ac:dyDescent="0.25">
      <c r="A23375"/>
      <c r="B23375"/>
      <c r="C23375"/>
      <c r="E23375"/>
      <c r="F23375"/>
    </row>
    <row r="23376" spans="1:6" x14ac:dyDescent="0.25">
      <c r="A23376"/>
      <c r="B23376"/>
      <c r="C23376"/>
      <c r="E23376"/>
      <c r="F23376"/>
    </row>
    <row r="23377" spans="1:6" x14ac:dyDescent="0.25">
      <c r="A23377"/>
      <c r="B23377"/>
      <c r="C23377"/>
      <c r="E23377"/>
      <c r="F23377"/>
    </row>
    <row r="23378" spans="1:6" x14ac:dyDescent="0.25">
      <c r="A23378"/>
      <c r="B23378"/>
      <c r="C23378"/>
      <c r="E23378"/>
      <c r="F23378"/>
    </row>
    <row r="23379" spans="1:6" x14ac:dyDescent="0.25">
      <c r="A23379"/>
      <c r="B23379"/>
      <c r="C23379"/>
      <c r="E23379"/>
      <c r="F23379"/>
    </row>
    <row r="23380" spans="1:6" x14ac:dyDescent="0.25">
      <c r="A23380"/>
      <c r="B23380"/>
      <c r="C23380"/>
      <c r="E23380"/>
      <c r="F23380"/>
    </row>
    <row r="23381" spans="1:6" x14ac:dyDescent="0.25">
      <c r="A23381"/>
      <c r="B23381"/>
      <c r="C23381"/>
      <c r="E23381"/>
      <c r="F23381"/>
    </row>
    <row r="23382" spans="1:6" x14ac:dyDescent="0.25">
      <c r="A23382"/>
      <c r="B23382"/>
      <c r="C23382"/>
      <c r="E23382"/>
      <c r="F23382"/>
    </row>
    <row r="23383" spans="1:6" x14ac:dyDescent="0.25">
      <c r="A23383"/>
      <c r="B23383"/>
      <c r="C23383"/>
      <c r="E23383"/>
      <c r="F23383"/>
    </row>
    <row r="23384" spans="1:6" x14ac:dyDescent="0.25">
      <c r="A23384"/>
      <c r="B23384"/>
      <c r="C23384"/>
      <c r="E23384"/>
      <c r="F23384"/>
    </row>
    <row r="23385" spans="1:6" x14ac:dyDescent="0.25">
      <c r="A23385"/>
      <c r="B23385"/>
      <c r="C23385"/>
      <c r="E23385"/>
      <c r="F23385"/>
    </row>
    <row r="23386" spans="1:6" x14ac:dyDescent="0.25">
      <c r="A23386"/>
      <c r="B23386"/>
      <c r="C23386"/>
      <c r="E23386"/>
      <c r="F23386"/>
    </row>
    <row r="23387" spans="1:6" x14ac:dyDescent="0.25">
      <c r="A23387"/>
      <c r="B23387"/>
      <c r="C23387"/>
      <c r="E23387"/>
      <c r="F23387"/>
    </row>
    <row r="23388" spans="1:6" x14ac:dyDescent="0.25">
      <c r="A23388"/>
      <c r="B23388"/>
      <c r="C23388"/>
      <c r="E23388"/>
      <c r="F23388"/>
    </row>
    <row r="23389" spans="1:6" x14ac:dyDescent="0.25">
      <c r="A23389"/>
      <c r="B23389"/>
      <c r="C23389"/>
      <c r="E23389"/>
      <c r="F23389"/>
    </row>
    <row r="23390" spans="1:6" x14ac:dyDescent="0.25">
      <c r="A23390"/>
      <c r="B23390"/>
      <c r="C23390"/>
      <c r="E23390"/>
      <c r="F23390"/>
    </row>
    <row r="23391" spans="1:6" x14ac:dyDescent="0.25">
      <c r="A23391"/>
      <c r="B23391"/>
      <c r="C23391"/>
      <c r="E23391"/>
      <c r="F23391"/>
    </row>
    <row r="23392" spans="1:6" x14ac:dyDescent="0.25">
      <c r="A23392"/>
      <c r="B23392"/>
      <c r="C23392"/>
      <c r="E23392"/>
      <c r="F23392"/>
    </row>
    <row r="23393" spans="1:6" x14ac:dyDescent="0.25">
      <c r="A23393"/>
      <c r="B23393"/>
      <c r="C23393"/>
      <c r="E23393"/>
      <c r="F23393"/>
    </row>
    <row r="23394" spans="1:6" x14ac:dyDescent="0.25">
      <c r="A23394"/>
      <c r="B23394"/>
      <c r="C23394"/>
      <c r="E23394"/>
      <c r="F23394"/>
    </row>
    <row r="23395" spans="1:6" x14ac:dyDescent="0.25">
      <c r="A23395"/>
      <c r="B23395"/>
      <c r="C23395"/>
      <c r="E23395"/>
      <c r="F23395"/>
    </row>
    <row r="23396" spans="1:6" x14ac:dyDescent="0.25">
      <c r="A23396"/>
      <c r="B23396"/>
      <c r="C23396"/>
      <c r="E23396"/>
      <c r="F23396"/>
    </row>
    <row r="23397" spans="1:6" x14ac:dyDescent="0.25">
      <c r="A23397"/>
      <c r="B23397"/>
      <c r="C23397"/>
      <c r="E23397"/>
      <c r="F23397"/>
    </row>
    <row r="23398" spans="1:6" x14ac:dyDescent="0.25">
      <c r="A23398"/>
      <c r="B23398"/>
      <c r="C23398"/>
      <c r="E23398"/>
      <c r="F23398"/>
    </row>
    <row r="23399" spans="1:6" x14ac:dyDescent="0.25">
      <c r="A23399"/>
      <c r="B23399"/>
      <c r="C23399"/>
      <c r="E23399"/>
      <c r="F23399"/>
    </row>
    <row r="23400" spans="1:6" x14ac:dyDescent="0.25">
      <c r="A23400"/>
      <c r="B23400"/>
      <c r="C23400"/>
      <c r="E23400"/>
      <c r="F23400"/>
    </row>
    <row r="23401" spans="1:6" x14ac:dyDescent="0.25">
      <c r="A23401"/>
      <c r="B23401"/>
      <c r="C23401"/>
      <c r="E23401"/>
      <c r="F23401"/>
    </row>
    <row r="23402" spans="1:6" x14ac:dyDescent="0.25">
      <c r="A23402"/>
      <c r="B23402"/>
      <c r="C23402"/>
      <c r="E23402"/>
      <c r="F23402"/>
    </row>
    <row r="23403" spans="1:6" x14ac:dyDescent="0.25">
      <c r="A23403"/>
      <c r="B23403"/>
      <c r="C23403"/>
      <c r="E23403"/>
      <c r="F23403"/>
    </row>
    <row r="23404" spans="1:6" x14ac:dyDescent="0.25">
      <c r="A23404"/>
      <c r="B23404"/>
      <c r="C23404"/>
      <c r="E23404"/>
      <c r="F23404"/>
    </row>
    <row r="23405" spans="1:6" x14ac:dyDescent="0.25">
      <c r="A23405"/>
      <c r="B23405"/>
      <c r="C23405"/>
      <c r="E23405"/>
      <c r="F23405"/>
    </row>
    <row r="23406" spans="1:6" x14ac:dyDescent="0.25">
      <c r="A23406"/>
      <c r="B23406"/>
      <c r="C23406"/>
      <c r="E23406"/>
      <c r="F23406"/>
    </row>
    <row r="23407" spans="1:6" x14ac:dyDescent="0.25">
      <c r="A23407"/>
      <c r="B23407"/>
      <c r="C23407"/>
      <c r="E23407"/>
      <c r="F23407"/>
    </row>
    <row r="23408" spans="1:6" x14ac:dyDescent="0.25">
      <c r="A23408"/>
      <c r="B23408"/>
      <c r="C23408"/>
      <c r="E23408"/>
      <c r="F23408"/>
    </row>
    <row r="23409" spans="1:6" x14ac:dyDescent="0.25">
      <c r="A23409"/>
      <c r="B23409"/>
      <c r="C23409"/>
      <c r="E23409"/>
      <c r="F23409"/>
    </row>
    <row r="23410" spans="1:6" x14ac:dyDescent="0.25">
      <c r="A23410"/>
      <c r="B23410"/>
      <c r="C23410"/>
      <c r="E23410"/>
      <c r="F23410"/>
    </row>
    <row r="23411" spans="1:6" x14ac:dyDescent="0.25">
      <c r="A23411"/>
      <c r="B23411"/>
      <c r="C23411"/>
      <c r="E23411"/>
      <c r="F23411"/>
    </row>
    <row r="23412" spans="1:6" x14ac:dyDescent="0.25">
      <c r="A23412"/>
      <c r="B23412"/>
      <c r="C23412"/>
      <c r="E23412"/>
      <c r="F23412"/>
    </row>
    <row r="23413" spans="1:6" x14ac:dyDescent="0.25">
      <c r="A23413"/>
      <c r="B23413"/>
      <c r="C23413"/>
      <c r="E23413"/>
      <c r="F23413"/>
    </row>
    <row r="23414" spans="1:6" x14ac:dyDescent="0.25">
      <c r="A23414"/>
      <c r="B23414"/>
      <c r="C23414"/>
      <c r="E23414"/>
      <c r="F23414"/>
    </row>
    <row r="23415" spans="1:6" x14ac:dyDescent="0.25">
      <c r="A23415"/>
      <c r="B23415"/>
      <c r="C23415"/>
      <c r="E23415"/>
      <c r="F23415"/>
    </row>
    <row r="23416" spans="1:6" x14ac:dyDescent="0.25">
      <c r="A23416"/>
      <c r="B23416"/>
      <c r="C23416"/>
      <c r="E23416"/>
      <c r="F23416"/>
    </row>
    <row r="23417" spans="1:6" x14ac:dyDescent="0.25">
      <c r="A23417"/>
      <c r="B23417"/>
      <c r="C23417"/>
      <c r="E23417"/>
      <c r="F23417"/>
    </row>
    <row r="23418" spans="1:6" x14ac:dyDescent="0.25">
      <c r="A23418"/>
      <c r="B23418"/>
      <c r="C23418"/>
      <c r="E23418"/>
      <c r="F23418"/>
    </row>
    <row r="23419" spans="1:6" x14ac:dyDescent="0.25">
      <c r="A23419"/>
      <c r="B23419"/>
      <c r="C23419"/>
      <c r="E23419"/>
      <c r="F23419"/>
    </row>
    <row r="23420" spans="1:6" x14ac:dyDescent="0.25">
      <c r="A23420"/>
      <c r="B23420"/>
      <c r="C23420"/>
      <c r="E23420"/>
      <c r="F23420"/>
    </row>
    <row r="23421" spans="1:6" x14ac:dyDescent="0.25">
      <c r="A23421"/>
      <c r="B23421"/>
      <c r="C23421"/>
      <c r="E23421"/>
      <c r="F23421"/>
    </row>
    <row r="23422" spans="1:6" x14ac:dyDescent="0.25">
      <c r="A23422"/>
      <c r="B23422"/>
      <c r="C23422"/>
      <c r="E23422"/>
      <c r="F23422"/>
    </row>
    <row r="23423" spans="1:6" x14ac:dyDescent="0.25">
      <c r="A23423"/>
      <c r="B23423"/>
      <c r="C23423"/>
      <c r="E23423"/>
      <c r="F23423"/>
    </row>
    <row r="23424" spans="1:6" x14ac:dyDescent="0.25">
      <c r="A23424"/>
      <c r="B23424"/>
      <c r="C23424"/>
      <c r="E23424"/>
      <c r="F23424"/>
    </row>
    <row r="23425" spans="1:6" x14ac:dyDescent="0.25">
      <c r="A23425"/>
      <c r="B23425"/>
      <c r="C23425"/>
      <c r="E23425"/>
      <c r="F23425"/>
    </row>
    <row r="23426" spans="1:6" x14ac:dyDescent="0.25">
      <c r="A23426"/>
      <c r="B23426"/>
      <c r="C23426"/>
      <c r="E23426"/>
      <c r="F23426"/>
    </row>
    <row r="23427" spans="1:6" x14ac:dyDescent="0.25">
      <c r="A23427"/>
      <c r="B23427"/>
      <c r="C23427"/>
      <c r="E23427"/>
      <c r="F23427"/>
    </row>
    <row r="23428" spans="1:6" x14ac:dyDescent="0.25">
      <c r="A23428"/>
      <c r="B23428"/>
      <c r="C23428"/>
      <c r="E23428"/>
      <c r="F23428"/>
    </row>
    <row r="23429" spans="1:6" x14ac:dyDescent="0.25">
      <c r="A23429"/>
      <c r="B23429"/>
      <c r="C23429"/>
      <c r="E23429"/>
      <c r="F23429"/>
    </row>
    <row r="23430" spans="1:6" x14ac:dyDescent="0.25">
      <c r="A23430"/>
      <c r="B23430"/>
      <c r="C23430"/>
      <c r="E23430"/>
      <c r="F23430"/>
    </row>
    <row r="23431" spans="1:6" x14ac:dyDescent="0.25">
      <c r="A23431"/>
      <c r="B23431"/>
      <c r="C23431"/>
      <c r="E23431"/>
      <c r="F23431"/>
    </row>
    <row r="23432" spans="1:6" x14ac:dyDescent="0.25">
      <c r="A23432"/>
      <c r="B23432"/>
      <c r="C23432"/>
      <c r="E23432"/>
      <c r="F23432"/>
    </row>
    <row r="23433" spans="1:6" x14ac:dyDescent="0.25">
      <c r="A23433"/>
      <c r="B23433"/>
      <c r="C23433"/>
      <c r="E23433"/>
      <c r="F23433"/>
    </row>
    <row r="23434" spans="1:6" x14ac:dyDescent="0.25">
      <c r="A23434"/>
      <c r="B23434"/>
      <c r="C23434"/>
      <c r="E23434"/>
      <c r="F23434"/>
    </row>
    <row r="23435" spans="1:6" x14ac:dyDescent="0.25">
      <c r="A23435"/>
      <c r="B23435"/>
      <c r="C23435"/>
      <c r="E23435"/>
      <c r="F23435"/>
    </row>
    <row r="23436" spans="1:6" x14ac:dyDescent="0.25">
      <c r="A23436"/>
      <c r="B23436"/>
      <c r="C23436"/>
      <c r="E23436"/>
      <c r="F23436"/>
    </row>
    <row r="23437" spans="1:6" x14ac:dyDescent="0.25">
      <c r="A23437"/>
      <c r="B23437"/>
      <c r="C23437"/>
      <c r="E23437"/>
      <c r="F23437"/>
    </row>
    <row r="23438" spans="1:6" x14ac:dyDescent="0.25">
      <c r="A23438"/>
      <c r="B23438"/>
      <c r="C23438"/>
      <c r="E23438"/>
      <c r="F23438"/>
    </row>
    <row r="23439" spans="1:6" x14ac:dyDescent="0.25">
      <c r="A23439"/>
      <c r="B23439"/>
      <c r="C23439"/>
      <c r="E23439"/>
      <c r="F23439"/>
    </row>
    <row r="23440" spans="1:6" x14ac:dyDescent="0.25">
      <c r="A23440"/>
      <c r="B23440"/>
      <c r="C23440"/>
      <c r="E23440"/>
      <c r="F23440"/>
    </row>
    <row r="23441" spans="1:6" x14ac:dyDescent="0.25">
      <c r="A23441"/>
      <c r="B23441"/>
      <c r="C23441"/>
      <c r="E23441"/>
      <c r="F23441"/>
    </row>
    <row r="23442" spans="1:6" x14ac:dyDescent="0.25">
      <c r="A23442"/>
      <c r="B23442"/>
      <c r="C23442"/>
      <c r="E23442"/>
      <c r="F23442"/>
    </row>
    <row r="23443" spans="1:6" x14ac:dyDescent="0.25">
      <c r="A23443"/>
      <c r="B23443"/>
      <c r="C23443"/>
      <c r="E23443"/>
      <c r="F23443"/>
    </row>
    <row r="23444" spans="1:6" x14ac:dyDescent="0.25">
      <c r="A23444"/>
      <c r="B23444"/>
      <c r="C23444"/>
      <c r="E23444"/>
      <c r="F23444"/>
    </row>
    <row r="23445" spans="1:6" x14ac:dyDescent="0.25">
      <c r="A23445"/>
      <c r="B23445"/>
      <c r="C23445"/>
      <c r="E23445"/>
      <c r="F23445"/>
    </row>
    <row r="23446" spans="1:6" x14ac:dyDescent="0.25">
      <c r="A23446"/>
      <c r="B23446"/>
      <c r="C23446"/>
      <c r="E23446"/>
      <c r="F23446"/>
    </row>
    <row r="23447" spans="1:6" x14ac:dyDescent="0.25">
      <c r="A23447"/>
      <c r="B23447"/>
      <c r="C23447"/>
      <c r="E23447"/>
      <c r="F23447"/>
    </row>
    <row r="23448" spans="1:6" x14ac:dyDescent="0.25">
      <c r="A23448"/>
      <c r="B23448"/>
      <c r="C23448"/>
      <c r="E23448"/>
      <c r="F23448"/>
    </row>
    <row r="23449" spans="1:6" x14ac:dyDescent="0.25">
      <c r="A23449"/>
      <c r="B23449"/>
      <c r="C23449"/>
      <c r="E23449"/>
      <c r="F23449"/>
    </row>
    <row r="23450" spans="1:6" x14ac:dyDescent="0.25">
      <c r="A23450"/>
      <c r="B23450"/>
      <c r="C23450"/>
      <c r="E23450"/>
      <c r="F23450"/>
    </row>
    <row r="23451" spans="1:6" x14ac:dyDescent="0.25">
      <c r="A23451"/>
      <c r="B23451"/>
      <c r="C23451"/>
      <c r="E23451"/>
      <c r="F23451"/>
    </row>
    <row r="23452" spans="1:6" x14ac:dyDescent="0.25">
      <c r="A23452"/>
      <c r="B23452"/>
      <c r="C23452"/>
      <c r="E23452"/>
      <c r="F23452"/>
    </row>
    <row r="23453" spans="1:6" x14ac:dyDescent="0.25">
      <c r="A23453"/>
      <c r="B23453"/>
      <c r="C23453"/>
      <c r="E23453"/>
      <c r="F23453"/>
    </row>
    <row r="23454" spans="1:6" x14ac:dyDescent="0.25">
      <c r="A23454"/>
      <c r="B23454"/>
      <c r="C23454"/>
      <c r="E23454"/>
      <c r="F23454"/>
    </row>
    <row r="23455" spans="1:6" x14ac:dyDescent="0.25">
      <c r="A23455"/>
      <c r="B23455"/>
      <c r="C23455"/>
      <c r="E23455"/>
      <c r="F23455"/>
    </row>
    <row r="23456" spans="1:6" x14ac:dyDescent="0.25">
      <c r="A23456"/>
      <c r="B23456"/>
      <c r="C23456"/>
      <c r="E23456"/>
      <c r="F23456"/>
    </row>
    <row r="23457" spans="1:6" x14ac:dyDescent="0.25">
      <c r="A23457"/>
      <c r="B23457"/>
      <c r="C23457"/>
      <c r="E23457"/>
      <c r="F23457"/>
    </row>
    <row r="23458" spans="1:6" x14ac:dyDescent="0.25">
      <c r="A23458"/>
      <c r="B23458"/>
      <c r="C23458"/>
      <c r="E23458"/>
      <c r="F23458"/>
    </row>
    <row r="23459" spans="1:6" x14ac:dyDescent="0.25">
      <c r="A23459"/>
      <c r="B23459"/>
      <c r="C23459"/>
      <c r="E23459"/>
      <c r="F23459"/>
    </row>
    <row r="23460" spans="1:6" x14ac:dyDescent="0.25">
      <c r="A23460"/>
      <c r="B23460"/>
      <c r="C23460"/>
      <c r="E23460"/>
      <c r="F23460"/>
    </row>
    <row r="23461" spans="1:6" x14ac:dyDescent="0.25">
      <c r="A23461"/>
      <c r="B23461"/>
      <c r="C23461"/>
      <c r="E23461"/>
      <c r="F23461"/>
    </row>
    <row r="23462" spans="1:6" x14ac:dyDescent="0.25">
      <c r="A23462"/>
      <c r="B23462"/>
      <c r="C23462"/>
      <c r="E23462"/>
      <c r="F23462"/>
    </row>
    <row r="23463" spans="1:6" x14ac:dyDescent="0.25">
      <c r="A23463"/>
      <c r="B23463"/>
      <c r="C23463"/>
      <c r="E23463"/>
      <c r="F23463"/>
    </row>
    <row r="23464" spans="1:6" x14ac:dyDescent="0.25">
      <c r="A23464"/>
      <c r="B23464"/>
      <c r="C23464"/>
      <c r="E23464"/>
      <c r="F23464"/>
    </row>
    <row r="23465" spans="1:6" x14ac:dyDescent="0.25">
      <c r="A23465"/>
      <c r="B23465"/>
      <c r="C23465"/>
      <c r="E23465"/>
      <c r="F23465"/>
    </row>
    <row r="23466" spans="1:6" x14ac:dyDescent="0.25">
      <c r="A23466"/>
      <c r="B23466"/>
      <c r="C23466"/>
      <c r="E23466"/>
      <c r="F23466"/>
    </row>
    <row r="23467" spans="1:6" x14ac:dyDescent="0.25">
      <c r="A23467"/>
      <c r="B23467"/>
      <c r="C23467"/>
      <c r="E23467"/>
      <c r="F23467"/>
    </row>
    <row r="23468" spans="1:6" x14ac:dyDescent="0.25">
      <c r="A23468"/>
      <c r="B23468"/>
      <c r="C23468"/>
      <c r="E23468"/>
      <c r="F23468"/>
    </row>
    <row r="23469" spans="1:6" x14ac:dyDescent="0.25">
      <c r="A23469"/>
      <c r="B23469"/>
      <c r="C23469"/>
      <c r="E23469"/>
      <c r="F23469"/>
    </row>
    <row r="23470" spans="1:6" x14ac:dyDescent="0.25">
      <c r="A23470"/>
      <c r="B23470"/>
      <c r="C23470"/>
      <c r="E23470"/>
      <c r="F23470"/>
    </row>
    <row r="23471" spans="1:6" x14ac:dyDescent="0.25">
      <c r="A23471"/>
      <c r="B23471"/>
      <c r="C23471"/>
      <c r="E23471"/>
      <c r="F23471"/>
    </row>
    <row r="23472" spans="1:6" x14ac:dyDescent="0.25">
      <c r="A23472"/>
      <c r="B23472"/>
      <c r="C23472"/>
      <c r="E23472"/>
      <c r="F23472"/>
    </row>
    <row r="23473" spans="1:6" x14ac:dyDescent="0.25">
      <c r="A23473"/>
      <c r="B23473"/>
      <c r="C23473"/>
      <c r="E23473"/>
      <c r="F23473"/>
    </row>
    <row r="23474" spans="1:6" x14ac:dyDescent="0.25">
      <c r="A23474"/>
      <c r="B23474"/>
      <c r="C23474"/>
      <c r="E23474"/>
      <c r="F23474"/>
    </row>
    <row r="23475" spans="1:6" x14ac:dyDescent="0.25">
      <c r="A23475"/>
      <c r="B23475"/>
      <c r="C23475"/>
      <c r="E23475"/>
      <c r="F23475"/>
    </row>
    <row r="23476" spans="1:6" x14ac:dyDescent="0.25">
      <c r="A23476"/>
      <c r="B23476"/>
      <c r="C23476"/>
      <c r="E23476"/>
      <c r="F23476"/>
    </row>
    <row r="23477" spans="1:6" x14ac:dyDescent="0.25">
      <c r="A23477"/>
      <c r="B23477"/>
      <c r="C23477"/>
      <c r="E23477"/>
      <c r="F23477"/>
    </row>
    <row r="23478" spans="1:6" x14ac:dyDescent="0.25">
      <c r="A23478"/>
      <c r="B23478"/>
      <c r="C23478"/>
      <c r="E23478"/>
      <c r="F23478"/>
    </row>
    <row r="23479" spans="1:6" x14ac:dyDescent="0.25">
      <c r="A23479"/>
      <c r="B23479"/>
      <c r="C23479"/>
      <c r="E23479"/>
      <c r="F23479"/>
    </row>
    <row r="23480" spans="1:6" x14ac:dyDescent="0.25">
      <c r="A23480"/>
      <c r="B23480"/>
      <c r="C23480"/>
      <c r="E23480"/>
      <c r="F23480"/>
    </row>
    <row r="23481" spans="1:6" x14ac:dyDescent="0.25">
      <c r="A23481"/>
      <c r="B23481"/>
      <c r="C23481"/>
      <c r="E23481"/>
      <c r="F23481"/>
    </row>
    <row r="23482" spans="1:6" x14ac:dyDescent="0.25">
      <c r="A23482"/>
      <c r="B23482"/>
      <c r="C23482"/>
      <c r="E23482"/>
      <c r="F23482"/>
    </row>
    <row r="23483" spans="1:6" x14ac:dyDescent="0.25">
      <c r="A23483"/>
      <c r="B23483"/>
      <c r="C23483"/>
      <c r="E23483"/>
      <c r="F23483"/>
    </row>
    <row r="23484" spans="1:6" x14ac:dyDescent="0.25">
      <c r="A23484"/>
      <c r="B23484"/>
      <c r="C23484"/>
      <c r="E23484"/>
      <c r="F23484"/>
    </row>
    <row r="23485" spans="1:6" x14ac:dyDescent="0.25">
      <c r="A23485"/>
      <c r="B23485"/>
      <c r="C23485"/>
      <c r="E23485"/>
      <c r="F23485"/>
    </row>
    <row r="23486" spans="1:6" x14ac:dyDescent="0.25">
      <c r="A23486"/>
      <c r="B23486"/>
      <c r="C23486"/>
      <c r="E23486"/>
      <c r="F23486"/>
    </row>
    <row r="23487" spans="1:6" x14ac:dyDescent="0.25">
      <c r="A23487"/>
      <c r="B23487"/>
      <c r="C23487"/>
      <c r="E23487"/>
      <c r="F23487"/>
    </row>
    <row r="23488" spans="1:6" x14ac:dyDescent="0.25">
      <c r="A23488"/>
      <c r="B23488"/>
      <c r="C23488"/>
      <c r="E23488"/>
      <c r="F23488"/>
    </row>
    <row r="23489" spans="1:6" x14ac:dyDescent="0.25">
      <c r="A23489"/>
      <c r="B23489"/>
      <c r="C23489"/>
      <c r="E23489"/>
      <c r="F23489"/>
    </row>
    <row r="23490" spans="1:6" x14ac:dyDescent="0.25">
      <c r="A23490"/>
      <c r="B23490"/>
      <c r="C23490"/>
      <c r="E23490"/>
      <c r="F23490"/>
    </row>
    <row r="23491" spans="1:6" x14ac:dyDescent="0.25">
      <c r="A23491"/>
      <c r="B23491"/>
      <c r="C23491"/>
      <c r="E23491"/>
      <c r="F23491"/>
    </row>
    <row r="23492" spans="1:6" x14ac:dyDescent="0.25">
      <c r="A23492"/>
      <c r="B23492"/>
      <c r="C23492"/>
      <c r="E23492"/>
      <c r="F23492"/>
    </row>
    <row r="23493" spans="1:6" x14ac:dyDescent="0.25">
      <c r="A23493"/>
      <c r="B23493"/>
      <c r="C23493"/>
      <c r="E23493"/>
      <c r="F23493"/>
    </row>
    <row r="23494" spans="1:6" x14ac:dyDescent="0.25">
      <c r="A23494"/>
      <c r="B23494"/>
      <c r="C23494"/>
      <c r="E23494"/>
      <c r="F23494"/>
    </row>
    <row r="23495" spans="1:6" x14ac:dyDescent="0.25">
      <c r="A23495"/>
      <c r="B23495"/>
      <c r="C23495"/>
      <c r="E23495"/>
      <c r="F23495"/>
    </row>
    <row r="23496" spans="1:6" x14ac:dyDescent="0.25">
      <c r="A23496"/>
      <c r="B23496"/>
      <c r="C23496"/>
      <c r="E23496"/>
      <c r="F23496"/>
    </row>
    <row r="23497" spans="1:6" x14ac:dyDescent="0.25">
      <c r="A23497"/>
      <c r="B23497"/>
      <c r="C23497"/>
      <c r="E23497"/>
      <c r="F23497"/>
    </row>
    <row r="23498" spans="1:6" x14ac:dyDescent="0.25">
      <c r="A23498"/>
      <c r="B23498"/>
      <c r="C23498"/>
      <c r="E23498"/>
      <c r="F23498"/>
    </row>
    <row r="23499" spans="1:6" x14ac:dyDescent="0.25">
      <c r="A23499"/>
      <c r="B23499"/>
      <c r="C23499"/>
      <c r="E23499"/>
      <c r="F23499"/>
    </row>
    <row r="23500" spans="1:6" x14ac:dyDescent="0.25">
      <c r="A23500"/>
      <c r="B23500"/>
      <c r="C23500"/>
      <c r="E23500"/>
      <c r="F23500"/>
    </row>
    <row r="23501" spans="1:6" x14ac:dyDescent="0.25">
      <c r="A23501"/>
      <c r="B23501"/>
      <c r="C23501"/>
      <c r="E23501"/>
      <c r="F23501"/>
    </row>
    <row r="23502" spans="1:6" x14ac:dyDescent="0.25">
      <c r="A23502"/>
      <c r="B23502"/>
      <c r="C23502"/>
      <c r="E23502"/>
      <c r="F23502"/>
    </row>
    <row r="23503" spans="1:6" x14ac:dyDescent="0.25">
      <c r="A23503"/>
      <c r="B23503"/>
      <c r="C23503"/>
      <c r="E23503"/>
      <c r="F23503"/>
    </row>
    <row r="23504" spans="1:6" x14ac:dyDescent="0.25">
      <c r="A23504"/>
      <c r="B23504"/>
      <c r="C23504"/>
      <c r="E23504"/>
      <c r="F23504"/>
    </row>
    <row r="23505" spans="1:6" x14ac:dyDescent="0.25">
      <c r="A23505"/>
      <c r="B23505"/>
      <c r="C23505"/>
      <c r="E23505"/>
      <c r="F23505"/>
    </row>
    <row r="23506" spans="1:6" x14ac:dyDescent="0.25">
      <c r="A23506"/>
      <c r="B23506"/>
      <c r="C23506"/>
      <c r="E23506"/>
      <c r="F23506"/>
    </row>
    <row r="23507" spans="1:6" x14ac:dyDescent="0.25">
      <c r="A23507"/>
      <c r="B23507"/>
      <c r="C23507"/>
      <c r="E23507"/>
      <c r="F23507"/>
    </row>
    <row r="23508" spans="1:6" x14ac:dyDescent="0.25">
      <c r="A23508"/>
      <c r="B23508"/>
      <c r="C23508"/>
      <c r="E23508"/>
      <c r="F23508"/>
    </row>
    <row r="23509" spans="1:6" x14ac:dyDescent="0.25">
      <c r="A23509"/>
      <c r="B23509"/>
      <c r="C23509"/>
      <c r="E23509"/>
      <c r="F23509"/>
    </row>
    <row r="23510" spans="1:6" x14ac:dyDescent="0.25">
      <c r="A23510"/>
      <c r="B23510"/>
      <c r="C23510"/>
      <c r="E23510"/>
      <c r="F23510"/>
    </row>
    <row r="23511" spans="1:6" x14ac:dyDescent="0.25">
      <c r="A23511"/>
      <c r="B23511"/>
      <c r="C23511"/>
      <c r="E23511"/>
      <c r="F23511"/>
    </row>
    <row r="23512" spans="1:6" x14ac:dyDescent="0.25">
      <c r="A23512"/>
      <c r="B23512"/>
      <c r="C23512"/>
      <c r="E23512"/>
      <c r="F23512"/>
    </row>
    <row r="23513" spans="1:6" x14ac:dyDescent="0.25">
      <c r="A23513"/>
      <c r="B23513"/>
      <c r="C23513"/>
      <c r="E23513"/>
      <c r="F23513"/>
    </row>
    <row r="23514" spans="1:6" x14ac:dyDescent="0.25">
      <c r="A23514"/>
      <c r="B23514"/>
      <c r="C23514"/>
      <c r="E23514"/>
      <c r="F23514"/>
    </row>
    <row r="23515" spans="1:6" x14ac:dyDescent="0.25">
      <c r="A23515"/>
      <c r="B23515"/>
      <c r="C23515"/>
      <c r="E23515"/>
      <c r="F23515"/>
    </row>
    <row r="23516" spans="1:6" x14ac:dyDescent="0.25">
      <c r="A23516"/>
      <c r="B23516"/>
      <c r="C23516"/>
      <c r="E23516"/>
      <c r="F23516"/>
    </row>
    <row r="23517" spans="1:6" x14ac:dyDescent="0.25">
      <c r="A23517"/>
      <c r="B23517"/>
      <c r="C23517"/>
      <c r="E23517"/>
      <c r="F23517"/>
    </row>
    <row r="23518" spans="1:6" x14ac:dyDescent="0.25">
      <c r="A23518"/>
      <c r="B23518"/>
      <c r="C23518"/>
      <c r="E23518"/>
      <c r="F23518"/>
    </row>
    <row r="23519" spans="1:6" x14ac:dyDescent="0.25">
      <c r="A23519"/>
      <c r="B23519"/>
      <c r="C23519"/>
      <c r="E23519"/>
      <c r="F23519"/>
    </row>
    <row r="23520" spans="1:6" x14ac:dyDescent="0.25">
      <c r="A23520"/>
      <c r="B23520"/>
      <c r="C23520"/>
      <c r="E23520"/>
      <c r="F23520"/>
    </row>
    <row r="23521" spans="1:6" x14ac:dyDescent="0.25">
      <c r="A23521"/>
      <c r="B23521"/>
      <c r="C23521"/>
      <c r="E23521"/>
      <c r="F23521"/>
    </row>
    <row r="23522" spans="1:6" x14ac:dyDescent="0.25">
      <c r="A23522"/>
      <c r="B23522"/>
      <c r="C23522"/>
      <c r="E23522"/>
      <c r="F23522"/>
    </row>
    <row r="23523" spans="1:6" x14ac:dyDescent="0.25">
      <c r="A23523"/>
      <c r="B23523"/>
      <c r="C23523"/>
      <c r="E23523"/>
      <c r="F23523"/>
    </row>
    <row r="23524" spans="1:6" x14ac:dyDescent="0.25">
      <c r="A23524"/>
      <c r="B23524"/>
      <c r="C23524"/>
      <c r="E23524"/>
      <c r="F23524"/>
    </row>
    <row r="23525" spans="1:6" x14ac:dyDescent="0.25">
      <c r="A23525"/>
      <c r="B23525"/>
      <c r="C23525"/>
      <c r="E23525"/>
      <c r="F23525"/>
    </row>
    <row r="23526" spans="1:6" x14ac:dyDescent="0.25">
      <c r="A23526"/>
      <c r="B23526"/>
      <c r="C23526"/>
      <c r="E23526"/>
      <c r="F23526"/>
    </row>
    <row r="23527" spans="1:6" x14ac:dyDescent="0.25">
      <c r="A23527"/>
      <c r="B23527"/>
      <c r="C23527"/>
      <c r="E23527"/>
      <c r="F23527"/>
    </row>
    <row r="23528" spans="1:6" x14ac:dyDescent="0.25">
      <c r="A23528"/>
      <c r="B23528"/>
      <c r="C23528"/>
      <c r="E23528"/>
      <c r="F23528"/>
    </row>
    <row r="23529" spans="1:6" x14ac:dyDescent="0.25">
      <c r="A23529"/>
      <c r="B23529"/>
      <c r="C23529"/>
      <c r="E23529"/>
      <c r="F23529"/>
    </row>
    <row r="23530" spans="1:6" x14ac:dyDescent="0.25">
      <c r="A23530"/>
      <c r="B23530"/>
      <c r="C23530"/>
      <c r="E23530"/>
      <c r="F23530"/>
    </row>
    <row r="23531" spans="1:6" x14ac:dyDescent="0.25">
      <c r="A23531"/>
      <c r="B23531"/>
      <c r="C23531"/>
      <c r="E23531"/>
      <c r="F23531"/>
    </row>
    <row r="23532" spans="1:6" x14ac:dyDescent="0.25">
      <c r="A23532"/>
      <c r="B23532"/>
      <c r="C23532"/>
      <c r="E23532"/>
      <c r="F23532"/>
    </row>
    <row r="23533" spans="1:6" x14ac:dyDescent="0.25">
      <c r="A23533"/>
      <c r="B23533"/>
      <c r="C23533"/>
      <c r="E23533"/>
      <c r="F23533"/>
    </row>
    <row r="23534" spans="1:6" x14ac:dyDescent="0.25">
      <c r="A23534"/>
      <c r="B23534"/>
      <c r="C23534"/>
      <c r="E23534"/>
      <c r="F23534"/>
    </row>
    <row r="23535" spans="1:6" x14ac:dyDescent="0.25">
      <c r="A23535"/>
      <c r="B23535"/>
      <c r="C23535"/>
      <c r="E23535"/>
      <c r="F23535"/>
    </row>
    <row r="23536" spans="1:6" x14ac:dyDescent="0.25">
      <c r="A23536"/>
      <c r="B23536"/>
      <c r="C23536"/>
      <c r="E23536"/>
      <c r="F23536"/>
    </row>
    <row r="23537" spans="1:6" x14ac:dyDescent="0.25">
      <c r="A23537"/>
      <c r="B23537"/>
      <c r="C23537"/>
      <c r="E23537"/>
      <c r="F23537"/>
    </row>
    <row r="23538" spans="1:6" x14ac:dyDescent="0.25">
      <c r="A23538"/>
      <c r="B23538"/>
      <c r="C23538"/>
      <c r="E23538"/>
      <c r="F23538"/>
    </row>
    <row r="23539" spans="1:6" x14ac:dyDescent="0.25">
      <c r="A23539"/>
      <c r="B23539"/>
      <c r="C23539"/>
      <c r="E23539"/>
      <c r="F23539"/>
    </row>
    <row r="23540" spans="1:6" x14ac:dyDescent="0.25">
      <c r="A23540"/>
      <c r="B23540"/>
      <c r="C23540"/>
      <c r="E23540"/>
      <c r="F23540"/>
    </row>
    <row r="23541" spans="1:6" x14ac:dyDescent="0.25">
      <c r="A23541"/>
      <c r="B23541"/>
      <c r="C23541"/>
      <c r="E23541"/>
      <c r="F23541"/>
    </row>
    <row r="23542" spans="1:6" x14ac:dyDescent="0.25">
      <c r="A23542"/>
      <c r="B23542"/>
      <c r="C23542"/>
      <c r="E23542"/>
      <c r="F23542"/>
    </row>
    <row r="23543" spans="1:6" x14ac:dyDescent="0.25">
      <c r="A23543"/>
      <c r="B23543"/>
      <c r="C23543"/>
      <c r="E23543"/>
      <c r="F23543"/>
    </row>
    <row r="23544" spans="1:6" x14ac:dyDescent="0.25">
      <c r="A23544"/>
      <c r="B23544"/>
      <c r="C23544"/>
      <c r="E23544"/>
      <c r="F23544"/>
    </row>
    <row r="23545" spans="1:6" x14ac:dyDescent="0.25">
      <c r="A23545"/>
      <c r="B23545"/>
      <c r="C23545"/>
      <c r="E23545"/>
      <c r="F23545"/>
    </row>
    <row r="23546" spans="1:6" x14ac:dyDescent="0.25">
      <c r="A23546"/>
      <c r="B23546"/>
      <c r="C23546"/>
      <c r="E23546"/>
      <c r="F23546"/>
    </row>
    <row r="23547" spans="1:6" x14ac:dyDescent="0.25">
      <c r="A23547"/>
      <c r="B23547"/>
      <c r="C23547"/>
      <c r="E23547"/>
      <c r="F23547"/>
    </row>
    <row r="23548" spans="1:6" x14ac:dyDescent="0.25">
      <c r="A23548"/>
      <c r="B23548"/>
      <c r="C23548"/>
      <c r="E23548"/>
      <c r="F23548"/>
    </row>
    <row r="23549" spans="1:6" x14ac:dyDescent="0.25">
      <c r="A23549"/>
      <c r="B23549"/>
      <c r="C23549"/>
      <c r="E23549"/>
      <c r="F23549"/>
    </row>
    <row r="23550" spans="1:6" x14ac:dyDescent="0.25">
      <c r="A23550"/>
      <c r="B23550"/>
      <c r="C23550"/>
      <c r="E23550"/>
      <c r="F23550"/>
    </row>
    <row r="23551" spans="1:6" x14ac:dyDescent="0.25">
      <c r="A23551"/>
      <c r="B23551"/>
      <c r="C23551"/>
      <c r="E23551"/>
      <c r="F23551"/>
    </row>
    <row r="23552" spans="1:6" x14ac:dyDescent="0.25">
      <c r="A23552"/>
      <c r="B23552"/>
      <c r="C23552"/>
      <c r="E23552"/>
      <c r="F23552"/>
    </row>
    <row r="23553" spans="1:6" x14ac:dyDescent="0.25">
      <c r="A23553"/>
      <c r="B23553"/>
      <c r="C23553"/>
      <c r="E23553"/>
      <c r="F23553"/>
    </row>
    <row r="23554" spans="1:6" x14ac:dyDescent="0.25">
      <c r="A23554"/>
      <c r="B23554"/>
      <c r="C23554"/>
      <c r="E23554"/>
      <c r="F23554"/>
    </row>
    <row r="23555" spans="1:6" x14ac:dyDescent="0.25">
      <c r="A23555"/>
      <c r="B23555"/>
      <c r="C23555"/>
      <c r="E23555"/>
      <c r="F23555"/>
    </row>
    <row r="23556" spans="1:6" x14ac:dyDescent="0.25">
      <c r="A23556"/>
      <c r="B23556"/>
      <c r="C23556"/>
      <c r="E23556"/>
      <c r="F23556"/>
    </row>
    <row r="23557" spans="1:6" x14ac:dyDescent="0.25">
      <c r="A23557"/>
      <c r="B23557"/>
      <c r="C23557"/>
      <c r="E23557"/>
      <c r="F23557"/>
    </row>
    <row r="23558" spans="1:6" x14ac:dyDescent="0.25">
      <c r="A23558"/>
      <c r="B23558"/>
      <c r="C23558"/>
      <c r="E23558"/>
      <c r="F23558"/>
    </row>
    <row r="23559" spans="1:6" x14ac:dyDescent="0.25">
      <c r="A23559"/>
      <c r="B23559"/>
      <c r="C23559"/>
      <c r="E23559"/>
      <c r="F23559"/>
    </row>
    <row r="23560" spans="1:6" x14ac:dyDescent="0.25">
      <c r="A23560"/>
      <c r="B23560"/>
      <c r="C23560"/>
      <c r="E23560"/>
      <c r="F23560"/>
    </row>
    <row r="23561" spans="1:6" x14ac:dyDescent="0.25">
      <c r="A23561"/>
      <c r="B23561"/>
      <c r="C23561"/>
      <c r="E23561"/>
      <c r="F23561"/>
    </row>
    <row r="23562" spans="1:6" x14ac:dyDescent="0.25">
      <c r="A23562"/>
      <c r="B23562"/>
      <c r="C23562"/>
      <c r="E23562"/>
      <c r="F23562"/>
    </row>
    <row r="23563" spans="1:6" x14ac:dyDescent="0.25">
      <c r="A23563"/>
      <c r="B23563"/>
      <c r="C23563"/>
      <c r="E23563"/>
      <c r="F23563"/>
    </row>
    <row r="23564" spans="1:6" x14ac:dyDescent="0.25">
      <c r="A23564"/>
      <c r="B23564"/>
      <c r="C23564"/>
      <c r="E23564"/>
      <c r="F23564"/>
    </row>
    <row r="23565" spans="1:6" x14ac:dyDescent="0.25">
      <c r="A23565"/>
      <c r="B23565"/>
      <c r="C23565"/>
      <c r="E23565"/>
      <c r="F23565"/>
    </row>
    <row r="23566" spans="1:6" x14ac:dyDescent="0.25">
      <c r="A23566"/>
      <c r="B23566"/>
      <c r="C23566"/>
      <c r="E23566"/>
      <c r="F23566"/>
    </row>
    <row r="23567" spans="1:6" x14ac:dyDescent="0.25">
      <c r="A23567"/>
      <c r="B23567"/>
      <c r="C23567"/>
      <c r="E23567"/>
      <c r="F23567"/>
    </row>
    <row r="23568" spans="1:6" x14ac:dyDescent="0.25">
      <c r="A23568"/>
      <c r="B23568"/>
      <c r="C23568"/>
      <c r="E23568"/>
      <c r="F23568"/>
    </row>
    <row r="23569" spans="1:6" x14ac:dyDescent="0.25">
      <c r="A23569"/>
      <c r="B23569"/>
      <c r="C23569"/>
      <c r="E23569"/>
      <c r="F23569"/>
    </row>
    <row r="23570" spans="1:6" x14ac:dyDescent="0.25">
      <c r="A23570"/>
      <c r="B23570"/>
      <c r="C23570"/>
      <c r="E23570"/>
      <c r="F23570"/>
    </row>
    <row r="23571" spans="1:6" x14ac:dyDescent="0.25">
      <c r="A23571"/>
      <c r="B23571"/>
      <c r="C23571"/>
      <c r="E23571"/>
      <c r="F23571"/>
    </row>
    <row r="23572" spans="1:6" x14ac:dyDescent="0.25">
      <c r="A23572"/>
      <c r="B23572"/>
      <c r="C23572"/>
      <c r="E23572"/>
      <c r="F23572"/>
    </row>
    <row r="23573" spans="1:6" x14ac:dyDescent="0.25">
      <c r="A23573"/>
      <c r="B23573"/>
      <c r="C23573"/>
      <c r="E23573"/>
      <c r="F23573"/>
    </row>
    <row r="23574" spans="1:6" x14ac:dyDescent="0.25">
      <c r="A23574"/>
      <c r="B23574"/>
      <c r="C23574"/>
      <c r="E23574"/>
      <c r="F23574"/>
    </row>
    <row r="23575" spans="1:6" x14ac:dyDescent="0.25">
      <c r="A23575"/>
      <c r="B23575"/>
      <c r="C23575"/>
      <c r="E23575"/>
      <c r="F23575"/>
    </row>
    <row r="23576" spans="1:6" x14ac:dyDescent="0.25">
      <c r="A23576"/>
      <c r="B23576"/>
      <c r="C23576"/>
      <c r="E23576"/>
      <c r="F23576"/>
    </row>
    <row r="23577" spans="1:6" x14ac:dyDescent="0.25">
      <c r="A23577"/>
      <c r="B23577"/>
      <c r="C23577"/>
      <c r="E23577"/>
      <c r="F23577"/>
    </row>
    <row r="23578" spans="1:6" x14ac:dyDescent="0.25">
      <c r="A23578"/>
      <c r="B23578"/>
      <c r="C23578"/>
      <c r="E23578"/>
      <c r="F23578"/>
    </row>
    <row r="23579" spans="1:6" x14ac:dyDescent="0.25">
      <c r="A23579"/>
      <c r="B23579"/>
      <c r="C23579"/>
      <c r="E23579"/>
      <c r="F23579"/>
    </row>
    <row r="23580" spans="1:6" x14ac:dyDescent="0.25">
      <c r="A23580"/>
      <c r="B23580"/>
      <c r="C23580"/>
      <c r="E23580"/>
      <c r="F23580"/>
    </row>
    <row r="23581" spans="1:6" x14ac:dyDescent="0.25">
      <c r="A23581"/>
      <c r="B23581"/>
      <c r="C23581"/>
      <c r="E23581"/>
      <c r="F23581"/>
    </row>
    <row r="23582" spans="1:6" x14ac:dyDescent="0.25">
      <c r="A23582"/>
      <c r="B23582"/>
      <c r="C23582"/>
      <c r="E23582"/>
      <c r="F23582"/>
    </row>
    <row r="23583" spans="1:6" x14ac:dyDescent="0.25">
      <c r="A23583"/>
      <c r="B23583"/>
      <c r="C23583"/>
      <c r="E23583"/>
      <c r="F23583"/>
    </row>
    <row r="23584" spans="1:6" x14ac:dyDescent="0.25">
      <c r="A23584"/>
      <c r="B23584"/>
      <c r="C23584"/>
      <c r="E23584"/>
      <c r="F23584"/>
    </row>
    <row r="23585" spans="1:6" x14ac:dyDescent="0.25">
      <c r="A23585"/>
      <c r="B23585"/>
      <c r="C23585"/>
      <c r="E23585"/>
      <c r="F23585"/>
    </row>
    <row r="23586" spans="1:6" x14ac:dyDescent="0.25">
      <c r="A23586"/>
      <c r="B23586"/>
      <c r="C23586"/>
      <c r="E23586"/>
      <c r="F23586"/>
    </row>
    <row r="23587" spans="1:6" x14ac:dyDescent="0.25">
      <c r="A23587"/>
      <c r="B23587"/>
      <c r="C23587"/>
      <c r="E23587"/>
      <c r="F23587"/>
    </row>
    <row r="23588" spans="1:6" x14ac:dyDescent="0.25">
      <c r="A23588"/>
      <c r="B23588"/>
      <c r="C23588"/>
      <c r="E23588"/>
      <c r="F23588"/>
    </row>
    <row r="23589" spans="1:6" x14ac:dyDescent="0.25">
      <c r="A23589"/>
      <c r="B23589"/>
      <c r="C23589"/>
      <c r="E23589"/>
      <c r="F23589"/>
    </row>
    <row r="23590" spans="1:6" x14ac:dyDescent="0.25">
      <c r="A23590"/>
      <c r="B23590"/>
      <c r="C23590"/>
      <c r="E23590"/>
      <c r="F23590"/>
    </row>
    <row r="23591" spans="1:6" x14ac:dyDescent="0.25">
      <c r="A23591"/>
      <c r="B23591"/>
      <c r="C23591"/>
      <c r="E23591"/>
      <c r="F23591"/>
    </row>
    <row r="23592" spans="1:6" x14ac:dyDescent="0.25">
      <c r="A23592"/>
      <c r="B23592"/>
      <c r="C23592"/>
      <c r="E23592"/>
      <c r="F23592"/>
    </row>
    <row r="23593" spans="1:6" x14ac:dyDescent="0.25">
      <c r="A23593"/>
      <c r="B23593"/>
      <c r="C23593"/>
      <c r="E23593"/>
      <c r="F23593"/>
    </row>
    <row r="23594" spans="1:6" x14ac:dyDescent="0.25">
      <c r="A23594"/>
      <c r="B23594"/>
      <c r="C23594"/>
      <c r="E23594"/>
      <c r="F23594"/>
    </row>
    <row r="23595" spans="1:6" x14ac:dyDescent="0.25">
      <c r="A23595"/>
      <c r="B23595"/>
      <c r="C23595"/>
      <c r="E23595"/>
      <c r="F23595"/>
    </row>
    <row r="23596" spans="1:6" x14ac:dyDescent="0.25">
      <c r="A23596"/>
      <c r="B23596"/>
      <c r="C23596"/>
      <c r="E23596"/>
      <c r="F23596"/>
    </row>
    <row r="23597" spans="1:6" x14ac:dyDescent="0.25">
      <c r="A23597"/>
      <c r="B23597"/>
      <c r="C23597"/>
      <c r="E23597"/>
      <c r="F23597"/>
    </row>
    <row r="23598" spans="1:6" x14ac:dyDescent="0.25">
      <c r="A23598"/>
      <c r="B23598"/>
      <c r="C23598"/>
      <c r="E23598"/>
      <c r="F23598"/>
    </row>
    <row r="23599" spans="1:6" x14ac:dyDescent="0.25">
      <c r="A23599"/>
      <c r="B23599"/>
      <c r="C23599"/>
      <c r="E23599"/>
      <c r="F23599"/>
    </row>
    <row r="23600" spans="1:6" x14ac:dyDescent="0.25">
      <c r="A23600"/>
      <c r="B23600"/>
      <c r="C23600"/>
      <c r="E23600"/>
      <c r="F23600"/>
    </row>
    <row r="23601" spans="1:6" x14ac:dyDescent="0.25">
      <c r="A23601"/>
      <c r="B23601"/>
      <c r="C23601"/>
      <c r="E23601"/>
      <c r="F23601"/>
    </row>
    <row r="23602" spans="1:6" x14ac:dyDescent="0.25">
      <c r="A23602"/>
      <c r="B23602"/>
      <c r="C23602"/>
      <c r="E23602"/>
      <c r="F23602"/>
    </row>
    <row r="23603" spans="1:6" x14ac:dyDescent="0.25">
      <c r="A23603"/>
      <c r="B23603"/>
      <c r="C23603"/>
      <c r="E23603"/>
      <c r="F23603"/>
    </row>
    <row r="23604" spans="1:6" x14ac:dyDescent="0.25">
      <c r="A23604"/>
      <c r="B23604"/>
      <c r="C23604"/>
      <c r="E23604"/>
      <c r="F23604"/>
    </row>
    <row r="23605" spans="1:6" x14ac:dyDescent="0.25">
      <c r="A23605"/>
      <c r="B23605"/>
      <c r="C23605"/>
      <c r="E23605"/>
      <c r="F23605"/>
    </row>
    <row r="23606" spans="1:6" x14ac:dyDescent="0.25">
      <c r="A23606"/>
      <c r="B23606"/>
      <c r="C23606"/>
      <c r="E23606"/>
      <c r="F23606"/>
    </row>
    <row r="23607" spans="1:6" x14ac:dyDescent="0.25">
      <c r="A23607"/>
      <c r="B23607"/>
      <c r="C23607"/>
      <c r="E23607"/>
      <c r="F23607"/>
    </row>
    <row r="23608" spans="1:6" x14ac:dyDescent="0.25">
      <c r="A23608"/>
      <c r="B23608"/>
      <c r="C23608"/>
      <c r="E23608"/>
      <c r="F23608"/>
    </row>
    <row r="23609" spans="1:6" x14ac:dyDescent="0.25">
      <c r="A23609"/>
      <c r="B23609"/>
      <c r="C23609"/>
      <c r="E23609"/>
      <c r="F23609"/>
    </row>
    <row r="23610" spans="1:6" x14ac:dyDescent="0.25">
      <c r="A23610"/>
      <c r="B23610"/>
      <c r="C23610"/>
      <c r="E23610"/>
      <c r="F23610"/>
    </row>
    <row r="23611" spans="1:6" x14ac:dyDescent="0.25">
      <c r="A23611"/>
      <c r="B23611"/>
      <c r="C23611"/>
      <c r="E23611"/>
      <c r="F23611"/>
    </row>
    <row r="23612" spans="1:6" x14ac:dyDescent="0.25">
      <c r="A23612"/>
      <c r="B23612"/>
      <c r="C23612"/>
      <c r="E23612"/>
      <c r="F23612"/>
    </row>
    <row r="23613" spans="1:6" x14ac:dyDescent="0.25">
      <c r="A23613"/>
      <c r="B23613"/>
      <c r="C23613"/>
      <c r="E23613"/>
      <c r="F23613"/>
    </row>
    <row r="23614" spans="1:6" x14ac:dyDescent="0.25">
      <c r="A23614"/>
      <c r="B23614"/>
      <c r="C23614"/>
      <c r="E23614"/>
      <c r="F23614"/>
    </row>
    <row r="23615" spans="1:6" x14ac:dyDescent="0.25">
      <c r="A23615"/>
      <c r="B23615"/>
      <c r="C23615"/>
      <c r="E23615"/>
      <c r="F23615"/>
    </row>
    <row r="23616" spans="1:6" x14ac:dyDescent="0.25">
      <c r="A23616"/>
      <c r="B23616"/>
      <c r="C23616"/>
      <c r="E23616"/>
      <c r="F23616"/>
    </row>
    <row r="23617" spans="1:6" x14ac:dyDescent="0.25">
      <c r="A23617"/>
      <c r="B23617"/>
      <c r="C23617"/>
      <c r="E23617"/>
      <c r="F23617"/>
    </row>
    <row r="23618" spans="1:6" x14ac:dyDescent="0.25">
      <c r="A23618"/>
      <c r="B23618"/>
      <c r="C23618"/>
      <c r="E23618"/>
      <c r="F23618"/>
    </row>
    <row r="23619" spans="1:6" x14ac:dyDescent="0.25">
      <c r="A23619"/>
      <c r="B23619"/>
      <c r="C23619"/>
      <c r="E23619"/>
      <c r="F23619"/>
    </row>
    <row r="23620" spans="1:6" x14ac:dyDescent="0.25">
      <c r="A23620"/>
      <c r="B23620"/>
      <c r="C23620"/>
      <c r="E23620"/>
      <c r="F23620"/>
    </row>
    <row r="23621" spans="1:6" x14ac:dyDescent="0.25">
      <c r="A23621"/>
      <c r="B23621"/>
      <c r="C23621"/>
      <c r="E23621"/>
      <c r="F23621"/>
    </row>
    <row r="23622" spans="1:6" x14ac:dyDescent="0.25">
      <c r="A23622"/>
      <c r="B23622"/>
      <c r="C23622"/>
      <c r="E23622"/>
      <c r="F23622"/>
    </row>
    <row r="23623" spans="1:6" x14ac:dyDescent="0.25">
      <c r="A23623"/>
      <c r="B23623"/>
      <c r="C23623"/>
      <c r="E23623"/>
      <c r="F23623"/>
    </row>
    <row r="23624" spans="1:6" x14ac:dyDescent="0.25">
      <c r="A23624"/>
      <c r="B23624"/>
      <c r="C23624"/>
      <c r="E23624"/>
      <c r="F23624"/>
    </row>
    <row r="23625" spans="1:6" x14ac:dyDescent="0.25">
      <c r="A23625"/>
      <c r="B23625"/>
      <c r="C23625"/>
      <c r="E23625"/>
      <c r="F23625"/>
    </row>
    <row r="23626" spans="1:6" x14ac:dyDescent="0.25">
      <c r="A23626"/>
      <c r="B23626"/>
      <c r="C23626"/>
      <c r="E23626"/>
      <c r="F23626"/>
    </row>
    <row r="23627" spans="1:6" x14ac:dyDescent="0.25">
      <c r="A23627"/>
      <c r="B23627"/>
      <c r="C23627"/>
      <c r="E23627"/>
      <c r="F23627"/>
    </row>
    <row r="23628" spans="1:6" x14ac:dyDescent="0.25">
      <c r="A23628"/>
      <c r="B23628"/>
      <c r="C23628"/>
      <c r="E23628"/>
      <c r="F23628"/>
    </row>
    <row r="23629" spans="1:6" x14ac:dyDescent="0.25">
      <c r="A23629"/>
      <c r="B23629"/>
      <c r="C23629"/>
      <c r="E23629"/>
      <c r="F23629"/>
    </row>
    <row r="23630" spans="1:6" x14ac:dyDescent="0.25">
      <c r="A23630"/>
      <c r="B23630"/>
      <c r="C23630"/>
      <c r="E23630"/>
      <c r="F23630"/>
    </row>
    <row r="23631" spans="1:6" x14ac:dyDescent="0.25">
      <c r="A23631"/>
      <c r="B23631"/>
      <c r="C23631"/>
      <c r="E23631"/>
      <c r="F23631"/>
    </row>
    <row r="23632" spans="1:6" x14ac:dyDescent="0.25">
      <c r="A23632"/>
      <c r="B23632"/>
      <c r="C23632"/>
      <c r="E23632"/>
      <c r="F23632"/>
    </row>
    <row r="23633" spans="1:6" x14ac:dyDescent="0.25">
      <c r="A23633"/>
      <c r="B23633"/>
      <c r="C23633"/>
      <c r="E23633"/>
      <c r="F23633"/>
    </row>
    <row r="23634" spans="1:6" x14ac:dyDescent="0.25">
      <c r="A23634"/>
      <c r="B23634"/>
      <c r="C23634"/>
      <c r="E23634"/>
      <c r="F23634"/>
    </row>
    <row r="23635" spans="1:6" x14ac:dyDescent="0.25">
      <c r="A23635"/>
      <c r="B23635"/>
      <c r="C23635"/>
      <c r="E23635"/>
      <c r="F23635"/>
    </row>
    <row r="23636" spans="1:6" x14ac:dyDescent="0.25">
      <c r="A23636"/>
      <c r="B23636"/>
      <c r="C23636"/>
      <c r="E23636"/>
      <c r="F23636"/>
    </row>
    <row r="23637" spans="1:6" x14ac:dyDescent="0.25">
      <c r="A23637"/>
      <c r="B23637"/>
      <c r="C23637"/>
      <c r="E23637"/>
      <c r="F23637"/>
    </row>
    <row r="23638" spans="1:6" x14ac:dyDescent="0.25">
      <c r="A23638"/>
      <c r="B23638"/>
      <c r="C23638"/>
      <c r="E23638"/>
      <c r="F23638"/>
    </row>
    <row r="23639" spans="1:6" x14ac:dyDescent="0.25">
      <c r="A23639"/>
      <c r="B23639"/>
      <c r="C23639"/>
      <c r="E23639"/>
      <c r="F23639"/>
    </row>
    <row r="23640" spans="1:6" x14ac:dyDescent="0.25">
      <c r="A23640"/>
      <c r="B23640"/>
      <c r="C23640"/>
      <c r="E23640"/>
      <c r="F23640"/>
    </row>
    <row r="23641" spans="1:6" x14ac:dyDescent="0.25">
      <c r="A23641"/>
      <c r="B23641"/>
      <c r="C23641"/>
      <c r="E23641"/>
      <c r="F23641"/>
    </row>
    <row r="23642" spans="1:6" x14ac:dyDescent="0.25">
      <c r="A23642"/>
      <c r="B23642"/>
      <c r="C23642"/>
      <c r="E23642"/>
      <c r="F23642"/>
    </row>
    <row r="23643" spans="1:6" x14ac:dyDescent="0.25">
      <c r="A23643"/>
      <c r="B23643"/>
      <c r="C23643"/>
      <c r="E23643"/>
      <c r="F23643"/>
    </row>
    <row r="23644" spans="1:6" x14ac:dyDescent="0.25">
      <c r="A23644"/>
      <c r="B23644"/>
      <c r="C23644"/>
      <c r="E23644"/>
      <c r="F23644"/>
    </row>
    <row r="23645" spans="1:6" x14ac:dyDescent="0.25">
      <c r="A23645"/>
      <c r="B23645"/>
      <c r="C23645"/>
      <c r="E23645"/>
      <c r="F23645"/>
    </row>
    <row r="23646" spans="1:6" x14ac:dyDescent="0.25">
      <c r="A23646"/>
      <c r="B23646"/>
      <c r="C23646"/>
      <c r="E23646"/>
      <c r="F23646"/>
    </row>
    <row r="23647" spans="1:6" x14ac:dyDescent="0.25">
      <c r="A23647"/>
      <c r="B23647"/>
      <c r="C23647"/>
      <c r="E23647"/>
      <c r="F23647"/>
    </row>
    <row r="23648" spans="1:6" x14ac:dyDescent="0.25">
      <c r="A23648"/>
      <c r="B23648"/>
      <c r="C23648"/>
      <c r="E23648"/>
      <c r="F23648"/>
    </row>
    <row r="23649" spans="1:6" x14ac:dyDescent="0.25">
      <c r="A23649"/>
      <c r="B23649"/>
      <c r="C23649"/>
      <c r="E23649"/>
      <c r="F23649"/>
    </row>
    <row r="23650" spans="1:6" x14ac:dyDescent="0.25">
      <c r="A23650"/>
      <c r="B23650"/>
      <c r="C23650"/>
      <c r="E23650"/>
      <c r="F23650"/>
    </row>
    <row r="23651" spans="1:6" x14ac:dyDescent="0.25">
      <c r="A23651"/>
      <c r="B23651"/>
      <c r="C23651"/>
      <c r="E23651"/>
      <c r="F23651"/>
    </row>
    <row r="23652" spans="1:6" x14ac:dyDescent="0.25">
      <c r="A23652"/>
      <c r="B23652"/>
      <c r="C23652"/>
      <c r="E23652"/>
      <c r="F23652"/>
    </row>
    <row r="23653" spans="1:6" x14ac:dyDescent="0.25">
      <c r="A23653"/>
      <c r="B23653"/>
      <c r="C23653"/>
      <c r="E23653"/>
      <c r="F23653"/>
    </row>
    <row r="23654" spans="1:6" x14ac:dyDescent="0.25">
      <c r="A23654"/>
      <c r="B23654"/>
      <c r="C23654"/>
      <c r="E23654"/>
      <c r="F23654"/>
    </row>
    <row r="23655" spans="1:6" x14ac:dyDescent="0.25">
      <c r="A23655"/>
      <c r="B23655"/>
      <c r="C23655"/>
      <c r="E23655"/>
      <c r="F23655"/>
    </row>
    <row r="23656" spans="1:6" x14ac:dyDescent="0.25">
      <c r="A23656"/>
      <c r="B23656"/>
      <c r="C23656"/>
      <c r="E23656"/>
      <c r="F23656"/>
    </row>
    <row r="23657" spans="1:6" x14ac:dyDescent="0.25">
      <c r="A23657"/>
      <c r="B23657"/>
      <c r="C23657"/>
      <c r="E23657"/>
      <c r="F23657"/>
    </row>
    <row r="23658" spans="1:6" x14ac:dyDescent="0.25">
      <c r="A23658"/>
      <c r="B23658"/>
      <c r="C23658"/>
      <c r="E23658"/>
      <c r="F23658"/>
    </row>
    <row r="23659" spans="1:6" x14ac:dyDescent="0.25">
      <c r="A23659"/>
      <c r="B23659"/>
      <c r="C23659"/>
      <c r="E23659"/>
      <c r="F23659"/>
    </row>
    <row r="23660" spans="1:6" x14ac:dyDescent="0.25">
      <c r="A23660"/>
      <c r="B23660"/>
      <c r="C23660"/>
      <c r="E23660"/>
      <c r="F23660"/>
    </row>
    <row r="23661" spans="1:6" x14ac:dyDescent="0.25">
      <c r="A23661"/>
      <c r="B23661"/>
      <c r="C23661"/>
      <c r="E23661"/>
      <c r="F23661"/>
    </row>
    <row r="23662" spans="1:6" x14ac:dyDescent="0.25">
      <c r="A23662"/>
      <c r="B23662"/>
      <c r="C23662"/>
      <c r="E23662"/>
      <c r="F23662"/>
    </row>
    <row r="23663" spans="1:6" x14ac:dyDescent="0.25">
      <c r="A23663"/>
      <c r="B23663"/>
      <c r="C23663"/>
      <c r="E23663"/>
      <c r="F23663"/>
    </row>
    <row r="23664" spans="1:6" x14ac:dyDescent="0.25">
      <c r="A23664"/>
      <c r="B23664"/>
      <c r="C23664"/>
      <c r="E23664"/>
      <c r="F23664"/>
    </row>
    <row r="23665" spans="1:6" x14ac:dyDescent="0.25">
      <c r="A23665"/>
      <c r="B23665"/>
      <c r="C23665"/>
      <c r="E23665"/>
      <c r="F23665"/>
    </row>
    <row r="23666" spans="1:6" x14ac:dyDescent="0.25">
      <c r="A23666"/>
      <c r="B23666"/>
      <c r="C23666"/>
      <c r="E23666"/>
      <c r="F23666"/>
    </row>
    <row r="23667" spans="1:6" x14ac:dyDescent="0.25">
      <c r="A23667"/>
      <c r="B23667"/>
      <c r="C23667"/>
      <c r="E23667"/>
      <c r="F23667"/>
    </row>
    <row r="23668" spans="1:6" x14ac:dyDescent="0.25">
      <c r="A23668"/>
      <c r="B23668"/>
      <c r="C23668"/>
      <c r="E23668"/>
      <c r="F23668"/>
    </row>
    <row r="23669" spans="1:6" x14ac:dyDescent="0.25">
      <c r="A23669"/>
      <c r="B23669"/>
      <c r="C23669"/>
      <c r="E23669"/>
      <c r="F23669"/>
    </row>
    <row r="23670" spans="1:6" x14ac:dyDescent="0.25">
      <c r="A23670"/>
      <c r="B23670"/>
      <c r="C23670"/>
      <c r="E23670"/>
      <c r="F23670"/>
    </row>
    <row r="23671" spans="1:6" x14ac:dyDescent="0.25">
      <c r="A23671"/>
      <c r="B23671"/>
      <c r="C23671"/>
      <c r="E23671"/>
      <c r="F23671"/>
    </row>
    <row r="23672" spans="1:6" x14ac:dyDescent="0.25">
      <c r="A23672"/>
      <c r="B23672"/>
      <c r="C23672"/>
      <c r="E23672"/>
      <c r="F23672"/>
    </row>
    <row r="23673" spans="1:6" x14ac:dyDescent="0.25">
      <c r="A23673"/>
      <c r="B23673"/>
      <c r="C23673"/>
      <c r="E23673"/>
      <c r="F23673"/>
    </row>
    <row r="23674" spans="1:6" x14ac:dyDescent="0.25">
      <c r="A23674"/>
      <c r="B23674"/>
      <c r="C23674"/>
      <c r="E23674"/>
      <c r="F23674"/>
    </row>
    <row r="23675" spans="1:6" x14ac:dyDescent="0.25">
      <c r="A23675"/>
      <c r="B23675"/>
      <c r="C23675"/>
      <c r="E23675"/>
      <c r="F23675"/>
    </row>
    <row r="23676" spans="1:6" x14ac:dyDescent="0.25">
      <c r="A23676"/>
      <c r="B23676"/>
      <c r="C23676"/>
      <c r="E23676"/>
      <c r="F23676"/>
    </row>
    <row r="23677" spans="1:6" x14ac:dyDescent="0.25">
      <c r="A23677"/>
      <c r="B23677"/>
      <c r="C23677"/>
      <c r="E23677"/>
      <c r="F23677"/>
    </row>
    <row r="23678" spans="1:6" x14ac:dyDescent="0.25">
      <c r="A23678"/>
      <c r="B23678"/>
      <c r="C23678"/>
      <c r="E23678"/>
      <c r="F23678"/>
    </row>
    <row r="23679" spans="1:6" x14ac:dyDescent="0.25">
      <c r="A23679"/>
      <c r="B23679"/>
      <c r="C23679"/>
      <c r="E23679"/>
      <c r="F23679"/>
    </row>
    <row r="23680" spans="1:6" x14ac:dyDescent="0.25">
      <c r="A23680"/>
      <c r="B23680"/>
      <c r="C23680"/>
      <c r="E23680"/>
      <c r="F23680"/>
    </row>
    <row r="23681" spans="1:6" x14ac:dyDescent="0.25">
      <c r="A23681"/>
      <c r="B23681"/>
      <c r="C23681"/>
      <c r="E23681"/>
      <c r="F23681"/>
    </row>
    <row r="23682" spans="1:6" x14ac:dyDescent="0.25">
      <c r="A23682"/>
      <c r="B23682"/>
      <c r="C23682"/>
      <c r="E23682"/>
      <c r="F23682"/>
    </row>
    <row r="23683" spans="1:6" x14ac:dyDescent="0.25">
      <c r="A23683"/>
      <c r="B23683"/>
      <c r="C23683"/>
      <c r="E23683"/>
      <c r="F23683"/>
    </row>
    <row r="23684" spans="1:6" x14ac:dyDescent="0.25">
      <c r="A23684"/>
      <c r="B23684"/>
      <c r="C23684"/>
      <c r="E23684"/>
      <c r="F23684"/>
    </row>
    <row r="23685" spans="1:6" x14ac:dyDescent="0.25">
      <c r="A23685"/>
      <c r="B23685"/>
      <c r="C23685"/>
      <c r="E23685"/>
      <c r="F23685"/>
    </row>
    <row r="23686" spans="1:6" x14ac:dyDescent="0.25">
      <c r="A23686"/>
      <c r="B23686"/>
      <c r="C23686"/>
      <c r="E23686"/>
      <c r="F23686"/>
    </row>
    <row r="23687" spans="1:6" x14ac:dyDescent="0.25">
      <c r="A23687"/>
      <c r="B23687"/>
      <c r="C23687"/>
      <c r="E23687"/>
      <c r="F23687"/>
    </row>
    <row r="23688" spans="1:6" x14ac:dyDescent="0.25">
      <c r="A23688"/>
      <c r="B23688"/>
      <c r="C23688"/>
      <c r="E23688"/>
      <c r="F23688"/>
    </row>
    <row r="23689" spans="1:6" x14ac:dyDescent="0.25">
      <c r="A23689"/>
      <c r="B23689"/>
      <c r="C23689"/>
      <c r="E23689"/>
      <c r="F23689"/>
    </row>
    <row r="23690" spans="1:6" x14ac:dyDescent="0.25">
      <c r="A23690"/>
      <c r="B23690"/>
      <c r="C23690"/>
      <c r="E23690"/>
      <c r="F23690"/>
    </row>
    <row r="23691" spans="1:6" x14ac:dyDescent="0.25">
      <c r="A23691"/>
      <c r="B23691"/>
      <c r="C23691"/>
      <c r="E23691"/>
      <c r="F23691"/>
    </row>
    <row r="23692" spans="1:6" x14ac:dyDescent="0.25">
      <c r="A23692"/>
      <c r="B23692"/>
      <c r="C23692"/>
      <c r="E23692"/>
      <c r="F23692"/>
    </row>
    <row r="23693" spans="1:6" x14ac:dyDescent="0.25">
      <c r="A23693"/>
      <c r="B23693"/>
      <c r="C23693"/>
      <c r="E23693"/>
      <c r="F23693"/>
    </row>
    <row r="23694" spans="1:6" x14ac:dyDescent="0.25">
      <c r="A23694"/>
      <c r="B23694"/>
      <c r="C23694"/>
      <c r="E23694"/>
      <c r="F23694"/>
    </row>
    <row r="23695" spans="1:6" x14ac:dyDescent="0.25">
      <c r="A23695"/>
      <c r="B23695"/>
      <c r="C23695"/>
      <c r="E23695"/>
      <c r="F23695"/>
    </row>
    <row r="23696" spans="1:6" x14ac:dyDescent="0.25">
      <c r="A23696"/>
      <c r="B23696"/>
      <c r="C23696"/>
      <c r="E23696"/>
      <c r="F23696"/>
    </row>
    <row r="23697" spans="1:6" x14ac:dyDescent="0.25">
      <c r="A23697"/>
      <c r="B23697"/>
      <c r="C23697"/>
      <c r="E23697"/>
      <c r="F23697"/>
    </row>
    <row r="23698" spans="1:6" x14ac:dyDescent="0.25">
      <c r="A23698"/>
      <c r="B23698"/>
      <c r="C23698"/>
      <c r="E23698"/>
      <c r="F23698"/>
    </row>
    <row r="23699" spans="1:6" x14ac:dyDescent="0.25">
      <c r="A23699"/>
      <c r="B23699"/>
      <c r="C23699"/>
      <c r="E23699"/>
      <c r="F23699"/>
    </row>
    <row r="23700" spans="1:6" x14ac:dyDescent="0.25">
      <c r="A23700"/>
      <c r="B23700"/>
      <c r="C23700"/>
      <c r="E23700"/>
      <c r="F23700"/>
    </row>
    <row r="23701" spans="1:6" x14ac:dyDescent="0.25">
      <c r="A23701"/>
      <c r="B23701"/>
      <c r="C23701"/>
      <c r="E23701"/>
      <c r="F23701"/>
    </row>
    <row r="23702" spans="1:6" x14ac:dyDescent="0.25">
      <c r="A23702"/>
      <c r="B23702"/>
      <c r="C23702"/>
      <c r="E23702"/>
      <c r="F23702"/>
    </row>
    <row r="23703" spans="1:6" x14ac:dyDescent="0.25">
      <c r="A23703"/>
      <c r="B23703"/>
      <c r="C23703"/>
      <c r="E23703"/>
      <c r="F23703"/>
    </row>
    <row r="23704" spans="1:6" x14ac:dyDescent="0.25">
      <c r="A23704"/>
      <c r="B23704"/>
      <c r="C23704"/>
      <c r="E23704"/>
      <c r="F23704"/>
    </row>
    <row r="23705" spans="1:6" x14ac:dyDescent="0.25">
      <c r="A23705"/>
      <c r="B23705"/>
      <c r="C23705"/>
      <c r="E23705"/>
      <c r="F23705"/>
    </row>
    <row r="23706" spans="1:6" x14ac:dyDescent="0.25">
      <c r="A23706"/>
      <c r="B23706"/>
      <c r="C23706"/>
      <c r="E23706"/>
      <c r="F23706"/>
    </row>
    <row r="23707" spans="1:6" x14ac:dyDescent="0.25">
      <c r="A23707"/>
      <c r="B23707"/>
      <c r="C23707"/>
      <c r="E23707"/>
      <c r="F23707"/>
    </row>
    <row r="23708" spans="1:6" x14ac:dyDescent="0.25">
      <c r="A23708"/>
      <c r="B23708"/>
      <c r="C23708"/>
      <c r="E23708"/>
      <c r="F23708"/>
    </row>
    <row r="23709" spans="1:6" x14ac:dyDescent="0.25">
      <c r="A23709"/>
      <c r="B23709"/>
      <c r="C23709"/>
      <c r="E23709"/>
      <c r="F23709"/>
    </row>
    <row r="23710" spans="1:6" x14ac:dyDescent="0.25">
      <c r="A23710"/>
      <c r="B23710"/>
      <c r="C23710"/>
      <c r="E23710"/>
      <c r="F23710"/>
    </row>
    <row r="23711" spans="1:6" x14ac:dyDescent="0.25">
      <c r="A23711"/>
      <c r="B23711"/>
      <c r="C23711"/>
      <c r="E23711"/>
      <c r="F23711"/>
    </row>
    <row r="23712" spans="1:6" x14ac:dyDescent="0.25">
      <c r="A23712"/>
      <c r="B23712"/>
      <c r="C23712"/>
      <c r="E23712"/>
      <c r="F23712"/>
    </row>
    <row r="23713" spans="1:6" x14ac:dyDescent="0.25">
      <c r="A23713"/>
      <c r="B23713"/>
      <c r="C23713"/>
      <c r="E23713"/>
      <c r="F23713"/>
    </row>
    <row r="23714" spans="1:6" x14ac:dyDescent="0.25">
      <c r="A23714"/>
      <c r="B23714"/>
      <c r="C23714"/>
      <c r="E23714"/>
      <c r="F23714"/>
    </row>
    <row r="23715" spans="1:6" x14ac:dyDescent="0.25">
      <c r="A23715"/>
      <c r="B23715"/>
      <c r="C23715"/>
      <c r="E23715"/>
      <c r="F23715"/>
    </row>
    <row r="23716" spans="1:6" x14ac:dyDescent="0.25">
      <c r="A23716"/>
      <c r="B23716"/>
      <c r="C23716"/>
      <c r="E23716"/>
      <c r="F23716"/>
    </row>
    <row r="23717" spans="1:6" x14ac:dyDescent="0.25">
      <c r="A23717"/>
      <c r="B23717"/>
      <c r="C23717"/>
      <c r="E23717"/>
      <c r="F23717"/>
    </row>
    <row r="23718" spans="1:6" x14ac:dyDescent="0.25">
      <c r="A23718"/>
      <c r="B23718"/>
      <c r="C23718"/>
      <c r="E23718"/>
      <c r="F23718"/>
    </row>
    <row r="23719" spans="1:6" x14ac:dyDescent="0.25">
      <c r="A23719"/>
      <c r="B23719"/>
      <c r="C23719"/>
      <c r="E23719"/>
      <c r="F23719"/>
    </row>
    <row r="23720" spans="1:6" x14ac:dyDescent="0.25">
      <c r="A23720"/>
      <c r="B23720"/>
      <c r="C23720"/>
      <c r="E23720"/>
      <c r="F23720"/>
    </row>
    <row r="23721" spans="1:6" x14ac:dyDescent="0.25">
      <c r="A23721"/>
      <c r="B23721"/>
      <c r="C23721"/>
      <c r="E23721"/>
      <c r="F23721"/>
    </row>
    <row r="23722" spans="1:6" x14ac:dyDescent="0.25">
      <c r="A23722"/>
      <c r="B23722"/>
      <c r="C23722"/>
      <c r="E23722"/>
      <c r="F23722"/>
    </row>
    <row r="23723" spans="1:6" x14ac:dyDescent="0.25">
      <c r="A23723"/>
      <c r="B23723"/>
      <c r="C23723"/>
      <c r="E23723"/>
      <c r="F23723"/>
    </row>
    <row r="23724" spans="1:6" x14ac:dyDescent="0.25">
      <c r="A23724"/>
      <c r="B23724"/>
      <c r="C23724"/>
      <c r="E23724"/>
      <c r="F23724"/>
    </row>
    <row r="23725" spans="1:6" x14ac:dyDescent="0.25">
      <c r="A23725"/>
      <c r="B23725"/>
      <c r="C23725"/>
      <c r="E23725"/>
      <c r="F23725"/>
    </row>
    <row r="23726" spans="1:6" x14ac:dyDescent="0.25">
      <c r="A23726"/>
      <c r="B23726"/>
      <c r="C23726"/>
      <c r="E23726"/>
      <c r="F23726"/>
    </row>
    <row r="23727" spans="1:6" x14ac:dyDescent="0.25">
      <c r="A23727"/>
      <c r="B23727"/>
      <c r="C23727"/>
      <c r="E23727"/>
      <c r="F23727"/>
    </row>
    <row r="23728" spans="1:6" x14ac:dyDescent="0.25">
      <c r="A23728"/>
      <c r="B23728"/>
      <c r="C23728"/>
      <c r="E23728"/>
      <c r="F23728"/>
    </row>
    <row r="23729" spans="1:6" x14ac:dyDescent="0.25">
      <c r="A23729"/>
      <c r="B23729"/>
      <c r="C23729"/>
      <c r="E23729"/>
      <c r="F23729"/>
    </row>
    <row r="23730" spans="1:6" x14ac:dyDescent="0.25">
      <c r="A23730"/>
      <c r="B23730"/>
      <c r="C23730"/>
      <c r="E23730"/>
      <c r="F23730"/>
    </row>
    <row r="23731" spans="1:6" x14ac:dyDescent="0.25">
      <c r="A23731"/>
      <c r="B23731"/>
      <c r="C23731"/>
      <c r="E23731"/>
      <c r="F23731"/>
    </row>
    <row r="23732" spans="1:6" x14ac:dyDescent="0.25">
      <c r="A23732"/>
      <c r="B23732"/>
      <c r="C23732"/>
      <c r="E23732"/>
      <c r="F23732"/>
    </row>
    <row r="23733" spans="1:6" x14ac:dyDescent="0.25">
      <c r="A23733"/>
      <c r="B23733"/>
      <c r="C23733"/>
      <c r="E23733"/>
      <c r="F23733"/>
    </row>
    <row r="23734" spans="1:6" x14ac:dyDescent="0.25">
      <c r="A23734"/>
      <c r="B23734"/>
      <c r="C23734"/>
      <c r="E23734"/>
      <c r="F23734"/>
    </row>
    <row r="23735" spans="1:6" x14ac:dyDescent="0.25">
      <c r="A23735"/>
      <c r="B23735"/>
      <c r="C23735"/>
      <c r="E23735"/>
      <c r="F23735"/>
    </row>
    <row r="23736" spans="1:6" x14ac:dyDescent="0.25">
      <c r="A23736"/>
      <c r="B23736"/>
      <c r="C23736"/>
      <c r="E23736"/>
      <c r="F23736"/>
    </row>
    <row r="23737" spans="1:6" x14ac:dyDescent="0.25">
      <c r="A23737"/>
      <c r="B23737"/>
      <c r="C23737"/>
      <c r="E23737"/>
      <c r="F23737"/>
    </row>
    <row r="23738" spans="1:6" x14ac:dyDescent="0.25">
      <c r="A23738"/>
      <c r="B23738"/>
      <c r="C23738"/>
      <c r="E23738"/>
      <c r="F23738"/>
    </row>
    <row r="23739" spans="1:6" x14ac:dyDescent="0.25">
      <c r="A23739"/>
      <c r="B23739"/>
      <c r="C23739"/>
      <c r="E23739"/>
      <c r="F23739"/>
    </row>
    <row r="23740" spans="1:6" x14ac:dyDescent="0.25">
      <c r="A23740"/>
      <c r="B23740"/>
      <c r="C23740"/>
      <c r="E23740"/>
      <c r="F23740"/>
    </row>
    <row r="23741" spans="1:6" x14ac:dyDescent="0.25">
      <c r="A23741"/>
      <c r="B23741"/>
      <c r="C23741"/>
      <c r="E23741"/>
      <c r="F23741"/>
    </row>
    <row r="23742" spans="1:6" x14ac:dyDescent="0.25">
      <c r="A23742"/>
      <c r="B23742"/>
      <c r="C23742"/>
      <c r="E23742"/>
      <c r="F23742"/>
    </row>
    <row r="23743" spans="1:6" x14ac:dyDescent="0.25">
      <c r="A23743"/>
      <c r="B23743"/>
      <c r="C23743"/>
      <c r="E23743"/>
      <c r="F23743"/>
    </row>
    <row r="23744" spans="1:6" x14ac:dyDescent="0.25">
      <c r="A23744"/>
      <c r="B23744"/>
      <c r="C23744"/>
      <c r="E23744"/>
      <c r="F23744"/>
    </row>
    <row r="23745" spans="1:6" x14ac:dyDescent="0.25">
      <c r="A23745"/>
      <c r="B23745"/>
      <c r="C23745"/>
      <c r="E23745"/>
      <c r="F23745"/>
    </row>
    <row r="23746" spans="1:6" x14ac:dyDescent="0.25">
      <c r="A23746"/>
      <c r="B23746"/>
      <c r="C23746"/>
      <c r="E23746"/>
      <c r="F23746"/>
    </row>
    <row r="23747" spans="1:6" x14ac:dyDescent="0.25">
      <c r="A23747"/>
      <c r="B23747"/>
      <c r="C23747"/>
      <c r="E23747"/>
      <c r="F23747"/>
    </row>
    <row r="23748" spans="1:6" x14ac:dyDescent="0.25">
      <c r="A23748"/>
      <c r="B23748"/>
      <c r="C23748"/>
      <c r="E23748"/>
      <c r="F23748"/>
    </row>
    <row r="23749" spans="1:6" x14ac:dyDescent="0.25">
      <c r="A23749"/>
      <c r="B23749"/>
      <c r="C23749"/>
      <c r="E23749"/>
      <c r="F23749"/>
    </row>
    <row r="23750" spans="1:6" x14ac:dyDescent="0.25">
      <c r="A23750"/>
      <c r="B23750"/>
      <c r="C23750"/>
      <c r="E23750"/>
      <c r="F23750"/>
    </row>
    <row r="23751" spans="1:6" x14ac:dyDescent="0.25">
      <c r="A23751"/>
      <c r="B23751"/>
      <c r="C23751"/>
      <c r="E23751"/>
      <c r="F23751"/>
    </row>
    <row r="23752" spans="1:6" x14ac:dyDescent="0.25">
      <c r="A23752"/>
      <c r="B23752"/>
      <c r="C23752"/>
      <c r="E23752"/>
      <c r="F23752"/>
    </row>
    <row r="23753" spans="1:6" x14ac:dyDescent="0.25">
      <c r="A23753"/>
      <c r="B23753"/>
      <c r="C23753"/>
      <c r="E23753"/>
      <c r="F23753"/>
    </row>
    <row r="23754" spans="1:6" x14ac:dyDescent="0.25">
      <c r="A23754"/>
      <c r="B23754"/>
      <c r="C23754"/>
      <c r="E23754"/>
      <c r="F23754"/>
    </row>
    <row r="23755" spans="1:6" x14ac:dyDescent="0.25">
      <c r="A23755"/>
      <c r="B23755"/>
      <c r="C23755"/>
      <c r="E23755"/>
      <c r="F23755"/>
    </row>
    <row r="23756" spans="1:6" x14ac:dyDescent="0.25">
      <c r="A23756"/>
      <c r="B23756"/>
      <c r="C23756"/>
      <c r="E23756"/>
      <c r="F23756"/>
    </row>
    <row r="23757" spans="1:6" x14ac:dyDescent="0.25">
      <c r="A23757"/>
      <c r="B23757"/>
      <c r="C23757"/>
      <c r="E23757"/>
      <c r="F23757"/>
    </row>
    <row r="23758" spans="1:6" x14ac:dyDescent="0.25">
      <c r="A23758"/>
      <c r="B23758"/>
      <c r="C23758"/>
      <c r="E23758"/>
      <c r="F23758"/>
    </row>
    <row r="23759" spans="1:6" x14ac:dyDescent="0.25">
      <c r="A23759"/>
      <c r="B23759"/>
      <c r="C23759"/>
      <c r="E23759"/>
      <c r="F23759"/>
    </row>
    <row r="23760" spans="1:6" x14ac:dyDescent="0.25">
      <c r="A23760"/>
      <c r="B23760"/>
      <c r="C23760"/>
      <c r="E23760"/>
      <c r="F23760"/>
    </row>
    <row r="23761" spans="1:6" x14ac:dyDescent="0.25">
      <c r="A23761"/>
      <c r="B23761"/>
      <c r="C23761"/>
      <c r="E23761"/>
      <c r="F23761"/>
    </row>
    <row r="23762" spans="1:6" x14ac:dyDescent="0.25">
      <c r="A23762"/>
      <c r="B23762"/>
      <c r="C23762"/>
      <c r="E23762"/>
      <c r="F23762"/>
    </row>
    <row r="23763" spans="1:6" x14ac:dyDescent="0.25">
      <c r="A23763"/>
      <c r="B23763"/>
      <c r="C23763"/>
      <c r="E23763"/>
      <c r="F23763"/>
    </row>
    <row r="23764" spans="1:6" x14ac:dyDescent="0.25">
      <c r="A23764"/>
      <c r="B23764"/>
      <c r="C23764"/>
      <c r="E23764"/>
      <c r="F23764"/>
    </row>
    <row r="23765" spans="1:6" x14ac:dyDescent="0.25">
      <c r="A23765"/>
      <c r="B23765"/>
      <c r="C23765"/>
      <c r="E23765"/>
      <c r="F23765"/>
    </row>
    <row r="23766" spans="1:6" x14ac:dyDescent="0.25">
      <c r="A23766"/>
      <c r="B23766"/>
      <c r="C23766"/>
      <c r="E23766"/>
      <c r="F23766"/>
    </row>
    <row r="23767" spans="1:6" x14ac:dyDescent="0.25">
      <c r="A23767"/>
      <c r="B23767"/>
      <c r="C23767"/>
      <c r="E23767"/>
      <c r="F23767"/>
    </row>
    <row r="23768" spans="1:6" x14ac:dyDescent="0.25">
      <c r="A23768"/>
      <c r="B23768"/>
      <c r="C23768"/>
      <c r="E23768"/>
      <c r="F23768"/>
    </row>
    <row r="23769" spans="1:6" x14ac:dyDescent="0.25">
      <c r="A23769"/>
      <c r="B23769"/>
      <c r="C23769"/>
      <c r="E23769"/>
      <c r="F23769"/>
    </row>
    <row r="23770" spans="1:6" x14ac:dyDescent="0.25">
      <c r="A23770"/>
      <c r="B23770"/>
      <c r="C23770"/>
      <c r="E23770"/>
      <c r="F23770"/>
    </row>
    <row r="23771" spans="1:6" x14ac:dyDescent="0.25">
      <c r="A23771"/>
      <c r="B23771"/>
      <c r="C23771"/>
      <c r="E23771"/>
      <c r="F23771"/>
    </row>
    <row r="23772" spans="1:6" x14ac:dyDescent="0.25">
      <c r="A23772"/>
      <c r="B23772"/>
      <c r="C23772"/>
      <c r="E23772"/>
      <c r="F23772"/>
    </row>
    <row r="23773" spans="1:6" x14ac:dyDescent="0.25">
      <c r="A23773"/>
      <c r="B23773"/>
      <c r="C23773"/>
      <c r="E23773"/>
      <c r="F23773"/>
    </row>
    <row r="23774" spans="1:6" x14ac:dyDescent="0.25">
      <c r="A23774"/>
      <c r="B23774"/>
      <c r="C23774"/>
      <c r="E23774"/>
      <c r="F23774"/>
    </row>
    <row r="23775" spans="1:6" x14ac:dyDescent="0.25">
      <c r="A23775"/>
      <c r="B23775"/>
      <c r="C23775"/>
      <c r="E23775"/>
      <c r="F23775"/>
    </row>
    <row r="23776" spans="1:6" x14ac:dyDescent="0.25">
      <c r="A23776"/>
      <c r="B23776"/>
      <c r="C23776"/>
      <c r="E23776"/>
      <c r="F23776"/>
    </row>
    <row r="23777" spans="1:6" x14ac:dyDescent="0.25">
      <c r="A23777"/>
      <c r="B23777"/>
      <c r="C23777"/>
      <c r="E23777"/>
      <c r="F23777"/>
    </row>
    <row r="23778" spans="1:6" x14ac:dyDescent="0.25">
      <c r="A23778"/>
      <c r="B23778"/>
      <c r="C23778"/>
      <c r="E23778"/>
      <c r="F23778"/>
    </row>
    <row r="23779" spans="1:6" x14ac:dyDescent="0.25">
      <c r="A23779"/>
      <c r="B23779"/>
      <c r="C23779"/>
      <c r="E23779"/>
      <c r="F23779"/>
    </row>
    <row r="23780" spans="1:6" x14ac:dyDescent="0.25">
      <c r="A23780"/>
      <c r="B23780"/>
      <c r="C23780"/>
      <c r="E23780"/>
      <c r="F23780"/>
    </row>
    <row r="23781" spans="1:6" x14ac:dyDescent="0.25">
      <c r="A23781"/>
      <c r="B23781"/>
      <c r="C23781"/>
      <c r="E23781"/>
      <c r="F23781"/>
    </row>
    <row r="23782" spans="1:6" x14ac:dyDescent="0.25">
      <c r="A23782"/>
      <c r="B23782"/>
      <c r="C23782"/>
      <c r="E23782"/>
      <c r="F23782"/>
    </row>
    <row r="23783" spans="1:6" x14ac:dyDescent="0.25">
      <c r="A23783"/>
      <c r="B23783"/>
      <c r="C23783"/>
      <c r="E23783"/>
      <c r="F23783"/>
    </row>
    <row r="23784" spans="1:6" x14ac:dyDescent="0.25">
      <c r="A23784"/>
      <c r="B23784"/>
      <c r="C23784"/>
      <c r="E23784"/>
      <c r="F23784"/>
    </row>
    <row r="23785" spans="1:6" x14ac:dyDescent="0.25">
      <c r="A23785"/>
      <c r="B23785"/>
      <c r="C23785"/>
      <c r="E23785"/>
      <c r="F23785"/>
    </row>
    <row r="23786" spans="1:6" x14ac:dyDescent="0.25">
      <c r="A23786"/>
      <c r="B23786"/>
      <c r="C23786"/>
      <c r="E23786"/>
      <c r="F23786"/>
    </row>
    <row r="23787" spans="1:6" x14ac:dyDescent="0.25">
      <c r="A23787"/>
      <c r="B23787"/>
      <c r="C23787"/>
      <c r="E23787"/>
      <c r="F23787"/>
    </row>
    <row r="23788" spans="1:6" x14ac:dyDescent="0.25">
      <c r="A23788"/>
      <c r="B23788"/>
      <c r="C23788"/>
      <c r="E23788"/>
      <c r="F23788"/>
    </row>
    <row r="23789" spans="1:6" x14ac:dyDescent="0.25">
      <c r="A23789"/>
      <c r="B23789"/>
      <c r="C23789"/>
      <c r="E23789"/>
      <c r="F23789"/>
    </row>
    <row r="23790" spans="1:6" x14ac:dyDescent="0.25">
      <c r="A23790"/>
      <c r="B23790"/>
      <c r="C23790"/>
      <c r="E23790"/>
      <c r="F23790"/>
    </row>
    <row r="23791" spans="1:6" x14ac:dyDescent="0.25">
      <c r="A23791"/>
      <c r="B23791"/>
      <c r="C23791"/>
      <c r="E23791"/>
      <c r="F23791"/>
    </row>
    <row r="23792" spans="1:6" x14ac:dyDescent="0.25">
      <c r="A23792"/>
      <c r="B23792"/>
      <c r="C23792"/>
      <c r="E23792"/>
      <c r="F23792"/>
    </row>
    <row r="23793" spans="1:6" x14ac:dyDescent="0.25">
      <c r="A23793"/>
      <c r="B23793"/>
      <c r="C23793"/>
      <c r="E23793"/>
      <c r="F23793"/>
    </row>
    <row r="23794" spans="1:6" x14ac:dyDescent="0.25">
      <c r="A23794"/>
      <c r="B23794"/>
      <c r="C23794"/>
      <c r="E23794"/>
      <c r="F23794"/>
    </row>
    <row r="23795" spans="1:6" x14ac:dyDescent="0.25">
      <c r="A23795"/>
      <c r="B23795"/>
      <c r="C23795"/>
      <c r="E23795"/>
      <c r="F23795"/>
    </row>
    <row r="23796" spans="1:6" x14ac:dyDescent="0.25">
      <c r="A23796"/>
      <c r="B23796"/>
      <c r="C23796"/>
      <c r="E23796"/>
      <c r="F23796"/>
    </row>
    <row r="23797" spans="1:6" x14ac:dyDescent="0.25">
      <c r="A23797"/>
      <c r="B23797"/>
      <c r="C23797"/>
      <c r="E23797"/>
      <c r="F23797"/>
    </row>
    <row r="23798" spans="1:6" x14ac:dyDescent="0.25">
      <c r="A23798"/>
      <c r="B23798"/>
      <c r="C23798"/>
      <c r="E23798"/>
      <c r="F23798"/>
    </row>
    <row r="23799" spans="1:6" x14ac:dyDescent="0.25">
      <c r="A23799"/>
      <c r="B23799"/>
      <c r="C23799"/>
      <c r="E23799"/>
      <c r="F23799"/>
    </row>
    <row r="23800" spans="1:6" x14ac:dyDescent="0.25">
      <c r="A23800"/>
      <c r="B23800"/>
      <c r="C23800"/>
      <c r="E23800"/>
      <c r="F23800"/>
    </row>
    <row r="23801" spans="1:6" x14ac:dyDescent="0.25">
      <c r="A23801"/>
      <c r="B23801"/>
      <c r="C23801"/>
      <c r="E23801"/>
      <c r="F23801"/>
    </row>
    <row r="23802" spans="1:6" x14ac:dyDescent="0.25">
      <c r="A23802"/>
      <c r="B23802"/>
      <c r="C23802"/>
      <c r="E23802"/>
      <c r="F23802"/>
    </row>
    <row r="23803" spans="1:6" x14ac:dyDescent="0.25">
      <c r="A23803"/>
      <c r="B23803"/>
      <c r="C23803"/>
      <c r="E23803"/>
      <c r="F23803"/>
    </row>
    <row r="23804" spans="1:6" x14ac:dyDescent="0.25">
      <c r="A23804"/>
      <c r="B23804"/>
      <c r="C23804"/>
      <c r="E23804"/>
      <c r="F23804"/>
    </row>
    <row r="23805" spans="1:6" x14ac:dyDescent="0.25">
      <c r="A23805"/>
      <c r="B23805"/>
      <c r="C23805"/>
      <c r="E23805"/>
      <c r="F23805"/>
    </row>
    <row r="23806" spans="1:6" x14ac:dyDescent="0.25">
      <c r="A23806"/>
      <c r="B23806"/>
      <c r="C23806"/>
      <c r="E23806"/>
      <c r="F23806"/>
    </row>
    <row r="23807" spans="1:6" x14ac:dyDescent="0.25">
      <c r="A23807"/>
      <c r="B23807"/>
      <c r="C23807"/>
      <c r="E23807"/>
      <c r="F23807"/>
    </row>
    <row r="23808" spans="1:6" x14ac:dyDescent="0.25">
      <c r="A23808"/>
      <c r="B23808"/>
      <c r="C23808"/>
      <c r="E23808"/>
      <c r="F23808"/>
    </row>
    <row r="23809" spans="1:6" x14ac:dyDescent="0.25">
      <c r="A23809"/>
      <c r="B23809"/>
      <c r="C23809"/>
      <c r="E23809"/>
      <c r="F23809"/>
    </row>
    <row r="23810" spans="1:6" x14ac:dyDescent="0.25">
      <c r="A23810"/>
      <c r="B23810"/>
      <c r="C23810"/>
      <c r="E23810"/>
      <c r="F23810"/>
    </row>
    <row r="23811" spans="1:6" x14ac:dyDescent="0.25">
      <c r="A23811"/>
      <c r="B23811"/>
      <c r="C23811"/>
      <c r="E23811"/>
      <c r="F23811"/>
    </row>
    <row r="23812" spans="1:6" x14ac:dyDescent="0.25">
      <c r="A23812"/>
      <c r="B23812"/>
      <c r="C23812"/>
      <c r="E23812"/>
      <c r="F23812"/>
    </row>
    <row r="23813" spans="1:6" x14ac:dyDescent="0.25">
      <c r="A23813"/>
      <c r="B23813"/>
      <c r="C23813"/>
      <c r="E23813"/>
      <c r="F23813"/>
    </row>
    <row r="23814" spans="1:6" x14ac:dyDescent="0.25">
      <c r="A23814"/>
      <c r="B23814"/>
      <c r="C23814"/>
      <c r="E23814"/>
      <c r="F23814"/>
    </row>
    <row r="23815" spans="1:6" x14ac:dyDescent="0.25">
      <c r="A23815"/>
      <c r="B23815"/>
      <c r="C23815"/>
      <c r="E23815"/>
      <c r="F23815"/>
    </row>
    <row r="23816" spans="1:6" x14ac:dyDescent="0.25">
      <c r="A23816"/>
      <c r="B23816"/>
      <c r="C23816"/>
      <c r="E23816"/>
      <c r="F23816"/>
    </row>
    <row r="23817" spans="1:6" x14ac:dyDescent="0.25">
      <c r="A23817"/>
      <c r="B23817"/>
      <c r="C23817"/>
      <c r="E23817"/>
      <c r="F23817"/>
    </row>
    <row r="23818" spans="1:6" x14ac:dyDescent="0.25">
      <c r="A23818"/>
      <c r="B23818"/>
      <c r="C23818"/>
      <c r="E23818"/>
      <c r="F23818"/>
    </row>
    <row r="23819" spans="1:6" x14ac:dyDescent="0.25">
      <c r="A23819"/>
      <c r="B23819"/>
      <c r="C23819"/>
      <c r="E23819"/>
      <c r="F23819"/>
    </row>
    <row r="23820" spans="1:6" x14ac:dyDescent="0.25">
      <c r="A23820"/>
      <c r="B23820"/>
      <c r="C23820"/>
      <c r="E23820"/>
      <c r="F23820"/>
    </row>
    <row r="23821" spans="1:6" x14ac:dyDescent="0.25">
      <c r="A23821"/>
      <c r="B23821"/>
      <c r="C23821"/>
      <c r="E23821"/>
      <c r="F23821"/>
    </row>
    <row r="23822" spans="1:6" x14ac:dyDescent="0.25">
      <c r="A23822"/>
      <c r="B23822"/>
      <c r="C23822"/>
      <c r="E23822"/>
      <c r="F23822"/>
    </row>
    <row r="23823" spans="1:6" x14ac:dyDescent="0.25">
      <c r="A23823"/>
      <c r="B23823"/>
      <c r="C23823"/>
      <c r="E23823"/>
      <c r="F23823"/>
    </row>
    <row r="23824" spans="1:6" x14ac:dyDescent="0.25">
      <c r="A23824"/>
      <c r="B23824"/>
      <c r="C23824"/>
      <c r="E23824"/>
      <c r="F23824"/>
    </row>
    <row r="23825" spans="1:6" x14ac:dyDescent="0.25">
      <c r="A23825"/>
      <c r="B23825"/>
      <c r="C23825"/>
      <c r="E23825"/>
      <c r="F23825"/>
    </row>
    <row r="23826" spans="1:6" x14ac:dyDescent="0.25">
      <c r="A23826"/>
      <c r="B23826"/>
      <c r="C23826"/>
      <c r="E23826"/>
      <c r="F23826"/>
    </row>
    <row r="23827" spans="1:6" x14ac:dyDescent="0.25">
      <c r="A23827"/>
      <c r="B23827"/>
      <c r="C23827"/>
      <c r="E23827"/>
      <c r="F23827"/>
    </row>
    <row r="23828" spans="1:6" x14ac:dyDescent="0.25">
      <c r="A23828"/>
      <c r="B23828"/>
      <c r="C23828"/>
      <c r="E23828"/>
      <c r="F23828"/>
    </row>
    <row r="23829" spans="1:6" x14ac:dyDescent="0.25">
      <c r="A23829"/>
      <c r="B23829"/>
      <c r="C23829"/>
      <c r="E23829"/>
      <c r="F23829"/>
    </row>
    <row r="23830" spans="1:6" x14ac:dyDescent="0.25">
      <c r="A23830"/>
      <c r="B23830"/>
      <c r="C23830"/>
      <c r="E23830"/>
      <c r="F23830"/>
    </row>
    <row r="23831" spans="1:6" x14ac:dyDescent="0.25">
      <c r="A23831"/>
      <c r="B23831"/>
      <c r="C23831"/>
      <c r="E23831"/>
      <c r="F23831"/>
    </row>
    <row r="23832" spans="1:6" x14ac:dyDescent="0.25">
      <c r="A23832"/>
      <c r="B23832"/>
      <c r="C23832"/>
      <c r="E23832"/>
      <c r="F23832"/>
    </row>
    <row r="23833" spans="1:6" x14ac:dyDescent="0.25">
      <c r="A23833"/>
      <c r="B23833"/>
      <c r="C23833"/>
      <c r="E23833"/>
      <c r="F23833"/>
    </row>
    <row r="23834" spans="1:6" x14ac:dyDescent="0.25">
      <c r="A23834"/>
      <c r="B23834"/>
      <c r="C23834"/>
      <c r="E23834"/>
      <c r="F23834"/>
    </row>
    <row r="23835" spans="1:6" x14ac:dyDescent="0.25">
      <c r="A23835"/>
      <c r="B23835"/>
      <c r="C23835"/>
      <c r="E23835"/>
      <c r="F23835"/>
    </row>
    <row r="23836" spans="1:6" x14ac:dyDescent="0.25">
      <c r="A23836"/>
      <c r="B23836"/>
      <c r="C23836"/>
      <c r="E23836"/>
      <c r="F23836"/>
    </row>
    <row r="23837" spans="1:6" x14ac:dyDescent="0.25">
      <c r="A23837"/>
      <c r="B23837"/>
      <c r="C23837"/>
      <c r="E23837"/>
      <c r="F23837"/>
    </row>
    <row r="23838" spans="1:6" x14ac:dyDescent="0.25">
      <c r="A23838"/>
      <c r="B23838"/>
      <c r="C23838"/>
      <c r="E23838"/>
      <c r="F23838"/>
    </row>
    <row r="23839" spans="1:6" x14ac:dyDescent="0.25">
      <c r="A23839"/>
      <c r="B23839"/>
      <c r="C23839"/>
      <c r="E23839"/>
      <c r="F23839"/>
    </row>
    <row r="23840" spans="1:6" x14ac:dyDescent="0.25">
      <c r="A23840"/>
      <c r="B23840"/>
      <c r="C23840"/>
      <c r="E23840"/>
      <c r="F23840"/>
    </row>
    <row r="23841" spans="1:6" x14ac:dyDescent="0.25">
      <c r="A23841"/>
      <c r="B23841"/>
      <c r="C23841"/>
      <c r="E23841"/>
      <c r="F23841"/>
    </row>
    <row r="23842" spans="1:6" x14ac:dyDescent="0.25">
      <c r="A23842"/>
      <c r="B23842"/>
      <c r="C23842"/>
      <c r="E23842"/>
      <c r="F23842"/>
    </row>
    <row r="23843" spans="1:6" x14ac:dyDescent="0.25">
      <c r="A23843"/>
      <c r="B23843"/>
      <c r="C23843"/>
      <c r="E23843"/>
      <c r="F23843"/>
    </row>
    <row r="23844" spans="1:6" x14ac:dyDescent="0.25">
      <c r="A23844"/>
      <c r="B23844"/>
      <c r="C23844"/>
      <c r="E23844"/>
      <c r="F23844"/>
    </row>
    <row r="23845" spans="1:6" x14ac:dyDescent="0.25">
      <c r="A23845"/>
      <c r="B23845"/>
      <c r="C23845"/>
      <c r="E23845"/>
      <c r="F23845"/>
    </row>
    <row r="23846" spans="1:6" x14ac:dyDescent="0.25">
      <c r="A23846"/>
      <c r="B23846"/>
      <c r="C23846"/>
      <c r="E23846"/>
      <c r="F23846"/>
    </row>
    <row r="23847" spans="1:6" x14ac:dyDescent="0.25">
      <c r="A23847"/>
      <c r="B23847"/>
      <c r="C23847"/>
      <c r="E23847"/>
      <c r="F23847"/>
    </row>
    <row r="23848" spans="1:6" x14ac:dyDescent="0.25">
      <c r="A23848"/>
      <c r="B23848"/>
      <c r="C23848"/>
      <c r="E23848"/>
      <c r="F23848"/>
    </row>
    <row r="23849" spans="1:6" x14ac:dyDescent="0.25">
      <c r="A23849"/>
      <c r="B23849"/>
      <c r="C23849"/>
      <c r="E23849"/>
      <c r="F23849"/>
    </row>
    <row r="23850" spans="1:6" x14ac:dyDescent="0.25">
      <c r="A23850"/>
      <c r="B23850"/>
      <c r="C23850"/>
      <c r="E23850"/>
      <c r="F23850"/>
    </row>
    <row r="23851" spans="1:6" x14ac:dyDescent="0.25">
      <c r="A23851"/>
      <c r="B23851"/>
      <c r="C23851"/>
      <c r="E23851"/>
      <c r="F23851"/>
    </row>
    <row r="23852" spans="1:6" x14ac:dyDescent="0.25">
      <c r="A23852"/>
      <c r="B23852"/>
      <c r="C23852"/>
      <c r="E23852"/>
      <c r="F23852"/>
    </row>
    <row r="23853" spans="1:6" x14ac:dyDescent="0.25">
      <c r="A23853"/>
      <c r="B23853"/>
      <c r="C23853"/>
      <c r="E23853"/>
      <c r="F23853"/>
    </row>
    <row r="23854" spans="1:6" x14ac:dyDescent="0.25">
      <c r="A23854"/>
      <c r="B23854"/>
      <c r="C23854"/>
      <c r="E23854"/>
      <c r="F23854"/>
    </row>
    <row r="23855" spans="1:6" x14ac:dyDescent="0.25">
      <c r="A23855"/>
      <c r="B23855"/>
      <c r="C23855"/>
      <c r="E23855"/>
      <c r="F23855"/>
    </row>
    <row r="23856" spans="1:6" x14ac:dyDescent="0.25">
      <c r="A23856"/>
      <c r="B23856"/>
      <c r="C23856"/>
      <c r="E23856"/>
      <c r="F23856"/>
    </row>
    <row r="23857" spans="1:6" x14ac:dyDescent="0.25">
      <c r="A23857"/>
      <c r="B23857"/>
      <c r="C23857"/>
      <c r="E23857"/>
      <c r="F23857"/>
    </row>
    <row r="23858" spans="1:6" x14ac:dyDescent="0.25">
      <c r="A23858"/>
      <c r="B23858"/>
      <c r="C23858"/>
      <c r="E23858"/>
      <c r="F23858"/>
    </row>
    <row r="23859" spans="1:6" x14ac:dyDescent="0.25">
      <c r="A23859"/>
      <c r="B23859"/>
      <c r="C23859"/>
      <c r="E23859"/>
      <c r="F23859"/>
    </row>
    <row r="23860" spans="1:6" x14ac:dyDescent="0.25">
      <c r="A23860"/>
      <c r="B23860"/>
      <c r="C23860"/>
      <c r="E23860"/>
      <c r="F23860"/>
    </row>
    <row r="23861" spans="1:6" x14ac:dyDescent="0.25">
      <c r="A23861"/>
      <c r="B23861"/>
      <c r="C23861"/>
      <c r="E23861"/>
      <c r="F23861"/>
    </row>
    <row r="23862" spans="1:6" x14ac:dyDescent="0.25">
      <c r="A23862"/>
      <c r="B23862"/>
      <c r="C23862"/>
      <c r="E23862"/>
      <c r="F23862"/>
    </row>
    <row r="23863" spans="1:6" x14ac:dyDescent="0.25">
      <c r="A23863"/>
      <c r="B23863"/>
      <c r="C23863"/>
      <c r="E23863"/>
      <c r="F23863"/>
    </row>
    <row r="23864" spans="1:6" x14ac:dyDescent="0.25">
      <c r="A23864"/>
      <c r="B23864"/>
      <c r="C23864"/>
      <c r="E23864"/>
      <c r="F23864"/>
    </row>
    <row r="23865" spans="1:6" x14ac:dyDescent="0.25">
      <c r="A23865"/>
      <c r="B23865"/>
      <c r="C23865"/>
      <c r="E23865"/>
      <c r="F23865"/>
    </row>
    <row r="23866" spans="1:6" x14ac:dyDescent="0.25">
      <c r="A23866"/>
      <c r="B23866"/>
      <c r="C23866"/>
      <c r="E23866"/>
      <c r="F23866"/>
    </row>
    <row r="23867" spans="1:6" x14ac:dyDescent="0.25">
      <c r="A23867"/>
      <c r="B23867"/>
      <c r="C23867"/>
      <c r="E23867"/>
      <c r="F23867"/>
    </row>
    <row r="23868" spans="1:6" x14ac:dyDescent="0.25">
      <c r="A23868"/>
      <c r="B23868"/>
      <c r="C23868"/>
      <c r="E23868"/>
      <c r="F23868"/>
    </row>
    <row r="23869" spans="1:6" x14ac:dyDescent="0.25">
      <c r="A23869"/>
      <c r="B23869"/>
      <c r="C23869"/>
      <c r="E23869"/>
      <c r="F23869"/>
    </row>
    <row r="23870" spans="1:6" x14ac:dyDescent="0.25">
      <c r="A23870"/>
      <c r="B23870"/>
      <c r="C23870"/>
      <c r="E23870"/>
      <c r="F23870"/>
    </row>
    <row r="23871" spans="1:6" x14ac:dyDescent="0.25">
      <c r="A23871"/>
      <c r="B23871"/>
      <c r="C23871"/>
      <c r="E23871"/>
      <c r="F23871"/>
    </row>
    <row r="23872" spans="1:6" x14ac:dyDescent="0.25">
      <c r="A23872"/>
      <c r="B23872"/>
      <c r="C23872"/>
      <c r="E23872"/>
      <c r="F23872"/>
    </row>
    <row r="23873" spans="1:6" x14ac:dyDescent="0.25">
      <c r="A23873"/>
      <c r="B23873"/>
      <c r="C23873"/>
      <c r="E23873"/>
      <c r="F23873"/>
    </row>
    <row r="23874" spans="1:6" x14ac:dyDescent="0.25">
      <c r="A23874"/>
      <c r="B23874"/>
      <c r="C23874"/>
      <c r="E23874"/>
      <c r="F23874"/>
    </row>
    <row r="23875" spans="1:6" x14ac:dyDescent="0.25">
      <c r="A23875"/>
      <c r="B23875"/>
      <c r="C23875"/>
      <c r="E23875"/>
      <c r="F23875"/>
    </row>
    <row r="23876" spans="1:6" x14ac:dyDescent="0.25">
      <c r="A23876"/>
      <c r="B23876"/>
      <c r="C23876"/>
      <c r="E23876"/>
      <c r="F23876"/>
    </row>
    <row r="23877" spans="1:6" x14ac:dyDescent="0.25">
      <c r="A23877"/>
      <c r="B23877"/>
      <c r="C23877"/>
      <c r="E23877"/>
      <c r="F23877"/>
    </row>
    <row r="23878" spans="1:6" x14ac:dyDescent="0.25">
      <c r="A23878"/>
      <c r="B23878"/>
      <c r="C23878"/>
      <c r="E23878"/>
      <c r="F23878"/>
    </row>
    <row r="23879" spans="1:6" x14ac:dyDescent="0.25">
      <c r="A23879"/>
      <c r="B23879"/>
      <c r="C23879"/>
      <c r="E23879"/>
      <c r="F23879"/>
    </row>
    <row r="23880" spans="1:6" x14ac:dyDescent="0.25">
      <c r="A23880"/>
      <c r="B23880"/>
      <c r="C23880"/>
      <c r="E23880"/>
      <c r="F23880"/>
    </row>
    <row r="23881" spans="1:6" x14ac:dyDescent="0.25">
      <c r="A23881"/>
      <c r="B23881"/>
      <c r="C23881"/>
      <c r="E23881"/>
      <c r="F23881"/>
    </row>
    <row r="23882" spans="1:6" x14ac:dyDescent="0.25">
      <c r="A23882"/>
      <c r="B23882"/>
      <c r="C23882"/>
      <c r="E23882"/>
      <c r="F23882"/>
    </row>
    <row r="23883" spans="1:6" x14ac:dyDescent="0.25">
      <c r="A23883"/>
      <c r="B23883"/>
      <c r="C23883"/>
      <c r="E23883"/>
      <c r="F23883"/>
    </row>
    <row r="23884" spans="1:6" x14ac:dyDescent="0.25">
      <c r="A23884"/>
      <c r="B23884"/>
      <c r="C23884"/>
      <c r="E23884"/>
      <c r="F23884"/>
    </row>
    <row r="23885" spans="1:6" x14ac:dyDescent="0.25">
      <c r="A23885"/>
      <c r="B23885"/>
      <c r="C23885"/>
      <c r="E23885"/>
      <c r="F23885"/>
    </row>
    <row r="23886" spans="1:6" x14ac:dyDescent="0.25">
      <c r="A23886"/>
      <c r="B23886"/>
      <c r="C23886"/>
      <c r="E23886"/>
      <c r="F23886"/>
    </row>
    <row r="23887" spans="1:6" x14ac:dyDescent="0.25">
      <c r="A23887"/>
      <c r="B23887"/>
      <c r="C23887"/>
      <c r="E23887"/>
      <c r="F23887"/>
    </row>
    <row r="23888" spans="1:6" x14ac:dyDescent="0.25">
      <c r="A23888"/>
      <c r="B23888"/>
      <c r="C23888"/>
      <c r="E23888"/>
      <c r="F23888"/>
    </row>
    <row r="23889" spans="1:6" x14ac:dyDescent="0.25">
      <c r="A23889"/>
      <c r="B23889"/>
      <c r="C23889"/>
      <c r="E23889"/>
      <c r="F23889"/>
    </row>
    <row r="23890" spans="1:6" x14ac:dyDescent="0.25">
      <c r="A23890"/>
      <c r="B23890"/>
      <c r="C23890"/>
      <c r="E23890"/>
      <c r="F23890"/>
    </row>
    <row r="23891" spans="1:6" x14ac:dyDescent="0.25">
      <c r="A23891"/>
      <c r="B23891"/>
      <c r="C23891"/>
      <c r="E23891"/>
      <c r="F23891"/>
    </row>
    <row r="23892" spans="1:6" x14ac:dyDescent="0.25">
      <c r="A23892"/>
      <c r="B23892"/>
      <c r="C23892"/>
      <c r="E23892"/>
      <c r="F23892"/>
    </row>
    <row r="23893" spans="1:6" x14ac:dyDescent="0.25">
      <c r="A23893"/>
      <c r="B23893"/>
      <c r="C23893"/>
      <c r="E23893"/>
      <c r="F23893"/>
    </row>
    <row r="23894" spans="1:6" x14ac:dyDescent="0.25">
      <c r="A23894"/>
      <c r="B23894"/>
      <c r="C23894"/>
      <c r="E23894"/>
      <c r="F23894"/>
    </row>
    <row r="23895" spans="1:6" x14ac:dyDescent="0.25">
      <c r="A23895"/>
      <c r="B23895"/>
      <c r="C23895"/>
      <c r="E23895"/>
      <c r="F23895"/>
    </row>
    <row r="23896" spans="1:6" x14ac:dyDescent="0.25">
      <c r="A23896"/>
      <c r="B23896"/>
      <c r="C23896"/>
      <c r="E23896"/>
      <c r="F23896"/>
    </row>
    <row r="23897" spans="1:6" x14ac:dyDescent="0.25">
      <c r="A23897"/>
      <c r="B23897"/>
      <c r="C23897"/>
      <c r="E23897"/>
      <c r="F23897"/>
    </row>
    <row r="23898" spans="1:6" x14ac:dyDescent="0.25">
      <c r="A23898"/>
      <c r="B23898"/>
      <c r="C23898"/>
      <c r="E23898"/>
      <c r="F23898"/>
    </row>
    <row r="23899" spans="1:6" x14ac:dyDescent="0.25">
      <c r="A23899"/>
      <c r="B23899"/>
      <c r="C23899"/>
      <c r="E23899"/>
      <c r="F23899"/>
    </row>
    <row r="23900" spans="1:6" x14ac:dyDescent="0.25">
      <c r="A23900"/>
      <c r="B23900"/>
      <c r="C23900"/>
      <c r="E23900"/>
      <c r="F23900"/>
    </row>
    <row r="23901" spans="1:6" x14ac:dyDescent="0.25">
      <c r="A23901"/>
      <c r="B23901"/>
      <c r="C23901"/>
      <c r="E23901"/>
      <c r="F23901"/>
    </row>
    <row r="23902" spans="1:6" x14ac:dyDescent="0.25">
      <c r="A23902"/>
      <c r="B23902"/>
      <c r="C23902"/>
      <c r="E23902"/>
      <c r="F23902"/>
    </row>
    <row r="23903" spans="1:6" x14ac:dyDescent="0.25">
      <c r="A23903"/>
      <c r="B23903"/>
      <c r="C23903"/>
      <c r="E23903"/>
      <c r="F23903"/>
    </row>
    <row r="23904" spans="1:6" x14ac:dyDescent="0.25">
      <c r="A23904"/>
      <c r="B23904"/>
      <c r="C23904"/>
      <c r="E23904"/>
      <c r="F23904"/>
    </row>
    <row r="23905" spans="1:6" x14ac:dyDescent="0.25">
      <c r="A23905"/>
      <c r="B23905"/>
      <c r="C23905"/>
      <c r="E23905"/>
      <c r="F23905"/>
    </row>
    <row r="23906" spans="1:6" x14ac:dyDescent="0.25">
      <c r="A23906"/>
      <c r="B23906"/>
      <c r="C23906"/>
      <c r="E23906"/>
      <c r="F23906"/>
    </row>
    <row r="23907" spans="1:6" x14ac:dyDescent="0.25">
      <c r="A23907"/>
      <c r="B23907"/>
      <c r="C23907"/>
      <c r="E23907"/>
      <c r="F23907"/>
    </row>
    <row r="23908" spans="1:6" x14ac:dyDescent="0.25">
      <c r="A23908"/>
      <c r="B23908"/>
      <c r="C23908"/>
      <c r="E23908"/>
      <c r="F23908"/>
    </row>
    <row r="23909" spans="1:6" x14ac:dyDescent="0.25">
      <c r="A23909"/>
      <c r="B23909"/>
      <c r="C23909"/>
      <c r="E23909"/>
      <c r="F23909"/>
    </row>
    <row r="23910" spans="1:6" x14ac:dyDescent="0.25">
      <c r="A23910"/>
      <c r="B23910"/>
      <c r="C23910"/>
      <c r="E23910"/>
      <c r="F23910"/>
    </row>
    <row r="23911" spans="1:6" x14ac:dyDescent="0.25">
      <c r="A23911"/>
      <c r="B23911"/>
      <c r="C23911"/>
      <c r="E23911"/>
      <c r="F23911"/>
    </row>
    <row r="23912" spans="1:6" x14ac:dyDescent="0.25">
      <c r="A23912"/>
      <c r="B23912"/>
      <c r="C23912"/>
      <c r="E23912"/>
      <c r="F23912"/>
    </row>
    <row r="23913" spans="1:6" x14ac:dyDescent="0.25">
      <c r="A23913"/>
      <c r="B23913"/>
      <c r="C23913"/>
      <c r="E23913"/>
      <c r="F23913"/>
    </row>
    <row r="23914" spans="1:6" x14ac:dyDescent="0.25">
      <c r="A23914"/>
      <c r="B23914"/>
      <c r="C23914"/>
      <c r="E23914"/>
      <c r="F23914"/>
    </row>
    <row r="23915" spans="1:6" x14ac:dyDescent="0.25">
      <c r="A23915"/>
      <c r="B23915"/>
      <c r="C23915"/>
      <c r="E23915"/>
      <c r="F23915"/>
    </row>
    <row r="23916" spans="1:6" x14ac:dyDescent="0.25">
      <c r="A23916"/>
      <c r="B23916"/>
      <c r="C23916"/>
      <c r="E23916"/>
      <c r="F23916"/>
    </row>
    <row r="23917" spans="1:6" x14ac:dyDescent="0.25">
      <c r="A23917"/>
      <c r="B23917"/>
      <c r="C23917"/>
      <c r="E23917"/>
      <c r="F23917"/>
    </row>
    <row r="23918" spans="1:6" x14ac:dyDescent="0.25">
      <c r="A23918"/>
      <c r="B23918"/>
      <c r="C23918"/>
      <c r="E23918"/>
      <c r="F23918"/>
    </row>
    <row r="23919" spans="1:6" x14ac:dyDescent="0.25">
      <c r="A23919"/>
      <c r="B23919"/>
      <c r="C23919"/>
      <c r="E23919"/>
      <c r="F23919"/>
    </row>
    <row r="23920" spans="1:6" x14ac:dyDescent="0.25">
      <c r="A23920"/>
      <c r="B23920"/>
      <c r="C23920"/>
      <c r="E23920"/>
      <c r="F23920"/>
    </row>
    <row r="23921" spans="1:6" x14ac:dyDescent="0.25">
      <c r="A23921"/>
      <c r="B23921"/>
      <c r="C23921"/>
      <c r="E23921"/>
      <c r="F23921"/>
    </row>
    <row r="23922" spans="1:6" x14ac:dyDescent="0.25">
      <c r="A23922"/>
      <c r="B23922"/>
      <c r="C23922"/>
      <c r="E23922"/>
      <c r="F23922"/>
    </row>
    <row r="23923" spans="1:6" x14ac:dyDescent="0.25">
      <c r="A23923"/>
      <c r="B23923"/>
      <c r="C23923"/>
      <c r="E23923"/>
      <c r="F23923"/>
    </row>
    <row r="23924" spans="1:6" x14ac:dyDescent="0.25">
      <c r="A23924"/>
      <c r="B23924"/>
      <c r="C23924"/>
      <c r="E23924"/>
      <c r="F23924"/>
    </row>
    <row r="23925" spans="1:6" x14ac:dyDescent="0.25">
      <c r="A23925"/>
      <c r="B23925"/>
      <c r="C23925"/>
      <c r="E23925"/>
      <c r="F23925"/>
    </row>
    <row r="23926" spans="1:6" x14ac:dyDescent="0.25">
      <c r="A23926"/>
      <c r="B23926"/>
      <c r="C23926"/>
      <c r="E23926"/>
      <c r="F23926"/>
    </row>
    <row r="23927" spans="1:6" x14ac:dyDescent="0.25">
      <c r="A23927"/>
      <c r="B23927"/>
      <c r="C23927"/>
      <c r="E23927"/>
      <c r="F23927"/>
    </row>
    <row r="23928" spans="1:6" x14ac:dyDescent="0.25">
      <c r="A23928"/>
      <c r="B23928"/>
      <c r="C23928"/>
      <c r="E23928"/>
      <c r="F23928"/>
    </row>
    <row r="23929" spans="1:6" x14ac:dyDescent="0.25">
      <c r="A23929"/>
      <c r="B23929"/>
      <c r="C23929"/>
      <c r="E23929"/>
      <c r="F23929"/>
    </row>
    <row r="23930" spans="1:6" x14ac:dyDescent="0.25">
      <c r="A23930"/>
      <c r="B23930"/>
      <c r="C23930"/>
      <c r="E23930"/>
      <c r="F23930"/>
    </row>
    <row r="23931" spans="1:6" x14ac:dyDescent="0.25">
      <c r="A23931"/>
      <c r="B23931"/>
      <c r="C23931"/>
      <c r="E23931"/>
      <c r="F23931"/>
    </row>
    <row r="23932" spans="1:6" x14ac:dyDescent="0.25">
      <c r="A23932"/>
      <c r="B23932"/>
      <c r="C23932"/>
      <c r="E23932"/>
      <c r="F23932"/>
    </row>
    <row r="23933" spans="1:6" x14ac:dyDescent="0.25">
      <c r="A23933"/>
      <c r="B23933"/>
      <c r="C23933"/>
      <c r="E23933"/>
      <c r="F23933"/>
    </row>
    <row r="23934" spans="1:6" x14ac:dyDescent="0.25">
      <c r="A23934"/>
      <c r="B23934"/>
      <c r="C23934"/>
      <c r="E23934"/>
      <c r="F23934"/>
    </row>
    <row r="23935" spans="1:6" x14ac:dyDescent="0.25">
      <c r="A23935"/>
      <c r="B23935"/>
      <c r="C23935"/>
      <c r="E23935"/>
      <c r="F23935"/>
    </row>
    <row r="23936" spans="1:6" x14ac:dyDescent="0.25">
      <c r="A23936"/>
      <c r="B23936"/>
      <c r="C23936"/>
      <c r="E23936"/>
      <c r="F23936"/>
    </row>
    <row r="23937" spans="1:6" x14ac:dyDescent="0.25">
      <c r="A23937"/>
      <c r="B23937"/>
      <c r="C23937"/>
      <c r="E23937"/>
      <c r="F23937"/>
    </row>
    <row r="23938" spans="1:6" x14ac:dyDescent="0.25">
      <c r="A23938"/>
      <c r="B23938"/>
      <c r="C23938"/>
      <c r="E23938"/>
      <c r="F23938"/>
    </row>
    <row r="23939" spans="1:6" x14ac:dyDescent="0.25">
      <c r="A23939"/>
      <c r="B23939"/>
      <c r="C23939"/>
      <c r="E23939"/>
      <c r="F23939"/>
    </row>
    <row r="23940" spans="1:6" x14ac:dyDescent="0.25">
      <c r="A23940"/>
      <c r="B23940"/>
      <c r="C23940"/>
      <c r="E23940"/>
      <c r="F23940"/>
    </row>
    <row r="23941" spans="1:6" x14ac:dyDescent="0.25">
      <c r="A23941"/>
      <c r="B23941"/>
      <c r="C23941"/>
      <c r="E23941"/>
      <c r="F23941"/>
    </row>
    <row r="23942" spans="1:6" x14ac:dyDescent="0.25">
      <c r="A23942"/>
      <c r="B23942"/>
      <c r="C23942"/>
      <c r="E23942"/>
      <c r="F23942"/>
    </row>
    <row r="23943" spans="1:6" x14ac:dyDescent="0.25">
      <c r="A23943"/>
      <c r="B23943"/>
      <c r="C23943"/>
      <c r="E23943"/>
      <c r="F23943"/>
    </row>
    <row r="23944" spans="1:6" x14ac:dyDescent="0.25">
      <c r="A23944"/>
      <c r="B23944"/>
      <c r="C23944"/>
      <c r="E23944"/>
      <c r="F23944"/>
    </row>
    <row r="23945" spans="1:6" x14ac:dyDescent="0.25">
      <c r="A23945"/>
      <c r="B23945"/>
      <c r="C23945"/>
      <c r="E23945"/>
      <c r="F23945"/>
    </row>
    <row r="23946" spans="1:6" x14ac:dyDescent="0.25">
      <c r="A23946"/>
      <c r="B23946"/>
      <c r="C23946"/>
      <c r="E23946"/>
      <c r="F23946"/>
    </row>
    <row r="23947" spans="1:6" x14ac:dyDescent="0.25">
      <c r="A23947"/>
      <c r="B23947"/>
      <c r="C23947"/>
      <c r="E23947"/>
      <c r="F23947"/>
    </row>
    <row r="23948" spans="1:6" x14ac:dyDescent="0.25">
      <c r="A23948"/>
      <c r="B23948"/>
      <c r="C23948"/>
      <c r="E23948"/>
      <c r="F23948"/>
    </row>
    <row r="23949" spans="1:6" x14ac:dyDescent="0.25">
      <c r="A23949"/>
      <c r="B23949"/>
      <c r="C23949"/>
      <c r="E23949"/>
      <c r="F23949"/>
    </row>
    <row r="23950" spans="1:6" x14ac:dyDescent="0.25">
      <c r="A23950"/>
      <c r="B23950"/>
      <c r="C23950"/>
      <c r="E23950"/>
      <c r="F23950"/>
    </row>
    <row r="23951" spans="1:6" x14ac:dyDescent="0.25">
      <c r="A23951"/>
      <c r="B23951"/>
      <c r="C23951"/>
      <c r="E23951"/>
      <c r="F23951"/>
    </row>
    <row r="23952" spans="1:6" x14ac:dyDescent="0.25">
      <c r="A23952"/>
      <c r="B23952"/>
      <c r="C23952"/>
      <c r="E23952"/>
      <c r="F23952"/>
    </row>
    <row r="23953" spans="1:6" x14ac:dyDescent="0.25">
      <c r="A23953"/>
      <c r="B23953"/>
      <c r="C23953"/>
      <c r="E23953"/>
      <c r="F23953"/>
    </row>
    <row r="23954" spans="1:6" x14ac:dyDescent="0.25">
      <c r="A23954"/>
      <c r="B23954"/>
      <c r="C23954"/>
      <c r="E23954"/>
      <c r="F23954"/>
    </row>
    <row r="23955" spans="1:6" x14ac:dyDescent="0.25">
      <c r="A23955"/>
      <c r="B23955"/>
      <c r="C23955"/>
      <c r="E23955"/>
      <c r="F23955"/>
    </row>
    <row r="23956" spans="1:6" x14ac:dyDescent="0.25">
      <c r="A23956"/>
      <c r="B23956"/>
      <c r="C23956"/>
      <c r="E23956"/>
      <c r="F23956"/>
    </row>
    <row r="23957" spans="1:6" x14ac:dyDescent="0.25">
      <c r="A23957"/>
      <c r="B23957"/>
      <c r="C23957"/>
      <c r="E23957"/>
      <c r="F23957"/>
    </row>
    <row r="23958" spans="1:6" x14ac:dyDescent="0.25">
      <c r="A23958"/>
      <c r="B23958"/>
      <c r="C23958"/>
      <c r="E23958"/>
      <c r="F23958"/>
    </row>
    <row r="23959" spans="1:6" x14ac:dyDescent="0.25">
      <c r="A23959"/>
      <c r="B23959"/>
      <c r="C23959"/>
      <c r="E23959"/>
      <c r="F23959"/>
    </row>
    <row r="23960" spans="1:6" x14ac:dyDescent="0.25">
      <c r="A23960"/>
      <c r="B23960"/>
      <c r="C23960"/>
      <c r="E23960"/>
      <c r="F23960"/>
    </row>
    <row r="23961" spans="1:6" x14ac:dyDescent="0.25">
      <c r="A23961"/>
      <c r="B23961"/>
      <c r="C23961"/>
      <c r="E23961"/>
      <c r="F23961"/>
    </row>
    <row r="23962" spans="1:6" x14ac:dyDescent="0.25">
      <c r="A23962"/>
      <c r="B23962"/>
      <c r="C23962"/>
      <c r="E23962"/>
      <c r="F23962"/>
    </row>
    <row r="23963" spans="1:6" x14ac:dyDescent="0.25">
      <c r="A23963"/>
      <c r="B23963"/>
      <c r="C23963"/>
      <c r="E23963"/>
      <c r="F23963"/>
    </row>
    <row r="23964" spans="1:6" x14ac:dyDescent="0.25">
      <c r="A23964"/>
      <c r="B23964"/>
      <c r="C23964"/>
      <c r="E23964"/>
      <c r="F23964"/>
    </row>
    <row r="23965" spans="1:6" x14ac:dyDescent="0.25">
      <c r="A23965"/>
      <c r="B23965"/>
      <c r="C23965"/>
      <c r="E23965"/>
      <c r="F23965"/>
    </row>
    <row r="23966" spans="1:6" x14ac:dyDescent="0.25">
      <c r="A23966"/>
      <c r="B23966"/>
      <c r="C23966"/>
      <c r="E23966"/>
      <c r="F23966"/>
    </row>
    <row r="23967" spans="1:6" x14ac:dyDescent="0.25">
      <c r="A23967"/>
      <c r="B23967"/>
      <c r="C23967"/>
      <c r="E23967"/>
      <c r="F23967"/>
    </row>
    <row r="23968" spans="1:6" x14ac:dyDescent="0.25">
      <c r="A23968"/>
      <c r="B23968"/>
      <c r="C23968"/>
      <c r="E23968"/>
      <c r="F23968"/>
    </row>
    <row r="23969" spans="1:6" x14ac:dyDescent="0.25">
      <c r="A23969"/>
      <c r="B23969"/>
      <c r="C23969"/>
      <c r="E23969"/>
      <c r="F23969"/>
    </row>
    <row r="23970" spans="1:6" x14ac:dyDescent="0.25">
      <c r="A23970"/>
      <c r="B23970"/>
      <c r="C23970"/>
      <c r="E23970"/>
      <c r="F23970"/>
    </row>
    <row r="23971" spans="1:6" x14ac:dyDescent="0.25">
      <c r="A23971"/>
      <c r="B23971"/>
      <c r="C23971"/>
      <c r="E23971"/>
      <c r="F23971"/>
    </row>
    <row r="23972" spans="1:6" x14ac:dyDescent="0.25">
      <c r="A23972"/>
      <c r="B23972"/>
      <c r="C23972"/>
      <c r="E23972"/>
      <c r="F23972"/>
    </row>
    <row r="23973" spans="1:6" x14ac:dyDescent="0.25">
      <c r="A23973"/>
      <c r="B23973"/>
      <c r="C23973"/>
      <c r="E23973"/>
      <c r="F23973"/>
    </row>
    <row r="23974" spans="1:6" x14ac:dyDescent="0.25">
      <c r="A23974"/>
      <c r="B23974"/>
      <c r="C23974"/>
      <c r="E23974"/>
      <c r="F23974"/>
    </row>
    <row r="23975" spans="1:6" x14ac:dyDescent="0.25">
      <c r="A23975"/>
      <c r="B23975"/>
      <c r="C23975"/>
      <c r="E23975"/>
      <c r="F23975"/>
    </row>
    <row r="23976" spans="1:6" x14ac:dyDescent="0.25">
      <c r="A23976"/>
      <c r="B23976"/>
      <c r="C23976"/>
      <c r="E23976"/>
      <c r="F23976"/>
    </row>
    <row r="23977" spans="1:6" x14ac:dyDescent="0.25">
      <c r="A23977"/>
      <c r="B23977"/>
      <c r="C23977"/>
      <c r="E23977"/>
      <c r="F23977"/>
    </row>
    <row r="23978" spans="1:6" x14ac:dyDescent="0.25">
      <c r="A23978"/>
      <c r="B23978"/>
      <c r="C23978"/>
      <c r="E23978"/>
      <c r="F23978"/>
    </row>
    <row r="23979" spans="1:6" x14ac:dyDescent="0.25">
      <c r="A23979"/>
      <c r="B23979"/>
      <c r="C23979"/>
      <c r="E23979"/>
      <c r="F23979"/>
    </row>
    <row r="23980" spans="1:6" x14ac:dyDescent="0.25">
      <c r="A23980"/>
      <c r="B23980"/>
      <c r="C23980"/>
      <c r="E23980"/>
      <c r="F23980"/>
    </row>
    <row r="23981" spans="1:6" x14ac:dyDescent="0.25">
      <c r="A23981"/>
      <c r="B23981"/>
      <c r="C23981"/>
      <c r="E23981"/>
      <c r="F23981"/>
    </row>
    <row r="23982" spans="1:6" x14ac:dyDescent="0.25">
      <c r="A23982"/>
      <c r="B23982"/>
      <c r="C23982"/>
      <c r="E23982"/>
      <c r="F23982"/>
    </row>
    <row r="23983" spans="1:6" x14ac:dyDescent="0.25">
      <c r="A23983"/>
      <c r="B23983"/>
      <c r="C23983"/>
      <c r="E23983"/>
      <c r="F23983"/>
    </row>
    <row r="23984" spans="1:6" x14ac:dyDescent="0.25">
      <c r="A23984"/>
      <c r="B23984"/>
      <c r="C23984"/>
      <c r="E23984"/>
      <c r="F23984"/>
    </row>
    <row r="23985" spans="1:6" x14ac:dyDescent="0.25">
      <c r="A23985"/>
      <c r="B23985"/>
      <c r="C23985"/>
      <c r="E23985"/>
      <c r="F23985"/>
    </row>
    <row r="23986" spans="1:6" x14ac:dyDescent="0.25">
      <c r="A23986"/>
      <c r="B23986"/>
      <c r="C23986"/>
      <c r="E23986"/>
      <c r="F23986"/>
    </row>
    <row r="23987" spans="1:6" x14ac:dyDescent="0.25">
      <c r="A23987"/>
      <c r="B23987"/>
      <c r="C23987"/>
      <c r="E23987"/>
      <c r="F23987"/>
    </row>
    <row r="23988" spans="1:6" x14ac:dyDescent="0.25">
      <c r="A23988"/>
      <c r="B23988"/>
      <c r="C23988"/>
      <c r="E23988"/>
      <c r="F23988"/>
    </row>
    <row r="23989" spans="1:6" x14ac:dyDescent="0.25">
      <c r="A23989"/>
      <c r="B23989"/>
      <c r="C23989"/>
      <c r="E23989"/>
      <c r="F23989"/>
    </row>
    <row r="23990" spans="1:6" x14ac:dyDescent="0.25">
      <c r="A23990"/>
      <c r="B23990"/>
      <c r="C23990"/>
      <c r="E23990"/>
      <c r="F23990"/>
    </row>
    <row r="23991" spans="1:6" x14ac:dyDescent="0.25">
      <c r="A23991"/>
      <c r="B23991"/>
      <c r="C23991"/>
      <c r="E23991"/>
      <c r="F23991"/>
    </row>
    <row r="23992" spans="1:6" x14ac:dyDescent="0.25">
      <c r="A23992"/>
      <c r="B23992"/>
      <c r="C23992"/>
      <c r="E23992"/>
      <c r="F23992"/>
    </row>
    <row r="23993" spans="1:6" x14ac:dyDescent="0.25">
      <c r="A23993"/>
      <c r="B23993"/>
      <c r="C23993"/>
      <c r="E23993"/>
      <c r="F23993"/>
    </row>
    <row r="23994" spans="1:6" x14ac:dyDescent="0.25">
      <c r="A23994"/>
      <c r="B23994"/>
      <c r="C23994"/>
      <c r="E23994"/>
      <c r="F23994"/>
    </row>
    <row r="23995" spans="1:6" x14ac:dyDescent="0.25">
      <c r="A23995"/>
      <c r="B23995"/>
      <c r="C23995"/>
      <c r="E23995"/>
      <c r="F23995"/>
    </row>
    <row r="23996" spans="1:6" x14ac:dyDescent="0.25">
      <c r="A23996"/>
      <c r="B23996"/>
      <c r="C23996"/>
      <c r="E23996"/>
      <c r="F23996"/>
    </row>
    <row r="23997" spans="1:6" x14ac:dyDescent="0.25">
      <c r="A23997"/>
      <c r="B23997"/>
      <c r="C23997"/>
      <c r="E23997"/>
      <c r="F23997"/>
    </row>
    <row r="23998" spans="1:6" x14ac:dyDescent="0.25">
      <c r="A23998"/>
      <c r="B23998"/>
      <c r="C23998"/>
      <c r="E23998"/>
      <c r="F23998"/>
    </row>
    <row r="23999" spans="1:6" x14ac:dyDescent="0.25">
      <c r="A23999"/>
      <c r="B23999"/>
      <c r="C23999"/>
      <c r="E23999"/>
      <c r="F23999"/>
    </row>
    <row r="24000" spans="1:6" x14ac:dyDescent="0.25">
      <c r="A24000"/>
      <c r="B24000"/>
      <c r="C24000"/>
      <c r="E24000"/>
      <c r="F24000"/>
    </row>
    <row r="24001" spans="1:6" x14ac:dyDescent="0.25">
      <c r="A24001"/>
      <c r="B24001"/>
      <c r="C24001"/>
      <c r="E24001"/>
      <c r="F24001"/>
    </row>
    <row r="24002" spans="1:6" x14ac:dyDescent="0.25">
      <c r="A24002"/>
      <c r="B24002"/>
      <c r="C24002"/>
      <c r="E24002"/>
      <c r="F24002"/>
    </row>
    <row r="24003" spans="1:6" x14ac:dyDescent="0.25">
      <c r="A24003"/>
      <c r="B24003"/>
      <c r="C24003"/>
      <c r="E24003"/>
      <c r="F24003"/>
    </row>
    <row r="24004" spans="1:6" x14ac:dyDescent="0.25">
      <c r="A24004"/>
      <c r="B24004"/>
      <c r="C24004"/>
      <c r="E24004"/>
      <c r="F24004"/>
    </row>
    <row r="24005" spans="1:6" x14ac:dyDescent="0.25">
      <c r="A24005"/>
      <c r="B24005"/>
      <c r="C24005"/>
      <c r="E24005"/>
      <c r="F24005"/>
    </row>
    <row r="24006" spans="1:6" x14ac:dyDescent="0.25">
      <c r="A24006"/>
      <c r="B24006"/>
      <c r="C24006"/>
      <c r="E24006"/>
      <c r="F24006"/>
    </row>
    <row r="24007" spans="1:6" x14ac:dyDescent="0.25">
      <c r="A24007"/>
      <c r="B24007"/>
      <c r="C24007"/>
      <c r="E24007"/>
      <c r="F24007"/>
    </row>
    <row r="24008" spans="1:6" x14ac:dyDescent="0.25">
      <c r="A24008"/>
      <c r="B24008"/>
      <c r="C24008"/>
      <c r="E24008"/>
      <c r="F24008"/>
    </row>
    <row r="24009" spans="1:6" x14ac:dyDescent="0.25">
      <c r="A24009"/>
      <c r="B24009"/>
      <c r="C24009"/>
      <c r="E24009"/>
      <c r="F24009"/>
    </row>
    <row r="24010" spans="1:6" x14ac:dyDescent="0.25">
      <c r="A24010"/>
      <c r="B24010"/>
      <c r="C24010"/>
      <c r="E24010"/>
      <c r="F24010"/>
    </row>
    <row r="24011" spans="1:6" x14ac:dyDescent="0.25">
      <c r="A24011"/>
      <c r="B24011"/>
      <c r="C24011"/>
      <c r="E24011"/>
      <c r="F24011"/>
    </row>
    <row r="24012" spans="1:6" x14ac:dyDescent="0.25">
      <c r="A24012"/>
      <c r="B24012"/>
      <c r="C24012"/>
      <c r="E24012"/>
      <c r="F24012"/>
    </row>
    <row r="24013" spans="1:6" x14ac:dyDescent="0.25">
      <c r="A24013"/>
      <c r="B24013"/>
      <c r="C24013"/>
      <c r="E24013"/>
      <c r="F24013"/>
    </row>
    <row r="24014" spans="1:6" x14ac:dyDescent="0.25">
      <c r="A24014"/>
      <c r="B24014"/>
      <c r="C24014"/>
      <c r="E24014"/>
      <c r="F24014"/>
    </row>
    <row r="24015" spans="1:6" x14ac:dyDescent="0.25">
      <c r="A24015"/>
      <c r="B24015"/>
      <c r="C24015"/>
      <c r="E24015"/>
      <c r="F24015"/>
    </row>
    <row r="24016" spans="1:6" x14ac:dyDescent="0.25">
      <c r="A24016"/>
      <c r="B24016"/>
      <c r="C24016"/>
      <c r="E24016"/>
      <c r="F24016"/>
    </row>
    <row r="24017" spans="1:6" x14ac:dyDescent="0.25">
      <c r="A24017"/>
      <c r="B24017"/>
      <c r="C24017"/>
      <c r="E24017"/>
      <c r="F24017"/>
    </row>
    <row r="24018" spans="1:6" x14ac:dyDescent="0.25">
      <c r="A24018"/>
      <c r="B24018"/>
      <c r="C24018"/>
      <c r="E24018"/>
      <c r="F24018"/>
    </row>
    <row r="24019" spans="1:6" x14ac:dyDescent="0.25">
      <c r="A24019"/>
      <c r="B24019"/>
      <c r="C24019"/>
      <c r="E24019"/>
      <c r="F24019"/>
    </row>
    <row r="24020" spans="1:6" x14ac:dyDescent="0.25">
      <c r="A24020"/>
      <c r="B24020"/>
      <c r="C24020"/>
      <c r="E24020"/>
      <c r="F24020"/>
    </row>
    <row r="24021" spans="1:6" x14ac:dyDescent="0.25">
      <c r="A24021"/>
      <c r="B24021"/>
      <c r="C24021"/>
      <c r="E24021"/>
      <c r="F24021"/>
    </row>
    <row r="24022" spans="1:6" x14ac:dyDescent="0.25">
      <c r="A24022"/>
      <c r="B24022"/>
      <c r="C24022"/>
      <c r="E24022"/>
      <c r="F24022"/>
    </row>
    <row r="24023" spans="1:6" x14ac:dyDescent="0.25">
      <c r="A24023"/>
      <c r="B24023"/>
      <c r="C24023"/>
      <c r="E24023"/>
      <c r="F24023"/>
    </row>
    <row r="24024" spans="1:6" x14ac:dyDescent="0.25">
      <c r="A24024"/>
      <c r="B24024"/>
      <c r="C24024"/>
      <c r="E24024"/>
      <c r="F24024"/>
    </row>
    <row r="24025" spans="1:6" x14ac:dyDescent="0.25">
      <c r="A24025"/>
      <c r="B24025"/>
      <c r="C24025"/>
      <c r="E24025"/>
      <c r="F24025"/>
    </row>
    <row r="24026" spans="1:6" x14ac:dyDescent="0.25">
      <c r="A24026"/>
      <c r="B24026"/>
      <c r="C24026"/>
      <c r="E24026"/>
      <c r="F24026"/>
    </row>
    <row r="24027" spans="1:6" x14ac:dyDescent="0.25">
      <c r="A24027"/>
      <c r="B24027"/>
      <c r="C24027"/>
      <c r="E24027"/>
      <c r="F24027"/>
    </row>
    <row r="24028" spans="1:6" x14ac:dyDescent="0.25">
      <c r="A24028"/>
      <c r="B24028"/>
      <c r="C24028"/>
      <c r="E24028"/>
      <c r="F24028"/>
    </row>
    <row r="24029" spans="1:6" x14ac:dyDescent="0.25">
      <c r="A24029"/>
      <c r="B24029"/>
      <c r="C24029"/>
      <c r="E24029"/>
      <c r="F24029"/>
    </row>
    <row r="24030" spans="1:6" x14ac:dyDescent="0.25">
      <c r="A24030"/>
      <c r="B24030"/>
      <c r="C24030"/>
      <c r="E24030"/>
      <c r="F24030"/>
    </row>
    <row r="24031" spans="1:6" x14ac:dyDescent="0.25">
      <c r="A24031"/>
      <c r="B24031"/>
      <c r="C24031"/>
      <c r="E24031"/>
      <c r="F24031"/>
    </row>
    <row r="24032" spans="1:6" x14ac:dyDescent="0.25">
      <c r="A24032"/>
      <c r="B24032"/>
      <c r="C24032"/>
      <c r="E24032"/>
      <c r="F24032"/>
    </row>
    <row r="24033" spans="1:6" x14ac:dyDescent="0.25">
      <c r="A24033"/>
      <c r="B24033"/>
      <c r="C24033"/>
      <c r="E24033"/>
      <c r="F24033"/>
    </row>
    <row r="24034" spans="1:6" x14ac:dyDescent="0.25">
      <c r="A24034"/>
      <c r="B24034"/>
      <c r="C24034"/>
      <c r="E24034"/>
      <c r="F24034"/>
    </row>
    <row r="24035" spans="1:6" x14ac:dyDescent="0.25">
      <c r="A24035"/>
      <c r="B24035"/>
      <c r="C24035"/>
      <c r="E24035"/>
      <c r="F24035"/>
    </row>
    <row r="24036" spans="1:6" x14ac:dyDescent="0.25">
      <c r="A24036"/>
      <c r="B24036"/>
      <c r="C24036"/>
      <c r="E24036"/>
      <c r="F24036"/>
    </row>
    <row r="24037" spans="1:6" x14ac:dyDescent="0.25">
      <c r="A24037"/>
      <c r="B24037"/>
      <c r="C24037"/>
      <c r="E24037"/>
      <c r="F24037"/>
    </row>
    <row r="24038" spans="1:6" x14ac:dyDescent="0.25">
      <c r="A24038"/>
      <c r="B24038"/>
      <c r="C24038"/>
      <c r="E24038"/>
      <c r="F24038"/>
    </row>
    <row r="24039" spans="1:6" x14ac:dyDescent="0.25">
      <c r="A24039"/>
      <c r="B24039"/>
      <c r="C24039"/>
      <c r="E24039"/>
      <c r="F24039"/>
    </row>
    <row r="24040" spans="1:6" x14ac:dyDescent="0.25">
      <c r="A24040"/>
      <c r="B24040"/>
      <c r="C24040"/>
      <c r="E24040"/>
      <c r="F24040"/>
    </row>
    <row r="24041" spans="1:6" x14ac:dyDescent="0.25">
      <c r="A24041"/>
      <c r="B24041"/>
      <c r="C24041"/>
      <c r="E24041"/>
      <c r="F24041"/>
    </row>
    <row r="24042" spans="1:6" x14ac:dyDescent="0.25">
      <c r="A24042"/>
      <c r="B24042"/>
      <c r="C24042"/>
      <c r="E24042"/>
      <c r="F24042"/>
    </row>
    <row r="24043" spans="1:6" x14ac:dyDescent="0.25">
      <c r="A24043"/>
      <c r="B24043"/>
      <c r="C24043"/>
      <c r="E24043"/>
      <c r="F24043"/>
    </row>
    <row r="24044" spans="1:6" x14ac:dyDescent="0.25">
      <c r="A24044"/>
      <c r="B24044"/>
      <c r="C24044"/>
      <c r="E24044"/>
      <c r="F24044"/>
    </row>
    <row r="24045" spans="1:6" x14ac:dyDescent="0.25">
      <c r="A24045"/>
      <c r="B24045"/>
      <c r="C24045"/>
      <c r="E24045"/>
      <c r="F24045"/>
    </row>
    <row r="24046" spans="1:6" x14ac:dyDescent="0.25">
      <c r="A24046"/>
      <c r="B24046"/>
      <c r="C24046"/>
      <c r="E24046"/>
      <c r="F24046"/>
    </row>
    <row r="24047" spans="1:6" x14ac:dyDescent="0.25">
      <c r="A24047"/>
      <c r="B24047"/>
      <c r="C24047"/>
      <c r="E24047"/>
      <c r="F24047"/>
    </row>
    <row r="24048" spans="1:6" x14ac:dyDescent="0.25">
      <c r="A24048"/>
      <c r="B24048"/>
      <c r="C24048"/>
      <c r="E24048"/>
      <c r="F24048"/>
    </row>
    <row r="24049" spans="1:6" x14ac:dyDescent="0.25">
      <c r="A24049"/>
      <c r="B24049"/>
      <c r="C24049"/>
      <c r="E24049"/>
      <c r="F24049"/>
    </row>
    <row r="24050" spans="1:6" x14ac:dyDescent="0.25">
      <c r="A24050"/>
      <c r="B24050"/>
      <c r="C24050"/>
      <c r="E24050"/>
      <c r="F24050"/>
    </row>
    <row r="24051" spans="1:6" x14ac:dyDescent="0.25">
      <c r="A24051"/>
      <c r="B24051"/>
      <c r="C24051"/>
      <c r="E24051"/>
      <c r="F24051"/>
    </row>
    <row r="24052" spans="1:6" x14ac:dyDescent="0.25">
      <c r="A24052"/>
      <c r="B24052"/>
      <c r="C24052"/>
      <c r="E24052"/>
      <c r="F24052"/>
    </row>
    <row r="24053" spans="1:6" x14ac:dyDescent="0.25">
      <c r="A24053"/>
      <c r="B24053"/>
      <c r="C24053"/>
      <c r="E24053"/>
      <c r="F24053"/>
    </row>
    <row r="24054" spans="1:6" x14ac:dyDescent="0.25">
      <c r="A24054"/>
      <c r="B24054"/>
      <c r="C24054"/>
      <c r="E24054"/>
      <c r="F24054"/>
    </row>
    <row r="24055" spans="1:6" x14ac:dyDescent="0.25">
      <c r="A24055"/>
      <c r="B24055"/>
      <c r="C24055"/>
      <c r="E24055"/>
      <c r="F24055"/>
    </row>
    <row r="24056" spans="1:6" x14ac:dyDescent="0.25">
      <c r="A24056"/>
      <c r="B24056"/>
      <c r="C24056"/>
      <c r="E24056"/>
      <c r="F24056"/>
    </row>
    <row r="24057" spans="1:6" x14ac:dyDescent="0.25">
      <c r="A24057"/>
      <c r="B24057"/>
      <c r="C24057"/>
      <c r="E24057"/>
      <c r="F24057"/>
    </row>
    <row r="24058" spans="1:6" x14ac:dyDescent="0.25">
      <c r="A24058"/>
      <c r="B24058"/>
      <c r="C24058"/>
      <c r="E24058"/>
      <c r="F24058"/>
    </row>
    <row r="24059" spans="1:6" x14ac:dyDescent="0.25">
      <c r="A24059"/>
      <c r="B24059"/>
      <c r="C24059"/>
      <c r="E24059"/>
      <c r="F24059"/>
    </row>
    <row r="24060" spans="1:6" x14ac:dyDescent="0.25">
      <c r="A24060"/>
      <c r="B24060"/>
      <c r="C24060"/>
      <c r="E24060"/>
      <c r="F24060"/>
    </row>
    <row r="24061" spans="1:6" x14ac:dyDescent="0.25">
      <c r="A24061"/>
      <c r="B24061"/>
      <c r="C24061"/>
      <c r="E24061"/>
      <c r="F24061"/>
    </row>
    <row r="24062" spans="1:6" x14ac:dyDescent="0.25">
      <c r="A24062"/>
      <c r="B24062"/>
      <c r="C24062"/>
      <c r="E24062"/>
      <c r="F24062"/>
    </row>
    <row r="24063" spans="1:6" x14ac:dyDescent="0.25">
      <c r="A24063"/>
      <c r="B24063"/>
      <c r="C24063"/>
      <c r="E24063"/>
      <c r="F24063"/>
    </row>
    <row r="24064" spans="1:6" x14ac:dyDescent="0.25">
      <c r="A24064"/>
      <c r="B24064"/>
      <c r="C24064"/>
      <c r="E24064"/>
      <c r="F24064"/>
    </row>
    <row r="24065" spans="1:6" x14ac:dyDescent="0.25">
      <c r="A24065"/>
      <c r="B24065"/>
      <c r="C24065"/>
      <c r="E24065"/>
      <c r="F24065"/>
    </row>
    <row r="24066" spans="1:6" x14ac:dyDescent="0.25">
      <c r="A24066"/>
      <c r="B24066"/>
      <c r="C24066"/>
      <c r="E24066"/>
      <c r="F24066"/>
    </row>
    <row r="24067" spans="1:6" x14ac:dyDescent="0.25">
      <c r="A24067"/>
      <c r="B24067"/>
      <c r="C24067"/>
      <c r="E24067"/>
      <c r="F24067"/>
    </row>
    <row r="24068" spans="1:6" x14ac:dyDescent="0.25">
      <c r="A24068"/>
      <c r="B24068"/>
      <c r="C24068"/>
      <c r="E24068"/>
      <c r="F24068"/>
    </row>
    <row r="24069" spans="1:6" x14ac:dyDescent="0.25">
      <c r="A24069"/>
      <c r="B24069"/>
      <c r="C24069"/>
      <c r="E24069"/>
      <c r="F24069"/>
    </row>
    <row r="24070" spans="1:6" x14ac:dyDescent="0.25">
      <c r="A24070"/>
      <c r="B24070"/>
      <c r="C24070"/>
      <c r="E24070"/>
      <c r="F24070"/>
    </row>
    <row r="24071" spans="1:6" x14ac:dyDescent="0.25">
      <c r="A24071"/>
      <c r="B24071"/>
      <c r="C24071"/>
      <c r="E24071"/>
      <c r="F24071"/>
    </row>
    <row r="24072" spans="1:6" x14ac:dyDescent="0.25">
      <c r="A24072"/>
      <c r="B24072"/>
      <c r="C24072"/>
      <c r="E24072"/>
      <c r="F24072"/>
    </row>
    <row r="24073" spans="1:6" x14ac:dyDescent="0.25">
      <c r="A24073"/>
      <c r="B24073"/>
      <c r="C24073"/>
      <c r="E24073"/>
      <c r="F24073"/>
    </row>
    <row r="24074" spans="1:6" x14ac:dyDescent="0.25">
      <c r="A24074"/>
      <c r="B24074"/>
      <c r="C24074"/>
      <c r="E24074"/>
      <c r="F24074"/>
    </row>
    <row r="24075" spans="1:6" x14ac:dyDescent="0.25">
      <c r="A24075"/>
      <c r="B24075"/>
      <c r="C24075"/>
      <c r="E24075"/>
      <c r="F24075"/>
    </row>
    <row r="24076" spans="1:6" x14ac:dyDescent="0.25">
      <c r="A24076"/>
      <c r="B24076"/>
      <c r="C24076"/>
      <c r="E24076"/>
      <c r="F24076"/>
    </row>
    <row r="24077" spans="1:6" x14ac:dyDescent="0.25">
      <c r="A24077"/>
      <c r="B24077"/>
      <c r="C24077"/>
      <c r="E24077"/>
      <c r="F24077"/>
    </row>
    <row r="24078" spans="1:6" x14ac:dyDescent="0.25">
      <c r="A24078"/>
      <c r="B24078"/>
      <c r="C24078"/>
      <c r="E24078"/>
      <c r="F24078"/>
    </row>
    <row r="24079" spans="1:6" x14ac:dyDescent="0.25">
      <c r="A24079"/>
      <c r="B24079"/>
      <c r="C24079"/>
      <c r="E24079"/>
      <c r="F24079"/>
    </row>
    <row r="24080" spans="1:6" x14ac:dyDescent="0.25">
      <c r="A24080"/>
      <c r="B24080"/>
      <c r="C24080"/>
      <c r="E24080"/>
      <c r="F24080"/>
    </row>
    <row r="24081" spans="1:6" x14ac:dyDescent="0.25">
      <c r="A24081"/>
      <c r="B24081"/>
      <c r="C24081"/>
      <c r="E24081"/>
      <c r="F24081"/>
    </row>
    <row r="24082" spans="1:6" x14ac:dyDescent="0.25">
      <c r="A24082"/>
      <c r="B24082"/>
      <c r="C24082"/>
      <c r="E24082"/>
      <c r="F24082"/>
    </row>
    <row r="24083" spans="1:6" x14ac:dyDescent="0.25">
      <c r="A24083"/>
      <c r="B24083"/>
      <c r="C24083"/>
      <c r="E24083"/>
      <c r="F24083"/>
    </row>
    <row r="24084" spans="1:6" x14ac:dyDescent="0.25">
      <c r="A24084"/>
      <c r="B24084"/>
      <c r="C24084"/>
      <c r="E24084"/>
      <c r="F24084"/>
    </row>
    <row r="24085" spans="1:6" x14ac:dyDescent="0.25">
      <c r="A24085"/>
      <c r="B24085"/>
      <c r="C24085"/>
      <c r="E24085"/>
      <c r="F24085"/>
    </row>
    <row r="24086" spans="1:6" x14ac:dyDescent="0.25">
      <c r="A24086"/>
      <c r="B24086"/>
      <c r="C24086"/>
      <c r="E24086"/>
      <c r="F24086"/>
    </row>
    <row r="24087" spans="1:6" x14ac:dyDescent="0.25">
      <c r="A24087"/>
      <c r="B24087"/>
      <c r="C24087"/>
      <c r="E24087"/>
      <c r="F24087"/>
    </row>
    <row r="24088" spans="1:6" x14ac:dyDescent="0.25">
      <c r="A24088"/>
      <c r="B24088"/>
      <c r="C24088"/>
      <c r="E24088"/>
      <c r="F24088"/>
    </row>
    <row r="24089" spans="1:6" x14ac:dyDescent="0.25">
      <c r="A24089"/>
      <c r="B24089"/>
      <c r="C24089"/>
      <c r="E24089"/>
      <c r="F24089"/>
    </row>
    <row r="24090" spans="1:6" x14ac:dyDescent="0.25">
      <c r="A24090"/>
      <c r="B24090"/>
      <c r="C24090"/>
      <c r="E24090"/>
      <c r="F24090"/>
    </row>
    <row r="24091" spans="1:6" x14ac:dyDescent="0.25">
      <c r="A24091"/>
      <c r="B24091"/>
      <c r="C24091"/>
      <c r="E24091"/>
      <c r="F24091"/>
    </row>
    <row r="24092" spans="1:6" x14ac:dyDescent="0.25">
      <c r="A24092"/>
      <c r="B24092"/>
      <c r="C24092"/>
      <c r="E24092"/>
      <c r="F24092"/>
    </row>
    <row r="24093" spans="1:6" x14ac:dyDescent="0.25">
      <c r="A24093"/>
      <c r="B24093"/>
      <c r="C24093"/>
      <c r="E24093"/>
      <c r="F24093"/>
    </row>
    <row r="24094" spans="1:6" x14ac:dyDescent="0.25">
      <c r="A24094"/>
      <c r="B24094"/>
      <c r="C24094"/>
      <c r="E24094"/>
      <c r="F24094"/>
    </row>
    <row r="24095" spans="1:6" x14ac:dyDescent="0.25">
      <c r="A24095"/>
      <c r="B24095"/>
      <c r="C24095"/>
      <c r="E24095"/>
      <c r="F24095"/>
    </row>
    <row r="24096" spans="1:6" x14ac:dyDescent="0.25">
      <c r="A24096"/>
      <c r="B24096"/>
      <c r="C24096"/>
      <c r="E24096"/>
      <c r="F24096"/>
    </row>
    <row r="24097" spans="1:6" x14ac:dyDescent="0.25">
      <c r="A24097"/>
      <c r="B24097"/>
      <c r="C24097"/>
      <c r="E24097"/>
      <c r="F24097"/>
    </row>
    <row r="24098" spans="1:6" x14ac:dyDescent="0.25">
      <c r="A24098"/>
      <c r="B24098"/>
      <c r="C24098"/>
      <c r="E24098"/>
      <c r="F24098"/>
    </row>
    <row r="24099" spans="1:6" x14ac:dyDescent="0.25">
      <c r="A24099"/>
      <c r="B24099"/>
      <c r="C24099"/>
      <c r="E24099"/>
      <c r="F24099"/>
    </row>
    <row r="24100" spans="1:6" x14ac:dyDescent="0.25">
      <c r="A24100"/>
      <c r="B24100"/>
      <c r="C24100"/>
      <c r="E24100"/>
      <c r="F24100"/>
    </row>
    <row r="24101" spans="1:6" x14ac:dyDescent="0.25">
      <c r="A24101"/>
      <c r="B24101"/>
      <c r="C24101"/>
      <c r="E24101"/>
      <c r="F24101"/>
    </row>
    <row r="24102" spans="1:6" x14ac:dyDescent="0.25">
      <c r="A24102"/>
      <c r="B24102"/>
      <c r="C24102"/>
      <c r="E24102"/>
      <c r="F24102"/>
    </row>
    <row r="24103" spans="1:6" x14ac:dyDescent="0.25">
      <c r="A24103"/>
      <c r="B24103"/>
      <c r="C24103"/>
      <c r="E24103"/>
      <c r="F24103"/>
    </row>
    <row r="24104" spans="1:6" x14ac:dyDescent="0.25">
      <c r="A24104"/>
      <c r="B24104"/>
      <c r="C24104"/>
      <c r="E24104"/>
      <c r="F24104"/>
    </row>
    <row r="24105" spans="1:6" x14ac:dyDescent="0.25">
      <c r="A24105"/>
      <c r="B24105"/>
      <c r="C24105"/>
      <c r="E24105"/>
      <c r="F24105"/>
    </row>
    <row r="24106" spans="1:6" x14ac:dyDescent="0.25">
      <c r="A24106"/>
      <c r="B24106"/>
      <c r="C24106"/>
      <c r="E24106"/>
      <c r="F24106"/>
    </row>
    <row r="24107" spans="1:6" x14ac:dyDescent="0.25">
      <c r="A24107"/>
      <c r="B24107"/>
      <c r="C24107"/>
      <c r="E24107"/>
      <c r="F24107"/>
    </row>
    <row r="24108" spans="1:6" x14ac:dyDescent="0.25">
      <c r="A24108"/>
      <c r="B24108"/>
      <c r="C24108"/>
      <c r="E24108"/>
      <c r="F24108"/>
    </row>
    <row r="24109" spans="1:6" x14ac:dyDescent="0.25">
      <c r="A24109"/>
      <c r="B24109"/>
      <c r="C24109"/>
      <c r="E24109"/>
      <c r="F24109"/>
    </row>
    <row r="24110" spans="1:6" x14ac:dyDescent="0.25">
      <c r="A24110"/>
      <c r="B24110"/>
      <c r="C24110"/>
      <c r="E24110"/>
      <c r="F24110"/>
    </row>
    <row r="24111" spans="1:6" x14ac:dyDescent="0.25">
      <c r="A24111"/>
      <c r="B24111"/>
      <c r="C24111"/>
      <c r="E24111"/>
      <c r="F24111"/>
    </row>
    <row r="24112" spans="1:6" x14ac:dyDescent="0.25">
      <c r="A24112"/>
      <c r="B24112"/>
      <c r="C24112"/>
      <c r="E24112"/>
      <c r="F24112"/>
    </row>
    <row r="24113" spans="1:6" x14ac:dyDescent="0.25">
      <c r="A24113"/>
      <c r="B24113"/>
      <c r="C24113"/>
      <c r="E24113"/>
      <c r="F24113"/>
    </row>
    <row r="24114" spans="1:6" x14ac:dyDescent="0.25">
      <c r="A24114"/>
      <c r="B24114"/>
      <c r="C24114"/>
      <c r="E24114"/>
      <c r="F24114"/>
    </row>
    <row r="24115" spans="1:6" x14ac:dyDescent="0.25">
      <c r="A24115"/>
      <c r="B24115"/>
      <c r="C24115"/>
      <c r="E24115"/>
      <c r="F24115"/>
    </row>
    <row r="24116" spans="1:6" x14ac:dyDescent="0.25">
      <c r="A24116"/>
      <c r="B24116"/>
      <c r="C24116"/>
      <c r="E24116"/>
      <c r="F24116"/>
    </row>
    <row r="24117" spans="1:6" x14ac:dyDescent="0.25">
      <c r="A24117"/>
      <c r="B24117"/>
      <c r="C24117"/>
      <c r="E24117"/>
      <c r="F24117"/>
    </row>
    <row r="24118" spans="1:6" x14ac:dyDescent="0.25">
      <c r="A24118"/>
      <c r="B24118"/>
      <c r="C24118"/>
      <c r="E24118"/>
      <c r="F24118"/>
    </row>
    <row r="24119" spans="1:6" x14ac:dyDescent="0.25">
      <c r="A24119"/>
      <c r="B24119"/>
      <c r="C24119"/>
      <c r="E24119"/>
      <c r="F24119"/>
    </row>
    <row r="24120" spans="1:6" x14ac:dyDescent="0.25">
      <c r="A24120"/>
      <c r="B24120"/>
      <c r="C24120"/>
      <c r="E24120"/>
      <c r="F24120"/>
    </row>
    <row r="24121" spans="1:6" x14ac:dyDescent="0.25">
      <c r="A24121"/>
      <c r="B24121"/>
      <c r="C24121"/>
      <c r="E24121"/>
      <c r="F24121"/>
    </row>
    <row r="24122" spans="1:6" x14ac:dyDescent="0.25">
      <c r="A24122"/>
      <c r="B24122"/>
      <c r="C24122"/>
      <c r="E24122"/>
      <c r="F24122"/>
    </row>
    <row r="24123" spans="1:6" x14ac:dyDescent="0.25">
      <c r="A24123"/>
      <c r="B24123"/>
      <c r="C24123"/>
      <c r="E24123"/>
      <c r="F24123"/>
    </row>
    <row r="24124" spans="1:6" x14ac:dyDescent="0.25">
      <c r="A24124"/>
      <c r="B24124"/>
      <c r="C24124"/>
      <c r="E24124"/>
      <c r="F24124"/>
    </row>
    <row r="24125" spans="1:6" x14ac:dyDescent="0.25">
      <c r="A24125"/>
      <c r="B24125"/>
      <c r="C24125"/>
      <c r="E24125"/>
      <c r="F24125"/>
    </row>
    <row r="24126" spans="1:6" x14ac:dyDescent="0.25">
      <c r="A24126"/>
      <c r="B24126"/>
      <c r="C24126"/>
      <c r="E24126"/>
      <c r="F24126"/>
    </row>
    <row r="24127" spans="1:6" x14ac:dyDescent="0.25">
      <c r="A24127"/>
      <c r="B24127"/>
      <c r="C24127"/>
      <c r="E24127"/>
      <c r="F24127"/>
    </row>
    <row r="24128" spans="1:6" x14ac:dyDescent="0.25">
      <c r="A24128"/>
      <c r="B24128"/>
      <c r="C24128"/>
      <c r="E24128"/>
      <c r="F24128"/>
    </row>
    <row r="24129" spans="1:6" x14ac:dyDescent="0.25">
      <c r="A24129"/>
      <c r="B24129"/>
      <c r="C24129"/>
      <c r="E24129"/>
      <c r="F24129"/>
    </row>
    <row r="24130" spans="1:6" x14ac:dyDescent="0.25">
      <c r="A24130"/>
      <c r="B24130"/>
      <c r="C24130"/>
      <c r="E24130"/>
      <c r="F24130"/>
    </row>
    <row r="24131" spans="1:6" x14ac:dyDescent="0.25">
      <c r="A24131"/>
      <c r="B24131"/>
      <c r="C24131"/>
      <c r="E24131"/>
      <c r="F24131"/>
    </row>
    <row r="24132" spans="1:6" x14ac:dyDescent="0.25">
      <c r="A24132"/>
      <c r="B24132"/>
      <c r="C24132"/>
      <c r="E24132"/>
      <c r="F24132"/>
    </row>
    <row r="24133" spans="1:6" x14ac:dyDescent="0.25">
      <c r="A24133"/>
      <c r="B24133"/>
      <c r="C24133"/>
      <c r="E24133"/>
      <c r="F24133"/>
    </row>
    <row r="24134" spans="1:6" x14ac:dyDescent="0.25">
      <c r="A24134"/>
      <c r="B24134"/>
      <c r="C24134"/>
      <c r="E24134"/>
      <c r="F24134"/>
    </row>
    <row r="24135" spans="1:6" x14ac:dyDescent="0.25">
      <c r="A24135"/>
      <c r="B24135"/>
      <c r="C24135"/>
      <c r="E24135"/>
      <c r="F24135"/>
    </row>
    <row r="24136" spans="1:6" x14ac:dyDescent="0.25">
      <c r="A24136"/>
      <c r="B24136"/>
      <c r="C24136"/>
      <c r="E24136"/>
      <c r="F24136"/>
    </row>
    <row r="24137" spans="1:6" x14ac:dyDescent="0.25">
      <c r="A24137"/>
      <c r="B24137"/>
      <c r="C24137"/>
      <c r="E24137"/>
      <c r="F24137"/>
    </row>
    <row r="24138" spans="1:6" x14ac:dyDescent="0.25">
      <c r="A24138"/>
      <c r="B24138"/>
      <c r="C24138"/>
      <c r="E24138"/>
      <c r="F24138"/>
    </row>
    <row r="24139" spans="1:6" x14ac:dyDescent="0.25">
      <c r="A24139"/>
      <c r="B24139"/>
      <c r="C24139"/>
      <c r="E24139"/>
      <c r="F24139"/>
    </row>
    <row r="24140" spans="1:6" x14ac:dyDescent="0.25">
      <c r="A24140"/>
      <c r="B24140"/>
      <c r="C24140"/>
      <c r="E24140"/>
      <c r="F24140"/>
    </row>
    <row r="24141" spans="1:6" x14ac:dyDescent="0.25">
      <c r="A24141"/>
      <c r="B24141"/>
      <c r="C24141"/>
      <c r="E24141"/>
      <c r="F24141"/>
    </row>
    <row r="24142" spans="1:6" x14ac:dyDescent="0.25">
      <c r="A24142"/>
      <c r="B24142"/>
      <c r="C24142"/>
      <c r="E24142"/>
      <c r="F24142"/>
    </row>
    <row r="24143" spans="1:6" x14ac:dyDescent="0.25">
      <c r="A24143"/>
      <c r="B24143"/>
      <c r="C24143"/>
      <c r="E24143"/>
      <c r="F24143"/>
    </row>
    <row r="24144" spans="1:6" x14ac:dyDescent="0.25">
      <c r="A24144"/>
      <c r="B24144"/>
      <c r="C24144"/>
      <c r="E24144"/>
      <c r="F24144"/>
    </row>
    <row r="24145" spans="1:6" x14ac:dyDescent="0.25">
      <c r="A24145"/>
      <c r="B24145"/>
      <c r="C24145"/>
      <c r="E24145"/>
      <c r="F24145"/>
    </row>
    <row r="24146" spans="1:6" x14ac:dyDescent="0.25">
      <c r="A24146"/>
      <c r="B24146"/>
      <c r="C24146"/>
      <c r="E24146"/>
      <c r="F24146"/>
    </row>
    <row r="24147" spans="1:6" x14ac:dyDescent="0.25">
      <c r="A24147"/>
      <c r="B24147"/>
      <c r="C24147"/>
      <c r="E24147"/>
      <c r="F24147"/>
    </row>
    <row r="24148" spans="1:6" x14ac:dyDescent="0.25">
      <c r="A24148"/>
      <c r="B24148"/>
      <c r="C24148"/>
      <c r="E24148"/>
      <c r="F24148"/>
    </row>
    <row r="24149" spans="1:6" x14ac:dyDescent="0.25">
      <c r="A24149"/>
      <c r="B24149"/>
      <c r="C24149"/>
      <c r="E24149"/>
      <c r="F24149"/>
    </row>
    <row r="24150" spans="1:6" x14ac:dyDescent="0.25">
      <c r="A24150"/>
      <c r="B24150"/>
      <c r="C24150"/>
      <c r="E24150"/>
      <c r="F24150"/>
    </row>
    <row r="24151" spans="1:6" x14ac:dyDescent="0.25">
      <c r="A24151"/>
      <c r="B24151"/>
      <c r="C24151"/>
      <c r="E24151"/>
      <c r="F24151"/>
    </row>
    <row r="24152" spans="1:6" x14ac:dyDescent="0.25">
      <c r="A24152"/>
      <c r="B24152"/>
      <c r="C24152"/>
      <c r="E24152"/>
      <c r="F24152"/>
    </row>
    <row r="24153" spans="1:6" x14ac:dyDescent="0.25">
      <c r="A24153"/>
      <c r="B24153"/>
      <c r="C24153"/>
      <c r="E24153"/>
      <c r="F24153"/>
    </row>
    <row r="24154" spans="1:6" x14ac:dyDescent="0.25">
      <c r="A24154"/>
      <c r="B24154"/>
      <c r="C24154"/>
      <c r="E24154"/>
      <c r="F24154"/>
    </row>
    <row r="24155" spans="1:6" x14ac:dyDescent="0.25">
      <c r="A24155"/>
      <c r="B24155"/>
      <c r="C24155"/>
      <c r="E24155"/>
      <c r="F24155"/>
    </row>
    <row r="24156" spans="1:6" x14ac:dyDescent="0.25">
      <c r="A24156"/>
      <c r="B24156"/>
      <c r="C24156"/>
      <c r="E24156"/>
      <c r="F24156"/>
    </row>
    <row r="24157" spans="1:6" x14ac:dyDescent="0.25">
      <c r="A24157"/>
      <c r="B24157"/>
      <c r="C24157"/>
      <c r="E24157"/>
      <c r="F24157"/>
    </row>
    <row r="24158" spans="1:6" x14ac:dyDescent="0.25">
      <c r="A24158"/>
      <c r="B24158"/>
      <c r="C24158"/>
      <c r="E24158"/>
      <c r="F24158"/>
    </row>
    <row r="24159" spans="1:6" x14ac:dyDescent="0.25">
      <c r="A24159"/>
      <c r="B24159"/>
      <c r="C24159"/>
      <c r="E24159"/>
      <c r="F24159"/>
    </row>
    <row r="24160" spans="1:6" x14ac:dyDescent="0.25">
      <c r="A24160"/>
      <c r="B24160"/>
      <c r="C24160"/>
      <c r="E24160"/>
      <c r="F24160"/>
    </row>
    <row r="24161" spans="1:6" x14ac:dyDescent="0.25">
      <c r="A24161"/>
      <c r="B24161"/>
      <c r="C24161"/>
      <c r="E24161"/>
      <c r="F24161"/>
    </row>
    <row r="24162" spans="1:6" x14ac:dyDescent="0.25">
      <c r="A24162"/>
      <c r="B24162"/>
      <c r="C24162"/>
      <c r="E24162"/>
      <c r="F24162"/>
    </row>
    <row r="24163" spans="1:6" x14ac:dyDescent="0.25">
      <c r="A24163"/>
      <c r="B24163"/>
      <c r="C24163"/>
      <c r="E24163"/>
      <c r="F24163"/>
    </row>
    <row r="24164" spans="1:6" x14ac:dyDescent="0.25">
      <c r="A24164"/>
      <c r="B24164"/>
      <c r="C24164"/>
      <c r="E24164"/>
      <c r="F24164"/>
    </row>
    <row r="24165" spans="1:6" x14ac:dyDescent="0.25">
      <c r="A24165"/>
      <c r="B24165"/>
      <c r="C24165"/>
      <c r="E24165"/>
      <c r="F24165"/>
    </row>
    <row r="24166" spans="1:6" x14ac:dyDescent="0.25">
      <c r="A24166"/>
      <c r="B24166"/>
      <c r="C24166"/>
      <c r="E24166"/>
      <c r="F24166"/>
    </row>
    <row r="24167" spans="1:6" x14ac:dyDescent="0.25">
      <c r="A24167"/>
      <c r="B24167"/>
      <c r="C24167"/>
      <c r="E24167"/>
      <c r="F24167"/>
    </row>
    <row r="24168" spans="1:6" x14ac:dyDescent="0.25">
      <c r="A24168"/>
      <c r="B24168"/>
      <c r="C24168"/>
      <c r="E24168"/>
      <c r="F24168"/>
    </row>
    <row r="24169" spans="1:6" x14ac:dyDescent="0.25">
      <c r="A24169"/>
      <c r="B24169"/>
      <c r="C24169"/>
      <c r="E24169"/>
      <c r="F24169"/>
    </row>
    <row r="24170" spans="1:6" x14ac:dyDescent="0.25">
      <c r="A24170"/>
      <c r="B24170"/>
      <c r="C24170"/>
      <c r="E24170"/>
      <c r="F24170"/>
    </row>
    <row r="24171" spans="1:6" x14ac:dyDescent="0.25">
      <c r="A24171"/>
      <c r="B24171"/>
      <c r="C24171"/>
      <c r="E24171"/>
      <c r="F24171"/>
    </row>
    <row r="24172" spans="1:6" x14ac:dyDescent="0.25">
      <c r="A24172"/>
      <c r="B24172"/>
      <c r="C24172"/>
      <c r="E24172"/>
      <c r="F24172"/>
    </row>
    <row r="24173" spans="1:6" x14ac:dyDescent="0.25">
      <c r="A24173"/>
      <c r="B24173"/>
      <c r="C24173"/>
      <c r="E24173"/>
      <c r="F24173"/>
    </row>
    <row r="24174" spans="1:6" x14ac:dyDescent="0.25">
      <c r="A24174"/>
      <c r="B24174"/>
      <c r="C24174"/>
      <c r="E24174"/>
      <c r="F24174"/>
    </row>
    <row r="24175" spans="1:6" x14ac:dyDescent="0.25">
      <c r="A24175"/>
      <c r="B24175"/>
      <c r="C24175"/>
      <c r="E24175"/>
      <c r="F24175"/>
    </row>
    <row r="24176" spans="1:6" x14ac:dyDescent="0.25">
      <c r="A24176"/>
      <c r="B24176"/>
      <c r="C24176"/>
      <c r="E24176"/>
      <c r="F24176"/>
    </row>
    <row r="24177" spans="1:6" x14ac:dyDescent="0.25">
      <c r="A24177"/>
      <c r="B24177"/>
      <c r="C24177"/>
      <c r="E24177"/>
      <c r="F24177"/>
    </row>
    <row r="24178" spans="1:6" x14ac:dyDescent="0.25">
      <c r="A24178"/>
      <c r="B24178"/>
      <c r="C24178"/>
      <c r="E24178"/>
      <c r="F24178"/>
    </row>
    <row r="24179" spans="1:6" x14ac:dyDescent="0.25">
      <c r="A24179"/>
      <c r="B24179"/>
      <c r="C24179"/>
      <c r="E24179"/>
      <c r="F24179"/>
    </row>
    <row r="24180" spans="1:6" x14ac:dyDescent="0.25">
      <c r="A24180"/>
      <c r="B24180"/>
      <c r="C24180"/>
      <c r="E24180"/>
      <c r="F24180"/>
    </row>
    <row r="24181" spans="1:6" x14ac:dyDescent="0.25">
      <c r="A24181"/>
      <c r="B24181"/>
      <c r="C24181"/>
      <c r="E24181"/>
      <c r="F24181"/>
    </row>
    <row r="24182" spans="1:6" x14ac:dyDescent="0.25">
      <c r="A24182"/>
      <c r="B24182"/>
      <c r="C24182"/>
      <c r="E24182"/>
      <c r="F24182"/>
    </row>
    <row r="24183" spans="1:6" x14ac:dyDescent="0.25">
      <c r="A24183"/>
      <c r="B24183"/>
      <c r="C24183"/>
      <c r="E24183"/>
      <c r="F24183"/>
    </row>
    <row r="24184" spans="1:6" x14ac:dyDescent="0.25">
      <c r="A24184"/>
      <c r="B24184"/>
      <c r="C24184"/>
      <c r="E24184"/>
      <c r="F24184"/>
    </row>
    <row r="24185" spans="1:6" x14ac:dyDescent="0.25">
      <c r="A24185"/>
      <c r="B24185"/>
      <c r="C24185"/>
      <c r="E24185"/>
      <c r="F24185"/>
    </row>
    <row r="24186" spans="1:6" x14ac:dyDescent="0.25">
      <c r="A24186"/>
      <c r="B24186"/>
      <c r="C24186"/>
      <c r="E24186"/>
      <c r="F24186"/>
    </row>
    <row r="24187" spans="1:6" x14ac:dyDescent="0.25">
      <c r="A24187"/>
      <c r="B24187"/>
      <c r="C24187"/>
      <c r="E24187"/>
      <c r="F24187"/>
    </row>
    <row r="24188" spans="1:6" x14ac:dyDescent="0.25">
      <c r="A24188"/>
      <c r="B24188"/>
      <c r="C24188"/>
      <c r="E24188"/>
      <c r="F24188"/>
    </row>
    <row r="24189" spans="1:6" x14ac:dyDescent="0.25">
      <c r="A24189"/>
      <c r="B24189"/>
      <c r="C24189"/>
      <c r="E24189"/>
      <c r="F24189"/>
    </row>
    <row r="24190" spans="1:6" x14ac:dyDescent="0.25">
      <c r="A24190"/>
      <c r="B24190"/>
      <c r="C24190"/>
      <c r="E24190"/>
      <c r="F24190"/>
    </row>
    <row r="24191" spans="1:6" x14ac:dyDescent="0.25">
      <c r="A24191"/>
      <c r="B24191"/>
      <c r="C24191"/>
      <c r="E24191"/>
      <c r="F24191"/>
    </row>
    <row r="24192" spans="1:6" x14ac:dyDescent="0.25">
      <c r="A24192"/>
      <c r="B24192"/>
      <c r="C24192"/>
      <c r="E24192"/>
      <c r="F24192"/>
    </row>
    <row r="24193" spans="1:6" x14ac:dyDescent="0.25">
      <c r="A24193"/>
      <c r="B24193"/>
      <c r="C24193"/>
      <c r="E24193"/>
      <c r="F24193"/>
    </row>
    <row r="24194" spans="1:6" x14ac:dyDescent="0.25">
      <c r="A24194"/>
      <c r="B24194"/>
      <c r="C24194"/>
      <c r="E24194"/>
      <c r="F24194"/>
    </row>
    <row r="24195" spans="1:6" x14ac:dyDescent="0.25">
      <c r="A24195"/>
      <c r="B24195"/>
      <c r="C24195"/>
      <c r="E24195"/>
      <c r="F24195"/>
    </row>
    <row r="24196" spans="1:6" x14ac:dyDescent="0.25">
      <c r="A24196"/>
      <c r="B24196"/>
      <c r="C24196"/>
      <c r="E24196"/>
      <c r="F24196"/>
    </row>
    <row r="24197" spans="1:6" x14ac:dyDescent="0.25">
      <c r="A24197"/>
      <c r="B24197"/>
      <c r="C24197"/>
      <c r="E24197"/>
      <c r="F24197"/>
    </row>
    <row r="24198" spans="1:6" x14ac:dyDescent="0.25">
      <c r="A24198"/>
      <c r="B24198"/>
      <c r="C24198"/>
      <c r="E24198"/>
      <c r="F24198"/>
    </row>
    <row r="24199" spans="1:6" x14ac:dyDescent="0.25">
      <c r="A24199"/>
      <c r="B24199"/>
      <c r="C24199"/>
      <c r="E24199"/>
      <c r="F24199"/>
    </row>
    <row r="24200" spans="1:6" x14ac:dyDescent="0.25">
      <c r="A24200"/>
      <c r="B24200"/>
      <c r="C24200"/>
      <c r="E24200"/>
      <c r="F24200"/>
    </row>
    <row r="24201" spans="1:6" x14ac:dyDescent="0.25">
      <c r="A24201"/>
      <c r="B24201"/>
      <c r="C24201"/>
      <c r="E24201"/>
      <c r="F24201"/>
    </row>
    <row r="24202" spans="1:6" x14ac:dyDescent="0.25">
      <c r="A24202"/>
      <c r="B24202"/>
      <c r="C24202"/>
      <c r="E24202"/>
      <c r="F24202"/>
    </row>
    <row r="24203" spans="1:6" x14ac:dyDescent="0.25">
      <c r="A24203"/>
      <c r="B24203"/>
      <c r="C24203"/>
      <c r="E24203"/>
      <c r="F24203"/>
    </row>
    <row r="24204" spans="1:6" x14ac:dyDescent="0.25">
      <c r="A24204"/>
      <c r="B24204"/>
      <c r="C24204"/>
      <c r="E24204"/>
      <c r="F24204"/>
    </row>
    <row r="24205" spans="1:6" x14ac:dyDescent="0.25">
      <c r="A24205"/>
      <c r="B24205"/>
      <c r="C24205"/>
      <c r="E24205"/>
      <c r="F24205"/>
    </row>
    <row r="24206" spans="1:6" x14ac:dyDescent="0.25">
      <c r="A24206"/>
      <c r="B24206"/>
      <c r="C24206"/>
      <c r="E24206"/>
      <c r="F24206"/>
    </row>
    <row r="24207" spans="1:6" x14ac:dyDescent="0.25">
      <c r="A24207"/>
      <c r="B24207"/>
      <c r="C24207"/>
      <c r="E24207"/>
      <c r="F24207"/>
    </row>
    <row r="24208" spans="1:6" x14ac:dyDescent="0.25">
      <c r="A24208"/>
      <c r="B24208"/>
      <c r="C24208"/>
      <c r="E24208"/>
      <c r="F24208"/>
    </row>
    <row r="24209" spans="1:6" x14ac:dyDescent="0.25">
      <c r="A24209"/>
      <c r="B24209"/>
      <c r="C24209"/>
      <c r="E24209"/>
      <c r="F24209"/>
    </row>
    <row r="24210" spans="1:6" x14ac:dyDescent="0.25">
      <c r="A24210"/>
      <c r="B24210"/>
      <c r="C24210"/>
      <c r="E24210"/>
      <c r="F24210"/>
    </row>
    <row r="24211" spans="1:6" x14ac:dyDescent="0.25">
      <c r="A24211"/>
      <c r="B24211"/>
      <c r="C24211"/>
      <c r="E24211"/>
      <c r="F24211"/>
    </row>
    <row r="24212" spans="1:6" x14ac:dyDescent="0.25">
      <c r="A24212"/>
      <c r="B24212"/>
      <c r="C24212"/>
      <c r="E24212"/>
      <c r="F24212"/>
    </row>
    <row r="24213" spans="1:6" x14ac:dyDescent="0.25">
      <c r="A24213"/>
      <c r="B24213"/>
      <c r="C24213"/>
      <c r="E24213"/>
      <c r="F24213"/>
    </row>
    <row r="24214" spans="1:6" x14ac:dyDescent="0.25">
      <c r="A24214"/>
      <c r="B24214"/>
      <c r="C24214"/>
      <c r="E24214"/>
      <c r="F24214"/>
    </row>
    <row r="24215" spans="1:6" x14ac:dyDescent="0.25">
      <c r="A24215"/>
      <c r="B24215"/>
      <c r="C24215"/>
      <c r="E24215"/>
      <c r="F24215"/>
    </row>
    <row r="24216" spans="1:6" x14ac:dyDescent="0.25">
      <c r="A24216"/>
      <c r="B24216"/>
      <c r="C24216"/>
      <c r="E24216"/>
      <c r="F24216"/>
    </row>
    <row r="24217" spans="1:6" x14ac:dyDescent="0.25">
      <c r="A24217"/>
      <c r="B24217"/>
      <c r="C24217"/>
      <c r="E24217"/>
      <c r="F24217"/>
    </row>
    <row r="24218" spans="1:6" x14ac:dyDescent="0.25">
      <c r="A24218"/>
      <c r="B24218"/>
      <c r="C24218"/>
      <c r="E24218"/>
      <c r="F24218"/>
    </row>
    <row r="24219" spans="1:6" x14ac:dyDescent="0.25">
      <c r="A24219"/>
      <c r="B24219"/>
      <c r="C24219"/>
      <c r="E24219"/>
      <c r="F24219"/>
    </row>
    <row r="24220" spans="1:6" x14ac:dyDescent="0.25">
      <c r="A24220"/>
      <c r="B24220"/>
      <c r="C24220"/>
      <c r="E24220"/>
      <c r="F24220"/>
    </row>
    <row r="24221" spans="1:6" x14ac:dyDescent="0.25">
      <c r="A24221"/>
      <c r="B24221"/>
      <c r="C24221"/>
      <c r="E24221"/>
      <c r="F24221"/>
    </row>
    <row r="24222" spans="1:6" x14ac:dyDescent="0.25">
      <c r="A24222"/>
      <c r="B24222"/>
      <c r="C24222"/>
      <c r="E24222"/>
      <c r="F24222"/>
    </row>
    <row r="24223" spans="1:6" x14ac:dyDescent="0.25">
      <c r="A24223"/>
      <c r="B24223"/>
      <c r="C24223"/>
      <c r="E24223"/>
      <c r="F24223"/>
    </row>
    <row r="24224" spans="1:6" x14ac:dyDescent="0.25">
      <c r="A24224"/>
      <c r="B24224"/>
      <c r="C24224"/>
      <c r="E24224"/>
      <c r="F24224"/>
    </row>
    <row r="24225" spans="1:6" x14ac:dyDescent="0.25">
      <c r="A24225"/>
      <c r="B24225"/>
      <c r="C24225"/>
      <c r="E24225"/>
      <c r="F24225"/>
    </row>
    <row r="24226" spans="1:6" x14ac:dyDescent="0.25">
      <c r="A24226"/>
      <c r="B24226"/>
      <c r="C24226"/>
      <c r="E24226"/>
      <c r="F24226"/>
    </row>
    <row r="24227" spans="1:6" x14ac:dyDescent="0.25">
      <c r="A24227"/>
      <c r="B24227"/>
      <c r="C24227"/>
      <c r="E24227"/>
      <c r="F24227"/>
    </row>
    <row r="24228" spans="1:6" x14ac:dyDescent="0.25">
      <c r="A24228"/>
      <c r="B24228"/>
      <c r="C24228"/>
      <c r="E24228"/>
      <c r="F24228"/>
    </row>
    <row r="24229" spans="1:6" x14ac:dyDescent="0.25">
      <c r="A24229"/>
      <c r="B24229"/>
      <c r="C24229"/>
      <c r="E24229"/>
      <c r="F24229"/>
    </row>
    <row r="24230" spans="1:6" x14ac:dyDescent="0.25">
      <c r="A24230"/>
      <c r="B24230"/>
      <c r="C24230"/>
      <c r="E24230"/>
      <c r="F24230"/>
    </row>
    <row r="24231" spans="1:6" x14ac:dyDescent="0.25">
      <c r="A24231"/>
      <c r="B24231"/>
      <c r="C24231"/>
      <c r="E24231"/>
      <c r="F24231"/>
    </row>
    <row r="24232" spans="1:6" x14ac:dyDescent="0.25">
      <c r="A24232"/>
      <c r="B24232"/>
      <c r="C24232"/>
      <c r="E24232"/>
      <c r="F24232"/>
    </row>
    <row r="24233" spans="1:6" x14ac:dyDescent="0.25">
      <c r="A24233"/>
      <c r="B24233"/>
      <c r="C24233"/>
      <c r="E24233"/>
      <c r="F24233"/>
    </row>
    <row r="24234" spans="1:6" x14ac:dyDescent="0.25">
      <c r="A24234"/>
      <c r="B24234"/>
      <c r="C24234"/>
      <c r="E24234"/>
      <c r="F24234"/>
    </row>
    <row r="24235" spans="1:6" x14ac:dyDescent="0.25">
      <c r="A24235"/>
      <c r="B24235"/>
      <c r="C24235"/>
      <c r="E24235"/>
      <c r="F24235"/>
    </row>
    <row r="24236" spans="1:6" x14ac:dyDescent="0.25">
      <c r="A24236"/>
      <c r="B24236"/>
      <c r="C24236"/>
      <c r="E24236"/>
      <c r="F24236"/>
    </row>
    <row r="24237" spans="1:6" x14ac:dyDescent="0.25">
      <c r="A24237"/>
      <c r="B24237"/>
      <c r="C24237"/>
      <c r="E24237"/>
      <c r="F24237"/>
    </row>
    <row r="24238" spans="1:6" x14ac:dyDescent="0.25">
      <c r="A24238"/>
      <c r="B24238"/>
      <c r="C24238"/>
      <c r="E24238"/>
      <c r="F24238"/>
    </row>
    <row r="24239" spans="1:6" x14ac:dyDescent="0.25">
      <c r="A24239"/>
      <c r="B24239"/>
      <c r="C24239"/>
      <c r="E24239"/>
      <c r="F24239"/>
    </row>
    <row r="24240" spans="1:6" x14ac:dyDescent="0.25">
      <c r="A24240"/>
      <c r="B24240"/>
      <c r="C24240"/>
      <c r="E24240"/>
      <c r="F24240"/>
    </row>
    <row r="24241" spans="1:6" x14ac:dyDescent="0.25">
      <c r="A24241"/>
      <c r="B24241"/>
      <c r="C24241"/>
      <c r="E24241"/>
      <c r="F24241"/>
    </row>
    <row r="24242" spans="1:6" x14ac:dyDescent="0.25">
      <c r="A24242"/>
      <c r="B24242"/>
      <c r="C24242"/>
      <c r="E24242"/>
      <c r="F24242"/>
    </row>
    <row r="24243" spans="1:6" x14ac:dyDescent="0.25">
      <c r="A24243"/>
      <c r="B24243"/>
      <c r="C24243"/>
      <c r="E24243"/>
      <c r="F24243"/>
    </row>
    <row r="24244" spans="1:6" x14ac:dyDescent="0.25">
      <c r="A24244"/>
      <c r="B24244"/>
      <c r="C24244"/>
      <c r="E24244"/>
      <c r="F24244"/>
    </row>
    <row r="24245" spans="1:6" x14ac:dyDescent="0.25">
      <c r="A24245"/>
      <c r="B24245"/>
      <c r="C24245"/>
      <c r="E24245"/>
      <c r="F24245"/>
    </row>
    <row r="24246" spans="1:6" x14ac:dyDescent="0.25">
      <c r="A24246"/>
      <c r="B24246"/>
      <c r="C24246"/>
      <c r="E24246"/>
      <c r="F24246"/>
    </row>
    <row r="24247" spans="1:6" x14ac:dyDescent="0.25">
      <c r="A24247"/>
      <c r="B24247"/>
      <c r="C24247"/>
      <c r="E24247"/>
      <c r="F24247"/>
    </row>
    <row r="24248" spans="1:6" x14ac:dyDescent="0.25">
      <c r="A24248"/>
      <c r="B24248"/>
      <c r="C24248"/>
      <c r="E24248"/>
      <c r="F24248"/>
    </row>
    <row r="24249" spans="1:6" x14ac:dyDescent="0.25">
      <c r="A24249"/>
      <c r="B24249"/>
      <c r="C24249"/>
      <c r="E24249"/>
      <c r="F24249"/>
    </row>
    <row r="24250" spans="1:6" x14ac:dyDescent="0.25">
      <c r="A24250"/>
      <c r="B24250"/>
      <c r="C24250"/>
      <c r="E24250"/>
      <c r="F24250"/>
    </row>
    <row r="24251" spans="1:6" x14ac:dyDescent="0.25">
      <c r="A24251"/>
      <c r="B24251"/>
      <c r="C24251"/>
      <c r="E24251"/>
      <c r="F24251"/>
    </row>
    <row r="24252" spans="1:6" x14ac:dyDescent="0.25">
      <c r="A24252"/>
      <c r="B24252"/>
      <c r="C24252"/>
      <c r="E24252"/>
      <c r="F24252"/>
    </row>
    <row r="24253" spans="1:6" x14ac:dyDescent="0.25">
      <c r="A24253"/>
      <c r="B24253"/>
      <c r="C24253"/>
      <c r="E24253"/>
      <c r="F24253"/>
    </row>
    <row r="24254" spans="1:6" x14ac:dyDescent="0.25">
      <c r="A24254"/>
      <c r="B24254"/>
      <c r="C24254"/>
      <c r="E24254"/>
      <c r="F24254"/>
    </row>
    <row r="24255" spans="1:6" x14ac:dyDescent="0.25">
      <c r="A24255"/>
      <c r="B24255"/>
      <c r="C24255"/>
      <c r="E24255"/>
      <c r="F24255"/>
    </row>
    <row r="24256" spans="1:6" x14ac:dyDescent="0.25">
      <c r="A24256"/>
      <c r="B24256"/>
      <c r="C24256"/>
      <c r="E24256"/>
      <c r="F24256"/>
    </row>
    <row r="24257" spans="1:6" x14ac:dyDescent="0.25">
      <c r="A24257"/>
      <c r="B24257"/>
      <c r="C24257"/>
      <c r="E24257"/>
      <c r="F24257"/>
    </row>
    <row r="24258" spans="1:6" x14ac:dyDescent="0.25">
      <c r="A24258"/>
      <c r="B24258"/>
      <c r="C24258"/>
      <c r="E24258"/>
      <c r="F24258"/>
    </row>
    <row r="24259" spans="1:6" x14ac:dyDescent="0.25">
      <c r="A24259"/>
      <c r="B24259"/>
      <c r="C24259"/>
      <c r="E24259"/>
      <c r="F24259"/>
    </row>
    <row r="24260" spans="1:6" x14ac:dyDescent="0.25">
      <c r="A24260"/>
      <c r="B24260"/>
      <c r="C24260"/>
      <c r="E24260"/>
      <c r="F24260"/>
    </row>
    <row r="24261" spans="1:6" x14ac:dyDescent="0.25">
      <c r="A24261"/>
      <c r="B24261"/>
      <c r="C24261"/>
      <c r="E24261"/>
      <c r="F24261"/>
    </row>
    <row r="24262" spans="1:6" x14ac:dyDescent="0.25">
      <c r="A24262"/>
      <c r="B24262"/>
      <c r="C24262"/>
      <c r="E24262"/>
      <c r="F24262"/>
    </row>
    <row r="24263" spans="1:6" x14ac:dyDescent="0.25">
      <c r="A24263"/>
      <c r="B24263"/>
      <c r="C24263"/>
      <c r="E24263"/>
      <c r="F24263"/>
    </row>
    <row r="24264" spans="1:6" x14ac:dyDescent="0.25">
      <c r="A24264"/>
      <c r="B24264"/>
      <c r="C24264"/>
      <c r="E24264"/>
      <c r="F24264"/>
    </row>
    <row r="24265" spans="1:6" x14ac:dyDescent="0.25">
      <c r="A24265"/>
      <c r="B24265"/>
      <c r="C24265"/>
      <c r="E24265"/>
      <c r="F24265"/>
    </row>
    <row r="24266" spans="1:6" x14ac:dyDescent="0.25">
      <c r="A24266"/>
      <c r="B24266"/>
      <c r="C24266"/>
      <c r="E24266"/>
      <c r="F24266"/>
    </row>
    <row r="24267" spans="1:6" x14ac:dyDescent="0.25">
      <c r="A24267"/>
      <c r="B24267"/>
      <c r="C24267"/>
      <c r="E24267"/>
      <c r="F24267"/>
    </row>
    <row r="24268" spans="1:6" x14ac:dyDescent="0.25">
      <c r="A24268"/>
      <c r="B24268"/>
      <c r="C24268"/>
      <c r="E24268"/>
      <c r="F24268"/>
    </row>
    <row r="24269" spans="1:6" x14ac:dyDescent="0.25">
      <c r="A24269"/>
      <c r="B24269"/>
      <c r="C24269"/>
      <c r="E24269"/>
      <c r="F24269"/>
    </row>
    <row r="24270" spans="1:6" x14ac:dyDescent="0.25">
      <c r="A24270"/>
      <c r="B24270"/>
      <c r="C24270"/>
      <c r="E24270"/>
      <c r="F24270"/>
    </row>
    <row r="24271" spans="1:6" x14ac:dyDescent="0.25">
      <c r="A24271"/>
      <c r="B24271"/>
      <c r="C24271"/>
      <c r="E24271"/>
      <c r="F24271"/>
    </row>
    <row r="24272" spans="1:6" x14ac:dyDescent="0.25">
      <c r="A24272"/>
      <c r="B24272"/>
      <c r="C24272"/>
      <c r="E24272"/>
      <c r="F24272"/>
    </row>
    <row r="24273" spans="1:6" x14ac:dyDescent="0.25">
      <c r="A24273"/>
      <c r="B24273"/>
      <c r="C24273"/>
      <c r="E24273"/>
      <c r="F24273"/>
    </row>
    <row r="24274" spans="1:6" x14ac:dyDescent="0.25">
      <c r="A24274"/>
      <c r="B24274"/>
      <c r="C24274"/>
      <c r="E24274"/>
      <c r="F24274"/>
    </row>
    <row r="24275" spans="1:6" x14ac:dyDescent="0.25">
      <c r="A24275"/>
      <c r="B24275"/>
      <c r="C24275"/>
      <c r="E24275"/>
      <c r="F24275"/>
    </row>
    <row r="24276" spans="1:6" x14ac:dyDescent="0.25">
      <c r="A24276"/>
      <c r="B24276"/>
      <c r="C24276"/>
      <c r="E24276"/>
      <c r="F24276"/>
    </row>
    <row r="24277" spans="1:6" x14ac:dyDescent="0.25">
      <c r="A24277"/>
      <c r="B24277"/>
      <c r="C24277"/>
      <c r="E24277"/>
      <c r="F24277"/>
    </row>
    <row r="24278" spans="1:6" x14ac:dyDescent="0.25">
      <c r="A24278"/>
      <c r="B24278"/>
      <c r="C24278"/>
      <c r="E24278"/>
      <c r="F24278"/>
    </row>
    <row r="24279" spans="1:6" x14ac:dyDescent="0.25">
      <c r="A24279"/>
      <c r="B24279"/>
      <c r="C24279"/>
      <c r="E24279"/>
      <c r="F24279"/>
    </row>
    <row r="24280" spans="1:6" x14ac:dyDescent="0.25">
      <c r="A24280"/>
      <c r="B24280"/>
      <c r="C24280"/>
      <c r="E24280"/>
      <c r="F24280"/>
    </row>
    <row r="24281" spans="1:6" x14ac:dyDescent="0.25">
      <c r="A24281"/>
      <c r="B24281"/>
      <c r="C24281"/>
      <c r="E24281"/>
      <c r="F24281"/>
    </row>
    <row r="24282" spans="1:6" x14ac:dyDescent="0.25">
      <c r="A24282"/>
      <c r="B24282"/>
      <c r="C24282"/>
      <c r="E24282"/>
      <c r="F24282"/>
    </row>
    <row r="24283" spans="1:6" x14ac:dyDescent="0.25">
      <c r="A24283"/>
      <c r="B24283"/>
      <c r="C24283"/>
      <c r="E24283"/>
      <c r="F24283"/>
    </row>
    <row r="24284" spans="1:6" x14ac:dyDescent="0.25">
      <c r="A24284"/>
      <c r="B24284"/>
      <c r="C24284"/>
      <c r="E24284"/>
      <c r="F24284"/>
    </row>
    <row r="24285" spans="1:6" x14ac:dyDescent="0.25">
      <c r="A24285"/>
      <c r="B24285"/>
      <c r="C24285"/>
      <c r="E24285"/>
      <c r="F24285"/>
    </row>
    <row r="24286" spans="1:6" x14ac:dyDescent="0.25">
      <c r="A24286"/>
      <c r="B24286"/>
      <c r="C24286"/>
      <c r="E24286"/>
      <c r="F24286"/>
    </row>
    <row r="24287" spans="1:6" x14ac:dyDescent="0.25">
      <c r="A24287"/>
      <c r="B24287"/>
      <c r="C24287"/>
      <c r="E24287"/>
      <c r="F24287"/>
    </row>
    <row r="24288" spans="1:6" x14ac:dyDescent="0.25">
      <c r="A24288"/>
      <c r="B24288"/>
      <c r="C24288"/>
      <c r="E24288"/>
      <c r="F24288"/>
    </row>
    <row r="24289" spans="1:6" x14ac:dyDescent="0.25">
      <c r="A24289"/>
      <c r="B24289"/>
      <c r="C24289"/>
      <c r="E24289"/>
      <c r="F24289"/>
    </row>
    <row r="24290" spans="1:6" x14ac:dyDescent="0.25">
      <c r="A24290"/>
      <c r="B24290"/>
      <c r="C24290"/>
      <c r="E24290"/>
      <c r="F24290"/>
    </row>
    <row r="24291" spans="1:6" x14ac:dyDescent="0.25">
      <c r="A24291"/>
      <c r="B24291"/>
      <c r="C24291"/>
      <c r="E24291"/>
      <c r="F24291"/>
    </row>
    <row r="24292" spans="1:6" x14ac:dyDescent="0.25">
      <c r="A24292"/>
      <c r="B24292"/>
      <c r="C24292"/>
      <c r="E24292"/>
      <c r="F24292"/>
    </row>
    <row r="24293" spans="1:6" x14ac:dyDescent="0.25">
      <c r="A24293"/>
      <c r="B24293"/>
      <c r="C24293"/>
      <c r="E24293"/>
      <c r="F24293"/>
    </row>
    <row r="24294" spans="1:6" x14ac:dyDescent="0.25">
      <c r="A24294"/>
      <c r="B24294"/>
      <c r="C24294"/>
      <c r="E24294"/>
      <c r="F24294"/>
    </row>
    <row r="24295" spans="1:6" x14ac:dyDescent="0.25">
      <c r="A24295"/>
      <c r="B24295"/>
      <c r="C24295"/>
      <c r="E24295"/>
      <c r="F24295"/>
    </row>
    <row r="24296" spans="1:6" x14ac:dyDescent="0.25">
      <c r="A24296"/>
      <c r="B24296"/>
      <c r="C24296"/>
      <c r="E24296"/>
      <c r="F24296"/>
    </row>
    <row r="24297" spans="1:6" x14ac:dyDescent="0.25">
      <c r="A24297"/>
      <c r="B24297"/>
      <c r="C24297"/>
      <c r="E24297"/>
      <c r="F24297"/>
    </row>
    <row r="24298" spans="1:6" x14ac:dyDescent="0.25">
      <c r="A24298"/>
      <c r="B24298"/>
      <c r="C24298"/>
      <c r="E24298"/>
      <c r="F24298"/>
    </row>
    <row r="24299" spans="1:6" x14ac:dyDescent="0.25">
      <c r="A24299"/>
      <c r="B24299"/>
      <c r="C24299"/>
      <c r="E24299"/>
      <c r="F24299"/>
    </row>
    <row r="24300" spans="1:6" x14ac:dyDescent="0.25">
      <c r="A24300"/>
      <c r="B24300"/>
      <c r="C24300"/>
      <c r="E24300"/>
      <c r="F24300"/>
    </row>
    <row r="24301" spans="1:6" x14ac:dyDescent="0.25">
      <c r="A24301"/>
      <c r="B24301"/>
      <c r="C24301"/>
      <c r="E24301"/>
      <c r="F24301"/>
    </row>
    <row r="24302" spans="1:6" x14ac:dyDescent="0.25">
      <c r="A24302"/>
      <c r="B24302"/>
      <c r="C24302"/>
      <c r="E24302"/>
      <c r="F24302"/>
    </row>
    <row r="24303" spans="1:6" x14ac:dyDescent="0.25">
      <c r="A24303"/>
      <c r="B24303"/>
      <c r="C24303"/>
      <c r="E24303"/>
      <c r="F24303"/>
    </row>
    <row r="24304" spans="1:6" x14ac:dyDescent="0.25">
      <c r="A24304"/>
      <c r="B24304"/>
      <c r="C24304"/>
      <c r="E24304"/>
      <c r="F24304"/>
    </row>
    <row r="24305" spans="1:6" x14ac:dyDescent="0.25">
      <c r="A24305"/>
      <c r="B24305"/>
      <c r="C24305"/>
      <c r="E24305"/>
      <c r="F24305"/>
    </row>
    <row r="24306" spans="1:6" x14ac:dyDescent="0.25">
      <c r="A24306"/>
      <c r="B24306"/>
      <c r="C24306"/>
      <c r="E24306"/>
      <c r="F24306"/>
    </row>
    <row r="24307" spans="1:6" x14ac:dyDescent="0.25">
      <c r="A24307"/>
      <c r="B24307"/>
      <c r="C24307"/>
      <c r="E24307"/>
      <c r="F24307"/>
    </row>
    <row r="24308" spans="1:6" x14ac:dyDescent="0.25">
      <c r="A24308"/>
      <c r="B24308"/>
      <c r="C24308"/>
      <c r="E24308"/>
      <c r="F24308"/>
    </row>
    <row r="24309" spans="1:6" x14ac:dyDescent="0.25">
      <c r="A24309"/>
      <c r="B24309"/>
      <c r="C24309"/>
      <c r="E24309"/>
      <c r="F24309"/>
    </row>
    <row r="24310" spans="1:6" x14ac:dyDescent="0.25">
      <c r="A24310"/>
      <c r="B24310"/>
      <c r="C24310"/>
      <c r="E24310"/>
      <c r="F24310"/>
    </row>
    <row r="24311" spans="1:6" x14ac:dyDescent="0.25">
      <c r="A24311"/>
      <c r="B24311"/>
      <c r="C24311"/>
      <c r="E24311"/>
      <c r="F24311"/>
    </row>
    <row r="24312" spans="1:6" x14ac:dyDescent="0.25">
      <c r="A24312"/>
      <c r="B24312"/>
      <c r="C24312"/>
      <c r="E24312"/>
      <c r="F24312"/>
    </row>
    <row r="24313" spans="1:6" x14ac:dyDescent="0.25">
      <c r="A24313"/>
      <c r="B24313"/>
      <c r="C24313"/>
      <c r="E24313"/>
      <c r="F24313"/>
    </row>
    <row r="24314" spans="1:6" x14ac:dyDescent="0.25">
      <c r="A24314"/>
      <c r="B24314"/>
      <c r="C24314"/>
      <c r="E24314"/>
      <c r="F24314"/>
    </row>
    <row r="24315" spans="1:6" x14ac:dyDescent="0.25">
      <c r="A24315"/>
      <c r="B24315"/>
      <c r="C24315"/>
      <c r="E24315"/>
      <c r="F24315"/>
    </row>
    <row r="24316" spans="1:6" x14ac:dyDescent="0.25">
      <c r="A24316"/>
      <c r="B24316"/>
      <c r="C24316"/>
      <c r="E24316"/>
      <c r="F24316"/>
    </row>
    <row r="24317" spans="1:6" x14ac:dyDescent="0.25">
      <c r="A24317"/>
      <c r="B24317"/>
      <c r="C24317"/>
      <c r="E24317"/>
      <c r="F24317"/>
    </row>
    <row r="24318" spans="1:6" x14ac:dyDescent="0.25">
      <c r="A24318"/>
      <c r="B24318"/>
      <c r="C24318"/>
      <c r="E24318"/>
      <c r="F24318"/>
    </row>
    <row r="24319" spans="1:6" x14ac:dyDescent="0.25">
      <c r="A24319"/>
      <c r="B24319"/>
      <c r="C24319"/>
      <c r="E24319"/>
      <c r="F24319"/>
    </row>
    <row r="24320" spans="1:6" x14ac:dyDescent="0.25">
      <c r="A24320"/>
      <c r="B24320"/>
      <c r="C24320"/>
      <c r="E24320"/>
      <c r="F24320"/>
    </row>
    <row r="24321" spans="1:6" x14ac:dyDescent="0.25">
      <c r="A24321"/>
      <c r="B24321"/>
      <c r="C24321"/>
      <c r="E24321"/>
      <c r="F24321"/>
    </row>
    <row r="24322" spans="1:6" x14ac:dyDescent="0.25">
      <c r="A24322"/>
      <c r="B24322"/>
      <c r="C24322"/>
      <c r="E24322"/>
      <c r="F24322"/>
    </row>
    <row r="24323" spans="1:6" x14ac:dyDescent="0.25">
      <c r="A24323"/>
      <c r="B24323"/>
      <c r="C24323"/>
      <c r="E24323"/>
      <c r="F24323"/>
    </row>
    <row r="24324" spans="1:6" x14ac:dyDescent="0.25">
      <c r="A24324"/>
      <c r="B24324"/>
      <c r="C24324"/>
      <c r="E24324"/>
      <c r="F24324"/>
    </row>
    <row r="24325" spans="1:6" x14ac:dyDescent="0.25">
      <c r="A24325"/>
      <c r="B24325"/>
      <c r="C24325"/>
      <c r="E24325"/>
      <c r="F24325"/>
    </row>
    <row r="24326" spans="1:6" x14ac:dyDescent="0.25">
      <c r="A24326"/>
      <c r="B24326"/>
      <c r="C24326"/>
      <c r="E24326"/>
      <c r="F24326"/>
    </row>
    <row r="24327" spans="1:6" x14ac:dyDescent="0.25">
      <c r="A24327"/>
      <c r="B24327"/>
      <c r="C24327"/>
      <c r="E24327"/>
      <c r="F24327"/>
    </row>
    <row r="24328" spans="1:6" x14ac:dyDescent="0.25">
      <c r="A24328"/>
      <c r="B24328"/>
      <c r="C24328"/>
      <c r="E24328"/>
      <c r="F24328"/>
    </row>
    <row r="24329" spans="1:6" x14ac:dyDescent="0.25">
      <c r="A24329"/>
      <c r="B24329"/>
      <c r="C24329"/>
      <c r="E24329"/>
      <c r="F24329"/>
    </row>
    <row r="24330" spans="1:6" x14ac:dyDescent="0.25">
      <c r="A24330"/>
      <c r="B24330"/>
      <c r="C24330"/>
      <c r="E24330"/>
      <c r="F24330"/>
    </row>
    <row r="24331" spans="1:6" x14ac:dyDescent="0.25">
      <c r="A24331"/>
      <c r="B24331"/>
      <c r="C24331"/>
      <c r="E24331"/>
      <c r="F24331"/>
    </row>
    <row r="24332" spans="1:6" x14ac:dyDescent="0.25">
      <c r="A24332"/>
      <c r="B24332"/>
      <c r="C24332"/>
      <c r="E24332"/>
      <c r="F24332"/>
    </row>
    <row r="24333" spans="1:6" x14ac:dyDescent="0.25">
      <c r="A24333"/>
      <c r="B24333"/>
      <c r="C24333"/>
      <c r="E24333"/>
      <c r="F24333"/>
    </row>
    <row r="24334" spans="1:6" x14ac:dyDescent="0.25">
      <c r="A24334"/>
      <c r="B24334"/>
      <c r="C24334"/>
      <c r="E24334"/>
      <c r="F24334"/>
    </row>
    <row r="24335" spans="1:6" x14ac:dyDescent="0.25">
      <c r="A24335"/>
      <c r="B24335"/>
      <c r="C24335"/>
      <c r="E24335"/>
      <c r="F24335"/>
    </row>
    <row r="24336" spans="1:6" x14ac:dyDescent="0.25">
      <c r="A24336"/>
      <c r="B24336"/>
      <c r="C24336"/>
      <c r="E24336"/>
      <c r="F24336"/>
    </row>
    <row r="24337" spans="1:6" x14ac:dyDescent="0.25">
      <c r="A24337"/>
      <c r="B24337"/>
      <c r="C24337"/>
      <c r="E24337"/>
      <c r="F24337"/>
    </row>
    <row r="24338" spans="1:6" x14ac:dyDescent="0.25">
      <c r="A24338"/>
      <c r="B24338"/>
      <c r="C24338"/>
      <c r="E24338"/>
      <c r="F24338"/>
    </row>
    <row r="24339" spans="1:6" x14ac:dyDescent="0.25">
      <c r="A24339"/>
      <c r="B24339"/>
      <c r="C24339"/>
      <c r="E24339"/>
      <c r="F24339"/>
    </row>
    <row r="24340" spans="1:6" x14ac:dyDescent="0.25">
      <c r="A24340"/>
      <c r="B24340"/>
      <c r="C24340"/>
      <c r="E24340"/>
      <c r="F24340"/>
    </row>
    <row r="24341" spans="1:6" x14ac:dyDescent="0.25">
      <c r="A24341"/>
      <c r="B24341"/>
      <c r="C24341"/>
      <c r="E24341"/>
      <c r="F24341"/>
    </row>
    <row r="24342" spans="1:6" x14ac:dyDescent="0.25">
      <c r="A24342"/>
      <c r="B24342"/>
      <c r="C24342"/>
      <c r="E24342"/>
      <c r="F24342"/>
    </row>
    <row r="24343" spans="1:6" x14ac:dyDescent="0.25">
      <c r="A24343"/>
      <c r="B24343"/>
      <c r="C24343"/>
      <c r="E24343"/>
      <c r="F24343"/>
    </row>
    <row r="24344" spans="1:6" x14ac:dyDescent="0.25">
      <c r="A24344"/>
      <c r="B24344"/>
      <c r="C24344"/>
      <c r="E24344"/>
      <c r="F24344"/>
    </row>
    <row r="24345" spans="1:6" x14ac:dyDescent="0.25">
      <c r="A24345"/>
      <c r="B24345"/>
      <c r="C24345"/>
      <c r="E24345"/>
      <c r="F24345"/>
    </row>
    <row r="24346" spans="1:6" x14ac:dyDescent="0.25">
      <c r="A24346"/>
      <c r="B24346"/>
      <c r="C24346"/>
      <c r="E24346"/>
      <c r="F24346"/>
    </row>
    <row r="24347" spans="1:6" x14ac:dyDescent="0.25">
      <c r="A24347"/>
      <c r="B24347"/>
      <c r="C24347"/>
      <c r="E24347"/>
      <c r="F24347"/>
    </row>
    <row r="24348" spans="1:6" x14ac:dyDescent="0.25">
      <c r="A24348"/>
      <c r="B24348"/>
      <c r="C24348"/>
      <c r="E24348"/>
      <c r="F24348"/>
    </row>
    <row r="24349" spans="1:6" x14ac:dyDescent="0.25">
      <c r="A24349"/>
      <c r="B24349"/>
      <c r="C24349"/>
      <c r="E24349"/>
      <c r="F24349"/>
    </row>
    <row r="24350" spans="1:6" x14ac:dyDescent="0.25">
      <c r="A24350"/>
      <c r="B24350"/>
      <c r="C24350"/>
      <c r="E24350"/>
      <c r="F24350"/>
    </row>
    <row r="24351" spans="1:6" x14ac:dyDescent="0.25">
      <c r="A24351"/>
      <c r="B24351"/>
      <c r="C24351"/>
      <c r="E24351"/>
      <c r="F24351"/>
    </row>
    <row r="24352" spans="1:6" x14ac:dyDescent="0.25">
      <c r="A24352"/>
      <c r="B24352"/>
      <c r="C24352"/>
      <c r="E24352"/>
      <c r="F24352"/>
    </row>
    <row r="24353" spans="1:6" x14ac:dyDescent="0.25">
      <c r="A24353"/>
      <c r="B24353"/>
      <c r="C24353"/>
      <c r="E24353"/>
      <c r="F24353"/>
    </row>
    <row r="24354" spans="1:6" x14ac:dyDescent="0.25">
      <c r="A24354"/>
      <c r="B24354"/>
      <c r="C24354"/>
      <c r="E24354"/>
      <c r="F24354"/>
    </row>
    <row r="24355" spans="1:6" x14ac:dyDescent="0.25">
      <c r="A24355"/>
      <c r="B24355"/>
      <c r="C24355"/>
      <c r="E24355"/>
      <c r="F24355"/>
    </row>
    <row r="24356" spans="1:6" x14ac:dyDescent="0.25">
      <c r="A24356"/>
      <c r="B24356"/>
      <c r="C24356"/>
      <c r="E24356"/>
      <c r="F24356"/>
    </row>
    <row r="24357" spans="1:6" x14ac:dyDescent="0.25">
      <c r="A24357"/>
      <c r="B24357"/>
      <c r="C24357"/>
      <c r="E24357"/>
      <c r="F24357"/>
    </row>
    <row r="24358" spans="1:6" x14ac:dyDescent="0.25">
      <c r="A24358"/>
      <c r="B24358"/>
      <c r="C24358"/>
      <c r="E24358"/>
      <c r="F24358"/>
    </row>
    <row r="24359" spans="1:6" x14ac:dyDescent="0.25">
      <c r="A24359"/>
      <c r="B24359"/>
      <c r="C24359"/>
      <c r="E24359"/>
      <c r="F24359"/>
    </row>
    <row r="24360" spans="1:6" x14ac:dyDescent="0.25">
      <c r="A24360"/>
      <c r="B24360"/>
      <c r="C24360"/>
      <c r="E24360"/>
      <c r="F24360"/>
    </row>
    <row r="24361" spans="1:6" x14ac:dyDescent="0.25">
      <c r="A24361"/>
      <c r="B24361"/>
      <c r="C24361"/>
      <c r="E24361"/>
      <c r="F24361"/>
    </row>
    <row r="24362" spans="1:6" x14ac:dyDescent="0.25">
      <c r="A24362"/>
      <c r="B24362"/>
      <c r="C24362"/>
      <c r="E24362"/>
      <c r="F24362"/>
    </row>
    <row r="24363" spans="1:6" x14ac:dyDescent="0.25">
      <c r="A24363"/>
      <c r="B24363"/>
      <c r="C24363"/>
      <c r="E24363"/>
      <c r="F24363"/>
    </row>
    <row r="24364" spans="1:6" x14ac:dyDescent="0.25">
      <c r="A24364"/>
      <c r="B24364"/>
      <c r="C24364"/>
      <c r="E24364"/>
      <c r="F24364"/>
    </row>
    <row r="24365" spans="1:6" x14ac:dyDescent="0.25">
      <c r="A24365"/>
      <c r="B24365"/>
      <c r="C24365"/>
      <c r="E24365"/>
      <c r="F24365"/>
    </row>
    <row r="24366" spans="1:6" x14ac:dyDescent="0.25">
      <c r="A24366"/>
      <c r="B24366"/>
      <c r="C24366"/>
      <c r="E24366"/>
      <c r="F24366"/>
    </row>
    <row r="24367" spans="1:6" x14ac:dyDescent="0.25">
      <c r="A24367"/>
      <c r="B24367"/>
      <c r="C24367"/>
      <c r="E24367"/>
      <c r="F24367"/>
    </row>
    <row r="24368" spans="1:6" x14ac:dyDescent="0.25">
      <c r="A24368"/>
      <c r="B24368"/>
      <c r="C24368"/>
      <c r="E24368"/>
      <c r="F24368"/>
    </row>
    <row r="24369" spans="1:6" x14ac:dyDescent="0.25">
      <c r="A24369"/>
      <c r="B24369"/>
      <c r="C24369"/>
      <c r="E24369"/>
      <c r="F24369"/>
    </row>
    <row r="24370" spans="1:6" x14ac:dyDescent="0.25">
      <c r="A24370"/>
      <c r="B24370"/>
      <c r="C24370"/>
      <c r="E24370"/>
      <c r="F24370"/>
    </row>
    <row r="24371" spans="1:6" x14ac:dyDescent="0.25">
      <c r="A24371"/>
      <c r="B24371"/>
      <c r="C24371"/>
      <c r="E24371"/>
      <c r="F24371"/>
    </row>
    <row r="24372" spans="1:6" x14ac:dyDescent="0.25">
      <c r="A24372"/>
      <c r="B24372"/>
      <c r="C24372"/>
      <c r="E24372"/>
      <c r="F24372"/>
    </row>
    <row r="24373" spans="1:6" x14ac:dyDescent="0.25">
      <c r="A24373"/>
      <c r="B24373"/>
      <c r="C24373"/>
      <c r="E24373"/>
      <c r="F24373"/>
    </row>
    <row r="24374" spans="1:6" x14ac:dyDescent="0.25">
      <c r="A24374"/>
      <c r="B24374"/>
      <c r="C24374"/>
      <c r="E24374"/>
      <c r="F24374"/>
    </row>
    <row r="24375" spans="1:6" x14ac:dyDescent="0.25">
      <c r="A24375"/>
      <c r="B24375"/>
      <c r="C24375"/>
      <c r="E24375"/>
      <c r="F24375"/>
    </row>
    <row r="24376" spans="1:6" x14ac:dyDescent="0.25">
      <c r="A24376"/>
      <c r="B24376"/>
      <c r="C24376"/>
      <c r="E24376"/>
      <c r="F24376"/>
    </row>
    <row r="24377" spans="1:6" x14ac:dyDescent="0.25">
      <c r="A24377"/>
      <c r="B24377"/>
      <c r="C24377"/>
      <c r="E24377"/>
      <c r="F24377"/>
    </row>
    <row r="24378" spans="1:6" x14ac:dyDescent="0.25">
      <c r="A24378"/>
      <c r="B24378"/>
      <c r="C24378"/>
      <c r="E24378"/>
      <c r="F24378"/>
    </row>
    <row r="24379" spans="1:6" x14ac:dyDescent="0.25">
      <c r="A24379"/>
      <c r="B24379"/>
      <c r="C24379"/>
      <c r="E24379"/>
      <c r="F24379"/>
    </row>
    <row r="24380" spans="1:6" x14ac:dyDescent="0.25">
      <c r="A24380"/>
      <c r="B24380"/>
      <c r="C24380"/>
      <c r="E24380"/>
      <c r="F24380"/>
    </row>
    <row r="24381" spans="1:6" x14ac:dyDescent="0.25">
      <c r="A24381"/>
      <c r="B24381"/>
      <c r="C24381"/>
      <c r="E24381"/>
      <c r="F24381"/>
    </row>
    <row r="24382" spans="1:6" x14ac:dyDescent="0.25">
      <c r="A24382"/>
      <c r="B24382"/>
      <c r="C24382"/>
      <c r="E24382"/>
      <c r="F24382"/>
    </row>
    <row r="24383" spans="1:6" x14ac:dyDescent="0.25">
      <c r="A24383"/>
      <c r="B24383"/>
      <c r="C24383"/>
      <c r="E24383"/>
      <c r="F24383"/>
    </row>
    <row r="24384" spans="1:6" x14ac:dyDescent="0.25">
      <c r="A24384"/>
      <c r="B24384"/>
      <c r="C24384"/>
      <c r="E24384"/>
      <c r="F24384"/>
    </row>
    <row r="24385" spans="1:6" x14ac:dyDescent="0.25">
      <c r="A24385"/>
      <c r="B24385"/>
      <c r="C24385"/>
      <c r="E24385"/>
      <c r="F24385"/>
    </row>
    <row r="24386" spans="1:6" x14ac:dyDescent="0.25">
      <c r="A24386"/>
      <c r="B24386"/>
      <c r="C24386"/>
      <c r="E24386"/>
      <c r="F24386"/>
    </row>
    <row r="24387" spans="1:6" x14ac:dyDescent="0.25">
      <c r="A24387"/>
      <c r="B24387"/>
      <c r="C24387"/>
      <c r="E24387"/>
      <c r="F24387"/>
    </row>
    <row r="24388" spans="1:6" x14ac:dyDescent="0.25">
      <c r="A24388"/>
      <c r="B24388"/>
      <c r="C24388"/>
      <c r="E24388"/>
      <c r="F24388"/>
    </row>
    <row r="24389" spans="1:6" x14ac:dyDescent="0.25">
      <c r="A24389"/>
      <c r="B24389"/>
      <c r="C24389"/>
      <c r="E24389"/>
      <c r="F24389"/>
    </row>
    <row r="24390" spans="1:6" x14ac:dyDescent="0.25">
      <c r="A24390"/>
      <c r="B24390"/>
      <c r="C24390"/>
      <c r="E24390"/>
      <c r="F24390"/>
    </row>
    <row r="24391" spans="1:6" x14ac:dyDescent="0.25">
      <c r="A24391"/>
      <c r="B24391"/>
      <c r="C24391"/>
      <c r="E24391"/>
      <c r="F24391"/>
    </row>
    <row r="24392" spans="1:6" x14ac:dyDescent="0.25">
      <c r="A24392"/>
      <c r="B24392"/>
      <c r="C24392"/>
      <c r="E24392"/>
      <c r="F24392"/>
    </row>
    <row r="24393" spans="1:6" x14ac:dyDescent="0.25">
      <c r="A24393"/>
      <c r="B24393"/>
      <c r="C24393"/>
      <c r="E24393"/>
      <c r="F24393"/>
    </row>
    <row r="24394" spans="1:6" x14ac:dyDescent="0.25">
      <c r="A24394"/>
      <c r="B24394"/>
      <c r="C24394"/>
      <c r="E24394"/>
      <c r="F24394"/>
    </row>
    <row r="24395" spans="1:6" x14ac:dyDescent="0.25">
      <c r="A24395"/>
      <c r="B24395"/>
      <c r="C24395"/>
      <c r="E24395"/>
      <c r="F24395"/>
    </row>
    <row r="24396" spans="1:6" x14ac:dyDescent="0.25">
      <c r="A24396"/>
      <c r="B24396"/>
      <c r="C24396"/>
      <c r="E24396"/>
      <c r="F24396"/>
    </row>
    <row r="24397" spans="1:6" x14ac:dyDescent="0.25">
      <c r="A24397"/>
      <c r="B24397"/>
      <c r="C24397"/>
      <c r="E24397"/>
      <c r="F24397"/>
    </row>
    <row r="24398" spans="1:6" x14ac:dyDescent="0.25">
      <c r="A24398"/>
      <c r="B24398"/>
      <c r="C24398"/>
      <c r="E24398"/>
      <c r="F24398"/>
    </row>
    <row r="24399" spans="1:6" x14ac:dyDescent="0.25">
      <c r="A24399"/>
      <c r="B24399"/>
      <c r="C24399"/>
      <c r="E24399"/>
      <c r="F24399"/>
    </row>
    <row r="24400" spans="1:6" x14ac:dyDescent="0.25">
      <c r="A24400"/>
      <c r="B24400"/>
      <c r="C24400"/>
      <c r="E24400"/>
      <c r="F24400"/>
    </row>
    <row r="24401" spans="1:6" x14ac:dyDescent="0.25">
      <c r="A24401"/>
      <c r="B24401"/>
      <c r="C24401"/>
      <c r="E24401"/>
      <c r="F24401"/>
    </row>
    <row r="24402" spans="1:6" x14ac:dyDescent="0.25">
      <c r="A24402"/>
      <c r="B24402"/>
      <c r="C24402"/>
      <c r="E24402"/>
      <c r="F24402"/>
    </row>
    <row r="24403" spans="1:6" x14ac:dyDescent="0.25">
      <c r="A24403"/>
      <c r="B24403"/>
      <c r="C24403"/>
      <c r="E24403"/>
      <c r="F24403"/>
    </row>
    <row r="24404" spans="1:6" x14ac:dyDescent="0.25">
      <c r="A24404"/>
      <c r="B24404"/>
      <c r="C24404"/>
      <c r="E24404"/>
      <c r="F24404"/>
    </row>
    <row r="24405" spans="1:6" x14ac:dyDescent="0.25">
      <c r="A24405"/>
      <c r="B24405"/>
      <c r="C24405"/>
      <c r="E24405"/>
      <c r="F24405"/>
    </row>
    <row r="24406" spans="1:6" x14ac:dyDescent="0.25">
      <c r="A24406"/>
      <c r="B24406"/>
      <c r="C24406"/>
      <c r="E24406"/>
      <c r="F24406"/>
    </row>
    <row r="24407" spans="1:6" x14ac:dyDescent="0.25">
      <c r="A24407"/>
      <c r="B24407"/>
      <c r="C24407"/>
      <c r="E24407"/>
      <c r="F24407"/>
    </row>
    <row r="24408" spans="1:6" x14ac:dyDescent="0.25">
      <c r="A24408"/>
      <c r="B24408"/>
      <c r="C24408"/>
      <c r="E24408"/>
      <c r="F24408"/>
    </row>
    <row r="24409" spans="1:6" x14ac:dyDescent="0.25">
      <c r="A24409"/>
      <c r="B24409"/>
      <c r="C24409"/>
      <c r="E24409"/>
      <c r="F24409"/>
    </row>
    <row r="24410" spans="1:6" x14ac:dyDescent="0.25">
      <c r="A24410"/>
      <c r="B24410"/>
      <c r="C24410"/>
      <c r="E24410"/>
      <c r="F24410"/>
    </row>
    <row r="24411" spans="1:6" x14ac:dyDescent="0.25">
      <c r="A24411"/>
      <c r="B24411"/>
      <c r="C24411"/>
      <c r="E24411"/>
      <c r="F24411"/>
    </row>
    <row r="24412" spans="1:6" x14ac:dyDescent="0.25">
      <c r="A24412"/>
      <c r="B24412"/>
      <c r="C24412"/>
      <c r="E24412"/>
      <c r="F24412"/>
    </row>
    <row r="24413" spans="1:6" x14ac:dyDescent="0.25">
      <c r="A24413"/>
      <c r="B24413"/>
      <c r="C24413"/>
      <c r="E24413"/>
      <c r="F24413"/>
    </row>
    <row r="24414" spans="1:6" x14ac:dyDescent="0.25">
      <c r="A24414"/>
      <c r="B24414"/>
      <c r="C24414"/>
      <c r="E24414"/>
      <c r="F24414"/>
    </row>
    <row r="24415" spans="1:6" x14ac:dyDescent="0.25">
      <c r="A24415"/>
      <c r="B24415"/>
      <c r="C24415"/>
      <c r="E24415"/>
      <c r="F24415"/>
    </row>
    <row r="24416" spans="1:6" x14ac:dyDescent="0.25">
      <c r="A24416"/>
      <c r="B24416"/>
      <c r="C24416"/>
      <c r="E24416"/>
      <c r="F24416"/>
    </row>
    <row r="24417" spans="1:6" x14ac:dyDescent="0.25">
      <c r="A24417"/>
      <c r="B24417"/>
      <c r="C24417"/>
      <c r="E24417"/>
      <c r="F24417"/>
    </row>
    <row r="24418" spans="1:6" x14ac:dyDescent="0.25">
      <c r="A24418"/>
      <c r="B24418"/>
      <c r="C24418"/>
      <c r="E24418"/>
      <c r="F24418"/>
    </row>
    <row r="24419" spans="1:6" x14ac:dyDescent="0.25">
      <c r="A24419"/>
      <c r="B24419"/>
      <c r="C24419"/>
      <c r="E24419"/>
      <c r="F24419"/>
    </row>
    <row r="24420" spans="1:6" x14ac:dyDescent="0.25">
      <c r="A24420"/>
      <c r="B24420"/>
      <c r="C24420"/>
      <c r="E24420"/>
      <c r="F24420"/>
    </row>
    <row r="24421" spans="1:6" x14ac:dyDescent="0.25">
      <c r="A24421"/>
      <c r="B24421"/>
      <c r="C24421"/>
      <c r="E24421"/>
      <c r="F24421"/>
    </row>
    <row r="24422" spans="1:6" x14ac:dyDescent="0.25">
      <c r="A24422"/>
      <c r="B24422"/>
      <c r="C24422"/>
      <c r="E24422"/>
      <c r="F24422"/>
    </row>
    <row r="24423" spans="1:6" x14ac:dyDescent="0.25">
      <c r="A24423"/>
      <c r="B24423"/>
      <c r="C24423"/>
      <c r="E24423"/>
      <c r="F24423"/>
    </row>
    <row r="24424" spans="1:6" x14ac:dyDescent="0.25">
      <c r="A24424"/>
      <c r="B24424"/>
      <c r="C24424"/>
      <c r="E24424"/>
      <c r="F24424"/>
    </row>
    <row r="24425" spans="1:6" x14ac:dyDescent="0.25">
      <c r="A24425"/>
      <c r="B24425"/>
      <c r="C24425"/>
      <c r="E24425"/>
      <c r="F24425"/>
    </row>
    <row r="24426" spans="1:6" x14ac:dyDescent="0.25">
      <c r="A24426"/>
      <c r="B24426"/>
      <c r="C24426"/>
      <c r="E24426"/>
      <c r="F24426"/>
    </row>
    <row r="24427" spans="1:6" x14ac:dyDescent="0.25">
      <c r="A24427"/>
      <c r="B24427"/>
      <c r="C24427"/>
      <c r="E24427"/>
      <c r="F24427"/>
    </row>
    <row r="24428" spans="1:6" x14ac:dyDescent="0.25">
      <c r="A24428"/>
      <c r="B24428"/>
      <c r="C24428"/>
      <c r="E24428"/>
      <c r="F24428"/>
    </row>
    <row r="24429" spans="1:6" x14ac:dyDescent="0.25">
      <c r="A24429"/>
      <c r="B24429"/>
      <c r="C24429"/>
      <c r="E24429"/>
      <c r="F24429"/>
    </row>
    <row r="24430" spans="1:6" x14ac:dyDescent="0.25">
      <c r="A24430"/>
      <c r="B24430"/>
      <c r="C24430"/>
      <c r="E24430"/>
      <c r="F24430"/>
    </row>
    <row r="24431" spans="1:6" x14ac:dyDescent="0.25">
      <c r="A24431"/>
      <c r="B24431"/>
      <c r="C24431"/>
      <c r="E24431"/>
      <c r="F24431"/>
    </row>
    <row r="24432" spans="1:6" x14ac:dyDescent="0.25">
      <c r="A24432"/>
      <c r="B24432"/>
      <c r="C24432"/>
      <c r="E24432"/>
      <c r="F24432"/>
    </row>
    <row r="24433" spans="1:6" x14ac:dyDescent="0.25">
      <c r="A24433"/>
      <c r="B24433"/>
      <c r="C24433"/>
      <c r="E24433"/>
      <c r="F24433"/>
    </row>
    <row r="24434" spans="1:6" x14ac:dyDescent="0.25">
      <c r="A24434"/>
      <c r="B24434"/>
      <c r="C24434"/>
      <c r="E24434"/>
      <c r="F24434"/>
    </row>
    <row r="24435" spans="1:6" x14ac:dyDescent="0.25">
      <c r="A24435"/>
      <c r="B24435"/>
      <c r="C24435"/>
      <c r="E24435"/>
      <c r="F24435"/>
    </row>
    <row r="24436" spans="1:6" x14ac:dyDescent="0.25">
      <c r="A24436"/>
      <c r="B24436"/>
      <c r="C24436"/>
      <c r="E24436"/>
      <c r="F24436"/>
    </row>
    <row r="24437" spans="1:6" x14ac:dyDescent="0.25">
      <c r="A24437"/>
      <c r="B24437"/>
      <c r="C24437"/>
      <c r="E24437"/>
      <c r="F24437"/>
    </row>
    <row r="24438" spans="1:6" x14ac:dyDescent="0.25">
      <c r="A24438"/>
      <c r="B24438"/>
      <c r="C24438"/>
      <c r="E24438"/>
      <c r="F24438"/>
    </row>
    <row r="24439" spans="1:6" x14ac:dyDescent="0.25">
      <c r="A24439"/>
      <c r="B24439"/>
      <c r="C24439"/>
      <c r="E24439"/>
      <c r="F24439"/>
    </row>
    <row r="24440" spans="1:6" x14ac:dyDescent="0.25">
      <c r="A24440"/>
      <c r="B24440"/>
      <c r="C24440"/>
      <c r="E24440"/>
      <c r="F24440"/>
    </row>
    <row r="24441" spans="1:6" x14ac:dyDescent="0.25">
      <c r="A24441"/>
      <c r="B24441"/>
      <c r="C24441"/>
      <c r="E24441"/>
      <c r="F24441"/>
    </row>
    <row r="24442" spans="1:6" x14ac:dyDescent="0.25">
      <c r="A24442"/>
      <c r="B24442"/>
      <c r="C24442"/>
      <c r="E24442"/>
      <c r="F24442"/>
    </row>
    <row r="24443" spans="1:6" x14ac:dyDescent="0.25">
      <c r="A24443"/>
      <c r="B24443"/>
      <c r="C24443"/>
      <c r="E24443"/>
      <c r="F24443"/>
    </row>
    <row r="24444" spans="1:6" x14ac:dyDescent="0.25">
      <c r="A24444"/>
      <c r="B24444"/>
      <c r="C24444"/>
      <c r="E24444"/>
      <c r="F24444"/>
    </row>
    <row r="24445" spans="1:6" x14ac:dyDescent="0.25">
      <c r="A24445"/>
      <c r="B24445"/>
      <c r="C24445"/>
      <c r="E24445"/>
      <c r="F24445"/>
    </row>
    <row r="24446" spans="1:6" x14ac:dyDescent="0.25">
      <c r="A24446"/>
      <c r="B24446"/>
      <c r="C24446"/>
      <c r="E24446"/>
      <c r="F24446"/>
    </row>
    <row r="24447" spans="1:6" x14ac:dyDescent="0.25">
      <c r="A24447"/>
      <c r="B24447"/>
      <c r="C24447"/>
      <c r="E24447"/>
      <c r="F24447"/>
    </row>
    <row r="24448" spans="1:6" x14ac:dyDescent="0.25">
      <c r="A24448"/>
      <c r="B24448"/>
      <c r="C24448"/>
      <c r="E24448"/>
      <c r="F24448"/>
    </row>
    <row r="24449" spans="1:6" x14ac:dyDescent="0.25">
      <c r="A24449"/>
      <c r="B24449"/>
      <c r="C24449"/>
      <c r="E24449"/>
      <c r="F24449"/>
    </row>
    <row r="24450" spans="1:6" x14ac:dyDescent="0.25">
      <c r="A24450"/>
      <c r="B24450"/>
      <c r="C24450"/>
      <c r="E24450"/>
      <c r="F24450"/>
    </row>
    <row r="24451" spans="1:6" x14ac:dyDescent="0.25">
      <c r="A24451"/>
      <c r="B24451"/>
      <c r="C24451"/>
      <c r="E24451"/>
      <c r="F24451"/>
    </row>
    <row r="24452" spans="1:6" x14ac:dyDescent="0.25">
      <c r="A24452"/>
      <c r="B24452"/>
      <c r="C24452"/>
      <c r="E24452"/>
      <c r="F24452"/>
    </row>
    <row r="24453" spans="1:6" x14ac:dyDescent="0.25">
      <c r="A24453"/>
      <c r="B24453"/>
      <c r="C24453"/>
      <c r="E24453"/>
      <c r="F24453"/>
    </row>
    <row r="24454" spans="1:6" x14ac:dyDescent="0.25">
      <c r="A24454"/>
      <c r="B24454"/>
      <c r="C24454"/>
      <c r="E24454"/>
      <c r="F24454"/>
    </row>
    <row r="24455" spans="1:6" x14ac:dyDescent="0.25">
      <c r="A24455"/>
      <c r="B24455"/>
      <c r="C24455"/>
      <c r="E24455"/>
      <c r="F24455"/>
    </row>
    <row r="24456" spans="1:6" x14ac:dyDescent="0.25">
      <c r="A24456"/>
      <c r="B24456"/>
      <c r="C24456"/>
      <c r="E24456"/>
      <c r="F24456"/>
    </row>
    <row r="24457" spans="1:6" x14ac:dyDescent="0.25">
      <c r="A24457"/>
      <c r="B24457"/>
      <c r="C24457"/>
      <c r="E24457"/>
      <c r="F24457"/>
    </row>
    <row r="24458" spans="1:6" x14ac:dyDescent="0.25">
      <c r="A24458"/>
      <c r="B24458"/>
      <c r="C24458"/>
      <c r="E24458"/>
      <c r="F24458"/>
    </row>
    <row r="24459" spans="1:6" x14ac:dyDescent="0.25">
      <c r="A24459"/>
      <c r="B24459"/>
      <c r="C24459"/>
      <c r="E24459"/>
      <c r="F24459"/>
    </row>
    <row r="24460" spans="1:6" x14ac:dyDescent="0.25">
      <c r="A24460"/>
      <c r="B24460"/>
      <c r="C24460"/>
      <c r="E24460"/>
      <c r="F24460"/>
    </row>
    <row r="24461" spans="1:6" x14ac:dyDescent="0.25">
      <c r="A24461"/>
      <c r="B24461"/>
      <c r="C24461"/>
      <c r="E24461"/>
      <c r="F24461"/>
    </row>
    <row r="24462" spans="1:6" x14ac:dyDescent="0.25">
      <c r="A24462"/>
      <c r="B24462"/>
      <c r="C24462"/>
      <c r="E24462"/>
      <c r="F24462"/>
    </row>
    <row r="24463" spans="1:6" x14ac:dyDescent="0.25">
      <c r="A24463"/>
      <c r="B24463"/>
      <c r="C24463"/>
      <c r="E24463"/>
      <c r="F24463"/>
    </row>
    <row r="24464" spans="1:6" x14ac:dyDescent="0.25">
      <c r="A24464"/>
      <c r="B24464"/>
      <c r="C24464"/>
      <c r="E24464"/>
      <c r="F24464"/>
    </row>
    <row r="24465" spans="1:6" x14ac:dyDescent="0.25">
      <c r="A24465"/>
      <c r="B24465"/>
      <c r="C24465"/>
      <c r="E24465"/>
      <c r="F24465"/>
    </row>
    <row r="24466" spans="1:6" x14ac:dyDescent="0.25">
      <c r="A24466"/>
      <c r="B24466"/>
      <c r="C24466"/>
      <c r="E24466"/>
      <c r="F24466"/>
    </row>
    <row r="24467" spans="1:6" x14ac:dyDescent="0.25">
      <c r="A24467"/>
      <c r="B24467"/>
      <c r="C24467"/>
      <c r="E24467"/>
      <c r="F24467"/>
    </row>
    <row r="24468" spans="1:6" x14ac:dyDescent="0.25">
      <c r="A24468"/>
      <c r="B24468"/>
      <c r="C24468"/>
      <c r="E24468"/>
      <c r="F24468"/>
    </row>
    <row r="24469" spans="1:6" x14ac:dyDescent="0.25">
      <c r="A24469"/>
      <c r="B24469"/>
      <c r="C24469"/>
      <c r="E24469"/>
      <c r="F24469"/>
    </row>
    <row r="24470" spans="1:6" x14ac:dyDescent="0.25">
      <c r="A24470"/>
      <c r="B24470"/>
      <c r="C24470"/>
      <c r="E24470"/>
      <c r="F24470"/>
    </row>
    <row r="24471" spans="1:6" x14ac:dyDescent="0.25">
      <c r="A24471"/>
      <c r="B24471"/>
      <c r="C24471"/>
      <c r="E24471"/>
      <c r="F24471"/>
    </row>
    <row r="24472" spans="1:6" x14ac:dyDescent="0.25">
      <c r="A24472"/>
      <c r="B24472"/>
      <c r="C24472"/>
      <c r="E24472"/>
      <c r="F24472"/>
    </row>
    <row r="24473" spans="1:6" x14ac:dyDescent="0.25">
      <c r="A24473"/>
      <c r="B24473"/>
      <c r="C24473"/>
      <c r="E24473"/>
      <c r="F24473"/>
    </row>
    <row r="24474" spans="1:6" x14ac:dyDescent="0.25">
      <c r="A24474"/>
      <c r="B24474"/>
      <c r="C24474"/>
      <c r="E24474"/>
      <c r="F24474"/>
    </row>
    <row r="24475" spans="1:6" x14ac:dyDescent="0.25">
      <c r="A24475"/>
      <c r="B24475"/>
      <c r="C24475"/>
      <c r="E24475"/>
      <c r="F24475"/>
    </row>
    <row r="24476" spans="1:6" x14ac:dyDescent="0.25">
      <c r="A24476"/>
      <c r="B24476"/>
      <c r="C24476"/>
      <c r="E24476"/>
      <c r="F24476"/>
    </row>
    <row r="24477" spans="1:6" x14ac:dyDescent="0.25">
      <c r="A24477"/>
      <c r="B24477"/>
      <c r="C24477"/>
      <c r="E24477"/>
      <c r="F24477"/>
    </row>
    <row r="24478" spans="1:6" x14ac:dyDescent="0.25">
      <c r="A24478"/>
      <c r="B24478"/>
      <c r="C24478"/>
      <c r="E24478"/>
      <c r="F24478"/>
    </row>
    <row r="24479" spans="1:6" x14ac:dyDescent="0.25">
      <c r="A24479"/>
      <c r="B24479"/>
      <c r="C24479"/>
      <c r="E24479"/>
      <c r="F24479"/>
    </row>
    <row r="24480" spans="1:6" x14ac:dyDescent="0.25">
      <c r="A24480"/>
      <c r="B24480"/>
      <c r="C24480"/>
      <c r="E24480"/>
      <c r="F24480"/>
    </row>
    <row r="24481" spans="1:6" x14ac:dyDescent="0.25">
      <c r="A24481"/>
      <c r="B24481"/>
      <c r="C24481"/>
      <c r="E24481"/>
      <c r="F24481"/>
    </row>
    <row r="24482" spans="1:6" x14ac:dyDescent="0.25">
      <c r="A24482"/>
      <c r="B24482"/>
      <c r="C24482"/>
      <c r="E24482"/>
      <c r="F24482"/>
    </row>
    <row r="24483" spans="1:6" x14ac:dyDescent="0.25">
      <c r="A24483"/>
      <c r="B24483"/>
      <c r="C24483"/>
      <c r="E24483"/>
      <c r="F24483"/>
    </row>
    <row r="24484" spans="1:6" x14ac:dyDescent="0.25">
      <c r="A24484"/>
      <c r="B24484"/>
      <c r="C24484"/>
      <c r="E24484"/>
      <c r="F24484"/>
    </row>
    <row r="24485" spans="1:6" x14ac:dyDescent="0.25">
      <c r="A24485"/>
      <c r="B24485"/>
      <c r="C24485"/>
      <c r="E24485"/>
      <c r="F24485"/>
    </row>
    <row r="24486" spans="1:6" x14ac:dyDescent="0.25">
      <c r="A24486"/>
      <c r="B24486"/>
      <c r="C24486"/>
      <c r="E24486"/>
      <c r="F24486"/>
    </row>
    <row r="24487" spans="1:6" x14ac:dyDescent="0.25">
      <c r="A24487"/>
      <c r="B24487"/>
      <c r="C24487"/>
      <c r="E24487"/>
      <c r="F24487"/>
    </row>
    <row r="24488" spans="1:6" x14ac:dyDescent="0.25">
      <c r="A24488"/>
      <c r="B24488"/>
      <c r="C24488"/>
      <c r="E24488"/>
      <c r="F24488"/>
    </row>
    <row r="24489" spans="1:6" x14ac:dyDescent="0.25">
      <c r="A24489"/>
      <c r="B24489"/>
      <c r="C24489"/>
      <c r="E24489"/>
      <c r="F24489"/>
    </row>
    <row r="24490" spans="1:6" x14ac:dyDescent="0.25">
      <c r="A24490"/>
      <c r="B24490"/>
      <c r="C24490"/>
      <c r="E24490"/>
      <c r="F24490"/>
    </row>
    <row r="24491" spans="1:6" x14ac:dyDescent="0.25">
      <c r="A24491"/>
      <c r="B24491"/>
      <c r="C24491"/>
      <c r="E24491"/>
      <c r="F24491"/>
    </row>
    <row r="24492" spans="1:6" x14ac:dyDescent="0.25">
      <c r="A24492"/>
      <c r="B24492"/>
      <c r="C24492"/>
      <c r="E24492"/>
      <c r="F24492"/>
    </row>
    <row r="24493" spans="1:6" x14ac:dyDescent="0.25">
      <c r="A24493"/>
      <c r="B24493"/>
      <c r="C24493"/>
      <c r="E24493"/>
      <c r="F24493"/>
    </row>
    <row r="24494" spans="1:6" x14ac:dyDescent="0.25">
      <c r="A24494"/>
      <c r="B24494"/>
      <c r="C24494"/>
      <c r="E24494"/>
      <c r="F24494"/>
    </row>
    <row r="24495" spans="1:6" x14ac:dyDescent="0.25">
      <c r="A24495"/>
      <c r="B24495"/>
      <c r="C24495"/>
      <c r="E24495"/>
      <c r="F24495"/>
    </row>
    <row r="24496" spans="1:6" x14ac:dyDescent="0.25">
      <c r="A24496"/>
      <c r="B24496"/>
      <c r="C24496"/>
      <c r="E24496"/>
      <c r="F24496"/>
    </row>
    <row r="24497" spans="1:6" x14ac:dyDescent="0.25">
      <c r="A24497"/>
      <c r="B24497"/>
      <c r="C24497"/>
      <c r="E24497"/>
      <c r="F24497"/>
    </row>
    <row r="24498" spans="1:6" x14ac:dyDescent="0.25">
      <c r="A24498"/>
      <c r="B24498"/>
      <c r="C24498"/>
      <c r="E24498"/>
      <c r="F24498"/>
    </row>
    <row r="24499" spans="1:6" x14ac:dyDescent="0.25">
      <c r="A24499"/>
      <c r="B24499"/>
      <c r="C24499"/>
      <c r="E24499"/>
      <c r="F24499"/>
    </row>
    <row r="24500" spans="1:6" x14ac:dyDescent="0.25">
      <c r="A24500"/>
      <c r="B24500"/>
      <c r="C24500"/>
      <c r="E24500"/>
      <c r="F24500"/>
    </row>
    <row r="24501" spans="1:6" x14ac:dyDescent="0.25">
      <c r="A24501"/>
      <c r="B24501"/>
      <c r="C24501"/>
      <c r="E24501"/>
      <c r="F24501"/>
    </row>
    <row r="24502" spans="1:6" x14ac:dyDescent="0.25">
      <c r="A24502"/>
      <c r="B24502"/>
      <c r="C24502"/>
      <c r="E24502"/>
      <c r="F24502"/>
    </row>
    <row r="24503" spans="1:6" x14ac:dyDescent="0.25">
      <c r="A24503"/>
      <c r="B24503"/>
      <c r="C24503"/>
      <c r="E24503"/>
      <c r="F24503"/>
    </row>
    <row r="24504" spans="1:6" x14ac:dyDescent="0.25">
      <c r="A24504"/>
      <c r="B24504"/>
      <c r="C24504"/>
      <c r="E24504"/>
      <c r="F24504"/>
    </row>
    <row r="24505" spans="1:6" x14ac:dyDescent="0.25">
      <c r="A24505"/>
      <c r="B24505"/>
      <c r="C24505"/>
      <c r="E24505"/>
      <c r="F24505"/>
    </row>
    <row r="24506" spans="1:6" x14ac:dyDescent="0.25">
      <c r="A24506"/>
      <c r="B24506"/>
      <c r="C24506"/>
      <c r="E24506"/>
      <c r="F24506"/>
    </row>
    <row r="24507" spans="1:6" x14ac:dyDescent="0.25">
      <c r="A24507"/>
      <c r="B24507"/>
      <c r="C24507"/>
      <c r="E24507"/>
      <c r="F24507"/>
    </row>
    <row r="24508" spans="1:6" x14ac:dyDescent="0.25">
      <c r="A24508"/>
      <c r="B24508"/>
      <c r="C24508"/>
      <c r="E24508"/>
      <c r="F24508"/>
    </row>
    <row r="24509" spans="1:6" x14ac:dyDescent="0.25">
      <c r="A24509"/>
      <c r="B24509"/>
      <c r="C24509"/>
      <c r="E24509"/>
      <c r="F24509"/>
    </row>
    <row r="24510" spans="1:6" x14ac:dyDescent="0.25">
      <c r="A24510"/>
      <c r="B24510"/>
      <c r="C24510"/>
      <c r="E24510"/>
      <c r="F24510"/>
    </row>
    <row r="24511" spans="1:6" x14ac:dyDescent="0.25">
      <c r="A24511"/>
      <c r="B24511"/>
      <c r="C24511"/>
      <c r="E24511"/>
      <c r="F24511"/>
    </row>
    <row r="24512" spans="1:6" x14ac:dyDescent="0.25">
      <c r="A24512"/>
      <c r="B24512"/>
      <c r="C24512"/>
      <c r="E24512"/>
      <c r="F24512"/>
    </row>
    <row r="24513" spans="1:6" x14ac:dyDescent="0.25">
      <c r="A24513"/>
      <c r="B24513"/>
      <c r="C24513"/>
      <c r="E24513"/>
      <c r="F24513"/>
    </row>
    <row r="24514" spans="1:6" x14ac:dyDescent="0.25">
      <c r="A24514"/>
      <c r="B24514"/>
      <c r="C24514"/>
      <c r="E24514"/>
      <c r="F24514"/>
    </row>
    <row r="24515" spans="1:6" x14ac:dyDescent="0.25">
      <c r="A24515"/>
      <c r="B24515"/>
      <c r="C24515"/>
      <c r="E24515"/>
      <c r="F24515"/>
    </row>
    <row r="24516" spans="1:6" x14ac:dyDescent="0.25">
      <c r="A24516"/>
      <c r="B24516"/>
      <c r="C24516"/>
      <c r="E24516"/>
      <c r="F24516"/>
    </row>
    <row r="24517" spans="1:6" x14ac:dyDescent="0.25">
      <c r="A24517"/>
      <c r="B24517"/>
      <c r="C24517"/>
      <c r="E24517"/>
      <c r="F24517"/>
    </row>
    <row r="24518" spans="1:6" x14ac:dyDescent="0.25">
      <c r="A24518"/>
      <c r="B24518"/>
      <c r="C24518"/>
      <c r="E24518"/>
      <c r="F24518"/>
    </row>
    <row r="24519" spans="1:6" x14ac:dyDescent="0.25">
      <c r="A24519"/>
      <c r="B24519"/>
      <c r="C24519"/>
      <c r="E24519"/>
      <c r="F24519"/>
    </row>
    <row r="24520" spans="1:6" x14ac:dyDescent="0.25">
      <c r="A24520"/>
      <c r="B24520"/>
      <c r="C24520"/>
      <c r="E24520"/>
      <c r="F24520"/>
    </row>
    <row r="24521" spans="1:6" x14ac:dyDescent="0.25">
      <c r="A24521"/>
      <c r="B24521"/>
      <c r="C24521"/>
      <c r="E24521"/>
      <c r="F24521"/>
    </row>
    <row r="24522" spans="1:6" x14ac:dyDescent="0.25">
      <c r="A24522"/>
      <c r="B24522"/>
      <c r="C24522"/>
      <c r="E24522"/>
      <c r="F24522"/>
    </row>
    <row r="24523" spans="1:6" x14ac:dyDescent="0.25">
      <c r="A24523"/>
      <c r="B24523"/>
      <c r="C24523"/>
      <c r="E24523"/>
      <c r="F24523"/>
    </row>
    <row r="24524" spans="1:6" x14ac:dyDescent="0.25">
      <c r="A24524"/>
      <c r="B24524"/>
      <c r="C24524"/>
      <c r="E24524"/>
      <c r="F24524"/>
    </row>
    <row r="24525" spans="1:6" x14ac:dyDescent="0.25">
      <c r="A24525"/>
      <c r="B24525"/>
      <c r="C24525"/>
      <c r="E24525"/>
      <c r="F24525"/>
    </row>
    <row r="24526" spans="1:6" x14ac:dyDescent="0.25">
      <c r="A24526"/>
      <c r="B24526"/>
      <c r="C24526"/>
      <c r="E24526"/>
      <c r="F24526"/>
    </row>
    <row r="24527" spans="1:6" x14ac:dyDescent="0.25">
      <c r="A24527"/>
      <c r="B24527"/>
      <c r="C24527"/>
      <c r="E24527"/>
      <c r="F24527"/>
    </row>
    <row r="24528" spans="1:6" x14ac:dyDescent="0.25">
      <c r="A24528"/>
      <c r="B24528"/>
      <c r="C24528"/>
      <c r="E24528"/>
      <c r="F24528"/>
    </row>
    <row r="24529" spans="1:6" x14ac:dyDescent="0.25">
      <c r="A24529"/>
      <c r="B24529"/>
      <c r="C24529"/>
      <c r="E24529"/>
      <c r="F24529"/>
    </row>
    <row r="24530" spans="1:6" x14ac:dyDescent="0.25">
      <c r="A24530"/>
      <c r="B24530"/>
      <c r="C24530"/>
      <c r="E24530"/>
      <c r="F24530"/>
    </row>
    <row r="24531" spans="1:6" x14ac:dyDescent="0.25">
      <c r="A24531"/>
      <c r="B24531"/>
      <c r="C24531"/>
      <c r="E24531"/>
      <c r="F24531"/>
    </row>
    <row r="24532" spans="1:6" x14ac:dyDescent="0.25">
      <c r="A24532"/>
      <c r="B24532"/>
      <c r="C24532"/>
      <c r="E24532"/>
      <c r="F24532"/>
    </row>
    <row r="24533" spans="1:6" x14ac:dyDescent="0.25">
      <c r="A24533"/>
      <c r="B24533"/>
      <c r="C24533"/>
      <c r="E24533"/>
      <c r="F24533"/>
    </row>
    <row r="24534" spans="1:6" x14ac:dyDescent="0.25">
      <c r="A24534"/>
      <c r="B24534"/>
      <c r="C24534"/>
      <c r="E24534"/>
      <c r="F24534"/>
    </row>
    <row r="24535" spans="1:6" x14ac:dyDescent="0.25">
      <c r="A24535"/>
      <c r="B24535"/>
      <c r="C24535"/>
      <c r="E24535"/>
      <c r="F24535"/>
    </row>
    <row r="24536" spans="1:6" x14ac:dyDescent="0.25">
      <c r="A24536"/>
      <c r="B24536"/>
      <c r="C24536"/>
      <c r="E24536"/>
      <c r="F24536"/>
    </row>
    <row r="24537" spans="1:6" x14ac:dyDescent="0.25">
      <c r="A24537"/>
      <c r="B24537"/>
      <c r="C24537"/>
      <c r="E24537"/>
      <c r="F24537"/>
    </row>
    <row r="24538" spans="1:6" x14ac:dyDescent="0.25">
      <c r="A24538"/>
      <c r="B24538"/>
      <c r="C24538"/>
      <c r="E24538"/>
      <c r="F24538"/>
    </row>
    <row r="24539" spans="1:6" x14ac:dyDescent="0.25">
      <c r="A24539"/>
      <c r="B24539"/>
      <c r="C24539"/>
      <c r="E24539"/>
      <c r="F24539"/>
    </row>
    <row r="24540" spans="1:6" x14ac:dyDescent="0.25">
      <c r="A24540"/>
      <c r="B24540"/>
      <c r="C24540"/>
      <c r="E24540"/>
      <c r="F24540"/>
    </row>
    <row r="24541" spans="1:6" x14ac:dyDescent="0.25">
      <c r="A24541"/>
      <c r="B24541"/>
      <c r="C24541"/>
      <c r="E24541"/>
      <c r="F24541"/>
    </row>
    <row r="24542" spans="1:6" x14ac:dyDescent="0.25">
      <c r="A24542"/>
      <c r="B24542"/>
      <c r="C24542"/>
      <c r="E24542"/>
      <c r="F24542"/>
    </row>
    <row r="24543" spans="1:6" x14ac:dyDescent="0.25">
      <c r="A24543"/>
      <c r="B24543"/>
      <c r="C24543"/>
      <c r="E24543"/>
      <c r="F24543"/>
    </row>
    <row r="24544" spans="1:6" x14ac:dyDescent="0.25">
      <c r="A24544"/>
      <c r="B24544"/>
      <c r="C24544"/>
      <c r="E24544"/>
      <c r="F24544"/>
    </row>
    <row r="24545" spans="1:6" x14ac:dyDescent="0.25">
      <c r="A24545"/>
      <c r="B24545"/>
      <c r="C24545"/>
      <c r="E24545"/>
      <c r="F24545"/>
    </row>
    <row r="24546" spans="1:6" x14ac:dyDescent="0.25">
      <c r="A24546"/>
      <c r="B24546"/>
      <c r="C24546"/>
      <c r="E24546"/>
      <c r="F24546"/>
    </row>
    <row r="24547" spans="1:6" x14ac:dyDescent="0.25">
      <c r="A24547"/>
      <c r="B24547"/>
      <c r="C24547"/>
      <c r="E24547"/>
      <c r="F24547"/>
    </row>
    <row r="24548" spans="1:6" x14ac:dyDescent="0.25">
      <c r="A24548"/>
      <c r="B24548"/>
      <c r="C24548"/>
      <c r="E24548"/>
      <c r="F24548"/>
    </row>
    <row r="24549" spans="1:6" x14ac:dyDescent="0.25">
      <c r="A24549"/>
      <c r="B24549"/>
      <c r="C24549"/>
      <c r="E24549"/>
      <c r="F24549"/>
    </row>
    <row r="24550" spans="1:6" x14ac:dyDescent="0.25">
      <c r="A24550"/>
      <c r="B24550"/>
      <c r="C24550"/>
      <c r="E24550"/>
      <c r="F24550"/>
    </row>
    <row r="24551" spans="1:6" x14ac:dyDescent="0.25">
      <c r="A24551"/>
      <c r="B24551"/>
      <c r="C24551"/>
      <c r="E24551"/>
      <c r="F24551"/>
    </row>
    <row r="24552" spans="1:6" x14ac:dyDescent="0.25">
      <c r="A24552"/>
      <c r="B24552"/>
      <c r="C24552"/>
      <c r="E24552"/>
      <c r="F24552"/>
    </row>
    <row r="24553" spans="1:6" x14ac:dyDescent="0.25">
      <c r="A24553"/>
      <c r="B24553"/>
      <c r="C24553"/>
      <c r="E24553"/>
      <c r="F24553"/>
    </row>
    <row r="24554" spans="1:6" x14ac:dyDescent="0.25">
      <c r="A24554"/>
      <c r="B24554"/>
      <c r="C24554"/>
      <c r="E24554"/>
      <c r="F24554"/>
    </row>
    <row r="24555" spans="1:6" x14ac:dyDescent="0.25">
      <c r="A24555"/>
      <c r="B24555"/>
      <c r="C24555"/>
      <c r="E24555"/>
      <c r="F24555"/>
    </row>
    <row r="24556" spans="1:6" x14ac:dyDescent="0.25">
      <c r="A24556"/>
      <c r="B24556"/>
      <c r="C24556"/>
      <c r="E24556"/>
      <c r="F24556"/>
    </row>
    <row r="24557" spans="1:6" x14ac:dyDescent="0.25">
      <c r="A24557"/>
      <c r="B24557"/>
      <c r="C24557"/>
      <c r="E24557"/>
      <c r="F24557"/>
    </row>
    <row r="24558" spans="1:6" x14ac:dyDescent="0.25">
      <c r="A24558"/>
      <c r="B24558"/>
      <c r="C24558"/>
      <c r="E24558"/>
      <c r="F24558"/>
    </row>
    <row r="24559" spans="1:6" x14ac:dyDescent="0.25">
      <c r="A24559"/>
      <c r="B24559"/>
      <c r="C24559"/>
      <c r="E24559"/>
      <c r="F24559"/>
    </row>
    <row r="24560" spans="1:6" x14ac:dyDescent="0.25">
      <c r="A24560"/>
      <c r="B24560"/>
      <c r="C24560"/>
      <c r="E24560"/>
      <c r="F24560"/>
    </row>
    <row r="24561" spans="1:6" x14ac:dyDescent="0.25">
      <c r="A24561"/>
      <c r="B24561"/>
      <c r="C24561"/>
      <c r="E24561"/>
      <c r="F24561"/>
    </row>
    <row r="24562" spans="1:6" x14ac:dyDescent="0.25">
      <c r="A24562"/>
      <c r="B24562"/>
      <c r="C24562"/>
      <c r="E24562"/>
      <c r="F24562"/>
    </row>
    <row r="24563" spans="1:6" x14ac:dyDescent="0.25">
      <c r="A24563"/>
      <c r="B24563"/>
      <c r="C24563"/>
      <c r="E24563"/>
      <c r="F24563"/>
    </row>
    <row r="24564" spans="1:6" x14ac:dyDescent="0.25">
      <c r="A24564"/>
      <c r="B24564"/>
      <c r="C24564"/>
      <c r="E24564"/>
      <c r="F24564"/>
    </row>
    <row r="24565" spans="1:6" x14ac:dyDescent="0.25">
      <c r="A24565"/>
      <c r="B24565"/>
      <c r="C24565"/>
      <c r="E24565"/>
      <c r="F24565"/>
    </row>
    <row r="24566" spans="1:6" x14ac:dyDescent="0.25">
      <c r="A24566"/>
      <c r="B24566"/>
      <c r="C24566"/>
      <c r="E24566"/>
      <c r="F24566"/>
    </row>
    <row r="24567" spans="1:6" x14ac:dyDescent="0.25">
      <c r="A24567"/>
      <c r="B24567"/>
      <c r="C24567"/>
      <c r="E24567"/>
      <c r="F24567"/>
    </row>
    <row r="24568" spans="1:6" x14ac:dyDescent="0.25">
      <c r="A24568"/>
      <c r="B24568"/>
      <c r="C24568"/>
      <c r="E24568"/>
      <c r="F24568"/>
    </row>
    <row r="24569" spans="1:6" x14ac:dyDescent="0.25">
      <c r="A24569"/>
      <c r="B24569"/>
      <c r="C24569"/>
      <c r="E24569"/>
      <c r="F24569"/>
    </row>
    <row r="24570" spans="1:6" x14ac:dyDescent="0.25">
      <c r="A24570"/>
      <c r="B24570"/>
      <c r="C24570"/>
      <c r="E24570"/>
      <c r="F24570"/>
    </row>
    <row r="24571" spans="1:6" x14ac:dyDescent="0.25">
      <c r="A24571"/>
      <c r="B24571"/>
      <c r="C24571"/>
      <c r="E24571"/>
      <c r="F24571"/>
    </row>
    <row r="24572" spans="1:6" x14ac:dyDescent="0.25">
      <c r="A24572"/>
      <c r="B24572"/>
      <c r="C24572"/>
      <c r="E24572"/>
      <c r="F24572"/>
    </row>
    <row r="24573" spans="1:6" x14ac:dyDescent="0.25">
      <c r="A24573"/>
      <c r="B24573"/>
      <c r="C24573"/>
      <c r="E24573"/>
      <c r="F24573"/>
    </row>
    <row r="24574" spans="1:6" x14ac:dyDescent="0.25">
      <c r="A24574"/>
      <c r="B24574"/>
      <c r="C24574"/>
      <c r="E24574"/>
      <c r="F24574"/>
    </row>
    <row r="24575" spans="1:6" x14ac:dyDescent="0.25">
      <c r="A24575"/>
      <c r="B24575"/>
      <c r="C24575"/>
      <c r="E24575"/>
      <c r="F24575"/>
    </row>
    <row r="24576" spans="1:6" x14ac:dyDescent="0.25">
      <c r="A24576"/>
      <c r="B24576"/>
      <c r="C24576"/>
      <c r="E24576"/>
      <c r="F24576"/>
    </row>
    <row r="24577" spans="1:6" x14ac:dyDescent="0.25">
      <c r="A24577"/>
      <c r="B24577"/>
      <c r="C24577"/>
      <c r="E24577"/>
      <c r="F24577"/>
    </row>
    <row r="24578" spans="1:6" x14ac:dyDescent="0.25">
      <c r="A24578"/>
      <c r="B24578"/>
      <c r="C24578"/>
      <c r="E24578"/>
      <c r="F24578"/>
    </row>
    <row r="24579" spans="1:6" x14ac:dyDescent="0.25">
      <c r="A24579"/>
      <c r="B24579"/>
      <c r="C24579"/>
      <c r="E24579"/>
      <c r="F24579"/>
    </row>
    <row r="24580" spans="1:6" x14ac:dyDescent="0.25">
      <c r="A24580"/>
      <c r="B24580"/>
      <c r="C24580"/>
      <c r="E24580"/>
      <c r="F24580"/>
    </row>
    <row r="24581" spans="1:6" x14ac:dyDescent="0.25">
      <c r="A24581"/>
      <c r="B24581"/>
      <c r="C24581"/>
      <c r="E24581"/>
      <c r="F24581"/>
    </row>
    <row r="24582" spans="1:6" x14ac:dyDescent="0.25">
      <c r="A24582"/>
      <c r="B24582"/>
      <c r="C24582"/>
      <c r="E24582"/>
      <c r="F24582"/>
    </row>
    <row r="24583" spans="1:6" x14ac:dyDescent="0.25">
      <c r="A24583"/>
      <c r="B24583"/>
      <c r="C24583"/>
      <c r="E24583"/>
      <c r="F24583"/>
    </row>
    <row r="24584" spans="1:6" x14ac:dyDescent="0.25">
      <c r="A24584"/>
      <c r="B24584"/>
      <c r="C24584"/>
      <c r="E24584"/>
      <c r="F24584"/>
    </row>
    <row r="24585" spans="1:6" x14ac:dyDescent="0.25">
      <c r="A24585"/>
      <c r="B24585"/>
      <c r="C24585"/>
      <c r="E24585"/>
      <c r="F24585"/>
    </row>
    <row r="24586" spans="1:6" x14ac:dyDescent="0.25">
      <c r="A24586"/>
      <c r="B24586"/>
      <c r="C24586"/>
      <c r="E24586"/>
      <c r="F24586"/>
    </row>
    <row r="24587" spans="1:6" x14ac:dyDescent="0.25">
      <c r="A24587"/>
      <c r="B24587"/>
      <c r="C24587"/>
      <c r="E24587"/>
      <c r="F24587"/>
    </row>
    <row r="24588" spans="1:6" x14ac:dyDescent="0.25">
      <c r="A24588"/>
      <c r="B24588"/>
      <c r="C24588"/>
      <c r="E24588"/>
      <c r="F24588"/>
    </row>
    <row r="24589" spans="1:6" x14ac:dyDescent="0.25">
      <c r="A24589"/>
      <c r="B24589"/>
      <c r="C24589"/>
      <c r="E24589"/>
      <c r="F24589"/>
    </row>
    <row r="24590" spans="1:6" x14ac:dyDescent="0.25">
      <c r="A24590"/>
      <c r="B24590"/>
      <c r="C24590"/>
      <c r="E24590"/>
      <c r="F24590"/>
    </row>
    <row r="24591" spans="1:6" x14ac:dyDescent="0.25">
      <c r="A24591"/>
      <c r="B24591"/>
      <c r="C24591"/>
      <c r="E24591"/>
      <c r="F24591"/>
    </row>
    <row r="24592" spans="1:6" x14ac:dyDescent="0.25">
      <c r="A24592"/>
      <c r="B24592"/>
      <c r="C24592"/>
      <c r="E24592"/>
      <c r="F24592"/>
    </row>
    <row r="24593" spans="1:6" x14ac:dyDescent="0.25">
      <c r="A24593"/>
      <c r="B24593"/>
      <c r="C24593"/>
      <c r="E24593"/>
      <c r="F24593"/>
    </row>
    <row r="24594" spans="1:6" x14ac:dyDescent="0.25">
      <c r="A24594"/>
      <c r="B24594"/>
      <c r="C24594"/>
      <c r="E24594"/>
      <c r="F24594"/>
    </row>
    <row r="24595" spans="1:6" x14ac:dyDescent="0.25">
      <c r="A24595"/>
      <c r="B24595"/>
      <c r="C24595"/>
      <c r="E24595"/>
      <c r="F24595"/>
    </row>
    <row r="24596" spans="1:6" x14ac:dyDescent="0.25">
      <c r="A24596"/>
      <c r="B24596"/>
      <c r="C24596"/>
      <c r="E24596"/>
      <c r="F24596"/>
    </row>
    <row r="24597" spans="1:6" x14ac:dyDescent="0.25">
      <c r="A24597"/>
      <c r="B24597"/>
      <c r="C24597"/>
      <c r="E24597"/>
      <c r="F24597"/>
    </row>
    <row r="24598" spans="1:6" x14ac:dyDescent="0.25">
      <c r="A24598"/>
      <c r="B24598"/>
      <c r="C24598"/>
      <c r="E24598"/>
      <c r="F24598"/>
    </row>
    <row r="24599" spans="1:6" x14ac:dyDescent="0.25">
      <c r="A24599"/>
      <c r="B24599"/>
      <c r="C24599"/>
      <c r="E24599"/>
      <c r="F24599"/>
    </row>
    <row r="24600" spans="1:6" x14ac:dyDescent="0.25">
      <c r="A24600"/>
      <c r="B24600"/>
      <c r="C24600"/>
      <c r="E24600"/>
      <c r="F24600"/>
    </row>
    <row r="24601" spans="1:6" x14ac:dyDescent="0.25">
      <c r="A24601"/>
      <c r="B24601"/>
      <c r="C24601"/>
      <c r="E24601"/>
      <c r="F24601"/>
    </row>
    <row r="24602" spans="1:6" x14ac:dyDescent="0.25">
      <c r="A24602"/>
      <c r="B24602"/>
      <c r="C24602"/>
      <c r="E24602"/>
      <c r="F24602"/>
    </row>
    <row r="24603" spans="1:6" x14ac:dyDescent="0.25">
      <c r="A24603"/>
      <c r="B24603"/>
      <c r="C24603"/>
      <c r="E24603"/>
      <c r="F24603"/>
    </row>
    <row r="24604" spans="1:6" x14ac:dyDescent="0.25">
      <c r="A24604"/>
      <c r="B24604"/>
      <c r="C24604"/>
      <c r="E24604"/>
      <c r="F24604"/>
    </row>
    <row r="24605" spans="1:6" x14ac:dyDescent="0.25">
      <c r="A24605"/>
      <c r="B24605"/>
      <c r="C24605"/>
      <c r="E24605"/>
      <c r="F24605"/>
    </row>
    <row r="24606" spans="1:6" x14ac:dyDescent="0.25">
      <c r="A24606"/>
      <c r="B24606"/>
      <c r="C24606"/>
      <c r="E24606"/>
      <c r="F24606"/>
    </row>
    <row r="24607" spans="1:6" x14ac:dyDescent="0.25">
      <c r="A24607"/>
      <c r="B24607"/>
      <c r="C24607"/>
      <c r="E24607"/>
      <c r="F24607"/>
    </row>
    <row r="24608" spans="1:6" x14ac:dyDescent="0.25">
      <c r="A24608"/>
      <c r="B24608"/>
      <c r="C24608"/>
      <c r="E24608"/>
      <c r="F24608"/>
    </row>
    <row r="24609" spans="1:6" x14ac:dyDescent="0.25">
      <c r="A24609"/>
      <c r="B24609"/>
      <c r="C24609"/>
      <c r="E24609"/>
      <c r="F24609"/>
    </row>
    <row r="24610" spans="1:6" x14ac:dyDescent="0.25">
      <c r="A24610"/>
      <c r="B24610"/>
      <c r="C24610"/>
      <c r="E24610"/>
      <c r="F24610"/>
    </row>
    <row r="24611" spans="1:6" x14ac:dyDescent="0.25">
      <c r="A24611"/>
      <c r="B24611"/>
      <c r="C24611"/>
      <c r="E24611"/>
      <c r="F24611"/>
    </row>
    <row r="24612" spans="1:6" x14ac:dyDescent="0.25">
      <c r="A24612"/>
      <c r="B24612"/>
      <c r="C24612"/>
      <c r="E24612"/>
      <c r="F24612"/>
    </row>
    <row r="24613" spans="1:6" x14ac:dyDescent="0.25">
      <c r="A24613"/>
      <c r="B24613"/>
      <c r="C24613"/>
      <c r="E24613"/>
      <c r="F24613"/>
    </row>
    <row r="24614" spans="1:6" x14ac:dyDescent="0.25">
      <c r="A24614"/>
      <c r="B24614"/>
      <c r="C24614"/>
      <c r="E24614"/>
      <c r="F24614"/>
    </row>
    <row r="24615" spans="1:6" x14ac:dyDescent="0.25">
      <c r="A24615"/>
      <c r="B24615"/>
      <c r="C24615"/>
      <c r="E24615"/>
      <c r="F24615"/>
    </row>
    <row r="24616" spans="1:6" x14ac:dyDescent="0.25">
      <c r="A24616"/>
      <c r="B24616"/>
      <c r="C24616"/>
      <c r="E24616"/>
      <c r="F24616"/>
    </row>
    <row r="24617" spans="1:6" x14ac:dyDescent="0.25">
      <c r="A24617"/>
      <c r="B24617"/>
      <c r="C24617"/>
      <c r="E24617"/>
      <c r="F24617"/>
    </row>
    <row r="24618" spans="1:6" x14ac:dyDescent="0.25">
      <c r="A24618"/>
      <c r="B24618"/>
      <c r="C24618"/>
      <c r="E24618"/>
      <c r="F24618"/>
    </row>
    <row r="24619" spans="1:6" x14ac:dyDescent="0.25">
      <c r="A24619"/>
      <c r="B24619"/>
      <c r="C24619"/>
      <c r="E24619"/>
      <c r="F24619"/>
    </row>
    <row r="24620" spans="1:6" x14ac:dyDescent="0.25">
      <c r="A24620"/>
      <c r="B24620"/>
      <c r="C24620"/>
      <c r="E24620"/>
      <c r="F24620"/>
    </row>
    <row r="24621" spans="1:6" x14ac:dyDescent="0.25">
      <c r="A24621"/>
      <c r="B24621"/>
      <c r="C24621"/>
      <c r="E24621"/>
      <c r="F24621"/>
    </row>
    <row r="24622" spans="1:6" x14ac:dyDescent="0.25">
      <c r="A24622"/>
      <c r="B24622"/>
      <c r="C24622"/>
      <c r="E24622"/>
      <c r="F24622"/>
    </row>
    <row r="24623" spans="1:6" x14ac:dyDescent="0.25">
      <c r="A24623"/>
      <c r="B24623"/>
      <c r="C24623"/>
      <c r="E24623"/>
      <c r="F24623"/>
    </row>
    <row r="24624" spans="1:6" x14ac:dyDescent="0.25">
      <c r="A24624"/>
      <c r="B24624"/>
      <c r="C24624"/>
      <c r="E24624"/>
      <c r="F24624"/>
    </row>
    <row r="24625" spans="1:6" x14ac:dyDescent="0.25">
      <c r="A24625"/>
      <c r="B24625"/>
      <c r="C24625"/>
      <c r="E24625"/>
      <c r="F24625"/>
    </row>
    <row r="24626" spans="1:6" x14ac:dyDescent="0.25">
      <c r="A24626"/>
      <c r="B24626"/>
      <c r="C24626"/>
      <c r="E24626"/>
      <c r="F24626"/>
    </row>
    <row r="24627" spans="1:6" x14ac:dyDescent="0.25">
      <c r="A24627"/>
      <c r="B24627"/>
      <c r="C24627"/>
      <c r="E24627"/>
      <c r="F24627"/>
    </row>
    <row r="24628" spans="1:6" x14ac:dyDescent="0.25">
      <c r="A24628"/>
      <c r="B24628"/>
      <c r="C24628"/>
      <c r="E24628"/>
      <c r="F24628"/>
    </row>
    <row r="24629" spans="1:6" x14ac:dyDescent="0.25">
      <c r="A24629"/>
      <c r="B24629"/>
      <c r="C24629"/>
      <c r="E24629"/>
      <c r="F24629"/>
    </row>
    <row r="24630" spans="1:6" x14ac:dyDescent="0.25">
      <c r="A24630"/>
      <c r="B24630"/>
      <c r="C24630"/>
      <c r="E24630"/>
      <c r="F24630"/>
    </row>
    <row r="24631" spans="1:6" x14ac:dyDescent="0.25">
      <c r="A24631"/>
      <c r="B24631"/>
      <c r="C24631"/>
      <c r="E24631"/>
      <c r="F24631"/>
    </row>
    <row r="24632" spans="1:6" x14ac:dyDescent="0.25">
      <c r="A24632"/>
      <c r="B24632"/>
      <c r="C24632"/>
      <c r="E24632"/>
      <c r="F24632"/>
    </row>
    <row r="24633" spans="1:6" x14ac:dyDescent="0.25">
      <c r="A24633"/>
      <c r="B24633"/>
      <c r="C24633"/>
      <c r="E24633"/>
      <c r="F24633"/>
    </row>
    <row r="24634" spans="1:6" x14ac:dyDescent="0.25">
      <c r="A24634"/>
      <c r="B24634"/>
      <c r="C24634"/>
      <c r="E24634"/>
      <c r="F24634"/>
    </row>
    <row r="24635" spans="1:6" x14ac:dyDescent="0.25">
      <c r="A24635"/>
      <c r="B24635"/>
      <c r="C24635"/>
      <c r="E24635"/>
      <c r="F24635"/>
    </row>
    <row r="24636" spans="1:6" x14ac:dyDescent="0.25">
      <c r="A24636"/>
      <c r="B24636"/>
      <c r="C24636"/>
      <c r="E24636"/>
      <c r="F24636"/>
    </row>
    <row r="24637" spans="1:6" x14ac:dyDescent="0.25">
      <c r="A24637"/>
      <c r="B24637"/>
      <c r="C24637"/>
      <c r="E24637"/>
      <c r="F24637"/>
    </row>
    <row r="24638" spans="1:6" x14ac:dyDescent="0.25">
      <c r="A24638"/>
      <c r="B24638"/>
      <c r="C24638"/>
      <c r="E24638"/>
      <c r="F24638"/>
    </row>
    <row r="24639" spans="1:6" x14ac:dyDescent="0.25">
      <c r="A24639"/>
      <c r="B24639"/>
      <c r="C24639"/>
      <c r="E24639"/>
      <c r="F24639"/>
    </row>
    <row r="24640" spans="1:6" x14ac:dyDescent="0.25">
      <c r="A24640"/>
      <c r="B24640"/>
      <c r="C24640"/>
      <c r="E24640"/>
      <c r="F24640"/>
    </row>
    <row r="24641" spans="1:6" x14ac:dyDescent="0.25">
      <c r="A24641"/>
      <c r="B24641"/>
      <c r="C24641"/>
      <c r="E24641"/>
      <c r="F24641"/>
    </row>
    <row r="24642" spans="1:6" x14ac:dyDescent="0.25">
      <c r="A24642"/>
      <c r="B24642"/>
      <c r="C24642"/>
      <c r="E24642"/>
      <c r="F24642"/>
    </row>
    <row r="24643" spans="1:6" x14ac:dyDescent="0.25">
      <c r="A24643"/>
      <c r="B24643"/>
      <c r="C24643"/>
      <c r="E24643"/>
      <c r="F24643"/>
    </row>
    <row r="24644" spans="1:6" x14ac:dyDescent="0.25">
      <c r="A24644"/>
      <c r="B24644"/>
      <c r="C24644"/>
      <c r="E24644"/>
      <c r="F24644"/>
    </row>
    <row r="24645" spans="1:6" x14ac:dyDescent="0.25">
      <c r="A24645"/>
      <c r="B24645"/>
      <c r="C24645"/>
      <c r="E24645"/>
      <c r="F24645"/>
    </row>
    <row r="24646" spans="1:6" x14ac:dyDescent="0.25">
      <c r="A24646"/>
      <c r="B24646"/>
      <c r="C24646"/>
      <c r="E24646"/>
      <c r="F24646"/>
    </row>
    <row r="24647" spans="1:6" x14ac:dyDescent="0.25">
      <c r="A24647"/>
      <c r="B24647"/>
      <c r="C24647"/>
      <c r="E24647"/>
      <c r="F24647"/>
    </row>
    <row r="24648" spans="1:6" x14ac:dyDescent="0.25">
      <c r="A24648"/>
      <c r="B24648"/>
      <c r="C24648"/>
      <c r="E24648"/>
      <c r="F24648"/>
    </row>
    <row r="24649" spans="1:6" x14ac:dyDescent="0.25">
      <c r="A24649"/>
      <c r="B24649"/>
      <c r="C24649"/>
      <c r="E24649"/>
      <c r="F24649"/>
    </row>
    <row r="24650" spans="1:6" x14ac:dyDescent="0.25">
      <c r="A24650"/>
      <c r="B24650"/>
      <c r="C24650"/>
      <c r="E24650"/>
      <c r="F24650"/>
    </row>
    <row r="24651" spans="1:6" x14ac:dyDescent="0.25">
      <c r="A24651"/>
      <c r="B24651"/>
      <c r="C24651"/>
      <c r="E24651"/>
      <c r="F24651"/>
    </row>
    <row r="24652" spans="1:6" x14ac:dyDescent="0.25">
      <c r="A24652"/>
      <c r="B24652"/>
      <c r="C24652"/>
      <c r="E24652"/>
      <c r="F24652"/>
    </row>
    <row r="24653" spans="1:6" x14ac:dyDescent="0.25">
      <c r="A24653"/>
      <c r="B24653"/>
      <c r="C24653"/>
      <c r="E24653"/>
      <c r="F24653"/>
    </row>
    <row r="24654" spans="1:6" x14ac:dyDescent="0.25">
      <c r="A24654"/>
      <c r="B24654"/>
      <c r="C24654"/>
      <c r="E24654"/>
      <c r="F24654"/>
    </row>
    <row r="24655" spans="1:6" x14ac:dyDescent="0.25">
      <c r="A24655"/>
      <c r="B24655"/>
      <c r="C24655"/>
      <c r="E24655"/>
      <c r="F24655"/>
    </row>
    <row r="24656" spans="1:6" x14ac:dyDescent="0.25">
      <c r="A24656"/>
      <c r="B24656"/>
      <c r="C24656"/>
      <c r="E24656"/>
      <c r="F24656"/>
    </row>
    <row r="24657" spans="1:6" x14ac:dyDescent="0.25">
      <c r="A24657"/>
      <c r="B24657"/>
      <c r="C24657"/>
      <c r="E24657"/>
      <c r="F24657"/>
    </row>
    <row r="24658" spans="1:6" x14ac:dyDescent="0.25">
      <c r="A24658"/>
      <c r="B24658"/>
      <c r="C24658"/>
      <c r="E24658"/>
      <c r="F24658"/>
    </row>
    <row r="24659" spans="1:6" x14ac:dyDescent="0.25">
      <c r="A24659"/>
      <c r="B24659"/>
      <c r="C24659"/>
      <c r="E24659"/>
      <c r="F24659"/>
    </row>
    <row r="24660" spans="1:6" x14ac:dyDescent="0.25">
      <c r="A24660"/>
      <c r="B24660"/>
      <c r="C24660"/>
      <c r="E24660"/>
      <c r="F24660"/>
    </row>
    <row r="24661" spans="1:6" x14ac:dyDescent="0.25">
      <c r="A24661"/>
      <c r="B24661"/>
      <c r="C24661"/>
      <c r="E24661"/>
      <c r="F24661"/>
    </row>
    <row r="24662" spans="1:6" x14ac:dyDescent="0.25">
      <c r="A24662"/>
      <c r="B24662"/>
      <c r="C24662"/>
      <c r="E24662"/>
      <c r="F24662"/>
    </row>
    <row r="24663" spans="1:6" x14ac:dyDescent="0.25">
      <c r="A24663"/>
      <c r="B24663"/>
      <c r="C24663"/>
      <c r="E24663"/>
      <c r="F24663"/>
    </row>
    <row r="24664" spans="1:6" x14ac:dyDescent="0.25">
      <c r="A24664"/>
      <c r="B24664"/>
      <c r="C24664"/>
      <c r="E24664"/>
      <c r="F24664"/>
    </row>
    <row r="24665" spans="1:6" x14ac:dyDescent="0.25">
      <c r="A24665"/>
      <c r="B24665"/>
      <c r="C24665"/>
      <c r="E24665"/>
      <c r="F24665"/>
    </row>
    <row r="24666" spans="1:6" x14ac:dyDescent="0.25">
      <c r="A24666"/>
      <c r="B24666"/>
      <c r="C24666"/>
      <c r="E24666"/>
      <c r="F24666"/>
    </row>
    <row r="24667" spans="1:6" x14ac:dyDescent="0.25">
      <c r="A24667"/>
      <c r="B24667"/>
      <c r="C24667"/>
      <c r="E24667"/>
      <c r="F24667"/>
    </row>
    <row r="24668" spans="1:6" x14ac:dyDescent="0.25">
      <c r="A24668"/>
      <c r="B24668"/>
      <c r="C24668"/>
      <c r="E24668"/>
      <c r="F24668"/>
    </row>
    <row r="24669" spans="1:6" x14ac:dyDescent="0.25">
      <c r="A24669"/>
      <c r="B24669"/>
      <c r="C24669"/>
      <c r="E24669"/>
      <c r="F24669"/>
    </row>
    <row r="24670" spans="1:6" x14ac:dyDescent="0.25">
      <c r="A24670"/>
      <c r="B24670"/>
      <c r="C24670"/>
      <c r="E24670"/>
      <c r="F24670"/>
    </row>
    <row r="24671" spans="1:6" x14ac:dyDescent="0.25">
      <c r="A24671"/>
      <c r="B24671"/>
      <c r="C24671"/>
      <c r="E24671"/>
      <c r="F24671"/>
    </row>
    <row r="24672" spans="1:6" x14ac:dyDescent="0.25">
      <c r="A24672"/>
      <c r="B24672"/>
      <c r="C24672"/>
      <c r="E24672"/>
      <c r="F24672"/>
    </row>
    <row r="24673" spans="1:6" x14ac:dyDescent="0.25">
      <c r="A24673"/>
      <c r="B24673"/>
      <c r="C24673"/>
      <c r="E24673"/>
      <c r="F24673"/>
    </row>
    <row r="24674" spans="1:6" x14ac:dyDescent="0.25">
      <c r="A24674"/>
      <c r="B24674"/>
      <c r="C24674"/>
      <c r="E24674"/>
      <c r="F24674"/>
    </row>
    <row r="24675" spans="1:6" x14ac:dyDescent="0.25">
      <c r="A24675"/>
      <c r="B24675"/>
      <c r="C24675"/>
      <c r="E24675"/>
      <c r="F24675"/>
    </row>
    <row r="24676" spans="1:6" x14ac:dyDescent="0.25">
      <c r="A24676"/>
      <c r="B24676"/>
      <c r="C24676"/>
      <c r="E24676"/>
      <c r="F24676"/>
    </row>
    <row r="24677" spans="1:6" x14ac:dyDescent="0.25">
      <c r="A24677"/>
      <c r="B24677"/>
      <c r="C24677"/>
      <c r="E24677"/>
      <c r="F24677"/>
    </row>
    <row r="24678" spans="1:6" x14ac:dyDescent="0.25">
      <c r="A24678"/>
      <c r="B24678"/>
      <c r="C24678"/>
      <c r="E24678"/>
      <c r="F24678"/>
    </row>
    <row r="24679" spans="1:6" x14ac:dyDescent="0.25">
      <c r="A24679"/>
      <c r="B24679"/>
      <c r="C24679"/>
      <c r="E24679"/>
      <c r="F24679"/>
    </row>
    <row r="24680" spans="1:6" x14ac:dyDescent="0.25">
      <c r="A24680"/>
      <c r="B24680"/>
      <c r="C24680"/>
      <c r="E24680"/>
      <c r="F24680"/>
    </row>
    <row r="24681" spans="1:6" x14ac:dyDescent="0.25">
      <c r="A24681"/>
      <c r="B24681"/>
      <c r="C24681"/>
      <c r="E24681"/>
      <c r="F24681"/>
    </row>
    <row r="24682" spans="1:6" x14ac:dyDescent="0.25">
      <c r="A24682"/>
      <c r="B24682"/>
      <c r="C24682"/>
      <c r="E24682"/>
      <c r="F24682"/>
    </row>
    <row r="24683" spans="1:6" x14ac:dyDescent="0.25">
      <c r="A24683"/>
      <c r="B24683"/>
      <c r="C24683"/>
      <c r="E24683"/>
      <c r="F24683"/>
    </row>
    <row r="24684" spans="1:6" x14ac:dyDescent="0.25">
      <c r="A24684"/>
      <c r="B24684"/>
      <c r="C24684"/>
      <c r="E24684"/>
      <c r="F24684"/>
    </row>
    <row r="24685" spans="1:6" x14ac:dyDescent="0.25">
      <c r="A24685"/>
      <c r="B24685"/>
      <c r="C24685"/>
      <c r="E24685"/>
      <c r="F24685"/>
    </row>
    <row r="24686" spans="1:6" x14ac:dyDescent="0.25">
      <c r="A24686"/>
      <c r="B24686"/>
      <c r="C24686"/>
      <c r="E24686"/>
      <c r="F24686"/>
    </row>
    <row r="24687" spans="1:6" x14ac:dyDescent="0.25">
      <c r="A24687"/>
      <c r="B24687"/>
      <c r="C24687"/>
      <c r="E24687"/>
      <c r="F24687"/>
    </row>
    <row r="24688" spans="1:6" x14ac:dyDescent="0.25">
      <c r="A24688"/>
      <c r="B24688"/>
      <c r="C24688"/>
      <c r="E24688"/>
      <c r="F24688"/>
    </row>
    <row r="24689" spans="1:6" x14ac:dyDescent="0.25">
      <c r="A24689"/>
      <c r="B24689"/>
      <c r="C24689"/>
      <c r="E24689"/>
      <c r="F24689"/>
    </row>
    <row r="24690" spans="1:6" x14ac:dyDescent="0.25">
      <c r="A24690"/>
      <c r="B24690"/>
      <c r="C24690"/>
      <c r="E24690"/>
      <c r="F24690"/>
    </row>
    <row r="24691" spans="1:6" x14ac:dyDescent="0.25">
      <c r="A24691"/>
      <c r="B24691"/>
      <c r="C24691"/>
      <c r="E24691"/>
      <c r="F24691"/>
    </row>
    <row r="24692" spans="1:6" x14ac:dyDescent="0.25">
      <c r="A24692"/>
      <c r="B24692"/>
      <c r="C24692"/>
      <c r="E24692"/>
      <c r="F24692"/>
    </row>
    <row r="24693" spans="1:6" x14ac:dyDescent="0.25">
      <c r="A24693"/>
      <c r="B24693"/>
      <c r="C24693"/>
      <c r="E24693"/>
      <c r="F24693"/>
    </row>
    <row r="24694" spans="1:6" x14ac:dyDescent="0.25">
      <c r="A24694"/>
      <c r="B24694"/>
      <c r="C24694"/>
      <c r="E24694"/>
      <c r="F24694"/>
    </row>
    <row r="24695" spans="1:6" x14ac:dyDescent="0.25">
      <c r="A24695"/>
      <c r="B24695"/>
      <c r="C24695"/>
      <c r="E24695"/>
      <c r="F24695"/>
    </row>
    <row r="24696" spans="1:6" x14ac:dyDescent="0.25">
      <c r="A24696"/>
      <c r="B24696"/>
      <c r="C24696"/>
      <c r="E24696"/>
      <c r="F24696"/>
    </row>
    <row r="24697" spans="1:6" x14ac:dyDescent="0.25">
      <c r="A24697"/>
      <c r="B24697"/>
      <c r="C24697"/>
      <c r="E24697"/>
      <c r="F24697"/>
    </row>
    <row r="24698" spans="1:6" x14ac:dyDescent="0.25">
      <c r="A24698"/>
      <c r="B24698"/>
      <c r="C24698"/>
      <c r="E24698"/>
      <c r="F24698"/>
    </row>
    <row r="24699" spans="1:6" x14ac:dyDescent="0.25">
      <c r="A24699"/>
      <c r="B24699"/>
      <c r="C24699"/>
      <c r="E24699"/>
      <c r="F24699"/>
    </row>
    <row r="24700" spans="1:6" x14ac:dyDescent="0.25">
      <c r="A24700"/>
      <c r="B24700"/>
      <c r="C24700"/>
      <c r="E24700"/>
      <c r="F24700"/>
    </row>
    <row r="24701" spans="1:6" x14ac:dyDescent="0.25">
      <c r="A24701"/>
      <c r="B24701"/>
      <c r="C24701"/>
      <c r="E24701"/>
      <c r="F24701"/>
    </row>
    <row r="24702" spans="1:6" x14ac:dyDescent="0.25">
      <c r="A24702"/>
      <c r="B24702"/>
      <c r="C24702"/>
      <c r="E24702"/>
      <c r="F24702"/>
    </row>
    <row r="24703" spans="1:6" x14ac:dyDescent="0.25">
      <c r="A24703"/>
      <c r="B24703"/>
      <c r="C24703"/>
      <c r="E24703"/>
      <c r="F24703"/>
    </row>
    <row r="24704" spans="1:6" x14ac:dyDescent="0.25">
      <c r="A24704"/>
      <c r="B24704"/>
      <c r="C24704"/>
      <c r="E24704"/>
      <c r="F24704"/>
    </row>
    <row r="24705" spans="1:6" x14ac:dyDescent="0.25">
      <c r="A24705"/>
      <c r="B24705"/>
      <c r="C24705"/>
      <c r="E24705"/>
      <c r="F24705"/>
    </row>
    <row r="24706" spans="1:6" x14ac:dyDescent="0.25">
      <c r="A24706"/>
      <c r="B24706"/>
      <c r="C24706"/>
      <c r="E24706"/>
      <c r="F24706"/>
    </row>
    <row r="24707" spans="1:6" x14ac:dyDescent="0.25">
      <c r="A24707"/>
      <c r="B24707"/>
      <c r="C24707"/>
      <c r="E24707"/>
      <c r="F24707"/>
    </row>
    <row r="24708" spans="1:6" x14ac:dyDescent="0.25">
      <c r="A24708"/>
      <c r="B24708"/>
      <c r="C24708"/>
      <c r="E24708"/>
      <c r="F24708"/>
    </row>
    <row r="24709" spans="1:6" x14ac:dyDescent="0.25">
      <c r="A24709"/>
      <c r="B24709"/>
      <c r="C24709"/>
      <c r="E24709"/>
      <c r="F24709"/>
    </row>
    <row r="24710" spans="1:6" x14ac:dyDescent="0.25">
      <c r="A24710"/>
      <c r="B24710"/>
      <c r="C24710"/>
      <c r="E24710"/>
      <c r="F24710"/>
    </row>
    <row r="24711" spans="1:6" x14ac:dyDescent="0.25">
      <c r="A24711"/>
      <c r="B24711"/>
      <c r="C24711"/>
      <c r="E24711"/>
      <c r="F24711"/>
    </row>
    <row r="24712" spans="1:6" x14ac:dyDescent="0.25">
      <c r="A24712"/>
      <c r="B24712"/>
      <c r="C24712"/>
      <c r="E24712"/>
      <c r="F24712"/>
    </row>
    <row r="24713" spans="1:6" x14ac:dyDescent="0.25">
      <c r="A24713"/>
      <c r="B24713"/>
      <c r="C24713"/>
      <c r="E24713"/>
      <c r="F24713"/>
    </row>
    <row r="24714" spans="1:6" x14ac:dyDescent="0.25">
      <c r="A24714"/>
      <c r="B24714"/>
      <c r="C24714"/>
      <c r="E24714"/>
      <c r="F24714"/>
    </row>
    <row r="24715" spans="1:6" x14ac:dyDescent="0.25">
      <c r="A24715"/>
      <c r="B24715"/>
      <c r="C24715"/>
      <c r="E24715"/>
      <c r="F24715"/>
    </row>
    <row r="24716" spans="1:6" x14ac:dyDescent="0.25">
      <c r="A24716"/>
      <c r="B24716"/>
      <c r="C24716"/>
      <c r="E24716"/>
      <c r="F24716"/>
    </row>
    <row r="24717" spans="1:6" x14ac:dyDescent="0.25">
      <c r="A24717"/>
      <c r="B24717"/>
      <c r="C24717"/>
      <c r="E24717"/>
      <c r="F24717"/>
    </row>
    <row r="24718" spans="1:6" x14ac:dyDescent="0.25">
      <c r="A24718"/>
      <c r="B24718"/>
      <c r="C24718"/>
      <c r="E24718"/>
      <c r="F24718"/>
    </row>
    <row r="24719" spans="1:6" x14ac:dyDescent="0.25">
      <c r="A24719"/>
      <c r="B24719"/>
      <c r="C24719"/>
      <c r="E24719"/>
      <c r="F24719"/>
    </row>
    <row r="24720" spans="1:6" x14ac:dyDescent="0.25">
      <c r="A24720"/>
      <c r="B24720"/>
      <c r="C24720"/>
      <c r="E24720"/>
      <c r="F24720"/>
    </row>
    <row r="24721" spans="1:6" x14ac:dyDescent="0.25">
      <c r="A24721"/>
      <c r="B24721"/>
      <c r="C24721"/>
      <c r="E24721"/>
      <c r="F24721"/>
    </row>
    <row r="24722" spans="1:6" x14ac:dyDescent="0.25">
      <c r="A24722"/>
      <c r="B24722"/>
      <c r="C24722"/>
      <c r="E24722"/>
      <c r="F24722"/>
    </row>
    <row r="24723" spans="1:6" x14ac:dyDescent="0.25">
      <c r="A24723"/>
      <c r="B24723"/>
      <c r="C24723"/>
      <c r="E24723"/>
      <c r="F24723"/>
    </row>
    <row r="24724" spans="1:6" x14ac:dyDescent="0.25">
      <c r="A24724"/>
      <c r="B24724"/>
      <c r="C24724"/>
      <c r="E24724"/>
      <c r="F24724"/>
    </row>
    <row r="24725" spans="1:6" x14ac:dyDescent="0.25">
      <c r="A24725"/>
      <c r="B24725"/>
      <c r="C24725"/>
      <c r="E24725"/>
      <c r="F24725"/>
    </row>
    <row r="24726" spans="1:6" x14ac:dyDescent="0.25">
      <c r="A24726"/>
      <c r="B24726"/>
      <c r="C24726"/>
      <c r="E24726"/>
      <c r="F24726"/>
    </row>
    <row r="24727" spans="1:6" x14ac:dyDescent="0.25">
      <c r="A24727"/>
      <c r="B24727"/>
      <c r="C24727"/>
      <c r="E24727"/>
      <c r="F24727"/>
    </row>
    <row r="24728" spans="1:6" x14ac:dyDescent="0.25">
      <c r="A24728"/>
      <c r="B24728"/>
      <c r="C24728"/>
      <c r="E24728"/>
      <c r="F24728"/>
    </row>
    <row r="24729" spans="1:6" x14ac:dyDescent="0.25">
      <c r="A24729"/>
      <c r="B24729"/>
      <c r="C24729"/>
      <c r="E24729"/>
      <c r="F24729"/>
    </row>
    <row r="24730" spans="1:6" x14ac:dyDescent="0.25">
      <c r="A24730"/>
      <c r="B24730"/>
      <c r="C24730"/>
      <c r="E24730"/>
      <c r="F24730"/>
    </row>
    <row r="24731" spans="1:6" x14ac:dyDescent="0.25">
      <c r="A24731"/>
      <c r="B24731"/>
      <c r="C24731"/>
      <c r="E24731"/>
      <c r="F24731"/>
    </row>
    <row r="24732" spans="1:6" x14ac:dyDescent="0.25">
      <c r="A24732"/>
      <c r="B24732"/>
      <c r="C24732"/>
      <c r="E24732"/>
      <c r="F24732"/>
    </row>
    <row r="24733" spans="1:6" x14ac:dyDescent="0.25">
      <c r="A24733"/>
      <c r="B24733"/>
      <c r="C24733"/>
      <c r="E24733"/>
      <c r="F24733"/>
    </row>
    <row r="24734" spans="1:6" x14ac:dyDescent="0.25">
      <c r="A24734"/>
      <c r="B24734"/>
      <c r="C24734"/>
      <c r="E24734"/>
      <c r="F24734"/>
    </row>
    <row r="24735" spans="1:6" x14ac:dyDescent="0.25">
      <c r="A24735"/>
      <c r="B24735"/>
      <c r="C24735"/>
      <c r="E24735"/>
      <c r="F24735"/>
    </row>
    <row r="24736" spans="1:6" x14ac:dyDescent="0.25">
      <c r="A24736"/>
      <c r="B24736"/>
      <c r="C24736"/>
      <c r="E24736"/>
      <c r="F24736"/>
    </row>
    <row r="24737" spans="1:6" x14ac:dyDescent="0.25">
      <c r="A24737"/>
      <c r="B24737"/>
      <c r="C24737"/>
      <c r="E24737"/>
      <c r="F24737"/>
    </row>
    <row r="24738" spans="1:6" x14ac:dyDescent="0.25">
      <c r="A24738"/>
      <c r="B24738"/>
      <c r="C24738"/>
      <c r="E24738"/>
      <c r="F24738"/>
    </row>
    <row r="24739" spans="1:6" x14ac:dyDescent="0.25">
      <c r="A24739"/>
      <c r="B24739"/>
      <c r="C24739"/>
      <c r="E24739"/>
      <c r="F24739"/>
    </row>
    <row r="24740" spans="1:6" x14ac:dyDescent="0.25">
      <c r="A24740"/>
      <c r="B24740"/>
      <c r="C24740"/>
      <c r="E24740"/>
      <c r="F24740"/>
    </row>
    <row r="24741" spans="1:6" x14ac:dyDescent="0.25">
      <c r="A24741"/>
      <c r="B24741"/>
      <c r="C24741"/>
      <c r="E24741"/>
      <c r="F24741"/>
    </row>
    <row r="24742" spans="1:6" x14ac:dyDescent="0.25">
      <c r="A24742"/>
      <c r="B24742"/>
      <c r="C24742"/>
      <c r="E24742"/>
      <c r="F24742"/>
    </row>
    <row r="24743" spans="1:6" x14ac:dyDescent="0.25">
      <c r="A24743"/>
      <c r="B24743"/>
      <c r="C24743"/>
      <c r="E24743"/>
      <c r="F24743"/>
    </row>
    <row r="24744" spans="1:6" x14ac:dyDescent="0.25">
      <c r="A24744"/>
      <c r="B24744"/>
      <c r="C24744"/>
      <c r="E24744"/>
      <c r="F24744"/>
    </row>
    <row r="24745" spans="1:6" x14ac:dyDescent="0.25">
      <c r="A24745"/>
      <c r="B24745"/>
      <c r="C24745"/>
      <c r="E24745"/>
      <c r="F24745"/>
    </row>
    <row r="24746" spans="1:6" x14ac:dyDescent="0.25">
      <c r="A24746"/>
      <c r="B24746"/>
      <c r="C24746"/>
      <c r="E24746"/>
      <c r="F24746"/>
    </row>
    <row r="24747" spans="1:6" x14ac:dyDescent="0.25">
      <c r="A24747"/>
      <c r="B24747"/>
      <c r="C24747"/>
      <c r="E24747"/>
      <c r="F24747"/>
    </row>
    <row r="24748" spans="1:6" x14ac:dyDescent="0.25">
      <c r="A24748"/>
      <c r="B24748"/>
      <c r="C24748"/>
      <c r="E24748"/>
      <c r="F24748"/>
    </row>
    <row r="24749" spans="1:6" x14ac:dyDescent="0.25">
      <c r="A24749"/>
      <c r="B24749"/>
      <c r="C24749"/>
      <c r="E24749"/>
      <c r="F24749"/>
    </row>
    <row r="24750" spans="1:6" x14ac:dyDescent="0.25">
      <c r="A24750"/>
      <c r="B24750"/>
      <c r="C24750"/>
      <c r="E24750"/>
      <c r="F24750"/>
    </row>
    <row r="24751" spans="1:6" x14ac:dyDescent="0.25">
      <c r="A24751"/>
      <c r="B24751"/>
      <c r="C24751"/>
      <c r="E24751"/>
      <c r="F24751"/>
    </row>
    <row r="24752" spans="1:6" x14ac:dyDescent="0.25">
      <c r="A24752"/>
      <c r="B24752"/>
      <c r="C24752"/>
      <c r="E24752"/>
      <c r="F24752"/>
    </row>
    <row r="24753" spans="1:6" x14ac:dyDescent="0.25">
      <c r="A24753"/>
      <c r="B24753"/>
      <c r="C24753"/>
      <c r="E24753"/>
      <c r="F24753"/>
    </row>
    <row r="24754" spans="1:6" x14ac:dyDescent="0.25">
      <c r="A24754"/>
      <c r="B24754"/>
      <c r="C24754"/>
      <c r="E24754"/>
      <c r="F24754"/>
    </row>
    <row r="24755" spans="1:6" x14ac:dyDescent="0.25">
      <c r="A24755"/>
      <c r="B24755"/>
      <c r="C24755"/>
      <c r="E24755"/>
      <c r="F24755"/>
    </row>
    <row r="24756" spans="1:6" x14ac:dyDescent="0.25">
      <c r="A24756"/>
      <c r="B24756"/>
      <c r="C24756"/>
      <c r="E24756"/>
      <c r="F24756"/>
    </row>
    <row r="24757" spans="1:6" x14ac:dyDescent="0.25">
      <c r="A24757"/>
      <c r="B24757"/>
      <c r="C24757"/>
      <c r="E24757"/>
      <c r="F24757"/>
    </row>
    <row r="24758" spans="1:6" x14ac:dyDescent="0.25">
      <c r="A24758"/>
      <c r="B24758"/>
      <c r="C24758"/>
      <c r="E24758"/>
      <c r="F24758"/>
    </row>
    <row r="24759" spans="1:6" x14ac:dyDescent="0.25">
      <c r="A24759"/>
      <c r="B24759"/>
      <c r="C24759"/>
      <c r="E24759"/>
      <c r="F24759"/>
    </row>
    <row r="24760" spans="1:6" x14ac:dyDescent="0.25">
      <c r="A24760"/>
      <c r="B24760"/>
      <c r="C24760"/>
      <c r="E24760"/>
      <c r="F24760"/>
    </row>
    <row r="24761" spans="1:6" x14ac:dyDescent="0.25">
      <c r="A24761"/>
      <c r="B24761"/>
      <c r="C24761"/>
      <c r="E24761"/>
      <c r="F24761"/>
    </row>
    <row r="24762" spans="1:6" x14ac:dyDescent="0.25">
      <c r="A24762"/>
      <c r="B24762"/>
      <c r="C24762"/>
      <c r="E24762"/>
      <c r="F24762"/>
    </row>
    <row r="24763" spans="1:6" x14ac:dyDescent="0.25">
      <c r="A24763"/>
      <c r="B24763"/>
      <c r="C24763"/>
      <c r="E24763"/>
      <c r="F24763"/>
    </row>
    <row r="24764" spans="1:6" x14ac:dyDescent="0.25">
      <c r="A24764"/>
      <c r="B24764"/>
      <c r="C24764"/>
      <c r="E24764"/>
      <c r="F24764"/>
    </row>
    <row r="24765" spans="1:6" x14ac:dyDescent="0.25">
      <c r="A24765"/>
      <c r="B24765"/>
      <c r="C24765"/>
      <c r="E24765"/>
      <c r="F24765"/>
    </row>
    <row r="24766" spans="1:6" x14ac:dyDescent="0.25">
      <c r="A24766"/>
      <c r="B24766"/>
      <c r="C24766"/>
      <c r="E24766"/>
      <c r="F24766"/>
    </row>
    <row r="24767" spans="1:6" x14ac:dyDescent="0.25">
      <c r="A24767"/>
      <c r="B24767"/>
      <c r="C24767"/>
      <c r="E24767"/>
      <c r="F24767"/>
    </row>
    <row r="24768" spans="1:6" x14ac:dyDescent="0.25">
      <c r="A24768"/>
      <c r="B24768"/>
      <c r="C24768"/>
      <c r="E24768"/>
      <c r="F24768"/>
    </row>
    <row r="24769" spans="1:6" x14ac:dyDescent="0.25">
      <c r="A24769"/>
      <c r="B24769"/>
      <c r="C24769"/>
      <c r="E24769"/>
      <c r="F24769"/>
    </row>
    <row r="24770" spans="1:6" x14ac:dyDescent="0.25">
      <c r="A24770"/>
      <c r="B24770"/>
      <c r="C24770"/>
      <c r="E24770"/>
      <c r="F24770"/>
    </row>
    <row r="24771" spans="1:6" x14ac:dyDescent="0.25">
      <c r="A24771"/>
      <c r="B24771"/>
      <c r="C24771"/>
      <c r="E24771"/>
      <c r="F24771"/>
    </row>
    <row r="24772" spans="1:6" x14ac:dyDescent="0.25">
      <c r="A24772"/>
      <c r="B24772"/>
      <c r="C24772"/>
      <c r="E24772"/>
      <c r="F24772"/>
    </row>
    <row r="24773" spans="1:6" x14ac:dyDescent="0.25">
      <c r="A24773"/>
      <c r="B24773"/>
      <c r="C24773"/>
      <c r="E24773"/>
      <c r="F24773"/>
    </row>
    <row r="24774" spans="1:6" x14ac:dyDescent="0.25">
      <c r="A24774"/>
      <c r="B24774"/>
      <c r="C24774"/>
      <c r="E24774"/>
      <c r="F24774"/>
    </row>
    <row r="24775" spans="1:6" x14ac:dyDescent="0.25">
      <c r="A24775"/>
      <c r="B24775"/>
      <c r="C24775"/>
      <c r="E24775"/>
      <c r="F24775"/>
    </row>
    <row r="24776" spans="1:6" x14ac:dyDescent="0.25">
      <c r="A24776"/>
      <c r="B24776"/>
      <c r="C24776"/>
      <c r="E24776"/>
      <c r="F24776"/>
    </row>
    <row r="24777" spans="1:6" x14ac:dyDescent="0.25">
      <c r="A24777"/>
      <c r="B24777"/>
      <c r="C24777"/>
      <c r="E24777"/>
      <c r="F24777"/>
    </row>
    <row r="24778" spans="1:6" x14ac:dyDescent="0.25">
      <c r="A24778"/>
      <c r="B24778"/>
      <c r="C24778"/>
      <c r="E24778"/>
      <c r="F24778"/>
    </row>
    <row r="24779" spans="1:6" x14ac:dyDescent="0.25">
      <c r="A24779"/>
      <c r="B24779"/>
      <c r="C24779"/>
      <c r="E24779"/>
      <c r="F24779"/>
    </row>
    <row r="24780" spans="1:6" x14ac:dyDescent="0.25">
      <c r="A24780"/>
      <c r="B24780"/>
      <c r="C24780"/>
      <c r="E24780"/>
      <c r="F24780"/>
    </row>
    <row r="24781" spans="1:6" x14ac:dyDescent="0.25">
      <c r="A24781"/>
      <c r="B24781"/>
      <c r="C24781"/>
      <c r="E24781"/>
      <c r="F24781"/>
    </row>
    <row r="24782" spans="1:6" x14ac:dyDescent="0.25">
      <c r="A24782"/>
      <c r="B24782"/>
      <c r="C24782"/>
      <c r="E24782"/>
      <c r="F24782"/>
    </row>
    <row r="24783" spans="1:6" x14ac:dyDescent="0.25">
      <c r="A24783"/>
      <c r="B24783"/>
      <c r="C24783"/>
      <c r="E24783"/>
      <c r="F24783"/>
    </row>
    <row r="24784" spans="1:6" x14ac:dyDescent="0.25">
      <c r="A24784"/>
      <c r="B24784"/>
      <c r="C24784"/>
      <c r="E24784"/>
      <c r="F24784"/>
    </row>
    <row r="24785" spans="1:6" x14ac:dyDescent="0.25">
      <c r="A24785"/>
      <c r="B24785"/>
      <c r="C24785"/>
      <c r="E24785"/>
      <c r="F24785"/>
    </row>
    <row r="24786" spans="1:6" x14ac:dyDescent="0.25">
      <c r="A24786"/>
      <c r="B24786"/>
      <c r="C24786"/>
      <c r="E24786"/>
      <c r="F24786"/>
    </row>
    <row r="24787" spans="1:6" x14ac:dyDescent="0.25">
      <c r="A24787"/>
      <c r="B24787"/>
      <c r="C24787"/>
      <c r="E24787"/>
      <c r="F24787"/>
    </row>
    <row r="24788" spans="1:6" x14ac:dyDescent="0.25">
      <c r="A24788"/>
      <c r="B24788"/>
      <c r="C24788"/>
      <c r="E24788"/>
      <c r="F24788"/>
    </row>
    <row r="24789" spans="1:6" x14ac:dyDescent="0.25">
      <c r="A24789"/>
      <c r="B24789"/>
      <c r="C24789"/>
      <c r="E24789"/>
      <c r="F24789"/>
    </row>
    <row r="24790" spans="1:6" x14ac:dyDescent="0.25">
      <c r="A24790"/>
      <c r="B24790"/>
      <c r="C24790"/>
      <c r="E24790"/>
      <c r="F24790"/>
    </row>
    <row r="24791" spans="1:6" x14ac:dyDescent="0.25">
      <c r="A24791"/>
      <c r="B24791"/>
      <c r="C24791"/>
      <c r="E24791"/>
      <c r="F24791"/>
    </row>
    <row r="24792" spans="1:6" x14ac:dyDescent="0.25">
      <c r="A24792"/>
      <c r="B24792"/>
      <c r="C24792"/>
      <c r="E24792"/>
      <c r="F24792"/>
    </row>
    <row r="24793" spans="1:6" x14ac:dyDescent="0.25">
      <c r="A24793"/>
      <c r="B24793"/>
      <c r="C24793"/>
      <c r="E24793"/>
      <c r="F24793"/>
    </row>
    <row r="24794" spans="1:6" x14ac:dyDescent="0.25">
      <c r="A24794"/>
      <c r="B24794"/>
      <c r="C24794"/>
      <c r="E24794"/>
      <c r="F24794"/>
    </row>
    <row r="24795" spans="1:6" x14ac:dyDescent="0.25">
      <c r="A24795"/>
      <c r="B24795"/>
      <c r="C24795"/>
      <c r="E24795"/>
      <c r="F24795"/>
    </row>
    <row r="24796" spans="1:6" x14ac:dyDescent="0.25">
      <c r="A24796"/>
      <c r="B24796"/>
      <c r="C24796"/>
      <c r="E24796"/>
      <c r="F24796"/>
    </row>
    <row r="24797" spans="1:6" x14ac:dyDescent="0.25">
      <c r="A24797"/>
      <c r="B24797"/>
      <c r="C24797"/>
      <c r="E24797"/>
      <c r="F24797"/>
    </row>
    <row r="24798" spans="1:6" x14ac:dyDescent="0.25">
      <c r="A24798"/>
      <c r="B24798"/>
      <c r="C24798"/>
      <c r="E24798"/>
      <c r="F24798"/>
    </row>
    <row r="24799" spans="1:6" x14ac:dyDescent="0.25">
      <c r="A24799"/>
      <c r="B24799"/>
      <c r="C24799"/>
      <c r="E24799"/>
      <c r="F24799"/>
    </row>
    <row r="24800" spans="1:6" x14ac:dyDescent="0.25">
      <c r="A24800"/>
      <c r="B24800"/>
      <c r="C24800"/>
      <c r="E24800"/>
      <c r="F24800"/>
    </row>
    <row r="24801" spans="1:6" x14ac:dyDescent="0.25">
      <c r="A24801"/>
      <c r="B24801"/>
      <c r="C24801"/>
      <c r="E24801"/>
      <c r="F24801"/>
    </row>
    <row r="24802" spans="1:6" x14ac:dyDescent="0.25">
      <c r="A24802"/>
      <c r="B24802"/>
      <c r="C24802"/>
      <c r="E24802"/>
      <c r="F24802"/>
    </row>
    <row r="24803" spans="1:6" x14ac:dyDescent="0.25">
      <c r="A24803"/>
      <c r="B24803"/>
      <c r="C24803"/>
      <c r="E24803"/>
      <c r="F24803"/>
    </row>
    <row r="24804" spans="1:6" x14ac:dyDescent="0.25">
      <c r="A24804"/>
      <c r="B24804"/>
      <c r="C24804"/>
      <c r="E24804"/>
      <c r="F24804"/>
    </row>
    <row r="24805" spans="1:6" x14ac:dyDescent="0.25">
      <c r="A24805"/>
      <c r="B24805"/>
      <c r="C24805"/>
      <c r="E24805"/>
      <c r="F24805"/>
    </row>
    <row r="24806" spans="1:6" x14ac:dyDescent="0.25">
      <c r="A24806"/>
      <c r="B24806"/>
      <c r="C24806"/>
      <c r="E24806"/>
      <c r="F24806"/>
    </row>
    <row r="24807" spans="1:6" x14ac:dyDescent="0.25">
      <c r="A24807"/>
      <c r="B24807"/>
      <c r="C24807"/>
      <c r="E24807"/>
      <c r="F24807"/>
    </row>
    <row r="24808" spans="1:6" x14ac:dyDescent="0.25">
      <c r="A24808"/>
      <c r="B24808"/>
      <c r="C24808"/>
      <c r="E24808"/>
      <c r="F24808"/>
    </row>
    <row r="24809" spans="1:6" x14ac:dyDescent="0.25">
      <c r="A24809"/>
      <c r="B24809"/>
      <c r="C24809"/>
      <c r="E24809"/>
      <c r="F24809"/>
    </row>
    <row r="24810" spans="1:6" x14ac:dyDescent="0.25">
      <c r="A24810"/>
      <c r="B24810"/>
      <c r="C24810"/>
      <c r="E24810"/>
      <c r="F24810"/>
    </row>
    <row r="24811" spans="1:6" x14ac:dyDescent="0.25">
      <c r="A24811"/>
      <c r="B24811"/>
      <c r="C24811"/>
      <c r="E24811"/>
      <c r="F24811"/>
    </row>
    <row r="24812" spans="1:6" x14ac:dyDescent="0.25">
      <c r="A24812"/>
      <c r="B24812"/>
      <c r="C24812"/>
      <c r="E24812"/>
      <c r="F24812"/>
    </row>
    <row r="24813" spans="1:6" x14ac:dyDescent="0.25">
      <c r="A24813"/>
      <c r="B24813"/>
      <c r="C24813"/>
      <c r="E24813"/>
      <c r="F24813"/>
    </row>
    <row r="24814" spans="1:6" x14ac:dyDescent="0.25">
      <c r="A24814"/>
      <c r="B24814"/>
      <c r="C24814"/>
      <c r="E24814"/>
      <c r="F24814"/>
    </row>
    <row r="24815" spans="1:6" x14ac:dyDescent="0.25">
      <c r="A24815"/>
      <c r="B24815"/>
      <c r="C24815"/>
      <c r="E24815"/>
      <c r="F24815"/>
    </row>
    <row r="24816" spans="1:6" x14ac:dyDescent="0.25">
      <c r="A24816"/>
      <c r="B24816"/>
      <c r="C24816"/>
      <c r="E24816"/>
      <c r="F24816"/>
    </row>
    <row r="24817" spans="1:6" x14ac:dyDescent="0.25">
      <c r="A24817"/>
      <c r="B24817"/>
      <c r="C24817"/>
      <c r="E24817"/>
      <c r="F24817"/>
    </row>
    <row r="24818" spans="1:6" x14ac:dyDescent="0.25">
      <c r="A24818"/>
      <c r="B24818"/>
      <c r="C24818"/>
      <c r="E24818"/>
      <c r="F24818"/>
    </row>
    <row r="24819" spans="1:6" x14ac:dyDescent="0.25">
      <c r="A24819"/>
      <c r="B24819"/>
      <c r="C24819"/>
      <c r="E24819"/>
      <c r="F24819"/>
    </row>
    <row r="24820" spans="1:6" x14ac:dyDescent="0.25">
      <c r="A24820"/>
      <c r="B24820"/>
      <c r="C24820"/>
      <c r="E24820"/>
      <c r="F24820"/>
    </row>
    <row r="24821" spans="1:6" x14ac:dyDescent="0.25">
      <c r="A24821"/>
      <c r="B24821"/>
      <c r="C24821"/>
      <c r="E24821"/>
      <c r="F24821"/>
    </row>
    <row r="24822" spans="1:6" x14ac:dyDescent="0.25">
      <c r="A24822"/>
      <c r="B24822"/>
      <c r="C24822"/>
      <c r="E24822"/>
      <c r="F24822"/>
    </row>
    <row r="24823" spans="1:6" x14ac:dyDescent="0.25">
      <c r="A24823"/>
      <c r="B24823"/>
      <c r="C24823"/>
      <c r="E24823"/>
      <c r="F24823"/>
    </row>
    <row r="24824" spans="1:6" x14ac:dyDescent="0.25">
      <c r="A24824"/>
      <c r="B24824"/>
      <c r="C24824"/>
      <c r="E24824"/>
      <c r="F24824"/>
    </row>
    <row r="24825" spans="1:6" x14ac:dyDescent="0.25">
      <c r="A24825"/>
      <c r="B24825"/>
      <c r="C24825"/>
      <c r="E24825"/>
      <c r="F24825"/>
    </row>
    <row r="24826" spans="1:6" x14ac:dyDescent="0.25">
      <c r="A24826"/>
      <c r="B24826"/>
      <c r="C24826"/>
      <c r="E24826"/>
      <c r="F24826"/>
    </row>
    <row r="24827" spans="1:6" x14ac:dyDescent="0.25">
      <c r="A24827"/>
      <c r="B24827"/>
      <c r="C24827"/>
      <c r="E24827"/>
      <c r="F24827"/>
    </row>
    <row r="24828" spans="1:6" x14ac:dyDescent="0.25">
      <c r="A24828"/>
      <c r="B24828"/>
      <c r="C24828"/>
      <c r="E24828"/>
      <c r="F24828"/>
    </row>
    <row r="24829" spans="1:6" x14ac:dyDescent="0.25">
      <c r="A24829"/>
      <c r="B24829"/>
      <c r="C24829"/>
      <c r="E24829"/>
      <c r="F24829"/>
    </row>
    <row r="24830" spans="1:6" x14ac:dyDescent="0.25">
      <c r="A24830"/>
      <c r="B24830"/>
      <c r="C24830"/>
      <c r="E24830"/>
      <c r="F24830"/>
    </row>
    <row r="24831" spans="1:6" x14ac:dyDescent="0.25">
      <c r="A24831"/>
      <c r="B24831"/>
      <c r="C24831"/>
      <c r="E24831"/>
      <c r="F24831"/>
    </row>
    <row r="24832" spans="1:6" x14ac:dyDescent="0.25">
      <c r="A24832"/>
      <c r="B24832"/>
      <c r="C24832"/>
      <c r="E24832"/>
      <c r="F24832"/>
    </row>
    <row r="24833" spans="1:6" x14ac:dyDescent="0.25">
      <c r="A24833"/>
      <c r="B24833"/>
      <c r="C24833"/>
      <c r="E24833"/>
      <c r="F24833"/>
    </row>
    <row r="24834" spans="1:6" x14ac:dyDescent="0.25">
      <c r="A24834"/>
      <c r="B24834"/>
      <c r="C24834"/>
      <c r="E24834"/>
      <c r="F24834"/>
    </row>
    <row r="24835" spans="1:6" x14ac:dyDescent="0.25">
      <c r="A24835"/>
      <c r="B24835"/>
      <c r="C24835"/>
      <c r="E24835"/>
      <c r="F24835"/>
    </row>
    <row r="24836" spans="1:6" x14ac:dyDescent="0.25">
      <c r="A24836"/>
      <c r="B24836"/>
      <c r="C24836"/>
      <c r="E24836"/>
      <c r="F24836"/>
    </row>
    <row r="24837" spans="1:6" x14ac:dyDescent="0.25">
      <c r="A24837"/>
      <c r="B24837"/>
      <c r="C24837"/>
      <c r="E24837"/>
      <c r="F24837"/>
    </row>
    <row r="24838" spans="1:6" x14ac:dyDescent="0.25">
      <c r="A24838"/>
      <c r="B24838"/>
      <c r="C24838"/>
      <c r="E24838"/>
      <c r="F24838"/>
    </row>
    <row r="24839" spans="1:6" x14ac:dyDescent="0.25">
      <c r="A24839"/>
      <c r="B24839"/>
      <c r="C24839"/>
      <c r="E24839"/>
      <c r="F24839"/>
    </row>
    <row r="24840" spans="1:6" x14ac:dyDescent="0.25">
      <c r="A24840"/>
      <c r="B24840"/>
      <c r="C24840"/>
      <c r="E24840"/>
      <c r="F24840"/>
    </row>
    <row r="24841" spans="1:6" x14ac:dyDescent="0.25">
      <c r="A24841"/>
      <c r="B24841"/>
      <c r="C24841"/>
      <c r="E24841"/>
      <c r="F24841"/>
    </row>
    <row r="24842" spans="1:6" x14ac:dyDescent="0.25">
      <c r="A24842"/>
      <c r="B24842"/>
      <c r="C24842"/>
      <c r="E24842"/>
      <c r="F24842"/>
    </row>
    <row r="24843" spans="1:6" x14ac:dyDescent="0.25">
      <c r="A24843"/>
      <c r="B24843"/>
      <c r="C24843"/>
      <c r="E24843"/>
      <c r="F24843"/>
    </row>
    <row r="24844" spans="1:6" x14ac:dyDescent="0.25">
      <c r="A24844"/>
      <c r="B24844"/>
      <c r="C24844"/>
      <c r="E24844"/>
      <c r="F24844"/>
    </row>
    <row r="24845" spans="1:6" x14ac:dyDescent="0.25">
      <c r="A24845"/>
      <c r="B24845"/>
      <c r="C24845"/>
      <c r="E24845"/>
      <c r="F24845"/>
    </row>
    <row r="24846" spans="1:6" x14ac:dyDescent="0.25">
      <c r="A24846"/>
      <c r="B24846"/>
      <c r="C24846"/>
      <c r="E24846"/>
      <c r="F24846"/>
    </row>
    <row r="24847" spans="1:6" x14ac:dyDescent="0.25">
      <c r="A24847"/>
      <c r="B24847"/>
      <c r="C24847"/>
      <c r="E24847"/>
      <c r="F24847"/>
    </row>
    <row r="24848" spans="1:6" x14ac:dyDescent="0.25">
      <c r="A24848"/>
      <c r="B24848"/>
      <c r="C24848"/>
      <c r="E24848"/>
      <c r="F24848"/>
    </row>
    <row r="24849" spans="1:6" x14ac:dyDescent="0.25">
      <c r="A24849"/>
      <c r="B24849"/>
      <c r="C24849"/>
      <c r="E24849"/>
      <c r="F24849"/>
    </row>
    <row r="24850" spans="1:6" x14ac:dyDescent="0.25">
      <c r="A24850"/>
      <c r="B24850"/>
      <c r="C24850"/>
      <c r="E24850"/>
      <c r="F24850"/>
    </row>
    <row r="24851" spans="1:6" x14ac:dyDescent="0.25">
      <c r="A24851"/>
      <c r="B24851"/>
      <c r="C24851"/>
      <c r="E24851"/>
      <c r="F24851"/>
    </row>
    <row r="24852" spans="1:6" x14ac:dyDescent="0.25">
      <c r="A24852"/>
      <c r="B24852"/>
      <c r="C24852"/>
      <c r="E24852"/>
      <c r="F24852"/>
    </row>
    <row r="24853" spans="1:6" x14ac:dyDescent="0.25">
      <c r="A24853"/>
      <c r="B24853"/>
      <c r="C24853"/>
      <c r="E24853"/>
      <c r="F24853"/>
    </row>
    <row r="24854" spans="1:6" x14ac:dyDescent="0.25">
      <c r="A24854"/>
      <c r="B24854"/>
      <c r="C24854"/>
      <c r="E24854"/>
      <c r="F24854"/>
    </row>
    <row r="24855" spans="1:6" x14ac:dyDescent="0.25">
      <c r="A24855"/>
      <c r="B24855"/>
      <c r="C24855"/>
      <c r="E24855"/>
      <c r="F24855"/>
    </row>
    <row r="24856" spans="1:6" x14ac:dyDescent="0.25">
      <c r="A24856"/>
      <c r="B24856"/>
      <c r="C24856"/>
      <c r="E24856"/>
      <c r="F24856"/>
    </row>
    <row r="24857" spans="1:6" x14ac:dyDescent="0.25">
      <c r="A24857"/>
      <c r="B24857"/>
      <c r="C24857"/>
      <c r="E24857"/>
      <c r="F24857"/>
    </row>
    <row r="24858" spans="1:6" x14ac:dyDescent="0.25">
      <c r="A24858"/>
      <c r="B24858"/>
      <c r="C24858"/>
      <c r="E24858"/>
      <c r="F24858"/>
    </row>
    <row r="24859" spans="1:6" x14ac:dyDescent="0.25">
      <c r="A24859"/>
      <c r="B24859"/>
      <c r="C24859"/>
      <c r="E24859"/>
      <c r="F24859"/>
    </row>
    <row r="24860" spans="1:6" x14ac:dyDescent="0.25">
      <c r="A24860"/>
      <c r="B24860"/>
      <c r="C24860"/>
      <c r="E24860"/>
      <c r="F24860"/>
    </row>
    <row r="24861" spans="1:6" x14ac:dyDescent="0.25">
      <c r="A24861"/>
      <c r="B24861"/>
      <c r="C24861"/>
      <c r="E24861"/>
      <c r="F24861"/>
    </row>
    <row r="24862" spans="1:6" x14ac:dyDescent="0.25">
      <c r="A24862"/>
      <c r="B24862"/>
      <c r="C24862"/>
      <c r="E24862"/>
      <c r="F24862"/>
    </row>
    <row r="24863" spans="1:6" x14ac:dyDescent="0.25">
      <c r="A24863"/>
      <c r="B24863"/>
      <c r="C24863"/>
      <c r="E24863"/>
      <c r="F24863"/>
    </row>
    <row r="24864" spans="1:6" x14ac:dyDescent="0.25">
      <c r="A24864"/>
      <c r="B24864"/>
      <c r="C24864"/>
      <c r="E24864"/>
      <c r="F24864"/>
    </row>
    <row r="24865" spans="1:6" x14ac:dyDescent="0.25">
      <c r="A24865"/>
      <c r="B24865"/>
      <c r="C24865"/>
      <c r="E24865"/>
      <c r="F24865"/>
    </row>
    <row r="24866" spans="1:6" x14ac:dyDescent="0.25">
      <c r="A24866"/>
      <c r="B24866"/>
      <c r="C24866"/>
      <c r="E24866"/>
      <c r="F24866"/>
    </row>
    <row r="24867" spans="1:6" x14ac:dyDescent="0.25">
      <c r="A24867"/>
      <c r="B24867"/>
      <c r="C24867"/>
      <c r="E24867"/>
      <c r="F24867"/>
    </row>
    <row r="24868" spans="1:6" x14ac:dyDescent="0.25">
      <c r="A24868"/>
      <c r="B24868"/>
      <c r="C24868"/>
      <c r="E24868"/>
      <c r="F24868"/>
    </row>
    <row r="24869" spans="1:6" x14ac:dyDescent="0.25">
      <c r="A24869"/>
      <c r="B24869"/>
      <c r="C24869"/>
      <c r="E24869"/>
      <c r="F24869"/>
    </row>
    <row r="24870" spans="1:6" x14ac:dyDescent="0.25">
      <c r="A24870"/>
      <c r="B24870"/>
      <c r="C24870"/>
      <c r="E24870"/>
      <c r="F24870"/>
    </row>
    <row r="24871" spans="1:6" x14ac:dyDescent="0.25">
      <c r="A24871"/>
      <c r="B24871"/>
      <c r="C24871"/>
      <c r="E24871"/>
      <c r="F24871"/>
    </row>
    <row r="24872" spans="1:6" x14ac:dyDescent="0.25">
      <c r="A24872"/>
      <c r="B24872"/>
      <c r="C24872"/>
      <c r="E24872"/>
      <c r="F24872"/>
    </row>
    <row r="24873" spans="1:6" x14ac:dyDescent="0.25">
      <c r="A24873"/>
      <c r="B24873"/>
      <c r="C24873"/>
      <c r="E24873"/>
      <c r="F24873"/>
    </row>
    <row r="24874" spans="1:6" x14ac:dyDescent="0.25">
      <c r="A24874"/>
      <c r="B24874"/>
      <c r="C24874"/>
      <c r="E24874"/>
      <c r="F24874"/>
    </row>
    <row r="24875" spans="1:6" x14ac:dyDescent="0.25">
      <c r="A24875"/>
      <c r="B24875"/>
      <c r="C24875"/>
      <c r="E24875"/>
      <c r="F24875"/>
    </row>
    <row r="24876" spans="1:6" x14ac:dyDescent="0.25">
      <c r="A24876"/>
      <c r="B24876"/>
      <c r="C24876"/>
      <c r="E24876"/>
      <c r="F24876"/>
    </row>
    <row r="24877" spans="1:6" x14ac:dyDescent="0.25">
      <c r="A24877"/>
      <c r="B24877"/>
      <c r="C24877"/>
      <c r="E24877"/>
      <c r="F24877"/>
    </row>
    <row r="24878" spans="1:6" x14ac:dyDescent="0.25">
      <c r="A24878"/>
      <c r="B24878"/>
      <c r="C24878"/>
      <c r="E24878"/>
      <c r="F24878"/>
    </row>
    <row r="24879" spans="1:6" x14ac:dyDescent="0.25">
      <c r="A24879"/>
      <c r="B24879"/>
      <c r="C24879"/>
      <c r="E24879"/>
      <c r="F24879"/>
    </row>
    <row r="24880" spans="1:6" x14ac:dyDescent="0.25">
      <c r="A24880"/>
      <c r="B24880"/>
      <c r="C24880"/>
      <c r="E24880"/>
      <c r="F24880"/>
    </row>
    <row r="24881" spans="1:6" x14ac:dyDescent="0.25">
      <c r="A24881"/>
      <c r="B24881"/>
      <c r="C24881"/>
      <c r="E24881"/>
      <c r="F24881"/>
    </row>
    <row r="24882" spans="1:6" x14ac:dyDescent="0.25">
      <c r="A24882"/>
      <c r="B24882"/>
      <c r="C24882"/>
      <c r="E24882"/>
      <c r="F24882"/>
    </row>
    <row r="24883" spans="1:6" x14ac:dyDescent="0.25">
      <c r="A24883"/>
      <c r="B24883"/>
      <c r="C24883"/>
      <c r="E24883"/>
      <c r="F24883"/>
    </row>
    <row r="24884" spans="1:6" x14ac:dyDescent="0.25">
      <c r="A24884"/>
      <c r="B24884"/>
      <c r="C24884"/>
      <c r="E24884"/>
      <c r="F24884"/>
    </row>
    <row r="24885" spans="1:6" x14ac:dyDescent="0.25">
      <c r="A24885"/>
      <c r="B24885"/>
      <c r="C24885"/>
      <c r="E24885"/>
      <c r="F24885"/>
    </row>
    <row r="24886" spans="1:6" x14ac:dyDescent="0.25">
      <c r="A24886"/>
      <c r="B24886"/>
      <c r="C24886"/>
      <c r="E24886"/>
      <c r="F24886"/>
    </row>
    <row r="24887" spans="1:6" x14ac:dyDescent="0.25">
      <c r="A24887"/>
      <c r="B24887"/>
      <c r="C24887"/>
      <c r="E24887"/>
      <c r="F24887"/>
    </row>
    <row r="24888" spans="1:6" x14ac:dyDescent="0.25">
      <c r="A24888"/>
      <c r="B24888"/>
      <c r="C24888"/>
      <c r="E24888"/>
      <c r="F24888"/>
    </row>
    <row r="24889" spans="1:6" x14ac:dyDescent="0.25">
      <c r="A24889"/>
      <c r="B24889"/>
      <c r="C24889"/>
      <c r="E24889"/>
      <c r="F24889"/>
    </row>
    <row r="24890" spans="1:6" x14ac:dyDescent="0.25">
      <c r="A24890"/>
      <c r="B24890"/>
      <c r="C24890"/>
      <c r="E24890"/>
      <c r="F24890"/>
    </row>
    <row r="24891" spans="1:6" x14ac:dyDescent="0.25">
      <c r="A24891"/>
      <c r="B24891"/>
      <c r="C24891"/>
      <c r="E24891"/>
      <c r="F24891"/>
    </row>
    <row r="24892" spans="1:6" x14ac:dyDescent="0.25">
      <c r="A24892"/>
      <c r="B24892"/>
      <c r="C24892"/>
      <c r="E24892"/>
      <c r="F24892"/>
    </row>
    <row r="24893" spans="1:6" x14ac:dyDescent="0.25">
      <c r="A24893"/>
      <c r="B24893"/>
      <c r="C24893"/>
      <c r="E24893"/>
      <c r="F24893"/>
    </row>
    <row r="24894" spans="1:6" x14ac:dyDescent="0.25">
      <c r="A24894"/>
      <c r="B24894"/>
      <c r="C24894"/>
      <c r="E24894"/>
      <c r="F24894"/>
    </row>
    <row r="24895" spans="1:6" x14ac:dyDescent="0.25">
      <c r="A24895"/>
      <c r="B24895"/>
      <c r="C24895"/>
      <c r="E24895"/>
      <c r="F24895"/>
    </row>
    <row r="24896" spans="1:6" x14ac:dyDescent="0.25">
      <c r="A24896"/>
      <c r="B24896"/>
      <c r="C24896"/>
      <c r="E24896"/>
      <c r="F24896"/>
    </row>
    <row r="24897" spans="1:6" x14ac:dyDescent="0.25">
      <c r="A24897"/>
      <c r="B24897"/>
      <c r="C24897"/>
      <c r="E24897"/>
      <c r="F24897"/>
    </row>
    <row r="24898" spans="1:6" x14ac:dyDescent="0.25">
      <c r="A24898"/>
      <c r="B24898"/>
      <c r="C24898"/>
      <c r="E24898"/>
      <c r="F24898"/>
    </row>
    <row r="24899" spans="1:6" x14ac:dyDescent="0.25">
      <c r="A24899"/>
      <c r="B24899"/>
      <c r="C24899"/>
      <c r="E24899"/>
      <c r="F24899"/>
    </row>
    <row r="24900" spans="1:6" x14ac:dyDescent="0.25">
      <c r="A24900"/>
      <c r="B24900"/>
      <c r="C24900"/>
      <c r="E24900"/>
      <c r="F24900"/>
    </row>
    <row r="24901" spans="1:6" x14ac:dyDescent="0.25">
      <c r="A24901"/>
      <c r="B24901"/>
      <c r="C24901"/>
      <c r="E24901"/>
      <c r="F24901"/>
    </row>
    <row r="24902" spans="1:6" x14ac:dyDescent="0.25">
      <c r="A24902"/>
      <c r="B24902"/>
      <c r="C24902"/>
      <c r="E24902"/>
      <c r="F24902"/>
    </row>
    <row r="24903" spans="1:6" x14ac:dyDescent="0.25">
      <c r="A24903"/>
      <c r="B24903"/>
      <c r="C24903"/>
      <c r="E24903"/>
      <c r="F24903"/>
    </row>
    <row r="24904" spans="1:6" x14ac:dyDescent="0.25">
      <c r="A24904"/>
      <c r="B24904"/>
      <c r="C24904"/>
      <c r="E24904"/>
      <c r="F24904"/>
    </row>
    <row r="24905" spans="1:6" x14ac:dyDescent="0.25">
      <c r="A24905"/>
      <c r="B24905"/>
      <c r="C24905"/>
      <c r="E24905"/>
      <c r="F24905"/>
    </row>
    <row r="24906" spans="1:6" x14ac:dyDescent="0.25">
      <c r="A24906"/>
      <c r="B24906"/>
      <c r="C24906"/>
      <c r="E24906"/>
      <c r="F24906"/>
    </row>
    <row r="24907" spans="1:6" x14ac:dyDescent="0.25">
      <c r="A24907"/>
      <c r="B24907"/>
      <c r="C24907"/>
      <c r="E24907"/>
      <c r="F24907"/>
    </row>
    <row r="24908" spans="1:6" x14ac:dyDescent="0.25">
      <c r="A24908"/>
      <c r="B24908"/>
      <c r="C24908"/>
      <c r="E24908"/>
      <c r="F24908"/>
    </row>
    <row r="24909" spans="1:6" x14ac:dyDescent="0.25">
      <c r="A24909"/>
      <c r="B24909"/>
      <c r="C24909"/>
      <c r="E24909"/>
      <c r="F24909"/>
    </row>
    <row r="24910" spans="1:6" x14ac:dyDescent="0.25">
      <c r="A24910"/>
      <c r="B24910"/>
      <c r="C24910"/>
      <c r="E24910"/>
      <c r="F24910"/>
    </row>
    <row r="24911" spans="1:6" x14ac:dyDescent="0.25">
      <c r="A24911"/>
      <c r="B24911"/>
      <c r="C24911"/>
      <c r="E24911"/>
      <c r="F24911"/>
    </row>
    <row r="24912" spans="1:6" x14ac:dyDescent="0.25">
      <c r="A24912"/>
      <c r="B24912"/>
      <c r="C24912"/>
      <c r="E24912"/>
      <c r="F24912"/>
    </row>
    <row r="24913" spans="1:6" x14ac:dyDescent="0.25">
      <c r="A24913"/>
      <c r="B24913"/>
      <c r="C24913"/>
      <c r="E24913"/>
      <c r="F24913"/>
    </row>
    <row r="24914" spans="1:6" x14ac:dyDescent="0.25">
      <c r="A24914"/>
      <c r="B24914"/>
      <c r="C24914"/>
      <c r="E24914"/>
      <c r="F24914"/>
    </row>
    <row r="24915" spans="1:6" x14ac:dyDescent="0.25">
      <c r="A24915"/>
      <c r="B24915"/>
      <c r="C24915"/>
      <c r="E24915"/>
      <c r="F24915"/>
    </row>
    <row r="24916" spans="1:6" x14ac:dyDescent="0.25">
      <c r="A24916"/>
      <c r="B24916"/>
      <c r="C24916"/>
      <c r="E24916"/>
      <c r="F24916"/>
    </row>
    <row r="24917" spans="1:6" x14ac:dyDescent="0.25">
      <c r="A24917"/>
      <c r="B24917"/>
      <c r="C24917"/>
      <c r="E24917"/>
      <c r="F24917"/>
    </row>
    <row r="24918" spans="1:6" x14ac:dyDescent="0.25">
      <c r="A24918"/>
      <c r="B24918"/>
      <c r="C24918"/>
      <c r="E24918"/>
      <c r="F24918"/>
    </row>
    <row r="24919" spans="1:6" x14ac:dyDescent="0.25">
      <c r="A24919"/>
      <c r="B24919"/>
      <c r="C24919"/>
      <c r="E24919"/>
      <c r="F24919"/>
    </row>
    <row r="24920" spans="1:6" x14ac:dyDescent="0.25">
      <c r="A24920"/>
      <c r="B24920"/>
      <c r="C24920"/>
      <c r="E24920"/>
      <c r="F24920"/>
    </row>
    <row r="24921" spans="1:6" x14ac:dyDescent="0.25">
      <c r="A24921"/>
      <c r="B24921"/>
      <c r="C24921"/>
      <c r="E24921"/>
      <c r="F24921"/>
    </row>
    <row r="24922" spans="1:6" x14ac:dyDescent="0.25">
      <c r="A24922"/>
      <c r="B24922"/>
      <c r="C24922"/>
      <c r="E24922"/>
      <c r="F24922"/>
    </row>
    <row r="24923" spans="1:6" x14ac:dyDescent="0.25">
      <c r="A24923"/>
      <c r="B24923"/>
      <c r="C24923"/>
      <c r="E24923"/>
      <c r="F24923"/>
    </row>
    <row r="24924" spans="1:6" x14ac:dyDescent="0.25">
      <c r="A24924"/>
      <c r="B24924"/>
      <c r="C24924"/>
      <c r="E24924"/>
      <c r="F24924"/>
    </row>
    <row r="24925" spans="1:6" x14ac:dyDescent="0.25">
      <c r="A24925"/>
      <c r="B24925"/>
      <c r="C24925"/>
      <c r="E24925"/>
      <c r="F24925"/>
    </row>
    <row r="24926" spans="1:6" x14ac:dyDescent="0.25">
      <c r="A24926"/>
      <c r="B24926"/>
      <c r="C24926"/>
      <c r="E24926"/>
      <c r="F24926"/>
    </row>
    <row r="24927" spans="1:6" x14ac:dyDescent="0.25">
      <c r="A24927"/>
      <c r="B24927"/>
      <c r="C24927"/>
      <c r="E24927"/>
      <c r="F24927"/>
    </row>
    <row r="24928" spans="1:6" x14ac:dyDescent="0.25">
      <c r="A24928"/>
      <c r="B24928"/>
      <c r="C24928"/>
      <c r="E24928"/>
      <c r="F24928"/>
    </row>
    <row r="24929" spans="1:6" x14ac:dyDescent="0.25">
      <c r="A24929"/>
      <c r="B24929"/>
      <c r="C24929"/>
      <c r="E24929"/>
      <c r="F24929"/>
    </row>
    <row r="24930" spans="1:6" x14ac:dyDescent="0.25">
      <c r="A24930"/>
      <c r="B24930"/>
      <c r="C24930"/>
      <c r="E24930"/>
      <c r="F24930"/>
    </row>
    <row r="24931" spans="1:6" x14ac:dyDescent="0.25">
      <c r="A24931"/>
      <c r="B24931"/>
      <c r="C24931"/>
      <c r="E24931"/>
      <c r="F24931"/>
    </row>
    <row r="24932" spans="1:6" x14ac:dyDescent="0.25">
      <c r="A24932"/>
      <c r="B24932"/>
      <c r="C24932"/>
      <c r="E24932"/>
      <c r="F24932"/>
    </row>
    <row r="24933" spans="1:6" x14ac:dyDescent="0.25">
      <c r="A24933"/>
      <c r="B24933"/>
      <c r="C24933"/>
      <c r="E24933"/>
      <c r="F24933"/>
    </row>
    <row r="24934" spans="1:6" x14ac:dyDescent="0.25">
      <c r="A24934"/>
      <c r="B24934"/>
      <c r="C24934"/>
      <c r="E24934"/>
      <c r="F24934"/>
    </row>
    <row r="24935" spans="1:6" x14ac:dyDescent="0.25">
      <c r="A24935"/>
      <c r="B24935"/>
      <c r="C24935"/>
      <c r="E24935"/>
      <c r="F24935"/>
    </row>
    <row r="24936" spans="1:6" x14ac:dyDescent="0.25">
      <c r="A24936"/>
      <c r="B24936"/>
      <c r="C24936"/>
      <c r="E24936"/>
      <c r="F24936"/>
    </row>
    <row r="24937" spans="1:6" x14ac:dyDescent="0.25">
      <c r="A24937"/>
      <c r="B24937"/>
      <c r="C24937"/>
      <c r="E24937"/>
      <c r="F24937"/>
    </row>
    <row r="24938" spans="1:6" x14ac:dyDescent="0.25">
      <c r="A24938"/>
      <c r="B24938"/>
      <c r="C24938"/>
      <c r="E24938"/>
      <c r="F24938"/>
    </row>
    <row r="24939" spans="1:6" x14ac:dyDescent="0.25">
      <c r="A24939"/>
      <c r="B24939"/>
      <c r="C24939"/>
      <c r="E24939"/>
      <c r="F24939"/>
    </row>
    <row r="24940" spans="1:6" x14ac:dyDescent="0.25">
      <c r="A24940"/>
      <c r="B24940"/>
      <c r="C24940"/>
      <c r="E24940"/>
      <c r="F24940"/>
    </row>
    <row r="24941" spans="1:6" x14ac:dyDescent="0.25">
      <c r="A24941"/>
      <c r="B24941"/>
      <c r="C24941"/>
      <c r="E24941"/>
      <c r="F24941"/>
    </row>
    <row r="24942" spans="1:6" x14ac:dyDescent="0.25">
      <c r="A24942"/>
      <c r="B24942"/>
      <c r="C24942"/>
      <c r="E24942"/>
      <c r="F24942"/>
    </row>
    <row r="24943" spans="1:6" x14ac:dyDescent="0.25">
      <c r="A24943"/>
      <c r="B24943"/>
      <c r="C24943"/>
      <c r="E24943"/>
      <c r="F24943"/>
    </row>
    <row r="24944" spans="1:6" x14ac:dyDescent="0.25">
      <c r="A24944"/>
      <c r="B24944"/>
      <c r="C24944"/>
      <c r="E24944"/>
      <c r="F24944"/>
    </row>
    <row r="24945" spans="1:6" x14ac:dyDescent="0.25">
      <c r="A24945"/>
      <c r="B24945"/>
      <c r="C24945"/>
      <c r="E24945"/>
      <c r="F24945"/>
    </row>
    <row r="24946" spans="1:6" x14ac:dyDescent="0.25">
      <c r="A24946"/>
      <c r="B24946"/>
      <c r="C24946"/>
      <c r="E24946"/>
      <c r="F24946"/>
    </row>
    <row r="24947" spans="1:6" x14ac:dyDescent="0.25">
      <c r="A24947"/>
      <c r="B24947"/>
      <c r="C24947"/>
      <c r="E24947"/>
      <c r="F24947"/>
    </row>
    <row r="24948" spans="1:6" x14ac:dyDescent="0.25">
      <c r="A24948"/>
      <c r="B24948"/>
      <c r="C24948"/>
      <c r="E24948"/>
      <c r="F24948"/>
    </row>
    <row r="24949" spans="1:6" x14ac:dyDescent="0.25">
      <c r="A24949"/>
      <c r="B24949"/>
      <c r="C24949"/>
      <c r="E24949"/>
      <c r="F24949"/>
    </row>
    <row r="24950" spans="1:6" x14ac:dyDescent="0.25">
      <c r="A24950"/>
      <c r="B24950"/>
      <c r="C24950"/>
      <c r="E24950"/>
      <c r="F24950"/>
    </row>
    <row r="24951" spans="1:6" x14ac:dyDescent="0.25">
      <c r="A24951"/>
      <c r="B24951"/>
      <c r="C24951"/>
      <c r="E24951"/>
      <c r="F24951"/>
    </row>
    <row r="24952" spans="1:6" x14ac:dyDescent="0.25">
      <c r="A24952"/>
      <c r="B24952"/>
      <c r="C24952"/>
      <c r="E24952"/>
      <c r="F24952"/>
    </row>
    <row r="24953" spans="1:6" x14ac:dyDescent="0.25">
      <c r="A24953"/>
      <c r="B24953"/>
      <c r="C24953"/>
      <c r="E24953"/>
      <c r="F24953"/>
    </row>
    <row r="24954" spans="1:6" x14ac:dyDescent="0.25">
      <c r="A24954"/>
      <c r="B24954"/>
      <c r="C24954"/>
      <c r="E24954"/>
      <c r="F24954"/>
    </row>
    <row r="24955" spans="1:6" x14ac:dyDescent="0.25">
      <c r="A24955"/>
      <c r="B24955"/>
      <c r="C24955"/>
      <c r="E24955"/>
      <c r="F24955"/>
    </row>
    <row r="24956" spans="1:6" x14ac:dyDescent="0.25">
      <c r="A24956"/>
      <c r="B24956"/>
      <c r="C24956"/>
      <c r="E24956"/>
      <c r="F24956"/>
    </row>
    <row r="24957" spans="1:6" x14ac:dyDescent="0.25">
      <c r="A24957"/>
      <c r="B24957"/>
      <c r="C24957"/>
      <c r="E24957"/>
      <c r="F24957"/>
    </row>
    <row r="24958" spans="1:6" x14ac:dyDescent="0.25">
      <c r="A24958"/>
      <c r="B24958"/>
      <c r="C24958"/>
      <c r="E24958"/>
      <c r="F24958"/>
    </row>
    <row r="24959" spans="1:6" x14ac:dyDescent="0.25">
      <c r="A24959"/>
      <c r="B24959"/>
      <c r="C24959"/>
      <c r="E24959"/>
      <c r="F24959"/>
    </row>
    <row r="24960" spans="1:6" x14ac:dyDescent="0.25">
      <c r="A24960"/>
      <c r="B24960"/>
      <c r="C24960"/>
      <c r="E24960"/>
      <c r="F24960"/>
    </row>
    <row r="24961" spans="1:6" x14ac:dyDescent="0.25">
      <c r="A24961"/>
      <c r="B24961"/>
      <c r="C24961"/>
      <c r="E24961"/>
      <c r="F24961"/>
    </row>
    <row r="24962" spans="1:6" x14ac:dyDescent="0.25">
      <c r="A24962"/>
      <c r="B24962"/>
      <c r="C24962"/>
      <c r="E24962"/>
      <c r="F24962"/>
    </row>
    <row r="24963" spans="1:6" x14ac:dyDescent="0.25">
      <c r="A24963"/>
      <c r="B24963"/>
      <c r="C24963"/>
      <c r="E24963"/>
      <c r="F24963"/>
    </row>
    <row r="24964" spans="1:6" x14ac:dyDescent="0.25">
      <c r="A24964"/>
      <c r="B24964"/>
      <c r="C24964"/>
      <c r="E24964"/>
      <c r="F24964"/>
    </row>
    <row r="24965" spans="1:6" x14ac:dyDescent="0.25">
      <c r="A24965"/>
      <c r="B24965"/>
      <c r="C24965"/>
      <c r="E24965"/>
      <c r="F24965"/>
    </row>
    <row r="24966" spans="1:6" x14ac:dyDescent="0.25">
      <c r="A24966"/>
      <c r="B24966"/>
      <c r="C24966"/>
      <c r="E24966"/>
      <c r="F24966"/>
    </row>
    <row r="24967" spans="1:6" x14ac:dyDescent="0.25">
      <c r="A24967"/>
      <c r="B24967"/>
      <c r="C24967"/>
      <c r="E24967"/>
      <c r="F24967"/>
    </row>
    <row r="24968" spans="1:6" x14ac:dyDescent="0.25">
      <c r="A24968"/>
      <c r="B24968"/>
      <c r="C24968"/>
      <c r="E24968"/>
      <c r="F24968"/>
    </row>
    <row r="24969" spans="1:6" x14ac:dyDescent="0.25">
      <c r="A24969"/>
      <c r="B24969"/>
      <c r="C24969"/>
      <c r="E24969"/>
      <c r="F24969"/>
    </row>
    <row r="24970" spans="1:6" x14ac:dyDescent="0.25">
      <c r="A24970"/>
      <c r="B24970"/>
      <c r="C24970"/>
      <c r="E24970"/>
      <c r="F24970"/>
    </row>
    <row r="24971" spans="1:6" x14ac:dyDescent="0.25">
      <c r="A24971"/>
      <c r="B24971"/>
      <c r="C24971"/>
      <c r="E24971"/>
      <c r="F24971"/>
    </row>
    <row r="24972" spans="1:6" x14ac:dyDescent="0.25">
      <c r="A24972"/>
      <c r="B24972"/>
      <c r="C24972"/>
      <c r="E24972"/>
      <c r="F24972"/>
    </row>
    <row r="24973" spans="1:6" x14ac:dyDescent="0.25">
      <c r="A24973"/>
      <c r="B24973"/>
      <c r="C24973"/>
      <c r="E24973"/>
      <c r="F24973"/>
    </row>
    <row r="24974" spans="1:6" x14ac:dyDescent="0.25">
      <c r="A24974"/>
      <c r="B24974"/>
      <c r="C24974"/>
      <c r="E24974"/>
      <c r="F24974"/>
    </row>
    <row r="24975" spans="1:6" x14ac:dyDescent="0.25">
      <c r="A24975"/>
      <c r="B24975"/>
      <c r="C24975"/>
      <c r="E24975"/>
      <c r="F24975"/>
    </row>
    <row r="24976" spans="1:6" x14ac:dyDescent="0.25">
      <c r="A24976"/>
      <c r="B24976"/>
      <c r="C24976"/>
      <c r="E24976"/>
      <c r="F24976"/>
    </row>
    <row r="24977" spans="1:6" x14ac:dyDescent="0.25">
      <c r="A24977"/>
      <c r="B24977"/>
      <c r="C24977"/>
      <c r="E24977"/>
      <c r="F24977"/>
    </row>
    <row r="24978" spans="1:6" x14ac:dyDescent="0.25">
      <c r="A24978"/>
      <c r="B24978"/>
      <c r="C24978"/>
      <c r="E24978"/>
      <c r="F24978"/>
    </row>
    <row r="24979" spans="1:6" x14ac:dyDescent="0.25">
      <c r="A24979"/>
      <c r="B24979"/>
      <c r="C24979"/>
      <c r="E24979"/>
      <c r="F24979"/>
    </row>
    <row r="24980" spans="1:6" x14ac:dyDescent="0.25">
      <c r="A24980"/>
      <c r="B24980"/>
      <c r="C24980"/>
      <c r="E24980"/>
      <c r="F24980"/>
    </row>
    <row r="24981" spans="1:6" x14ac:dyDescent="0.25">
      <c r="A24981"/>
      <c r="B24981"/>
      <c r="C24981"/>
      <c r="E24981"/>
      <c r="F24981"/>
    </row>
    <row r="24982" spans="1:6" x14ac:dyDescent="0.25">
      <c r="A24982"/>
      <c r="B24982"/>
      <c r="C24982"/>
      <c r="E24982"/>
      <c r="F24982"/>
    </row>
    <row r="24983" spans="1:6" x14ac:dyDescent="0.25">
      <c r="A24983"/>
      <c r="B24983"/>
      <c r="C24983"/>
      <c r="E24983"/>
      <c r="F24983"/>
    </row>
    <row r="24984" spans="1:6" x14ac:dyDescent="0.25">
      <c r="A24984"/>
      <c r="B24984"/>
      <c r="C24984"/>
      <c r="E24984"/>
      <c r="F24984"/>
    </row>
    <row r="24985" spans="1:6" x14ac:dyDescent="0.25">
      <c r="A24985"/>
      <c r="B24985"/>
      <c r="C24985"/>
      <c r="E24985"/>
      <c r="F24985"/>
    </row>
    <row r="24986" spans="1:6" x14ac:dyDescent="0.25">
      <c r="A24986"/>
      <c r="B24986"/>
      <c r="C24986"/>
      <c r="E24986"/>
      <c r="F24986"/>
    </row>
    <row r="24987" spans="1:6" x14ac:dyDescent="0.25">
      <c r="A24987"/>
      <c r="B24987"/>
      <c r="C24987"/>
      <c r="E24987"/>
      <c r="F24987"/>
    </row>
    <row r="24988" spans="1:6" x14ac:dyDescent="0.25">
      <c r="A24988"/>
      <c r="B24988"/>
      <c r="C24988"/>
      <c r="E24988"/>
      <c r="F24988"/>
    </row>
    <row r="24989" spans="1:6" x14ac:dyDescent="0.25">
      <c r="A24989"/>
      <c r="B24989"/>
      <c r="C24989"/>
      <c r="E24989"/>
      <c r="F24989"/>
    </row>
    <row r="24990" spans="1:6" x14ac:dyDescent="0.25">
      <c r="A24990"/>
      <c r="B24990"/>
      <c r="C24990"/>
      <c r="E24990"/>
      <c r="F24990"/>
    </row>
    <row r="24991" spans="1:6" x14ac:dyDescent="0.25">
      <c r="A24991"/>
      <c r="B24991"/>
      <c r="C24991"/>
      <c r="E24991"/>
      <c r="F24991"/>
    </row>
    <row r="24992" spans="1:6" x14ac:dyDescent="0.25">
      <c r="A24992"/>
      <c r="B24992"/>
      <c r="C24992"/>
      <c r="E24992"/>
      <c r="F24992"/>
    </row>
    <row r="24993" spans="1:6" x14ac:dyDescent="0.25">
      <c r="A24993"/>
      <c r="B24993"/>
      <c r="C24993"/>
      <c r="E24993"/>
      <c r="F24993"/>
    </row>
    <row r="24994" spans="1:6" x14ac:dyDescent="0.25">
      <c r="A24994"/>
      <c r="B24994"/>
      <c r="C24994"/>
      <c r="E24994"/>
      <c r="F24994"/>
    </row>
    <row r="24995" spans="1:6" x14ac:dyDescent="0.25">
      <c r="A24995"/>
      <c r="B24995"/>
      <c r="C24995"/>
      <c r="E24995"/>
      <c r="F24995"/>
    </row>
    <row r="24996" spans="1:6" x14ac:dyDescent="0.25">
      <c r="A24996"/>
      <c r="B24996"/>
      <c r="C24996"/>
      <c r="E24996"/>
      <c r="F24996"/>
    </row>
    <row r="24997" spans="1:6" x14ac:dyDescent="0.25">
      <c r="A24997"/>
      <c r="B24997"/>
      <c r="C24997"/>
      <c r="E24997"/>
      <c r="F24997"/>
    </row>
    <row r="24998" spans="1:6" x14ac:dyDescent="0.25">
      <c r="A24998"/>
      <c r="B24998"/>
      <c r="C24998"/>
      <c r="E24998"/>
      <c r="F24998"/>
    </row>
    <row r="24999" spans="1:6" x14ac:dyDescent="0.25">
      <c r="A24999"/>
      <c r="B24999"/>
      <c r="C24999"/>
      <c r="E24999"/>
      <c r="F24999"/>
    </row>
    <row r="25000" spans="1:6" x14ac:dyDescent="0.25">
      <c r="A25000"/>
      <c r="B25000"/>
      <c r="C25000"/>
      <c r="E25000"/>
      <c r="F25000"/>
    </row>
    <row r="25001" spans="1:6" x14ac:dyDescent="0.25">
      <c r="A25001"/>
      <c r="B25001"/>
      <c r="C25001"/>
      <c r="E25001"/>
      <c r="F25001"/>
    </row>
    <row r="25002" spans="1:6" x14ac:dyDescent="0.25">
      <c r="A25002"/>
      <c r="B25002"/>
      <c r="C25002"/>
      <c r="E25002"/>
      <c r="F25002"/>
    </row>
    <row r="25003" spans="1:6" x14ac:dyDescent="0.25">
      <c r="A25003"/>
      <c r="B25003"/>
      <c r="C25003"/>
      <c r="E25003"/>
      <c r="F25003"/>
    </row>
    <row r="25004" spans="1:6" x14ac:dyDescent="0.25">
      <c r="A25004"/>
      <c r="B25004"/>
      <c r="C25004"/>
      <c r="E25004"/>
      <c r="F25004"/>
    </row>
    <row r="25005" spans="1:6" x14ac:dyDescent="0.25">
      <c r="A25005"/>
      <c r="B25005"/>
      <c r="C25005"/>
      <c r="E25005"/>
      <c r="F25005"/>
    </row>
    <row r="25006" spans="1:6" x14ac:dyDescent="0.25">
      <c r="A25006"/>
      <c r="B25006"/>
      <c r="C25006"/>
      <c r="E25006"/>
      <c r="F25006"/>
    </row>
    <row r="25007" spans="1:6" x14ac:dyDescent="0.25">
      <c r="A25007"/>
      <c r="B25007"/>
      <c r="C25007"/>
      <c r="E25007"/>
      <c r="F25007"/>
    </row>
    <row r="25008" spans="1:6" x14ac:dyDescent="0.25">
      <c r="A25008"/>
      <c r="B25008"/>
      <c r="C25008"/>
      <c r="E25008"/>
      <c r="F25008"/>
    </row>
    <row r="25009" spans="1:6" x14ac:dyDescent="0.25">
      <c r="A25009"/>
      <c r="B25009"/>
      <c r="C25009"/>
      <c r="E25009"/>
      <c r="F25009"/>
    </row>
    <row r="25010" spans="1:6" x14ac:dyDescent="0.25">
      <c r="A25010"/>
      <c r="B25010"/>
      <c r="C25010"/>
      <c r="E25010"/>
      <c r="F25010"/>
    </row>
    <row r="25011" spans="1:6" x14ac:dyDescent="0.25">
      <c r="A25011"/>
      <c r="B25011"/>
      <c r="C25011"/>
      <c r="E25011"/>
      <c r="F25011"/>
    </row>
    <row r="25012" spans="1:6" x14ac:dyDescent="0.25">
      <c r="A25012"/>
      <c r="B25012"/>
      <c r="C25012"/>
      <c r="E25012"/>
      <c r="F25012"/>
    </row>
    <row r="25013" spans="1:6" x14ac:dyDescent="0.25">
      <c r="A25013"/>
      <c r="B25013"/>
      <c r="C25013"/>
      <c r="E25013"/>
      <c r="F25013"/>
    </row>
    <row r="25014" spans="1:6" x14ac:dyDescent="0.25">
      <c r="A25014"/>
      <c r="B25014"/>
      <c r="C25014"/>
      <c r="E25014"/>
      <c r="F25014"/>
    </row>
    <row r="25015" spans="1:6" x14ac:dyDescent="0.25">
      <c r="A25015"/>
      <c r="B25015"/>
      <c r="C25015"/>
      <c r="E25015"/>
      <c r="F25015"/>
    </row>
    <row r="25016" spans="1:6" x14ac:dyDescent="0.25">
      <c r="A25016"/>
      <c r="B25016"/>
      <c r="C25016"/>
      <c r="E25016"/>
      <c r="F25016"/>
    </row>
    <row r="25017" spans="1:6" x14ac:dyDescent="0.25">
      <c r="A25017"/>
      <c r="B25017"/>
      <c r="C25017"/>
      <c r="E25017"/>
      <c r="F25017"/>
    </row>
    <row r="25018" spans="1:6" x14ac:dyDescent="0.25">
      <c r="A25018"/>
      <c r="B25018"/>
      <c r="C25018"/>
      <c r="E25018"/>
      <c r="F25018"/>
    </row>
    <row r="25019" spans="1:6" x14ac:dyDescent="0.25">
      <c r="A25019"/>
      <c r="B25019"/>
      <c r="C25019"/>
      <c r="E25019"/>
      <c r="F25019"/>
    </row>
    <row r="25020" spans="1:6" x14ac:dyDescent="0.25">
      <c r="A25020"/>
      <c r="B25020"/>
      <c r="C25020"/>
      <c r="E25020"/>
      <c r="F25020"/>
    </row>
    <row r="25021" spans="1:6" x14ac:dyDescent="0.25">
      <c r="A25021"/>
      <c r="B25021"/>
      <c r="C25021"/>
      <c r="E25021"/>
      <c r="F25021"/>
    </row>
    <row r="25022" spans="1:6" x14ac:dyDescent="0.25">
      <c r="A25022"/>
      <c r="B25022"/>
      <c r="C25022"/>
      <c r="E25022"/>
      <c r="F25022"/>
    </row>
    <row r="25023" spans="1:6" x14ac:dyDescent="0.25">
      <c r="A25023"/>
      <c r="B25023"/>
      <c r="C25023"/>
      <c r="E25023"/>
      <c r="F25023"/>
    </row>
    <row r="25024" spans="1:6" x14ac:dyDescent="0.25">
      <c r="A25024"/>
      <c r="B25024"/>
      <c r="C25024"/>
      <c r="E25024"/>
      <c r="F25024"/>
    </row>
    <row r="25025" spans="1:6" x14ac:dyDescent="0.25">
      <c r="A25025"/>
      <c r="B25025"/>
      <c r="C25025"/>
      <c r="E25025"/>
      <c r="F25025"/>
    </row>
    <row r="25026" spans="1:6" x14ac:dyDescent="0.25">
      <c r="A25026"/>
      <c r="B25026"/>
      <c r="C25026"/>
      <c r="E25026"/>
      <c r="F25026"/>
    </row>
    <row r="25027" spans="1:6" x14ac:dyDescent="0.25">
      <c r="A25027"/>
      <c r="B25027"/>
      <c r="C25027"/>
      <c r="E25027"/>
      <c r="F25027"/>
    </row>
    <row r="25028" spans="1:6" x14ac:dyDescent="0.25">
      <c r="A25028"/>
      <c r="B25028"/>
      <c r="C25028"/>
      <c r="E25028"/>
      <c r="F25028"/>
    </row>
    <row r="25029" spans="1:6" x14ac:dyDescent="0.25">
      <c r="A25029"/>
      <c r="B25029"/>
      <c r="C25029"/>
      <c r="E25029"/>
      <c r="F25029"/>
    </row>
    <row r="25030" spans="1:6" x14ac:dyDescent="0.25">
      <c r="A25030"/>
      <c r="B25030"/>
      <c r="C25030"/>
      <c r="E25030"/>
      <c r="F25030"/>
    </row>
    <row r="25031" spans="1:6" x14ac:dyDescent="0.25">
      <c r="A25031"/>
      <c r="B25031"/>
      <c r="C25031"/>
      <c r="E25031"/>
      <c r="F25031"/>
    </row>
    <row r="25032" spans="1:6" x14ac:dyDescent="0.25">
      <c r="A25032"/>
      <c r="B25032"/>
      <c r="C25032"/>
      <c r="E25032"/>
      <c r="F25032"/>
    </row>
    <row r="25033" spans="1:6" x14ac:dyDescent="0.25">
      <c r="A25033"/>
      <c r="B25033"/>
      <c r="C25033"/>
      <c r="E25033"/>
      <c r="F25033"/>
    </row>
    <row r="25034" spans="1:6" x14ac:dyDescent="0.25">
      <c r="A25034"/>
      <c r="B25034"/>
      <c r="C25034"/>
      <c r="E25034"/>
      <c r="F25034"/>
    </row>
    <row r="25035" spans="1:6" x14ac:dyDescent="0.25">
      <c r="A25035"/>
      <c r="B25035"/>
      <c r="C25035"/>
      <c r="E25035"/>
      <c r="F25035"/>
    </row>
    <row r="25036" spans="1:6" x14ac:dyDescent="0.25">
      <c r="A25036"/>
      <c r="B25036"/>
      <c r="C25036"/>
      <c r="E25036"/>
      <c r="F25036"/>
    </row>
    <row r="25037" spans="1:6" x14ac:dyDescent="0.25">
      <c r="A25037"/>
      <c r="B25037"/>
      <c r="C25037"/>
      <c r="E25037"/>
      <c r="F25037"/>
    </row>
    <row r="25038" spans="1:6" x14ac:dyDescent="0.25">
      <c r="A25038"/>
      <c r="B25038"/>
      <c r="C25038"/>
      <c r="E25038"/>
      <c r="F25038"/>
    </row>
    <row r="25039" spans="1:6" x14ac:dyDescent="0.25">
      <c r="A25039"/>
      <c r="B25039"/>
      <c r="C25039"/>
      <c r="E25039"/>
      <c r="F25039"/>
    </row>
    <row r="25040" spans="1:6" x14ac:dyDescent="0.25">
      <c r="A25040"/>
      <c r="B25040"/>
      <c r="C25040"/>
      <c r="E25040"/>
      <c r="F25040"/>
    </row>
    <row r="25041" spans="1:6" x14ac:dyDescent="0.25">
      <c r="A25041"/>
      <c r="B25041"/>
      <c r="C25041"/>
      <c r="E25041"/>
      <c r="F25041"/>
    </row>
    <row r="25042" spans="1:6" x14ac:dyDescent="0.25">
      <c r="A25042"/>
      <c r="B25042"/>
      <c r="C25042"/>
      <c r="E25042"/>
      <c r="F25042"/>
    </row>
    <row r="25043" spans="1:6" x14ac:dyDescent="0.25">
      <c r="A25043"/>
      <c r="B25043"/>
      <c r="C25043"/>
      <c r="E25043"/>
      <c r="F25043"/>
    </row>
    <row r="25044" spans="1:6" x14ac:dyDescent="0.25">
      <c r="A25044"/>
      <c r="B25044"/>
      <c r="C25044"/>
      <c r="E25044"/>
      <c r="F25044"/>
    </row>
    <row r="25045" spans="1:6" x14ac:dyDescent="0.25">
      <c r="A25045"/>
      <c r="B25045"/>
      <c r="C25045"/>
      <c r="E25045"/>
      <c r="F25045"/>
    </row>
    <row r="25046" spans="1:6" x14ac:dyDescent="0.25">
      <c r="A25046"/>
      <c r="B25046"/>
      <c r="C25046"/>
      <c r="E25046"/>
      <c r="F25046"/>
    </row>
    <row r="25047" spans="1:6" x14ac:dyDescent="0.25">
      <c r="A25047"/>
      <c r="B25047"/>
      <c r="C25047"/>
      <c r="E25047"/>
      <c r="F25047"/>
    </row>
    <row r="25048" spans="1:6" x14ac:dyDescent="0.25">
      <c r="A25048"/>
      <c r="B25048"/>
      <c r="C25048"/>
      <c r="E25048"/>
      <c r="F25048"/>
    </row>
    <row r="25049" spans="1:6" x14ac:dyDescent="0.25">
      <c r="A25049"/>
      <c r="B25049"/>
      <c r="C25049"/>
      <c r="E25049"/>
      <c r="F25049"/>
    </row>
    <row r="25050" spans="1:6" x14ac:dyDescent="0.25">
      <c r="A25050"/>
      <c r="B25050"/>
      <c r="C25050"/>
      <c r="E25050"/>
      <c r="F25050"/>
    </row>
    <row r="25051" spans="1:6" x14ac:dyDescent="0.25">
      <c r="A25051"/>
      <c r="B25051"/>
      <c r="C25051"/>
      <c r="E25051"/>
      <c r="F25051"/>
    </row>
    <row r="25052" spans="1:6" x14ac:dyDescent="0.25">
      <c r="A25052"/>
      <c r="B25052"/>
      <c r="C25052"/>
      <c r="E25052"/>
      <c r="F25052"/>
    </row>
    <row r="25053" spans="1:6" x14ac:dyDescent="0.25">
      <c r="A25053"/>
      <c r="B25053"/>
      <c r="C25053"/>
      <c r="E25053"/>
      <c r="F25053"/>
    </row>
    <row r="25054" spans="1:6" x14ac:dyDescent="0.25">
      <c r="A25054"/>
      <c r="B25054"/>
      <c r="C25054"/>
      <c r="E25054"/>
      <c r="F25054"/>
    </row>
    <row r="25055" spans="1:6" x14ac:dyDescent="0.25">
      <c r="A25055"/>
      <c r="B25055"/>
      <c r="C25055"/>
      <c r="E25055"/>
      <c r="F25055"/>
    </row>
    <row r="25056" spans="1:6" x14ac:dyDescent="0.25">
      <c r="A25056"/>
      <c r="B25056"/>
      <c r="C25056"/>
      <c r="E25056"/>
      <c r="F25056"/>
    </row>
    <row r="25057" spans="1:6" x14ac:dyDescent="0.25">
      <c r="A25057"/>
      <c r="B25057"/>
      <c r="C25057"/>
      <c r="E25057"/>
      <c r="F25057"/>
    </row>
    <row r="25058" spans="1:6" x14ac:dyDescent="0.25">
      <c r="A25058"/>
      <c r="B25058"/>
      <c r="C25058"/>
      <c r="E25058"/>
      <c r="F25058"/>
    </row>
    <row r="25059" spans="1:6" x14ac:dyDescent="0.25">
      <c r="A25059"/>
      <c r="B25059"/>
      <c r="C25059"/>
      <c r="E25059"/>
      <c r="F25059"/>
    </row>
    <row r="25060" spans="1:6" x14ac:dyDescent="0.25">
      <c r="A25060"/>
      <c r="B25060"/>
      <c r="C25060"/>
      <c r="E25060"/>
      <c r="F25060"/>
    </row>
    <row r="25061" spans="1:6" x14ac:dyDescent="0.25">
      <c r="A25061"/>
      <c r="B25061"/>
      <c r="C25061"/>
      <c r="E25061"/>
      <c r="F25061"/>
    </row>
    <row r="25062" spans="1:6" x14ac:dyDescent="0.25">
      <c r="A25062"/>
      <c r="B25062"/>
      <c r="C25062"/>
      <c r="E25062"/>
      <c r="F25062"/>
    </row>
    <row r="25063" spans="1:6" x14ac:dyDescent="0.25">
      <c r="A25063"/>
      <c r="B25063"/>
      <c r="C25063"/>
      <c r="E25063"/>
      <c r="F25063"/>
    </row>
    <row r="25064" spans="1:6" x14ac:dyDescent="0.25">
      <c r="A25064"/>
      <c r="B25064"/>
      <c r="C25064"/>
      <c r="E25064"/>
      <c r="F25064"/>
    </row>
    <row r="25065" spans="1:6" x14ac:dyDescent="0.25">
      <c r="A25065"/>
      <c r="B25065"/>
      <c r="C25065"/>
      <c r="E25065"/>
      <c r="F25065"/>
    </row>
    <row r="25066" spans="1:6" x14ac:dyDescent="0.25">
      <c r="A25066"/>
      <c r="B25066"/>
      <c r="C25066"/>
      <c r="E25066"/>
      <c r="F25066"/>
    </row>
    <row r="25067" spans="1:6" x14ac:dyDescent="0.25">
      <c r="A25067"/>
      <c r="B25067"/>
      <c r="C25067"/>
      <c r="E25067"/>
      <c r="F25067"/>
    </row>
    <row r="25068" spans="1:6" x14ac:dyDescent="0.25">
      <c r="A25068"/>
      <c r="B25068"/>
      <c r="C25068"/>
      <c r="E25068"/>
      <c r="F25068"/>
    </row>
    <row r="25069" spans="1:6" x14ac:dyDescent="0.25">
      <c r="A25069"/>
      <c r="B25069"/>
      <c r="C25069"/>
      <c r="E25069"/>
      <c r="F25069"/>
    </row>
    <row r="25070" spans="1:6" x14ac:dyDescent="0.25">
      <c r="A25070"/>
      <c r="B25070"/>
      <c r="C25070"/>
      <c r="E25070"/>
      <c r="F25070"/>
    </row>
    <row r="25071" spans="1:6" x14ac:dyDescent="0.25">
      <c r="A25071"/>
      <c r="B25071"/>
      <c r="C25071"/>
      <c r="E25071"/>
      <c r="F25071"/>
    </row>
    <row r="25072" spans="1:6" x14ac:dyDescent="0.25">
      <c r="A25072"/>
      <c r="B25072"/>
      <c r="C25072"/>
      <c r="E25072"/>
      <c r="F25072"/>
    </row>
    <row r="25073" spans="1:6" x14ac:dyDescent="0.25">
      <c r="A25073"/>
      <c r="B25073"/>
      <c r="C25073"/>
      <c r="E25073"/>
      <c r="F25073"/>
    </row>
    <row r="25074" spans="1:6" x14ac:dyDescent="0.25">
      <c r="A25074"/>
      <c r="B25074"/>
      <c r="C25074"/>
      <c r="E25074"/>
      <c r="F25074"/>
    </row>
    <row r="25075" spans="1:6" x14ac:dyDescent="0.25">
      <c r="A25075"/>
      <c r="B25075"/>
      <c r="C25075"/>
      <c r="E25075"/>
      <c r="F25075"/>
    </row>
    <row r="25076" spans="1:6" x14ac:dyDescent="0.25">
      <c r="A25076"/>
      <c r="B25076"/>
      <c r="C25076"/>
      <c r="E25076"/>
      <c r="F25076"/>
    </row>
    <row r="25077" spans="1:6" x14ac:dyDescent="0.25">
      <c r="A25077"/>
      <c r="B25077"/>
      <c r="C25077"/>
      <c r="E25077"/>
      <c r="F25077"/>
    </row>
    <row r="25078" spans="1:6" x14ac:dyDescent="0.25">
      <c r="A25078"/>
      <c r="B25078"/>
      <c r="C25078"/>
      <c r="E25078"/>
      <c r="F25078"/>
    </row>
    <row r="25079" spans="1:6" x14ac:dyDescent="0.25">
      <c r="A25079"/>
      <c r="B25079"/>
      <c r="C25079"/>
      <c r="E25079"/>
      <c r="F25079"/>
    </row>
    <row r="25080" spans="1:6" x14ac:dyDescent="0.25">
      <c r="A25080"/>
      <c r="B25080"/>
      <c r="C25080"/>
      <c r="E25080"/>
      <c r="F25080"/>
    </row>
    <row r="25081" spans="1:6" x14ac:dyDescent="0.25">
      <c r="A25081"/>
      <c r="B25081"/>
      <c r="C25081"/>
      <c r="E25081"/>
      <c r="F25081"/>
    </row>
    <row r="25082" spans="1:6" x14ac:dyDescent="0.25">
      <c r="A25082"/>
      <c r="B25082"/>
      <c r="C25082"/>
      <c r="E25082"/>
      <c r="F25082"/>
    </row>
    <row r="25083" spans="1:6" x14ac:dyDescent="0.25">
      <c r="A25083"/>
      <c r="B25083"/>
      <c r="C25083"/>
      <c r="E25083"/>
      <c r="F25083"/>
    </row>
    <row r="25084" spans="1:6" x14ac:dyDescent="0.25">
      <c r="A25084"/>
      <c r="B25084"/>
      <c r="C25084"/>
      <c r="E25084"/>
      <c r="F25084"/>
    </row>
    <row r="25085" spans="1:6" x14ac:dyDescent="0.25">
      <c r="A25085"/>
      <c r="B25085"/>
      <c r="C25085"/>
      <c r="E25085"/>
      <c r="F25085"/>
    </row>
    <row r="25086" spans="1:6" x14ac:dyDescent="0.25">
      <c r="A25086"/>
      <c r="B25086"/>
      <c r="C25086"/>
      <c r="E25086"/>
      <c r="F25086"/>
    </row>
    <row r="25087" spans="1:6" x14ac:dyDescent="0.25">
      <c r="A25087"/>
      <c r="B25087"/>
      <c r="C25087"/>
      <c r="E25087"/>
      <c r="F25087"/>
    </row>
    <row r="25088" spans="1:6" x14ac:dyDescent="0.25">
      <c r="A25088"/>
      <c r="B25088"/>
      <c r="C25088"/>
      <c r="E25088"/>
      <c r="F25088"/>
    </row>
    <row r="25089" spans="1:6" x14ac:dyDescent="0.25">
      <c r="A25089"/>
      <c r="B25089"/>
      <c r="C25089"/>
      <c r="E25089"/>
      <c r="F25089"/>
    </row>
    <row r="25090" spans="1:6" x14ac:dyDescent="0.25">
      <c r="A25090"/>
      <c r="B25090"/>
      <c r="C25090"/>
      <c r="E25090"/>
      <c r="F25090"/>
    </row>
    <row r="25091" spans="1:6" x14ac:dyDescent="0.25">
      <c r="A25091"/>
      <c r="B25091"/>
      <c r="C25091"/>
      <c r="E25091"/>
      <c r="F25091"/>
    </row>
    <row r="25092" spans="1:6" x14ac:dyDescent="0.25">
      <c r="A25092"/>
      <c r="B25092"/>
      <c r="C25092"/>
      <c r="E25092"/>
      <c r="F25092"/>
    </row>
    <row r="25093" spans="1:6" x14ac:dyDescent="0.25">
      <c r="A25093"/>
      <c r="B25093"/>
      <c r="C25093"/>
      <c r="E25093"/>
      <c r="F25093"/>
    </row>
    <row r="25094" spans="1:6" x14ac:dyDescent="0.25">
      <c r="A25094"/>
      <c r="B25094"/>
      <c r="C25094"/>
      <c r="E25094"/>
      <c r="F25094"/>
    </row>
    <row r="25095" spans="1:6" x14ac:dyDescent="0.25">
      <c r="A25095"/>
      <c r="B25095"/>
      <c r="C25095"/>
      <c r="E25095"/>
      <c r="F25095"/>
    </row>
    <row r="25096" spans="1:6" x14ac:dyDescent="0.25">
      <c r="A25096"/>
      <c r="B25096"/>
      <c r="C25096"/>
      <c r="E25096"/>
      <c r="F25096"/>
    </row>
    <row r="25097" spans="1:6" x14ac:dyDescent="0.25">
      <c r="A25097"/>
      <c r="B25097"/>
      <c r="C25097"/>
      <c r="E25097"/>
      <c r="F25097"/>
    </row>
    <row r="25098" spans="1:6" x14ac:dyDescent="0.25">
      <c r="A25098"/>
      <c r="B25098"/>
      <c r="C25098"/>
      <c r="E25098"/>
      <c r="F25098"/>
    </row>
    <row r="25099" spans="1:6" x14ac:dyDescent="0.25">
      <c r="A25099"/>
      <c r="B25099"/>
      <c r="C25099"/>
      <c r="E25099"/>
      <c r="F25099"/>
    </row>
    <row r="25100" spans="1:6" x14ac:dyDescent="0.25">
      <c r="A25100"/>
      <c r="B25100"/>
      <c r="C25100"/>
      <c r="E25100"/>
      <c r="F25100"/>
    </row>
    <row r="25101" spans="1:6" x14ac:dyDescent="0.25">
      <c r="A25101"/>
      <c r="B25101"/>
      <c r="C25101"/>
      <c r="E25101"/>
      <c r="F25101"/>
    </row>
    <row r="25102" spans="1:6" x14ac:dyDescent="0.25">
      <c r="A25102"/>
      <c r="B25102"/>
      <c r="C25102"/>
      <c r="E25102"/>
      <c r="F25102"/>
    </row>
    <row r="25103" spans="1:6" x14ac:dyDescent="0.25">
      <c r="A25103"/>
      <c r="B25103"/>
      <c r="C25103"/>
      <c r="E25103"/>
      <c r="F25103"/>
    </row>
    <row r="25104" spans="1:6" x14ac:dyDescent="0.25">
      <c r="A25104"/>
      <c r="B25104"/>
      <c r="C25104"/>
      <c r="E25104"/>
      <c r="F25104"/>
    </row>
    <row r="25105" spans="1:6" x14ac:dyDescent="0.25">
      <c r="A25105"/>
      <c r="B25105"/>
      <c r="C25105"/>
      <c r="E25105"/>
      <c r="F25105"/>
    </row>
    <row r="25106" spans="1:6" x14ac:dyDescent="0.25">
      <c r="A25106"/>
      <c r="B25106"/>
      <c r="C25106"/>
      <c r="E25106"/>
      <c r="F25106"/>
    </row>
    <row r="25107" spans="1:6" x14ac:dyDescent="0.25">
      <c r="A25107"/>
      <c r="B25107"/>
      <c r="C25107"/>
      <c r="E25107"/>
      <c r="F25107"/>
    </row>
    <row r="25108" spans="1:6" x14ac:dyDescent="0.25">
      <c r="A25108"/>
      <c r="B25108"/>
      <c r="C25108"/>
      <c r="E25108"/>
      <c r="F25108"/>
    </row>
    <row r="25109" spans="1:6" x14ac:dyDescent="0.25">
      <c r="A25109"/>
      <c r="B25109"/>
      <c r="C25109"/>
      <c r="E25109"/>
      <c r="F25109"/>
    </row>
    <row r="25110" spans="1:6" x14ac:dyDescent="0.25">
      <c r="A25110"/>
      <c r="B25110"/>
      <c r="C25110"/>
      <c r="E25110"/>
      <c r="F25110"/>
    </row>
    <row r="25111" spans="1:6" x14ac:dyDescent="0.25">
      <c r="A25111"/>
      <c r="B25111"/>
      <c r="C25111"/>
      <c r="E25111"/>
      <c r="F25111"/>
    </row>
    <row r="25112" spans="1:6" x14ac:dyDescent="0.25">
      <c r="A25112"/>
      <c r="B25112"/>
      <c r="C25112"/>
      <c r="E25112"/>
      <c r="F25112"/>
    </row>
    <row r="25113" spans="1:6" x14ac:dyDescent="0.25">
      <c r="A25113"/>
      <c r="B25113"/>
      <c r="C25113"/>
      <c r="E25113"/>
      <c r="F25113"/>
    </row>
    <row r="25114" spans="1:6" x14ac:dyDescent="0.25">
      <c r="A25114"/>
      <c r="B25114"/>
      <c r="C25114"/>
      <c r="E25114"/>
      <c r="F25114"/>
    </row>
    <row r="25115" spans="1:6" x14ac:dyDescent="0.25">
      <c r="A25115"/>
      <c r="B25115"/>
      <c r="C25115"/>
      <c r="E25115"/>
      <c r="F25115"/>
    </row>
    <row r="25116" spans="1:6" x14ac:dyDescent="0.25">
      <c r="A25116"/>
      <c r="B25116"/>
      <c r="C25116"/>
      <c r="E25116"/>
      <c r="F25116"/>
    </row>
    <row r="25117" spans="1:6" x14ac:dyDescent="0.25">
      <c r="A25117"/>
      <c r="B25117"/>
      <c r="C25117"/>
      <c r="E25117"/>
      <c r="F25117"/>
    </row>
    <row r="25118" spans="1:6" x14ac:dyDescent="0.25">
      <c r="A25118"/>
      <c r="B25118"/>
      <c r="C25118"/>
      <c r="E25118"/>
      <c r="F25118"/>
    </row>
    <row r="25119" spans="1:6" x14ac:dyDescent="0.25">
      <c r="A25119"/>
      <c r="B25119"/>
      <c r="C25119"/>
      <c r="E25119"/>
      <c r="F25119"/>
    </row>
    <row r="25120" spans="1:6" x14ac:dyDescent="0.25">
      <c r="A25120"/>
      <c r="B25120"/>
      <c r="C25120"/>
      <c r="E25120"/>
      <c r="F25120"/>
    </row>
    <row r="25121" spans="1:6" x14ac:dyDescent="0.25">
      <c r="A25121"/>
      <c r="B25121"/>
      <c r="C25121"/>
      <c r="E25121"/>
      <c r="F25121"/>
    </row>
    <row r="25122" spans="1:6" x14ac:dyDescent="0.25">
      <c r="A25122"/>
      <c r="B25122"/>
      <c r="C25122"/>
      <c r="E25122"/>
      <c r="F25122"/>
    </row>
    <row r="25123" spans="1:6" x14ac:dyDescent="0.25">
      <c r="A25123"/>
      <c r="B25123"/>
      <c r="C25123"/>
      <c r="E25123"/>
      <c r="F25123"/>
    </row>
    <row r="25124" spans="1:6" x14ac:dyDescent="0.25">
      <c r="A25124"/>
      <c r="B25124"/>
      <c r="C25124"/>
      <c r="E25124"/>
      <c r="F25124"/>
    </row>
    <row r="25125" spans="1:6" x14ac:dyDescent="0.25">
      <c r="A25125"/>
      <c r="B25125"/>
      <c r="C25125"/>
      <c r="E25125"/>
      <c r="F25125"/>
    </row>
    <row r="25126" spans="1:6" x14ac:dyDescent="0.25">
      <c r="A25126"/>
      <c r="B25126"/>
      <c r="C25126"/>
      <c r="E25126"/>
      <c r="F25126"/>
    </row>
    <row r="25127" spans="1:6" x14ac:dyDescent="0.25">
      <c r="A25127"/>
      <c r="B25127"/>
      <c r="C25127"/>
      <c r="E25127"/>
      <c r="F25127"/>
    </row>
    <row r="25128" spans="1:6" x14ac:dyDescent="0.25">
      <c r="A25128"/>
      <c r="B25128"/>
      <c r="C25128"/>
      <c r="E25128"/>
      <c r="F25128"/>
    </row>
    <row r="25129" spans="1:6" x14ac:dyDescent="0.25">
      <c r="A25129"/>
      <c r="B25129"/>
      <c r="C25129"/>
      <c r="E25129"/>
      <c r="F25129"/>
    </row>
    <row r="25130" spans="1:6" x14ac:dyDescent="0.25">
      <c r="A25130"/>
      <c r="B25130"/>
      <c r="C25130"/>
      <c r="E25130"/>
      <c r="F25130"/>
    </row>
    <row r="25131" spans="1:6" x14ac:dyDescent="0.25">
      <c r="A25131"/>
      <c r="B25131"/>
      <c r="C25131"/>
      <c r="E25131"/>
      <c r="F25131"/>
    </row>
    <row r="25132" spans="1:6" x14ac:dyDescent="0.25">
      <c r="A25132"/>
      <c r="B25132"/>
      <c r="C25132"/>
      <c r="E25132"/>
      <c r="F25132"/>
    </row>
    <row r="25133" spans="1:6" x14ac:dyDescent="0.25">
      <c r="A25133"/>
      <c r="B25133"/>
      <c r="C25133"/>
      <c r="E25133"/>
      <c r="F25133"/>
    </row>
    <row r="25134" spans="1:6" x14ac:dyDescent="0.25">
      <c r="A25134"/>
      <c r="B25134"/>
      <c r="C25134"/>
      <c r="E25134"/>
      <c r="F25134"/>
    </row>
    <row r="25135" spans="1:6" x14ac:dyDescent="0.25">
      <c r="A25135"/>
      <c r="B25135"/>
      <c r="C25135"/>
      <c r="E25135"/>
      <c r="F25135"/>
    </row>
    <row r="25136" spans="1:6" x14ac:dyDescent="0.25">
      <c r="A25136"/>
      <c r="B25136"/>
      <c r="C25136"/>
      <c r="E25136"/>
      <c r="F25136"/>
    </row>
    <row r="25137" spans="1:6" x14ac:dyDescent="0.25">
      <c r="A25137"/>
      <c r="B25137"/>
      <c r="C25137"/>
      <c r="E25137"/>
      <c r="F25137"/>
    </row>
    <row r="25138" spans="1:6" x14ac:dyDescent="0.25">
      <c r="A25138"/>
      <c r="B25138"/>
      <c r="C25138"/>
      <c r="E25138"/>
      <c r="F25138"/>
    </row>
    <row r="25139" spans="1:6" x14ac:dyDescent="0.25">
      <c r="A25139"/>
      <c r="B25139"/>
      <c r="C25139"/>
      <c r="E25139"/>
      <c r="F25139"/>
    </row>
    <row r="25140" spans="1:6" x14ac:dyDescent="0.25">
      <c r="A25140"/>
      <c r="B25140"/>
      <c r="C25140"/>
      <c r="E25140"/>
      <c r="F25140"/>
    </row>
    <row r="25141" spans="1:6" x14ac:dyDescent="0.25">
      <c r="A25141"/>
      <c r="B25141"/>
      <c r="C25141"/>
      <c r="E25141"/>
      <c r="F25141"/>
    </row>
    <row r="25142" spans="1:6" x14ac:dyDescent="0.25">
      <c r="A25142"/>
      <c r="B25142"/>
      <c r="C25142"/>
      <c r="E25142"/>
      <c r="F25142"/>
    </row>
    <row r="25143" spans="1:6" x14ac:dyDescent="0.25">
      <c r="A25143"/>
      <c r="B25143"/>
      <c r="C25143"/>
      <c r="E25143"/>
      <c r="F25143"/>
    </row>
    <row r="25144" spans="1:6" x14ac:dyDescent="0.25">
      <c r="A25144"/>
      <c r="B25144"/>
      <c r="C25144"/>
      <c r="E25144"/>
      <c r="F25144"/>
    </row>
    <row r="25145" spans="1:6" x14ac:dyDescent="0.25">
      <c r="A25145"/>
      <c r="B25145"/>
      <c r="C25145"/>
      <c r="E25145"/>
      <c r="F25145"/>
    </row>
    <row r="25146" spans="1:6" x14ac:dyDescent="0.25">
      <c r="A25146"/>
      <c r="B25146"/>
      <c r="C25146"/>
      <c r="E25146"/>
      <c r="F25146"/>
    </row>
    <row r="25147" spans="1:6" x14ac:dyDescent="0.25">
      <c r="A25147"/>
      <c r="B25147"/>
      <c r="C25147"/>
      <c r="E25147"/>
      <c r="F25147"/>
    </row>
    <row r="25148" spans="1:6" x14ac:dyDescent="0.25">
      <c r="A25148"/>
      <c r="B25148"/>
      <c r="C25148"/>
      <c r="E25148"/>
      <c r="F25148"/>
    </row>
    <row r="25149" spans="1:6" x14ac:dyDescent="0.25">
      <c r="A25149"/>
      <c r="B25149"/>
      <c r="C25149"/>
      <c r="E25149"/>
      <c r="F25149"/>
    </row>
    <row r="25150" spans="1:6" x14ac:dyDescent="0.25">
      <c r="A25150"/>
      <c r="B25150"/>
      <c r="C25150"/>
      <c r="E25150"/>
      <c r="F25150"/>
    </row>
    <row r="25151" spans="1:6" x14ac:dyDescent="0.25">
      <c r="A25151"/>
      <c r="B25151"/>
      <c r="C25151"/>
      <c r="E25151"/>
      <c r="F25151"/>
    </row>
    <row r="25152" spans="1:6" x14ac:dyDescent="0.25">
      <c r="A25152"/>
      <c r="B25152"/>
      <c r="C25152"/>
      <c r="E25152"/>
      <c r="F25152"/>
    </row>
    <row r="25153" spans="1:6" x14ac:dyDescent="0.25">
      <c r="A25153"/>
      <c r="B25153"/>
      <c r="C25153"/>
      <c r="E25153"/>
      <c r="F25153"/>
    </row>
    <row r="25154" spans="1:6" x14ac:dyDescent="0.25">
      <c r="A25154"/>
      <c r="B25154"/>
      <c r="C25154"/>
      <c r="E25154"/>
      <c r="F25154"/>
    </row>
    <row r="25155" spans="1:6" x14ac:dyDescent="0.25">
      <c r="A25155"/>
      <c r="B25155"/>
      <c r="C25155"/>
      <c r="E25155"/>
      <c r="F25155"/>
    </row>
    <row r="25156" spans="1:6" x14ac:dyDescent="0.25">
      <c r="A25156"/>
      <c r="B25156"/>
      <c r="C25156"/>
      <c r="E25156"/>
      <c r="F25156"/>
    </row>
    <row r="25157" spans="1:6" x14ac:dyDescent="0.25">
      <c r="A25157"/>
      <c r="B25157"/>
      <c r="C25157"/>
      <c r="E25157"/>
      <c r="F25157"/>
    </row>
    <row r="25158" spans="1:6" x14ac:dyDescent="0.25">
      <c r="A25158"/>
      <c r="B25158"/>
      <c r="C25158"/>
      <c r="E25158"/>
      <c r="F25158"/>
    </row>
    <row r="25159" spans="1:6" x14ac:dyDescent="0.25">
      <c r="A25159"/>
      <c r="B25159"/>
      <c r="C25159"/>
      <c r="E25159"/>
      <c r="F25159"/>
    </row>
    <row r="25160" spans="1:6" x14ac:dyDescent="0.25">
      <c r="A25160"/>
      <c r="B25160"/>
      <c r="C25160"/>
      <c r="E25160"/>
      <c r="F25160"/>
    </row>
    <row r="25161" spans="1:6" x14ac:dyDescent="0.25">
      <c r="A25161"/>
      <c r="B25161"/>
      <c r="C25161"/>
      <c r="E25161"/>
      <c r="F25161"/>
    </row>
    <row r="25162" spans="1:6" x14ac:dyDescent="0.25">
      <c r="A25162"/>
      <c r="B25162"/>
      <c r="C25162"/>
      <c r="E25162"/>
      <c r="F25162"/>
    </row>
    <row r="25163" spans="1:6" x14ac:dyDescent="0.25">
      <c r="A25163"/>
      <c r="B25163"/>
      <c r="C25163"/>
      <c r="E25163"/>
      <c r="F25163"/>
    </row>
    <row r="25164" spans="1:6" x14ac:dyDescent="0.25">
      <c r="A25164"/>
      <c r="B25164"/>
      <c r="C25164"/>
      <c r="E25164"/>
      <c r="F25164"/>
    </row>
    <row r="25165" spans="1:6" x14ac:dyDescent="0.25">
      <c r="A25165"/>
      <c r="B25165"/>
      <c r="C25165"/>
      <c r="E25165"/>
      <c r="F25165"/>
    </row>
    <row r="25166" spans="1:6" x14ac:dyDescent="0.25">
      <c r="A25166"/>
      <c r="B25166"/>
      <c r="C25166"/>
      <c r="E25166"/>
      <c r="F25166"/>
    </row>
    <row r="25167" spans="1:6" x14ac:dyDescent="0.25">
      <c r="A25167"/>
      <c r="B25167"/>
      <c r="C25167"/>
      <c r="E25167"/>
      <c r="F25167"/>
    </row>
    <row r="25168" spans="1:6" x14ac:dyDescent="0.25">
      <c r="A25168"/>
      <c r="B25168"/>
      <c r="C25168"/>
      <c r="E25168"/>
      <c r="F25168"/>
    </row>
    <row r="25169" spans="1:6" x14ac:dyDescent="0.25">
      <c r="A25169"/>
      <c r="B25169"/>
      <c r="C25169"/>
      <c r="E25169"/>
      <c r="F25169"/>
    </row>
    <row r="25170" spans="1:6" x14ac:dyDescent="0.25">
      <c r="A25170"/>
      <c r="B25170"/>
      <c r="C25170"/>
      <c r="E25170"/>
      <c r="F25170"/>
    </row>
    <row r="25171" spans="1:6" x14ac:dyDescent="0.25">
      <c r="A25171"/>
      <c r="B25171"/>
      <c r="C25171"/>
      <c r="E25171"/>
      <c r="F25171"/>
    </row>
    <row r="25172" spans="1:6" x14ac:dyDescent="0.25">
      <c r="A25172"/>
      <c r="B25172"/>
      <c r="C25172"/>
      <c r="E25172"/>
      <c r="F25172"/>
    </row>
    <row r="25173" spans="1:6" x14ac:dyDescent="0.25">
      <c r="A25173"/>
      <c r="B25173"/>
      <c r="C25173"/>
      <c r="E25173"/>
      <c r="F25173"/>
    </row>
    <row r="25174" spans="1:6" x14ac:dyDescent="0.25">
      <c r="A25174"/>
      <c r="B25174"/>
      <c r="C25174"/>
      <c r="E25174"/>
      <c r="F25174"/>
    </row>
    <row r="25175" spans="1:6" x14ac:dyDescent="0.25">
      <c r="A25175"/>
      <c r="B25175"/>
      <c r="C25175"/>
      <c r="E25175"/>
      <c r="F25175"/>
    </row>
    <row r="25176" spans="1:6" x14ac:dyDescent="0.25">
      <c r="A25176"/>
      <c r="B25176"/>
      <c r="C25176"/>
      <c r="E25176"/>
      <c r="F25176"/>
    </row>
    <row r="25177" spans="1:6" x14ac:dyDescent="0.25">
      <c r="A25177"/>
      <c r="B25177"/>
      <c r="C25177"/>
      <c r="E25177"/>
      <c r="F25177"/>
    </row>
    <row r="25178" spans="1:6" x14ac:dyDescent="0.25">
      <c r="A25178"/>
      <c r="B25178"/>
      <c r="C25178"/>
      <c r="E25178"/>
      <c r="F25178"/>
    </row>
    <row r="25179" spans="1:6" x14ac:dyDescent="0.25">
      <c r="A25179"/>
      <c r="B25179"/>
      <c r="C25179"/>
      <c r="E25179"/>
      <c r="F25179"/>
    </row>
    <row r="25180" spans="1:6" x14ac:dyDescent="0.25">
      <c r="A25180"/>
      <c r="B25180"/>
      <c r="C25180"/>
      <c r="E25180"/>
      <c r="F25180"/>
    </row>
    <row r="25181" spans="1:6" x14ac:dyDescent="0.25">
      <c r="A25181"/>
      <c r="B25181"/>
      <c r="C25181"/>
      <c r="E25181"/>
      <c r="F25181"/>
    </row>
    <row r="25182" spans="1:6" x14ac:dyDescent="0.25">
      <c r="A25182"/>
      <c r="B25182"/>
      <c r="C25182"/>
      <c r="E25182"/>
      <c r="F25182"/>
    </row>
    <row r="25183" spans="1:6" x14ac:dyDescent="0.25">
      <c r="A25183"/>
      <c r="B25183"/>
      <c r="C25183"/>
      <c r="E25183"/>
      <c r="F25183"/>
    </row>
    <row r="25184" spans="1:6" x14ac:dyDescent="0.25">
      <c r="A25184"/>
      <c r="B25184"/>
      <c r="C25184"/>
      <c r="E25184"/>
      <c r="F25184"/>
    </row>
    <row r="25185" spans="1:6" x14ac:dyDescent="0.25">
      <c r="A25185"/>
      <c r="B25185"/>
      <c r="C25185"/>
      <c r="E25185"/>
      <c r="F25185"/>
    </row>
    <row r="25186" spans="1:6" x14ac:dyDescent="0.25">
      <c r="A25186"/>
      <c r="B25186"/>
      <c r="C25186"/>
      <c r="E25186"/>
      <c r="F25186"/>
    </row>
    <row r="25187" spans="1:6" x14ac:dyDescent="0.25">
      <c r="A25187"/>
      <c r="B25187"/>
      <c r="C25187"/>
      <c r="E25187"/>
      <c r="F25187"/>
    </row>
    <row r="25188" spans="1:6" x14ac:dyDescent="0.25">
      <c r="A25188"/>
      <c r="B25188"/>
      <c r="C25188"/>
      <c r="E25188"/>
      <c r="F25188"/>
    </row>
    <row r="25189" spans="1:6" x14ac:dyDescent="0.25">
      <c r="A25189"/>
      <c r="B25189"/>
      <c r="C25189"/>
      <c r="E25189"/>
      <c r="F25189"/>
    </row>
    <row r="25190" spans="1:6" x14ac:dyDescent="0.25">
      <c r="A25190"/>
      <c r="B25190"/>
      <c r="C25190"/>
      <c r="E25190"/>
      <c r="F25190"/>
    </row>
    <row r="25191" spans="1:6" x14ac:dyDescent="0.25">
      <c r="A25191"/>
      <c r="B25191"/>
      <c r="C25191"/>
      <c r="E25191"/>
      <c r="F25191"/>
    </row>
    <row r="25192" spans="1:6" x14ac:dyDescent="0.25">
      <c r="A25192"/>
      <c r="B25192"/>
      <c r="C25192"/>
      <c r="E25192"/>
      <c r="F25192"/>
    </row>
    <row r="25193" spans="1:6" x14ac:dyDescent="0.25">
      <c r="A25193"/>
      <c r="B25193"/>
      <c r="C25193"/>
      <c r="E25193"/>
      <c r="F25193"/>
    </row>
    <row r="25194" spans="1:6" x14ac:dyDescent="0.25">
      <c r="A25194"/>
      <c r="B25194"/>
      <c r="C25194"/>
      <c r="E25194"/>
      <c r="F25194"/>
    </row>
    <row r="25195" spans="1:6" x14ac:dyDescent="0.25">
      <c r="A25195"/>
      <c r="B25195"/>
      <c r="C25195"/>
      <c r="E25195"/>
      <c r="F25195"/>
    </row>
    <row r="25196" spans="1:6" x14ac:dyDescent="0.25">
      <c r="A25196"/>
      <c r="B25196"/>
      <c r="C25196"/>
      <c r="E25196"/>
      <c r="F25196"/>
    </row>
    <row r="25197" spans="1:6" x14ac:dyDescent="0.25">
      <c r="A25197"/>
      <c r="B25197"/>
      <c r="C25197"/>
      <c r="E25197"/>
      <c r="F25197"/>
    </row>
    <row r="25198" spans="1:6" x14ac:dyDescent="0.25">
      <c r="A25198"/>
      <c r="B25198"/>
      <c r="C25198"/>
      <c r="E25198"/>
      <c r="F25198"/>
    </row>
    <row r="25199" spans="1:6" x14ac:dyDescent="0.25">
      <c r="A25199"/>
      <c r="B25199"/>
      <c r="C25199"/>
      <c r="E25199"/>
      <c r="F25199"/>
    </row>
    <row r="25200" spans="1:6" x14ac:dyDescent="0.25">
      <c r="A25200"/>
      <c r="B25200"/>
      <c r="C25200"/>
      <c r="E25200"/>
      <c r="F25200"/>
    </row>
    <row r="25201" spans="1:6" x14ac:dyDescent="0.25">
      <c r="A25201"/>
      <c r="B25201"/>
      <c r="C25201"/>
      <c r="E25201"/>
      <c r="F25201"/>
    </row>
    <row r="25202" spans="1:6" x14ac:dyDescent="0.25">
      <c r="A25202"/>
      <c r="B25202"/>
      <c r="C25202"/>
      <c r="E25202"/>
      <c r="F25202"/>
    </row>
    <row r="25203" spans="1:6" x14ac:dyDescent="0.25">
      <c r="A25203"/>
      <c r="B25203"/>
      <c r="C25203"/>
      <c r="E25203"/>
      <c r="F25203"/>
    </row>
    <row r="25204" spans="1:6" x14ac:dyDescent="0.25">
      <c r="A25204"/>
      <c r="B25204"/>
      <c r="C25204"/>
      <c r="E25204"/>
      <c r="F25204"/>
    </row>
    <row r="25205" spans="1:6" x14ac:dyDescent="0.25">
      <c r="A25205"/>
      <c r="B25205"/>
      <c r="C25205"/>
      <c r="E25205"/>
      <c r="F25205"/>
    </row>
    <row r="25206" spans="1:6" x14ac:dyDescent="0.25">
      <c r="A25206"/>
      <c r="B25206"/>
      <c r="C25206"/>
      <c r="E25206"/>
      <c r="F25206"/>
    </row>
    <row r="25207" spans="1:6" x14ac:dyDescent="0.25">
      <c r="A25207"/>
      <c r="B25207"/>
      <c r="C25207"/>
      <c r="E25207"/>
      <c r="F25207"/>
    </row>
    <row r="25208" spans="1:6" x14ac:dyDescent="0.25">
      <c r="A25208"/>
      <c r="B25208"/>
      <c r="C25208"/>
      <c r="E25208"/>
      <c r="F25208"/>
    </row>
    <row r="25209" spans="1:6" x14ac:dyDescent="0.25">
      <c r="A25209"/>
      <c r="B25209"/>
      <c r="C25209"/>
      <c r="E25209"/>
      <c r="F25209"/>
    </row>
    <row r="25210" spans="1:6" x14ac:dyDescent="0.25">
      <c r="A25210"/>
      <c r="B25210"/>
      <c r="C25210"/>
      <c r="E25210"/>
      <c r="F25210"/>
    </row>
    <row r="25211" spans="1:6" x14ac:dyDescent="0.25">
      <c r="A25211"/>
      <c r="B25211"/>
      <c r="C25211"/>
      <c r="E25211"/>
      <c r="F25211"/>
    </row>
    <row r="25212" spans="1:6" x14ac:dyDescent="0.25">
      <c r="A25212"/>
      <c r="B25212"/>
      <c r="C25212"/>
      <c r="E25212"/>
      <c r="F25212"/>
    </row>
    <row r="25213" spans="1:6" x14ac:dyDescent="0.25">
      <c r="A25213"/>
      <c r="B25213"/>
      <c r="C25213"/>
      <c r="E25213"/>
      <c r="F25213"/>
    </row>
    <row r="25214" spans="1:6" x14ac:dyDescent="0.25">
      <c r="A25214"/>
      <c r="B25214"/>
      <c r="C25214"/>
      <c r="E25214"/>
      <c r="F25214"/>
    </row>
    <row r="25215" spans="1:6" x14ac:dyDescent="0.25">
      <c r="A25215"/>
      <c r="B25215"/>
      <c r="C25215"/>
      <c r="E25215"/>
      <c r="F25215"/>
    </row>
    <row r="25216" spans="1:6" x14ac:dyDescent="0.25">
      <c r="A25216"/>
      <c r="B25216"/>
      <c r="C25216"/>
      <c r="E25216"/>
      <c r="F25216"/>
    </row>
    <row r="25217" spans="1:6" x14ac:dyDescent="0.25">
      <c r="A25217"/>
      <c r="B25217"/>
      <c r="C25217"/>
      <c r="E25217"/>
      <c r="F25217"/>
    </row>
    <row r="25218" spans="1:6" x14ac:dyDescent="0.25">
      <c r="A25218"/>
      <c r="B25218"/>
      <c r="C25218"/>
      <c r="E25218"/>
      <c r="F25218"/>
    </row>
    <row r="25219" spans="1:6" x14ac:dyDescent="0.25">
      <c r="A25219"/>
      <c r="B25219"/>
      <c r="C25219"/>
      <c r="E25219"/>
      <c r="F25219"/>
    </row>
    <row r="25220" spans="1:6" x14ac:dyDescent="0.25">
      <c r="A25220"/>
      <c r="B25220"/>
      <c r="C25220"/>
      <c r="E25220"/>
      <c r="F25220"/>
    </row>
    <row r="25221" spans="1:6" x14ac:dyDescent="0.25">
      <c r="A25221"/>
      <c r="B25221"/>
      <c r="C25221"/>
      <c r="E25221"/>
      <c r="F25221"/>
    </row>
    <row r="25222" spans="1:6" x14ac:dyDescent="0.25">
      <c r="A25222"/>
      <c r="B25222"/>
      <c r="C25222"/>
      <c r="E25222"/>
      <c r="F25222"/>
    </row>
    <row r="25223" spans="1:6" x14ac:dyDescent="0.25">
      <c r="A25223"/>
      <c r="B25223"/>
      <c r="C25223"/>
      <c r="E25223"/>
      <c r="F25223"/>
    </row>
    <row r="25224" spans="1:6" x14ac:dyDescent="0.25">
      <c r="A25224"/>
      <c r="B25224"/>
      <c r="C25224"/>
      <c r="E25224"/>
      <c r="F25224"/>
    </row>
    <row r="25225" spans="1:6" x14ac:dyDescent="0.25">
      <c r="A25225"/>
      <c r="B25225"/>
      <c r="C25225"/>
      <c r="E25225"/>
      <c r="F25225"/>
    </row>
    <row r="25226" spans="1:6" x14ac:dyDescent="0.25">
      <c r="A25226"/>
      <c r="B25226"/>
      <c r="C25226"/>
      <c r="E25226"/>
      <c r="F25226"/>
    </row>
    <row r="25227" spans="1:6" x14ac:dyDescent="0.25">
      <c r="A25227"/>
      <c r="B25227"/>
      <c r="C25227"/>
      <c r="E25227"/>
      <c r="F25227"/>
    </row>
    <row r="25228" spans="1:6" x14ac:dyDescent="0.25">
      <c r="A25228"/>
      <c r="B25228"/>
      <c r="C25228"/>
      <c r="E25228"/>
      <c r="F25228"/>
    </row>
    <row r="25229" spans="1:6" x14ac:dyDescent="0.25">
      <c r="A25229"/>
      <c r="B25229"/>
      <c r="C25229"/>
      <c r="E25229"/>
      <c r="F25229"/>
    </row>
    <row r="25230" spans="1:6" x14ac:dyDescent="0.25">
      <c r="A25230"/>
      <c r="B25230"/>
      <c r="C25230"/>
      <c r="E25230"/>
      <c r="F25230"/>
    </row>
    <row r="25231" spans="1:6" x14ac:dyDescent="0.25">
      <c r="A25231"/>
      <c r="B25231"/>
      <c r="C25231"/>
      <c r="E25231"/>
      <c r="F25231"/>
    </row>
    <row r="25232" spans="1:6" x14ac:dyDescent="0.25">
      <c r="A25232"/>
      <c r="B25232"/>
      <c r="C25232"/>
      <c r="E25232"/>
      <c r="F25232"/>
    </row>
    <row r="25233" spans="1:6" x14ac:dyDescent="0.25">
      <c r="A25233"/>
      <c r="B25233"/>
      <c r="C25233"/>
      <c r="E25233"/>
      <c r="F25233"/>
    </row>
    <row r="25234" spans="1:6" x14ac:dyDescent="0.25">
      <c r="A25234"/>
      <c r="B25234"/>
      <c r="C25234"/>
      <c r="E25234"/>
      <c r="F25234"/>
    </row>
    <row r="25235" spans="1:6" x14ac:dyDescent="0.25">
      <c r="A25235"/>
      <c r="B25235"/>
      <c r="C25235"/>
      <c r="E25235"/>
      <c r="F25235"/>
    </row>
    <row r="25236" spans="1:6" x14ac:dyDescent="0.25">
      <c r="A25236"/>
      <c r="B25236"/>
      <c r="C25236"/>
      <c r="E25236"/>
      <c r="F25236"/>
    </row>
    <row r="25237" spans="1:6" x14ac:dyDescent="0.25">
      <c r="A25237"/>
      <c r="B25237"/>
      <c r="C25237"/>
      <c r="E25237"/>
      <c r="F25237"/>
    </row>
    <row r="25238" spans="1:6" x14ac:dyDescent="0.25">
      <c r="A25238"/>
      <c r="B25238"/>
      <c r="C25238"/>
      <c r="E25238"/>
      <c r="F25238"/>
    </row>
    <row r="25239" spans="1:6" x14ac:dyDescent="0.25">
      <c r="A25239"/>
      <c r="B25239"/>
      <c r="C25239"/>
      <c r="E25239"/>
      <c r="F25239"/>
    </row>
    <row r="25240" spans="1:6" x14ac:dyDescent="0.25">
      <c r="A25240"/>
      <c r="B25240"/>
      <c r="C25240"/>
      <c r="E25240"/>
      <c r="F25240"/>
    </row>
    <row r="25241" spans="1:6" x14ac:dyDescent="0.25">
      <c r="A25241"/>
      <c r="B25241"/>
      <c r="C25241"/>
      <c r="E25241"/>
      <c r="F25241"/>
    </row>
    <row r="25242" spans="1:6" x14ac:dyDescent="0.25">
      <c r="A25242"/>
      <c r="B25242"/>
      <c r="C25242"/>
      <c r="E25242"/>
      <c r="F25242"/>
    </row>
    <row r="25243" spans="1:6" x14ac:dyDescent="0.25">
      <c r="A25243"/>
      <c r="B25243"/>
      <c r="C25243"/>
      <c r="E25243"/>
      <c r="F25243"/>
    </row>
    <row r="25244" spans="1:6" x14ac:dyDescent="0.25">
      <c r="A25244"/>
      <c r="B25244"/>
      <c r="C25244"/>
      <c r="E25244"/>
      <c r="F25244"/>
    </row>
    <row r="25245" spans="1:6" x14ac:dyDescent="0.25">
      <c r="A25245"/>
      <c r="B25245"/>
      <c r="C25245"/>
      <c r="E25245"/>
      <c r="F25245"/>
    </row>
    <row r="25246" spans="1:6" x14ac:dyDescent="0.25">
      <c r="A25246"/>
      <c r="B25246"/>
      <c r="C25246"/>
      <c r="E25246"/>
      <c r="F25246"/>
    </row>
    <row r="25247" spans="1:6" x14ac:dyDescent="0.25">
      <c r="A25247"/>
      <c r="B25247"/>
      <c r="C25247"/>
      <c r="E25247"/>
      <c r="F25247"/>
    </row>
    <row r="25248" spans="1:6" x14ac:dyDescent="0.25">
      <c r="A25248"/>
      <c r="B25248"/>
      <c r="C25248"/>
      <c r="E25248"/>
      <c r="F25248"/>
    </row>
    <row r="25249" spans="1:6" x14ac:dyDescent="0.25">
      <c r="A25249"/>
      <c r="B25249"/>
      <c r="C25249"/>
      <c r="E25249"/>
      <c r="F25249"/>
    </row>
    <row r="25250" spans="1:6" x14ac:dyDescent="0.25">
      <c r="A25250"/>
      <c r="B25250"/>
      <c r="C25250"/>
      <c r="E25250"/>
      <c r="F25250"/>
    </row>
    <row r="25251" spans="1:6" x14ac:dyDescent="0.25">
      <c r="A25251"/>
      <c r="B25251"/>
      <c r="C25251"/>
      <c r="E25251"/>
      <c r="F25251"/>
    </row>
    <row r="25252" spans="1:6" x14ac:dyDescent="0.25">
      <c r="A25252"/>
      <c r="B25252"/>
      <c r="C25252"/>
      <c r="E25252"/>
      <c r="F25252"/>
    </row>
    <row r="25253" spans="1:6" x14ac:dyDescent="0.25">
      <c r="A25253"/>
      <c r="B25253"/>
      <c r="C25253"/>
      <c r="E25253"/>
      <c r="F25253"/>
    </row>
    <row r="25254" spans="1:6" x14ac:dyDescent="0.25">
      <c r="A25254"/>
      <c r="B25254"/>
      <c r="C25254"/>
      <c r="E25254"/>
      <c r="F25254"/>
    </row>
    <row r="25255" spans="1:6" x14ac:dyDescent="0.25">
      <c r="A25255"/>
      <c r="B25255"/>
      <c r="C25255"/>
      <c r="E25255"/>
      <c r="F25255"/>
    </row>
    <row r="25256" spans="1:6" x14ac:dyDescent="0.25">
      <c r="A25256"/>
      <c r="B25256"/>
      <c r="C25256"/>
      <c r="E25256"/>
      <c r="F25256"/>
    </row>
    <row r="25257" spans="1:6" x14ac:dyDescent="0.25">
      <c r="A25257"/>
      <c r="B25257"/>
      <c r="C25257"/>
      <c r="E25257"/>
      <c r="F25257"/>
    </row>
    <row r="25258" spans="1:6" x14ac:dyDescent="0.25">
      <c r="A25258"/>
      <c r="B25258"/>
      <c r="C25258"/>
      <c r="E25258"/>
      <c r="F25258"/>
    </row>
    <row r="25259" spans="1:6" x14ac:dyDescent="0.25">
      <c r="A25259"/>
      <c r="B25259"/>
      <c r="C25259"/>
      <c r="E25259"/>
      <c r="F25259"/>
    </row>
    <row r="25260" spans="1:6" x14ac:dyDescent="0.25">
      <c r="A25260"/>
      <c r="B25260"/>
      <c r="C25260"/>
      <c r="E25260"/>
      <c r="F25260"/>
    </row>
    <row r="25261" spans="1:6" x14ac:dyDescent="0.25">
      <c r="A25261"/>
      <c r="B25261"/>
      <c r="C25261"/>
      <c r="E25261"/>
      <c r="F25261"/>
    </row>
    <row r="25262" spans="1:6" x14ac:dyDescent="0.25">
      <c r="A25262"/>
      <c r="B25262"/>
      <c r="C25262"/>
      <c r="E25262"/>
      <c r="F25262"/>
    </row>
    <row r="25263" spans="1:6" x14ac:dyDescent="0.25">
      <c r="A25263"/>
      <c r="B25263"/>
      <c r="C25263"/>
      <c r="E25263"/>
      <c r="F25263"/>
    </row>
    <row r="25264" spans="1:6" x14ac:dyDescent="0.25">
      <c r="A25264"/>
      <c r="B25264"/>
      <c r="C25264"/>
      <c r="E25264"/>
      <c r="F25264"/>
    </row>
    <row r="25265" spans="1:6" x14ac:dyDescent="0.25">
      <c r="A25265"/>
      <c r="B25265"/>
      <c r="C25265"/>
      <c r="E25265"/>
      <c r="F25265"/>
    </row>
    <row r="25266" spans="1:6" x14ac:dyDescent="0.25">
      <c r="A25266"/>
      <c r="B25266"/>
      <c r="C25266"/>
      <c r="E25266"/>
      <c r="F25266"/>
    </row>
    <row r="25267" spans="1:6" x14ac:dyDescent="0.25">
      <c r="A25267"/>
      <c r="B25267"/>
      <c r="C25267"/>
      <c r="E25267"/>
      <c r="F25267"/>
    </row>
    <row r="25268" spans="1:6" x14ac:dyDescent="0.25">
      <c r="A25268"/>
      <c r="B25268"/>
      <c r="C25268"/>
      <c r="E25268"/>
      <c r="F25268"/>
    </row>
    <row r="25269" spans="1:6" x14ac:dyDescent="0.25">
      <c r="A25269"/>
      <c r="B25269"/>
      <c r="C25269"/>
      <c r="E25269"/>
      <c r="F25269"/>
    </row>
    <row r="25270" spans="1:6" x14ac:dyDescent="0.25">
      <c r="A25270"/>
      <c r="B25270"/>
      <c r="C25270"/>
      <c r="E25270"/>
      <c r="F25270"/>
    </row>
    <row r="25271" spans="1:6" x14ac:dyDescent="0.25">
      <c r="A25271"/>
      <c r="B25271"/>
      <c r="C25271"/>
      <c r="E25271"/>
      <c r="F25271"/>
    </row>
    <row r="25272" spans="1:6" x14ac:dyDescent="0.25">
      <c r="A25272"/>
      <c r="B25272"/>
      <c r="C25272"/>
      <c r="E25272"/>
      <c r="F25272"/>
    </row>
    <row r="25273" spans="1:6" x14ac:dyDescent="0.25">
      <c r="A25273"/>
      <c r="B25273"/>
      <c r="C25273"/>
      <c r="E25273"/>
      <c r="F25273"/>
    </row>
    <row r="25274" spans="1:6" x14ac:dyDescent="0.25">
      <c r="A25274"/>
      <c r="B25274"/>
      <c r="C25274"/>
      <c r="E25274"/>
      <c r="F25274"/>
    </row>
    <row r="25275" spans="1:6" x14ac:dyDescent="0.25">
      <c r="A25275"/>
      <c r="B25275"/>
      <c r="C25275"/>
      <c r="E25275"/>
      <c r="F25275"/>
    </row>
    <row r="25276" spans="1:6" x14ac:dyDescent="0.25">
      <c r="A25276"/>
      <c r="B25276"/>
      <c r="C25276"/>
      <c r="E25276"/>
      <c r="F25276"/>
    </row>
    <row r="25277" spans="1:6" x14ac:dyDescent="0.25">
      <c r="A25277"/>
      <c r="B25277"/>
      <c r="C25277"/>
      <c r="E25277"/>
      <c r="F25277"/>
    </row>
    <row r="25278" spans="1:6" x14ac:dyDescent="0.25">
      <c r="A25278"/>
      <c r="B25278"/>
      <c r="C25278"/>
      <c r="E25278"/>
      <c r="F25278"/>
    </row>
    <row r="25279" spans="1:6" x14ac:dyDescent="0.25">
      <c r="A25279"/>
      <c r="B25279"/>
      <c r="C25279"/>
      <c r="E25279"/>
      <c r="F25279"/>
    </row>
    <row r="25280" spans="1:6" x14ac:dyDescent="0.25">
      <c r="A25280"/>
      <c r="B25280"/>
      <c r="C25280"/>
      <c r="E25280"/>
      <c r="F25280"/>
    </row>
    <row r="25281" spans="1:6" x14ac:dyDescent="0.25">
      <c r="A25281"/>
      <c r="B25281"/>
      <c r="C25281"/>
      <c r="E25281"/>
      <c r="F25281"/>
    </row>
    <row r="25282" spans="1:6" x14ac:dyDescent="0.25">
      <c r="A25282"/>
      <c r="B25282"/>
      <c r="C25282"/>
      <c r="E25282"/>
      <c r="F25282"/>
    </row>
    <row r="25283" spans="1:6" x14ac:dyDescent="0.25">
      <c r="A25283"/>
      <c r="B25283"/>
      <c r="C25283"/>
      <c r="E25283"/>
      <c r="F25283"/>
    </row>
    <row r="25284" spans="1:6" x14ac:dyDescent="0.25">
      <c r="A25284"/>
      <c r="B25284"/>
      <c r="C25284"/>
      <c r="E25284"/>
      <c r="F25284"/>
    </row>
    <row r="25285" spans="1:6" x14ac:dyDescent="0.25">
      <c r="A25285"/>
      <c r="B25285"/>
      <c r="C25285"/>
      <c r="E25285"/>
      <c r="F25285"/>
    </row>
    <row r="25286" spans="1:6" x14ac:dyDescent="0.25">
      <c r="A25286"/>
      <c r="B25286"/>
      <c r="C25286"/>
      <c r="E25286"/>
      <c r="F25286"/>
    </row>
    <row r="25287" spans="1:6" x14ac:dyDescent="0.25">
      <c r="A25287"/>
      <c r="B25287"/>
      <c r="C25287"/>
      <c r="E25287"/>
      <c r="F25287"/>
    </row>
    <row r="25288" spans="1:6" x14ac:dyDescent="0.25">
      <c r="A25288"/>
      <c r="B25288"/>
      <c r="C25288"/>
      <c r="E25288"/>
      <c r="F25288"/>
    </row>
    <row r="25289" spans="1:6" x14ac:dyDescent="0.25">
      <c r="A25289"/>
      <c r="B25289"/>
      <c r="C25289"/>
      <c r="E25289"/>
      <c r="F25289"/>
    </row>
    <row r="25290" spans="1:6" x14ac:dyDescent="0.25">
      <c r="A25290"/>
      <c r="B25290"/>
      <c r="C25290"/>
      <c r="E25290"/>
      <c r="F25290"/>
    </row>
    <row r="25291" spans="1:6" x14ac:dyDescent="0.25">
      <c r="A25291"/>
      <c r="B25291"/>
      <c r="C25291"/>
      <c r="E25291"/>
      <c r="F25291"/>
    </row>
    <row r="25292" spans="1:6" x14ac:dyDescent="0.25">
      <c r="A25292"/>
      <c r="B25292"/>
      <c r="C25292"/>
      <c r="E25292"/>
      <c r="F25292"/>
    </row>
    <row r="25293" spans="1:6" x14ac:dyDescent="0.25">
      <c r="A25293"/>
      <c r="B25293"/>
      <c r="C25293"/>
      <c r="E25293"/>
      <c r="F25293"/>
    </row>
    <row r="25294" spans="1:6" x14ac:dyDescent="0.25">
      <c r="A25294"/>
      <c r="B25294"/>
      <c r="C25294"/>
      <c r="E25294"/>
      <c r="F25294"/>
    </row>
    <row r="25295" spans="1:6" x14ac:dyDescent="0.25">
      <c r="A25295"/>
      <c r="B25295"/>
      <c r="C25295"/>
      <c r="E25295"/>
      <c r="F25295"/>
    </row>
    <row r="25296" spans="1:6" x14ac:dyDescent="0.25">
      <c r="A25296"/>
      <c r="B25296"/>
      <c r="C25296"/>
      <c r="E25296"/>
      <c r="F25296"/>
    </row>
    <row r="25297" spans="1:6" x14ac:dyDescent="0.25">
      <c r="A25297"/>
      <c r="B25297"/>
      <c r="C25297"/>
      <c r="E25297"/>
      <c r="F25297"/>
    </row>
    <row r="25298" spans="1:6" x14ac:dyDescent="0.25">
      <c r="A25298"/>
      <c r="B25298"/>
      <c r="C25298"/>
      <c r="E25298"/>
      <c r="F25298"/>
    </row>
    <row r="25299" spans="1:6" x14ac:dyDescent="0.25">
      <c r="A25299"/>
      <c r="B25299"/>
      <c r="C25299"/>
      <c r="E25299"/>
      <c r="F25299"/>
    </row>
    <row r="25300" spans="1:6" x14ac:dyDescent="0.25">
      <c r="A25300"/>
      <c r="B25300"/>
      <c r="C25300"/>
      <c r="E25300"/>
      <c r="F25300"/>
    </row>
    <row r="25301" spans="1:6" x14ac:dyDescent="0.25">
      <c r="A25301"/>
      <c r="B25301"/>
      <c r="C25301"/>
      <c r="E25301"/>
      <c r="F25301"/>
    </row>
    <row r="25302" spans="1:6" x14ac:dyDescent="0.25">
      <c r="A25302"/>
      <c r="B25302"/>
      <c r="C25302"/>
      <c r="E25302"/>
      <c r="F25302"/>
    </row>
    <row r="25303" spans="1:6" x14ac:dyDescent="0.25">
      <c r="A25303"/>
      <c r="B25303"/>
      <c r="C25303"/>
      <c r="E25303"/>
      <c r="F25303"/>
    </row>
    <row r="25304" spans="1:6" x14ac:dyDescent="0.25">
      <c r="A25304"/>
      <c r="B25304"/>
      <c r="C25304"/>
      <c r="E25304"/>
      <c r="F25304"/>
    </row>
    <row r="25305" spans="1:6" x14ac:dyDescent="0.25">
      <c r="A25305"/>
      <c r="B25305"/>
      <c r="C25305"/>
      <c r="E25305"/>
      <c r="F25305"/>
    </row>
    <row r="25306" spans="1:6" x14ac:dyDescent="0.25">
      <c r="A25306"/>
      <c r="B25306"/>
      <c r="C25306"/>
      <c r="E25306"/>
      <c r="F25306"/>
    </row>
    <row r="25307" spans="1:6" x14ac:dyDescent="0.25">
      <c r="A25307"/>
      <c r="B25307"/>
      <c r="C25307"/>
      <c r="E25307"/>
      <c r="F25307"/>
    </row>
    <row r="25308" spans="1:6" x14ac:dyDescent="0.25">
      <c r="A25308"/>
      <c r="B25308"/>
      <c r="C25308"/>
      <c r="E25308"/>
      <c r="F25308"/>
    </row>
    <row r="25309" spans="1:6" x14ac:dyDescent="0.25">
      <c r="A25309"/>
      <c r="B25309"/>
      <c r="C25309"/>
      <c r="E25309"/>
      <c r="F25309"/>
    </row>
    <row r="25310" spans="1:6" x14ac:dyDescent="0.25">
      <c r="A25310"/>
      <c r="B25310"/>
      <c r="C25310"/>
      <c r="E25310"/>
      <c r="F25310"/>
    </row>
    <row r="25311" spans="1:6" x14ac:dyDescent="0.25">
      <c r="A25311"/>
      <c r="B25311"/>
      <c r="C25311"/>
      <c r="E25311"/>
      <c r="F25311"/>
    </row>
    <row r="25312" spans="1:6" x14ac:dyDescent="0.25">
      <c r="A25312"/>
      <c r="B25312"/>
      <c r="C25312"/>
      <c r="E25312"/>
      <c r="F25312"/>
    </row>
    <row r="25313" spans="1:6" x14ac:dyDescent="0.25">
      <c r="A25313"/>
      <c r="B25313"/>
      <c r="C25313"/>
      <c r="E25313"/>
      <c r="F25313"/>
    </row>
    <row r="25314" spans="1:6" x14ac:dyDescent="0.25">
      <c r="A25314"/>
      <c r="B25314"/>
      <c r="C25314"/>
      <c r="E25314"/>
      <c r="F25314"/>
    </row>
    <row r="25315" spans="1:6" x14ac:dyDescent="0.25">
      <c r="A25315"/>
      <c r="B25315"/>
      <c r="C25315"/>
      <c r="E25315"/>
      <c r="F25315"/>
    </row>
    <row r="25316" spans="1:6" x14ac:dyDescent="0.25">
      <c r="A25316"/>
      <c r="B25316"/>
      <c r="C25316"/>
      <c r="E25316"/>
      <c r="F25316"/>
    </row>
    <row r="25317" spans="1:6" x14ac:dyDescent="0.25">
      <c r="A25317"/>
      <c r="B25317"/>
      <c r="C25317"/>
      <c r="E25317"/>
      <c r="F25317"/>
    </row>
    <row r="25318" spans="1:6" x14ac:dyDescent="0.25">
      <c r="A25318"/>
      <c r="B25318"/>
      <c r="C25318"/>
      <c r="E25318"/>
      <c r="F25318"/>
    </row>
    <row r="25319" spans="1:6" x14ac:dyDescent="0.25">
      <c r="A25319"/>
      <c r="B25319"/>
      <c r="C25319"/>
      <c r="E25319"/>
      <c r="F25319"/>
    </row>
    <row r="25320" spans="1:6" x14ac:dyDescent="0.25">
      <c r="A25320"/>
      <c r="B25320"/>
      <c r="C25320"/>
      <c r="E25320"/>
      <c r="F25320"/>
    </row>
    <row r="25321" spans="1:6" x14ac:dyDescent="0.25">
      <c r="A25321"/>
      <c r="B25321"/>
      <c r="C25321"/>
      <c r="E25321"/>
      <c r="F25321"/>
    </row>
    <row r="25322" spans="1:6" x14ac:dyDescent="0.25">
      <c r="A25322"/>
      <c r="B25322"/>
      <c r="C25322"/>
      <c r="E25322"/>
      <c r="F25322"/>
    </row>
    <row r="25323" spans="1:6" x14ac:dyDescent="0.25">
      <c r="A25323"/>
      <c r="B25323"/>
      <c r="C25323"/>
      <c r="E25323"/>
      <c r="F25323"/>
    </row>
    <row r="25324" spans="1:6" x14ac:dyDescent="0.25">
      <c r="A25324"/>
      <c r="B25324"/>
      <c r="C25324"/>
      <c r="E25324"/>
      <c r="F25324"/>
    </row>
    <row r="25325" spans="1:6" x14ac:dyDescent="0.25">
      <c r="A25325"/>
      <c r="B25325"/>
      <c r="C25325"/>
      <c r="E25325"/>
      <c r="F25325"/>
    </row>
    <row r="25326" spans="1:6" x14ac:dyDescent="0.25">
      <c r="A25326"/>
      <c r="B25326"/>
      <c r="C25326"/>
      <c r="E25326"/>
      <c r="F25326"/>
    </row>
    <row r="25327" spans="1:6" x14ac:dyDescent="0.25">
      <c r="A25327"/>
      <c r="B25327"/>
      <c r="C25327"/>
      <c r="E25327"/>
      <c r="F25327"/>
    </row>
    <row r="25328" spans="1:6" x14ac:dyDescent="0.25">
      <c r="A25328"/>
      <c r="B25328"/>
      <c r="C25328"/>
      <c r="E25328"/>
      <c r="F25328"/>
    </row>
    <row r="25329" spans="1:6" x14ac:dyDescent="0.25">
      <c r="A25329"/>
      <c r="B25329"/>
      <c r="C25329"/>
      <c r="E25329"/>
      <c r="F25329"/>
    </row>
    <row r="25330" spans="1:6" x14ac:dyDescent="0.25">
      <c r="A25330"/>
      <c r="B25330"/>
      <c r="C25330"/>
      <c r="E25330"/>
      <c r="F25330"/>
    </row>
    <row r="25331" spans="1:6" x14ac:dyDescent="0.25">
      <c r="A25331"/>
      <c r="B25331"/>
      <c r="C25331"/>
      <c r="E25331"/>
      <c r="F25331"/>
    </row>
    <row r="25332" spans="1:6" x14ac:dyDescent="0.25">
      <c r="A25332"/>
      <c r="B25332"/>
      <c r="C25332"/>
      <c r="E25332"/>
      <c r="F25332"/>
    </row>
    <row r="25333" spans="1:6" x14ac:dyDescent="0.25">
      <c r="A25333"/>
      <c r="B25333"/>
      <c r="C25333"/>
      <c r="E25333"/>
      <c r="F25333"/>
    </row>
    <row r="25334" spans="1:6" x14ac:dyDescent="0.25">
      <c r="A25334"/>
      <c r="B25334"/>
      <c r="C25334"/>
      <c r="E25334"/>
      <c r="F25334"/>
    </row>
    <row r="25335" spans="1:6" x14ac:dyDescent="0.25">
      <c r="A25335"/>
      <c r="B25335"/>
      <c r="C25335"/>
      <c r="E25335"/>
      <c r="F25335"/>
    </row>
    <row r="25336" spans="1:6" x14ac:dyDescent="0.25">
      <c r="A25336"/>
      <c r="B25336"/>
      <c r="C25336"/>
      <c r="E25336"/>
      <c r="F25336"/>
    </row>
    <row r="25337" spans="1:6" x14ac:dyDescent="0.25">
      <c r="A25337"/>
      <c r="B25337"/>
      <c r="C25337"/>
      <c r="E25337"/>
      <c r="F25337"/>
    </row>
    <row r="25338" spans="1:6" x14ac:dyDescent="0.25">
      <c r="A25338"/>
      <c r="B25338"/>
      <c r="C25338"/>
      <c r="E25338"/>
      <c r="F25338"/>
    </row>
    <row r="25339" spans="1:6" x14ac:dyDescent="0.25">
      <c r="A25339"/>
      <c r="B25339"/>
      <c r="C25339"/>
      <c r="E25339"/>
      <c r="F25339"/>
    </row>
    <row r="25340" spans="1:6" x14ac:dyDescent="0.25">
      <c r="A25340"/>
      <c r="B25340"/>
      <c r="C25340"/>
      <c r="E25340"/>
      <c r="F25340"/>
    </row>
    <row r="25341" spans="1:6" x14ac:dyDescent="0.25">
      <c r="A25341"/>
      <c r="B25341"/>
      <c r="C25341"/>
      <c r="E25341"/>
      <c r="F25341"/>
    </row>
    <row r="25342" spans="1:6" x14ac:dyDescent="0.25">
      <c r="A25342"/>
      <c r="B25342"/>
      <c r="C25342"/>
      <c r="E25342"/>
      <c r="F25342"/>
    </row>
    <row r="25343" spans="1:6" x14ac:dyDescent="0.25">
      <c r="A25343"/>
      <c r="B25343"/>
      <c r="C25343"/>
      <c r="E25343"/>
      <c r="F25343"/>
    </row>
    <row r="25344" spans="1:6" x14ac:dyDescent="0.25">
      <c r="A25344"/>
      <c r="B25344"/>
      <c r="C25344"/>
      <c r="E25344"/>
      <c r="F25344"/>
    </row>
    <row r="25345" spans="1:6" x14ac:dyDescent="0.25">
      <c r="A25345"/>
      <c r="B25345"/>
      <c r="C25345"/>
      <c r="E25345"/>
      <c r="F25345"/>
    </row>
    <row r="25346" spans="1:6" x14ac:dyDescent="0.25">
      <c r="A25346"/>
      <c r="B25346"/>
      <c r="C25346"/>
      <c r="E25346"/>
      <c r="F25346"/>
    </row>
    <row r="25347" spans="1:6" x14ac:dyDescent="0.25">
      <c r="A25347"/>
      <c r="B25347"/>
      <c r="C25347"/>
      <c r="E25347"/>
      <c r="F25347"/>
    </row>
    <row r="25348" spans="1:6" x14ac:dyDescent="0.25">
      <c r="A25348"/>
      <c r="B25348"/>
      <c r="C25348"/>
      <c r="E25348"/>
      <c r="F25348"/>
    </row>
    <row r="25349" spans="1:6" x14ac:dyDescent="0.25">
      <c r="A25349"/>
      <c r="B25349"/>
      <c r="C25349"/>
      <c r="E25349"/>
      <c r="F25349"/>
    </row>
    <row r="25350" spans="1:6" x14ac:dyDescent="0.25">
      <c r="A25350"/>
      <c r="B25350"/>
      <c r="C25350"/>
      <c r="E25350"/>
      <c r="F25350"/>
    </row>
    <row r="25351" spans="1:6" x14ac:dyDescent="0.25">
      <c r="A25351"/>
      <c r="B25351"/>
      <c r="C25351"/>
      <c r="E25351"/>
      <c r="F25351"/>
    </row>
    <row r="25352" spans="1:6" x14ac:dyDescent="0.25">
      <c r="A25352"/>
      <c r="B25352"/>
      <c r="C25352"/>
      <c r="E25352"/>
      <c r="F25352"/>
    </row>
    <row r="25353" spans="1:6" x14ac:dyDescent="0.25">
      <c r="A25353"/>
      <c r="B25353"/>
      <c r="C25353"/>
      <c r="E25353"/>
      <c r="F25353"/>
    </row>
    <row r="25354" spans="1:6" x14ac:dyDescent="0.25">
      <c r="A25354"/>
      <c r="B25354"/>
      <c r="C25354"/>
      <c r="E25354"/>
      <c r="F25354"/>
    </row>
    <row r="25355" spans="1:6" x14ac:dyDescent="0.25">
      <c r="A25355"/>
      <c r="B25355"/>
      <c r="C25355"/>
      <c r="E25355"/>
      <c r="F25355"/>
    </row>
    <row r="25356" spans="1:6" x14ac:dyDescent="0.25">
      <c r="A25356"/>
      <c r="B25356"/>
      <c r="C25356"/>
      <c r="E25356"/>
      <c r="F25356"/>
    </row>
    <row r="25357" spans="1:6" x14ac:dyDescent="0.25">
      <c r="A25357"/>
      <c r="B25357"/>
      <c r="C25357"/>
      <c r="E25357"/>
      <c r="F25357"/>
    </row>
    <row r="25358" spans="1:6" x14ac:dyDescent="0.25">
      <c r="A25358"/>
      <c r="B25358"/>
      <c r="C25358"/>
      <c r="E25358"/>
      <c r="F25358"/>
    </row>
    <row r="25359" spans="1:6" x14ac:dyDescent="0.25">
      <c r="A25359"/>
      <c r="B25359"/>
      <c r="C25359"/>
      <c r="E25359"/>
      <c r="F25359"/>
    </row>
    <row r="25360" spans="1:6" x14ac:dyDescent="0.25">
      <c r="A25360"/>
      <c r="B25360"/>
      <c r="C25360"/>
      <c r="E25360"/>
      <c r="F25360"/>
    </row>
    <row r="25361" spans="1:6" x14ac:dyDescent="0.25">
      <c r="A25361"/>
      <c r="B25361"/>
      <c r="C25361"/>
      <c r="E25361"/>
      <c r="F25361"/>
    </row>
    <row r="25362" spans="1:6" x14ac:dyDescent="0.25">
      <c r="A25362"/>
      <c r="B25362"/>
      <c r="C25362"/>
      <c r="E25362"/>
      <c r="F25362"/>
    </row>
    <row r="25363" spans="1:6" x14ac:dyDescent="0.25">
      <c r="A25363"/>
      <c r="B25363"/>
      <c r="C25363"/>
      <c r="E25363"/>
      <c r="F25363"/>
    </row>
    <row r="25364" spans="1:6" x14ac:dyDescent="0.25">
      <c r="A25364"/>
      <c r="B25364"/>
      <c r="C25364"/>
      <c r="E25364"/>
      <c r="F25364"/>
    </row>
    <row r="25365" spans="1:6" x14ac:dyDescent="0.25">
      <c r="A25365"/>
      <c r="B25365"/>
      <c r="C25365"/>
      <c r="E25365"/>
      <c r="F25365"/>
    </row>
    <row r="25366" spans="1:6" x14ac:dyDescent="0.25">
      <c r="A25366"/>
      <c r="B25366"/>
      <c r="C25366"/>
      <c r="E25366"/>
      <c r="F25366"/>
    </row>
    <row r="25367" spans="1:6" x14ac:dyDescent="0.25">
      <c r="A25367"/>
      <c r="B25367"/>
      <c r="C25367"/>
      <c r="E25367"/>
      <c r="F25367"/>
    </row>
    <row r="25368" spans="1:6" x14ac:dyDescent="0.25">
      <c r="A25368"/>
      <c r="B25368"/>
      <c r="C25368"/>
      <c r="E25368"/>
      <c r="F25368"/>
    </row>
    <row r="25369" spans="1:6" x14ac:dyDescent="0.25">
      <c r="A25369"/>
      <c r="B25369"/>
      <c r="C25369"/>
      <c r="E25369"/>
      <c r="F25369"/>
    </row>
    <row r="25370" spans="1:6" x14ac:dyDescent="0.25">
      <c r="A25370"/>
      <c r="B25370"/>
      <c r="C25370"/>
      <c r="E25370"/>
      <c r="F25370"/>
    </row>
    <row r="25371" spans="1:6" x14ac:dyDescent="0.25">
      <c r="A25371"/>
      <c r="B25371"/>
      <c r="C25371"/>
      <c r="E25371"/>
      <c r="F25371"/>
    </row>
    <row r="25372" spans="1:6" x14ac:dyDescent="0.25">
      <c r="A25372"/>
      <c r="B25372"/>
      <c r="C25372"/>
      <c r="E25372"/>
      <c r="F25372"/>
    </row>
    <row r="25373" spans="1:6" x14ac:dyDescent="0.25">
      <c r="A25373"/>
      <c r="B25373"/>
      <c r="C25373"/>
      <c r="E25373"/>
      <c r="F25373"/>
    </row>
    <row r="25374" spans="1:6" x14ac:dyDescent="0.25">
      <c r="A25374"/>
      <c r="B25374"/>
      <c r="C25374"/>
      <c r="E25374"/>
      <c r="F25374"/>
    </row>
    <row r="25375" spans="1:6" x14ac:dyDescent="0.25">
      <c r="A25375"/>
      <c r="B25375"/>
      <c r="C25375"/>
      <c r="E25375"/>
      <c r="F25375"/>
    </row>
    <row r="25376" spans="1:6" x14ac:dyDescent="0.25">
      <c r="A25376"/>
      <c r="B25376"/>
      <c r="C25376"/>
      <c r="E25376"/>
      <c r="F25376"/>
    </row>
    <row r="25377" spans="1:6" x14ac:dyDescent="0.25">
      <c r="A25377"/>
      <c r="B25377"/>
      <c r="C25377"/>
      <c r="E25377"/>
      <c r="F25377"/>
    </row>
    <row r="25378" spans="1:6" x14ac:dyDescent="0.25">
      <c r="A25378"/>
      <c r="B25378"/>
      <c r="C25378"/>
      <c r="E25378"/>
      <c r="F25378"/>
    </row>
    <row r="25379" spans="1:6" x14ac:dyDescent="0.25">
      <c r="A25379"/>
      <c r="B25379"/>
      <c r="C25379"/>
      <c r="E25379"/>
      <c r="F25379"/>
    </row>
    <row r="25380" spans="1:6" x14ac:dyDescent="0.25">
      <c r="A25380"/>
      <c r="B25380"/>
      <c r="C25380"/>
      <c r="E25380"/>
      <c r="F25380"/>
    </row>
    <row r="25381" spans="1:6" x14ac:dyDescent="0.25">
      <c r="A25381"/>
      <c r="B25381"/>
      <c r="C25381"/>
      <c r="E25381"/>
      <c r="F25381"/>
    </row>
    <row r="25382" spans="1:6" x14ac:dyDescent="0.25">
      <c r="A25382"/>
      <c r="B25382"/>
      <c r="C25382"/>
      <c r="E25382"/>
      <c r="F25382"/>
    </row>
    <row r="25383" spans="1:6" x14ac:dyDescent="0.25">
      <c r="A25383"/>
      <c r="B25383"/>
      <c r="C25383"/>
      <c r="E25383"/>
      <c r="F25383"/>
    </row>
    <row r="25384" spans="1:6" x14ac:dyDescent="0.25">
      <c r="A25384"/>
      <c r="B25384"/>
      <c r="C25384"/>
      <c r="E25384"/>
      <c r="F25384"/>
    </row>
    <row r="25385" spans="1:6" x14ac:dyDescent="0.25">
      <c r="A25385"/>
      <c r="B25385"/>
      <c r="C25385"/>
      <c r="E25385"/>
      <c r="F25385"/>
    </row>
    <row r="25386" spans="1:6" x14ac:dyDescent="0.25">
      <c r="A25386"/>
      <c r="B25386"/>
      <c r="C25386"/>
      <c r="E25386"/>
      <c r="F25386"/>
    </row>
    <row r="25387" spans="1:6" x14ac:dyDescent="0.25">
      <c r="A25387"/>
      <c r="B25387"/>
      <c r="C25387"/>
      <c r="E25387"/>
      <c r="F25387"/>
    </row>
    <row r="25388" spans="1:6" x14ac:dyDescent="0.25">
      <c r="A25388"/>
      <c r="B25388"/>
      <c r="C25388"/>
      <c r="E25388"/>
      <c r="F25388"/>
    </row>
    <row r="25389" spans="1:6" x14ac:dyDescent="0.25">
      <c r="A25389"/>
      <c r="B25389"/>
      <c r="C25389"/>
      <c r="E25389"/>
      <c r="F25389"/>
    </row>
    <row r="25390" spans="1:6" x14ac:dyDescent="0.25">
      <c r="A25390"/>
      <c r="B25390"/>
      <c r="C25390"/>
      <c r="E25390"/>
      <c r="F25390"/>
    </row>
    <row r="25391" spans="1:6" x14ac:dyDescent="0.25">
      <c r="A25391"/>
      <c r="B25391"/>
      <c r="C25391"/>
      <c r="E25391"/>
      <c r="F25391"/>
    </row>
    <row r="25392" spans="1:6" x14ac:dyDescent="0.25">
      <c r="A25392"/>
      <c r="B25392"/>
      <c r="C25392"/>
      <c r="E25392"/>
      <c r="F25392"/>
    </row>
    <row r="25393" spans="1:6" x14ac:dyDescent="0.25">
      <c r="A25393"/>
      <c r="B25393"/>
      <c r="C25393"/>
      <c r="E25393"/>
      <c r="F25393"/>
    </row>
    <row r="25394" spans="1:6" x14ac:dyDescent="0.25">
      <c r="A25394"/>
      <c r="B25394"/>
      <c r="C25394"/>
      <c r="E25394"/>
      <c r="F25394"/>
    </row>
    <row r="25395" spans="1:6" x14ac:dyDescent="0.25">
      <c r="A25395"/>
      <c r="B25395"/>
      <c r="C25395"/>
      <c r="E25395"/>
      <c r="F25395"/>
    </row>
    <row r="25396" spans="1:6" x14ac:dyDescent="0.25">
      <c r="A25396"/>
      <c r="B25396"/>
      <c r="C25396"/>
      <c r="E25396"/>
      <c r="F25396"/>
    </row>
    <row r="25397" spans="1:6" x14ac:dyDescent="0.25">
      <c r="A25397"/>
      <c r="B25397"/>
      <c r="C25397"/>
      <c r="E25397"/>
      <c r="F25397"/>
    </row>
    <row r="25398" spans="1:6" x14ac:dyDescent="0.25">
      <c r="A25398"/>
      <c r="B25398"/>
      <c r="C25398"/>
      <c r="E25398"/>
      <c r="F25398"/>
    </row>
    <row r="25399" spans="1:6" x14ac:dyDescent="0.25">
      <c r="A25399"/>
      <c r="B25399"/>
      <c r="C25399"/>
      <c r="E25399"/>
      <c r="F25399"/>
    </row>
    <row r="25400" spans="1:6" x14ac:dyDescent="0.25">
      <c r="A25400"/>
      <c r="B25400"/>
      <c r="C25400"/>
      <c r="E25400"/>
      <c r="F25400"/>
    </row>
    <row r="25401" spans="1:6" x14ac:dyDescent="0.25">
      <c r="A25401"/>
      <c r="B25401"/>
      <c r="C25401"/>
      <c r="E25401"/>
      <c r="F25401"/>
    </row>
    <row r="25402" spans="1:6" x14ac:dyDescent="0.25">
      <c r="A25402"/>
      <c r="B25402"/>
      <c r="C25402"/>
      <c r="E25402"/>
      <c r="F25402"/>
    </row>
    <row r="25403" spans="1:6" x14ac:dyDescent="0.25">
      <c r="A25403"/>
      <c r="B25403"/>
      <c r="C25403"/>
      <c r="E25403"/>
      <c r="F25403"/>
    </row>
    <row r="25404" spans="1:6" x14ac:dyDescent="0.25">
      <c r="A25404"/>
      <c r="B25404"/>
      <c r="C25404"/>
      <c r="E25404"/>
      <c r="F25404"/>
    </row>
    <row r="25405" spans="1:6" x14ac:dyDescent="0.25">
      <c r="A25405"/>
      <c r="B25405"/>
      <c r="C25405"/>
      <c r="E25405"/>
      <c r="F25405"/>
    </row>
    <row r="25406" spans="1:6" x14ac:dyDescent="0.25">
      <c r="A25406"/>
      <c r="B25406"/>
      <c r="C25406"/>
      <c r="E25406"/>
      <c r="F25406"/>
    </row>
    <row r="25407" spans="1:6" x14ac:dyDescent="0.25">
      <c r="A25407"/>
      <c r="B25407"/>
      <c r="C25407"/>
      <c r="E25407"/>
      <c r="F25407"/>
    </row>
    <row r="25408" spans="1:6" x14ac:dyDescent="0.25">
      <c r="A25408"/>
      <c r="B25408"/>
      <c r="C25408"/>
      <c r="E25408"/>
      <c r="F25408"/>
    </row>
    <row r="25409" spans="1:6" x14ac:dyDescent="0.25">
      <c r="A25409"/>
      <c r="B25409"/>
      <c r="C25409"/>
      <c r="E25409"/>
      <c r="F25409"/>
    </row>
    <row r="25410" spans="1:6" x14ac:dyDescent="0.25">
      <c r="A25410"/>
      <c r="B25410"/>
      <c r="C25410"/>
      <c r="E25410"/>
      <c r="F25410"/>
    </row>
    <row r="25411" spans="1:6" x14ac:dyDescent="0.25">
      <c r="A25411"/>
      <c r="B25411"/>
      <c r="C25411"/>
      <c r="E25411"/>
      <c r="F25411"/>
    </row>
    <row r="25412" spans="1:6" x14ac:dyDescent="0.25">
      <c r="A25412"/>
      <c r="B25412"/>
      <c r="C25412"/>
      <c r="E25412"/>
      <c r="F25412"/>
    </row>
    <row r="25413" spans="1:6" x14ac:dyDescent="0.25">
      <c r="A25413"/>
      <c r="B25413"/>
      <c r="C25413"/>
      <c r="E25413"/>
      <c r="F25413"/>
    </row>
    <row r="25414" spans="1:6" x14ac:dyDescent="0.25">
      <c r="A25414"/>
      <c r="B25414"/>
      <c r="C25414"/>
      <c r="E25414"/>
      <c r="F25414"/>
    </row>
    <row r="25415" spans="1:6" x14ac:dyDescent="0.25">
      <c r="A25415"/>
      <c r="B25415"/>
      <c r="C25415"/>
      <c r="E25415"/>
      <c r="F25415"/>
    </row>
    <row r="25416" spans="1:6" x14ac:dyDescent="0.25">
      <c r="A25416"/>
      <c r="B25416"/>
      <c r="C25416"/>
      <c r="E25416"/>
      <c r="F25416"/>
    </row>
    <row r="25417" spans="1:6" x14ac:dyDescent="0.25">
      <c r="A25417"/>
      <c r="B25417"/>
      <c r="C25417"/>
      <c r="E25417"/>
      <c r="F25417"/>
    </row>
    <row r="25418" spans="1:6" x14ac:dyDescent="0.25">
      <c r="A25418"/>
      <c r="B25418"/>
      <c r="C25418"/>
      <c r="E25418"/>
      <c r="F25418"/>
    </row>
    <row r="25419" spans="1:6" x14ac:dyDescent="0.25">
      <c r="A25419"/>
      <c r="B25419"/>
      <c r="C25419"/>
      <c r="E25419"/>
      <c r="F25419"/>
    </row>
    <row r="25420" spans="1:6" x14ac:dyDescent="0.25">
      <c r="A25420"/>
      <c r="B25420"/>
      <c r="C25420"/>
      <c r="E25420"/>
      <c r="F25420"/>
    </row>
    <row r="25421" spans="1:6" x14ac:dyDescent="0.25">
      <c r="A25421"/>
      <c r="B25421"/>
      <c r="C25421"/>
      <c r="E25421"/>
      <c r="F25421"/>
    </row>
    <row r="25422" spans="1:6" x14ac:dyDescent="0.25">
      <c r="A25422"/>
      <c r="B25422"/>
      <c r="C25422"/>
      <c r="E25422"/>
      <c r="F25422"/>
    </row>
    <row r="25423" spans="1:6" x14ac:dyDescent="0.25">
      <c r="A25423"/>
      <c r="B25423"/>
      <c r="C25423"/>
      <c r="E25423"/>
      <c r="F25423"/>
    </row>
    <row r="25424" spans="1:6" x14ac:dyDescent="0.25">
      <c r="A25424"/>
      <c r="B25424"/>
      <c r="C25424"/>
      <c r="E25424"/>
      <c r="F25424"/>
    </row>
    <row r="25425" spans="1:6" x14ac:dyDescent="0.25">
      <c r="A25425"/>
      <c r="B25425"/>
      <c r="C25425"/>
      <c r="E25425"/>
      <c r="F25425"/>
    </row>
    <row r="25426" spans="1:6" x14ac:dyDescent="0.25">
      <c r="A25426"/>
      <c r="B25426"/>
      <c r="C25426"/>
      <c r="E25426"/>
      <c r="F25426"/>
    </row>
    <row r="25427" spans="1:6" x14ac:dyDescent="0.25">
      <c r="A25427"/>
      <c r="B25427"/>
      <c r="C25427"/>
      <c r="E25427"/>
      <c r="F25427"/>
    </row>
    <row r="25428" spans="1:6" x14ac:dyDescent="0.25">
      <c r="A25428"/>
      <c r="B25428"/>
      <c r="C25428"/>
      <c r="E25428"/>
      <c r="F25428"/>
    </row>
    <row r="25429" spans="1:6" x14ac:dyDescent="0.25">
      <c r="A25429"/>
      <c r="B25429"/>
      <c r="C25429"/>
      <c r="E25429"/>
      <c r="F25429"/>
    </row>
    <row r="25430" spans="1:6" x14ac:dyDescent="0.25">
      <c r="A25430"/>
      <c r="B25430"/>
      <c r="C25430"/>
      <c r="E25430"/>
      <c r="F25430"/>
    </row>
    <row r="25431" spans="1:6" x14ac:dyDescent="0.25">
      <c r="A25431"/>
      <c r="B25431"/>
      <c r="C25431"/>
      <c r="E25431"/>
      <c r="F25431"/>
    </row>
    <row r="25432" spans="1:6" x14ac:dyDescent="0.25">
      <c r="A25432"/>
      <c r="B25432"/>
      <c r="C25432"/>
      <c r="E25432"/>
      <c r="F25432"/>
    </row>
    <row r="25433" spans="1:6" x14ac:dyDescent="0.25">
      <c r="A25433"/>
      <c r="B25433"/>
      <c r="C25433"/>
      <c r="E25433"/>
      <c r="F25433"/>
    </row>
    <row r="25434" spans="1:6" x14ac:dyDescent="0.25">
      <c r="A25434"/>
      <c r="B25434"/>
      <c r="C25434"/>
      <c r="E25434"/>
      <c r="F25434"/>
    </row>
    <row r="25435" spans="1:6" x14ac:dyDescent="0.25">
      <c r="A25435"/>
      <c r="B25435"/>
      <c r="C25435"/>
      <c r="E25435"/>
      <c r="F25435"/>
    </row>
    <row r="25436" spans="1:6" x14ac:dyDescent="0.25">
      <c r="A25436"/>
      <c r="B25436"/>
      <c r="C25436"/>
      <c r="E25436"/>
      <c r="F25436"/>
    </row>
    <row r="25437" spans="1:6" x14ac:dyDescent="0.25">
      <c r="A25437"/>
      <c r="B25437"/>
      <c r="C25437"/>
      <c r="E25437"/>
      <c r="F25437"/>
    </row>
    <row r="25438" spans="1:6" x14ac:dyDescent="0.25">
      <c r="A25438"/>
      <c r="B25438"/>
      <c r="C25438"/>
      <c r="E25438"/>
      <c r="F25438"/>
    </row>
    <row r="25439" spans="1:6" x14ac:dyDescent="0.25">
      <c r="A25439"/>
      <c r="B25439"/>
      <c r="C25439"/>
      <c r="E25439"/>
      <c r="F25439"/>
    </row>
    <row r="25440" spans="1:6" x14ac:dyDescent="0.25">
      <c r="A25440"/>
      <c r="B25440"/>
      <c r="C25440"/>
      <c r="E25440"/>
      <c r="F25440"/>
    </row>
    <row r="25441" spans="1:6" x14ac:dyDescent="0.25">
      <c r="A25441"/>
      <c r="B25441"/>
      <c r="C25441"/>
      <c r="E25441"/>
      <c r="F25441"/>
    </row>
    <row r="25442" spans="1:6" x14ac:dyDescent="0.25">
      <c r="A25442"/>
      <c r="B25442"/>
      <c r="C25442"/>
      <c r="E25442"/>
      <c r="F25442"/>
    </row>
    <row r="25443" spans="1:6" x14ac:dyDescent="0.25">
      <c r="A25443"/>
      <c r="B25443"/>
      <c r="C25443"/>
      <c r="E25443"/>
      <c r="F25443"/>
    </row>
    <row r="25444" spans="1:6" x14ac:dyDescent="0.25">
      <c r="A25444"/>
      <c r="B25444"/>
      <c r="C25444"/>
      <c r="E25444"/>
      <c r="F25444"/>
    </row>
    <row r="25445" spans="1:6" x14ac:dyDescent="0.25">
      <c r="A25445"/>
      <c r="B25445"/>
      <c r="C25445"/>
      <c r="E25445"/>
      <c r="F25445"/>
    </row>
    <row r="25446" spans="1:6" x14ac:dyDescent="0.25">
      <c r="A25446"/>
      <c r="B25446"/>
      <c r="C25446"/>
      <c r="E25446"/>
      <c r="F25446"/>
    </row>
    <row r="25447" spans="1:6" x14ac:dyDescent="0.25">
      <c r="A25447"/>
      <c r="B25447"/>
      <c r="C25447"/>
      <c r="E25447"/>
      <c r="F25447"/>
    </row>
    <row r="25448" spans="1:6" x14ac:dyDescent="0.25">
      <c r="A25448"/>
      <c r="B25448"/>
      <c r="C25448"/>
      <c r="E25448"/>
      <c r="F25448"/>
    </row>
    <row r="25449" spans="1:6" x14ac:dyDescent="0.25">
      <c r="A25449"/>
      <c r="B25449"/>
      <c r="C25449"/>
      <c r="E25449"/>
      <c r="F25449"/>
    </row>
    <row r="25450" spans="1:6" x14ac:dyDescent="0.25">
      <c r="A25450"/>
      <c r="B25450"/>
      <c r="C25450"/>
      <c r="E25450"/>
      <c r="F25450"/>
    </row>
    <row r="25451" spans="1:6" x14ac:dyDescent="0.25">
      <c r="A25451"/>
      <c r="B25451"/>
      <c r="C25451"/>
      <c r="E25451"/>
      <c r="F25451"/>
    </row>
    <row r="25452" spans="1:6" x14ac:dyDescent="0.25">
      <c r="A25452"/>
      <c r="B25452"/>
      <c r="C25452"/>
      <c r="E25452"/>
      <c r="F25452"/>
    </row>
    <row r="25453" spans="1:6" x14ac:dyDescent="0.25">
      <c r="A25453"/>
      <c r="B25453"/>
      <c r="C25453"/>
      <c r="E25453"/>
      <c r="F25453"/>
    </row>
    <row r="25454" spans="1:6" x14ac:dyDescent="0.25">
      <c r="A25454"/>
      <c r="B25454"/>
      <c r="C25454"/>
      <c r="E25454"/>
      <c r="F25454"/>
    </row>
    <row r="25455" spans="1:6" x14ac:dyDescent="0.25">
      <c r="A25455"/>
      <c r="B25455"/>
      <c r="C25455"/>
      <c r="E25455"/>
      <c r="F25455"/>
    </row>
    <row r="25456" spans="1:6" x14ac:dyDescent="0.25">
      <c r="A25456"/>
      <c r="B25456"/>
      <c r="C25456"/>
      <c r="E25456"/>
      <c r="F25456"/>
    </row>
    <row r="25457" spans="1:6" x14ac:dyDescent="0.25">
      <c r="A25457"/>
      <c r="B25457"/>
      <c r="C25457"/>
      <c r="E25457"/>
      <c r="F25457"/>
    </row>
    <row r="25458" spans="1:6" x14ac:dyDescent="0.25">
      <c r="A25458"/>
      <c r="B25458"/>
      <c r="C25458"/>
      <c r="E25458"/>
      <c r="F25458"/>
    </row>
    <row r="25459" spans="1:6" x14ac:dyDescent="0.25">
      <c r="A25459"/>
      <c r="B25459"/>
      <c r="C25459"/>
      <c r="E25459"/>
      <c r="F25459"/>
    </row>
    <row r="25460" spans="1:6" x14ac:dyDescent="0.25">
      <c r="A25460"/>
      <c r="B25460"/>
      <c r="C25460"/>
      <c r="E25460"/>
      <c r="F25460"/>
    </row>
    <row r="25461" spans="1:6" x14ac:dyDescent="0.25">
      <c r="A25461"/>
      <c r="B25461"/>
      <c r="C25461"/>
      <c r="E25461"/>
      <c r="F25461"/>
    </row>
    <row r="25462" spans="1:6" x14ac:dyDescent="0.25">
      <c r="A25462"/>
      <c r="B25462"/>
      <c r="C25462"/>
      <c r="E25462"/>
      <c r="F25462"/>
    </row>
    <row r="25463" spans="1:6" x14ac:dyDescent="0.25">
      <c r="A25463"/>
      <c r="B25463"/>
      <c r="C25463"/>
      <c r="E25463"/>
      <c r="F25463"/>
    </row>
    <row r="25464" spans="1:6" x14ac:dyDescent="0.25">
      <c r="A25464"/>
      <c r="B25464"/>
      <c r="C25464"/>
      <c r="E25464"/>
      <c r="F25464"/>
    </row>
    <row r="25465" spans="1:6" x14ac:dyDescent="0.25">
      <c r="A25465"/>
      <c r="B25465"/>
      <c r="C25465"/>
      <c r="E25465"/>
      <c r="F25465"/>
    </row>
    <row r="25466" spans="1:6" x14ac:dyDescent="0.25">
      <c r="A25466"/>
      <c r="B25466"/>
      <c r="C25466"/>
      <c r="E25466"/>
      <c r="F25466"/>
    </row>
    <row r="25467" spans="1:6" x14ac:dyDescent="0.25">
      <c r="A25467"/>
      <c r="B25467"/>
      <c r="C25467"/>
      <c r="E25467"/>
      <c r="F25467"/>
    </row>
    <row r="25468" spans="1:6" x14ac:dyDescent="0.25">
      <c r="A25468"/>
      <c r="B25468"/>
      <c r="C25468"/>
      <c r="E25468"/>
      <c r="F25468"/>
    </row>
    <row r="25469" spans="1:6" x14ac:dyDescent="0.25">
      <c r="A25469"/>
      <c r="B25469"/>
      <c r="C25469"/>
      <c r="E25469"/>
      <c r="F25469"/>
    </row>
    <row r="25470" spans="1:6" x14ac:dyDescent="0.25">
      <c r="A25470"/>
      <c r="B25470"/>
      <c r="C25470"/>
      <c r="E25470"/>
      <c r="F25470"/>
    </row>
    <row r="25471" spans="1:6" x14ac:dyDescent="0.25">
      <c r="A25471"/>
      <c r="B25471"/>
      <c r="C25471"/>
      <c r="E25471"/>
      <c r="F25471"/>
    </row>
    <row r="25472" spans="1:6" x14ac:dyDescent="0.25">
      <c r="A25472"/>
      <c r="B25472"/>
      <c r="C25472"/>
      <c r="E25472"/>
      <c r="F25472"/>
    </row>
    <row r="25473" spans="1:6" x14ac:dyDescent="0.25">
      <c r="A25473"/>
      <c r="B25473"/>
      <c r="C25473"/>
      <c r="E25473"/>
      <c r="F25473"/>
    </row>
    <row r="25474" spans="1:6" x14ac:dyDescent="0.25">
      <c r="A25474"/>
      <c r="B25474"/>
      <c r="C25474"/>
      <c r="E25474"/>
      <c r="F25474"/>
    </row>
    <row r="25475" spans="1:6" x14ac:dyDescent="0.25">
      <c r="A25475"/>
      <c r="B25475"/>
      <c r="C25475"/>
      <c r="E25475"/>
      <c r="F25475"/>
    </row>
    <row r="25476" spans="1:6" x14ac:dyDescent="0.25">
      <c r="A25476"/>
      <c r="B25476"/>
      <c r="C25476"/>
      <c r="E25476"/>
      <c r="F25476"/>
    </row>
    <row r="25477" spans="1:6" x14ac:dyDescent="0.25">
      <c r="A25477"/>
      <c r="B25477"/>
      <c r="C25477"/>
      <c r="E25477"/>
      <c r="F25477"/>
    </row>
    <row r="25478" spans="1:6" x14ac:dyDescent="0.25">
      <c r="A25478"/>
      <c r="B25478"/>
      <c r="C25478"/>
      <c r="E25478"/>
      <c r="F25478"/>
    </row>
    <row r="25479" spans="1:6" x14ac:dyDescent="0.25">
      <c r="A25479"/>
      <c r="B25479"/>
      <c r="C25479"/>
      <c r="E25479"/>
      <c r="F25479"/>
    </row>
    <row r="25480" spans="1:6" x14ac:dyDescent="0.25">
      <c r="A25480"/>
      <c r="B25480"/>
      <c r="C25480"/>
      <c r="E25480"/>
      <c r="F25480"/>
    </row>
    <row r="25481" spans="1:6" x14ac:dyDescent="0.25">
      <c r="A25481"/>
      <c r="B25481"/>
      <c r="C25481"/>
      <c r="E25481"/>
      <c r="F25481"/>
    </row>
    <row r="25482" spans="1:6" x14ac:dyDescent="0.25">
      <c r="A25482"/>
      <c r="B25482"/>
      <c r="C25482"/>
      <c r="E25482"/>
      <c r="F25482"/>
    </row>
    <row r="25483" spans="1:6" x14ac:dyDescent="0.25">
      <c r="A25483"/>
      <c r="B25483"/>
      <c r="C25483"/>
      <c r="E25483"/>
      <c r="F25483"/>
    </row>
    <row r="25484" spans="1:6" x14ac:dyDescent="0.25">
      <c r="A25484"/>
      <c r="B25484"/>
      <c r="C25484"/>
      <c r="E25484"/>
      <c r="F25484"/>
    </row>
    <row r="25485" spans="1:6" x14ac:dyDescent="0.25">
      <c r="A25485"/>
      <c r="B25485"/>
      <c r="C25485"/>
      <c r="E25485"/>
      <c r="F25485"/>
    </row>
    <row r="25486" spans="1:6" x14ac:dyDescent="0.25">
      <c r="A25486"/>
      <c r="B25486"/>
      <c r="C25486"/>
      <c r="E25486"/>
      <c r="F25486"/>
    </row>
    <row r="25487" spans="1:6" x14ac:dyDescent="0.25">
      <c r="A25487"/>
      <c r="B25487"/>
      <c r="C25487"/>
      <c r="E25487"/>
      <c r="F25487"/>
    </row>
    <row r="25488" spans="1:6" x14ac:dyDescent="0.25">
      <c r="A25488"/>
      <c r="B25488"/>
      <c r="C25488"/>
      <c r="E25488"/>
      <c r="F25488"/>
    </row>
    <row r="25489" spans="1:6" x14ac:dyDescent="0.25">
      <c r="A25489"/>
      <c r="B25489"/>
      <c r="C25489"/>
      <c r="E25489"/>
      <c r="F25489"/>
    </row>
    <row r="25490" spans="1:6" x14ac:dyDescent="0.25">
      <c r="A25490"/>
      <c r="B25490"/>
      <c r="C25490"/>
      <c r="E25490"/>
      <c r="F25490"/>
    </row>
    <row r="25491" spans="1:6" x14ac:dyDescent="0.25">
      <c r="A25491"/>
      <c r="B25491"/>
      <c r="C25491"/>
      <c r="E25491"/>
      <c r="F25491"/>
    </row>
    <row r="25492" spans="1:6" x14ac:dyDescent="0.25">
      <c r="A25492"/>
      <c r="B25492"/>
      <c r="C25492"/>
      <c r="E25492"/>
      <c r="F25492"/>
    </row>
    <row r="25493" spans="1:6" x14ac:dyDescent="0.25">
      <c r="A25493"/>
      <c r="B25493"/>
      <c r="C25493"/>
      <c r="E25493"/>
      <c r="F25493"/>
    </row>
    <row r="25494" spans="1:6" x14ac:dyDescent="0.25">
      <c r="A25494"/>
      <c r="B25494"/>
      <c r="C25494"/>
      <c r="E25494"/>
      <c r="F25494"/>
    </row>
    <row r="25495" spans="1:6" x14ac:dyDescent="0.25">
      <c r="A25495"/>
      <c r="B25495"/>
      <c r="C25495"/>
      <c r="E25495"/>
      <c r="F25495"/>
    </row>
    <row r="25496" spans="1:6" x14ac:dyDescent="0.25">
      <c r="A25496"/>
      <c r="B25496"/>
      <c r="C25496"/>
      <c r="E25496"/>
      <c r="F25496"/>
    </row>
    <row r="25497" spans="1:6" x14ac:dyDescent="0.25">
      <c r="A25497"/>
      <c r="B25497"/>
      <c r="C25497"/>
      <c r="E25497"/>
      <c r="F25497"/>
    </row>
    <row r="25498" spans="1:6" x14ac:dyDescent="0.25">
      <c r="A25498"/>
      <c r="B25498"/>
      <c r="C25498"/>
      <c r="E25498"/>
      <c r="F25498"/>
    </row>
    <row r="25499" spans="1:6" x14ac:dyDescent="0.25">
      <c r="A25499"/>
      <c r="B25499"/>
      <c r="C25499"/>
      <c r="E25499"/>
      <c r="F25499"/>
    </row>
    <row r="25500" spans="1:6" x14ac:dyDescent="0.25">
      <c r="A25500"/>
      <c r="B25500"/>
      <c r="C25500"/>
      <c r="E25500"/>
      <c r="F25500"/>
    </row>
    <row r="25501" spans="1:6" x14ac:dyDescent="0.25">
      <c r="A25501"/>
      <c r="B25501"/>
      <c r="C25501"/>
      <c r="E25501"/>
      <c r="F25501"/>
    </row>
    <row r="25502" spans="1:6" x14ac:dyDescent="0.25">
      <c r="A25502"/>
      <c r="B25502"/>
      <c r="C25502"/>
      <c r="E25502"/>
      <c r="F25502"/>
    </row>
    <row r="25503" spans="1:6" x14ac:dyDescent="0.25">
      <c r="A25503"/>
      <c r="B25503"/>
      <c r="C25503"/>
      <c r="E25503"/>
      <c r="F25503"/>
    </row>
    <row r="25504" spans="1:6" x14ac:dyDescent="0.25">
      <c r="A25504"/>
      <c r="B25504"/>
      <c r="C25504"/>
      <c r="E25504"/>
      <c r="F25504"/>
    </row>
    <row r="25505" spans="1:6" x14ac:dyDescent="0.25">
      <c r="A25505"/>
      <c r="B25505"/>
      <c r="C25505"/>
      <c r="E25505"/>
      <c r="F25505"/>
    </row>
    <row r="25506" spans="1:6" x14ac:dyDescent="0.25">
      <c r="A25506"/>
      <c r="B25506"/>
      <c r="C25506"/>
      <c r="E25506"/>
      <c r="F25506"/>
    </row>
    <row r="25507" spans="1:6" x14ac:dyDescent="0.25">
      <c r="A25507"/>
      <c r="B25507"/>
      <c r="C25507"/>
      <c r="E25507"/>
      <c r="F25507"/>
    </row>
    <row r="25508" spans="1:6" x14ac:dyDescent="0.25">
      <c r="A25508"/>
      <c r="B25508"/>
      <c r="C25508"/>
      <c r="E25508"/>
      <c r="F25508"/>
    </row>
    <row r="25509" spans="1:6" x14ac:dyDescent="0.25">
      <c r="A25509"/>
      <c r="B25509"/>
      <c r="C25509"/>
      <c r="E25509"/>
      <c r="F25509"/>
    </row>
    <row r="25510" spans="1:6" x14ac:dyDescent="0.25">
      <c r="A25510"/>
      <c r="B25510"/>
      <c r="C25510"/>
      <c r="E25510"/>
      <c r="F25510"/>
    </row>
    <row r="25511" spans="1:6" x14ac:dyDescent="0.25">
      <c r="A25511"/>
      <c r="B25511"/>
      <c r="C25511"/>
      <c r="E25511"/>
      <c r="F25511"/>
    </row>
    <row r="25512" spans="1:6" x14ac:dyDescent="0.25">
      <c r="A25512"/>
      <c r="B25512"/>
      <c r="C25512"/>
      <c r="E25512"/>
      <c r="F25512"/>
    </row>
    <row r="25513" spans="1:6" x14ac:dyDescent="0.25">
      <c r="A25513"/>
      <c r="B25513"/>
      <c r="C25513"/>
      <c r="E25513"/>
      <c r="F25513"/>
    </row>
    <row r="25514" spans="1:6" x14ac:dyDescent="0.25">
      <c r="A25514"/>
      <c r="B25514"/>
      <c r="C25514"/>
      <c r="E25514"/>
      <c r="F25514"/>
    </row>
    <row r="25515" spans="1:6" x14ac:dyDescent="0.25">
      <c r="A25515"/>
      <c r="B25515"/>
      <c r="C25515"/>
      <c r="E25515"/>
      <c r="F25515"/>
    </row>
    <row r="25516" spans="1:6" x14ac:dyDescent="0.25">
      <c r="A25516"/>
      <c r="B25516"/>
      <c r="C25516"/>
      <c r="E25516"/>
      <c r="F25516"/>
    </row>
    <row r="25517" spans="1:6" x14ac:dyDescent="0.25">
      <c r="A25517"/>
      <c r="B25517"/>
      <c r="C25517"/>
      <c r="E25517"/>
      <c r="F25517"/>
    </row>
    <row r="25518" spans="1:6" x14ac:dyDescent="0.25">
      <c r="A25518"/>
      <c r="B25518"/>
      <c r="C25518"/>
      <c r="E25518"/>
      <c r="F25518"/>
    </row>
    <row r="25519" spans="1:6" x14ac:dyDescent="0.25">
      <c r="A25519"/>
      <c r="B25519"/>
      <c r="C25519"/>
      <c r="E25519"/>
      <c r="F25519"/>
    </row>
    <row r="25520" spans="1:6" x14ac:dyDescent="0.25">
      <c r="A25520"/>
      <c r="B25520"/>
      <c r="C25520"/>
      <c r="E25520"/>
      <c r="F25520"/>
    </row>
    <row r="25521" spans="1:6" x14ac:dyDescent="0.25">
      <c r="A25521"/>
      <c r="B25521"/>
      <c r="C25521"/>
      <c r="E25521"/>
      <c r="F25521"/>
    </row>
    <row r="25522" spans="1:6" x14ac:dyDescent="0.25">
      <c r="A25522"/>
      <c r="B25522"/>
      <c r="C25522"/>
      <c r="E25522"/>
      <c r="F25522"/>
    </row>
    <row r="25523" spans="1:6" x14ac:dyDescent="0.25">
      <c r="A25523"/>
      <c r="B25523"/>
      <c r="C25523"/>
      <c r="E25523"/>
      <c r="F25523"/>
    </row>
    <row r="25524" spans="1:6" x14ac:dyDescent="0.25">
      <c r="A25524"/>
      <c r="B25524"/>
      <c r="C25524"/>
      <c r="E25524"/>
      <c r="F25524"/>
    </row>
    <row r="25525" spans="1:6" x14ac:dyDescent="0.25">
      <c r="A25525"/>
      <c r="B25525"/>
      <c r="C25525"/>
      <c r="E25525"/>
      <c r="F25525"/>
    </row>
    <row r="25526" spans="1:6" x14ac:dyDescent="0.25">
      <c r="A25526"/>
      <c r="B25526"/>
      <c r="C25526"/>
      <c r="E25526"/>
      <c r="F25526"/>
    </row>
    <row r="25527" spans="1:6" x14ac:dyDescent="0.25">
      <c r="A25527"/>
      <c r="B25527"/>
      <c r="C25527"/>
      <c r="E25527"/>
      <c r="F25527"/>
    </row>
    <row r="25528" spans="1:6" x14ac:dyDescent="0.25">
      <c r="A25528"/>
      <c r="B25528"/>
      <c r="C25528"/>
      <c r="E25528"/>
      <c r="F25528"/>
    </row>
    <row r="25529" spans="1:6" x14ac:dyDescent="0.25">
      <c r="A25529"/>
      <c r="B25529"/>
      <c r="C25529"/>
      <c r="E25529"/>
      <c r="F25529"/>
    </row>
    <row r="25530" spans="1:6" x14ac:dyDescent="0.25">
      <c r="A25530"/>
      <c r="B25530"/>
      <c r="C25530"/>
      <c r="E25530"/>
      <c r="F25530"/>
    </row>
    <row r="25531" spans="1:6" x14ac:dyDescent="0.25">
      <c r="A25531"/>
      <c r="B25531"/>
      <c r="C25531"/>
      <c r="E25531"/>
      <c r="F25531"/>
    </row>
    <row r="25532" spans="1:6" x14ac:dyDescent="0.25">
      <c r="A25532"/>
      <c r="B25532"/>
      <c r="C25532"/>
      <c r="E25532"/>
      <c r="F25532"/>
    </row>
    <row r="25533" spans="1:6" x14ac:dyDescent="0.25">
      <c r="A25533"/>
      <c r="B25533"/>
      <c r="C25533"/>
      <c r="E25533"/>
      <c r="F25533"/>
    </row>
    <row r="25534" spans="1:6" x14ac:dyDescent="0.25">
      <c r="A25534"/>
      <c r="B25534"/>
      <c r="C25534"/>
      <c r="E25534"/>
      <c r="F25534"/>
    </row>
    <row r="25535" spans="1:6" x14ac:dyDescent="0.25">
      <c r="A25535"/>
      <c r="B25535"/>
      <c r="C25535"/>
      <c r="E25535"/>
      <c r="F25535"/>
    </row>
    <row r="25536" spans="1:6" x14ac:dyDescent="0.25">
      <c r="A25536"/>
      <c r="B25536"/>
      <c r="C25536"/>
      <c r="E25536"/>
      <c r="F25536"/>
    </row>
    <row r="25537" spans="1:6" x14ac:dyDescent="0.25">
      <c r="A25537"/>
      <c r="B25537"/>
      <c r="C25537"/>
      <c r="E25537"/>
      <c r="F25537"/>
    </row>
    <row r="25538" spans="1:6" x14ac:dyDescent="0.25">
      <c r="A25538"/>
      <c r="B25538"/>
      <c r="C25538"/>
      <c r="E25538"/>
      <c r="F25538"/>
    </row>
    <row r="25539" spans="1:6" x14ac:dyDescent="0.25">
      <c r="A25539"/>
      <c r="B25539"/>
      <c r="C25539"/>
      <c r="E25539"/>
      <c r="F25539"/>
    </row>
    <row r="25540" spans="1:6" x14ac:dyDescent="0.25">
      <c r="A25540"/>
      <c r="B25540"/>
      <c r="C25540"/>
      <c r="E25540"/>
      <c r="F25540"/>
    </row>
    <row r="25541" spans="1:6" x14ac:dyDescent="0.25">
      <c r="A25541"/>
      <c r="B25541"/>
      <c r="C25541"/>
      <c r="E25541"/>
      <c r="F25541"/>
    </row>
    <row r="25542" spans="1:6" x14ac:dyDescent="0.25">
      <c r="A25542"/>
      <c r="B25542"/>
      <c r="C25542"/>
      <c r="E25542"/>
      <c r="F25542"/>
    </row>
    <row r="25543" spans="1:6" x14ac:dyDescent="0.25">
      <c r="A25543"/>
      <c r="B25543"/>
      <c r="C25543"/>
      <c r="E25543"/>
      <c r="F25543"/>
    </row>
    <row r="25544" spans="1:6" x14ac:dyDescent="0.25">
      <c r="A25544"/>
      <c r="B25544"/>
      <c r="C25544"/>
      <c r="E25544"/>
      <c r="F25544"/>
    </row>
    <row r="25545" spans="1:6" x14ac:dyDescent="0.25">
      <c r="A25545"/>
      <c r="B25545"/>
      <c r="C25545"/>
      <c r="E25545"/>
      <c r="F25545"/>
    </row>
    <row r="25546" spans="1:6" x14ac:dyDescent="0.25">
      <c r="A25546"/>
      <c r="B25546"/>
      <c r="C25546"/>
      <c r="E25546"/>
      <c r="F25546"/>
    </row>
    <row r="25547" spans="1:6" x14ac:dyDescent="0.25">
      <c r="A25547"/>
      <c r="B25547"/>
      <c r="C25547"/>
      <c r="E25547"/>
      <c r="F25547"/>
    </row>
    <row r="25548" spans="1:6" x14ac:dyDescent="0.25">
      <c r="A25548"/>
      <c r="B25548"/>
      <c r="C25548"/>
      <c r="E25548"/>
      <c r="F25548"/>
    </row>
    <row r="25549" spans="1:6" x14ac:dyDescent="0.25">
      <c r="A25549"/>
      <c r="B25549"/>
      <c r="C25549"/>
      <c r="E25549"/>
      <c r="F25549"/>
    </row>
    <row r="25550" spans="1:6" x14ac:dyDescent="0.25">
      <c r="A25550"/>
      <c r="B25550"/>
      <c r="C25550"/>
      <c r="E25550"/>
      <c r="F25550"/>
    </row>
    <row r="25551" spans="1:6" x14ac:dyDescent="0.25">
      <c r="A25551"/>
      <c r="B25551"/>
      <c r="C25551"/>
      <c r="E25551"/>
      <c r="F25551"/>
    </row>
    <row r="25552" spans="1:6" x14ac:dyDescent="0.25">
      <c r="A25552"/>
      <c r="B25552"/>
      <c r="C25552"/>
      <c r="E25552"/>
      <c r="F25552"/>
    </row>
    <row r="25553" spans="1:6" x14ac:dyDescent="0.25">
      <c r="A25553"/>
      <c r="B25553"/>
      <c r="C25553"/>
      <c r="E25553"/>
      <c r="F25553"/>
    </row>
    <row r="25554" spans="1:6" x14ac:dyDescent="0.25">
      <c r="A25554"/>
      <c r="B25554"/>
      <c r="C25554"/>
      <c r="E25554"/>
      <c r="F25554"/>
    </row>
    <row r="25555" spans="1:6" x14ac:dyDescent="0.25">
      <c r="A25555"/>
      <c r="B25555"/>
      <c r="C25555"/>
      <c r="E25555"/>
      <c r="F25555"/>
    </row>
    <row r="25556" spans="1:6" x14ac:dyDescent="0.25">
      <c r="A25556"/>
      <c r="B25556"/>
      <c r="C25556"/>
      <c r="E25556"/>
      <c r="F25556"/>
    </row>
    <row r="25557" spans="1:6" x14ac:dyDescent="0.25">
      <c r="A25557"/>
      <c r="B25557"/>
      <c r="C25557"/>
      <c r="E25557"/>
      <c r="F25557"/>
    </row>
    <row r="25558" spans="1:6" x14ac:dyDescent="0.25">
      <c r="A25558"/>
      <c r="B25558"/>
      <c r="C25558"/>
      <c r="E25558"/>
      <c r="F25558"/>
    </row>
    <row r="25559" spans="1:6" x14ac:dyDescent="0.25">
      <c r="A25559"/>
      <c r="B25559"/>
      <c r="C25559"/>
      <c r="E25559"/>
      <c r="F25559"/>
    </row>
    <row r="25560" spans="1:6" x14ac:dyDescent="0.25">
      <c r="A25560"/>
      <c r="B25560"/>
      <c r="C25560"/>
      <c r="E25560"/>
      <c r="F25560"/>
    </row>
    <row r="25561" spans="1:6" x14ac:dyDescent="0.25">
      <c r="A25561"/>
      <c r="B25561"/>
      <c r="C25561"/>
      <c r="E25561"/>
      <c r="F25561"/>
    </row>
    <row r="25562" spans="1:6" x14ac:dyDescent="0.25">
      <c r="A25562"/>
      <c r="B25562"/>
      <c r="C25562"/>
      <c r="E25562"/>
      <c r="F25562"/>
    </row>
    <row r="25563" spans="1:6" x14ac:dyDescent="0.25">
      <c r="A25563"/>
      <c r="B25563"/>
      <c r="C25563"/>
      <c r="E25563"/>
      <c r="F25563"/>
    </row>
    <row r="25564" spans="1:6" x14ac:dyDescent="0.25">
      <c r="A25564"/>
      <c r="B25564"/>
      <c r="C25564"/>
      <c r="E25564"/>
      <c r="F25564"/>
    </row>
    <row r="25565" spans="1:6" x14ac:dyDescent="0.25">
      <c r="A25565"/>
      <c r="B25565"/>
      <c r="C25565"/>
      <c r="E25565"/>
      <c r="F25565"/>
    </row>
    <row r="25566" spans="1:6" x14ac:dyDescent="0.25">
      <c r="A25566"/>
      <c r="B25566"/>
      <c r="C25566"/>
      <c r="E25566"/>
      <c r="F25566"/>
    </row>
    <row r="25567" spans="1:6" x14ac:dyDescent="0.25">
      <c r="A25567"/>
      <c r="B25567"/>
      <c r="C25567"/>
      <c r="E25567"/>
      <c r="F25567"/>
    </row>
    <row r="25568" spans="1:6" x14ac:dyDescent="0.25">
      <c r="A25568"/>
      <c r="B25568"/>
      <c r="C25568"/>
      <c r="E25568"/>
      <c r="F25568"/>
    </row>
    <row r="25569" spans="1:6" x14ac:dyDescent="0.25">
      <c r="A25569"/>
      <c r="B25569"/>
      <c r="C25569"/>
      <c r="E25569"/>
      <c r="F25569"/>
    </row>
    <row r="25570" spans="1:6" x14ac:dyDescent="0.25">
      <c r="A25570"/>
      <c r="B25570"/>
      <c r="C25570"/>
      <c r="E25570"/>
      <c r="F25570"/>
    </row>
    <row r="25571" spans="1:6" x14ac:dyDescent="0.25">
      <c r="A25571"/>
      <c r="B25571"/>
      <c r="C25571"/>
      <c r="E25571"/>
      <c r="F25571"/>
    </row>
    <row r="25572" spans="1:6" x14ac:dyDescent="0.25">
      <c r="A25572"/>
      <c r="B25572"/>
      <c r="C25572"/>
      <c r="E25572"/>
      <c r="F25572"/>
    </row>
    <row r="25573" spans="1:6" x14ac:dyDescent="0.25">
      <c r="A25573"/>
      <c r="B25573"/>
      <c r="C25573"/>
      <c r="E25573"/>
      <c r="F25573"/>
    </row>
    <row r="25574" spans="1:6" x14ac:dyDescent="0.25">
      <c r="A25574"/>
      <c r="B25574"/>
      <c r="C25574"/>
      <c r="E25574"/>
      <c r="F25574"/>
    </row>
    <row r="25575" spans="1:6" x14ac:dyDescent="0.25">
      <c r="A25575"/>
      <c r="B25575"/>
      <c r="C25575"/>
      <c r="E25575"/>
      <c r="F25575"/>
    </row>
    <row r="25576" spans="1:6" x14ac:dyDescent="0.25">
      <c r="A25576"/>
      <c r="B25576"/>
      <c r="C25576"/>
      <c r="E25576"/>
      <c r="F25576"/>
    </row>
    <row r="25577" spans="1:6" x14ac:dyDescent="0.25">
      <c r="A25577"/>
      <c r="B25577"/>
      <c r="C25577"/>
      <c r="E25577"/>
      <c r="F25577"/>
    </row>
    <row r="25578" spans="1:6" x14ac:dyDescent="0.25">
      <c r="A25578"/>
      <c r="B25578"/>
      <c r="C25578"/>
      <c r="E25578"/>
      <c r="F25578"/>
    </row>
    <row r="25579" spans="1:6" x14ac:dyDescent="0.25">
      <c r="A25579"/>
      <c r="B25579"/>
      <c r="C25579"/>
      <c r="E25579"/>
      <c r="F25579"/>
    </row>
    <row r="25580" spans="1:6" x14ac:dyDescent="0.25">
      <c r="A25580"/>
      <c r="B25580"/>
      <c r="C25580"/>
      <c r="E25580"/>
      <c r="F25580"/>
    </row>
    <row r="25581" spans="1:6" x14ac:dyDescent="0.25">
      <c r="A25581"/>
      <c r="B25581"/>
      <c r="C25581"/>
      <c r="E25581"/>
      <c r="F25581"/>
    </row>
    <row r="25582" spans="1:6" x14ac:dyDescent="0.25">
      <c r="A25582"/>
      <c r="B25582"/>
      <c r="C25582"/>
      <c r="E25582"/>
      <c r="F25582"/>
    </row>
    <row r="25583" spans="1:6" x14ac:dyDescent="0.25">
      <c r="A25583"/>
      <c r="B25583"/>
      <c r="C25583"/>
      <c r="E25583"/>
      <c r="F25583"/>
    </row>
    <row r="25584" spans="1:6" x14ac:dyDescent="0.25">
      <c r="A25584"/>
      <c r="B25584"/>
      <c r="C25584"/>
      <c r="E25584"/>
      <c r="F25584"/>
    </row>
    <row r="25585" spans="1:6" x14ac:dyDescent="0.25">
      <c r="A25585"/>
      <c r="B25585"/>
      <c r="C25585"/>
      <c r="E25585"/>
      <c r="F25585"/>
    </row>
    <row r="25586" spans="1:6" x14ac:dyDescent="0.25">
      <c r="A25586"/>
      <c r="B25586"/>
      <c r="C25586"/>
      <c r="E25586"/>
      <c r="F25586"/>
    </row>
    <row r="25587" spans="1:6" x14ac:dyDescent="0.25">
      <c r="A25587"/>
      <c r="B25587"/>
      <c r="C25587"/>
      <c r="E25587"/>
      <c r="F25587"/>
    </row>
    <row r="25588" spans="1:6" x14ac:dyDescent="0.25">
      <c r="A25588"/>
      <c r="B25588"/>
      <c r="C25588"/>
      <c r="E25588"/>
      <c r="F25588"/>
    </row>
    <row r="25589" spans="1:6" x14ac:dyDescent="0.25">
      <c r="A25589"/>
      <c r="B25589"/>
      <c r="C25589"/>
      <c r="E25589"/>
      <c r="F25589"/>
    </row>
    <row r="25590" spans="1:6" x14ac:dyDescent="0.25">
      <c r="A25590"/>
      <c r="B25590"/>
      <c r="C25590"/>
      <c r="E25590"/>
      <c r="F25590"/>
    </row>
    <row r="25591" spans="1:6" x14ac:dyDescent="0.25">
      <c r="A25591"/>
      <c r="B25591"/>
      <c r="C25591"/>
      <c r="E25591"/>
      <c r="F25591"/>
    </row>
    <row r="25592" spans="1:6" x14ac:dyDescent="0.25">
      <c r="A25592"/>
      <c r="B25592"/>
      <c r="C25592"/>
      <c r="E25592"/>
      <c r="F25592"/>
    </row>
    <row r="25593" spans="1:6" x14ac:dyDescent="0.25">
      <c r="A25593"/>
      <c r="B25593"/>
      <c r="C25593"/>
      <c r="E25593"/>
      <c r="F25593"/>
    </row>
    <row r="25594" spans="1:6" x14ac:dyDescent="0.25">
      <c r="A25594"/>
      <c r="B25594"/>
      <c r="C25594"/>
      <c r="E25594"/>
      <c r="F25594"/>
    </row>
    <row r="25595" spans="1:6" x14ac:dyDescent="0.25">
      <c r="A25595"/>
      <c r="B25595"/>
      <c r="C25595"/>
      <c r="E25595"/>
      <c r="F25595"/>
    </row>
    <row r="25596" spans="1:6" x14ac:dyDescent="0.25">
      <c r="A25596"/>
      <c r="B25596"/>
      <c r="C25596"/>
      <c r="E25596"/>
      <c r="F25596"/>
    </row>
    <row r="25597" spans="1:6" x14ac:dyDescent="0.25">
      <c r="A25597"/>
      <c r="B25597"/>
      <c r="C25597"/>
      <c r="E25597"/>
      <c r="F25597"/>
    </row>
    <row r="25598" spans="1:6" x14ac:dyDescent="0.25">
      <c r="A25598"/>
      <c r="B25598"/>
      <c r="C25598"/>
      <c r="E25598"/>
      <c r="F25598"/>
    </row>
    <row r="25599" spans="1:6" x14ac:dyDescent="0.25">
      <c r="A25599"/>
      <c r="B25599"/>
      <c r="C25599"/>
      <c r="E25599"/>
      <c r="F25599"/>
    </row>
    <row r="25600" spans="1:6" x14ac:dyDescent="0.25">
      <c r="A25600"/>
      <c r="B25600"/>
      <c r="C25600"/>
      <c r="E25600"/>
      <c r="F25600"/>
    </row>
    <row r="25601" spans="1:6" x14ac:dyDescent="0.25">
      <c r="A25601"/>
      <c r="B25601"/>
      <c r="C25601"/>
      <c r="E25601"/>
      <c r="F25601"/>
    </row>
    <row r="25602" spans="1:6" x14ac:dyDescent="0.25">
      <c r="A25602"/>
      <c r="B25602"/>
      <c r="C25602"/>
      <c r="E25602"/>
      <c r="F25602"/>
    </row>
    <row r="25603" spans="1:6" x14ac:dyDescent="0.25">
      <c r="A25603"/>
      <c r="B25603"/>
      <c r="C25603"/>
      <c r="E25603"/>
      <c r="F25603"/>
    </row>
    <row r="25604" spans="1:6" x14ac:dyDescent="0.25">
      <c r="A25604"/>
      <c r="B25604"/>
      <c r="C25604"/>
      <c r="E25604"/>
      <c r="F25604"/>
    </row>
    <row r="25605" spans="1:6" x14ac:dyDescent="0.25">
      <c r="A25605"/>
      <c r="B25605"/>
      <c r="C25605"/>
      <c r="E25605"/>
      <c r="F25605"/>
    </row>
    <row r="25606" spans="1:6" x14ac:dyDescent="0.25">
      <c r="A25606"/>
      <c r="B25606"/>
      <c r="C25606"/>
      <c r="E25606"/>
      <c r="F25606"/>
    </row>
    <row r="25607" spans="1:6" x14ac:dyDescent="0.25">
      <c r="A25607"/>
      <c r="B25607"/>
      <c r="C25607"/>
      <c r="E25607"/>
      <c r="F25607"/>
    </row>
    <row r="25608" spans="1:6" x14ac:dyDescent="0.25">
      <c r="A25608"/>
      <c r="B25608"/>
      <c r="C25608"/>
      <c r="E25608"/>
      <c r="F25608"/>
    </row>
    <row r="25609" spans="1:6" x14ac:dyDescent="0.25">
      <c r="A25609"/>
      <c r="B25609"/>
      <c r="C25609"/>
      <c r="E25609"/>
      <c r="F25609"/>
    </row>
    <row r="25610" spans="1:6" x14ac:dyDescent="0.25">
      <c r="A25610"/>
      <c r="B25610"/>
      <c r="C25610"/>
      <c r="E25610"/>
      <c r="F25610"/>
    </row>
    <row r="25611" spans="1:6" x14ac:dyDescent="0.25">
      <c r="A25611"/>
      <c r="B25611"/>
      <c r="C25611"/>
      <c r="E25611"/>
      <c r="F25611"/>
    </row>
    <row r="25612" spans="1:6" x14ac:dyDescent="0.25">
      <c r="A25612"/>
      <c r="B25612"/>
      <c r="C25612"/>
      <c r="E25612"/>
      <c r="F25612"/>
    </row>
    <row r="25613" spans="1:6" x14ac:dyDescent="0.25">
      <c r="A25613"/>
      <c r="B25613"/>
      <c r="C25613"/>
      <c r="E25613"/>
      <c r="F25613"/>
    </row>
    <row r="25614" spans="1:6" x14ac:dyDescent="0.25">
      <c r="A25614"/>
      <c r="B25614"/>
      <c r="C25614"/>
      <c r="E25614"/>
      <c r="F25614"/>
    </row>
    <row r="25615" spans="1:6" x14ac:dyDescent="0.25">
      <c r="A25615"/>
      <c r="B25615"/>
      <c r="C25615"/>
      <c r="E25615"/>
      <c r="F25615"/>
    </row>
    <row r="25616" spans="1:6" x14ac:dyDescent="0.25">
      <c r="A25616"/>
      <c r="B25616"/>
      <c r="C25616"/>
      <c r="E25616"/>
      <c r="F25616"/>
    </row>
    <row r="25617" spans="1:6" x14ac:dyDescent="0.25">
      <c r="A25617"/>
      <c r="B25617"/>
      <c r="C25617"/>
      <c r="E25617"/>
      <c r="F25617"/>
    </row>
    <row r="25618" spans="1:6" x14ac:dyDescent="0.25">
      <c r="A25618"/>
      <c r="B25618"/>
      <c r="C25618"/>
      <c r="E25618"/>
      <c r="F25618"/>
    </row>
    <row r="25619" spans="1:6" x14ac:dyDescent="0.25">
      <c r="A25619"/>
      <c r="B25619"/>
      <c r="C25619"/>
      <c r="E25619"/>
      <c r="F25619"/>
    </row>
    <row r="25620" spans="1:6" x14ac:dyDescent="0.25">
      <c r="A25620"/>
      <c r="B25620"/>
      <c r="C25620"/>
      <c r="E25620"/>
      <c r="F25620"/>
    </row>
    <row r="25621" spans="1:6" x14ac:dyDescent="0.25">
      <c r="A25621"/>
      <c r="B25621"/>
      <c r="C25621"/>
      <c r="E25621"/>
      <c r="F25621"/>
    </row>
    <row r="25622" spans="1:6" x14ac:dyDescent="0.25">
      <c r="A25622"/>
      <c r="B25622"/>
      <c r="C25622"/>
      <c r="E25622"/>
      <c r="F25622"/>
    </row>
    <row r="25623" spans="1:6" x14ac:dyDescent="0.25">
      <c r="A25623"/>
      <c r="B25623"/>
      <c r="C25623"/>
      <c r="E25623"/>
      <c r="F25623"/>
    </row>
    <row r="25624" spans="1:6" x14ac:dyDescent="0.25">
      <c r="A25624"/>
      <c r="B25624"/>
      <c r="C25624"/>
      <c r="E25624"/>
      <c r="F25624"/>
    </row>
    <row r="25625" spans="1:6" x14ac:dyDescent="0.25">
      <c r="A25625"/>
      <c r="B25625"/>
      <c r="C25625"/>
      <c r="E25625"/>
      <c r="F25625"/>
    </row>
    <row r="25626" spans="1:6" x14ac:dyDescent="0.25">
      <c r="A25626"/>
      <c r="B25626"/>
      <c r="C25626"/>
      <c r="E25626"/>
      <c r="F25626"/>
    </row>
    <row r="25627" spans="1:6" x14ac:dyDescent="0.25">
      <c r="A25627"/>
      <c r="B25627"/>
      <c r="C25627"/>
      <c r="E25627"/>
      <c r="F25627"/>
    </row>
    <row r="25628" spans="1:6" x14ac:dyDescent="0.25">
      <c r="A25628"/>
      <c r="B25628"/>
      <c r="C25628"/>
      <c r="E25628"/>
      <c r="F25628"/>
    </row>
    <row r="25629" spans="1:6" x14ac:dyDescent="0.25">
      <c r="A25629"/>
      <c r="B25629"/>
      <c r="C25629"/>
      <c r="E25629"/>
      <c r="F25629"/>
    </row>
    <row r="25630" spans="1:6" x14ac:dyDescent="0.25">
      <c r="A25630"/>
      <c r="B25630"/>
      <c r="C25630"/>
      <c r="E25630"/>
      <c r="F25630"/>
    </row>
    <row r="25631" spans="1:6" x14ac:dyDescent="0.25">
      <c r="A25631"/>
      <c r="B25631"/>
      <c r="C25631"/>
      <c r="E25631"/>
      <c r="F25631"/>
    </row>
    <row r="25632" spans="1:6" x14ac:dyDescent="0.25">
      <c r="A25632"/>
      <c r="B25632"/>
      <c r="C25632"/>
      <c r="E25632"/>
      <c r="F25632"/>
    </row>
    <row r="25633" spans="1:6" x14ac:dyDescent="0.25">
      <c r="A25633"/>
      <c r="B25633"/>
      <c r="C25633"/>
      <c r="E25633"/>
      <c r="F25633"/>
    </row>
    <row r="25634" spans="1:6" x14ac:dyDescent="0.25">
      <c r="A25634"/>
      <c r="B25634"/>
      <c r="C25634"/>
      <c r="E25634"/>
      <c r="F25634"/>
    </row>
    <row r="25635" spans="1:6" x14ac:dyDescent="0.25">
      <c r="A25635"/>
      <c r="B25635"/>
      <c r="C25635"/>
      <c r="E25635"/>
      <c r="F25635"/>
    </row>
    <row r="25636" spans="1:6" x14ac:dyDescent="0.25">
      <c r="A25636"/>
      <c r="B25636"/>
      <c r="C25636"/>
      <c r="E25636"/>
      <c r="F25636"/>
    </row>
    <row r="25637" spans="1:6" x14ac:dyDescent="0.25">
      <c r="A25637"/>
      <c r="B25637"/>
      <c r="C25637"/>
      <c r="E25637"/>
      <c r="F25637"/>
    </row>
    <row r="25638" spans="1:6" x14ac:dyDescent="0.25">
      <c r="A25638"/>
      <c r="B25638"/>
      <c r="C25638"/>
      <c r="E25638"/>
      <c r="F25638"/>
    </row>
    <row r="25639" spans="1:6" x14ac:dyDescent="0.25">
      <c r="A25639"/>
      <c r="B25639"/>
      <c r="C25639"/>
      <c r="E25639"/>
      <c r="F25639"/>
    </row>
    <row r="25640" spans="1:6" x14ac:dyDescent="0.25">
      <c r="A25640"/>
      <c r="B25640"/>
      <c r="C25640"/>
      <c r="E25640"/>
      <c r="F25640"/>
    </row>
    <row r="25641" spans="1:6" x14ac:dyDescent="0.25">
      <c r="A25641"/>
      <c r="B25641"/>
      <c r="C25641"/>
      <c r="E25641"/>
      <c r="F25641"/>
    </row>
    <row r="25642" spans="1:6" x14ac:dyDescent="0.25">
      <c r="A25642"/>
      <c r="B25642"/>
      <c r="C25642"/>
      <c r="E25642"/>
      <c r="F25642"/>
    </row>
    <row r="25643" spans="1:6" x14ac:dyDescent="0.25">
      <c r="A25643"/>
      <c r="B25643"/>
      <c r="C25643"/>
      <c r="E25643"/>
      <c r="F25643"/>
    </row>
    <row r="25644" spans="1:6" x14ac:dyDescent="0.25">
      <c r="A25644"/>
      <c r="B25644"/>
      <c r="C25644"/>
      <c r="E25644"/>
      <c r="F25644"/>
    </row>
    <row r="25645" spans="1:6" x14ac:dyDescent="0.25">
      <c r="A25645"/>
      <c r="B25645"/>
      <c r="C25645"/>
      <c r="E25645"/>
      <c r="F25645"/>
    </row>
    <row r="25646" spans="1:6" x14ac:dyDescent="0.25">
      <c r="A25646"/>
      <c r="B25646"/>
      <c r="C25646"/>
      <c r="E25646"/>
      <c r="F25646"/>
    </row>
    <row r="25647" spans="1:6" x14ac:dyDescent="0.25">
      <c r="A25647"/>
      <c r="B25647"/>
      <c r="C25647"/>
      <c r="E25647"/>
      <c r="F25647"/>
    </row>
    <row r="25648" spans="1:6" x14ac:dyDescent="0.25">
      <c r="A25648"/>
      <c r="B25648"/>
      <c r="C25648"/>
      <c r="E25648"/>
      <c r="F25648"/>
    </row>
    <row r="25649" spans="1:6" x14ac:dyDescent="0.25">
      <c r="A25649"/>
      <c r="B25649"/>
      <c r="C25649"/>
      <c r="E25649"/>
      <c r="F25649"/>
    </row>
    <row r="25650" spans="1:6" x14ac:dyDescent="0.25">
      <c r="A25650"/>
      <c r="B25650"/>
      <c r="C25650"/>
      <c r="E25650"/>
      <c r="F25650"/>
    </row>
    <row r="25651" spans="1:6" x14ac:dyDescent="0.25">
      <c r="A25651"/>
      <c r="B25651"/>
      <c r="C25651"/>
      <c r="E25651"/>
      <c r="F25651"/>
    </row>
    <row r="25652" spans="1:6" x14ac:dyDescent="0.25">
      <c r="A25652"/>
      <c r="B25652"/>
      <c r="C25652"/>
      <c r="E25652"/>
      <c r="F25652"/>
    </row>
    <row r="25653" spans="1:6" x14ac:dyDescent="0.25">
      <c r="A25653"/>
      <c r="B25653"/>
      <c r="C25653"/>
      <c r="E25653"/>
      <c r="F25653"/>
    </row>
    <row r="25654" spans="1:6" x14ac:dyDescent="0.25">
      <c r="A25654"/>
      <c r="B25654"/>
      <c r="C25654"/>
      <c r="E25654"/>
      <c r="F25654"/>
    </row>
    <row r="25655" spans="1:6" x14ac:dyDescent="0.25">
      <c r="A25655"/>
      <c r="B25655"/>
      <c r="C25655"/>
      <c r="E25655"/>
      <c r="F25655"/>
    </row>
    <row r="25656" spans="1:6" x14ac:dyDescent="0.25">
      <c r="A25656"/>
      <c r="B25656"/>
      <c r="C25656"/>
      <c r="E25656"/>
      <c r="F25656"/>
    </row>
    <row r="25657" spans="1:6" x14ac:dyDescent="0.25">
      <c r="A25657"/>
      <c r="B25657"/>
      <c r="C25657"/>
      <c r="E25657"/>
      <c r="F25657"/>
    </row>
    <row r="25658" spans="1:6" x14ac:dyDescent="0.25">
      <c r="A25658"/>
      <c r="B25658"/>
      <c r="C25658"/>
      <c r="E25658"/>
      <c r="F25658"/>
    </row>
    <row r="25659" spans="1:6" x14ac:dyDescent="0.25">
      <c r="A25659"/>
      <c r="B25659"/>
      <c r="C25659"/>
      <c r="E25659"/>
      <c r="F25659"/>
    </row>
    <row r="25660" spans="1:6" x14ac:dyDescent="0.25">
      <c r="A25660"/>
      <c r="B25660"/>
      <c r="C25660"/>
      <c r="E25660"/>
      <c r="F25660"/>
    </row>
    <row r="25661" spans="1:6" x14ac:dyDescent="0.25">
      <c r="A25661"/>
      <c r="B25661"/>
      <c r="C25661"/>
      <c r="E25661"/>
      <c r="F25661"/>
    </row>
    <row r="25662" spans="1:6" x14ac:dyDescent="0.25">
      <c r="A25662"/>
      <c r="B25662"/>
      <c r="C25662"/>
      <c r="E25662"/>
      <c r="F25662"/>
    </row>
    <row r="25663" spans="1:6" x14ac:dyDescent="0.25">
      <c r="A25663"/>
      <c r="B25663"/>
      <c r="C25663"/>
      <c r="E25663"/>
      <c r="F25663"/>
    </row>
    <row r="25664" spans="1:6" x14ac:dyDescent="0.25">
      <c r="A25664"/>
      <c r="B25664"/>
      <c r="C25664"/>
      <c r="E25664"/>
      <c r="F25664"/>
    </row>
    <row r="25665" spans="1:6" x14ac:dyDescent="0.25">
      <c r="A25665"/>
      <c r="B25665"/>
      <c r="C25665"/>
      <c r="E25665"/>
      <c r="F25665"/>
    </row>
    <row r="25666" spans="1:6" x14ac:dyDescent="0.25">
      <c r="A25666"/>
      <c r="B25666"/>
      <c r="C25666"/>
      <c r="E25666"/>
      <c r="F25666"/>
    </row>
    <row r="25667" spans="1:6" x14ac:dyDescent="0.25">
      <c r="A25667"/>
      <c r="B25667"/>
      <c r="C25667"/>
      <c r="E25667"/>
      <c r="F25667"/>
    </row>
    <row r="25668" spans="1:6" x14ac:dyDescent="0.25">
      <c r="A25668"/>
      <c r="B25668"/>
      <c r="C25668"/>
      <c r="E25668"/>
      <c r="F25668"/>
    </row>
    <row r="25669" spans="1:6" x14ac:dyDescent="0.25">
      <c r="A25669"/>
      <c r="B25669"/>
      <c r="C25669"/>
      <c r="E25669"/>
      <c r="F25669"/>
    </row>
    <row r="25670" spans="1:6" x14ac:dyDescent="0.25">
      <c r="A25670"/>
      <c r="B25670"/>
      <c r="C25670"/>
      <c r="E25670"/>
      <c r="F25670"/>
    </row>
    <row r="25671" spans="1:6" x14ac:dyDescent="0.25">
      <c r="A25671"/>
      <c r="B25671"/>
      <c r="C25671"/>
      <c r="E25671"/>
      <c r="F25671"/>
    </row>
    <row r="25672" spans="1:6" x14ac:dyDescent="0.25">
      <c r="A25672"/>
      <c r="B25672"/>
      <c r="C25672"/>
      <c r="E25672"/>
      <c r="F25672"/>
    </row>
    <row r="25673" spans="1:6" x14ac:dyDescent="0.25">
      <c r="A25673"/>
      <c r="B25673"/>
      <c r="C25673"/>
      <c r="E25673"/>
      <c r="F25673"/>
    </row>
    <row r="25674" spans="1:6" x14ac:dyDescent="0.25">
      <c r="A25674"/>
      <c r="B25674"/>
      <c r="C25674"/>
      <c r="E25674"/>
      <c r="F25674"/>
    </row>
    <row r="25675" spans="1:6" x14ac:dyDescent="0.25">
      <c r="A25675"/>
      <c r="B25675"/>
      <c r="C25675"/>
      <c r="E25675"/>
      <c r="F25675"/>
    </row>
    <row r="25676" spans="1:6" x14ac:dyDescent="0.25">
      <c r="A25676"/>
      <c r="B25676"/>
      <c r="C25676"/>
      <c r="E25676"/>
      <c r="F25676"/>
    </row>
    <row r="25677" spans="1:6" x14ac:dyDescent="0.25">
      <c r="A25677"/>
      <c r="B25677"/>
      <c r="C25677"/>
      <c r="E25677"/>
      <c r="F25677"/>
    </row>
    <row r="25678" spans="1:6" x14ac:dyDescent="0.25">
      <c r="A25678"/>
      <c r="B25678"/>
      <c r="C25678"/>
      <c r="E25678"/>
      <c r="F25678"/>
    </row>
    <row r="25679" spans="1:6" x14ac:dyDescent="0.25">
      <c r="A25679"/>
      <c r="B25679"/>
      <c r="C25679"/>
      <c r="E25679"/>
      <c r="F25679"/>
    </row>
    <row r="25680" spans="1:6" x14ac:dyDescent="0.25">
      <c r="A25680"/>
      <c r="B25680"/>
      <c r="C25680"/>
      <c r="E25680"/>
      <c r="F25680"/>
    </row>
    <row r="25681" spans="1:6" x14ac:dyDescent="0.25">
      <c r="A25681"/>
      <c r="B25681"/>
      <c r="C25681"/>
      <c r="E25681"/>
      <c r="F25681"/>
    </row>
    <row r="25682" spans="1:6" x14ac:dyDescent="0.25">
      <c r="A25682"/>
      <c r="B25682"/>
      <c r="C25682"/>
      <c r="E25682"/>
      <c r="F25682"/>
    </row>
    <row r="25683" spans="1:6" x14ac:dyDescent="0.25">
      <c r="A25683"/>
      <c r="B25683"/>
      <c r="C25683"/>
      <c r="E25683"/>
      <c r="F25683"/>
    </row>
    <row r="25684" spans="1:6" x14ac:dyDescent="0.25">
      <c r="A25684"/>
      <c r="B25684"/>
      <c r="C25684"/>
      <c r="E25684"/>
      <c r="F25684"/>
    </row>
    <row r="25685" spans="1:6" x14ac:dyDescent="0.25">
      <c r="A25685"/>
      <c r="B25685"/>
      <c r="C25685"/>
      <c r="E25685"/>
      <c r="F25685"/>
    </row>
    <row r="25686" spans="1:6" x14ac:dyDescent="0.25">
      <c r="A25686"/>
      <c r="B25686"/>
      <c r="C25686"/>
      <c r="E25686"/>
      <c r="F25686"/>
    </row>
    <row r="25687" spans="1:6" x14ac:dyDescent="0.25">
      <c r="A25687"/>
      <c r="B25687"/>
      <c r="C25687"/>
      <c r="E25687"/>
      <c r="F25687"/>
    </row>
    <row r="25688" spans="1:6" x14ac:dyDescent="0.25">
      <c r="A25688"/>
      <c r="B25688"/>
      <c r="C25688"/>
      <c r="E25688"/>
      <c r="F25688"/>
    </row>
    <row r="25689" spans="1:6" x14ac:dyDescent="0.25">
      <c r="A25689"/>
      <c r="B25689"/>
      <c r="C25689"/>
      <c r="E25689"/>
      <c r="F25689"/>
    </row>
    <row r="25690" spans="1:6" x14ac:dyDescent="0.25">
      <c r="A25690"/>
      <c r="B25690"/>
      <c r="C25690"/>
      <c r="E25690"/>
      <c r="F25690"/>
    </row>
    <row r="25691" spans="1:6" x14ac:dyDescent="0.25">
      <c r="A25691"/>
      <c r="B25691"/>
      <c r="C25691"/>
      <c r="E25691"/>
      <c r="F25691"/>
    </row>
    <row r="25692" spans="1:6" x14ac:dyDescent="0.25">
      <c r="A25692"/>
      <c r="B25692"/>
      <c r="C25692"/>
      <c r="E25692"/>
      <c r="F25692"/>
    </row>
    <row r="25693" spans="1:6" x14ac:dyDescent="0.25">
      <c r="A25693"/>
      <c r="B25693"/>
      <c r="C25693"/>
      <c r="E25693"/>
      <c r="F25693"/>
    </row>
    <row r="25694" spans="1:6" x14ac:dyDescent="0.25">
      <c r="A25694"/>
      <c r="B25694"/>
      <c r="C25694"/>
      <c r="E25694"/>
      <c r="F25694"/>
    </row>
    <row r="25695" spans="1:6" x14ac:dyDescent="0.25">
      <c r="A25695"/>
      <c r="B25695"/>
      <c r="C25695"/>
      <c r="E25695"/>
      <c r="F25695"/>
    </row>
    <row r="25696" spans="1:6" x14ac:dyDescent="0.25">
      <c r="A25696"/>
      <c r="B25696"/>
      <c r="C25696"/>
      <c r="E25696"/>
      <c r="F25696"/>
    </row>
    <row r="25697" spans="1:6" x14ac:dyDescent="0.25">
      <c r="A25697"/>
      <c r="B25697"/>
      <c r="C25697"/>
      <c r="E25697"/>
      <c r="F25697"/>
    </row>
    <row r="25698" spans="1:6" x14ac:dyDescent="0.25">
      <c r="A25698"/>
      <c r="B25698"/>
      <c r="C25698"/>
      <c r="E25698"/>
      <c r="F25698"/>
    </row>
    <row r="25699" spans="1:6" x14ac:dyDescent="0.25">
      <c r="A25699"/>
      <c r="B25699"/>
      <c r="C25699"/>
      <c r="E25699"/>
      <c r="F25699"/>
    </row>
    <row r="25700" spans="1:6" x14ac:dyDescent="0.25">
      <c r="A25700"/>
      <c r="B25700"/>
      <c r="C25700"/>
      <c r="E25700"/>
      <c r="F25700"/>
    </row>
    <row r="25701" spans="1:6" x14ac:dyDescent="0.25">
      <c r="A25701"/>
      <c r="B25701"/>
      <c r="C25701"/>
      <c r="E25701"/>
      <c r="F25701"/>
    </row>
    <row r="25702" spans="1:6" x14ac:dyDescent="0.25">
      <c r="A25702"/>
      <c r="B25702"/>
      <c r="C25702"/>
      <c r="E25702"/>
      <c r="F25702"/>
    </row>
    <row r="25703" spans="1:6" x14ac:dyDescent="0.25">
      <c r="A25703"/>
      <c r="B25703"/>
      <c r="C25703"/>
      <c r="E25703"/>
      <c r="F25703"/>
    </row>
    <row r="25704" spans="1:6" x14ac:dyDescent="0.25">
      <c r="A25704"/>
      <c r="B25704"/>
      <c r="C25704"/>
      <c r="E25704"/>
      <c r="F25704"/>
    </row>
    <row r="25705" spans="1:6" x14ac:dyDescent="0.25">
      <c r="A25705"/>
      <c r="B25705"/>
      <c r="C25705"/>
      <c r="E25705"/>
      <c r="F25705"/>
    </row>
    <row r="25706" spans="1:6" x14ac:dyDescent="0.25">
      <c r="A25706"/>
      <c r="B25706"/>
      <c r="C25706"/>
      <c r="E25706"/>
      <c r="F25706"/>
    </row>
    <row r="25707" spans="1:6" x14ac:dyDescent="0.25">
      <c r="A25707"/>
      <c r="B25707"/>
      <c r="C25707"/>
      <c r="E25707"/>
      <c r="F25707"/>
    </row>
    <row r="25708" spans="1:6" x14ac:dyDescent="0.25">
      <c r="A25708"/>
      <c r="B25708"/>
      <c r="C25708"/>
      <c r="E25708"/>
      <c r="F25708"/>
    </row>
    <row r="25709" spans="1:6" x14ac:dyDescent="0.25">
      <c r="A25709"/>
      <c r="B25709"/>
      <c r="C25709"/>
      <c r="E25709"/>
      <c r="F25709"/>
    </row>
    <row r="25710" spans="1:6" x14ac:dyDescent="0.25">
      <c r="A25710"/>
      <c r="B25710"/>
      <c r="C25710"/>
      <c r="E25710"/>
      <c r="F25710"/>
    </row>
    <row r="25711" spans="1:6" x14ac:dyDescent="0.25">
      <c r="A25711"/>
      <c r="B25711"/>
      <c r="C25711"/>
      <c r="E25711"/>
      <c r="F25711"/>
    </row>
    <row r="25712" spans="1:6" x14ac:dyDescent="0.25">
      <c r="A25712"/>
      <c r="B25712"/>
      <c r="C25712"/>
      <c r="E25712"/>
      <c r="F25712"/>
    </row>
    <row r="25713" spans="1:6" x14ac:dyDescent="0.25">
      <c r="A25713"/>
      <c r="B25713"/>
      <c r="C25713"/>
      <c r="E25713"/>
      <c r="F25713"/>
    </row>
    <row r="25714" spans="1:6" x14ac:dyDescent="0.25">
      <c r="A25714"/>
      <c r="B25714"/>
      <c r="C25714"/>
      <c r="E25714"/>
      <c r="F25714"/>
    </row>
    <row r="25715" spans="1:6" x14ac:dyDescent="0.25">
      <c r="A25715"/>
      <c r="B25715"/>
      <c r="C25715"/>
      <c r="E25715"/>
      <c r="F25715"/>
    </row>
    <row r="25716" spans="1:6" x14ac:dyDescent="0.25">
      <c r="A25716"/>
      <c r="B25716"/>
      <c r="C25716"/>
      <c r="E25716"/>
      <c r="F25716"/>
    </row>
    <row r="25717" spans="1:6" x14ac:dyDescent="0.25">
      <c r="A25717"/>
      <c r="B25717"/>
      <c r="C25717"/>
      <c r="E25717"/>
      <c r="F25717"/>
    </row>
    <row r="25718" spans="1:6" x14ac:dyDescent="0.25">
      <c r="A25718"/>
      <c r="B25718"/>
      <c r="C25718"/>
      <c r="E25718"/>
      <c r="F25718"/>
    </row>
    <row r="25719" spans="1:6" x14ac:dyDescent="0.25">
      <c r="A25719"/>
      <c r="B25719"/>
      <c r="C25719"/>
      <c r="E25719"/>
      <c r="F25719"/>
    </row>
    <row r="25720" spans="1:6" x14ac:dyDescent="0.25">
      <c r="A25720"/>
      <c r="B25720"/>
      <c r="C25720"/>
      <c r="E25720"/>
      <c r="F25720"/>
    </row>
    <row r="25721" spans="1:6" x14ac:dyDescent="0.25">
      <c r="A25721"/>
      <c r="B25721"/>
      <c r="C25721"/>
      <c r="E25721"/>
      <c r="F25721"/>
    </row>
    <row r="25722" spans="1:6" x14ac:dyDescent="0.25">
      <c r="A25722"/>
      <c r="B25722"/>
      <c r="C25722"/>
      <c r="E25722"/>
      <c r="F25722"/>
    </row>
    <row r="25723" spans="1:6" x14ac:dyDescent="0.25">
      <c r="A25723"/>
      <c r="B25723"/>
      <c r="C25723"/>
      <c r="E25723"/>
      <c r="F25723"/>
    </row>
    <row r="25724" spans="1:6" x14ac:dyDescent="0.25">
      <c r="A25724"/>
      <c r="B25724"/>
      <c r="C25724"/>
      <c r="E25724"/>
      <c r="F25724"/>
    </row>
    <row r="25725" spans="1:6" x14ac:dyDescent="0.25">
      <c r="A25725"/>
      <c r="B25725"/>
      <c r="C25725"/>
      <c r="E25725"/>
      <c r="F25725"/>
    </row>
    <row r="25726" spans="1:6" x14ac:dyDescent="0.25">
      <c r="A25726"/>
      <c r="B25726"/>
      <c r="C25726"/>
      <c r="E25726"/>
      <c r="F25726"/>
    </row>
    <row r="25727" spans="1:6" x14ac:dyDescent="0.25">
      <c r="A25727"/>
      <c r="B25727"/>
      <c r="C25727"/>
      <c r="E25727"/>
      <c r="F25727"/>
    </row>
    <row r="25728" spans="1:6" x14ac:dyDescent="0.25">
      <c r="A25728"/>
      <c r="B25728"/>
      <c r="C25728"/>
      <c r="E25728"/>
      <c r="F25728"/>
    </row>
    <row r="25729" spans="1:6" x14ac:dyDescent="0.25">
      <c r="A25729"/>
      <c r="B25729"/>
      <c r="C25729"/>
      <c r="E25729"/>
      <c r="F25729"/>
    </row>
    <row r="25730" spans="1:6" x14ac:dyDescent="0.25">
      <c r="A25730"/>
      <c r="B25730"/>
      <c r="C25730"/>
      <c r="E25730"/>
      <c r="F25730"/>
    </row>
    <row r="25731" spans="1:6" x14ac:dyDescent="0.25">
      <c r="A25731"/>
      <c r="B25731"/>
      <c r="C25731"/>
      <c r="E25731"/>
      <c r="F25731"/>
    </row>
    <row r="25732" spans="1:6" x14ac:dyDescent="0.25">
      <c r="A25732"/>
      <c r="B25732"/>
      <c r="C25732"/>
      <c r="E25732"/>
      <c r="F25732"/>
    </row>
    <row r="25733" spans="1:6" x14ac:dyDescent="0.25">
      <c r="A25733"/>
      <c r="B25733"/>
      <c r="C25733"/>
      <c r="E25733"/>
      <c r="F25733"/>
    </row>
    <row r="25734" spans="1:6" x14ac:dyDescent="0.25">
      <c r="A25734"/>
      <c r="B25734"/>
      <c r="C25734"/>
      <c r="E25734"/>
      <c r="F25734"/>
    </row>
    <row r="25735" spans="1:6" x14ac:dyDescent="0.25">
      <c r="A25735"/>
      <c r="B25735"/>
      <c r="C25735"/>
      <c r="E25735"/>
      <c r="F25735"/>
    </row>
    <row r="25736" spans="1:6" x14ac:dyDescent="0.25">
      <c r="A25736"/>
      <c r="B25736"/>
      <c r="C25736"/>
      <c r="E25736"/>
      <c r="F25736"/>
    </row>
    <row r="25737" spans="1:6" x14ac:dyDescent="0.25">
      <c r="A25737"/>
      <c r="B25737"/>
      <c r="C25737"/>
      <c r="E25737"/>
      <c r="F25737"/>
    </row>
    <row r="25738" spans="1:6" x14ac:dyDescent="0.25">
      <c r="A25738"/>
      <c r="B25738"/>
      <c r="C25738"/>
      <c r="E25738"/>
      <c r="F25738"/>
    </row>
    <row r="25739" spans="1:6" x14ac:dyDescent="0.25">
      <c r="A25739"/>
      <c r="B25739"/>
      <c r="C25739"/>
      <c r="E25739"/>
      <c r="F25739"/>
    </row>
    <row r="25740" spans="1:6" x14ac:dyDescent="0.25">
      <c r="A25740"/>
      <c r="B25740"/>
      <c r="C25740"/>
      <c r="E25740"/>
      <c r="F25740"/>
    </row>
    <row r="25741" spans="1:6" x14ac:dyDescent="0.25">
      <c r="A25741"/>
      <c r="B25741"/>
      <c r="C25741"/>
      <c r="E25741"/>
      <c r="F25741"/>
    </row>
    <row r="25742" spans="1:6" x14ac:dyDescent="0.25">
      <c r="A25742"/>
      <c r="B25742"/>
      <c r="C25742"/>
      <c r="E25742"/>
      <c r="F25742"/>
    </row>
    <row r="25743" spans="1:6" x14ac:dyDescent="0.25">
      <c r="A25743"/>
      <c r="B25743"/>
      <c r="C25743"/>
      <c r="E25743"/>
      <c r="F25743"/>
    </row>
    <row r="25744" spans="1:6" x14ac:dyDescent="0.25">
      <c r="A25744"/>
      <c r="B25744"/>
      <c r="C25744"/>
      <c r="E25744"/>
      <c r="F25744"/>
    </row>
    <row r="25745" spans="1:6" x14ac:dyDescent="0.25">
      <c r="A25745"/>
      <c r="B25745"/>
      <c r="C25745"/>
      <c r="E25745"/>
      <c r="F25745"/>
    </row>
    <row r="25746" spans="1:6" x14ac:dyDescent="0.25">
      <c r="A25746"/>
      <c r="B25746"/>
      <c r="C25746"/>
      <c r="E25746"/>
      <c r="F25746"/>
    </row>
    <row r="25747" spans="1:6" x14ac:dyDescent="0.25">
      <c r="A25747"/>
      <c r="B25747"/>
      <c r="C25747"/>
      <c r="E25747"/>
      <c r="F25747"/>
    </row>
    <row r="25748" spans="1:6" x14ac:dyDescent="0.25">
      <c r="A25748"/>
      <c r="B25748"/>
      <c r="C25748"/>
      <c r="E25748"/>
      <c r="F25748"/>
    </row>
    <row r="25749" spans="1:6" x14ac:dyDescent="0.25">
      <c r="A25749"/>
      <c r="B25749"/>
      <c r="C25749"/>
      <c r="E25749"/>
      <c r="F25749"/>
    </row>
    <row r="25750" spans="1:6" x14ac:dyDescent="0.25">
      <c r="A25750"/>
      <c r="B25750"/>
      <c r="C25750"/>
      <c r="E25750"/>
      <c r="F25750"/>
    </row>
    <row r="25751" spans="1:6" x14ac:dyDescent="0.25">
      <c r="A25751"/>
      <c r="B25751"/>
      <c r="C25751"/>
      <c r="E25751"/>
      <c r="F25751"/>
    </row>
    <row r="25752" spans="1:6" x14ac:dyDescent="0.25">
      <c r="A25752"/>
      <c r="B25752"/>
      <c r="C25752"/>
      <c r="E25752"/>
      <c r="F25752"/>
    </row>
    <row r="25753" spans="1:6" x14ac:dyDescent="0.25">
      <c r="A25753"/>
      <c r="B25753"/>
      <c r="C25753"/>
      <c r="E25753"/>
      <c r="F25753"/>
    </row>
    <row r="25754" spans="1:6" x14ac:dyDescent="0.25">
      <c r="A25754"/>
      <c r="B25754"/>
      <c r="C25754"/>
      <c r="E25754"/>
      <c r="F25754"/>
    </row>
    <row r="25755" spans="1:6" x14ac:dyDescent="0.25">
      <c r="A25755"/>
      <c r="B25755"/>
      <c r="C25755"/>
      <c r="E25755"/>
      <c r="F25755"/>
    </row>
    <row r="25756" spans="1:6" x14ac:dyDescent="0.25">
      <c r="A25756"/>
      <c r="B25756"/>
      <c r="C25756"/>
      <c r="E25756"/>
      <c r="F25756"/>
    </row>
    <row r="25757" spans="1:6" x14ac:dyDescent="0.25">
      <c r="A25757"/>
      <c r="B25757"/>
      <c r="C25757"/>
      <c r="E25757"/>
      <c r="F25757"/>
    </row>
    <row r="25758" spans="1:6" x14ac:dyDescent="0.25">
      <c r="A25758"/>
      <c r="B25758"/>
      <c r="C25758"/>
      <c r="E25758"/>
      <c r="F25758"/>
    </row>
    <row r="25759" spans="1:6" x14ac:dyDescent="0.25">
      <c r="A25759"/>
      <c r="B25759"/>
      <c r="C25759"/>
      <c r="E25759"/>
      <c r="F25759"/>
    </row>
    <row r="25760" spans="1:6" x14ac:dyDescent="0.25">
      <c r="A25760"/>
      <c r="B25760"/>
      <c r="C25760"/>
      <c r="E25760"/>
      <c r="F25760"/>
    </row>
    <row r="25761" spans="1:6" x14ac:dyDescent="0.25">
      <c r="A25761"/>
      <c r="B25761"/>
      <c r="C25761"/>
      <c r="E25761"/>
      <c r="F25761"/>
    </row>
    <row r="25762" spans="1:6" x14ac:dyDescent="0.25">
      <c r="A25762"/>
      <c r="B25762"/>
      <c r="C25762"/>
      <c r="E25762"/>
      <c r="F25762"/>
    </row>
    <row r="25763" spans="1:6" x14ac:dyDescent="0.25">
      <c r="A25763"/>
      <c r="B25763"/>
      <c r="C25763"/>
      <c r="E25763"/>
      <c r="F25763"/>
    </row>
    <row r="25764" spans="1:6" x14ac:dyDescent="0.25">
      <c r="A25764"/>
      <c r="B25764"/>
      <c r="C25764"/>
      <c r="E25764"/>
      <c r="F25764"/>
    </row>
    <row r="25765" spans="1:6" x14ac:dyDescent="0.25">
      <c r="A25765"/>
      <c r="B25765"/>
      <c r="C25765"/>
      <c r="E25765"/>
      <c r="F25765"/>
    </row>
    <row r="25766" spans="1:6" x14ac:dyDescent="0.25">
      <c r="A25766"/>
      <c r="B25766"/>
      <c r="C25766"/>
      <c r="E25766"/>
      <c r="F25766"/>
    </row>
    <row r="25767" spans="1:6" x14ac:dyDescent="0.25">
      <c r="A25767"/>
      <c r="B25767"/>
      <c r="C25767"/>
      <c r="E25767"/>
      <c r="F25767"/>
    </row>
    <row r="25768" spans="1:6" x14ac:dyDescent="0.25">
      <c r="A25768"/>
      <c r="B25768"/>
      <c r="C25768"/>
      <c r="E25768"/>
      <c r="F25768"/>
    </row>
    <row r="25769" spans="1:6" x14ac:dyDescent="0.25">
      <c r="A25769"/>
      <c r="B25769"/>
      <c r="C25769"/>
      <c r="E25769"/>
      <c r="F25769"/>
    </row>
    <row r="25770" spans="1:6" x14ac:dyDescent="0.25">
      <c r="A25770"/>
      <c r="B25770"/>
      <c r="C25770"/>
      <c r="E25770"/>
      <c r="F25770"/>
    </row>
    <row r="25771" spans="1:6" x14ac:dyDescent="0.25">
      <c r="A25771"/>
      <c r="B25771"/>
      <c r="C25771"/>
      <c r="E25771"/>
      <c r="F25771"/>
    </row>
    <row r="25772" spans="1:6" x14ac:dyDescent="0.25">
      <c r="A25772"/>
      <c r="B25772"/>
      <c r="C25772"/>
      <c r="E25772"/>
      <c r="F25772"/>
    </row>
    <row r="25773" spans="1:6" x14ac:dyDescent="0.25">
      <c r="A25773"/>
      <c r="B25773"/>
      <c r="C25773"/>
      <c r="E25773"/>
      <c r="F25773"/>
    </row>
    <row r="25774" spans="1:6" x14ac:dyDescent="0.25">
      <c r="A25774"/>
      <c r="B25774"/>
      <c r="C25774"/>
      <c r="E25774"/>
      <c r="F25774"/>
    </row>
    <row r="25775" spans="1:6" x14ac:dyDescent="0.25">
      <c r="A25775"/>
      <c r="B25775"/>
      <c r="C25775"/>
      <c r="E25775"/>
      <c r="F25775"/>
    </row>
    <row r="25776" spans="1:6" x14ac:dyDescent="0.25">
      <c r="A25776"/>
      <c r="B25776"/>
      <c r="C25776"/>
      <c r="E25776"/>
      <c r="F25776"/>
    </row>
    <row r="25777" spans="1:6" x14ac:dyDescent="0.25">
      <c r="A25777"/>
      <c r="B25777"/>
      <c r="C25777"/>
      <c r="E25777"/>
      <c r="F25777"/>
    </row>
    <row r="25778" spans="1:6" x14ac:dyDescent="0.25">
      <c r="A25778"/>
      <c r="B25778"/>
      <c r="C25778"/>
      <c r="E25778"/>
      <c r="F25778"/>
    </row>
    <row r="25779" spans="1:6" x14ac:dyDescent="0.25">
      <c r="A25779"/>
      <c r="B25779"/>
      <c r="C25779"/>
      <c r="E25779"/>
      <c r="F25779"/>
    </row>
    <row r="25780" spans="1:6" x14ac:dyDescent="0.25">
      <c r="A25780"/>
      <c r="B25780"/>
      <c r="C25780"/>
      <c r="E25780"/>
      <c r="F25780"/>
    </row>
    <row r="25781" spans="1:6" x14ac:dyDescent="0.25">
      <c r="A25781"/>
      <c r="B25781"/>
      <c r="C25781"/>
      <c r="E25781"/>
      <c r="F25781"/>
    </row>
    <row r="25782" spans="1:6" x14ac:dyDescent="0.25">
      <c r="A25782"/>
      <c r="B25782"/>
      <c r="C25782"/>
      <c r="E25782"/>
      <c r="F25782"/>
    </row>
    <row r="25783" spans="1:6" x14ac:dyDescent="0.25">
      <c r="A25783"/>
      <c r="B25783"/>
      <c r="C25783"/>
      <c r="E25783"/>
      <c r="F25783"/>
    </row>
    <row r="25784" spans="1:6" x14ac:dyDescent="0.25">
      <c r="A25784"/>
      <c r="B25784"/>
      <c r="C25784"/>
      <c r="E25784"/>
      <c r="F25784"/>
    </row>
    <row r="25785" spans="1:6" x14ac:dyDescent="0.25">
      <c r="A25785"/>
      <c r="B25785"/>
      <c r="C25785"/>
      <c r="E25785"/>
      <c r="F25785"/>
    </row>
    <row r="25786" spans="1:6" x14ac:dyDescent="0.25">
      <c r="A25786"/>
      <c r="B25786"/>
      <c r="C25786"/>
      <c r="E25786"/>
      <c r="F25786"/>
    </row>
    <row r="25787" spans="1:6" x14ac:dyDescent="0.25">
      <c r="A25787"/>
      <c r="B25787"/>
      <c r="C25787"/>
      <c r="E25787"/>
      <c r="F25787"/>
    </row>
    <row r="25788" spans="1:6" x14ac:dyDescent="0.25">
      <c r="A25788"/>
      <c r="B25788"/>
      <c r="C25788"/>
      <c r="E25788"/>
      <c r="F25788"/>
    </row>
    <row r="25789" spans="1:6" x14ac:dyDescent="0.25">
      <c r="A25789"/>
      <c r="B25789"/>
      <c r="C25789"/>
      <c r="E25789"/>
      <c r="F25789"/>
    </row>
    <row r="25790" spans="1:6" x14ac:dyDescent="0.25">
      <c r="A25790"/>
      <c r="B25790"/>
      <c r="C25790"/>
      <c r="E25790"/>
      <c r="F25790"/>
    </row>
    <row r="25791" spans="1:6" x14ac:dyDescent="0.25">
      <c r="A25791"/>
      <c r="B25791"/>
      <c r="C25791"/>
      <c r="E25791"/>
      <c r="F25791"/>
    </row>
    <row r="25792" spans="1:6" x14ac:dyDescent="0.25">
      <c r="A25792"/>
      <c r="B25792"/>
      <c r="C25792"/>
      <c r="E25792"/>
      <c r="F25792"/>
    </row>
    <row r="25793" spans="1:6" x14ac:dyDescent="0.25">
      <c r="A25793"/>
      <c r="B25793"/>
      <c r="C25793"/>
      <c r="E25793"/>
      <c r="F25793"/>
    </row>
    <row r="25794" spans="1:6" x14ac:dyDescent="0.25">
      <c r="A25794"/>
      <c r="B25794"/>
      <c r="C25794"/>
      <c r="E25794"/>
      <c r="F25794"/>
    </row>
    <row r="25795" spans="1:6" x14ac:dyDescent="0.25">
      <c r="A25795"/>
      <c r="B25795"/>
      <c r="C25795"/>
      <c r="E25795"/>
      <c r="F25795"/>
    </row>
    <row r="25796" spans="1:6" x14ac:dyDescent="0.25">
      <c r="A25796"/>
      <c r="B25796"/>
      <c r="C25796"/>
      <c r="E25796"/>
      <c r="F25796"/>
    </row>
    <row r="25797" spans="1:6" x14ac:dyDescent="0.25">
      <c r="A25797"/>
      <c r="B25797"/>
      <c r="C25797"/>
      <c r="E25797"/>
      <c r="F25797"/>
    </row>
    <row r="25798" spans="1:6" x14ac:dyDescent="0.25">
      <c r="A25798"/>
      <c r="B25798"/>
      <c r="C25798"/>
      <c r="E25798"/>
      <c r="F25798"/>
    </row>
    <row r="25799" spans="1:6" x14ac:dyDescent="0.25">
      <c r="A25799"/>
      <c r="B25799"/>
      <c r="C25799"/>
      <c r="E25799"/>
      <c r="F25799"/>
    </row>
    <row r="25800" spans="1:6" x14ac:dyDescent="0.25">
      <c r="A25800"/>
      <c r="B25800"/>
      <c r="C25800"/>
      <c r="E25800"/>
      <c r="F25800"/>
    </row>
    <row r="25801" spans="1:6" x14ac:dyDescent="0.25">
      <c r="A25801"/>
      <c r="B25801"/>
      <c r="C25801"/>
      <c r="E25801"/>
      <c r="F25801"/>
    </row>
    <row r="25802" spans="1:6" x14ac:dyDescent="0.25">
      <c r="A25802"/>
      <c r="B25802"/>
      <c r="C25802"/>
      <c r="E25802"/>
      <c r="F25802"/>
    </row>
    <row r="25803" spans="1:6" x14ac:dyDescent="0.25">
      <c r="A25803"/>
      <c r="B25803"/>
      <c r="C25803"/>
      <c r="E25803"/>
      <c r="F25803"/>
    </row>
    <row r="25804" spans="1:6" x14ac:dyDescent="0.25">
      <c r="A25804"/>
      <c r="B25804"/>
      <c r="C25804"/>
      <c r="E25804"/>
      <c r="F25804"/>
    </row>
    <row r="25805" spans="1:6" x14ac:dyDescent="0.25">
      <c r="A25805"/>
      <c r="B25805"/>
      <c r="C25805"/>
      <c r="E25805"/>
      <c r="F25805"/>
    </row>
    <row r="25806" spans="1:6" x14ac:dyDescent="0.25">
      <c r="A25806"/>
      <c r="B25806"/>
      <c r="C25806"/>
      <c r="E25806"/>
      <c r="F25806"/>
    </row>
    <row r="25807" spans="1:6" x14ac:dyDescent="0.25">
      <c r="A25807"/>
      <c r="B25807"/>
      <c r="C25807"/>
      <c r="E25807"/>
      <c r="F25807"/>
    </row>
    <row r="25808" spans="1:6" x14ac:dyDescent="0.25">
      <c r="A25808"/>
      <c r="B25808"/>
      <c r="C25808"/>
      <c r="E25808"/>
      <c r="F25808"/>
    </row>
    <row r="25809" spans="1:6" x14ac:dyDescent="0.25">
      <c r="A25809"/>
      <c r="B25809"/>
      <c r="C25809"/>
      <c r="E25809"/>
      <c r="F25809"/>
    </row>
    <row r="25810" spans="1:6" x14ac:dyDescent="0.25">
      <c r="A25810"/>
      <c r="B25810"/>
      <c r="C25810"/>
      <c r="E25810"/>
      <c r="F25810"/>
    </row>
    <row r="25811" spans="1:6" x14ac:dyDescent="0.25">
      <c r="A25811"/>
      <c r="B25811"/>
      <c r="C25811"/>
      <c r="E25811"/>
      <c r="F25811"/>
    </row>
    <row r="25812" spans="1:6" x14ac:dyDescent="0.25">
      <c r="A25812"/>
      <c r="B25812"/>
      <c r="C25812"/>
      <c r="E25812"/>
      <c r="F25812"/>
    </row>
    <row r="25813" spans="1:6" x14ac:dyDescent="0.25">
      <c r="A25813"/>
      <c r="B25813"/>
      <c r="C25813"/>
      <c r="E25813"/>
      <c r="F25813"/>
    </row>
    <row r="25814" spans="1:6" x14ac:dyDescent="0.25">
      <c r="A25814"/>
      <c r="B25814"/>
      <c r="C25814"/>
      <c r="E25814"/>
      <c r="F25814"/>
    </row>
    <row r="25815" spans="1:6" x14ac:dyDescent="0.25">
      <c r="A25815"/>
      <c r="B25815"/>
      <c r="C25815"/>
      <c r="E25815"/>
      <c r="F25815"/>
    </row>
    <row r="25816" spans="1:6" x14ac:dyDescent="0.25">
      <c r="A25816"/>
      <c r="B25816"/>
      <c r="C25816"/>
      <c r="E25816"/>
      <c r="F25816"/>
    </row>
    <row r="25817" spans="1:6" x14ac:dyDescent="0.25">
      <c r="A25817"/>
      <c r="B25817"/>
      <c r="C25817"/>
      <c r="E25817"/>
      <c r="F25817"/>
    </row>
    <row r="25818" spans="1:6" x14ac:dyDescent="0.25">
      <c r="A25818"/>
      <c r="B25818"/>
      <c r="C25818"/>
      <c r="E25818"/>
      <c r="F25818"/>
    </row>
    <row r="25819" spans="1:6" x14ac:dyDescent="0.25">
      <c r="A25819"/>
      <c r="B25819"/>
      <c r="C25819"/>
      <c r="E25819"/>
      <c r="F25819"/>
    </row>
    <row r="25820" spans="1:6" x14ac:dyDescent="0.25">
      <c r="A25820"/>
      <c r="B25820"/>
      <c r="C25820"/>
      <c r="E25820"/>
      <c r="F25820"/>
    </row>
    <row r="25821" spans="1:6" x14ac:dyDescent="0.25">
      <c r="A25821"/>
      <c r="B25821"/>
      <c r="C25821"/>
      <c r="E25821"/>
      <c r="F25821"/>
    </row>
    <row r="25822" spans="1:6" x14ac:dyDescent="0.25">
      <c r="A25822"/>
      <c r="B25822"/>
      <c r="C25822"/>
      <c r="E25822"/>
      <c r="F25822"/>
    </row>
    <row r="25823" spans="1:6" x14ac:dyDescent="0.25">
      <c r="A25823"/>
      <c r="B25823"/>
      <c r="C25823"/>
      <c r="E25823"/>
      <c r="F25823"/>
    </row>
    <row r="25824" spans="1:6" x14ac:dyDescent="0.25">
      <c r="A25824"/>
      <c r="B25824"/>
      <c r="C25824"/>
      <c r="E25824"/>
      <c r="F25824"/>
    </row>
    <row r="25825" spans="1:6" x14ac:dyDescent="0.25">
      <c r="A25825"/>
      <c r="B25825"/>
      <c r="C25825"/>
      <c r="E25825"/>
      <c r="F25825"/>
    </row>
    <row r="25826" spans="1:6" x14ac:dyDescent="0.25">
      <c r="A25826"/>
      <c r="B25826"/>
      <c r="C25826"/>
      <c r="E25826"/>
      <c r="F25826"/>
    </row>
    <row r="25827" spans="1:6" x14ac:dyDescent="0.25">
      <c r="A25827"/>
      <c r="B25827"/>
      <c r="C25827"/>
      <c r="E25827"/>
      <c r="F25827"/>
    </row>
    <row r="25828" spans="1:6" x14ac:dyDescent="0.25">
      <c r="A25828"/>
      <c r="B25828"/>
      <c r="C25828"/>
      <c r="E25828"/>
      <c r="F25828"/>
    </row>
    <row r="25829" spans="1:6" x14ac:dyDescent="0.25">
      <c r="A25829"/>
      <c r="B25829"/>
      <c r="C25829"/>
      <c r="E25829"/>
      <c r="F25829"/>
    </row>
    <row r="25830" spans="1:6" x14ac:dyDescent="0.25">
      <c r="A25830"/>
      <c r="B25830"/>
      <c r="C25830"/>
      <c r="E25830"/>
      <c r="F25830"/>
    </row>
    <row r="25831" spans="1:6" x14ac:dyDescent="0.25">
      <c r="A25831"/>
      <c r="B25831"/>
      <c r="C25831"/>
      <c r="E25831"/>
      <c r="F25831"/>
    </row>
    <row r="25832" spans="1:6" x14ac:dyDescent="0.25">
      <c r="A25832"/>
      <c r="B25832"/>
      <c r="C25832"/>
      <c r="E25832"/>
      <c r="F25832"/>
    </row>
    <row r="25833" spans="1:6" x14ac:dyDescent="0.25">
      <c r="A25833"/>
      <c r="B25833"/>
      <c r="C25833"/>
      <c r="E25833"/>
      <c r="F25833"/>
    </row>
    <row r="25834" spans="1:6" x14ac:dyDescent="0.25">
      <c r="A25834"/>
      <c r="B25834"/>
      <c r="C25834"/>
      <c r="E25834"/>
      <c r="F25834"/>
    </row>
    <row r="25835" spans="1:6" x14ac:dyDescent="0.25">
      <c r="A25835"/>
      <c r="B25835"/>
      <c r="C25835"/>
      <c r="E25835"/>
      <c r="F25835"/>
    </row>
    <row r="25836" spans="1:6" x14ac:dyDescent="0.25">
      <c r="A25836"/>
      <c r="B25836"/>
      <c r="C25836"/>
      <c r="E25836"/>
      <c r="F25836"/>
    </row>
    <row r="25837" spans="1:6" x14ac:dyDescent="0.25">
      <c r="A25837"/>
      <c r="B25837"/>
      <c r="C25837"/>
      <c r="E25837"/>
      <c r="F25837"/>
    </row>
    <row r="25838" spans="1:6" x14ac:dyDescent="0.25">
      <c r="A25838"/>
      <c r="B25838"/>
      <c r="C25838"/>
      <c r="E25838"/>
      <c r="F25838"/>
    </row>
    <row r="25839" spans="1:6" x14ac:dyDescent="0.25">
      <c r="A25839"/>
      <c r="B25839"/>
      <c r="C25839"/>
      <c r="E25839"/>
      <c r="F25839"/>
    </row>
    <row r="25840" spans="1:6" x14ac:dyDescent="0.25">
      <c r="A25840"/>
      <c r="B25840"/>
      <c r="C25840"/>
      <c r="E25840"/>
      <c r="F25840"/>
    </row>
    <row r="25841" spans="1:6" x14ac:dyDescent="0.25">
      <c r="A25841"/>
      <c r="B25841"/>
      <c r="C25841"/>
      <c r="E25841"/>
      <c r="F25841"/>
    </row>
    <row r="25842" spans="1:6" x14ac:dyDescent="0.25">
      <c r="A25842"/>
      <c r="B25842"/>
      <c r="C25842"/>
      <c r="E25842"/>
      <c r="F25842"/>
    </row>
    <row r="25843" spans="1:6" x14ac:dyDescent="0.25">
      <c r="A25843"/>
      <c r="B25843"/>
      <c r="C25843"/>
      <c r="E25843"/>
      <c r="F25843"/>
    </row>
    <row r="25844" spans="1:6" x14ac:dyDescent="0.25">
      <c r="A25844"/>
      <c r="B25844"/>
      <c r="C25844"/>
      <c r="E25844"/>
      <c r="F25844"/>
    </row>
    <row r="25845" spans="1:6" x14ac:dyDescent="0.25">
      <c r="A25845"/>
      <c r="B25845"/>
      <c r="C25845"/>
      <c r="E25845"/>
      <c r="F25845"/>
    </row>
    <row r="25846" spans="1:6" x14ac:dyDescent="0.25">
      <c r="A25846"/>
      <c r="B25846"/>
      <c r="C25846"/>
      <c r="E25846"/>
      <c r="F25846"/>
    </row>
    <row r="25847" spans="1:6" x14ac:dyDescent="0.25">
      <c r="A25847"/>
      <c r="B25847"/>
      <c r="C25847"/>
      <c r="E25847"/>
      <c r="F25847"/>
    </row>
    <row r="25848" spans="1:6" x14ac:dyDescent="0.25">
      <c r="A25848"/>
      <c r="B25848"/>
      <c r="C25848"/>
      <c r="E25848"/>
      <c r="F25848"/>
    </row>
    <row r="25849" spans="1:6" x14ac:dyDescent="0.25">
      <c r="A25849"/>
      <c r="B25849"/>
      <c r="C25849"/>
      <c r="E25849"/>
      <c r="F25849"/>
    </row>
    <row r="25850" spans="1:6" x14ac:dyDescent="0.25">
      <c r="A25850"/>
      <c r="B25850"/>
      <c r="C25850"/>
      <c r="E25850"/>
      <c r="F25850"/>
    </row>
    <row r="25851" spans="1:6" x14ac:dyDescent="0.25">
      <c r="A25851"/>
      <c r="B25851"/>
      <c r="C25851"/>
      <c r="E25851"/>
      <c r="F25851"/>
    </row>
    <row r="25852" spans="1:6" x14ac:dyDescent="0.25">
      <c r="A25852"/>
      <c r="B25852"/>
      <c r="C25852"/>
      <c r="E25852"/>
      <c r="F25852"/>
    </row>
    <row r="25853" spans="1:6" x14ac:dyDescent="0.25">
      <c r="A25853"/>
      <c r="B25853"/>
      <c r="C25853"/>
      <c r="E25853"/>
      <c r="F25853"/>
    </row>
    <row r="25854" spans="1:6" x14ac:dyDescent="0.25">
      <c r="A25854"/>
      <c r="B25854"/>
      <c r="C25854"/>
      <c r="E25854"/>
      <c r="F25854"/>
    </row>
    <row r="25855" spans="1:6" x14ac:dyDescent="0.25">
      <c r="A25855"/>
      <c r="B25855"/>
      <c r="C25855"/>
      <c r="E25855"/>
      <c r="F25855"/>
    </row>
    <row r="25856" spans="1:6" x14ac:dyDescent="0.25">
      <c r="A25856"/>
      <c r="B25856"/>
      <c r="C25856"/>
      <c r="E25856"/>
      <c r="F25856"/>
    </row>
    <row r="25857" spans="1:6" x14ac:dyDescent="0.25">
      <c r="A25857"/>
      <c r="B25857"/>
      <c r="C25857"/>
      <c r="E25857"/>
      <c r="F25857"/>
    </row>
    <row r="25858" spans="1:6" x14ac:dyDescent="0.25">
      <c r="A25858"/>
      <c r="B25858"/>
      <c r="C25858"/>
      <c r="E25858"/>
      <c r="F25858"/>
    </row>
    <row r="25859" spans="1:6" x14ac:dyDescent="0.25">
      <c r="A25859"/>
      <c r="B25859"/>
      <c r="C25859"/>
      <c r="E25859"/>
      <c r="F25859"/>
    </row>
    <row r="25860" spans="1:6" x14ac:dyDescent="0.25">
      <c r="A25860"/>
      <c r="B25860"/>
      <c r="C25860"/>
      <c r="E25860"/>
      <c r="F25860"/>
    </row>
    <row r="25861" spans="1:6" x14ac:dyDescent="0.25">
      <c r="A25861"/>
      <c r="B25861"/>
      <c r="C25861"/>
      <c r="E25861"/>
      <c r="F25861"/>
    </row>
    <row r="25862" spans="1:6" x14ac:dyDescent="0.25">
      <c r="A25862"/>
      <c r="B25862"/>
      <c r="C25862"/>
      <c r="E25862"/>
      <c r="F25862"/>
    </row>
    <row r="25863" spans="1:6" x14ac:dyDescent="0.25">
      <c r="A25863"/>
      <c r="B25863"/>
      <c r="C25863"/>
      <c r="E25863"/>
      <c r="F25863"/>
    </row>
    <row r="25864" spans="1:6" x14ac:dyDescent="0.25">
      <c r="A25864"/>
      <c r="B25864"/>
      <c r="C25864"/>
      <c r="E25864"/>
      <c r="F25864"/>
    </row>
    <row r="25865" spans="1:6" x14ac:dyDescent="0.25">
      <c r="A25865"/>
      <c r="B25865"/>
      <c r="C25865"/>
      <c r="E25865"/>
      <c r="F25865"/>
    </row>
    <row r="25866" spans="1:6" x14ac:dyDescent="0.25">
      <c r="A25866"/>
      <c r="B25866"/>
      <c r="C25866"/>
      <c r="E25866"/>
      <c r="F25866"/>
    </row>
    <row r="25867" spans="1:6" x14ac:dyDescent="0.25">
      <c r="A25867"/>
      <c r="B25867"/>
      <c r="C25867"/>
      <c r="E25867"/>
      <c r="F25867"/>
    </row>
    <row r="25868" spans="1:6" x14ac:dyDescent="0.25">
      <c r="A25868"/>
      <c r="B25868"/>
      <c r="C25868"/>
      <c r="E25868"/>
      <c r="F25868"/>
    </row>
    <row r="25869" spans="1:6" x14ac:dyDescent="0.25">
      <c r="A25869"/>
      <c r="B25869"/>
      <c r="C25869"/>
      <c r="E25869"/>
      <c r="F25869"/>
    </row>
    <row r="25870" spans="1:6" x14ac:dyDescent="0.25">
      <c r="A25870"/>
      <c r="B25870"/>
      <c r="C25870"/>
      <c r="E25870"/>
      <c r="F25870"/>
    </row>
    <row r="25871" spans="1:6" x14ac:dyDescent="0.25">
      <c r="A25871"/>
      <c r="B25871"/>
      <c r="C25871"/>
      <c r="E25871"/>
      <c r="F25871"/>
    </row>
    <row r="25872" spans="1:6" x14ac:dyDescent="0.25">
      <c r="A25872"/>
      <c r="B25872"/>
      <c r="C25872"/>
      <c r="E25872"/>
      <c r="F25872"/>
    </row>
    <row r="25873" spans="1:6" x14ac:dyDescent="0.25">
      <c r="A25873"/>
      <c r="B25873"/>
      <c r="C25873"/>
      <c r="E25873"/>
      <c r="F25873"/>
    </row>
    <row r="25874" spans="1:6" x14ac:dyDescent="0.25">
      <c r="A25874"/>
      <c r="B25874"/>
      <c r="C25874"/>
      <c r="E25874"/>
      <c r="F25874"/>
    </row>
    <row r="25875" spans="1:6" x14ac:dyDescent="0.25">
      <c r="A25875"/>
      <c r="B25875"/>
      <c r="C25875"/>
      <c r="E25875"/>
      <c r="F25875"/>
    </row>
    <row r="25876" spans="1:6" x14ac:dyDescent="0.25">
      <c r="A25876"/>
      <c r="B25876"/>
      <c r="C25876"/>
      <c r="E25876"/>
      <c r="F25876"/>
    </row>
    <row r="25877" spans="1:6" x14ac:dyDescent="0.25">
      <c r="A25877"/>
      <c r="B25877"/>
      <c r="C25877"/>
      <c r="E25877"/>
      <c r="F25877"/>
    </row>
    <row r="25878" spans="1:6" x14ac:dyDescent="0.25">
      <c r="A25878"/>
      <c r="B25878"/>
      <c r="C25878"/>
      <c r="E25878"/>
      <c r="F25878"/>
    </row>
    <row r="25879" spans="1:6" x14ac:dyDescent="0.25">
      <c r="A25879"/>
      <c r="B25879"/>
      <c r="C25879"/>
      <c r="E25879"/>
      <c r="F25879"/>
    </row>
    <row r="25880" spans="1:6" x14ac:dyDescent="0.25">
      <c r="A25880"/>
      <c r="B25880"/>
      <c r="C25880"/>
      <c r="E25880"/>
      <c r="F25880"/>
    </row>
    <row r="25881" spans="1:6" x14ac:dyDescent="0.25">
      <c r="A25881"/>
      <c r="B25881"/>
      <c r="C25881"/>
      <c r="E25881"/>
      <c r="F25881"/>
    </row>
    <row r="25882" spans="1:6" x14ac:dyDescent="0.25">
      <c r="A25882"/>
      <c r="B25882"/>
      <c r="C25882"/>
      <c r="E25882"/>
      <c r="F25882"/>
    </row>
    <row r="25883" spans="1:6" x14ac:dyDescent="0.25">
      <c r="A25883"/>
      <c r="B25883"/>
      <c r="C25883"/>
      <c r="E25883"/>
      <c r="F25883"/>
    </row>
    <row r="25884" spans="1:6" x14ac:dyDescent="0.25">
      <c r="A25884"/>
      <c r="B25884"/>
      <c r="C25884"/>
      <c r="E25884"/>
      <c r="F25884"/>
    </row>
    <row r="25885" spans="1:6" x14ac:dyDescent="0.25">
      <c r="A25885"/>
      <c r="B25885"/>
      <c r="C25885"/>
      <c r="E25885"/>
      <c r="F25885"/>
    </row>
    <row r="25886" spans="1:6" x14ac:dyDescent="0.25">
      <c r="A25886"/>
      <c r="B25886"/>
      <c r="C25886"/>
      <c r="E25886"/>
      <c r="F25886"/>
    </row>
    <row r="25887" spans="1:6" x14ac:dyDescent="0.25">
      <c r="A25887"/>
      <c r="B25887"/>
      <c r="C25887"/>
      <c r="E25887"/>
      <c r="F25887"/>
    </row>
    <row r="25888" spans="1:6" x14ac:dyDescent="0.25">
      <c r="A25888"/>
      <c r="B25888"/>
      <c r="C25888"/>
      <c r="E25888"/>
      <c r="F25888"/>
    </row>
    <row r="25889" spans="1:6" x14ac:dyDescent="0.25">
      <c r="A25889"/>
      <c r="B25889"/>
      <c r="C25889"/>
      <c r="E25889"/>
      <c r="F25889"/>
    </row>
    <row r="25890" spans="1:6" x14ac:dyDescent="0.25">
      <c r="A25890"/>
      <c r="B25890"/>
      <c r="C25890"/>
      <c r="E25890"/>
      <c r="F25890"/>
    </row>
    <row r="25891" spans="1:6" x14ac:dyDescent="0.25">
      <c r="A25891"/>
      <c r="B25891"/>
      <c r="C25891"/>
      <c r="E25891"/>
      <c r="F25891"/>
    </row>
    <row r="25892" spans="1:6" x14ac:dyDescent="0.25">
      <c r="A25892"/>
      <c r="B25892"/>
      <c r="C25892"/>
      <c r="E25892"/>
      <c r="F25892"/>
    </row>
    <row r="25893" spans="1:6" x14ac:dyDescent="0.25">
      <c r="A25893"/>
      <c r="B25893"/>
      <c r="C25893"/>
      <c r="E25893"/>
      <c r="F25893"/>
    </row>
    <row r="25894" spans="1:6" x14ac:dyDescent="0.25">
      <c r="A25894"/>
      <c r="B25894"/>
      <c r="C25894"/>
      <c r="E25894"/>
      <c r="F25894"/>
    </row>
    <row r="25895" spans="1:6" x14ac:dyDescent="0.25">
      <c r="A25895"/>
      <c r="B25895"/>
      <c r="C25895"/>
      <c r="E25895"/>
      <c r="F25895"/>
    </row>
    <row r="25896" spans="1:6" x14ac:dyDescent="0.25">
      <c r="A25896"/>
      <c r="B25896"/>
      <c r="C25896"/>
      <c r="E25896"/>
      <c r="F25896"/>
    </row>
    <row r="25897" spans="1:6" x14ac:dyDescent="0.25">
      <c r="A25897"/>
      <c r="B25897"/>
      <c r="C25897"/>
      <c r="E25897"/>
      <c r="F25897"/>
    </row>
    <row r="25898" spans="1:6" x14ac:dyDescent="0.25">
      <c r="A25898"/>
      <c r="B25898"/>
      <c r="C25898"/>
      <c r="E25898"/>
      <c r="F25898"/>
    </row>
    <row r="25899" spans="1:6" x14ac:dyDescent="0.25">
      <c r="A25899"/>
      <c r="B25899"/>
      <c r="C25899"/>
      <c r="E25899"/>
      <c r="F25899"/>
    </row>
    <row r="25900" spans="1:6" x14ac:dyDescent="0.25">
      <c r="A25900"/>
      <c r="B25900"/>
      <c r="C25900"/>
      <c r="E25900"/>
      <c r="F25900"/>
    </row>
    <row r="25901" spans="1:6" x14ac:dyDescent="0.25">
      <c r="A25901"/>
      <c r="B25901"/>
      <c r="C25901"/>
      <c r="E25901"/>
      <c r="F25901"/>
    </row>
    <row r="25902" spans="1:6" x14ac:dyDescent="0.25">
      <c r="A25902"/>
      <c r="B25902"/>
      <c r="C25902"/>
      <c r="E25902"/>
      <c r="F25902"/>
    </row>
    <row r="25903" spans="1:6" x14ac:dyDescent="0.25">
      <c r="A25903"/>
      <c r="B25903"/>
      <c r="C25903"/>
      <c r="E25903"/>
      <c r="F25903"/>
    </row>
    <row r="25904" spans="1:6" x14ac:dyDescent="0.25">
      <c r="A25904"/>
      <c r="B25904"/>
      <c r="C25904"/>
      <c r="E25904"/>
      <c r="F25904"/>
    </row>
    <row r="25905" spans="1:6" x14ac:dyDescent="0.25">
      <c r="A25905"/>
      <c r="B25905"/>
      <c r="C25905"/>
      <c r="E25905"/>
      <c r="F25905"/>
    </row>
    <row r="25906" spans="1:6" x14ac:dyDescent="0.25">
      <c r="A25906"/>
      <c r="B25906"/>
      <c r="C25906"/>
      <c r="E25906"/>
      <c r="F25906"/>
    </row>
    <row r="25907" spans="1:6" x14ac:dyDescent="0.25">
      <c r="A25907"/>
      <c r="B25907"/>
      <c r="C25907"/>
      <c r="E25907"/>
      <c r="F25907"/>
    </row>
    <row r="25908" spans="1:6" x14ac:dyDescent="0.25">
      <c r="A25908"/>
      <c r="B25908"/>
      <c r="C25908"/>
      <c r="E25908"/>
      <c r="F25908"/>
    </row>
    <row r="25909" spans="1:6" x14ac:dyDescent="0.25">
      <c r="A25909"/>
      <c r="B25909"/>
      <c r="C25909"/>
      <c r="E25909"/>
      <c r="F25909"/>
    </row>
    <row r="25910" spans="1:6" x14ac:dyDescent="0.25">
      <c r="A25910"/>
      <c r="B25910"/>
      <c r="C25910"/>
      <c r="E25910"/>
      <c r="F25910"/>
    </row>
    <row r="25911" spans="1:6" x14ac:dyDescent="0.25">
      <c r="A25911"/>
      <c r="B25911"/>
      <c r="C25911"/>
      <c r="E25911"/>
      <c r="F25911"/>
    </row>
    <row r="25912" spans="1:6" x14ac:dyDescent="0.25">
      <c r="A25912"/>
      <c r="B25912"/>
      <c r="C25912"/>
      <c r="E25912"/>
      <c r="F25912"/>
    </row>
    <row r="25913" spans="1:6" x14ac:dyDescent="0.25">
      <c r="A25913"/>
      <c r="B25913"/>
      <c r="C25913"/>
      <c r="E25913"/>
      <c r="F25913"/>
    </row>
    <row r="25914" spans="1:6" x14ac:dyDescent="0.25">
      <c r="A25914"/>
      <c r="B25914"/>
      <c r="C25914"/>
      <c r="E25914"/>
      <c r="F25914"/>
    </row>
    <row r="25915" spans="1:6" x14ac:dyDescent="0.25">
      <c r="A25915"/>
      <c r="B25915"/>
      <c r="C25915"/>
      <c r="E25915"/>
      <c r="F25915"/>
    </row>
    <row r="25916" spans="1:6" x14ac:dyDescent="0.25">
      <c r="A25916"/>
      <c r="B25916"/>
      <c r="C25916"/>
      <c r="E25916"/>
      <c r="F25916"/>
    </row>
    <row r="25917" spans="1:6" x14ac:dyDescent="0.25">
      <c r="A25917"/>
      <c r="B25917"/>
      <c r="C25917"/>
      <c r="E25917"/>
      <c r="F25917"/>
    </row>
    <row r="25918" spans="1:6" x14ac:dyDescent="0.25">
      <c r="A25918"/>
      <c r="B25918"/>
      <c r="C25918"/>
      <c r="E25918"/>
      <c r="F25918"/>
    </row>
    <row r="25919" spans="1:6" x14ac:dyDescent="0.25">
      <c r="A25919"/>
      <c r="B25919"/>
      <c r="C25919"/>
      <c r="E25919"/>
      <c r="F25919"/>
    </row>
    <row r="25920" spans="1:6" x14ac:dyDescent="0.25">
      <c r="A25920"/>
      <c r="B25920"/>
      <c r="C25920"/>
      <c r="E25920"/>
      <c r="F25920"/>
    </row>
    <row r="25921" spans="1:6" x14ac:dyDescent="0.25">
      <c r="A25921"/>
      <c r="B25921"/>
      <c r="C25921"/>
      <c r="E25921"/>
      <c r="F25921"/>
    </row>
    <row r="25922" spans="1:6" x14ac:dyDescent="0.25">
      <c r="A25922"/>
      <c r="B25922"/>
      <c r="C25922"/>
      <c r="E25922"/>
      <c r="F25922"/>
    </row>
    <row r="25923" spans="1:6" x14ac:dyDescent="0.25">
      <c r="A25923"/>
      <c r="B25923"/>
      <c r="C25923"/>
      <c r="E25923"/>
      <c r="F25923"/>
    </row>
    <row r="25924" spans="1:6" x14ac:dyDescent="0.25">
      <c r="A25924"/>
      <c r="B25924"/>
      <c r="C25924"/>
      <c r="E25924"/>
      <c r="F25924"/>
    </row>
    <row r="25925" spans="1:6" x14ac:dyDescent="0.25">
      <c r="A25925"/>
      <c r="B25925"/>
      <c r="C25925"/>
      <c r="E25925"/>
      <c r="F25925"/>
    </row>
    <row r="25926" spans="1:6" x14ac:dyDescent="0.25">
      <c r="A25926"/>
      <c r="B25926"/>
      <c r="C25926"/>
      <c r="E25926"/>
      <c r="F25926"/>
    </row>
    <row r="25927" spans="1:6" x14ac:dyDescent="0.25">
      <c r="A25927"/>
      <c r="B25927"/>
      <c r="C25927"/>
      <c r="E25927"/>
      <c r="F25927"/>
    </row>
    <row r="25928" spans="1:6" x14ac:dyDescent="0.25">
      <c r="A25928"/>
      <c r="B25928"/>
      <c r="C25928"/>
      <c r="E25928"/>
      <c r="F25928"/>
    </row>
    <row r="25929" spans="1:6" x14ac:dyDescent="0.25">
      <c r="A25929"/>
      <c r="B25929"/>
      <c r="C25929"/>
      <c r="E25929"/>
      <c r="F25929"/>
    </row>
    <row r="25930" spans="1:6" x14ac:dyDescent="0.25">
      <c r="A25930"/>
      <c r="B25930"/>
      <c r="C25930"/>
      <c r="E25930"/>
      <c r="F25930"/>
    </row>
    <row r="25931" spans="1:6" x14ac:dyDescent="0.25">
      <c r="A25931"/>
      <c r="B25931"/>
      <c r="C25931"/>
      <c r="E25931"/>
      <c r="F25931"/>
    </row>
    <row r="25932" spans="1:6" x14ac:dyDescent="0.25">
      <c r="A25932"/>
      <c r="B25932"/>
      <c r="C25932"/>
      <c r="E25932"/>
      <c r="F25932"/>
    </row>
    <row r="25933" spans="1:6" x14ac:dyDescent="0.25">
      <c r="A25933"/>
      <c r="B25933"/>
      <c r="C25933"/>
      <c r="E25933"/>
      <c r="F25933"/>
    </row>
    <row r="25934" spans="1:6" x14ac:dyDescent="0.25">
      <c r="A25934"/>
      <c r="B25934"/>
      <c r="C25934"/>
      <c r="E25934"/>
      <c r="F25934"/>
    </row>
    <row r="25935" spans="1:6" x14ac:dyDescent="0.25">
      <c r="A25935"/>
      <c r="B25935"/>
      <c r="C25935"/>
      <c r="E25935"/>
      <c r="F25935"/>
    </row>
    <row r="25936" spans="1:6" x14ac:dyDescent="0.25">
      <c r="A25936"/>
      <c r="B25936"/>
      <c r="C25936"/>
      <c r="E25936"/>
      <c r="F25936"/>
    </row>
    <row r="25937" spans="1:6" x14ac:dyDescent="0.25">
      <c r="A25937"/>
      <c r="B25937"/>
      <c r="C25937"/>
      <c r="E25937"/>
      <c r="F25937"/>
    </row>
    <row r="25938" spans="1:6" x14ac:dyDescent="0.25">
      <c r="A25938"/>
      <c r="B25938"/>
      <c r="C25938"/>
      <c r="E25938"/>
      <c r="F25938"/>
    </row>
    <row r="25939" spans="1:6" x14ac:dyDescent="0.25">
      <c r="A25939"/>
      <c r="B25939"/>
      <c r="C25939"/>
      <c r="E25939"/>
      <c r="F25939"/>
    </row>
    <row r="25940" spans="1:6" x14ac:dyDescent="0.25">
      <c r="A25940"/>
      <c r="B25940"/>
      <c r="C25940"/>
      <c r="E25940"/>
      <c r="F25940"/>
    </row>
    <row r="25941" spans="1:6" x14ac:dyDescent="0.25">
      <c r="A25941"/>
      <c r="B25941"/>
      <c r="C25941"/>
      <c r="E25941"/>
      <c r="F25941"/>
    </row>
    <row r="25942" spans="1:6" x14ac:dyDescent="0.25">
      <c r="A25942"/>
      <c r="B25942"/>
      <c r="C25942"/>
      <c r="E25942"/>
      <c r="F25942"/>
    </row>
    <row r="25943" spans="1:6" x14ac:dyDescent="0.25">
      <c r="A25943"/>
      <c r="B25943"/>
      <c r="C25943"/>
      <c r="E25943"/>
      <c r="F25943"/>
    </row>
    <row r="25944" spans="1:6" x14ac:dyDescent="0.25">
      <c r="A25944"/>
      <c r="B25944"/>
      <c r="C25944"/>
      <c r="E25944"/>
      <c r="F25944"/>
    </row>
    <row r="25945" spans="1:6" x14ac:dyDescent="0.25">
      <c r="A25945"/>
      <c r="B25945"/>
      <c r="C25945"/>
      <c r="E25945"/>
      <c r="F25945"/>
    </row>
    <row r="25946" spans="1:6" x14ac:dyDescent="0.25">
      <c r="A25946"/>
      <c r="B25946"/>
      <c r="C25946"/>
      <c r="E25946"/>
      <c r="F25946"/>
    </row>
    <row r="25947" spans="1:6" x14ac:dyDescent="0.25">
      <c r="A25947"/>
      <c r="B25947"/>
      <c r="C25947"/>
      <c r="E25947"/>
      <c r="F25947"/>
    </row>
    <row r="25948" spans="1:6" x14ac:dyDescent="0.25">
      <c r="A25948"/>
      <c r="B25948"/>
      <c r="C25948"/>
      <c r="E25948"/>
      <c r="F25948"/>
    </row>
    <row r="25949" spans="1:6" x14ac:dyDescent="0.25">
      <c r="A25949"/>
      <c r="B25949"/>
      <c r="C25949"/>
      <c r="E25949"/>
      <c r="F25949"/>
    </row>
    <row r="25950" spans="1:6" x14ac:dyDescent="0.25">
      <c r="A25950"/>
      <c r="B25950"/>
      <c r="C25950"/>
      <c r="E25950"/>
      <c r="F25950"/>
    </row>
    <row r="25951" spans="1:6" x14ac:dyDescent="0.25">
      <c r="A25951"/>
      <c r="B25951"/>
      <c r="C25951"/>
      <c r="E25951"/>
      <c r="F25951"/>
    </row>
    <row r="25952" spans="1:6" x14ac:dyDescent="0.25">
      <c r="A25952"/>
      <c r="B25952"/>
      <c r="C25952"/>
      <c r="E25952"/>
      <c r="F25952"/>
    </row>
    <row r="25953" spans="1:6" x14ac:dyDescent="0.25">
      <c r="A25953"/>
      <c r="B25953"/>
      <c r="C25953"/>
      <c r="E25953"/>
      <c r="F25953"/>
    </row>
    <row r="25954" spans="1:6" x14ac:dyDescent="0.25">
      <c r="A25954"/>
      <c r="B25954"/>
      <c r="C25954"/>
      <c r="E25954"/>
      <c r="F25954"/>
    </row>
    <row r="25955" spans="1:6" x14ac:dyDescent="0.25">
      <c r="A25955"/>
      <c r="B25955"/>
      <c r="C25955"/>
      <c r="E25955"/>
      <c r="F25955"/>
    </row>
    <row r="25956" spans="1:6" x14ac:dyDescent="0.25">
      <c r="A25956"/>
      <c r="B25956"/>
      <c r="C25956"/>
      <c r="E25956"/>
      <c r="F25956"/>
    </row>
    <row r="25957" spans="1:6" x14ac:dyDescent="0.25">
      <c r="A25957"/>
      <c r="B25957"/>
      <c r="C25957"/>
      <c r="E25957"/>
      <c r="F25957"/>
    </row>
    <row r="25958" spans="1:6" x14ac:dyDescent="0.25">
      <c r="A25958"/>
      <c r="B25958"/>
      <c r="C25958"/>
      <c r="E25958"/>
      <c r="F25958"/>
    </row>
    <row r="25959" spans="1:6" x14ac:dyDescent="0.25">
      <c r="A25959"/>
      <c r="B25959"/>
      <c r="C25959"/>
      <c r="E25959"/>
      <c r="F25959"/>
    </row>
    <row r="25960" spans="1:6" x14ac:dyDescent="0.25">
      <c r="A25960"/>
      <c r="B25960"/>
      <c r="C25960"/>
      <c r="E25960"/>
      <c r="F25960"/>
    </row>
    <row r="25961" spans="1:6" x14ac:dyDescent="0.25">
      <c r="A25961"/>
      <c r="B25961"/>
      <c r="C25961"/>
      <c r="E25961"/>
      <c r="F25961"/>
    </row>
    <row r="25962" spans="1:6" x14ac:dyDescent="0.25">
      <c r="A25962"/>
      <c r="B25962"/>
      <c r="C25962"/>
      <c r="E25962"/>
      <c r="F25962"/>
    </row>
    <row r="25963" spans="1:6" x14ac:dyDescent="0.25">
      <c r="A25963"/>
      <c r="B25963"/>
      <c r="C25963"/>
      <c r="E25963"/>
      <c r="F25963"/>
    </row>
    <row r="25964" spans="1:6" x14ac:dyDescent="0.25">
      <c r="A25964"/>
      <c r="B25964"/>
      <c r="C25964"/>
      <c r="E25964"/>
      <c r="F25964"/>
    </row>
    <row r="25965" spans="1:6" x14ac:dyDescent="0.25">
      <c r="A25965"/>
      <c r="B25965"/>
      <c r="C25965"/>
      <c r="E25965"/>
      <c r="F25965"/>
    </row>
    <row r="25966" spans="1:6" x14ac:dyDescent="0.25">
      <c r="A25966"/>
      <c r="B25966"/>
      <c r="C25966"/>
      <c r="E25966"/>
      <c r="F25966"/>
    </row>
    <row r="25967" spans="1:6" x14ac:dyDescent="0.25">
      <c r="A25967"/>
      <c r="B25967"/>
      <c r="C25967"/>
      <c r="E25967"/>
      <c r="F25967"/>
    </row>
    <row r="25968" spans="1:6" x14ac:dyDescent="0.25">
      <c r="A25968"/>
      <c r="B25968"/>
      <c r="C25968"/>
      <c r="E25968"/>
      <c r="F25968"/>
    </row>
    <row r="25969" spans="1:6" x14ac:dyDescent="0.25">
      <c r="A25969"/>
      <c r="B25969"/>
      <c r="C25969"/>
      <c r="E25969"/>
      <c r="F25969"/>
    </row>
    <row r="25970" spans="1:6" x14ac:dyDescent="0.25">
      <c r="A25970"/>
      <c r="B25970"/>
      <c r="C25970"/>
      <c r="E25970"/>
      <c r="F25970"/>
    </row>
    <row r="25971" spans="1:6" x14ac:dyDescent="0.25">
      <c r="A25971"/>
      <c r="B25971"/>
      <c r="C25971"/>
      <c r="E25971"/>
      <c r="F25971"/>
    </row>
    <row r="25972" spans="1:6" x14ac:dyDescent="0.25">
      <c r="A25972"/>
      <c r="B25972"/>
      <c r="C25972"/>
      <c r="E25972"/>
      <c r="F25972"/>
    </row>
    <row r="25973" spans="1:6" x14ac:dyDescent="0.25">
      <c r="A25973"/>
      <c r="B25973"/>
      <c r="C25973"/>
      <c r="E25973"/>
      <c r="F25973"/>
    </row>
    <row r="25974" spans="1:6" x14ac:dyDescent="0.25">
      <c r="A25974"/>
      <c r="B25974"/>
      <c r="C25974"/>
      <c r="E25974"/>
      <c r="F25974"/>
    </row>
    <row r="25975" spans="1:6" x14ac:dyDescent="0.25">
      <c r="A25975"/>
      <c r="B25975"/>
      <c r="C25975"/>
      <c r="E25975"/>
      <c r="F25975"/>
    </row>
    <row r="25976" spans="1:6" x14ac:dyDescent="0.25">
      <c r="A25976"/>
      <c r="B25976"/>
      <c r="C25976"/>
      <c r="E25976"/>
      <c r="F25976"/>
    </row>
    <row r="25977" spans="1:6" x14ac:dyDescent="0.25">
      <c r="A25977"/>
      <c r="B25977"/>
      <c r="C25977"/>
      <c r="E25977"/>
      <c r="F25977"/>
    </row>
    <row r="25978" spans="1:6" x14ac:dyDescent="0.25">
      <c r="A25978"/>
      <c r="B25978"/>
      <c r="C25978"/>
      <c r="E25978"/>
      <c r="F25978"/>
    </row>
    <row r="25979" spans="1:6" x14ac:dyDescent="0.25">
      <c r="A25979"/>
      <c r="B25979"/>
      <c r="C25979"/>
      <c r="E25979"/>
      <c r="F25979"/>
    </row>
    <row r="25980" spans="1:6" x14ac:dyDescent="0.25">
      <c r="A25980"/>
      <c r="B25980"/>
      <c r="C25980"/>
      <c r="E25980"/>
      <c r="F25980"/>
    </row>
    <row r="25981" spans="1:6" x14ac:dyDescent="0.25">
      <c r="A25981"/>
      <c r="B25981"/>
      <c r="C25981"/>
      <c r="E25981"/>
      <c r="F25981"/>
    </row>
    <row r="25982" spans="1:6" x14ac:dyDescent="0.25">
      <c r="A25982"/>
      <c r="B25982"/>
      <c r="C25982"/>
      <c r="E25982"/>
      <c r="F25982"/>
    </row>
    <row r="25983" spans="1:6" x14ac:dyDescent="0.25">
      <c r="A25983"/>
      <c r="B25983"/>
      <c r="C25983"/>
      <c r="E25983"/>
      <c r="F25983"/>
    </row>
    <row r="25984" spans="1:6" x14ac:dyDescent="0.25">
      <c r="A25984"/>
      <c r="B25984"/>
      <c r="C25984"/>
      <c r="E25984"/>
      <c r="F25984"/>
    </row>
    <row r="25985" spans="1:6" x14ac:dyDescent="0.25">
      <c r="A25985"/>
      <c r="B25985"/>
      <c r="C25985"/>
      <c r="E25985"/>
      <c r="F25985"/>
    </row>
    <row r="25986" spans="1:6" x14ac:dyDescent="0.25">
      <c r="A25986"/>
      <c r="B25986"/>
      <c r="C25986"/>
      <c r="E25986"/>
      <c r="F25986"/>
    </row>
    <row r="25987" spans="1:6" x14ac:dyDescent="0.25">
      <c r="A25987"/>
      <c r="B25987"/>
      <c r="C25987"/>
      <c r="E25987"/>
      <c r="F25987"/>
    </row>
    <row r="25988" spans="1:6" x14ac:dyDescent="0.25">
      <c r="A25988"/>
      <c r="B25988"/>
      <c r="C25988"/>
      <c r="E25988"/>
      <c r="F25988"/>
    </row>
    <row r="25989" spans="1:6" x14ac:dyDescent="0.25">
      <c r="A25989"/>
      <c r="B25989"/>
      <c r="C25989"/>
      <c r="E25989"/>
      <c r="F25989"/>
    </row>
    <row r="25990" spans="1:6" x14ac:dyDescent="0.25">
      <c r="A25990"/>
      <c r="B25990"/>
      <c r="C25990"/>
      <c r="E25990"/>
      <c r="F25990"/>
    </row>
    <row r="25991" spans="1:6" x14ac:dyDescent="0.25">
      <c r="A25991"/>
      <c r="B25991"/>
      <c r="C25991"/>
      <c r="E25991"/>
      <c r="F25991"/>
    </row>
    <row r="25992" spans="1:6" x14ac:dyDescent="0.25">
      <c r="A25992"/>
      <c r="B25992"/>
      <c r="C25992"/>
      <c r="E25992"/>
      <c r="F25992"/>
    </row>
    <row r="25993" spans="1:6" x14ac:dyDescent="0.25">
      <c r="A25993"/>
      <c r="B25993"/>
      <c r="C25993"/>
      <c r="E25993"/>
      <c r="F25993"/>
    </row>
    <row r="25994" spans="1:6" x14ac:dyDescent="0.25">
      <c r="A25994"/>
      <c r="B25994"/>
      <c r="C25994"/>
      <c r="E25994"/>
      <c r="F25994"/>
    </row>
    <row r="25995" spans="1:6" x14ac:dyDescent="0.25">
      <c r="A25995"/>
      <c r="B25995"/>
      <c r="C25995"/>
      <c r="E25995"/>
      <c r="F25995"/>
    </row>
    <row r="25996" spans="1:6" x14ac:dyDescent="0.25">
      <c r="A25996"/>
      <c r="B25996"/>
      <c r="C25996"/>
      <c r="E25996"/>
      <c r="F25996"/>
    </row>
    <row r="25997" spans="1:6" x14ac:dyDescent="0.25">
      <c r="A25997"/>
      <c r="B25997"/>
      <c r="C25997"/>
      <c r="E25997"/>
      <c r="F25997"/>
    </row>
    <row r="25998" spans="1:6" x14ac:dyDescent="0.25">
      <c r="A25998"/>
      <c r="B25998"/>
      <c r="C25998"/>
      <c r="E25998"/>
      <c r="F25998"/>
    </row>
    <row r="25999" spans="1:6" x14ac:dyDescent="0.25">
      <c r="A25999"/>
      <c r="B25999"/>
      <c r="C25999"/>
      <c r="E25999"/>
      <c r="F25999"/>
    </row>
    <row r="26000" spans="1:6" x14ac:dyDescent="0.25">
      <c r="A26000"/>
      <c r="B26000"/>
      <c r="C26000"/>
      <c r="E26000"/>
      <c r="F26000"/>
    </row>
    <row r="26001" spans="1:6" x14ac:dyDescent="0.25">
      <c r="A26001"/>
      <c r="B26001"/>
      <c r="C26001"/>
      <c r="E26001"/>
      <c r="F26001"/>
    </row>
    <row r="26002" spans="1:6" x14ac:dyDescent="0.25">
      <c r="A26002"/>
      <c r="B26002"/>
      <c r="C26002"/>
      <c r="E26002"/>
      <c r="F26002"/>
    </row>
    <row r="26003" spans="1:6" x14ac:dyDescent="0.25">
      <c r="A26003"/>
      <c r="B26003"/>
      <c r="C26003"/>
      <c r="E26003"/>
      <c r="F26003"/>
    </row>
    <row r="26004" spans="1:6" x14ac:dyDescent="0.25">
      <c r="A26004"/>
      <c r="B26004"/>
      <c r="C26004"/>
      <c r="E26004"/>
      <c r="F26004"/>
    </row>
    <row r="26005" spans="1:6" x14ac:dyDescent="0.25">
      <c r="A26005"/>
      <c r="B26005"/>
      <c r="C26005"/>
      <c r="E26005"/>
      <c r="F26005"/>
    </row>
    <row r="26006" spans="1:6" x14ac:dyDescent="0.25">
      <c r="A26006"/>
      <c r="B26006"/>
      <c r="C26006"/>
      <c r="E26006"/>
      <c r="F26006"/>
    </row>
    <row r="26007" spans="1:6" x14ac:dyDescent="0.25">
      <c r="A26007"/>
      <c r="B26007"/>
      <c r="C26007"/>
      <c r="E26007"/>
      <c r="F26007"/>
    </row>
    <row r="26008" spans="1:6" x14ac:dyDescent="0.25">
      <c r="A26008"/>
      <c r="B26008"/>
      <c r="C26008"/>
      <c r="E26008"/>
      <c r="F26008"/>
    </row>
    <row r="26009" spans="1:6" x14ac:dyDescent="0.25">
      <c r="A26009"/>
      <c r="B26009"/>
      <c r="C26009"/>
      <c r="E26009"/>
      <c r="F26009"/>
    </row>
    <row r="26010" spans="1:6" x14ac:dyDescent="0.25">
      <c r="A26010"/>
      <c r="B26010"/>
      <c r="C26010"/>
      <c r="E26010"/>
      <c r="F26010"/>
    </row>
    <row r="26011" spans="1:6" x14ac:dyDescent="0.25">
      <c r="A26011"/>
      <c r="B26011"/>
      <c r="C26011"/>
      <c r="E26011"/>
      <c r="F26011"/>
    </row>
    <row r="26012" spans="1:6" x14ac:dyDescent="0.25">
      <c r="A26012"/>
      <c r="B26012"/>
      <c r="C26012"/>
      <c r="E26012"/>
      <c r="F26012"/>
    </row>
    <row r="26013" spans="1:6" x14ac:dyDescent="0.25">
      <c r="A26013"/>
      <c r="B26013"/>
      <c r="C26013"/>
      <c r="E26013"/>
      <c r="F26013"/>
    </row>
    <row r="26014" spans="1:6" x14ac:dyDescent="0.25">
      <c r="A26014"/>
      <c r="B26014"/>
      <c r="C26014"/>
      <c r="E26014"/>
      <c r="F26014"/>
    </row>
    <row r="26015" spans="1:6" x14ac:dyDescent="0.25">
      <c r="A26015"/>
      <c r="B26015"/>
      <c r="C26015"/>
      <c r="E26015"/>
      <c r="F26015"/>
    </row>
    <row r="26016" spans="1:6" x14ac:dyDescent="0.25">
      <c r="A26016"/>
      <c r="B26016"/>
      <c r="C26016"/>
      <c r="E26016"/>
      <c r="F26016"/>
    </row>
    <row r="26017" spans="1:6" x14ac:dyDescent="0.25">
      <c r="A26017"/>
      <c r="B26017"/>
      <c r="C26017"/>
      <c r="E26017"/>
      <c r="F26017"/>
    </row>
    <row r="26018" spans="1:6" x14ac:dyDescent="0.25">
      <c r="A26018"/>
      <c r="B26018"/>
      <c r="C26018"/>
      <c r="E26018"/>
      <c r="F26018"/>
    </row>
    <row r="26019" spans="1:6" x14ac:dyDescent="0.25">
      <c r="A26019"/>
      <c r="B26019"/>
      <c r="C26019"/>
      <c r="E26019"/>
      <c r="F26019"/>
    </row>
    <row r="26020" spans="1:6" x14ac:dyDescent="0.25">
      <c r="A26020"/>
      <c r="B26020"/>
      <c r="C26020"/>
      <c r="E26020"/>
      <c r="F26020"/>
    </row>
    <row r="26021" spans="1:6" x14ac:dyDescent="0.25">
      <c r="A26021"/>
      <c r="B26021"/>
      <c r="C26021"/>
      <c r="E26021"/>
      <c r="F26021"/>
    </row>
    <row r="26022" spans="1:6" x14ac:dyDescent="0.25">
      <c r="A26022"/>
      <c r="B26022"/>
      <c r="C26022"/>
      <c r="E26022"/>
      <c r="F26022"/>
    </row>
    <row r="26023" spans="1:6" x14ac:dyDescent="0.25">
      <c r="A26023"/>
      <c r="B26023"/>
      <c r="C26023"/>
      <c r="E26023"/>
      <c r="F26023"/>
    </row>
    <row r="26024" spans="1:6" x14ac:dyDescent="0.25">
      <c r="A26024"/>
      <c r="B26024"/>
      <c r="C26024"/>
      <c r="E26024"/>
      <c r="F26024"/>
    </row>
    <row r="26025" spans="1:6" x14ac:dyDescent="0.25">
      <c r="A26025"/>
      <c r="B26025"/>
      <c r="C26025"/>
      <c r="E26025"/>
      <c r="F26025"/>
    </row>
    <row r="26026" spans="1:6" x14ac:dyDescent="0.25">
      <c r="A26026"/>
      <c r="B26026"/>
      <c r="C26026"/>
      <c r="E26026"/>
      <c r="F26026"/>
    </row>
    <row r="26027" spans="1:6" x14ac:dyDescent="0.25">
      <c r="A26027"/>
      <c r="B26027"/>
      <c r="C26027"/>
      <c r="E26027"/>
      <c r="F26027"/>
    </row>
    <row r="26028" spans="1:6" x14ac:dyDescent="0.25">
      <c r="A26028"/>
      <c r="B26028"/>
      <c r="C26028"/>
      <c r="E26028"/>
      <c r="F26028"/>
    </row>
    <row r="26029" spans="1:6" x14ac:dyDescent="0.25">
      <c r="A26029"/>
      <c r="B26029"/>
      <c r="C26029"/>
      <c r="E26029"/>
      <c r="F26029"/>
    </row>
    <row r="26030" spans="1:6" x14ac:dyDescent="0.25">
      <c r="A26030"/>
      <c r="B26030"/>
      <c r="C26030"/>
      <c r="E26030"/>
      <c r="F26030"/>
    </row>
    <row r="26031" spans="1:6" x14ac:dyDescent="0.25">
      <c r="A26031"/>
      <c r="B26031"/>
      <c r="C26031"/>
      <c r="E26031"/>
      <c r="F26031"/>
    </row>
    <row r="26032" spans="1:6" x14ac:dyDescent="0.25">
      <c r="A26032"/>
      <c r="B26032"/>
      <c r="C26032"/>
      <c r="E26032"/>
      <c r="F26032"/>
    </row>
    <row r="26033" spans="1:6" x14ac:dyDescent="0.25">
      <c r="A26033"/>
      <c r="B26033"/>
      <c r="C26033"/>
      <c r="E26033"/>
      <c r="F26033"/>
    </row>
    <row r="26034" spans="1:6" x14ac:dyDescent="0.25">
      <c r="A26034"/>
      <c r="B26034"/>
      <c r="C26034"/>
      <c r="E26034"/>
      <c r="F26034"/>
    </row>
    <row r="26035" spans="1:6" x14ac:dyDescent="0.25">
      <c r="A26035"/>
      <c r="B26035"/>
      <c r="C26035"/>
      <c r="E26035"/>
      <c r="F26035"/>
    </row>
    <row r="26036" spans="1:6" x14ac:dyDescent="0.25">
      <c r="A26036"/>
      <c r="B26036"/>
      <c r="C26036"/>
      <c r="E26036"/>
      <c r="F26036"/>
    </row>
    <row r="26037" spans="1:6" x14ac:dyDescent="0.25">
      <c r="A26037"/>
      <c r="B26037"/>
      <c r="C26037"/>
      <c r="E26037"/>
      <c r="F26037"/>
    </row>
    <row r="26038" spans="1:6" x14ac:dyDescent="0.25">
      <c r="A26038"/>
      <c r="B26038"/>
      <c r="C26038"/>
      <c r="E26038"/>
      <c r="F26038"/>
    </row>
    <row r="26039" spans="1:6" x14ac:dyDescent="0.25">
      <c r="A26039"/>
      <c r="B26039"/>
      <c r="C26039"/>
      <c r="E26039"/>
      <c r="F26039"/>
    </row>
    <row r="26040" spans="1:6" x14ac:dyDescent="0.25">
      <c r="A26040"/>
      <c r="B26040"/>
      <c r="C26040"/>
      <c r="E26040"/>
      <c r="F26040"/>
    </row>
    <row r="26041" spans="1:6" x14ac:dyDescent="0.25">
      <c r="A26041"/>
      <c r="B26041"/>
      <c r="C26041"/>
      <c r="E26041"/>
      <c r="F26041"/>
    </row>
    <row r="26042" spans="1:6" x14ac:dyDescent="0.25">
      <c r="A26042"/>
      <c r="B26042"/>
      <c r="C26042"/>
      <c r="E26042"/>
      <c r="F26042"/>
    </row>
    <row r="26043" spans="1:6" x14ac:dyDescent="0.25">
      <c r="A26043"/>
      <c r="B26043"/>
      <c r="C26043"/>
      <c r="E26043"/>
      <c r="F26043"/>
    </row>
    <row r="26044" spans="1:6" x14ac:dyDescent="0.25">
      <c r="A26044"/>
      <c r="B26044"/>
      <c r="C26044"/>
      <c r="E26044"/>
      <c r="F26044"/>
    </row>
    <row r="26045" spans="1:6" x14ac:dyDescent="0.25">
      <c r="A26045"/>
      <c r="B26045"/>
      <c r="C26045"/>
      <c r="E26045"/>
      <c r="F26045"/>
    </row>
    <row r="26046" spans="1:6" x14ac:dyDescent="0.25">
      <c r="A26046"/>
      <c r="B26046"/>
      <c r="C26046"/>
      <c r="E26046"/>
      <c r="F26046"/>
    </row>
    <row r="26047" spans="1:6" x14ac:dyDescent="0.25">
      <c r="A26047"/>
      <c r="B26047"/>
      <c r="C26047"/>
      <c r="E26047"/>
      <c r="F26047"/>
    </row>
    <row r="26048" spans="1:6" x14ac:dyDescent="0.25">
      <c r="A26048"/>
      <c r="B26048"/>
      <c r="C26048"/>
      <c r="E26048"/>
      <c r="F26048"/>
    </row>
    <row r="26049" spans="1:6" x14ac:dyDescent="0.25">
      <c r="A26049"/>
      <c r="B26049"/>
      <c r="C26049"/>
      <c r="E26049"/>
      <c r="F26049"/>
    </row>
    <row r="26050" spans="1:6" x14ac:dyDescent="0.25">
      <c r="A26050"/>
      <c r="B26050"/>
      <c r="C26050"/>
      <c r="E26050"/>
      <c r="F26050"/>
    </row>
    <row r="26051" spans="1:6" x14ac:dyDescent="0.25">
      <c r="A26051"/>
      <c r="B26051"/>
      <c r="C26051"/>
      <c r="E26051"/>
      <c r="F26051"/>
    </row>
    <row r="26052" spans="1:6" x14ac:dyDescent="0.25">
      <c r="A26052"/>
      <c r="B26052"/>
      <c r="C26052"/>
      <c r="E26052"/>
      <c r="F26052"/>
    </row>
    <row r="26053" spans="1:6" x14ac:dyDescent="0.25">
      <c r="A26053"/>
      <c r="B26053"/>
      <c r="C26053"/>
      <c r="E26053"/>
      <c r="F26053"/>
    </row>
    <row r="26054" spans="1:6" x14ac:dyDescent="0.25">
      <c r="A26054"/>
      <c r="B26054"/>
      <c r="C26054"/>
      <c r="E26054"/>
      <c r="F26054"/>
    </row>
    <row r="26055" spans="1:6" x14ac:dyDescent="0.25">
      <c r="A26055"/>
      <c r="B26055"/>
      <c r="C26055"/>
      <c r="E26055"/>
      <c r="F26055"/>
    </row>
    <row r="26056" spans="1:6" x14ac:dyDescent="0.25">
      <c r="A26056"/>
      <c r="B26056"/>
      <c r="C26056"/>
      <c r="E26056"/>
      <c r="F26056"/>
    </row>
    <row r="26057" spans="1:6" x14ac:dyDescent="0.25">
      <c r="A26057"/>
      <c r="B26057"/>
      <c r="C26057"/>
      <c r="E26057"/>
      <c r="F26057"/>
    </row>
    <row r="26058" spans="1:6" x14ac:dyDescent="0.25">
      <c r="A26058"/>
      <c r="B26058"/>
      <c r="C26058"/>
      <c r="E26058"/>
      <c r="F26058"/>
    </row>
    <row r="26059" spans="1:6" x14ac:dyDescent="0.25">
      <c r="A26059"/>
      <c r="B26059"/>
      <c r="C26059"/>
      <c r="E26059"/>
      <c r="F26059"/>
    </row>
    <row r="26060" spans="1:6" x14ac:dyDescent="0.25">
      <c r="A26060"/>
      <c r="B26060"/>
      <c r="C26060"/>
      <c r="E26060"/>
      <c r="F26060"/>
    </row>
    <row r="26061" spans="1:6" x14ac:dyDescent="0.25">
      <c r="A26061"/>
      <c r="B26061"/>
      <c r="C26061"/>
      <c r="E26061"/>
      <c r="F26061"/>
    </row>
    <row r="26062" spans="1:6" x14ac:dyDescent="0.25">
      <c r="A26062"/>
      <c r="B26062"/>
      <c r="C26062"/>
      <c r="E26062"/>
      <c r="F26062"/>
    </row>
    <row r="26063" spans="1:6" x14ac:dyDescent="0.25">
      <c r="A26063"/>
      <c r="B26063"/>
      <c r="C26063"/>
      <c r="E26063"/>
      <c r="F26063"/>
    </row>
    <row r="26064" spans="1:6" x14ac:dyDescent="0.25">
      <c r="A26064"/>
      <c r="B26064"/>
      <c r="C26064"/>
      <c r="E26064"/>
      <c r="F26064"/>
    </row>
    <row r="26065" spans="1:6" x14ac:dyDescent="0.25">
      <c r="A26065"/>
      <c r="B26065"/>
      <c r="C26065"/>
      <c r="E26065"/>
      <c r="F26065"/>
    </row>
    <row r="26066" spans="1:6" x14ac:dyDescent="0.25">
      <c r="A26066"/>
      <c r="B26066"/>
      <c r="C26066"/>
      <c r="E26066"/>
      <c r="F26066"/>
    </row>
    <row r="26067" spans="1:6" x14ac:dyDescent="0.25">
      <c r="A26067"/>
      <c r="B26067"/>
      <c r="C26067"/>
      <c r="E26067"/>
      <c r="F26067"/>
    </row>
    <row r="26068" spans="1:6" x14ac:dyDescent="0.25">
      <c r="A26068"/>
      <c r="B26068"/>
      <c r="C26068"/>
      <c r="E26068"/>
      <c r="F26068"/>
    </row>
    <row r="26069" spans="1:6" x14ac:dyDescent="0.25">
      <c r="A26069"/>
      <c r="B26069"/>
      <c r="C26069"/>
      <c r="E26069"/>
      <c r="F26069"/>
    </row>
    <row r="26070" spans="1:6" x14ac:dyDescent="0.25">
      <c r="A26070"/>
      <c r="B26070"/>
      <c r="C26070"/>
      <c r="E26070"/>
      <c r="F26070"/>
    </row>
    <row r="26071" spans="1:6" x14ac:dyDescent="0.25">
      <c r="A26071"/>
      <c r="B26071"/>
      <c r="C26071"/>
      <c r="E26071"/>
      <c r="F26071"/>
    </row>
    <row r="26072" spans="1:6" x14ac:dyDescent="0.25">
      <c r="A26072"/>
      <c r="B26072"/>
      <c r="C26072"/>
      <c r="E26072"/>
      <c r="F26072"/>
    </row>
    <row r="26073" spans="1:6" x14ac:dyDescent="0.25">
      <c r="A26073"/>
      <c r="B26073"/>
      <c r="C26073"/>
      <c r="E26073"/>
      <c r="F26073"/>
    </row>
    <row r="26074" spans="1:6" x14ac:dyDescent="0.25">
      <c r="A26074"/>
      <c r="B26074"/>
      <c r="C26074"/>
      <c r="E26074"/>
      <c r="F26074"/>
    </row>
    <row r="26075" spans="1:6" x14ac:dyDescent="0.25">
      <c r="A26075"/>
      <c r="B26075"/>
      <c r="C26075"/>
      <c r="E26075"/>
      <c r="F26075"/>
    </row>
    <row r="26076" spans="1:6" x14ac:dyDescent="0.25">
      <c r="A26076"/>
      <c r="B26076"/>
      <c r="C26076"/>
      <c r="E26076"/>
      <c r="F26076"/>
    </row>
    <row r="26077" spans="1:6" x14ac:dyDescent="0.25">
      <c r="A26077"/>
      <c r="B26077"/>
      <c r="C26077"/>
      <c r="E26077"/>
      <c r="F26077"/>
    </row>
    <row r="26078" spans="1:6" x14ac:dyDescent="0.25">
      <c r="A26078"/>
      <c r="B26078"/>
      <c r="C26078"/>
      <c r="E26078"/>
      <c r="F26078"/>
    </row>
    <row r="26079" spans="1:6" x14ac:dyDescent="0.25">
      <c r="A26079"/>
      <c r="B26079"/>
      <c r="C26079"/>
      <c r="E26079"/>
      <c r="F26079"/>
    </row>
    <row r="26080" spans="1:6" x14ac:dyDescent="0.25">
      <c r="A26080"/>
      <c r="B26080"/>
      <c r="C26080"/>
      <c r="E26080"/>
      <c r="F26080"/>
    </row>
    <row r="26081" spans="1:6" x14ac:dyDescent="0.25">
      <c r="A26081"/>
      <c r="B26081"/>
      <c r="C26081"/>
      <c r="E26081"/>
      <c r="F26081"/>
    </row>
    <row r="26082" spans="1:6" x14ac:dyDescent="0.25">
      <c r="A26082"/>
      <c r="B26082"/>
      <c r="C26082"/>
      <c r="E26082"/>
      <c r="F26082"/>
    </row>
    <row r="26083" spans="1:6" x14ac:dyDescent="0.25">
      <c r="A26083"/>
      <c r="B26083"/>
      <c r="C26083"/>
      <c r="E26083"/>
      <c r="F26083"/>
    </row>
    <row r="26084" spans="1:6" x14ac:dyDescent="0.25">
      <c r="A26084"/>
      <c r="B26084"/>
      <c r="C26084"/>
      <c r="E26084"/>
      <c r="F26084"/>
    </row>
    <row r="26085" spans="1:6" x14ac:dyDescent="0.25">
      <c r="A26085"/>
      <c r="B26085"/>
      <c r="C26085"/>
      <c r="E26085"/>
      <c r="F26085"/>
    </row>
    <row r="26086" spans="1:6" x14ac:dyDescent="0.25">
      <c r="A26086"/>
      <c r="B26086"/>
      <c r="C26086"/>
      <c r="E26086"/>
      <c r="F26086"/>
    </row>
    <row r="26087" spans="1:6" x14ac:dyDescent="0.25">
      <c r="A26087"/>
      <c r="B26087"/>
      <c r="C26087"/>
      <c r="E26087"/>
      <c r="F26087"/>
    </row>
    <row r="26088" spans="1:6" x14ac:dyDescent="0.25">
      <c r="A26088"/>
      <c r="B26088"/>
      <c r="C26088"/>
      <c r="E26088"/>
      <c r="F26088"/>
    </row>
    <row r="26089" spans="1:6" x14ac:dyDescent="0.25">
      <c r="A26089"/>
      <c r="B26089"/>
      <c r="C26089"/>
      <c r="E26089"/>
      <c r="F26089"/>
    </row>
    <row r="26090" spans="1:6" x14ac:dyDescent="0.25">
      <c r="A26090"/>
      <c r="B26090"/>
      <c r="C26090"/>
      <c r="E26090"/>
      <c r="F26090"/>
    </row>
    <row r="26091" spans="1:6" x14ac:dyDescent="0.25">
      <c r="A26091"/>
      <c r="B26091"/>
      <c r="C26091"/>
      <c r="E26091"/>
      <c r="F26091"/>
    </row>
    <row r="26092" spans="1:6" x14ac:dyDescent="0.25">
      <c r="A26092"/>
      <c r="B26092"/>
      <c r="C26092"/>
      <c r="E26092"/>
      <c r="F26092"/>
    </row>
    <row r="26093" spans="1:6" x14ac:dyDescent="0.25">
      <c r="A26093"/>
      <c r="B26093"/>
      <c r="C26093"/>
      <c r="E26093"/>
      <c r="F26093"/>
    </row>
    <row r="26094" spans="1:6" x14ac:dyDescent="0.25">
      <c r="A26094"/>
      <c r="B26094"/>
      <c r="C26094"/>
      <c r="E26094"/>
      <c r="F26094"/>
    </row>
    <row r="26095" spans="1:6" x14ac:dyDescent="0.25">
      <c r="A26095"/>
      <c r="B26095"/>
      <c r="C26095"/>
      <c r="E26095"/>
      <c r="F26095"/>
    </row>
    <row r="26096" spans="1:6" x14ac:dyDescent="0.25">
      <c r="A26096"/>
      <c r="B26096"/>
      <c r="C26096"/>
      <c r="E26096"/>
      <c r="F26096"/>
    </row>
    <row r="26097" spans="1:6" x14ac:dyDescent="0.25">
      <c r="A26097"/>
      <c r="B26097"/>
      <c r="C26097"/>
      <c r="E26097"/>
      <c r="F26097"/>
    </row>
    <row r="26098" spans="1:6" x14ac:dyDescent="0.25">
      <c r="A26098"/>
      <c r="B26098"/>
      <c r="C26098"/>
      <c r="E26098"/>
      <c r="F26098"/>
    </row>
    <row r="26099" spans="1:6" x14ac:dyDescent="0.25">
      <c r="A26099"/>
      <c r="B26099"/>
      <c r="C26099"/>
      <c r="E26099"/>
      <c r="F26099"/>
    </row>
    <row r="26100" spans="1:6" x14ac:dyDescent="0.25">
      <c r="A26100"/>
      <c r="B26100"/>
      <c r="C26100"/>
      <c r="E26100"/>
      <c r="F26100"/>
    </row>
    <row r="26101" spans="1:6" x14ac:dyDescent="0.25">
      <c r="A26101"/>
      <c r="B26101"/>
      <c r="C26101"/>
      <c r="E26101"/>
      <c r="F26101"/>
    </row>
    <row r="26102" spans="1:6" x14ac:dyDescent="0.25">
      <c r="A26102"/>
      <c r="B26102"/>
      <c r="C26102"/>
      <c r="E26102"/>
      <c r="F26102"/>
    </row>
    <row r="26103" spans="1:6" x14ac:dyDescent="0.25">
      <c r="A26103"/>
      <c r="B26103"/>
      <c r="C26103"/>
      <c r="E26103"/>
      <c r="F26103"/>
    </row>
    <row r="26104" spans="1:6" x14ac:dyDescent="0.25">
      <c r="A26104"/>
      <c r="B26104"/>
      <c r="C26104"/>
      <c r="E26104"/>
      <c r="F26104"/>
    </row>
    <row r="26105" spans="1:6" x14ac:dyDescent="0.25">
      <c r="A26105"/>
      <c r="B26105"/>
      <c r="C26105"/>
      <c r="E26105"/>
      <c r="F26105"/>
    </row>
    <row r="26106" spans="1:6" x14ac:dyDescent="0.25">
      <c r="A26106"/>
      <c r="B26106"/>
      <c r="C26106"/>
      <c r="E26106"/>
      <c r="F26106"/>
    </row>
    <row r="26107" spans="1:6" x14ac:dyDescent="0.25">
      <c r="A26107"/>
      <c r="B26107"/>
      <c r="C26107"/>
      <c r="E26107"/>
      <c r="F26107"/>
    </row>
    <row r="26108" spans="1:6" x14ac:dyDescent="0.25">
      <c r="A26108"/>
      <c r="B26108"/>
      <c r="C26108"/>
      <c r="E26108"/>
      <c r="F26108"/>
    </row>
    <row r="26109" spans="1:6" x14ac:dyDescent="0.25">
      <c r="A26109"/>
      <c r="B26109"/>
      <c r="C26109"/>
      <c r="E26109"/>
      <c r="F26109"/>
    </row>
    <row r="26110" spans="1:6" x14ac:dyDescent="0.25">
      <c r="A26110"/>
      <c r="B26110"/>
      <c r="C26110"/>
      <c r="E26110"/>
      <c r="F26110"/>
    </row>
    <row r="26111" spans="1:6" x14ac:dyDescent="0.25">
      <c r="A26111"/>
      <c r="B26111"/>
      <c r="C26111"/>
      <c r="E26111"/>
      <c r="F26111"/>
    </row>
    <row r="26112" spans="1:6" x14ac:dyDescent="0.25">
      <c r="A26112"/>
      <c r="B26112"/>
      <c r="C26112"/>
      <c r="E26112"/>
      <c r="F26112"/>
    </row>
    <row r="26113" spans="1:6" x14ac:dyDescent="0.25">
      <c r="A26113"/>
      <c r="B26113"/>
      <c r="C26113"/>
      <c r="E26113"/>
      <c r="F26113"/>
    </row>
    <row r="26114" spans="1:6" x14ac:dyDescent="0.25">
      <c r="A26114"/>
      <c r="B26114"/>
      <c r="C26114"/>
      <c r="E26114"/>
      <c r="F26114"/>
    </row>
    <row r="26115" spans="1:6" x14ac:dyDescent="0.25">
      <c r="A26115"/>
      <c r="B26115"/>
      <c r="C26115"/>
      <c r="E26115"/>
      <c r="F26115"/>
    </row>
    <row r="26116" spans="1:6" x14ac:dyDescent="0.25">
      <c r="A26116"/>
      <c r="B26116"/>
      <c r="C26116"/>
      <c r="E26116"/>
      <c r="F26116"/>
    </row>
    <row r="26117" spans="1:6" x14ac:dyDescent="0.25">
      <c r="A26117"/>
      <c r="B26117"/>
      <c r="C26117"/>
      <c r="E26117"/>
      <c r="F26117"/>
    </row>
    <row r="26118" spans="1:6" x14ac:dyDescent="0.25">
      <c r="A26118"/>
      <c r="B26118"/>
      <c r="C26118"/>
      <c r="E26118"/>
      <c r="F26118"/>
    </row>
    <row r="26119" spans="1:6" x14ac:dyDescent="0.25">
      <c r="A26119"/>
      <c r="B26119"/>
      <c r="C26119"/>
      <c r="E26119"/>
      <c r="F26119"/>
    </row>
    <row r="26120" spans="1:6" x14ac:dyDescent="0.25">
      <c r="A26120"/>
      <c r="B26120"/>
      <c r="C26120"/>
      <c r="E26120"/>
      <c r="F26120"/>
    </row>
    <row r="26121" spans="1:6" x14ac:dyDescent="0.25">
      <c r="A26121"/>
      <c r="B26121"/>
      <c r="C26121"/>
      <c r="E26121"/>
      <c r="F26121"/>
    </row>
    <row r="26122" spans="1:6" x14ac:dyDescent="0.25">
      <c r="A26122"/>
      <c r="B26122"/>
      <c r="C26122"/>
      <c r="E26122"/>
      <c r="F26122"/>
    </row>
    <row r="26123" spans="1:6" x14ac:dyDescent="0.25">
      <c r="A26123"/>
      <c r="B26123"/>
      <c r="C26123"/>
      <c r="E26123"/>
      <c r="F26123"/>
    </row>
    <row r="26124" spans="1:6" x14ac:dyDescent="0.25">
      <c r="A26124"/>
      <c r="B26124"/>
      <c r="C26124"/>
      <c r="E26124"/>
      <c r="F26124"/>
    </row>
    <row r="26125" spans="1:6" x14ac:dyDescent="0.25">
      <c r="A26125"/>
      <c r="B26125"/>
      <c r="C26125"/>
      <c r="E26125"/>
      <c r="F26125"/>
    </row>
    <row r="26126" spans="1:6" x14ac:dyDescent="0.25">
      <c r="A26126"/>
      <c r="B26126"/>
      <c r="C26126"/>
      <c r="E26126"/>
      <c r="F26126"/>
    </row>
    <row r="26127" spans="1:6" x14ac:dyDescent="0.25">
      <c r="A26127"/>
      <c r="B26127"/>
      <c r="C26127"/>
      <c r="E26127"/>
      <c r="F26127"/>
    </row>
    <row r="26128" spans="1:6" x14ac:dyDescent="0.25">
      <c r="A26128"/>
      <c r="B26128"/>
      <c r="C26128"/>
      <c r="E26128"/>
      <c r="F26128"/>
    </row>
    <row r="26129" spans="1:6" x14ac:dyDescent="0.25">
      <c r="A26129"/>
      <c r="B26129"/>
      <c r="C26129"/>
      <c r="E26129"/>
      <c r="F26129"/>
    </row>
    <row r="26130" spans="1:6" x14ac:dyDescent="0.25">
      <c r="A26130"/>
      <c r="B26130"/>
      <c r="C26130"/>
      <c r="E26130"/>
      <c r="F26130"/>
    </row>
    <row r="26131" spans="1:6" x14ac:dyDescent="0.25">
      <c r="A26131"/>
      <c r="B26131"/>
      <c r="C26131"/>
      <c r="E26131"/>
      <c r="F26131"/>
    </row>
    <row r="26132" spans="1:6" x14ac:dyDescent="0.25">
      <c r="A26132"/>
      <c r="B26132"/>
      <c r="C26132"/>
      <c r="E26132"/>
      <c r="F26132"/>
    </row>
    <row r="26133" spans="1:6" x14ac:dyDescent="0.25">
      <c r="A26133"/>
      <c r="B26133"/>
      <c r="C26133"/>
      <c r="E26133"/>
      <c r="F26133"/>
    </row>
    <row r="26134" spans="1:6" x14ac:dyDescent="0.25">
      <c r="A26134"/>
      <c r="B26134"/>
      <c r="C26134"/>
      <c r="E26134"/>
      <c r="F26134"/>
    </row>
    <row r="26135" spans="1:6" x14ac:dyDescent="0.25">
      <c r="A26135"/>
      <c r="B26135"/>
      <c r="C26135"/>
      <c r="E26135"/>
      <c r="F26135"/>
    </row>
    <row r="26136" spans="1:6" x14ac:dyDescent="0.25">
      <c r="A26136"/>
      <c r="B26136"/>
      <c r="C26136"/>
      <c r="E26136"/>
      <c r="F26136"/>
    </row>
    <row r="26137" spans="1:6" x14ac:dyDescent="0.25">
      <c r="A26137"/>
      <c r="B26137"/>
      <c r="C26137"/>
      <c r="E26137"/>
      <c r="F26137"/>
    </row>
    <row r="26138" spans="1:6" x14ac:dyDescent="0.25">
      <c r="A26138"/>
      <c r="B26138"/>
      <c r="C26138"/>
      <c r="E26138"/>
      <c r="F26138"/>
    </row>
    <row r="26139" spans="1:6" x14ac:dyDescent="0.25">
      <c r="A26139"/>
      <c r="B26139"/>
      <c r="C26139"/>
      <c r="E26139"/>
      <c r="F26139"/>
    </row>
    <row r="26140" spans="1:6" x14ac:dyDescent="0.25">
      <c r="A26140"/>
      <c r="B26140"/>
      <c r="C26140"/>
      <c r="E26140"/>
      <c r="F26140"/>
    </row>
    <row r="26141" spans="1:6" x14ac:dyDescent="0.25">
      <c r="A26141"/>
      <c r="B26141"/>
      <c r="C26141"/>
      <c r="E26141"/>
      <c r="F26141"/>
    </row>
    <row r="26142" spans="1:6" x14ac:dyDescent="0.25">
      <c r="A26142"/>
      <c r="B26142"/>
      <c r="C26142"/>
      <c r="E26142"/>
      <c r="F26142"/>
    </row>
    <row r="26143" spans="1:6" x14ac:dyDescent="0.25">
      <c r="A26143"/>
      <c r="B26143"/>
      <c r="C26143"/>
      <c r="E26143"/>
      <c r="F26143"/>
    </row>
    <row r="26144" spans="1:6" x14ac:dyDescent="0.25">
      <c r="A26144"/>
      <c r="B26144"/>
      <c r="C26144"/>
      <c r="E26144"/>
      <c r="F26144"/>
    </row>
    <row r="26145" spans="1:6" x14ac:dyDescent="0.25">
      <c r="A26145"/>
      <c r="B26145"/>
      <c r="C26145"/>
      <c r="E26145"/>
      <c r="F26145"/>
    </row>
    <row r="26146" spans="1:6" x14ac:dyDescent="0.25">
      <c r="A26146"/>
      <c r="B26146"/>
      <c r="C26146"/>
      <c r="E26146"/>
      <c r="F26146"/>
    </row>
    <row r="26147" spans="1:6" x14ac:dyDescent="0.25">
      <c r="A26147"/>
      <c r="B26147"/>
      <c r="C26147"/>
      <c r="E26147"/>
      <c r="F26147"/>
    </row>
    <row r="26148" spans="1:6" x14ac:dyDescent="0.25">
      <c r="A26148"/>
      <c r="B26148"/>
      <c r="C26148"/>
      <c r="E26148"/>
      <c r="F26148"/>
    </row>
    <row r="26149" spans="1:6" x14ac:dyDescent="0.25">
      <c r="A26149"/>
      <c r="B26149"/>
      <c r="C26149"/>
      <c r="E26149"/>
      <c r="F26149"/>
    </row>
    <row r="26150" spans="1:6" x14ac:dyDescent="0.25">
      <c r="A26150"/>
      <c r="B26150"/>
      <c r="C26150"/>
      <c r="E26150"/>
      <c r="F26150"/>
    </row>
    <row r="26151" spans="1:6" x14ac:dyDescent="0.25">
      <c r="A26151"/>
      <c r="B26151"/>
      <c r="C26151"/>
      <c r="E26151"/>
      <c r="F26151"/>
    </row>
    <row r="26152" spans="1:6" x14ac:dyDescent="0.25">
      <c r="A26152"/>
      <c r="B26152"/>
      <c r="C26152"/>
      <c r="E26152"/>
      <c r="F26152"/>
    </row>
    <row r="26153" spans="1:6" x14ac:dyDescent="0.25">
      <c r="A26153"/>
      <c r="B26153"/>
      <c r="C26153"/>
      <c r="E26153"/>
      <c r="F26153"/>
    </row>
    <row r="26154" spans="1:6" x14ac:dyDescent="0.25">
      <c r="A26154"/>
      <c r="B26154"/>
      <c r="C26154"/>
      <c r="E26154"/>
      <c r="F26154"/>
    </row>
    <row r="26155" spans="1:6" x14ac:dyDescent="0.25">
      <c r="A26155"/>
      <c r="B26155"/>
      <c r="C26155"/>
      <c r="E26155"/>
      <c r="F26155"/>
    </row>
    <row r="26156" spans="1:6" x14ac:dyDescent="0.25">
      <c r="A26156"/>
      <c r="B26156"/>
      <c r="C26156"/>
      <c r="E26156"/>
      <c r="F26156"/>
    </row>
    <row r="26157" spans="1:6" x14ac:dyDescent="0.25">
      <c r="A26157"/>
      <c r="B26157"/>
      <c r="C26157"/>
      <c r="E26157"/>
      <c r="F26157"/>
    </row>
    <row r="26158" spans="1:6" x14ac:dyDescent="0.25">
      <c r="A26158"/>
      <c r="B26158"/>
      <c r="C26158"/>
      <c r="E26158"/>
      <c r="F26158"/>
    </row>
    <row r="26159" spans="1:6" x14ac:dyDescent="0.25">
      <c r="A26159"/>
      <c r="B26159"/>
      <c r="C26159"/>
      <c r="E26159"/>
      <c r="F26159"/>
    </row>
    <row r="26160" spans="1:6" x14ac:dyDescent="0.25">
      <c r="A26160"/>
      <c r="B26160"/>
      <c r="C26160"/>
      <c r="E26160"/>
      <c r="F26160"/>
    </row>
    <row r="26161" spans="1:6" x14ac:dyDescent="0.25">
      <c r="A26161"/>
      <c r="B26161"/>
      <c r="C26161"/>
      <c r="E26161"/>
      <c r="F26161"/>
    </row>
    <row r="26162" spans="1:6" x14ac:dyDescent="0.25">
      <c r="A26162"/>
      <c r="B26162"/>
      <c r="C26162"/>
      <c r="E26162"/>
      <c r="F26162"/>
    </row>
    <row r="26163" spans="1:6" x14ac:dyDescent="0.25">
      <c r="A26163"/>
      <c r="B26163"/>
      <c r="C26163"/>
      <c r="E26163"/>
      <c r="F26163"/>
    </row>
    <row r="26164" spans="1:6" x14ac:dyDescent="0.25">
      <c r="A26164"/>
      <c r="B26164"/>
      <c r="C26164"/>
      <c r="E26164"/>
      <c r="F26164"/>
    </row>
    <row r="26165" spans="1:6" x14ac:dyDescent="0.25">
      <c r="A26165"/>
      <c r="B26165"/>
      <c r="C26165"/>
      <c r="E26165"/>
      <c r="F26165"/>
    </row>
    <row r="26166" spans="1:6" x14ac:dyDescent="0.25">
      <c r="A26166"/>
      <c r="B26166"/>
      <c r="C26166"/>
      <c r="E26166"/>
      <c r="F26166"/>
    </row>
    <row r="26167" spans="1:6" x14ac:dyDescent="0.25">
      <c r="A26167"/>
      <c r="B26167"/>
      <c r="C26167"/>
      <c r="E26167"/>
      <c r="F26167"/>
    </row>
    <row r="26168" spans="1:6" x14ac:dyDescent="0.25">
      <c r="A26168"/>
      <c r="B26168"/>
      <c r="C26168"/>
      <c r="E26168"/>
      <c r="F26168"/>
    </row>
    <row r="26169" spans="1:6" x14ac:dyDescent="0.25">
      <c r="A26169"/>
      <c r="B26169"/>
      <c r="C26169"/>
      <c r="E26169"/>
      <c r="F26169"/>
    </row>
    <row r="26170" spans="1:6" x14ac:dyDescent="0.25">
      <c r="A26170"/>
      <c r="B26170"/>
      <c r="C26170"/>
      <c r="E26170"/>
      <c r="F26170"/>
    </row>
    <row r="26171" spans="1:6" x14ac:dyDescent="0.25">
      <c r="A26171"/>
      <c r="B26171"/>
      <c r="C26171"/>
      <c r="E26171"/>
      <c r="F26171"/>
    </row>
    <row r="26172" spans="1:6" x14ac:dyDescent="0.25">
      <c r="A26172"/>
      <c r="B26172"/>
      <c r="C26172"/>
      <c r="E26172"/>
      <c r="F26172"/>
    </row>
    <row r="26173" spans="1:6" x14ac:dyDescent="0.25">
      <c r="A26173"/>
      <c r="B26173"/>
      <c r="C26173"/>
      <c r="E26173"/>
      <c r="F26173"/>
    </row>
    <row r="26174" spans="1:6" x14ac:dyDescent="0.25">
      <c r="A26174"/>
      <c r="B26174"/>
      <c r="C26174"/>
      <c r="E26174"/>
      <c r="F26174"/>
    </row>
    <row r="26175" spans="1:6" x14ac:dyDescent="0.25">
      <c r="A26175"/>
      <c r="B26175"/>
      <c r="C26175"/>
      <c r="E26175"/>
      <c r="F26175"/>
    </row>
    <row r="26176" spans="1:6" x14ac:dyDescent="0.25">
      <c r="A26176"/>
      <c r="B26176"/>
      <c r="C26176"/>
      <c r="E26176"/>
      <c r="F26176"/>
    </row>
    <row r="26177" spans="1:6" x14ac:dyDescent="0.25">
      <c r="A26177"/>
      <c r="B26177"/>
      <c r="C26177"/>
      <c r="E26177"/>
      <c r="F26177"/>
    </row>
    <row r="26178" spans="1:6" x14ac:dyDescent="0.25">
      <c r="A26178"/>
      <c r="B26178"/>
      <c r="C26178"/>
      <c r="E26178"/>
      <c r="F26178"/>
    </row>
    <row r="26179" spans="1:6" x14ac:dyDescent="0.25">
      <c r="A26179"/>
      <c r="B26179"/>
      <c r="C26179"/>
      <c r="E26179"/>
      <c r="F26179"/>
    </row>
    <row r="26180" spans="1:6" x14ac:dyDescent="0.25">
      <c r="A26180"/>
      <c r="B26180"/>
      <c r="C26180"/>
      <c r="E26180"/>
      <c r="F26180"/>
    </row>
    <row r="26181" spans="1:6" x14ac:dyDescent="0.25">
      <c r="A26181"/>
      <c r="B26181"/>
      <c r="C26181"/>
      <c r="E26181"/>
      <c r="F26181"/>
    </row>
    <row r="26182" spans="1:6" x14ac:dyDescent="0.25">
      <c r="A26182"/>
      <c r="B26182"/>
      <c r="C26182"/>
      <c r="E26182"/>
      <c r="F26182"/>
    </row>
    <row r="26183" spans="1:6" x14ac:dyDescent="0.25">
      <c r="A26183"/>
      <c r="B26183"/>
      <c r="C26183"/>
      <c r="E26183"/>
      <c r="F26183"/>
    </row>
    <row r="26184" spans="1:6" x14ac:dyDescent="0.25">
      <c r="A26184"/>
      <c r="B26184"/>
      <c r="C26184"/>
      <c r="E26184"/>
      <c r="F26184"/>
    </row>
    <row r="26185" spans="1:6" x14ac:dyDescent="0.25">
      <c r="A26185"/>
      <c r="B26185"/>
      <c r="C26185"/>
      <c r="E26185"/>
      <c r="F26185"/>
    </row>
    <row r="26186" spans="1:6" x14ac:dyDescent="0.25">
      <c r="A26186"/>
      <c r="B26186"/>
      <c r="C26186"/>
      <c r="E26186"/>
      <c r="F26186"/>
    </row>
    <row r="26187" spans="1:6" x14ac:dyDescent="0.25">
      <c r="A26187"/>
      <c r="B26187"/>
      <c r="C26187"/>
      <c r="E26187"/>
      <c r="F26187"/>
    </row>
    <row r="26188" spans="1:6" x14ac:dyDescent="0.25">
      <c r="A26188"/>
      <c r="B26188"/>
      <c r="C26188"/>
      <c r="E26188"/>
      <c r="F26188"/>
    </row>
    <row r="26189" spans="1:6" x14ac:dyDescent="0.25">
      <c r="A26189"/>
      <c r="B26189"/>
      <c r="C26189"/>
      <c r="E26189"/>
      <c r="F26189"/>
    </row>
    <row r="26190" spans="1:6" x14ac:dyDescent="0.25">
      <c r="A26190"/>
      <c r="B26190"/>
      <c r="C26190"/>
      <c r="E26190"/>
      <c r="F26190"/>
    </row>
    <row r="26191" spans="1:6" x14ac:dyDescent="0.25">
      <c r="A26191"/>
      <c r="B26191"/>
      <c r="C26191"/>
      <c r="E26191"/>
      <c r="F26191"/>
    </row>
    <row r="26192" spans="1:6" x14ac:dyDescent="0.25">
      <c r="A26192"/>
      <c r="B26192"/>
      <c r="C26192"/>
      <c r="E26192"/>
      <c r="F26192"/>
    </row>
    <row r="26193" spans="1:6" x14ac:dyDescent="0.25">
      <c r="A26193"/>
      <c r="B26193"/>
      <c r="C26193"/>
      <c r="E26193"/>
      <c r="F26193"/>
    </row>
    <row r="26194" spans="1:6" x14ac:dyDescent="0.25">
      <c r="A26194"/>
      <c r="B26194"/>
      <c r="C26194"/>
      <c r="E26194"/>
      <c r="F26194"/>
    </row>
    <row r="26195" spans="1:6" x14ac:dyDescent="0.25">
      <c r="A26195"/>
      <c r="B26195"/>
      <c r="C26195"/>
      <c r="E26195"/>
      <c r="F26195"/>
    </row>
    <row r="26196" spans="1:6" x14ac:dyDescent="0.25">
      <c r="A26196"/>
      <c r="B26196"/>
      <c r="C26196"/>
      <c r="E26196"/>
      <c r="F26196"/>
    </row>
    <row r="26197" spans="1:6" x14ac:dyDescent="0.25">
      <c r="A26197"/>
      <c r="B26197"/>
      <c r="C26197"/>
      <c r="E26197"/>
      <c r="F26197"/>
    </row>
    <row r="26198" spans="1:6" x14ac:dyDescent="0.25">
      <c r="A26198"/>
      <c r="B26198"/>
      <c r="C26198"/>
      <c r="E26198"/>
      <c r="F26198"/>
    </row>
    <row r="26199" spans="1:6" x14ac:dyDescent="0.25">
      <c r="A26199"/>
      <c r="B26199"/>
      <c r="C26199"/>
      <c r="E26199"/>
      <c r="F26199"/>
    </row>
    <row r="26200" spans="1:6" x14ac:dyDescent="0.25">
      <c r="A26200"/>
      <c r="B26200"/>
      <c r="C26200"/>
      <c r="E26200"/>
      <c r="F26200"/>
    </row>
    <row r="26201" spans="1:6" x14ac:dyDescent="0.25">
      <c r="A26201"/>
      <c r="B26201"/>
      <c r="C26201"/>
      <c r="E26201"/>
      <c r="F26201"/>
    </row>
    <row r="26202" spans="1:6" x14ac:dyDescent="0.25">
      <c r="A26202"/>
      <c r="B26202"/>
      <c r="C26202"/>
      <c r="E26202"/>
      <c r="F26202"/>
    </row>
    <row r="26203" spans="1:6" x14ac:dyDescent="0.25">
      <c r="A26203"/>
      <c r="B26203"/>
      <c r="C26203"/>
      <c r="E26203"/>
      <c r="F26203"/>
    </row>
    <row r="26204" spans="1:6" x14ac:dyDescent="0.25">
      <c r="A26204"/>
      <c r="B26204"/>
      <c r="C26204"/>
      <c r="E26204"/>
      <c r="F26204"/>
    </row>
    <row r="26205" spans="1:6" x14ac:dyDescent="0.25">
      <c r="A26205"/>
      <c r="B26205"/>
      <c r="C26205"/>
      <c r="E26205"/>
      <c r="F26205"/>
    </row>
    <row r="26206" spans="1:6" x14ac:dyDescent="0.25">
      <c r="A26206"/>
      <c r="B26206"/>
      <c r="C26206"/>
      <c r="E26206"/>
      <c r="F26206"/>
    </row>
    <row r="26207" spans="1:6" x14ac:dyDescent="0.25">
      <c r="A26207"/>
      <c r="B26207"/>
      <c r="C26207"/>
      <c r="E26207"/>
      <c r="F26207"/>
    </row>
    <row r="26208" spans="1:6" x14ac:dyDescent="0.25">
      <c r="A26208"/>
      <c r="B26208"/>
      <c r="C26208"/>
      <c r="E26208"/>
      <c r="F26208"/>
    </row>
    <row r="26209" spans="1:6" x14ac:dyDescent="0.25">
      <c r="A26209"/>
      <c r="B26209"/>
      <c r="C26209"/>
      <c r="E26209"/>
      <c r="F26209"/>
    </row>
    <row r="26210" spans="1:6" x14ac:dyDescent="0.25">
      <c r="A26210"/>
      <c r="B26210"/>
      <c r="C26210"/>
      <c r="E26210"/>
      <c r="F26210"/>
    </row>
    <row r="26211" spans="1:6" x14ac:dyDescent="0.25">
      <c r="A26211"/>
      <c r="B26211"/>
      <c r="C26211"/>
      <c r="E26211"/>
      <c r="F26211"/>
    </row>
    <row r="26212" spans="1:6" x14ac:dyDescent="0.25">
      <c r="A26212"/>
      <c r="B26212"/>
      <c r="C26212"/>
      <c r="E26212"/>
      <c r="F26212"/>
    </row>
    <row r="26213" spans="1:6" x14ac:dyDescent="0.25">
      <c r="A26213"/>
      <c r="B26213"/>
      <c r="C26213"/>
      <c r="E26213"/>
      <c r="F26213"/>
    </row>
    <row r="26214" spans="1:6" x14ac:dyDescent="0.25">
      <c r="A26214"/>
      <c r="B26214"/>
      <c r="C26214"/>
      <c r="E26214"/>
      <c r="F26214"/>
    </row>
    <row r="26215" spans="1:6" x14ac:dyDescent="0.25">
      <c r="A26215"/>
      <c r="B26215"/>
      <c r="C26215"/>
      <c r="E26215"/>
      <c r="F26215"/>
    </row>
    <row r="26216" spans="1:6" x14ac:dyDescent="0.25">
      <c r="A26216"/>
      <c r="B26216"/>
      <c r="C26216"/>
      <c r="E26216"/>
      <c r="F26216"/>
    </row>
    <row r="26217" spans="1:6" x14ac:dyDescent="0.25">
      <c r="A26217"/>
      <c r="B26217"/>
      <c r="C26217"/>
      <c r="E26217"/>
      <c r="F26217"/>
    </row>
    <row r="26218" spans="1:6" x14ac:dyDescent="0.25">
      <c r="A26218"/>
      <c r="B26218"/>
      <c r="C26218"/>
      <c r="E26218"/>
      <c r="F26218"/>
    </row>
    <row r="26219" spans="1:6" x14ac:dyDescent="0.25">
      <c r="A26219"/>
      <c r="B26219"/>
      <c r="C26219"/>
      <c r="E26219"/>
      <c r="F26219"/>
    </row>
    <row r="26220" spans="1:6" x14ac:dyDescent="0.25">
      <c r="A26220"/>
      <c r="B26220"/>
      <c r="C26220"/>
      <c r="E26220"/>
      <c r="F26220"/>
    </row>
    <row r="26221" spans="1:6" x14ac:dyDescent="0.25">
      <c r="A26221"/>
      <c r="B26221"/>
      <c r="C26221"/>
      <c r="E26221"/>
      <c r="F26221"/>
    </row>
    <row r="26222" spans="1:6" x14ac:dyDescent="0.25">
      <c r="A26222"/>
      <c r="B26222"/>
      <c r="C26222"/>
      <c r="E26222"/>
      <c r="F26222"/>
    </row>
    <row r="26223" spans="1:6" x14ac:dyDescent="0.25">
      <c r="A26223"/>
      <c r="B26223"/>
      <c r="C26223"/>
      <c r="E26223"/>
      <c r="F26223"/>
    </row>
    <row r="26224" spans="1:6" x14ac:dyDescent="0.25">
      <c r="A26224"/>
      <c r="B26224"/>
      <c r="C26224"/>
      <c r="E26224"/>
      <c r="F26224"/>
    </row>
    <row r="26225" spans="1:6" x14ac:dyDescent="0.25">
      <c r="A26225"/>
      <c r="B26225"/>
      <c r="C26225"/>
      <c r="E26225"/>
      <c r="F26225"/>
    </row>
    <row r="26226" spans="1:6" x14ac:dyDescent="0.25">
      <c r="A26226"/>
      <c r="B26226"/>
      <c r="C26226"/>
      <c r="E26226"/>
      <c r="F26226"/>
    </row>
    <row r="26227" spans="1:6" x14ac:dyDescent="0.25">
      <c r="A26227"/>
      <c r="B26227"/>
      <c r="C26227"/>
      <c r="E26227"/>
      <c r="F26227"/>
    </row>
    <row r="26228" spans="1:6" x14ac:dyDescent="0.25">
      <c r="A26228"/>
      <c r="B26228"/>
      <c r="C26228"/>
      <c r="E26228"/>
      <c r="F26228"/>
    </row>
    <row r="26229" spans="1:6" x14ac:dyDescent="0.25">
      <c r="A26229"/>
      <c r="B26229"/>
      <c r="C26229"/>
      <c r="E26229"/>
      <c r="F26229"/>
    </row>
    <row r="26230" spans="1:6" x14ac:dyDescent="0.25">
      <c r="A26230"/>
      <c r="B26230"/>
      <c r="C26230"/>
      <c r="E26230"/>
      <c r="F26230"/>
    </row>
    <row r="26231" spans="1:6" x14ac:dyDescent="0.25">
      <c r="A26231"/>
      <c r="B26231"/>
      <c r="C26231"/>
      <c r="E26231"/>
      <c r="F26231"/>
    </row>
    <row r="26232" spans="1:6" x14ac:dyDescent="0.25">
      <c r="A26232"/>
      <c r="B26232"/>
      <c r="C26232"/>
      <c r="E26232"/>
      <c r="F26232"/>
    </row>
    <row r="26233" spans="1:6" x14ac:dyDescent="0.25">
      <c r="A26233"/>
      <c r="B26233"/>
      <c r="C26233"/>
      <c r="E26233"/>
      <c r="F26233"/>
    </row>
    <row r="26234" spans="1:6" x14ac:dyDescent="0.25">
      <c r="A26234"/>
      <c r="B26234"/>
      <c r="C26234"/>
      <c r="E26234"/>
      <c r="F26234"/>
    </row>
    <row r="26235" spans="1:6" x14ac:dyDescent="0.25">
      <c r="A26235"/>
      <c r="B26235"/>
      <c r="C26235"/>
      <c r="E26235"/>
      <c r="F26235"/>
    </row>
    <row r="26236" spans="1:6" x14ac:dyDescent="0.25">
      <c r="A26236"/>
      <c r="B26236"/>
      <c r="C26236"/>
      <c r="E26236"/>
      <c r="F26236"/>
    </row>
    <row r="26237" spans="1:6" x14ac:dyDescent="0.25">
      <c r="A26237"/>
      <c r="B26237"/>
      <c r="C26237"/>
      <c r="E26237"/>
      <c r="F26237"/>
    </row>
    <row r="26238" spans="1:6" x14ac:dyDescent="0.25">
      <c r="A26238"/>
      <c r="B26238"/>
      <c r="C26238"/>
      <c r="E26238"/>
      <c r="F26238"/>
    </row>
    <row r="26239" spans="1:6" x14ac:dyDescent="0.25">
      <c r="A26239"/>
      <c r="B26239"/>
      <c r="C26239"/>
      <c r="E26239"/>
      <c r="F26239"/>
    </row>
    <row r="26240" spans="1:6" x14ac:dyDescent="0.25">
      <c r="A26240"/>
      <c r="B26240"/>
      <c r="C26240"/>
      <c r="E26240"/>
      <c r="F26240"/>
    </row>
    <row r="26241" spans="1:6" x14ac:dyDescent="0.25">
      <c r="A26241"/>
      <c r="B26241"/>
      <c r="C26241"/>
      <c r="E26241"/>
      <c r="F26241"/>
    </row>
    <row r="26242" spans="1:6" x14ac:dyDescent="0.25">
      <c r="A26242"/>
      <c r="B26242"/>
      <c r="C26242"/>
      <c r="E26242"/>
      <c r="F26242"/>
    </row>
    <row r="26243" spans="1:6" x14ac:dyDescent="0.25">
      <c r="A26243"/>
      <c r="B26243"/>
      <c r="C26243"/>
      <c r="E26243"/>
      <c r="F26243"/>
    </row>
    <row r="26244" spans="1:6" x14ac:dyDescent="0.25">
      <c r="A26244"/>
      <c r="B26244"/>
      <c r="C26244"/>
      <c r="E26244"/>
      <c r="F26244"/>
    </row>
    <row r="26245" spans="1:6" x14ac:dyDescent="0.25">
      <c r="A26245"/>
      <c r="B26245"/>
      <c r="C26245"/>
      <c r="E26245"/>
      <c r="F26245"/>
    </row>
    <row r="26246" spans="1:6" x14ac:dyDescent="0.25">
      <c r="A26246"/>
      <c r="B26246"/>
      <c r="C26246"/>
      <c r="E26246"/>
      <c r="F26246"/>
    </row>
    <row r="26247" spans="1:6" x14ac:dyDescent="0.25">
      <c r="A26247"/>
      <c r="B26247"/>
      <c r="C26247"/>
      <c r="E26247"/>
      <c r="F26247"/>
    </row>
    <row r="26248" spans="1:6" x14ac:dyDescent="0.25">
      <c r="A26248"/>
      <c r="B26248"/>
      <c r="C26248"/>
      <c r="E26248"/>
      <c r="F26248"/>
    </row>
    <row r="26249" spans="1:6" x14ac:dyDescent="0.25">
      <c r="A26249"/>
      <c r="B26249"/>
      <c r="C26249"/>
      <c r="E26249"/>
      <c r="F26249"/>
    </row>
    <row r="26250" spans="1:6" x14ac:dyDescent="0.25">
      <c r="A26250"/>
      <c r="B26250"/>
      <c r="C26250"/>
      <c r="E26250"/>
      <c r="F26250"/>
    </row>
    <row r="26251" spans="1:6" x14ac:dyDescent="0.25">
      <c r="A26251"/>
      <c r="B26251"/>
      <c r="C26251"/>
      <c r="E26251"/>
      <c r="F26251"/>
    </row>
    <row r="26252" spans="1:6" x14ac:dyDescent="0.25">
      <c r="A26252"/>
      <c r="B26252"/>
      <c r="C26252"/>
      <c r="E26252"/>
      <c r="F26252"/>
    </row>
    <row r="26253" spans="1:6" x14ac:dyDescent="0.25">
      <c r="A26253"/>
      <c r="B26253"/>
      <c r="C26253"/>
      <c r="E26253"/>
      <c r="F26253"/>
    </row>
    <row r="26254" spans="1:6" x14ac:dyDescent="0.25">
      <c r="A26254"/>
      <c r="B26254"/>
      <c r="C26254"/>
      <c r="E26254"/>
      <c r="F26254"/>
    </row>
    <row r="26255" spans="1:6" x14ac:dyDescent="0.25">
      <c r="A26255"/>
      <c r="B26255"/>
      <c r="C26255"/>
      <c r="E26255"/>
      <c r="F26255"/>
    </row>
    <row r="26256" spans="1:6" x14ac:dyDescent="0.25">
      <c r="A26256"/>
      <c r="B26256"/>
      <c r="C26256"/>
      <c r="E26256"/>
      <c r="F26256"/>
    </row>
    <row r="26257" spans="1:6" x14ac:dyDescent="0.25">
      <c r="A26257"/>
      <c r="B26257"/>
      <c r="C26257"/>
      <c r="E26257"/>
      <c r="F26257"/>
    </row>
    <row r="26258" spans="1:6" x14ac:dyDescent="0.25">
      <c r="A26258"/>
      <c r="B26258"/>
      <c r="C26258"/>
      <c r="E26258"/>
      <c r="F26258"/>
    </row>
    <row r="26259" spans="1:6" x14ac:dyDescent="0.25">
      <c r="A26259"/>
      <c r="B26259"/>
      <c r="C26259"/>
      <c r="E26259"/>
      <c r="F26259"/>
    </row>
    <row r="26260" spans="1:6" x14ac:dyDescent="0.25">
      <c r="A26260"/>
      <c r="B26260"/>
      <c r="C26260"/>
      <c r="E26260"/>
      <c r="F26260"/>
    </row>
    <row r="26261" spans="1:6" x14ac:dyDescent="0.25">
      <c r="A26261"/>
      <c r="B26261"/>
      <c r="C26261"/>
      <c r="E26261"/>
      <c r="F26261"/>
    </row>
    <row r="26262" spans="1:6" x14ac:dyDescent="0.25">
      <c r="A26262"/>
      <c r="B26262"/>
      <c r="C26262"/>
      <c r="E26262"/>
      <c r="F26262"/>
    </row>
    <row r="26263" spans="1:6" x14ac:dyDescent="0.25">
      <c r="A26263"/>
      <c r="B26263"/>
      <c r="C26263"/>
      <c r="E26263"/>
      <c r="F26263"/>
    </row>
    <row r="26264" spans="1:6" x14ac:dyDescent="0.25">
      <c r="A26264"/>
      <c r="B26264"/>
      <c r="C26264"/>
      <c r="E26264"/>
      <c r="F26264"/>
    </row>
    <row r="26265" spans="1:6" x14ac:dyDescent="0.25">
      <c r="A26265"/>
      <c r="B26265"/>
      <c r="C26265"/>
      <c r="E26265"/>
      <c r="F26265"/>
    </row>
    <row r="26266" spans="1:6" x14ac:dyDescent="0.25">
      <c r="A26266"/>
      <c r="B26266"/>
      <c r="C26266"/>
      <c r="E26266"/>
      <c r="F26266"/>
    </row>
    <row r="26267" spans="1:6" x14ac:dyDescent="0.25">
      <c r="A26267"/>
      <c r="B26267"/>
      <c r="C26267"/>
      <c r="E26267"/>
      <c r="F26267"/>
    </row>
    <row r="26268" spans="1:6" x14ac:dyDescent="0.25">
      <c r="A26268"/>
      <c r="B26268"/>
      <c r="C26268"/>
      <c r="E26268"/>
      <c r="F26268"/>
    </row>
    <row r="26269" spans="1:6" x14ac:dyDescent="0.25">
      <c r="A26269"/>
      <c r="B26269"/>
      <c r="C26269"/>
      <c r="E26269"/>
      <c r="F26269"/>
    </row>
    <row r="26270" spans="1:6" x14ac:dyDescent="0.25">
      <c r="A26270"/>
      <c r="B26270"/>
      <c r="C26270"/>
      <c r="E26270"/>
      <c r="F26270"/>
    </row>
    <row r="26271" spans="1:6" x14ac:dyDescent="0.25">
      <c r="A26271"/>
      <c r="B26271"/>
      <c r="C26271"/>
      <c r="E26271"/>
      <c r="F26271"/>
    </row>
    <row r="26272" spans="1:6" x14ac:dyDescent="0.25">
      <c r="A26272"/>
      <c r="B26272"/>
      <c r="C26272"/>
      <c r="E26272"/>
      <c r="F26272"/>
    </row>
    <row r="26273" spans="1:6" x14ac:dyDescent="0.25">
      <c r="A26273"/>
      <c r="B26273"/>
      <c r="C26273"/>
      <c r="E26273"/>
      <c r="F26273"/>
    </row>
    <row r="26274" spans="1:6" x14ac:dyDescent="0.25">
      <c r="A26274"/>
      <c r="B26274"/>
      <c r="C26274"/>
      <c r="E26274"/>
      <c r="F26274"/>
    </row>
    <row r="26275" spans="1:6" x14ac:dyDescent="0.25">
      <c r="A26275"/>
      <c r="B26275"/>
      <c r="C26275"/>
      <c r="E26275"/>
      <c r="F26275"/>
    </row>
    <row r="26276" spans="1:6" x14ac:dyDescent="0.25">
      <c r="A26276"/>
      <c r="B26276"/>
      <c r="C26276"/>
      <c r="E26276"/>
      <c r="F26276"/>
    </row>
    <row r="26277" spans="1:6" x14ac:dyDescent="0.25">
      <c r="A26277"/>
      <c r="B26277"/>
      <c r="C26277"/>
      <c r="E26277"/>
      <c r="F26277"/>
    </row>
    <row r="26278" spans="1:6" x14ac:dyDescent="0.25">
      <c r="A26278"/>
      <c r="B26278"/>
      <c r="C26278"/>
      <c r="E26278"/>
      <c r="F26278"/>
    </row>
    <row r="26279" spans="1:6" x14ac:dyDescent="0.25">
      <c r="A26279"/>
      <c r="B26279"/>
      <c r="C26279"/>
      <c r="E26279"/>
      <c r="F26279"/>
    </row>
    <row r="26280" spans="1:6" x14ac:dyDescent="0.25">
      <c r="A26280"/>
      <c r="B26280"/>
      <c r="C26280"/>
      <c r="E26280"/>
      <c r="F26280"/>
    </row>
    <row r="26281" spans="1:6" x14ac:dyDescent="0.25">
      <c r="A26281"/>
      <c r="B26281"/>
      <c r="C26281"/>
      <c r="E26281"/>
      <c r="F26281"/>
    </row>
    <row r="26282" spans="1:6" x14ac:dyDescent="0.25">
      <c r="A26282"/>
      <c r="B26282"/>
      <c r="C26282"/>
      <c r="E26282"/>
      <c r="F26282"/>
    </row>
    <row r="26283" spans="1:6" x14ac:dyDescent="0.25">
      <c r="A26283"/>
      <c r="B26283"/>
      <c r="C26283"/>
      <c r="E26283"/>
      <c r="F26283"/>
    </row>
    <row r="26284" spans="1:6" x14ac:dyDescent="0.25">
      <c r="A26284"/>
      <c r="B26284"/>
      <c r="C26284"/>
      <c r="E26284"/>
      <c r="F26284"/>
    </row>
    <row r="26285" spans="1:6" x14ac:dyDescent="0.25">
      <c r="A26285"/>
      <c r="B26285"/>
      <c r="C26285"/>
      <c r="E26285"/>
      <c r="F26285"/>
    </row>
    <row r="26286" spans="1:6" x14ac:dyDescent="0.25">
      <c r="A26286"/>
      <c r="B26286"/>
      <c r="C26286"/>
      <c r="E26286"/>
      <c r="F26286"/>
    </row>
    <row r="26287" spans="1:6" x14ac:dyDescent="0.25">
      <c r="A26287"/>
      <c r="B26287"/>
      <c r="C26287"/>
      <c r="E26287"/>
      <c r="F26287"/>
    </row>
    <row r="26288" spans="1:6" x14ac:dyDescent="0.25">
      <c r="A26288"/>
      <c r="B26288"/>
      <c r="C26288"/>
      <c r="E26288"/>
      <c r="F26288"/>
    </row>
    <row r="26289" spans="1:6" x14ac:dyDescent="0.25">
      <c r="A26289"/>
      <c r="B26289"/>
      <c r="C26289"/>
      <c r="E26289"/>
      <c r="F26289"/>
    </row>
    <row r="26290" spans="1:6" x14ac:dyDescent="0.25">
      <c r="A26290"/>
      <c r="B26290"/>
      <c r="C26290"/>
      <c r="E26290"/>
      <c r="F26290"/>
    </row>
    <row r="26291" spans="1:6" x14ac:dyDescent="0.25">
      <c r="A26291"/>
      <c r="B26291"/>
      <c r="C26291"/>
      <c r="E26291"/>
      <c r="F26291"/>
    </row>
    <row r="26292" spans="1:6" x14ac:dyDescent="0.25">
      <c r="A26292"/>
      <c r="B26292"/>
      <c r="C26292"/>
      <c r="E26292"/>
      <c r="F26292"/>
    </row>
    <row r="26293" spans="1:6" x14ac:dyDescent="0.25">
      <c r="A26293"/>
      <c r="B26293"/>
      <c r="C26293"/>
      <c r="E26293"/>
      <c r="F26293"/>
    </row>
    <row r="26294" spans="1:6" x14ac:dyDescent="0.25">
      <c r="A26294"/>
      <c r="B26294"/>
      <c r="C26294"/>
      <c r="E26294"/>
      <c r="F26294"/>
    </row>
    <row r="26295" spans="1:6" x14ac:dyDescent="0.25">
      <c r="A26295"/>
      <c r="B26295"/>
      <c r="C26295"/>
      <c r="E26295"/>
      <c r="F26295"/>
    </row>
    <row r="26296" spans="1:6" x14ac:dyDescent="0.25">
      <c r="A26296"/>
      <c r="B26296"/>
      <c r="C26296"/>
      <c r="E26296"/>
      <c r="F26296"/>
    </row>
    <row r="26297" spans="1:6" x14ac:dyDescent="0.25">
      <c r="A26297"/>
      <c r="B26297"/>
      <c r="C26297"/>
      <c r="E26297"/>
      <c r="F26297"/>
    </row>
    <row r="26298" spans="1:6" x14ac:dyDescent="0.25">
      <c r="A26298"/>
      <c r="B26298"/>
      <c r="C26298"/>
      <c r="E26298"/>
      <c r="F26298"/>
    </row>
    <row r="26299" spans="1:6" x14ac:dyDescent="0.25">
      <c r="A26299"/>
      <c r="B26299"/>
      <c r="C26299"/>
      <c r="E26299"/>
      <c r="F26299"/>
    </row>
    <row r="26300" spans="1:6" x14ac:dyDescent="0.25">
      <c r="A26300"/>
      <c r="B26300"/>
      <c r="C26300"/>
      <c r="E26300"/>
      <c r="F26300"/>
    </row>
    <row r="26301" spans="1:6" x14ac:dyDescent="0.25">
      <c r="A26301"/>
      <c r="B26301"/>
      <c r="C26301"/>
      <c r="E26301"/>
      <c r="F26301"/>
    </row>
    <row r="26302" spans="1:6" x14ac:dyDescent="0.25">
      <c r="A26302"/>
      <c r="B26302"/>
      <c r="C26302"/>
      <c r="E26302"/>
      <c r="F26302"/>
    </row>
    <row r="26303" spans="1:6" x14ac:dyDescent="0.25">
      <c r="A26303"/>
      <c r="B26303"/>
      <c r="C26303"/>
      <c r="E26303"/>
      <c r="F26303"/>
    </row>
    <row r="26304" spans="1:6" x14ac:dyDescent="0.25">
      <c r="A26304"/>
      <c r="B26304"/>
      <c r="C26304"/>
      <c r="E26304"/>
      <c r="F26304"/>
    </row>
    <row r="26305" spans="1:6" x14ac:dyDescent="0.25">
      <c r="A26305"/>
      <c r="B26305"/>
      <c r="C26305"/>
      <c r="E26305"/>
      <c r="F26305"/>
    </row>
    <row r="26306" spans="1:6" x14ac:dyDescent="0.25">
      <c r="A26306"/>
      <c r="B26306"/>
      <c r="C26306"/>
      <c r="E26306"/>
      <c r="F26306"/>
    </row>
    <row r="26307" spans="1:6" x14ac:dyDescent="0.25">
      <c r="A26307"/>
      <c r="B26307"/>
      <c r="C26307"/>
      <c r="E26307"/>
      <c r="F26307"/>
    </row>
    <row r="26308" spans="1:6" x14ac:dyDescent="0.25">
      <c r="A26308"/>
      <c r="B26308"/>
      <c r="C26308"/>
      <c r="E26308"/>
      <c r="F26308"/>
    </row>
    <row r="26309" spans="1:6" x14ac:dyDescent="0.25">
      <c r="A26309"/>
      <c r="B26309"/>
      <c r="C26309"/>
      <c r="E26309"/>
      <c r="F26309"/>
    </row>
    <row r="26310" spans="1:6" x14ac:dyDescent="0.25">
      <c r="A26310"/>
      <c r="B26310"/>
      <c r="C26310"/>
      <c r="E26310"/>
      <c r="F26310"/>
    </row>
    <row r="26311" spans="1:6" x14ac:dyDescent="0.25">
      <c r="A26311"/>
      <c r="B26311"/>
      <c r="C26311"/>
      <c r="E26311"/>
      <c r="F26311"/>
    </row>
    <row r="26312" spans="1:6" x14ac:dyDescent="0.25">
      <c r="A26312"/>
      <c r="B26312"/>
      <c r="C26312"/>
      <c r="E26312"/>
      <c r="F26312"/>
    </row>
    <row r="26313" spans="1:6" x14ac:dyDescent="0.25">
      <c r="A26313"/>
      <c r="B26313"/>
      <c r="C26313"/>
      <c r="E26313"/>
      <c r="F26313"/>
    </row>
    <row r="26314" spans="1:6" x14ac:dyDescent="0.25">
      <c r="A26314"/>
      <c r="B26314"/>
      <c r="C26314"/>
      <c r="E26314"/>
      <c r="F26314"/>
    </row>
    <row r="26315" spans="1:6" x14ac:dyDescent="0.25">
      <c r="A26315"/>
      <c r="B26315"/>
      <c r="C26315"/>
      <c r="E26315"/>
      <c r="F26315"/>
    </row>
    <row r="26316" spans="1:6" x14ac:dyDescent="0.25">
      <c r="A26316"/>
      <c r="B26316"/>
      <c r="C26316"/>
      <c r="E26316"/>
      <c r="F26316"/>
    </row>
    <row r="26317" spans="1:6" x14ac:dyDescent="0.25">
      <c r="A26317"/>
      <c r="B26317"/>
      <c r="C26317"/>
      <c r="E26317"/>
      <c r="F26317"/>
    </row>
    <row r="26318" spans="1:6" x14ac:dyDescent="0.25">
      <c r="A26318"/>
      <c r="B26318"/>
      <c r="C26318"/>
      <c r="E26318"/>
      <c r="F26318"/>
    </row>
    <row r="26319" spans="1:6" x14ac:dyDescent="0.25">
      <c r="A26319"/>
      <c r="B26319"/>
      <c r="C26319"/>
      <c r="E26319"/>
      <c r="F26319"/>
    </row>
    <row r="26320" spans="1:6" x14ac:dyDescent="0.25">
      <c r="A26320"/>
      <c r="B26320"/>
      <c r="C26320"/>
      <c r="E26320"/>
      <c r="F26320"/>
    </row>
    <row r="26321" spans="1:6" x14ac:dyDescent="0.25">
      <c r="A26321"/>
      <c r="B26321"/>
      <c r="C26321"/>
      <c r="E26321"/>
      <c r="F26321"/>
    </row>
    <row r="26322" spans="1:6" x14ac:dyDescent="0.25">
      <c r="A26322"/>
      <c r="B26322"/>
      <c r="C26322"/>
      <c r="E26322"/>
      <c r="F26322"/>
    </row>
    <row r="26323" spans="1:6" x14ac:dyDescent="0.25">
      <c r="A26323"/>
      <c r="B26323"/>
      <c r="C26323"/>
      <c r="E26323"/>
      <c r="F26323"/>
    </row>
    <row r="26324" spans="1:6" x14ac:dyDescent="0.25">
      <c r="A26324"/>
      <c r="B26324"/>
      <c r="C26324"/>
      <c r="E26324"/>
      <c r="F26324"/>
    </row>
    <row r="26325" spans="1:6" x14ac:dyDescent="0.25">
      <c r="A26325"/>
      <c r="B26325"/>
      <c r="C26325"/>
      <c r="E26325"/>
      <c r="F26325"/>
    </row>
    <row r="26326" spans="1:6" x14ac:dyDescent="0.25">
      <c r="A26326"/>
      <c r="B26326"/>
      <c r="C26326"/>
      <c r="E26326"/>
      <c r="F26326"/>
    </row>
    <row r="26327" spans="1:6" x14ac:dyDescent="0.25">
      <c r="A26327"/>
      <c r="B26327"/>
      <c r="C26327"/>
      <c r="E26327"/>
      <c r="F26327"/>
    </row>
    <row r="26328" spans="1:6" x14ac:dyDescent="0.25">
      <c r="A26328"/>
      <c r="B26328"/>
      <c r="C26328"/>
      <c r="E26328"/>
      <c r="F26328"/>
    </row>
    <row r="26329" spans="1:6" x14ac:dyDescent="0.25">
      <c r="A26329"/>
      <c r="B26329"/>
      <c r="C26329"/>
      <c r="E26329"/>
      <c r="F26329"/>
    </row>
    <row r="26330" spans="1:6" x14ac:dyDescent="0.25">
      <c r="A26330"/>
      <c r="B26330"/>
      <c r="C26330"/>
      <c r="E26330"/>
      <c r="F26330"/>
    </row>
    <row r="26331" spans="1:6" x14ac:dyDescent="0.25">
      <c r="A26331"/>
      <c r="B26331"/>
      <c r="C26331"/>
      <c r="E26331"/>
      <c r="F26331"/>
    </row>
    <row r="26332" spans="1:6" x14ac:dyDescent="0.25">
      <c r="A26332"/>
      <c r="B26332"/>
      <c r="C26332"/>
      <c r="E26332"/>
      <c r="F26332"/>
    </row>
    <row r="26333" spans="1:6" x14ac:dyDescent="0.25">
      <c r="A26333"/>
      <c r="B26333"/>
      <c r="C26333"/>
      <c r="E26333"/>
      <c r="F26333"/>
    </row>
    <row r="26334" spans="1:6" x14ac:dyDescent="0.25">
      <c r="A26334"/>
      <c r="B26334"/>
      <c r="C26334"/>
      <c r="E26334"/>
      <c r="F26334"/>
    </row>
    <row r="26335" spans="1:6" x14ac:dyDescent="0.25">
      <c r="A26335"/>
      <c r="B26335"/>
      <c r="C26335"/>
      <c r="E26335"/>
      <c r="F26335"/>
    </row>
    <row r="26336" spans="1:6" x14ac:dyDescent="0.25">
      <c r="A26336"/>
      <c r="B26336"/>
      <c r="C26336"/>
      <c r="E26336"/>
      <c r="F26336"/>
    </row>
    <row r="26337" spans="1:6" x14ac:dyDescent="0.25">
      <c r="A26337"/>
      <c r="B26337"/>
      <c r="C26337"/>
      <c r="E26337"/>
      <c r="F26337"/>
    </row>
    <row r="26338" spans="1:6" x14ac:dyDescent="0.25">
      <c r="A26338"/>
      <c r="B26338"/>
      <c r="C26338"/>
      <c r="E26338"/>
      <c r="F26338"/>
    </row>
    <row r="26339" spans="1:6" x14ac:dyDescent="0.25">
      <c r="A26339"/>
      <c r="B26339"/>
      <c r="C26339"/>
      <c r="E26339"/>
      <c r="F26339"/>
    </row>
    <row r="26340" spans="1:6" x14ac:dyDescent="0.25">
      <c r="A26340"/>
      <c r="B26340"/>
      <c r="C26340"/>
      <c r="E26340"/>
      <c r="F26340"/>
    </row>
    <row r="26341" spans="1:6" x14ac:dyDescent="0.25">
      <c r="A26341"/>
      <c r="B26341"/>
      <c r="C26341"/>
      <c r="E26341"/>
      <c r="F26341"/>
    </row>
    <row r="26342" spans="1:6" x14ac:dyDescent="0.25">
      <c r="A26342"/>
      <c r="B26342"/>
      <c r="C26342"/>
      <c r="E26342"/>
      <c r="F26342"/>
    </row>
    <row r="26343" spans="1:6" x14ac:dyDescent="0.25">
      <c r="A26343"/>
      <c r="B26343"/>
      <c r="C26343"/>
      <c r="E26343"/>
      <c r="F26343"/>
    </row>
    <row r="26344" spans="1:6" x14ac:dyDescent="0.25">
      <c r="A26344"/>
      <c r="B26344"/>
      <c r="C26344"/>
      <c r="E26344"/>
      <c r="F26344"/>
    </row>
    <row r="26345" spans="1:6" x14ac:dyDescent="0.25">
      <c r="A26345"/>
      <c r="B26345"/>
      <c r="C26345"/>
      <c r="E26345"/>
      <c r="F26345"/>
    </row>
    <row r="26346" spans="1:6" x14ac:dyDescent="0.25">
      <c r="A26346"/>
      <c r="B26346"/>
      <c r="C26346"/>
      <c r="E26346"/>
      <c r="F26346"/>
    </row>
    <row r="26347" spans="1:6" x14ac:dyDescent="0.25">
      <c r="A26347"/>
      <c r="B26347"/>
      <c r="C26347"/>
      <c r="E26347"/>
      <c r="F26347"/>
    </row>
    <row r="26348" spans="1:6" x14ac:dyDescent="0.25">
      <c r="A26348"/>
      <c r="B26348"/>
      <c r="C26348"/>
      <c r="E26348"/>
      <c r="F26348"/>
    </row>
    <row r="26349" spans="1:6" x14ac:dyDescent="0.25">
      <c r="A26349"/>
      <c r="B26349"/>
      <c r="C26349"/>
      <c r="E26349"/>
      <c r="F26349"/>
    </row>
    <row r="26350" spans="1:6" x14ac:dyDescent="0.25">
      <c r="A26350"/>
      <c r="B26350"/>
      <c r="C26350"/>
      <c r="E26350"/>
      <c r="F26350"/>
    </row>
    <row r="26351" spans="1:6" x14ac:dyDescent="0.25">
      <c r="A26351"/>
      <c r="B26351"/>
      <c r="C26351"/>
      <c r="E26351"/>
      <c r="F26351"/>
    </row>
    <row r="26352" spans="1:6" x14ac:dyDescent="0.25">
      <c r="A26352"/>
      <c r="B26352"/>
      <c r="C26352"/>
      <c r="E26352"/>
      <c r="F26352"/>
    </row>
    <row r="26353" spans="1:6" x14ac:dyDescent="0.25">
      <c r="A26353"/>
      <c r="B26353"/>
      <c r="C26353"/>
      <c r="E26353"/>
      <c r="F26353"/>
    </row>
    <row r="26354" spans="1:6" x14ac:dyDescent="0.25">
      <c r="A26354"/>
      <c r="B26354"/>
      <c r="C26354"/>
      <c r="E26354"/>
      <c r="F26354"/>
    </row>
    <row r="26355" spans="1:6" x14ac:dyDescent="0.25">
      <c r="A26355"/>
      <c r="B26355"/>
      <c r="C26355"/>
      <c r="E26355"/>
      <c r="F26355"/>
    </row>
    <row r="26356" spans="1:6" x14ac:dyDescent="0.25">
      <c r="A26356"/>
      <c r="B26356"/>
      <c r="C26356"/>
      <c r="E26356"/>
      <c r="F26356"/>
    </row>
    <row r="26357" spans="1:6" x14ac:dyDescent="0.25">
      <c r="A26357"/>
      <c r="B26357"/>
      <c r="C26357"/>
      <c r="E26357"/>
      <c r="F26357"/>
    </row>
    <row r="26358" spans="1:6" x14ac:dyDescent="0.25">
      <c r="A26358"/>
      <c r="B26358"/>
      <c r="C26358"/>
      <c r="E26358"/>
      <c r="F26358"/>
    </row>
    <row r="26359" spans="1:6" x14ac:dyDescent="0.25">
      <c r="A26359"/>
      <c r="B26359"/>
      <c r="C26359"/>
      <c r="E26359"/>
      <c r="F26359"/>
    </row>
    <row r="26360" spans="1:6" x14ac:dyDescent="0.25">
      <c r="A26360"/>
      <c r="B26360"/>
      <c r="C26360"/>
      <c r="E26360"/>
      <c r="F26360"/>
    </row>
    <row r="26361" spans="1:6" x14ac:dyDescent="0.25">
      <c r="A26361"/>
      <c r="B26361"/>
      <c r="C26361"/>
      <c r="E26361"/>
      <c r="F26361"/>
    </row>
    <row r="26362" spans="1:6" x14ac:dyDescent="0.25">
      <c r="A26362"/>
      <c r="B26362"/>
      <c r="C26362"/>
      <c r="E26362"/>
      <c r="F26362"/>
    </row>
    <row r="26363" spans="1:6" x14ac:dyDescent="0.25">
      <c r="A26363"/>
      <c r="B26363"/>
      <c r="C26363"/>
      <c r="E26363"/>
      <c r="F26363"/>
    </row>
    <row r="26364" spans="1:6" x14ac:dyDescent="0.25">
      <c r="A26364"/>
      <c r="B26364"/>
      <c r="C26364"/>
      <c r="E26364"/>
      <c r="F26364"/>
    </row>
    <row r="26365" spans="1:6" x14ac:dyDescent="0.25">
      <c r="A26365"/>
      <c r="B26365"/>
      <c r="C26365"/>
      <c r="E26365"/>
      <c r="F26365"/>
    </row>
    <row r="26366" spans="1:6" x14ac:dyDescent="0.25">
      <c r="A26366"/>
      <c r="B26366"/>
      <c r="C26366"/>
      <c r="E26366"/>
      <c r="F26366"/>
    </row>
    <row r="26367" spans="1:6" x14ac:dyDescent="0.25">
      <c r="A26367"/>
      <c r="B26367"/>
      <c r="C26367"/>
      <c r="E26367"/>
      <c r="F26367"/>
    </row>
    <row r="26368" spans="1:6" x14ac:dyDescent="0.25">
      <c r="A26368"/>
      <c r="B26368"/>
      <c r="C26368"/>
      <c r="E26368"/>
      <c r="F26368"/>
    </row>
    <row r="26369" spans="1:6" x14ac:dyDescent="0.25">
      <c r="A26369"/>
      <c r="B26369"/>
      <c r="C26369"/>
      <c r="E26369"/>
      <c r="F26369"/>
    </row>
    <row r="26370" spans="1:6" x14ac:dyDescent="0.25">
      <c r="A26370"/>
      <c r="B26370"/>
      <c r="C26370"/>
      <c r="E26370"/>
      <c r="F26370"/>
    </row>
    <row r="26371" spans="1:6" x14ac:dyDescent="0.25">
      <c r="A26371"/>
      <c r="B26371"/>
      <c r="C26371"/>
      <c r="E26371"/>
      <c r="F26371"/>
    </row>
    <row r="26372" spans="1:6" x14ac:dyDescent="0.25">
      <c r="A26372"/>
      <c r="B26372"/>
      <c r="C26372"/>
      <c r="E26372"/>
      <c r="F26372"/>
    </row>
    <row r="26373" spans="1:6" x14ac:dyDescent="0.25">
      <c r="A26373"/>
      <c r="B26373"/>
      <c r="C26373"/>
      <c r="E26373"/>
      <c r="F26373"/>
    </row>
    <row r="26374" spans="1:6" x14ac:dyDescent="0.25">
      <c r="A26374"/>
      <c r="B26374"/>
      <c r="C26374"/>
      <c r="E26374"/>
      <c r="F26374"/>
    </row>
    <row r="26375" spans="1:6" x14ac:dyDescent="0.25">
      <c r="A26375"/>
      <c r="B26375"/>
      <c r="C26375"/>
      <c r="E26375"/>
      <c r="F26375"/>
    </row>
    <row r="26376" spans="1:6" x14ac:dyDescent="0.25">
      <c r="A26376"/>
      <c r="B26376"/>
      <c r="C26376"/>
      <c r="E26376"/>
      <c r="F26376"/>
    </row>
    <row r="26377" spans="1:6" x14ac:dyDescent="0.25">
      <c r="A26377"/>
      <c r="B26377"/>
      <c r="C26377"/>
      <c r="E26377"/>
      <c r="F26377"/>
    </row>
    <row r="26378" spans="1:6" x14ac:dyDescent="0.25">
      <c r="A26378"/>
      <c r="B26378"/>
      <c r="C26378"/>
      <c r="E26378"/>
      <c r="F26378"/>
    </row>
    <row r="26379" spans="1:6" x14ac:dyDescent="0.25">
      <c r="A26379"/>
      <c r="B26379"/>
      <c r="C26379"/>
      <c r="E26379"/>
      <c r="F26379"/>
    </row>
    <row r="26380" spans="1:6" x14ac:dyDescent="0.25">
      <c r="A26380"/>
      <c r="B26380"/>
      <c r="C26380"/>
      <c r="E26380"/>
      <c r="F26380"/>
    </row>
    <row r="26381" spans="1:6" x14ac:dyDescent="0.25">
      <c r="A26381"/>
      <c r="B26381"/>
      <c r="C26381"/>
      <c r="E26381"/>
      <c r="F26381"/>
    </row>
    <row r="26382" spans="1:6" x14ac:dyDescent="0.25">
      <c r="A26382"/>
      <c r="B26382"/>
      <c r="C26382"/>
      <c r="E26382"/>
      <c r="F26382"/>
    </row>
    <row r="26383" spans="1:6" x14ac:dyDescent="0.25">
      <c r="A26383"/>
      <c r="B26383"/>
      <c r="C26383"/>
      <c r="E26383"/>
      <c r="F26383"/>
    </row>
    <row r="26384" spans="1:6" x14ac:dyDescent="0.25">
      <c r="A26384"/>
      <c r="B26384"/>
      <c r="C26384"/>
      <c r="E26384"/>
      <c r="F26384"/>
    </row>
    <row r="26385" spans="1:6" x14ac:dyDescent="0.25">
      <c r="A26385"/>
      <c r="B26385"/>
      <c r="C26385"/>
      <c r="E26385"/>
      <c r="F26385"/>
    </row>
    <row r="26386" spans="1:6" x14ac:dyDescent="0.25">
      <c r="A26386"/>
      <c r="B26386"/>
      <c r="C26386"/>
      <c r="E26386"/>
      <c r="F26386"/>
    </row>
    <row r="26387" spans="1:6" x14ac:dyDescent="0.25">
      <c r="A26387"/>
      <c r="B26387"/>
      <c r="C26387"/>
      <c r="E26387"/>
      <c r="F26387"/>
    </row>
    <row r="26388" spans="1:6" x14ac:dyDescent="0.25">
      <c r="A26388"/>
      <c r="B26388"/>
      <c r="C26388"/>
      <c r="E26388"/>
      <c r="F26388"/>
    </row>
    <row r="26389" spans="1:6" x14ac:dyDescent="0.25">
      <c r="A26389"/>
      <c r="B26389"/>
      <c r="C26389"/>
      <c r="E26389"/>
      <c r="F26389"/>
    </row>
    <row r="26390" spans="1:6" x14ac:dyDescent="0.25">
      <c r="A26390"/>
      <c r="B26390"/>
      <c r="C26390"/>
      <c r="E26390"/>
      <c r="F26390"/>
    </row>
    <row r="26391" spans="1:6" x14ac:dyDescent="0.25">
      <c r="A26391"/>
      <c r="B26391"/>
      <c r="C26391"/>
      <c r="E26391"/>
      <c r="F26391"/>
    </row>
    <row r="26392" spans="1:6" x14ac:dyDescent="0.25">
      <c r="A26392"/>
      <c r="B26392"/>
      <c r="C26392"/>
      <c r="E26392"/>
      <c r="F26392"/>
    </row>
    <row r="26393" spans="1:6" x14ac:dyDescent="0.25">
      <c r="A26393"/>
      <c r="B26393"/>
      <c r="C26393"/>
      <c r="E26393"/>
      <c r="F26393"/>
    </row>
    <row r="26394" spans="1:6" x14ac:dyDescent="0.25">
      <c r="A26394"/>
      <c r="B26394"/>
      <c r="C26394"/>
      <c r="E26394"/>
      <c r="F26394"/>
    </row>
    <row r="26395" spans="1:6" x14ac:dyDescent="0.25">
      <c r="A26395"/>
      <c r="B26395"/>
      <c r="C26395"/>
      <c r="E26395"/>
      <c r="F26395"/>
    </row>
    <row r="26396" spans="1:6" x14ac:dyDescent="0.25">
      <c r="A26396"/>
      <c r="B26396"/>
      <c r="C26396"/>
      <c r="E26396"/>
      <c r="F26396"/>
    </row>
    <row r="26397" spans="1:6" x14ac:dyDescent="0.25">
      <c r="A26397"/>
      <c r="B26397"/>
      <c r="C26397"/>
      <c r="E26397"/>
      <c r="F26397"/>
    </row>
    <row r="26398" spans="1:6" x14ac:dyDescent="0.25">
      <c r="A26398"/>
      <c r="B26398"/>
      <c r="C26398"/>
      <c r="E26398"/>
      <c r="F26398"/>
    </row>
    <row r="26399" spans="1:6" x14ac:dyDescent="0.25">
      <c r="A26399"/>
      <c r="B26399"/>
      <c r="C26399"/>
      <c r="E26399"/>
      <c r="F26399"/>
    </row>
    <row r="26400" spans="1:6" x14ac:dyDescent="0.25">
      <c r="A26400"/>
      <c r="B26400"/>
      <c r="C26400"/>
      <c r="E26400"/>
      <c r="F26400"/>
    </row>
    <row r="26401" spans="1:6" x14ac:dyDescent="0.25">
      <c r="A26401"/>
      <c r="B26401"/>
      <c r="C26401"/>
      <c r="E26401"/>
      <c r="F26401"/>
    </row>
    <row r="26402" spans="1:6" x14ac:dyDescent="0.25">
      <c r="A26402"/>
      <c r="B26402"/>
      <c r="C26402"/>
      <c r="E26402"/>
      <c r="F26402"/>
    </row>
    <row r="26403" spans="1:6" x14ac:dyDescent="0.25">
      <c r="A26403"/>
      <c r="B26403"/>
      <c r="C26403"/>
      <c r="E26403"/>
      <c r="F26403"/>
    </row>
    <row r="26404" spans="1:6" x14ac:dyDescent="0.25">
      <c r="A26404"/>
      <c r="B26404"/>
      <c r="C26404"/>
      <c r="E26404"/>
      <c r="F26404"/>
    </row>
    <row r="26405" spans="1:6" x14ac:dyDescent="0.25">
      <c r="A26405"/>
      <c r="B26405"/>
      <c r="C26405"/>
      <c r="E26405"/>
      <c r="F26405"/>
    </row>
    <row r="26406" spans="1:6" x14ac:dyDescent="0.25">
      <c r="A26406"/>
      <c r="B26406"/>
      <c r="C26406"/>
      <c r="E26406"/>
      <c r="F26406"/>
    </row>
    <row r="26407" spans="1:6" x14ac:dyDescent="0.25">
      <c r="A26407"/>
      <c r="B26407"/>
      <c r="C26407"/>
      <c r="E26407"/>
      <c r="F26407"/>
    </row>
    <row r="26408" spans="1:6" x14ac:dyDescent="0.25">
      <c r="A26408"/>
      <c r="B26408"/>
      <c r="C26408"/>
      <c r="E26408"/>
      <c r="F26408"/>
    </row>
    <row r="26409" spans="1:6" x14ac:dyDescent="0.25">
      <c r="A26409"/>
      <c r="B26409"/>
      <c r="C26409"/>
      <c r="E26409"/>
      <c r="F26409"/>
    </row>
    <row r="26410" spans="1:6" x14ac:dyDescent="0.25">
      <c r="A26410"/>
      <c r="B26410"/>
      <c r="C26410"/>
      <c r="E26410"/>
      <c r="F26410"/>
    </row>
    <row r="26411" spans="1:6" x14ac:dyDescent="0.25">
      <c r="A26411"/>
      <c r="B26411"/>
      <c r="C26411"/>
      <c r="E26411"/>
      <c r="F26411"/>
    </row>
    <row r="26412" spans="1:6" x14ac:dyDescent="0.25">
      <c r="A26412"/>
      <c r="B26412"/>
      <c r="C26412"/>
      <c r="E26412"/>
      <c r="F26412"/>
    </row>
    <row r="26413" spans="1:6" x14ac:dyDescent="0.25">
      <c r="A26413"/>
      <c r="B26413"/>
      <c r="C26413"/>
      <c r="E26413"/>
      <c r="F26413"/>
    </row>
    <row r="26414" spans="1:6" x14ac:dyDescent="0.25">
      <c r="A26414"/>
      <c r="B26414"/>
      <c r="C26414"/>
      <c r="E26414"/>
      <c r="F26414"/>
    </row>
    <row r="26415" spans="1:6" x14ac:dyDescent="0.25">
      <c r="A26415"/>
      <c r="B26415"/>
      <c r="C26415"/>
      <c r="E26415"/>
      <c r="F26415"/>
    </row>
    <row r="26416" spans="1:6" x14ac:dyDescent="0.25">
      <c r="A26416"/>
      <c r="B26416"/>
      <c r="C26416"/>
      <c r="E26416"/>
      <c r="F26416"/>
    </row>
    <row r="26417" spans="1:6" x14ac:dyDescent="0.25">
      <c r="A26417"/>
      <c r="B26417"/>
      <c r="C26417"/>
      <c r="E26417"/>
      <c r="F26417"/>
    </row>
    <row r="26418" spans="1:6" x14ac:dyDescent="0.25">
      <c r="A26418"/>
      <c r="B26418"/>
      <c r="C26418"/>
      <c r="E26418"/>
      <c r="F26418"/>
    </row>
    <row r="26419" spans="1:6" x14ac:dyDescent="0.25">
      <c r="A26419"/>
      <c r="B26419"/>
      <c r="C26419"/>
      <c r="E26419"/>
      <c r="F26419"/>
    </row>
    <row r="26420" spans="1:6" x14ac:dyDescent="0.25">
      <c r="A26420"/>
      <c r="B26420"/>
      <c r="C26420"/>
      <c r="E26420"/>
      <c r="F26420"/>
    </row>
    <row r="26421" spans="1:6" x14ac:dyDescent="0.25">
      <c r="A26421"/>
      <c r="B26421"/>
      <c r="C26421"/>
      <c r="E26421"/>
      <c r="F26421"/>
    </row>
    <row r="26422" spans="1:6" x14ac:dyDescent="0.25">
      <c r="A26422"/>
      <c r="B26422"/>
      <c r="C26422"/>
      <c r="E26422"/>
      <c r="F26422"/>
    </row>
    <row r="26423" spans="1:6" x14ac:dyDescent="0.25">
      <c r="A26423"/>
      <c r="B26423"/>
      <c r="C26423"/>
      <c r="E26423"/>
      <c r="F26423"/>
    </row>
    <row r="26424" spans="1:6" x14ac:dyDescent="0.25">
      <c r="A26424"/>
      <c r="B26424"/>
      <c r="C26424"/>
      <c r="E26424"/>
      <c r="F26424"/>
    </row>
    <row r="26425" spans="1:6" x14ac:dyDescent="0.25">
      <c r="A26425"/>
      <c r="B26425"/>
      <c r="C26425"/>
      <c r="E26425"/>
      <c r="F26425"/>
    </row>
    <row r="26426" spans="1:6" x14ac:dyDescent="0.25">
      <c r="A26426"/>
      <c r="B26426"/>
      <c r="C26426"/>
      <c r="E26426"/>
      <c r="F26426"/>
    </row>
    <row r="26427" spans="1:6" x14ac:dyDescent="0.25">
      <c r="A26427"/>
      <c r="B26427"/>
      <c r="C26427"/>
      <c r="E26427"/>
      <c r="F26427"/>
    </row>
    <row r="26428" spans="1:6" x14ac:dyDescent="0.25">
      <c r="A26428"/>
      <c r="B26428"/>
      <c r="C26428"/>
      <c r="E26428"/>
      <c r="F26428"/>
    </row>
    <row r="26429" spans="1:6" x14ac:dyDescent="0.25">
      <c r="A26429"/>
      <c r="B26429"/>
      <c r="C26429"/>
      <c r="E26429"/>
      <c r="F26429"/>
    </row>
    <row r="26430" spans="1:6" x14ac:dyDescent="0.25">
      <c r="A26430"/>
      <c r="B26430"/>
      <c r="C26430"/>
      <c r="E26430"/>
      <c r="F26430"/>
    </row>
    <row r="26431" spans="1:6" x14ac:dyDescent="0.25">
      <c r="A26431"/>
      <c r="B26431"/>
      <c r="C26431"/>
      <c r="E26431"/>
      <c r="F26431"/>
    </row>
    <row r="26432" spans="1:6" x14ac:dyDescent="0.25">
      <c r="A26432"/>
      <c r="B26432"/>
      <c r="C26432"/>
      <c r="E26432"/>
      <c r="F26432"/>
    </row>
    <row r="26433" spans="1:6" x14ac:dyDescent="0.25">
      <c r="A26433"/>
      <c r="B26433"/>
      <c r="C26433"/>
      <c r="E26433"/>
      <c r="F26433"/>
    </row>
    <row r="26434" spans="1:6" x14ac:dyDescent="0.25">
      <c r="A26434"/>
      <c r="B26434"/>
      <c r="C26434"/>
      <c r="E26434"/>
      <c r="F26434"/>
    </row>
    <row r="26435" spans="1:6" x14ac:dyDescent="0.25">
      <c r="A26435"/>
      <c r="B26435"/>
      <c r="C26435"/>
      <c r="E26435"/>
      <c r="F26435"/>
    </row>
    <row r="26436" spans="1:6" x14ac:dyDescent="0.25">
      <c r="A26436"/>
      <c r="B26436"/>
      <c r="C26436"/>
      <c r="E26436"/>
      <c r="F26436"/>
    </row>
    <row r="26437" spans="1:6" x14ac:dyDescent="0.25">
      <c r="A26437"/>
      <c r="B26437"/>
      <c r="C26437"/>
      <c r="E26437"/>
      <c r="F26437"/>
    </row>
    <row r="26438" spans="1:6" x14ac:dyDescent="0.25">
      <c r="A26438"/>
      <c r="B26438"/>
      <c r="C26438"/>
      <c r="E26438"/>
      <c r="F26438"/>
    </row>
    <row r="26439" spans="1:6" x14ac:dyDescent="0.25">
      <c r="A26439"/>
      <c r="B26439"/>
      <c r="C26439"/>
      <c r="E26439"/>
      <c r="F26439"/>
    </row>
    <row r="26440" spans="1:6" x14ac:dyDescent="0.25">
      <c r="A26440"/>
      <c r="B26440"/>
      <c r="C26440"/>
      <c r="E26440"/>
      <c r="F26440"/>
    </row>
    <row r="26441" spans="1:6" x14ac:dyDescent="0.25">
      <c r="A26441"/>
      <c r="B26441"/>
      <c r="C26441"/>
      <c r="E26441"/>
      <c r="F26441"/>
    </row>
    <row r="26442" spans="1:6" x14ac:dyDescent="0.25">
      <c r="A26442"/>
      <c r="B26442"/>
      <c r="C26442"/>
      <c r="E26442"/>
      <c r="F26442"/>
    </row>
    <row r="26443" spans="1:6" x14ac:dyDescent="0.25">
      <c r="A26443"/>
      <c r="B26443"/>
      <c r="C26443"/>
      <c r="E26443"/>
      <c r="F26443"/>
    </row>
    <row r="26444" spans="1:6" x14ac:dyDescent="0.25">
      <c r="A26444"/>
      <c r="B26444"/>
      <c r="C26444"/>
      <c r="E26444"/>
      <c r="F26444"/>
    </row>
    <row r="26445" spans="1:6" x14ac:dyDescent="0.25">
      <c r="A26445"/>
      <c r="B26445"/>
      <c r="C26445"/>
      <c r="E26445"/>
      <c r="F26445"/>
    </row>
    <row r="26446" spans="1:6" x14ac:dyDescent="0.25">
      <c r="A26446"/>
      <c r="B26446"/>
      <c r="C26446"/>
      <c r="E26446"/>
      <c r="F26446"/>
    </row>
    <row r="26447" spans="1:6" x14ac:dyDescent="0.25">
      <c r="A26447"/>
      <c r="B26447"/>
      <c r="C26447"/>
      <c r="E26447"/>
      <c r="F26447"/>
    </row>
    <row r="26448" spans="1:6" x14ac:dyDescent="0.25">
      <c r="A26448"/>
      <c r="B26448"/>
      <c r="C26448"/>
      <c r="E26448"/>
      <c r="F26448"/>
    </row>
    <row r="26449" spans="1:6" x14ac:dyDescent="0.25">
      <c r="A26449"/>
      <c r="B26449"/>
      <c r="C26449"/>
      <c r="E26449"/>
      <c r="F26449"/>
    </row>
    <row r="26450" spans="1:6" x14ac:dyDescent="0.25">
      <c r="A26450"/>
      <c r="B26450"/>
      <c r="C26450"/>
      <c r="E26450"/>
      <c r="F26450"/>
    </row>
    <row r="26451" spans="1:6" x14ac:dyDescent="0.25">
      <c r="A26451"/>
      <c r="B26451"/>
      <c r="C26451"/>
      <c r="E26451"/>
      <c r="F26451"/>
    </row>
    <row r="26452" spans="1:6" x14ac:dyDescent="0.25">
      <c r="A26452"/>
      <c r="B26452"/>
      <c r="C26452"/>
      <c r="E26452"/>
      <c r="F26452"/>
    </row>
    <row r="26453" spans="1:6" x14ac:dyDescent="0.25">
      <c r="A26453"/>
      <c r="B26453"/>
      <c r="C26453"/>
      <c r="E26453"/>
      <c r="F26453"/>
    </row>
    <row r="26454" spans="1:6" x14ac:dyDescent="0.25">
      <c r="A26454"/>
      <c r="B26454"/>
      <c r="C26454"/>
      <c r="E26454"/>
      <c r="F26454"/>
    </row>
    <row r="26455" spans="1:6" x14ac:dyDescent="0.25">
      <c r="A26455"/>
      <c r="B26455"/>
      <c r="C26455"/>
      <c r="E26455"/>
      <c r="F26455"/>
    </row>
    <row r="26456" spans="1:6" x14ac:dyDescent="0.25">
      <c r="A26456"/>
      <c r="B26456"/>
      <c r="C26456"/>
      <c r="E26456"/>
      <c r="F26456"/>
    </row>
    <row r="26457" spans="1:6" x14ac:dyDescent="0.25">
      <c r="A26457"/>
      <c r="B26457"/>
      <c r="C26457"/>
      <c r="E26457"/>
      <c r="F26457"/>
    </row>
    <row r="26458" spans="1:6" x14ac:dyDescent="0.25">
      <c r="A26458"/>
      <c r="B26458"/>
      <c r="C26458"/>
      <c r="E26458"/>
      <c r="F26458"/>
    </row>
    <row r="26459" spans="1:6" x14ac:dyDescent="0.25">
      <c r="A26459"/>
      <c r="B26459"/>
      <c r="C26459"/>
      <c r="E26459"/>
      <c r="F26459"/>
    </row>
    <row r="26460" spans="1:6" x14ac:dyDescent="0.25">
      <c r="A26460"/>
      <c r="B26460"/>
      <c r="C26460"/>
      <c r="E26460"/>
      <c r="F26460"/>
    </row>
    <row r="26461" spans="1:6" x14ac:dyDescent="0.25">
      <c r="A26461"/>
      <c r="B26461"/>
      <c r="C26461"/>
      <c r="E26461"/>
      <c r="F26461"/>
    </row>
    <row r="26462" spans="1:6" x14ac:dyDescent="0.25">
      <c r="A26462"/>
      <c r="B26462"/>
      <c r="C26462"/>
      <c r="E26462"/>
      <c r="F26462"/>
    </row>
    <row r="26463" spans="1:6" x14ac:dyDescent="0.25">
      <c r="A26463"/>
      <c r="B26463"/>
      <c r="C26463"/>
      <c r="E26463"/>
      <c r="F26463"/>
    </row>
    <row r="26464" spans="1:6" x14ac:dyDescent="0.25">
      <c r="A26464"/>
      <c r="B26464"/>
      <c r="C26464"/>
      <c r="E26464"/>
      <c r="F26464"/>
    </row>
    <row r="26465" spans="1:6" x14ac:dyDescent="0.25">
      <c r="A26465"/>
      <c r="B26465"/>
      <c r="C26465"/>
      <c r="E26465"/>
      <c r="F26465"/>
    </row>
    <row r="26466" spans="1:6" x14ac:dyDescent="0.25">
      <c r="A26466"/>
      <c r="B26466"/>
      <c r="C26466"/>
      <c r="E26466"/>
      <c r="F26466"/>
    </row>
    <row r="26467" spans="1:6" x14ac:dyDescent="0.25">
      <c r="A26467"/>
      <c r="B26467"/>
      <c r="C26467"/>
      <c r="E26467"/>
      <c r="F26467"/>
    </row>
    <row r="26468" spans="1:6" x14ac:dyDescent="0.25">
      <c r="A26468"/>
      <c r="B26468"/>
      <c r="C26468"/>
      <c r="E26468"/>
      <c r="F26468"/>
    </row>
    <row r="26469" spans="1:6" x14ac:dyDescent="0.25">
      <c r="A26469"/>
      <c r="B26469"/>
      <c r="C26469"/>
      <c r="E26469"/>
      <c r="F26469"/>
    </row>
    <row r="26470" spans="1:6" x14ac:dyDescent="0.25">
      <c r="A26470"/>
      <c r="B26470"/>
      <c r="C26470"/>
      <c r="E26470"/>
      <c r="F26470"/>
    </row>
    <row r="26471" spans="1:6" x14ac:dyDescent="0.25">
      <c r="A26471"/>
      <c r="B26471"/>
      <c r="C26471"/>
      <c r="E26471"/>
      <c r="F26471"/>
    </row>
    <row r="26472" spans="1:6" x14ac:dyDescent="0.25">
      <c r="A26472"/>
      <c r="B26472"/>
      <c r="C26472"/>
      <c r="E26472"/>
      <c r="F26472"/>
    </row>
    <row r="26473" spans="1:6" x14ac:dyDescent="0.25">
      <c r="A26473"/>
      <c r="B26473"/>
      <c r="C26473"/>
      <c r="E26473"/>
      <c r="F26473"/>
    </row>
    <row r="26474" spans="1:6" x14ac:dyDescent="0.25">
      <c r="A26474"/>
      <c r="B26474"/>
      <c r="C26474"/>
      <c r="E26474"/>
      <c r="F26474"/>
    </row>
    <row r="26475" spans="1:6" x14ac:dyDescent="0.25">
      <c r="A26475"/>
      <c r="B26475"/>
      <c r="C26475"/>
      <c r="E26475"/>
      <c r="F26475"/>
    </row>
    <row r="26476" spans="1:6" x14ac:dyDescent="0.25">
      <c r="A26476"/>
      <c r="B26476"/>
      <c r="C26476"/>
      <c r="E26476"/>
      <c r="F26476"/>
    </row>
    <row r="26477" spans="1:6" x14ac:dyDescent="0.25">
      <c r="A26477"/>
      <c r="B26477"/>
      <c r="C26477"/>
      <c r="E26477"/>
      <c r="F26477"/>
    </row>
    <row r="26478" spans="1:6" x14ac:dyDescent="0.25">
      <c r="A26478"/>
      <c r="B26478"/>
      <c r="C26478"/>
      <c r="E26478"/>
      <c r="F26478"/>
    </row>
    <row r="26479" spans="1:6" x14ac:dyDescent="0.25">
      <c r="A26479"/>
      <c r="B26479"/>
      <c r="C26479"/>
      <c r="E26479"/>
      <c r="F26479"/>
    </row>
    <row r="26480" spans="1:6" x14ac:dyDescent="0.25">
      <c r="A26480"/>
      <c r="B26480"/>
      <c r="C26480"/>
      <c r="E26480"/>
      <c r="F26480"/>
    </row>
    <row r="26481" spans="1:6" x14ac:dyDescent="0.25">
      <c r="A26481"/>
      <c r="B26481"/>
      <c r="C26481"/>
      <c r="E26481"/>
      <c r="F26481"/>
    </row>
    <row r="26482" spans="1:6" x14ac:dyDescent="0.25">
      <c r="A26482"/>
      <c r="B26482"/>
      <c r="C26482"/>
      <c r="E26482"/>
      <c r="F26482"/>
    </row>
    <row r="26483" spans="1:6" x14ac:dyDescent="0.25">
      <c r="A26483"/>
      <c r="B26483"/>
      <c r="C26483"/>
      <c r="E26483"/>
      <c r="F26483"/>
    </row>
    <row r="26484" spans="1:6" x14ac:dyDescent="0.25">
      <c r="A26484"/>
      <c r="B26484"/>
      <c r="C26484"/>
      <c r="E26484"/>
      <c r="F26484"/>
    </row>
    <row r="26485" spans="1:6" x14ac:dyDescent="0.25">
      <c r="A26485"/>
      <c r="B26485"/>
      <c r="C26485"/>
      <c r="E26485"/>
      <c r="F26485"/>
    </row>
    <row r="26486" spans="1:6" x14ac:dyDescent="0.25">
      <c r="A26486"/>
      <c r="B26486"/>
      <c r="C26486"/>
      <c r="E26486"/>
      <c r="F26486"/>
    </row>
    <row r="26487" spans="1:6" x14ac:dyDescent="0.25">
      <c r="A26487"/>
      <c r="B26487"/>
      <c r="C26487"/>
      <c r="E26487"/>
      <c r="F26487"/>
    </row>
    <row r="26488" spans="1:6" x14ac:dyDescent="0.25">
      <c r="A26488"/>
      <c r="B26488"/>
      <c r="C26488"/>
      <c r="E26488"/>
      <c r="F26488"/>
    </row>
    <row r="26489" spans="1:6" x14ac:dyDescent="0.25">
      <c r="A26489"/>
      <c r="B26489"/>
      <c r="C26489"/>
      <c r="E26489"/>
      <c r="F26489"/>
    </row>
    <row r="26490" spans="1:6" x14ac:dyDescent="0.25">
      <c r="A26490"/>
      <c r="B26490"/>
      <c r="C26490"/>
      <c r="E26490"/>
      <c r="F26490"/>
    </row>
    <row r="26491" spans="1:6" x14ac:dyDescent="0.25">
      <c r="A26491"/>
      <c r="B26491"/>
      <c r="C26491"/>
      <c r="E26491"/>
      <c r="F26491"/>
    </row>
    <row r="26492" spans="1:6" x14ac:dyDescent="0.25">
      <c r="A26492"/>
      <c r="B26492"/>
      <c r="C26492"/>
      <c r="E26492"/>
      <c r="F26492"/>
    </row>
    <row r="26493" spans="1:6" x14ac:dyDescent="0.25">
      <c r="A26493"/>
      <c r="B26493"/>
      <c r="C26493"/>
      <c r="E26493"/>
      <c r="F26493"/>
    </row>
    <row r="26494" spans="1:6" x14ac:dyDescent="0.25">
      <c r="A26494"/>
      <c r="B26494"/>
      <c r="C26494"/>
      <c r="E26494"/>
      <c r="F26494"/>
    </row>
    <row r="26495" spans="1:6" x14ac:dyDescent="0.25">
      <c r="A26495"/>
      <c r="B26495"/>
      <c r="C26495"/>
      <c r="E26495"/>
      <c r="F26495"/>
    </row>
    <row r="26496" spans="1:6" x14ac:dyDescent="0.25">
      <c r="A26496"/>
      <c r="B26496"/>
      <c r="C26496"/>
      <c r="E26496"/>
      <c r="F26496"/>
    </row>
    <row r="26497" spans="1:6" x14ac:dyDescent="0.25">
      <c r="A26497"/>
      <c r="B26497"/>
      <c r="C26497"/>
      <c r="E26497"/>
      <c r="F26497"/>
    </row>
    <row r="26498" spans="1:6" x14ac:dyDescent="0.25">
      <c r="A26498"/>
      <c r="B26498"/>
      <c r="C26498"/>
      <c r="E26498"/>
      <c r="F26498"/>
    </row>
    <row r="26499" spans="1:6" x14ac:dyDescent="0.25">
      <c r="A26499"/>
      <c r="B26499"/>
      <c r="C26499"/>
      <c r="E26499"/>
      <c r="F26499"/>
    </row>
    <row r="26500" spans="1:6" x14ac:dyDescent="0.25">
      <c r="A26500"/>
      <c r="B26500"/>
      <c r="C26500"/>
      <c r="E26500"/>
      <c r="F26500"/>
    </row>
    <row r="26501" spans="1:6" x14ac:dyDescent="0.25">
      <c r="A26501"/>
      <c r="B26501"/>
      <c r="C26501"/>
      <c r="E26501"/>
      <c r="F26501"/>
    </row>
    <row r="26502" spans="1:6" x14ac:dyDescent="0.25">
      <c r="A26502"/>
      <c r="B26502"/>
      <c r="C26502"/>
      <c r="E26502"/>
      <c r="F26502"/>
    </row>
    <row r="26503" spans="1:6" x14ac:dyDescent="0.25">
      <c r="A26503"/>
      <c r="B26503"/>
      <c r="C26503"/>
      <c r="E26503"/>
      <c r="F26503"/>
    </row>
    <row r="26504" spans="1:6" x14ac:dyDescent="0.25">
      <c r="A26504"/>
      <c r="B26504"/>
      <c r="C26504"/>
      <c r="E26504"/>
      <c r="F26504"/>
    </row>
    <row r="26505" spans="1:6" x14ac:dyDescent="0.25">
      <c r="A26505"/>
      <c r="B26505"/>
      <c r="C26505"/>
      <c r="E26505"/>
      <c r="F26505"/>
    </row>
    <row r="26506" spans="1:6" x14ac:dyDescent="0.25">
      <c r="A26506"/>
      <c r="B26506"/>
      <c r="C26506"/>
      <c r="E26506"/>
      <c r="F26506"/>
    </row>
    <row r="26507" spans="1:6" x14ac:dyDescent="0.25">
      <c r="A26507"/>
      <c r="B26507"/>
      <c r="C26507"/>
      <c r="E26507"/>
      <c r="F26507"/>
    </row>
    <row r="26508" spans="1:6" x14ac:dyDescent="0.25">
      <c r="A26508"/>
      <c r="B26508"/>
      <c r="C26508"/>
      <c r="E26508"/>
      <c r="F26508"/>
    </row>
    <row r="26509" spans="1:6" x14ac:dyDescent="0.25">
      <c r="A26509"/>
      <c r="B26509"/>
      <c r="C26509"/>
      <c r="E26509"/>
      <c r="F26509"/>
    </row>
    <row r="26510" spans="1:6" x14ac:dyDescent="0.25">
      <c r="A26510"/>
      <c r="B26510"/>
      <c r="C26510"/>
      <c r="E26510"/>
      <c r="F26510"/>
    </row>
    <row r="26511" spans="1:6" x14ac:dyDescent="0.25">
      <c r="A26511"/>
      <c r="B26511"/>
      <c r="C26511"/>
      <c r="E26511"/>
      <c r="F26511"/>
    </row>
    <row r="26512" spans="1:6" x14ac:dyDescent="0.25">
      <c r="A26512"/>
      <c r="B26512"/>
      <c r="C26512"/>
      <c r="E26512"/>
      <c r="F26512"/>
    </row>
    <row r="26513" spans="1:6" x14ac:dyDescent="0.25">
      <c r="A26513"/>
      <c r="B26513"/>
      <c r="C26513"/>
      <c r="E26513"/>
      <c r="F26513"/>
    </row>
    <row r="26514" spans="1:6" x14ac:dyDescent="0.25">
      <c r="A26514"/>
      <c r="B26514"/>
      <c r="C26514"/>
      <c r="E26514"/>
      <c r="F26514"/>
    </row>
    <row r="26515" spans="1:6" x14ac:dyDescent="0.25">
      <c r="A26515"/>
      <c r="B26515"/>
      <c r="C26515"/>
      <c r="E26515"/>
      <c r="F26515"/>
    </row>
    <row r="26516" spans="1:6" x14ac:dyDescent="0.25">
      <c r="A26516"/>
      <c r="B26516"/>
      <c r="C26516"/>
      <c r="E26516"/>
      <c r="F26516"/>
    </row>
    <row r="26517" spans="1:6" x14ac:dyDescent="0.25">
      <c r="A26517"/>
      <c r="B26517"/>
      <c r="C26517"/>
      <c r="E26517"/>
      <c r="F26517"/>
    </row>
    <row r="26518" spans="1:6" x14ac:dyDescent="0.25">
      <c r="A26518"/>
      <c r="B26518"/>
      <c r="C26518"/>
      <c r="E26518"/>
      <c r="F26518"/>
    </row>
    <row r="26519" spans="1:6" x14ac:dyDescent="0.25">
      <c r="A26519"/>
      <c r="B26519"/>
      <c r="C26519"/>
      <c r="E26519"/>
      <c r="F26519"/>
    </row>
    <row r="26520" spans="1:6" x14ac:dyDescent="0.25">
      <c r="A26520"/>
      <c r="B26520"/>
      <c r="C26520"/>
      <c r="E26520"/>
      <c r="F26520"/>
    </row>
    <row r="26521" spans="1:6" x14ac:dyDescent="0.25">
      <c r="A26521"/>
      <c r="B26521"/>
      <c r="C26521"/>
      <c r="E26521"/>
      <c r="F26521"/>
    </row>
    <row r="26522" spans="1:6" x14ac:dyDescent="0.25">
      <c r="A26522"/>
      <c r="B26522"/>
      <c r="C26522"/>
      <c r="E26522"/>
      <c r="F26522"/>
    </row>
    <row r="26523" spans="1:6" x14ac:dyDescent="0.25">
      <c r="A26523"/>
      <c r="B26523"/>
      <c r="C26523"/>
      <c r="E26523"/>
      <c r="F26523"/>
    </row>
    <row r="26524" spans="1:6" x14ac:dyDescent="0.25">
      <c r="A26524"/>
      <c r="B26524"/>
      <c r="C26524"/>
      <c r="E26524"/>
      <c r="F26524"/>
    </row>
    <row r="26525" spans="1:6" x14ac:dyDescent="0.25">
      <c r="A26525"/>
      <c r="B26525"/>
      <c r="C26525"/>
      <c r="E26525"/>
      <c r="F26525"/>
    </row>
    <row r="26526" spans="1:6" x14ac:dyDescent="0.25">
      <c r="A26526"/>
      <c r="B26526"/>
      <c r="C26526"/>
      <c r="E26526"/>
      <c r="F26526"/>
    </row>
    <row r="26527" spans="1:6" x14ac:dyDescent="0.25">
      <c r="A26527"/>
      <c r="B26527"/>
      <c r="C26527"/>
      <c r="E26527"/>
      <c r="F26527"/>
    </row>
    <row r="26528" spans="1:6" x14ac:dyDescent="0.25">
      <c r="A26528"/>
      <c r="B26528"/>
      <c r="C26528"/>
      <c r="E26528"/>
      <c r="F26528"/>
    </row>
    <row r="26529" spans="1:6" x14ac:dyDescent="0.25">
      <c r="A26529"/>
      <c r="B26529"/>
      <c r="C26529"/>
      <c r="E26529"/>
      <c r="F26529"/>
    </row>
    <row r="26530" spans="1:6" x14ac:dyDescent="0.25">
      <c r="A26530"/>
      <c r="B26530"/>
      <c r="C26530"/>
      <c r="E26530"/>
      <c r="F26530"/>
    </row>
    <row r="26531" spans="1:6" x14ac:dyDescent="0.25">
      <c r="A26531"/>
      <c r="B26531"/>
      <c r="C26531"/>
      <c r="E26531"/>
      <c r="F26531"/>
    </row>
    <row r="26532" spans="1:6" x14ac:dyDescent="0.25">
      <c r="A26532"/>
      <c r="B26532"/>
      <c r="C26532"/>
      <c r="E26532"/>
      <c r="F26532"/>
    </row>
    <row r="26533" spans="1:6" x14ac:dyDescent="0.25">
      <c r="A26533"/>
      <c r="B26533"/>
      <c r="C26533"/>
      <c r="E26533"/>
      <c r="F26533"/>
    </row>
    <row r="26534" spans="1:6" x14ac:dyDescent="0.25">
      <c r="A26534"/>
      <c r="B26534"/>
      <c r="C26534"/>
      <c r="E26534"/>
      <c r="F26534"/>
    </row>
    <row r="26535" spans="1:6" x14ac:dyDescent="0.25">
      <c r="A26535"/>
      <c r="B26535"/>
      <c r="C26535"/>
      <c r="E26535"/>
      <c r="F26535"/>
    </row>
    <row r="26536" spans="1:6" x14ac:dyDescent="0.25">
      <c r="A26536"/>
      <c r="B26536"/>
      <c r="C26536"/>
      <c r="E26536"/>
      <c r="F26536"/>
    </row>
    <row r="26537" spans="1:6" x14ac:dyDescent="0.25">
      <c r="A26537"/>
      <c r="B26537"/>
      <c r="C26537"/>
      <c r="E26537"/>
      <c r="F26537"/>
    </row>
    <row r="26538" spans="1:6" x14ac:dyDescent="0.25">
      <c r="A26538"/>
      <c r="B26538"/>
      <c r="C26538"/>
      <c r="E26538"/>
      <c r="F26538"/>
    </row>
    <row r="26539" spans="1:6" x14ac:dyDescent="0.25">
      <c r="A26539"/>
      <c r="B26539"/>
      <c r="C26539"/>
      <c r="E26539"/>
      <c r="F26539"/>
    </row>
    <row r="26540" spans="1:6" x14ac:dyDescent="0.25">
      <c r="A26540"/>
      <c r="B26540"/>
      <c r="C26540"/>
      <c r="E26540"/>
      <c r="F26540"/>
    </row>
    <row r="26541" spans="1:6" x14ac:dyDescent="0.25">
      <c r="A26541"/>
      <c r="B26541"/>
      <c r="C26541"/>
      <c r="E26541"/>
      <c r="F26541"/>
    </row>
    <row r="26542" spans="1:6" x14ac:dyDescent="0.25">
      <c r="A26542"/>
      <c r="B26542"/>
      <c r="C26542"/>
      <c r="E26542"/>
      <c r="F26542"/>
    </row>
    <row r="26543" spans="1:6" x14ac:dyDescent="0.25">
      <c r="A26543"/>
      <c r="B26543"/>
      <c r="C26543"/>
      <c r="E26543"/>
      <c r="F26543"/>
    </row>
    <row r="26544" spans="1:6" x14ac:dyDescent="0.25">
      <c r="A26544"/>
      <c r="B26544"/>
      <c r="C26544"/>
      <c r="E26544"/>
      <c r="F26544"/>
    </row>
    <row r="26545" spans="1:6" x14ac:dyDescent="0.25">
      <c r="A26545"/>
      <c r="B26545"/>
      <c r="C26545"/>
      <c r="E26545"/>
      <c r="F26545"/>
    </row>
    <row r="26546" spans="1:6" x14ac:dyDescent="0.25">
      <c r="A26546"/>
      <c r="B26546"/>
      <c r="C26546"/>
      <c r="E26546"/>
      <c r="F26546"/>
    </row>
    <row r="26547" spans="1:6" x14ac:dyDescent="0.25">
      <c r="A26547"/>
      <c r="B26547"/>
      <c r="C26547"/>
      <c r="E26547"/>
      <c r="F26547"/>
    </row>
    <row r="26548" spans="1:6" x14ac:dyDescent="0.25">
      <c r="A26548"/>
      <c r="B26548"/>
      <c r="C26548"/>
      <c r="E26548"/>
      <c r="F26548"/>
    </row>
    <row r="26549" spans="1:6" x14ac:dyDescent="0.25">
      <c r="A26549"/>
      <c r="B26549"/>
      <c r="C26549"/>
      <c r="E26549"/>
      <c r="F26549"/>
    </row>
    <row r="26550" spans="1:6" x14ac:dyDescent="0.25">
      <c r="A26550"/>
      <c r="B26550"/>
      <c r="C26550"/>
      <c r="E26550"/>
      <c r="F26550"/>
    </row>
    <row r="26551" spans="1:6" x14ac:dyDescent="0.25">
      <c r="A26551"/>
      <c r="B26551"/>
      <c r="C26551"/>
      <c r="E26551"/>
      <c r="F26551"/>
    </row>
    <row r="26552" spans="1:6" x14ac:dyDescent="0.25">
      <c r="A26552"/>
      <c r="B26552"/>
      <c r="C26552"/>
      <c r="E26552"/>
      <c r="F26552"/>
    </row>
    <row r="26553" spans="1:6" x14ac:dyDescent="0.25">
      <c r="A26553"/>
      <c r="B26553"/>
      <c r="C26553"/>
      <c r="E26553"/>
      <c r="F26553"/>
    </row>
    <row r="26554" spans="1:6" x14ac:dyDescent="0.25">
      <c r="A26554"/>
      <c r="B26554"/>
      <c r="C26554"/>
      <c r="E26554"/>
      <c r="F26554"/>
    </row>
    <row r="26555" spans="1:6" x14ac:dyDescent="0.25">
      <c r="A26555"/>
      <c r="B26555"/>
      <c r="C26555"/>
      <c r="E26555"/>
      <c r="F26555"/>
    </row>
    <row r="26556" spans="1:6" x14ac:dyDescent="0.25">
      <c r="A26556"/>
      <c r="B26556"/>
      <c r="C26556"/>
      <c r="E26556"/>
      <c r="F26556"/>
    </row>
    <row r="26557" spans="1:6" x14ac:dyDescent="0.25">
      <c r="A26557"/>
      <c r="B26557"/>
      <c r="C26557"/>
      <c r="E26557"/>
      <c r="F26557"/>
    </row>
    <row r="26558" spans="1:6" x14ac:dyDescent="0.25">
      <c r="A26558"/>
      <c r="B26558"/>
      <c r="C26558"/>
      <c r="E26558"/>
      <c r="F26558"/>
    </row>
    <row r="26559" spans="1:6" x14ac:dyDescent="0.25">
      <c r="A26559"/>
      <c r="B26559"/>
      <c r="C26559"/>
      <c r="E26559"/>
      <c r="F26559"/>
    </row>
    <row r="26560" spans="1:6" x14ac:dyDescent="0.25">
      <c r="A26560"/>
      <c r="B26560"/>
      <c r="C26560"/>
      <c r="E26560"/>
      <c r="F26560"/>
    </row>
    <row r="26561" spans="1:6" x14ac:dyDescent="0.25">
      <c r="A26561"/>
      <c r="B26561"/>
      <c r="C26561"/>
      <c r="E26561"/>
      <c r="F26561"/>
    </row>
    <row r="26562" spans="1:6" x14ac:dyDescent="0.25">
      <c r="A26562"/>
      <c r="B26562"/>
      <c r="C26562"/>
      <c r="E26562"/>
      <c r="F26562"/>
    </row>
    <row r="26563" spans="1:6" x14ac:dyDescent="0.25">
      <c r="A26563"/>
      <c r="B26563"/>
      <c r="C26563"/>
      <c r="E26563"/>
      <c r="F26563"/>
    </row>
    <row r="26564" spans="1:6" x14ac:dyDescent="0.25">
      <c r="A26564"/>
      <c r="B26564"/>
      <c r="C26564"/>
      <c r="E26564"/>
      <c r="F26564"/>
    </row>
    <row r="26565" spans="1:6" x14ac:dyDescent="0.25">
      <c r="A26565"/>
      <c r="B26565"/>
      <c r="C26565"/>
      <c r="E26565"/>
      <c r="F26565"/>
    </row>
    <row r="26566" spans="1:6" x14ac:dyDescent="0.25">
      <c r="A26566"/>
      <c r="B26566"/>
      <c r="C26566"/>
      <c r="E26566"/>
      <c r="F26566"/>
    </row>
    <row r="26567" spans="1:6" x14ac:dyDescent="0.25">
      <c r="A26567"/>
      <c r="B26567"/>
      <c r="C26567"/>
      <c r="E26567"/>
      <c r="F26567"/>
    </row>
    <row r="26568" spans="1:6" x14ac:dyDescent="0.25">
      <c r="A26568"/>
      <c r="B26568"/>
      <c r="C26568"/>
      <c r="E26568"/>
      <c r="F26568"/>
    </row>
    <row r="26569" spans="1:6" x14ac:dyDescent="0.25">
      <c r="A26569"/>
      <c r="B26569"/>
      <c r="C26569"/>
      <c r="E26569"/>
      <c r="F26569"/>
    </row>
    <row r="26570" spans="1:6" x14ac:dyDescent="0.25">
      <c r="A26570"/>
      <c r="B26570"/>
      <c r="C26570"/>
      <c r="E26570"/>
      <c r="F26570"/>
    </row>
    <row r="26571" spans="1:6" x14ac:dyDescent="0.25">
      <c r="A26571"/>
      <c r="B26571"/>
      <c r="C26571"/>
      <c r="E26571"/>
      <c r="F26571"/>
    </row>
    <row r="26572" spans="1:6" x14ac:dyDescent="0.25">
      <c r="A26572"/>
      <c r="B26572"/>
      <c r="C26572"/>
      <c r="E26572"/>
      <c r="F26572"/>
    </row>
    <row r="26573" spans="1:6" x14ac:dyDescent="0.25">
      <c r="A26573"/>
      <c r="B26573"/>
      <c r="C26573"/>
      <c r="E26573"/>
      <c r="F26573"/>
    </row>
    <row r="26574" spans="1:6" x14ac:dyDescent="0.25">
      <c r="A26574"/>
      <c r="B26574"/>
      <c r="C26574"/>
      <c r="E26574"/>
      <c r="F26574"/>
    </row>
    <row r="26575" spans="1:6" x14ac:dyDescent="0.25">
      <c r="A26575"/>
      <c r="B26575"/>
      <c r="C26575"/>
      <c r="E26575"/>
      <c r="F26575"/>
    </row>
    <row r="26576" spans="1:6" x14ac:dyDescent="0.25">
      <c r="A26576"/>
      <c r="B26576"/>
      <c r="C26576"/>
      <c r="E26576"/>
      <c r="F26576"/>
    </row>
    <row r="26577" spans="1:6" x14ac:dyDescent="0.25">
      <c r="A26577"/>
      <c r="B26577"/>
      <c r="C26577"/>
      <c r="E26577"/>
      <c r="F26577"/>
    </row>
    <row r="26578" spans="1:6" x14ac:dyDescent="0.25">
      <c r="A26578"/>
      <c r="B26578"/>
      <c r="C26578"/>
      <c r="E26578"/>
      <c r="F26578"/>
    </row>
    <row r="26579" spans="1:6" x14ac:dyDescent="0.25">
      <c r="A26579"/>
      <c r="B26579"/>
      <c r="C26579"/>
      <c r="E26579"/>
      <c r="F26579"/>
    </row>
    <row r="26580" spans="1:6" x14ac:dyDescent="0.25">
      <c r="A26580"/>
      <c r="B26580"/>
      <c r="C26580"/>
      <c r="E26580"/>
      <c r="F26580"/>
    </row>
    <row r="26581" spans="1:6" x14ac:dyDescent="0.25">
      <c r="A26581"/>
      <c r="B26581"/>
      <c r="C26581"/>
      <c r="E26581"/>
      <c r="F26581"/>
    </row>
    <row r="26582" spans="1:6" x14ac:dyDescent="0.25">
      <c r="A26582"/>
      <c r="B26582"/>
      <c r="C26582"/>
      <c r="E26582"/>
      <c r="F26582"/>
    </row>
    <row r="26583" spans="1:6" x14ac:dyDescent="0.25">
      <c r="A26583"/>
      <c r="B26583"/>
      <c r="C26583"/>
      <c r="E26583"/>
      <c r="F26583"/>
    </row>
    <row r="26584" spans="1:6" x14ac:dyDescent="0.25">
      <c r="A26584"/>
      <c r="B26584"/>
      <c r="C26584"/>
      <c r="E26584"/>
      <c r="F26584"/>
    </row>
    <row r="26585" spans="1:6" x14ac:dyDescent="0.25">
      <c r="A26585"/>
      <c r="B26585"/>
      <c r="C26585"/>
      <c r="E26585"/>
      <c r="F26585"/>
    </row>
    <row r="26586" spans="1:6" x14ac:dyDescent="0.25">
      <c r="A26586"/>
      <c r="B26586"/>
      <c r="C26586"/>
      <c r="E26586"/>
      <c r="F26586"/>
    </row>
    <row r="26587" spans="1:6" x14ac:dyDescent="0.25">
      <c r="A26587"/>
      <c r="B26587"/>
      <c r="C26587"/>
      <c r="E26587"/>
      <c r="F26587"/>
    </row>
    <row r="26588" spans="1:6" x14ac:dyDescent="0.25">
      <c r="A26588"/>
      <c r="B26588"/>
      <c r="C26588"/>
      <c r="E26588"/>
      <c r="F26588"/>
    </row>
    <row r="26589" spans="1:6" x14ac:dyDescent="0.25">
      <c r="A26589"/>
      <c r="B26589"/>
      <c r="C26589"/>
      <c r="E26589"/>
      <c r="F26589"/>
    </row>
    <row r="26590" spans="1:6" x14ac:dyDescent="0.25">
      <c r="A26590"/>
      <c r="B26590"/>
      <c r="C26590"/>
      <c r="E26590"/>
      <c r="F26590"/>
    </row>
    <row r="26591" spans="1:6" x14ac:dyDescent="0.25">
      <c r="A26591"/>
      <c r="B26591"/>
      <c r="C26591"/>
      <c r="E26591"/>
      <c r="F26591"/>
    </row>
    <row r="26592" spans="1:6" x14ac:dyDescent="0.25">
      <c r="A26592"/>
      <c r="B26592"/>
      <c r="C26592"/>
      <c r="E26592"/>
      <c r="F26592"/>
    </row>
    <row r="26593" spans="1:6" x14ac:dyDescent="0.25">
      <c r="A26593"/>
      <c r="B26593"/>
      <c r="C26593"/>
      <c r="E26593"/>
      <c r="F26593"/>
    </row>
    <row r="26594" spans="1:6" x14ac:dyDescent="0.25">
      <c r="A26594"/>
      <c r="B26594"/>
      <c r="C26594"/>
      <c r="E26594"/>
      <c r="F26594"/>
    </row>
    <row r="26595" spans="1:6" x14ac:dyDescent="0.25">
      <c r="A26595"/>
      <c r="B26595"/>
      <c r="C26595"/>
      <c r="E26595"/>
      <c r="F26595"/>
    </row>
    <row r="26596" spans="1:6" x14ac:dyDescent="0.25">
      <c r="A26596"/>
      <c r="B26596"/>
      <c r="C26596"/>
      <c r="E26596"/>
      <c r="F26596"/>
    </row>
    <row r="26597" spans="1:6" x14ac:dyDescent="0.25">
      <c r="A26597"/>
      <c r="B26597"/>
      <c r="C26597"/>
      <c r="E26597"/>
      <c r="F26597"/>
    </row>
    <row r="26598" spans="1:6" x14ac:dyDescent="0.25">
      <c r="A26598"/>
      <c r="B26598"/>
      <c r="C26598"/>
      <c r="E26598"/>
      <c r="F26598"/>
    </row>
    <row r="26599" spans="1:6" x14ac:dyDescent="0.25">
      <c r="A26599"/>
      <c r="B26599"/>
      <c r="C26599"/>
      <c r="E26599"/>
      <c r="F26599"/>
    </row>
    <row r="26600" spans="1:6" x14ac:dyDescent="0.25">
      <c r="A26600"/>
      <c r="B26600"/>
      <c r="C26600"/>
      <c r="E26600"/>
      <c r="F26600"/>
    </row>
    <row r="26601" spans="1:6" x14ac:dyDescent="0.25">
      <c r="A26601"/>
      <c r="B26601"/>
      <c r="C26601"/>
      <c r="E26601"/>
      <c r="F26601"/>
    </row>
    <row r="26602" spans="1:6" x14ac:dyDescent="0.25">
      <c r="A26602"/>
      <c r="B26602"/>
      <c r="C26602"/>
      <c r="E26602"/>
      <c r="F26602"/>
    </row>
    <row r="26603" spans="1:6" x14ac:dyDescent="0.25">
      <c r="A26603"/>
      <c r="B26603"/>
      <c r="C26603"/>
      <c r="E26603"/>
      <c r="F26603"/>
    </row>
    <row r="26604" spans="1:6" x14ac:dyDescent="0.25">
      <c r="A26604"/>
      <c r="B26604"/>
      <c r="C26604"/>
      <c r="E26604"/>
      <c r="F26604"/>
    </row>
    <row r="26605" spans="1:6" x14ac:dyDescent="0.25">
      <c r="A26605"/>
      <c r="B26605"/>
      <c r="C26605"/>
      <c r="E26605"/>
      <c r="F26605"/>
    </row>
    <row r="26606" spans="1:6" x14ac:dyDescent="0.25">
      <c r="A26606"/>
      <c r="B26606"/>
      <c r="C26606"/>
      <c r="E26606"/>
      <c r="F26606"/>
    </row>
    <row r="26607" spans="1:6" x14ac:dyDescent="0.25">
      <c r="A26607"/>
      <c r="B26607"/>
      <c r="C26607"/>
      <c r="E26607"/>
      <c r="F26607"/>
    </row>
    <row r="26608" spans="1:6" x14ac:dyDescent="0.25">
      <c r="A26608"/>
      <c r="B26608"/>
      <c r="C26608"/>
      <c r="E26608"/>
      <c r="F26608"/>
    </row>
    <row r="26609" spans="1:6" x14ac:dyDescent="0.25">
      <c r="A26609"/>
      <c r="B26609"/>
      <c r="C26609"/>
      <c r="E26609"/>
      <c r="F26609"/>
    </row>
    <row r="26610" spans="1:6" x14ac:dyDescent="0.25">
      <c r="A26610"/>
      <c r="B26610"/>
      <c r="C26610"/>
      <c r="E26610"/>
      <c r="F26610"/>
    </row>
    <row r="26611" spans="1:6" x14ac:dyDescent="0.25">
      <c r="A26611"/>
      <c r="B26611"/>
      <c r="C26611"/>
      <c r="E26611"/>
      <c r="F26611"/>
    </row>
    <row r="26612" spans="1:6" x14ac:dyDescent="0.25">
      <c r="A26612"/>
      <c r="B26612"/>
      <c r="C26612"/>
      <c r="E26612"/>
      <c r="F26612"/>
    </row>
    <row r="26613" spans="1:6" x14ac:dyDescent="0.25">
      <c r="A26613"/>
      <c r="B26613"/>
      <c r="C26613"/>
      <c r="E26613"/>
      <c r="F26613"/>
    </row>
    <row r="26614" spans="1:6" x14ac:dyDescent="0.25">
      <c r="A26614"/>
      <c r="B26614"/>
      <c r="C26614"/>
      <c r="E26614"/>
      <c r="F26614"/>
    </row>
    <row r="26615" spans="1:6" x14ac:dyDescent="0.25">
      <c r="A26615"/>
      <c r="B26615"/>
      <c r="C26615"/>
      <c r="E26615"/>
      <c r="F26615"/>
    </row>
    <row r="26616" spans="1:6" x14ac:dyDescent="0.25">
      <c r="A26616"/>
      <c r="B26616"/>
      <c r="C26616"/>
      <c r="E26616"/>
      <c r="F26616"/>
    </row>
    <row r="26617" spans="1:6" x14ac:dyDescent="0.25">
      <c r="A26617"/>
      <c r="B26617"/>
      <c r="C26617"/>
      <c r="E26617"/>
      <c r="F26617"/>
    </row>
    <row r="26618" spans="1:6" x14ac:dyDescent="0.25">
      <c r="A26618"/>
      <c r="B26618"/>
      <c r="C26618"/>
      <c r="E26618"/>
      <c r="F26618"/>
    </row>
    <row r="26619" spans="1:6" x14ac:dyDescent="0.25">
      <c r="A26619"/>
      <c r="B26619"/>
      <c r="C26619"/>
      <c r="E26619"/>
      <c r="F26619"/>
    </row>
    <row r="26620" spans="1:6" x14ac:dyDescent="0.25">
      <c r="A26620"/>
      <c r="B26620"/>
      <c r="C26620"/>
      <c r="E26620"/>
      <c r="F26620"/>
    </row>
    <row r="26621" spans="1:6" x14ac:dyDescent="0.25">
      <c r="A26621"/>
      <c r="B26621"/>
      <c r="C26621"/>
      <c r="E26621"/>
      <c r="F26621"/>
    </row>
    <row r="26622" spans="1:6" x14ac:dyDescent="0.25">
      <c r="A26622"/>
      <c r="B26622"/>
      <c r="C26622"/>
      <c r="E26622"/>
      <c r="F26622"/>
    </row>
    <row r="26623" spans="1:6" x14ac:dyDescent="0.25">
      <c r="A26623"/>
      <c r="B26623"/>
      <c r="C26623"/>
      <c r="E26623"/>
      <c r="F26623"/>
    </row>
    <row r="26624" spans="1:6" x14ac:dyDescent="0.25">
      <c r="A26624"/>
      <c r="B26624"/>
      <c r="C26624"/>
      <c r="E26624"/>
      <c r="F26624"/>
    </row>
    <row r="26625" spans="1:6" x14ac:dyDescent="0.25">
      <c r="A26625"/>
      <c r="B26625"/>
      <c r="C26625"/>
      <c r="E26625"/>
      <c r="F26625"/>
    </row>
    <row r="26626" spans="1:6" x14ac:dyDescent="0.25">
      <c r="A26626"/>
      <c r="B26626"/>
      <c r="C26626"/>
      <c r="E26626"/>
      <c r="F26626"/>
    </row>
    <row r="26627" spans="1:6" x14ac:dyDescent="0.25">
      <c r="A26627"/>
      <c r="B26627"/>
      <c r="C26627"/>
      <c r="E26627"/>
      <c r="F26627"/>
    </row>
    <row r="26628" spans="1:6" x14ac:dyDescent="0.25">
      <c r="A26628"/>
      <c r="B26628"/>
      <c r="C26628"/>
      <c r="E26628"/>
      <c r="F26628"/>
    </row>
    <row r="26629" spans="1:6" x14ac:dyDescent="0.25">
      <c r="A26629"/>
      <c r="B26629"/>
      <c r="C26629"/>
      <c r="E26629"/>
      <c r="F26629"/>
    </row>
    <row r="26630" spans="1:6" x14ac:dyDescent="0.25">
      <c r="A26630"/>
      <c r="B26630"/>
      <c r="C26630"/>
      <c r="E26630"/>
      <c r="F26630"/>
    </row>
    <row r="26631" spans="1:6" x14ac:dyDescent="0.25">
      <c r="A26631"/>
      <c r="B26631"/>
      <c r="C26631"/>
      <c r="E26631"/>
      <c r="F26631"/>
    </row>
    <row r="26632" spans="1:6" x14ac:dyDescent="0.25">
      <c r="A26632"/>
      <c r="B26632"/>
      <c r="C26632"/>
      <c r="E26632"/>
      <c r="F26632"/>
    </row>
    <row r="26633" spans="1:6" x14ac:dyDescent="0.25">
      <c r="A26633"/>
      <c r="B26633"/>
      <c r="C26633"/>
      <c r="E26633"/>
      <c r="F26633"/>
    </row>
    <row r="26634" spans="1:6" x14ac:dyDescent="0.25">
      <c r="A26634"/>
      <c r="B26634"/>
      <c r="C26634"/>
      <c r="E26634"/>
      <c r="F26634"/>
    </row>
    <row r="26635" spans="1:6" x14ac:dyDescent="0.25">
      <c r="A26635"/>
      <c r="B26635"/>
      <c r="C26635"/>
      <c r="E26635"/>
      <c r="F26635"/>
    </row>
    <row r="26636" spans="1:6" x14ac:dyDescent="0.25">
      <c r="A26636"/>
      <c r="B26636"/>
      <c r="C26636"/>
      <c r="E26636"/>
      <c r="F26636"/>
    </row>
    <row r="26637" spans="1:6" x14ac:dyDescent="0.25">
      <c r="A26637"/>
      <c r="B26637"/>
      <c r="C26637"/>
      <c r="E26637"/>
      <c r="F26637"/>
    </row>
    <row r="26638" spans="1:6" x14ac:dyDescent="0.25">
      <c r="A26638"/>
      <c r="B26638"/>
      <c r="C26638"/>
      <c r="E26638"/>
      <c r="F26638"/>
    </row>
    <row r="26639" spans="1:6" x14ac:dyDescent="0.25">
      <c r="A26639"/>
      <c r="B26639"/>
      <c r="C26639"/>
      <c r="E26639"/>
      <c r="F26639"/>
    </row>
    <row r="26640" spans="1:6" x14ac:dyDescent="0.25">
      <c r="A26640"/>
      <c r="B26640"/>
      <c r="C26640"/>
      <c r="E26640"/>
      <c r="F26640"/>
    </row>
    <row r="26641" spans="1:6" x14ac:dyDescent="0.25">
      <c r="A26641"/>
      <c r="B26641"/>
      <c r="C26641"/>
      <c r="E26641"/>
      <c r="F26641"/>
    </row>
    <row r="26642" spans="1:6" x14ac:dyDescent="0.25">
      <c r="A26642"/>
      <c r="B26642"/>
      <c r="C26642"/>
      <c r="E26642"/>
      <c r="F26642"/>
    </row>
    <row r="26643" spans="1:6" x14ac:dyDescent="0.25">
      <c r="A26643"/>
      <c r="B26643"/>
      <c r="C26643"/>
      <c r="E26643"/>
      <c r="F26643"/>
    </row>
    <row r="26644" spans="1:6" x14ac:dyDescent="0.25">
      <c r="A26644"/>
      <c r="B26644"/>
      <c r="C26644"/>
      <c r="E26644"/>
      <c r="F26644"/>
    </row>
    <row r="26645" spans="1:6" x14ac:dyDescent="0.25">
      <c r="A26645"/>
      <c r="B26645"/>
      <c r="C26645"/>
      <c r="E26645"/>
      <c r="F26645"/>
    </row>
    <row r="26646" spans="1:6" x14ac:dyDescent="0.25">
      <c r="A26646"/>
      <c r="B26646"/>
      <c r="C26646"/>
      <c r="E26646"/>
      <c r="F26646"/>
    </row>
    <row r="26647" spans="1:6" x14ac:dyDescent="0.25">
      <c r="A26647"/>
      <c r="B26647"/>
      <c r="C26647"/>
      <c r="E26647"/>
      <c r="F26647"/>
    </row>
    <row r="26648" spans="1:6" x14ac:dyDescent="0.25">
      <c r="A26648"/>
      <c r="B26648"/>
      <c r="C26648"/>
      <c r="E26648"/>
      <c r="F26648"/>
    </row>
    <row r="26649" spans="1:6" x14ac:dyDescent="0.25">
      <c r="A26649"/>
      <c r="B26649"/>
      <c r="C26649"/>
      <c r="E26649"/>
      <c r="F26649"/>
    </row>
    <row r="26650" spans="1:6" x14ac:dyDescent="0.25">
      <c r="A26650"/>
      <c r="B26650"/>
      <c r="C26650"/>
      <c r="E26650"/>
      <c r="F26650"/>
    </row>
    <row r="26651" spans="1:6" x14ac:dyDescent="0.25">
      <c r="A26651"/>
      <c r="B26651"/>
      <c r="C26651"/>
      <c r="E26651"/>
      <c r="F26651"/>
    </row>
    <row r="26652" spans="1:6" x14ac:dyDescent="0.25">
      <c r="A26652"/>
      <c r="B26652"/>
      <c r="C26652"/>
      <c r="E26652"/>
      <c r="F26652"/>
    </row>
    <row r="26653" spans="1:6" x14ac:dyDescent="0.25">
      <c r="A26653"/>
      <c r="B26653"/>
      <c r="C26653"/>
      <c r="E26653"/>
      <c r="F26653"/>
    </row>
    <row r="26654" spans="1:6" x14ac:dyDescent="0.25">
      <c r="A26654"/>
      <c r="B26654"/>
      <c r="C26654"/>
      <c r="E26654"/>
      <c r="F26654"/>
    </row>
    <row r="26655" spans="1:6" x14ac:dyDescent="0.25">
      <c r="A26655"/>
      <c r="B26655"/>
      <c r="C26655"/>
      <c r="E26655"/>
      <c r="F26655"/>
    </row>
    <row r="26656" spans="1:6" x14ac:dyDescent="0.25">
      <c r="A26656"/>
      <c r="B26656"/>
      <c r="C26656"/>
      <c r="E26656"/>
      <c r="F26656"/>
    </row>
    <row r="26657" spans="1:6" x14ac:dyDescent="0.25">
      <c r="A26657"/>
      <c r="B26657"/>
      <c r="C26657"/>
      <c r="E26657"/>
      <c r="F26657"/>
    </row>
    <row r="26658" spans="1:6" x14ac:dyDescent="0.25">
      <c r="A26658"/>
      <c r="B26658"/>
      <c r="C26658"/>
      <c r="E26658"/>
      <c r="F26658"/>
    </row>
    <row r="26659" spans="1:6" x14ac:dyDescent="0.25">
      <c r="A26659"/>
      <c r="B26659"/>
      <c r="C26659"/>
      <c r="E26659"/>
      <c r="F26659"/>
    </row>
    <row r="26660" spans="1:6" x14ac:dyDescent="0.25">
      <c r="A26660"/>
      <c r="B26660"/>
      <c r="C26660"/>
      <c r="E26660"/>
      <c r="F26660"/>
    </row>
    <row r="26661" spans="1:6" x14ac:dyDescent="0.25">
      <c r="A26661"/>
      <c r="B26661"/>
      <c r="C26661"/>
      <c r="E26661"/>
      <c r="F26661"/>
    </row>
    <row r="26662" spans="1:6" x14ac:dyDescent="0.25">
      <c r="A26662"/>
      <c r="B26662"/>
      <c r="C26662"/>
      <c r="E26662"/>
      <c r="F26662"/>
    </row>
    <row r="26663" spans="1:6" x14ac:dyDescent="0.25">
      <c r="A26663"/>
      <c r="B26663"/>
      <c r="C26663"/>
      <c r="E26663"/>
      <c r="F26663"/>
    </row>
    <row r="26664" spans="1:6" x14ac:dyDescent="0.25">
      <c r="A26664"/>
      <c r="B26664"/>
      <c r="C26664"/>
      <c r="E26664"/>
      <c r="F26664"/>
    </row>
    <row r="26665" spans="1:6" x14ac:dyDescent="0.25">
      <c r="A26665"/>
      <c r="B26665"/>
      <c r="C26665"/>
      <c r="E26665"/>
      <c r="F26665"/>
    </row>
    <row r="26666" spans="1:6" x14ac:dyDescent="0.25">
      <c r="A26666"/>
      <c r="B26666"/>
      <c r="C26666"/>
      <c r="E26666"/>
      <c r="F26666"/>
    </row>
    <row r="26667" spans="1:6" x14ac:dyDescent="0.25">
      <c r="A26667"/>
      <c r="B26667"/>
      <c r="C26667"/>
      <c r="E26667"/>
      <c r="F26667"/>
    </row>
    <row r="26668" spans="1:6" x14ac:dyDescent="0.25">
      <c r="A26668"/>
      <c r="B26668"/>
      <c r="C26668"/>
      <c r="E26668"/>
      <c r="F26668"/>
    </row>
    <row r="26669" spans="1:6" x14ac:dyDescent="0.25">
      <c r="A26669"/>
      <c r="B26669"/>
      <c r="C26669"/>
      <c r="E26669"/>
      <c r="F26669"/>
    </row>
    <row r="26670" spans="1:6" x14ac:dyDescent="0.25">
      <c r="A26670"/>
      <c r="B26670"/>
      <c r="C26670"/>
      <c r="E26670"/>
      <c r="F26670"/>
    </row>
    <row r="26671" spans="1:6" x14ac:dyDescent="0.25">
      <c r="A26671"/>
      <c r="B26671"/>
      <c r="C26671"/>
      <c r="E26671"/>
      <c r="F26671"/>
    </row>
    <row r="26672" spans="1:6" x14ac:dyDescent="0.25">
      <c r="A26672"/>
      <c r="B26672"/>
      <c r="C26672"/>
      <c r="E26672"/>
      <c r="F26672"/>
    </row>
    <row r="26673" spans="1:6" x14ac:dyDescent="0.25">
      <c r="A26673"/>
      <c r="B26673"/>
      <c r="C26673"/>
      <c r="E26673"/>
      <c r="F26673"/>
    </row>
    <row r="26674" spans="1:6" x14ac:dyDescent="0.25">
      <c r="A26674"/>
      <c r="B26674"/>
      <c r="C26674"/>
      <c r="E26674"/>
      <c r="F26674"/>
    </row>
    <row r="26675" spans="1:6" x14ac:dyDescent="0.25">
      <c r="A26675"/>
      <c r="B26675"/>
      <c r="C26675"/>
      <c r="E26675"/>
      <c r="F26675"/>
    </row>
    <row r="26676" spans="1:6" x14ac:dyDescent="0.25">
      <c r="A26676"/>
      <c r="B26676"/>
      <c r="C26676"/>
      <c r="E26676"/>
      <c r="F26676"/>
    </row>
    <row r="26677" spans="1:6" x14ac:dyDescent="0.25">
      <c r="A26677"/>
      <c r="B26677"/>
      <c r="C26677"/>
      <c r="E26677"/>
      <c r="F26677"/>
    </row>
    <row r="26678" spans="1:6" x14ac:dyDescent="0.25">
      <c r="A26678"/>
      <c r="B26678"/>
      <c r="C26678"/>
      <c r="E26678"/>
      <c r="F26678"/>
    </row>
    <row r="26679" spans="1:6" x14ac:dyDescent="0.25">
      <c r="A26679"/>
      <c r="B26679"/>
      <c r="C26679"/>
      <c r="E26679"/>
      <c r="F26679"/>
    </row>
    <row r="26680" spans="1:6" x14ac:dyDescent="0.25">
      <c r="A26680"/>
      <c r="B26680"/>
      <c r="C26680"/>
      <c r="E26680"/>
      <c r="F26680"/>
    </row>
    <row r="26681" spans="1:6" x14ac:dyDescent="0.25">
      <c r="A26681"/>
      <c r="B26681"/>
      <c r="C26681"/>
      <c r="E26681"/>
      <c r="F26681"/>
    </row>
    <row r="26682" spans="1:6" x14ac:dyDescent="0.25">
      <c r="A26682"/>
      <c r="B26682"/>
      <c r="C26682"/>
      <c r="E26682"/>
      <c r="F26682"/>
    </row>
    <row r="26683" spans="1:6" x14ac:dyDescent="0.25">
      <c r="A26683"/>
      <c r="B26683"/>
      <c r="C26683"/>
      <c r="E26683"/>
      <c r="F26683"/>
    </row>
    <row r="26684" spans="1:6" x14ac:dyDescent="0.25">
      <c r="A26684"/>
      <c r="B26684"/>
      <c r="C26684"/>
      <c r="E26684"/>
      <c r="F26684"/>
    </row>
    <row r="26685" spans="1:6" x14ac:dyDescent="0.25">
      <c r="A26685"/>
      <c r="B26685"/>
      <c r="C26685"/>
      <c r="E26685"/>
      <c r="F26685"/>
    </row>
    <row r="26686" spans="1:6" x14ac:dyDescent="0.25">
      <c r="A26686"/>
      <c r="B26686"/>
      <c r="C26686"/>
      <c r="E26686"/>
      <c r="F26686"/>
    </row>
    <row r="26687" spans="1:6" x14ac:dyDescent="0.25">
      <c r="A26687"/>
      <c r="B26687"/>
      <c r="C26687"/>
      <c r="E26687"/>
      <c r="F26687"/>
    </row>
    <row r="26688" spans="1:6" x14ac:dyDescent="0.25">
      <c r="A26688"/>
      <c r="B26688"/>
      <c r="C26688"/>
      <c r="E26688"/>
      <c r="F26688"/>
    </row>
    <row r="26689" spans="1:6" x14ac:dyDescent="0.25">
      <c r="A26689"/>
      <c r="B26689"/>
      <c r="C26689"/>
      <c r="E26689"/>
      <c r="F26689"/>
    </row>
    <row r="26690" spans="1:6" x14ac:dyDescent="0.25">
      <c r="A26690"/>
      <c r="B26690"/>
      <c r="C26690"/>
      <c r="E26690"/>
      <c r="F26690"/>
    </row>
    <row r="26691" spans="1:6" x14ac:dyDescent="0.25">
      <c r="A26691"/>
      <c r="B26691"/>
      <c r="C26691"/>
      <c r="E26691"/>
      <c r="F26691"/>
    </row>
    <row r="26692" spans="1:6" x14ac:dyDescent="0.25">
      <c r="A26692"/>
      <c r="B26692"/>
      <c r="C26692"/>
      <c r="E26692"/>
      <c r="F26692"/>
    </row>
    <row r="26693" spans="1:6" x14ac:dyDescent="0.25">
      <c r="A26693"/>
      <c r="B26693"/>
      <c r="C26693"/>
      <c r="E26693"/>
      <c r="F26693"/>
    </row>
    <row r="26694" spans="1:6" x14ac:dyDescent="0.25">
      <c r="A26694"/>
      <c r="B26694"/>
      <c r="C26694"/>
      <c r="E26694"/>
      <c r="F26694"/>
    </row>
    <row r="26695" spans="1:6" x14ac:dyDescent="0.25">
      <c r="A26695"/>
      <c r="B26695"/>
      <c r="C26695"/>
      <c r="E26695"/>
      <c r="F26695"/>
    </row>
    <row r="26696" spans="1:6" x14ac:dyDescent="0.25">
      <c r="A26696"/>
      <c r="B26696"/>
      <c r="C26696"/>
      <c r="E26696"/>
      <c r="F26696"/>
    </row>
    <row r="26697" spans="1:6" x14ac:dyDescent="0.25">
      <c r="A26697"/>
      <c r="B26697"/>
      <c r="C26697"/>
      <c r="E26697"/>
      <c r="F26697"/>
    </row>
    <row r="26698" spans="1:6" x14ac:dyDescent="0.25">
      <c r="A26698"/>
      <c r="B26698"/>
      <c r="C26698"/>
      <c r="E26698"/>
      <c r="F26698"/>
    </row>
    <row r="26699" spans="1:6" x14ac:dyDescent="0.25">
      <c r="A26699"/>
      <c r="B26699"/>
      <c r="C26699"/>
      <c r="E26699"/>
      <c r="F26699"/>
    </row>
    <row r="26700" spans="1:6" x14ac:dyDescent="0.25">
      <c r="A26700"/>
      <c r="B26700"/>
      <c r="C26700"/>
      <c r="E26700"/>
      <c r="F26700"/>
    </row>
    <row r="26701" spans="1:6" x14ac:dyDescent="0.25">
      <c r="A26701"/>
      <c r="B26701"/>
      <c r="C26701"/>
      <c r="E26701"/>
      <c r="F26701"/>
    </row>
    <row r="26702" spans="1:6" x14ac:dyDescent="0.25">
      <c r="A26702"/>
      <c r="B26702"/>
      <c r="C26702"/>
      <c r="E26702"/>
      <c r="F26702"/>
    </row>
    <row r="26703" spans="1:6" x14ac:dyDescent="0.25">
      <c r="A26703"/>
      <c r="B26703"/>
      <c r="C26703"/>
      <c r="E26703"/>
      <c r="F26703"/>
    </row>
    <row r="26704" spans="1:6" x14ac:dyDescent="0.25">
      <c r="A26704"/>
      <c r="B26704"/>
      <c r="C26704"/>
      <c r="E26704"/>
      <c r="F26704"/>
    </row>
    <row r="26705" spans="1:6" x14ac:dyDescent="0.25">
      <c r="A26705"/>
      <c r="B26705"/>
      <c r="C26705"/>
      <c r="E26705"/>
      <c r="F26705"/>
    </row>
    <row r="26706" spans="1:6" x14ac:dyDescent="0.25">
      <c r="A26706"/>
      <c r="B26706"/>
      <c r="C26706"/>
      <c r="E26706"/>
      <c r="F26706"/>
    </row>
    <row r="26707" spans="1:6" x14ac:dyDescent="0.25">
      <c r="A26707"/>
      <c r="B26707"/>
      <c r="C26707"/>
      <c r="E26707"/>
      <c r="F26707"/>
    </row>
    <row r="26708" spans="1:6" x14ac:dyDescent="0.25">
      <c r="A26708"/>
      <c r="B26708"/>
      <c r="C26708"/>
      <c r="E26708"/>
      <c r="F26708"/>
    </row>
    <row r="26709" spans="1:6" x14ac:dyDescent="0.25">
      <c r="A26709"/>
      <c r="B26709"/>
      <c r="C26709"/>
      <c r="E26709"/>
      <c r="F26709"/>
    </row>
    <row r="26710" spans="1:6" x14ac:dyDescent="0.25">
      <c r="A26710"/>
      <c r="B26710"/>
      <c r="C26710"/>
      <c r="E26710"/>
      <c r="F26710"/>
    </row>
    <row r="26711" spans="1:6" x14ac:dyDescent="0.25">
      <c r="A26711"/>
      <c r="B26711"/>
      <c r="C26711"/>
      <c r="E26711"/>
      <c r="F26711"/>
    </row>
    <row r="26712" spans="1:6" x14ac:dyDescent="0.25">
      <c r="A26712"/>
      <c r="B26712"/>
      <c r="C26712"/>
      <c r="E26712"/>
      <c r="F26712"/>
    </row>
    <row r="26713" spans="1:6" x14ac:dyDescent="0.25">
      <c r="A26713"/>
      <c r="B26713"/>
      <c r="C26713"/>
      <c r="E26713"/>
      <c r="F26713"/>
    </row>
    <row r="26714" spans="1:6" x14ac:dyDescent="0.25">
      <c r="A26714"/>
      <c r="B26714"/>
      <c r="C26714"/>
      <c r="E26714"/>
      <c r="F26714"/>
    </row>
    <row r="26715" spans="1:6" x14ac:dyDescent="0.25">
      <c r="A26715"/>
      <c r="B26715"/>
      <c r="C26715"/>
      <c r="E26715"/>
      <c r="F26715"/>
    </row>
    <row r="26716" spans="1:6" x14ac:dyDescent="0.25">
      <c r="A26716"/>
      <c r="B26716"/>
      <c r="C26716"/>
      <c r="E26716"/>
      <c r="F26716"/>
    </row>
    <row r="26717" spans="1:6" x14ac:dyDescent="0.25">
      <c r="A26717"/>
      <c r="B26717"/>
      <c r="C26717"/>
      <c r="E26717"/>
      <c r="F26717"/>
    </row>
    <row r="26718" spans="1:6" x14ac:dyDescent="0.25">
      <c r="A26718"/>
      <c r="B26718"/>
      <c r="C26718"/>
      <c r="E26718"/>
      <c r="F26718"/>
    </row>
    <row r="26719" spans="1:6" x14ac:dyDescent="0.25">
      <c r="A26719"/>
      <c r="B26719"/>
      <c r="C26719"/>
      <c r="E26719"/>
      <c r="F26719"/>
    </row>
    <row r="26720" spans="1:6" x14ac:dyDescent="0.25">
      <c r="A26720"/>
      <c r="B26720"/>
      <c r="C26720"/>
      <c r="E26720"/>
      <c r="F26720"/>
    </row>
    <row r="26721" spans="1:6" x14ac:dyDescent="0.25">
      <c r="A26721"/>
      <c r="B26721"/>
      <c r="C26721"/>
      <c r="E26721"/>
      <c r="F26721"/>
    </row>
    <row r="26722" spans="1:6" x14ac:dyDescent="0.25">
      <c r="A26722"/>
      <c r="B26722"/>
      <c r="C26722"/>
      <c r="E26722"/>
      <c r="F26722"/>
    </row>
    <row r="26723" spans="1:6" x14ac:dyDescent="0.25">
      <c r="A26723"/>
      <c r="B26723"/>
      <c r="C26723"/>
      <c r="E26723"/>
      <c r="F26723"/>
    </row>
    <row r="26724" spans="1:6" x14ac:dyDescent="0.25">
      <c r="A26724"/>
      <c r="B26724"/>
      <c r="C26724"/>
      <c r="E26724"/>
      <c r="F26724"/>
    </row>
    <row r="26725" spans="1:6" x14ac:dyDescent="0.25">
      <c r="A26725"/>
      <c r="B26725"/>
      <c r="C26725"/>
      <c r="E26725"/>
      <c r="F26725"/>
    </row>
    <row r="26726" spans="1:6" x14ac:dyDescent="0.25">
      <c r="A26726"/>
      <c r="B26726"/>
      <c r="C26726"/>
      <c r="E26726"/>
      <c r="F26726"/>
    </row>
    <row r="26727" spans="1:6" x14ac:dyDescent="0.25">
      <c r="A26727"/>
      <c r="B26727"/>
      <c r="C26727"/>
      <c r="E26727"/>
      <c r="F26727"/>
    </row>
    <row r="26728" spans="1:6" x14ac:dyDescent="0.25">
      <c r="A26728"/>
      <c r="B26728"/>
      <c r="C26728"/>
      <c r="E26728"/>
      <c r="F26728"/>
    </row>
    <row r="26729" spans="1:6" x14ac:dyDescent="0.25">
      <c r="A26729"/>
      <c r="B26729"/>
      <c r="C26729"/>
      <c r="E26729"/>
      <c r="F26729"/>
    </row>
    <row r="26730" spans="1:6" x14ac:dyDescent="0.25">
      <c r="A26730"/>
      <c r="B26730"/>
      <c r="C26730"/>
      <c r="E26730"/>
      <c r="F26730"/>
    </row>
    <row r="26731" spans="1:6" x14ac:dyDescent="0.25">
      <c r="A26731"/>
      <c r="B26731"/>
      <c r="C26731"/>
      <c r="E26731"/>
      <c r="F26731"/>
    </row>
    <row r="26732" spans="1:6" x14ac:dyDescent="0.25">
      <c r="A26732"/>
      <c r="B26732"/>
      <c r="C26732"/>
      <c r="E26732"/>
      <c r="F26732"/>
    </row>
    <row r="26733" spans="1:6" x14ac:dyDescent="0.25">
      <c r="A26733"/>
      <c r="B26733"/>
      <c r="C26733"/>
      <c r="E26733"/>
      <c r="F26733"/>
    </row>
    <row r="26734" spans="1:6" x14ac:dyDescent="0.25">
      <c r="A26734"/>
      <c r="B26734"/>
      <c r="C26734"/>
      <c r="E26734"/>
      <c r="F26734"/>
    </row>
    <row r="26735" spans="1:6" x14ac:dyDescent="0.25">
      <c r="A26735"/>
      <c r="B26735"/>
      <c r="C26735"/>
      <c r="E26735"/>
      <c r="F26735"/>
    </row>
    <row r="26736" spans="1:6" x14ac:dyDescent="0.25">
      <c r="A26736"/>
      <c r="B26736"/>
      <c r="C26736"/>
      <c r="E26736"/>
      <c r="F26736"/>
    </row>
    <row r="26737" spans="1:6" x14ac:dyDescent="0.25">
      <c r="A26737"/>
      <c r="B26737"/>
      <c r="C26737"/>
      <c r="E26737"/>
      <c r="F26737"/>
    </row>
    <row r="26738" spans="1:6" x14ac:dyDescent="0.25">
      <c r="A26738"/>
      <c r="B26738"/>
      <c r="C26738"/>
      <c r="E26738"/>
      <c r="F26738"/>
    </row>
    <row r="26739" spans="1:6" x14ac:dyDescent="0.25">
      <c r="A26739"/>
      <c r="B26739"/>
      <c r="C26739"/>
      <c r="E26739"/>
      <c r="F26739"/>
    </row>
    <row r="26740" spans="1:6" x14ac:dyDescent="0.25">
      <c r="A26740"/>
      <c r="B26740"/>
      <c r="C26740"/>
      <c r="E26740"/>
      <c r="F26740"/>
    </row>
    <row r="26741" spans="1:6" x14ac:dyDescent="0.25">
      <c r="A26741"/>
      <c r="B26741"/>
      <c r="C26741"/>
      <c r="E26741"/>
      <c r="F26741"/>
    </row>
    <row r="26742" spans="1:6" x14ac:dyDescent="0.25">
      <c r="A26742"/>
      <c r="B26742"/>
      <c r="C26742"/>
      <c r="E26742"/>
      <c r="F26742"/>
    </row>
    <row r="26743" spans="1:6" x14ac:dyDescent="0.25">
      <c r="A26743"/>
      <c r="B26743"/>
      <c r="C26743"/>
      <c r="E26743"/>
      <c r="F26743"/>
    </row>
    <row r="26744" spans="1:6" x14ac:dyDescent="0.25">
      <c r="A26744"/>
      <c r="B26744"/>
      <c r="C26744"/>
      <c r="E26744"/>
      <c r="F26744"/>
    </row>
    <row r="26745" spans="1:6" x14ac:dyDescent="0.25">
      <c r="A26745"/>
      <c r="B26745"/>
      <c r="C26745"/>
      <c r="E26745"/>
      <c r="F26745"/>
    </row>
    <row r="26746" spans="1:6" x14ac:dyDescent="0.25">
      <c r="A26746"/>
      <c r="B26746"/>
      <c r="C26746"/>
      <c r="E26746"/>
      <c r="F26746"/>
    </row>
    <row r="26747" spans="1:6" x14ac:dyDescent="0.25">
      <c r="A26747"/>
      <c r="B26747"/>
      <c r="C26747"/>
      <c r="E26747"/>
      <c r="F26747"/>
    </row>
    <row r="26748" spans="1:6" x14ac:dyDescent="0.25">
      <c r="A26748"/>
      <c r="B26748"/>
      <c r="C26748"/>
      <c r="E26748"/>
      <c r="F26748"/>
    </row>
    <row r="26749" spans="1:6" x14ac:dyDescent="0.25">
      <c r="A26749"/>
      <c r="B26749"/>
      <c r="C26749"/>
      <c r="E26749"/>
      <c r="F26749"/>
    </row>
    <row r="26750" spans="1:6" x14ac:dyDescent="0.25">
      <c r="A26750"/>
      <c r="B26750"/>
      <c r="C26750"/>
      <c r="E26750"/>
      <c r="F26750"/>
    </row>
    <row r="26751" spans="1:6" x14ac:dyDescent="0.25">
      <c r="A26751"/>
      <c r="B26751"/>
      <c r="C26751"/>
      <c r="E26751"/>
      <c r="F26751"/>
    </row>
    <row r="26752" spans="1:6" x14ac:dyDescent="0.25">
      <c r="A26752"/>
      <c r="B26752"/>
      <c r="C26752"/>
      <c r="E26752"/>
      <c r="F26752"/>
    </row>
    <row r="26753" spans="1:6" x14ac:dyDescent="0.25">
      <c r="A26753"/>
      <c r="B26753"/>
      <c r="C26753"/>
      <c r="E26753"/>
      <c r="F26753"/>
    </row>
    <row r="26754" spans="1:6" x14ac:dyDescent="0.25">
      <c r="A26754"/>
      <c r="B26754"/>
      <c r="C26754"/>
      <c r="E26754"/>
      <c r="F26754"/>
    </row>
    <row r="26755" spans="1:6" x14ac:dyDescent="0.25">
      <c r="A26755"/>
      <c r="B26755"/>
      <c r="C26755"/>
      <c r="E26755"/>
      <c r="F26755"/>
    </row>
    <row r="26756" spans="1:6" x14ac:dyDescent="0.25">
      <c r="A26756"/>
      <c r="B26756"/>
      <c r="C26756"/>
      <c r="E26756"/>
      <c r="F26756"/>
    </row>
    <row r="26757" spans="1:6" x14ac:dyDescent="0.25">
      <c r="A26757"/>
      <c r="B26757"/>
      <c r="C26757"/>
      <c r="E26757"/>
      <c r="F26757"/>
    </row>
    <row r="26758" spans="1:6" x14ac:dyDescent="0.25">
      <c r="A26758"/>
      <c r="B26758"/>
      <c r="C26758"/>
      <c r="E26758"/>
      <c r="F26758"/>
    </row>
    <row r="26759" spans="1:6" x14ac:dyDescent="0.25">
      <c r="A26759"/>
      <c r="B26759"/>
      <c r="C26759"/>
      <c r="E26759"/>
      <c r="F26759"/>
    </row>
    <row r="26760" spans="1:6" x14ac:dyDescent="0.25">
      <c r="A26760"/>
      <c r="B26760"/>
      <c r="C26760"/>
      <c r="E26760"/>
      <c r="F26760"/>
    </row>
    <row r="26761" spans="1:6" x14ac:dyDescent="0.25">
      <c r="A26761"/>
      <c r="B26761"/>
      <c r="C26761"/>
      <c r="E26761"/>
      <c r="F26761"/>
    </row>
    <row r="26762" spans="1:6" x14ac:dyDescent="0.25">
      <c r="A26762"/>
      <c r="B26762"/>
      <c r="C26762"/>
      <c r="E26762"/>
      <c r="F26762"/>
    </row>
    <row r="26763" spans="1:6" x14ac:dyDescent="0.25">
      <c r="A26763"/>
      <c r="B26763"/>
      <c r="C26763"/>
      <c r="E26763"/>
      <c r="F26763"/>
    </row>
    <row r="26764" spans="1:6" x14ac:dyDescent="0.25">
      <c r="A26764"/>
      <c r="B26764"/>
      <c r="C26764"/>
      <c r="E26764"/>
      <c r="F26764"/>
    </row>
    <row r="26765" spans="1:6" x14ac:dyDescent="0.25">
      <c r="A26765"/>
      <c r="B26765"/>
      <c r="C26765"/>
      <c r="E26765"/>
      <c r="F26765"/>
    </row>
    <row r="26766" spans="1:6" x14ac:dyDescent="0.25">
      <c r="A26766"/>
      <c r="B26766"/>
      <c r="C26766"/>
      <c r="E26766"/>
      <c r="F26766"/>
    </row>
    <row r="26767" spans="1:6" x14ac:dyDescent="0.25">
      <c r="A26767"/>
      <c r="B26767"/>
      <c r="C26767"/>
      <c r="E26767"/>
      <c r="F26767"/>
    </row>
    <row r="26768" spans="1:6" x14ac:dyDescent="0.25">
      <c r="A26768"/>
      <c r="B26768"/>
      <c r="C26768"/>
      <c r="E26768"/>
      <c r="F26768"/>
    </row>
    <row r="26769" spans="1:6" x14ac:dyDescent="0.25">
      <c r="A26769"/>
      <c r="B26769"/>
      <c r="C26769"/>
      <c r="E26769"/>
      <c r="F26769"/>
    </row>
    <row r="26770" spans="1:6" x14ac:dyDescent="0.25">
      <c r="A26770"/>
      <c r="B26770"/>
      <c r="C26770"/>
      <c r="E26770"/>
      <c r="F26770"/>
    </row>
    <row r="26771" spans="1:6" x14ac:dyDescent="0.25">
      <c r="A26771"/>
      <c r="B26771"/>
      <c r="C26771"/>
      <c r="E26771"/>
      <c r="F26771"/>
    </row>
    <row r="26772" spans="1:6" x14ac:dyDescent="0.25">
      <c r="A26772"/>
      <c r="B26772"/>
      <c r="C26772"/>
      <c r="E26772"/>
      <c r="F26772"/>
    </row>
    <row r="26773" spans="1:6" x14ac:dyDescent="0.25">
      <c r="A26773"/>
      <c r="B26773"/>
      <c r="C26773"/>
      <c r="E26773"/>
      <c r="F26773"/>
    </row>
    <row r="26774" spans="1:6" x14ac:dyDescent="0.25">
      <c r="A26774"/>
      <c r="B26774"/>
      <c r="C26774"/>
      <c r="E26774"/>
      <c r="F26774"/>
    </row>
    <row r="26775" spans="1:6" x14ac:dyDescent="0.25">
      <c r="A26775"/>
      <c r="B26775"/>
      <c r="C26775"/>
      <c r="E26775"/>
      <c r="F26775"/>
    </row>
    <row r="26776" spans="1:6" x14ac:dyDescent="0.25">
      <c r="A26776"/>
      <c r="B26776"/>
      <c r="C26776"/>
      <c r="E26776"/>
      <c r="F26776"/>
    </row>
    <row r="26777" spans="1:6" x14ac:dyDescent="0.25">
      <c r="A26777"/>
      <c r="B26777"/>
      <c r="C26777"/>
      <c r="E26777"/>
      <c r="F26777"/>
    </row>
    <row r="26778" spans="1:6" x14ac:dyDescent="0.25">
      <c r="A26778"/>
      <c r="B26778"/>
      <c r="C26778"/>
      <c r="E26778"/>
      <c r="F26778"/>
    </row>
    <row r="26779" spans="1:6" x14ac:dyDescent="0.25">
      <c r="A26779"/>
      <c r="B26779"/>
      <c r="C26779"/>
      <c r="E26779"/>
      <c r="F26779"/>
    </row>
    <row r="26780" spans="1:6" x14ac:dyDescent="0.25">
      <c r="A26780"/>
      <c r="B26780"/>
      <c r="C26780"/>
      <c r="E26780"/>
      <c r="F26780"/>
    </row>
    <row r="26781" spans="1:6" x14ac:dyDescent="0.25">
      <c r="A26781"/>
      <c r="B26781"/>
      <c r="C26781"/>
      <c r="E26781"/>
      <c r="F26781"/>
    </row>
    <row r="26782" spans="1:6" x14ac:dyDescent="0.25">
      <c r="A26782"/>
      <c r="B26782"/>
      <c r="C26782"/>
      <c r="E26782"/>
      <c r="F26782"/>
    </row>
    <row r="26783" spans="1:6" x14ac:dyDescent="0.25">
      <c r="A26783"/>
      <c r="B26783"/>
      <c r="C26783"/>
      <c r="E26783"/>
      <c r="F26783"/>
    </row>
    <row r="26784" spans="1:6" x14ac:dyDescent="0.25">
      <c r="A26784"/>
      <c r="B26784"/>
      <c r="C26784"/>
      <c r="E26784"/>
      <c r="F26784"/>
    </row>
    <row r="26785" spans="1:6" x14ac:dyDescent="0.25">
      <c r="A26785"/>
      <c r="B26785"/>
      <c r="C26785"/>
      <c r="E26785"/>
      <c r="F26785"/>
    </row>
    <row r="26786" spans="1:6" x14ac:dyDescent="0.25">
      <c r="A26786"/>
      <c r="B26786"/>
      <c r="C26786"/>
      <c r="E26786"/>
      <c r="F26786"/>
    </row>
    <row r="26787" spans="1:6" x14ac:dyDescent="0.25">
      <c r="A26787"/>
      <c r="B26787"/>
      <c r="C26787"/>
      <c r="E26787"/>
      <c r="F26787"/>
    </row>
    <row r="26788" spans="1:6" x14ac:dyDescent="0.25">
      <c r="A26788"/>
      <c r="B26788"/>
      <c r="C26788"/>
      <c r="E26788"/>
      <c r="F26788"/>
    </row>
    <row r="26789" spans="1:6" x14ac:dyDescent="0.25">
      <c r="A26789"/>
      <c r="B26789"/>
      <c r="C26789"/>
      <c r="E26789"/>
      <c r="F26789"/>
    </row>
    <row r="26790" spans="1:6" x14ac:dyDescent="0.25">
      <c r="A26790"/>
      <c r="B26790"/>
      <c r="C26790"/>
      <c r="E26790"/>
      <c r="F26790"/>
    </row>
    <row r="26791" spans="1:6" x14ac:dyDescent="0.25">
      <c r="A26791"/>
      <c r="B26791"/>
      <c r="C26791"/>
      <c r="E26791"/>
      <c r="F26791"/>
    </row>
    <row r="26792" spans="1:6" x14ac:dyDescent="0.25">
      <c r="A26792"/>
      <c r="B26792"/>
      <c r="C26792"/>
      <c r="E26792"/>
      <c r="F26792"/>
    </row>
    <row r="26793" spans="1:6" x14ac:dyDescent="0.25">
      <c r="A26793"/>
      <c r="B26793"/>
      <c r="C26793"/>
      <c r="E26793"/>
      <c r="F26793"/>
    </row>
    <row r="26794" spans="1:6" x14ac:dyDescent="0.25">
      <c r="A26794"/>
      <c r="B26794"/>
      <c r="C26794"/>
      <c r="E26794"/>
      <c r="F26794"/>
    </row>
    <row r="26795" spans="1:6" x14ac:dyDescent="0.25">
      <c r="A26795"/>
      <c r="B26795"/>
      <c r="C26795"/>
      <c r="E26795"/>
      <c r="F26795"/>
    </row>
    <row r="26796" spans="1:6" x14ac:dyDescent="0.25">
      <c r="A26796"/>
      <c r="B26796"/>
      <c r="C26796"/>
      <c r="E26796"/>
      <c r="F26796"/>
    </row>
    <row r="26797" spans="1:6" x14ac:dyDescent="0.25">
      <c r="A26797"/>
      <c r="B26797"/>
      <c r="C26797"/>
      <c r="E26797"/>
      <c r="F26797"/>
    </row>
    <row r="26798" spans="1:6" x14ac:dyDescent="0.25">
      <c r="A26798"/>
      <c r="B26798"/>
      <c r="C26798"/>
      <c r="E26798"/>
      <c r="F26798"/>
    </row>
    <row r="26799" spans="1:6" x14ac:dyDescent="0.25">
      <c r="A26799"/>
      <c r="B26799"/>
      <c r="C26799"/>
      <c r="E26799"/>
      <c r="F26799"/>
    </row>
    <row r="26800" spans="1:6" x14ac:dyDescent="0.25">
      <c r="A26800"/>
      <c r="B26800"/>
      <c r="C26800"/>
      <c r="E26800"/>
      <c r="F26800"/>
    </row>
    <row r="26801" spans="1:6" x14ac:dyDescent="0.25">
      <c r="A26801"/>
      <c r="B26801"/>
      <c r="C26801"/>
      <c r="E26801"/>
      <c r="F26801"/>
    </row>
    <row r="26802" spans="1:6" x14ac:dyDescent="0.25">
      <c r="A26802"/>
      <c r="B26802"/>
      <c r="C26802"/>
      <c r="E26802"/>
      <c r="F26802"/>
    </row>
    <row r="26803" spans="1:6" x14ac:dyDescent="0.25">
      <c r="A26803"/>
      <c r="B26803"/>
      <c r="C26803"/>
      <c r="E26803"/>
      <c r="F26803"/>
    </row>
    <row r="26804" spans="1:6" x14ac:dyDescent="0.25">
      <c r="A26804"/>
      <c r="B26804"/>
      <c r="C26804"/>
      <c r="E26804"/>
      <c r="F26804"/>
    </row>
    <row r="26805" spans="1:6" x14ac:dyDescent="0.25">
      <c r="A26805"/>
      <c r="B26805"/>
      <c r="C26805"/>
      <c r="E26805"/>
      <c r="F26805"/>
    </row>
    <row r="26806" spans="1:6" x14ac:dyDescent="0.25">
      <c r="A26806"/>
      <c r="B26806"/>
      <c r="C26806"/>
      <c r="E26806"/>
      <c r="F26806"/>
    </row>
    <row r="26807" spans="1:6" x14ac:dyDescent="0.25">
      <c r="A26807"/>
      <c r="B26807"/>
      <c r="C26807"/>
      <c r="E26807"/>
      <c r="F26807"/>
    </row>
    <row r="26808" spans="1:6" x14ac:dyDescent="0.25">
      <c r="A26808"/>
      <c r="B26808"/>
      <c r="C26808"/>
      <c r="E26808"/>
      <c r="F26808"/>
    </row>
    <row r="26809" spans="1:6" x14ac:dyDescent="0.25">
      <c r="A26809"/>
      <c r="B26809"/>
      <c r="C26809"/>
      <c r="E26809"/>
      <c r="F26809"/>
    </row>
    <row r="26810" spans="1:6" x14ac:dyDescent="0.25">
      <c r="A26810"/>
      <c r="B26810"/>
      <c r="C26810"/>
      <c r="E26810"/>
      <c r="F26810"/>
    </row>
    <row r="26811" spans="1:6" x14ac:dyDescent="0.25">
      <c r="A26811"/>
      <c r="B26811"/>
      <c r="C26811"/>
      <c r="E26811"/>
      <c r="F26811"/>
    </row>
    <row r="26812" spans="1:6" x14ac:dyDescent="0.25">
      <c r="A26812"/>
      <c r="B26812"/>
      <c r="C26812"/>
      <c r="E26812"/>
      <c r="F26812"/>
    </row>
    <row r="26813" spans="1:6" x14ac:dyDescent="0.25">
      <c r="A26813"/>
      <c r="B26813"/>
      <c r="C26813"/>
      <c r="E26813"/>
      <c r="F26813"/>
    </row>
    <row r="26814" spans="1:6" x14ac:dyDescent="0.25">
      <c r="A26814"/>
      <c r="B26814"/>
      <c r="C26814"/>
      <c r="E26814"/>
      <c r="F26814"/>
    </row>
    <row r="26815" spans="1:6" x14ac:dyDescent="0.25">
      <c r="A26815"/>
      <c r="B26815"/>
      <c r="C26815"/>
      <c r="E26815"/>
      <c r="F26815"/>
    </row>
    <row r="26816" spans="1:6" x14ac:dyDescent="0.25">
      <c r="A26816"/>
      <c r="B26816"/>
      <c r="C26816"/>
      <c r="E26816"/>
      <c r="F26816"/>
    </row>
    <row r="26817" spans="1:6" x14ac:dyDescent="0.25">
      <c r="A26817"/>
      <c r="B26817"/>
      <c r="C26817"/>
      <c r="E26817"/>
      <c r="F26817"/>
    </row>
    <row r="26818" spans="1:6" x14ac:dyDescent="0.25">
      <c r="A26818"/>
      <c r="B26818"/>
      <c r="C26818"/>
      <c r="E26818"/>
      <c r="F26818"/>
    </row>
    <row r="26819" spans="1:6" x14ac:dyDescent="0.25">
      <c r="A26819"/>
      <c r="B26819"/>
      <c r="C26819"/>
      <c r="E26819"/>
      <c r="F26819"/>
    </row>
    <row r="26820" spans="1:6" x14ac:dyDescent="0.25">
      <c r="A26820"/>
      <c r="B26820"/>
      <c r="C26820"/>
      <c r="E26820"/>
      <c r="F26820"/>
    </row>
    <row r="26821" spans="1:6" x14ac:dyDescent="0.25">
      <c r="A26821"/>
      <c r="B26821"/>
      <c r="C26821"/>
      <c r="E26821"/>
      <c r="F26821"/>
    </row>
    <row r="26822" spans="1:6" x14ac:dyDescent="0.25">
      <c r="A26822"/>
      <c r="B26822"/>
      <c r="C26822"/>
      <c r="E26822"/>
      <c r="F26822"/>
    </row>
    <row r="26823" spans="1:6" x14ac:dyDescent="0.25">
      <c r="A26823"/>
      <c r="B26823"/>
      <c r="C26823"/>
      <c r="E26823"/>
      <c r="F26823"/>
    </row>
    <row r="26824" spans="1:6" x14ac:dyDescent="0.25">
      <c r="A26824"/>
      <c r="B26824"/>
      <c r="C26824"/>
      <c r="E26824"/>
      <c r="F26824"/>
    </row>
    <row r="26825" spans="1:6" x14ac:dyDescent="0.25">
      <c r="A26825"/>
      <c r="B26825"/>
      <c r="C26825"/>
      <c r="E26825"/>
      <c r="F26825"/>
    </row>
    <row r="26826" spans="1:6" x14ac:dyDescent="0.25">
      <c r="A26826"/>
      <c r="B26826"/>
      <c r="C26826"/>
      <c r="E26826"/>
      <c r="F26826"/>
    </row>
    <row r="26827" spans="1:6" x14ac:dyDescent="0.25">
      <c r="A26827"/>
      <c r="B26827"/>
      <c r="C26827"/>
      <c r="E26827"/>
      <c r="F26827"/>
    </row>
    <row r="26828" spans="1:6" x14ac:dyDescent="0.25">
      <c r="A26828"/>
      <c r="B26828"/>
      <c r="C26828"/>
      <c r="E26828"/>
      <c r="F26828"/>
    </row>
    <row r="26829" spans="1:6" x14ac:dyDescent="0.25">
      <c r="A26829"/>
      <c r="B26829"/>
      <c r="C26829"/>
      <c r="E26829"/>
      <c r="F26829"/>
    </row>
    <row r="26830" spans="1:6" x14ac:dyDescent="0.25">
      <c r="A26830"/>
      <c r="B26830"/>
      <c r="C26830"/>
      <c r="E26830"/>
      <c r="F26830"/>
    </row>
    <row r="26831" spans="1:6" x14ac:dyDescent="0.25">
      <c r="A26831"/>
      <c r="B26831"/>
      <c r="C26831"/>
      <c r="E26831"/>
      <c r="F26831"/>
    </row>
    <row r="26832" spans="1:6" x14ac:dyDescent="0.25">
      <c r="A26832"/>
      <c r="B26832"/>
      <c r="C26832"/>
      <c r="E26832"/>
      <c r="F26832"/>
    </row>
    <row r="26833" spans="1:6" x14ac:dyDescent="0.25">
      <c r="A26833"/>
      <c r="B26833"/>
      <c r="C26833"/>
      <c r="E26833"/>
      <c r="F26833"/>
    </row>
    <row r="26834" spans="1:6" x14ac:dyDescent="0.25">
      <c r="A26834"/>
      <c r="B26834"/>
      <c r="C26834"/>
      <c r="E26834"/>
      <c r="F26834"/>
    </row>
    <row r="26835" spans="1:6" x14ac:dyDescent="0.25">
      <c r="A26835"/>
      <c r="B26835"/>
      <c r="C26835"/>
      <c r="E26835"/>
      <c r="F26835"/>
    </row>
    <row r="26836" spans="1:6" x14ac:dyDescent="0.25">
      <c r="A26836"/>
      <c r="B26836"/>
      <c r="C26836"/>
      <c r="E26836"/>
      <c r="F26836"/>
    </row>
    <row r="26837" spans="1:6" x14ac:dyDescent="0.25">
      <c r="A26837"/>
      <c r="B26837"/>
      <c r="C26837"/>
      <c r="E26837"/>
      <c r="F26837"/>
    </row>
    <row r="26838" spans="1:6" x14ac:dyDescent="0.25">
      <c r="A26838"/>
      <c r="B26838"/>
      <c r="C26838"/>
      <c r="E26838"/>
      <c r="F26838"/>
    </row>
    <row r="26839" spans="1:6" x14ac:dyDescent="0.25">
      <c r="A26839"/>
      <c r="B26839"/>
      <c r="C26839"/>
      <c r="E26839"/>
      <c r="F26839"/>
    </row>
    <row r="26840" spans="1:6" x14ac:dyDescent="0.25">
      <c r="A26840"/>
      <c r="B26840"/>
      <c r="C26840"/>
      <c r="E26840"/>
      <c r="F26840"/>
    </row>
    <row r="26841" spans="1:6" x14ac:dyDescent="0.25">
      <c r="A26841"/>
      <c r="B26841"/>
      <c r="C26841"/>
      <c r="E26841"/>
      <c r="F26841"/>
    </row>
    <row r="26842" spans="1:6" x14ac:dyDescent="0.25">
      <c r="A26842"/>
      <c r="B26842"/>
      <c r="C26842"/>
      <c r="E26842"/>
      <c r="F26842"/>
    </row>
    <row r="26843" spans="1:6" x14ac:dyDescent="0.25">
      <c r="A26843"/>
      <c r="B26843"/>
      <c r="C26843"/>
      <c r="E26843"/>
      <c r="F26843"/>
    </row>
    <row r="26844" spans="1:6" x14ac:dyDescent="0.25">
      <c r="A26844"/>
      <c r="B26844"/>
      <c r="C26844"/>
      <c r="E26844"/>
      <c r="F26844"/>
    </row>
    <row r="26845" spans="1:6" x14ac:dyDescent="0.25">
      <c r="A26845"/>
      <c r="B26845"/>
      <c r="C26845"/>
      <c r="E26845"/>
      <c r="F26845"/>
    </row>
    <row r="26846" spans="1:6" x14ac:dyDescent="0.25">
      <c r="A26846"/>
      <c r="B26846"/>
      <c r="C26846"/>
      <c r="E26846"/>
      <c r="F26846"/>
    </row>
    <row r="26847" spans="1:6" x14ac:dyDescent="0.25">
      <c r="A26847"/>
      <c r="B26847"/>
      <c r="C26847"/>
      <c r="E26847"/>
      <c r="F26847"/>
    </row>
    <row r="26848" spans="1:6" x14ac:dyDescent="0.25">
      <c r="A26848"/>
      <c r="B26848"/>
      <c r="C26848"/>
      <c r="E26848"/>
      <c r="F26848"/>
    </row>
    <row r="26849" spans="1:6" x14ac:dyDescent="0.25">
      <c r="A26849"/>
      <c r="B26849"/>
      <c r="C26849"/>
      <c r="E26849"/>
      <c r="F26849"/>
    </row>
    <row r="26850" spans="1:6" x14ac:dyDescent="0.25">
      <c r="A26850"/>
      <c r="B26850"/>
      <c r="C26850"/>
      <c r="E26850"/>
      <c r="F26850"/>
    </row>
    <row r="26851" spans="1:6" x14ac:dyDescent="0.25">
      <c r="A26851"/>
      <c r="B26851"/>
      <c r="C26851"/>
      <c r="E26851"/>
      <c r="F26851"/>
    </row>
    <row r="26852" spans="1:6" x14ac:dyDescent="0.25">
      <c r="A26852"/>
      <c r="B26852"/>
      <c r="C26852"/>
      <c r="E26852"/>
      <c r="F26852"/>
    </row>
    <row r="26853" spans="1:6" x14ac:dyDescent="0.25">
      <c r="A26853"/>
      <c r="B26853"/>
      <c r="C26853"/>
      <c r="E26853"/>
      <c r="F26853"/>
    </row>
    <row r="26854" spans="1:6" x14ac:dyDescent="0.25">
      <c r="A26854"/>
      <c r="B26854"/>
      <c r="C26854"/>
      <c r="E26854"/>
      <c r="F26854"/>
    </row>
    <row r="26855" spans="1:6" x14ac:dyDescent="0.25">
      <c r="A26855"/>
      <c r="B26855"/>
      <c r="C26855"/>
      <c r="E26855"/>
      <c r="F26855"/>
    </row>
    <row r="26856" spans="1:6" x14ac:dyDescent="0.25">
      <c r="A26856"/>
      <c r="B26856"/>
      <c r="C26856"/>
      <c r="E26856"/>
      <c r="F26856"/>
    </row>
    <row r="26857" spans="1:6" x14ac:dyDescent="0.25">
      <c r="A26857"/>
      <c r="B26857"/>
      <c r="C26857"/>
      <c r="E26857"/>
      <c r="F26857"/>
    </row>
    <row r="26858" spans="1:6" x14ac:dyDescent="0.25">
      <c r="A26858"/>
      <c r="B26858"/>
      <c r="C26858"/>
      <c r="E26858"/>
      <c r="F26858"/>
    </row>
    <row r="26859" spans="1:6" x14ac:dyDescent="0.25">
      <c r="A26859"/>
      <c r="B26859"/>
      <c r="C26859"/>
      <c r="E26859"/>
      <c r="F26859"/>
    </row>
    <row r="26860" spans="1:6" x14ac:dyDescent="0.25">
      <c r="A26860"/>
      <c r="B26860"/>
      <c r="C26860"/>
      <c r="E26860"/>
      <c r="F26860"/>
    </row>
    <row r="26861" spans="1:6" x14ac:dyDescent="0.25">
      <c r="A26861"/>
      <c r="B26861"/>
      <c r="C26861"/>
      <c r="E26861"/>
      <c r="F26861"/>
    </row>
    <row r="26862" spans="1:6" x14ac:dyDescent="0.25">
      <c r="A26862"/>
      <c r="B26862"/>
      <c r="C26862"/>
      <c r="E26862"/>
      <c r="F26862"/>
    </row>
    <row r="26863" spans="1:6" x14ac:dyDescent="0.25">
      <c r="A26863"/>
      <c r="B26863"/>
      <c r="C26863"/>
      <c r="E26863"/>
      <c r="F26863"/>
    </row>
    <row r="26864" spans="1:6" x14ac:dyDescent="0.25">
      <c r="A26864"/>
      <c r="B26864"/>
      <c r="C26864"/>
      <c r="E26864"/>
      <c r="F26864"/>
    </row>
    <row r="26865" spans="1:6" x14ac:dyDescent="0.25">
      <c r="A26865"/>
      <c r="B26865"/>
      <c r="C26865"/>
      <c r="E26865"/>
      <c r="F26865"/>
    </row>
    <row r="26866" spans="1:6" x14ac:dyDescent="0.25">
      <c r="A26866"/>
      <c r="B26866"/>
      <c r="C26866"/>
      <c r="E26866"/>
      <c r="F26866"/>
    </row>
    <row r="26867" spans="1:6" x14ac:dyDescent="0.25">
      <c r="A26867"/>
      <c r="B26867"/>
      <c r="C26867"/>
      <c r="E26867"/>
      <c r="F26867"/>
    </row>
    <row r="26868" spans="1:6" x14ac:dyDescent="0.25">
      <c r="A26868"/>
      <c r="B26868"/>
      <c r="C26868"/>
      <c r="E26868"/>
      <c r="F26868"/>
    </row>
    <row r="26869" spans="1:6" x14ac:dyDescent="0.25">
      <c r="A26869"/>
      <c r="B26869"/>
      <c r="C26869"/>
      <c r="E26869"/>
      <c r="F26869"/>
    </row>
    <row r="26870" spans="1:6" x14ac:dyDescent="0.25">
      <c r="A26870"/>
      <c r="B26870"/>
      <c r="C26870"/>
      <c r="E26870"/>
      <c r="F26870"/>
    </row>
    <row r="26871" spans="1:6" x14ac:dyDescent="0.25">
      <c r="A26871"/>
      <c r="B26871"/>
      <c r="C26871"/>
      <c r="E26871"/>
      <c r="F26871"/>
    </row>
    <row r="26872" spans="1:6" x14ac:dyDescent="0.25">
      <c r="A26872"/>
      <c r="B26872"/>
      <c r="C26872"/>
      <c r="E26872"/>
      <c r="F26872"/>
    </row>
    <row r="26873" spans="1:6" x14ac:dyDescent="0.25">
      <c r="A26873"/>
      <c r="B26873"/>
      <c r="C26873"/>
      <c r="E26873"/>
      <c r="F26873"/>
    </row>
    <row r="26874" spans="1:6" x14ac:dyDescent="0.25">
      <c r="A26874"/>
      <c r="B26874"/>
      <c r="C26874"/>
      <c r="E26874"/>
      <c r="F26874"/>
    </row>
    <row r="26875" spans="1:6" x14ac:dyDescent="0.25">
      <c r="A26875"/>
      <c r="B26875"/>
      <c r="C26875"/>
      <c r="E26875"/>
      <c r="F26875"/>
    </row>
    <row r="26876" spans="1:6" x14ac:dyDescent="0.25">
      <c r="A26876"/>
      <c r="B26876"/>
      <c r="C26876"/>
      <c r="E26876"/>
      <c r="F26876"/>
    </row>
    <row r="26877" spans="1:6" x14ac:dyDescent="0.25">
      <c r="A26877"/>
      <c r="B26877"/>
      <c r="C26877"/>
      <c r="E26877"/>
      <c r="F26877"/>
    </row>
    <row r="26878" spans="1:6" x14ac:dyDescent="0.25">
      <c r="A26878"/>
      <c r="B26878"/>
      <c r="C26878"/>
      <c r="E26878"/>
      <c r="F26878"/>
    </row>
    <row r="26879" spans="1:6" x14ac:dyDescent="0.25">
      <c r="A26879"/>
      <c r="B26879"/>
      <c r="C26879"/>
      <c r="E26879"/>
      <c r="F26879"/>
    </row>
    <row r="26880" spans="1:6" x14ac:dyDescent="0.25">
      <c r="A26880"/>
      <c r="B26880"/>
      <c r="C26880"/>
      <c r="E26880"/>
      <c r="F26880"/>
    </row>
    <row r="26881" spans="1:6" x14ac:dyDescent="0.25">
      <c r="A26881"/>
      <c r="B26881"/>
      <c r="C26881"/>
      <c r="E26881"/>
      <c r="F26881"/>
    </row>
    <row r="26882" spans="1:6" x14ac:dyDescent="0.25">
      <c r="A26882"/>
      <c r="B26882"/>
      <c r="C26882"/>
      <c r="E26882"/>
      <c r="F26882"/>
    </row>
    <row r="26883" spans="1:6" x14ac:dyDescent="0.25">
      <c r="A26883"/>
      <c r="B26883"/>
      <c r="C26883"/>
      <c r="E26883"/>
      <c r="F26883"/>
    </row>
    <row r="26884" spans="1:6" x14ac:dyDescent="0.25">
      <c r="A26884"/>
      <c r="B26884"/>
      <c r="C26884"/>
      <c r="E26884"/>
      <c r="F26884"/>
    </row>
    <row r="26885" spans="1:6" x14ac:dyDescent="0.25">
      <c r="A26885"/>
      <c r="B26885"/>
      <c r="C26885"/>
      <c r="E26885"/>
      <c r="F26885"/>
    </row>
    <row r="26886" spans="1:6" x14ac:dyDescent="0.25">
      <c r="A26886"/>
      <c r="B26886"/>
      <c r="C26886"/>
      <c r="E26886"/>
      <c r="F26886"/>
    </row>
    <row r="26887" spans="1:6" x14ac:dyDescent="0.25">
      <c r="A26887"/>
      <c r="B26887"/>
      <c r="C26887"/>
      <c r="E26887"/>
      <c r="F26887"/>
    </row>
    <row r="26888" spans="1:6" x14ac:dyDescent="0.25">
      <c r="A26888"/>
      <c r="B26888"/>
      <c r="C26888"/>
      <c r="E26888"/>
      <c r="F26888"/>
    </row>
    <row r="26889" spans="1:6" x14ac:dyDescent="0.25">
      <c r="A26889"/>
      <c r="B26889"/>
      <c r="C26889"/>
      <c r="E26889"/>
      <c r="F26889"/>
    </row>
    <row r="26890" spans="1:6" x14ac:dyDescent="0.25">
      <c r="A26890"/>
      <c r="B26890"/>
      <c r="C26890"/>
      <c r="E26890"/>
      <c r="F26890"/>
    </row>
    <row r="26891" spans="1:6" x14ac:dyDescent="0.25">
      <c r="A26891"/>
      <c r="B26891"/>
      <c r="C26891"/>
      <c r="E26891"/>
      <c r="F26891"/>
    </row>
    <row r="26892" spans="1:6" x14ac:dyDescent="0.25">
      <c r="A26892"/>
      <c r="B26892"/>
      <c r="C26892"/>
      <c r="E26892"/>
      <c r="F26892"/>
    </row>
    <row r="26893" spans="1:6" x14ac:dyDescent="0.25">
      <c r="A26893"/>
      <c r="B26893"/>
      <c r="C26893"/>
      <c r="E26893"/>
      <c r="F26893"/>
    </row>
    <row r="26894" spans="1:6" x14ac:dyDescent="0.25">
      <c r="A26894"/>
      <c r="B26894"/>
      <c r="C26894"/>
      <c r="E26894"/>
      <c r="F26894"/>
    </row>
    <row r="26895" spans="1:6" x14ac:dyDescent="0.25">
      <c r="A26895"/>
      <c r="B26895"/>
      <c r="C26895"/>
      <c r="E26895"/>
      <c r="F26895"/>
    </row>
    <row r="26896" spans="1:6" x14ac:dyDescent="0.25">
      <c r="A26896"/>
      <c r="B26896"/>
      <c r="C26896"/>
      <c r="E26896"/>
      <c r="F26896"/>
    </row>
    <row r="26897" spans="1:6" x14ac:dyDescent="0.25">
      <c r="A26897"/>
      <c r="B26897"/>
      <c r="C26897"/>
      <c r="E26897"/>
      <c r="F26897"/>
    </row>
    <row r="26898" spans="1:6" x14ac:dyDescent="0.25">
      <c r="A26898"/>
      <c r="B26898"/>
      <c r="C26898"/>
      <c r="E26898"/>
      <c r="F26898"/>
    </row>
    <row r="26899" spans="1:6" x14ac:dyDescent="0.25">
      <c r="A26899"/>
      <c r="B26899"/>
      <c r="C26899"/>
      <c r="E26899"/>
      <c r="F26899"/>
    </row>
    <row r="26900" spans="1:6" x14ac:dyDescent="0.25">
      <c r="A26900"/>
      <c r="B26900"/>
      <c r="C26900"/>
      <c r="E26900"/>
      <c r="F26900"/>
    </row>
    <row r="26901" spans="1:6" x14ac:dyDescent="0.25">
      <c r="A26901"/>
      <c r="B26901"/>
      <c r="C26901"/>
      <c r="E26901"/>
      <c r="F26901"/>
    </row>
    <row r="26902" spans="1:6" x14ac:dyDescent="0.25">
      <c r="A26902"/>
      <c r="B26902"/>
      <c r="C26902"/>
      <c r="E26902"/>
      <c r="F26902"/>
    </row>
    <row r="26903" spans="1:6" x14ac:dyDescent="0.25">
      <c r="A26903"/>
      <c r="B26903"/>
      <c r="C26903"/>
      <c r="E26903"/>
      <c r="F26903"/>
    </row>
    <row r="26904" spans="1:6" x14ac:dyDescent="0.25">
      <c r="A26904"/>
      <c r="B26904"/>
      <c r="C26904"/>
      <c r="E26904"/>
      <c r="F26904"/>
    </row>
    <row r="26905" spans="1:6" x14ac:dyDescent="0.25">
      <c r="A26905"/>
      <c r="B26905"/>
      <c r="C26905"/>
      <c r="E26905"/>
      <c r="F26905"/>
    </row>
    <row r="26906" spans="1:6" x14ac:dyDescent="0.25">
      <c r="A26906"/>
      <c r="B26906"/>
      <c r="C26906"/>
      <c r="E26906"/>
      <c r="F26906"/>
    </row>
    <row r="26907" spans="1:6" x14ac:dyDescent="0.25">
      <c r="A26907"/>
      <c r="B26907"/>
      <c r="C26907"/>
      <c r="E26907"/>
      <c r="F26907"/>
    </row>
    <row r="26908" spans="1:6" x14ac:dyDescent="0.25">
      <c r="A26908"/>
      <c r="B26908"/>
      <c r="C26908"/>
      <c r="E26908"/>
      <c r="F26908"/>
    </row>
    <row r="26909" spans="1:6" x14ac:dyDescent="0.25">
      <c r="A26909"/>
      <c r="B26909"/>
      <c r="C26909"/>
      <c r="E26909"/>
      <c r="F26909"/>
    </row>
    <row r="26910" spans="1:6" x14ac:dyDescent="0.25">
      <c r="A26910"/>
      <c r="B26910"/>
      <c r="C26910"/>
      <c r="E26910"/>
      <c r="F26910"/>
    </row>
    <row r="26911" spans="1:6" x14ac:dyDescent="0.25">
      <c r="A26911"/>
      <c r="B26911"/>
      <c r="C26911"/>
      <c r="E26911"/>
      <c r="F26911"/>
    </row>
    <row r="26912" spans="1:6" x14ac:dyDescent="0.25">
      <c r="A26912"/>
      <c r="B26912"/>
      <c r="C26912"/>
      <c r="E26912"/>
      <c r="F26912"/>
    </row>
    <row r="26913" spans="1:6" x14ac:dyDescent="0.25">
      <c r="A26913"/>
      <c r="B26913"/>
      <c r="C26913"/>
      <c r="E26913"/>
      <c r="F26913"/>
    </row>
    <row r="26914" spans="1:6" x14ac:dyDescent="0.25">
      <c r="A26914"/>
      <c r="B26914"/>
      <c r="C26914"/>
      <c r="E26914"/>
      <c r="F26914"/>
    </row>
    <row r="26915" spans="1:6" x14ac:dyDescent="0.25">
      <c r="A26915"/>
      <c r="B26915"/>
      <c r="C26915"/>
      <c r="E26915"/>
      <c r="F26915"/>
    </row>
    <row r="26916" spans="1:6" x14ac:dyDescent="0.25">
      <c r="A26916"/>
      <c r="B26916"/>
      <c r="C26916"/>
      <c r="E26916"/>
      <c r="F26916"/>
    </row>
    <row r="26917" spans="1:6" x14ac:dyDescent="0.25">
      <c r="A26917"/>
      <c r="B26917"/>
      <c r="C26917"/>
      <c r="E26917"/>
      <c r="F26917"/>
    </row>
    <row r="26918" spans="1:6" x14ac:dyDescent="0.25">
      <c r="A26918"/>
      <c r="B26918"/>
      <c r="C26918"/>
      <c r="E26918"/>
      <c r="F26918"/>
    </row>
    <row r="26919" spans="1:6" x14ac:dyDescent="0.25">
      <c r="A26919"/>
      <c r="B26919"/>
      <c r="C26919"/>
      <c r="E26919"/>
      <c r="F26919"/>
    </row>
    <row r="26920" spans="1:6" x14ac:dyDescent="0.25">
      <c r="A26920"/>
      <c r="B26920"/>
      <c r="C26920"/>
      <c r="E26920"/>
      <c r="F26920"/>
    </row>
    <row r="26921" spans="1:6" x14ac:dyDescent="0.25">
      <c r="A26921"/>
      <c r="B26921"/>
      <c r="C26921"/>
      <c r="E26921"/>
      <c r="F26921"/>
    </row>
    <row r="26922" spans="1:6" x14ac:dyDescent="0.25">
      <c r="A26922"/>
      <c r="B26922"/>
      <c r="C26922"/>
      <c r="E26922"/>
      <c r="F26922"/>
    </row>
    <row r="26923" spans="1:6" x14ac:dyDescent="0.25">
      <c r="A26923"/>
      <c r="B26923"/>
      <c r="C26923"/>
      <c r="E26923"/>
      <c r="F26923"/>
    </row>
    <row r="26924" spans="1:6" x14ac:dyDescent="0.25">
      <c r="A26924"/>
      <c r="B26924"/>
      <c r="C26924"/>
      <c r="E26924"/>
      <c r="F26924"/>
    </row>
    <row r="26925" spans="1:6" x14ac:dyDescent="0.25">
      <c r="A26925"/>
      <c r="B26925"/>
      <c r="C26925"/>
      <c r="E26925"/>
      <c r="F26925"/>
    </row>
    <row r="26926" spans="1:6" x14ac:dyDescent="0.25">
      <c r="A26926"/>
      <c r="B26926"/>
      <c r="C26926"/>
      <c r="E26926"/>
      <c r="F26926"/>
    </row>
    <row r="26927" spans="1:6" x14ac:dyDescent="0.25">
      <c r="A26927"/>
      <c r="B26927"/>
      <c r="C26927"/>
      <c r="E26927"/>
      <c r="F26927"/>
    </row>
    <row r="26928" spans="1:6" x14ac:dyDescent="0.25">
      <c r="A26928"/>
      <c r="B26928"/>
      <c r="C26928"/>
      <c r="E26928"/>
      <c r="F26928"/>
    </row>
    <row r="26929" spans="1:6" x14ac:dyDescent="0.25">
      <c r="A26929"/>
      <c r="B26929"/>
      <c r="C26929"/>
      <c r="E26929"/>
      <c r="F26929"/>
    </row>
    <row r="26930" spans="1:6" x14ac:dyDescent="0.25">
      <c r="A26930"/>
      <c r="B26930"/>
      <c r="C26930"/>
      <c r="E26930"/>
      <c r="F26930"/>
    </row>
    <row r="26931" spans="1:6" x14ac:dyDescent="0.25">
      <c r="A26931"/>
      <c r="B26931"/>
      <c r="C26931"/>
      <c r="E26931"/>
      <c r="F26931"/>
    </row>
    <row r="26932" spans="1:6" x14ac:dyDescent="0.25">
      <c r="A26932"/>
      <c r="B26932"/>
      <c r="C26932"/>
      <c r="E26932"/>
      <c r="F26932"/>
    </row>
    <row r="26933" spans="1:6" x14ac:dyDescent="0.25">
      <c r="A26933"/>
      <c r="B26933"/>
      <c r="C26933"/>
      <c r="E26933"/>
      <c r="F26933"/>
    </row>
    <row r="26934" spans="1:6" x14ac:dyDescent="0.25">
      <c r="A26934"/>
      <c r="B26934"/>
      <c r="C26934"/>
      <c r="E26934"/>
      <c r="F26934"/>
    </row>
    <row r="26935" spans="1:6" x14ac:dyDescent="0.25">
      <c r="A26935"/>
      <c r="B26935"/>
      <c r="C26935"/>
      <c r="E26935"/>
      <c r="F26935"/>
    </row>
    <row r="26936" spans="1:6" x14ac:dyDescent="0.25">
      <c r="A26936"/>
      <c r="B26936"/>
      <c r="C26936"/>
      <c r="E26936"/>
      <c r="F26936"/>
    </row>
    <row r="26937" spans="1:6" x14ac:dyDescent="0.25">
      <c r="A26937"/>
      <c r="B26937"/>
      <c r="C26937"/>
      <c r="E26937"/>
      <c r="F26937"/>
    </row>
    <row r="26938" spans="1:6" x14ac:dyDescent="0.25">
      <c r="A26938"/>
      <c r="B26938"/>
      <c r="C26938"/>
      <c r="E26938"/>
      <c r="F26938"/>
    </row>
    <row r="26939" spans="1:6" x14ac:dyDescent="0.25">
      <c r="A26939"/>
      <c r="B26939"/>
      <c r="C26939"/>
      <c r="E26939"/>
      <c r="F26939"/>
    </row>
    <row r="26940" spans="1:6" x14ac:dyDescent="0.25">
      <c r="A26940"/>
      <c r="B26940"/>
      <c r="C26940"/>
      <c r="E26940"/>
      <c r="F26940"/>
    </row>
    <row r="26941" spans="1:6" x14ac:dyDescent="0.25">
      <c r="A26941"/>
      <c r="B26941"/>
      <c r="C26941"/>
      <c r="E26941"/>
      <c r="F26941"/>
    </row>
    <row r="26942" spans="1:6" x14ac:dyDescent="0.25">
      <c r="A26942"/>
      <c r="B26942"/>
      <c r="C26942"/>
      <c r="E26942"/>
      <c r="F26942"/>
    </row>
    <row r="26943" spans="1:6" x14ac:dyDescent="0.25">
      <c r="A26943"/>
      <c r="B26943"/>
      <c r="C26943"/>
      <c r="E26943"/>
      <c r="F26943"/>
    </row>
    <row r="26944" spans="1:6" x14ac:dyDescent="0.25">
      <c r="A26944"/>
      <c r="B26944"/>
      <c r="C26944"/>
      <c r="E26944"/>
      <c r="F26944"/>
    </row>
    <row r="26945" spans="1:6" x14ac:dyDescent="0.25">
      <c r="A26945"/>
      <c r="B26945"/>
      <c r="C26945"/>
      <c r="E26945"/>
      <c r="F26945"/>
    </row>
    <row r="26946" spans="1:6" x14ac:dyDescent="0.25">
      <c r="A26946"/>
      <c r="B26946"/>
      <c r="C26946"/>
      <c r="E26946"/>
      <c r="F26946"/>
    </row>
    <row r="26947" spans="1:6" x14ac:dyDescent="0.25">
      <c r="A26947"/>
      <c r="B26947"/>
      <c r="C26947"/>
      <c r="E26947"/>
      <c r="F26947"/>
    </row>
    <row r="26948" spans="1:6" x14ac:dyDescent="0.25">
      <c r="A26948"/>
      <c r="B26948"/>
      <c r="C26948"/>
      <c r="E26948"/>
      <c r="F26948"/>
    </row>
    <row r="26949" spans="1:6" x14ac:dyDescent="0.25">
      <c r="A26949"/>
      <c r="B26949"/>
      <c r="C26949"/>
      <c r="E26949"/>
      <c r="F26949"/>
    </row>
    <row r="26950" spans="1:6" x14ac:dyDescent="0.25">
      <c r="A26950"/>
      <c r="B26950"/>
      <c r="C26950"/>
      <c r="E26950"/>
      <c r="F26950"/>
    </row>
    <row r="26951" spans="1:6" x14ac:dyDescent="0.25">
      <c r="A26951"/>
      <c r="B26951"/>
      <c r="C26951"/>
      <c r="E26951"/>
      <c r="F26951"/>
    </row>
    <row r="26952" spans="1:6" x14ac:dyDescent="0.25">
      <c r="A26952"/>
      <c r="B26952"/>
      <c r="C26952"/>
      <c r="E26952"/>
      <c r="F26952"/>
    </row>
    <row r="26953" spans="1:6" x14ac:dyDescent="0.25">
      <c r="A26953"/>
      <c r="B26953"/>
      <c r="C26953"/>
      <c r="E26953"/>
      <c r="F26953"/>
    </row>
    <row r="26954" spans="1:6" x14ac:dyDescent="0.25">
      <c r="A26954"/>
      <c r="B26954"/>
      <c r="C26954"/>
      <c r="E26954"/>
      <c r="F26954"/>
    </row>
    <row r="26955" spans="1:6" x14ac:dyDescent="0.25">
      <c r="A26955"/>
      <c r="B26955"/>
      <c r="C26955"/>
      <c r="E26955"/>
      <c r="F26955"/>
    </row>
    <row r="26956" spans="1:6" x14ac:dyDescent="0.25">
      <c r="A26956"/>
      <c r="B26956"/>
      <c r="C26956"/>
      <c r="E26956"/>
      <c r="F26956"/>
    </row>
    <row r="26957" spans="1:6" x14ac:dyDescent="0.25">
      <c r="A26957"/>
      <c r="B26957"/>
      <c r="C26957"/>
      <c r="E26957"/>
      <c r="F26957"/>
    </row>
    <row r="26958" spans="1:6" x14ac:dyDescent="0.25">
      <c r="A26958"/>
      <c r="B26958"/>
      <c r="C26958"/>
      <c r="E26958"/>
      <c r="F26958"/>
    </row>
    <row r="26959" spans="1:6" x14ac:dyDescent="0.25">
      <c r="A26959"/>
      <c r="B26959"/>
      <c r="C26959"/>
      <c r="E26959"/>
      <c r="F26959"/>
    </row>
    <row r="26960" spans="1:6" x14ac:dyDescent="0.25">
      <c r="A26960"/>
      <c r="B26960"/>
      <c r="C26960"/>
      <c r="E26960"/>
      <c r="F26960"/>
    </row>
    <row r="26961" spans="1:6" x14ac:dyDescent="0.25">
      <c r="A26961"/>
      <c r="B26961"/>
      <c r="C26961"/>
      <c r="E26961"/>
      <c r="F26961"/>
    </row>
    <row r="26962" spans="1:6" x14ac:dyDescent="0.25">
      <c r="A26962"/>
      <c r="B26962"/>
      <c r="C26962"/>
      <c r="E26962"/>
      <c r="F26962"/>
    </row>
    <row r="26963" spans="1:6" x14ac:dyDescent="0.25">
      <c r="A26963"/>
      <c r="B26963"/>
      <c r="C26963"/>
      <c r="E26963"/>
      <c r="F26963"/>
    </row>
    <row r="26964" spans="1:6" x14ac:dyDescent="0.25">
      <c r="A26964"/>
      <c r="B26964"/>
      <c r="C26964"/>
      <c r="E26964"/>
      <c r="F26964"/>
    </row>
    <row r="26965" spans="1:6" x14ac:dyDescent="0.25">
      <c r="A26965"/>
      <c r="B26965"/>
      <c r="C26965"/>
      <c r="E26965"/>
      <c r="F26965"/>
    </row>
    <row r="26966" spans="1:6" x14ac:dyDescent="0.25">
      <c r="A26966"/>
      <c r="B26966"/>
      <c r="C26966"/>
      <c r="E26966"/>
      <c r="F26966"/>
    </row>
    <row r="26967" spans="1:6" x14ac:dyDescent="0.25">
      <c r="A26967"/>
      <c r="B26967"/>
      <c r="C26967"/>
      <c r="E26967"/>
      <c r="F26967"/>
    </row>
    <row r="26968" spans="1:6" x14ac:dyDescent="0.25">
      <c r="A26968"/>
      <c r="B26968"/>
      <c r="C26968"/>
      <c r="E26968"/>
      <c r="F26968"/>
    </row>
    <row r="26969" spans="1:6" x14ac:dyDescent="0.25">
      <c r="A26969"/>
      <c r="B26969"/>
      <c r="C26969"/>
      <c r="E26969"/>
      <c r="F26969"/>
    </row>
    <row r="26970" spans="1:6" x14ac:dyDescent="0.25">
      <c r="A26970"/>
      <c r="B26970"/>
      <c r="C26970"/>
      <c r="E26970"/>
      <c r="F26970"/>
    </row>
    <row r="26971" spans="1:6" x14ac:dyDescent="0.25">
      <c r="A26971"/>
      <c r="B26971"/>
      <c r="C26971"/>
      <c r="E26971"/>
      <c r="F26971"/>
    </row>
    <row r="26972" spans="1:6" x14ac:dyDescent="0.25">
      <c r="A26972"/>
      <c r="B26972"/>
      <c r="C26972"/>
      <c r="E26972"/>
      <c r="F26972"/>
    </row>
    <row r="26973" spans="1:6" x14ac:dyDescent="0.25">
      <c r="A26973"/>
      <c r="B26973"/>
      <c r="C26973"/>
      <c r="E26973"/>
      <c r="F26973"/>
    </row>
    <row r="26974" spans="1:6" x14ac:dyDescent="0.25">
      <c r="A26974"/>
      <c r="B26974"/>
      <c r="C26974"/>
      <c r="E26974"/>
      <c r="F26974"/>
    </row>
    <row r="26975" spans="1:6" x14ac:dyDescent="0.25">
      <c r="A26975"/>
      <c r="B26975"/>
      <c r="C26975"/>
      <c r="E26975"/>
      <c r="F26975"/>
    </row>
    <row r="26976" spans="1:6" x14ac:dyDescent="0.25">
      <c r="A26976"/>
      <c r="B26976"/>
      <c r="C26976"/>
      <c r="E26976"/>
      <c r="F26976"/>
    </row>
    <row r="26977" spans="1:6" x14ac:dyDescent="0.25">
      <c r="A26977"/>
      <c r="B26977"/>
      <c r="C26977"/>
      <c r="E26977"/>
      <c r="F26977"/>
    </row>
    <row r="26978" spans="1:6" x14ac:dyDescent="0.25">
      <c r="A26978"/>
      <c r="B26978"/>
      <c r="C26978"/>
      <c r="E26978"/>
      <c r="F26978"/>
    </row>
    <row r="26979" spans="1:6" x14ac:dyDescent="0.25">
      <c r="A26979"/>
      <c r="B26979"/>
      <c r="C26979"/>
      <c r="E26979"/>
      <c r="F26979"/>
    </row>
    <row r="26980" spans="1:6" x14ac:dyDescent="0.25">
      <c r="A26980"/>
      <c r="B26980"/>
      <c r="C26980"/>
      <c r="E26980"/>
      <c r="F26980"/>
    </row>
    <row r="26981" spans="1:6" x14ac:dyDescent="0.25">
      <c r="A26981"/>
      <c r="B26981"/>
      <c r="C26981"/>
      <c r="E26981"/>
      <c r="F26981"/>
    </row>
    <row r="26982" spans="1:6" x14ac:dyDescent="0.25">
      <c r="A26982"/>
      <c r="B26982"/>
      <c r="C26982"/>
      <c r="E26982"/>
      <c r="F26982"/>
    </row>
    <row r="26983" spans="1:6" x14ac:dyDescent="0.25">
      <c r="A26983"/>
      <c r="B26983"/>
      <c r="C26983"/>
      <c r="E26983"/>
      <c r="F26983"/>
    </row>
    <row r="26984" spans="1:6" x14ac:dyDescent="0.25">
      <c r="A26984"/>
      <c r="B26984"/>
      <c r="C26984"/>
      <c r="E26984"/>
      <c r="F26984"/>
    </row>
    <row r="26985" spans="1:6" x14ac:dyDescent="0.25">
      <c r="A26985"/>
      <c r="B26985"/>
      <c r="C26985"/>
      <c r="E26985"/>
      <c r="F26985"/>
    </row>
    <row r="26986" spans="1:6" x14ac:dyDescent="0.25">
      <c r="A26986"/>
      <c r="B26986"/>
      <c r="C26986"/>
      <c r="E26986"/>
      <c r="F26986"/>
    </row>
    <row r="26987" spans="1:6" x14ac:dyDescent="0.25">
      <c r="A26987"/>
      <c r="B26987"/>
      <c r="C26987"/>
      <c r="E26987"/>
      <c r="F26987"/>
    </row>
    <row r="26988" spans="1:6" x14ac:dyDescent="0.25">
      <c r="A26988"/>
      <c r="B26988"/>
      <c r="C26988"/>
      <c r="E26988"/>
      <c r="F26988"/>
    </row>
    <row r="26989" spans="1:6" x14ac:dyDescent="0.25">
      <c r="A26989"/>
      <c r="B26989"/>
      <c r="C26989"/>
      <c r="E26989"/>
      <c r="F26989"/>
    </row>
    <row r="26990" spans="1:6" x14ac:dyDescent="0.25">
      <c r="A26990"/>
      <c r="B26990"/>
      <c r="C26990"/>
      <c r="E26990"/>
      <c r="F26990"/>
    </row>
    <row r="26991" spans="1:6" x14ac:dyDescent="0.25">
      <c r="A26991"/>
      <c r="B26991"/>
      <c r="C26991"/>
      <c r="E26991"/>
      <c r="F26991"/>
    </row>
    <row r="26992" spans="1:6" x14ac:dyDescent="0.25">
      <c r="A26992"/>
      <c r="B26992"/>
      <c r="C26992"/>
      <c r="E26992"/>
      <c r="F26992"/>
    </row>
    <row r="26993" spans="1:6" x14ac:dyDescent="0.25">
      <c r="A26993"/>
      <c r="B26993"/>
      <c r="C26993"/>
      <c r="E26993"/>
      <c r="F26993"/>
    </row>
    <row r="26994" spans="1:6" x14ac:dyDescent="0.25">
      <c r="A26994"/>
      <c r="B26994"/>
      <c r="C26994"/>
      <c r="E26994"/>
      <c r="F26994"/>
    </row>
    <row r="26995" spans="1:6" x14ac:dyDescent="0.25">
      <c r="A26995"/>
      <c r="B26995"/>
      <c r="C26995"/>
      <c r="E26995"/>
      <c r="F26995"/>
    </row>
    <row r="26996" spans="1:6" x14ac:dyDescent="0.25">
      <c r="A26996"/>
      <c r="B26996"/>
      <c r="C26996"/>
      <c r="E26996"/>
      <c r="F26996"/>
    </row>
    <row r="26997" spans="1:6" x14ac:dyDescent="0.25">
      <c r="A26997"/>
      <c r="B26997"/>
      <c r="C26997"/>
      <c r="E26997"/>
      <c r="F26997"/>
    </row>
    <row r="26998" spans="1:6" x14ac:dyDescent="0.25">
      <c r="A26998"/>
      <c r="B26998"/>
      <c r="C26998"/>
      <c r="E26998"/>
      <c r="F26998"/>
    </row>
    <row r="26999" spans="1:6" x14ac:dyDescent="0.25">
      <c r="A26999"/>
      <c r="B26999"/>
      <c r="C26999"/>
      <c r="E26999"/>
      <c r="F26999"/>
    </row>
    <row r="27000" spans="1:6" x14ac:dyDescent="0.25">
      <c r="A27000"/>
      <c r="B27000"/>
      <c r="C27000"/>
      <c r="E27000"/>
      <c r="F27000"/>
    </row>
    <row r="27001" spans="1:6" x14ac:dyDescent="0.25">
      <c r="A27001"/>
      <c r="B27001"/>
      <c r="C27001"/>
      <c r="E27001"/>
      <c r="F27001"/>
    </row>
    <row r="27002" spans="1:6" x14ac:dyDescent="0.25">
      <c r="A27002"/>
      <c r="B27002"/>
      <c r="C27002"/>
      <c r="E27002"/>
      <c r="F27002"/>
    </row>
    <row r="27003" spans="1:6" x14ac:dyDescent="0.25">
      <c r="A27003"/>
      <c r="B27003"/>
      <c r="C27003"/>
      <c r="E27003"/>
      <c r="F27003"/>
    </row>
    <row r="27004" spans="1:6" x14ac:dyDescent="0.25">
      <c r="A27004"/>
      <c r="B27004"/>
      <c r="C27004"/>
      <c r="E27004"/>
      <c r="F27004"/>
    </row>
    <row r="27005" spans="1:6" x14ac:dyDescent="0.25">
      <c r="A27005"/>
      <c r="B27005"/>
      <c r="C27005"/>
      <c r="E27005"/>
      <c r="F27005"/>
    </row>
    <row r="27006" spans="1:6" x14ac:dyDescent="0.25">
      <c r="A27006"/>
      <c r="B27006"/>
      <c r="C27006"/>
      <c r="E27006"/>
      <c r="F27006"/>
    </row>
    <row r="27007" spans="1:6" x14ac:dyDescent="0.25">
      <c r="A27007"/>
      <c r="B27007"/>
      <c r="C27007"/>
      <c r="E27007"/>
      <c r="F27007"/>
    </row>
    <row r="27008" spans="1:6" x14ac:dyDescent="0.25">
      <c r="A27008"/>
      <c r="B27008"/>
      <c r="C27008"/>
      <c r="E27008"/>
      <c r="F27008"/>
    </row>
    <row r="27009" spans="1:6" x14ac:dyDescent="0.25">
      <c r="A27009"/>
      <c r="B27009"/>
      <c r="C27009"/>
      <c r="E27009"/>
      <c r="F27009"/>
    </row>
    <row r="27010" spans="1:6" x14ac:dyDescent="0.25">
      <c r="A27010"/>
      <c r="B27010"/>
      <c r="C27010"/>
      <c r="E27010"/>
      <c r="F27010"/>
    </row>
    <row r="27011" spans="1:6" x14ac:dyDescent="0.25">
      <c r="A27011"/>
      <c r="B27011"/>
      <c r="C27011"/>
      <c r="E27011"/>
      <c r="F27011"/>
    </row>
    <row r="27012" spans="1:6" x14ac:dyDescent="0.25">
      <c r="A27012"/>
      <c r="B27012"/>
      <c r="C27012"/>
      <c r="E27012"/>
      <c r="F27012"/>
    </row>
    <row r="27013" spans="1:6" x14ac:dyDescent="0.25">
      <c r="A27013"/>
      <c r="B27013"/>
      <c r="C27013"/>
      <c r="E27013"/>
      <c r="F27013"/>
    </row>
    <row r="27014" spans="1:6" x14ac:dyDescent="0.25">
      <c r="A27014"/>
      <c r="B27014"/>
      <c r="C27014"/>
      <c r="E27014"/>
      <c r="F27014"/>
    </row>
    <row r="27015" spans="1:6" x14ac:dyDescent="0.25">
      <c r="A27015"/>
      <c r="B27015"/>
      <c r="C27015"/>
      <c r="E27015"/>
      <c r="F27015"/>
    </row>
    <row r="27016" spans="1:6" x14ac:dyDescent="0.25">
      <c r="A27016"/>
      <c r="B27016"/>
      <c r="C27016"/>
      <c r="E27016"/>
      <c r="F27016"/>
    </row>
    <row r="27017" spans="1:6" x14ac:dyDescent="0.25">
      <c r="A27017"/>
      <c r="B27017"/>
      <c r="C27017"/>
      <c r="E27017"/>
      <c r="F27017"/>
    </row>
    <row r="27018" spans="1:6" x14ac:dyDescent="0.25">
      <c r="A27018"/>
      <c r="B27018"/>
      <c r="C27018"/>
      <c r="E27018"/>
      <c r="F27018"/>
    </row>
    <row r="27019" spans="1:6" x14ac:dyDescent="0.25">
      <c r="A27019"/>
      <c r="B27019"/>
      <c r="C27019"/>
      <c r="E27019"/>
      <c r="F27019"/>
    </row>
    <row r="27020" spans="1:6" x14ac:dyDescent="0.25">
      <c r="A27020"/>
      <c r="B27020"/>
      <c r="C27020"/>
      <c r="E27020"/>
      <c r="F27020"/>
    </row>
    <row r="27021" spans="1:6" x14ac:dyDescent="0.25">
      <c r="A27021"/>
      <c r="B27021"/>
      <c r="C27021"/>
      <c r="E27021"/>
      <c r="F27021"/>
    </row>
    <row r="27022" spans="1:6" x14ac:dyDescent="0.25">
      <c r="A27022"/>
      <c r="B27022"/>
      <c r="C27022"/>
      <c r="E27022"/>
      <c r="F27022"/>
    </row>
    <row r="27023" spans="1:6" x14ac:dyDescent="0.25">
      <c r="A27023"/>
      <c r="B27023"/>
      <c r="C27023"/>
      <c r="E27023"/>
      <c r="F27023"/>
    </row>
    <row r="27024" spans="1:6" x14ac:dyDescent="0.25">
      <c r="A27024"/>
      <c r="B27024"/>
      <c r="C27024"/>
      <c r="E27024"/>
      <c r="F27024"/>
    </row>
    <row r="27025" spans="1:6" x14ac:dyDescent="0.25">
      <c r="A27025"/>
      <c r="B27025"/>
      <c r="C27025"/>
      <c r="E27025"/>
      <c r="F27025"/>
    </row>
    <row r="27026" spans="1:6" x14ac:dyDescent="0.25">
      <c r="A27026"/>
      <c r="B27026"/>
      <c r="C27026"/>
      <c r="E27026"/>
      <c r="F27026"/>
    </row>
    <row r="27027" spans="1:6" x14ac:dyDescent="0.25">
      <c r="A27027"/>
      <c r="B27027"/>
      <c r="C27027"/>
      <c r="E27027"/>
      <c r="F27027"/>
    </row>
    <row r="27028" spans="1:6" x14ac:dyDescent="0.25">
      <c r="A27028"/>
      <c r="B27028"/>
      <c r="C27028"/>
      <c r="E27028"/>
      <c r="F27028"/>
    </row>
    <row r="27029" spans="1:6" x14ac:dyDescent="0.25">
      <c r="A27029"/>
      <c r="B27029"/>
      <c r="C27029"/>
      <c r="E27029"/>
      <c r="F27029"/>
    </row>
    <row r="27030" spans="1:6" x14ac:dyDescent="0.25">
      <c r="A27030"/>
      <c r="B27030"/>
      <c r="C27030"/>
      <c r="E27030"/>
      <c r="F27030"/>
    </row>
    <row r="27031" spans="1:6" x14ac:dyDescent="0.25">
      <c r="A27031"/>
      <c r="B27031"/>
      <c r="C27031"/>
      <c r="E27031"/>
      <c r="F27031"/>
    </row>
    <row r="27032" spans="1:6" x14ac:dyDescent="0.25">
      <c r="A27032"/>
      <c r="B27032"/>
      <c r="C27032"/>
      <c r="E27032"/>
      <c r="F27032"/>
    </row>
    <row r="27033" spans="1:6" x14ac:dyDescent="0.25">
      <c r="A27033"/>
      <c r="B27033"/>
      <c r="C27033"/>
      <c r="E27033"/>
      <c r="F27033"/>
    </row>
    <row r="27034" spans="1:6" x14ac:dyDescent="0.25">
      <c r="A27034"/>
      <c r="B27034"/>
      <c r="C27034"/>
      <c r="E27034"/>
      <c r="F27034"/>
    </row>
    <row r="27035" spans="1:6" x14ac:dyDescent="0.25">
      <c r="A27035"/>
      <c r="B27035"/>
      <c r="C27035"/>
      <c r="E27035"/>
      <c r="F27035"/>
    </row>
    <row r="27036" spans="1:6" x14ac:dyDescent="0.25">
      <c r="A27036"/>
      <c r="B27036"/>
      <c r="C27036"/>
      <c r="E27036"/>
      <c r="F27036"/>
    </row>
    <row r="27037" spans="1:6" x14ac:dyDescent="0.25">
      <c r="A27037"/>
      <c r="B27037"/>
      <c r="C27037"/>
      <c r="E27037"/>
      <c r="F27037"/>
    </row>
    <row r="27038" spans="1:6" x14ac:dyDescent="0.25">
      <c r="A27038"/>
      <c r="B27038"/>
      <c r="C27038"/>
      <c r="E27038"/>
      <c r="F27038"/>
    </row>
    <row r="27039" spans="1:6" x14ac:dyDescent="0.25">
      <c r="A27039"/>
      <c r="B27039"/>
      <c r="C27039"/>
      <c r="E27039"/>
      <c r="F27039"/>
    </row>
    <row r="27040" spans="1:6" x14ac:dyDescent="0.25">
      <c r="A27040"/>
      <c r="B27040"/>
      <c r="C27040"/>
      <c r="E27040"/>
      <c r="F27040"/>
    </row>
    <row r="27041" spans="1:6" x14ac:dyDescent="0.25">
      <c r="A27041"/>
      <c r="B27041"/>
      <c r="C27041"/>
      <c r="E27041"/>
      <c r="F27041"/>
    </row>
    <row r="27042" spans="1:6" x14ac:dyDescent="0.25">
      <c r="A27042"/>
      <c r="B27042"/>
      <c r="C27042"/>
      <c r="E27042"/>
      <c r="F27042"/>
    </row>
    <row r="27043" spans="1:6" x14ac:dyDescent="0.25">
      <c r="A27043"/>
      <c r="B27043"/>
      <c r="C27043"/>
      <c r="E27043"/>
      <c r="F27043"/>
    </row>
    <row r="27044" spans="1:6" x14ac:dyDescent="0.25">
      <c r="A27044"/>
      <c r="B27044"/>
      <c r="C27044"/>
      <c r="E27044"/>
      <c r="F27044"/>
    </row>
    <row r="27045" spans="1:6" x14ac:dyDescent="0.25">
      <c r="A27045"/>
      <c r="B27045"/>
      <c r="C27045"/>
      <c r="E27045"/>
      <c r="F27045"/>
    </row>
    <row r="27046" spans="1:6" x14ac:dyDescent="0.25">
      <c r="A27046"/>
      <c r="B27046"/>
      <c r="C27046"/>
      <c r="E27046"/>
      <c r="F27046"/>
    </row>
    <row r="27047" spans="1:6" x14ac:dyDescent="0.25">
      <c r="A27047"/>
      <c r="B27047"/>
      <c r="C27047"/>
      <c r="E27047"/>
      <c r="F27047"/>
    </row>
    <row r="27048" spans="1:6" x14ac:dyDescent="0.25">
      <c r="A27048"/>
      <c r="B27048"/>
      <c r="C27048"/>
      <c r="E27048"/>
      <c r="F27048"/>
    </row>
    <row r="27049" spans="1:6" x14ac:dyDescent="0.25">
      <c r="A27049"/>
      <c r="B27049"/>
      <c r="C27049"/>
      <c r="E27049"/>
      <c r="F27049"/>
    </row>
    <row r="27050" spans="1:6" x14ac:dyDescent="0.25">
      <c r="A27050"/>
      <c r="B27050"/>
      <c r="C27050"/>
      <c r="E27050"/>
      <c r="F27050"/>
    </row>
    <row r="27051" spans="1:6" x14ac:dyDescent="0.25">
      <c r="A27051"/>
      <c r="B27051"/>
      <c r="C27051"/>
      <c r="E27051"/>
      <c r="F27051"/>
    </row>
    <row r="27052" spans="1:6" x14ac:dyDescent="0.25">
      <c r="A27052"/>
      <c r="B27052"/>
      <c r="C27052"/>
      <c r="E27052"/>
      <c r="F27052"/>
    </row>
    <row r="27053" spans="1:6" x14ac:dyDescent="0.25">
      <c r="A27053"/>
      <c r="B27053"/>
      <c r="C27053"/>
      <c r="E27053"/>
      <c r="F27053"/>
    </row>
    <row r="27054" spans="1:6" x14ac:dyDescent="0.25">
      <c r="A27054"/>
      <c r="B27054"/>
      <c r="C27054"/>
      <c r="E27054"/>
      <c r="F27054"/>
    </row>
    <row r="27055" spans="1:6" x14ac:dyDescent="0.25">
      <c r="A27055"/>
      <c r="B27055"/>
      <c r="C27055"/>
      <c r="E27055"/>
      <c r="F27055"/>
    </row>
    <row r="27056" spans="1:6" x14ac:dyDescent="0.25">
      <c r="A27056"/>
      <c r="B27056"/>
      <c r="C27056"/>
      <c r="E27056"/>
      <c r="F27056"/>
    </row>
    <row r="27057" spans="1:6" x14ac:dyDescent="0.25">
      <c r="A27057"/>
      <c r="B27057"/>
      <c r="C27057"/>
      <c r="E27057"/>
      <c r="F27057"/>
    </row>
    <row r="27058" spans="1:6" x14ac:dyDescent="0.25">
      <c r="A27058"/>
      <c r="B27058"/>
      <c r="C27058"/>
      <c r="E27058"/>
      <c r="F27058"/>
    </row>
    <row r="27059" spans="1:6" x14ac:dyDescent="0.25">
      <c r="A27059"/>
      <c r="B27059"/>
      <c r="C27059"/>
      <c r="E27059"/>
      <c r="F27059"/>
    </row>
    <row r="27060" spans="1:6" x14ac:dyDescent="0.25">
      <c r="A27060"/>
      <c r="B27060"/>
      <c r="C27060"/>
      <c r="E27060"/>
      <c r="F27060"/>
    </row>
    <row r="27061" spans="1:6" x14ac:dyDescent="0.25">
      <c r="A27061"/>
      <c r="B27061"/>
      <c r="C27061"/>
      <c r="E27061"/>
      <c r="F27061"/>
    </row>
    <row r="27062" spans="1:6" x14ac:dyDescent="0.25">
      <c r="A27062"/>
      <c r="B27062"/>
      <c r="C27062"/>
      <c r="E27062"/>
      <c r="F27062"/>
    </row>
    <row r="27063" spans="1:6" x14ac:dyDescent="0.25">
      <c r="A27063"/>
      <c r="B27063"/>
      <c r="C27063"/>
      <c r="E27063"/>
      <c r="F27063"/>
    </row>
    <row r="27064" spans="1:6" x14ac:dyDescent="0.25">
      <c r="A27064"/>
      <c r="B27064"/>
      <c r="C27064"/>
      <c r="E27064"/>
      <c r="F27064"/>
    </row>
    <row r="27065" spans="1:6" x14ac:dyDescent="0.25">
      <c r="A27065"/>
      <c r="B27065"/>
      <c r="C27065"/>
      <c r="E27065"/>
      <c r="F27065"/>
    </row>
    <row r="27066" spans="1:6" x14ac:dyDescent="0.25">
      <c r="A27066"/>
      <c r="B27066"/>
      <c r="C27066"/>
      <c r="E27066"/>
      <c r="F27066"/>
    </row>
    <row r="27067" spans="1:6" x14ac:dyDescent="0.25">
      <c r="A27067"/>
      <c r="B27067"/>
      <c r="C27067"/>
      <c r="E27067"/>
      <c r="F27067"/>
    </row>
    <row r="27068" spans="1:6" x14ac:dyDescent="0.25">
      <c r="A27068"/>
      <c r="B27068"/>
      <c r="C27068"/>
      <c r="E27068"/>
      <c r="F27068"/>
    </row>
    <row r="27069" spans="1:6" x14ac:dyDescent="0.25">
      <c r="A27069"/>
      <c r="B27069"/>
      <c r="C27069"/>
      <c r="E27069"/>
      <c r="F27069"/>
    </row>
    <row r="27070" spans="1:6" x14ac:dyDescent="0.25">
      <c r="A27070"/>
      <c r="B27070"/>
      <c r="C27070"/>
      <c r="E27070"/>
      <c r="F27070"/>
    </row>
    <row r="27071" spans="1:6" x14ac:dyDescent="0.25">
      <c r="A27071"/>
      <c r="B27071"/>
      <c r="C27071"/>
      <c r="E27071"/>
      <c r="F27071"/>
    </row>
    <row r="27072" spans="1:6" x14ac:dyDescent="0.25">
      <c r="A27072"/>
      <c r="B27072"/>
      <c r="C27072"/>
      <c r="E27072"/>
      <c r="F27072"/>
    </row>
    <row r="27073" spans="1:6" x14ac:dyDescent="0.25">
      <c r="A27073"/>
      <c r="B27073"/>
      <c r="C27073"/>
      <c r="E27073"/>
      <c r="F27073"/>
    </row>
    <row r="27074" spans="1:6" x14ac:dyDescent="0.25">
      <c r="A27074"/>
      <c r="B27074"/>
      <c r="C27074"/>
      <c r="E27074"/>
      <c r="F27074"/>
    </row>
    <row r="27075" spans="1:6" x14ac:dyDescent="0.25">
      <c r="A27075"/>
      <c r="B27075"/>
      <c r="C27075"/>
      <c r="E27075"/>
      <c r="F27075"/>
    </row>
    <row r="27076" spans="1:6" x14ac:dyDescent="0.25">
      <c r="A27076"/>
      <c r="B27076"/>
      <c r="C27076"/>
      <c r="E27076"/>
      <c r="F27076"/>
    </row>
    <row r="27077" spans="1:6" x14ac:dyDescent="0.25">
      <c r="A27077"/>
      <c r="B27077"/>
      <c r="C27077"/>
      <c r="E27077"/>
      <c r="F27077"/>
    </row>
    <row r="27078" spans="1:6" x14ac:dyDescent="0.25">
      <c r="A27078"/>
      <c r="B27078"/>
      <c r="C27078"/>
      <c r="E27078"/>
      <c r="F27078"/>
    </row>
    <row r="27079" spans="1:6" x14ac:dyDescent="0.25">
      <c r="A27079"/>
      <c r="B27079"/>
      <c r="C27079"/>
      <c r="E27079"/>
      <c r="F27079"/>
    </row>
    <row r="27080" spans="1:6" x14ac:dyDescent="0.25">
      <c r="A27080"/>
      <c r="B27080"/>
      <c r="C27080"/>
      <c r="E27080"/>
      <c r="F27080"/>
    </row>
    <row r="27081" spans="1:6" x14ac:dyDescent="0.25">
      <c r="A27081"/>
      <c r="B27081"/>
      <c r="C27081"/>
      <c r="E27081"/>
      <c r="F27081"/>
    </row>
    <row r="27082" spans="1:6" x14ac:dyDescent="0.25">
      <c r="A27082"/>
      <c r="B27082"/>
      <c r="C27082"/>
      <c r="E27082"/>
      <c r="F27082"/>
    </row>
    <row r="27083" spans="1:6" x14ac:dyDescent="0.25">
      <c r="A27083"/>
      <c r="B27083"/>
      <c r="C27083"/>
      <c r="E27083"/>
      <c r="F27083"/>
    </row>
    <row r="27084" spans="1:6" x14ac:dyDescent="0.25">
      <c r="A27084"/>
      <c r="B27084"/>
      <c r="C27084"/>
      <c r="E27084"/>
      <c r="F27084"/>
    </row>
    <row r="27085" spans="1:6" x14ac:dyDescent="0.25">
      <c r="A27085"/>
      <c r="B27085"/>
      <c r="C27085"/>
      <c r="E27085"/>
      <c r="F27085"/>
    </row>
    <row r="27086" spans="1:6" x14ac:dyDescent="0.25">
      <c r="A27086"/>
      <c r="B27086"/>
      <c r="C27086"/>
      <c r="E27086"/>
      <c r="F27086"/>
    </row>
    <row r="27087" spans="1:6" x14ac:dyDescent="0.25">
      <c r="A27087"/>
      <c r="B27087"/>
      <c r="C27087"/>
      <c r="E27087"/>
      <c r="F27087"/>
    </row>
    <row r="27088" spans="1:6" x14ac:dyDescent="0.25">
      <c r="A27088"/>
      <c r="B27088"/>
      <c r="C27088"/>
      <c r="E27088"/>
      <c r="F27088"/>
    </row>
    <row r="27089" spans="1:6" x14ac:dyDescent="0.25">
      <c r="A27089"/>
      <c r="B27089"/>
      <c r="C27089"/>
      <c r="E27089"/>
      <c r="F27089"/>
    </row>
    <row r="27090" spans="1:6" x14ac:dyDescent="0.25">
      <c r="A27090"/>
      <c r="B27090"/>
      <c r="C27090"/>
      <c r="E27090"/>
      <c r="F27090"/>
    </row>
    <row r="27091" spans="1:6" x14ac:dyDescent="0.25">
      <c r="A27091"/>
      <c r="B27091"/>
      <c r="C27091"/>
      <c r="E27091"/>
      <c r="F27091"/>
    </row>
    <row r="27092" spans="1:6" x14ac:dyDescent="0.25">
      <c r="A27092"/>
      <c r="B27092"/>
      <c r="C27092"/>
      <c r="E27092"/>
      <c r="F27092"/>
    </row>
    <row r="27093" spans="1:6" x14ac:dyDescent="0.25">
      <c r="A27093"/>
      <c r="B27093"/>
      <c r="C27093"/>
      <c r="E27093"/>
      <c r="F27093"/>
    </row>
    <row r="27094" spans="1:6" x14ac:dyDescent="0.25">
      <c r="A27094"/>
      <c r="B27094"/>
      <c r="C27094"/>
      <c r="E27094"/>
      <c r="F27094"/>
    </row>
    <row r="27095" spans="1:6" x14ac:dyDescent="0.25">
      <c r="A27095"/>
      <c r="B27095"/>
      <c r="C27095"/>
      <c r="E27095"/>
      <c r="F27095"/>
    </row>
    <row r="27096" spans="1:6" x14ac:dyDescent="0.25">
      <c r="A27096"/>
      <c r="B27096"/>
      <c r="C27096"/>
      <c r="E27096"/>
      <c r="F27096"/>
    </row>
    <row r="27097" spans="1:6" x14ac:dyDescent="0.25">
      <c r="A27097"/>
      <c r="B27097"/>
      <c r="C27097"/>
      <c r="E27097"/>
      <c r="F27097"/>
    </row>
    <row r="27098" spans="1:6" x14ac:dyDescent="0.25">
      <c r="A27098"/>
      <c r="B27098"/>
      <c r="C27098"/>
      <c r="E27098"/>
      <c r="F27098"/>
    </row>
    <row r="27099" spans="1:6" x14ac:dyDescent="0.25">
      <c r="A27099"/>
      <c r="B27099"/>
      <c r="C27099"/>
      <c r="E27099"/>
      <c r="F27099"/>
    </row>
    <row r="27100" spans="1:6" x14ac:dyDescent="0.25">
      <c r="A27100"/>
      <c r="B27100"/>
      <c r="C27100"/>
      <c r="E27100"/>
      <c r="F27100"/>
    </row>
    <row r="27101" spans="1:6" x14ac:dyDescent="0.25">
      <c r="A27101"/>
      <c r="B27101"/>
      <c r="C27101"/>
      <c r="E27101"/>
      <c r="F27101"/>
    </row>
    <row r="27102" spans="1:6" x14ac:dyDescent="0.25">
      <c r="A27102"/>
      <c r="B27102"/>
      <c r="C27102"/>
      <c r="E27102"/>
      <c r="F27102"/>
    </row>
    <row r="27103" spans="1:6" x14ac:dyDescent="0.25">
      <c r="A27103"/>
      <c r="B27103"/>
      <c r="C27103"/>
      <c r="E27103"/>
      <c r="F27103"/>
    </row>
    <row r="27104" spans="1:6" x14ac:dyDescent="0.25">
      <c r="A27104"/>
      <c r="B27104"/>
      <c r="C27104"/>
      <c r="E27104"/>
      <c r="F27104"/>
    </row>
    <row r="27105" spans="1:6" x14ac:dyDescent="0.25">
      <c r="A27105"/>
      <c r="B27105"/>
      <c r="C27105"/>
      <c r="E27105"/>
      <c r="F27105"/>
    </row>
    <row r="27106" spans="1:6" x14ac:dyDescent="0.25">
      <c r="A27106"/>
      <c r="B27106"/>
      <c r="C27106"/>
      <c r="E27106"/>
      <c r="F27106"/>
    </row>
    <row r="27107" spans="1:6" x14ac:dyDescent="0.25">
      <c r="A27107"/>
      <c r="B27107"/>
      <c r="C27107"/>
      <c r="E27107"/>
      <c r="F27107"/>
    </row>
    <row r="27108" spans="1:6" x14ac:dyDescent="0.25">
      <c r="A27108"/>
      <c r="B27108"/>
      <c r="C27108"/>
      <c r="E27108"/>
      <c r="F27108"/>
    </row>
    <row r="27109" spans="1:6" x14ac:dyDescent="0.25">
      <c r="A27109"/>
      <c r="B27109"/>
      <c r="C27109"/>
      <c r="E27109"/>
      <c r="F27109"/>
    </row>
    <row r="27110" spans="1:6" x14ac:dyDescent="0.25">
      <c r="A27110"/>
      <c r="B27110"/>
      <c r="C27110"/>
      <c r="E27110"/>
      <c r="F27110"/>
    </row>
    <row r="27111" spans="1:6" x14ac:dyDescent="0.25">
      <c r="A27111"/>
      <c r="B27111"/>
      <c r="C27111"/>
      <c r="E27111"/>
      <c r="F27111"/>
    </row>
    <row r="27112" spans="1:6" x14ac:dyDescent="0.25">
      <c r="A27112"/>
      <c r="B27112"/>
      <c r="C27112"/>
      <c r="E27112"/>
      <c r="F27112"/>
    </row>
    <row r="27113" spans="1:6" x14ac:dyDescent="0.25">
      <c r="A27113"/>
      <c r="B27113"/>
      <c r="C27113"/>
      <c r="E27113"/>
      <c r="F27113"/>
    </row>
    <row r="27114" spans="1:6" x14ac:dyDescent="0.25">
      <c r="A27114"/>
      <c r="B27114"/>
      <c r="C27114"/>
      <c r="E27114"/>
      <c r="F27114"/>
    </row>
    <row r="27115" spans="1:6" x14ac:dyDescent="0.25">
      <c r="A27115"/>
      <c r="B27115"/>
      <c r="C27115"/>
      <c r="E27115"/>
      <c r="F27115"/>
    </row>
    <row r="27116" spans="1:6" x14ac:dyDescent="0.25">
      <c r="A27116"/>
      <c r="B27116"/>
      <c r="C27116"/>
      <c r="E27116"/>
      <c r="F27116"/>
    </row>
    <row r="27117" spans="1:6" x14ac:dyDescent="0.25">
      <c r="A27117"/>
      <c r="B27117"/>
      <c r="C27117"/>
      <c r="E27117"/>
      <c r="F27117"/>
    </row>
    <row r="27118" spans="1:6" x14ac:dyDescent="0.25">
      <c r="A27118"/>
      <c r="B27118"/>
      <c r="C27118"/>
      <c r="E27118"/>
      <c r="F27118"/>
    </row>
    <row r="27119" spans="1:6" x14ac:dyDescent="0.25">
      <c r="A27119"/>
      <c r="B27119"/>
      <c r="C27119"/>
      <c r="E27119"/>
      <c r="F27119"/>
    </row>
    <row r="27120" spans="1:6" x14ac:dyDescent="0.25">
      <c r="A27120"/>
      <c r="B27120"/>
      <c r="C27120"/>
      <c r="E27120"/>
      <c r="F27120"/>
    </row>
    <row r="27121" spans="1:6" x14ac:dyDescent="0.25">
      <c r="A27121"/>
      <c r="B27121"/>
      <c r="C27121"/>
      <c r="E27121"/>
      <c r="F27121"/>
    </row>
    <row r="27122" spans="1:6" x14ac:dyDescent="0.25">
      <c r="A27122"/>
      <c r="B27122"/>
      <c r="C27122"/>
      <c r="E27122"/>
      <c r="F27122"/>
    </row>
    <row r="27123" spans="1:6" x14ac:dyDescent="0.25">
      <c r="A27123"/>
      <c r="B27123"/>
      <c r="C27123"/>
      <c r="E27123"/>
      <c r="F27123"/>
    </row>
    <row r="27124" spans="1:6" x14ac:dyDescent="0.25">
      <c r="A27124"/>
      <c r="B27124"/>
      <c r="C27124"/>
      <c r="E27124"/>
      <c r="F27124"/>
    </row>
    <row r="27125" spans="1:6" x14ac:dyDescent="0.25">
      <c r="A27125"/>
      <c r="B27125"/>
      <c r="C27125"/>
      <c r="E27125"/>
      <c r="F27125"/>
    </row>
    <row r="27126" spans="1:6" x14ac:dyDescent="0.25">
      <c r="A27126"/>
      <c r="B27126"/>
      <c r="C27126"/>
      <c r="E27126"/>
      <c r="F27126"/>
    </row>
    <row r="27127" spans="1:6" x14ac:dyDescent="0.25">
      <c r="A27127"/>
      <c r="B27127"/>
      <c r="C27127"/>
      <c r="E27127"/>
      <c r="F27127"/>
    </row>
    <row r="27128" spans="1:6" x14ac:dyDescent="0.25">
      <c r="A27128"/>
      <c r="B27128"/>
      <c r="C27128"/>
      <c r="E27128"/>
      <c r="F27128"/>
    </row>
    <row r="27129" spans="1:6" x14ac:dyDescent="0.25">
      <c r="A27129"/>
      <c r="B27129"/>
      <c r="C27129"/>
      <c r="E27129"/>
      <c r="F27129"/>
    </row>
    <row r="27130" spans="1:6" x14ac:dyDescent="0.25">
      <c r="A27130"/>
      <c r="B27130"/>
      <c r="C27130"/>
      <c r="E27130"/>
      <c r="F27130"/>
    </row>
    <row r="27131" spans="1:6" x14ac:dyDescent="0.25">
      <c r="A27131"/>
      <c r="B27131"/>
      <c r="C27131"/>
      <c r="E27131"/>
      <c r="F27131"/>
    </row>
    <row r="27132" spans="1:6" x14ac:dyDescent="0.25">
      <c r="A27132"/>
      <c r="B27132"/>
      <c r="C27132"/>
      <c r="E27132"/>
      <c r="F27132"/>
    </row>
    <row r="27133" spans="1:6" x14ac:dyDescent="0.25">
      <c r="A27133"/>
      <c r="B27133"/>
      <c r="C27133"/>
      <c r="E27133"/>
      <c r="F27133"/>
    </row>
    <row r="27134" spans="1:6" x14ac:dyDescent="0.25">
      <c r="A27134"/>
      <c r="B27134"/>
      <c r="C27134"/>
      <c r="E27134"/>
      <c r="F27134"/>
    </row>
    <row r="27135" spans="1:6" x14ac:dyDescent="0.25">
      <c r="A27135"/>
      <c r="B27135"/>
      <c r="C27135"/>
      <c r="E27135"/>
      <c r="F27135"/>
    </row>
    <row r="27136" spans="1:6" x14ac:dyDescent="0.25">
      <c r="A27136"/>
      <c r="B27136"/>
      <c r="C27136"/>
      <c r="E27136"/>
      <c r="F27136"/>
    </row>
    <row r="27137" spans="1:6" x14ac:dyDescent="0.25">
      <c r="A27137"/>
      <c r="B27137"/>
      <c r="C27137"/>
      <c r="E27137"/>
      <c r="F27137"/>
    </row>
    <row r="27138" spans="1:6" x14ac:dyDescent="0.25">
      <c r="A27138"/>
      <c r="B27138"/>
      <c r="C27138"/>
      <c r="E27138"/>
      <c r="F27138"/>
    </row>
    <row r="27139" spans="1:6" x14ac:dyDescent="0.25">
      <c r="A27139"/>
      <c r="B27139"/>
      <c r="C27139"/>
      <c r="E27139"/>
      <c r="F27139"/>
    </row>
    <row r="27140" spans="1:6" x14ac:dyDescent="0.25">
      <c r="A27140"/>
      <c r="B27140"/>
      <c r="C27140"/>
      <c r="E27140"/>
      <c r="F27140"/>
    </row>
    <row r="27141" spans="1:6" x14ac:dyDescent="0.25">
      <c r="A27141"/>
      <c r="B27141"/>
      <c r="C27141"/>
      <c r="E27141"/>
      <c r="F27141"/>
    </row>
    <row r="27142" spans="1:6" x14ac:dyDescent="0.25">
      <c r="A27142"/>
      <c r="B27142"/>
      <c r="C27142"/>
      <c r="E27142"/>
      <c r="F27142"/>
    </row>
    <row r="27143" spans="1:6" x14ac:dyDescent="0.25">
      <c r="A27143"/>
      <c r="B27143"/>
      <c r="C27143"/>
      <c r="E27143"/>
      <c r="F27143"/>
    </row>
    <row r="27144" spans="1:6" x14ac:dyDescent="0.25">
      <c r="A27144"/>
      <c r="B27144"/>
      <c r="C27144"/>
      <c r="E27144"/>
      <c r="F27144"/>
    </row>
    <row r="27145" spans="1:6" x14ac:dyDescent="0.25">
      <c r="A27145"/>
      <c r="B27145"/>
      <c r="C27145"/>
      <c r="E27145"/>
      <c r="F27145"/>
    </row>
    <row r="27146" spans="1:6" x14ac:dyDescent="0.25">
      <c r="A27146"/>
      <c r="B27146"/>
      <c r="C27146"/>
      <c r="E27146"/>
      <c r="F27146"/>
    </row>
    <row r="27147" spans="1:6" x14ac:dyDescent="0.25">
      <c r="A27147"/>
      <c r="B27147"/>
      <c r="C27147"/>
      <c r="E27147"/>
      <c r="F27147"/>
    </row>
    <row r="27148" spans="1:6" x14ac:dyDescent="0.25">
      <c r="A27148"/>
      <c r="B27148"/>
      <c r="C27148"/>
      <c r="E27148"/>
      <c r="F27148"/>
    </row>
    <row r="27149" spans="1:6" x14ac:dyDescent="0.25">
      <c r="A27149"/>
      <c r="B27149"/>
      <c r="C27149"/>
      <c r="E27149"/>
      <c r="F27149"/>
    </row>
    <row r="27150" spans="1:6" x14ac:dyDescent="0.25">
      <c r="A27150"/>
      <c r="B27150"/>
      <c r="C27150"/>
      <c r="E27150"/>
      <c r="F27150"/>
    </row>
    <row r="27151" spans="1:6" x14ac:dyDescent="0.25">
      <c r="A27151"/>
      <c r="B27151"/>
      <c r="C27151"/>
      <c r="E27151"/>
      <c r="F27151"/>
    </row>
    <row r="27152" spans="1:6" x14ac:dyDescent="0.25">
      <c r="A27152"/>
      <c r="B27152"/>
      <c r="C27152"/>
      <c r="E27152"/>
      <c r="F27152"/>
    </row>
    <row r="27153" spans="1:6" x14ac:dyDescent="0.25">
      <c r="A27153"/>
      <c r="B27153"/>
      <c r="C27153"/>
      <c r="E27153"/>
      <c r="F27153"/>
    </row>
    <row r="27154" spans="1:6" x14ac:dyDescent="0.25">
      <c r="A27154"/>
      <c r="B27154"/>
      <c r="C27154"/>
      <c r="E27154"/>
      <c r="F27154"/>
    </row>
    <row r="27155" spans="1:6" x14ac:dyDescent="0.25">
      <c r="A27155"/>
      <c r="B27155"/>
      <c r="C27155"/>
      <c r="E27155"/>
      <c r="F27155"/>
    </row>
    <row r="27156" spans="1:6" x14ac:dyDescent="0.25">
      <c r="A27156"/>
      <c r="B27156"/>
      <c r="C27156"/>
      <c r="E27156"/>
      <c r="F27156"/>
    </row>
    <row r="27157" spans="1:6" x14ac:dyDescent="0.25">
      <c r="A27157"/>
      <c r="B27157"/>
      <c r="C27157"/>
      <c r="E27157"/>
      <c r="F27157"/>
    </row>
    <row r="27158" spans="1:6" x14ac:dyDescent="0.25">
      <c r="A27158"/>
      <c r="B27158"/>
      <c r="C27158"/>
      <c r="E27158"/>
      <c r="F27158"/>
    </row>
    <row r="27159" spans="1:6" x14ac:dyDescent="0.25">
      <c r="A27159"/>
      <c r="B27159"/>
      <c r="C27159"/>
      <c r="E27159"/>
      <c r="F27159"/>
    </row>
    <row r="27160" spans="1:6" x14ac:dyDescent="0.25">
      <c r="A27160"/>
      <c r="B27160"/>
      <c r="C27160"/>
      <c r="E27160"/>
      <c r="F27160"/>
    </row>
    <row r="27161" spans="1:6" x14ac:dyDescent="0.25">
      <c r="A27161"/>
      <c r="B27161"/>
      <c r="C27161"/>
      <c r="E27161"/>
      <c r="F27161"/>
    </row>
    <row r="27162" spans="1:6" x14ac:dyDescent="0.25">
      <c r="A27162"/>
      <c r="B27162"/>
      <c r="C27162"/>
      <c r="E27162"/>
      <c r="F27162"/>
    </row>
    <row r="27163" spans="1:6" x14ac:dyDescent="0.25">
      <c r="A27163"/>
      <c r="B27163"/>
      <c r="C27163"/>
      <c r="E27163"/>
      <c r="F27163"/>
    </row>
    <row r="27164" spans="1:6" x14ac:dyDescent="0.25">
      <c r="A27164"/>
      <c r="B27164"/>
      <c r="C27164"/>
      <c r="E27164"/>
      <c r="F27164"/>
    </row>
    <row r="27165" spans="1:6" x14ac:dyDescent="0.25">
      <c r="A27165"/>
      <c r="B27165"/>
      <c r="C27165"/>
      <c r="E27165"/>
      <c r="F27165"/>
    </row>
    <row r="27166" spans="1:6" x14ac:dyDescent="0.25">
      <c r="A27166"/>
      <c r="B27166"/>
      <c r="C27166"/>
      <c r="E27166"/>
      <c r="F27166"/>
    </row>
    <row r="27167" spans="1:6" x14ac:dyDescent="0.25">
      <c r="A27167"/>
      <c r="B27167"/>
      <c r="C27167"/>
      <c r="E27167"/>
      <c r="F27167"/>
    </row>
    <row r="27168" spans="1:6" x14ac:dyDescent="0.25">
      <c r="A27168"/>
      <c r="B27168"/>
      <c r="C27168"/>
      <c r="E27168"/>
      <c r="F27168"/>
    </row>
    <row r="27169" spans="1:6" x14ac:dyDescent="0.25">
      <c r="A27169"/>
      <c r="B27169"/>
      <c r="C27169"/>
      <c r="E27169"/>
      <c r="F27169"/>
    </row>
    <row r="27170" spans="1:6" x14ac:dyDescent="0.25">
      <c r="A27170"/>
      <c r="B27170"/>
      <c r="C27170"/>
      <c r="E27170"/>
      <c r="F27170"/>
    </row>
    <row r="27171" spans="1:6" x14ac:dyDescent="0.25">
      <c r="A27171"/>
      <c r="B27171"/>
      <c r="C27171"/>
      <c r="E27171"/>
      <c r="F27171"/>
    </row>
    <row r="27172" spans="1:6" x14ac:dyDescent="0.25">
      <c r="A27172"/>
      <c r="B27172"/>
      <c r="C27172"/>
      <c r="E27172"/>
      <c r="F27172"/>
    </row>
    <row r="27173" spans="1:6" x14ac:dyDescent="0.25">
      <c r="A27173"/>
      <c r="B27173"/>
      <c r="C27173"/>
      <c r="E27173"/>
      <c r="F27173"/>
    </row>
    <row r="27174" spans="1:6" x14ac:dyDescent="0.25">
      <c r="A27174"/>
      <c r="B27174"/>
      <c r="C27174"/>
      <c r="E27174"/>
      <c r="F27174"/>
    </row>
    <row r="27175" spans="1:6" x14ac:dyDescent="0.25">
      <c r="A27175"/>
      <c r="B27175"/>
      <c r="C27175"/>
      <c r="E27175"/>
      <c r="F27175"/>
    </row>
    <row r="27176" spans="1:6" x14ac:dyDescent="0.25">
      <c r="A27176"/>
      <c r="B27176"/>
      <c r="C27176"/>
      <c r="E27176"/>
      <c r="F27176"/>
    </row>
    <row r="27177" spans="1:6" x14ac:dyDescent="0.25">
      <c r="A27177"/>
      <c r="B27177"/>
      <c r="C27177"/>
      <c r="E27177"/>
      <c r="F27177"/>
    </row>
    <row r="27178" spans="1:6" x14ac:dyDescent="0.25">
      <c r="A27178"/>
      <c r="B27178"/>
      <c r="C27178"/>
      <c r="E27178"/>
      <c r="F27178"/>
    </row>
    <row r="27179" spans="1:6" x14ac:dyDescent="0.25">
      <c r="A27179"/>
      <c r="B27179"/>
      <c r="C27179"/>
      <c r="E27179"/>
      <c r="F27179"/>
    </row>
    <row r="27180" spans="1:6" x14ac:dyDescent="0.25">
      <c r="A27180"/>
      <c r="B27180"/>
      <c r="C27180"/>
      <c r="E27180"/>
      <c r="F27180"/>
    </row>
    <row r="27181" spans="1:6" x14ac:dyDescent="0.25">
      <c r="A27181"/>
      <c r="B27181"/>
      <c r="C27181"/>
      <c r="E27181"/>
      <c r="F27181"/>
    </row>
    <row r="27182" spans="1:6" x14ac:dyDescent="0.25">
      <c r="A27182"/>
      <c r="B27182"/>
      <c r="C27182"/>
      <c r="E27182"/>
      <c r="F27182"/>
    </row>
    <row r="27183" spans="1:6" x14ac:dyDescent="0.25">
      <c r="A27183"/>
      <c r="B27183"/>
      <c r="C27183"/>
      <c r="E27183"/>
      <c r="F27183"/>
    </row>
    <row r="27184" spans="1:6" x14ac:dyDescent="0.25">
      <c r="A27184"/>
      <c r="B27184"/>
      <c r="C27184"/>
      <c r="E27184"/>
      <c r="F27184"/>
    </row>
    <row r="27185" spans="1:6" x14ac:dyDescent="0.25">
      <c r="A27185"/>
      <c r="B27185"/>
      <c r="C27185"/>
      <c r="E27185"/>
      <c r="F27185"/>
    </row>
    <row r="27186" spans="1:6" x14ac:dyDescent="0.25">
      <c r="A27186"/>
      <c r="B27186"/>
      <c r="C27186"/>
      <c r="E27186"/>
      <c r="F27186"/>
    </row>
    <row r="27187" spans="1:6" x14ac:dyDescent="0.25">
      <c r="A27187"/>
      <c r="B27187"/>
      <c r="C27187"/>
      <c r="E27187"/>
      <c r="F27187"/>
    </row>
    <row r="27188" spans="1:6" x14ac:dyDescent="0.25">
      <c r="A27188"/>
      <c r="B27188"/>
      <c r="C27188"/>
      <c r="E27188"/>
      <c r="F27188"/>
    </row>
    <row r="27189" spans="1:6" x14ac:dyDescent="0.25">
      <c r="A27189"/>
      <c r="B27189"/>
      <c r="C27189"/>
      <c r="E27189"/>
      <c r="F27189"/>
    </row>
    <row r="27190" spans="1:6" x14ac:dyDescent="0.25">
      <c r="A27190"/>
      <c r="B27190"/>
      <c r="C27190"/>
      <c r="E27190"/>
      <c r="F27190"/>
    </row>
    <row r="27191" spans="1:6" x14ac:dyDescent="0.25">
      <c r="A27191"/>
      <c r="B27191"/>
      <c r="C27191"/>
      <c r="E27191"/>
      <c r="F27191"/>
    </row>
    <row r="27192" spans="1:6" x14ac:dyDescent="0.25">
      <c r="A27192"/>
      <c r="B27192"/>
      <c r="C27192"/>
      <c r="E27192"/>
      <c r="F27192"/>
    </row>
    <row r="27193" spans="1:6" x14ac:dyDescent="0.25">
      <c r="A27193"/>
      <c r="B27193"/>
      <c r="C27193"/>
      <c r="E27193"/>
      <c r="F27193"/>
    </row>
    <row r="27194" spans="1:6" x14ac:dyDescent="0.25">
      <c r="A27194"/>
      <c r="B27194"/>
      <c r="C27194"/>
      <c r="E27194"/>
      <c r="F27194"/>
    </row>
    <row r="27195" spans="1:6" x14ac:dyDescent="0.25">
      <c r="A27195"/>
      <c r="B27195"/>
      <c r="C27195"/>
      <c r="E27195"/>
      <c r="F27195"/>
    </row>
    <row r="27196" spans="1:6" x14ac:dyDescent="0.25">
      <c r="A27196"/>
      <c r="B27196"/>
      <c r="C27196"/>
      <c r="E27196"/>
      <c r="F27196"/>
    </row>
    <row r="27197" spans="1:6" x14ac:dyDescent="0.25">
      <c r="A27197"/>
      <c r="B27197"/>
      <c r="C27197"/>
      <c r="E27197"/>
      <c r="F27197"/>
    </row>
    <row r="27198" spans="1:6" x14ac:dyDescent="0.25">
      <c r="A27198"/>
      <c r="B27198"/>
      <c r="C27198"/>
      <c r="E27198"/>
      <c r="F27198"/>
    </row>
    <row r="27199" spans="1:6" x14ac:dyDescent="0.25">
      <c r="A27199"/>
      <c r="B27199"/>
      <c r="C27199"/>
      <c r="E27199"/>
      <c r="F27199"/>
    </row>
    <row r="27200" spans="1:6" x14ac:dyDescent="0.25">
      <c r="A27200"/>
      <c r="B27200"/>
      <c r="C27200"/>
      <c r="E27200"/>
      <c r="F27200"/>
    </row>
    <row r="27201" spans="1:6" x14ac:dyDescent="0.25">
      <c r="A27201"/>
      <c r="B27201"/>
      <c r="C27201"/>
      <c r="E27201"/>
      <c r="F27201"/>
    </row>
    <row r="27202" spans="1:6" x14ac:dyDescent="0.25">
      <c r="A27202"/>
      <c r="B27202"/>
      <c r="C27202"/>
      <c r="E27202"/>
      <c r="F27202"/>
    </row>
    <row r="27203" spans="1:6" x14ac:dyDescent="0.25">
      <c r="A27203"/>
      <c r="B27203"/>
      <c r="C27203"/>
      <c r="E27203"/>
      <c r="F27203"/>
    </row>
    <row r="27204" spans="1:6" x14ac:dyDescent="0.25">
      <c r="A27204"/>
      <c r="B27204"/>
      <c r="C27204"/>
      <c r="E27204"/>
      <c r="F27204"/>
    </row>
    <row r="27205" spans="1:6" x14ac:dyDescent="0.25">
      <c r="A27205"/>
      <c r="B27205"/>
      <c r="C27205"/>
      <c r="E27205"/>
      <c r="F27205"/>
    </row>
    <row r="27206" spans="1:6" x14ac:dyDescent="0.25">
      <c r="A27206"/>
      <c r="B27206"/>
      <c r="C27206"/>
      <c r="E27206"/>
      <c r="F27206"/>
    </row>
    <row r="27207" spans="1:6" x14ac:dyDescent="0.25">
      <c r="A27207"/>
      <c r="B27207"/>
      <c r="C27207"/>
      <c r="E27207"/>
      <c r="F27207"/>
    </row>
    <row r="27208" spans="1:6" x14ac:dyDescent="0.25">
      <c r="A27208"/>
      <c r="B27208"/>
      <c r="C27208"/>
      <c r="E27208"/>
      <c r="F27208"/>
    </row>
    <row r="27209" spans="1:6" x14ac:dyDescent="0.25">
      <c r="A27209"/>
      <c r="B27209"/>
      <c r="C27209"/>
      <c r="E27209"/>
      <c r="F27209"/>
    </row>
    <row r="27210" spans="1:6" x14ac:dyDescent="0.25">
      <c r="A27210"/>
      <c r="B27210"/>
      <c r="C27210"/>
      <c r="E27210"/>
      <c r="F27210"/>
    </row>
    <row r="27211" spans="1:6" x14ac:dyDescent="0.25">
      <c r="A27211"/>
      <c r="B27211"/>
      <c r="C27211"/>
      <c r="E27211"/>
      <c r="F27211"/>
    </row>
    <row r="27212" spans="1:6" x14ac:dyDescent="0.25">
      <c r="A27212"/>
      <c r="B27212"/>
      <c r="C27212"/>
      <c r="E27212"/>
      <c r="F27212"/>
    </row>
    <row r="27213" spans="1:6" x14ac:dyDescent="0.25">
      <c r="A27213"/>
      <c r="B27213"/>
      <c r="C27213"/>
      <c r="E27213"/>
      <c r="F27213"/>
    </row>
    <row r="27214" spans="1:6" x14ac:dyDescent="0.25">
      <c r="A27214"/>
      <c r="B27214"/>
      <c r="C27214"/>
      <c r="E27214"/>
      <c r="F27214"/>
    </row>
    <row r="27215" spans="1:6" x14ac:dyDescent="0.25">
      <c r="A27215"/>
      <c r="B27215"/>
      <c r="C27215"/>
      <c r="E27215"/>
      <c r="F27215"/>
    </row>
    <row r="27216" spans="1:6" x14ac:dyDescent="0.25">
      <c r="A27216"/>
      <c r="B27216"/>
      <c r="C27216"/>
      <c r="E27216"/>
      <c r="F27216"/>
    </row>
    <row r="27217" spans="1:6" x14ac:dyDescent="0.25">
      <c r="A27217"/>
      <c r="B27217"/>
      <c r="C27217"/>
      <c r="E27217"/>
      <c r="F27217"/>
    </row>
    <row r="27218" spans="1:6" x14ac:dyDescent="0.25">
      <c r="A27218"/>
      <c r="B27218"/>
      <c r="C27218"/>
      <c r="E27218"/>
      <c r="F27218"/>
    </row>
    <row r="27219" spans="1:6" x14ac:dyDescent="0.25">
      <c r="A27219"/>
      <c r="B27219"/>
      <c r="C27219"/>
      <c r="E27219"/>
      <c r="F27219"/>
    </row>
    <row r="27220" spans="1:6" x14ac:dyDescent="0.25">
      <c r="A27220"/>
      <c r="B27220"/>
      <c r="C27220"/>
      <c r="E27220"/>
      <c r="F27220"/>
    </row>
    <row r="27221" spans="1:6" x14ac:dyDescent="0.25">
      <c r="A27221"/>
      <c r="B27221"/>
      <c r="C27221"/>
      <c r="E27221"/>
      <c r="F27221"/>
    </row>
    <row r="27222" spans="1:6" x14ac:dyDescent="0.25">
      <c r="A27222"/>
      <c r="B27222"/>
      <c r="C27222"/>
      <c r="E27222"/>
      <c r="F27222"/>
    </row>
    <row r="27223" spans="1:6" x14ac:dyDescent="0.25">
      <c r="A27223"/>
      <c r="B27223"/>
      <c r="C27223"/>
      <c r="E27223"/>
      <c r="F27223"/>
    </row>
    <row r="27224" spans="1:6" x14ac:dyDescent="0.25">
      <c r="A27224"/>
      <c r="B27224"/>
      <c r="C27224"/>
      <c r="E27224"/>
      <c r="F27224"/>
    </row>
    <row r="27225" spans="1:6" x14ac:dyDescent="0.25">
      <c r="A27225"/>
      <c r="B27225"/>
      <c r="C27225"/>
      <c r="E27225"/>
      <c r="F27225"/>
    </row>
    <row r="27226" spans="1:6" x14ac:dyDescent="0.25">
      <c r="A27226"/>
      <c r="B27226"/>
      <c r="C27226"/>
      <c r="E27226"/>
      <c r="F27226"/>
    </row>
    <row r="27227" spans="1:6" x14ac:dyDescent="0.25">
      <c r="A27227"/>
      <c r="B27227"/>
      <c r="C27227"/>
      <c r="E27227"/>
      <c r="F27227"/>
    </row>
    <row r="27228" spans="1:6" x14ac:dyDescent="0.25">
      <c r="A27228"/>
      <c r="B27228"/>
      <c r="C27228"/>
      <c r="E27228"/>
      <c r="F27228"/>
    </row>
    <row r="27229" spans="1:6" x14ac:dyDescent="0.25">
      <c r="A27229"/>
      <c r="B27229"/>
      <c r="C27229"/>
      <c r="E27229"/>
      <c r="F27229"/>
    </row>
    <row r="27230" spans="1:6" x14ac:dyDescent="0.25">
      <c r="A27230"/>
      <c r="B27230"/>
      <c r="C27230"/>
      <c r="E27230"/>
      <c r="F27230"/>
    </row>
    <row r="27231" spans="1:6" x14ac:dyDescent="0.25">
      <c r="A27231"/>
      <c r="B27231"/>
      <c r="C27231"/>
      <c r="E27231"/>
      <c r="F27231"/>
    </row>
    <row r="27232" spans="1:6" x14ac:dyDescent="0.25">
      <c r="A27232"/>
      <c r="B27232"/>
      <c r="C27232"/>
      <c r="E27232"/>
      <c r="F27232"/>
    </row>
    <row r="27233" spans="1:6" x14ac:dyDescent="0.25">
      <c r="A27233"/>
      <c r="B27233"/>
      <c r="C27233"/>
      <c r="E27233"/>
      <c r="F27233"/>
    </row>
    <row r="27234" spans="1:6" x14ac:dyDescent="0.25">
      <c r="A27234"/>
      <c r="B27234"/>
      <c r="C27234"/>
      <c r="E27234"/>
      <c r="F27234"/>
    </row>
    <row r="27235" spans="1:6" x14ac:dyDescent="0.25">
      <c r="A27235"/>
      <c r="B27235"/>
      <c r="C27235"/>
      <c r="E27235"/>
      <c r="F27235"/>
    </row>
    <row r="27236" spans="1:6" x14ac:dyDescent="0.25">
      <c r="A27236"/>
      <c r="B27236"/>
      <c r="C27236"/>
      <c r="E27236"/>
      <c r="F27236"/>
    </row>
    <row r="27237" spans="1:6" x14ac:dyDescent="0.25">
      <c r="A27237"/>
      <c r="B27237"/>
      <c r="C27237"/>
      <c r="E27237"/>
      <c r="F27237"/>
    </row>
    <row r="27238" spans="1:6" x14ac:dyDescent="0.25">
      <c r="A27238"/>
      <c r="B27238"/>
      <c r="C27238"/>
      <c r="E27238"/>
      <c r="F27238"/>
    </row>
    <row r="27239" spans="1:6" x14ac:dyDescent="0.25">
      <c r="A27239"/>
      <c r="B27239"/>
      <c r="C27239"/>
      <c r="E27239"/>
      <c r="F27239"/>
    </row>
    <row r="27240" spans="1:6" x14ac:dyDescent="0.25">
      <c r="A27240"/>
      <c r="B27240"/>
      <c r="C27240"/>
      <c r="E27240"/>
      <c r="F27240"/>
    </row>
    <row r="27241" spans="1:6" x14ac:dyDescent="0.25">
      <c r="A27241"/>
      <c r="B27241"/>
      <c r="C27241"/>
      <c r="E27241"/>
      <c r="F27241"/>
    </row>
    <row r="27242" spans="1:6" x14ac:dyDescent="0.25">
      <c r="A27242"/>
      <c r="B27242"/>
      <c r="C27242"/>
      <c r="E27242"/>
      <c r="F27242"/>
    </row>
    <row r="27243" spans="1:6" x14ac:dyDescent="0.25">
      <c r="A27243"/>
      <c r="B27243"/>
      <c r="C27243"/>
      <c r="E27243"/>
      <c r="F27243"/>
    </row>
    <row r="27244" spans="1:6" x14ac:dyDescent="0.25">
      <c r="A27244"/>
      <c r="B27244"/>
      <c r="C27244"/>
      <c r="E27244"/>
      <c r="F27244"/>
    </row>
    <row r="27245" spans="1:6" x14ac:dyDescent="0.25">
      <c r="A27245"/>
      <c r="B27245"/>
      <c r="C27245"/>
      <c r="E27245"/>
      <c r="F27245"/>
    </row>
    <row r="27246" spans="1:6" x14ac:dyDescent="0.25">
      <c r="A27246"/>
      <c r="B27246"/>
      <c r="C27246"/>
      <c r="E27246"/>
      <c r="F27246"/>
    </row>
    <row r="27247" spans="1:6" x14ac:dyDescent="0.25">
      <c r="A27247"/>
      <c r="B27247"/>
      <c r="C27247"/>
      <c r="E27247"/>
      <c r="F27247"/>
    </row>
    <row r="27248" spans="1:6" x14ac:dyDescent="0.25">
      <c r="A27248"/>
      <c r="B27248"/>
      <c r="C27248"/>
      <c r="E27248"/>
      <c r="F27248"/>
    </row>
    <row r="27249" spans="1:6" x14ac:dyDescent="0.25">
      <c r="A27249"/>
      <c r="B27249"/>
      <c r="C27249"/>
      <c r="E27249"/>
      <c r="F27249"/>
    </row>
    <row r="27250" spans="1:6" x14ac:dyDescent="0.25">
      <c r="A27250"/>
      <c r="B27250"/>
      <c r="C27250"/>
      <c r="E27250"/>
      <c r="F27250"/>
    </row>
    <row r="27251" spans="1:6" x14ac:dyDescent="0.25">
      <c r="A27251"/>
      <c r="B27251"/>
      <c r="C27251"/>
      <c r="E27251"/>
      <c r="F27251"/>
    </row>
    <row r="27252" spans="1:6" x14ac:dyDescent="0.25">
      <c r="A27252"/>
      <c r="B27252"/>
      <c r="C27252"/>
      <c r="E27252"/>
      <c r="F27252"/>
    </row>
    <row r="27253" spans="1:6" x14ac:dyDescent="0.25">
      <c r="A27253"/>
      <c r="B27253"/>
      <c r="C27253"/>
      <c r="E27253"/>
      <c r="F27253"/>
    </row>
    <row r="27254" spans="1:6" x14ac:dyDescent="0.25">
      <c r="A27254"/>
      <c r="B27254"/>
      <c r="C27254"/>
      <c r="E27254"/>
      <c r="F27254"/>
    </row>
    <row r="27255" spans="1:6" x14ac:dyDescent="0.25">
      <c r="A27255"/>
      <c r="B27255"/>
      <c r="C27255"/>
      <c r="E27255"/>
      <c r="F27255"/>
    </row>
    <row r="27256" spans="1:6" x14ac:dyDescent="0.25">
      <c r="A27256"/>
      <c r="B27256"/>
      <c r="C27256"/>
      <c r="E27256"/>
      <c r="F27256"/>
    </row>
    <row r="27257" spans="1:6" x14ac:dyDescent="0.25">
      <c r="A27257"/>
      <c r="B27257"/>
      <c r="C27257"/>
      <c r="E27257"/>
      <c r="F27257"/>
    </row>
    <row r="27258" spans="1:6" x14ac:dyDescent="0.25">
      <c r="A27258"/>
      <c r="B27258"/>
      <c r="C27258"/>
      <c r="E27258"/>
      <c r="F27258"/>
    </row>
    <row r="27259" spans="1:6" x14ac:dyDescent="0.25">
      <c r="A27259"/>
      <c r="B27259"/>
      <c r="C27259"/>
      <c r="E27259"/>
      <c r="F27259"/>
    </row>
    <row r="27260" spans="1:6" x14ac:dyDescent="0.25">
      <c r="A27260"/>
      <c r="B27260"/>
      <c r="C27260"/>
      <c r="E27260"/>
      <c r="F27260"/>
    </row>
    <row r="27261" spans="1:6" x14ac:dyDescent="0.25">
      <c r="A27261"/>
      <c r="B27261"/>
      <c r="C27261"/>
      <c r="E27261"/>
      <c r="F27261"/>
    </row>
    <row r="27262" spans="1:6" x14ac:dyDescent="0.25">
      <c r="A27262"/>
      <c r="B27262"/>
      <c r="C27262"/>
      <c r="E27262"/>
      <c r="F27262"/>
    </row>
    <row r="27263" spans="1:6" x14ac:dyDescent="0.25">
      <c r="A27263"/>
      <c r="B27263"/>
      <c r="C27263"/>
      <c r="E27263"/>
      <c r="F27263"/>
    </row>
    <row r="27264" spans="1:6" x14ac:dyDescent="0.25">
      <c r="A27264"/>
      <c r="B27264"/>
      <c r="C27264"/>
      <c r="E27264"/>
      <c r="F27264"/>
    </row>
    <row r="27265" spans="1:6" x14ac:dyDescent="0.25">
      <c r="A27265"/>
      <c r="B27265"/>
      <c r="C27265"/>
      <c r="E27265"/>
      <c r="F27265"/>
    </row>
    <row r="27266" spans="1:6" x14ac:dyDescent="0.25">
      <c r="A27266"/>
      <c r="B27266"/>
      <c r="C27266"/>
      <c r="E27266"/>
      <c r="F27266"/>
    </row>
    <row r="27267" spans="1:6" x14ac:dyDescent="0.25">
      <c r="A27267"/>
      <c r="B27267"/>
      <c r="C27267"/>
      <c r="E27267"/>
      <c r="F27267"/>
    </row>
    <row r="27268" spans="1:6" x14ac:dyDescent="0.25">
      <c r="A27268"/>
      <c r="B27268"/>
      <c r="C27268"/>
      <c r="E27268"/>
      <c r="F27268"/>
    </row>
    <row r="27269" spans="1:6" x14ac:dyDescent="0.25">
      <c r="A27269"/>
      <c r="B27269"/>
      <c r="C27269"/>
      <c r="E27269"/>
      <c r="F27269"/>
    </row>
    <row r="27270" spans="1:6" x14ac:dyDescent="0.25">
      <c r="A27270"/>
      <c r="B27270"/>
      <c r="C27270"/>
      <c r="E27270"/>
      <c r="F27270"/>
    </row>
    <row r="27271" spans="1:6" x14ac:dyDescent="0.25">
      <c r="A27271"/>
      <c r="B27271"/>
      <c r="C27271"/>
      <c r="E27271"/>
      <c r="F27271"/>
    </row>
    <row r="27272" spans="1:6" x14ac:dyDescent="0.25">
      <c r="A27272"/>
      <c r="B27272"/>
      <c r="C27272"/>
      <c r="E27272"/>
      <c r="F27272"/>
    </row>
    <row r="27273" spans="1:6" x14ac:dyDescent="0.25">
      <c r="A27273"/>
      <c r="B27273"/>
      <c r="C27273"/>
      <c r="E27273"/>
      <c r="F27273"/>
    </row>
    <row r="27274" spans="1:6" x14ac:dyDescent="0.25">
      <c r="A27274"/>
      <c r="B27274"/>
      <c r="C27274"/>
      <c r="E27274"/>
      <c r="F27274"/>
    </row>
    <row r="27275" spans="1:6" x14ac:dyDescent="0.25">
      <c r="A27275"/>
      <c r="B27275"/>
      <c r="C27275"/>
      <c r="E27275"/>
      <c r="F27275"/>
    </row>
    <row r="27276" spans="1:6" x14ac:dyDescent="0.25">
      <c r="A27276"/>
      <c r="B27276"/>
      <c r="C27276"/>
      <c r="E27276"/>
      <c r="F27276"/>
    </row>
    <row r="27277" spans="1:6" x14ac:dyDescent="0.25">
      <c r="A27277"/>
      <c r="B27277"/>
      <c r="C27277"/>
      <c r="E27277"/>
      <c r="F27277"/>
    </row>
    <row r="27278" spans="1:6" x14ac:dyDescent="0.25">
      <c r="A27278"/>
      <c r="B27278"/>
      <c r="C27278"/>
      <c r="E27278"/>
      <c r="F27278"/>
    </row>
    <row r="27279" spans="1:6" x14ac:dyDescent="0.25">
      <c r="A27279"/>
      <c r="B27279"/>
      <c r="C27279"/>
      <c r="E27279"/>
      <c r="F27279"/>
    </row>
    <row r="27280" spans="1:6" x14ac:dyDescent="0.25">
      <c r="A27280"/>
      <c r="B27280"/>
      <c r="C27280"/>
      <c r="E27280"/>
      <c r="F27280"/>
    </row>
    <row r="27281" spans="1:6" x14ac:dyDescent="0.25">
      <c r="A27281"/>
      <c r="B27281"/>
      <c r="C27281"/>
      <c r="E27281"/>
      <c r="F27281"/>
    </row>
    <row r="27282" spans="1:6" x14ac:dyDescent="0.25">
      <c r="A27282"/>
      <c r="B27282"/>
      <c r="C27282"/>
      <c r="E27282"/>
      <c r="F27282"/>
    </row>
    <row r="27283" spans="1:6" x14ac:dyDescent="0.25">
      <c r="A27283"/>
      <c r="B27283"/>
      <c r="C27283"/>
      <c r="E27283"/>
      <c r="F27283"/>
    </row>
    <row r="27284" spans="1:6" x14ac:dyDescent="0.25">
      <c r="A27284"/>
      <c r="B27284"/>
      <c r="C27284"/>
      <c r="E27284"/>
      <c r="F27284"/>
    </row>
    <row r="27285" spans="1:6" x14ac:dyDescent="0.25">
      <c r="A27285"/>
      <c r="B27285"/>
      <c r="C27285"/>
      <c r="E27285"/>
      <c r="F27285"/>
    </row>
    <row r="27286" spans="1:6" x14ac:dyDescent="0.25">
      <c r="A27286"/>
      <c r="B27286"/>
      <c r="C27286"/>
      <c r="E27286"/>
      <c r="F27286"/>
    </row>
    <row r="27287" spans="1:6" x14ac:dyDescent="0.25">
      <c r="A27287"/>
      <c r="B27287"/>
      <c r="C27287"/>
      <c r="E27287"/>
      <c r="F27287"/>
    </row>
    <row r="27288" spans="1:6" x14ac:dyDescent="0.25">
      <c r="A27288"/>
      <c r="B27288"/>
      <c r="C27288"/>
      <c r="E27288"/>
      <c r="F27288"/>
    </row>
    <row r="27289" spans="1:6" x14ac:dyDescent="0.25">
      <c r="A27289"/>
      <c r="B27289"/>
      <c r="C27289"/>
      <c r="E27289"/>
      <c r="F27289"/>
    </row>
    <row r="27290" spans="1:6" x14ac:dyDescent="0.25">
      <c r="A27290"/>
      <c r="B27290"/>
      <c r="C27290"/>
      <c r="E27290"/>
      <c r="F27290"/>
    </row>
    <row r="27291" spans="1:6" x14ac:dyDescent="0.25">
      <c r="A27291"/>
      <c r="B27291"/>
      <c r="C27291"/>
      <c r="E27291"/>
      <c r="F27291"/>
    </row>
    <row r="27292" spans="1:6" x14ac:dyDescent="0.25">
      <c r="A27292"/>
      <c r="B27292"/>
      <c r="C27292"/>
      <c r="E27292"/>
      <c r="F27292"/>
    </row>
    <row r="27293" spans="1:6" x14ac:dyDescent="0.25">
      <c r="A27293"/>
      <c r="B27293"/>
      <c r="C27293"/>
      <c r="E27293"/>
      <c r="F27293"/>
    </row>
    <row r="27294" spans="1:6" x14ac:dyDescent="0.25">
      <c r="A27294"/>
      <c r="B27294"/>
      <c r="C27294"/>
      <c r="E27294"/>
      <c r="F27294"/>
    </row>
    <row r="27295" spans="1:6" x14ac:dyDescent="0.25">
      <c r="A27295"/>
      <c r="B27295"/>
      <c r="C27295"/>
      <c r="E27295"/>
      <c r="F27295"/>
    </row>
    <row r="27296" spans="1:6" x14ac:dyDescent="0.25">
      <c r="A27296"/>
      <c r="B27296"/>
      <c r="C27296"/>
      <c r="E27296"/>
      <c r="F27296"/>
    </row>
    <row r="27297" spans="1:6" x14ac:dyDescent="0.25">
      <c r="A27297"/>
      <c r="B27297"/>
      <c r="C27297"/>
      <c r="E27297"/>
      <c r="F27297"/>
    </row>
    <row r="27298" spans="1:6" x14ac:dyDescent="0.25">
      <c r="A27298"/>
      <c r="B27298"/>
      <c r="C27298"/>
      <c r="E27298"/>
      <c r="F27298"/>
    </row>
    <row r="27299" spans="1:6" x14ac:dyDescent="0.25">
      <c r="A27299"/>
      <c r="B27299"/>
      <c r="C27299"/>
      <c r="E27299"/>
      <c r="F27299"/>
    </row>
    <row r="27300" spans="1:6" x14ac:dyDescent="0.25">
      <c r="A27300"/>
      <c r="B27300"/>
      <c r="C27300"/>
      <c r="E27300"/>
      <c r="F27300"/>
    </row>
    <row r="27301" spans="1:6" x14ac:dyDescent="0.25">
      <c r="A27301"/>
      <c r="B27301"/>
      <c r="C27301"/>
      <c r="E27301"/>
      <c r="F27301"/>
    </row>
    <row r="27302" spans="1:6" x14ac:dyDescent="0.25">
      <c r="A27302"/>
      <c r="B27302"/>
      <c r="C27302"/>
      <c r="E27302"/>
      <c r="F27302"/>
    </row>
    <row r="27303" spans="1:6" x14ac:dyDescent="0.25">
      <c r="A27303"/>
      <c r="B27303"/>
      <c r="C27303"/>
      <c r="E27303"/>
      <c r="F27303"/>
    </row>
    <row r="27304" spans="1:6" x14ac:dyDescent="0.25">
      <c r="A27304"/>
      <c r="B27304"/>
      <c r="C27304"/>
      <c r="E27304"/>
      <c r="F27304"/>
    </row>
    <row r="27305" spans="1:6" x14ac:dyDescent="0.25">
      <c r="A27305"/>
      <c r="B27305"/>
      <c r="C27305"/>
      <c r="E27305"/>
      <c r="F27305"/>
    </row>
    <row r="27306" spans="1:6" x14ac:dyDescent="0.25">
      <c r="A27306"/>
      <c r="B27306"/>
      <c r="C27306"/>
      <c r="E27306"/>
      <c r="F27306"/>
    </row>
    <row r="27307" spans="1:6" x14ac:dyDescent="0.25">
      <c r="A27307"/>
      <c r="B27307"/>
      <c r="C27307"/>
      <c r="E27307"/>
      <c r="F27307"/>
    </row>
    <row r="27308" spans="1:6" x14ac:dyDescent="0.25">
      <c r="A27308"/>
      <c r="B27308"/>
      <c r="C27308"/>
      <c r="E27308"/>
      <c r="F27308"/>
    </row>
    <row r="27309" spans="1:6" x14ac:dyDescent="0.25">
      <c r="A27309"/>
      <c r="B27309"/>
      <c r="C27309"/>
      <c r="E27309"/>
      <c r="F27309"/>
    </row>
    <row r="27310" spans="1:6" x14ac:dyDescent="0.25">
      <c r="A27310"/>
      <c r="B27310"/>
      <c r="C27310"/>
      <c r="E27310"/>
      <c r="F27310"/>
    </row>
    <row r="27311" spans="1:6" x14ac:dyDescent="0.25">
      <c r="A27311"/>
      <c r="B27311"/>
      <c r="C27311"/>
      <c r="E27311"/>
      <c r="F27311"/>
    </row>
    <row r="27312" spans="1:6" x14ac:dyDescent="0.25">
      <c r="A27312"/>
      <c r="B27312"/>
      <c r="C27312"/>
      <c r="E27312"/>
      <c r="F27312"/>
    </row>
    <row r="27313" spans="1:6" x14ac:dyDescent="0.25">
      <c r="A27313"/>
      <c r="B27313"/>
      <c r="C27313"/>
      <c r="E27313"/>
      <c r="F27313"/>
    </row>
    <row r="27314" spans="1:6" x14ac:dyDescent="0.25">
      <c r="A27314"/>
      <c r="B27314"/>
      <c r="C27314"/>
      <c r="E27314"/>
      <c r="F27314"/>
    </row>
    <row r="27315" spans="1:6" x14ac:dyDescent="0.25">
      <c r="A27315"/>
      <c r="B27315"/>
      <c r="C27315"/>
      <c r="E27315"/>
      <c r="F27315"/>
    </row>
    <row r="27316" spans="1:6" x14ac:dyDescent="0.25">
      <c r="A27316"/>
      <c r="B27316"/>
      <c r="C27316"/>
      <c r="E27316"/>
      <c r="F27316"/>
    </row>
    <row r="27317" spans="1:6" x14ac:dyDescent="0.25">
      <c r="A27317"/>
      <c r="B27317"/>
      <c r="C27317"/>
      <c r="E27317"/>
      <c r="F27317"/>
    </row>
    <row r="27318" spans="1:6" x14ac:dyDescent="0.25">
      <c r="A27318"/>
      <c r="B27318"/>
      <c r="C27318"/>
      <c r="E27318"/>
      <c r="F27318"/>
    </row>
    <row r="27319" spans="1:6" x14ac:dyDescent="0.25">
      <c r="A27319"/>
      <c r="B27319"/>
      <c r="C27319"/>
      <c r="E27319"/>
      <c r="F27319"/>
    </row>
    <row r="27320" spans="1:6" x14ac:dyDescent="0.25">
      <c r="A27320"/>
      <c r="B27320"/>
      <c r="C27320"/>
      <c r="E27320"/>
      <c r="F27320"/>
    </row>
    <row r="27321" spans="1:6" x14ac:dyDescent="0.25">
      <c r="A27321"/>
      <c r="B27321"/>
      <c r="C27321"/>
      <c r="E27321"/>
      <c r="F27321"/>
    </row>
    <row r="27322" spans="1:6" x14ac:dyDescent="0.25">
      <c r="A27322"/>
      <c r="B27322"/>
      <c r="C27322"/>
      <c r="E27322"/>
      <c r="F27322"/>
    </row>
    <row r="27323" spans="1:6" x14ac:dyDescent="0.25">
      <c r="A27323"/>
      <c r="B27323"/>
      <c r="C27323"/>
      <c r="E27323"/>
      <c r="F27323"/>
    </row>
    <row r="27324" spans="1:6" x14ac:dyDescent="0.25">
      <c r="A27324"/>
      <c r="B27324"/>
      <c r="C27324"/>
      <c r="E27324"/>
      <c r="F27324"/>
    </row>
    <row r="27325" spans="1:6" x14ac:dyDescent="0.25">
      <c r="A27325"/>
      <c r="B27325"/>
      <c r="C27325"/>
      <c r="E27325"/>
      <c r="F27325"/>
    </row>
    <row r="27326" spans="1:6" x14ac:dyDescent="0.25">
      <c r="A27326"/>
      <c r="B27326"/>
      <c r="C27326"/>
      <c r="E27326"/>
      <c r="F27326"/>
    </row>
    <row r="27327" spans="1:6" x14ac:dyDescent="0.25">
      <c r="A27327"/>
      <c r="B27327"/>
      <c r="C27327"/>
      <c r="E27327"/>
      <c r="F27327"/>
    </row>
    <row r="27328" spans="1:6" x14ac:dyDescent="0.25">
      <c r="A27328"/>
      <c r="B27328"/>
      <c r="C27328"/>
      <c r="E27328"/>
      <c r="F27328"/>
    </row>
    <row r="27329" spans="1:6" x14ac:dyDescent="0.25">
      <c r="A27329"/>
      <c r="B27329"/>
      <c r="C27329"/>
      <c r="E27329"/>
      <c r="F27329"/>
    </row>
    <row r="27330" spans="1:6" x14ac:dyDescent="0.25">
      <c r="A27330"/>
      <c r="B27330"/>
      <c r="C27330"/>
      <c r="E27330"/>
      <c r="F27330"/>
    </row>
    <row r="27331" spans="1:6" x14ac:dyDescent="0.25">
      <c r="A27331"/>
      <c r="B27331"/>
      <c r="C27331"/>
      <c r="E27331"/>
      <c r="F27331"/>
    </row>
    <row r="27332" spans="1:6" x14ac:dyDescent="0.25">
      <c r="A27332"/>
      <c r="B27332"/>
      <c r="C27332"/>
      <c r="E27332"/>
      <c r="F27332"/>
    </row>
    <row r="27333" spans="1:6" x14ac:dyDescent="0.25">
      <c r="A27333"/>
      <c r="B27333"/>
      <c r="C27333"/>
      <c r="E27333"/>
      <c r="F27333"/>
    </row>
    <row r="27334" spans="1:6" x14ac:dyDescent="0.25">
      <c r="A27334"/>
      <c r="B27334"/>
      <c r="C27334"/>
      <c r="E27334"/>
      <c r="F27334"/>
    </row>
    <row r="27335" spans="1:6" x14ac:dyDescent="0.25">
      <c r="A27335"/>
      <c r="B27335"/>
      <c r="C27335"/>
      <c r="E27335"/>
      <c r="F27335"/>
    </row>
    <row r="27336" spans="1:6" x14ac:dyDescent="0.25">
      <c r="A27336"/>
      <c r="B27336"/>
      <c r="C27336"/>
      <c r="E27336"/>
      <c r="F27336"/>
    </row>
    <row r="27337" spans="1:6" x14ac:dyDescent="0.25">
      <c r="A27337"/>
      <c r="B27337"/>
      <c r="C27337"/>
      <c r="E27337"/>
      <c r="F27337"/>
    </row>
    <row r="27338" spans="1:6" x14ac:dyDescent="0.25">
      <c r="A27338"/>
      <c r="B27338"/>
      <c r="C27338"/>
      <c r="E27338"/>
      <c r="F27338"/>
    </row>
    <row r="27339" spans="1:6" x14ac:dyDescent="0.25">
      <c r="A27339"/>
      <c r="B27339"/>
      <c r="C27339"/>
      <c r="E27339"/>
      <c r="F27339"/>
    </row>
    <row r="27340" spans="1:6" x14ac:dyDescent="0.25">
      <c r="A27340"/>
      <c r="B27340"/>
      <c r="C27340"/>
      <c r="E27340"/>
      <c r="F27340"/>
    </row>
    <row r="27341" spans="1:6" x14ac:dyDescent="0.25">
      <c r="A27341"/>
      <c r="B27341"/>
      <c r="C27341"/>
      <c r="E27341"/>
      <c r="F27341"/>
    </row>
    <row r="27342" spans="1:6" x14ac:dyDescent="0.25">
      <c r="A27342"/>
      <c r="B27342"/>
      <c r="C27342"/>
      <c r="E27342"/>
      <c r="F27342"/>
    </row>
    <row r="27343" spans="1:6" x14ac:dyDescent="0.25">
      <c r="A27343"/>
      <c r="B27343"/>
      <c r="C27343"/>
      <c r="E27343"/>
      <c r="F27343"/>
    </row>
    <row r="27344" spans="1:6" x14ac:dyDescent="0.25">
      <c r="A27344"/>
      <c r="B27344"/>
      <c r="C27344"/>
      <c r="E27344"/>
      <c r="F27344"/>
    </row>
    <row r="27345" spans="1:6" x14ac:dyDescent="0.25">
      <c r="A27345"/>
      <c r="B27345"/>
      <c r="C27345"/>
      <c r="E27345"/>
      <c r="F27345"/>
    </row>
    <row r="27346" spans="1:6" x14ac:dyDescent="0.25">
      <c r="A27346"/>
      <c r="B27346"/>
      <c r="C27346"/>
      <c r="E27346"/>
      <c r="F27346"/>
    </row>
    <row r="27347" spans="1:6" x14ac:dyDescent="0.25">
      <c r="A27347"/>
      <c r="B27347"/>
      <c r="C27347"/>
      <c r="E27347"/>
      <c r="F27347"/>
    </row>
    <row r="27348" spans="1:6" x14ac:dyDescent="0.25">
      <c r="A27348"/>
      <c r="B27348"/>
      <c r="C27348"/>
      <c r="E27348"/>
      <c r="F27348"/>
    </row>
    <row r="27349" spans="1:6" x14ac:dyDescent="0.25">
      <c r="A27349"/>
      <c r="B27349"/>
      <c r="C27349"/>
      <c r="E27349"/>
      <c r="F27349"/>
    </row>
    <row r="27350" spans="1:6" x14ac:dyDescent="0.25">
      <c r="A27350"/>
      <c r="B27350"/>
      <c r="C27350"/>
      <c r="E27350"/>
      <c r="F27350"/>
    </row>
    <row r="27351" spans="1:6" x14ac:dyDescent="0.25">
      <c r="A27351"/>
      <c r="B27351"/>
      <c r="C27351"/>
      <c r="E27351"/>
      <c r="F27351"/>
    </row>
    <row r="27352" spans="1:6" x14ac:dyDescent="0.25">
      <c r="A27352"/>
      <c r="B27352"/>
      <c r="C27352"/>
      <c r="E27352"/>
      <c r="F27352"/>
    </row>
    <row r="27353" spans="1:6" x14ac:dyDescent="0.25">
      <c r="A27353"/>
      <c r="B27353"/>
      <c r="C27353"/>
      <c r="E27353"/>
      <c r="F27353"/>
    </row>
    <row r="27354" spans="1:6" x14ac:dyDescent="0.25">
      <c r="A27354"/>
      <c r="B27354"/>
      <c r="C27354"/>
      <c r="E27354"/>
      <c r="F27354"/>
    </row>
    <row r="27355" spans="1:6" x14ac:dyDescent="0.25">
      <c r="A27355"/>
      <c r="B27355"/>
      <c r="C27355"/>
      <c r="E27355"/>
      <c r="F27355"/>
    </row>
    <row r="27356" spans="1:6" x14ac:dyDescent="0.25">
      <c r="A27356"/>
      <c r="B27356"/>
      <c r="C27356"/>
      <c r="E27356"/>
      <c r="F27356"/>
    </row>
    <row r="27357" spans="1:6" x14ac:dyDescent="0.25">
      <c r="A27357"/>
      <c r="B27357"/>
      <c r="C27357"/>
      <c r="E27357"/>
      <c r="F27357"/>
    </row>
    <row r="27358" spans="1:6" x14ac:dyDescent="0.25">
      <c r="A27358"/>
      <c r="B27358"/>
      <c r="C27358"/>
      <c r="E27358"/>
      <c r="F27358"/>
    </row>
    <row r="27359" spans="1:6" x14ac:dyDescent="0.25">
      <c r="A27359"/>
      <c r="B27359"/>
      <c r="C27359"/>
      <c r="E27359"/>
      <c r="F27359"/>
    </row>
    <row r="27360" spans="1:6" x14ac:dyDescent="0.25">
      <c r="A27360"/>
      <c r="B27360"/>
      <c r="C27360"/>
      <c r="E27360"/>
      <c r="F27360"/>
    </row>
    <row r="27361" spans="1:6" x14ac:dyDescent="0.25">
      <c r="A27361"/>
      <c r="B27361"/>
      <c r="C27361"/>
      <c r="E27361"/>
      <c r="F27361"/>
    </row>
    <row r="27362" spans="1:6" x14ac:dyDescent="0.25">
      <c r="A27362"/>
      <c r="B27362"/>
      <c r="C27362"/>
      <c r="E27362"/>
      <c r="F27362"/>
    </row>
    <row r="27363" spans="1:6" x14ac:dyDescent="0.25">
      <c r="A27363"/>
      <c r="B27363"/>
      <c r="C27363"/>
      <c r="E27363"/>
      <c r="F27363"/>
    </row>
    <row r="27364" spans="1:6" x14ac:dyDescent="0.25">
      <c r="A27364"/>
      <c r="B27364"/>
      <c r="C27364"/>
      <c r="E27364"/>
      <c r="F27364"/>
    </row>
    <row r="27365" spans="1:6" x14ac:dyDescent="0.25">
      <c r="A27365"/>
      <c r="B27365"/>
      <c r="C27365"/>
      <c r="E27365"/>
      <c r="F27365"/>
    </row>
    <row r="27366" spans="1:6" x14ac:dyDescent="0.25">
      <c r="A27366"/>
      <c r="B27366"/>
      <c r="C27366"/>
      <c r="E27366"/>
      <c r="F27366"/>
    </row>
    <row r="27367" spans="1:6" x14ac:dyDescent="0.25">
      <c r="A27367"/>
      <c r="B27367"/>
      <c r="C27367"/>
      <c r="E27367"/>
      <c r="F27367"/>
    </row>
    <row r="27368" spans="1:6" x14ac:dyDescent="0.25">
      <c r="A27368"/>
      <c r="B27368"/>
      <c r="C27368"/>
      <c r="E27368"/>
      <c r="F27368"/>
    </row>
    <row r="27369" spans="1:6" x14ac:dyDescent="0.25">
      <c r="A27369"/>
      <c r="B27369"/>
      <c r="C27369"/>
      <c r="E27369"/>
      <c r="F27369"/>
    </row>
    <row r="27370" spans="1:6" x14ac:dyDescent="0.25">
      <c r="A27370"/>
      <c r="B27370"/>
      <c r="C27370"/>
      <c r="E27370"/>
      <c r="F27370"/>
    </row>
    <row r="27371" spans="1:6" x14ac:dyDescent="0.25">
      <c r="A27371"/>
      <c r="B27371"/>
      <c r="C27371"/>
      <c r="E27371"/>
      <c r="F27371"/>
    </row>
    <row r="27372" spans="1:6" x14ac:dyDescent="0.25">
      <c r="A27372"/>
      <c r="B27372"/>
      <c r="C27372"/>
      <c r="E27372"/>
      <c r="F27372"/>
    </row>
    <row r="27373" spans="1:6" x14ac:dyDescent="0.25">
      <c r="A27373"/>
      <c r="B27373"/>
      <c r="C27373"/>
      <c r="E27373"/>
      <c r="F27373"/>
    </row>
    <row r="27374" spans="1:6" x14ac:dyDescent="0.25">
      <c r="A27374"/>
      <c r="B27374"/>
      <c r="C27374"/>
      <c r="E27374"/>
      <c r="F27374"/>
    </row>
    <row r="27375" spans="1:6" x14ac:dyDescent="0.25">
      <c r="A27375"/>
      <c r="B27375"/>
      <c r="C27375"/>
      <c r="E27375"/>
      <c r="F27375"/>
    </row>
    <row r="27376" spans="1:6" x14ac:dyDescent="0.25">
      <c r="A27376"/>
      <c r="B27376"/>
      <c r="C27376"/>
      <c r="E27376"/>
      <c r="F27376"/>
    </row>
    <row r="27377" spans="1:6" x14ac:dyDescent="0.25">
      <c r="A27377"/>
      <c r="B27377"/>
      <c r="C27377"/>
      <c r="E27377"/>
      <c r="F27377"/>
    </row>
    <row r="27378" spans="1:6" x14ac:dyDescent="0.25">
      <c r="A27378"/>
      <c r="B27378"/>
      <c r="C27378"/>
      <c r="E27378"/>
      <c r="F27378"/>
    </row>
    <row r="27379" spans="1:6" x14ac:dyDescent="0.25">
      <c r="A27379"/>
      <c r="B27379"/>
      <c r="C27379"/>
      <c r="E27379"/>
      <c r="F27379"/>
    </row>
    <row r="27380" spans="1:6" x14ac:dyDescent="0.25">
      <c r="A27380"/>
      <c r="B27380"/>
      <c r="C27380"/>
      <c r="E27380"/>
      <c r="F27380"/>
    </row>
    <row r="27381" spans="1:6" x14ac:dyDescent="0.25">
      <c r="A27381"/>
      <c r="B27381"/>
      <c r="C27381"/>
      <c r="E27381"/>
      <c r="F27381"/>
    </row>
    <row r="27382" spans="1:6" x14ac:dyDescent="0.25">
      <c r="A27382"/>
      <c r="B27382"/>
      <c r="C27382"/>
      <c r="E27382"/>
      <c r="F27382"/>
    </row>
    <row r="27383" spans="1:6" x14ac:dyDescent="0.25">
      <c r="A27383"/>
      <c r="B27383"/>
      <c r="C27383"/>
      <c r="E27383"/>
      <c r="F27383"/>
    </row>
    <row r="27384" spans="1:6" x14ac:dyDescent="0.25">
      <c r="A27384"/>
      <c r="B27384"/>
      <c r="C27384"/>
      <c r="E27384"/>
      <c r="F27384"/>
    </row>
    <row r="27385" spans="1:6" x14ac:dyDescent="0.25">
      <c r="A27385"/>
      <c r="B27385"/>
      <c r="C27385"/>
      <c r="E27385"/>
      <c r="F27385"/>
    </row>
    <row r="27386" spans="1:6" x14ac:dyDescent="0.25">
      <c r="A27386"/>
      <c r="B27386"/>
      <c r="C27386"/>
      <c r="E27386"/>
      <c r="F27386"/>
    </row>
    <row r="27387" spans="1:6" x14ac:dyDescent="0.25">
      <c r="A27387"/>
      <c r="B27387"/>
      <c r="C27387"/>
      <c r="E27387"/>
      <c r="F27387"/>
    </row>
    <row r="27388" spans="1:6" x14ac:dyDescent="0.25">
      <c r="A27388"/>
      <c r="B27388"/>
      <c r="C27388"/>
      <c r="E27388"/>
      <c r="F27388"/>
    </row>
    <row r="27389" spans="1:6" x14ac:dyDescent="0.25">
      <c r="A27389"/>
      <c r="B27389"/>
      <c r="C27389"/>
      <c r="E27389"/>
      <c r="F27389"/>
    </row>
    <row r="27390" spans="1:6" x14ac:dyDescent="0.25">
      <c r="A27390"/>
      <c r="B27390"/>
      <c r="C27390"/>
      <c r="E27390"/>
      <c r="F27390"/>
    </row>
    <row r="27391" spans="1:6" x14ac:dyDescent="0.25">
      <c r="A27391"/>
      <c r="B27391"/>
      <c r="C27391"/>
      <c r="E27391"/>
      <c r="F27391"/>
    </row>
    <row r="27392" spans="1:6" x14ac:dyDescent="0.25">
      <c r="A27392"/>
      <c r="B27392"/>
      <c r="C27392"/>
      <c r="E27392"/>
      <c r="F27392"/>
    </row>
    <row r="27393" spans="1:6" x14ac:dyDescent="0.25">
      <c r="A27393"/>
      <c r="B27393"/>
      <c r="C27393"/>
      <c r="E27393"/>
      <c r="F27393"/>
    </row>
    <row r="27394" spans="1:6" x14ac:dyDescent="0.25">
      <c r="A27394"/>
      <c r="B27394"/>
      <c r="C27394"/>
      <c r="E27394"/>
      <c r="F27394"/>
    </row>
    <row r="27395" spans="1:6" x14ac:dyDescent="0.25">
      <c r="A27395"/>
      <c r="B27395"/>
      <c r="C27395"/>
      <c r="E27395"/>
      <c r="F27395"/>
    </row>
    <row r="27396" spans="1:6" x14ac:dyDescent="0.25">
      <c r="A27396"/>
      <c r="B27396"/>
      <c r="C27396"/>
      <c r="E27396"/>
      <c r="F27396"/>
    </row>
    <row r="27397" spans="1:6" x14ac:dyDescent="0.25">
      <c r="A27397"/>
      <c r="B27397"/>
      <c r="C27397"/>
      <c r="E27397"/>
      <c r="F27397"/>
    </row>
    <row r="27398" spans="1:6" x14ac:dyDescent="0.25">
      <c r="A27398"/>
      <c r="B27398"/>
      <c r="C27398"/>
      <c r="E27398"/>
      <c r="F27398"/>
    </row>
    <row r="27399" spans="1:6" x14ac:dyDescent="0.25">
      <c r="A27399"/>
      <c r="B27399"/>
      <c r="C27399"/>
      <c r="E27399"/>
      <c r="F27399"/>
    </row>
    <row r="27400" spans="1:6" x14ac:dyDescent="0.25">
      <c r="A27400"/>
      <c r="B27400"/>
      <c r="C27400"/>
      <c r="E27400"/>
      <c r="F27400"/>
    </row>
    <row r="27401" spans="1:6" x14ac:dyDescent="0.25">
      <c r="A27401"/>
      <c r="B27401"/>
      <c r="C27401"/>
      <c r="E27401"/>
      <c r="F27401"/>
    </row>
    <row r="27402" spans="1:6" x14ac:dyDescent="0.25">
      <c r="A27402"/>
      <c r="B27402"/>
      <c r="C27402"/>
      <c r="E27402"/>
      <c r="F27402"/>
    </row>
    <row r="27403" spans="1:6" x14ac:dyDescent="0.25">
      <c r="A27403"/>
      <c r="B27403"/>
      <c r="C27403"/>
      <c r="E27403"/>
      <c r="F27403"/>
    </row>
    <row r="27404" spans="1:6" x14ac:dyDescent="0.25">
      <c r="A27404"/>
      <c r="B27404"/>
      <c r="C27404"/>
      <c r="E27404"/>
      <c r="F27404"/>
    </row>
    <row r="27405" spans="1:6" x14ac:dyDescent="0.25">
      <c r="A27405"/>
      <c r="B27405"/>
      <c r="C27405"/>
      <c r="E27405"/>
      <c r="F27405"/>
    </row>
    <row r="27406" spans="1:6" x14ac:dyDescent="0.25">
      <c r="A27406"/>
      <c r="B27406"/>
      <c r="C27406"/>
      <c r="E27406"/>
      <c r="F27406"/>
    </row>
    <row r="27407" spans="1:6" x14ac:dyDescent="0.25">
      <c r="A27407"/>
      <c r="B27407"/>
      <c r="C27407"/>
      <c r="E27407"/>
      <c r="F27407"/>
    </row>
    <row r="27408" spans="1:6" x14ac:dyDescent="0.25">
      <c r="A27408"/>
      <c r="B27408"/>
      <c r="C27408"/>
      <c r="E27408"/>
      <c r="F27408"/>
    </row>
    <row r="27409" spans="1:6" x14ac:dyDescent="0.25">
      <c r="A27409"/>
      <c r="B27409"/>
      <c r="C27409"/>
      <c r="E27409"/>
      <c r="F27409"/>
    </row>
    <row r="27410" spans="1:6" x14ac:dyDescent="0.25">
      <c r="A27410"/>
      <c r="B27410"/>
      <c r="C27410"/>
      <c r="E27410"/>
      <c r="F27410"/>
    </row>
    <row r="27411" spans="1:6" x14ac:dyDescent="0.25">
      <c r="A27411"/>
      <c r="B27411"/>
      <c r="C27411"/>
      <c r="E27411"/>
      <c r="F27411"/>
    </row>
    <row r="27412" spans="1:6" x14ac:dyDescent="0.25">
      <c r="A27412"/>
      <c r="B27412"/>
      <c r="C27412"/>
      <c r="E27412"/>
      <c r="F27412"/>
    </row>
    <row r="27413" spans="1:6" x14ac:dyDescent="0.25">
      <c r="A27413"/>
      <c r="B27413"/>
      <c r="C27413"/>
      <c r="E27413"/>
      <c r="F27413"/>
    </row>
    <row r="27414" spans="1:6" x14ac:dyDescent="0.25">
      <c r="A27414"/>
      <c r="B27414"/>
      <c r="C27414"/>
      <c r="E27414"/>
      <c r="F27414"/>
    </row>
    <row r="27415" spans="1:6" x14ac:dyDescent="0.25">
      <c r="A27415"/>
      <c r="B27415"/>
      <c r="C27415"/>
      <c r="E27415"/>
      <c r="F27415"/>
    </row>
    <row r="27416" spans="1:6" x14ac:dyDescent="0.25">
      <c r="A27416"/>
      <c r="B27416"/>
      <c r="C27416"/>
      <c r="E27416"/>
      <c r="F27416"/>
    </row>
    <row r="27417" spans="1:6" x14ac:dyDescent="0.25">
      <c r="A27417"/>
      <c r="B27417"/>
      <c r="C27417"/>
      <c r="E27417"/>
      <c r="F27417"/>
    </row>
    <row r="27418" spans="1:6" x14ac:dyDescent="0.25">
      <c r="A27418"/>
      <c r="B27418"/>
      <c r="C27418"/>
      <c r="E27418"/>
      <c r="F27418"/>
    </row>
    <row r="27419" spans="1:6" x14ac:dyDescent="0.25">
      <c r="A27419"/>
      <c r="B27419"/>
      <c r="C27419"/>
      <c r="E27419"/>
      <c r="F27419"/>
    </row>
    <row r="27420" spans="1:6" x14ac:dyDescent="0.25">
      <c r="A27420"/>
      <c r="B27420"/>
      <c r="C27420"/>
      <c r="E27420"/>
      <c r="F27420"/>
    </row>
    <row r="27421" spans="1:6" x14ac:dyDescent="0.25">
      <c r="A27421"/>
      <c r="B27421"/>
      <c r="C27421"/>
      <c r="E27421"/>
      <c r="F27421"/>
    </row>
    <row r="27422" spans="1:6" x14ac:dyDescent="0.25">
      <c r="A27422"/>
      <c r="B27422"/>
      <c r="C27422"/>
      <c r="E27422"/>
      <c r="F27422"/>
    </row>
    <row r="27423" spans="1:6" x14ac:dyDescent="0.25">
      <c r="A27423"/>
      <c r="B27423"/>
      <c r="C27423"/>
      <c r="E27423"/>
      <c r="F27423"/>
    </row>
    <row r="27424" spans="1:6" x14ac:dyDescent="0.25">
      <c r="A27424"/>
      <c r="B27424"/>
      <c r="C27424"/>
      <c r="E27424"/>
      <c r="F27424"/>
    </row>
    <row r="27425" spans="1:6" x14ac:dyDescent="0.25">
      <c r="A27425"/>
      <c r="B27425"/>
      <c r="C27425"/>
      <c r="E27425"/>
      <c r="F27425"/>
    </row>
    <row r="27426" spans="1:6" x14ac:dyDescent="0.25">
      <c r="A27426"/>
      <c r="B27426"/>
      <c r="C27426"/>
      <c r="E27426"/>
      <c r="F27426"/>
    </row>
    <row r="27427" spans="1:6" x14ac:dyDescent="0.25">
      <c r="A27427"/>
      <c r="B27427"/>
      <c r="C27427"/>
      <c r="E27427"/>
      <c r="F27427"/>
    </row>
    <row r="27428" spans="1:6" x14ac:dyDescent="0.25">
      <c r="A27428"/>
      <c r="B27428"/>
      <c r="C27428"/>
      <c r="E27428"/>
      <c r="F27428"/>
    </row>
    <row r="27429" spans="1:6" x14ac:dyDescent="0.25">
      <c r="A27429"/>
      <c r="B27429"/>
      <c r="C27429"/>
      <c r="E27429"/>
      <c r="F27429"/>
    </row>
    <row r="27430" spans="1:6" x14ac:dyDescent="0.25">
      <c r="A27430"/>
      <c r="B27430"/>
      <c r="C27430"/>
      <c r="E27430"/>
      <c r="F27430"/>
    </row>
    <row r="27431" spans="1:6" x14ac:dyDescent="0.25">
      <c r="A27431"/>
      <c r="B27431"/>
      <c r="C27431"/>
      <c r="E27431"/>
      <c r="F27431"/>
    </row>
    <row r="27432" spans="1:6" x14ac:dyDescent="0.25">
      <c r="A27432"/>
      <c r="B27432"/>
      <c r="C27432"/>
      <c r="E27432"/>
      <c r="F27432"/>
    </row>
    <row r="27433" spans="1:6" x14ac:dyDescent="0.25">
      <c r="A27433"/>
      <c r="B27433"/>
      <c r="C27433"/>
      <c r="E27433"/>
      <c r="F27433"/>
    </row>
    <row r="27434" spans="1:6" x14ac:dyDescent="0.25">
      <c r="A27434"/>
      <c r="B27434"/>
      <c r="C27434"/>
      <c r="E27434"/>
      <c r="F27434"/>
    </row>
    <row r="27435" spans="1:6" x14ac:dyDescent="0.25">
      <c r="A27435"/>
      <c r="B27435"/>
      <c r="C27435"/>
      <c r="E27435"/>
      <c r="F27435"/>
    </row>
    <row r="27436" spans="1:6" x14ac:dyDescent="0.25">
      <c r="A27436"/>
      <c r="B27436"/>
      <c r="C27436"/>
      <c r="E27436"/>
      <c r="F27436"/>
    </row>
    <row r="27437" spans="1:6" x14ac:dyDescent="0.25">
      <c r="A27437"/>
      <c r="B27437"/>
      <c r="C27437"/>
      <c r="E27437"/>
      <c r="F27437"/>
    </row>
    <row r="27438" spans="1:6" x14ac:dyDescent="0.25">
      <c r="A27438"/>
      <c r="B27438"/>
      <c r="C27438"/>
      <c r="E27438"/>
      <c r="F27438"/>
    </row>
    <row r="27439" spans="1:6" x14ac:dyDescent="0.25">
      <c r="A27439"/>
      <c r="B27439"/>
      <c r="C27439"/>
      <c r="E27439"/>
      <c r="F27439"/>
    </row>
    <row r="27440" spans="1:6" x14ac:dyDescent="0.25">
      <c r="A27440"/>
      <c r="B27440"/>
      <c r="C27440"/>
      <c r="E27440"/>
      <c r="F27440"/>
    </row>
    <row r="27441" spans="1:6" x14ac:dyDescent="0.25">
      <c r="A27441"/>
      <c r="B27441"/>
      <c r="C27441"/>
      <c r="E27441"/>
      <c r="F27441"/>
    </row>
    <row r="27442" spans="1:6" x14ac:dyDescent="0.25">
      <c r="A27442"/>
      <c r="B27442"/>
      <c r="C27442"/>
      <c r="E27442"/>
      <c r="F27442"/>
    </row>
    <row r="27443" spans="1:6" x14ac:dyDescent="0.25">
      <c r="A27443"/>
      <c r="B27443"/>
      <c r="C27443"/>
      <c r="E27443"/>
      <c r="F27443"/>
    </row>
    <row r="27444" spans="1:6" x14ac:dyDescent="0.25">
      <c r="A27444"/>
      <c r="B27444"/>
      <c r="C27444"/>
      <c r="E27444"/>
      <c r="F27444"/>
    </row>
    <row r="27445" spans="1:6" x14ac:dyDescent="0.25">
      <c r="A27445"/>
      <c r="B27445"/>
      <c r="C27445"/>
      <c r="E27445"/>
      <c r="F27445"/>
    </row>
    <row r="27446" spans="1:6" x14ac:dyDescent="0.25">
      <c r="A27446"/>
      <c r="B27446"/>
      <c r="C27446"/>
      <c r="E27446"/>
      <c r="F27446"/>
    </row>
    <row r="27447" spans="1:6" x14ac:dyDescent="0.25">
      <c r="A27447"/>
      <c r="B27447"/>
      <c r="C27447"/>
      <c r="E27447"/>
      <c r="F27447"/>
    </row>
    <row r="27448" spans="1:6" x14ac:dyDescent="0.25">
      <c r="A27448"/>
      <c r="B27448"/>
      <c r="C27448"/>
      <c r="E27448"/>
      <c r="F27448"/>
    </row>
    <row r="27449" spans="1:6" x14ac:dyDescent="0.25">
      <c r="A27449"/>
      <c r="B27449"/>
      <c r="C27449"/>
      <c r="E27449"/>
      <c r="F27449"/>
    </row>
    <row r="27450" spans="1:6" x14ac:dyDescent="0.25">
      <c r="A27450"/>
      <c r="B27450"/>
      <c r="C27450"/>
      <c r="E27450"/>
      <c r="F27450"/>
    </row>
    <row r="27451" spans="1:6" x14ac:dyDescent="0.25">
      <c r="A27451"/>
      <c r="B27451"/>
      <c r="C27451"/>
      <c r="E27451"/>
      <c r="F27451"/>
    </row>
    <row r="27452" spans="1:6" x14ac:dyDescent="0.25">
      <c r="A27452"/>
      <c r="B27452"/>
      <c r="C27452"/>
      <c r="E27452"/>
      <c r="F27452"/>
    </row>
    <row r="27453" spans="1:6" x14ac:dyDescent="0.25">
      <c r="A27453"/>
      <c r="B27453"/>
      <c r="C27453"/>
      <c r="E27453"/>
      <c r="F27453"/>
    </row>
    <row r="27454" spans="1:6" x14ac:dyDescent="0.25">
      <c r="A27454"/>
      <c r="B27454"/>
      <c r="C27454"/>
      <c r="E27454"/>
      <c r="F27454"/>
    </row>
    <row r="27455" spans="1:6" x14ac:dyDescent="0.25">
      <c r="A27455"/>
      <c r="B27455"/>
      <c r="C27455"/>
      <c r="E27455"/>
      <c r="F27455"/>
    </row>
    <row r="27456" spans="1:6" x14ac:dyDescent="0.25">
      <c r="A27456"/>
      <c r="B27456"/>
      <c r="C27456"/>
      <c r="E27456"/>
      <c r="F27456"/>
    </row>
    <row r="27457" spans="1:6" x14ac:dyDescent="0.25">
      <c r="A27457"/>
      <c r="B27457"/>
      <c r="C27457"/>
      <c r="E27457"/>
      <c r="F27457"/>
    </row>
    <row r="27458" spans="1:6" x14ac:dyDescent="0.25">
      <c r="A27458"/>
      <c r="B27458"/>
      <c r="C27458"/>
      <c r="E27458"/>
      <c r="F27458"/>
    </row>
    <row r="27459" spans="1:6" x14ac:dyDescent="0.25">
      <c r="A27459"/>
      <c r="B27459"/>
      <c r="C27459"/>
      <c r="E27459"/>
      <c r="F27459"/>
    </row>
    <row r="27460" spans="1:6" x14ac:dyDescent="0.25">
      <c r="A27460"/>
      <c r="B27460"/>
      <c r="C27460"/>
      <c r="E27460"/>
      <c r="F27460"/>
    </row>
    <row r="27461" spans="1:6" x14ac:dyDescent="0.25">
      <c r="A27461"/>
      <c r="B27461"/>
      <c r="C27461"/>
      <c r="E27461"/>
      <c r="F27461"/>
    </row>
    <row r="27462" spans="1:6" x14ac:dyDescent="0.25">
      <c r="A27462"/>
      <c r="B27462"/>
      <c r="C27462"/>
      <c r="E27462"/>
      <c r="F27462"/>
    </row>
    <row r="27463" spans="1:6" x14ac:dyDescent="0.25">
      <c r="A27463"/>
      <c r="B27463"/>
      <c r="C27463"/>
      <c r="E27463"/>
      <c r="F27463"/>
    </row>
    <row r="27464" spans="1:6" x14ac:dyDescent="0.25">
      <c r="A27464"/>
      <c r="B27464"/>
      <c r="C27464"/>
      <c r="E27464"/>
      <c r="F27464"/>
    </row>
    <row r="27465" spans="1:6" x14ac:dyDescent="0.25">
      <c r="A27465"/>
      <c r="B27465"/>
      <c r="C27465"/>
      <c r="E27465"/>
      <c r="F27465"/>
    </row>
    <row r="27466" spans="1:6" x14ac:dyDescent="0.25">
      <c r="A27466"/>
      <c r="B27466"/>
      <c r="C27466"/>
      <c r="E27466"/>
      <c r="F27466"/>
    </row>
    <row r="27467" spans="1:6" x14ac:dyDescent="0.25">
      <c r="A27467"/>
      <c r="B27467"/>
      <c r="C27467"/>
      <c r="E27467"/>
      <c r="F27467"/>
    </row>
    <row r="27468" spans="1:6" x14ac:dyDescent="0.25">
      <c r="A27468"/>
      <c r="B27468"/>
      <c r="C27468"/>
      <c r="E27468"/>
      <c r="F27468"/>
    </row>
    <row r="27469" spans="1:6" x14ac:dyDescent="0.25">
      <c r="A27469"/>
      <c r="B27469"/>
      <c r="C27469"/>
      <c r="E27469"/>
      <c r="F27469"/>
    </row>
    <row r="27470" spans="1:6" x14ac:dyDescent="0.25">
      <c r="A27470"/>
      <c r="B27470"/>
      <c r="C27470"/>
      <c r="E27470"/>
      <c r="F27470"/>
    </row>
    <row r="27471" spans="1:6" x14ac:dyDescent="0.25">
      <c r="A27471"/>
      <c r="B27471"/>
      <c r="C27471"/>
      <c r="E27471"/>
      <c r="F27471"/>
    </row>
    <row r="27472" spans="1:6" x14ac:dyDescent="0.25">
      <c r="A27472"/>
      <c r="B27472"/>
      <c r="C27472"/>
      <c r="E27472"/>
      <c r="F27472"/>
    </row>
    <row r="27473" spans="1:6" x14ac:dyDescent="0.25">
      <c r="A27473"/>
      <c r="B27473"/>
      <c r="C27473"/>
      <c r="E27473"/>
      <c r="F27473"/>
    </row>
    <row r="27474" spans="1:6" x14ac:dyDescent="0.25">
      <c r="A27474"/>
      <c r="B27474"/>
      <c r="C27474"/>
      <c r="E27474"/>
      <c r="F27474"/>
    </row>
    <row r="27475" spans="1:6" x14ac:dyDescent="0.25">
      <c r="A27475"/>
      <c r="B27475"/>
      <c r="C27475"/>
      <c r="E27475"/>
      <c r="F27475"/>
    </row>
    <row r="27476" spans="1:6" x14ac:dyDescent="0.25">
      <c r="A27476"/>
      <c r="B27476"/>
      <c r="C27476"/>
      <c r="E27476"/>
      <c r="F27476"/>
    </row>
    <row r="27477" spans="1:6" x14ac:dyDescent="0.25">
      <c r="A27477"/>
      <c r="B27477"/>
      <c r="C27477"/>
      <c r="E27477"/>
      <c r="F27477"/>
    </row>
    <row r="27478" spans="1:6" x14ac:dyDescent="0.25">
      <c r="A27478"/>
      <c r="B27478"/>
      <c r="C27478"/>
      <c r="E27478"/>
      <c r="F27478"/>
    </row>
    <row r="27479" spans="1:6" x14ac:dyDescent="0.25">
      <c r="A27479"/>
      <c r="B27479"/>
      <c r="C27479"/>
      <c r="E27479"/>
      <c r="F27479"/>
    </row>
    <row r="27480" spans="1:6" x14ac:dyDescent="0.25">
      <c r="A27480"/>
      <c r="B27480"/>
      <c r="C27480"/>
      <c r="E27480"/>
      <c r="F27480"/>
    </row>
    <row r="27481" spans="1:6" x14ac:dyDescent="0.25">
      <c r="A27481"/>
      <c r="B27481"/>
      <c r="C27481"/>
      <c r="E27481"/>
      <c r="F27481"/>
    </row>
    <row r="27482" spans="1:6" x14ac:dyDescent="0.25">
      <c r="A27482"/>
      <c r="B27482"/>
      <c r="C27482"/>
      <c r="E27482"/>
      <c r="F27482"/>
    </row>
    <row r="27483" spans="1:6" x14ac:dyDescent="0.25">
      <c r="A27483"/>
      <c r="B27483"/>
      <c r="C27483"/>
      <c r="E27483"/>
      <c r="F27483"/>
    </row>
    <row r="27484" spans="1:6" x14ac:dyDescent="0.25">
      <c r="A27484"/>
      <c r="B27484"/>
      <c r="C27484"/>
      <c r="E27484"/>
      <c r="F27484"/>
    </row>
    <row r="27485" spans="1:6" x14ac:dyDescent="0.25">
      <c r="A27485"/>
      <c r="B27485"/>
      <c r="C27485"/>
      <c r="E27485"/>
      <c r="F27485"/>
    </row>
    <row r="27486" spans="1:6" x14ac:dyDescent="0.25">
      <c r="A27486"/>
      <c r="B27486"/>
      <c r="C27486"/>
      <c r="E27486"/>
      <c r="F27486"/>
    </row>
    <row r="27487" spans="1:6" x14ac:dyDescent="0.25">
      <c r="A27487"/>
      <c r="B27487"/>
      <c r="C27487"/>
      <c r="E27487"/>
      <c r="F27487"/>
    </row>
    <row r="27488" spans="1:6" x14ac:dyDescent="0.25">
      <c r="A27488"/>
      <c r="B27488"/>
      <c r="C27488"/>
      <c r="E27488"/>
      <c r="F27488"/>
    </row>
    <row r="27489" spans="1:6" x14ac:dyDescent="0.25">
      <c r="A27489"/>
      <c r="B27489"/>
      <c r="C27489"/>
      <c r="E27489"/>
      <c r="F27489"/>
    </row>
    <row r="27490" spans="1:6" x14ac:dyDescent="0.25">
      <c r="A27490"/>
      <c r="B27490"/>
      <c r="C27490"/>
      <c r="E27490"/>
      <c r="F27490"/>
    </row>
    <row r="27491" spans="1:6" x14ac:dyDescent="0.25">
      <c r="A27491"/>
      <c r="B27491"/>
      <c r="C27491"/>
      <c r="E27491"/>
      <c r="F27491"/>
    </row>
    <row r="27492" spans="1:6" x14ac:dyDescent="0.25">
      <c r="A27492"/>
      <c r="B27492"/>
      <c r="C27492"/>
      <c r="E27492"/>
      <c r="F27492"/>
    </row>
    <row r="27493" spans="1:6" x14ac:dyDescent="0.25">
      <c r="A27493"/>
      <c r="B27493"/>
      <c r="C27493"/>
      <c r="E27493"/>
      <c r="F27493"/>
    </row>
    <row r="27494" spans="1:6" x14ac:dyDescent="0.25">
      <c r="A27494"/>
      <c r="B27494"/>
      <c r="C27494"/>
      <c r="E27494"/>
      <c r="F27494"/>
    </row>
    <row r="27495" spans="1:6" x14ac:dyDescent="0.25">
      <c r="A27495"/>
      <c r="B27495"/>
      <c r="C27495"/>
      <c r="E27495"/>
      <c r="F27495"/>
    </row>
    <row r="27496" spans="1:6" x14ac:dyDescent="0.25">
      <c r="A27496"/>
      <c r="B27496"/>
      <c r="C27496"/>
      <c r="E27496"/>
      <c r="F27496"/>
    </row>
    <row r="27497" spans="1:6" x14ac:dyDescent="0.25">
      <c r="A27497"/>
      <c r="B27497"/>
      <c r="C27497"/>
      <c r="E27497"/>
      <c r="F27497"/>
    </row>
    <row r="27498" spans="1:6" x14ac:dyDescent="0.25">
      <c r="A27498"/>
      <c r="B27498"/>
      <c r="C27498"/>
      <c r="E27498"/>
      <c r="F27498"/>
    </row>
    <row r="27499" spans="1:6" x14ac:dyDescent="0.25">
      <c r="A27499"/>
      <c r="B27499"/>
      <c r="C27499"/>
      <c r="E27499"/>
      <c r="F27499"/>
    </row>
    <row r="27500" spans="1:6" x14ac:dyDescent="0.25">
      <c r="A27500"/>
      <c r="B27500"/>
      <c r="C27500"/>
      <c r="E27500"/>
      <c r="F27500"/>
    </row>
    <row r="27501" spans="1:6" x14ac:dyDescent="0.25">
      <c r="A27501"/>
      <c r="B27501"/>
      <c r="C27501"/>
      <c r="E27501"/>
      <c r="F27501"/>
    </row>
    <row r="27502" spans="1:6" x14ac:dyDescent="0.25">
      <c r="A27502"/>
      <c r="B27502"/>
      <c r="C27502"/>
      <c r="E27502"/>
      <c r="F27502"/>
    </row>
    <row r="27503" spans="1:6" x14ac:dyDescent="0.25">
      <c r="A27503"/>
      <c r="B27503"/>
      <c r="C27503"/>
      <c r="E27503"/>
      <c r="F27503"/>
    </row>
    <row r="27504" spans="1:6" x14ac:dyDescent="0.25">
      <c r="A27504"/>
      <c r="B27504"/>
      <c r="C27504"/>
      <c r="E27504"/>
      <c r="F27504"/>
    </row>
    <row r="27505" spans="1:6" x14ac:dyDescent="0.25">
      <c r="A27505"/>
      <c r="B27505"/>
      <c r="C27505"/>
      <c r="E27505"/>
      <c r="F27505"/>
    </row>
    <row r="27506" spans="1:6" x14ac:dyDescent="0.25">
      <c r="A27506"/>
      <c r="B27506"/>
      <c r="C27506"/>
      <c r="E27506"/>
      <c r="F27506"/>
    </row>
    <row r="27507" spans="1:6" x14ac:dyDescent="0.25">
      <c r="A27507"/>
      <c r="B27507"/>
      <c r="C27507"/>
      <c r="E27507"/>
      <c r="F27507"/>
    </row>
    <row r="27508" spans="1:6" x14ac:dyDescent="0.25">
      <c r="A27508"/>
      <c r="B27508"/>
      <c r="C27508"/>
      <c r="E27508"/>
      <c r="F27508"/>
    </row>
    <row r="27509" spans="1:6" x14ac:dyDescent="0.25">
      <c r="A27509"/>
      <c r="B27509"/>
      <c r="C27509"/>
      <c r="E27509"/>
      <c r="F27509"/>
    </row>
    <row r="27510" spans="1:6" x14ac:dyDescent="0.25">
      <c r="A27510"/>
      <c r="B27510"/>
      <c r="C27510"/>
      <c r="E27510"/>
      <c r="F27510"/>
    </row>
    <row r="27511" spans="1:6" x14ac:dyDescent="0.25">
      <c r="A27511"/>
      <c r="B27511"/>
      <c r="C27511"/>
      <c r="E27511"/>
      <c r="F27511"/>
    </row>
    <row r="27512" spans="1:6" x14ac:dyDescent="0.25">
      <c r="A27512"/>
      <c r="B27512"/>
      <c r="C27512"/>
      <c r="E27512"/>
      <c r="F27512"/>
    </row>
    <row r="27513" spans="1:6" x14ac:dyDescent="0.25">
      <c r="A27513"/>
      <c r="B27513"/>
      <c r="C27513"/>
      <c r="E27513"/>
      <c r="F27513"/>
    </row>
    <row r="27514" spans="1:6" x14ac:dyDescent="0.25">
      <c r="A27514"/>
      <c r="B27514"/>
      <c r="C27514"/>
      <c r="E27514"/>
      <c r="F27514"/>
    </row>
    <row r="27515" spans="1:6" x14ac:dyDescent="0.25">
      <c r="A27515"/>
      <c r="B27515"/>
      <c r="C27515"/>
      <c r="E27515"/>
      <c r="F27515"/>
    </row>
    <row r="27516" spans="1:6" x14ac:dyDescent="0.25">
      <c r="A27516"/>
      <c r="B27516"/>
      <c r="C27516"/>
      <c r="E27516"/>
      <c r="F27516"/>
    </row>
    <row r="27517" spans="1:6" x14ac:dyDescent="0.25">
      <c r="A27517"/>
      <c r="B27517"/>
      <c r="C27517"/>
      <c r="E27517"/>
      <c r="F27517"/>
    </row>
    <row r="27518" spans="1:6" x14ac:dyDescent="0.25">
      <c r="A27518"/>
      <c r="B27518"/>
      <c r="C27518"/>
      <c r="E27518"/>
      <c r="F27518"/>
    </row>
    <row r="27519" spans="1:6" x14ac:dyDescent="0.25">
      <c r="A27519"/>
      <c r="B27519"/>
      <c r="C27519"/>
      <c r="E27519"/>
      <c r="F27519"/>
    </row>
    <row r="27520" spans="1:6" x14ac:dyDescent="0.25">
      <c r="A27520"/>
      <c r="B27520"/>
      <c r="C27520"/>
      <c r="E27520"/>
      <c r="F27520"/>
    </row>
    <row r="27521" spans="1:6" x14ac:dyDescent="0.25">
      <c r="A27521"/>
      <c r="B27521"/>
      <c r="C27521"/>
      <c r="E27521"/>
      <c r="F27521"/>
    </row>
    <row r="27522" spans="1:6" x14ac:dyDescent="0.25">
      <c r="A27522"/>
      <c r="B27522"/>
      <c r="C27522"/>
      <c r="E27522"/>
      <c r="F27522"/>
    </row>
    <row r="27523" spans="1:6" x14ac:dyDescent="0.25">
      <c r="A27523"/>
      <c r="B27523"/>
      <c r="C27523"/>
      <c r="E27523"/>
      <c r="F27523"/>
    </row>
    <row r="27524" spans="1:6" x14ac:dyDescent="0.25">
      <c r="A27524"/>
      <c r="B27524"/>
      <c r="C27524"/>
      <c r="E27524"/>
      <c r="F27524"/>
    </row>
    <row r="27525" spans="1:6" x14ac:dyDescent="0.25">
      <c r="A27525"/>
      <c r="B27525"/>
      <c r="C27525"/>
      <c r="E27525"/>
      <c r="F27525"/>
    </row>
    <row r="27526" spans="1:6" x14ac:dyDescent="0.25">
      <c r="A27526"/>
      <c r="B27526"/>
      <c r="C27526"/>
      <c r="E27526"/>
      <c r="F27526"/>
    </row>
    <row r="27527" spans="1:6" x14ac:dyDescent="0.25">
      <c r="A27527"/>
      <c r="B27527"/>
      <c r="C27527"/>
      <c r="E27527"/>
      <c r="F27527"/>
    </row>
    <row r="27528" spans="1:6" x14ac:dyDescent="0.25">
      <c r="A27528"/>
      <c r="B27528"/>
      <c r="C27528"/>
      <c r="E27528"/>
      <c r="F27528"/>
    </row>
    <row r="27529" spans="1:6" x14ac:dyDescent="0.25">
      <c r="A27529"/>
      <c r="B27529"/>
      <c r="C27529"/>
      <c r="E27529"/>
      <c r="F27529"/>
    </row>
    <row r="27530" spans="1:6" x14ac:dyDescent="0.25">
      <c r="A27530"/>
      <c r="B27530"/>
      <c r="C27530"/>
      <c r="E27530"/>
      <c r="F27530"/>
    </row>
    <row r="27531" spans="1:6" x14ac:dyDescent="0.25">
      <c r="A27531"/>
      <c r="B27531"/>
      <c r="C27531"/>
      <c r="E27531"/>
      <c r="F27531"/>
    </row>
    <row r="27532" spans="1:6" x14ac:dyDescent="0.25">
      <c r="A27532"/>
      <c r="B27532"/>
      <c r="C27532"/>
      <c r="E27532"/>
      <c r="F27532"/>
    </row>
    <row r="27533" spans="1:6" x14ac:dyDescent="0.25">
      <c r="A27533"/>
      <c r="B27533"/>
      <c r="C27533"/>
      <c r="E27533"/>
      <c r="F27533"/>
    </row>
    <row r="27534" spans="1:6" x14ac:dyDescent="0.25">
      <c r="A27534"/>
      <c r="B27534"/>
      <c r="C27534"/>
      <c r="E27534"/>
      <c r="F27534"/>
    </row>
    <row r="27535" spans="1:6" x14ac:dyDescent="0.25">
      <c r="A27535"/>
      <c r="B27535"/>
      <c r="C27535"/>
      <c r="E27535"/>
      <c r="F27535"/>
    </row>
    <row r="27536" spans="1:6" x14ac:dyDescent="0.25">
      <c r="A27536"/>
      <c r="B27536"/>
      <c r="C27536"/>
      <c r="E27536"/>
      <c r="F27536"/>
    </row>
    <row r="27537" spans="1:6" x14ac:dyDescent="0.25">
      <c r="A27537"/>
      <c r="B27537"/>
      <c r="C27537"/>
      <c r="E27537"/>
      <c r="F27537"/>
    </row>
    <row r="27538" spans="1:6" x14ac:dyDescent="0.25">
      <c r="A27538"/>
      <c r="B27538"/>
      <c r="C27538"/>
      <c r="E27538"/>
      <c r="F27538"/>
    </row>
    <row r="27539" spans="1:6" x14ac:dyDescent="0.25">
      <c r="A27539"/>
      <c r="B27539"/>
      <c r="C27539"/>
      <c r="E27539"/>
      <c r="F27539"/>
    </row>
    <row r="27540" spans="1:6" x14ac:dyDescent="0.25">
      <c r="A27540"/>
      <c r="B27540"/>
      <c r="C27540"/>
      <c r="E27540"/>
      <c r="F27540"/>
    </row>
    <row r="27541" spans="1:6" x14ac:dyDescent="0.25">
      <c r="A27541"/>
      <c r="B27541"/>
      <c r="C27541"/>
      <c r="E27541"/>
      <c r="F27541"/>
    </row>
    <row r="27542" spans="1:6" x14ac:dyDescent="0.25">
      <c r="A27542"/>
      <c r="B27542"/>
      <c r="C27542"/>
      <c r="E27542"/>
      <c r="F27542"/>
    </row>
    <row r="27543" spans="1:6" x14ac:dyDescent="0.25">
      <c r="A27543"/>
      <c r="B27543"/>
      <c r="C27543"/>
      <c r="E27543"/>
      <c r="F27543"/>
    </row>
    <row r="27544" spans="1:6" x14ac:dyDescent="0.25">
      <c r="A27544"/>
      <c r="B27544"/>
      <c r="C27544"/>
      <c r="E27544"/>
      <c r="F27544"/>
    </row>
    <row r="27545" spans="1:6" x14ac:dyDescent="0.25">
      <c r="A27545"/>
      <c r="B27545"/>
      <c r="C27545"/>
      <c r="E27545"/>
      <c r="F27545"/>
    </row>
    <row r="27546" spans="1:6" x14ac:dyDescent="0.25">
      <c r="A27546"/>
      <c r="B27546"/>
      <c r="C27546"/>
      <c r="E27546"/>
      <c r="F27546"/>
    </row>
    <row r="27547" spans="1:6" x14ac:dyDescent="0.25">
      <c r="A27547"/>
      <c r="B27547"/>
      <c r="C27547"/>
      <c r="E27547"/>
      <c r="F27547"/>
    </row>
    <row r="27548" spans="1:6" x14ac:dyDescent="0.25">
      <c r="A27548"/>
      <c r="B27548"/>
      <c r="C27548"/>
      <c r="E27548"/>
      <c r="F27548"/>
    </row>
    <row r="27549" spans="1:6" x14ac:dyDescent="0.25">
      <c r="A27549"/>
      <c r="B27549"/>
      <c r="C27549"/>
      <c r="E27549"/>
      <c r="F27549"/>
    </row>
    <row r="27550" spans="1:6" x14ac:dyDescent="0.25">
      <c r="A27550"/>
      <c r="B27550"/>
      <c r="C27550"/>
      <c r="E27550"/>
      <c r="F27550"/>
    </row>
    <row r="27551" spans="1:6" x14ac:dyDescent="0.25">
      <c r="A27551"/>
      <c r="B27551"/>
      <c r="C27551"/>
      <c r="E27551"/>
      <c r="F27551"/>
    </row>
    <row r="27552" spans="1:6" x14ac:dyDescent="0.25">
      <c r="A27552"/>
      <c r="B27552"/>
      <c r="C27552"/>
      <c r="E27552"/>
      <c r="F27552"/>
    </row>
    <row r="27553" spans="1:6" x14ac:dyDescent="0.25">
      <c r="A27553"/>
      <c r="B27553"/>
      <c r="C27553"/>
      <c r="E27553"/>
      <c r="F27553"/>
    </row>
    <row r="27554" spans="1:6" x14ac:dyDescent="0.25">
      <c r="A27554"/>
      <c r="B27554"/>
      <c r="C27554"/>
      <c r="E27554"/>
      <c r="F27554"/>
    </row>
    <row r="27555" spans="1:6" x14ac:dyDescent="0.25">
      <c r="A27555"/>
      <c r="B27555"/>
      <c r="C27555"/>
      <c r="E27555"/>
      <c r="F27555"/>
    </row>
    <row r="27556" spans="1:6" x14ac:dyDescent="0.25">
      <c r="A27556"/>
      <c r="B27556"/>
      <c r="C27556"/>
      <c r="E27556"/>
      <c r="F27556"/>
    </row>
    <row r="27557" spans="1:6" x14ac:dyDescent="0.25">
      <c r="A27557"/>
      <c r="B27557"/>
      <c r="C27557"/>
      <c r="E27557"/>
      <c r="F27557"/>
    </row>
    <row r="27558" spans="1:6" x14ac:dyDescent="0.25">
      <c r="A27558"/>
      <c r="B27558"/>
      <c r="C27558"/>
      <c r="E27558"/>
      <c r="F27558"/>
    </row>
    <row r="27559" spans="1:6" x14ac:dyDescent="0.25">
      <c r="A27559"/>
      <c r="B27559"/>
      <c r="C27559"/>
      <c r="E27559"/>
      <c r="F27559"/>
    </row>
    <row r="27560" spans="1:6" x14ac:dyDescent="0.25">
      <c r="A27560"/>
      <c r="B27560"/>
      <c r="C27560"/>
      <c r="E27560"/>
      <c r="F27560"/>
    </row>
    <row r="27561" spans="1:6" x14ac:dyDescent="0.25">
      <c r="A27561"/>
      <c r="B27561"/>
      <c r="C27561"/>
      <c r="E27561"/>
      <c r="F27561"/>
    </row>
    <row r="27562" spans="1:6" x14ac:dyDescent="0.25">
      <c r="A27562"/>
      <c r="B27562"/>
      <c r="C27562"/>
      <c r="E27562"/>
      <c r="F27562"/>
    </row>
    <row r="27563" spans="1:6" x14ac:dyDescent="0.25">
      <c r="A27563"/>
      <c r="B27563"/>
      <c r="C27563"/>
      <c r="E27563"/>
      <c r="F27563"/>
    </row>
    <row r="27564" spans="1:6" x14ac:dyDescent="0.25">
      <c r="A27564"/>
      <c r="B27564"/>
      <c r="C27564"/>
      <c r="E27564"/>
      <c r="F27564"/>
    </row>
    <row r="27565" spans="1:6" x14ac:dyDescent="0.25">
      <c r="A27565"/>
      <c r="B27565"/>
      <c r="C27565"/>
      <c r="E27565"/>
      <c r="F27565"/>
    </row>
    <row r="27566" spans="1:6" x14ac:dyDescent="0.25">
      <c r="A27566"/>
      <c r="B27566"/>
      <c r="C27566"/>
      <c r="E27566"/>
      <c r="F27566"/>
    </row>
    <row r="27567" spans="1:6" x14ac:dyDescent="0.25">
      <c r="A27567"/>
      <c r="B27567"/>
      <c r="C27567"/>
      <c r="E27567"/>
      <c r="F27567"/>
    </row>
    <row r="27568" spans="1:6" x14ac:dyDescent="0.25">
      <c r="A27568"/>
      <c r="B27568"/>
      <c r="C27568"/>
      <c r="E27568"/>
      <c r="F27568"/>
    </row>
    <row r="27569" spans="1:6" x14ac:dyDescent="0.25">
      <c r="A27569"/>
      <c r="B27569"/>
      <c r="C27569"/>
      <c r="E27569"/>
      <c r="F27569"/>
    </row>
    <row r="27570" spans="1:6" x14ac:dyDescent="0.25">
      <c r="A27570"/>
      <c r="B27570"/>
      <c r="C27570"/>
      <c r="E27570"/>
      <c r="F27570"/>
    </row>
    <row r="27571" spans="1:6" x14ac:dyDescent="0.25">
      <c r="A27571"/>
      <c r="B27571"/>
      <c r="C27571"/>
      <c r="E27571"/>
      <c r="F27571"/>
    </row>
    <row r="27572" spans="1:6" x14ac:dyDescent="0.25">
      <c r="A27572"/>
      <c r="B27572"/>
      <c r="C27572"/>
      <c r="E27572"/>
      <c r="F27572"/>
    </row>
    <row r="27573" spans="1:6" x14ac:dyDescent="0.25">
      <c r="A27573"/>
      <c r="B27573"/>
      <c r="C27573"/>
      <c r="E27573"/>
      <c r="F27573"/>
    </row>
    <row r="27574" spans="1:6" x14ac:dyDescent="0.25">
      <c r="A27574"/>
      <c r="B27574"/>
      <c r="C27574"/>
      <c r="E27574"/>
      <c r="F27574"/>
    </row>
    <row r="27575" spans="1:6" x14ac:dyDescent="0.25">
      <c r="A27575"/>
      <c r="B27575"/>
      <c r="C27575"/>
      <c r="E27575"/>
      <c r="F27575"/>
    </row>
    <row r="27576" spans="1:6" x14ac:dyDescent="0.25">
      <c r="A27576"/>
      <c r="B27576"/>
      <c r="C27576"/>
      <c r="E27576"/>
      <c r="F27576"/>
    </row>
    <row r="27577" spans="1:6" x14ac:dyDescent="0.25">
      <c r="A27577"/>
      <c r="B27577"/>
      <c r="C27577"/>
      <c r="E27577"/>
      <c r="F27577"/>
    </row>
    <row r="27578" spans="1:6" x14ac:dyDescent="0.25">
      <c r="A27578"/>
      <c r="B27578"/>
      <c r="C27578"/>
      <c r="E27578"/>
      <c r="F27578"/>
    </row>
    <row r="27579" spans="1:6" x14ac:dyDescent="0.25">
      <c r="A27579"/>
      <c r="B27579"/>
      <c r="C27579"/>
      <c r="E27579"/>
      <c r="F27579"/>
    </row>
    <row r="27580" spans="1:6" x14ac:dyDescent="0.25">
      <c r="A27580"/>
      <c r="B27580"/>
      <c r="C27580"/>
      <c r="E27580"/>
      <c r="F27580"/>
    </row>
    <row r="27581" spans="1:6" x14ac:dyDescent="0.25">
      <c r="A27581"/>
      <c r="B27581"/>
      <c r="C27581"/>
      <c r="E27581"/>
      <c r="F27581"/>
    </row>
    <row r="27582" spans="1:6" x14ac:dyDescent="0.25">
      <c r="A27582"/>
      <c r="B27582"/>
      <c r="C27582"/>
      <c r="E27582"/>
      <c r="F27582"/>
    </row>
    <row r="27583" spans="1:6" x14ac:dyDescent="0.25">
      <c r="A27583"/>
      <c r="B27583"/>
      <c r="C27583"/>
      <c r="E27583"/>
      <c r="F27583"/>
    </row>
    <row r="27584" spans="1:6" x14ac:dyDescent="0.25">
      <c r="A27584"/>
      <c r="B27584"/>
      <c r="C27584"/>
      <c r="E27584"/>
      <c r="F27584"/>
    </row>
    <row r="27585" spans="1:6" x14ac:dyDescent="0.25">
      <c r="A27585"/>
      <c r="B27585"/>
      <c r="C27585"/>
      <c r="E27585"/>
      <c r="F27585"/>
    </row>
    <row r="27586" spans="1:6" x14ac:dyDescent="0.25">
      <c r="A27586"/>
      <c r="B27586"/>
      <c r="C27586"/>
      <c r="E27586"/>
      <c r="F27586"/>
    </row>
    <row r="27587" spans="1:6" x14ac:dyDescent="0.25">
      <c r="A27587"/>
      <c r="B27587"/>
      <c r="C27587"/>
      <c r="E27587"/>
      <c r="F27587"/>
    </row>
    <row r="27588" spans="1:6" x14ac:dyDescent="0.25">
      <c r="A27588"/>
      <c r="B27588"/>
      <c r="C27588"/>
      <c r="E27588"/>
      <c r="F27588"/>
    </row>
    <row r="27589" spans="1:6" x14ac:dyDescent="0.25">
      <c r="A27589"/>
      <c r="B27589"/>
      <c r="C27589"/>
      <c r="E27589"/>
      <c r="F27589"/>
    </row>
    <row r="27590" spans="1:6" x14ac:dyDescent="0.25">
      <c r="A27590"/>
      <c r="B27590"/>
      <c r="C27590"/>
      <c r="E27590"/>
      <c r="F27590"/>
    </row>
    <row r="27591" spans="1:6" x14ac:dyDescent="0.25">
      <c r="A27591"/>
      <c r="B27591"/>
      <c r="C27591"/>
      <c r="E27591"/>
      <c r="F27591"/>
    </row>
    <row r="27592" spans="1:6" x14ac:dyDescent="0.25">
      <c r="A27592"/>
      <c r="B27592"/>
      <c r="C27592"/>
      <c r="E27592"/>
      <c r="F27592"/>
    </row>
    <row r="27593" spans="1:6" x14ac:dyDescent="0.25">
      <c r="A27593"/>
      <c r="B27593"/>
      <c r="C27593"/>
      <c r="E27593"/>
      <c r="F27593"/>
    </row>
    <row r="27594" spans="1:6" x14ac:dyDescent="0.25">
      <c r="A27594"/>
      <c r="B27594"/>
      <c r="C27594"/>
      <c r="E27594"/>
      <c r="F27594"/>
    </row>
    <row r="27595" spans="1:6" x14ac:dyDescent="0.25">
      <c r="A27595"/>
      <c r="B27595"/>
      <c r="C27595"/>
      <c r="E27595"/>
      <c r="F27595"/>
    </row>
    <row r="27596" spans="1:6" x14ac:dyDescent="0.25">
      <c r="A27596"/>
      <c r="B27596"/>
      <c r="C27596"/>
      <c r="E27596"/>
      <c r="F27596"/>
    </row>
    <row r="27597" spans="1:6" x14ac:dyDescent="0.25">
      <c r="A27597"/>
      <c r="B27597"/>
      <c r="C27597"/>
      <c r="E27597"/>
      <c r="F27597"/>
    </row>
    <row r="27598" spans="1:6" x14ac:dyDescent="0.25">
      <c r="A27598"/>
      <c r="B27598"/>
      <c r="C27598"/>
      <c r="E27598"/>
      <c r="F27598"/>
    </row>
    <row r="27599" spans="1:6" x14ac:dyDescent="0.25">
      <c r="A27599"/>
      <c r="B27599"/>
      <c r="C27599"/>
      <c r="E27599"/>
      <c r="F27599"/>
    </row>
    <row r="27600" spans="1:6" x14ac:dyDescent="0.25">
      <c r="A27600"/>
      <c r="B27600"/>
      <c r="C27600"/>
      <c r="E27600"/>
      <c r="F27600"/>
    </row>
    <row r="27601" spans="1:6" x14ac:dyDescent="0.25">
      <c r="A27601"/>
      <c r="B27601"/>
      <c r="C27601"/>
      <c r="E27601"/>
      <c r="F27601"/>
    </row>
    <row r="27602" spans="1:6" x14ac:dyDescent="0.25">
      <c r="A27602"/>
      <c r="B27602"/>
      <c r="C27602"/>
      <c r="E27602"/>
      <c r="F27602"/>
    </row>
    <row r="27603" spans="1:6" x14ac:dyDescent="0.25">
      <c r="A27603"/>
      <c r="B27603"/>
      <c r="C27603"/>
      <c r="E27603"/>
      <c r="F27603"/>
    </row>
    <row r="27604" spans="1:6" x14ac:dyDescent="0.25">
      <c r="A27604"/>
      <c r="B27604"/>
      <c r="C27604"/>
      <c r="E27604"/>
      <c r="F27604"/>
    </row>
    <row r="27605" spans="1:6" x14ac:dyDescent="0.25">
      <c r="A27605"/>
      <c r="B27605"/>
      <c r="C27605"/>
      <c r="E27605"/>
      <c r="F27605"/>
    </row>
    <row r="27606" spans="1:6" x14ac:dyDescent="0.25">
      <c r="A27606"/>
      <c r="B27606"/>
      <c r="C27606"/>
      <c r="E27606"/>
      <c r="F27606"/>
    </row>
    <row r="27607" spans="1:6" x14ac:dyDescent="0.25">
      <c r="A27607"/>
      <c r="B27607"/>
      <c r="C27607"/>
      <c r="E27607"/>
      <c r="F27607"/>
    </row>
    <row r="27608" spans="1:6" x14ac:dyDescent="0.25">
      <c r="A27608"/>
      <c r="B27608"/>
      <c r="C27608"/>
      <c r="E27608"/>
      <c r="F27608"/>
    </row>
    <row r="27609" spans="1:6" x14ac:dyDescent="0.25">
      <c r="A27609"/>
      <c r="B27609"/>
      <c r="C27609"/>
      <c r="E27609"/>
      <c r="F27609"/>
    </row>
    <row r="27610" spans="1:6" x14ac:dyDescent="0.25">
      <c r="A27610"/>
      <c r="B27610"/>
      <c r="C27610"/>
      <c r="E27610"/>
      <c r="F27610"/>
    </row>
    <row r="27611" spans="1:6" x14ac:dyDescent="0.25">
      <c r="A27611"/>
      <c r="B27611"/>
      <c r="C27611"/>
      <c r="E27611"/>
      <c r="F27611"/>
    </row>
    <row r="27612" spans="1:6" x14ac:dyDescent="0.25">
      <c r="A27612"/>
      <c r="B27612"/>
      <c r="C27612"/>
      <c r="E27612"/>
      <c r="F27612"/>
    </row>
    <row r="27613" spans="1:6" x14ac:dyDescent="0.25">
      <c r="A27613"/>
      <c r="B27613"/>
      <c r="C27613"/>
      <c r="E27613"/>
      <c r="F27613"/>
    </row>
    <row r="27614" spans="1:6" x14ac:dyDescent="0.25">
      <c r="A27614"/>
      <c r="B27614"/>
      <c r="C27614"/>
      <c r="E27614"/>
      <c r="F27614"/>
    </row>
    <row r="27615" spans="1:6" x14ac:dyDescent="0.25">
      <c r="A27615"/>
      <c r="B27615"/>
      <c r="C27615"/>
      <c r="E27615"/>
      <c r="F27615"/>
    </row>
    <row r="27616" spans="1:6" x14ac:dyDescent="0.25">
      <c r="A27616"/>
      <c r="B27616"/>
      <c r="C27616"/>
      <c r="E27616"/>
      <c r="F27616"/>
    </row>
    <row r="27617" spans="1:6" x14ac:dyDescent="0.25">
      <c r="A27617"/>
      <c r="B27617"/>
      <c r="C27617"/>
      <c r="E27617"/>
      <c r="F27617"/>
    </row>
    <row r="27618" spans="1:6" x14ac:dyDescent="0.25">
      <c r="A27618"/>
      <c r="B27618"/>
      <c r="C27618"/>
      <c r="E27618"/>
      <c r="F27618"/>
    </row>
    <row r="27619" spans="1:6" x14ac:dyDescent="0.25">
      <c r="A27619"/>
      <c r="B27619"/>
      <c r="C27619"/>
      <c r="E27619"/>
      <c r="F27619"/>
    </row>
    <row r="27620" spans="1:6" x14ac:dyDescent="0.25">
      <c r="A27620"/>
      <c r="B27620"/>
      <c r="C27620"/>
      <c r="E27620"/>
      <c r="F27620"/>
    </row>
    <row r="27621" spans="1:6" x14ac:dyDescent="0.25">
      <c r="A27621"/>
      <c r="B27621"/>
      <c r="C27621"/>
      <c r="E27621"/>
      <c r="F27621"/>
    </row>
    <row r="27622" spans="1:6" x14ac:dyDescent="0.25">
      <c r="A27622"/>
      <c r="B27622"/>
      <c r="C27622"/>
      <c r="E27622"/>
      <c r="F27622"/>
    </row>
    <row r="27623" spans="1:6" x14ac:dyDescent="0.25">
      <c r="A27623"/>
      <c r="B27623"/>
      <c r="C27623"/>
      <c r="E27623"/>
      <c r="F27623"/>
    </row>
    <row r="27624" spans="1:6" x14ac:dyDescent="0.25">
      <c r="A27624"/>
      <c r="B27624"/>
      <c r="C27624"/>
      <c r="E27624"/>
      <c r="F27624"/>
    </row>
    <row r="27625" spans="1:6" x14ac:dyDescent="0.25">
      <c r="A27625"/>
      <c r="B27625"/>
      <c r="C27625"/>
      <c r="E27625"/>
      <c r="F27625"/>
    </row>
    <row r="27626" spans="1:6" x14ac:dyDescent="0.25">
      <c r="A27626"/>
      <c r="B27626"/>
      <c r="C27626"/>
      <c r="E27626"/>
      <c r="F27626"/>
    </row>
    <row r="27627" spans="1:6" x14ac:dyDescent="0.25">
      <c r="A27627"/>
      <c r="B27627"/>
      <c r="C27627"/>
      <c r="E27627"/>
      <c r="F27627"/>
    </row>
    <row r="27628" spans="1:6" x14ac:dyDescent="0.25">
      <c r="A27628"/>
      <c r="B27628"/>
      <c r="C27628"/>
      <c r="E27628"/>
      <c r="F27628"/>
    </row>
    <row r="27629" spans="1:6" x14ac:dyDescent="0.25">
      <c r="A27629"/>
      <c r="B27629"/>
      <c r="C27629"/>
      <c r="E27629"/>
      <c r="F27629"/>
    </row>
    <row r="27630" spans="1:6" x14ac:dyDescent="0.25">
      <c r="A27630"/>
      <c r="B27630"/>
      <c r="C27630"/>
      <c r="E27630"/>
      <c r="F27630"/>
    </row>
    <row r="27631" spans="1:6" x14ac:dyDescent="0.25">
      <c r="A27631"/>
      <c r="B27631"/>
      <c r="C27631"/>
      <c r="E27631"/>
      <c r="F27631"/>
    </row>
    <row r="27632" spans="1:6" x14ac:dyDescent="0.25">
      <c r="A27632"/>
      <c r="B27632"/>
      <c r="C27632"/>
      <c r="E27632"/>
      <c r="F27632"/>
    </row>
    <row r="27633" spans="1:6" x14ac:dyDescent="0.25">
      <c r="A27633"/>
      <c r="B27633"/>
      <c r="C27633"/>
      <c r="E27633"/>
      <c r="F27633"/>
    </row>
    <row r="27634" spans="1:6" x14ac:dyDescent="0.25">
      <c r="A27634"/>
      <c r="B27634"/>
      <c r="C27634"/>
      <c r="E27634"/>
      <c r="F27634"/>
    </row>
    <row r="27635" spans="1:6" x14ac:dyDescent="0.25">
      <c r="A27635"/>
      <c r="B27635"/>
      <c r="C27635"/>
      <c r="E27635"/>
      <c r="F27635"/>
    </row>
    <row r="27636" spans="1:6" x14ac:dyDescent="0.25">
      <c r="A27636"/>
      <c r="B27636"/>
      <c r="C27636"/>
      <c r="E27636"/>
      <c r="F27636"/>
    </row>
    <row r="27637" spans="1:6" x14ac:dyDescent="0.25">
      <c r="A27637"/>
      <c r="B27637"/>
      <c r="C27637"/>
      <c r="E27637"/>
      <c r="F27637"/>
    </row>
    <row r="27638" spans="1:6" x14ac:dyDescent="0.25">
      <c r="A27638"/>
      <c r="B27638"/>
      <c r="C27638"/>
      <c r="E27638"/>
      <c r="F27638"/>
    </row>
    <row r="27639" spans="1:6" x14ac:dyDescent="0.25">
      <c r="A27639"/>
      <c r="B27639"/>
      <c r="C27639"/>
      <c r="E27639"/>
      <c r="F27639"/>
    </row>
    <row r="27640" spans="1:6" x14ac:dyDescent="0.25">
      <c r="A27640"/>
      <c r="B27640"/>
      <c r="C27640"/>
      <c r="E27640"/>
      <c r="F27640"/>
    </row>
    <row r="27641" spans="1:6" x14ac:dyDescent="0.25">
      <c r="A27641"/>
      <c r="B27641"/>
      <c r="C27641"/>
      <c r="E27641"/>
      <c r="F27641"/>
    </row>
    <row r="27642" spans="1:6" x14ac:dyDescent="0.25">
      <c r="A27642"/>
      <c r="B27642"/>
      <c r="C27642"/>
      <c r="E27642"/>
      <c r="F27642"/>
    </row>
    <row r="27643" spans="1:6" x14ac:dyDescent="0.25">
      <c r="A27643"/>
      <c r="B27643"/>
      <c r="C27643"/>
      <c r="E27643"/>
      <c r="F27643"/>
    </row>
    <row r="27644" spans="1:6" x14ac:dyDescent="0.25">
      <c r="A27644"/>
      <c r="B27644"/>
      <c r="C27644"/>
      <c r="E27644"/>
      <c r="F27644"/>
    </row>
    <row r="27645" spans="1:6" x14ac:dyDescent="0.25">
      <c r="A27645"/>
      <c r="B27645"/>
      <c r="C27645"/>
      <c r="E27645"/>
      <c r="F27645"/>
    </row>
    <row r="27646" spans="1:6" x14ac:dyDescent="0.25">
      <c r="A27646"/>
      <c r="B27646"/>
      <c r="C27646"/>
      <c r="E27646"/>
      <c r="F27646"/>
    </row>
    <row r="27647" spans="1:6" x14ac:dyDescent="0.25">
      <c r="A27647"/>
      <c r="B27647"/>
      <c r="C27647"/>
      <c r="E27647"/>
      <c r="F27647"/>
    </row>
    <row r="27648" spans="1:6" x14ac:dyDescent="0.25">
      <c r="A27648"/>
      <c r="B27648"/>
      <c r="C27648"/>
      <c r="E27648"/>
      <c r="F27648"/>
    </row>
    <row r="27649" spans="1:6" x14ac:dyDescent="0.25">
      <c r="A27649"/>
      <c r="B27649"/>
      <c r="C27649"/>
      <c r="E27649"/>
      <c r="F27649"/>
    </row>
    <row r="27650" spans="1:6" x14ac:dyDescent="0.25">
      <c r="A27650"/>
      <c r="B27650"/>
      <c r="C27650"/>
      <c r="E27650"/>
      <c r="F27650"/>
    </row>
    <row r="27651" spans="1:6" x14ac:dyDescent="0.25">
      <c r="A27651"/>
      <c r="B27651"/>
      <c r="C27651"/>
      <c r="E27651"/>
      <c r="F27651"/>
    </row>
    <row r="27652" spans="1:6" x14ac:dyDescent="0.25">
      <c r="A27652"/>
      <c r="B27652"/>
      <c r="C27652"/>
      <c r="E27652"/>
      <c r="F27652"/>
    </row>
    <row r="27653" spans="1:6" x14ac:dyDescent="0.25">
      <c r="A27653"/>
      <c r="B27653"/>
      <c r="C27653"/>
      <c r="E27653"/>
      <c r="F27653"/>
    </row>
    <row r="27654" spans="1:6" x14ac:dyDescent="0.25">
      <c r="A27654"/>
      <c r="B27654"/>
      <c r="C27654"/>
      <c r="E27654"/>
      <c r="F27654"/>
    </row>
    <row r="27655" spans="1:6" x14ac:dyDescent="0.25">
      <c r="A27655"/>
      <c r="B27655"/>
      <c r="C27655"/>
      <c r="E27655"/>
      <c r="F27655"/>
    </row>
    <row r="27656" spans="1:6" x14ac:dyDescent="0.25">
      <c r="A27656"/>
      <c r="B27656"/>
      <c r="C27656"/>
      <c r="E27656"/>
      <c r="F27656"/>
    </row>
    <row r="27657" spans="1:6" x14ac:dyDescent="0.25">
      <c r="A27657"/>
      <c r="B27657"/>
      <c r="C27657"/>
      <c r="E27657"/>
      <c r="F27657"/>
    </row>
    <row r="27658" spans="1:6" x14ac:dyDescent="0.25">
      <c r="A27658"/>
      <c r="B27658"/>
      <c r="C27658"/>
      <c r="E27658"/>
      <c r="F27658"/>
    </row>
    <row r="27659" spans="1:6" x14ac:dyDescent="0.25">
      <c r="A27659"/>
      <c r="B27659"/>
      <c r="C27659"/>
      <c r="E27659"/>
      <c r="F27659"/>
    </row>
    <row r="27660" spans="1:6" x14ac:dyDescent="0.25">
      <c r="A27660"/>
      <c r="B27660"/>
      <c r="C27660"/>
      <c r="E27660"/>
      <c r="F27660"/>
    </row>
    <row r="27661" spans="1:6" x14ac:dyDescent="0.25">
      <c r="A27661"/>
      <c r="B27661"/>
      <c r="C27661"/>
      <c r="E27661"/>
      <c r="F27661"/>
    </row>
    <row r="27662" spans="1:6" x14ac:dyDescent="0.25">
      <c r="A27662"/>
      <c r="B27662"/>
      <c r="C27662"/>
      <c r="E27662"/>
      <c r="F27662"/>
    </row>
    <row r="27663" spans="1:6" x14ac:dyDescent="0.25">
      <c r="A27663"/>
      <c r="B27663"/>
      <c r="C27663"/>
      <c r="E27663"/>
      <c r="F27663"/>
    </row>
    <row r="27664" spans="1:6" x14ac:dyDescent="0.25">
      <c r="A27664"/>
      <c r="B27664"/>
      <c r="C27664"/>
      <c r="E27664"/>
      <c r="F27664"/>
    </row>
    <row r="27665" spans="1:6" x14ac:dyDescent="0.25">
      <c r="A27665"/>
      <c r="B27665"/>
      <c r="C27665"/>
      <c r="E27665"/>
      <c r="F27665"/>
    </row>
    <row r="27666" spans="1:6" x14ac:dyDescent="0.25">
      <c r="A27666"/>
      <c r="B27666"/>
      <c r="C27666"/>
      <c r="E27666"/>
      <c r="F27666"/>
    </row>
    <row r="27667" spans="1:6" x14ac:dyDescent="0.25">
      <c r="A27667"/>
      <c r="B27667"/>
      <c r="C27667"/>
      <c r="E27667"/>
      <c r="F27667"/>
    </row>
    <row r="27668" spans="1:6" x14ac:dyDescent="0.25">
      <c r="A27668"/>
      <c r="B27668"/>
      <c r="C27668"/>
      <c r="E27668"/>
      <c r="F27668"/>
    </row>
    <row r="27669" spans="1:6" x14ac:dyDescent="0.25">
      <c r="A27669"/>
      <c r="B27669"/>
      <c r="C27669"/>
      <c r="E27669"/>
      <c r="F27669"/>
    </row>
    <row r="27670" spans="1:6" x14ac:dyDescent="0.25">
      <c r="A27670"/>
      <c r="B27670"/>
      <c r="C27670"/>
      <c r="E27670"/>
      <c r="F27670"/>
    </row>
    <row r="27671" spans="1:6" x14ac:dyDescent="0.25">
      <c r="A27671"/>
      <c r="B27671"/>
      <c r="C27671"/>
      <c r="E27671"/>
      <c r="F27671"/>
    </row>
    <row r="27672" spans="1:6" x14ac:dyDescent="0.25">
      <c r="A27672"/>
      <c r="B27672"/>
      <c r="C27672"/>
      <c r="E27672"/>
      <c r="F27672"/>
    </row>
    <row r="27673" spans="1:6" x14ac:dyDescent="0.25">
      <c r="A27673"/>
      <c r="B27673"/>
      <c r="C27673"/>
      <c r="E27673"/>
      <c r="F27673"/>
    </row>
    <row r="27674" spans="1:6" x14ac:dyDescent="0.25">
      <c r="A27674"/>
      <c r="B27674"/>
      <c r="C27674"/>
      <c r="E27674"/>
      <c r="F27674"/>
    </row>
    <row r="27675" spans="1:6" x14ac:dyDescent="0.25">
      <c r="A27675"/>
      <c r="B27675"/>
      <c r="C27675"/>
      <c r="E27675"/>
      <c r="F27675"/>
    </row>
    <row r="27676" spans="1:6" x14ac:dyDescent="0.25">
      <c r="A27676"/>
      <c r="B27676"/>
      <c r="C27676"/>
      <c r="E27676"/>
      <c r="F27676"/>
    </row>
    <row r="27677" spans="1:6" x14ac:dyDescent="0.25">
      <c r="A27677"/>
      <c r="B27677"/>
      <c r="C27677"/>
      <c r="E27677"/>
      <c r="F27677"/>
    </row>
    <row r="27678" spans="1:6" x14ac:dyDescent="0.25">
      <c r="A27678"/>
      <c r="B27678"/>
      <c r="C27678"/>
      <c r="E27678"/>
      <c r="F27678"/>
    </row>
    <row r="27679" spans="1:6" x14ac:dyDescent="0.25">
      <c r="A27679"/>
      <c r="B27679"/>
      <c r="C27679"/>
      <c r="E27679"/>
      <c r="F27679"/>
    </row>
    <row r="27680" spans="1:6" x14ac:dyDescent="0.25">
      <c r="A27680"/>
      <c r="B27680"/>
      <c r="C27680"/>
      <c r="E27680"/>
      <c r="F27680"/>
    </row>
    <row r="27681" spans="1:6" x14ac:dyDescent="0.25">
      <c r="A27681"/>
      <c r="B27681"/>
      <c r="C27681"/>
      <c r="E27681"/>
      <c r="F27681"/>
    </row>
    <row r="27682" spans="1:6" x14ac:dyDescent="0.25">
      <c r="A27682"/>
      <c r="B27682"/>
      <c r="C27682"/>
      <c r="E27682"/>
      <c r="F27682"/>
    </row>
    <row r="27683" spans="1:6" x14ac:dyDescent="0.25">
      <c r="A27683"/>
      <c r="B27683"/>
      <c r="C27683"/>
      <c r="E27683"/>
      <c r="F27683"/>
    </row>
    <row r="27684" spans="1:6" x14ac:dyDescent="0.25">
      <c r="A27684"/>
      <c r="B27684"/>
      <c r="C27684"/>
      <c r="E27684"/>
      <c r="F27684"/>
    </row>
    <row r="27685" spans="1:6" x14ac:dyDescent="0.25">
      <c r="A27685"/>
      <c r="B27685"/>
      <c r="C27685"/>
      <c r="E27685"/>
      <c r="F27685"/>
    </row>
    <row r="27686" spans="1:6" x14ac:dyDescent="0.25">
      <c r="A27686"/>
      <c r="B27686"/>
      <c r="C27686"/>
      <c r="E27686"/>
      <c r="F27686"/>
    </row>
    <row r="27687" spans="1:6" x14ac:dyDescent="0.25">
      <c r="A27687"/>
      <c r="B27687"/>
      <c r="C27687"/>
      <c r="E27687"/>
      <c r="F27687"/>
    </row>
    <row r="27688" spans="1:6" x14ac:dyDescent="0.25">
      <c r="A27688"/>
      <c r="B27688"/>
      <c r="C27688"/>
      <c r="E27688"/>
      <c r="F27688"/>
    </row>
    <row r="27689" spans="1:6" x14ac:dyDescent="0.25">
      <c r="A27689"/>
      <c r="B27689"/>
      <c r="C27689"/>
      <c r="E27689"/>
      <c r="F27689"/>
    </row>
    <row r="27690" spans="1:6" x14ac:dyDescent="0.25">
      <c r="A27690"/>
      <c r="B27690"/>
      <c r="C27690"/>
      <c r="E27690"/>
      <c r="F27690"/>
    </row>
    <row r="27691" spans="1:6" x14ac:dyDescent="0.25">
      <c r="A27691"/>
      <c r="B27691"/>
      <c r="C27691"/>
      <c r="E27691"/>
      <c r="F27691"/>
    </row>
    <row r="27692" spans="1:6" x14ac:dyDescent="0.25">
      <c r="A27692"/>
      <c r="B27692"/>
      <c r="C27692"/>
      <c r="E27692"/>
      <c r="F27692"/>
    </row>
    <row r="27693" spans="1:6" x14ac:dyDescent="0.25">
      <c r="A27693"/>
      <c r="B27693"/>
      <c r="C27693"/>
      <c r="E27693"/>
      <c r="F27693"/>
    </row>
    <row r="27694" spans="1:6" x14ac:dyDescent="0.25">
      <c r="A27694"/>
      <c r="B27694"/>
      <c r="C27694"/>
      <c r="E27694"/>
      <c r="F27694"/>
    </row>
    <row r="27695" spans="1:6" x14ac:dyDescent="0.25">
      <c r="A27695"/>
      <c r="B27695"/>
      <c r="C27695"/>
      <c r="E27695"/>
      <c r="F27695"/>
    </row>
    <row r="27696" spans="1:6" x14ac:dyDescent="0.25">
      <c r="A27696"/>
      <c r="B27696"/>
      <c r="C27696"/>
      <c r="E27696"/>
      <c r="F27696"/>
    </row>
    <row r="27697" spans="1:6" x14ac:dyDescent="0.25">
      <c r="A27697"/>
      <c r="B27697"/>
      <c r="C27697"/>
      <c r="E27697"/>
      <c r="F27697"/>
    </row>
    <row r="27698" spans="1:6" x14ac:dyDescent="0.25">
      <c r="A27698"/>
      <c r="B27698"/>
      <c r="C27698"/>
      <c r="E27698"/>
      <c r="F27698"/>
    </row>
    <row r="27699" spans="1:6" x14ac:dyDescent="0.25">
      <c r="A27699"/>
      <c r="B27699"/>
      <c r="C27699"/>
      <c r="E27699"/>
      <c r="F27699"/>
    </row>
    <row r="27700" spans="1:6" x14ac:dyDescent="0.25">
      <c r="A27700"/>
      <c r="B27700"/>
      <c r="C27700"/>
      <c r="E27700"/>
      <c r="F27700"/>
    </row>
    <row r="27701" spans="1:6" x14ac:dyDescent="0.25">
      <c r="A27701"/>
      <c r="B27701"/>
      <c r="C27701"/>
      <c r="E27701"/>
      <c r="F27701"/>
    </row>
    <row r="27702" spans="1:6" x14ac:dyDescent="0.25">
      <c r="A27702"/>
      <c r="B27702"/>
      <c r="C27702"/>
      <c r="E27702"/>
      <c r="F27702"/>
    </row>
    <row r="27703" spans="1:6" x14ac:dyDescent="0.25">
      <c r="A27703"/>
      <c r="B27703"/>
      <c r="C27703"/>
      <c r="E27703"/>
      <c r="F27703"/>
    </row>
    <row r="27704" spans="1:6" x14ac:dyDescent="0.25">
      <c r="A27704"/>
      <c r="B27704"/>
      <c r="C27704"/>
      <c r="E27704"/>
      <c r="F27704"/>
    </row>
    <row r="27705" spans="1:6" x14ac:dyDescent="0.25">
      <c r="A27705"/>
      <c r="B27705"/>
      <c r="C27705"/>
      <c r="E27705"/>
      <c r="F27705"/>
    </row>
    <row r="27706" spans="1:6" x14ac:dyDescent="0.25">
      <c r="A27706"/>
      <c r="B27706"/>
      <c r="C27706"/>
      <c r="E27706"/>
      <c r="F27706"/>
    </row>
    <row r="27707" spans="1:6" x14ac:dyDescent="0.25">
      <c r="A27707"/>
      <c r="B27707"/>
      <c r="C27707"/>
      <c r="E27707"/>
      <c r="F27707"/>
    </row>
    <row r="27708" spans="1:6" x14ac:dyDescent="0.25">
      <c r="A27708"/>
      <c r="B27708"/>
      <c r="C27708"/>
      <c r="E27708"/>
      <c r="F27708"/>
    </row>
    <row r="27709" spans="1:6" x14ac:dyDescent="0.25">
      <c r="A27709"/>
      <c r="B27709"/>
      <c r="C27709"/>
      <c r="E27709"/>
      <c r="F27709"/>
    </row>
    <row r="27710" spans="1:6" x14ac:dyDescent="0.25">
      <c r="A27710"/>
      <c r="B27710"/>
      <c r="C27710"/>
      <c r="E27710"/>
      <c r="F27710"/>
    </row>
    <row r="27711" spans="1:6" x14ac:dyDescent="0.25">
      <c r="A27711"/>
      <c r="B27711"/>
      <c r="C27711"/>
      <c r="E27711"/>
      <c r="F27711"/>
    </row>
    <row r="27712" spans="1:6" x14ac:dyDescent="0.25">
      <c r="A27712"/>
      <c r="B27712"/>
      <c r="C27712"/>
      <c r="E27712"/>
      <c r="F27712"/>
    </row>
    <row r="27713" spans="1:6" x14ac:dyDescent="0.25">
      <c r="A27713"/>
      <c r="B27713"/>
      <c r="C27713"/>
      <c r="E27713"/>
      <c r="F27713"/>
    </row>
    <row r="27714" spans="1:6" x14ac:dyDescent="0.25">
      <c r="A27714"/>
      <c r="B27714"/>
      <c r="C27714"/>
      <c r="E27714"/>
      <c r="F27714"/>
    </row>
    <row r="27715" spans="1:6" x14ac:dyDescent="0.25">
      <c r="A27715"/>
      <c r="B27715"/>
      <c r="C27715"/>
      <c r="E27715"/>
      <c r="F27715"/>
    </row>
    <row r="27716" spans="1:6" x14ac:dyDescent="0.25">
      <c r="A27716"/>
      <c r="B27716"/>
      <c r="C27716"/>
      <c r="E27716"/>
      <c r="F27716"/>
    </row>
    <row r="27717" spans="1:6" x14ac:dyDescent="0.25">
      <c r="A27717"/>
      <c r="B27717"/>
      <c r="C27717"/>
      <c r="E27717"/>
      <c r="F27717"/>
    </row>
    <row r="27718" spans="1:6" x14ac:dyDescent="0.25">
      <c r="A27718"/>
      <c r="B27718"/>
      <c r="C27718"/>
      <c r="E27718"/>
      <c r="F27718"/>
    </row>
    <row r="27719" spans="1:6" x14ac:dyDescent="0.25">
      <c r="A27719"/>
      <c r="B27719"/>
      <c r="C27719"/>
      <c r="E27719"/>
      <c r="F27719"/>
    </row>
    <row r="27720" spans="1:6" x14ac:dyDescent="0.25">
      <c r="A27720"/>
      <c r="B27720"/>
      <c r="C27720"/>
      <c r="E27720"/>
      <c r="F27720"/>
    </row>
    <row r="27721" spans="1:6" x14ac:dyDescent="0.25">
      <c r="A27721"/>
      <c r="B27721"/>
      <c r="C27721"/>
      <c r="E27721"/>
      <c r="F27721"/>
    </row>
    <row r="27722" spans="1:6" x14ac:dyDescent="0.25">
      <c r="A27722"/>
      <c r="B27722"/>
      <c r="C27722"/>
      <c r="E27722"/>
      <c r="F27722"/>
    </row>
    <row r="27723" spans="1:6" x14ac:dyDescent="0.25">
      <c r="A27723"/>
      <c r="B27723"/>
      <c r="C27723"/>
      <c r="E27723"/>
      <c r="F27723"/>
    </row>
    <row r="27724" spans="1:6" x14ac:dyDescent="0.25">
      <c r="A27724"/>
      <c r="B27724"/>
      <c r="C27724"/>
      <c r="E27724"/>
      <c r="F27724"/>
    </row>
    <row r="27725" spans="1:6" x14ac:dyDescent="0.25">
      <c r="A27725"/>
      <c r="B27725"/>
      <c r="C27725"/>
      <c r="E27725"/>
      <c r="F27725"/>
    </row>
    <row r="27726" spans="1:6" x14ac:dyDescent="0.25">
      <c r="A27726"/>
      <c r="B27726"/>
      <c r="C27726"/>
      <c r="E27726"/>
      <c r="F27726"/>
    </row>
    <row r="27727" spans="1:6" x14ac:dyDescent="0.25">
      <c r="A27727"/>
      <c r="B27727"/>
      <c r="C27727"/>
      <c r="E27727"/>
      <c r="F27727"/>
    </row>
    <row r="27728" spans="1:6" x14ac:dyDescent="0.25">
      <c r="A27728"/>
      <c r="B27728"/>
      <c r="C27728"/>
      <c r="E27728"/>
      <c r="F27728"/>
    </row>
    <row r="27729" spans="1:6" x14ac:dyDescent="0.25">
      <c r="A27729"/>
      <c r="B27729"/>
      <c r="C27729"/>
      <c r="E27729"/>
      <c r="F27729"/>
    </row>
    <row r="27730" spans="1:6" x14ac:dyDescent="0.25">
      <c r="A27730"/>
      <c r="B27730"/>
      <c r="C27730"/>
      <c r="E27730"/>
      <c r="F27730"/>
    </row>
    <row r="27731" spans="1:6" x14ac:dyDescent="0.25">
      <c r="A27731"/>
      <c r="B27731"/>
      <c r="C27731"/>
      <c r="E27731"/>
      <c r="F27731"/>
    </row>
    <row r="27732" spans="1:6" x14ac:dyDescent="0.25">
      <c r="A27732"/>
      <c r="B27732"/>
      <c r="C27732"/>
      <c r="E27732"/>
      <c r="F27732"/>
    </row>
    <row r="27733" spans="1:6" x14ac:dyDescent="0.25">
      <c r="A27733"/>
      <c r="B27733"/>
      <c r="C27733"/>
      <c r="E27733"/>
      <c r="F27733"/>
    </row>
    <row r="27734" spans="1:6" x14ac:dyDescent="0.25">
      <c r="A27734"/>
      <c r="B27734"/>
      <c r="C27734"/>
      <c r="E27734"/>
      <c r="F27734"/>
    </row>
    <row r="27735" spans="1:6" x14ac:dyDescent="0.25">
      <c r="A27735"/>
      <c r="B27735"/>
      <c r="C27735"/>
      <c r="E27735"/>
      <c r="F27735"/>
    </row>
    <row r="27736" spans="1:6" x14ac:dyDescent="0.25">
      <c r="A27736"/>
      <c r="B27736"/>
      <c r="C27736"/>
      <c r="E27736"/>
      <c r="F27736"/>
    </row>
    <row r="27737" spans="1:6" x14ac:dyDescent="0.25">
      <c r="A27737"/>
      <c r="B27737"/>
      <c r="C27737"/>
      <c r="E27737"/>
      <c r="F27737"/>
    </row>
    <row r="27738" spans="1:6" x14ac:dyDescent="0.25">
      <c r="A27738"/>
      <c r="B27738"/>
      <c r="C27738"/>
      <c r="E27738"/>
      <c r="F27738"/>
    </row>
    <row r="27739" spans="1:6" x14ac:dyDescent="0.25">
      <c r="A27739"/>
      <c r="B27739"/>
      <c r="C27739"/>
      <c r="E27739"/>
      <c r="F27739"/>
    </row>
    <row r="27740" spans="1:6" x14ac:dyDescent="0.25">
      <c r="A27740"/>
      <c r="B27740"/>
      <c r="C27740"/>
      <c r="E27740"/>
      <c r="F27740"/>
    </row>
    <row r="27741" spans="1:6" x14ac:dyDescent="0.25">
      <c r="A27741"/>
      <c r="B27741"/>
      <c r="C27741"/>
      <c r="E27741"/>
      <c r="F27741"/>
    </row>
    <row r="27742" spans="1:6" x14ac:dyDescent="0.25">
      <c r="A27742"/>
      <c r="B27742"/>
      <c r="C27742"/>
      <c r="E27742"/>
      <c r="F27742"/>
    </row>
    <row r="27743" spans="1:6" x14ac:dyDescent="0.25">
      <c r="A27743"/>
      <c r="B27743"/>
      <c r="C27743"/>
      <c r="E27743"/>
      <c r="F27743"/>
    </row>
    <row r="27744" spans="1:6" x14ac:dyDescent="0.25">
      <c r="A27744"/>
      <c r="B27744"/>
      <c r="C27744"/>
      <c r="E27744"/>
      <c r="F27744"/>
    </row>
    <row r="27745" spans="1:6" x14ac:dyDescent="0.25">
      <c r="A27745"/>
      <c r="B27745"/>
      <c r="C27745"/>
      <c r="E27745"/>
      <c r="F27745"/>
    </row>
    <row r="27746" spans="1:6" x14ac:dyDescent="0.25">
      <c r="A27746"/>
      <c r="B27746"/>
      <c r="C27746"/>
      <c r="E27746"/>
      <c r="F27746"/>
    </row>
    <row r="27747" spans="1:6" x14ac:dyDescent="0.25">
      <c r="A27747"/>
      <c r="B27747"/>
      <c r="C27747"/>
      <c r="E27747"/>
      <c r="F27747"/>
    </row>
    <row r="27748" spans="1:6" x14ac:dyDescent="0.25">
      <c r="A27748"/>
      <c r="B27748"/>
      <c r="C27748"/>
      <c r="E27748"/>
      <c r="F27748"/>
    </row>
    <row r="27749" spans="1:6" x14ac:dyDescent="0.25">
      <c r="A27749"/>
      <c r="B27749"/>
      <c r="C27749"/>
      <c r="E27749"/>
      <c r="F27749"/>
    </row>
    <row r="27750" spans="1:6" x14ac:dyDescent="0.25">
      <c r="A27750"/>
      <c r="B27750"/>
      <c r="C27750"/>
      <c r="E27750"/>
      <c r="F27750"/>
    </row>
    <row r="27751" spans="1:6" x14ac:dyDescent="0.25">
      <c r="A27751"/>
      <c r="B27751"/>
      <c r="C27751"/>
      <c r="E27751"/>
      <c r="F27751"/>
    </row>
    <row r="27752" spans="1:6" x14ac:dyDescent="0.25">
      <c r="A27752"/>
      <c r="B27752"/>
      <c r="C27752"/>
      <c r="E27752"/>
      <c r="F27752"/>
    </row>
    <row r="27753" spans="1:6" x14ac:dyDescent="0.25">
      <c r="A27753"/>
      <c r="B27753"/>
      <c r="C27753"/>
      <c r="E27753"/>
      <c r="F27753"/>
    </row>
    <row r="27754" spans="1:6" x14ac:dyDescent="0.25">
      <c r="A27754"/>
      <c r="B27754"/>
      <c r="C27754"/>
      <c r="E27754"/>
      <c r="F27754"/>
    </row>
    <row r="27755" spans="1:6" x14ac:dyDescent="0.25">
      <c r="A27755"/>
      <c r="B27755"/>
      <c r="C27755"/>
      <c r="E27755"/>
      <c r="F27755"/>
    </row>
    <row r="27756" spans="1:6" x14ac:dyDescent="0.25">
      <c r="A27756"/>
      <c r="B27756"/>
      <c r="C27756"/>
      <c r="E27756"/>
      <c r="F27756"/>
    </row>
    <row r="27757" spans="1:6" x14ac:dyDescent="0.25">
      <c r="A27757"/>
      <c r="B27757"/>
      <c r="C27757"/>
      <c r="E27757"/>
      <c r="F27757"/>
    </row>
    <row r="27758" spans="1:6" x14ac:dyDescent="0.25">
      <c r="A27758"/>
      <c r="B27758"/>
      <c r="C27758"/>
      <c r="E27758"/>
      <c r="F27758"/>
    </row>
    <row r="27759" spans="1:6" x14ac:dyDescent="0.25">
      <c r="A27759"/>
      <c r="B27759"/>
      <c r="C27759"/>
      <c r="E27759"/>
      <c r="F27759"/>
    </row>
    <row r="27760" spans="1:6" x14ac:dyDescent="0.25">
      <c r="A27760"/>
      <c r="B27760"/>
      <c r="C27760"/>
      <c r="E27760"/>
      <c r="F27760"/>
    </row>
    <row r="27761" spans="1:6" x14ac:dyDescent="0.25">
      <c r="A27761"/>
      <c r="B27761"/>
      <c r="C27761"/>
      <c r="E27761"/>
      <c r="F27761"/>
    </row>
    <row r="27762" spans="1:6" x14ac:dyDescent="0.25">
      <c r="A27762"/>
      <c r="B27762"/>
      <c r="C27762"/>
      <c r="E27762"/>
      <c r="F27762"/>
    </row>
    <row r="27763" spans="1:6" x14ac:dyDescent="0.25">
      <c r="A27763"/>
      <c r="B27763"/>
      <c r="C27763"/>
      <c r="E27763"/>
      <c r="F27763"/>
    </row>
    <row r="27764" spans="1:6" x14ac:dyDescent="0.25">
      <c r="A27764"/>
      <c r="B27764"/>
      <c r="C27764"/>
      <c r="E27764"/>
      <c r="F27764"/>
    </row>
    <row r="27765" spans="1:6" x14ac:dyDescent="0.25">
      <c r="A27765"/>
      <c r="B27765"/>
      <c r="C27765"/>
      <c r="E27765"/>
      <c r="F27765"/>
    </row>
    <row r="27766" spans="1:6" x14ac:dyDescent="0.25">
      <c r="A27766"/>
      <c r="B27766"/>
      <c r="C27766"/>
      <c r="E27766"/>
      <c r="F27766"/>
    </row>
    <row r="27767" spans="1:6" x14ac:dyDescent="0.25">
      <c r="A27767"/>
      <c r="B27767"/>
      <c r="C27767"/>
      <c r="E27767"/>
      <c r="F27767"/>
    </row>
    <row r="27768" spans="1:6" x14ac:dyDescent="0.25">
      <c r="A27768"/>
      <c r="B27768"/>
      <c r="C27768"/>
      <c r="E27768"/>
      <c r="F27768"/>
    </row>
    <row r="27769" spans="1:6" x14ac:dyDescent="0.25">
      <c r="A27769"/>
      <c r="B27769"/>
      <c r="C27769"/>
      <c r="E27769"/>
      <c r="F27769"/>
    </row>
    <row r="27770" spans="1:6" x14ac:dyDescent="0.25">
      <c r="A27770"/>
      <c r="B27770"/>
      <c r="C27770"/>
      <c r="E27770"/>
      <c r="F27770"/>
    </row>
    <row r="27771" spans="1:6" x14ac:dyDescent="0.25">
      <c r="A27771"/>
      <c r="B27771"/>
      <c r="C27771"/>
      <c r="E27771"/>
      <c r="F27771"/>
    </row>
    <row r="27772" spans="1:6" x14ac:dyDescent="0.25">
      <c r="A27772"/>
      <c r="B27772"/>
      <c r="C27772"/>
      <c r="E27772"/>
      <c r="F27772"/>
    </row>
    <row r="27773" spans="1:6" x14ac:dyDescent="0.25">
      <c r="A27773"/>
      <c r="B27773"/>
      <c r="C27773"/>
      <c r="E27773"/>
      <c r="F27773"/>
    </row>
    <row r="27774" spans="1:6" x14ac:dyDescent="0.25">
      <c r="A27774"/>
      <c r="B27774"/>
      <c r="C27774"/>
      <c r="E27774"/>
      <c r="F27774"/>
    </row>
    <row r="27775" spans="1:6" x14ac:dyDescent="0.25">
      <c r="A27775"/>
      <c r="B27775"/>
      <c r="C27775"/>
      <c r="E27775"/>
      <c r="F27775"/>
    </row>
    <row r="27776" spans="1:6" x14ac:dyDescent="0.25">
      <c r="A27776"/>
      <c r="B27776"/>
      <c r="C27776"/>
      <c r="E27776"/>
      <c r="F27776"/>
    </row>
    <row r="27777" spans="1:6" x14ac:dyDescent="0.25">
      <c r="A27777"/>
      <c r="B27777"/>
      <c r="C27777"/>
      <c r="E27777"/>
      <c r="F27777"/>
    </row>
    <row r="27778" spans="1:6" x14ac:dyDescent="0.25">
      <c r="A27778"/>
      <c r="B27778"/>
      <c r="C27778"/>
      <c r="E27778"/>
      <c r="F27778"/>
    </row>
    <row r="27779" spans="1:6" x14ac:dyDescent="0.25">
      <c r="A27779"/>
      <c r="B27779"/>
      <c r="C27779"/>
      <c r="E27779"/>
      <c r="F27779"/>
    </row>
    <row r="27780" spans="1:6" x14ac:dyDescent="0.25">
      <c r="A27780"/>
      <c r="B27780"/>
      <c r="C27780"/>
      <c r="E27780"/>
      <c r="F27780"/>
    </row>
    <row r="27781" spans="1:6" x14ac:dyDescent="0.25">
      <c r="A27781"/>
      <c r="B27781"/>
      <c r="C27781"/>
      <c r="E27781"/>
      <c r="F27781"/>
    </row>
    <row r="27782" spans="1:6" x14ac:dyDescent="0.25">
      <c r="A27782"/>
      <c r="B27782"/>
      <c r="C27782"/>
      <c r="E27782"/>
      <c r="F27782"/>
    </row>
    <row r="27783" spans="1:6" x14ac:dyDescent="0.25">
      <c r="A27783"/>
      <c r="B27783"/>
      <c r="C27783"/>
      <c r="E27783"/>
      <c r="F27783"/>
    </row>
    <row r="27784" spans="1:6" x14ac:dyDescent="0.25">
      <c r="A27784"/>
      <c r="B27784"/>
      <c r="C27784"/>
      <c r="E27784"/>
      <c r="F27784"/>
    </row>
    <row r="27785" spans="1:6" x14ac:dyDescent="0.25">
      <c r="A27785"/>
      <c r="B27785"/>
      <c r="C27785"/>
      <c r="E27785"/>
      <c r="F27785"/>
    </row>
    <row r="27786" spans="1:6" x14ac:dyDescent="0.25">
      <c r="A27786"/>
      <c r="B27786"/>
      <c r="C27786"/>
      <c r="E27786"/>
      <c r="F27786"/>
    </row>
    <row r="27787" spans="1:6" x14ac:dyDescent="0.25">
      <c r="A27787"/>
      <c r="B27787"/>
      <c r="C27787"/>
      <c r="E27787"/>
      <c r="F27787"/>
    </row>
    <row r="27788" spans="1:6" x14ac:dyDescent="0.25">
      <c r="A27788"/>
      <c r="B27788"/>
      <c r="C27788"/>
      <c r="E27788"/>
      <c r="F27788"/>
    </row>
    <row r="27789" spans="1:6" x14ac:dyDescent="0.25">
      <c r="A27789"/>
      <c r="B27789"/>
      <c r="C27789"/>
      <c r="E27789"/>
      <c r="F27789"/>
    </row>
    <row r="27790" spans="1:6" x14ac:dyDescent="0.25">
      <c r="A27790"/>
      <c r="B27790"/>
      <c r="C27790"/>
      <c r="E27790"/>
      <c r="F27790"/>
    </row>
    <row r="27791" spans="1:6" x14ac:dyDescent="0.25">
      <c r="A27791"/>
      <c r="B27791"/>
      <c r="C27791"/>
      <c r="E27791"/>
      <c r="F27791"/>
    </row>
    <row r="27792" spans="1:6" x14ac:dyDescent="0.25">
      <c r="A27792"/>
      <c r="B27792"/>
      <c r="C27792"/>
      <c r="E27792"/>
      <c r="F27792"/>
    </row>
    <row r="27793" spans="1:6" x14ac:dyDescent="0.25">
      <c r="A27793"/>
      <c r="B27793"/>
      <c r="C27793"/>
      <c r="E27793"/>
      <c r="F27793"/>
    </row>
    <row r="27794" spans="1:6" x14ac:dyDescent="0.25">
      <c r="A27794"/>
      <c r="B27794"/>
      <c r="C27794"/>
      <c r="E27794"/>
      <c r="F27794"/>
    </row>
    <row r="27795" spans="1:6" x14ac:dyDescent="0.25">
      <c r="A27795"/>
      <c r="B27795"/>
      <c r="C27795"/>
      <c r="E27795"/>
      <c r="F27795"/>
    </row>
    <row r="27796" spans="1:6" x14ac:dyDescent="0.25">
      <c r="A27796"/>
      <c r="B27796"/>
      <c r="C27796"/>
      <c r="E27796"/>
      <c r="F27796"/>
    </row>
    <row r="27797" spans="1:6" x14ac:dyDescent="0.25">
      <c r="A27797"/>
      <c r="B27797"/>
      <c r="C27797"/>
      <c r="E27797"/>
      <c r="F27797"/>
    </row>
    <row r="27798" spans="1:6" x14ac:dyDescent="0.25">
      <c r="A27798"/>
      <c r="B27798"/>
      <c r="C27798"/>
      <c r="E27798"/>
      <c r="F27798"/>
    </row>
    <row r="27799" spans="1:6" x14ac:dyDescent="0.25">
      <c r="A27799"/>
      <c r="B27799"/>
      <c r="C27799"/>
      <c r="E27799"/>
      <c r="F27799"/>
    </row>
    <row r="27800" spans="1:6" x14ac:dyDescent="0.25">
      <c r="A27800"/>
      <c r="B27800"/>
      <c r="C27800"/>
      <c r="E27800"/>
      <c r="F27800"/>
    </row>
    <row r="27801" spans="1:6" x14ac:dyDescent="0.25">
      <c r="A27801"/>
      <c r="B27801"/>
      <c r="C27801"/>
      <c r="E27801"/>
      <c r="F27801"/>
    </row>
    <row r="27802" spans="1:6" x14ac:dyDescent="0.25">
      <c r="A27802"/>
      <c r="B27802"/>
      <c r="C27802"/>
      <c r="E27802"/>
      <c r="F27802"/>
    </row>
    <row r="27803" spans="1:6" x14ac:dyDescent="0.25">
      <c r="A27803"/>
      <c r="B27803"/>
      <c r="C27803"/>
      <c r="E27803"/>
      <c r="F27803"/>
    </row>
    <row r="27804" spans="1:6" x14ac:dyDescent="0.25">
      <c r="A27804"/>
      <c r="B27804"/>
      <c r="C27804"/>
      <c r="E27804"/>
      <c r="F27804"/>
    </row>
    <row r="27805" spans="1:6" x14ac:dyDescent="0.25">
      <c r="A27805"/>
      <c r="B27805"/>
      <c r="C27805"/>
      <c r="E27805"/>
      <c r="F27805"/>
    </row>
    <row r="27806" spans="1:6" x14ac:dyDescent="0.25">
      <c r="A27806"/>
      <c r="B27806"/>
      <c r="C27806"/>
      <c r="E27806"/>
      <c r="F27806"/>
    </row>
    <row r="27807" spans="1:6" x14ac:dyDescent="0.25">
      <c r="A27807"/>
      <c r="B27807"/>
      <c r="C27807"/>
      <c r="E27807"/>
      <c r="F27807"/>
    </row>
    <row r="27808" spans="1:6" x14ac:dyDescent="0.25">
      <c r="A27808"/>
      <c r="B27808"/>
      <c r="C27808"/>
      <c r="E27808"/>
      <c r="F27808"/>
    </row>
    <row r="27809" spans="1:6" x14ac:dyDescent="0.25">
      <c r="A27809"/>
      <c r="B27809"/>
      <c r="C27809"/>
      <c r="E27809"/>
      <c r="F27809"/>
    </row>
    <row r="27810" spans="1:6" x14ac:dyDescent="0.25">
      <c r="A27810"/>
      <c r="B27810"/>
      <c r="C27810"/>
      <c r="E27810"/>
      <c r="F27810"/>
    </row>
    <row r="27811" spans="1:6" x14ac:dyDescent="0.25">
      <c r="A27811"/>
      <c r="B27811"/>
      <c r="C27811"/>
      <c r="E27811"/>
      <c r="F27811"/>
    </row>
    <row r="27812" spans="1:6" x14ac:dyDescent="0.25">
      <c r="A27812"/>
      <c r="B27812"/>
      <c r="C27812"/>
      <c r="E27812"/>
      <c r="F27812"/>
    </row>
    <row r="27813" spans="1:6" x14ac:dyDescent="0.25">
      <c r="A27813"/>
      <c r="B27813"/>
      <c r="C27813"/>
      <c r="E27813"/>
      <c r="F27813"/>
    </row>
    <row r="27814" spans="1:6" x14ac:dyDescent="0.25">
      <c r="A27814"/>
      <c r="B27814"/>
      <c r="C27814"/>
      <c r="E27814"/>
      <c r="F27814"/>
    </row>
    <row r="27815" spans="1:6" x14ac:dyDescent="0.25">
      <c r="A27815"/>
      <c r="B27815"/>
      <c r="C27815"/>
      <c r="E27815"/>
      <c r="F27815"/>
    </row>
    <row r="27816" spans="1:6" x14ac:dyDescent="0.25">
      <c r="A27816"/>
      <c r="B27816"/>
      <c r="C27816"/>
      <c r="E27816"/>
      <c r="F27816"/>
    </row>
    <row r="27817" spans="1:6" x14ac:dyDescent="0.25">
      <c r="A27817"/>
      <c r="B27817"/>
      <c r="C27817"/>
      <c r="E27817"/>
      <c r="F27817"/>
    </row>
    <row r="27818" spans="1:6" x14ac:dyDescent="0.25">
      <c r="A27818"/>
      <c r="B27818"/>
      <c r="C27818"/>
      <c r="E27818"/>
      <c r="F27818"/>
    </row>
    <row r="27819" spans="1:6" x14ac:dyDescent="0.25">
      <c r="A27819"/>
      <c r="B27819"/>
      <c r="C27819"/>
      <c r="E27819"/>
      <c r="F27819"/>
    </row>
    <row r="27820" spans="1:6" x14ac:dyDescent="0.25">
      <c r="A27820"/>
      <c r="B27820"/>
      <c r="C27820"/>
      <c r="E27820"/>
      <c r="F27820"/>
    </row>
    <row r="27821" spans="1:6" x14ac:dyDescent="0.25">
      <c r="A27821"/>
      <c r="B27821"/>
      <c r="C27821"/>
      <c r="E27821"/>
      <c r="F27821"/>
    </row>
    <row r="27822" spans="1:6" x14ac:dyDescent="0.25">
      <c r="A27822"/>
      <c r="B27822"/>
      <c r="C27822"/>
      <c r="E27822"/>
      <c r="F27822"/>
    </row>
    <row r="27823" spans="1:6" x14ac:dyDescent="0.25">
      <c r="A27823"/>
      <c r="B27823"/>
      <c r="C27823"/>
      <c r="E27823"/>
      <c r="F27823"/>
    </row>
    <row r="27824" spans="1:6" x14ac:dyDescent="0.25">
      <c r="A27824"/>
      <c r="B27824"/>
      <c r="C27824"/>
      <c r="E27824"/>
      <c r="F27824"/>
    </row>
    <row r="27825" spans="1:6" x14ac:dyDescent="0.25">
      <c r="A27825"/>
      <c r="B27825"/>
      <c r="C27825"/>
      <c r="E27825"/>
      <c r="F27825"/>
    </row>
    <row r="27826" spans="1:6" x14ac:dyDescent="0.25">
      <c r="A27826"/>
      <c r="B27826"/>
      <c r="C27826"/>
      <c r="E27826"/>
      <c r="F27826"/>
    </row>
    <row r="27827" spans="1:6" x14ac:dyDescent="0.25">
      <c r="A27827"/>
      <c r="B27827"/>
      <c r="C27827"/>
      <c r="E27827"/>
      <c r="F27827"/>
    </row>
    <row r="27828" spans="1:6" x14ac:dyDescent="0.25">
      <c r="A27828"/>
      <c r="B27828"/>
      <c r="C27828"/>
      <c r="E27828"/>
      <c r="F27828"/>
    </row>
    <row r="27829" spans="1:6" x14ac:dyDescent="0.25">
      <c r="A27829"/>
      <c r="B27829"/>
      <c r="C27829"/>
      <c r="E27829"/>
      <c r="F27829"/>
    </row>
    <row r="27830" spans="1:6" x14ac:dyDescent="0.25">
      <c r="A27830"/>
      <c r="B27830"/>
      <c r="C27830"/>
      <c r="E27830"/>
      <c r="F27830"/>
    </row>
    <row r="27831" spans="1:6" x14ac:dyDescent="0.25">
      <c r="A27831"/>
      <c r="B27831"/>
      <c r="C27831"/>
      <c r="E27831"/>
      <c r="F27831"/>
    </row>
    <row r="27832" spans="1:6" x14ac:dyDescent="0.25">
      <c r="A27832"/>
      <c r="B27832"/>
      <c r="C27832"/>
      <c r="E27832"/>
      <c r="F27832"/>
    </row>
    <row r="27833" spans="1:6" x14ac:dyDescent="0.25">
      <c r="A27833"/>
      <c r="B27833"/>
      <c r="C27833"/>
      <c r="E27833"/>
      <c r="F27833"/>
    </row>
    <row r="27834" spans="1:6" x14ac:dyDescent="0.25">
      <c r="A27834"/>
      <c r="B27834"/>
      <c r="C27834"/>
      <c r="E27834"/>
      <c r="F27834"/>
    </row>
    <row r="27835" spans="1:6" x14ac:dyDescent="0.25">
      <c r="A27835"/>
      <c r="B27835"/>
      <c r="C27835"/>
      <c r="E27835"/>
      <c r="F27835"/>
    </row>
    <row r="27836" spans="1:6" x14ac:dyDescent="0.25">
      <c r="A27836"/>
      <c r="B27836"/>
      <c r="C27836"/>
      <c r="E27836"/>
      <c r="F27836"/>
    </row>
    <row r="27837" spans="1:6" x14ac:dyDescent="0.25">
      <c r="A27837"/>
      <c r="B27837"/>
      <c r="C27837"/>
      <c r="E27837"/>
      <c r="F27837"/>
    </row>
    <row r="27838" spans="1:6" x14ac:dyDescent="0.25">
      <c r="A27838"/>
      <c r="B27838"/>
      <c r="C27838"/>
      <c r="E27838"/>
      <c r="F27838"/>
    </row>
    <row r="27839" spans="1:6" x14ac:dyDescent="0.25">
      <c r="A27839"/>
      <c r="B27839"/>
      <c r="C27839"/>
      <c r="E27839"/>
      <c r="F27839"/>
    </row>
    <row r="27840" spans="1:6" x14ac:dyDescent="0.25">
      <c r="A27840"/>
      <c r="B27840"/>
      <c r="C27840"/>
      <c r="E27840"/>
      <c r="F27840"/>
    </row>
    <row r="27841" spans="1:6" x14ac:dyDescent="0.25">
      <c r="A27841"/>
      <c r="B27841"/>
      <c r="C27841"/>
      <c r="E27841"/>
      <c r="F27841"/>
    </row>
    <row r="27842" spans="1:6" x14ac:dyDescent="0.25">
      <c r="A27842"/>
      <c r="B27842"/>
      <c r="C27842"/>
      <c r="E27842"/>
      <c r="F27842"/>
    </row>
    <row r="27843" spans="1:6" x14ac:dyDescent="0.25">
      <c r="A27843"/>
      <c r="B27843"/>
      <c r="C27843"/>
      <c r="E27843"/>
      <c r="F27843"/>
    </row>
    <row r="27844" spans="1:6" x14ac:dyDescent="0.25">
      <c r="A27844"/>
      <c r="B27844"/>
      <c r="C27844"/>
      <c r="E27844"/>
      <c r="F27844"/>
    </row>
    <row r="27845" spans="1:6" x14ac:dyDescent="0.25">
      <c r="A27845"/>
      <c r="B27845"/>
      <c r="C27845"/>
      <c r="E27845"/>
      <c r="F27845"/>
    </row>
    <row r="27846" spans="1:6" x14ac:dyDescent="0.25">
      <c r="A27846"/>
      <c r="B27846"/>
      <c r="C27846"/>
      <c r="E27846"/>
      <c r="F27846"/>
    </row>
    <row r="27847" spans="1:6" x14ac:dyDescent="0.25">
      <c r="A27847"/>
      <c r="B27847"/>
      <c r="C27847"/>
      <c r="E27847"/>
      <c r="F27847"/>
    </row>
    <row r="27848" spans="1:6" x14ac:dyDescent="0.25">
      <c r="A27848"/>
      <c r="B27848"/>
      <c r="C27848"/>
      <c r="E27848"/>
      <c r="F27848"/>
    </row>
    <row r="27849" spans="1:6" x14ac:dyDescent="0.25">
      <c r="A27849"/>
      <c r="B27849"/>
      <c r="C27849"/>
      <c r="E27849"/>
      <c r="F27849"/>
    </row>
    <row r="27850" spans="1:6" x14ac:dyDescent="0.25">
      <c r="A27850"/>
      <c r="B27850"/>
      <c r="C27850"/>
      <c r="E27850"/>
      <c r="F27850"/>
    </row>
    <row r="27851" spans="1:6" x14ac:dyDescent="0.25">
      <c r="A27851"/>
      <c r="B27851"/>
      <c r="C27851"/>
      <c r="E27851"/>
      <c r="F27851"/>
    </row>
    <row r="27852" spans="1:6" x14ac:dyDescent="0.25">
      <c r="A27852"/>
      <c r="B27852"/>
      <c r="C27852"/>
      <c r="E27852"/>
      <c r="F27852"/>
    </row>
    <row r="27853" spans="1:6" x14ac:dyDescent="0.25">
      <c r="A27853"/>
      <c r="B27853"/>
      <c r="C27853"/>
      <c r="E27853"/>
      <c r="F27853"/>
    </row>
    <row r="27854" spans="1:6" x14ac:dyDescent="0.25">
      <c r="A27854"/>
      <c r="B27854"/>
      <c r="C27854"/>
      <c r="E27854"/>
      <c r="F27854"/>
    </row>
    <row r="27855" spans="1:6" x14ac:dyDescent="0.25">
      <c r="A27855"/>
      <c r="B27855"/>
      <c r="C27855"/>
      <c r="E27855"/>
      <c r="F27855"/>
    </row>
    <row r="27856" spans="1:6" x14ac:dyDescent="0.25">
      <c r="A27856"/>
      <c r="B27856"/>
      <c r="C27856"/>
      <c r="E27856"/>
      <c r="F27856"/>
    </row>
    <row r="27857" spans="1:6" x14ac:dyDescent="0.25">
      <c r="A27857"/>
      <c r="B27857"/>
      <c r="C27857"/>
      <c r="E27857"/>
      <c r="F27857"/>
    </row>
    <row r="27858" spans="1:6" x14ac:dyDescent="0.25">
      <c r="A27858"/>
      <c r="B27858"/>
      <c r="C27858"/>
      <c r="E27858"/>
      <c r="F27858"/>
    </row>
    <row r="27859" spans="1:6" x14ac:dyDescent="0.25">
      <c r="A27859"/>
      <c r="B27859"/>
      <c r="C27859"/>
      <c r="E27859"/>
      <c r="F27859"/>
    </row>
    <row r="27860" spans="1:6" x14ac:dyDescent="0.25">
      <c r="A27860"/>
      <c r="B27860"/>
      <c r="C27860"/>
      <c r="E27860"/>
      <c r="F27860"/>
    </row>
    <row r="27861" spans="1:6" x14ac:dyDescent="0.25">
      <c r="A27861"/>
      <c r="B27861"/>
      <c r="C27861"/>
      <c r="E27861"/>
      <c r="F27861"/>
    </row>
    <row r="27862" spans="1:6" x14ac:dyDescent="0.25">
      <c r="A27862"/>
      <c r="B27862"/>
      <c r="C27862"/>
      <c r="E27862"/>
      <c r="F27862"/>
    </row>
    <row r="27863" spans="1:6" x14ac:dyDescent="0.25">
      <c r="A27863"/>
      <c r="B27863"/>
      <c r="C27863"/>
      <c r="E27863"/>
      <c r="F27863"/>
    </row>
    <row r="27864" spans="1:6" x14ac:dyDescent="0.25">
      <c r="A27864"/>
      <c r="B27864"/>
      <c r="C27864"/>
      <c r="E27864"/>
      <c r="F27864"/>
    </row>
    <row r="27865" spans="1:6" x14ac:dyDescent="0.25">
      <c r="A27865"/>
      <c r="B27865"/>
      <c r="C27865"/>
      <c r="E27865"/>
      <c r="F27865"/>
    </row>
    <row r="27866" spans="1:6" x14ac:dyDescent="0.25">
      <c r="A27866"/>
      <c r="B27866"/>
      <c r="C27866"/>
      <c r="E27866"/>
      <c r="F27866"/>
    </row>
    <row r="27867" spans="1:6" x14ac:dyDescent="0.25">
      <c r="A27867"/>
      <c r="B27867"/>
      <c r="C27867"/>
      <c r="E27867"/>
      <c r="F27867"/>
    </row>
    <row r="27868" spans="1:6" x14ac:dyDescent="0.25">
      <c r="A27868"/>
      <c r="B27868"/>
      <c r="C27868"/>
      <c r="E27868"/>
      <c r="F27868"/>
    </row>
    <row r="27869" spans="1:6" x14ac:dyDescent="0.25">
      <c r="A27869"/>
      <c r="B27869"/>
      <c r="C27869"/>
      <c r="E27869"/>
      <c r="F27869"/>
    </row>
    <row r="27870" spans="1:6" x14ac:dyDescent="0.25">
      <c r="A27870"/>
      <c r="B27870"/>
      <c r="C27870"/>
      <c r="E27870"/>
      <c r="F27870"/>
    </row>
    <row r="27871" spans="1:6" x14ac:dyDescent="0.25">
      <c r="A27871"/>
      <c r="B27871"/>
      <c r="C27871"/>
      <c r="E27871"/>
      <c r="F27871"/>
    </row>
    <row r="27872" spans="1:6" x14ac:dyDescent="0.25">
      <c r="A27872"/>
      <c r="B27872"/>
      <c r="C27872"/>
      <c r="E27872"/>
      <c r="F27872"/>
    </row>
    <row r="27873" spans="1:6" x14ac:dyDescent="0.25">
      <c r="A27873"/>
      <c r="B27873"/>
      <c r="C27873"/>
      <c r="E27873"/>
      <c r="F27873"/>
    </row>
    <row r="27874" spans="1:6" x14ac:dyDescent="0.25">
      <c r="A27874"/>
      <c r="B27874"/>
      <c r="C27874"/>
      <c r="E27874"/>
      <c r="F27874"/>
    </row>
    <row r="27875" spans="1:6" x14ac:dyDescent="0.25">
      <c r="A27875"/>
      <c r="B27875"/>
      <c r="C27875"/>
      <c r="E27875"/>
      <c r="F27875"/>
    </row>
    <row r="27876" spans="1:6" x14ac:dyDescent="0.25">
      <c r="A27876"/>
      <c r="B27876"/>
      <c r="C27876"/>
      <c r="E27876"/>
      <c r="F27876"/>
    </row>
    <row r="27877" spans="1:6" x14ac:dyDescent="0.25">
      <c r="A27877"/>
      <c r="B27877"/>
      <c r="C27877"/>
      <c r="E27877"/>
      <c r="F27877"/>
    </row>
    <row r="27878" spans="1:6" x14ac:dyDescent="0.25">
      <c r="A27878"/>
      <c r="B27878"/>
      <c r="C27878"/>
      <c r="E27878"/>
      <c r="F27878"/>
    </row>
    <row r="27879" spans="1:6" x14ac:dyDescent="0.25">
      <c r="A27879"/>
      <c r="B27879"/>
      <c r="C27879"/>
      <c r="E27879"/>
      <c r="F27879"/>
    </row>
    <row r="27880" spans="1:6" x14ac:dyDescent="0.25">
      <c r="A27880"/>
      <c r="B27880"/>
      <c r="C27880"/>
      <c r="E27880"/>
      <c r="F27880"/>
    </row>
    <row r="27881" spans="1:6" x14ac:dyDescent="0.25">
      <c r="A27881"/>
      <c r="B27881"/>
      <c r="C27881"/>
      <c r="E27881"/>
      <c r="F27881"/>
    </row>
    <row r="27882" spans="1:6" x14ac:dyDescent="0.25">
      <c r="A27882"/>
      <c r="B27882"/>
      <c r="C27882"/>
      <c r="E27882"/>
      <c r="F27882"/>
    </row>
    <row r="27883" spans="1:6" x14ac:dyDescent="0.25">
      <c r="A27883"/>
      <c r="B27883"/>
      <c r="C27883"/>
      <c r="E27883"/>
      <c r="F27883"/>
    </row>
    <row r="27884" spans="1:6" x14ac:dyDescent="0.25">
      <c r="A27884"/>
      <c r="B27884"/>
      <c r="C27884"/>
      <c r="E27884"/>
      <c r="F27884"/>
    </row>
    <row r="27885" spans="1:6" x14ac:dyDescent="0.25">
      <c r="A27885"/>
      <c r="B27885"/>
      <c r="C27885"/>
      <c r="E27885"/>
      <c r="F27885"/>
    </row>
    <row r="27886" spans="1:6" x14ac:dyDescent="0.25">
      <c r="A27886"/>
      <c r="B27886"/>
      <c r="C27886"/>
      <c r="E27886"/>
      <c r="F27886"/>
    </row>
    <row r="27887" spans="1:6" x14ac:dyDescent="0.25">
      <c r="A27887"/>
      <c r="B27887"/>
      <c r="C27887"/>
      <c r="E27887"/>
      <c r="F27887"/>
    </row>
    <row r="27888" spans="1:6" x14ac:dyDescent="0.25">
      <c r="A27888"/>
      <c r="B27888"/>
      <c r="C27888"/>
      <c r="E27888"/>
      <c r="F27888"/>
    </row>
    <row r="27889" spans="1:6" x14ac:dyDescent="0.25">
      <c r="A27889"/>
      <c r="B27889"/>
      <c r="C27889"/>
      <c r="E27889"/>
      <c r="F27889"/>
    </row>
    <row r="27890" spans="1:6" x14ac:dyDescent="0.25">
      <c r="A27890"/>
      <c r="B27890"/>
      <c r="C27890"/>
      <c r="E27890"/>
      <c r="F27890"/>
    </row>
    <row r="27891" spans="1:6" x14ac:dyDescent="0.25">
      <c r="A27891"/>
      <c r="B27891"/>
      <c r="C27891"/>
      <c r="E27891"/>
      <c r="F27891"/>
    </row>
    <row r="27892" spans="1:6" x14ac:dyDescent="0.25">
      <c r="A27892"/>
      <c r="B27892"/>
      <c r="C27892"/>
      <c r="E27892"/>
      <c r="F27892"/>
    </row>
    <row r="27893" spans="1:6" x14ac:dyDescent="0.25">
      <c r="A27893"/>
      <c r="B27893"/>
      <c r="C27893"/>
      <c r="E27893"/>
      <c r="F27893"/>
    </row>
    <row r="27894" spans="1:6" x14ac:dyDescent="0.25">
      <c r="A27894"/>
      <c r="B27894"/>
      <c r="C27894"/>
      <c r="E27894"/>
      <c r="F27894"/>
    </row>
    <row r="27895" spans="1:6" x14ac:dyDescent="0.25">
      <c r="A27895"/>
      <c r="B27895"/>
      <c r="C27895"/>
      <c r="E27895"/>
      <c r="F27895"/>
    </row>
    <row r="27896" spans="1:6" x14ac:dyDescent="0.25">
      <c r="A27896"/>
      <c r="B27896"/>
      <c r="C27896"/>
      <c r="E27896"/>
      <c r="F27896"/>
    </row>
    <row r="27897" spans="1:6" x14ac:dyDescent="0.25">
      <c r="A27897"/>
      <c r="B27897"/>
      <c r="C27897"/>
      <c r="E27897"/>
      <c r="F27897"/>
    </row>
    <row r="27898" spans="1:6" x14ac:dyDescent="0.25">
      <c r="A27898"/>
      <c r="B27898"/>
      <c r="C27898"/>
      <c r="E27898"/>
      <c r="F27898"/>
    </row>
    <row r="27899" spans="1:6" x14ac:dyDescent="0.25">
      <c r="A27899"/>
      <c r="B27899"/>
      <c r="C27899"/>
      <c r="E27899"/>
      <c r="F27899"/>
    </row>
    <row r="27900" spans="1:6" x14ac:dyDescent="0.25">
      <c r="A27900"/>
      <c r="B27900"/>
      <c r="C27900"/>
      <c r="E27900"/>
      <c r="F27900"/>
    </row>
    <row r="27901" spans="1:6" x14ac:dyDescent="0.25">
      <c r="A27901"/>
      <c r="B27901"/>
      <c r="C27901"/>
      <c r="E27901"/>
      <c r="F27901"/>
    </row>
    <row r="27902" spans="1:6" x14ac:dyDescent="0.25">
      <c r="A27902"/>
      <c r="B27902"/>
      <c r="C27902"/>
      <c r="E27902"/>
      <c r="F27902"/>
    </row>
    <row r="27903" spans="1:6" x14ac:dyDescent="0.25">
      <c r="A27903"/>
      <c r="B27903"/>
      <c r="C27903"/>
      <c r="E27903"/>
      <c r="F27903"/>
    </row>
    <row r="27904" spans="1:6" x14ac:dyDescent="0.25">
      <c r="A27904"/>
      <c r="B27904"/>
      <c r="C27904"/>
      <c r="E27904"/>
      <c r="F27904"/>
    </row>
    <row r="27905" spans="1:6" x14ac:dyDescent="0.25">
      <c r="A27905"/>
      <c r="B27905"/>
      <c r="C27905"/>
      <c r="E27905"/>
      <c r="F27905"/>
    </row>
    <row r="27906" spans="1:6" x14ac:dyDescent="0.25">
      <c r="A27906"/>
      <c r="B27906"/>
      <c r="C27906"/>
      <c r="E27906"/>
      <c r="F27906"/>
    </row>
    <row r="27907" spans="1:6" x14ac:dyDescent="0.25">
      <c r="A27907"/>
      <c r="B27907"/>
      <c r="C27907"/>
      <c r="E27907"/>
      <c r="F27907"/>
    </row>
    <row r="27908" spans="1:6" x14ac:dyDescent="0.25">
      <c r="A27908"/>
      <c r="B27908"/>
      <c r="C27908"/>
      <c r="E27908"/>
      <c r="F27908"/>
    </row>
    <row r="27909" spans="1:6" x14ac:dyDescent="0.25">
      <c r="A27909"/>
      <c r="B27909"/>
      <c r="C27909"/>
      <c r="E27909"/>
      <c r="F27909"/>
    </row>
    <row r="27910" spans="1:6" x14ac:dyDescent="0.25">
      <c r="A27910"/>
      <c r="B27910"/>
      <c r="C27910"/>
      <c r="E27910"/>
      <c r="F27910"/>
    </row>
    <row r="27911" spans="1:6" x14ac:dyDescent="0.25">
      <c r="A27911"/>
      <c r="B27911"/>
      <c r="C27911"/>
      <c r="E27911"/>
      <c r="F27911"/>
    </row>
    <row r="27912" spans="1:6" x14ac:dyDescent="0.25">
      <c r="A27912"/>
      <c r="B27912"/>
      <c r="C27912"/>
      <c r="E27912"/>
      <c r="F27912"/>
    </row>
    <row r="27913" spans="1:6" x14ac:dyDescent="0.25">
      <c r="A27913"/>
      <c r="B27913"/>
      <c r="C27913"/>
      <c r="E27913"/>
      <c r="F27913"/>
    </row>
    <row r="27914" spans="1:6" x14ac:dyDescent="0.25">
      <c r="A27914"/>
      <c r="B27914"/>
      <c r="C27914"/>
      <c r="E27914"/>
      <c r="F27914"/>
    </row>
    <row r="27915" spans="1:6" x14ac:dyDescent="0.25">
      <c r="A27915"/>
      <c r="B27915"/>
      <c r="C27915"/>
      <c r="E27915"/>
      <c r="F27915"/>
    </row>
    <row r="27916" spans="1:6" x14ac:dyDescent="0.25">
      <c r="A27916"/>
      <c r="B27916"/>
      <c r="C27916"/>
      <c r="E27916"/>
      <c r="F27916"/>
    </row>
    <row r="27917" spans="1:6" x14ac:dyDescent="0.25">
      <c r="A27917"/>
      <c r="B27917"/>
      <c r="C27917"/>
      <c r="E27917"/>
      <c r="F27917"/>
    </row>
    <row r="27918" spans="1:6" x14ac:dyDescent="0.25">
      <c r="A27918"/>
      <c r="B27918"/>
      <c r="C27918"/>
      <c r="E27918"/>
      <c r="F27918"/>
    </row>
    <row r="27919" spans="1:6" x14ac:dyDescent="0.25">
      <c r="A27919"/>
      <c r="B27919"/>
      <c r="C27919"/>
      <c r="E27919"/>
      <c r="F27919"/>
    </row>
    <row r="27920" spans="1:6" x14ac:dyDescent="0.25">
      <c r="A27920"/>
      <c r="B27920"/>
      <c r="C27920"/>
      <c r="E27920"/>
      <c r="F27920"/>
    </row>
    <row r="27921" spans="1:6" x14ac:dyDescent="0.25">
      <c r="A27921"/>
      <c r="B27921"/>
      <c r="C27921"/>
      <c r="E27921"/>
      <c r="F27921"/>
    </row>
    <row r="27922" spans="1:6" x14ac:dyDescent="0.25">
      <c r="A27922"/>
      <c r="B27922"/>
      <c r="C27922"/>
      <c r="E27922"/>
      <c r="F27922"/>
    </row>
    <row r="27923" spans="1:6" x14ac:dyDescent="0.25">
      <c r="A27923"/>
      <c r="B27923"/>
      <c r="C27923"/>
      <c r="E27923"/>
      <c r="F27923"/>
    </row>
    <row r="27924" spans="1:6" x14ac:dyDescent="0.25">
      <c r="A27924"/>
      <c r="B27924"/>
      <c r="C27924"/>
      <c r="E27924"/>
      <c r="F27924"/>
    </row>
    <row r="27925" spans="1:6" x14ac:dyDescent="0.25">
      <c r="A27925"/>
      <c r="B27925"/>
      <c r="C27925"/>
      <c r="E27925"/>
      <c r="F27925"/>
    </row>
    <row r="27926" spans="1:6" x14ac:dyDescent="0.25">
      <c r="A27926"/>
      <c r="B27926"/>
      <c r="C27926"/>
      <c r="E27926"/>
      <c r="F27926"/>
    </row>
    <row r="27927" spans="1:6" x14ac:dyDescent="0.25">
      <c r="A27927"/>
      <c r="B27927"/>
      <c r="C27927"/>
      <c r="E27927"/>
      <c r="F27927"/>
    </row>
    <row r="27928" spans="1:6" x14ac:dyDescent="0.25">
      <c r="A27928"/>
      <c r="B27928"/>
      <c r="C27928"/>
      <c r="E27928"/>
      <c r="F27928"/>
    </row>
    <row r="27929" spans="1:6" x14ac:dyDescent="0.25">
      <c r="A27929"/>
      <c r="B27929"/>
      <c r="C27929"/>
      <c r="E27929"/>
      <c r="F27929"/>
    </row>
    <row r="27930" spans="1:6" x14ac:dyDescent="0.25">
      <c r="A27930"/>
      <c r="B27930"/>
      <c r="C27930"/>
      <c r="E27930"/>
      <c r="F27930"/>
    </row>
    <row r="27931" spans="1:6" x14ac:dyDescent="0.25">
      <c r="A27931"/>
      <c r="B27931"/>
      <c r="C27931"/>
      <c r="E27931"/>
      <c r="F27931"/>
    </row>
    <row r="27932" spans="1:6" x14ac:dyDescent="0.25">
      <c r="A27932"/>
      <c r="B27932"/>
      <c r="C27932"/>
      <c r="E27932"/>
      <c r="F27932"/>
    </row>
    <row r="27933" spans="1:6" x14ac:dyDescent="0.25">
      <c r="A27933"/>
      <c r="B27933"/>
      <c r="C27933"/>
      <c r="E27933"/>
      <c r="F27933"/>
    </row>
    <row r="27934" spans="1:6" x14ac:dyDescent="0.25">
      <c r="A27934"/>
      <c r="B27934"/>
      <c r="C27934"/>
      <c r="E27934"/>
      <c r="F27934"/>
    </row>
    <row r="27935" spans="1:6" x14ac:dyDescent="0.25">
      <c r="A27935"/>
      <c r="B27935"/>
      <c r="C27935"/>
      <c r="E27935"/>
      <c r="F27935"/>
    </row>
    <row r="27936" spans="1:6" x14ac:dyDescent="0.25">
      <c r="A27936"/>
      <c r="B27936"/>
      <c r="C27936"/>
      <c r="E27936"/>
      <c r="F27936"/>
    </row>
    <row r="27937" spans="1:6" x14ac:dyDescent="0.25">
      <c r="A27937"/>
      <c r="B27937"/>
      <c r="C27937"/>
      <c r="E27937"/>
      <c r="F27937"/>
    </row>
    <row r="27938" spans="1:6" x14ac:dyDescent="0.25">
      <c r="A27938"/>
      <c r="B27938"/>
      <c r="C27938"/>
      <c r="E27938"/>
      <c r="F27938"/>
    </row>
    <row r="27939" spans="1:6" x14ac:dyDescent="0.25">
      <c r="A27939"/>
      <c r="B27939"/>
      <c r="C27939"/>
      <c r="E27939"/>
      <c r="F27939"/>
    </row>
    <row r="27940" spans="1:6" x14ac:dyDescent="0.25">
      <c r="A27940"/>
      <c r="B27940"/>
      <c r="C27940"/>
      <c r="E27940"/>
      <c r="F27940"/>
    </row>
    <row r="27941" spans="1:6" x14ac:dyDescent="0.25">
      <c r="A27941"/>
      <c r="B27941"/>
      <c r="C27941"/>
      <c r="E27941"/>
      <c r="F27941"/>
    </row>
    <row r="27942" spans="1:6" x14ac:dyDescent="0.25">
      <c r="A27942"/>
      <c r="B27942"/>
      <c r="C27942"/>
      <c r="E27942"/>
      <c r="F27942"/>
    </row>
    <row r="27943" spans="1:6" x14ac:dyDescent="0.25">
      <c r="A27943"/>
      <c r="B27943"/>
      <c r="C27943"/>
      <c r="E27943"/>
      <c r="F27943"/>
    </row>
    <row r="27944" spans="1:6" x14ac:dyDescent="0.25">
      <c r="A27944"/>
      <c r="B27944"/>
      <c r="C27944"/>
      <c r="E27944"/>
      <c r="F27944"/>
    </row>
    <row r="27945" spans="1:6" x14ac:dyDescent="0.25">
      <c r="A27945"/>
      <c r="B27945"/>
      <c r="C27945"/>
      <c r="E27945"/>
      <c r="F27945"/>
    </row>
    <row r="27946" spans="1:6" x14ac:dyDescent="0.25">
      <c r="A27946"/>
      <c r="B27946"/>
      <c r="C27946"/>
      <c r="E27946"/>
      <c r="F27946"/>
    </row>
    <row r="27947" spans="1:6" x14ac:dyDescent="0.25">
      <c r="A27947"/>
      <c r="B27947"/>
      <c r="C27947"/>
      <c r="E27947"/>
      <c r="F27947"/>
    </row>
    <row r="27948" spans="1:6" x14ac:dyDescent="0.25">
      <c r="A27948"/>
      <c r="B27948"/>
      <c r="C27948"/>
      <c r="E27948"/>
      <c r="F27948"/>
    </row>
    <row r="27949" spans="1:6" x14ac:dyDescent="0.25">
      <c r="A27949"/>
      <c r="B27949"/>
      <c r="C27949"/>
      <c r="E27949"/>
      <c r="F27949"/>
    </row>
    <row r="27950" spans="1:6" x14ac:dyDescent="0.25">
      <c r="A27950"/>
      <c r="B27950"/>
      <c r="C27950"/>
      <c r="E27950"/>
      <c r="F27950"/>
    </row>
    <row r="27951" spans="1:6" x14ac:dyDescent="0.25">
      <c r="A27951"/>
      <c r="B27951"/>
      <c r="C27951"/>
      <c r="E27951"/>
      <c r="F27951"/>
    </row>
    <row r="27952" spans="1:6" x14ac:dyDescent="0.25">
      <c r="A27952"/>
      <c r="B27952"/>
      <c r="C27952"/>
      <c r="E27952"/>
      <c r="F27952"/>
    </row>
    <row r="27953" spans="1:6" x14ac:dyDescent="0.25">
      <c r="A27953"/>
      <c r="B27953"/>
      <c r="C27953"/>
      <c r="E27953"/>
      <c r="F27953"/>
    </row>
    <row r="27954" spans="1:6" x14ac:dyDescent="0.25">
      <c r="A27954"/>
      <c r="B27954"/>
      <c r="C27954"/>
      <c r="E27954"/>
      <c r="F27954"/>
    </row>
    <row r="27955" spans="1:6" x14ac:dyDescent="0.25">
      <c r="A27955"/>
      <c r="B27955"/>
      <c r="C27955"/>
      <c r="E27955"/>
      <c r="F27955"/>
    </row>
    <row r="27956" spans="1:6" x14ac:dyDescent="0.25">
      <c r="A27956"/>
      <c r="B27956"/>
      <c r="C27956"/>
      <c r="E27956"/>
      <c r="F27956"/>
    </row>
    <row r="27957" spans="1:6" x14ac:dyDescent="0.25">
      <c r="A27957"/>
      <c r="B27957"/>
      <c r="C27957"/>
      <c r="E27957"/>
      <c r="F27957"/>
    </row>
    <row r="27958" spans="1:6" x14ac:dyDescent="0.25">
      <c r="A27958"/>
      <c r="B27958"/>
      <c r="C27958"/>
      <c r="E27958"/>
      <c r="F27958"/>
    </row>
    <row r="27959" spans="1:6" x14ac:dyDescent="0.25">
      <c r="A27959"/>
      <c r="B27959"/>
      <c r="C27959"/>
      <c r="E27959"/>
      <c r="F27959"/>
    </row>
    <row r="27960" spans="1:6" x14ac:dyDescent="0.25">
      <c r="A27960"/>
      <c r="B27960"/>
      <c r="C27960"/>
      <c r="E27960"/>
      <c r="F27960"/>
    </row>
    <row r="27961" spans="1:6" x14ac:dyDescent="0.25">
      <c r="A27961"/>
      <c r="B27961"/>
      <c r="C27961"/>
      <c r="E27961"/>
      <c r="F27961"/>
    </row>
    <row r="27962" spans="1:6" x14ac:dyDescent="0.25">
      <c r="A27962"/>
      <c r="B27962"/>
      <c r="C27962"/>
      <c r="E27962"/>
      <c r="F27962"/>
    </row>
    <row r="27963" spans="1:6" x14ac:dyDescent="0.25">
      <c r="A27963"/>
      <c r="B27963"/>
      <c r="C27963"/>
      <c r="E27963"/>
      <c r="F27963"/>
    </row>
    <row r="27964" spans="1:6" x14ac:dyDescent="0.25">
      <c r="A27964"/>
      <c r="B27964"/>
      <c r="C27964"/>
      <c r="E27964"/>
      <c r="F27964"/>
    </row>
    <row r="27965" spans="1:6" x14ac:dyDescent="0.25">
      <c r="A27965"/>
      <c r="B27965"/>
      <c r="C27965"/>
      <c r="E27965"/>
      <c r="F27965"/>
    </row>
    <row r="27966" spans="1:6" x14ac:dyDescent="0.25">
      <c r="A27966"/>
      <c r="B27966"/>
      <c r="C27966"/>
      <c r="E27966"/>
      <c r="F27966"/>
    </row>
    <row r="27967" spans="1:6" x14ac:dyDescent="0.25">
      <c r="A27967"/>
      <c r="B27967"/>
      <c r="C27967"/>
      <c r="E27967"/>
      <c r="F27967"/>
    </row>
    <row r="27968" spans="1:6" x14ac:dyDescent="0.25">
      <c r="A27968"/>
      <c r="B27968"/>
      <c r="C27968"/>
      <c r="E27968"/>
      <c r="F27968"/>
    </row>
    <row r="27969" spans="1:6" x14ac:dyDescent="0.25">
      <c r="A27969"/>
      <c r="B27969"/>
      <c r="C27969"/>
      <c r="E27969"/>
      <c r="F27969"/>
    </row>
    <row r="27970" spans="1:6" x14ac:dyDescent="0.25">
      <c r="A27970"/>
      <c r="B27970"/>
      <c r="C27970"/>
      <c r="E27970"/>
      <c r="F27970"/>
    </row>
    <row r="27971" spans="1:6" x14ac:dyDescent="0.25">
      <c r="A27971"/>
      <c r="B27971"/>
      <c r="C27971"/>
      <c r="E27971"/>
      <c r="F27971"/>
    </row>
    <row r="27972" spans="1:6" x14ac:dyDescent="0.25">
      <c r="A27972"/>
      <c r="B27972"/>
      <c r="C27972"/>
      <c r="E27972"/>
      <c r="F27972"/>
    </row>
    <row r="27973" spans="1:6" x14ac:dyDescent="0.25">
      <c r="A27973"/>
      <c r="B27973"/>
      <c r="C27973"/>
      <c r="E27973"/>
      <c r="F27973"/>
    </row>
    <row r="27974" spans="1:6" x14ac:dyDescent="0.25">
      <c r="A27974"/>
      <c r="B27974"/>
      <c r="C27974"/>
      <c r="E27974"/>
      <c r="F27974"/>
    </row>
    <row r="27975" spans="1:6" x14ac:dyDescent="0.25">
      <c r="A27975"/>
      <c r="B27975"/>
      <c r="C27975"/>
      <c r="E27975"/>
      <c r="F27975"/>
    </row>
    <row r="27976" spans="1:6" x14ac:dyDescent="0.25">
      <c r="A27976"/>
      <c r="B27976"/>
      <c r="C27976"/>
      <c r="E27976"/>
      <c r="F27976"/>
    </row>
    <row r="27977" spans="1:6" x14ac:dyDescent="0.25">
      <c r="A27977"/>
      <c r="B27977"/>
      <c r="C27977"/>
      <c r="E27977"/>
      <c r="F27977"/>
    </row>
    <row r="27978" spans="1:6" x14ac:dyDescent="0.25">
      <c r="A27978"/>
      <c r="B27978"/>
      <c r="C27978"/>
      <c r="E27978"/>
      <c r="F27978"/>
    </row>
    <row r="27979" spans="1:6" x14ac:dyDescent="0.25">
      <c r="A27979"/>
      <c r="B27979"/>
      <c r="C27979"/>
      <c r="E27979"/>
      <c r="F27979"/>
    </row>
    <row r="27980" spans="1:6" x14ac:dyDescent="0.25">
      <c r="A27980"/>
      <c r="B27980"/>
      <c r="C27980"/>
      <c r="E27980"/>
      <c r="F27980"/>
    </row>
    <row r="27981" spans="1:6" x14ac:dyDescent="0.25">
      <c r="A27981"/>
      <c r="B27981"/>
      <c r="C27981"/>
      <c r="E27981"/>
      <c r="F27981"/>
    </row>
    <row r="27982" spans="1:6" x14ac:dyDescent="0.25">
      <c r="A27982"/>
      <c r="B27982"/>
      <c r="C27982"/>
      <c r="E27982"/>
      <c r="F27982"/>
    </row>
    <row r="27983" spans="1:6" x14ac:dyDescent="0.25">
      <c r="A27983"/>
      <c r="B27983"/>
      <c r="C27983"/>
      <c r="E27983"/>
      <c r="F27983"/>
    </row>
    <row r="27984" spans="1:6" x14ac:dyDescent="0.25">
      <c r="A27984"/>
      <c r="B27984"/>
      <c r="C27984"/>
      <c r="E27984"/>
      <c r="F27984"/>
    </row>
    <row r="27985" spans="1:6" x14ac:dyDescent="0.25">
      <c r="A27985"/>
      <c r="B27985"/>
      <c r="C27985"/>
      <c r="E27985"/>
      <c r="F27985"/>
    </row>
    <row r="27986" spans="1:6" x14ac:dyDescent="0.25">
      <c r="A27986"/>
      <c r="B27986"/>
      <c r="C27986"/>
      <c r="E27986"/>
      <c r="F27986"/>
    </row>
    <row r="27987" spans="1:6" x14ac:dyDescent="0.25">
      <c r="A27987"/>
      <c r="B27987"/>
      <c r="C27987"/>
      <c r="E27987"/>
      <c r="F27987"/>
    </row>
    <row r="27988" spans="1:6" x14ac:dyDescent="0.25">
      <c r="A27988"/>
      <c r="B27988"/>
      <c r="C27988"/>
      <c r="E27988"/>
      <c r="F27988"/>
    </row>
    <row r="27989" spans="1:6" x14ac:dyDescent="0.25">
      <c r="A27989"/>
      <c r="B27989"/>
      <c r="C27989"/>
      <c r="E27989"/>
      <c r="F27989"/>
    </row>
    <row r="27990" spans="1:6" x14ac:dyDescent="0.25">
      <c r="A27990"/>
      <c r="B27990"/>
      <c r="C27990"/>
      <c r="E27990"/>
      <c r="F27990"/>
    </row>
    <row r="27991" spans="1:6" x14ac:dyDescent="0.25">
      <c r="A27991"/>
      <c r="B27991"/>
      <c r="C27991"/>
      <c r="E27991"/>
      <c r="F27991"/>
    </row>
    <row r="27992" spans="1:6" x14ac:dyDescent="0.25">
      <c r="A27992"/>
      <c r="B27992"/>
      <c r="C27992"/>
      <c r="E27992"/>
      <c r="F27992"/>
    </row>
    <row r="27993" spans="1:6" x14ac:dyDescent="0.25">
      <c r="A27993"/>
      <c r="B27993"/>
      <c r="C27993"/>
      <c r="E27993"/>
      <c r="F27993"/>
    </row>
    <row r="27994" spans="1:6" x14ac:dyDescent="0.25">
      <c r="A27994"/>
      <c r="B27994"/>
      <c r="C27994"/>
      <c r="E27994"/>
      <c r="F27994"/>
    </row>
    <row r="27995" spans="1:6" x14ac:dyDescent="0.25">
      <c r="A27995"/>
      <c r="B27995"/>
      <c r="C27995"/>
      <c r="E27995"/>
      <c r="F27995"/>
    </row>
    <row r="27996" spans="1:6" x14ac:dyDescent="0.25">
      <c r="A27996"/>
      <c r="B27996"/>
      <c r="C27996"/>
      <c r="E27996"/>
      <c r="F27996"/>
    </row>
    <row r="27997" spans="1:6" x14ac:dyDescent="0.25">
      <c r="A27997"/>
      <c r="B27997"/>
      <c r="C27997"/>
      <c r="E27997"/>
      <c r="F27997"/>
    </row>
    <row r="27998" spans="1:6" x14ac:dyDescent="0.25">
      <c r="A27998"/>
      <c r="B27998"/>
      <c r="C27998"/>
      <c r="E27998"/>
      <c r="F27998"/>
    </row>
    <row r="27999" spans="1:6" x14ac:dyDescent="0.25">
      <c r="A27999"/>
      <c r="B27999"/>
      <c r="C27999"/>
      <c r="E27999"/>
      <c r="F27999"/>
    </row>
    <row r="28000" spans="1:6" x14ac:dyDescent="0.25">
      <c r="A28000"/>
      <c r="B28000"/>
      <c r="C28000"/>
      <c r="E28000"/>
      <c r="F28000"/>
    </row>
    <row r="28001" spans="1:6" x14ac:dyDescent="0.25">
      <c r="A28001"/>
      <c r="B28001"/>
      <c r="C28001"/>
      <c r="E28001"/>
      <c r="F28001"/>
    </row>
    <row r="28002" spans="1:6" x14ac:dyDescent="0.25">
      <c r="A28002"/>
      <c r="B28002"/>
      <c r="C28002"/>
      <c r="E28002"/>
      <c r="F28002"/>
    </row>
    <row r="28003" spans="1:6" x14ac:dyDescent="0.25">
      <c r="A28003"/>
      <c r="B28003"/>
      <c r="C28003"/>
      <c r="E28003"/>
      <c r="F28003"/>
    </row>
    <row r="28004" spans="1:6" x14ac:dyDescent="0.25">
      <c r="A28004"/>
      <c r="B28004"/>
      <c r="C28004"/>
      <c r="E28004"/>
      <c r="F28004"/>
    </row>
    <row r="28005" spans="1:6" x14ac:dyDescent="0.25">
      <c r="A28005"/>
      <c r="B28005"/>
      <c r="C28005"/>
      <c r="E28005"/>
      <c r="F28005"/>
    </row>
    <row r="28006" spans="1:6" x14ac:dyDescent="0.25">
      <c r="A28006"/>
      <c r="B28006"/>
      <c r="C28006"/>
      <c r="E28006"/>
      <c r="F28006"/>
    </row>
    <row r="28007" spans="1:6" x14ac:dyDescent="0.25">
      <c r="A28007"/>
      <c r="B28007"/>
      <c r="C28007"/>
      <c r="E28007"/>
      <c r="F28007"/>
    </row>
    <row r="28008" spans="1:6" x14ac:dyDescent="0.25">
      <c r="A28008"/>
      <c r="B28008"/>
      <c r="C28008"/>
      <c r="E28008"/>
      <c r="F28008"/>
    </row>
    <row r="28009" spans="1:6" x14ac:dyDescent="0.25">
      <c r="A28009"/>
      <c r="B28009"/>
      <c r="C28009"/>
      <c r="E28009"/>
      <c r="F28009"/>
    </row>
    <row r="28010" spans="1:6" x14ac:dyDescent="0.25">
      <c r="A28010"/>
      <c r="B28010"/>
      <c r="C28010"/>
      <c r="E28010"/>
      <c r="F28010"/>
    </row>
    <row r="28011" spans="1:6" x14ac:dyDescent="0.25">
      <c r="A28011"/>
      <c r="B28011"/>
      <c r="C28011"/>
      <c r="E28011"/>
      <c r="F28011"/>
    </row>
    <row r="28012" spans="1:6" x14ac:dyDescent="0.25">
      <c r="A28012"/>
      <c r="B28012"/>
      <c r="C28012"/>
      <c r="E28012"/>
      <c r="F28012"/>
    </row>
    <row r="28013" spans="1:6" x14ac:dyDescent="0.25">
      <c r="A28013"/>
      <c r="B28013"/>
      <c r="C28013"/>
      <c r="E28013"/>
      <c r="F28013"/>
    </row>
    <row r="28014" spans="1:6" x14ac:dyDescent="0.25">
      <c r="A28014"/>
      <c r="B28014"/>
      <c r="C28014"/>
      <c r="E28014"/>
      <c r="F28014"/>
    </row>
    <row r="28015" spans="1:6" x14ac:dyDescent="0.25">
      <c r="A28015"/>
      <c r="B28015"/>
      <c r="C28015"/>
      <c r="E28015"/>
      <c r="F28015"/>
    </row>
    <row r="28016" spans="1:6" x14ac:dyDescent="0.25">
      <c r="A28016"/>
      <c r="B28016"/>
      <c r="C28016"/>
      <c r="E28016"/>
      <c r="F28016"/>
    </row>
    <row r="28017" spans="1:6" x14ac:dyDescent="0.25">
      <c r="A28017"/>
      <c r="B28017"/>
      <c r="C28017"/>
      <c r="E28017"/>
      <c r="F28017"/>
    </row>
    <row r="28018" spans="1:6" x14ac:dyDescent="0.25">
      <c r="A28018"/>
      <c r="B28018"/>
      <c r="C28018"/>
      <c r="E28018"/>
      <c r="F28018"/>
    </row>
    <row r="28019" spans="1:6" x14ac:dyDescent="0.25">
      <c r="A28019"/>
      <c r="B28019"/>
      <c r="C28019"/>
      <c r="E28019"/>
      <c r="F28019"/>
    </row>
    <row r="28020" spans="1:6" x14ac:dyDescent="0.25">
      <c r="A28020"/>
      <c r="B28020"/>
      <c r="C28020"/>
      <c r="E28020"/>
      <c r="F28020"/>
    </row>
    <row r="28021" spans="1:6" x14ac:dyDescent="0.25">
      <c r="A28021"/>
      <c r="B28021"/>
      <c r="C28021"/>
      <c r="E28021"/>
      <c r="F28021"/>
    </row>
    <row r="28022" spans="1:6" x14ac:dyDescent="0.25">
      <c r="A28022"/>
      <c r="B28022"/>
      <c r="C28022"/>
      <c r="E28022"/>
      <c r="F28022"/>
    </row>
    <row r="28023" spans="1:6" x14ac:dyDescent="0.25">
      <c r="A28023"/>
      <c r="B28023"/>
      <c r="C28023"/>
      <c r="E28023"/>
      <c r="F28023"/>
    </row>
    <row r="28024" spans="1:6" x14ac:dyDescent="0.25">
      <c r="A28024"/>
      <c r="B28024"/>
      <c r="C28024"/>
      <c r="E28024"/>
      <c r="F28024"/>
    </row>
    <row r="28025" spans="1:6" x14ac:dyDescent="0.25">
      <c r="A28025"/>
      <c r="B28025"/>
      <c r="C28025"/>
      <c r="E28025"/>
      <c r="F28025"/>
    </row>
    <row r="28026" spans="1:6" x14ac:dyDescent="0.25">
      <c r="A28026"/>
      <c r="B28026"/>
      <c r="C28026"/>
      <c r="E28026"/>
      <c r="F28026"/>
    </row>
    <row r="28027" spans="1:6" x14ac:dyDescent="0.25">
      <c r="A28027"/>
      <c r="B28027"/>
      <c r="C28027"/>
      <c r="E28027"/>
      <c r="F28027"/>
    </row>
    <row r="28028" spans="1:6" x14ac:dyDescent="0.25">
      <c r="A28028"/>
      <c r="B28028"/>
      <c r="C28028"/>
      <c r="E28028"/>
      <c r="F28028"/>
    </row>
    <row r="28029" spans="1:6" x14ac:dyDescent="0.25">
      <c r="A28029"/>
      <c r="B28029"/>
      <c r="C28029"/>
      <c r="E28029"/>
      <c r="F28029"/>
    </row>
    <row r="28030" spans="1:6" x14ac:dyDescent="0.25">
      <c r="A28030"/>
      <c r="B28030"/>
      <c r="C28030"/>
      <c r="E28030"/>
      <c r="F28030"/>
    </row>
    <row r="28031" spans="1:6" x14ac:dyDescent="0.25">
      <c r="A28031"/>
      <c r="B28031"/>
      <c r="C28031"/>
      <c r="E28031"/>
      <c r="F28031"/>
    </row>
    <row r="28032" spans="1:6" x14ac:dyDescent="0.25">
      <c r="A28032"/>
      <c r="B28032"/>
      <c r="C28032"/>
      <c r="E28032"/>
      <c r="F28032"/>
    </row>
    <row r="28033" spans="1:6" x14ac:dyDescent="0.25">
      <c r="A28033"/>
      <c r="B28033"/>
      <c r="C28033"/>
      <c r="E28033"/>
      <c r="F28033"/>
    </row>
    <row r="28034" spans="1:6" x14ac:dyDescent="0.25">
      <c r="A28034"/>
      <c r="B28034"/>
      <c r="C28034"/>
      <c r="E28034"/>
      <c r="F28034"/>
    </row>
    <row r="28035" spans="1:6" x14ac:dyDescent="0.25">
      <c r="A28035"/>
      <c r="B28035"/>
      <c r="C28035"/>
      <c r="E28035"/>
      <c r="F28035"/>
    </row>
    <row r="28036" spans="1:6" x14ac:dyDescent="0.25">
      <c r="A28036"/>
      <c r="B28036"/>
      <c r="C28036"/>
      <c r="E28036"/>
      <c r="F28036"/>
    </row>
    <row r="28037" spans="1:6" x14ac:dyDescent="0.25">
      <c r="A28037"/>
      <c r="B28037"/>
      <c r="C28037"/>
      <c r="E28037"/>
      <c r="F28037"/>
    </row>
    <row r="28038" spans="1:6" x14ac:dyDescent="0.25">
      <c r="A28038"/>
      <c r="B28038"/>
      <c r="C28038"/>
      <c r="E28038"/>
      <c r="F28038"/>
    </row>
    <row r="28039" spans="1:6" x14ac:dyDescent="0.25">
      <c r="A28039"/>
      <c r="B28039"/>
      <c r="C28039"/>
      <c r="E28039"/>
      <c r="F28039"/>
    </row>
    <row r="28040" spans="1:6" x14ac:dyDescent="0.25">
      <c r="A28040"/>
      <c r="B28040"/>
      <c r="C28040"/>
      <c r="E28040"/>
      <c r="F28040"/>
    </row>
    <row r="28041" spans="1:6" x14ac:dyDescent="0.25">
      <c r="A28041"/>
      <c r="B28041"/>
      <c r="C28041"/>
      <c r="E28041"/>
      <c r="F28041"/>
    </row>
    <row r="28042" spans="1:6" x14ac:dyDescent="0.25">
      <c r="A28042"/>
      <c r="B28042"/>
      <c r="C28042"/>
      <c r="E28042"/>
      <c r="F28042"/>
    </row>
    <row r="28043" spans="1:6" x14ac:dyDescent="0.25">
      <c r="A28043"/>
      <c r="B28043"/>
      <c r="C28043"/>
      <c r="E28043"/>
      <c r="F28043"/>
    </row>
    <row r="28044" spans="1:6" x14ac:dyDescent="0.25">
      <c r="A28044"/>
      <c r="B28044"/>
      <c r="C28044"/>
      <c r="E28044"/>
      <c r="F28044"/>
    </row>
    <row r="28045" spans="1:6" x14ac:dyDescent="0.25">
      <c r="A28045"/>
      <c r="B28045"/>
      <c r="C28045"/>
      <c r="E28045"/>
      <c r="F28045"/>
    </row>
    <row r="28046" spans="1:6" x14ac:dyDescent="0.25">
      <c r="A28046"/>
      <c r="B28046"/>
      <c r="C28046"/>
      <c r="E28046"/>
      <c r="F28046"/>
    </row>
    <row r="28047" spans="1:6" x14ac:dyDescent="0.25">
      <c r="A28047"/>
      <c r="B28047"/>
      <c r="C28047"/>
      <c r="E28047"/>
      <c r="F28047"/>
    </row>
    <row r="28048" spans="1:6" x14ac:dyDescent="0.25">
      <c r="A28048"/>
      <c r="B28048"/>
      <c r="C28048"/>
      <c r="E28048"/>
      <c r="F28048"/>
    </row>
    <row r="28049" spans="1:6" x14ac:dyDescent="0.25">
      <c r="A28049"/>
      <c r="B28049"/>
      <c r="C28049"/>
      <c r="E28049"/>
      <c r="F28049"/>
    </row>
    <row r="28050" spans="1:6" x14ac:dyDescent="0.25">
      <c r="A28050"/>
      <c r="B28050"/>
      <c r="C28050"/>
      <c r="E28050"/>
      <c r="F28050"/>
    </row>
    <row r="28051" spans="1:6" x14ac:dyDescent="0.25">
      <c r="A28051"/>
      <c r="B28051"/>
      <c r="C28051"/>
      <c r="E28051"/>
      <c r="F28051"/>
    </row>
    <row r="28052" spans="1:6" x14ac:dyDescent="0.25">
      <c r="A28052"/>
      <c r="B28052"/>
      <c r="C28052"/>
      <c r="E28052"/>
      <c r="F28052"/>
    </row>
    <row r="28053" spans="1:6" x14ac:dyDescent="0.25">
      <c r="A28053"/>
      <c r="B28053"/>
      <c r="C28053"/>
      <c r="E28053"/>
      <c r="F28053"/>
    </row>
    <row r="28054" spans="1:6" x14ac:dyDescent="0.25">
      <c r="A28054"/>
      <c r="B28054"/>
      <c r="C28054"/>
      <c r="E28054"/>
      <c r="F28054"/>
    </row>
    <row r="28055" spans="1:6" x14ac:dyDescent="0.25">
      <c r="A28055"/>
      <c r="B28055"/>
      <c r="C28055"/>
      <c r="E28055"/>
      <c r="F28055"/>
    </row>
    <row r="28056" spans="1:6" x14ac:dyDescent="0.25">
      <c r="A28056"/>
      <c r="B28056"/>
      <c r="C28056"/>
      <c r="E28056"/>
      <c r="F28056"/>
    </row>
    <row r="28057" spans="1:6" x14ac:dyDescent="0.25">
      <c r="A28057"/>
      <c r="B28057"/>
      <c r="C28057"/>
      <c r="E28057"/>
      <c r="F28057"/>
    </row>
    <row r="28058" spans="1:6" x14ac:dyDescent="0.25">
      <c r="A28058"/>
      <c r="B28058"/>
      <c r="C28058"/>
      <c r="E28058"/>
      <c r="F28058"/>
    </row>
    <row r="28059" spans="1:6" x14ac:dyDescent="0.25">
      <c r="A28059"/>
      <c r="B28059"/>
      <c r="C28059"/>
      <c r="E28059"/>
      <c r="F28059"/>
    </row>
    <row r="28060" spans="1:6" x14ac:dyDescent="0.25">
      <c r="A28060"/>
      <c r="B28060"/>
      <c r="C28060"/>
      <c r="E28060"/>
      <c r="F28060"/>
    </row>
    <row r="28061" spans="1:6" x14ac:dyDescent="0.25">
      <c r="A28061"/>
      <c r="B28061"/>
      <c r="C28061"/>
      <c r="E28061"/>
      <c r="F28061"/>
    </row>
    <row r="28062" spans="1:6" x14ac:dyDescent="0.25">
      <c r="A28062"/>
      <c r="B28062"/>
      <c r="C28062"/>
      <c r="E28062"/>
      <c r="F28062"/>
    </row>
    <row r="28063" spans="1:6" x14ac:dyDescent="0.25">
      <c r="A28063"/>
      <c r="B28063"/>
      <c r="C28063"/>
      <c r="E28063"/>
      <c r="F28063"/>
    </row>
    <row r="28064" spans="1:6" x14ac:dyDescent="0.25">
      <c r="A28064"/>
      <c r="B28064"/>
      <c r="C28064"/>
      <c r="E28064"/>
      <c r="F28064"/>
    </row>
    <row r="28065" spans="1:6" x14ac:dyDescent="0.25">
      <c r="A28065"/>
      <c r="B28065"/>
      <c r="C28065"/>
      <c r="E28065"/>
      <c r="F28065"/>
    </row>
    <row r="28066" spans="1:6" x14ac:dyDescent="0.25">
      <c r="A28066"/>
      <c r="B28066"/>
      <c r="C28066"/>
      <c r="E28066"/>
      <c r="F28066"/>
    </row>
    <row r="28067" spans="1:6" x14ac:dyDescent="0.25">
      <c r="A28067"/>
      <c r="B28067"/>
      <c r="C28067"/>
      <c r="E28067"/>
      <c r="F28067"/>
    </row>
    <row r="28068" spans="1:6" x14ac:dyDescent="0.25">
      <c r="A28068"/>
      <c r="B28068"/>
      <c r="C28068"/>
      <c r="E28068"/>
      <c r="F28068"/>
    </row>
    <row r="28069" spans="1:6" x14ac:dyDescent="0.25">
      <c r="A28069"/>
      <c r="B28069"/>
      <c r="C28069"/>
      <c r="E28069"/>
      <c r="F28069"/>
    </row>
    <row r="28070" spans="1:6" x14ac:dyDescent="0.25">
      <c r="A28070"/>
      <c r="B28070"/>
      <c r="C28070"/>
      <c r="E28070"/>
      <c r="F28070"/>
    </row>
    <row r="28071" spans="1:6" x14ac:dyDescent="0.25">
      <c r="A28071"/>
      <c r="B28071"/>
      <c r="C28071"/>
      <c r="E28071"/>
      <c r="F28071"/>
    </row>
    <row r="28072" spans="1:6" x14ac:dyDescent="0.25">
      <c r="A28072"/>
      <c r="B28072"/>
      <c r="C28072"/>
      <c r="E28072"/>
      <c r="F28072"/>
    </row>
    <row r="28073" spans="1:6" x14ac:dyDescent="0.25">
      <c r="A28073"/>
      <c r="B28073"/>
      <c r="C28073"/>
      <c r="E28073"/>
      <c r="F28073"/>
    </row>
    <row r="28074" spans="1:6" x14ac:dyDescent="0.25">
      <c r="A28074"/>
      <c r="B28074"/>
      <c r="C28074"/>
      <c r="E28074"/>
      <c r="F28074"/>
    </row>
    <row r="28075" spans="1:6" x14ac:dyDescent="0.25">
      <c r="A28075"/>
      <c r="B28075"/>
      <c r="C28075"/>
      <c r="E28075"/>
      <c r="F28075"/>
    </row>
    <row r="28076" spans="1:6" x14ac:dyDescent="0.25">
      <c r="A28076"/>
      <c r="B28076"/>
      <c r="C28076"/>
      <c r="E28076"/>
      <c r="F28076"/>
    </row>
    <row r="28077" spans="1:6" x14ac:dyDescent="0.25">
      <c r="A28077"/>
      <c r="B28077"/>
      <c r="C28077"/>
      <c r="E28077"/>
      <c r="F28077"/>
    </row>
    <row r="28078" spans="1:6" x14ac:dyDescent="0.25">
      <c r="A28078"/>
      <c r="B28078"/>
      <c r="C28078"/>
      <c r="E28078"/>
      <c r="F28078"/>
    </row>
    <row r="28079" spans="1:6" x14ac:dyDescent="0.25">
      <c r="A28079"/>
      <c r="B28079"/>
      <c r="C28079"/>
      <c r="E28079"/>
      <c r="F28079"/>
    </row>
    <row r="28080" spans="1:6" x14ac:dyDescent="0.25">
      <c r="A28080"/>
      <c r="B28080"/>
      <c r="C28080"/>
      <c r="E28080"/>
      <c r="F28080"/>
    </row>
    <row r="28081" spans="1:6" x14ac:dyDescent="0.25">
      <c r="A28081"/>
      <c r="B28081"/>
      <c r="C28081"/>
      <c r="E28081"/>
      <c r="F28081"/>
    </row>
    <row r="28082" spans="1:6" x14ac:dyDescent="0.25">
      <c r="A28082"/>
      <c r="B28082"/>
      <c r="C28082"/>
      <c r="E28082"/>
      <c r="F28082"/>
    </row>
    <row r="28083" spans="1:6" x14ac:dyDescent="0.25">
      <c r="A28083"/>
      <c r="B28083"/>
      <c r="C28083"/>
      <c r="E28083"/>
      <c r="F28083"/>
    </row>
    <row r="28084" spans="1:6" x14ac:dyDescent="0.25">
      <c r="A28084"/>
      <c r="B28084"/>
      <c r="C28084"/>
      <c r="E28084"/>
      <c r="F28084"/>
    </row>
    <row r="28085" spans="1:6" x14ac:dyDescent="0.25">
      <c r="A28085"/>
      <c r="B28085"/>
      <c r="C28085"/>
      <c r="E28085"/>
      <c r="F28085"/>
    </row>
    <row r="28086" spans="1:6" x14ac:dyDescent="0.25">
      <c r="A28086"/>
      <c r="B28086"/>
      <c r="C28086"/>
      <c r="E28086"/>
      <c r="F28086"/>
    </row>
    <row r="28087" spans="1:6" x14ac:dyDescent="0.25">
      <c r="A28087"/>
      <c r="B28087"/>
      <c r="C28087"/>
      <c r="E28087"/>
      <c r="F28087"/>
    </row>
    <row r="28088" spans="1:6" x14ac:dyDescent="0.25">
      <c r="A28088"/>
      <c r="B28088"/>
      <c r="C28088"/>
      <c r="E28088"/>
      <c r="F28088"/>
    </row>
    <row r="28089" spans="1:6" x14ac:dyDescent="0.25">
      <c r="A28089"/>
      <c r="B28089"/>
      <c r="C28089"/>
      <c r="E28089"/>
      <c r="F28089"/>
    </row>
    <row r="28090" spans="1:6" x14ac:dyDescent="0.25">
      <c r="A28090"/>
      <c r="B28090"/>
      <c r="C28090"/>
      <c r="E28090"/>
      <c r="F28090"/>
    </row>
    <row r="28091" spans="1:6" x14ac:dyDescent="0.25">
      <c r="A28091"/>
      <c r="B28091"/>
      <c r="C28091"/>
      <c r="E28091"/>
      <c r="F28091"/>
    </row>
    <row r="28092" spans="1:6" x14ac:dyDescent="0.25">
      <c r="A28092"/>
      <c r="B28092"/>
      <c r="C28092"/>
      <c r="E28092"/>
      <c r="F28092"/>
    </row>
    <row r="28093" spans="1:6" x14ac:dyDescent="0.25">
      <c r="A28093"/>
      <c r="B28093"/>
      <c r="C28093"/>
      <c r="E28093"/>
      <c r="F28093"/>
    </row>
    <row r="28094" spans="1:6" x14ac:dyDescent="0.25">
      <c r="A28094"/>
      <c r="B28094"/>
      <c r="C28094"/>
      <c r="E28094"/>
      <c r="F28094"/>
    </row>
    <row r="28095" spans="1:6" x14ac:dyDescent="0.25">
      <c r="A28095"/>
      <c r="B28095"/>
      <c r="C28095"/>
      <c r="E28095"/>
      <c r="F28095"/>
    </row>
    <row r="28096" spans="1:6" x14ac:dyDescent="0.25">
      <c r="A28096"/>
      <c r="B28096"/>
      <c r="C28096"/>
      <c r="E28096"/>
      <c r="F28096"/>
    </row>
    <row r="28097" spans="1:6" x14ac:dyDescent="0.25">
      <c r="A28097"/>
      <c r="B28097"/>
      <c r="C28097"/>
      <c r="E28097"/>
      <c r="F28097"/>
    </row>
    <row r="28098" spans="1:6" x14ac:dyDescent="0.25">
      <c r="A28098"/>
      <c r="B28098"/>
      <c r="C28098"/>
      <c r="E28098"/>
      <c r="F28098"/>
    </row>
    <row r="28099" spans="1:6" x14ac:dyDescent="0.25">
      <c r="A28099"/>
      <c r="B28099"/>
      <c r="C28099"/>
      <c r="E28099"/>
      <c r="F28099"/>
    </row>
    <row r="28100" spans="1:6" x14ac:dyDescent="0.25">
      <c r="A28100"/>
      <c r="B28100"/>
      <c r="C28100"/>
      <c r="E28100"/>
      <c r="F28100"/>
    </row>
    <row r="28101" spans="1:6" x14ac:dyDescent="0.25">
      <c r="A28101"/>
      <c r="B28101"/>
      <c r="C28101"/>
      <c r="E28101"/>
      <c r="F28101"/>
    </row>
    <row r="28102" spans="1:6" x14ac:dyDescent="0.25">
      <c r="A28102"/>
      <c r="B28102"/>
      <c r="C28102"/>
      <c r="E28102"/>
      <c r="F28102"/>
    </row>
    <row r="28103" spans="1:6" x14ac:dyDescent="0.25">
      <c r="A28103"/>
      <c r="B28103"/>
      <c r="C28103"/>
      <c r="E28103"/>
      <c r="F28103"/>
    </row>
    <row r="28104" spans="1:6" x14ac:dyDescent="0.25">
      <c r="A28104"/>
      <c r="B28104"/>
      <c r="C28104"/>
      <c r="E28104"/>
      <c r="F28104"/>
    </row>
    <row r="28105" spans="1:6" x14ac:dyDescent="0.25">
      <c r="A28105"/>
      <c r="B28105"/>
      <c r="C28105"/>
      <c r="E28105"/>
      <c r="F28105"/>
    </row>
    <row r="28106" spans="1:6" x14ac:dyDescent="0.25">
      <c r="A28106"/>
      <c r="B28106"/>
      <c r="C28106"/>
      <c r="E28106"/>
      <c r="F28106"/>
    </row>
    <row r="28107" spans="1:6" x14ac:dyDescent="0.25">
      <c r="A28107"/>
      <c r="B28107"/>
      <c r="C28107"/>
      <c r="E28107"/>
      <c r="F28107"/>
    </row>
    <row r="28108" spans="1:6" x14ac:dyDescent="0.25">
      <c r="A28108"/>
      <c r="B28108"/>
      <c r="C28108"/>
      <c r="E28108"/>
      <c r="F28108"/>
    </row>
    <row r="28109" spans="1:6" x14ac:dyDescent="0.25">
      <c r="A28109"/>
      <c r="B28109"/>
      <c r="C28109"/>
      <c r="E28109"/>
      <c r="F28109"/>
    </row>
    <row r="28110" spans="1:6" x14ac:dyDescent="0.25">
      <c r="A28110"/>
      <c r="B28110"/>
      <c r="C28110"/>
      <c r="E28110"/>
      <c r="F28110"/>
    </row>
    <row r="28111" spans="1:6" x14ac:dyDescent="0.25">
      <c r="A28111"/>
      <c r="B28111"/>
      <c r="C28111"/>
      <c r="E28111"/>
      <c r="F28111"/>
    </row>
    <row r="28112" spans="1:6" x14ac:dyDescent="0.25">
      <c r="A28112"/>
      <c r="B28112"/>
      <c r="C28112"/>
      <c r="E28112"/>
      <c r="F28112"/>
    </row>
    <row r="28113" spans="1:6" x14ac:dyDescent="0.25">
      <c r="A28113"/>
      <c r="B28113"/>
      <c r="C28113"/>
      <c r="E28113"/>
      <c r="F28113"/>
    </row>
    <row r="28114" spans="1:6" x14ac:dyDescent="0.25">
      <c r="A28114"/>
      <c r="B28114"/>
      <c r="C28114"/>
      <c r="E28114"/>
      <c r="F28114"/>
    </row>
    <row r="28115" spans="1:6" x14ac:dyDescent="0.25">
      <c r="A28115"/>
      <c r="B28115"/>
      <c r="C28115"/>
      <c r="E28115"/>
      <c r="F28115"/>
    </row>
    <row r="28116" spans="1:6" x14ac:dyDescent="0.25">
      <c r="A28116"/>
      <c r="B28116"/>
      <c r="C28116"/>
      <c r="E28116"/>
      <c r="F28116"/>
    </row>
    <row r="28117" spans="1:6" x14ac:dyDescent="0.25">
      <c r="A28117"/>
      <c r="B28117"/>
      <c r="C28117"/>
      <c r="E28117"/>
      <c r="F28117"/>
    </row>
    <row r="28118" spans="1:6" x14ac:dyDescent="0.25">
      <c r="A28118"/>
      <c r="B28118"/>
      <c r="C28118"/>
      <c r="E28118"/>
      <c r="F28118"/>
    </row>
    <row r="28119" spans="1:6" x14ac:dyDescent="0.25">
      <c r="A28119"/>
      <c r="B28119"/>
      <c r="C28119"/>
      <c r="E28119"/>
      <c r="F28119"/>
    </row>
    <row r="28120" spans="1:6" x14ac:dyDescent="0.25">
      <c r="A28120"/>
      <c r="B28120"/>
      <c r="C28120"/>
      <c r="E28120"/>
      <c r="F28120"/>
    </row>
    <row r="28121" spans="1:6" x14ac:dyDescent="0.25">
      <c r="A28121"/>
      <c r="B28121"/>
      <c r="C28121"/>
      <c r="E28121"/>
      <c r="F28121"/>
    </row>
    <row r="28122" spans="1:6" x14ac:dyDescent="0.25">
      <c r="A28122"/>
      <c r="B28122"/>
      <c r="C28122"/>
      <c r="E28122"/>
      <c r="F28122"/>
    </row>
    <row r="28123" spans="1:6" x14ac:dyDescent="0.25">
      <c r="A28123"/>
      <c r="B28123"/>
      <c r="C28123"/>
      <c r="E28123"/>
      <c r="F28123"/>
    </row>
    <row r="28124" spans="1:6" x14ac:dyDescent="0.25">
      <c r="A28124"/>
      <c r="B28124"/>
      <c r="C28124"/>
      <c r="E28124"/>
      <c r="F28124"/>
    </row>
    <row r="28125" spans="1:6" x14ac:dyDescent="0.25">
      <c r="A28125"/>
      <c r="B28125"/>
      <c r="C28125"/>
      <c r="E28125"/>
      <c r="F28125"/>
    </row>
    <row r="28126" spans="1:6" x14ac:dyDescent="0.25">
      <c r="A28126"/>
      <c r="B28126"/>
      <c r="C28126"/>
      <c r="E28126"/>
      <c r="F28126"/>
    </row>
    <row r="28127" spans="1:6" x14ac:dyDescent="0.25">
      <c r="A28127"/>
      <c r="B28127"/>
      <c r="C28127"/>
      <c r="E28127"/>
      <c r="F28127"/>
    </row>
    <row r="28128" spans="1:6" x14ac:dyDescent="0.25">
      <c r="A28128"/>
      <c r="B28128"/>
      <c r="C28128"/>
      <c r="E28128"/>
      <c r="F28128"/>
    </row>
    <row r="28129" spans="1:6" x14ac:dyDescent="0.25">
      <c r="A28129"/>
      <c r="B28129"/>
      <c r="C28129"/>
      <c r="E28129"/>
      <c r="F28129"/>
    </row>
    <row r="28130" spans="1:6" x14ac:dyDescent="0.25">
      <c r="A28130"/>
      <c r="B28130"/>
      <c r="C28130"/>
      <c r="E28130"/>
      <c r="F28130"/>
    </row>
    <row r="28131" spans="1:6" x14ac:dyDescent="0.25">
      <c r="A28131"/>
      <c r="B28131"/>
      <c r="C28131"/>
      <c r="E28131"/>
      <c r="F28131"/>
    </row>
    <row r="28132" spans="1:6" x14ac:dyDescent="0.25">
      <c r="A28132"/>
      <c r="B28132"/>
      <c r="C28132"/>
      <c r="E28132"/>
      <c r="F28132"/>
    </row>
    <row r="28133" spans="1:6" x14ac:dyDescent="0.25">
      <c r="A28133"/>
      <c r="B28133"/>
      <c r="C28133"/>
      <c r="E28133"/>
      <c r="F28133"/>
    </row>
    <row r="28134" spans="1:6" x14ac:dyDescent="0.25">
      <c r="A28134"/>
      <c r="B28134"/>
      <c r="C28134"/>
      <c r="E28134"/>
      <c r="F28134"/>
    </row>
    <row r="28135" spans="1:6" x14ac:dyDescent="0.25">
      <c r="A28135"/>
      <c r="B28135"/>
      <c r="C28135"/>
      <c r="E28135"/>
      <c r="F28135"/>
    </row>
    <row r="28136" spans="1:6" x14ac:dyDescent="0.25">
      <c r="A28136"/>
      <c r="B28136"/>
      <c r="C28136"/>
      <c r="E28136"/>
      <c r="F28136"/>
    </row>
    <row r="28137" spans="1:6" x14ac:dyDescent="0.25">
      <c r="A28137"/>
      <c r="B28137"/>
      <c r="C28137"/>
      <c r="E28137"/>
      <c r="F28137"/>
    </row>
    <row r="28138" spans="1:6" x14ac:dyDescent="0.25">
      <c r="A28138"/>
      <c r="B28138"/>
      <c r="C28138"/>
      <c r="E28138"/>
      <c r="F28138"/>
    </row>
    <row r="28139" spans="1:6" x14ac:dyDescent="0.25">
      <c r="A28139"/>
      <c r="B28139"/>
      <c r="C28139"/>
      <c r="E28139"/>
      <c r="F28139"/>
    </row>
    <row r="28140" spans="1:6" x14ac:dyDescent="0.25">
      <c r="A28140"/>
      <c r="B28140"/>
      <c r="C28140"/>
      <c r="E28140"/>
      <c r="F28140"/>
    </row>
    <row r="28141" spans="1:6" x14ac:dyDescent="0.25">
      <c r="A28141"/>
      <c r="B28141"/>
      <c r="C28141"/>
      <c r="E28141"/>
      <c r="F28141"/>
    </row>
    <row r="28142" spans="1:6" x14ac:dyDescent="0.25">
      <c r="A28142"/>
      <c r="B28142"/>
      <c r="C28142"/>
      <c r="E28142"/>
      <c r="F28142"/>
    </row>
    <row r="28143" spans="1:6" x14ac:dyDescent="0.25">
      <c r="A28143"/>
      <c r="B28143"/>
      <c r="C28143"/>
      <c r="E28143"/>
      <c r="F28143"/>
    </row>
    <row r="28144" spans="1:6" x14ac:dyDescent="0.25">
      <c r="A28144"/>
      <c r="B28144"/>
      <c r="C28144"/>
      <c r="E28144"/>
      <c r="F28144"/>
    </row>
    <row r="28145" spans="1:6" x14ac:dyDescent="0.25">
      <c r="A28145"/>
      <c r="B28145"/>
      <c r="C28145"/>
      <c r="E28145"/>
      <c r="F28145"/>
    </row>
    <row r="28146" spans="1:6" x14ac:dyDescent="0.25">
      <c r="A28146"/>
      <c r="B28146"/>
      <c r="C28146"/>
      <c r="E28146"/>
      <c r="F28146"/>
    </row>
    <row r="28147" spans="1:6" x14ac:dyDescent="0.25">
      <c r="A28147"/>
      <c r="B28147"/>
      <c r="C28147"/>
      <c r="E28147"/>
      <c r="F28147"/>
    </row>
    <row r="28148" spans="1:6" x14ac:dyDescent="0.25">
      <c r="A28148"/>
      <c r="B28148"/>
      <c r="C28148"/>
      <c r="E28148"/>
      <c r="F28148"/>
    </row>
    <row r="28149" spans="1:6" x14ac:dyDescent="0.25">
      <c r="A28149"/>
      <c r="B28149"/>
      <c r="C28149"/>
      <c r="E28149"/>
      <c r="F28149"/>
    </row>
    <row r="28150" spans="1:6" x14ac:dyDescent="0.25">
      <c r="A28150"/>
      <c r="B28150"/>
      <c r="C28150"/>
      <c r="E28150"/>
      <c r="F28150"/>
    </row>
    <row r="28151" spans="1:6" x14ac:dyDescent="0.25">
      <c r="A28151"/>
      <c r="B28151"/>
      <c r="C28151"/>
      <c r="E28151"/>
      <c r="F28151"/>
    </row>
    <row r="28152" spans="1:6" x14ac:dyDescent="0.25">
      <c r="A28152"/>
      <c r="B28152"/>
      <c r="C28152"/>
      <c r="E28152"/>
      <c r="F28152"/>
    </row>
    <row r="28153" spans="1:6" x14ac:dyDescent="0.25">
      <c r="A28153"/>
      <c r="B28153"/>
      <c r="C28153"/>
      <c r="E28153"/>
      <c r="F28153"/>
    </row>
    <row r="28154" spans="1:6" x14ac:dyDescent="0.25">
      <c r="A28154"/>
      <c r="B28154"/>
      <c r="C28154"/>
      <c r="E28154"/>
      <c r="F28154"/>
    </row>
    <row r="28155" spans="1:6" x14ac:dyDescent="0.25">
      <c r="A28155"/>
      <c r="B28155"/>
      <c r="C28155"/>
      <c r="E28155"/>
      <c r="F28155"/>
    </row>
    <row r="28156" spans="1:6" x14ac:dyDescent="0.25">
      <c r="A28156"/>
      <c r="B28156"/>
      <c r="C28156"/>
      <c r="E28156"/>
      <c r="F28156"/>
    </row>
    <row r="28157" spans="1:6" x14ac:dyDescent="0.25">
      <c r="A28157"/>
      <c r="B28157"/>
      <c r="C28157"/>
      <c r="E28157"/>
      <c r="F28157"/>
    </row>
    <row r="28158" spans="1:6" x14ac:dyDescent="0.25">
      <c r="A28158"/>
      <c r="B28158"/>
      <c r="C28158"/>
      <c r="E28158"/>
      <c r="F28158"/>
    </row>
    <row r="28159" spans="1:6" x14ac:dyDescent="0.25">
      <c r="A28159"/>
      <c r="B28159"/>
      <c r="C28159"/>
      <c r="E28159"/>
      <c r="F28159"/>
    </row>
    <row r="28160" spans="1:6" x14ac:dyDescent="0.25">
      <c r="A28160"/>
      <c r="B28160"/>
      <c r="C28160"/>
      <c r="E28160"/>
      <c r="F28160"/>
    </row>
    <row r="28161" spans="1:6" x14ac:dyDescent="0.25">
      <c r="A28161"/>
      <c r="B28161"/>
      <c r="C28161"/>
      <c r="E28161"/>
      <c r="F28161"/>
    </row>
    <row r="28162" spans="1:6" x14ac:dyDescent="0.25">
      <c r="A28162"/>
      <c r="B28162"/>
      <c r="C28162"/>
      <c r="E28162"/>
      <c r="F28162"/>
    </row>
    <row r="28163" spans="1:6" x14ac:dyDescent="0.25">
      <c r="A28163"/>
      <c r="B28163"/>
      <c r="C28163"/>
      <c r="E28163"/>
      <c r="F28163"/>
    </row>
    <row r="28164" spans="1:6" x14ac:dyDescent="0.25">
      <c r="A28164"/>
      <c r="B28164"/>
      <c r="C28164"/>
      <c r="E28164"/>
      <c r="F28164"/>
    </row>
    <row r="28165" spans="1:6" x14ac:dyDescent="0.25">
      <c r="A28165"/>
      <c r="B28165"/>
      <c r="C28165"/>
      <c r="E28165"/>
      <c r="F28165"/>
    </row>
    <row r="28166" spans="1:6" x14ac:dyDescent="0.25">
      <c r="A28166"/>
      <c r="B28166"/>
      <c r="C28166"/>
      <c r="E28166"/>
      <c r="F28166"/>
    </row>
    <row r="28167" spans="1:6" x14ac:dyDescent="0.25">
      <c r="A28167"/>
      <c r="B28167"/>
      <c r="C28167"/>
      <c r="E28167"/>
      <c r="F28167"/>
    </row>
    <row r="28168" spans="1:6" x14ac:dyDescent="0.25">
      <c r="A28168"/>
      <c r="B28168"/>
      <c r="C28168"/>
      <c r="E28168"/>
      <c r="F28168"/>
    </row>
    <row r="28169" spans="1:6" x14ac:dyDescent="0.25">
      <c r="A28169"/>
      <c r="B28169"/>
      <c r="C28169"/>
      <c r="E28169"/>
      <c r="F28169"/>
    </row>
    <row r="28170" spans="1:6" x14ac:dyDescent="0.25">
      <c r="A28170"/>
      <c r="B28170"/>
      <c r="C28170"/>
      <c r="E28170"/>
      <c r="F28170"/>
    </row>
    <row r="28171" spans="1:6" x14ac:dyDescent="0.25">
      <c r="A28171"/>
      <c r="B28171"/>
      <c r="C28171"/>
      <c r="E28171"/>
      <c r="F28171"/>
    </row>
    <row r="28172" spans="1:6" x14ac:dyDescent="0.25">
      <c r="A28172"/>
      <c r="B28172"/>
      <c r="C28172"/>
      <c r="E28172"/>
      <c r="F28172"/>
    </row>
    <row r="28173" spans="1:6" x14ac:dyDescent="0.25">
      <c r="A28173"/>
      <c r="B28173"/>
      <c r="C28173"/>
      <c r="E28173"/>
      <c r="F28173"/>
    </row>
    <row r="28174" spans="1:6" x14ac:dyDescent="0.25">
      <c r="A28174"/>
      <c r="B28174"/>
      <c r="C28174"/>
      <c r="E28174"/>
      <c r="F28174"/>
    </row>
    <row r="28175" spans="1:6" x14ac:dyDescent="0.25">
      <c r="A28175"/>
      <c r="B28175"/>
      <c r="C28175"/>
      <c r="E28175"/>
      <c r="F28175"/>
    </row>
    <row r="28176" spans="1:6" x14ac:dyDescent="0.25">
      <c r="A28176"/>
      <c r="B28176"/>
      <c r="C28176"/>
      <c r="E28176"/>
      <c r="F28176"/>
    </row>
    <row r="28177" spans="1:6" x14ac:dyDescent="0.25">
      <c r="A28177"/>
      <c r="B28177"/>
      <c r="C28177"/>
      <c r="E28177"/>
      <c r="F28177"/>
    </row>
    <row r="28178" spans="1:6" x14ac:dyDescent="0.25">
      <c r="A28178"/>
      <c r="B28178"/>
      <c r="C28178"/>
      <c r="E28178"/>
      <c r="F28178"/>
    </row>
    <row r="28179" spans="1:6" x14ac:dyDescent="0.25">
      <c r="A28179"/>
      <c r="B28179"/>
      <c r="C28179"/>
      <c r="E28179"/>
      <c r="F28179"/>
    </row>
    <row r="28180" spans="1:6" x14ac:dyDescent="0.25">
      <c r="A28180"/>
      <c r="B28180"/>
      <c r="C28180"/>
      <c r="E28180"/>
      <c r="F28180"/>
    </row>
    <row r="28181" spans="1:6" x14ac:dyDescent="0.25">
      <c r="A28181"/>
      <c r="B28181"/>
      <c r="C28181"/>
      <c r="E28181"/>
      <c r="F28181"/>
    </row>
    <row r="28182" spans="1:6" x14ac:dyDescent="0.25">
      <c r="A28182"/>
      <c r="B28182"/>
      <c r="C28182"/>
      <c r="E28182"/>
      <c r="F28182"/>
    </row>
    <row r="28183" spans="1:6" x14ac:dyDescent="0.25">
      <c r="A28183"/>
      <c r="B28183"/>
      <c r="C28183"/>
      <c r="E28183"/>
      <c r="F28183"/>
    </row>
    <row r="28184" spans="1:6" x14ac:dyDescent="0.25">
      <c r="A28184"/>
      <c r="B28184"/>
      <c r="C28184"/>
      <c r="E28184"/>
      <c r="F28184"/>
    </row>
    <row r="28185" spans="1:6" x14ac:dyDescent="0.25">
      <c r="A28185"/>
      <c r="B28185"/>
      <c r="C28185"/>
      <c r="E28185"/>
      <c r="F28185"/>
    </row>
    <row r="28186" spans="1:6" x14ac:dyDescent="0.25">
      <c r="A28186"/>
      <c r="B28186"/>
      <c r="C28186"/>
      <c r="E28186"/>
      <c r="F28186"/>
    </row>
    <row r="28187" spans="1:6" x14ac:dyDescent="0.25">
      <c r="A28187"/>
      <c r="B28187"/>
      <c r="C28187"/>
      <c r="E28187"/>
      <c r="F28187"/>
    </row>
    <row r="28188" spans="1:6" x14ac:dyDescent="0.25">
      <c r="A28188"/>
      <c r="B28188"/>
      <c r="C28188"/>
      <c r="E28188"/>
      <c r="F28188"/>
    </row>
    <row r="28189" spans="1:6" x14ac:dyDescent="0.25">
      <c r="A28189"/>
      <c r="B28189"/>
      <c r="C28189"/>
      <c r="E28189"/>
      <c r="F28189"/>
    </row>
    <row r="28190" spans="1:6" x14ac:dyDescent="0.25">
      <c r="A28190"/>
      <c r="B28190"/>
      <c r="C28190"/>
      <c r="E28190"/>
      <c r="F28190"/>
    </row>
    <row r="28191" spans="1:6" x14ac:dyDescent="0.25">
      <c r="A28191"/>
      <c r="B28191"/>
      <c r="C28191"/>
      <c r="E28191"/>
      <c r="F28191"/>
    </row>
    <row r="28192" spans="1:6" x14ac:dyDescent="0.25">
      <c r="A28192"/>
      <c r="B28192"/>
      <c r="C28192"/>
      <c r="E28192"/>
      <c r="F28192"/>
    </row>
    <row r="28193" spans="1:6" x14ac:dyDescent="0.25">
      <c r="A28193"/>
      <c r="B28193"/>
      <c r="C28193"/>
      <c r="E28193"/>
      <c r="F28193"/>
    </row>
    <row r="28194" spans="1:6" x14ac:dyDescent="0.25">
      <c r="A28194"/>
      <c r="B28194"/>
      <c r="C28194"/>
      <c r="E28194"/>
      <c r="F28194"/>
    </row>
    <row r="28195" spans="1:6" x14ac:dyDescent="0.25">
      <c r="A28195"/>
      <c r="B28195"/>
      <c r="C28195"/>
      <c r="E28195"/>
      <c r="F28195"/>
    </row>
    <row r="28196" spans="1:6" x14ac:dyDescent="0.25">
      <c r="A28196"/>
      <c r="B28196"/>
      <c r="C28196"/>
      <c r="E28196"/>
      <c r="F28196"/>
    </row>
    <row r="28197" spans="1:6" x14ac:dyDescent="0.25">
      <c r="A28197"/>
      <c r="B28197"/>
      <c r="C28197"/>
      <c r="E28197"/>
      <c r="F28197"/>
    </row>
    <row r="28198" spans="1:6" x14ac:dyDescent="0.25">
      <c r="A28198"/>
      <c r="B28198"/>
      <c r="C28198"/>
      <c r="E28198"/>
      <c r="F28198"/>
    </row>
    <row r="28199" spans="1:6" x14ac:dyDescent="0.25">
      <c r="A28199"/>
      <c r="B28199"/>
      <c r="C28199"/>
      <c r="E28199"/>
      <c r="F28199"/>
    </row>
    <row r="28200" spans="1:6" x14ac:dyDescent="0.25">
      <c r="A28200"/>
      <c r="B28200"/>
      <c r="C28200"/>
      <c r="E28200"/>
      <c r="F28200"/>
    </row>
    <row r="28201" spans="1:6" x14ac:dyDescent="0.25">
      <c r="A28201"/>
      <c r="B28201"/>
      <c r="C28201"/>
      <c r="E28201"/>
      <c r="F28201"/>
    </row>
    <row r="28202" spans="1:6" x14ac:dyDescent="0.25">
      <c r="A28202"/>
      <c r="B28202"/>
      <c r="C28202"/>
      <c r="E28202"/>
      <c r="F28202"/>
    </row>
    <row r="28203" spans="1:6" x14ac:dyDescent="0.25">
      <c r="A28203"/>
      <c r="B28203"/>
      <c r="C28203"/>
      <c r="E28203"/>
      <c r="F28203"/>
    </row>
    <row r="28204" spans="1:6" x14ac:dyDescent="0.25">
      <c r="A28204"/>
      <c r="B28204"/>
      <c r="C28204"/>
      <c r="E28204"/>
      <c r="F28204"/>
    </row>
    <row r="28205" spans="1:6" x14ac:dyDescent="0.25">
      <c r="A28205"/>
      <c r="B28205"/>
      <c r="C28205"/>
      <c r="E28205"/>
      <c r="F28205"/>
    </row>
    <row r="28206" spans="1:6" x14ac:dyDescent="0.25">
      <c r="A28206"/>
      <c r="B28206"/>
      <c r="C28206"/>
      <c r="E28206"/>
      <c r="F28206"/>
    </row>
    <row r="28207" spans="1:6" x14ac:dyDescent="0.25">
      <c r="A28207"/>
      <c r="B28207"/>
      <c r="C28207"/>
      <c r="E28207"/>
      <c r="F28207"/>
    </row>
    <row r="28208" spans="1:6" x14ac:dyDescent="0.25">
      <c r="A28208"/>
      <c r="B28208"/>
      <c r="C28208"/>
      <c r="E28208"/>
      <c r="F28208"/>
    </row>
    <row r="28209" spans="1:6" x14ac:dyDescent="0.25">
      <c r="A28209"/>
      <c r="B28209"/>
      <c r="C28209"/>
      <c r="E28209"/>
      <c r="F28209"/>
    </row>
    <row r="28210" spans="1:6" x14ac:dyDescent="0.25">
      <c r="A28210"/>
      <c r="B28210"/>
      <c r="C28210"/>
      <c r="E28210"/>
      <c r="F28210"/>
    </row>
    <row r="28211" spans="1:6" x14ac:dyDescent="0.25">
      <c r="A28211"/>
      <c r="B28211"/>
      <c r="C28211"/>
      <c r="E28211"/>
      <c r="F28211"/>
    </row>
    <row r="28212" spans="1:6" x14ac:dyDescent="0.25">
      <c r="A28212"/>
      <c r="B28212"/>
      <c r="C28212"/>
      <c r="E28212"/>
      <c r="F28212"/>
    </row>
    <row r="28213" spans="1:6" x14ac:dyDescent="0.25">
      <c r="A28213"/>
      <c r="B28213"/>
      <c r="C28213"/>
      <c r="E28213"/>
      <c r="F28213"/>
    </row>
    <row r="28214" spans="1:6" x14ac:dyDescent="0.25">
      <c r="A28214"/>
      <c r="B28214"/>
      <c r="C28214"/>
      <c r="E28214"/>
      <c r="F28214"/>
    </row>
    <row r="28215" spans="1:6" x14ac:dyDescent="0.25">
      <c r="A28215"/>
      <c r="B28215"/>
      <c r="C28215"/>
      <c r="E28215"/>
      <c r="F28215"/>
    </row>
    <row r="28216" spans="1:6" x14ac:dyDescent="0.25">
      <c r="A28216"/>
      <c r="B28216"/>
      <c r="C28216"/>
      <c r="E28216"/>
      <c r="F28216"/>
    </row>
    <row r="28217" spans="1:6" x14ac:dyDescent="0.25">
      <c r="A28217"/>
      <c r="B28217"/>
      <c r="C28217"/>
      <c r="E28217"/>
      <c r="F28217"/>
    </row>
    <row r="28218" spans="1:6" x14ac:dyDescent="0.25">
      <c r="A28218"/>
      <c r="B28218"/>
      <c r="C28218"/>
      <c r="E28218"/>
      <c r="F28218"/>
    </row>
    <row r="28219" spans="1:6" x14ac:dyDescent="0.25">
      <c r="A28219"/>
      <c r="B28219"/>
      <c r="C28219"/>
      <c r="E28219"/>
      <c r="F28219"/>
    </row>
    <row r="28220" spans="1:6" x14ac:dyDescent="0.25">
      <c r="A28220"/>
      <c r="B28220"/>
      <c r="C28220"/>
      <c r="E28220"/>
      <c r="F28220"/>
    </row>
    <row r="28221" spans="1:6" x14ac:dyDescent="0.25">
      <c r="A28221"/>
      <c r="B28221"/>
      <c r="C28221"/>
      <c r="E28221"/>
      <c r="F28221"/>
    </row>
    <row r="28222" spans="1:6" x14ac:dyDescent="0.25">
      <c r="A28222"/>
      <c r="B28222"/>
      <c r="C28222"/>
      <c r="E28222"/>
      <c r="F28222"/>
    </row>
    <row r="28223" spans="1:6" x14ac:dyDescent="0.25">
      <c r="A28223"/>
      <c r="B28223"/>
      <c r="C28223"/>
      <c r="E28223"/>
      <c r="F28223"/>
    </row>
    <row r="28224" spans="1:6" x14ac:dyDescent="0.25">
      <c r="A28224"/>
      <c r="B28224"/>
      <c r="C28224"/>
      <c r="E28224"/>
      <c r="F28224"/>
    </row>
    <row r="28225" spans="1:6" x14ac:dyDescent="0.25">
      <c r="A28225"/>
      <c r="B28225"/>
      <c r="C28225"/>
      <c r="E28225"/>
      <c r="F28225"/>
    </row>
    <row r="28226" spans="1:6" x14ac:dyDescent="0.25">
      <c r="A28226"/>
      <c r="B28226"/>
      <c r="C28226"/>
      <c r="E28226"/>
      <c r="F28226"/>
    </row>
    <row r="28227" spans="1:6" x14ac:dyDescent="0.25">
      <c r="A28227"/>
      <c r="B28227"/>
      <c r="C28227"/>
      <c r="E28227"/>
      <c r="F28227"/>
    </row>
    <row r="28228" spans="1:6" x14ac:dyDescent="0.25">
      <c r="A28228"/>
      <c r="B28228"/>
      <c r="C28228"/>
      <c r="E28228"/>
      <c r="F28228"/>
    </row>
    <row r="28229" spans="1:6" x14ac:dyDescent="0.25">
      <c r="A28229"/>
      <c r="B28229"/>
      <c r="C28229"/>
      <c r="E28229"/>
      <c r="F28229"/>
    </row>
    <row r="28230" spans="1:6" x14ac:dyDescent="0.25">
      <c r="A28230"/>
      <c r="B28230"/>
      <c r="C28230"/>
      <c r="E28230"/>
      <c r="F28230"/>
    </row>
    <row r="28231" spans="1:6" x14ac:dyDescent="0.25">
      <c r="A28231"/>
      <c r="B28231"/>
      <c r="C28231"/>
      <c r="E28231"/>
      <c r="F28231"/>
    </row>
    <row r="28232" spans="1:6" x14ac:dyDescent="0.25">
      <c r="A28232"/>
      <c r="B28232"/>
      <c r="C28232"/>
      <c r="E28232"/>
      <c r="F28232"/>
    </row>
    <row r="28233" spans="1:6" x14ac:dyDescent="0.25">
      <c r="A28233"/>
      <c r="B28233"/>
      <c r="C28233"/>
      <c r="E28233"/>
      <c r="F28233"/>
    </row>
    <row r="28234" spans="1:6" x14ac:dyDescent="0.25">
      <c r="A28234"/>
      <c r="B28234"/>
      <c r="C28234"/>
      <c r="E28234"/>
      <c r="F28234"/>
    </row>
    <row r="28235" spans="1:6" x14ac:dyDescent="0.25">
      <c r="A28235"/>
      <c r="B28235"/>
      <c r="C28235"/>
      <c r="E28235"/>
      <c r="F28235"/>
    </row>
    <row r="28236" spans="1:6" x14ac:dyDescent="0.25">
      <c r="A28236"/>
      <c r="B28236"/>
      <c r="C28236"/>
      <c r="E28236"/>
      <c r="F28236"/>
    </row>
    <row r="28237" spans="1:6" x14ac:dyDescent="0.25">
      <c r="A28237"/>
      <c r="B28237"/>
      <c r="C28237"/>
      <c r="E28237"/>
      <c r="F28237"/>
    </row>
    <row r="28238" spans="1:6" x14ac:dyDescent="0.25">
      <c r="A28238"/>
      <c r="B28238"/>
      <c r="C28238"/>
      <c r="E28238"/>
      <c r="F28238"/>
    </row>
    <row r="28239" spans="1:6" x14ac:dyDescent="0.25">
      <c r="A28239"/>
      <c r="B28239"/>
      <c r="C28239"/>
      <c r="E28239"/>
      <c r="F28239"/>
    </row>
    <row r="28240" spans="1:6" x14ac:dyDescent="0.25">
      <c r="A28240"/>
      <c r="B28240"/>
      <c r="C28240"/>
      <c r="E28240"/>
      <c r="F28240"/>
    </row>
    <row r="28241" spans="1:6" x14ac:dyDescent="0.25">
      <c r="A28241"/>
      <c r="B28241"/>
      <c r="C28241"/>
      <c r="E28241"/>
      <c r="F28241"/>
    </row>
    <row r="28242" spans="1:6" x14ac:dyDescent="0.25">
      <c r="A28242"/>
      <c r="B28242"/>
      <c r="C28242"/>
      <c r="E28242"/>
      <c r="F28242"/>
    </row>
    <row r="28243" spans="1:6" x14ac:dyDescent="0.25">
      <c r="A28243"/>
      <c r="B28243"/>
      <c r="C28243"/>
      <c r="E28243"/>
      <c r="F28243"/>
    </row>
    <row r="28244" spans="1:6" x14ac:dyDescent="0.25">
      <c r="A28244"/>
      <c r="B28244"/>
      <c r="C28244"/>
      <c r="E28244"/>
      <c r="F28244"/>
    </row>
    <row r="28245" spans="1:6" x14ac:dyDescent="0.25">
      <c r="A28245"/>
      <c r="B28245"/>
      <c r="C28245"/>
      <c r="E28245"/>
      <c r="F28245"/>
    </row>
    <row r="28246" spans="1:6" x14ac:dyDescent="0.25">
      <c r="A28246"/>
      <c r="B28246"/>
      <c r="C28246"/>
      <c r="E28246"/>
      <c r="F28246"/>
    </row>
    <row r="28247" spans="1:6" x14ac:dyDescent="0.25">
      <c r="A28247"/>
      <c r="B28247"/>
      <c r="C28247"/>
      <c r="E28247"/>
      <c r="F28247"/>
    </row>
    <row r="28248" spans="1:6" x14ac:dyDescent="0.25">
      <c r="A28248"/>
      <c r="B28248"/>
      <c r="C28248"/>
      <c r="E28248"/>
      <c r="F28248"/>
    </row>
    <row r="28249" spans="1:6" x14ac:dyDescent="0.25">
      <c r="A28249"/>
      <c r="B28249"/>
      <c r="C28249"/>
      <c r="E28249"/>
      <c r="F28249"/>
    </row>
    <row r="28250" spans="1:6" x14ac:dyDescent="0.25">
      <c r="A28250"/>
      <c r="B28250"/>
      <c r="C28250"/>
      <c r="E28250"/>
      <c r="F28250"/>
    </row>
    <row r="28251" spans="1:6" x14ac:dyDescent="0.25">
      <c r="A28251"/>
      <c r="B28251"/>
      <c r="C28251"/>
      <c r="E28251"/>
      <c r="F28251"/>
    </row>
    <row r="28252" spans="1:6" x14ac:dyDescent="0.25">
      <c r="A28252"/>
      <c r="B28252"/>
      <c r="C28252"/>
      <c r="E28252"/>
      <c r="F28252"/>
    </row>
    <row r="28253" spans="1:6" x14ac:dyDescent="0.25">
      <c r="A28253"/>
      <c r="B28253"/>
      <c r="C28253"/>
      <c r="E28253"/>
      <c r="F28253"/>
    </row>
    <row r="28254" spans="1:6" x14ac:dyDescent="0.25">
      <c r="A28254"/>
      <c r="B28254"/>
      <c r="C28254"/>
      <c r="E28254"/>
      <c r="F28254"/>
    </row>
    <row r="28255" spans="1:6" x14ac:dyDescent="0.25">
      <c r="A28255"/>
      <c r="B28255"/>
      <c r="C28255"/>
      <c r="E28255"/>
      <c r="F28255"/>
    </row>
    <row r="28256" spans="1:6" x14ac:dyDescent="0.25">
      <c r="A28256"/>
      <c r="B28256"/>
      <c r="C28256"/>
      <c r="E28256"/>
      <c r="F28256"/>
    </row>
    <row r="28257" spans="1:6" x14ac:dyDescent="0.25">
      <c r="A28257"/>
      <c r="B28257"/>
      <c r="C28257"/>
      <c r="E28257"/>
      <c r="F28257"/>
    </row>
    <row r="28258" spans="1:6" x14ac:dyDescent="0.25">
      <c r="A28258"/>
      <c r="B28258"/>
      <c r="C28258"/>
      <c r="E28258"/>
      <c r="F28258"/>
    </row>
    <row r="28259" spans="1:6" x14ac:dyDescent="0.25">
      <c r="A28259"/>
      <c r="B28259"/>
      <c r="C28259"/>
      <c r="E28259"/>
      <c r="F28259"/>
    </row>
    <row r="28260" spans="1:6" x14ac:dyDescent="0.25">
      <c r="A28260"/>
      <c r="B28260"/>
      <c r="C28260"/>
      <c r="E28260"/>
      <c r="F28260"/>
    </row>
    <row r="28261" spans="1:6" x14ac:dyDescent="0.25">
      <c r="A28261"/>
      <c r="B28261"/>
      <c r="C28261"/>
      <c r="E28261"/>
      <c r="F28261"/>
    </row>
    <row r="28262" spans="1:6" x14ac:dyDescent="0.25">
      <c r="A28262"/>
      <c r="B28262"/>
      <c r="C28262"/>
      <c r="E28262"/>
      <c r="F28262"/>
    </row>
    <row r="28263" spans="1:6" x14ac:dyDescent="0.25">
      <c r="A28263"/>
      <c r="B28263"/>
      <c r="C28263"/>
      <c r="E28263"/>
      <c r="F28263"/>
    </row>
    <row r="28264" spans="1:6" x14ac:dyDescent="0.25">
      <c r="A28264"/>
      <c r="B28264"/>
      <c r="C28264"/>
      <c r="E28264"/>
      <c r="F28264"/>
    </row>
    <row r="28265" spans="1:6" x14ac:dyDescent="0.25">
      <c r="A28265"/>
      <c r="B28265"/>
      <c r="C28265"/>
      <c r="E28265"/>
      <c r="F28265"/>
    </row>
    <row r="28266" spans="1:6" x14ac:dyDescent="0.25">
      <c r="A28266"/>
      <c r="B28266"/>
      <c r="C28266"/>
      <c r="E28266"/>
      <c r="F28266"/>
    </row>
    <row r="28267" spans="1:6" x14ac:dyDescent="0.25">
      <c r="A28267"/>
      <c r="B28267"/>
      <c r="C28267"/>
      <c r="E28267"/>
      <c r="F28267"/>
    </row>
    <row r="28268" spans="1:6" x14ac:dyDescent="0.25">
      <c r="A28268"/>
      <c r="B28268"/>
      <c r="C28268"/>
      <c r="E28268"/>
      <c r="F28268"/>
    </row>
    <row r="28269" spans="1:6" x14ac:dyDescent="0.25">
      <c r="A28269"/>
      <c r="B28269"/>
      <c r="C28269"/>
      <c r="E28269"/>
      <c r="F28269"/>
    </row>
    <row r="28270" spans="1:6" x14ac:dyDescent="0.25">
      <c r="A28270"/>
      <c r="B28270"/>
      <c r="C28270"/>
      <c r="E28270"/>
      <c r="F28270"/>
    </row>
    <row r="28271" spans="1:6" x14ac:dyDescent="0.25">
      <c r="A28271"/>
      <c r="B28271"/>
      <c r="C28271"/>
      <c r="E28271"/>
      <c r="F28271"/>
    </row>
    <row r="28272" spans="1:6" x14ac:dyDescent="0.25">
      <c r="A28272"/>
      <c r="B28272"/>
      <c r="C28272"/>
      <c r="E28272"/>
      <c r="F28272"/>
    </row>
    <row r="28273" spans="1:6" x14ac:dyDescent="0.25">
      <c r="A28273"/>
      <c r="B28273"/>
      <c r="C28273"/>
      <c r="E28273"/>
      <c r="F28273"/>
    </row>
    <row r="28274" spans="1:6" x14ac:dyDescent="0.25">
      <c r="A28274"/>
      <c r="B28274"/>
      <c r="C28274"/>
      <c r="E28274"/>
      <c r="F28274"/>
    </row>
    <row r="28275" spans="1:6" x14ac:dyDescent="0.25">
      <c r="A28275"/>
      <c r="B28275"/>
      <c r="C28275"/>
      <c r="E28275"/>
      <c r="F28275"/>
    </row>
    <row r="28276" spans="1:6" x14ac:dyDescent="0.25">
      <c r="A28276"/>
      <c r="B28276"/>
      <c r="C28276"/>
      <c r="E28276"/>
      <c r="F28276"/>
    </row>
    <row r="28277" spans="1:6" x14ac:dyDescent="0.25">
      <c r="A28277"/>
      <c r="B28277"/>
      <c r="C28277"/>
      <c r="E28277"/>
      <c r="F28277"/>
    </row>
    <row r="28278" spans="1:6" x14ac:dyDescent="0.25">
      <c r="A28278"/>
      <c r="B28278"/>
      <c r="C28278"/>
      <c r="E28278"/>
      <c r="F28278"/>
    </row>
    <row r="28279" spans="1:6" x14ac:dyDescent="0.25">
      <c r="A28279"/>
      <c r="B28279"/>
      <c r="C28279"/>
      <c r="E28279"/>
      <c r="F28279"/>
    </row>
    <row r="28280" spans="1:6" x14ac:dyDescent="0.25">
      <c r="A28280"/>
      <c r="B28280"/>
      <c r="C28280"/>
      <c r="E28280"/>
      <c r="F28280"/>
    </row>
    <row r="28281" spans="1:6" x14ac:dyDescent="0.25">
      <c r="A28281"/>
      <c r="B28281"/>
      <c r="C28281"/>
      <c r="E28281"/>
      <c r="F28281"/>
    </row>
    <row r="28282" spans="1:6" x14ac:dyDescent="0.25">
      <c r="A28282"/>
      <c r="B28282"/>
      <c r="C28282"/>
      <c r="E28282"/>
      <c r="F28282"/>
    </row>
    <row r="28283" spans="1:6" x14ac:dyDescent="0.25">
      <c r="A28283"/>
      <c r="B28283"/>
      <c r="C28283"/>
      <c r="E28283"/>
      <c r="F28283"/>
    </row>
    <row r="28284" spans="1:6" x14ac:dyDescent="0.25">
      <c r="A28284"/>
      <c r="B28284"/>
      <c r="C28284"/>
      <c r="E28284"/>
      <c r="F28284"/>
    </row>
    <row r="28285" spans="1:6" x14ac:dyDescent="0.25">
      <c r="A28285"/>
      <c r="B28285"/>
      <c r="C28285"/>
      <c r="E28285"/>
      <c r="F28285"/>
    </row>
    <row r="28286" spans="1:6" x14ac:dyDescent="0.25">
      <c r="A28286"/>
      <c r="B28286"/>
      <c r="C28286"/>
      <c r="E28286"/>
      <c r="F28286"/>
    </row>
    <row r="28287" spans="1:6" x14ac:dyDescent="0.25">
      <c r="A28287"/>
      <c r="B28287"/>
      <c r="C28287"/>
      <c r="E28287"/>
      <c r="F28287"/>
    </row>
    <row r="28288" spans="1:6" x14ac:dyDescent="0.25">
      <c r="A28288"/>
      <c r="B28288"/>
      <c r="C28288"/>
      <c r="E28288"/>
      <c r="F28288"/>
    </row>
    <row r="28289" spans="1:6" x14ac:dyDescent="0.25">
      <c r="A28289"/>
      <c r="B28289"/>
      <c r="C28289"/>
      <c r="E28289"/>
      <c r="F28289"/>
    </row>
    <row r="28290" spans="1:6" x14ac:dyDescent="0.25">
      <c r="A28290"/>
      <c r="B28290"/>
      <c r="C28290"/>
      <c r="E28290"/>
      <c r="F28290"/>
    </row>
    <row r="28291" spans="1:6" x14ac:dyDescent="0.25">
      <c r="A28291"/>
      <c r="B28291"/>
      <c r="C28291"/>
      <c r="E28291"/>
      <c r="F28291"/>
    </row>
    <row r="28292" spans="1:6" x14ac:dyDescent="0.25">
      <c r="A28292"/>
      <c r="B28292"/>
      <c r="C28292"/>
      <c r="E28292"/>
      <c r="F28292"/>
    </row>
    <row r="28293" spans="1:6" x14ac:dyDescent="0.25">
      <c r="A28293"/>
      <c r="B28293"/>
      <c r="C28293"/>
      <c r="E28293"/>
      <c r="F28293"/>
    </row>
    <row r="28294" spans="1:6" x14ac:dyDescent="0.25">
      <c r="A28294"/>
      <c r="B28294"/>
      <c r="C28294"/>
      <c r="E28294"/>
      <c r="F28294"/>
    </row>
    <row r="28295" spans="1:6" x14ac:dyDescent="0.25">
      <c r="A28295"/>
      <c r="B28295"/>
      <c r="C28295"/>
      <c r="E28295"/>
      <c r="F28295"/>
    </row>
    <row r="28296" spans="1:6" x14ac:dyDescent="0.25">
      <c r="A28296"/>
      <c r="B28296"/>
      <c r="C28296"/>
      <c r="E28296"/>
      <c r="F28296"/>
    </row>
    <row r="28297" spans="1:6" x14ac:dyDescent="0.25">
      <c r="A28297"/>
      <c r="B28297"/>
      <c r="C28297"/>
      <c r="E28297"/>
      <c r="F28297"/>
    </row>
    <row r="28298" spans="1:6" x14ac:dyDescent="0.25">
      <c r="A28298"/>
      <c r="B28298"/>
      <c r="C28298"/>
      <c r="E28298"/>
      <c r="F28298"/>
    </row>
    <row r="28299" spans="1:6" x14ac:dyDescent="0.25">
      <c r="A28299"/>
      <c r="B28299"/>
      <c r="C28299"/>
      <c r="E28299"/>
      <c r="F28299"/>
    </row>
    <row r="28300" spans="1:6" x14ac:dyDescent="0.25">
      <c r="A28300"/>
      <c r="B28300"/>
      <c r="C28300"/>
      <c r="E28300"/>
      <c r="F28300"/>
    </row>
    <row r="28301" spans="1:6" x14ac:dyDescent="0.25">
      <c r="A28301"/>
      <c r="B28301"/>
      <c r="C28301"/>
      <c r="E28301"/>
      <c r="F28301"/>
    </row>
    <row r="28302" spans="1:6" x14ac:dyDescent="0.25">
      <c r="A28302"/>
      <c r="B28302"/>
      <c r="C28302"/>
      <c r="E28302"/>
      <c r="F28302"/>
    </row>
    <row r="28303" spans="1:6" x14ac:dyDescent="0.25">
      <c r="A28303"/>
      <c r="B28303"/>
      <c r="C28303"/>
      <c r="E28303"/>
      <c r="F28303"/>
    </row>
    <row r="28304" spans="1:6" x14ac:dyDescent="0.25">
      <c r="A28304"/>
      <c r="B28304"/>
      <c r="C28304"/>
      <c r="E28304"/>
      <c r="F28304"/>
    </row>
    <row r="28305" spans="1:6" x14ac:dyDescent="0.25">
      <c r="A28305"/>
      <c r="B28305"/>
      <c r="C28305"/>
      <c r="E28305"/>
      <c r="F28305"/>
    </row>
    <row r="28306" spans="1:6" x14ac:dyDescent="0.25">
      <c r="A28306"/>
      <c r="B28306"/>
      <c r="C28306"/>
      <c r="E28306"/>
      <c r="F28306"/>
    </row>
    <row r="28307" spans="1:6" x14ac:dyDescent="0.25">
      <c r="A28307"/>
      <c r="B28307"/>
      <c r="C28307"/>
      <c r="E28307"/>
      <c r="F28307"/>
    </row>
    <row r="28308" spans="1:6" x14ac:dyDescent="0.25">
      <c r="A28308"/>
      <c r="B28308"/>
      <c r="C28308"/>
      <c r="E28308"/>
      <c r="F28308"/>
    </row>
    <row r="28309" spans="1:6" x14ac:dyDescent="0.25">
      <c r="A28309"/>
      <c r="B28309"/>
      <c r="C28309"/>
      <c r="E28309"/>
      <c r="F28309"/>
    </row>
    <row r="28310" spans="1:6" x14ac:dyDescent="0.25">
      <c r="A28310"/>
      <c r="B28310"/>
      <c r="C28310"/>
      <c r="E28310"/>
      <c r="F28310"/>
    </row>
    <row r="28311" spans="1:6" x14ac:dyDescent="0.25">
      <c r="A28311"/>
      <c r="B28311"/>
      <c r="C28311"/>
      <c r="E28311"/>
      <c r="F28311"/>
    </row>
    <row r="28312" spans="1:6" x14ac:dyDescent="0.25">
      <c r="A28312"/>
      <c r="B28312"/>
      <c r="C28312"/>
      <c r="E28312"/>
      <c r="F28312"/>
    </row>
    <row r="28313" spans="1:6" x14ac:dyDescent="0.25">
      <c r="A28313"/>
      <c r="B28313"/>
      <c r="C28313"/>
      <c r="E28313"/>
      <c r="F28313"/>
    </row>
    <row r="28314" spans="1:6" x14ac:dyDescent="0.25">
      <c r="A28314"/>
      <c r="B28314"/>
      <c r="C28314"/>
      <c r="E28314"/>
      <c r="F28314"/>
    </row>
    <row r="28315" spans="1:6" x14ac:dyDescent="0.25">
      <c r="A28315"/>
      <c r="B28315"/>
      <c r="C28315"/>
      <c r="E28315"/>
      <c r="F28315"/>
    </row>
    <row r="28316" spans="1:6" x14ac:dyDescent="0.25">
      <c r="A28316"/>
      <c r="B28316"/>
      <c r="C28316"/>
      <c r="E28316"/>
      <c r="F28316"/>
    </row>
    <row r="28317" spans="1:6" x14ac:dyDescent="0.25">
      <c r="A28317"/>
      <c r="B28317"/>
      <c r="C28317"/>
      <c r="E28317"/>
      <c r="F28317"/>
    </row>
    <row r="28318" spans="1:6" x14ac:dyDescent="0.25">
      <c r="A28318"/>
      <c r="B28318"/>
      <c r="C28318"/>
      <c r="E28318"/>
      <c r="F28318"/>
    </row>
    <row r="28319" spans="1:6" x14ac:dyDescent="0.25">
      <c r="A28319"/>
      <c r="B28319"/>
      <c r="C28319"/>
      <c r="E28319"/>
      <c r="F28319"/>
    </row>
    <row r="28320" spans="1:6" x14ac:dyDescent="0.25">
      <c r="A28320"/>
      <c r="B28320"/>
      <c r="C28320"/>
      <c r="E28320"/>
      <c r="F28320"/>
    </row>
    <row r="28321" spans="1:6" x14ac:dyDescent="0.25">
      <c r="A28321"/>
      <c r="B28321"/>
      <c r="C28321"/>
      <c r="E28321"/>
      <c r="F28321"/>
    </row>
    <row r="28322" spans="1:6" x14ac:dyDescent="0.25">
      <c r="A28322"/>
      <c r="B28322"/>
      <c r="C28322"/>
      <c r="E28322"/>
      <c r="F28322"/>
    </row>
    <row r="28323" spans="1:6" x14ac:dyDescent="0.25">
      <c r="A28323"/>
      <c r="B28323"/>
      <c r="C28323"/>
      <c r="E28323"/>
      <c r="F28323"/>
    </row>
    <row r="28324" spans="1:6" x14ac:dyDescent="0.25">
      <c r="A28324"/>
      <c r="B28324"/>
      <c r="C28324"/>
      <c r="E28324"/>
      <c r="F28324"/>
    </row>
    <row r="28325" spans="1:6" x14ac:dyDescent="0.25">
      <c r="A28325"/>
      <c r="B28325"/>
      <c r="C28325"/>
      <c r="E28325"/>
      <c r="F28325"/>
    </row>
    <row r="28326" spans="1:6" x14ac:dyDescent="0.25">
      <c r="A28326"/>
      <c r="B28326"/>
      <c r="C28326"/>
      <c r="E28326"/>
      <c r="F28326"/>
    </row>
    <row r="28327" spans="1:6" x14ac:dyDescent="0.25">
      <c r="A28327"/>
      <c r="B28327"/>
      <c r="C28327"/>
      <c r="E28327"/>
      <c r="F28327"/>
    </row>
    <row r="28328" spans="1:6" x14ac:dyDescent="0.25">
      <c r="A28328"/>
      <c r="B28328"/>
      <c r="C28328"/>
      <c r="E28328"/>
      <c r="F28328"/>
    </row>
    <row r="28329" spans="1:6" x14ac:dyDescent="0.25">
      <c r="A28329"/>
      <c r="B28329"/>
      <c r="C28329"/>
      <c r="E28329"/>
      <c r="F28329"/>
    </row>
    <row r="28330" spans="1:6" x14ac:dyDescent="0.25">
      <c r="A28330"/>
      <c r="B28330"/>
      <c r="C28330"/>
      <c r="E28330"/>
      <c r="F28330"/>
    </row>
    <row r="28331" spans="1:6" x14ac:dyDescent="0.25">
      <c r="A28331"/>
      <c r="B28331"/>
      <c r="C28331"/>
      <c r="E28331"/>
      <c r="F28331"/>
    </row>
    <row r="28332" spans="1:6" x14ac:dyDescent="0.25">
      <c r="A28332"/>
      <c r="B28332"/>
      <c r="C28332"/>
      <c r="E28332"/>
      <c r="F28332"/>
    </row>
    <row r="28333" spans="1:6" x14ac:dyDescent="0.25">
      <c r="A28333"/>
      <c r="B28333"/>
      <c r="C28333"/>
      <c r="E28333"/>
      <c r="F28333"/>
    </row>
    <row r="28334" spans="1:6" x14ac:dyDescent="0.25">
      <c r="A28334"/>
      <c r="B28334"/>
      <c r="C28334"/>
      <c r="E28334"/>
      <c r="F28334"/>
    </row>
    <row r="28335" spans="1:6" x14ac:dyDescent="0.25">
      <c r="A28335"/>
      <c r="B28335"/>
      <c r="C28335"/>
      <c r="E28335"/>
      <c r="F28335"/>
    </row>
    <row r="28336" spans="1:6" x14ac:dyDescent="0.25">
      <c r="A28336"/>
      <c r="B28336"/>
      <c r="C28336"/>
      <c r="E28336"/>
      <c r="F28336"/>
    </row>
    <row r="28337" spans="1:6" x14ac:dyDescent="0.25">
      <c r="A28337"/>
      <c r="B28337"/>
      <c r="C28337"/>
      <c r="E28337"/>
      <c r="F28337"/>
    </row>
    <row r="28338" spans="1:6" x14ac:dyDescent="0.25">
      <c r="A28338"/>
      <c r="B28338"/>
      <c r="C28338"/>
      <c r="E28338"/>
      <c r="F28338"/>
    </row>
    <row r="28339" spans="1:6" x14ac:dyDescent="0.25">
      <c r="A28339"/>
      <c r="B28339"/>
      <c r="C28339"/>
      <c r="E28339"/>
      <c r="F28339"/>
    </row>
    <row r="28340" spans="1:6" x14ac:dyDescent="0.25">
      <c r="A28340"/>
      <c r="B28340"/>
      <c r="C28340"/>
      <c r="E28340"/>
      <c r="F28340"/>
    </row>
    <row r="28341" spans="1:6" x14ac:dyDescent="0.25">
      <c r="A28341"/>
      <c r="B28341"/>
      <c r="C28341"/>
      <c r="E28341"/>
      <c r="F28341"/>
    </row>
    <row r="28342" spans="1:6" x14ac:dyDescent="0.25">
      <c r="A28342"/>
      <c r="B28342"/>
      <c r="C28342"/>
      <c r="E28342"/>
      <c r="F28342"/>
    </row>
    <row r="28343" spans="1:6" x14ac:dyDescent="0.25">
      <c r="A28343"/>
      <c r="B28343"/>
      <c r="C28343"/>
      <c r="E28343"/>
      <c r="F28343"/>
    </row>
    <row r="28344" spans="1:6" x14ac:dyDescent="0.25">
      <c r="A28344"/>
      <c r="B28344"/>
      <c r="C28344"/>
      <c r="E28344"/>
      <c r="F28344"/>
    </row>
    <row r="28345" spans="1:6" x14ac:dyDescent="0.25">
      <c r="A28345"/>
      <c r="B28345"/>
      <c r="C28345"/>
      <c r="E28345"/>
      <c r="F28345"/>
    </row>
    <row r="28346" spans="1:6" x14ac:dyDescent="0.25">
      <c r="A28346"/>
      <c r="B28346"/>
      <c r="C28346"/>
      <c r="E28346"/>
      <c r="F28346"/>
    </row>
    <row r="28347" spans="1:6" x14ac:dyDescent="0.25">
      <c r="A28347"/>
      <c r="B28347"/>
      <c r="C28347"/>
      <c r="E28347"/>
      <c r="F28347"/>
    </row>
    <row r="28348" spans="1:6" x14ac:dyDescent="0.25">
      <c r="A28348"/>
      <c r="B28348"/>
      <c r="C28348"/>
      <c r="E28348"/>
      <c r="F28348"/>
    </row>
    <row r="28349" spans="1:6" x14ac:dyDescent="0.25">
      <c r="A28349"/>
      <c r="B28349"/>
      <c r="C28349"/>
      <c r="E28349"/>
      <c r="F28349"/>
    </row>
    <row r="28350" spans="1:6" x14ac:dyDescent="0.25">
      <c r="A28350"/>
      <c r="B28350"/>
      <c r="C28350"/>
      <c r="E28350"/>
      <c r="F28350"/>
    </row>
    <row r="28351" spans="1:6" x14ac:dyDescent="0.25">
      <c r="A28351"/>
      <c r="B28351"/>
      <c r="C28351"/>
      <c r="E28351"/>
      <c r="F28351"/>
    </row>
    <row r="28352" spans="1:6" x14ac:dyDescent="0.25">
      <c r="A28352"/>
      <c r="B28352"/>
      <c r="C28352"/>
      <c r="E28352"/>
      <c r="F28352"/>
    </row>
    <row r="28353" spans="1:6" x14ac:dyDescent="0.25">
      <c r="A28353"/>
      <c r="B28353"/>
      <c r="C28353"/>
      <c r="E28353"/>
      <c r="F28353"/>
    </row>
    <row r="28354" spans="1:6" x14ac:dyDescent="0.25">
      <c r="A28354"/>
      <c r="B28354"/>
      <c r="C28354"/>
      <c r="E28354"/>
      <c r="F28354"/>
    </row>
    <row r="28355" spans="1:6" x14ac:dyDescent="0.25">
      <c r="A28355"/>
      <c r="B28355"/>
      <c r="C28355"/>
      <c r="E28355"/>
      <c r="F28355"/>
    </row>
    <row r="28356" spans="1:6" x14ac:dyDescent="0.25">
      <c r="A28356"/>
      <c r="B28356"/>
      <c r="C28356"/>
      <c r="E28356"/>
      <c r="F28356"/>
    </row>
    <row r="28357" spans="1:6" x14ac:dyDescent="0.25">
      <c r="A28357"/>
      <c r="B28357"/>
      <c r="C28357"/>
      <c r="E28357"/>
      <c r="F28357"/>
    </row>
    <row r="28358" spans="1:6" x14ac:dyDescent="0.25">
      <c r="A28358"/>
      <c r="B28358"/>
      <c r="C28358"/>
      <c r="E28358"/>
      <c r="F28358"/>
    </row>
    <row r="28359" spans="1:6" x14ac:dyDescent="0.25">
      <c r="A28359"/>
      <c r="B28359"/>
      <c r="C28359"/>
      <c r="E28359"/>
      <c r="F28359"/>
    </row>
    <row r="28360" spans="1:6" x14ac:dyDescent="0.25">
      <c r="A28360"/>
      <c r="B28360"/>
      <c r="C28360"/>
      <c r="E28360"/>
      <c r="F28360"/>
    </row>
    <row r="28361" spans="1:6" x14ac:dyDescent="0.25">
      <c r="A28361"/>
      <c r="B28361"/>
      <c r="C28361"/>
      <c r="E28361"/>
      <c r="F28361"/>
    </row>
    <row r="28362" spans="1:6" x14ac:dyDescent="0.25">
      <c r="A28362"/>
      <c r="B28362"/>
      <c r="C28362"/>
      <c r="E28362"/>
      <c r="F28362"/>
    </row>
    <row r="28363" spans="1:6" x14ac:dyDescent="0.25">
      <c r="A28363"/>
      <c r="B28363"/>
      <c r="C28363"/>
      <c r="E28363"/>
      <c r="F28363"/>
    </row>
    <row r="28364" spans="1:6" x14ac:dyDescent="0.25">
      <c r="A28364"/>
      <c r="B28364"/>
      <c r="C28364"/>
      <c r="E28364"/>
      <c r="F28364"/>
    </row>
    <row r="28365" spans="1:6" x14ac:dyDescent="0.25">
      <c r="A28365"/>
      <c r="B28365"/>
      <c r="C28365"/>
      <c r="E28365"/>
      <c r="F28365"/>
    </row>
    <row r="28366" spans="1:6" x14ac:dyDescent="0.25">
      <c r="A28366"/>
      <c r="B28366"/>
      <c r="C28366"/>
      <c r="E28366"/>
      <c r="F28366"/>
    </row>
    <row r="28367" spans="1:6" x14ac:dyDescent="0.25">
      <c r="A28367"/>
      <c r="B28367"/>
      <c r="C28367"/>
      <c r="E28367"/>
      <c r="F28367"/>
    </row>
    <row r="28368" spans="1:6" x14ac:dyDescent="0.25">
      <c r="A28368"/>
      <c r="B28368"/>
      <c r="C28368"/>
      <c r="E28368"/>
      <c r="F28368"/>
    </row>
    <row r="28369" spans="1:6" x14ac:dyDescent="0.25">
      <c r="A28369"/>
      <c r="B28369"/>
      <c r="C28369"/>
      <c r="E28369"/>
      <c r="F28369"/>
    </row>
    <row r="28370" spans="1:6" x14ac:dyDescent="0.25">
      <c r="A28370"/>
      <c r="B28370"/>
      <c r="C28370"/>
      <c r="E28370"/>
      <c r="F28370"/>
    </row>
    <row r="28371" spans="1:6" x14ac:dyDescent="0.25">
      <c r="A28371"/>
      <c r="B28371"/>
      <c r="C28371"/>
      <c r="E28371"/>
      <c r="F28371"/>
    </row>
    <row r="28372" spans="1:6" x14ac:dyDescent="0.25">
      <c r="A28372"/>
      <c r="B28372"/>
      <c r="C28372"/>
      <c r="E28372"/>
      <c r="F28372"/>
    </row>
    <row r="28373" spans="1:6" x14ac:dyDescent="0.25">
      <c r="A28373"/>
      <c r="B28373"/>
      <c r="C28373"/>
      <c r="E28373"/>
      <c r="F28373"/>
    </row>
    <row r="28374" spans="1:6" x14ac:dyDescent="0.25">
      <c r="A28374"/>
      <c r="B28374"/>
      <c r="C28374"/>
      <c r="E28374"/>
      <c r="F28374"/>
    </row>
    <row r="28375" spans="1:6" x14ac:dyDescent="0.25">
      <c r="A28375"/>
      <c r="B28375"/>
      <c r="C28375"/>
      <c r="E28375"/>
      <c r="F28375"/>
    </row>
    <row r="28376" spans="1:6" x14ac:dyDescent="0.25">
      <c r="A28376"/>
      <c r="B28376"/>
      <c r="C28376"/>
      <c r="E28376"/>
      <c r="F28376"/>
    </row>
    <row r="28377" spans="1:6" x14ac:dyDescent="0.25">
      <c r="A28377"/>
      <c r="B28377"/>
      <c r="C28377"/>
      <c r="E28377"/>
      <c r="F28377"/>
    </row>
    <row r="28378" spans="1:6" x14ac:dyDescent="0.25">
      <c r="A28378"/>
      <c r="B28378"/>
      <c r="C28378"/>
      <c r="E28378"/>
      <c r="F28378"/>
    </row>
    <row r="28379" spans="1:6" x14ac:dyDescent="0.25">
      <c r="A28379"/>
      <c r="B28379"/>
      <c r="C28379"/>
      <c r="E28379"/>
      <c r="F28379"/>
    </row>
    <row r="28380" spans="1:6" x14ac:dyDescent="0.25">
      <c r="A28380"/>
      <c r="B28380"/>
      <c r="C28380"/>
      <c r="E28380"/>
      <c r="F28380"/>
    </row>
    <row r="28381" spans="1:6" x14ac:dyDescent="0.25">
      <c r="A28381"/>
      <c r="B28381"/>
      <c r="C28381"/>
      <c r="E28381"/>
      <c r="F28381"/>
    </row>
    <row r="28382" spans="1:6" x14ac:dyDescent="0.25">
      <c r="A28382"/>
      <c r="B28382"/>
      <c r="C28382"/>
      <c r="E28382"/>
      <c r="F28382"/>
    </row>
    <row r="28383" spans="1:6" x14ac:dyDescent="0.25">
      <c r="A28383"/>
      <c r="B28383"/>
      <c r="C28383"/>
      <c r="E28383"/>
      <c r="F28383"/>
    </row>
    <row r="28384" spans="1:6" x14ac:dyDescent="0.25">
      <c r="A28384"/>
      <c r="B28384"/>
      <c r="C28384"/>
      <c r="E28384"/>
      <c r="F28384"/>
    </row>
    <row r="28385" spans="1:6" x14ac:dyDescent="0.25">
      <c r="A28385"/>
      <c r="B28385"/>
      <c r="C28385"/>
      <c r="E28385"/>
      <c r="F28385"/>
    </row>
    <row r="28386" spans="1:6" x14ac:dyDescent="0.25">
      <c r="A28386"/>
      <c r="B28386"/>
      <c r="C28386"/>
      <c r="E28386"/>
      <c r="F28386"/>
    </row>
    <row r="28387" spans="1:6" x14ac:dyDescent="0.25">
      <c r="A28387"/>
      <c r="B28387"/>
      <c r="C28387"/>
      <c r="E28387"/>
      <c r="F28387"/>
    </row>
    <row r="28388" spans="1:6" x14ac:dyDescent="0.25">
      <c r="A28388"/>
      <c r="B28388"/>
      <c r="C28388"/>
      <c r="E28388"/>
      <c r="F28388"/>
    </row>
    <row r="28389" spans="1:6" x14ac:dyDescent="0.25">
      <c r="A28389"/>
      <c r="B28389"/>
      <c r="C28389"/>
      <c r="E28389"/>
      <c r="F28389"/>
    </row>
    <row r="28390" spans="1:6" x14ac:dyDescent="0.25">
      <c r="A28390"/>
      <c r="B28390"/>
      <c r="C28390"/>
      <c r="E28390"/>
      <c r="F28390"/>
    </row>
    <row r="28391" spans="1:6" x14ac:dyDescent="0.25">
      <c r="A28391"/>
      <c r="B28391"/>
      <c r="C28391"/>
      <c r="E28391"/>
      <c r="F28391"/>
    </row>
    <row r="28392" spans="1:6" x14ac:dyDescent="0.25">
      <c r="A28392"/>
      <c r="B28392"/>
      <c r="C28392"/>
      <c r="E28392"/>
      <c r="F28392"/>
    </row>
    <row r="28393" spans="1:6" x14ac:dyDescent="0.25">
      <c r="A28393"/>
      <c r="B28393"/>
      <c r="C28393"/>
      <c r="E28393"/>
      <c r="F28393"/>
    </row>
    <row r="28394" spans="1:6" x14ac:dyDescent="0.25">
      <c r="A28394"/>
      <c r="B28394"/>
      <c r="C28394"/>
      <c r="E28394"/>
      <c r="F28394"/>
    </row>
    <row r="28395" spans="1:6" x14ac:dyDescent="0.25">
      <c r="A28395"/>
      <c r="B28395"/>
      <c r="C28395"/>
      <c r="E28395"/>
      <c r="F28395"/>
    </row>
    <row r="28396" spans="1:6" x14ac:dyDescent="0.25">
      <c r="A28396"/>
      <c r="B28396"/>
      <c r="C28396"/>
      <c r="E28396"/>
      <c r="F28396"/>
    </row>
    <row r="28397" spans="1:6" x14ac:dyDescent="0.25">
      <c r="A28397"/>
      <c r="B28397"/>
      <c r="C28397"/>
      <c r="E28397"/>
      <c r="F28397"/>
    </row>
    <row r="28398" spans="1:6" x14ac:dyDescent="0.25">
      <c r="A28398"/>
      <c r="B28398"/>
      <c r="C28398"/>
      <c r="E28398"/>
      <c r="F28398"/>
    </row>
    <row r="28399" spans="1:6" x14ac:dyDescent="0.25">
      <c r="A28399"/>
      <c r="B28399"/>
      <c r="C28399"/>
      <c r="E28399"/>
      <c r="F28399"/>
    </row>
    <row r="28400" spans="1:6" x14ac:dyDescent="0.25">
      <c r="A28400"/>
      <c r="B28400"/>
      <c r="C28400"/>
      <c r="E28400"/>
      <c r="F28400"/>
    </row>
    <row r="28401" spans="1:6" x14ac:dyDescent="0.25">
      <c r="A28401"/>
      <c r="B28401"/>
      <c r="C28401"/>
      <c r="E28401"/>
      <c r="F28401"/>
    </row>
    <row r="28402" spans="1:6" x14ac:dyDescent="0.25">
      <c r="A28402"/>
      <c r="B28402"/>
      <c r="C28402"/>
      <c r="E28402"/>
      <c r="F28402"/>
    </row>
    <row r="28403" spans="1:6" x14ac:dyDescent="0.25">
      <c r="A28403"/>
      <c r="B28403"/>
      <c r="C28403"/>
      <c r="E28403"/>
      <c r="F28403"/>
    </row>
    <row r="28404" spans="1:6" x14ac:dyDescent="0.25">
      <c r="A28404"/>
      <c r="B28404"/>
      <c r="C28404"/>
      <c r="E28404"/>
      <c r="F28404"/>
    </row>
    <row r="28405" spans="1:6" x14ac:dyDescent="0.25">
      <c r="A28405"/>
      <c r="B28405"/>
      <c r="C28405"/>
      <c r="E28405"/>
      <c r="F28405"/>
    </row>
    <row r="28406" spans="1:6" x14ac:dyDescent="0.25">
      <c r="A28406"/>
      <c r="B28406"/>
      <c r="C28406"/>
      <c r="E28406"/>
      <c r="F28406"/>
    </row>
    <row r="28407" spans="1:6" x14ac:dyDescent="0.25">
      <c r="A28407"/>
      <c r="B28407"/>
      <c r="C28407"/>
      <c r="E28407"/>
      <c r="F28407"/>
    </row>
    <row r="28408" spans="1:6" x14ac:dyDescent="0.25">
      <c r="A28408"/>
      <c r="B28408"/>
      <c r="C28408"/>
      <c r="E28408"/>
      <c r="F28408"/>
    </row>
    <row r="28409" spans="1:6" x14ac:dyDescent="0.25">
      <c r="A28409"/>
      <c r="B28409"/>
      <c r="C28409"/>
      <c r="E28409"/>
      <c r="F28409"/>
    </row>
    <row r="28410" spans="1:6" x14ac:dyDescent="0.25">
      <c r="A28410"/>
      <c r="B28410"/>
      <c r="C28410"/>
      <c r="E28410"/>
      <c r="F28410"/>
    </row>
    <row r="28411" spans="1:6" x14ac:dyDescent="0.25">
      <c r="A28411"/>
      <c r="B28411"/>
      <c r="C28411"/>
      <c r="E28411"/>
      <c r="F28411"/>
    </row>
    <row r="28412" spans="1:6" x14ac:dyDescent="0.25">
      <c r="A28412"/>
      <c r="B28412"/>
      <c r="C28412"/>
      <c r="E28412"/>
      <c r="F28412"/>
    </row>
    <row r="28413" spans="1:6" x14ac:dyDescent="0.25">
      <c r="A28413"/>
      <c r="B28413"/>
      <c r="C28413"/>
      <c r="E28413"/>
      <c r="F28413"/>
    </row>
    <row r="28414" spans="1:6" x14ac:dyDescent="0.25">
      <c r="A28414"/>
      <c r="B28414"/>
      <c r="C28414"/>
      <c r="E28414"/>
      <c r="F28414"/>
    </row>
    <row r="28415" spans="1:6" x14ac:dyDescent="0.25">
      <c r="A28415"/>
      <c r="B28415"/>
      <c r="C28415"/>
      <c r="E28415"/>
      <c r="F28415"/>
    </row>
    <row r="28416" spans="1:6" x14ac:dyDescent="0.25">
      <c r="A28416"/>
      <c r="B28416"/>
      <c r="C28416"/>
      <c r="E28416"/>
      <c r="F28416"/>
    </row>
    <row r="28417" spans="1:6" x14ac:dyDescent="0.25">
      <c r="A28417"/>
      <c r="B28417"/>
      <c r="C28417"/>
      <c r="E28417"/>
      <c r="F28417"/>
    </row>
    <row r="28418" spans="1:6" x14ac:dyDescent="0.25">
      <c r="A28418"/>
      <c r="B28418"/>
      <c r="C28418"/>
      <c r="E28418"/>
      <c r="F28418"/>
    </row>
    <row r="28419" spans="1:6" x14ac:dyDescent="0.25">
      <c r="A28419"/>
      <c r="B28419"/>
      <c r="C28419"/>
      <c r="E28419"/>
      <c r="F28419"/>
    </row>
    <row r="28420" spans="1:6" x14ac:dyDescent="0.25">
      <c r="A28420"/>
      <c r="B28420"/>
      <c r="C28420"/>
      <c r="E28420"/>
      <c r="F28420"/>
    </row>
    <row r="28421" spans="1:6" x14ac:dyDescent="0.25">
      <c r="A28421"/>
      <c r="B28421"/>
      <c r="C28421"/>
      <c r="E28421"/>
      <c r="F28421"/>
    </row>
    <row r="28422" spans="1:6" x14ac:dyDescent="0.25">
      <c r="A28422"/>
      <c r="B28422"/>
      <c r="C28422"/>
      <c r="E28422"/>
      <c r="F28422"/>
    </row>
    <row r="28423" spans="1:6" x14ac:dyDescent="0.25">
      <c r="A28423"/>
      <c r="B28423"/>
      <c r="C28423"/>
      <c r="E28423"/>
      <c r="F28423"/>
    </row>
    <row r="28424" spans="1:6" x14ac:dyDescent="0.25">
      <c r="A28424"/>
      <c r="B28424"/>
      <c r="C28424"/>
      <c r="E28424"/>
      <c r="F28424"/>
    </row>
    <row r="28425" spans="1:6" x14ac:dyDescent="0.25">
      <c r="A28425"/>
      <c r="B28425"/>
      <c r="C28425"/>
      <c r="E28425"/>
      <c r="F28425"/>
    </row>
    <row r="28426" spans="1:6" x14ac:dyDescent="0.25">
      <c r="A28426"/>
      <c r="B28426"/>
      <c r="C28426"/>
      <c r="E28426"/>
      <c r="F28426"/>
    </row>
    <row r="28427" spans="1:6" x14ac:dyDescent="0.25">
      <c r="A28427"/>
      <c r="B28427"/>
      <c r="C28427"/>
      <c r="E28427"/>
      <c r="F28427"/>
    </row>
    <row r="28428" spans="1:6" x14ac:dyDescent="0.25">
      <c r="A28428"/>
      <c r="B28428"/>
      <c r="C28428"/>
      <c r="E28428"/>
      <c r="F28428"/>
    </row>
    <row r="28429" spans="1:6" x14ac:dyDescent="0.25">
      <c r="A28429"/>
      <c r="B28429"/>
      <c r="C28429"/>
      <c r="E28429"/>
      <c r="F28429"/>
    </row>
    <row r="28430" spans="1:6" x14ac:dyDescent="0.25">
      <c r="A28430"/>
      <c r="B28430"/>
      <c r="C28430"/>
      <c r="E28430"/>
      <c r="F28430"/>
    </row>
    <row r="28431" spans="1:6" x14ac:dyDescent="0.25">
      <c r="A28431"/>
      <c r="B28431"/>
      <c r="C28431"/>
      <c r="E28431"/>
      <c r="F28431"/>
    </row>
    <row r="28432" spans="1:6" x14ac:dyDescent="0.25">
      <c r="A28432"/>
      <c r="B28432"/>
      <c r="C28432"/>
      <c r="E28432"/>
      <c r="F28432"/>
    </row>
    <row r="28433" spans="1:6" x14ac:dyDescent="0.25">
      <c r="A28433"/>
      <c r="B28433"/>
      <c r="C28433"/>
      <c r="E28433"/>
      <c r="F28433"/>
    </row>
    <row r="28434" spans="1:6" x14ac:dyDescent="0.25">
      <c r="A28434"/>
      <c r="B28434"/>
      <c r="C28434"/>
      <c r="E28434"/>
      <c r="F28434"/>
    </row>
    <row r="28435" spans="1:6" x14ac:dyDescent="0.25">
      <c r="A28435"/>
      <c r="B28435"/>
      <c r="C28435"/>
      <c r="E28435"/>
      <c r="F28435"/>
    </row>
    <row r="28436" spans="1:6" x14ac:dyDescent="0.25">
      <c r="A28436"/>
      <c r="B28436"/>
      <c r="C28436"/>
      <c r="E28436"/>
      <c r="F28436"/>
    </row>
    <row r="28437" spans="1:6" x14ac:dyDescent="0.25">
      <c r="A28437"/>
      <c r="B28437"/>
      <c r="C28437"/>
      <c r="E28437"/>
      <c r="F28437"/>
    </row>
    <row r="28438" spans="1:6" x14ac:dyDescent="0.25">
      <c r="A28438"/>
      <c r="B28438"/>
      <c r="C28438"/>
      <c r="E28438"/>
      <c r="F28438"/>
    </row>
    <row r="28439" spans="1:6" x14ac:dyDescent="0.25">
      <c r="A28439"/>
      <c r="B28439"/>
      <c r="C28439"/>
      <c r="E28439"/>
      <c r="F28439"/>
    </row>
    <row r="28440" spans="1:6" x14ac:dyDescent="0.25">
      <c r="A28440"/>
      <c r="B28440"/>
      <c r="C28440"/>
      <c r="E28440"/>
      <c r="F28440"/>
    </row>
    <row r="28441" spans="1:6" x14ac:dyDescent="0.25">
      <c r="A28441"/>
      <c r="B28441"/>
      <c r="C28441"/>
      <c r="E28441"/>
      <c r="F28441"/>
    </row>
    <row r="28442" spans="1:6" x14ac:dyDescent="0.25">
      <c r="A28442"/>
      <c r="B28442"/>
      <c r="C28442"/>
      <c r="E28442"/>
      <c r="F28442"/>
    </row>
    <row r="28443" spans="1:6" x14ac:dyDescent="0.25">
      <c r="A28443"/>
      <c r="B28443"/>
      <c r="C28443"/>
      <c r="E28443"/>
      <c r="F28443"/>
    </row>
    <row r="28444" spans="1:6" x14ac:dyDescent="0.25">
      <c r="A28444"/>
      <c r="B28444"/>
      <c r="C28444"/>
      <c r="E28444"/>
      <c r="F28444"/>
    </row>
    <row r="28445" spans="1:6" x14ac:dyDescent="0.25">
      <c r="A28445"/>
      <c r="B28445"/>
      <c r="C28445"/>
      <c r="E28445"/>
      <c r="F28445"/>
    </row>
    <row r="28446" spans="1:6" x14ac:dyDescent="0.25">
      <c r="A28446"/>
      <c r="B28446"/>
      <c r="C28446"/>
      <c r="E28446"/>
      <c r="F28446"/>
    </row>
    <row r="28447" spans="1:6" x14ac:dyDescent="0.25">
      <c r="A28447"/>
      <c r="B28447"/>
      <c r="C28447"/>
      <c r="E28447"/>
      <c r="F28447"/>
    </row>
    <row r="28448" spans="1:6" x14ac:dyDescent="0.25">
      <c r="A28448"/>
      <c r="B28448"/>
      <c r="C28448"/>
      <c r="E28448"/>
      <c r="F28448"/>
    </row>
    <row r="28449" spans="1:6" x14ac:dyDescent="0.25">
      <c r="A28449"/>
      <c r="B28449"/>
      <c r="C28449"/>
      <c r="E28449"/>
      <c r="F28449"/>
    </row>
    <row r="28450" spans="1:6" x14ac:dyDescent="0.25">
      <c r="A28450"/>
      <c r="B28450"/>
      <c r="C28450"/>
      <c r="E28450"/>
      <c r="F28450"/>
    </row>
    <row r="28451" spans="1:6" x14ac:dyDescent="0.25">
      <c r="A28451"/>
      <c r="B28451"/>
      <c r="C28451"/>
      <c r="E28451"/>
      <c r="F28451"/>
    </row>
    <row r="28452" spans="1:6" x14ac:dyDescent="0.25">
      <c r="A28452"/>
      <c r="B28452"/>
      <c r="C28452"/>
      <c r="E28452"/>
      <c r="F28452"/>
    </row>
    <row r="28453" spans="1:6" x14ac:dyDescent="0.25">
      <c r="A28453"/>
      <c r="B28453"/>
      <c r="C28453"/>
      <c r="E28453"/>
      <c r="F28453"/>
    </row>
    <row r="28454" spans="1:6" x14ac:dyDescent="0.25">
      <c r="A28454"/>
      <c r="B28454"/>
      <c r="C28454"/>
      <c r="E28454"/>
      <c r="F28454"/>
    </row>
    <row r="28455" spans="1:6" x14ac:dyDescent="0.25">
      <c r="A28455"/>
      <c r="B28455"/>
      <c r="C28455"/>
      <c r="E28455"/>
      <c r="F28455"/>
    </row>
    <row r="28456" spans="1:6" x14ac:dyDescent="0.25">
      <c r="A28456"/>
      <c r="B28456"/>
      <c r="C28456"/>
      <c r="E28456"/>
      <c r="F28456"/>
    </row>
    <row r="28457" spans="1:6" x14ac:dyDescent="0.25">
      <c r="A28457"/>
      <c r="B28457"/>
      <c r="C28457"/>
      <c r="E28457"/>
      <c r="F28457"/>
    </row>
    <row r="28458" spans="1:6" x14ac:dyDescent="0.25">
      <c r="A28458"/>
      <c r="B28458"/>
      <c r="C28458"/>
      <c r="E28458"/>
      <c r="F28458"/>
    </row>
    <row r="28459" spans="1:6" x14ac:dyDescent="0.25">
      <c r="A28459"/>
      <c r="B28459"/>
      <c r="C28459"/>
      <c r="E28459"/>
      <c r="F28459"/>
    </row>
    <row r="28460" spans="1:6" x14ac:dyDescent="0.25">
      <c r="A28460"/>
      <c r="B28460"/>
      <c r="C28460"/>
      <c r="E28460"/>
      <c r="F28460"/>
    </row>
    <row r="28461" spans="1:6" x14ac:dyDescent="0.25">
      <c r="A28461"/>
      <c r="B28461"/>
      <c r="C28461"/>
      <c r="E28461"/>
      <c r="F28461"/>
    </row>
    <row r="28462" spans="1:6" x14ac:dyDescent="0.25">
      <c r="A28462"/>
      <c r="B28462"/>
      <c r="C28462"/>
      <c r="E28462"/>
      <c r="F28462"/>
    </row>
    <row r="28463" spans="1:6" x14ac:dyDescent="0.25">
      <c r="A28463"/>
      <c r="B28463"/>
      <c r="C28463"/>
      <c r="E28463"/>
      <c r="F28463"/>
    </row>
    <row r="28464" spans="1:6" x14ac:dyDescent="0.25">
      <c r="A28464"/>
      <c r="B28464"/>
      <c r="C28464"/>
      <c r="E28464"/>
      <c r="F28464"/>
    </row>
    <row r="28465" spans="1:6" x14ac:dyDescent="0.25">
      <c r="A28465"/>
      <c r="B28465"/>
      <c r="C28465"/>
      <c r="E28465"/>
      <c r="F28465"/>
    </row>
    <row r="28466" spans="1:6" x14ac:dyDescent="0.25">
      <c r="A28466"/>
      <c r="B28466"/>
      <c r="C28466"/>
      <c r="E28466"/>
      <c r="F28466"/>
    </row>
    <row r="28467" spans="1:6" x14ac:dyDescent="0.25">
      <c r="A28467"/>
      <c r="B28467"/>
      <c r="C28467"/>
      <c r="E28467"/>
      <c r="F28467"/>
    </row>
    <row r="28468" spans="1:6" x14ac:dyDescent="0.25">
      <c r="A28468"/>
      <c r="B28468"/>
      <c r="C28468"/>
      <c r="E28468"/>
      <c r="F28468"/>
    </row>
    <row r="28469" spans="1:6" x14ac:dyDescent="0.25">
      <c r="A28469"/>
      <c r="B28469"/>
      <c r="C28469"/>
      <c r="E28469"/>
      <c r="F28469"/>
    </row>
    <row r="28470" spans="1:6" x14ac:dyDescent="0.25">
      <c r="A28470"/>
      <c r="B28470"/>
      <c r="C28470"/>
      <c r="E28470"/>
      <c r="F28470"/>
    </row>
    <row r="28471" spans="1:6" x14ac:dyDescent="0.25">
      <c r="A28471"/>
      <c r="B28471"/>
      <c r="C28471"/>
      <c r="E28471"/>
      <c r="F28471"/>
    </row>
    <row r="28472" spans="1:6" x14ac:dyDescent="0.25">
      <c r="A28472"/>
      <c r="B28472"/>
      <c r="C28472"/>
      <c r="E28472"/>
      <c r="F28472"/>
    </row>
    <row r="28473" spans="1:6" x14ac:dyDescent="0.25">
      <c r="A28473"/>
      <c r="B28473"/>
      <c r="C28473"/>
      <c r="E28473"/>
      <c r="F28473"/>
    </row>
    <row r="28474" spans="1:6" x14ac:dyDescent="0.25">
      <c r="A28474"/>
      <c r="B28474"/>
      <c r="C28474"/>
      <c r="E28474"/>
      <c r="F28474"/>
    </row>
    <row r="28475" spans="1:6" x14ac:dyDescent="0.25">
      <c r="A28475"/>
      <c r="B28475"/>
      <c r="C28475"/>
      <c r="E28475"/>
      <c r="F28475"/>
    </row>
    <row r="28476" spans="1:6" x14ac:dyDescent="0.25">
      <c r="A28476"/>
      <c r="B28476"/>
      <c r="C28476"/>
      <c r="E28476"/>
      <c r="F28476"/>
    </row>
    <row r="28477" spans="1:6" x14ac:dyDescent="0.25">
      <c r="A28477"/>
      <c r="B28477"/>
      <c r="C28477"/>
      <c r="E28477"/>
      <c r="F28477"/>
    </row>
    <row r="28478" spans="1:6" x14ac:dyDescent="0.25">
      <c r="A28478"/>
      <c r="B28478"/>
      <c r="C28478"/>
      <c r="E28478"/>
      <c r="F28478"/>
    </row>
    <row r="28479" spans="1:6" x14ac:dyDescent="0.25">
      <c r="A28479"/>
      <c r="B28479"/>
      <c r="C28479"/>
      <c r="E28479"/>
      <c r="F28479"/>
    </row>
    <row r="28480" spans="1:6" x14ac:dyDescent="0.25">
      <c r="A28480"/>
      <c r="B28480"/>
      <c r="C28480"/>
      <c r="E28480"/>
      <c r="F28480"/>
    </row>
    <row r="28481" spans="1:6" x14ac:dyDescent="0.25">
      <c r="A28481"/>
      <c r="B28481"/>
      <c r="C28481"/>
      <c r="E28481"/>
      <c r="F28481"/>
    </row>
    <row r="28482" spans="1:6" x14ac:dyDescent="0.25">
      <c r="A28482"/>
      <c r="B28482"/>
      <c r="C28482"/>
      <c r="E28482"/>
      <c r="F28482"/>
    </row>
    <row r="28483" spans="1:6" x14ac:dyDescent="0.25">
      <c r="A28483"/>
      <c r="B28483"/>
      <c r="C28483"/>
      <c r="E28483"/>
      <c r="F28483"/>
    </row>
    <row r="28484" spans="1:6" x14ac:dyDescent="0.25">
      <c r="A28484"/>
      <c r="B28484"/>
      <c r="C28484"/>
      <c r="E28484"/>
      <c r="F28484"/>
    </row>
    <row r="28485" spans="1:6" x14ac:dyDescent="0.25">
      <c r="A28485"/>
      <c r="B28485"/>
      <c r="C28485"/>
      <c r="E28485"/>
      <c r="F28485"/>
    </row>
    <row r="28486" spans="1:6" x14ac:dyDescent="0.25">
      <c r="A28486"/>
      <c r="B28486"/>
      <c r="C28486"/>
      <c r="E28486"/>
      <c r="F28486"/>
    </row>
    <row r="28487" spans="1:6" x14ac:dyDescent="0.25">
      <c r="A28487"/>
      <c r="B28487"/>
      <c r="C28487"/>
      <c r="E28487"/>
      <c r="F28487"/>
    </row>
    <row r="28488" spans="1:6" x14ac:dyDescent="0.25">
      <c r="A28488"/>
      <c r="B28488"/>
      <c r="C28488"/>
      <c r="E28488"/>
      <c r="F28488"/>
    </row>
    <row r="28489" spans="1:6" x14ac:dyDescent="0.25">
      <c r="A28489"/>
      <c r="B28489"/>
      <c r="C28489"/>
      <c r="E28489"/>
      <c r="F28489"/>
    </row>
    <row r="28490" spans="1:6" x14ac:dyDescent="0.25">
      <c r="A28490"/>
      <c r="B28490"/>
      <c r="C28490"/>
      <c r="E28490"/>
      <c r="F28490"/>
    </row>
    <row r="28491" spans="1:6" x14ac:dyDescent="0.25">
      <c r="A28491"/>
      <c r="B28491"/>
      <c r="C28491"/>
      <c r="E28491"/>
      <c r="F28491"/>
    </row>
    <row r="28492" spans="1:6" x14ac:dyDescent="0.25">
      <c r="A28492"/>
      <c r="B28492"/>
      <c r="C28492"/>
      <c r="E28492"/>
      <c r="F28492"/>
    </row>
    <row r="28493" spans="1:6" x14ac:dyDescent="0.25">
      <c r="A28493"/>
      <c r="B28493"/>
      <c r="C28493"/>
      <c r="E28493"/>
      <c r="F28493"/>
    </row>
    <row r="28494" spans="1:6" x14ac:dyDescent="0.25">
      <c r="A28494"/>
      <c r="B28494"/>
      <c r="C28494"/>
      <c r="E28494"/>
      <c r="F28494"/>
    </row>
    <row r="28495" spans="1:6" x14ac:dyDescent="0.25">
      <c r="A28495"/>
      <c r="B28495"/>
      <c r="C28495"/>
      <c r="E28495"/>
      <c r="F28495"/>
    </row>
    <row r="28496" spans="1:6" x14ac:dyDescent="0.25">
      <c r="A28496"/>
      <c r="B28496"/>
      <c r="C28496"/>
      <c r="E28496"/>
      <c r="F28496"/>
    </row>
    <row r="28497" spans="1:6" x14ac:dyDescent="0.25">
      <c r="A28497"/>
      <c r="B28497"/>
      <c r="C28497"/>
      <c r="E28497"/>
      <c r="F28497"/>
    </row>
    <row r="28498" spans="1:6" x14ac:dyDescent="0.25">
      <c r="A28498"/>
      <c r="B28498"/>
      <c r="C28498"/>
      <c r="E28498"/>
      <c r="F28498"/>
    </row>
    <row r="28499" spans="1:6" x14ac:dyDescent="0.25">
      <c r="A28499"/>
      <c r="B28499"/>
      <c r="C28499"/>
      <c r="E28499"/>
      <c r="F28499"/>
    </row>
    <row r="28500" spans="1:6" x14ac:dyDescent="0.25">
      <c r="A28500"/>
      <c r="B28500"/>
      <c r="C28500"/>
      <c r="E28500"/>
      <c r="F28500"/>
    </row>
    <row r="28501" spans="1:6" x14ac:dyDescent="0.25">
      <c r="A28501"/>
      <c r="B28501"/>
      <c r="C28501"/>
      <c r="E28501"/>
      <c r="F28501"/>
    </row>
    <row r="28502" spans="1:6" x14ac:dyDescent="0.25">
      <c r="A28502"/>
      <c r="B28502"/>
      <c r="C28502"/>
      <c r="E28502"/>
      <c r="F28502"/>
    </row>
    <row r="28503" spans="1:6" x14ac:dyDescent="0.25">
      <c r="A28503"/>
      <c r="B28503"/>
      <c r="C28503"/>
      <c r="E28503"/>
      <c r="F28503"/>
    </row>
    <row r="28504" spans="1:6" x14ac:dyDescent="0.25">
      <c r="A28504"/>
      <c r="B28504"/>
      <c r="C28504"/>
      <c r="E28504"/>
      <c r="F28504"/>
    </row>
    <row r="28505" spans="1:6" x14ac:dyDescent="0.25">
      <c r="A28505"/>
      <c r="B28505"/>
      <c r="C28505"/>
      <c r="E28505"/>
      <c r="F28505"/>
    </row>
    <row r="28506" spans="1:6" x14ac:dyDescent="0.25">
      <c r="A28506"/>
      <c r="B28506"/>
      <c r="C28506"/>
      <c r="E28506"/>
      <c r="F28506"/>
    </row>
    <row r="28507" spans="1:6" x14ac:dyDescent="0.25">
      <c r="A28507"/>
      <c r="B28507"/>
      <c r="C28507"/>
      <c r="E28507"/>
      <c r="F28507"/>
    </row>
    <row r="28508" spans="1:6" x14ac:dyDescent="0.25">
      <c r="A28508"/>
      <c r="B28508"/>
      <c r="C28508"/>
      <c r="E28508"/>
      <c r="F28508"/>
    </row>
    <row r="28509" spans="1:6" x14ac:dyDescent="0.25">
      <c r="A28509"/>
      <c r="B28509"/>
      <c r="C28509"/>
      <c r="E28509"/>
      <c r="F28509"/>
    </row>
    <row r="28510" spans="1:6" x14ac:dyDescent="0.25">
      <c r="A28510"/>
      <c r="B28510"/>
      <c r="C28510"/>
      <c r="E28510"/>
      <c r="F28510"/>
    </row>
    <row r="28511" spans="1:6" x14ac:dyDescent="0.25">
      <c r="A28511"/>
      <c r="B28511"/>
      <c r="C28511"/>
      <c r="E28511"/>
      <c r="F28511"/>
    </row>
    <row r="28512" spans="1:6" x14ac:dyDescent="0.25">
      <c r="A28512"/>
      <c r="B28512"/>
      <c r="C28512"/>
      <c r="E28512"/>
      <c r="F28512"/>
    </row>
    <row r="28513" spans="1:6" x14ac:dyDescent="0.25">
      <c r="A28513"/>
      <c r="B28513"/>
      <c r="C28513"/>
      <c r="E28513"/>
      <c r="F28513"/>
    </row>
    <row r="28514" spans="1:6" x14ac:dyDescent="0.25">
      <c r="A28514"/>
      <c r="B28514"/>
      <c r="C28514"/>
      <c r="E28514"/>
      <c r="F28514"/>
    </row>
    <row r="28515" spans="1:6" x14ac:dyDescent="0.25">
      <c r="A28515"/>
      <c r="B28515"/>
      <c r="C28515"/>
      <c r="E28515"/>
      <c r="F28515"/>
    </row>
    <row r="28516" spans="1:6" x14ac:dyDescent="0.25">
      <c r="A28516"/>
      <c r="B28516"/>
      <c r="C28516"/>
      <c r="E28516"/>
      <c r="F28516"/>
    </row>
    <row r="28517" spans="1:6" x14ac:dyDescent="0.25">
      <c r="A28517"/>
      <c r="B28517"/>
      <c r="C28517"/>
      <c r="E28517"/>
      <c r="F28517"/>
    </row>
    <row r="28518" spans="1:6" x14ac:dyDescent="0.25">
      <c r="A28518"/>
      <c r="B28518"/>
      <c r="C28518"/>
      <c r="E28518"/>
      <c r="F28518"/>
    </row>
    <row r="28519" spans="1:6" x14ac:dyDescent="0.25">
      <c r="A28519"/>
      <c r="B28519"/>
      <c r="C28519"/>
      <c r="E28519"/>
      <c r="F28519"/>
    </row>
    <row r="28520" spans="1:6" x14ac:dyDescent="0.25">
      <c r="A28520"/>
      <c r="B28520"/>
      <c r="C28520"/>
      <c r="E28520"/>
      <c r="F28520"/>
    </row>
    <row r="28521" spans="1:6" x14ac:dyDescent="0.25">
      <c r="A28521"/>
      <c r="B28521"/>
      <c r="C28521"/>
      <c r="E28521"/>
      <c r="F28521"/>
    </row>
    <row r="28522" spans="1:6" x14ac:dyDescent="0.25">
      <c r="A28522"/>
      <c r="B28522"/>
      <c r="C28522"/>
      <c r="E28522"/>
      <c r="F28522"/>
    </row>
    <row r="28523" spans="1:6" x14ac:dyDescent="0.25">
      <c r="A28523"/>
      <c r="B28523"/>
      <c r="C28523"/>
      <c r="E28523"/>
      <c r="F28523"/>
    </row>
    <row r="28524" spans="1:6" x14ac:dyDescent="0.25">
      <c r="A28524"/>
      <c r="B28524"/>
      <c r="C28524"/>
      <c r="E28524"/>
      <c r="F28524"/>
    </row>
    <row r="28525" spans="1:6" x14ac:dyDescent="0.25">
      <c r="A28525"/>
      <c r="B28525"/>
      <c r="C28525"/>
      <c r="E28525"/>
      <c r="F28525"/>
    </row>
    <row r="28526" spans="1:6" x14ac:dyDescent="0.25">
      <c r="A28526"/>
      <c r="B28526"/>
      <c r="C28526"/>
      <c r="E28526"/>
      <c r="F28526"/>
    </row>
    <row r="28527" spans="1:6" x14ac:dyDescent="0.25">
      <c r="A28527"/>
      <c r="B28527"/>
      <c r="C28527"/>
      <c r="E28527"/>
      <c r="F28527"/>
    </row>
    <row r="28528" spans="1:6" x14ac:dyDescent="0.25">
      <c r="A28528"/>
      <c r="B28528"/>
      <c r="C28528"/>
      <c r="E28528"/>
      <c r="F28528"/>
    </row>
    <row r="28529" spans="1:6" x14ac:dyDescent="0.25">
      <c r="A28529"/>
      <c r="B28529"/>
      <c r="C28529"/>
      <c r="E28529"/>
      <c r="F28529"/>
    </row>
    <row r="28530" spans="1:6" x14ac:dyDescent="0.25">
      <c r="A28530"/>
      <c r="B28530"/>
      <c r="C28530"/>
      <c r="E28530"/>
      <c r="F28530"/>
    </row>
    <row r="28531" spans="1:6" x14ac:dyDescent="0.25">
      <c r="A28531"/>
      <c r="B28531"/>
      <c r="C28531"/>
      <c r="E28531"/>
      <c r="F28531"/>
    </row>
    <row r="28532" spans="1:6" x14ac:dyDescent="0.25">
      <c r="A28532"/>
      <c r="B28532"/>
      <c r="C28532"/>
      <c r="E28532"/>
      <c r="F28532"/>
    </row>
    <row r="28533" spans="1:6" x14ac:dyDescent="0.25">
      <c r="A28533"/>
      <c r="B28533"/>
      <c r="C28533"/>
      <c r="E28533"/>
      <c r="F28533"/>
    </row>
    <row r="28534" spans="1:6" x14ac:dyDescent="0.25">
      <c r="A28534"/>
      <c r="B28534"/>
      <c r="C28534"/>
      <c r="E28534"/>
      <c r="F28534"/>
    </row>
    <row r="28535" spans="1:6" x14ac:dyDescent="0.25">
      <c r="A28535"/>
      <c r="B28535"/>
      <c r="C28535"/>
      <c r="E28535"/>
      <c r="F28535"/>
    </row>
    <row r="28536" spans="1:6" x14ac:dyDescent="0.25">
      <c r="A28536"/>
      <c r="B28536"/>
      <c r="C28536"/>
      <c r="E28536"/>
      <c r="F28536"/>
    </row>
    <row r="28537" spans="1:6" x14ac:dyDescent="0.25">
      <c r="A28537"/>
      <c r="B28537"/>
      <c r="C28537"/>
      <c r="E28537"/>
      <c r="F28537"/>
    </row>
    <row r="28538" spans="1:6" x14ac:dyDescent="0.25">
      <c r="A28538"/>
      <c r="B28538"/>
      <c r="C28538"/>
      <c r="E28538"/>
      <c r="F28538"/>
    </row>
    <row r="28539" spans="1:6" x14ac:dyDescent="0.25">
      <c r="A28539"/>
      <c r="B28539"/>
      <c r="C28539"/>
      <c r="E28539"/>
      <c r="F28539"/>
    </row>
    <row r="28540" spans="1:6" x14ac:dyDescent="0.25">
      <c r="A28540"/>
      <c r="B28540"/>
      <c r="C28540"/>
      <c r="E28540"/>
      <c r="F28540"/>
    </row>
    <row r="28541" spans="1:6" x14ac:dyDescent="0.25">
      <c r="A28541"/>
      <c r="B28541"/>
      <c r="C28541"/>
      <c r="E28541"/>
      <c r="F28541"/>
    </row>
    <row r="28542" spans="1:6" x14ac:dyDescent="0.25">
      <c r="A28542"/>
      <c r="B28542"/>
      <c r="C28542"/>
      <c r="E28542"/>
      <c r="F28542"/>
    </row>
    <row r="28543" spans="1:6" x14ac:dyDescent="0.25">
      <c r="A28543"/>
      <c r="B28543"/>
      <c r="C28543"/>
      <c r="E28543"/>
      <c r="F28543"/>
    </row>
    <row r="28544" spans="1:6" x14ac:dyDescent="0.25">
      <c r="A28544"/>
      <c r="B28544"/>
      <c r="C28544"/>
      <c r="E28544"/>
      <c r="F28544"/>
    </row>
    <row r="28545" spans="1:6" x14ac:dyDescent="0.25">
      <c r="A28545"/>
      <c r="B28545"/>
      <c r="C28545"/>
      <c r="E28545"/>
      <c r="F28545"/>
    </row>
    <row r="28546" spans="1:6" x14ac:dyDescent="0.25">
      <c r="A28546"/>
      <c r="B28546"/>
      <c r="C28546"/>
      <c r="E28546"/>
      <c r="F28546"/>
    </row>
    <row r="28547" spans="1:6" x14ac:dyDescent="0.25">
      <c r="A28547"/>
      <c r="B28547"/>
      <c r="C28547"/>
      <c r="E28547"/>
      <c r="F28547"/>
    </row>
    <row r="28548" spans="1:6" x14ac:dyDescent="0.25">
      <c r="A28548"/>
      <c r="B28548"/>
      <c r="C28548"/>
      <c r="E28548"/>
      <c r="F28548"/>
    </row>
    <row r="28549" spans="1:6" x14ac:dyDescent="0.25">
      <c r="A28549"/>
      <c r="B28549"/>
      <c r="C28549"/>
      <c r="E28549"/>
      <c r="F28549"/>
    </row>
    <row r="28550" spans="1:6" x14ac:dyDescent="0.25">
      <c r="A28550"/>
      <c r="B28550"/>
      <c r="C28550"/>
      <c r="E28550"/>
      <c r="F28550"/>
    </row>
    <row r="28551" spans="1:6" x14ac:dyDescent="0.25">
      <c r="A28551"/>
      <c r="B28551"/>
      <c r="C28551"/>
      <c r="E28551"/>
      <c r="F28551"/>
    </row>
    <row r="28552" spans="1:6" x14ac:dyDescent="0.25">
      <c r="A28552"/>
      <c r="B28552"/>
      <c r="C28552"/>
      <c r="E28552"/>
      <c r="F28552"/>
    </row>
    <row r="28553" spans="1:6" x14ac:dyDescent="0.25">
      <c r="A28553"/>
      <c r="B28553"/>
      <c r="C28553"/>
      <c r="E28553"/>
      <c r="F28553"/>
    </row>
    <row r="28554" spans="1:6" x14ac:dyDescent="0.25">
      <c r="A28554"/>
      <c r="B28554"/>
      <c r="C28554"/>
      <c r="E28554"/>
      <c r="F28554"/>
    </row>
    <row r="28555" spans="1:6" x14ac:dyDescent="0.25">
      <c r="A28555"/>
      <c r="B28555"/>
      <c r="C28555"/>
      <c r="E28555"/>
      <c r="F28555"/>
    </row>
    <row r="28556" spans="1:6" x14ac:dyDescent="0.25">
      <c r="A28556"/>
      <c r="B28556"/>
      <c r="C28556"/>
      <c r="E28556"/>
      <c r="F28556"/>
    </row>
    <row r="28557" spans="1:6" x14ac:dyDescent="0.25">
      <c r="A28557"/>
      <c r="B28557"/>
      <c r="C28557"/>
      <c r="E28557"/>
      <c r="F28557"/>
    </row>
    <row r="28558" spans="1:6" x14ac:dyDescent="0.25">
      <c r="A28558"/>
      <c r="B28558"/>
      <c r="C28558"/>
      <c r="E28558"/>
      <c r="F28558"/>
    </row>
    <row r="28559" spans="1:6" x14ac:dyDescent="0.25">
      <c r="A28559"/>
      <c r="B28559"/>
      <c r="C28559"/>
      <c r="E28559"/>
      <c r="F28559"/>
    </row>
    <row r="28560" spans="1:6" x14ac:dyDescent="0.25">
      <c r="A28560"/>
      <c r="B28560"/>
      <c r="C28560"/>
      <c r="E28560"/>
      <c r="F28560"/>
    </row>
    <row r="28561" spans="1:6" x14ac:dyDescent="0.25">
      <c r="A28561"/>
      <c r="B28561"/>
      <c r="C28561"/>
      <c r="E28561"/>
      <c r="F28561"/>
    </row>
    <row r="28562" spans="1:6" x14ac:dyDescent="0.25">
      <c r="A28562"/>
      <c r="B28562"/>
      <c r="C28562"/>
      <c r="E28562"/>
      <c r="F28562"/>
    </row>
    <row r="28563" spans="1:6" x14ac:dyDescent="0.25">
      <c r="A28563"/>
      <c r="B28563"/>
      <c r="C28563"/>
      <c r="E28563"/>
      <c r="F28563"/>
    </row>
    <row r="28564" spans="1:6" x14ac:dyDescent="0.25">
      <c r="A28564"/>
      <c r="B28564"/>
      <c r="C28564"/>
      <c r="E28564"/>
      <c r="F28564"/>
    </row>
    <row r="28565" spans="1:6" x14ac:dyDescent="0.25">
      <c r="A28565"/>
      <c r="B28565"/>
      <c r="C28565"/>
      <c r="E28565"/>
      <c r="F28565"/>
    </row>
    <row r="28566" spans="1:6" x14ac:dyDescent="0.25">
      <c r="A28566"/>
      <c r="B28566"/>
      <c r="C28566"/>
      <c r="E28566"/>
      <c r="F28566"/>
    </row>
    <row r="28567" spans="1:6" x14ac:dyDescent="0.25">
      <c r="A28567"/>
      <c r="B28567"/>
      <c r="C28567"/>
      <c r="E28567"/>
      <c r="F28567"/>
    </row>
    <row r="28568" spans="1:6" x14ac:dyDescent="0.25">
      <c r="A28568"/>
      <c r="B28568"/>
      <c r="C28568"/>
      <c r="E28568"/>
      <c r="F28568"/>
    </row>
    <row r="28569" spans="1:6" x14ac:dyDescent="0.25">
      <c r="A28569"/>
      <c r="B28569"/>
      <c r="C28569"/>
      <c r="E28569"/>
      <c r="F28569"/>
    </row>
    <row r="28570" spans="1:6" x14ac:dyDescent="0.25">
      <c r="A28570"/>
      <c r="B28570"/>
      <c r="C28570"/>
      <c r="E28570"/>
      <c r="F28570"/>
    </row>
    <row r="28571" spans="1:6" x14ac:dyDescent="0.25">
      <c r="A28571"/>
      <c r="B28571"/>
      <c r="C28571"/>
      <c r="E28571"/>
      <c r="F28571"/>
    </row>
    <row r="28572" spans="1:6" x14ac:dyDescent="0.25">
      <c r="A28572"/>
      <c r="B28572"/>
      <c r="C28572"/>
      <c r="E28572"/>
      <c r="F28572"/>
    </row>
    <row r="28573" spans="1:6" x14ac:dyDescent="0.25">
      <c r="A28573"/>
      <c r="B28573"/>
      <c r="C28573"/>
      <c r="E28573"/>
      <c r="F28573"/>
    </row>
    <row r="28574" spans="1:6" x14ac:dyDescent="0.25">
      <c r="A28574"/>
      <c r="B28574"/>
      <c r="C28574"/>
      <c r="E28574"/>
      <c r="F28574"/>
    </row>
    <row r="28575" spans="1:6" x14ac:dyDescent="0.25">
      <c r="A28575"/>
      <c r="B28575"/>
      <c r="C28575"/>
      <c r="E28575"/>
      <c r="F28575"/>
    </row>
    <row r="28576" spans="1:6" x14ac:dyDescent="0.25">
      <c r="A28576"/>
      <c r="B28576"/>
      <c r="C28576"/>
      <c r="E28576"/>
      <c r="F28576"/>
    </row>
    <row r="28577" spans="1:6" x14ac:dyDescent="0.25">
      <c r="A28577"/>
      <c r="B28577"/>
      <c r="C28577"/>
      <c r="E28577"/>
      <c r="F28577"/>
    </row>
    <row r="28578" spans="1:6" x14ac:dyDescent="0.25">
      <c r="A28578"/>
      <c r="B28578"/>
      <c r="C28578"/>
      <c r="E28578"/>
      <c r="F28578"/>
    </row>
    <row r="28579" spans="1:6" x14ac:dyDescent="0.25">
      <c r="A28579"/>
      <c r="B28579"/>
      <c r="C28579"/>
      <c r="E28579"/>
      <c r="F28579"/>
    </row>
    <row r="28580" spans="1:6" x14ac:dyDescent="0.25">
      <c r="A28580"/>
      <c r="B28580"/>
      <c r="C28580"/>
      <c r="E28580"/>
      <c r="F28580"/>
    </row>
    <row r="28581" spans="1:6" x14ac:dyDescent="0.25">
      <c r="A28581"/>
      <c r="B28581"/>
      <c r="C28581"/>
      <c r="E28581"/>
      <c r="F28581"/>
    </row>
    <row r="28582" spans="1:6" x14ac:dyDescent="0.25">
      <c r="A28582"/>
      <c r="B28582"/>
      <c r="C28582"/>
      <c r="E28582"/>
      <c r="F28582"/>
    </row>
    <row r="28583" spans="1:6" x14ac:dyDescent="0.25">
      <c r="A28583"/>
      <c r="B28583"/>
      <c r="C28583"/>
      <c r="E28583"/>
      <c r="F28583"/>
    </row>
    <row r="28584" spans="1:6" x14ac:dyDescent="0.25">
      <c r="A28584"/>
      <c r="B28584"/>
      <c r="C28584"/>
      <c r="E28584"/>
      <c r="F28584"/>
    </row>
    <row r="28585" spans="1:6" x14ac:dyDescent="0.25">
      <c r="A28585"/>
      <c r="B28585"/>
      <c r="C28585"/>
      <c r="E28585"/>
      <c r="F28585"/>
    </row>
    <row r="28586" spans="1:6" x14ac:dyDescent="0.25">
      <c r="A28586"/>
      <c r="B28586"/>
      <c r="C28586"/>
      <c r="E28586"/>
      <c r="F28586"/>
    </row>
    <row r="28587" spans="1:6" x14ac:dyDescent="0.25">
      <c r="A28587"/>
      <c r="B28587"/>
      <c r="C28587"/>
      <c r="E28587"/>
      <c r="F28587"/>
    </row>
    <row r="28588" spans="1:6" x14ac:dyDescent="0.25">
      <c r="A28588"/>
      <c r="B28588"/>
      <c r="C28588"/>
      <c r="E28588"/>
      <c r="F28588"/>
    </row>
    <row r="28589" spans="1:6" x14ac:dyDescent="0.25">
      <c r="A28589"/>
      <c r="B28589"/>
      <c r="C28589"/>
      <c r="E28589"/>
      <c r="F28589"/>
    </row>
    <row r="28590" spans="1:6" x14ac:dyDescent="0.25">
      <c r="A28590"/>
      <c r="B28590"/>
      <c r="C28590"/>
      <c r="E28590"/>
      <c r="F28590"/>
    </row>
    <row r="28591" spans="1:6" x14ac:dyDescent="0.25">
      <c r="A28591"/>
      <c r="B28591"/>
      <c r="C28591"/>
      <c r="E28591"/>
      <c r="F28591"/>
    </row>
    <row r="28592" spans="1:6" x14ac:dyDescent="0.25">
      <c r="A28592"/>
      <c r="B28592"/>
      <c r="C28592"/>
      <c r="E28592"/>
      <c r="F28592"/>
    </row>
    <row r="28593" spans="1:6" x14ac:dyDescent="0.25">
      <c r="A28593"/>
      <c r="B28593"/>
      <c r="C28593"/>
      <c r="E28593"/>
      <c r="F28593"/>
    </row>
    <row r="28594" spans="1:6" x14ac:dyDescent="0.25">
      <c r="A28594"/>
      <c r="B28594"/>
      <c r="C28594"/>
      <c r="E28594"/>
      <c r="F28594"/>
    </row>
    <row r="28595" spans="1:6" x14ac:dyDescent="0.25">
      <c r="A28595"/>
      <c r="B28595"/>
      <c r="C28595"/>
      <c r="E28595"/>
      <c r="F28595"/>
    </row>
    <row r="28596" spans="1:6" x14ac:dyDescent="0.25">
      <c r="A28596"/>
      <c r="B28596"/>
      <c r="C28596"/>
      <c r="E28596"/>
      <c r="F28596"/>
    </row>
    <row r="28597" spans="1:6" x14ac:dyDescent="0.25">
      <c r="A28597"/>
      <c r="B28597"/>
      <c r="C28597"/>
      <c r="E28597"/>
      <c r="F28597"/>
    </row>
    <row r="28598" spans="1:6" x14ac:dyDescent="0.25">
      <c r="A28598"/>
      <c r="B28598"/>
      <c r="C28598"/>
      <c r="E28598"/>
      <c r="F28598"/>
    </row>
    <row r="28599" spans="1:6" x14ac:dyDescent="0.25">
      <c r="A28599"/>
      <c r="B28599"/>
      <c r="C28599"/>
      <c r="E28599"/>
      <c r="F28599"/>
    </row>
    <row r="28600" spans="1:6" x14ac:dyDescent="0.25">
      <c r="A28600"/>
      <c r="B28600"/>
      <c r="C28600"/>
      <c r="E28600"/>
      <c r="F28600"/>
    </row>
    <row r="28601" spans="1:6" x14ac:dyDescent="0.25">
      <c r="A28601"/>
      <c r="B28601"/>
      <c r="C28601"/>
      <c r="E28601"/>
      <c r="F28601"/>
    </row>
    <row r="28602" spans="1:6" x14ac:dyDescent="0.25">
      <c r="A28602"/>
      <c r="B28602"/>
      <c r="C28602"/>
      <c r="E28602"/>
      <c r="F28602"/>
    </row>
    <row r="28603" spans="1:6" x14ac:dyDescent="0.25">
      <c r="A28603"/>
      <c r="B28603"/>
      <c r="C28603"/>
      <c r="E28603"/>
      <c r="F28603"/>
    </row>
    <row r="28604" spans="1:6" x14ac:dyDescent="0.25">
      <c r="A28604"/>
      <c r="B28604"/>
      <c r="C28604"/>
      <c r="E28604"/>
      <c r="F28604"/>
    </row>
    <row r="28605" spans="1:6" x14ac:dyDescent="0.25">
      <c r="A28605"/>
      <c r="B28605"/>
      <c r="C28605"/>
      <c r="E28605"/>
      <c r="F28605"/>
    </row>
    <row r="28606" spans="1:6" x14ac:dyDescent="0.25">
      <c r="A28606"/>
      <c r="B28606"/>
      <c r="C28606"/>
      <c r="E28606"/>
      <c r="F28606"/>
    </row>
    <row r="28607" spans="1:6" x14ac:dyDescent="0.25">
      <c r="A28607"/>
      <c r="B28607"/>
      <c r="C28607"/>
      <c r="E28607"/>
      <c r="F28607"/>
    </row>
    <row r="28608" spans="1:6" x14ac:dyDescent="0.25">
      <c r="A28608"/>
      <c r="B28608"/>
      <c r="C28608"/>
      <c r="E28608"/>
      <c r="F28608"/>
    </row>
    <row r="28609" spans="1:6" x14ac:dyDescent="0.25">
      <c r="A28609"/>
      <c r="B28609"/>
      <c r="C28609"/>
      <c r="E28609"/>
      <c r="F28609"/>
    </row>
    <row r="28610" spans="1:6" x14ac:dyDescent="0.25">
      <c r="A28610"/>
      <c r="B28610"/>
      <c r="C28610"/>
      <c r="E28610"/>
      <c r="F28610"/>
    </row>
    <row r="28611" spans="1:6" x14ac:dyDescent="0.25">
      <c r="A28611"/>
      <c r="B28611"/>
      <c r="C28611"/>
      <c r="E28611"/>
      <c r="F28611"/>
    </row>
    <row r="28612" spans="1:6" x14ac:dyDescent="0.25">
      <c r="A28612"/>
      <c r="B28612"/>
      <c r="C28612"/>
      <c r="E28612"/>
      <c r="F28612"/>
    </row>
    <row r="28613" spans="1:6" x14ac:dyDescent="0.25">
      <c r="A28613"/>
      <c r="B28613"/>
      <c r="C28613"/>
      <c r="E28613"/>
      <c r="F28613"/>
    </row>
    <row r="28614" spans="1:6" x14ac:dyDescent="0.25">
      <c r="A28614"/>
      <c r="B28614"/>
      <c r="C28614"/>
      <c r="E28614"/>
      <c r="F28614"/>
    </row>
    <row r="28615" spans="1:6" x14ac:dyDescent="0.25">
      <c r="A28615"/>
      <c r="B28615"/>
      <c r="C28615"/>
      <c r="E28615"/>
      <c r="F28615"/>
    </row>
    <row r="28616" spans="1:6" x14ac:dyDescent="0.25">
      <c r="A28616"/>
      <c r="B28616"/>
      <c r="C28616"/>
      <c r="E28616"/>
      <c r="F28616"/>
    </row>
    <row r="28617" spans="1:6" x14ac:dyDescent="0.25">
      <c r="A28617"/>
      <c r="B28617"/>
      <c r="C28617"/>
      <c r="E28617"/>
      <c r="F28617"/>
    </row>
    <row r="28618" spans="1:6" x14ac:dyDescent="0.25">
      <c r="A28618"/>
      <c r="B28618"/>
      <c r="C28618"/>
      <c r="E28618"/>
      <c r="F28618"/>
    </row>
    <row r="28619" spans="1:6" x14ac:dyDescent="0.25">
      <c r="A28619"/>
      <c r="B28619"/>
      <c r="C28619"/>
      <c r="E28619"/>
      <c r="F28619"/>
    </row>
    <row r="28620" spans="1:6" x14ac:dyDescent="0.25">
      <c r="A28620"/>
      <c r="B28620"/>
      <c r="C28620"/>
      <c r="E28620"/>
      <c r="F28620"/>
    </row>
    <row r="28621" spans="1:6" x14ac:dyDescent="0.25">
      <c r="A28621"/>
      <c r="B28621"/>
      <c r="C28621"/>
      <c r="E28621"/>
      <c r="F28621"/>
    </row>
    <row r="28622" spans="1:6" x14ac:dyDescent="0.25">
      <c r="A28622"/>
      <c r="B28622"/>
      <c r="C28622"/>
      <c r="E28622"/>
      <c r="F28622"/>
    </row>
    <row r="28623" spans="1:6" x14ac:dyDescent="0.25">
      <c r="A28623"/>
      <c r="B28623"/>
      <c r="C28623"/>
      <c r="E28623"/>
      <c r="F28623"/>
    </row>
    <row r="28624" spans="1:6" x14ac:dyDescent="0.25">
      <c r="A28624"/>
      <c r="B28624"/>
      <c r="C28624"/>
      <c r="E28624"/>
      <c r="F28624"/>
    </row>
    <row r="28625" spans="1:6" x14ac:dyDescent="0.25">
      <c r="A28625"/>
      <c r="B28625"/>
      <c r="C28625"/>
      <c r="E28625"/>
      <c r="F28625"/>
    </row>
    <row r="28626" spans="1:6" x14ac:dyDescent="0.25">
      <c r="A28626"/>
      <c r="B28626"/>
      <c r="C28626"/>
      <c r="E28626"/>
      <c r="F28626"/>
    </row>
    <row r="28627" spans="1:6" x14ac:dyDescent="0.25">
      <c r="A28627"/>
      <c r="B28627"/>
      <c r="C28627"/>
      <c r="E28627"/>
      <c r="F28627"/>
    </row>
    <row r="28628" spans="1:6" x14ac:dyDescent="0.25">
      <c r="A28628"/>
      <c r="B28628"/>
      <c r="C28628"/>
      <c r="E28628"/>
      <c r="F28628"/>
    </row>
    <row r="28629" spans="1:6" x14ac:dyDescent="0.25">
      <c r="A28629"/>
      <c r="B28629"/>
      <c r="C28629"/>
      <c r="E28629"/>
      <c r="F28629"/>
    </row>
    <row r="28630" spans="1:6" x14ac:dyDescent="0.25">
      <c r="A28630"/>
      <c r="B28630"/>
      <c r="C28630"/>
      <c r="E28630"/>
      <c r="F28630"/>
    </row>
    <row r="28631" spans="1:6" x14ac:dyDescent="0.25">
      <c r="A28631"/>
      <c r="B28631"/>
      <c r="C28631"/>
      <c r="E28631"/>
      <c r="F28631"/>
    </row>
    <row r="28632" spans="1:6" x14ac:dyDescent="0.25">
      <c r="A28632"/>
      <c r="B28632"/>
      <c r="C28632"/>
      <c r="E28632"/>
      <c r="F28632"/>
    </row>
    <row r="28633" spans="1:6" x14ac:dyDescent="0.25">
      <c r="A28633"/>
      <c r="B28633"/>
      <c r="C28633"/>
      <c r="E28633"/>
      <c r="F28633"/>
    </row>
    <row r="28634" spans="1:6" x14ac:dyDescent="0.25">
      <c r="A28634"/>
      <c r="B28634"/>
      <c r="C28634"/>
      <c r="E28634"/>
      <c r="F28634"/>
    </row>
    <row r="28635" spans="1:6" x14ac:dyDescent="0.25">
      <c r="A28635"/>
      <c r="B28635"/>
      <c r="C28635"/>
      <c r="E28635"/>
      <c r="F28635"/>
    </row>
    <row r="28636" spans="1:6" x14ac:dyDescent="0.25">
      <c r="A28636"/>
      <c r="B28636"/>
      <c r="C28636"/>
      <c r="E28636"/>
      <c r="F28636"/>
    </row>
    <row r="28637" spans="1:6" x14ac:dyDescent="0.25">
      <c r="A28637"/>
      <c r="B28637"/>
      <c r="C28637"/>
      <c r="E28637"/>
      <c r="F28637"/>
    </row>
    <row r="28638" spans="1:6" x14ac:dyDescent="0.25">
      <c r="A28638"/>
      <c r="B28638"/>
      <c r="C28638"/>
      <c r="E28638"/>
      <c r="F28638"/>
    </row>
    <row r="28639" spans="1:6" x14ac:dyDescent="0.25">
      <c r="A28639"/>
      <c r="B28639"/>
      <c r="C28639"/>
      <c r="E28639"/>
      <c r="F28639"/>
    </row>
    <row r="28640" spans="1:6" x14ac:dyDescent="0.25">
      <c r="A28640"/>
      <c r="B28640"/>
      <c r="C28640"/>
      <c r="E28640"/>
      <c r="F28640"/>
    </row>
    <row r="28641" spans="1:6" x14ac:dyDescent="0.25">
      <c r="A28641"/>
      <c r="B28641"/>
      <c r="C28641"/>
      <c r="E28641"/>
      <c r="F28641"/>
    </row>
    <row r="28642" spans="1:6" x14ac:dyDescent="0.25">
      <c r="A28642"/>
      <c r="B28642"/>
      <c r="C28642"/>
      <c r="E28642"/>
      <c r="F28642"/>
    </row>
    <row r="28643" spans="1:6" x14ac:dyDescent="0.25">
      <c r="A28643"/>
      <c r="B28643"/>
      <c r="C28643"/>
      <c r="E28643"/>
      <c r="F28643"/>
    </row>
    <row r="28644" spans="1:6" x14ac:dyDescent="0.25">
      <c r="A28644"/>
      <c r="B28644"/>
      <c r="C28644"/>
      <c r="E28644"/>
      <c r="F28644"/>
    </row>
    <row r="28645" spans="1:6" x14ac:dyDescent="0.25">
      <c r="A28645"/>
      <c r="B28645"/>
      <c r="C28645"/>
      <c r="E28645"/>
      <c r="F28645"/>
    </row>
    <row r="28646" spans="1:6" x14ac:dyDescent="0.25">
      <c r="A28646"/>
      <c r="B28646"/>
      <c r="C28646"/>
      <c r="E28646"/>
      <c r="F28646"/>
    </row>
    <row r="28647" spans="1:6" x14ac:dyDescent="0.25">
      <c r="A28647"/>
      <c r="B28647"/>
      <c r="C28647"/>
      <c r="E28647"/>
      <c r="F28647"/>
    </row>
    <row r="28648" spans="1:6" x14ac:dyDescent="0.25">
      <c r="A28648"/>
      <c r="B28648"/>
      <c r="C28648"/>
      <c r="E28648"/>
      <c r="F28648"/>
    </row>
    <row r="28649" spans="1:6" x14ac:dyDescent="0.25">
      <c r="A28649"/>
      <c r="B28649"/>
      <c r="C28649"/>
      <c r="E28649"/>
      <c r="F28649"/>
    </row>
    <row r="28650" spans="1:6" x14ac:dyDescent="0.25">
      <c r="A28650"/>
      <c r="B28650"/>
      <c r="C28650"/>
      <c r="E28650"/>
      <c r="F28650"/>
    </row>
    <row r="28651" spans="1:6" x14ac:dyDescent="0.25">
      <c r="A28651"/>
      <c r="B28651"/>
      <c r="C28651"/>
      <c r="E28651"/>
      <c r="F28651"/>
    </row>
    <row r="28652" spans="1:6" x14ac:dyDescent="0.25">
      <c r="A28652"/>
      <c r="B28652"/>
      <c r="C28652"/>
      <c r="E28652"/>
      <c r="F28652"/>
    </row>
    <row r="28653" spans="1:6" x14ac:dyDescent="0.25">
      <c r="A28653"/>
      <c r="B28653"/>
      <c r="C28653"/>
      <c r="E28653"/>
      <c r="F28653"/>
    </row>
    <row r="28654" spans="1:6" x14ac:dyDescent="0.25">
      <c r="A28654"/>
      <c r="B28654"/>
      <c r="C28654"/>
      <c r="E28654"/>
      <c r="F28654"/>
    </row>
    <row r="28655" spans="1:6" x14ac:dyDescent="0.25">
      <c r="A28655"/>
      <c r="B28655"/>
      <c r="C28655"/>
      <c r="E28655"/>
      <c r="F28655"/>
    </row>
    <row r="28656" spans="1:6" x14ac:dyDescent="0.25">
      <c r="A28656"/>
      <c r="B28656"/>
      <c r="C28656"/>
      <c r="E28656"/>
      <c r="F28656"/>
    </row>
    <row r="28657" spans="1:6" x14ac:dyDescent="0.25">
      <c r="A28657"/>
      <c r="B28657"/>
      <c r="C28657"/>
      <c r="E28657"/>
      <c r="F28657"/>
    </row>
    <row r="28658" spans="1:6" x14ac:dyDescent="0.25">
      <c r="A28658"/>
      <c r="B28658"/>
      <c r="C28658"/>
      <c r="E28658"/>
      <c r="F28658"/>
    </row>
    <row r="28659" spans="1:6" x14ac:dyDescent="0.25">
      <c r="A28659"/>
      <c r="B28659"/>
      <c r="C28659"/>
      <c r="E28659"/>
      <c r="F28659"/>
    </row>
    <row r="28660" spans="1:6" x14ac:dyDescent="0.25">
      <c r="A28660"/>
      <c r="B28660"/>
      <c r="C28660"/>
      <c r="E28660"/>
      <c r="F28660"/>
    </row>
    <row r="28661" spans="1:6" x14ac:dyDescent="0.25">
      <c r="A28661"/>
      <c r="B28661"/>
      <c r="C28661"/>
      <c r="E28661"/>
      <c r="F28661"/>
    </row>
    <row r="28662" spans="1:6" x14ac:dyDescent="0.25">
      <c r="A28662"/>
      <c r="B28662"/>
      <c r="C28662"/>
      <c r="E28662"/>
      <c r="F28662"/>
    </row>
    <row r="28663" spans="1:6" x14ac:dyDescent="0.25">
      <c r="A28663"/>
      <c r="B28663"/>
      <c r="C28663"/>
      <c r="E28663"/>
      <c r="F28663"/>
    </row>
    <row r="28664" spans="1:6" x14ac:dyDescent="0.25">
      <c r="A28664"/>
      <c r="B28664"/>
      <c r="C28664"/>
      <c r="E28664"/>
      <c r="F28664"/>
    </row>
    <row r="28665" spans="1:6" x14ac:dyDescent="0.25">
      <c r="A28665"/>
      <c r="B28665"/>
      <c r="C28665"/>
      <c r="E28665"/>
      <c r="F28665"/>
    </row>
    <row r="28666" spans="1:6" x14ac:dyDescent="0.25">
      <c r="A28666"/>
      <c r="B28666"/>
      <c r="C28666"/>
      <c r="E28666"/>
      <c r="F28666"/>
    </row>
    <row r="28667" spans="1:6" x14ac:dyDescent="0.25">
      <c r="A28667"/>
      <c r="B28667"/>
      <c r="C28667"/>
      <c r="E28667"/>
      <c r="F28667"/>
    </row>
    <row r="28668" spans="1:6" x14ac:dyDescent="0.25">
      <c r="A28668"/>
      <c r="B28668"/>
      <c r="C28668"/>
      <c r="E28668"/>
      <c r="F28668"/>
    </row>
    <row r="28669" spans="1:6" x14ac:dyDescent="0.25">
      <c r="A28669"/>
      <c r="B28669"/>
      <c r="C28669"/>
      <c r="E28669"/>
      <c r="F28669"/>
    </row>
    <row r="28670" spans="1:6" x14ac:dyDescent="0.25">
      <c r="A28670"/>
      <c r="B28670"/>
      <c r="C28670"/>
      <c r="E28670"/>
      <c r="F28670"/>
    </row>
    <row r="28671" spans="1:6" x14ac:dyDescent="0.25">
      <c r="A28671"/>
      <c r="B28671"/>
      <c r="C28671"/>
      <c r="E28671"/>
      <c r="F28671"/>
    </row>
    <row r="28672" spans="1:6" x14ac:dyDescent="0.25">
      <c r="A28672"/>
      <c r="B28672"/>
      <c r="C28672"/>
      <c r="E28672"/>
      <c r="F28672"/>
    </row>
    <row r="28673" spans="1:6" x14ac:dyDescent="0.25">
      <c r="A28673"/>
      <c r="B28673"/>
      <c r="C28673"/>
      <c r="E28673"/>
      <c r="F28673"/>
    </row>
    <row r="28674" spans="1:6" x14ac:dyDescent="0.25">
      <c r="A28674"/>
      <c r="B28674"/>
      <c r="C28674"/>
      <c r="E28674"/>
      <c r="F28674"/>
    </row>
    <row r="28675" spans="1:6" x14ac:dyDescent="0.25">
      <c r="A28675"/>
      <c r="B28675"/>
      <c r="C28675"/>
      <c r="E28675"/>
      <c r="F28675"/>
    </row>
    <row r="28676" spans="1:6" x14ac:dyDescent="0.25">
      <c r="A28676"/>
      <c r="B28676"/>
      <c r="C28676"/>
      <c r="E28676"/>
      <c r="F28676"/>
    </row>
    <row r="28677" spans="1:6" x14ac:dyDescent="0.25">
      <c r="A28677"/>
      <c r="B28677"/>
      <c r="C28677"/>
      <c r="E28677"/>
      <c r="F28677"/>
    </row>
    <row r="28678" spans="1:6" x14ac:dyDescent="0.25">
      <c r="A28678"/>
      <c r="B28678"/>
      <c r="C28678"/>
      <c r="E28678"/>
      <c r="F28678"/>
    </row>
    <row r="28679" spans="1:6" x14ac:dyDescent="0.25">
      <c r="A28679"/>
      <c r="B28679"/>
      <c r="C28679"/>
      <c r="E28679"/>
      <c r="F28679"/>
    </row>
    <row r="28680" spans="1:6" x14ac:dyDescent="0.25">
      <c r="A28680"/>
      <c r="B28680"/>
      <c r="C28680"/>
      <c r="E28680"/>
      <c r="F28680"/>
    </row>
    <row r="28681" spans="1:6" x14ac:dyDescent="0.25">
      <c r="A28681"/>
      <c r="B28681"/>
      <c r="C28681"/>
      <c r="E28681"/>
      <c r="F28681"/>
    </row>
    <row r="28682" spans="1:6" x14ac:dyDescent="0.25">
      <c r="A28682"/>
      <c r="B28682"/>
      <c r="C28682"/>
      <c r="E28682"/>
      <c r="F28682"/>
    </row>
    <row r="28683" spans="1:6" x14ac:dyDescent="0.25">
      <c r="A28683"/>
      <c r="B28683"/>
      <c r="C28683"/>
      <c r="E28683"/>
      <c r="F28683"/>
    </row>
    <row r="28684" spans="1:6" x14ac:dyDescent="0.25">
      <c r="A28684"/>
      <c r="B28684"/>
      <c r="C28684"/>
      <c r="E28684"/>
      <c r="F28684"/>
    </row>
    <row r="28685" spans="1:6" x14ac:dyDescent="0.25">
      <c r="A28685"/>
      <c r="B28685"/>
      <c r="C28685"/>
      <c r="E28685"/>
      <c r="F28685"/>
    </row>
    <row r="28686" spans="1:6" x14ac:dyDescent="0.25">
      <c r="A28686"/>
      <c r="B28686"/>
      <c r="C28686"/>
      <c r="E28686"/>
      <c r="F28686"/>
    </row>
    <row r="28687" spans="1:6" x14ac:dyDescent="0.25">
      <c r="A28687"/>
      <c r="B28687"/>
      <c r="C28687"/>
      <c r="E28687"/>
      <c r="F28687"/>
    </row>
    <row r="28688" spans="1:6" x14ac:dyDescent="0.25">
      <c r="A28688"/>
      <c r="B28688"/>
      <c r="C28688"/>
      <c r="E28688"/>
      <c r="F28688"/>
    </row>
    <row r="28689" spans="1:6" x14ac:dyDescent="0.25">
      <c r="A28689"/>
      <c r="B28689"/>
      <c r="C28689"/>
      <c r="E28689"/>
      <c r="F28689"/>
    </row>
    <row r="28690" spans="1:6" x14ac:dyDescent="0.25">
      <c r="A28690"/>
      <c r="B28690"/>
      <c r="C28690"/>
      <c r="E28690"/>
      <c r="F28690"/>
    </row>
    <row r="28691" spans="1:6" x14ac:dyDescent="0.25">
      <c r="A28691"/>
      <c r="B28691"/>
      <c r="C28691"/>
      <c r="E28691"/>
      <c r="F28691"/>
    </row>
    <row r="28692" spans="1:6" x14ac:dyDescent="0.25">
      <c r="A28692"/>
      <c r="B28692"/>
      <c r="C28692"/>
      <c r="E28692"/>
      <c r="F28692"/>
    </row>
    <row r="28693" spans="1:6" x14ac:dyDescent="0.25">
      <c r="A28693"/>
      <c r="B28693"/>
      <c r="C28693"/>
      <c r="E28693"/>
      <c r="F28693"/>
    </row>
    <row r="28694" spans="1:6" x14ac:dyDescent="0.25">
      <c r="A28694"/>
      <c r="B28694"/>
      <c r="C28694"/>
      <c r="E28694"/>
      <c r="F28694"/>
    </row>
    <row r="28695" spans="1:6" x14ac:dyDescent="0.25">
      <c r="A28695"/>
      <c r="B28695"/>
      <c r="C28695"/>
      <c r="E28695"/>
      <c r="F28695"/>
    </row>
    <row r="28696" spans="1:6" x14ac:dyDescent="0.25">
      <c r="A28696"/>
      <c r="B28696"/>
      <c r="C28696"/>
      <c r="E28696"/>
      <c r="F28696"/>
    </row>
    <row r="28697" spans="1:6" x14ac:dyDescent="0.25">
      <c r="A28697"/>
      <c r="B28697"/>
      <c r="C28697"/>
      <c r="E28697"/>
      <c r="F28697"/>
    </row>
    <row r="28698" spans="1:6" x14ac:dyDescent="0.25">
      <c r="A28698"/>
      <c r="B28698"/>
      <c r="C28698"/>
      <c r="E28698"/>
      <c r="F28698"/>
    </row>
    <row r="28699" spans="1:6" x14ac:dyDescent="0.25">
      <c r="A28699"/>
      <c r="B28699"/>
      <c r="C28699"/>
      <c r="E28699"/>
      <c r="F28699"/>
    </row>
    <row r="28700" spans="1:6" x14ac:dyDescent="0.25">
      <c r="A28700"/>
      <c r="B28700"/>
      <c r="C28700"/>
      <c r="E28700"/>
      <c r="F28700"/>
    </row>
    <row r="28701" spans="1:6" x14ac:dyDescent="0.25">
      <c r="A28701"/>
      <c r="B28701"/>
      <c r="C28701"/>
      <c r="E28701"/>
      <c r="F28701"/>
    </row>
    <row r="28702" spans="1:6" x14ac:dyDescent="0.25">
      <c r="A28702"/>
      <c r="B28702"/>
      <c r="C28702"/>
      <c r="E28702"/>
      <c r="F28702"/>
    </row>
    <row r="28703" spans="1:6" x14ac:dyDescent="0.25">
      <c r="A28703"/>
      <c r="B28703"/>
      <c r="C28703"/>
      <c r="E28703"/>
      <c r="F28703"/>
    </row>
    <row r="28704" spans="1:6" x14ac:dyDescent="0.25">
      <c r="A28704"/>
      <c r="B28704"/>
      <c r="C28704"/>
      <c r="E28704"/>
      <c r="F28704"/>
    </row>
    <row r="28705" spans="1:6" x14ac:dyDescent="0.25">
      <c r="A28705"/>
      <c r="B28705"/>
      <c r="C28705"/>
      <c r="E28705"/>
      <c r="F28705"/>
    </row>
    <row r="28706" spans="1:6" x14ac:dyDescent="0.25">
      <c r="A28706"/>
      <c r="B28706"/>
      <c r="C28706"/>
      <c r="E28706"/>
      <c r="F28706"/>
    </row>
    <row r="28707" spans="1:6" x14ac:dyDescent="0.25">
      <c r="A28707"/>
      <c r="B28707"/>
      <c r="C28707"/>
      <c r="E28707"/>
      <c r="F28707"/>
    </row>
    <row r="28708" spans="1:6" x14ac:dyDescent="0.25">
      <c r="A28708"/>
      <c r="B28708"/>
      <c r="C28708"/>
      <c r="E28708"/>
      <c r="F28708"/>
    </row>
    <row r="28709" spans="1:6" x14ac:dyDescent="0.25">
      <c r="A28709"/>
      <c r="B28709"/>
      <c r="C28709"/>
      <c r="E28709"/>
      <c r="F28709"/>
    </row>
    <row r="28710" spans="1:6" x14ac:dyDescent="0.25">
      <c r="A28710"/>
      <c r="B28710"/>
      <c r="C28710"/>
      <c r="E28710"/>
      <c r="F28710"/>
    </row>
    <row r="28711" spans="1:6" x14ac:dyDescent="0.25">
      <c r="A28711"/>
      <c r="B28711"/>
      <c r="C28711"/>
      <c r="E28711"/>
      <c r="F28711"/>
    </row>
    <row r="28712" spans="1:6" x14ac:dyDescent="0.25">
      <c r="A28712"/>
      <c r="B28712"/>
      <c r="C28712"/>
      <c r="E28712"/>
      <c r="F28712"/>
    </row>
    <row r="28713" spans="1:6" x14ac:dyDescent="0.25">
      <c r="A28713"/>
      <c r="B28713"/>
      <c r="C28713"/>
      <c r="E28713"/>
      <c r="F28713"/>
    </row>
    <row r="28714" spans="1:6" x14ac:dyDescent="0.25">
      <c r="A28714"/>
      <c r="B28714"/>
      <c r="C28714"/>
      <c r="E28714"/>
      <c r="F28714"/>
    </row>
    <row r="28715" spans="1:6" x14ac:dyDescent="0.25">
      <c r="A28715"/>
      <c r="B28715"/>
      <c r="C28715"/>
      <c r="E28715"/>
      <c r="F28715"/>
    </row>
    <row r="28716" spans="1:6" x14ac:dyDescent="0.25">
      <c r="A28716"/>
      <c r="B28716"/>
      <c r="C28716"/>
      <c r="E28716"/>
      <c r="F28716"/>
    </row>
    <row r="28717" spans="1:6" x14ac:dyDescent="0.25">
      <c r="A28717"/>
      <c r="B28717"/>
      <c r="C28717"/>
      <c r="E28717"/>
      <c r="F28717"/>
    </row>
    <row r="28718" spans="1:6" x14ac:dyDescent="0.25">
      <c r="A28718"/>
      <c r="B28718"/>
      <c r="C28718"/>
      <c r="E28718"/>
      <c r="F28718"/>
    </row>
    <row r="28719" spans="1:6" x14ac:dyDescent="0.25">
      <c r="A28719"/>
      <c r="B28719"/>
      <c r="C28719"/>
      <c r="E28719"/>
      <c r="F28719"/>
    </row>
    <row r="28720" spans="1:6" x14ac:dyDescent="0.25">
      <c r="A28720"/>
      <c r="B28720"/>
      <c r="C28720"/>
      <c r="E28720"/>
      <c r="F28720"/>
    </row>
    <row r="28721" spans="1:6" x14ac:dyDescent="0.25">
      <c r="A28721"/>
      <c r="B28721"/>
      <c r="C28721"/>
      <c r="E28721"/>
      <c r="F28721"/>
    </row>
    <row r="28722" spans="1:6" x14ac:dyDescent="0.25">
      <c r="A28722"/>
      <c r="B28722"/>
      <c r="C28722"/>
      <c r="E28722"/>
      <c r="F28722"/>
    </row>
    <row r="28723" spans="1:6" x14ac:dyDescent="0.25">
      <c r="A28723"/>
      <c r="B28723"/>
      <c r="C28723"/>
      <c r="E28723"/>
      <c r="F28723"/>
    </row>
    <row r="28724" spans="1:6" x14ac:dyDescent="0.25">
      <c r="A28724"/>
      <c r="B28724"/>
      <c r="C28724"/>
      <c r="E28724"/>
      <c r="F28724"/>
    </row>
    <row r="28725" spans="1:6" x14ac:dyDescent="0.25">
      <c r="A28725"/>
      <c r="B28725"/>
      <c r="C28725"/>
      <c r="E28725"/>
      <c r="F28725"/>
    </row>
    <row r="28726" spans="1:6" x14ac:dyDescent="0.25">
      <c r="A28726"/>
      <c r="B28726"/>
      <c r="C28726"/>
      <c r="E28726"/>
      <c r="F28726"/>
    </row>
    <row r="28727" spans="1:6" x14ac:dyDescent="0.25">
      <c r="A28727"/>
      <c r="B28727"/>
      <c r="C28727"/>
      <c r="E28727"/>
      <c r="F28727"/>
    </row>
    <row r="28728" spans="1:6" x14ac:dyDescent="0.25">
      <c r="A28728"/>
      <c r="B28728"/>
      <c r="C28728"/>
      <c r="E28728"/>
      <c r="F28728"/>
    </row>
    <row r="28729" spans="1:6" x14ac:dyDescent="0.25">
      <c r="A28729"/>
      <c r="B28729"/>
      <c r="C28729"/>
      <c r="E28729"/>
      <c r="F28729"/>
    </row>
    <row r="28730" spans="1:6" x14ac:dyDescent="0.25">
      <c r="A28730"/>
      <c r="B28730"/>
      <c r="C28730"/>
      <c r="E28730"/>
      <c r="F28730"/>
    </row>
    <row r="28731" spans="1:6" x14ac:dyDescent="0.25">
      <c r="A28731"/>
      <c r="B28731"/>
      <c r="C28731"/>
      <c r="E28731"/>
      <c r="F28731"/>
    </row>
    <row r="28732" spans="1:6" x14ac:dyDescent="0.25">
      <c r="A28732"/>
      <c r="B28732"/>
      <c r="C28732"/>
      <c r="E28732"/>
      <c r="F28732"/>
    </row>
    <row r="28733" spans="1:6" x14ac:dyDescent="0.25">
      <c r="A28733"/>
      <c r="B28733"/>
      <c r="C28733"/>
      <c r="E28733"/>
      <c r="F28733"/>
    </row>
    <row r="28734" spans="1:6" x14ac:dyDescent="0.25">
      <c r="A28734"/>
      <c r="B28734"/>
      <c r="C28734"/>
      <c r="E28734"/>
      <c r="F28734"/>
    </row>
    <row r="28735" spans="1:6" x14ac:dyDescent="0.25">
      <c r="A28735"/>
      <c r="B28735"/>
      <c r="C28735"/>
      <c r="E28735"/>
      <c r="F28735"/>
    </row>
    <row r="28736" spans="1:6" x14ac:dyDescent="0.25">
      <c r="A28736"/>
      <c r="B28736"/>
      <c r="C28736"/>
      <c r="E28736"/>
      <c r="F28736"/>
    </row>
    <row r="28737" spans="1:6" x14ac:dyDescent="0.25">
      <c r="A28737"/>
      <c r="B28737"/>
      <c r="C28737"/>
      <c r="E28737"/>
      <c r="F28737"/>
    </row>
    <row r="28738" spans="1:6" x14ac:dyDescent="0.25">
      <c r="A28738"/>
      <c r="B28738"/>
      <c r="C28738"/>
      <c r="E28738"/>
      <c r="F28738"/>
    </row>
    <row r="28739" spans="1:6" x14ac:dyDescent="0.25">
      <c r="A28739"/>
      <c r="B28739"/>
      <c r="C28739"/>
      <c r="E28739"/>
      <c r="F28739"/>
    </row>
    <row r="28740" spans="1:6" x14ac:dyDescent="0.25">
      <c r="A28740"/>
      <c r="B28740"/>
      <c r="C28740"/>
      <c r="E28740"/>
      <c r="F28740"/>
    </row>
    <row r="28741" spans="1:6" x14ac:dyDescent="0.25">
      <c r="A28741"/>
      <c r="B28741"/>
      <c r="C28741"/>
      <c r="E28741"/>
      <c r="F28741"/>
    </row>
    <row r="28742" spans="1:6" x14ac:dyDescent="0.25">
      <c r="A28742"/>
      <c r="B28742"/>
      <c r="C28742"/>
      <c r="E28742"/>
      <c r="F28742"/>
    </row>
    <row r="28743" spans="1:6" x14ac:dyDescent="0.25">
      <c r="A28743"/>
      <c r="B28743"/>
      <c r="C28743"/>
      <c r="E28743"/>
      <c r="F28743"/>
    </row>
    <row r="28744" spans="1:6" x14ac:dyDescent="0.25">
      <c r="A28744"/>
      <c r="B28744"/>
      <c r="C28744"/>
      <c r="E28744"/>
      <c r="F28744"/>
    </row>
    <row r="28745" spans="1:6" x14ac:dyDescent="0.25">
      <c r="A28745"/>
      <c r="B28745"/>
      <c r="C28745"/>
      <c r="E28745"/>
      <c r="F28745"/>
    </row>
    <row r="28746" spans="1:6" x14ac:dyDescent="0.25">
      <c r="A28746"/>
      <c r="B28746"/>
      <c r="C28746"/>
      <c r="E28746"/>
      <c r="F28746"/>
    </row>
    <row r="28747" spans="1:6" x14ac:dyDescent="0.25">
      <c r="A28747"/>
      <c r="B28747"/>
      <c r="C28747"/>
      <c r="E28747"/>
      <c r="F28747"/>
    </row>
    <row r="28748" spans="1:6" x14ac:dyDescent="0.25">
      <c r="A28748"/>
      <c r="B28748"/>
      <c r="C28748"/>
      <c r="E28748"/>
      <c r="F28748"/>
    </row>
    <row r="28749" spans="1:6" x14ac:dyDescent="0.25">
      <c r="A28749"/>
      <c r="B28749"/>
      <c r="C28749"/>
      <c r="E28749"/>
      <c r="F28749"/>
    </row>
    <row r="28750" spans="1:6" x14ac:dyDescent="0.25">
      <c r="A28750"/>
      <c r="B28750"/>
      <c r="C28750"/>
      <c r="E28750"/>
      <c r="F28750"/>
    </row>
    <row r="28751" spans="1:6" x14ac:dyDescent="0.25">
      <c r="A28751"/>
      <c r="B28751"/>
      <c r="C28751"/>
      <c r="E28751"/>
      <c r="F28751"/>
    </row>
    <row r="28752" spans="1:6" x14ac:dyDescent="0.25">
      <c r="A28752"/>
      <c r="B28752"/>
      <c r="C28752"/>
      <c r="E28752"/>
      <c r="F28752"/>
    </row>
    <row r="28753" spans="1:6" x14ac:dyDescent="0.25">
      <c r="A28753"/>
      <c r="B28753"/>
      <c r="C28753"/>
      <c r="E28753"/>
      <c r="F28753"/>
    </row>
    <row r="28754" spans="1:6" x14ac:dyDescent="0.25">
      <c r="A28754"/>
      <c r="B28754"/>
      <c r="C28754"/>
      <c r="E28754"/>
      <c r="F28754"/>
    </row>
    <row r="28755" spans="1:6" x14ac:dyDescent="0.25">
      <c r="A28755"/>
      <c r="B28755"/>
      <c r="C28755"/>
      <c r="E28755"/>
      <c r="F28755"/>
    </row>
    <row r="28756" spans="1:6" x14ac:dyDescent="0.25">
      <c r="A28756"/>
      <c r="B28756"/>
      <c r="C28756"/>
      <c r="E28756"/>
      <c r="F28756"/>
    </row>
    <row r="28757" spans="1:6" x14ac:dyDescent="0.25">
      <c r="A28757"/>
      <c r="B28757"/>
      <c r="C28757"/>
      <c r="E28757"/>
      <c r="F28757"/>
    </row>
    <row r="28758" spans="1:6" x14ac:dyDescent="0.25">
      <c r="A28758"/>
      <c r="B28758"/>
      <c r="C28758"/>
      <c r="E28758"/>
      <c r="F28758"/>
    </row>
    <row r="28759" spans="1:6" x14ac:dyDescent="0.25">
      <c r="A28759"/>
      <c r="B28759"/>
      <c r="C28759"/>
      <c r="E28759"/>
      <c r="F28759"/>
    </row>
    <row r="28760" spans="1:6" x14ac:dyDescent="0.25">
      <c r="A28760"/>
      <c r="B28760"/>
      <c r="C28760"/>
      <c r="E28760"/>
      <c r="F28760"/>
    </row>
    <row r="28761" spans="1:6" x14ac:dyDescent="0.25">
      <c r="A28761"/>
      <c r="B28761"/>
      <c r="C28761"/>
      <c r="E28761"/>
      <c r="F28761"/>
    </row>
    <row r="28762" spans="1:6" x14ac:dyDescent="0.25">
      <c r="A28762"/>
      <c r="B28762"/>
      <c r="C28762"/>
      <c r="E28762"/>
      <c r="F28762"/>
    </row>
    <row r="28763" spans="1:6" x14ac:dyDescent="0.25">
      <c r="A28763"/>
      <c r="B28763"/>
      <c r="C28763"/>
      <c r="E28763"/>
      <c r="F28763"/>
    </row>
    <row r="28764" spans="1:6" x14ac:dyDescent="0.25">
      <c r="A28764"/>
      <c r="B28764"/>
      <c r="C28764"/>
      <c r="E28764"/>
      <c r="F28764"/>
    </row>
    <row r="28765" spans="1:6" x14ac:dyDescent="0.25">
      <c r="A28765"/>
      <c r="B28765"/>
      <c r="C28765"/>
      <c r="E28765"/>
      <c r="F28765"/>
    </row>
    <row r="28766" spans="1:6" x14ac:dyDescent="0.25">
      <c r="A28766"/>
      <c r="B28766"/>
      <c r="C28766"/>
      <c r="E28766"/>
      <c r="F28766"/>
    </row>
    <row r="28767" spans="1:6" x14ac:dyDescent="0.25">
      <c r="A28767"/>
      <c r="B28767"/>
      <c r="C28767"/>
      <c r="E28767"/>
      <c r="F28767"/>
    </row>
    <row r="28768" spans="1:6" x14ac:dyDescent="0.25">
      <c r="A28768"/>
      <c r="B28768"/>
      <c r="C28768"/>
      <c r="E28768"/>
      <c r="F28768"/>
    </row>
    <row r="28769" spans="1:6" x14ac:dyDescent="0.25">
      <c r="A28769"/>
      <c r="B28769"/>
      <c r="C28769"/>
      <c r="E28769"/>
      <c r="F28769"/>
    </row>
    <row r="28770" spans="1:6" x14ac:dyDescent="0.25">
      <c r="A28770"/>
      <c r="B28770"/>
      <c r="C28770"/>
      <c r="E28770"/>
      <c r="F28770"/>
    </row>
    <row r="28771" spans="1:6" x14ac:dyDescent="0.25">
      <c r="A28771"/>
      <c r="B28771"/>
      <c r="C28771"/>
      <c r="E28771"/>
      <c r="F28771"/>
    </row>
    <row r="28772" spans="1:6" x14ac:dyDescent="0.25">
      <c r="A28772"/>
      <c r="B28772"/>
      <c r="C28772"/>
      <c r="E28772"/>
      <c r="F28772"/>
    </row>
    <row r="28773" spans="1:6" x14ac:dyDescent="0.25">
      <c r="A28773"/>
      <c r="B28773"/>
      <c r="C28773"/>
      <c r="E28773"/>
      <c r="F28773"/>
    </row>
    <row r="28774" spans="1:6" x14ac:dyDescent="0.25">
      <c r="A28774"/>
      <c r="B28774"/>
      <c r="C28774"/>
      <c r="E28774"/>
      <c r="F28774"/>
    </row>
    <row r="28775" spans="1:6" x14ac:dyDescent="0.25">
      <c r="A28775"/>
      <c r="B28775"/>
      <c r="C28775"/>
      <c r="E28775"/>
      <c r="F28775"/>
    </row>
    <row r="28776" spans="1:6" x14ac:dyDescent="0.25">
      <c r="A28776"/>
      <c r="B28776"/>
      <c r="C28776"/>
      <c r="E28776"/>
      <c r="F28776"/>
    </row>
    <row r="28777" spans="1:6" x14ac:dyDescent="0.25">
      <c r="A28777"/>
      <c r="B28777"/>
      <c r="C28777"/>
      <c r="E28777"/>
      <c r="F28777"/>
    </row>
    <row r="28778" spans="1:6" x14ac:dyDescent="0.25">
      <c r="A28778"/>
      <c r="B28778"/>
      <c r="C28778"/>
      <c r="E28778"/>
      <c r="F28778"/>
    </row>
    <row r="28779" spans="1:6" x14ac:dyDescent="0.25">
      <c r="A28779"/>
      <c r="B28779"/>
      <c r="C28779"/>
      <c r="E28779"/>
      <c r="F28779"/>
    </row>
    <row r="28780" spans="1:6" x14ac:dyDescent="0.25">
      <c r="A28780"/>
      <c r="B28780"/>
      <c r="C28780"/>
      <c r="E28780"/>
      <c r="F28780"/>
    </row>
    <row r="28781" spans="1:6" x14ac:dyDescent="0.25">
      <c r="A28781"/>
      <c r="B28781"/>
      <c r="C28781"/>
      <c r="E28781"/>
      <c r="F28781"/>
    </row>
    <row r="28782" spans="1:6" x14ac:dyDescent="0.25">
      <c r="A28782"/>
      <c r="B28782"/>
      <c r="C28782"/>
      <c r="E28782"/>
      <c r="F28782"/>
    </row>
    <row r="28783" spans="1:6" x14ac:dyDescent="0.25">
      <c r="A28783"/>
      <c r="B28783"/>
      <c r="C28783"/>
      <c r="E28783"/>
      <c r="F28783"/>
    </row>
    <row r="28784" spans="1:6" x14ac:dyDescent="0.25">
      <c r="A28784"/>
      <c r="B28784"/>
      <c r="C28784"/>
      <c r="E28784"/>
      <c r="F28784"/>
    </row>
    <row r="28785" spans="1:6" x14ac:dyDescent="0.25">
      <c r="A28785"/>
      <c r="B28785"/>
      <c r="C28785"/>
      <c r="E28785"/>
      <c r="F28785"/>
    </row>
    <row r="28786" spans="1:6" x14ac:dyDescent="0.25">
      <c r="A28786"/>
      <c r="B28786"/>
      <c r="C28786"/>
      <c r="E28786"/>
      <c r="F28786"/>
    </row>
    <row r="28787" spans="1:6" x14ac:dyDescent="0.25">
      <c r="A28787"/>
      <c r="B28787"/>
      <c r="C28787"/>
      <c r="E28787"/>
      <c r="F28787"/>
    </row>
    <row r="28788" spans="1:6" x14ac:dyDescent="0.25">
      <c r="A28788"/>
      <c r="B28788"/>
      <c r="C28788"/>
      <c r="E28788"/>
      <c r="F28788"/>
    </row>
    <row r="28789" spans="1:6" x14ac:dyDescent="0.25">
      <c r="A28789"/>
      <c r="B28789"/>
      <c r="C28789"/>
      <c r="E28789"/>
      <c r="F28789"/>
    </row>
    <row r="28790" spans="1:6" x14ac:dyDescent="0.25">
      <c r="A28790"/>
      <c r="B28790"/>
      <c r="C28790"/>
      <c r="E28790"/>
      <c r="F28790"/>
    </row>
    <row r="28791" spans="1:6" x14ac:dyDescent="0.25">
      <c r="A28791"/>
      <c r="B28791"/>
      <c r="C28791"/>
      <c r="E28791"/>
      <c r="F28791"/>
    </row>
    <row r="28792" spans="1:6" x14ac:dyDescent="0.25">
      <c r="A28792"/>
      <c r="B28792"/>
      <c r="C28792"/>
      <c r="E28792"/>
      <c r="F28792"/>
    </row>
    <row r="28793" spans="1:6" x14ac:dyDescent="0.25">
      <c r="A28793"/>
      <c r="B28793"/>
      <c r="C28793"/>
      <c r="E28793"/>
      <c r="F28793"/>
    </row>
    <row r="28794" spans="1:6" x14ac:dyDescent="0.25">
      <c r="A28794"/>
      <c r="B28794"/>
      <c r="C28794"/>
      <c r="E28794"/>
      <c r="F28794"/>
    </row>
    <row r="28795" spans="1:6" x14ac:dyDescent="0.25">
      <c r="A28795"/>
      <c r="B28795"/>
      <c r="C28795"/>
      <c r="E28795"/>
      <c r="F28795"/>
    </row>
    <row r="28796" spans="1:6" x14ac:dyDescent="0.25">
      <c r="A28796"/>
      <c r="B28796"/>
      <c r="C28796"/>
      <c r="E28796"/>
      <c r="F28796"/>
    </row>
    <row r="28797" spans="1:6" x14ac:dyDescent="0.25">
      <c r="A28797"/>
      <c r="B28797"/>
      <c r="C28797"/>
      <c r="E28797"/>
      <c r="F28797"/>
    </row>
    <row r="28798" spans="1:6" x14ac:dyDescent="0.25">
      <c r="A28798"/>
      <c r="B28798"/>
      <c r="C28798"/>
      <c r="E28798"/>
      <c r="F28798"/>
    </row>
    <row r="28799" spans="1:6" x14ac:dyDescent="0.25">
      <c r="A28799"/>
      <c r="B28799"/>
      <c r="C28799"/>
      <c r="E28799"/>
      <c r="F28799"/>
    </row>
    <row r="28800" spans="1:6" x14ac:dyDescent="0.25">
      <c r="A28800"/>
      <c r="B28800"/>
      <c r="C28800"/>
      <c r="E28800"/>
      <c r="F28800"/>
    </row>
    <row r="28801" spans="1:6" x14ac:dyDescent="0.25">
      <c r="A28801"/>
      <c r="B28801"/>
      <c r="C28801"/>
      <c r="E28801"/>
      <c r="F28801"/>
    </row>
    <row r="28802" spans="1:6" x14ac:dyDescent="0.25">
      <c r="A28802"/>
      <c r="B28802"/>
      <c r="C28802"/>
      <c r="E28802"/>
      <c r="F28802"/>
    </row>
    <row r="28803" spans="1:6" x14ac:dyDescent="0.25">
      <c r="A28803"/>
      <c r="B28803"/>
      <c r="C28803"/>
      <c r="E28803"/>
      <c r="F28803"/>
    </row>
    <row r="28804" spans="1:6" x14ac:dyDescent="0.25">
      <c r="A28804"/>
      <c r="B28804"/>
      <c r="C28804"/>
      <c r="E28804"/>
      <c r="F28804"/>
    </row>
    <row r="28805" spans="1:6" x14ac:dyDescent="0.25">
      <c r="A28805"/>
      <c r="B28805"/>
      <c r="C28805"/>
      <c r="E28805"/>
      <c r="F28805"/>
    </row>
    <row r="28806" spans="1:6" x14ac:dyDescent="0.25">
      <c r="A28806"/>
      <c r="B28806"/>
      <c r="C28806"/>
      <c r="E28806"/>
      <c r="F28806"/>
    </row>
    <row r="28807" spans="1:6" x14ac:dyDescent="0.25">
      <c r="A28807"/>
      <c r="B28807"/>
      <c r="C28807"/>
      <c r="E28807"/>
      <c r="F28807"/>
    </row>
    <row r="28808" spans="1:6" x14ac:dyDescent="0.25">
      <c r="A28808"/>
      <c r="B28808"/>
      <c r="C28808"/>
      <c r="E28808"/>
      <c r="F28808"/>
    </row>
    <row r="28809" spans="1:6" x14ac:dyDescent="0.25">
      <c r="A28809"/>
      <c r="B28809"/>
      <c r="C28809"/>
      <c r="E28809"/>
      <c r="F28809"/>
    </row>
    <row r="28810" spans="1:6" x14ac:dyDescent="0.25">
      <c r="A28810"/>
      <c r="B28810"/>
      <c r="C28810"/>
      <c r="E28810"/>
      <c r="F28810"/>
    </row>
    <row r="28811" spans="1:6" x14ac:dyDescent="0.25">
      <c r="A28811"/>
      <c r="B28811"/>
      <c r="C28811"/>
      <c r="E28811"/>
      <c r="F28811"/>
    </row>
    <row r="28812" spans="1:6" x14ac:dyDescent="0.25">
      <c r="A28812"/>
      <c r="B28812"/>
      <c r="C28812"/>
      <c r="E28812"/>
      <c r="F28812"/>
    </row>
    <row r="28813" spans="1:6" x14ac:dyDescent="0.25">
      <c r="A28813"/>
      <c r="B28813"/>
      <c r="C28813"/>
      <c r="E28813"/>
      <c r="F28813"/>
    </row>
    <row r="28814" spans="1:6" x14ac:dyDescent="0.25">
      <c r="A28814"/>
      <c r="B28814"/>
      <c r="C28814"/>
      <c r="E28814"/>
      <c r="F28814"/>
    </row>
    <row r="28815" spans="1:6" x14ac:dyDescent="0.25">
      <c r="A28815"/>
      <c r="B28815"/>
      <c r="C28815"/>
      <c r="E28815"/>
      <c r="F28815"/>
    </row>
    <row r="28816" spans="1:6" x14ac:dyDescent="0.25">
      <c r="A28816"/>
      <c r="B28816"/>
      <c r="C28816"/>
      <c r="E28816"/>
      <c r="F28816"/>
    </row>
    <row r="28817" spans="1:6" x14ac:dyDescent="0.25">
      <c r="A28817"/>
      <c r="B28817"/>
      <c r="C28817"/>
      <c r="E28817"/>
      <c r="F28817"/>
    </row>
    <row r="28818" spans="1:6" x14ac:dyDescent="0.25">
      <c r="A28818"/>
      <c r="B28818"/>
      <c r="C28818"/>
      <c r="E28818"/>
      <c r="F28818"/>
    </row>
    <row r="28819" spans="1:6" x14ac:dyDescent="0.25">
      <c r="A28819"/>
      <c r="B28819"/>
      <c r="C28819"/>
      <c r="E28819"/>
      <c r="F28819"/>
    </row>
    <row r="28820" spans="1:6" x14ac:dyDescent="0.25">
      <c r="A28820"/>
      <c r="B28820"/>
      <c r="C28820"/>
      <c r="E28820"/>
      <c r="F28820"/>
    </row>
    <row r="28821" spans="1:6" x14ac:dyDescent="0.25">
      <c r="A28821"/>
      <c r="B28821"/>
      <c r="C28821"/>
      <c r="E28821"/>
      <c r="F28821"/>
    </row>
    <row r="28822" spans="1:6" x14ac:dyDescent="0.25">
      <c r="A28822"/>
      <c r="B28822"/>
      <c r="C28822"/>
      <c r="E28822"/>
      <c r="F28822"/>
    </row>
    <row r="28823" spans="1:6" x14ac:dyDescent="0.25">
      <c r="A28823"/>
      <c r="B28823"/>
      <c r="C28823"/>
      <c r="E28823"/>
      <c r="F28823"/>
    </row>
    <row r="28824" spans="1:6" x14ac:dyDescent="0.25">
      <c r="A28824"/>
      <c r="B28824"/>
      <c r="C28824"/>
      <c r="E28824"/>
      <c r="F28824"/>
    </row>
    <row r="28825" spans="1:6" x14ac:dyDescent="0.25">
      <c r="A28825"/>
      <c r="B28825"/>
      <c r="C28825"/>
      <c r="E28825"/>
      <c r="F28825"/>
    </row>
    <row r="28826" spans="1:6" x14ac:dyDescent="0.25">
      <c r="A28826"/>
      <c r="B28826"/>
      <c r="C28826"/>
      <c r="E28826"/>
      <c r="F28826"/>
    </row>
    <row r="28827" spans="1:6" x14ac:dyDescent="0.25">
      <c r="A28827"/>
      <c r="B28827"/>
      <c r="C28827"/>
      <c r="E28827"/>
      <c r="F28827"/>
    </row>
    <row r="28828" spans="1:6" x14ac:dyDescent="0.25">
      <c r="A28828"/>
      <c r="B28828"/>
      <c r="C28828"/>
      <c r="E28828"/>
      <c r="F28828"/>
    </row>
    <row r="28829" spans="1:6" x14ac:dyDescent="0.25">
      <c r="A28829"/>
      <c r="B28829"/>
      <c r="C28829"/>
      <c r="E28829"/>
      <c r="F28829"/>
    </row>
    <row r="28830" spans="1:6" x14ac:dyDescent="0.25">
      <c r="A28830"/>
      <c r="B28830"/>
      <c r="C28830"/>
      <c r="E28830"/>
      <c r="F28830"/>
    </row>
    <row r="28831" spans="1:6" x14ac:dyDescent="0.25">
      <c r="A28831"/>
      <c r="B28831"/>
      <c r="C28831"/>
      <c r="E28831"/>
      <c r="F28831"/>
    </row>
    <row r="28832" spans="1:6" x14ac:dyDescent="0.25">
      <c r="A28832"/>
      <c r="B28832"/>
      <c r="C28832"/>
      <c r="E28832"/>
      <c r="F28832"/>
    </row>
    <row r="28833" spans="1:6" x14ac:dyDescent="0.25">
      <c r="A28833"/>
      <c r="B28833"/>
      <c r="C28833"/>
      <c r="E28833"/>
      <c r="F28833"/>
    </row>
    <row r="28834" spans="1:6" x14ac:dyDescent="0.25">
      <c r="A28834"/>
      <c r="B28834"/>
      <c r="C28834"/>
      <c r="E28834"/>
      <c r="F28834"/>
    </row>
    <row r="28835" spans="1:6" x14ac:dyDescent="0.25">
      <c r="A28835"/>
      <c r="B28835"/>
      <c r="C28835"/>
      <c r="E28835"/>
      <c r="F28835"/>
    </row>
    <row r="28836" spans="1:6" x14ac:dyDescent="0.25">
      <c r="A28836"/>
      <c r="B28836"/>
      <c r="C28836"/>
      <c r="E28836"/>
      <c r="F28836"/>
    </row>
    <row r="28837" spans="1:6" x14ac:dyDescent="0.25">
      <c r="A28837"/>
      <c r="B28837"/>
      <c r="C28837"/>
      <c r="E28837"/>
      <c r="F28837"/>
    </row>
    <row r="28838" spans="1:6" x14ac:dyDescent="0.25">
      <c r="A28838"/>
      <c r="B28838"/>
      <c r="C28838"/>
      <c r="E28838"/>
      <c r="F28838"/>
    </row>
    <row r="28839" spans="1:6" x14ac:dyDescent="0.25">
      <c r="A28839"/>
      <c r="B28839"/>
      <c r="C28839"/>
      <c r="E28839"/>
      <c r="F28839"/>
    </row>
    <row r="28840" spans="1:6" x14ac:dyDescent="0.25">
      <c r="A28840"/>
      <c r="B28840"/>
      <c r="C28840"/>
      <c r="E28840"/>
      <c r="F28840"/>
    </row>
    <row r="28841" spans="1:6" x14ac:dyDescent="0.25">
      <c r="A28841"/>
      <c r="B28841"/>
      <c r="C28841"/>
      <c r="E28841"/>
      <c r="F28841"/>
    </row>
    <row r="28842" spans="1:6" x14ac:dyDescent="0.25">
      <c r="A28842"/>
      <c r="B28842"/>
      <c r="C28842"/>
      <c r="E28842"/>
      <c r="F28842"/>
    </row>
    <row r="28843" spans="1:6" x14ac:dyDescent="0.25">
      <c r="A28843"/>
      <c r="B28843"/>
      <c r="C28843"/>
      <c r="E28843"/>
      <c r="F28843"/>
    </row>
    <row r="28844" spans="1:6" x14ac:dyDescent="0.25">
      <c r="A28844"/>
      <c r="B28844"/>
      <c r="C28844"/>
      <c r="E28844"/>
      <c r="F28844"/>
    </row>
    <row r="28845" spans="1:6" x14ac:dyDescent="0.25">
      <c r="A28845"/>
      <c r="B28845"/>
      <c r="C28845"/>
      <c r="E28845"/>
      <c r="F28845"/>
    </row>
    <row r="28846" spans="1:6" x14ac:dyDescent="0.25">
      <c r="A28846"/>
      <c r="B28846"/>
      <c r="C28846"/>
      <c r="E28846"/>
      <c r="F28846"/>
    </row>
    <row r="28847" spans="1:6" x14ac:dyDescent="0.25">
      <c r="A28847"/>
      <c r="B28847"/>
      <c r="C28847"/>
      <c r="E28847"/>
      <c r="F28847"/>
    </row>
    <row r="28848" spans="1:6" x14ac:dyDescent="0.25">
      <c r="A28848"/>
      <c r="B28848"/>
      <c r="C28848"/>
      <c r="E28848"/>
      <c r="F28848"/>
    </row>
    <row r="28849" spans="1:6" x14ac:dyDescent="0.25">
      <c r="A28849"/>
      <c r="B28849"/>
      <c r="C28849"/>
      <c r="E28849"/>
      <c r="F28849"/>
    </row>
    <row r="28850" spans="1:6" x14ac:dyDescent="0.25">
      <c r="A28850"/>
      <c r="B28850"/>
      <c r="C28850"/>
      <c r="E28850"/>
      <c r="F28850"/>
    </row>
    <row r="28851" spans="1:6" x14ac:dyDescent="0.25">
      <c r="A28851"/>
      <c r="B28851"/>
      <c r="C28851"/>
      <c r="E28851"/>
      <c r="F28851"/>
    </row>
    <row r="28852" spans="1:6" x14ac:dyDescent="0.25">
      <c r="A28852"/>
      <c r="B28852"/>
      <c r="C28852"/>
      <c r="E28852"/>
      <c r="F28852"/>
    </row>
    <row r="28853" spans="1:6" x14ac:dyDescent="0.25">
      <c r="A28853"/>
      <c r="B28853"/>
      <c r="C28853"/>
      <c r="E28853"/>
      <c r="F28853"/>
    </row>
    <row r="28854" spans="1:6" x14ac:dyDescent="0.25">
      <c r="A28854"/>
      <c r="B28854"/>
      <c r="C28854"/>
      <c r="E28854"/>
      <c r="F28854"/>
    </row>
    <row r="28855" spans="1:6" x14ac:dyDescent="0.25">
      <c r="A28855"/>
      <c r="B28855"/>
      <c r="C28855"/>
      <c r="E28855"/>
      <c r="F28855"/>
    </row>
    <row r="28856" spans="1:6" x14ac:dyDescent="0.25">
      <c r="A28856"/>
      <c r="B28856"/>
      <c r="C28856"/>
      <c r="E28856"/>
      <c r="F28856"/>
    </row>
    <row r="28857" spans="1:6" x14ac:dyDescent="0.25">
      <c r="A28857"/>
      <c r="B28857"/>
      <c r="C28857"/>
      <c r="E28857"/>
      <c r="F28857"/>
    </row>
    <row r="28858" spans="1:6" x14ac:dyDescent="0.25">
      <c r="A28858"/>
      <c r="B28858"/>
      <c r="C28858"/>
      <c r="E28858"/>
      <c r="F28858"/>
    </row>
    <row r="28859" spans="1:6" x14ac:dyDescent="0.25">
      <c r="A28859"/>
      <c r="B28859"/>
      <c r="C28859"/>
      <c r="E28859"/>
      <c r="F28859"/>
    </row>
    <row r="28860" spans="1:6" x14ac:dyDescent="0.25">
      <c r="A28860"/>
      <c r="B28860"/>
      <c r="C28860"/>
      <c r="E28860"/>
      <c r="F28860"/>
    </row>
    <row r="28861" spans="1:6" x14ac:dyDescent="0.25">
      <c r="A28861"/>
      <c r="B28861"/>
      <c r="C28861"/>
      <c r="E28861"/>
      <c r="F28861"/>
    </row>
    <row r="28862" spans="1:6" x14ac:dyDescent="0.25">
      <c r="A28862"/>
      <c r="B28862"/>
      <c r="C28862"/>
      <c r="E28862"/>
      <c r="F28862"/>
    </row>
    <row r="28863" spans="1:6" x14ac:dyDescent="0.25">
      <c r="A28863"/>
      <c r="B28863"/>
      <c r="C28863"/>
      <c r="E28863"/>
      <c r="F28863"/>
    </row>
    <row r="28864" spans="1:6" x14ac:dyDescent="0.25">
      <c r="A28864"/>
      <c r="B28864"/>
      <c r="C28864"/>
      <c r="E28864"/>
      <c r="F28864"/>
    </row>
    <row r="28865" spans="1:6" x14ac:dyDescent="0.25">
      <c r="A28865"/>
      <c r="B28865"/>
      <c r="C28865"/>
      <c r="E28865"/>
      <c r="F28865"/>
    </row>
    <row r="28866" spans="1:6" x14ac:dyDescent="0.25">
      <c r="A28866"/>
      <c r="B28866"/>
      <c r="C28866"/>
      <c r="E28866"/>
      <c r="F28866"/>
    </row>
    <row r="28867" spans="1:6" x14ac:dyDescent="0.25">
      <c r="A28867"/>
      <c r="B28867"/>
      <c r="C28867"/>
      <c r="E28867"/>
      <c r="F28867"/>
    </row>
    <row r="28868" spans="1:6" x14ac:dyDescent="0.25">
      <c r="A28868"/>
      <c r="B28868"/>
      <c r="C28868"/>
      <c r="E28868"/>
      <c r="F28868"/>
    </row>
    <row r="28869" spans="1:6" x14ac:dyDescent="0.25">
      <c r="A28869"/>
      <c r="B28869"/>
      <c r="C28869"/>
      <c r="E28869"/>
      <c r="F28869"/>
    </row>
    <row r="28870" spans="1:6" x14ac:dyDescent="0.25">
      <c r="A28870"/>
      <c r="B28870"/>
      <c r="C28870"/>
      <c r="E28870"/>
      <c r="F28870"/>
    </row>
    <row r="28871" spans="1:6" x14ac:dyDescent="0.25">
      <c r="A28871"/>
      <c r="B28871"/>
      <c r="C28871"/>
      <c r="E28871"/>
      <c r="F28871"/>
    </row>
    <row r="28872" spans="1:6" x14ac:dyDescent="0.25">
      <c r="A28872"/>
      <c r="B28872"/>
      <c r="C28872"/>
      <c r="E28872"/>
      <c r="F28872"/>
    </row>
    <row r="28873" spans="1:6" x14ac:dyDescent="0.25">
      <c r="A28873"/>
      <c r="B28873"/>
      <c r="C28873"/>
      <c r="E28873"/>
      <c r="F28873"/>
    </row>
    <row r="28874" spans="1:6" x14ac:dyDescent="0.25">
      <c r="A28874"/>
      <c r="B28874"/>
      <c r="C28874"/>
      <c r="E28874"/>
      <c r="F28874"/>
    </row>
    <row r="28875" spans="1:6" x14ac:dyDescent="0.25">
      <c r="A28875"/>
      <c r="B28875"/>
      <c r="C28875"/>
      <c r="E28875"/>
      <c r="F28875"/>
    </row>
    <row r="28876" spans="1:6" x14ac:dyDescent="0.25">
      <c r="A28876"/>
      <c r="B28876"/>
      <c r="C28876"/>
      <c r="E28876"/>
      <c r="F28876"/>
    </row>
    <row r="28877" spans="1:6" x14ac:dyDescent="0.25">
      <c r="A28877"/>
      <c r="B28877"/>
      <c r="C28877"/>
      <c r="E28877"/>
      <c r="F28877"/>
    </row>
    <row r="28878" spans="1:6" x14ac:dyDescent="0.25">
      <c r="A28878"/>
      <c r="B28878"/>
      <c r="C28878"/>
      <c r="E28878"/>
      <c r="F28878"/>
    </row>
    <row r="28879" spans="1:6" x14ac:dyDescent="0.25">
      <c r="A28879"/>
      <c r="B28879"/>
      <c r="C28879"/>
      <c r="E28879"/>
      <c r="F28879"/>
    </row>
    <row r="28880" spans="1:6" x14ac:dyDescent="0.25">
      <c r="A28880"/>
      <c r="B28880"/>
      <c r="C28880"/>
      <c r="E28880"/>
      <c r="F28880"/>
    </row>
    <row r="28881" spans="1:6" x14ac:dyDescent="0.25">
      <c r="A28881"/>
      <c r="B28881"/>
      <c r="C28881"/>
      <c r="E28881"/>
      <c r="F28881"/>
    </row>
    <row r="28882" spans="1:6" x14ac:dyDescent="0.25">
      <c r="A28882"/>
      <c r="B28882"/>
      <c r="C28882"/>
      <c r="E28882"/>
      <c r="F28882"/>
    </row>
    <row r="28883" spans="1:6" x14ac:dyDescent="0.25">
      <c r="A28883"/>
      <c r="B28883"/>
      <c r="C28883"/>
      <c r="E28883"/>
      <c r="F28883"/>
    </row>
    <row r="28884" spans="1:6" x14ac:dyDescent="0.25">
      <c r="A28884"/>
      <c r="B28884"/>
      <c r="C28884"/>
      <c r="E28884"/>
      <c r="F28884"/>
    </row>
    <row r="28885" spans="1:6" x14ac:dyDescent="0.25">
      <c r="A28885"/>
      <c r="B28885"/>
      <c r="C28885"/>
      <c r="E28885"/>
      <c r="F28885"/>
    </row>
    <row r="28886" spans="1:6" x14ac:dyDescent="0.25">
      <c r="A28886"/>
      <c r="B28886"/>
      <c r="C28886"/>
      <c r="E28886"/>
      <c r="F28886"/>
    </row>
    <row r="28887" spans="1:6" x14ac:dyDescent="0.25">
      <c r="A28887"/>
      <c r="B28887"/>
      <c r="C28887"/>
      <c r="E28887"/>
      <c r="F28887"/>
    </row>
    <row r="28888" spans="1:6" x14ac:dyDescent="0.25">
      <c r="A28888"/>
      <c r="B28888"/>
      <c r="C28888"/>
      <c r="E28888"/>
      <c r="F28888"/>
    </row>
    <row r="28889" spans="1:6" x14ac:dyDescent="0.25">
      <c r="A28889"/>
      <c r="B28889"/>
      <c r="C28889"/>
      <c r="E28889"/>
      <c r="F28889"/>
    </row>
    <row r="28890" spans="1:6" x14ac:dyDescent="0.25">
      <c r="A28890"/>
      <c r="B28890"/>
      <c r="C28890"/>
      <c r="E28890"/>
      <c r="F28890"/>
    </row>
    <row r="28891" spans="1:6" x14ac:dyDescent="0.25">
      <c r="A28891"/>
      <c r="B28891"/>
      <c r="C28891"/>
      <c r="E28891"/>
      <c r="F28891"/>
    </row>
    <row r="28892" spans="1:6" x14ac:dyDescent="0.25">
      <c r="A28892"/>
      <c r="B28892"/>
      <c r="C28892"/>
      <c r="E28892"/>
      <c r="F28892"/>
    </row>
    <row r="28893" spans="1:6" x14ac:dyDescent="0.25">
      <c r="A28893"/>
      <c r="B28893"/>
      <c r="C28893"/>
      <c r="E28893"/>
      <c r="F28893"/>
    </row>
    <row r="28894" spans="1:6" x14ac:dyDescent="0.25">
      <c r="A28894"/>
      <c r="B28894"/>
      <c r="C28894"/>
      <c r="E28894"/>
      <c r="F28894"/>
    </row>
    <row r="28895" spans="1:6" x14ac:dyDescent="0.25">
      <c r="A28895"/>
      <c r="B28895"/>
      <c r="C28895"/>
      <c r="E28895"/>
      <c r="F28895"/>
    </row>
    <row r="28896" spans="1:6" x14ac:dyDescent="0.25">
      <c r="A28896"/>
      <c r="B28896"/>
      <c r="C28896"/>
      <c r="E28896"/>
      <c r="F28896"/>
    </row>
    <row r="28897" spans="1:6" x14ac:dyDescent="0.25">
      <c r="A28897"/>
      <c r="B28897"/>
      <c r="C28897"/>
      <c r="E28897"/>
      <c r="F28897"/>
    </row>
    <row r="28898" spans="1:6" x14ac:dyDescent="0.25">
      <c r="A28898"/>
      <c r="B28898"/>
      <c r="C28898"/>
      <c r="E28898"/>
      <c r="F28898"/>
    </row>
    <row r="28899" spans="1:6" x14ac:dyDescent="0.25">
      <c r="A28899"/>
      <c r="B28899"/>
      <c r="C28899"/>
      <c r="E28899"/>
      <c r="F28899"/>
    </row>
    <row r="28900" spans="1:6" x14ac:dyDescent="0.25">
      <c r="A28900"/>
      <c r="B28900"/>
      <c r="C28900"/>
      <c r="E28900"/>
      <c r="F28900"/>
    </row>
    <row r="28901" spans="1:6" x14ac:dyDescent="0.25">
      <c r="A28901"/>
      <c r="B28901"/>
      <c r="C28901"/>
      <c r="E28901"/>
      <c r="F28901"/>
    </row>
    <row r="28902" spans="1:6" x14ac:dyDescent="0.25">
      <c r="A28902"/>
      <c r="B28902"/>
      <c r="C28902"/>
      <c r="E28902"/>
      <c r="F28902"/>
    </row>
    <row r="28903" spans="1:6" x14ac:dyDescent="0.25">
      <c r="A28903"/>
      <c r="B28903"/>
      <c r="C28903"/>
      <c r="E28903"/>
      <c r="F28903"/>
    </row>
    <row r="28904" spans="1:6" x14ac:dyDescent="0.25">
      <c r="A28904"/>
      <c r="B28904"/>
      <c r="C28904"/>
      <c r="E28904"/>
      <c r="F28904"/>
    </row>
    <row r="28905" spans="1:6" x14ac:dyDescent="0.25">
      <c r="A28905"/>
      <c r="B28905"/>
      <c r="C28905"/>
      <c r="E28905"/>
      <c r="F28905"/>
    </row>
    <row r="28906" spans="1:6" x14ac:dyDescent="0.25">
      <c r="A28906"/>
      <c r="B28906"/>
      <c r="C28906"/>
      <c r="E28906"/>
      <c r="F28906"/>
    </row>
    <row r="28907" spans="1:6" x14ac:dyDescent="0.25">
      <c r="A28907"/>
      <c r="B28907"/>
      <c r="C28907"/>
      <c r="E28907"/>
      <c r="F28907"/>
    </row>
    <row r="28908" spans="1:6" x14ac:dyDescent="0.25">
      <c r="A28908"/>
      <c r="B28908"/>
      <c r="C28908"/>
      <c r="E28908"/>
      <c r="F28908"/>
    </row>
    <row r="28909" spans="1:6" x14ac:dyDescent="0.25">
      <c r="A28909"/>
      <c r="B28909"/>
      <c r="C28909"/>
      <c r="E28909"/>
      <c r="F28909"/>
    </row>
    <row r="28910" spans="1:6" x14ac:dyDescent="0.25">
      <c r="A28910"/>
      <c r="B28910"/>
      <c r="C28910"/>
      <c r="E28910"/>
      <c r="F28910"/>
    </row>
    <row r="28911" spans="1:6" x14ac:dyDescent="0.25">
      <c r="A28911"/>
      <c r="B28911"/>
      <c r="C28911"/>
      <c r="E28911"/>
      <c r="F28911"/>
    </row>
    <row r="28912" spans="1:6" x14ac:dyDescent="0.25">
      <c r="A28912"/>
      <c r="B28912"/>
      <c r="C28912"/>
      <c r="E28912"/>
      <c r="F28912"/>
    </row>
    <row r="28913" spans="1:6" x14ac:dyDescent="0.25">
      <c r="A28913"/>
      <c r="B28913"/>
      <c r="C28913"/>
      <c r="E28913"/>
      <c r="F28913"/>
    </row>
    <row r="28914" spans="1:6" x14ac:dyDescent="0.25">
      <c r="A28914"/>
      <c r="B28914"/>
      <c r="C28914"/>
      <c r="E28914"/>
      <c r="F28914"/>
    </row>
    <row r="28915" spans="1:6" x14ac:dyDescent="0.25">
      <c r="A28915"/>
      <c r="B28915"/>
      <c r="C28915"/>
      <c r="E28915"/>
      <c r="F28915"/>
    </row>
    <row r="28916" spans="1:6" x14ac:dyDescent="0.25">
      <c r="A28916"/>
      <c r="B28916"/>
      <c r="C28916"/>
      <c r="E28916"/>
      <c r="F28916"/>
    </row>
    <row r="28917" spans="1:6" x14ac:dyDescent="0.25">
      <c r="A28917"/>
      <c r="B28917"/>
      <c r="C28917"/>
      <c r="E28917"/>
      <c r="F28917"/>
    </row>
    <row r="28918" spans="1:6" x14ac:dyDescent="0.25">
      <c r="A28918"/>
      <c r="B28918"/>
      <c r="C28918"/>
      <c r="E28918"/>
      <c r="F28918"/>
    </row>
    <row r="28919" spans="1:6" x14ac:dyDescent="0.25">
      <c r="A28919"/>
      <c r="B28919"/>
      <c r="C28919"/>
      <c r="E28919"/>
      <c r="F28919"/>
    </row>
    <row r="28920" spans="1:6" x14ac:dyDescent="0.25">
      <c r="A28920"/>
      <c r="B28920"/>
      <c r="C28920"/>
      <c r="E28920"/>
      <c r="F28920"/>
    </row>
    <row r="28921" spans="1:6" x14ac:dyDescent="0.25">
      <c r="A28921"/>
      <c r="B28921"/>
      <c r="C28921"/>
      <c r="E28921"/>
      <c r="F28921"/>
    </row>
    <row r="28922" spans="1:6" x14ac:dyDescent="0.25">
      <c r="A28922"/>
      <c r="B28922"/>
      <c r="C28922"/>
      <c r="E28922"/>
      <c r="F28922"/>
    </row>
    <row r="28923" spans="1:6" x14ac:dyDescent="0.25">
      <c r="A28923"/>
      <c r="B28923"/>
      <c r="C28923"/>
      <c r="E28923"/>
      <c r="F28923"/>
    </row>
    <row r="28924" spans="1:6" x14ac:dyDescent="0.25">
      <c r="A28924"/>
      <c r="B28924"/>
      <c r="C28924"/>
      <c r="E28924"/>
      <c r="F28924"/>
    </row>
    <row r="28925" spans="1:6" x14ac:dyDescent="0.25">
      <c r="A28925"/>
      <c r="B28925"/>
      <c r="C28925"/>
      <c r="E28925"/>
      <c r="F28925"/>
    </row>
    <row r="28926" spans="1:6" x14ac:dyDescent="0.25">
      <c r="A28926"/>
      <c r="B28926"/>
      <c r="C28926"/>
      <c r="E28926"/>
      <c r="F28926"/>
    </row>
    <row r="28927" spans="1:6" x14ac:dyDescent="0.25">
      <c r="A28927"/>
      <c r="B28927"/>
      <c r="C28927"/>
      <c r="E28927"/>
      <c r="F28927"/>
    </row>
    <row r="28928" spans="1:6" x14ac:dyDescent="0.25">
      <c r="A28928"/>
      <c r="B28928"/>
      <c r="C28928"/>
      <c r="E28928"/>
      <c r="F28928"/>
    </row>
    <row r="28929" spans="1:6" x14ac:dyDescent="0.25">
      <c r="A28929"/>
      <c r="B28929"/>
      <c r="C28929"/>
      <c r="E28929"/>
      <c r="F28929"/>
    </row>
    <row r="28930" spans="1:6" x14ac:dyDescent="0.25">
      <c r="A28930"/>
      <c r="B28930"/>
      <c r="C28930"/>
      <c r="E28930"/>
      <c r="F28930"/>
    </row>
    <row r="28931" spans="1:6" x14ac:dyDescent="0.25">
      <c r="A28931"/>
      <c r="B28931"/>
      <c r="C28931"/>
      <c r="E28931"/>
      <c r="F28931"/>
    </row>
    <row r="28932" spans="1:6" x14ac:dyDescent="0.25">
      <c r="A28932"/>
      <c r="B28932"/>
      <c r="C28932"/>
      <c r="E28932"/>
      <c r="F28932"/>
    </row>
    <row r="28933" spans="1:6" x14ac:dyDescent="0.25">
      <c r="A28933"/>
      <c r="B28933"/>
      <c r="C28933"/>
      <c r="E28933"/>
      <c r="F28933"/>
    </row>
    <row r="28934" spans="1:6" x14ac:dyDescent="0.25">
      <c r="A28934"/>
      <c r="B28934"/>
      <c r="C28934"/>
      <c r="E28934"/>
      <c r="F28934"/>
    </row>
    <row r="28935" spans="1:6" x14ac:dyDescent="0.25">
      <c r="A28935"/>
      <c r="B28935"/>
      <c r="C28935"/>
      <c r="E28935"/>
      <c r="F28935"/>
    </row>
    <row r="28936" spans="1:6" x14ac:dyDescent="0.25">
      <c r="A28936"/>
      <c r="B28936"/>
      <c r="C28936"/>
      <c r="E28936"/>
      <c r="F28936"/>
    </row>
    <row r="28937" spans="1:6" x14ac:dyDescent="0.25">
      <c r="A28937"/>
      <c r="B28937"/>
      <c r="C28937"/>
      <c r="E28937"/>
      <c r="F28937"/>
    </row>
    <row r="28938" spans="1:6" x14ac:dyDescent="0.25">
      <c r="A28938"/>
      <c r="B28938"/>
      <c r="C28938"/>
      <c r="E28938"/>
      <c r="F28938"/>
    </row>
    <row r="28939" spans="1:6" x14ac:dyDescent="0.25">
      <c r="A28939"/>
      <c r="B28939"/>
      <c r="C28939"/>
      <c r="E28939"/>
      <c r="F28939"/>
    </row>
    <row r="28940" spans="1:6" x14ac:dyDescent="0.25">
      <c r="A28940"/>
      <c r="B28940"/>
      <c r="C28940"/>
      <c r="E28940"/>
      <c r="F28940"/>
    </row>
    <row r="28941" spans="1:6" x14ac:dyDescent="0.25">
      <c r="A28941"/>
      <c r="B28941"/>
      <c r="C28941"/>
      <c r="E28941"/>
      <c r="F28941"/>
    </row>
    <row r="28942" spans="1:6" x14ac:dyDescent="0.25">
      <c r="A28942"/>
      <c r="B28942"/>
      <c r="C28942"/>
      <c r="E28942"/>
      <c r="F28942"/>
    </row>
    <row r="28943" spans="1:6" x14ac:dyDescent="0.25">
      <c r="A28943"/>
      <c r="B28943"/>
      <c r="C28943"/>
      <c r="E28943"/>
      <c r="F28943"/>
    </row>
    <row r="28944" spans="1:6" x14ac:dyDescent="0.25">
      <c r="A28944"/>
      <c r="B28944"/>
      <c r="C28944"/>
      <c r="E28944"/>
      <c r="F28944"/>
    </row>
    <row r="28945" spans="1:6" x14ac:dyDescent="0.25">
      <c r="A28945"/>
      <c r="B28945"/>
      <c r="C28945"/>
      <c r="E28945"/>
      <c r="F28945"/>
    </row>
    <row r="28946" spans="1:6" x14ac:dyDescent="0.25">
      <c r="A28946"/>
      <c r="B28946"/>
      <c r="C28946"/>
      <c r="E28946"/>
      <c r="F28946"/>
    </row>
    <row r="28947" spans="1:6" x14ac:dyDescent="0.25">
      <c r="A28947"/>
      <c r="B28947"/>
      <c r="C28947"/>
      <c r="E28947"/>
      <c r="F28947"/>
    </row>
    <row r="28948" spans="1:6" x14ac:dyDescent="0.25">
      <c r="A28948"/>
      <c r="B28948"/>
      <c r="C28948"/>
      <c r="E28948"/>
      <c r="F28948"/>
    </row>
    <row r="28949" spans="1:6" x14ac:dyDescent="0.25">
      <c r="A28949"/>
      <c r="B28949"/>
      <c r="C28949"/>
      <c r="E28949"/>
      <c r="F28949"/>
    </row>
    <row r="28950" spans="1:6" x14ac:dyDescent="0.25">
      <c r="A28950"/>
      <c r="B28950"/>
      <c r="C28950"/>
      <c r="E28950"/>
      <c r="F28950"/>
    </row>
    <row r="28951" spans="1:6" x14ac:dyDescent="0.25">
      <c r="A28951"/>
      <c r="B28951"/>
      <c r="C28951"/>
      <c r="E28951"/>
      <c r="F28951"/>
    </row>
    <row r="28952" spans="1:6" x14ac:dyDescent="0.25">
      <c r="A28952"/>
      <c r="B28952"/>
      <c r="C28952"/>
      <c r="E28952"/>
      <c r="F28952"/>
    </row>
    <row r="28953" spans="1:6" x14ac:dyDescent="0.25">
      <c r="A28953"/>
      <c r="B28953"/>
      <c r="C28953"/>
      <c r="E28953"/>
      <c r="F28953"/>
    </row>
    <row r="28954" spans="1:6" x14ac:dyDescent="0.25">
      <c r="A28954"/>
      <c r="B28954"/>
      <c r="C28954"/>
      <c r="E28954"/>
      <c r="F28954"/>
    </row>
    <row r="28955" spans="1:6" x14ac:dyDescent="0.25">
      <c r="A28955"/>
      <c r="B28955"/>
      <c r="C28955"/>
      <c r="E28955"/>
      <c r="F28955"/>
    </row>
    <row r="28956" spans="1:6" x14ac:dyDescent="0.25">
      <c r="A28956"/>
      <c r="B28956"/>
      <c r="C28956"/>
      <c r="E28956"/>
      <c r="F28956"/>
    </row>
    <row r="28957" spans="1:6" x14ac:dyDescent="0.25">
      <c r="A28957"/>
      <c r="B28957"/>
      <c r="C28957"/>
      <c r="E28957"/>
      <c r="F28957"/>
    </row>
    <row r="28958" spans="1:6" x14ac:dyDescent="0.25">
      <c r="A28958"/>
      <c r="B28958"/>
      <c r="C28958"/>
      <c r="E28958"/>
      <c r="F28958"/>
    </row>
    <row r="28959" spans="1:6" x14ac:dyDescent="0.25">
      <c r="A28959"/>
      <c r="B28959"/>
      <c r="C28959"/>
      <c r="E28959"/>
      <c r="F28959"/>
    </row>
    <row r="28960" spans="1:6" x14ac:dyDescent="0.25">
      <c r="A28960"/>
      <c r="B28960"/>
      <c r="C28960"/>
      <c r="E28960"/>
      <c r="F28960"/>
    </row>
    <row r="28961" spans="1:6" x14ac:dyDescent="0.25">
      <c r="A28961"/>
      <c r="B28961"/>
      <c r="C28961"/>
      <c r="E28961"/>
      <c r="F28961"/>
    </row>
    <row r="28962" spans="1:6" x14ac:dyDescent="0.25">
      <c r="A28962"/>
      <c r="B28962"/>
      <c r="C28962"/>
      <c r="E28962"/>
      <c r="F28962"/>
    </row>
    <row r="28963" spans="1:6" x14ac:dyDescent="0.25">
      <c r="A28963"/>
      <c r="B28963"/>
      <c r="C28963"/>
      <c r="E28963"/>
      <c r="F28963"/>
    </row>
    <row r="28964" spans="1:6" x14ac:dyDescent="0.25">
      <c r="A28964"/>
      <c r="B28964"/>
      <c r="C28964"/>
      <c r="E28964"/>
      <c r="F28964"/>
    </row>
    <row r="28965" spans="1:6" x14ac:dyDescent="0.25">
      <c r="A28965"/>
      <c r="B28965"/>
      <c r="C28965"/>
      <c r="E28965"/>
      <c r="F28965"/>
    </row>
    <row r="28966" spans="1:6" x14ac:dyDescent="0.25">
      <c r="A28966"/>
      <c r="B28966"/>
      <c r="C28966"/>
      <c r="E28966"/>
      <c r="F28966"/>
    </row>
    <row r="28967" spans="1:6" x14ac:dyDescent="0.25">
      <c r="A28967"/>
      <c r="B28967"/>
      <c r="C28967"/>
      <c r="E28967"/>
      <c r="F28967"/>
    </row>
    <row r="28968" spans="1:6" x14ac:dyDescent="0.25">
      <c r="A28968"/>
      <c r="B28968"/>
      <c r="C28968"/>
      <c r="E28968"/>
      <c r="F28968"/>
    </row>
    <row r="28969" spans="1:6" x14ac:dyDescent="0.25">
      <c r="A28969"/>
      <c r="B28969"/>
      <c r="C28969"/>
      <c r="E28969"/>
      <c r="F28969"/>
    </row>
    <row r="28970" spans="1:6" x14ac:dyDescent="0.25">
      <c r="A28970"/>
      <c r="B28970"/>
      <c r="C28970"/>
      <c r="E28970"/>
      <c r="F28970"/>
    </row>
    <row r="28971" spans="1:6" x14ac:dyDescent="0.25">
      <c r="A28971"/>
      <c r="B28971"/>
      <c r="C28971"/>
      <c r="E28971"/>
      <c r="F28971"/>
    </row>
    <row r="28972" spans="1:6" x14ac:dyDescent="0.25">
      <c r="A28972"/>
      <c r="B28972"/>
      <c r="C28972"/>
      <c r="E28972"/>
      <c r="F28972"/>
    </row>
    <row r="28973" spans="1:6" x14ac:dyDescent="0.25">
      <c r="A28973"/>
      <c r="B28973"/>
      <c r="C28973"/>
      <c r="E28973"/>
      <c r="F28973"/>
    </row>
    <row r="28974" spans="1:6" x14ac:dyDescent="0.25">
      <c r="A28974"/>
      <c r="B28974"/>
      <c r="C28974"/>
      <c r="E28974"/>
      <c r="F28974"/>
    </row>
    <row r="28975" spans="1:6" x14ac:dyDescent="0.25">
      <c r="A28975"/>
      <c r="B28975"/>
      <c r="C28975"/>
      <c r="E28975"/>
      <c r="F28975"/>
    </row>
    <row r="28976" spans="1:6" x14ac:dyDescent="0.25">
      <c r="A28976"/>
      <c r="B28976"/>
      <c r="C28976"/>
      <c r="E28976"/>
      <c r="F28976"/>
    </row>
    <row r="28977" spans="1:6" x14ac:dyDescent="0.25">
      <c r="A28977"/>
      <c r="B28977"/>
      <c r="C28977"/>
      <c r="E28977"/>
      <c r="F28977"/>
    </row>
    <row r="28978" spans="1:6" x14ac:dyDescent="0.25">
      <c r="A28978"/>
      <c r="B28978"/>
      <c r="C28978"/>
      <c r="E28978"/>
      <c r="F28978"/>
    </row>
    <row r="28979" spans="1:6" x14ac:dyDescent="0.25">
      <c r="A28979"/>
      <c r="B28979"/>
      <c r="C28979"/>
      <c r="E28979"/>
      <c r="F28979"/>
    </row>
    <row r="28980" spans="1:6" x14ac:dyDescent="0.25">
      <c r="A28980"/>
      <c r="B28980"/>
      <c r="C28980"/>
      <c r="E28980"/>
      <c r="F28980"/>
    </row>
    <row r="28981" spans="1:6" x14ac:dyDescent="0.25">
      <c r="A28981"/>
      <c r="B28981"/>
      <c r="C28981"/>
      <c r="E28981"/>
      <c r="F28981"/>
    </row>
    <row r="28982" spans="1:6" x14ac:dyDescent="0.25">
      <c r="A28982"/>
      <c r="B28982"/>
      <c r="C28982"/>
      <c r="E28982"/>
      <c r="F28982"/>
    </row>
    <row r="28983" spans="1:6" x14ac:dyDescent="0.25">
      <c r="A28983"/>
      <c r="B28983"/>
      <c r="C28983"/>
      <c r="E28983"/>
      <c r="F28983"/>
    </row>
    <row r="28984" spans="1:6" x14ac:dyDescent="0.25">
      <c r="A28984"/>
      <c r="B28984"/>
      <c r="C28984"/>
      <c r="E28984"/>
      <c r="F28984"/>
    </row>
    <row r="28985" spans="1:6" x14ac:dyDescent="0.25">
      <c r="A28985"/>
      <c r="B28985"/>
      <c r="C28985"/>
      <c r="E28985"/>
      <c r="F28985"/>
    </row>
    <row r="28986" spans="1:6" x14ac:dyDescent="0.25">
      <c r="A28986"/>
      <c r="B28986"/>
      <c r="C28986"/>
      <c r="E28986"/>
      <c r="F28986"/>
    </row>
    <row r="28987" spans="1:6" x14ac:dyDescent="0.25">
      <c r="A28987"/>
      <c r="B28987"/>
      <c r="C28987"/>
      <c r="E28987"/>
      <c r="F28987"/>
    </row>
    <row r="28988" spans="1:6" x14ac:dyDescent="0.25">
      <c r="A28988"/>
      <c r="B28988"/>
      <c r="C28988"/>
      <c r="E28988"/>
      <c r="F28988"/>
    </row>
    <row r="28989" spans="1:6" x14ac:dyDescent="0.25">
      <c r="A28989"/>
      <c r="B28989"/>
      <c r="C28989"/>
      <c r="E28989"/>
      <c r="F28989"/>
    </row>
    <row r="28990" spans="1:6" x14ac:dyDescent="0.25">
      <c r="A28990"/>
      <c r="B28990"/>
      <c r="C28990"/>
      <c r="E28990"/>
      <c r="F28990"/>
    </row>
    <row r="28991" spans="1:6" x14ac:dyDescent="0.25">
      <c r="A28991"/>
      <c r="B28991"/>
      <c r="C28991"/>
      <c r="E28991"/>
      <c r="F28991"/>
    </row>
    <row r="28992" spans="1:6" x14ac:dyDescent="0.25">
      <c r="A28992"/>
      <c r="B28992"/>
      <c r="C28992"/>
      <c r="E28992"/>
      <c r="F28992"/>
    </row>
    <row r="28993" spans="1:6" x14ac:dyDescent="0.25">
      <c r="A28993"/>
      <c r="B28993"/>
      <c r="C28993"/>
      <c r="E28993"/>
      <c r="F28993"/>
    </row>
    <row r="28994" spans="1:6" x14ac:dyDescent="0.25">
      <c r="A28994"/>
      <c r="B28994"/>
      <c r="C28994"/>
      <c r="E28994"/>
      <c r="F28994"/>
    </row>
    <row r="28995" spans="1:6" x14ac:dyDescent="0.25">
      <c r="A28995"/>
      <c r="B28995"/>
      <c r="C28995"/>
      <c r="E28995"/>
      <c r="F28995"/>
    </row>
    <row r="28996" spans="1:6" x14ac:dyDescent="0.25">
      <c r="A28996"/>
      <c r="B28996"/>
      <c r="C28996"/>
      <c r="E28996"/>
      <c r="F28996"/>
    </row>
    <row r="28997" spans="1:6" x14ac:dyDescent="0.25">
      <c r="A28997"/>
      <c r="B28997"/>
      <c r="C28997"/>
      <c r="E28997"/>
      <c r="F28997"/>
    </row>
    <row r="28998" spans="1:6" x14ac:dyDescent="0.25">
      <c r="A28998"/>
      <c r="B28998"/>
      <c r="C28998"/>
      <c r="E28998"/>
      <c r="F28998"/>
    </row>
    <row r="28999" spans="1:6" x14ac:dyDescent="0.25">
      <c r="A28999"/>
      <c r="B28999"/>
      <c r="C28999"/>
      <c r="E28999"/>
      <c r="F28999"/>
    </row>
    <row r="29000" spans="1:6" x14ac:dyDescent="0.25">
      <c r="A29000"/>
      <c r="B29000"/>
      <c r="C29000"/>
      <c r="E29000"/>
      <c r="F29000"/>
    </row>
    <row r="29001" spans="1:6" x14ac:dyDescent="0.25">
      <c r="A29001"/>
      <c r="B29001"/>
      <c r="C29001"/>
      <c r="E29001"/>
      <c r="F29001"/>
    </row>
    <row r="29002" spans="1:6" x14ac:dyDescent="0.25">
      <c r="A29002"/>
      <c r="B29002"/>
      <c r="C29002"/>
      <c r="E29002"/>
      <c r="F29002"/>
    </row>
    <row r="29003" spans="1:6" x14ac:dyDescent="0.25">
      <c r="A29003"/>
      <c r="B29003"/>
      <c r="C29003"/>
      <c r="E29003"/>
      <c r="F29003"/>
    </row>
    <row r="29004" spans="1:6" x14ac:dyDescent="0.25">
      <c r="A29004"/>
      <c r="B29004"/>
      <c r="C29004"/>
      <c r="E29004"/>
      <c r="F29004"/>
    </row>
    <row r="29005" spans="1:6" x14ac:dyDescent="0.25">
      <c r="A29005"/>
      <c r="B29005"/>
      <c r="C29005"/>
      <c r="E29005"/>
      <c r="F29005"/>
    </row>
    <row r="29006" spans="1:6" x14ac:dyDescent="0.25">
      <c r="A29006"/>
      <c r="B29006"/>
      <c r="C29006"/>
      <c r="E29006"/>
      <c r="F29006"/>
    </row>
    <row r="29007" spans="1:6" x14ac:dyDescent="0.25">
      <c r="A29007"/>
      <c r="B29007"/>
      <c r="C29007"/>
      <c r="E29007"/>
      <c r="F29007"/>
    </row>
    <row r="29008" spans="1:6" x14ac:dyDescent="0.25">
      <c r="A29008"/>
      <c r="B29008"/>
      <c r="C29008"/>
      <c r="E29008"/>
      <c r="F29008"/>
    </row>
    <row r="29009" spans="1:6" x14ac:dyDescent="0.25">
      <c r="A29009"/>
      <c r="B29009"/>
      <c r="C29009"/>
      <c r="E29009"/>
      <c r="F29009"/>
    </row>
    <row r="29010" spans="1:6" x14ac:dyDescent="0.25">
      <c r="A29010"/>
      <c r="B29010"/>
      <c r="C29010"/>
      <c r="E29010"/>
      <c r="F29010"/>
    </row>
    <row r="29011" spans="1:6" x14ac:dyDescent="0.25">
      <c r="A29011"/>
      <c r="B29011"/>
      <c r="C29011"/>
      <c r="E29011"/>
      <c r="F29011"/>
    </row>
    <row r="29012" spans="1:6" x14ac:dyDescent="0.25">
      <c r="A29012"/>
      <c r="B29012"/>
      <c r="C29012"/>
      <c r="E29012"/>
      <c r="F29012"/>
    </row>
    <row r="29013" spans="1:6" x14ac:dyDescent="0.25">
      <c r="A29013"/>
      <c r="B29013"/>
      <c r="C29013"/>
      <c r="E29013"/>
      <c r="F29013"/>
    </row>
    <row r="29014" spans="1:6" x14ac:dyDescent="0.25">
      <c r="A29014"/>
      <c r="B29014"/>
      <c r="C29014"/>
      <c r="E29014"/>
      <c r="F29014"/>
    </row>
    <row r="29015" spans="1:6" x14ac:dyDescent="0.25">
      <c r="A29015"/>
      <c r="B29015"/>
      <c r="C29015"/>
      <c r="E29015"/>
      <c r="F29015"/>
    </row>
    <row r="29016" spans="1:6" x14ac:dyDescent="0.25">
      <c r="A29016"/>
      <c r="B29016"/>
      <c r="C29016"/>
      <c r="E29016"/>
      <c r="F29016"/>
    </row>
    <row r="29017" spans="1:6" x14ac:dyDescent="0.25">
      <c r="A29017"/>
      <c r="B29017"/>
      <c r="C29017"/>
      <c r="E29017"/>
      <c r="F29017"/>
    </row>
    <row r="29018" spans="1:6" x14ac:dyDescent="0.25">
      <c r="A29018"/>
      <c r="B29018"/>
      <c r="C29018"/>
      <c r="E29018"/>
      <c r="F29018"/>
    </row>
    <row r="29019" spans="1:6" x14ac:dyDescent="0.25">
      <c r="A29019"/>
      <c r="B29019"/>
      <c r="C29019"/>
      <c r="E29019"/>
      <c r="F29019"/>
    </row>
    <row r="29020" spans="1:6" x14ac:dyDescent="0.25">
      <c r="A29020"/>
      <c r="B29020"/>
      <c r="C29020"/>
      <c r="E29020"/>
      <c r="F29020"/>
    </row>
    <row r="29021" spans="1:6" x14ac:dyDescent="0.25">
      <c r="A29021"/>
      <c r="B29021"/>
      <c r="C29021"/>
      <c r="E29021"/>
      <c r="F29021"/>
    </row>
    <row r="29022" spans="1:6" x14ac:dyDescent="0.25">
      <c r="A29022"/>
      <c r="B29022"/>
      <c r="C29022"/>
      <c r="E29022"/>
      <c r="F29022"/>
    </row>
    <row r="29023" spans="1:6" x14ac:dyDescent="0.25">
      <c r="A29023"/>
      <c r="B29023"/>
      <c r="C29023"/>
      <c r="E29023"/>
      <c r="F29023"/>
    </row>
    <row r="29024" spans="1:6" x14ac:dyDescent="0.25">
      <c r="A29024"/>
      <c r="B29024"/>
      <c r="C29024"/>
      <c r="E29024"/>
      <c r="F29024"/>
    </row>
    <row r="29025" spans="1:6" x14ac:dyDescent="0.25">
      <c r="A29025"/>
      <c r="B29025"/>
      <c r="C29025"/>
      <c r="E29025"/>
      <c r="F29025"/>
    </row>
    <row r="29026" spans="1:6" x14ac:dyDescent="0.25">
      <c r="A29026"/>
      <c r="B29026"/>
      <c r="C29026"/>
      <c r="E29026"/>
      <c r="F29026"/>
    </row>
    <row r="29027" spans="1:6" x14ac:dyDescent="0.25">
      <c r="A29027"/>
      <c r="B29027"/>
      <c r="C29027"/>
      <c r="E29027"/>
      <c r="F29027"/>
    </row>
    <row r="29028" spans="1:6" x14ac:dyDescent="0.25">
      <c r="A29028"/>
      <c r="B29028"/>
      <c r="C29028"/>
      <c r="E29028"/>
      <c r="F29028"/>
    </row>
    <row r="29029" spans="1:6" x14ac:dyDescent="0.25">
      <c r="A29029"/>
      <c r="B29029"/>
      <c r="C29029"/>
      <c r="E29029"/>
      <c r="F29029"/>
    </row>
    <row r="29030" spans="1:6" x14ac:dyDescent="0.25">
      <c r="A29030"/>
      <c r="B29030"/>
      <c r="C29030"/>
      <c r="E29030"/>
      <c r="F29030"/>
    </row>
    <row r="29031" spans="1:6" x14ac:dyDescent="0.25">
      <c r="A29031"/>
      <c r="B29031"/>
      <c r="C29031"/>
      <c r="E29031"/>
      <c r="F29031"/>
    </row>
    <row r="29032" spans="1:6" x14ac:dyDescent="0.25">
      <c r="A29032"/>
      <c r="B29032"/>
      <c r="C29032"/>
      <c r="E29032"/>
      <c r="F29032"/>
    </row>
    <row r="29033" spans="1:6" x14ac:dyDescent="0.25">
      <c r="A29033"/>
      <c r="B29033"/>
      <c r="C29033"/>
      <c r="E29033"/>
      <c r="F29033"/>
    </row>
    <row r="29034" spans="1:6" x14ac:dyDescent="0.25">
      <c r="A29034"/>
      <c r="B29034"/>
      <c r="C29034"/>
      <c r="E29034"/>
      <c r="F29034"/>
    </row>
    <row r="29035" spans="1:6" x14ac:dyDescent="0.25">
      <c r="A29035"/>
      <c r="B29035"/>
      <c r="C29035"/>
      <c r="E29035"/>
      <c r="F29035"/>
    </row>
    <row r="29036" spans="1:6" x14ac:dyDescent="0.25">
      <c r="A29036"/>
      <c r="B29036"/>
      <c r="C29036"/>
      <c r="E29036"/>
      <c r="F29036"/>
    </row>
    <row r="29037" spans="1:6" x14ac:dyDescent="0.25">
      <c r="A29037"/>
      <c r="B29037"/>
      <c r="C29037"/>
      <c r="E29037"/>
      <c r="F29037"/>
    </row>
    <row r="29038" spans="1:6" x14ac:dyDescent="0.25">
      <c r="A29038"/>
      <c r="B29038"/>
      <c r="C29038"/>
      <c r="E29038"/>
      <c r="F29038"/>
    </row>
    <row r="29039" spans="1:6" x14ac:dyDescent="0.25">
      <c r="A29039"/>
      <c r="B29039"/>
      <c r="C29039"/>
      <c r="E29039"/>
      <c r="F29039"/>
    </row>
    <row r="29040" spans="1:6" x14ac:dyDescent="0.25">
      <c r="A29040"/>
      <c r="B29040"/>
      <c r="C29040"/>
      <c r="E29040"/>
      <c r="F29040"/>
    </row>
    <row r="29041" spans="1:6" x14ac:dyDescent="0.25">
      <c r="A29041"/>
      <c r="B29041"/>
      <c r="C29041"/>
      <c r="E29041"/>
      <c r="F29041"/>
    </row>
    <row r="29042" spans="1:6" x14ac:dyDescent="0.25">
      <c r="A29042"/>
      <c r="B29042"/>
      <c r="C29042"/>
      <c r="E29042"/>
      <c r="F29042"/>
    </row>
    <row r="29043" spans="1:6" x14ac:dyDescent="0.25">
      <c r="A29043"/>
      <c r="B29043"/>
      <c r="C29043"/>
      <c r="E29043"/>
      <c r="F29043"/>
    </row>
    <row r="29044" spans="1:6" x14ac:dyDescent="0.25">
      <c r="A29044"/>
      <c r="B29044"/>
      <c r="C29044"/>
      <c r="E29044"/>
      <c r="F29044"/>
    </row>
    <row r="29045" spans="1:6" x14ac:dyDescent="0.25">
      <c r="A29045"/>
      <c r="B29045"/>
      <c r="C29045"/>
      <c r="E29045"/>
      <c r="F29045"/>
    </row>
    <row r="29046" spans="1:6" x14ac:dyDescent="0.25">
      <c r="A29046"/>
      <c r="B29046"/>
      <c r="C29046"/>
      <c r="E29046"/>
      <c r="F29046"/>
    </row>
    <row r="29047" spans="1:6" x14ac:dyDescent="0.25">
      <c r="A29047"/>
      <c r="B29047"/>
      <c r="C29047"/>
      <c r="E29047"/>
      <c r="F29047"/>
    </row>
    <row r="29048" spans="1:6" x14ac:dyDescent="0.25">
      <c r="A29048"/>
      <c r="B29048"/>
      <c r="C29048"/>
      <c r="E29048"/>
      <c r="F29048"/>
    </row>
    <row r="29049" spans="1:6" x14ac:dyDescent="0.25">
      <c r="A29049"/>
      <c r="B29049"/>
      <c r="C29049"/>
      <c r="E29049"/>
      <c r="F29049"/>
    </row>
    <row r="29050" spans="1:6" x14ac:dyDescent="0.25">
      <c r="A29050"/>
      <c r="B29050"/>
      <c r="C29050"/>
      <c r="E29050"/>
      <c r="F29050"/>
    </row>
    <row r="29051" spans="1:6" x14ac:dyDescent="0.25">
      <c r="A29051"/>
      <c r="B29051"/>
      <c r="C29051"/>
      <c r="E29051"/>
      <c r="F29051"/>
    </row>
    <row r="29052" spans="1:6" x14ac:dyDescent="0.25">
      <c r="A29052"/>
      <c r="B29052"/>
      <c r="C29052"/>
      <c r="E29052"/>
      <c r="F29052"/>
    </row>
    <row r="29053" spans="1:6" x14ac:dyDescent="0.25">
      <c r="A29053"/>
      <c r="B29053"/>
      <c r="C29053"/>
      <c r="E29053"/>
      <c r="F29053"/>
    </row>
    <row r="29054" spans="1:6" x14ac:dyDescent="0.25">
      <c r="A29054"/>
      <c r="B29054"/>
      <c r="C29054"/>
      <c r="E29054"/>
      <c r="F29054"/>
    </row>
    <row r="29055" spans="1:6" x14ac:dyDescent="0.25">
      <c r="A29055"/>
      <c r="B29055"/>
      <c r="C29055"/>
      <c r="E29055"/>
      <c r="F29055"/>
    </row>
    <row r="29056" spans="1:6" x14ac:dyDescent="0.25">
      <c r="A29056"/>
      <c r="B29056"/>
      <c r="C29056"/>
      <c r="E29056"/>
      <c r="F29056"/>
    </row>
    <row r="29057" spans="1:6" x14ac:dyDescent="0.25">
      <c r="A29057"/>
      <c r="B29057"/>
      <c r="C29057"/>
      <c r="E29057"/>
      <c r="F29057"/>
    </row>
    <row r="29058" spans="1:6" x14ac:dyDescent="0.25">
      <c r="A29058"/>
      <c r="B29058"/>
      <c r="C29058"/>
      <c r="E29058"/>
      <c r="F29058"/>
    </row>
    <row r="29059" spans="1:6" x14ac:dyDescent="0.25">
      <c r="A29059"/>
      <c r="B29059"/>
      <c r="C29059"/>
      <c r="E29059"/>
      <c r="F29059"/>
    </row>
    <row r="29060" spans="1:6" x14ac:dyDescent="0.25">
      <c r="A29060"/>
      <c r="B29060"/>
      <c r="C29060"/>
      <c r="E29060"/>
      <c r="F29060"/>
    </row>
    <row r="29061" spans="1:6" x14ac:dyDescent="0.25">
      <c r="A29061"/>
      <c r="B29061"/>
      <c r="C29061"/>
      <c r="E29061"/>
      <c r="F29061"/>
    </row>
    <row r="29062" spans="1:6" x14ac:dyDescent="0.25">
      <c r="A29062"/>
      <c r="B29062"/>
      <c r="C29062"/>
      <c r="E29062"/>
      <c r="F29062"/>
    </row>
    <row r="29063" spans="1:6" x14ac:dyDescent="0.25">
      <c r="A29063"/>
      <c r="B29063"/>
      <c r="C29063"/>
      <c r="E29063"/>
      <c r="F29063"/>
    </row>
    <row r="29064" spans="1:6" x14ac:dyDescent="0.25">
      <c r="A29064"/>
      <c r="B29064"/>
      <c r="C29064"/>
      <c r="E29064"/>
      <c r="F29064"/>
    </row>
    <row r="29065" spans="1:6" x14ac:dyDescent="0.25">
      <c r="A29065"/>
      <c r="B29065"/>
      <c r="C29065"/>
      <c r="E29065"/>
      <c r="F29065"/>
    </row>
    <row r="29066" spans="1:6" x14ac:dyDescent="0.25">
      <c r="A29066"/>
      <c r="B29066"/>
      <c r="C29066"/>
      <c r="E29066"/>
      <c r="F29066"/>
    </row>
    <row r="29067" spans="1:6" x14ac:dyDescent="0.25">
      <c r="A29067"/>
      <c r="B29067"/>
      <c r="C29067"/>
      <c r="E29067"/>
      <c r="F29067"/>
    </row>
    <row r="29068" spans="1:6" x14ac:dyDescent="0.25">
      <c r="A29068"/>
      <c r="B29068"/>
      <c r="C29068"/>
      <c r="E29068"/>
      <c r="F29068"/>
    </row>
    <row r="29069" spans="1:6" x14ac:dyDescent="0.25">
      <c r="A29069"/>
      <c r="B29069"/>
      <c r="C29069"/>
      <c r="E29069"/>
      <c r="F29069"/>
    </row>
    <row r="29070" spans="1:6" x14ac:dyDescent="0.25">
      <c r="A29070"/>
      <c r="B29070"/>
      <c r="C29070"/>
      <c r="E29070"/>
      <c r="F29070"/>
    </row>
    <row r="29071" spans="1:6" x14ac:dyDescent="0.25">
      <c r="A29071"/>
      <c r="B29071"/>
      <c r="C29071"/>
      <c r="E29071"/>
      <c r="F29071"/>
    </row>
    <row r="29072" spans="1:6" x14ac:dyDescent="0.25">
      <c r="A29072"/>
      <c r="B29072"/>
      <c r="C29072"/>
      <c r="E29072"/>
      <c r="F29072"/>
    </row>
    <row r="29073" spans="1:6" x14ac:dyDescent="0.25">
      <c r="A29073"/>
      <c r="B29073"/>
      <c r="C29073"/>
      <c r="E29073"/>
      <c r="F29073"/>
    </row>
    <row r="29074" spans="1:6" x14ac:dyDescent="0.25">
      <c r="A29074"/>
      <c r="B29074"/>
      <c r="C29074"/>
      <c r="E29074"/>
      <c r="F29074"/>
    </row>
    <row r="29075" spans="1:6" x14ac:dyDescent="0.25">
      <c r="A29075"/>
      <c r="B29075"/>
      <c r="C29075"/>
      <c r="E29075"/>
      <c r="F29075"/>
    </row>
    <row r="29076" spans="1:6" x14ac:dyDescent="0.25">
      <c r="A29076"/>
      <c r="B29076"/>
      <c r="C29076"/>
      <c r="E29076"/>
      <c r="F29076"/>
    </row>
    <row r="29077" spans="1:6" x14ac:dyDescent="0.25">
      <c r="A29077"/>
      <c r="B29077"/>
      <c r="C29077"/>
      <c r="E29077"/>
      <c r="F29077"/>
    </row>
    <row r="29078" spans="1:6" x14ac:dyDescent="0.25">
      <c r="A29078"/>
      <c r="B29078"/>
      <c r="C29078"/>
      <c r="E29078"/>
      <c r="F29078"/>
    </row>
    <row r="29079" spans="1:6" x14ac:dyDescent="0.25">
      <c r="A29079"/>
      <c r="B29079"/>
      <c r="C29079"/>
      <c r="E29079"/>
      <c r="F29079"/>
    </row>
    <row r="29080" spans="1:6" x14ac:dyDescent="0.25">
      <c r="A29080"/>
      <c r="B29080"/>
      <c r="C29080"/>
      <c r="E29080"/>
      <c r="F29080"/>
    </row>
    <row r="29081" spans="1:6" x14ac:dyDescent="0.25">
      <c r="A29081"/>
      <c r="B29081"/>
      <c r="C29081"/>
      <c r="E29081"/>
      <c r="F29081"/>
    </row>
    <row r="29082" spans="1:6" x14ac:dyDescent="0.25">
      <c r="A29082"/>
      <c r="B29082"/>
      <c r="C29082"/>
      <c r="E29082"/>
      <c r="F29082"/>
    </row>
    <row r="29083" spans="1:6" x14ac:dyDescent="0.25">
      <c r="A29083"/>
      <c r="B29083"/>
      <c r="C29083"/>
      <c r="E29083"/>
      <c r="F29083"/>
    </row>
    <row r="29084" spans="1:6" x14ac:dyDescent="0.25">
      <c r="A29084"/>
      <c r="B29084"/>
      <c r="C29084"/>
      <c r="E29084"/>
      <c r="F29084"/>
    </row>
    <row r="29085" spans="1:6" x14ac:dyDescent="0.25">
      <c r="A29085"/>
      <c r="B29085"/>
      <c r="C29085"/>
      <c r="E29085"/>
      <c r="F29085"/>
    </row>
    <row r="29086" spans="1:6" x14ac:dyDescent="0.25">
      <c r="A29086"/>
      <c r="B29086"/>
      <c r="C29086"/>
      <c r="E29086"/>
      <c r="F29086"/>
    </row>
    <row r="29087" spans="1:6" x14ac:dyDescent="0.25">
      <c r="A29087"/>
      <c r="B29087"/>
      <c r="C29087"/>
      <c r="E29087"/>
      <c r="F29087"/>
    </row>
    <row r="29088" spans="1:6" x14ac:dyDescent="0.25">
      <c r="A29088"/>
      <c r="B29088"/>
      <c r="C29088"/>
      <c r="E29088"/>
      <c r="F29088"/>
    </row>
    <row r="29089" spans="1:6" x14ac:dyDescent="0.25">
      <c r="A29089"/>
      <c r="B29089"/>
      <c r="C29089"/>
      <c r="E29089"/>
      <c r="F29089"/>
    </row>
    <row r="29090" spans="1:6" x14ac:dyDescent="0.25">
      <c r="A29090"/>
      <c r="B29090"/>
      <c r="C29090"/>
      <c r="E29090"/>
      <c r="F29090"/>
    </row>
    <row r="29091" spans="1:6" x14ac:dyDescent="0.25">
      <c r="A29091"/>
      <c r="B29091"/>
      <c r="C29091"/>
      <c r="E29091"/>
      <c r="F29091"/>
    </row>
    <row r="29092" spans="1:6" x14ac:dyDescent="0.25">
      <c r="A29092"/>
      <c r="B29092"/>
      <c r="C29092"/>
      <c r="E29092"/>
      <c r="F29092"/>
    </row>
    <row r="29093" spans="1:6" x14ac:dyDescent="0.25">
      <c r="A29093"/>
      <c r="B29093"/>
      <c r="C29093"/>
      <c r="E29093"/>
      <c r="F29093"/>
    </row>
    <row r="29094" spans="1:6" x14ac:dyDescent="0.25">
      <c r="A29094"/>
      <c r="B29094"/>
      <c r="C29094"/>
      <c r="E29094"/>
      <c r="F29094"/>
    </row>
    <row r="29095" spans="1:6" x14ac:dyDescent="0.25">
      <c r="A29095"/>
      <c r="B29095"/>
      <c r="C29095"/>
      <c r="E29095"/>
      <c r="F29095"/>
    </row>
    <row r="29096" spans="1:6" x14ac:dyDescent="0.25">
      <c r="A29096"/>
      <c r="B29096"/>
      <c r="C29096"/>
      <c r="E29096"/>
      <c r="F29096"/>
    </row>
    <row r="29097" spans="1:6" x14ac:dyDescent="0.25">
      <c r="A29097"/>
      <c r="B29097"/>
      <c r="C29097"/>
      <c r="E29097"/>
      <c r="F29097"/>
    </row>
    <row r="29098" spans="1:6" x14ac:dyDescent="0.25">
      <c r="A29098"/>
      <c r="B29098"/>
      <c r="C29098"/>
      <c r="E29098"/>
      <c r="F29098"/>
    </row>
    <row r="29099" spans="1:6" x14ac:dyDescent="0.25">
      <c r="A29099"/>
      <c r="B29099"/>
      <c r="C29099"/>
      <c r="E29099"/>
      <c r="F29099"/>
    </row>
    <row r="29100" spans="1:6" x14ac:dyDescent="0.25">
      <c r="A29100"/>
      <c r="B29100"/>
      <c r="C29100"/>
      <c r="E29100"/>
      <c r="F29100"/>
    </row>
    <row r="29101" spans="1:6" x14ac:dyDescent="0.25">
      <c r="A29101"/>
      <c r="B29101"/>
      <c r="C29101"/>
      <c r="E29101"/>
      <c r="F29101"/>
    </row>
    <row r="29102" spans="1:6" x14ac:dyDescent="0.25">
      <c r="A29102"/>
      <c r="B29102"/>
      <c r="C29102"/>
      <c r="E29102"/>
      <c r="F29102"/>
    </row>
    <row r="29103" spans="1:6" x14ac:dyDescent="0.25">
      <c r="A29103"/>
      <c r="B29103"/>
      <c r="C29103"/>
      <c r="E29103"/>
      <c r="F29103"/>
    </row>
    <row r="29104" spans="1:6" x14ac:dyDescent="0.25">
      <c r="A29104"/>
      <c r="B29104"/>
      <c r="C29104"/>
      <c r="E29104"/>
      <c r="F29104"/>
    </row>
    <row r="29105" spans="1:6" x14ac:dyDescent="0.25">
      <c r="A29105"/>
      <c r="B29105"/>
      <c r="C29105"/>
      <c r="E29105"/>
      <c r="F29105"/>
    </row>
    <row r="29106" spans="1:6" x14ac:dyDescent="0.25">
      <c r="A29106"/>
      <c r="B29106"/>
      <c r="C29106"/>
      <c r="E29106"/>
      <c r="F29106"/>
    </row>
    <row r="29107" spans="1:6" x14ac:dyDescent="0.25">
      <c r="A29107"/>
      <c r="B29107"/>
      <c r="C29107"/>
      <c r="E29107"/>
      <c r="F29107"/>
    </row>
    <row r="29108" spans="1:6" x14ac:dyDescent="0.25">
      <c r="A29108"/>
      <c r="B29108"/>
      <c r="C29108"/>
      <c r="E29108"/>
      <c r="F29108"/>
    </row>
    <row r="29109" spans="1:6" x14ac:dyDescent="0.25">
      <c r="A29109"/>
      <c r="B29109"/>
      <c r="C29109"/>
      <c r="E29109"/>
      <c r="F29109"/>
    </row>
    <row r="29110" spans="1:6" x14ac:dyDescent="0.25">
      <c r="A29110"/>
      <c r="B29110"/>
      <c r="C29110"/>
      <c r="E29110"/>
      <c r="F29110"/>
    </row>
    <row r="29111" spans="1:6" x14ac:dyDescent="0.25">
      <c r="A29111"/>
      <c r="B29111"/>
      <c r="C29111"/>
      <c r="E29111"/>
      <c r="F29111"/>
    </row>
    <row r="29112" spans="1:6" x14ac:dyDescent="0.25">
      <c r="A29112"/>
      <c r="B29112"/>
      <c r="C29112"/>
      <c r="E29112"/>
      <c r="F29112"/>
    </row>
    <row r="29113" spans="1:6" x14ac:dyDescent="0.25">
      <c r="A29113"/>
      <c r="B29113"/>
      <c r="C29113"/>
      <c r="E29113"/>
      <c r="F29113"/>
    </row>
    <row r="29114" spans="1:6" x14ac:dyDescent="0.25">
      <c r="A29114"/>
      <c r="B29114"/>
      <c r="C29114"/>
      <c r="E29114"/>
      <c r="F29114"/>
    </row>
    <row r="29115" spans="1:6" x14ac:dyDescent="0.25">
      <c r="A29115"/>
      <c r="B29115"/>
      <c r="C29115"/>
      <c r="E29115"/>
      <c r="F29115"/>
    </row>
    <row r="29116" spans="1:6" x14ac:dyDescent="0.25">
      <c r="A29116"/>
      <c r="B29116"/>
      <c r="C29116"/>
      <c r="E29116"/>
      <c r="F29116"/>
    </row>
    <row r="29117" spans="1:6" x14ac:dyDescent="0.25">
      <c r="A29117"/>
      <c r="B29117"/>
      <c r="C29117"/>
      <c r="E29117"/>
      <c r="F29117"/>
    </row>
    <row r="29118" spans="1:6" x14ac:dyDescent="0.25">
      <c r="A29118"/>
      <c r="B29118"/>
      <c r="C29118"/>
      <c r="E29118"/>
      <c r="F29118"/>
    </row>
    <row r="29119" spans="1:6" x14ac:dyDescent="0.25">
      <c r="A29119"/>
      <c r="B29119"/>
      <c r="C29119"/>
      <c r="E29119"/>
      <c r="F29119"/>
    </row>
    <row r="29120" spans="1:6" x14ac:dyDescent="0.25">
      <c r="A29120"/>
      <c r="B29120"/>
      <c r="C29120"/>
      <c r="E29120"/>
      <c r="F29120"/>
    </row>
    <row r="29121" spans="1:6" x14ac:dyDescent="0.25">
      <c r="A29121"/>
      <c r="B29121"/>
      <c r="C29121"/>
      <c r="E29121"/>
      <c r="F29121"/>
    </row>
    <row r="29122" spans="1:6" x14ac:dyDescent="0.25">
      <c r="A29122"/>
      <c r="B29122"/>
      <c r="C29122"/>
      <c r="E29122"/>
      <c r="F29122"/>
    </row>
    <row r="29123" spans="1:6" x14ac:dyDescent="0.25">
      <c r="A29123"/>
      <c r="B29123"/>
      <c r="C29123"/>
      <c r="E29123"/>
      <c r="F29123"/>
    </row>
    <row r="29124" spans="1:6" x14ac:dyDescent="0.25">
      <c r="A29124"/>
      <c r="B29124"/>
      <c r="C29124"/>
      <c r="E29124"/>
      <c r="F29124"/>
    </row>
    <row r="29125" spans="1:6" x14ac:dyDescent="0.25">
      <c r="A29125"/>
      <c r="B29125"/>
      <c r="C29125"/>
      <c r="E29125"/>
      <c r="F29125"/>
    </row>
    <row r="29126" spans="1:6" x14ac:dyDescent="0.25">
      <c r="A29126"/>
      <c r="B29126"/>
      <c r="C29126"/>
      <c r="E29126"/>
      <c r="F29126"/>
    </row>
    <row r="29127" spans="1:6" x14ac:dyDescent="0.25">
      <c r="A29127"/>
      <c r="B29127"/>
      <c r="C29127"/>
      <c r="E29127"/>
      <c r="F29127"/>
    </row>
    <row r="29128" spans="1:6" x14ac:dyDescent="0.25">
      <c r="A29128"/>
      <c r="B29128"/>
      <c r="C29128"/>
      <c r="E29128"/>
      <c r="F29128"/>
    </row>
    <row r="29129" spans="1:6" x14ac:dyDescent="0.25">
      <c r="A29129"/>
      <c r="B29129"/>
      <c r="C29129"/>
      <c r="E29129"/>
      <c r="F29129"/>
    </row>
    <row r="29130" spans="1:6" x14ac:dyDescent="0.25">
      <c r="A29130"/>
      <c r="B29130"/>
      <c r="C29130"/>
      <c r="E29130"/>
      <c r="F29130"/>
    </row>
    <row r="29131" spans="1:6" x14ac:dyDescent="0.25">
      <c r="A29131"/>
      <c r="B29131"/>
      <c r="C29131"/>
      <c r="E29131"/>
      <c r="F29131"/>
    </row>
    <row r="29132" spans="1:6" x14ac:dyDescent="0.25">
      <c r="A29132"/>
      <c r="B29132"/>
      <c r="C29132"/>
      <c r="E29132"/>
      <c r="F29132"/>
    </row>
    <row r="29133" spans="1:6" x14ac:dyDescent="0.25">
      <c r="A29133"/>
      <c r="B29133"/>
      <c r="C29133"/>
      <c r="E29133"/>
      <c r="F29133"/>
    </row>
    <row r="29134" spans="1:6" x14ac:dyDescent="0.25">
      <c r="A29134"/>
      <c r="B29134"/>
      <c r="C29134"/>
      <c r="E29134"/>
      <c r="F29134"/>
    </row>
    <row r="29135" spans="1:6" x14ac:dyDescent="0.25">
      <c r="A29135"/>
      <c r="B29135"/>
      <c r="C29135"/>
      <c r="E29135"/>
      <c r="F29135"/>
    </row>
    <row r="29136" spans="1:6" x14ac:dyDescent="0.25">
      <c r="A29136"/>
      <c r="B29136"/>
      <c r="C29136"/>
      <c r="E29136"/>
      <c r="F29136"/>
    </row>
    <row r="29137" spans="1:6" x14ac:dyDescent="0.25">
      <c r="A29137"/>
      <c r="B29137"/>
      <c r="C29137"/>
      <c r="E29137"/>
      <c r="F29137"/>
    </row>
    <row r="29138" spans="1:6" x14ac:dyDescent="0.25">
      <c r="A29138"/>
      <c r="B29138"/>
      <c r="C29138"/>
      <c r="E29138"/>
      <c r="F29138"/>
    </row>
    <row r="29139" spans="1:6" x14ac:dyDescent="0.25">
      <c r="A29139"/>
      <c r="B29139"/>
      <c r="C29139"/>
      <c r="E29139"/>
      <c r="F29139"/>
    </row>
    <row r="29140" spans="1:6" x14ac:dyDescent="0.25">
      <c r="A29140"/>
      <c r="B29140"/>
      <c r="C29140"/>
      <c r="E29140"/>
      <c r="F29140"/>
    </row>
    <row r="29141" spans="1:6" x14ac:dyDescent="0.25">
      <c r="A29141"/>
      <c r="B29141"/>
      <c r="C29141"/>
      <c r="E29141"/>
      <c r="F29141"/>
    </row>
    <row r="29142" spans="1:6" x14ac:dyDescent="0.25">
      <c r="A29142"/>
      <c r="B29142"/>
      <c r="C29142"/>
      <c r="E29142"/>
      <c r="F29142"/>
    </row>
    <row r="29143" spans="1:6" x14ac:dyDescent="0.25">
      <c r="A29143"/>
      <c r="B29143"/>
      <c r="C29143"/>
      <c r="E29143"/>
      <c r="F29143"/>
    </row>
    <row r="29144" spans="1:6" x14ac:dyDescent="0.25">
      <c r="A29144"/>
      <c r="B29144"/>
      <c r="C29144"/>
      <c r="E29144"/>
      <c r="F29144"/>
    </row>
    <row r="29145" spans="1:6" x14ac:dyDescent="0.25">
      <c r="A29145"/>
      <c r="B29145"/>
      <c r="C29145"/>
      <c r="E29145"/>
      <c r="F29145"/>
    </row>
    <row r="29146" spans="1:6" x14ac:dyDescent="0.25">
      <c r="A29146"/>
      <c r="B29146"/>
      <c r="C29146"/>
      <c r="E29146"/>
      <c r="F29146"/>
    </row>
    <row r="29147" spans="1:6" x14ac:dyDescent="0.25">
      <c r="A29147"/>
      <c r="B29147"/>
      <c r="C29147"/>
      <c r="E29147"/>
      <c r="F29147"/>
    </row>
    <row r="29148" spans="1:6" x14ac:dyDescent="0.25">
      <c r="A29148"/>
      <c r="B29148"/>
      <c r="C29148"/>
      <c r="E29148"/>
      <c r="F29148"/>
    </row>
    <row r="29149" spans="1:6" x14ac:dyDescent="0.25">
      <c r="A29149"/>
      <c r="B29149"/>
      <c r="C29149"/>
      <c r="E29149"/>
      <c r="F29149"/>
    </row>
    <row r="29150" spans="1:6" x14ac:dyDescent="0.25">
      <c r="A29150"/>
      <c r="B29150"/>
      <c r="C29150"/>
      <c r="E29150"/>
      <c r="F29150"/>
    </row>
    <row r="29151" spans="1:6" x14ac:dyDescent="0.25">
      <c r="A29151"/>
      <c r="B29151"/>
      <c r="C29151"/>
      <c r="E29151"/>
      <c r="F29151"/>
    </row>
    <row r="29152" spans="1:6" x14ac:dyDescent="0.25">
      <c r="A29152"/>
      <c r="B29152"/>
      <c r="C29152"/>
      <c r="E29152"/>
      <c r="F29152"/>
    </row>
    <row r="29153" spans="1:6" x14ac:dyDescent="0.25">
      <c r="A29153"/>
      <c r="B29153"/>
      <c r="C29153"/>
      <c r="E29153"/>
      <c r="F29153"/>
    </row>
    <row r="29154" spans="1:6" x14ac:dyDescent="0.25">
      <c r="A29154"/>
      <c r="B29154"/>
      <c r="C29154"/>
      <c r="E29154"/>
      <c r="F29154"/>
    </row>
    <row r="29155" spans="1:6" x14ac:dyDescent="0.25">
      <c r="A29155"/>
      <c r="B29155"/>
      <c r="C29155"/>
      <c r="E29155"/>
      <c r="F29155"/>
    </row>
    <row r="29156" spans="1:6" x14ac:dyDescent="0.25">
      <c r="A29156"/>
      <c r="B29156"/>
      <c r="C29156"/>
      <c r="E29156"/>
      <c r="F29156"/>
    </row>
    <row r="29157" spans="1:6" x14ac:dyDescent="0.25">
      <c r="A29157"/>
      <c r="B29157"/>
      <c r="C29157"/>
      <c r="E29157"/>
      <c r="F29157"/>
    </row>
    <row r="29158" spans="1:6" x14ac:dyDescent="0.25">
      <c r="A29158"/>
      <c r="B29158"/>
      <c r="C29158"/>
      <c r="E29158"/>
      <c r="F29158"/>
    </row>
    <row r="29159" spans="1:6" x14ac:dyDescent="0.25">
      <c r="A29159"/>
      <c r="B29159"/>
      <c r="C29159"/>
      <c r="E29159"/>
      <c r="F29159"/>
    </row>
    <row r="29160" spans="1:6" x14ac:dyDescent="0.25">
      <c r="A29160"/>
      <c r="B29160"/>
      <c r="C29160"/>
      <c r="E29160"/>
      <c r="F29160"/>
    </row>
    <row r="29161" spans="1:6" x14ac:dyDescent="0.25">
      <c r="A29161"/>
      <c r="B29161"/>
      <c r="C29161"/>
      <c r="E29161"/>
      <c r="F29161"/>
    </row>
    <row r="29162" spans="1:6" x14ac:dyDescent="0.25">
      <c r="A29162"/>
      <c r="B29162"/>
      <c r="C29162"/>
      <c r="E29162"/>
      <c r="F29162"/>
    </row>
    <row r="29163" spans="1:6" x14ac:dyDescent="0.25">
      <c r="A29163"/>
      <c r="B29163"/>
      <c r="C29163"/>
      <c r="E29163"/>
      <c r="F29163"/>
    </row>
    <row r="29164" spans="1:6" x14ac:dyDescent="0.25">
      <c r="A29164"/>
      <c r="B29164"/>
      <c r="C29164"/>
      <c r="E29164"/>
      <c r="F29164"/>
    </row>
    <row r="29165" spans="1:6" x14ac:dyDescent="0.25">
      <c r="A29165"/>
      <c r="B29165"/>
      <c r="C29165"/>
      <c r="E29165"/>
      <c r="F29165"/>
    </row>
    <row r="29166" spans="1:6" x14ac:dyDescent="0.25">
      <c r="A29166"/>
      <c r="B29166"/>
      <c r="C29166"/>
      <c r="E29166"/>
      <c r="F29166"/>
    </row>
    <row r="29167" spans="1:6" x14ac:dyDescent="0.25">
      <c r="A29167"/>
      <c r="B29167"/>
      <c r="C29167"/>
      <c r="E29167"/>
      <c r="F29167"/>
    </row>
    <row r="29168" spans="1:6" x14ac:dyDescent="0.25">
      <c r="A29168"/>
      <c r="B29168"/>
      <c r="C29168"/>
      <c r="E29168"/>
      <c r="F29168"/>
    </row>
    <row r="29169" spans="1:6" x14ac:dyDescent="0.25">
      <c r="A29169"/>
      <c r="B29169"/>
      <c r="C29169"/>
      <c r="E29169"/>
      <c r="F29169"/>
    </row>
    <row r="29170" spans="1:6" x14ac:dyDescent="0.25">
      <c r="A29170"/>
      <c r="B29170"/>
      <c r="C29170"/>
      <c r="E29170"/>
      <c r="F29170"/>
    </row>
    <row r="29171" spans="1:6" x14ac:dyDescent="0.25">
      <c r="A29171"/>
      <c r="B29171"/>
      <c r="C29171"/>
      <c r="E29171"/>
      <c r="F29171"/>
    </row>
    <row r="29172" spans="1:6" x14ac:dyDescent="0.25">
      <c r="A29172"/>
      <c r="B29172"/>
      <c r="C29172"/>
      <c r="E29172"/>
      <c r="F29172"/>
    </row>
    <row r="29173" spans="1:6" x14ac:dyDescent="0.25">
      <c r="A29173"/>
      <c r="B29173"/>
      <c r="C29173"/>
      <c r="E29173"/>
      <c r="F29173"/>
    </row>
    <row r="29174" spans="1:6" x14ac:dyDescent="0.25">
      <c r="A29174"/>
      <c r="B29174"/>
      <c r="C29174"/>
      <c r="E29174"/>
      <c r="F29174"/>
    </row>
    <row r="29175" spans="1:6" x14ac:dyDescent="0.25">
      <c r="A29175"/>
      <c r="B29175"/>
      <c r="C29175"/>
      <c r="E29175"/>
      <c r="F29175"/>
    </row>
    <row r="29176" spans="1:6" x14ac:dyDescent="0.25">
      <c r="A29176"/>
      <c r="B29176"/>
      <c r="C29176"/>
      <c r="E29176"/>
      <c r="F29176"/>
    </row>
    <row r="29177" spans="1:6" x14ac:dyDescent="0.25">
      <c r="A29177"/>
      <c r="B29177"/>
      <c r="C29177"/>
      <c r="E29177"/>
      <c r="F29177"/>
    </row>
    <row r="29178" spans="1:6" x14ac:dyDescent="0.25">
      <c r="A29178"/>
      <c r="B29178"/>
      <c r="C29178"/>
      <c r="E29178"/>
      <c r="F29178"/>
    </row>
    <row r="29179" spans="1:6" x14ac:dyDescent="0.25">
      <c r="A29179"/>
      <c r="B29179"/>
      <c r="C29179"/>
      <c r="E29179"/>
      <c r="F29179"/>
    </row>
    <row r="29180" spans="1:6" x14ac:dyDescent="0.25">
      <c r="A29180"/>
      <c r="B29180"/>
      <c r="C29180"/>
      <c r="E29180"/>
      <c r="F29180"/>
    </row>
    <row r="29181" spans="1:6" x14ac:dyDescent="0.25">
      <c r="A29181"/>
      <c r="B29181"/>
      <c r="C29181"/>
      <c r="E29181"/>
      <c r="F29181"/>
    </row>
    <row r="29182" spans="1:6" x14ac:dyDescent="0.25">
      <c r="A29182"/>
      <c r="B29182"/>
      <c r="C29182"/>
      <c r="E29182"/>
      <c r="F29182"/>
    </row>
    <row r="29183" spans="1:6" x14ac:dyDescent="0.25">
      <c r="A29183"/>
      <c r="B29183"/>
      <c r="C29183"/>
      <c r="E29183"/>
      <c r="F29183"/>
    </row>
    <row r="29184" spans="1:6" x14ac:dyDescent="0.25">
      <c r="A29184"/>
      <c r="B29184"/>
      <c r="C29184"/>
      <c r="E29184"/>
      <c r="F29184"/>
    </row>
    <row r="29185" spans="1:6" x14ac:dyDescent="0.25">
      <c r="A29185"/>
      <c r="B29185"/>
      <c r="C29185"/>
      <c r="E29185"/>
      <c r="F29185"/>
    </row>
    <row r="29186" spans="1:6" x14ac:dyDescent="0.25">
      <c r="A29186"/>
      <c r="B29186"/>
      <c r="C29186"/>
      <c r="E29186"/>
      <c r="F29186"/>
    </row>
    <row r="29187" spans="1:6" x14ac:dyDescent="0.25">
      <c r="A29187"/>
      <c r="B29187"/>
      <c r="C29187"/>
      <c r="E29187"/>
      <c r="F29187"/>
    </row>
    <row r="29188" spans="1:6" x14ac:dyDescent="0.25">
      <c r="A29188"/>
      <c r="B29188"/>
      <c r="C29188"/>
      <c r="E29188"/>
      <c r="F29188"/>
    </row>
    <row r="29189" spans="1:6" x14ac:dyDescent="0.25">
      <c r="A29189"/>
      <c r="B29189"/>
      <c r="C29189"/>
      <c r="E29189"/>
      <c r="F29189"/>
    </row>
    <row r="29190" spans="1:6" x14ac:dyDescent="0.25">
      <c r="A29190"/>
      <c r="B29190"/>
      <c r="C29190"/>
      <c r="E29190"/>
      <c r="F29190"/>
    </row>
    <row r="29191" spans="1:6" x14ac:dyDescent="0.25">
      <c r="A29191"/>
      <c r="B29191"/>
      <c r="C29191"/>
      <c r="E29191"/>
      <c r="F29191"/>
    </row>
    <row r="29192" spans="1:6" x14ac:dyDescent="0.25">
      <c r="A29192"/>
      <c r="B29192"/>
      <c r="C29192"/>
      <c r="E29192"/>
      <c r="F29192"/>
    </row>
    <row r="29193" spans="1:6" x14ac:dyDescent="0.25">
      <c r="A29193"/>
      <c r="B29193"/>
      <c r="C29193"/>
      <c r="E29193"/>
      <c r="F29193"/>
    </row>
    <row r="29194" spans="1:6" x14ac:dyDescent="0.25">
      <c r="A29194"/>
      <c r="B29194"/>
      <c r="C29194"/>
      <c r="E29194"/>
      <c r="F29194"/>
    </row>
    <row r="29195" spans="1:6" x14ac:dyDescent="0.25">
      <c r="A29195"/>
      <c r="B29195"/>
      <c r="C29195"/>
      <c r="E29195"/>
      <c r="F29195"/>
    </row>
    <row r="29196" spans="1:6" x14ac:dyDescent="0.25">
      <c r="A29196"/>
      <c r="B29196"/>
      <c r="C29196"/>
      <c r="E29196"/>
      <c r="F29196"/>
    </row>
    <row r="29197" spans="1:6" x14ac:dyDescent="0.25">
      <c r="A29197"/>
      <c r="B29197"/>
      <c r="C29197"/>
      <c r="E29197"/>
      <c r="F29197"/>
    </row>
    <row r="29198" spans="1:6" x14ac:dyDescent="0.25">
      <c r="A29198"/>
      <c r="B29198"/>
      <c r="C29198"/>
      <c r="E29198"/>
      <c r="F29198"/>
    </row>
    <row r="29199" spans="1:6" x14ac:dyDescent="0.25">
      <c r="A29199"/>
      <c r="B29199"/>
      <c r="C29199"/>
      <c r="E29199"/>
      <c r="F29199"/>
    </row>
    <row r="29200" spans="1:6" x14ac:dyDescent="0.25">
      <c r="A29200"/>
      <c r="B29200"/>
      <c r="C29200"/>
      <c r="E29200"/>
      <c r="F29200"/>
    </row>
    <row r="29201" spans="1:6" x14ac:dyDescent="0.25">
      <c r="A29201"/>
      <c r="B29201"/>
      <c r="C29201"/>
      <c r="E29201"/>
      <c r="F29201"/>
    </row>
    <row r="29202" spans="1:6" x14ac:dyDescent="0.25">
      <c r="A29202"/>
      <c r="B29202"/>
      <c r="C29202"/>
      <c r="E29202"/>
      <c r="F29202"/>
    </row>
    <row r="29203" spans="1:6" x14ac:dyDescent="0.25">
      <c r="A29203"/>
      <c r="B29203"/>
      <c r="C29203"/>
      <c r="E29203"/>
      <c r="F29203"/>
    </row>
    <row r="29204" spans="1:6" x14ac:dyDescent="0.25">
      <c r="A29204"/>
      <c r="B29204"/>
      <c r="C29204"/>
      <c r="E29204"/>
      <c r="F29204"/>
    </row>
    <row r="29205" spans="1:6" x14ac:dyDescent="0.25">
      <c r="A29205"/>
      <c r="B29205"/>
      <c r="C29205"/>
      <c r="E29205"/>
      <c r="F29205"/>
    </row>
    <row r="29206" spans="1:6" x14ac:dyDescent="0.25">
      <c r="A29206"/>
      <c r="B29206"/>
      <c r="C29206"/>
      <c r="E29206"/>
      <c r="F29206"/>
    </row>
    <row r="29207" spans="1:6" x14ac:dyDescent="0.25">
      <c r="A29207"/>
      <c r="B29207"/>
      <c r="C29207"/>
      <c r="E29207"/>
      <c r="F29207"/>
    </row>
    <row r="29208" spans="1:6" x14ac:dyDescent="0.25">
      <c r="A29208"/>
      <c r="B29208"/>
      <c r="C29208"/>
      <c r="E29208"/>
      <c r="F29208"/>
    </row>
    <row r="29209" spans="1:6" x14ac:dyDescent="0.25">
      <c r="A29209"/>
      <c r="B29209"/>
      <c r="C29209"/>
      <c r="E29209"/>
      <c r="F29209"/>
    </row>
    <row r="29210" spans="1:6" x14ac:dyDescent="0.25">
      <c r="A29210"/>
      <c r="B29210"/>
      <c r="C29210"/>
      <c r="E29210"/>
      <c r="F29210"/>
    </row>
    <row r="29211" spans="1:6" x14ac:dyDescent="0.25">
      <c r="A29211"/>
      <c r="B29211"/>
      <c r="C29211"/>
      <c r="E29211"/>
      <c r="F29211"/>
    </row>
    <row r="29212" spans="1:6" x14ac:dyDescent="0.25">
      <c r="A29212"/>
      <c r="B29212"/>
      <c r="C29212"/>
      <c r="E29212"/>
      <c r="F29212"/>
    </row>
    <row r="29213" spans="1:6" x14ac:dyDescent="0.25">
      <c r="A29213"/>
      <c r="B29213"/>
      <c r="C29213"/>
      <c r="E29213"/>
      <c r="F29213"/>
    </row>
    <row r="29214" spans="1:6" x14ac:dyDescent="0.25">
      <c r="A29214"/>
      <c r="B29214"/>
      <c r="C29214"/>
      <c r="E29214"/>
      <c r="F29214"/>
    </row>
    <row r="29215" spans="1:6" x14ac:dyDescent="0.25">
      <c r="A29215"/>
      <c r="B29215"/>
      <c r="C29215"/>
      <c r="E29215"/>
      <c r="F29215"/>
    </row>
    <row r="29216" spans="1:6" x14ac:dyDescent="0.25">
      <c r="A29216"/>
      <c r="B29216"/>
      <c r="C29216"/>
      <c r="E29216"/>
      <c r="F29216"/>
    </row>
    <row r="29217" spans="1:6" x14ac:dyDescent="0.25">
      <c r="A29217"/>
      <c r="B29217"/>
      <c r="C29217"/>
      <c r="E29217"/>
      <c r="F29217"/>
    </row>
    <row r="29218" spans="1:6" x14ac:dyDescent="0.25">
      <c r="A29218"/>
      <c r="B29218"/>
      <c r="C29218"/>
      <c r="E29218"/>
      <c r="F29218"/>
    </row>
    <row r="29219" spans="1:6" x14ac:dyDescent="0.25">
      <c r="A29219"/>
      <c r="B29219"/>
      <c r="C29219"/>
      <c r="E29219"/>
      <c r="F29219"/>
    </row>
    <row r="29220" spans="1:6" x14ac:dyDescent="0.25">
      <c r="A29220"/>
      <c r="B29220"/>
      <c r="C29220"/>
      <c r="E29220"/>
      <c r="F29220"/>
    </row>
    <row r="29221" spans="1:6" x14ac:dyDescent="0.25">
      <c r="A29221"/>
      <c r="B29221"/>
      <c r="C29221"/>
      <c r="E29221"/>
      <c r="F29221"/>
    </row>
    <row r="29222" spans="1:6" x14ac:dyDescent="0.25">
      <c r="A29222"/>
      <c r="B29222"/>
      <c r="C29222"/>
      <c r="E29222"/>
      <c r="F29222"/>
    </row>
    <row r="29223" spans="1:6" x14ac:dyDescent="0.25">
      <c r="A29223"/>
      <c r="B29223"/>
      <c r="C29223"/>
      <c r="E29223"/>
      <c r="F29223"/>
    </row>
    <row r="29224" spans="1:6" x14ac:dyDescent="0.25">
      <c r="A29224"/>
      <c r="B29224"/>
      <c r="C29224"/>
      <c r="E29224"/>
      <c r="F29224"/>
    </row>
    <row r="29225" spans="1:6" x14ac:dyDescent="0.25">
      <c r="A29225"/>
      <c r="B29225"/>
      <c r="C29225"/>
      <c r="E29225"/>
      <c r="F29225"/>
    </row>
    <row r="29226" spans="1:6" x14ac:dyDescent="0.25">
      <c r="A29226"/>
      <c r="B29226"/>
      <c r="C29226"/>
      <c r="E29226"/>
      <c r="F29226"/>
    </row>
    <row r="29227" spans="1:6" x14ac:dyDescent="0.25">
      <c r="A29227"/>
      <c r="B29227"/>
      <c r="C29227"/>
      <c r="E29227"/>
      <c r="F29227"/>
    </row>
    <row r="29228" spans="1:6" x14ac:dyDescent="0.25">
      <c r="A29228"/>
      <c r="B29228"/>
      <c r="C29228"/>
      <c r="E29228"/>
      <c r="F29228"/>
    </row>
    <row r="29229" spans="1:6" x14ac:dyDescent="0.25">
      <c r="A29229"/>
      <c r="B29229"/>
      <c r="C29229"/>
      <c r="E29229"/>
      <c r="F29229"/>
    </row>
    <row r="29230" spans="1:6" x14ac:dyDescent="0.25">
      <c r="A29230"/>
      <c r="B29230"/>
      <c r="C29230"/>
      <c r="E29230"/>
      <c r="F29230"/>
    </row>
    <row r="29231" spans="1:6" x14ac:dyDescent="0.25">
      <c r="A29231"/>
      <c r="B29231"/>
      <c r="C29231"/>
      <c r="E29231"/>
      <c r="F29231"/>
    </row>
    <row r="29232" spans="1:6" x14ac:dyDescent="0.25">
      <c r="A29232"/>
      <c r="B29232"/>
      <c r="C29232"/>
      <c r="E29232"/>
      <c r="F29232"/>
    </row>
    <row r="29233" spans="1:6" x14ac:dyDescent="0.25">
      <c r="A29233"/>
      <c r="B29233"/>
      <c r="C29233"/>
      <c r="E29233"/>
      <c r="F29233"/>
    </row>
    <row r="29234" spans="1:6" x14ac:dyDescent="0.25">
      <c r="A29234"/>
      <c r="B29234"/>
      <c r="C29234"/>
      <c r="E29234"/>
      <c r="F29234"/>
    </row>
    <row r="29235" spans="1:6" x14ac:dyDescent="0.25">
      <c r="A29235"/>
      <c r="B29235"/>
      <c r="C29235"/>
      <c r="E29235"/>
      <c r="F29235"/>
    </row>
    <row r="29236" spans="1:6" x14ac:dyDescent="0.25">
      <c r="A29236"/>
      <c r="B29236"/>
      <c r="C29236"/>
      <c r="E29236"/>
      <c r="F29236"/>
    </row>
    <row r="29237" spans="1:6" x14ac:dyDescent="0.25">
      <c r="A29237"/>
      <c r="B29237"/>
      <c r="C29237"/>
      <c r="E29237"/>
      <c r="F29237"/>
    </row>
    <row r="29238" spans="1:6" x14ac:dyDescent="0.25">
      <c r="A29238"/>
      <c r="B29238"/>
      <c r="C29238"/>
      <c r="E29238"/>
      <c r="F29238"/>
    </row>
    <row r="29239" spans="1:6" x14ac:dyDescent="0.25">
      <c r="A29239"/>
      <c r="B29239"/>
      <c r="C29239"/>
      <c r="E29239"/>
      <c r="F29239"/>
    </row>
    <row r="29240" spans="1:6" x14ac:dyDescent="0.25">
      <c r="A29240"/>
      <c r="B29240"/>
      <c r="C29240"/>
      <c r="E29240"/>
      <c r="F29240"/>
    </row>
    <row r="29241" spans="1:6" x14ac:dyDescent="0.25">
      <c r="A29241"/>
      <c r="B29241"/>
      <c r="C29241"/>
      <c r="E29241"/>
      <c r="F29241"/>
    </row>
    <row r="29242" spans="1:6" x14ac:dyDescent="0.25">
      <c r="A29242"/>
      <c r="B29242"/>
      <c r="C29242"/>
      <c r="E29242"/>
      <c r="F29242"/>
    </row>
    <row r="29243" spans="1:6" x14ac:dyDescent="0.25">
      <c r="A29243"/>
      <c r="B29243"/>
      <c r="C29243"/>
      <c r="E29243"/>
      <c r="F29243"/>
    </row>
    <row r="29244" spans="1:6" x14ac:dyDescent="0.25">
      <c r="A29244"/>
      <c r="B29244"/>
      <c r="C29244"/>
      <c r="E29244"/>
      <c r="F29244"/>
    </row>
    <row r="29245" spans="1:6" x14ac:dyDescent="0.25">
      <c r="A29245"/>
      <c r="B29245"/>
      <c r="C29245"/>
      <c r="E29245"/>
      <c r="F29245"/>
    </row>
    <row r="29246" spans="1:6" x14ac:dyDescent="0.25">
      <c r="A29246"/>
      <c r="B29246"/>
      <c r="C29246"/>
      <c r="E29246"/>
      <c r="F29246"/>
    </row>
    <row r="29247" spans="1:6" x14ac:dyDescent="0.25">
      <c r="A29247"/>
      <c r="B29247"/>
      <c r="C29247"/>
      <c r="E29247"/>
      <c r="F29247"/>
    </row>
    <row r="29248" spans="1:6" x14ac:dyDescent="0.25">
      <c r="A29248"/>
      <c r="B29248"/>
      <c r="C29248"/>
      <c r="E29248"/>
      <c r="F29248"/>
    </row>
    <row r="29249" spans="1:6" x14ac:dyDescent="0.25">
      <c r="A29249"/>
      <c r="B29249"/>
      <c r="C29249"/>
      <c r="E29249"/>
      <c r="F29249"/>
    </row>
    <row r="29250" spans="1:6" x14ac:dyDescent="0.25">
      <c r="A29250"/>
      <c r="B29250"/>
      <c r="C29250"/>
      <c r="E29250"/>
      <c r="F29250"/>
    </row>
    <row r="29251" spans="1:6" x14ac:dyDescent="0.25">
      <c r="A29251"/>
      <c r="B29251"/>
      <c r="C29251"/>
      <c r="E29251"/>
      <c r="F29251"/>
    </row>
    <row r="29252" spans="1:6" x14ac:dyDescent="0.25">
      <c r="A29252"/>
      <c r="B29252"/>
      <c r="C29252"/>
      <c r="E29252"/>
      <c r="F29252"/>
    </row>
    <row r="29253" spans="1:6" x14ac:dyDescent="0.25">
      <c r="A29253"/>
      <c r="B29253"/>
      <c r="C29253"/>
      <c r="E29253"/>
      <c r="F29253"/>
    </row>
    <row r="29254" spans="1:6" x14ac:dyDescent="0.25">
      <c r="A29254"/>
      <c r="B29254"/>
      <c r="C29254"/>
      <c r="E29254"/>
      <c r="F29254"/>
    </row>
    <row r="29255" spans="1:6" x14ac:dyDescent="0.25">
      <c r="A29255"/>
      <c r="B29255"/>
      <c r="C29255"/>
      <c r="E29255"/>
      <c r="F29255"/>
    </row>
    <row r="29256" spans="1:6" x14ac:dyDescent="0.25">
      <c r="A29256"/>
      <c r="B29256"/>
      <c r="C29256"/>
      <c r="E29256"/>
      <c r="F29256"/>
    </row>
    <row r="29257" spans="1:6" x14ac:dyDescent="0.25">
      <c r="A29257"/>
      <c r="B29257"/>
      <c r="C29257"/>
      <c r="E29257"/>
      <c r="F29257"/>
    </row>
    <row r="29258" spans="1:6" x14ac:dyDescent="0.25">
      <c r="A29258"/>
      <c r="B29258"/>
      <c r="C29258"/>
      <c r="E29258"/>
      <c r="F29258"/>
    </row>
    <row r="29259" spans="1:6" x14ac:dyDescent="0.25">
      <c r="A29259"/>
      <c r="B29259"/>
      <c r="C29259"/>
      <c r="E29259"/>
      <c r="F29259"/>
    </row>
    <row r="29260" spans="1:6" x14ac:dyDescent="0.25">
      <c r="A29260"/>
      <c r="B29260"/>
      <c r="C29260"/>
      <c r="E29260"/>
      <c r="F29260"/>
    </row>
    <row r="29261" spans="1:6" x14ac:dyDescent="0.25">
      <c r="A29261"/>
      <c r="B29261"/>
      <c r="C29261"/>
      <c r="E29261"/>
      <c r="F29261"/>
    </row>
    <row r="29262" spans="1:6" x14ac:dyDescent="0.25">
      <c r="A29262"/>
      <c r="B29262"/>
      <c r="C29262"/>
      <c r="E29262"/>
      <c r="F29262"/>
    </row>
    <row r="29263" spans="1:6" x14ac:dyDescent="0.25">
      <c r="A29263"/>
      <c r="B29263"/>
      <c r="C29263"/>
      <c r="E29263"/>
      <c r="F29263"/>
    </row>
    <row r="29264" spans="1:6" x14ac:dyDescent="0.25">
      <c r="A29264"/>
      <c r="B29264"/>
      <c r="C29264"/>
      <c r="E29264"/>
      <c r="F29264"/>
    </row>
    <row r="29265" spans="1:6" x14ac:dyDescent="0.25">
      <c r="A29265"/>
      <c r="B29265"/>
      <c r="C29265"/>
      <c r="E29265"/>
      <c r="F29265"/>
    </row>
    <row r="29266" spans="1:6" x14ac:dyDescent="0.25">
      <c r="A29266"/>
      <c r="B29266"/>
      <c r="C29266"/>
      <c r="E29266"/>
      <c r="F29266"/>
    </row>
    <row r="29267" spans="1:6" x14ac:dyDescent="0.25">
      <c r="A29267"/>
      <c r="B29267"/>
      <c r="C29267"/>
      <c r="E29267"/>
      <c r="F29267"/>
    </row>
    <row r="29268" spans="1:6" x14ac:dyDescent="0.25">
      <c r="A29268"/>
      <c r="B29268"/>
      <c r="C29268"/>
      <c r="E29268"/>
      <c r="F29268"/>
    </row>
    <row r="29269" spans="1:6" x14ac:dyDescent="0.25">
      <c r="A29269"/>
      <c r="B29269"/>
      <c r="C29269"/>
      <c r="E29269"/>
      <c r="F29269"/>
    </row>
    <row r="29270" spans="1:6" x14ac:dyDescent="0.25">
      <c r="A29270"/>
      <c r="B29270"/>
      <c r="C29270"/>
      <c r="E29270"/>
      <c r="F29270"/>
    </row>
    <row r="29271" spans="1:6" x14ac:dyDescent="0.25">
      <c r="A29271"/>
      <c r="B29271"/>
      <c r="C29271"/>
      <c r="E29271"/>
      <c r="F29271"/>
    </row>
    <row r="29272" spans="1:6" x14ac:dyDescent="0.25">
      <c r="A29272"/>
      <c r="B29272"/>
      <c r="C29272"/>
      <c r="E29272"/>
      <c r="F29272"/>
    </row>
    <row r="29273" spans="1:6" x14ac:dyDescent="0.25">
      <c r="A29273"/>
      <c r="B29273"/>
      <c r="C29273"/>
      <c r="E29273"/>
      <c r="F29273"/>
    </row>
    <row r="29274" spans="1:6" x14ac:dyDescent="0.25">
      <c r="A29274"/>
      <c r="B29274"/>
      <c r="C29274"/>
      <c r="E29274"/>
      <c r="F29274"/>
    </row>
    <row r="29275" spans="1:6" x14ac:dyDescent="0.25">
      <c r="A29275"/>
      <c r="B29275"/>
      <c r="C29275"/>
      <c r="E29275"/>
      <c r="F29275"/>
    </row>
    <row r="29276" spans="1:6" x14ac:dyDescent="0.25">
      <c r="A29276"/>
      <c r="B29276"/>
      <c r="C29276"/>
      <c r="E29276"/>
      <c r="F29276"/>
    </row>
    <row r="29277" spans="1:6" x14ac:dyDescent="0.25">
      <c r="A29277"/>
      <c r="B29277"/>
      <c r="C29277"/>
      <c r="E29277"/>
      <c r="F29277"/>
    </row>
    <row r="29278" spans="1:6" x14ac:dyDescent="0.25">
      <c r="A29278"/>
      <c r="B29278"/>
      <c r="C29278"/>
      <c r="E29278"/>
      <c r="F29278"/>
    </row>
    <row r="29279" spans="1:6" x14ac:dyDescent="0.25">
      <c r="A29279"/>
      <c r="B29279"/>
      <c r="C29279"/>
      <c r="E29279"/>
      <c r="F29279"/>
    </row>
    <row r="29280" spans="1:6" x14ac:dyDescent="0.25">
      <c r="A29280"/>
      <c r="B29280"/>
      <c r="C29280"/>
      <c r="E29280"/>
      <c r="F29280"/>
    </row>
    <row r="29281" spans="1:6" x14ac:dyDescent="0.25">
      <c r="A29281"/>
      <c r="B29281"/>
      <c r="C29281"/>
      <c r="E29281"/>
      <c r="F29281"/>
    </row>
    <row r="29282" spans="1:6" x14ac:dyDescent="0.25">
      <c r="A29282"/>
      <c r="B29282"/>
      <c r="C29282"/>
      <c r="E29282"/>
      <c r="F29282"/>
    </row>
    <row r="29283" spans="1:6" x14ac:dyDescent="0.25">
      <c r="A29283"/>
      <c r="B29283"/>
      <c r="C29283"/>
      <c r="E29283"/>
      <c r="F29283"/>
    </row>
    <row r="29284" spans="1:6" x14ac:dyDescent="0.25">
      <c r="A29284"/>
      <c r="B29284"/>
      <c r="C29284"/>
      <c r="E29284"/>
      <c r="F29284"/>
    </row>
    <row r="29285" spans="1:6" x14ac:dyDescent="0.25">
      <c r="A29285"/>
      <c r="B29285"/>
      <c r="C29285"/>
      <c r="E29285"/>
      <c r="F29285"/>
    </row>
    <row r="29286" spans="1:6" x14ac:dyDescent="0.25">
      <c r="A29286"/>
      <c r="B29286"/>
      <c r="C29286"/>
      <c r="E29286"/>
      <c r="F29286"/>
    </row>
    <row r="29287" spans="1:6" x14ac:dyDescent="0.25">
      <c r="A29287"/>
      <c r="B29287"/>
      <c r="C29287"/>
      <c r="E29287"/>
      <c r="F29287"/>
    </row>
    <row r="29288" spans="1:6" x14ac:dyDescent="0.25">
      <c r="A29288"/>
      <c r="B29288"/>
      <c r="C29288"/>
      <c r="E29288"/>
      <c r="F29288"/>
    </row>
    <row r="29289" spans="1:6" x14ac:dyDescent="0.25">
      <c r="A29289"/>
      <c r="B29289"/>
      <c r="C29289"/>
      <c r="E29289"/>
      <c r="F29289"/>
    </row>
    <row r="29290" spans="1:6" x14ac:dyDescent="0.25">
      <c r="A29290"/>
      <c r="B29290"/>
      <c r="C29290"/>
      <c r="E29290"/>
      <c r="F29290"/>
    </row>
    <row r="29291" spans="1:6" x14ac:dyDescent="0.25">
      <c r="A29291"/>
      <c r="B29291"/>
      <c r="C29291"/>
      <c r="E29291"/>
      <c r="F29291"/>
    </row>
    <row r="29292" spans="1:6" x14ac:dyDescent="0.25">
      <c r="A29292"/>
      <c r="B29292"/>
      <c r="C29292"/>
      <c r="E29292"/>
      <c r="F29292"/>
    </row>
    <row r="29293" spans="1:6" x14ac:dyDescent="0.25">
      <c r="A29293"/>
      <c r="B29293"/>
      <c r="C29293"/>
      <c r="E29293"/>
      <c r="F29293"/>
    </row>
    <row r="29294" spans="1:6" x14ac:dyDescent="0.25">
      <c r="A29294"/>
      <c r="B29294"/>
      <c r="C29294"/>
      <c r="E29294"/>
      <c r="F29294"/>
    </row>
    <row r="29295" spans="1:6" x14ac:dyDescent="0.25">
      <c r="A29295"/>
      <c r="B29295"/>
      <c r="C29295"/>
      <c r="E29295"/>
      <c r="F29295"/>
    </row>
    <row r="29296" spans="1:6" x14ac:dyDescent="0.25">
      <c r="A29296"/>
      <c r="B29296"/>
      <c r="C29296"/>
      <c r="E29296"/>
      <c r="F29296"/>
    </row>
    <row r="29297" spans="1:6" x14ac:dyDescent="0.25">
      <c r="A29297"/>
      <c r="B29297"/>
      <c r="C29297"/>
      <c r="E29297"/>
      <c r="F29297"/>
    </row>
    <row r="29298" spans="1:6" x14ac:dyDescent="0.25">
      <c r="A29298"/>
      <c r="B29298"/>
      <c r="C29298"/>
      <c r="E29298"/>
      <c r="F29298"/>
    </row>
    <row r="29299" spans="1:6" x14ac:dyDescent="0.25">
      <c r="A29299"/>
      <c r="B29299"/>
      <c r="C29299"/>
      <c r="E29299"/>
      <c r="F29299"/>
    </row>
    <row r="29300" spans="1:6" x14ac:dyDescent="0.25">
      <c r="A29300"/>
      <c r="B29300"/>
      <c r="C29300"/>
      <c r="E29300"/>
      <c r="F29300"/>
    </row>
    <row r="29301" spans="1:6" x14ac:dyDescent="0.25">
      <c r="A29301"/>
      <c r="B29301"/>
      <c r="C29301"/>
      <c r="E29301"/>
      <c r="F29301"/>
    </row>
    <row r="29302" spans="1:6" x14ac:dyDescent="0.25">
      <c r="A29302"/>
      <c r="B29302"/>
      <c r="C29302"/>
      <c r="E29302"/>
      <c r="F29302"/>
    </row>
    <row r="29303" spans="1:6" x14ac:dyDescent="0.25">
      <c r="A29303"/>
      <c r="B29303"/>
      <c r="C29303"/>
      <c r="E29303"/>
      <c r="F29303"/>
    </row>
    <row r="29304" spans="1:6" x14ac:dyDescent="0.25">
      <c r="A29304"/>
      <c r="B29304"/>
      <c r="C29304"/>
      <c r="E29304"/>
      <c r="F29304"/>
    </row>
    <row r="29305" spans="1:6" x14ac:dyDescent="0.25">
      <c r="A29305"/>
      <c r="B29305"/>
      <c r="C29305"/>
      <c r="E29305"/>
      <c r="F29305"/>
    </row>
    <row r="29306" spans="1:6" x14ac:dyDescent="0.25">
      <c r="A29306"/>
      <c r="B29306"/>
      <c r="C29306"/>
      <c r="E29306"/>
      <c r="F29306"/>
    </row>
    <row r="29307" spans="1:6" x14ac:dyDescent="0.25">
      <c r="A29307"/>
      <c r="B29307"/>
      <c r="C29307"/>
      <c r="E29307"/>
      <c r="F29307"/>
    </row>
    <row r="29308" spans="1:6" x14ac:dyDescent="0.25">
      <c r="A29308"/>
      <c r="B29308"/>
      <c r="C29308"/>
      <c r="E29308"/>
      <c r="F29308"/>
    </row>
    <row r="29309" spans="1:6" x14ac:dyDescent="0.25">
      <c r="A29309"/>
      <c r="B29309"/>
      <c r="C29309"/>
      <c r="E29309"/>
      <c r="F29309"/>
    </row>
    <row r="29310" spans="1:6" x14ac:dyDescent="0.25">
      <c r="A29310"/>
      <c r="B29310"/>
      <c r="C29310"/>
      <c r="E29310"/>
      <c r="F29310"/>
    </row>
    <row r="29311" spans="1:6" x14ac:dyDescent="0.25">
      <c r="A29311"/>
      <c r="B29311"/>
      <c r="C29311"/>
      <c r="E29311"/>
      <c r="F29311"/>
    </row>
    <row r="29312" spans="1:6" x14ac:dyDescent="0.25">
      <c r="A29312"/>
      <c r="B29312"/>
      <c r="C29312"/>
      <c r="E29312"/>
      <c r="F29312"/>
    </row>
    <row r="29313" spans="1:6" x14ac:dyDescent="0.25">
      <c r="A29313"/>
      <c r="B29313"/>
      <c r="C29313"/>
      <c r="E29313"/>
      <c r="F29313"/>
    </row>
    <row r="29314" spans="1:6" x14ac:dyDescent="0.25">
      <c r="A29314"/>
      <c r="B29314"/>
      <c r="C29314"/>
      <c r="E29314"/>
      <c r="F29314"/>
    </row>
    <row r="29315" spans="1:6" x14ac:dyDescent="0.25">
      <c r="A29315"/>
      <c r="B29315"/>
      <c r="C29315"/>
      <c r="E29315"/>
      <c r="F29315"/>
    </row>
    <row r="29316" spans="1:6" x14ac:dyDescent="0.25">
      <c r="A29316"/>
      <c r="B29316"/>
      <c r="C29316"/>
      <c r="E29316"/>
      <c r="F29316"/>
    </row>
    <row r="29317" spans="1:6" x14ac:dyDescent="0.25">
      <c r="A29317"/>
      <c r="B29317"/>
      <c r="C29317"/>
      <c r="E29317"/>
      <c r="F29317"/>
    </row>
    <row r="29318" spans="1:6" x14ac:dyDescent="0.25">
      <c r="A29318"/>
      <c r="B29318"/>
      <c r="C29318"/>
      <c r="E29318"/>
      <c r="F29318"/>
    </row>
    <row r="29319" spans="1:6" x14ac:dyDescent="0.25">
      <c r="A29319"/>
      <c r="B29319"/>
      <c r="C29319"/>
      <c r="E29319"/>
      <c r="F29319"/>
    </row>
    <row r="29320" spans="1:6" x14ac:dyDescent="0.25">
      <c r="A29320"/>
      <c r="B29320"/>
      <c r="C29320"/>
      <c r="E29320"/>
      <c r="F29320"/>
    </row>
    <row r="29321" spans="1:6" x14ac:dyDescent="0.25">
      <c r="A29321"/>
      <c r="B29321"/>
      <c r="C29321"/>
      <c r="E29321"/>
      <c r="F29321"/>
    </row>
    <row r="29322" spans="1:6" x14ac:dyDescent="0.25">
      <c r="A29322"/>
      <c r="B29322"/>
      <c r="C29322"/>
      <c r="E29322"/>
      <c r="F29322"/>
    </row>
    <row r="29323" spans="1:6" x14ac:dyDescent="0.25">
      <c r="A29323"/>
      <c r="B29323"/>
      <c r="C29323"/>
      <c r="E29323"/>
      <c r="F29323"/>
    </row>
    <row r="29324" spans="1:6" x14ac:dyDescent="0.25">
      <c r="A29324"/>
      <c r="B29324"/>
      <c r="C29324"/>
      <c r="E29324"/>
      <c r="F29324"/>
    </row>
    <row r="29325" spans="1:6" x14ac:dyDescent="0.25">
      <c r="A29325"/>
      <c r="B29325"/>
      <c r="C29325"/>
      <c r="E29325"/>
      <c r="F29325"/>
    </row>
    <row r="29326" spans="1:6" x14ac:dyDescent="0.25">
      <c r="A29326"/>
      <c r="B29326"/>
      <c r="C29326"/>
      <c r="E29326"/>
      <c r="F29326"/>
    </row>
    <row r="29327" spans="1:6" x14ac:dyDescent="0.25">
      <c r="A29327"/>
      <c r="B29327"/>
      <c r="C29327"/>
      <c r="E29327"/>
      <c r="F29327"/>
    </row>
    <row r="29328" spans="1:6" x14ac:dyDescent="0.25">
      <c r="A29328"/>
      <c r="B29328"/>
      <c r="C29328"/>
      <c r="E29328"/>
      <c r="F29328"/>
    </row>
    <row r="29329" spans="1:6" x14ac:dyDescent="0.25">
      <c r="A29329"/>
      <c r="B29329"/>
      <c r="C29329"/>
      <c r="E29329"/>
      <c r="F29329"/>
    </row>
    <row r="29330" spans="1:6" x14ac:dyDescent="0.25">
      <c r="A29330"/>
      <c r="B29330"/>
      <c r="C29330"/>
      <c r="E29330"/>
      <c r="F29330"/>
    </row>
    <row r="29331" spans="1:6" x14ac:dyDescent="0.25">
      <c r="A29331"/>
      <c r="B29331"/>
      <c r="C29331"/>
      <c r="E29331"/>
      <c r="F29331"/>
    </row>
    <row r="29332" spans="1:6" x14ac:dyDescent="0.25">
      <c r="A29332"/>
      <c r="B29332"/>
      <c r="C29332"/>
      <c r="E29332"/>
      <c r="F29332"/>
    </row>
    <row r="29333" spans="1:6" x14ac:dyDescent="0.25">
      <c r="A29333"/>
      <c r="B29333"/>
      <c r="C29333"/>
      <c r="E29333"/>
      <c r="F29333"/>
    </row>
    <row r="29334" spans="1:6" x14ac:dyDescent="0.25">
      <c r="A29334"/>
      <c r="B29334"/>
      <c r="C29334"/>
      <c r="E29334"/>
      <c r="F29334"/>
    </row>
    <row r="29335" spans="1:6" x14ac:dyDescent="0.25">
      <c r="A29335"/>
      <c r="B29335"/>
      <c r="C29335"/>
      <c r="E29335"/>
      <c r="F29335"/>
    </row>
    <row r="29336" spans="1:6" x14ac:dyDescent="0.25">
      <c r="A29336"/>
      <c r="B29336"/>
      <c r="C29336"/>
      <c r="E29336"/>
      <c r="F29336"/>
    </row>
    <row r="29337" spans="1:6" x14ac:dyDescent="0.25">
      <c r="A29337"/>
      <c r="B29337"/>
      <c r="C29337"/>
      <c r="E29337"/>
      <c r="F29337"/>
    </row>
    <row r="29338" spans="1:6" x14ac:dyDescent="0.25">
      <c r="A29338"/>
      <c r="B29338"/>
      <c r="C29338"/>
      <c r="E29338"/>
      <c r="F29338"/>
    </row>
    <row r="29339" spans="1:6" x14ac:dyDescent="0.25">
      <c r="A29339"/>
      <c r="B29339"/>
      <c r="C29339"/>
      <c r="E29339"/>
      <c r="F29339"/>
    </row>
    <row r="29340" spans="1:6" x14ac:dyDescent="0.25">
      <c r="A29340"/>
      <c r="B29340"/>
      <c r="C29340"/>
      <c r="E29340"/>
      <c r="F29340"/>
    </row>
    <row r="29341" spans="1:6" x14ac:dyDescent="0.25">
      <c r="A29341"/>
      <c r="B29341"/>
      <c r="C29341"/>
      <c r="E29341"/>
      <c r="F29341"/>
    </row>
    <row r="29342" spans="1:6" x14ac:dyDescent="0.25">
      <c r="A29342"/>
      <c r="B29342"/>
      <c r="C29342"/>
      <c r="E29342"/>
      <c r="F29342"/>
    </row>
    <row r="29343" spans="1:6" x14ac:dyDescent="0.25">
      <c r="A29343"/>
      <c r="B29343"/>
      <c r="C29343"/>
      <c r="E29343"/>
      <c r="F29343"/>
    </row>
    <row r="29344" spans="1:6" x14ac:dyDescent="0.25">
      <c r="A29344"/>
      <c r="B29344"/>
      <c r="C29344"/>
      <c r="E29344"/>
      <c r="F29344"/>
    </row>
    <row r="29345" spans="1:6" x14ac:dyDescent="0.25">
      <c r="A29345"/>
      <c r="B29345"/>
      <c r="C29345"/>
      <c r="E29345"/>
      <c r="F29345"/>
    </row>
    <row r="29346" spans="1:6" x14ac:dyDescent="0.25">
      <c r="A29346"/>
      <c r="B29346"/>
      <c r="C29346"/>
      <c r="E29346"/>
      <c r="F29346"/>
    </row>
    <row r="29347" spans="1:6" x14ac:dyDescent="0.25">
      <c r="A29347"/>
      <c r="B29347"/>
      <c r="C29347"/>
      <c r="E29347"/>
      <c r="F29347"/>
    </row>
    <row r="29348" spans="1:6" x14ac:dyDescent="0.25">
      <c r="A29348"/>
      <c r="B29348"/>
      <c r="C29348"/>
      <c r="E29348"/>
      <c r="F29348"/>
    </row>
    <row r="29349" spans="1:6" x14ac:dyDescent="0.25">
      <c r="A29349"/>
      <c r="B29349"/>
      <c r="C29349"/>
      <c r="E29349"/>
      <c r="F29349"/>
    </row>
    <row r="29350" spans="1:6" x14ac:dyDescent="0.25">
      <c r="A29350"/>
      <c r="B29350"/>
      <c r="C29350"/>
      <c r="E29350"/>
      <c r="F29350"/>
    </row>
    <row r="29351" spans="1:6" x14ac:dyDescent="0.25">
      <c r="A29351"/>
      <c r="B29351"/>
      <c r="C29351"/>
      <c r="E29351"/>
      <c r="F29351"/>
    </row>
    <row r="29352" spans="1:6" x14ac:dyDescent="0.25">
      <c r="A29352"/>
      <c r="B29352"/>
      <c r="C29352"/>
      <c r="E29352"/>
      <c r="F29352"/>
    </row>
    <row r="29353" spans="1:6" x14ac:dyDescent="0.25">
      <c r="A29353"/>
      <c r="B29353"/>
      <c r="C29353"/>
      <c r="E29353"/>
      <c r="F29353"/>
    </row>
    <row r="29354" spans="1:6" x14ac:dyDescent="0.25">
      <c r="A29354"/>
      <c r="B29354"/>
      <c r="C29354"/>
      <c r="E29354"/>
      <c r="F29354"/>
    </row>
    <row r="29355" spans="1:6" x14ac:dyDescent="0.25">
      <c r="A29355"/>
      <c r="B29355"/>
      <c r="C29355"/>
      <c r="E29355"/>
      <c r="F29355"/>
    </row>
    <row r="29356" spans="1:6" x14ac:dyDescent="0.25">
      <c r="A29356"/>
      <c r="B29356"/>
      <c r="C29356"/>
      <c r="E29356"/>
      <c r="F29356"/>
    </row>
    <row r="29357" spans="1:6" x14ac:dyDescent="0.25">
      <c r="A29357"/>
      <c r="B29357"/>
      <c r="C29357"/>
      <c r="E29357"/>
      <c r="F29357"/>
    </row>
    <row r="29358" spans="1:6" x14ac:dyDescent="0.25">
      <c r="A29358"/>
      <c r="B29358"/>
      <c r="C29358"/>
      <c r="E29358"/>
      <c r="F29358"/>
    </row>
    <row r="29359" spans="1:6" x14ac:dyDescent="0.25">
      <c r="A29359"/>
      <c r="B29359"/>
      <c r="C29359"/>
      <c r="E29359"/>
      <c r="F29359"/>
    </row>
    <row r="29360" spans="1:6" x14ac:dyDescent="0.25">
      <c r="A29360"/>
      <c r="B29360"/>
      <c r="C29360"/>
      <c r="E29360"/>
      <c r="F29360"/>
    </row>
    <row r="29361" spans="1:6" x14ac:dyDescent="0.25">
      <c r="A29361"/>
      <c r="B29361"/>
      <c r="C29361"/>
      <c r="E29361"/>
      <c r="F29361"/>
    </row>
    <row r="29362" spans="1:6" x14ac:dyDescent="0.25">
      <c r="A29362"/>
      <c r="B29362"/>
      <c r="C29362"/>
      <c r="E29362"/>
      <c r="F29362"/>
    </row>
    <row r="29363" spans="1:6" x14ac:dyDescent="0.25">
      <c r="A29363"/>
      <c r="B29363"/>
      <c r="C29363"/>
      <c r="E29363"/>
      <c r="F29363"/>
    </row>
    <row r="29364" spans="1:6" x14ac:dyDescent="0.25">
      <c r="A29364"/>
      <c r="B29364"/>
      <c r="C29364"/>
      <c r="E29364"/>
      <c r="F29364"/>
    </row>
    <row r="29365" spans="1:6" x14ac:dyDescent="0.25">
      <c r="A29365"/>
      <c r="B29365"/>
      <c r="C29365"/>
      <c r="E29365"/>
      <c r="F29365"/>
    </row>
    <row r="29366" spans="1:6" x14ac:dyDescent="0.25">
      <c r="A29366"/>
      <c r="B29366"/>
      <c r="C29366"/>
      <c r="E29366"/>
      <c r="F29366"/>
    </row>
    <row r="29367" spans="1:6" x14ac:dyDescent="0.25">
      <c r="A29367"/>
      <c r="B29367"/>
      <c r="C29367"/>
      <c r="E29367"/>
      <c r="F29367"/>
    </row>
    <row r="29368" spans="1:6" x14ac:dyDescent="0.25">
      <c r="A29368"/>
      <c r="B29368"/>
      <c r="C29368"/>
      <c r="E29368"/>
      <c r="F29368"/>
    </row>
    <row r="29369" spans="1:6" x14ac:dyDescent="0.25">
      <c r="A29369"/>
      <c r="B29369"/>
      <c r="C29369"/>
      <c r="E29369"/>
      <c r="F29369"/>
    </row>
    <row r="29370" spans="1:6" x14ac:dyDescent="0.25">
      <c r="A29370"/>
      <c r="B29370"/>
      <c r="C29370"/>
      <c r="E29370"/>
      <c r="F29370"/>
    </row>
    <row r="29371" spans="1:6" x14ac:dyDescent="0.25">
      <c r="A29371"/>
      <c r="B29371"/>
      <c r="C29371"/>
      <c r="E29371"/>
      <c r="F29371"/>
    </row>
    <row r="29372" spans="1:6" x14ac:dyDescent="0.25">
      <c r="A29372"/>
      <c r="B29372"/>
      <c r="C29372"/>
      <c r="E29372"/>
      <c r="F29372"/>
    </row>
    <row r="29373" spans="1:6" x14ac:dyDescent="0.25">
      <c r="A29373"/>
      <c r="B29373"/>
      <c r="C29373"/>
      <c r="E29373"/>
      <c r="F29373"/>
    </row>
    <row r="29374" spans="1:6" x14ac:dyDescent="0.25">
      <c r="A29374"/>
      <c r="B29374"/>
      <c r="C29374"/>
      <c r="E29374"/>
      <c r="F29374"/>
    </row>
    <row r="29375" spans="1:6" x14ac:dyDescent="0.25">
      <c r="A29375"/>
      <c r="B29375"/>
      <c r="C29375"/>
      <c r="E29375"/>
      <c r="F29375"/>
    </row>
    <row r="29376" spans="1:6" x14ac:dyDescent="0.25">
      <c r="A29376"/>
      <c r="B29376"/>
      <c r="C29376"/>
      <c r="E29376"/>
      <c r="F29376"/>
    </row>
    <row r="29377" spans="1:6" x14ac:dyDescent="0.25">
      <c r="A29377"/>
      <c r="B29377"/>
      <c r="C29377"/>
      <c r="E29377"/>
      <c r="F29377"/>
    </row>
    <row r="29378" spans="1:6" x14ac:dyDescent="0.25">
      <c r="A29378"/>
      <c r="B29378"/>
      <c r="C29378"/>
      <c r="E29378"/>
      <c r="F29378"/>
    </row>
    <row r="29379" spans="1:6" x14ac:dyDescent="0.25">
      <c r="A29379"/>
      <c r="B29379"/>
      <c r="C29379"/>
      <c r="E29379"/>
      <c r="F29379"/>
    </row>
    <row r="29380" spans="1:6" x14ac:dyDescent="0.25">
      <c r="A29380"/>
      <c r="B29380"/>
      <c r="C29380"/>
      <c r="E29380"/>
      <c r="F29380"/>
    </row>
    <row r="29381" spans="1:6" x14ac:dyDescent="0.25">
      <c r="A29381"/>
      <c r="B29381"/>
      <c r="C29381"/>
      <c r="E29381"/>
      <c r="F29381"/>
    </row>
    <row r="29382" spans="1:6" x14ac:dyDescent="0.25">
      <c r="A29382"/>
      <c r="B29382"/>
      <c r="C29382"/>
      <c r="E29382"/>
      <c r="F29382"/>
    </row>
    <row r="29383" spans="1:6" x14ac:dyDescent="0.25">
      <c r="A29383"/>
      <c r="B29383"/>
      <c r="C29383"/>
      <c r="E29383"/>
      <c r="F29383"/>
    </row>
    <row r="29384" spans="1:6" x14ac:dyDescent="0.25">
      <c r="A29384"/>
      <c r="B29384"/>
      <c r="C29384"/>
      <c r="E29384"/>
      <c r="F29384"/>
    </row>
    <row r="29385" spans="1:6" x14ac:dyDescent="0.25">
      <c r="A29385"/>
      <c r="B29385"/>
      <c r="C29385"/>
      <c r="E29385"/>
      <c r="F29385"/>
    </row>
    <row r="29386" spans="1:6" x14ac:dyDescent="0.25">
      <c r="A29386"/>
      <c r="B29386"/>
      <c r="C29386"/>
      <c r="E29386"/>
      <c r="F29386"/>
    </row>
    <row r="29387" spans="1:6" x14ac:dyDescent="0.25">
      <c r="A29387"/>
      <c r="B29387"/>
      <c r="C29387"/>
      <c r="E29387"/>
      <c r="F29387"/>
    </row>
    <row r="29388" spans="1:6" x14ac:dyDescent="0.25">
      <c r="A29388"/>
      <c r="B29388"/>
      <c r="C29388"/>
      <c r="E29388"/>
      <c r="F29388"/>
    </row>
    <row r="29389" spans="1:6" x14ac:dyDescent="0.25">
      <c r="A29389"/>
      <c r="B29389"/>
      <c r="C29389"/>
      <c r="E29389"/>
      <c r="F29389"/>
    </row>
    <row r="29390" spans="1:6" x14ac:dyDescent="0.25">
      <c r="A29390"/>
      <c r="B29390"/>
      <c r="C29390"/>
      <c r="E29390"/>
      <c r="F29390"/>
    </row>
    <row r="29391" spans="1:6" x14ac:dyDescent="0.25">
      <c r="A29391"/>
      <c r="B29391"/>
      <c r="C29391"/>
      <c r="E29391"/>
      <c r="F29391"/>
    </row>
    <row r="29392" spans="1:6" x14ac:dyDescent="0.25">
      <c r="A29392"/>
      <c r="B29392"/>
      <c r="C29392"/>
      <c r="E29392"/>
      <c r="F29392"/>
    </row>
    <row r="29393" spans="1:6" x14ac:dyDescent="0.25">
      <c r="A29393"/>
      <c r="B29393"/>
      <c r="C29393"/>
      <c r="E29393"/>
      <c r="F29393"/>
    </row>
    <row r="29394" spans="1:6" x14ac:dyDescent="0.25">
      <c r="A29394"/>
      <c r="B29394"/>
      <c r="C29394"/>
      <c r="E29394"/>
      <c r="F29394"/>
    </row>
    <row r="29395" spans="1:6" x14ac:dyDescent="0.25">
      <c r="A29395"/>
      <c r="B29395"/>
      <c r="C29395"/>
      <c r="E29395"/>
      <c r="F29395"/>
    </row>
    <row r="29396" spans="1:6" x14ac:dyDescent="0.25">
      <c r="A29396"/>
      <c r="B29396"/>
      <c r="C29396"/>
      <c r="E29396"/>
      <c r="F29396"/>
    </row>
    <row r="29397" spans="1:6" x14ac:dyDescent="0.25">
      <c r="A29397"/>
      <c r="B29397"/>
      <c r="C29397"/>
      <c r="E29397"/>
      <c r="F29397"/>
    </row>
    <row r="29398" spans="1:6" x14ac:dyDescent="0.25">
      <c r="A29398"/>
      <c r="B29398"/>
      <c r="C29398"/>
      <c r="E29398"/>
      <c r="F29398"/>
    </row>
    <row r="29399" spans="1:6" x14ac:dyDescent="0.25">
      <c r="A29399"/>
      <c r="B29399"/>
      <c r="C29399"/>
      <c r="E29399"/>
      <c r="F29399"/>
    </row>
    <row r="29400" spans="1:6" x14ac:dyDescent="0.25">
      <c r="A29400"/>
      <c r="B29400"/>
      <c r="C29400"/>
      <c r="E29400"/>
      <c r="F29400"/>
    </row>
    <row r="29401" spans="1:6" x14ac:dyDescent="0.25">
      <c r="A29401"/>
      <c r="B29401"/>
      <c r="C29401"/>
      <c r="E29401"/>
      <c r="F29401"/>
    </row>
    <row r="29402" spans="1:6" x14ac:dyDescent="0.25">
      <c r="A29402"/>
      <c r="B29402"/>
      <c r="C29402"/>
      <c r="E29402"/>
      <c r="F29402"/>
    </row>
    <row r="29403" spans="1:6" x14ac:dyDescent="0.25">
      <c r="A29403"/>
      <c r="B29403"/>
      <c r="C29403"/>
      <c r="E29403"/>
      <c r="F29403"/>
    </row>
    <row r="29404" spans="1:6" x14ac:dyDescent="0.25">
      <c r="A29404"/>
      <c r="B29404"/>
      <c r="C29404"/>
      <c r="E29404"/>
      <c r="F29404"/>
    </row>
    <row r="29405" spans="1:6" x14ac:dyDescent="0.25">
      <c r="A29405"/>
      <c r="B29405"/>
      <c r="C29405"/>
      <c r="E29405"/>
      <c r="F29405"/>
    </row>
    <row r="29406" spans="1:6" x14ac:dyDescent="0.25">
      <c r="A29406"/>
      <c r="B29406"/>
      <c r="C29406"/>
      <c r="E29406"/>
      <c r="F29406"/>
    </row>
    <row r="29407" spans="1:6" x14ac:dyDescent="0.25">
      <c r="A29407"/>
      <c r="B29407"/>
      <c r="C29407"/>
      <c r="E29407"/>
      <c r="F29407"/>
    </row>
    <row r="29408" spans="1:6" x14ac:dyDescent="0.25">
      <c r="A29408"/>
      <c r="B29408"/>
      <c r="C29408"/>
      <c r="E29408"/>
      <c r="F29408"/>
    </row>
    <row r="29409" spans="1:6" x14ac:dyDescent="0.25">
      <c r="A29409"/>
      <c r="B29409"/>
      <c r="C29409"/>
      <c r="E29409"/>
      <c r="F29409"/>
    </row>
    <row r="29410" spans="1:6" x14ac:dyDescent="0.25">
      <c r="A29410"/>
      <c r="B29410"/>
      <c r="C29410"/>
      <c r="E29410"/>
      <c r="F29410"/>
    </row>
    <row r="29411" spans="1:6" x14ac:dyDescent="0.25">
      <c r="A29411"/>
      <c r="B29411"/>
      <c r="C29411"/>
      <c r="E29411"/>
      <c r="F29411"/>
    </row>
    <row r="29412" spans="1:6" x14ac:dyDescent="0.25">
      <c r="A29412"/>
      <c r="B29412"/>
      <c r="C29412"/>
      <c r="E29412"/>
      <c r="F29412"/>
    </row>
    <row r="29413" spans="1:6" x14ac:dyDescent="0.25">
      <c r="A29413"/>
      <c r="B29413"/>
      <c r="C29413"/>
      <c r="E29413"/>
      <c r="F29413"/>
    </row>
    <row r="29414" spans="1:6" x14ac:dyDescent="0.25">
      <c r="A29414"/>
      <c r="B29414"/>
      <c r="C29414"/>
      <c r="E29414"/>
      <c r="F29414"/>
    </row>
    <row r="29415" spans="1:6" x14ac:dyDescent="0.25">
      <c r="A29415"/>
      <c r="B29415"/>
      <c r="C29415"/>
      <c r="E29415"/>
      <c r="F29415"/>
    </row>
    <row r="29416" spans="1:6" x14ac:dyDescent="0.25">
      <c r="A29416"/>
      <c r="B29416"/>
      <c r="C29416"/>
      <c r="E29416"/>
      <c r="F29416"/>
    </row>
    <row r="29417" spans="1:6" x14ac:dyDescent="0.25">
      <c r="A29417"/>
      <c r="B29417"/>
      <c r="C29417"/>
      <c r="E29417"/>
      <c r="F29417"/>
    </row>
    <row r="29418" spans="1:6" x14ac:dyDescent="0.25">
      <c r="A29418"/>
      <c r="B29418"/>
      <c r="C29418"/>
      <c r="E29418"/>
      <c r="F29418"/>
    </row>
    <row r="29419" spans="1:6" x14ac:dyDescent="0.25">
      <c r="A29419"/>
      <c r="B29419"/>
      <c r="C29419"/>
      <c r="E29419"/>
      <c r="F29419"/>
    </row>
    <row r="29420" spans="1:6" x14ac:dyDescent="0.25">
      <c r="A29420"/>
      <c r="B29420"/>
      <c r="C29420"/>
      <c r="E29420"/>
      <c r="F29420"/>
    </row>
    <row r="29421" spans="1:6" x14ac:dyDescent="0.25">
      <c r="A29421"/>
      <c r="B29421"/>
      <c r="C29421"/>
      <c r="E29421"/>
      <c r="F29421"/>
    </row>
    <row r="29422" spans="1:6" x14ac:dyDescent="0.25">
      <c r="A29422"/>
      <c r="B29422"/>
      <c r="C29422"/>
      <c r="E29422"/>
      <c r="F29422"/>
    </row>
    <row r="29423" spans="1:6" x14ac:dyDescent="0.25">
      <c r="A29423"/>
      <c r="B29423"/>
      <c r="C29423"/>
      <c r="E29423"/>
      <c r="F29423"/>
    </row>
    <row r="29424" spans="1:6" x14ac:dyDescent="0.25">
      <c r="A29424"/>
      <c r="B29424"/>
      <c r="C29424"/>
      <c r="E29424"/>
      <c r="F29424"/>
    </row>
    <row r="29425" spans="1:6" x14ac:dyDescent="0.25">
      <c r="A29425"/>
      <c r="B29425"/>
      <c r="C29425"/>
      <c r="E29425"/>
      <c r="F29425"/>
    </row>
    <row r="29426" spans="1:6" x14ac:dyDescent="0.25">
      <c r="A29426"/>
      <c r="B29426"/>
      <c r="C29426"/>
      <c r="E29426"/>
      <c r="F29426"/>
    </row>
    <row r="29427" spans="1:6" x14ac:dyDescent="0.25">
      <c r="A29427"/>
      <c r="B29427"/>
      <c r="C29427"/>
      <c r="E29427"/>
      <c r="F29427"/>
    </row>
    <row r="29428" spans="1:6" x14ac:dyDescent="0.25">
      <c r="A29428"/>
      <c r="B29428"/>
      <c r="C29428"/>
      <c r="E29428"/>
      <c r="F29428"/>
    </row>
    <row r="29429" spans="1:6" x14ac:dyDescent="0.25">
      <c r="A29429"/>
      <c r="B29429"/>
      <c r="C29429"/>
      <c r="E29429"/>
      <c r="F29429"/>
    </row>
    <row r="29430" spans="1:6" x14ac:dyDescent="0.25">
      <c r="A29430"/>
      <c r="B29430"/>
      <c r="C29430"/>
      <c r="E29430"/>
      <c r="F29430"/>
    </row>
    <row r="29431" spans="1:6" x14ac:dyDescent="0.25">
      <c r="A29431"/>
      <c r="B29431"/>
      <c r="C29431"/>
      <c r="E29431"/>
      <c r="F29431"/>
    </row>
    <row r="29432" spans="1:6" x14ac:dyDescent="0.25">
      <c r="A29432"/>
      <c r="B29432"/>
      <c r="C29432"/>
      <c r="E29432"/>
      <c r="F29432"/>
    </row>
    <row r="29433" spans="1:6" x14ac:dyDescent="0.25">
      <c r="A29433"/>
      <c r="B29433"/>
      <c r="C29433"/>
      <c r="E29433"/>
      <c r="F29433"/>
    </row>
    <row r="29434" spans="1:6" x14ac:dyDescent="0.25">
      <c r="A29434"/>
      <c r="B29434"/>
      <c r="C29434"/>
      <c r="E29434"/>
      <c r="F29434"/>
    </row>
    <row r="29435" spans="1:6" x14ac:dyDescent="0.25">
      <c r="A29435"/>
      <c r="B29435"/>
      <c r="C29435"/>
      <c r="E29435"/>
      <c r="F29435"/>
    </row>
    <row r="29436" spans="1:6" x14ac:dyDescent="0.25">
      <c r="A29436"/>
      <c r="B29436"/>
      <c r="C29436"/>
      <c r="E29436"/>
      <c r="F29436"/>
    </row>
    <row r="29437" spans="1:6" x14ac:dyDescent="0.25">
      <c r="A29437"/>
      <c r="B29437"/>
      <c r="C29437"/>
      <c r="E29437"/>
      <c r="F29437"/>
    </row>
    <row r="29438" spans="1:6" x14ac:dyDescent="0.25">
      <c r="A29438"/>
      <c r="B29438"/>
      <c r="C29438"/>
      <c r="E29438"/>
      <c r="F29438"/>
    </row>
    <row r="29439" spans="1:6" x14ac:dyDescent="0.25">
      <c r="A29439"/>
      <c r="B29439"/>
      <c r="C29439"/>
      <c r="E29439"/>
      <c r="F29439"/>
    </row>
    <row r="29440" spans="1:6" x14ac:dyDescent="0.25">
      <c r="A29440"/>
      <c r="B29440"/>
      <c r="C29440"/>
      <c r="E29440"/>
      <c r="F29440"/>
    </row>
    <row r="29441" spans="1:6" x14ac:dyDescent="0.25">
      <c r="A29441"/>
      <c r="B29441"/>
      <c r="C29441"/>
      <c r="E29441"/>
      <c r="F29441"/>
    </row>
    <row r="29442" spans="1:6" x14ac:dyDescent="0.25">
      <c r="A29442"/>
      <c r="B29442"/>
      <c r="C29442"/>
      <c r="E29442"/>
      <c r="F29442"/>
    </row>
    <row r="29443" spans="1:6" x14ac:dyDescent="0.25">
      <c r="A29443"/>
      <c r="B29443"/>
      <c r="C29443"/>
      <c r="E29443"/>
      <c r="F29443"/>
    </row>
    <row r="29444" spans="1:6" x14ac:dyDescent="0.25">
      <c r="A29444"/>
      <c r="B29444"/>
      <c r="C29444"/>
      <c r="E29444"/>
      <c r="F29444"/>
    </row>
    <row r="29445" spans="1:6" x14ac:dyDescent="0.25">
      <c r="A29445"/>
      <c r="B29445"/>
      <c r="C29445"/>
      <c r="E29445"/>
      <c r="F29445"/>
    </row>
    <row r="29446" spans="1:6" x14ac:dyDescent="0.25">
      <c r="A29446"/>
      <c r="B29446"/>
      <c r="C29446"/>
      <c r="E29446"/>
      <c r="F29446"/>
    </row>
    <row r="29447" spans="1:6" x14ac:dyDescent="0.25">
      <c r="A29447"/>
      <c r="B29447"/>
      <c r="C29447"/>
      <c r="E29447"/>
      <c r="F29447"/>
    </row>
    <row r="29448" spans="1:6" x14ac:dyDescent="0.25">
      <c r="A29448"/>
      <c r="B29448"/>
      <c r="C29448"/>
      <c r="E29448"/>
      <c r="F29448"/>
    </row>
    <row r="29449" spans="1:6" x14ac:dyDescent="0.25">
      <c r="A29449"/>
      <c r="B29449"/>
      <c r="C29449"/>
      <c r="E29449"/>
      <c r="F29449"/>
    </row>
    <row r="29450" spans="1:6" x14ac:dyDescent="0.25">
      <c r="A29450"/>
      <c r="B29450"/>
      <c r="C29450"/>
      <c r="E29450"/>
      <c r="F29450"/>
    </row>
    <row r="29451" spans="1:6" x14ac:dyDescent="0.25">
      <c r="A29451"/>
      <c r="B29451"/>
      <c r="C29451"/>
      <c r="E29451"/>
      <c r="F29451"/>
    </row>
    <row r="29452" spans="1:6" x14ac:dyDescent="0.25">
      <c r="A29452"/>
      <c r="B29452"/>
      <c r="C29452"/>
      <c r="E29452"/>
      <c r="F29452"/>
    </row>
    <row r="29453" spans="1:6" x14ac:dyDescent="0.25">
      <c r="A29453"/>
      <c r="B29453"/>
      <c r="C29453"/>
      <c r="E29453"/>
      <c r="F29453"/>
    </row>
    <row r="29454" spans="1:6" x14ac:dyDescent="0.25">
      <c r="A29454"/>
      <c r="B29454"/>
      <c r="C29454"/>
      <c r="E29454"/>
      <c r="F29454"/>
    </row>
    <row r="29455" spans="1:6" x14ac:dyDescent="0.25">
      <c r="A29455"/>
      <c r="B29455"/>
      <c r="C29455"/>
      <c r="E29455"/>
      <c r="F29455"/>
    </row>
    <row r="29456" spans="1:6" x14ac:dyDescent="0.25">
      <c r="A29456"/>
      <c r="B29456"/>
      <c r="C29456"/>
      <c r="E29456"/>
      <c r="F29456"/>
    </row>
    <row r="29457" spans="1:6" x14ac:dyDescent="0.25">
      <c r="A29457"/>
      <c r="B29457"/>
      <c r="C29457"/>
      <c r="E29457"/>
      <c r="F29457"/>
    </row>
    <row r="29458" spans="1:6" x14ac:dyDescent="0.25">
      <c r="A29458"/>
      <c r="B29458"/>
      <c r="C29458"/>
      <c r="E29458"/>
      <c r="F29458"/>
    </row>
    <row r="29459" spans="1:6" x14ac:dyDescent="0.25">
      <c r="A29459"/>
      <c r="B29459"/>
      <c r="C29459"/>
      <c r="E29459"/>
      <c r="F29459"/>
    </row>
    <row r="29460" spans="1:6" x14ac:dyDescent="0.25">
      <c r="A29460"/>
      <c r="B29460"/>
      <c r="C29460"/>
      <c r="E29460"/>
      <c r="F29460"/>
    </row>
    <row r="29461" spans="1:6" x14ac:dyDescent="0.25">
      <c r="A29461"/>
      <c r="B29461"/>
      <c r="C29461"/>
      <c r="E29461"/>
      <c r="F29461"/>
    </row>
    <row r="29462" spans="1:6" x14ac:dyDescent="0.25">
      <c r="A29462"/>
      <c r="B29462"/>
      <c r="C29462"/>
      <c r="E29462"/>
      <c r="F29462"/>
    </row>
    <row r="29463" spans="1:6" x14ac:dyDescent="0.25">
      <c r="A29463"/>
      <c r="B29463"/>
      <c r="C29463"/>
      <c r="E29463"/>
      <c r="F29463"/>
    </row>
    <row r="29464" spans="1:6" x14ac:dyDescent="0.25">
      <c r="A29464"/>
      <c r="B29464"/>
      <c r="C29464"/>
      <c r="E29464"/>
      <c r="F29464"/>
    </row>
    <row r="29465" spans="1:6" x14ac:dyDescent="0.25">
      <c r="A29465"/>
      <c r="B29465"/>
      <c r="C29465"/>
      <c r="E29465"/>
      <c r="F29465"/>
    </row>
    <row r="29466" spans="1:6" x14ac:dyDescent="0.25">
      <c r="A29466"/>
      <c r="B29466"/>
      <c r="C29466"/>
      <c r="E29466"/>
      <c r="F29466"/>
    </row>
    <row r="29467" spans="1:6" x14ac:dyDescent="0.25">
      <c r="A29467"/>
      <c r="B29467"/>
      <c r="C29467"/>
      <c r="E29467"/>
      <c r="F29467"/>
    </row>
    <row r="29468" spans="1:6" x14ac:dyDescent="0.25">
      <c r="A29468"/>
      <c r="B29468"/>
      <c r="C29468"/>
      <c r="E29468"/>
      <c r="F29468"/>
    </row>
    <row r="29469" spans="1:6" x14ac:dyDescent="0.25">
      <c r="A29469"/>
      <c r="B29469"/>
      <c r="C29469"/>
      <c r="E29469"/>
      <c r="F29469"/>
    </row>
    <row r="29470" spans="1:6" x14ac:dyDescent="0.25">
      <c r="A29470"/>
      <c r="B29470"/>
      <c r="C29470"/>
      <c r="E29470"/>
      <c r="F29470"/>
    </row>
    <row r="29471" spans="1:6" x14ac:dyDescent="0.25">
      <c r="A29471"/>
      <c r="B29471"/>
      <c r="C29471"/>
      <c r="E29471"/>
      <c r="F29471"/>
    </row>
    <row r="29472" spans="1:6" x14ac:dyDescent="0.25">
      <c r="A29472"/>
      <c r="B29472"/>
      <c r="C29472"/>
      <c r="E29472"/>
      <c r="F29472"/>
    </row>
    <row r="29473" spans="1:6" x14ac:dyDescent="0.25">
      <c r="A29473"/>
      <c r="B29473"/>
      <c r="C29473"/>
      <c r="E29473"/>
      <c r="F29473"/>
    </row>
    <row r="29474" spans="1:6" x14ac:dyDescent="0.25">
      <c r="A29474"/>
      <c r="B29474"/>
      <c r="C29474"/>
      <c r="E29474"/>
      <c r="F29474"/>
    </row>
    <row r="29475" spans="1:6" x14ac:dyDescent="0.25">
      <c r="A29475"/>
      <c r="B29475"/>
      <c r="C29475"/>
      <c r="E29475"/>
      <c r="F29475"/>
    </row>
    <row r="29476" spans="1:6" x14ac:dyDescent="0.25">
      <c r="A29476"/>
      <c r="B29476"/>
      <c r="C29476"/>
      <c r="E29476"/>
      <c r="F29476"/>
    </row>
    <row r="29477" spans="1:6" x14ac:dyDescent="0.25">
      <c r="A29477"/>
      <c r="B29477"/>
      <c r="C29477"/>
      <c r="E29477"/>
      <c r="F29477"/>
    </row>
    <row r="29478" spans="1:6" x14ac:dyDescent="0.25">
      <c r="A29478"/>
      <c r="B29478"/>
      <c r="C29478"/>
      <c r="E29478"/>
      <c r="F29478"/>
    </row>
    <row r="29479" spans="1:6" x14ac:dyDescent="0.25">
      <c r="A29479"/>
      <c r="B29479"/>
      <c r="C29479"/>
      <c r="E29479"/>
      <c r="F29479"/>
    </row>
    <row r="29480" spans="1:6" x14ac:dyDescent="0.25">
      <c r="A29480"/>
      <c r="B29480"/>
      <c r="C29480"/>
      <c r="E29480"/>
      <c r="F29480"/>
    </row>
    <row r="29481" spans="1:6" x14ac:dyDescent="0.25">
      <c r="A29481"/>
      <c r="B29481"/>
      <c r="C29481"/>
      <c r="E29481"/>
      <c r="F29481"/>
    </row>
    <row r="29482" spans="1:6" x14ac:dyDescent="0.25">
      <c r="A29482"/>
      <c r="B29482"/>
      <c r="C29482"/>
      <c r="E29482"/>
      <c r="F29482"/>
    </row>
    <row r="29483" spans="1:6" x14ac:dyDescent="0.25">
      <c r="A29483"/>
      <c r="B29483"/>
      <c r="C29483"/>
      <c r="E29483"/>
      <c r="F29483"/>
    </row>
    <row r="29484" spans="1:6" x14ac:dyDescent="0.25">
      <c r="A29484"/>
      <c r="B29484"/>
      <c r="C29484"/>
      <c r="E29484"/>
      <c r="F29484"/>
    </row>
    <row r="29485" spans="1:6" x14ac:dyDescent="0.25">
      <c r="A29485"/>
      <c r="B29485"/>
      <c r="C29485"/>
      <c r="E29485"/>
      <c r="F29485"/>
    </row>
    <row r="29486" spans="1:6" x14ac:dyDescent="0.25">
      <c r="A29486"/>
      <c r="B29486"/>
      <c r="C29486"/>
      <c r="E29486"/>
      <c r="F29486"/>
    </row>
    <row r="29487" spans="1:6" x14ac:dyDescent="0.25">
      <c r="A29487"/>
      <c r="B29487"/>
      <c r="C29487"/>
      <c r="E29487"/>
      <c r="F29487"/>
    </row>
    <row r="29488" spans="1:6" x14ac:dyDescent="0.25">
      <c r="A29488"/>
      <c r="B29488"/>
      <c r="C29488"/>
      <c r="E29488"/>
      <c r="F29488"/>
    </row>
    <row r="29489" spans="1:6" x14ac:dyDescent="0.25">
      <c r="A29489"/>
      <c r="B29489"/>
      <c r="C29489"/>
      <c r="E29489"/>
      <c r="F29489"/>
    </row>
    <row r="29490" spans="1:6" x14ac:dyDescent="0.25">
      <c r="A29490"/>
      <c r="B29490"/>
      <c r="C29490"/>
      <c r="E29490"/>
      <c r="F29490"/>
    </row>
    <row r="29491" spans="1:6" x14ac:dyDescent="0.25">
      <c r="A29491"/>
      <c r="B29491"/>
      <c r="C29491"/>
      <c r="E29491"/>
      <c r="F29491"/>
    </row>
    <row r="29492" spans="1:6" x14ac:dyDescent="0.25">
      <c r="A29492"/>
      <c r="B29492"/>
      <c r="C29492"/>
      <c r="E29492"/>
      <c r="F29492"/>
    </row>
    <row r="29493" spans="1:6" x14ac:dyDescent="0.25">
      <c r="A29493"/>
      <c r="B29493"/>
      <c r="C29493"/>
      <c r="E29493"/>
      <c r="F29493"/>
    </row>
    <row r="29494" spans="1:6" x14ac:dyDescent="0.25">
      <c r="A29494"/>
      <c r="B29494"/>
      <c r="C29494"/>
      <c r="E29494"/>
      <c r="F29494"/>
    </row>
    <row r="29495" spans="1:6" x14ac:dyDescent="0.25">
      <c r="A29495"/>
      <c r="B29495"/>
      <c r="C29495"/>
      <c r="E29495"/>
      <c r="F29495"/>
    </row>
    <row r="29496" spans="1:6" x14ac:dyDescent="0.25">
      <c r="A29496"/>
      <c r="B29496"/>
      <c r="C29496"/>
      <c r="E29496"/>
      <c r="F29496"/>
    </row>
    <row r="29497" spans="1:6" x14ac:dyDescent="0.25">
      <c r="A29497"/>
      <c r="B29497"/>
      <c r="C29497"/>
      <c r="E29497"/>
      <c r="F29497"/>
    </row>
    <row r="29498" spans="1:6" x14ac:dyDescent="0.25">
      <c r="A29498"/>
      <c r="B29498"/>
      <c r="C29498"/>
      <c r="E29498"/>
      <c r="F29498"/>
    </row>
    <row r="29499" spans="1:6" x14ac:dyDescent="0.25">
      <c r="A29499"/>
      <c r="B29499"/>
      <c r="C29499"/>
      <c r="E29499"/>
      <c r="F29499"/>
    </row>
    <row r="29500" spans="1:6" x14ac:dyDescent="0.25">
      <c r="A29500"/>
      <c r="B29500"/>
      <c r="C29500"/>
      <c r="E29500"/>
      <c r="F29500"/>
    </row>
    <row r="29501" spans="1:6" x14ac:dyDescent="0.25">
      <c r="A29501"/>
      <c r="B29501"/>
      <c r="C29501"/>
      <c r="E29501"/>
      <c r="F29501"/>
    </row>
    <row r="29502" spans="1:6" x14ac:dyDescent="0.25">
      <c r="A29502"/>
      <c r="B29502"/>
      <c r="C29502"/>
      <c r="E29502"/>
      <c r="F29502"/>
    </row>
    <row r="29503" spans="1:6" x14ac:dyDescent="0.25">
      <c r="A29503"/>
      <c r="B29503"/>
      <c r="C29503"/>
      <c r="E29503"/>
      <c r="F29503"/>
    </row>
    <row r="29504" spans="1:6" x14ac:dyDescent="0.25">
      <c r="A29504"/>
      <c r="B29504"/>
      <c r="C29504"/>
      <c r="E29504"/>
      <c r="F29504"/>
    </row>
    <row r="29505" spans="1:6" x14ac:dyDescent="0.25">
      <c r="A29505"/>
      <c r="B29505"/>
      <c r="C29505"/>
      <c r="E29505"/>
      <c r="F29505"/>
    </row>
    <row r="29506" spans="1:6" x14ac:dyDescent="0.25">
      <c r="A29506"/>
      <c r="B29506"/>
      <c r="C29506"/>
      <c r="E29506"/>
      <c r="F29506"/>
    </row>
    <row r="29507" spans="1:6" x14ac:dyDescent="0.25">
      <c r="A29507"/>
      <c r="B29507"/>
      <c r="C29507"/>
      <c r="E29507"/>
      <c r="F29507"/>
    </row>
    <row r="29508" spans="1:6" x14ac:dyDescent="0.25">
      <c r="A29508"/>
      <c r="B29508"/>
      <c r="C29508"/>
      <c r="E29508"/>
      <c r="F29508"/>
    </row>
    <row r="29509" spans="1:6" x14ac:dyDescent="0.25">
      <c r="A29509"/>
      <c r="B29509"/>
      <c r="C29509"/>
      <c r="E29509"/>
      <c r="F29509"/>
    </row>
    <row r="29510" spans="1:6" x14ac:dyDescent="0.25">
      <c r="A29510"/>
      <c r="B29510"/>
      <c r="C29510"/>
      <c r="E29510"/>
      <c r="F29510"/>
    </row>
    <row r="29511" spans="1:6" x14ac:dyDescent="0.25">
      <c r="A29511"/>
      <c r="B29511"/>
      <c r="C29511"/>
      <c r="E29511"/>
      <c r="F29511"/>
    </row>
    <row r="29512" spans="1:6" x14ac:dyDescent="0.25">
      <c r="A29512"/>
      <c r="B29512"/>
      <c r="C29512"/>
      <c r="E29512"/>
      <c r="F29512"/>
    </row>
    <row r="29513" spans="1:6" x14ac:dyDescent="0.25">
      <c r="A29513"/>
      <c r="B29513"/>
      <c r="C29513"/>
      <c r="E29513"/>
      <c r="F29513"/>
    </row>
    <row r="29514" spans="1:6" x14ac:dyDescent="0.25">
      <c r="A29514"/>
      <c r="B29514"/>
      <c r="C29514"/>
      <c r="E29514"/>
      <c r="F29514"/>
    </row>
    <row r="29515" spans="1:6" x14ac:dyDescent="0.25">
      <c r="A29515"/>
      <c r="B29515"/>
      <c r="C29515"/>
      <c r="E29515"/>
      <c r="F29515"/>
    </row>
    <row r="29516" spans="1:6" x14ac:dyDescent="0.25">
      <c r="A29516"/>
      <c r="B29516"/>
      <c r="C29516"/>
      <c r="E29516"/>
      <c r="F29516"/>
    </row>
    <row r="29517" spans="1:6" x14ac:dyDescent="0.25">
      <c r="A29517"/>
      <c r="B29517"/>
      <c r="C29517"/>
      <c r="E29517"/>
      <c r="F29517"/>
    </row>
    <row r="29518" spans="1:6" x14ac:dyDescent="0.25">
      <c r="A29518"/>
      <c r="B29518"/>
      <c r="C29518"/>
      <c r="E29518"/>
      <c r="F29518"/>
    </row>
    <row r="29519" spans="1:6" x14ac:dyDescent="0.25">
      <c r="A29519"/>
      <c r="B29519"/>
      <c r="C29519"/>
      <c r="E29519"/>
      <c r="F29519"/>
    </row>
    <row r="29520" spans="1:6" x14ac:dyDescent="0.25">
      <c r="A29520"/>
      <c r="B29520"/>
      <c r="C29520"/>
      <c r="E29520"/>
      <c r="F29520"/>
    </row>
    <row r="29521" spans="1:6" x14ac:dyDescent="0.25">
      <c r="A29521"/>
      <c r="B29521"/>
      <c r="C29521"/>
      <c r="E29521"/>
      <c r="F29521"/>
    </row>
    <row r="29522" spans="1:6" x14ac:dyDescent="0.25">
      <c r="A29522"/>
      <c r="B29522"/>
      <c r="C29522"/>
      <c r="E29522"/>
      <c r="F29522"/>
    </row>
    <row r="29523" spans="1:6" x14ac:dyDescent="0.25">
      <c r="A29523"/>
      <c r="B29523"/>
      <c r="C29523"/>
      <c r="E29523"/>
      <c r="F29523"/>
    </row>
    <row r="29524" spans="1:6" x14ac:dyDescent="0.25">
      <c r="A29524"/>
      <c r="B29524"/>
      <c r="C29524"/>
      <c r="E29524"/>
      <c r="F29524"/>
    </row>
    <row r="29525" spans="1:6" x14ac:dyDescent="0.25">
      <c r="A29525"/>
      <c r="B29525"/>
      <c r="C29525"/>
      <c r="E29525"/>
      <c r="F29525"/>
    </row>
    <row r="29526" spans="1:6" x14ac:dyDescent="0.25">
      <c r="A29526"/>
      <c r="B29526"/>
      <c r="C29526"/>
      <c r="E29526"/>
      <c r="F29526"/>
    </row>
    <row r="29527" spans="1:6" x14ac:dyDescent="0.25">
      <c r="A29527"/>
      <c r="B29527"/>
      <c r="C29527"/>
      <c r="E29527"/>
      <c r="F29527"/>
    </row>
    <row r="29528" spans="1:6" x14ac:dyDescent="0.25">
      <c r="A29528"/>
      <c r="B29528"/>
      <c r="C29528"/>
      <c r="E29528"/>
      <c r="F29528"/>
    </row>
    <row r="29529" spans="1:6" x14ac:dyDescent="0.25">
      <c r="A29529"/>
      <c r="B29529"/>
      <c r="C29529"/>
      <c r="E29529"/>
      <c r="F29529"/>
    </row>
    <row r="29530" spans="1:6" x14ac:dyDescent="0.25">
      <c r="A29530"/>
      <c r="B29530"/>
      <c r="C29530"/>
      <c r="E29530"/>
      <c r="F29530"/>
    </row>
    <row r="29531" spans="1:6" x14ac:dyDescent="0.25">
      <c r="A29531"/>
      <c r="B29531"/>
      <c r="C29531"/>
      <c r="E29531"/>
      <c r="F29531"/>
    </row>
    <row r="29532" spans="1:6" x14ac:dyDescent="0.25">
      <c r="A29532"/>
      <c r="B29532"/>
      <c r="C29532"/>
      <c r="E29532"/>
      <c r="F29532"/>
    </row>
    <row r="29533" spans="1:6" x14ac:dyDescent="0.25">
      <c r="A29533"/>
      <c r="B29533"/>
      <c r="C29533"/>
      <c r="E29533"/>
      <c r="F29533"/>
    </row>
    <row r="29534" spans="1:6" x14ac:dyDescent="0.25">
      <c r="A29534"/>
      <c r="B29534"/>
      <c r="C29534"/>
      <c r="E29534"/>
      <c r="F29534"/>
    </row>
    <row r="29535" spans="1:6" x14ac:dyDescent="0.25">
      <c r="A29535"/>
      <c r="B29535"/>
      <c r="C29535"/>
      <c r="E29535"/>
      <c r="F29535"/>
    </row>
    <row r="29536" spans="1:6" x14ac:dyDescent="0.25">
      <c r="A29536"/>
      <c r="B29536"/>
      <c r="C29536"/>
      <c r="E29536"/>
      <c r="F29536"/>
    </row>
    <row r="29537" spans="1:6" x14ac:dyDescent="0.25">
      <c r="A29537"/>
      <c r="B29537"/>
      <c r="C29537"/>
      <c r="E29537"/>
      <c r="F29537"/>
    </row>
    <row r="29538" spans="1:6" x14ac:dyDescent="0.25">
      <c r="A29538"/>
      <c r="B29538"/>
      <c r="C29538"/>
      <c r="E29538"/>
      <c r="F29538"/>
    </row>
    <row r="29539" spans="1:6" x14ac:dyDescent="0.25">
      <c r="A29539"/>
      <c r="B29539"/>
      <c r="C29539"/>
      <c r="E29539"/>
      <c r="F29539"/>
    </row>
    <row r="29540" spans="1:6" x14ac:dyDescent="0.25">
      <c r="A29540"/>
      <c r="B29540"/>
      <c r="C29540"/>
      <c r="E29540"/>
      <c r="F29540"/>
    </row>
    <row r="29541" spans="1:6" x14ac:dyDescent="0.25">
      <c r="A29541"/>
      <c r="B29541"/>
      <c r="C29541"/>
      <c r="E29541"/>
      <c r="F29541"/>
    </row>
    <row r="29542" spans="1:6" x14ac:dyDescent="0.25">
      <c r="A29542"/>
      <c r="B29542"/>
      <c r="C29542"/>
      <c r="E29542"/>
      <c r="F29542"/>
    </row>
    <row r="29543" spans="1:6" x14ac:dyDescent="0.25">
      <c r="A29543"/>
      <c r="B29543"/>
      <c r="C29543"/>
      <c r="E29543"/>
      <c r="F29543"/>
    </row>
    <row r="29544" spans="1:6" x14ac:dyDescent="0.25">
      <c r="A29544"/>
      <c r="B29544"/>
      <c r="C29544"/>
      <c r="E29544"/>
      <c r="F29544"/>
    </row>
    <row r="29545" spans="1:6" x14ac:dyDescent="0.25">
      <c r="A29545"/>
      <c r="B29545"/>
      <c r="C29545"/>
      <c r="E29545"/>
      <c r="F29545"/>
    </row>
    <row r="29546" spans="1:6" x14ac:dyDescent="0.25">
      <c r="A29546"/>
      <c r="B29546"/>
      <c r="C29546"/>
      <c r="E29546"/>
      <c r="F29546"/>
    </row>
    <row r="29547" spans="1:6" x14ac:dyDescent="0.25">
      <c r="A29547"/>
      <c r="B29547"/>
      <c r="C29547"/>
      <c r="E29547"/>
      <c r="F29547"/>
    </row>
    <row r="29548" spans="1:6" x14ac:dyDescent="0.25">
      <c r="A29548"/>
      <c r="B29548"/>
      <c r="C29548"/>
      <c r="E29548"/>
      <c r="F29548"/>
    </row>
    <row r="29549" spans="1:6" x14ac:dyDescent="0.25">
      <c r="A29549"/>
      <c r="B29549"/>
      <c r="C29549"/>
      <c r="E29549"/>
      <c r="F29549"/>
    </row>
    <row r="29550" spans="1:6" x14ac:dyDescent="0.25">
      <c r="A29550"/>
      <c r="B29550"/>
      <c r="C29550"/>
      <c r="E29550"/>
      <c r="F29550"/>
    </row>
    <row r="29551" spans="1:6" x14ac:dyDescent="0.25">
      <c r="A29551"/>
      <c r="B29551"/>
      <c r="C29551"/>
      <c r="E29551"/>
      <c r="F29551"/>
    </row>
    <row r="29552" spans="1:6" x14ac:dyDescent="0.25">
      <c r="A29552"/>
      <c r="B29552"/>
      <c r="C29552"/>
      <c r="E29552"/>
      <c r="F29552"/>
    </row>
    <row r="29553" spans="1:6" x14ac:dyDescent="0.25">
      <c r="A29553"/>
      <c r="B29553"/>
      <c r="C29553"/>
      <c r="E29553"/>
      <c r="F29553"/>
    </row>
    <row r="29554" spans="1:6" x14ac:dyDescent="0.25">
      <c r="A29554"/>
      <c r="B29554"/>
      <c r="C29554"/>
      <c r="E29554"/>
      <c r="F29554"/>
    </row>
    <row r="29555" spans="1:6" x14ac:dyDescent="0.25">
      <c r="A29555"/>
      <c r="B29555"/>
      <c r="C29555"/>
      <c r="E29555"/>
      <c r="F29555"/>
    </row>
    <row r="29556" spans="1:6" x14ac:dyDescent="0.25">
      <c r="A29556"/>
      <c r="B29556"/>
      <c r="C29556"/>
      <c r="E29556"/>
      <c r="F29556"/>
    </row>
    <row r="29557" spans="1:6" x14ac:dyDescent="0.25">
      <c r="A29557"/>
      <c r="B29557"/>
      <c r="C29557"/>
      <c r="E29557"/>
      <c r="F29557"/>
    </row>
    <row r="29558" spans="1:6" x14ac:dyDescent="0.25">
      <c r="A29558"/>
      <c r="B29558"/>
      <c r="C29558"/>
      <c r="E29558"/>
      <c r="F29558"/>
    </row>
    <row r="29559" spans="1:6" x14ac:dyDescent="0.25">
      <c r="A29559"/>
      <c r="B29559"/>
      <c r="C29559"/>
      <c r="E29559"/>
      <c r="F29559"/>
    </row>
    <row r="29560" spans="1:6" x14ac:dyDescent="0.25">
      <c r="A29560"/>
      <c r="B29560"/>
      <c r="C29560"/>
      <c r="E29560"/>
      <c r="F29560"/>
    </row>
    <row r="29561" spans="1:6" x14ac:dyDescent="0.25">
      <c r="A29561"/>
      <c r="B29561"/>
      <c r="C29561"/>
      <c r="E29561"/>
      <c r="F29561"/>
    </row>
    <row r="29562" spans="1:6" x14ac:dyDescent="0.25">
      <c r="A29562"/>
      <c r="B29562"/>
      <c r="C29562"/>
      <c r="E29562"/>
      <c r="F29562"/>
    </row>
    <row r="29563" spans="1:6" x14ac:dyDescent="0.25">
      <c r="A29563"/>
      <c r="B29563"/>
      <c r="C29563"/>
      <c r="E29563"/>
      <c r="F29563"/>
    </row>
    <row r="29564" spans="1:6" x14ac:dyDescent="0.25">
      <c r="A29564"/>
      <c r="B29564"/>
      <c r="C29564"/>
      <c r="E29564"/>
      <c r="F29564"/>
    </row>
    <row r="29565" spans="1:6" x14ac:dyDescent="0.25">
      <c r="A29565"/>
      <c r="B29565"/>
      <c r="C29565"/>
      <c r="E29565"/>
      <c r="F29565"/>
    </row>
    <row r="29566" spans="1:6" x14ac:dyDescent="0.25">
      <c r="A29566"/>
      <c r="B29566"/>
      <c r="C29566"/>
      <c r="E29566"/>
      <c r="F29566"/>
    </row>
    <row r="29567" spans="1:6" x14ac:dyDescent="0.25">
      <c r="A29567"/>
      <c r="B29567"/>
      <c r="C29567"/>
      <c r="E29567"/>
      <c r="F29567"/>
    </row>
    <row r="29568" spans="1:6" x14ac:dyDescent="0.25">
      <c r="A29568"/>
      <c r="B29568"/>
      <c r="C29568"/>
      <c r="E29568"/>
      <c r="F29568"/>
    </row>
    <row r="29569" spans="1:6" x14ac:dyDescent="0.25">
      <c r="A29569"/>
      <c r="B29569"/>
      <c r="C29569"/>
      <c r="E29569"/>
      <c r="F29569"/>
    </row>
    <row r="29570" spans="1:6" x14ac:dyDescent="0.25">
      <c r="A29570"/>
      <c r="B29570"/>
      <c r="C29570"/>
      <c r="E29570"/>
      <c r="F29570"/>
    </row>
    <row r="29571" spans="1:6" x14ac:dyDescent="0.25">
      <c r="A29571"/>
      <c r="B29571"/>
      <c r="C29571"/>
      <c r="E29571"/>
      <c r="F29571"/>
    </row>
    <row r="29572" spans="1:6" x14ac:dyDescent="0.25">
      <c r="A29572"/>
      <c r="B29572"/>
      <c r="C29572"/>
      <c r="E29572"/>
      <c r="F29572"/>
    </row>
    <row r="29573" spans="1:6" x14ac:dyDescent="0.25">
      <c r="A29573"/>
      <c r="B29573"/>
      <c r="C29573"/>
      <c r="E29573"/>
      <c r="F29573"/>
    </row>
    <row r="29574" spans="1:6" x14ac:dyDescent="0.25">
      <c r="A29574"/>
      <c r="B29574"/>
      <c r="C29574"/>
      <c r="E29574"/>
      <c r="F29574"/>
    </row>
    <row r="29575" spans="1:6" x14ac:dyDescent="0.25">
      <c r="A29575"/>
      <c r="B29575"/>
      <c r="C29575"/>
      <c r="E29575"/>
      <c r="F29575"/>
    </row>
    <row r="29576" spans="1:6" x14ac:dyDescent="0.25">
      <c r="A29576"/>
      <c r="B29576"/>
      <c r="C29576"/>
      <c r="E29576"/>
      <c r="F29576"/>
    </row>
    <row r="29577" spans="1:6" x14ac:dyDescent="0.25">
      <c r="A29577"/>
      <c r="B29577"/>
      <c r="C29577"/>
      <c r="E29577"/>
      <c r="F29577"/>
    </row>
    <row r="29578" spans="1:6" x14ac:dyDescent="0.25">
      <c r="A29578"/>
      <c r="B29578"/>
      <c r="C29578"/>
      <c r="E29578"/>
      <c r="F29578"/>
    </row>
    <row r="29579" spans="1:6" x14ac:dyDescent="0.25">
      <c r="A29579"/>
      <c r="B29579"/>
      <c r="C29579"/>
      <c r="E29579"/>
      <c r="F29579"/>
    </row>
    <row r="29580" spans="1:6" x14ac:dyDescent="0.25">
      <c r="A29580"/>
      <c r="B29580"/>
      <c r="C29580"/>
      <c r="E29580"/>
      <c r="F29580"/>
    </row>
    <row r="29581" spans="1:6" x14ac:dyDescent="0.25">
      <c r="A29581"/>
      <c r="B29581"/>
      <c r="C29581"/>
      <c r="E29581"/>
      <c r="F29581"/>
    </row>
    <row r="29582" spans="1:6" x14ac:dyDescent="0.25">
      <c r="A29582"/>
      <c r="B29582"/>
      <c r="C29582"/>
      <c r="E29582"/>
      <c r="F29582"/>
    </row>
    <row r="29583" spans="1:6" x14ac:dyDescent="0.25">
      <c r="A29583"/>
      <c r="B29583"/>
      <c r="C29583"/>
      <c r="E29583"/>
      <c r="F29583"/>
    </row>
    <row r="29584" spans="1:6" x14ac:dyDescent="0.25">
      <c r="A29584"/>
      <c r="B29584"/>
      <c r="C29584"/>
      <c r="E29584"/>
      <c r="F29584"/>
    </row>
    <row r="29585" spans="1:6" x14ac:dyDescent="0.25">
      <c r="A29585"/>
      <c r="B29585"/>
      <c r="C29585"/>
      <c r="E29585"/>
      <c r="F29585"/>
    </row>
    <row r="29586" spans="1:6" x14ac:dyDescent="0.25">
      <c r="A29586"/>
      <c r="B29586"/>
      <c r="C29586"/>
      <c r="E29586"/>
      <c r="F29586"/>
    </row>
    <row r="29587" spans="1:6" x14ac:dyDescent="0.25">
      <c r="A29587"/>
      <c r="B29587"/>
      <c r="C29587"/>
      <c r="E29587"/>
      <c r="F29587"/>
    </row>
    <row r="29588" spans="1:6" x14ac:dyDescent="0.25">
      <c r="A29588"/>
      <c r="B29588"/>
      <c r="C29588"/>
      <c r="E29588"/>
      <c r="F29588"/>
    </row>
    <row r="29589" spans="1:6" x14ac:dyDescent="0.25">
      <c r="A29589"/>
      <c r="B29589"/>
      <c r="C29589"/>
      <c r="E29589"/>
      <c r="F29589"/>
    </row>
    <row r="29590" spans="1:6" x14ac:dyDescent="0.25">
      <c r="A29590"/>
      <c r="B29590"/>
      <c r="C29590"/>
      <c r="E29590"/>
      <c r="F29590"/>
    </row>
    <row r="29591" spans="1:6" x14ac:dyDescent="0.25">
      <c r="A29591"/>
      <c r="B29591"/>
      <c r="C29591"/>
      <c r="E29591"/>
      <c r="F29591"/>
    </row>
    <row r="29592" spans="1:6" x14ac:dyDescent="0.25">
      <c r="A29592"/>
      <c r="B29592"/>
      <c r="C29592"/>
      <c r="E29592"/>
      <c r="F29592"/>
    </row>
    <row r="29593" spans="1:6" x14ac:dyDescent="0.25">
      <c r="A29593"/>
      <c r="B29593"/>
      <c r="C29593"/>
      <c r="E29593"/>
      <c r="F29593"/>
    </row>
    <row r="29594" spans="1:6" x14ac:dyDescent="0.25">
      <c r="A29594"/>
      <c r="B29594"/>
      <c r="C29594"/>
      <c r="E29594"/>
      <c r="F29594"/>
    </row>
    <row r="29595" spans="1:6" x14ac:dyDescent="0.25">
      <c r="A29595"/>
      <c r="B29595"/>
      <c r="C29595"/>
      <c r="E29595"/>
      <c r="F29595"/>
    </row>
    <row r="29596" spans="1:6" x14ac:dyDescent="0.25">
      <c r="A29596"/>
      <c r="B29596"/>
      <c r="C29596"/>
      <c r="E29596"/>
      <c r="F29596"/>
    </row>
    <row r="29597" spans="1:6" x14ac:dyDescent="0.25">
      <c r="A29597"/>
      <c r="B29597"/>
      <c r="C29597"/>
      <c r="E29597"/>
      <c r="F29597"/>
    </row>
    <row r="29598" spans="1:6" x14ac:dyDescent="0.25">
      <c r="A29598"/>
      <c r="B29598"/>
      <c r="C29598"/>
      <c r="E29598"/>
      <c r="F29598"/>
    </row>
    <row r="29599" spans="1:6" x14ac:dyDescent="0.25">
      <c r="A29599"/>
      <c r="B29599"/>
      <c r="C29599"/>
      <c r="E29599"/>
      <c r="F29599"/>
    </row>
    <row r="29600" spans="1:6" x14ac:dyDescent="0.25">
      <c r="A29600"/>
      <c r="B29600"/>
      <c r="C29600"/>
      <c r="E29600"/>
      <c r="F29600"/>
    </row>
    <row r="29601" spans="1:6" x14ac:dyDescent="0.25">
      <c r="A29601"/>
      <c r="B29601"/>
      <c r="C29601"/>
      <c r="E29601"/>
      <c r="F29601"/>
    </row>
    <row r="29602" spans="1:6" x14ac:dyDescent="0.25">
      <c r="A29602"/>
      <c r="B29602"/>
      <c r="C29602"/>
      <c r="E29602"/>
      <c r="F29602"/>
    </row>
    <row r="29603" spans="1:6" x14ac:dyDescent="0.25">
      <c r="A29603"/>
      <c r="B29603"/>
      <c r="C29603"/>
      <c r="E29603"/>
      <c r="F29603"/>
    </row>
    <row r="29604" spans="1:6" x14ac:dyDescent="0.25">
      <c r="A29604"/>
      <c r="B29604"/>
      <c r="C29604"/>
      <c r="E29604"/>
      <c r="F29604"/>
    </row>
    <row r="29605" spans="1:6" x14ac:dyDescent="0.25">
      <c r="A29605"/>
      <c r="B29605"/>
      <c r="C29605"/>
      <c r="E29605"/>
      <c r="F29605"/>
    </row>
    <row r="29606" spans="1:6" x14ac:dyDescent="0.25">
      <c r="A29606"/>
      <c r="B29606"/>
      <c r="C29606"/>
      <c r="E29606"/>
      <c r="F29606"/>
    </row>
    <row r="29607" spans="1:6" x14ac:dyDescent="0.25">
      <c r="A29607"/>
      <c r="B29607"/>
      <c r="C29607"/>
      <c r="E29607"/>
      <c r="F29607"/>
    </row>
    <row r="29608" spans="1:6" x14ac:dyDescent="0.25">
      <c r="A29608"/>
      <c r="B29608"/>
      <c r="C29608"/>
      <c r="E29608"/>
      <c r="F29608"/>
    </row>
    <row r="29609" spans="1:6" x14ac:dyDescent="0.25">
      <c r="A29609"/>
      <c r="B29609"/>
      <c r="C29609"/>
      <c r="E29609"/>
      <c r="F29609"/>
    </row>
    <row r="29610" spans="1:6" x14ac:dyDescent="0.25">
      <c r="A29610"/>
      <c r="B29610"/>
      <c r="C29610"/>
      <c r="E29610"/>
      <c r="F29610"/>
    </row>
    <row r="29611" spans="1:6" x14ac:dyDescent="0.25">
      <c r="A29611"/>
      <c r="B29611"/>
      <c r="C29611"/>
      <c r="E29611"/>
      <c r="F29611"/>
    </row>
    <row r="29612" spans="1:6" x14ac:dyDescent="0.25">
      <c r="A29612"/>
      <c r="B29612"/>
      <c r="C29612"/>
      <c r="E29612"/>
      <c r="F29612"/>
    </row>
    <row r="29613" spans="1:6" x14ac:dyDescent="0.25">
      <c r="A29613"/>
      <c r="B29613"/>
      <c r="C29613"/>
      <c r="E29613"/>
      <c r="F29613"/>
    </row>
    <row r="29614" spans="1:6" x14ac:dyDescent="0.25">
      <c r="A29614"/>
      <c r="B29614"/>
      <c r="C29614"/>
      <c r="E29614"/>
      <c r="F29614"/>
    </row>
    <row r="29615" spans="1:6" x14ac:dyDescent="0.25">
      <c r="A29615"/>
      <c r="B29615"/>
      <c r="C29615"/>
      <c r="E29615"/>
      <c r="F29615"/>
    </row>
    <row r="29616" spans="1:6" x14ac:dyDescent="0.25">
      <c r="A29616"/>
      <c r="B29616"/>
      <c r="C29616"/>
      <c r="E29616"/>
      <c r="F29616"/>
    </row>
    <row r="29617" spans="1:6" x14ac:dyDescent="0.25">
      <c r="A29617"/>
      <c r="B29617"/>
      <c r="C29617"/>
      <c r="E29617"/>
      <c r="F29617"/>
    </row>
    <row r="29618" spans="1:6" x14ac:dyDescent="0.25">
      <c r="A29618"/>
      <c r="B29618"/>
      <c r="C29618"/>
      <c r="E29618"/>
      <c r="F29618"/>
    </row>
    <row r="29619" spans="1:6" x14ac:dyDescent="0.25">
      <c r="A29619"/>
      <c r="B29619"/>
      <c r="C29619"/>
      <c r="E29619"/>
      <c r="F29619"/>
    </row>
    <row r="29620" spans="1:6" x14ac:dyDescent="0.25">
      <c r="A29620"/>
      <c r="B29620"/>
      <c r="C29620"/>
      <c r="E29620"/>
      <c r="F29620"/>
    </row>
    <row r="29621" spans="1:6" x14ac:dyDescent="0.25">
      <c r="A29621"/>
      <c r="B29621"/>
      <c r="C29621"/>
      <c r="E29621"/>
      <c r="F29621"/>
    </row>
    <row r="29622" spans="1:6" x14ac:dyDescent="0.25">
      <c r="A29622"/>
      <c r="B29622"/>
      <c r="C29622"/>
      <c r="E29622"/>
      <c r="F29622"/>
    </row>
    <row r="29623" spans="1:6" x14ac:dyDescent="0.25">
      <c r="A29623"/>
      <c r="B29623"/>
      <c r="C29623"/>
      <c r="E29623"/>
      <c r="F29623"/>
    </row>
    <row r="29624" spans="1:6" x14ac:dyDescent="0.25">
      <c r="A29624"/>
      <c r="B29624"/>
      <c r="C29624"/>
      <c r="E29624"/>
      <c r="F29624"/>
    </row>
    <row r="29625" spans="1:6" x14ac:dyDescent="0.25">
      <c r="A29625"/>
      <c r="B29625"/>
      <c r="C29625"/>
      <c r="E29625"/>
      <c r="F29625"/>
    </row>
    <row r="29626" spans="1:6" x14ac:dyDescent="0.25">
      <c r="A29626"/>
      <c r="B29626"/>
      <c r="C29626"/>
      <c r="E29626"/>
      <c r="F29626"/>
    </row>
    <row r="29627" spans="1:6" x14ac:dyDescent="0.25">
      <c r="A29627"/>
      <c r="B29627"/>
      <c r="C29627"/>
      <c r="E29627"/>
      <c r="F29627"/>
    </row>
    <row r="29628" spans="1:6" x14ac:dyDescent="0.25">
      <c r="A29628"/>
      <c r="B29628"/>
      <c r="C29628"/>
      <c r="E29628"/>
      <c r="F29628"/>
    </row>
    <row r="29629" spans="1:6" x14ac:dyDescent="0.25">
      <c r="A29629"/>
      <c r="B29629"/>
      <c r="C29629"/>
      <c r="E29629"/>
      <c r="F29629"/>
    </row>
    <row r="29630" spans="1:6" x14ac:dyDescent="0.25">
      <c r="A29630"/>
      <c r="B29630"/>
      <c r="C29630"/>
      <c r="E29630"/>
      <c r="F29630"/>
    </row>
    <row r="29631" spans="1:6" x14ac:dyDescent="0.25">
      <c r="A29631"/>
      <c r="B29631"/>
      <c r="C29631"/>
      <c r="E29631"/>
      <c r="F29631"/>
    </row>
    <row r="29632" spans="1:6" x14ac:dyDescent="0.25">
      <c r="A29632"/>
      <c r="B29632"/>
      <c r="C29632"/>
      <c r="E29632"/>
      <c r="F29632"/>
    </row>
    <row r="29633" spans="1:6" x14ac:dyDescent="0.25">
      <c r="A29633"/>
      <c r="B29633"/>
      <c r="C29633"/>
      <c r="E29633"/>
      <c r="F29633"/>
    </row>
    <row r="29634" spans="1:6" x14ac:dyDescent="0.25">
      <c r="A29634"/>
      <c r="B29634"/>
      <c r="C29634"/>
      <c r="E29634"/>
      <c r="F29634"/>
    </row>
    <row r="29635" spans="1:6" x14ac:dyDescent="0.25">
      <c r="A29635"/>
      <c r="B29635"/>
      <c r="C29635"/>
      <c r="E29635"/>
      <c r="F29635"/>
    </row>
    <row r="29636" spans="1:6" x14ac:dyDescent="0.25">
      <c r="A29636"/>
      <c r="B29636"/>
      <c r="C29636"/>
      <c r="E29636"/>
      <c r="F29636"/>
    </row>
    <row r="29637" spans="1:6" x14ac:dyDescent="0.25">
      <c r="A29637"/>
      <c r="B29637"/>
      <c r="C29637"/>
      <c r="E29637"/>
      <c r="F29637"/>
    </row>
    <row r="29638" spans="1:6" x14ac:dyDescent="0.25">
      <c r="A29638"/>
      <c r="B29638"/>
      <c r="C29638"/>
      <c r="E29638"/>
      <c r="F29638"/>
    </row>
    <row r="29639" spans="1:6" x14ac:dyDescent="0.25">
      <c r="A29639"/>
      <c r="B29639"/>
      <c r="C29639"/>
      <c r="E29639"/>
      <c r="F29639"/>
    </row>
    <row r="29640" spans="1:6" x14ac:dyDescent="0.25">
      <c r="A29640"/>
      <c r="B29640"/>
      <c r="C29640"/>
      <c r="E29640"/>
      <c r="F29640"/>
    </row>
    <row r="29641" spans="1:6" x14ac:dyDescent="0.25">
      <c r="A29641"/>
      <c r="B29641"/>
      <c r="C29641"/>
      <c r="E29641"/>
      <c r="F29641"/>
    </row>
    <row r="29642" spans="1:6" x14ac:dyDescent="0.25">
      <c r="A29642"/>
      <c r="B29642"/>
      <c r="C29642"/>
      <c r="E29642"/>
      <c r="F29642"/>
    </row>
    <row r="29643" spans="1:6" x14ac:dyDescent="0.25">
      <c r="A29643"/>
      <c r="B29643"/>
      <c r="C29643"/>
      <c r="E29643"/>
      <c r="F29643"/>
    </row>
    <row r="29644" spans="1:6" x14ac:dyDescent="0.25">
      <c r="A29644"/>
      <c r="B29644"/>
      <c r="C29644"/>
      <c r="E29644"/>
      <c r="F29644"/>
    </row>
    <row r="29645" spans="1:6" x14ac:dyDescent="0.25">
      <c r="A29645"/>
      <c r="B29645"/>
      <c r="C29645"/>
      <c r="E29645"/>
      <c r="F29645"/>
    </row>
    <row r="29646" spans="1:6" x14ac:dyDescent="0.25">
      <c r="A29646"/>
      <c r="B29646"/>
      <c r="C29646"/>
      <c r="E29646"/>
      <c r="F29646"/>
    </row>
    <row r="29647" spans="1:6" x14ac:dyDescent="0.25">
      <c r="A29647"/>
      <c r="B29647"/>
      <c r="C29647"/>
      <c r="E29647"/>
      <c r="F29647"/>
    </row>
    <row r="29648" spans="1:6" x14ac:dyDescent="0.25">
      <c r="A29648"/>
      <c r="B29648"/>
      <c r="C29648"/>
      <c r="E29648"/>
      <c r="F29648"/>
    </row>
    <row r="29649" spans="1:6" x14ac:dyDescent="0.25">
      <c r="A29649"/>
      <c r="B29649"/>
      <c r="C29649"/>
      <c r="E29649"/>
      <c r="F29649"/>
    </row>
    <row r="29650" spans="1:6" x14ac:dyDescent="0.25">
      <c r="A29650"/>
      <c r="B29650"/>
      <c r="C29650"/>
      <c r="E29650"/>
      <c r="F29650"/>
    </row>
    <row r="29651" spans="1:6" x14ac:dyDescent="0.25">
      <c r="A29651"/>
      <c r="B29651"/>
      <c r="C29651"/>
      <c r="E29651"/>
      <c r="F29651"/>
    </row>
    <row r="29652" spans="1:6" x14ac:dyDescent="0.25">
      <c r="A29652"/>
      <c r="B29652"/>
      <c r="C29652"/>
      <c r="E29652"/>
      <c r="F29652"/>
    </row>
    <row r="29653" spans="1:6" x14ac:dyDescent="0.25">
      <c r="A29653"/>
      <c r="B29653"/>
      <c r="C29653"/>
      <c r="E29653"/>
      <c r="F29653"/>
    </row>
    <row r="29654" spans="1:6" x14ac:dyDescent="0.25">
      <c r="A29654"/>
      <c r="B29654"/>
      <c r="C29654"/>
      <c r="E29654"/>
      <c r="F29654"/>
    </row>
    <row r="29655" spans="1:6" x14ac:dyDescent="0.25">
      <c r="A29655"/>
      <c r="B29655"/>
      <c r="C29655"/>
      <c r="E29655"/>
      <c r="F29655"/>
    </row>
    <row r="29656" spans="1:6" x14ac:dyDescent="0.25">
      <c r="A29656"/>
      <c r="B29656"/>
      <c r="C29656"/>
      <c r="E29656"/>
      <c r="F29656"/>
    </row>
    <row r="29657" spans="1:6" x14ac:dyDescent="0.25">
      <c r="A29657"/>
      <c r="B29657"/>
      <c r="C29657"/>
      <c r="E29657"/>
      <c r="F29657"/>
    </row>
    <row r="29658" spans="1:6" x14ac:dyDescent="0.25">
      <c r="A29658"/>
      <c r="B29658"/>
      <c r="C29658"/>
      <c r="E29658"/>
      <c r="F29658"/>
    </row>
    <row r="29659" spans="1:6" x14ac:dyDescent="0.25">
      <c r="A29659"/>
      <c r="B29659"/>
      <c r="C29659"/>
      <c r="E29659"/>
      <c r="F29659"/>
    </row>
    <row r="29660" spans="1:6" x14ac:dyDescent="0.25">
      <c r="A29660"/>
      <c r="B29660"/>
      <c r="C29660"/>
      <c r="E29660"/>
      <c r="F29660"/>
    </row>
    <row r="29661" spans="1:6" x14ac:dyDescent="0.25">
      <c r="A29661"/>
      <c r="B29661"/>
      <c r="C29661"/>
      <c r="E29661"/>
      <c r="F29661"/>
    </row>
    <row r="29662" spans="1:6" x14ac:dyDescent="0.25">
      <c r="A29662"/>
      <c r="B29662"/>
      <c r="C29662"/>
      <c r="E29662"/>
      <c r="F29662"/>
    </row>
    <row r="29663" spans="1:6" x14ac:dyDescent="0.25">
      <c r="A29663"/>
      <c r="B29663"/>
      <c r="C29663"/>
      <c r="E29663"/>
      <c r="F29663"/>
    </row>
    <row r="29664" spans="1:6" x14ac:dyDescent="0.25">
      <c r="A29664"/>
      <c r="B29664"/>
      <c r="C29664"/>
      <c r="E29664"/>
      <c r="F29664"/>
    </row>
    <row r="29665" spans="1:6" x14ac:dyDescent="0.25">
      <c r="A29665"/>
      <c r="B29665"/>
      <c r="C29665"/>
      <c r="E29665"/>
      <c r="F29665"/>
    </row>
    <row r="29666" spans="1:6" x14ac:dyDescent="0.25">
      <c r="A29666"/>
      <c r="B29666"/>
      <c r="C29666"/>
      <c r="E29666"/>
      <c r="F29666"/>
    </row>
    <row r="29667" spans="1:6" x14ac:dyDescent="0.25">
      <c r="A29667"/>
      <c r="B29667"/>
      <c r="C29667"/>
      <c r="E29667"/>
      <c r="F29667"/>
    </row>
    <row r="29668" spans="1:6" x14ac:dyDescent="0.25">
      <c r="A29668"/>
      <c r="B29668"/>
      <c r="C29668"/>
      <c r="E29668"/>
      <c r="F29668"/>
    </row>
    <row r="29669" spans="1:6" x14ac:dyDescent="0.25">
      <c r="A29669"/>
      <c r="B29669"/>
      <c r="C29669"/>
      <c r="E29669"/>
      <c r="F29669"/>
    </row>
    <row r="29670" spans="1:6" x14ac:dyDescent="0.25">
      <c r="A29670"/>
      <c r="B29670"/>
      <c r="C29670"/>
      <c r="E29670"/>
      <c r="F29670"/>
    </row>
    <row r="29671" spans="1:6" x14ac:dyDescent="0.25">
      <c r="A29671"/>
      <c r="B29671"/>
      <c r="C29671"/>
      <c r="E29671"/>
      <c r="F29671"/>
    </row>
    <row r="29672" spans="1:6" x14ac:dyDescent="0.25">
      <c r="A29672"/>
      <c r="B29672"/>
      <c r="C29672"/>
      <c r="E29672"/>
      <c r="F29672"/>
    </row>
    <row r="29673" spans="1:6" x14ac:dyDescent="0.25">
      <c r="A29673"/>
      <c r="B29673"/>
      <c r="C29673"/>
      <c r="E29673"/>
      <c r="F29673"/>
    </row>
    <row r="29674" spans="1:6" x14ac:dyDescent="0.25">
      <c r="A29674"/>
      <c r="B29674"/>
      <c r="C29674"/>
      <c r="E29674"/>
      <c r="F29674"/>
    </row>
    <row r="29675" spans="1:6" x14ac:dyDescent="0.25">
      <c r="A29675"/>
      <c r="B29675"/>
      <c r="C29675"/>
      <c r="E29675"/>
      <c r="F29675"/>
    </row>
    <row r="29676" spans="1:6" x14ac:dyDescent="0.25">
      <c r="A29676"/>
      <c r="B29676"/>
      <c r="C29676"/>
      <c r="E29676"/>
      <c r="F29676"/>
    </row>
    <row r="29677" spans="1:6" x14ac:dyDescent="0.25">
      <c r="A29677"/>
      <c r="B29677"/>
      <c r="C29677"/>
      <c r="E29677"/>
      <c r="F29677"/>
    </row>
    <row r="29678" spans="1:6" x14ac:dyDescent="0.25">
      <c r="A29678"/>
      <c r="B29678"/>
      <c r="C29678"/>
      <c r="E29678"/>
      <c r="F29678"/>
    </row>
    <row r="29679" spans="1:6" x14ac:dyDescent="0.25">
      <c r="A29679"/>
      <c r="B29679"/>
      <c r="C29679"/>
      <c r="E29679"/>
      <c r="F29679"/>
    </row>
    <row r="29680" spans="1:6" x14ac:dyDescent="0.25">
      <c r="A29680"/>
      <c r="B29680"/>
      <c r="C29680"/>
      <c r="E29680"/>
      <c r="F29680"/>
    </row>
    <row r="29681" spans="1:6" x14ac:dyDescent="0.25">
      <c r="A29681"/>
      <c r="B29681"/>
      <c r="C29681"/>
      <c r="E29681"/>
      <c r="F29681"/>
    </row>
    <row r="29682" spans="1:6" x14ac:dyDescent="0.25">
      <c r="A29682"/>
      <c r="B29682"/>
      <c r="C29682"/>
      <c r="E29682"/>
      <c r="F29682"/>
    </row>
    <row r="29683" spans="1:6" x14ac:dyDescent="0.25">
      <c r="A29683"/>
      <c r="B29683"/>
      <c r="C29683"/>
      <c r="E29683"/>
      <c r="F29683"/>
    </row>
    <row r="29684" spans="1:6" x14ac:dyDescent="0.25">
      <c r="A29684"/>
      <c r="B29684"/>
      <c r="C29684"/>
      <c r="E29684"/>
      <c r="F29684"/>
    </row>
    <row r="29685" spans="1:6" x14ac:dyDescent="0.25">
      <c r="A29685"/>
      <c r="B29685"/>
      <c r="C29685"/>
      <c r="E29685"/>
      <c r="F29685"/>
    </row>
    <row r="29686" spans="1:6" x14ac:dyDescent="0.25">
      <c r="A29686"/>
      <c r="B29686"/>
      <c r="C29686"/>
      <c r="E29686"/>
      <c r="F29686"/>
    </row>
    <row r="29687" spans="1:6" x14ac:dyDescent="0.25">
      <c r="A29687"/>
      <c r="B29687"/>
      <c r="C29687"/>
      <c r="E29687"/>
      <c r="F29687"/>
    </row>
    <row r="29688" spans="1:6" x14ac:dyDescent="0.25">
      <c r="A29688"/>
      <c r="B29688"/>
      <c r="C29688"/>
      <c r="E29688"/>
      <c r="F29688"/>
    </row>
    <row r="29689" spans="1:6" x14ac:dyDescent="0.25">
      <c r="A29689"/>
      <c r="B29689"/>
      <c r="C29689"/>
      <c r="E29689"/>
      <c r="F29689"/>
    </row>
    <row r="29690" spans="1:6" x14ac:dyDescent="0.25">
      <c r="A29690"/>
      <c r="B29690"/>
      <c r="C29690"/>
      <c r="E29690"/>
      <c r="F29690"/>
    </row>
    <row r="29691" spans="1:6" x14ac:dyDescent="0.25">
      <c r="A29691"/>
      <c r="B29691"/>
      <c r="C29691"/>
      <c r="E29691"/>
      <c r="F29691"/>
    </row>
    <row r="29692" spans="1:6" x14ac:dyDescent="0.25">
      <c r="A29692"/>
      <c r="B29692"/>
      <c r="C29692"/>
      <c r="E29692"/>
      <c r="F29692"/>
    </row>
    <row r="29693" spans="1:6" x14ac:dyDescent="0.25">
      <c r="A29693"/>
      <c r="B29693"/>
      <c r="C29693"/>
      <c r="E29693"/>
      <c r="F29693"/>
    </row>
    <row r="29694" spans="1:6" x14ac:dyDescent="0.25">
      <c r="A29694"/>
      <c r="B29694"/>
      <c r="C29694"/>
      <c r="E29694"/>
      <c r="F29694"/>
    </row>
    <row r="29695" spans="1:6" x14ac:dyDescent="0.25">
      <c r="A29695"/>
      <c r="B29695"/>
      <c r="C29695"/>
      <c r="E29695"/>
      <c r="F29695"/>
    </row>
    <row r="29696" spans="1:6" x14ac:dyDescent="0.25">
      <c r="A29696"/>
      <c r="B29696"/>
      <c r="C29696"/>
      <c r="E29696"/>
      <c r="F29696"/>
    </row>
    <row r="29697" spans="1:6" x14ac:dyDescent="0.25">
      <c r="A29697"/>
      <c r="B29697"/>
      <c r="C29697"/>
      <c r="E29697"/>
      <c r="F29697"/>
    </row>
    <row r="29698" spans="1:6" x14ac:dyDescent="0.25">
      <c r="A29698"/>
      <c r="B29698"/>
      <c r="C29698"/>
      <c r="E29698"/>
      <c r="F29698"/>
    </row>
    <row r="29699" spans="1:6" x14ac:dyDescent="0.25">
      <c r="A29699"/>
      <c r="B29699"/>
      <c r="C29699"/>
      <c r="E29699"/>
      <c r="F29699"/>
    </row>
    <row r="29700" spans="1:6" x14ac:dyDescent="0.25">
      <c r="A29700"/>
      <c r="B29700"/>
      <c r="C29700"/>
      <c r="E29700"/>
      <c r="F29700"/>
    </row>
    <row r="29701" spans="1:6" x14ac:dyDescent="0.25">
      <c r="A29701"/>
      <c r="B29701"/>
      <c r="C29701"/>
      <c r="E29701"/>
      <c r="F29701"/>
    </row>
    <row r="29702" spans="1:6" x14ac:dyDescent="0.25">
      <c r="A29702"/>
      <c r="B29702"/>
      <c r="C29702"/>
      <c r="E29702"/>
      <c r="F29702"/>
    </row>
    <row r="29703" spans="1:6" x14ac:dyDescent="0.25">
      <c r="A29703"/>
      <c r="B29703"/>
      <c r="C29703"/>
      <c r="E29703"/>
      <c r="F29703"/>
    </row>
    <row r="29704" spans="1:6" x14ac:dyDescent="0.25">
      <c r="A29704"/>
      <c r="B29704"/>
      <c r="C29704"/>
      <c r="E29704"/>
      <c r="F29704"/>
    </row>
    <row r="29705" spans="1:6" x14ac:dyDescent="0.25">
      <c r="A29705"/>
      <c r="B29705"/>
      <c r="C29705"/>
      <c r="E29705"/>
      <c r="F29705"/>
    </row>
    <row r="29706" spans="1:6" x14ac:dyDescent="0.25">
      <c r="A29706"/>
      <c r="B29706"/>
      <c r="C29706"/>
      <c r="E29706"/>
      <c r="F29706"/>
    </row>
    <row r="29707" spans="1:6" x14ac:dyDescent="0.25">
      <c r="A29707"/>
      <c r="B29707"/>
      <c r="C29707"/>
      <c r="E29707"/>
      <c r="F29707"/>
    </row>
    <row r="29708" spans="1:6" x14ac:dyDescent="0.25">
      <c r="A29708"/>
      <c r="B29708"/>
      <c r="C29708"/>
      <c r="E29708"/>
      <c r="F29708"/>
    </row>
    <row r="29709" spans="1:6" x14ac:dyDescent="0.25">
      <c r="A29709"/>
      <c r="B29709"/>
      <c r="C29709"/>
      <c r="E29709"/>
      <c r="F29709"/>
    </row>
    <row r="29710" spans="1:6" x14ac:dyDescent="0.25">
      <c r="A29710"/>
      <c r="B29710"/>
      <c r="C29710"/>
      <c r="E29710"/>
      <c r="F29710"/>
    </row>
    <row r="29711" spans="1:6" x14ac:dyDescent="0.25">
      <c r="A29711"/>
      <c r="B29711"/>
      <c r="C29711"/>
      <c r="E29711"/>
      <c r="F29711"/>
    </row>
    <row r="29712" spans="1:6" x14ac:dyDescent="0.25">
      <c r="A29712"/>
      <c r="B29712"/>
      <c r="C29712"/>
      <c r="E29712"/>
      <c r="F29712"/>
    </row>
    <row r="29713" spans="1:6" x14ac:dyDescent="0.25">
      <c r="A29713"/>
      <c r="B29713"/>
      <c r="C29713"/>
      <c r="E29713"/>
      <c r="F29713"/>
    </row>
    <row r="29714" spans="1:6" x14ac:dyDescent="0.25">
      <c r="A29714"/>
      <c r="B29714"/>
      <c r="C29714"/>
      <c r="E29714"/>
      <c r="F29714"/>
    </row>
    <row r="29715" spans="1:6" x14ac:dyDescent="0.25">
      <c r="A29715"/>
      <c r="B29715"/>
      <c r="C29715"/>
      <c r="E29715"/>
      <c r="F29715"/>
    </row>
    <row r="29716" spans="1:6" x14ac:dyDescent="0.25">
      <c r="A29716"/>
      <c r="B29716"/>
      <c r="C29716"/>
      <c r="E29716"/>
      <c r="F29716"/>
    </row>
    <row r="29717" spans="1:6" x14ac:dyDescent="0.25">
      <c r="A29717"/>
      <c r="B29717"/>
      <c r="C29717"/>
      <c r="E29717"/>
      <c r="F29717"/>
    </row>
    <row r="29718" spans="1:6" x14ac:dyDescent="0.25">
      <c r="A29718"/>
      <c r="B29718"/>
      <c r="C29718"/>
      <c r="E29718"/>
      <c r="F29718"/>
    </row>
    <row r="29719" spans="1:6" x14ac:dyDescent="0.25">
      <c r="A29719"/>
      <c r="B29719"/>
      <c r="C29719"/>
      <c r="E29719"/>
      <c r="F29719"/>
    </row>
    <row r="29720" spans="1:6" x14ac:dyDescent="0.25">
      <c r="A29720"/>
      <c r="B29720"/>
      <c r="C29720"/>
      <c r="E29720"/>
      <c r="F29720"/>
    </row>
    <row r="29721" spans="1:6" x14ac:dyDescent="0.25">
      <c r="A29721"/>
      <c r="B29721"/>
      <c r="C29721"/>
      <c r="E29721"/>
      <c r="F29721"/>
    </row>
    <row r="29722" spans="1:6" x14ac:dyDescent="0.25">
      <c r="A29722"/>
      <c r="B29722"/>
      <c r="C29722"/>
      <c r="E29722"/>
      <c r="F29722"/>
    </row>
    <row r="29723" spans="1:6" x14ac:dyDescent="0.25">
      <c r="A29723"/>
      <c r="B29723"/>
      <c r="C29723"/>
      <c r="E29723"/>
      <c r="F29723"/>
    </row>
    <row r="29724" spans="1:6" x14ac:dyDescent="0.25">
      <c r="A29724"/>
      <c r="B29724"/>
      <c r="C29724"/>
      <c r="E29724"/>
      <c r="F29724"/>
    </row>
    <row r="29725" spans="1:6" x14ac:dyDescent="0.25">
      <c r="A29725"/>
      <c r="B29725"/>
      <c r="C29725"/>
      <c r="E29725"/>
      <c r="F29725"/>
    </row>
    <row r="29726" spans="1:6" x14ac:dyDescent="0.25">
      <c r="A29726"/>
      <c r="B29726"/>
      <c r="C29726"/>
      <c r="E29726"/>
      <c r="F29726"/>
    </row>
    <row r="29727" spans="1:6" x14ac:dyDescent="0.25">
      <c r="A29727"/>
      <c r="B29727"/>
      <c r="C29727"/>
      <c r="E29727"/>
      <c r="F29727"/>
    </row>
    <row r="29728" spans="1:6" x14ac:dyDescent="0.25">
      <c r="A29728"/>
      <c r="B29728"/>
      <c r="C29728"/>
      <c r="E29728"/>
      <c r="F29728"/>
    </row>
    <row r="29729" spans="1:6" x14ac:dyDescent="0.25">
      <c r="A29729"/>
      <c r="B29729"/>
      <c r="C29729"/>
      <c r="E29729"/>
      <c r="F29729"/>
    </row>
    <row r="29730" spans="1:6" x14ac:dyDescent="0.25">
      <c r="A29730"/>
      <c r="B29730"/>
      <c r="C29730"/>
      <c r="E29730"/>
      <c r="F29730"/>
    </row>
    <row r="29731" spans="1:6" x14ac:dyDescent="0.25">
      <c r="A29731"/>
      <c r="B29731"/>
      <c r="C29731"/>
      <c r="E29731"/>
      <c r="F29731"/>
    </row>
    <row r="29732" spans="1:6" x14ac:dyDescent="0.25">
      <c r="A29732"/>
      <c r="B29732"/>
      <c r="C29732"/>
      <c r="E29732"/>
      <c r="F29732"/>
    </row>
    <row r="29733" spans="1:6" x14ac:dyDescent="0.25">
      <c r="A29733"/>
      <c r="B29733"/>
      <c r="C29733"/>
      <c r="E29733"/>
      <c r="F29733"/>
    </row>
    <row r="29734" spans="1:6" x14ac:dyDescent="0.25">
      <c r="A29734"/>
      <c r="B29734"/>
      <c r="C29734"/>
      <c r="E29734"/>
      <c r="F29734"/>
    </row>
    <row r="29735" spans="1:6" x14ac:dyDescent="0.25">
      <c r="A29735"/>
      <c r="B29735"/>
      <c r="C29735"/>
      <c r="E29735"/>
      <c r="F29735"/>
    </row>
    <row r="29736" spans="1:6" x14ac:dyDescent="0.25">
      <c r="A29736"/>
      <c r="B29736"/>
      <c r="C29736"/>
      <c r="E29736"/>
      <c r="F29736"/>
    </row>
    <row r="29737" spans="1:6" x14ac:dyDescent="0.25">
      <c r="A29737"/>
      <c r="B29737"/>
      <c r="C29737"/>
      <c r="E29737"/>
      <c r="F29737"/>
    </row>
    <row r="29738" spans="1:6" x14ac:dyDescent="0.25">
      <c r="A29738"/>
      <c r="B29738"/>
      <c r="C29738"/>
      <c r="E29738"/>
      <c r="F29738"/>
    </row>
    <row r="29739" spans="1:6" x14ac:dyDescent="0.25">
      <c r="A29739"/>
      <c r="B29739"/>
      <c r="C29739"/>
      <c r="E29739"/>
      <c r="F29739"/>
    </row>
    <row r="29740" spans="1:6" x14ac:dyDescent="0.25">
      <c r="A29740"/>
      <c r="B29740"/>
      <c r="C29740"/>
      <c r="E29740"/>
      <c r="F29740"/>
    </row>
    <row r="29741" spans="1:6" x14ac:dyDescent="0.25">
      <c r="A29741"/>
      <c r="B29741"/>
      <c r="C29741"/>
      <c r="E29741"/>
      <c r="F29741"/>
    </row>
    <row r="29742" spans="1:6" x14ac:dyDescent="0.25">
      <c r="A29742"/>
      <c r="B29742"/>
      <c r="C29742"/>
      <c r="E29742"/>
      <c r="F29742"/>
    </row>
    <row r="29743" spans="1:6" x14ac:dyDescent="0.25">
      <c r="A29743"/>
      <c r="B29743"/>
      <c r="C29743"/>
      <c r="E29743"/>
      <c r="F29743"/>
    </row>
    <row r="29744" spans="1:6" x14ac:dyDescent="0.25">
      <c r="A29744"/>
      <c r="B29744"/>
      <c r="C29744"/>
      <c r="E29744"/>
      <c r="F29744"/>
    </row>
    <row r="29745" spans="1:6" x14ac:dyDescent="0.25">
      <c r="A29745"/>
      <c r="B29745"/>
      <c r="C29745"/>
      <c r="E29745"/>
      <c r="F29745"/>
    </row>
    <row r="29746" spans="1:6" x14ac:dyDescent="0.25">
      <c r="A29746"/>
      <c r="B29746"/>
      <c r="C29746"/>
      <c r="E29746"/>
      <c r="F29746"/>
    </row>
    <row r="29747" spans="1:6" x14ac:dyDescent="0.25">
      <c r="A29747"/>
      <c r="B29747"/>
      <c r="C29747"/>
      <c r="E29747"/>
      <c r="F29747"/>
    </row>
    <row r="29748" spans="1:6" x14ac:dyDescent="0.25">
      <c r="A29748"/>
      <c r="B29748"/>
      <c r="C29748"/>
      <c r="E29748"/>
      <c r="F29748"/>
    </row>
    <row r="29749" spans="1:6" x14ac:dyDescent="0.25">
      <c r="A29749"/>
      <c r="B29749"/>
      <c r="C29749"/>
      <c r="E29749"/>
      <c r="F29749"/>
    </row>
    <row r="29750" spans="1:6" x14ac:dyDescent="0.25">
      <c r="A29750"/>
      <c r="B29750"/>
      <c r="C29750"/>
      <c r="E29750"/>
      <c r="F29750"/>
    </row>
    <row r="29751" spans="1:6" x14ac:dyDescent="0.25">
      <c r="A29751"/>
      <c r="B29751"/>
      <c r="C29751"/>
      <c r="E29751"/>
      <c r="F29751"/>
    </row>
    <row r="29752" spans="1:6" x14ac:dyDescent="0.25">
      <c r="A29752"/>
      <c r="B29752"/>
      <c r="C29752"/>
      <c r="E29752"/>
      <c r="F29752"/>
    </row>
    <row r="29753" spans="1:6" x14ac:dyDescent="0.25">
      <c r="A29753"/>
      <c r="B29753"/>
      <c r="C29753"/>
      <c r="E29753"/>
      <c r="F29753"/>
    </row>
    <row r="29754" spans="1:6" x14ac:dyDescent="0.25">
      <c r="A29754"/>
      <c r="B29754"/>
      <c r="C29754"/>
      <c r="E29754"/>
      <c r="F29754"/>
    </row>
    <row r="29755" spans="1:6" x14ac:dyDescent="0.25">
      <c r="A29755"/>
      <c r="B29755"/>
      <c r="C29755"/>
      <c r="E29755"/>
      <c r="F29755"/>
    </row>
    <row r="29756" spans="1:6" x14ac:dyDescent="0.25">
      <c r="A29756"/>
      <c r="B29756"/>
      <c r="C29756"/>
      <c r="E29756"/>
      <c r="F29756"/>
    </row>
    <row r="29757" spans="1:6" x14ac:dyDescent="0.25">
      <c r="A29757"/>
      <c r="B29757"/>
      <c r="C29757"/>
      <c r="E29757"/>
      <c r="F29757"/>
    </row>
    <row r="29758" spans="1:6" x14ac:dyDescent="0.25">
      <c r="A29758"/>
      <c r="B29758"/>
      <c r="C29758"/>
      <c r="E29758"/>
      <c r="F29758"/>
    </row>
    <row r="29759" spans="1:6" x14ac:dyDescent="0.25">
      <c r="A29759"/>
      <c r="B29759"/>
      <c r="C29759"/>
      <c r="E29759"/>
      <c r="F29759"/>
    </row>
    <row r="29760" spans="1:6" x14ac:dyDescent="0.25">
      <c r="A29760"/>
      <c r="B29760"/>
      <c r="C29760"/>
      <c r="E29760"/>
      <c r="F29760"/>
    </row>
    <row r="29761" spans="1:6" x14ac:dyDescent="0.25">
      <c r="A29761"/>
      <c r="B29761"/>
      <c r="C29761"/>
      <c r="E29761"/>
      <c r="F29761"/>
    </row>
    <row r="29762" spans="1:6" x14ac:dyDescent="0.25">
      <c r="A29762"/>
      <c r="B29762"/>
      <c r="C29762"/>
      <c r="E29762"/>
      <c r="F29762"/>
    </row>
    <row r="29763" spans="1:6" x14ac:dyDescent="0.25">
      <c r="A29763"/>
      <c r="B29763"/>
      <c r="C29763"/>
      <c r="E29763"/>
      <c r="F29763"/>
    </row>
    <row r="29764" spans="1:6" x14ac:dyDescent="0.25">
      <c r="A29764"/>
      <c r="B29764"/>
      <c r="C29764"/>
      <c r="E29764"/>
      <c r="F29764"/>
    </row>
    <row r="29765" spans="1:6" x14ac:dyDescent="0.25">
      <c r="A29765"/>
      <c r="B29765"/>
      <c r="C29765"/>
      <c r="E29765"/>
      <c r="F29765"/>
    </row>
    <row r="29766" spans="1:6" x14ac:dyDescent="0.25">
      <c r="A29766"/>
      <c r="B29766"/>
      <c r="C29766"/>
      <c r="E29766"/>
      <c r="F29766"/>
    </row>
    <row r="29767" spans="1:6" x14ac:dyDescent="0.25">
      <c r="A29767"/>
      <c r="B29767"/>
      <c r="C29767"/>
      <c r="E29767"/>
      <c r="F29767"/>
    </row>
    <row r="29768" spans="1:6" x14ac:dyDescent="0.25">
      <c r="A29768"/>
      <c r="B29768"/>
      <c r="C29768"/>
      <c r="E29768"/>
      <c r="F29768"/>
    </row>
    <row r="29769" spans="1:6" x14ac:dyDescent="0.25">
      <c r="A29769"/>
      <c r="B29769"/>
      <c r="C29769"/>
      <c r="E29769"/>
      <c r="F29769"/>
    </row>
    <row r="29770" spans="1:6" x14ac:dyDescent="0.25">
      <c r="A29770"/>
      <c r="B29770"/>
      <c r="C29770"/>
      <c r="E29770"/>
      <c r="F29770"/>
    </row>
    <row r="29771" spans="1:6" x14ac:dyDescent="0.25">
      <c r="A29771"/>
      <c r="B29771"/>
      <c r="C29771"/>
      <c r="E29771"/>
      <c r="F29771"/>
    </row>
    <row r="29772" spans="1:6" x14ac:dyDescent="0.25">
      <c r="A29772"/>
      <c r="B29772"/>
      <c r="C29772"/>
      <c r="E29772"/>
      <c r="F29772"/>
    </row>
    <row r="29773" spans="1:6" x14ac:dyDescent="0.25">
      <c r="A29773"/>
      <c r="B29773"/>
      <c r="C29773"/>
      <c r="E29773"/>
      <c r="F29773"/>
    </row>
    <row r="29774" spans="1:6" x14ac:dyDescent="0.25">
      <c r="A29774"/>
      <c r="B29774"/>
      <c r="C29774"/>
      <c r="E29774"/>
      <c r="F29774"/>
    </row>
    <row r="29775" spans="1:6" x14ac:dyDescent="0.25">
      <c r="A29775"/>
      <c r="B29775"/>
      <c r="C29775"/>
      <c r="E29775"/>
      <c r="F29775"/>
    </row>
    <row r="29776" spans="1:6" x14ac:dyDescent="0.25">
      <c r="A29776"/>
      <c r="B29776"/>
      <c r="C29776"/>
      <c r="E29776"/>
      <c r="F29776"/>
    </row>
    <row r="29777" spans="1:6" x14ac:dyDescent="0.25">
      <c r="A29777"/>
      <c r="B29777"/>
      <c r="C29777"/>
      <c r="E29777"/>
      <c r="F29777"/>
    </row>
    <row r="29778" spans="1:6" x14ac:dyDescent="0.25">
      <c r="A29778"/>
      <c r="B29778"/>
      <c r="C29778"/>
      <c r="E29778"/>
      <c r="F29778"/>
    </row>
    <row r="29779" spans="1:6" x14ac:dyDescent="0.25">
      <c r="A29779"/>
      <c r="B29779"/>
      <c r="C29779"/>
      <c r="E29779"/>
      <c r="F29779"/>
    </row>
    <row r="29780" spans="1:6" x14ac:dyDescent="0.25">
      <c r="A29780"/>
      <c r="B29780"/>
      <c r="C29780"/>
      <c r="E29780"/>
      <c r="F29780"/>
    </row>
    <row r="29781" spans="1:6" x14ac:dyDescent="0.25">
      <c r="A29781"/>
      <c r="B29781"/>
      <c r="C29781"/>
      <c r="E29781"/>
      <c r="F29781"/>
    </row>
    <row r="29782" spans="1:6" x14ac:dyDescent="0.25">
      <c r="A29782"/>
      <c r="B29782"/>
      <c r="C29782"/>
      <c r="E29782"/>
      <c r="F29782"/>
    </row>
    <row r="29783" spans="1:6" x14ac:dyDescent="0.25">
      <c r="A29783"/>
      <c r="B29783"/>
      <c r="C29783"/>
      <c r="E29783"/>
      <c r="F29783"/>
    </row>
    <row r="29784" spans="1:6" x14ac:dyDescent="0.25">
      <c r="A29784"/>
      <c r="B29784"/>
      <c r="C29784"/>
      <c r="E29784"/>
      <c r="F29784"/>
    </row>
    <row r="29785" spans="1:6" x14ac:dyDescent="0.25">
      <c r="A29785"/>
      <c r="B29785"/>
      <c r="C29785"/>
      <c r="E29785"/>
      <c r="F29785"/>
    </row>
    <row r="29786" spans="1:6" x14ac:dyDescent="0.25">
      <c r="A29786"/>
      <c r="B29786"/>
      <c r="C29786"/>
      <c r="E29786"/>
      <c r="F29786"/>
    </row>
    <row r="29787" spans="1:6" x14ac:dyDescent="0.25">
      <c r="A29787"/>
      <c r="B29787"/>
      <c r="C29787"/>
      <c r="E29787"/>
      <c r="F29787"/>
    </row>
    <row r="29788" spans="1:6" x14ac:dyDescent="0.25">
      <c r="A29788"/>
      <c r="B29788"/>
      <c r="C29788"/>
      <c r="E29788"/>
      <c r="F29788"/>
    </row>
    <row r="29789" spans="1:6" x14ac:dyDescent="0.25">
      <c r="A29789"/>
      <c r="B29789"/>
      <c r="C29789"/>
      <c r="E29789"/>
      <c r="F29789"/>
    </row>
    <row r="29790" spans="1:6" x14ac:dyDescent="0.25">
      <c r="A29790"/>
      <c r="B29790"/>
      <c r="C29790"/>
      <c r="E29790"/>
      <c r="F29790"/>
    </row>
    <row r="29791" spans="1:6" x14ac:dyDescent="0.25">
      <c r="A29791"/>
      <c r="B29791"/>
      <c r="C29791"/>
      <c r="E29791"/>
      <c r="F29791"/>
    </row>
    <row r="29792" spans="1:6" x14ac:dyDescent="0.25">
      <c r="A29792"/>
      <c r="B29792"/>
      <c r="C29792"/>
      <c r="E29792"/>
      <c r="F29792"/>
    </row>
    <row r="29793" spans="1:6" x14ac:dyDescent="0.25">
      <c r="A29793"/>
      <c r="B29793"/>
      <c r="C29793"/>
      <c r="E29793"/>
      <c r="F29793"/>
    </row>
    <row r="29794" spans="1:6" x14ac:dyDescent="0.25">
      <c r="A29794"/>
      <c r="B29794"/>
      <c r="C29794"/>
      <c r="E29794"/>
      <c r="F29794"/>
    </row>
    <row r="29795" spans="1:6" x14ac:dyDescent="0.25">
      <c r="A29795"/>
      <c r="B29795"/>
      <c r="C29795"/>
      <c r="E29795"/>
      <c r="F29795"/>
    </row>
    <row r="29796" spans="1:6" x14ac:dyDescent="0.25">
      <c r="A29796"/>
      <c r="B29796"/>
      <c r="C29796"/>
      <c r="E29796"/>
      <c r="F29796"/>
    </row>
    <row r="29797" spans="1:6" x14ac:dyDescent="0.25">
      <c r="A29797"/>
      <c r="B29797"/>
      <c r="C29797"/>
      <c r="E29797"/>
      <c r="F29797"/>
    </row>
    <row r="29798" spans="1:6" x14ac:dyDescent="0.25">
      <c r="A29798"/>
      <c r="B29798"/>
      <c r="C29798"/>
      <c r="E29798"/>
      <c r="F29798"/>
    </row>
    <row r="29799" spans="1:6" x14ac:dyDescent="0.25">
      <c r="A29799"/>
      <c r="B29799"/>
      <c r="C29799"/>
      <c r="E29799"/>
      <c r="F29799"/>
    </row>
    <row r="29800" spans="1:6" x14ac:dyDescent="0.25">
      <c r="A29800"/>
      <c r="B29800"/>
      <c r="C29800"/>
      <c r="E29800"/>
      <c r="F29800"/>
    </row>
    <row r="29801" spans="1:6" x14ac:dyDescent="0.25">
      <c r="A29801"/>
      <c r="B29801"/>
      <c r="C29801"/>
      <c r="E29801"/>
      <c r="F29801"/>
    </row>
    <row r="29802" spans="1:6" x14ac:dyDescent="0.25">
      <c r="A29802"/>
      <c r="B29802"/>
      <c r="C29802"/>
      <c r="E29802"/>
      <c r="F29802"/>
    </row>
    <row r="29803" spans="1:6" x14ac:dyDescent="0.25">
      <c r="A29803"/>
      <c r="B29803"/>
      <c r="C29803"/>
      <c r="E29803"/>
      <c r="F29803"/>
    </row>
    <row r="29804" spans="1:6" x14ac:dyDescent="0.25">
      <c r="A29804"/>
      <c r="B29804"/>
      <c r="C29804"/>
      <c r="E29804"/>
      <c r="F29804"/>
    </row>
    <row r="29805" spans="1:6" x14ac:dyDescent="0.25">
      <c r="A29805"/>
      <c r="B29805"/>
      <c r="C29805"/>
      <c r="E29805"/>
      <c r="F29805"/>
    </row>
    <row r="29806" spans="1:6" x14ac:dyDescent="0.25">
      <c r="A29806"/>
      <c r="B29806"/>
      <c r="C29806"/>
      <c r="E29806"/>
      <c r="F29806"/>
    </row>
    <row r="29807" spans="1:6" x14ac:dyDescent="0.25">
      <c r="A29807"/>
      <c r="B29807"/>
      <c r="C29807"/>
      <c r="E29807"/>
      <c r="F29807"/>
    </row>
    <row r="29808" spans="1:6" x14ac:dyDescent="0.25">
      <c r="A29808"/>
      <c r="B29808"/>
      <c r="C29808"/>
      <c r="E29808"/>
      <c r="F29808"/>
    </row>
    <row r="29809" spans="1:6" x14ac:dyDescent="0.25">
      <c r="A29809"/>
      <c r="B29809"/>
      <c r="C29809"/>
      <c r="E29809"/>
      <c r="F29809"/>
    </row>
    <row r="29810" spans="1:6" x14ac:dyDescent="0.25">
      <c r="A29810"/>
      <c r="B29810"/>
      <c r="C29810"/>
      <c r="E29810"/>
      <c r="F29810"/>
    </row>
    <row r="29811" spans="1:6" x14ac:dyDescent="0.25">
      <c r="A29811"/>
      <c r="B29811"/>
      <c r="C29811"/>
      <c r="E29811"/>
      <c r="F29811"/>
    </row>
    <row r="29812" spans="1:6" x14ac:dyDescent="0.25">
      <c r="A29812"/>
      <c r="B29812"/>
      <c r="C29812"/>
      <c r="E29812"/>
      <c r="F29812"/>
    </row>
    <row r="29813" spans="1:6" x14ac:dyDescent="0.25">
      <c r="A29813"/>
      <c r="B29813"/>
      <c r="C29813"/>
      <c r="E29813"/>
      <c r="F29813"/>
    </row>
    <row r="29814" spans="1:6" x14ac:dyDescent="0.25">
      <c r="A29814"/>
      <c r="B29814"/>
      <c r="C29814"/>
      <c r="E29814"/>
      <c r="F29814"/>
    </row>
    <row r="29815" spans="1:6" x14ac:dyDescent="0.25">
      <c r="A29815"/>
      <c r="B29815"/>
      <c r="C29815"/>
      <c r="E29815"/>
      <c r="F29815"/>
    </row>
    <row r="29816" spans="1:6" x14ac:dyDescent="0.25">
      <c r="A29816"/>
      <c r="B29816"/>
      <c r="C29816"/>
      <c r="E29816"/>
      <c r="F29816"/>
    </row>
    <row r="29817" spans="1:6" x14ac:dyDescent="0.25">
      <c r="A29817"/>
      <c r="B29817"/>
      <c r="C29817"/>
      <c r="E29817"/>
      <c r="F29817"/>
    </row>
    <row r="29818" spans="1:6" x14ac:dyDescent="0.25">
      <c r="A29818"/>
      <c r="B29818"/>
      <c r="C29818"/>
      <c r="E29818"/>
      <c r="F29818"/>
    </row>
    <row r="29819" spans="1:6" x14ac:dyDescent="0.25">
      <c r="A29819"/>
      <c r="B29819"/>
      <c r="C29819"/>
      <c r="E29819"/>
      <c r="F29819"/>
    </row>
    <row r="29820" spans="1:6" x14ac:dyDescent="0.25">
      <c r="A29820"/>
      <c r="B29820"/>
      <c r="C29820"/>
      <c r="E29820"/>
      <c r="F29820"/>
    </row>
    <row r="29821" spans="1:6" x14ac:dyDescent="0.25">
      <c r="A29821"/>
      <c r="B29821"/>
      <c r="C29821"/>
      <c r="E29821"/>
      <c r="F29821"/>
    </row>
    <row r="29822" spans="1:6" x14ac:dyDescent="0.25">
      <c r="A29822"/>
      <c r="B29822"/>
      <c r="C29822"/>
      <c r="E29822"/>
      <c r="F29822"/>
    </row>
    <row r="29823" spans="1:6" x14ac:dyDescent="0.25">
      <c r="A29823"/>
      <c r="B29823"/>
      <c r="C29823"/>
      <c r="E29823"/>
      <c r="F29823"/>
    </row>
    <row r="29824" spans="1:6" x14ac:dyDescent="0.25">
      <c r="A29824"/>
      <c r="B29824"/>
      <c r="C29824"/>
      <c r="E29824"/>
      <c r="F29824"/>
    </row>
    <row r="29825" spans="1:6" x14ac:dyDescent="0.25">
      <c r="A29825"/>
      <c r="B29825"/>
      <c r="C29825"/>
      <c r="E29825"/>
      <c r="F29825"/>
    </row>
    <row r="29826" spans="1:6" x14ac:dyDescent="0.25">
      <c r="A29826"/>
      <c r="B29826"/>
      <c r="C29826"/>
      <c r="E29826"/>
      <c r="F29826"/>
    </row>
    <row r="29827" spans="1:6" x14ac:dyDescent="0.25">
      <c r="A29827"/>
      <c r="B29827"/>
      <c r="C29827"/>
      <c r="E29827"/>
      <c r="F29827"/>
    </row>
    <row r="29828" spans="1:6" x14ac:dyDescent="0.25">
      <c r="A29828"/>
      <c r="B29828"/>
      <c r="C29828"/>
      <c r="E29828"/>
      <c r="F29828"/>
    </row>
    <row r="29829" spans="1:6" x14ac:dyDescent="0.25">
      <c r="A29829"/>
      <c r="B29829"/>
      <c r="C29829"/>
      <c r="E29829"/>
      <c r="F29829"/>
    </row>
    <row r="29830" spans="1:6" x14ac:dyDescent="0.25">
      <c r="A29830"/>
      <c r="B29830"/>
      <c r="C29830"/>
      <c r="E29830"/>
      <c r="F29830"/>
    </row>
    <row r="29831" spans="1:6" x14ac:dyDescent="0.25">
      <c r="A29831"/>
      <c r="B29831"/>
      <c r="C29831"/>
      <c r="E29831"/>
      <c r="F29831"/>
    </row>
    <row r="29832" spans="1:6" x14ac:dyDescent="0.25">
      <c r="A29832"/>
      <c r="B29832"/>
      <c r="C29832"/>
      <c r="E29832"/>
      <c r="F29832"/>
    </row>
    <row r="29833" spans="1:6" x14ac:dyDescent="0.25">
      <c r="A29833"/>
      <c r="B29833"/>
      <c r="C29833"/>
      <c r="E29833"/>
      <c r="F29833"/>
    </row>
    <row r="29834" spans="1:6" x14ac:dyDescent="0.25">
      <c r="A29834"/>
      <c r="B29834"/>
      <c r="C29834"/>
      <c r="E29834"/>
      <c r="F29834"/>
    </row>
    <row r="29835" spans="1:6" x14ac:dyDescent="0.25">
      <c r="A29835"/>
      <c r="B29835"/>
      <c r="C29835"/>
      <c r="E29835"/>
      <c r="F29835"/>
    </row>
    <row r="29836" spans="1:6" x14ac:dyDescent="0.25">
      <c r="A29836"/>
      <c r="B29836"/>
      <c r="C29836"/>
      <c r="E29836"/>
      <c r="F29836"/>
    </row>
    <row r="29837" spans="1:6" x14ac:dyDescent="0.25">
      <c r="A29837"/>
      <c r="B29837"/>
      <c r="C29837"/>
      <c r="E29837"/>
      <c r="F29837"/>
    </row>
    <row r="29838" spans="1:6" x14ac:dyDescent="0.25">
      <c r="A29838"/>
      <c r="B29838"/>
      <c r="C29838"/>
      <c r="E29838"/>
      <c r="F29838"/>
    </row>
    <row r="29839" spans="1:6" x14ac:dyDescent="0.25">
      <c r="A29839"/>
      <c r="B29839"/>
      <c r="C29839"/>
      <c r="E29839"/>
      <c r="F29839"/>
    </row>
    <row r="29840" spans="1:6" x14ac:dyDescent="0.25">
      <c r="A29840"/>
      <c r="B29840"/>
      <c r="C29840"/>
      <c r="E29840"/>
      <c r="F29840"/>
    </row>
    <row r="29841" spans="1:6" x14ac:dyDescent="0.25">
      <c r="A29841"/>
      <c r="B29841"/>
      <c r="C29841"/>
      <c r="E29841"/>
      <c r="F29841"/>
    </row>
    <row r="29842" spans="1:6" x14ac:dyDescent="0.25">
      <c r="A29842"/>
      <c r="B29842"/>
      <c r="C29842"/>
      <c r="E29842"/>
      <c r="F29842"/>
    </row>
    <row r="29843" spans="1:6" x14ac:dyDescent="0.25">
      <c r="A29843"/>
      <c r="B29843"/>
      <c r="C29843"/>
      <c r="E29843"/>
      <c r="F29843"/>
    </row>
    <row r="29844" spans="1:6" x14ac:dyDescent="0.25">
      <c r="A29844"/>
      <c r="B29844"/>
      <c r="C29844"/>
      <c r="E29844"/>
      <c r="F29844"/>
    </row>
    <row r="29845" spans="1:6" x14ac:dyDescent="0.25">
      <c r="A29845"/>
      <c r="B29845"/>
      <c r="C29845"/>
      <c r="E29845"/>
      <c r="F29845"/>
    </row>
    <row r="29846" spans="1:6" x14ac:dyDescent="0.25">
      <c r="A29846"/>
      <c r="B29846"/>
      <c r="C29846"/>
      <c r="E29846"/>
      <c r="F29846"/>
    </row>
    <row r="29847" spans="1:6" x14ac:dyDescent="0.25">
      <c r="A29847"/>
      <c r="B29847"/>
      <c r="C29847"/>
      <c r="E29847"/>
      <c r="F29847"/>
    </row>
    <row r="29848" spans="1:6" x14ac:dyDescent="0.25">
      <c r="A29848"/>
      <c r="B29848"/>
      <c r="C29848"/>
      <c r="E29848"/>
      <c r="F29848"/>
    </row>
    <row r="29849" spans="1:6" x14ac:dyDescent="0.25">
      <c r="A29849"/>
      <c r="B29849"/>
      <c r="C29849"/>
      <c r="E29849"/>
      <c r="F29849"/>
    </row>
    <row r="29850" spans="1:6" x14ac:dyDescent="0.25">
      <c r="A29850"/>
      <c r="B29850"/>
      <c r="C29850"/>
      <c r="E29850"/>
      <c r="F29850"/>
    </row>
    <row r="29851" spans="1:6" x14ac:dyDescent="0.25">
      <c r="A29851"/>
      <c r="B29851"/>
      <c r="C29851"/>
      <c r="E29851"/>
      <c r="F29851"/>
    </row>
    <row r="29852" spans="1:6" x14ac:dyDescent="0.25">
      <c r="A29852"/>
      <c r="B29852"/>
      <c r="C29852"/>
      <c r="E29852"/>
      <c r="F29852"/>
    </row>
    <row r="29853" spans="1:6" x14ac:dyDescent="0.25">
      <c r="A29853"/>
      <c r="B29853"/>
      <c r="C29853"/>
      <c r="E29853"/>
      <c r="F29853"/>
    </row>
    <row r="29854" spans="1:6" x14ac:dyDescent="0.25">
      <c r="A29854"/>
      <c r="B29854"/>
      <c r="C29854"/>
      <c r="E29854"/>
      <c r="F29854"/>
    </row>
    <row r="29855" spans="1:6" x14ac:dyDescent="0.25">
      <c r="A29855"/>
      <c r="B29855"/>
      <c r="C29855"/>
      <c r="E29855"/>
      <c r="F29855"/>
    </row>
    <row r="29856" spans="1:6" x14ac:dyDescent="0.25">
      <c r="A29856"/>
      <c r="B29856"/>
      <c r="C29856"/>
      <c r="E29856"/>
      <c r="F29856"/>
    </row>
    <row r="29857" spans="1:6" x14ac:dyDescent="0.25">
      <c r="A29857"/>
      <c r="B29857"/>
      <c r="C29857"/>
      <c r="E29857"/>
      <c r="F29857"/>
    </row>
    <row r="29858" spans="1:6" x14ac:dyDescent="0.25">
      <c r="A29858"/>
      <c r="B29858"/>
      <c r="C29858"/>
      <c r="E29858"/>
      <c r="F29858"/>
    </row>
    <row r="29859" spans="1:6" x14ac:dyDescent="0.25">
      <c r="A29859"/>
      <c r="B29859"/>
      <c r="C29859"/>
      <c r="E29859"/>
      <c r="F29859"/>
    </row>
    <row r="29860" spans="1:6" x14ac:dyDescent="0.25">
      <c r="A29860"/>
      <c r="B29860"/>
      <c r="C29860"/>
      <c r="E29860"/>
      <c r="F29860"/>
    </row>
    <row r="29861" spans="1:6" x14ac:dyDescent="0.25">
      <c r="A29861"/>
      <c r="B29861"/>
      <c r="C29861"/>
      <c r="E29861"/>
      <c r="F29861"/>
    </row>
    <row r="29862" spans="1:6" x14ac:dyDescent="0.25">
      <c r="A29862"/>
      <c r="B29862"/>
      <c r="C29862"/>
      <c r="E29862"/>
      <c r="F29862"/>
    </row>
    <row r="29863" spans="1:6" x14ac:dyDescent="0.25">
      <c r="A29863"/>
      <c r="B29863"/>
      <c r="C29863"/>
      <c r="E29863"/>
      <c r="F29863"/>
    </row>
    <row r="29864" spans="1:6" x14ac:dyDescent="0.25">
      <c r="A29864"/>
      <c r="B29864"/>
      <c r="C29864"/>
      <c r="E29864"/>
      <c r="F29864"/>
    </row>
    <row r="29865" spans="1:6" x14ac:dyDescent="0.25">
      <c r="A29865"/>
      <c r="B29865"/>
      <c r="C29865"/>
      <c r="E29865"/>
      <c r="F29865"/>
    </row>
    <row r="29866" spans="1:6" x14ac:dyDescent="0.25">
      <c r="A29866"/>
      <c r="B29866"/>
      <c r="C29866"/>
      <c r="E29866"/>
      <c r="F29866"/>
    </row>
    <row r="29867" spans="1:6" x14ac:dyDescent="0.25">
      <c r="A29867"/>
      <c r="B29867"/>
      <c r="C29867"/>
      <c r="E29867"/>
      <c r="F29867"/>
    </row>
    <row r="29868" spans="1:6" x14ac:dyDescent="0.25">
      <c r="A29868"/>
      <c r="B29868"/>
      <c r="C29868"/>
      <c r="E29868"/>
      <c r="F29868"/>
    </row>
    <row r="29869" spans="1:6" x14ac:dyDescent="0.25">
      <c r="A29869"/>
      <c r="B29869"/>
      <c r="C29869"/>
      <c r="E29869"/>
      <c r="F29869"/>
    </row>
    <row r="29870" spans="1:6" x14ac:dyDescent="0.25">
      <c r="A29870"/>
      <c r="B29870"/>
      <c r="C29870"/>
      <c r="E29870"/>
      <c r="F29870"/>
    </row>
    <row r="29871" spans="1:6" x14ac:dyDescent="0.25">
      <c r="A29871"/>
      <c r="B29871"/>
      <c r="C29871"/>
      <c r="E29871"/>
      <c r="F29871"/>
    </row>
    <row r="29872" spans="1:6" x14ac:dyDescent="0.25">
      <c r="A29872"/>
      <c r="B29872"/>
      <c r="C29872"/>
      <c r="E29872"/>
      <c r="F29872"/>
    </row>
    <row r="29873" spans="1:6" x14ac:dyDescent="0.25">
      <c r="A29873"/>
      <c r="B29873"/>
      <c r="C29873"/>
      <c r="E29873"/>
      <c r="F29873"/>
    </row>
    <row r="29874" spans="1:6" x14ac:dyDescent="0.25">
      <c r="A29874"/>
      <c r="B29874"/>
      <c r="C29874"/>
      <c r="E29874"/>
      <c r="F29874"/>
    </row>
    <row r="29875" spans="1:6" x14ac:dyDescent="0.25">
      <c r="A29875"/>
      <c r="B29875"/>
      <c r="C29875"/>
      <c r="E29875"/>
      <c r="F29875"/>
    </row>
    <row r="29876" spans="1:6" x14ac:dyDescent="0.25">
      <c r="A29876"/>
      <c r="B29876"/>
      <c r="C29876"/>
      <c r="E29876"/>
      <c r="F29876"/>
    </row>
    <row r="29877" spans="1:6" x14ac:dyDescent="0.25">
      <c r="A29877"/>
      <c r="B29877"/>
      <c r="C29877"/>
      <c r="E29877"/>
      <c r="F29877"/>
    </row>
    <row r="29878" spans="1:6" x14ac:dyDescent="0.25">
      <c r="A29878"/>
      <c r="B29878"/>
      <c r="C29878"/>
      <c r="E29878"/>
      <c r="F29878"/>
    </row>
    <row r="29879" spans="1:6" x14ac:dyDescent="0.25">
      <c r="A29879"/>
      <c r="B29879"/>
      <c r="C29879"/>
      <c r="E29879"/>
      <c r="F29879"/>
    </row>
    <row r="29880" spans="1:6" x14ac:dyDescent="0.25">
      <c r="A29880"/>
      <c r="B29880"/>
      <c r="C29880"/>
      <c r="E29880"/>
      <c r="F29880"/>
    </row>
    <row r="29881" spans="1:6" x14ac:dyDescent="0.25">
      <c r="A29881"/>
      <c r="B29881"/>
      <c r="C29881"/>
      <c r="E29881"/>
      <c r="F29881"/>
    </row>
    <row r="29882" spans="1:6" x14ac:dyDescent="0.25">
      <c r="A29882"/>
      <c r="B29882"/>
      <c r="C29882"/>
      <c r="E29882"/>
      <c r="F29882"/>
    </row>
    <row r="29883" spans="1:6" x14ac:dyDescent="0.25">
      <c r="A29883"/>
      <c r="B29883"/>
      <c r="C29883"/>
      <c r="E29883"/>
      <c r="F29883"/>
    </row>
    <row r="29884" spans="1:6" x14ac:dyDescent="0.25">
      <c r="A29884"/>
      <c r="B29884"/>
      <c r="C29884"/>
      <c r="E29884"/>
      <c r="F29884"/>
    </row>
    <row r="29885" spans="1:6" x14ac:dyDescent="0.25">
      <c r="A29885"/>
      <c r="B29885"/>
      <c r="C29885"/>
      <c r="E29885"/>
      <c r="F29885"/>
    </row>
    <row r="29886" spans="1:6" x14ac:dyDescent="0.25">
      <c r="A29886"/>
      <c r="B29886"/>
      <c r="C29886"/>
      <c r="E29886"/>
      <c r="F29886"/>
    </row>
    <row r="29887" spans="1:6" x14ac:dyDescent="0.25">
      <c r="A29887"/>
      <c r="B29887"/>
      <c r="C29887"/>
      <c r="E29887"/>
      <c r="F29887"/>
    </row>
    <row r="29888" spans="1:6" x14ac:dyDescent="0.25">
      <c r="A29888"/>
      <c r="B29888"/>
      <c r="C29888"/>
      <c r="E29888"/>
      <c r="F29888"/>
    </row>
    <row r="29889" spans="1:6" x14ac:dyDescent="0.25">
      <c r="A29889"/>
      <c r="B29889"/>
      <c r="C29889"/>
      <c r="E29889"/>
      <c r="F29889"/>
    </row>
    <row r="29890" spans="1:6" x14ac:dyDescent="0.25">
      <c r="A29890"/>
      <c r="B29890"/>
      <c r="C29890"/>
      <c r="E29890"/>
      <c r="F29890"/>
    </row>
    <row r="29891" spans="1:6" x14ac:dyDescent="0.25">
      <c r="A29891"/>
      <c r="B29891"/>
      <c r="C29891"/>
      <c r="E29891"/>
      <c r="F29891"/>
    </row>
    <row r="29892" spans="1:6" x14ac:dyDescent="0.25">
      <c r="A29892"/>
      <c r="B29892"/>
      <c r="C29892"/>
      <c r="E29892"/>
      <c r="F29892"/>
    </row>
    <row r="29893" spans="1:6" x14ac:dyDescent="0.25">
      <c r="A29893"/>
      <c r="B29893"/>
      <c r="C29893"/>
      <c r="E29893"/>
      <c r="F29893"/>
    </row>
    <row r="29894" spans="1:6" x14ac:dyDescent="0.25">
      <c r="A29894"/>
      <c r="B29894"/>
      <c r="C29894"/>
      <c r="E29894"/>
      <c r="F29894"/>
    </row>
    <row r="29895" spans="1:6" x14ac:dyDescent="0.25">
      <c r="A29895"/>
      <c r="B29895"/>
      <c r="C29895"/>
      <c r="E29895"/>
      <c r="F29895"/>
    </row>
    <row r="29896" spans="1:6" x14ac:dyDescent="0.25">
      <c r="A29896"/>
      <c r="B29896"/>
      <c r="C29896"/>
      <c r="E29896"/>
      <c r="F29896"/>
    </row>
    <row r="29897" spans="1:6" x14ac:dyDescent="0.25">
      <c r="A29897"/>
      <c r="B29897"/>
      <c r="C29897"/>
      <c r="E29897"/>
      <c r="F29897"/>
    </row>
    <row r="29898" spans="1:6" x14ac:dyDescent="0.25">
      <c r="A29898"/>
      <c r="B29898"/>
      <c r="C29898"/>
      <c r="E29898"/>
      <c r="F29898"/>
    </row>
    <row r="29899" spans="1:6" x14ac:dyDescent="0.25">
      <c r="A29899"/>
      <c r="B29899"/>
      <c r="C29899"/>
      <c r="E29899"/>
      <c r="F29899"/>
    </row>
    <row r="29900" spans="1:6" x14ac:dyDescent="0.25">
      <c r="A29900"/>
      <c r="B29900"/>
      <c r="C29900"/>
      <c r="E29900"/>
      <c r="F29900"/>
    </row>
    <row r="29901" spans="1:6" x14ac:dyDescent="0.25">
      <c r="A29901"/>
      <c r="B29901"/>
      <c r="C29901"/>
      <c r="E29901"/>
      <c r="F29901"/>
    </row>
    <row r="29902" spans="1:6" x14ac:dyDescent="0.25">
      <c r="A29902"/>
      <c r="B29902"/>
      <c r="C29902"/>
      <c r="E29902"/>
      <c r="F29902"/>
    </row>
    <row r="29903" spans="1:6" x14ac:dyDescent="0.25">
      <c r="A29903"/>
      <c r="B29903"/>
      <c r="C29903"/>
      <c r="E29903"/>
      <c r="F29903"/>
    </row>
    <row r="29904" spans="1:6" x14ac:dyDescent="0.25">
      <c r="A29904"/>
      <c r="B29904"/>
      <c r="C29904"/>
      <c r="E29904"/>
      <c r="F29904"/>
    </row>
    <row r="29905" spans="1:6" x14ac:dyDescent="0.25">
      <c r="A29905"/>
      <c r="B29905"/>
      <c r="C29905"/>
      <c r="E29905"/>
      <c r="F29905"/>
    </row>
    <row r="29906" spans="1:6" x14ac:dyDescent="0.25">
      <c r="A29906"/>
      <c r="B29906"/>
      <c r="C29906"/>
      <c r="E29906"/>
      <c r="F29906"/>
    </row>
    <row r="29907" spans="1:6" x14ac:dyDescent="0.25">
      <c r="A29907"/>
      <c r="B29907"/>
      <c r="C29907"/>
      <c r="E29907"/>
      <c r="F29907"/>
    </row>
    <row r="29908" spans="1:6" x14ac:dyDescent="0.25">
      <c r="A29908"/>
      <c r="B29908"/>
      <c r="C29908"/>
      <c r="E29908"/>
      <c r="F29908"/>
    </row>
    <row r="29909" spans="1:6" x14ac:dyDescent="0.25">
      <c r="A29909"/>
      <c r="B29909"/>
      <c r="C29909"/>
      <c r="E29909"/>
      <c r="F29909"/>
    </row>
    <row r="29910" spans="1:6" x14ac:dyDescent="0.25">
      <c r="A29910"/>
      <c r="B29910"/>
      <c r="C29910"/>
      <c r="E29910"/>
      <c r="F29910"/>
    </row>
    <row r="29911" spans="1:6" x14ac:dyDescent="0.25">
      <c r="A29911"/>
      <c r="B29911"/>
      <c r="C29911"/>
      <c r="E29911"/>
      <c r="F29911"/>
    </row>
    <row r="29912" spans="1:6" x14ac:dyDescent="0.25">
      <c r="A29912"/>
      <c r="B29912"/>
      <c r="C29912"/>
      <c r="E29912"/>
      <c r="F29912"/>
    </row>
    <row r="29913" spans="1:6" x14ac:dyDescent="0.25">
      <c r="A29913"/>
      <c r="B29913"/>
      <c r="C29913"/>
      <c r="E29913"/>
      <c r="F29913"/>
    </row>
    <row r="29914" spans="1:6" x14ac:dyDescent="0.25">
      <c r="A29914"/>
      <c r="B29914"/>
      <c r="C29914"/>
      <c r="E29914"/>
      <c r="F29914"/>
    </row>
    <row r="29915" spans="1:6" x14ac:dyDescent="0.25">
      <c r="A29915"/>
      <c r="B29915"/>
      <c r="C29915"/>
      <c r="E29915"/>
      <c r="F29915"/>
    </row>
    <row r="29916" spans="1:6" x14ac:dyDescent="0.25">
      <c r="A29916"/>
      <c r="B29916"/>
      <c r="C29916"/>
      <c r="E29916"/>
      <c r="F29916"/>
    </row>
    <row r="29917" spans="1:6" x14ac:dyDescent="0.25">
      <c r="A29917"/>
      <c r="B29917"/>
      <c r="C29917"/>
      <c r="E29917"/>
      <c r="F29917"/>
    </row>
    <row r="29918" spans="1:6" x14ac:dyDescent="0.25">
      <c r="A29918"/>
      <c r="B29918"/>
      <c r="C29918"/>
      <c r="E29918"/>
      <c r="F29918"/>
    </row>
    <row r="29919" spans="1:6" x14ac:dyDescent="0.25">
      <c r="A29919"/>
      <c r="B29919"/>
      <c r="C29919"/>
      <c r="E29919"/>
      <c r="F29919"/>
    </row>
    <row r="29920" spans="1:6" x14ac:dyDescent="0.25">
      <c r="A29920"/>
      <c r="B29920"/>
      <c r="C29920"/>
      <c r="E29920"/>
      <c r="F29920"/>
    </row>
    <row r="29921" spans="1:6" x14ac:dyDescent="0.25">
      <c r="A29921"/>
      <c r="B29921"/>
      <c r="C29921"/>
      <c r="E29921"/>
      <c r="F29921"/>
    </row>
    <row r="29922" spans="1:6" x14ac:dyDescent="0.25">
      <c r="A29922"/>
      <c r="B29922"/>
      <c r="C29922"/>
      <c r="E29922"/>
      <c r="F29922"/>
    </row>
    <row r="29923" spans="1:6" x14ac:dyDescent="0.25">
      <c r="A29923"/>
      <c r="B29923"/>
      <c r="C29923"/>
      <c r="E29923"/>
      <c r="F29923"/>
    </row>
    <row r="29924" spans="1:6" x14ac:dyDescent="0.25">
      <c r="A29924"/>
      <c r="B29924"/>
      <c r="C29924"/>
      <c r="E29924"/>
      <c r="F29924"/>
    </row>
    <row r="29925" spans="1:6" x14ac:dyDescent="0.25">
      <c r="A29925"/>
      <c r="B29925"/>
      <c r="C29925"/>
      <c r="E29925"/>
      <c r="F29925"/>
    </row>
    <row r="29926" spans="1:6" x14ac:dyDescent="0.25">
      <c r="A29926"/>
      <c r="B29926"/>
      <c r="C29926"/>
      <c r="E29926"/>
      <c r="F29926"/>
    </row>
    <row r="29927" spans="1:6" x14ac:dyDescent="0.25">
      <c r="A29927"/>
      <c r="B29927"/>
      <c r="C29927"/>
      <c r="E29927"/>
      <c r="F29927"/>
    </row>
    <row r="29928" spans="1:6" x14ac:dyDescent="0.25">
      <c r="A29928"/>
      <c r="B29928"/>
      <c r="C29928"/>
      <c r="E29928"/>
      <c r="F29928"/>
    </row>
    <row r="29929" spans="1:6" x14ac:dyDescent="0.25">
      <c r="A29929"/>
      <c r="B29929"/>
      <c r="C29929"/>
      <c r="E29929"/>
      <c r="F29929"/>
    </row>
    <row r="29930" spans="1:6" x14ac:dyDescent="0.25">
      <c r="A29930"/>
      <c r="B29930"/>
      <c r="C29930"/>
      <c r="E29930"/>
      <c r="F29930"/>
    </row>
    <row r="29931" spans="1:6" x14ac:dyDescent="0.25">
      <c r="A29931"/>
      <c r="B29931"/>
      <c r="C29931"/>
      <c r="E29931"/>
      <c r="F29931"/>
    </row>
    <row r="29932" spans="1:6" x14ac:dyDescent="0.25">
      <c r="A29932"/>
      <c r="B29932"/>
      <c r="C29932"/>
      <c r="E29932"/>
      <c r="F29932"/>
    </row>
    <row r="29933" spans="1:6" x14ac:dyDescent="0.25">
      <c r="A29933"/>
      <c r="B29933"/>
      <c r="C29933"/>
      <c r="E29933"/>
      <c r="F29933"/>
    </row>
    <row r="29934" spans="1:6" x14ac:dyDescent="0.25">
      <c r="A29934"/>
      <c r="B29934"/>
      <c r="C29934"/>
      <c r="E29934"/>
      <c r="F29934"/>
    </row>
    <row r="29935" spans="1:6" x14ac:dyDescent="0.25">
      <c r="A29935"/>
      <c r="B29935"/>
      <c r="C29935"/>
      <c r="E29935"/>
      <c r="F29935"/>
    </row>
    <row r="29936" spans="1:6" x14ac:dyDescent="0.25">
      <c r="A29936"/>
      <c r="B29936"/>
      <c r="C29936"/>
      <c r="E29936"/>
      <c r="F29936"/>
    </row>
    <row r="29937" spans="1:6" x14ac:dyDescent="0.25">
      <c r="A29937"/>
      <c r="B29937"/>
      <c r="C29937"/>
      <c r="E29937"/>
      <c r="F29937"/>
    </row>
    <row r="29938" spans="1:6" x14ac:dyDescent="0.25">
      <c r="A29938"/>
      <c r="B29938"/>
      <c r="C29938"/>
      <c r="E29938"/>
      <c r="F29938"/>
    </row>
    <row r="29939" spans="1:6" x14ac:dyDescent="0.25">
      <c r="A29939"/>
      <c r="B29939"/>
      <c r="C29939"/>
      <c r="E29939"/>
      <c r="F29939"/>
    </row>
    <row r="29940" spans="1:6" x14ac:dyDescent="0.25">
      <c r="A29940"/>
      <c r="B29940"/>
      <c r="C29940"/>
      <c r="E29940"/>
      <c r="F29940"/>
    </row>
    <row r="29941" spans="1:6" x14ac:dyDescent="0.25">
      <c r="A29941"/>
      <c r="B29941"/>
      <c r="C29941"/>
      <c r="E29941"/>
      <c r="F29941"/>
    </row>
    <row r="29942" spans="1:6" x14ac:dyDescent="0.25">
      <c r="A29942"/>
      <c r="B29942"/>
      <c r="C29942"/>
      <c r="E29942"/>
      <c r="F29942"/>
    </row>
    <row r="29943" spans="1:6" x14ac:dyDescent="0.25">
      <c r="A29943"/>
      <c r="B29943"/>
      <c r="C29943"/>
      <c r="E29943"/>
      <c r="F29943"/>
    </row>
    <row r="29944" spans="1:6" x14ac:dyDescent="0.25">
      <c r="A29944"/>
      <c r="B29944"/>
      <c r="C29944"/>
      <c r="E29944"/>
      <c r="F29944"/>
    </row>
    <row r="29945" spans="1:6" x14ac:dyDescent="0.25">
      <c r="A29945"/>
      <c r="B29945"/>
      <c r="C29945"/>
      <c r="E29945"/>
      <c r="F29945"/>
    </row>
    <row r="29946" spans="1:6" x14ac:dyDescent="0.25">
      <c r="A29946"/>
      <c r="B29946"/>
      <c r="C29946"/>
      <c r="E29946"/>
      <c r="F29946"/>
    </row>
    <row r="29947" spans="1:6" x14ac:dyDescent="0.25">
      <c r="A29947"/>
      <c r="B29947"/>
      <c r="C29947"/>
      <c r="E29947"/>
      <c r="F29947"/>
    </row>
    <row r="29948" spans="1:6" x14ac:dyDescent="0.25">
      <c r="A29948"/>
      <c r="B29948"/>
      <c r="C29948"/>
      <c r="E29948"/>
      <c r="F29948"/>
    </row>
    <row r="29949" spans="1:6" x14ac:dyDescent="0.25">
      <c r="A29949"/>
      <c r="B29949"/>
      <c r="C29949"/>
      <c r="E29949"/>
      <c r="F29949"/>
    </row>
    <row r="29950" spans="1:6" x14ac:dyDescent="0.25">
      <c r="A29950"/>
      <c r="B29950"/>
      <c r="C29950"/>
      <c r="E29950"/>
      <c r="F29950"/>
    </row>
    <row r="29951" spans="1:6" x14ac:dyDescent="0.25">
      <c r="A29951"/>
      <c r="B29951"/>
      <c r="C29951"/>
      <c r="E29951"/>
      <c r="F29951"/>
    </row>
    <row r="29952" spans="1:6" x14ac:dyDescent="0.25">
      <c r="A29952"/>
      <c r="B29952"/>
      <c r="C29952"/>
      <c r="E29952"/>
      <c r="F29952"/>
    </row>
    <row r="29953" spans="1:6" x14ac:dyDescent="0.25">
      <c r="A29953"/>
      <c r="B29953"/>
      <c r="C29953"/>
      <c r="E29953"/>
      <c r="F29953"/>
    </row>
    <row r="29954" spans="1:6" x14ac:dyDescent="0.25">
      <c r="A29954"/>
      <c r="B29954"/>
      <c r="C29954"/>
      <c r="E29954"/>
      <c r="F29954"/>
    </row>
    <row r="29955" spans="1:6" x14ac:dyDescent="0.25">
      <c r="A29955"/>
      <c r="B29955"/>
      <c r="C29955"/>
      <c r="E29955"/>
      <c r="F29955"/>
    </row>
    <row r="29956" spans="1:6" x14ac:dyDescent="0.25">
      <c r="A29956"/>
      <c r="B29956"/>
      <c r="C29956"/>
      <c r="E29956"/>
      <c r="F29956"/>
    </row>
    <row r="29957" spans="1:6" x14ac:dyDescent="0.25">
      <c r="A29957"/>
      <c r="B29957"/>
      <c r="C29957"/>
      <c r="E29957"/>
      <c r="F29957"/>
    </row>
    <row r="29958" spans="1:6" x14ac:dyDescent="0.25">
      <c r="A29958"/>
      <c r="B29958"/>
      <c r="C29958"/>
      <c r="E29958"/>
      <c r="F29958"/>
    </row>
    <row r="29959" spans="1:6" x14ac:dyDescent="0.25">
      <c r="A29959"/>
      <c r="B29959"/>
      <c r="C29959"/>
      <c r="E29959"/>
      <c r="F29959"/>
    </row>
    <row r="29960" spans="1:6" x14ac:dyDescent="0.25">
      <c r="A29960"/>
      <c r="B29960"/>
      <c r="C29960"/>
      <c r="E29960"/>
      <c r="F29960"/>
    </row>
    <row r="29961" spans="1:6" x14ac:dyDescent="0.25">
      <c r="A29961"/>
      <c r="B29961"/>
      <c r="C29961"/>
      <c r="E29961"/>
      <c r="F29961"/>
    </row>
    <row r="29962" spans="1:6" x14ac:dyDescent="0.25">
      <c r="A29962"/>
      <c r="B29962"/>
      <c r="C29962"/>
      <c r="E29962"/>
      <c r="F29962"/>
    </row>
    <row r="29963" spans="1:6" x14ac:dyDescent="0.25">
      <c r="A29963"/>
      <c r="B29963"/>
      <c r="C29963"/>
      <c r="E29963"/>
      <c r="F29963"/>
    </row>
    <row r="29964" spans="1:6" x14ac:dyDescent="0.25">
      <c r="A29964"/>
      <c r="B29964"/>
      <c r="C29964"/>
      <c r="E29964"/>
      <c r="F29964"/>
    </row>
    <row r="29965" spans="1:6" x14ac:dyDescent="0.25">
      <c r="A29965"/>
      <c r="B29965"/>
      <c r="C29965"/>
      <c r="E29965"/>
      <c r="F29965"/>
    </row>
    <row r="29966" spans="1:6" x14ac:dyDescent="0.25">
      <c r="A29966"/>
      <c r="B29966"/>
      <c r="C29966"/>
      <c r="E29966"/>
      <c r="F29966"/>
    </row>
    <row r="29967" spans="1:6" x14ac:dyDescent="0.25">
      <c r="A29967"/>
      <c r="B29967"/>
      <c r="C29967"/>
      <c r="E29967"/>
      <c r="F29967"/>
    </row>
    <row r="29968" spans="1:6" x14ac:dyDescent="0.25">
      <c r="A29968"/>
      <c r="B29968"/>
      <c r="C29968"/>
      <c r="E29968"/>
      <c r="F29968"/>
    </row>
    <row r="29969" spans="1:6" x14ac:dyDescent="0.25">
      <c r="A29969"/>
      <c r="B29969"/>
      <c r="C29969"/>
      <c r="E29969"/>
      <c r="F29969"/>
    </row>
    <row r="29970" spans="1:6" x14ac:dyDescent="0.25">
      <c r="A29970"/>
      <c r="B29970"/>
      <c r="C29970"/>
      <c r="E29970"/>
      <c r="F29970"/>
    </row>
    <row r="29971" spans="1:6" x14ac:dyDescent="0.25">
      <c r="A29971"/>
      <c r="B29971"/>
      <c r="C29971"/>
      <c r="E29971"/>
      <c r="F29971"/>
    </row>
    <row r="29972" spans="1:6" x14ac:dyDescent="0.25">
      <c r="A29972"/>
      <c r="B29972"/>
      <c r="C29972"/>
      <c r="E29972"/>
      <c r="F29972"/>
    </row>
    <row r="29973" spans="1:6" x14ac:dyDescent="0.25">
      <c r="A29973"/>
      <c r="B29973"/>
      <c r="C29973"/>
      <c r="E29973"/>
      <c r="F29973"/>
    </row>
    <row r="29974" spans="1:6" x14ac:dyDescent="0.25">
      <c r="A29974"/>
      <c r="B29974"/>
      <c r="C29974"/>
      <c r="E29974"/>
      <c r="F29974"/>
    </row>
    <row r="29975" spans="1:6" x14ac:dyDescent="0.25">
      <c r="A29975"/>
      <c r="B29975"/>
      <c r="C29975"/>
      <c r="E29975"/>
      <c r="F29975"/>
    </row>
    <row r="29976" spans="1:6" x14ac:dyDescent="0.25">
      <c r="A29976"/>
      <c r="B29976"/>
      <c r="C29976"/>
      <c r="E29976"/>
      <c r="F29976"/>
    </row>
    <row r="29977" spans="1:6" x14ac:dyDescent="0.25">
      <c r="A29977"/>
      <c r="B29977"/>
      <c r="C29977"/>
      <c r="E29977"/>
      <c r="F29977"/>
    </row>
    <row r="29978" spans="1:6" x14ac:dyDescent="0.25">
      <c r="A29978"/>
      <c r="B29978"/>
      <c r="C29978"/>
      <c r="E29978"/>
      <c r="F29978"/>
    </row>
    <row r="29979" spans="1:6" x14ac:dyDescent="0.25">
      <c r="A29979"/>
      <c r="B29979"/>
      <c r="C29979"/>
      <c r="E29979"/>
      <c r="F29979"/>
    </row>
    <row r="29980" spans="1:6" x14ac:dyDescent="0.25">
      <c r="A29980"/>
      <c r="B29980"/>
      <c r="C29980"/>
      <c r="E29980"/>
      <c r="F29980"/>
    </row>
    <row r="29981" spans="1:6" x14ac:dyDescent="0.25">
      <c r="A29981"/>
      <c r="B29981"/>
      <c r="C29981"/>
      <c r="E29981"/>
      <c r="F29981"/>
    </row>
    <row r="29982" spans="1:6" x14ac:dyDescent="0.25">
      <c r="A29982"/>
      <c r="B29982"/>
      <c r="C29982"/>
      <c r="E29982"/>
      <c r="F29982"/>
    </row>
    <row r="29983" spans="1:6" x14ac:dyDescent="0.25">
      <c r="A29983"/>
      <c r="B29983"/>
      <c r="C29983"/>
      <c r="E29983"/>
      <c r="F29983"/>
    </row>
    <row r="29984" spans="1:6" x14ac:dyDescent="0.25">
      <c r="A29984"/>
      <c r="B29984"/>
      <c r="C29984"/>
      <c r="E29984"/>
      <c r="F29984"/>
    </row>
    <row r="29985" spans="1:6" x14ac:dyDescent="0.25">
      <c r="A29985"/>
      <c r="B29985"/>
      <c r="C29985"/>
      <c r="E29985"/>
      <c r="F29985"/>
    </row>
    <row r="29986" spans="1:6" x14ac:dyDescent="0.25">
      <c r="A29986"/>
      <c r="B29986"/>
      <c r="C29986"/>
      <c r="E29986"/>
      <c r="F29986"/>
    </row>
    <row r="29987" spans="1:6" x14ac:dyDescent="0.25">
      <c r="A29987"/>
      <c r="B29987"/>
      <c r="C29987"/>
      <c r="E29987"/>
      <c r="F29987"/>
    </row>
    <row r="29988" spans="1:6" x14ac:dyDescent="0.25">
      <c r="A29988"/>
      <c r="B29988"/>
      <c r="C29988"/>
      <c r="E29988"/>
      <c r="F29988"/>
    </row>
    <row r="29989" spans="1:6" x14ac:dyDescent="0.25">
      <c r="A29989"/>
      <c r="B29989"/>
      <c r="C29989"/>
      <c r="E29989"/>
      <c r="F29989"/>
    </row>
    <row r="29990" spans="1:6" x14ac:dyDescent="0.25">
      <c r="A29990"/>
      <c r="B29990"/>
      <c r="C29990"/>
      <c r="E29990"/>
      <c r="F29990"/>
    </row>
    <row r="29991" spans="1:6" x14ac:dyDescent="0.25">
      <c r="A29991"/>
      <c r="B29991"/>
      <c r="C29991"/>
      <c r="E29991"/>
      <c r="F29991"/>
    </row>
    <row r="29992" spans="1:6" x14ac:dyDescent="0.25">
      <c r="A29992"/>
      <c r="B29992"/>
      <c r="C29992"/>
      <c r="E29992"/>
      <c r="F29992"/>
    </row>
    <row r="29993" spans="1:6" x14ac:dyDescent="0.25">
      <c r="A29993"/>
      <c r="B29993"/>
      <c r="C29993"/>
      <c r="E29993"/>
      <c r="F29993"/>
    </row>
    <row r="29994" spans="1:6" x14ac:dyDescent="0.25">
      <c r="A29994"/>
      <c r="B29994"/>
      <c r="C29994"/>
      <c r="E29994"/>
      <c r="F29994"/>
    </row>
    <row r="29995" spans="1:6" x14ac:dyDescent="0.25">
      <c r="A29995"/>
      <c r="B29995"/>
      <c r="C29995"/>
      <c r="E29995"/>
      <c r="F29995"/>
    </row>
    <row r="29996" spans="1:6" x14ac:dyDescent="0.25">
      <c r="A29996"/>
      <c r="B29996"/>
      <c r="C29996"/>
      <c r="E29996"/>
      <c r="F29996"/>
    </row>
    <row r="29997" spans="1:6" x14ac:dyDescent="0.25">
      <c r="A29997"/>
      <c r="B29997"/>
      <c r="C29997"/>
      <c r="E29997"/>
      <c r="F29997"/>
    </row>
    <row r="29998" spans="1:6" x14ac:dyDescent="0.25">
      <c r="A29998"/>
      <c r="B29998"/>
      <c r="C29998"/>
      <c r="E29998"/>
      <c r="F29998"/>
    </row>
    <row r="29999" spans="1:6" x14ac:dyDescent="0.25">
      <c r="A29999"/>
      <c r="B29999"/>
      <c r="C29999"/>
      <c r="E29999"/>
      <c r="F29999"/>
    </row>
    <row r="30000" spans="1:6" x14ac:dyDescent="0.25">
      <c r="A30000"/>
      <c r="B30000"/>
      <c r="C30000"/>
      <c r="E30000"/>
      <c r="F30000"/>
    </row>
    <row r="30001" spans="1:6" x14ac:dyDescent="0.25">
      <c r="A30001"/>
      <c r="B30001"/>
      <c r="C30001"/>
      <c r="E30001"/>
      <c r="F30001"/>
    </row>
    <row r="30002" spans="1:6" x14ac:dyDescent="0.25">
      <c r="A30002"/>
      <c r="B30002"/>
      <c r="C30002"/>
      <c r="E30002"/>
      <c r="F30002"/>
    </row>
    <row r="30003" spans="1:6" x14ac:dyDescent="0.25">
      <c r="A30003"/>
      <c r="B30003"/>
      <c r="C30003"/>
      <c r="E30003"/>
      <c r="F30003"/>
    </row>
    <row r="30004" spans="1:6" x14ac:dyDescent="0.25">
      <c r="A30004"/>
      <c r="B30004"/>
      <c r="C30004"/>
      <c r="E30004"/>
      <c r="F30004"/>
    </row>
    <row r="30005" spans="1:6" x14ac:dyDescent="0.25">
      <c r="A30005"/>
      <c r="B30005"/>
      <c r="C30005"/>
      <c r="E30005"/>
      <c r="F30005"/>
    </row>
    <row r="30006" spans="1:6" x14ac:dyDescent="0.25">
      <c r="A30006"/>
      <c r="B30006"/>
      <c r="C30006"/>
      <c r="E30006"/>
      <c r="F30006"/>
    </row>
    <row r="30007" spans="1:6" x14ac:dyDescent="0.25">
      <c r="A30007"/>
      <c r="B30007"/>
      <c r="C30007"/>
      <c r="E30007"/>
      <c r="F30007"/>
    </row>
    <row r="30008" spans="1:6" x14ac:dyDescent="0.25">
      <c r="A30008"/>
      <c r="B30008"/>
      <c r="C30008"/>
      <c r="E30008"/>
      <c r="F30008"/>
    </row>
    <row r="30009" spans="1:6" x14ac:dyDescent="0.25">
      <c r="A30009"/>
      <c r="B30009"/>
      <c r="C30009"/>
      <c r="E30009"/>
      <c r="F30009"/>
    </row>
    <row r="30010" spans="1:6" x14ac:dyDescent="0.25">
      <c r="A30010"/>
      <c r="B30010"/>
      <c r="C30010"/>
      <c r="E30010"/>
      <c r="F30010"/>
    </row>
    <row r="30011" spans="1:6" x14ac:dyDescent="0.25">
      <c r="A30011"/>
      <c r="B30011"/>
      <c r="C30011"/>
      <c r="E30011"/>
      <c r="F30011"/>
    </row>
    <row r="30012" spans="1:6" x14ac:dyDescent="0.25">
      <c r="A30012"/>
      <c r="B30012"/>
      <c r="C30012"/>
      <c r="E30012"/>
      <c r="F30012"/>
    </row>
    <row r="30013" spans="1:6" x14ac:dyDescent="0.25">
      <c r="A30013"/>
      <c r="B30013"/>
      <c r="C30013"/>
      <c r="E30013"/>
      <c r="F30013"/>
    </row>
    <row r="30014" spans="1:6" x14ac:dyDescent="0.25">
      <c r="A30014"/>
      <c r="B30014"/>
      <c r="C30014"/>
      <c r="E30014"/>
      <c r="F30014"/>
    </row>
    <row r="30015" spans="1:6" x14ac:dyDescent="0.25">
      <c r="A30015"/>
      <c r="B30015"/>
      <c r="C30015"/>
      <c r="E30015"/>
      <c r="F30015"/>
    </row>
    <row r="30016" spans="1:6" x14ac:dyDescent="0.25">
      <c r="A30016"/>
      <c r="B30016"/>
      <c r="C30016"/>
      <c r="E30016"/>
      <c r="F30016"/>
    </row>
    <row r="30017" spans="1:6" x14ac:dyDescent="0.25">
      <c r="A30017"/>
      <c r="B30017"/>
      <c r="C30017"/>
      <c r="E30017"/>
      <c r="F30017"/>
    </row>
    <row r="30018" spans="1:6" x14ac:dyDescent="0.25">
      <c r="A30018"/>
      <c r="B30018"/>
      <c r="C30018"/>
      <c r="E30018"/>
      <c r="F30018"/>
    </row>
    <row r="30019" spans="1:6" x14ac:dyDescent="0.25">
      <c r="A30019"/>
      <c r="B30019"/>
      <c r="C30019"/>
      <c r="E30019"/>
      <c r="F30019"/>
    </row>
    <row r="30020" spans="1:6" x14ac:dyDescent="0.25">
      <c r="A30020"/>
      <c r="B30020"/>
      <c r="C30020"/>
      <c r="E30020"/>
      <c r="F30020"/>
    </row>
    <row r="30021" spans="1:6" x14ac:dyDescent="0.25">
      <c r="A30021"/>
      <c r="B30021"/>
      <c r="C30021"/>
      <c r="E30021"/>
      <c r="F30021"/>
    </row>
    <row r="30022" spans="1:6" x14ac:dyDescent="0.25">
      <c r="A30022"/>
      <c r="B30022"/>
      <c r="C30022"/>
      <c r="E30022"/>
      <c r="F30022"/>
    </row>
    <row r="30023" spans="1:6" x14ac:dyDescent="0.25">
      <c r="A30023"/>
      <c r="B30023"/>
      <c r="C30023"/>
      <c r="E30023"/>
      <c r="F30023"/>
    </row>
    <row r="30024" spans="1:6" x14ac:dyDescent="0.25">
      <c r="A30024"/>
      <c r="B30024"/>
      <c r="C30024"/>
      <c r="E30024"/>
      <c r="F30024"/>
    </row>
    <row r="30025" spans="1:6" x14ac:dyDescent="0.25">
      <c r="A30025"/>
      <c r="B30025"/>
      <c r="C30025"/>
      <c r="E30025"/>
      <c r="F30025"/>
    </row>
    <row r="30026" spans="1:6" x14ac:dyDescent="0.25">
      <c r="A30026"/>
      <c r="B30026"/>
      <c r="C30026"/>
      <c r="E30026"/>
      <c r="F30026"/>
    </row>
    <row r="30027" spans="1:6" x14ac:dyDescent="0.25">
      <c r="A30027"/>
      <c r="B30027"/>
      <c r="C30027"/>
      <c r="E30027"/>
      <c r="F30027"/>
    </row>
    <row r="30028" spans="1:6" x14ac:dyDescent="0.25">
      <c r="A30028"/>
      <c r="B30028"/>
      <c r="C30028"/>
      <c r="E30028"/>
      <c r="F30028"/>
    </row>
    <row r="30029" spans="1:6" x14ac:dyDescent="0.25">
      <c r="A30029"/>
      <c r="B30029"/>
      <c r="C30029"/>
      <c r="E30029"/>
      <c r="F30029"/>
    </row>
    <row r="30030" spans="1:6" x14ac:dyDescent="0.25">
      <c r="A30030"/>
      <c r="B30030"/>
      <c r="C30030"/>
      <c r="E30030"/>
      <c r="F30030"/>
    </row>
    <row r="30031" spans="1:6" x14ac:dyDescent="0.25">
      <c r="A30031"/>
      <c r="B30031"/>
      <c r="C30031"/>
      <c r="E30031"/>
      <c r="F30031"/>
    </row>
    <row r="30032" spans="1:6" x14ac:dyDescent="0.25">
      <c r="A30032"/>
      <c r="B30032"/>
      <c r="C30032"/>
      <c r="E30032"/>
      <c r="F30032"/>
    </row>
    <row r="30033" spans="1:6" x14ac:dyDescent="0.25">
      <c r="A30033"/>
      <c r="B30033"/>
      <c r="C30033"/>
      <c r="E30033"/>
      <c r="F30033"/>
    </row>
    <row r="30034" spans="1:6" x14ac:dyDescent="0.25">
      <c r="A30034"/>
      <c r="B30034"/>
      <c r="C30034"/>
      <c r="E30034"/>
      <c r="F30034"/>
    </row>
    <row r="30035" spans="1:6" x14ac:dyDescent="0.25">
      <c r="A30035"/>
      <c r="B30035"/>
      <c r="C30035"/>
      <c r="E30035"/>
      <c r="F30035"/>
    </row>
    <row r="30036" spans="1:6" x14ac:dyDescent="0.25">
      <c r="A30036"/>
      <c r="B30036"/>
      <c r="C30036"/>
      <c r="E30036"/>
      <c r="F30036"/>
    </row>
    <row r="30037" spans="1:6" x14ac:dyDescent="0.25">
      <c r="A30037"/>
      <c r="B30037"/>
      <c r="C30037"/>
      <c r="E30037"/>
      <c r="F30037"/>
    </row>
    <row r="30038" spans="1:6" x14ac:dyDescent="0.25">
      <c r="A30038"/>
      <c r="B30038"/>
      <c r="C30038"/>
      <c r="E30038"/>
      <c r="F30038"/>
    </row>
    <row r="30039" spans="1:6" x14ac:dyDescent="0.25">
      <c r="A30039"/>
      <c r="B30039"/>
      <c r="C30039"/>
      <c r="E30039"/>
      <c r="F30039"/>
    </row>
    <row r="30040" spans="1:6" x14ac:dyDescent="0.25">
      <c r="A30040"/>
      <c r="B30040"/>
      <c r="C30040"/>
      <c r="E30040"/>
      <c r="F30040"/>
    </row>
    <row r="30041" spans="1:6" x14ac:dyDescent="0.25">
      <c r="A30041"/>
      <c r="B30041"/>
      <c r="C30041"/>
      <c r="E30041"/>
      <c r="F30041"/>
    </row>
    <row r="30042" spans="1:6" x14ac:dyDescent="0.25">
      <c r="A30042"/>
      <c r="B30042"/>
      <c r="C30042"/>
      <c r="E30042"/>
      <c r="F30042"/>
    </row>
    <row r="30043" spans="1:6" x14ac:dyDescent="0.25">
      <c r="A30043"/>
      <c r="B30043"/>
      <c r="C30043"/>
      <c r="E30043"/>
      <c r="F30043"/>
    </row>
    <row r="30044" spans="1:6" x14ac:dyDescent="0.25">
      <c r="A30044"/>
      <c r="B30044"/>
      <c r="C30044"/>
      <c r="E30044"/>
      <c r="F30044"/>
    </row>
    <row r="30045" spans="1:6" x14ac:dyDescent="0.25">
      <c r="A30045"/>
      <c r="B30045"/>
      <c r="C30045"/>
      <c r="E30045"/>
      <c r="F30045"/>
    </row>
    <row r="30046" spans="1:6" x14ac:dyDescent="0.25">
      <c r="A30046"/>
      <c r="B30046"/>
      <c r="C30046"/>
      <c r="E30046"/>
      <c r="F30046"/>
    </row>
    <row r="30047" spans="1:6" x14ac:dyDescent="0.25">
      <c r="A30047"/>
      <c r="B30047"/>
      <c r="C30047"/>
      <c r="E30047"/>
      <c r="F30047"/>
    </row>
    <row r="30048" spans="1:6" x14ac:dyDescent="0.25">
      <c r="A30048"/>
      <c r="B30048"/>
      <c r="C30048"/>
      <c r="E30048"/>
      <c r="F30048"/>
    </row>
    <row r="30049" spans="1:6" x14ac:dyDescent="0.25">
      <c r="A30049"/>
      <c r="B30049"/>
      <c r="C30049"/>
      <c r="E30049"/>
      <c r="F30049"/>
    </row>
    <row r="30050" spans="1:6" x14ac:dyDescent="0.25">
      <c r="A30050"/>
      <c r="B30050"/>
      <c r="C30050"/>
      <c r="E30050"/>
      <c r="F30050"/>
    </row>
    <row r="30051" spans="1:6" x14ac:dyDescent="0.25">
      <c r="A30051"/>
      <c r="B30051"/>
      <c r="C30051"/>
      <c r="E30051"/>
      <c r="F30051"/>
    </row>
    <row r="30052" spans="1:6" x14ac:dyDescent="0.25">
      <c r="A30052"/>
      <c r="B30052"/>
      <c r="C30052"/>
      <c r="E30052"/>
      <c r="F30052"/>
    </row>
    <row r="30053" spans="1:6" x14ac:dyDescent="0.25">
      <c r="A30053"/>
      <c r="B30053"/>
      <c r="C30053"/>
      <c r="E30053"/>
      <c r="F30053"/>
    </row>
    <row r="30054" spans="1:6" x14ac:dyDescent="0.25">
      <c r="A30054"/>
      <c r="B30054"/>
      <c r="C30054"/>
      <c r="E30054"/>
      <c r="F30054"/>
    </row>
    <row r="30055" spans="1:6" x14ac:dyDescent="0.25">
      <c r="A30055"/>
      <c r="B30055"/>
      <c r="C30055"/>
      <c r="E30055"/>
      <c r="F30055"/>
    </row>
    <row r="30056" spans="1:6" x14ac:dyDescent="0.25">
      <c r="A30056"/>
      <c r="B30056"/>
      <c r="C30056"/>
      <c r="E30056"/>
      <c r="F30056"/>
    </row>
    <row r="30057" spans="1:6" x14ac:dyDescent="0.25">
      <c r="A30057"/>
      <c r="B30057"/>
      <c r="C30057"/>
      <c r="E30057"/>
      <c r="F30057"/>
    </row>
    <row r="30058" spans="1:6" x14ac:dyDescent="0.25">
      <c r="A30058"/>
      <c r="B30058"/>
      <c r="C30058"/>
      <c r="E30058"/>
      <c r="F30058"/>
    </row>
    <row r="30059" spans="1:6" x14ac:dyDescent="0.25">
      <c r="A30059"/>
      <c r="B30059"/>
      <c r="C30059"/>
      <c r="E30059"/>
      <c r="F30059"/>
    </row>
    <row r="30060" spans="1:6" x14ac:dyDescent="0.25">
      <c r="A30060"/>
      <c r="B30060"/>
      <c r="C30060"/>
      <c r="E30060"/>
      <c r="F30060"/>
    </row>
    <row r="30061" spans="1:6" x14ac:dyDescent="0.25">
      <c r="A30061"/>
      <c r="B30061"/>
      <c r="C30061"/>
      <c r="E30061"/>
      <c r="F30061"/>
    </row>
    <row r="30062" spans="1:6" x14ac:dyDescent="0.25">
      <c r="A30062"/>
      <c r="B30062"/>
      <c r="C30062"/>
      <c r="E30062"/>
      <c r="F30062"/>
    </row>
    <row r="30063" spans="1:6" x14ac:dyDescent="0.25">
      <c r="A30063"/>
      <c r="B30063"/>
      <c r="C30063"/>
      <c r="E30063"/>
      <c r="F30063"/>
    </row>
    <row r="30064" spans="1:6" x14ac:dyDescent="0.25">
      <c r="A30064"/>
      <c r="B30064"/>
      <c r="C30064"/>
      <c r="E30064"/>
      <c r="F30064"/>
    </row>
    <row r="30065" spans="1:6" x14ac:dyDescent="0.25">
      <c r="A30065"/>
      <c r="B30065"/>
      <c r="C30065"/>
      <c r="E30065"/>
      <c r="F30065"/>
    </row>
    <row r="30066" spans="1:6" x14ac:dyDescent="0.25">
      <c r="A30066"/>
      <c r="B30066"/>
      <c r="C30066"/>
      <c r="E30066"/>
      <c r="F30066"/>
    </row>
    <row r="30067" spans="1:6" x14ac:dyDescent="0.25">
      <c r="A30067"/>
      <c r="B30067"/>
      <c r="C30067"/>
      <c r="E30067"/>
      <c r="F30067"/>
    </row>
    <row r="30068" spans="1:6" x14ac:dyDescent="0.25">
      <c r="A30068"/>
      <c r="B30068"/>
      <c r="C30068"/>
      <c r="E30068"/>
      <c r="F30068"/>
    </row>
    <row r="30069" spans="1:6" x14ac:dyDescent="0.25">
      <c r="A30069"/>
      <c r="B30069"/>
      <c r="C30069"/>
      <c r="E30069"/>
      <c r="F30069"/>
    </row>
    <row r="30070" spans="1:6" x14ac:dyDescent="0.25">
      <c r="A30070"/>
      <c r="B30070"/>
      <c r="C30070"/>
      <c r="E30070"/>
      <c r="F30070"/>
    </row>
    <row r="30071" spans="1:6" x14ac:dyDescent="0.25">
      <c r="A30071"/>
      <c r="B30071"/>
      <c r="C30071"/>
      <c r="E30071"/>
      <c r="F30071"/>
    </row>
    <row r="30072" spans="1:6" x14ac:dyDescent="0.25">
      <c r="A30072"/>
      <c r="B30072"/>
      <c r="C30072"/>
      <c r="E30072"/>
      <c r="F30072"/>
    </row>
    <row r="30073" spans="1:6" x14ac:dyDescent="0.25">
      <c r="A30073"/>
      <c r="B30073"/>
      <c r="C30073"/>
      <c r="E30073"/>
      <c r="F30073"/>
    </row>
    <row r="30074" spans="1:6" x14ac:dyDescent="0.25">
      <c r="A30074"/>
      <c r="B30074"/>
      <c r="C30074"/>
      <c r="E30074"/>
      <c r="F30074"/>
    </row>
    <row r="30075" spans="1:6" x14ac:dyDescent="0.25">
      <c r="A30075"/>
      <c r="B30075"/>
      <c r="C30075"/>
      <c r="E30075"/>
      <c r="F30075"/>
    </row>
    <row r="30076" spans="1:6" x14ac:dyDescent="0.25">
      <c r="A30076"/>
      <c r="B30076"/>
      <c r="C30076"/>
      <c r="E30076"/>
      <c r="F30076"/>
    </row>
    <row r="30077" spans="1:6" x14ac:dyDescent="0.25">
      <c r="A30077"/>
      <c r="B30077"/>
      <c r="C30077"/>
      <c r="E30077"/>
      <c r="F30077"/>
    </row>
    <row r="30078" spans="1:6" x14ac:dyDescent="0.25">
      <c r="A30078"/>
      <c r="B30078"/>
      <c r="C30078"/>
      <c r="E30078"/>
      <c r="F30078"/>
    </row>
    <row r="30079" spans="1:6" x14ac:dyDescent="0.25">
      <c r="A30079"/>
      <c r="B30079"/>
      <c r="C30079"/>
      <c r="E30079"/>
      <c r="F30079"/>
    </row>
    <row r="30080" spans="1:6" x14ac:dyDescent="0.25">
      <c r="A30080"/>
      <c r="B30080"/>
      <c r="C30080"/>
      <c r="E30080"/>
      <c r="F30080"/>
    </row>
    <row r="30081" spans="1:6" x14ac:dyDescent="0.25">
      <c r="A30081"/>
      <c r="B30081"/>
      <c r="C30081"/>
      <c r="E30081"/>
      <c r="F30081"/>
    </row>
    <row r="30082" spans="1:6" x14ac:dyDescent="0.25">
      <c r="A30082"/>
      <c r="B30082"/>
      <c r="C30082"/>
      <c r="E30082"/>
      <c r="F30082"/>
    </row>
    <row r="30083" spans="1:6" x14ac:dyDescent="0.25">
      <c r="A30083"/>
      <c r="B30083"/>
      <c r="C30083"/>
      <c r="E30083"/>
      <c r="F30083"/>
    </row>
    <row r="30084" spans="1:6" x14ac:dyDescent="0.25">
      <c r="A30084"/>
      <c r="B30084"/>
      <c r="C30084"/>
      <c r="E30084"/>
      <c r="F30084"/>
    </row>
    <row r="30085" spans="1:6" x14ac:dyDescent="0.25">
      <c r="A30085"/>
      <c r="B30085"/>
      <c r="C30085"/>
      <c r="E30085"/>
      <c r="F30085"/>
    </row>
    <row r="30086" spans="1:6" x14ac:dyDescent="0.25">
      <c r="A30086"/>
      <c r="B30086"/>
      <c r="C30086"/>
      <c r="E30086"/>
      <c r="F30086"/>
    </row>
    <row r="30087" spans="1:6" x14ac:dyDescent="0.25">
      <c r="A30087"/>
      <c r="B30087"/>
      <c r="C30087"/>
      <c r="E30087"/>
      <c r="F30087"/>
    </row>
    <row r="30088" spans="1:6" x14ac:dyDescent="0.25">
      <c r="A30088"/>
      <c r="B30088"/>
      <c r="C30088"/>
      <c r="E30088"/>
      <c r="F30088"/>
    </row>
    <row r="30089" spans="1:6" x14ac:dyDescent="0.25">
      <c r="A30089"/>
      <c r="B30089"/>
      <c r="C30089"/>
      <c r="E30089"/>
      <c r="F30089"/>
    </row>
    <row r="30090" spans="1:6" x14ac:dyDescent="0.25">
      <c r="A30090"/>
      <c r="B30090"/>
      <c r="C30090"/>
      <c r="E30090"/>
      <c r="F30090"/>
    </row>
    <row r="30091" spans="1:6" x14ac:dyDescent="0.25">
      <c r="A30091"/>
      <c r="B30091"/>
      <c r="C30091"/>
      <c r="E30091"/>
      <c r="F30091"/>
    </row>
    <row r="30092" spans="1:6" x14ac:dyDescent="0.25">
      <c r="A30092"/>
      <c r="B30092"/>
      <c r="C30092"/>
      <c r="E30092"/>
      <c r="F30092"/>
    </row>
    <row r="30093" spans="1:6" x14ac:dyDescent="0.25">
      <c r="A30093"/>
      <c r="B30093"/>
      <c r="C30093"/>
      <c r="E30093"/>
      <c r="F30093"/>
    </row>
    <row r="30094" spans="1:6" x14ac:dyDescent="0.25">
      <c r="A30094"/>
      <c r="B30094"/>
      <c r="C30094"/>
      <c r="E30094"/>
      <c r="F30094"/>
    </row>
    <row r="30095" spans="1:6" x14ac:dyDescent="0.25">
      <c r="A30095"/>
      <c r="B30095"/>
      <c r="C30095"/>
      <c r="E30095"/>
      <c r="F30095"/>
    </row>
    <row r="30096" spans="1:6" x14ac:dyDescent="0.25">
      <c r="A30096"/>
      <c r="B30096"/>
      <c r="C30096"/>
      <c r="E30096"/>
      <c r="F30096"/>
    </row>
    <row r="30097" spans="1:6" x14ac:dyDescent="0.25">
      <c r="A30097"/>
      <c r="B30097"/>
      <c r="C30097"/>
      <c r="E30097"/>
      <c r="F30097"/>
    </row>
    <row r="30098" spans="1:6" x14ac:dyDescent="0.25">
      <c r="A30098"/>
      <c r="B30098"/>
      <c r="C30098"/>
      <c r="E30098"/>
      <c r="F30098"/>
    </row>
    <row r="30099" spans="1:6" x14ac:dyDescent="0.25">
      <c r="A30099"/>
      <c r="B30099"/>
      <c r="C30099"/>
      <c r="E30099"/>
      <c r="F30099"/>
    </row>
    <row r="30100" spans="1:6" x14ac:dyDescent="0.25">
      <c r="A30100"/>
      <c r="B30100"/>
      <c r="C30100"/>
      <c r="E30100"/>
      <c r="F30100"/>
    </row>
    <row r="30101" spans="1:6" x14ac:dyDescent="0.25">
      <c r="A30101"/>
      <c r="B30101"/>
      <c r="C30101"/>
      <c r="E30101"/>
      <c r="F30101"/>
    </row>
    <row r="30102" spans="1:6" x14ac:dyDescent="0.25">
      <c r="A30102"/>
      <c r="B30102"/>
      <c r="C30102"/>
      <c r="E30102"/>
      <c r="F30102"/>
    </row>
    <row r="30103" spans="1:6" x14ac:dyDescent="0.25">
      <c r="A30103"/>
      <c r="B30103"/>
      <c r="C30103"/>
      <c r="E30103"/>
      <c r="F30103"/>
    </row>
    <row r="30104" spans="1:6" x14ac:dyDescent="0.25">
      <c r="A30104"/>
      <c r="B30104"/>
      <c r="C30104"/>
      <c r="E30104"/>
      <c r="F30104"/>
    </row>
    <row r="30105" spans="1:6" x14ac:dyDescent="0.25">
      <c r="A30105"/>
      <c r="B30105"/>
      <c r="C30105"/>
      <c r="E30105"/>
      <c r="F30105"/>
    </row>
    <row r="30106" spans="1:6" x14ac:dyDescent="0.25">
      <c r="A30106"/>
      <c r="B30106"/>
      <c r="C30106"/>
      <c r="E30106"/>
      <c r="F30106"/>
    </row>
    <row r="30107" spans="1:6" x14ac:dyDescent="0.25">
      <c r="A30107"/>
      <c r="B30107"/>
      <c r="C30107"/>
      <c r="E30107"/>
      <c r="F30107"/>
    </row>
    <row r="30108" spans="1:6" x14ac:dyDescent="0.25">
      <c r="A30108"/>
      <c r="B30108"/>
      <c r="C30108"/>
      <c r="E30108"/>
      <c r="F30108"/>
    </row>
    <row r="30109" spans="1:6" x14ac:dyDescent="0.25">
      <c r="A30109"/>
      <c r="B30109"/>
      <c r="C30109"/>
      <c r="E30109"/>
      <c r="F30109"/>
    </row>
    <row r="30110" spans="1:6" x14ac:dyDescent="0.25">
      <c r="A30110"/>
      <c r="B30110"/>
      <c r="C30110"/>
      <c r="E30110"/>
      <c r="F30110"/>
    </row>
    <row r="30111" spans="1:6" x14ac:dyDescent="0.25">
      <c r="A30111"/>
      <c r="B30111"/>
      <c r="C30111"/>
      <c r="E30111"/>
      <c r="F30111"/>
    </row>
    <row r="30112" spans="1:6" x14ac:dyDescent="0.25">
      <c r="A30112"/>
      <c r="B30112"/>
      <c r="C30112"/>
      <c r="E30112"/>
      <c r="F30112"/>
    </row>
    <row r="30113" spans="1:6" x14ac:dyDescent="0.25">
      <c r="A30113"/>
      <c r="B30113"/>
      <c r="C30113"/>
      <c r="E30113"/>
      <c r="F30113"/>
    </row>
    <row r="30114" spans="1:6" x14ac:dyDescent="0.25">
      <c r="A30114"/>
      <c r="B30114"/>
      <c r="C30114"/>
      <c r="E30114"/>
      <c r="F30114"/>
    </row>
    <row r="30115" spans="1:6" x14ac:dyDescent="0.25">
      <c r="A30115"/>
      <c r="B30115"/>
      <c r="C30115"/>
      <c r="E30115"/>
      <c r="F30115"/>
    </row>
    <row r="30116" spans="1:6" x14ac:dyDescent="0.25">
      <c r="A30116"/>
      <c r="B30116"/>
      <c r="C30116"/>
      <c r="E30116"/>
      <c r="F30116"/>
    </row>
    <row r="30117" spans="1:6" x14ac:dyDescent="0.25">
      <c r="A30117"/>
      <c r="B30117"/>
      <c r="C30117"/>
      <c r="E30117"/>
      <c r="F30117"/>
    </row>
    <row r="30118" spans="1:6" x14ac:dyDescent="0.25">
      <c r="A30118"/>
      <c r="B30118"/>
      <c r="C30118"/>
      <c r="E30118"/>
      <c r="F30118"/>
    </row>
    <row r="30119" spans="1:6" x14ac:dyDescent="0.25">
      <c r="A30119"/>
      <c r="B30119"/>
      <c r="C30119"/>
      <c r="E30119"/>
      <c r="F30119"/>
    </row>
    <row r="30120" spans="1:6" x14ac:dyDescent="0.25">
      <c r="A30120"/>
      <c r="B30120"/>
      <c r="C30120"/>
      <c r="E30120"/>
      <c r="F30120"/>
    </row>
    <row r="30121" spans="1:6" x14ac:dyDescent="0.25">
      <c r="A30121"/>
      <c r="B30121"/>
      <c r="C30121"/>
      <c r="E30121"/>
      <c r="F30121"/>
    </row>
    <row r="30122" spans="1:6" x14ac:dyDescent="0.25">
      <c r="A30122"/>
      <c r="B30122"/>
      <c r="C30122"/>
      <c r="E30122"/>
      <c r="F30122"/>
    </row>
    <row r="30123" spans="1:6" x14ac:dyDescent="0.25">
      <c r="A30123"/>
      <c r="B30123"/>
      <c r="C30123"/>
      <c r="E30123"/>
      <c r="F30123"/>
    </row>
    <row r="30124" spans="1:6" x14ac:dyDescent="0.25">
      <c r="A30124"/>
      <c r="B30124"/>
      <c r="C30124"/>
      <c r="E30124"/>
      <c r="F30124"/>
    </row>
    <row r="30125" spans="1:6" x14ac:dyDescent="0.25">
      <c r="A30125"/>
      <c r="B30125"/>
      <c r="C30125"/>
      <c r="E30125"/>
      <c r="F30125"/>
    </row>
    <row r="30126" spans="1:6" x14ac:dyDescent="0.25">
      <c r="A30126"/>
      <c r="B30126"/>
      <c r="C30126"/>
      <c r="E30126"/>
      <c r="F30126"/>
    </row>
    <row r="30127" spans="1:6" x14ac:dyDescent="0.25">
      <c r="A30127"/>
      <c r="B30127"/>
      <c r="C30127"/>
      <c r="E30127"/>
      <c r="F30127"/>
    </row>
    <row r="30128" spans="1:6" x14ac:dyDescent="0.25">
      <c r="A30128"/>
      <c r="B30128"/>
      <c r="C30128"/>
      <c r="E30128"/>
      <c r="F30128"/>
    </row>
    <row r="30129" spans="1:6" x14ac:dyDescent="0.25">
      <c r="A30129"/>
      <c r="B30129"/>
      <c r="C30129"/>
      <c r="E30129"/>
      <c r="F30129"/>
    </row>
    <row r="30130" spans="1:6" x14ac:dyDescent="0.25">
      <c r="A30130"/>
      <c r="B30130"/>
      <c r="C30130"/>
      <c r="E30130"/>
      <c r="F30130"/>
    </row>
    <row r="30131" spans="1:6" x14ac:dyDescent="0.25">
      <c r="A30131"/>
      <c r="B30131"/>
      <c r="C30131"/>
      <c r="E30131"/>
      <c r="F30131"/>
    </row>
    <row r="30132" spans="1:6" x14ac:dyDescent="0.25">
      <c r="A30132"/>
      <c r="B30132"/>
      <c r="C30132"/>
      <c r="E30132"/>
      <c r="F30132"/>
    </row>
    <row r="30133" spans="1:6" x14ac:dyDescent="0.25">
      <c r="A30133"/>
      <c r="B30133"/>
      <c r="C30133"/>
      <c r="E30133"/>
      <c r="F30133"/>
    </row>
    <row r="30134" spans="1:6" x14ac:dyDescent="0.25">
      <c r="A30134"/>
      <c r="B30134"/>
      <c r="C30134"/>
      <c r="E30134"/>
      <c r="F30134"/>
    </row>
    <row r="30135" spans="1:6" x14ac:dyDescent="0.25">
      <c r="A30135"/>
      <c r="B30135"/>
      <c r="C30135"/>
      <c r="E30135"/>
      <c r="F30135"/>
    </row>
    <row r="30136" spans="1:6" x14ac:dyDescent="0.25">
      <c r="A30136"/>
      <c r="B30136"/>
      <c r="C30136"/>
      <c r="E30136"/>
      <c r="F30136"/>
    </row>
    <row r="30137" spans="1:6" x14ac:dyDescent="0.25">
      <c r="A30137"/>
      <c r="B30137"/>
      <c r="C30137"/>
      <c r="E30137"/>
      <c r="F30137"/>
    </row>
    <row r="30138" spans="1:6" x14ac:dyDescent="0.25">
      <c r="A30138"/>
      <c r="B30138"/>
      <c r="C30138"/>
      <c r="E30138"/>
      <c r="F30138"/>
    </row>
    <row r="30139" spans="1:6" x14ac:dyDescent="0.25">
      <c r="A30139"/>
      <c r="B30139"/>
      <c r="C30139"/>
      <c r="E30139"/>
      <c r="F30139"/>
    </row>
    <row r="30140" spans="1:6" x14ac:dyDescent="0.25">
      <c r="A30140"/>
      <c r="B30140"/>
      <c r="C30140"/>
      <c r="E30140"/>
      <c r="F30140"/>
    </row>
    <row r="30141" spans="1:6" x14ac:dyDescent="0.25">
      <c r="A30141"/>
      <c r="B30141"/>
      <c r="C30141"/>
      <c r="E30141"/>
      <c r="F30141"/>
    </row>
    <row r="30142" spans="1:6" x14ac:dyDescent="0.25">
      <c r="A30142"/>
      <c r="B30142"/>
      <c r="C30142"/>
      <c r="E30142"/>
      <c r="F30142"/>
    </row>
    <row r="30143" spans="1:6" x14ac:dyDescent="0.25">
      <c r="A30143"/>
      <c r="B30143"/>
      <c r="C30143"/>
      <c r="E30143"/>
      <c r="F30143"/>
    </row>
    <row r="30144" spans="1:6" x14ac:dyDescent="0.25">
      <c r="A30144"/>
      <c r="B30144"/>
      <c r="C30144"/>
      <c r="E30144"/>
      <c r="F30144"/>
    </row>
    <row r="30145" spans="1:6" x14ac:dyDescent="0.25">
      <c r="A30145"/>
      <c r="B30145"/>
      <c r="C30145"/>
      <c r="E30145"/>
      <c r="F30145"/>
    </row>
    <row r="30146" spans="1:6" x14ac:dyDescent="0.25">
      <c r="A30146"/>
      <c r="B30146"/>
      <c r="C30146"/>
      <c r="E30146"/>
      <c r="F30146"/>
    </row>
    <row r="30147" spans="1:6" x14ac:dyDescent="0.25">
      <c r="A30147"/>
      <c r="B30147"/>
      <c r="C30147"/>
      <c r="E30147"/>
      <c r="F30147"/>
    </row>
    <row r="30148" spans="1:6" x14ac:dyDescent="0.25">
      <c r="A30148"/>
      <c r="B30148"/>
      <c r="C30148"/>
      <c r="E30148"/>
      <c r="F30148"/>
    </row>
    <row r="30149" spans="1:6" x14ac:dyDescent="0.25">
      <c r="A30149"/>
      <c r="B30149"/>
      <c r="C30149"/>
      <c r="E30149"/>
      <c r="F30149"/>
    </row>
    <row r="30150" spans="1:6" x14ac:dyDescent="0.25">
      <c r="A30150"/>
      <c r="B30150"/>
      <c r="C30150"/>
      <c r="E30150"/>
      <c r="F30150"/>
    </row>
    <row r="30151" spans="1:6" x14ac:dyDescent="0.25">
      <c r="A30151"/>
      <c r="B30151"/>
      <c r="C30151"/>
      <c r="E30151"/>
      <c r="F30151"/>
    </row>
    <row r="30152" spans="1:6" x14ac:dyDescent="0.25">
      <c r="A30152"/>
      <c r="B30152"/>
      <c r="C30152"/>
      <c r="E30152"/>
      <c r="F30152"/>
    </row>
    <row r="30153" spans="1:6" x14ac:dyDescent="0.25">
      <c r="A30153"/>
      <c r="B30153"/>
      <c r="C30153"/>
      <c r="E30153"/>
      <c r="F30153"/>
    </row>
    <row r="30154" spans="1:6" x14ac:dyDescent="0.25">
      <c r="A30154"/>
      <c r="B30154"/>
      <c r="C30154"/>
      <c r="E30154"/>
      <c r="F30154"/>
    </row>
    <row r="30155" spans="1:6" x14ac:dyDescent="0.25">
      <c r="A30155"/>
      <c r="B30155"/>
      <c r="C30155"/>
      <c r="E30155"/>
      <c r="F30155"/>
    </row>
    <row r="30156" spans="1:6" x14ac:dyDescent="0.25">
      <c r="A30156"/>
      <c r="B30156"/>
      <c r="C30156"/>
      <c r="E30156"/>
      <c r="F30156"/>
    </row>
    <row r="30157" spans="1:6" x14ac:dyDescent="0.25">
      <c r="A30157"/>
      <c r="B30157"/>
      <c r="C30157"/>
      <c r="E30157"/>
      <c r="F30157"/>
    </row>
    <row r="30158" spans="1:6" x14ac:dyDescent="0.25">
      <c r="A30158"/>
      <c r="B30158"/>
      <c r="C30158"/>
      <c r="E30158"/>
      <c r="F30158"/>
    </row>
    <row r="30159" spans="1:6" x14ac:dyDescent="0.25">
      <c r="A30159"/>
      <c r="B30159"/>
      <c r="C30159"/>
      <c r="E30159"/>
      <c r="F30159"/>
    </row>
    <row r="30160" spans="1:6" x14ac:dyDescent="0.25">
      <c r="A30160"/>
      <c r="B30160"/>
      <c r="C30160"/>
      <c r="E30160"/>
      <c r="F30160"/>
    </row>
    <row r="30161" spans="1:6" x14ac:dyDescent="0.25">
      <c r="A30161"/>
      <c r="B30161"/>
      <c r="C30161"/>
      <c r="E30161"/>
      <c r="F30161"/>
    </row>
    <row r="30162" spans="1:6" x14ac:dyDescent="0.25">
      <c r="A30162"/>
      <c r="B30162"/>
      <c r="C30162"/>
      <c r="E30162"/>
      <c r="F30162"/>
    </row>
    <row r="30163" spans="1:6" x14ac:dyDescent="0.25">
      <c r="A30163"/>
      <c r="B30163"/>
      <c r="C30163"/>
      <c r="E30163"/>
      <c r="F30163"/>
    </row>
    <row r="30164" spans="1:6" x14ac:dyDescent="0.25">
      <c r="A30164"/>
      <c r="B30164"/>
      <c r="C30164"/>
      <c r="E30164"/>
      <c r="F30164"/>
    </row>
    <row r="30165" spans="1:6" x14ac:dyDescent="0.25">
      <c r="A30165"/>
      <c r="B30165"/>
      <c r="C30165"/>
      <c r="E30165"/>
      <c r="F30165"/>
    </row>
    <row r="30166" spans="1:6" x14ac:dyDescent="0.25">
      <c r="A30166"/>
      <c r="B30166"/>
      <c r="C30166"/>
      <c r="E30166"/>
      <c r="F30166"/>
    </row>
    <row r="30167" spans="1:6" x14ac:dyDescent="0.25">
      <c r="A30167"/>
      <c r="B30167"/>
      <c r="C30167"/>
      <c r="E30167"/>
      <c r="F30167"/>
    </row>
    <row r="30168" spans="1:6" x14ac:dyDescent="0.25">
      <c r="A30168"/>
      <c r="B30168"/>
      <c r="C30168"/>
      <c r="E30168"/>
      <c r="F30168"/>
    </row>
    <row r="30169" spans="1:6" x14ac:dyDescent="0.25">
      <c r="A30169"/>
      <c r="B30169"/>
      <c r="C30169"/>
      <c r="E30169"/>
      <c r="F30169"/>
    </row>
    <row r="30170" spans="1:6" x14ac:dyDescent="0.25">
      <c r="A30170"/>
      <c r="B30170"/>
      <c r="C30170"/>
      <c r="E30170"/>
      <c r="F30170"/>
    </row>
    <row r="30171" spans="1:6" x14ac:dyDescent="0.25">
      <c r="A30171"/>
      <c r="B30171"/>
      <c r="C30171"/>
      <c r="E30171"/>
      <c r="F30171"/>
    </row>
    <row r="30172" spans="1:6" x14ac:dyDescent="0.25">
      <c r="A30172"/>
      <c r="B30172"/>
      <c r="C30172"/>
      <c r="E30172"/>
      <c r="F30172"/>
    </row>
    <row r="30173" spans="1:6" x14ac:dyDescent="0.25">
      <c r="A30173"/>
      <c r="B30173"/>
      <c r="C30173"/>
      <c r="E30173"/>
      <c r="F30173"/>
    </row>
    <row r="30174" spans="1:6" x14ac:dyDescent="0.25">
      <c r="A30174"/>
      <c r="B30174"/>
      <c r="C30174"/>
      <c r="E30174"/>
      <c r="F30174"/>
    </row>
    <row r="30175" spans="1:6" x14ac:dyDescent="0.25">
      <c r="A30175"/>
      <c r="B30175"/>
      <c r="C30175"/>
      <c r="E30175"/>
      <c r="F30175"/>
    </row>
    <row r="30176" spans="1:6" x14ac:dyDescent="0.25">
      <c r="A30176"/>
      <c r="B30176"/>
      <c r="C30176"/>
      <c r="E30176"/>
      <c r="F30176"/>
    </row>
    <row r="30177" spans="1:6" x14ac:dyDescent="0.25">
      <c r="A30177"/>
      <c r="B30177"/>
      <c r="C30177"/>
      <c r="E30177"/>
      <c r="F30177"/>
    </row>
    <row r="30178" spans="1:6" x14ac:dyDescent="0.25">
      <c r="A30178"/>
      <c r="B30178"/>
      <c r="C30178"/>
      <c r="E30178"/>
      <c r="F30178"/>
    </row>
    <row r="30179" spans="1:6" x14ac:dyDescent="0.25">
      <c r="A30179"/>
      <c r="B30179"/>
      <c r="C30179"/>
      <c r="E30179"/>
      <c r="F30179"/>
    </row>
    <row r="30180" spans="1:6" x14ac:dyDescent="0.25">
      <c r="A30180"/>
      <c r="B30180"/>
      <c r="C30180"/>
      <c r="E30180"/>
      <c r="F30180"/>
    </row>
    <row r="30181" spans="1:6" x14ac:dyDescent="0.25">
      <c r="A30181"/>
      <c r="B30181"/>
      <c r="C30181"/>
      <c r="E30181"/>
      <c r="F30181"/>
    </row>
    <row r="30182" spans="1:6" x14ac:dyDescent="0.25">
      <c r="A30182"/>
      <c r="B30182"/>
      <c r="C30182"/>
      <c r="E30182"/>
      <c r="F30182"/>
    </row>
    <row r="30183" spans="1:6" x14ac:dyDescent="0.25">
      <c r="A30183"/>
      <c r="B30183"/>
      <c r="C30183"/>
      <c r="E30183"/>
      <c r="F30183"/>
    </row>
    <row r="30184" spans="1:6" x14ac:dyDescent="0.25">
      <c r="A30184"/>
      <c r="B30184"/>
      <c r="C30184"/>
      <c r="E30184"/>
      <c r="F30184"/>
    </row>
    <row r="30185" spans="1:6" x14ac:dyDescent="0.25">
      <c r="A30185"/>
      <c r="B30185"/>
      <c r="C30185"/>
      <c r="E30185"/>
      <c r="F30185"/>
    </row>
    <row r="30186" spans="1:6" x14ac:dyDescent="0.25">
      <c r="A30186"/>
      <c r="B30186"/>
      <c r="C30186"/>
      <c r="E30186"/>
      <c r="F30186"/>
    </row>
    <row r="30187" spans="1:6" x14ac:dyDescent="0.25">
      <c r="A30187"/>
      <c r="B30187"/>
      <c r="C30187"/>
      <c r="E30187"/>
      <c r="F30187"/>
    </row>
    <row r="30188" spans="1:6" x14ac:dyDescent="0.25">
      <c r="A30188"/>
      <c r="B30188"/>
      <c r="C30188"/>
      <c r="E30188"/>
      <c r="F30188"/>
    </row>
    <row r="30189" spans="1:6" x14ac:dyDescent="0.25">
      <c r="A30189"/>
      <c r="B30189"/>
      <c r="C30189"/>
      <c r="E30189"/>
      <c r="F30189"/>
    </row>
    <row r="30190" spans="1:6" x14ac:dyDescent="0.25">
      <c r="A30190"/>
      <c r="B30190"/>
      <c r="C30190"/>
      <c r="E30190"/>
      <c r="F30190"/>
    </row>
    <row r="30191" spans="1:6" x14ac:dyDescent="0.25">
      <c r="A30191"/>
      <c r="B30191"/>
      <c r="C30191"/>
      <c r="E30191"/>
      <c r="F30191"/>
    </row>
    <row r="30192" spans="1:6" x14ac:dyDescent="0.25">
      <c r="A30192"/>
      <c r="B30192"/>
      <c r="C30192"/>
      <c r="E30192"/>
      <c r="F30192"/>
    </row>
    <row r="30193" spans="1:6" x14ac:dyDescent="0.25">
      <c r="A30193"/>
      <c r="B30193"/>
      <c r="C30193"/>
      <c r="E30193"/>
      <c r="F30193"/>
    </row>
    <row r="30194" spans="1:6" x14ac:dyDescent="0.25">
      <c r="A30194"/>
      <c r="B30194"/>
      <c r="C30194"/>
      <c r="E30194"/>
      <c r="F30194"/>
    </row>
    <row r="30195" spans="1:6" x14ac:dyDescent="0.25">
      <c r="A30195"/>
      <c r="B30195"/>
      <c r="C30195"/>
      <c r="E30195"/>
      <c r="F30195"/>
    </row>
    <row r="30196" spans="1:6" x14ac:dyDescent="0.25">
      <c r="A30196"/>
      <c r="B30196"/>
      <c r="C30196"/>
      <c r="E30196"/>
      <c r="F30196"/>
    </row>
    <row r="30197" spans="1:6" x14ac:dyDescent="0.25">
      <c r="A30197"/>
      <c r="B30197"/>
      <c r="C30197"/>
      <c r="E30197"/>
      <c r="F30197"/>
    </row>
    <row r="30198" spans="1:6" x14ac:dyDescent="0.25">
      <c r="A30198"/>
      <c r="B30198"/>
      <c r="C30198"/>
      <c r="E30198"/>
      <c r="F30198"/>
    </row>
    <row r="30199" spans="1:6" x14ac:dyDescent="0.25">
      <c r="A30199"/>
      <c r="B30199"/>
      <c r="C30199"/>
      <c r="E30199"/>
      <c r="F30199"/>
    </row>
    <row r="30200" spans="1:6" x14ac:dyDescent="0.25">
      <c r="A30200"/>
      <c r="B30200"/>
      <c r="C30200"/>
      <c r="E30200"/>
      <c r="F30200"/>
    </row>
    <row r="30201" spans="1:6" x14ac:dyDescent="0.25">
      <c r="A30201"/>
      <c r="B30201"/>
      <c r="C30201"/>
      <c r="E30201"/>
      <c r="F30201"/>
    </row>
    <row r="30202" spans="1:6" x14ac:dyDescent="0.25">
      <c r="A30202"/>
      <c r="B30202"/>
      <c r="C30202"/>
      <c r="E30202"/>
      <c r="F30202"/>
    </row>
    <row r="30203" spans="1:6" x14ac:dyDescent="0.25">
      <c r="A30203"/>
      <c r="B30203"/>
      <c r="C30203"/>
      <c r="E30203"/>
      <c r="F30203"/>
    </row>
    <row r="30204" spans="1:6" x14ac:dyDescent="0.25">
      <c r="A30204"/>
      <c r="B30204"/>
      <c r="C30204"/>
      <c r="E30204"/>
      <c r="F30204"/>
    </row>
    <row r="30205" spans="1:6" x14ac:dyDescent="0.25">
      <c r="A30205"/>
      <c r="B30205"/>
      <c r="C30205"/>
      <c r="E30205"/>
      <c r="F30205"/>
    </row>
    <row r="30206" spans="1:6" x14ac:dyDescent="0.25">
      <c r="A30206"/>
      <c r="B30206"/>
      <c r="C30206"/>
      <c r="E30206"/>
      <c r="F30206"/>
    </row>
    <row r="30207" spans="1:6" x14ac:dyDescent="0.25">
      <c r="A30207"/>
      <c r="B30207"/>
      <c r="C30207"/>
      <c r="E30207"/>
      <c r="F30207"/>
    </row>
    <row r="30208" spans="1:6" x14ac:dyDescent="0.25">
      <c r="A30208"/>
      <c r="B30208"/>
      <c r="C30208"/>
      <c r="E30208"/>
      <c r="F30208"/>
    </row>
    <row r="30209" spans="1:6" x14ac:dyDescent="0.25">
      <c r="A30209"/>
      <c r="B30209"/>
      <c r="C30209"/>
      <c r="E30209"/>
      <c r="F30209"/>
    </row>
    <row r="30210" spans="1:6" x14ac:dyDescent="0.25">
      <c r="A30210"/>
      <c r="B30210"/>
      <c r="C30210"/>
      <c r="E30210"/>
      <c r="F30210"/>
    </row>
    <row r="30211" spans="1:6" x14ac:dyDescent="0.25">
      <c r="A30211"/>
      <c r="B30211"/>
      <c r="C30211"/>
      <c r="E30211"/>
      <c r="F30211"/>
    </row>
    <row r="30212" spans="1:6" x14ac:dyDescent="0.25">
      <c r="A30212"/>
      <c r="B30212"/>
      <c r="C30212"/>
      <c r="E30212"/>
      <c r="F30212"/>
    </row>
    <row r="30213" spans="1:6" x14ac:dyDescent="0.25">
      <c r="A30213"/>
      <c r="B30213"/>
      <c r="C30213"/>
      <c r="E30213"/>
      <c r="F30213"/>
    </row>
    <row r="30214" spans="1:6" x14ac:dyDescent="0.25">
      <c r="A30214"/>
      <c r="B30214"/>
      <c r="C30214"/>
      <c r="E30214"/>
      <c r="F30214"/>
    </row>
    <row r="30215" spans="1:6" x14ac:dyDescent="0.25">
      <c r="A30215"/>
      <c r="B30215"/>
      <c r="C30215"/>
      <c r="E30215"/>
      <c r="F30215"/>
    </row>
    <row r="30216" spans="1:6" x14ac:dyDescent="0.25">
      <c r="A30216"/>
      <c r="B30216"/>
      <c r="C30216"/>
      <c r="E30216"/>
      <c r="F30216"/>
    </row>
    <row r="30217" spans="1:6" x14ac:dyDescent="0.25">
      <c r="A30217"/>
      <c r="B30217"/>
      <c r="C30217"/>
      <c r="E30217"/>
      <c r="F30217"/>
    </row>
    <row r="30218" spans="1:6" x14ac:dyDescent="0.25">
      <c r="A30218"/>
      <c r="B30218"/>
      <c r="C30218"/>
      <c r="E30218"/>
      <c r="F30218"/>
    </row>
    <row r="30219" spans="1:6" x14ac:dyDescent="0.25">
      <c r="A30219"/>
      <c r="B30219"/>
      <c r="C30219"/>
      <c r="E30219"/>
      <c r="F30219"/>
    </row>
    <row r="30220" spans="1:6" x14ac:dyDescent="0.25">
      <c r="A30220"/>
      <c r="B30220"/>
      <c r="C30220"/>
      <c r="E30220"/>
      <c r="F30220"/>
    </row>
    <row r="30221" spans="1:6" x14ac:dyDescent="0.25">
      <c r="A30221"/>
      <c r="B30221"/>
      <c r="C30221"/>
      <c r="E30221"/>
      <c r="F30221"/>
    </row>
    <row r="30222" spans="1:6" x14ac:dyDescent="0.25">
      <c r="A30222"/>
      <c r="B30222"/>
      <c r="C30222"/>
      <c r="E30222"/>
      <c r="F30222"/>
    </row>
    <row r="30223" spans="1:6" x14ac:dyDescent="0.25">
      <c r="A30223"/>
      <c r="B30223"/>
      <c r="C30223"/>
      <c r="E30223"/>
      <c r="F30223"/>
    </row>
    <row r="30224" spans="1:6" x14ac:dyDescent="0.25">
      <c r="A30224"/>
      <c r="B30224"/>
      <c r="C30224"/>
      <c r="E30224"/>
      <c r="F30224"/>
    </row>
    <row r="30225" spans="1:6" x14ac:dyDescent="0.25">
      <c r="A30225"/>
      <c r="B30225"/>
      <c r="C30225"/>
      <c r="E30225"/>
      <c r="F30225"/>
    </row>
    <row r="30226" spans="1:6" x14ac:dyDescent="0.25">
      <c r="A30226"/>
      <c r="B30226"/>
      <c r="C30226"/>
      <c r="E30226"/>
      <c r="F30226"/>
    </row>
    <row r="30227" spans="1:6" x14ac:dyDescent="0.25">
      <c r="A30227"/>
      <c r="B30227"/>
      <c r="C30227"/>
      <c r="E30227"/>
      <c r="F30227"/>
    </row>
    <row r="30228" spans="1:6" x14ac:dyDescent="0.25">
      <c r="A30228"/>
      <c r="B30228"/>
      <c r="C30228"/>
      <c r="E30228"/>
      <c r="F30228"/>
    </row>
    <row r="30229" spans="1:6" x14ac:dyDescent="0.25">
      <c r="A30229"/>
      <c r="B30229"/>
      <c r="C30229"/>
      <c r="E30229"/>
      <c r="F30229"/>
    </row>
    <row r="30230" spans="1:6" x14ac:dyDescent="0.25">
      <c r="A30230"/>
      <c r="B30230"/>
      <c r="C30230"/>
      <c r="E30230"/>
      <c r="F30230"/>
    </row>
    <row r="30231" spans="1:6" x14ac:dyDescent="0.25">
      <c r="A30231"/>
      <c r="B30231"/>
      <c r="C30231"/>
      <c r="E30231"/>
      <c r="F30231"/>
    </row>
    <row r="30232" spans="1:6" x14ac:dyDescent="0.25">
      <c r="A30232"/>
      <c r="B30232"/>
      <c r="C30232"/>
      <c r="E30232"/>
      <c r="F30232"/>
    </row>
    <row r="30233" spans="1:6" x14ac:dyDescent="0.25">
      <c r="A30233"/>
      <c r="B30233"/>
      <c r="C30233"/>
      <c r="E30233"/>
      <c r="F30233"/>
    </row>
    <row r="30234" spans="1:6" x14ac:dyDescent="0.25">
      <c r="A30234"/>
      <c r="B30234"/>
      <c r="C30234"/>
      <c r="E30234"/>
      <c r="F30234"/>
    </row>
    <row r="30235" spans="1:6" x14ac:dyDescent="0.25">
      <c r="A30235"/>
      <c r="B30235"/>
      <c r="C30235"/>
      <c r="E30235"/>
      <c r="F30235"/>
    </row>
    <row r="30236" spans="1:6" x14ac:dyDescent="0.25">
      <c r="A30236"/>
      <c r="B30236"/>
      <c r="C30236"/>
      <c r="E30236"/>
      <c r="F30236"/>
    </row>
    <row r="30237" spans="1:6" x14ac:dyDescent="0.25">
      <c r="A30237"/>
      <c r="B30237"/>
      <c r="C30237"/>
      <c r="E30237"/>
      <c r="F30237"/>
    </row>
    <row r="30238" spans="1:6" x14ac:dyDescent="0.25">
      <c r="A30238"/>
      <c r="B30238"/>
      <c r="C30238"/>
      <c r="E30238"/>
      <c r="F30238"/>
    </row>
    <row r="30239" spans="1:6" x14ac:dyDescent="0.25">
      <c r="A30239"/>
      <c r="B30239"/>
      <c r="C30239"/>
      <c r="E30239"/>
      <c r="F30239"/>
    </row>
    <row r="30240" spans="1:6" x14ac:dyDescent="0.25">
      <c r="A30240"/>
      <c r="B30240"/>
      <c r="C30240"/>
      <c r="E30240"/>
      <c r="F30240"/>
    </row>
    <row r="30241" spans="1:6" x14ac:dyDescent="0.25">
      <c r="A30241"/>
      <c r="B30241"/>
      <c r="C30241"/>
      <c r="E30241"/>
      <c r="F30241"/>
    </row>
    <row r="30242" spans="1:6" x14ac:dyDescent="0.25">
      <c r="A30242"/>
      <c r="B30242"/>
      <c r="C30242"/>
      <c r="E30242"/>
      <c r="F30242"/>
    </row>
    <row r="30243" spans="1:6" x14ac:dyDescent="0.25">
      <c r="A30243"/>
      <c r="B30243"/>
      <c r="C30243"/>
      <c r="E30243"/>
      <c r="F30243"/>
    </row>
    <row r="30244" spans="1:6" x14ac:dyDescent="0.25">
      <c r="A30244"/>
      <c r="B30244"/>
      <c r="C30244"/>
      <c r="E30244"/>
      <c r="F30244"/>
    </row>
    <row r="30245" spans="1:6" x14ac:dyDescent="0.25">
      <c r="A30245"/>
      <c r="B30245"/>
      <c r="C30245"/>
      <c r="E30245"/>
      <c r="F30245"/>
    </row>
    <row r="30246" spans="1:6" x14ac:dyDescent="0.25">
      <c r="A30246"/>
      <c r="B30246"/>
      <c r="C30246"/>
      <c r="E30246"/>
      <c r="F30246"/>
    </row>
    <row r="30247" spans="1:6" x14ac:dyDescent="0.25">
      <c r="A30247"/>
      <c r="B30247"/>
      <c r="C30247"/>
      <c r="E30247"/>
      <c r="F30247"/>
    </row>
    <row r="30248" spans="1:6" x14ac:dyDescent="0.25">
      <c r="A30248"/>
      <c r="B30248"/>
      <c r="C30248"/>
      <c r="E30248"/>
      <c r="F30248"/>
    </row>
    <row r="30249" spans="1:6" x14ac:dyDescent="0.25">
      <c r="A30249"/>
      <c r="B30249"/>
      <c r="C30249"/>
      <c r="E30249"/>
      <c r="F30249"/>
    </row>
    <row r="30250" spans="1:6" x14ac:dyDescent="0.25">
      <c r="A30250"/>
      <c r="B30250"/>
      <c r="C30250"/>
      <c r="E30250"/>
      <c r="F30250"/>
    </row>
    <row r="30251" spans="1:6" x14ac:dyDescent="0.25">
      <c r="A30251"/>
      <c r="B30251"/>
      <c r="C30251"/>
      <c r="E30251"/>
      <c r="F30251"/>
    </row>
    <row r="30252" spans="1:6" x14ac:dyDescent="0.25">
      <c r="A30252"/>
      <c r="B30252"/>
      <c r="C30252"/>
      <c r="E30252"/>
      <c r="F30252"/>
    </row>
    <row r="30253" spans="1:6" x14ac:dyDescent="0.25">
      <c r="A30253"/>
      <c r="B30253"/>
      <c r="C30253"/>
      <c r="E30253"/>
      <c r="F30253"/>
    </row>
    <row r="30254" spans="1:6" x14ac:dyDescent="0.25">
      <c r="A30254"/>
      <c r="B30254"/>
      <c r="C30254"/>
      <c r="E30254"/>
      <c r="F30254"/>
    </row>
    <row r="30255" spans="1:6" x14ac:dyDescent="0.25">
      <c r="A30255"/>
      <c r="B30255"/>
      <c r="C30255"/>
      <c r="E30255"/>
      <c r="F30255"/>
    </row>
    <row r="30256" spans="1:6" x14ac:dyDescent="0.25">
      <c r="A30256"/>
      <c r="B30256"/>
      <c r="C30256"/>
      <c r="E30256"/>
      <c r="F30256"/>
    </row>
    <row r="30257" spans="1:6" x14ac:dyDescent="0.25">
      <c r="A30257"/>
      <c r="B30257"/>
      <c r="C30257"/>
      <c r="E30257"/>
      <c r="F30257"/>
    </row>
    <row r="30258" spans="1:6" x14ac:dyDescent="0.25">
      <c r="A30258"/>
      <c r="B30258"/>
      <c r="C30258"/>
      <c r="E30258"/>
      <c r="F30258"/>
    </row>
    <row r="30259" spans="1:6" x14ac:dyDescent="0.25">
      <c r="A30259"/>
      <c r="B30259"/>
      <c r="C30259"/>
      <c r="E30259"/>
      <c r="F30259"/>
    </row>
    <row r="30260" spans="1:6" x14ac:dyDescent="0.25">
      <c r="A30260"/>
      <c r="B30260"/>
      <c r="C30260"/>
      <c r="E30260"/>
      <c r="F30260"/>
    </row>
    <row r="30261" spans="1:6" x14ac:dyDescent="0.25">
      <c r="A30261"/>
      <c r="B30261"/>
      <c r="C30261"/>
      <c r="E30261"/>
      <c r="F30261"/>
    </row>
    <row r="30262" spans="1:6" x14ac:dyDescent="0.25">
      <c r="A30262"/>
      <c r="B30262"/>
      <c r="C30262"/>
      <c r="E30262"/>
      <c r="F30262"/>
    </row>
    <row r="30263" spans="1:6" x14ac:dyDescent="0.25">
      <c r="A30263"/>
      <c r="B30263"/>
      <c r="C30263"/>
      <c r="E30263"/>
      <c r="F30263"/>
    </row>
    <row r="30264" spans="1:6" x14ac:dyDescent="0.25">
      <c r="A30264"/>
      <c r="B30264"/>
      <c r="C30264"/>
      <c r="E30264"/>
      <c r="F30264"/>
    </row>
    <row r="30265" spans="1:6" x14ac:dyDescent="0.25">
      <c r="A30265"/>
      <c r="B30265"/>
      <c r="C30265"/>
      <c r="E30265"/>
      <c r="F30265"/>
    </row>
    <row r="30266" spans="1:6" x14ac:dyDescent="0.25">
      <c r="A30266"/>
      <c r="B30266"/>
      <c r="C30266"/>
      <c r="E30266"/>
      <c r="F30266"/>
    </row>
    <row r="30267" spans="1:6" x14ac:dyDescent="0.25">
      <c r="A30267"/>
      <c r="B30267"/>
      <c r="C30267"/>
      <c r="E30267"/>
      <c r="F30267"/>
    </row>
    <row r="30268" spans="1:6" x14ac:dyDescent="0.25">
      <c r="A30268"/>
      <c r="B30268"/>
      <c r="C30268"/>
      <c r="E30268"/>
      <c r="F30268"/>
    </row>
    <row r="30269" spans="1:6" x14ac:dyDescent="0.25">
      <c r="A30269"/>
      <c r="B30269"/>
      <c r="C30269"/>
      <c r="E30269"/>
      <c r="F30269"/>
    </row>
    <row r="30270" spans="1:6" x14ac:dyDescent="0.25">
      <c r="A30270"/>
      <c r="B30270"/>
      <c r="C30270"/>
      <c r="E30270"/>
      <c r="F30270"/>
    </row>
    <row r="30271" spans="1:6" x14ac:dyDescent="0.25">
      <c r="A30271"/>
      <c r="B30271"/>
      <c r="C30271"/>
      <c r="E30271"/>
      <c r="F30271"/>
    </row>
    <row r="30272" spans="1:6" x14ac:dyDescent="0.25">
      <c r="A30272"/>
      <c r="B30272"/>
      <c r="C30272"/>
      <c r="E30272"/>
      <c r="F30272"/>
    </row>
    <row r="30273" spans="1:6" x14ac:dyDescent="0.25">
      <c r="A30273"/>
      <c r="B30273"/>
      <c r="C30273"/>
      <c r="E30273"/>
      <c r="F30273"/>
    </row>
    <row r="30274" spans="1:6" x14ac:dyDescent="0.25">
      <c r="A30274"/>
      <c r="B30274"/>
      <c r="C30274"/>
      <c r="E30274"/>
      <c r="F30274"/>
    </row>
    <row r="30275" spans="1:6" x14ac:dyDescent="0.25">
      <c r="A30275"/>
      <c r="B30275"/>
      <c r="C30275"/>
      <c r="E30275"/>
      <c r="F30275"/>
    </row>
    <row r="30276" spans="1:6" x14ac:dyDescent="0.25">
      <c r="A30276"/>
      <c r="B30276"/>
      <c r="C30276"/>
      <c r="E30276"/>
      <c r="F30276"/>
    </row>
    <row r="30277" spans="1:6" x14ac:dyDescent="0.25">
      <c r="A30277"/>
      <c r="B30277"/>
      <c r="C30277"/>
      <c r="E30277"/>
      <c r="F30277"/>
    </row>
    <row r="30278" spans="1:6" x14ac:dyDescent="0.25">
      <c r="A30278"/>
      <c r="B30278"/>
      <c r="C30278"/>
      <c r="E30278"/>
      <c r="F30278"/>
    </row>
    <row r="30279" spans="1:6" x14ac:dyDescent="0.25">
      <c r="A30279"/>
      <c r="B30279"/>
      <c r="C30279"/>
      <c r="E30279"/>
      <c r="F30279"/>
    </row>
    <row r="30280" spans="1:6" x14ac:dyDescent="0.25">
      <c r="A30280"/>
      <c r="B30280"/>
      <c r="C30280"/>
      <c r="E30280"/>
      <c r="F30280"/>
    </row>
    <row r="30281" spans="1:6" x14ac:dyDescent="0.25">
      <c r="A30281"/>
      <c r="B30281"/>
      <c r="C30281"/>
      <c r="E30281"/>
      <c r="F30281"/>
    </row>
    <row r="30282" spans="1:6" x14ac:dyDescent="0.25">
      <c r="A30282"/>
      <c r="B30282"/>
      <c r="C30282"/>
      <c r="E30282"/>
      <c r="F30282"/>
    </row>
    <row r="30283" spans="1:6" x14ac:dyDescent="0.25">
      <c r="A30283"/>
      <c r="B30283"/>
      <c r="C30283"/>
      <c r="E30283"/>
      <c r="F30283"/>
    </row>
    <row r="30284" spans="1:6" x14ac:dyDescent="0.25">
      <c r="A30284"/>
      <c r="B30284"/>
      <c r="C30284"/>
      <c r="E30284"/>
      <c r="F30284"/>
    </row>
    <row r="30285" spans="1:6" x14ac:dyDescent="0.25">
      <c r="A30285"/>
      <c r="B30285"/>
      <c r="C30285"/>
      <c r="E30285"/>
      <c r="F30285"/>
    </row>
    <row r="30286" spans="1:6" x14ac:dyDescent="0.25">
      <c r="A30286"/>
      <c r="B30286"/>
      <c r="C30286"/>
      <c r="E30286"/>
      <c r="F30286"/>
    </row>
    <row r="30287" spans="1:6" x14ac:dyDescent="0.25">
      <c r="A30287"/>
      <c r="B30287"/>
      <c r="C30287"/>
      <c r="E30287"/>
      <c r="F30287"/>
    </row>
    <row r="30288" spans="1:6" x14ac:dyDescent="0.25">
      <c r="A30288"/>
      <c r="B30288"/>
      <c r="C30288"/>
      <c r="E30288"/>
      <c r="F30288"/>
    </row>
    <row r="30289" spans="1:6" x14ac:dyDescent="0.25">
      <c r="A30289"/>
      <c r="B30289"/>
      <c r="C30289"/>
      <c r="E30289"/>
      <c r="F30289"/>
    </row>
    <row r="30290" spans="1:6" x14ac:dyDescent="0.25">
      <c r="A30290"/>
      <c r="B30290"/>
      <c r="C30290"/>
      <c r="E30290"/>
      <c r="F30290"/>
    </row>
    <row r="30291" spans="1:6" x14ac:dyDescent="0.25">
      <c r="A30291"/>
      <c r="B30291"/>
      <c r="C30291"/>
      <c r="E30291"/>
      <c r="F30291"/>
    </row>
    <row r="30292" spans="1:6" x14ac:dyDescent="0.25">
      <c r="A30292"/>
      <c r="B30292"/>
      <c r="C30292"/>
      <c r="E30292"/>
      <c r="F30292"/>
    </row>
    <row r="30293" spans="1:6" x14ac:dyDescent="0.25">
      <c r="A30293"/>
      <c r="B30293"/>
      <c r="C30293"/>
      <c r="E30293"/>
      <c r="F30293"/>
    </row>
    <row r="30294" spans="1:6" x14ac:dyDescent="0.25">
      <c r="A30294"/>
      <c r="B30294"/>
      <c r="C30294"/>
      <c r="E30294"/>
      <c r="F30294"/>
    </row>
    <row r="30295" spans="1:6" x14ac:dyDescent="0.25">
      <c r="A30295"/>
      <c r="B30295"/>
      <c r="C30295"/>
      <c r="E30295"/>
      <c r="F30295"/>
    </row>
    <row r="30296" spans="1:6" x14ac:dyDescent="0.25">
      <c r="A30296"/>
      <c r="B30296"/>
      <c r="C30296"/>
      <c r="E30296"/>
      <c r="F30296"/>
    </row>
    <row r="30297" spans="1:6" x14ac:dyDescent="0.25">
      <c r="A30297"/>
      <c r="B30297"/>
      <c r="C30297"/>
      <c r="E30297"/>
      <c r="F30297"/>
    </row>
    <row r="30298" spans="1:6" x14ac:dyDescent="0.25">
      <c r="A30298"/>
      <c r="B30298"/>
      <c r="C30298"/>
      <c r="E30298"/>
      <c r="F30298"/>
    </row>
    <row r="30299" spans="1:6" x14ac:dyDescent="0.25">
      <c r="A30299"/>
      <c r="B30299"/>
      <c r="C30299"/>
      <c r="E30299"/>
      <c r="F30299"/>
    </row>
    <row r="30300" spans="1:6" x14ac:dyDescent="0.25">
      <c r="A30300"/>
      <c r="B30300"/>
      <c r="C30300"/>
      <c r="E30300"/>
      <c r="F30300"/>
    </row>
    <row r="30301" spans="1:6" x14ac:dyDescent="0.25">
      <c r="A30301"/>
      <c r="B30301"/>
      <c r="C30301"/>
      <c r="E30301"/>
      <c r="F30301"/>
    </row>
    <row r="30302" spans="1:6" x14ac:dyDescent="0.25">
      <c r="A30302"/>
      <c r="B30302"/>
      <c r="C30302"/>
      <c r="E30302"/>
      <c r="F30302"/>
    </row>
    <row r="30303" spans="1:6" x14ac:dyDescent="0.25">
      <c r="A30303"/>
      <c r="B30303"/>
      <c r="C30303"/>
      <c r="E30303"/>
      <c r="F30303"/>
    </row>
    <row r="30304" spans="1:6" x14ac:dyDescent="0.25">
      <c r="A30304"/>
      <c r="B30304"/>
      <c r="C30304"/>
      <c r="E30304"/>
      <c r="F30304"/>
    </row>
    <row r="30305" spans="1:6" x14ac:dyDescent="0.25">
      <c r="A30305"/>
      <c r="B30305"/>
      <c r="C30305"/>
      <c r="E30305"/>
      <c r="F30305"/>
    </row>
    <row r="30306" spans="1:6" x14ac:dyDescent="0.25">
      <c r="A30306"/>
      <c r="B30306"/>
      <c r="C30306"/>
      <c r="E30306"/>
      <c r="F30306"/>
    </row>
    <row r="30307" spans="1:6" x14ac:dyDescent="0.25">
      <c r="A30307"/>
      <c r="B30307"/>
      <c r="C30307"/>
      <c r="E30307"/>
      <c r="F30307"/>
    </row>
    <row r="30308" spans="1:6" x14ac:dyDescent="0.25">
      <c r="A30308"/>
      <c r="B30308"/>
      <c r="C30308"/>
      <c r="E30308"/>
      <c r="F30308"/>
    </row>
    <row r="30309" spans="1:6" x14ac:dyDescent="0.25">
      <c r="A30309"/>
      <c r="B30309"/>
      <c r="C30309"/>
      <c r="E30309"/>
      <c r="F30309"/>
    </row>
    <row r="30310" spans="1:6" x14ac:dyDescent="0.25">
      <c r="A30310"/>
      <c r="B30310"/>
      <c r="C30310"/>
      <c r="E30310"/>
      <c r="F30310"/>
    </row>
    <row r="30311" spans="1:6" x14ac:dyDescent="0.25">
      <c r="A30311"/>
      <c r="B30311"/>
      <c r="C30311"/>
      <c r="E30311"/>
      <c r="F30311"/>
    </row>
    <row r="30312" spans="1:6" x14ac:dyDescent="0.25">
      <c r="A30312"/>
      <c r="B30312"/>
      <c r="C30312"/>
      <c r="E30312"/>
      <c r="F30312"/>
    </row>
    <row r="30313" spans="1:6" x14ac:dyDescent="0.25">
      <c r="A30313"/>
      <c r="B30313"/>
      <c r="C30313"/>
      <c r="E30313"/>
      <c r="F30313"/>
    </row>
    <row r="30314" spans="1:6" x14ac:dyDescent="0.25">
      <c r="A30314"/>
      <c r="B30314"/>
      <c r="C30314"/>
      <c r="E30314"/>
      <c r="F30314"/>
    </row>
    <row r="30315" spans="1:6" x14ac:dyDescent="0.25">
      <c r="A30315"/>
      <c r="B30315"/>
      <c r="C30315"/>
      <c r="E30315"/>
      <c r="F30315"/>
    </row>
    <row r="30316" spans="1:6" x14ac:dyDescent="0.25">
      <c r="A30316"/>
      <c r="B30316"/>
      <c r="C30316"/>
      <c r="E30316"/>
      <c r="F30316"/>
    </row>
    <row r="30317" spans="1:6" x14ac:dyDescent="0.25">
      <c r="A30317"/>
      <c r="B30317"/>
      <c r="C30317"/>
      <c r="E30317"/>
      <c r="F30317"/>
    </row>
    <row r="30318" spans="1:6" x14ac:dyDescent="0.25">
      <c r="A30318"/>
      <c r="B30318"/>
      <c r="C30318"/>
      <c r="E30318"/>
      <c r="F30318"/>
    </row>
    <row r="30319" spans="1:6" x14ac:dyDescent="0.25">
      <c r="A30319"/>
      <c r="B30319"/>
      <c r="C30319"/>
      <c r="E30319"/>
      <c r="F30319"/>
    </row>
    <row r="30320" spans="1:6" x14ac:dyDescent="0.25">
      <c r="A30320"/>
      <c r="B30320"/>
      <c r="C30320"/>
      <c r="E30320"/>
      <c r="F30320"/>
    </row>
    <row r="30321" spans="1:6" x14ac:dyDescent="0.25">
      <c r="A30321"/>
      <c r="B30321"/>
      <c r="C30321"/>
      <c r="E30321"/>
      <c r="F30321"/>
    </row>
    <row r="30322" spans="1:6" x14ac:dyDescent="0.25">
      <c r="A30322"/>
      <c r="B30322"/>
      <c r="C30322"/>
      <c r="E30322"/>
      <c r="F30322"/>
    </row>
    <row r="30323" spans="1:6" x14ac:dyDescent="0.25">
      <c r="A30323"/>
      <c r="B30323"/>
      <c r="C30323"/>
      <c r="E30323"/>
      <c r="F30323"/>
    </row>
    <row r="30324" spans="1:6" x14ac:dyDescent="0.25">
      <c r="A30324"/>
      <c r="B30324"/>
      <c r="C30324"/>
      <c r="E30324"/>
      <c r="F30324"/>
    </row>
    <row r="30325" spans="1:6" x14ac:dyDescent="0.25">
      <c r="A30325"/>
      <c r="B30325"/>
      <c r="C30325"/>
      <c r="E30325"/>
      <c r="F30325"/>
    </row>
    <row r="30326" spans="1:6" x14ac:dyDescent="0.25">
      <c r="A30326"/>
      <c r="B30326"/>
      <c r="C30326"/>
      <c r="E30326"/>
      <c r="F30326"/>
    </row>
    <row r="30327" spans="1:6" x14ac:dyDescent="0.25">
      <c r="A30327"/>
      <c r="B30327"/>
      <c r="C30327"/>
      <c r="E30327"/>
      <c r="F30327"/>
    </row>
    <row r="30328" spans="1:6" x14ac:dyDescent="0.25">
      <c r="A30328"/>
      <c r="B30328"/>
      <c r="C30328"/>
      <c r="E30328"/>
      <c r="F30328"/>
    </row>
    <row r="30329" spans="1:6" x14ac:dyDescent="0.25">
      <c r="A30329"/>
      <c r="B30329"/>
      <c r="C30329"/>
      <c r="E30329"/>
      <c r="F30329"/>
    </row>
    <row r="30330" spans="1:6" x14ac:dyDescent="0.25">
      <c r="A30330"/>
      <c r="B30330"/>
      <c r="C30330"/>
      <c r="E30330"/>
      <c r="F30330"/>
    </row>
    <row r="30331" spans="1:6" x14ac:dyDescent="0.25">
      <c r="A30331"/>
      <c r="B30331"/>
      <c r="C30331"/>
      <c r="E30331"/>
      <c r="F30331"/>
    </row>
    <row r="30332" spans="1:6" x14ac:dyDescent="0.25">
      <c r="A30332"/>
      <c r="B30332"/>
      <c r="C30332"/>
      <c r="E30332"/>
      <c r="F30332"/>
    </row>
    <row r="30333" spans="1:6" x14ac:dyDescent="0.25">
      <c r="A30333"/>
      <c r="B30333"/>
      <c r="C30333"/>
      <c r="E30333"/>
      <c r="F30333"/>
    </row>
    <row r="30334" spans="1:6" x14ac:dyDescent="0.25">
      <c r="A30334"/>
      <c r="B30334"/>
      <c r="C30334"/>
      <c r="E30334"/>
      <c r="F30334"/>
    </row>
    <row r="30335" spans="1:6" x14ac:dyDescent="0.25">
      <c r="A30335"/>
      <c r="B30335"/>
      <c r="C30335"/>
      <c r="E30335"/>
      <c r="F30335"/>
    </row>
    <row r="30336" spans="1:6" x14ac:dyDescent="0.25">
      <c r="A30336"/>
      <c r="B30336"/>
      <c r="C30336"/>
      <c r="E30336"/>
      <c r="F30336"/>
    </row>
    <row r="30337" spans="1:6" x14ac:dyDescent="0.25">
      <c r="A30337"/>
      <c r="B30337"/>
      <c r="C30337"/>
      <c r="E30337"/>
      <c r="F30337"/>
    </row>
    <row r="30338" spans="1:6" x14ac:dyDescent="0.25">
      <c r="A30338"/>
      <c r="B30338"/>
      <c r="C30338"/>
      <c r="E30338"/>
      <c r="F30338"/>
    </row>
    <row r="30339" spans="1:6" x14ac:dyDescent="0.25">
      <c r="A30339"/>
      <c r="B30339"/>
      <c r="C30339"/>
      <c r="E30339"/>
      <c r="F30339"/>
    </row>
    <row r="30340" spans="1:6" x14ac:dyDescent="0.25">
      <c r="A30340"/>
      <c r="B30340"/>
      <c r="C30340"/>
      <c r="E30340"/>
      <c r="F30340"/>
    </row>
    <row r="30341" spans="1:6" x14ac:dyDescent="0.25">
      <c r="A30341"/>
      <c r="B30341"/>
      <c r="C30341"/>
      <c r="E30341"/>
      <c r="F30341"/>
    </row>
    <row r="30342" spans="1:6" x14ac:dyDescent="0.25">
      <c r="A30342"/>
      <c r="B30342"/>
      <c r="C30342"/>
      <c r="E30342"/>
      <c r="F30342"/>
    </row>
    <row r="30343" spans="1:6" x14ac:dyDescent="0.25">
      <c r="A30343"/>
      <c r="B30343"/>
      <c r="C30343"/>
      <c r="E30343"/>
      <c r="F30343"/>
    </row>
    <row r="30344" spans="1:6" x14ac:dyDescent="0.25">
      <c r="A30344"/>
      <c r="B30344"/>
      <c r="C30344"/>
      <c r="E30344"/>
      <c r="F30344"/>
    </row>
    <row r="30345" spans="1:6" x14ac:dyDescent="0.25">
      <c r="A30345"/>
      <c r="B30345"/>
      <c r="C30345"/>
      <c r="E30345"/>
      <c r="F30345"/>
    </row>
    <row r="30346" spans="1:6" x14ac:dyDescent="0.25">
      <c r="A30346"/>
      <c r="B30346"/>
      <c r="C30346"/>
      <c r="E30346"/>
      <c r="F30346"/>
    </row>
    <row r="30347" spans="1:6" x14ac:dyDescent="0.25">
      <c r="A30347"/>
      <c r="B30347"/>
      <c r="C30347"/>
      <c r="E30347"/>
      <c r="F30347"/>
    </row>
    <row r="30348" spans="1:6" x14ac:dyDescent="0.25">
      <c r="A30348"/>
      <c r="B30348"/>
      <c r="C30348"/>
      <c r="E30348"/>
      <c r="F30348"/>
    </row>
    <row r="30349" spans="1:6" x14ac:dyDescent="0.25">
      <c r="A30349"/>
      <c r="B30349"/>
      <c r="C30349"/>
      <c r="E30349"/>
      <c r="F30349"/>
    </row>
    <row r="30350" spans="1:6" x14ac:dyDescent="0.25">
      <c r="A30350"/>
      <c r="B30350"/>
      <c r="C30350"/>
      <c r="E30350"/>
      <c r="F30350"/>
    </row>
    <row r="30351" spans="1:6" x14ac:dyDescent="0.25">
      <c r="A30351"/>
      <c r="B30351"/>
      <c r="C30351"/>
      <c r="E30351"/>
      <c r="F30351"/>
    </row>
    <row r="30352" spans="1:6" x14ac:dyDescent="0.25">
      <c r="A30352"/>
      <c r="B30352"/>
      <c r="C30352"/>
      <c r="E30352"/>
      <c r="F30352"/>
    </row>
    <row r="30353" spans="1:6" x14ac:dyDescent="0.25">
      <c r="A30353"/>
      <c r="B30353"/>
      <c r="C30353"/>
      <c r="E30353"/>
      <c r="F30353"/>
    </row>
    <row r="30354" spans="1:6" x14ac:dyDescent="0.25">
      <c r="A30354"/>
      <c r="B30354"/>
      <c r="C30354"/>
      <c r="E30354"/>
      <c r="F30354"/>
    </row>
    <row r="30355" spans="1:6" x14ac:dyDescent="0.25">
      <c r="A30355"/>
      <c r="B30355"/>
      <c r="C30355"/>
      <c r="E30355"/>
      <c r="F30355"/>
    </row>
    <row r="30356" spans="1:6" x14ac:dyDescent="0.25">
      <c r="A30356"/>
      <c r="B30356"/>
      <c r="C30356"/>
      <c r="E30356"/>
      <c r="F30356"/>
    </row>
    <row r="30357" spans="1:6" x14ac:dyDescent="0.25">
      <c r="A30357"/>
      <c r="B30357"/>
      <c r="C30357"/>
      <c r="E30357"/>
      <c r="F30357"/>
    </row>
    <row r="30358" spans="1:6" x14ac:dyDescent="0.25">
      <c r="A30358"/>
      <c r="B30358"/>
      <c r="C30358"/>
      <c r="E30358"/>
      <c r="F30358"/>
    </row>
    <row r="30359" spans="1:6" x14ac:dyDescent="0.25">
      <c r="A30359"/>
      <c r="B30359"/>
      <c r="C30359"/>
      <c r="E30359"/>
      <c r="F30359"/>
    </row>
    <row r="30360" spans="1:6" x14ac:dyDescent="0.25">
      <c r="A30360"/>
      <c r="B30360"/>
      <c r="C30360"/>
      <c r="E30360"/>
      <c r="F30360"/>
    </row>
    <row r="30361" spans="1:6" x14ac:dyDescent="0.25">
      <c r="A30361"/>
      <c r="B30361"/>
      <c r="C30361"/>
      <c r="E30361"/>
      <c r="F30361"/>
    </row>
    <row r="30362" spans="1:6" x14ac:dyDescent="0.25">
      <c r="A30362"/>
      <c r="B30362"/>
      <c r="C30362"/>
      <c r="E30362"/>
      <c r="F30362"/>
    </row>
    <row r="30363" spans="1:6" x14ac:dyDescent="0.25">
      <c r="A30363"/>
      <c r="B30363"/>
      <c r="C30363"/>
      <c r="E30363"/>
      <c r="F30363"/>
    </row>
    <row r="30364" spans="1:6" x14ac:dyDescent="0.25">
      <c r="A30364"/>
      <c r="B30364"/>
      <c r="C30364"/>
      <c r="E30364"/>
      <c r="F30364"/>
    </row>
    <row r="30365" spans="1:6" x14ac:dyDescent="0.25">
      <c r="A30365"/>
      <c r="B30365"/>
      <c r="C30365"/>
      <c r="E30365"/>
      <c r="F30365"/>
    </row>
    <row r="30366" spans="1:6" x14ac:dyDescent="0.25">
      <c r="A30366"/>
      <c r="B30366"/>
      <c r="C30366"/>
      <c r="E30366"/>
      <c r="F30366"/>
    </row>
    <row r="30367" spans="1:6" x14ac:dyDescent="0.25">
      <c r="A30367"/>
      <c r="B30367"/>
      <c r="C30367"/>
      <c r="E30367"/>
      <c r="F30367"/>
    </row>
    <row r="30368" spans="1:6" x14ac:dyDescent="0.25">
      <c r="A30368"/>
      <c r="B30368"/>
      <c r="C30368"/>
      <c r="E30368"/>
      <c r="F30368"/>
    </row>
    <row r="30369" spans="1:6" x14ac:dyDescent="0.25">
      <c r="A30369"/>
      <c r="B30369"/>
      <c r="C30369"/>
      <c r="E30369"/>
      <c r="F30369"/>
    </row>
    <row r="30370" spans="1:6" x14ac:dyDescent="0.25">
      <c r="A30370"/>
      <c r="B30370"/>
      <c r="C30370"/>
      <c r="E30370"/>
      <c r="F30370"/>
    </row>
    <row r="30371" spans="1:6" x14ac:dyDescent="0.25">
      <c r="A30371"/>
      <c r="B30371"/>
      <c r="C30371"/>
      <c r="E30371"/>
      <c r="F30371"/>
    </row>
    <row r="30372" spans="1:6" x14ac:dyDescent="0.25">
      <c r="A30372"/>
      <c r="B30372"/>
      <c r="C30372"/>
      <c r="E30372"/>
      <c r="F30372"/>
    </row>
    <row r="30373" spans="1:6" x14ac:dyDescent="0.25">
      <c r="A30373"/>
      <c r="B30373"/>
      <c r="C30373"/>
      <c r="E30373"/>
      <c r="F30373"/>
    </row>
    <row r="30374" spans="1:6" x14ac:dyDescent="0.25">
      <c r="A30374"/>
      <c r="B30374"/>
      <c r="C30374"/>
      <c r="E30374"/>
      <c r="F30374"/>
    </row>
    <row r="30375" spans="1:6" x14ac:dyDescent="0.25">
      <c r="A30375"/>
      <c r="B30375"/>
      <c r="C30375"/>
      <c r="E30375"/>
      <c r="F30375"/>
    </row>
    <row r="30376" spans="1:6" x14ac:dyDescent="0.25">
      <c r="A30376"/>
      <c r="B30376"/>
      <c r="C30376"/>
      <c r="E30376"/>
      <c r="F30376"/>
    </row>
    <row r="30377" spans="1:6" x14ac:dyDescent="0.25">
      <c r="A30377"/>
      <c r="B30377"/>
      <c r="C30377"/>
      <c r="E30377"/>
      <c r="F30377"/>
    </row>
    <row r="30378" spans="1:6" x14ac:dyDescent="0.25">
      <c r="A30378"/>
      <c r="B30378"/>
      <c r="C30378"/>
      <c r="E30378"/>
      <c r="F30378"/>
    </row>
    <row r="30379" spans="1:6" x14ac:dyDescent="0.25">
      <c r="A30379"/>
      <c r="B30379"/>
      <c r="C30379"/>
      <c r="E30379"/>
      <c r="F30379"/>
    </row>
    <row r="30380" spans="1:6" x14ac:dyDescent="0.25">
      <c r="A30380"/>
      <c r="B30380"/>
      <c r="C30380"/>
      <c r="E30380"/>
      <c r="F30380"/>
    </row>
    <row r="30381" spans="1:6" x14ac:dyDescent="0.25">
      <c r="A30381"/>
      <c r="B30381"/>
      <c r="C30381"/>
      <c r="E30381"/>
      <c r="F30381"/>
    </row>
    <row r="30382" spans="1:6" x14ac:dyDescent="0.25">
      <c r="A30382"/>
      <c r="B30382"/>
      <c r="C30382"/>
      <c r="E30382"/>
      <c r="F30382"/>
    </row>
    <row r="30383" spans="1:6" x14ac:dyDescent="0.25">
      <c r="A30383"/>
      <c r="B30383"/>
      <c r="C30383"/>
      <c r="E30383"/>
      <c r="F30383"/>
    </row>
    <row r="30384" spans="1:6" x14ac:dyDescent="0.25">
      <c r="A30384"/>
      <c r="B30384"/>
      <c r="C30384"/>
      <c r="E30384"/>
      <c r="F30384"/>
    </row>
    <row r="30385" spans="1:6" x14ac:dyDescent="0.25">
      <c r="A30385"/>
      <c r="B30385"/>
      <c r="C30385"/>
      <c r="E30385"/>
      <c r="F30385"/>
    </row>
    <row r="30386" spans="1:6" x14ac:dyDescent="0.25">
      <c r="A30386"/>
      <c r="B30386"/>
      <c r="C30386"/>
      <c r="E30386"/>
      <c r="F30386"/>
    </row>
    <row r="30387" spans="1:6" x14ac:dyDescent="0.25">
      <c r="A30387"/>
      <c r="B30387"/>
      <c r="C30387"/>
      <c r="E30387"/>
      <c r="F30387"/>
    </row>
    <row r="30388" spans="1:6" x14ac:dyDescent="0.25">
      <c r="A30388"/>
      <c r="B30388"/>
      <c r="C30388"/>
      <c r="E30388"/>
      <c r="F30388"/>
    </row>
    <row r="30389" spans="1:6" x14ac:dyDescent="0.25">
      <c r="A30389"/>
      <c r="B30389"/>
      <c r="C30389"/>
      <c r="E30389"/>
      <c r="F30389"/>
    </row>
    <row r="30390" spans="1:6" x14ac:dyDescent="0.25">
      <c r="A30390"/>
      <c r="B30390"/>
      <c r="C30390"/>
      <c r="E30390"/>
      <c r="F30390"/>
    </row>
    <row r="30391" spans="1:6" x14ac:dyDescent="0.25">
      <c r="A30391"/>
      <c r="B30391"/>
      <c r="C30391"/>
      <c r="E30391"/>
      <c r="F30391"/>
    </row>
    <row r="30392" spans="1:6" x14ac:dyDescent="0.25">
      <c r="A30392"/>
      <c r="B30392"/>
      <c r="C30392"/>
      <c r="E30392"/>
      <c r="F30392"/>
    </row>
    <row r="30393" spans="1:6" x14ac:dyDescent="0.25">
      <c r="A30393"/>
      <c r="B30393"/>
      <c r="C30393"/>
      <c r="E30393"/>
      <c r="F30393"/>
    </row>
    <row r="30394" spans="1:6" x14ac:dyDescent="0.25">
      <c r="A30394"/>
      <c r="B30394"/>
      <c r="C30394"/>
      <c r="E30394"/>
      <c r="F30394"/>
    </row>
    <row r="30395" spans="1:6" x14ac:dyDescent="0.25">
      <c r="A30395"/>
      <c r="B30395"/>
      <c r="C30395"/>
      <c r="E30395"/>
      <c r="F30395"/>
    </row>
    <row r="30396" spans="1:6" x14ac:dyDescent="0.25">
      <c r="A30396"/>
      <c r="B30396"/>
      <c r="C30396"/>
      <c r="E30396"/>
      <c r="F30396"/>
    </row>
    <row r="30397" spans="1:6" x14ac:dyDescent="0.25">
      <c r="A30397"/>
      <c r="B30397"/>
      <c r="C30397"/>
      <c r="E30397"/>
      <c r="F30397"/>
    </row>
    <row r="30398" spans="1:6" x14ac:dyDescent="0.25">
      <c r="A30398"/>
      <c r="B30398"/>
      <c r="C30398"/>
      <c r="E30398"/>
      <c r="F30398"/>
    </row>
    <row r="30399" spans="1:6" x14ac:dyDescent="0.25">
      <c r="A30399"/>
      <c r="B30399"/>
      <c r="C30399"/>
      <c r="E30399"/>
      <c r="F30399"/>
    </row>
    <row r="30400" spans="1:6" x14ac:dyDescent="0.25">
      <c r="A30400"/>
      <c r="B30400"/>
      <c r="C30400"/>
      <c r="E30400"/>
      <c r="F30400"/>
    </row>
    <row r="30401" spans="1:6" x14ac:dyDescent="0.25">
      <c r="A30401"/>
      <c r="B30401"/>
      <c r="C30401"/>
      <c r="E30401"/>
      <c r="F30401"/>
    </row>
    <row r="30402" spans="1:6" x14ac:dyDescent="0.25">
      <c r="A30402"/>
      <c r="B30402"/>
      <c r="C30402"/>
      <c r="E30402"/>
      <c r="F30402"/>
    </row>
    <row r="30403" spans="1:6" x14ac:dyDescent="0.25">
      <c r="A30403"/>
      <c r="B30403"/>
      <c r="C30403"/>
      <c r="E30403"/>
      <c r="F30403"/>
    </row>
    <row r="30404" spans="1:6" x14ac:dyDescent="0.25">
      <c r="A30404"/>
      <c r="B30404"/>
      <c r="C30404"/>
      <c r="E30404"/>
      <c r="F30404"/>
    </row>
    <row r="30405" spans="1:6" x14ac:dyDescent="0.25">
      <c r="A30405"/>
      <c r="B30405"/>
      <c r="C30405"/>
      <c r="E30405"/>
      <c r="F30405"/>
    </row>
    <row r="30406" spans="1:6" x14ac:dyDescent="0.25">
      <c r="A30406"/>
      <c r="B30406"/>
      <c r="C30406"/>
      <c r="E30406"/>
      <c r="F30406"/>
    </row>
    <row r="30407" spans="1:6" x14ac:dyDescent="0.25">
      <c r="A30407"/>
      <c r="B30407"/>
      <c r="C30407"/>
      <c r="E30407"/>
      <c r="F30407"/>
    </row>
    <row r="30408" spans="1:6" x14ac:dyDescent="0.25">
      <c r="A30408"/>
      <c r="B30408"/>
      <c r="C30408"/>
      <c r="E30408"/>
      <c r="F30408"/>
    </row>
    <row r="30409" spans="1:6" x14ac:dyDescent="0.25">
      <c r="A30409"/>
      <c r="B30409"/>
      <c r="C30409"/>
      <c r="E30409"/>
      <c r="F30409"/>
    </row>
    <row r="30410" spans="1:6" x14ac:dyDescent="0.25">
      <c r="A30410"/>
      <c r="B30410"/>
      <c r="C30410"/>
      <c r="E30410"/>
      <c r="F30410"/>
    </row>
    <row r="30411" spans="1:6" x14ac:dyDescent="0.25">
      <c r="A30411"/>
      <c r="B30411"/>
      <c r="C30411"/>
      <c r="E30411"/>
      <c r="F30411"/>
    </row>
    <row r="30412" spans="1:6" x14ac:dyDescent="0.25">
      <c r="A30412"/>
      <c r="B30412"/>
      <c r="C30412"/>
      <c r="E30412"/>
      <c r="F30412"/>
    </row>
    <row r="30413" spans="1:6" x14ac:dyDescent="0.25">
      <c r="A30413"/>
      <c r="B30413"/>
      <c r="C30413"/>
      <c r="E30413"/>
      <c r="F30413"/>
    </row>
    <row r="30414" spans="1:6" x14ac:dyDescent="0.25">
      <c r="A30414"/>
      <c r="B30414"/>
      <c r="C30414"/>
      <c r="E30414"/>
      <c r="F30414"/>
    </row>
    <row r="30415" spans="1:6" x14ac:dyDescent="0.25">
      <c r="A30415"/>
      <c r="B30415"/>
      <c r="C30415"/>
      <c r="E30415"/>
      <c r="F30415"/>
    </row>
    <row r="30416" spans="1:6" x14ac:dyDescent="0.25">
      <c r="A30416"/>
      <c r="B30416"/>
      <c r="C30416"/>
      <c r="E30416"/>
      <c r="F30416"/>
    </row>
    <row r="30417" spans="1:6" x14ac:dyDescent="0.25">
      <c r="A30417"/>
      <c r="B30417"/>
      <c r="C30417"/>
      <c r="E30417"/>
      <c r="F30417"/>
    </row>
    <row r="30418" spans="1:6" x14ac:dyDescent="0.25">
      <c r="A30418"/>
      <c r="B30418"/>
      <c r="C30418"/>
      <c r="E30418"/>
      <c r="F30418"/>
    </row>
    <row r="30419" spans="1:6" x14ac:dyDescent="0.25">
      <c r="A30419"/>
      <c r="B30419"/>
      <c r="C30419"/>
      <c r="E30419"/>
      <c r="F30419"/>
    </row>
    <row r="30420" spans="1:6" x14ac:dyDescent="0.25">
      <c r="A30420"/>
      <c r="B30420"/>
      <c r="C30420"/>
      <c r="E30420"/>
      <c r="F30420"/>
    </row>
    <row r="30421" spans="1:6" x14ac:dyDescent="0.25">
      <c r="A30421"/>
      <c r="B30421"/>
      <c r="C30421"/>
      <c r="E30421"/>
      <c r="F30421"/>
    </row>
    <row r="30422" spans="1:6" x14ac:dyDescent="0.25">
      <c r="A30422"/>
      <c r="B30422"/>
      <c r="C30422"/>
      <c r="E30422"/>
      <c r="F30422"/>
    </row>
    <row r="30423" spans="1:6" x14ac:dyDescent="0.25">
      <c r="A30423"/>
      <c r="B30423"/>
      <c r="C30423"/>
      <c r="E30423"/>
      <c r="F30423"/>
    </row>
    <row r="30424" spans="1:6" x14ac:dyDescent="0.25">
      <c r="A30424"/>
      <c r="B30424"/>
      <c r="C30424"/>
      <c r="E30424"/>
      <c r="F30424"/>
    </row>
    <row r="30425" spans="1:6" x14ac:dyDescent="0.25">
      <c r="A30425"/>
      <c r="B30425"/>
      <c r="C30425"/>
      <c r="E30425"/>
      <c r="F30425"/>
    </row>
    <row r="30426" spans="1:6" x14ac:dyDescent="0.25">
      <c r="A30426"/>
      <c r="B30426"/>
      <c r="C30426"/>
      <c r="E30426"/>
      <c r="F30426"/>
    </row>
    <row r="30427" spans="1:6" x14ac:dyDescent="0.25">
      <c r="A30427"/>
      <c r="B30427"/>
      <c r="C30427"/>
      <c r="E30427"/>
      <c r="F30427"/>
    </row>
    <row r="30428" spans="1:6" x14ac:dyDescent="0.25">
      <c r="A30428"/>
      <c r="B30428"/>
      <c r="C30428"/>
      <c r="E30428"/>
      <c r="F30428"/>
    </row>
    <row r="30429" spans="1:6" x14ac:dyDescent="0.25">
      <c r="A30429"/>
      <c r="B30429"/>
      <c r="C30429"/>
      <c r="E30429"/>
      <c r="F30429"/>
    </row>
    <row r="30430" spans="1:6" x14ac:dyDescent="0.25">
      <c r="A30430"/>
      <c r="B30430"/>
      <c r="C30430"/>
      <c r="E30430"/>
      <c r="F30430"/>
    </row>
    <row r="30431" spans="1:6" x14ac:dyDescent="0.25">
      <c r="A30431"/>
      <c r="B30431"/>
      <c r="C30431"/>
      <c r="E30431"/>
      <c r="F30431"/>
    </row>
    <row r="30432" spans="1:6" x14ac:dyDescent="0.25">
      <c r="A30432"/>
      <c r="B30432"/>
      <c r="C30432"/>
      <c r="E30432"/>
      <c r="F30432"/>
    </row>
    <row r="30433" spans="1:6" x14ac:dyDescent="0.25">
      <c r="A30433"/>
      <c r="B30433"/>
      <c r="C30433"/>
      <c r="E30433"/>
      <c r="F30433"/>
    </row>
    <row r="30434" spans="1:6" x14ac:dyDescent="0.25">
      <c r="A30434"/>
      <c r="B30434"/>
      <c r="C30434"/>
      <c r="E30434"/>
      <c r="F30434"/>
    </row>
    <row r="30435" spans="1:6" x14ac:dyDescent="0.25">
      <c r="A30435"/>
      <c r="B30435"/>
      <c r="C30435"/>
      <c r="E30435"/>
      <c r="F30435"/>
    </row>
    <row r="30436" spans="1:6" x14ac:dyDescent="0.25">
      <c r="A30436"/>
      <c r="B30436"/>
      <c r="C30436"/>
      <c r="E30436"/>
      <c r="F30436"/>
    </row>
    <row r="30437" spans="1:6" x14ac:dyDescent="0.25">
      <c r="A30437"/>
      <c r="B30437"/>
      <c r="C30437"/>
      <c r="E30437"/>
      <c r="F30437"/>
    </row>
    <row r="30438" spans="1:6" x14ac:dyDescent="0.25">
      <c r="A30438"/>
      <c r="B30438"/>
      <c r="C30438"/>
      <c r="E30438"/>
      <c r="F30438"/>
    </row>
    <row r="30439" spans="1:6" x14ac:dyDescent="0.25">
      <c r="A30439"/>
      <c r="B30439"/>
      <c r="C30439"/>
      <c r="E30439"/>
      <c r="F30439"/>
    </row>
    <row r="30440" spans="1:6" x14ac:dyDescent="0.25">
      <c r="A30440"/>
      <c r="B30440"/>
      <c r="C30440"/>
      <c r="E30440"/>
      <c r="F30440"/>
    </row>
    <row r="30441" spans="1:6" x14ac:dyDescent="0.25">
      <c r="A30441"/>
      <c r="B30441"/>
      <c r="C30441"/>
      <c r="E30441"/>
      <c r="F30441"/>
    </row>
    <row r="30442" spans="1:6" x14ac:dyDescent="0.25">
      <c r="A30442"/>
      <c r="B30442"/>
      <c r="C30442"/>
      <c r="E30442"/>
      <c r="F30442"/>
    </row>
    <row r="30443" spans="1:6" x14ac:dyDescent="0.25">
      <c r="A30443"/>
      <c r="B30443"/>
      <c r="C30443"/>
      <c r="E30443"/>
      <c r="F30443"/>
    </row>
    <row r="30444" spans="1:6" x14ac:dyDescent="0.25">
      <c r="A30444"/>
      <c r="B30444"/>
      <c r="C30444"/>
      <c r="E30444"/>
      <c r="F30444"/>
    </row>
    <row r="30445" spans="1:6" x14ac:dyDescent="0.25">
      <c r="A30445"/>
      <c r="B30445"/>
      <c r="C30445"/>
      <c r="E30445"/>
      <c r="F30445"/>
    </row>
    <row r="30446" spans="1:6" x14ac:dyDescent="0.25">
      <c r="A30446"/>
      <c r="B30446"/>
      <c r="C30446"/>
      <c r="E30446"/>
      <c r="F30446"/>
    </row>
    <row r="30447" spans="1:6" x14ac:dyDescent="0.25">
      <c r="A30447"/>
      <c r="B30447"/>
      <c r="C30447"/>
      <c r="E30447"/>
      <c r="F30447"/>
    </row>
    <row r="30448" spans="1:6" x14ac:dyDescent="0.25">
      <c r="A30448"/>
      <c r="B30448"/>
      <c r="C30448"/>
      <c r="E30448"/>
      <c r="F30448"/>
    </row>
    <row r="30449" spans="1:6" x14ac:dyDescent="0.25">
      <c r="A30449"/>
      <c r="B30449"/>
      <c r="C30449"/>
      <c r="E30449"/>
      <c r="F30449"/>
    </row>
    <row r="30450" spans="1:6" x14ac:dyDescent="0.25">
      <c r="A30450"/>
      <c r="B30450"/>
      <c r="C30450"/>
      <c r="E30450"/>
      <c r="F30450"/>
    </row>
    <row r="30451" spans="1:6" x14ac:dyDescent="0.25">
      <c r="A30451"/>
      <c r="B30451"/>
      <c r="C30451"/>
      <c r="E30451"/>
      <c r="F30451"/>
    </row>
    <row r="30452" spans="1:6" x14ac:dyDescent="0.25">
      <c r="A30452"/>
      <c r="B30452"/>
      <c r="C30452"/>
      <c r="E30452"/>
      <c r="F30452"/>
    </row>
    <row r="30453" spans="1:6" x14ac:dyDescent="0.25">
      <c r="A30453"/>
      <c r="B30453"/>
      <c r="C30453"/>
      <c r="E30453"/>
      <c r="F30453"/>
    </row>
    <row r="30454" spans="1:6" x14ac:dyDescent="0.25">
      <c r="A30454"/>
      <c r="B30454"/>
      <c r="C30454"/>
      <c r="E30454"/>
      <c r="F30454"/>
    </row>
    <row r="30455" spans="1:6" x14ac:dyDescent="0.25">
      <c r="A30455"/>
      <c r="B30455"/>
      <c r="C30455"/>
      <c r="E30455"/>
      <c r="F30455"/>
    </row>
    <row r="30456" spans="1:6" x14ac:dyDescent="0.25">
      <c r="A30456"/>
      <c r="B30456"/>
      <c r="C30456"/>
      <c r="E30456"/>
      <c r="F30456"/>
    </row>
    <row r="30457" spans="1:6" x14ac:dyDescent="0.25">
      <c r="A30457"/>
      <c r="B30457"/>
      <c r="C30457"/>
      <c r="E30457"/>
      <c r="F30457"/>
    </row>
    <row r="30458" spans="1:6" x14ac:dyDescent="0.25">
      <c r="A30458"/>
      <c r="B30458"/>
      <c r="C30458"/>
      <c r="E30458"/>
      <c r="F30458"/>
    </row>
    <row r="30459" spans="1:6" x14ac:dyDescent="0.25">
      <c r="A30459"/>
      <c r="B30459"/>
      <c r="C30459"/>
      <c r="E30459"/>
      <c r="F30459"/>
    </row>
    <row r="30460" spans="1:6" x14ac:dyDescent="0.25">
      <c r="A30460"/>
      <c r="B30460"/>
      <c r="C30460"/>
      <c r="E30460"/>
      <c r="F30460"/>
    </row>
    <row r="30461" spans="1:6" x14ac:dyDescent="0.25">
      <c r="A30461"/>
      <c r="B30461"/>
      <c r="C30461"/>
      <c r="E30461"/>
      <c r="F30461"/>
    </row>
    <row r="30462" spans="1:6" x14ac:dyDescent="0.25">
      <c r="A30462"/>
      <c r="B30462"/>
      <c r="C30462"/>
      <c r="E30462"/>
      <c r="F30462"/>
    </row>
    <row r="30463" spans="1:6" x14ac:dyDescent="0.25">
      <c r="A30463"/>
      <c r="B30463"/>
      <c r="C30463"/>
      <c r="E30463"/>
      <c r="F30463"/>
    </row>
    <row r="30464" spans="1:6" x14ac:dyDescent="0.25">
      <c r="A30464"/>
      <c r="B30464"/>
      <c r="C30464"/>
      <c r="E30464"/>
      <c r="F30464"/>
    </row>
    <row r="30465" spans="1:6" x14ac:dyDescent="0.25">
      <c r="A30465"/>
      <c r="B30465"/>
      <c r="C30465"/>
      <c r="E30465"/>
      <c r="F30465"/>
    </row>
    <row r="30466" spans="1:6" x14ac:dyDescent="0.25">
      <c r="A30466"/>
      <c r="B30466"/>
      <c r="C30466"/>
      <c r="E30466"/>
      <c r="F30466"/>
    </row>
    <row r="30467" spans="1:6" x14ac:dyDescent="0.25">
      <c r="A30467"/>
      <c r="B30467"/>
      <c r="C30467"/>
      <c r="E30467"/>
      <c r="F30467"/>
    </row>
    <row r="30468" spans="1:6" x14ac:dyDescent="0.25">
      <c r="A30468"/>
      <c r="B30468"/>
      <c r="C30468"/>
      <c r="E30468"/>
      <c r="F30468"/>
    </row>
    <row r="30469" spans="1:6" x14ac:dyDescent="0.25">
      <c r="A30469"/>
      <c r="B30469"/>
      <c r="C30469"/>
      <c r="E30469"/>
      <c r="F30469"/>
    </row>
    <row r="30470" spans="1:6" x14ac:dyDescent="0.25">
      <c r="A30470"/>
      <c r="B30470"/>
      <c r="C30470"/>
      <c r="E30470"/>
      <c r="F30470"/>
    </row>
    <row r="30471" spans="1:6" x14ac:dyDescent="0.25">
      <c r="A30471"/>
      <c r="B30471"/>
      <c r="C30471"/>
      <c r="E30471"/>
      <c r="F30471"/>
    </row>
    <row r="30472" spans="1:6" x14ac:dyDescent="0.25">
      <c r="A30472"/>
      <c r="B30472"/>
      <c r="C30472"/>
      <c r="E30472"/>
      <c r="F30472"/>
    </row>
    <row r="30473" spans="1:6" x14ac:dyDescent="0.25">
      <c r="A30473"/>
      <c r="B30473"/>
      <c r="C30473"/>
      <c r="E30473"/>
      <c r="F30473"/>
    </row>
    <row r="30474" spans="1:6" x14ac:dyDescent="0.25">
      <c r="A30474"/>
      <c r="B30474"/>
      <c r="C30474"/>
      <c r="E30474"/>
      <c r="F30474"/>
    </row>
    <row r="30475" spans="1:6" x14ac:dyDescent="0.25">
      <c r="A30475"/>
      <c r="B30475"/>
      <c r="C30475"/>
      <c r="E30475"/>
      <c r="F30475"/>
    </row>
    <row r="30476" spans="1:6" x14ac:dyDescent="0.25">
      <c r="A30476"/>
      <c r="B30476"/>
      <c r="C30476"/>
      <c r="E30476"/>
      <c r="F30476"/>
    </row>
    <row r="30477" spans="1:6" x14ac:dyDescent="0.25">
      <c r="A30477"/>
      <c r="B30477"/>
      <c r="C30477"/>
      <c r="E30477"/>
      <c r="F30477"/>
    </row>
    <row r="30478" spans="1:6" x14ac:dyDescent="0.25">
      <c r="A30478"/>
      <c r="B30478"/>
      <c r="C30478"/>
      <c r="E30478"/>
      <c r="F30478"/>
    </row>
    <row r="30479" spans="1:6" x14ac:dyDescent="0.25">
      <c r="A30479"/>
      <c r="B30479"/>
      <c r="C30479"/>
      <c r="E30479"/>
      <c r="F30479"/>
    </row>
    <row r="30480" spans="1:6" x14ac:dyDescent="0.25">
      <c r="A30480"/>
      <c r="B30480"/>
      <c r="C30480"/>
      <c r="E30480"/>
      <c r="F30480"/>
    </row>
    <row r="30481" spans="1:6" x14ac:dyDescent="0.25">
      <c r="A30481"/>
      <c r="B30481"/>
      <c r="C30481"/>
      <c r="E30481"/>
      <c r="F30481"/>
    </row>
    <row r="30482" spans="1:6" x14ac:dyDescent="0.25">
      <c r="A30482"/>
      <c r="B30482"/>
      <c r="C30482"/>
      <c r="E30482"/>
      <c r="F30482"/>
    </row>
    <row r="30483" spans="1:6" x14ac:dyDescent="0.25">
      <c r="A30483"/>
      <c r="B30483"/>
      <c r="C30483"/>
      <c r="E30483"/>
      <c r="F30483"/>
    </row>
    <row r="30484" spans="1:6" x14ac:dyDescent="0.25">
      <c r="A30484"/>
      <c r="B30484"/>
      <c r="C30484"/>
      <c r="E30484"/>
      <c r="F30484"/>
    </row>
    <row r="30485" spans="1:6" x14ac:dyDescent="0.25">
      <c r="A30485"/>
      <c r="B30485"/>
      <c r="C30485"/>
      <c r="E30485"/>
      <c r="F30485"/>
    </row>
    <row r="30486" spans="1:6" x14ac:dyDescent="0.25">
      <c r="A30486"/>
      <c r="B30486"/>
      <c r="C30486"/>
      <c r="E30486"/>
      <c r="F30486"/>
    </row>
    <row r="30487" spans="1:6" x14ac:dyDescent="0.25">
      <c r="A30487"/>
      <c r="B30487"/>
      <c r="C30487"/>
      <c r="E30487"/>
      <c r="F30487"/>
    </row>
    <row r="30488" spans="1:6" x14ac:dyDescent="0.25">
      <c r="A30488"/>
      <c r="B30488"/>
      <c r="C30488"/>
      <c r="E30488"/>
      <c r="F30488"/>
    </row>
    <row r="30489" spans="1:6" x14ac:dyDescent="0.25">
      <c r="A30489"/>
      <c r="B30489"/>
      <c r="C30489"/>
      <c r="E30489"/>
      <c r="F30489"/>
    </row>
    <row r="30490" spans="1:6" x14ac:dyDescent="0.25">
      <c r="A30490"/>
      <c r="B30490"/>
      <c r="C30490"/>
      <c r="E30490"/>
      <c r="F30490"/>
    </row>
    <row r="30491" spans="1:6" x14ac:dyDescent="0.25">
      <c r="A30491"/>
      <c r="B30491"/>
      <c r="C30491"/>
      <c r="E30491"/>
      <c r="F30491"/>
    </row>
    <row r="30492" spans="1:6" x14ac:dyDescent="0.25">
      <c r="A30492"/>
      <c r="B30492"/>
      <c r="C30492"/>
      <c r="E30492"/>
      <c r="F30492"/>
    </row>
    <row r="30493" spans="1:6" x14ac:dyDescent="0.25">
      <c r="A30493"/>
      <c r="B30493"/>
      <c r="C30493"/>
      <c r="E30493"/>
      <c r="F30493"/>
    </row>
    <row r="30494" spans="1:6" x14ac:dyDescent="0.25">
      <c r="A30494"/>
      <c r="B30494"/>
      <c r="C30494"/>
      <c r="E30494"/>
      <c r="F30494"/>
    </row>
    <row r="30495" spans="1:6" x14ac:dyDescent="0.25">
      <c r="A30495"/>
      <c r="B30495"/>
      <c r="C30495"/>
      <c r="E30495"/>
      <c r="F30495"/>
    </row>
    <row r="30496" spans="1:6" x14ac:dyDescent="0.25">
      <c r="A30496"/>
      <c r="B30496"/>
      <c r="C30496"/>
      <c r="E30496"/>
      <c r="F30496"/>
    </row>
    <row r="30497" spans="1:6" x14ac:dyDescent="0.25">
      <c r="A30497"/>
      <c r="B30497"/>
      <c r="C30497"/>
      <c r="E30497"/>
      <c r="F30497"/>
    </row>
    <row r="30498" spans="1:6" x14ac:dyDescent="0.25">
      <c r="A30498"/>
      <c r="B30498"/>
      <c r="C30498"/>
      <c r="E30498"/>
      <c r="F30498"/>
    </row>
    <row r="30499" spans="1:6" x14ac:dyDescent="0.25">
      <c r="A30499"/>
      <c r="B30499"/>
      <c r="C30499"/>
      <c r="E30499"/>
      <c r="F30499"/>
    </row>
    <row r="30500" spans="1:6" x14ac:dyDescent="0.25">
      <c r="A30500"/>
      <c r="B30500"/>
      <c r="C30500"/>
      <c r="E30500"/>
      <c r="F30500"/>
    </row>
    <row r="30501" spans="1:6" x14ac:dyDescent="0.25">
      <c r="A30501"/>
      <c r="B30501"/>
      <c r="C30501"/>
      <c r="E30501"/>
      <c r="F30501"/>
    </row>
    <row r="30502" spans="1:6" x14ac:dyDescent="0.25">
      <c r="A30502"/>
      <c r="B30502"/>
      <c r="C30502"/>
      <c r="E30502"/>
      <c r="F30502"/>
    </row>
    <row r="30503" spans="1:6" x14ac:dyDescent="0.25">
      <c r="A30503"/>
      <c r="B30503"/>
      <c r="C30503"/>
      <c r="E30503"/>
      <c r="F30503"/>
    </row>
    <row r="30504" spans="1:6" x14ac:dyDescent="0.25">
      <c r="A30504"/>
      <c r="B30504"/>
      <c r="C30504"/>
      <c r="E30504"/>
      <c r="F30504"/>
    </row>
    <row r="30505" spans="1:6" x14ac:dyDescent="0.25">
      <c r="A30505"/>
      <c r="B30505"/>
      <c r="C30505"/>
      <c r="E30505"/>
      <c r="F30505"/>
    </row>
    <row r="30506" spans="1:6" x14ac:dyDescent="0.25">
      <c r="A30506"/>
      <c r="B30506"/>
      <c r="C30506"/>
      <c r="E30506"/>
      <c r="F30506"/>
    </row>
    <row r="30507" spans="1:6" x14ac:dyDescent="0.25">
      <c r="A30507"/>
      <c r="B30507"/>
      <c r="C30507"/>
      <c r="E30507"/>
      <c r="F30507"/>
    </row>
    <row r="30508" spans="1:6" x14ac:dyDescent="0.25">
      <c r="A30508"/>
      <c r="B30508"/>
      <c r="C30508"/>
      <c r="E30508"/>
      <c r="F30508"/>
    </row>
    <row r="30509" spans="1:6" x14ac:dyDescent="0.25">
      <c r="A30509"/>
      <c r="B30509"/>
      <c r="C30509"/>
      <c r="E30509"/>
      <c r="F30509"/>
    </row>
    <row r="30510" spans="1:6" x14ac:dyDescent="0.25">
      <c r="A30510"/>
      <c r="B30510"/>
      <c r="C30510"/>
      <c r="E30510"/>
      <c r="F30510"/>
    </row>
    <row r="30511" spans="1:6" x14ac:dyDescent="0.25">
      <c r="A30511"/>
      <c r="B30511"/>
      <c r="C30511"/>
      <c r="E30511"/>
      <c r="F30511"/>
    </row>
    <row r="30512" spans="1:6" x14ac:dyDescent="0.25">
      <c r="A30512"/>
      <c r="B30512"/>
      <c r="C30512"/>
      <c r="E30512"/>
      <c r="F30512"/>
    </row>
    <row r="30513" spans="1:6" x14ac:dyDescent="0.25">
      <c r="A30513"/>
      <c r="B30513"/>
      <c r="C30513"/>
      <c r="E30513"/>
      <c r="F30513"/>
    </row>
    <row r="30514" spans="1:6" x14ac:dyDescent="0.25">
      <c r="A30514"/>
      <c r="B30514"/>
      <c r="C30514"/>
      <c r="E30514"/>
      <c r="F30514"/>
    </row>
    <row r="30515" spans="1:6" x14ac:dyDescent="0.25">
      <c r="A30515"/>
      <c r="B30515"/>
      <c r="C30515"/>
      <c r="E30515"/>
      <c r="F30515"/>
    </row>
    <row r="30516" spans="1:6" x14ac:dyDescent="0.25">
      <c r="A30516"/>
      <c r="B30516"/>
      <c r="C30516"/>
      <c r="E30516"/>
      <c r="F30516"/>
    </row>
    <row r="30517" spans="1:6" x14ac:dyDescent="0.25">
      <c r="A30517"/>
      <c r="B30517"/>
      <c r="C30517"/>
      <c r="E30517"/>
      <c r="F30517"/>
    </row>
    <row r="30518" spans="1:6" x14ac:dyDescent="0.25">
      <c r="A30518"/>
      <c r="B30518"/>
      <c r="C30518"/>
      <c r="E30518"/>
      <c r="F30518"/>
    </row>
    <row r="30519" spans="1:6" x14ac:dyDescent="0.25">
      <c r="A30519"/>
      <c r="B30519"/>
      <c r="C30519"/>
      <c r="E30519"/>
      <c r="F30519"/>
    </row>
    <row r="30520" spans="1:6" x14ac:dyDescent="0.25">
      <c r="A30520"/>
      <c r="B30520"/>
      <c r="C30520"/>
      <c r="E30520"/>
      <c r="F30520"/>
    </row>
    <row r="30521" spans="1:6" x14ac:dyDescent="0.25">
      <c r="A30521"/>
      <c r="B30521"/>
      <c r="C30521"/>
      <c r="E30521"/>
      <c r="F30521"/>
    </row>
    <row r="30522" spans="1:6" x14ac:dyDescent="0.25">
      <c r="A30522"/>
      <c r="B30522"/>
      <c r="C30522"/>
      <c r="E30522"/>
      <c r="F30522"/>
    </row>
    <row r="30523" spans="1:6" x14ac:dyDescent="0.25">
      <c r="A30523"/>
      <c r="B30523"/>
      <c r="C30523"/>
      <c r="E30523"/>
      <c r="F30523"/>
    </row>
    <row r="30524" spans="1:6" x14ac:dyDescent="0.25">
      <c r="A30524"/>
      <c r="B30524"/>
      <c r="C30524"/>
      <c r="E30524"/>
      <c r="F30524"/>
    </row>
    <row r="30525" spans="1:6" x14ac:dyDescent="0.25">
      <c r="A30525"/>
      <c r="B30525"/>
      <c r="C30525"/>
      <c r="E30525"/>
      <c r="F30525"/>
    </row>
    <row r="30526" spans="1:6" x14ac:dyDescent="0.25">
      <c r="A30526"/>
      <c r="B30526"/>
      <c r="C30526"/>
      <c r="E30526"/>
      <c r="F30526"/>
    </row>
    <row r="30527" spans="1:6" x14ac:dyDescent="0.25">
      <c r="A30527"/>
      <c r="B30527"/>
      <c r="C30527"/>
      <c r="E30527"/>
      <c r="F30527"/>
    </row>
    <row r="30528" spans="1:6" x14ac:dyDescent="0.25">
      <c r="A30528"/>
      <c r="B30528"/>
      <c r="C30528"/>
      <c r="E30528"/>
      <c r="F30528"/>
    </row>
    <row r="30529" spans="1:6" x14ac:dyDescent="0.25">
      <c r="A30529"/>
      <c r="B30529"/>
      <c r="C30529"/>
      <c r="E30529"/>
      <c r="F30529"/>
    </row>
    <row r="30530" spans="1:6" x14ac:dyDescent="0.25">
      <c r="A30530"/>
      <c r="B30530"/>
      <c r="C30530"/>
      <c r="E30530"/>
      <c r="F30530"/>
    </row>
    <row r="30531" spans="1:6" x14ac:dyDescent="0.25">
      <c r="A30531"/>
      <c r="B30531"/>
      <c r="C30531"/>
      <c r="E30531"/>
      <c r="F30531"/>
    </row>
    <row r="30532" spans="1:6" x14ac:dyDescent="0.25">
      <c r="A30532"/>
      <c r="B30532"/>
      <c r="C30532"/>
      <c r="E30532"/>
      <c r="F30532"/>
    </row>
    <row r="30533" spans="1:6" x14ac:dyDescent="0.25">
      <c r="A30533"/>
      <c r="B30533"/>
      <c r="C30533"/>
      <c r="E30533"/>
      <c r="F30533"/>
    </row>
    <row r="30534" spans="1:6" x14ac:dyDescent="0.25">
      <c r="A30534"/>
      <c r="B30534"/>
      <c r="C30534"/>
      <c r="E30534"/>
      <c r="F30534"/>
    </row>
    <row r="30535" spans="1:6" x14ac:dyDescent="0.25">
      <c r="A30535"/>
      <c r="B30535"/>
      <c r="C30535"/>
      <c r="E30535"/>
      <c r="F30535"/>
    </row>
    <row r="30536" spans="1:6" x14ac:dyDescent="0.25">
      <c r="A30536"/>
      <c r="B30536"/>
      <c r="C30536"/>
      <c r="E30536"/>
      <c r="F30536"/>
    </row>
    <row r="30537" spans="1:6" x14ac:dyDescent="0.25">
      <c r="A30537"/>
      <c r="B30537"/>
      <c r="C30537"/>
      <c r="E30537"/>
      <c r="F30537"/>
    </row>
    <row r="30538" spans="1:6" x14ac:dyDescent="0.25">
      <c r="A30538"/>
      <c r="B30538"/>
      <c r="C30538"/>
      <c r="E30538"/>
      <c r="F30538"/>
    </row>
    <row r="30539" spans="1:6" x14ac:dyDescent="0.25">
      <c r="A30539"/>
      <c r="B30539"/>
      <c r="C30539"/>
      <c r="E30539"/>
      <c r="F30539"/>
    </row>
    <row r="30540" spans="1:6" x14ac:dyDescent="0.25">
      <c r="A30540"/>
      <c r="B30540"/>
      <c r="C30540"/>
      <c r="E30540"/>
      <c r="F30540"/>
    </row>
    <row r="30541" spans="1:6" x14ac:dyDescent="0.25">
      <c r="A30541"/>
      <c r="B30541"/>
      <c r="C30541"/>
      <c r="E30541"/>
      <c r="F30541"/>
    </row>
    <row r="30542" spans="1:6" x14ac:dyDescent="0.25">
      <c r="A30542"/>
      <c r="B30542"/>
      <c r="C30542"/>
      <c r="E30542"/>
      <c r="F30542"/>
    </row>
    <row r="30543" spans="1:6" x14ac:dyDescent="0.25">
      <c r="A30543"/>
      <c r="B30543"/>
      <c r="C30543"/>
      <c r="E30543"/>
      <c r="F30543"/>
    </row>
    <row r="30544" spans="1:6" x14ac:dyDescent="0.25">
      <c r="A30544"/>
      <c r="B30544"/>
      <c r="C30544"/>
      <c r="E30544"/>
      <c r="F30544"/>
    </row>
    <row r="30545" spans="1:6" x14ac:dyDescent="0.25">
      <c r="A30545"/>
      <c r="B30545"/>
      <c r="C30545"/>
      <c r="E30545"/>
      <c r="F30545"/>
    </row>
    <row r="30546" spans="1:6" x14ac:dyDescent="0.25">
      <c r="A30546"/>
      <c r="B30546"/>
      <c r="C30546"/>
      <c r="E30546"/>
      <c r="F30546"/>
    </row>
    <row r="30547" spans="1:6" x14ac:dyDescent="0.25">
      <c r="A30547"/>
      <c r="B30547"/>
      <c r="C30547"/>
      <c r="E30547"/>
      <c r="F30547"/>
    </row>
    <row r="30548" spans="1:6" x14ac:dyDescent="0.25">
      <c r="A30548"/>
      <c r="B30548"/>
      <c r="C30548"/>
      <c r="E30548"/>
      <c r="F30548"/>
    </row>
    <row r="30549" spans="1:6" x14ac:dyDescent="0.25">
      <c r="A30549"/>
      <c r="B30549"/>
      <c r="C30549"/>
      <c r="E30549"/>
      <c r="F30549"/>
    </row>
    <row r="30550" spans="1:6" x14ac:dyDescent="0.25">
      <c r="A30550"/>
      <c r="B30550"/>
      <c r="C30550"/>
      <c r="E30550"/>
      <c r="F30550"/>
    </row>
    <row r="30551" spans="1:6" x14ac:dyDescent="0.25">
      <c r="A30551"/>
      <c r="B30551"/>
      <c r="C30551"/>
      <c r="E30551"/>
      <c r="F30551"/>
    </row>
    <row r="30552" spans="1:6" x14ac:dyDescent="0.25">
      <c r="A30552"/>
      <c r="B30552"/>
      <c r="C30552"/>
      <c r="E30552"/>
      <c r="F30552"/>
    </row>
    <row r="30553" spans="1:6" x14ac:dyDescent="0.25">
      <c r="A30553"/>
      <c r="B30553"/>
      <c r="C30553"/>
      <c r="E30553"/>
      <c r="F30553"/>
    </row>
    <row r="30554" spans="1:6" x14ac:dyDescent="0.25">
      <c r="A30554"/>
      <c r="B30554"/>
      <c r="C30554"/>
      <c r="E30554"/>
      <c r="F30554"/>
    </row>
    <row r="30555" spans="1:6" x14ac:dyDescent="0.25">
      <c r="A30555"/>
      <c r="B30555"/>
      <c r="C30555"/>
      <c r="E30555"/>
      <c r="F30555"/>
    </row>
    <row r="30556" spans="1:6" x14ac:dyDescent="0.25">
      <c r="A30556"/>
      <c r="B30556"/>
      <c r="C30556"/>
      <c r="E30556"/>
      <c r="F30556"/>
    </row>
    <row r="30557" spans="1:6" x14ac:dyDescent="0.25">
      <c r="A30557"/>
      <c r="B30557"/>
      <c r="C30557"/>
      <c r="E30557"/>
      <c r="F30557"/>
    </row>
    <row r="30558" spans="1:6" x14ac:dyDescent="0.25">
      <c r="A30558"/>
      <c r="B30558"/>
      <c r="C30558"/>
      <c r="E30558"/>
      <c r="F30558"/>
    </row>
    <row r="30559" spans="1:6" x14ac:dyDescent="0.25">
      <c r="A30559"/>
      <c r="B30559"/>
      <c r="C30559"/>
      <c r="E30559"/>
      <c r="F30559"/>
    </row>
    <row r="30560" spans="1:6" x14ac:dyDescent="0.25">
      <c r="A30560"/>
      <c r="B30560"/>
      <c r="C30560"/>
      <c r="E30560"/>
      <c r="F30560"/>
    </row>
    <row r="30561" spans="1:6" x14ac:dyDescent="0.25">
      <c r="A30561"/>
      <c r="B30561"/>
      <c r="C30561"/>
      <c r="E30561"/>
      <c r="F30561"/>
    </row>
    <row r="30562" spans="1:6" x14ac:dyDescent="0.25">
      <c r="A30562"/>
      <c r="B30562"/>
      <c r="C30562"/>
      <c r="E30562"/>
      <c r="F30562"/>
    </row>
    <row r="30563" spans="1:6" x14ac:dyDescent="0.25">
      <c r="A30563"/>
      <c r="B30563"/>
      <c r="C30563"/>
      <c r="E30563"/>
      <c r="F30563"/>
    </row>
    <row r="30564" spans="1:6" x14ac:dyDescent="0.25">
      <c r="A30564"/>
      <c r="B30564"/>
      <c r="C30564"/>
      <c r="E30564"/>
      <c r="F30564"/>
    </row>
    <row r="30565" spans="1:6" x14ac:dyDescent="0.25">
      <c r="A30565"/>
      <c r="B30565"/>
      <c r="C30565"/>
      <c r="E30565"/>
      <c r="F30565"/>
    </row>
    <row r="30566" spans="1:6" x14ac:dyDescent="0.25">
      <c r="A30566"/>
      <c r="B30566"/>
      <c r="C30566"/>
      <c r="E30566"/>
      <c r="F30566"/>
    </row>
    <row r="30567" spans="1:6" x14ac:dyDescent="0.25">
      <c r="A30567"/>
      <c r="B30567"/>
      <c r="C30567"/>
      <c r="E30567"/>
      <c r="F30567"/>
    </row>
    <row r="30568" spans="1:6" x14ac:dyDescent="0.25">
      <c r="A30568"/>
      <c r="B30568"/>
      <c r="C30568"/>
      <c r="E30568"/>
      <c r="F30568"/>
    </row>
    <row r="30569" spans="1:6" x14ac:dyDescent="0.25">
      <c r="A30569"/>
      <c r="B30569"/>
      <c r="C30569"/>
      <c r="E30569"/>
      <c r="F30569"/>
    </row>
    <row r="30570" spans="1:6" x14ac:dyDescent="0.25">
      <c r="A30570"/>
      <c r="B30570"/>
      <c r="C30570"/>
      <c r="E30570"/>
      <c r="F30570"/>
    </row>
    <row r="30571" spans="1:6" x14ac:dyDescent="0.25">
      <c r="A30571"/>
      <c r="B30571"/>
      <c r="C30571"/>
      <c r="E30571"/>
      <c r="F30571"/>
    </row>
    <row r="30572" spans="1:6" x14ac:dyDescent="0.25">
      <c r="A30572"/>
      <c r="B30572"/>
      <c r="C30572"/>
      <c r="E30572"/>
      <c r="F30572"/>
    </row>
    <row r="30573" spans="1:6" x14ac:dyDescent="0.25">
      <c r="A30573"/>
      <c r="B30573"/>
      <c r="C30573"/>
      <c r="E30573"/>
      <c r="F30573"/>
    </row>
    <row r="30574" spans="1:6" x14ac:dyDescent="0.25">
      <c r="A30574"/>
      <c r="B30574"/>
      <c r="C30574"/>
      <c r="E30574"/>
      <c r="F30574"/>
    </row>
    <row r="30575" spans="1:6" x14ac:dyDescent="0.25">
      <c r="A30575"/>
      <c r="B30575"/>
      <c r="C30575"/>
      <c r="E30575"/>
      <c r="F30575"/>
    </row>
    <row r="30576" spans="1:6" x14ac:dyDescent="0.25">
      <c r="A30576"/>
      <c r="B30576"/>
      <c r="C30576"/>
      <c r="E30576"/>
      <c r="F30576"/>
    </row>
    <row r="30577" spans="1:6" x14ac:dyDescent="0.25">
      <c r="A30577"/>
      <c r="B30577"/>
      <c r="C30577"/>
      <c r="E30577"/>
      <c r="F30577"/>
    </row>
    <row r="30578" spans="1:6" x14ac:dyDescent="0.25">
      <c r="A30578"/>
      <c r="B30578"/>
      <c r="C30578"/>
      <c r="E30578"/>
      <c r="F30578"/>
    </row>
    <row r="30579" spans="1:6" x14ac:dyDescent="0.25">
      <c r="A30579"/>
      <c r="B30579"/>
      <c r="C30579"/>
      <c r="E30579"/>
      <c r="F30579"/>
    </row>
    <row r="30580" spans="1:6" x14ac:dyDescent="0.25">
      <c r="A30580"/>
      <c r="B30580"/>
      <c r="C30580"/>
      <c r="E30580"/>
      <c r="F30580"/>
    </row>
    <row r="30581" spans="1:6" x14ac:dyDescent="0.25">
      <c r="A30581"/>
      <c r="B30581"/>
      <c r="C30581"/>
      <c r="E30581"/>
      <c r="F30581"/>
    </row>
    <row r="30582" spans="1:6" x14ac:dyDescent="0.25">
      <c r="A30582"/>
      <c r="B30582"/>
      <c r="C30582"/>
      <c r="E30582"/>
      <c r="F30582"/>
    </row>
    <row r="30583" spans="1:6" x14ac:dyDescent="0.25">
      <c r="A30583"/>
      <c r="B30583"/>
      <c r="C30583"/>
      <c r="E30583"/>
      <c r="F30583"/>
    </row>
    <row r="30584" spans="1:6" x14ac:dyDescent="0.25">
      <c r="A30584"/>
      <c r="B30584"/>
      <c r="C30584"/>
      <c r="E30584"/>
      <c r="F30584"/>
    </row>
    <row r="30585" spans="1:6" x14ac:dyDescent="0.25">
      <c r="A30585"/>
      <c r="B30585"/>
      <c r="C30585"/>
      <c r="E30585"/>
      <c r="F30585"/>
    </row>
    <row r="30586" spans="1:6" x14ac:dyDescent="0.25">
      <c r="A30586"/>
      <c r="B30586"/>
      <c r="C30586"/>
      <c r="E30586"/>
      <c r="F30586"/>
    </row>
    <row r="30587" spans="1:6" x14ac:dyDescent="0.25">
      <c r="A30587"/>
      <c r="B30587"/>
      <c r="C30587"/>
      <c r="E30587"/>
      <c r="F30587"/>
    </row>
    <row r="30588" spans="1:6" x14ac:dyDescent="0.25">
      <c r="A30588"/>
      <c r="B30588"/>
      <c r="C30588"/>
      <c r="E30588"/>
      <c r="F30588"/>
    </row>
    <row r="30589" spans="1:6" x14ac:dyDescent="0.25">
      <c r="A30589"/>
      <c r="B30589"/>
      <c r="C30589"/>
      <c r="E30589"/>
      <c r="F30589"/>
    </row>
    <row r="30590" spans="1:6" x14ac:dyDescent="0.25">
      <c r="A30590"/>
      <c r="B30590"/>
      <c r="C30590"/>
      <c r="E30590"/>
      <c r="F30590"/>
    </row>
    <row r="30591" spans="1:6" x14ac:dyDescent="0.25">
      <c r="A30591"/>
      <c r="B30591"/>
      <c r="C30591"/>
      <c r="E30591"/>
      <c r="F30591"/>
    </row>
    <row r="30592" spans="1:6" x14ac:dyDescent="0.25">
      <c r="A30592"/>
      <c r="B30592"/>
      <c r="C30592"/>
      <c r="E30592"/>
      <c r="F30592"/>
    </row>
    <row r="30593" spans="1:6" x14ac:dyDescent="0.25">
      <c r="A30593"/>
      <c r="B30593"/>
      <c r="C30593"/>
      <c r="E30593"/>
      <c r="F30593"/>
    </row>
    <row r="30594" spans="1:6" x14ac:dyDescent="0.25">
      <c r="A30594"/>
      <c r="B30594"/>
      <c r="C30594"/>
      <c r="E30594"/>
      <c r="F30594"/>
    </row>
    <row r="30595" spans="1:6" x14ac:dyDescent="0.25">
      <c r="A30595"/>
      <c r="B30595"/>
      <c r="C30595"/>
      <c r="E30595"/>
      <c r="F30595"/>
    </row>
    <row r="30596" spans="1:6" x14ac:dyDescent="0.25">
      <c r="A30596"/>
      <c r="B30596"/>
      <c r="C30596"/>
      <c r="E30596"/>
      <c r="F30596"/>
    </row>
    <row r="30597" spans="1:6" x14ac:dyDescent="0.25">
      <c r="A30597"/>
      <c r="B30597"/>
      <c r="C30597"/>
      <c r="E30597"/>
      <c r="F30597"/>
    </row>
    <row r="30598" spans="1:6" x14ac:dyDescent="0.25">
      <c r="A30598"/>
      <c r="B30598"/>
      <c r="C30598"/>
      <c r="E30598"/>
      <c r="F30598"/>
    </row>
    <row r="30599" spans="1:6" x14ac:dyDescent="0.25">
      <c r="A30599"/>
      <c r="B30599"/>
      <c r="C30599"/>
      <c r="E30599"/>
      <c r="F30599"/>
    </row>
    <row r="30600" spans="1:6" x14ac:dyDescent="0.25">
      <c r="A30600"/>
      <c r="B30600"/>
      <c r="C30600"/>
      <c r="E30600"/>
      <c r="F30600"/>
    </row>
    <row r="30601" spans="1:6" x14ac:dyDescent="0.25">
      <c r="A30601"/>
      <c r="B30601"/>
      <c r="C30601"/>
      <c r="E30601"/>
      <c r="F30601"/>
    </row>
    <row r="30602" spans="1:6" x14ac:dyDescent="0.25">
      <c r="A30602"/>
      <c r="B30602"/>
      <c r="C30602"/>
      <c r="E30602"/>
      <c r="F30602"/>
    </row>
    <row r="30603" spans="1:6" x14ac:dyDescent="0.25">
      <c r="A30603"/>
      <c r="B30603"/>
      <c r="C30603"/>
      <c r="E30603"/>
      <c r="F30603"/>
    </row>
    <row r="30604" spans="1:6" x14ac:dyDescent="0.25">
      <c r="A30604"/>
      <c r="B30604"/>
      <c r="C30604"/>
      <c r="E30604"/>
      <c r="F30604"/>
    </row>
    <row r="30605" spans="1:6" x14ac:dyDescent="0.25">
      <c r="A30605"/>
      <c r="B30605"/>
      <c r="C30605"/>
      <c r="E30605"/>
      <c r="F30605"/>
    </row>
    <row r="30606" spans="1:6" x14ac:dyDescent="0.25">
      <c r="A30606"/>
      <c r="B30606"/>
      <c r="C30606"/>
      <c r="E30606"/>
      <c r="F30606"/>
    </row>
    <row r="30607" spans="1:6" x14ac:dyDescent="0.25">
      <c r="A30607"/>
      <c r="B30607"/>
      <c r="C30607"/>
      <c r="E30607"/>
      <c r="F30607"/>
    </row>
    <row r="30608" spans="1:6" x14ac:dyDescent="0.25">
      <c r="A30608"/>
      <c r="B30608"/>
      <c r="C30608"/>
      <c r="E30608"/>
      <c r="F30608"/>
    </row>
    <row r="30609" spans="1:6" x14ac:dyDescent="0.25">
      <c r="A30609"/>
      <c r="B30609"/>
      <c r="C30609"/>
      <c r="E30609"/>
      <c r="F30609"/>
    </row>
    <row r="30610" spans="1:6" x14ac:dyDescent="0.25">
      <c r="A30610"/>
      <c r="B30610"/>
      <c r="C30610"/>
      <c r="E30610"/>
      <c r="F30610"/>
    </row>
    <row r="30611" spans="1:6" x14ac:dyDescent="0.25">
      <c r="A30611"/>
      <c r="B30611"/>
      <c r="C30611"/>
      <c r="E30611"/>
      <c r="F30611"/>
    </row>
    <row r="30612" spans="1:6" x14ac:dyDescent="0.25">
      <c r="A30612"/>
      <c r="B30612"/>
      <c r="C30612"/>
      <c r="E30612"/>
      <c r="F30612"/>
    </row>
    <row r="30613" spans="1:6" x14ac:dyDescent="0.25">
      <c r="A30613"/>
      <c r="B30613"/>
      <c r="C30613"/>
      <c r="E30613"/>
      <c r="F30613"/>
    </row>
    <row r="30614" spans="1:6" x14ac:dyDescent="0.25">
      <c r="A30614"/>
      <c r="B30614"/>
      <c r="C30614"/>
      <c r="E30614"/>
      <c r="F30614"/>
    </row>
    <row r="30615" spans="1:6" x14ac:dyDescent="0.25">
      <c r="A30615"/>
      <c r="B30615"/>
      <c r="C30615"/>
      <c r="E30615"/>
      <c r="F30615"/>
    </row>
    <row r="30616" spans="1:6" x14ac:dyDescent="0.25">
      <c r="A30616"/>
      <c r="B30616"/>
      <c r="C30616"/>
      <c r="E30616"/>
      <c r="F30616"/>
    </row>
    <row r="30617" spans="1:6" x14ac:dyDescent="0.25">
      <c r="A30617"/>
      <c r="B30617"/>
      <c r="C30617"/>
      <c r="E30617"/>
      <c r="F30617"/>
    </row>
    <row r="30618" spans="1:6" x14ac:dyDescent="0.25">
      <c r="A30618"/>
      <c r="B30618"/>
      <c r="C30618"/>
      <c r="E30618"/>
      <c r="F30618"/>
    </row>
    <row r="30619" spans="1:6" x14ac:dyDescent="0.25">
      <c r="A30619"/>
      <c r="B30619"/>
      <c r="C30619"/>
      <c r="E30619"/>
      <c r="F30619"/>
    </row>
    <row r="30620" spans="1:6" x14ac:dyDescent="0.25">
      <c r="A30620"/>
      <c r="B30620"/>
      <c r="C30620"/>
      <c r="E30620"/>
      <c r="F30620"/>
    </row>
    <row r="30621" spans="1:6" x14ac:dyDescent="0.25">
      <c r="A30621"/>
      <c r="B30621"/>
      <c r="C30621"/>
      <c r="E30621"/>
      <c r="F30621"/>
    </row>
    <row r="30622" spans="1:6" x14ac:dyDescent="0.25">
      <c r="A30622"/>
      <c r="B30622"/>
      <c r="C30622"/>
      <c r="E30622"/>
      <c r="F30622"/>
    </row>
    <row r="30623" spans="1:6" x14ac:dyDescent="0.25">
      <c r="A30623"/>
      <c r="B30623"/>
      <c r="C30623"/>
      <c r="E30623"/>
      <c r="F30623"/>
    </row>
    <row r="30624" spans="1:6" x14ac:dyDescent="0.25">
      <c r="A30624"/>
      <c r="B30624"/>
      <c r="C30624"/>
      <c r="E30624"/>
      <c r="F30624"/>
    </row>
    <row r="30625" spans="1:6" x14ac:dyDescent="0.25">
      <c r="A30625"/>
      <c r="B30625"/>
      <c r="C30625"/>
      <c r="E30625"/>
      <c r="F30625"/>
    </row>
    <row r="30626" spans="1:6" x14ac:dyDescent="0.25">
      <c r="A30626"/>
      <c r="B30626"/>
      <c r="C30626"/>
      <c r="E30626"/>
      <c r="F30626"/>
    </row>
    <row r="30627" spans="1:6" x14ac:dyDescent="0.25">
      <c r="A30627"/>
      <c r="B30627"/>
      <c r="C30627"/>
      <c r="E30627"/>
      <c r="F30627"/>
    </row>
    <row r="30628" spans="1:6" x14ac:dyDescent="0.25">
      <c r="A30628"/>
      <c r="B30628"/>
      <c r="C30628"/>
      <c r="E30628"/>
      <c r="F30628"/>
    </row>
    <row r="30629" spans="1:6" x14ac:dyDescent="0.25">
      <c r="A30629"/>
      <c r="B30629"/>
      <c r="C30629"/>
      <c r="E30629"/>
      <c r="F30629"/>
    </row>
    <row r="30630" spans="1:6" x14ac:dyDescent="0.25">
      <c r="A30630"/>
      <c r="B30630"/>
      <c r="C30630"/>
      <c r="E30630"/>
      <c r="F30630"/>
    </row>
    <row r="30631" spans="1:6" x14ac:dyDescent="0.25">
      <c r="A30631"/>
      <c r="B30631"/>
      <c r="C30631"/>
      <c r="E30631"/>
      <c r="F30631"/>
    </row>
    <row r="30632" spans="1:6" x14ac:dyDescent="0.25">
      <c r="A30632"/>
      <c r="B30632"/>
      <c r="C30632"/>
      <c r="E30632"/>
      <c r="F30632"/>
    </row>
    <row r="30633" spans="1:6" x14ac:dyDescent="0.25">
      <c r="A30633"/>
      <c r="B30633"/>
      <c r="C30633"/>
      <c r="E30633"/>
      <c r="F30633"/>
    </row>
    <row r="30634" spans="1:6" x14ac:dyDescent="0.25">
      <c r="A30634"/>
      <c r="B30634"/>
      <c r="C30634"/>
      <c r="E30634"/>
      <c r="F30634"/>
    </row>
    <row r="30635" spans="1:6" x14ac:dyDescent="0.25">
      <c r="A30635"/>
      <c r="B30635"/>
      <c r="C30635"/>
      <c r="E30635"/>
      <c r="F30635"/>
    </row>
    <row r="30636" spans="1:6" x14ac:dyDescent="0.25">
      <c r="A30636"/>
      <c r="B30636"/>
      <c r="C30636"/>
      <c r="E30636"/>
      <c r="F30636"/>
    </row>
    <row r="30637" spans="1:6" x14ac:dyDescent="0.25">
      <c r="A30637"/>
      <c r="B30637"/>
      <c r="C30637"/>
      <c r="E30637"/>
      <c r="F30637"/>
    </row>
    <row r="30638" spans="1:6" x14ac:dyDescent="0.25">
      <c r="A30638"/>
      <c r="B30638"/>
      <c r="C30638"/>
      <c r="E30638"/>
      <c r="F30638"/>
    </row>
    <row r="30639" spans="1:6" x14ac:dyDescent="0.25">
      <c r="A30639"/>
      <c r="B30639"/>
      <c r="C30639"/>
      <c r="E30639"/>
      <c r="F30639"/>
    </row>
    <row r="30640" spans="1:6" x14ac:dyDescent="0.25">
      <c r="A30640"/>
      <c r="B30640"/>
      <c r="C30640"/>
      <c r="E30640"/>
      <c r="F30640"/>
    </row>
    <row r="30641" spans="1:6" x14ac:dyDescent="0.25">
      <c r="A30641"/>
      <c r="B30641"/>
      <c r="C30641"/>
      <c r="E30641"/>
      <c r="F30641"/>
    </row>
    <row r="30642" spans="1:6" x14ac:dyDescent="0.25">
      <c r="A30642"/>
      <c r="B30642"/>
      <c r="C30642"/>
      <c r="E30642"/>
      <c r="F30642"/>
    </row>
    <row r="30643" spans="1:6" x14ac:dyDescent="0.25">
      <c r="A30643"/>
      <c r="B30643"/>
      <c r="C30643"/>
      <c r="E30643"/>
      <c r="F30643"/>
    </row>
    <row r="30644" spans="1:6" x14ac:dyDescent="0.25">
      <c r="A30644"/>
      <c r="B30644"/>
      <c r="C30644"/>
      <c r="E30644"/>
      <c r="F30644"/>
    </row>
    <row r="30645" spans="1:6" x14ac:dyDescent="0.25">
      <c r="A30645"/>
      <c r="B30645"/>
      <c r="C30645"/>
      <c r="E30645"/>
      <c r="F30645"/>
    </row>
    <row r="30646" spans="1:6" x14ac:dyDescent="0.25">
      <c r="A30646"/>
      <c r="B30646"/>
      <c r="C30646"/>
      <c r="E30646"/>
      <c r="F30646"/>
    </row>
    <row r="30647" spans="1:6" x14ac:dyDescent="0.25">
      <c r="A30647"/>
      <c r="B30647"/>
      <c r="C30647"/>
      <c r="E30647"/>
      <c r="F30647"/>
    </row>
    <row r="30648" spans="1:6" x14ac:dyDescent="0.25">
      <c r="A30648"/>
      <c r="B30648"/>
      <c r="C30648"/>
      <c r="E30648"/>
      <c r="F30648"/>
    </row>
    <row r="30649" spans="1:6" x14ac:dyDescent="0.25">
      <c r="A30649"/>
      <c r="B30649"/>
      <c r="C30649"/>
      <c r="E30649"/>
      <c r="F30649"/>
    </row>
    <row r="30650" spans="1:6" x14ac:dyDescent="0.25">
      <c r="A30650"/>
      <c r="B30650"/>
      <c r="C30650"/>
      <c r="E30650"/>
      <c r="F30650"/>
    </row>
    <row r="30651" spans="1:6" x14ac:dyDescent="0.25">
      <c r="A30651"/>
      <c r="B30651"/>
      <c r="C30651"/>
      <c r="E30651"/>
      <c r="F30651"/>
    </row>
    <row r="30652" spans="1:6" x14ac:dyDescent="0.25">
      <c r="A30652"/>
      <c r="B30652"/>
      <c r="C30652"/>
      <c r="E30652"/>
      <c r="F30652"/>
    </row>
    <row r="30653" spans="1:6" x14ac:dyDescent="0.25">
      <c r="A30653"/>
      <c r="B30653"/>
      <c r="C30653"/>
      <c r="E30653"/>
      <c r="F30653"/>
    </row>
    <row r="30654" spans="1:6" x14ac:dyDescent="0.25">
      <c r="A30654"/>
      <c r="B30654"/>
      <c r="C30654"/>
      <c r="E30654"/>
      <c r="F30654"/>
    </row>
    <row r="30655" spans="1:6" x14ac:dyDescent="0.25">
      <c r="A30655"/>
      <c r="B30655"/>
      <c r="C30655"/>
      <c r="E30655"/>
      <c r="F30655"/>
    </row>
    <row r="30656" spans="1:6" x14ac:dyDescent="0.25">
      <c r="A30656"/>
      <c r="B30656"/>
      <c r="C30656"/>
      <c r="E30656"/>
      <c r="F30656"/>
    </row>
    <row r="30657" spans="1:6" x14ac:dyDescent="0.25">
      <c r="A30657"/>
      <c r="B30657"/>
      <c r="C30657"/>
      <c r="E30657"/>
      <c r="F30657"/>
    </row>
    <row r="30658" spans="1:6" x14ac:dyDescent="0.25">
      <c r="A30658"/>
      <c r="B30658"/>
      <c r="C30658"/>
      <c r="E30658"/>
      <c r="F30658"/>
    </row>
    <row r="30659" spans="1:6" x14ac:dyDescent="0.25">
      <c r="A30659"/>
      <c r="B30659"/>
      <c r="C30659"/>
      <c r="E30659"/>
      <c r="F30659"/>
    </row>
    <row r="30660" spans="1:6" x14ac:dyDescent="0.25">
      <c r="A30660"/>
      <c r="B30660"/>
      <c r="C30660"/>
      <c r="E30660"/>
      <c r="F30660"/>
    </row>
    <row r="30661" spans="1:6" x14ac:dyDescent="0.25">
      <c r="A30661"/>
      <c r="B30661"/>
      <c r="C30661"/>
      <c r="E30661"/>
      <c r="F30661"/>
    </row>
    <row r="30662" spans="1:6" x14ac:dyDescent="0.25">
      <c r="A30662"/>
      <c r="B30662"/>
      <c r="C30662"/>
      <c r="E30662"/>
      <c r="F30662"/>
    </row>
    <row r="30663" spans="1:6" x14ac:dyDescent="0.25">
      <c r="A30663"/>
      <c r="B30663"/>
      <c r="C30663"/>
      <c r="E30663"/>
      <c r="F30663"/>
    </row>
    <row r="30664" spans="1:6" x14ac:dyDescent="0.25">
      <c r="A30664"/>
      <c r="B30664"/>
      <c r="C30664"/>
      <c r="E30664"/>
      <c r="F30664"/>
    </row>
    <row r="30665" spans="1:6" x14ac:dyDescent="0.25">
      <c r="A30665"/>
      <c r="B30665"/>
      <c r="C30665"/>
      <c r="E30665"/>
      <c r="F30665"/>
    </row>
    <row r="30666" spans="1:6" x14ac:dyDescent="0.25">
      <c r="A30666"/>
      <c r="B30666"/>
      <c r="C30666"/>
      <c r="E30666"/>
      <c r="F30666"/>
    </row>
    <row r="30667" spans="1:6" x14ac:dyDescent="0.25">
      <c r="A30667"/>
      <c r="B30667"/>
      <c r="C30667"/>
      <c r="E30667"/>
      <c r="F30667"/>
    </row>
    <row r="30668" spans="1:6" x14ac:dyDescent="0.25">
      <c r="A30668"/>
      <c r="B30668"/>
      <c r="C30668"/>
      <c r="E30668"/>
      <c r="F30668"/>
    </row>
    <row r="30669" spans="1:6" x14ac:dyDescent="0.25">
      <c r="A30669"/>
      <c r="B30669"/>
      <c r="C30669"/>
      <c r="E30669"/>
      <c r="F30669"/>
    </row>
    <row r="30670" spans="1:6" x14ac:dyDescent="0.25">
      <c r="A30670"/>
      <c r="B30670"/>
      <c r="C30670"/>
      <c r="E30670"/>
      <c r="F30670"/>
    </row>
    <row r="30671" spans="1:6" x14ac:dyDescent="0.25">
      <c r="A30671"/>
      <c r="B30671"/>
      <c r="C30671"/>
      <c r="E30671"/>
      <c r="F30671"/>
    </row>
    <row r="30672" spans="1:6" x14ac:dyDescent="0.25">
      <c r="A30672"/>
      <c r="B30672"/>
      <c r="C30672"/>
      <c r="E30672"/>
      <c r="F30672"/>
    </row>
    <row r="30673" spans="1:6" x14ac:dyDescent="0.25">
      <c r="A30673"/>
      <c r="B30673"/>
      <c r="C30673"/>
      <c r="E30673"/>
      <c r="F30673"/>
    </row>
    <row r="30674" spans="1:6" x14ac:dyDescent="0.25">
      <c r="A30674"/>
      <c r="B30674"/>
      <c r="C30674"/>
      <c r="E30674"/>
      <c r="F30674"/>
    </row>
    <row r="30675" spans="1:6" x14ac:dyDescent="0.25">
      <c r="A30675"/>
      <c r="B30675"/>
      <c r="C30675"/>
      <c r="E30675"/>
      <c r="F30675"/>
    </row>
    <row r="30676" spans="1:6" x14ac:dyDescent="0.25">
      <c r="A30676"/>
      <c r="B30676"/>
      <c r="C30676"/>
      <c r="E30676"/>
      <c r="F30676"/>
    </row>
    <row r="30677" spans="1:6" x14ac:dyDescent="0.25">
      <c r="A30677"/>
      <c r="B30677"/>
      <c r="C30677"/>
      <c r="E30677"/>
      <c r="F30677"/>
    </row>
    <row r="30678" spans="1:6" x14ac:dyDescent="0.25">
      <c r="A30678"/>
      <c r="B30678"/>
      <c r="C30678"/>
      <c r="E30678"/>
      <c r="F30678"/>
    </row>
    <row r="30679" spans="1:6" x14ac:dyDescent="0.25">
      <c r="A30679"/>
      <c r="B30679"/>
      <c r="C30679"/>
      <c r="E30679"/>
      <c r="F30679"/>
    </row>
    <row r="30680" spans="1:6" x14ac:dyDescent="0.25">
      <c r="A30680"/>
      <c r="B30680"/>
      <c r="C30680"/>
      <c r="E30680"/>
      <c r="F30680"/>
    </row>
    <row r="30681" spans="1:6" x14ac:dyDescent="0.25">
      <c r="A30681"/>
      <c r="B30681"/>
      <c r="C30681"/>
      <c r="E30681"/>
      <c r="F30681"/>
    </row>
    <row r="30682" spans="1:6" x14ac:dyDescent="0.25">
      <c r="A30682"/>
      <c r="B30682"/>
      <c r="C30682"/>
      <c r="E30682"/>
      <c r="F30682"/>
    </row>
    <row r="30683" spans="1:6" x14ac:dyDescent="0.25">
      <c r="A30683"/>
      <c r="B30683"/>
      <c r="C30683"/>
      <c r="E30683"/>
      <c r="F30683"/>
    </row>
    <row r="30684" spans="1:6" x14ac:dyDescent="0.25">
      <c r="A30684"/>
      <c r="B30684"/>
      <c r="C30684"/>
      <c r="E30684"/>
      <c r="F30684"/>
    </row>
    <row r="30685" spans="1:6" x14ac:dyDescent="0.25">
      <c r="A30685"/>
      <c r="B30685"/>
      <c r="C30685"/>
      <c r="E30685"/>
      <c r="F30685"/>
    </row>
    <row r="30686" spans="1:6" x14ac:dyDescent="0.25">
      <c r="A30686"/>
      <c r="B30686"/>
      <c r="C30686"/>
      <c r="E30686"/>
      <c r="F30686"/>
    </row>
    <row r="30687" spans="1:6" x14ac:dyDescent="0.25">
      <c r="A30687"/>
      <c r="B30687"/>
      <c r="C30687"/>
      <c r="E30687"/>
      <c r="F30687"/>
    </row>
    <row r="30688" spans="1:6" x14ac:dyDescent="0.25">
      <c r="A30688"/>
      <c r="B30688"/>
      <c r="C30688"/>
      <c r="E30688"/>
      <c r="F30688"/>
    </row>
    <row r="30689" spans="1:6" x14ac:dyDescent="0.25">
      <c r="A30689"/>
      <c r="B30689"/>
      <c r="C30689"/>
      <c r="E30689"/>
      <c r="F30689"/>
    </row>
    <row r="30690" spans="1:6" x14ac:dyDescent="0.25">
      <c r="A30690"/>
      <c r="B30690"/>
      <c r="C30690"/>
      <c r="E30690"/>
      <c r="F30690"/>
    </row>
    <row r="30691" spans="1:6" x14ac:dyDescent="0.25">
      <c r="A30691"/>
      <c r="B30691"/>
      <c r="C30691"/>
      <c r="E30691"/>
      <c r="F30691"/>
    </row>
    <row r="30692" spans="1:6" x14ac:dyDescent="0.25">
      <c r="A30692"/>
      <c r="B30692"/>
      <c r="C30692"/>
      <c r="E30692"/>
      <c r="F30692"/>
    </row>
    <row r="30693" spans="1:6" x14ac:dyDescent="0.25">
      <c r="A30693"/>
      <c r="B30693"/>
      <c r="C30693"/>
      <c r="E30693"/>
      <c r="F30693"/>
    </row>
    <row r="30694" spans="1:6" x14ac:dyDescent="0.25">
      <c r="A30694"/>
      <c r="B30694"/>
      <c r="C30694"/>
      <c r="E30694"/>
      <c r="F30694"/>
    </row>
    <row r="30695" spans="1:6" x14ac:dyDescent="0.25">
      <c r="A30695"/>
      <c r="B30695"/>
      <c r="C30695"/>
      <c r="E30695"/>
      <c r="F30695"/>
    </row>
    <row r="30696" spans="1:6" x14ac:dyDescent="0.25">
      <c r="A30696"/>
      <c r="B30696"/>
      <c r="C30696"/>
      <c r="E30696"/>
      <c r="F30696"/>
    </row>
    <row r="30697" spans="1:6" x14ac:dyDescent="0.25">
      <c r="A30697"/>
      <c r="B30697"/>
      <c r="C30697"/>
      <c r="E30697"/>
      <c r="F30697"/>
    </row>
    <row r="30698" spans="1:6" x14ac:dyDescent="0.25">
      <c r="A30698"/>
      <c r="B30698"/>
      <c r="C30698"/>
      <c r="E30698"/>
      <c r="F30698"/>
    </row>
    <row r="30699" spans="1:6" x14ac:dyDescent="0.25">
      <c r="A30699"/>
      <c r="B30699"/>
      <c r="C30699"/>
      <c r="E30699"/>
      <c r="F30699"/>
    </row>
    <row r="30700" spans="1:6" x14ac:dyDescent="0.25">
      <c r="A30700"/>
      <c r="B30700"/>
      <c r="C30700"/>
      <c r="E30700"/>
      <c r="F30700"/>
    </row>
    <row r="30701" spans="1:6" x14ac:dyDescent="0.25">
      <c r="A30701"/>
      <c r="B30701"/>
      <c r="C30701"/>
      <c r="E30701"/>
      <c r="F30701"/>
    </row>
    <row r="30702" spans="1:6" x14ac:dyDescent="0.25">
      <c r="A30702"/>
      <c r="B30702"/>
      <c r="C30702"/>
      <c r="E30702"/>
      <c r="F30702"/>
    </row>
    <row r="30703" spans="1:6" x14ac:dyDescent="0.25">
      <c r="A30703"/>
      <c r="B30703"/>
      <c r="C30703"/>
      <c r="E30703"/>
      <c r="F30703"/>
    </row>
    <row r="30704" spans="1:6" x14ac:dyDescent="0.25">
      <c r="A30704"/>
      <c r="B30704"/>
      <c r="C30704"/>
      <c r="E30704"/>
      <c r="F30704"/>
    </row>
    <row r="30705" spans="1:6" x14ac:dyDescent="0.25">
      <c r="A30705"/>
      <c r="B30705"/>
      <c r="C30705"/>
      <c r="E30705"/>
      <c r="F30705"/>
    </row>
    <row r="30706" spans="1:6" x14ac:dyDescent="0.25">
      <c r="A30706"/>
      <c r="B30706"/>
      <c r="C30706"/>
      <c r="E30706"/>
      <c r="F30706"/>
    </row>
    <row r="30707" spans="1:6" x14ac:dyDescent="0.25">
      <c r="A30707"/>
      <c r="B30707"/>
      <c r="C30707"/>
      <c r="E30707"/>
      <c r="F30707"/>
    </row>
    <row r="30708" spans="1:6" x14ac:dyDescent="0.25">
      <c r="A30708"/>
      <c r="B30708"/>
      <c r="C30708"/>
      <c r="E30708"/>
      <c r="F30708"/>
    </row>
    <row r="30709" spans="1:6" x14ac:dyDescent="0.25">
      <c r="A30709"/>
      <c r="B30709"/>
      <c r="C30709"/>
      <c r="E30709"/>
      <c r="F30709"/>
    </row>
    <row r="30710" spans="1:6" x14ac:dyDescent="0.25">
      <c r="A30710"/>
      <c r="B30710"/>
      <c r="C30710"/>
      <c r="E30710"/>
      <c r="F30710"/>
    </row>
    <row r="30711" spans="1:6" x14ac:dyDescent="0.25">
      <c r="A30711"/>
      <c r="B30711"/>
      <c r="C30711"/>
      <c r="E30711"/>
      <c r="F30711"/>
    </row>
    <row r="30712" spans="1:6" x14ac:dyDescent="0.25">
      <c r="A30712"/>
      <c r="B30712"/>
      <c r="C30712"/>
      <c r="E30712"/>
      <c r="F30712"/>
    </row>
    <row r="30713" spans="1:6" x14ac:dyDescent="0.25">
      <c r="A30713"/>
      <c r="B30713"/>
      <c r="C30713"/>
      <c r="E30713"/>
      <c r="F30713"/>
    </row>
    <row r="30714" spans="1:6" x14ac:dyDescent="0.25">
      <c r="A30714"/>
      <c r="B30714"/>
      <c r="C30714"/>
      <c r="E30714"/>
      <c r="F30714"/>
    </row>
    <row r="30715" spans="1:6" x14ac:dyDescent="0.25">
      <c r="A30715"/>
      <c r="B30715"/>
      <c r="C30715"/>
      <c r="E30715"/>
      <c r="F30715"/>
    </row>
    <row r="30716" spans="1:6" x14ac:dyDescent="0.25">
      <c r="A30716"/>
      <c r="B30716"/>
      <c r="C30716"/>
      <c r="E30716"/>
      <c r="F30716"/>
    </row>
    <row r="30717" spans="1:6" x14ac:dyDescent="0.25">
      <c r="A30717"/>
      <c r="B30717"/>
      <c r="C30717"/>
      <c r="E30717"/>
      <c r="F30717"/>
    </row>
    <row r="30718" spans="1:6" x14ac:dyDescent="0.25">
      <c r="A30718"/>
      <c r="B30718"/>
      <c r="C30718"/>
      <c r="E30718"/>
      <c r="F30718"/>
    </row>
    <row r="30719" spans="1:6" x14ac:dyDescent="0.25">
      <c r="A30719"/>
      <c r="B30719"/>
      <c r="C30719"/>
      <c r="E30719"/>
      <c r="F30719"/>
    </row>
    <row r="30720" spans="1:6" x14ac:dyDescent="0.25">
      <c r="A30720"/>
      <c r="B30720"/>
      <c r="C30720"/>
      <c r="E30720"/>
      <c r="F30720"/>
    </row>
    <row r="30721" spans="1:6" x14ac:dyDescent="0.25">
      <c r="A30721"/>
      <c r="B30721"/>
      <c r="C30721"/>
      <c r="E30721"/>
      <c r="F30721"/>
    </row>
    <row r="30722" spans="1:6" x14ac:dyDescent="0.25">
      <c r="A30722"/>
      <c r="B30722"/>
      <c r="C30722"/>
      <c r="E30722"/>
      <c r="F30722"/>
    </row>
    <row r="30723" spans="1:6" x14ac:dyDescent="0.25">
      <c r="A30723"/>
      <c r="B30723"/>
      <c r="C30723"/>
      <c r="E30723"/>
      <c r="F30723"/>
    </row>
    <row r="30724" spans="1:6" x14ac:dyDescent="0.25">
      <c r="A30724"/>
      <c r="B30724"/>
      <c r="C30724"/>
      <c r="E30724"/>
      <c r="F30724"/>
    </row>
    <row r="30725" spans="1:6" x14ac:dyDescent="0.25">
      <c r="A30725"/>
      <c r="B30725"/>
      <c r="C30725"/>
      <c r="E30725"/>
      <c r="F30725"/>
    </row>
    <row r="30726" spans="1:6" x14ac:dyDescent="0.25">
      <c r="A30726"/>
      <c r="B30726"/>
      <c r="C30726"/>
      <c r="E30726"/>
      <c r="F30726"/>
    </row>
    <row r="30727" spans="1:6" x14ac:dyDescent="0.25">
      <c r="A30727"/>
      <c r="B30727"/>
      <c r="C30727"/>
      <c r="E30727"/>
      <c r="F30727"/>
    </row>
    <row r="30728" spans="1:6" x14ac:dyDescent="0.25">
      <c r="A30728"/>
      <c r="B30728"/>
      <c r="C30728"/>
      <c r="E30728"/>
      <c r="F30728"/>
    </row>
    <row r="30729" spans="1:6" x14ac:dyDescent="0.25">
      <c r="A30729"/>
      <c r="B30729"/>
      <c r="C30729"/>
      <c r="E30729"/>
      <c r="F30729"/>
    </row>
    <row r="30730" spans="1:6" x14ac:dyDescent="0.25">
      <c r="A30730"/>
      <c r="B30730"/>
      <c r="C30730"/>
      <c r="E30730"/>
      <c r="F30730"/>
    </row>
    <row r="30731" spans="1:6" x14ac:dyDescent="0.25">
      <c r="A30731"/>
      <c r="B30731"/>
      <c r="C30731"/>
      <c r="E30731"/>
      <c r="F30731"/>
    </row>
    <row r="30732" spans="1:6" x14ac:dyDescent="0.25">
      <c r="A30732"/>
      <c r="B30732"/>
      <c r="C30732"/>
      <c r="E30732"/>
      <c r="F30732"/>
    </row>
    <row r="30733" spans="1:6" x14ac:dyDescent="0.25">
      <c r="A30733"/>
      <c r="B30733"/>
      <c r="C30733"/>
      <c r="E30733"/>
      <c r="F30733"/>
    </row>
    <row r="30734" spans="1:6" x14ac:dyDescent="0.25">
      <c r="A30734"/>
      <c r="B30734"/>
      <c r="C30734"/>
      <c r="E30734"/>
      <c r="F30734"/>
    </row>
    <row r="30735" spans="1:6" x14ac:dyDescent="0.25">
      <c r="A30735"/>
      <c r="B30735"/>
      <c r="C30735"/>
      <c r="E30735"/>
      <c r="F30735"/>
    </row>
    <row r="30736" spans="1:6" x14ac:dyDescent="0.25">
      <c r="A30736"/>
      <c r="B30736"/>
      <c r="C30736"/>
      <c r="E30736"/>
      <c r="F30736"/>
    </row>
    <row r="30737" spans="1:6" x14ac:dyDescent="0.25">
      <c r="A30737"/>
      <c r="B30737"/>
      <c r="C30737"/>
      <c r="E30737"/>
      <c r="F30737"/>
    </row>
    <row r="30738" spans="1:6" x14ac:dyDescent="0.25">
      <c r="A30738"/>
      <c r="B30738"/>
      <c r="C30738"/>
      <c r="E30738"/>
      <c r="F30738"/>
    </row>
    <row r="30739" spans="1:6" x14ac:dyDescent="0.25">
      <c r="A30739"/>
      <c r="B30739"/>
      <c r="C30739"/>
      <c r="E30739"/>
      <c r="F30739"/>
    </row>
    <row r="30740" spans="1:6" x14ac:dyDescent="0.25">
      <c r="A30740"/>
      <c r="B30740"/>
      <c r="C30740"/>
      <c r="E30740"/>
      <c r="F30740"/>
    </row>
    <row r="30741" spans="1:6" x14ac:dyDescent="0.25">
      <c r="A30741"/>
      <c r="B30741"/>
      <c r="C30741"/>
      <c r="E30741"/>
      <c r="F30741"/>
    </row>
    <row r="30742" spans="1:6" x14ac:dyDescent="0.25">
      <c r="A30742"/>
      <c r="B30742"/>
      <c r="C30742"/>
      <c r="E30742"/>
      <c r="F30742"/>
    </row>
    <row r="30743" spans="1:6" x14ac:dyDescent="0.25">
      <c r="A30743"/>
      <c r="B30743"/>
      <c r="C30743"/>
      <c r="E30743"/>
      <c r="F30743"/>
    </row>
    <row r="30744" spans="1:6" x14ac:dyDescent="0.25">
      <c r="A30744"/>
      <c r="B30744"/>
      <c r="C30744"/>
      <c r="E30744"/>
      <c r="F30744"/>
    </row>
    <row r="30745" spans="1:6" x14ac:dyDescent="0.25">
      <c r="A30745"/>
      <c r="B30745"/>
      <c r="C30745"/>
      <c r="E30745"/>
      <c r="F30745"/>
    </row>
    <row r="30746" spans="1:6" x14ac:dyDescent="0.25">
      <c r="A30746"/>
      <c r="B30746"/>
      <c r="C30746"/>
      <c r="E30746"/>
      <c r="F30746"/>
    </row>
    <row r="30747" spans="1:6" x14ac:dyDescent="0.25">
      <c r="A30747"/>
      <c r="B30747"/>
      <c r="C30747"/>
      <c r="E30747"/>
      <c r="F30747"/>
    </row>
    <row r="30748" spans="1:6" x14ac:dyDescent="0.25">
      <c r="A30748"/>
      <c r="B30748"/>
      <c r="C30748"/>
      <c r="E30748"/>
      <c r="F30748"/>
    </row>
    <row r="30749" spans="1:6" x14ac:dyDescent="0.25">
      <c r="A30749"/>
      <c r="B30749"/>
      <c r="C30749"/>
      <c r="E30749"/>
      <c r="F30749"/>
    </row>
    <row r="30750" spans="1:6" x14ac:dyDescent="0.25">
      <c r="A30750"/>
      <c r="B30750"/>
      <c r="C30750"/>
      <c r="E30750"/>
      <c r="F30750"/>
    </row>
    <row r="30751" spans="1:6" x14ac:dyDescent="0.25">
      <c r="A30751"/>
      <c r="B30751"/>
      <c r="C30751"/>
      <c r="E30751"/>
      <c r="F30751"/>
    </row>
    <row r="30752" spans="1:6" x14ac:dyDescent="0.25">
      <c r="A30752"/>
      <c r="B30752"/>
      <c r="C30752"/>
      <c r="E30752"/>
      <c r="F30752"/>
    </row>
    <row r="30753" spans="1:6" x14ac:dyDescent="0.25">
      <c r="A30753"/>
      <c r="B30753"/>
      <c r="C30753"/>
      <c r="E30753"/>
      <c r="F30753"/>
    </row>
    <row r="30754" spans="1:6" x14ac:dyDescent="0.25">
      <c r="A30754"/>
      <c r="B30754"/>
      <c r="C30754"/>
      <c r="E30754"/>
      <c r="F30754"/>
    </row>
    <row r="30755" spans="1:6" x14ac:dyDescent="0.25">
      <c r="A30755"/>
      <c r="B30755"/>
      <c r="C30755"/>
      <c r="E30755"/>
      <c r="F30755"/>
    </row>
    <row r="30756" spans="1:6" x14ac:dyDescent="0.25">
      <c r="A30756"/>
      <c r="B30756"/>
      <c r="C30756"/>
      <c r="E30756"/>
      <c r="F30756"/>
    </row>
    <row r="30757" spans="1:6" x14ac:dyDescent="0.25">
      <c r="A30757"/>
      <c r="B30757"/>
      <c r="C30757"/>
      <c r="E30757"/>
      <c r="F30757"/>
    </row>
    <row r="30758" spans="1:6" x14ac:dyDescent="0.25">
      <c r="A30758"/>
      <c r="B30758"/>
      <c r="C30758"/>
      <c r="E30758"/>
      <c r="F30758"/>
    </row>
    <row r="30759" spans="1:6" x14ac:dyDescent="0.25">
      <c r="A30759"/>
      <c r="B30759"/>
      <c r="C30759"/>
      <c r="E30759"/>
      <c r="F30759"/>
    </row>
    <row r="30760" spans="1:6" x14ac:dyDescent="0.25">
      <c r="A30760"/>
      <c r="B30760"/>
      <c r="C30760"/>
      <c r="E30760"/>
      <c r="F30760"/>
    </row>
    <row r="30761" spans="1:6" x14ac:dyDescent="0.25">
      <c r="A30761"/>
      <c r="B30761"/>
      <c r="C30761"/>
      <c r="E30761"/>
      <c r="F30761"/>
    </row>
    <row r="30762" spans="1:6" x14ac:dyDescent="0.25">
      <c r="A30762"/>
      <c r="B30762"/>
      <c r="C30762"/>
      <c r="E30762"/>
      <c r="F30762"/>
    </row>
    <row r="30763" spans="1:6" x14ac:dyDescent="0.25">
      <c r="A30763"/>
      <c r="B30763"/>
      <c r="C30763"/>
      <c r="E30763"/>
      <c r="F30763"/>
    </row>
    <row r="30764" spans="1:6" x14ac:dyDescent="0.25">
      <c r="A30764"/>
      <c r="B30764"/>
      <c r="C30764"/>
      <c r="E30764"/>
      <c r="F30764"/>
    </row>
    <row r="30765" spans="1:6" x14ac:dyDescent="0.25">
      <c r="A30765"/>
      <c r="B30765"/>
      <c r="C30765"/>
      <c r="E30765"/>
      <c r="F30765"/>
    </row>
    <row r="30766" spans="1:6" x14ac:dyDescent="0.25">
      <c r="A30766"/>
      <c r="B30766"/>
      <c r="C30766"/>
      <c r="E30766"/>
      <c r="F30766"/>
    </row>
    <row r="30767" spans="1:6" x14ac:dyDescent="0.25">
      <c r="A30767"/>
      <c r="B30767"/>
      <c r="C30767"/>
      <c r="E30767"/>
      <c r="F30767"/>
    </row>
    <row r="30768" spans="1:6" x14ac:dyDescent="0.25">
      <c r="A30768"/>
      <c r="B30768"/>
      <c r="C30768"/>
      <c r="E30768"/>
      <c r="F30768"/>
    </row>
    <row r="30769" spans="1:6" x14ac:dyDescent="0.25">
      <c r="A30769"/>
      <c r="B30769"/>
      <c r="C30769"/>
      <c r="E30769"/>
      <c r="F30769"/>
    </row>
    <row r="30770" spans="1:6" x14ac:dyDescent="0.25">
      <c r="A30770"/>
      <c r="B30770"/>
      <c r="C30770"/>
      <c r="E30770"/>
      <c r="F30770"/>
    </row>
    <row r="30771" spans="1:6" x14ac:dyDescent="0.25">
      <c r="A30771"/>
      <c r="B30771"/>
      <c r="C30771"/>
      <c r="E30771"/>
      <c r="F30771"/>
    </row>
    <row r="30772" spans="1:6" x14ac:dyDescent="0.25">
      <c r="A30772"/>
      <c r="B30772"/>
      <c r="C30772"/>
      <c r="E30772"/>
      <c r="F30772"/>
    </row>
    <row r="30773" spans="1:6" x14ac:dyDescent="0.25">
      <c r="A30773"/>
      <c r="B30773"/>
      <c r="C30773"/>
      <c r="E30773"/>
      <c r="F30773"/>
    </row>
    <row r="30774" spans="1:6" x14ac:dyDescent="0.25">
      <c r="A30774"/>
      <c r="B30774"/>
      <c r="C30774"/>
      <c r="E30774"/>
      <c r="F30774"/>
    </row>
    <row r="30775" spans="1:6" x14ac:dyDescent="0.25">
      <c r="A30775"/>
      <c r="B30775"/>
      <c r="C30775"/>
      <c r="E30775"/>
      <c r="F30775"/>
    </row>
    <row r="30776" spans="1:6" x14ac:dyDescent="0.25">
      <c r="A30776"/>
      <c r="B30776"/>
      <c r="C30776"/>
      <c r="E30776"/>
      <c r="F30776"/>
    </row>
    <row r="30777" spans="1:6" x14ac:dyDescent="0.25">
      <c r="A30777"/>
      <c r="B30777"/>
      <c r="C30777"/>
      <c r="E30777"/>
      <c r="F30777"/>
    </row>
    <row r="30778" spans="1:6" x14ac:dyDescent="0.25">
      <c r="A30778"/>
      <c r="B30778"/>
      <c r="C30778"/>
      <c r="E30778"/>
      <c r="F30778"/>
    </row>
    <row r="30779" spans="1:6" x14ac:dyDescent="0.25">
      <c r="A30779"/>
      <c r="B30779"/>
      <c r="C30779"/>
      <c r="E30779"/>
      <c r="F30779"/>
    </row>
    <row r="30780" spans="1:6" x14ac:dyDescent="0.25">
      <c r="A30780"/>
      <c r="B30780"/>
      <c r="C30780"/>
      <c r="E30780"/>
      <c r="F30780"/>
    </row>
    <row r="30781" spans="1:6" x14ac:dyDescent="0.25">
      <c r="A30781"/>
      <c r="B30781"/>
      <c r="C30781"/>
      <c r="E30781"/>
      <c r="F30781"/>
    </row>
    <row r="30782" spans="1:6" x14ac:dyDescent="0.25">
      <c r="A30782"/>
      <c r="B30782"/>
      <c r="C30782"/>
      <c r="E30782"/>
      <c r="F30782"/>
    </row>
    <row r="30783" spans="1:6" x14ac:dyDescent="0.25">
      <c r="A30783"/>
      <c r="B30783"/>
      <c r="C30783"/>
      <c r="E30783"/>
      <c r="F30783"/>
    </row>
    <row r="30784" spans="1:6" x14ac:dyDescent="0.25">
      <c r="A30784"/>
      <c r="B30784"/>
      <c r="C30784"/>
      <c r="E30784"/>
      <c r="F30784"/>
    </row>
    <row r="30785" spans="1:6" x14ac:dyDescent="0.25">
      <c r="A30785"/>
      <c r="B30785"/>
      <c r="C30785"/>
      <c r="E30785"/>
      <c r="F30785"/>
    </row>
    <row r="30786" spans="1:6" x14ac:dyDescent="0.25">
      <c r="A30786"/>
      <c r="B30786"/>
      <c r="C30786"/>
      <c r="E30786"/>
      <c r="F30786"/>
    </row>
    <row r="30787" spans="1:6" x14ac:dyDescent="0.25">
      <c r="A30787"/>
      <c r="B30787"/>
      <c r="C30787"/>
      <c r="E30787"/>
      <c r="F30787"/>
    </row>
    <row r="30788" spans="1:6" x14ac:dyDescent="0.25">
      <c r="A30788"/>
      <c r="B30788"/>
      <c r="C30788"/>
      <c r="E30788"/>
      <c r="F30788"/>
    </row>
    <row r="30789" spans="1:6" x14ac:dyDescent="0.25">
      <c r="A30789"/>
      <c r="B30789"/>
      <c r="C30789"/>
      <c r="E30789"/>
      <c r="F30789"/>
    </row>
    <row r="30790" spans="1:6" x14ac:dyDescent="0.25">
      <c r="A30790"/>
      <c r="B30790"/>
      <c r="C30790"/>
      <c r="E30790"/>
      <c r="F30790"/>
    </row>
    <row r="30791" spans="1:6" x14ac:dyDescent="0.25">
      <c r="A30791"/>
      <c r="B30791"/>
      <c r="C30791"/>
      <c r="E30791"/>
      <c r="F30791"/>
    </row>
    <row r="30792" spans="1:6" x14ac:dyDescent="0.25">
      <c r="A30792"/>
      <c r="B30792"/>
      <c r="C30792"/>
      <c r="E30792"/>
      <c r="F30792"/>
    </row>
    <row r="30793" spans="1:6" x14ac:dyDescent="0.25">
      <c r="A30793"/>
      <c r="B30793"/>
      <c r="C30793"/>
      <c r="E30793"/>
      <c r="F30793"/>
    </row>
    <row r="30794" spans="1:6" x14ac:dyDescent="0.25">
      <c r="A30794"/>
      <c r="B30794"/>
      <c r="C30794"/>
      <c r="E30794"/>
      <c r="F30794"/>
    </row>
    <row r="30795" spans="1:6" x14ac:dyDescent="0.25">
      <c r="A30795"/>
      <c r="B30795"/>
      <c r="C30795"/>
      <c r="E30795"/>
      <c r="F30795"/>
    </row>
    <row r="30796" spans="1:6" x14ac:dyDescent="0.25">
      <c r="A30796"/>
      <c r="B30796"/>
      <c r="C30796"/>
      <c r="E30796"/>
      <c r="F30796"/>
    </row>
    <row r="30797" spans="1:6" x14ac:dyDescent="0.25">
      <c r="A30797"/>
      <c r="B30797"/>
      <c r="C30797"/>
      <c r="E30797"/>
      <c r="F30797"/>
    </row>
    <row r="30798" spans="1:6" x14ac:dyDescent="0.25">
      <c r="A30798"/>
      <c r="B30798"/>
      <c r="C30798"/>
      <c r="E30798"/>
      <c r="F30798"/>
    </row>
    <row r="30799" spans="1:6" x14ac:dyDescent="0.25">
      <c r="A30799"/>
      <c r="B30799"/>
      <c r="C30799"/>
      <c r="E30799"/>
      <c r="F30799"/>
    </row>
    <row r="30800" spans="1:6" x14ac:dyDescent="0.25">
      <c r="A30800"/>
      <c r="B30800"/>
      <c r="C30800"/>
      <c r="E30800"/>
      <c r="F30800"/>
    </row>
    <row r="30801" spans="1:6" x14ac:dyDescent="0.25">
      <c r="A30801"/>
      <c r="B30801"/>
      <c r="C30801"/>
      <c r="E30801"/>
      <c r="F30801"/>
    </row>
    <row r="30802" spans="1:6" x14ac:dyDescent="0.25">
      <c r="A30802"/>
      <c r="B30802"/>
      <c r="C30802"/>
      <c r="E30802"/>
      <c r="F30802"/>
    </row>
    <row r="30803" spans="1:6" x14ac:dyDescent="0.25">
      <c r="A30803"/>
      <c r="B30803"/>
      <c r="C30803"/>
      <c r="E30803"/>
      <c r="F30803"/>
    </row>
    <row r="30804" spans="1:6" x14ac:dyDescent="0.25">
      <c r="A30804"/>
      <c r="B30804"/>
      <c r="C30804"/>
      <c r="E30804"/>
      <c r="F30804"/>
    </row>
    <row r="30805" spans="1:6" x14ac:dyDescent="0.25">
      <c r="A30805"/>
      <c r="B30805"/>
      <c r="C30805"/>
      <c r="E30805"/>
      <c r="F30805"/>
    </row>
    <row r="30806" spans="1:6" x14ac:dyDescent="0.25">
      <c r="A30806"/>
      <c r="B30806"/>
      <c r="C30806"/>
      <c r="E30806"/>
      <c r="F30806"/>
    </row>
    <row r="30807" spans="1:6" x14ac:dyDescent="0.25">
      <c r="A30807"/>
      <c r="B30807"/>
      <c r="C30807"/>
      <c r="E30807"/>
      <c r="F30807"/>
    </row>
    <row r="30808" spans="1:6" x14ac:dyDescent="0.25">
      <c r="A30808"/>
      <c r="B30808"/>
      <c r="C30808"/>
      <c r="E30808"/>
      <c r="F30808"/>
    </row>
    <row r="30809" spans="1:6" x14ac:dyDescent="0.25">
      <c r="A30809"/>
      <c r="B30809"/>
      <c r="C30809"/>
      <c r="E30809"/>
      <c r="F30809"/>
    </row>
    <row r="30810" spans="1:6" x14ac:dyDescent="0.25">
      <c r="A30810"/>
      <c r="B30810"/>
      <c r="C30810"/>
      <c r="E30810"/>
      <c r="F30810"/>
    </row>
    <row r="30811" spans="1:6" x14ac:dyDescent="0.25">
      <c r="A30811"/>
      <c r="B30811"/>
      <c r="C30811"/>
      <c r="E30811"/>
      <c r="F30811"/>
    </row>
    <row r="30812" spans="1:6" x14ac:dyDescent="0.25">
      <c r="A30812"/>
      <c r="B30812"/>
      <c r="C30812"/>
      <c r="E30812"/>
      <c r="F30812"/>
    </row>
    <row r="30813" spans="1:6" x14ac:dyDescent="0.25">
      <c r="A30813"/>
      <c r="B30813"/>
      <c r="C30813"/>
      <c r="E30813"/>
      <c r="F30813"/>
    </row>
    <row r="30814" spans="1:6" x14ac:dyDescent="0.25">
      <c r="A30814"/>
      <c r="B30814"/>
      <c r="C30814"/>
      <c r="E30814"/>
      <c r="F30814"/>
    </row>
    <row r="30815" spans="1:6" x14ac:dyDescent="0.25">
      <c r="A30815"/>
      <c r="B30815"/>
      <c r="C30815"/>
      <c r="E30815"/>
      <c r="F30815"/>
    </row>
    <row r="30816" spans="1:6" x14ac:dyDescent="0.25">
      <c r="A30816"/>
      <c r="B30816"/>
      <c r="C30816"/>
      <c r="E30816"/>
      <c r="F30816"/>
    </row>
    <row r="30817" spans="1:6" x14ac:dyDescent="0.25">
      <c r="A30817"/>
      <c r="B30817"/>
      <c r="C30817"/>
      <c r="E30817"/>
      <c r="F30817"/>
    </row>
    <row r="30818" spans="1:6" x14ac:dyDescent="0.25">
      <c r="A30818"/>
      <c r="B30818"/>
      <c r="C30818"/>
      <c r="E30818"/>
      <c r="F30818"/>
    </row>
    <row r="30819" spans="1:6" x14ac:dyDescent="0.25">
      <c r="A30819"/>
      <c r="B30819"/>
      <c r="C30819"/>
      <c r="E30819"/>
      <c r="F30819"/>
    </row>
    <row r="30820" spans="1:6" x14ac:dyDescent="0.25">
      <c r="A30820"/>
      <c r="B30820"/>
      <c r="C30820"/>
      <c r="E30820"/>
      <c r="F30820"/>
    </row>
    <row r="30821" spans="1:6" x14ac:dyDescent="0.25">
      <c r="A30821"/>
      <c r="B30821"/>
      <c r="C30821"/>
      <c r="E30821"/>
      <c r="F30821"/>
    </row>
    <row r="30822" spans="1:6" x14ac:dyDescent="0.25">
      <c r="A30822"/>
      <c r="B30822"/>
      <c r="C30822"/>
      <c r="E30822"/>
      <c r="F30822"/>
    </row>
    <row r="30823" spans="1:6" x14ac:dyDescent="0.25">
      <c r="A30823"/>
      <c r="B30823"/>
      <c r="C30823"/>
      <c r="E30823"/>
      <c r="F30823"/>
    </row>
    <row r="30824" spans="1:6" x14ac:dyDescent="0.25">
      <c r="A30824"/>
      <c r="B30824"/>
      <c r="C30824"/>
      <c r="E30824"/>
      <c r="F30824"/>
    </row>
    <row r="30825" spans="1:6" x14ac:dyDescent="0.25">
      <c r="A30825"/>
      <c r="B30825"/>
      <c r="C30825"/>
      <c r="E30825"/>
      <c r="F30825"/>
    </row>
    <row r="30826" spans="1:6" x14ac:dyDescent="0.25">
      <c r="A30826"/>
      <c r="B30826"/>
      <c r="C30826"/>
      <c r="E30826"/>
      <c r="F30826"/>
    </row>
    <row r="30827" spans="1:6" x14ac:dyDescent="0.25">
      <c r="A30827"/>
      <c r="B30827"/>
      <c r="C30827"/>
      <c r="E30827"/>
      <c r="F30827"/>
    </row>
    <row r="30828" spans="1:6" x14ac:dyDescent="0.25">
      <c r="A30828"/>
      <c r="B30828"/>
      <c r="C30828"/>
      <c r="E30828"/>
      <c r="F30828"/>
    </row>
    <row r="30829" spans="1:6" x14ac:dyDescent="0.25">
      <c r="A30829"/>
      <c r="B30829"/>
      <c r="C30829"/>
      <c r="E30829"/>
      <c r="F30829"/>
    </row>
    <row r="30830" spans="1:6" x14ac:dyDescent="0.25">
      <c r="A30830"/>
      <c r="B30830"/>
      <c r="C30830"/>
      <c r="E30830"/>
      <c r="F30830"/>
    </row>
    <row r="30831" spans="1:6" x14ac:dyDescent="0.25">
      <c r="A30831"/>
      <c r="B30831"/>
      <c r="C30831"/>
      <c r="E30831"/>
      <c r="F30831"/>
    </row>
    <row r="30832" spans="1:6" x14ac:dyDescent="0.25">
      <c r="A30832"/>
      <c r="B30832"/>
      <c r="C30832"/>
      <c r="E30832"/>
      <c r="F30832"/>
    </row>
    <row r="30833" spans="1:6" x14ac:dyDescent="0.25">
      <c r="A30833"/>
      <c r="B30833"/>
      <c r="C30833"/>
      <c r="E30833"/>
      <c r="F30833"/>
    </row>
    <row r="30834" spans="1:6" x14ac:dyDescent="0.25">
      <c r="A30834"/>
      <c r="B30834"/>
      <c r="C30834"/>
      <c r="E30834"/>
      <c r="F30834"/>
    </row>
    <row r="30835" spans="1:6" x14ac:dyDescent="0.25">
      <c r="A30835"/>
      <c r="B30835"/>
      <c r="C30835"/>
      <c r="E30835"/>
      <c r="F30835"/>
    </row>
    <row r="30836" spans="1:6" x14ac:dyDescent="0.25">
      <c r="A30836"/>
      <c r="B30836"/>
      <c r="C30836"/>
      <c r="E30836"/>
      <c r="F30836"/>
    </row>
    <row r="30837" spans="1:6" x14ac:dyDescent="0.25">
      <c r="A30837"/>
      <c r="B30837"/>
      <c r="C30837"/>
      <c r="E30837"/>
      <c r="F30837"/>
    </row>
    <row r="30838" spans="1:6" x14ac:dyDescent="0.25">
      <c r="A30838"/>
      <c r="B30838"/>
      <c r="C30838"/>
      <c r="E30838"/>
      <c r="F30838"/>
    </row>
    <row r="30839" spans="1:6" x14ac:dyDescent="0.25">
      <c r="A30839"/>
      <c r="B30839"/>
      <c r="C30839"/>
      <c r="E30839"/>
      <c r="F30839"/>
    </row>
    <row r="30840" spans="1:6" x14ac:dyDescent="0.25">
      <c r="A30840"/>
      <c r="B30840"/>
      <c r="C30840"/>
      <c r="E30840"/>
      <c r="F30840"/>
    </row>
    <row r="30841" spans="1:6" x14ac:dyDescent="0.25">
      <c r="A30841"/>
      <c r="B30841"/>
      <c r="C30841"/>
      <c r="E30841"/>
      <c r="F30841"/>
    </row>
    <row r="30842" spans="1:6" x14ac:dyDescent="0.25">
      <c r="A30842"/>
      <c r="B30842"/>
      <c r="C30842"/>
      <c r="E30842"/>
      <c r="F30842"/>
    </row>
    <row r="30843" spans="1:6" x14ac:dyDescent="0.25">
      <c r="A30843"/>
      <c r="B30843"/>
      <c r="C30843"/>
      <c r="E30843"/>
      <c r="F30843"/>
    </row>
    <row r="30844" spans="1:6" x14ac:dyDescent="0.25">
      <c r="A30844"/>
      <c r="B30844"/>
      <c r="C30844"/>
      <c r="E30844"/>
      <c r="F30844"/>
    </row>
    <row r="30845" spans="1:6" x14ac:dyDescent="0.25">
      <c r="A30845"/>
      <c r="B30845"/>
      <c r="C30845"/>
      <c r="E30845"/>
      <c r="F30845"/>
    </row>
    <row r="30846" spans="1:6" x14ac:dyDescent="0.25">
      <c r="A30846"/>
      <c r="B30846"/>
      <c r="C30846"/>
      <c r="E30846"/>
      <c r="F30846"/>
    </row>
    <row r="30847" spans="1:6" x14ac:dyDescent="0.25">
      <c r="A30847"/>
      <c r="B30847"/>
      <c r="C30847"/>
      <c r="E30847"/>
      <c r="F30847"/>
    </row>
    <row r="30848" spans="1:6" x14ac:dyDescent="0.25">
      <c r="A30848"/>
      <c r="B30848"/>
      <c r="C30848"/>
      <c r="E30848"/>
      <c r="F30848"/>
    </row>
    <row r="30849" spans="1:6" x14ac:dyDescent="0.25">
      <c r="A30849"/>
      <c r="B30849"/>
      <c r="C30849"/>
      <c r="E30849"/>
      <c r="F30849"/>
    </row>
    <row r="30850" spans="1:6" x14ac:dyDescent="0.25">
      <c r="A30850"/>
      <c r="B30850"/>
      <c r="C30850"/>
      <c r="E30850"/>
      <c r="F30850"/>
    </row>
    <row r="30851" spans="1:6" x14ac:dyDescent="0.25">
      <c r="A30851"/>
      <c r="B30851"/>
      <c r="C30851"/>
      <c r="E30851"/>
      <c r="F30851"/>
    </row>
    <row r="30852" spans="1:6" x14ac:dyDescent="0.25">
      <c r="A30852"/>
      <c r="B30852"/>
      <c r="C30852"/>
      <c r="E30852"/>
      <c r="F30852"/>
    </row>
    <row r="30853" spans="1:6" x14ac:dyDescent="0.25">
      <c r="A30853"/>
      <c r="B30853"/>
      <c r="C30853"/>
      <c r="E30853"/>
      <c r="F30853"/>
    </row>
    <row r="30854" spans="1:6" x14ac:dyDescent="0.25">
      <c r="A30854"/>
      <c r="B30854"/>
      <c r="C30854"/>
      <c r="E30854"/>
      <c r="F30854"/>
    </row>
    <row r="30855" spans="1:6" x14ac:dyDescent="0.25">
      <c r="A30855"/>
      <c r="B30855"/>
      <c r="C30855"/>
      <c r="E30855"/>
      <c r="F30855"/>
    </row>
    <row r="30856" spans="1:6" x14ac:dyDescent="0.25">
      <c r="A30856"/>
      <c r="B30856"/>
      <c r="C30856"/>
      <c r="E30856"/>
      <c r="F30856"/>
    </row>
    <row r="30857" spans="1:6" x14ac:dyDescent="0.25">
      <c r="A30857"/>
      <c r="B30857"/>
      <c r="C30857"/>
      <c r="E30857"/>
      <c r="F30857"/>
    </row>
    <row r="30858" spans="1:6" x14ac:dyDescent="0.25">
      <c r="A30858"/>
      <c r="B30858"/>
      <c r="C30858"/>
      <c r="E30858"/>
      <c r="F30858"/>
    </row>
    <row r="30859" spans="1:6" x14ac:dyDescent="0.25">
      <c r="A30859"/>
      <c r="B30859"/>
      <c r="C30859"/>
      <c r="E30859"/>
      <c r="F30859"/>
    </row>
    <row r="30860" spans="1:6" x14ac:dyDescent="0.25">
      <c r="A30860"/>
      <c r="B30860"/>
      <c r="C30860"/>
      <c r="E30860"/>
      <c r="F30860"/>
    </row>
    <row r="30861" spans="1:6" x14ac:dyDescent="0.25">
      <c r="A30861"/>
      <c r="B30861"/>
      <c r="C30861"/>
      <c r="E30861"/>
      <c r="F30861"/>
    </row>
    <row r="30862" spans="1:6" x14ac:dyDescent="0.25">
      <c r="A30862"/>
      <c r="B30862"/>
      <c r="C30862"/>
      <c r="E30862"/>
      <c r="F30862"/>
    </row>
    <row r="30863" spans="1:6" x14ac:dyDescent="0.25">
      <c r="A30863"/>
      <c r="B30863"/>
      <c r="C30863"/>
      <c r="E30863"/>
      <c r="F30863"/>
    </row>
    <row r="30864" spans="1:6" x14ac:dyDescent="0.25">
      <c r="A30864"/>
      <c r="B30864"/>
      <c r="C30864"/>
      <c r="E30864"/>
      <c r="F30864"/>
    </row>
    <row r="30865" spans="1:6" x14ac:dyDescent="0.25">
      <c r="A30865"/>
      <c r="B30865"/>
      <c r="C30865"/>
      <c r="E30865"/>
      <c r="F30865"/>
    </row>
    <row r="30866" spans="1:6" x14ac:dyDescent="0.25">
      <c r="A30866"/>
      <c r="B30866"/>
      <c r="C30866"/>
      <c r="E30866"/>
      <c r="F30866"/>
    </row>
    <row r="30867" spans="1:6" x14ac:dyDescent="0.25">
      <c r="A30867"/>
      <c r="B30867"/>
      <c r="C30867"/>
      <c r="E30867"/>
      <c r="F30867"/>
    </row>
    <row r="30868" spans="1:6" x14ac:dyDescent="0.25">
      <c r="A30868"/>
      <c r="B30868"/>
      <c r="C30868"/>
      <c r="E30868"/>
      <c r="F30868"/>
    </row>
    <row r="30869" spans="1:6" x14ac:dyDescent="0.25">
      <c r="A30869"/>
      <c r="B30869"/>
      <c r="C30869"/>
      <c r="E30869"/>
      <c r="F30869"/>
    </row>
    <row r="30870" spans="1:6" x14ac:dyDescent="0.25">
      <c r="A30870"/>
      <c r="B30870"/>
      <c r="C30870"/>
      <c r="E30870"/>
      <c r="F30870"/>
    </row>
    <row r="30871" spans="1:6" x14ac:dyDescent="0.25">
      <c r="A30871"/>
      <c r="B30871"/>
      <c r="C30871"/>
      <c r="E30871"/>
      <c r="F30871"/>
    </row>
    <row r="30872" spans="1:6" x14ac:dyDescent="0.25">
      <c r="A30872"/>
      <c r="B30872"/>
      <c r="C30872"/>
      <c r="E30872"/>
      <c r="F30872"/>
    </row>
    <row r="30873" spans="1:6" x14ac:dyDescent="0.25">
      <c r="A30873"/>
      <c r="B30873"/>
      <c r="C30873"/>
      <c r="E30873"/>
      <c r="F30873"/>
    </row>
    <row r="30874" spans="1:6" x14ac:dyDescent="0.25">
      <c r="A30874"/>
      <c r="B30874"/>
      <c r="C30874"/>
      <c r="E30874"/>
      <c r="F30874"/>
    </row>
    <row r="30875" spans="1:6" x14ac:dyDescent="0.25">
      <c r="A30875"/>
      <c r="B30875"/>
      <c r="C30875"/>
      <c r="E30875"/>
      <c r="F30875"/>
    </row>
    <row r="30876" spans="1:6" x14ac:dyDescent="0.25">
      <c r="A30876"/>
      <c r="B30876"/>
      <c r="C30876"/>
      <c r="E30876"/>
      <c r="F30876"/>
    </row>
    <row r="30877" spans="1:6" x14ac:dyDescent="0.25">
      <c r="A30877"/>
      <c r="B30877"/>
      <c r="C30877"/>
      <c r="E30877"/>
      <c r="F30877"/>
    </row>
    <row r="30878" spans="1:6" x14ac:dyDescent="0.25">
      <c r="A30878"/>
      <c r="B30878"/>
      <c r="C30878"/>
      <c r="E30878"/>
      <c r="F30878"/>
    </row>
    <row r="30879" spans="1:6" x14ac:dyDescent="0.25">
      <c r="A30879"/>
      <c r="B30879"/>
      <c r="C30879"/>
      <c r="E30879"/>
      <c r="F30879"/>
    </row>
    <row r="30880" spans="1:6" x14ac:dyDescent="0.25">
      <c r="A30880"/>
      <c r="B30880"/>
      <c r="C30880"/>
      <c r="E30880"/>
      <c r="F30880"/>
    </row>
    <row r="30881" spans="1:6" x14ac:dyDescent="0.25">
      <c r="A30881"/>
      <c r="B30881"/>
      <c r="C30881"/>
      <c r="E30881"/>
      <c r="F30881"/>
    </row>
    <row r="30882" spans="1:6" x14ac:dyDescent="0.25">
      <c r="A30882"/>
      <c r="B30882"/>
      <c r="C30882"/>
      <c r="E30882"/>
      <c r="F30882"/>
    </row>
    <row r="30883" spans="1:6" x14ac:dyDescent="0.25">
      <c r="A30883"/>
      <c r="B30883"/>
      <c r="C30883"/>
      <c r="E30883"/>
      <c r="F30883"/>
    </row>
    <row r="30884" spans="1:6" x14ac:dyDescent="0.25">
      <c r="A30884"/>
      <c r="B30884"/>
      <c r="C30884"/>
      <c r="E30884"/>
      <c r="F30884"/>
    </row>
    <row r="30885" spans="1:6" x14ac:dyDescent="0.25">
      <c r="A30885"/>
      <c r="B30885"/>
      <c r="C30885"/>
      <c r="E30885"/>
      <c r="F30885"/>
    </row>
    <row r="30886" spans="1:6" x14ac:dyDescent="0.25">
      <c r="A30886"/>
      <c r="B30886"/>
      <c r="C30886"/>
      <c r="E30886"/>
      <c r="F30886"/>
    </row>
    <row r="30887" spans="1:6" x14ac:dyDescent="0.25">
      <c r="A30887"/>
      <c r="B30887"/>
      <c r="C30887"/>
      <c r="E30887"/>
      <c r="F30887"/>
    </row>
    <row r="30888" spans="1:6" x14ac:dyDescent="0.25">
      <c r="A30888"/>
      <c r="B30888"/>
      <c r="C30888"/>
      <c r="E30888"/>
      <c r="F30888"/>
    </row>
    <row r="30889" spans="1:6" x14ac:dyDescent="0.25">
      <c r="A30889"/>
      <c r="B30889"/>
      <c r="C30889"/>
      <c r="E30889"/>
      <c r="F30889"/>
    </row>
    <row r="30890" spans="1:6" x14ac:dyDescent="0.25">
      <c r="A30890"/>
      <c r="B30890"/>
      <c r="C30890"/>
      <c r="E30890"/>
      <c r="F30890"/>
    </row>
    <row r="30891" spans="1:6" x14ac:dyDescent="0.25">
      <c r="A30891"/>
      <c r="B30891"/>
      <c r="C30891"/>
      <c r="E30891"/>
      <c r="F30891"/>
    </row>
    <row r="30892" spans="1:6" x14ac:dyDescent="0.25">
      <c r="A30892"/>
      <c r="B30892"/>
      <c r="C30892"/>
      <c r="E30892"/>
      <c r="F30892"/>
    </row>
    <row r="30893" spans="1:6" x14ac:dyDescent="0.25">
      <c r="A30893"/>
      <c r="B30893"/>
      <c r="C30893"/>
      <c r="E30893"/>
      <c r="F30893"/>
    </row>
    <row r="30894" spans="1:6" x14ac:dyDescent="0.25">
      <c r="A30894"/>
      <c r="B30894"/>
      <c r="C30894"/>
      <c r="E30894"/>
      <c r="F30894"/>
    </row>
    <row r="30895" spans="1:6" x14ac:dyDescent="0.25">
      <c r="A30895"/>
      <c r="B30895"/>
      <c r="C30895"/>
      <c r="E30895"/>
      <c r="F30895"/>
    </row>
    <row r="30896" spans="1:6" x14ac:dyDescent="0.25">
      <c r="A30896"/>
      <c r="B30896"/>
      <c r="C30896"/>
      <c r="E30896"/>
      <c r="F30896"/>
    </row>
    <row r="30897" spans="1:6" x14ac:dyDescent="0.25">
      <c r="A30897"/>
      <c r="B30897"/>
      <c r="C30897"/>
      <c r="E30897"/>
      <c r="F30897"/>
    </row>
    <row r="30898" spans="1:6" x14ac:dyDescent="0.25">
      <c r="A30898"/>
      <c r="B30898"/>
      <c r="C30898"/>
      <c r="E30898"/>
      <c r="F30898"/>
    </row>
    <row r="30899" spans="1:6" x14ac:dyDescent="0.25">
      <c r="A30899"/>
      <c r="B30899"/>
      <c r="C30899"/>
      <c r="E30899"/>
      <c r="F30899"/>
    </row>
    <row r="30900" spans="1:6" x14ac:dyDescent="0.25">
      <c r="A30900"/>
      <c r="B30900"/>
      <c r="C30900"/>
      <c r="E30900"/>
      <c r="F30900"/>
    </row>
    <row r="30901" spans="1:6" x14ac:dyDescent="0.25">
      <c r="A30901"/>
      <c r="B30901"/>
      <c r="C30901"/>
      <c r="E30901"/>
      <c r="F30901"/>
    </row>
    <row r="30902" spans="1:6" x14ac:dyDescent="0.25">
      <c r="A30902"/>
      <c r="B30902"/>
      <c r="C30902"/>
      <c r="E30902"/>
      <c r="F30902"/>
    </row>
    <row r="30903" spans="1:6" x14ac:dyDescent="0.25">
      <c r="A30903"/>
      <c r="B30903"/>
      <c r="C30903"/>
      <c r="E30903"/>
      <c r="F30903"/>
    </row>
    <row r="30904" spans="1:6" x14ac:dyDescent="0.25">
      <c r="A30904"/>
      <c r="B30904"/>
      <c r="C30904"/>
      <c r="E30904"/>
      <c r="F30904"/>
    </row>
    <row r="30905" spans="1:6" x14ac:dyDescent="0.25">
      <c r="A30905"/>
      <c r="B30905"/>
      <c r="C30905"/>
      <c r="E30905"/>
      <c r="F30905"/>
    </row>
    <row r="30906" spans="1:6" x14ac:dyDescent="0.25">
      <c r="A30906"/>
      <c r="B30906"/>
      <c r="C30906"/>
      <c r="E30906"/>
      <c r="F30906"/>
    </row>
    <row r="30907" spans="1:6" x14ac:dyDescent="0.25">
      <c r="A30907"/>
      <c r="B30907"/>
      <c r="C30907"/>
      <c r="E30907"/>
      <c r="F30907"/>
    </row>
    <row r="30908" spans="1:6" x14ac:dyDescent="0.25">
      <c r="A30908"/>
      <c r="B30908"/>
      <c r="C30908"/>
      <c r="E30908"/>
      <c r="F30908"/>
    </row>
    <row r="30909" spans="1:6" x14ac:dyDescent="0.25">
      <c r="A30909"/>
      <c r="B30909"/>
      <c r="C30909"/>
      <c r="E30909"/>
      <c r="F30909"/>
    </row>
    <row r="30910" spans="1:6" x14ac:dyDescent="0.25">
      <c r="A30910"/>
      <c r="B30910"/>
      <c r="C30910"/>
      <c r="E30910"/>
      <c r="F30910"/>
    </row>
    <row r="30911" spans="1:6" x14ac:dyDescent="0.25">
      <c r="A30911"/>
      <c r="B30911"/>
      <c r="C30911"/>
      <c r="E30911"/>
      <c r="F30911"/>
    </row>
    <row r="30912" spans="1:6" x14ac:dyDescent="0.25">
      <c r="A30912"/>
      <c r="B30912"/>
      <c r="C30912"/>
      <c r="E30912"/>
      <c r="F30912"/>
    </row>
    <row r="30913" spans="1:6" x14ac:dyDescent="0.25">
      <c r="A30913"/>
      <c r="B30913"/>
      <c r="C30913"/>
      <c r="E30913"/>
      <c r="F30913"/>
    </row>
    <row r="30914" spans="1:6" x14ac:dyDescent="0.25">
      <c r="A30914"/>
      <c r="B30914"/>
      <c r="C30914"/>
      <c r="E30914"/>
      <c r="F30914"/>
    </row>
    <row r="30915" spans="1:6" x14ac:dyDescent="0.25">
      <c r="A30915"/>
      <c r="B30915"/>
      <c r="C30915"/>
      <c r="E30915"/>
      <c r="F30915"/>
    </row>
    <row r="30916" spans="1:6" x14ac:dyDescent="0.25">
      <c r="A30916"/>
      <c r="B30916"/>
      <c r="C30916"/>
      <c r="E30916"/>
      <c r="F30916"/>
    </row>
    <row r="30917" spans="1:6" x14ac:dyDescent="0.25">
      <c r="A30917"/>
      <c r="B30917"/>
      <c r="C30917"/>
      <c r="E30917"/>
      <c r="F30917"/>
    </row>
    <row r="30918" spans="1:6" x14ac:dyDescent="0.25">
      <c r="A30918"/>
      <c r="B30918"/>
      <c r="C30918"/>
      <c r="E30918"/>
      <c r="F30918"/>
    </row>
    <row r="30919" spans="1:6" x14ac:dyDescent="0.25">
      <c r="A30919"/>
      <c r="B30919"/>
      <c r="C30919"/>
      <c r="E30919"/>
      <c r="F30919"/>
    </row>
    <row r="30920" spans="1:6" x14ac:dyDescent="0.25">
      <c r="A30920"/>
      <c r="B30920"/>
      <c r="C30920"/>
      <c r="E30920"/>
      <c r="F30920"/>
    </row>
    <row r="30921" spans="1:6" x14ac:dyDescent="0.25">
      <c r="A30921"/>
      <c r="B30921"/>
      <c r="C30921"/>
      <c r="E30921"/>
      <c r="F30921"/>
    </row>
    <row r="30922" spans="1:6" x14ac:dyDescent="0.25">
      <c r="A30922"/>
      <c r="B30922"/>
      <c r="C30922"/>
      <c r="E30922"/>
      <c r="F30922"/>
    </row>
    <row r="30923" spans="1:6" x14ac:dyDescent="0.25">
      <c r="A30923"/>
      <c r="B30923"/>
      <c r="C30923"/>
      <c r="E30923"/>
      <c r="F30923"/>
    </row>
    <row r="30924" spans="1:6" x14ac:dyDescent="0.25">
      <c r="A30924"/>
      <c r="B30924"/>
      <c r="C30924"/>
      <c r="E30924"/>
      <c r="F30924"/>
    </row>
    <row r="30925" spans="1:6" x14ac:dyDescent="0.25">
      <c r="A30925"/>
      <c r="B30925"/>
      <c r="C30925"/>
      <c r="E30925"/>
      <c r="F30925"/>
    </row>
    <row r="30926" spans="1:6" x14ac:dyDescent="0.25">
      <c r="A30926"/>
      <c r="B30926"/>
      <c r="C30926"/>
      <c r="E30926"/>
      <c r="F30926"/>
    </row>
    <row r="30927" spans="1:6" x14ac:dyDescent="0.25">
      <c r="A30927"/>
      <c r="B30927"/>
      <c r="C30927"/>
      <c r="E30927"/>
      <c r="F30927"/>
    </row>
    <row r="30928" spans="1:6" x14ac:dyDescent="0.25">
      <c r="A30928"/>
      <c r="B30928"/>
      <c r="C30928"/>
      <c r="E30928"/>
      <c r="F30928"/>
    </row>
    <row r="30929" spans="1:6" x14ac:dyDescent="0.25">
      <c r="A30929"/>
      <c r="B30929"/>
      <c r="C30929"/>
      <c r="E30929"/>
      <c r="F30929"/>
    </row>
    <row r="30930" spans="1:6" x14ac:dyDescent="0.25">
      <c r="A30930"/>
      <c r="B30930"/>
      <c r="C30930"/>
      <c r="E30930"/>
      <c r="F30930"/>
    </row>
    <row r="30931" spans="1:6" x14ac:dyDescent="0.25">
      <c r="A30931"/>
      <c r="B30931"/>
      <c r="C30931"/>
      <c r="E30931"/>
      <c r="F30931"/>
    </row>
    <row r="30932" spans="1:6" x14ac:dyDescent="0.25">
      <c r="A30932"/>
      <c r="B30932"/>
      <c r="C30932"/>
      <c r="E30932"/>
      <c r="F30932"/>
    </row>
    <row r="30933" spans="1:6" x14ac:dyDescent="0.25">
      <c r="A30933"/>
      <c r="B30933"/>
      <c r="C30933"/>
      <c r="E30933"/>
      <c r="F30933"/>
    </row>
    <row r="30934" spans="1:6" x14ac:dyDescent="0.25">
      <c r="A30934"/>
      <c r="B30934"/>
      <c r="C30934"/>
      <c r="E30934"/>
      <c r="F30934"/>
    </row>
    <row r="30935" spans="1:6" x14ac:dyDescent="0.25">
      <c r="A30935"/>
      <c r="B30935"/>
      <c r="C30935"/>
      <c r="E30935"/>
      <c r="F30935"/>
    </row>
    <row r="30936" spans="1:6" x14ac:dyDescent="0.25">
      <c r="A30936"/>
      <c r="B30936"/>
      <c r="C30936"/>
      <c r="E30936"/>
      <c r="F30936"/>
    </row>
    <row r="30937" spans="1:6" x14ac:dyDescent="0.25">
      <c r="A30937"/>
      <c r="B30937"/>
      <c r="C30937"/>
      <c r="E30937"/>
      <c r="F30937"/>
    </row>
    <row r="30938" spans="1:6" x14ac:dyDescent="0.25">
      <c r="A30938"/>
      <c r="B30938"/>
      <c r="C30938"/>
      <c r="E30938"/>
      <c r="F30938"/>
    </row>
    <row r="30939" spans="1:6" x14ac:dyDescent="0.25">
      <c r="A30939"/>
      <c r="B30939"/>
      <c r="C30939"/>
      <c r="E30939"/>
      <c r="F30939"/>
    </row>
    <row r="30940" spans="1:6" x14ac:dyDescent="0.25">
      <c r="A30940"/>
      <c r="B30940"/>
      <c r="C30940"/>
      <c r="E30940"/>
      <c r="F30940"/>
    </row>
    <row r="30941" spans="1:6" x14ac:dyDescent="0.25">
      <c r="A30941"/>
      <c r="B30941"/>
      <c r="C30941"/>
      <c r="E30941"/>
      <c r="F30941"/>
    </row>
    <row r="30942" spans="1:6" x14ac:dyDescent="0.25">
      <c r="A30942"/>
      <c r="B30942"/>
      <c r="C30942"/>
      <c r="E30942"/>
      <c r="F30942"/>
    </row>
    <row r="30943" spans="1:6" x14ac:dyDescent="0.25">
      <c r="A30943"/>
      <c r="B30943"/>
      <c r="C30943"/>
      <c r="E30943"/>
      <c r="F30943"/>
    </row>
    <row r="30944" spans="1:6" x14ac:dyDescent="0.25">
      <c r="A30944"/>
      <c r="B30944"/>
      <c r="C30944"/>
      <c r="E30944"/>
      <c r="F30944"/>
    </row>
    <row r="30945" spans="1:6" x14ac:dyDescent="0.25">
      <c r="A30945"/>
      <c r="B30945"/>
      <c r="C30945"/>
      <c r="E30945"/>
      <c r="F30945"/>
    </row>
    <row r="30946" spans="1:6" x14ac:dyDescent="0.25">
      <c r="A30946"/>
      <c r="B30946"/>
      <c r="C30946"/>
      <c r="E30946"/>
      <c r="F30946"/>
    </row>
    <row r="30947" spans="1:6" x14ac:dyDescent="0.25">
      <c r="A30947"/>
      <c r="B30947"/>
      <c r="C30947"/>
      <c r="E30947"/>
      <c r="F30947"/>
    </row>
    <row r="30948" spans="1:6" x14ac:dyDescent="0.25">
      <c r="A30948"/>
      <c r="B30948"/>
      <c r="C30948"/>
      <c r="E30948"/>
      <c r="F30948"/>
    </row>
    <row r="30949" spans="1:6" x14ac:dyDescent="0.25">
      <c r="A30949"/>
      <c r="B30949"/>
      <c r="C30949"/>
      <c r="E30949"/>
      <c r="F30949"/>
    </row>
    <row r="30950" spans="1:6" x14ac:dyDescent="0.25">
      <c r="A30950"/>
      <c r="B30950"/>
      <c r="C30950"/>
      <c r="E30950"/>
      <c r="F30950"/>
    </row>
    <row r="30951" spans="1:6" x14ac:dyDescent="0.25">
      <c r="A30951"/>
      <c r="B30951"/>
      <c r="C30951"/>
      <c r="E30951"/>
      <c r="F30951"/>
    </row>
    <row r="30952" spans="1:6" x14ac:dyDescent="0.25">
      <c r="A30952"/>
      <c r="B30952"/>
      <c r="C30952"/>
      <c r="E30952"/>
      <c r="F30952"/>
    </row>
    <row r="30953" spans="1:6" x14ac:dyDescent="0.25">
      <c r="A30953"/>
      <c r="B30953"/>
      <c r="C30953"/>
      <c r="E30953"/>
      <c r="F30953"/>
    </row>
    <row r="30954" spans="1:6" x14ac:dyDescent="0.25">
      <c r="A30954"/>
      <c r="B30954"/>
      <c r="C30954"/>
      <c r="E30954"/>
      <c r="F30954"/>
    </row>
    <row r="30955" spans="1:6" x14ac:dyDescent="0.25">
      <c r="A30955"/>
      <c r="B30955"/>
      <c r="C30955"/>
      <c r="E30955"/>
      <c r="F30955"/>
    </row>
    <row r="30956" spans="1:6" x14ac:dyDescent="0.25">
      <c r="A30956"/>
      <c r="B30956"/>
      <c r="C30956"/>
      <c r="E30956"/>
      <c r="F30956"/>
    </row>
    <row r="30957" spans="1:6" x14ac:dyDescent="0.25">
      <c r="A30957"/>
      <c r="B30957"/>
      <c r="C30957"/>
      <c r="E30957"/>
      <c r="F30957"/>
    </row>
    <row r="30958" spans="1:6" x14ac:dyDescent="0.25">
      <c r="A30958"/>
      <c r="B30958"/>
      <c r="C30958"/>
      <c r="E30958"/>
      <c r="F30958"/>
    </row>
    <row r="30959" spans="1:6" x14ac:dyDescent="0.25">
      <c r="A30959"/>
      <c r="B30959"/>
      <c r="C30959"/>
      <c r="E30959"/>
      <c r="F30959"/>
    </row>
    <row r="30960" spans="1:6" x14ac:dyDescent="0.25">
      <c r="A30960"/>
      <c r="B30960"/>
      <c r="C30960"/>
      <c r="E30960"/>
      <c r="F30960"/>
    </row>
    <row r="30961" spans="1:6" x14ac:dyDescent="0.25">
      <c r="A30961"/>
      <c r="B30961"/>
      <c r="C30961"/>
      <c r="E30961"/>
      <c r="F30961"/>
    </row>
    <row r="30962" spans="1:6" x14ac:dyDescent="0.25">
      <c r="A30962"/>
      <c r="B30962"/>
      <c r="C30962"/>
      <c r="E30962"/>
      <c r="F30962"/>
    </row>
    <row r="30963" spans="1:6" x14ac:dyDescent="0.25">
      <c r="A30963"/>
      <c r="B30963"/>
      <c r="C30963"/>
      <c r="E30963"/>
      <c r="F30963"/>
    </row>
    <row r="30964" spans="1:6" x14ac:dyDescent="0.25">
      <c r="A30964"/>
      <c r="B30964"/>
      <c r="C30964"/>
      <c r="E30964"/>
      <c r="F30964"/>
    </row>
    <row r="30965" spans="1:6" x14ac:dyDescent="0.25">
      <c r="A30965"/>
      <c r="B30965"/>
      <c r="C30965"/>
      <c r="E30965"/>
      <c r="F30965"/>
    </row>
    <row r="30966" spans="1:6" x14ac:dyDescent="0.25">
      <c r="A30966"/>
      <c r="B30966"/>
      <c r="C30966"/>
      <c r="E30966"/>
      <c r="F30966"/>
    </row>
    <row r="30967" spans="1:6" x14ac:dyDescent="0.25">
      <c r="A30967"/>
      <c r="B30967"/>
      <c r="C30967"/>
      <c r="E30967"/>
      <c r="F30967"/>
    </row>
    <row r="30968" spans="1:6" x14ac:dyDescent="0.25">
      <c r="A30968"/>
      <c r="B30968"/>
      <c r="C30968"/>
      <c r="E30968"/>
      <c r="F30968"/>
    </row>
    <row r="30969" spans="1:6" x14ac:dyDescent="0.25">
      <c r="A30969"/>
      <c r="B30969"/>
      <c r="C30969"/>
      <c r="E30969"/>
      <c r="F30969"/>
    </row>
    <row r="30970" spans="1:6" x14ac:dyDescent="0.25">
      <c r="A30970"/>
      <c r="B30970"/>
      <c r="C30970"/>
      <c r="E30970"/>
      <c r="F30970"/>
    </row>
    <row r="30971" spans="1:6" x14ac:dyDescent="0.25">
      <c r="A30971"/>
      <c r="B30971"/>
      <c r="C30971"/>
      <c r="E30971"/>
      <c r="F30971"/>
    </row>
    <row r="30972" spans="1:6" x14ac:dyDescent="0.25">
      <c r="A30972"/>
      <c r="B30972"/>
      <c r="C30972"/>
      <c r="E30972"/>
      <c r="F30972"/>
    </row>
    <row r="30973" spans="1:6" x14ac:dyDescent="0.25">
      <c r="A30973"/>
      <c r="B30973"/>
      <c r="C30973"/>
      <c r="E30973"/>
      <c r="F30973"/>
    </row>
    <row r="30974" spans="1:6" x14ac:dyDescent="0.25">
      <c r="A30974"/>
      <c r="B30974"/>
      <c r="C30974"/>
      <c r="E30974"/>
      <c r="F30974"/>
    </row>
    <row r="30975" spans="1:6" x14ac:dyDescent="0.25">
      <c r="A30975"/>
      <c r="B30975"/>
      <c r="C30975"/>
      <c r="E30975"/>
      <c r="F30975"/>
    </row>
    <row r="30976" spans="1:6" x14ac:dyDescent="0.25">
      <c r="A30976"/>
      <c r="B30976"/>
      <c r="C30976"/>
      <c r="E30976"/>
      <c r="F30976"/>
    </row>
    <row r="30977" spans="1:6" x14ac:dyDescent="0.25">
      <c r="A30977"/>
      <c r="B30977"/>
      <c r="C30977"/>
      <c r="E30977"/>
      <c r="F30977"/>
    </row>
    <row r="30978" spans="1:6" x14ac:dyDescent="0.25">
      <c r="A30978"/>
      <c r="B30978"/>
      <c r="C30978"/>
      <c r="E30978"/>
      <c r="F30978"/>
    </row>
    <row r="30979" spans="1:6" x14ac:dyDescent="0.25">
      <c r="A30979"/>
      <c r="B30979"/>
      <c r="C30979"/>
      <c r="E30979"/>
      <c r="F30979"/>
    </row>
    <row r="30980" spans="1:6" x14ac:dyDescent="0.25">
      <c r="A30980"/>
      <c r="B30980"/>
      <c r="C30980"/>
      <c r="E30980"/>
      <c r="F30980"/>
    </row>
    <row r="30981" spans="1:6" x14ac:dyDescent="0.25">
      <c r="A30981"/>
      <c r="B30981"/>
      <c r="C30981"/>
      <c r="E30981"/>
      <c r="F30981"/>
    </row>
    <row r="30982" spans="1:6" x14ac:dyDescent="0.25">
      <c r="A30982"/>
      <c r="B30982"/>
      <c r="C30982"/>
      <c r="E30982"/>
      <c r="F30982"/>
    </row>
    <row r="30983" spans="1:6" x14ac:dyDescent="0.25">
      <c r="A30983"/>
      <c r="B30983"/>
      <c r="C30983"/>
      <c r="E30983"/>
      <c r="F30983"/>
    </row>
    <row r="30984" spans="1:6" x14ac:dyDescent="0.25">
      <c r="A30984"/>
      <c r="B30984"/>
      <c r="C30984"/>
      <c r="E30984"/>
      <c r="F30984"/>
    </row>
    <row r="30985" spans="1:6" x14ac:dyDescent="0.25">
      <c r="A30985"/>
      <c r="B30985"/>
      <c r="C30985"/>
      <c r="E30985"/>
      <c r="F30985"/>
    </row>
    <row r="30986" spans="1:6" x14ac:dyDescent="0.25">
      <c r="A30986"/>
      <c r="B30986"/>
      <c r="C30986"/>
      <c r="E30986"/>
      <c r="F30986"/>
    </row>
    <row r="30987" spans="1:6" x14ac:dyDescent="0.25">
      <c r="A30987"/>
      <c r="B30987"/>
      <c r="C30987"/>
      <c r="E30987"/>
      <c r="F30987"/>
    </row>
    <row r="30988" spans="1:6" x14ac:dyDescent="0.25">
      <c r="A30988"/>
      <c r="B30988"/>
      <c r="C30988"/>
      <c r="E30988"/>
      <c r="F30988"/>
    </row>
    <row r="30989" spans="1:6" x14ac:dyDescent="0.25">
      <c r="A30989"/>
      <c r="B30989"/>
      <c r="C30989"/>
      <c r="E30989"/>
      <c r="F30989"/>
    </row>
    <row r="30990" spans="1:6" x14ac:dyDescent="0.25">
      <c r="A30990"/>
      <c r="B30990"/>
      <c r="C30990"/>
      <c r="E30990"/>
      <c r="F30990"/>
    </row>
    <row r="30991" spans="1:6" x14ac:dyDescent="0.25">
      <c r="A30991"/>
      <c r="B30991"/>
      <c r="C30991"/>
      <c r="E30991"/>
      <c r="F30991"/>
    </row>
    <row r="30992" spans="1:6" x14ac:dyDescent="0.25">
      <c r="A30992"/>
      <c r="B30992"/>
      <c r="C30992"/>
      <c r="E30992"/>
      <c r="F30992"/>
    </row>
    <row r="30993" spans="1:6" x14ac:dyDescent="0.25">
      <c r="A30993"/>
      <c r="B30993"/>
      <c r="C30993"/>
      <c r="E30993"/>
      <c r="F30993"/>
    </row>
    <row r="30994" spans="1:6" x14ac:dyDescent="0.25">
      <c r="A30994"/>
      <c r="B30994"/>
      <c r="C30994"/>
      <c r="E30994"/>
      <c r="F30994"/>
    </row>
    <row r="30995" spans="1:6" x14ac:dyDescent="0.25">
      <c r="A30995"/>
      <c r="B30995"/>
      <c r="C30995"/>
      <c r="E30995"/>
      <c r="F30995"/>
    </row>
    <row r="30996" spans="1:6" x14ac:dyDescent="0.25">
      <c r="A30996"/>
      <c r="B30996"/>
      <c r="C30996"/>
      <c r="E30996"/>
      <c r="F30996"/>
    </row>
    <row r="30997" spans="1:6" x14ac:dyDescent="0.25">
      <c r="A30997"/>
      <c r="B30997"/>
      <c r="C30997"/>
      <c r="E30997"/>
      <c r="F30997"/>
    </row>
    <row r="30998" spans="1:6" x14ac:dyDescent="0.25">
      <c r="A30998"/>
      <c r="B30998"/>
      <c r="C30998"/>
      <c r="E30998"/>
      <c r="F30998"/>
    </row>
    <row r="30999" spans="1:6" x14ac:dyDescent="0.25">
      <c r="A30999"/>
      <c r="B30999"/>
      <c r="C30999"/>
      <c r="E30999"/>
      <c r="F30999"/>
    </row>
    <row r="31000" spans="1:6" x14ac:dyDescent="0.25">
      <c r="A31000"/>
      <c r="B31000"/>
      <c r="C31000"/>
      <c r="E31000"/>
      <c r="F31000"/>
    </row>
    <row r="31001" spans="1:6" x14ac:dyDescent="0.25">
      <c r="A31001"/>
      <c r="B31001"/>
      <c r="C31001"/>
      <c r="E31001"/>
      <c r="F31001"/>
    </row>
    <row r="31002" spans="1:6" x14ac:dyDescent="0.25">
      <c r="A31002"/>
      <c r="B31002"/>
      <c r="C31002"/>
      <c r="E31002"/>
      <c r="F31002"/>
    </row>
    <row r="31003" spans="1:6" x14ac:dyDescent="0.25">
      <c r="A31003"/>
      <c r="B31003"/>
      <c r="C31003"/>
      <c r="E31003"/>
      <c r="F31003"/>
    </row>
    <row r="31004" spans="1:6" x14ac:dyDescent="0.25">
      <c r="A31004"/>
      <c r="B31004"/>
      <c r="C31004"/>
      <c r="E31004"/>
      <c r="F31004"/>
    </row>
    <row r="31005" spans="1:6" x14ac:dyDescent="0.25">
      <c r="A31005"/>
      <c r="B31005"/>
      <c r="C31005"/>
      <c r="E31005"/>
      <c r="F31005"/>
    </row>
    <row r="31006" spans="1:6" x14ac:dyDescent="0.25">
      <c r="A31006"/>
      <c r="B31006"/>
      <c r="C31006"/>
      <c r="E31006"/>
      <c r="F31006"/>
    </row>
    <row r="31007" spans="1:6" x14ac:dyDescent="0.25">
      <c r="A31007"/>
      <c r="B31007"/>
      <c r="C31007"/>
      <c r="E31007"/>
      <c r="F31007"/>
    </row>
    <row r="31008" spans="1:6" x14ac:dyDescent="0.25">
      <c r="A31008"/>
      <c r="B31008"/>
      <c r="C31008"/>
      <c r="E31008"/>
      <c r="F31008"/>
    </row>
    <row r="31009" spans="1:6" x14ac:dyDescent="0.25">
      <c r="A31009"/>
      <c r="B31009"/>
      <c r="C31009"/>
      <c r="E31009"/>
      <c r="F31009"/>
    </row>
    <row r="31010" spans="1:6" x14ac:dyDescent="0.25">
      <c r="A31010"/>
      <c r="B31010"/>
      <c r="C31010"/>
      <c r="E31010"/>
      <c r="F31010"/>
    </row>
    <row r="31011" spans="1:6" x14ac:dyDescent="0.25">
      <c r="A31011"/>
      <c r="B31011"/>
      <c r="C31011"/>
      <c r="E31011"/>
      <c r="F31011"/>
    </row>
    <row r="31012" spans="1:6" x14ac:dyDescent="0.25">
      <c r="A31012"/>
      <c r="B31012"/>
      <c r="C31012"/>
      <c r="E31012"/>
      <c r="F31012"/>
    </row>
    <row r="31013" spans="1:6" x14ac:dyDescent="0.25">
      <c r="A31013"/>
      <c r="B31013"/>
      <c r="C31013"/>
      <c r="E31013"/>
      <c r="F31013"/>
    </row>
    <row r="31014" spans="1:6" x14ac:dyDescent="0.25">
      <c r="A31014"/>
      <c r="B31014"/>
      <c r="C31014"/>
      <c r="E31014"/>
      <c r="F31014"/>
    </row>
    <row r="31015" spans="1:6" x14ac:dyDescent="0.25">
      <c r="A31015"/>
      <c r="B31015"/>
      <c r="C31015"/>
      <c r="E31015"/>
      <c r="F31015"/>
    </row>
    <row r="31016" spans="1:6" x14ac:dyDescent="0.25">
      <c r="A31016"/>
      <c r="B31016"/>
      <c r="C31016"/>
      <c r="E31016"/>
      <c r="F31016"/>
    </row>
    <row r="31017" spans="1:6" x14ac:dyDescent="0.25">
      <c r="A31017"/>
      <c r="B31017"/>
      <c r="C31017"/>
      <c r="E31017"/>
      <c r="F31017"/>
    </row>
    <row r="31018" spans="1:6" x14ac:dyDescent="0.25">
      <c r="A31018"/>
      <c r="B31018"/>
      <c r="C31018"/>
      <c r="E31018"/>
      <c r="F31018"/>
    </row>
    <row r="31019" spans="1:6" x14ac:dyDescent="0.25">
      <c r="A31019"/>
      <c r="B31019"/>
      <c r="C31019"/>
      <c r="E31019"/>
      <c r="F31019"/>
    </row>
    <row r="31020" spans="1:6" x14ac:dyDescent="0.25">
      <c r="A31020"/>
      <c r="B31020"/>
      <c r="C31020"/>
      <c r="E31020"/>
      <c r="F31020"/>
    </row>
    <row r="31021" spans="1:6" x14ac:dyDescent="0.25">
      <c r="A31021"/>
      <c r="B31021"/>
      <c r="C31021"/>
      <c r="E31021"/>
      <c r="F31021"/>
    </row>
    <row r="31022" spans="1:6" x14ac:dyDescent="0.25">
      <c r="A31022"/>
      <c r="B31022"/>
      <c r="C31022"/>
      <c r="E31022"/>
      <c r="F31022"/>
    </row>
    <row r="31023" spans="1:6" x14ac:dyDescent="0.25">
      <c r="A31023"/>
      <c r="B31023"/>
      <c r="C31023"/>
      <c r="E31023"/>
      <c r="F31023"/>
    </row>
    <row r="31024" spans="1:6" x14ac:dyDescent="0.25">
      <c r="A31024"/>
      <c r="B31024"/>
      <c r="C31024"/>
      <c r="E31024"/>
      <c r="F31024"/>
    </row>
    <row r="31025" spans="1:6" x14ac:dyDescent="0.25">
      <c r="A31025"/>
      <c r="B31025"/>
      <c r="C31025"/>
      <c r="E31025"/>
      <c r="F31025"/>
    </row>
    <row r="31026" spans="1:6" x14ac:dyDescent="0.25">
      <c r="A31026"/>
      <c r="B31026"/>
      <c r="C31026"/>
      <c r="E31026"/>
      <c r="F31026"/>
    </row>
    <row r="31027" spans="1:6" x14ac:dyDescent="0.25">
      <c r="A31027"/>
      <c r="B31027"/>
      <c r="C31027"/>
      <c r="E31027"/>
      <c r="F31027"/>
    </row>
    <row r="31028" spans="1:6" x14ac:dyDescent="0.25">
      <c r="A31028"/>
      <c r="B31028"/>
      <c r="C31028"/>
      <c r="E31028"/>
      <c r="F31028"/>
    </row>
    <row r="31029" spans="1:6" x14ac:dyDescent="0.25">
      <c r="A31029"/>
      <c r="B31029"/>
      <c r="C31029"/>
      <c r="E31029"/>
      <c r="F31029"/>
    </row>
    <row r="31030" spans="1:6" x14ac:dyDescent="0.25">
      <c r="A31030"/>
      <c r="B31030"/>
      <c r="C31030"/>
      <c r="E31030"/>
      <c r="F31030"/>
    </row>
    <row r="31031" spans="1:6" x14ac:dyDescent="0.25">
      <c r="A31031"/>
      <c r="B31031"/>
      <c r="C31031"/>
      <c r="E31031"/>
      <c r="F31031"/>
    </row>
    <row r="31032" spans="1:6" x14ac:dyDescent="0.25">
      <c r="A31032"/>
      <c r="B31032"/>
      <c r="C31032"/>
      <c r="E31032"/>
      <c r="F31032"/>
    </row>
    <row r="31033" spans="1:6" x14ac:dyDescent="0.25">
      <c r="A31033"/>
      <c r="B31033"/>
      <c r="C31033"/>
      <c r="E31033"/>
      <c r="F31033"/>
    </row>
    <row r="31034" spans="1:6" x14ac:dyDescent="0.25">
      <c r="A31034"/>
      <c r="B31034"/>
      <c r="C31034"/>
      <c r="E31034"/>
      <c r="F31034"/>
    </row>
    <row r="31035" spans="1:6" x14ac:dyDescent="0.25">
      <c r="A31035"/>
      <c r="B31035"/>
      <c r="C31035"/>
      <c r="E31035"/>
      <c r="F31035"/>
    </row>
    <row r="31036" spans="1:6" x14ac:dyDescent="0.25">
      <c r="A31036"/>
      <c r="B31036"/>
      <c r="C31036"/>
      <c r="E31036"/>
      <c r="F31036"/>
    </row>
    <row r="31037" spans="1:6" x14ac:dyDescent="0.25">
      <c r="A31037"/>
      <c r="B31037"/>
      <c r="C31037"/>
      <c r="E31037"/>
      <c r="F31037"/>
    </row>
    <row r="31038" spans="1:6" x14ac:dyDescent="0.25">
      <c r="A31038"/>
      <c r="B31038"/>
      <c r="C31038"/>
      <c r="E31038"/>
      <c r="F31038"/>
    </row>
    <row r="31039" spans="1:6" x14ac:dyDescent="0.25">
      <c r="A31039"/>
      <c r="B31039"/>
      <c r="C31039"/>
      <c r="E31039"/>
      <c r="F31039"/>
    </row>
    <row r="31040" spans="1:6" x14ac:dyDescent="0.25">
      <c r="A31040"/>
      <c r="B31040"/>
      <c r="C31040"/>
      <c r="E31040"/>
      <c r="F31040"/>
    </row>
    <row r="31041" spans="1:6" x14ac:dyDescent="0.25">
      <c r="A31041"/>
      <c r="B31041"/>
      <c r="C31041"/>
      <c r="E31041"/>
      <c r="F31041"/>
    </row>
    <row r="31042" spans="1:6" x14ac:dyDescent="0.25">
      <c r="A31042"/>
      <c r="B31042"/>
      <c r="C31042"/>
      <c r="E31042"/>
      <c r="F31042"/>
    </row>
    <row r="31043" spans="1:6" x14ac:dyDescent="0.25">
      <c r="A31043"/>
      <c r="B31043"/>
      <c r="C31043"/>
      <c r="E31043"/>
      <c r="F31043"/>
    </row>
    <row r="31044" spans="1:6" x14ac:dyDescent="0.25">
      <c r="A31044"/>
      <c r="B31044"/>
      <c r="C31044"/>
      <c r="E31044"/>
      <c r="F31044"/>
    </row>
    <row r="31045" spans="1:6" x14ac:dyDescent="0.25">
      <c r="A31045"/>
      <c r="B31045"/>
      <c r="C31045"/>
      <c r="E31045"/>
      <c r="F31045"/>
    </row>
    <row r="31046" spans="1:6" x14ac:dyDescent="0.25">
      <c r="A31046"/>
      <c r="B31046"/>
      <c r="C31046"/>
      <c r="E31046"/>
      <c r="F31046"/>
    </row>
    <row r="31047" spans="1:6" x14ac:dyDescent="0.25">
      <c r="A31047"/>
      <c r="B31047"/>
      <c r="C31047"/>
      <c r="E31047"/>
      <c r="F31047"/>
    </row>
    <row r="31048" spans="1:6" x14ac:dyDescent="0.25">
      <c r="A31048"/>
      <c r="B31048"/>
      <c r="C31048"/>
      <c r="E31048"/>
      <c r="F31048"/>
    </row>
    <row r="31049" spans="1:6" x14ac:dyDescent="0.25">
      <c r="A31049"/>
      <c r="B31049"/>
      <c r="C31049"/>
      <c r="E31049"/>
      <c r="F31049"/>
    </row>
    <row r="31050" spans="1:6" x14ac:dyDescent="0.25">
      <c r="A31050"/>
      <c r="B31050"/>
      <c r="C31050"/>
      <c r="E31050"/>
      <c r="F31050"/>
    </row>
    <row r="31051" spans="1:6" x14ac:dyDescent="0.25">
      <c r="A31051"/>
      <c r="B31051"/>
      <c r="C31051"/>
      <c r="E31051"/>
      <c r="F31051"/>
    </row>
    <row r="31052" spans="1:6" x14ac:dyDescent="0.25">
      <c r="A31052"/>
      <c r="B31052"/>
      <c r="C31052"/>
      <c r="E31052"/>
      <c r="F31052"/>
    </row>
    <row r="31053" spans="1:6" x14ac:dyDescent="0.25">
      <c r="A31053"/>
      <c r="B31053"/>
      <c r="C31053"/>
      <c r="E31053"/>
      <c r="F31053"/>
    </row>
    <row r="31054" spans="1:6" x14ac:dyDescent="0.25">
      <c r="A31054"/>
      <c r="B31054"/>
      <c r="C31054"/>
      <c r="E31054"/>
      <c r="F31054"/>
    </row>
    <row r="31055" spans="1:6" x14ac:dyDescent="0.25">
      <c r="A31055"/>
      <c r="B31055"/>
      <c r="C31055"/>
      <c r="E31055"/>
      <c r="F31055"/>
    </row>
    <row r="31056" spans="1:6" x14ac:dyDescent="0.25">
      <c r="A31056"/>
      <c r="B31056"/>
      <c r="C31056"/>
      <c r="E31056"/>
      <c r="F31056"/>
    </row>
    <row r="31057" spans="1:6" x14ac:dyDescent="0.25">
      <c r="A31057"/>
      <c r="B31057"/>
      <c r="C31057"/>
      <c r="E31057"/>
      <c r="F31057"/>
    </row>
    <row r="31058" spans="1:6" x14ac:dyDescent="0.25">
      <c r="A31058"/>
      <c r="B31058"/>
      <c r="C31058"/>
      <c r="E31058"/>
      <c r="F31058"/>
    </row>
    <row r="31059" spans="1:6" x14ac:dyDescent="0.25">
      <c r="A31059"/>
      <c r="B31059"/>
      <c r="C31059"/>
      <c r="E31059"/>
      <c r="F31059"/>
    </row>
    <row r="31060" spans="1:6" x14ac:dyDescent="0.25">
      <c r="A31060"/>
      <c r="B31060"/>
      <c r="C31060"/>
      <c r="E31060"/>
      <c r="F31060"/>
    </row>
    <row r="31061" spans="1:6" x14ac:dyDescent="0.25">
      <c r="A31061"/>
      <c r="B31061"/>
      <c r="C31061"/>
      <c r="E31061"/>
      <c r="F31061"/>
    </row>
    <row r="31062" spans="1:6" x14ac:dyDescent="0.25">
      <c r="A31062"/>
      <c r="B31062"/>
      <c r="C31062"/>
      <c r="E31062"/>
      <c r="F31062"/>
    </row>
    <row r="31063" spans="1:6" x14ac:dyDescent="0.25">
      <c r="A31063"/>
      <c r="B31063"/>
      <c r="C31063"/>
      <c r="E31063"/>
      <c r="F31063"/>
    </row>
    <row r="31064" spans="1:6" x14ac:dyDescent="0.25">
      <c r="A31064"/>
      <c r="B31064"/>
      <c r="C31064"/>
      <c r="E31064"/>
      <c r="F31064"/>
    </row>
    <row r="31065" spans="1:6" x14ac:dyDescent="0.25">
      <c r="A31065"/>
      <c r="B31065"/>
      <c r="C31065"/>
      <c r="E31065"/>
      <c r="F31065"/>
    </row>
    <row r="31066" spans="1:6" x14ac:dyDescent="0.25">
      <c r="A31066"/>
      <c r="B31066"/>
      <c r="C31066"/>
      <c r="E31066"/>
      <c r="F31066"/>
    </row>
    <row r="31067" spans="1:6" x14ac:dyDescent="0.25">
      <c r="A31067"/>
      <c r="B31067"/>
      <c r="C31067"/>
      <c r="E31067"/>
      <c r="F31067"/>
    </row>
    <row r="31068" spans="1:6" x14ac:dyDescent="0.25">
      <c r="A31068"/>
      <c r="B31068"/>
      <c r="C31068"/>
      <c r="E31068"/>
      <c r="F31068"/>
    </row>
    <row r="31069" spans="1:6" x14ac:dyDescent="0.25">
      <c r="A31069"/>
      <c r="B31069"/>
      <c r="C31069"/>
      <c r="E31069"/>
      <c r="F31069"/>
    </row>
    <row r="31070" spans="1:6" x14ac:dyDescent="0.25">
      <c r="A31070"/>
      <c r="B31070"/>
      <c r="C31070"/>
      <c r="E31070"/>
      <c r="F31070"/>
    </row>
    <row r="31071" spans="1:6" x14ac:dyDescent="0.25">
      <c r="A31071"/>
      <c r="B31071"/>
      <c r="C31071"/>
      <c r="E31071"/>
      <c r="F31071"/>
    </row>
    <row r="31072" spans="1:6" x14ac:dyDescent="0.25">
      <c r="A31072"/>
      <c r="B31072"/>
      <c r="C31072"/>
      <c r="E31072"/>
      <c r="F31072"/>
    </row>
    <row r="31073" spans="1:6" x14ac:dyDescent="0.25">
      <c r="A31073"/>
      <c r="B31073"/>
      <c r="C31073"/>
      <c r="E31073"/>
      <c r="F31073"/>
    </row>
    <row r="31074" spans="1:6" x14ac:dyDescent="0.25">
      <c r="A31074"/>
      <c r="B31074"/>
      <c r="C31074"/>
      <c r="E31074"/>
      <c r="F31074"/>
    </row>
    <row r="31075" spans="1:6" x14ac:dyDescent="0.25">
      <c r="A31075"/>
      <c r="B31075"/>
      <c r="C31075"/>
      <c r="E31075"/>
      <c r="F31075"/>
    </row>
    <row r="31076" spans="1:6" x14ac:dyDescent="0.25">
      <c r="A31076"/>
      <c r="B31076"/>
      <c r="C31076"/>
      <c r="E31076"/>
      <c r="F31076"/>
    </row>
    <row r="31077" spans="1:6" x14ac:dyDescent="0.25">
      <c r="A31077"/>
      <c r="B31077"/>
      <c r="C31077"/>
      <c r="E31077"/>
      <c r="F31077"/>
    </row>
    <row r="31078" spans="1:6" x14ac:dyDescent="0.25">
      <c r="A31078"/>
      <c r="B31078"/>
      <c r="C31078"/>
      <c r="E31078"/>
      <c r="F31078"/>
    </row>
    <row r="31079" spans="1:6" x14ac:dyDescent="0.25">
      <c r="A31079"/>
      <c r="B31079"/>
      <c r="C31079"/>
      <c r="E31079"/>
      <c r="F31079"/>
    </row>
    <row r="31080" spans="1:6" x14ac:dyDescent="0.25">
      <c r="A31080"/>
      <c r="B31080"/>
      <c r="C31080"/>
      <c r="E31080"/>
      <c r="F31080"/>
    </row>
    <row r="31081" spans="1:6" x14ac:dyDescent="0.25">
      <c r="A31081"/>
      <c r="B31081"/>
      <c r="C31081"/>
      <c r="E31081"/>
      <c r="F31081"/>
    </row>
    <row r="31082" spans="1:6" x14ac:dyDescent="0.25">
      <c r="A31082"/>
      <c r="B31082"/>
      <c r="C31082"/>
      <c r="E31082"/>
      <c r="F31082"/>
    </row>
    <row r="31083" spans="1:6" x14ac:dyDescent="0.25">
      <c r="A31083"/>
      <c r="B31083"/>
      <c r="C31083"/>
      <c r="E31083"/>
      <c r="F31083"/>
    </row>
    <row r="31084" spans="1:6" x14ac:dyDescent="0.25">
      <c r="A31084"/>
      <c r="B31084"/>
      <c r="C31084"/>
      <c r="E31084"/>
      <c r="F31084"/>
    </row>
    <row r="31085" spans="1:6" x14ac:dyDescent="0.25">
      <c r="A31085"/>
      <c r="B31085"/>
      <c r="C31085"/>
      <c r="E31085"/>
      <c r="F31085"/>
    </row>
    <row r="31086" spans="1:6" x14ac:dyDescent="0.25">
      <c r="A31086"/>
      <c r="B31086"/>
      <c r="C31086"/>
      <c r="E31086"/>
      <c r="F31086"/>
    </row>
    <row r="31087" spans="1:6" x14ac:dyDescent="0.25">
      <c r="A31087"/>
      <c r="B31087"/>
      <c r="C31087"/>
      <c r="E31087"/>
      <c r="F31087"/>
    </row>
    <row r="31088" spans="1:6" x14ac:dyDescent="0.25">
      <c r="A31088"/>
      <c r="B31088"/>
      <c r="C31088"/>
      <c r="E31088"/>
      <c r="F31088"/>
    </row>
    <row r="31089" spans="1:6" x14ac:dyDescent="0.25">
      <c r="A31089"/>
      <c r="B31089"/>
      <c r="C31089"/>
      <c r="E31089"/>
      <c r="F31089"/>
    </row>
    <row r="31090" spans="1:6" x14ac:dyDescent="0.25">
      <c r="A31090"/>
      <c r="B31090"/>
      <c r="C31090"/>
      <c r="E31090"/>
      <c r="F31090"/>
    </row>
    <row r="31091" spans="1:6" x14ac:dyDescent="0.25">
      <c r="A31091"/>
      <c r="B31091"/>
      <c r="C31091"/>
      <c r="E31091"/>
      <c r="F31091"/>
    </row>
    <row r="31092" spans="1:6" x14ac:dyDescent="0.25">
      <c r="A31092"/>
      <c r="B31092"/>
      <c r="C31092"/>
      <c r="E31092"/>
      <c r="F31092"/>
    </row>
    <row r="31093" spans="1:6" x14ac:dyDescent="0.25">
      <c r="A31093"/>
      <c r="B31093"/>
      <c r="C31093"/>
      <c r="E31093"/>
      <c r="F31093"/>
    </row>
    <row r="31094" spans="1:6" x14ac:dyDescent="0.25">
      <c r="A31094"/>
      <c r="B31094"/>
      <c r="C31094"/>
      <c r="E31094"/>
      <c r="F31094"/>
    </row>
    <row r="31095" spans="1:6" x14ac:dyDescent="0.25">
      <c r="A31095"/>
      <c r="B31095"/>
      <c r="C31095"/>
      <c r="E31095"/>
      <c r="F31095"/>
    </row>
    <row r="31096" spans="1:6" x14ac:dyDescent="0.25">
      <c r="A31096"/>
      <c r="B31096"/>
      <c r="C31096"/>
      <c r="E31096"/>
      <c r="F31096"/>
    </row>
    <row r="31097" spans="1:6" x14ac:dyDescent="0.25">
      <c r="A31097"/>
      <c r="B31097"/>
      <c r="C31097"/>
      <c r="E31097"/>
      <c r="F31097"/>
    </row>
    <row r="31098" spans="1:6" x14ac:dyDescent="0.25">
      <c r="A31098"/>
      <c r="B31098"/>
      <c r="C31098"/>
      <c r="E31098"/>
      <c r="F31098"/>
    </row>
    <row r="31099" spans="1:6" x14ac:dyDescent="0.25">
      <c r="A31099"/>
      <c r="B31099"/>
      <c r="C31099"/>
      <c r="E31099"/>
      <c r="F31099"/>
    </row>
    <row r="31100" spans="1:6" x14ac:dyDescent="0.25">
      <c r="A31100"/>
      <c r="B31100"/>
      <c r="C31100"/>
      <c r="E31100"/>
      <c r="F31100"/>
    </row>
    <row r="31101" spans="1:6" x14ac:dyDescent="0.25">
      <c r="A31101"/>
      <c r="B31101"/>
      <c r="C31101"/>
      <c r="E31101"/>
      <c r="F31101"/>
    </row>
    <row r="31102" spans="1:6" x14ac:dyDescent="0.25">
      <c r="A31102"/>
      <c r="B31102"/>
      <c r="C31102"/>
      <c r="E31102"/>
      <c r="F31102"/>
    </row>
    <row r="31103" spans="1:6" x14ac:dyDescent="0.25">
      <c r="A31103"/>
      <c r="B31103"/>
      <c r="C31103"/>
      <c r="E31103"/>
      <c r="F31103"/>
    </row>
    <row r="31104" spans="1:6" x14ac:dyDescent="0.25">
      <c r="A31104"/>
      <c r="B31104"/>
      <c r="C31104"/>
      <c r="E31104"/>
      <c r="F31104"/>
    </row>
    <row r="31105" spans="1:6" x14ac:dyDescent="0.25">
      <c r="A31105"/>
      <c r="B31105"/>
      <c r="C31105"/>
      <c r="E31105"/>
      <c r="F31105"/>
    </row>
    <row r="31106" spans="1:6" x14ac:dyDescent="0.25">
      <c r="A31106"/>
      <c r="B31106"/>
      <c r="C31106"/>
      <c r="E31106"/>
      <c r="F31106"/>
    </row>
    <row r="31107" spans="1:6" x14ac:dyDescent="0.25">
      <c r="A31107"/>
      <c r="B31107"/>
      <c r="C31107"/>
      <c r="E31107"/>
      <c r="F31107"/>
    </row>
    <row r="31108" spans="1:6" x14ac:dyDescent="0.25">
      <c r="A31108"/>
      <c r="B31108"/>
      <c r="C31108"/>
      <c r="E31108"/>
      <c r="F31108"/>
    </row>
    <row r="31109" spans="1:6" x14ac:dyDescent="0.25">
      <c r="A31109"/>
      <c r="B31109"/>
      <c r="C31109"/>
      <c r="E31109"/>
      <c r="F31109"/>
    </row>
    <row r="31110" spans="1:6" x14ac:dyDescent="0.25">
      <c r="A31110"/>
      <c r="B31110"/>
      <c r="C31110"/>
      <c r="E31110"/>
      <c r="F31110"/>
    </row>
    <row r="31111" spans="1:6" x14ac:dyDescent="0.25">
      <c r="A31111"/>
      <c r="B31111"/>
      <c r="C31111"/>
      <c r="E31111"/>
      <c r="F31111"/>
    </row>
    <row r="31112" spans="1:6" x14ac:dyDescent="0.25">
      <c r="A31112"/>
      <c r="B31112"/>
      <c r="C31112"/>
      <c r="E31112"/>
      <c r="F31112"/>
    </row>
    <row r="31113" spans="1:6" x14ac:dyDescent="0.25">
      <c r="A31113"/>
      <c r="B31113"/>
      <c r="C31113"/>
      <c r="E31113"/>
      <c r="F31113"/>
    </row>
    <row r="31114" spans="1:6" x14ac:dyDescent="0.25">
      <c r="A31114"/>
      <c r="B31114"/>
      <c r="C31114"/>
      <c r="E31114"/>
      <c r="F31114"/>
    </row>
    <row r="31115" spans="1:6" x14ac:dyDescent="0.25">
      <c r="A31115"/>
      <c r="B31115"/>
      <c r="C31115"/>
      <c r="E31115"/>
      <c r="F31115"/>
    </row>
    <row r="31116" spans="1:6" x14ac:dyDescent="0.25">
      <c r="A31116"/>
      <c r="B31116"/>
      <c r="C31116"/>
      <c r="E31116"/>
      <c r="F31116"/>
    </row>
    <row r="31117" spans="1:6" x14ac:dyDescent="0.25">
      <c r="A31117"/>
      <c r="B31117"/>
      <c r="C31117"/>
      <c r="E31117"/>
      <c r="F31117"/>
    </row>
    <row r="31118" spans="1:6" x14ac:dyDescent="0.25">
      <c r="A31118"/>
      <c r="B31118"/>
      <c r="C31118"/>
      <c r="E31118"/>
      <c r="F31118"/>
    </row>
    <row r="31119" spans="1:6" x14ac:dyDescent="0.25">
      <c r="A31119"/>
      <c r="B31119"/>
      <c r="C31119"/>
      <c r="E31119"/>
      <c r="F31119"/>
    </row>
    <row r="31120" spans="1:6" x14ac:dyDescent="0.25">
      <c r="A31120"/>
      <c r="B31120"/>
      <c r="C31120"/>
      <c r="E31120"/>
      <c r="F31120"/>
    </row>
    <row r="31121" spans="1:6" x14ac:dyDescent="0.25">
      <c r="A31121"/>
      <c r="B31121"/>
      <c r="C31121"/>
      <c r="E31121"/>
      <c r="F31121"/>
    </row>
    <row r="31122" spans="1:6" x14ac:dyDescent="0.25">
      <c r="A31122"/>
      <c r="B31122"/>
      <c r="C31122"/>
      <c r="E31122"/>
      <c r="F31122"/>
    </row>
    <row r="31123" spans="1:6" x14ac:dyDescent="0.25">
      <c r="A31123"/>
      <c r="B31123"/>
      <c r="C31123"/>
      <c r="E31123"/>
      <c r="F31123"/>
    </row>
    <row r="31124" spans="1:6" x14ac:dyDescent="0.25">
      <c r="A31124"/>
      <c r="B31124"/>
      <c r="C31124"/>
      <c r="E31124"/>
      <c r="F31124"/>
    </row>
    <row r="31125" spans="1:6" x14ac:dyDescent="0.25">
      <c r="A31125"/>
      <c r="B31125"/>
      <c r="C31125"/>
      <c r="E31125"/>
      <c r="F31125"/>
    </row>
    <row r="31126" spans="1:6" x14ac:dyDescent="0.25">
      <c r="A31126"/>
      <c r="B31126"/>
      <c r="C31126"/>
      <c r="E31126"/>
      <c r="F31126"/>
    </row>
    <row r="31127" spans="1:6" x14ac:dyDescent="0.25">
      <c r="A31127"/>
      <c r="B31127"/>
      <c r="C31127"/>
      <c r="E31127"/>
      <c r="F31127"/>
    </row>
    <row r="31128" spans="1:6" x14ac:dyDescent="0.25">
      <c r="A31128"/>
      <c r="B31128"/>
      <c r="C31128"/>
      <c r="E31128"/>
      <c r="F31128"/>
    </row>
    <row r="31129" spans="1:6" x14ac:dyDescent="0.25">
      <c r="A31129"/>
      <c r="B31129"/>
      <c r="C31129"/>
      <c r="E31129"/>
      <c r="F31129"/>
    </row>
    <row r="31130" spans="1:6" x14ac:dyDescent="0.25">
      <c r="A31130"/>
      <c r="B31130"/>
      <c r="C31130"/>
      <c r="E31130"/>
      <c r="F31130"/>
    </row>
    <row r="31131" spans="1:6" x14ac:dyDescent="0.25">
      <c r="A31131"/>
      <c r="B31131"/>
      <c r="C31131"/>
      <c r="E31131"/>
      <c r="F31131"/>
    </row>
    <row r="31132" spans="1:6" x14ac:dyDescent="0.25">
      <c r="A31132"/>
      <c r="B31132"/>
      <c r="C31132"/>
      <c r="E31132"/>
      <c r="F31132"/>
    </row>
    <row r="31133" spans="1:6" x14ac:dyDescent="0.25">
      <c r="A31133"/>
      <c r="B31133"/>
      <c r="C31133"/>
      <c r="E31133"/>
      <c r="F31133"/>
    </row>
    <row r="31134" spans="1:6" x14ac:dyDescent="0.25">
      <c r="A31134"/>
      <c r="B31134"/>
      <c r="C31134"/>
      <c r="E31134"/>
      <c r="F31134"/>
    </row>
    <row r="31135" spans="1:6" x14ac:dyDescent="0.25">
      <c r="A31135"/>
      <c r="B31135"/>
      <c r="C31135"/>
      <c r="E31135"/>
      <c r="F31135"/>
    </row>
    <row r="31136" spans="1:6" x14ac:dyDescent="0.25">
      <c r="A31136"/>
      <c r="B31136"/>
      <c r="C31136"/>
      <c r="E31136"/>
      <c r="F31136"/>
    </row>
    <row r="31137" spans="1:6" x14ac:dyDescent="0.25">
      <c r="A31137"/>
      <c r="B31137"/>
      <c r="C31137"/>
      <c r="E31137"/>
      <c r="F31137"/>
    </row>
    <row r="31138" spans="1:6" x14ac:dyDescent="0.25">
      <c r="A31138"/>
      <c r="B31138"/>
      <c r="C31138"/>
      <c r="E31138"/>
      <c r="F31138"/>
    </row>
    <row r="31139" spans="1:6" x14ac:dyDescent="0.25">
      <c r="A31139"/>
      <c r="B31139"/>
      <c r="C31139"/>
      <c r="E31139"/>
      <c r="F31139"/>
    </row>
    <row r="31140" spans="1:6" x14ac:dyDescent="0.25">
      <c r="A31140"/>
      <c r="B31140"/>
      <c r="C31140"/>
      <c r="E31140"/>
      <c r="F31140"/>
    </row>
    <row r="31141" spans="1:6" x14ac:dyDescent="0.25">
      <c r="A31141"/>
      <c r="B31141"/>
      <c r="C31141"/>
      <c r="E31141"/>
      <c r="F31141"/>
    </row>
    <row r="31142" spans="1:6" x14ac:dyDescent="0.25">
      <c r="A31142"/>
      <c r="B31142"/>
      <c r="C31142"/>
      <c r="E31142"/>
      <c r="F31142"/>
    </row>
    <row r="31143" spans="1:6" x14ac:dyDescent="0.25">
      <c r="A31143"/>
      <c r="B31143"/>
      <c r="C31143"/>
      <c r="E31143"/>
      <c r="F31143"/>
    </row>
    <row r="31144" spans="1:6" x14ac:dyDescent="0.25">
      <c r="A31144"/>
      <c r="B31144"/>
      <c r="C31144"/>
      <c r="E31144"/>
      <c r="F31144"/>
    </row>
    <row r="31145" spans="1:6" x14ac:dyDescent="0.25">
      <c r="A31145"/>
      <c r="B31145"/>
      <c r="C31145"/>
      <c r="E31145"/>
      <c r="F31145"/>
    </row>
    <row r="31146" spans="1:6" x14ac:dyDescent="0.25">
      <c r="A31146"/>
      <c r="B31146"/>
      <c r="C31146"/>
      <c r="E31146"/>
      <c r="F31146"/>
    </row>
    <row r="31147" spans="1:6" x14ac:dyDescent="0.25">
      <c r="A31147"/>
      <c r="B31147"/>
      <c r="C31147"/>
      <c r="E31147"/>
      <c r="F31147"/>
    </row>
    <row r="31148" spans="1:6" x14ac:dyDescent="0.25">
      <c r="A31148"/>
      <c r="B31148"/>
      <c r="C31148"/>
      <c r="E31148"/>
      <c r="F31148"/>
    </row>
    <row r="31149" spans="1:6" x14ac:dyDescent="0.25">
      <c r="A31149"/>
      <c r="B31149"/>
      <c r="C31149"/>
      <c r="E31149"/>
      <c r="F31149"/>
    </row>
    <row r="31150" spans="1:6" x14ac:dyDescent="0.25">
      <c r="A31150"/>
      <c r="B31150"/>
      <c r="C31150"/>
      <c r="E31150"/>
      <c r="F31150"/>
    </row>
    <row r="31151" spans="1:6" x14ac:dyDescent="0.25">
      <c r="A31151"/>
      <c r="B31151"/>
      <c r="C31151"/>
      <c r="E31151"/>
      <c r="F31151"/>
    </row>
    <row r="31152" spans="1:6" x14ac:dyDescent="0.25">
      <c r="A31152"/>
      <c r="B31152"/>
      <c r="C31152"/>
      <c r="E31152"/>
      <c r="F31152"/>
    </row>
    <row r="31153" spans="1:6" x14ac:dyDescent="0.25">
      <c r="A31153"/>
      <c r="B31153"/>
      <c r="C31153"/>
      <c r="E31153"/>
      <c r="F31153"/>
    </row>
    <row r="31154" spans="1:6" x14ac:dyDescent="0.25">
      <c r="A31154"/>
      <c r="B31154"/>
      <c r="C31154"/>
      <c r="E31154"/>
      <c r="F31154"/>
    </row>
    <row r="31155" spans="1:6" x14ac:dyDescent="0.25">
      <c r="A31155"/>
      <c r="B31155"/>
      <c r="C31155"/>
      <c r="E31155"/>
      <c r="F31155"/>
    </row>
    <row r="31156" spans="1:6" x14ac:dyDescent="0.25">
      <c r="A31156"/>
      <c r="B31156"/>
      <c r="C31156"/>
      <c r="E31156"/>
      <c r="F31156"/>
    </row>
    <row r="31157" spans="1:6" x14ac:dyDescent="0.25">
      <c r="A31157"/>
      <c r="B31157"/>
      <c r="C31157"/>
      <c r="E31157"/>
      <c r="F31157"/>
    </row>
    <row r="31158" spans="1:6" x14ac:dyDescent="0.25">
      <c r="A31158"/>
      <c r="B31158"/>
      <c r="C31158"/>
      <c r="E31158"/>
      <c r="F31158"/>
    </row>
    <row r="31159" spans="1:6" x14ac:dyDescent="0.25">
      <c r="A31159"/>
      <c r="B31159"/>
      <c r="C31159"/>
      <c r="E31159"/>
      <c r="F31159"/>
    </row>
    <row r="31160" spans="1:6" x14ac:dyDescent="0.25">
      <c r="A31160"/>
      <c r="B31160"/>
      <c r="C31160"/>
      <c r="E31160"/>
      <c r="F31160"/>
    </row>
    <row r="31161" spans="1:6" x14ac:dyDescent="0.25">
      <c r="A31161"/>
      <c r="B31161"/>
      <c r="C31161"/>
      <c r="E31161"/>
      <c r="F31161"/>
    </row>
    <row r="31162" spans="1:6" x14ac:dyDescent="0.25">
      <c r="A31162"/>
      <c r="B31162"/>
      <c r="C31162"/>
      <c r="E31162"/>
      <c r="F31162"/>
    </row>
    <row r="31163" spans="1:6" x14ac:dyDescent="0.25">
      <c r="A31163"/>
      <c r="B31163"/>
      <c r="C31163"/>
      <c r="E31163"/>
      <c r="F31163"/>
    </row>
    <row r="31164" spans="1:6" x14ac:dyDescent="0.25">
      <c r="A31164"/>
      <c r="B31164"/>
      <c r="C31164"/>
      <c r="E31164"/>
      <c r="F31164"/>
    </row>
    <row r="31165" spans="1:6" x14ac:dyDescent="0.25">
      <c r="A31165"/>
      <c r="B31165"/>
      <c r="C31165"/>
      <c r="E31165"/>
      <c r="F31165"/>
    </row>
    <row r="31166" spans="1:6" x14ac:dyDescent="0.25">
      <c r="A31166"/>
      <c r="B31166"/>
      <c r="C31166"/>
      <c r="E31166"/>
      <c r="F31166"/>
    </row>
    <row r="31167" spans="1:6" x14ac:dyDescent="0.25">
      <c r="A31167"/>
      <c r="B31167"/>
      <c r="C31167"/>
      <c r="E31167"/>
      <c r="F31167"/>
    </row>
    <row r="31168" spans="1:6" x14ac:dyDescent="0.25">
      <c r="A31168"/>
      <c r="B31168"/>
      <c r="C31168"/>
      <c r="E31168"/>
      <c r="F31168"/>
    </row>
    <row r="31169" spans="1:6" x14ac:dyDescent="0.25">
      <c r="A31169"/>
      <c r="B31169"/>
      <c r="C31169"/>
      <c r="E31169"/>
      <c r="F31169"/>
    </row>
    <row r="31170" spans="1:6" x14ac:dyDescent="0.25">
      <c r="A31170"/>
      <c r="B31170"/>
      <c r="C31170"/>
      <c r="E31170"/>
      <c r="F31170"/>
    </row>
    <row r="31171" spans="1:6" x14ac:dyDescent="0.25">
      <c r="A31171"/>
      <c r="B31171"/>
      <c r="C31171"/>
      <c r="E31171"/>
      <c r="F31171"/>
    </row>
    <row r="31172" spans="1:6" x14ac:dyDescent="0.25">
      <c r="A31172"/>
      <c r="B31172"/>
      <c r="C31172"/>
      <c r="E31172"/>
      <c r="F31172"/>
    </row>
    <row r="31173" spans="1:6" x14ac:dyDescent="0.25">
      <c r="A31173"/>
      <c r="B31173"/>
      <c r="C31173"/>
      <c r="E31173"/>
      <c r="F31173"/>
    </row>
    <row r="31174" spans="1:6" x14ac:dyDescent="0.25">
      <c r="A31174"/>
      <c r="B31174"/>
      <c r="C31174"/>
      <c r="E31174"/>
      <c r="F31174"/>
    </row>
    <row r="31175" spans="1:6" x14ac:dyDescent="0.25">
      <c r="A31175"/>
      <c r="B31175"/>
      <c r="C31175"/>
      <c r="E31175"/>
      <c r="F31175"/>
    </row>
    <row r="31176" spans="1:6" x14ac:dyDescent="0.25">
      <c r="A31176"/>
      <c r="B31176"/>
      <c r="C31176"/>
      <c r="E31176"/>
      <c r="F31176"/>
    </row>
    <row r="31177" spans="1:6" x14ac:dyDescent="0.25">
      <c r="A31177"/>
      <c r="B31177"/>
      <c r="C31177"/>
      <c r="E31177"/>
      <c r="F31177"/>
    </row>
    <row r="31178" spans="1:6" x14ac:dyDescent="0.25">
      <c r="A31178"/>
      <c r="B31178"/>
      <c r="C31178"/>
      <c r="E31178"/>
      <c r="F31178"/>
    </row>
    <row r="31179" spans="1:6" x14ac:dyDescent="0.25">
      <c r="A31179"/>
      <c r="B31179"/>
      <c r="C31179"/>
      <c r="E31179"/>
      <c r="F31179"/>
    </row>
    <row r="31180" spans="1:6" x14ac:dyDescent="0.25">
      <c r="A31180"/>
      <c r="B31180"/>
      <c r="C31180"/>
      <c r="E31180"/>
      <c r="F31180"/>
    </row>
    <row r="31181" spans="1:6" x14ac:dyDescent="0.25">
      <c r="A31181"/>
      <c r="B31181"/>
      <c r="C31181"/>
      <c r="E31181"/>
      <c r="F31181"/>
    </row>
    <row r="31182" spans="1:6" x14ac:dyDescent="0.25">
      <c r="A31182"/>
      <c r="B31182"/>
      <c r="C31182"/>
      <c r="E31182"/>
      <c r="F31182"/>
    </row>
    <row r="31183" spans="1:6" x14ac:dyDescent="0.25">
      <c r="A31183"/>
      <c r="B31183"/>
      <c r="C31183"/>
      <c r="E31183"/>
      <c r="F31183"/>
    </row>
    <row r="31184" spans="1:6" x14ac:dyDescent="0.25">
      <c r="A31184"/>
      <c r="B31184"/>
      <c r="C31184"/>
      <c r="E31184"/>
      <c r="F31184"/>
    </row>
    <row r="31185" spans="1:6" x14ac:dyDescent="0.25">
      <c r="A31185"/>
      <c r="B31185"/>
      <c r="C31185"/>
      <c r="E31185"/>
      <c r="F31185"/>
    </row>
    <row r="31186" spans="1:6" x14ac:dyDescent="0.25">
      <c r="A31186"/>
      <c r="B31186"/>
      <c r="C31186"/>
      <c r="E31186"/>
      <c r="F31186"/>
    </row>
    <row r="31187" spans="1:6" x14ac:dyDescent="0.25">
      <c r="A31187"/>
      <c r="B31187"/>
      <c r="C31187"/>
      <c r="E31187"/>
      <c r="F31187"/>
    </row>
    <row r="31188" spans="1:6" x14ac:dyDescent="0.25">
      <c r="A31188"/>
      <c r="B31188"/>
      <c r="C31188"/>
      <c r="E31188"/>
      <c r="F31188"/>
    </row>
    <row r="31189" spans="1:6" x14ac:dyDescent="0.25">
      <c r="A31189"/>
      <c r="B31189"/>
      <c r="C31189"/>
      <c r="E31189"/>
      <c r="F31189"/>
    </row>
    <row r="31190" spans="1:6" x14ac:dyDescent="0.25">
      <c r="A31190"/>
      <c r="B31190"/>
      <c r="C31190"/>
      <c r="E31190"/>
      <c r="F31190"/>
    </row>
    <row r="31191" spans="1:6" x14ac:dyDescent="0.25">
      <c r="A31191"/>
      <c r="B31191"/>
      <c r="C31191"/>
      <c r="E31191"/>
      <c r="F31191"/>
    </row>
    <row r="31192" spans="1:6" x14ac:dyDescent="0.25">
      <c r="A31192"/>
      <c r="B31192"/>
      <c r="C31192"/>
      <c r="E31192"/>
      <c r="F31192"/>
    </row>
    <row r="31193" spans="1:6" x14ac:dyDescent="0.25">
      <c r="A31193"/>
      <c r="B31193"/>
      <c r="C31193"/>
      <c r="E31193"/>
      <c r="F31193"/>
    </row>
    <row r="31194" spans="1:6" x14ac:dyDescent="0.25">
      <c r="A31194"/>
      <c r="B31194"/>
      <c r="C31194"/>
      <c r="E31194"/>
      <c r="F31194"/>
    </row>
    <row r="31195" spans="1:6" x14ac:dyDescent="0.25">
      <c r="A31195"/>
      <c r="B31195"/>
      <c r="C31195"/>
      <c r="E31195"/>
      <c r="F31195"/>
    </row>
    <row r="31196" spans="1:6" x14ac:dyDescent="0.25">
      <c r="A31196"/>
      <c r="B31196"/>
      <c r="C31196"/>
      <c r="E31196"/>
      <c r="F31196"/>
    </row>
    <row r="31197" spans="1:6" x14ac:dyDescent="0.25">
      <c r="A31197"/>
      <c r="B31197"/>
      <c r="C31197"/>
      <c r="E31197"/>
      <c r="F31197"/>
    </row>
    <row r="31198" spans="1:6" x14ac:dyDescent="0.25">
      <c r="A31198"/>
      <c r="B31198"/>
      <c r="C31198"/>
      <c r="E31198"/>
      <c r="F31198"/>
    </row>
    <row r="31199" spans="1:6" x14ac:dyDescent="0.25">
      <c r="A31199"/>
      <c r="B31199"/>
      <c r="C31199"/>
      <c r="E31199"/>
      <c r="F31199"/>
    </row>
    <row r="31200" spans="1:6" x14ac:dyDescent="0.25">
      <c r="A31200"/>
      <c r="B31200"/>
      <c r="C31200"/>
      <c r="E31200"/>
      <c r="F31200"/>
    </row>
    <row r="31201" spans="1:6" x14ac:dyDescent="0.25">
      <c r="A31201"/>
      <c r="B31201"/>
      <c r="C31201"/>
      <c r="E31201"/>
      <c r="F31201"/>
    </row>
    <row r="31202" spans="1:6" x14ac:dyDescent="0.25">
      <c r="A31202"/>
      <c r="B31202"/>
      <c r="C31202"/>
      <c r="E31202"/>
      <c r="F31202"/>
    </row>
    <row r="31203" spans="1:6" x14ac:dyDescent="0.25">
      <c r="A31203"/>
      <c r="B31203"/>
      <c r="C31203"/>
      <c r="E31203"/>
      <c r="F31203"/>
    </row>
    <row r="31204" spans="1:6" x14ac:dyDescent="0.25">
      <c r="A31204"/>
      <c r="B31204"/>
      <c r="C31204"/>
      <c r="E31204"/>
      <c r="F31204"/>
    </row>
    <row r="31205" spans="1:6" x14ac:dyDescent="0.25">
      <c r="A31205"/>
      <c r="B31205"/>
      <c r="C31205"/>
      <c r="E31205"/>
      <c r="F31205"/>
    </row>
    <row r="31206" spans="1:6" x14ac:dyDescent="0.25">
      <c r="A31206"/>
      <c r="B31206"/>
      <c r="C31206"/>
      <c r="E31206"/>
      <c r="F31206"/>
    </row>
    <row r="31207" spans="1:6" x14ac:dyDescent="0.25">
      <c r="A31207"/>
      <c r="B31207"/>
      <c r="C31207"/>
      <c r="E31207"/>
      <c r="F31207"/>
    </row>
    <row r="31208" spans="1:6" x14ac:dyDescent="0.25">
      <c r="A31208"/>
      <c r="B31208"/>
      <c r="C31208"/>
      <c r="E31208"/>
      <c r="F31208"/>
    </row>
    <row r="31209" spans="1:6" x14ac:dyDescent="0.25">
      <c r="A31209"/>
      <c r="B31209"/>
      <c r="C31209"/>
      <c r="E31209"/>
      <c r="F31209"/>
    </row>
    <row r="31210" spans="1:6" x14ac:dyDescent="0.25">
      <c r="A31210"/>
      <c r="B31210"/>
      <c r="C31210"/>
      <c r="E31210"/>
      <c r="F31210"/>
    </row>
    <row r="31211" spans="1:6" x14ac:dyDescent="0.25">
      <c r="A31211"/>
      <c r="B31211"/>
      <c r="C31211"/>
      <c r="E31211"/>
      <c r="F31211"/>
    </row>
    <row r="31212" spans="1:6" x14ac:dyDescent="0.25">
      <c r="A31212"/>
      <c r="B31212"/>
      <c r="C31212"/>
      <c r="E31212"/>
      <c r="F31212"/>
    </row>
    <row r="31213" spans="1:6" x14ac:dyDescent="0.25">
      <c r="A31213"/>
      <c r="B31213"/>
      <c r="C31213"/>
      <c r="E31213"/>
      <c r="F31213"/>
    </row>
    <row r="31214" spans="1:6" x14ac:dyDescent="0.25">
      <c r="A31214"/>
      <c r="B31214"/>
      <c r="C31214"/>
      <c r="E31214"/>
      <c r="F31214"/>
    </row>
    <row r="31215" spans="1:6" x14ac:dyDescent="0.25">
      <c r="A31215"/>
      <c r="B31215"/>
      <c r="C31215"/>
      <c r="E31215"/>
      <c r="F31215"/>
    </row>
    <row r="31216" spans="1:6" x14ac:dyDescent="0.25">
      <c r="A31216"/>
      <c r="B31216"/>
      <c r="C31216"/>
      <c r="E31216"/>
      <c r="F31216"/>
    </row>
    <row r="31217" spans="1:6" x14ac:dyDescent="0.25">
      <c r="A31217"/>
      <c r="B31217"/>
      <c r="C31217"/>
      <c r="E31217"/>
      <c r="F31217"/>
    </row>
    <row r="31218" spans="1:6" x14ac:dyDescent="0.25">
      <c r="A31218"/>
      <c r="B31218"/>
      <c r="C31218"/>
      <c r="E31218"/>
      <c r="F31218"/>
    </row>
    <row r="31219" spans="1:6" x14ac:dyDescent="0.25">
      <c r="A31219"/>
      <c r="B31219"/>
      <c r="C31219"/>
      <c r="E31219"/>
      <c r="F31219"/>
    </row>
    <row r="31220" spans="1:6" x14ac:dyDescent="0.25">
      <c r="A31220"/>
      <c r="B31220"/>
      <c r="C31220"/>
      <c r="E31220"/>
      <c r="F31220"/>
    </row>
    <row r="31221" spans="1:6" x14ac:dyDescent="0.25">
      <c r="A31221"/>
      <c r="B31221"/>
      <c r="C31221"/>
      <c r="E31221"/>
      <c r="F31221"/>
    </row>
    <row r="31222" spans="1:6" x14ac:dyDescent="0.25">
      <c r="A31222"/>
      <c r="B31222"/>
      <c r="C31222"/>
      <c r="E31222"/>
      <c r="F31222"/>
    </row>
    <row r="31223" spans="1:6" x14ac:dyDescent="0.25">
      <c r="A31223"/>
      <c r="B31223"/>
      <c r="C31223"/>
      <c r="E31223"/>
      <c r="F31223"/>
    </row>
    <row r="31224" spans="1:6" x14ac:dyDescent="0.25">
      <c r="A31224"/>
      <c r="B31224"/>
      <c r="C31224"/>
      <c r="E31224"/>
      <c r="F31224"/>
    </row>
    <row r="31225" spans="1:6" x14ac:dyDescent="0.25">
      <c r="A31225"/>
      <c r="B31225"/>
      <c r="C31225"/>
      <c r="E31225"/>
      <c r="F31225"/>
    </row>
    <row r="31226" spans="1:6" x14ac:dyDescent="0.25">
      <c r="A31226"/>
      <c r="B31226"/>
      <c r="C31226"/>
      <c r="E31226"/>
      <c r="F31226"/>
    </row>
    <row r="31227" spans="1:6" x14ac:dyDescent="0.25">
      <c r="A31227"/>
      <c r="B31227"/>
      <c r="C31227"/>
      <c r="E31227"/>
      <c r="F31227"/>
    </row>
    <row r="31228" spans="1:6" x14ac:dyDescent="0.25">
      <c r="A31228"/>
      <c r="B31228"/>
      <c r="C31228"/>
      <c r="E31228"/>
      <c r="F31228"/>
    </row>
    <row r="31229" spans="1:6" x14ac:dyDescent="0.25">
      <c r="A31229"/>
      <c r="B31229"/>
      <c r="C31229"/>
      <c r="E31229"/>
      <c r="F31229"/>
    </row>
    <row r="31230" spans="1:6" x14ac:dyDescent="0.25">
      <c r="A31230"/>
      <c r="B31230"/>
      <c r="C31230"/>
      <c r="E31230"/>
      <c r="F31230"/>
    </row>
    <row r="31231" spans="1:6" x14ac:dyDescent="0.25">
      <c r="A31231"/>
      <c r="B31231"/>
      <c r="C31231"/>
      <c r="E31231"/>
      <c r="F31231"/>
    </row>
    <row r="31232" spans="1:6" x14ac:dyDescent="0.25">
      <c r="A31232"/>
      <c r="B31232"/>
      <c r="C31232"/>
      <c r="E31232"/>
      <c r="F31232"/>
    </row>
    <row r="31233" spans="1:6" x14ac:dyDescent="0.25">
      <c r="A31233"/>
      <c r="B31233"/>
      <c r="C31233"/>
      <c r="E31233"/>
      <c r="F31233"/>
    </row>
    <row r="31234" spans="1:6" x14ac:dyDescent="0.25">
      <c r="A31234"/>
      <c r="B31234"/>
      <c r="C31234"/>
      <c r="E31234"/>
      <c r="F31234"/>
    </row>
    <row r="31235" spans="1:6" x14ac:dyDescent="0.25">
      <c r="A31235"/>
      <c r="B31235"/>
      <c r="C31235"/>
      <c r="E31235"/>
      <c r="F31235"/>
    </row>
    <row r="31236" spans="1:6" x14ac:dyDescent="0.25">
      <c r="A31236"/>
      <c r="B31236"/>
      <c r="C31236"/>
      <c r="E31236"/>
      <c r="F31236"/>
    </row>
    <row r="31237" spans="1:6" x14ac:dyDescent="0.25">
      <c r="A31237"/>
      <c r="B31237"/>
      <c r="C31237"/>
      <c r="E31237"/>
      <c r="F31237"/>
    </row>
    <row r="31238" spans="1:6" x14ac:dyDescent="0.25">
      <c r="A31238"/>
      <c r="B31238"/>
      <c r="C31238"/>
      <c r="E31238"/>
      <c r="F31238"/>
    </row>
    <row r="31239" spans="1:6" x14ac:dyDescent="0.25">
      <c r="A31239"/>
      <c r="B31239"/>
      <c r="C31239"/>
      <c r="E31239"/>
      <c r="F31239"/>
    </row>
    <row r="31240" spans="1:6" x14ac:dyDescent="0.25">
      <c r="A31240"/>
      <c r="B31240"/>
      <c r="C31240"/>
      <c r="E31240"/>
      <c r="F31240"/>
    </row>
    <row r="31241" spans="1:6" x14ac:dyDescent="0.25">
      <c r="A31241"/>
      <c r="B31241"/>
      <c r="C31241"/>
      <c r="E31241"/>
      <c r="F31241"/>
    </row>
    <row r="31242" spans="1:6" x14ac:dyDescent="0.25">
      <c r="A31242"/>
      <c r="B31242"/>
      <c r="C31242"/>
      <c r="E31242"/>
      <c r="F31242"/>
    </row>
    <row r="31243" spans="1:6" x14ac:dyDescent="0.25">
      <c r="A31243"/>
      <c r="B31243"/>
      <c r="C31243"/>
      <c r="E31243"/>
      <c r="F31243"/>
    </row>
    <row r="31244" spans="1:6" x14ac:dyDescent="0.25">
      <c r="A31244"/>
      <c r="B31244"/>
      <c r="C31244"/>
      <c r="E31244"/>
      <c r="F31244"/>
    </row>
    <row r="31245" spans="1:6" x14ac:dyDescent="0.25">
      <c r="A31245"/>
      <c r="B31245"/>
      <c r="C31245"/>
      <c r="E31245"/>
      <c r="F31245"/>
    </row>
    <row r="31246" spans="1:6" x14ac:dyDescent="0.25">
      <c r="A31246"/>
      <c r="B31246"/>
      <c r="C31246"/>
      <c r="E31246"/>
      <c r="F31246"/>
    </row>
    <row r="31247" spans="1:6" x14ac:dyDescent="0.25">
      <c r="A31247"/>
      <c r="B31247"/>
      <c r="C31247"/>
      <c r="E31247"/>
      <c r="F31247"/>
    </row>
    <row r="31248" spans="1:6" x14ac:dyDescent="0.25">
      <c r="A31248"/>
      <c r="B31248"/>
      <c r="C31248"/>
      <c r="E31248"/>
      <c r="F31248"/>
    </row>
    <row r="31249" spans="1:6" x14ac:dyDescent="0.25">
      <c r="A31249"/>
      <c r="B31249"/>
      <c r="C31249"/>
      <c r="E31249"/>
      <c r="F31249"/>
    </row>
    <row r="31250" spans="1:6" x14ac:dyDescent="0.25">
      <c r="A31250"/>
      <c r="B31250"/>
      <c r="C31250"/>
      <c r="E31250"/>
      <c r="F31250"/>
    </row>
    <row r="31251" spans="1:6" x14ac:dyDescent="0.25">
      <c r="A31251"/>
      <c r="B31251"/>
      <c r="C31251"/>
      <c r="E31251"/>
      <c r="F31251"/>
    </row>
    <row r="31252" spans="1:6" x14ac:dyDescent="0.25">
      <c r="A31252"/>
      <c r="B31252"/>
      <c r="C31252"/>
      <c r="E31252"/>
      <c r="F31252"/>
    </row>
    <row r="31253" spans="1:6" x14ac:dyDescent="0.25">
      <c r="A31253"/>
      <c r="B31253"/>
      <c r="C31253"/>
      <c r="E31253"/>
      <c r="F31253"/>
    </row>
    <row r="31254" spans="1:6" x14ac:dyDescent="0.25">
      <c r="A31254"/>
      <c r="B31254"/>
      <c r="C31254"/>
      <c r="E31254"/>
      <c r="F31254"/>
    </row>
    <row r="31255" spans="1:6" x14ac:dyDescent="0.25">
      <c r="A31255"/>
      <c r="B31255"/>
      <c r="C31255"/>
      <c r="E31255"/>
      <c r="F31255"/>
    </row>
    <row r="31256" spans="1:6" x14ac:dyDescent="0.25">
      <c r="A31256"/>
      <c r="B31256"/>
      <c r="C31256"/>
      <c r="E31256"/>
      <c r="F31256"/>
    </row>
    <row r="31257" spans="1:6" x14ac:dyDescent="0.25">
      <c r="A31257"/>
      <c r="B31257"/>
      <c r="C31257"/>
      <c r="E31257"/>
      <c r="F31257"/>
    </row>
    <row r="31258" spans="1:6" x14ac:dyDescent="0.25">
      <c r="A31258"/>
      <c r="B31258"/>
      <c r="C31258"/>
      <c r="E31258"/>
      <c r="F31258"/>
    </row>
    <row r="31259" spans="1:6" x14ac:dyDescent="0.25">
      <c r="A31259"/>
      <c r="B31259"/>
      <c r="C31259"/>
      <c r="E31259"/>
      <c r="F31259"/>
    </row>
    <row r="31260" spans="1:6" x14ac:dyDescent="0.25">
      <c r="A31260"/>
      <c r="B31260"/>
      <c r="C31260"/>
      <c r="E31260"/>
      <c r="F31260"/>
    </row>
    <row r="31261" spans="1:6" x14ac:dyDescent="0.25">
      <c r="A31261"/>
      <c r="B31261"/>
      <c r="C31261"/>
      <c r="E31261"/>
      <c r="F31261"/>
    </row>
    <row r="31262" spans="1:6" x14ac:dyDescent="0.25">
      <c r="A31262"/>
      <c r="B31262"/>
      <c r="C31262"/>
      <c r="E31262"/>
      <c r="F31262"/>
    </row>
    <row r="31263" spans="1:6" x14ac:dyDescent="0.25">
      <c r="A31263"/>
      <c r="B31263"/>
      <c r="C31263"/>
      <c r="E31263"/>
      <c r="F31263"/>
    </row>
    <row r="31264" spans="1:6" x14ac:dyDescent="0.25">
      <c r="A31264"/>
      <c r="B31264"/>
      <c r="C31264"/>
      <c r="E31264"/>
      <c r="F31264"/>
    </row>
    <row r="31265" spans="1:6" x14ac:dyDescent="0.25">
      <c r="A31265"/>
      <c r="B31265"/>
      <c r="C31265"/>
      <c r="E31265"/>
      <c r="F31265"/>
    </row>
    <row r="31266" spans="1:6" x14ac:dyDescent="0.25">
      <c r="A31266"/>
      <c r="B31266"/>
      <c r="C31266"/>
      <c r="E31266"/>
      <c r="F31266"/>
    </row>
    <row r="31267" spans="1:6" x14ac:dyDescent="0.25">
      <c r="A31267"/>
      <c r="B31267"/>
      <c r="C31267"/>
      <c r="E31267"/>
      <c r="F31267"/>
    </row>
    <row r="31268" spans="1:6" x14ac:dyDescent="0.25">
      <c r="A31268"/>
      <c r="B31268"/>
      <c r="C31268"/>
      <c r="E31268"/>
      <c r="F31268"/>
    </row>
    <row r="31269" spans="1:6" x14ac:dyDescent="0.25">
      <c r="A31269"/>
      <c r="B31269"/>
      <c r="C31269"/>
      <c r="E31269"/>
      <c r="F31269"/>
    </row>
    <row r="31270" spans="1:6" x14ac:dyDescent="0.25">
      <c r="A31270"/>
      <c r="B31270"/>
      <c r="C31270"/>
      <c r="E31270"/>
      <c r="F31270"/>
    </row>
    <row r="31271" spans="1:6" x14ac:dyDescent="0.25">
      <c r="A31271"/>
      <c r="B31271"/>
      <c r="C31271"/>
      <c r="E31271"/>
      <c r="F31271"/>
    </row>
    <row r="31272" spans="1:6" x14ac:dyDescent="0.25">
      <c r="A31272"/>
      <c r="B31272"/>
      <c r="C31272"/>
      <c r="E31272"/>
      <c r="F31272"/>
    </row>
    <row r="31273" spans="1:6" x14ac:dyDescent="0.25">
      <c r="A31273"/>
      <c r="B31273"/>
      <c r="C31273"/>
      <c r="E31273"/>
      <c r="F31273"/>
    </row>
    <row r="31274" spans="1:6" x14ac:dyDescent="0.25">
      <c r="A31274"/>
      <c r="B31274"/>
      <c r="C31274"/>
      <c r="E31274"/>
      <c r="F31274"/>
    </row>
    <row r="31275" spans="1:6" x14ac:dyDescent="0.25">
      <c r="A31275"/>
      <c r="B31275"/>
      <c r="C31275"/>
      <c r="E31275"/>
      <c r="F31275"/>
    </row>
    <row r="31276" spans="1:6" x14ac:dyDescent="0.25">
      <c r="A31276"/>
      <c r="B31276"/>
      <c r="C31276"/>
      <c r="E31276"/>
      <c r="F31276"/>
    </row>
    <row r="31277" spans="1:6" x14ac:dyDescent="0.25">
      <c r="A31277"/>
      <c r="B31277"/>
      <c r="C31277"/>
      <c r="E31277"/>
      <c r="F31277"/>
    </row>
    <row r="31278" spans="1:6" x14ac:dyDescent="0.25">
      <c r="A31278"/>
      <c r="B31278"/>
      <c r="C31278"/>
      <c r="E31278"/>
      <c r="F31278"/>
    </row>
    <row r="31279" spans="1:6" x14ac:dyDescent="0.25">
      <c r="A31279"/>
      <c r="B31279"/>
      <c r="C31279"/>
      <c r="E31279"/>
      <c r="F31279"/>
    </row>
    <row r="31280" spans="1:6" x14ac:dyDescent="0.25">
      <c r="A31280"/>
      <c r="B31280"/>
      <c r="C31280"/>
      <c r="E31280"/>
      <c r="F31280"/>
    </row>
    <row r="31281" spans="1:6" x14ac:dyDescent="0.25">
      <c r="A31281"/>
      <c r="B31281"/>
      <c r="C31281"/>
      <c r="E31281"/>
      <c r="F31281"/>
    </row>
    <row r="31282" spans="1:6" x14ac:dyDescent="0.25">
      <c r="A31282"/>
      <c r="B31282"/>
      <c r="C31282"/>
      <c r="E31282"/>
      <c r="F31282"/>
    </row>
    <row r="31283" spans="1:6" x14ac:dyDescent="0.25">
      <c r="A31283"/>
      <c r="B31283"/>
      <c r="C31283"/>
      <c r="E31283"/>
      <c r="F31283"/>
    </row>
    <row r="31284" spans="1:6" x14ac:dyDescent="0.25">
      <c r="A31284"/>
      <c r="B31284"/>
      <c r="C31284"/>
      <c r="E31284"/>
      <c r="F31284"/>
    </row>
    <row r="31285" spans="1:6" x14ac:dyDescent="0.25">
      <c r="A31285"/>
      <c r="B31285"/>
      <c r="C31285"/>
      <c r="E31285"/>
      <c r="F31285"/>
    </row>
    <row r="31286" spans="1:6" x14ac:dyDescent="0.25">
      <c r="A31286"/>
      <c r="B31286"/>
      <c r="C31286"/>
      <c r="E31286"/>
      <c r="F31286"/>
    </row>
    <row r="31287" spans="1:6" x14ac:dyDescent="0.25">
      <c r="A31287"/>
      <c r="B31287"/>
      <c r="C31287"/>
      <c r="E31287"/>
      <c r="F31287"/>
    </row>
    <row r="31288" spans="1:6" x14ac:dyDescent="0.25">
      <c r="A31288"/>
      <c r="B31288"/>
      <c r="C31288"/>
      <c r="E31288"/>
      <c r="F31288"/>
    </row>
    <row r="31289" spans="1:6" x14ac:dyDescent="0.25">
      <c r="A31289"/>
      <c r="B31289"/>
      <c r="C31289"/>
      <c r="E31289"/>
      <c r="F31289"/>
    </row>
    <row r="31290" spans="1:6" x14ac:dyDescent="0.25">
      <c r="A31290"/>
      <c r="B31290"/>
      <c r="C31290"/>
      <c r="E31290"/>
      <c r="F31290"/>
    </row>
    <row r="31291" spans="1:6" x14ac:dyDescent="0.25">
      <c r="A31291"/>
      <c r="B31291"/>
      <c r="C31291"/>
      <c r="E31291"/>
      <c r="F31291"/>
    </row>
    <row r="31292" spans="1:6" x14ac:dyDescent="0.25">
      <c r="A31292"/>
      <c r="B31292"/>
      <c r="C31292"/>
      <c r="E31292"/>
      <c r="F31292"/>
    </row>
    <row r="31293" spans="1:6" x14ac:dyDescent="0.25">
      <c r="A31293"/>
      <c r="B31293"/>
      <c r="C31293"/>
      <c r="E31293"/>
      <c r="F31293"/>
    </row>
    <row r="31294" spans="1:6" x14ac:dyDescent="0.25">
      <c r="A31294"/>
      <c r="B31294"/>
      <c r="C31294"/>
      <c r="E31294"/>
      <c r="F31294"/>
    </row>
    <row r="31295" spans="1:6" x14ac:dyDescent="0.25">
      <c r="A31295"/>
      <c r="B31295"/>
      <c r="C31295"/>
      <c r="E31295"/>
      <c r="F31295"/>
    </row>
    <row r="31296" spans="1:6" x14ac:dyDescent="0.25">
      <c r="A31296"/>
      <c r="B31296"/>
      <c r="C31296"/>
      <c r="E31296"/>
      <c r="F31296"/>
    </row>
    <row r="31297" spans="1:6" x14ac:dyDescent="0.25">
      <c r="A31297"/>
      <c r="B31297"/>
      <c r="C31297"/>
      <c r="E31297"/>
      <c r="F31297"/>
    </row>
    <row r="31298" spans="1:6" x14ac:dyDescent="0.25">
      <c r="A31298"/>
      <c r="B31298"/>
      <c r="C31298"/>
      <c r="E31298"/>
      <c r="F31298"/>
    </row>
    <row r="31299" spans="1:6" x14ac:dyDescent="0.25">
      <c r="A31299"/>
      <c r="B31299"/>
      <c r="C31299"/>
      <c r="E31299"/>
      <c r="F31299"/>
    </row>
    <row r="31300" spans="1:6" x14ac:dyDescent="0.25">
      <c r="A31300"/>
      <c r="B31300"/>
      <c r="C31300"/>
      <c r="E31300"/>
      <c r="F31300"/>
    </row>
    <row r="31301" spans="1:6" x14ac:dyDescent="0.25">
      <c r="A31301"/>
      <c r="B31301"/>
      <c r="C31301"/>
      <c r="E31301"/>
      <c r="F31301"/>
    </row>
    <row r="31302" spans="1:6" x14ac:dyDescent="0.25">
      <c r="A31302"/>
      <c r="B31302"/>
      <c r="C31302"/>
      <c r="E31302"/>
      <c r="F31302"/>
    </row>
    <row r="31303" spans="1:6" x14ac:dyDescent="0.25">
      <c r="A31303"/>
      <c r="B31303"/>
      <c r="C31303"/>
      <c r="E31303"/>
      <c r="F31303"/>
    </row>
    <row r="31304" spans="1:6" x14ac:dyDescent="0.25">
      <c r="A31304"/>
      <c r="B31304"/>
      <c r="C31304"/>
      <c r="E31304"/>
      <c r="F31304"/>
    </row>
    <row r="31305" spans="1:6" x14ac:dyDescent="0.25">
      <c r="A31305"/>
      <c r="B31305"/>
      <c r="C31305"/>
      <c r="E31305"/>
      <c r="F31305"/>
    </row>
    <row r="31306" spans="1:6" x14ac:dyDescent="0.25">
      <c r="A31306"/>
      <c r="B31306"/>
      <c r="C31306"/>
      <c r="E31306"/>
      <c r="F31306"/>
    </row>
    <row r="31307" spans="1:6" x14ac:dyDescent="0.25">
      <c r="A31307"/>
      <c r="B31307"/>
      <c r="C31307"/>
      <c r="E31307"/>
      <c r="F31307"/>
    </row>
    <row r="31308" spans="1:6" x14ac:dyDescent="0.25">
      <c r="A31308"/>
      <c r="B31308"/>
      <c r="C31308"/>
      <c r="E31308"/>
      <c r="F31308"/>
    </row>
    <row r="31309" spans="1:6" x14ac:dyDescent="0.25">
      <c r="A31309"/>
      <c r="B31309"/>
      <c r="C31309"/>
      <c r="E31309"/>
      <c r="F31309"/>
    </row>
    <row r="31310" spans="1:6" x14ac:dyDescent="0.25">
      <c r="A31310"/>
      <c r="B31310"/>
      <c r="C31310"/>
      <c r="E31310"/>
      <c r="F31310"/>
    </row>
    <row r="31311" spans="1:6" x14ac:dyDescent="0.25">
      <c r="A31311"/>
      <c r="B31311"/>
      <c r="C31311"/>
      <c r="E31311"/>
      <c r="F31311"/>
    </row>
    <row r="31312" spans="1:6" x14ac:dyDescent="0.25">
      <c r="A31312"/>
      <c r="B31312"/>
      <c r="C31312"/>
      <c r="E31312"/>
      <c r="F31312"/>
    </row>
    <row r="31313" spans="1:6" x14ac:dyDescent="0.25">
      <c r="A31313"/>
      <c r="B31313"/>
      <c r="C31313"/>
      <c r="E31313"/>
      <c r="F31313"/>
    </row>
    <row r="31314" spans="1:6" x14ac:dyDescent="0.25">
      <c r="A31314"/>
      <c r="B31314"/>
      <c r="C31314"/>
      <c r="E31314"/>
      <c r="F31314"/>
    </row>
    <row r="31315" spans="1:6" x14ac:dyDescent="0.25">
      <c r="A31315"/>
      <c r="B31315"/>
      <c r="C31315"/>
      <c r="E31315"/>
      <c r="F31315"/>
    </row>
    <row r="31316" spans="1:6" x14ac:dyDescent="0.25">
      <c r="A31316"/>
      <c r="B31316"/>
      <c r="C31316"/>
      <c r="E31316"/>
      <c r="F31316"/>
    </row>
    <row r="31317" spans="1:6" x14ac:dyDescent="0.25">
      <c r="A31317"/>
      <c r="B31317"/>
      <c r="C31317"/>
      <c r="E31317"/>
      <c r="F31317"/>
    </row>
    <row r="31318" spans="1:6" x14ac:dyDescent="0.25">
      <c r="A31318"/>
      <c r="B31318"/>
      <c r="C31318"/>
      <c r="E31318"/>
      <c r="F31318"/>
    </row>
    <row r="31319" spans="1:6" x14ac:dyDescent="0.25">
      <c r="A31319"/>
      <c r="B31319"/>
      <c r="C31319"/>
      <c r="E31319"/>
      <c r="F31319"/>
    </row>
    <row r="31320" spans="1:6" x14ac:dyDescent="0.25">
      <c r="A31320"/>
      <c r="B31320"/>
      <c r="C31320"/>
      <c r="E31320"/>
      <c r="F31320"/>
    </row>
    <row r="31321" spans="1:6" x14ac:dyDescent="0.25">
      <c r="A31321"/>
      <c r="B31321"/>
      <c r="C31321"/>
      <c r="E31321"/>
      <c r="F31321"/>
    </row>
    <row r="31322" spans="1:6" x14ac:dyDescent="0.25">
      <c r="A31322"/>
      <c r="B31322"/>
      <c r="C31322"/>
      <c r="E31322"/>
      <c r="F31322"/>
    </row>
    <row r="31323" spans="1:6" x14ac:dyDescent="0.25">
      <c r="A31323"/>
      <c r="B31323"/>
      <c r="C31323"/>
      <c r="E31323"/>
      <c r="F31323"/>
    </row>
    <row r="31324" spans="1:6" x14ac:dyDescent="0.25">
      <c r="A31324"/>
      <c r="B31324"/>
      <c r="C31324"/>
      <c r="E31324"/>
      <c r="F31324"/>
    </row>
    <row r="31325" spans="1:6" x14ac:dyDescent="0.25">
      <c r="A31325"/>
      <c r="B31325"/>
      <c r="C31325"/>
      <c r="E31325"/>
      <c r="F31325"/>
    </row>
    <row r="31326" spans="1:6" x14ac:dyDescent="0.25">
      <c r="A31326"/>
      <c r="B31326"/>
      <c r="C31326"/>
      <c r="E31326"/>
      <c r="F31326"/>
    </row>
    <row r="31327" spans="1:6" x14ac:dyDescent="0.25">
      <c r="A31327"/>
      <c r="B31327"/>
      <c r="C31327"/>
      <c r="E31327"/>
      <c r="F31327"/>
    </row>
    <row r="31328" spans="1:6" x14ac:dyDescent="0.25">
      <c r="A31328"/>
      <c r="B31328"/>
      <c r="C31328"/>
      <c r="E31328"/>
      <c r="F31328"/>
    </row>
    <row r="31329" spans="1:6" x14ac:dyDescent="0.25">
      <c r="A31329"/>
      <c r="B31329"/>
      <c r="C31329"/>
      <c r="E31329"/>
      <c r="F31329"/>
    </row>
    <row r="31330" spans="1:6" x14ac:dyDescent="0.25">
      <c r="A31330"/>
      <c r="B31330"/>
      <c r="C31330"/>
      <c r="E31330"/>
      <c r="F31330"/>
    </row>
    <row r="31331" spans="1:6" x14ac:dyDescent="0.25">
      <c r="A31331"/>
      <c r="B31331"/>
      <c r="C31331"/>
      <c r="E31331"/>
      <c r="F31331"/>
    </row>
    <row r="31332" spans="1:6" x14ac:dyDescent="0.25">
      <c r="A31332"/>
      <c r="B31332"/>
      <c r="C31332"/>
      <c r="E31332"/>
      <c r="F31332"/>
    </row>
    <row r="31333" spans="1:6" x14ac:dyDescent="0.25">
      <c r="A31333"/>
      <c r="B31333"/>
      <c r="C31333"/>
      <c r="E31333"/>
      <c r="F31333"/>
    </row>
    <row r="31334" spans="1:6" x14ac:dyDescent="0.25">
      <c r="A31334"/>
      <c r="B31334"/>
      <c r="C31334"/>
      <c r="E31334"/>
      <c r="F31334"/>
    </row>
    <row r="31335" spans="1:6" x14ac:dyDescent="0.25">
      <c r="A31335"/>
      <c r="B31335"/>
      <c r="C31335"/>
      <c r="E31335"/>
      <c r="F31335"/>
    </row>
    <row r="31336" spans="1:6" x14ac:dyDescent="0.25">
      <c r="A31336"/>
      <c r="B31336"/>
      <c r="C31336"/>
      <c r="E31336"/>
      <c r="F31336"/>
    </row>
    <row r="31337" spans="1:6" x14ac:dyDescent="0.25">
      <c r="A31337"/>
      <c r="B31337"/>
      <c r="C31337"/>
      <c r="E31337"/>
      <c r="F31337"/>
    </row>
    <row r="31338" spans="1:6" x14ac:dyDescent="0.25">
      <c r="A31338"/>
      <c r="B31338"/>
      <c r="C31338"/>
      <c r="E31338"/>
      <c r="F31338"/>
    </row>
    <row r="31339" spans="1:6" x14ac:dyDescent="0.25">
      <c r="A31339"/>
      <c r="B31339"/>
      <c r="C31339"/>
      <c r="E31339"/>
      <c r="F31339"/>
    </row>
    <row r="31340" spans="1:6" x14ac:dyDescent="0.25">
      <c r="A31340"/>
      <c r="B31340"/>
      <c r="C31340"/>
      <c r="E31340"/>
      <c r="F31340"/>
    </row>
    <row r="31341" spans="1:6" x14ac:dyDescent="0.25">
      <c r="A31341"/>
      <c r="B31341"/>
      <c r="C31341"/>
      <c r="E31341"/>
      <c r="F31341"/>
    </row>
    <row r="31342" spans="1:6" x14ac:dyDescent="0.25">
      <c r="A31342"/>
      <c r="B31342"/>
      <c r="C31342"/>
      <c r="E31342"/>
      <c r="F31342"/>
    </row>
    <row r="31343" spans="1:6" x14ac:dyDescent="0.25">
      <c r="A31343"/>
      <c r="B31343"/>
      <c r="C31343"/>
      <c r="E31343"/>
      <c r="F31343"/>
    </row>
    <row r="31344" spans="1:6" x14ac:dyDescent="0.25">
      <c r="A31344"/>
      <c r="B31344"/>
      <c r="C31344"/>
      <c r="E31344"/>
      <c r="F31344"/>
    </row>
    <row r="31345" spans="1:6" x14ac:dyDescent="0.25">
      <c r="A31345"/>
      <c r="B31345"/>
      <c r="C31345"/>
      <c r="E31345"/>
      <c r="F31345"/>
    </row>
    <row r="31346" spans="1:6" x14ac:dyDescent="0.25">
      <c r="A31346"/>
      <c r="B31346"/>
      <c r="C31346"/>
      <c r="E31346"/>
      <c r="F31346"/>
    </row>
    <row r="31347" spans="1:6" x14ac:dyDescent="0.25">
      <c r="A31347"/>
      <c r="B31347"/>
      <c r="C31347"/>
      <c r="E31347"/>
      <c r="F31347"/>
    </row>
    <row r="31348" spans="1:6" x14ac:dyDescent="0.25">
      <c r="A31348"/>
      <c r="B31348"/>
      <c r="C31348"/>
      <c r="E31348"/>
      <c r="F31348"/>
    </row>
    <row r="31349" spans="1:6" x14ac:dyDescent="0.25">
      <c r="A31349"/>
      <c r="B31349"/>
      <c r="C31349"/>
      <c r="E31349"/>
      <c r="F31349"/>
    </row>
    <row r="31350" spans="1:6" x14ac:dyDescent="0.25">
      <c r="A31350"/>
      <c r="B31350"/>
      <c r="C31350"/>
      <c r="E31350"/>
      <c r="F31350"/>
    </row>
    <row r="31351" spans="1:6" x14ac:dyDescent="0.25">
      <c r="A31351"/>
      <c r="B31351"/>
      <c r="C31351"/>
      <c r="E31351"/>
      <c r="F31351"/>
    </row>
    <row r="31352" spans="1:6" x14ac:dyDescent="0.25">
      <c r="A31352"/>
      <c r="B31352"/>
      <c r="C31352"/>
      <c r="E31352"/>
      <c r="F31352"/>
    </row>
    <row r="31353" spans="1:6" x14ac:dyDescent="0.25">
      <c r="A31353"/>
      <c r="B31353"/>
      <c r="C31353"/>
      <c r="E31353"/>
      <c r="F31353"/>
    </row>
    <row r="31354" spans="1:6" x14ac:dyDescent="0.25">
      <c r="A31354"/>
      <c r="B31354"/>
      <c r="C31354"/>
      <c r="E31354"/>
      <c r="F31354"/>
    </row>
    <row r="31355" spans="1:6" x14ac:dyDescent="0.25">
      <c r="A31355"/>
      <c r="B31355"/>
      <c r="C31355"/>
      <c r="E31355"/>
      <c r="F31355"/>
    </row>
    <row r="31356" spans="1:6" x14ac:dyDescent="0.25">
      <c r="A31356"/>
      <c r="B31356"/>
      <c r="C31356"/>
      <c r="E31356"/>
      <c r="F31356"/>
    </row>
    <row r="31357" spans="1:6" x14ac:dyDescent="0.25">
      <c r="A31357"/>
      <c r="B31357"/>
      <c r="C31357"/>
      <c r="E31357"/>
      <c r="F31357"/>
    </row>
    <row r="31358" spans="1:6" x14ac:dyDescent="0.25">
      <c r="A31358"/>
      <c r="B31358"/>
      <c r="C31358"/>
      <c r="E31358"/>
      <c r="F31358"/>
    </row>
    <row r="31359" spans="1:6" x14ac:dyDescent="0.25">
      <c r="A31359"/>
      <c r="B31359"/>
      <c r="C31359"/>
      <c r="E31359"/>
      <c r="F31359"/>
    </row>
    <row r="31360" spans="1:6" x14ac:dyDescent="0.25">
      <c r="A31360"/>
      <c r="B31360"/>
      <c r="C31360"/>
      <c r="E31360"/>
      <c r="F31360"/>
    </row>
    <row r="31361" spans="1:6" x14ac:dyDescent="0.25">
      <c r="A31361"/>
      <c r="B31361"/>
      <c r="C31361"/>
      <c r="E31361"/>
      <c r="F31361"/>
    </row>
    <row r="31362" spans="1:6" x14ac:dyDescent="0.25">
      <c r="A31362"/>
      <c r="B31362"/>
      <c r="C31362"/>
      <c r="E31362"/>
      <c r="F31362"/>
    </row>
    <row r="31363" spans="1:6" x14ac:dyDescent="0.25">
      <c r="A31363"/>
      <c r="B31363"/>
      <c r="C31363"/>
      <c r="E31363"/>
      <c r="F31363"/>
    </row>
    <row r="31364" spans="1:6" x14ac:dyDescent="0.25">
      <c r="A31364"/>
      <c r="B31364"/>
      <c r="C31364"/>
      <c r="E31364"/>
      <c r="F31364"/>
    </row>
    <row r="31365" spans="1:6" x14ac:dyDescent="0.25">
      <c r="A31365"/>
      <c r="B31365"/>
      <c r="C31365"/>
      <c r="E31365"/>
      <c r="F31365"/>
    </row>
    <row r="31366" spans="1:6" x14ac:dyDescent="0.25">
      <c r="A31366"/>
      <c r="B31366"/>
      <c r="C31366"/>
      <c r="E31366"/>
      <c r="F31366"/>
    </row>
    <row r="31367" spans="1:6" x14ac:dyDescent="0.25">
      <c r="A31367"/>
      <c r="B31367"/>
      <c r="C31367"/>
      <c r="E31367"/>
      <c r="F31367"/>
    </row>
    <row r="31368" spans="1:6" x14ac:dyDescent="0.25">
      <c r="A31368"/>
      <c r="B31368"/>
      <c r="C31368"/>
      <c r="E31368"/>
      <c r="F31368"/>
    </row>
    <row r="31369" spans="1:6" x14ac:dyDescent="0.25">
      <c r="A31369"/>
      <c r="B31369"/>
      <c r="C31369"/>
      <c r="E31369"/>
      <c r="F31369"/>
    </row>
    <row r="31370" spans="1:6" x14ac:dyDescent="0.25">
      <c r="A31370"/>
      <c r="B31370"/>
      <c r="C31370"/>
      <c r="E31370"/>
      <c r="F31370"/>
    </row>
    <row r="31371" spans="1:6" x14ac:dyDescent="0.25">
      <c r="A31371"/>
      <c r="B31371"/>
      <c r="C31371"/>
      <c r="E31371"/>
      <c r="F31371"/>
    </row>
    <row r="31372" spans="1:6" x14ac:dyDescent="0.25">
      <c r="A31372"/>
      <c r="B31372"/>
      <c r="C31372"/>
      <c r="E31372"/>
      <c r="F31372"/>
    </row>
    <row r="31373" spans="1:6" x14ac:dyDescent="0.25">
      <c r="A31373"/>
      <c r="B31373"/>
      <c r="C31373"/>
      <c r="E31373"/>
      <c r="F31373"/>
    </row>
    <row r="31374" spans="1:6" x14ac:dyDescent="0.25">
      <c r="A31374"/>
      <c r="B31374"/>
      <c r="C31374"/>
      <c r="E31374"/>
      <c r="F31374"/>
    </row>
    <row r="31375" spans="1:6" x14ac:dyDescent="0.25">
      <c r="A31375"/>
      <c r="B31375"/>
      <c r="C31375"/>
      <c r="E31375"/>
      <c r="F31375"/>
    </row>
    <row r="31376" spans="1:6" x14ac:dyDescent="0.25">
      <c r="A31376"/>
      <c r="B31376"/>
      <c r="C31376"/>
      <c r="E31376"/>
      <c r="F31376"/>
    </row>
    <row r="31377" spans="1:6" x14ac:dyDescent="0.25">
      <c r="A31377"/>
      <c r="B31377"/>
      <c r="C31377"/>
      <c r="E31377"/>
      <c r="F31377"/>
    </row>
    <row r="31378" spans="1:6" x14ac:dyDescent="0.25">
      <c r="A31378"/>
      <c r="B31378"/>
      <c r="C31378"/>
      <c r="E31378"/>
      <c r="F31378"/>
    </row>
    <row r="31379" spans="1:6" x14ac:dyDescent="0.25">
      <c r="A31379"/>
      <c r="B31379"/>
      <c r="C31379"/>
      <c r="E31379"/>
      <c r="F31379"/>
    </row>
    <row r="31380" spans="1:6" x14ac:dyDescent="0.25">
      <c r="A31380"/>
      <c r="B31380"/>
      <c r="C31380"/>
      <c r="E31380"/>
      <c r="F31380"/>
    </row>
    <row r="31381" spans="1:6" x14ac:dyDescent="0.25">
      <c r="A31381"/>
      <c r="B31381"/>
      <c r="C31381"/>
      <c r="E31381"/>
      <c r="F31381"/>
    </row>
    <row r="31382" spans="1:6" x14ac:dyDescent="0.25">
      <c r="A31382"/>
      <c r="B31382"/>
      <c r="C31382"/>
      <c r="E31382"/>
      <c r="F31382"/>
    </row>
    <row r="31383" spans="1:6" x14ac:dyDescent="0.25">
      <c r="A31383"/>
      <c r="B31383"/>
      <c r="C31383"/>
      <c r="E31383"/>
      <c r="F31383"/>
    </row>
    <row r="31384" spans="1:6" x14ac:dyDescent="0.25">
      <c r="A31384"/>
      <c r="B31384"/>
      <c r="C31384"/>
      <c r="E31384"/>
      <c r="F31384"/>
    </row>
    <row r="31385" spans="1:6" x14ac:dyDescent="0.25">
      <c r="A31385"/>
      <c r="B31385"/>
      <c r="C31385"/>
      <c r="E31385"/>
      <c r="F31385"/>
    </row>
    <row r="31386" spans="1:6" x14ac:dyDescent="0.25">
      <c r="A31386"/>
      <c r="B31386"/>
      <c r="C31386"/>
      <c r="E31386"/>
      <c r="F31386"/>
    </row>
    <row r="31387" spans="1:6" x14ac:dyDescent="0.25">
      <c r="A31387"/>
      <c r="B31387"/>
      <c r="C31387"/>
      <c r="E31387"/>
      <c r="F31387"/>
    </row>
    <row r="31388" spans="1:6" x14ac:dyDescent="0.25">
      <c r="A31388"/>
      <c r="B31388"/>
      <c r="C31388"/>
      <c r="E31388"/>
      <c r="F31388"/>
    </row>
    <row r="31389" spans="1:6" x14ac:dyDescent="0.25">
      <c r="A31389"/>
      <c r="B31389"/>
      <c r="C31389"/>
      <c r="E31389"/>
      <c r="F31389"/>
    </row>
    <row r="31390" spans="1:6" x14ac:dyDescent="0.25">
      <c r="A31390"/>
      <c r="B31390"/>
      <c r="C31390"/>
      <c r="E31390"/>
      <c r="F31390"/>
    </row>
    <row r="31391" spans="1:6" x14ac:dyDescent="0.25">
      <c r="A31391"/>
      <c r="B31391"/>
      <c r="C31391"/>
      <c r="E31391"/>
      <c r="F31391"/>
    </row>
    <row r="31392" spans="1:6" x14ac:dyDescent="0.25">
      <c r="A31392"/>
      <c r="B31392"/>
      <c r="C31392"/>
      <c r="E31392"/>
      <c r="F31392"/>
    </row>
    <row r="31393" spans="1:6" x14ac:dyDescent="0.25">
      <c r="A31393"/>
      <c r="B31393"/>
      <c r="C31393"/>
      <c r="E31393"/>
      <c r="F31393"/>
    </row>
    <row r="31394" spans="1:6" x14ac:dyDescent="0.25">
      <c r="A31394"/>
      <c r="B31394"/>
      <c r="C31394"/>
      <c r="E31394"/>
      <c r="F31394"/>
    </row>
    <row r="31395" spans="1:6" x14ac:dyDescent="0.25">
      <c r="A31395"/>
      <c r="B31395"/>
      <c r="C31395"/>
      <c r="E31395"/>
      <c r="F31395"/>
    </row>
    <row r="31396" spans="1:6" x14ac:dyDescent="0.25">
      <c r="A31396"/>
      <c r="B31396"/>
      <c r="C31396"/>
      <c r="E31396"/>
      <c r="F31396"/>
    </row>
    <row r="31397" spans="1:6" x14ac:dyDescent="0.25">
      <c r="A31397"/>
      <c r="B31397"/>
      <c r="C31397"/>
      <c r="E31397"/>
      <c r="F31397"/>
    </row>
    <row r="31398" spans="1:6" x14ac:dyDescent="0.25">
      <c r="A31398"/>
      <c r="B31398"/>
      <c r="C31398"/>
      <c r="E31398"/>
      <c r="F31398"/>
    </row>
    <row r="31399" spans="1:6" x14ac:dyDescent="0.25">
      <c r="A31399"/>
      <c r="B31399"/>
      <c r="C31399"/>
      <c r="E31399"/>
      <c r="F31399"/>
    </row>
    <row r="31400" spans="1:6" x14ac:dyDescent="0.25">
      <c r="A31400"/>
      <c r="B31400"/>
      <c r="C31400"/>
      <c r="E31400"/>
      <c r="F31400"/>
    </row>
    <row r="31401" spans="1:6" x14ac:dyDescent="0.25">
      <c r="A31401"/>
      <c r="B31401"/>
      <c r="C31401"/>
      <c r="E31401"/>
      <c r="F31401"/>
    </row>
    <row r="31402" spans="1:6" x14ac:dyDescent="0.25">
      <c r="A31402"/>
      <c r="B31402"/>
      <c r="C31402"/>
      <c r="E31402"/>
      <c r="F31402"/>
    </row>
    <row r="31403" spans="1:6" x14ac:dyDescent="0.25">
      <c r="A31403"/>
      <c r="B31403"/>
      <c r="C31403"/>
      <c r="E31403"/>
      <c r="F31403"/>
    </row>
    <row r="31404" spans="1:6" x14ac:dyDescent="0.25">
      <c r="A31404"/>
      <c r="B31404"/>
      <c r="C31404"/>
      <c r="E31404"/>
      <c r="F31404"/>
    </row>
    <row r="31405" spans="1:6" x14ac:dyDescent="0.25">
      <c r="A31405"/>
      <c r="B31405"/>
      <c r="C31405"/>
      <c r="E31405"/>
      <c r="F31405"/>
    </row>
    <row r="31406" spans="1:6" x14ac:dyDescent="0.25">
      <c r="A31406"/>
      <c r="B31406"/>
      <c r="C31406"/>
      <c r="E31406"/>
      <c r="F31406"/>
    </row>
    <row r="31407" spans="1:6" x14ac:dyDescent="0.25">
      <c r="A31407"/>
      <c r="B31407"/>
      <c r="C31407"/>
      <c r="E31407"/>
      <c r="F31407"/>
    </row>
    <row r="31408" spans="1:6" x14ac:dyDescent="0.25">
      <c r="A31408"/>
      <c r="B31408"/>
      <c r="C31408"/>
      <c r="E31408"/>
      <c r="F31408"/>
    </row>
    <row r="31409" spans="1:6" x14ac:dyDescent="0.25">
      <c r="A31409"/>
      <c r="B31409"/>
      <c r="C31409"/>
      <c r="E31409"/>
      <c r="F31409"/>
    </row>
    <row r="31410" spans="1:6" x14ac:dyDescent="0.25">
      <c r="A31410"/>
      <c r="B31410"/>
      <c r="C31410"/>
      <c r="E31410"/>
      <c r="F31410"/>
    </row>
    <row r="31411" spans="1:6" x14ac:dyDescent="0.25">
      <c r="A31411"/>
      <c r="B31411"/>
      <c r="C31411"/>
      <c r="E31411"/>
      <c r="F31411"/>
    </row>
    <row r="31412" spans="1:6" x14ac:dyDescent="0.25">
      <c r="A31412"/>
      <c r="B31412"/>
      <c r="C31412"/>
      <c r="E31412"/>
      <c r="F31412"/>
    </row>
    <row r="31413" spans="1:6" x14ac:dyDescent="0.25">
      <c r="A31413"/>
      <c r="B31413"/>
      <c r="C31413"/>
      <c r="E31413"/>
      <c r="F31413"/>
    </row>
    <row r="31414" spans="1:6" x14ac:dyDescent="0.25">
      <c r="A31414"/>
      <c r="B31414"/>
      <c r="C31414"/>
      <c r="E31414"/>
      <c r="F31414"/>
    </row>
    <row r="31415" spans="1:6" x14ac:dyDescent="0.25">
      <c r="A31415"/>
      <c r="B31415"/>
      <c r="C31415"/>
      <c r="E31415"/>
      <c r="F31415"/>
    </row>
    <row r="31416" spans="1:6" x14ac:dyDescent="0.25">
      <c r="A31416"/>
      <c r="B31416"/>
      <c r="C31416"/>
      <c r="E31416"/>
      <c r="F31416"/>
    </row>
    <row r="31417" spans="1:6" x14ac:dyDescent="0.25">
      <c r="A31417"/>
      <c r="B31417"/>
      <c r="C31417"/>
      <c r="E31417"/>
      <c r="F31417"/>
    </row>
    <row r="31418" spans="1:6" x14ac:dyDescent="0.25">
      <c r="A31418"/>
      <c r="B31418"/>
      <c r="C31418"/>
      <c r="E31418"/>
      <c r="F31418"/>
    </row>
    <row r="31419" spans="1:6" x14ac:dyDescent="0.25">
      <c r="A31419"/>
      <c r="B31419"/>
      <c r="C31419"/>
      <c r="E31419"/>
      <c r="F31419"/>
    </row>
    <row r="31420" spans="1:6" x14ac:dyDescent="0.25">
      <c r="A31420"/>
      <c r="B31420"/>
      <c r="C31420"/>
      <c r="E31420"/>
      <c r="F31420"/>
    </row>
    <row r="31421" spans="1:6" x14ac:dyDescent="0.25">
      <c r="A31421"/>
      <c r="B31421"/>
      <c r="C31421"/>
      <c r="E31421"/>
      <c r="F31421"/>
    </row>
    <row r="31422" spans="1:6" x14ac:dyDescent="0.25">
      <c r="A31422"/>
      <c r="B31422"/>
      <c r="C31422"/>
      <c r="E31422"/>
      <c r="F31422"/>
    </row>
    <row r="31423" spans="1:6" x14ac:dyDescent="0.25">
      <c r="A31423"/>
      <c r="B31423"/>
      <c r="C31423"/>
      <c r="E31423"/>
      <c r="F31423"/>
    </row>
    <row r="31424" spans="1:6" x14ac:dyDescent="0.25">
      <c r="A31424"/>
      <c r="B31424"/>
      <c r="C31424"/>
      <c r="E31424"/>
      <c r="F31424"/>
    </row>
    <row r="31425" spans="1:6" x14ac:dyDescent="0.25">
      <c r="A31425"/>
      <c r="B31425"/>
      <c r="C31425"/>
      <c r="E31425"/>
      <c r="F31425"/>
    </row>
    <row r="31426" spans="1:6" x14ac:dyDescent="0.25">
      <c r="A31426"/>
      <c r="B31426"/>
      <c r="C31426"/>
      <c r="E31426"/>
      <c r="F31426"/>
    </row>
    <row r="31427" spans="1:6" x14ac:dyDescent="0.25">
      <c r="A31427"/>
      <c r="B31427"/>
      <c r="C31427"/>
      <c r="E31427"/>
      <c r="F31427"/>
    </row>
    <row r="31428" spans="1:6" x14ac:dyDescent="0.25">
      <c r="A31428"/>
      <c r="B31428"/>
      <c r="C31428"/>
      <c r="E31428"/>
      <c r="F31428"/>
    </row>
    <row r="31429" spans="1:6" x14ac:dyDescent="0.25">
      <c r="A31429"/>
      <c r="B31429"/>
      <c r="C31429"/>
      <c r="E31429"/>
      <c r="F31429"/>
    </row>
    <row r="31430" spans="1:6" x14ac:dyDescent="0.25">
      <c r="A31430"/>
      <c r="B31430"/>
      <c r="C31430"/>
      <c r="E31430"/>
      <c r="F31430"/>
    </row>
    <row r="31431" spans="1:6" x14ac:dyDescent="0.25">
      <c r="A31431"/>
      <c r="B31431"/>
      <c r="C31431"/>
      <c r="E31431"/>
      <c r="F31431"/>
    </row>
    <row r="31432" spans="1:6" x14ac:dyDescent="0.25">
      <c r="A31432"/>
      <c r="B31432"/>
      <c r="C31432"/>
      <c r="E31432"/>
      <c r="F31432"/>
    </row>
    <row r="31433" spans="1:6" x14ac:dyDescent="0.25">
      <c r="A31433"/>
      <c r="B31433"/>
      <c r="C31433"/>
      <c r="E31433"/>
      <c r="F31433"/>
    </row>
    <row r="31434" spans="1:6" x14ac:dyDescent="0.25">
      <c r="A31434"/>
      <c r="B31434"/>
      <c r="C31434"/>
      <c r="E31434"/>
      <c r="F31434"/>
    </row>
    <row r="31435" spans="1:6" x14ac:dyDescent="0.25">
      <c r="A31435"/>
      <c r="B31435"/>
      <c r="C31435"/>
      <c r="E31435"/>
      <c r="F31435"/>
    </row>
    <row r="31436" spans="1:6" x14ac:dyDescent="0.25">
      <c r="A31436"/>
      <c r="B31436"/>
      <c r="C31436"/>
      <c r="E31436"/>
      <c r="F31436"/>
    </row>
    <row r="31437" spans="1:6" x14ac:dyDescent="0.25">
      <c r="A31437"/>
      <c r="B31437"/>
      <c r="C31437"/>
      <c r="E31437"/>
      <c r="F31437"/>
    </row>
    <row r="31438" spans="1:6" x14ac:dyDescent="0.25">
      <c r="A31438"/>
      <c r="B31438"/>
      <c r="C31438"/>
      <c r="E31438"/>
      <c r="F31438"/>
    </row>
    <row r="31439" spans="1:6" x14ac:dyDescent="0.25">
      <c r="A31439"/>
      <c r="B31439"/>
      <c r="C31439"/>
      <c r="E31439"/>
      <c r="F31439"/>
    </row>
    <row r="31440" spans="1:6" x14ac:dyDescent="0.25">
      <c r="A31440"/>
      <c r="B31440"/>
      <c r="C31440"/>
      <c r="E31440"/>
      <c r="F31440"/>
    </row>
    <row r="31441" spans="1:6" x14ac:dyDescent="0.25">
      <c r="A31441"/>
      <c r="B31441"/>
      <c r="C31441"/>
      <c r="E31441"/>
      <c r="F31441"/>
    </row>
    <row r="31442" spans="1:6" x14ac:dyDescent="0.25">
      <c r="A31442"/>
      <c r="B31442"/>
      <c r="C31442"/>
      <c r="E31442"/>
      <c r="F31442"/>
    </row>
    <row r="31443" spans="1:6" x14ac:dyDescent="0.25">
      <c r="A31443"/>
      <c r="B31443"/>
      <c r="C31443"/>
      <c r="E31443"/>
      <c r="F31443"/>
    </row>
    <row r="31444" spans="1:6" x14ac:dyDescent="0.25">
      <c r="A31444"/>
      <c r="B31444"/>
      <c r="C31444"/>
      <c r="E31444"/>
      <c r="F31444"/>
    </row>
    <row r="31445" spans="1:6" x14ac:dyDescent="0.25">
      <c r="A31445"/>
      <c r="B31445"/>
      <c r="C31445"/>
      <c r="E31445"/>
      <c r="F31445"/>
    </row>
    <row r="31446" spans="1:6" x14ac:dyDescent="0.25">
      <c r="A31446"/>
      <c r="B31446"/>
      <c r="C31446"/>
      <c r="E31446"/>
      <c r="F31446"/>
    </row>
    <row r="31447" spans="1:6" x14ac:dyDescent="0.25">
      <c r="A31447"/>
      <c r="B31447"/>
      <c r="C31447"/>
      <c r="E31447"/>
      <c r="F31447"/>
    </row>
    <row r="31448" spans="1:6" x14ac:dyDescent="0.25">
      <c r="A31448"/>
      <c r="B31448"/>
      <c r="C31448"/>
      <c r="E31448"/>
      <c r="F31448"/>
    </row>
    <row r="31449" spans="1:6" x14ac:dyDescent="0.25">
      <c r="A31449"/>
      <c r="B31449"/>
      <c r="C31449"/>
      <c r="E31449"/>
      <c r="F31449"/>
    </row>
    <row r="31450" spans="1:6" x14ac:dyDescent="0.25">
      <c r="A31450"/>
      <c r="B31450"/>
      <c r="C31450"/>
      <c r="E31450"/>
      <c r="F31450"/>
    </row>
    <row r="31451" spans="1:6" x14ac:dyDescent="0.25">
      <c r="A31451"/>
      <c r="B31451"/>
      <c r="C31451"/>
      <c r="E31451"/>
      <c r="F31451"/>
    </row>
    <row r="31452" spans="1:6" x14ac:dyDescent="0.25">
      <c r="A31452"/>
      <c r="B31452"/>
      <c r="C31452"/>
      <c r="E31452"/>
      <c r="F31452"/>
    </row>
    <row r="31453" spans="1:6" x14ac:dyDescent="0.25">
      <c r="A31453"/>
      <c r="B31453"/>
      <c r="C31453"/>
      <c r="E31453"/>
      <c r="F31453"/>
    </row>
    <row r="31454" spans="1:6" x14ac:dyDescent="0.25">
      <c r="A31454"/>
      <c r="B31454"/>
      <c r="C31454"/>
      <c r="E31454"/>
      <c r="F31454"/>
    </row>
    <row r="31455" spans="1:6" x14ac:dyDescent="0.25">
      <c r="A31455"/>
      <c r="B31455"/>
      <c r="C31455"/>
      <c r="E31455"/>
      <c r="F31455"/>
    </row>
    <row r="31456" spans="1:6" x14ac:dyDescent="0.25">
      <c r="A31456"/>
      <c r="B31456"/>
      <c r="C31456"/>
      <c r="E31456"/>
      <c r="F31456"/>
    </row>
    <row r="31457" spans="1:6" x14ac:dyDescent="0.25">
      <c r="A31457"/>
      <c r="B31457"/>
      <c r="C31457"/>
      <c r="E31457"/>
      <c r="F31457"/>
    </row>
    <row r="31458" spans="1:6" x14ac:dyDescent="0.25">
      <c r="A31458"/>
      <c r="B31458"/>
      <c r="C31458"/>
      <c r="E31458"/>
      <c r="F31458"/>
    </row>
    <row r="31459" spans="1:6" x14ac:dyDescent="0.25">
      <c r="A31459"/>
      <c r="B31459"/>
      <c r="C31459"/>
      <c r="E31459"/>
      <c r="F31459"/>
    </row>
    <row r="31460" spans="1:6" x14ac:dyDescent="0.25">
      <c r="A31460"/>
      <c r="B31460"/>
      <c r="C31460"/>
      <c r="E31460"/>
      <c r="F31460"/>
    </row>
    <row r="31461" spans="1:6" x14ac:dyDescent="0.25">
      <c r="A31461"/>
      <c r="B31461"/>
      <c r="C31461"/>
      <c r="E31461"/>
      <c r="F31461"/>
    </row>
    <row r="31462" spans="1:6" x14ac:dyDescent="0.25">
      <c r="A31462"/>
      <c r="B31462"/>
      <c r="C31462"/>
      <c r="E31462"/>
      <c r="F31462"/>
    </row>
    <row r="31463" spans="1:6" x14ac:dyDescent="0.25">
      <c r="A31463"/>
      <c r="B31463"/>
      <c r="C31463"/>
      <c r="E31463"/>
      <c r="F31463"/>
    </row>
    <row r="31464" spans="1:6" x14ac:dyDescent="0.25">
      <c r="A31464"/>
      <c r="B31464"/>
      <c r="C31464"/>
      <c r="E31464"/>
      <c r="F31464"/>
    </row>
    <row r="31465" spans="1:6" x14ac:dyDescent="0.25">
      <c r="A31465"/>
      <c r="B31465"/>
      <c r="C31465"/>
      <c r="E31465"/>
      <c r="F31465"/>
    </row>
    <row r="31466" spans="1:6" x14ac:dyDescent="0.25">
      <c r="A31466"/>
      <c r="B31466"/>
      <c r="C31466"/>
      <c r="E31466"/>
      <c r="F31466"/>
    </row>
    <row r="31467" spans="1:6" x14ac:dyDescent="0.25">
      <c r="A31467"/>
      <c r="B31467"/>
      <c r="C31467"/>
      <c r="E31467"/>
      <c r="F31467"/>
    </row>
    <row r="31468" spans="1:6" x14ac:dyDescent="0.25">
      <c r="A31468"/>
      <c r="B31468"/>
      <c r="C31468"/>
      <c r="E31468"/>
      <c r="F31468"/>
    </row>
    <row r="31469" spans="1:6" x14ac:dyDescent="0.25">
      <c r="A31469"/>
      <c r="B31469"/>
      <c r="C31469"/>
      <c r="E31469"/>
      <c r="F31469"/>
    </row>
    <row r="31470" spans="1:6" x14ac:dyDescent="0.25">
      <c r="A31470"/>
      <c r="B31470"/>
      <c r="C31470"/>
      <c r="E31470"/>
      <c r="F31470"/>
    </row>
    <row r="31471" spans="1:6" x14ac:dyDescent="0.25">
      <c r="A31471"/>
      <c r="B31471"/>
      <c r="C31471"/>
      <c r="E31471"/>
      <c r="F31471"/>
    </row>
    <row r="31472" spans="1:6" x14ac:dyDescent="0.25">
      <c r="A31472"/>
      <c r="B31472"/>
      <c r="C31472"/>
      <c r="E31472"/>
      <c r="F31472"/>
    </row>
    <row r="31473" spans="1:6" x14ac:dyDescent="0.25">
      <c r="A31473"/>
      <c r="B31473"/>
      <c r="C31473"/>
      <c r="E31473"/>
      <c r="F31473"/>
    </row>
    <row r="31474" spans="1:6" x14ac:dyDescent="0.25">
      <c r="A31474"/>
      <c r="B31474"/>
      <c r="C31474"/>
      <c r="E31474"/>
      <c r="F31474"/>
    </row>
    <row r="31475" spans="1:6" x14ac:dyDescent="0.25">
      <c r="A31475"/>
      <c r="B31475"/>
      <c r="C31475"/>
      <c r="E31475"/>
      <c r="F31475"/>
    </row>
    <row r="31476" spans="1:6" x14ac:dyDescent="0.25">
      <c r="A31476"/>
      <c r="B31476"/>
      <c r="C31476"/>
      <c r="E31476"/>
      <c r="F31476"/>
    </row>
    <row r="31477" spans="1:6" x14ac:dyDescent="0.25">
      <c r="A31477"/>
      <c r="B31477"/>
      <c r="C31477"/>
      <c r="E31477"/>
      <c r="F31477"/>
    </row>
    <row r="31478" spans="1:6" x14ac:dyDescent="0.25">
      <c r="A31478"/>
      <c r="B31478"/>
      <c r="C31478"/>
      <c r="E31478"/>
      <c r="F31478"/>
    </row>
    <row r="31479" spans="1:6" x14ac:dyDescent="0.25">
      <c r="A31479"/>
      <c r="B31479"/>
      <c r="C31479"/>
      <c r="E31479"/>
      <c r="F31479"/>
    </row>
    <row r="31480" spans="1:6" x14ac:dyDescent="0.25">
      <c r="A31480"/>
      <c r="B31480"/>
      <c r="C31480"/>
      <c r="E31480"/>
      <c r="F31480"/>
    </row>
    <row r="31481" spans="1:6" x14ac:dyDescent="0.25">
      <c r="A31481"/>
      <c r="B31481"/>
      <c r="C31481"/>
      <c r="E31481"/>
      <c r="F31481"/>
    </row>
    <row r="31482" spans="1:6" x14ac:dyDescent="0.25">
      <c r="A31482"/>
      <c r="B31482"/>
      <c r="C31482"/>
      <c r="E31482"/>
      <c r="F31482"/>
    </row>
    <row r="31483" spans="1:6" x14ac:dyDescent="0.25">
      <c r="A31483"/>
      <c r="B31483"/>
      <c r="C31483"/>
      <c r="E31483"/>
      <c r="F31483"/>
    </row>
    <row r="31484" spans="1:6" x14ac:dyDescent="0.25">
      <c r="A31484"/>
      <c r="B31484"/>
      <c r="C31484"/>
      <c r="E31484"/>
      <c r="F31484"/>
    </row>
    <row r="31485" spans="1:6" x14ac:dyDescent="0.25">
      <c r="A31485"/>
      <c r="B31485"/>
      <c r="C31485"/>
      <c r="E31485"/>
      <c r="F31485"/>
    </row>
    <row r="31486" spans="1:6" x14ac:dyDescent="0.25">
      <c r="A31486"/>
      <c r="B31486"/>
      <c r="C31486"/>
      <c r="E31486"/>
      <c r="F31486"/>
    </row>
    <row r="31487" spans="1:6" x14ac:dyDescent="0.25">
      <c r="A31487"/>
      <c r="B31487"/>
      <c r="C31487"/>
      <c r="E31487"/>
      <c r="F31487"/>
    </row>
    <row r="31488" spans="1:6" x14ac:dyDescent="0.25">
      <c r="A31488"/>
      <c r="B31488"/>
      <c r="C31488"/>
      <c r="E31488"/>
      <c r="F31488"/>
    </row>
    <row r="31489" spans="1:6" x14ac:dyDescent="0.25">
      <c r="A31489"/>
      <c r="B31489"/>
      <c r="C31489"/>
      <c r="E31489"/>
      <c r="F31489"/>
    </row>
    <row r="31490" spans="1:6" x14ac:dyDescent="0.25">
      <c r="A31490"/>
      <c r="B31490"/>
      <c r="C31490"/>
      <c r="E31490"/>
      <c r="F31490"/>
    </row>
    <row r="31491" spans="1:6" x14ac:dyDescent="0.25">
      <c r="A31491"/>
      <c r="B31491"/>
      <c r="C31491"/>
      <c r="E31491"/>
      <c r="F31491"/>
    </row>
    <row r="31492" spans="1:6" x14ac:dyDescent="0.25">
      <c r="A31492"/>
      <c r="B31492"/>
      <c r="C31492"/>
      <c r="E31492"/>
      <c r="F31492"/>
    </row>
    <row r="31493" spans="1:6" x14ac:dyDescent="0.25">
      <c r="A31493"/>
      <c r="B31493"/>
      <c r="C31493"/>
      <c r="E31493"/>
      <c r="F31493"/>
    </row>
    <row r="31494" spans="1:6" x14ac:dyDescent="0.25">
      <c r="A31494"/>
      <c r="B31494"/>
      <c r="C31494"/>
      <c r="E31494"/>
      <c r="F31494"/>
    </row>
    <row r="31495" spans="1:6" x14ac:dyDescent="0.25">
      <c r="A31495"/>
      <c r="B31495"/>
      <c r="C31495"/>
      <c r="E31495"/>
      <c r="F31495"/>
    </row>
    <row r="31496" spans="1:6" x14ac:dyDescent="0.25">
      <c r="A31496"/>
      <c r="B31496"/>
      <c r="C31496"/>
      <c r="E31496"/>
      <c r="F31496"/>
    </row>
    <row r="31497" spans="1:6" x14ac:dyDescent="0.25">
      <c r="A31497"/>
      <c r="B31497"/>
      <c r="C31497"/>
      <c r="E31497"/>
      <c r="F31497"/>
    </row>
    <row r="31498" spans="1:6" x14ac:dyDescent="0.25">
      <c r="A31498"/>
      <c r="B31498"/>
      <c r="C31498"/>
      <c r="E31498"/>
      <c r="F31498"/>
    </row>
    <row r="31499" spans="1:6" x14ac:dyDescent="0.25">
      <c r="A31499"/>
      <c r="B31499"/>
      <c r="C31499"/>
      <c r="E31499"/>
      <c r="F31499"/>
    </row>
    <row r="31500" spans="1:6" x14ac:dyDescent="0.25">
      <c r="A31500"/>
      <c r="B31500"/>
      <c r="C31500"/>
      <c r="E31500"/>
      <c r="F31500"/>
    </row>
    <row r="31501" spans="1:6" x14ac:dyDescent="0.25">
      <c r="A31501"/>
      <c r="B31501"/>
      <c r="C31501"/>
      <c r="E31501"/>
      <c r="F31501"/>
    </row>
    <row r="31502" spans="1:6" x14ac:dyDescent="0.25">
      <c r="A31502"/>
      <c r="B31502"/>
      <c r="C31502"/>
      <c r="E31502"/>
      <c r="F31502"/>
    </row>
    <row r="31503" spans="1:6" x14ac:dyDescent="0.25">
      <c r="A31503"/>
      <c r="B31503"/>
      <c r="C31503"/>
      <c r="E31503"/>
      <c r="F31503"/>
    </row>
    <row r="31504" spans="1:6" x14ac:dyDescent="0.25">
      <c r="A31504"/>
      <c r="B31504"/>
      <c r="C31504"/>
      <c r="E31504"/>
      <c r="F31504"/>
    </row>
    <row r="31505" spans="1:6" x14ac:dyDescent="0.25">
      <c r="A31505"/>
      <c r="B31505"/>
      <c r="C31505"/>
      <c r="E31505"/>
      <c r="F31505"/>
    </row>
    <row r="31506" spans="1:6" x14ac:dyDescent="0.25">
      <c r="A31506"/>
      <c r="B31506"/>
      <c r="C31506"/>
      <c r="E31506"/>
      <c r="F31506"/>
    </row>
    <row r="31507" spans="1:6" x14ac:dyDescent="0.25">
      <c r="A31507"/>
      <c r="B31507"/>
      <c r="C31507"/>
      <c r="E31507"/>
      <c r="F31507"/>
    </row>
    <row r="31508" spans="1:6" x14ac:dyDescent="0.25">
      <c r="A31508"/>
      <c r="B31508"/>
      <c r="C31508"/>
      <c r="E31508"/>
      <c r="F31508"/>
    </row>
    <row r="31509" spans="1:6" x14ac:dyDescent="0.25">
      <c r="A31509"/>
      <c r="B31509"/>
      <c r="C31509"/>
      <c r="E31509"/>
      <c r="F31509"/>
    </row>
    <row r="31510" spans="1:6" x14ac:dyDescent="0.25">
      <c r="A31510"/>
      <c r="B31510"/>
      <c r="C31510"/>
      <c r="E31510"/>
      <c r="F31510"/>
    </row>
    <row r="31511" spans="1:6" x14ac:dyDescent="0.25">
      <c r="A31511"/>
      <c r="B31511"/>
      <c r="C31511"/>
      <c r="E31511"/>
      <c r="F31511"/>
    </row>
    <row r="31512" spans="1:6" x14ac:dyDescent="0.25">
      <c r="A31512"/>
      <c r="B31512"/>
      <c r="C31512"/>
      <c r="E31512"/>
      <c r="F31512"/>
    </row>
    <row r="31513" spans="1:6" x14ac:dyDescent="0.25">
      <c r="A31513"/>
      <c r="B31513"/>
      <c r="C31513"/>
      <c r="E31513"/>
      <c r="F31513"/>
    </row>
    <row r="31514" spans="1:6" x14ac:dyDescent="0.25">
      <c r="A31514"/>
      <c r="B31514"/>
      <c r="C31514"/>
      <c r="E31514"/>
      <c r="F31514"/>
    </row>
    <row r="31515" spans="1:6" x14ac:dyDescent="0.25">
      <c r="A31515"/>
      <c r="B31515"/>
      <c r="C31515"/>
      <c r="E31515"/>
      <c r="F31515"/>
    </row>
    <row r="31516" spans="1:6" x14ac:dyDescent="0.25">
      <c r="A31516"/>
      <c r="B31516"/>
      <c r="C31516"/>
      <c r="E31516"/>
      <c r="F31516"/>
    </row>
    <row r="31517" spans="1:6" x14ac:dyDescent="0.25">
      <c r="A31517"/>
      <c r="B31517"/>
      <c r="C31517"/>
      <c r="E31517"/>
      <c r="F31517"/>
    </row>
    <row r="31518" spans="1:6" x14ac:dyDescent="0.25">
      <c r="A31518"/>
      <c r="B31518"/>
      <c r="C31518"/>
      <c r="E31518"/>
      <c r="F31518"/>
    </row>
    <row r="31519" spans="1:6" x14ac:dyDescent="0.25">
      <c r="A31519"/>
      <c r="B31519"/>
      <c r="C31519"/>
      <c r="E31519"/>
      <c r="F31519"/>
    </row>
    <row r="31520" spans="1:6" x14ac:dyDescent="0.25">
      <c r="A31520"/>
      <c r="B31520"/>
      <c r="C31520"/>
      <c r="E31520"/>
      <c r="F31520"/>
    </row>
    <row r="31521" spans="1:6" x14ac:dyDescent="0.25">
      <c r="A31521"/>
      <c r="B31521"/>
      <c r="C31521"/>
      <c r="E31521"/>
      <c r="F31521"/>
    </row>
    <row r="31522" spans="1:6" x14ac:dyDescent="0.25">
      <c r="A31522"/>
      <c r="B31522"/>
      <c r="C31522"/>
      <c r="E31522"/>
      <c r="F31522"/>
    </row>
    <row r="31523" spans="1:6" x14ac:dyDescent="0.25">
      <c r="A31523"/>
      <c r="B31523"/>
      <c r="C31523"/>
      <c r="E31523"/>
      <c r="F31523"/>
    </row>
    <row r="31524" spans="1:6" x14ac:dyDescent="0.25">
      <c r="A31524"/>
      <c r="B31524"/>
      <c r="C31524"/>
      <c r="E31524"/>
      <c r="F31524"/>
    </row>
    <row r="31525" spans="1:6" x14ac:dyDescent="0.25">
      <c r="A31525"/>
      <c r="B31525"/>
      <c r="C31525"/>
      <c r="E31525"/>
      <c r="F31525"/>
    </row>
    <row r="31526" spans="1:6" x14ac:dyDescent="0.25">
      <c r="A31526"/>
      <c r="B31526"/>
      <c r="C31526"/>
      <c r="E31526"/>
      <c r="F31526"/>
    </row>
    <row r="31527" spans="1:6" x14ac:dyDescent="0.25">
      <c r="A31527"/>
      <c r="B31527"/>
      <c r="C31527"/>
      <c r="E31527"/>
      <c r="F31527"/>
    </row>
    <row r="31528" spans="1:6" x14ac:dyDescent="0.25">
      <c r="A31528"/>
      <c r="B31528"/>
      <c r="C31528"/>
      <c r="E31528"/>
      <c r="F31528"/>
    </row>
    <row r="31529" spans="1:6" x14ac:dyDescent="0.25">
      <c r="A31529"/>
      <c r="B31529"/>
      <c r="C31529"/>
      <c r="E31529"/>
      <c r="F31529"/>
    </row>
    <row r="31530" spans="1:6" x14ac:dyDescent="0.25">
      <c r="A31530"/>
      <c r="B31530"/>
      <c r="C31530"/>
      <c r="E31530"/>
      <c r="F31530"/>
    </row>
    <row r="31531" spans="1:6" x14ac:dyDescent="0.25">
      <c r="A31531"/>
      <c r="B31531"/>
      <c r="C31531"/>
      <c r="E31531"/>
      <c r="F31531"/>
    </row>
    <row r="31532" spans="1:6" x14ac:dyDescent="0.25">
      <c r="A31532"/>
      <c r="B31532"/>
      <c r="C31532"/>
      <c r="E31532"/>
      <c r="F31532"/>
    </row>
    <row r="31533" spans="1:6" x14ac:dyDescent="0.25">
      <c r="A31533"/>
      <c r="B31533"/>
      <c r="C31533"/>
      <c r="E31533"/>
      <c r="F31533"/>
    </row>
    <row r="31534" spans="1:6" x14ac:dyDescent="0.25">
      <c r="A31534"/>
      <c r="B31534"/>
      <c r="C31534"/>
      <c r="E31534"/>
      <c r="F31534"/>
    </row>
    <row r="31535" spans="1:6" x14ac:dyDescent="0.25">
      <c r="A31535"/>
      <c r="B31535"/>
      <c r="C31535"/>
      <c r="E31535"/>
      <c r="F31535"/>
    </row>
    <row r="31536" spans="1:6" x14ac:dyDescent="0.25">
      <c r="A31536"/>
      <c r="B31536"/>
      <c r="C31536"/>
      <c r="E31536"/>
      <c r="F31536"/>
    </row>
    <row r="31537" spans="1:6" x14ac:dyDescent="0.25">
      <c r="A31537"/>
      <c r="B31537"/>
      <c r="C31537"/>
      <c r="E31537"/>
      <c r="F31537"/>
    </row>
    <row r="31538" spans="1:6" x14ac:dyDescent="0.25">
      <c r="A31538"/>
      <c r="B31538"/>
      <c r="C31538"/>
      <c r="E31538"/>
      <c r="F31538"/>
    </row>
    <row r="31539" spans="1:6" x14ac:dyDescent="0.25">
      <c r="A31539"/>
      <c r="B31539"/>
      <c r="C31539"/>
      <c r="E31539"/>
      <c r="F31539"/>
    </row>
    <row r="31540" spans="1:6" x14ac:dyDescent="0.25">
      <c r="A31540"/>
      <c r="B31540"/>
      <c r="C31540"/>
      <c r="E31540"/>
      <c r="F31540"/>
    </row>
    <row r="31541" spans="1:6" x14ac:dyDescent="0.25">
      <c r="A31541"/>
      <c r="B31541"/>
      <c r="C31541"/>
      <c r="E31541"/>
      <c r="F31541"/>
    </row>
    <row r="31542" spans="1:6" x14ac:dyDescent="0.25">
      <c r="A31542"/>
      <c r="B31542"/>
      <c r="C31542"/>
      <c r="E31542"/>
      <c r="F31542"/>
    </row>
    <row r="31543" spans="1:6" x14ac:dyDescent="0.25">
      <c r="A31543"/>
      <c r="B31543"/>
      <c r="C31543"/>
      <c r="E31543"/>
      <c r="F31543"/>
    </row>
    <row r="31544" spans="1:6" x14ac:dyDescent="0.25">
      <c r="A31544"/>
      <c r="B31544"/>
      <c r="C31544"/>
      <c r="E31544"/>
      <c r="F31544"/>
    </row>
    <row r="31545" spans="1:6" x14ac:dyDescent="0.25">
      <c r="A31545"/>
      <c r="B31545"/>
      <c r="C31545"/>
      <c r="E31545"/>
      <c r="F31545"/>
    </row>
    <row r="31546" spans="1:6" x14ac:dyDescent="0.25">
      <c r="A31546"/>
      <c r="B31546"/>
      <c r="C31546"/>
      <c r="E31546"/>
      <c r="F31546"/>
    </row>
    <row r="31547" spans="1:6" x14ac:dyDescent="0.25">
      <c r="A31547"/>
      <c r="B31547"/>
      <c r="C31547"/>
      <c r="E31547"/>
      <c r="F31547"/>
    </row>
    <row r="31548" spans="1:6" x14ac:dyDescent="0.25">
      <c r="A31548"/>
      <c r="B31548"/>
      <c r="C31548"/>
      <c r="E31548"/>
      <c r="F31548"/>
    </row>
    <row r="31549" spans="1:6" x14ac:dyDescent="0.25">
      <c r="A31549"/>
      <c r="B31549"/>
      <c r="C31549"/>
      <c r="E31549"/>
      <c r="F31549"/>
    </row>
    <row r="31550" spans="1:6" x14ac:dyDescent="0.25">
      <c r="A31550"/>
      <c r="B31550"/>
      <c r="C31550"/>
      <c r="E31550"/>
      <c r="F31550"/>
    </row>
    <row r="31551" spans="1:6" x14ac:dyDescent="0.25">
      <c r="A31551"/>
      <c r="B31551"/>
      <c r="C31551"/>
      <c r="E31551"/>
      <c r="F31551"/>
    </row>
    <row r="31552" spans="1:6" x14ac:dyDescent="0.25">
      <c r="A31552"/>
      <c r="B31552"/>
      <c r="C31552"/>
      <c r="E31552"/>
      <c r="F31552"/>
    </row>
    <row r="31553" spans="1:6" x14ac:dyDescent="0.25">
      <c r="A31553"/>
      <c r="B31553"/>
      <c r="C31553"/>
      <c r="E31553"/>
      <c r="F31553"/>
    </row>
    <row r="31554" spans="1:6" x14ac:dyDescent="0.25">
      <c r="A31554"/>
      <c r="B31554"/>
      <c r="C31554"/>
      <c r="E31554"/>
      <c r="F31554"/>
    </row>
    <row r="31555" spans="1:6" x14ac:dyDescent="0.25">
      <c r="A31555"/>
      <c r="B31555"/>
      <c r="C31555"/>
      <c r="E31555"/>
      <c r="F31555"/>
    </row>
    <row r="31556" spans="1:6" x14ac:dyDescent="0.25">
      <c r="A31556"/>
      <c r="B31556"/>
      <c r="C31556"/>
      <c r="E31556"/>
      <c r="F31556"/>
    </row>
    <row r="31557" spans="1:6" x14ac:dyDescent="0.25">
      <c r="A31557"/>
      <c r="B31557"/>
      <c r="C31557"/>
      <c r="E31557"/>
      <c r="F31557"/>
    </row>
    <row r="31558" spans="1:6" x14ac:dyDescent="0.25">
      <c r="A31558"/>
      <c r="B31558"/>
      <c r="C31558"/>
      <c r="E31558"/>
      <c r="F31558"/>
    </row>
    <row r="31559" spans="1:6" x14ac:dyDescent="0.25">
      <c r="A31559"/>
      <c r="B31559"/>
      <c r="C31559"/>
      <c r="E31559"/>
      <c r="F31559"/>
    </row>
    <row r="31560" spans="1:6" x14ac:dyDescent="0.25">
      <c r="A31560"/>
      <c r="B31560"/>
      <c r="C31560"/>
      <c r="E31560"/>
      <c r="F31560"/>
    </row>
    <row r="31561" spans="1:6" x14ac:dyDescent="0.25">
      <c r="A31561"/>
      <c r="B31561"/>
      <c r="C31561"/>
      <c r="E31561"/>
      <c r="F31561"/>
    </row>
    <row r="31562" spans="1:6" x14ac:dyDescent="0.25">
      <c r="A31562"/>
      <c r="B31562"/>
      <c r="C31562"/>
      <c r="E31562"/>
      <c r="F31562"/>
    </row>
    <row r="31563" spans="1:6" x14ac:dyDescent="0.25">
      <c r="A31563"/>
      <c r="B31563"/>
      <c r="C31563"/>
      <c r="E31563"/>
      <c r="F31563"/>
    </row>
    <row r="31564" spans="1:6" x14ac:dyDescent="0.25">
      <c r="A31564"/>
      <c r="B31564"/>
      <c r="C31564"/>
      <c r="E31564"/>
      <c r="F31564"/>
    </row>
    <row r="31565" spans="1:6" x14ac:dyDescent="0.25">
      <c r="A31565"/>
      <c r="B31565"/>
      <c r="C31565"/>
      <c r="E31565"/>
      <c r="F31565"/>
    </row>
    <row r="31566" spans="1:6" x14ac:dyDescent="0.25">
      <c r="A31566"/>
      <c r="B31566"/>
      <c r="C31566"/>
      <c r="E31566"/>
      <c r="F31566"/>
    </row>
    <row r="31567" spans="1:6" x14ac:dyDescent="0.25">
      <c r="A31567"/>
      <c r="B31567"/>
      <c r="C31567"/>
      <c r="E31567"/>
      <c r="F31567"/>
    </row>
    <row r="31568" spans="1:6" x14ac:dyDescent="0.25">
      <c r="A31568"/>
      <c r="B31568"/>
      <c r="C31568"/>
      <c r="E31568"/>
      <c r="F31568"/>
    </row>
    <row r="31569" spans="1:6" x14ac:dyDescent="0.25">
      <c r="A31569"/>
      <c r="B31569"/>
      <c r="C31569"/>
      <c r="E31569"/>
      <c r="F31569"/>
    </row>
    <row r="31570" spans="1:6" x14ac:dyDescent="0.25">
      <c r="A31570"/>
      <c r="B31570"/>
      <c r="C31570"/>
      <c r="E31570"/>
      <c r="F31570"/>
    </row>
    <row r="31571" spans="1:6" x14ac:dyDescent="0.25">
      <c r="A31571"/>
      <c r="B31571"/>
      <c r="C31571"/>
      <c r="E31571"/>
      <c r="F31571"/>
    </row>
    <row r="31572" spans="1:6" x14ac:dyDescent="0.25">
      <c r="A31572"/>
      <c r="B31572"/>
      <c r="C31572"/>
      <c r="E31572"/>
      <c r="F31572"/>
    </row>
    <row r="31573" spans="1:6" x14ac:dyDescent="0.25">
      <c r="A31573"/>
      <c r="B31573"/>
      <c r="C31573"/>
      <c r="E31573"/>
      <c r="F31573"/>
    </row>
    <row r="31574" spans="1:6" x14ac:dyDescent="0.25">
      <c r="A31574"/>
      <c r="B31574"/>
      <c r="C31574"/>
      <c r="E31574"/>
      <c r="F31574"/>
    </row>
    <row r="31575" spans="1:6" x14ac:dyDescent="0.25">
      <c r="A31575"/>
      <c r="B31575"/>
      <c r="C31575"/>
      <c r="E31575"/>
      <c r="F31575"/>
    </row>
    <row r="31576" spans="1:6" x14ac:dyDescent="0.25">
      <c r="A31576"/>
      <c r="B31576"/>
      <c r="C31576"/>
      <c r="E31576"/>
      <c r="F31576"/>
    </row>
    <row r="31577" spans="1:6" x14ac:dyDescent="0.25">
      <c r="A31577"/>
      <c r="B31577"/>
      <c r="C31577"/>
      <c r="E31577"/>
      <c r="F31577"/>
    </row>
    <row r="31578" spans="1:6" x14ac:dyDescent="0.25">
      <c r="A31578"/>
      <c r="B31578"/>
      <c r="C31578"/>
      <c r="E31578"/>
      <c r="F31578"/>
    </row>
    <row r="31579" spans="1:6" x14ac:dyDescent="0.25">
      <c r="A31579"/>
      <c r="B31579"/>
      <c r="C31579"/>
      <c r="E31579"/>
      <c r="F31579"/>
    </row>
    <row r="31580" spans="1:6" x14ac:dyDescent="0.25">
      <c r="A31580"/>
      <c r="B31580"/>
      <c r="C31580"/>
      <c r="E31580"/>
      <c r="F31580"/>
    </row>
    <row r="31581" spans="1:6" x14ac:dyDescent="0.25">
      <c r="A31581"/>
      <c r="B31581"/>
      <c r="C31581"/>
      <c r="E31581"/>
      <c r="F31581"/>
    </row>
    <row r="31582" spans="1:6" x14ac:dyDescent="0.25">
      <c r="A31582"/>
      <c r="B31582"/>
      <c r="C31582"/>
      <c r="E31582"/>
      <c r="F31582"/>
    </row>
    <row r="31583" spans="1:6" x14ac:dyDescent="0.25">
      <c r="A31583"/>
      <c r="B31583"/>
      <c r="C31583"/>
      <c r="E31583"/>
      <c r="F31583"/>
    </row>
    <row r="31584" spans="1:6" x14ac:dyDescent="0.25">
      <c r="A31584"/>
      <c r="B31584"/>
      <c r="C31584"/>
      <c r="E31584"/>
      <c r="F31584"/>
    </row>
    <row r="31585" spans="1:6" x14ac:dyDescent="0.25">
      <c r="A31585"/>
      <c r="B31585"/>
      <c r="C31585"/>
      <c r="E31585"/>
      <c r="F31585"/>
    </row>
    <row r="31586" spans="1:6" x14ac:dyDescent="0.25">
      <c r="A31586"/>
      <c r="B31586"/>
      <c r="C31586"/>
      <c r="E31586"/>
      <c r="F31586"/>
    </row>
    <row r="31587" spans="1:6" x14ac:dyDescent="0.25">
      <c r="A31587"/>
      <c r="B31587"/>
      <c r="C31587"/>
      <c r="E31587"/>
      <c r="F31587"/>
    </row>
    <row r="31588" spans="1:6" x14ac:dyDescent="0.25">
      <c r="A31588"/>
      <c r="B31588"/>
      <c r="C31588"/>
      <c r="E31588"/>
      <c r="F31588"/>
    </row>
    <row r="31589" spans="1:6" x14ac:dyDescent="0.25">
      <c r="A31589"/>
      <c r="B31589"/>
      <c r="C31589"/>
      <c r="E31589"/>
      <c r="F31589"/>
    </row>
    <row r="31590" spans="1:6" x14ac:dyDescent="0.25">
      <c r="A31590"/>
      <c r="B31590"/>
      <c r="C31590"/>
      <c r="E31590"/>
      <c r="F31590"/>
    </row>
    <row r="31591" spans="1:6" x14ac:dyDescent="0.25">
      <c r="A31591"/>
      <c r="B31591"/>
      <c r="C31591"/>
      <c r="E31591"/>
      <c r="F31591"/>
    </row>
    <row r="31592" spans="1:6" x14ac:dyDescent="0.25">
      <c r="A31592"/>
      <c r="B31592"/>
      <c r="C31592"/>
      <c r="E31592"/>
      <c r="F31592"/>
    </row>
    <row r="31593" spans="1:6" x14ac:dyDescent="0.25">
      <c r="A31593"/>
      <c r="B31593"/>
      <c r="C31593"/>
      <c r="E31593"/>
      <c r="F31593"/>
    </row>
    <row r="31594" spans="1:6" x14ac:dyDescent="0.25">
      <c r="A31594"/>
      <c r="B31594"/>
      <c r="C31594"/>
      <c r="E31594"/>
      <c r="F31594"/>
    </row>
    <row r="31595" spans="1:6" x14ac:dyDescent="0.25">
      <c r="A31595"/>
      <c r="B31595"/>
      <c r="C31595"/>
      <c r="E31595"/>
      <c r="F31595"/>
    </row>
    <row r="31596" spans="1:6" x14ac:dyDescent="0.25">
      <c r="A31596"/>
      <c r="B31596"/>
      <c r="C31596"/>
      <c r="E31596"/>
      <c r="F31596"/>
    </row>
    <row r="31597" spans="1:6" x14ac:dyDescent="0.25">
      <c r="A31597"/>
      <c r="B31597"/>
      <c r="C31597"/>
      <c r="E31597"/>
      <c r="F31597"/>
    </row>
    <row r="31598" spans="1:6" x14ac:dyDescent="0.25">
      <c r="A31598"/>
      <c r="B31598"/>
      <c r="C31598"/>
      <c r="E31598"/>
      <c r="F31598"/>
    </row>
    <row r="31599" spans="1:6" x14ac:dyDescent="0.25">
      <c r="A31599"/>
      <c r="B31599"/>
      <c r="C31599"/>
      <c r="E31599"/>
      <c r="F31599"/>
    </row>
    <row r="31600" spans="1:6" x14ac:dyDescent="0.25">
      <c r="A31600"/>
      <c r="B31600"/>
      <c r="C31600"/>
      <c r="E31600"/>
      <c r="F31600"/>
    </row>
    <row r="31601" spans="1:6" x14ac:dyDescent="0.25">
      <c r="A31601"/>
      <c r="B31601"/>
      <c r="C31601"/>
      <c r="E31601"/>
      <c r="F31601"/>
    </row>
    <row r="31602" spans="1:6" x14ac:dyDescent="0.25">
      <c r="A31602"/>
      <c r="B31602"/>
      <c r="C31602"/>
      <c r="E31602"/>
      <c r="F31602"/>
    </row>
    <row r="31603" spans="1:6" x14ac:dyDescent="0.25">
      <c r="A31603"/>
      <c r="B31603"/>
      <c r="C31603"/>
      <c r="E31603"/>
      <c r="F31603"/>
    </row>
    <row r="31604" spans="1:6" x14ac:dyDescent="0.25">
      <c r="A31604"/>
      <c r="B31604"/>
      <c r="C31604"/>
      <c r="E31604"/>
      <c r="F31604"/>
    </row>
    <row r="31605" spans="1:6" x14ac:dyDescent="0.25">
      <c r="A31605"/>
      <c r="B31605"/>
      <c r="C31605"/>
      <c r="E31605"/>
      <c r="F31605"/>
    </row>
    <row r="31606" spans="1:6" x14ac:dyDescent="0.25">
      <c r="A31606"/>
      <c r="B31606"/>
      <c r="C31606"/>
      <c r="E31606"/>
      <c r="F31606"/>
    </row>
    <row r="31607" spans="1:6" x14ac:dyDescent="0.25">
      <c r="A31607"/>
      <c r="B31607"/>
      <c r="C31607"/>
      <c r="E31607"/>
      <c r="F31607"/>
    </row>
    <row r="31608" spans="1:6" x14ac:dyDescent="0.25">
      <c r="A31608"/>
      <c r="B31608"/>
      <c r="C31608"/>
      <c r="E31608"/>
      <c r="F31608"/>
    </row>
    <row r="31609" spans="1:6" x14ac:dyDescent="0.25">
      <c r="A31609"/>
      <c r="B31609"/>
      <c r="C31609"/>
      <c r="E31609"/>
      <c r="F31609"/>
    </row>
    <row r="31610" spans="1:6" x14ac:dyDescent="0.25">
      <c r="A31610"/>
      <c r="B31610"/>
      <c r="C31610"/>
      <c r="E31610"/>
      <c r="F31610"/>
    </row>
    <row r="31611" spans="1:6" x14ac:dyDescent="0.25">
      <c r="A31611"/>
      <c r="B31611"/>
      <c r="C31611"/>
      <c r="E31611"/>
      <c r="F31611"/>
    </row>
    <row r="31612" spans="1:6" x14ac:dyDescent="0.25">
      <c r="A31612"/>
      <c r="B31612"/>
      <c r="C31612"/>
      <c r="E31612"/>
      <c r="F31612"/>
    </row>
    <row r="31613" spans="1:6" x14ac:dyDescent="0.25">
      <c r="A31613"/>
      <c r="B31613"/>
      <c r="C31613"/>
      <c r="E31613"/>
      <c r="F31613"/>
    </row>
    <row r="31614" spans="1:6" x14ac:dyDescent="0.25">
      <c r="A31614"/>
      <c r="B31614"/>
      <c r="C31614"/>
      <c r="E31614"/>
      <c r="F31614"/>
    </row>
    <row r="31615" spans="1:6" x14ac:dyDescent="0.25">
      <c r="A31615"/>
      <c r="B31615"/>
      <c r="C31615"/>
      <c r="E31615"/>
      <c r="F31615"/>
    </row>
    <row r="31616" spans="1:6" x14ac:dyDescent="0.25">
      <c r="A31616"/>
      <c r="B31616"/>
      <c r="C31616"/>
      <c r="E31616"/>
      <c r="F31616"/>
    </row>
    <row r="31617" spans="1:6" x14ac:dyDescent="0.25">
      <c r="A31617"/>
      <c r="B31617"/>
      <c r="C31617"/>
      <c r="E31617"/>
      <c r="F31617"/>
    </row>
    <row r="31618" spans="1:6" x14ac:dyDescent="0.25">
      <c r="A31618"/>
      <c r="B31618"/>
      <c r="C31618"/>
      <c r="E31618"/>
      <c r="F31618"/>
    </row>
    <row r="31619" spans="1:6" x14ac:dyDescent="0.25">
      <c r="A31619"/>
      <c r="B31619"/>
      <c r="C31619"/>
      <c r="E31619"/>
      <c r="F31619"/>
    </row>
    <row r="31620" spans="1:6" x14ac:dyDescent="0.25">
      <c r="A31620"/>
      <c r="B31620"/>
      <c r="C31620"/>
      <c r="E31620"/>
      <c r="F31620"/>
    </row>
    <row r="31621" spans="1:6" x14ac:dyDescent="0.25">
      <c r="A31621"/>
      <c r="B31621"/>
      <c r="C31621"/>
      <c r="E31621"/>
      <c r="F31621"/>
    </row>
    <row r="31622" spans="1:6" x14ac:dyDescent="0.25">
      <c r="A31622"/>
      <c r="B31622"/>
      <c r="C31622"/>
      <c r="E31622"/>
      <c r="F31622"/>
    </row>
    <row r="31623" spans="1:6" x14ac:dyDescent="0.25">
      <c r="A31623"/>
      <c r="B31623"/>
      <c r="C31623"/>
      <c r="E31623"/>
      <c r="F31623"/>
    </row>
    <row r="31624" spans="1:6" x14ac:dyDescent="0.25">
      <c r="A31624"/>
      <c r="B31624"/>
      <c r="C31624"/>
      <c r="E31624"/>
      <c r="F31624"/>
    </row>
    <row r="31625" spans="1:6" x14ac:dyDescent="0.25">
      <c r="A31625"/>
      <c r="B31625"/>
      <c r="C31625"/>
      <c r="E31625"/>
      <c r="F31625"/>
    </row>
    <row r="31626" spans="1:6" x14ac:dyDescent="0.25">
      <c r="A31626"/>
      <c r="B31626"/>
      <c r="C31626"/>
      <c r="E31626"/>
      <c r="F31626"/>
    </row>
    <row r="31627" spans="1:6" x14ac:dyDescent="0.25">
      <c r="A31627"/>
      <c r="B31627"/>
      <c r="C31627"/>
      <c r="E31627"/>
      <c r="F31627"/>
    </row>
    <row r="31628" spans="1:6" x14ac:dyDescent="0.25">
      <c r="A31628"/>
      <c r="B31628"/>
      <c r="C31628"/>
      <c r="E31628"/>
      <c r="F31628"/>
    </row>
    <row r="31629" spans="1:6" x14ac:dyDescent="0.25">
      <c r="A31629"/>
      <c r="B31629"/>
      <c r="C31629"/>
      <c r="E31629"/>
      <c r="F31629"/>
    </row>
    <row r="31630" spans="1:6" x14ac:dyDescent="0.25">
      <c r="A31630"/>
      <c r="B31630"/>
      <c r="C31630"/>
      <c r="E31630"/>
      <c r="F31630"/>
    </row>
    <row r="31631" spans="1:6" x14ac:dyDescent="0.25">
      <c r="A31631"/>
      <c r="B31631"/>
      <c r="C31631"/>
      <c r="E31631"/>
      <c r="F31631"/>
    </row>
    <row r="31632" spans="1:6" x14ac:dyDescent="0.25">
      <c r="A31632"/>
      <c r="B31632"/>
      <c r="C31632"/>
      <c r="E31632"/>
      <c r="F31632"/>
    </row>
    <row r="31633" spans="1:6" x14ac:dyDescent="0.25">
      <c r="A31633"/>
      <c r="B31633"/>
      <c r="C31633"/>
      <c r="E31633"/>
      <c r="F31633"/>
    </row>
    <row r="31634" spans="1:6" x14ac:dyDescent="0.25">
      <c r="A31634"/>
      <c r="B31634"/>
      <c r="C31634"/>
      <c r="E31634"/>
      <c r="F31634"/>
    </row>
    <row r="31635" spans="1:6" x14ac:dyDescent="0.25">
      <c r="A31635"/>
      <c r="B31635"/>
      <c r="C31635"/>
      <c r="E31635"/>
      <c r="F31635"/>
    </row>
    <row r="31636" spans="1:6" x14ac:dyDescent="0.25">
      <c r="A31636"/>
      <c r="B31636"/>
      <c r="C31636"/>
      <c r="E31636"/>
      <c r="F31636"/>
    </row>
    <row r="31637" spans="1:6" x14ac:dyDescent="0.25">
      <c r="A31637"/>
      <c r="B31637"/>
      <c r="C31637"/>
      <c r="E31637"/>
      <c r="F31637"/>
    </row>
    <row r="31638" spans="1:6" x14ac:dyDescent="0.25">
      <c r="A31638"/>
      <c r="B31638"/>
      <c r="C31638"/>
      <c r="E31638"/>
      <c r="F31638"/>
    </row>
    <row r="31639" spans="1:6" x14ac:dyDescent="0.25">
      <c r="A31639"/>
      <c r="B31639"/>
      <c r="C31639"/>
      <c r="E31639"/>
      <c r="F31639"/>
    </row>
    <row r="31640" spans="1:6" x14ac:dyDescent="0.25">
      <c r="A31640"/>
      <c r="B31640"/>
      <c r="C31640"/>
      <c r="E31640"/>
      <c r="F31640"/>
    </row>
    <row r="31641" spans="1:6" x14ac:dyDescent="0.25">
      <c r="A31641"/>
      <c r="B31641"/>
      <c r="C31641"/>
      <c r="E31641"/>
      <c r="F31641"/>
    </row>
    <row r="31642" spans="1:6" x14ac:dyDescent="0.25">
      <c r="A31642"/>
      <c r="B31642"/>
      <c r="C31642"/>
      <c r="E31642"/>
      <c r="F31642"/>
    </row>
    <row r="31643" spans="1:6" x14ac:dyDescent="0.25">
      <c r="A31643"/>
      <c r="B31643"/>
      <c r="C31643"/>
      <c r="E31643"/>
      <c r="F31643"/>
    </row>
    <row r="31644" spans="1:6" x14ac:dyDescent="0.25">
      <c r="A31644"/>
      <c r="B31644"/>
      <c r="C31644"/>
      <c r="E31644"/>
      <c r="F31644"/>
    </row>
    <row r="31645" spans="1:6" x14ac:dyDescent="0.25">
      <c r="A31645"/>
      <c r="B31645"/>
      <c r="C31645"/>
      <c r="E31645"/>
      <c r="F31645"/>
    </row>
    <row r="31646" spans="1:6" x14ac:dyDescent="0.25">
      <c r="A31646"/>
      <c r="B31646"/>
      <c r="C31646"/>
      <c r="E31646"/>
      <c r="F31646"/>
    </row>
    <row r="31647" spans="1:6" x14ac:dyDescent="0.25">
      <c r="A31647"/>
      <c r="B31647"/>
      <c r="C31647"/>
      <c r="E31647"/>
      <c r="F31647"/>
    </row>
    <row r="31648" spans="1:6" x14ac:dyDescent="0.25">
      <c r="A31648"/>
      <c r="B31648"/>
      <c r="C31648"/>
      <c r="E31648"/>
      <c r="F31648"/>
    </row>
    <row r="31649" spans="1:6" x14ac:dyDescent="0.25">
      <c r="A31649"/>
      <c r="B31649"/>
      <c r="C31649"/>
      <c r="E31649"/>
      <c r="F31649"/>
    </row>
    <row r="31650" spans="1:6" x14ac:dyDescent="0.25">
      <c r="A31650"/>
      <c r="B31650"/>
      <c r="C31650"/>
      <c r="E31650"/>
      <c r="F31650"/>
    </row>
    <row r="31651" spans="1:6" x14ac:dyDescent="0.25">
      <c r="A31651"/>
      <c r="B31651"/>
      <c r="C31651"/>
      <c r="E31651"/>
      <c r="F31651"/>
    </row>
    <row r="31652" spans="1:6" x14ac:dyDescent="0.25">
      <c r="A31652"/>
      <c r="B31652"/>
      <c r="C31652"/>
      <c r="E31652"/>
      <c r="F31652"/>
    </row>
    <row r="31653" spans="1:6" x14ac:dyDescent="0.25">
      <c r="A31653"/>
      <c r="B31653"/>
      <c r="C31653"/>
      <c r="E31653"/>
      <c r="F31653"/>
    </row>
    <row r="31654" spans="1:6" x14ac:dyDescent="0.25">
      <c r="A31654"/>
      <c r="B31654"/>
      <c r="C31654"/>
      <c r="E31654"/>
      <c r="F31654"/>
    </row>
    <row r="31655" spans="1:6" x14ac:dyDescent="0.25">
      <c r="A31655"/>
      <c r="B31655"/>
      <c r="C31655"/>
      <c r="E31655"/>
      <c r="F31655"/>
    </row>
    <row r="31656" spans="1:6" x14ac:dyDescent="0.25">
      <c r="A31656"/>
      <c r="B31656"/>
      <c r="C31656"/>
      <c r="E31656"/>
      <c r="F31656"/>
    </row>
    <row r="31657" spans="1:6" x14ac:dyDescent="0.25">
      <c r="A31657"/>
      <c r="B31657"/>
      <c r="C31657"/>
      <c r="E31657"/>
      <c r="F31657"/>
    </row>
    <row r="31658" spans="1:6" x14ac:dyDescent="0.25">
      <c r="A31658"/>
      <c r="B31658"/>
      <c r="C31658"/>
      <c r="E31658"/>
      <c r="F31658"/>
    </row>
    <row r="31659" spans="1:6" x14ac:dyDescent="0.25">
      <c r="A31659"/>
      <c r="B31659"/>
      <c r="C31659"/>
      <c r="E31659"/>
      <c r="F31659"/>
    </row>
    <row r="31660" spans="1:6" x14ac:dyDescent="0.25">
      <c r="A31660"/>
      <c r="B31660"/>
      <c r="C31660"/>
      <c r="E31660"/>
      <c r="F31660"/>
    </row>
    <row r="31661" spans="1:6" x14ac:dyDescent="0.25">
      <c r="A31661"/>
      <c r="B31661"/>
      <c r="C31661"/>
      <c r="E31661"/>
      <c r="F31661"/>
    </row>
    <row r="31662" spans="1:6" x14ac:dyDescent="0.25">
      <c r="A31662"/>
      <c r="B31662"/>
      <c r="C31662"/>
      <c r="E31662"/>
      <c r="F31662"/>
    </row>
    <row r="31663" spans="1:6" x14ac:dyDescent="0.25">
      <c r="A31663"/>
      <c r="B31663"/>
      <c r="C31663"/>
      <c r="E31663"/>
      <c r="F31663"/>
    </row>
    <row r="31664" spans="1:6" x14ac:dyDescent="0.25">
      <c r="A31664"/>
      <c r="B31664"/>
      <c r="C31664"/>
      <c r="E31664"/>
      <c r="F31664"/>
    </row>
    <row r="31665" spans="1:6" x14ac:dyDescent="0.25">
      <c r="A31665"/>
      <c r="B31665"/>
      <c r="C31665"/>
      <c r="E31665"/>
      <c r="F31665"/>
    </row>
    <row r="31666" spans="1:6" x14ac:dyDescent="0.25">
      <c r="A31666"/>
      <c r="B31666"/>
      <c r="C31666"/>
      <c r="E31666"/>
      <c r="F31666"/>
    </row>
    <row r="31667" spans="1:6" x14ac:dyDescent="0.25">
      <c r="A31667"/>
      <c r="B31667"/>
      <c r="C31667"/>
      <c r="E31667"/>
      <c r="F31667"/>
    </row>
    <row r="31668" spans="1:6" x14ac:dyDescent="0.25">
      <c r="A31668"/>
      <c r="B31668"/>
      <c r="C31668"/>
      <c r="E31668"/>
      <c r="F31668"/>
    </row>
    <row r="31669" spans="1:6" x14ac:dyDescent="0.25">
      <c r="A31669"/>
      <c r="B31669"/>
      <c r="C31669"/>
      <c r="E31669"/>
      <c r="F31669"/>
    </row>
    <row r="31670" spans="1:6" x14ac:dyDescent="0.25">
      <c r="A31670"/>
      <c r="B31670"/>
      <c r="C31670"/>
      <c r="E31670"/>
      <c r="F31670"/>
    </row>
    <row r="31671" spans="1:6" x14ac:dyDescent="0.25">
      <c r="A31671"/>
      <c r="B31671"/>
      <c r="C31671"/>
      <c r="E31671"/>
      <c r="F31671"/>
    </row>
    <row r="31672" spans="1:6" x14ac:dyDescent="0.25">
      <c r="A31672"/>
      <c r="B31672"/>
      <c r="C31672"/>
      <c r="E31672"/>
      <c r="F31672"/>
    </row>
    <row r="31673" spans="1:6" x14ac:dyDescent="0.25">
      <c r="A31673"/>
      <c r="B31673"/>
      <c r="C31673"/>
      <c r="E31673"/>
      <c r="F31673"/>
    </row>
    <row r="31674" spans="1:6" x14ac:dyDescent="0.25">
      <c r="A31674"/>
      <c r="B31674"/>
      <c r="C31674"/>
      <c r="E31674"/>
      <c r="F31674"/>
    </row>
    <row r="31675" spans="1:6" x14ac:dyDescent="0.25">
      <c r="A31675"/>
      <c r="B31675"/>
      <c r="C31675"/>
      <c r="E31675"/>
      <c r="F31675"/>
    </row>
    <row r="31676" spans="1:6" x14ac:dyDescent="0.25">
      <c r="A31676"/>
      <c r="B31676"/>
      <c r="C31676"/>
      <c r="E31676"/>
      <c r="F31676"/>
    </row>
    <row r="31677" spans="1:6" x14ac:dyDescent="0.25">
      <c r="A31677"/>
      <c r="B31677"/>
      <c r="C31677"/>
      <c r="E31677"/>
      <c r="F31677"/>
    </row>
    <row r="31678" spans="1:6" x14ac:dyDescent="0.25">
      <c r="A31678"/>
      <c r="B31678"/>
      <c r="C31678"/>
      <c r="E31678"/>
      <c r="F31678"/>
    </row>
    <row r="31679" spans="1:6" x14ac:dyDescent="0.25">
      <c r="A31679"/>
      <c r="B31679"/>
      <c r="C31679"/>
      <c r="E31679"/>
      <c r="F31679"/>
    </row>
    <row r="31680" spans="1:6" x14ac:dyDescent="0.25">
      <c r="A31680"/>
      <c r="B31680"/>
      <c r="C31680"/>
      <c r="E31680"/>
      <c r="F31680"/>
    </row>
    <row r="31681" spans="1:6" x14ac:dyDescent="0.25">
      <c r="A31681"/>
      <c r="B31681"/>
      <c r="C31681"/>
      <c r="E31681"/>
      <c r="F31681"/>
    </row>
    <row r="31682" spans="1:6" x14ac:dyDescent="0.25">
      <c r="A31682"/>
      <c r="B31682"/>
      <c r="C31682"/>
      <c r="E31682"/>
      <c r="F31682"/>
    </row>
    <row r="31683" spans="1:6" x14ac:dyDescent="0.25">
      <c r="A31683"/>
      <c r="B31683"/>
      <c r="C31683"/>
      <c r="E31683"/>
      <c r="F31683"/>
    </row>
    <row r="31684" spans="1:6" x14ac:dyDescent="0.25">
      <c r="A31684"/>
      <c r="B31684"/>
      <c r="C31684"/>
      <c r="E31684"/>
      <c r="F31684"/>
    </row>
    <row r="31685" spans="1:6" x14ac:dyDescent="0.25">
      <c r="A31685"/>
      <c r="B31685"/>
      <c r="C31685"/>
      <c r="E31685"/>
      <c r="F31685"/>
    </row>
    <row r="31686" spans="1:6" x14ac:dyDescent="0.25">
      <c r="A31686"/>
      <c r="B31686"/>
      <c r="C31686"/>
      <c r="E31686"/>
      <c r="F31686"/>
    </row>
    <row r="31687" spans="1:6" x14ac:dyDescent="0.25">
      <c r="A31687"/>
      <c r="B31687"/>
      <c r="C31687"/>
      <c r="E31687"/>
      <c r="F31687"/>
    </row>
    <row r="31688" spans="1:6" x14ac:dyDescent="0.25">
      <c r="A31688"/>
      <c r="B31688"/>
      <c r="C31688"/>
      <c r="E31688"/>
      <c r="F31688"/>
    </row>
    <row r="31689" spans="1:6" x14ac:dyDescent="0.25">
      <c r="A31689"/>
      <c r="B31689"/>
      <c r="C31689"/>
      <c r="E31689"/>
      <c r="F31689"/>
    </row>
    <row r="31690" spans="1:6" x14ac:dyDescent="0.25">
      <c r="A31690"/>
      <c r="B31690"/>
      <c r="C31690"/>
      <c r="E31690"/>
      <c r="F31690"/>
    </row>
    <row r="31691" spans="1:6" x14ac:dyDescent="0.25">
      <c r="A31691"/>
      <c r="B31691"/>
      <c r="C31691"/>
      <c r="E31691"/>
      <c r="F31691"/>
    </row>
    <row r="31692" spans="1:6" x14ac:dyDescent="0.25">
      <c r="A31692"/>
      <c r="B31692"/>
      <c r="C31692"/>
      <c r="E31692"/>
      <c r="F31692"/>
    </row>
    <row r="31693" spans="1:6" x14ac:dyDescent="0.25">
      <c r="A31693"/>
      <c r="B31693"/>
      <c r="C31693"/>
      <c r="E31693"/>
      <c r="F31693"/>
    </row>
    <row r="31694" spans="1:6" x14ac:dyDescent="0.25">
      <c r="A31694"/>
      <c r="B31694"/>
      <c r="C31694"/>
      <c r="E31694"/>
      <c r="F31694"/>
    </row>
    <row r="31695" spans="1:6" x14ac:dyDescent="0.25">
      <c r="A31695"/>
      <c r="B31695"/>
      <c r="C31695"/>
      <c r="E31695"/>
      <c r="F31695"/>
    </row>
    <row r="31696" spans="1:6" x14ac:dyDescent="0.25">
      <c r="A31696"/>
      <c r="B31696"/>
      <c r="C31696"/>
      <c r="E31696"/>
      <c r="F31696"/>
    </row>
    <row r="31697" spans="1:6" x14ac:dyDescent="0.25">
      <c r="A31697"/>
      <c r="B31697"/>
      <c r="C31697"/>
      <c r="E31697"/>
      <c r="F31697"/>
    </row>
    <row r="31698" spans="1:6" x14ac:dyDescent="0.25">
      <c r="A31698"/>
      <c r="B31698"/>
      <c r="C31698"/>
      <c r="E31698"/>
      <c r="F31698"/>
    </row>
    <row r="31699" spans="1:6" x14ac:dyDescent="0.25">
      <c r="A31699"/>
      <c r="B31699"/>
      <c r="C31699"/>
      <c r="E31699"/>
      <c r="F31699"/>
    </row>
    <row r="31700" spans="1:6" x14ac:dyDescent="0.25">
      <c r="A31700"/>
      <c r="B31700"/>
      <c r="C31700"/>
      <c r="E31700"/>
      <c r="F31700"/>
    </row>
    <row r="31701" spans="1:6" x14ac:dyDescent="0.25">
      <c r="A31701"/>
      <c r="B31701"/>
      <c r="C31701"/>
      <c r="E31701"/>
      <c r="F31701"/>
    </row>
    <row r="31702" spans="1:6" x14ac:dyDescent="0.25">
      <c r="A31702"/>
      <c r="B31702"/>
      <c r="C31702"/>
      <c r="E31702"/>
      <c r="F31702"/>
    </row>
    <row r="31703" spans="1:6" x14ac:dyDescent="0.25">
      <c r="A31703"/>
      <c r="B31703"/>
      <c r="C31703"/>
      <c r="E31703"/>
      <c r="F31703"/>
    </row>
    <row r="31704" spans="1:6" x14ac:dyDescent="0.25">
      <c r="A31704"/>
      <c r="B31704"/>
      <c r="C31704"/>
      <c r="E31704"/>
      <c r="F31704"/>
    </row>
    <row r="31705" spans="1:6" x14ac:dyDescent="0.25">
      <c r="A31705"/>
      <c r="B31705"/>
      <c r="C31705"/>
      <c r="E31705"/>
      <c r="F31705"/>
    </row>
    <row r="31706" spans="1:6" x14ac:dyDescent="0.25">
      <c r="A31706"/>
      <c r="B31706"/>
      <c r="C31706"/>
      <c r="E31706"/>
      <c r="F31706"/>
    </row>
    <row r="31707" spans="1:6" x14ac:dyDescent="0.25">
      <c r="A31707"/>
      <c r="B31707"/>
      <c r="C31707"/>
      <c r="E31707"/>
      <c r="F31707"/>
    </row>
    <row r="31708" spans="1:6" x14ac:dyDescent="0.25">
      <c r="A31708"/>
      <c r="B31708"/>
      <c r="C31708"/>
      <c r="E31708"/>
      <c r="F31708"/>
    </row>
    <row r="31709" spans="1:6" x14ac:dyDescent="0.25">
      <c r="A31709"/>
      <c r="B31709"/>
      <c r="C31709"/>
      <c r="E31709"/>
      <c r="F31709"/>
    </row>
    <row r="31710" spans="1:6" x14ac:dyDescent="0.25">
      <c r="A31710"/>
      <c r="B31710"/>
      <c r="C31710"/>
      <c r="E31710"/>
      <c r="F31710"/>
    </row>
    <row r="31711" spans="1:6" x14ac:dyDescent="0.25">
      <c r="A31711"/>
      <c r="B31711"/>
      <c r="C31711"/>
      <c r="E31711"/>
      <c r="F31711"/>
    </row>
    <row r="31712" spans="1:6" x14ac:dyDescent="0.25">
      <c r="A31712"/>
      <c r="B31712"/>
      <c r="C31712"/>
      <c r="E31712"/>
      <c r="F31712"/>
    </row>
    <row r="31713" spans="1:6" x14ac:dyDescent="0.25">
      <c r="A31713"/>
      <c r="B31713"/>
      <c r="C31713"/>
      <c r="E31713"/>
      <c r="F31713"/>
    </row>
    <row r="31714" spans="1:6" x14ac:dyDescent="0.25">
      <c r="A31714"/>
      <c r="B31714"/>
      <c r="C31714"/>
      <c r="E31714"/>
      <c r="F31714"/>
    </row>
    <row r="31715" spans="1:6" x14ac:dyDescent="0.25">
      <c r="A31715"/>
      <c r="B31715"/>
      <c r="C31715"/>
      <c r="E31715"/>
      <c r="F31715"/>
    </row>
    <row r="31716" spans="1:6" x14ac:dyDescent="0.25">
      <c r="A31716"/>
      <c r="B31716"/>
      <c r="C31716"/>
      <c r="E31716"/>
      <c r="F31716"/>
    </row>
    <row r="31717" spans="1:6" x14ac:dyDescent="0.25">
      <c r="A31717"/>
      <c r="B31717"/>
      <c r="C31717"/>
      <c r="E31717"/>
      <c r="F31717"/>
    </row>
    <row r="31718" spans="1:6" x14ac:dyDescent="0.25">
      <c r="A31718"/>
      <c r="B31718"/>
      <c r="C31718"/>
      <c r="E31718"/>
      <c r="F31718"/>
    </row>
    <row r="31719" spans="1:6" x14ac:dyDescent="0.25">
      <c r="A31719"/>
      <c r="B31719"/>
      <c r="C31719"/>
      <c r="E31719"/>
      <c r="F31719"/>
    </row>
    <row r="31720" spans="1:6" x14ac:dyDescent="0.25">
      <c r="A31720"/>
      <c r="B31720"/>
      <c r="C31720"/>
      <c r="E31720"/>
      <c r="F31720"/>
    </row>
    <row r="31721" spans="1:6" x14ac:dyDescent="0.25">
      <c r="A31721"/>
      <c r="B31721"/>
      <c r="C31721"/>
      <c r="E31721"/>
      <c r="F31721"/>
    </row>
    <row r="31722" spans="1:6" x14ac:dyDescent="0.25">
      <c r="A31722"/>
      <c r="B31722"/>
      <c r="C31722"/>
      <c r="E31722"/>
      <c r="F31722"/>
    </row>
    <row r="31723" spans="1:6" x14ac:dyDescent="0.25">
      <c r="A31723"/>
      <c r="B31723"/>
      <c r="C31723"/>
      <c r="E31723"/>
      <c r="F31723"/>
    </row>
    <row r="31724" spans="1:6" x14ac:dyDescent="0.25">
      <c r="A31724"/>
      <c r="B31724"/>
      <c r="C31724"/>
      <c r="E31724"/>
      <c r="F31724"/>
    </row>
    <row r="31725" spans="1:6" x14ac:dyDescent="0.25">
      <c r="A31725"/>
      <c r="B31725"/>
      <c r="C31725"/>
      <c r="E31725"/>
      <c r="F31725"/>
    </row>
    <row r="31726" spans="1:6" x14ac:dyDescent="0.25">
      <c r="A31726"/>
      <c r="B31726"/>
      <c r="C31726"/>
      <c r="E31726"/>
      <c r="F31726"/>
    </row>
    <row r="31727" spans="1:6" x14ac:dyDescent="0.25">
      <c r="A31727"/>
      <c r="B31727"/>
      <c r="C31727"/>
      <c r="E31727"/>
      <c r="F31727"/>
    </row>
    <row r="31728" spans="1:6" x14ac:dyDescent="0.25">
      <c r="A31728"/>
      <c r="B31728"/>
      <c r="C31728"/>
      <c r="E31728"/>
      <c r="F31728"/>
    </row>
    <row r="31729" spans="1:6" x14ac:dyDescent="0.25">
      <c r="A31729"/>
      <c r="B31729"/>
      <c r="C31729"/>
      <c r="E31729"/>
      <c r="F31729"/>
    </row>
    <row r="31730" spans="1:6" x14ac:dyDescent="0.25">
      <c r="A31730"/>
      <c r="B31730"/>
      <c r="C31730"/>
      <c r="E31730"/>
      <c r="F31730"/>
    </row>
    <row r="31731" spans="1:6" x14ac:dyDescent="0.25">
      <c r="A31731"/>
      <c r="B31731"/>
      <c r="C31731"/>
      <c r="E31731"/>
      <c r="F31731"/>
    </row>
    <row r="31732" spans="1:6" x14ac:dyDescent="0.25">
      <c r="A31732"/>
      <c r="B31732"/>
      <c r="C31732"/>
      <c r="E31732"/>
      <c r="F31732"/>
    </row>
    <row r="31733" spans="1:6" x14ac:dyDescent="0.25">
      <c r="A31733"/>
      <c r="B31733"/>
      <c r="C31733"/>
      <c r="E31733"/>
      <c r="F31733"/>
    </row>
    <row r="31734" spans="1:6" x14ac:dyDescent="0.25">
      <c r="A31734"/>
      <c r="B31734"/>
      <c r="C31734"/>
      <c r="E31734"/>
      <c r="F31734"/>
    </row>
    <row r="31735" spans="1:6" x14ac:dyDescent="0.25">
      <c r="A31735"/>
      <c r="B31735"/>
      <c r="C31735"/>
      <c r="E31735"/>
      <c r="F31735"/>
    </row>
    <row r="31736" spans="1:6" x14ac:dyDescent="0.25">
      <c r="A31736"/>
      <c r="B31736"/>
      <c r="C31736"/>
      <c r="E31736"/>
      <c r="F31736"/>
    </row>
    <row r="31737" spans="1:6" x14ac:dyDescent="0.25">
      <c r="A31737"/>
      <c r="B31737"/>
      <c r="C31737"/>
      <c r="E31737"/>
      <c r="F31737"/>
    </row>
    <row r="31738" spans="1:6" x14ac:dyDescent="0.25">
      <c r="A31738"/>
      <c r="B31738"/>
      <c r="C31738"/>
      <c r="E31738"/>
      <c r="F31738"/>
    </row>
    <row r="31739" spans="1:6" x14ac:dyDescent="0.25">
      <c r="A31739"/>
      <c r="B31739"/>
      <c r="C31739"/>
      <c r="E31739"/>
      <c r="F31739"/>
    </row>
    <row r="31740" spans="1:6" x14ac:dyDescent="0.25">
      <c r="A31740"/>
      <c r="B31740"/>
      <c r="C31740"/>
      <c r="E31740"/>
      <c r="F31740"/>
    </row>
    <row r="31741" spans="1:6" x14ac:dyDescent="0.25">
      <c r="A31741"/>
      <c r="B31741"/>
      <c r="C31741"/>
      <c r="E31741"/>
      <c r="F31741"/>
    </row>
    <row r="31742" spans="1:6" x14ac:dyDescent="0.25">
      <c r="A31742"/>
      <c r="B31742"/>
      <c r="C31742"/>
      <c r="E31742"/>
      <c r="F31742"/>
    </row>
    <row r="31743" spans="1:6" x14ac:dyDescent="0.25">
      <c r="A31743"/>
      <c r="B31743"/>
      <c r="C31743"/>
      <c r="E31743"/>
      <c r="F31743"/>
    </row>
    <row r="31744" spans="1:6" x14ac:dyDescent="0.25">
      <c r="A31744"/>
      <c r="B31744"/>
      <c r="C31744"/>
      <c r="E31744"/>
      <c r="F31744"/>
    </row>
    <row r="31745" spans="1:6" x14ac:dyDescent="0.25">
      <c r="A31745"/>
      <c r="B31745"/>
      <c r="C31745"/>
      <c r="E31745"/>
      <c r="F31745"/>
    </row>
    <row r="31746" spans="1:6" x14ac:dyDescent="0.25">
      <c r="A31746"/>
      <c r="B31746"/>
      <c r="C31746"/>
      <c r="E31746"/>
      <c r="F31746"/>
    </row>
    <row r="31747" spans="1:6" x14ac:dyDescent="0.25">
      <c r="A31747"/>
      <c r="B31747"/>
      <c r="C31747"/>
      <c r="E31747"/>
      <c r="F31747"/>
    </row>
    <row r="31748" spans="1:6" x14ac:dyDescent="0.25">
      <c r="A31748"/>
      <c r="B31748"/>
      <c r="C31748"/>
      <c r="E31748"/>
      <c r="F31748"/>
    </row>
    <row r="31749" spans="1:6" x14ac:dyDescent="0.25">
      <c r="A31749"/>
      <c r="B31749"/>
      <c r="C31749"/>
      <c r="E31749"/>
      <c r="F31749"/>
    </row>
    <row r="31750" spans="1:6" x14ac:dyDescent="0.25">
      <c r="A31750"/>
      <c r="B31750"/>
      <c r="C31750"/>
      <c r="E31750"/>
      <c r="F31750"/>
    </row>
    <row r="31751" spans="1:6" x14ac:dyDescent="0.25">
      <c r="A31751"/>
      <c r="B31751"/>
      <c r="C31751"/>
      <c r="E31751"/>
      <c r="F31751"/>
    </row>
    <row r="31752" spans="1:6" x14ac:dyDescent="0.25">
      <c r="A31752"/>
      <c r="B31752"/>
      <c r="C31752"/>
      <c r="E31752"/>
      <c r="F31752"/>
    </row>
    <row r="31753" spans="1:6" x14ac:dyDescent="0.25">
      <c r="A31753"/>
      <c r="B31753"/>
      <c r="C31753"/>
      <c r="E31753"/>
      <c r="F31753"/>
    </row>
    <row r="31754" spans="1:6" x14ac:dyDescent="0.25">
      <c r="A31754"/>
      <c r="B31754"/>
      <c r="C31754"/>
      <c r="E31754"/>
      <c r="F31754"/>
    </row>
    <row r="31755" spans="1:6" x14ac:dyDescent="0.25">
      <c r="A31755"/>
      <c r="B31755"/>
      <c r="C31755"/>
      <c r="E31755"/>
      <c r="F31755"/>
    </row>
    <row r="31756" spans="1:6" x14ac:dyDescent="0.25">
      <c r="A31756"/>
      <c r="B31756"/>
      <c r="C31756"/>
      <c r="E31756"/>
      <c r="F31756"/>
    </row>
    <row r="31757" spans="1:6" x14ac:dyDescent="0.25">
      <c r="A31757"/>
      <c r="B31757"/>
      <c r="C31757"/>
      <c r="E31757"/>
      <c r="F31757"/>
    </row>
    <row r="31758" spans="1:6" x14ac:dyDescent="0.25">
      <c r="A31758"/>
      <c r="B31758"/>
      <c r="C31758"/>
      <c r="E31758"/>
      <c r="F31758"/>
    </row>
    <row r="31759" spans="1:6" x14ac:dyDescent="0.25">
      <c r="A31759"/>
      <c r="B31759"/>
      <c r="C31759"/>
      <c r="E31759"/>
      <c r="F31759"/>
    </row>
    <row r="31760" spans="1:6" x14ac:dyDescent="0.25">
      <c r="A31760"/>
      <c r="B31760"/>
      <c r="C31760"/>
      <c r="E31760"/>
      <c r="F31760"/>
    </row>
    <row r="31761" spans="1:6" x14ac:dyDescent="0.25">
      <c r="A31761"/>
      <c r="B31761"/>
      <c r="C31761"/>
      <c r="E31761"/>
      <c r="F31761"/>
    </row>
    <row r="31762" spans="1:6" x14ac:dyDescent="0.25">
      <c r="A31762"/>
      <c r="B31762"/>
      <c r="C31762"/>
      <c r="E31762"/>
      <c r="F31762"/>
    </row>
    <row r="31763" spans="1:6" x14ac:dyDescent="0.25">
      <c r="A31763"/>
      <c r="B31763"/>
      <c r="C31763"/>
      <c r="E31763"/>
      <c r="F31763"/>
    </row>
    <row r="31764" spans="1:6" x14ac:dyDescent="0.25">
      <c r="A31764"/>
      <c r="B31764"/>
      <c r="C31764"/>
      <c r="E31764"/>
      <c r="F31764"/>
    </row>
    <row r="31765" spans="1:6" x14ac:dyDescent="0.25">
      <c r="A31765"/>
      <c r="B31765"/>
      <c r="C31765"/>
      <c r="E31765"/>
      <c r="F31765"/>
    </row>
    <row r="31766" spans="1:6" x14ac:dyDescent="0.25">
      <c r="A31766"/>
      <c r="B31766"/>
      <c r="C31766"/>
      <c r="E31766"/>
      <c r="F31766"/>
    </row>
    <row r="31767" spans="1:6" x14ac:dyDescent="0.25">
      <c r="A31767"/>
      <c r="B31767"/>
      <c r="C31767"/>
      <c r="E31767"/>
      <c r="F31767"/>
    </row>
    <row r="31768" spans="1:6" x14ac:dyDescent="0.25">
      <c r="A31768"/>
      <c r="B31768"/>
      <c r="C31768"/>
      <c r="E31768"/>
      <c r="F31768"/>
    </row>
    <row r="31769" spans="1:6" x14ac:dyDescent="0.25">
      <c r="A31769"/>
      <c r="B31769"/>
      <c r="C31769"/>
      <c r="E31769"/>
      <c r="F31769"/>
    </row>
    <row r="31770" spans="1:6" x14ac:dyDescent="0.25">
      <c r="A31770"/>
      <c r="B31770"/>
      <c r="C31770"/>
      <c r="E31770"/>
      <c r="F31770"/>
    </row>
    <row r="31771" spans="1:6" x14ac:dyDescent="0.25">
      <c r="A31771"/>
      <c r="B31771"/>
      <c r="C31771"/>
      <c r="E31771"/>
      <c r="F31771"/>
    </row>
    <row r="31772" spans="1:6" x14ac:dyDescent="0.25">
      <c r="A31772"/>
      <c r="B31772"/>
      <c r="C31772"/>
      <c r="E31772"/>
      <c r="F31772"/>
    </row>
    <row r="31773" spans="1:6" x14ac:dyDescent="0.25">
      <c r="A31773"/>
      <c r="B31773"/>
      <c r="C31773"/>
      <c r="E31773"/>
      <c r="F31773"/>
    </row>
    <row r="31774" spans="1:6" x14ac:dyDescent="0.25">
      <c r="A31774"/>
      <c r="B31774"/>
      <c r="C31774"/>
      <c r="E31774"/>
      <c r="F31774"/>
    </row>
    <row r="31775" spans="1:6" x14ac:dyDescent="0.25">
      <c r="A31775"/>
      <c r="B31775"/>
      <c r="C31775"/>
      <c r="E31775"/>
      <c r="F31775"/>
    </row>
    <row r="31776" spans="1:6" x14ac:dyDescent="0.25">
      <c r="A31776"/>
      <c r="B31776"/>
      <c r="C31776"/>
      <c r="E31776"/>
      <c r="F31776"/>
    </row>
    <row r="31777" spans="1:6" x14ac:dyDescent="0.25">
      <c r="A31777"/>
      <c r="B31777"/>
      <c r="C31777"/>
      <c r="E31777"/>
      <c r="F31777"/>
    </row>
    <row r="31778" spans="1:6" x14ac:dyDescent="0.25">
      <c r="A31778"/>
      <c r="B31778"/>
      <c r="C31778"/>
      <c r="E31778"/>
      <c r="F31778"/>
    </row>
    <row r="31779" spans="1:6" x14ac:dyDescent="0.25">
      <c r="A31779"/>
      <c r="B31779"/>
      <c r="C31779"/>
      <c r="E31779"/>
      <c r="F31779"/>
    </row>
    <row r="31780" spans="1:6" x14ac:dyDescent="0.25">
      <c r="A31780"/>
      <c r="B31780"/>
      <c r="C31780"/>
      <c r="E31780"/>
      <c r="F31780"/>
    </row>
    <row r="31781" spans="1:6" x14ac:dyDescent="0.25">
      <c r="A31781"/>
      <c r="B31781"/>
      <c r="C31781"/>
      <c r="E31781"/>
      <c r="F31781"/>
    </row>
    <row r="31782" spans="1:6" x14ac:dyDescent="0.25">
      <c r="A31782"/>
      <c r="B31782"/>
      <c r="C31782"/>
      <c r="E31782"/>
      <c r="F31782"/>
    </row>
    <row r="31783" spans="1:6" x14ac:dyDescent="0.25">
      <c r="A31783"/>
      <c r="B31783"/>
      <c r="C31783"/>
      <c r="E31783"/>
      <c r="F31783"/>
    </row>
    <row r="31784" spans="1:6" x14ac:dyDescent="0.25">
      <c r="A31784"/>
      <c r="B31784"/>
      <c r="C31784"/>
      <c r="E31784"/>
      <c r="F31784"/>
    </row>
    <row r="31785" spans="1:6" x14ac:dyDescent="0.25">
      <c r="A31785"/>
      <c r="B31785"/>
      <c r="C31785"/>
      <c r="E31785"/>
      <c r="F31785"/>
    </row>
    <row r="31786" spans="1:6" x14ac:dyDescent="0.25">
      <c r="A31786"/>
      <c r="B31786"/>
      <c r="C31786"/>
      <c r="E31786"/>
      <c r="F31786"/>
    </row>
    <row r="31787" spans="1:6" x14ac:dyDescent="0.25">
      <c r="A31787"/>
      <c r="B31787"/>
      <c r="C31787"/>
      <c r="E31787"/>
      <c r="F31787"/>
    </row>
    <row r="31788" spans="1:6" x14ac:dyDescent="0.25">
      <c r="A31788"/>
      <c r="B31788"/>
      <c r="C31788"/>
      <c r="E31788"/>
      <c r="F31788"/>
    </row>
    <row r="31789" spans="1:6" x14ac:dyDescent="0.25">
      <c r="A31789"/>
      <c r="B31789"/>
      <c r="C31789"/>
      <c r="E31789"/>
      <c r="F31789"/>
    </row>
    <row r="31790" spans="1:6" x14ac:dyDescent="0.25">
      <c r="A31790"/>
      <c r="B31790"/>
      <c r="C31790"/>
      <c r="E31790"/>
      <c r="F31790"/>
    </row>
    <row r="31791" spans="1:6" x14ac:dyDescent="0.25">
      <c r="A31791"/>
      <c r="B31791"/>
      <c r="C31791"/>
      <c r="E31791"/>
      <c r="F31791"/>
    </row>
    <row r="31792" spans="1:6" x14ac:dyDescent="0.25">
      <c r="A31792"/>
      <c r="B31792"/>
      <c r="C31792"/>
      <c r="E31792"/>
      <c r="F31792"/>
    </row>
    <row r="31793" spans="1:6" x14ac:dyDescent="0.25">
      <c r="A31793"/>
      <c r="B31793"/>
      <c r="C31793"/>
      <c r="E31793"/>
      <c r="F31793"/>
    </row>
    <row r="31794" spans="1:6" x14ac:dyDescent="0.25">
      <c r="A31794"/>
      <c r="B31794"/>
      <c r="C31794"/>
      <c r="E31794"/>
      <c r="F31794"/>
    </row>
    <row r="31795" spans="1:6" x14ac:dyDescent="0.25">
      <c r="A31795"/>
      <c r="B31795"/>
      <c r="C31795"/>
      <c r="E31795"/>
      <c r="F31795"/>
    </row>
    <row r="31796" spans="1:6" x14ac:dyDescent="0.25">
      <c r="A31796"/>
      <c r="B31796"/>
      <c r="C31796"/>
      <c r="E31796"/>
      <c r="F31796"/>
    </row>
    <row r="31797" spans="1:6" x14ac:dyDescent="0.25">
      <c r="A31797"/>
      <c r="B31797"/>
      <c r="C31797"/>
      <c r="E31797"/>
      <c r="F31797"/>
    </row>
    <row r="31798" spans="1:6" x14ac:dyDescent="0.25">
      <c r="A31798"/>
      <c r="B31798"/>
      <c r="C31798"/>
      <c r="E31798"/>
      <c r="F31798"/>
    </row>
    <row r="31799" spans="1:6" x14ac:dyDescent="0.25">
      <c r="A31799"/>
      <c r="B31799"/>
      <c r="C31799"/>
      <c r="E31799"/>
      <c r="F31799"/>
    </row>
    <row r="31800" spans="1:6" x14ac:dyDescent="0.25">
      <c r="A31800"/>
      <c r="B31800"/>
      <c r="C31800"/>
      <c r="E31800"/>
      <c r="F31800"/>
    </row>
    <row r="31801" spans="1:6" x14ac:dyDescent="0.25">
      <c r="A31801"/>
      <c r="B31801"/>
      <c r="C31801"/>
      <c r="E31801"/>
      <c r="F31801"/>
    </row>
    <row r="31802" spans="1:6" x14ac:dyDescent="0.25">
      <c r="A31802"/>
      <c r="B31802"/>
      <c r="C31802"/>
      <c r="E31802"/>
      <c r="F31802"/>
    </row>
    <row r="31803" spans="1:6" x14ac:dyDescent="0.25">
      <c r="A31803"/>
      <c r="B31803"/>
      <c r="C31803"/>
      <c r="E31803"/>
      <c r="F31803"/>
    </row>
    <row r="31804" spans="1:6" x14ac:dyDescent="0.25">
      <c r="A31804"/>
      <c r="B31804"/>
      <c r="C31804"/>
      <c r="E31804"/>
      <c r="F31804"/>
    </row>
    <row r="31805" spans="1:6" x14ac:dyDescent="0.25">
      <c r="A31805"/>
      <c r="B31805"/>
      <c r="C31805"/>
      <c r="E31805"/>
      <c r="F31805"/>
    </row>
    <row r="31806" spans="1:6" x14ac:dyDescent="0.25">
      <c r="A31806"/>
      <c r="B31806"/>
      <c r="C31806"/>
      <c r="E31806"/>
      <c r="F31806"/>
    </row>
    <row r="31807" spans="1:6" x14ac:dyDescent="0.25">
      <c r="A31807"/>
      <c r="B31807"/>
      <c r="C31807"/>
      <c r="E31807"/>
      <c r="F31807"/>
    </row>
    <row r="31808" spans="1:6" x14ac:dyDescent="0.25">
      <c r="A31808"/>
      <c r="B31808"/>
      <c r="C31808"/>
      <c r="E31808"/>
      <c r="F31808"/>
    </row>
    <row r="31809" spans="1:6" x14ac:dyDescent="0.25">
      <c r="A31809"/>
      <c r="B31809"/>
      <c r="C31809"/>
      <c r="E31809"/>
      <c r="F31809"/>
    </row>
    <row r="31810" spans="1:6" x14ac:dyDescent="0.25">
      <c r="A31810"/>
      <c r="B31810"/>
      <c r="C31810"/>
      <c r="E31810"/>
      <c r="F31810"/>
    </row>
    <row r="31811" spans="1:6" x14ac:dyDescent="0.25">
      <c r="A31811"/>
      <c r="B31811"/>
      <c r="C31811"/>
      <c r="E31811"/>
      <c r="F31811"/>
    </row>
    <row r="31812" spans="1:6" x14ac:dyDescent="0.25">
      <c r="A31812"/>
      <c r="B31812"/>
      <c r="C31812"/>
      <c r="E31812"/>
      <c r="F31812"/>
    </row>
    <row r="31813" spans="1:6" x14ac:dyDescent="0.25">
      <c r="A31813"/>
      <c r="B31813"/>
      <c r="C31813"/>
      <c r="E31813"/>
      <c r="F31813"/>
    </row>
    <row r="31814" spans="1:6" x14ac:dyDescent="0.25">
      <c r="A31814"/>
      <c r="B31814"/>
      <c r="C31814"/>
      <c r="E31814"/>
      <c r="F31814"/>
    </row>
    <row r="31815" spans="1:6" x14ac:dyDescent="0.25">
      <c r="A31815"/>
      <c r="B31815"/>
      <c r="C31815"/>
      <c r="E31815"/>
      <c r="F31815"/>
    </row>
    <row r="31816" spans="1:6" x14ac:dyDescent="0.25">
      <c r="A31816"/>
      <c r="B31816"/>
      <c r="C31816"/>
      <c r="E31816"/>
      <c r="F31816"/>
    </row>
    <row r="31817" spans="1:6" x14ac:dyDescent="0.25">
      <c r="A31817"/>
      <c r="B31817"/>
      <c r="C31817"/>
      <c r="E31817"/>
      <c r="F31817"/>
    </row>
    <row r="31818" spans="1:6" x14ac:dyDescent="0.25">
      <c r="A31818"/>
      <c r="B31818"/>
      <c r="C31818"/>
      <c r="E31818"/>
      <c r="F31818"/>
    </row>
    <row r="31819" spans="1:6" x14ac:dyDescent="0.25">
      <c r="A31819"/>
      <c r="B31819"/>
      <c r="C31819"/>
      <c r="E31819"/>
      <c r="F31819"/>
    </row>
    <row r="31820" spans="1:6" x14ac:dyDescent="0.25">
      <c r="A31820"/>
      <c r="B31820"/>
      <c r="C31820"/>
      <c r="E31820"/>
      <c r="F31820"/>
    </row>
    <row r="31821" spans="1:6" x14ac:dyDescent="0.25">
      <c r="A31821"/>
      <c r="B31821"/>
      <c r="C31821"/>
      <c r="E31821"/>
      <c r="F31821"/>
    </row>
    <row r="31822" spans="1:6" x14ac:dyDescent="0.25">
      <c r="A31822"/>
      <c r="B31822"/>
      <c r="C31822"/>
      <c r="E31822"/>
      <c r="F31822"/>
    </row>
    <row r="31823" spans="1:6" x14ac:dyDescent="0.25">
      <c r="A31823"/>
      <c r="B31823"/>
      <c r="C31823"/>
      <c r="E31823"/>
      <c r="F31823"/>
    </row>
    <row r="31824" spans="1:6" x14ac:dyDescent="0.25">
      <c r="A31824"/>
      <c r="B31824"/>
      <c r="C31824"/>
      <c r="E31824"/>
      <c r="F31824"/>
    </row>
    <row r="31825" spans="1:6" x14ac:dyDescent="0.25">
      <c r="A31825"/>
      <c r="B31825"/>
      <c r="C31825"/>
      <c r="E31825"/>
      <c r="F31825"/>
    </row>
    <row r="31826" spans="1:6" x14ac:dyDescent="0.25">
      <c r="A31826"/>
      <c r="B31826"/>
      <c r="C31826"/>
      <c r="E31826"/>
      <c r="F31826"/>
    </row>
    <row r="31827" spans="1:6" x14ac:dyDescent="0.25">
      <c r="A31827"/>
      <c r="B31827"/>
      <c r="C31827"/>
      <c r="E31827"/>
      <c r="F31827"/>
    </row>
    <row r="31828" spans="1:6" x14ac:dyDescent="0.25">
      <c r="A31828"/>
      <c r="B31828"/>
      <c r="C31828"/>
      <c r="E31828"/>
      <c r="F31828"/>
    </row>
    <row r="31829" spans="1:6" x14ac:dyDescent="0.25">
      <c r="A31829"/>
      <c r="B31829"/>
      <c r="C31829"/>
      <c r="E31829"/>
      <c r="F31829"/>
    </row>
    <row r="31830" spans="1:6" x14ac:dyDescent="0.25">
      <c r="A31830"/>
      <c r="B31830"/>
      <c r="C31830"/>
      <c r="E31830"/>
      <c r="F31830"/>
    </row>
    <row r="31831" spans="1:6" x14ac:dyDescent="0.25">
      <c r="A31831"/>
      <c r="B31831"/>
      <c r="C31831"/>
      <c r="E31831"/>
      <c r="F31831"/>
    </row>
    <row r="31832" spans="1:6" x14ac:dyDescent="0.25">
      <c r="A31832"/>
      <c r="B31832"/>
      <c r="C31832"/>
      <c r="E31832"/>
      <c r="F31832"/>
    </row>
    <row r="31833" spans="1:6" x14ac:dyDescent="0.25">
      <c r="A31833"/>
      <c r="B31833"/>
      <c r="C31833"/>
      <c r="E31833"/>
      <c r="F31833"/>
    </row>
    <row r="31834" spans="1:6" x14ac:dyDescent="0.25">
      <c r="A31834"/>
      <c r="B31834"/>
      <c r="C31834"/>
      <c r="E31834"/>
      <c r="F31834"/>
    </row>
    <row r="31835" spans="1:6" x14ac:dyDescent="0.25">
      <c r="A31835"/>
      <c r="B31835"/>
      <c r="C31835"/>
      <c r="E31835"/>
      <c r="F31835"/>
    </row>
    <row r="31836" spans="1:6" x14ac:dyDescent="0.25">
      <c r="A31836"/>
      <c r="B31836"/>
      <c r="C31836"/>
      <c r="E31836"/>
      <c r="F31836"/>
    </row>
    <row r="31837" spans="1:6" x14ac:dyDescent="0.25">
      <c r="A31837"/>
      <c r="B31837"/>
      <c r="C31837"/>
      <c r="E31837"/>
      <c r="F31837"/>
    </row>
    <row r="31838" spans="1:6" x14ac:dyDescent="0.25">
      <c r="A31838"/>
      <c r="B31838"/>
      <c r="C31838"/>
      <c r="E31838"/>
      <c r="F31838"/>
    </row>
    <row r="31839" spans="1:6" x14ac:dyDescent="0.25">
      <c r="A31839"/>
      <c r="B31839"/>
      <c r="C31839"/>
      <c r="E31839"/>
      <c r="F31839"/>
    </row>
    <row r="31840" spans="1:6" x14ac:dyDescent="0.25">
      <c r="A31840"/>
      <c r="B31840"/>
      <c r="C31840"/>
      <c r="E31840"/>
      <c r="F31840"/>
    </row>
    <row r="31841" spans="1:6" x14ac:dyDescent="0.25">
      <c r="A31841"/>
      <c r="B31841"/>
      <c r="C31841"/>
      <c r="E31841"/>
      <c r="F31841"/>
    </row>
    <row r="31842" spans="1:6" x14ac:dyDescent="0.25">
      <c r="A31842"/>
      <c r="B31842"/>
      <c r="C31842"/>
      <c r="E31842"/>
      <c r="F31842"/>
    </row>
    <row r="31843" spans="1:6" x14ac:dyDescent="0.25">
      <c r="A31843"/>
      <c r="B31843"/>
      <c r="C31843"/>
      <c r="E31843"/>
      <c r="F31843"/>
    </row>
    <row r="31844" spans="1:6" x14ac:dyDescent="0.25">
      <c r="A31844"/>
      <c r="B31844"/>
      <c r="C31844"/>
      <c r="E31844"/>
      <c r="F31844"/>
    </row>
    <row r="31845" spans="1:6" x14ac:dyDescent="0.25">
      <c r="A31845"/>
      <c r="B31845"/>
      <c r="C31845"/>
      <c r="E31845"/>
      <c r="F31845"/>
    </row>
    <row r="31846" spans="1:6" x14ac:dyDescent="0.25">
      <c r="A31846"/>
      <c r="B31846"/>
      <c r="C31846"/>
      <c r="E31846"/>
      <c r="F31846"/>
    </row>
    <row r="31847" spans="1:6" x14ac:dyDescent="0.25">
      <c r="A31847"/>
      <c r="B31847"/>
      <c r="C31847"/>
      <c r="E31847"/>
      <c r="F31847"/>
    </row>
    <row r="31848" spans="1:6" x14ac:dyDescent="0.25">
      <c r="A31848"/>
      <c r="B31848"/>
      <c r="C31848"/>
      <c r="E31848"/>
      <c r="F31848"/>
    </row>
    <row r="31849" spans="1:6" x14ac:dyDescent="0.25">
      <c r="A31849"/>
      <c r="B31849"/>
      <c r="C31849"/>
      <c r="E31849"/>
      <c r="F31849"/>
    </row>
    <row r="31850" spans="1:6" x14ac:dyDescent="0.25">
      <c r="A31850"/>
      <c r="B31850"/>
      <c r="C31850"/>
      <c r="E31850"/>
      <c r="F31850"/>
    </row>
    <row r="31851" spans="1:6" x14ac:dyDescent="0.25">
      <c r="A31851"/>
      <c r="B31851"/>
      <c r="C31851"/>
      <c r="E31851"/>
      <c r="F31851"/>
    </row>
    <row r="31852" spans="1:6" x14ac:dyDescent="0.25">
      <c r="A31852"/>
      <c r="B31852"/>
      <c r="C31852"/>
      <c r="E31852"/>
      <c r="F31852"/>
    </row>
    <row r="31853" spans="1:6" x14ac:dyDescent="0.25">
      <c r="A31853"/>
      <c r="B31853"/>
      <c r="C31853"/>
      <c r="E31853"/>
      <c r="F31853"/>
    </row>
    <row r="31854" spans="1:6" x14ac:dyDescent="0.25">
      <c r="A31854"/>
      <c r="B31854"/>
      <c r="C31854"/>
      <c r="E31854"/>
      <c r="F31854"/>
    </row>
    <row r="31855" spans="1:6" x14ac:dyDescent="0.25">
      <c r="A31855"/>
      <c r="B31855"/>
      <c r="C31855"/>
      <c r="E31855"/>
      <c r="F31855"/>
    </row>
    <row r="31856" spans="1:6" x14ac:dyDescent="0.25">
      <c r="A31856"/>
      <c r="B31856"/>
      <c r="C31856"/>
      <c r="E31856"/>
      <c r="F31856"/>
    </row>
    <row r="31857" spans="1:6" x14ac:dyDescent="0.25">
      <c r="A31857"/>
      <c r="B31857"/>
      <c r="C31857"/>
      <c r="E31857"/>
      <c r="F31857"/>
    </row>
    <row r="31858" spans="1:6" x14ac:dyDescent="0.25">
      <c r="A31858"/>
      <c r="B31858"/>
      <c r="C31858"/>
      <c r="E31858"/>
      <c r="F31858"/>
    </row>
    <row r="31859" spans="1:6" x14ac:dyDescent="0.25">
      <c r="A31859"/>
      <c r="B31859"/>
      <c r="C31859"/>
      <c r="E31859"/>
      <c r="F31859"/>
    </row>
    <row r="31860" spans="1:6" x14ac:dyDescent="0.25">
      <c r="A31860"/>
      <c r="B31860"/>
      <c r="C31860"/>
      <c r="E31860"/>
      <c r="F31860"/>
    </row>
    <row r="31861" spans="1:6" x14ac:dyDescent="0.25">
      <c r="A31861"/>
      <c r="B31861"/>
      <c r="C31861"/>
      <c r="E31861"/>
      <c r="F31861"/>
    </row>
    <row r="31862" spans="1:6" x14ac:dyDescent="0.25">
      <c r="A31862"/>
      <c r="B31862"/>
      <c r="C31862"/>
      <c r="E31862"/>
      <c r="F31862"/>
    </row>
    <row r="31863" spans="1:6" x14ac:dyDescent="0.25">
      <c r="A31863"/>
      <c r="B31863"/>
      <c r="C31863"/>
      <c r="E31863"/>
      <c r="F31863"/>
    </row>
    <row r="31864" spans="1:6" x14ac:dyDescent="0.25">
      <c r="A31864"/>
      <c r="B31864"/>
      <c r="C31864"/>
      <c r="E31864"/>
      <c r="F31864"/>
    </row>
    <row r="31865" spans="1:6" x14ac:dyDescent="0.25">
      <c r="A31865"/>
      <c r="B31865"/>
      <c r="C31865"/>
      <c r="E31865"/>
      <c r="F31865"/>
    </row>
    <row r="31866" spans="1:6" x14ac:dyDescent="0.25">
      <c r="A31866"/>
      <c r="B31866"/>
      <c r="C31866"/>
      <c r="E31866"/>
      <c r="F31866"/>
    </row>
    <row r="31867" spans="1:6" x14ac:dyDescent="0.25">
      <c r="A31867"/>
      <c r="B31867"/>
      <c r="C31867"/>
      <c r="E31867"/>
      <c r="F31867"/>
    </row>
    <row r="31868" spans="1:6" x14ac:dyDescent="0.25">
      <c r="A31868"/>
      <c r="B31868"/>
      <c r="C31868"/>
      <c r="E31868"/>
      <c r="F31868"/>
    </row>
    <row r="31869" spans="1:6" x14ac:dyDescent="0.25">
      <c r="A31869"/>
      <c r="B31869"/>
      <c r="C31869"/>
      <c r="E31869"/>
      <c r="F31869"/>
    </row>
    <row r="31870" spans="1:6" x14ac:dyDescent="0.25">
      <c r="A31870"/>
      <c r="B31870"/>
      <c r="C31870"/>
      <c r="E31870"/>
      <c r="F31870"/>
    </row>
    <row r="31871" spans="1:6" x14ac:dyDescent="0.25">
      <c r="A31871"/>
      <c r="B31871"/>
      <c r="C31871"/>
      <c r="E31871"/>
      <c r="F31871"/>
    </row>
    <row r="31872" spans="1:6" x14ac:dyDescent="0.25">
      <c r="A31872"/>
      <c r="B31872"/>
      <c r="C31872"/>
      <c r="E31872"/>
      <c r="F31872"/>
    </row>
    <row r="31873" spans="1:6" x14ac:dyDescent="0.25">
      <c r="A31873"/>
      <c r="B31873"/>
      <c r="C31873"/>
      <c r="E31873"/>
      <c r="F31873"/>
    </row>
    <row r="31874" spans="1:6" x14ac:dyDescent="0.25">
      <c r="A31874"/>
      <c r="B31874"/>
      <c r="C31874"/>
      <c r="E31874"/>
      <c r="F31874"/>
    </row>
    <row r="31875" spans="1:6" x14ac:dyDescent="0.25">
      <c r="A31875"/>
      <c r="B31875"/>
      <c r="C31875"/>
      <c r="E31875"/>
      <c r="F31875"/>
    </row>
    <row r="31876" spans="1:6" x14ac:dyDescent="0.25">
      <c r="A31876"/>
      <c r="B31876"/>
      <c r="C31876"/>
      <c r="E31876"/>
      <c r="F31876"/>
    </row>
    <row r="31877" spans="1:6" x14ac:dyDescent="0.25">
      <c r="A31877"/>
      <c r="B31877"/>
      <c r="C31877"/>
      <c r="E31877"/>
      <c r="F31877"/>
    </row>
    <row r="31878" spans="1:6" x14ac:dyDescent="0.25">
      <c r="A31878"/>
      <c r="B31878"/>
      <c r="C31878"/>
      <c r="E31878"/>
      <c r="F31878"/>
    </row>
    <row r="31879" spans="1:6" x14ac:dyDescent="0.25">
      <c r="A31879"/>
      <c r="B31879"/>
      <c r="C31879"/>
      <c r="E31879"/>
      <c r="F31879"/>
    </row>
    <row r="31880" spans="1:6" x14ac:dyDescent="0.25">
      <c r="A31880"/>
      <c r="B31880"/>
      <c r="C31880"/>
      <c r="E31880"/>
      <c r="F31880"/>
    </row>
    <row r="31881" spans="1:6" x14ac:dyDescent="0.25">
      <c r="A31881"/>
      <c r="B31881"/>
      <c r="C31881"/>
      <c r="E31881"/>
      <c r="F31881"/>
    </row>
    <row r="31882" spans="1:6" x14ac:dyDescent="0.25">
      <c r="A31882"/>
      <c r="B31882"/>
      <c r="C31882"/>
      <c r="E31882"/>
      <c r="F31882"/>
    </row>
    <row r="31883" spans="1:6" x14ac:dyDescent="0.25">
      <c r="A31883"/>
      <c r="B31883"/>
      <c r="C31883"/>
      <c r="E31883"/>
      <c r="F31883"/>
    </row>
    <row r="31884" spans="1:6" x14ac:dyDescent="0.25">
      <c r="A31884"/>
      <c r="B31884"/>
      <c r="C31884"/>
      <c r="E31884"/>
      <c r="F31884"/>
    </row>
    <row r="31885" spans="1:6" x14ac:dyDescent="0.25">
      <c r="A31885"/>
      <c r="B31885"/>
      <c r="C31885"/>
      <c r="E31885"/>
      <c r="F31885"/>
    </row>
    <row r="31886" spans="1:6" x14ac:dyDescent="0.25">
      <c r="A31886"/>
      <c r="B31886"/>
      <c r="C31886"/>
      <c r="E31886"/>
      <c r="F31886"/>
    </row>
    <row r="31887" spans="1:6" x14ac:dyDescent="0.25">
      <c r="A31887"/>
      <c r="B31887"/>
      <c r="C31887"/>
      <c r="E31887"/>
      <c r="F31887"/>
    </row>
    <row r="31888" spans="1:6" x14ac:dyDescent="0.25">
      <c r="A31888"/>
      <c r="B31888"/>
      <c r="C31888"/>
      <c r="E31888"/>
      <c r="F31888"/>
    </row>
    <row r="31889" spans="1:6" x14ac:dyDescent="0.25">
      <c r="A31889"/>
      <c r="B31889"/>
      <c r="C31889"/>
      <c r="E31889"/>
      <c r="F31889"/>
    </row>
    <row r="31890" spans="1:6" x14ac:dyDescent="0.25">
      <c r="A31890"/>
      <c r="B31890"/>
      <c r="C31890"/>
      <c r="E31890"/>
      <c r="F31890"/>
    </row>
    <row r="31891" spans="1:6" x14ac:dyDescent="0.25">
      <c r="A31891"/>
      <c r="B31891"/>
      <c r="C31891"/>
      <c r="E31891"/>
      <c r="F31891"/>
    </row>
    <row r="31892" spans="1:6" x14ac:dyDescent="0.25">
      <c r="A31892"/>
      <c r="B31892"/>
      <c r="C31892"/>
      <c r="E31892"/>
      <c r="F31892"/>
    </row>
    <row r="31893" spans="1:6" x14ac:dyDescent="0.25">
      <c r="A31893"/>
      <c r="B31893"/>
      <c r="C31893"/>
      <c r="E31893"/>
      <c r="F31893"/>
    </row>
    <row r="31894" spans="1:6" x14ac:dyDescent="0.25">
      <c r="A31894"/>
      <c r="B31894"/>
      <c r="C31894"/>
      <c r="E31894"/>
      <c r="F31894"/>
    </row>
    <row r="31895" spans="1:6" x14ac:dyDescent="0.25">
      <c r="A31895"/>
      <c r="B31895"/>
      <c r="C31895"/>
      <c r="E31895"/>
      <c r="F31895"/>
    </row>
    <row r="31896" spans="1:6" x14ac:dyDescent="0.25">
      <c r="A31896"/>
      <c r="B31896"/>
      <c r="C31896"/>
      <c r="E31896"/>
      <c r="F31896"/>
    </row>
    <row r="31897" spans="1:6" x14ac:dyDescent="0.25">
      <c r="A31897"/>
      <c r="B31897"/>
      <c r="C31897"/>
      <c r="E31897"/>
      <c r="F31897"/>
    </row>
    <row r="31898" spans="1:6" x14ac:dyDescent="0.25">
      <c r="A31898"/>
      <c r="B31898"/>
      <c r="C31898"/>
      <c r="E31898"/>
      <c r="F31898"/>
    </row>
    <row r="31899" spans="1:6" x14ac:dyDescent="0.25">
      <c r="A31899"/>
      <c r="B31899"/>
      <c r="C31899"/>
      <c r="E31899"/>
      <c r="F31899"/>
    </row>
    <row r="31900" spans="1:6" x14ac:dyDescent="0.25">
      <c r="A31900"/>
      <c r="B31900"/>
      <c r="C31900"/>
      <c r="E31900"/>
      <c r="F31900"/>
    </row>
    <row r="31901" spans="1:6" x14ac:dyDescent="0.25">
      <c r="A31901"/>
      <c r="B31901"/>
      <c r="C31901"/>
      <c r="E31901"/>
      <c r="F31901"/>
    </row>
    <row r="31902" spans="1:6" x14ac:dyDescent="0.25">
      <c r="A31902"/>
      <c r="B31902"/>
      <c r="C31902"/>
      <c r="E31902"/>
      <c r="F31902"/>
    </row>
    <row r="31903" spans="1:6" x14ac:dyDescent="0.25">
      <c r="A31903"/>
      <c r="B31903"/>
      <c r="C31903"/>
      <c r="E31903"/>
      <c r="F31903"/>
    </row>
    <row r="31904" spans="1:6" x14ac:dyDescent="0.25">
      <c r="A31904"/>
      <c r="B31904"/>
      <c r="C31904"/>
      <c r="E31904"/>
      <c r="F31904"/>
    </row>
    <row r="31905" spans="1:6" x14ac:dyDescent="0.25">
      <c r="A31905"/>
      <c r="B31905"/>
      <c r="C31905"/>
      <c r="E31905"/>
      <c r="F31905"/>
    </row>
    <row r="31906" spans="1:6" x14ac:dyDescent="0.25">
      <c r="A31906"/>
      <c r="B31906"/>
      <c r="C31906"/>
      <c r="E31906"/>
      <c r="F31906"/>
    </row>
    <row r="31907" spans="1:6" x14ac:dyDescent="0.25">
      <c r="A31907"/>
      <c r="B31907"/>
      <c r="C31907"/>
      <c r="E31907"/>
      <c r="F31907"/>
    </row>
    <row r="31908" spans="1:6" x14ac:dyDescent="0.25">
      <c r="A31908"/>
      <c r="B31908"/>
      <c r="C31908"/>
      <c r="E31908"/>
      <c r="F31908"/>
    </row>
    <row r="31909" spans="1:6" x14ac:dyDescent="0.25">
      <c r="A31909"/>
      <c r="B31909"/>
      <c r="C31909"/>
      <c r="E31909"/>
      <c r="F31909"/>
    </row>
    <row r="31910" spans="1:6" x14ac:dyDescent="0.25">
      <c r="A31910"/>
      <c r="B31910"/>
      <c r="C31910"/>
      <c r="E31910"/>
      <c r="F31910"/>
    </row>
    <row r="31911" spans="1:6" x14ac:dyDescent="0.25">
      <c r="A31911"/>
      <c r="B31911"/>
      <c r="C31911"/>
      <c r="E31911"/>
      <c r="F31911"/>
    </row>
    <row r="31912" spans="1:6" x14ac:dyDescent="0.25">
      <c r="A31912"/>
      <c r="B31912"/>
      <c r="C31912"/>
      <c r="E31912"/>
      <c r="F31912"/>
    </row>
    <row r="31913" spans="1:6" x14ac:dyDescent="0.25">
      <c r="A31913"/>
      <c r="B31913"/>
      <c r="C31913"/>
      <c r="E31913"/>
      <c r="F31913"/>
    </row>
    <row r="31914" spans="1:6" x14ac:dyDescent="0.25">
      <c r="A31914"/>
      <c r="B31914"/>
      <c r="C31914"/>
      <c r="E31914"/>
      <c r="F31914"/>
    </row>
    <row r="31915" spans="1:6" x14ac:dyDescent="0.25">
      <c r="A31915"/>
      <c r="B31915"/>
      <c r="C31915"/>
      <c r="E31915"/>
      <c r="F31915"/>
    </row>
    <row r="31916" spans="1:6" x14ac:dyDescent="0.25">
      <c r="A31916"/>
      <c r="B31916"/>
      <c r="C31916"/>
      <c r="E31916"/>
      <c r="F31916"/>
    </row>
    <row r="31917" spans="1:6" x14ac:dyDescent="0.25">
      <c r="A31917"/>
      <c r="B31917"/>
      <c r="C31917"/>
      <c r="E31917"/>
      <c r="F31917"/>
    </row>
    <row r="31918" spans="1:6" x14ac:dyDescent="0.25">
      <c r="A31918"/>
      <c r="B31918"/>
      <c r="C31918"/>
      <c r="E31918"/>
      <c r="F31918"/>
    </row>
    <row r="31919" spans="1:6" x14ac:dyDescent="0.25">
      <c r="A31919"/>
      <c r="B31919"/>
      <c r="C31919"/>
      <c r="E31919"/>
      <c r="F31919"/>
    </row>
    <row r="31920" spans="1:6" x14ac:dyDescent="0.25">
      <c r="A31920"/>
      <c r="B31920"/>
      <c r="C31920"/>
      <c r="E31920"/>
      <c r="F31920"/>
    </row>
    <row r="31921" spans="1:6" x14ac:dyDescent="0.25">
      <c r="A31921"/>
      <c r="B31921"/>
      <c r="C31921"/>
      <c r="E31921"/>
      <c r="F31921"/>
    </row>
    <row r="31922" spans="1:6" x14ac:dyDescent="0.25">
      <c r="A31922"/>
      <c r="B31922"/>
      <c r="C31922"/>
      <c r="E31922"/>
      <c r="F31922"/>
    </row>
    <row r="31923" spans="1:6" x14ac:dyDescent="0.25">
      <c r="A31923"/>
      <c r="B31923"/>
      <c r="C31923"/>
      <c r="E31923"/>
      <c r="F31923"/>
    </row>
    <row r="31924" spans="1:6" x14ac:dyDescent="0.25">
      <c r="A31924"/>
      <c r="B31924"/>
      <c r="C31924"/>
      <c r="E31924"/>
      <c r="F31924"/>
    </row>
    <row r="31925" spans="1:6" x14ac:dyDescent="0.25">
      <c r="A31925"/>
      <c r="B31925"/>
      <c r="C31925"/>
      <c r="E31925"/>
      <c r="F31925"/>
    </row>
    <row r="31926" spans="1:6" x14ac:dyDescent="0.25">
      <c r="A31926"/>
      <c r="B31926"/>
      <c r="C31926"/>
      <c r="E31926"/>
      <c r="F31926"/>
    </row>
    <row r="31927" spans="1:6" x14ac:dyDescent="0.25">
      <c r="A31927"/>
      <c r="B31927"/>
      <c r="C31927"/>
      <c r="E31927"/>
      <c r="F31927"/>
    </row>
    <row r="31928" spans="1:6" x14ac:dyDescent="0.25">
      <c r="A31928"/>
      <c r="B31928"/>
      <c r="C31928"/>
      <c r="E31928"/>
      <c r="F31928"/>
    </row>
    <row r="31929" spans="1:6" x14ac:dyDescent="0.25">
      <c r="A31929"/>
      <c r="B31929"/>
      <c r="C31929"/>
      <c r="E31929"/>
      <c r="F31929"/>
    </row>
    <row r="31930" spans="1:6" x14ac:dyDescent="0.25">
      <c r="A31930"/>
      <c r="B31930"/>
      <c r="C31930"/>
      <c r="E31930"/>
      <c r="F31930"/>
    </row>
    <row r="31931" spans="1:6" x14ac:dyDescent="0.25">
      <c r="A31931"/>
      <c r="B31931"/>
      <c r="C31931"/>
      <c r="E31931"/>
      <c r="F31931"/>
    </row>
    <row r="31932" spans="1:6" x14ac:dyDescent="0.25">
      <c r="A31932"/>
      <c r="B31932"/>
      <c r="C31932"/>
      <c r="E31932"/>
      <c r="F31932"/>
    </row>
    <row r="31933" spans="1:6" x14ac:dyDescent="0.25">
      <c r="A31933"/>
      <c r="B31933"/>
      <c r="C31933"/>
      <c r="E31933"/>
      <c r="F31933"/>
    </row>
    <row r="31934" spans="1:6" x14ac:dyDescent="0.25">
      <c r="A31934"/>
      <c r="B31934"/>
      <c r="C31934"/>
      <c r="E31934"/>
      <c r="F31934"/>
    </row>
    <row r="31935" spans="1:6" x14ac:dyDescent="0.25">
      <c r="A31935"/>
      <c r="B31935"/>
      <c r="C31935"/>
      <c r="E31935"/>
      <c r="F31935"/>
    </row>
    <row r="31936" spans="1:6" x14ac:dyDescent="0.25">
      <c r="A31936"/>
      <c r="B31936"/>
      <c r="C31936"/>
      <c r="E31936"/>
      <c r="F31936"/>
    </row>
    <row r="31937" spans="1:6" x14ac:dyDescent="0.25">
      <c r="A31937"/>
      <c r="B31937"/>
      <c r="C31937"/>
      <c r="E31937"/>
      <c r="F31937"/>
    </row>
    <row r="31938" spans="1:6" x14ac:dyDescent="0.25">
      <c r="A31938"/>
      <c r="B31938"/>
      <c r="C31938"/>
      <c r="E31938"/>
      <c r="F31938"/>
    </row>
    <row r="31939" spans="1:6" x14ac:dyDescent="0.25">
      <c r="A31939"/>
      <c r="B31939"/>
      <c r="C31939"/>
      <c r="E31939"/>
      <c r="F31939"/>
    </row>
    <row r="31940" spans="1:6" x14ac:dyDescent="0.25">
      <c r="A31940"/>
      <c r="B31940"/>
      <c r="C31940"/>
      <c r="E31940"/>
      <c r="F31940"/>
    </row>
    <row r="31941" spans="1:6" x14ac:dyDescent="0.25">
      <c r="A31941"/>
      <c r="B31941"/>
      <c r="C31941"/>
      <c r="E31941"/>
      <c r="F31941"/>
    </row>
    <row r="31942" spans="1:6" x14ac:dyDescent="0.25">
      <c r="A31942"/>
      <c r="B31942"/>
      <c r="C31942"/>
      <c r="E31942"/>
      <c r="F31942"/>
    </row>
    <row r="31943" spans="1:6" x14ac:dyDescent="0.25">
      <c r="A31943"/>
      <c r="B31943"/>
      <c r="C31943"/>
      <c r="E31943"/>
      <c r="F31943"/>
    </row>
    <row r="31944" spans="1:6" x14ac:dyDescent="0.25">
      <c r="A31944"/>
      <c r="B31944"/>
      <c r="C31944"/>
      <c r="E31944"/>
      <c r="F31944"/>
    </row>
    <row r="31945" spans="1:6" x14ac:dyDescent="0.25">
      <c r="A31945"/>
      <c r="B31945"/>
      <c r="C31945"/>
      <c r="E31945"/>
      <c r="F31945"/>
    </row>
    <row r="31946" spans="1:6" x14ac:dyDescent="0.25">
      <c r="A31946"/>
      <c r="B31946"/>
      <c r="C31946"/>
      <c r="E31946"/>
      <c r="F31946"/>
    </row>
    <row r="31947" spans="1:6" x14ac:dyDescent="0.25">
      <c r="A31947"/>
      <c r="B31947"/>
      <c r="C31947"/>
      <c r="E31947"/>
      <c r="F31947"/>
    </row>
    <row r="31948" spans="1:6" x14ac:dyDescent="0.25">
      <c r="A31948"/>
      <c r="B31948"/>
      <c r="C31948"/>
      <c r="E31948"/>
      <c r="F31948"/>
    </row>
    <row r="31949" spans="1:6" x14ac:dyDescent="0.25">
      <c r="A31949"/>
      <c r="B31949"/>
      <c r="C31949"/>
      <c r="E31949"/>
      <c r="F31949"/>
    </row>
    <row r="31950" spans="1:6" x14ac:dyDescent="0.25">
      <c r="A31950"/>
      <c r="B31950"/>
      <c r="C31950"/>
      <c r="E31950"/>
      <c r="F31950"/>
    </row>
    <row r="31951" spans="1:6" x14ac:dyDescent="0.25">
      <c r="A31951"/>
      <c r="B31951"/>
      <c r="C31951"/>
      <c r="E31951"/>
      <c r="F31951"/>
    </row>
    <row r="31952" spans="1:6" x14ac:dyDescent="0.25">
      <c r="A31952"/>
      <c r="B31952"/>
      <c r="C31952"/>
      <c r="E31952"/>
      <c r="F31952"/>
    </row>
    <row r="31953" spans="1:6" x14ac:dyDescent="0.25">
      <c r="A31953"/>
      <c r="B31953"/>
      <c r="C31953"/>
      <c r="E31953"/>
      <c r="F31953"/>
    </row>
    <row r="31954" spans="1:6" x14ac:dyDescent="0.25">
      <c r="A31954"/>
      <c r="B31954"/>
      <c r="C31954"/>
      <c r="E31954"/>
      <c r="F31954"/>
    </row>
    <row r="31955" spans="1:6" x14ac:dyDescent="0.25">
      <c r="A31955"/>
      <c r="B31955"/>
      <c r="C31955"/>
      <c r="E31955"/>
      <c r="F31955"/>
    </row>
    <row r="31956" spans="1:6" x14ac:dyDescent="0.25">
      <c r="A31956"/>
      <c r="B31956"/>
      <c r="C31956"/>
      <c r="E31956"/>
      <c r="F31956"/>
    </row>
    <row r="31957" spans="1:6" x14ac:dyDescent="0.25">
      <c r="A31957"/>
      <c r="B31957"/>
      <c r="C31957"/>
      <c r="E31957"/>
      <c r="F31957"/>
    </row>
    <row r="31958" spans="1:6" x14ac:dyDescent="0.25">
      <c r="A31958"/>
      <c r="B31958"/>
      <c r="C31958"/>
      <c r="E31958"/>
      <c r="F31958"/>
    </row>
    <row r="31959" spans="1:6" x14ac:dyDescent="0.25">
      <c r="A31959"/>
      <c r="B31959"/>
      <c r="C31959"/>
      <c r="E31959"/>
      <c r="F31959"/>
    </row>
    <row r="31960" spans="1:6" x14ac:dyDescent="0.25">
      <c r="A31960"/>
      <c r="B31960"/>
      <c r="C31960"/>
      <c r="E31960"/>
      <c r="F31960"/>
    </row>
    <row r="31961" spans="1:6" x14ac:dyDescent="0.25">
      <c r="A31961"/>
      <c r="B31961"/>
      <c r="C31961"/>
      <c r="E31961"/>
      <c r="F31961"/>
    </row>
    <row r="31962" spans="1:6" x14ac:dyDescent="0.25">
      <c r="A31962"/>
      <c r="B31962"/>
      <c r="C31962"/>
      <c r="E31962"/>
      <c r="F31962"/>
    </row>
    <row r="31963" spans="1:6" x14ac:dyDescent="0.25">
      <c r="A31963"/>
      <c r="B31963"/>
      <c r="C31963"/>
      <c r="E31963"/>
      <c r="F31963"/>
    </row>
    <row r="31964" spans="1:6" x14ac:dyDescent="0.25">
      <c r="A31964"/>
      <c r="B31964"/>
      <c r="C31964"/>
      <c r="E31964"/>
      <c r="F31964"/>
    </row>
    <row r="31965" spans="1:6" x14ac:dyDescent="0.25">
      <c r="A31965"/>
      <c r="B31965"/>
      <c r="C31965"/>
      <c r="E31965"/>
      <c r="F31965"/>
    </row>
    <row r="31966" spans="1:6" x14ac:dyDescent="0.25">
      <c r="A31966"/>
      <c r="B31966"/>
      <c r="C31966"/>
      <c r="E31966"/>
      <c r="F31966"/>
    </row>
    <row r="31967" spans="1:6" x14ac:dyDescent="0.25">
      <c r="A31967"/>
      <c r="B31967"/>
      <c r="C31967"/>
      <c r="E31967"/>
      <c r="F31967"/>
    </row>
    <row r="31968" spans="1:6" x14ac:dyDescent="0.25">
      <c r="A31968"/>
      <c r="B31968"/>
      <c r="C31968"/>
      <c r="E31968"/>
      <c r="F31968"/>
    </row>
    <row r="31969" spans="1:6" x14ac:dyDescent="0.25">
      <c r="A31969"/>
      <c r="B31969"/>
      <c r="C31969"/>
      <c r="E31969"/>
      <c r="F31969"/>
    </row>
    <row r="31970" spans="1:6" x14ac:dyDescent="0.25">
      <c r="A31970"/>
      <c r="B31970"/>
      <c r="C31970"/>
      <c r="E31970"/>
      <c r="F31970"/>
    </row>
    <row r="31971" spans="1:6" x14ac:dyDescent="0.25">
      <c r="A31971"/>
      <c r="B31971"/>
      <c r="C31971"/>
      <c r="E31971"/>
      <c r="F31971"/>
    </row>
    <row r="31972" spans="1:6" x14ac:dyDescent="0.25">
      <c r="A31972"/>
      <c r="B31972"/>
      <c r="C31972"/>
      <c r="E31972"/>
      <c r="F31972"/>
    </row>
    <row r="31973" spans="1:6" x14ac:dyDescent="0.25">
      <c r="A31973"/>
      <c r="B31973"/>
      <c r="C31973"/>
      <c r="E31973"/>
      <c r="F31973"/>
    </row>
    <row r="31974" spans="1:6" x14ac:dyDescent="0.25">
      <c r="A31974"/>
      <c r="B31974"/>
      <c r="C31974"/>
      <c r="E31974"/>
      <c r="F31974"/>
    </row>
    <row r="31975" spans="1:6" x14ac:dyDescent="0.25">
      <c r="A31975"/>
      <c r="B31975"/>
      <c r="C31975"/>
      <c r="E31975"/>
      <c r="F31975"/>
    </row>
    <row r="31976" spans="1:6" x14ac:dyDescent="0.25">
      <c r="A31976"/>
      <c r="B31976"/>
      <c r="C31976"/>
      <c r="E31976"/>
      <c r="F31976"/>
    </row>
    <row r="31977" spans="1:6" x14ac:dyDescent="0.25">
      <c r="A31977"/>
      <c r="B31977"/>
      <c r="C31977"/>
      <c r="E31977"/>
      <c r="F31977"/>
    </row>
    <row r="31978" spans="1:6" x14ac:dyDescent="0.25">
      <c r="A31978"/>
      <c r="B31978"/>
      <c r="C31978"/>
      <c r="E31978"/>
      <c r="F31978"/>
    </row>
    <row r="31979" spans="1:6" x14ac:dyDescent="0.25">
      <c r="A31979"/>
      <c r="B31979"/>
      <c r="C31979"/>
      <c r="E31979"/>
      <c r="F31979"/>
    </row>
    <row r="31980" spans="1:6" x14ac:dyDescent="0.25">
      <c r="A31980"/>
      <c r="B31980"/>
      <c r="C31980"/>
      <c r="E31980"/>
      <c r="F31980"/>
    </row>
    <row r="31981" spans="1:6" x14ac:dyDescent="0.25">
      <c r="A31981"/>
      <c r="B31981"/>
      <c r="C31981"/>
      <c r="E31981"/>
      <c r="F31981"/>
    </row>
    <row r="31982" spans="1:6" x14ac:dyDescent="0.25">
      <c r="A31982"/>
      <c r="B31982"/>
      <c r="C31982"/>
      <c r="E31982"/>
      <c r="F31982"/>
    </row>
    <row r="31983" spans="1:6" x14ac:dyDescent="0.25">
      <c r="A31983"/>
      <c r="B31983"/>
      <c r="C31983"/>
      <c r="E31983"/>
      <c r="F31983"/>
    </row>
    <row r="31984" spans="1:6" x14ac:dyDescent="0.25">
      <c r="A31984"/>
      <c r="B31984"/>
      <c r="C31984"/>
      <c r="E31984"/>
      <c r="F31984"/>
    </row>
    <row r="31985" spans="1:6" x14ac:dyDescent="0.25">
      <c r="A31985"/>
      <c r="B31985"/>
      <c r="C31985"/>
      <c r="E31985"/>
      <c r="F31985"/>
    </row>
    <row r="31986" spans="1:6" x14ac:dyDescent="0.25">
      <c r="A31986"/>
      <c r="B31986"/>
      <c r="C31986"/>
      <c r="E31986"/>
      <c r="F31986"/>
    </row>
    <row r="31987" spans="1:6" x14ac:dyDescent="0.25">
      <c r="A31987"/>
      <c r="B31987"/>
      <c r="C31987"/>
      <c r="E31987"/>
      <c r="F31987"/>
    </row>
    <row r="31988" spans="1:6" x14ac:dyDescent="0.25">
      <c r="A31988"/>
      <c r="B31988"/>
      <c r="C31988"/>
      <c r="E31988"/>
      <c r="F31988"/>
    </row>
    <row r="31989" spans="1:6" x14ac:dyDescent="0.25">
      <c r="A31989"/>
      <c r="B31989"/>
      <c r="C31989"/>
      <c r="E31989"/>
      <c r="F31989"/>
    </row>
    <row r="31990" spans="1:6" x14ac:dyDescent="0.25">
      <c r="A31990"/>
      <c r="B31990"/>
      <c r="C31990"/>
      <c r="E31990"/>
      <c r="F31990"/>
    </row>
    <row r="31991" spans="1:6" x14ac:dyDescent="0.25">
      <c r="A31991"/>
      <c r="B31991"/>
      <c r="C31991"/>
      <c r="E31991"/>
      <c r="F31991"/>
    </row>
    <row r="31992" spans="1:6" x14ac:dyDescent="0.25">
      <c r="A31992"/>
      <c r="B31992"/>
      <c r="C31992"/>
      <c r="E31992"/>
      <c r="F31992"/>
    </row>
    <row r="31993" spans="1:6" x14ac:dyDescent="0.25">
      <c r="A31993"/>
      <c r="B31993"/>
      <c r="C31993"/>
      <c r="E31993"/>
      <c r="F31993"/>
    </row>
    <row r="31994" spans="1:6" x14ac:dyDescent="0.25">
      <c r="A31994"/>
      <c r="B31994"/>
      <c r="C31994"/>
      <c r="E31994"/>
      <c r="F31994"/>
    </row>
    <row r="31995" spans="1:6" x14ac:dyDescent="0.25">
      <c r="A31995"/>
      <c r="B31995"/>
      <c r="C31995"/>
      <c r="E31995"/>
      <c r="F31995"/>
    </row>
    <row r="31996" spans="1:6" x14ac:dyDescent="0.25">
      <c r="A31996"/>
      <c r="B31996"/>
      <c r="C31996"/>
      <c r="E31996"/>
      <c r="F31996"/>
    </row>
    <row r="31997" spans="1:6" x14ac:dyDescent="0.25">
      <c r="A31997"/>
      <c r="B31997"/>
      <c r="C31997"/>
      <c r="E31997"/>
      <c r="F31997"/>
    </row>
    <row r="31998" spans="1:6" x14ac:dyDescent="0.25">
      <c r="A31998"/>
      <c r="B31998"/>
      <c r="C31998"/>
      <c r="E31998"/>
      <c r="F31998"/>
    </row>
    <row r="31999" spans="1:6" x14ac:dyDescent="0.25">
      <c r="A31999"/>
      <c r="B31999"/>
      <c r="C31999"/>
      <c r="E31999"/>
      <c r="F31999"/>
    </row>
    <row r="32000" spans="1:6" x14ac:dyDescent="0.25">
      <c r="A32000"/>
      <c r="B32000"/>
      <c r="C32000"/>
      <c r="E32000"/>
      <c r="F32000"/>
    </row>
    <row r="32001" spans="1:6" x14ac:dyDescent="0.25">
      <c r="A32001"/>
      <c r="B32001"/>
      <c r="C32001"/>
      <c r="E32001"/>
      <c r="F32001"/>
    </row>
    <row r="32002" spans="1:6" x14ac:dyDescent="0.25">
      <c r="A32002"/>
      <c r="B32002"/>
      <c r="C32002"/>
      <c r="E32002"/>
      <c r="F32002"/>
    </row>
    <row r="32003" spans="1:6" x14ac:dyDescent="0.25">
      <c r="A32003"/>
      <c r="B32003"/>
      <c r="C32003"/>
      <c r="E32003"/>
      <c r="F32003"/>
    </row>
    <row r="32004" spans="1:6" x14ac:dyDescent="0.25">
      <c r="A32004"/>
      <c r="B32004"/>
      <c r="C32004"/>
      <c r="E32004"/>
      <c r="F32004"/>
    </row>
    <row r="32005" spans="1:6" x14ac:dyDescent="0.25">
      <c r="A32005"/>
      <c r="B32005"/>
      <c r="C32005"/>
      <c r="E32005"/>
      <c r="F32005"/>
    </row>
    <row r="32006" spans="1:6" x14ac:dyDescent="0.25">
      <c r="A32006"/>
      <c r="B32006"/>
      <c r="C32006"/>
      <c r="E32006"/>
      <c r="F32006"/>
    </row>
    <row r="32007" spans="1:6" x14ac:dyDescent="0.25">
      <c r="A32007"/>
      <c r="B32007"/>
      <c r="C32007"/>
      <c r="E32007"/>
      <c r="F32007"/>
    </row>
    <row r="32008" spans="1:6" x14ac:dyDescent="0.25">
      <c r="A32008"/>
      <c r="B32008"/>
      <c r="C32008"/>
      <c r="E32008"/>
      <c r="F32008"/>
    </row>
    <row r="32009" spans="1:6" x14ac:dyDescent="0.25">
      <c r="A32009"/>
      <c r="B32009"/>
      <c r="C32009"/>
      <c r="E32009"/>
      <c r="F32009"/>
    </row>
    <row r="32010" spans="1:6" x14ac:dyDescent="0.25">
      <c r="A32010"/>
      <c r="B32010"/>
      <c r="C32010"/>
      <c r="E32010"/>
      <c r="F32010"/>
    </row>
    <row r="32011" spans="1:6" x14ac:dyDescent="0.25">
      <c r="A32011"/>
      <c r="B32011"/>
      <c r="C32011"/>
      <c r="E32011"/>
      <c r="F32011"/>
    </row>
    <row r="32012" spans="1:6" x14ac:dyDescent="0.25">
      <c r="A32012"/>
      <c r="B32012"/>
      <c r="C32012"/>
      <c r="E32012"/>
      <c r="F32012"/>
    </row>
    <row r="32013" spans="1:6" x14ac:dyDescent="0.25">
      <c r="A32013"/>
      <c r="B32013"/>
      <c r="C32013"/>
      <c r="E32013"/>
      <c r="F32013"/>
    </row>
    <row r="32014" spans="1:6" x14ac:dyDescent="0.25">
      <c r="A32014"/>
      <c r="B32014"/>
      <c r="C32014"/>
      <c r="E32014"/>
      <c r="F32014"/>
    </row>
    <row r="32015" spans="1:6" x14ac:dyDescent="0.25">
      <c r="A32015"/>
      <c r="B32015"/>
      <c r="C32015"/>
      <c r="E32015"/>
      <c r="F32015"/>
    </row>
    <row r="32016" spans="1:6" x14ac:dyDescent="0.25">
      <c r="A32016"/>
      <c r="B32016"/>
      <c r="C32016"/>
      <c r="E32016"/>
      <c r="F32016"/>
    </row>
    <row r="32017" spans="1:6" x14ac:dyDescent="0.25">
      <c r="A32017"/>
      <c r="B32017"/>
      <c r="C32017"/>
      <c r="E32017"/>
      <c r="F32017"/>
    </row>
    <row r="32018" spans="1:6" x14ac:dyDescent="0.25">
      <c r="A32018"/>
      <c r="B32018"/>
      <c r="C32018"/>
      <c r="E32018"/>
      <c r="F32018"/>
    </row>
    <row r="32019" spans="1:6" x14ac:dyDescent="0.25">
      <c r="A32019"/>
      <c r="B32019"/>
      <c r="C32019"/>
      <c r="E32019"/>
      <c r="F32019"/>
    </row>
    <row r="32020" spans="1:6" x14ac:dyDescent="0.25">
      <c r="A32020"/>
      <c r="B32020"/>
      <c r="C32020"/>
      <c r="E32020"/>
      <c r="F32020"/>
    </row>
    <row r="32021" spans="1:6" x14ac:dyDescent="0.25">
      <c r="A32021"/>
      <c r="B32021"/>
      <c r="C32021"/>
      <c r="E32021"/>
      <c r="F32021"/>
    </row>
    <row r="32022" spans="1:6" x14ac:dyDescent="0.25">
      <c r="A32022"/>
      <c r="B32022"/>
      <c r="C32022"/>
      <c r="E32022"/>
      <c r="F32022"/>
    </row>
    <row r="32023" spans="1:6" x14ac:dyDescent="0.25">
      <c r="A32023"/>
      <c r="B32023"/>
      <c r="C32023"/>
      <c r="E32023"/>
      <c r="F32023"/>
    </row>
    <row r="32024" spans="1:6" x14ac:dyDescent="0.25">
      <c r="A32024"/>
      <c r="B32024"/>
      <c r="C32024"/>
      <c r="E32024"/>
      <c r="F32024"/>
    </row>
    <row r="32025" spans="1:6" x14ac:dyDescent="0.25">
      <c r="A32025"/>
      <c r="B32025"/>
      <c r="C32025"/>
      <c r="E32025"/>
      <c r="F32025"/>
    </row>
    <row r="32026" spans="1:6" x14ac:dyDescent="0.25">
      <c r="A32026"/>
      <c r="B32026"/>
      <c r="C32026"/>
      <c r="E32026"/>
      <c r="F32026"/>
    </row>
    <row r="32027" spans="1:6" x14ac:dyDescent="0.25">
      <c r="A32027"/>
      <c r="B32027"/>
      <c r="C32027"/>
      <c r="E32027"/>
      <c r="F32027"/>
    </row>
    <row r="32028" spans="1:6" x14ac:dyDescent="0.25">
      <c r="A32028"/>
      <c r="B32028"/>
      <c r="C32028"/>
      <c r="E32028"/>
      <c r="F32028"/>
    </row>
    <row r="32029" spans="1:6" x14ac:dyDescent="0.25">
      <c r="A32029"/>
      <c r="B32029"/>
      <c r="C32029"/>
      <c r="E32029"/>
      <c r="F32029"/>
    </row>
    <row r="32030" spans="1:6" x14ac:dyDescent="0.25">
      <c r="A32030"/>
      <c r="B32030"/>
      <c r="C32030"/>
      <c r="E32030"/>
      <c r="F32030"/>
    </row>
    <row r="32031" spans="1:6" x14ac:dyDescent="0.25">
      <c r="A32031"/>
      <c r="B32031"/>
      <c r="C32031"/>
      <c r="E32031"/>
      <c r="F32031"/>
    </row>
    <row r="32032" spans="1:6" x14ac:dyDescent="0.25">
      <c r="A32032"/>
      <c r="B32032"/>
      <c r="C32032"/>
      <c r="E32032"/>
      <c r="F32032"/>
    </row>
    <row r="32033" spans="1:6" x14ac:dyDescent="0.25">
      <c r="A32033"/>
      <c r="B32033"/>
      <c r="C32033"/>
      <c r="E32033"/>
      <c r="F32033"/>
    </row>
    <row r="32034" spans="1:6" x14ac:dyDescent="0.25">
      <c r="A32034"/>
      <c r="B32034"/>
      <c r="C32034"/>
      <c r="E32034"/>
      <c r="F32034"/>
    </row>
    <row r="32035" spans="1:6" x14ac:dyDescent="0.25">
      <c r="A32035"/>
      <c r="B32035"/>
      <c r="C32035"/>
      <c r="E32035"/>
      <c r="F32035"/>
    </row>
    <row r="32036" spans="1:6" x14ac:dyDescent="0.25">
      <c r="A32036"/>
      <c r="B32036"/>
      <c r="C32036"/>
      <c r="E32036"/>
      <c r="F32036"/>
    </row>
    <row r="32037" spans="1:6" x14ac:dyDescent="0.25">
      <c r="A32037"/>
      <c r="B32037"/>
      <c r="C32037"/>
      <c r="E32037"/>
      <c r="F32037"/>
    </row>
    <row r="32038" spans="1:6" x14ac:dyDescent="0.25">
      <c r="A32038"/>
      <c r="B32038"/>
      <c r="C32038"/>
      <c r="E32038"/>
      <c r="F32038"/>
    </row>
    <row r="32039" spans="1:6" x14ac:dyDescent="0.25">
      <c r="A32039"/>
      <c r="B32039"/>
      <c r="C32039"/>
      <c r="E32039"/>
      <c r="F32039"/>
    </row>
    <row r="32040" spans="1:6" x14ac:dyDescent="0.25">
      <c r="A32040"/>
      <c r="B32040"/>
      <c r="C32040"/>
      <c r="E32040"/>
      <c r="F32040"/>
    </row>
    <row r="32041" spans="1:6" x14ac:dyDescent="0.25">
      <c r="A32041"/>
      <c r="B32041"/>
      <c r="C32041"/>
      <c r="E32041"/>
      <c r="F32041"/>
    </row>
    <row r="32042" spans="1:6" x14ac:dyDescent="0.25">
      <c r="A32042"/>
      <c r="B32042"/>
      <c r="C32042"/>
      <c r="E32042"/>
      <c r="F32042"/>
    </row>
    <row r="32043" spans="1:6" x14ac:dyDescent="0.25">
      <c r="A32043"/>
      <c r="B32043"/>
      <c r="C32043"/>
      <c r="E32043"/>
      <c r="F32043"/>
    </row>
    <row r="32044" spans="1:6" x14ac:dyDescent="0.25">
      <c r="A32044"/>
      <c r="B32044"/>
      <c r="C32044"/>
      <c r="E32044"/>
      <c r="F32044"/>
    </row>
    <row r="32045" spans="1:6" x14ac:dyDescent="0.25">
      <c r="A32045"/>
      <c r="B32045"/>
      <c r="C32045"/>
      <c r="E32045"/>
      <c r="F32045"/>
    </row>
    <row r="32046" spans="1:6" x14ac:dyDescent="0.25">
      <c r="A32046"/>
      <c r="B32046"/>
      <c r="C32046"/>
      <c r="E32046"/>
      <c r="F32046"/>
    </row>
    <row r="32047" spans="1:6" x14ac:dyDescent="0.25">
      <c r="A32047"/>
      <c r="B32047"/>
      <c r="C32047"/>
      <c r="E32047"/>
      <c r="F32047"/>
    </row>
    <row r="32048" spans="1:6" x14ac:dyDescent="0.25">
      <c r="A32048"/>
      <c r="B32048"/>
      <c r="C32048"/>
      <c r="E32048"/>
      <c r="F32048"/>
    </row>
    <row r="32049" spans="1:6" x14ac:dyDescent="0.25">
      <c r="A32049"/>
      <c r="B32049"/>
      <c r="C32049"/>
      <c r="E32049"/>
      <c r="F32049"/>
    </row>
    <row r="32050" spans="1:6" x14ac:dyDescent="0.25">
      <c r="A32050"/>
      <c r="B32050"/>
      <c r="C32050"/>
      <c r="E32050"/>
      <c r="F32050"/>
    </row>
    <row r="32051" spans="1:6" x14ac:dyDescent="0.25">
      <c r="A32051"/>
      <c r="B32051"/>
      <c r="C32051"/>
      <c r="E32051"/>
      <c r="F32051"/>
    </row>
    <row r="32052" spans="1:6" x14ac:dyDescent="0.25">
      <c r="A32052"/>
      <c r="B32052"/>
      <c r="C32052"/>
      <c r="E32052"/>
      <c r="F32052"/>
    </row>
    <row r="32053" spans="1:6" x14ac:dyDescent="0.25">
      <c r="A32053"/>
      <c r="B32053"/>
      <c r="C32053"/>
      <c r="E32053"/>
      <c r="F32053"/>
    </row>
    <row r="32054" spans="1:6" x14ac:dyDescent="0.25">
      <c r="A32054"/>
      <c r="B32054"/>
      <c r="C32054"/>
      <c r="E32054"/>
      <c r="F32054"/>
    </row>
    <row r="32055" spans="1:6" x14ac:dyDescent="0.25">
      <c r="A32055"/>
      <c r="B32055"/>
      <c r="C32055"/>
      <c r="E32055"/>
      <c r="F32055"/>
    </row>
    <row r="32056" spans="1:6" x14ac:dyDescent="0.25">
      <c r="A32056"/>
      <c r="B32056"/>
      <c r="C32056"/>
      <c r="E32056"/>
      <c r="F32056"/>
    </row>
    <row r="32057" spans="1:6" x14ac:dyDescent="0.25">
      <c r="A32057"/>
      <c r="B32057"/>
      <c r="C32057"/>
      <c r="E32057"/>
      <c r="F32057"/>
    </row>
    <row r="32058" spans="1:6" x14ac:dyDescent="0.25">
      <c r="A32058"/>
      <c r="B32058"/>
      <c r="C32058"/>
      <c r="E32058"/>
      <c r="F32058"/>
    </row>
    <row r="32059" spans="1:6" x14ac:dyDescent="0.25">
      <c r="A32059"/>
      <c r="B32059"/>
      <c r="C32059"/>
      <c r="E32059"/>
      <c r="F32059"/>
    </row>
    <row r="32060" spans="1:6" x14ac:dyDescent="0.25">
      <c r="A32060"/>
      <c r="B32060"/>
      <c r="C32060"/>
      <c r="E32060"/>
      <c r="F32060"/>
    </row>
    <row r="32061" spans="1:6" x14ac:dyDescent="0.25">
      <c r="A32061"/>
      <c r="B32061"/>
      <c r="C32061"/>
      <c r="E32061"/>
      <c r="F32061"/>
    </row>
    <row r="32062" spans="1:6" x14ac:dyDescent="0.25">
      <c r="A32062"/>
      <c r="B32062"/>
      <c r="C32062"/>
      <c r="E32062"/>
      <c r="F32062"/>
    </row>
    <row r="32063" spans="1:6" x14ac:dyDescent="0.25">
      <c r="A32063"/>
      <c r="B32063"/>
      <c r="C32063"/>
      <c r="E32063"/>
      <c r="F32063"/>
    </row>
    <row r="32064" spans="1:6" x14ac:dyDescent="0.25">
      <c r="A32064"/>
      <c r="B32064"/>
      <c r="C32064"/>
      <c r="E32064"/>
      <c r="F32064"/>
    </row>
    <row r="32065" spans="1:6" x14ac:dyDescent="0.25">
      <c r="A32065"/>
      <c r="B32065"/>
      <c r="C32065"/>
      <c r="E32065"/>
      <c r="F32065"/>
    </row>
    <row r="32066" spans="1:6" x14ac:dyDescent="0.25">
      <c r="A32066"/>
      <c r="B32066"/>
      <c r="C32066"/>
      <c r="E32066"/>
      <c r="F32066"/>
    </row>
    <row r="32067" spans="1:6" x14ac:dyDescent="0.25">
      <c r="A32067"/>
      <c r="B32067"/>
      <c r="C32067"/>
      <c r="E32067"/>
      <c r="F32067"/>
    </row>
    <row r="32068" spans="1:6" x14ac:dyDescent="0.25">
      <c r="A32068"/>
      <c r="B32068"/>
      <c r="C32068"/>
      <c r="E32068"/>
      <c r="F32068"/>
    </row>
    <row r="32069" spans="1:6" x14ac:dyDescent="0.25">
      <c r="A32069"/>
      <c r="B32069"/>
      <c r="C32069"/>
      <c r="E32069"/>
      <c r="F32069"/>
    </row>
    <row r="32070" spans="1:6" x14ac:dyDescent="0.25">
      <c r="A32070"/>
      <c r="B32070"/>
      <c r="C32070"/>
      <c r="E32070"/>
      <c r="F32070"/>
    </row>
    <row r="32071" spans="1:6" x14ac:dyDescent="0.25">
      <c r="A32071"/>
      <c r="B32071"/>
      <c r="C32071"/>
      <c r="E32071"/>
      <c r="F32071"/>
    </row>
    <row r="32072" spans="1:6" x14ac:dyDescent="0.25">
      <c r="A32072"/>
      <c r="B32072"/>
      <c r="C32072"/>
      <c r="E32072"/>
      <c r="F32072"/>
    </row>
    <row r="32073" spans="1:6" x14ac:dyDescent="0.25">
      <c r="A32073"/>
      <c r="B32073"/>
      <c r="C32073"/>
      <c r="E32073"/>
      <c r="F32073"/>
    </row>
    <row r="32074" spans="1:6" x14ac:dyDescent="0.25">
      <c r="A32074"/>
      <c r="B32074"/>
      <c r="C32074"/>
      <c r="E32074"/>
      <c r="F32074"/>
    </row>
    <row r="32075" spans="1:6" x14ac:dyDescent="0.25">
      <c r="A32075"/>
      <c r="B32075"/>
      <c r="C32075"/>
      <c r="E32075"/>
      <c r="F32075"/>
    </row>
    <row r="32076" spans="1:6" x14ac:dyDescent="0.25">
      <c r="A32076"/>
      <c r="B32076"/>
      <c r="C32076"/>
      <c r="E32076"/>
      <c r="F32076"/>
    </row>
    <row r="32077" spans="1:6" x14ac:dyDescent="0.25">
      <c r="A32077"/>
      <c r="B32077"/>
      <c r="C32077"/>
      <c r="E32077"/>
      <c r="F32077"/>
    </row>
    <row r="32078" spans="1:6" x14ac:dyDescent="0.25">
      <c r="A32078"/>
      <c r="B32078"/>
      <c r="C32078"/>
      <c r="E32078"/>
      <c r="F32078"/>
    </row>
    <row r="32079" spans="1:6" x14ac:dyDescent="0.25">
      <c r="A32079"/>
      <c r="B32079"/>
      <c r="C32079"/>
      <c r="E32079"/>
      <c r="F32079"/>
    </row>
    <row r="32080" spans="1:6" x14ac:dyDescent="0.25">
      <c r="A32080"/>
      <c r="B32080"/>
      <c r="C32080"/>
      <c r="E32080"/>
      <c r="F32080"/>
    </row>
    <row r="32081" spans="1:6" x14ac:dyDescent="0.25">
      <c r="A32081"/>
      <c r="B32081"/>
      <c r="C32081"/>
      <c r="E32081"/>
      <c r="F32081"/>
    </row>
    <row r="32082" spans="1:6" x14ac:dyDescent="0.25">
      <c r="A32082"/>
      <c r="B32082"/>
      <c r="C32082"/>
      <c r="E32082"/>
      <c r="F32082"/>
    </row>
    <row r="32083" spans="1:6" x14ac:dyDescent="0.25">
      <c r="A32083"/>
      <c r="B32083"/>
      <c r="C32083"/>
      <c r="E32083"/>
      <c r="F32083"/>
    </row>
    <row r="32084" spans="1:6" x14ac:dyDescent="0.25">
      <c r="A32084"/>
      <c r="B32084"/>
      <c r="C32084"/>
      <c r="E32084"/>
      <c r="F32084"/>
    </row>
    <row r="32085" spans="1:6" x14ac:dyDescent="0.25">
      <c r="A32085"/>
      <c r="B32085"/>
      <c r="C32085"/>
      <c r="E32085"/>
      <c r="F32085"/>
    </row>
    <row r="32086" spans="1:6" x14ac:dyDescent="0.25">
      <c r="A32086"/>
      <c r="B32086"/>
      <c r="C32086"/>
      <c r="E32086"/>
      <c r="F32086"/>
    </row>
    <row r="32087" spans="1:6" x14ac:dyDescent="0.25">
      <c r="A32087"/>
      <c r="B32087"/>
      <c r="C32087"/>
      <c r="E32087"/>
      <c r="F32087"/>
    </row>
    <row r="32088" spans="1:6" x14ac:dyDescent="0.25">
      <c r="A32088"/>
      <c r="B32088"/>
      <c r="C32088"/>
      <c r="E32088"/>
      <c r="F32088"/>
    </row>
    <row r="32089" spans="1:6" x14ac:dyDescent="0.25">
      <c r="A32089"/>
      <c r="B32089"/>
      <c r="C32089"/>
      <c r="E32089"/>
      <c r="F32089"/>
    </row>
    <row r="32090" spans="1:6" x14ac:dyDescent="0.25">
      <c r="A32090"/>
      <c r="B32090"/>
      <c r="C32090"/>
      <c r="E32090"/>
      <c r="F32090"/>
    </row>
    <row r="32091" spans="1:6" x14ac:dyDescent="0.25">
      <c r="A32091"/>
      <c r="B32091"/>
      <c r="C32091"/>
      <c r="E32091"/>
      <c r="F32091"/>
    </row>
    <row r="32092" spans="1:6" x14ac:dyDescent="0.25">
      <c r="A32092"/>
      <c r="B32092"/>
      <c r="C32092"/>
      <c r="E32092"/>
      <c r="F32092"/>
    </row>
    <row r="32093" spans="1:6" x14ac:dyDescent="0.25">
      <c r="A32093"/>
      <c r="B32093"/>
      <c r="C32093"/>
      <c r="E32093"/>
      <c r="F32093"/>
    </row>
    <row r="32094" spans="1:6" x14ac:dyDescent="0.25">
      <c r="A32094"/>
      <c r="B32094"/>
      <c r="C32094"/>
      <c r="E32094"/>
      <c r="F32094"/>
    </row>
    <row r="32095" spans="1:6" x14ac:dyDescent="0.25">
      <c r="A32095"/>
      <c r="B32095"/>
      <c r="C32095"/>
      <c r="E32095"/>
      <c r="F32095"/>
    </row>
    <row r="32096" spans="1:6" x14ac:dyDescent="0.25">
      <c r="A32096"/>
      <c r="B32096"/>
      <c r="C32096"/>
      <c r="E32096"/>
      <c r="F32096"/>
    </row>
    <row r="32097" spans="1:6" x14ac:dyDescent="0.25">
      <c r="A32097"/>
      <c r="B32097"/>
      <c r="C32097"/>
      <c r="E32097"/>
      <c r="F32097"/>
    </row>
    <row r="32098" spans="1:6" x14ac:dyDescent="0.25">
      <c r="A32098"/>
      <c r="B32098"/>
      <c r="C32098"/>
      <c r="E32098"/>
      <c r="F32098"/>
    </row>
    <row r="32099" spans="1:6" x14ac:dyDescent="0.25">
      <c r="A32099"/>
      <c r="B32099"/>
      <c r="C32099"/>
      <c r="E32099"/>
      <c r="F32099"/>
    </row>
    <row r="32100" spans="1:6" x14ac:dyDescent="0.25">
      <c r="A32100"/>
      <c r="B32100"/>
      <c r="C32100"/>
      <c r="E32100"/>
      <c r="F32100"/>
    </row>
    <row r="32101" spans="1:6" x14ac:dyDescent="0.25">
      <c r="A32101"/>
      <c r="B32101"/>
      <c r="C32101"/>
      <c r="E32101"/>
      <c r="F32101"/>
    </row>
    <row r="32102" spans="1:6" x14ac:dyDescent="0.25">
      <c r="A32102"/>
      <c r="B32102"/>
      <c r="C32102"/>
      <c r="E32102"/>
      <c r="F32102"/>
    </row>
    <row r="32103" spans="1:6" x14ac:dyDescent="0.25">
      <c r="A32103"/>
      <c r="B32103"/>
      <c r="C32103"/>
      <c r="E32103"/>
      <c r="F32103"/>
    </row>
    <row r="32104" spans="1:6" x14ac:dyDescent="0.25">
      <c r="A32104"/>
      <c r="B32104"/>
      <c r="C32104"/>
      <c r="E32104"/>
      <c r="F32104"/>
    </row>
    <row r="32105" spans="1:6" x14ac:dyDescent="0.25">
      <c r="A32105"/>
      <c r="B32105"/>
      <c r="C32105"/>
      <c r="E32105"/>
      <c r="F32105"/>
    </row>
    <row r="32106" spans="1:6" x14ac:dyDescent="0.25">
      <c r="A32106"/>
      <c r="B32106"/>
      <c r="C32106"/>
      <c r="E32106"/>
      <c r="F32106"/>
    </row>
    <row r="32107" spans="1:6" x14ac:dyDescent="0.25">
      <c r="A32107"/>
      <c r="B32107"/>
      <c r="C32107"/>
      <c r="E32107"/>
      <c r="F32107"/>
    </row>
    <row r="32108" spans="1:6" x14ac:dyDescent="0.25">
      <c r="A32108"/>
      <c r="B32108"/>
      <c r="C32108"/>
      <c r="E32108"/>
      <c r="F32108"/>
    </row>
    <row r="32109" spans="1:6" x14ac:dyDescent="0.25">
      <c r="A32109"/>
      <c r="B32109"/>
      <c r="C32109"/>
      <c r="E32109"/>
      <c r="F32109"/>
    </row>
    <row r="32110" spans="1:6" x14ac:dyDescent="0.25">
      <c r="A32110"/>
      <c r="B32110"/>
      <c r="C32110"/>
      <c r="E32110"/>
      <c r="F32110"/>
    </row>
    <row r="32111" spans="1:6" x14ac:dyDescent="0.25">
      <c r="A32111"/>
      <c r="B32111"/>
      <c r="C32111"/>
      <c r="E32111"/>
      <c r="F32111"/>
    </row>
    <row r="32112" spans="1:6" x14ac:dyDescent="0.25">
      <c r="A32112"/>
      <c r="B32112"/>
      <c r="C32112"/>
      <c r="E32112"/>
      <c r="F32112"/>
    </row>
    <row r="32113" spans="1:6" x14ac:dyDescent="0.25">
      <c r="A32113"/>
      <c r="B32113"/>
      <c r="C32113"/>
      <c r="E32113"/>
      <c r="F32113"/>
    </row>
    <row r="32114" spans="1:6" x14ac:dyDescent="0.25">
      <c r="A32114"/>
      <c r="B32114"/>
      <c r="C32114"/>
      <c r="E32114"/>
      <c r="F32114"/>
    </row>
    <row r="32115" spans="1:6" x14ac:dyDescent="0.25">
      <c r="A32115"/>
      <c r="B32115"/>
      <c r="C32115"/>
      <c r="E32115"/>
      <c r="F32115"/>
    </row>
    <row r="32116" spans="1:6" x14ac:dyDescent="0.25">
      <c r="A32116"/>
      <c r="B32116"/>
      <c r="C32116"/>
      <c r="E32116"/>
      <c r="F32116"/>
    </row>
    <row r="32117" spans="1:6" x14ac:dyDescent="0.25">
      <c r="A32117"/>
      <c r="B32117"/>
      <c r="C32117"/>
      <c r="E32117"/>
      <c r="F32117"/>
    </row>
    <row r="32118" spans="1:6" x14ac:dyDescent="0.25">
      <c r="A32118"/>
      <c r="B32118"/>
      <c r="C32118"/>
      <c r="E32118"/>
      <c r="F32118"/>
    </row>
    <row r="32119" spans="1:6" x14ac:dyDescent="0.25">
      <c r="A32119"/>
      <c r="B32119"/>
      <c r="C32119"/>
      <c r="E32119"/>
      <c r="F32119"/>
    </row>
    <row r="32120" spans="1:6" x14ac:dyDescent="0.25">
      <c r="A32120"/>
      <c r="B32120"/>
      <c r="C32120"/>
      <c r="E32120"/>
      <c r="F32120"/>
    </row>
    <row r="32121" spans="1:6" x14ac:dyDescent="0.25">
      <c r="A32121"/>
      <c r="B32121"/>
      <c r="C32121"/>
      <c r="E32121"/>
      <c r="F32121"/>
    </row>
    <row r="32122" spans="1:6" x14ac:dyDescent="0.25">
      <c r="A32122"/>
      <c r="B32122"/>
      <c r="C32122"/>
      <c r="E32122"/>
      <c r="F32122"/>
    </row>
    <row r="32123" spans="1:6" x14ac:dyDescent="0.25">
      <c r="A32123"/>
      <c r="B32123"/>
      <c r="C32123"/>
      <c r="E32123"/>
      <c r="F32123"/>
    </row>
    <row r="32124" spans="1:6" x14ac:dyDescent="0.25">
      <c r="A32124"/>
      <c r="B32124"/>
      <c r="C32124"/>
      <c r="E32124"/>
      <c r="F32124"/>
    </row>
    <row r="32125" spans="1:6" x14ac:dyDescent="0.25">
      <c r="A32125"/>
      <c r="B32125"/>
      <c r="C32125"/>
      <c r="E32125"/>
      <c r="F32125"/>
    </row>
    <row r="32126" spans="1:6" x14ac:dyDescent="0.25">
      <c r="A32126"/>
      <c r="B32126"/>
      <c r="C32126"/>
      <c r="E32126"/>
      <c r="F32126"/>
    </row>
    <row r="32127" spans="1:6" x14ac:dyDescent="0.25">
      <c r="A32127"/>
      <c r="B32127"/>
      <c r="C32127"/>
      <c r="E32127"/>
      <c r="F32127"/>
    </row>
    <row r="32128" spans="1:6" x14ac:dyDescent="0.25">
      <c r="A32128"/>
      <c r="B32128"/>
      <c r="C32128"/>
      <c r="E32128"/>
      <c r="F32128"/>
    </row>
    <row r="32129" spans="1:6" x14ac:dyDescent="0.25">
      <c r="A32129"/>
      <c r="B32129"/>
      <c r="C32129"/>
      <c r="E32129"/>
      <c r="F32129"/>
    </row>
    <row r="32130" spans="1:6" x14ac:dyDescent="0.25">
      <c r="A32130"/>
      <c r="B32130"/>
      <c r="C32130"/>
      <c r="E32130"/>
      <c r="F32130"/>
    </row>
    <row r="32131" spans="1:6" x14ac:dyDescent="0.25">
      <c r="A32131"/>
      <c r="B32131"/>
      <c r="C32131"/>
      <c r="E32131"/>
      <c r="F32131"/>
    </row>
    <row r="32132" spans="1:6" x14ac:dyDescent="0.25">
      <c r="A32132"/>
      <c r="B32132"/>
      <c r="C32132"/>
      <c r="E32132"/>
      <c r="F32132"/>
    </row>
    <row r="32133" spans="1:6" x14ac:dyDescent="0.25">
      <c r="A32133"/>
      <c r="B32133"/>
      <c r="C32133"/>
      <c r="E32133"/>
      <c r="F32133"/>
    </row>
    <row r="32134" spans="1:6" x14ac:dyDescent="0.25">
      <c r="A32134"/>
      <c r="B32134"/>
      <c r="C32134"/>
      <c r="E32134"/>
      <c r="F32134"/>
    </row>
    <row r="32135" spans="1:6" x14ac:dyDescent="0.25">
      <c r="A32135"/>
      <c r="B32135"/>
      <c r="C32135"/>
      <c r="E32135"/>
      <c r="F32135"/>
    </row>
    <row r="32136" spans="1:6" x14ac:dyDescent="0.25">
      <c r="A32136"/>
      <c r="B32136"/>
      <c r="C32136"/>
      <c r="E32136"/>
      <c r="F32136"/>
    </row>
    <row r="32137" spans="1:6" x14ac:dyDescent="0.25">
      <c r="A32137"/>
      <c r="B32137"/>
      <c r="C32137"/>
      <c r="E32137"/>
      <c r="F32137"/>
    </row>
    <row r="32138" spans="1:6" x14ac:dyDescent="0.25">
      <c r="A32138"/>
      <c r="B32138"/>
      <c r="C32138"/>
      <c r="E32138"/>
      <c r="F32138"/>
    </row>
    <row r="32139" spans="1:6" x14ac:dyDescent="0.25">
      <c r="A32139"/>
      <c r="B32139"/>
      <c r="C32139"/>
      <c r="E32139"/>
      <c r="F32139"/>
    </row>
    <row r="32140" spans="1:6" x14ac:dyDescent="0.25">
      <c r="A32140"/>
      <c r="B32140"/>
      <c r="C32140"/>
      <c r="E32140"/>
      <c r="F32140"/>
    </row>
    <row r="32141" spans="1:6" x14ac:dyDescent="0.25">
      <c r="A32141"/>
      <c r="B32141"/>
      <c r="C32141"/>
      <c r="E32141"/>
      <c r="F32141"/>
    </row>
    <row r="32142" spans="1:6" x14ac:dyDescent="0.25">
      <c r="A32142"/>
      <c r="B32142"/>
      <c r="C32142"/>
      <c r="E32142"/>
      <c r="F32142"/>
    </row>
    <row r="32143" spans="1:6" x14ac:dyDescent="0.25">
      <c r="A32143"/>
      <c r="B32143"/>
      <c r="C32143"/>
      <c r="E32143"/>
      <c r="F32143"/>
    </row>
    <row r="32144" spans="1:6" x14ac:dyDescent="0.25">
      <c r="A32144"/>
      <c r="B32144"/>
      <c r="C32144"/>
      <c r="E32144"/>
      <c r="F32144"/>
    </row>
    <row r="32145" spans="1:6" x14ac:dyDescent="0.25">
      <c r="A32145"/>
      <c r="B32145"/>
      <c r="C32145"/>
      <c r="E32145"/>
      <c r="F32145"/>
    </row>
    <row r="32146" spans="1:6" x14ac:dyDescent="0.25">
      <c r="A32146"/>
      <c r="B32146"/>
      <c r="C32146"/>
      <c r="E32146"/>
      <c r="F32146"/>
    </row>
    <row r="32147" spans="1:6" x14ac:dyDescent="0.25">
      <c r="A32147"/>
      <c r="B32147"/>
      <c r="C32147"/>
      <c r="E32147"/>
      <c r="F32147"/>
    </row>
    <row r="32148" spans="1:6" x14ac:dyDescent="0.25">
      <c r="A32148"/>
      <c r="B32148"/>
      <c r="C32148"/>
      <c r="E32148"/>
      <c r="F32148"/>
    </row>
    <row r="32149" spans="1:6" x14ac:dyDescent="0.25">
      <c r="A32149"/>
      <c r="B32149"/>
      <c r="C32149"/>
      <c r="E32149"/>
      <c r="F32149"/>
    </row>
    <row r="32150" spans="1:6" x14ac:dyDescent="0.25">
      <c r="A32150"/>
      <c r="B32150"/>
      <c r="C32150"/>
      <c r="E32150"/>
      <c r="F32150"/>
    </row>
    <row r="32151" spans="1:6" x14ac:dyDescent="0.25">
      <c r="A32151"/>
      <c r="B32151"/>
      <c r="C32151"/>
      <c r="E32151"/>
      <c r="F32151"/>
    </row>
    <row r="32152" spans="1:6" x14ac:dyDescent="0.25">
      <c r="A32152"/>
      <c r="B32152"/>
      <c r="C32152"/>
      <c r="E32152"/>
      <c r="F32152"/>
    </row>
    <row r="32153" spans="1:6" x14ac:dyDescent="0.25">
      <c r="A32153"/>
      <c r="B32153"/>
      <c r="C32153"/>
      <c r="E32153"/>
      <c r="F32153"/>
    </row>
    <row r="32154" spans="1:6" x14ac:dyDescent="0.25">
      <c r="A32154"/>
      <c r="B32154"/>
      <c r="C32154"/>
      <c r="E32154"/>
      <c r="F32154"/>
    </row>
    <row r="32155" spans="1:6" x14ac:dyDescent="0.25">
      <c r="A32155"/>
      <c r="B32155"/>
      <c r="C32155"/>
      <c r="E32155"/>
      <c r="F32155"/>
    </row>
    <row r="32156" spans="1:6" x14ac:dyDescent="0.25">
      <c r="A32156"/>
      <c r="B32156"/>
      <c r="C32156"/>
      <c r="E32156"/>
      <c r="F32156"/>
    </row>
    <row r="32157" spans="1:6" x14ac:dyDescent="0.25">
      <c r="A32157"/>
      <c r="B32157"/>
      <c r="C32157"/>
      <c r="E32157"/>
      <c r="F32157"/>
    </row>
    <row r="32158" spans="1:6" x14ac:dyDescent="0.25">
      <c r="A32158"/>
      <c r="B32158"/>
      <c r="C32158"/>
      <c r="E32158"/>
      <c r="F32158"/>
    </row>
    <row r="32159" spans="1:6" x14ac:dyDescent="0.25">
      <c r="A32159"/>
      <c r="B32159"/>
      <c r="C32159"/>
      <c r="E32159"/>
      <c r="F32159"/>
    </row>
    <row r="32160" spans="1:6" x14ac:dyDescent="0.25">
      <c r="A32160"/>
      <c r="B32160"/>
      <c r="C32160"/>
      <c r="E32160"/>
      <c r="F32160"/>
    </row>
    <row r="32161" spans="1:6" x14ac:dyDescent="0.25">
      <c r="A32161"/>
      <c r="B32161"/>
      <c r="C32161"/>
      <c r="E32161"/>
      <c r="F32161"/>
    </row>
    <row r="32162" spans="1:6" x14ac:dyDescent="0.25">
      <c r="A32162"/>
      <c r="B32162"/>
      <c r="C32162"/>
      <c r="E32162"/>
      <c r="F32162"/>
    </row>
    <row r="32163" spans="1:6" x14ac:dyDescent="0.25">
      <c r="A32163"/>
      <c r="B32163"/>
      <c r="C32163"/>
      <c r="E32163"/>
      <c r="F32163"/>
    </row>
    <row r="32164" spans="1:6" x14ac:dyDescent="0.25">
      <c r="A32164"/>
      <c r="B32164"/>
      <c r="C32164"/>
      <c r="E32164"/>
      <c r="F32164"/>
    </row>
    <row r="32165" spans="1:6" x14ac:dyDescent="0.25">
      <c r="A32165"/>
      <c r="B32165"/>
      <c r="C32165"/>
      <c r="E32165"/>
      <c r="F32165"/>
    </row>
    <row r="32166" spans="1:6" x14ac:dyDescent="0.25">
      <c r="A32166"/>
      <c r="B32166"/>
      <c r="C32166"/>
      <c r="E32166"/>
      <c r="F32166"/>
    </row>
    <row r="32167" spans="1:6" x14ac:dyDescent="0.25">
      <c r="A32167"/>
      <c r="B32167"/>
      <c r="C32167"/>
      <c r="E32167"/>
      <c r="F32167"/>
    </row>
    <row r="32168" spans="1:6" x14ac:dyDescent="0.25">
      <c r="A32168"/>
      <c r="B32168"/>
      <c r="C32168"/>
      <c r="E32168"/>
      <c r="F32168"/>
    </row>
    <row r="32169" spans="1:6" x14ac:dyDescent="0.25">
      <c r="A32169"/>
      <c r="B32169"/>
      <c r="C32169"/>
      <c r="E32169"/>
      <c r="F32169"/>
    </row>
    <row r="32170" spans="1:6" x14ac:dyDescent="0.25">
      <c r="A32170"/>
      <c r="B32170"/>
      <c r="C32170"/>
      <c r="E32170"/>
      <c r="F32170"/>
    </row>
    <row r="32171" spans="1:6" x14ac:dyDescent="0.25">
      <c r="A32171"/>
      <c r="B32171"/>
      <c r="C32171"/>
      <c r="E32171"/>
      <c r="F32171"/>
    </row>
    <row r="32172" spans="1:6" x14ac:dyDescent="0.25">
      <c r="A32172"/>
      <c r="B32172"/>
      <c r="C32172"/>
      <c r="E32172"/>
      <c r="F32172"/>
    </row>
    <row r="32173" spans="1:6" x14ac:dyDescent="0.25">
      <c r="A32173"/>
      <c r="B32173"/>
      <c r="C32173"/>
      <c r="E32173"/>
      <c r="F32173"/>
    </row>
    <row r="32174" spans="1:6" x14ac:dyDescent="0.25">
      <c r="A32174"/>
      <c r="B32174"/>
      <c r="C32174"/>
      <c r="E32174"/>
      <c r="F32174"/>
    </row>
    <row r="32175" spans="1:6" x14ac:dyDescent="0.25">
      <c r="A32175"/>
      <c r="B32175"/>
      <c r="C32175"/>
      <c r="E32175"/>
      <c r="F32175"/>
    </row>
    <row r="32176" spans="1:6" x14ac:dyDescent="0.25">
      <c r="A32176"/>
      <c r="B32176"/>
      <c r="C32176"/>
      <c r="E32176"/>
      <c r="F32176"/>
    </row>
    <row r="32177" spans="1:6" x14ac:dyDescent="0.25">
      <c r="A32177"/>
      <c r="B32177"/>
      <c r="C32177"/>
      <c r="E32177"/>
      <c r="F32177"/>
    </row>
    <row r="32178" spans="1:6" x14ac:dyDescent="0.25">
      <c r="A32178"/>
      <c r="B32178"/>
      <c r="C32178"/>
      <c r="E32178"/>
      <c r="F32178"/>
    </row>
    <row r="32179" spans="1:6" x14ac:dyDescent="0.25">
      <c r="A32179"/>
      <c r="B32179"/>
      <c r="C32179"/>
      <c r="E32179"/>
      <c r="F32179"/>
    </row>
    <row r="32180" spans="1:6" x14ac:dyDescent="0.25">
      <c r="A32180"/>
      <c r="B32180"/>
      <c r="C32180"/>
      <c r="E32180"/>
      <c r="F32180"/>
    </row>
    <row r="32181" spans="1:6" x14ac:dyDescent="0.25">
      <c r="A32181"/>
      <c r="B32181"/>
      <c r="C32181"/>
      <c r="E32181"/>
      <c r="F32181"/>
    </row>
    <row r="32182" spans="1:6" x14ac:dyDescent="0.25">
      <c r="A32182"/>
      <c r="B32182"/>
      <c r="C32182"/>
      <c r="E32182"/>
      <c r="F32182"/>
    </row>
    <row r="32183" spans="1:6" x14ac:dyDescent="0.25">
      <c r="A32183"/>
      <c r="B32183"/>
      <c r="C32183"/>
      <c r="E32183"/>
      <c r="F32183"/>
    </row>
    <row r="32184" spans="1:6" x14ac:dyDescent="0.25">
      <c r="A32184"/>
      <c r="B32184"/>
      <c r="C32184"/>
      <c r="E32184"/>
      <c r="F32184"/>
    </row>
    <row r="32185" spans="1:6" x14ac:dyDescent="0.25">
      <c r="A32185"/>
      <c r="B32185"/>
      <c r="C32185"/>
      <c r="E32185"/>
      <c r="F32185"/>
    </row>
    <row r="32186" spans="1:6" x14ac:dyDescent="0.25">
      <c r="A32186"/>
      <c r="B32186"/>
      <c r="C32186"/>
      <c r="E32186"/>
      <c r="F32186"/>
    </row>
    <row r="32187" spans="1:6" x14ac:dyDescent="0.25">
      <c r="A32187"/>
      <c r="B32187"/>
      <c r="C32187"/>
      <c r="E32187"/>
      <c r="F32187"/>
    </row>
    <row r="32188" spans="1:6" x14ac:dyDescent="0.25">
      <c r="A32188"/>
      <c r="B32188"/>
      <c r="C32188"/>
      <c r="E32188"/>
      <c r="F32188"/>
    </row>
    <row r="32189" spans="1:6" x14ac:dyDescent="0.25">
      <c r="A32189"/>
      <c r="B32189"/>
      <c r="C32189"/>
      <c r="E32189"/>
      <c r="F32189"/>
    </row>
    <row r="32190" spans="1:6" x14ac:dyDescent="0.25">
      <c r="A32190"/>
      <c r="B32190"/>
      <c r="C32190"/>
      <c r="E32190"/>
      <c r="F32190"/>
    </row>
    <row r="32191" spans="1:6" x14ac:dyDescent="0.25">
      <c r="A32191"/>
      <c r="B32191"/>
      <c r="C32191"/>
      <c r="E32191"/>
      <c r="F32191"/>
    </row>
    <row r="32192" spans="1:6" x14ac:dyDescent="0.25">
      <c r="A32192"/>
      <c r="B32192"/>
      <c r="C32192"/>
      <c r="E32192"/>
      <c r="F32192"/>
    </row>
    <row r="32193" spans="1:6" x14ac:dyDescent="0.25">
      <c r="A32193"/>
      <c r="B32193"/>
      <c r="C32193"/>
      <c r="E32193"/>
      <c r="F32193"/>
    </row>
    <row r="32194" spans="1:6" x14ac:dyDescent="0.25">
      <c r="A32194"/>
      <c r="B32194"/>
      <c r="C32194"/>
      <c r="E32194"/>
      <c r="F32194"/>
    </row>
    <row r="32195" spans="1:6" x14ac:dyDescent="0.25">
      <c r="A32195"/>
      <c r="B32195"/>
      <c r="C32195"/>
      <c r="E32195"/>
      <c r="F32195"/>
    </row>
    <row r="32196" spans="1:6" x14ac:dyDescent="0.25">
      <c r="A32196"/>
      <c r="B32196"/>
      <c r="C32196"/>
      <c r="E32196"/>
      <c r="F32196"/>
    </row>
    <row r="32197" spans="1:6" x14ac:dyDescent="0.25">
      <c r="A32197"/>
      <c r="B32197"/>
      <c r="C32197"/>
      <c r="E32197"/>
      <c r="F32197"/>
    </row>
    <row r="32198" spans="1:6" x14ac:dyDescent="0.25">
      <c r="A32198"/>
      <c r="B32198"/>
      <c r="C32198"/>
      <c r="E32198"/>
      <c r="F32198"/>
    </row>
    <row r="32199" spans="1:6" x14ac:dyDescent="0.25">
      <c r="A32199"/>
      <c r="B32199"/>
      <c r="C32199"/>
      <c r="E32199"/>
      <c r="F32199"/>
    </row>
    <row r="32200" spans="1:6" x14ac:dyDescent="0.25">
      <c r="A32200"/>
      <c r="B32200"/>
      <c r="C32200"/>
      <c r="E32200"/>
      <c r="F32200"/>
    </row>
    <row r="32201" spans="1:6" x14ac:dyDescent="0.25">
      <c r="A32201"/>
      <c r="B32201"/>
      <c r="C32201"/>
      <c r="E32201"/>
      <c r="F32201"/>
    </row>
    <row r="32202" spans="1:6" x14ac:dyDescent="0.25">
      <c r="A32202"/>
      <c r="B32202"/>
      <c r="C32202"/>
      <c r="E32202"/>
      <c r="F32202"/>
    </row>
    <row r="32203" spans="1:6" x14ac:dyDescent="0.25">
      <c r="A32203"/>
      <c r="B32203"/>
      <c r="C32203"/>
      <c r="E32203"/>
      <c r="F32203"/>
    </row>
    <row r="32204" spans="1:6" x14ac:dyDescent="0.25">
      <c r="A32204"/>
      <c r="B32204"/>
      <c r="C32204"/>
      <c r="E32204"/>
      <c r="F32204"/>
    </row>
    <row r="32205" spans="1:6" x14ac:dyDescent="0.25">
      <c r="A32205"/>
      <c r="B32205"/>
      <c r="C32205"/>
      <c r="E32205"/>
      <c r="F32205"/>
    </row>
    <row r="32206" spans="1:6" x14ac:dyDescent="0.25">
      <c r="A32206"/>
      <c r="B32206"/>
      <c r="C32206"/>
      <c r="E32206"/>
      <c r="F32206"/>
    </row>
    <row r="32207" spans="1:6" x14ac:dyDescent="0.25">
      <c r="A32207"/>
      <c r="B32207"/>
      <c r="C32207"/>
      <c r="E32207"/>
      <c r="F32207"/>
    </row>
    <row r="32208" spans="1:6" x14ac:dyDescent="0.25">
      <c r="A32208"/>
      <c r="B32208"/>
      <c r="C32208"/>
      <c r="E32208"/>
      <c r="F32208"/>
    </row>
    <row r="32209" spans="1:6" x14ac:dyDescent="0.25">
      <c r="A32209"/>
      <c r="B32209"/>
      <c r="C32209"/>
      <c r="E32209"/>
      <c r="F32209"/>
    </row>
    <row r="32210" spans="1:6" x14ac:dyDescent="0.25">
      <c r="A32210"/>
      <c r="B32210"/>
      <c r="C32210"/>
      <c r="E32210"/>
      <c r="F32210"/>
    </row>
    <row r="32211" spans="1:6" x14ac:dyDescent="0.25">
      <c r="A32211"/>
      <c r="B32211"/>
      <c r="C32211"/>
      <c r="E32211"/>
      <c r="F32211"/>
    </row>
    <row r="32212" spans="1:6" x14ac:dyDescent="0.25">
      <c r="A32212"/>
      <c r="B32212"/>
      <c r="C32212"/>
      <c r="E32212"/>
      <c r="F32212"/>
    </row>
    <row r="32213" spans="1:6" x14ac:dyDescent="0.25">
      <c r="A32213"/>
      <c r="B32213"/>
      <c r="C32213"/>
      <c r="E32213"/>
      <c r="F32213"/>
    </row>
    <row r="32214" spans="1:6" x14ac:dyDescent="0.25">
      <c r="A32214"/>
      <c r="B32214"/>
      <c r="C32214"/>
      <c r="E32214"/>
      <c r="F32214"/>
    </row>
    <row r="32215" spans="1:6" x14ac:dyDescent="0.25">
      <c r="A32215"/>
      <c r="B32215"/>
      <c r="C32215"/>
      <c r="E32215"/>
      <c r="F32215"/>
    </row>
    <row r="32216" spans="1:6" x14ac:dyDescent="0.25">
      <c r="A32216"/>
      <c r="B32216"/>
      <c r="C32216"/>
      <c r="E32216"/>
      <c r="F32216"/>
    </row>
    <row r="32217" spans="1:6" x14ac:dyDescent="0.25">
      <c r="A32217"/>
      <c r="B32217"/>
      <c r="C32217"/>
      <c r="E32217"/>
      <c r="F32217"/>
    </row>
    <row r="32218" spans="1:6" x14ac:dyDescent="0.25">
      <c r="A32218"/>
      <c r="B32218"/>
      <c r="C32218"/>
      <c r="E32218"/>
      <c r="F32218"/>
    </row>
    <row r="32219" spans="1:6" x14ac:dyDescent="0.25">
      <c r="A32219"/>
      <c r="B32219"/>
      <c r="C32219"/>
      <c r="E32219"/>
      <c r="F32219"/>
    </row>
    <row r="32220" spans="1:6" x14ac:dyDescent="0.25">
      <c r="A32220"/>
      <c r="B32220"/>
      <c r="C32220"/>
      <c r="E32220"/>
      <c r="F32220"/>
    </row>
    <row r="32221" spans="1:6" x14ac:dyDescent="0.25">
      <c r="A32221"/>
      <c r="B32221"/>
      <c r="C32221"/>
      <c r="E32221"/>
      <c r="F32221"/>
    </row>
    <row r="32222" spans="1:6" x14ac:dyDescent="0.25">
      <c r="A32222"/>
      <c r="B32222"/>
      <c r="C32222"/>
      <c r="E32222"/>
      <c r="F32222"/>
    </row>
    <row r="32223" spans="1:6" x14ac:dyDescent="0.25">
      <c r="A32223"/>
      <c r="B32223"/>
      <c r="C32223"/>
      <c r="E32223"/>
      <c r="F32223"/>
    </row>
    <row r="32224" spans="1:6" x14ac:dyDescent="0.25">
      <c r="A32224"/>
      <c r="B32224"/>
      <c r="C32224"/>
      <c r="E32224"/>
      <c r="F32224"/>
    </row>
    <row r="32225" spans="1:6" x14ac:dyDescent="0.25">
      <c r="A32225"/>
      <c r="B32225"/>
      <c r="C32225"/>
      <c r="E32225"/>
      <c r="F32225"/>
    </row>
    <row r="32226" spans="1:6" x14ac:dyDescent="0.25">
      <c r="A32226"/>
      <c r="B32226"/>
      <c r="C32226"/>
      <c r="E32226"/>
      <c r="F32226"/>
    </row>
    <row r="32227" spans="1:6" x14ac:dyDescent="0.25">
      <c r="A32227"/>
      <c r="B32227"/>
      <c r="C32227"/>
      <c r="E32227"/>
      <c r="F32227"/>
    </row>
    <row r="32228" spans="1:6" x14ac:dyDescent="0.25">
      <c r="A32228"/>
      <c r="B32228"/>
      <c r="C32228"/>
      <c r="E32228"/>
      <c r="F32228"/>
    </row>
    <row r="32229" spans="1:6" x14ac:dyDescent="0.25">
      <c r="A32229"/>
      <c r="B32229"/>
      <c r="C32229"/>
      <c r="E32229"/>
      <c r="F32229"/>
    </row>
    <row r="32230" spans="1:6" x14ac:dyDescent="0.25">
      <c r="A32230"/>
      <c r="B32230"/>
      <c r="C32230"/>
      <c r="E32230"/>
      <c r="F32230"/>
    </row>
    <row r="32231" spans="1:6" x14ac:dyDescent="0.25">
      <c r="A32231"/>
      <c r="B32231"/>
      <c r="C32231"/>
      <c r="E32231"/>
      <c r="F32231"/>
    </row>
    <row r="32232" spans="1:6" x14ac:dyDescent="0.25">
      <c r="A32232"/>
      <c r="B32232"/>
      <c r="C32232"/>
      <c r="E32232"/>
      <c r="F32232"/>
    </row>
    <row r="32233" spans="1:6" x14ac:dyDescent="0.25">
      <c r="A32233"/>
      <c r="B32233"/>
      <c r="C32233"/>
      <c r="E32233"/>
      <c r="F32233"/>
    </row>
    <row r="32234" spans="1:6" x14ac:dyDescent="0.25">
      <c r="A32234"/>
      <c r="B32234"/>
      <c r="C32234"/>
      <c r="E32234"/>
      <c r="F32234"/>
    </row>
    <row r="32235" spans="1:6" x14ac:dyDescent="0.25">
      <c r="A32235"/>
      <c r="B32235"/>
      <c r="C32235"/>
      <c r="E32235"/>
      <c r="F32235"/>
    </row>
    <row r="32236" spans="1:6" x14ac:dyDescent="0.25">
      <c r="A32236"/>
      <c r="B32236"/>
      <c r="C32236"/>
      <c r="E32236"/>
      <c r="F32236"/>
    </row>
    <row r="32237" spans="1:6" x14ac:dyDescent="0.25">
      <c r="A32237"/>
      <c r="B32237"/>
      <c r="C32237"/>
      <c r="E32237"/>
      <c r="F32237"/>
    </row>
    <row r="32238" spans="1:6" x14ac:dyDescent="0.25">
      <c r="A32238"/>
      <c r="B32238"/>
      <c r="C32238"/>
      <c r="E32238"/>
      <c r="F32238"/>
    </row>
    <row r="32239" spans="1:6" x14ac:dyDescent="0.25">
      <c r="A32239"/>
      <c r="B32239"/>
      <c r="C32239"/>
      <c r="E32239"/>
      <c r="F32239"/>
    </row>
    <row r="32240" spans="1:6" x14ac:dyDescent="0.25">
      <c r="A32240"/>
      <c r="B32240"/>
      <c r="C32240"/>
      <c r="E32240"/>
      <c r="F32240"/>
    </row>
    <row r="32241" spans="1:6" x14ac:dyDescent="0.25">
      <c r="A32241"/>
      <c r="B32241"/>
      <c r="C32241"/>
      <c r="E32241"/>
      <c r="F32241"/>
    </row>
    <row r="32242" spans="1:6" x14ac:dyDescent="0.25">
      <c r="A32242"/>
      <c r="B32242"/>
      <c r="C32242"/>
      <c r="E32242"/>
      <c r="F32242"/>
    </row>
    <row r="32243" spans="1:6" x14ac:dyDescent="0.25">
      <c r="A32243"/>
      <c r="B32243"/>
      <c r="C32243"/>
      <c r="E32243"/>
      <c r="F32243"/>
    </row>
    <row r="32244" spans="1:6" x14ac:dyDescent="0.25">
      <c r="A32244"/>
      <c r="B32244"/>
      <c r="C32244"/>
      <c r="E32244"/>
      <c r="F32244"/>
    </row>
    <row r="32245" spans="1:6" x14ac:dyDescent="0.25">
      <c r="A32245"/>
      <c r="B32245"/>
      <c r="C32245"/>
      <c r="E32245"/>
      <c r="F32245"/>
    </row>
    <row r="32246" spans="1:6" x14ac:dyDescent="0.25">
      <c r="A32246"/>
      <c r="B32246"/>
      <c r="C32246"/>
      <c r="E32246"/>
      <c r="F32246"/>
    </row>
    <row r="32247" spans="1:6" x14ac:dyDescent="0.25">
      <c r="A32247"/>
      <c r="B32247"/>
      <c r="C32247"/>
      <c r="E32247"/>
      <c r="F32247"/>
    </row>
    <row r="32248" spans="1:6" x14ac:dyDescent="0.25">
      <c r="A32248"/>
      <c r="B32248"/>
      <c r="C32248"/>
      <c r="E32248"/>
      <c r="F32248"/>
    </row>
    <row r="32249" spans="1:6" x14ac:dyDescent="0.25">
      <c r="A32249"/>
      <c r="B32249"/>
      <c r="C32249"/>
      <c r="E32249"/>
      <c r="F32249"/>
    </row>
    <row r="32250" spans="1:6" x14ac:dyDescent="0.25">
      <c r="A32250"/>
      <c r="B32250"/>
      <c r="C32250"/>
      <c r="E32250"/>
      <c r="F32250"/>
    </row>
    <row r="32251" spans="1:6" x14ac:dyDescent="0.25">
      <c r="A32251"/>
      <c r="B32251"/>
      <c r="C32251"/>
      <c r="E32251"/>
      <c r="F32251"/>
    </row>
    <row r="32252" spans="1:6" x14ac:dyDescent="0.25">
      <c r="A32252"/>
      <c r="B32252"/>
      <c r="C32252"/>
      <c r="E32252"/>
      <c r="F32252"/>
    </row>
    <row r="32253" spans="1:6" x14ac:dyDescent="0.25">
      <c r="A32253"/>
      <c r="B32253"/>
      <c r="C32253"/>
      <c r="E32253"/>
      <c r="F32253"/>
    </row>
    <row r="32254" spans="1:6" x14ac:dyDescent="0.25">
      <c r="A32254"/>
      <c r="B32254"/>
      <c r="C32254"/>
      <c r="E32254"/>
      <c r="F32254"/>
    </row>
    <row r="32255" spans="1:6" x14ac:dyDescent="0.25">
      <c r="A32255"/>
      <c r="B32255"/>
      <c r="C32255"/>
      <c r="E32255"/>
      <c r="F32255"/>
    </row>
    <row r="32256" spans="1:6" x14ac:dyDescent="0.25">
      <c r="A32256"/>
      <c r="B32256"/>
      <c r="C32256"/>
      <c r="E32256"/>
      <c r="F32256"/>
    </row>
    <row r="32257" spans="1:6" x14ac:dyDescent="0.25">
      <c r="A32257"/>
      <c r="B32257"/>
      <c r="C32257"/>
      <c r="E32257"/>
      <c r="F32257"/>
    </row>
    <row r="32258" spans="1:6" x14ac:dyDescent="0.25">
      <c r="A32258"/>
      <c r="B32258"/>
      <c r="C32258"/>
      <c r="E32258"/>
      <c r="F32258"/>
    </row>
    <row r="32259" spans="1:6" x14ac:dyDescent="0.25">
      <c r="A32259"/>
      <c r="B32259"/>
      <c r="C32259"/>
      <c r="E32259"/>
      <c r="F32259"/>
    </row>
    <row r="32260" spans="1:6" x14ac:dyDescent="0.25">
      <c r="A32260"/>
      <c r="B32260"/>
      <c r="C32260"/>
      <c r="E32260"/>
      <c r="F32260"/>
    </row>
    <row r="32261" spans="1:6" x14ac:dyDescent="0.25">
      <c r="A32261"/>
      <c r="B32261"/>
      <c r="C32261"/>
      <c r="E32261"/>
      <c r="F32261"/>
    </row>
    <row r="32262" spans="1:6" x14ac:dyDescent="0.25">
      <c r="A32262"/>
      <c r="B32262"/>
      <c r="C32262"/>
      <c r="E32262"/>
      <c r="F32262"/>
    </row>
    <row r="32263" spans="1:6" x14ac:dyDescent="0.25">
      <c r="A32263"/>
      <c r="B32263"/>
      <c r="C32263"/>
      <c r="E32263"/>
      <c r="F32263"/>
    </row>
    <row r="32264" spans="1:6" x14ac:dyDescent="0.25">
      <c r="A32264"/>
      <c r="B32264"/>
      <c r="C32264"/>
      <c r="E32264"/>
      <c r="F32264"/>
    </row>
    <row r="32265" spans="1:6" x14ac:dyDescent="0.25">
      <c r="A32265"/>
      <c r="B32265"/>
      <c r="C32265"/>
      <c r="E32265"/>
      <c r="F32265"/>
    </row>
    <row r="32266" spans="1:6" x14ac:dyDescent="0.25">
      <c r="A32266"/>
      <c r="B32266"/>
      <c r="C32266"/>
      <c r="E32266"/>
      <c r="F32266"/>
    </row>
    <row r="32267" spans="1:6" x14ac:dyDescent="0.25">
      <c r="A32267"/>
      <c r="B32267"/>
      <c r="C32267"/>
      <c r="E32267"/>
      <c r="F32267"/>
    </row>
    <row r="32268" spans="1:6" x14ac:dyDescent="0.25">
      <c r="A32268"/>
      <c r="B32268"/>
      <c r="C32268"/>
      <c r="E32268"/>
      <c r="F32268"/>
    </row>
    <row r="32269" spans="1:6" x14ac:dyDescent="0.25">
      <c r="A32269"/>
      <c r="B32269"/>
      <c r="C32269"/>
      <c r="E32269"/>
      <c r="F32269"/>
    </row>
    <row r="32270" spans="1:6" x14ac:dyDescent="0.25">
      <c r="A32270"/>
      <c r="B32270"/>
      <c r="C32270"/>
      <c r="E32270"/>
      <c r="F32270"/>
    </row>
    <row r="32271" spans="1:6" x14ac:dyDescent="0.25">
      <c r="A32271"/>
      <c r="B32271"/>
      <c r="C32271"/>
      <c r="E32271"/>
      <c r="F32271"/>
    </row>
    <row r="32272" spans="1:6" x14ac:dyDescent="0.25">
      <c r="A32272"/>
      <c r="B32272"/>
      <c r="C32272"/>
      <c r="E32272"/>
      <c r="F32272"/>
    </row>
    <row r="32273" spans="1:6" x14ac:dyDescent="0.25">
      <c r="A32273"/>
      <c r="B32273"/>
      <c r="C32273"/>
      <c r="E32273"/>
      <c r="F32273"/>
    </row>
    <row r="32274" spans="1:6" x14ac:dyDescent="0.25">
      <c r="A32274"/>
      <c r="B32274"/>
      <c r="C32274"/>
      <c r="E32274"/>
      <c r="F32274"/>
    </row>
    <row r="32275" spans="1:6" x14ac:dyDescent="0.25">
      <c r="A32275"/>
      <c r="B32275"/>
      <c r="C32275"/>
      <c r="E32275"/>
      <c r="F32275"/>
    </row>
    <row r="32276" spans="1:6" x14ac:dyDescent="0.25">
      <c r="A32276"/>
      <c r="B32276"/>
      <c r="C32276"/>
      <c r="E32276"/>
      <c r="F32276"/>
    </row>
    <row r="32277" spans="1:6" x14ac:dyDescent="0.25">
      <c r="A32277"/>
      <c r="B32277"/>
      <c r="C32277"/>
      <c r="E32277"/>
      <c r="F32277"/>
    </row>
    <row r="32278" spans="1:6" x14ac:dyDescent="0.25">
      <c r="A32278"/>
      <c r="B32278"/>
      <c r="C32278"/>
      <c r="E32278"/>
      <c r="F32278"/>
    </row>
    <row r="32279" spans="1:6" x14ac:dyDescent="0.25">
      <c r="A32279"/>
      <c r="B32279"/>
      <c r="C32279"/>
      <c r="E32279"/>
      <c r="F32279"/>
    </row>
    <row r="32280" spans="1:6" x14ac:dyDescent="0.25">
      <c r="A32280"/>
      <c r="B32280"/>
      <c r="C32280"/>
      <c r="E32280"/>
      <c r="F32280"/>
    </row>
    <row r="32281" spans="1:6" x14ac:dyDescent="0.25">
      <c r="A32281"/>
      <c r="B32281"/>
      <c r="C32281"/>
      <c r="E32281"/>
      <c r="F32281"/>
    </row>
    <row r="32282" spans="1:6" x14ac:dyDescent="0.25">
      <c r="A32282"/>
      <c r="B32282"/>
      <c r="C32282"/>
      <c r="E32282"/>
      <c r="F32282"/>
    </row>
    <row r="32283" spans="1:6" x14ac:dyDescent="0.25">
      <c r="A32283"/>
      <c r="B32283"/>
      <c r="C32283"/>
      <c r="E32283"/>
      <c r="F32283"/>
    </row>
    <row r="32284" spans="1:6" x14ac:dyDescent="0.25">
      <c r="A32284"/>
      <c r="B32284"/>
      <c r="C32284"/>
      <c r="E32284"/>
      <c r="F32284"/>
    </row>
    <row r="32285" spans="1:6" x14ac:dyDescent="0.25">
      <c r="A32285"/>
      <c r="B32285"/>
      <c r="C32285"/>
      <c r="E32285"/>
      <c r="F32285"/>
    </row>
    <row r="32286" spans="1:6" x14ac:dyDescent="0.25">
      <c r="A32286"/>
      <c r="B32286"/>
      <c r="C32286"/>
      <c r="E32286"/>
      <c r="F32286"/>
    </row>
    <row r="32287" spans="1:6" x14ac:dyDescent="0.25">
      <c r="A32287"/>
      <c r="B32287"/>
      <c r="C32287"/>
      <c r="E32287"/>
      <c r="F32287"/>
    </row>
    <row r="32288" spans="1:6" x14ac:dyDescent="0.25">
      <c r="A32288"/>
      <c r="B32288"/>
      <c r="C32288"/>
      <c r="E32288"/>
      <c r="F32288"/>
    </row>
    <row r="32289" spans="1:6" x14ac:dyDescent="0.25">
      <c r="A32289"/>
      <c r="B32289"/>
      <c r="C32289"/>
      <c r="E32289"/>
      <c r="F32289"/>
    </row>
    <row r="32290" spans="1:6" x14ac:dyDescent="0.25">
      <c r="A32290"/>
      <c r="B32290"/>
      <c r="C32290"/>
      <c r="E32290"/>
      <c r="F32290"/>
    </row>
    <row r="32291" spans="1:6" x14ac:dyDescent="0.25">
      <c r="A32291"/>
      <c r="B32291"/>
      <c r="C32291"/>
      <c r="E32291"/>
      <c r="F32291"/>
    </row>
    <row r="32292" spans="1:6" x14ac:dyDescent="0.25">
      <c r="A32292"/>
      <c r="B32292"/>
      <c r="C32292"/>
      <c r="E32292"/>
      <c r="F32292"/>
    </row>
    <row r="32293" spans="1:6" x14ac:dyDescent="0.25">
      <c r="A32293"/>
      <c r="B32293"/>
      <c r="C32293"/>
      <c r="E32293"/>
      <c r="F32293"/>
    </row>
    <row r="32294" spans="1:6" x14ac:dyDescent="0.25">
      <c r="A32294"/>
      <c r="B32294"/>
      <c r="C32294"/>
      <c r="E32294"/>
      <c r="F32294"/>
    </row>
    <row r="32295" spans="1:6" x14ac:dyDescent="0.25">
      <c r="A32295"/>
      <c r="B32295"/>
      <c r="C32295"/>
      <c r="E32295"/>
      <c r="F32295"/>
    </row>
    <row r="32296" spans="1:6" x14ac:dyDescent="0.25">
      <c r="A32296"/>
      <c r="B32296"/>
      <c r="C32296"/>
      <c r="E32296"/>
      <c r="F32296"/>
    </row>
    <row r="32297" spans="1:6" x14ac:dyDescent="0.25">
      <c r="A32297"/>
      <c r="B32297"/>
      <c r="C32297"/>
      <c r="E32297"/>
      <c r="F32297"/>
    </row>
    <row r="32298" spans="1:6" x14ac:dyDescent="0.25">
      <c r="A32298"/>
      <c r="B32298"/>
      <c r="C32298"/>
      <c r="E32298"/>
      <c r="F32298"/>
    </row>
    <row r="32299" spans="1:6" x14ac:dyDescent="0.25">
      <c r="A32299"/>
      <c r="B32299"/>
      <c r="C32299"/>
      <c r="E32299"/>
      <c r="F32299"/>
    </row>
    <row r="32300" spans="1:6" x14ac:dyDescent="0.25">
      <c r="A32300"/>
      <c r="B32300"/>
      <c r="C32300"/>
      <c r="E32300"/>
      <c r="F32300"/>
    </row>
    <row r="32301" spans="1:6" x14ac:dyDescent="0.25">
      <c r="A32301"/>
      <c r="B32301"/>
      <c r="C32301"/>
      <c r="E32301"/>
      <c r="F32301"/>
    </row>
    <row r="32302" spans="1:6" x14ac:dyDescent="0.25">
      <c r="A32302"/>
      <c r="B32302"/>
      <c r="C32302"/>
      <c r="E32302"/>
      <c r="F32302"/>
    </row>
    <row r="32303" spans="1:6" x14ac:dyDescent="0.25">
      <c r="A32303"/>
      <c r="B32303"/>
      <c r="C32303"/>
      <c r="E32303"/>
      <c r="F32303"/>
    </row>
    <row r="32304" spans="1:6" x14ac:dyDescent="0.25">
      <c r="A32304"/>
      <c r="B32304"/>
      <c r="C32304"/>
      <c r="E32304"/>
      <c r="F32304"/>
    </row>
    <row r="32305" spans="1:6" x14ac:dyDescent="0.25">
      <c r="A32305"/>
      <c r="B32305"/>
      <c r="C32305"/>
      <c r="E32305"/>
      <c r="F32305"/>
    </row>
    <row r="32306" spans="1:6" x14ac:dyDescent="0.25">
      <c r="A32306"/>
      <c r="B32306"/>
      <c r="C32306"/>
      <c r="E32306"/>
      <c r="F32306"/>
    </row>
    <row r="32307" spans="1:6" x14ac:dyDescent="0.25">
      <c r="A32307"/>
      <c r="B32307"/>
      <c r="C32307"/>
      <c r="E32307"/>
      <c r="F32307"/>
    </row>
    <row r="32308" spans="1:6" x14ac:dyDescent="0.25">
      <c r="A32308"/>
      <c r="B32308"/>
      <c r="C32308"/>
      <c r="E32308"/>
      <c r="F32308"/>
    </row>
    <row r="32309" spans="1:6" x14ac:dyDescent="0.25">
      <c r="A32309"/>
      <c r="B32309"/>
      <c r="C32309"/>
      <c r="E32309"/>
      <c r="F32309"/>
    </row>
    <row r="32310" spans="1:6" x14ac:dyDescent="0.25">
      <c r="A32310"/>
      <c r="B32310"/>
      <c r="C32310"/>
      <c r="E32310"/>
      <c r="F32310"/>
    </row>
    <row r="32311" spans="1:6" x14ac:dyDescent="0.25">
      <c r="A32311"/>
      <c r="B32311"/>
      <c r="C32311"/>
      <c r="E32311"/>
      <c r="F32311"/>
    </row>
    <row r="32312" spans="1:6" x14ac:dyDescent="0.25">
      <c r="A32312"/>
      <c r="B32312"/>
      <c r="C32312"/>
      <c r="E32312"/>
      <c r="F32312"/>
    </row>
    <row r="32313" spans="1:6" x14ac:dyDescent="0.25">
      <c r="A32313"/>
      <c r="B32313"/>
      <c r="C32313"/>
      <c r="E32313"/>
      <c r="F32313"/>
    </row>
    <row r="32314" spans="1:6" x14ac:dyDescent="0.25">
      <c r="A32314"/>
      <c r="B32314"/>
      <c r="C32314"/>
      <c r="E32314"/>
      <c r="F32314"/>
    </row>
    <row r="32315" spans="1:6" x14ac:dyDescent="0.25">
      <c r="A32315"/>
      <c r="B32315"/>
      <c r="C32315"/>
      <c r="E32315"/>
      <c r="F32315"/>
    </row>
    <row r="32316" spans="1:6" x14ac:dyDescent="0.25">
      <c r="A32316"/>
      <c r="B32316"/>
      <c r="C32316"/>
      <c r="E32316"/>
      <c r="F32316"/>
    </row>
    <row r="32317" spans="1:6" x14ac:dyDescent="0.25">
      <c r="A32317"/>
      <c r="B32317"/>
      <c r="C32317"/>
      <c r="E32317"/>
      <c r="F32317"/>
    </row>
    <row r="32318" spans="1:6" x14ac:dyDescent="0.25">
      <c r="A32318"/>
      <c r="B32318"/>
      <c r="C32318"/>
      <c r="E32318"/>
      <c r="F32318"/>
    </row>
    <row r="32319" spans="1:6" x14ac:dyDescent="0.25">
      <c r="A32319"/>
      <c r="B32319"/>
      <c r="C32319"/>
      <c r="E32319"/>
      <c r="F32319"/>
    </row>
    <row r="32320" spans="1:6" x14ac:dyDescent="0.25">
      <c r="A32320"/>
      <c r="B32320"/>
      <c r="C32320"/>
      <c r="E32320"/>
      <c r="F32320"/>
    </row>
    <row r="32321" spans="1:6" x14ac:dyDescent="0.25">
      <c r="A32321"/>
      <c r="B32321"/>
      <c r="C32321"/>
      <c r="E32321"/>
      <c r="F32321"/>
    </row>
    <row r="32322" spans="1:6" x14ac:dyDescent="0.25">
      <c r="A32322"/>
      <c r="B32322"/>
      <c r="C32322"/>
      <c r="E32322"/>
      <c r="F32322"/>
    </row>
    <row r="32323" spans="1:6" x14ac:dyDescent="0.25">
      <c r="A32323"/>
      <c r="B32323"/>
      <c r="C32323"/>
      <c r="E32323"/>
      <c r="F32323"/>
    </row>
    <row r="32324" spans="1:6" x14ac:dyDescent="0.25">
      <c r="A32324"/>
      <c r="B32324"/>
      <c r="C32324"/>
      <c r="E32324"/>
      <c r="F32324"/>
    </row>
    <row r="32325" spans="1:6" x14ac:dyDescent="0.25">
      <c r="A32325"/>
      <c r="B32325"/>
      <c r="C32325"/>
      <c r="E32325"/>
      <c r="F32325"/>
    </row>
    <row r="32326" spans="1:6" x14ac:dyDescent="0.25">
      <c r="A32326"/>
      <c r="B32326"/>
      <c r="C32326"/>
      <c r="E32326"/>
      <c r="F32326"/>
    </row>
    <row r="32327" spans="1:6" x14ac:dyDescent="0.25">
      <c r="A32327"/>
      <c r="B32327"/>
      <c r="C32327"/>
      <c r="E32327"/>
      <c r="F32327"/>
    </row>
    <row r="32328" spans="1:6" x14ac:dyDescent="0.25">
      <c r="A32328"/>
      <c r="B32328"/>
      <c r="C32328"/>
      <c r="E32328"/>
      <c r="F32328"/>
    </row>
    <row r="32329" spans="1:6" x14ac:dyDescent="0.25">
      <c r="A32329"/>
      <c r="B32329"/>
      <c r="C32329"/>
      <c r="E32329"/>
      <c r="F32329"/>
    </row>
    <row r="32330" spans="1:6" x14ac:dyDescent="0.25">
      <c r="A32330"/>
      <c r="B32330"/>
      <c r="C32330"/>
      <c r="E32330"/>
      <c r="F32330"/>
    </row>
    <row r="32331" spans="1:6" x14ac:dyDescent="0.25">
      <c r="A32331"/>
      <c r="B32331"/>
      <c r="C32331"/>
      <c r="E32331"/>
      <c r="F32331"/>
    </row>
    <row r="32332" spans="1:6" x14ac:dyDescent="0.25">
      <c r="A32332"/>
      <c r="B32332"/>
      <c r="C32332"/>
      <c r="E32332"/>
      <c r="F32332"/>
    </row>
    <row r="32333" spans="1:6" x14ac:dyDescent="0.25">
      <c r="A32333"/>
      <c r="B32333"/>
      <c r="C32333"/>
      <c r="E32333"/>
      <c r="F32333"/>
    </row>
    <row r="32334" spans="1:6" x14ac:dyDescent="0.25">
      <c r="A32334"/>
      <c r="B32334"/>
      <c r="C32334"/>
      <c r="E32334"/>
      <c r="F32334"/>
    </row>
    <row r="32335" spans="1:6" x14ac:dyDescent="0.25">
      <c r="A32335"/>
      <c r="B32335"/>
      <c r="C32335"/>
      <c r="E32335"/>
      <c r="F32335"/>
    </row>
    <row r="32336" spans="1:6" x14ac:dyDescent="0.25">
      <c r="A32336"/>
      <c r="B32336"/>
      <c r="C32336"/>
      <c r="E32336"/>
      <c r="F32336"/>
    </row>
    <row r="32337" spans="1:6" x14ac:dyDescent="0.25">
      <c r="A32337"/>
      <c r="B32337"/>
      <c r="C32337"/>
      <c r="E32337"/>
      <c r="F32337"/>
    </row>
    <row r="32338" spans="1:6" x14ac:dyDescent="0.25">
      <c r="A32338"/>
      <c r="B32338"/>
      <c r="C32338"/>
      <c r="E32338"/>
      <c r="F32338"/>
    </row>
    <row r="32339" spans="1:6" x14ac:dyDescent="0.25">
      <c r="A32339"/>
      <c r="B32339"/>
      <c r="C32339"/>
      <c r="E32339"/>
      <c r="F32339"/>
    </row>
    <row r="32340" spans="1:6" x14ac:dyDescent="0.25">
      <c r="A32340"/>
      <c r="B32340"/>
      <c r="C32340"/>
      <c r="E32340"/>
      <c r="F32340"/>
    </row>
    <row r="32341" spans="1:6" x14ac:dyDescent="0.25">
      <c r="A32341"/>
      <c r="B32341"/>
      <c r="C32341"/>
      <c r="E32341"/>
      <c r="F32341"/>
    </row>
    <row r="32342" spans="1:6" x14ac:dyDescent="0.25">
      <c r="A32342"/>
      <c r="B32342"/>
      <c r="C32342"/>
      <c r="E32342"/>
      <c r="F32342"/>
    </row>
    <row r="32343" spans="1:6" x14ac:dyDescent="0.25">
      <c r="A32343"/>
      <c r="B32343"/>
      <c r="C32343"/>
      <c r="E32343"/>
      <c r="F32343"/>
    </row>
    <row r="32344" spans="1:6" x14ac:dyDescent="0.25">
      <c r="A32344"/>
      <c r="B32344"/>
      <c r="C32344"/>
      <c r="E32344"/>
      <c r="F32344"/>
    </row>
    <row r="32345" spans="1:6" x14ac:dyDescent="0.25">
      <c r="A32345"/>
      <c r="B32345"/>
      <c r="C32345"/>
      <c r="E32345"/>
      <c r="F32345"/>
    </row>
    <row r="32346" spans="1:6" x14ac:dyDescent="0.25">
      <c r="A32346"/>
      <c r="B32346"/>
      <c r="C32346"/>
      <c r="E32346"/>
      <c r="F32346"/>
    </row>
    <row r="32347" spans="1:6" x14ac:dyDescent="0.25">
      <c r="A32347"/>
      <c r="B32347"/>
      <c r="C32347"/>
      <c r="E32347"/>
      <c r="F32347"/>
    </row>
    <row r="32348" spans="1:6" x14ac:dyDescent="0.25">
      <c r="A32348"/>
      <c r="B32348"/>
      <c r="C32348"/>
      <c r="E32348"/>
      <c r="F32348"/>
    </row>
    <row r="32349" spans="1:6" x14ac:dyDescent="0.25">
      <c r="A32349"/>
      <c r="B32349"/>
      <c r="C32349"/>
      <c r="E32349"/>
      <c r="F32349"/>
    </row>
    <row r="32350" spans="1:6" x14ac:dyDescent="0.25">
      <c r="A32350"/>
      <c r="B32350"/>
      <c r="C32350"/>
      <c r="E32350"/>
      <c r="F32350"/>
    </row>
    <row r="32351" spans="1:6" x14ac:dyDescent="0.25">
      <c r="A32351"/>
      <c r="B32351"/>
      <c r="C32351"/>
      <c r="E32351"/>
      <c r="F32351"/>
    </row>
    <row r="32352" spans="1:6" x14ac:dyDescent="0.25">
      <c r="A32352"/>
      <c r="B32352"/>
      <c r="C32352"/>
      <c r="E32352"/>
      <c r="F32352"/>
    </row>
    <row r="32353" spans="1:6" x14ac:dyDescent="0.25">
      <c r="A32353"/>
      <c r="B32353"/>
      <c r="C32353"/>
      <c r="E32353"/>
      <c r="F32353"/>
    </row>
    <row r="32354" spans="1:6" x14ac:dyDescent="0.25">
      <c r="A32354"/>
      <c r="B32354"/>
      <c r="C32354"/>
      <c r="E32354"/>
      <c r="F32354"/>
    </row>
    <row r="32355" spans="1:6" x14ac:dyDescent="0.25">
      <c r="A32355"/>
      <c r="B32355"/>
      <c r="C32355"/>
      <c r="E32355"/>
      <c r="F32355"/>
    </row>
    <row r="32356" spans="1:6" x14ac:dyDescent="0.25">
      <c r="A32356"/>
      <c r="B32356"/>
      <c r="C32356"/>
      <c r="E32356"/>
      <c r="F32356"/>
    </row>
    <row r="32357" spans="1:6" x14ac:dyDescent="0.25">
      <c r="A32357"/>
      <c r="B32357"/>
      <c r="C32357"/>
      <c r="E32357"/>
      <c r="F32357"/>
    </row>
    <row r="32358" spans="1:6" x14ac:dyDescent="0.25">
      <c r="A32358"/>
      <c r="B32358"/>
      <c r="C32358"/>
      <c r="E32358"/>
      <c r="F32358"/>
    </row>
    <row r="32359" spans="1:6" x14ac:dyDescent="0.25">
      <c r="A32359"/>
      <c r="B32359"/>
      <c r="C32359"/>
      <c r="E32359"/>
      <c r="F32359"/>
    </row>
    <row r="32360" spans="1:6" x14ac:dyDescent="0.25">
      <c r="A32360"/>
      <c r="B32360"/>
      <c r="C32360"/>
      <c r="E32360"/>
      <c r="F32360"/>
    </row>
    <row r="32361" spans="1:6" x14ac:dyDescent="0.25">
      <c r="A32361"/>
      <c r="B32361"/>
      <c r="C32361"/>
      <c r="E32361"/>
      <c r="F32361"/>
    </row>
    <row r="32362" spans="1:6" x14ac:dyDescent="0.25">
      <c r="A32362"/>
      <c r="B32362"/>
      <c r="C32362"/>
      <c r="E32362"/>
      <c r="F32362"/>
    </row>
    <row r="32363" spans="1:6" x14ac:dyDescent="0.25">
      <c r="A32363"/>
      <c r="B32363"/>
      <c r="C32363"/>
      <c r="E32363"/>
      <c r="F32363"/>
    </row>
    <row r="32364" spans="1:6" x14ac:dyDescent="0.25">
      <c r="A32364"/>
      <c r="B32364"/>
      <c r="C32364"/>
      <c r="E32364"/>
      <c r="F32364"/>
    </row>
    <row r="32365" spans="1:6" x14ac:dyDescent="0.25">
      <c r="A32365"/>
      <c r="B32365"/>
      <c r="C32365"/>
      <c r="E32365"/>
      <c r="F32365"/>
    </row>
    <row r="32366" spans="1:6" x14ac:dyDescent="0.25">
      <c r="A32366"/>
      <c r="B32366"/>
      <c r="C32366"/>
      <c r="E32366"/>
      <c r="F32366"/>
    </row>
    <row r="32367" spans="1:6" x14ac:dyDescent="0.25">
      <c r="A32367"/>
      <c r="B32367"/>
      <c r="C32367"/>
      <c r="E32367"/>
      <c r="F32367"/>
    </row>
    <row r="32368" spans="1:6" x14ac:dyDescent="0.25">
      <c r="A32368"/>
      <c r="B32368"/>
      <c r="C32368"/>
      <c r="E32368"/>
      <c r="F32368"/>
    </row>
    <row r="32369" spans="1:6" x14ac:dyDescent="0.25">
      <c r="A32369"/>
      <c r="B32369"/>
      <c r="C32369"/>
      <c r="E32369"/>
      <c r="F32369"/>
    </row>
    <row r="32370" spans="1:6" x14ac:dyDescent="0.25">
      <c r="A32370"/>
      <c r="B32370"/>
      <c r="C32370"/>
      <c r="E32370"/>
      <c r="F32370"/>
    </row>
    <row r="32371" spans="1:6" x14ac:dyDescent="0.25">
      <c r="A32371"/>
      <c r="B32371"/>
      <c r="C32371"/>
      <c r="E32371"/>
      <c r="F32371"/>
    </row>
    <row r="32372" spans="1:6" x14ac:dyDescent="0.25">
      <c r="A32372"/>
      <c r="B32372"/>
      <c r="C32372"/>
      <c r="E32372"/>
      <c r="F32372"/>
    </row>
    <row r="32373" spans="1:6" x14ac:dyDescent="0.25">
      <c r="A32373"/>
      <c r="B32373"/>
      <c r="C32373"/>
      <c r="E32373"/>
      <c r="F32373"/>
    </row>
    <row r="32374" spans="1:6" x14ac:dyDescent="0.25">
      <c r="A32374"/>
      <c r="B32374"/>
      <c r="C32374"/>
      <c r="E32374"/>
      <c r="F32374"/>
    </row>
    <row r="32375" spans="1:6" x14ac:dyDescent="0.25">
      <c r="A32375"/>
      <c r="B32375"/>
      <c r="C32375"/>
      <c r="E32375"/>
      <c r="F32375"/>
    </row>
    <row r="32376" spans="1:6" x14ac:dyDescent="0.25">
      <c r="A32376"/>
      <c r="B32376"/>
      <c r="C32376"/>
      <c r="E32376"/>
      <c r="F32376"/>
    </row>
    <row r="32377" spans="1:6" x14ac:dyDescent="0.25">
      <c r="A32377"/>
      <c r="B32377"/>
      <c r="C32377"/>
      <c r="E32377"/>
      <c r="F32377"/>
    </row>
    <row r="32378" spans="1:6" x14ac:dyDescent="0.25">
      <c r="A32378"/>
      <c r="B32378"/>
      <c r="C32378"/>
      <c r="E32378"/>
      <c r="F32378"/>
    </row>
    <row r="32379" spans="1:6" x14ac:dyDescent="0.25">
      <c r="A32379"/>
      <c r="B32379"/>
      <c r="C32379"/>
      <c r="E32379"/>
      <c r="F32379"/>
    </row>
    <row r="32380" spans="1:6" x14ac:dyDescent="0.25">
      <c r="A32380"/>
      <c r="B32380"/>
      <c r="C32380"/>
      <c r="E32380"/>
      <c r="F32380"/>
    </row>
    <row r="32381" spans="1:6" x14ac:dyDescent="0.25">
      <c r="A32381"/>
      <c r="B32381"/>
      <c r="C32381"/>
      <c r="E32381"/>
      <c r="F32381"/>
    </row>
    <row r="32382" spans="1:6" x14ac:dyDescent="0.25">
      <c r="A32382"/>
      <c r="B32382"/>
      <c r="C32382"/>
      <c r="E32382"/>
      <c r="F32382"/>
    </row>
    <row r="32383" spans="1:6" x14ac:dyDescent="0.25">
      <c r="A32383"/>
      <c r="B32383"/>
      <c r="C32383"/>
      <c r="E32383"/>
      <c r="F32383"/>
    </row>
    <row r="32384" spans="1:6" x14ac:dyDescent="0.25">
      <c r="A32384"/>
      <c r="B32384"/>
      <c r="C32384"/>
      <c r="E32384"/>
      <c r="F32384"/>
    </row>
    <row r="32385" spans="1:6" x14ac:dyDescent="0.25">
      <c r="A32385"/>
      <c r="B32385"/>
      <c r="C32385"/>
      <c r="E32385"/>
      <c r="F32385"/>
    </row>
    <row r="32386" spans="1:6" x14ac:dyDescent="0.25">
      <c r="A32386"/>
      <c r="B32386"/>
      <c r="C32386"/>
      <c r="E32386"/>
      <c r="F32386"/>
    </row>
    <row r="32387" spans="1:6" x14ac:dyDescent="0.25">
      <c r="A32387"/>
      <c r="B32387"/>
      <c r="C32387"/>
      <c r="E32387"/>
      <c r="F32387"/>
    </row>
    <row r="32388" spans="1:6" x14ac:dyDescent="0.25">
      <c r="A32388"/>
      <c r="B32388"/>
      <c r="C32388"/>
      <c r="E32388"/>
      <c r="F32388"/>
    </row>
    <row r="32389" spans="1:6" x14ac:dyDescent="0.25">
      <c r="A32389"/>
      <c r="B32389"/>
      <c r="C32389"/>
      <c r="E32389"/>
      <c r="F32389"/>
    </row>
    <row r="32390" spans="1:6" x14ac:dyDescent="0.25">
      <c r="A32390"/>
      <c r="B32390"/>
      <c r="C32390"/>
      <c r="E32390"/>
      <c r="F32390"/>
    </row>
    <row r="32391" spans="1:6" x14ac:dyDescent="0.25">
      <c r="A32391"/>
      <c r="B32391"/>
      <c r="C32391"/>
      <c r="E32391"/>
      <c r="F32391"/>
    </row>
    <row r="32392" spans="1:6" x14ac:dyDescent="0.25">
      <c r="A32392"/>
      <c r="B32392"/>
      <c r="C32392"/>
      <c r="E32392"/>
      <c r="F32392"/>
    </row>
    <row r="32393" spans="1:6" x14ac:dyDescent="0.25">
      <c r="A32393"/>
      <c r="B32393"/>
      <c r="C32393"/>
      <c r="E32393"/>
      <c r="F32393"/>
    </row>
    <row r="32394" spans="1:6" x14ac:dyDescent="0.25">
      <c r="A32394"/>
      <c r="B32394"/>
      <c r="C32394"/>
      <c r="E32394"/>
      <c r="F32394"/>
    </row>
    <row r="32395" spans="1:6" x14ac:dyDescent="0.25">
      <c r="A32395"/>
      <c r="B32395"/>
      <c r="C32395"/>
      <c r="E32395"/>
      <c r="F32395"/>
    </row>
    <row r="32396" spans="1:6" x14ac:dyDescent="0.25">
      <c r="A32396"/>
      <c r="B32396"/>
      <c r="C32396"/>
      <c r="E32396"/>
      <c r="F32396"/>
    </row>
    <row r="32397" spans="1:6" x14ac:dyDescent="0.25">
      <c r="A32397"/>
      <c r="B32397"/>
      <c r="C32397"/>
      <c r="E32397"/>
      <c r="F32397"/>
    </row>
    <row r="32398" spans="1:6" x14ac:dyDescent="0.25">
      <c r="A32398"/>
      <c r="B32398"/>
      <c r="C32398"/>
      <c r="E32398"/>
      <c r="F32398"/>
    </row>
    <row r="32399" spans="1:6" x14ac:dyDescent="0.25">
      <c r="A32399"/>
      <c r="B32399"/>
      <c r="C32399"/>
      <c r="E32399"/>
      <c r="F32399"/>
    </row>
    <row r="32400" spans="1:6" x14ac:dyDescent="0.25">
      <c r="A32400"/>
      <c r="B32400"/>
      <c r="C32400"/>
      <c r="E32400"/>
      <c r="F32400"/>
    </row>
    <row r="32401" spans="1:6" x14ac:dyDescent="0.25">
      <c r="A32401"/>
      <c r="B32401"/>
      <c r="C32401"/>
      <c r="E32401"/>
      <c r="F32401"/>
    </row>
    <row r="32402" spans="1:6" x14ac:dyDescent="0.25">
      <c r="A32402"/>
      <c r="B32402"/>
      <c r="C32402"/>
      <c r="E32402"/>
      <c r="F32402"/>
    </row>
    <row r="32403" spans="1:6" x14ac:dyDescent="0.25">
      <c r="A32403"/>
      <c r="B32403"/>
      <c r="C32403"/>
      <c r="E32403"/>
      <c r="F32403"/>
    </row>
    <row r="32404" spans="1:6" x14ac:dyDescent="0.25">
      <c r="A32404"/>
      <c r="B32404"/>
      <c r="C32404"/>
      <c r="E32404"/>
      <c r="F32404"/>
    </row>
    <row r="32405" spans="1:6" x14ac:dyDescent="0.25">
      <c r="A32405"/>
      <c r="B32405"/>
      <c r="C32405"/>
      <c r="E32405"/>
      <c r="F32405"/>
    </row>
    <row r="32406" spans="1:6" x14ac:dyDescent="0.25">
      <c r="A32406"/>
      <c r="B32406"/>
      <c r="C32406"/>
      <c r="E32406"/>
      <c r="F32406"/>
    </row>
    <row r="32407" spans="1:6" x14ac:dyDescent="0.25">
      <c r="A32407"/>
      <c r="B32407"/>
      <c r="C32407"/>
      <c r="E32407"/>
      <c r="F32407"/>
    </row>
    <row r="32408" spans="1:6" x14ac:dyDescent="0.25">
      <c r="A32408"/>
      <c r="B32408"/>
      <c r="C32408"/>
      <c r="E32408"/>
      <c r="F32408"/>
    </row>
    <row r="32409" spans="1:6" x14ac:dyDescent="0.25">
      <c r="A32409"/>
      <c r="B32409"/>
      <c r="C32409"/>
      <c r="E32409"/>
      <c r="F32409"/>
    </row>
    <row r="32410" spans="1:6" x14ac:dyDescent="0.25">
      <c r="A32410"/>
      <c r="B32410"/>
      <c r="C32410"/>
      <c r="E32410"/>
      <c r="F32410"/>
    </row>
    <row r="32411" spans="1:6" x14ac:dyDescent="0.25">
      <c r="A32411"/>
      <c r="B32411"/>
      <c r="C32411"/>
      <c r="E32411"/>
      <c r="F32411"/>
    </row>
    <row r="32412" spans="1:6" x14ac:dyDescent="0.25">
      <c r="A32412"/>
      <c r="B32412"/>
      <c r="C32412"/>
      <c r="E32412"/>
      <c r="F32412"/>
    </row>
    <row r="32413" spans="1:6" x14ac:dyDescent="0.25">
      <c r="A32413"/>
      <c r="B32413"/>
      <c r="C32413"/>
      <c r="E32413"/>
      <c r="F32413"/>
    </row>
    <row r="32414" spans="1:6" x14ac:dyDescent="0.25">
      <c r="A32414"/>
      <c r="B32414"/>
      <c r="C32414"/>
      <c r="E32414"/>
      <c r="F32414"/>
    </row>
    <row r="32415" spans="1:6" x14ac:dyDescent="0.25">
      <c r="A32415"/>
      <c r="B32415"/>
      <c r="C32415"/>
      <c r="E32415"/>
      <c r="F32415"/>
    </row>
    <row r="32416" spans="1:6" x14ac:dyDescent="0.25">
      <c r="A32416"/>
      <c r="B32416"/>
      <c r="C32416"/>
      <c r="E32416"/>
      <c r="F32416"/>
    </row>
    <row r="32417" spans="1:6" x14ac:dyDescent="0.25">
      <c r="A32417"/>
      <c r="B32417"/>
      <c r="C32417"/>
      <c r="E32417"/>
      <c r="F32417"/>
    </row>
    <row r="32418" spans="1:6" x14ac:dyDescent="0.25">
      <c r="A32418"/>
      <c r="B32418"/>
      <c r="C32418"/>
      <c r="E32418"/>
      <c r="F32418"/>
    </row>
    <row r="32419" spans="1:6" x14ac:dyDescent="0.25">
      <c r="A32419"/>
      <c r="B32419"/>
      <c r="C32419"/>
      <c r="E32419"/>
      <c r="F32419"/>
    </row>
    <row r="32420" spans="1:6" x14ac:dyDescent="0.25">
      <c r="A32420"/>
      <c r="B32420"/>
      <c r="C32420"/>
      <c r="E32420"/>
      <c r="F32420"/>
    </row>
    <row r="32421" spans="1:6" x14ac:dyDescent="0.25">
      <c r="A32421"/>
      <c r="B32421"/>
      <c r="C32421"/>
      <c r="E32421"/>
      <c r="F32421"/>
    </row>
    <row r="32422" spans="1:6" x14ac:dyDescent="0.25">
      <c r="A32422"/>
      <c r="B32422"/>
      <c r="C32422"/>
      <c r="E32422"/>
      <c r="F32422"/>
    </row>
    <row r="32423" spans="1:6" x14ac:dyDescent="0.25">
      <c r="A32423"/>
      <c r="B32423"/>
      <c r="C32423"/>
      <c r="E32423"/>
      <c r="F32423"/>
    </row>
    <row r="32424" spans="1:6" x14ac:dyDescent="0.25">
      <c r="A32424"/>
      <c r="B32424"/>
      <c r="C32424"/>
      <c r="E32424"/>
      <c r="F32424"/>
    </row>
    <row r="32425" spans="1:6" x14ac:dyDescent="0.25">
      <c r="A32425"/>
      <c r="B32425"/>
      <c r="C32425"/>
      <c r="E32425"/>
      <c r="F32425"/>
    </row>
    <row r="32426" spans="1:6" x14ac:dyDescent="0.25">
      <c r="A32426"/>
      <c r="B32426"/>
      <c r="C32426"/>
      <c r="E32426"/>
      <c r="F32426"/>
    </row>
    <row r="32427" spans="1:6" x14ac:dyDescent="0.25">
      <c r="A32427"/>
      <c r="B32427"/>
      <c r="C32427"/>
      <c r="E32427"/>
      <c r="F32427"/>
    </row>
    <row r="32428" spans="1:6" x14ac:dyDescent="0.25">
      <c r="A32428"/>
      <c r="B32428"/>
      <c r="C32428"/>
      <c r="E32428"/>
      <c r="F32428"/>
    </row>
    <row r="32429" spans="1:6" x14ac:dyDescent="0.25">
      <c r="A32429"/>
      <c r="B32429"/>
      <c r="C32429"/>
      <c r="E32429"/>
      <c r="F32429"/>
    </row>
    <row r="32430" spans="1:6" x14ac:dyDescent="0.25">
      <c r="A32430"/>
      <c r="B32430"/>
      <c r="C32430"/>
      <c r="E32430"/>
      <c r="F32430"/>
    </row>
    <row r="32431" spans="1:6" x14ac:dyDescent="0.25">
      <c r="A32431"/>
      <c r="B32431"/>
      <c r="C32431"/>
      <c r="E32431"/>
      <c r="F32431"/>
    </row>
    <row r="32432" spans="1:6" x14ac:dyDescent="0.25">
      <c r="A32432"/>
      <c r="B32432"/>
      <c r="C32432"/>
      <c r="E32432"/>
      <c r="F32432"/>
    </row>
    <row r="32433" spans="1:6" x14ac:dyDescent="0.25">
      <c r="A32433"/>
      <c r="B32433"/>
      <c r="C32433"/>
      <c r="E32433"/>
      <c r="F32433"/>
    </row>
    <row r="32434" spans="1:6" x14ac:dyDescent="0.25">
      <c r="A32434"/>
      <c r="B32434"/>
      <c r="C32434"/>
      <c r="E32434"/>
      <c r="F32434"/>
    </row>
    <row r="32435" spans="1:6" x14ac:dyDescent="0.25">
      <c r="A32435"/>
      <c r="B32435"/>
      <c r="C32435"/>
      <c r="E32435"/>
      <c r="F32435"/>
    </row>
    <row r="32436" spans="1:6" x14ac:dyDescent="0.25">
      <c r="A32436"/>
      <c r="B32436"/>
      <c r="C32436"/>
      <c r="E32436"/>
      <c r="F32436"/>
    </row>
    <row r="32437" spans="1:6" x14ac:dyDescent="0.25">
      <c r="A32437"/>
      <c r="B32437"/>
      <c r="C32437"/>
      <c r="E32437"/>
      <c r="F32437"/>
    </row>
    <row r="32438" spans="1:6" x14ac:dyDescent="0.25">
      <c r="A32438"/>
      <c r="B32438"/>
      <c r="C32438"/>
      <c r="E32438"/>
      <c r="F32438"/>
    </row>
    <row r="32439" spans="1:6" x14ac:dyDescent="0.25">
      <c r="A32439"/>
      <c r="B32439"/>
      <c r="C32439"/>
      <c r="E32439"/>
      <c r="F32439"/>
    </row>
    <row r="32440" spans="1:6" x14ac:dyDescent="0.25">
      <c r="A32440"/>
      <c r="B32440"/>
      <c r="C32440"/>
      <c r="E32440"/>
      <c r="F32440"/>
    </row>
    <row r="32441" spans="1:6" x14ac:dyDescent="0.25">
      <c r="A32441"/>
      <c r="B32441"/>
      <c r="C32441"/>
      <c r="E32441"/>
      <c r="F32441"/>
    </row>
    <row r="32442" spans="1:6" x14ac:dyDescent="0.25">
      <c r="A32442"/>
      <c r="B32442"/>
      <c r="C32442"/>
      <c r="E32442"/>
      <c r="F32442"/>
    </row>
    <row r="32443" spans="1:6" x14ac:dyDescent="0.25">
      <c r="A32443"/>
      <c r="B32443"/>
      <c r="C32443"/>
      <c r="E32443"/>
      <c r="F32443"/>
    </row>
    <row r="32444" spans="1:6" x14ac:dyDescent="0.25">
      <c r="A32444"/>
      <c r="B32444"/>
      <c r="C32444"/>
      <c r="E32444"/>
      <c r="F32444"/>
    </row>
    <row r="32445" spans="1:6" x14ac:dyDescent="0.25">
      <c r="A32445"/>
      <c r="B32445"/>
      <c r="C32445"/>
      <c r="E32445"/>
      <c r="F32445"/>
    </row>
    <row r="32446" spans="1:6" x14ac:dyDescent="0.25">
      <c r="A32446"/>
      <c r="B32446"/>
      <c r="C32446"/>
      <c r="E32446"/>
      <c r="F32446"/>
    </row>
    <row r="32447" spans="1:6" x14ac:dyDescent="0.25">
      <c r="A32447"/>
      <c r="B32447"/>
      <c r="C32447"/>
      <c r="E32447"/>
      <c r="F32447"/>
    </row>
    <row r="32448" spans="1:6" x14ac:dyDescent="0.25">
      <c r="A32448"/>
      <c r="B32448"/>
      <c r="C32448"/>
      <c r="E32448"/>
      <c r="F32448"/>
    </row>
    <row r="32449" spans="1:6" x14ac:dyDescent="0.25">
      <c r="A32449"/>
      <c r="B32449"/>
      <c r="C32449"/>
      <c r="E32449"/>
      <c r="F32449"/>
    </row>
    <row r="32450" spans="1:6" x14ac:dyDescent="0.25">
      <c r="A32450"/>
      <c r="B32450"/>
      <c r="C32450"/>
      <c r="E32450"/>
      <c r="F32450"/>
    </row>
    <row r="32451" spans="1:6" x14ac:dyDescent="0.25">
      <c r="A32451"/>
      <c r="B32451"/>
      <c r="C32451"/>
      <c r="E32451"/>
      <c r="F32451"/>
    </row>
    <row r="32452" spans="1:6" x14ac:dyDescent="0.25">
      <c r="A32452"/>
      <c r="B32452"/>
      <c r="C32452"/>
      <c r="E32452"/>
      <c r="F32452"/>
    </row>
    <row r="32453" spans="1:6" x14ac:dyDescent="0.25">
      <c r="A32453"/>
      <c r="B32453"/>
      <c r="C32453"/>
      <c r="E32453"/>
      <c r="F32453"/>
    </row>
    <row r="32454" spans="1:6" x14ac:dyDescent="0.25">
      <c r="A32454"/>
      <c r="B32454"/>
      <c r="C32454"/>
      <c r="E32454"/>
      <c r="F32454"/>
    </row>
    <row r="32455" spans="1:6" x14ac:dyDescent="0.25">
      <c r="A32455"/>
      <c r="B32455"/>
      <c r="C32455"/>
      <c r="E32455"/>
      <c r="F32455"/>
    </row>
    <row r="32456" spans="1:6" x14ac:dyDescent="0.25">
      <c r="A32456"/>
      <c r="B32456"/>
      <c r="C32456"/>
      <c r="E32456"/>
      <c r="F32456"/>
    </row>
    <row r="32457" spans="1:6" x14ac:dyDescent="0.25">
      <c r="A32457"/>
      <c r="B32457"/>
      <c r="C32457"/>
      <c r="E32457"/>
      <c r="F32457"/>
    </row>
    <row r="32458" spans="1:6" x14ac:dyDescent="0.25">
      <c r="A32458"/>
      <c r="B32458"/>
      <c r="C32458"/>
      <c r="E32458"/>
      <c r="F32458"/>
    </row>
    <row r="32459" spans="1:6" x14ac:dyDescent="0.25">
      <c r="A32459"/>
      <c r="B32459"/>
      <c r="C32459"/>
      <c r="E32459"/>
      <c r="F32459"/>
    </row>
    <row r="32460" spans="1:6" x14ac:dyDescent="0.25">
      <c r="A32460"/>
      <c r="B32460"/>
      <c r="C32460"/>
      <c r="E32460"/>
      <c r="F32460"/>
    </row>
    <row r="32461" spans="1:6" x14ac:dyDescent="0.25">
      <c r="A32461"/>
      <c r="B32461"/>
      <c r="C32461"/>
      <c r="E32461"/>
      <c r="F32461"/>
    </row>
    <row r="32462" spans="1:6" x14ac:dyDescent="0.25">
      <c r="A32462"/>
      <c r="B32462"/>
      <c r="C32462"/>
      <c r="E32462"/>
      <c r="F32462"/>
    </row>
    <row r="32463" spans="1:6" x14ac:dyDescent="0.25">
      <c r="A32463"/>
      <c r="B32463"/>
      <c r="C32463"/>
      <c r="E32463"/>
      <c r="F32463"/>
    </row>
    <row r="32464" spans="1:6" x14ac:dyDescent="0.25">
      <c r="A32464"/>
      <c r="B32464"/>
      <c r="C32464"/>
      <c r="E32464"/>
      <c r="F32464"/>
    </row>
    <row r="32465" spans="1:6" x14ac:dyDescent="0.25">
      <c r="A32465"/>
      <c r="B32465"/>
      <c r="C32465"/>
      <c r="E32465"/>
      <c r="F32465"/>
    </row>
    <row r="32466" spans="1:6" x14ac:dyDescent="0.25">
      <c r="A32466"/>
      <c r="B32466"/>
      <c r="C32466"/>
      <c r="E32466"/>
      <c r="F32466"/>
    </row>
    <row r="32467" spans="1:6" x14ac:dyDescent="0.25">
      <c r="A32467"/>
      <c r="B32467"/>
      <c r="C32467"/>
      <c r="E32467"/>
      <c r="F32467"/>
    </row>
    <row r="32468" spans="1:6" x14ac:dyDescent="0.25">
      <c r="A32468"/>
      <c r="B32468"/>
      <c r="C32468"/>
      <c r="E32468"/>
      <c r="F32468"/>
    </row>
    <row r="32469" spans="1:6" x14ac:dyDescent="0.25">
      <c r="A32469"/>
      <c r="B32469"/>
      <c r="C32469"/>
      <c r="E32469"/>
      <c r="F32469"/>
    </row>
    <row r="32470" spans="1:6" x14ac:dyDescent="0.25">
      <c r="A32470"/>
      <c r="B32470"/>
      <c r="C32470"/>
      <c r="E32470"/>
      <c r="F32470"/>
    </row>
    <row r="32471" spans="1:6" x14ac:dyDescent="0.25">
      <c r="A32471"/>
      <c r="B32471"/>
      <c r="C32471"/>
      <c r="E32471"/>
      <c r="F32471"/>
    </row>
    <row r="32472" spans="1:6" x14ac:dyDescent="0.25">
      <c r="A32472"/>
      <c r="B32472"/>
      <c r="C32472"/>
      <c r="E32472"/>
      <c r="F32472"/>
    </row>
    <row r="32473" spans="1:6" x14ac:dyDescent="0.25">
      <c r="A32473"/>
      <c r="B32473"/>
      <c r="C32473"/>
      <c r="E32473"/>
      <c r="F32473"/>
    </row>
    <row r="32474" spans="1:6" x14ac:dyDescent="0.25">
      <c r="A32474"/>
      <c r="B32474"/>
      <c r="C32474"/>
      <c r="E32474"/>
      <c r="F32474"/>
    </row>
    <row r="32475" spans="1:6" x14ac:dyDescent="0.25">
      <c r="A32475"/>
      <c r="B32475"/>
      <c r="C32475"/>
      <c r="E32475"/>
      <c r="F32475"/>
    </row>
    <row r="32476" spans="1:6" x14ac:dyDescent="0.25">
      <c r="A32476"/>
      <c r="B32476"/>
      <c r="C32476"/>
      <c r="E32476"/>
      <c r="F32476"/>
    </row>
    <row r="32477" spans="1:6" x14ac:dyDescent="0.25">
      <c r="A32477"/>
      <c r="B32477"/>
      <c r="C32477"/>
      <c r="E32477"/>
      <c r="F32477"/>
    </row>
    <row r="32478" spans="1:6" x14ac:dyDescent="0.25">
      <c r="A32478"/>
      <c r="B32478"/>
      <c r="C32478"/>
      <c r="E32478"/>
      <c r="F32478"/>
    </row>
    <row r="32479" spans="1:6" x14ac:dyDescent="0.25">
      <c r="A32479"/>
      <c r="B32479"/>
      <c r="C32479"/>
      <c r="E32479"/>
      <c r="F32479"/>
    </row>
    <row r="32480" spans="1:6" x14ac:dyDescent="0.25">
      <c r="A32480"/>
      <c r="B32480"/>
      <c r="C32480"/>
      <c r="E32480"/>
      <c r="F32480"/>
    </row>
    <row r="32481" spans="1:6" x14ac:dyDescent="0.25">
      <c r="A32481"/>
      <c r="B32481"/>
      <c r="C32481"/>
      <c r="E32481"/>
      <c r="F32481"/>
    </row>
    <row r="32482" spans="1:6" x14ac:dyDescent="0.25">
      <c r="A32482"/>
      <c r="B32482"/>
      <c r="C32482"/>
      <c r="E32482"/>
      <c r="F32482"/>
    </row>
    <row r="32483" spans="1:6" x14ac:dyDescent="0.25">
      <c r="A32483"/>
      <c r="B32483"/>
      <c r="C32483"/>
      <c r="E32483"/>
      <c r="F32483"/>
    </row>
    <row r="32484" spans="1:6" x14ac:dyDescent="0.25">
      <c r="A32484"/>
      <c r="B32484"/>
      <c r="C32484"/>
      <c r="E32484"/>
      <c r="F32484"/>
    </row>
    <row r="32485" spans="1:6" x14ac:dyDescent="0.25">
      <c r="A32485"/>
      <c r="B32485"/>
      <c r="C32485"/>
      <c r="E32485"/>
      <c r="F32485"/>
    </row>
    <row r="32486" spans="1:6" x14ac:dyDescent="0.25">
      <c r="A32486"/>
      <c r="B32486"/>
      <c r="C32486"/>
      <c r="E32486"/>
      <c r="F32486"/>
    </row>
    <row r="32487" spans="1:6" x14ac:dyDescent="0.25">
      <c r="A32487"/>
      <c r="B32487"/>
      <c r="C32487"/>
      <c r="E32487"/>
      <c r="F32487"/>
    </row>
    <row r="32488" spans="1:6" x14ac:dyDescent="0.25">
      <c r="A32488"/>
      <c r="B32488"/>
      <c r="C32488"/>
      <c r="E32488"/>
      <c r="F32488"/>
    </row>
    <row r="32489" spans="1:6" x14ac:dyDescent="0.25">
      <c r="A32489"/>
      <c r="B32489"/>
      <c r="C32489"/>
      <c r="E32489"/>
      <c r="F32489"/>
    </row>
    <row r="32490" spans="1:6" x14ac:dyDescent="0.25">
      <c r="A32490"/>
      <c r="B32490"/>
      <c r="C32490"/>
      <c r="E32490"/>
      <c r="F32490"/>
    </row>
    <row r="32491" spans="1:6" x14ac:dyDescent="0.25">
      <c r="A32491"/>
      <c r="B32491"/>
      <c r="C32491"/>
      <c r="E32491"/>
      <c r="F32491"/>
    </row>
    <row r="32492" spans="1:6" x14ac:dyDescent="0.25">
      <c r="A32492"/>
      <c r="B32492"/>
      <c r="C32492"/>
      <c r="E32492"/>
      <c r="F32492"/>
    </row>
    <row r="32493" spans="1:6" x14ac:dyDescent="0.25">
      <c r="A32493"/>
      <c r="B32493"/>
      <c r="C32493"/>
      <c r="E32493"/>
      <c r="F32493"/>
    </row>
    <row r="32494" spans="1:6" x14ac:dyDescent="0.25">
      <c r="A32494"/>
      <c r="B32494"/>
      <c r="C32494"/>
      <c r="E32494"/>
      <c r="F32494"/>
    </row>
    <row r="32495" spans="1:6" x14ac:dyDescent="0.25">
      <c r="A32495"/>
      <c r="B32495"/>
      <c r="C32495"/>
      <c r="E32495"/>
      <c r="F32495"/>
    </row>
    <row r="32496" spans="1:6" x14ac:dyDescent="0.25">
      <c r="A32496"/>
      <c r="B32496"/>
      <c r="C32496"/>
      <c r="E32496"/>
      <c r="F32496"/>
    </row>
    <row r="32497" spans="1:6" x14ac:dyDescent="0.25">
      <c r="A32497"/>
      <c r="B32497"/>
      <c r="C32497"/>
      <c r="E32497"/>
      <c r="F32497"/>
    </row>
    <row r="32498" spans="1:6" x14ac:dyDescent="0.25">
      <c r="A32498"/>
      <c r="B32498"/>
      <c r="C32498"/>
      <c r="E32498"/>
      <c r="F32498"/>
    </row>
    <row r="32499" spans="1:6" x14ac:dyDescent="0.25">
      <c r="A32499"/>
      <c r="B32499"/>
      <c r="C32499"/>
      <c r="E32499"/>
      <c r="F32499"/>
    </row>
    <row r="32500" spans="1:6" x14ac:dyDescent="0.25">
      <c r="A32500"/>
      <c r="B32500"/>
      <c r="C32500"/>
      <c r="E32500"/>
      <c r="F32500"/>
    </row>
    <row r="32501" spans="1:6" x14ac:dyDescent="0.25">
      <c r="A32501"/>
      <c r="B32501"/>
      <c r="C32501"/>
      <c r="E32501"/>
      <c r="F32501"/>
    </row>
    <row r="32502" spans="1:6" x14ac:dyDescent="0.25">
      <c r="A32502"/>
      <c r="B32502"/>
      <c r="C32502"/>
      <c r="E32502"/>
      <c r="F32502"/>
    </row>
    <row r="32503" spans="1:6" x14ac:dyDescent="0.25">
      <c r="A32503"/>
      <c r="B32503"/>
      <c r="C32503"/>
      <c r="E32503"/>
      <c r="F32503"/>
    </row>
    <row r="32504" spans="1:6" x14ac:dyDescent="0.25">
      <c r="A32504"/>
      <c r="B32504"/>
      <c r="C32504"/>
      <c r="E32504"/>
      <c r="F32504"/>
    </row>
    <row r="32505" spans="1:6" x14ac:dyDescent="0.25">
      <c r="A32505"/>
      <c r="B32505"/>
      <c r="C32505"/>
      <c r="E32505"/>
      <c r="F32505"/>
    </row>
    <row r="32506" spans="1:6" x14ac:dyDescent="0.25">
      <c r="A32506"/>
      <c r="B32506"/>
      <c r="C32506"/>
      <c r="E32506"/>
      <c r="F32506"/>
    </row>
    <row r="32507" spans="1:6" x14ac:dyDescent="0.25">
      <c r="A32507"/>
      <c r="B32507"/>
      <c r="C32507"/>
      <c r="E32507"/>
      <c r="F32507"/>
    </row>
    <row r="32508" spans="1:6" x14ac:dyDescent="0.25">
      <c r="A32508"/>
      <c r="B32508"/>
      <c r="C32508"/>
      <c r="E32508"/>
      <c r="F32508"/>
    </row>
    <row r="32509" spans="1:6" x14ac:dyDescent="0.25">
      <c r="A32509"/>
      <c r="B32509"/>
      <c r="C32509"/>
      <c r="E32509"/>
      <c r="F32509"/>
    </row>
    <row r="32510" spans="1:6" x14ac:dyDescent="0.25">
      <c r="A32510"/>
      <c r="B32510"/>
      <c r="C32510"/>
      <c r="E32510"/>
      <c r="F32510"/>
    </row>
    <row r="32511" spans="1:6" x14ac:dyDescent="0.25">
      <c r="A32511"/>
      <c r="B32511"/>
      <c r="C32511"/>
      <c r="E32511"/>
      <c r="F32511"/>
    </row>
    <row r="32512" spans="1:6" x14ac:dyDescent="0.25">
      <c r="A32512"/>
      <c r="B32512"/>
      <c r="C32512"/>
      <c r="E32512"/>
      <c r="F32512"/>
    </row>
    <row r="32513" spans="1:6" x14ac:dyDescent="0.25">
      <c r="A32513"/>
      <c r="B32513"/>
      <c r="C32513"/>
      <c r="E32513"/>
      <c r="F32513"/>
    </row>
    <row r="32514" spans="1:6" x14ac:dyDescent="0.25">
      <c r="A32514"/>
      <c r="B32514"/>
      <c r="C32514"/>
      <c r="E32514"/>
      <c r="F32514"/>
    </row>
    <row r="32515" spans="1:6" x14ac:dyDescent="0.25">
      <c r="A32515"/>
      <c r="B32515"/>
      <c r="C32515"/>
      <c r="E32515"/>
      <c r="F32515"/>
    </row>
    <row r="32516" spans="1:6" x14ac:dyDescent="0.25">
      <c r="A32516"/>
      <c r="B32516"/>
      <c r="C32516"/>
      <c r="E32516"/>
      <c r="F32516"/>
    </row>
    <row r="32517" spans="1:6" x14ac:dyDescent="0.25">
      <c r="A32517"/>
      <c r="B32517"/>
      <c r="C32517"/>
      <c r="E32517"/>
      <c r="F32517"/>
    </row>
    <row r="32518" spans="1:6" x14ac:dyDescent="0.25">
      <c r="A32518"/>
      <c r="B32518"/>
      <c r="C32518"/>
      <c r="E32518"/>
      <c r="F32518"/>
    </row>
    <row r="32519" spans="1:6" x14ac:dyDescent="0.25">
      <c r="A32519"/>
      <c r="B32519"/>
      <c r="C32519"/>
      <c r="E32519"/>
      <c r="F32519"/>
    </row>
    <row r="32520" spans="1:6" x14ac:dyDescent="0.25">
      <c r="A32520"/>
      <c r="B32520"/>
      <c r="C32520"/>
      <c r="E32520"/>
      <c r="F32520"/>
    </row>
    <row r="32521" spans="1:6" x14ac:dyDescent="0.25">
      <c r="A32521"/>
      <c r="B32521"/>
      <c r="C32521"/>
      <c r="E32521"/>
      <c r="F32521"/>
    </row>
    <row r="32522" spans="1:6" x14ac:dyDescent="0.25">
      <c r="A32522"/>
      <c r="B32522"/>
      <c r="C32522"/>
      <c r="E32522"/>
      <c r="F32522"/>
    </row>
    <row r="32523" spans="1:6" x14ac:dyDescent="0.25">
      <c r="A32523"/>
      <c r="B32523"/>
      <c r="C32523"/>
      <c r="E32523"/>
      <c r="F32523"/>
    </row>
    <row r="32524" spans="1:6" x14ac:dyDescent="0.25">
      <c r="A32524"/>
      <c r="B32524"/>
      <c r="C32524"/>
      <c r="E32524"/>
      <c r="F32524"/>
    </row>
    <row r="32525" spans="1:6" x14ac:dyDescent="0.25">
      <c r="A32525"/>
      <c r="B32525"/>
      <c r="C32525"/>
      <c r="E32525"/>
      <c r="F32525"/>
    </row>
    <row r="32526" spans="1:6" x14ac:dyDescent="0.25">
      <c r="A32526"/>
      <c r="B32526"/>
      <c r="C32526"/>
      <c r="E32526"/>
      <c r="F32526"/>
    </row>
    <row r="32527" spans="1:6" x14ac:dyDescent="0.25">
      <c r="A32527"/>
      <c r="B32527"/>
      <c r="C32527"/>
      <c r="E32527"/>
      <c r="F32527"/>
    </row>
    <row r="32528" spans="1:6" x14ac:dyDescent="0.25">
      <c r="A32528"/>
      <c r="B32528"/>
      <c r="C32528"/>
      <c r="E32528"/>
      <c r="F32528"/>
    </row>
    <row r="32529" spans="1:6" x14ac:dyDescent="0.25">
      <c r="A32529"/>
      <c r="B32529"/>
      <c r="C32529"/>
      <c r="E32529"/>
      <c r="F32529"/>
    </row>
    <row r="32530" spans="1:6" x14ac:dyDescent="0.25">
      <c r="A32530"/>
      <c r="B32530"/>
      <c r="C32530"/>
      <c r="E32530"/>
      <c r="F32530"/>
    </row>
    <row r="32531" spans="1:6" x14ac:dyDescent="0.25">
      <c r="A32531"/>
      <c r="B32531"/>
      <c r="C32531"/>
      <c r="E32531"/>
      <c r="F32531"/>
    </row>
    <row r="32532" spans="1:6" x14ac:dyDescent="0.25">
      <c r="A32532"/>
      <c r="B32532"/>
      <c r="C32532"/>
      <c r="E32532"/>
      <c r="F32532"/>
    </row>
    <row r="32533" spans="1:6" x14ac:dyDescent="0.25">
      <c r="A32533"/>
      <c r="B32533"/>
      <c r="C32533"/>
      <c r="E32533"/>
      <c r="F32533"/>
    </row>
    <row r="32534" spans="1:6" x14ac:dyDescent="0.25">
      <c r="A32534"/>
      <c r="B32534"/>
      <c r="C32534"/>
      <c r="E32534"/>
      <c r="F32534"/>
    </row>
    <row r="32535" spans="1:6" x14ac:dyDescent="0.25">
      <c r="A32535"/>
      <c r="B32535"/>
      <c r="C32535"/>
      <c r="E32535"/>
      <c r="F32535"/>
    </row>
    <row r="32536" spans="1:6" x14ac:dyDescent="0.25">
      <c r="A32536"/>
      <c r="B32536"/>
      <c r="C32536"/>
      <c r="E32536"/>
      <c r="F32536"/>
    </row>
    <row r="32537" spans="1:6" x14ac:dyDescent="0.25">
      <c r="A32537"/>
      <c r="B32537"/>
      <c r="C32537"/>
      <c r="E32537"/>
      <c r="F32537"/>
    </row>
    <row r="32538" spans="1:6" x14ac:dyDescent="0.25">
      <c r="A32538"/>
      <c r="B32538"/>
      <c r="C32538"/>
      <c r="E32538"/>
      <c r="F32538"/>
    </row>
    <row r="32539" spans="1:6" x14ac:dyDescent="0.25">
      <c r="A32539"/>
      <c r="B32539"/>
      <c r="C32539"/>
      <c r="E32539"/>
      <c r="F32539"/>
    </row>
    <row r="32540" spans="1:6" x14ac:dyDescent="0.25">
      <c r="A32540"/>
      <c r="B32540"/>
      <c r="C32540"/>
      <c r="E32540"/>
      <c r="F32540"/>
    </row>
    <row r="32541" spans="1:6" x14ac:dyDescent="0.25">
      <c r="A32541"/>
      <c r="B32541"/>
      <c r="C32541"/>
      <c r="E32541"/>
      <c r="F32541"/>
    </row>
    <row r="32542" spans="1:6" x14ac:dyDescent="0.25">
      <c r="A32542"/>
      <c r="B32542"/>
      <c r="C32542"/>
      <c r="E32542"/>
      <c r="F32542"/>
    </row>
    <row r="32543" spans="1:6" x14ac:dyDescent="0.25">
      <c r="A32543"/>
      <c r="B32543"/>
      <c r="C32543"/>
      <c r="E32543"/>
      <c r="F32543"/>
    </row>
    <row r="32544" spans="1:6" x14ac:dyDescent="0.25">
      <c r="A32544"/>
      <c r="B32544"/>
      <c r="C32544"/>
      <c r="E32544"/>
      <c r="F32544"/>
    </row>
    <row r="32545" spans="1:6" x14ac:dyDescent="0.25">
      <c r="A32545"/>
      <c r="B32545"/>
      <c r="C32545"/>
      <c r="E32545"/>
      <c r="F32545"/>
    </row>
    <row r="32546" spans="1:6" x14ac:dyDescent="0.25">
      <c r="A32546"/>
      <c r="B32546"/>
      <c r="C32546"/>
      <c r="E32546"/>
      <c r="F32546"/>
    </row>
    <row r="32547" spans="1:6" x14ac:dyDescent="0.25">
      <c r="A32547"/>
      <c r="B32547"/>
      <c r="C32547"/>
      <c r="E32547"/>
      <c r="F32547"/>
    </row>
    <row r="32548" spans="1:6" x14ac:dyDescent="0.25">
      <c r="A32548"/>
      <c r="B32548"/>
      <c r="C32548"/>
      <c r="E32548"/>
      <c r="F32548"/>
    </row>
    <row r="32549" spans="1:6" x14ac:dyDescent="0.25">
      <c r="A32549"/>
      <c r="B32549"/>
      <c r="C32549"/>
      <c r="E32549"/>
      <c r="F32549"/>
    </row>
    <row r="32550" spans="1:6" x14ac:dyDescent="0.25">
      <c r="A32550"/>
      <c r="B32550"/>
      <c r="C32550"/>
      <c r="E32550"/>
      <c r="F32550"/>
    </row>
    <row r="32551" spans="1:6" x14ac:dyDescent="0.25">
      <c r="A32551"/>
      <c r="B32551"/>
      <c r="C32551"/>
      <c r="E32551"/>
      <c r="F32551"/>
    </row>
    <row r="32552" spans="1:6" x14ac:dyDescent="0.25">
      <c r="A32552"/>
      <c r="B32552"/>
      <c r="C32552"/>
      <c r="E32552"/>
      <c r="F32552"/>
    </row>
    <row r="32553" spans="1:6" x14ac:dyDescent="0.25">
      <c r="A32553"/>
      <c r="B32553"/>
      <c r="C32553"/>
      <c r="E32553"/>
      <c r="F32553"/>
    </row>
    <row r="32554" spans="1:6" x14ac:dyDescent="0.25">
      <c r="A32554"/>
      <c r="B32554"/>
      <c r="C32554"/>
      <c r="E32554"/>
      <c r="F32554"/>
    </row>
    <row r="32555" spans="1:6" x14ac:dyDescent="0.25">
      <c r="A32555"/>
      <c r="B32555"/>
      <c r="C32555"/>
      <c r="E32555"/>
      <c r="F32555"/>
    </row>
    <row r="32556" spans="1:6" x14ac:dyDescent="0.25">
      <c r="A32556"/>
      <c r="B32556"/>
      <c r="C32556"/>
      <c r="E32556"/>
      <c r="F32556"/>
    </row>
    <row r="32557" spans="1:6" x14ac:dyDescent="0.25">
      <c r="A32557"/>
      <c r="B32557"/>
      <c r="C32557"/>
      <c r="E32557"/>
      <c r="F32557"/>
    </row>
    <row r="32558" spans="1:6" x14ac:dyDescent="0.25">
      <c r="A32558"/>
      <c r="B32558"/>
      <c r="C32558"/>
      <c r="E32558"/>
      <c r="F32558"/>
    </row>
    <row r="32559" spans="1:6" x14ac:dyDescent="0.25">
      <c r="A32559"/>
      <c r="B32559"/>
      <c r="C32559"/>
      <c r="E32559"/>
      <c r="F32559"/>
    </row>
    <row r="32560" spans="1:6" x14ac:dyDescent="0.25">
      <c r="A32560"/>
      <c r="B32560"/>
      <c r="C32560"/>
      <c r="E32560"/>
      <c r="F32560"/>
    </row>
    <row r="32561" spans="1:6" x14ac:dyDescent="0.25">
      <c r="A32561"/>
      <c r="B32561"/>
      <c r="C32561"/>
      <c r="E32561"/>
      <c r="F32561"/>
    </row>
    <row r="32562" spans="1:6" x14ac:dyDescent="0.25">
      <c r="A32562"/>
      <c r="B32562"/>
      <c r="C32562"/>
      <c r="E32562"/>
      <c r="F32562"/>
    </row>
    <row r="32563" spans="1:6" x14ac:dyDescent="0.25">
      <c r="A32563"/>
      <c r="B32563"/>
      <c r="C32563"/>
      <c r="E32563"/>
      <c r="F32563"/>
    </row>
    <row r="32564" spans="1:6" x14ac:dyDescent="0.25">
      <c r="A32564"/>
      <c r="B32564"/>
      <c r="C32564"/>
      <c r="E32564"/>
      <c r="F32564"/>
    </row>
    <row r="32565" spans="1:6" x14ac:dyDescent="0.25">
      <c r="A32565"/>
      <c r="B32565"/>
      <c r="C32565"/>
      <c r="E32565"/>
      <c r="F32565"/>
    </row>
    <row r="32566" spans="1:6" x14ac:dyDescent="0.25">
      <c r="A32566"/>
      <c r="B32566"/>
      <c r="C32566"/>
      <c r="E32566"/>
      <c r="F32566"/>
    </row>
    <row r="32567" spans="1:6" x14ac:dyDescent="0.25">
      <c r="A32567"/>
      <c r="B32567"/>
      <c r="C32567"/>
      <c r="E32567"/>
      <c r="F32567"/>
    </row>
    <row r="32568" spans="1:6" x14ac:dyDescent="0.25">
      <c r="A32568"/>
      <c r="B32568"/>
      <c r="C32568"/>
      <c r="E32568"/>
      <c r="F32568"/>
    </row>
    <row r="32569" spans="1:6" x14ac:dyDescent="0.25">
      <c r="A32569"/>
      <c r="B32569"/>
      <c r="C32569"/>
      <c r="E32569"/>
      <c r="F32569"/>
    </row>
    <row r="32570" spans="1:6" x14ac:dyDescent="0.25">
      <c r="A32570"/>
      <c r="B32570"/>
      <c r="C32570"/>
      <c r="E32570"/>
      <c r="F32570"/>
    </row>
    <row r="32571" spans="1:6" x14ac:dyDescent="0.25">
      <c r="A32571"/>
      <c r="B32571"/>
      <c r="C32571"/>
      <c r="E32571"/>
      <c r="F32571"/>
    </row>
    <row r="32572" spans="1:6" x14ac:dyDescent="0.25">
      <c r="A32572"/>
      <c r="B32572"/>
      <c r="C32572"/>
      <c r="E32572"/>
      <c r="F32572"/>
    </row>
    <row r="32573" spans="1:6" x14ac:dyDescent="0.25">
      <c r="A32573"/>
      <c r="B32573"/>
      <c r="C32573"/>
      <c r="E32573"/>
      <c r="F32573"/>
    </row>
    <row r="32574" spans="1:6" x14ac:dyDescent="0.25">
      <c r="A32574"/>
      <c r="B32574"/>
      <c r="C32574"/>
      <c r="E32574"/>
      <c r="F32574"/>
    </row>
    <row r="32575" spans="1:6" x14ac:dyDescent="0.25">
      <c r="A32575"/>
      <c r="B32575"/>
      <c r="C32575"/>
      <c r="E32575"/>
      <c r="F32575"/>
    </row>
    <row r="32576" spans="1:6" x14ac:dyDescent="0.25">
      <c r="A32576"/>
      <c r="B32576"/>
      <c r="C32576"/>
      <c r="E32576"/>
      <c r="F32576"/>
    </row>
    <row r="32577" spans="1:6" x14ac:dyDescent="0.25">
      <c r="A32577"/>
      <c r="B32577"/>
      <c r="C32577"/>
      <c r="E32577"/>
      <c r="F32577"/>
    </row>
    <row r="32578" spans="1:6" x14ac:dyDescent="0.25">
      <c r="A32578"/>
      <c r="B32578"/>
      <c r="C32578"/>
      <c r="E32578"/>
      <c r="F32578"/>
    </row>
    <row r="32579" spans="1:6" x14ac:dyDescent="0.25">
      <c r="A32579"/>
      <c r="B32579"/>
      <c r="C32579"/>
      <c r="E32579"/>
      <c r="F32579"/>
    </row>
    <row r="32580" spans="1:6" x14ac:dyDescent="0.25">
      <c r="A32580"/>
      <c r="B32580"/>
      <c r="C32580"/>
      <c r="E32580"/>
      <c r="F32580"/>
    </row>
    <row r="32581" spans="1:6" x14ac:dyDescent="0.25">
      <c r="A32581"/>
      <c r="B32581"/>
      <c r="C32581"/>
      <c r="E32581"/>
      <c r="F32581"/>
    </row>
    <row r="32582" spans="1:6" x14ac:dyDescent="0.25">
      <c r="A32582"/>
      <c r="B32582"/>
      <c r="C32582"/>
      <c r="E32582"/>
      <c r="F32582"/>
    </row>
    <row r="32583" spans="1:6" x14ac:dyDescent="0.25">
      <c r="A32583"/>
      <c r="B32583"/>
      <c r="C32583"/>
      <c r="E32583"/>
      <c r="F32583"/>
    </row>
    <row r="32584" spans="1:6" x14ac:dyDescent="0.25">
      <c r="A32584"/>
      <c r="B32584"/>
      <c r="C32584"/>
      <c r="E32584"/>
      <c r="F32584"/>
    </row>
    <row r="32585" spans="1:6" x14ac:dyDescent="0.25">
      <c r="A32585"/>
      <c r="B32585"/>
      <c r="C32585"/>
      <c r="E32585"/>
      <c r="F32585"/>
    </row>
    <row r="32586" spans="1:6" x14ac:dyDescent="0.25">
      <c r="A32586"/>
      <c r="B32586"/>
      <c r="C32586"/>
      <c r="E32586"/>
      <c r="F32586"/>
    </row>
    <row r="32587" spans="1:6" x14ac:dyDescent="0.25">
      <c r="A32587"/>
      <c r="B32587"/>
      <c r="C32587"/>
      <c r="E32587"/>
      <c r="F32587"/>
    </row>
    <row r="32588" spans="1:6" x14ac:dyDescent="0.25">
      <c r="A32588"/>
      <c r="B32588"/>
      <c r="C32588"/>
      <c r="E32588"/>
      <c r="F32588"/>
    </row>
    <row r="32589" spans="1:6" x14ac:dyDescent="0.25">
      <c r="A32589"/>
      <c r="B32589"/>
      <c r="C32589"/>
      <c r="E32589"/>
      <c r="F32589"/>
    </row>
    <row r="32590" spans="1:6" x14ac:dyDescent="0.25">
      <c r="A32590"/>
      <c r="B32590"/>
      <c r="C32590"/>
      <c r="E32590"/>
      <c r="F32590"/>
    </row>
    <row r="32591" spans="1:6" x14ac:dyDescent="0.25">
      <c r="A32591"/>
      <c r="B32591"/>
      <c r="C32591"/>
      <c r="E32591"/>
      <c r="F32591"/>
    </row>
    <row r="32592" spans="1:6" x14ac:dyDescent="0.25">
      <c r="A32592"/>
      <c r="B32592"/>
      <c r="C32592"/>
      <c r="E32592"/>
      <c r="F32592"/>
    </row>
    <row r="32593" spans="1:6" x14ac:dyDescent="0.25">
      <c r="A32593"/>
      <c r="B32593"/>
      <c r="C32593"/>
      <c r="E32593"/>
      <c r="F32593"/>
    </row>
    <row r="32594" spans="1:6" x14ac:dyDescent="0.25">
      <c r="A32594"/>
      <c r="B32594"/>
      <c r="C32594"/>
      <c r="E32594"/>
      <c r="F32594"/>
    </row>
    <row r="32595" spans="1:6" x14ac:dyDescent="0.25">
      <c r="A32595"/>
      <c r="B32595"/>
      <c r="C32595"/>
      <c r="E32595"/>
      <c r="F32595"/>
    </row>
    <row r="32596" spans="1:6" x14ac:dyDescent="0.25">
      <c r="A32596"/>
      <c r="B32596"/>
      <c r="C32596"/>
      <c r="E32596"/>
      <c r="F32596"/>
    </row>
    <row r="32597" spans="1:6" x14ac:dyDescent="0.25">
      <c r="A32597"/>
      <c r="B32597"/>
      <c r="C32597"/>
      <c r="E32597"/>
      <c r="F32597"/>
    </row>
    <row r="32598" spans="1:6" x14ac:dyDescent="0.25">
      <c r="A32598"/>
      <c r="B32598"/>
      <c r="C32598"/>
      <c r="E32598"/>
      <c r="F32598"/>
    </row>
    <row r="32599" spans="1:6" x14ac:dyDescent="0.25">
      <c r="A32599"/>
      <c r="B32599"/>
      <c r="C32599"/>
      <c r="E32599"/>
      <c r="F32599"/>
    </row>
    <row r="32600" spans="1:6" x14ac:dyDescent="0.25">
      <c r="A32600"/>
      <c r="B32600"/>
      <c r="C32600"/>
      <c r="E32600"/>
      <c r="F32600"/>
    </row>
    <row r="32601" spans="1:6" x14ac:dyDescent="0.25">
      <c r="A32601"/>
      <c r="B32601"/>
      <c r="C32601"/>
      <c r="E32601"/>
      <c r="F32601"/>
    </row>
    <row r="32602" spans="1:6" x14ac:dyDescent="0.25">
      <c r="A32602"/>
      <c r="B32602"/>
      <c r="C32602"/>
      <c r="E32602"/>
      <c r="F32602"/>
    </row>
    <row r="32603" spans="1:6" x14ac:dyDescent="0.25">
      <c r="A32603"/>
      <c r="B32603"/>
      <c r="C32603"/>
      <c r="E32603"/>
      <c r="F32603"/>
    </row>
    <row r="32604" spans="1:6" x14ac:dyDescent="0.25">
      <c r="A32604"/>
      <c r="B32604"/>
      <c r="C32604"/>
      <c r="E32604"/>
      <c r="F32604"/>
    </row>
    <row r="32605" spans="1:6" x14ac:dyDescent="0.25">
      <c r="A32605"/>
      <c r="B32605"/>
      <c r="C32605"/>
      <c r="E32605"/>
      <c r="F32605"/>
    </row>
    <row r="32606" spans="1:6" x14ac:dyDescent="0.25">
      <c r="A32606"/>
      <c r="B32606"/>
      <c r="C32606"/>
      <c r="E32606"/>
      <c r="F32606"/>
    </row>
    <row r="32607" spans="1:6" x14ac:dyDescent="0.25">
      <c r="A32607"/>
      <c r="B32607"/>
      <c r="C32607"/>
      <c r="E32607"/>
      <c r="F32607"/>
    </row>
    <row r="32608" spans="1:6" x14ac:dyDescent="0.25">
      <c r="A32608"/>
      <c r="B32608"/>
      <c r="C32608"/>
      <c r="E32608"/>
      <c r="F32608"/>
    </row>
    <row r="32609" spans="1:6" x14ac:dyDescent="0.25">
      <c r="A32609"/>
      <c r="B32609"/>
      <c r="C32609"/>
      <c r="E32609"/>
      <c r="F32609"/>
    </row>
    <row r="32610" spans="1:6" x14ac:dyDescent="0.25">
      <c r="A32610"/>
      <c r="B32610"/>
      <c r="C32610"/>
      <c r="E32610"/>
      <c r="F32610"/>
    </row>
    <row r="32611" spans="1:6" x14ac:dyDescent="0.25">
      <c r="A32611"/>
      <c r="B32611"/>
      <c r="C32611"/>
      <c r="E32611"/>
      <c r="F32611"/>
    </row>
    <row r="32612" spans="1:6" x14ac:dyDescent="0.25">
      <c r="A32612"/>
      <c r="B32612"/>
      <c r="C32612"/>
      <c r="E32612"/>
      <c r="F32612"/>
    </row>
    <row r="32613" spans="1:6" x14ac:dyDescent="0.25">
      <c r="A32613"/>
      <c r="B32613"/>
      <c r="C32613"/>
      <c r="E32613"/>
      <c r="F32613"/>
    </row>
    <row r="32614" spans="1:6" x14ac:dyDescent="0.25">
      <c r="A32614"/>
      <c r="B32614"/>
      <c r="C32614"/>
      <c r="E32614"/>
      <c r="F32614"/>
    </row>
    <row r="32615" spans="1:6" x14ac:dyDescent="0.25">
      <c r="A32615"/>
      <c r="B32615"/>
      <c r="C32615"/>
      <c r="E32615"/>
      <c r="F32615"/>
    </row>
    <row r="32616" spans="1:6" x14ac:dyDescent="0.25">
      <c r="A32616"/>
      <c r="B32616"/>
      <c r="C32616"/>
      <c r="E32616"/>
      <c r="F32616"/>
    </row>
    <row r="32617" spans="1:6" x14ac:dyDescent="0.25">
      <c r="A32617"/>
      <c r="B32617"/>
      <c r="C32617"/>
      <c r="E32617"/>
      <c r="F32617"/>
    </row>
    <row r="32618" spans="1:6" x14ac:dyDescent="0.25">
      <c r="A32618"/>
      <c r="B32618"/>
      <c r="C32618"/>
      <c r="E32618"/>
      <c r="F32618"/>
    </row>
    <row r="32619" spans="1:6" x14ac:dyDescent="0.25">
      <c r="A32619"/>
      <c r="B32619"/>
      <c r="C32619"/>
      <c r="E32619"/>
      <c r="F32619"/>
    </row>
    <row r="32620" spans="1:6" x14ac:dyDescent="0.25">
      <c r="A32620"/>
      <c r="B32620"/>
      <c r="C32620"/>
      <c r="E32620"/>
      <c r="F32620"/>
    </row>
    <row r="32621" spans="1:6" x14ac:dyDescent="0.25">
      <c r="A32621"/>
      <c r="B32621"/>
      <c r="C32621"/>
      <c r="E32621"/>
      <c r="F32621"/>
    </row>
    <row r="32622" spans="1:6" x14ac:dyDescent="0.25">
      <c r="A32622"/>
      <c r="B32622"/>
      <c r="C32622"/>
      <c r="E32622"/>
      <c r="F32622"/>
    </row>
    <row r="32623" spans="1:6" x14ac:dyDescent="0.25">
      <c r="A32623"/>
      <c r="B32623"/>
      <c r="C32623"/>
      <c r="E32623"/>
      <c r="F32623"/>
    </row>
    <row r="32624" spans="1:6" x14ac:dyDescent="0.25">
      <c r="A32624"/>
      <c r="B32624"/>
      <c r="C32624"/>
      <c r="E32624"/>
      <c r="F32624"/>
    </row>
    <row r="32625" spans="1:6" x14ac:dyDescent="0.25">
      <c r="A32625"/>
      <c r="B32625"/>
      <c r="C32625"/>
      <c r="E32625"/>
      <c r="F32625"/>
    </row>
    <row r="32626" spans="1:6" x14ac:dyDescent="0.25">
      <c r="A32626"/>
      <c r="B32626"/>
      <c r="C32626"/>
      <c r="E32626"/>
      <c r="F32626"/>
    </row>
    <row r="32627" spans="1:6" x14ac:dyDescent="0.25">
      <c r="A32627"/>
      <c r="B32627"/>
      <c r="C32627"/>
      <c r="E32627"/>
      <c r="F32627"/>
    </row>
    <row r="32628" spans="1:6" x14ac:dyDescent="0.25">
      <c r="A32628"/>
      <c r="B32628"/>
      <c r="C32628"/>
      <c r="E32628"/>
      <c r="F32628"/>
    </row>
    <row r="32629" spans="1:6" x14ac:dyDescent="0.25">
      <c r="A32629"/>
      <c r="B32629"/>
      <c r="C32629"/>
      <c r="E32629"/>
      <c r="F32629"/>
    </row>
    <row r="32630" spans="1:6" x14ac:dyDescent="0.25">
      <c r="A32630"/>
      <c r="B32630"/>
      <c r="C32630"/>
      <c r="E32630"/>
      <c r="F32630"/>
    </row>
    <row r="32631" spans="1:6" x14ac:dyDescent="0.25">
      <c r="A32631"/>
      <c r="B32631"/>
      <c r="C32631"/>
      <c r="E32631"/>
      <c r="F32631"/>
    </row>
    <row r="32632" spans="1:6" x14ac:dyDescent="0.25">
      <c r="A32632"/>
      <c r="B32632"/>
      <c r="C32632"/>
      <c r="E32632"/>
      <c r="F32632"/>
    </row>
    <row r="32633" spans="1:6" x14ac:dyDescent="0.25">
      <c r="A32633"/>
      <c r="B32633"/>
      <c r="C32633"/>
      <c r="E32633"/>
      <c r="F32633"/>
    </row>
    <row r="32634" spans="1:6" x14ac:dyDescent="0.25">
      <c r="A32634"/>
      <c r="B32634"/>
      <c r="C32634"/>
      <c r="E32634"/>
      <c r="F32634"/>
    </row>
    <row r="32635" spans="1:6" x14ac:dyDescent="0.25">
      <c r="A32635"/>
      <c r="B32635"/>
      <c r="C32635"/>
      <c r="E32635"/>
      <c r="F32635"/>
    </row>
    <row r="32636" spans="1:6" x14ac:dyDescent="0.25">
      <c r="A32636"/>
      <c r="B32636"/>
      <c r="C32636"/>
      <c r="E32636"/>
      <c r="F32636"/>
    </row>
    <row r="32637" spans="1:6" x14ac:dyDescent="0.25">
      <c r="A32637"/>
      <c r="B32637"/>
      <c r="C32637"/>
      <c r="E32637"/>
      <c r="F32637"/>
    </row>
    <row r="32638" spans="1:6" x14ac:dyDescent="0.25">
      <c r="A32638"/>
      <c r="B32638"/>
      <c r="C32638"/>
      <c r="E32638"/>
      <c r="F32638"/>
    </row>
    <row r="32639" spans="1:6" x14ac:dyDescent="0.25">
      <c r="A32639"/>
      <c r="B32639"/>
      <c r="C32639"/>
      <c r="E32639"/>
      <c r="F32639"/>
    </row>
    <row r="32640" spans="1:6" x14ac:dyDescent="0.25">
      <c r="A32640"/>
      <c r="B32640"/>
      <c r="C32640"/>
      <c r="E32640"/>
      <c r="F32640"/>
    </row>
    <row r="32641" spans="1:6" x14ac:dyDescent="0.25">
      <c r="A32641"/>
      <c r="B32641"/>
      <c r="C32641"/>
      <c r="E32641"/>
      <c r="F32641"/>
    </row>
    <row r="32642" spans="1:6" x14ac:dyDescent="0.25">
      <c r="A32642"/>
      <c r="B32642"/>
      <c r="C32642"/>
      <c r="E32642"/>
      <c r="F32642"/>
    </row>
    <row r="32643" spans="1:6" x14ac:dyDescent="0.25">
      <c r="A32643"/>
      <c r="B32643"/>
      <c r="C32643"/>
      <c r="E32643"/>
      <c r="F32643"/>
    </row>
    <row r="32644" spans="1:6" x14ac:dyDescent="0.25">
      <c r="A32644"/>
      <c r="B32644"/>
      <c r="C32644"/>
      <c r="E32644"/>
      <c r="F32644"/>
    </row>
    <row r="32645" spans="1:6" x14ac:dyDescent="0.25">
      <c r="A32645"/>
      <c r="B32645"/>
      <c r="C32645"/>
      <c r="E32645"/>
      <c r="F32645"/>
    </row>
    <row r="32646" spans="1:6" x14ac:dyDescent="0.25">
      <c r="A32646"/>
      <c r="B32646"/>
      <c r="C32646"/>
      <c r="E32646"/>
      <c r="F32646"/>
    </row>
    <row r="32647" spans="1:6" x14ac:dyDescent="0.25">
      <c r="A32647"/>
      <c r="B32647"/>
      <c r="C32647"/>
      <c r="E32647"/>
      <c r="F32647"/>
    </row>
    <row r="32648" spans="1:6" x14ac:dyDescent="0.25">
      <c r="A32648"/>
      <c r="B32648"/>
      <c r="C32648"/>
      <c r="E32648"/>
      <c r="F32648"/>
    </row>
    <row r="32649" spans="1:6" x14ac:dyDescent="0.25">
      <c r="A32649"/>
      <c r="B32649"/>
      <c r="C32649"/>
      <c r="E32649"/>
      <c r="F32649"/>
    </row>
    <row r="32650" spans="1:6" x14ac:dyDescent="0.25">
      <c r="A32650"/>
      <c r="B32650"/>
      <c r="C32650"/>
      <c r="E32650"/>
      <c r="F32650"/>
    </row>
    <row r="32651" spans="1:6" x14ac:dyDescent="0.25">
      <c r="A32651"/>
      <c r="B32651"/>
      <c r="C32651"/>
      <c r="E32651"/>
      <c r="F32651"/>
    </row>
    <row r="32652" spans="1:6" x14ac:dyDescent="0.25">
      <c r="A32652"/>
      <c r="B32652"/>
      <c r="C32652"/>
      <c r="E32652"/>
      <c r="F32652"/>
    </row>
    <row r="32653" spans="1:6" x14ac:dyDescent="0.25">
      <c r="A32653"/>
      <c r="B32653"/>
      <c r="C32653"/>
      <c r="E32653"/>
      <c r="F32653"/>
    </row>
    <row r="32654" spans="1:6" x14ac:dyDescent="0.25">
      <c r="A32654"/>
      <c r="B32654"/>
      <c r="C32654"/>
      <c r="E32654"/>
      <c r="F32654"/>
    </row>
    <row r="32655" spans="1:6" x14ac:dyDescent="0.25">
      <c r="A32655"/>
      <c r="B32655"/>
      <c r="C32655"/>
      <c r="E32655"/>
      <c r="F32655"/>
    </row>
    <row r="32656" spans="1:6" x14ac:dyDescent="0.25">
      <c r="A32656"/>
      <c r="B32656"/>
      <c r="C32656"/>
      <c r="E32656"/>
      <c r="F32656"/>
    </row>
    <row r="32657" spans="1:6" x14ac:dyDescent="0.25">
      <c r="A32657"/>
      <c r="B32657"/>
      <c r="C32657"/>
      <c r="E32657"/>
      <c r="F32657"/>
    </row>
    <row r="32658" spans="1:6" x14ac:dyDescent="0.25">
      <c r="A32658"/>
      <c r="B32658"/>
      <c r="C32658"/>
      <c r="E32658"/>
      <c r="F32658"/>
    </row>
    <row r="32659" spans="1:6" x14ac:dyDescent="0.25">
      <c r="A32659"/>
      <c r="B32659"/>
      <c r="C32659"/>
      <c r="E32659"/>
      <c r="F32659"/>
    </row>
    <row r="32660" spans="1:6" x14ac:dyDescent="0.25">
      <c r="A32660"/>
      <c r="B32660"/>
      <c r="C32660"/>
      <c r="E32660"/>
      <c r="F32660"/>
    </row>
    <row r="32661" spans="1:6" x14ac:dyDescent="0.25">
      <c r="A32661"/>
      <c r="B32661"/>
      <c r="C32661"/>
      <c r="E32661"/>
      <c r="F32661"/>
    </row>
    <row r="32662" spans="1:6" x14ac:dyDescent="0.25">
      <c r="A32662"/>
      <c r="B32662"/>
      <c r="C32662"/>
      <c r="E32662"/>
      <c r="F32662"/>
    </row>
    <row r="32663" spans="1:6" x14ac:dyDescent="0.25">
      <c r="A32663"/>
      <c r="B32663"/>
      <c r="C32663"/>
      <c r="E32663"/>
      <c r="F32663"/>
    </row>
    <row r="32664" spans="1:6" x14ac:dyDescent="0.25">
      <c r="A32664"/>
      <c r="B32664"/>
      <c r="C32664"/>
      <c r="E32664"/>
      <c r="F32664"/>
    </row>
    <row r="32665" spans="1:6" x14ac:dyDescent="0.25">
      <c r="A32665"/>
      <c r="B32665"/>
      <c r="C32665"/>
      <c r="E32665"/>
      <c r="F32665"/>
    </row>
    <row r="32666" spans="1:6" x14ac:dyDescent="0.25">
      <c r="A32666"/>
      <c r="B32666"/>
      <c r="C32666"/>
      <c r="E32666"/>
      <c r="F32666"/>
    </row>
    <row r="32667" spans="1:6" x14ac:dyDescent="0.25">
      <c r="A32667"/>
      <c r="B32667"/>
      <c r="C32667"/>
      <c r="E32667"/>
      <c r="F32667"/>
    </row>
    <row r="32668" spans="1:6" x14ac:dyDescent="0.25">
      <c r="A32668"/>
      <c r="B32668"/>
      <c r="C32668"/>
      <c r="E32668"/>
      <c r="F32668"/>
    </row>
    <row r="32669" spans="1:6" x14ac:dyDescent="0.25">
      <c r="A32669"/>
      <c r="B32669"/>
      <c r="C32669"/>
      <c r="E32669"/>
      <c r="F32669"/>
    </row>
    <row r="32670" spans="1:6" x14ac:dyDescent="0.25">
      <c r="A32670"/>
      <c r="B32670"/>
      <c r="C32670"/>
      <c r="E32670"/>
      <c r="F32670"/>
    </row>
    <row r="32671" spans="1:6" x14ac:dyDescent="0.25">
      <c r="A32671"/>
      <c r="B32671"/>
      <c r="C32671"/>
      <c r="E32671"/>
      <c r="F32671"/>
    </row>
    <row r="32672" spans="1:6" x14ac:dyDescent="0.25">
      <c r="A32672"/>
      <c r="B32672"/>
      <c r="C32672"/>
      <c r="E32672"/>
      <c r="F32672"/>
    </row>
    <row r="32673" spans="1:6" x14ac:dyDescent="0.25">
      <c r="A32673"/>
      <c r="B32673"/>
      <c r="C32673"/>
      <c r="E32673"/>
      <c r="F32673"/>
    </row>
    <row r="32674" spans="1:6" x14ac:dyDescent="0.25">
      <c r="A32674"/>
      <c r="B32674"/>
      <c r="C32674"/>
      <c r="E32674"/>
      <c r="F32674"/>
    </row>
    <row r="32675" spans="1:6" x14ac:dyDescent="0.25">
      <c r="A32675"/>
      <c r="B32675"/>
      <c r="C32675"/>
      <c r="E32675"/>
      <c r="F32675"/>
    </row>
    <row r="32676" spans="1:6" x14ac:dyDescent="0.25">
      <c r="A32676"/>
      <c r="B32676"/>
      <c r="C32676"/>
      <c r="E32676"/>
      <c r="F32676"/>
    </row>
    <row r="32677" spans="1:6" x14ac:dyDescent="0.25">
      <c r="A32677"/>
      <c r="B32677"/>
      <c r="C32677"/>
      <c r="E32677"/>
      <c r="F32677"/>
    </row>
    <row r="32678" spans="1:6" x14ac:dyDescent="0.25">
      <c r="A32678"/>
      <c r="B32678"/>
      <c r="C32678"/>
      <c r="E32678"/>
      <c r="F32678"/>
    </row>
    <row r="32679" spans="1:6" x14ac:dyDescent="0.25">
      <c r="A32679"/>
      <c r="B32679"/>
      <c r="C32679"/>
      <c r="E32679"/>
      <c r="F32679"/>
    </row>
    <row r="32680" spans="1:6" x14ac:dyDescent="0.25">
      <c r="A32680"/>
      <c r="B32680"/>
      <c r="C32680"/>
      <c r="E32680"/>
      <c r="F32680"/>
    </row>
    <row r="32681" spans="1:6" x14ac:dyDescent="0.25">
      <c r="A32681"/>
      <c r="B32681"/>
      <c r="C32681"/>
      <c r="E32681"/>
      <c r="F32681"/>
    </row>
    <row r="32682" spans="1:6" x14ac:dyDescent="0.25">
      <c r="A32682"/>
      <c r="B32682"/>
      <c r="C32682"/>
      <c r="E32682"/>
      <c r="F32682"/>
    </row>
    <row r="32683" spans="1:6" x14ac:dyDescent="0.25">
      <c r="A32683"/>
      <c r="B32683"/>
      <c r="C32683"/>
      <c r="E32683"/>
      <c r="F32683"/>
    </row>
    <row r="32684" spans="1:6" x14ac:dyDescent="0.25">
      <c r="A32684"/>
      <c r="B32684"/>
      <c r="C32684"/>
      <c r="E32684"/>
      <c r="F32684"/>
    </row>
    <row r="32685" spans="1:6" x14ac:dyDescent="0.25">
      <c r="A32685"/>
      <c r="B32685"/>
      <c r="C32685"/>
      <c r="E32685"/>
      <c r="F32685"/>
    </row>
    <row r="32686" spans="1:6" x14ac:dyDescent="0.25">
      <c r="A32686"/>
      <c r="B32686"/>
      <c r="C32686"/>
      <c r="E32686"/>
      <c r="F32686"/>
    </row>
    <row r="32687" spans="1:6" x14ac:dyDescent="0.25">
      <c r="A32687"/>
      <c r="B32687"/>
      <c r="C32687"/>
      <c r="E32687"/>
      <c r="F32687"/>
    </row>
    <row r="32688" spans="1:6" x14ac:dyDescent="0.25">
      <c r="A32688"/>
      <c r="B32688"/>
      <c r="C32688"/>
      <c r="E32688"/>
      <c r="F32688"/>
    </row>
    <row r="32689" spans="1:6" x14ac:dyDescent="0.25">
      <c r="A32689"/>
      <c r="B32689"/>
      <c r="C32689"/>
      <c r="E32689"/>
      <c r="F32689"/>
    </row>
    <row r="32690" spans="1:6" x14ac:dyDescent="0.25">
      <c r="A32690"/>
      <c r="B32690"/>
      <c r="C32690"/>
      <c r="E32690"/>
      <c r="F32690"/>
    </row>
    <row r="32691" spans="1:6" x14ac:dyDescent="0.25">
      <c r="A32691"/>
      <c r="B32691"/>
      <c r="C32691"/>
      <c r="E32691"/>
      <c r="F32691"/>
    </row>
    <row r="32692" spans="1:6" x14ac:dyDescent="0.25">
      <c r="A32692"/>
      <c r="B32692"/>
      <c r="C32692"/>
      <c r="E32692"/>
      <c r="F32692"/>
    </row>
    <row r="32693" spans="1:6" x14ac:dyDescent="0.25">
      <c r="A32693"/>
      <c r="B32693"/>
      <c r="C32693"/>
      <c r="E32693"/>
      <c r="F32693"/>
    </row>
    <row r="32694" spans="1:6" x14ac:dyDescent="0.25">
      <c r="A32694"/>
      <c r="B32694"/>
      <c r="C32694"/>
      <c r="E32694"/>
      <c r="F32694"/>
    </row>
    <row r="32695" spans="1:6" x14ac:dyDescent="0.25">
      <c r="A32695"/>
      <c r="B32695"/>
      <c r="C32695"/>
      <c r="E32695"/>
      <c r="F32695"/>
    </row>
    <row r="32696" spans="1:6" x14ac:dyDescent="0.25">
      <c r="A32696"/>
      <c r="B32696"/>
      <c r="C32696"/>
      <c r="E32696"/>
      <c r="F32696"/>
    </row>
    <row r="32697" spans="1:6" x14ac:dyDescent="0.25">
      <c r="A32697"/>
      <c r="B32697"/>
      <c r="C32697"/>
      <c r="E32697"/>
      <c r="F32697"/>
    </row>
    <row r="32698" spans="1:6" x14ac:dyDescent="0.25">
      <c r="A32698"/>
      <c r="B32698"/>
      <c r="C32698"/>
      <c r="E32698"/>
      <c r="F32698"/>
    </row>
    <row r="32699" spans="1:6" x14ac:dyDescent="0.25">
      <c r="A32699"/>
      <c r="B32699"/>
      <c r="C32699"/>
      <c r="E32699"/>
      <c r="F32699"/>
    </row>
    <row r="32700" spans="1:6" x14ac:dyDescent="0.25">
      <c r="A32700"/>
      <c r="B32700"/>
      <c r="C32700"/>
      <c r="E32700"/>
      <c r="F32700"/>
    </row>
    <row r="32701" spans="1:6" x14ac:dyDescent="0.25">
      <c r="A32701"/>
      <c r="B32701"/>
      <c r="C32701"/>
      <c r="E32701"/>
      <c r="F32701"/>
    </row>
    <row r="32702" spans="1:6" x14ac:dyDescent="0.25">
      <c r="A32702"/>
      <c r="B32702"/>
      <c r="C32702"/>
      <c r="E32702"/>
      <c r="F32702"/>
    </row>
    <row r="32703" spans="1:6" x14ac:dyDescent="0.25">
      <c r="A32703"/>
      <c r="B32703"/>
      <c r="C32703"/>
      <c r="E32703"/>
      <c r="F32703"/>
    </row>
    <row r="32704" spans="1:6" x14ac:dyDescent="0.25">
      <c r="A32704"/>
      <c r="B32704"/>
      <c r="C32704"/>
      <c r="E32704"/>
      <c r="F32704"/>
    </row>
    <row r="32705" spans="1:6" x14ac:dyDescent="0.25">
      <c r="A32705"/>
      <c r="B32705"/>
      <c r="C32705"/>
      <c r="E32705"/>
      <c r="F32705"/>
    </row>
    <row r="32706" spans="1:6" x14ac:dyDescent="0.25">
      <c r="A32706"/>
      <c r="B32706"/>
      <c r="C32706"/>
      <c r="E32706"/>
      <c r="F32706"/>
    </row>
    <row r="32707" spans="1:6" x14ac:dyDescent="0.25">
      <c r="A32707"/>
      <c r="B32707"/>
      <c r="C32707"/>
      <c r="E32707"/>
      <c r="F32707"/>
    </row>
    <row r="32708" spans="1:6" x14ac:dyDescent="0.25">
      <c r="A32708"/>
      <c r="B32708"/>
      <c r="C32708"/>
      <c r="E32708"/>
      <c r="F32708"/>
    </row>
    <row r="32709" spans="1:6" x14ac:dyDescent="0.25">
      <c r="A32709"/>
      <c r="B32709"/>
      <c r="C32709"/>
      <c r="E32709"/>
      <c r="F32709"/>
    </row>
    <row r="32710" spans="1:6" x14ac:dyDescent="0.25">
      <c r="A32710"/>
      <c r="B32710"/>
      <c r="C32710"/>
      <c r="E32710"/>
      <c r="F32710"/>
    </row>
    <row r="32711" spans="1:6" x14ac:dyDescent="0.25">
      <c r="A32711"/>
      <c r="B32711"/>
      <c r="C32711"/>
      <c r="E32711"/>
      <c r="F32711"/>
    </row>
    <row r="32712" spans="1:6" x14ac:dyDescent="0.25">
      <c r="A32712"/>
      <c r="B32712"/>
      <c r="C32712"/>
      <c r="E32712"/>
      <c r="F32712"/>
    </row>
    <row r="32713" spans="1:6" x14ac:dyDescent="0.25">
      <c r="A32713"/>
      <c r="B32713"/>
      <c r="C32713"/>
      <c r="E32713"/>
      <c r="F32713"/>
    </row>
    <row r="32714" spans="1:6" x14ac:dyDescent="0.25">
      <c r="A32714"/>
      <c r="B32714"/>
      <c r="C32714"/>
      <c r="E32714"/>
      <c r="F32714"/>
    </row>
    <row r="32715" spans="1:6" x14ac:dyDescent="0.25">
      <c r="A32715"/>
      <c r="B32715"/>
      <c r="C32715"/>
      <c r="E32715"/>
      <c r="F32715"/>
    </row>
    <row r="32716" spans="1:6" x14ac:dyDescent="0.25">
      <c r="A32716"/>
      <c r="B32716"/>
      <c r="C32716"/>
      <c r="E32716"/>
      <c r="F32716"/>
    </row>
    <row r="32717" spans="1:6" x14ac:dyDescent="0.25">
      <c r="A32717"/>
      <c r="B32717"/>
      <c r="C32717"/>
      <c r="E32717"/>
      <c r="F32717"/>
    </row>
    <row r="32718" spans="1:6" x14ac:dyDescent="0.25">
      <c r="A32718"/>
      <c r="B32718"/>
      <c r="C32718"/>
      <c r="E32718"/>
      <c r="F32718"/>
    </row>
    <row r="32719" spans="1:6" x14ac:dyDescent="0.25">
      <c r="A32719"/>
      <c r="B32719"/>
      <c r="C32719"/>
      <c r="E32719"/>
      <c r="F32719"/>
    </row>
    <row r="32720" spans="1:6" x14ac:dyDescent="0.25">
      <c r="A32720"/>
      <c r="B32720"/>
      <c r="C32720"/>
      <c r="E32720"/>
      <c r="F32720"/>
    </row>
    <row r="32721" spans="1:6" x14ac:dyDescent="0.25">
      <c r="A32721"/>
      <c r="B32721"/>
      <c r="C32721"/>
      <c r="E32721"/>
      <c r="F32721"/>
    </row>
    <row r="32722" spans="1:6" x14ac:dyDescent="0.25">
      <c r="A32722"/>
      <c r="B32722"/>
      <c r="C32722"/>
      <c r="E32722"/>
      <c r="F32722"/>
    </row>
    <row r="32723" spans="1:6" x14ac:dyDescent="0.25">
      <c r="A32723"/>
      <c r="B32723"/>
      <c r="C32723"/>
      <c r="E32723"/>
      <c r="F32723"/>
    </row>
    <row r="32724" spans="1:6" x14ac:dyDescent="0.25">
      <c r="A32724"/>
      <c r="B32724"/>
      <c r="C32724"/>
      <c r="E32724"/>
      <c r="F32724"/>
    </row>
    <row r="32725" spans="1:6" x14ac:dyDescent="0.25">
      <c r="A32725"/>
      <c r="B32725"/>
      <c r="C32725"/>
      <c r="E32725"/>
      <c r="F32725"/>
    </row>
    <row r="32726" spans="1:6" x14ac:dyDescent="0.25">
      <c r="A32726"/>
      <c r="B32726"/>
      <c r="C32726"/>
      <c r="E32726"/>
      <c r="F32726"/>
    </row>
    <row r="32727" spans="1:6" x14ac:dyDescent="0.25">
      <c r="A32727"/>
      <c r="B32727"/>
      <c r="C32727"/>
      <c r="E32727"/>
      <c r="F32727"/>
    </row>
    <row r="32728" spans="1:6" x14ac:dyDescent="0.25">
      <c r="A32728"/>
      <c r="B32728"/>
      <c r="C32728"/>
      <c r="E32728"/>
      <c r="F32728"/>
    </row>
    <row r="32729" spans="1:6" x14ac:dyDescent="0.25">
      <c r="A32729"/>
      <c r="B32729"/>
      <c r="C32729"/>
      <c r="E32729"/>
      <c r="F32729"/>
    </row>
    <row r="32730" spans="1:6" x14ac:dyDescent="0.25">
      <c r="A32730"/>
      <c r="B32730"/>
      <c r="C32730"/>
      <c r="E32730"/>
      <c r="F32730"/>
    </row>
    <row r="32731" spans="1:6" x14ac:dyDescent="0.25">
      <c r="A32731"/>
      <c r="B32731"/>
      <c r="C32731"/>
      <c r="E32731"/>
      <c r="F32731"/>
    </row>
    <row r="32732" spans="1:6" x14ac:dyDescent="0.25">
      <c r="A32732"/>
      <c r="B32732"/>
      <c r="C32732"/>
      <c r="E32732"/>
      <c r="F32732"/>
    </row>
    <row r="32733" spans="1:6" x14ac:dyDescent="0.25">
      <c r="A32733"/>
      <c r="B32733"/>
      <c r="C32733"/>
      <c r="E32733"/>
      <c r="F32733"/>
    </row>
    <row r="32734" spans="1:6" x14ac:dyDescent="0.25">
      <c r="A32734"/>
      <c r="B32734"/>
      <c r="C32734"/>
      <c r="E32734"/>
      <c r="F32734"/>
    </row>
    <row r="32735" spans="1:6" x14ac:dyDescent="0.25">
      <c r="A32735"/>
      <c r="B32735"/>
      <c r="C32735"/>
      <c r="E32735"/>
      <c r="F32735"/>
    </row>
    <row r="32736" spans="1:6" x14ac:dyDescent="0.25">
      <c r="A32736"/>
      <c r="B32736"/>
      <c r="C32736"/>
      <c r="E32736"/>
      <c r="F32736"/>
    </row>
    <row r="32737" spans="1:6" x14ac:dyDescent="0.25">
      <c r="A32737"/>
      <c r="B32737"/>
      <c r="C32737"/>
      <c r="E32737"/>
      <c r="F32737"/>
    </row>
    <row r="32738" spans="1:6" x14ac:dyDescent="0.25">
      <c r="A32738"/>
      <c r="B32738"/>
      <c r="C32738"/>
      <c r="E32738"/>
      <c r="F32738"/>
    </row>
    <row r="32739" spans="1:6" x14ac:dyDescent="0.25">
      <c r="A32739"/>
      <c r="B32739"/>
      <c r="C32739"/>
      <c r="E32739"/>
      <c r="F32739"/>
    </row>
    <row r="32740" spans="1:6" x14ac:dyDescent="0.25">
      <c r="A32740"/>
      <c r="B32740"/>
      <c r="C32740"/>
      <c r="E32740"/>
      <c r="F32740"/>
    </row>
    <row r="32741" spans="1:6" x14ac:dyDescent="0.25">
      <c r="A32741"/>
      <c r="B32741"/>
      <c r="C32741"/>
      <c r="E32741"/>
      <c r="F32741"/>
    </row>
    <row r="32742" spans="1:6" x14ac:dyDescent="0.25">
      <c r="A32742"/>
      <c r="B32742"/>
      <c r="C32742"/>
      <c r="E32742"/>
      <c r="F32742"/>
    </row>
    <row r="32743" spans="1:6" x14ac:dyDescent="0.25">
      <c r="A32743"/>
      <c r="B32743"/>
      <c r="C32743"/>
      <c r="E32743"/>
      <c r="F32743"/>
    </row>
    <row r="32744" spans="1:6" x14ac:dyDescent="0.25">
      <c r="A32744"/>
      <c r="B32744"/>
      <c r="C32744"/>
      <c r="E32744"/>
      <c r="F32744"/>
    </row>
    <row r="32745" spans="1:6" x14ac:dyDescent="0.25">
      <c r="A32745"/>
      <c r="B32745"/>
      <c r="C32745"/>
      <c r="E32745"/>
      <c r="F32745"/>
    </row>
    <row r="32746" spans="1:6" x14ac:dyDescent="0.25">
      <c r="A32746"/>
      <c r="B32746"/>
      <c r="C32746"/>
      <c r="E32746"/>
      <c r="F32746"/>
    </row>
    <row r="32747" spans="1:6" x14ac:dyDescent="0.25">
      <c r="A32747"/>
      <c r="B32747"/>
      <c r="C32747"/>
      <c r="E32747"/>
      <c r="F32747"/>
    </row>
    <row r="32748" spans="1:6" x14ac:dyDescent="0.25">
      <c r="A32748"/>
      <c r="B32748"/>
      <c r="C32748"/>
      <c r="E32748"/>
      <c r="F32748"/>
    </row>
    <row r="32749" spans="1:6" x14ac:dyDescent="0.25">
      <c r="A32749"/>
      <c r="B32749"/>
      <c r="C32749"/>
      <c r="E32749"/>
      <c r="F32749"/>
    </row>
    <row r="32750" spans="1:6" x14ac:dyDescent="0.25">
      <c r="A32750"/>
      <c r="B32750"/>
      <c r="C32750"/>
      <c r="E32750"/>
      <c r="F32750"/>
    </row>
    <row r="32751" spans="1:6" x14ac:dyDescent="0.25">
      <c r="A32751"/>
      <c r="B32751"/>
      <c r="C32751"/>
      <c r="E32751"/>
      <c r="F32751"/>
    </row>
    <row r="32752" spans="1:6" x14ac:dyDescent="0.25">
      <c r="A32752"/>
      <c r="B32752"/>
      <c r="C32752"/>
      <c r="E32752"/>
      <c r="F32752"/>
    </row>
    <row r="32753" spans="1:6" x14ac:dyDescent="0.25">
      <c r="A32753"/>
      <c r="B32753"/>
      <c r="C32753"/>
      <c r="E32753"/>
      <c r="F32753"/>
    </row>
    <row r="32754" spans="1:6" x14ac:dyDescent="0.25">
      <c r="A32754"/>
      <c r="B32754"/>
      <c r="C32754"/>
      <c r="E32754"/>
      <c r="F32754"/>
    </row>
    <row r="32755" spans="1:6" x14ac:dyDescent="0.25">
      <c r="A32755"/>
      <c r="B32755"/>
      <c r="C32755"/>
      <c r="E32755"/>
      <c r="F32755"/>
    </row>
    <row r="32756" spans="1:6" x14ac:dyDescent="0.25">
      <c r="A32756"/>
      <c r="B32756"/>
      <c r="C32756"/>
      <c r="E32756"/>
      <c r="F32756"/>
    </row>
    <row r="32757" spans="1:6" x14ac:dyDescent="0.25">
      <c r="A32757"/>
      <c r="B32757"/>
      <c r="C32757"/>
      <c r="E32757"/>
      <c r="F32757"/>
    </row>
    <row r="32758" spans="1:6" x14ac:dyDescent="0.25">
      <c r="A32758"/>
      <c r="B32758"/>
      <c r="C32758"/>
      <c r="E32758"/>
      <c r="F32758"/>
    </row>
    <row r="32759" spans="1:6" x14ac:dyDescent="0.25">
      <c r="A32759"/>
      <c r="B32759"/>
      <c r="C32759"/>
      <c r="E32759"/>
      <c r="F32759"/>
    </row>
    <row r="32760" spans="1:6" x14ac:dyDescent="0.25">
      <c r="A32760"/>
      <c r="B32760"/>
      <c r="C32760"/>
      <c r="E32760"/>
      <c r="F32760"/>
    </row>
    <row r="32761" spans="1:6" x14ac:dyDescent="0.25">
      <c r="A32761"/>
      <c r="B32761"/>
      <c r="C32761"/>
      <c r="E32761"/>
      <c r="F32761"/>
    </row>
    <row r="32762" spans="1:6" x14ac:dyDescent="0.25">
      <c r="A32762"/>
      <c r="B32762"/>
      <c r="C32762"/>
      <c r="E32762"/>
      <c r="F32762"/>
    </row>
    <row r="32763" spans="1:6" x14ac:dyDescent="0.25">
      <c r="A32763"/>
      <c r="B32763"/>
      <c r="C32763"/>
      <c r="E32763"/>
      <c r="F32763"/>
    </row>
    <row r="32764" spans="1:6" x14ac:dyDescent="0.25">
      <c r="A32764"/>
      <c r="B32764"/>
      <c r="C32764"/>
      <c r="E32764"/>
      <c r="F32764"/>
    </row>
    <row r="32765" spans="1:6" x14ac:dyDescent="0.25">
      <c r="A32765"/>
      <c r="B32765"/>
      <c r="C32765"/>
      <c r="E32765"/>
      <c r="F32765"/>
    </row>
    <row r="32766" spans="1:6" x14ac:dyDescent="0.25">
      <c r="A32766"/>
      <c r="B32766"/>
      <c r="C32766"/>
      <c r="E32766"/>
      <c r="F32766"/>
    </row>
    <row r="32767" spans="1:6" x14ac:dyDescent="0.25">
      <c r="A32767"/>
      <c r="B32767"/>
      <c r="C32767"/>
      <c r="E32767"/>
      <c r="F32767"/>
    </row>
    <row r="32768" spans="1:6" x14ac:dyDescent="0.25">
      <c r="A32768"/>
      <c r="B32768"/>
      <c r="C32768"/>
      <c r="E32768"/>
      <c r="F32768"/>
    </row>
    <row r="32769" spans="1:6" x14ac:dyDescent="0.25">
      <c r="A32769"/>
      <c r="B32769"/>
      <c r="C32769"/>
      <c r="E32769"/>
      <c r="F32769"/>
    </row>
    <row r="32770" spans="1:6" x14ac:dyDescent="0.25">
      <c r="A32770"/>
      <c r="B32770"/>
      <c r="C32770"/>
      <c r="E32770"/>
      <c r="F32770"/>
    </row>
    <row r="32771" spans="1:6" x14ac:dyDescent="0.25">
      <c r="A32771"/>
      <c r="B32771"/>
      <c r="C32771"/>
      <c r="E32771"/>
      <c r="F32771"/>
    </row>
    <row r="32772" spans="1:6" x14ac:dyDescent="0.25">
      <c r="A32772"/>
      <c r="B32772"/>
      <c r="C32772"/>
      <c r="E32772"/>
      <c r="F32772"/>
    </row>
    <row r="32773" spans="1:6" x14ac:dyDescent="0.25">
      <c r="A32773"/>
      <c r="B32773"/>
      <c r="C32773"/>
      <c r="E32773"/>
      <c r="F32773"/>
    </row>
    <row r="32774" spans="1:6" x14ac:dyDescent="0.25">
      <c r="A32774"/>
      <c r="B32774"/>
      <c r="C32774"/>
      <c r="E32774"/>
      <c r="F32774"/>
    </row>
    <row r="32775" spans="1:6" x14ac:dyDescent="0.25">
      <c r="A32775"/>
      <c r="B32775"/>
      <c r="C32775"/>
      <c r="E32775"/>
      <c r="F32775"/>
    </row>
    <row r="32776" spans="1:6" x14ac:dyDescent="0.25">
      <c r="A32776"/>
      <c r="B32776"/>
      <c r="C32776"/>
      <c r="E32776"/>
      <c r="F32776"/>
    </row>
    <row r="32777" spans="1:6" x14ac:dyDescent="0.25">
      <c r="A32777"/>
      <c r="B32777"/>
      <c r="C32777"/>
      <c r="E32777"/>
      <c r="F32777"/>
    </row>
    <row r="32778" spans="1:6" x14ac:dyDescent="0.25">
      <c r="A32778"/>
      <c r="B32778"/>
      <c r="C32778"/>
      <c r="E32778"/>
      <c r="F32778"/>
    </row>
    <row r="32779" spans="1:6" x14ac:dyDescent="0.25">
      <c r="A32779"/>
      <c r="B32779"/>
      <c r="C32779"/>
      <c r="E32779"/>
      <c r="F32779"/>
    </row>
    <row r="32780" spans="1:6" x14ac:dyDescent="0.25">
      <c r="A32780"/>
      <c r="B32780"/>
      <c r="C32780"/>
      <c r="E32780"/>
      <c r="F32780"/>
    </row>
    <row r="32781" spans="1:6" x14ac:dyDescent="0.25">
      <c r="A32781"/>
      <c r="B32781"/>
      <c r="C32781"/>
      <c r="E32781"/>
      <c r="F32781"/>
    </row>
    <row r="32782" spans="1:6" x14ac:dyDescent="0.25">
      <c r="A32782"/>
      <c r="B32782"/>
      <c r="C32782"/>
      <c r="E32782"/>
      <c r="F32782"/>
    </row>
    <row r="32783" spans="1:6" x14ac:dyDescent="0.25">
      <c r="A32783"/>
      <c r="B32783"/>
      <c r="C32783"/>
      <c r="E32783"/>
      <c r="F32783"/>
    </row>
    <row r="32784" spans="1:6" x14ac:dyDescent="0.25">
      <c r="A32784"/>
      <c r="B32784"/>
      <c r="C32784"/>
      <c r="E32784"/>
      <c r="F32784"/>
    </row>
    <row r="32785" spans="1:6" x14ac:dyDescent="0.25">
      <c r="A32785"/>
      <c r="B32785"/>
      <c r="C32785"/>
      <c r="E32785"/>
      <c r="F32785"/>
    </row>
    <row r="32786" spans="1:6" x14ac:dyDescent="0.25">
      <c r="A32786"/>
      <c r="B32786"/>
      <c r="C32786"/>
      <c r="E32786"/>
      <c r="F32786"/>
    </row>
    <row r="32787" spans="1:6" x14ac:dyDescent="0.25">
      <c r="A32787"/>
      <c r="B32787"/>
      <c r="C32787"/>
      <c r="E32787"/>
      <c r="F32787"/>
    </row>
    <row r="32788" spans="1:6" x14ac:dyDescent="0.25">
      <c r="A32788"/>
      <c r="B32788"/>
      <c r="C32788"/>
      <c r="E32788"/>
      <c r="F32788"/>
    </row>
    <row r="32789" spans="1:6" x14ac:dyDescent="0.25">
      <c r="A32789"/>
      <c r="B32789"/>
      <c r="C32789"/>
      <c r="E32789"/>
      <c r="F32789"/>
    </row>
    <row r="32790" spans="1:6" x14ac:dyDescent="0.25">
      <c r="A32790"/>
      <c r="B32790"/>
      <c r="C32790"/>
      <c r="E32790"/>
      <c r="F32790"/>
    </row>
    <row r="32791" spans="1:6" x14ac:dyDescent="0.25">
      <c r="A32791"/>
      <c r="B32791"/>
      <c r="C32791"/>
      <c r="E32791"/>
      <c r="F32791"/>
    </row>
    <row r="32792" spans="1:6" x14ac:dyDescent="0.25">
      <c r="A32792"/>
      <c r="B32792"/>
      <c r="C32792"/>
      <c r="E32792"/>
      <c r="F32792"/>
    </row>
    <row r="32793" spans="1:6" x14ac:dyDescent="0.25">
      <c r="A32793"/>
      <c r="B32793"/>
      <c r="C32793"/>
      <c r="E32793"/>
      <c r="F32793"/>
    </row>
    <row r="32794" spans="1:6" x14ac:dyDescent="0.25">
      <c r="A32794"/>
      <c r="B32794"/>
      <c r="C32794"/>
      <c r="E32794"/>
      <c r="F32794"/>
    </row>
    <row r="32795" spans="1:6" x14ac:dyDescent="0.25">
      <c r="A32795"/>
      <c r="B32795"/>
      <c r="C32795"/>
      <c r="E32795"/>
      <c r="F32795"/>
    </row>
    <row r="32796" spans="1:6" x14ac:dyDescent="0.25">
      <c r="A32796"/>
      <c r="B32796"/>
      <c r="C32796"/>
      <c r="E32796"/>
      <c r="F32796"/>
    </row>
    <row r="32797" spans="1:6" x14ac:dyDescent="0.25">
      <c r="A32797"/>
      <c r="B32797"/>
      <c r="C32797"/>
      <c r="E32797"/>
      <c r="F32797"/>
    </row>
    <row r="32798" spans="1:6" x14ac:dyDescent="0.25">
      <c r="A32798"/>
      <c r="B32798"/>
      <c r="C32798"/>
      <c r="E32798"/>
      <c r="F32798"/>
    </row>
    <row r="32799" spans="1:6" x14ac:dyDescent="0.25">
      <c r="A32799"/>
      <c r="B32799"/>
      <c r="C32799"/>
      <c r="E32799"/>
      <c r="F32799"/>
    </row>
    <row r="32800" spans="1:6" x14ac:dyDescent="0.25">
      <c r="A32800"/>
      <c r="B32800"/>
      <c r="C32800"/>
      <c r="E32800"/>
      <c r="F32800"/>
    </row>
    <row r="32801" spans="1:6" x14ac:dyDescent="0.25">
      <c r="A32801"/>
      <c r="B32801"/>
      <c r="C32801"/>
      <c r="E32801"/>
      <c r="F32801"/>
    </row>
    <row r="32802" spans="1:6" x14ac:dyDescent="0.25">
      <c r="A32802"/>
      <c r="B32802"/>
      <c r="C32802"/>
      <c r="E32802"/>
      <c r="F32802"/>
    </row>
    <row r="32803" spans="1:6" x14ac:dyDescent="0.25">
      <c r="A32803"/>
      <c r="B32803"/>
      <c r="C32803"/>
      <c r="E32803"/>
      <c r="F32803"/>
    </row>
    <row r="32804" spans="1:6" x14ac:dyDescent="0.25">
      <c r="A32804"/>
      <c r="B32804"/>
      <c r="C32804"/>
      <c r="E32804"/>
      <c r="F32804"/>
    </row>
    <row r="32805" spans="1:6" x14ac:dyDescent="0.25">
      <c r="A32805"/>
      <c r="B32805"/>
      <c r="C32805"/>
      <c r="E32805"/>
      <c r="F32805"/>
    </row>
    <row r="32806" spans="1:6" x14ac:dyDescent="0.25">
      <c r="A32806"/>
      <c r="B32806"/>
      <c r="C32806"/>
      <c r="E32806"/>
      <c r="F32806"/>
    </row>
    <row r="32807" spans="1:6" x14ac:dyDescent="0.25">
      <c r="A32807"/>
      <c r="B32807"/>
      <c r="C32807"/>
      <c r="E32807"/>
      <c r="F32807"/>
    </row>
    <row r="32808" spans="1:6" x14ac:dyDescent="0.25">
      <c r="A32808"/>
      <c r="B32808"/>
      <c r="C32808"/>
      <c r="E32808"/>
      <c r="F32808"/>
    </row>
    <row r="32809" spans="1:6" x14ac:dyDescent="0.25">
      <c r="A32809"/>
      <c r="B32809"/>
      <c r="C32809"/>
      <c r="E32809"/>
      <c r="F32809"/>
    </row>
    <row r="32810" spans="1:6" x14ac:dyDescent="0.25">
      <c r="A32810"/>
      <c r="B32810"/>
      <c r="C32810"/>
      <c r="E32810"/>
      <c r="F32810"/>
    </row>
    <row r="32811" spans="1:6" x14ac:dyDescent="0.25">
      <c r="A32811"/>
      <c r="B32811"/>
      <c r="C32811"/>
      <c r="E32811"/>
      <c r="F32811"/>
    </row>
    <row r="32812" spans="1:6" x14ac:dyDescent="0.25">
      <c r="A32812"/>
      <c r="B32812"/>
      <c r="C32812"/>
      <c r="E32812"/>
      <c r="F32812"/>
    </row>
    <row r="32813" spans="1:6" x14ac:dyDescent="0.25">
      <c r="A32813"/>
      <c r="B32813"/>
      <c r="C32813"/>
      <c r="E32813"/>
      <c r="F32813"/>
    </row>
    <row r="32814" spans="1:6" x14ac:dyDescent="0.25">
      <c r="A32814"/>
      <c r="B32814"/>
      <c r="C32814"/>
      <c r="E32814"/>
      <c r="F32814"/>
    </row>
    <row r="32815" spans="1:6" x14ac:dyDescent="0.25">
      <c r="A32815"/>
      <c r="B32815"/>
      <c r="C32815"/>
      <c r="E32815"/>
      <c r="F32815"/>
    </row>
    <row r="32816" spans="1:6" x14ac:dyDescent="0.25">
      <c r="A32816"/>
      <c r="B32816"/>
      <c r="C32816"/>
      <c r="E32816"/>
      <c r="F32816"/>
    </row>
    <row r="32817" spans="1:6" x14ac:dyDescent="0.25">
      <c r="A32817"/>
      <c r="B32817"/>
      <c r="C32817"/>
      <c r="E32817"/>
      <c r="F32817"/>
    </row>
    <row r="32818" spans="1:6" x14ac:dyDescent="0.25">
      <c r="A32818"/>
      <c r="B32818"/>
      <c r="C32818"/>
      <c r="E32818"/>
      <c r="F32818"/>
    </row>
    <row r="32819" spans="1:6" x14ac:dyDescent="0.25">
      <c r="A32819"/>
      <c r="B32819"/>
      <c r="C32819"/>
      <c r="E32819"/>
      <c r="F32819"/>
    </row>
    <row r="32820" spans="1:6" x14ac:dyDescent="0.25">
      <c r="A32820"/>
      <c r="B32820"/>
      <c r="C32820"/>
      <c r="E32820"/>
      <c r="F32820"/>
    </row>
    <row r="32821" spans="1:6" x14ac:dyDescent="0.25">
      <c r="A32821"/>
      <c r="B32821"/>
      <c r="C32821"/>
      <c r="E32821"/>
      <c r="F32821"/>
    </row>
    <row r="32822" spans="1:6" x14ac:dyDescent="0.25">
      <c r="A32822"/>
      <c r="B32822"/>
      <c r="C32822"/>
      <c r="E32822"/>
      <c r="F32822"/>
    </row>
    <row r="32823" spans="1:6" x14ac:dyDescent="0.25">
      <c r="A32823"/>
      <c r="B32823"/>
      <c r="C32823"/>
      <c r="E32823"/>
      <c r="F32823"/>
    </row>
    <row r="32824" spans="1:6" x14ac:dyDescent="0.25">
      <c r="A32824"/>
      <c r="B32824"/>
      <c r="C32824"/>
      <c r="E32824"/>
      <c r="F32824"/>
    </row>
    <row r="32825" spans="1:6" x14ac:dyDescent="0.25">
      <c r="A32825"/>
      <c r="B32825"/>
      <c r="C32825"/>
      <c r="E32825"/>
      <c r="F32825"/>
    </row>
    <row r="32826" spans="1:6" x14ac:dyDescent="0.25">
      <c r="A32826"/>
      <c r="B32826"/>
      <c r="C32826"/>
      <c r="E32826"/>
      <c r="F32826"/>
    </row>
    <row r="32827" spans="1:6" x14ac:dyDescent="0.25">
      <c r="A32827"/>
      <c r="B32827"/>
      <c r="C32827"/>
      <c r="E32827"/>
      <c r="F32827"/>
    </row>
    <row r="32828" spans="1:6" x14ac:dyDescent="0.25">
      <c r="A32828"/>
      <c r="B32828"/>
      <c r="C32828"/>
      <c r="E32828"/>
      <c r="F32828"/>
    </row>
    <row r="32829" spans="1:6" x14ac:dyDescent="0.25">
      <c r="A32829"/>
      <c r="B32829"/>
      <c r="C32829"/>
      <c r="E32829"/>
      <c r="F32829"/>
    </row>
    <row r="32830" spans="1:6" x14ac:dyDescent="0.25">
      <c r="A32830"/>
      <c r="B32830"/>
      <c r="C32830"/>
      <c r="E32830"/>
      <c r="F32830"/>
    </row>
    <row r="32831" spans="1:6" x14ac:dyDescent="0.25">
      <c r="A32831"/>
      <c r="B32831"/>
      <c r="C32831"/>
      <c r="E32831"/>
      <c r="F32831"/>
    </row>
    <row r="32832" spans="1:6" x14ac:dyDescent="0.25">
      <c r="A32832"/>
      <c r="B32832"/>
      <c r="C32832"/>
      <c r="E32832"/>
      <c r="F32832"/>
    </row>
    <row r="32833" spans="1:6" x14ac:dyDescent="0.25">
      <c r="A32833"/>
      <c r="B32833"/>
      <c r="C32833"/>
      <c r="E32833"/>
      <c r="F32833"/>
    </row>
    <row r="32834" spans="1:6" x14ac:dyDescent="0.25">
      <c r="A32834"/>
      <c r="B32834"/>
      <c r="C32834"/>
      <c r="E32834"/>
      <c r="F32834"/>
    </row>
    <row r="32835" spans="1:6" x14ac:dyDescent="0.25">
      <c r="A32835"/>
      <c r="B32835"/>
      <c r="C32835"/>
      <c r="E32835"/>
      <c r="F32835"/>
    </row>
    <row r="32836" spans="1:6" x14ac:dyDescent="0.25">
      <c r="A32836"/>
      <c r="B32836"/>
      <c r="C32836"/>
      <c r="E32836"/>
      <c r="F32836"/>
    </row>
    <row r="32837" spans="1:6" x14ac:dyDescent="0.25">
      <c r="A32837"/>
      <c r="B32837"/>
      <c r="C32837"/>
      <c r="E32837"/>
      <c r="F32837"/>
    </row>
    <row r="32838" spans="1:6" x14ac:dyDescent="0.25">
      <c r="A32838"/>
      <c r="B32838"/>
      <c r="C32838"/>
      <c r="E32838"/>
      <c r="F32838"/>
    </row>
    <row r="32839" spans="1:6" x14ac:dyDescent="0.25">
      <c r="A32839"/>
      <c r="B32839"/>
      <c r="C32839"/>
      <c r="E32839"/>
      <c r="F32839"/>
    </row>
    <row r="32840" spans="1:6" x14ac:dyDescent="0.25">
      <c r="A32840"/>
      <c r="B32840"/>
      <c r="C32840"/>
      <c r="E32840"/>
      <c r="F32840"/>
    </row>
    <row r="32841" spans="1:6" x14ac:dyDescent="0.25">
      <c r="A32841"/>
      <c r="B32841"/>
      <c r="C32841"/>
      <c r="E32841"/>
      <c r="F32841"/>
    </row>
    <row r="32842" spans="1:6" x14ac:dyDescent="0.25">
      <c r="A32842"/>
      <c r="B32842"/>
      <c r="C32842"/>
      <c r="E32842"/>
      <c r="F32842"/>
    </row>
    <row r="32843" spans="1:6" x14ac:dyDescent="0.25">
      <c r="A32843"/>
      <c r="B32843"/>
      <c r="C32843"/>
      <c r="E32843"/>
      <c r="F32843"/>
    </row>
    <row r="32844" spans="1:6" x14ac:dyDescent="0.25">
      <c r="A32844"/>
      <c r="B32844"/>
      <c r="C32844"/>
      <c r="E32844"/>
      <c r="F32844"/>
    </row>
    <row r="32845" spans="1:6" x14ac:dyDescent="0.25">
      <c r="A32845"/>
      <c r="B32845"/>
      <c r="C32845"/>
      <c r="E32845"/>
      <c r="F32845"/>
    </row>
    <row r="32846" spans="1:6" x14ac:dyDescent="0.25">
      <c r="A32846"/>
      <c r="B32846"/>
      <c r="C32846"/>
      <c r="E32846"/>
      <c r="F32846"/>
    </row>
    <row r="32847" spans="1:6" x14ac:dyDescent="0.25">
      <c r="A32847"/>
      <c r="B32847"/>
      <c r="C32847"/>
      <c r="E32847"/>
      <c r="F32847"/>
    </row>
    <row r="32848" spans="1:6" x14ac:dyDescent="0.25">
      <c r="A32848"/>
      <c r="B32848"/>
      <c r="C32848"/>
      <c r="E32848"/>
      <c r="F32848"/>
    </row>
    <row r="32849" spans="1:6" x14ac:dyDescent="0.25">
      <c r="A32849"/>
      <c r="B32849"/>
      <c r="C32849"/>
      <c r="E32849"/>
      <c r="F32849"/>
    </row>
    <row r="32850" spans="1:6" x14ac:dyDescent="0.25">
      <c r="A32850"/>
      <c r="B32850"/>
      <c r="C32850"/>
      <c r="E32850"/>
      <c r="F32850"/>
    </row>
    <row r="32851" spans="1:6" x14ac:dyDescent="0.25">
      <c r="A32851"/>
      <c r="B32851"/>
      <c r="C32851"/>
      <c r="E32851"/>
      <c r="F32851"/>
    </row>
    <row r="32852" spans="1:6" x14ac:dyDescent="0.25">
      <c r="A32852"/>
      <c r="B32852"/>
      <c r="C32852"/>
      <c r="E32852"/>
      <c r="F32852"/>
    </row>
    <row r="32853" spans="1:6" x14ac:dyDescent="0.25">
      <c r="A32853"/>
      <c r="B32853"/>
      <c r="C32853"/>
      <c r="E32853"/>
      <c r="F32853"/>
    </row>
    <row r="32854" spans="1:6" x14ac:dyDescent="0.25">
      <c r="A32854"/>
      <c r="B32854"/>
      <c r="C32854"/>
      <c r="E32854"/>
      <c r="F32854"/>
    </row>
    <row r="32855" spans="1:6" x14ac:dyDescent="0.25">
      <c r="A32855"/>
      <c r="B32855"/>
      <c r="C32855"/>
      <c r="E32855"/>
      <c r="F32855"/>
    </row>
    <row r="32856" spans="1:6" x14ac:dyDescent="0.25">
      <c r="A32856"/>
      <c r="B32856"/>
      <c r="C32856"/>
      <c r="E32856"/>
      <c r="F32856"/>
    </row>
    <row r="32857" spans="1:6" x14ac:dyDescent="0.25">
      <c r="A32857"/>
      <c r="B32857"/>
      <c r="C32857"/>
      <c r="E32857"/>
      <c r="F32857"/>
    </row>
    <row r="32858" spans="1:6" x14ac:dyDescent="0.25">
      <c r="A32858"/>
      <c r="B32858"/>
      <c r="C32858"/>
      <c r="E32858"/>
      <c r="F32858"/>
    </row>
    <row r="32859" spans="1:6" x14ac:dyDescent="0.25">
      <c r="A32859"/>
      <c r="B32859"/>
      <c r="C32859"/>
      <c r="E32859"/>
      <c r="F32859"/>
    </row>
    <row r="32860" spans="1:6" x14ac:dyDescent="0.25">
      <c r="A32860"/>
      <c r="B32860"/>
      <c r="C32860"/>
      <c r="E32860"/>
      <c r="F32860"/>
    </row>
    <row r="32861" spans="1:6" x14ac:dyDescent="0.25">
      <c r="A32861"/>
      <c r="B32861"/>
      <c r="C32861"/>
      <c r="E32861"/>
      <c r="F32861"/>
    </row>
    <row r="32862" spans="1:6" x14ac:dyDescent="0.25">
      <c r="A32862"/>
      <c r="B32862"/>
      <c r="C32862"/>
      <c r="E32862"/>
      <c r="F32862"/>
    </row>
    <row r="32863" spans="1:6" x14ac:dyDescent="0.25">
      <c r="A32863"/>
      <c r="B32863"/>
      <c r="C32863"/>
      <c r="E32863"/>
      <c r="F32863"/>
    </row>
    <row r="32864" spans="1:6" x14ac:dyDescent="0.25">
      <c r="A32864"/>
      <c r="B32864"/>
      <c r="C32864"/>
      <c r="E32864"/>
      <c r="F32864"/>
    </row>
    <row r="32865" spans="1:6" x14ac:dyDescent="0.25">
      <c r="A32865"/>
      <c r="B32865"/>
      <c r="C32865"/>
      <c r="E32865"/>
      <c r="F32865"/>
    </row>
    <row r="32866" spans="1:6" x14ac:dyDescent="0.25">
      <c r="A32866"/>
      <c r="B32866"/>
      <c r="C32866"/>
      <c r="E32866"/>
      <c r="F32866"/>
    </row>
    <row r="32867" spans="1:6" x14ac:dyDescent="0.25">
      <c r="A32867"/>
      <c r="B32867"/>
      <c r="C32867"/>
      <c r="E32867"/>
      <c r="F32867"/>
    </row>
    <row r="32868" spans="1:6" x14ac:dyDescent="0.25">
      <c r="A32868"/>
      <c r="B32868"/>
      <c r="C32868"/>
      <c r="E32868"/>
      <c r="F32868"/>
    </row>
    <row r="32869" spans="1:6" x14ac:dyDescent="0.25">
      <c r="A32869"/>
      <c r="B32869"/>
      <c r="C32869"/>
      <c r="E32869"/>
      <c r="F32869"/>
    </row>
    <row r="32870" spans="1:6" x14ac:dyDescent="0.25">
      <c r="A32870"/>
      <c r="B32870"/>
      <c r="C32870"/>
      <c r="E32870"/>
      <c r="F32870"/>
    </row>
    <row r="32871" spans="1:6" x14ac:dyDescent="0.25">
      <c r="A32871"/>
      <c r="B32871"/>
      <c r="C32871"/>
      <c r="E32871"/>
      <c r="F32871"/>
    </row>
    <row r="32872" spans="1:6" x14ac:dyDescent="0.25">
      <c r="A32872"/>
      <c r="B32872"/>
      <c r="C32872"/>
      <c r="E32872"/>
      <c r="F32872"/>
    </row>
    <row r="32873" spans="1:6" x14ac:dyDescent="0.25">
      <c r="A32873"/>
      <c r="B32873"/>
      <c r="C32873"/>
      <c r="E32873"/>
      <c r="F32873"/>
    </row>
    <row r="32874" spans="1:6" x14ac:dyDescent="0.25">
      <c r="A32874"/>
      <c r="B32874"/>
      <c r="C32874"/>
      <c r="E32874"/>
      <c r="F32874"/>
    </row>
    <row r="32875" spans="1:6" x14ac:dyDescent="0.25">
      <c r="A32875"/>
      <c r="B32875"/>
      <c r="C32875"/>
      <c r="E32875"/>
      <c r="F32875"/>
    </row>
    <row r="32876" spans="1:6" x14ac:dyDescent="0.25">
      <c r="A32876"/>
      <c r="B32876"/>
      <c r="C32876"/>
      <c r="E32876"/>
      <c r="F32876"/>
    </row>
    <row r="32877" spans="1:6" x14ac:dyDescent="0.25">
      <c r="A32877"/>
      <c r="B32877"/>
      <c r="C32877"/>
      <c r="E32877"/>
      <c r="F32877"/>
    </row>
    <row r="32878" spans="1:6" x14ac:dyDescent="0.25">
      <c r="A32878"/>
      <c r="B32878"/>
      <c r="C32878"/>
      <c r="E32878"/>
      <c r="F32878"/>
    </row>
    <row r="32879" spans="1:6" x14ac:dyDescent="0.25">
      <c r="A32879"/>
      <c r="B32879"/>
      <c r="C32879"/>
      <c r="E32879"/>
      <c r="F32879"/>
    </row>
    <row r="32880" spans="1:6" x14ac:dyDescent="0.25">
      <c r="A32880"/>
      <c r="B32880"/>
      <c r="C32880"/>
      <c r="E32880"/>
      <c r="F32880"/>
    </row>
    <row r="32881" spans="1:6" x14ac:dyDescent="0.25">
      <c r="A32881"/>
      <c r="B32881"/>
      <c r="C32881"/>
      <c r="E32881"/>
      <c r="F32881"/>
    </row>
    <row r="32882" spans="1:6" x14ac:dyDescent="0.25">
      <c r="A32882"/>
      <c r="B32882"/>
      <c r="C32882"/>
      <c r="E32882"/>
      <c r="F32882"/>
    </row>
    <row r="32883" spans="1:6" x14ac:dyDescent="0.25">
      <c r="A32883"/>
      <c r="B32883"/>
      <c r="C32883"/>
      <c r="E32883"/>
      <c r="F32883"/>
    </row>
    <row r="32884" spans="1:6" x14ac:dyDescent="0.25">
      <c r="A32884"/>
      <c r="B32884"/>
      <c r="C32884"/>
      <c r="E32884"/>
      <c r="F32884"/>
    </row>
    <row r="32885" spans="1:6" x14ac:dyDescent="0.25">
      <c r="A32885"/>
      <c r="B32885"/>
      <c r="C32885"/>
      <c r="E32885"/>
      <c r="F32885"/>
    </row>
    <row r="32886" spans="1:6" x14ac:dyDescent="0.25">
      <c r="A32886"/>
      <c r="B32886"/>
      <c r="C32886"/>
      <c r="E32886"/>
      <c r="F32886"/>
    </row>
    <row r="32887" spans="1:6" x14ac:dyDescent="0.25">
      <c r="A32887"/>
      <c r="B32887"/>
      <c r="C32887"/>
      <c r="E32887"/>
      <c r="F32887"/>
    </row>
    <row r="32888" spans="1:6" x14ac:dyDescent="0.25">
      <c r="A32888"/>
      <c r="B32888"/>
      <c r="C32888"/>
      <c r="E32888"/>
      <c r="F32888"/>
    </row>
    <row r="32889" spans="1:6" x14ac:dyDescent="0.25">
      <c r="A32889"/>
      <c r="B32889"/>
      <c r="C32889"/>
      <c r="E32889"/>
      <c r="F32889"/>
    </row>
    <row r="32890" spans="1:6" x14ac:dyDescent="0.25">
      <c r="A32890"/>
      <c r="B32890"/>
      <c r="C32890"/>
      <c r="E32890"/>
      <c r="F32890"/>
    </row>
    <row r="32891" spans="1:6" x14ac:dyDescent="0.25">
      <c r="A32891"/>
      <c r="B32891"/>
      <c r="C32891"/>
      <c r="E32891"/>
      <c r="F32891"/>
    </row>
    <row r="32892" spans="1:6" x14ac:dyDescent="0.25">
      <c r="A32892"/>
      <c r="B32892"/>
      <c r="C32892"/>
      <c r="E32892"/>
      <c r="F32892"/>
    </row>
    <row r="32893" spans="1:6" x14ac:dyDescent="0.25">
      <c r="A32893"/>
      <c r="B32893"/>
      <c r="C32893"/>
      <c r="E32893"/>
      <c r="F32893"/>
    </row>
    <row r="32894" spans="1:6" x14ac:dyDescent="0.25">
      <c r="A32894"/>
      <c r="B32894"/>
      <c r="C32894"/>
      <c r="E32894"/>
      <c r="F32894"/>
    </row>
    <row r="32895" spans="1:6" x14ac:dyDescent="0.25">
      <c r="A32895"/>
      <c r="B32895"/>
      <c r="C32895"/>
      <c r="E32895"/>
      <c r="F32895"/>
    </row>
    <row r="32896" spans="1:6" x14ac:dyDescent="0.25">
      <c r="A32896"/>
      <c r="B32896"/>
      <c r="C32896"/>
      <c r="E32896"/>
      <c r="F32896"/>
    </row>
    <row r="32897" spans="1:6" x14ac:dyDescent="0.25">
      <c r="A32897"/>
      <c r="B32897"/>
      <c r="C32897"/>
      <c r="E32897"/>
      <c r="F32897"/>
    </row>
    <row r="32898" spans="1:6" x14ac:dyDescent="0.25">
      <c r="A32898"/>
      <c r="B32898"/>
      <c r="C32898"/>
      <c r="E32898"/>
      <c r="F32898"/>
    </row>
    <row r="32899" spans="1:6" x14ac:dyDescent="0.25">
      <c r="A32899"/>
      <c r="B32899"/>
      <c r="C32899"/>
      <c r="E32899"/>
      <c r="F32899"/>
    </row>
    <row r="32900" spans="1:6" x14ac:dyDescent="0.25">
      <c r="A32900"/>
      <c r="B32900"/>
      <c r="C32900"/>
      <c r="E32900"/>
      <c r="F32900"/>
    </row>
    <row r="32901" spans="1:6" x14ac:dyDescent="0.25">
      <c r="A32901"/>
      <c r="B32901"/>
      <c r="C32901"/>
      <c r="E32901"/>
      <c r="F32901"/>
    </row>
    <row r="32902" spans="1:6" x14ac:dyDescent="0.25">
      <c r="A32902"/>
      <c r="B32902"/>
      <c r="C32902"/>
      <c r="E32902"/>
      <c r="F32902"/>
    </row>
    <row r="32903" spans="1:6" x14ac:dyDescent="0.25">
      <c r="A32903"/>
      <c r="B32903"/>
      <c r="C32903"/>
      <c r="E32903"/>
      <c r="F32903"/>
    </row>
    <row r="32904" spans="1:6" x14ac:dyDescent="0.25">
      <c r="A32904"/>
      <c r="B32904"/>
      <c r="C32904"/>
      <c r="E32904"/>
      <c r="F32904"/>
    </row>
    <row r="32905" spans="1:6" x14ac:dyDescent="0.25">
      <c r="A32905"/>
      <c r="B32905"/>
      <c r="C32905"/>
      <c r="E32905"/>
      <c r="F32905"/>
    </row>
    <row r="32906" spans="1:6" x14ac:dyDescent="0.25">
      <c r="A32906"/>
      <c r="B32906"/>
      <c r="C32906"/>
      <c r="E32906"/>
      <c r="F32906"/>
    </row>
    <row r="32907" spans="1:6" x14ac:dyDescent="0.25">
      <c r="A32907"/>
      <c r="B32907"/>
      <c r="C32907"/>
      <c r="E32907"/>
      <c r="F32907"/>
    </row>
    <row r="32908" spans="1:6" x14ac:dyDescent="0.25">
      <c r="A32908"/>
      <c r="B32908"/>
      <c r="C32908"/>
      <c r="E32908"/>
      <c r="F32908"/>
    </row>
    <row r="32909" spans="1:6" x14ac:dyDescent="0.25">
      <c r="A32909"/>
      <c r="B32909"/>
      <c r="C32909"/>
      <c r="E32909"/>
      <c r="F32909"/>
    </row>
    <row r="32910" spans="1:6" x14ac:dyDescent="0.25">
      <c r="A32910"/>
      <c r="B32910"/>
      <c r="C32910"/>
      <c r="E32910"/>
      <c r="F32910"/>
    </row>
    <row r="32911" spans="1:6" x14ac:dyDescent="0.25">
      <c r="A32911"/>
      <c r="B32911"/>
      <c r="C32911"/>
      <c r="E32911"/>
      <c r="F32911"/>
    </row>
    <row r="32912" spans="1:6" x14ac:dyDescent="0.25">
      <c r="A32912"/>
      <c r="B32912"/>
      <c r="C32912"/>
      <c r="E32912"/>
      <c r="F32912"/>
    </row>
    <row r="32913" spans="1:6" x14ac:dyDescent="0.25">
      <c r="A32913"/>
      <c r="B32913"/>
      <c r="C32913"/>
      <c r="E32913"/>
      <c r="F32913"/>
    </row>
    <row r="32914" spans="1:6" x14ac:dyDescent="0.25">
      <c r="A32914"/>
      <c r="B32914"/>
      <c r="C32914"/>
      <c r="E32914"/>
      <c r="F32914"/>
    </row>
    <row r="32915" spans="1:6" x14ac:dyDescent="0.25">
      <c r="A32915"/>
      <c r="B32915"/>
      <c r="C32915"/>
      <c r="E32915"/>
      <c r="F32915"/>
    </row>
    <row r="32916" spans="1:6" x14ac:dyDescent="0.25">
      <c r="A32916"/>
      <c r="B32916"/>
      <c r="C32916"/>
      <c r="E32916"/>
      <c r="F32916"/>
    </row>
    <row r="32917" spans="1:6" x14ac:dyDescent="0.25">
      <c r="A32917"/>
      <c r="B32917"/>
      <c r="C32917"/>
      <c r="E32917"/>
      <c r="F32917"/>
    </row>
    <row r="32918" spans="1:6" x14ac:dyDescent="0.25">
      <c r="A32918"/>
      <c r="B32918"/>
      <c r="C32918"/>
      <c r="E32918"/>
      <c r="F32918"/>
    </row>
    <row r="32919" spans="1:6" x14ac:dyDescent="0.25">
      <c r="A32919"/>
      <c r="B32919"/>
      <c r="C32919"/>
      <c r="E32919"/>
      <c r="F32919"/>
    </row>
    <row r="32920" spans="1:6" x14ac:dyDescent="0.25">
      <c r="A32920"/>
      <c r="B32920"/>
      <c r="C32920"/>
      <c r="E32920"/>
      <c r="F32920"/>
    </row>
    <row r="32921" spans="1:6" x14ac:dyDescent="0.25">
      <c r="A32921"/>
      <c r="B32921"/>
      <c r="C32921"/>
      <c r="E32921"/>
      <c r="F32921"/>
    </row>
    <row r="32922" spans="1:6" x14ac:dyDescent="0.25">
      <c r="A32922"/>
      <c r="B32922"/>
      <c r="C32922"/>
      <c r="E32922"/>
      <c r="F32922"/>
    </row>
    <row r="32923" spans="1:6" x14ac:dyDescent="0.25">
      <c r="A32923"/>
      <c r="B32923"/>
      <c r="C32923"/>
      <c r="E32923"/>
      <c r="F32923"/>
    </row>
    <row r="32924" spans="1:6" x14ac:dyDescent="0.25">
      <c r="A32924"/>
      <c r="B32924"/>
      <c r="C32924"/>
      <c r="E32924"/>
      <c r="F32924"/>
    </row>
    <row r="32925" spans="1:6" x14ac:dyDescent="0.25">
      <c r="A32925"/>
      <c r="B32925"/>
      <c r="C32925"/>
      <c r="E32925"/>
      <c r="F32925"/>
    </row>
    <row r="32926" spans="1:6" x14ac:dyDescent="0.25">
      <c r="A32926"/>
      <c r="B32926"/>
      <c r="C32926"/>
      <c r="E32926"/>
      <c r="F32926"/>
    </row>
    <row r="32927" spans="1:6" x14ac:dyDescent="0.25">
      <c r="A32927"/>
      <c r="B32927"/>
      <c r="C32927"/>
      <c r="E32927"/>
      <c r="F32927"/>
    </row>
    <row r="32928" spans="1:6" x14ac:dyDescent="0.25">
      <c r="A32928"/>
      <c r="B32928"/>
      <c r="C32928"/>
      <c r="E32928"/>
      <c r="F32928"/>
    </row>
    <row r="32929" spans="1:6" x14ac:dyDescent="0.25">
      <c r="A32929"/>
      <c r="B32929"/>
      <c r="C32929"/>
      <c r="E32929"/>
      <c r="F32929"/>
    </row>
    <row r="32930" spans="1:6" x14ac:dyDescent="0.25">
      <c r="A32930"/>
      <c r="B32930"/>
      <c r="C32930"/>
      <c r="E32930"/>
      <c r="F32930"/>
    </row>
    <row r="32931" spans="1:6" x14ac:dyDescent="0.25">
      <c r="A32931"/>
      <c r="B32931"/>
      <c r="C32931"/>
      <c r="E32931"/>
      <c r="F32931"/>
    </row>
    <row r="32932" spans="1:6" x14ac:dyDescent="0.25">
      <c r="A32932"/>
      <c r="B32932"/>
      <c r="C32932"/>
      <c r="E32932"/>
      <c r="F32932"/>
    </row>
    <row r="32933" spans="1:6" x14ac:dyDescent="0.25">
      <c r="A32933"/>
      <c r="B32933"/>
      <c r="C32933"/>
      <c r="E32933"/>
      <c r="F32933"/>
    </row>
    <row r="32934" spans="1:6" x14ac:dyDescent="0.25">
      <c r="A32934"/>
      <c r="B32934"/>
      <c r="C32934"/>
      <c r="E32934"/>
      <c r="F32934"/>
    </row>
    <row r="32935" spans="1:6" x14ac:dyDescent="0.25">
      <c r="A32935"/>
      <c r="B32935"/>
      <c r="C32935"/>
      <c r="E32935"/>
      <c r="F32935"/>
    </row>
    <row r="32936" spans="1:6" x14ac:dyDescent="0.25">
      <c r="A32936"/>
      <c r="B32936"/>
      <c r="C32936"/>
      <c r="E32936"/>
      <c r="F32936"/>
    </row>
    <row r="32937" spans="1:6" x14ac:dyDescent="0.25">
      <c r="A32937"/>
      <c r="B32937"/>
      <c r="C32937"/>
      <c r="E32937"/>
      <c r="F32937"/>
    </row>
    <row r="32938" spans="1:6" x14ac:dyDescent="0.25">
      <c r="A32938"/>
      <c r="B32938"/>
      <c r="C32938"/>
      <c r="E32938"/>
      <c r="F32938"/>
    </row>
    <row r="32939" spans="1:6" x14ac:dyDescent="0.25">
      <c r="A32939"/>
      <c r="B32939"/>
      <c r="C32939"/>
      <c r="E32939"/>
      <c r="F32939"/>
    </row>
    <row r="32940" spans="1:6" x14ac:dyDescent="0.25">
      <c r="A32940"/>
      <c r="B32940"/>
      <c r="C32940"/>
      <c r="E32940"/>
      <c r="F32940"/>
    </row>
    <row r="32941" spans="1:6" x14ac:dyDescent="0.25">
      <c r="A32941"/>
      <c r="B32941"/>
      <c r="C32941"/>
      <c r="E32941"/>
      <c r="F32941"/>
    </row>
    <row r="32942" spans="1:6" x14ac:dyDescent="0.25">
      <c r="A32942"/>
      <c r="B32942"/>
      <c r="C32942"/>
      <c r="E32942"/>
      <c r="F32942"/>
    </row>
    <row r="32943" spans="1:6" x14ac:dyDescent="0.25">
      <c r="A32943"/>
      <c r="B32943"/>
      <c r="C32943"/>
      <c r="E32943"/>
      <c r="F32943"/>
    </row>
    <row r="32944" spans="1:6" x14ac:dyDescent="0.25">
      <c r="A32944"/>
      <c r="B32944"/>
      <c r="C32944"/>
      <c r="E32944"/>
      <c r="F32944"/>
    </row>
    <row r="32945" spans="1:6" x14ac:dyDescent="0.25">
      <c r="A32945"/>
      <c r="B32945"/>
      <c r="C32945"/>
      <c r="E32945"/>
      <c r="F32945"/>
    </row>
    <row r="32946" spans="1:6" x14ac:dyDescent="0.25">
      <c r="A32946"/>
      <c r="B32946"/>
      <c r="C32946"/>
      <c r="E32946"/>
      <c r="F32946"/>
    </row>
    <row r="32947" spans="1:6" x14ac:dyDescent="0.25">
      <c r="A32947"/>
      <c r="B32947"/>
      <c r="C32947"/>
      <c r="E32947"/>
      <c r="F32947"/>
    </row>
    <row r="32948" spans="1:6" x14ac:dyDescent="0.25">
      <c r="A32948"/>
      <c r="B32948"/>
      <c r="C32948"/>
      <c r="E32948"/>
      <c r="F32948"/>
    </row>
    <row r="32949" spans="1:6" x14ac:dyDescent="0.25">
      <c r="A32949"/>
      <c r="B32949"/>
      <c r="C32949"/>
      <c r="E32949"/>
      <c r="F32949"/>
    </row>
    <row r="32950" spans="1:6" x14ac:dyDescent="0.25">
      <c r="A32950"/>
      <c r="B32950"/>
      <c r="C32950"/>
      <c r="E32950"/>
      <c r="F32950"/>
    </row>
    <row r="32951" spans="1:6" x14ac:dyDescent="0.25">
      <c r="A32951"/>
      <c r="B32951"/>
      <c r="C32951"/>
      <c r="E32951"/>
      <c r="F32951"/>
    </row>
    <row r="32952" spans="1:6" x14ac:dyDescent="0.25">
      <c r="A32952"/>
      <c r="B32952"/>
      <c r="C32952"/>
      <c r="E32952"/>
      <c r="F32952"/>
    </row>
    <row r="32953" spans="1:6" x14ac:dyDescent="0.25">
      <c r="A32953"/>
      <c r="B32953"/>
      <c r="C32953"/>
      <c r="E32953"/>
      <c r="F32953"/>
    </row>
    <row r="32954" spans="1:6" x14ac:dyDescent="0.25">
      <c r="A32954"/>
      <c r="B32954"/>
      <c r="C32954"/>
      <c r="E32954"/>
      <c r="F32954"/>
    </row>
    <row r="32955" spans="1:6" x14ac:dyDescent="0.25">
      <c r="A32955"/>
      <c r="B32955"/>
      <c r="C32955"/>
      <c r="E32955"/>
      <c r="F32955"/>
    </row>
    <row r="32956" spans="1:6" x14ac:dyDescent="0.25">
      <c r="A32956"/>
      <c r="B32956"/>
      <c r="C32956"/>
      <c r="E32956"/>
      <c r="F32956"/>
    </row>
    <row r="32957" spans="1:6" x14ac:dyDescent="0.25">
      <c r="A32957"/>
      <c r="B32957"/>
      <c r="C32957"/>
      <c r="E32957"/>
      <c r="F32957"/>
    </row>
    <row r="32958" spans="1:6" x14ac:dyDescent="0.25">
      <c r="A32958"/>
      <c r="B32958"/>
      <c r="C32958"/>
      <c r="E32958"/>
      <c r="F32958"/>
    </row>
    <row r="32959" spans="1:6" x14ac:dyDescent="0.25">
      <c r="A32959"/>
      <c r="B32959"/>
      <c r="C32959"/>
      <c r="E32959"/>
      <c r="F32959"/>
    </row>
    <row r="32960" spans="1:6" x14ac:dyDescent="0.25">
      <c r="A32960"/>
      <c r="B32960"/>
      <c r="C32960"/>
      <c r="E32960"/>
      <c r="F32960"/>
    </row>
    <row r="32961" spans="1:6" x14ac:dyDescent="0.25">
      <c r="A32961"/>
      <c r="B32961"/>
      <c r="C32961"/>
      <c r="E32961"/>
      <c r="F32961"/>
    </row>
    <row r="32962" spans="1:6" x14ac:dyDescent="0.25">
      <c r="A32962"/>
      <c r="B32962"/>
      <c r="C32962"/>
      <c r="E32962"/>
      <c r="F32962"/>
    </row>
    <row r="32963" spans="1:6" x14ac:dyDescent="0.25">
      <c r="A32963"/>
      <c r="B32963"/>
      <c r="C32963"/>
      <c r="E32963"/>
      <c r="F32963"/>
    </row>
    <row r="32964" spans="1:6" x14ac:dyDescent="0.25">
      <c r="A32964"/>
      <c r="B32964"/>
      <c r="C32964"/>
      <c r="E32964"/>
      <c r="F32964"/>
    </row>
    <row r="32965" spans="1:6" x14ac:dyDescent="0.25">
      <c r="A32965"/>
      <c r="B32965"/>
      <c r="C32965"/>
      <c r="E32965"/>
      <c r="F32965"/>
    </row>
    <row r="32966" spans="1:6" x14ac:dyDescent="0.25">
      <c r="A32966"/>
      <c r="B32966"/>
      <c r="C32966"/>
      <c r="E32966"/>
      <c r="F32966"/>
    </row>
    <row r="32967" spans="1:6" x14ac:dyDescent="0.25">
      <c r="A32967"/>
      <c r="B32967"/>
      <c r="C32967"/>
      <c r="E32967"/>
      <c r="F32967"/>
    </row>
    <row r="32968" spans="1:6" x14ac:dyDescent="0.25">
      <c r="A32968"/>
      <c r="B32968"/>
      <c r="C32968"/>
      <c r="E32968"/>
      <c r="F32968"/>
    </row>
    <row r="32969" spans="1:6" x14ac:dyDescent="0.25">
      <c r="A32969"/>
      <c r="B32969"/>
      <c r="C32969"/>
      <c r="E32969"/>
      <c r="F32969"/>
    </row>
    <row r="32970" spans="1:6" x14ac:dyDescent="0.25">
      <c r="A32970"/>
      <c r="B32970"/>
      <c r="C32970"/>
      <c r="E32970"/>
      <c r="F32970"/>
    </row>
    <row r="32971" spans="1:6" x14ac:dyDescent="0.25">
      <c r="A32971"/>
      <c r="B32971"/>
      <c r="C32971"/>
      <c r="E32971"/>
      <c r="F32971"/>
    </row>
    <row r="32972" spans="1:6" x14ac:dyDescent="0.25">
      <c r="A32972"/>
      <c r="B32972"/>
      <c r="C32972"/>
      <c r="E32972"/>
      <c r="F32972"/>
    </row>
    <row r="32973" spans="1:6" x14ac:dyDescent="0.25">
      <c r="A32973"/>
      <c r="B32973"/>
      <c r="C32973"/>
      <c r="E32973"/>
      <c r="F32973"/>
    </row>
    <row r="32974" spans="1:6" x14ac:dyDescent="0.25">
      <c r="A32974"/>
      <c r="B32974"/>
      <c r="C32974"/>
      <c r="E32974"/>
      <c r="F32974"/>
    </row>
    <row r="32975" spans="1:6" x14ac:dyDescent="0.25">
      <c r="A32975"/>
      <c r="B32975"/>
      <c r="C32975"/>
      <c r="E32975"/>
      <c r="F32975"/>
    </row>
    <row r="32976" spans="1:6" x14ac:dyDescent="0.25">
      <c r="A32976"/>
      <c r="B32976"/>
      <c r="C32976"/>
      <c r="E32976"/>
      <c r="F32976"/>
    </row>
    <row r="32977" spans="1:6" x14ac:dyDescent="0.25">
      <c r="A32977"/>
      <c r="B32977"/>
      <c r="C32977"/>
      <c r="E32977"/>
      <c r="F32977"/>
    </row>
    <row r="32978" spans="1:6" x14ac:dyDescent="0.25">
      <c r="A32978"/>
      <c r="B32978"/>
      <c r="C32978"/>
      <c r="E32978"/>
      <c r="F32978"/>
    </row>
    <row r="32979" spans="1:6" x14ac:dyDescent="0.25">
      <c r="A32979"/>
      <c r="B32979"/>
      <c r="C32979"/>
      <c r="E32979"/>
      <c r="F32979"/>
    </row>
    <row r="32980" spans="1:6" x14ac:dyDescent="0.25">
      <c r="A32980"/>
      <c r="B32980"/>
      <c r="C32980"/>
      <c r="E32980"/>
      <c r="F32980"/>
    </row>
    <row r="32981" spans="1:6" x14ac:dyDescent="0.25">
      <c r="A32981"/>
      <c r="B32981"/>
      <c r="C32981"/>
      <c r="E32981"/>
      <c r="F32981"/>
    </row>
    <row r="32982" spans="1:6" x14ac:dyDescent="0.25">
      <c r="A32982"/>
      <c r="B32982"/>
      <c r="C32982"/>
      <c r="E32982"/>
      <c r="F32982"/>
    </row>
    <row r="32983" spans="1:6" x14ac:dyDescent="0.25">
      <c r="A32983"/>
      <c r="B32983"/>
      <c r="C32983"/>
      <c r="E32983"/>
      <c r="F32983"/>
    </row>
    <row r="32984" spans="1:6" x14ac:dyDescent="0.25">
      <c r="A32984"/>
      <c r="B32984"/>
      <c r="C32984"/>
      <c r="E32984"/>
      <c r="F32984"/>
    </row>
    <row r="32985" spans="1:6" x14ac:dyDescent="0.25">
      <c r="A32985"/>
      <c r="B32985"/>
      <c r="C32985"/>
      <c r="E32985"/>
      <c r="F32985"/>
    </row>
    <row r="32986" spans="1:6" x14ac:dyDescent="0.25">
      <c r="A32986"/>
      <c r="B32986"/>
      <c r="C32986"/>
      <c r="E32986"/>
      <c r="F32986"/>
    </row>
    <row r="32987" spans="1:6" x14ac:dyDescent="0.25">
      <c r="A32987"/>
      <c r="B32987"/>
      <c r="C32987"/>
      <c r="E32987"/>
      <c r="F32987"/>
    </row>
    <row r="32988" spans="1:6" x14ac:dyDescent="0.25">
      <c r="A32988"/>
      <c r="B32988"/>
      <c r="C32988"/>
      <c r="E32988"/>
      <c r="F32988"/>
    </row>
    <row r="32989" spans="1:6" x14ac:dyDescent="0.25">
      <c r="A32989"/>
      <c r="B32989"/>
      <c r="C32989"/>
      <c r="E32989"/>
      <c r="F32989"/>
    </row>
    <row r="32990" spans="1:6" x14ac:dyDescent="0.25">
      <c r="A32990"/>
      <c r="B32990"/>
      <c r="C32990"/>
      <c r="E32990"/>
      <c r="F32990"/>
    </row>
    <row r="32991" spans="1:6" x14ac:dyDescent="0.25">
      <c r="A32991"/>
      <c r="B32991"/>
      <c r="C32991"/>
      <c r="E32991"/>
      <c r="F32991"/>
    </row>
    <row r="32992" spans="1:6" x14ac:dyDescent="0.25">
      <c r="A32992"/>
      <c r="B32992"/>
      <c r="C32992"/>
      <c r="E32992"/>
      <c r="F32992"/>
    </row>
    <row r="32993" spans="1:6" x14ac:dyDescent="0.25">
      <c r="A32993"/>
      <c r="B32993"/>
      <c r="C32993"/>
      <c r="E32993"/>
      <c r="F32993"/>
    </row>
    <row r="32994" spans="1:6" x14ac:dyDescent="0.25">
      <c r="A32994"/>
      <c r="B32994"/>
      <c r="C32994"/>
      <c r="E32994"/>
      <c r="F32994"/>
    </row>
    <row r="32995" spans="1:6" x14ac:dyDescent="0.25">
      <c r="A32995"/>
      <c r="B32995"/>
      <c r="C32995"/>
      <c r="E32995"/>
      <c r="F32995"/>
    </row>
    <row r="32996" spans="1:6" x14ac:dyDescent="0.25">
      <c r="A32996"/>
      <c r="B32996"/>
      <c r="C32996"/>
      <c r="E32996"/>
      <c r="F32996"/>
    </row>
    <row r="32997" spans="1:6" x14ac:dyDescent="0.25">
      <c r="A32997"/>
      <c r="B32997"/>
      <c r="C32997"/>
      <c r="E32997"/>
      <c r="F32997"/>
    </row>
    <row r="32998" spans="1:6" x14ac:dyDescent="0.25">
      <c r="A32998"/>
      <c r="B32998"/>
      <c r="C32998"/>
      <c r="E32998"/>
      <c r="F32998"/>
    </row>
    <row r="32999" spans="1:6" x14ac:dyDescent="0.25">
      <c r="A32999"/>
      <c r="B32999"/>
      <c r="C32999"/>
      <c r="E32999"/>
      <c r="F32999"/>
    </row>
    <row r="33000" spans="1:6" x14ac:dyDescent="0.25">
      <c r="A33000"/>
      <c r="B33000"/>
      <c r="C33000"/>
      <c r="E33000"/>
      <c r="F33000"/>
    </row>
    <row r="33001" spans="1:6" x14ac:dyDescent="0.25">
      <c r="A33001"/>
      <c r="B33001"/>
      <c r="C33001"/>
      <c r="E33001"/>
      <c r="F33001"/>
    </row>
    <row r="33002" spans="1:6" x14ac:dyDescent="0.25">
      <c r="A33002"/>
      <c r="B33002"/>
      <c r="C33002"/>
      <c r="E33002"/>
      <c r="F33002"/>
    </row>
    <row r="33003" spans="1:6" x14ac:dyDescent="0.25">
      <c r="A33003"/>
      <c r="B33003"/>
      <c r="C33003"/>
      <c r="E33003"/>
      <c r="F33003"/>
    </row>
    <row r="33004" spans="1:6" x14ac:dyDescent="0.25">
      <c r="A33004"/>
      <c r="B33004"/>
      <c r="C33004"/>
      <c r="E33004"/>
      <c r="F33004"/>
    </row>
    <row r="33005" spans="1:6" x14ac:dyDescent="0.25">
      <c r="A33005"/>
      <c r="B33005"/>
      <c r="C33005"/>
      <c r="E33005"/>
      <c r="F33005"/>
    </row>
    <row r="33006" spans="1:6" x14ac:dyDescent="0.25">
      <c r="A33006"/>
      <c r="B33006"/>
      <c r="C33006"/>
      <c r="E33006"/>
      <c r="F33006"/>
    </row>
    <row r="33007" spans="1:6" x14ac:dyDescent="0.25">
      <c r="A33007"/>
      <c r="B33007"/>
      <c r="C33007"/>
      <c r="E33007"/>
      <c r="F33007"/>
    </row>
    <row r="33008" spans="1:6" x14ac:dyDescent="0.25">
      <c r="A33008"/>
      <c r="B33008"/>
      <c r="C33008"/>
      <c r="E33008"/>
      <c r="F33008"/>
    </row>
    <row r="33009" spans="1:6" x14ac:dyDescent="0.25">
      <c r="A33009"/>
      <c r="B33009"/>
      <c r="C33009"/>
      <c r="E33009"/>
      <c r="F33009"/>
    </row>
    <row r="33010" spans="1:6" x14ac:dyDescent="0.25">
      <c r="A33010"/>
      <c r="B33010"/>
      <c r="C33010"/>
      <c r="E33010"/>
      <c r="F33010"/>
    </row>
    <row r="33011" spans="1:6" x14ac:dyDescent="0.25">
      <c r="A33011"/>
      <c r="B33011"/>
      <c r="C33011"/>
      <c r="E33011"/>
      <c r="F33011"/>
    </row>
    <row r="33012" spans="1:6" x14ac:dyDescent="0.25">
      <c r="A33012"/>
      <c r="B33012"/>
      <c r="C33012"/>
      <c r="E33012"/>
      <c r="F33012"/>
    </row>
    <row r="33013" spans="1:6" x14ac:dyDescent="0.25">
      <c r="A33013"/>
      <c r="B33013"/>
      <c r="C33013"/>
      <c r="E33013"/>
      <c r="F33013"/>
    </row>
    <row r="33014" spans="1:6" x14ac:dyDescent="0.25">
      <c r="A33014"/>
      <c r="B33014"/>
      <c r="C33014"/>
      <c r="E33014"/>
      <c r="F33014"/>
    </row>
    <row r="33015" spans="1:6" x14ac:dyDescent="0.25">
      <c r="A33015"/>
      <c r="B33015"/>
      <c r="C33015"/>
      <c r="E33015"/>
      <c r="F33015"/>
    </row>
    <row r="33016" spans="1:6" x14ac:dyDescent="0.25">
      <c r="A33016"/>
      <c r="B33016"/>
      <c r="C33016"/>
      <c r="E33016"/>
      <c r="F33016"/>
    </row>
    <row r="33017" spans="1:6" x14ac:dyDescent="0.25">
      <c r="A33017"/>
      <c r="B33017"/>
      <c r="C33017"/>
      <c r="E33017"/>
      <c r="F33017"/>
    </row>
    <row r="33018" spans="1:6" x14ac:dyDescent="0.25">
      <c r="A33018"/>
      <c r="B33018"/>
      <c r="C33018"/>
      <c r="E33018"/>
      <c r="F33018"/>
    </row>
    <row r="33019" spans="1:6" x14ac:dyDescent="0.25">
      <c r="A33019"/>
      <c r="B33019"/>
      <c r="C33019"/>
      <c r="E33019"/>
      <c r="F33019"/>
    </row>
    <row r="33020" spans="1:6" x14ac:dyDescent="0.25">
      <c r="A33020"/>
      <c r="B33020"/>
      <c r="C33020"/>
      <c r="E33020"/>
      <c r="F33020"/>
    </row>
    <row r="33021" spans="1:6" x14ac:dyDescent="0.25">
      <c r="A33021"/>
      <c r="B33021"/>
      <c r="C33021"/>
      <c r="E33021"/>
      <c r="F33021"/>
    </row>
    <row r="33022" spans="1:6" x14ac:dyDescent="0.25">
      <c r="A33022"/>
      <c r="B33022"/>
      <c r="C33022"/>
      <c r="E33022"/>
      <c r="F33022"/>
    </row>
    <row r="33023" spans="1:6" x14ac:dyDescent="0.25">
      <c r="A33023"/>
      <c r="B33023"/>
      <c r="C33023"/>
      <c r="E33023"/>
      <c r="F33023"/>
    </row>
    <row r="33024" spans="1:6" x14ac:dyDescent="0.25">
      <c r="A33024"/>
      <c r="B33024"/>
      <c r="C33024"/>
      <c r="E33024"/>
      <c r="F33024"/>
    </row>
    <row r="33025" spans="1:6" x14ac:dyDescent="0.25">
      <c r="A33025"/>
      <c r="B33025"/>
      <c r="C33025"/>
      <c r="E33025"/>
      <c r="F33025"/>
    </row>
    <row r="33026" spans="1:6" x14ac:dyDescent="0.25">
      <c r="A33026"/>
      <c r="B33026"/>
      <c r="C33026"/>
      <c r="E33026"/>
      <c r="F33026"/>
    </row>
    <row r="33027" spans="1:6" x14ac:dyDescent="0.25">
      <c r="A33027"/>
      <c r="B33027"/>
      <c r="C33027"/>
      <c r="E33027"/>
      <c r="F33027"/>
    </row>
    <row r="33028" spans="1:6" x14ac:dyDescent="0.25">
      <c r="A33028"/>
      <c r="B33028"/>
      <c r="C33028"/>
      <c r="E33028"/>
      <c r="F33028"/>
    </row>
    <row r="33029" spans="1:6" x14ac:dyDescent="0.25">
      <c r="A33029"/>
      <c r="B33029"/>
      <c r="C33029"/>
      <c r="E33029"/>
      <c r="F33029"/>
    </row>
    <row r="33030" spans="1:6" x14ac:dyDescent="0.25">
      <c r="A33030"/>
      <c r="B33030"/>
      <c r="C33030"/>
      <c r="E33030"/>
      <c r="F33030"/>
    </row>
    <row r="33031" spans="1:6" x14ac:dyDescent="0.25">
      <c r="A33031"/>
      <c r="B33031"/>
      <c r="C33031"/>
      <c r="E33031"/>
      <c r="F33031"/>
    </row>
    <row r="33032" spans="1:6" x14ac:dyDescent="0.25">
      <c r="A33032"/>
      <c r="B33032"/>
      <c r="C33032"/>
      <c r="E33032"/>
      <c r="F33032"/>
    </row>
    <row r="33033" spans="1:6" x14ac:dyDescent="0.25">
      <c r="A33033"/>
      <c r="B33033"/>
      <c r="C33033"/>
      <c r="E33033"/>
      <c r="F33033"/>
    </row>
    <row r="33034" spans="1:6" x14ac:dyDescent="0.25">
      <c r="A33034"/>
      <c r="B33034"/>
      <c r="C33034"/>
      <c r="E33034"/>
      <c r="F33034"/>
    </row>
    <row r="33035" spans="1:6" x14ac:dyDescent="0.25">
      <c r="A33035"/>
      <c r="B33035"/>
      <c r="C33035"/>
      <c r="E33035"/>
      <c r="F33035"/>
    </row>
    <row r="33036" spans="1:6" x14ac:dyDescent="0.25">
      <c r="A33036"/>
      <c r="B33036"/>
      <c r="C33036"/>
      <c r="E33036"/>
      <c r="F33036"/>
    </row>
    <row r="33037" spans="1:6" x14ac:dyDescent="0.25">
      <c r="A33037"/>
      <c r="B33037"/>
      <c r="C33037"/>
      <c r="E33037"/>
      <c r="F33037"/>
    </row>
    <row r="33038" spans="1:6" x14ac:dyDescent="0.25">
      <c r="A33038"/>
      <c r="B33038"/>
      <c r="C33038"/>
      <c r="E33038"/>
      <c r="F33038"/>
    </row>
    <row r="33039" spans="1:6" x14ac:dyDescent="0.25">
      <c r="A33039"/>
      <c r="B33039"/>
      <c r="C33039"/>
      <c r="E33039"/>
      <c r="F33039"/>
    </row>
    <row r="33040" spans="1:6" x14ac:dyDescent="0.25">
      <c r="A33040"/>
      <c r="B33040"/>
      <c r="C33040"/>
      <c r="E33040"/>
      <c r="F33040"/>
    </row>
    <row r="33041" spans="1:6" x14ac:dyDescent="0.25">
      <c r="A33041"/>
      <c r="B33041"/>
      <c r="C33041"/>
      <c r="E33041"/>
      <c r="F33041"/>
    </row>
    <row r="33042" spans="1:6" x14ac:dyDescent="0.25">
      <c r="A33042"/>
      <c r="B33042"/>
      <c r="C33042"/>
      <c r="E33042"/>
      <c r="F33042"/>
    </row>
    <row r="33043" spans="1:6" x14ac:dyDescent="0.25">
      <c r="A33043"/>
      <c r="B33043"/>
      <c r="C33043"/>
      <c r="E33043"/>
      <c r="F33043"/>
    </row>
    <row r="33044" spans="1:6" x14ac:dyDescent="0.25">
      <c r="A33044"/>
      <c r="B33044"/>
      <c r="C33044"/>
      <c r="E33044"/>
      <c r="F33044"/>
    </row>
    <row r="33045" spans="1:6" x14ac:dyDescent="0.25">
      <c r="A33045"/>
      <c r="B33045"/>
      <c r="C33045"/>
      <c r="E33045"/>
      <c r="F33045"/>
    </row>
    <row r="33046" spans="1:6" x14ac:dyDescent="0.25">
      <c r="A33046"/>
      <c r="B33046"/>
      <c r="C33046"/>
      <c r="E33046"/>
      <c r="F33046"/>
    </row>
    <row r="33047" spans="1:6" x14ac:dyDescent="0.25">
      <c r="A33047"/>
      <c r="B33047"/>
      <c r="C33047"/>
      <c r="E33047"/>
      <c r="F33047"/>
    </row>
    <row r="33048" spans="1:6" x14ac:dyDescent="0.25">
      <c r="A33048"/>
      <c r="B33048"/>
      <c r="C33048"/>
      <c r="E33048"/>
      <c r="F33048"/>
    </row>
    <row r="33049" spans="1:6" x14ac:dyDescent="0.25">
      <c r="A33049"/>
      <c r="B33049"/>
      <c r="C33049"/>
      <c r="E33049"/>
      <c r="F33049"/>
    </row>
    <row r="33050" spans="1:6" x14ac:dyDescent="0.25">
      <c r="A33050"/>
      <c r="B33050"/>
      <c r="C33050"/>
      <c r="E33050"/>
      <c r="F33050"/>
    </row>
    <row r="33051" spans="1:6" x14ac:dyDescent="0.25">
      <c r="A33051"/>
      <c r="B33051"/>
      <c r="C33051"/>
      <c r="E33051"/>
      <c r="F33051"/>
    </row>
    <row r="33052" spans="1:6" x14ac:dyDescent="0.25">
      <c r="A33052"/>
      <c r="B33052"/>
      <c r="C33052"/>
      <c r="E33052"/>
      <c r="F33052"/>
    </row>
    <row r="33053" spans="1:6" x14ac:dyDescent="0.25">
      <c r="A33053"/>
      <c r="B33053"/>
      <c r="C33053"/>
      <c r="E33053"/>
      <c r="F33053"/>
    </row>
    <row r="33054" spans="1:6" x14ac:dyDescent="0.25">
      <c r="A33054"/>
      <c r="B33054"/>
      <c r="C33054"/>
      <c r="E33054"/>
      <c r="F33054"/>
    </row>
    <row r="33055" spans="1:6" x14ac:dyDescent="0.25">
      <c r="A33055"/>
      <c r="B33055"/>
      <c r="C33055"/>
      <c r="E33055"/>
      <c r="F33055"/>
    </row>
    <row r="33056" spans="1:6" x14ac:dyDescent="0.25">
      <c r="A33056"/>
      <c r="B33056"/>
      <c r="C33056"/>
      <c r="E33056"/>
      <c r="F33056"/>
    </row>
    <row r="33057" spans="1:6" x14ac:dyDescent="0.25">
      <c r="A33057"/>
      <c r="B33057"/>
      <c r="C33057"/>
      <c r="E33057"/>
      <c r="F33057"/>
    </row>
    <row r="33058" spans="1:6" x14ac:dyDescent="0.25">
      <c r="A33058"/>
      <c r="B33058"/>
      <c r="C33058"/>
      <c r="E33058"/>
      <c r="F33058"/>
    </row>
    <row r="33059" spans="1:6" x14ac:dyDescent="0.25">
      <c r="A33059"/>
      <c r="B33059"/>
      <c r="C33059"/>
      <c r="E33059"/>
      <c r="F33059"/>
    </row>
    <row r="33060" spans="1:6" x14ac:dyDescent="0.25">
      <c r="A33060"/>
      <c r="B33060"/>
      <c r="C33060"/>
      <c r="E33060"/>
      <c r="F33060"/>
    </row>
    <row r="33061" spans="1:6" x14ac:dyDescent="0.25">
      <c r="A33061"/>
      <c r="B33061"/>
      <c r="C33061"/>
      <c r="E33061"/>
      <c r="F33061"/>
    </row>
    <row r="33062" spans="1:6" x14ac:dyDescent="0.25">
      <c r="A33062"/>
      <c r="B33062"/>
      <c r="C33062"/>
      <c r="E33062"/>
      <c r="F33062"/>
    </row>
    <row r="33063" spans="1:6" x14ac:dyDescent="0.25">
      <c r="A33063"/>
      <c r="B33063"/>
      <c r="C33063"/>
      <c r="E33063"/>
      <c r="F33063"/>
    </row>
    <row r="33064" spans="1:6" x14ac:dyDescent="0.25">
      <c r="A33064"/>
      <c r="B33064"/>
      <c r="C33064"/>
      <c r="E33064"/>
      <c r="F33064"/>
    </row>
    <row r="33065" spans="1:6" x14ac:dyDescent="0.25">
      <c r="A33065"/>
      <c r="B33065"/>
      <c r="C33065"/>
      <c r="E33065"/>
      <c r="F33065"/>
    </row>
    <row r="33066" spans="1:6" x14ac:dyDescent="0.25">
      <c r="A33066"/>
      <c r="B33066"/>
      <c r="C33066"/>
      <c r="E33066"/>
      <c r="F33066"/>
    </row>
    <row r="33067" spans="1:6" x14ac:dyDescent="0.25">
      <c r="A33067"/>
      <c r="B33067"/>
      <c r="C33067"/>
      <c r="E33067"/>
      <c r="F33067"/>
    </row>
    <row r="33068" spans="1:6" x14ac:dyDescent="0.25">
      <c r="A33068"/>
      <c r="B33068"/>
      <c r="C33068"/>
      <c r="E33068"/>
      <c r="F33068"/>
    </row>
    <row r="33069" spans="1:6" x14ac:dyDescent="0.25">
      <c r="A33069"/>
      <c r="B33069"/>
      <c r="C33069"/>
      <c r="E33069"/>
      <c r="F33069"/>
    </row>
    <row r="33070" spans="1:6" x14ac:dyDescent="0.25">
      <c r="A33070"/>
      <c r="B33070"/>
      <c r="C33070"/>
      <c r="E33070"/>
      <c r="F33070"/>
    </row>
    <row r="33071" spans="1:6" x14ac:dyDescent="0.25">
      <c r="A33071"/>
      <c r="B33071"/>
      <c r="C33071"/>
      <c r="E33071"/>
      <c r="F33071"/>
    </row>
    <row r="33072" spans="1:6" x14ac:dyDescent="0.25">
      <c r="A33072"/>
      <c r="B33072"/>
      <c r="C33072"/>
      <c r="E33072"/>
      <c r="F33072"/>
    </row>
    <row r="33073" spans="1:6" x14ac:dyDescent="0.25">
      <c r="A33073"/>
      <c r="B33073"/>
      <c r="C33073"/>
      <c r="E33073"/>
      <c r="F33073"/>
    </row>
    <row r="33074" spans="1:6" x14ac:dyDescent="0.25">
      <c r="A33074"/>
      <c r="B33074"/>
      <c r="C33074"/>
      <c r="E33074"/>
      <c r="F33074"/>
    </row>
    <row r="33075" spans="1:6" x14ac:dyDescent="0.25">
      <c r="A33075"/>
      <c r="B33075"/>
      <c r="C33075"/>
      <c r="E33075"/>
      <c r="F33075"/>
    </row>
    <row r="33076" spans="1:6" x14ac:dyDescent="0.25">
      <c r="A33076"/>
      <c r="B33076"/>
      <c r="C33076"/>
      <c r="E33076"/>
      <c r="F33076"/>
    </row>
    <row r="33077" spans="1:6" x14ac:dyDescent="0.25">
      <c r="A33077"/>
      <c r="B33077"/>
      <c r="C33077"/>
      <c r="E33077"/>
      <c r="F33077"/>
    </row>
    <row r="33078" spans="1:6" x14ac:dyDescent="0.25">
      <c r="A33078"/>
      <c r="B33078"/>
      <c r="C33078"/>
      <c r="E33078"/>
      <c r="F33078"/>
    </row>
    <row r="33079" spans="1:6" x14ac:dyDescent="0.25">
      <c r="A33079"/>
      <c r="B33079"/>
      <c r="C33079"/>
      <c r="E33079"/>
      <c r="F33079"/>
    </row>
    <row r="33080" spans="1:6" x14ac:dyDescent="0.25">
      <c r="A33080"/>
      <c r="B33080"/>
      <c r="C33080"/>
      <c r="E33080"/>
      <c r="F33080"/>
    </row>
    <row r="33081" spans="1:6" x14ac:dyDescent="0.25">
      <c r="A33081"/>
      <c r="B33081"/>
      <c r="C33081"/>
      <c r="E33081"/>
      <c r="F33081"/>
    </row>
    <row r="33082" spans="1:6" x14ac:dyDescent="0.25">
      <c r="A33082"/>
      <c r="B33082"/>
      <c r="C33082"/>
      <c r="E33082"/>
      <c r="F33082"/>
    </row>
    <row r="33083" spans="1:6" x14ac:dyDescent="0.25">
      <c r="A33083"/>
      <c r="B33083"/>
      <c r="C33083"/>
      <c r="E33083"/>
      <c r="F33083"/>
    </row>
    <row r="33084" spans="1:6" x14ac:dyDescent="0.25">
      <c r="A33084"/>
      <c r="B33084"/>
      <c r="C33084"/>
      <c r="E33084"/>
      <c r="F33084"/>
    </row>
    <row r="33085" spans="1:6" x14ac:dyDescent="0.25">
      <c r="A33085"/>
      <c r="B33085"/>
      <c r="C33085"/>
      <c r="E33085"/>
      <c r="F33085"/>
    </row>
    <row r="33086" spans="1:6" x14ac:dyDescent="0.25">
      <c r="A33086"/>
      <c r="B33086"/>
      <c r="C33086"/>
      <c r="E33086"/>
      <c r="F33086"/>
    </row>
    <row r="33087" spans="1:6" x14ac:dyDescent="0.25">
      <c r="A33087"/>
      <c r="B33087"/>
      <c r="C33087"/>
      <c r="E33087"/>
      <c r="F33087"/>
    </row>
    <row r="33088" spans="1:6" x14ac:dyDescent="0.25">
      <c r="A33088"/>
      <c r="B33088"/>
      <c r="C33088"/>
      <c r="E33088"/>
      <c r="F33088"/>
    </row>
    <row r="33089" spans="1:6" x14ac:dyDescent="0.25">
      <c r="A33089"/>
      <c r="B33089"/>
      <c r="C33089"/>
      <c r="E33089"/>
      <c r="F33089"/>
    </row>
    <row r="33090" spans="1:6" x14ac:dyDescent="0.25">
      <c r="A33090"/>
      <c r="B33090"/>
      <c r="C33090"/>
      <c r="E33090"/>
      <c r="F33090"/>
    </row>
    <row r="33091" spans="1:6" x14ac:dyDescent="0.25">
      <c r="A33091"/>
      <c r="B33091"/>
      <c r="C33091"/>
      <c r="E33091"/>
      <c r="F33091"/>
    </row>
    <row r="33092" spans="1:6" x14ac:dyDescent="0.25">
      <c r="A33092"/>
      <c r="B33092"/>
      <c r="C33092"/>
      <c r="E33092"/>
      <c r="F33092"/>
    </row>
    <row r="33093" spans="1:6" x14ac:dyDescent="0.25">
      <c r="A33093"/>
      <c r="B33093"/>
      <c r="C33093"/>
      <c r="E33093"/>
      <c r="F33093"/>
    </row>
    <row r="33094" spans="1:6" x14ac:dyDescent="0.25">
      <c r="A33094"/>
      <c r="B33094"/>
      <c r="C33094"/>
      <c r="E33094"/>
      <c r="F33094"/>
    </row>
    <row r="33095" spans="1:6" x14ac:dyDescent="0.25">
      <c r="A33095"/>
      <c r="B33095"/>
      <c r="C33095"/>
      <c r="E33095"/>
      <c r="F33095"/>
    </row>
    <row r="33096" spans="1:6" x14ac:dyDescent="0.25">
      <c r="A33096"/>
      <c r="B33096"/>
      <c r="C33096"/>
      <c r="E33096"/>
      <c r="F33096"/>
    </row>
    <row r="33097" spans="1:6" x14ac:dyDescent="0.25">
      <c r="A33097"/>
      <c r="B33097"/>
      <c r="C33097"/>
      <c r="E33097"/>
      <c r="F33097"/>
    </row>
    <row r="33098" spans="1:6" x14ac:dyDescent="0.25">
      <c r="A33098"/>
      <c r="B33098"/>
      <c r="C33098"/>
      <c r="E33098"/>
      <c r="F33098"/>
    </row>
    <row r="33099" spans="1:6" x14ac:dyDescent="0.25">
      <c r="A33099"/>
      <c r="B33099"/>
      <c r="C33099"/>
      <c r="E33099"/>
      <c r="F33099"/>
    </row>
    <row r="33100" spans="1:6" x14ac:dyDescent="0.25">
      <c r="A33100"/>
      <c r="B33100"/>
      <c r="C33100"/>
      <c r="E33100"/>
      <c r="F33100"/>
    </row>
    <row r="33101" spans="1:6" x14ac:dyDescent="0.25">
      <c r="A33101"/>
      <c r="B33101"/>
      <c r="C33101"/>
      <c r="E33101"/>
      <c r="F33101"/>
    </row>
    <row r="33102" spans="1:6" x14ac:dyDescent="0.25">
      <c r="A33102"/>
      <c r="B33102"/>
      <c r="C33102"/>
      <c r="E33102"/>
      <c r="F33102"/>
    </row>
    <row r="33103" spans="1:6" x14ac:dyDescent="0.25">
      <c r="A33103"/>
      <c r="B33103"/>
      <c r="C33103"/>
      <c r="E33103"/>
      <c r="F33103"/>
    </row>
    <row r="33104" spans="1:6" x14ac:dyDescent="0.25">
      <c r="A33104"/>
      <c r="B33104"/>
      <c r="C33104"/>
      <c r="E33104"/>
      <c r="F33104"/>
    </row>
    <row r="33105" spans="1:6" x14ac:dyDescent="0.25">
      <c r="A33105"/>
      <c r="B33105"/>
      <c r="C33105"/>
      <c r="E33105"/>
      <c r="F33105"/>
    </row>
    <row r="33106" spans="1:6" x14ac:dyDescent="0.25">
      <c r="A33106"/>
      <c r="B33106"/>
      <c r="C33106"/>
      <c r="E33106"/>
      <c r="F33106"/>
    </row>
    <row r="33107" spans="1:6" x14ac:dyDescent="0.25">
      <c r="A33107"/>
      <c r="B33107"/>
      <c r="C33107"/>
      <c r="E33107"/>
      <c r="F33107"/>
    </row>
    <row r="33108" spans="1:6" x14ac:dyDescent="0.25">
      <c r="A33108"/>
      <c r="B33108"/>
      <c r="C33108"/>
      <c r="E33108"/>
      <c r="F33108"/>
    </row>
    <row r="33109" spans="1:6" x14ac:dyDescent="0.25">
      <c r="A33109"/>
      <c r="B33109"/>
      <c r="C33109"/>
      <c r="E33109"/>
      <c r="F33109"/>
    </row>
    <row r="33110" spans="1:6" x14ac:dyDescent="0.25">
      <c r="A33110"/>
      <c r="B33110"/>
      <c r="C33110"/>
      <c r="E33110"/>
      <c r="F33110"/>
    </row>
    <row r="33111" spans="1:6" x14ac:dyDescent="0.25">
      <c r="A33111"/>
      <c r="B33111"/>
      <c r="C33111"/>
      <c r="E33111"/>
      <c r="F33111"/>
    </row>
    <row r="33112" spans="1:6" x14ac:dyDescent="0.25">
      <c r="A33112"/>
      <c r="B33112"/>
      <c r="C33112"/>
      <c r="E33112"/>
      <c r="F33112"/>
    </row>
    <row r="33113" spans="1:6" x14ac:dyDescent="0.25">
      <c r="A33113"/>
      <c r="B33113"/>
      <c r="C33113"/>
      <c r="E33113"/>
      <c r="F33113"/>
    </row>
    <row r="33114" spans="1:6" x14ac:dyDescent="0.25">
      <c r="A33114"/>
      <c r="B33114"/>
      <c r="C33114"/>
      <c r="E33114"/>
      <c r="F33114"/>
    </row>
    <row r="33115" spans="1:6" x14ac:dyDescent="0.25">
      <c r="A33115"/>
      <c r="B33115"/>
      <c r="C33115"/>
      <c r="E33115"/>
      <c r="F33115"/>
    </row>
    <row r="33116" spans="1:6" x14ac:dyDescent="0.25">
      <c r="A33116"/>
      <c r="B33116"/>
      <c r="C33116"/>
      <c r="E33116"/>
      <c r="F33116"/>
    </row>
    <row r="33117" spans="1:6" x14ac:dyDescent="0.25">
      <c r="A33117"/>
      <c r="B33117"/>
      <c r="C33117"/>
      <c r="E33117"/>
      <c r="F33117"/>
    </row>
    <row r="33118" spans="1:6" x14ac:dyDescent="0.25">
      <c r="A33118"/>
      <c r="B33118"/>
      <c r="C33118"/>
      <c r="E33118"/>
      <c r="F33118"/>
    </row>
    <row r="33119" spans="1:6" x14ac:dyDescent="0.25">
      <c r="A33119"/>
      <c r="B33119"/>
      <c r="C33119"/>
      <c r="E33119"/>
      <c r="F33119"/>
    </row>
    <row r="33120" spans="1:6" x14ac:dyDescent="0.25">
      <c r="A33120"/>
      <c r="B33120"/>
      <c r="C33120"/>
      <c r="E33120"/>
      <c r="F33120"/>
    </row>
    <row r="33121" spans="1:6" x14ac:dyDescent="0.25">
      <c r="A33121"/>
      <c r="B33121"/>
      <c r="C33121"/>
      <c r="E33121"/>
      <c r="F33121"/>
    </row>
    <row r="33122" spans="1:6" x14ac:dyDescent="0.25">
      <c r="A33122"/>
      <c r="B33122"/>
      <c r="C33122"/>
      <c r="E33122"/>
      <c r="F33122"/>
    </row>
    <row r="33123" spans="1:6" x14ac:dyDescent="0.25">
      <c r="A33123"/>
      <c r="B33123"/>
      <c r="C33123"/>
      <c r="E33123"/>
      <c r="F33123"/>
    </row>
    <row r="33124" spans="1:6" x14ac:dyDescent="0.25">
      <c r="A33124"/>
      <c r="B33124"/>
      <c r="C33124"/>
      <c r="E33124"/>
      <c r="F33124"/>
    </row>
    <row r="33125" spans="1:6" x14ac:dyDescent="0.25">
      <c r="A33125"/>
      <c r="B33125"/>
      <c r="C33125"/>
      <c r="E33125"/>
      <c r="F33125"/>
    </row>
    <row r="33126" spans="1:6" x14ac:dyDescent="0.25">
      <c r="A33126"/>
      <c r="B33126"/>
      <c r="C33126"/>
      <c r="E33126"/>
      <c r="F33126"/>
    </row>
    <row r="33127" spans="1:6" x14ac:dyDescent="0.25">
      <c r="A33127"/>
      <c r="B33127"/>
      <c r="C33127"/>
      <c r="E33127"/>
      <c r="F33127"/>
    </row>
    <row r="33128" spans="1:6" x14ac:dyDescent="0.25">
      <c r="A33128"/>
      <c r="B33128"/>
      <c r="C33128"/>
      <c r="E33128"/>
      <c r="F33128"/>
    </row>
    <row r="33129" spans="1:6" x14ac:dyDescent="0.25">
      <c r="A33129"/>
      <c r="B33129"/>
      <c r="C33129"/>
      <c r="E33129"/>
      <c r="F33129"/>
    </row>
    <row r="33130" spans="1:6" x14ac:dyDescent="0.25">
      <c r="A33130"/>
      <c r="B33130"/>
      <c r="C33130"/>
      <c r="E33130"/>
      <c r="F33130"/>
    </row>
    <row r="33131" spans="1:6" x14ac:dyDescent="0.25">
      <c r="A33131"/>
      <c r="B33131"/>
      <c r="C33131"/>
      <c r="E33131"/>
      <c r="F33131"/>
    </row>
    <row r="33132" spans="1:6" x14ac:dyDescent="0.25">
      <c r="A33132"/>
      <c r="B33132"/>
      <c r="C33132"/>
      <c r="E33132"/>
      <c r="F33132"/>
    </row>
    <row r="33133" spans="1:6" x14ac:dyDescent="0.25">
      <c r="A33133"/>
      <c r="B33133"/>
      <c r="C33133"/>
      <c r="E33133"/>
      <c r="F33133"/>
    </row>
    <row r="33134" spans="1:6" x14ac:dyDescent="0.25">
      <c r="A33134"/>
      <c r="B33134"/>
      <c r="C33134"/>
      <c r="E33134"/>
      <c r="F33134"/>
    </row>
    <row r="33135" spans="1:6" x14ac:dyDescent="0.25">
      <c r="A33135"/>
      <c r="B33135"/>
      <c r="C33135"/>
      <c r="E33135"/>
      <c r="F33135"/>
    </row>
    <row r="33136" spans="1:6" x14ac:dyDescent="0.25">
      <c r="A33136"/>
      <c r="B33136"/>
      <c r="C33136"/>
      <c r="E33136"/>
      <c r="F33136"/>
    </row>
    <row r="33137" spans="1:6" x14ac:dyDescent="0.25">
      <c r="A33137"/>
      <c r="B33137"/>
      <c r="C33137"/>
      <c r="E33137"/>
      <c r="F33137"/>
    </row>
    <row r="33138" spans="1:6" x14ac:dyDescent="0.25">
      <c r="A33138"/>
      <c r="B33138"/>
      <c r="C33138"/>
      <c r="E33138"/>
      <c r="F33138"/>
    </row>
    <row r="33139" spans="1:6" x14ac:dyDescent="0.25">
      <c r="A33139"/>
      <c r="B33139"/>
      <c r="C33139"/>
      <c r="E33139"/>
      <c r="F33139"/>
    </row>
    <row r="33140" spans="1:6" x14ac:dyDescent="0.25">
      <c r="A33140"/>
      <c r="B33140"/>
      <c r="C33140"/>
      <c r="E33140"/>
      <c r="F33140"/>
    </row>
    <row r="33141" spans="1:6" x14ac:dyDescent="0.25">
      <c r="A33141"/>
      <c r="B33141"/>
      <c r="C33141"/>
      <c r="E33141"/>
      <c r="F33141"/>
    </row>
    <row r="33142" spans="1:6" x14ac:dyDescent="0.25">
      <c r="A33142"/>
      <c r="B33142"/>
      <c r="C33142"/>
      <c r="E33142"/>
      <c r="F33142"/>
    </row>
    <row r="33143" spans="1:6" x14ac:dyDescent="0.25">
      <c r="A33143"/>
      <c r="B33143"/>
      <c r="C33143"/>
      <c r="E33143"/>
      <c r="F33143"/>
    </row>
    <row r="33144" spans="1:6" x14ac:dyDescent="0.25">
      <c r="A33144"/>
      <c r="B33144"/>
      <c r="C33144"/>
      <c r="E33144"/>
      <c r="F33144"/>
    </row>
    <row r="33145" spans="1:6" x14ac:dyDescent="0.25">
      <c r="A33145"/>
      <c r="B33145"/>
      <c r="C33145"/>
      <c r="E33145"/>
      <c r="F33145"/>
    </row>
    <row r="33146" spans="1:6" x14ac:dyDescent="0.25">
      <c r="A33146"/>
      <c r="B33146"/>
      <c r="C33146"/>
      <c r="E33146"/>
      <c r="F33146"/>
    </row>
    <row r="33147" spans="1:6" x14ac:dyDescent="0.25">
      <c r="A33147"/>
      <c r="B33147"/>
      <c r="C33147"/>
      <c r="E33147"/>
      <c r="F33147"/>
    </row>
    <row r="33148" spans="1:6" x14ac:dyDescent="0.25">
      <c r="A33148"/>
      <c r="B33148"/>
      <c r="C33148"/>
      <c r="E33148"/>
      <c r="F33148"/>
    </row>
    <row r="33149" spans="1:6" x14ac:dyDescent="0.25">
      <c r="A33149"/>
      <c r="B33149"/>
      <c r="C33149"/>
      <c r="E33149"/>
      <c r="F33149"/>
    </row>
    <row r="33150" spans="1:6" x14ac:dyDescent="0.25">
      <c r="A33150"/>
      <c r="B33150"/>
      <c r="C33150"/>
      <c r="E33150"/>
      <c r="F33150"/>
    </row>
    <row r="33151" spans="1:6" x14ac:dyDescent="0.25">
      <c r="A33151"/>
      <c r="B33151"/>
      <c r="C33151"/>
      <c r="E33151"/>
      <c r="F33151"/>
    </row>
    <row r="33152" spans="1:6" x14ac:dyDescent="0.25">
      <c r="A33152"/>
      <c r="B33152"/>
      <c r="C33152"/>
      <c r="E33152"/>
      <c r="F33152"/>
    </row>
    <row r="33153" spans="1:6" x14ac:dyDescent="0.25">
      <c r="A33153"/>
      <c r="B33153"/>
      <c r="C33153"/>
      <c r="E33153"/>
      <c r="F33153"/>
    </row>
    <row r="33154" spans="1:6" x14ac:dyDescent="0.25">
      <c r="A33154"/>
      <c r="B33154"/>
      <c r="C33154"/>
      <c r="E33154"/>
      <c r="F33154"/>
    </row>
    <row r="33155" spans="1:6" x14ac:dyDescent="0.25">
      <c r="A33155"/>
      <c r="B33155"/>
      <c r="C33155"/>
      <c r="E33155"/>
      <c r="F33155"/>
    </row>
    <row r="33156" spans="1:6" x14ac:dyDescent="0.25">
      <c r="A33156"/>
      <c r="B33156"/>
      <c r="C33156"/>
      <c r="E33156"/>
      <c r="F33156"/>
    </row>
    <row r="33157" spans="1:6" x14ac:dyDescent="0.25">
      <c r="A33157"/>
      <c r="B33157"/>
      <c r="C33157"/>
      <c r="E33157"/>
      <c r="F33157"/>
    </row>
    <row r="33158" spans="1:6" x14ac:dyDescent="0.25">
      <c r="A33158"/>
      <c r="B33158"/>
      <c r="C33158"/>
      <c r="E33158"/>
      <c r="F33158"/>
    </row>
    <row r="33159" spans="1:6" x14ac:dyDescent="0.25">
      <c r="A33159"/>
      <c r="B33159"/>
      <c r="C33159"/>
      <c r="E33159"/>
      <c r="F33159"/>
    </row>
    <row r="33160" spans="1:6" x14ac:dyDescent="0.25">
      <c r="A33160"/>
      <c r="B33160"/>
      <c r="C33160"/>
      <c r="E33160"/>
      <c r="F33160"/>
    </row>
    <row r="33161" spans="1:6" x14ac:dyDescent="0.25">
      <c r="A33161"/>
      <c r="B33161"/>
      <c r="C33161"/>
      <c r="E33161"/>
      <c r="F33161"/>
    </row>
    <row r="33162" spans="1:6" x14ac:dyDescent="0.25">
      <c r="A33162"/>
      <c r="B33162"/>
      <c r="C33162"/>
      <c r="E33162"/>
      <c r="F33162"/>
    </row>
    <row r="33163" spans="1:6" x14ac:dyDescent="0.25">
      <c r="A33163"/>
      <c r="B33163"/>
      <c r="C33163"/>
      <c r="E33163"/>
      <c r="F33163"/>
    </row>
    <row r="33164" spans="1:6" x14ac:dyDescent="0.25">
      <c r="A33164"/>
      <c r="B33164"/>
      <c r="C33164"/>
      <c r="E33164"/>
      <c r="F33164"/>
    </row>
    <row r="33165" spans="1:6" x14ac:dyDescent="0.25">
      <c r="A33165"/>
      <c r="B33165"/>
      <c r="C33165"/>
      <c r="E33165"/>
      <c r="F33165"/>
    </row>
    <row r="33166" spans="1:6" x14ac:dyDescent="0.25">
      <c r="A33166"/>
      <c r="B33166"/>
      <c r="C33166"/>
      <c r="E33166"/>
      <c r="F33166"/>
    </row>
    <row r="33167" spans="1:6" x14ac:dyDescent="0.25">
      <c r="A33167"/>
      <c r="B33167"/>
      <c r="C33167"/>
      <c r="E33167"/>
      <c r="F33167"/>
    </row>
    <row r="33168" spans="1:6" x14ac:dyDescent="0.25">
      <c r="A33168"/>
      <c r="B33168"/>
      <c r="C33168"/>
      <c r="E33168"/>
      <c r="F33168"/>
    </row>
    <row r="33169" spans="1:6" x14ac:dyDescent="0.25">
      <c r="A33169"/>
      <c r="B33169"/>
      <c r="C33169"/>
      <c r="E33169"/>
      <c r="F33169"/>
    </row>
    <row r="33170" spans="1:6" x14ac:dyDescent="0.25">
      <c r="A33170"/>
      <c r="B33170"/>
      <c r="C33170"/>
      <c r="E33170"/>
      <c r="F33170"/>
    </row>
    <row r="33171" spans="1:6" x14ac:dyDescent="0.25">
      <c r="A33171"/>
      <c r="B33171"/>
      <c r="C33171"/>
      <c r="E33171"/>
      <c r="F33171"/>
    </row>
    <row r="33172" spans="1:6" x14ac:dyDescent="0.25">
      <c r="A33172"/>
      <c r="B33172"/>
      <c r="C33172"/>
      <c r="E33172"/>
      <c r="F33172"/>
    </row>
    <row r="33173" spans="1:6" x14ac:dyDescent="0.25">
      <c r="A33173"/>
      <c r="B33173"/>
      <c r="C33173"/>
      <c r="E33173"/>
      <c r="F33173"/>
    </row>
    <row r="33174" spans="1:6" x14ac:dyDescent="0.25">
      <c r="A33174"/>
      <c r="B33174"/>
      <c r="C33174"/>
      <c r="E33174"/>
      <c r="F33174"/>
    </row>
    <row r="33175" spans="1:6" x14ac:dyDescent="0.25">
      <c r="A33175"/>
      <c r="B33175"/>
      <c r="C33175"/>
      <c r="E33175"/>
      <c r="F33175"/>
    </row>
    <row r="33176" spans="1:6" x14ac:dyDescent="0.25">
      <c r="A33176"/>
      <c r="B33176"/>
      <c r="C33176"/>
      <c r="E33176"/>
      <c r="F33176"/>
    </row>
    <row r="33177" spans="1:6" x14ac:dyDescent="0.25">
      <c r="A33177"/>
      <c r="B33177"/>
      <c r="C33177"/>
      <c r="E33177"/>
      <c r="F33177"/>
    </row>
    <row r="33178" spans="1:6" x14ac:dyDescent="0.25">
      <c r="A33178"/>
      <c r="B33178"/>
      <c r="C33178"/>
      <c r="E33178"/>
      <c r="F33178"/>
    </row>
    <row r="33179" spans="1:6" x14ac:dyDescent="0.25">
      <c r="A33179"/>
      <c r="B33179"/>
      <c r="C33179"/>
      <c r="E33179"/>
      <c r="F33179"/>
    </row>
    <row r="33180" spans="1:6" x14ac:dyDescent="0.25">
      <c r="A33180"/>
      <c r="B33180"/>
      <c r="C33180"/>
      <c r="E33180"/>
      <c r="F33180"/>
    </row>
    <row r="33181" spans="1:6" x14ac:dyDescent="0.25">
      <c r="A33181"/>
      <c r="B33181"/>
      <c r="C33181"/>
      <c r="E33181"/>
      <c r="F33181"/>
    </row>
    <row r="33182" spans="1:6" x14ac:dyDescent="0.25">
      <c r="A33182"/>
      <c r="B33182"/>
      <c r="C33182"/>
      <c r="E33182"/>
      <c r="F33182"/>
    </row>
    <row r="33183" spans="1:6" x14ac:dyDescent="0.25">
      <c r="A33183"/>
      <c r="B33183"/>
      <c r="C33183"/>
      <c r="E33183"/>
      <c r="F33183"/>
    </row>
    <row r="33184" spans="1:6" x14ac:dyDescent="0.25">
      <c r="A33184"/>
      <c r="B33184"/>
      <c r="C33184"/>
      <c r="E33184"/>
      <c r="F33184"/>
    </row>
    <row r="33185" spans="1:6" x14ac:dyDescent="0.25">
      <c r="A33185"/>
      <c r="B33185"/>
      <c r="C33185"/>
      <c r="E33185"/>
      <c r="F33185"/>
    </row>
    <row r="33186" spans="1:6" x14ac:dyDescent="0.25">
      <c r="A33186"/>
      <c r="B33186"/>
      <c r="C33186"/>
      <c r="E33186"/>
      <c r="F33186"/>
    </row>
    <row r="33187" spans="1:6" x14ac:dyDescent="0.25">
      <c r="A33187"/>
      <c r="B33187"/>
      <c r="C33187"/>
      <c r="E33187"/>
      <c r="F33187"/>
    </row>
    <row r="33188" spans="1:6" x14ac:dyDescent="0.25">
      <c r="A33188"/>
      <c r="B33188"/>
      <c r="C33188"/>
      <c r="E33188"/>
      <c r="F33188"/>
    </row>
    <row r="33189" spans="1:6" x14ac:dyDescent="0.25">
      <c r="A33189"/>
      <c r="B33189"/>
      <c r="C33189"/>
      <c r="E33189"/>
      <c r="F33189"/>
    </row>
    <row r="33190" spans="1:6" x14ac:dyDescent="0.25">
      <c r="A33190"/>
      <c r="B33190"/>
      <c r="C33190"/>
      <c r="E33190"/>
      <c r="F33190"/>
    </row>
    <row r="33191" spans="1:6" x14ac:dyDescent="0.25">
      <c r="A33191"/>
      <c r="B33191"/>
      <c r="C33191"/>
      <c r="E33191"/>
      <c r="F33191"/>
    </row>
    <row r="33192" spans="1:6" x14ac:dyDescent="0.25">
      <c r="A33192"/>
      <c r="B33192"/>
      <c r="C33192"/>
      <c r="E33192"/>
      <c r="F33192"/>
    </row>
    <row r="33193" spans="1:6" x14ac:dyDescent="0.25">
      <c r="A33193"/>
      <c r="B33193"/>
      <c r="C33193"/>
      <c r="E33193"/>
      <c r="F33193"/>
    </row>
    <row r="33194" spans="1:6" x14ac:dyDescent="0.25">
      <c r="A33194"/>
      <c r="B33194"/>
      <c r="C33194"/>
      <c r="E33194"/>
      <c r="F33194"/>
    </row>
    <row r="33195" spans="1:6" x14ac:dyDescent="0.25">
      <c r="A33195"/>
      <c r="B33195"/>
      <c r="C33195"/>
      <c r="E33195"/>
      <c r="F33195"/>
    </row>
    <row r="33196" spans="1:6" x14ac:dyDescent="0.25">
      <c r="A33196"/>
      <c r="B33196"/>
      <c r="C33196"/>
      <c r="E33196"/>
      <c r="F33196"/>
    </row>
    <row r="33197" spans="1:6" x14ac:dyDescent="0.25">
      <c r="A33197"/>
      <c r="B33197"/>
      <c r="C33197"/>
      <c r="E33197"/>
      <c r="F33197"/>
    </row>
    <row r="33198" spans="1:6" x14ac:dyDescent="0.25">
      <c r="A33198"/>
      <c r="B33198"/>
      <c r="C33198"/>
      <c r="E33198"/>
      <c r="F33198"/>
    </row>
    <row r="33199" spans="1:6" x14ac:dyDescent="0.25">
      <c r="A33199"/>
      <c r="B33199"/>
      <c r="C33199"/>
      <c r="E33199"/>
      <c r="F33199"/>
    </row>
    <row r="33200" spans="1:6" x14ac:dyDescent="0.25">
      <c r="A33200"/>
      <c r="B33200"/>
      <c r="C33200"/>
      <c r="E33200"/>
      <c r="F33200"/>
    </row>
    <row r="33201" spans="1:6" x14ac:dyDescent="0.25">
      <c r="A33201"/>
      <c r="B33201"/>
      <c r="C33201"/>
      <c r="E33201"/>
      <c r="F33201"/>
    </row>
    <row r="33202" spans="1:6" x14ac:dyDescent="0.25">
      <c r="A33202"/>
      <c r="B33202"/>
      <c r="C33202"/>
      <c r="E33202"/>
      <c r="F33202"/>
    </row>
    <row r="33203" spans="1:6" x14ac:dyDescent="0.25">
      <c r="A33203"/>
      <c r="B33203"/>
      <c r="C33203"/>
      <c r="E33203"/>
      <c r="F33203"/>
    </row>
    <row r="33204" spans="1:6" x14ac:dyDescent="0.25">
      <c r="A33204"/>
      <c r="B33204"/>
      <c r="C33204"/>
      <c r="E33204"/>
      <c r="F33204"/>
    </row>
    <row r="33205" spans="1:6" x14ac:dyDescent="0.25">
      <c r="A33205"/>
      <c r="B33205"/>
      <c r="C33205"/>
      <c r="E33205"/>
      <c r="F33205"/>
    </row>
    <row r="33206" spans="1:6" x14ac:dyDescent="0.25">
      <c r="A33206"/>
      <c r="B33206"/>
      <c r="C33206"/>
      <c r="E33206"/>
      <c r="F33206"/>
    </row>
    <row r="33207" spans="1:6" x14ac:dyDescent="0.25">
      <c r="A33207"/>
      <c r="B33207"/>
      <c r="C33207"/>
      <c r="E33207"/>
      <c r="F33207"/>
    </row>
    <row r="33208" spans="1:6" x14ac:dyDescent="0.25">
      <c r="A33208"/>
      <c r="B33208"/>
      <c r="C33208"/>
      <c r="E33208"/>
      <c r="F33208"/>
    </row>
    <row r="33209" spans="1:6" x14ac:dyDescent="0.25">
      <c r="A33209"/>
      <c r="B33209"/>
      <c r="C33209"/>
      <c r="E33209"/>
      <c r="F33209"/>
    </row>
    <row r="33210" spans="1:6" x14ac:dyDescent="0.25">
      <c r="A33210"/>
      <c r="B33210"/>
      <c r="C33210"/>
      <c r="E33210"/>
      <c r="F33210"/>
    </row>
    <row r="33211" spans="1:6" x14ac:dyDescent="0.25">
      <c r="A33211"/>
      <c r="B33211"/>
      <c r="C33211"/>
      <c r="E33211"/>
      <c r="F33211"/>
    </row>
    <row r="33212" spans="1:6" x14ac:dyDescent="0.25">
      <c r="A33212"/>
      <c r="B33212"/>
      <c r="C33212"/>
      <c r="E33212"/>
      <c r="F33212"/>
    </row>
    <row r="33213" spans="1:6" x14ac:dyDescent="0.25">
      <c r="A33213"/>
      <c r="B33213"/>
      <c r="C33213"/>
      <c r="E33213"/>
      <c r="F33213"/>
    </row>
    <row r="33214" spans="1:6" x14ac:dyDescent="0.25">
      <c r="A33214"/>
      <c r="B33214"/>
      <c r="C33214"/>
      <c r="E33214"/>
      <c r="F33214"/>
    </row>
    <row r="33215" spans="1:6" x14ac:dyDescent="0.25">
      <c r="A33215"/>
      <c r="B33215"/>
      <c r="C33215"/>
      <c r="E33215"/>
      <c r="F33215"/>
    </row>
    <row r="33216" spans="1:6" x14ac:dyDescent="0.25">
      <c r="A33216"/>
      <c r="B33216"/>
      <c r="C33216"/>
      <c r="E33216"/>
      <c r="F33216"/>
    </row>
    <row r="33217" spans="1:6" x14ac:dyDescent="0.25">
      <c r="A33217"/>
      <c r="B33217"/>
      <c r="C33217"/>
      <c r="E33217"/>
      <c r="F33217"/>
    </row>
    <row r="33218" spans="1:6" x14ac:dyDescent="0.25">
      <c r="A33218"/>
      <c r="B33218"/>
      <c r="C33218"/>
      <c r="E33218"/>
      <c r="F33218"/>
    </row>
    <row r="33219" spans="1:6" x14ac:dyDescent="0.25">
      <c r="A33219"/>
      <c r="B33219"/>
      <c r="C33219"/>
      <c r="E33219"/>
      <c r="F33219"/>
    </row>
    <row r="33220" spans="1:6" x14ac:dyDescent="0.25">
      <c r="A33220"/>
      <c r="B33220"/>
      <c r="C33220"/>
      <c r="E33220"/>
      <c r="F33220"/>
    </row>
    <row r="33221" spans="1:6" x14ac:dyDescent="0.25">
      <c r="A33221"/>
      <c r="B33221"/>
      <c r="C33221"/>
      <c r="E33221"/>
      <c r="F33221"/>
    </row>
    <row r="33222" spans="1:6" x14ac:dyDescent="0.25">
      <c r="A33222"/>
      <c r="B33222"/>
      <c r="C33222"/>
      <c r="E33222"/>
      <c r="F33222"/>
    </row>
    <row r="33223" spans="1:6" x14ac:dyDescent="0.25">
      <c r="A33223"/>
      <c r="B33223"/>
      <c r="C33223"/>
      <c r="E33223"/>
      <c r="F33223"/>
    </row>
    <row r="33224" spans="1:6" x14ac:dyDescent="0.25">
      <c r="A33224"/>
      <c r="B33224"/>
      <c r="C33224"/>
      <c r="E33224"/>
      <c r="F33224"/>
    </row>
    <row r="33225" spans="1:6" x14ac:dyDescent="0.25">
      <c r="A33225"/>
      <c r="B33225"/>
      <c r="C33225"/>
      <c r="E33225"/>
      <c r="F33225"/>
    </row>
    <row r="33226" spans="1:6" x14ac:dyDescent="0.25">
      <c r="A33226"/>
      <c r="B33226"/>
      <c r="C33226"/>
      <c r="E33226"/>
      <c r="F33226"/>
    </row>
    <row r="33227" spans="1:6" x14ac:dyDescent="0.25">
      <c r="A33227"/>
      <c r="B33227"/>
      <c r="C33227"/>
      <c r="E33227"/>
      <c r="F33227"/>
    </row>
    <row r="33228" spans="1:6" x14ac:dyDescent="0.25">
      <c r="A33228"/>
      <c r="B33228"/>
      <c r="C33228"/>
      <c r="E33228"/>
      <c r="F33228"/>
    </row>
    <row r="33229" spans="1:6" x14ac:dyDescent="0.25">
      <c r="A33229"/>
      <c r="B33229"/>
      <c r="C33229"/>
      <c r="E33229"/>
      <c r="F33229"/>
    </row>
    <row r="33230" spans="1:6" x14ac:dyDescent="0.25">
      <c r="A33230"/>
      <c r="B33230"/>
      <c r="C33230"/>
      <c r="E33230"/>
      <c r="F33230"/>
    </row>
    <row r="33231" spans="1:6" x14ac:dyDescent="0.25">
      <c r="A33231"/>
      <c r="B33231"/>
      <c r="C33231"/>
      <c r="E33231"/>
      <c r="F33231"/>
    </row>
    <row r="33232" spans="1:6" x14ac:dyDescent="0.25">
      <c r="A33232"/>
      <c r="B33232"/>
      <c r="C33232"/>
      <c r="E33232"/>
      <c r="F33232"/>
    </row>
    <row r="33233" spans="1:6" x14ac:dyDescent="0.25">
      <c r="A33233"/>
      <c r="B33233"/>
      <c r="C33233"/>
      <c r="E33233"/>
      <c r="F33233"/>
    </row>
    <row r="33234" spans="1:6" x14ac:dyDescent="0.25">
      <c r="A33234"/>
      <c r="B33234"/>
      <c r="C33234"/>
      <c r="E33234"/>
      <c r="F33234"/>
    </row>
    <row r="33235" spans="1:6" x14ac:dyDescent="0.25">
      <c r="A33235"/>
      <c r="B33235"/>
      <c r="C33235"/>
      <c r="E33235"/>
      <c r="F33235"/>
    </row>
    <row r="33236" spans="1:6" x14ac:dyDescent="0.25">
      <c r="A33236"/>
      <c r="B33236"/>
      <c r="C33236"/>
      <c r="E33236"/>
      <c r="F33236"/>
    </row>
    <row r="33237" spans="1:6" x14ac:dyDescent="0.25">
      <c r="A33237"/>
      <c r="B33237"/>
      <c r="C33237"/>
      <c r="E33237"/>
      <c r="F33237"/>
    </row>
    <row r="33238" spans="1:6" x14ac:dyDescent="0.25">
      <c r="A33238"/>
      <c r="B33238"/>
      <c r="C33238"/>
      <c r="E33238"/>
      <c r="F33238"/>
    </row>
    <row r="33239" spans="1:6" x14ac:dyDescent="0.25">
      <c r="A33239"/>
      <c r="B33239"/>
      <c r="C33239"/>
      <c r="E33239"/>
      <c r="F33239"/>
    </row>
    <row r="33240" spans="1:6" x14ac:dyDescent="0.25">
      <c r="A33240"/>
      <c r="B33240"/>
      <c r="C33240"/>
      <c r="E33240"/>
      <c r="F33240"/>
    </row>
    <row r="33241" spans="1:6" x14ac:dyDescent="0.25">
      <c r="A33241"/>
      <c r="B33241"/>
      <c r="C33241"/>
      <c r="E33241"/>
      <c r="F33241"/>
    </row>
    <row r="33242" spans="1:6" x14ac:dyDescent="0.25">
      <c r="A33242"/>
      <c r="B33242"/>
      <c r="C33242"/>
      <c r="E33242"/>
      <c r="F33242"/>
    </row>
    <row r="33243" spans="1:6" x14ac:dyDescent="0.25">
      <c r="A33243"/>
      <c r="B33243"/>
      <c r="C33243"/>
      <c r="E33243"/>
      <c r="F33243"/>
    </row>
    <row r="33244" spans="1:6" x14ac:dyDescent="0.25">
      <c r="A33244"/>
      <c r="B33244"/>
      <c r="C33244"/>
      <c r="E33244"/>
      <c r="F33244"/>
    </row>
    <row r="33245" spans="1:6" x14ac:dyDescent="0.25">
      <c r="A33245"/>
      <c r="B33245"/>
      <c r="C33245"/>
      <c r="E33245"/>
      <c r="F33245"/>
    </row>
    <row r="33246" spans="1:6" x14ac:dyDescent="0.25">
      <c r="A33246"/>
      <c r="B33246"/>
      <c r="C33246"/>
      <c r="E33246"/>
      <c r="F33246"/>
    </row>
    <row r="33247" spans="1:6" x14ac:dyDescent="0.25">
      <c r="A33247"/>
      <c r="B33247"/>
      <c r="C33247"/>
      <c r="E33247"/>
      <c r="F33247"/>
    </row>
    <row r="33248" spans="1:6" x14ac:dyDescent="0.25">
      <c r="A33248"/>
      <c r="B33248"/>
      <c r="C33248"/>
      <c r="E33248"/>
      <c r="F33248"/>
    </row>
    <row r="33249" spans="1:6" x14ac:dyDescent="0.25">
      <c r="A33249"/>
      <c r="B33249"/>
      <c r="C33249"/>
      <c r="E33249"/>
      <c r="F33249"/>
    </row>
    <row r="33250" spans="1:6" x14ac:dyDescent="0.25">
      <c r="A33250"/>
      <c r="B33250"/>
      <c r="C33250"/>
      <c r="E33250"/>
      <c r="F33250"/>
    </row>
    <row r="33251" spans="1:6" x14ac:dyDescent="0.25">
      <c r="A33251"/>
      <c r="B33251"/>
      <c r="C33251"/>
      <c r="E33251"/>
      <c r="F33251"/>
    </row>
    <row r="33252" spans="1:6" x14ac:dyDescent="0.25">
      <c r="A33252"/>
      <c r="B33252"/>
      <c r="C33252"/>
      <c r="E33252"/>
      <c r="F33252"/>
    </row>
    <row r="33253" spans="1:6" x14ac:dyDescent="0.25">
      <c r="A33253"/>
      <c r="B33253"/>
      <c r="C33253"/>
      <c r="E33253"/>
      <c r="F33253"/>
    </row>
    <row r="33254" spans="1:6" x14ac:dyDescent="0.25">
      <c r="A33254"/>
      <c r="B33254"/>
      <c r="C33254"/>
      <c r="E33254"/>
      <c r="F33254"/>
    </row>
    <row r="33255" spans="1:6" x14ac:dyDescent="0.25">
      <c r="A33255"/>
      <c r="B33255"/>
      <c r="C33255"/>
      <c r="E33255"/>
      <c r="F33255"/>
    </row>
    <row r="33256" spans="1:6" x14ac:dyDescent="0.25">
      <c r="A33256"/>
      <c r="B33256"/>
      <c r="C33256"/>
      <c r="E33256"/>
      <c r="F33256"/>
    </row>
    <row r="33257" spans="1:6" x14ac:dyDescent="0.25">
      <c r="A33257"/>
      <c r="B33257"/>
      <c r="C33257"/>
      <c r="E33257"/>
      <c r="F33257"/>
    </row>
    <row r="33258" spans="1:6" x14ac:dyDescent="0.25">
      <c r="A33258"/>
      <c r="B33258"/>
      <c r="C33258"/>
      <c r="E33258"/>
      <c r="F33258"/>
    </row>
    <row r="33259" spans="1:6" x14ac:dyDescent="0.25">
      <c r="A33259"/>
      <c r="B33259"/>
      <c r="C33259"/>
      <c r="E33259"/>
      <c r="F33259"/>
    </row>
    <row r="33260" spans="1:6" x14ac:dyDescent="0.25">
      <c r="A33260"/>
      <c r="B33260"/>
      <c r="C33260"/>
      <c r="E33260"/>
      <c r="F33260"/>
    </row>
    <row r="33261" spans="1:6" x14ac:dyDescent="0.25">
      <c r="A33261"/>
      <c r="B33261"/>
      <c r="C33261"/>
      <c r="E33261"/>
      <c r="F33261"/>
    </row>
    <row r="33262" spans="1:6" x14ac:dyDescent="0.25">
      <c r="A33262"/>
      <c r="B33262"/>
      <c r="C33262"/>
      <c r="E33262"/>
      <c r="F33262"/>
    </row>
    <row r="33263" spans="1:6" x14ac:dyDescent="0.25">
      <c r="A33263"/>
      <c r="B33263"/>
      <c r="C33263"/>
      <c r="E33263"/>
      <c r="F33263"/>
    </row>
    <row r="33264" spans="1:6" x14ac:dyDescent="0.25">
      <c r="A33264"/>
      <c r="B33264"/>
      <c r="C33264"/>
      <c r="E33264"/>
      <c r="F33264"/>
    </row>
    <row r="33265" spans="1:6" x14ac:dyDescent="0.25">
      <c r="A33265"/>
      <c r="B33265"/>
      <c r="C33265"/>
      <c r="E33265"/>
      <c r="F33265"/>
    </row>
    <row r="33266" spans="1:6" x14ac:dyDescent="0.25">
      <c r="A33266"/>
      <c r="B33266"/>
      <c r="C33266"/>
      <c r="E33266"/>
      <c r="F33266"/>
    </row>
    <row r="33267" spans="1:6" x14ac:dyDescent="0.25">
      <c r="A33267"/>
      <c r="B33267"/>
      <c r="C33267"/>
      <c r="E33267"/>
      <c r="F33267"/>
    </row>
    <row r="33268" spans="1:6" x14ac:dyDescent="0.25">
      <c r="A33268"/>
      <c r="B33268"/>
      <c r="C33268"/>
      <c r="E33268"/>
      <c r="F33268"/>
    </row>
    <row r="33269" spans="1:6" x14ac:dyDescent="0.25">
      <c r="A33269"/>
      <c r="B33269"/>
      <c r="C33269"/>
      <c r="E33269"/>
      <c r="F33269"/>
    </row>
    <row r="33270" spans="1:6" x14ac:dyDescent="0.25">
      <c r="A33270"/>
      <c r="B33270"/>
      <c r="C33270"/>
      <c r="E33270"/>
      <c r="F33270"/>
    </row>
    <row r="33271" spans="1:6" x14ac:dyDescent="0.25">
      <c r="A33271"/>
      <c r="B33271"/>
      <c r="C33271"/>
      <c r="E33271"/>
      <c r="F33271"/>
    </row>
    <row r="33272" spans="1:6" x14ac:dyDescent="0.25">
      <c r="A33272"/>
      <c r="B33272"/>
      <c r="C33272"/>
      <c r="E33272"/>
      <c r="F33272"/>
    </row>
    <row r="33273" spans="1:6" x14ac:dyDescent="0.25">
      <c r="A33273"/>
      <c r="B33273"/>
      <c r="C33273"/>
      <c r="E33273"/>
      <c r="F33273"/>
    </row>
    <row r="33274" spans="1:6" x14ac:dyDescent="0.25">
      <c r="A33274"/>
      <c r="B33274"/>
      <c r="C33274"/>
      <c r="E33274"/>
      <c r="F33274"/>
    </row>
    <row r="33275" spans="1:6" x14ac:dyDescent="0.25">
      <c r="A33275"/>
      <c r="B33275"/>
      <c r="C33275"/>
      <c r="E33275"/>
      <c r="F33275"/>
    </row>
    <row r="33276" spans="1:6" x14ac:dyDescent="0.25">
      <c r="A33276"/>
      <c r="B33276"/>
      <c r="C33276"/>
      <c r="E33276"/>
      <c r="F33276"/>
    </row>
    <row r="33277" spans="1:6" x14ac:dyDescent="0.25">
      <c r="A33277"/>
      <c r="B33277"/>
      <c r="C33277"/>
      <c r="E33277"/>
      <c r="F33277"/>
    </row>
    <row r="33278" spans="1:6" x14ac:dyDescent="0.25">
      <c r="A33278"/>
      <c r="B33278"/>
      <c r="C33278"/>
      <c r="E33278"/>
      <c r="F33278"/>
    </row>
    <row r="33279" spans="1:6" x14ac:dyDescent="0.25">
      <c r="A33279"/>
      <c r="B33279"/>
      <c r="C33279"/>
      <c r="E33279"/>
      <c r="F33279"/>
    </row>
    <row r="33280" spans="1:6" x14ac:dyDescent="0.25">
      <c r="A33280"/>
      <c r="B33280"/>
      <c r="C33280"/>
      <c r="E33280"/>
      <c r="F33280"/>
    </row>
    <row r="33281" spans="1:6" x14ac:dyDescent="0.25">
      <c r="A33281"/>
      <c r="B33281"/>
      <c r="C33281"/>
      <c r="E33281"/>
      <c r="F33281"/>
    </row>
    <row r="33282" spans="1:6" x14ac:dyDescent="0.25">
      <c r="A33282"/>
      <c r="B33282"/>
      <c r="C33282"/>
      <c r="E33282"/>
      <c r="F33282"/>
    </row>
    <row r="33283" spans="1:6" x14ac:dyDescent="0.25">
      <c r="A33283"/>
      <c r="B33283"/>
      <c r="C33283"/>
      <c r="E33283"/>
      <c r="F33283"/>
    </row>
    <row r="33284" spans="1:6" x14ac:dyDescent="0.25">
      <c r="A33284"/>
      <c r="B33284"/>
      <c r="C33284"/>
      <c r="E33284"/>
      <c r="F33284"/>
    </row>
    <row r="33285" spans="1:6" x14ac:dyDescent="0.25">
      <c r="A33285"/>
      <c r="B33285"/>
      <c r="C33285"/>
      <c r="E33285"/>
      <c r="F33285"/>
    </row>
    <row r="33286" spans="1:6" x14ac:dyDescent="0.25">
      <c r="A33286"/>
      <c r="B33286"/>
      <c r="C33286"/>
      <c r="E33286"/>
      <c r="F33286"/>
    </row>
    <row r="33287" spans="1:6" x14ac:dyDescent="0.25">
      <c r="A33287"/>
      <c r="B33287"/>
      <c r="C33287"/>
      <c r="E33287"/>
      <c r="F33287"/>
    </row>
    <row r="33288" spans="1:6" x14ac:dyDescent="0.25">
      <c r="A33288"/>
      <c r="B33288"/>
      <c r="C33288"/>
      <c r="E33288"/>
      <c r="F33288"/>
    </row>
    <row r="33289" spans="1:6" x14ac:dyDescent="0.25">
      <c r="A33289"/>
      <c r="B33289"/>
      <c r="C33289"/>
      <c r="E33289"/>
      <c r="F33289"/>
    </row>
    <row r="33290" spans="1:6" x14ac:dyDescent="0.25">
      <c r="A33290"/>
      <c r="B33290"/>
      <c r="C33290"/>
      <c r="E33290"/>
      <c r="F33290"/>
    </row>
    <row r="33291" spans="1:6" x14ac:dyDescent="0.25">
      <c r="A33291"/>
      <c r="B33291"/>
      <c r="C33291"/>
      <c r="E33291"/>
      <c r="F33291"/>
    </row>
    <row r="33292" spans="1:6" x14ac:dyDescent="0.25">
      <c r="A33292"/>
      <c r="B33292"/>
      <c r="C33292"/>
      <c r="E33292"/>
      <c r="F33292"/>
    </row>
    <row r="33293" spans="1:6" x14ac:dyDescent="0.25">
      <c r="A33293"/>
      <c r="B33293"/>
      <c r="C33293"/>
      <c r="E33293"/>
      <c r="F33293"/>
    </row>
    <row r="33294" spans="1:6" x14ac:dyDescent="0.25">
      <c r="A33294"/>
      <c r="B33294"/>
      <c r="C33294"/>
      <c r="E33294"/>
      <c r="F33294"/>
    </row>
    <row r="33295" spans="1:6" x14ac:dyDescent="0.25">
      <c r="A33295"/>
      <c r="B33295"/>
      <c r="C33295"/>
      <c r="E33295"/>
      <c r="F33295"/>
    </row>
    <row r="33296" spans="1:6" x14ac:dyDescent="0.25">
      <c r="A33296"/>
      <c r="B33296"/>
      <c r="C33296"/>
      <c r="E33296"/>
      <c r="F33296"/>
    </row>
    <row r="33297" spans="1:6" x14ac:dyDescent="0.25">
      <c r="A33297"/>
      <c r="B33297"/>
      <c r="C33297"/>
      <c r="E33297"/>
      <c r="F33297"/>
    </row>
    <row r="33298" spans="1:6" x14ac:dyDescent="0.25">
      <c r="A33298"/>
      <c r="B33298"/>
      <c r="C33298"/>
      <c r="E33298"/>
      <c r="F33298"/>
    </row>
    <row r="33299" spans="1:6" x14ac:dyDescent="0.25">
      <c r="A33299"/>
      <c r="B33299"/>
      <c r="C33299"/>
      <c r="E33299"/>
      <c r="F33299"/>
    </row>
    <row r="33300" spans="1:6" x14ac:dyDescent="0.25">
      <c r="A33300"/>
      <c r="B33300"/>
      <c r="C33300"/>
      <c r="E33300"/>
      <c r="F33300"/>
    </row>
    <row r="33301" spans="1:6" x14ac:dyDescent="0.25">
      <c r="A33301"/>
      <c r="B33301"/>
      <c r="C33301"/>
      <c r="E33301"/>
      <c r="F33301"/>
    </row>
    <row r="33302" spans="1:6" x14ac:dyDescent="0.25">
      <c r="A33302"/>
      <c r="B33302"/>
      <c r="C33302"/>
      <c r="E33302"/>
      <c r="F33302"/>
    </row>
    <row r="33303" spans="1:6" x14ac:dyDescent="0.25">
      <c r="A33303"/>
      <c r="B33303"/>
      <c r="C33303"/>
      <c r="E33303"/>
      <c r="F33303"/>
    </row>
    <row r="33304" spans="1:6" x14ac:dyDescent="0.25">
      <c r="A33304"/>
      <c r="B33304"/>
      <c r="C33304"/>
      <c r="E33304"/>
      <c r="F33304"/>
    </row>
    <row r="33305" spans="1:6" x14ac:dyDescent="0.25">
      <c r="A33305"/>
      <c r="B33305"/>
      <c r="C33305"/>
      <c r="E33305"/>
      <c r="F33305"/>
    </row>
    <row r="33306" spans="1:6" x14ac:dyDescent="0.25">
      <c r="A33306"/>
      <c r="B33306"/>
      <c r="C33306"/>
      <c r="E33306"/>
      <c r="F33306"/>
    </row>
    <row r="33307" spans="1:6" x14ac:dyDescent="0.25">
      <c r="A33307"/>
      <c r="B33307"/>
      <c r="C33307"/>
      <c r="E33307"/>
      <c r="F33307"/>
    </row>
    <row r="33308" spans="1:6" x14ac:dyDescent="0.25">
      <c r="A33308"/>
      <c r="B33308"/>
      <c r="C33308"/>
      <c r="E33308"/>
      <c r="F33308"/>
    </row>
    <row r="33309" spans="1:6" x14ac:dyDescent="0.25">
      <c r="A33309"/>
      <c r="B33309"/>
      <c r="C33309"/>
      <c r="E33309"/>
      <c r="F33309"/>
    </row>
    <row r="33310" spans="1:6" x14ac:dyDescent="0.25">
      <c r="A33310"/>
      <c r="B33310"/>
      <c r="C33310"/>
      <c r="E33310"/>
      <c r="F33310"/>
    </row>
    <row r="33311" spans="1:6" x14ac:dyDescent="0.25">
      <c r="A33311"/>
      <c r="B33311"/>
      <c r="C33311"/>
      <c r="E33311"/>
      <c r="F33311"/>
    </row>
    <row r="33312" spans="1:6" x14ac:dyDescent="0.25">
      <c r="A33312"/>
      <c r="B33312"/>
      <c r="C33312"/>
      <c r="E33312"/>
      <c r="F33312"/>
    </row>
    <row r="33313" spans="1:6" x14ac:dyDescent="0.25">
      <c r="A33313"/>
      <c r="B33313"/>
      <c r="C33313"/>
      <c r="E33313"/>
      <c r="F33313"/>
    </row>
    <row r="33314" spans="1:6" x14ac:dyDescent="0.25">
      <c r="A33314"/>
      <c r="B33314"/>
      <c r="C33314"/>
      <c r="E33314"/>
      <c r="F33314"/>
    </row>
    <row r="33315" spans="1:6" x14ac:dyDescent="0.25">
      <c r="A33315"/>
      <c r="B33315"/>
      <c r="C33315"/>
      <c r="E33315"/>
      <c r="F33315"/>
    </row>
    <row r="33316" spans="1:6" x14ac:dyDescent="0.25">
      <c r="A33316"/>
      <c r="B33316"/>
      <c r="C33316"/>
      <c r="E33316"/>
      <c r="F33316"/>
    </row>
    <row r="33317" spans="1:6" x14ac:dyDescent="0.25">
      <c r="A33317"/>
      <c r="B33317"/>
      <c r="C33317"/>
      <c r="E33317"/>
      <c r="F33317"/>
    </row>
    <row r="33318" spans="1:6" x14ac:dyDescent="0.25">
      <c r="A33318"/>
      <c r="B33318"/>
      <c r="C33318"/>
      <c r="E33318"/>
      <c r="F33318"/>
    </row>
    <row r="33319" spans="1:6" x14ac:dyDescent="0.25">
      <c r="A33319"/>
      <c r="B33319"/>
      <c r="C33319"/>
      <c r="E33319"/>
      <c r="F33319"/>
    </row>
    <row r="33320" spans="1:6" x14ac:dyDescent="0.25">
      <c r="A33320"/>
      <c r="B33320"/>
      <c r="C33320"/>
      <c r="E33320"/>
      <c r="F33320"/>
    </row>
    <row r="33321" spans="1:6" x14ac:dyDescent="0.25">
      <c r="A33321"/>
      <c r="B33321"/>
      <c r="C33321"/>
      <c r="E33321"/>
      <c r="F33321"/>
    </row>
    <row r="33322" spans="1:6" x14ac:dyDescent="0.25">
      <c r="A33322"/>
      <c r="B33322"/>
      <c r="C33322"/>
      <c r="E33322"/>
      <c r="F33322"/>
    </row>
    <row r="33323" spans="1:6" x14ac:dyDescent="0.25">
      <c r="A33323"/>
      <c r="B33323"/>
      <c r="C33323"/>
      <c r="E33323"/>
      <c r="F33323"/>
    </row>
    <row r="33324" spans="1:6" x14ac:dyDescent="0.25">
      <c r="A33324"/>
      <c r="B33324"/>
      <c r="C33324"/>
      <c r="E33324"/>
      <c r="F33324"/>
    </row>
    <row r="33325" spans="1:6" x14ac:dyDescent="0.25">
      <c r="A33325"/>
      <c r="B33325"/>
      <c r="C33325"/>
      <c r="E33325"/>
      <c r="F33325"/>
    </row>
    <row r="33326" spans="1:6" x14ac:dyDescent="0.25">
      <c r="A33326"/>
      <c r="B33326"/>
      <c r="C33326"/>
      <c r="E33326"/>
      <c r="F33326"/>
    </row>
    <row r="33327" spans="1:6" x14ac:dyDescent="0.25">
      <c r="A33327"/>
      <c r="B33327"/>
      <c r="C33327"/>
      <c r="E33327"/>
      <c r="F33327"/>
    </row>
    <row r="33328" spans="1:6" x14ac:dyDescent="0.25">
      <c r="A33328"/>
      <c r="B33328"/>
      <c r="C33328"/>
      <c r="E33328"/>
      <c r="F33328"/>
    </row>
    <row r="33329" spans="1:6" x14ac:dyDescent="0.25">
      <c r="A33329"/>
      <c r="B33329"/>
      <c r="C33329"/>
      <c r="E33329"/>
      <c r="F33329"/>
    </row>
    <row r="33330" spans="1:6" x14ac:dyDescent="0.25">
      <c r="A33330"/>
      <c r="B33330"/>
      <c r="C33330"/>
      <c r="E33330"/>
      <c r="F33330"/>
    </row>
    <row r="33331" spans="1:6" x14ac:dyDescent="0.25">
      <c r="A33331"/>
      <c r="B33331"/>
      <c r="C33331"/>
      <c r="E33331"/>
      <c r="F33331"/>
    </row>
    <row r="33332" spans="1:6" x14ac:dyDescent="0.25">
      <c r="A33332"/>
      <c r="B33332"/>
      <c r="C33332"/>
      <c r="E33332"/>
      <c r="F33332"/>
    </row>
    <row r="33333" spans="1:6" x14ac:dyDescent="0.25">
      <c r="A33333"/>
      <c r="B33333"/>
      <c r="C33333"/>
      <c r="E33333"/>
      <c r="F33333"/>
    </row>
    <row r="33334" spans="1:6" x14ac:dyDescent="0.25">
      <c r="A33334"/>
      <c r="B33334"/>
      <c r="C33334"/>
      <c r="E33334"/>
      <c r="F33334"/>
    </row>
    <row r="33335" spans="1:6" x14ac:dyDescent="0.25">
      <c r="A33335"/>
      <c r="B33335"/>
      <c r="C33335"/>
      <c r="E33335"/>
      <c r="F33335"/>
    </row>
    <row r="33336" spans="1:6" x14ac:dyDescent="0.25">
      <c r="A33336"/>
      <c r="B33336"/>
      <c r="C33336"/>
      <c r="E33336"/>
      <c r="F33336"/>
    </row>
    <row r="33337" spans="1:6" x14ac:dyDescent="0.25">
      <c r="A33337"/>
      <c r="B33337"/>
      <c r="C33337"/>
      <c r="E33337"/>
      <c r="F33337"/>
    </row>
    <row r="33338" spans="1:6" x14ac:dyDescent="0.25">
      <c r="A33338"/>
      <c r="B33338"/>
      <c r="C33338"/>
      <c r="E33338"/>
      <c r="F33338"/>
    </row>
    <row r="33339" spans="1:6" x14ac:dyDescent="0.25">
      <c r="A33339"/>
      <c r="B33339"/>
      <c r="C33339"/>
      <c r="E33339"/>
      <c r="F33339"/>
    </row>
    <row r="33340" spans="1:6" x14ac:dyDescent="0.25">
      <c r="A33340"/>
      <c r="B33340"/>
      <c r="C33340"/>
      <c r="E33340"/>
      <c r="F33340"/>
    </row>
    <row r="33341" spans="1:6" x14ac:dyDescent="0.25">
      <c r="A33341"/>
      <c r="B33341"/>
      <c r="C33341"/>
      <c r="E33341"/>
      <c r="F33341"/>
    </row>
    <row r="33342" spans="1:6" x14ac:dyDescent="0.25">
      <c r="A33342"/>
      <c r="B33342"/>
      <c r="C33342"/>
      <c r="E33342"/>
      <c r="F33342"/>
    </row>
    <row r="33343" spans="1:6" x14ac:dyDescent="0.25">
      <c r="A33343"/>
      <c r="B33343"/>
      <c r="C33343"/>
      <c r="E33343"/>
      <c r="F33343"/>
    </row>
    <row r="33344" spans="1:6" x14ac:dyDescent="0.25">
      <c r="A33344"/>
      <c r="B33344"/>
      <c r="C33344"/>
      <c r="E33344"/>
      <c r="F33344"/>
    </row>
    <row r="33345" spans="1:6" x14ac:dyDescent="0.25">
      <c r="A33345"/>
      <c r="B33345"/>
      <c r="C33345"/>
      <c r="E33345"/>
      <c r="F33345"/>
    </row>
    <row r="33346" spans="1:6" x14ac:dyDescent="0.25">
      <c r="A33346"/>
      <c r="B33346"/>
      <c r="C33346"/>
      <c r="E33346"/>
      <c r="F33346"/>
    </row>
    <row r="33347" spans="1:6" x14ac:dyDescent="0.25">
      <c r="A33347"/>
      <c r="B33347"/>
      <c r="C33347"/>
      <c r="E33347"/>
      <c r="F33347"/>
    </row>
    <row r="33348" spans="1:6" x14ac:dyDescent="0.25">
      <c r="A33348"/>
      <c r="B33348"/>
      <c r="C33348"/>
      <c r="E33348"/>
      <c r="F33348"/>
    </row>
    <row r="33349" spans="1:6" x14ac:dyDescent="0.25">
      <c r="A33349"/>
      <c r="B33349"/>
      <c r="C33349"/>
      <c r="E33349"/>
      <c r="F33349"/>
    </row>
    <row r="33350" spans="1:6" x14ac:dyDescent="0.25">
      <c r="A33350"/>
      <c r="B33350"/>
      <c r="C33350"/>
      <c r="E33350"/>
      <c r="F33350"/>
    </row>
    <row r="33351" spans="1:6" x14ac:dyDescent="0.25">
      <c r="A33351"/>
      <c r="B33351"/>
      <c r="C33351"/>
      <c r="E33351"/>
      <c r="F33351"/>
    </row>
    <row r="33352" spans="1:6" x14ac:dyDescent="0.25">
      <c r="A33352"/>
      <c r="B33352"/>
      <c r="C33352"/>
      <c r="E33352"/>
      <c r="F33352"/>
    </row>
    <row r="33353" spans="1:6" x14ac:dyDescent="0.25">
      <c r="A33353"/>
      <c r="B33353"/>
      <c r="C33353"/>
      <c r="E33353"/>
      <c r="F33353"/>
    </row>
    <row r="33354" spans="1:6" x14ac:dyDescent="0.25">
      <c r="A33354"/>
      <c r="B33354"/>
      <c r="C33354"/>
      <c r="E33354"/>
      <c r="F33354"/>
    </row>
    <row r="33355" spans="1:6" x14ac:dyDescent="0.25">
      <c r="A33355"/>
      <c r="B33355"/>
      <c r="C33355"/>
      <c r="E33355"/>
      <c r="F33355"/>
    </row>
    <row r="33356" spans="1:6" x14ac:dyDescent="0.25">
      <c r="A33356"/>
      <c r="B33356"/>
      <c r="C33356"/>
      <c r="E33356"/>
      <c r="F33356"/>
    </row>
    <row r="33357" spans="1:6" x14ac:dyDescent="0.25">
      <c r="A33357"/>
      <c r="B33357"/>
      <c r="C33357"/>
      <c r="E33357"/>
      <c r="F33357"/>
    </row>
    <row r="33358" spans="1:6" x14ac:dyDescent="0.25">
      <c r="A33358"/>
      <c r="B33358"/>
      <c r="C33358"/>
      <c r="E33358"/>
      <c r="F33358"/>
    </row>
    <row r="33359" spans="1:6" x14ac:dyDescent="0.25">
      <c r="A33359"/>
      <c r="B33359"/>
      <c r="C33359"/>
      <c r="E33359"/>
      <c r="F33359"/>
    </row>
    <row r="33360" spans="1:6" x14ac:dyDescent="0.25">
      <c r="A33360"/>
      <c r="B33360"/>
      <c r="C33360"/>
      <c r="E33360"/>
      <c r="F33360"/>
    </row>
    <row r="33361" spans="1:6" x14ac:dyDescent="0.25">
      <c r="A33361"/>
      <c r="B33361"/>
      <c r="C33361"/>
      <c r="E33361"/>
      <c r="F33361"/>
    </row>
    <row r="33362" spans="1:6" x14ac:dyDescent="0.25">
      <c r="A33362"/>
      <c r="B33362"/>
      <c r="C33362"/>
      <c r="E33362"/>
      <c r="F33362"/>
    </row>
    <row r="33363" spans="1:6" x14ac:dyDescent="0.25">
      <c r="A33363"/>
      <c r="B33363"/>
      <c r="C33363"/>
      <c r="E33363"/>
      <c r="F33363"/>
    </row>
    <row r="33364" spans="1:6" x14ac:dyDescent="0.25">
      <c r="A33364"/>
      <c r="B33364"/>
      <c r="C33364"/>
      <c r="E33364"/>
      <c r="F33364"/>
    </row>
    <row r="33365" spans="1:6" x14ac:dyDescent="0.25">
      <c r="A33365"/>
      <c r="B33365"/>
      <c r="C33365"/>
      <c r="E33365"/>
      <c r="F33365"/>
    </row>
    <row r="33366" spans="1:6" x14ac:dyDescent="0.25">
      <c r="A33366"/>
      <c r="B33366"/>
      <c r="C33366"/>
      <c r="E33366"/>
      <c r="F33366"/>
    </row>
    <row r="33367" spans="1:6" x14ac:dyDescent="0.25">
      <c r="A33367"/>
      <c r="B33367"/>
      <c r="C33367"/>
      <c r="E33367"/>
      <c r="F33367"/>
    </row>
    <row r="33368" spans="1:6" x14ac:dyDescent="0.25">
      <c r="A33368"/>
      <c r="B33368"/>
      <c r="C33368"/>
      <c r="E33368"/>
      <c r="F33368"/>
    </row>
    <row r="33369" spans="1:6" x14ac:dyDescent="0.25">
      <c r="A33369"/>
      <c r="B33369"/>
      <c r="C33369"/>
      <c r="E33369"/>
      <c r="F33369"/>
    </row>
    <row r="33370" spans="1:6" x14ac:dyDescent="0.25">
      <c r="A33370"/>
      <c r="B33370"/>
      <c r="C33370"/>
      <c r="E33370"/>
      <c r="F33370"/>
    </row>
    <row r="33371" spans="1:6" x14ac:dyDescent="0.25">
      <c r="A33371"/>
      <c r="B33371"/>
      <c r="C33371"/>
      <c r="E33371"/>
      <c r="F33371"/>
    </row>
    <row r="33372" spans="1:6" x14ac:dyDescent="0.25">
      <c r="A33372"/>
      <c r="B33372"/>
      <c r="C33372"/>
      <c r="E33372"/>
      <c r="F33372"/>
    </row>
    <row r="33373" spans="1:6" x14ac:dyDescent="0.25">
      <c r="A33373"/>
      <c r="B33373"/>
      <c r="C33373"/>
      <c r="E33373"/>
      <c r="F33373"/>
    </row>
    <row r="33374" spans="1:6" x14ac:dyDescent="0.25">
      <c r="A33374"/>
      <c r="B33374"/>
      <c r="C33374"/>
      <c r="E33374"/>
      <c r="F33374"/>
    </row>
    <row r="33375" spans="1:6" x14ac:dyDescent="0.25">
      <c r="A33375"/>
      <c r="B33375"/>
      <c r="C33375"/>
      <c r="E33375"/>
      <c r="F33375"/>
    </row>
    <row r="33376" spans="1:6" x14ac:dyDescent="0.25">
      <c r="A33376"/>
      <c r="B33376"/>
      <c r="C33376"/>
      <c r="E33376"/>
      <c r="F33376"/>
    </row>
    <row r="33377" spans="1:6" x14ac:dyDescent="0.25">
      <c r="A33377"/>
      <c r="B33377"/>
      <c r="C33377"/>
      <c r="E33377"/>
      <c r="F33377"/>
    </row>
    <row r="33378" spans="1:6" x14ac:dyDescent="0.25">
      <c r="A33378"/>
      <c r="B33378"/>
      <c r="C33378"/>
      <c r="E33378"/>
      <c r="F33378"/>
    </row>
    <row r="33379" spans="1:6" x14ac:dyDescent="0.25">
      <c r="A33379"/>
      <c r="B33379"/>
      <c r="C33379"/>
      <c r="E33379"/>
      <c r="F33379"/>
    </row>
    <row r="33380" spans="1:6" x14ac:dyDescent="0.25">
      <c r="A33380"/>
      <c r="B33380"/>
      <c r="C33380"/>
      <c r="E33380"/>
      <c r="F33380"/>
    </row>
    <row r="33381" spans="1:6" x14ac:dyDescent="0.25">
      <c r="A33381"/>
      <c r="B33381"/>
      <c r="C33381"/>
      <c r="E33381"/>
      <c r="F33381"/>
    </row>
    <row r="33382" spans="1:6" x14ac:dyDescent="0.25">
      <c r="A33382"/>
      <c r="B33382"/>
      <c r="C33382"/>
      <c r="E33382"/>
      <c r="F33382"/>
    </row>
    <row r="33383" spans="1:6" x14ac:dyDescent="0.25">
      <c r="A33383"/>
      <c r="B33383"/>
      <c r="C33383"/>
      <c r="E33383"/>
      <c r="F33383"/>
    </row>
    <row r="33384" spans="1:6" x14ac:dyDescent="0.25">
      <c r="A33384"/>
      <c r="B33384"/>
      <c r="C33384"/>
      <c r="E33384"/>
      <c r="F33384"/>
    </row>
    <row r="33385" spans="1:6" x14ac:dyDescent="0.25">
      <c r="A33385"/>
      <c r="B33385"/>
      <c r="C33385"/>
      <c r="E33385"/>
      <c r="F33385"/>
    </row>
    <row r="33386" spans="1:6" x14ac:dyDescent="0.25">
      <c r="A33386"/>
      <c r="B33386"/>
      <c r="C33386"/>
      <c r="E33386"/>
      <c r="F33386"/>
    </row>
    <row r="33387" spans="1:6" x14ac:dyDescent="0.25">
      <c r="A33387"/>
      <c r="B33387"/>
      <c r="C33387"/>
      <c r="E33387"/>
      <c r="F33387"/>
    </row>
    <row r="33388" spans="1:6" x14ac:dyDescent="0.25">
      <c r="A33388"/>
      <c r="B33388"/>
      <c r="C33388"/>
      <c r="E33388"/>
      <c r="F33388"/>
    </row>
    <row r="33389" spans="1:6" x14ac:dyDescent="0.25">
      <c r="A33389"/>
      <c r="B33389"/>
      <c r="C33389"/>
      <c r="E33389"/>
      <c r="F33389"/>
    </row>
    <row r="33390" spans="1:6" x14ac:dyDescent="0.25">
      <c r="A33390"/>
      <c r="B33390"/>
      <c r="C33390"/>
      <c r="E33390"/>
      <c r="F33390"/>
    </row>
    <row r="33391" spans="1:6" x14ac:dyDescent="0.25">
      <c r="A33391"/>
      <c r="B33391"/>
      <c r="C33391"/>
      <c r="E33391"/>
      <c r="F33391"/>
    </row>
    <row r="33392" spans="1:6" x14ac:dyDescent="0.25">
      <c r="A33392"/>
      <c r="B33392"/>
      <c r="C33392"/>
      <c r="E33392"/>
      <c r="F33392"/>
    </row>
    <row r="33393" spans="1:6" x14ac:dyDescent="0.25">
      <c r="A33393"/>
      <c r="B33393"/>
      <c r="C33393"/>
      <c r="E33393"/>
      <c r="F33393"/>
    </row>
    <row r="33394" spans="1:6" x14ac:dyDescent="0.25">
      <c r="A33394"/>
      <c r="B33394"/>
      <c r="C33394"/>
      <c r="E33394"/>
      <c r="F33394"/>
    </row>
    <row r="33395" spans="1:6" x14ac:dyDescent="0.25">
      <c r="A33395"/>
      <c r="B33395"/>
      <c r="C33395"/>
      <c r="E33395"/>
      <c r="F33395"/>
    </row>
    <row r="33396" spans="1:6" x14ac:dyDescent="0.25">
      <c r="A33396"/>
      <c r="B33396"/>
      <c r="C33396"/>
      <c r="E33396"/>
      <c r="F33396"/>
    </row>
    <row r="33397" spans="1:6" x14ac:dyDescent="0.25">
      <c r="A33397"/>
      <c r="B33397"/>
      <c r="C33397"/>
      <c r="E33397"/>
      <c r="F33397"/>
    </row>
    <row r="33398" spans="1:6" x14ac:dyDescent="0.25">
      <c r="A33398"/>
      <c r="B33398"/>
      <c r="C33398"/>
      <c r="E33398"/>
      <c r="F33398"/>
    </row>
    <row r="33399" spans="1:6" x14ac:dyDescent="0.25">
      <c r="A33399"/>
      <c r="B33399"/>
      <c r="C33399"/>
      <c r="E33399"/>
      <c r="F33399"/>
    </row>
    <row r="33400" spans="1:6" x14ac:dyDescent="0.25">
      <c r="A33400"/>
      <c r="B33400"/>
      <c r="C33400"/>
      <c r="E33400"/>
      <c r="F33400"/>
    </row>
    <row r="33401" spans="1:6" x14ac:dyDescent="0.25">
      <c r="A33401"/>
      <c r="B33401"/>
      <c r="C33401"/>
      <c r="E33401"/>
      <c r="F33401"/>
    </row>
    <row r="33402" spans="1:6" x14ac:dyDescent="0.25">
      <c r="A33402"/>
      <c r="B33402"/>
      <c r="C33402"/>
      <c r="E33402"/>
      <c r="F33402"/>
    </row>
    <row r="33403" spans="1:6" x14ac:dyDescent="0.25">
      <c r="A33403"/>
      <c r="B33403"/>
      <c r="C33403"/>
      <c r="E33403"/>
      <c r="F33403"/>
    </row>
    <row r="33404" spans="1:6" x14ac:dyDescent="0.25">
      <c r="A33404"/>
      <c r="B33404"/>
      <c r="C33404"/>
      <c r="E33404"/>
      <c r="F33404"/>
    </row>
    <row r="33405" spans="1:6" x14ac:dyDescent="0.25">
      <c r="A33405"/>
      <c r="B33405"/>
      <c r="C33405"/>
      <c r="E33405"/>
      <c r="F33405"/>
    </row>
    <row r="33406" spans="1:6" x14ac:dyDescent="0.25">
      <c r="A33406"/>
      <c r="B33406"/>
      <c r="C33406"/>
      <c r="E33406"/>
      <c r="F33406"/>
    </row>
    <row r="33407" spans="1:6" x14ac:dyDescent="0.25">
      <c r="A33407"/>
      <c r="B33407"/>
      <c r="C33407"/>
      <c r="E33407"/>
      <c r="F33407"/>
    </row>
    <row r="33408" spans="1:6" x14ac:dyDescent="0.25">
      <c r="A33408"/>
      <c r="B33408"/>
      <c r="C33408"/>
      <c r="E33408"/>
      <c r="F33408"/>
    </row>
    <row r="33409" spans="1:6" x14ac:dyDescent="0.25">
      <c r="A33409"/>
      <c r="B33409"/>
      <c r="C33409"/>
      <c r="E33409"/>
      <c r="F33409"/>
    </row>
    <row r="33410" spans="1:6" x14ac:dyDescent="0.25">
      <c r="A33410"/>
      <c r="B33410"/>
      <c r="C33410"/>
      <c r="E33410"/>
      <c r="F33410"/>
    </row>
    <row r="33411" spans="1:6" x14ac:dyDescent="0.25">
      <c r="A33411"/>
      <c r="B33411"/>
      <c r="C33411"/>
      <c r="E33411"/>
      <c r="F33411"/>
    </row>
    <row r="33412" spans="1:6" x14ac:dyDescent="0.25">
      <c r="A33412"/>
      <c r="B33412"/>
      <c r="C33412"/>
      <c r="E33412"/>
      <c r="F33412"/>
    </row>
    <row r="33413" spans="1:6" x14ac:dyDescent="0.25">
      <c r="A33413"/>
      <c r="B33413"/>
      <c r="C33413"/>
      <c r="E33413"/>
      <c r="F33413"/>
    </row>
    <row r="33414" spans="1:6" x14ac:dyDescent="0.25">
      <c r="A33414"/>
      <c r="B33414"/>
      <c r="C33414"/>
      <c r="E33414"/>
      <c r="F33414"/>
    </row>
    <row r="33415" spans="1:6" x14ac:dyDescent="0.25">
      <c r="A33415"/>
      <c r="B33415"/>
      <c r="C33415"/>
      <c r="E33415"/>
      <c r="F33415"/>
    </row>
    <row r="33416" spans="1:6" x14ac:dyDescent="0.25">
      <c r="A33416"/>
      <c r="B33416"/>
      <c r="C33416"/>
      <c r="E33416"/>
      <c r="F33416"/>
    </row>
    <row r="33417" spans="1:6" x14ac:dyDescent="0.25">
      <c r="A33417"/>
      <c r="B33417"/>
      <c r="C33417"/>
      <c r="E33417"/>
      <c r="F33417"/>
    </row>
    <row r="33418" spans="1:6" x14ac:dyDescent="0.25">
      <c r="A33418"/>
      <c r="B33418"/>
      <c r="C33418"/>
      <c r="E33418"/>
      <c r="F33418"/>
    </row>
    <row r="33419" spans="1:6" x14ac:dyDescent="0.25">
      <c r="A33419"/>
      <c r="B33419"/>
      <c r="C33419"/>
      <c r="E33419"/>
      <c r="F33419"/>
    </row>
    <row r="33420" spans="1:6" x14ac:dyDescent="0.25">
      <c r="A33420"/>
      <c r="B33420"/>
      <c r="C33420"/>
      <c r="E33420"/>
      <c r="F33420"/>
    </row>
    <row r="33421" spans="1:6" x14ac:dyDescent="0.25">
      <c r="A33421"/>
      <c r="B33421"/>
      <c r="C33421"/>
      <c r="E33421"/>
      <c r="F33421"/>
    </row>
    <row r="33422" spans="1:6" x14ac:dyDescent="0.25">
      <c r="A33422"/>
      <c r="B33422"/>
      <c r="C33422"/>
      <c r="E33422"/>
      <c r="F33422"/>
    </row>
    <row r="33423" spans="1:6" x14ac:dyDescent="0.25">
      <c r="A33423"/>
      <c r="B33423"/>
      <c r="C33423"/>
      <c r="E33423"/>
      <c r="F33423"/>
    </row>
    <row r="33424" spans="1:6" x14ac:dyDescent="0.25">
      <c r="A33424"/>
      <c r="B33424"/>
      <c r="C33424"/>
      <c r="E33424"/>
      <c r="F33424"/>
    </row>
    <row r="33425" spans="1:6" x14ac:dyDescent="0.25">
      <c r="A33425"/>
      <c r="B33425"/>
      <c r="C33425"/>
      <c r="E33425"/>
      <c r="F33425"/>
    </row>
    <row r="33426" spans="1:6" x14ac:dyDescent="0.25">
      <c r="A33426"/>
      <c r="B33426"/>
      <c r="C33426"/>
      <c r="E33426"/>
      <c r="F33426"/>
    </row>
    <row r="33427" spans="1:6" x14ac:dyDescent="0.25">
      <c r="A33427"/>
      <c r="B33427"/>
      <c r="C33427"/>
      <c r="E33427"/>
      <c r="F33427"/>
    </row>
    <row r="33428" spans="1:6" x14ac:dyDescent="0.25">
      <c r="A33428"/>
      <c r="B33428"/>
      <c r="C33428"/>
      <c r="E33428"/>
      <c r="F33428"/>
    </row>
    <row r="33429" spans="1:6" x14ac:dyDescent="0.25">
      <c r="A33429"/>
      <c r="B33429"/>
      <c r="C33429"/>
      <c r="E33429"/>
      <c r="F33429"/>
    </row>
    <row r="33430" spans="1:6" x14ac:dyDescent="0.25">
      <c r="A33430"/>
      <c r="B33430"/>
      <c r="C33430"/>
      <c r="E33430"/>
      <c r="F33430"/>
    </row>
    <row r="33431" spans="1:6" x14ac:dyDescent="0.25">
      <c r="A33431"/>
      <c r="B33431"/>
      <c r="C33431"/>
      <c r="E33431"/>
      <c r="F33431"/>
    </row>
    <row r="33432" spans="1:6" x14ac:dyDescent="0.25">
      <c r="A33432"/>
      <c r="B33432"/>
      <c r="C33432"/>
      <c r="E33432"/>
      <c r="F33432"/>
    </row>
    <row r="33433" spans="1:6" x14ac:dyDescent="0.25">
      <c r="A33433"/>
      <c r="B33433"/>
      <c r="C33433"/>
      <c r="E33433"/>
      <c r="F33433"/>
    </row>
    <row r="33434" spans="1:6" x14ac:dyDescent="0.25">
      <c r="A33434"/>
      <c r="B33434"/>
      <c r="C33434"/>
      <c r="E33434"/>
      <c r="F33434"/>
    </row>
    <row r="33435" spans="1:6" x14ac:dyDescent="0.25">
      <c r="A33435"/>
      <c r="B33435"/>
      <c r="C33435"/>
      <c r="E33435"/>
      <c r="F33435"/>
    </row>
    <row r="33436" spans="1:6" x14ac:dyDescent="0.25">
      <c r="A33436"/>
      <c r="B33436"/>
      <c r="C33436"/>
      <c r="E33436"/>
      <c r="F33436"/>
    </row>
    <row r="33437" spans="1:6" x14ac:dyDescent="0.25">
      <c r="A33437"/>
      <c r="B33437"/>
      <c r="C33437"/>
      <c r="E33437"/>
      <c r="F33437"/>
    </row>
    <row r="33438" spans="1:6" x14ac:dyDescent="0.25">
      <c r="A33438"/>
      <c r="B33438"/>
      <c r="C33438"/>
      <c r="E33438"/>
      <c r="F33438"/>
    </row>
    <row r="33439" spans="1:6" x14ac:dyDescent="0.25">
      <c r="A33439"/>
      <c r="B33439"/>
      <c r="C33439"/>
      <c r="E33439"/>
      <c r="F33439"/>
    </row>
    <row r="33440" spans="1:6" x14ac:dyDescent="0.25">
      <c r="A33440"/>
      <c r="B33440"/>
      <c r="C33440"/>
      <c r="E33440"/>
      <c r="F33440"/>
    </row>
    <row r="33441" spans="1:6" x14ac:dyDescent="0.25">
      <c r="A33441"/>
      <c r="B33441"/>
      <c r="C33441"/>
      <c r="E33441"/>
      <c r="F33441"/>
    </row>
    <row r="33442" spans="1:6" x14ac:dyDescent="0.25">
      <c r="A33442"/>
      <c r="B33442"/>
      <c r="C33442"/>
      <c r="E33442"/>
      <c r="F33442"/>
    </row>
    <row r="33443" spans="1:6" x14ac:dyDescent="0.25">
      <c r="A33443"/>
      <c r="B33443"/>
      <c r="C33443"/>
      <c r="E33443"/>
      <c r="F33443"/>
    </row>
    <row r="33444" spans="1:6" x14ac:dyDescent="0.25">
      <c r="A33444"/>
      <c r="B33444"/>
      <c r="C33444"/>
      <c r="E33444"/>
      <c r="F33444"/>
    </row>
    <row r="33445" spans="1:6" x14ac:dyDescent="0.25">
      <c r="A33445"/>
      <c r="B33445"/>
      <c r="C33445"/>
      <c r="E33445"/>
      <c r="F33445"/>
    </row>
    <row r="33446" spans="1:6" x14ac:dyDescent="0.25">
      <c r="A33446"/>
      <c r="B33446"/>
      <c r="C33446"/>
      <c r="E33446"/>
      <c r="F33446"/>
    </row>
    <row r="33447" spans="1:6" x14ac:dyDescent="0.25">
      <c r="A33447"/>
      <c r="B33447"/>
      <c r="C33447"/>
      <c r="E33447"/>
      <c r="F33447"/>
    </row>
    <row r="33448" spans="1:6" x14ac:dyDescent="0.25">
      <c r="A33448"/>
      <c r="B33448"/>
      <c r="C33448"/>
      <c r="E33448"/>
      <c r="F33448"/>
    </row>
    <row r="33449" spans="1:6" x14ac:dyDescent="0.25">
      <c r="A33449"/>
      <c r="B33449"/>
      <c r="C33449"/>
      <c r="E33449"/>
      <c r="F33449"/>
    </row>
    <row r="33450" spans="1:6" x14ac:dyDescent="0.25">
      <c r="A33450"/>
      <c r="B33450"/>
      <c r="C33450"/>
      <c r="E33450"/>
      <c r="F33450"/>
    </row>
    <row r="33451" spans="1:6" x14ac:dyDescent="0.25">
      <c r="A33451"/>
      <c r="B33451"/>
      <c r="C33451"/>
      <c r="E33451"/>
      <c r="F33451"/>
    </row>
    <row r="33452" spans="1:6" x14ac:dyDescent="0.25">
      <c r="A33452"/>
      <c r="B33452"/>
      <c r="C33452"/>
      <c r="E33452"/>
      <c r="F33452"/>
    </row>
    <row r="33453" spans="1:6" x14ac:dyDescent="0.25">
      <c r="A33453"/>
      <c r="B33453"/>
      <c r="C33453"/>
      <c r="E33453"/>
      <c r="F33453"/>
    </row>
    <row r="33454" spans="1:6" x14ac:dyDescent="0.25">
      <c r="A33454"/>
      <c r="B33454"/>
      <c r="C33454"/>
      <c r="E33454"/>
      <c r="F33454"/>
    </row>
    <row r="33455" spans="1:6" x14ac:dyDescent="0.25">
      <c r="A33455"/>
      <c r="B33455"/>
      <c r="C33455"/>
      <c r="E33455"/>
      <c r="F33455"/>
    </row>
    <row r="33456" spans="1:6" x14ac:dyDescent="0.25">
      <c r="A33456"/>
      <c r="B33456"/>
      <c r="C33456"/>
      <c r="E33456"/>
      <c r="F33456"/>
    </row>
    <row r="33457" spans="1:6" x14ac:dyDescent="0.25">
      <c r="A33457"/>
      <c r="B33457"/>
      <c r="C33457"/>
      <c r="E33457"/>
      <c r="F33457"/>
    </row>
    <row r="33458" spans="1:6" x14ac:dyDescent="0.25">
      <c r="A33458"/>
      <c r="B33458"/>
      <c r="C33458"/>
      <c r="E33458"/>
      <c r="F33458"/>
    </row>
    <row r="33459" spans="1:6" x14ac:dyDescent="0.25">
      <c r="A33459"/>
      <c r="B33459"/>
      <c r="C33459"/>
      <c r="E33459"/>
      <c r="F33459"/>
    </row>
    <row r="33460" spans="1:6" x14ac:dyDescent="0.25">
      <c r="A33460"/>
      <c r="B33460"/>
      <c r="C33460"/>
      <c r="E33460"/>
      <c r="F33460"/>
    </row>
    <row r="33461" spans="1:6" x14ac:dyDescent="0.25">
      <c r="A33461"/>
      <c r="B33461"/>
      <c r="C33461"/>
      <c r="E33461"/>
      <c r="F33461"/>
    </row>
    <row r="33462" spans="1:6" x14ac:dyDescent="0.25">
      <c r="A33462"/>
      <c r="B33462"/>
      <c r="C33462"/>
      <c r="E33462"/>
      <c r="F33462"/>
    </row>
    <row r="33463" spans="1:6" x14ac:dyDescent="0.25">
      <c r="A33463"/>
      <c r="B33463"/>
      <c r="C33463"/>
      <c r="E33463"/>
      <c r="F33463"/>
    </row>
    <row r="33464" spans="1:6" x14ac:dyDescent="0.25">
      <c r="A33464"/>
      <c r="B33464"/>
      <c r="C33464"/>
      <c r="E33464"/>
      <c r="F33464"/>
    </row>
    <row r="33465" spans="1:6" x14ac:dyDescent="0.25">
      <c r="A33465"/>
      <c r="B33465"/>
      <c r="C33465"/>
      <c r="E33465"/>
      <c r="F33465"/>
    </row>
    <row r="33466" spans="1:6" x14ac:dyDescent="0.25">
      <c r="A33466"/>
      <c r="B33466"/>
      <c r="C33466"/>
      <c r="E33466"/>
      <c r="F33466"/>
    </row>
    <row r="33467" spans="1:6" x14ac:dyDescent="0.25">
      <c r="A33467"/>
      <c r="B33467"/>
      <c r="C33467"/>
      <c r="E33467"/>
      <c r="F33467"/>
    </row>
    <row r="33468" spans="1:6" x14ac:dyDescent="0.25">
      <c r="A33468"/>
      <c r="B33468"/>
      <c r="C33468"/>
      <c r="E33468"/>
      <c r="F33468"/>
    </row>
    <row r="33469" spans="1:6" x14ac:dyDescent="0.25">
      <c r="A33469"/>
      <c r="B33469"/>
      <c r="C33469"/>
      <c r="E33469"/>
      <c r="F33469"/>
    </row>
    <row r="33470" spans="1:6" x14ac:dyDescent="0.25">
      <c r="A33470"/>
      <c r="B33470"/>
      <c r="C33470"/>
      <c r="E33470"/>
      <c r="F33470"/>
    </row>
    <row r="33471" spans="1:6" x14ac:dyDescent="0.25">
      <c r="A33471"/>
      <c r="B33471"/>
      <c r="C33471"/>
      <c r="E33471"/>
      <c r="F33471"/>
    </row>
    <row r="33472" spans="1:6" x14ac:dyDescent="0.25">
      <c r="A33472"/>
      <c r="B33472"/>
      <c r="C33472"/>
      <c r="E33472"/>
      <c r="F33472"/>
    </row>
    <row r="33473" spans="1:6" x14ac:dyDescent="0.25">
      <c r="A33473"/>
      <c r="B33473"/>
      <c r="C33473"/>
      <c r="E33473"/>
      <c r="F33473"/>
    </row>
    <row r="33474" spans="1:6" x14ac:dyDescent="0.25">
      <c r="A33474"/>
      <c r="B33474"/>
      <c r="C33474"/>
      <c r="E33474"/>
      <c r="F33474"/>
    </row>
    <row r="33475" spans="1:6" x14ac:dyDescent="0.25">
      <c r="A33475"/>
      <c r="B33475"/>
      <c r="C33475"/>
      <c r="E33475"/>
      <c r="F33475"/>
    </row>
    <row r="33476" spans="1:6" x14ac:dyDescent="0.25">
      <c r="A33476"/>
      <c r="B33476"/>
      <c r="C33476"/>
      <c r="E33476"/>
      <c r="F33476"/>
    </row>
    <row r="33477" spans="1:6" x14ac:dyDescent="0.25">
      <c r="A33477"/>
      <c r="B33477"/>
      <c r="C33477"/>
      <c r="E33477"/>
      <c r="F33477"/>
    </row>
    <row r="33478" spans="1:6" x14ac:dyDescent="0.25">
      <c r="A33478"/>
      <c r="B33478"/>
      <c r="C33478"/>
      <c r="E33478"/>
      <c r="F33478"/>
    </row>
    <row r="33479" spans="1:6" x14ac:dyDescent="0.25">
      <c r="A33479"/>
      <c r="B33479"/>
      <c r="C33479"/>
      <c r="E33479"/>
      <c r="F33479"/>
    </row>
    <row r="33480" spans="1:6" x14ac:dyDescent="0.25">
      <c r="A33480"/>
      <c r="B33480"/>
      <c r="C33480"/>
      <c r="E33480"/>
      <c r="F33480"/>
    </row>
    <row r="33481" spans="1:6" x14ac:dyDescent="0.25">
      <c r="A33481"/>
      <c r="B33481"/>
      <c r="C33481"/>
      <c r="E33481"/>
      <c r="F33481"/>
    </row>
    <row r="33482" spans="1:6" x14ac:dyDescent="0.25">
      <c r="A33482"/>
      <c r="B33482"/>
      <c r="C33482"/>
      <c r="E33482"/>
      <c r="F33482"/>
    </row>
    <row r="33483" spans="1:6" x14ac:dyDescent="0.25">
      <c r="A33483"/>
      <c r="B33483"/>
      <c r="C33483"/>
      <c r="E33483"/>
      <c r="F33483"/>
    </row>
    <row r="33484" spans="1:6" x14ac:dyDescent="0.25">
      <c r="A33484"/>
      <c r="B33484"/>
      <c r="C33484"/>
      <c r="E33484"/>
      <c r="F33484"/>
    </row>
    <row r="33485" spans="1:6" x14ac:dyDescent="0.25">
      <c r="A33485"/>
      <c r="B33485"/>
      <c r="C33485"/>
      <c r="E33485"/>
      <c r="F33485"/>
    </row>
    <row r="33486" spans="1:6" x14ac:dyDescent="0.25">
      <c r="A33486"/>
      <c r="B33486"/>
      <c r="C33486"/>
      <c r="E33486"/>
      <c r="F33486"/>
    </row>
    <row r="33487" spans="1:6" x14ac:dyDescent="0.25">
      <c r="A33487"/>
      <c r="B33487"/>
      <c r="C33487"/>
      <c r="E33487"/>
      <c r="F33487"/>
    </row>
    <row r="33488" spans="1:6" x14ac:dyDescent="0.25">
      <c r="A33488"/>
      <c r="B33488"/>
      <c r="C33488"/>
      <c r="E33488"/>
      <c r="F33488"/>
    </row>
    <row r="33489" spans="1:6" x14ac:dyDescent="0.25">
      <c r="A33489"/>
      <c r="B33489"/>
      <c r="C33489"/>
      <c r="E33489"/>
      <c r="F33489"/>
    </row>
    <row r="33490" spans="1:6" x14ac:dyDescent="0.25">
      <c r="A33490"/>
      <c r="B33490"/>
      <c r="C33490"/>
      <c r="E33490"/>
      <c r="F33490"/>
    </row>
    <row r="33491" spans="1:6" x14ac:dyDescent="0.25">
      <c r="A33491"/>
      <c r="B33491"/>
      <c r="C33491"/>
      <c r="E33491"/>
      <c r="F33491"/>
    </row>
    <row r="33492" spans="1:6" x14ac:dyDescent="0.25">
      <c r="A33492"/>
      <c r="B33492"/>
      <c r="C33492"/>
      <c r="E33492"/>
      <c r="F33492"/>
    </row>
    <row r="33493" spans="1:6" x14ac:dyDescent="0.25">
      <c r="A33493"/>
      <c r="B33493"/>
      <c r="C33493"/>
      <c r="E33493"/>
      <c r="F33493"/>
    </row>
    <row r="33494" spans="1:6" x14ac:dyDescent="0.25">
      <c r="A33494"/>
      <c r="B33494"/>
      <c r="C33494"/>
      <c r="E33494"/>
      <c r="F33494"/>
    </row>
    <row r="33495" spans="1:6" x14ac:dyDescent="0.25">
      <c r="A33495"/>
      <c r="B33495"/>
      <c r="C33495"/>
      <c r="E33495"/>
      <c r="F33495"/>
    </row>
    <row r="33496" spans="1:6" x14ac:dyDescent="0.25">
      <c r="A33496"/>
      <c r="B33496"/>
      <c r="C33496"/>
      <c r="E33496"/>
      <c r="F33496"/>
    </row>
    <row r="33497" spans="1:6" x14ac:dyDescent="0.25">
      <c r="A33497"/>
      <c r="B33497"/>
      <c r="C33497"/>
      <c r="E33497"/>
      <c r="F33497"/>
    </row>
    <row r="33498" spans="1:6" x14ac:dyDescent="0.25">
      <c r="A33498"/>
      <c r="B33498"/>
      <c r="C33498"/>
      <c r="E33498"/>
      <c r="F33498"/>
    </row>
    <row r="33499" spans="1:6" x14ac:dyDescent="0.25">
      <c r="A33499"/>
      <c r="B33499"/>
      <c r="C33499"/>
      <c r="E33499"/>
      <c r="F33499"/>
    </row>
    <row r="33500" spans="1:6" x14ac:dyDescent="0.25">
      <c r="A33500"/>
      <c r="B33500"/>
      <c r="C33500"/>
      <c r="E33500"/>
      <c r="F33500"/>
    </row>
    <row r="33501" spans="1:6" x14ac:dyDescent="0.25">
      <c r="A33501"/>
      <c r="B33501"/>
      <c r="C33501"/>
      <c r="E33501"/>
      <c r="F33501"/>
    </row>
    <row r="33502" spans="1:6" x14ac:dyDescent="0.25">
      <c r="A33502"/>
      <c r="B33502"/>
      <c r="C33502"/>
      <c r="E33502"/>
      <c r="F33502"/>
    </row>
    <row r="33503" spans="1:6" x14ac:dyDescent="0.25">
      <c r="A33503"/>
      <c r="B33503"/>
      <c r="C33503"/>
      <c r="E33503"/>
      <c r="F33503"/>
    </row>
    <row r="33504" spans="1:6" x14ac:dyDescent="0.25">
      <c r="A33504"/>
      <c r="B33504"/>
      <c r="C33504"/>
      <c r="E33504"/>
      <c r="F33504"/>
    </row>
    <row r="33505" spans="1:6" x14ac:dyDescent="0.25">
      <c r="A33505"/>
      <c r="B33505"/>
      <c r="C33505"/>
      <c r="E33505"/>
      <c r="F33505"/>
    </row>
    <row r="33506" spans="1:6" x14ac:dyDescent="0.25">
      <c r="A33506"/>
      <c r="B33506"/>
      <c r="C33506"/>
      <c r="E33506"/>
      <c r="F33506"/>
    </row>
    <row r="33507" spans="1:6" x14ac:dyDescent="0.25">
      <c r="A33507"/>
      <c r="B33507"/>
      <c r="C33507"/>
      <c r="E33507"/>
      <c r="F33507"/>
    </row>
    <row r="33508" spans="1:6" x14ac:dyDescent="0.25">
      <c r="A33508"/>
      <c r="B33508"/>
      <c r="C33508"/>
      <c r="E33508"/>
      <c r="F33508"/>
    </row>
    <row r="33509" spans="1:6" x14ac:dyDescent="0.25">
      <c r="A33509"/>
      <c r="B33509"/>
      <c r="C33509"/>
      <c r="E33509"/>
      <c r="F33509"/>
    </row>
    <row r="33510" spans="1:6" x14ac:dyDescent="0.25">
      <c r="A33510"/>
      <c r="B33510"/>
      <c r="C33510"/>
      <c r="E33510"/>
      <c r="F33510"/>
    </row>
    <row r="33511" spans="1:6" x14ac:dyDescent="0.25">
      <c r="A33511"/>
      <c r="B33511"/>
      <c r="C33511"/>
      <c r="E33511"/>
      <c r="F33511"/>
    </row>
    <row r="33512" spans="1:6" x14ac:dyDescent="0.25">
      <c r="A33512"/>
      <c r="B33512"/>
      <c r="C33512"/>
      <c r="E33512"/>
      <c r="F33512"/>
    </row>
    <row r="33513" spans="1:6" x14ac:dyDescent="0.25">
      <c r="A33513"/>
      <c r="B33513"/>
      <c r="C33513"/>
      <c r="E33513"/>
      <c r="F33513"/>
    </row>
    <row r="33514" spans="1:6" x14ac:dyDescent="0.25">
      <c r="A33514"/>
      <c r="B33514"/>
      <c r="C33514"/>
      <c r="E33514"/>
      <c r="F33514"/>
    </row>
    <row r="33515" spans="1:6" x14ac:dyDescent="0.25">
      <c r="A33515"/>
      <c r="B33515"/>
      <c r="C33515"/>
      <c r="E33515"/>
      <c r="F33515"/>
    </row>
    <row r="33516" spans="1:6" x14ac:dyDescent="0.25">
      <c r="A33516"/>
      <c r="B33516"/>
      <c r="C33516"/>
      <c r="E33516"/>
      <c r="F33516"/>
    </row>
    <row r="33517" spans="1:6" x14ac:dyDescent="0.25">
      <c r="A33517"/>
      <c r="B33517"/>
      <c r="C33517"/>
      <c r="E33517"/>
      <c r="F33517"/>
    </row>
    <row r="33518" spans="1:6" x14ac:dyDescent="0.25">
      <c r="A33518"/>
      <c r="B33518"/>
      <c r="C33518"/>
      <c r="E33518"/>
      <c r="F33518"/>
    </row>
    <row r="33519" spans="1:6" x14ac:dyDescent="0.25">
      <c r="A33519"/>
      <c r="B33519"/>
      <c r="C33519"/>
      <c r="E33519"/>
      <c r="F33519"/>
    </row>
    <row r="33520" spans="1:6" x14ac:dyDescent="0.25">
      <c r="A33520"/>
      <c r="B33520"/>
      <c r="C33520"/>
      <c r="E33520"/>
      <c r="F33520"/>
    </row>
    <row r="33521" spans="1:6" x14ac:dyDescent="0.25">
      <c r="A33521"/>
      <c r="B33521"/>
      <c r="C33521"/>
      <c r="E33521"/>
      <c r="F33521"/>
    </row>
    <row r="33522" spans="1:6" x14ac:dyDescent="0.25">
      <c r="A33522"/>
      <c r="B33522"/>
      <c r="C33522"/>
      <c r="E33522"/>
      <c r="F33522"/>
    </row>
    <row r="33523" spans="1:6" x14ac:dyDescent="0.25">
      <c r="A33523"/>
      <c r="B33523"/>
      <c r="C33523"/>
      <c r="E33523"/>
      <c r="F33523"/>
    </row>
    <row r="33524" spans="1:6" x14ac:dyDescent="0.25">
      <c r="A33524"/>
      <c r="B33524"/>
      <c r="C33524"/>
      <c r="E33524"/>
      <c r="F33524"/>
    </row>
    <row r="33525" spans="1:6" x14ac:dyDescent="0.25">
      <c r="A33525"/>
      <c r="B33525"/>
      <c r="C33525"/>
      <c r="E33525"/>
      <c r="F33525"/>
    </row>
    <row r="33526" spans="1:6" x14ac:dyDescent="0.25">
      <c r="A33526"/>
      <c r="B33526"/>
      <c r="C33526"/>
      <c r="E33526"/>
      <c r="F33526"/>
    </row>
    <row r="33527" spans="1:6" x14ac:dyDescent="0.25">
      <c r="A33527"/>
      <c r="B33527"/>
      <c r="C33527"/>
      <c r="E33527"/>
      <c r="F33527"/>
    </row>
    <row r="33528" spans="1:6" x14ac:dyDescent="0.25">
      <c r="A33528"/>
      <c r="B33528"/>
      <c r="C33528"/>
      <c r="E33528"/>
      <c r="F33528"/>
    </row>
    <row r="33529" spans="1:6" x14ac:dyDescent="0.25">
      <c r="A33529"/>
      <c r="B33529"/>
      <c r="C33529"/>
      <c r="E33529"/>
      <c r="F33529"/>
    </row>
    <row r="33530" spans="1:6" x14ac:dyDescent="0.25">
      <c r="A33530"/>
      <c r="B33530"/>
      <c r="C33530"/>
      <c r="E33530"/>
      <c r="F33530"/>
    </row>
    <row r="33531" spans="1:6" x14ac:dyDescent="0.25">
      <c r="A33531"/>
      <c r="B33531"/>
      <c r="C33531"/>
      <c r="E33531"/>
      <c r="F33531"/>
    </row>
    <row r="33532" spans="1:6" x14ac:dyDescent="0.25">
      <c r="A33532"/>
      <c r="B33532"/>
      <c r="C33532"/>
      <c r="E33532"/>
      <c r="F33532"/>
    </row>
    <row r="33533" spans="1:6" x14ac:dyDescent="0.25">
      <c r="A33533"/>
      <c r="B33533"/>
      <c r="C33533"/>
      <c r="E33533"/>
      <c r="F33533"/>
    </row>
    <row r="33534" spans="1:6" x14ac:dyDescent="0.25">
      <c r="A33534"/>
      <c r="B33534"/>
      <c r="C33534"/>
      <c r="E33534"/>
      <c r="F33534"/>
    </row>
    <row r="33535" spans="1:6" x14ac:dyDescent="0.25">
      <c r="A33535"/>
      <c r="B33535"/>
      <c r="C33535"/>
      <c r="E33535"/>
      <c r="F33535"/>
    </row>
    <row r="33536" spans="1:6" x14ac:dyDescent="0.25">
      <c r="A33536"/>
      <c r="B33536"/>
      <c r="C33536"/>
      <c r="E33536"/>
      <c r="F33536"/>
    </row>
    <row r="33537" spans="1:6" x14ac:dyDescent="0.25">
      <c r="A33537"/>
      <c r="B33537"/>
      <c r="C33537"/>
      <c r="E33537"/>
      <c r="F33537"/>
    </row>
    <row r="33538" spans="1:6" x14ac:dyDescent="0.25">
      <c r="A33538"/>
      <c r="B33538"/>
      <c r="C33538"/>
      <c r="E33538"/>
      <c r="F33538"/>
    </row>
    <row r="33539" spans="1:6" x14ac:dyDescent="0.25">
      <c r="A33539"/>
      <c r="B33539"/>
      <c r="C33539"/>
      <c r="E33539"/>
      <c r="F33539"/>
    </row>
    <row r="33540" spans="1:6" x14ac:dyDescent="0.25">
      <c r="A33540"/>
      <c r="B33540"/>
      <c r="C33540"/>
      <c r="E33540"/>
      <c r="F33540"/>
    </row>
    <row r="33541" spans="1:6" x14ac:dyDescent="0.25">
      <c r="A33541"/>
      <c r="B33541"/>
      <c r="C33541"/>
      <c r="E33541"/>
      <c r="F33541"/>
    </row>
    <row r="33542" spans="1:6" x14ac:dyDescent="0.25">
      <c r="A33542"/>
      <c r="B33542"/>
      <c r="C33542"/>
      <c r="E33542"/>
      <c r="F33542"/>
    </row>
    <row r="33543" spans="1:6" x14ac:dyDescent="0.25">
      <c r="A33543"/>
      <c r="B33543"/>
      <c r="C33543"/>
      <c r="E33543"/>
      <c r="F33543"/>
    </row>
    <row r="33544" spans="1:6" x14ac:dyDescent="0.25">
      <c r="A33544"/>
      <c r="B33544"/>
      <c r="C33544"/>
      <c r="E33544"/>
      <c r="F33544"/>
    </row>
    <row r="33545" spans="1:6" x14ac:dyDescent="0.25">
      <c r="A33545"/>
      <c r="B33545"/>
      <c r="C33545"/>
      <c r="E33545"/>
      <c r="F33545"/>
    </row>
    <row r="33546" spans="1:6" x14ac:dyDescent="0.25">
      <c r="A33546"/>
      <c r="B33546"/>
      <c r="C33546"/>
      <c r="E33546"/>
      <c r="F33546"/>
    </row>
    <row r="33547" spans="1:6" x14ac:dyDescent="0.25">
      <c r="A33547"/>
      <c r="B33547"/>
      <c r="C33547"/>
      <c r="E33547"/>
      <c r="F33547"/>
    </row>
    <row r="33548" spans="1:6" x14ac:dyDescent="0.25">
      <c r="A33548"/>
      <c r="B33548"/>
      <c r="C33548"/>
      <c r="E33548"/>
      <c r="F33548"/>
    </row>
    <row r="33549" spans="1:6" x14ac:dyDescent="0.25">
      <c r="A33549"/>
      <c r="B33549"/>
      <c r="C33549"/>
      <c r="E33549"/>
      <c r="F33549"/>
    </row>
    <row r="33550" spans="1:6" x14ac:dyDescent="0.25">
      <c r="A33550"/>
      <c r="B33550"/>
      <c r="C33550"/>
      <c r="E33550"/>
      <c r="F33550"/>
    </row>
    <row r="33551" spans="1:6" x14ac:dyDescent="0.25">
      <c r="A33551"/>
      <c r="B33551"/>
      <c r="C33551"/>
      <c r="E33551"/>
      <c r="F33551"/>
    </row>
    <row r="33552" spans="1:6" x14ac:dyDescent="0.25">
      <c r="A33552"/>
      <c r="B33552"/>
      <c r="C33552"/>
      <c r="E33552"/>
      <c r="F33552"/>
    </row>
    <row r="33553" spans="1:6" x14ac:dyDescent="0.25">
      <c r="A33553"/>
      <c r="B33553"/>
      <c r="C33553"/>
      <c r="E33553"/>
      <c r="F33553"/>
    </row>
    <row r="33554" spans="1:6" x14ac:dyDescent="0.25">
      <c r="A33554"/>
      <c r="B33554"/>
      <c r="C33554"/>
      <c r="E33554"/>
      <c r="F33554"/>
    </row>
    <row r="33555" spans="1:6" x14ac:dyDescent="0.25">
      <c r="A33555"/>
      <c r="B33555"/>
      <c r="C33555"/>
      <c r="E33555"/>
      <c r="F33555"/>
    </row>
    <row r="33556" spans="1:6" x14ac:dyDescent="0.25">
      <c r="A33556"/>
      <c r="B33556"/>
      <c r="C33556"/>
      <c r="E33556"/>
      <c r="F33556"/>
    </row>
    <row r="33557" spans="1:6" x14ac:dyDescent="0.25">
      <c r="A33557"/>
      <c r="B33557"/>
      <c r="C33557"/>
      <c r="E33557"/>
      <c r="F33557"/>
    </row>
    <row r="33558" spans="1:6" x14ac:dyDescent="0.25">
      <c r="A33558"/>
      <c r="B33558"/>
      <c r="C33558"/>
      <c r="E33558"/>
      <c r="F33558"/>
    </row>
    <row r="33559" spans="1:6" x14ac:dyDescent="0.25">
      <c r="A33559"/>
      <c r="B33559"/>
      <c r="C33559"/>
      <c r="E33559"/>
      <c r="F33559"/>
    </row>
    <row r="33560" spans="1:6" x14ac:dyDescent="0.25">
      <c r="A33560"/>
      <c r="B33560"/>
      <c r="C33560"/>
      <c r="E33560"/>
      <c r="F33560"/>
    </row>
    <row r="33561" spans="1:6" x14ac:dyDescent="0.25">
      <c r="A33561"/>
      <c r="B33561"/>
      <c r="C33561"/>
      <c r="E33561"/>
      <c r="F33561"/>
    </row>
    <row r="33562" spans="1:6" x14ac:dyDescent="0.25">
      <c r="A33562"/>
      <c r="B33562"/>
      <c r="C33562"/>
      <c r="E33562"/>
      <c r="F33562"/>
    </row>
    <row r="33563" spans="1:6" x14ac:dyDescent="0.25">
      <c r="A33563"/>
      <c r="B33563"/>
      <c r="C33563"/>
      <c r="E33563"/>
      <c r="F33563"/>
    </row>
    <row r="33564" spans="1:6" x14ac:dyDescent="0.25">
      <c r="A33564"/>
      <c r="B33564"/>
      <c r="C33564"/>
      <c r="E33564"/>
      <c r="F33564"/>
    </row>
    <row r="33565" spans="1:6" x14ac:dyDescent="0.25">
      <c r="A33565"/>
      <c r="B33565"/>
      <c r="C33565"/>
      <c r="E33565"/>
      <c r="F33565"/>
    </row>
    <row r="33566" spans="1:6" x14ac:dyDescent="0.25">
      <c r="A33566"/>
      <c r="B33566"/>
      <c r="C33566"/>
      <c r="E33566"/>
      <c r="F33566"/>
    </row>
    <row r="33567" spans="1:6" x14ac:dyDescent="0.25">
      <c r="A33567"/>
      <c r="B33567"/>
      <c r="C33567"/>
      <c r="E33567"/>
      <c r="F33567"/>
    </row>
    <row r="33568" spans="1:6" x14ac:dyDescent="0.25">
      <c r="A33568"/>
      <c r="B33568"/>
      <c r="C33568"/>
      <c r="E33568"/>
      <c r="F33568"/>
    </row>
    <row r="33569" spans="1:6" x14ac:dyDescent="0.25">
      <c r="A33569"/>
      <c r="B33569"/>
      <c r="C33569"/>
      <c r="E33569"/>
      <c r="F33569"/>
    </row>
    <row r="33570" spans="1:6" x14ac:dyDescent="0.25">
      <c r="A33570"/>
      <c r="B33570"/>
      <c r="C33570"/>
      <c r="E33570"/>
      <c r="F33570"/>
    </row>
    <row r="33571" spans="1:6" x14ac:dyDescent="0.25">
      <c r="A33571"/>
      <c r="B33571"/>
      <c r="C33571"/>
      <c r="E33571"/>
      <c r="F33571"/>
    </row>
    <row r="33572" spans="1:6" x14ac:dyDescent="0.25">
      <c r="A33572"/>
      <c r="B33572"/>
      <c r="C33572"/>
      <c r="E33572"/>
      <c r="F33572"/>
    </row>
    <row r="33573" spans="1:6" x14ac:dyDescent="0.25">
      <c r="A33573"/>
      <c r="B33573"/>
      <c r="C33573"/>
      <c r="E33573"/>
      <c r="F33573"/>
    </row>
    <row r="33574" spans="1:6" x14ac:dyDescent="0.25">
      <c r="A33574"/>
      <c r="B33574"/>
      <c r="C33574"/>
      <c r="E33574"/>
      <c r="F33574"/>
    </row>
    <row r="33575" spans="1:6" x14ac:dyDescent="0.25">
      <c r="A33575"/>
      <c r="B33575"/>
      <c r="C33575"/>
      <c r="E33575"/>
      <c r="F33575"/>
    </row>
    <row r="33576" spans="1:6" x14ac:dyDescent="0.25">
      <c r="A33576"/>
      <c r="B33576"/>
      <c r="C33576"/>
      <c r="E33576"/>
      <c r="F33576"/>
    </row>
    <row r="33577" spans="1:6" x14ac:dyDescent="0.25">
      <c r="A33577"/>
      <c r="B33577"/>
      <c r="C33577"/>
      <c r="E33577"/>
      <c r="F33577"/>
    </row>
    <row r="33578" spans="1:6" x14ac:dyDescent="0.25">
      <c r="A33578"/>
      <c r="B33578"/>
      <c r="C33578"/>
      <c r="E33578"/>
      <c r="F33578"/>
    </row>
    <row r="33579" spans="1:6" x14ac:dyDescent="0.25">
      <c r="A33579"/>
      <c r="B33579"/>
      <c r="C33579"/>
      <c r="E33579"/>
      <c r="F33579"/>
    </row>
    <row r="33580" spans="1:6" x14ac:dyDescent="0.25">
      <c r="A33580"/>
      <c r="B33580"/>
      <c r="C33580"/>
      <c r="E33580"/>
      <c r="F33580"/>
    </row>
    <row r="33581" spans="1:6" x14ac:dyDescent="0.25">
      <c r="A33581"/>
      <c r="B33581"/>
      <c r="C33581"/>
      <c r="E33581"/>
      <c r="F33581"/>
    </row>
    <row r="33582" spans="1:6" x14ac:dyDescent="0.25">
      <c r="A33582"/>
      <c r="B33582"/>
      <c r="C33582"/>
      <c r="E33582"/>
      <c r="F33582"/>
    </row>
    <row r="33583" spans="1:6" x14ac:dyDescent="0.25">
      <c r="A33583"/>
      <c r="B33583"/>
      <c r="C33583"/>
      <c r="E33583"/>
      <c r="F33583"/>
    </row>
    <row r="33584" spans="1:6" x14ac:dyDescent="0.25">
      <c r="A33584"/>
      <c r="B33584"/>
      <c r="C33584"/>
      <c r="E33584"/>
      <c r="F33584"/>
    </row>
    <row r="33585" spans="1:6" x14ac:dyDescent="0.25">
      <c r="A33585"/>
      <c r="B33585"/>
      <c r="C33585"/>
      <c r="E33585"/>
      <c r="F33585"/>
    </row>
    <row r="33586" spans="1:6" x14ac:dyDescent="0.25">
      <c r="A33586"/>
      <c r="B33586"/>
      <c r="C33586"/>
      <c r="E33586"/>
      <c r="F33586"/>
    </row>
    <row r="33587" spans="1:6" x14ac:dyDescent="0.25">
      <c r="A33587"/>
      <c r="B33587"/>
      <c r="C33587"/>
      <c r="E33587"/>
      <c r="F33587"/>
    </row>
    <row r="33588" spans="1:6" x14ac:dyDescent="0.25">
      <c r="A33588"/>
      <c r="B33588"/>
      <c r="C33588"/>
      <c r="E33588"/>
      <c r="F33588"/>
    </row>
    <row r="33589" spans="1:6" x14ac:dyDescent="0.25">
      <c r="A33589"/>
      <c r="B33589"/>
      <c r="C33589"/>
      <c r="E33589"/>
      <c r="F33589"/>
    </row>
    <row r="33590" spans="1:6" x14ac:dyDescent="0.25">
      <c r="A33590"/>
      <c r="B33590"/>
      <c r="C33590"/>
      <c r="E33590"/>
      <c r="F33590"/>
    </row>
    <row r="33591" spans="1:6" x14ac:dyDescent="0.25">
      <c r="A33591"/>
      <c r="B33591"/>
      <c r="C33591"/>
      <c r="E33591"/>
      <c r="F33591"/>
    </row>
    <row r="33592" spans="1:6" x14ac:dyDescent="0.25">
      <c r="A33592"/>
      <c r="B33592"/>
      <c r="C33592"/>
      <c r="E33592"/>
      <c r="F33592"/>
    </row>
    <row r="33593" spans="1:6" x14ac:dyDescent="0.25">
      <c r="A33593"/>
      <c r="B33593"/>
      <c r="C33593"/>
      <c r="E33593"/>
      <c r="F33593"/>
    </row>
    <row r="33594" spans="1:6" x14ac:dyDescent="0.25">
      <c r="A33594"/>
      <c r="B33594"/>
      <c r="C33594"/>
      <c r="E33594"/>
      <c r="F33594"/>
    </row>
    <row r="33595" spans="1:6" x14ac:dyDescent="0.25">
      <c r="A33595"/>
      <c r="B33595"/>
      <c r="C33595"/>
      <c r="E33595"/>
      <c r="F33595"/>
    </row>
    <row r="33596" spans="1:6" x14ac:dyDescent="0.25">
      <c r="A33596"/>
      <c r="B33596"/>
      <c r="C33596"/>
      <c r="E33596"/>
      <c r="F33596"/>
    </row>
    <row r="33597" spans="1:6" x14ac:dyDescent="0.25">
      <c r="A33597"/>
      <c r="B33597"/>
      <c r="C33597"/>
      <c r="E33597"/>
      <c r="F33597"/>
    </row>
    <row r="33598" spans="1:6" x14ac:dyDescent="0.25">
      <c r="A33598"/>
      <c r="B33598"/>
      <c r="C33598"/>
      <c r="E33598"/>
      <c r="F33598"/>
    </row>
    <row r="33599" spans="1:6" x14ac:dyDescent="0.25">
      <c r="A33599"/>
      <c r="B33599"/>
      <c r="C33599"/>
      <c r="E33599"/>
      <c r="F33599"/>
    </row>
    <row r="33600" spans="1:6" x14ac:dyDescent="0.25">
      <c r="A33600"/>
      <c r="B33600"/>
      <c r="C33600"/>
      <c r="E33600"/>
      <c r="F33600"/>
    </row>
    <row r="33601" spans="1:6" x14ac:dyDescent="0.25">
      <c r="A33601"/>
      <c r="B33601"/>
      <c r="C33601"/>
      <c r="E33601"/>
      <c r="F33601"/>
    </row>
    <row r="33602" spans="1:6" x14ac:dyDescent="0.25">
      <c r="A33602"/>
      <c r="B33602"/>
      <c r="C33602"/>
      <c r="E33602"/>
      <c r="F33602"/>
    </row>
    <row r="33603" spans="1:6" x14ac:dyDescent="0.25">
      <c r="A33603"/>
      <c r="B33603"/>
      <c r="C33603"/>
      <c r="E33603"/>
      <c r="F33603"/>
    </row>
    <row r="33604" spans="1:6" x14ac:dyDescent="0.25">
      <c r="A33604"/>
      <c r="B33604"/>
      <c r="C33604"/>
      <c r="E33604"/>
      <c r="F33604"/>
    </row>
    <row r="33605" spans="1:6" x14ac:dyDescent="0.25">
      <c r="A33605"/>
      <c r="B33605"/>
      <c r="C33605"/>
      <c r="E33605"/>
      <c r="F33605"/>
    </row>
    <row r="33606" spans="1:6" x14ac:dyDescent="0.25">
      <c r="A33606"/>
      <c r="B33606"/>
      <c r="C33606"/>
      <c r="E33606"/>
      <c r="F33606"/>
    </row>
    <row r="33607" spans="1:6" x14ac:dyDescent="0.25">
      <c r="A33607"/>
      <c r="B33607"/>
      <c r="C33607"/>
      <c r="E33607"/>
      <c r="F33607"/>
    </row>
    <row r="33608" spans="1:6" x14ac:dyDescent="0.25">
      <c r="A33608"/>
      <c r="B33608"/>
      <c r="C33608"/>
      <c r="E33608"/>
      <c r="F33608"/>
    </row>
    <row r="33609" spans="1:6" x14ac:dyDescent="0.25">
      <c r="A33609"/>
      <c r="B33609"/>
      <c r="C33609"/>
      <c r="E33609"/>
      <c r="F33609"/>
    </row>
    <row r="33610" spans="1:6" x14ac:dyDescent="0.25">
      <c r="A33610"/>
      <c r="B33610"/>
      <c r="C33610"/>
      <c r="E33610"/>
      <c r="F33610"/>
    </row>
    <row r="33611" spans="1:6" x14ac:dyDescent="0.25">
      <c r="A33611"/>
      <c r="B33611"/>
      <c r="C33611"/>
      <c r="E33611"/>
      <c r="F33611"/>
    </row>
    <row r="33612" spans="1:6" x14ac:dyDescent="0.25">
      <c r="A33612"/>
      <c r="B33612"/>
      <c r="C33612"/>
      <c r="E33612"/>
      <c r="F33612"/>
    </row>
    <row r="33613" spans="1:6" x14ac:dyDescent="0.25">
      <c r="A33613"/>
      <c r="B33613"/>
      <c r="C33613"/>
      <c r="E33613"/>
      <c r="F33613"/>
    </row>
    <row r="33614" spans="1:6" x14ac:dyDescent="0.25">
      <c r="A33614"/>
      <c r="B33614"/>
      <c r="C33614"/>
      <c r="E33614"/>
      <c r="F33614"/>
    </row>
    <row r="33615" spans="1:6" x14ac:dyDescent="0.25">
      <c r="A33615"/>
      <c r="B33615"/>
      <c r="C33615"/>
      <c r="E33615"/>
      <c r="F33615"/>
    </row>
    <row r="33616" spans="1:6" x14ac:dyDescent="0.25">
      <c r="A33616"/>
      <c r="B33616"/>
      <c r="C33616"/>
      <c r="E33616"/>
      <c r="F33616"/>
    </row>
    <row r="33617" spans="1:6" x14ac:dyDescent="0.25">
      <c r="A33617"/>
      <c r="B33617"/>
      <c r="C33617"/>
      <c r="E33617"/>
      <c r="F33617"/>
    </row>
    <row r="33618" spans="1:6" x14ac:dyDescent="0.25">
      <c r="A33618"/>
      <c r="B33618"/>
      <c r="C33618"/>
      <c r="E33618"/>
      <c r="F33618"/>
    </row>
    <row r="33619" spans="1:6" x14ac:dyDescent="0.25">
      <c r="A33619"/>
      <c r="B33619"/>
      <c r="C33619"/>
      <c r="E33619"/>
      <c r="F33619"/>
    </row>
    <row r="33620" spans="1:6" x14ac:dyDescent="0.25">
      <c r="A33620"/>
      <c r="B33620"/>
      <c r="C33620"/>
      <c r="E33620"/>
      <c r="F33620"/>
    </row>
    <row r="33621" spans="1:6" x14ac:dyDescent="0.25">
      <c r="A33621"/>
      <c r="B33621"/>
      <c r="C33621"/>
      <c r="E33621"/>
      <c r="F33621"/>
    </row>
    <row r="33622" spans="1:6" x14ac:dyDescent="0.25">
      <c r="A33622"/>
      <c r="B33622"/>
      <c r="C33622"/>
      <c r="E33622"/>
      <c r="F33622"/>
    </row>
    <row r="33623" spans="1:6" x14ac:dyDescent="0.25">
      <c r="A33623"/>
      <c r="B33623"/>
      <c r="C33623"/>
      <c r="E33623"/>
      <c r="F33623"/>
    </row>
    <row r="33624" spans="1:6" x14ac:dyDescent="0.25">
      <c r="A33624"/>
      <c r="B33624"/>
      <c r="C33624"/>
      <c r="E33624"/>
      <c r="F33624"/>
    </row>
    <row r="33625" spans="1:6" x14ac:dyDescent="0.25">
      <c r="A33625"/>
      <c r="B33625"/>
      <c r="C33625"/>
      <c r="E33625"/>
      <c r="F33625"/>
    </row>
    <row r="33626" spans="1:6" x14ac:dyDescent="0.25">
      <c r="A33626"/>
      <c r="B33626"/>
      <c r="C33626"/>
      <c r="E33626"/>
      <c r="F33626"/>
    </row>
    <row r="33627" spans="1:6" x14ac:dyDescent="0.25">
      <c r="A33627"/>
      <c r="B33627"/>
      <c r="C33627"/>
      <c r="E33627"/>
      <c r="F33627"/>
    </row>
    <row r="33628" spans="1:6" x14ac:dyDescent="0.25">
      <c r="A33628"/>
      <c r="B33628"/>
      <c r="C33628"/>
      <c r="E33628"/>
      <c r="F33628"/>
    </row>
    <row r="33629" spans="1:6" x14ac:dyDescent="0.25">
      <c r="A33629"/>
      <c r="B33629"/>
      <c r="C33629"/>
      <c r="E33629"/>
      <c r="F33629"/>
    </row>
    <row r="33630" spans="1:6" x14ac:dyDescent="0.25">
      <c r="A33630"/>
      <c r="B33630"/>
      <c r="C33630"/>
      <c r="E33630"/>
      <c r="F33630"/>
    </row>
    <row r="33631" spans="1:6" x14ac:dyDescent="0.25">
      <c r="A33631"/>
      <c r="B33631"/>
      <c r="C33631"/>
      <c r="E33631"/>
      <c r="F33631"/>
    </row>
    <row r="33632" spans="1:6" x14ac:dyDescent="0.25">
      <c r="A33632"/>
      <c r="B33632"/>
      <c r="C33632"/>
      <c r="E33632"/>
      <c r="F33632"/>
    </row>
    <row r="33633" spans="1:6" x14ac:dyDescent="0.25">
      <c r="A33633"/>
      <c r="B33633"/>
      <c r="C33633"/>
      <c r="E33633"/>
      <c r="F33633"/>
    </row>
    <row r="33634" spans="1:6" x14ac:dyDescent="0.25">
      <c r="A33634"/>
      <c r="B33634"/>
      <c r="C33634"/>
      <c r="E33634"/>
      <c r="F33634"/>
    </row>
    <row r="33635" spans="1:6" x14ac:dyDescent="0.25">
      <c r="A33635"/>
      <c r="B33635"/>
      <c r="C33635"/>
      <c r="E33635"/>
      <c r="F33635"/>
    </row>
    <row r="33636" spans="1:6" x14ac:dyDescent="0.25">
      <c r="A33636"/>
      <c r="B33636"/>
      <c r="C33636"/>
      <c r="E33636"/>
      <c r="F33636"/>
    </row>
    <row r="33637" spans="1:6" x14ac:dyDescent="0.25">
      <c r="A33637"/>
      <c r="B33637"/>
      <c r="C33637"/>
      <c r="E33637"/>
      <c r="F33637"/>
    </row>
    <row r="33638" spans="1:6" x14ac:dyDescent="0.25">
      <c r="A33638"/>
      <c r="B33638"/>
      <c r="C33638"/>
      <c r="E33638"/>
      <c r="F33638"/>
    </row>
    <row r="33639" spans="1:6" x14ac:dyDescent="0.25">
      <c r="A33639"/>
      <c r="B33639"/>
      <c r="C33639"/>
      <c r="E33639"/>
      <c r="F33639"/>
    </row>
    <row r="33640" spans="1:6" x14ac:dyDescent="0.25">
      <c r="A33640"/>
      <c r="B33640"/>
      <c r="C33640"/>
      <c r="E33640"/>
      <c r="F33640"/>
    </row>
    <row r="33641" spans="1:6" x14ac:dyDescent="0.25">
      <c r="A33641"/>
      <c r="B33641"/>
      <c r="C33641"/>
      <c r="E33641"/>
      <c r="F33641"/>
    </row>
    <row r="33642" spans="1:6" x14ac:dyDescent="0.25">
      <c r="A33642"/>
      <c r="B33642"/>
      <c r="C33642"/>
      <c r="E33642"/>
      <c r="F33642"/>
    </row>
    <row r="33643" spans="1:6" x14ac:dyDescent="0.25">
      <c r="A33643"/>
      <c r="B33643"/>
      <c r="C33643"/>
      <c r="E33643"/>
      <c r="F33643"/>
    </row>
    <row r="33644" spans="1:6" x14ac:dyDescent="0.25">
      <c r="A33644"/>
      <c r="B33644"/>
      <c r="C33644"/>
      <c r="E33644"/>
      <c r="F33644"/>
    </row>
    <row r="33645" spans="1:6" x14ac:dyDescent="0.25">
      <c r="A33645"/>
      <c r="B33645"/>
      <c r="C33645"/>
      <c r="E33645"/>
      <c r="F33645"/>
    </row>
    <row r="33646" spans="1:6" x14ac:dyDescent="0.25">
      <c r="A33646"/>
      <c r="B33646"/>
      <c r="C33646"/>
      <c r="E33646"/>
      <c r="F33646"/>
    </row>
    <row r="33647" spans="1:6" x14ac:dyDescent="0.25">
      <c r="A33647"/>
      <c r="B33647"/>
      <c r="C33647"/>
      <c r="E33647"/>
      <c r="F33647"/>
    </row>
    <row r="33648" spans="1:6" x14ac:dyDescent="0.25">
      <c r="A33648"/>
      <c r="B33648"/>
      <c r="C33648"/>
      <c r="E33648"/>
      <c r="F33648"/>
    </row>
    <row r="33649" spans="1:6" x14ac:dyDescent="0.25">
      <c r="A33649"/>
      <c r="B33649"/>
      <c r="C33649"/>
      <c r="E33649"/>
      <c r="F33649"/>
    </row>
    <row r="33650" spans="1:6" x14ac:dyDescent="0.25">
      <c r="A33650"/>
      <c r="B33650"/>
      <c r="C33650"/>
      <c r="E33650"/>
      <c r="F33650"/>
    </row>
    <row r="33651" spans="1:6" x14ac:dyDescent="0.25">
      <c r="A33651"/>
      <c r="B33651"/>
      <c r="C33651"/>
      <c r="E33651"/>
      <c r="F33651"/>
    </row>
    <row r="33652" spans="1:6" x14ac:dyDescent="0.25">
      <c r="A33652"/>
      <c r="B33652"/>
      <c r="C33652"/>
      <c r="E33652"/>
      <c r="F33652"/>
    </row>
    <row r="33653" spans="1:6" x14ac:dyDescent="0.25">
      <c r="A33653"/>
      <c r="B33653"/>
      <c r="C33653"/>
      <c r="E33653"/>
      <c r="F33653"/>
    </row>
    <row r="33654" spans="1:6" x14ac:dyDescent="0.25">
      <c r="A33654"/>
      <c r="B33654"/>
      <c r="C33654"/>
      <c r="E33654"/>
      <c r="F33654"/>
    </row>
    <row r="33655" spans="1:6" x14ac:dyDescent="0.25">
      <c r="A33655"/>
      <c r="B33655"/>
      <c r="C33655"/>
      <c r="E33655"/>
      <c r="F33655"/>
    </row>
    <row r="33656" spans="1:6" x14ac:dyDescent="0.25">
      <c r="A33656"/>
      <c r="B33656"/>
      <c r="C33656"/>
      <c r="E33656"/>
      <c r="F33656"/>
    </row>
    <row r="33657" spans="1:6" x14ac:dyDescent="0.25">
      <c r="A33657"/>
      <c r="B33657"/>
      <c r="C33657"/>
      <c r="E33657"/>
      <c r="F33657"/>
    </row>
    <row r="33658" spans="1:6" x14ac:dyDescent="0.25">
      <c r="A33658"/>
      <c r="B33658"/>
      <c r="C33658"/>
      <c r="E33658"/>
      <c r="F33658"/>
    </row>
    <row r="33659" spans="1:6" x14ac:dyDescent="0.25">
      <c r="A33659"/>
      <c r="B33659"/>
      <c r="C33659"/>
      <c r="E33659"/>
      <c r="F33659"/>
    </row>
    <row r="33660" spans="1:6" x14ac:dyDescent="0.25">
      <c r="A33660"/>
      <c r="B33660"/>
      <c r="C33660"/>
      <c r="E33660"/>
      <c r="F33660"/>
    </row>
    <row r="33661" spans="1:6" x14ac:dyDescent="0.25">
      <c r="A33661"/>
      <c r="B33661"/>
      <c r="C33661"/>
      <c r="E33661"/>
      <c r="F33661"/>
    </row>
    <row r="33662" spans="1:6" x14ac:dyDescent="0.25">
      <c r="A33662"/>
      <c r="B33662"/>
      <c r="C33662"/>
      <c r="E33662"/>
      <c r="F33662"/>
    </row>
    <row r="33663" spans="1:6" x14ac:dyDescent="0.25">
      <c r="A33663"/>
      <c r="B33663"/>
      <c r="C33663"/>
      <c r="E33663"/>
      <c r="F33663"/>
    </row>
    <row r="33664" spans="1:6" x14ac:dyDescent="0.25">
      <c r="A33664"/>
      <c r="B33664"/>
      <c r="C33664"/>
      <c r="E33664"/>
      <c r="F33664"/>
    </row>
    <row r="33665" spans="1:6" x14ac:dyDescent="0.25">
      <c r="A33665"/>
      <c r="B33665"/>
      <c r="C33665"/>
      <c r="E33665"/>
      <c r="F33665"/>
    </row>
    <row r="33666" spans="1:6" x14ac:dyDescent="0.25">
      <c r="A33666"/>
      <c r="B33666"/>
      <c r="C33666"/>
      <c r="E33666"/>
      <c r="F33666"/>
    </row>
    <row r="33667" spans="1:6" x14ac:dyDescent="0.25">
      <c r="A33667"/>
      <c r="B33667"/>
      <c r="C33667"/>
      <c r="E33667"/>
      <c r="F33667"/>
    </row>
    <row r="33668" spans="1:6" x14ac:dyDescent="0.25">
      <c r="A33668"/>
      <c r="B33668"/>
      <c r="C33668"/>
      <c r="E33668"/>
      <c r="F33668"/>
    </row>
    <row r="33669" spans="1:6" x14ac:dyDescent="0.25">
      <c r="A33669"/>
      <c r="B33669"/>
      <c r="C33669"/>
      <c r="E33669"/>
      <c r="F33669"/>
    </row>
    <row r="33670" spans="1:6" x14ac:dyDescent="0.25">
      <c r="A33670"/>
      <c r="B33670"/>
      <c r="C33670"/>
      <c r="E33670"/>
      <c r="F33670"/>
    </row>
    <row r="33671" spans="1:6" x14ac:dyDescent="0.25">
      <c r="A33671"/>
      <c r="B33671"/>
      <c r="C33671"/>
      <c r="E33671"/>
      <c r="F33671"/>
    </row>
    <row r="33672" spans="1:6" x14ac:dyDescent="0.25">
      <c r="A33672"/>
      <c r="B33672"/>
      <c r="C33672"/>
      <c r="E33672"/>
      <c r="F33672"/>
    </row>
    <row r="33673" spans="1:6" x14ac:dyDescent="0.25">
      <c r="A33673"/>
      <c r="B33673"/>
      <c r="C33673"/>
      <c r="E33673"/>
      <c r="F33673"/>
    </row>
    <row r="33674" spans="1:6" x14ac:dyDescent="0.25">
      <c r="A33674"/>
      <c r="B33674"/>
      <c r="C33674"/>
      <c r="E33674"/>
      <c r="F33674"/>
    </row>
    <row r="33675" spans="1:6" x14ac:dyDescent="0.25">
      <c r="A33675"/>
      <c r="B33675"/>
      <c r="C33675"/>
      <c r="E33675"/>
      <c r="F33675"/>
    </row>
    <row r="33676" spans="1:6" x14ac:dyDescent="0.25">
      <c r="A33676"/>
      <c r="B33676"/>
      <c r="C33676"/>
      <c r="E33676"/>
      <c r="F33676"/>
    </row>
    <row r="33677" spans="1:6" x14ac:dyDescent="0.25">
      <c r="A33677"/>
      <c r="B33677"/>
      <c r="C33677"/>
      <c r="E33677"/>
      <c r="F33677"/>
    </row>
    <row r="33678" spans="1:6" x14ac:dyDescent="0.25">
      <c r="A33678"/>
      <c r="B33678"/>
      <c r="C33678"/>
      <c r="E33678"/>
      <c r="F33678"/>
    </row>
    <row r="33679" spans="1:6" x14ac:dyDescent="0.25">
      <c r="A33679"/>
      <c r="B33679"/>
      <c r="C33679"/>
      <c r="E33679"/>
      <c r="F33679"/>
    </row>
    <row r="33680" spans="1:6" x14ac:dyDescent="0.25">
      <c r="A33680"/>
      <c r="B33680"/>
      <c r="C33680"/>
      <c r="E33680"/>
      <c r="F33680"/>
    </row>
    <row r="33681" spans="1:6" x14ac:dyDescent="0.25">
      <c r="A33681"/>
      <c r="B33681"/>
      <c r="C33681"/>
      <c r="E33681"/>
      <c r="F33681"/>
    </row>
    <row r="33682" spans="1:6" x14ac:dyDescent="0.25">
      <c r="A33682"/>
      <c r="B33682"/>
      <c r="C33682"/>
      <c r="E33682"/>
      <c r="F33682"/>
    </row>
    <row r="33683" spans="1:6" x14ac:dyDescent="0.25">
      <c r="A33683"/>
      <c r="B33683"/>
      <c r="C33683"/>
      <c r="E33683"/>
      <c r="F33683"/>
    </row>
    <row r="33684" spans="1:6" x14ac:dyDescent="0.25">
      <c r="A33684"/>
      <c r="B33684"/>
      <c r="C33684"/>
      <c r="E33684"/>
      <c r="F33684"/>
    </row>
    <row r="33685" spans="1:6" x14ac:dyDescent="0.25">
      <c r="A33685"/>
      <c r="B33685"/>
      <c r="C33685"/>
      <c r="E33685"/>
      <c r="F33685"/>
    </row>
    <row r="33686" spans="1:6" x14ac:dyDescent="0.25">
      <c r="A33686"/>
      <c r="B33686"/>
      <c r="C33686"/>
      <c r="E33686"/>
      <c r="F33686"/>
    </row>
    <row r="33687" spans="1:6" x14ac:dyDescent="0.25">
      <c r="A33687"/>
      <c r="B33687"/>
      <c r="C33687"/>
      <c r="E33687"/>
      <c r="F33687"/>
    </row>
    <row r="33688" spans="1:6" x14ac:dyDescent="0.25">
      <c r="A33688"/>
      <c r="B33688"/>
      <c r="C33688"/>
      <c r="E33688"/>
      <c r="F33688"/>
    </row>
    <row r="33689" spans="1:6" x14ac:dyDescent="0.25">
      <c r="A33689"/>
      <c r="B33689"/>
      <c r="C33689"/>
      <c r="E33689"/>
      <c r="F33689"/>
    </row>
    <row r="33690" spans="1:6" x14ac:dyDescent="0.25">
      <c r="A33690"/>
      <c r="B33690"/>
      <c r="C33690"/>
      <c r="E33690"/>
      <c r="F33690"/>
    </row>
    <row r="33691" spans="1:6" x14ac:dyDescent="0.25">
      <c r="A33691"/>
      <c r="B33691"/>
      <c r="C33691"/>
      <c r="E33691"/>
      <c r="F33691"/>
    </row>
    <row r="33692" spans="1:6" x14ac:dyDescent="0.25">
      <c r="A33692"/>
      <c r="B33692"/>
      <c r="C33692"/>
      <c r="E33692"/>
      <c r="F33692"/>
    </row>
    <row r="33693" spans="1:6" x14ac:dyDescent="0.25">
      <c r="A33693"/>
      <c r="B33693"/>
      <c r="C33693"/>
      <c r="E33693"/>
      <c r="F33693"/>
    </row>
    <row r="33694" spans="1:6" x14ac:dyDescent="0.25">
      <c r="A33694"/>
      <c r="B33694"/>
      <c r="C33694"/>
      <c r="E33694"/>
      <c r="F33694"/>
    </row>
    <row r="33695" spans="1:6" x14ac:dyDescent="0.25">
      <c r="A33695"/>
      <c r="B33695"/>
      <c r="C33695"/>
      <c r="E33695"/>
      <c r="F33695"/>
    </row>
    <row r="33696" spans="1:6" x14ac:dyDescent="0.25">
      <c r="A33696"/>
      <c r="B33696"/>
      <c r="C33696"/>
      <c r="E33696"/>
      <c r="F33696"/>
    </row>
    <row r="33697" spans="1:6" x14ac:dyDescent="0.25">
      <c r="A33697"/>
      <c r="B33697"/>
      <c r="C33697"/>
      <c r="E33697"/>
      <c r="F33697"/>
    </row>
    <row r="33698" spans="1:6" x14ac:dyDescent="0.25">
      <c r="A33698"/>
      <c r="B33698"/>
      <c r="C33698"/>
      <c r="E33698"/>
      <c r="F33698"/>
    </row>
    <row r="33699" spans="1:6" x14ac:dyDescent="0.25">
      <c r="A33699"/>
      <c r="B33699"/>
      <c r="C33699"/>
      <c r="E33699"/>
      <c r="F33699"/>
    </row>
    <row r="33700" spans="1:6" x14ac:dyDescent="0.25">
      <c r="A33700"/>
      <c r="B33700"/>
      <c r="C33700"/>
      <c r="E33700"/>
      <c r="F33700"/>
    </row>
    <row r="33701" spans="1:6" x14ac:dyDescent="0.25">
      <c r="A33701"/>
      <c r="B33701"/>
      <c r="C33701"/>
      <c r="E33701"/>
      <c r="F33701"/>
    </row>
    <row r="33702" spans="1:6" x14ac:dyDescent="0.25">
      <c r="A33702"/>
      <c r="B33702"/>
      <c r="C33702"/>
      <c r="E33702"/>
      <c r="F33702"/>
    </row>
    <row r="33703" spans="1:6" x14ac:dyDescent="0.25">
      <c r="A33703"/>
      <c r="B33703"/>
      <c r="C33703"/>
      <c r="E33703"/>
      <c r="F33703"/>
    </row>
    <row r="33704" spans="1:6" x14ac:dyDescent="0.25">
      <c r="A33704"/>
      <c r="B33704"/>
      <c r="C33704"/>
      <c r="E33704"/>
      <c r="F33704"/>
    </row>
    <row r="33705" spans="1:6" x14ac:dyDescent="0.25">
      <c r="A33705"/>
      <c r="B33705"/>
      <c r="C33705"/>
      <c r="E33705"/>
      <c r="F33705"/>
    </row>
    <row r="33706" spans="1:6" x14ac:dyDescent="0.25">
      <c r="A33706"/>
      <c r="B33706"/>
      <c r="C33706"/>
      <c r="E33706"/>
      <c r="F33706"/>
    </row>
    <row r="33707" spans="1:6" x14ac:dyDescent="0.25">
      <c r="A33707"/>
      <c r="B33707"/>
      <c r="C33707"/>
      <c r="E33707"/>
      <c r="F33707"/>
    </row>
    <row r="33708" spans="1:6" x14ac:dyDescent="0.25">
      <c r="A33708"/>
      <c r="B33708"/>
      <c r="C33708"/>
      <c r="E33708"/>
      <c r="F33708"/>
    </row>
    <row r="33709" spans="1:6" x14ac:dyDescent="0.25">
      <c r="A33709"/>
      <c r="B33709"/>
      <c r="C33709"/>
      <c r="E33709"/>
      <c r="F33709"/>
    </row>
    <row r="33710" spans="1:6" x14ac:dyDescent="0.25">
      <c r="A33710"/>
      <c r="B33710"/>
      <c r="C33710"/>
      <c r="E33710"/>
      <c r="F33710"/>
    </row>
    <row r="33711" spans="1:6" x14ac:dyDescent="0.25">
      <c r="A33711"/>
      <c r="B33711"/>
      <c r="C33711"/>
      <c r="E33711"/>
      <c r="F33711"/>
    </row>
    <row r="33712" spans="1:6" x14ac:dyDescent="0.25">
      <c r="A33712"/>
      <c r="B33712"/>
      <c r="C33712"/>
      <c r="E33712"/>
      <c r="F33712"/>
    </row>
    <row r="33713" spans="1:6" x14ac:dyDescent="0.25">
      <c r="A33713"/>
      <c r="B33713"/>
      <c r="C33713"/>
      <c r="E33713"/>
      <c r="F33713"/>
    </row>
    <row r="33714" spans="1:6" x14ac:dyDescent="0.25">
      <c r="A33714"/>
      <c r="B33714"/>
      <c r="C33714"/>
      <c r="E33714"/>
      <c r="F33714"/>
    </row>
    <row r="33715" spans="1:6" x14ac:dyDescent="0.25">
      <c r="A33715"/>
      <c r="B33715"/>
      <c r="C33715"/>
      <c r="E33715"/>
      <c r="F33715"/>
    </row>
    <row r="33716" spans="1:6" x14ac:dyDescent="0.25">
      <c r="A33716"/>
      <c r="B33716"/>
      <c r="C33716"/>
      <c r="E33716"/>
      <c r="F33716"/>
    </row>
    <row r="33717" spans="1:6" x14ac:dyDescent="0.25">
      <c r="A33717"/>
      <c r="B33717"/>
      <c r="C33717"/>
      <c r="E33717"/>
      <c r="F33717"/>
    </row>
    <row r="33718" spans="1:6" x14ac:dyDescent="0.25">
      <c r="A33718"/>
      <c r="B33718"/>
      <c r="C33718"/>
      <c r="E33718"/>
      <c r="F33718"/>
    </row>
    <row r="33719" spans="1:6" x14ac:dyDescent="0.25">
      <c r="A33719"/>
      <c r="B33719"/>
      <c r="C33719"/>
      <c r="E33719"/>
      <c r="F33719"/>
    </row>
    <row r="33720" spans="1:6" x14ac:dyDescent="0.25">
      <c r="A33720"/>
      <c r="B33720"/>
      <c r="C33720"/>
      <c r="E33720"/>
      <c r="F33720"/>
    </row>
    <row r="33721" spans="1:6" x14ac:dyDescent="0.25">
      <c r="A33721"/>
      <c r="B33721"/>
      <c r="C33721"/>
      <c r="E33721"/>
      <c r="F33721"/>
    </row>
    <row r="33722" spans="1:6" x14ac:dyDescent="0.25">
      <c r="A33722"/>
      <c r="B33722"/>
      <c r="C33722"/>
      <c r="E33722"/>
      <c r="F33722"/>
    </row>
    <row r="33723" spans="1:6" x14ac:dyDescent="0.25">
      <c r="A33723"/>
      <c r="B33723"/>
      <c r="C33723"/>
      <c r="E33723"/>
      <c r="F33723"/>
    </row>
    <row r="33724" spans="1:6" x14ac:dyDescent="0.25">
      <c r="A33724"/>
      <c r="B33724"/>
      <c r="C33724"/>
      <c r="E33724"/>
      <c r="F33724"/>
    </row>
    <row r="33725" spans="1:6" x14ac:dyDescent="0.25">
      <c r="A33725"/>
      <c r="B33725"/>
      <c r="C33725"/>
      <c r="E33725"/>
      <c r="F33725"/>
    </row>
    <row r="33726" spans="1:6" x14ac:dyDescent="0.25">
      <c r="A33726"/>
      <c r="B33726"/>
      <c r="C33726"/>
      <c r="E33726"/>
      <c r="F33726"/>
    </row>
    <row r="33727" spans="1:6" x14ac:dyDescent="0.25">
      <c r="A33727"/>
      <c r="B33727"/>
      <c r="C33727"/>
      <c r="E33727"/>
      <c r="F33727"/>
    </row>
    <row r="33728" spans="1:6" x14ac:dyDescent="0.25">
      <c r="A33728"/>
      <c r="B33728"/>
      <c r="C33728"/>
      <c r="E33728"/>
      <c r="F33728"/>
    </row>
    <row r="33729" spans="1:6" x14ac:dyDescent="0.25">
      <c r="A33729"/>
      <c r="B33729"/>
      <c r="C33729"/>
      <c r="E33729"/>
      <c r="F33729"/>
    </row>
    <row r="33730" spans="1:6" x14ac:dyDescent="0.25">
      <c r="A33730"/>
      <c r="B33730"/>
      <c r="C33730"/>
      <c r="E33730"/>
      <c r="F33730"/>
    </row>
    <row r="33731" spans="1:6" x14ac:dyDescent="0.25">
      <c r="A33731"/>
      <c r="B33731"/>
      <c r="C33731"/>
      <c r="E33731"/>
      <c r="F33731"/>
    </row>
    <row r="33732" spans="1:6" x14ac:dyDescent="0.25">
      <c r="A33732"/>
      <c r="B33732"/>
      <c r="C33732"/>
      <c r="E33732"/>
      <c r="F33732"/>
    </row>
    <row r="33733" spans="1:6" x14ac:dyDescent="0.25">
      <c r="A33733"/>
      <c r="B33733"/>
      <c r="C33733"/>
      <c r="E33733"/>
      <c r="F33733"/>
    </row>
    <row r="33734" spans="1:6" x14ac:dyDescent="0.25">
      <c r="A33734"/>
      <c r="B33734"/>
      <c r="C33734"/>
      <c r="E33734"/>
      <c r="F33734"/>
    </row>
    <row r="33735" spans="1:6" x14ac:dyDescent="0.25">
      <c r="A33735"/>
      <c r="B33735"/>
      <c r="C33735"/>
      <c r="E33735"/>
      <c r="F33735"/>
    </row>
    <row r="33736" spans="1:6" x14ac:dyDescent="0.25">
      <c r="A33736"/>
      <c r="B33736"/>
      <c r="C33736"/>
      <c r="E33736"/>
      <c r="F33736"/>
    </row>
    <row r="33737" spans="1:6" x14ac:dyDescent="0.25">
      <c r="A33737"/>
      <c r="B33737"/>
      <c r="C33737"/>
      <c r="E33737"/>
      <c r="F33737"/>
    </row>
    <row r="33738" spans="1:6" x14ac:dyDescent="0.25">
      <c r="A33738"/>
      <c r="B33738"/>
      <c r="C33738"/>
      <c r="E33738"/>
      <c r="F33738"/>
    </row>
    <row r="33739" spans="1:6" x14ac:dyDescent="0.25">
      <c r="A33739"/>
      <c r="B33739"/>
      <c r="C33739"/>
      <c r="E33739"/>
      <c r="F33739"/>
    </row>
    <row r="33740" spans="1:6" x14ac:dyDescent="0.25">
      <c r="A33740"/>
      <c r="B33740"/>
      <c r="C33740"/>
      <c r="E33740"/>
      <c r="F33740"/>
    </row>
    <row r="33741" spans="1:6" x14ac:dyDescent="0.25">
      <c r="A33741"/>
      <c r="B33741"/>
      <c r="C33741"/>
      <c r="E33741"/>
      <c r="F33741"/>
    </row>
    <row r="33742" spans="1:6" x14ac:dyDescent="0.25">
      <c r="A33742"/>
      <c r="B33742"/>
      <c r="C33742"/>
      <c r="E33742"/>
      <c r="F33742"/>
    </row>
    <row r="33743" spans="1:6" x14ac:dyDescent="0.25">
      <c r="A33743"/>
      <c r="B33743"/>
      <c r="C33743"/>
      <c r="E33743"/>
      <c r="F33743"/>
    </row>
    <row r="33744" spans="1:6" x14ac:dyDescent="0.25">
      <c r="A33744"/>
      <c r="B33744"/>
      <c r="C33744"/>
      <c r="E33744"/>
      <c r="F33744"/>
    </row>
    <row r="33745" spans="1:6" x14ac:dyDescent="0.25">
      <c r="A33745"/>
      <c r="B33745"/>
      <c r="C33745"/>
      <c r="E33745"/>
      <c r="F33745"/>
    </row>
    <row r="33746" spans="1:6" x14ac:dyDescent="0.25">
      <c r="A33746"/>
      <c r="B33746"/>
      <c r="C33746"/>
      <c r="E33746"/>
      <c r="F33746"/>
    </row>
    <row r="33747" spans="1:6" x14ac:dyDescent="0.25">
      <c r="A33747"/>
      <c r="B33747"/>
      <c r="C33747"/>
      <c r="E33747"/>
      <c r="F33747"/>
    </row>
    <row r="33748" spans="1:6" x14ac:dyDescent="0.25">
      <c r="A33748"/>
      <c r="B33748"/>
      <c r="C33748"/>
      <c r="E33748"/>
      <c r="F33748"/>
    </row>
    <row r="33749" spans="1:6" x14ac:dyDescent="0.25">
      <c r="A33749"/>
      <c r="B33749"/>
      <c r="C33749"/>
      <c r="E33749"/>
      <c r="F33749"/>
    </row>
    <row r="33750" spans="1:6" x14ac:dyDescent="0.25">
      <c r="A33750"/>
      <c r="B33750"/>
      <c r="C33750"/>
      <c r="E33750"/>
      <c r="F33750"/>
    </row>
    <row r="33751" spans="1:6" x14ac:dyDescent="0.25">
      <c r="A33751"/>
      <c r="B33751"/>
      <c r="C33751"/>
      <c r="E33751"/>
      <c r="F33751"/>
    </row>
    <row r="33752" spans="1:6" x14ac:dyDescent="0.25">
      <c r="A33752"/>
      <c r="B33752"/>
      <c r="C33752"/>
      <c r="E33752"/>
      <c r="F33752"/>
    </row>
    <row r="33753" spans="1:6" x14ac:dyDescent="0.25">
      <c r="A33753"/>
      <c r="B33753"/>
      <c r="C33753"/>
      <c r="E33753"/>
      <c r="F33753"/>
    </row>
    <row r="33754" spans="1:6" x14ac:dyDescent="0.25">
      <c r="A33754"/>
      <c r="B33754"/>
      <c r="C33754"/>
      <c r="E33754"/>
      <c r="F33754"/>
    </row>
    <row r="33755" spans="1:6" x14ac:dyDescent="0.25">
      <c r="A33755"/>
      <c r="B33755"/>
      <c r="C33755"/>
      <c r="E33755"/>
      <c r="F33755"/>
    </row>
    <row r="33756" spans="1:6" x14ac:dyDescent="0.25">
      <c r="A33756"/>
      <c r="B33756"/>
      <c r="C33756"/>
      <c r="E33756"/>
      <c r="F33756"/>
    </row>
    <row r="33757" spans="1:6" x14ac:dyDescent="0.25">
      <c r="A33757"/>
      <c r="B33757"/>
      <c r="C33757"/>
      <c r="E33757"/>
      <c r="F33757"/>
    </row>
    <row r="33758" spans="1:6" x14ac:dyDescent="0.25">
      <c r="A33758"/>
      <c r="B33758"/>
      <c r="C33758"/>
      <c r="E33758"/>
      <c r="F33758"/>
    </row>
    <row r="33759" spans="1:6" x14ac:dyDescent="0.25">
      <c r="A33759"/>
      <c r="B33759"/>
      <c r="C33759"/>
      <c r="E33759"/>
      <c r="F33759"/>
    </row>
    <row r="33760" spans="1:6" x14ac:dyDescent="0.25">
      <c r="A33760"/>
      <c r="B33760"/>
      <c r="C33760"/>
      <c r="E33760"/>
      <c r="F33760"/>
    </row>
    <row r="33761" spans="1:6" x14ac:dyDescent="0.25">
      <c r="A33761"/>
      <c r="B33761"/>
      <c r="C33761"/>
      <c r="E33761"/>
      <c r="F33761"/>
    </row>
    <row r="33762" spans="1:6" x14ac:dyDescent="0.25">
      <c r="A33762"/>
      <c r="B33762"/>
      <c r="C33762"/>
      <c r="E33762"/>
      <c r="F33762"/>
    </row>
    <row r="33763" spans="1:6" x14ac:dyDescent="0.25">
      <c r="A33763"/>
      <c r="B33763"/>
      <c r="C33763"/>
      <c r="E33763"/>
      <c r="F33763"/>
    </row>
    <row r="33764" spans="1:6" x14ac:dyDescent="0.25">
      <c r="A33764"/>
      <c r="B33764"/>
      <c r="C33764"/>
      <c r="E33764"/>
      <c r="F33764"/>
    </row>
    <row r="33765" spans="1:6" x14ac:dyDescent="0.25">
      <c r="A33765"/>
      <c r="B33765"/>
      <c r="C33765"/>
      <c r="E33765"/>
      <c r="F33765"/>
    </row>
    <row r="33766" spans="1:6" x14ac:dyDescent="0.25">
      <c r="A33766"/>
      <c r="B33766"/>
      <c r="C33766"/>
      <c r="E33766"/>
      <c r="F33766"/>
    </row>
    <row r="33767" spans="1:6" x14ac:dyDescent="0.25">
      <c r="A33767"/>
      <c r="B33767"/>
      <c r="C33767"/>
      <c r="E33767"/>
      <c r="F33767"/>
    </row>
    <row r="33768" spans="1:6" x14ac:dyDescent="0.25">
      <c r="A33768"/>
      <c r="B33768"/>
      <c r="C33768"/>
      <c r="E33768"/>
      <c r="F33768"/>
    </row>
    <row r="33769" spans="1:6" x14ac:dyDescent="0.25">
      <c r="A33769"/>
      <c r="B33769"/>
      <c r="C33769"/>
      <c r="E33769"/>
      <c r="F33769"/>
    </row>
    <row r="33770" spans="1:6" x14ac:dyDescent="0.25">
      <c r="A33770"/>
      <c r="B33770"/>
      <c r="C33770"/>
      <c r="E33770"/>
      <c r="F33770"/>
    </row>
    <row r="33771" spans="1:6" x14ac:dyDescent="0.25">
      <c r="A33771"/>
      <c r="B33771"/>
      <c r="C33771"/>
      <c r="E33771"/>
      <c r="F33771"/>
    </row>
    <row r="33772" spans="1:6" x14ac:dyDescent="0.25">
      <c r="A33772"/>
      <c r="B33772"/>
      <c r="C33772"/>
      <c r="E33772"/>
      <c r="F33772"/>
    </row>
    <row r="33773" spans="1:6" x14ac:dyDescent="0.25">
      <c r="A33773"/>
      <c r="B33773"/>
      <c r="C33773"/>
      <c r="E33773"/>
      <c r="F33773"/>
    </row>
    <row r="33774" spans="1:6" x14ac:dyDescent="0.25">
      <c r="A33774"/>
      <c r="B33774"/>
      <c r="C33774"/>
      <c r="E33774"/>
      <c r="F33774"/>
    </row>
    <row r="33775" spans="1:6" x14ac:dyDescent="0.25">
      <c r="A33775"/>
      <c r="B33775"/>
      <c r="C33775"/>
      <c r="E33775"/>
      <c r="F33775"/>
    </row>
    <row r="33776" spans="1:6" x14ac:dyDescent="0.25">
      <c r="A33776"/>
      <c r="B33776"/>
      <c r="C33776"/>
      <c r="E33776"/>
      <c r="F33776"/>
    </row>
    <row r="33777" spans="1:6" x14ac:dyDescent="0.25">
      <c r="A33777"/>
      <c r="B33777"/>
      <c r="C33777"/>
      <c r="E33777"/>
      <c r="F33777"/>
    </row>
    <row r="33778" spans="1:6" x14ac:dyDescent="0.25">
      <c r="A33778"/>
      <c r="B33778"/>
      <c r="C33778"/>
      <c r="E33778"/>
      <c r="F33778"/>
    </row>
    <row r="33779" spans="1:6" x14ac:dyDescent="0.25">
      <c r="A33779"/>
      <c r="B33779"/>
      <c r="C33779"/>
      <c r="E33779"/>
      <c r="F33779"/>
    </row>
    <row r="33780" spans="1:6" x14ac:dyDescent="0.25">
      <c r="A33780"/>
      <c r="B33780"/>
      <c r="C33780"/>
      <c r="E33780"/>
      <c r="F33780"/>
    </row>
    <row r="33781" spans="1:6" x14ac:dyDescent="0.25">
      <c r="A33781"/>
      <c r="B33781"/>
      <c r="C33781"/>
      <c r="E33781"/>
      <c r="F33781"/>
    </row>
    <row r="33782" spans="1:6" x14ac:dyDescent="0.25">
      <c r="A33782"/>
      <c r="B33782"/>
      <c r="C33782"/>
      <c r="E33782"/>
      <c r="F33782"/>
    </row>
    <row r="33783" spans="1:6" x14ac:dyDescent="0.25">
      <c r="A33783"/>
      <c r="B33783"/>
      <c r="C33783"/>
      <c r="E33783"/>
      <c r="F33783"/>
    </row>
    <row r="33784" spans="1:6" x14ac:dyDescent="0.25">
      <c r="A33784"/>
      <c r="B33784"/>
      <c r="C33784"/>
      <c r="E33784"/>
      <c r="F33784"/>
    </row>
    <row r="33785" spans="1:6" x14ac:dyDescent="0.25">
      <c r="A33785"/>
      <c r="B33785"/>
      <c r="C33785"/>
      <c r="E33785"/>
      <c r="F33785"/>
    </row>
    <row r="33786" spans="1:6" x14ac:dyDescent="0.25">
      <c r="A33786"/>
      <c r="B33786"/>
      <c r="C33786"/>
      <c r="E33786"/>
      <c r="F33786"/>
    </row>
    <row r="33787" spans="1:6" x14ac:dyDescent="0.25">
      <c r="A33787"/>
      <c r="B33787"/>
      <c r="C33787"/>
      <c r="E33787"/>
      <c r="F33787"/>
    </row>
    <row r="33788" spans="1:6" x14ac:dyDescent="0.25">
      <c r="A33788"/>
      <c r="B33788"/>
      <c r="C33788"/>
      <c r="E33788"/>
      <c r="F33788"/>
    </row>
    <row r="33789" spans="1:6" x14ac:dyDescent="0.25">
      <c r="A33789"/>
      <c r="B33789"/>
      <c r="C33789"/>
      <c r="E33789"/>
      <c r="F33789"/>
    </row>
    <row r="33790" spans="1:6" x14ac:dyDescent="0.25">
      <c r="A33790"/>
      <c r="B33790"/>
      <c r="C33790"/>
      <c r="E33790"/>
      <c r="F33790"/>
    </row>
    <row r="33791" spans="1:6" x14ac:dyDescent="0.25">
      <c r="A33791"/>
      <c r="B33791"/>
      <c r="C33791"/>
      <c r="E33791"/>
      <c r="F33791"/>
    </row>
    <row r="33792" spans="1:6" x14ac:dyDescent="0.25">
      <c r="A33792"/>
      <c r="B33792"/>
      <c r="C33792"/>
      <c r="E33792"/>
      <c r="F33792"/>
    </row>
    <row r="33793" spans="1:6" x14ac:dyDescent="0.25">
      <c r="A33793"/>
      <c r="B33793"/>
      <c r="C33793"/>
      <c r="E33793"/>
      <c r="F33793"/>
    </row>
    <row r="33794" spans="1:6" x14ac:dyDescent="0.25">
      <c r="A33794"/>
      <c r="B33794"/>
      <c r="C33794"/>
      <c r="E33794"/>
      <c r="F33794"/>
    </row>
    <row r="33795" spans="1:6" x14ac:dyDescent="0.25">
      <c r="A33795"/>
      <c r="B33795"/>
      <c r="C33795"/>
      <c r="E33795"/>
      <c r="F33795"/>
    </row>
    <row r="33796" spans="1:6" x14ac:dyDescent="0.25">
      <c r="A33796"/>
      <c r="B33796"/>
      <c r="C33796"/>
      <c r="E33796"/>
      <c r="F33796"/>
    </row>
    <row r="33797" spans="1:6" x14ac:dyDescent="0.25">
      <c r="A33797"/>
      <c r="B33797"/>
      <c r="C33797"/>
      <c r="E33797"/>
      <c r="F33797"/>
    </row>
    <row r="33798" spans="1:6" x14ac:dyDescent="0.25">
      <c r="A33798"/>
      <c r="B33798"/>
      <c r="C33798"/>
      <c r="E33798"/>
      <c r="F33798"/>
    </row>
    <row r="33799" spans="1:6" x14ac:dyDescent="0.25">
      <c r="A33799"/>
      <c r="B33799"/>
      <c r="C33799"/>
      <c r="E33799"/>
      <c r="F33799"/>
    </row>
    <row r="33800" spans="1:6" x14ac:dyDescent="0.25">
      <c r="A33800"/>
      <c r="B33800"/>
      <c r="C33800"/>
      <c r="E33800"/>
      <c r="F33800"/>
    </row>
    <row r="33801" spans="1:6" x14ac:dyDescent="0.25">
      <c r="A33801"/>
      <c r="B33801"/>
      <c r="C33801"/>
      <c r="E33801"/>
      <c r="F33801"/>
    </row>
    <row r="33802" spans="1:6" x14ac:dyDescent="0.25">
      <c r="A33802"/>
      <c r="B33802"/>
      <c r="C33802"/>
      <c r="E33802"/>
      <c r="F33802"/>
    </row>
    <row r="33803" spans="1:6" x14ac:dyDescent="0.25">
      <c r="A33803"/>
      <c r="B33803"/>
      <c r="C33803"/>
      <c r="E33803"/>
      <c r="F33803"/>
    </row>
    <row r="33804" spans="1:6" x14ac:dyDescent="0.25">
      <c r="A33804"/>
      <c r="B33804"/>
      <c r="C33804"/>
      <c r="E33804"/>
      <c r="F33804"/>
    </row>
    <row r="33805" spans="1:6" x14ac:dyDescent="0.25">
      <c r="A33805"/>
      <c r="B33805"/>
      <c r="C33805"/>
      <c r="E33805"/>
      <c r="F33805"/>
    </row>
    <row r="33806" spans="1:6" x14ac:dyDescent="0.25">
      <c r="A33806"/>
      <c r="B33806"/>
      <c r="C33806"/>
      <c r="E33806"/>
      <c r="F33806"/>
    </row>
    <row r="33807" spans="1:6" x14ac:dyDescent="0.25">
      <c r="A33807"/>
      <c r="B33807"/>
      <c r="C33807"/>
      <c r="E33807"/>
      <c r="F33807"/>
    </row>
    <row r="33808" spans="1:6" x14ac:dyDescent="0.25">
      <c r="A33808"/>
      <c r="B33808"/>
      <c r="C33808"/>
      <c r="E33808"/>
      <c r="F33808"/>
    </row>
    <row r="33809" spans="1:6" x14ac:dyDescent="0.25">
      <c r="A33809"/>
      <c r="B33809"/>
      <c r="C33809"/>
      <c r="E33809"/>
      <c r="F33809"/>
    </row>
    <row r="33810" spans="1:6" x14ac:dyDescent="0.25">
      <c r="A33810"/>
      <c r="B33810"/>
      <c r="C33810"/>
      <c r="E33810"/>
      <c r="F33810"/>
    </row>
    <row r="33811" spans="1:6" x14ac:dyDescent="0.25">
      <c r="A33811"/>
      <c r="B33811"/>
      <c r="C33811"/>
      <c r="E33811"/>
      <c r="F33811"/>
    </row>
    <row r="33812" spans="1:6" x14ac:dyDescent="0.25">
      <c r="A33812"/>
      <c r="B33812"/>
      <c r="C33812"/>
      <c r="E33812"/>
      <c r="F33812"/>
    </row>
    <row r="33813" spans="1:6" x14ac:dyDescent="0.25">
      <c r="A33813"/>
      <c r="B33813"/>
      <c r="C33813"/>
      <c r="E33813"/>
      <c r="F33813"/>
    </row>
    <row r="33814" spans="1:6" x14ac:dyDescent="0.25">
      <c r="A33814"/>
      <c r="B33814"/>
      <c r="C33814"/>
      <c r="E33814"/>
      <c r="F33814"/>
    </row>
    <row r="33815" spans="1:6" x14ac:dyDescent="0.25">
      <c r="A33815"/>
      <c r="B33815"/>
      <c r="C33815"/>
      <c r="E33815"/>
      <c r="F33815"/>
    </row>
    <row r="33816" spans="1:6" x14ac:dyDescent="0.25">
      <c r="A33816"/>
      <c r="B33816"/>
      <c r="C33816"/>
      <c r="E33816"/>
      <c r="F33816"/>
    </row>
    <row r="33817" spans="1:6" x14ac:dyDescent="0.25">
      <c r="A33817"/>
      <c r="B33817"/>
      <c r="C33817"/>
      <c r="E33817"/>
      <c r="F33817"/>
    </row>
    <row r="33818" spans="1:6" x14ac:dyDescent="0.25">
      <c r="A33818"/>
      <c r="B33818"/>
      <c r="C33818"/>
      <c r="E33818"/>
      <c r="F33818"/>
    </row>
    <row r="33819" spans="1:6" x14ac:dyDescent="0.25">
      <c r="A33819"/>
      <c r="B33819"/>
      <c r="C33819"/>
      <c r="E33819"/>
      <c r="F33819"/>
    </row>
    <row r="33820" spans="1:6" x14ac:dyDescent="0.25">
      <c r="A33820"/>
      <c r="B33820"/>
      <c r="C33820"/>
      <c r="E33820"/>
      <c r="F33820"/>
    </row>
    <row r="33821" spans="1:6" x14ac:dyDescent="0.25">
      <c r="A33821"/>
      <c r="B33821"/>
      <c r="C33821"/>
      <c r="E33821"/>
      <c r="F33821"/>
    </row>
    <row r="33822" spans="1:6" x14ac:dyDescent="0.25">
      <c r="A33822"/>
      <c r="B33822"/>
      <c r="C33822"/>
      <c r="E33822"/>
      <c r="F33822"/>
    </row>
    <row r="33823" spans="1:6" x14ac:dyDescent="0.25">
      <c r="A33823"/>
      <c r="B33823"/>
      <c r="C33823"/>
      <c r="E33823"/>
      <c r="F33823"/>
    </row>
    <row r="33824" spans="1:6" x14ac:dyDescent="0.25">
      <c r="A33824"/>
      <c r="B33824"/>
      <c r="C33824"/>
      <c r="E33824"/>
      <c r="F33824"/>
    </row>
    <row r="33825" spans="1:6" x14ac:dyDescent="0.25">
      <c r="A33825"/>
      <c r="B33825"/>
      <c r="C33825"/>
      <c r="E33825"/>
      <c r="F33825"/>
    </row>
    <row r="33826" spans="1:6" x14ac:dyDescent="0.25">
      <c r="A33826"/>
      <c r="B33826"/>
      <c r="C33826"/>
      <c r="E33826"/>
      <c r="F33826"/>
    </row>
    <row r="33827" spans="1:6" x14ac:dyDescent="0.25">
      <c r="A33827"/>
      <c r="B33827"/>
      <c r="C33827"/>
      <c r="E33827"/>
      <c r="F33827"/>
    </row>
    <row r="33828" spans="1:6" x14ac:dyDescent="0.25">
      <c r="A33828"/>
      <c r="B33828"/>
      <c r="C33828"/>
      <c r="E33828"/>
      <c r="F33828"/>
    </row>
    <row r="33829" spans="1:6" x14ac:dyDescent="0.25">
      <c r="A33829"/>
      <c r="B33829"/>
      <c r="C33829"/>
      <c r="E33829"/>
      <c r="F33829"/>
    </row>
    <row r="33830" spans="1:6" x14ac:dyDescent="0.25">
      <c r="A33830"/>
      <c r="B33830"/>
      <c r="C33830"/>
      <c r="E33830"/>
      <c r="F33830"/>
    </row>
    <row r="33831" spans="1:6" x14ac:dyDescent="0.25">
      <c r="A33831"/>
      <c r="B33831"/>
      <c r="C33831"/>
      <c r="E33831"/>
      <c r="F33831"/>
    </row>
    <row r="33832" spans="1:6" x14ac:dyDescent="0.25">
      <c r="A33832"/>
      <c r="B33832"/>
      <c r="C33832"/>
      <c r="E33832"/>
      <c r="F33832"/>
    </row>
    <row r="33833" spans="1:6" x14ac:dyDescent="0.25">
      <c r="A33833"/>
      <c r="B33833"/>
      <c r="C33833"/>
      <c r="E33833"/>
      <c r="F33833"/>
    </row>
    <row r="33834" spans="1:6" x14ac:dyDescent="0.25">
      <c r="A33834"/>
      <c r="B33834"/>
      <c r="C33834"/>
      <c r="E33834"/>
      <c r="F33834"/>
    </row>
    <row r="33835" spans="1:6" x14ac:dyDescent="0.25">
      <c r="A33835"/>
      <c r="B33835"/>
      <c r="C33835"/>
      <c r="E33835"/>
      <c r="F33835"/>
    </row>
    <row r="33836" spans="1:6" x14ac:dyDescent="0.25">
      <c r="A33836"/>
      <c r="B33836"/>
      <c r="C33836"/>
      <c r="E33836"/>
      <c r="F33836"/>
    </row>
    <row r="33837" spans="1:6" x14ac:dyDescent="0.25">
      <c r="A33837"/>
      <c r="B33837"/>
      <c r="C33837"/>
      <c r="E33837"/>
      <c r="F33837"/>
    </row>
    <row r="33838" spans="1:6" x14ac:dyDescent="0.25">
      <c r="A33838"/>
      <c r="B33838"/>
      <c r="C33838"/>
      <c r="E33838"/>
      <c r="F33838"/>
    </row>
    <row r="33839" spans="1:6" x14ac:dyDescent="0.25">
      <c r="A33839"/>
      <c r="B33839"/>
      <c r="C33839"/>
      <c r="E33839"/>
      <c r="F33839"/>
    </row>
    <row r="33840" spans="1:6" x14ac:dyDescent="0.25">
      <c r="A33840"/>
      <c r="B33840"/>
      <c r="C33840"/>
      <c r="E33840"/>
      <c r="F33840"/>
    </row>
    <row r="33841" spans="1:6" x14ac:dyDescent="0.25">
      <c r="A33841"/>
      <c r="B33841"/>
      <c r="C33841"/>
      <c r="E33841"/>
      <c r="F33841"/>
    </row>
    <row r="33842" spans="1:6" x14ac:dyDescent="0.25">
      <c r="A33842"/>
      <c r="B33842"/>
      <c r="C33842"/>
      <c r="E33842"/>
      <c r="F33842"/>
    </row>
    <row r="33843" spans="1:6" x14ac:dyDescent="0.25">
      <c r="A33843"/>
      <c r="B33843"/>
      <c r="C33843"/>
      <c r="E33843"/>
      <c r="F33843"/>
    </row>
    <row r="33844" spans="1:6" x14ac:dyDescent="0.25">
      <c r="A33844"/>
      <c r="B33844"/>
      <c r="C33844"/>
      <c r="E33844"/>
      <c r="F33844"/>
    </row>
    <row r="33845" spans="1:6" x14ac:dyDescent="0.25">
      <c r="A33845"/>
      <c r="B33845"/>
      <c r="C33845"/>
      <c r="E33845"/>
      <c r="F33845"/>
    </row>
    <row r="33846" spans="1:6" x14ac:dyDescent="0.25">
      <c r="A33846"/>
      <c r="B33846"/>
      <c r="C33846"/>
      <c r="E33846"/>
      <c r="F33846"/>
    </row>
    <row r="33847" spans="1:6" x14ac:dyDescent="0.25">
      <c r="A33847"/>
      <c r="B33847"/>
      <c r="C33847"/>
      <c r="E33847"/>
      <c r="F33847"/>
    </row>
    <row r="33848" spans="1:6" x14ac:dyDescent="0.25">
      <c r="A33848"/>
      <c r="B33848"/>
      <c r="C33848"/>
      <c r="E33848"/>
      <c r="F33848"/>
    </row>
    <row r="33849" spans="1:6" x14ac:dyDescent="0.25">
      <c r="A33849"/>
      <c r="B33849"/>
      <c r="C33849"/>
      <c r="E33849"/>
      <c r="F33849"/>
    </row>
    <row r="33850" spans="1:6" x14ac:dyDescent="0.25">
      <c r="A33850"/>
      <c r="B33850"/>
      <c r="C33850"/>
      <c r="E33850"/>
      <c r="F33850"/>
    </row>
    <row r="33851" spans="1:6" x14ac:dyDescent="0.25">
      <c r="A33851"/>
      <c r="B33851"/>
      <c r="C33851"/>
      <c r="E33851"/>
      <c r="F33851"/>
    </row>
    <row r="33852" spans="1:6" x14ac:dyDescent="0.25">
      <c r="A33852"/>
      <c r="B33852"/>
      <c r="C33852"/>
      <c r="E33852"/>
      <c r="F33852"/>
    </row>
    <row r="33853" spans="1:6" x14ac:dyDescent="0.25">
      <c r="A33853"/>
      <c r="B33853"/>
      <c r="C33853"/>
      <c r="E33853"/>
      <c r="F33853"/>
    </row>
    <row r="33854" spans="1:6" x14ac:dyDescent="0.25">
      <c r="A33854"/>
      <c r="B33854"/>
      <c r="C33854"/>
      <c r="E33854"/>
      <c r="F33854"/>
    </row>
    <row r="33855" spans="1:6" x14ac:dyDescent="0.25">
      <c r="A33855"/>
      <c r="B33855"/>
      <c r="C33855"/>
      <c r="E33855"/>
      <c r="F33855"/>
    </row>
    <row r="33856" spans="1:6" x14ac:dyDescent="0.25">
      <c r="A33856"/>
      <c r="B33856"/>
      <c r="C33856"/>
      <c r="E33856"/>
      <c r="F33856"/>
    </row>
    <row r="33857" spans="1:6" x14ac:dyDescent="0.25">
      <c r="A33857"/>
      <c r="B33857"/>
      <c r="C33857"/>
      <c r="E33857"/>
      <c r="F33857"/>
    </row>
    <row r="33858" spans="1:6" x14ac:dyDescent="0.25">
      <c r="A33858"/>
      <c r="B33858"/>
      <c r="C33858"/>
      <c r="E33858"/>
      <c r="F33858"/>
    </row>
    <row r="33859" spans="1:6" x14ac:dyDescent="0.25">
      <c r="A33859"/>
      <c r="B33859"/>
      <c r="C33859"/>
      <c r="E33859"/>
      <c r="F33859"/>
    </row>
    <row r="33860" spans="1:6" x14ac:dyDescent="0.25">
      <c r="A33860"/>
      <c r="B33860"/>
      <c r="C33860"/>
      <c r="E33860"/>
      <c r="F33860"/>
    </row>
    <row r="33861" spans="1:6" x14ac:dyDescent="0.25">
      <c r="A33861"/>
      <c r="B33861"/>
      <c r="C33861"/>
      <c r="E33861"/>
      <c r="F33861"/>
    </row>
    <row r="33862" spans="1:6" x14ac:dyDescent="0.25">
      <c r="A33862"/>
      <c r="B33862"/>
      <c r="C33862"/>
      <c r="E33862"/>
      <c r="F33862"/>
    </row>
    <row r="33863" spans="1:6" x14ac:dyDescent="0.25">
      <c r="A33863"/>
      <c r="B33863"/>
      <c r="C33863"/>
      <c r="E33863"/>
      <c r="F33863"/>
    </row>
    <row r="33864" spans="1:6" x14ac:dyDescent="0.25">
      <c r="A33864"/>
      <c r="B33864"/>
      <c r="C33864"/>
      <c r="E33864"/>
      <c r="F33864"/>
    </row>
    <row r="33865" spans="1:6" x14ac:dyDescent="0.25">
      <c r="A33865"/>
      <c r="B33865"/>
      <c r="C33865"/>
      <c r="E33865"/>
      <c r="F33865"/>
    </row>
    <row r="33866" spans="1:6" x14ac:dyDescent="0.25">
      <c r="A33866"/>
      <c r="B33866"/>
      <c r="C33866"/>
      <c r="E33866"/>
      <c r="F33866"/>
    </row>
    <row r="33867" spans="1:6" x14ac:dyDescent="0.25">
      <c r="A33867"/>
      <c r="B33867"/>
      <c r="C33867"/>
      <c r="E33867"/>
      <c r="F33867"/>
    </row>
    <row r="33868" spans="1:6" x14ac:dyDescent="0.25">
      <c r="A33868"/>
      <c r="B33868"/>
      <c r="C33868"/>
      <c r="E33868"/>
      <c r="F33868"/>
    </row>
    <row r="33869" spans="1:6" x14ac:dyDescent="0.25">
      <c r="A33869"/>
      <c r="B33869"/>
      <c r="C33869"/>
      <c r="E33869"/>
      <c r="F33869"/>
    </row>
    <row r="33870" spans="1:6" x14ac:dyDescent="0.25">
      <c r="A33870"/>
      <c r="B33870"/>
      <c r="C33870"/>
      <c r="E33870"/>
      <c r="F33870"/>
    </row>
    <row r="33871" spans="1:6" x14ac:dyDescent="0.25">
      <c r="A33871"/>
      <c r="B33871"/>
      <c r="C33871"/>
      <c r="E33871"/>
      <c r="F33871"/>
    </row>
    <row r="33872" spans="1:6" x14ac:dyDescent="0.25">
      <c r="A33872"/>
      <c r="B33872"/>
      <c r="C33872"/>
      <c r="E33872"/>
      <c r="F33872"/>
    </row>
    <row r="33873" spans="1:6" x14ac:dyDescent="0.25">
      <c r="A33873"/>
      <c r="B33873"/>
      <c r="C33873"/>
      <c r="E33873"/>
      <c r="F33873"/>
    </row>
    <row r="33874" spans="1:6" x14ac:dyDescent="0.25">
      <c r="A33874"/>
      <c r="B33874"/>
      <c r="C33874"/>
      <c r="E33874"/>
      <c r="F33874"/>
    </row>
    <row r="33875" spans="1:6" x14ac:dyDescent="0.25">
      <c r="A33875"/>
      <c r="B33875"/>
      <c r="C33875"/>
      <c r="E33875"/>
      <c r="F33875"/>
    </row>
    <row r="33876" spans="1:6" x14ac:dyDescent="0.25">
      <c r="A33876"/>
      <c r="B33876"/>
      <c r="C33876"/>
      <c r="E33876"/>
      <c r="F33876"/>
    </row>
    <row r="33877" spans="1:6" x14ac:dyDescent="0.25">
      <c r="A33877"/>
      <c r="B33877"/>
      <c r="C33877"/>
      <c r="E33877"/>
      <c r="F33877"/>
    </row>
    <row r="33878" spans="1:6" x14ac:dyDescent="0.25">
      <c r="A33878"/>
      <c r="B33878"/>
      <c r="C33878"/>
      <c r="E33878"/>
      <c r="F33878"/>
    </row>
    <row r="33879" spans="1:6" x14ac:dyDescent="0.25">
      <c r="A33879"/>
      <c r="B33879"/>
      <c r="C33879"/>
      <c r="E33879"/>
      <c r="F33879"/>
    </row>
    <row r="33880" spans="1:6" x14ac:dyDescent="0.25">
      <c r="A33880"/>
      <c r="B33880"/>
      <c r="C33880"/>
      <c r="E33880"/>
      <c r="F33880"/>
    </row>
    <row r="33881" spans="1:6" x14ac:dyDescent="0.25">
      <c r="A33881"/>
      <c r="B33881"/>
      <c r="C33881"/>
      <c r="E33881"/>
      <c r="F33881"/>
    </row>
    <row r="33882" spans="1:6" x14ac:dyDescent="0.25">
      <c r="A33882"/>
      <c r="B33882"/>
      <c r="C33882"/>
      <c r="E33882"/>
      <c r="F33882"/>
    </row>
    <row r="33883" spans="1:6" x14ac:dyDescent="0.25">
      <c r="A33883"/>
      <c r="B33883"/>
      <c r="C33883"/>
      <c r="E33883"/>
      <c r="F33883"/>
    </row>
    <row r="33884" spans="1:6" x14ac:dyDescent="0.25">
      <c r="A33884"/>
      <c r="B33884"/>
      <c r="C33884"/>
      <c r="E33884"/>
      <c r="F33884"/>
    </row>
    <row r="33885" spans="1:6" x14ac:dyDescent="0.25">
      <c r="A33885"/>
      <c r="B33885"/>
      <c r="C33885"/>
      <c r="E33885"/>
      <c r="F33885"/>
    </row>
    <row r="33886" spans="1:6" x14ac:dyDescent="0.25">
      <c r="A33886"/>
      <c r="B33886"/>
      <c r="C33886"/>
      <c r="E33886"/>
      <c r="F33886"/>
    </row>
    <row r="33887" spans="1:6" x14ac:dyDescent="0.25">
      <c r="A33887"/>
      <c r="B33887"/>
      <c r="C33887"/>
      <c r="E33887"/>
      <c r="F33887"/>
    </row>
    <row r="33888" spans="1:6" x14ac:dyDescent="0.25">
      <c r="A33888"/>
      <c r="B33888"/>
      <c r="C33888"/>
      <c r="E33888"/>
      <c r="F33888"/>
    </row>
    <row r="33889" spans="1:6" x14ac:dyDescent="0.25">
      <c r="A33889"/>
      <c r="B33889"/>
      <c r="C33889"/>
      <c r="E33889"/>
      <c r="F33889"/>
    </row>
    <row r="33890" spans="1:6" x14ac:dyDescent="0.25">
      <c r="A33890"/>
      <c r="B33890"/>
      <c r="C33890"/>
      <c r="E33890"/>
      <c r="F33890"/>
    </row>
    <row r="33891" spans="1:6" x14ac:dyDescent="0.25">
      <c r="A33891"/>
      <c r="B33891"/>
      <c r="C33891"/>
      <c r="E33891"/>
      <c r="F33891"/>
    </row>
    <row r="33892" spans="1:6" x14ac:dyDescent="0.25">
      <c r="A33892"/>
      <c r="B33892"/>
      <c r="C33892"/>
      <c r="E33892"/>
      <c r="F33892"/>
    </row>
    <row r="33893" spans="1:6" x14ac:dyDescent="0.25">
      <c r="A33893"/>
      <c r="B33893"/>
      <c r="C33893"/>
      <c r="E33893"/>
      <c r="F33893"/>
    </row>
    <row r="33894" spans="1:6" x14ac:dyDescent="0.25">
      <c r="A33894"/>
      <c r="B33894"/>
      <c r="C33894"/>
      <c r="E33894"/>
      <c r="F33894"/>
    </row>
    <row r="33895" spans="1:6" x14ac:dyDescent="0.25">
      <c r="A33895"/>
      <c r="B33895"/>
      <c r="C33895"/>
      <c r="E33895"/>
      <c r="F33895"/>
    </row>
    <row r="33896" spans="1:6" x14ac:dyDescent="0.25">
      <c r="A33896"/>
      <c r="B33896"/>
      <c r="C33896"/>
      <c r="E33896"/>
      <c r="F33896"/>
    </row>
    <row r="33897" spans="1:6" x14ac:dyDescent="0.25">
      <c r="A33897"/>
      <c r="B33897"/>
      <c r="C33897"/>
      <c r="E33897"/>
      <c r="F33897"/>
    </row>
    <row r="33898" spans="1:6" x14ac:dyDescent="0.25">
      <c r="A33898"/>
      <c r="B33898"/>
      <c r="C33898"/>
      <c r="E33898"/>
      <c r="F33898"/>
    </row>
    <row r="33899" spans="1:6" x14ac:dyDescent="0.25">
      <c r="A33899"/>
      <c r="B33899"/>
      <c r="C33899"/>
      <c r="E33899"/>
      <c r="F33899"/>
    </row>
    <row r="33900" spans="1:6" x14ac:dyDescent="0.25">
      <c r="A33900"/>
      <c r="B33900"/>
      <c r="C33900"/>
      <c r="E33900"/>
      <c r="F33900"/>
    </row>
    <row r="33901" spans="1:6" x14ac:dyDescent="0.25">
      <c r="A33901"/>
      <c r="B33901"/>
      <c r="C33901"/>
      <c r="E33901"/>
      <c r="F33901"/>
    </row>
    <row r="33902" spans="1:6" x14ac:dyDescent="0.25">
      <c r="A33902"/>
      <c r="B33902"/>
      <c r="C33902"/>
      <c r="E33902"/>
      <c r="F33902"/>
    </row>
    <row r="33903" spans="1:6" x14ac:dyDescent="0.25">
      <c r="A33903"/>
      <c r="B33903"/>
      <c r="C33903"/>
      <c r="E33903"/>
      <c r="F33903"/>
    </row>
    <row r="33904" spans="1:6" x14ac:dyDescent="0.25">
      <c r="A33904"/>
      <c r="B33904"/>
      <c r="C33904"/>
      <c r="E33904"/>
      <c r="F33904"/>
    </row>
    <row r="33905" spans="1:6" x14ac:dyDescent="0.25">
      <c r="A33905"/>
      <c r="B33905"/>
      <c r="C33905"/>
      <c r="E33905"/>
      <c r="F33905"/>
    </row>
    <row r="33906" spans="1:6" x14ac:dyDescent="0.25">
      <c r="A33906"/>
      <c r="B33906"/>
      <c r="C33906"/>
      <c r="E33906"/>
      <c r="F33906"/>
    </row>
    <row r="33907" spans="1:6" x14ac:dyDescent="0.25">
      <c r="A33907"/>
      <c r="B33907"/>
      <c r="C33907"/>
      <c r="E33907"/>
      <c r="F33907"/>
    </row>
    <row r="33908" spans="1:6" x14ac:dyDescent="0.25">
      <c r="A33908"/>
      <c r="B33908"/>
      <c r="C33908"/>
      <c r="E33908"/>
      <c r="F33908"/>
    </row>
    <row r="33909" spans="1:6" x14ac:dyDescent="0.25">
      <c r="A33909"/>
      <c r="B33909"/>
      <c r="C33909"/>
      <c r="E33909"/>
      <c r="F33909"/>
    </row>
    <row r="33910" spans="1:6" x14ac:dyDescent="0.25">
      <c r="A33910"/>
      <c r="B33910"/>
      <c r="C33910"/>
      <c r="E33910"/>
      <c r="F33910"/>
    </row>
    <row r="33911" spans="1:6" x14ac:dyDescent="0.25">
      <c r="A33911"/>
      <c r="B33911"/>
      <c r="C33911"/>
      <c r="E33911"/>
      <c r="F33911"/>
    </row>
    <row r="33912" spans="1:6" x14ac:dyDescent="0.25">
      <c r="A33912"/>
      <c r="B33912"/>
      <c r="C33912"/>
      <c r="E33912"/>
      <c r="F33912"/>
    </row>
    <row r="33913" spans="1:6" x14ac:dyDescent="0.25">
      <c r="A33913"/>
      <c r="B33913"/>
      <c r="C33913"/>
      <c r="E33913"/>
      <c r="F33913"/>
    </row>
    <row r="33914" spans="1:6" x14ac:dyDescent="0.25">
      <c r="A33914"/>
      <c r="B33914"/>
      <c r="C33914"/>
      <c r="E33914"/>
      <c r="F33914"/>
    </row>
    <row r="33915" spans="1:6" x14ac:dyDescent="0.25">
      <c r="A33915"/>
      <c r="B33915"/>
      <c r="C33915"/>
      <c r="E33915"/>
      <c r="F33915"/>
    </row>
    <row r="33916" spans="1:6" x14ac:dyDescent="0.25">
      <c r="A33916"/>
      <c r="B33916"/>
      <c r="C33916"/>
      <c r="E33916"/>
      <c r="F33916"/>
    </row>
    <row r="33917" spans="1:6" x14ac:dyDescent="0.25">
      <c r="A33917"/>
      <c r="B33917"/>
      <c r="C33917"/>
      <c r="E33917"/>
      <c r="F33917"/>
    </row>
    <row r="33918" spans="1:6" x14ac:dyDescent="0.25">
      <c r="A33918"/>
      <c r="B33918"/>
      <c r="C33918"/>
      <c r="E33918"/>
      <c r="F33918"/>
    </row>
    <row r="33919" spans="1:6" x14ac:dyDescent="0.25">
      <c r="A33919"/>
      <c r="B33919"/>
      <c r="C33919"/>
      <c r="E33919"/>
      <c r="F33919"/>
    </row>
    <row r="33920" spans="1:6" x14ac:dyDescent="0.25">
      <c r="A33920"/>
      <c r="B33920"/>
      <c r="C33920"/>
      <c r="E33920"/>
      <c r="F33920"/>
    </row>
    <row r="33921" spans="1:6" x14ac:dyDescent="0.25">
      <c r="A33921"/>
      <c r="B33921"/>
      <c r="C33921"/>
      <c r="E33921"/>
      <c r="F33921"/>
    </row>
    <row r="33922" spans="1:6" x14ac:dyDescent="0.25">
      <c r="A33922"/>
      <c r="B33922"/>
      <c r="C33922"/>
      <c r="E33922"/>
      <c r="F33922"/>
    </row>
    <row r="33923" spans="1:6" x14ac:dyDescent="0.25">
      <c r="A33923"/>
      <c r="B33923"/>
      <c r="C33923"/>
      <c r="E33923"/>
      <c r="F33923"/>
    </row>
    <row r="33924" spans="1:6" x14ac:dyDescent="0.25">
      <c r="A33924"/>
      <c r="B33924"/>
      <c r="C33924"/>
      <c r="E33924"/>
      <c r="F33924"/>
    </row>
    <row r="33925" spans="1:6" x14ac:dyDescent="0.25">
      <c r="A33925"/>
      <c r="B33925"/>
      <c r="C33925"/>
      <c r="E33925"/>
      <c r="F33925"/>
    </row>
    <row r="33926" spans="1:6" x14ac:dyDescent="0.25">
      <c r="A33926"/>
      <c r="B33926"/>
      <c r="C33926"/>
      <c r="E33926"/>
      <c r="F33926"/>
    </row>
    <row r="33927" spans="1:6" x14ac:dyDescent="0.25">
      <c r="A33927"/>
      <c r="B33927"/>
      <c r="C33927"/>
      <c r="E33927"/>
      <c r="F33927"/>
    </row>
    <row r="33928" spans="1:6" x14ac:dyDescent="0.25">
      <c r="A33928"/>
      <c r="B33928"/>
      <c r="C33928"/>
      <c r="E33928"/>
      <c r="F33928"/>
    </row>
    <row r="33929" spans="1:6" x14ac:dyDescent="0.25">
      <c r="A33929"/>
      <c r="B33929"/>
      <c r="C33929"/>
      <c r="E33929"/>
      <c r="F33929"/>
    </row>
    <row r="33930" spans="1:6" x14ac:dyDescent="0.25">
      <c r="A33930"/>
      <c r="B33930"/>
      <c r="C33930"/>
      <c r="E33930"/>
      <c r="F33930"/>
    </row>
    <row r="33931" spans="1:6" x14ac:dyDescent="0.25">
      <c r="A33931"/>
      <c r="B33931"/>
      <c r="C33931"/>
      <c r="E33931"/>
      <c r="F33931"/>
    </row>
    <row r="33932" spans="1:6" x14ac:dyDescent="0.25">
      <c r="A33932"/>
      <c r="B33932"/>
      <c r="C33932"/>
      <c r="E33932"/>
      <c r="F33932"/>
    </row>
    <row r="33933" spans="1:6" x14ac:dyDescent="0.25">
      <c r="A33933"/>
      <c r="B33933"/>
      <c r="C33933"/>
      <c r="E33933"/>
      <c r="F33933"/>
    </row>
    <row r="33934" spans="1:6" x14ac:dyDescent="0.25">
      <c r="A33934"/>
      <c r="B33934"/>
      <c r="C33934"/>
      <c r="E33934"/>
      <c r="F33934"/>
    </row>
    <row r="33935" spans="1:6" x14ac:dyDescent="0.25">
      <c r="A33935"/>
      <c r="B33935"/>
      <c r="C33935"/>
      <c r="E33935"/>
      <c r="F33935"/>
    </row>
    <row r="33936" spans="1:6" x14ac:dyDescent="0.25">
      <c r="A33936"/>
      <c r="B33936"/>
      <c r="C33936"/>
      <c r="E33936"/>
      <c r="F33936"/>
    </row>
    <row r="33937" spans="1:6" x14ac:dyDescent="0.25">
      <c r="A33937"/>
      <c r="B33937"/>
      <c r="C33937"/>
      <c r="E33937"/>
      <c r="F33937"/>
    </row>
    <row r="33938" spans="1:6" x14ac:dyDescent="0.25">
      <c r="A33938"/>
      <c r="B33938"/>
      <c r="C33938"/>
      <c r="E33938"/>
      <c r="F33938"/>
    </row>
    <row r="33939" spans="1:6" x14ac:dyDescent="0.25">
      <c r="A33939"/>
      <c r="B33939"/>
      <c r="C33939"/>
      <c r="E33939"/>
      <c r="F33939"/>
    </row>
    <row r="33940" spans="1:6" x14ac:dyDescent="0.25">
      <c r="A33940"/>
      <c r="B33940"/>
      <c r="C33940"/>
      <c r="E33940"/>
      <c r="F33940"/>
    </row>
    <row r="33941" spans="1:6" x14ac:dyDescent="0.25">
      <c r="A33941"/>
      <c r="B33941"/>
      <c r="C33941"/>
      <c r="E33941"/>
      <c r="F33941"/>
    </row>
    <row r="33942" spans="1:6" x14ac:dyDescent="0.25">
      <c r="A33942"/>
      <c r="B33942"/>
      <c r="C33942"/>
      <c r="E33942"/>
      <c r="F33942"/>
    </row>
    <row r="33943" spans="1:6" x14ac:dyDescent="0.25">
      <c r="A33943"/>
      <c r="B33943"/>
      <c r="C33943"/>
      <c r="E33943"/>
      <c r="F33943"/>
    </row>
    <row r="33944" spans="1:6" x14ac:dyDescent="0.25">
      <c r="A33944"/>
      <c r="B33944"/>
      <c r="C33944"/>
      <c r="E33944"/>
      <c r="F33944"/>
    </row>
    <row r="33945" spans="1:6" x14ac:dyDescent="0.25">
      <c r="A33945"/>
      <c r="B33945"/>
      <c r="C33945"/>
      <c r="E33945"/>
      <c r="F33945"/>
    </row>
    <row r="33946" spans="1:6" x14ac:dyDescent="0.25">
      <c r="A33946"/>
      <c r="B33946"/>
      <c r="C33946"/>
      <c r="E33946"/>
      <c r="F33946"/>
    </row>
    <row r="33947" spans="1:6" x14ac:dyDescent="0.25">
      <c r="A33947"/>
      <c r="B33947"/>
      <c r="C33947"/>
      <c r="E33947"/>
      <c r="F33947"/>
    </row>
    <row r="33948" spans="1:6" x14ac:dyDescent="0.25">
      <c r="A33948"/>
      <c r="B33948"/>
      <c r="C33948"/>
      <c r="E33948"/>
      <c r="F33948"/>
    </row>
    <row r="33949" spans="1:6" x14ac:dyDescent="0.25">
      <c r="A33949"/>
      <c r="B33949"/>
      <c r="C33949"/>
      <c r="E33949"/>
      <c r="F33949"/>
    </row>
    <row r="33950" spans="1:6" x14ac:dyDescent="0.25">
      <c r="A33950"/>
      <c r="B33950"/>
      <c r="C33950"/>
      <c r="E33950"/>
      <c r="F33950"/>
    </row>
    <row r="33951" spans="1:6" x14ac:dyDescent="0.25">
      <c r="A33951"/>
      <c r="B33951"/>
      <c r="C33951"/>
      <c r="E33951"/>
      <c r="F33951"/>
    </row>
    <row r="33952" spans="1:6" x14ac:dyDescent="0.25">
      <c r="A33952"/>
      <c r="B33952"/>
      <c r="C33952"/>
      <c r="E33952"/>
      <c r="F33952"/>
    </row>
    <row r="33953" spans="1:6" x14ac:dyDescent="0.25">
      <c r="A33953"/>
      <c r="B33953"/>
      <c r="C33953"/>
      <c r="E33953"/>
      <c r="F33953"/>
    </row>
    <row r="33954" spans="1:6" x14ac:dyDescent="0.25">
      <c r="A33954"/>
      <c r="B33954"/>
      <c r="C33954"/>
      <c r="E33954"/>
      <c r="F33954"/>
    </row>
    <row r="33955" spans="1:6" x14ac:dyDescent="0.25">
      <c r="A33955"/>
      <c r="B33955"/>
      <c r="C33955"/>
      <c r="E33955"/>
      <c r="F33955"/>
    </row>
    <row r="33956" spans="1:6" x14ac:dyDescent="0.25">
      <c r="A33956"/>
      <c r="B33956"/>
      <c r="C33956"/>
      <c r="E33956"/>
      <c r="F33956"/>
    </row>
    <row r="33957" spans="1:6" x14ac:dyDescent="0.25">
      <c r="A33957"/>
      <c r="B33957"/>
      <c r="C33957"/>
      <c r="E33957"/>
      <c r="F33957"/>
    </row>
    <row r="33958" spans="1:6" x14ac:dyDescent="0.25">
      <c r="A33958"/>
      <c r="B33958"/>
      <c r="C33958"/>
      <c r="E33958"/>
      <c r="F33958"/>
    </row>
    <row r="33959" spans="1:6" x14ac:dyDescent="0.25">
      <c r="A33959"/>
      <c r="B33959"/>
      <c r="C33959"/>
      <c r="E33959"/>
      <c r="F33959"/>
    </row>
    <row r="33960" spans="1:6" x14ac:dyDescent="0.25">
      <c r="A33960"/>
      <c r="B33960"/>
      <c r="C33960"/>
      <c r="E33960"/>
      <c r="F33960"/>
    </row>
    <row r="33961" spans="1:6" x14ac:dyDescent="0.25">
      <c r="A33961"/>
      <c r="B33961"/>
      <c r="C33961"/>
      <c r="E33961"/>
      <c r="F33961"/>
    </row>
    <row r="33962" spans="1:6" x14ac:dyDescent="0.25">
      <c r="A33962"/>
      <c r="B33962"/>
      <c r="C33962"/>
      <c r="E33962"/>
      <c r="F33962"/>
    </row>
    <row r="33963" spans="1:6" x14ac:dyDescent="0.25">
      <c r="A33963"/>
      <c r="B33963"/>
      <c r="C33963"/>
      <c r="E33963"/>
      <c r="F33963"/>
    </row>
    <row r="33964" spans="1:6" x14ac:dyDescent="0.25">
      <c r="A33964"/>
      <c r="B33964"/>
      <c r="C33964"/>
      <c r="E33964"/>
      <c r="F33964"/>
    </row>
    <row r="33965" spans="1:6" x14ac:dyDescent="0.25">
      <c r="A33965"/>
      <c r="B33965"/>
      <c r="C33965"/>
      <c r="E33965"/>
      <c r="F33965"/>
    </row>
    <row r="33966" spans="1:6" x14ac:dyDescent="0.25">
      <c r="A33966"/>
      <c r="B33966"/>
      <c r="C33966"/>
      <c r="E33966"/>
      <c r="F33966"/>
    </row>
    <row r="33967" spans="1:6" x14ac:dyDescent="0.25">
      <c r="A33967"/>
      <c r="B33967"/>
      <c r="C33967"/>
      <c r="E33967"/>
      <c r="F33967"/>
    </row>
    <row r="33968" spans="1:6" x14ac:dyDescent="0.25">
      <c r="A33968"/>
      <c r="B33968"/>
      <c r="C33968"/>
      <c r="E33968"/>
      <c r="F33968"/>
    </row>
    <row r="33969" spans="1:6" x14ac:dyDescent="0.25">
      <c r="A33969"/>
      <c r="B33969"/>
      <c r="C33969"/>
      <c r="E33969"/>
      <c r="F33969"/>
    </row>
    <row r="33970" spans="1:6" x14ac:dyDescent="0.25">
      <c r="A33970"/>
      <c r="B33970"/>
      <c r="C33970"/>
      <c r="E33970"/>
      <c r="F33970"/>
    </row>
    <row r="33971" spans="1:6" x14ac:dyDescent="0.25">
      <c r="A33971"/>
      <c r="B33971"/>
      <c r="C33971"/>
      <c r="E33971"/>
      <c r="F33971"/>
    </row>
    <row r="33972" spans="1:6" x14ac:dyDescent="0.25">
      <c r="A33972"/>
      <c r="B33972"/>
      <c r="C33972"/>
      <c r="E33972"/>
      <c r="F33972"/>
    </row>
    <row r="33973" spans="1:6" x14ac:dyDescent="0.25">
      <c r="A33973"/>
      <c r="B33973"/>
      <c r="C33973"/>
      <c r="E33973"/>
      <c r="F33973"/>
    </row>
    <row r="33974" spans="1:6" x14ac:dyDescent="0.25">
      <c r="A33974"/>
      <c r="B33974"/>
      <c r="C33974"/>
      <c r="E33974"/>
      <c r="F33974"/>
    </row>
    <row r="33975" spans="1:6" x14ac:dyDescent="0.25">
      <c r="A33975"/>
      <c r="B33975"/>
      <c r="C33975"/>
      <c r="E33975"/>
      <c r="F33975"/>
    </row>
    <row r="33976" spans="1:6" x14ac:dyDescent="0.25">
      <c r="A33976"/>
      <c r="B33976"/>
      <c r="C33976"/>
      <c r="E33976"/>
      <c r="F33976"/>
    </row>
    <row r="33977" spans="1:6" x14ac:dyDescent="0.25">
      <c r="A33977"/>
      <c r="B33977"/>
      <c r="C33977"/>
      <c r="E33977"/>
      <c r="F33977"/>
    </row>
    <row r="33978" spans="1:6" x14ac:dyDescent="0.25">
      <c r="A33978"/>
      <c r="B33978"/>
      <c r="C33978"/>
      <c r="E33978"/>
      <c r="F33978"/>
    </row>
    <row r="33979" spans="1:6" x14ac:dyDescent="0.25">
      <c r="A33979"/>
      <c r="B33979"/>
      <c r="C33979"/>
      <c r="E33979"/>
      <c r="F33979"/>
    </row>
    <row r="33980" spans="1:6" x14ac:dyDescent="0.25">
      <c r="A33980"/>
      <c r="B33980"/>
      <c r="C33980"/>
      <c r="E33980"/>
      <c r="F33980"/>
    </row>
    <row r="33981" spans="1:6" x14ac:dyDescent="0.25">
      <c r="A33981"/>
      <c r="B33981"/>
      <c r="C33981"/>
      <c r="E33981"/>
      <c r="F33981"/>
    </row>
    <row r="33982" spans="1:6" x14ac:dyDescent="0.25">
      <c r="A33982"/>
      <c r="B33982"/>
      <c r="C33982"/>
      <c r="E33982"/>
      <c r="F33982"/>
    </row>
    <row r="33983" spans="1:6" x14ac:dyDescent="0.25">
      <c r="A33983"/>
      <c r="B33983"/>
      <c r="C33983"/>
      <c r="E33983"/>
      <c r="F33983"/>
    </row>
    <row r="33984" spans="1:6" x14ac:dyDescent="0.25">
      <c r="A33984"/>
      <c r="B33984"/>
      <c r="C33984"/>
      <c r="E33984"/>
      <c r="F33984"/>
    </row>
    <row r="33985" spans="1:6" x14ac:dyDescent="0.25">
      <c r="A33985"/>
      <c r="B33985"/>
      <c r="C33985"/>
      <c r="E33985"/>
      <c r="F33985"/>
    </row>
    <row r="33986" spans="1:6" x14ac:dyDescent="0.25">
      <c r="A33986"/>
      <c r="B33986"/>
      <c r="C33986"/>
      <c r="E33986"/>
      <c r="F33986"/>
    </row>
    <row r="33987" spans="1:6" x14ac:dyDescent="0.25">
      <c r="A33987"/>
      <c r="B33987"/>
      <c r="C33987"/>
      <c r="E33987"/>
      <c r="F33987"/>
    </row>
    <row r="33988" spans="1:6" x14ac:dyDescent="0.25">
      <c r="A33988"/>
      <c r="B33988"/>
      <c r="C33988"/>
      <c r="E33988"/>
      <c r="F33988"/>
    </row>
    <row r="33989" spans="1:6" x14ac:dyDescent="0.25">
      <c r="A33989"/>
      <c r="B33989"/>
      <c r="C33989"/>
      <c r="E33989"/>
      <c r="F33989"/>
    </row>
    <row r="33990" spans="1:6" x14ac:dyDescent="0.25">
      <c r="A33990"/>
      <c r="B33990"/>
      <c r="C33990"/>
      <c r="E33990"/>
      <c r="F33990"/>
    </row>
    <row r="33991" spans="1:6" x14ac:dyDescent="0.25">
      <c r="A33991"/>
      <c r="B33991"/>
      <c r="C33991"/>
      <c r="E33991"/>
      <c r="F33991"/>
    </row>
    <row r="33992" spans="1:6" x14ac:dyDescent="0.25">
      <c r="A33992"/>
      <c r="B33992"/>
      <c r="C33992"/>
      <c r="E33992"/>
      <c r="F33992"/>
    </row>
    <row r="33993" spans="1:6" x14ac:dyDescent="0.25">
      <c r="A33993"/>
      <c r="B33993"/>
      <c r="C33993"/>
      <c r="E33993"/>
      <c r="F33993"/>
    </row>
    <row r="33994" spans="1:6" x14ac:dyDescent="0.25">
      <c r="A33994"/>
      <c r="B33994"/>
      <c r="C33994"/>
      <c r="E33994"/>
      <c r="F33994"/>
    </row>
    <row r="33995" spans="1:6" x14ac:dyDescent="0.25">
      <c r="A33995"/>
      <c r="B33995"/>
      <c r="C33995"/>
      <c r="E33995"/>
      <c r="F33995"/>
    </row>
    <row r="33996" spans="1:6" x14ac:dyDescent="0.25">
      <c r="A33996"/>
      <c r="B33996"/>
      <c r="C33996"/>
      <c r="E33996"/>
      <c r="F33996"/>
    </row>
    <row r="33997" spans="1:6" x14ac:dyDescent="0.25">
      <c r="A33997"/>
      <c r="B33997"/>
      <c r="C33997"/>
      <c r="E33997"/>
      <c r="F33997"/>
    </row>
    <row r="33998" spans="1:6" x14ac:dyDescent="0.25">
      <c r="A33998"/>
      <c r="B33998"/>
      <c r="C33998"/>
      <c r="E33998"/>
      <c r="F33998"/>
    </row>
    <row r="33999" spans="1:6" x14ac:dyDescent="0.25">
      <c r="A33999"/>
      <c r="B33999"/>
      <c r="C33999"/>
      <c r="E33999"/>
      <c r="F33999"/>
    </row>
    <row r="34000" spans="1:6" x14ac:dyDescent="0.25">
      <c r="A34000"/>
      <c r="B34000"/>
      <c r="C34000"/>
      <c r="E34000"/>
      <c r="F34000"/>
    </row>
    <row r="34001" spans="1:6" x14ac:dyDescent="0.25">
      <c r="A34001"/>
      <c r="B34001"/>
      <c r="C34001"/>
      <c r="E34001"/>
      <c r="F34001"/>
    </row>
    <row r="34002" spans="1:6" x14ac:dyDescent="0.25">
      <c r="A34002"/>
      <c r="B34002"/>
      <c r="C34002"/>
      <c r="E34002"/>
      <c r="F34002"/>
    </row>
    <row r="34003" spans="1:6" x14ac:dyDescent="0.25">
      <c r="A34003"/>
      <c r="B34003"/>
      <c r="C34003"/>
      <c r="E34003"/>
      <c r="F34003"/>
    </row>
    <row r="34004" spans="1:6" x14ac:dyDescent="0.25">
      <c r="A34004"/>
      <c r="B34004"/>
      <c r="C34004"/>
      <c r="E34004"/>
      <c r="F34004"/>
    </row>
    <row r="34005" spans="1:6" x14ac:dyDescent="0.25">
      <c r="A34005"/>
      <c r="B34005"/>
      <c r="C34005"/>
      <c r="E34005"/>
      <c r="F34005"/>
    </row>
    <row r="34006" spans="1:6" x14ac:dyDescent="0.25">
      <c r="A34006"/>
      <c r="B34006"/>
      <c r="C34006"/>
      <c r="E34006"/>
      <c r="F34006"/>
    </row>
    <row r="34007" spans="1:6" x14ac:dyDescent="0.25">
      <c r="A34007"/>
      <c r="B34007"/>
      <c r="C34007"/>
      <c r="E34007"/>
      <c r="F34007"/>
    </row>
    <row r="34008" spans="1:6" x14ac:dyDescent="0.25">
      <c r="A34008"/>
      <c r="B34008"/>
      <c r="C34008"/>
      <c r="E34008"/>
      <c r="F34008"/>
    </row>
    <row r="34009" spans="1:6" x14ac:dyDescent="0.25">
      <c r="A34009"/>
      <c r="B34009"/>
      <c r="C34009"/>
      <c r="E34009"/>
      <c r="F34009"/>
    </row>
    <row r="34010" spans="1:6" x14ac:dyDescent="0.25">
      <c r="A34010"/>
      <c r="B34010"/>
      <c r="C34010"/>
      <c r="E34010"/>
      <c r="F34010"/>
    </row>
    <row r="34011" spans="1:6" x14ac:dyDescent="0.25">
      <c r="A34011"/>
      <c r="B34011"/>
      <c r="C34011"/>
      <c r="E34011"/>
      <c r="F34011"/>
    </row>
    <row r="34012" spans="1:6" x14ac:dyDescent="0.25">
      <c r="A34012"/>
      <c r="B34012"/>
      <c r="C34012"/>
      <c r="E34012"/>
      <c r="F34012"/>
    </row>
    <row r="34013" spans="1:6" x14ac:dyDescent="0.25">
      <c r="A34013"/>
      <c r="B34013"/>
      <c r="C34013"/>
      <c r="E34013"/>
      <c r="F34013"/>
    </row>
    <row r="34014" spans="1:6" x14ac:dyDescent="0.25">
      <c r="A34014"/>
      <c r="B34014"/>
      <c r="C34014"/>
      <c r="E34014"/>
      <c r="F34014"/>
    </row>
    <row r="34015" spans="1:6" x14ac:dyDescent="0.25">
      <c r="A34015"/>
      <c r="B34015"/>
      <c r="C34015"/>
      <c r="E34015"/>
      <c r="F34015"/>
    </row>
    <row r="34016" spans="1:6" x14ac:dyDescent="0.25">
      <c r="A34016"/>
      <c r="B34016"/>
      <c r="C34016"/>
      <c r="E34016"/>
      <c r="F34016"/>
    </row>
    <row r="34017" spans="1:6" x14ac:dyDescent="0.25">
      <c r="A34017"/>
      <c r="B34017"/>
      <c r="C34017"/>
      <c r="E34017"/>
      <c r="F34017"/>
    </row>
    <row r="34018" spans="1:6" x14ac:dyDescent="0.25">
      <c r="A34018"/>
      <c r="B34018"/>
      <c r="C34018"/>
      <c r="E34018"/>
      <c r="F34018"/>
    </row>
    <row r="34019" spans="1:6" x14ac:dyDescent="0.25">
      <c r="A34019"/>
      <c r="B34019"/>
      <c r="C34019"/>
      <c r="E34019"/>
      <c r="F34019"/>
    </row>
    <row r="34020" spans="1:6" x14ac:dyDescent="0.25">
      <c r="A34020"/>
      <c r="B34020"/>
      <c r="C34020"/>
      <c r="E34020"/>
      <c r="F34020"/>
    </row>
    <row r="34021" spans="1:6" x14ac:dyDescent="0.25">
      <c r="A34021"/>
      <c r="B34021"/>
      <c r="C34021"/>
      <c r="E34021"/>
      <c r="F34021"/>
    </row>
    <row r="34022" spans="1:6" x14ac:dyDescent="0.25">
      <c r="A34022"/>
      <c r="B34022"/>
      <c r="C34022"/>
      <c r="E34022"/>
      <c r="F34022"/>
    </row>
    <row r="34023" spans="1:6" x14ac:dyDescent="0.25">
      <c r="A34023"/>
      <c r="B34023"/>
      <c r="C34023"/>
      <c r="E34023"/>
      <c r="F34023"/>
    </row>
    <row r="34024" spans="1:6" x14ac:dyDescent="0.25">
      <c r="A34024"/>
      <c r="B34024"/>
      <c r="C34024"/>
      <c r="E34024"/>
      <c r="F34024"/>
    </row>
    <row r="34025" spans="1:6" x14ac:dyDescent="0.25">
      <c r="A34025"/>
      <c r="B34025"/>
      <c r="C34025"/>
      <c r="E34025"/>
      <c r="F34025"/>
    </row>
    <row r="34026" spans="1:6" x14ac:dyDescent="0.25">
      <c r="A34026"/>
      <c r="B34026"/>
      <c r="C34026"/>
      <c r="E34026"/>
      <c r="F34026"/>
    </row>
    <row r="34027" spans="1:6" x14ac:dyDescent="0.25">
      <c r="A34027"/>
      <c r="B34027"/>
      <c r="C34027"/>
      <c r="E34027"/>
      <c r="F34027"/>
    </row>
    <row r="34028" spans="1:6" x14ac:dyDescent="0.25">
      <c r="A34028"/>
      <c r="B34028"/>
      <c r="C34028"/>
      <c r="E34028"/>
      <c r="F34028"/>
    </row>
    <row r="34029" spans="1:6" x14ac:dyDescent="0.25">
      <c r="A34029"/>
      <c r="B34029"/>
      <c r="C34029"/>
      <c r="E34029"/>
      <c r="F34029"/>
    </row>
    <row r="34030" spans="1:6" x14ac:dyDescent="0.25">
      <c r="A34030"/>
      <c r="B34030"/>
      <c r="C34030"/>
      <c r="E34030"/>
      <c r="F34030"/>
    </row>
    <row r="34031" spans="1:6" x14ac:dyDescent="0.25">
      <c r="A34031"/>
      <c r="B34031"/>
      <c r="C34031"/>
      <c r="E34031"/>
      <c r="F34031"/>
    </row>
    <row r="34032" spans="1:6" x14ac:dyDescent="0.25">
      <c r="A34032"/>
      <c r="B34032"/>
      <c r="C34032"/>
      <c r="E34032"/>
      <c r="F34032"/>
    </row>
    <row r="34033" spans="1:6" x14ac:dyDescent="0.25">
      <c r="A34033"/>
      <c r="B34033"/>
      <c r="C34033"/>
      <c r="E34033"/>
      <c r="F34033"/>
    </row>
    <row r="34034" spans="1:6" x14ac:dyDescent="0.25">
      <c r="A34034"/>
      <c r="B34034"/>
      <c r="C34034"/>
      <c r="E34034"/>
      <c r="F34034"/>
    </row>
    <row r="34035" spans="1:6" x14ac:dyDescent="0.25">
      <c r="A34035"/>
      <c r="B34035"/>
      <c r="C34035"/>
      <c r="E34035"/>
      <c r="F34035"/>
    </row>
    <row r="34036" spans="1:6" x14ac:dyDescent="0.25">
      <c r="A34036"/>
      <c r="B34036"/>
      <c r="C34036"/>
      <c r="E34036"/>
      <c r="F34036"/>
    </row>
    <row r="34037" spans="1:6" x14ac:dyDescent="0.25">
      <c r="A34037"/>
      <c r="B34037"/>
      <c r="C34037"/>
      <c r="E34037"/>
      <c r="F34037"/>
    </row>
    <row r="34038" spans="1:6" x14ac:dyDescent="0.25">
      <c r="A34038"/>
      <c r="B34038"/>
      <c r="C34038"/>
      <c r="E34038"/>
      <c r="F34038"/>
    </row>
    <row r="34039" spans="1:6" x14ac:dyDescent="0.25">
      <c r="A34039"/>
      <c r="B34039"/>
      <c r="C34039"/>
      <c r="E34039"/>
      <c r="F34039"/>
    </row>
    <row r="34040" spans="1:6" x14ac:dyDescent="0.25">
      <c r="A34040"/>
      <c r="B34040"/>
      <c r="C34040"/>
      <c r="E34040"/>
      <c r="F34040"/>
    </row>
    <row r="34041" spans="1:6" x14ac:dyDescent="0.25">
      <c r="A34041"/>
      <c r="B34041"/>
      <c r="C34041"/>
      <c r="E34041"/>
      <c r="F34041"/>
    </row>
    <row r="34042" spans="1:6" x14ac:dyDescent="0.25">
      <c r="A34042"/>
      <c r="B34042"/>
      <c r="C34042"/>
      <c r="E34042"/>
      <c r="F34042"/>
    </row>
    <row r="34043" spans="1:6" x14ac:dyDescent="0.25">
      <c r="A34043"/>
      <c r="B34043"/>
      <c r="C34043"/>
      <c r="E34043"/>
      <c r="F34043"/>
    </row>
    <row r="34044" spans="1:6" x14ac:dyDescent="0.25">
      <c r="A34044"/>
      <c r="B34044"/>
      <c r="C34044"/>
      <c r="E34044"/>
      <c r="F34044"/>
    </row>
    <row r="34045" spans="1:6" x14ac:dyDescent="0.25">
      <c r="A34045"/>
      <c r="B34045"/>
      <c r="C34045"/>
      <c r="E34045"/>
      <c r="F34045"/>
    </row>
    <row r="34046" spans="1:6" x14ac:dyDescent="0.25">
      <c r="A34046"/>
      <c r="B34046"/>
      <c r="C34046"/>
      <c r="E34046"/>
      <c r="F34046"/>
    </row>
    <row r="34047" spans="1:6" x14ac:dyDescent="0.25">
      <c r="A34047"/>
      <c r="B34047"/>
      <c r="C34047"/>
      <c r="E34047"/>
      <c r="F34047"/>
    </row>
    <row r="34048" spans="1:6" x14ac:dyDescent="0.25">
      <c r="A34048"/>
      <c r="B34048"/>
      <c r="C34048"/>
      <c r="E34048"/>
      <c r="F34048"/>
    </row>
    <row r="34049" spans="1:6" x14ac:dyDescent="0.25">
      <c r="A34049"/>
      <c r="B34049"/>
      <c r="C34049"/>
      <c r="E34049"/>
      <c r="F34049"/>
    </row>
    <row r="34050" spans="1:6" x14ac:dyDescent="0.25">
      <c r="A34050"/>
      <c r="B34050"/>
      <c r="C34050"/>
      <c r="E34050"/>
      <c r="F34050"/>
    </row>
    <row r="34051" spans="1:6" x14ac:dyDescent="0.25">
      <c r="A34051"/>
      <c r="B34051"/>
      <c r="C34051"/>
      <c r="E34051"/>
      <c r="F34051"/>
    </row>
    <row r="34052" spans="1:6" x14ac:dyDescent="0.25">
      <c r="A34052"/>
      <c r="B34052"/>
      <c r="C34052"/>
      <c r="E34052"/>
      <c r="F34052"/>
    </row>
    <row r="34053" spans="1:6" x14ac:dyDescent="0.25">
      <c r="A34053"/>
      <c r="B34053"/>
      <c r="C34053"/>
      <c r="E34053"/>
      <c r="F34053"/>
    </row>
    <row r="34054" spans="1:6" x14ac:dyDescent="0.25">
      <c r="A34054"/>
      <c r="B34054"/>
      <c r="C34054"/>
      <c r="E34054"/>
      <c r="F34054"/>
    </row>
    <row r="34055" spans="1:6" x14ac:dyDescent="0.25">
      <c r="A34055"/>
      <c r="B34055"/>
      <c r="C34055"/>
      <c r="E34055"/>
      <c r="F34055"/>
    </row>
    <row r="34056" spans="1:6" x14ac:dyDescent="0.25">
      <c r="A34056"/>
      <c r="B34056"/>
      <c r="C34056"/>
      <c r="E34056"/>
      <c r="F34056"/>
    </row>
    <row r="34057" spans="1:6" x14ac:dyDescent="0.25">
      <c r="A34057"/>
      <c r="B34057"/>
      <c r="C34057"/>
      <c r="E34057"/>
      <c r="F34057"/>
    </row>
    <row r="34058" spans="1:6" x14ac:dyDescent="0.25">
      <c r="A34058"/>
      <c r="B34058"/>
      <c r="C34058"/>
      <c r="E34058"/>
      <c r="F34058"/>
    </row>
    <row r="34059" spans="1:6" x14ac:dyDescent="0.25">
      <c r="A34059"/>
      <c r="B34059"/>
      <c r="C34059"/>
      <c r="E34059"/>
      <c r="F34059"/>
    </row>
    <row r="34060" spans="1:6" x14ac:dyDescent="0.25">
      <c r="A34060"/>
      <c r="B34060"/>
      <c r="C34060"/>
      <c r="E34060"/>
      <c r="F34060"/>
    </row>
    <row r="34061" spans="1:6" x14ac:dyDescent="0.25">
      <c r="A34061"/>
      <c r="B34061"/>
      <c r="C34061"/>
      <c r="E34061"/>
      <c r="F34061"/>
    </row>
    <row r="34062" spans="1:6" x14ac:dyDescent="0.25">
      <c r="A34062"/>
      <c r="B34062"/>
      <c r="C34062"/>
      <c r="E34062"/>
      <c r="F34062"/>
    </row>
    <row r="34063" spans="1:6" x14ac:dyDescent="0.25">
      <c r="A34063"/>
      <c r="B34063"/>
      <c r="C34063"/>
      <c r="E34063"/>
      <c r="F34063"/>
    </row>
    <row r="34064" spans="1:6" x14ac:dyDescent="0.25">
      <c r="A34064"/>
      <c r="B34064"/>
      <c r="C34064"/>
      <c r="E34064"/>
      <c r="F34064"/>
    </row>
    <row r="34065" spans="1:6" x14ac:dyDescent="0.25">
      <c r="A34065"/>
      <c r="B34065"/>
      <c r="C34065"/>
      <c r="E34065"/>
      <c r="F34065"/>
    </row>
    <row r="34066" spans="1:6" x14ac:dyDescent="0.25">
      <c r="A34066"/>
      <c r="B34066"/>
      <c r="C34066"/>
      <c r="E34066"/>
      <c r="F34066"/>
    </row>
    <row r="34067" spans="1:6" x14ac:dyDescent="0.25">
      <c r="A34067"/>
      <c r="B34067"/>
      <c r="C34067"/>
      <c r="E34067"/>
      <c r="F34067"/>
    </row>
    <row r="34068" spans="1:6" x14ac:dyDescent="0.25">
      <c r="A34068"/>
      <c r="B34068"/>
      <c r="C34068"/>
      <c r="E34068"/>
      <c r="F34068"/>
    </row>
    <row r="34069" spans="1:6" x14ac:dyDescent="0.25">
      <c r="A34069"/>
      <c r="B34069"/>
      <c r="C34069"/>
      <c r="E34069"/>
      <c r="F34069"/>
    </row>
    <row r="34070" spans="1:6" x14ac:dyDescent="0.25">
      <c r="A34070"/>
      <c r="B34070"/>
      <c r="C34070"/>
      <c r="E34070"/>
      <c r="F34070"/>
    </row>
    <row r="34071" spans="1:6" x14ac:dyDescent="0.25">
      <c r="A34071"/>
      <c r="B34071"/>
      <c r="C34071"/>
      <c r="E34071"/>
      <c r="F34071"/>
    </row>
    <row r="34072" spans="1:6" x14ac:dyDescent="0.25">
      <c r="A34072"/>
      <c r="B34072"/>
      <c r="C34072"/>
      <c r="E34072"/>
      <c r="F34072"/>
    </row>
    <row r="34073" spans="1:6" x14ac:dyDescent="0.25">
      <c r="A34073"/>
      <c r="B34073"/>
      <c r="C34073"/>
      <c r="E34073"/>
      <c r="F34073"/>
    </row>
    <row r="34074" spans="1:6" x14ac:dyDescent="0.25">
      <c r="A34074"/>
      <c r="B34074"/>
      <c r="C34074"/>
      <c r="E34074"/>
      <c r="F34074"/>
    </row>
    <row r="34075" spans="1:6" x14ac:dyDescent="0.25">
      <c r="A34075"/>
      <c r="B34075"/>
      <c r="C34075"/>
      <c r="E34075"/>
      <c r="F34075"/>
    </row>
    <row r="34076" spans="1:6" x14ac:dyDescent="0.25">
      <c r="A34076"/>
      <c r="B34076"/>
      <c r="C34076"/>
      <c r="E34076"/>
      <c r="F34076"/>
    </row>
    <row r="34077" spans="1:6" x14ac:dyDescent="0.25">
      <c r="A34077"/>
      <c r="B34077"/>
      <c r="C34077"/>
      <c r="E34077"/>
      <c r="F34077"/>
    </row>
    <row r="34078" spans="1:6" x14ac:dyDescent="0.25">
      <c r="A34078"/>
      <c r="B34078"/>
      <c r="C34078"/>
      <c r="E34078"/>
      <c r="F34078"/>
    </row>
    <row r="34079" spans="1:6" x14ac:dyDescent="0.25">
      <c r="A34079"/>
      <c r="B34079"/>
      <c r="C34079"/>
      <c r="E34079"/>
      <c r="F34079"/>
    </row>
    <row r="34080" spans="1:6" x14ac:dyDescent="0.25">
      <c r="A34080"/>
      <c r="B34080"/>
      <c r="C34080"/>
      <c r="E34080"/>
      <c r="F34080"/>
    </row>
    <row r="34081" spans="1:6" x14ac:dyDescent="0.25">
      <c r="A34081"/>
      <c r="B34081"/>
      <c r="C34081"/>
      <c r="E34081"/>
      <c r="F34081"/>
    </row>
    <row r="34082" spans="1:6" x14ac:dyDescent="0.25">
      <c r="A34082"/>
      <c r="B34082"/>
      <c r="C34082"/>
      <c r="E34082"/>
      <c r="F34082"/>
    </row>
    <row r="34083" spans="1:6" x14ac:dyDescent="0.25">
      <c r="A34083"/>
      <c r="B34083"/>
      <c r="C34083"/>
      <c r="E34083"/>
      <c r="F34083"/>
    </row>
    <row r="34084" spans="1:6" x14ac:dyDescent="0.25">
      <c r="A34084"/>
      <c r="B34084"/>
      <c r="C34084"/>
      <c r="E34084"/>
      <c r="F34084"/>
    </row>
    <row r="34085" spans="1:6" x14ac:dyDescent="0.25">
      <c r="A34085"/>
      <c r="B34085"/>
      <c r="C34085"/>
      <c r="E34085"/>
      <c r="F34085"/>
    </row>
    <row r="34086" spans="1:6" x14ac:dyDescent="0.25">
      <c r="A34086"/>
      <c r="B34086"/>
      <c r="C34086"/>
      <c r="E34086"/>
      <c r="F34086"/>
    </row>
    <row r="34087" spans="1:6" x14ac:dyDescent="0.25">
      <c r="A34087"/>
      <c r="B34087"/>
      <c r="C34087"/>
      <c r="E34087"/>
      <c r="F34087"/>
    </row>
    <row r="34088" spans="1:6" x14ac:dyDescent="0.25">
      <c r="A34088"/>
      <c r="B34088"/>
      <c r="C34088"/>
      <c r="E34088"/>
      <c r="F34088"/>
    </row>
    <row r="34089" spans="1:6" x14ac:dyDescent="0.25">
      <c r="A34089"/>
      <c r="B34089"/>
      <c r="C34089"/>
      <c r="E34089"/>
      <c r="F34089"/>
    </row>
    <row r="34090" spans="1:6" x14ac:dyDescent="0.25">
      <c r="A34090"/>
      <c r="B34090"/>
      <c r="C34090"/>
      <c r="E34090"/>
      <c r="F34090"/>
    </row>
    <row r="34091" spans="1:6" x14ac:dyDescent="0.25">
      <c r="A34091"/>
      <c r="B34091"/>
      <c r="C34091"/>
      <c r="E34091"/>
      <c r="F34091"/>
    </row>
    <row r="34092" spans="1:6" x14ac:dyDescent="0.25">
      <c r="A34092"/>
      <c r="B34092"/>
      <c r="C34092"/>
      <c r="E34092"/>
      <c r="F34092"/>
    </row>
    <row r="34093" spans="1:6" x14ac:dyDescent="0.25">
      <c r="A34093"/>
      <c r="B34093"/>
      <c r="C34093"/>
      <c r="E34093"/>
      <c r="F34093"/>
    </row>
    <row r="34094" spans="1:6" x14ac:dyDescent="0.25">
      <c r="A34094"/>
      <c r="B34094"/>
      <c r="C34094"/>
      <c r="E34094"/>
      <c r="F34094"/>
    </row>
    <row r="34095" spans="1:6" x14ac:dyDescent="0.25">
      <c r="A34095"/>
      <c r="B34095"/>
      <c r="C34095"/>
      <c r="E34095"/>
      <c r="F34095"/>
    </row>
    <row r="34096" spans="1:6" x14ac:dyDescent="0.25">
      <c r="A34096"/>
      <c r="B34096"/>
      <c r="C34096"/>
      <c r="E34096"/>
      <c r="F34096"/>
    </row>
    <row r="34097" spans="1:6" x14ac:dyDescent="0.25">
      <c r="A34097"/>
      <c r="B34097"/>
      <c r="C34097"/>
      <c r="E34097"/>
      <c r="F34097"/>
    </row>
    <row r="34098" spans="1:6" x14ac:dyDescent="0.25">
      <c r="A34098"/>
      <c r="B34098"/>
      <c r="C34098"/>
      <c r="E34098"/>
      <c r="F34098"/>
    </row>
    <row r="34099" spans="1:6" x14ac:dyDescent="0.25">
      <c r="A34099"/>
      <c r="B34099"/>
      <c r="C34099"/>
      <c r="E34099"/>
      <c r="F34099"/>
    </row>
    <row r="34100" spans="1:6" x14ac:dyDescent="0.25">
      <c r="A34100"/>
      <c r="B34100"/>
      <c r="C34100"/>
      <c r="E34100"/>
      <c r="F34100"/>
    </row>
    <row r="34101" spans="1:6" x14ac:dyDescent="0.25">
      <c r="A34101"/>
      <c r="B34101"/>
      <c r="C34101"/>
      <c r="E34101"/>
      <c r="F34101"/>
    </row>
    <row r="34102" spans="1:6" x14ac:dyDescent="0.25">
      <c r="A34102"/>
      <c r="B34102"/>
      <c r="C34102"/>
      <c r="E34102"/>
      <c r="F34102"/>
    </row>
    <row r="34103" spans="1:6" x14ac:dyDescent="0.25">
      <c r="A34103"/>
      <c r="B34103"/>
      <c r="C34103"/>
      <c r="E34103"/>
      <c r="F34103"/>
    </row>
    <row r="34104" spans="1:6" x14ac:dyDescent="0.25">
      <c r="A34104"/>
      <c r="B34104"/>
      <c r="C34104"/>
      <c r="E34104"/>
      <c r="F34104"/>
    </row>
    <row r="34105" spans="1:6" x14ac:dyDescent="0.25">
      <c r="A34105"/>
      <c r="B34105"/>
      <c r="C34105"/>
      <c r="E34105"/>
      <c r="F34105"/>
    </row>
    <row r="34106" spans="1:6" x14ac:dyDescent="0.25">
      <c r="A34106"/>
      <c r="B34106"/>
      <c r="C34106"/>
      <c r="E34106"/>
      <c r="F34106"/>
    </row>
    <row r="34107" spans="1:6" x14ac:dyDescent="0.25">
      <c r="A34107"/>
      <c r="B34107"/>
      <c r="C34107"/>
      <c r="E34107"/>
      <c r="F34107"/>
    </row>
    <row r="34108" spans="1:6" x14ac:dyDescent="0.25">
      <c r="A34108"/>
      <c r="B34108"/>
      <c r="C34108"/>
      <c r="E34108"/>
      <c r="F34108"/>
    </row>
    <row r="34109" spans="1:6" x14ac:dyDescent="0.25">
      <c r="A34109"/>
      <c r="B34109"/>
      <c r="C34109"/>
      <c r="E34109"/>
      <c r="F34109"/>
    </row>
    <row r="34110" spans="1:6" x14ac:dyDescent="0.25">
      <c r="A34110"/>
      <c r="B34110"/>
      <c r="C34110"/>
      <c r="E34110"/>
      <c r="F34110"/>
    </row>
    <row r="34111" spans="1:6" x14ac:dyDescent="0.25">
      <c r="A34111"/>
      <c r="B34111"/>
      <c r="C34111"/>
      <c r="E34111"/>
      <c r="F34111"/>
    </row>
    <row r="34112" spans="1:6" x14ac:dyDescent="0.25">
      <c r="A34112"/>
      <c r="B34112"/>
      <c r="C34112"/>
      <c r="E34112"/>
      <c r="F34112"/>
    </row>
    <row r="34113" spans="1:6" x14ac:dyDescent="0.25">
      <c r="A34113"/>
      <c r="B34113"/>
      <c r="C34113"/>
      <c r="E34113"/>
      <c r="F34113"/>
    </row>
    <row r="34114" spans="1:6" x14ac:dyDescent="0.25">
      <c r="A34114"/>
      <c r="B34114"/>
      <c r="C34114"/>
      <c r="E34114"/>
      <c r="F34114"/>
    </row>
    <row r="34115" spans="1:6" x14ac:dyDescent="0.25">
      <c r="A34115"/>
      <c r="B34115"/>
      <c r="C34115"/>
      <c r="E34115"/>
      <c r="F34115"/>
    </row>
    <row r="34116" spans="1:6" x14ac:dyDescent="0.25">
      <c r="A34116"/>
      <c r="B34116"/>
      <c r="C34116"/>
      <c r="E34116"/>
      <c r="F34116"/>
    </row>
    <row r="34117" spans="1:6" x14ac:dyDescent="0.25">
      <c r="A34117"/>
      <c r="B34117"/>
      <c r="C34117"/>
      <c r="E34117"/>
      <c r="F34117"/>
    </row>
    <row r="34118" spans="1:6" x14ac:dyDescent="0.25">
      <c r="A34118"/>
      <c r="B34118"/>
      <c r="C34118"/>
      <c r="E34118"/>
      <c r="F34118"/>
    </row>
    <row r="34119" spans="1:6" x14ac:dyDescent="0.25">
      <c r="A34119"/>
      <c r="B34119"/>
      <c r="C34119"/>
      <c r="E34119"/>
      <c r="F34119"/>
    </row>
    <row r="34120" spans="1:6" x14ac:dyDescent="0.25">
      <c r="A34120"/>
      <c r="B34120"/>
      <c r="C34120"/>
      <c r="E34120"/>
      <c r="F34120"/>
    </row>
    <row r="34121" spans="1:6" x14ac:dyDescent="0.25">
      <c r="A34121"/>
      <c r="B34121"/>
      <c r="C34121"/>
      <c r="E34121"/>
      <c r="F34121"/>
    </row>
    <row r="34122" spans="1:6" x14ac:dyDescent="0.25">
      <c r="A34122"/>
      <c r="B34122"/>
      <c r="C34122"/>
      <c r="E34122"/>
      <c r="F34122"/>
    </row>
    <row r="34123" spans="1:6" x14ac:dyDescent="0.25">
      <c r="A34123"/>
      <c r="B34123"/>
      <c r="C34123"/>
      <c r="E34123"/>
      <c r="F34123"/>
    </row>
    <row r="34124" spans="1:6" x14ac:dyDescent="0.25">
      <c r="A34124"/>
      <c r="B34124"/>
      <c r="C34124"/>
      <c r="E34124"/>
      <c r="F34124"/>
    </row>
    <row r="34125" spans="1:6" x14ac:dyDescent="0.25">
      <c r="A34125"/>
      <c r="B34125"/>
      <c r="C34125"/>
      <c r="E34125"/>
      <c r="F34125"/>
    </row>
    <row r="34126" spans="1:6" x14ac:dyDescent="0.25">
      <c r="A34126"/>
      <c r="B34126"/>
      <c r="C34126"/>
      <c r="E34126"/>
      <c r="F34126"/>
    </row>
    <row r="34127" spans="1:6" x14ac:dyDescent="0.25">
      <c r="A34127"/>
      <c r="B34127"/>
      <c r="C34127"/>
      <c r="E34127"/>
      <c r="F34127"/>
    </row>
    <row r="34128" spans="1:6" x14ac:dyDescent="0.25">
      <c r="A34128"/>
      <c r="B34128"/>
      <c r="C34128"/>
      <c r="E34128"/>
      <c r="F34128"/>
    </row>
    <row r="34129" spans="1:6" x14ac:dyDescent="0.25">
      <c r="A34129"/>
      <c r="B34129"/>
      <c r="C34129"/>
      <c r="E34129"/>
      <c r="F34129"/>
    </row>
    <row r="34130" spans="1:6" x14ac:dyDescent="0.25">
      <c r="A34130"/>
      <c r="B34130"/>
      <c r="C34130"/>
      <c r="E34130"/>
      <c r="F34130"/>
    </row>
    <row r="34131" spans="1:6" x14ac:dyDescent="0.25">
      <c r="A34131"/>
      <c r="B34131"/>
      <c r="C34131"/>
      <c r="E34131"/>
      <c r="F34131"/>
    </row>
    <row r="34132" spans="1:6" x14ac:dyDescent="0.25">
      <c r="A34132"/>
      <c r="B34132"/>
      <c r="C34132"/>
      <c r="E34132"/>
      <c r="F34132"/>
    </row>
    <row r="34133" spans="1:6" x14ac:dyDescent="0.25">
      <c r="A34133"/>
      <c r="B34133"/>
      <c r="C34133"/>
      <c r="E34133"/>
      <c r="F34133"/>
    </row>
    <row r="34134" spans="1:6" x14ac:dyDescent="0.25">
      <c r="A34134"/>
      <c r="B34134"/>
      <c r="C34134"/>
      <c r="E34134"/>
      <c r="F34134"/>
    </row>
    <row r="34135" spans="1:6" x14ac:dyDescent="0.25">
      <c r="A34135"/>
      <c r="B34135"/>
      <c r="C34135"/>
      <c r="E34135"/>
      <c r="F34135"/>
    </row>
    <row r="34136" spans="1:6" x14ac:dyDescent="0.25">
      <c r="A34136"/>
      <c r="B34136"/>
      <c r="C34136"/>
      <c r="E34136"/>
      <c r="F34136"/>
    </row>
    <row r="34137" spans="1:6" x14ac:dyDescent="0.25">
      <c r="A34137"/>
      <c r="B34137"/>
      <c r="C34137"/>
      <c r="E34137"/>
      <c r="F34137"/>
    </row>
    <row r="34138" spans="1:6" x14ac:dyDescent="0.25">
      <c r="A34138"/>
      <c r="B34138"/>
      <c r="C34138"/>
      <c r="E34138"/>
      <c r="F34138"/>
    </row>
    <row r="34139" spans="1:6" x14ac:dyDescent="0.25">
      <c r="A34139"/>
      <c r="B34139"/>
      <c r="C34139"/>
      <c r="E34139"/>
      <c r="F34139"/>
    </row>
    <row r="34140" spans="1:6" x14ac:dyDescent="0.25">
      <c r="A34140"/>
      <c r="B34140"/>
      <c r="C34140"/>
      <c r="E34140"/>
      <c r="F34140"/>
    </row>
    <row r="34141" spans="1:6" x14ac:dyDescent="0.25">
      <c r="A34141"/>
      <c r="B34141"/>
      <c r="C34141"/>
      <c r="E34141"/>
      <c r="F34141"/>
    </row>
    <row r="34142" spans="1:6" x14ac:dyDescent="0.25">
      <c r="A34142"/>
      <c r="B34142"/>
      <c r="C34142"/>
      <c r="E34142"/>
      <c r="F34142"/>
    </row>
    <row r="34143" spans="1:6" x14ac:dyDescent="0.25">
      <c r="A34143"/>
      <c r="B34143"/>
      <c r="C34143"/>
      <c r="E34143"/>
      <c r="F34143"/>
    </row>
    <row r="34144" spans="1:6" x14ac:dyDescent="0.25">
      <c r="A34144"/>
      <c r="B34144"/>
      <c r="C34144"/>
      <c r="E34144"/>
      <c r="F34144"/>
    </row>
    <row r="34145" spans="1:6" x14ac:dyDescent="0.25">
      <c r="A34145"/>
      <c r="B34145"/>
      <c r="C34145"/>
      <c r="E34145"/>
      <c r="F34145"/>
    </row>
    <row r="34146" spans="1:6" x14ac:dyDescent="0.25">
      <c r="A34146"/>
      <c r="B34146"/>
      <c r="C34146"/>
      <c r="E34146"/>
      <c r="F34146"/>
    </row>
    <row r="34147" spans="1:6" x14ac:dyDescent="0.25">
      <c r="A34147"/>
      <c r="B34147"/>
      <c r="C34147"/>
      <c r="E34147"/>
      <c r="F34147"/>
    </row>
    <row r="34148" spans="1:6" x14ac:dyDescent="0.25">
      <c r="A34148"/>
      <c r="B34148"/>
      <c r="C34148"/>
      <c r="E34148"/>
      <c r="F34148"/>
    </row>
    <row r="34149" spans="1:6" x14ac:dyDescent="0.25">
      <c r="A34149"/>
      <c r="B34149"/>
      <c r="C34149"/>
      <c r="E34149"/>
      <c r="F34149"/>
    </row>
    <row r="34150" spans="1:6" x14ac:dyDescent="0.25">
      <c r="A34150"/>
      <c r="B34150"/>
      <c r="C34150"/>
      <c r="E34150"/>
      <c r="F34150"/>
    </row>
    <row r="34151" spans="1:6" x14ac:dyDescent="0.25">
      <c r="A34151"/>
      <c r="B34151"/>
      <c r="C34151"/>
      <c r="E34151"/>
      <c r="F34151"/>
    </row>
    <row r="34152" spans="1:6" x14ac:dyDescent="0.25">
      <c r="A34152"/>
      <c r="B34152"/>
      <c r="C34152"/>
      <c r="E34152"/>
      <c r="F34152"/>
    </row>
    <row r="34153" spans="1:6" x14ac:dyDescent="0.25">
      <c r="A34153"/>
      <c r="B34153"/>
      <c r="C34153"/>
      <c r="E34153"/>
      <c r="F34153"/>
    </row>
    <row r="34154" spans="1:6" x14ac:dyDescent="0.25">
      <c r="A34154"/>
      <c r="B34154"/>
      <c r="C34154"/>
      <c r="E34154"/>
      <c r="F34154"/>
    </row>
    <row r="34155" spans="1:6" x14ac:dyDescent="0.25">
      <c r="A34155"/>
      <c r="B34155"/>
      <c r="C34155"/>
      <c r="E34155"/>
      <c r="F34155"/>
    </row>
    <row r="34156" spans="1:6" x14ac:dyDescent="0.25">
      <c r="A34156"/>
      <c r="B34156"/>
      <c r="C34156"/>
      <c r="E34156"/>
      <c r="F34156"/>
    </row>
    <row r="34157" spans="1:6" x14ac:dyDescent="0.25">
      <c r="A34157"/>
      <c r="B34157"/>
      <c r="C34157"/>
      <c r="E34157"/>
      <c r="F34157"/>
    </row>
    <row r="34158" spans="1:6" x14ac:dyDescent="0.25">
      <c r="A34158"/>
      <c r="B34158"/>
      <c r="C34158"/>
      <c r="E34158"/>
      <c r="F34158"/>
    </row>
    <row r="34159" spans="1:6" x14ac:dyDescent="0.25">
      <c r="A34159"/>
      <c r="B34159"/>
      <c r="C34159"/>
      <c r="E34159"/>
      <c r="F34159"/>
    </row>
    <row r="34160" spans="1:6" x14ac:dyDescent="0.25">
      <c r="A34160"/>
      <c r="B34160"/>
      <c r="C34160"/>
      <c r="E34160"/>
      <c r="F34160"/>
    </row>
    <row r="34161" spans="1:6" x14ac:dyDescent="0.25">
      <c r="A34161"/>
      <c r="B34161"/>
      <c r="C34161"/>
      <c r="E34161"/>
      <c r="F34161"/>
    </row>
    <row r="34162" spans="1:6" x14ac:dyDescent="0.25">
      <c r="A34162"/>
      <c r="B34162"/>
      <c r="C34162"/>
      <c r="E34162"/>
      <c r="F34162"/>
    </row>
    <row r="34163" spans="1:6" x14ac:dyDescent="0.25">
      <c r="A34163"/>
      <c r="B34163"/>
      <c r="C34163"/>
      <c r="E34163"/>
      <c r="F34163"/>
    </row>
    <row r="34164" spans="1:6" x14ac:dyDescent="0.25">
      <c r="A34164"/>
      <c r="B34164"/>
      <c r="C34164"/>
      <c r="E34164"/>
      <c r="F34164"/>
    </row>
    <row r="34165" spans="1:6" x14ac:dyDescent="0.25">
      <c r="A34165"/>
      <c r="B34165"/>
      <c r="C34165"/>
      <c r="E34165"/>
      <c r="F34165"/>
    </row>
    <row r="34166" spans="1:6" x14ac:dyDescent="0.25">
      <c r="A34166"/>
      <c r="B34166"/>
      <c r="C34166"/>
      <c r="E34166"/>
      <c r="F34166"/>
    </row>
    <row r="34167" spans="1:6" x14ac:dyDescent="0.25">
      <c r="A34167"/>
      <c r="B34167"/>
      <c r="C34167"/>
      <c r="E34167"/>
      <c r="F34167"/>
    </row>
    <row r="34168" spans="1:6" x14ac:dyDescent="0.25">
      <c r="A34168"/>
      <c r="B34168"/>
      <c r="C34168"/>
      <c r="E34168"/>
      <c r="F34168"/>
    </row>
    <row r="34169" spans="1:6" x14ac:dyDescent="0.25">
      <c r="A34169"/>
      <c r="B34169"/>
      <c r="C34169"/>
      <c r="E34169"/>
      <c r="F34169"/>
    </row>
    <row r="34170" spans="1:6" x14ac:dyDescent="0.25">
      <c r="A34170"/>
      <c r="B34170"/>
      <c r="C34170"/>
      <c r="E34170"/>
      <c r="F34170"/>
    </row>
    <row r="34171" spans="1:6" x14ac:dyDescent="0.25">
      <c r="A34171"/>
      <c r="B34171"/>
      <c r="C34171"/>
      <c r="E34171"/>
      <c r="F34171"/>
    </row>
    <row r="34172" spans="1:6" x14ac:dyDescent="0.25">
      <c r="A34172"/>
      <c r="B34172"/>
      <c r="C34172"/>
      <c r="E34172"/>
      <c r="F34172"/>
    </row>
    <row r="34173" spans="1:6" x14ac:dyDescent="0.25">
      <c r="A34173"/>
      <c r="B34173"/>
      <c r="C34173"/>
      <c r="E34173"/>
      <c r="F34173"/>
    </row>
    <row r="34174" spans="1:6" x14ac:dyDescent="0.25">
      <c r="A34174"/>
      <c r="B34174"/>
      <c r="C34174"/>
      <c r="E34174"/>
      <c r="F34174"/>
    </row>
    <row r="34175" spans="1:6" x14ac:dyDescent="0.25">
      <c r="A34175"/>
      <c r="B34175"/>
      <c r="C34175"/>
      <c r="E34175"/>
      <c r="F34175"/>
    </row>
    <row r="34176" spans="1:6" x14ac:dyDescent="0.25">
      <c r="A34176"/>
      <c r="B34176"/>
      <c r="C34176"/>
      <c r="E34176"/>
      <c r="F34176"/>
    </row>
    <row r="34177" spans="1:6" x14ac:dyDescent="0.25">
      <c r="A34177"/>
      <c r="B34177"/>
      <c r="C34177"/>
      <c r="E34177"/>
      <c r="F34177"/>
    </row>
    <row r="34178" spans="1:6" x14ac:dyDescent="0.25">
      <c r="A34178"/>
      <c r="B34178"/>
      <c r="C34178"/>
      <c r="E34178"/>
      <c r="F34178"/>
    </row>
    <row r="34179" spans="1:6" x14ac:dyDescent="0.25">
      <c r="A34179"/>
      <c r="B34179"/>
      <c r="C34179"/>
      <c r="E34179"/>
      <c r="F34179"/>
    </row>
    <row r="34180" spans="1:6" x14ac:dyDescent="0.25">
      <c r="A34180"/>
      <c r="B34180"/>
      <c r="C34180"/>
      <c r="E34180"/>
      <c r="F34180"/>
    </row>
    <row r="34181" spans="1:6" x14ac:dyDescent="0.25">
      <c r="A34181"/>
      <c r="B34181"/>
      <c r="C34181"/>
      <c r="E34181"/>
      <c r="F34181"/>
    </row>
    <row r="34182" spans="1:6" x14ac:dyDescent="0.25">
      <c r="A34182"/>
      <c r="B34182"/>
      <c r="C34182"/>
      <c r="E34182"/>
      <c r="F34182"/>
    </row>
    <row r="34183" spans="1:6" x14ac:dyDescent="0.25">
      <c r="A34183"/>
      <c r="B34183"/>
      <c r="C34183"/>
      <c r="E34183"/>
      <c r="F34183"/>
    </row>
    <row r="34184" spans="1:6" x14ac:dyDescent="0.25">
      <c r="A34184"/>
      <c r="B34184"/>
      <c r="C34184"/>
      <c r="E34184"/>
      <c r="F34184"/>
    </row>
    <row r="34185" spans="1:6" x14ac:dyDescent="0.25">
      <c r="A34185"/>
      <c r="B34185"/>
      <c r="C34185"/>
      <c r="E34185"/>
      <c r="F34185"/>
    </row>
    <row r="34186" spans="1:6" x14ac:dyDescent="0.25">
      <c r="A34186"/>
      <c r="B34186"/>
      <c r="C34186"/>
      <c r="E34186"/>
      <c r="F34186"/>
    </row>
    <row r="34187" spans="1:6" x14ac:dyDescent="0.25">
      <c r="A34187"/>
      <c r="B34187"/>
      <c r="C34187"/>
      <c r="E34187"/>
      <c r="F34187"/>
    </row>
    <row r="34188" spans="1:6" x14ac:dyDescent="0.25">
      <c r="A34188"/>
      <c r="B34188"/>
      <c r="C34188"/>
      <c r="E34188"/>
      <c r="F34188"/>
    </row>
    <row r="34189" spans="1:6" x14ac:dyDescent="0.25">
      <c r="A34189"/>
      <c r="B34189"/>
      <c r="C34189"/>
      <c r="E34189"/>
      <c r="F34189"/>
    </row>
    <row r="34190" spans="1:6" x14ac:dyDescent="0.25">
      <c r="A34190"/>
      <c r="B34190"/>
      <c r="C34190"/>
      <c r="E34190"/>
      <c r="F34190"/>
    </row>
    <row r="34191" spans="1:6" x14ac:dyDescent="0.25">
      <c r="A34191"/>
      <c r="B34191"/>
      <c r="C34191"/>
      <c r="E34191"/>
      <c r="F34191"/>
    </row>
    <row r="34192" spans="1:6" x14ac:dyDescent="0.25">
      <c r="A34192"/>
      <c r="B34192"/>
      <c r="C34192"/>
      <c r="E34192"/>
      <c r="F34192"/>
    </row>
    <row r="34193" spans="1:6" x14ac:dyDescent="0.25">
      <c r="A34193"/>
      <c r="B34193"/>
      <c r="C34193"/>
      <c r="E34193"/>
      <c r="F34193"/>
    </row>
    <row r="34194" spans="1:6" x14ac:dyDescent="0.25">
      <c r="A34194"/>
      <c r="B34194"/>
      <c r="C34194"/>
      <c r="E34194"/>
      <c r="F34194"/>
    </row>
    <row r="34195" spans="1:6" x14ac:dyDescent="0.25">
      <c r="A34195"/>
      <c r="B34195"/>
      <c r="C34195"/>
      <c r="E34195"/>
      <c r="F34195"/>
    </row>
    <row r="34196" spans="1:6" x14ac:dyDescent="0.25">
      <c r="A34196"/>
      <c r="B34196"/>
      <c r="C34196"/>
      <c r="E34196"/>
      <c r="F34196"/>
    </row>
    <row r="34197" spans="1:6" x14ac:dyDescent="0.25">
      <c r="A34197"/>
      <c r="B34197"/>
      <c r="C34197"/>
      <c r="E34197"/>
      <c r="F34197"/>
    </row>
    <row r="34198" spans="1:6" x14ac:dyDescent="0.25">
      <c r="A34198"/>
      <c r="B34198"/>
      <c r="C34198"/>
      <c r="E34198"/>
      <c r="F34198"/>
    </row>
    <row r="34199" spans="1:6" x14ac:dyDescent="0.25">
      <c r="A34199"/>
      <c r="B34199"/>
      <c r="C34199"/>
      <c r="E34199"/>
      <c r="F34199"/>
    </row>
    <row r="34200" spans="1:6" x14ac:dyDescent="0.25">
      <c r="A34200"/>
      <c r="B34200"/>
      <c r="C34200"/>
      <c r="E34200"/>
      <c r="F34200"/>
    </row>
    <row r="34201" spans="1:6" x14ac:dyDescent="0.25">
      <c r="A34201"/>
      <c r="B34201"/>
      <c r="C34201"/>
      <c r="E34201"/>
      <c r="F34201"/>
    </row>
    <row r="34202" spans="1:6" x14ac:dyDescent="0.25">
      <c r="A34202"/>
      <c r="B34202"/>
      <c r="C34202"/>
      <c r="E34202"/>
      <c r="F34202"/>
    </row>
    <row r="34203" spans="1:6" x14ac:dyDescent="0.25">
      <c r="A34203"/>
      <c r="B34203"/>
      <c r="C34203"/>
      <c r="E34203"/>
      <c r="F34203"/>
    </row>
    <row r="34204" spans="1:6" x14ac:dyDescent="0.25">
      <c r="A34204"/>
      <c r="B34204"/>
      <c r="C34204"/>
      <c r="E34204"/>
      <c r="F34204"/>
    </row>
    <row r="34205" spans="1:6" x14ac:dyDescent="0.25">
      <c r="A34205"/>
      <c r="B34205"/>
      <c r="C34205"/>
      <c r="E34205"/>
      <c r="F34205"/>
    </row>
    <row r="34206" spans="1:6" x14ac:dyDescent="0.25">
      <c r="A34206"/>
      <c r="B34206"/>
      <c r="C34206"/>
      <c r="E34206"/>
      <c r="F34206"/>
    </row>
    <row r="34207" spans="1:6" x14ac:dyDescent="0.25">
      <c r="A34207"/>
      <c r="B34207"/>
      <c r="C34207"/>
      <c r="E34207"/>
      <c r="F34207"/>
    </row>
    <row r="34208" spans="1:6" x14ac:dyDescent="0.25">
      <c r="A34208"/>
      <c r="B34208"/>
      <c r="C34208"/>
      <c r="E34208"/>
      <c r="F34208"/>
    </row>
    <row r="34209" spans="1:6" x14ac:dyDescent="0.25">
      <c r="A34209"/>
      <c r="B34209"/>
      <c r="C34209"/>
      <c r="E34209"/>
      <c r="F34209"/>
    </row>
    <row r="34210" spans="1:6" x14ac:dyDescent="0.25">
      <c r="A34210"/>
      <c r="B34210"/>
      <c r="C34210"/>
      <c r="E34210"/>
      <c r="F34210"/>
    </row>
    <row r="34211" spans="1:6" x14ac:dyDescent="0.25">
      <c r="A34211"/>
      <c r="B34211"/>
      <c r="C34211"/>
      <c r="E34211"/>
      <c r="F34211"/>
    </row>
    <row r="34212" spans="1:6" x14ac:dyDescent="0.25">
      <c r="A34212"/>
      <c r="B34212"/>
      <c r="C34212"/>
      <c r="E34212"/>
      <c r="F34212"/>
    </row>
    <row r="34213" spans="1:6" x14ac:dyDescent="0.25">
      <c r="A34213"/>
      <c r="B34213"/>
      <c r="C34213"/>
      <c r="E34213"/>
      <c r="F34213"/>
    </row>
    <row r="34214" spans="1:6" x14ac:dyDescent="0.25">
      <c r="A34214"/>
      <c r="B34214"/>
      <c r="C34214"/>
      <c r="E34214"/>
      <c r="F34214"/>
    </row>
    <row r="34215" spans="1:6" x14ac:dyDescent="0.25">
      <c r="A34215"/>
      <c r="B34215"/>
      <c r="C34215"/>
      <c r="E34215"/>
      <c r="F34215"/>
    </row>
    <row r="34216" spans="1:6" x14ac:dyDescent="0.25">
      <c r="A34216"/>
      <c r="B34216"/>
      <c r="C34216"/>
      <c r="E34216"/>
      <c r="F34216"/>
    </row>
    <row r="34217" spans="1:6" x14ac:dyDescent="0.25">
      <c r="A34217"/>
      <c r="B34217"/>
      <c r="C34217"/>
      <c r="E34217"/>
      <c r="F34217"/>
    </row>
    <row r="34218" spans="1:6" x14ac:dyDescent="0.25">
      <c r="A34218"/>
      <c r="B34218"/>
      <c r="C34218"/>
      <c r="E34218"/>
      <c r="F34218"/>
    </row>
    <row r="34219" spans="1:6" x14ac:dyDescent="0.25">
      <c r="A34219"/>
      <c r="B34219"/>
      <c r="C34219"/>
      <c r="E34219"/>
      <c r="F34219"/>
    </row>
    <row r="34220" spans="1:6" x14ac:dyDescent="0.25">
      <c r="A34220"/>
      <c r="B34220"/>
      <c r="C34220"/>
      <c r="E34220"/>
      <c r="F34220"/>
    </row>
    <row r="34221" spans="1:6" x14ac:dyDescent="0.25">
      <c r="A34221"/>
      <c r="B34221"/>
      <c r="C34221"/>
      <c r="E34221"/>
      <c r="F34221"/>
    </row>
    <row r="34222" spans="1:6" x14ac:dyDescent="0.25">
      <c r="A34222"/>
      <c r="B34222"/>
      <c r="C34222"/>
      <c r="E34222"/>
      <c r="F34222"/>
    </row>
    <row r="34223" spans="1:6" x14ac:dyDescent="0.25">
      <c r="A34223"/>
      <c r="B34223"/>
      <c r="C34223"/>
      <c r="E34223"/>
      <c r="F34223"/>
    </row>
    <row r="34224" spans="1:6" x14ac:dyDescent="0.25">
      <c r="A34224"/>
      <c r="B34224"/>
      <c r="C34224"/>
      <c r="E34224"/>
      <c r="F34224"/>
    </row>
    <row r="34225" spans="1:6" x14ac:dyDescent="0.25">
      <c r="A34225"/>
      <c r="B34225"/>
      <c r="C34225"/>
      <c r="E34225"/>
      <c r="F34225"/>
    </row>
    <row r="34226" spans="1:6" x14ac:dyDescent="0.25">
      <c r="A34226"/>
      <c r="B34226"/>
      <c r="C34226"/>
      <c r="E34226"/>
      <c r="F34226"/>
    </row>
    <row r="34227" spans="1:6" x14ac:dyDescent="0.25">
      <c r="A34227"/>
      <c r="B34227"/>
      <c r="C34227"/>
      <c r="E34227"/>
      <c r="F34227"/>
    </row>
    <row r="34228" spans="1:6" x14ac:dyDescent="0.25">
      <c r="A34228"/>
      <c r="B34228"/>
      <c r="C34228"/>
      <c r="E34228"/>
      <c r="F34228"/>
    </row>
    <row r="34229" spans="1:6" x14ac:dyDescent="0.25">
      <c r="A34229"/>
      <c r="B34229"/>
      <c r="C34229"/>
      <c r="E34229"/>
      <c r="F34229"/>
    </row>
    <row r="34230" spans="1:6" x14ac:dyDescent="0.25">
      <c r="A34230"/>
      <c r="B34230"/>
      <c r="C34230"/>
      <c r="E34230"/>
      <c r="F34230"/>
    </row>
    <row r="34231" spans="1:6" x14ac:dyDescent="0.25">
      <c r="A34231"/>
      <c r="B34231"/>
      <c r="C34231"/>
      <c r="E34231"/>
      <c r="F34231"/>
    </row>
    <row r="34232" spans="1:6" x14ac:dyDescent="0.25">
      <c r="A34232"/>
      <c r="B34232"/>
      <c r="C34232"/>
      <c r="E34232"/>
      <c r="F34232"/>
    </row>
    <row r="34233" spans="1:6" x14ac:dyDescent="0.25">
      <c r="A34233"/>
      <c r="B34233"/>
      <c r="C34233"/>
      <c r="E34233"/>
      <c r="F34233"/>
    </row>
    <row r="34234" spans="1:6" x14ac:dyDescent="0.25">
      <c r="A34234"/>
      <c r="B34234"/>
      <c r="C34234"/>
      <c r="E34234"/>
      <c r="F34234"/>
    </row>
    <row r="34235" spans="1:6" x14ac:dyDescent="0.25">
      <c r="A34235"/>
      <c r="B34235"/>
      <c r="C34235"/>
      <c r="E34235"/>
      <c r="F34235"/>
    </row>
    <row r="34236" spans="1:6" x14ac:dyDescent="0.25">
      <c r="A34236"/>
      <c r="B34236"/>
      <c r="C34236"/>
      <c r="E34236"/>
      <c r="F34236"/>
    </row>
    <row r="34237" spans="1:6" x14ac:dyDescent="0.25">
      <c r="A34237"/>
      <c r="B34237"/>
      <c r="C34237"/>
      <c r="E34237"/>
      <c r="F34237"/>
    </row>
    <row r="34238" spans="1:6" x14ac:dyDescent="0.25">
      <c r="A34238"/>
      <c r="B34238"/>
      <c r="C34238"/>
      <c r="E34238"/>
      <c r="F34238"/>
    </row>
    <row r="34239" spans="1:6" x14ac:dyDescent="0.25">
      <c r="A34239"/>
      <c r="B34239"/>
      <c r="C34239"/>
      <c r="E34239"/>
      <c r="F34239"/>
    </row>
    <row r="34240" spans="1:6" x14ac:dyDescent="0.25">
      <c r="A34240"/>
      <c r="B34240"/>
      <c r="C34240"/>
      <c r="E34240"/>
      <c r="F34240"/>
    </row>
    <row r="34241" spans="1:6" x14ac:dyDescent="0.25">
      <c r="A34241"/>
      <c r="B34241"/>
      <c r="C34241"/>
      <c r="E34241"/>
      <c r="F34241"/>
    </row>
    <row r="34242" spans="1:6" x14ac:dyDescent="0.25">
      <c r="A34242"/>
      <c r="B34242"/>
      <c r="C34242"/>
      <c r="E34242"/>
      <c r="F34242"/>
    </row>
    <row r="34243" spans="1:6" x14ac:dyDescent="0.25">
      <c r="A34243"/>
      <c r="B34243"/>
      <c r="C34243"/>
      <c r="E34243"/>
      <c r="F34243"/>
    </row>
    <row r="34244" spans="1:6" x14ac:dyDescent="0.25">
      <c r="A34244"/>
      <c r="B34244"/>
      <c r="C34244"/>
      <c r="E34244"/>
      <c r="F34244"/>
    </row>
    <row r="34245" spans="1:6" x14ac:dyDescent="0.25">
      <c r="A34245"/>
      <c r="B34245"/>
      <c r="C34245"/>
      <c r="E34245"/>
      <c r="F34245"/>
    </row>
    <row r="34246" spans="1:6" x14ac:dyDescent="0.25">
      <c r="A34246"/>
      <c r="B34246"/>
      <c r="C34246"/>
      <c r="E34246"/>
      <c r="F34246"/>
    </row>
    <row r="34247" spans="1:6" x14ac:dyDescent="0.25">
      <c r="A34247"/>
      <c r="B34247"/>
      <c r="C34247"/>
      <c r="E34247"/>
      <c r="F34247"/>
    </row>
    <row r="34248" spans="1:6" x14ac:dyDescent="0.25">
      <c r="A34248"/>
      <c r="B34248"/>
      <c r="C34248"/>
      <c r="E34248"/>
      <c r="F34248"/>
    </row>
    <row r="34249" spans="1:6" x14ac:dyDescent="0.25">
      <c r="A34249"/>
      <c r="B34249"/>
      <c r="C34249"/>
      <c r="E34249"/>
      <c r="F34249"/>
    </row>
    <row r="34250" spans="1:6" x14ac:dyDescent="0.25">
      <c r="A34250"/>
      <c r="B34250"/>
      <c r="C34250"/>
      <c r="E34250"/>
      <c r="F34250"/>
    </row>
    <row r="34251" spans="1:6" x14ac:dyDescent="0.25">
      <c r="A34251"/>
      <c r="B34251"/>
      <c r="C34251"/>
      <c r="E34251"/>
      <c r="F34251"/>
    </row>
    <row r="34252" spans="1:6" x14ac:dyDescent="0.25">
      <c r="A34252"/>
      <c r="B34252"/>
      <c r="C34252"/>
      <c r="E34252"/>
      <c r="F34252"/>
    </row>
    <row r="34253" spans="1:6" x14ac:dyDescent="0.25">
      <c r="A34253"/>
      <c r="B34253"/>
      <c r="C34253"/>
      <c r="E34253"/>
      <c r="F34253"/>
    </row>
    <row r="34254" spans="1:6" x14ac:dyDescent="0.25">
      <c r="A34254"/>
      <c r="B34254"/>
      <c r="C34254"/>
      <c r="E34254"/>
      <c r="F34254"/>
    </row>
    <row r="34255" spans="1:6" x14ac:dyDescent="0.25">
      <c r="A34255"/>
      <c r="B34255"/>
      <c r="C34255"/>
      <c r="E34255"/>
      <c r="F34255"/>
    </row>
    <row r="34256" spans="1:6" x14ac:dyDescent="0.25">
      <c r="A34256"/>
      <c r="B34256"/>
      <c r="C34256"/>
      <c r="E34256"/>
      <c r="F34256"/>
    </row>
    <row r="34257" spans="1:6" x14ac:dyDescent="0.25">
      <c r="A34257"/>
      <c r="B34257"/>
      <c r="C34257"/>
      <c r="E34257"/>
      <c r="F34257"/>
    </row>
    <row r="34258" spans="1:6" x14ac:dyDescent="0.25">
      <c r="A34258"/>
      <c r="B34258"/>
      <c r="C34258"/>
      <c r="E34258"/>
      <c r="F34258"/>
    </row>
    <row r="34259" spans="1:6" x14ac:dyDescent="0.25">
      <c r="A34259"/>
      <c r="B34259"/>
      <c r="C34259"/>
      <c r="E34259"/>
      <c r="F34259"/>
    </row>
    <row r="34260" spans="1:6" x14ac:dyDescent="0.25">
      <c r="A34260"/>
      <c r="B34260"/>
      <c r="C34260"/>
      <c r="E34260"/>
      <c r="F34260"/>
    </row>
    <row r="34261" spans="1:6" x14ac:dyDescent="0.25">
      <c r="A34261"/>
      <c r="B34261"/>
      <c r="C34261"/>
      <c r="E34261"/>
      <c r="F34261"/>
    </row>
    <row r="34262" spans="1:6" x14ac:dyDescent="0.25">
      <c r="A34262"/>
      <c r="B34262"/>
      <c r="C34262"/>
      <c r="E34262"/>
      <c r="F34262"/>
    </row>
    <row r="34263" spans="1:6" x14ac:dyDescent="0.25">
      <c r="A34263"/>
      <c r="B34263"/>
      <c r="C34263"/>
      <c r="E34263"/>
      <c r="F34263"/>
    </row>
    <row r="34264" spans="1:6" x14ac:dyDescent="0.25">
      <c r="A34264"/>
      <c r="B34264"/>
      <c r="C34264"/>
      <c r="E34264"/>
      <c r="F34264"/>
    </row>
    <row r="34265" spans="1:6" x14ac:dyDescent="0.25">
      <c r="A34265"/>
      <c r="B34265"/>
      <c r="C34265"/>
      <c r="E34265"/>
      <c r="F34265"/>
    </row>
    <row r="34266" spans="1:6" x14ac:dyDescent="0.25">
      <c r="A34266"/>
      <c r="B34266"/>
      <c r="C34266"/>
      <c r="E34266"/>
      <c r="F34266"/>
    </row>
    <row r="34267" spans="1:6" x14ac:dyDescent="0.25">
      <c r="A34267"/>
      <c r="B34267"/>
      <c r="C34267"/>
      <c r="E34267"/>
      <c r="F34267"/>
    </row>
    <row r="34268" spans="1:6" x14ac:dyDescent="0.25">
      <c r="A34268"/>
      <c r="B34268"/>
      <c r="C34268"/>
      <c r="E34268"/>
      <c r="F34268"/>
    </row>
    <row r="34269" spans="1:6" x14ac:dyDescent="0.25">
      <c r="A34269"/>
      <c r="B34269"/>
      <c r="C34269"/>
      <c r="E34269"/>
      <c r="F34269"/>
    </row>
    <row r="34270" spans="1:6" x14ac:dyDescent="0.25">
      <c r="A34270"/>
      <c r="B34270"/>
      <c r="C34270"/>
      <c r="E34270"/>
      <c r="F34270"/>
    </row>
    <row r="34271" spans="1:6" x14ac:dyDescent="0.25">
      <c r="A34271"/>
      <c r="B34271"/>
      <c r="C34271"/>
      <c r="E34271"/>
      <c r="F34271"/>
    </row>
    <row r="34272" spans="1:6" x14ac:dyDescent="0.25">
      <c r="A34272"/>
      <c r="B34272"/>
      <c r="C34272"/>
      <c r="E34272"/>
      <c r="F34272"/>
    </row>
    <row r="34273" spans="1:6" x14ac:dyDescent="0.25">
      <c r="A34273"/>
      <c r="B34273"/>
      <c r="C34273"/>
      <c r="E34273"/>
      <c r="F34273"/>
    </row>
    <row r="34274" spans="1:6" x14ac:dyDescent="0.25">
      <c r="A34274"/>
      <c r="B34274"/>
      <c r="C34274"/>
      <c r="E34274"/>
      <c r="F34274"/>
    </row>
    <row r="34275" spans="1:6" x14ac:dyDescent="0.25">
      <c r="A34275"/>
      <c r="B34275"/>
      <c r="C34275"/>
      <c r="E34275"/>
      <c r="F34275"/>
    </row>
    <row r="34276" spans="1:6" x14ac:dyDescent="0.25">
      <c r="A34276"/>
      <c r="B34276"/>
      <c r="C34276"/>
      <c r="E34276"/>
      <c r="F34276"/>
    </row>
    <row r="34277" spans="1:6" x14ac:dyDescent="0.25">
      <c r="A34277"/>
      <c r="B34277"/>
      <c r="C34277"/>
      <c r="E34277"/>
      <c r="F34277"/>
    </row>
    <row r="34278" spans="1:6" x14ac:dyDescent="0.25">
      <c r="A34278"/>
      <c r="B34278"/>
      <c r="C34278"/>
      <c r="E34278"/>
      <c r="F34278"/>
    </row>
    <row r="34279" spans="1:6" x14ac:dyDescent="0.25">
      <c r="A34279"/>
      <c r="B34279"/>
      <c r="C34279"/>
      <c r="E34279"/>
      <c r="F34279"/>
    </row>
    <row r="34280" spans="1:6" x14ac:dyDescent="0.25">
      <c r="A34280"/>
      <c r="B34280"/>
      <c r="C34280"/>
      <c r="E34280"/>
      <c r="F34280"/>
    </row>
    <row r="34281" spans="1:6" x14ac:dyDescent="0.25">
      <c r="A34281"/>
      <c r="B34281"/>
      <c r="C34281"/>
      <c r="E34281"/>
      <c r="F34281"/>
    </row>
    <row r="34282" spans="1:6" x14ac:dyDescent="0.25">
      <c r="A34282"/>
      <c r="B34282"/>
      <c r="C34282"/>
      <c r="E34282"/>
      <c r="F34282"/>
    </row>
    <row r="34283" spans="1:6" x14ac:dyDescent="0.25">
      <c r="A34283"/>
      <c r="B34283"/>
      <c r="C34283"/>
      <c r="E34283"/>
      <c r="F34283"/>
    </row>
    <row r="34284" spans="1:6" x14ac:dyDescent="0.25">
      <c r="A34284"/>
      <c r="B34284"/>
      <c r="C34284"/>
      <c r="E34284"/>
      <c r="F34284"/>
    </row>
    <row r="34285" spans="1:6" x14ac:dyDescent="0.25">
      <c r="A34285"/>
      <c r="B34285"/>
      <c r="C34285"/>
      <c r="E34285"/>
      <c r="F34285"/>
    </row>
    <row r="34286" spans="1:6" x14ac:dyDescent="0.25">
      <c r="A34286"/>
      <c r="B34286"/>
      <c r="C34286"/>
      <c r="E34286"/>
      <c r="F34286"/>
    </row>
    <row r="34287" spans="1:6" x14ac:dyDescent="0.25">
      <c r="A34287"/>
      <c r="B34287"/>
      <c r="C34287"/>
      <c r="E34287"/>
      <c r="F34287"/>
    </row>
    <row r="34288" spans="1:6" x14ac:dyDescent="0.25">
      <c r="A34288"/>
      <c r="B34288"/>
      <c r="C34288"/>
      <c r="E34288"/>
      <c r="F34288"/>
    </row>
    <row r="34289" spans="1:6" x14ac:dyDescent="0.25">
      <c r="A34289"/>
      <c r="B34289"/>
      <c r="C34289"/>
      <c r="E34289"/>
      <c r="F34289"/>
    </row>
    <row r="34290" spans="1:6" x14ac:dyDescent="0.25">
      <c r="A34290"/>
      <c r="B34290"/>
      <c r="C34290"/>
      <c r="E34290"/>
      <c r="F34290"/>
    </row>
    <row r="34291" spans="1:6" x14ac:dyDescent="0.25">
      <c r="A34291"/>
      <c r="B34291"/>
      <c r="C34291"/>
      <c r="E34291"/>
      <c r="F34291"/>
    </row>
    <row r="34292" spans="1:6" x14ac:dyDescent="0.25">
      <c r="A34292"/>
      <c r="B34292"/>
      <c r="C34292"/>
      <c r="E34292"/>
      <c r="F34292"/>
    </row>
    <row r="34293" spans="1:6" x14ac:dyDescent="0.25">
      <c r="A34293"/>
      <c r="B34293"/>
      <c r="C34293"/>
      <c r="E34293"/>
      <c r="F34293"/>
    </row>
    <row r="34294" spans="1:6" x14ac:dyDescent="0.25">
      <c r="A34294"/>
      <c r="B34294"/>
      <c r="C34294"/>
      <c r="E34294"/>
      <c r="F34294"/>
    </row>
    <row r="34295" spans="1:6" x14ac:dyDescent="0.25">
      <c r="A34295"/>
      <c r="B34295"/>
      <c r="C34295"/>
      <c r="E34295"/>
      <c r="F34295"/>
    </row>
    <row r="34296" spans="1:6" x14ac:dyDescent="0.25">
      <c r="A34296"/>
      <c r="B34296"/>
      <c r="C34296"/>
      <c r="E34296"/>
      <c r="F34296"/>
    </row>
    <row r="34297" spans="1:6" x14ac:dyDescent="0.25">
      <c r="A34297"/>
      <c r="B34297"/>
      <c r="C34297"/>
      <c r="E34297"/>
      <c r="F34297"/>
    </row>
    <row r="34298" spans="1:6" x14ac:dyDescent="0.25">
      <c r="A34298"/>
      <c r="B34298"/>
      <c r="C34298"/>
      <c r="E34298"/>
      <c r="F34298"/>
    </row>
    <row r="34299" spans="1:6" x14ac:dyDescent="0.25">
      <c r="A34299"/>
      <c r="B34299"/>
      <c r="C34299"/>
      <c r="E34299"/>
      <c r="F34299"/>
    </row>
    <row r="34300" spans="1:6" x14ac:dyDescent="0.25">
      <c r="A34300"/>
      <c r="B34300"/>
      <c r="C34300"/>
      <c r="E34300"/>
      <c r="F34300"/>
    </row>
    <row r="34301" spans="1:6" x14ac:dyDescent="0.25">
      <c r="A34301"/>
      <c r="B34301"/>
      <c r="C34301"/>
      <c r="E34301"/>
      <c r="F34301"/>
    </row>
    <row r="34302" spans="1:6" x14ac:dyDescent="0.25">
      <c r="A34302"/>
      <c r="B34302"/>
      <c r="C34302"/>
      <c r="E34302"/>
      <c r="F34302"/>
    </row>
    <row r="34303" spans="1:6" x14ac:dyDescent="0.25">
      <c r="A34303"/>
      <c r="B34303"/>
      <c r="C34303"/>
      <c r="E34303"/>
      <c r="F34303"/>
    </row>
    <row r="34304" spans="1:6" x14ac:dyDescent="0.25">
      <c r="A34304"/>
      <c r="B34304"/>
      <c r="C34304"/>
      <c r="E34304"/>
      <c r="F34304"/>
    </row>
    <row r="34305" spans="1:6" x14ac:dyDescent="0.25">
      <c r="A34305"/>
      <c r="B34305"/>
      <c r="C34305"/>
      <c r="E34305"/>
      <c r="F34305"/>
    </row>
    <row r="34306" spans="1:6" x14ac:dyDescent="0.25">
      <c r="A34306"/>
      <c r="B34306"/>
      <c r="C34306"/>
      <c r="E34306"/>
      <c r="F34306"/>
    </row>
    <row r="34307" spans="1:6" x14ac:dyDescent="0.25">
      <c r="A34307"/>
      <c r="B34307"/>
      <c r="C34307"/>
      <c r="E34307"/>
      <c r="F34307"/>
    </row>
    <row r="34308" spans="1:6" x14ac:dyDescent="0.25">
      <c r="A34308"/>
      <c r="B34308"/>
      <c r="C34308"/>
      <c r="E34308"/>
      <c r="F34308"/>
    </row>
    <row r="34309" spans="1:6" x14ac:dyDescent="0.25">
      <c r="A34309"/>
      <c r="B34309"/>
      <c r="C34309"/>
      <c r="E34309"/>
      <c r="F34309"/>
    </row>
    <row r="34310" spans="1:6" x14ac:dyDescent="0.25">
      <c r="A34310"/>
      <c r="B34310"/>
      <c r="C34310"/>
      <c r="E34310"/>
      <c r="F34310"/>
    </row>
    <row r="34311" spans="1:6" x14ac:dyDescent="0.25">
      <c r="A34311"/>
      <c r="B34311"/>
      <c r="C34311"/>
      <c r="E34311"/>
      <c r="F34311"/>
    </row>
    <row r="34312" spans="1:6" x14ac:dyDescent="0.25">
      <c r="A34312"/>
      <c r="B34312"/>
      <c r="C34312"/>
      <c r="E34312"/>
      <c r="F34312"/>
    </row>
    <row r="34313" spans="1:6" x14ac:dyDescent="0.25">
      <c r="A34313"/>
      <c r="B34313"/>
      <c r="C34313"/>
      <c r="E34313"/>
      <c r="F34313"/>
    </row>
    <row r="34314" spans="1:6" x14ac:dyDescent="0.25">
      <c r="A34314"/>
      <c r="B34314"/>
      <c r="C34314"/>
      <c r="E34314"/>
      <c r="F34314"/>
    </row>
    <row r="34315" spans="1:6" x14ac:dyDescent="0.25">
      <c r="A34315"/>
      <c r="B34315"/>
      <c r="C34315"/>
      <c r="E34315"/>
      <c r="F34315"/>
    </row>
    <row r="34316" spans="1:6" x14ac:dyDescent="0.25">
      <c r="A34316"/>
      <c r="B34316"/>
      <c r="C34316"/>
      <c r="E34316"/>
      <c r="F34316"/>
    </row>
    <row r="34317" spans="1:6" x14ac:dyDescent="0.25">
      <c r="A34317"/>
      <c r="B34317"/>
      <c r="C34317"/>
      <c r="E34317"/>
      <c r="F34317"/>
    </row>
    <row r="34318" spans="1:6" x14ac:dyDescent="0.25">
      <c r="A34318"/>
      <c r="B34318"/>
      <c r="C34318"/>
      <c r="E34318"/>
      <c r="F34318"/>
    </row>
    <row r="34319" spans="1:6" x14ac:dyDescent="0.25">
      <c r="A34319"/>
      <c r="B34319"/>
      <c r="C34319"/>
      <c r="E34319"/>
      <c r="F34319"/>
    </row>
    <row r="34320" spans="1:6" x14ac:dyDescent="0.25">
      <c r="A34320"/>
      <c r="B34320"/>
      <c r="C34320"/>
      <c r="E34320"/>
      <c r="F34320"/>
    </row>
    <row r="34321" spans="1:6" x14ac:dyDescent="0.25">
      <c r="A34321"/>
      <c r="B34321"/>
      <c r="C34321"/>
      <c r="E34321"/>
      <c r="F34321"/>
    </row>
    <row r="34322" spans="1:6" x14ac:dyDescent="0.25">
      <c r="A34322"/>
      <c r="B34322"/>
      <c r="C34322"/>
      <c r="E34322"/>
      <c r="F34322"/>
    </row>
    <row r="34323" spans="1:6" x14ac:dyDescent="0.25">
      <c r="A34323"/>
      <c r="B34323"/>
      <c r="C34323"/>
      <c r="E34323"/>
      <c r="F34323"/>
    </row>
    <row r="34324" spans="1:6" x14ac:dyDescent="0.25">
      <c r="A34324"/>
      <c r="B34324"/>
      <c r="C34324"/>
      <c r="E34324"/>
      <c r="F34324"/>
    </row>
    <row r="34325" spans="1:6" x14ac:dyDescent="0.25">
      <c r="A34325"/>
      <c r="B34325"/>
      <c r="C34325"/>
      <c r="E34325"/>
      <c r="F34325"/>
    </row>
    <row r="34326" spans="1:6" x14ac:dyDescent="0.25">
      <c r="A34326"/>
      <c r="B34326"/>
      <c r="C34326"/>
      <c r="E34326"/>
      <c r="F34326"/>
    </row>
    <row r="34327" spans="1:6" x14ac:dyDescent="0.25">
      <c r="A34327"/>
      <c r="B34327"/>
      <c r="C34327"/>
      <c r="E34327"/>
      <c r="F34327"/>
    </row>
    <row r="34328" spans="1:6" x14ac:dyDescent="0.25">
      <c r="A34328"/>
      <c r="B34328"/>
      <c r="C34328"/>
      <c r="E34328"/>
      <c r="F34328"/>
    </row>
    <row r="34329" spans="1:6" x14ac:dyDescent="0.25">
      <c r="A34329"/>
      <c r="B34329"/>
      <c r="C34329"/>
      <c r="E34329"/>
      <c r="F34329"/>
    </row>
    <row r="34330" spans="1:6" x14ac:dyDescent="0.25">
      <c r="A34330"/>
      <c r="B34330"/>
      <c r="C34330"/>
      <c r="E34330"/>
      <c r="F34330"/>
    </row>
    <row r="34331" spans="1:6" x14ac:dyDescent="0.25">
      <c r="A34331"/>
      <c r="B34331"/>
      <c r="C34331"/>
      <c r="E34331"/>
      <c r="F34331"/>
    </row>
    <row r="34332" spans="1:6" x14ac:dyDescent="0.25">
      <c r="A34332"/>
      <c r="B34332"/>
      <c r="C34332"/>
      <c r="E34332"/>
      <c r="F34332"/>
    </row>
    <row r="34333" spans="1:6" x14ac:dyDescent="0.25">
      <c r="A34333"/>
      <c r="B34333"/>
      <c r="C34333"/>
      <c r="E34333"/>
      <c r="F34333"/>
    </row>
    <row r="34334" spans="1:6" x14ac:dyDescent="0.25">
      <c r="A34334"/>
      <c r="B34334"/>
      <c r="C34334"/>
      <c r="E34334"/>
      <c r="F34334"/>
    </row>
    <row r="34335" spans="1:6" x14ac:dyDescent="0.25">
      <c r="A34335"/>
      <c r="B34335"/>
      <c r="C34335"/>
      <c r="E34335"/>
      <c r="F34335"/>
    </row>
    <row r="34336" spans="1:6" x14ac:dyDescent="0.25">
      <c r="A34336"/>
      <c r="B34336"/>
      <c r="C34336"/>
      <c r="E34336"/>
      <c r="F34336"/>
    </row>
    <row r="34337" spans="1:6" x14ac:dyDescent="0.25">
      <c r="A34337"/>
      <c r="B34337"/>
      <c r="C34337"/>
      <c r="E34337"/>
      <c r="F34337"/>
    </row>
    <row r="34338" spans="1:6" x14ac:dyDescent="0.25">
      <c r="A34338"/>
      <c r="B34338"/>
      <c r="C34338"/>
      <c r="E34338"/>
      <c r="F34338"/>
    </row>
    <row r="34339" spans="1:6" x14ac:dyDescent="0.25">
      <c r="A34339"/>
      <c r="B34339"/>
      <c r="C34339"/>
      <c r="E34339"/>
      <c r="F34339"/>
    </row>
    <row r="34340" spans="1:6" x14ac:dyDescent="0.25">
      <c r="A34340"/>
      <c r="B34340"/>
      <c r="C34340"/>
      <c r="E34340"/>
      <c r="F34340"/>
    </row>
    <row r="34341" spans="1:6" x14ac:dyDescent="0.25">
      <c r="A34341"/>
      <c r="B34341"/>
      <c r="C34341"/>
      <c r="E34341"/>
      <c r="F34341"/>
    </row>
    <row r="34342" spans="1:6" x14ac:dyDescent="0.25">
      <c r="A34342"/>
      <c r="B34342"/>
      <c r="C34342"/>
      <c r="E34342"/>
      <c r="F34342"/>
    </row>
    <row r="34343" spans="1:6" x14ac:dyDescent="0.25">
      <c r="A34343"/>
      <c r="B34343"/>
      <c r="C34343"/>
      <c r="E34343"/>
      <c r="F34343"/>
    </row>
    <row r="34344" spans="1:6" x14ac:dyDescent="0.25">
      <c r="A34344"/>
      <c r="B34344"/>
      <c r="C34344"/>
      <c r="E34344"/>
      <c r="F34344"/>
    </row>
    <row r="34345" spans="1:6" x14ac:dyDescent="0.25">
      <c r="A34345"/>
      <c r="B34345"/>
      <c r="C34345"/>
      <c r="E34345"/>
      <c r="F34345"/>
    </row>
    <row r="34346" spans="1:6" x14ac:dyDescent="0.25">
      <c r="A34346"/>
      <c r="B34346"/>
      <c r="C34346"/>
      <c r="E34346"/>
      <c r="F34346"/>
    </row>
    <row r="34347" spans="1:6" x14ac:dyDescent="0.25">
      <c r="A34347"/>
      <c r="B34347"/>
      <c r="C34347"/>
      <c r="E34347"/>
      <c r="F34347"/>
    </row>
    <row r="34348" spans="1:6" x14ac:dyDescent="0.25">
      <c r="A34348"/>
      <c r="B34348"/>
      <c r="C34348"/>
      <c r="E34348"/>
      <c r="F34348"/>
    </row>
    <row r="34349" spans="1:6" x14ac:dyDescent="0.25">
      <c r="A34349"/>
      <c r="B34349"/>
      <c r="C34349"/>
      <c r="E34349"/>
      <c r="F34349"/>
    </row>
    <row r="34350" spans="1:6" x14ac:dyDescent="0.25">
      <c r="A34350"/>
      <c r="B34350"/>
      <c r="C34350"/>
      <c r="E34350"/>
      <c r="F34350"/>
    </row>
    <row r="34351" spans="1:6" x14ac:dyDescent="0.25">
      <c r="A34351"/>
      <c r="B34351"/>
      <c r="C34351"/>
      <c r="E34351"/>
      <c r="F34351"/>
    </row>
    <row r="34352" spans="1:6" x14ac:dyDescent="0.25">
      <c r="A34352"/>
      <c r="B34352"/>
      <c r="C34352"/>
      <c r="E34352"/>
      <c r="F34352"/>
    </row>
    <row r="34353" spans="1:6" x14ac:dyDescent="0.25">
      <c r="A34353"/>
      <c r="B34353"/>
      <c r="C34353"/>
      <c r="E34353"/>
      <c r="F34353"/>
    </row>
    <row r="34354" spans="1:6" x14ac:dyDescent="0.25">
      <c r="A34354"/>
      <c r="B34354"/>
      <c r="C34354"/>
      <c r="E34354"/>
      <c r="F34354"/>
    </row>
    <row r="34355" spans="1:6" x14ac:dyDescent="0.25">
      <c r="A34355"/>
      <c r="B34355"/>
      <c r="C34355"/>
      <c r="E34355"/>
      <c r="F34355"/>
    </row>
    <row r="34356" spans="1:6" x14ac:dyDescent="0.25">
      <c r="A34356"/>
      <c r="B34356"/>
      <c r="C34356"/>
      <c r="E34356"/>
      <c r="F34356"/>
    </row>
    <row r="34357" spans="1:6" x14ac:dyDescent="0.25">
      <c r="A34357"/>
      <c r="B34357"/>
      <c r="C34357"/>
      <c r="E34357"/>
      <c r="F34357"/>
    </row>
    <row r="34358" spans="1:6" x14ac:dyDescent="0.25">
      <c r="A34358"/>
      <c r="B34358"/>
      <c r="C34358"/>
      <c r="E34358"/>
      <c r="F34358"/>
    </row>
    <row r="34359" spans="1:6" x14ac:dyDescent="0.25">
      <c r="A34359"/>
      <c r="B34359"/>
      <c r="C34359"/>
      <c r="E34359"/>
      <c r="F34359"/>
    </row>
    <row r="34360" spans="1:6" x14ac:dyDescent="0.25">
      <c r="A34360"/>
      <c r="B34360"/>
      <c r="C34360"/>
      <c r="E34360"/>
      <c r="F34360"/>
    </row>
    <row r="34361" spans="1:6" x14ac:dyDescent="0.25">
      <c r="A34361"/>
      <c r="B34361"/>
      <c r="C34361"/>
      <c r="E34361"/>
      <c r="F34361"/>
    </row>
    <row r="34362" spans="1:6" x14ac:dyDescent="0.25">
      <c r="A34362"/>
      <c r="B34362"/>
      <c r="C34362"/>
      <c r="E34362"/>
      <c r="F34362"/>
    </row>
    <row r="34363" spans="1:6" x14ac:dyDescent="0.25">
      <c r="A34363"/>
      <c r="B34363"/>
      <c r="C34363"/>
      <c r="E34363"/>
      <c r="F34363"/>
    </row>
    <row r="34364" spans="1:6" x14ac:dyDescent="0.25">
      <c r="A34364"/>
      <c r="B34364"/>
      <c r="C34364"/>
      <c r="E34364"/>
      <c r="F34364"/>
    </row>
    <row r="34365" spans="1:6" x14ac:dyDescent="0.25">
      <c r="A34365"/>
      <c r="B34365"/>
      <c r="C34365"/>
      <c r="E34365"/>
      <c r="F34365"/>
    </row>
    <row r="34366" spans="1:6" x14ac:dyDescent="0.25">
      <c r="A34366"/>
      <c r="B34366"/>
      <c r="C34366"/>
      <c r="E34366"/>
      <c r="F34366"/>
    </row>
    <row r="34367" spans="1:6" x14ac:dyDescent="0.25">
      <c r="A34367"/>
      <c r="B34367"/>
      <c r="C34367"/>
      <c r="E34367"/>
      <c r="F34367"/>
    </row>
    <row r="34368" spans="1:6" x14ac:dyDescent="0.25">
      <c r="A34368"/>
      <c r="B34368"/>
      <c r="C34368"/>
      <c r="E34368"/>
      <c r="F34368"/>
    </row>
    <row r="34369" spans="1:6" x14ac:dyDescent="0.25">
      <c r="A34369"/>
      <c r="B34369"/>
      <c r="C34369"/>
      <c r="E34369"/>
      <c r="F34369"/>
    </row>
    <row r="34370" spans="1:6" x14ac:dyDescent="0.25">
      <c r="A34370"/>
      <c r="B34370"/>
      <c r="C34370"/>
      <c r="E34370"/>
      <c r="F34370"/>
    </row>
    <row r="34371" spans="1:6" x14ac:dyDescent="0.25">
      <c r="A34371"/>
      <c r="B34371"/>
      <c r="C34371"/>
      <c r="E34371"/>
      <c r="F34371"/>
    </row>
    <row r="34372" spans="1:6" x14ac:dyDescent="0.25">
      <c r="A34372"/>
      <c r="B34372"/>
      <c r="C34372"/>
      <c r="E34372"/>
      <c r="F34372"/>
    </row>
    <row r="34373" spans="1:6" x14ac:dyDescent="0.25">
      <c r="A34373"/>
      <c r="B34373"/>
      <c r="C34373"/>
      <c r="E34373"/>
      <c r="F34373"/>
    </row>
    <row r="34374" spans="1:6" x14ac:dyDescent="0.25">
      <c r="A34374"/>
      <c r="B34374"/>
      <c r="C34374"/>
      <c r="E34374"/>
      <c r="F34374"/>
    </row>
    <row r="34375" spans="1:6" x14ac:dyDescent="0.25">
      <c r="A34375"/>
      <c r="B34375"/>
      <c r="C34375"/>
      <c r="E34375"/>
      <c r="F34375"/>
    </row>
    <row r="34376" spans="1:6" x14ac:dyDescent="0.25">
      <c r="A34376"/>
      <c r="B34376"/>
      <c r="C34376"/>
      <c r="E34376"/>
      <c r="F34376"/>
    </row>
    <row r="34377" spans="1:6" x14ac:dyDescent="0.25">
      <c r="A34377"/>
      <c r="B34377"/>
      <c r="C34377"/>
      <c r="E34377"/>
      <c r="F34377"/>
    </row>
    <row r="34378" spans="1:6" x14ac:dyDescent="0.25">
      <c r="A34378"/>
      <c r="B34378"/>
      <c r="C34378"/>
      <c r="E34378"/>
      <c r="F34378"/>
    </row>
    <row r="34379" spans="1:6" x14ac:dyDescent="0.25">
      <c r="A34379"/>
      <c r="B34379"/>
      <c r="C34379"/>
      <c r="E34379"/>
      <c r="F34379"/>
    </row>
    <row r="34380" spans="1:6" x14ac:dyDescent="0.25">
      <c r="A34380"/>
      <c r="B34380"/>
      <c r="C34380"/>
      <c r="E34380"/>
      <c r="F34380"/>
    </row>
    <row r="34381" spans="1:6" x14ac:dyDescent="0.25">
      <c r="A34381"/>
      <c r="B34381"/>
      <c r="C34381"/>
      <c r="E34381"/>
      <c r="F34381"/>
    </row>
    <row r="34382" spans="1:6" x14ac:dyDescent="0.25">
      <c r="A34382"/>
      <c r="B34382"/>
      <c r="C34382"/>
      <c r="E34382"/>
      <c r="F34382"/>
    </row>
    <row r="34383" spans="1:6" x14ac:dyDescent="0.25">
      <c r="A34383"/>
      <c r="B34383"/>
      <c r="C34383"/>
      <c r="E34383"/>
      <c r="F34383"/>
    </row>
    <row r="34384" spans="1:6" x14ac:dyDescent="0.25">
      <c r="A34384"/>
      <c r="B34384"/>
      <c r="C34384"/>
      <c r="E34384"/>
      <c r="F34384"/>
    </row>
    <row r="34385" spans="1:6" x14ac:dyDescent="0.25">
      <c r="A34385"/>
      <c r="B34385"/>
      <c r="C34385"/>
      <c r="E34385"/>
      <c r="F34385"/>
    </row>
    <row r="34386" spans="1:6" x14ac:dyDescent="0.25">
      <c r="A34386"/>
      <c r="B34386"/>
      <c r="C34386"/>
      <c r="E34386"/>
      <c r="F34386"/>
    </row>
    <row r="34387" spans="1:6" x14ac:dyDescent="0.25">
      <c r="A34387"/>
      <c r="B34387"/>
      <c r="C34387"/>
      <c r="E34387"/>
      <c r="F34387"/>
    </row>
    <row r="34388" spans="1:6" x14ac:dyDescent="0.25">
      <c r="A34388"/>
      <c r="B34388"/>
      <c r="C34388"/>
      <c r="E34388"/>
      <c r="F34388"/>
    </row>
    <row r="34389" spans="1:6" x14ac:dyDescent="0.25">
      <c r="A34389"/>
      <c r="B34389"/>
      <c r="C34389"/>
      <c r="E34389"/>
      <c r="F34389"/>
    </row>
    <row r="34390" spans="1:6" x14ac:dyDescent="0.25">
      <c r="A34390"/>
      <c r="B34390"/>
      <c r="C34390"/>
      <c r="E34390"/>
      <c r="F34390"/>
    </row>
    <row r="34391" spans="1:6" x14ac:dyDescent="0.25">
      <c r="A34391"/>
      <c r="B34391"/>
      <c r="C34391"/>
      <c r="E34391"/>
      <c r="F34391"/>
    </row>
    <row r="34392" spans="1:6" x14ac:dyDescent="0.25">
      <c r="A34392"/>
      <c r="B34392"/>
      <c r="C34392"/>
      <c r="E34392"/>
      <c r="F34392"/>
    </row>
    <row r="34393" spans="1:6" x14ac:dyDescent="0.25">
      <c r="A34393"/>
      <c r="B34393"/>
      <c r="C34393"/>
      <c r="E34393"/>
      <c r="F34393"/>
    </row>
    <row r="34394" spans="1:6" x14ac:dyDescent="0.25">
      <c r="A34394"/>
      <c r="B34394"/>
      <c r="C34394"/>
      <c r="E34394"/>
      <c r="F34394"/>
    </row>
    <row r="34395" spans="1:6" x14ac:dyDescent="0.25">
      <c r="A34395"/>
      <c r="B34395"/>
      <c r="C34395"/>
      <c r="E34395"/>
      <c r="F34395"/>
    </row>
    <row r="34396" spans="1:6" x14ac:dyDescent="0.25">
      <c r="A34396"/>
      <c r="B34396"/>
      <c r="C34396"/>
      <c r="E34396"/>
      <c r="F34396"/>
    </row>
    <row r="34397" spans="1:6" x14ac:dyDescent="0.25">
      <c r="A34397"/>
      <c r="B34397"/>
      <c r="C34397"/>
      <c r="E34397"/>
      <c r="F34397"/>
    </row>
    <row r="34398" spans="1:6" x14ac:dyDescent="0.25">
      <c r="A34398"/>
      <c r="B34398"/>
      <c r="C34398"/>
      <c r="E34398"/>
      <c r="F34398"/>
    </row>
    <row r="34399" spans="1:6" x14ac:dyDescent="0.25">
      <c r="A34399"/>
      <c r="B34399"/>
      <c r="C34399"/>
      <c r="E34399"/>
      <c r="F34399"/>
    </row>
    <row r="34400" spans="1:6" x14ac:dyDescent="0.25">
      <c r="A34400"/>
      <c r="B34400"/>
      <c r="C34400"/>
      <c r="E34400"/>
      <c r="F34400"/>
    </row>
    <row r="34401" spans="1:6" x14ac:dyDescent="0.25">
      <c r="A34401"/>
      <c r="B34401"/>
      <c r="C34401"/>
      <c r="E34401"/>
      <c r="F34401"/>
    </row>
    <row r="34402" spans="1:6" x14ac:dyDescent="0.25">
      <c r="A34402"/>
      <c r="B34402"/>
      <c r="C34402"/>
      <c r="E34402"/>
      <c r="F34402"/>
    </row>
    <row r="34403" spans="1:6" x14ac:dyDescent="0.25">
      <c r="A34403"/>
      <c r="B34403"/>
      <c r="C34403"/>
      <c r="E34403"/>
      <c r="F34403"/>
    </row>
    <row r="34404" spans="1:6" x14ac:dyDescent="0.25">
      <c r="A34404"/>
      <c r="B34404"/>
      <c r="C34404"/>
      <c r="E34404"/>
      <c r="F34404"/>
    </row>
    <row r="34405" spans="1:6" x14ac:dyDescent="0.25">
      <c r="A34405"/>
      <c r="B34405"/>
      <c r="C34405"/>
      <c r="E34405"/>
      <c r="F34405"/>
    </row>
    <row r="34406" spans="1:6" x14ac:dyDescent="0.25">
      <c r="A34406"/>
      <c r="B34406"/>
      <c r="C34406"/>
      <c r="E34406"/>
      <c r="F34406"/>
    </row>
    <row r="34407" spans="1:6" x14ac:dyDescent="0.25">
      <c r="A34407"/>
      <c r="B34407"/>
      <c r="C34407"/>
      <c r="E34407"/>
      <c r="F34407"/>
    </row>
    <row r="34408" spans="1:6" x14ac:dyDescent="0.25">
      <c r="A34408"/>
      <c r="B34408"/>
      <c r="C34408"/>
      <c r="E34408"/>
      <c r="F34408"/>
    </row>
    <row r="34409" spans="1:6" x14ac:dyDescent="0.25">
      <c r="A34409"/>
      <c r="B34409"/>
      <c r="C34409"/>
      <c r="E34409"/>
      <c r="F34409"/>
    </row>
    <row r="34410" spans="1:6" x14ac:dyDescent="0.25">
      <c r="A34410"/>
      <c r="B34410"/>
      <c r="C34410"/>
      <c r="E34410"/>
      <c r="F34410"/>
    </row>
    <row r="34411" spans="1:6" x14ac:dyDescent="0.25">
      <c r="A34411"/>
      <c r="B34411"/>
      <c r="C34411"/>
      <c r="E34411"/>
      <c r="F34411"/>
    </row>
    <row r="34412" spans="1:6" x14ac:dyDescent="0.25">
      <c r="A34412"/>
      <c r="B34412"/>
      <c r="C34412"/>
      <c r="E34412"/>
      <c r="F34412"/>
    </row>
    <row r="34413" spans="1:6" x14ac:dyDescent="0.25">
      <c r="A34413"/>
      <c r="B34413"/>
      <c r="C34413"/>
      <c r="E34413"/>
      <c r="F34413"/>
    </row>
    <row r="34414" spans="1:6" x14ac:dyDescent="0.25">
      <c r="A34414"/>
      <c r="B34414"/>
      <c r="C34414"/>
      <c r="E34414"/>
      <c r="F34414"/>
    </row>
    <row r="34415" spans="1:6" x14ac:dyDescent="0.25">
      <c r="A34415"/>
      <c r="B34415"/>
      <c r="C34415"/>
      <c r="E34415"/>
      <c r="F34415"/>
    </row>
    <row r="34416" spans="1:6" x14ac:dyDescent="0.25">
      <c r="A34416"/>
      <c r="B34416"/>
      <c r="C34416"/>
      <c r="E34416"/>
      <c r="F34416"/>
    </row>
    <row r="34417" spans="1:6" x14ac:dyDescent="0.25">
      <c r="A34417"/>
      <c r="B34417"/>
      <c r="C34417"/>
      <c r="E34417"/>
      <c r="F34417"/>
    </row>
    <row r="34418" spans="1:6" x14ac:dyDescent="0.25">
      <c r="A34418"/>
      <c r="B34418"/>
      <c r="C34418"/>
      <c r="E34418"/>
      <c r="F34418"/>
    </row>
    <row r="34419" spans="1:6" x14ac:dyDescent="0.25">
      <c r="A34419"/>
      <c r="B34419"/>
      <c r="C34419"/>
      <c r="E34419"/>
      <c r="F34419"/>
    </row>
    <row r="34420" spans="1:6" x14ac:dyDescent="0.25">
      <c r="A34420"/>
      <c r="B34420"/>
      <c r="C34420"/>
      <c r="E34420"/>
      <c r="F34420"/>
    </row>
    <row r="34421" spans="1:6" x14ac:dyDescent="0.25">
      <c r="A34421"/>
      <c r="B34421"/>
      <c r="C34421"/>
      <c r="E34421"/>
      <c r="F34421"/>
    </row>
    <row r="34422" spans="1:6" x14ac:dyDescent="0.25">
      <c r="A34422"/>
      <c r="B34422"/>
      <c r="C34422"/>
      <c r="E34422"/>
      <c r="F34422"/>
    </row>
    <row r="34423" spans="1:6" x14ac:dyDescent="0.25">
      <c r="A34423"/>
      <c r="B34423"/>
      <c r="C34423"/>
      <c r="E34423"/>
      <c r="F34423"/>
    </row>
    <row r="34424" spans="1:6" x14ac:dyDescent="0.25">
      <c r="A34424"/>
      <c r="B34424"/>
      <c r="C34424"/>
      <c r="E34424"/>
      <c r="F34424"/>
    </row>
    <row r="34425" spans="1:6" x14ac:dyDescent="0.25">
      <c r="A34425"/>
      <c r="B34425"/>
      <c r="C34425"/>
      <c r="E34425"/>
      <c r="F34425"/>
    </row>
    <row r="34426" spans="1:6" x14ac:dyDescent="0.25">
      <c r="A34426"/>
      <c r="B34426"/>
      <c r="C34426"/>
      <c r="E34426"/>
      <c r="F34426"/>
    </row>
    <row r="34427" spans="1:6" x14ac:dyDescent="0.25">
      <c r="A34427"/>
      <c r="B34427"/>
      <c r="C34427"/>
      <c r="E34427"/>
      <c r="F34427"/>
    </row>
    <row r="34428" spans="1:6" x14ac:dyDescent="0.25">
      <c r="A34428"/>
      <c r="B34428"/>
      <c r="C34428"/>
      <c r="E34428"/>
      <c r="F34428"/>
    </row>
    <row r="34429" spans="1:6" x14ac:dyDescent="0.25">
      <c r="A34429"/>
      <c r="B34429"/>
      <c r="C34429"/>
      <c r="E34429"/>
      <c r="F34429"/>
    </row>
    <row r="34430" spans="1:6" x14ac:dyDescent="0.25">
      <c r="A34430"/>
      <c r="B34430"/>
      <c r="C34430"/>
      <c r="E34430"/>
      <c r="F34430"/>
    </row>
    <row r="34431" spans="1:6" x14ac:dyDescent="0.25">
      <c r="A34431"/>
      <c r="B34431"/>
      <c r="C34431"/>
      <c r="E34431"/>
      <c r="F34431"/>
    </row>
    <row r="34432" spans="1:6" x14ac:dyDescent="0.25">
      <c r="A34432"/>
      <c r="B34432"/>
      <c r="C34432"/>
      <c r="E34432"/>
      <c r="F34432"/>
    </row>
    <row r="34433" spans="1:6" x14ac:dyDescent="0.25">
      <c r="A34433"/>
      <c r="B34433"/>
      <c r="C34433"/>
      <c r="E34433"/>
      <c r="F34433"/>
    </row>
    <row r="34434" spans="1:6" x14ac:dyDescent="0.25">
      <c r="A34434"/>
      <c r="B34434"/>
      <c r="C34434"/>
      <c r="E34434"/>
      <c r="F34434"/>
    </row>
    <row r="34435" spans="1:6" x14ac:dyDescent="0.25">
      <c r="A34435"/>
      <c r="B34435"/>
      <c r="C34435"/>
      <c r="E34435"/>
      <c r="F34435"/>
    </row>
    <row r="34436" spans="1:6" x14ac:dyDescent="0.25">
      <c r="A34436"/>
      <c r="B34436"/>
      <c r="C34436"/>
      <c r="E34436"/>
      <c r="F34436"/>
    </row>
    <row r="34437" spans="1:6" x14ac:dyDescent="0.25">
      <c r="A34437"/>
      <c r="B34437"/>
      <c r="C34437"/>
      <c r="E34437"/>
      <c r="F34437"/>
    </row>
    <row r="34438" spans="1:6" x14ac:dyDescent="0.25">
      <c r="A34438"/>
      <c r="B34438"/>
      <c r="C34438"/>
      <c r="E34438"/>
      <c r="F34438"/>
    </row>
    <row r="34439" spans="1:6" x14ac:dyDescent="0.25">
      <c r="A34439"/>
      <c r="B34439"/>
      <c r="C34439"/>
      <c r="E34439"/>
      <c r="F34439"/>
    </row>
    <row r="34440" spans="1:6" x14ac:dyDescent="0.25">
      <c r="A34440"/>
      <c r="B34440"/>
      <c r="C34440"/>
      <c r="E34440"/>
      <c r="F34440"/>
    </row>
    <row r="34441" spans="1:6" x14ac:dyDescent="0.25">
      <c r="A34441"/>
      <c r="B34441"/>
      <c r="C34441"/>
      <c r="E34441"/>
      <c r="F34441"/>
    </row>
    <row r="34442" spans="1:6" x14ac:dyDescent="0.25">
      <c r="A34442"/>
      <c r="B34442"/>
      <c r="C34442"/>
      <c r="E34442"/>
      <c r="F34442"/>
    </row>
    <row r="34443" spans="1:6" x14ac:dyDescent="0.25">
      <c r="A34443"/>
      <c r="B34443"/>
      <c r="C34443"/>
      <c r="E34443"/>
      <c r="F34443"/>
    </row>
    <row r="34444" spans="1:6" x14ac:dyDescent="0.25">
      <c r="A34444"/>
      <c r="B34444"/>
      <c r="C34444"/>
      <c r="E34444"/>
      <c r="F34444"/>
    </row>
    <row r="34445" spans="1:6" x14ac:dyDescent="0.25">
      <c r="A34445"/>
      <c r="B34445"/>
      <c r="C34445"/>
      <c r="E34445"/>
      <c r="F34445"/>
    </row>
    <row r="34446" spans="1:6" x14ac:dyDescent="0.25">
      <c r="A34446"/>
      <c r="B34446"/>
      <c r="C34446"/>
      <c r="E34446"/>
      <c r="F34446"/>
    </row>
    <row r="34447" spans="1:6" x14ac:dyDescent="0.25">
      <c r="A34447"/>
      <c r="B34447"/>
      <c r="C34447"/>
      <c r="E34447"/>
      <c r="F34447"/>
    </row>
    <row r="34448" spans="1:6" x14ac:dyDescent="0.25">
      <c r="A34448"/>
      <c r="B34448"/>
      <c r="C34448"/>
      <c r="E34448"/>
      <c r="F34448"/>
    </row>
    <row r="34449" spans="1:6" x14ac:dyDescent="0.25">
      <c r="A34449"/>
      <c r="B34449"/>
      <c r="C34449"/>
      <c r="E34449"/>
      <c r="F34449"/>
    </row>
    <row r="34450" spans="1:6" x14ac:dyDescent="0.25">
      <c r="A34450"/>
      <c r="B34450"/>
      <c r="C34450"/>
      <c r="E34450"/>
      <c r="F34450"/>
    </row>
    <row r="34451" spans="1:6" x14ac:dyDescent="0.25">
      <c r="A34451"/>
      <c r="B34451"/>
      <c r="C34451"/>
      <c r="E34451"/>
      <c r="F34451"/>
    </row>
    <row r="34452" spans="1:6" x14ac:dyDescent="0.25">
      <c r="A34452"/>
      <c r="B34452"/>
      <c r="C34452"/>
      <c r="E34452"/>
      <c r="F34452"/>
    </row>
    <row r="34453" spans="1:6" x14ac:dyDescent="0.25">
      <c r="A34453"/>
      <c r="B34453"/>
      <c r="C34453"/>
      <c r="E34453"/>
      <c r="F34453"/>
    </row>
    <row r="34454" spans="1:6" x14ac:dyDescent="0.25">
      <c r="A34454"/>
      <c r="B34454"/>
      <c r="C34454"/>
      <c r="E34454"/>
      <c r="F34454"/>
    </row>
    <row r="34455" spans="1:6" x14ac:dyDescent="0.25">
      <c r="A34455"/>
      <c r="B34455"/>
      <c r="C34455"/>
      <c r="E34455"/>
      <c r="F34455"/>
    </row>
    <row r="34456" spans="1:6" x14ac:dyDescent="0.25">
      <c r="A34456"/>
      <c r="B34456"/>
      <c r="C34456"/>
      <c r="E34456"/>
      <c r="F34456"/>
    </row>
    <row r="34457" spans="1:6" x14ac:dyDescent="0.25">
      <c r="A34457"/>
      <c r="B34457"/>
      <c r="C34457"/>
      <c r="E34457"/>
      <c r="F34457"/>
    </row>
    <row r="34458" spans="1:6" x14ac:dyDescent="0.25">
      <c r="A34458"/>
      <c r="B34458"/>
      <c r="C34458"/>
      <c r="E34458"/>
      <c r="F34458"/>
    </row>
    <row r="34459" spans="1:6" x14ac:dyDescent="0.25">
      <c r="A34459"/>
      <c r="B34459"/>
      <c r="C34459"/>
      <c r="E34459"/>
      <c r="F34459"/>
    </row>
    <row r="34460" spans="1:6" x14ac:dyDescent="0.25">
      <c r="A34460"/>
      <c r="B34460"/>
      <c r="C34460"/>
      <c r="E34460"/>
      <c r="F34460"/>
    </row>
    <row r="34461" spans="1:6" x14ac:dyDescent="0.25">
      <c r="A34461"/>
      <c r="B34461"/>
      <c r="C34461"/>
      <c r="E34461"/>
      <c r="F34461"/>
    </row>
    <row r="34462" spans="1:6" x14ac:dyDescent="0.25">
      <c r="A34462"/>
      <c r="B34462"/>
      <c r="C34462"/>
      <c r="E34462"/>
      <c r="F34462"/>
    </row>
    <row r="34463" spans="1:6" x14ac:dyDescent="0.25">
      <c r="A34463"/>
      <c r="B34463"/>
      <c r="C34463"/>
      <c r="E34463"/>
      <c r="F34463"/>
    </row>
    <row r="34464" spans="1:6" x14ac:dyDescent="0.25">
      <c r="A34464"/>
      <c r="B34464"/>
      <c r="C34464"/>
      <c r="E34464"/>
      <c r="F34464"/>
    </row>
    <row r="34465" spans="1:6" x14ac:dyDescent="0.25">
      <c r="A34465"/>
      <c r="B34465"/>
      <c r="C34465"/>
      <c r="E34465"/>
      <c r="F34465"/>
    </row>
    <row r="34466" spans="1:6" x14ac:dyDescent="0.25">
      <c r="A34466"/>
      <c r="B34466"/>
      <c r="C34466"/>
      <c r="E34466"/>
      <c r="F34466"/>
    </row>
    <row r="34467" spans="1:6" x14ac:dyDescent="0.25">
      <c r="A34467"/>
      <c r="B34467"/>
      <c r="C34467"/>
      <c r="E34467"/>
      <c r="F34467"/>
    </row>
    <row r="34468" spans="1:6" x14ac:dyDescent="0.25">
      <c r="A34468"/>
      <c r="B34468"/>
      <c r="C34468"/>
      <c r="E34468"/>
      <c r="F34468"/>
    </row>
    <row r="34469" spans="1:6" x14ac:dyDescent="0.25">
      <c r="A34469"/>
      <c r="B34469"/>
      <c r="C34469"/>
      <c r="E34469"/>
      <c r="F34469"/>
    </row>
    <row r="34470" spans="1:6" x14ac:dyDescent="0.25">
      <c r="A34470"/>
      <c r="B34470"/>
      <c r="C34470"/>
      <c r="E34470"/>
      <c r="F34470"/>
    </row>
    <row r="34471" spans="1:6" x14ac:dyDescent="0.25">
      <c r="A34471"/>
      <c r="B34471"/>
      <c r="C34471"/>
      <c r="E34471"/>
      <c r="F34471"/>
    </row>
    <row r="34472" spans="1:6" x14ac:dyDescent="0.25">
      <c r="A34472"/>
      <c r="B34472"/>
      <c r="C34472"/>
      <c r="E34472"/>
      <c r="F34472"/>
    </row>
    <row r="34473" spans="1:6" x14ac:dyDescent="0.25">
      <c r="A34473"/>
      <c r="B34473"/>
      <c r="C34473"/>
      <c r="E34473"/>
      <c r="F34473"/>
    </row>
    <row r="34474" spans="1:6" x14ac:dyDescent="0.25">
      <c r="A34474"/>
      <c r="B34474"/>
      <c r="C34474"/>
      <c r="E34474"/>
      <c r="F34474"/>
    </row>
    <row r="34475" spans="1:6" x14ac:dyDescent="0.25">
      <c r="A34475"/>
      <c r="B34475"/>
      <c r="C34475"/>
      <c r="E34475"/>
      <c r="F34475"/>
    </row>
    <row r="34476" spans="1:6" x14ac:dyDescent="0.25">
      <c r="A34476"/>
      <c r="B34476"/>
      <c r="C34476"/>
      <c r="E34476"/>
      <c r="F34476"/>
    </row>
    <row r="34477" spans="1:6" x14ac:dyDescent="0.25">
      <c r="A34477"/>
      <c r="B34477"/>
      <c r="C34477"/>
      <c r="E34477"/>
      <c r="F34477"/>
    </row>
    <row r="34478" spans="1:6" x14ac:dyDescent="0.25">
      <c r="A34478"/>
      <c r="B34478"/>
      <c r="C34478"/>
      <c r="E34478"/>
      <c r="F34478"/>
    </row>
    <row r="34479" spans="1:6" x14ac:dyDescent="0.25">
      <c r="A34479"/>
      <c r="B34479"/>
      <c r="C34479"/>
      <c r="E34479"/>
      <c r="F34479"/>
    </row>
    <row r="34480" spans="1:6" x14ac:dyDescent="0.25">
      <c r="A34480"/>
      <c r="B34480"/>
      <c r="C34480"/>
      <c r="E34480"/>
      <c r="F34480"/>
    </row>
    <row r="34481" spans="1:6" x14ac:dyDescent="0.25">
      <c r="A34481"/>
      <c r="B34481"/>
      <c r="C34481"/>
      <c r="E34481"/>
      <c r="F34481"/>
    </row>
    <row r="34482" spans="1:6" x14ac:dyDescent="0.25">
      <c r="A34482"/>
      <c r="B34482"/>
      <c r="C34482"/>
      <c r="E34482"/>
      <c r="F34482"/>
    </row>
    <row r="34483" spans="1:6" x14ac:dyDescent="0.25">
      <c r="A34483"/>
      <c r="B34483"/>
      <c r="C34483"/>
      <c r="E34483"/>
      <c r="F34483"/>
    </row>
    <row r="34484" spans="1:6" x14ac:dyDescent="0.25">
      <c r="A34484"/>
      <c r="B34484"/>
      <c r="C34484"/>
      <c r="E34484"/>
      <c r="F34484"/>
    </row>
    <row r="34485" spans="1:6" x14ac:dyDescent="0.25">
      <c r="A34485"/>
      <c r="B34485"/>
      <c r="C34485"/>
      <c r="E34485"/>
      <c r="F34485"/>
    </row>
    <row r="34486" spans="1:6" x14ac:dyDescent="0.25">
      <c r="A34486"/>
      <c r="B34486"/>
      <c r="C34486"/>
      <c r="E34486"/>
      <c r="F34486"/>
    </row>
    <row r="34487" spans="1:6" x14ac:dyDescent="0.25">
      <c r="A34487"/>
      <c r="B34487"/>
      <c r="C34487"/>
      <c r="E34487"/>
      <c r="F34487"/>
    </row>
    <row r="34488" spans="1:6" x14ac:dyDescent="0.25">
      <c r="A34488"/>
      <c r="B34488"/>
      <c r="C34488"/>
      <c r="E34488"/>
      <c r="F34488"/>
    </row>
    <row r="34489" spans="1:6" x14ac:dyDescent="0.25">
      <c r="A34489"/>
      <c r="B34489"/>
      <c r="C34489"/>
      <c r="E34489"/>
      <c r="F34489"/>
    </row>
    <row r="34490" spans="1:6" x14ac:dyDescent="0.25">
      <c r="A34490"/>
      <c r="B34490"/>
      <c r="C34490"/>
      <c r="E34490"/>
      <c r="F34490"/>
    </row>
    <row r="34491" spans="1:6" x14ac:dyDescent="0.25">
      <c r="A34491"/>
      <c r="B34491"/>
      <c r="C34491"/>
      <c r="E34491"/>
      <c r="F34491"/>
    </row>
    <row r="34492" spans="1:6" x14ac:dyDescent="0.25">
      <c r="A34492"/>
      <c r="B34492"/>
      <c r="C34492"/>
      <c r="E34492"/>
      <c r="F34492"/>
    </row>
    <row r="34493" spans="1:6" x14ac:dyDescent="0.25">
      <c r="A34493"/>
      <c r="B34493"/>
      <c r="C34493"/>
      <c r="E34493"/>
      <c r="F34493"/>
    </row>
    <row r="34494" spans="1:6" x14ac:dyDescent="0.25">
      <c r="A34494"/>
      <c r="B34494"/>
      <c r="C34494"/>
      <c r="E34494"/>
      <c r="F34494"/>
    </row>
    <row r="34495" spans="1:6" x14ac:dyDescent="0.25">
      <c r="A34495"/>
      <c r="B34495"/>
      <c r="C34495"/>
      <c r="E34495"/>
      <c r="F34495"/>
    </row>
    <row r="34496" spans="1:6" x14ac:dyDescent="0.25">
      <c r="A34496"/>
      <c r="B34496"/>
      <c r="C34496"/>
      <c r="E34496"/>
      <c r="F34496"/>
    </row>
    <row r="34497" spans="1:6" x14ac:dyDescent="0.25">
      <c r="A34497"/>
      <c r="B34497"/>
      <c r="C34497"/>
      <c r="E34497"/>
      <c r="F34497"/>
    </row>
    <row r="34498" spans="1:6" x14ac:dyDescent="0.25">
      <c r="A34498"/>
      <c r="B34498"/>
      <c r="C34498"/>
      <c r="E34498"/>
      <c r="F34498"/>
    </row>
    <row r="34499" spans="1:6" x14ac:dyDescent="0.25">
      <c r="A34499"/>
      <c r="B34499"/>
      <c r="C34499"/>
      <c r="E34499"/>
      <c r="F34499"/>
    </row>
    <row r="34500" spans="1:6" x14ac:dyDescent="0.25">
      <c r="A34500"/>
      <c r="B34500"/>
      <c r="C34500"/>
      <c r="E34500"/>
      <c r="F34500"/>
    </row>
    <row r="34501" spans="1:6" x14ac:dyDescent="0.25">
      <c r="A34501"/>
      <c r="B34501"/>
      <c r="C34501"/>
      <c r="E34501"/>
      <c r="F34501"/>
    </row>
    <row r="34502" spans="1:6" x14ac:dyDescent="0.25">
      <c r="A34502"/>
      <c r="B34502"/>
      <c r="C34502"/>
      <c r="E34502"/>
      <c r="F34502"/>
    </row>
    <row r="34503" spans="1:6" x14ac:dyDescent="0.25">
      <c r="A34503"/>
      <c r="B34503"/>
      <c r="C34503"/>
      <c r="E34503"/>
      <c r="F34503"/>
    </row>
    <row r="34504" spans="1:6" x14ac:dyDescent="0.25">
      <c r="A34504"/>
      <c r="B34504"/>
      <c r="C34504"/>
      <c r="E34504"/>
      <c r="F34504"/>
    </row>
    <row r="34505" spans="1:6" x14ac:dyDescent="0.25">
      <c r="A34505"/>
      <c r="B34505"/>
      <c r="C34505"/>
      <c r="E34505"/>
      <c r="F34505"/>
    </row>
    <row r="34506" spans="1:6" x14ac:dyDescent="0.25">
      <c r="A34506"/>
      <c r="B34506"/>
      <c r="C34506"/>
      <c r="E34506"/>
      <c r="F34506"/>
    </row>
    <row r="34507" spans="1:6" x14ac:dyDescent="0.25">
      <c r="A34507"/>
      <c r="B34507"/>
      <c r="C34507"/>
      <c r="E34507"/>
      <c r="F34507"/>
    </row>
    <row r="34508" spans="1:6" x14ac:dyDescent="0.25">
      <c r="A34508"/>
      <c r="B34508"/>
      <c r="C34508"/>
      <c r="E34508"/>
      <c r="F34508"/>
    </row>
    <row r="34509" spans="1:6" x14ac:dyDescent="0.25">
      <c r="A34509"/>
      <c r="B34509"/>
      <c r="C34509"/>
      <c r="E34509"/>
      <c r="F34509"/>
    </row>
    <row r="34510" spans="1:6" x14ac:dyDescent="0.25">
      <c r="A34510"/>
      <c r="B34510"/>
      <c r="C34510"/>
      <c r="E34510"/>
      <c r="F34510"/>
    </row>
    <row r="34511" spans="1:6" x14ac:dyDescent="0.25">
      <c r="A34511"/>
      <c r="B34511"/>
      <c r="C34511"/>
      <c r="E34511"/>
      <c r="F34511"/>
    </row>
    <row r="34512" spans="1:6" x14ac:dyDescent="0.25">
      <c r="A34512"/>
      <c r="B34512"/>
      <c r="C34512"/>
      <c r="E34512"/>
      <c r="F34512"/>
    </row>
    <row r="34513" spans="1:6" x14ac:dyDescent="0.25">
      <c r="A34513"/>
      <c r="B34513"/>
      <c r="C34513"/>
      <c r="E34513"/>
      <c r="F34513"/>
    </row>
    <row r="34514" spans="1:6" x14ac:dyDescent="0.25">
      <c r="A34514"/>
      <c r="B34514"/>
      <c r="C34514"/>
      <c r="E34514"/>
      <c r="F34514"/>
    </row>
    <row r="34515" spans="1:6" x14ac:dyDescent="0.25">
      <c r="A34515"/>
      <c r="B34515"/>
      <c r="C34515"/>
      <c r="E34515"/>
      <c r="F34515"/>
    </row>
    <row r="34516" spans="1:6" x14ac:dyDescent="0.25">
      <c r="A34516"/>
      <c r="B34516"/>
      <c r="C34516"/>
      <c r="E34516"/>
      <c r="F34516"/>
    </row>
    <row r="34517" spans="1:6" x14ac:dyDescent="0.25">
      <c r="A34517"/>
      <c r="B34517"/>
      <c r="C34517"/>
      <c r="E34517"/>
      <c r="F34517"/>
    </row>
    <row r="34518" spans="1:6" x14ac:dyDescent="0.25">
      <c r="A34518"/>
      <c r="B34518"/>
      <c r="C34518"/>
      <c r="E34518"/>
      <c r="F34518"/>
    </row>
    <row r="34519" spans="1:6" x14ac:dyDescent="0.25">
      <c r="A34519"/>
      <c r="B34519"/>
      <c r="C34519"/>
      <c r="E34519"/>
      <c r="F34519"/>
    </row>
    <row r="34520" spans="1:6" x14ac:dyDescent="0.25">
      <c r="A34520"/>
      <c r="B34520"/>
      <c r="C34520"/>
      <c r="E34520"/>
      <c r="F34520"/>
    </row>
    <row r="34521" spans="1:6" x14ac:dyDescent="0.25">
      <c r="A34521"/>
      <c r="B34521"/>
      <c r="C34521"/>
      <c r="E34521"/>
      <c r="F34521"/>
    </row>
    <row r="34522" spans="1:6" x14ac:dyDescent="0.25">
      <c r="A34522"/>
      <c r="B34522"/>
      <c r="C34522"/>
      <c r="E34522"/>
      <c r="F34522"/>
    </row>
    <row r="34523" spans="1:6" x14ac:dyDescent="0.25">
      <c r="A34523"/>
      <c r="B34523"/>
      <c r="C34523"/>
      <c r="E34523"/>
      <c r="F34523"/>
    </row>
    <row r="34524" spans="1:6" x14ac:dyDescent="0.25">
      <c r="A34524"/>
      <c r="B34524"/>
      <c r="C34524"/>
      <c r="E34524"/>
      <c r="F34524"/>
    </row>
    <row r="34525" spans="1:6" x14ac:dyDescent="0.25">
      <c r="A34525"/>
      <c r="B34525"/>
      <c r="C34525"/>
      <c r="E34525"/>
      <c r="F34525"/>
    </row>
    <row r="34526" spans="1:6" x14ac:dyDescent="0.25">
      <c r="A34526"/>
      <c r="B34526"/>
      <c r="C34526"/>
      <c r="E34526"/>
      <c r="F34526"/>
    </row>
    <row r="34527" spans="1:6" x14ac:dyDescent="0.25">
      <c r="A34527"/>
      <c r="B34527"/>
      <c r="C34527"/>
      <c r="E34527"/>
      <c r="F34527"/>
    </row>
    <row r="34528" spans="1:6" x14ac:dyDescent="0.25">
      <c r="A34528"/>
      <c r="B34528"/>
      <c r="C34528"/>
      <c r="E34528"/>
      <c r="F34528"/>
    </row>
    <row r="34529" spans="1:6" x14ac:dyDescent="0.25">
      <c r="A34529"/>
      <c r="B34529"/>
      <c r="C34529"/>
      <c r="E34529"/>
      <c r="F34529"/>
    </row>
    <row r="34530" spans="1:6" x14ac:dyDescent="0.25">
      <c r="A34530"/>
      <c r="B34530"/>
      <c r="C34530"/>
      <c r="E34530"/>
      <c r="F34530"/>
    </row>
    <row r="34531" spans="1:6" x14ac:dyDescent="0.25">
      <c r="A34531"/>
      <c r="B34531"/>
      <c r="C34531"/>
      <c r="E34531"/>
      <c r="F34531"/>
    </row>
    <row r="34532" spans="1:6" x14ac:dyDescent="0.25">
      <c r="A34532"/>
      <c r="B34532"/>
      <c r="C34532"/>
      <c r="E34532"/>
      <c r="F34532"/>
    </row>
    <row r="34533" spans="1:6" x14ac:dyDescent="0.25">
      <c r="A34533"/>
      <c r="B34533"/>
      <c r="C34533"/>
      <c r="E34533"/>
      <c r="F34533"/>
    </row>
    <row r="34534" spans="1:6" x14ac:dyDescent="0.25">
      <c r="A34534"/>
      <c r="B34534"/>
      <c r="C34534"/>
      <c r="E34534"/>
      <c r="F34534"/>
    </row>
    <row r="34535" spans="1:6" x14ac:dyDescent="0.25">
      <c r="A34535"/>
      <c r="B34535"/>
      <c r="C34535"/>
      <c r="E34535"/>
      <c r="F34535"/>
    </row>
    <row r="34536" spans="1:6" x14ac:dyDescent="0.25">
      <c r="A34536"/>
      <c r="B34536"/>
      <c r="C34536"/>
      <c r="E34536"/>
      <c r="F34536"/>
    </row>
    <row r="34537" spans="1:6" x14ac:dyDescent="0.25">
      <c r="A34537"/>
      <c r="B34537"/>
      <c r="C34537"/>
      <c r="E34537"/>
      <c r="F34537"/>
    </row>
    <row r="34538" spans="1:6" x14ac:dyDescent="0.25">
      <c r="A34538"/>
      <c r="B34538"/>
      <c r="C34538"/>
      <c r="E34538"/>
      <c r="F34538"/>
    </row>
    <row r="34539" spans="1:6" x14ac:dyDescent="0.25">
      <c r="A34539"/>
      <c r="B34539"/>
      <c r="C34539"/>
      <c r="E34539"/>
      <c r="F34539"/>
    </row>
    <row r="34540" spans="1:6" x14ac:dyDescent="0.25">
      <c r="A34540"/>
      <c r="B34540"/>
      <c r="C34540"/>
      <c r="E34540"/>
      <c r="F34540"/>
    </row>
    <row r="34541" spans="1:6" x14ac:dyDescent="0.25">
      <c r="A34541"/>
      <c r="B34541"/>
      <c r="C34541"/>
      <c r="E34541"/>
      <c r="F34541"/>
    </row>
    <row r="34542" spans="1:6" x14ac:dyDescent="0.25">
      <c r="A34542"/>
      <c r="B34542"/>
      <c r="C34542"/>
      <c r="E34542"/>
      <c r="F34542"/>
    </row>
    <row r="34543" spans="1:6" x14ac:dyDescent="0.25">
      <c r="A34543"/>
      <c r="B34543"/>
      <c r="C34543"/>
      <c r="E34543"/>
      <c r="F34543"/>
    </row>
    <row r="34544" spans="1:6" x14ac:dyDescent="0.25">
      <c r="A34544"/>
      <c r="B34544"/>
      <c r="C34544"/>
      <c r="E34544"/>
      <c r="F34544"/>
    </row>
    <row r="34545" spans="1:6" x14ac:dyDescent="0.25">
      <c r="A34545"/>
      <c r="B34545"/>
      <c r="C34545"/>
      <c r="E34545"/>
      <c r="F34545"/>
    </row>
    <row r="34546" spans="1:6" x14ac:dyDescent="0.25">
      <c r="A34546"/>
      <c r="B34546"/>
      <c r="C34546"/>
      <c r="E34546"/>
      <c r="F34546"/>
    </row>
    <row r="34547" spans="1:6" x14ac:dyDescent="0.25">
      <c r="A34547"/>
      <c r="B34547"/>
      <c r="C34547"/>
      <c r="E34547"/>
      <c r="F34547"/>
    </row>
    <row r="34548" spans="1:6" x14ac:dyDescent="0.25">
      <c r="A34548"/>
      <c r="B34548"/>
      <c r="C34548"/>
      <c r="E34548"/>
      <c r="F34548"/>
    </row>
    <row r="34549" spans="1:6" x14ac:dyDescent="0.25">
      <c r="A34549"/>
      <c r="B34549"/>
      <c r="C34549"/>
      <c r="E34549"/>
      <c r="F34549"/>
    </row>
    <row r="34550" spans="1:6" x14ac:dyDescent="0.25">
      <c r="A34550"/>
      <c r="B34550"/>
      <c r="C34550"/>
      <c r="E34550"/>
      <c r="F34550"/>
    </row>
    <row r="34551" spans="1:6" x14ac:dyDescent="0.25">
      <c r="A34551"/>
      <c r="B34551"/>
      <c r="C34551"/>
      <c r="E34551"/>
      <c r="F34551"/>
    </row>
    <row r="34552" spans="1:6" x14ac:dyDescent="0.25">
      <c r="A34552"/>
      <c r="B34552"/>
      <c r="C34552"/>
      <c r="E34552"/>
      <c r="F34552"/>
    </row>
    <row r="34553" spans="1:6" x14ac:dyDescent="0.25">
      <c r="A34553"/>
      <c r="B34553"/>
      <c r="C34553"/>
      <c r="E34553"/>
      <c r="F34553"/>
    </row>
    <row r="34554" spans="1:6" x14ac:dyDescent="0.25">
      <c r="A34554"/>
      <c r="B34554"/>
      <c r="C34554"/>
      <c r="E34554"/>
      <c r="F34554"/>
    </row>
    <row r="34555" spans="1:6" x14ac:dyDescent="0.25">
      <c r="A34555"/>
      <c r="B34555"/>
      <c r="C34555"/>
      <c r="E34555"/>
      <c r="F34555"/>
    </row>
    <row r="34556" spans="1:6" x14ac:dyDescent="0.25">
      <c r="A34556"/>
      <c r="B34556"/>
      <c r="C34556"/>
      <c r="E34556"/>
      <c r="F34556"/>
    </row>
    <row r="34557" spans="1:6" x14ac:dyDescent="0.25">
      <c r="A34557"/>
      <c r="B34557"/>
      <c r="C34557"/>
      <c r="E34557"/>
      <c r="F34557"/>
    </row>
    <row r="34558" spans="1:6" x14ac:dyDescent="0.25">
      <c r="A34558"/>
      <c r="B34558"/>
      <c r="C34558"/>
      <c r="E34558"/>
      <c r="F34558"/>
    </row>
    <row r="34559" spans="1:6" x14ac:dyDescent="0.25">
      <c r="A34559"/>
      <c r="B34559"/>
      <c r="C34559"/>
      <c r="E34559"/>
      <c r="F34559"/>
    </row>
    <row r="34560" spans="1:6" x14ac:dyDescent="0.25">
      <c r="A34560"/>
      <c r="B34560"/>
      <c r="C34560"/>
      <c r="E34560"/>
      <c r="F34560"/>
    </row>
    <row r="34561" spans="1:6" x14ac:dyDescent="0.25">
      <c r="A34561"/>
      <c r="B34561"/>
      <c r="C34561"/>
      <c r="E34561"/>
      <c r="F34561"/>
    </row>
    <row r="34562" spans="1:6" x14ac:dyDescent="0.25">
      <c r="A34562"/>
      <c r="B34562"/>
      <c r="C34562"/>
      <c r="E34562"/>
      <c r="F34562"/>
    </row>
    <row r="34563" spans="1:6" x14ac:dyDescent="0.25">
      <c r="A34563"/>
      <c r="B34563"/>
      <c r="C34563"/>
      <c r="E34563"/>
      <c r="F34563"/>
    </row>
    <row r="34564" spans="1:6" x14ac:dyDescent="0.25">
      <c r="A34564"/>
      <c r="B34564"/>
      <c r="C34564"/>
      <c r="E34564"/>
      <c r="F34564"/>
    </row>
    <row r="34565" spans="1:6" x14ac:dyDescent="0.25">
      <c r="A34565"/>
      <c r="B34565"/>
      <c r="C34565"/>
      <c r="E34565"/>
      <c r="F34565"/>
    </row>
    <row r="34566" spans="1:6" x14ac:dyDescent="0.25">
      <c r="A34566"/>
      <c r="B34566"/>
      <c r="C34566"/>
      <c r="E34566"/>
      <c r="F34566"/>
    </row>
    <row r="34567" spans="1:6" x14ac:dyDescent="0.25">
      <c r="A34567"/>
      <c r="B34567"/>
      <c r="C34567"/>
      <c r="E34567"/>
      <c r="F34567"/>
    </row>
    <row r="34568" spans="1:6" x14ac:dyDescent="0.25">
      <c r="A34568"/>
      <c r="B34568"/>
      <c r="C34568"/>
      <c r="E34568"/>
      <c r="F34568"/>
    </row>
    <row r="34569" spans="1:6" x14ac:dyDescent="0.25">
      <c r="A34569"/>
      <c r="B34569"/>
      <c r="C34569"/>
      <c r="E34569"/>
      <c r="F34569"/>
    </row>
    <row r="34570" spans="1:6" x14ac:dyDescent="0.25">
      <c r="A34570"/>
      <c r="B34570"/>
      <c r="C34570"/>
      <c r="E34570"/>
      <c r="F34570"/>
    </row>
    <row r="34571" spans="1:6" x14ac:dyDescent="0.25">
      <c r="A34571"/>
      <c r="B34571"/>
      <c r="C34571"/>
      <c r="E34571"/>
      <c r="F34571"/>
    </row>
    <row r="34572" spans="1:6" x14ac:dyDescent="0.25">
      <c r="A34572"/>
      <c r="B34572"/>
      <c r="C34572"/>
      <c r="E34572"/>
      <c r="F34572"/>
    </row>
    <row r="34573" spans="1:6" x14ac:dyDescent="0.25">
      <c r="A34573"/>
      <c r="B34573"/>
      <c r="C34573"/>
      <c r="E34573"/>
      <c r="F34573"/>
    </row>
    <row r="34574" spans="1:6" x14ac:dyDescent="0.25">
      <c r="A34574"/>
      <c r="B34574"/>
      <c r="C34574"/>
      <c r="E34574"/>
      <c r="F34574"/>
    </row>
    <row r="34575" spans="1:6" x14ac:dyDescent="0.25">
      <c r="A34575"/>
      <c r="B34575"/>
      <c r="C34575"/>
      <c r="E34575"/>
      <c r="F34575"/>
    </row>
    <row r="34576" spans="1:6" x14ac:dyDescent="0.25">
      <c r="A34576"/>
      <c r="B34576"/>
      <c r="C34576"/>
      <c r="E34576"/>
      <c r="F34576"/>
    </row>
    <row r="34577" spans="1:6" x14ac:dyDescent="0.25">
      <c r="A34577"/>
      <c r="B34577"/>
      <c r="C34577"/>
      <c r="E34577"/>
      <c r="F34577"/>
    </row>
    <row r="34578" spans="1:6" x14ac:dyDescent="0.25">
      <c r="A34578"/>
      <c r="B34578"/>
      <c r="C34578"/>
      <c r="E34578"/>
      <c r="F34578"/>
    </row>
    <row r="34579" spans="1:6" x14ac:dyDescent="0.25">
      <c r="A34579"/>
      <c r="B34579"/>
      <c r="C34579"/>
      <c r="E34579"/>
      <c r="F34579"/>
    </row>
    <row r="34580" spans="1:6" x14ac:dyDescent="0.25">
      <c r="A34580"/>
      <c r="B34580"/>
      <c r="C34580"/>
      <c r="E34580"/>
      <c r="F34580"/>
    </row>
    <row r="34581" spans="1:6" x14ac:dyDescent="0.25">
      <c r="A34581"/>
      <c r="B34581"/>
      <c r="C34581"/>
      <c r="E34581"/>
      <c r="F34581"/>
    </row>
    <row r="34582" spans="1:6" x14ac:dyDescent="0.25">
      <c r="A34582"/>
      <c r="B34582"/>
      <c r="C34582"/>
      <c r="E34582"/>
      <c r="F34582"/>
    </row>
    <row r="34583" spans="1:6" x14ac:dyDescent="0.25">
      <c r="A34583"/>
      <c r="B34583"/>
      <c r="C34583"/>
      <c r="E34583"/>
      <c r="F34583"/>
    </row>
    <row r="34584" spans="1:6" x14ac:dyDescent="0.25">
      <c r="A34584"/>
      <c r="B34584"/>
      <c r="C34584"/>
      <c r="E34584"/>
      <c r="F34584"/>
    </row>
    <row r="34585" spans="1:6" x14ac:dyDescent="0.25">
      <c r="A34585"/>
      <c r="B34585"/>
      <c r="C34585"/>
      <c r="E34585"/>
      <c r="F34585"/>
    </row>
    <row r="34586" spans="1:6" x14ac:dyDescent="0.25">
      <c r="A34586"/>
      <c r="B34586"/>
      <c r="C34586"/>
      <c r="E34586"/>
      <c r="F34586"/>
    </row>
    <row r="34587" spans="1:6" x14ac:dyDescent="0.25">
      <c r="A34587"/>
      <c r="B34587"/>
      <c r="C34587"/>
      <c r="E34587"/>
      <c r="F34587"/>
    </row>
    <row r="34588" spans="1:6" x14ac:dyDescent="0.25">
      <c r="A34588"/>
      <c r="B34588"/>
      <c r="C34588"/>
      <c r="E34588"/>
      <c r="F34588"/>
    </row>
    <row r="34589" spans="1:6" x14ac:dyDescent="0.25">
      <c r="A34589"/>
      <c r="B34589"/>
      <c r="C34589"/>
      <c r="E34589"/>
      <c r="F34589"/>
    </row>
    <row r="34590" spans="1:6" x14ac:dyDescent="0.25">
      <c r="A34590"/>
      <c r="B34590"/>
      <c r="C34590"/>
      <c r="E34590"/>
      <c r="F34590"/>
    </row>
    <row r="34591" spans="1:6" x14ac:dyDescent="0.25">
      <c r="A34591"/>
      <c r="B34591"/>
      <c r="C34591"/>
      <c r="E34591"/>
      <c r="F34591"/>
    </row>
    <row r="34592" spans="1:6" x14ac:dyDescent="0.25">
      <c r="A34592"/>
      <c r="B34592"/>
      <c r="C34592"/>
      <c r="E34592"/>
      <c r="F34592"/>
    </row>
    <row r="34593" spans="1:6" x14ac:dyDescent="0.25">
      <c r="A34593"/>
      <c r="B34593"/>
      <c r="C34593"/>
      <c r="E34593"/>
      <c r="F34593"/>
    </row>
    <row r="34594" spans="1:6" x14ac:dyDescent="0.25">
      <c r="A34594"/>
      <c r="B34594"/>
      <c r="C34594"/>
      <c r="E34594"/>
      <c r="F34594"/>
    </row>
    <row r="34595" spans="1:6" x14ac:dyDescent="0.25">
      <c r="A34595"/>
      <c r="B34595"/>
      <c r="C34595"/>
      <c r="E34595"/>
      <c r="F34595"/>
    </row>
    <row r="34596" spans="1:6" x14ac:dyDescent="0.25">
      <c r="A34596"/>
      <c r="B34596"/>
      <c r="C34596"/>
      <c r="E34596"/>
      <c r="F34596"/>
    </row>
    <row r="34597" spans="1:6" x14ac:dyDescent="0.25">
      <c r="A34597"/>
      <c r="B34597"/>
      <c r="C34597"/>
      <c r="E34597"/>
      <c r="F34597"/>
    </row>
    <row r="34598" spans="1:6" x14ac:dyDescent="0.25">
      <c r="A34598"/>
      <c r="B34598"/>
      <c r="C34598"/>
      <c r="E34598"/>
      <c r="F34598"/>
    </row>
    <row r="34599" spans="1:6" x14ac:dyDescent="0.25">
      <c r="A34599"/>
      <c r="B34599"/>
      <c r="C34599"/>
      <c r="E34599"/>
      <c r="F34599"/>
    </row>
    <row r="34600" spans="1:6" x14ac:dyDescent="0.25">
      <c r="A34600"/>
      <c r="B34600"/>
      <c r="C34600"/>
      <c r="E34600"/>
      <c r="F34600"/>
    </row>
    <row r="34601" spans="1:6" x14ac:dyDescent="0.25">
      <c r="A34601"/>
      <c r="B34601"/>
      <c r="C34601"/>
      <c r="E34601"/>
      <c r="F34601"/>
    </row>
    <row r="34602" spans="1:6" x14ac:dyDescent="0.25">
      <c r="A34602"/>
      <c r="B34602"/>
      <c r="C34602"/>
      <c r="E34602"/>
      <c r="F34602"/>
    </row>
    <row r="34603" spans="1:6" x14ac:dyDescent="0.25">
      <c r="A34603"/>
      <c r="B34603"/>
      <c r="C34603"/>
      <c r="E34603"/>
      <c r="F34603"/>
    </row>
    <row r="34604" spans="1:6" x14ac:dyDescent="0.25">
      <c r="A34604"/>
      <c r="B34604"/>
      <c r="C34604"/>
      <c r="E34604"/>
      <c r="F34604"/>
    </row>
    <row r="34605" spans="1:6" x14ac:dyDescent="0.25">
      <c r="A34605"/>
      <c r="B34605"/>
      <c r="C34605"/>
      <c r="E34605"/>
      <c r="F34605"/>
    </row>
    <row r="34606" spans="1:6" x14ac:dyDescent="0.25">
      <c r="A34606"/>
      <c r="B34606"/>
      <c r="C34606"/>
      <c r="E34606"/>
      <c r="F34606"/>
    </row>
    <row r="34607" spans="1:6" x14ac:dyDescent="0.25">
      <c r="A34607"/>
      <c r="B34607"/>
      <c r="C34607"/>
      <c r="E34607"/>
      <c r="F34607"/>
    </row>
    <row r="34608" spans="1:6" x14ac:dyDescent="0.25">
      <c r="A34608"/>
      <c r="B34608"/>
      <c r="C34608"/>
      <c r="E34608"/>
      <c r="F34608"/>
    </row>
    <row r="34609" spans="1:6" x14ac:dyDescent="0.25">
      <c r="A34609"/>
      <c r="B34609"/>
      <c r="C34609"/>
      <c r="E34609"/>
      <c r="F34609"/>
    </row>
    <row r="34610" spans="1:6" x14ac:dyDescent="0.25">
      <c r="A34610"/>
      <c r="B34610"/>
      <c r="C34610"/>
      <c r="E34610"/>
      <c r="F34610"/>
    </row>
    <row r="34611" spans="1:6" x14ac:dyDescent="0.25">
      <c r="A34611"/>
      <c r="B34611"/>
      <c r="C34611"/>
      <c r="E34611"/>
      <c r="F34611"/>
    </row>
    <row r="34612" spans="1:6" x14ac:dyDescent="0.25">
      <c r="A34612"/>
      <c r="B34612"/>
      <c r="C34612"/>
      <c r="E34612"/>
      <c r="F34612"/>
    </row>
    <row r="34613" spans="1:6" x14ac:dyDescent="0.25">
      <c r="A34613"/>
      <c r="B34613"/>
      <c r="C34613"/>
      <c r="E34613"/>
      <c r="F34613"/>
    </row>
    <row r="34614" spans="1:6" x14ac:dyDescent="0.25">
      <c r="A34614"/>
      <c r="B34614"/>
      <c r="C34614"/>
      <c r="E34614"/>
      <c r="F34614"/>
    </row>
    <row r="34615" spans="1:6" x14ac:dyDescent="0.25">
      <c r="A34615"/>
      <c r="B34615"/>
      <c r="C34615"/>
      <c r="E34615"/>
      <c r="F34615"/>
    </row>
    <row r="34616" spans="1:6" x14ac:dyDescent="0.25">
      <c r="A34616"/>
      <c r="B34616"/>
      <c r="C34616"/>
      <c r="E34616"/>
      <c r="F34616"/>
    </row>
    <row r="34617" spans="1:6" x14ac:dyDescent="0.25">
      <c r="A34617"/>
      <c r="B34617"/>
      <c r="C34617"/>
      <c r="E34617"/>
      <c r="F34617"/>
    </row>
    <row r="34618" spans="1:6" x14ac:dyDescent="0.25">
      <c r="A34618"/>
      <c r="B34618"/>
      <c r="C34618"/>
      <c r="E34618"/>
      <c r="F34618"/>
    </row>
    <row r="34619" spans="1:6" x14ac:dyDescent="0.25">
      <c r="A34619"/>
      <c r="B34619"/>
      <c r="C34619"/>
      <c r="E34619"/>
      <c r="F34619"/>
    </row>
    <row r="34620" spans="1:6" x14ac:dyDescent="0.25">
      <c r="A34620"/>
      <c r="B34620"/>
      <c r="C34620"/>
      <c r="E34620"/>
      <c r="F34620"/>
    </row>
    <row r="34621" spans="1:6" x14ac:dyDescent="0.25">
      <c r="A34621"/>
      <c r="B34621"/>
      <c r="C34621"/>
      <c r="E34621"/>
      <c r="F34621"/>
    </row>
    <row r="34622" spans="1:6" x14ac:dyDescent="0.25">
      <c r="A34622"/>
      <c r="B34622"/>
      <c r="C34622"/>
      <c r="E34622"/>
      <c r="F34622"/>
    </row>
    <row r="34623" spans="1:6" x14ac:dyDescent="0.25">
      <c r="A34623"/>
      <c r="B34623"/>
      <c r="C34623"/>
      <c r="E34623"/>
      <c r="F34623"/>
    </row>
    <row r="34624" spans="1:6" x14ac:dyDescent="0.25">
      <c r="A34624"/>
      <c r="B34624"/>
      <c r="C34624"/>
      <c r="E34624"/>
      <c r="F34624"/>
    </row>
    <row r="34625" spans="1:6" x14ac:dyDescent="0.25">
      <c r="A34625"/>
      <c r="B34625"/>
      <c r="C34625"/>
      <c r="E34625"/>
      <c r="F34625"/>
    </row>
    <row r="34626" spans="1:6" x14ac:dyDescent="0.25">
      <c r="A34626"/>
      <c r="B34626"/>
      <c r="C34626"/>
      <c r="E34626"/>
      <c r="F34626"/>
    </row>
    <row r="34627" spans="1:6" x14ac:dyDescent="0.25">
      <c r="A34627"/>
      <c r="B34627"/>
      <c r="C34627"/>
      <c r="E34627"/>
      <c r="F34627"/>
    </row>
    <row r="34628" spans="1:6" x14ac:dyDescent="0.25">
      <c r="A34628"/>
      <c r="B34628"/>
      <c r="C34628"/>
      <c r="E34628"/>
      <c r="F34628"/>
    </row>
    <row r="34629" spans="1:6" x14ac:dyDescent="0.25">
      <c r="A34629"/>
      <c r="B34629"/>
      <c r="C34629"/>
      <c r="E34629"/>
      <c r="F34629"/>
    </row>
    <row r="34630" spans="1:6" x14ac:dyDescent="0.25">
      <c r="A34630"/>
      <c r="B34630"/>
      <c r="C34630"/>
      <c r="E34630"/>
      <c r="F34630"/>
    </row>
    <row r="34631" spans="1:6" x14ac:dyDescent="0.25">
      <c r="A34631"/>
      <c r="B34631"/>
      <c r="C34631"/>
      <c r="E34631"/>
      <c r="F34631"/>
    </row>
    <row r="34632" spans="1:6" x14ac:dyDescent="0.25">
      <c r="A34632"/>
      <c r="B34632"/>
      <c r="C34632"/>
      <c r="E34632"/>
      <c r="F34632"/>
    </row>
    <row r="34633" spans="1:6" x14ac:dyDescent="0.25">
      <c r="A34633"/>
      <c r="B34633"/>
      <c r="C34633"/>
      <c r="E34633"/>
      <c r="F34633"/>
    </row>
    <row r="34634" spans="1:6" x14ac:dyDescent="0.25">
      <c r="A34634"/>
      <c r="B34634"/>
      <c r="C34634"/>
      <c r="E34634"/>
      <c r="F34634"/>
    </row>
    <row r="34635" spans="1:6" x14ac:dyDescent="0.25">
      <c r="A34635"/>
      <c r="B34635"/>
      <c r="C34635"/>
      <c r="E34635"/>
      <c r="F34635"/>
    </row>
    <row r="34636" spans="1:6" x14ac:dyDescent="0.25">
      <c r="A34636"/>
      <c r="B34636"/>
      <c r="C34636"/>
      <c r="E34636"/>
      <c r="F34636"/>
    </row>
    <row r="34637" spans="1:6" x14ac:dyDescent="0.25">
      <c r="A34637"/>
      <c r="B34637"/>
      <c r="C34637"/>
      <c r="E34637"/>
      <c r="F34637"/>
    </row>
    <row r="34638" spans="1:6" x14ac:dyDescent="0.25">
      <c r="A34638"/>
      <c r="B34638"/>
      <c r="C34638"/>
      <c r="E34638"/>
      <c r="F34638"/>
    </row>
    <row r="34639" spans="1:6" x14ac:dyDescent="0.25">
      <c r="A34639"/>
      <c r="B34639"/>
      <c r="C34639"/>
      <c r="E34639"/>
      <c r="F34639"/>
    </row>
    <row r="34640" spans="1:6" x14ac:dyDescent="0.25">
      <c r="A34640"/>
      <c r="B34640"/>
      <c r="C34640"/>
      <c r="E34640"/>
      <c r="F34640"/>
    </row>
    <row r="34641" spans="1:6" x14ac:dyDescent="0.25">
      <c r="A34641"/>
      <c r="B34641"/>
      <c r="C34641"/>
      <c r="E34641"/>
      <c r="F34641"/>
    </row>
    <row r="34642" spans="1:6" x14ac:dyDescent="0.25">
      <c r="A34642"/>
      <c r="B34642"/>
      <c r="C34642"/>
      <c r="E34642"/>
      <c r="F34642"/>
    </row>
    <row r="34643" spans="1:6" x14ac:dyDescent="0.25">
      <c r="A34643"/>
      <c r="B34643"/>
      <c r="C34643"/>
      <c r="E34643"/>
      <c r="F34643"/>
    </row>
    <row r="34644" spans="1:6" x14ac:dyDescent="0.25">
      <c r="A34644"/>
      <c r="B34644"/>
      <c r="C34644"/>
      <c r="E34644"/>
      <c r="F34644"/>
    </row>
    <row r="34645" spans="1:6" x14ac:dyDescent="0.25">
      <c r="A34645"/>
      <c r="B34645"/>
      <c r="C34645"/>
      <c r="E34645"/>
      <c r="F34645"/>
    </row>
    <row r="34646" spans="1:6" x14ac:dyDescent="0.25">
      <c r="A34646"/>
      <c r="B34646"/>
      <c r="C34646"/>
      <c r="E34646"/>
      <c r="F34646"/>
    </row>
    <row r="34647" spans="1:6" x14ac:dyDescent="0.25">
      <c r="A34647"/>
      <c r="B34647"/>
      <c r="C34647"/>
      <c r="E34647"/>
      <c r="F34647"/>
    </row>
    <row r="34648" spans="1:6" x14ac:dyDescent="0.25">
      <c r="A34648"/>
      <c r="B34648"/>
      <c r="C34648"/>
      <c r="E34648"/>
      <c r="F34648"/>
    </row>
    <row r="34649" spans="1:6" x14ac:dyDescent="0.25">
      <c r="A34649"/>
      <c r="B34649"/>
      <c r="C34649"/>
      <c r="E34649"/>
      <c r="F34649"/>
    </row>
    <row r="34650" spans="1:6" x14ac:dyDescent="0.25">
      <c r="A34650"/>
      <c r="B34650"/>
      <c r="C34650"/>
      <c r="E34650"/>
      <c r="F34650"/>
    </row>
    <row r="34651" spans="1:6" x14ac:dyDescent="0.25">
      <c r="A34651"/>
      <c r="B34651"/>
      <c r="C34651"/>
      <c r="E34651"/>
      <c r="F34651"/>
    </row>
    <row r="34652" spans="1:6" x14ac:dyDescent="0.25">
      <c r="A34652"/>
      <c r="B34652"/>
      <c r="C34652"/>
      <c r="E34652"/>
      <c r="F34652"/>
    </row>
    <row r="34653" spans="1:6" x14ac:dyDescent="0.25">
      <c r="A34653"/>
      <c r="B34653"/>
      <c r="C34653"/>
      <c r="E34653"/>
      <c r="F34653"/>
    </row>
    <row r="34654" spans="1:6" x14ac:dyDescent="0.25">
      <c r="A34654"/>
      <c r="B34654"/>
      <c r="C34654"/>
      <c r="E34654"/>
      <c r="F34654"/>
    </row>
    <row r="34655" spans="1:6" x14ac:dyDescent="0.25">
      <c r="A34655"/>
      <c r="B34655"/>
      <c r="C34655"/>
      <c r="E34655"/>
      <c r="F34655"/>
    </row>
    <row r="34656" spans="1:6" x14ac:dyDescent="0.25">
      <c r="A34656"/>
      <c r="B34656"/>
      <c r="C34656"/>
      <c r="E34656"/>
      <c r="F34656"/>
    </row>
    <row r="34657" spans="1:6" x14ac:dyDescent="0.25">
      <c r="A34657"/>
      <c r="B34657"/>
      <c r="C34657"/>
      <c r="E34657"/>
      <c r="F34657"/>
    </row>
    <row r="34658" spans="1:6" x14ac:dyDescent="0.25">
      <c r="A34658"/>
      <c r="B34658"/>
      <c r="C34658"/>
      <c r="E34658"/>
      <c r="F34658"/>
    </row>
    <row r="34659" spans="1:6" x14ac:dyDescent="0.25">
      <c r="A34659"/>
      <c r="B34659"/>
      <c r="C34659"/>
      <c r="E34659"/>
      <c r="F34659"/>
    </row>
    <row r="34660" spans="1:6" x14ac:dyDescent="0.25">
      <c r="A34660"/>
      <c r="B34660"/>
      <c r="C34660"/>
      <c r="E34660"/>
      <c r="F34660"/>
    </row>
    <row r="34661" spans="1:6" x14ac:dyDescent="0.25">
      <c r="A34661"/>
      <c r="B34661"/>
      <c r="C34661"/>
      <c r="E34661"/>
      <c r="F34661"/>
    </row>
    <row r="34662" spans="1:6" x14ac:dyDescent="0.25">
      <c r="A34662"/>
      <c r="B34662"/>
      <c r="C34662"/>
      <c r="E34662"/>
      <c r="F34662"/>
    </row>
    <row r="34663" spans="1:6" x14ac:dyDescent="0.25">
      <c r="A34663"/>
      <c r="B34663"/>
      <c r="C34663"/>
      <c r="E34663"/>
      <c r="F34663"/>
    </row>
    <row r="34664" spans="1:6" x14ac:dyDescent="0.25">
      <c r="A34664"/>
      <c r="B34664"/>
      <c r="C34664"/>
      <c r="E34664"/>
      <c r="F34664"/>
    </row>
    <row r="34665" spans="1:6" x14ac:dyDescent="0.25">
      <c r="A34665"/>
      <c r="B34665"/>
      <c r="C34665"/>
      <c r="E34665"/>
      <c r="F34665"/>
    </row>
    <row r="34666" spans="1:6" x14ac:dyDescent="0.25">
      <c r="A34666"/>
      <c r="B34666"/>
      <c r="C34666"/>
      <c r="E34666"/>
      <c r="F34666"/>
    </row>
    <row r="34667" spans="1:6" x14ac:dyDescent="0.25">
      <c r="A34667"/>
      <c r="B34667"/>
      <c r="C34667"/>
      <c r="E34667"/>
      <c r="F34667"/>
    </row>
    <row r="34668" spans="1:6" x14ac:dyDescent="0.25">
      <c r="A34668"/>
      <c r="B34668"/>
      <c r="C34668"/>
      <c r="E34668"/>
      <c r="F34668"/>
    </row>
    <row r="34669" spans="1:6" x14ac:dyDescent="0.25">
      <c r="A34669"/>
      <c r="B34669"/>
      <c r="C34669"/>
      <c r="E34669"/>
      <c r="F34669"/>
    </row>
    <row r="34670" spans="1:6" x14ac:dyDescent="0.25">
      <c r="A34670"/>
      <c r="B34670"/>
      <c r="C34670"/>
      <c r="E34670"/>
      <c r="F34670"/>
    </row>
    <row r="34671" spans="1:6" x14ac:dyDescent="0.25">
      <c r="A34671"/>
      <c r="B34671"/>
      <c r="C34671"/>
      <c r="E34671"/>
      <c r="F34671"/>
    </row>
    <row r="34672" spans="1:6" x14ac:dyDescent="0.25">
      <c r="A34672"/>
      <c r="B34672"/>
      <c r="C34672"/>
      <c r="E34672"/>
      <c r="F34672"/>
    </row>
    <row r="34673" spans="1:6" x14ac:dyDescent="0.25">
      <c r="A34673"/>
      <c r="B34673"/>
      <c r="C34673"/>
      <c r="E34673"/>
      <c r="F34673"/>
    </row>
    <row r="34674" spans="1:6" x14ac:dyDescent="0.25">
      <c r="A34674"/>
      <c r="B34674"/>
      <c r="C34674"/>
      <c r="E34674"/>
      <c r="F34674"/>
    </row>
    <row r="34675" spans="1:6" x14ac:dyDescent="0.25">
      <c r="A34675"/>
      <c r="B34675"/>
      <c r="C34675"/>
      <c r="E34675"/>
      <c r="F34675"/>
    </row>
    <row r="34676" spans="1:6" x14ac:dyDescent="0.25">
      <c r="A34676"/>
      <c r="B34676"/>
      <c r="C34676"/>
      <c r="E34676"/>
      <c r="F34676"/>
    </row>
    <row r="34677" spans="1:6" x14ac:dyDescent="0.25">
      <c r="A34677"/>
      <c r="B34677"/>
      <c r="C34677"/>
      <c r="E34677"/>
      <c r="F34677"/>
    </row>
    <row r="34678" spans="1:6" x14ac:dyDescent="0.25">
      <c r="A34678"/>
      <c r="B34678"/>
      <c r="C34678"/>
      <c r="E34678"/>
      <c r="F34678"/>
    </row>
    <row r="34679" spans="1:6" x14ac:dyDescent="0.25">
      <c r="A34679"/>
      <c r="B34679"/>
      <c r="C34679"/>
      <c r="E34679"/>
      <c r="F34679"/>
    </row>
    <row r="34680" spans="1:6" x14ac:dyDescent="0.25">
      <c r="A34680"/>
      <c r="B34680"/>
      <c r="C34680"/>
      <c r="E34680"/>
      <c r="F34680"/>
    </row>
    <row r="34681" spans="1:6" x14ac:dyDescent="0.25">
      <c r="A34681"/>
      <c r="B34681"/>
      <c r="C34681"/>
      <c r="E34681"/>
      <c r="F34681"/>
    </row>
    <row r="34682" spans="1:6" x14ac:dyDescent="0.25">
      <c r="A34682"/>
      <c r="B34682"/>
      <c r="C34682"/>
      <c r="E34682"/>
      <c r="F34682"/>
    </row>
    <row r="34683" spans="1:6" x14ac:dyDescent="0.25">
      <c r="A34683"/>
      <c r="B34683"/>
      <c r="C34683"/>
      <c r="E34683"/>
      <c r="F34683"/>
    </row>
    <row r="34684" spans="1:6" x14ac:dyDescent="0.25">
      <c r="A34684"/>
      <c r="B34684"/>
      <c r="C34684"/>
      <c r="E34684"/>
      <c r="F34684"/>
    </row>
    <row r="34685" spans="1:6" x14ac:dyDescent="0.25">
      <c r="A34685"/>
      <c r="B34685"/>
      <c r="C34685"/>
      <c r="E34685"/>
      <c r="F34685"/>
    </row>
    <row r="34686" spans="1:6" x14ac:dyDescent="0.25">
      <c r="A34686"/>
      <c r="B34686"/>
      <c r="C34686"/>
      <c r="E34686"/>
      <c r="F34686"/>
    </row>
    <row r="34687" spans="1:6" x14ac:dyDescent="0.25">
      <c r="A34687"/>
      <c r="B34687"/>
      <c r="C34687"/>
      <c r="E34687"/>
      <c r="F34687"/>
    </row>
    <row r="34688" spans="1:6" x14ac:dyDescent="0.25">
      <c r="A34688"/>
      <c r="B34688"/>
      <c r="C34688"/>
      <c r="E34688"/>
      <c r="F34688"/>
    </row>
    <row r="34689" spans="1:6" x14ac:dyDescent="0.25">
      <c r="A34689"/>
      <c r="B34689"/>
      <c r="C34689"/>
      <c r="E34689"/>
      <c r="F34689"/>
    </row>
    <row r="34690" spans="1:6" x14ac:dyDescent="0.25">
      <c r="A34690"/>
      <c r="B34690"/>
      <c r="C34690"/>
      <c r="E34690"/>
      <c r="F34690"/>
    </row>
    <row r="34691" spans="1:6" x14ac:dyDescent="0.25">
      <c r="A34691"/>
      <c r="B34691"/>
      <c r="C34691"/>
      <c r="E34691"/>
      <c r="F34691"/>
    </row>
    <row r="34692" spans="1:6" x14ac:dyDescent="0.25">
      <c r="A34692"/>
      <c r="B34692"/>
      <c r="C34692"/>
      <c r="E34692"/>
      <c r="F34692"/>
    </row>
    <row r="34693" spans="1:6" x14ac:dyDescent="0.25">
      <c r="A34693"/>
      <c r="B34693"/>
      <c r="C34693"/>
      <c r="E34693"/>
      <c r="F34693"/>
    </row>
    <row r="34694" spans="1:6" x14ac:dyDescent="0.25">
      <c r="A34694"/>
      <c r="B34694"/>
      <c r="C34694"/>
      <c r="E34694"/>
      <c r="F34694"/>
    </row>
    <row r="34695" spans="1:6" x14ac:dyDescent="0.25">
      <c r="A34695"/>
      <c r="B34695"/>
      <c r="C34695"/>
      <c r="E34695"/>
      <c r="F34695"/>
    </row>
    <row r="34696" spans="1:6" x14ac:dyDescent="0.25">
      <c r="A34696"/>
      <c r="B34696"/>
      <c r="C34696"/>
      <c r="E34696"/>
      <c r="F34696"/>
    </row>
    <row r="34697" spans="1:6" x14ac:dyDescent="0.25">
      <c r="A34697"/>
      <c r="B34697"/>
      <c r="C34697"/>
      <c r="E34697"/>
      <c r="F34697"/>
    </row>
    <row r="34698" spans="1:6" x14ac:dyDescent="0.25">
      <c r="A34698"/>
      <c r="B34698"/>
      <c r="C34698"/>
      <c r="E34698"/>
      <c r="F34698"/>
    </row>
    <row r="34699" spans="1:6" x14ac:dyDescent="0.25">
      <c r="A34699"/>
      <c r="B34699"/>
      <c r="C34699"/>
      <c r="E34699"/>
      <c r="F34699"/>
    </row>
    <row r="34700" spans="1:6" x14ac:dyDescent="0.25">
      <c r="A34700"/>
      <c r="B34700"/>
      <c r="C34700"/>
      <c r="E34700"/>
      <c r="F34700"/>
    </row>
    <row r="34701" spans="1:6" x14ac:dyDescent="0.25">
      <c r="A34701"/>
      <c r="B34701"/>
      <c r="C34701"/>
      <c r="E34701"/>
      <c r="F34701"/>
    </row>
    <row r="34702" spans="1:6" x14ac:dyDescent="0.25">
      <c r="A34702"/>
      <c r="B34702"/>
      <c r="C34702"/>
      <c r="E34702"/>
      <c r="F34702"/>
    </row>
    <row r="34703" spans="1:6" x14ac:dyDescent="0.25">
      <c r="A34703"/>
      <c r="B34703"/>
      <c r="C34703"/>
      <c r="E34703"/>
      <c r="F34703"/>
    </row>
    <row r="34704" spans="1:6" x14ac:dyDescent="0.25">
      <c r="A34704"/>
      <c r="B34704"/>
      <c r="C34704"/>
      <c r="E34704"/>
      <c r="F34704"/>
    </row>
    <row r="34705" spans="1:6" x14ac:dyDescent="0.25">
      <c r="A34705"/>
      <c r="B34705"/>
      <c r="C34705"/>
      <c r="E34705"/>
      <c r="F34705"/>
    </row>
    <row r="34706" spans="1:6" x14ac:dyDescent="0.25">
      <c r="A34706"/>
      <c r="B34706"/>
      <c r="C34706"/>
      <c r="E34706"/>
      <c r="F34706"/>
    </row>
    <row r="34707" spans="1:6" x14ac:dyDescent="0.25">
      <c r="A34707"/>
      <c r="B34707"/>
      <c r="C34707"/>
      <c r="E34707"/>
      <c r="F34707"/>
    </row>
    <row r="34708" spans="1:6" x14ac:dyDescent="0.25">
      <c r="A34708"/>
      <c r="B34708"/>
      <c r="C34708"/>
      <c r="E34708"/>
      <c r="F34708"/>
    </row>
    <row r="34709" spans="1:6" x14ac:dyDescent="0.25">
      <c r="A34709"/>
      <c r="B34709"/>
      <c r="C34709"/>
      <c r="E34709"/>
      <c r="F34709"/>
    </row>
    <row r="34710" spans="1:6" x14ac:dyDescent="0.25">
      <c r="A34710"/>
      <c r="B34710"/>
      <c r="C34710"/>
      <c r="E34710"/>
      <c r="F34710"/>
    </row>
    <row r="34711" spans="1:6" x14ac:dyDescent="0.25">
      <c r="A34711"/>
      <c r="B34711"/>
      <c r="C34711"/>
      <c r="E34711"/>
      <c r="F34711"/>
    </row>
    <row r="34712" spans="1:6" x14ac:dyDescent="0.25">
      <c r="A34712"/>
      <c r="B34712"/>
      <c r="C34712"/>
      <c r="E34712"/>
      <c r="F34712"/>
    </row>
    <row r="34713" spans="1:6" x14ac:dyDescent="0.25">
      <c r="A34713"/>
      <c r="B34713"/>
      <c r="C34713"/>
      <c r="E34713"/>
      <c r="F34713"/>
    </row>
    <row r="34714" spans="1:6" x14ac:dyDescent="0.25">
      <c r="A34714"/>
      <c r="B34714"/>
      <c r="C34714"/>
      <c r="E34714"/>
      <c r="F34714"/>
    </row>
    <row r="34715" spans="1:6" x14ac:dyDescent="0.25">
      <c r="A34715"/>
      <c r="B34715"/>
      <c r="C34715"/>
      <c r="E34715"/>
      <c r="F34715"/>
    </row>
    <row r="34716" spans="1:6" x14ac:dyDescent="0.25">
      <c r="A34716"/>
      <c r="B34716"/>
      <c r="C34716"/>
      <c r="E34716"/>
      <c r="F34716"/>
    </row>
    <row r="34717" spans="1:6" x14ac:dyDescent="0.25">
      <c r="A34717"/>
      <c r="B34717"/>
      <c r="C34717"/>
      <c r="E34717"/>
      <c r="F34717"/>
    </row>
    <row r="34718" spans="1:6" x14ac:dyDescent="0.25">
      <c r="A34718"/>
      <c r="B34718"/>
      <c r="C34718"/>
      <c r="E34718"/>
      <c r="F34718"/>
    </row>
    <row r="34719" spans="1:6" x14ac:dyDescent="0.25">
      <c r="A34719"/>
      <c r="B34719"/>
      <c r="C34719"/>
      <c r="E34719"/>
      <c r="F34719"/>
    </row>
    <row r="34720" spans="1:6" x14ac:dyDescent="0.25">
      <c r="A34720"/>
      <c r="B34720"/>
      <c r="C34720"/>
      <c r="E34720"/>
      <c r="F34720"/>
    </row>
    <row r="34721" spans="1:6" x14ac:dyDescent="0.25">
      <c r="A34721"/>
      <c r="B34721"/>
      <c r="C34721"/>
      <c r="E34721"/>
      <c r="F34721"/>
    </row>
    <row r="34722" spans="1:6" x14ac:dyDescent="0.25">
      <c r="A34722"/>
      <c r="B34722"/>
      <c r="C34722"/>
      <c r="E34722"/>
      <c r="F34722"/>
    </row>
    <row r="34723" spans="1:6" x14ac:dyDescent="0.25">
      <c r="A34723"/>
      <c r="B34723"/>
      <c r="C34723"/>
      <c r="E34723"/>
      <c r="F34723"/>
    </row>
    <row r="34724" spans="1:6" x14ac:dyDescent="0.25">
      <c r="A34724"/>
      <c r="B34724"/>
      <c r="C34724"/>
      <c r="E34724"/>
      <c r="F34724"/>
    </row>
    <row r="34725" spans="1:6" x14ac:dyDescent="0.25">
      <c r="A34725"/>
      <c r="B34725"/>
      <c r="C34725"/>
      <c r="E34725"/>
      <c r="F34725"/>
    </row>
    <row r="34726" spans="1:6" x14ac:dyDescent="0.25">
      <c r="A34726"/>
      <c r="B34726"/>
      <c r="C34726"/>
      <c r="E34726"/>
      <c r="F34726"/>
    </row>
    <row r="34727" spans="1:6" x14ac:dyDescent="0.25">
      <c r="A34727"/>
      <c r="B34727"/>
      <c r="C34727"/>
      <c r="E34727"/>
      <c r="F34727"/>
    </row>
    <row r="34728" spans="1:6" x14ac:dyDescent="0.25">
      <c r="A34728"/>
      <c r="B34728"/>
      <c r="C34728"/>
      <c r="E34728"/>
      <c r="F34728"/>
    </row>
    <row r="34729" spans="1:6" x14ac:dyDescent="0.25">
      <c r="A34729"/>
      <c r="B34729"/>
      <c r="C34729"/>
      <c r="E34729"/>
      <c r="F34729"/>
    </row>
    <row r="34730" spans="1:6" x14ac:dyDescent="0.25">
      <c r="A34730"/>
      <c r="B34730"/>
      <c r="C34730"/>
      <c r="E34730"/>
      <c r="F34730"/>
    </row>
    <row r="34731" spans="1:6" x14ac:dyDescent="0.25">
      <c r="A34731"/>
      <c r="B34731"/>
      <c r="C34731"/>
      <c r="E34731"/>
      <c r="F34731"/>
    </row>
    <row r="34732" spans="1:6" x14ac:dyDescent="0.25">
      <c r="A34732"/>
      <c r="B34732"/>
      <c r="C34732"/>
      <c r="E34732"/>
      <c r="F34732"/>
    </row>
    <row r="34733" spans="1:6" x14ac:dyDescent="0.25">
      <c r="A34733"/>
      <c r="B34733"/>
      <c r="C34733"/>
      <c r="E34733"/>
      <c r="F34733"/>
    </row>
    <row r="34734" spans="1:6" x14ac:dyDescent="0.25">
      <c r="A34734"/>
      <c r="B34734"/>
      <c r="C34734"/>
      <c r="E34734"/>
      <c r="F34734"/>
    </row>
    <row r="34735" spans="1:6" x14ac:dyDescent="0.25">
      <c r="A34735"/>
      <c r="B34735"/>
      <c r="C34735"/>
      <c r="E34735"/>
      <c r="F34735"/>
    </row>
    <row r="34736" spans="1:6" x14ac:dyDescent="0.25">
      <c r="A34736"/>
      <c r="B34736"/>
      <c r="C34736"/>
      <c r="E34736"/>
      <c r="F34736"/>
    </row>
    <row r="34737" spans="1:6" x14ac:dyDescent="0.25">
      <c r="A34737"/>
      <c r="B34737"/>
      <c r="C34737"/>
      <c r="E34737"/>
      <c r="F34737"/>
    </row>
    <row r="34738" spans="1:6" x14ac:dyDescent="0.25">
      <c r="A34738"/>
      <c r="B34738"/>
      <c r="C34738"/>
      <c r="E34738"/>
      <c r="F34738"/>
    </row>
    <row r="34739" spans="1:6" x14ac:dyDescent="0.25">
      <c r="A34739"/>
      <c r="B34739"/>
      <c r="C34739"/>
      <c r="E34739"/>
      <c r="F34739"/>
    </row>
    <row r="34740" spans="1:6" x14ac:dyDescent="0.25">
      <c r="A34740"/>
      <c r="B34740"/>
      <c r="C34740"/>
      <c r="E34740"/>
      <c r="F34740"/>
    </row>
    <row r="34741" spans="1:6" x14ac:dyDescent="0.25">
      <c r="A34741"/>
      <c r="B34741"/>
      <c r="C34741"/>
      <c r="E34741"/>
      <c r="F34741"/>
    </row>
    <row r="34742" spans="1:6" x14ac:dyDescent="0.25">
      <c r="A34742"/>
      <c r="B34742"/>
      <c r="C34742"/>
      <c r="E34742"/>
      <c r="F34742"/>
    </row>
    <row r="34743" spans="1:6" x14ac:dyDescent="0.25">
      <c r="A34743"/>
      <c r="B34743"/>
      <c r="C34743"/>
      <c r="E34743"/>
      <c r="F34743"/>
    </row>
    <row r="34744" spans="1:6" x14ac:dyDescent="0.25">
      <c r="A34744"/>
      <c r="B34744"/>
      <c r="C34744"/>
      <c r="E34744"/>
      <c r="F34744"/>
    </row>
    <row r="34745" spans="1:6" x14ac:dyDescent="0.25">
      <c r="A34745"/>
      <c r="B34745"/>
      <c r="C34745"/>
      <c r="E34745"/>
      <c r="F34745"/>
    </row>
    <row r="34746" spans="1:6" x14ac:dyDescent="0.25">
      <c r="A34746"/>
      <c r="B34746"/>
      <c r="C34746"/>
      <c r="E34746"/>
      <c r="F34746"/>
    </row>
    <row r="34747" spans="1:6" x14ac:dyDescent="0.25">
      <c r="A34747"/>
      <c r="B34747"/>
      <c r="C34747"/>
      <c r="E34747"/>
      <c r="F34747"/>
    </row>
    <row r="34748" spans="1:6" x14ac:dyDescent="0.25">
      <c r="A34748"/>
      <c r="B34748"/>
      <c r="C34748"/>
      <c r="E34748"/>
      <c r="F34748"/>
    </row>
    <row r="34749" spans="1:6" x14ac:dyDescent="0.25">
      <c r="A34749"/>
      <c r="B34749"/>
      <c r="C34749"/>
      <c r="E34749"/>
      <c r="F34749"/>
    </row>
    <row r="34750" spans="1:6" x14ac:dyDescent="0.25">
      <c r="A34750"/>
      <c r="B34750"/>
      <c r="C34750"/>
      <c r="E34750"/>
      <c r="F34750"/>
    </row>
    <row r="34751" spans="1:6" x14ac:dyDescent="0.25">
      <c r="A34751"/>
      <c r="B34751"/>
      <c r="C34751"/>
      <c r="E34751"/>
      <c r="F34751"/>
    </row>
    <row r="34752" spans="1:6" x14ac:dyDescent="0.25">
      <c r="A34752"/>
      <c r="B34752"/>
      <c r="C34752"/>
      <c r="E34752"/>
      <c r="F34752"/>
    </row>
    <row r="34753" spans="1:6" x14ac:dyDescent="0.25">
      <c r="A34753"/>
      <c r="B34753"/>
      <c r="C34753"/>
      <c r="E34753"/>
      <c r="F34753"/>
    </row>
    <row r="34754" spans="1:6" x14ac:dyDescent="0.25">
      <c r="A34754"/>
      <c r="B34754"/>
      <c r="C34754"/>
      <c r="E34754"/>
      <c r="F34754"/>
    </row>
    <row r="34755" spans="1:6" x14ac:dyDescent="0.25">
      <c r="A34755"/>
      <c r="B34755"/>
      <c r="C34755"/>
      <c r="E34755"/>
      <c r="F34755"/>
    </row>
    <row r="34756" spans="1:6" x14ac:dyDescent="0.25">
      <c r="A34756"/>
      <c r="B34756"/>
      <c r="C34756"/>
      <c r="E34756"/>
      <c r="F34756"/>
    </row>
    <row r="34757" spans="1:6" x14ac:dyDescent="0.25">
      <c r="A34757"/>
      <c r="B34757"/>
      <c r="C34757"/>
      <c r="E34757"/>
      <c r="F34757"/>
    </row>
    <row r="34758" spans="1:6" x14ac:dyDescent="0.25">
      <c r="A34758"/>
      <c r="B34758"/>
      <c r="C34758"/>
      <c r="E34758"/>
      <c r="F34758"/>
    </row>
    <row r="34759" spans="1:6" x14ac:dyDescent="0.25">
      <c r="A34759"/>
      <c r="B34759"/>
      <c r="C34759"/>
      <c r="E34759"/>
      <c r="F34759"/>
    </row>
    <row r="34760" spans="1:6" x14ac:dyDescent="0.25">
      <c r="A34760"/>
      <c r="B34760"/>
      <c r="C34760"/>
      <c r="E34760"/>
      <c r="F34760"/>
    </row>
    <row r="34761" spans="1:6" x14ac:dyDescent="0.25">
      <c r="A34761"/>
      <c r="B34761"/>
      <c r="C34761"/>
      <c r="E34761"/>
      <c r="F34761"/>
    </row>
    <row r="34762" spans="1:6" x14ac:dyDescent="0.25">
      <c r="A34762"/>
      <c r="B34762"/>
      <c r="C34762"/>
      <c r="E34762"/>
      <c r="F34762"/>
    </row>
    <row r="34763" spans="1:6" x14ac:dyDescent="0.25">
      <c r="A34763"/>
      <c r="B34763"/>
      <c r="C34763"/>
      <c r="E34763"/>
      <c r="F34763"/>
    </row>
    <row r="34764" spans="1:6" x14ac:dyDescent="0.25">
      <c r="A34764"/>
      <c r="B34764"/>
      <c r="C34764"/>
      <c r="E34764"/>
      <c r="F34764"/>
    </row>
    <row r="34765" spans="1:6" x14ac:dyDescent="0.25">
      <c r="A34765"/>
      <c r="B34765"/>
      <c r="C34765"/>
      <c r="E34765"/>
      <c r="F34765"/>
    </row>
    <row r="34766" spans="1:6" x14ac:dyDescent="0.25">
      <c r="A34766"/>
      <c r="B34766"/>
      <c r="C34766"/>
      <c r="E34766"/>
      <c r="F34766"/>
    </row>
    <row r="34767" spans="1:6" x14ac:dyDescent="0.25">
      <c r="A34767"/>
      <c r="B34767"/>
      <c r="C34767"/>
      <c r="E34767"/>
      <c r="F34767"/>
    </row>
    <row r="34768" spans="1:6" x14ac:dyDescent="0.25">
      <c r="A34768"/>
      <c r="B34768"/>
      <c r="C34768"/>
      <c r="E34768"/>
      <c r="F34768"/>
    </row>
    <row r="34769" spans="1:6" x14ac:dyDescent="0.25">
      <c r="A34769"/>
      <c r="B34769"/>
      <c r="C34769"/>
      <c r="E34769"/>
      <c r="F34769"/>
    </row>
    <row r="34770" spans="1:6" x14ac:dyDescent="0.25">
      <c r="A34770"/>
      <c r="B34770"/>
      <c r="C34770"/>
      <c r="E34770"/>
      <c r="F34770"/>
    </row>
    <row r="34771" spans="1:6" x14ac:dyDescent="0.25">
      <c r="A34771"/>
      <c r="B34771"/>
      <c r="C34771"/>
      <c r="E34771"/>
      <c r="F34771"/>
    </row>
    <row r="34772" spans="1:6" x14ac:dyDescent="0.25">
      <c r="A34772"/>
      <c r="B34772"/>
      <c r="C34772"/>
      <c r="E34772"/>
      <c r="F34772"/>
    </row>
    <row r="34773" spans="1:6" x14ac:dyDescent="0.25">
      <c r="A34773"/>
      <c r="B34773"/>
      <c r="C34773"/>
      <c r="E34773"/>
      <c r="F34773"/>
    </row>
    <row r="34774" spans="1:6" x14ac:dyDescent="0.25">
      <c r="A34774"/>
      <c r="B34774"/>
      <c r="C34774"/>
      <c r="E34774"/>
      <c r="F34774"/>
    </row>
    <row r="34775" spans="1:6" x14ac:dyDescent="0.25">
      <c r="A34775"/>
      <c r="B34775"/>
      <c r="C34775"/>
      <c r="E34775"/>
      <c r="F34775"/>
    </row>
    <row r="34776" spans="1:6" x14ac:dyDescent="0.25">
      <c r="A34776"/>
      <c r="B34776"/>
      <c r="C34776"/>
      <c r="E34776"/>
      <c r="F34776"/>
    </row>
    <row r="34777" spans="1:6" x14ac:dyDescent="0.25">
      <c r="A34777"/>
      <c r="B34777"/>
      <c r="C34777"/>
      <c r="E34777"/>
      <c r="F34777"/>
    </row>
    <row r="34778" spans="1:6" x14ac:dyDescent="0.25">
      <c r="A34778"/>
      <c r="B34778"/>
      <c r="C34778"/>
      <c r="E34778"/>
      <c r="F34778"/>
    </row>
    <row r="34779" spans="1:6" x14ac:dyDescent="0.25">
      <c r="A34779"/>
      <c r="B34779"/>
      <c r="C34779"/>
      <c r="E34779"/>
      <c r="F34779"/>
    </row>
    <row r="34780" spans="1:6" x14ac:dyDescent="0.25">
      <c r="A34780"/>
      <c r="B34780"/>
      <c r="C34780"/>
      <c r="E34780"/>
      <c r="F34780"/>
    </row>
    <row r="34781" spans="1:6" x14ac:dyDescent="0.25">
      <c r="A34781"/>
      <c r="B34781"/>
      <c r="C34781"/>
      <c r="E34781"/>
      <c r="F34781"/>
    </row>
    <row r="34782" spans="1:6" x14ac:dyDescent="0.25">
      <c r="A34782"/>
      <c r="B34782"/>
      <c r="C34782"/>
      <c r="E34782"/>
      <c r="F34782"/>
    </row>
    <row r="34783" spans="1:6" x14ac:dyDescent="0.25">
      <c r="A34783"/>
      <c r="B34783"/>
      <c r="C34783"/>
      <c r="E34783"/>
      <c r="F34783"/>
    </row>
    <row r="34784" spans="1:6" x14ac:dyDescent="0.25">
      <c r="A34784"/>
      <c r="B34784"/>
      <c r="C34784"/>
      <c r="E34784"/>
      <c r="F34784"/>
    </row>
    <row r="34785" spans="1:6" x14ac:dyDescent="0.25">
      <c r="A34785"/>
      <c r="B34785"/>
      <c r="C34785"/>
      <c r="E34785"/>
      <c r="F34785"/>
    </row>
    <row r="34786" spans="1:6" x14ac:dyDescent="0.25">
      <c r="A34786"/>
      <c r="B34786"/>
      <c r="C34786"/>
      <c r="E34786"/>
      <c r="F34786"/>
    </row>
    <row r="34787" spans="1:6" x14ac:dyDescent="0.25">
      <c r="A34787"/>
      <c r="B34787"/>
      <c r="C34787"/>
      <c r="E34787"/>
      <c r="F34787"/>
    </row>
    <row r="34788" spans="1:6" x14ac:dyDescent="0.25">
      <c r="A34788"/>
      <c r="B34788"/>
      <c r="C34788"/>
      <c r="E34788"/>
      <c r="F34788"/>
    </row>
    <row r="34789" spans="1:6" x14ac:dyDescent="0.25">
      <c r="A34789"/>
      <c r="B34789"/>
      <c r="C34789"/>
      <c r="E34789"/>
      <c r="F34789"/>
    </row>
    <row r="34790" spans="1:6" x14ac:dyDescent="0.25">
      <c r="A34790"/>
      <c r="B34790"/>
      <c r="C34790"/>
      <c r="E34790"/>
      <c r="F34790"/>
    </row>
    <row r="34791" spans="1:6" x14ac:dyDescent="0.25">
      <c r="A34791"/>
      <c r="B34791"/>
      <c r="C34791"/>
      <c r="E34791"/>
      <c r="F34791"/>
    </row>
    <row r="34792" spans="1:6" x14ac:dyDescent="0.25">
      <c r="A34792"/>
      <c r="B34792"/>
      <c r="C34792"/>
      <c r="E34792"/>
      <c r="F34792"/>
    </row>
    <row r="34793" spans="1:6" x14ac:dyDescent="0.25">
      <c r="A34793"/>
      <c r="B34793"/>
      <c r="C34793"/>
      <c r="E34793"/>
      <c r="F34793"/>
    </row>
    <row r="34794" spans="1:6" x14ac:dyDescent="0.25">
      <c r="A34794"/>
      <c r="B34794"/>
      <c r="C34794"/>
      <c r="E34794"/>
      <c r="F34794"/>
    </row>
    <row r="34795" spans="1:6" x14ac:dyDescent="0.25">
      <c r="A34795"/>
      <c r="B34795"/>
      <c r="C34795"/>
      <c r="E34795"/>
      <c r="F34795"/>
    </row>
    <row r="34796" spans="1:6" x14ac:dyDescent="0.25">
      <c r="A34796"/>
      <c r="B34796"/>
      <c r="C34796"/>
      <c r="E34796"/>
      <c r="F34796"/>
    </row>
    <row r="34797" spans="1:6" x14ac:dyDescent="0.25">
      <c r="A34797"/>
      <c r="B34797"/>
      <c r="C34797"/>
      <c r="E34797"/>
      <c r="F34797"/>
    </row>
    <row r="34798" spans="1:6" x14ac:dyDescent="0.25">
      <c r="A34798"/>
      <c r="B34798"/>
      <c r="C34798"/>
      <c r="E34798"/>
      <c r="F34798"/>
    </row>
    <row r="34799" spans="1:6" x14ac:dyDescent="0.25">
      <c r="A34799"/>
      <c r="B34799"/>
      <c r="C34799"/>
      <c r="E34799"/>
      <c r="F34799"/>
    </row>
    <row r="34800" spans="1:6" x14ac:dyDescent="0.25">
      <c r="A34800"/>
      <c r="B34800"/>
      <c r="C34800"/>
      <c r="E34800"/>
      <c r="F34800"/>
    </row>
    <row r="34801" spans="1:6" x14ac:dyDescent="0.25">
      <c r="A34801"/>
      <c r="B34801"/>
      <c r="C34801"/>
      <c r="E34801"/>
      <c r="F34801"/>
    </row>
    <row r="34802" spans="1:6" x14ac:dyDescent="0.25">
      <c r="A34802"/>
      <c r="B34802"/>
      <c r="C34802"/>
      <c r="E34802"/>
      <c r="F34802"/>
    </row>
    <row r="34803" spans="1:6" x14ac:dyDescent="0.25">
      <c r="A34803"/>
      <c r="B34803"/>
      <c r="C34803"/>
      <c r="E34803"/>
      <c r="F34803"/>
    </row>
    <row r="34804" spans="1:6" x14ac:dyDescent="0.25">
      <c r="A34804"/>
      <c r="B34804"/>
      <c r="C34804"/>
      <c r="E34804"/>
      <c r="F34804"/>
    </row>
    <row r="34805" spans="1:6" x14ac:dyDescent="0.25">
      <c r="A34805"/>
      <c r="B34805"/>
      <c r="C34805"/>
      <c r="E34805"/>
      <c r="F34805"/>
    </row>
    <row r="34806" spans="1:6" x14ac:dyDescent="0.25">
      <c r="A34806"/>
      <c r="B34806"/>
      <c r="C34806"/>
      <c r="E34806"/>
      <c r="F34806"/>
    </row>
    <row r="34807" spans="1:6" x14ac:dyDescent="0.25">
      <c r="A34807"/>
      <c r="B34807"/>
      <c r="C34807"/>
      <c r="E34807"/>
      <c r="F34807"/>
    </row>
    <row r="34808" spans="1:6" x14ac:dyDescent="0.25">
      <c r="A34808"/>
      <c r="B34808"/>
      <c r="C34808"/>
      <c r="E34808"/>
      <c r="F34808"/>
    </row>
    <row r="34809" spans="1:6" x14ac:dyDescent="0.25">
      <c r="A34809"/>
      <c r="B34809"/>
      <c r="C34809"/>
      <c r="E34809"/>
      <c r="F34809"/>
    </row>
    <row r="34810" spans="1:6" x14ac:dyDescent="0.25">
      <c r="A34810"/>
      <c r="B34810"/>
      <c r="C34810"/>
      <c r="E34810"/>
      <c r="F34810"/>
    </row>
    <row r="34811" spans="1:6" x14ac:dyDescent="0.25">
      <c r="A34811"/>
      <c r="B34811"/>
      <c r="C34811"/>
      <c r="E34811"/>
      <c r="F34811"/>
    </row>
    <row r="34812" spans="1:6" x14ac:dyDescent="0.25">
      <c r="A34812"/>
      <c r="B34812"/>
      <c r="C34812"/>
      <c r="E34812"/>
      <c r="F34812"/>
    </row>
    <row r="34813" spans="1:6" x14ac:dyDescent="0.25">
      <c r="A34813"/>
      <c r="B34813"/>
      <c r="C34813"/>
      <c r="E34813"/>
      <c r="F34813"/>
    </row>
    <row r="34814" spans="1:6" x14ac:dyDescent="0.25">
      <c r="A34814"/>
      <c r="B34814"/>
      <c r="C34814"/>
      <c r="E34814"/>
      <c r="F34814"/>
    </row>
    <row r="34815" spans="1:6" x14ac:dyDescent="0.25">
      <c r="A34815"/>
      <c r="B34815"/>
      <c r="C34815"/>
      <c r="E34815"/>
      <c r="F34815"/>
    </row>
    <row r="34816" spans="1:6" x14ac:dyDescent="0.25">
      <c r="A34816"/>
      <c r="B34816"/>
      <c r="C34816"/>
      <c r="E34816"/>
      <c r="F34816"/>
    </row>
    <row r="34817" spans="1:6" x14ac:dyDescent="0.25">
      <c r="A34817"/>
      <c r="B34817"/>
      <c r="C34817"/>
      <c r="E34817"/>
      <c r="F34817"/>
    </row>
    <row r="34818" spans="1:6" x14ac:dyDescent="0.25">
      <c r="A34818"/>
      <c r="B34818"/>
      <c r="C34818"/>
      <c r="E34818"/>
      <c r="F34818"/>
    </row>
    <row r="34819" spans="1:6" x14ac:dyDescent="0.25">
      <c r="A34819"/>
      <c r="B34819"/>
      <c r="C34819"/>
      <c r="E34819"/>
      <c r="F34819"/>
    </row>
    <row r="34820" spans="1:6" x14ac:dyDescent="0.25">
      <c r="A34820"/>
      <c r="B34820"/>
      <c r="C34820"/>
      <c r="E34820"/>
      <c r="F34820"/>
    </row>
    <row r="34821" spans="1:6" x14ac:dyDescent="0.25">
      <c r="A34821"/>
      <c r="B34821"/>
      <c r="C34821"/>
      <c r="E34821"/>
      <c r="F34821"/>
    </row>
    <row r="34822" spans="1:6" x14ac:dyDescent="0.25">
      <c r="A34822"/>
      <c r="B34822"/>
      <c r="C34822"/>
      <c r="E34822"/>
      <c r="F34822"/>
    </row>
    <row r="34823" spans="1:6" x14ac:dyDescent="0.25">
      <c r="A34823"/>
      <c r="B34823"/>
      <c r="C34823"/>
      <c r="E34823"/>
      <c r="F34823"/>
    </row>
    <row r="34824" spans="1:6" x14ac:dyDescent="0.25">
      <c r="A34824"/>
      <c r="B34824"/>
      <c r="C34824"/>
      <c r="E34824"/>
      <c r="F34824"/>
    </row>
    <row r="34825" spans="1:6" x14ac:dyDescent="0.25">
      <c r="A34825"/>
      <c r="B34825"/>
      <c r="C34825"/>
      <c r="E34825"/>
      <c r="F34825"/>
    </row>
    <row r="34826" spans="1:6" x14ac:dyDescent="0.25">
      <c r="A34826"/>
      <c r="B34826"/>
      <c r="C34826"/>
      <c r="E34826"/>
      <c r="F34826"/>
    </row>
    <row r="34827" spans="1:6" x14ac:dyDescent="0.25">
      <c r="A34827"/>
      <c r="B34827"/>
      <c r="C34827"/>
      <c r="E34827"/>
      <c r="F34827"/>
    </row>
    <row r="34828" spans="1:6" x14ac:dyDescent="0.25">
      <c r="A34828"/>
      <c r="B34828"/>
      <c r="C34828"/>
      <c r="E34828"/>
      <c r="F34828"/>
    </row>
    <row r="34829" spans="1:6" x14ac:dyDescent="0.25">
      <c r="A34829"/>
      <c r="B34829"/>
      <c r="C34829"/>
      <c r="E34829"/>
      <c r="F34829"/>
    </row>
    <row r="34830" spans="1:6" x14ac:dyDescent="0.25">
      <c r="A34830"/>
      <c r="B34830"/>
      <c r="C34830"/>
      <c r="E34830"/>
      <c r="F34830"/>
    </row>
    <row r="34831" spans="1:6" x14ac:dyDescent="0.25">
      <c r="A34831"/>
      <c r="B34831"/>
      <c r="C34831"/>
      <c r="E34831"/>
      <c r="F34831"/>
    </row>
    <row r="34832" spans="1:6" x14ac:dyDescent="0.25">
      <c r="A34832"/>
      <c r="B34832"/>
      <c r="C34832"/>
      <c r="E34832"/>
      <c r="F34832"/>
    </row>
    <row r="34833" spans="1:6" x14ac:dyDescent="0.25">
      <c r="A34833"/>
      <c r="B34833"/>
      <c r="C34833"/>
      <c r="E34833"/>
      <c r="F34833"/>
    </row>
    <row r="34834" spans="1:6" x14ac:dyDescent="0.25">
      <c r="A34834"/>
      <c r="B34834"/>
      <c r="C34834"/>
      <c r="E34834"/>
      <c r="F34834"/>
    </row>
    <row r="34835" spans="1:6" x14ac:dyDescent="0.25">
      <c r="A34835"/>
      <c r="B34835"/>
      <c r="C34835"/>
      <c r="E34835"/>
      <c r="F34835"/>
    </row>
    <row r="34836" spans="1:6" x14ac:dyDescent="0.25">
      <c r="A34836"/>
      <c r="B34836"/>
      <c r="C34836"/>
      <c r="E34836"/>
      <c r="F34836"/>
    </row>
    <row r="34837" spans="1:6" x14ac:dyDescent="0.25">
      <c r="A34837"/>
      <c r="B34837"/>
      <c r="C34837"/>
      <c r="E34837"/>
      <c r="F34837"/>
    </row>
    <row r="34838" spans="1:6" x14ac:dyDescent="0.25">
      <c r="A34838"/>
      <c r="B34838"/>
      <c r="C34838"/>
      <c r="E34838"/>
      <c r="F34838"/>
    </row>
    <row r="34839" spans="1:6" x14ac:dyDescent="0.25">
      <c r="A34839"/>
      <c r="B34839"/>
      <c r="C34839"/>
      <c r="E34839"/>
      <c r="F34839"/>
    </row>
    <row r="34840" spans="1:6" x14ac:dyDescent="0.25">
      <c r="A34840"/>
      <c r="B34840"/>
      <c r="C34840"/>
      <c r="E34840"/>
      <c r="F34840"/>
    </row>
    <row r="34841" spans="1:6" x14ac:dyDescent="0.25">
      <c r="A34841"/>
      <c r="B34841"/>
      <c r="C34841"/>
      <c r="E34841"/>
      <c r="F34841"/>
    </row>
    <row r="34842" spans="1:6" x14ac:dyDescent="0.25">
      <c r="A34842"/>
      <c r="B34842"/>
      <c r="C34842"/>
      <c r="E34842"/>
      <c r="F34842"/>
    </row>
    <row r="34843" spans="1:6" x14ac:dyDescent="0.25">
      <c r="A34843"/>
      <c r="B34843"/>
      <c r="C34843"/>
      <c r="E34843"/>
      <c r="F34843"/>
    </row>
    <row r="34844" spans="1:6" x14ac:dyDescent="0.25">
      <c r="A34844"/>
      <c r="B34844"/>
      <c r="C34844"/>
      <c r="E34844"/>
      <c r="F34844"/>
    </row>
    <row r="34845" spans="1:6" x14ac:dyDescent="0.25">
      <c r="A34845"/>
      <c r="B34845"/>
      <c r="C34845"/>
      <c r="E34845"/>
      <c r="F34845"/>
    </row>
    <row r="34846" spans="1:6" x14ac:dyDescent="0.25">
      <c r="A34846"/>
      <c r="B34846"/>
      <c r="C34846"/>
      <c r="E34846"/>
      <c r="F34846"/>
    </row>
    <row r="34847" spans="1:6" x14ac:dyDescent="0.25">
      <c r="A34847"/>
      <c r="B34847"/>
      <c r="C34847"/>
      <c r="E34847"/>
      <c r="F34847"/>
    </row>
    <row r="34848" spans="1:6" x14ac:dyDescent="0.25">
      <c r="A34848"/>
      <c r="B34848"/>
      <c r="C34848"/>
      <c r="E34848"/>
      <c r="F34848"/>
    </row>
    <row r="34849" spans="1:6" x14ac:dyDescent="0.25">
      <c r="A34849"/>
      <c r="B34849"/>
      <c r="C34849"/>
      <c r="E34849"/>
      <c r="F34849"/>
    </row>
    <row r="34850" spans="1:6" x14ac:dyDescent="0.25">
      <c r="A34850"/>
      <c r="B34850"/>
      <c r="C34850"/>
      <c r="E34850"/>
      <c r="F34850"/>
    </row>
    <row r="34851" spans="1:6" x14ac:dyDescent="0.25">
      <c r="A34851"/>
      <c r="B34851"/>
      <c r="C34851"/>
      <c r="E34851"/>
      <c r="F34851"/>
    </row>
    <row r="34852" spans="1:6" x14ac:dyDescent="0.25">
      <c r="A34852"/>
      <c r="B34852"/>
      <c r="C34852"/>
      <c r="E34852"/>
      <c r="F34852"/>
    </row>
    <row r="34853" spans="1:6" x14ac:dyDescent="0.25">
      <c r="A34853"/>
      <c r="B34853"/>
      <c r="C34853"/>
      <c r="E34853"/>
      <c r="F34853"/>
    </row>
    <row r="34854" spans="1:6" x14ac:dyDescent="0.25">
      <c r="A34854"/>
      <c r="B34854"/>
      <c r="C34854"/>
      <c r="E34854"/>
      <c r="F34854"/>
    </row>
    <row r="34855" spans="1:6" x14ac:dyDescent="0.25">
      <c r="A34855"/>
      <c r="B34855"/>
      <c r="C34855"/>
      <c r="E34855"/>
      <c r="F34855"/>
    </row>
    <row r="34856" spans="1:6" x14ac:dyDescent="0.25">
      <c r="A34856"/>
      <c r="B34856"/>
      <c r="C34856"/>
      <c r="E34856"/>
      <c r="F34856"/>
    </row>
    <row r="34857" spans="1:6" x14ac:dyDescent="0.25">
      <c r="A34857"/>
      <c r="B34857"/>
      <c r="C34857"/>
      <c r="E34857"/>
      <c r="F34857"/>
    </row>
    <row r="34858" spans="1:6" x14ac:dyDescent="0.25">
      <c r="A34858"/>
      <c r="B34858"/>
      <c r="C34858"/>
      <c r="E34858"/>
      <c r="F34858"/>
    </row>
    <row r="34859" spans="1:6" x14ac:dyDescent="0.25">
      <c r="A34859"/>
      <c r="B34859"/>
      <c r="C34859"/>
      <c r="E34859"/>
      <c r="F34859"/>
    </row>
    <row r="34860" spans="1:6" x14ac:dyDescent="0.25">
      <c r="A34860"/>
      <c r="B34860"/>
      <c r="C34860"/>
      <c r="E34860"/>
      <c r="F34860"/>
    </row>
    <row r="34861" spans="1:6" x14ac:dyDescent="0.25">
      <c r="A34861"/>
      <c r="B34861"/>
      <c r="C34861"/>
      <c r="E34861"/>
      <c r="F34861"/>
    </row>
    <row r="34862" spans="1:6" x14ac:dyDescent="0.25">
      <c r="A34862"/>
      <c r="B34862"/>
      <c r="C34862"/>
      <c r="E34862"/>
      <c r="F34862"/>
    </row>
    <row r="34863" spans="1:6" x14ac:dyDescent="0.25">
      <c r="A34863"/>
      <c r="B34863"/>
      <c r="C34863"/>
      <c r="E34863"/>
      <c r="F34863"/>
    </row>
    <row r="34864" spans="1:6" x14ac:dyDescent="0.25">
      <c r="A34864"/>
      <c r="B34864"/>
      <c r="C34864"/>
      <c r="E34864"/>
      <c r="F34864"/>
    </row>
    <row r="34865" spans="1:6" x14ac:dyDescent="0.25">
      <c r="A34865"/>
      <c r="B34865"/>
      <c r="C34865"/>
      <c r="E34865"/>
      <c r="F34865"/>
    </row>
    <row r="34866" spans="1:6" x14ac:dyDescent="0.25">
      <c r="A34866"/>
      <c r="B34866"/>
      <c r="C34866"/>
      <c r="E34866"/>
      <c r="F34866"/>
    </row>
    <row r="34867" spans="1:6" x14ac:dyDescent="0.25">
      <c r="A34867"/>
      <c r="B34867"/>
      <c r="C34867"/>
      <c r="E34867"/>
      <c r="F34867"/>
    </row>
    <row r="34868" spans="1:6" x14ac:dyDescent="0.25">
      <c r="A34868"/>
      <c r="B34868"/>
      <c r="C34868"/>
      <c r="E34868"/>
      <c r="F34868"/>
    </row>
    <row r="34869" spans="1:6" x14ac:dyDescent="0.25">
      <c r="A34869"/>
      <c r="B34869"/>
      <c r="C34869"/>
      <c r="E34869"/>
      <c r="F34869"/>
    </row>
    <row r="34870" spans="1:6" x14ac:dyDescent="0.25">
      <c r="A34870"/>
      <c r="B34870"/>
      <c r="C34870"/>
      <c r="E34870"/>
      <c r="F34870"/>
    </row>
    <row r="34871" spans="1:6" x14ac:dyDescent="0.25">
      <c r="A34871"/>
      <c r="B34871"/>
      <c r="C34871"/>
      <c r="E34871"/>
      <c r="F34871"/>
    </row>
    <row r="34872" spans="1:6" x14ac:dyDescent="0.25">
      <c r="A34872"/>
      <c r="B34872"/>
      <c r="C34872"/>
      <c r="E34872"/>
      <c r="F34872"/>
    </row>
    <row r="34873" spans="1:6" x14ac:dyDescent="0.25">
      <c r="A34873"/>
      <c r="B34873"/>
      <c r="C34873"/>
      <c r="E34873"/>
      <c r="F34873"/>
    </row>
    <row r="34874" spans="1:6" x14ac:dyDescent="0.25">
      <c r="A34874"/>
      <c r="B34874"/>
      <c r="C34874"/>
      <c r="E34874"/>
      <c r="F34874"/>
    </row>
    <row r="34875" spans="1:6" x14ac:dyDescent="0.25">
      <c r="A34875"/>
      <c r="B34875"/>
      <c r="C34875"/>
      <c r="E34875"/>
      <c r="F34875"/>
    </row>
    <row r="34876" spans="1:6" x14ac:dyDescent="0.25">
      <c r="A34876"/>
      <c r="B34876"/>
      <c r="C34876"/>
      <c r="E34876"/>
      <c r="F34876"/>
    </row>
    <row r="34877" spans="1:6" x14ac:dyDescent="0.25">
      <c r="A34877"/>
      <c r="B34877"/>
      <c r="C34877"/>
      <c r="E34877"/>
      <c r="F34877"/>
    </row>
    <row r="34878" spans="1:6" x14ac:dyDescent="0.25">
      <c r="A34878"/>
      <c r="B34878"/>
      <c r="C34878"/>
      <c r="E34878"/>
      <c r="F34878"/>
    </row>
    <row r="34879" spans="1:6" x14ac:dyDescent="0.25">
      <c r="A34879"/>
      <c r="B34879"/>
      <c r="C34879"/>
      <c r="E34879"/>
      <c r="F34879"/>
    </row>
    <row r="34880" spans="1:6" x14ac:dyDescent="0.25">
      <c r="A34880"/>
      <c r="B34880"/>
      <c r="C34880"/>
      <c r="E34880"/>
      <c r="F34880"/>
    </row>
    <row r="34881" spans="1:6" x14ac:dyDescent="0.25">
      <c r="A34881"/>
      <c r="B34881"/>
      <c r="C34881"/>
      <c r="E34881"/>
      <c r="F34881"/>
    </row>
    <row r="34882" spans="1:6" x14ac:dyDescent="0.25">
      <c r="A34882"/>
      <c r="B34882"/>
      <c r="C34882"/>
      <c r="E34882"/>
      <c r="F34882"/>
    </row>
    <row r="34883" spans="1:6" x14ac:dyDescent="0.25">
      <c r="A34883"/>
      <c r="B34883"/>
      <c r="C34883"/>
      <c r="E34883"/>
      <c r="F34883"/>
    </row>
    <row r="34884" spans="1:6" x14ac:dyDescent="0.25">
      <c r="A34884"/>
      <c r="B34884"/>
      <c r="C34884"/>
      <c r="E34884"/>
      <c r="F34884"/>
    </row>
    <row r="34885" spans="1:6" x14ac:dyDescent="0.25">
      <c r="A34885"/>
      <c r="B34885"/>
      <c r="C34885"/>
      <c r="E34885"/>
      <c r="F34885"/>
    </row>
    <row r="34886" spans="1:6" x14ac:dyDescent="0.25">
      <c r="A34886"/>
      <c r="B34886"/>
      <c r="C34886"/>
      <c r="E34886"/>
      <c r="F34886"/>
    </row>
    <row r="34887" spans="1:6" x14ac:dyDescent="0.25">
      <c r="A34887"/>
      <c r="B34887"/>
      <c r="C34887"/>
      <c r="E34887"/>
      <c r="F34887"/>
    </row>
    <row r="34888" spans="1:6" x14ac:dyDescent="0.25">
      <c r="A34888"/>
      <c r="B34888"/>
      <c r="C34888"/>
      <c r="E34888"/>
      <c r="F34888"/>
    </row>
    <row r="34889" spans="1:6" x14ac:dyDescent="0.25">
      <c r="A34889"/>
      <c r="B34889"/>
      <c r="C34889"/>
      <c r="E34889"/>
      <c r="F34889"/>
    </row>
    <row r="34890" spans="1:6" x14ac:dyDescent="0.25">
      <c r="A34890"/>
      <c r="B34890"/>
      <c r="C34890"/>
      <c r="E34890"/>
      <c r="F34890"/>
    </row>
    <row r="34891" spans="1:6" x14ac:dyDescent="0.25">
      <c r="A34891"/>
      <c r="B34891"/>
      <c r="C34891"/>
      <c r="E34891"/>
      <c r="F34891"/>
    </row>
    <row r="34892" spans="1:6" x14ac:dyDescent="0.25">
      <c r="A34892"/>
      <c r="B34892"/>
      <c r="C34892"/>
      <c r="E34892"/>
      <c r="F34892"/>
    </row>
    <row r="34893" spans="1:6" x14ac:dyDescent="0.25">
      <c r="A34893"/>
      <c r="B34893"/>
      <c r="C34893"/>
      <c r="E34893"/>
      <c r="F34893"/>
    </row>
    <row r="34894" spans="1:6" x14ac:dyDescent="0.25">
      <c r="A34894"/>
      <c r="B34894"/>
      <c r="C34894"/>
      <c r="E34894"/>
      <c r="F34894"/>
    </row>
    <row r="34895" spans="1:6" x14ac:dyDescent="0.25">
      <c r="A34895"/>
      <c r="B34895"/>
      <c r="C34895"/>
      <c r="E34895"/>
      <c r="F34895"/>
    </row>
    <row r="34896" spans="1:6" x14ac:dyDescent="0.25">
      <c r="A34896"/>
      <c r="B34896"/>
      <c r="C34896"/>
      <c r="E34896"/>
      <c r="F34896"/>
    </row>
    <row r="34897" spans="1:6" x14ac:dyDescent="0.25">
      <c r="A34897"/>
      <c r="B34897"/>
      <c r="C34897"/>
      <c r="E34897"/>
      <c r="F34897"/>
    </row>
    <row r="34898" spans="1:6" x14ac:dyDescent="0.25">
      <c r="A34898"/>
      <c r="B34898"/>
      <c r="C34898"/>
      <c r="E34898"/>
      <c r="F34898"/>
    </row>
    <row r="34899" spans="1:6" x14ac:dyDescent="0.25">
      <c r="A34899"/>
      <c r="B34899"/>
      <c r="C34899"/>
      <c r="E34899"/>
      <c r="F34899"/>
    </row>
    <row r="34900" spans="1:6" x14ac:dyDescent="0.25">
      <c r="A34900"/>
      <c r="B34900"/>
      <c r="C34900"/>
      <c r="E34900"/>
      <c r="F34900"/>
    </row>
    <row r="34901" spans="1:6" x14ac:dyDescent="0.25">
      <c r="A34901"/>
      <c r="B34901"/>
      <c r="C34901"/>
      <c r="E34901"/>
      <c r="F34901"/>
    </row>
    <row r="34902" spans="1:6" x14ac:dyDescent="0.25">
      <c r="A34902"/>
      <c r="B34902"/>
      <c r="C34902"/>
      <c r="E34902"/>
      <c r="F34902"/>
    </row>
    <row r="34903" spans="1:6" x14ac:dyDescent="0.25">
      <c r="A34903"/>
      <c r="B34903"/>
      <c r="C34903"/>
      <c r="E34903"/>
      <c r="F34903"/>
    </row>
    <row r="34904" spans="1:6" x14ac:dyDescent="0.25">
      <c r="A34904"/>
      <c r="B34904"/>
      <c r="C34904"/>
      <c r="E34904"/>
      <c r="F34904"/>
    </row>
    <row r="34905" spans="1:6" x14ac:dyDescent="0.25">
      <c r="A34905"/>
      <c r="B34905"/>
      <c r="C34905"/>
      <c r="E34905"/>
      <c r="F34905"/>
    </row>
    <row r="34906" spans="1:6" x14ac:dyDescent="0.25">
      <c r="A34906"/>
      <c r="B34906"/>
      <c r="C34906"/>
      <c r="E34906"/>
      <c r="F34906"/>
    </row>
    <row r="34907" spans="1:6" x14ac:dyDescent="0.25">
      <c r="A34907"/>
      <c r="B34907"/>
      <c r="C34907"/>
      <c r="E34907"/>
      <c r="F34907"/>
    </row>
    <row r="34908" spans="1:6" x14ac:dyDescent="0.25">
      <c r="A34908"/>
      <c r="B34908"/>
      <c r="C34908"/>
      <c r="E34908"/>
      <c r="F34908"/>
    </row>
    <row r="34909" spans="1:6" x14ac:dyDescent="0.25">
      <c r="A34909"/>
      <c r="B34909"/>
      <c r="C34909"/>
      <c r="E34909"/>
      <c r="F34909"/>
    </row>
    <row r="34910" spans="1:6" x14ac:dyDescent="0.25">
      <c r="A34910"/>
      <c r="B34910"/>
      <c r="C34910"/>
      <c r="E34910"/>
      <c r="F34910"/>
    </row>
    <row r="34911" spans="1:6" x14ac:dyDescent="0.25">
      <c r="A34911"/>
      <c r="B34911"/>
      <c r="C34911"/>
      <c r="E34911"/>
      <c r="F34911"/>
    </row>
    <row r="34912" spans="1:6" x14ac:dyDescent="0.25">
      <c r="A34912"/>
      <c r="B34912"/>
      <c r="C34912"/>
      <c r="E34912"/>
      <c r="F34912"/>
    </row>
    <row r="34913" spans="1:6" x14ac:dyDescent="0.25">
      <c r="A34913"/>
      <c r="B34913"/>
      <c r="C34913"/>
      <c r="E34913"/>
      <c r="F34913"/>
    </row>
    <row r="34914" spans="1:6" x14ac:dyDescent="0.25">
      <c r="A34914"/>
      <c r="B34914"/>
      <c r="C34914"/>
      <c r="E34914"/>
      <c r="F34914"/>
    </row>
    <row r="34915" spans="1:6" x14ac:dyDescent="0.25">
      <c r="A34915"/>
      <c r="B34915"/>
      <c r="C34915"/>
      <c r="E34915"/>
      <c r="F34915"/>
    </row>
    <row r="34916" spans="1:6" x14ac:dyDescent="0.25">
      <c r="A34916"/>
      <c r="B34916"/>
      <c r="C34916"/>
      <c r="E34916"/>
      <c r="F34916"/>
    </row>
    <row r="34917" spans="1:6" x14ac:dyDescent="0.25">
      <c r="A34917"/>
      <c r="B34917"/>
      <c r="C34917"/>
      <c r="E34917"/>
      <c r="F34917"/>
    </row>
    <row r="34918" spans="1:6" x14ac:dyDescent="0.25">
      <c r="A34918"/>
      <c r="B34918"/>
      <c r="C34918"/>
      <c r="E34918"/>
      <c r="F34918"/>
    </row>
    <row r="34919" spans="1:6" x14ac:dyDescent="0.25">
      <c r="A34919"/>
      <c r="B34919"/>
      <c r="C34919"/>
      <c r="E34919"/>
      <c r="F34919"/>
    </row>
    <row r="34920" spans="1:6" x14ac:dyDescent="0.25">
      <c r="A34920"/>
      <c r="B34920"/>
      <c r="C34920"/>
      <c r="E34920"/>
      <c r="F34920"/>
    </row>
    <row r="34921" spans="1:6" x14ac:dyDescent="0.25">
      <c r="A34921"/>
      <c r="B34921"/>
      <c r="C34921"/>
      <c r="E34921"/>
      <c r="F34921"/>
    </row>
    <row r="34922" spans="1:6" x14ac:dyDescent="0.25">
      <c r="A34922"/>
      <c r="B34922"/>
      <c r="C34922"/>
      <c r="E34922"/>
      <c r="F34922"/>
    </row>
    <row r="34923" spans="1:6" x14ac:dyDescent="0.25">
      <c r="A34923"/>
      <c r="B34923"/>
      <c r="C34923"/>
      <c r="E34923"/>
      <c r="F34923"/>
    </row>
    <row r="34924" spans="1:6" x14ac:dyDescent="0.25">
      <c r="A34924"/>
      <c r="B34924"/>
      <c r="C34924"/>
      <c r="E34924"/>
      <c r="F34924"/>
    </row>
    <row r="34925" spans="1:6" x14ac:dyDescent="0.25">
      <c r="A34925"/>
      <c r="B34925"/>
      <c r="C34925"/>
      <c r="E34925"/>
      <c r="F34925"/>
    </row>
    <row r="34926" spans="1:6" x14ac:dyDescent="0.25">
      <c r="A34926"/>
      <c r="B34926"/>
      <c r="C34926"/>
      <c r="E34926"/>
      <c r="F34926"/>
    </row>
    <row r="34927" spans="1:6" x14ac:dyDescent="0.25">
      <c r="A34927"/>
      <c r="B34927"/>
      <c r="C34927"/>
      <c r="E34927"/>
      <c r="F34927"/>
    </row>
    <row r="34928" spans="1:6" x14ac:dyDescent="0.25">
      <c r="A34928"/>
      <c r="B34928"/>
      <c r="C34928"/>
      <c r="E34928"/>
      <c r="F34928"/>
    </row>
    <row r="34929" spans="1:6" x14ac:dyDescent="0.25">
      <c r="A34929"/>
      <c r="B34929"/>
      <c r="C34929"/>
      <c r="E34929"/>
      <c r="F34929"/>
    </row>
    <row r="34930" spans="1:6" x14ac:dyDescent="0.25">
      <c r="A34930"/>
      <c r="B34930"/>
      <c r="C34930"/>
      <c r="E34930"/>
      <c r="F34930"/>
    </row>
    <row r="34931" spans="1:6" x14ac:dyDescent="0.25">
      <c r="A34931"/>
      <c r="B34931"/>
      <c r="C34931"/>
      <c r="E34931"/>
      <c r="F34931"/>
    </row>
    <row r="34932" spans="1:6" x14ac:dyDescent="0.25">
      <c r="A34932"/>
      <c r="B34932"/>
      <c r="C34932"/>
      <c r="E34932"/>
      <c r="F34932"/>
    </row>
    <row r="34933" spans="1:6" x14ac:dyDescent="0.25">
      <c r="A34933"/>
      <c r="B34933"/>
      <c r="C34933"/>
      <c r="E34933"/>
      <c r="F34933"/>
    </row>
    <row r="34934" spans="1:6" x14ac:dyDescent="0.25">
      <c r="A34934"/>
      <c r="B34934"/>
      <c r="C34934"/>
      <c r="E34934"/>
      <c r="F34934"/>
    </row>
    <row r="34935" spans="1:6" x14ac:dyDescent="0.25">
      <c r="A34935"/>
      <c r="B34935"/>
      <c r="C34935"/>
      <c r="E34935"/>
      <c r="F34935"/>
    </row>
    <row r="34936" spans="1:6" x14ac:dyDescent="0.25">
      <c r="A34936"/>
      <c r="B34936"/>
      <c r="C34936"/>
      <c r="E34936"/>
      <c r="F34936"/>
    </row>
    <row r="34937" spans="1:6" x14ac:dyDescent="0.25">
      <c r="A34937"/>
      <c r="B34937"/>
      <c r="C34937"/>
      <c r="E34937"/>
      <c r="F34937"/>
    </row>
    <row r="34938" spans="1:6" x14ac:dyDescent="0.25">
      <c r="A34938"/>
      <c r="B34938"/>
      <c r="C34938"/>
      <c r="E34938"/>
      <c r="F34938"/>
    </row>
    <row r="34939" spans="1:6" x14ac:dyDescent="0.25">
      <c r="A34939"/>
      <c r="B34939"/>
      <c r="C34939"/>
      <c r="E34939"/>
      <c r="F34939"/>
    </row>
    <row r="34940" spans="1:6" x14ac:dyDescent="0.25">
      <c r="A34940"/>
      <c r="B34940"/>
      <c r="C34940"/>
      <c r="E34940"/>
      <c r="F34940"/>
    </row>
    <row r="34941" spans="1:6" x14ac:dyDescent="0.25">
      <c r="A34941"/>
      <c r="B34941"/>
      <c r="C34941"/>
      <c r="E34941"/>
      <c r="F34941"/>
    </row>
    <row r="34942" spans="1:6" x14ac:dyDescent="0.25">
      <c r="A34942"/>
      <c r="B34942"/>
      <c r="C34942"/>
      <c r="E34942"/>
      <c r="F34942"/>
    </row>
    <row r="34943" spans="1:6" x14ac:dyDescent="0.25">
      <c r="A34943"/>
      <c r="B34943"/>
      <c r="C34943"/>
      <c r="E34943"/>
      <c r="F34943"/>
    </row>
    <row r="34944" spans="1:6" x14ac:dyDescent="0.25">
      <c r="A34944"/>
      <c r="B34944"/>
      <c r="C34944"/>
      <c r="E34944"/>
      <c r="F34944"/>
    </row>
    <row r="34945" spans="1:6" x14ac:dyDescent="0.25">
      <c r="A34945"/>
      <c r="B34945"/>
      <c r="C34945"/>
      <c r="E34945"/>
      <c r="F34945"/>
    </row>
    <row r="34946" spans="1:6" x14ac:dyDescent="0.25">
      <c r="A34946"/>
      <c r="B34946"/>
      <c r="C34946"/>
      <c r="E34946"/>
      <c r="F34946"/>
    </row>
    <row r="34947" spans="1:6" x14ac:dyDescent="0.25">
      <c r="A34947"/>
      <c r="B34947"/>
      <c r="C34947"/>
      <c r="E34947"/>
      <c r="F34947"/>
    </row>
    <row r="34948" spans="1:6" x14ac:dyDescent="0.25">
      <c r="A34948"/>
      <c r="B34948"/>
      <c r="C34948"/>
      <c r="E34948"/>
      <c r="F34948"/>
    </row>
    <row r="34949" spans="1:6" x14ac:dyDescent="0.25">
      <c r="A34949"/>
      <c r="B34949"/>
      <c r="C34949"/>
      <c r="E34949"/>
      <c r="F34949"/>
    </row>
    <row r="34950" spans="1:6" x14ac:dyDescent="0.25">
      <c r="A34950"/>
      <c r="B34950"/>
      <c r="C34950"/>
      <c r="E34950"/>
      <c r="F34950"/>
    </row>
    <row r="34951" spans="1:6" x14ac:dyDescent="0.25">
      <c r="A34951"/>
      <c r="B34951"/>
      <c r="C34951"/>
      <c r="E34951"/>
      <c r="F34951"/>
    </row>
    <row r="34952" spans="1:6" x14ac:dyDescent="0.25">
      <c r="A34952"/>
      <c r="B34952"/>
      <c r="C34952"/>
      <c r="E34952"/>
      <c r="F34952"/>
    </row>
    <row r="34953" spans="1:6" x14ac:dyDescent="0.25">
      <c r="A34953"/>
      <c r="B34953"/>
      <c r="C34953"/>
      <c r="E34953"/>
      <c r="F34953"/>
    </row>
    <row r="34954" spans="1:6" x14ac:dyDescent="0.25">
      <c r="A34954"/>
      <c r="B34954"/>
      <c r="C34954"/>
      <c r="E34954"/>
      <c r="F34954"/>
    </row>
    <row r="34955" spans="1:6" x14ac:dyDescent="0.25">
      <c r="A34955"/>
      <c r="B34955"/>
      <c r="C34955"/>
      <c r="E34955"/>
      <c r="F34955"/>
    </row>
    <row r="34956" spans="1:6" x14ac:dyDescent="0.25">
      <c r="A34956"/>
      <c r="B34956"/>
      <c r="C34956"/>
      <c r="E34956"/>
      <c r="F34956"/>
    </row>
    <row r="34957" spans="1:6" x14ac:dyDescent="0.25">
      <c r="A34957"/>
      <c r="B34957"/>
      <c r="C34957"/>
      <c r="E34957"/>
      <c r="F34957"/>
    </row>
    <row r="34958" spans="1:6" x14ac:dyDescent="0.25">
      <c r="A34958"/>
      <c r="B34958"/>
      <c r="C34958"/>
      <c r="E34958"/>
      <c r="F34958"/>
    </row>
    <row r="34959" spans="1:6" x14ac:dyDescent="0.25">
      <c r="A34959"/>
      <c r="B34959"/>
      <c r="C34959"/>
      <c r="E34959"/>
      <c r="F34959"/>
    </row>
    <row r="34960" spans="1:6" x14ac:dyDescent="0.25">
      <c r="A34960"/>
      <c r="B34960"/>
      <c r="C34960"/>
      <c r="E34960"/>
      <c r="F34960"/>
    </row>
    <row r="34961" spans="1:6" x14ac:dyDescent="0.25">
      <c r="A34961"/>
      <c r="B34961"/>
      <c r="C34961"/>
      <c r="E34961"/>
      <c r="F34961"/>
    </row>
    <row r="34962" spans="1:6" x14ac:dyDescent="0.25">
      <c r="A34962"/>
      <c r="B34962"/>
      <c r="C34962"/>
      <c r="E34962"/>
      <c r="F34962"/>
    </row>
    <row r="34963" spans="1:6" x14ac:dyDescent="0.25">
      <c r="A34963"/>
      <c r="B34963"/>
      <c r="C34963"/>
      <c r="E34963"/>
      <c r="F34963"/>
    </row>
    <row r="34964" spans="1:6" x14ac:dyDescent="0.25">
      <c r="A34964"/>
      <c r="B34964"/>
      <c r="C34964"/>
      <c r="E34964"/>
      <c r="F34964"/>
    </row>
    <row r="34965" spans="1:6" x14ac:dyDescent="0.25">
      <c r="A34965"/>
      <c r="B34965"/>
      <c r="C34965"/>
      <c r="E34965"/>
      <c r="F34965"/>
    </row>
    <row r="34966" spans="1:6" x14ac:dyDescent="0.25">
      <c r="A34966"/>
      <c r="B34966"/>
      <c r="C34966"/>
      <c r="E34966"/>
      <c r="F34966"/>
    </row>
    <row r="34967" spans="1:6" x14ac:dyDescent="0.25">
      <c r="A34967"/>
      <c r="B34967"/>
      <c r="C34967"/>
      <c r="E34967"/>
      <c r="F34967"/>
    </row>
    <row r="34968" spans="1:6" x14ac:dyDescent="0.25">
      <c r="A34968"/>
      <c r="B34968"/>
      <c r="C34968"/>
      <c r="E34968"/>
      <c r="F34968"/>
    </row>
    <row r="34969" spans="1:6" x14ac:dyDescent="0.25">
      <c r="A34969"/>
      <c r="B34969"/>
      <c r="C34969"/>
      <c r="E34969"/>
      <c r="F34969"/>
    </row>
    <row r="34970" spans="1:6" x14ac:dyDescent="0.25">
      <c r="A34970"/>
      <c r="B34970"/>
      <c r="C34970"/>
      <c r="E34970"/>
      <c r="F34970"/>
    </row>
    <row r="34971" spans="1:6" x14ac:dyDescent="0.25">
      <c r="A34971"/>
      <c r="B34971"/>
      <c r="C34971"/>
      <c r="E34971"/>
      <c r="F34971"/>
    </row>
    <row r="34972" spans="1:6" x14ac:dyDescent="0.25">
      <c r="A34972"/>
      <c r="B34972"/>
      <c r="C34972"/>
      <c r="E34972"/>
      <c r="F34972"/>
    </row>
    <row r="34973" spans="1:6" x14ac:dyDescent="0.25">
      <c r="A34973"/>
      <c r="B34973"/>
      <c r="C34973"/>
      <c r="E34973"/>
      <c r="F34973"/>
    </row>
    <row r="34974" spans="1:6" x14ac:dyDescent="0.25">
      <c r="A34974"/>
      <c r="B34974"/>
      <c r="C34974"/>
      <c r="E34974"/>
      <c r="F34974"/>
    </row>
    <row r="34975" spans="1:6" x14ac:dyDescent="0.25">
      <c r="A34975"/>
      <c r="B34975"/>
      <c r="C34975"/>
      <c r="E34975"/>
      <c r="F34975"/>
    </row>
    <row r="34976" spans="1:6" x14ac:dyDescent="0.25">
      <c r="A34976"/>
      <c r="B34976"/>
      <c r="C34976"/>
      <c r="E34976"/>
      <c r="F34976"/>
    </row>
    <row r="34977" spans="1:6" x14ac:dyDescent="0.25">
      <c r="A34977"/>
      <c r="B34977"/>
      <c r="C34977"/>
      <c r="E34977"/>
      <c r="F34977"/>
    </row>
    <row r="34978" spans="1:6" x14ac:dyDescent="0.25">
      <c r="A34978"/>
      <c r="B34978"/>
      <c r="C34978"/>
      <c r="E34978"/>
      <c r="F34978"/>
    </row>
    <row r="34979" spans="1:6" x14ac:dyDescent="0.25">
      <c r="A34979"/>
      <c r="B34979"/>
      <c r="C34979"/>
      <c r="E34979"/>
      <c r="F34979"/>
    </row>
    <row r="34980" spans="1:6" x14ac:dyDescent="0.25">
      <c r="A34980"/>
      <c r="B34980"/>
      <c r="C34980"/>
      <c r="E34980"/>
      <c r="F34980"/>
    </row>
    <row r="34981" spans="1:6" x14ac:dyDescent="0.25">
      <c r="A34981"/>
      <c r="B34981"/>
      <c r="C34981"/>
      <c r="E34981"/>
      <c r="F34981"/>
    </row>
    <row r="34982" spans="1:6" x14ac:dyDescent="0.25">
      <c r="A34982"/>
      <c r="B34982"/>
      <c r="C34982"/>
      <c r="E34982"/>
      <c r="F34982"/>
    </row>
    <row r="34983" spans="1:6" x14ac:dyDescent="0.25">
      <c r="A34983"/>
      <c r="B34983"/>
      <c r="C34983"/>
      <c r="E34983"/>
      <c r="F34983"/>
    </row>
    <row r="34984" spans="1:6" x14ac:dyDescent="0.25">
      <c r="A34984"/>
      <c r="B34984"/>
      <c r="C34984"/>
      <c r="E34984"/>
      <c r="F34984"/>
    </row>
    <row r="34985" spans="1:6" x14ac:dyDescent="0.25">
      <c r="A34985"/>
      <c r="B34985"/>
      <c r="C34985"/>
      <c r="E34985"/>
      <c r="F34985"/>
    </row>
    <row r="34986" spans="1:6" x14ac:dyDescent="0.25">
      <c r="A34986"/>
      <c r="B34986"/>
      <c r="C34986"/>
      <c r="E34986"/>
      <c r="F34986"/>
    </row>
    <row r="34987" spans="1:6" x14ac:dyDescent="0.25">
      <c r="A34987"/>
      <c r="B34987"/>
      <c r="C34987"/>
      <c r="E34987"/>
      <c r="F34987"/>
    </row>
    <row r="34988" spans="1:6" x14ac:dyDescent="0.25">
      <c r="A34988"/>
      <c r="B34988"/>
      <c r="C34988"/>
      <c r="E34988"/>
      <c r="F34988"/>
    </row>
    <row r="34989" spans="1:6" x14ac:dyDescent="0.25">
      <c r="A34989"/>
      <c r="B34989"/>
      <c r="C34989"/>
      <c r="E34989"/>
      <c r="F34989"/>
    </row>
    <row r="34990" spans="1:6" x14ac:dyDescent="0.25">
      <c r="A34990"/>
      <c r="B34990"/>
      <c r="C34990"/>
      <c r="E34990"/>
      <c r="F34990"/>
    </row>
    <row r="34991" spans="1:6" x14ac:dyDescent="0.25">
      <c r="A34991"/>
      <c r="B34991"/>
      <c r="C34991"/>
      <c r="E34991"/>
      <c r="F34991"/>
    </row>
    <row r="34992" spans="1:6" x14ac:dyDescent="0.25">
      <c r="A34992"/>
      <c r="B34992"/>
      <c r="C34992"/>
      <c r="E34992"/>
      <c r="F34992"/>
    </row>
    <row r="34993" spans="1:6" x14ac:dyDescent="0.25">
      <c r="A34993"/>
      <c r="B34993"/>
      <c r="C34993"/>
      <c r="E34993"/>
      <c r="F34993"/>
    </row>
    <row r="34994" spans="1:6" x14ac:dyDescent="0.25">
      <c r="A34994"/>
      <c r="B34994"/>
      <c r="C34994"/>
      <c r="E34994"/>
      <c r="F34994"/>
    </row>
    <row r="34995" spans="1:6" x14ac:dyDescent="0.25">
      <c r="A34995"/>
      <c r="B34995"/>
      <c r="C34995"/>
      <c r="E34995"/>
      <c r="F34995"/>
    </row>
    <row r="34996" spans="1:6" x14ac:dyDescent="0.25">
      <c r="A34996"/>
      <c r="B34996"/>
      <c r="C34996"/>
      <c r="E34996"/>
      <c r="F34996"/>
    </row>
    <row r="34997" spans="1:6" x14ac:dyDescent="0.25">
      <c r="A34997"/>
      <c r="B34997"/>
      <c r="C34997"/>
      <c r="E34997"/>
      <c r="F34997"/>
    </row>
    <row r="34998" spans="1:6" x14ac:dyDescent="0.25">
      <c r="A34998"/>
      <c r="B34998"/>
      <c r="C34998"/>
      <c r="E34998"/>
      <c r="F34998"/>
    </row>
    <row r="34999" spans="1:6" x14ac:dyDescent="0.25">
      <c r="A34999"/>
      <c r="B34999"/>
      <c r="C34999"/>
      <c r="E34999"/>
      <c r="F34999"/>
    </row>
    <row r="35000" spans="1:6" x14ac:dyDescent="0.25">
      <c r="A35000"/>
      <c r="B35000"/>
      <c r="C35000"/>
      <c r="E35000"/>
      <c r="F35000"/>
    </row>
    <row r="35001" spans="1:6" x14ac:dyDescent="0.25">
      <c r="A35001"/>
      <c r="B35001"/>
      <c r="C35001"/>
      <c r="E35001"/>
      <c r="F35001"/>
    </row>
    <row r="35002" spans="1:6" x14ac:dyDescent="0.25">
      <c r="A35002"/>
      <c r="B35002"/>
      <c r="C35002"/>
      <c r="E35002"/>
      <c r="F35002"/>
    </row>
    <row r="35003" spans="1:6" x14ac:dyDescent="0.25">
      <c r="A35003"/>
      <c r="B35003"/>
      <c r="C35003"/>
      <c r="E35003"/>
      <c r="F35003"/>
    </row>
    <row r="35004" spans="1:6" x14ac:dyDescent="0.25">
      <c r="A35004"/>
      <c r="B35004"/>
      <c r="C35004"/>
      <c r="E35004"/>
      <c r="F35004"/>
    </row>
    <row r="35005" spans="1:6" x14ac:dyDescent="0.25">
      <c r="A35005"/>
      <c r="B35005"/>
      <c r="C35005"/>
      <c r="E35005"/>
      <c r="F35005"/>
    </row>
    <row r="35006" spans="1:6" x14ac:dyDescent="0.25">
      <c r="A35006"/>
      <c r="B35006"/>
      <c r="C35006"/>
      <c r="E35006"/>
      <c r="F35006"/>
    </row>
    <row r="35007" spans="1:6" x14ac:dyDescent="0.25">
      <c r="A35007"/>
      <c r="B35007"/>
      <c r="C35007"/>
      <c r="E35007"/>
      <c r="F35007"/>
    </row>
    <row r="35008" spans="1:6" x14ac:dyDescent="0.25">
      <c r="A35008"/>
      <c r="B35008"/>
      <c r="C35008"/>
      <c r="E35008"/>
      <c r="F35008"/>
    </row>
    <row r="35009" spans="1:6" x14ac:dyDescent="0.25">
      <c r="A35009"/>
      <c r="B35009"/>
      <c r="C35009"/>
      <c r="E35009"/>
      <c r="F35009"/>
    </row>
    <row r="35010" spans="1:6" x14ac:dyDescent="0.25">
      <c r="A35010"/>
      <c r="B35010"/>
      <c r="C35010"/>
      <c r="E35010"/>
      <c r="F35010"/>
    </row>
    <row r="35011" spans="1:6" x14ac:dyDescent="0.25">
      <c r="A35011"/>
      <c r="B35011"/>
      <c r="C35011"/>
      <c r="E35011"/>
      <c r="F35011"/>
    </row>
    <row r="35012" spans="1:6" x14ac:dyDescent="0.25">
      <c r="A35012"/>
      <c r="B35012"/>
      <c r="C35012"/>
      <c r="E35012"/>
      <c r="F35012"/>
    </row>
    <row r="35013" spans="1:6" x14ac:dyDescent="0.25">
      <c r="A35013"/>
      <c r="B35013"/>
      <c r="C35013"/>
      <c r="E35013"/>
      <c r="F35013"/>
    </row>
    <row r="35014" spans="1:6" x14ac:dyDescent="0.25">
      <c r="A35014"/>
      <c r="B35014"/>
      <c r="C35014"/>
      <c r="E35014"/>
      <c r="F35014"/>
    </row>
    <row r="35015" spans="1:6" x14ac:dyDescent="0.25">
      <c r="A35015"/>
      <c r="B35015"/>
      <c r="C35015"/>
      <c r="E35015"/>
      <c r="F35015"/>
    </row>
    <row r="35016" spans="1:6" x14ac:dyDescent="0.25">
      <c r="A35016"/>
      <c r="B35016"/>
      <c r="C35016"/>
      <c r="E35016"/>
      <c r="F35016"/>
    </row>
    <row r="35017" spans="1:6" x14ac:dyDescent="0.25">
      <c r="A35017"/>
      <c r="B35017"/>
      <c r="C35017"/>
      <c r="E35017"/>
      <c r="F35017"/>
    </row>
    <row r="35018" spans="1:6" x14ac:dyDescent="0.25">
      <c r="A35018"/>
      <c r="B35018"/>
      <c r="C35018"/>
      <c r="E35018"/>
      <c r="F35018"/>
    </row>
    <row r="35019" spans="1:6" x14ac:dyDescent="0.25">
      <c r="A35019"/>
      <c r="B35019"/>
      <c r="C35019"/>
      <c r="E35019"/>
      <c r="F35019"/>
    </row>
    <row r="35020" spans="1:6" x14ac:dyDescent="0.25">
      <c r="A35020"/>
      <c r="B35020"/>
      <c r="C35020"/>
      <c r="E35020"/>
      <c r="F35020"/>
    </row>
    <row r="35021" spans="1:6" x14ac:dyDescent="0.25">
      <c r="A35021"/>
      <c r="B35021"/>
      <c r="C35021"/>
      <c r="E35021"/>
      <c r="F35021"/>
    </row>
    <row r="35022" spans="1:6" x14ac:dyDescent="0.25">
      <c r="A35022"/>
      <c r="B35022"/>
      <c r="C35022"/>
      <c r="E35022"/>
      <c r="F35022"/>
    </row>
    <row r="35023" spans="1:6" x14ac:dyDescent="0.25">
      <c r="A35023"/>
      <c r="B35023"/>
      <c r="C35023"/>
      <c r="E35023"/>
      <c r="F35023"/>
    </row>
    <row r="35024" spans="1:6" x14ac:dyDescent="0.25">
      <c r="A35024"/>
      <c r="B35024"/>
      <c r="C35024"/>
      <c r="E35024"/>
      <c r="F35024"/>
    </row>
    <row r="35025" spans="1:6" x14ac:dyDescent="0.25">
      <c r="A35025"/>
      <c r="B35025"/>
      <c r="C35025"/>
      <c r="E35025"/>
      <c r="F35025"/>
    </row>
    <row r="35026" spans="1:6" x14ac:dyDescent="0.25">
      <c r="A35026"/>
      <c r="B35026"/>
      <c r="C35026"/>
      <c r="E35026"/>
      <c r="F35026"/>
    </row>
    <row r="35027" spans="1:6" x14ac:dyDescent="0.25">
      <c r="A35027"/>
      <c r="B35027"/>
      <c r="C35027"/>
      <c r="E35027"/>
      <c r="F35027"/>
    </row>
    <row r="35028" spans="1:6" x14ac:dyDescent="0.25">
      <c r="A35028"/>
      <c r="B35028"/>
      <c r="C35028"/>
      <c r="E35028"/>
      <c r="F35028"/>
    </row>
    <row r="35029" spans="1:6" x14ac:dyDescent="0.25">
      <c r="A35029"/>
      <c r="B35029"/>
      <c r="C35029"/>
      <c r="E35029"/>
      <c r="F35029"/>
    </row>
    <row r="35030" spans="1:6" x14ac:dyDescent="0.25">
      <c r="A35030"/>
      <c r="B35030"/>
      <c r="C35030"/>
      <c r="E35030"/>
      <c r="F35030"/>
    </row>
    <row r="35031" spans="1:6" x14ac:dyDescent="0.25">
      <c r="A35031"/>
      <c r="B35031"/>
      <c r="C35031"/>
      <c r="E35031"/>
      <c r="F35031"/>
    </row>
    <row r="35032" spans="1:6" x14ac:dyDescent="0.25">
      <c r="A35032"/>
      <c r="B35032"/>
      <c r="C35032"/>
      <c r="E35032"/>
      <c r="F35032"/>
    </row>
    <row r="35033" spans="1:6" x14ac:dyDescent="0.25">
      <c r="A35033"/>
      <c r="B35033"/>
      <c r="C35033"/>
      <c r="E35033"/>
      <c r="F35033"/>
    </row>
    <row r="35034" spans="1:6" x14ac:dyDescent="0.25">
      <c r="A35034"/>
      <c r="B35034"/>
      <c r="C35034"/>
      <c r="E35034"/>
      <c r="F35034"/>
    </row>
    <row r="35035" spans="1:6" x14ac:dyDescent="0.25">
      <c r="A35035"/>
      <c r="B35035"/>
      <c r="C35035"/>
      <c r="E35035"/>
      <c r="F35035"/>
    </row>
    <row r="35036" spans="1:6" x14ac:dyDescent="0.25">
      <c r="A35036"/>
      <c r="B35036"/>
      <c r="C35036"/>
      <c r="E35036"/>
      <c r="F35036"/>
    </row>
    <row r="35037" spans="1:6" x14ac:dyDescent="0.25">
      <c r="A35037"/>
      <c r="B35037"/>
      <c r="C35037"/>
      <c r="E35037"/>
      <c r="F35037"/>
    </row>
    <row r="35038" spans="1:6" x14ac:dyDescent="0.25">
      <c r="A35038"/>
      <c r="B35038"/>
      <c r="C35038"/>
      <c r="E35038"/>
      <c r="F35038"/>
    </row>
    <row r="35039" spans="1:6" x14ac:dyDescent="0.25">
      <c r="A35039"/>
      <c r="B35039"/>
      <c r="C35039"/>
      <c r="E35039"/>
      <c r="F35039"/>
    </row>
    <row r="35040" spans="1:6" x14ac:dyDescent="0.25">
      <c r="A35040"/>
      <c r="B35040"/>
      <c r="C35040"/>
      <c r="E35040"/>
      <c r="F35040"/>
    </row>
    <row r="35041" spans="1:6" x14ac:dyDescent="0.25">
      <c r="A35041"/>
      <c r="B35041"/>
      <c r="C35041"/>
      <c r="E35041"/>
      <c r="F35041"/>
    </row>
    <row r="35042" spans="1:6" x14ac:dyDescent="0.25">
      <c r="A35042"/>
      <c r="B35042"/>
      <c r="C35042"/>
      <c r="E35042"/>
      <c r="F35042"/>
    </row>
    <row r="35043" spans="1:6" x14ac:dyDescent="0.25">
      <c r="A35043"/>
      <c r="B35043"/>
      <c r="C35043"/>
      <c r="E35043"/>
      <c r="F35043"/>
    </row>
    <row r="35044" spans="1:6" x14ac:dyDescent="0.25">
      <c r="A35044"/>
      <c r="B35044"/>
      <c r="C35044"/>
      <c r="E35044"/>
      <c r="F35044"/>
    </row>
    <row r="35045" spans="1:6" x14ac:dyDescent="0.25">
      <c r="A35045"/>
      <c r="B35045"/>
      <c r="C35045"/>
      <c r="E35045"/>
      <c r="F35045"/>
    </row>
    <row r="35046" spans="1:6" x14ac:dyDescent="0.25">
      <c r="A35046"/>
      <c r="B35046"/>
      <c r="C35046"/>
      <c r="E35046"/>
      <c r="F35046"/>
    </row>
    <row r="35047" spans="1:6" x14ac:dyDescent="0.25">
      <c r="A35047"/>
      <c r="B35047"/>
      <c r="C35047"/>
      <c r="E35047"/>
      <c r="F35047"/>
    </row>
    <row r="35048" spans="1:6" x14ac:dyDescent="0.25">
      <c r="A35048"/>
      <c r="B35048"/>
      <c r="C35048"/>
      <c r="E35048"/>
      <c r="F35048"/>
    </row>
    <row r="35049" spans="1:6" x14ac:dyDescent="0.25">
      <c r="A35049"/>
      <c r="B35049"/>
      <c r="C35049"/>
      <c r="E35049"/>
      <c r="F35049"/>
    </row>
    <row r="35050" spans="1:6" x14ac:dyDescent="0.25">
      <c r="A35050"/>
      <c r="B35050"/>
      <c r="C35050"/>
      <c r="E35050"/>
      <c r="F35050"/>
    </row>
    <row r="35051" spans="1:6" x14ac:dyDescent="0.25">
      <c r="A35051"/>
      <c r="B35051"/>
      <c r="C35051"/>
      <c r="E35051"/>
      <c r="F35051"/>
    </row>
    <row r="35052" spans="1:6" x14ac:dyDescent="0.25">
      <c r="A35052"/>
      <c r="B35052"/>
      <c r="C35052"/>
      <c r="E35052"/>
      <c r="F35052"/>
    </row>
    <row r="35053" spans="1:6" x14ac:dyDescent="0.25">
      <c r="A35053"/>
      <c r="B35053"/>
      <c r="C35053"/>
      <c r="E35053"/>
      <c r="F35053"/>
    </row>
    <row r="35054" spans="1:6" x14ac:dyDescent="0.25">
      <c r="A35054"/>
      <c r="B35054"/>
      <c r="C35054"/>
      <c r="E35054"/>
      <c r="F35054"/>
    </row>
    <row r="35055" spans="1:6" x14ac:dyDescent="0.25">
      <c r="A35055"/>
      <c r="B35055"/>
      <c r="C35055"/>
      <c r="E35055"/>
      <c r="F35055"/>
    </row>
    <row r="35056" spans="1:6" x14ac:dyDescent="0.25">
      <c r="A35056"/>
      <c r="B35056"/>
      <c r="C35056"/>
      <c r="E35056"/>
      <c r="F35056"/>
    </row>
    <row r="35057" spans="1:6" x14ac:dyDescent="0.25">
      <c r="A35057"/>
      <c r="B35057"/>
      <c r="C35057"/>
      <c r="E35057"/>
      <c r="F35057"/>
    </row>
    <row r="35058" spans="1:6" x14ac:dyDescent="0.25">
      <c r="A35058"/>
      <c r="B35058"/>
      <c r="C35058"/>
      <c r="E35058"/>
      <c r="F35058"/>
    </row>
    <row r="35059" spans="1:6" x14ac:dyDescent="0.25">
      <c r="A35059"/>
      <c r="B35059"/>
      <c r="C35059"/>
      <c r="E35059"/>
      <c r="F35059"/>
    </row>
    <row r="35060" spans="1:6" x14ac:dyDescent="0.25">
      <c r="A35060"/>
      <c r="B35060"/>
      <c r="C35060"/>
      <c r="E35060"/>
      <c r="F35060"/>
    </row>
    <row r="35061" spans="1:6" x14ac:dyDescent="0.25">
      <c r="A35061"/>
      <c r="B35061"/>
      <c r="C35061"/>
      <c r="E35061"/>
      <c r="F35061"/>
    </row>
    <row r="35062" spans="1:6" x14ac:dyDescent="0.25">
      <c r="A35062"/>
      <c r="B35062"/>
      <c r="C35062"/>
      <c r="E35062"/>
      <c r="F35062"/>
    </row>
    <row r="35063" spans="1:6" x14ac:dyDescent="0.25">
      <c r="A35063"/>
      <c r="B35063"/>
      <c r="C35063"/>
      <c r="E35063"/>
      <c r="F35063"/>
    </row>
    <row r="35064" spans="1:6" x14ac:dyDescent="0.25">
      <c r="A35064"/>
      <c r="B35064"/>
      <c r="C35064"/>
      <c r="E35064"/>
      <c r="F35064"/>
    </row>
    <row r="35065" spans="1:6" x14ac:dyDescent="0.25">
      <c r="A35065"/>
      <c r="B35065"/>
      <c r="C35065"/>
      <c r="E35065"/>
      <c r="F35065"/>
    </row>
    <row r="35066" spans="1:6" x14ac:dyDescent="0.25">
      <c r="A35066"/>
      <c r="B35066"/>
      <c r="C35066"/>
      <c r="E35066"/>
      <c r="F35066"/>
    </row>
    <row r="35067" spans="1:6" x14ac:dyDescent="0.25">
      <c r="A35067"/>
      <c r="B35067"/>
      <c r="C35067"/>
      <c r="E35067"/>
      <c r="F35067"/>
    </row>
    <row r="35068" spans="1:6" x14ac:dyDescent="0.25">
      <c r="A35068"/>
      <c r="B35068"/>
      <c r="C35068"/>
      <c r="E35068"/>
      <c r="F35068"/>
    </row>
    <row r="35069" spans="1:6" x14ac:dyDescent="0.25">
      <c r="A35069"/>
      <c r="B35069"/>
      <c r="C35069"/>
      <c r="E35069"/>
      <c r="F35069"/>
    </row>
    <row r="35070" spans="1:6" x14ac:dyDescent="0.25">
      <c r="A35070"/>
      <c r="B35070"/>
      <c r="C35070"/>
      <c r="E35070"/>
      <c r="F35070"/>
    </row>
    <row r="35071" spans="1:6" x14ac:dyDescent="0.25">
      <c r="A35071"/>
      <c r="B35071"/>
      <c r="C35071"/>
      <c r="E35071"/>
      <c r="F35071"/>
    </row>
    <row r="35072" spans="1:6" x14ac:dyDescent="0.25">
      <c r="A35072"/>
      <c r="B35072"/>
      <c r="C35072"/>
      <c r="E35072"/>
      <c r="F35072"/>
    </row>
    <row r="35073" spans="1:6" x14ac:dyDescent="0.25">
      <c r="A35073"/>
      <c r="B35073"/>
      <c r="C35073"/>
      <c r="E35073"/>
      <c r="F35073"/>
    </row>
    <row r="35074" spans="1:6" x14ac:dyDescent="0.25">
      <c r="A35074"/>
      <c r="B35074"/>
      <c r="C35074"/>
      <c r="E35074"/>
      <c r="F35074"/>
    </row>
    <row r="35075" spans="1:6" x14ac:dyDescent="0.25">
      <c r="A35075"/>
      <c r="B35075"/>
      <c r="C35075"/>
      <c r="E35075"/>
      <c r="F35075"/>
    </row>
    <row r="35076" spans="1:6" x14ac:dyDescent="0.25">
      <c r="A35076"/>
      <c r="B35076"/>
      <c r="C35076"/>
      <c r="E35076"/>
      <c r="F35076"/>
    </row>
    <row r="35077" spans="1:6" x14ac:dyDescent="0.25">
      <c r="A35077"/>
      <c r="B35077"/>
      <c r="C35077"/>
      <c r="E35077"/>
      <c r="F35077"/>
    </row>
    <row r="35078" spans="1:6" x14ac:dyDescent="0.25">
      <c r="A35078"/>
      <c r="B35078"/>
      <c r="C35078"/>
      <c r="E35078"/>
      <c r="F35078"/>
    </row>
    <row r="35079" spans="1:6" x14ac:dyDescent="0.25">
      <c r="A35079"/>
      <c r="B35079"/>
      <c r="C35079"/>
      <c r="E35079"/>
      <c r="F35079"/>
    </row>
    <row r="35080" spans="1:6" x14ac:dyDescent="0.25">
      <c r="A35080"/>
      <c r="B35080"/>
      <c r="C35080"/>
      <c r="E35080"/>
      <c r="F35080"/>
    </row>
    <row r="35081" spans="1:6" x14ac:dyDescent="0.25">
      <c r="A35081"/>
      <c r="B35081"/>
      <c r="C35081"/>
      <c r="E35081"/>
      <c r="F35081"/>
    </row>
    <row r="35082" spans="1:6" x14ac:dyDescent="0.25">
      <c r="A35082"/>
      <c r="B35082"/>
      <c r="C35082"/>
      <c r="E35082"/>
      <c r="F35082"/>
    </row>
    <row r="35083" spans="1:6" x14ac:dyDescent="0.25">
      <c r="A35083"/>
      <c r="B35083"/>
      <c r="C35083"/>
      <c r="E35083"/>
      <c r="F35083"/>
    </row>
    <row r="35084" spans="1:6" x14ac:dyDescent="0.25">
      <c r="A35084"/>
      <c r="B35084"/>
      <c r="C35084"/>
      <c r="E35084"/>
      <c r="F35084"/>
    </row>
    <row r="35085" spans="1:6" x14ac:dyDescent="0.25">
      <c r="A35085"/>
      <c r="B35085"/>
      <c r="C35085"/>
      <c r="E35085"/>
      <c r="F35085"/>
    </row>
    <row r="35086" spans="1:6" x14ac:dyDescent="0.25">
      <c r="A35086"/>
      <c r="B35086"/>
      <c r="C35086"/>
      <c r="E35086"/>
      <c r="F35086"/>
    </row>
    <row r="35087" spans="1:6" x14ac:dyDescent="0.25">
      <c r="A35087"/>
      <c r="B35087"/>
      <c r="C35087"/>
      <c r="E35087"/>
      <c r="F35087"/>
    </row>
    <row r="35088" spans="1:6" x14ac:dyDescent="0.25">
      <c r="A35088"/>
      <c r="B35088"/>
      <c r="C35088"/>
      <c r="E35088"/>
      <c r="F35088"/>
    </row>
    <row r="35089" spans="1:6" x14ac:dyDescent="0.25">
      <c r="A35089"/>
      <c r="B35089"/>
      <c r="C35089"/>
      <c r="E35089"/>
      <c r="F35089"/>
    </row>
    <row r="35090" spans="1:6" x14ac:dyDescent="0.25">
      <c r="A35090"/>
      <c r="B35090"/>
      <c r="C35090"/>
      <c r="E35090"/>
      <c r="F35090"/>
    </row>
    <row r="35091" spans="1:6" x14ac:dyDescent="0.25">
      <c r="A35091"/>
      <c r="B35091"/>
      <c r="C35091"/>
      <c r="E35091"/>
      <c r="F35091"/>
    </row>
    <row r="35092" spans="1:6" x14ac:dyDescent="0.25">
      <c r="A35092"/>
      <c r="B35092"/>
      <c r="C35092"/>
      <c r="E35092"/>
      <c r="F35092"/>
    </row>
    <row r="35093" spans="1:6" x14ac:dyDescent="0.25">
      <c r="A35093"/>
      <c r="B35093"/>
      <c r="C35093"/>
      <c r="E35093"/>
      <c r="F35093"/>
    </row>
    <row r="35094" spans="1:6" x14ac:dyDescent="0.25">
      <c r="A35094"/>
      <c r="B35094"/>
      <c r="C35094"/>
      <c r="E35094"/>
      <c r="F35094"/>
    </row>
    <row r="35095" spans="1:6" x14ac:dyDescent="0.25">
      <c r="A35095"/>
      <c r="B35095"/>
      <c r="C35095"/>
      <c r="E35095"/>
      <c r="F35095"/>
    </row>
    <row r="35096" spans="1:6" x14ac:dyDescent="0.25">
      <c r="A35096"/>
      <c r="B35096"/>
      <c r="C35096"/>
      <c r="E35096"/>
      <c r="F35096"/>
    </row>
    <row r="35097" spans="1:6" x14ac:dyDescent="0.25">
      <c r="A35097"/>
      <c r="B35097"/>
      <c r="C35097"/>
      <c r="E35097"/>
      <c r="F35097"/>
    </row>
    <row r="35098" spans="1:6" x14ac:dyDescent="0.25">
      <c r="A35098"/>
      <c r="B35098"/>
      <c r="C35098"/>
      <c r="E35098"/>
      <c r="F35098"/>
    </row>
    <row r="35099" spans="1:6" x14ac:dyDescent="0.25">
      <c r="A35099"/>
      <c r="B35099"/>
      <c r="C35099"/>
      <c r="E35099"/>
      <c r="F35099"/>
    </row>
    <row r="35100" spans="1:6" x14ac:dyDescent="0.25">
      <c r="A35100"/>
      <c r="B35100"/>
      <c r="C35100"/>
      <c r="E35100"/>
      <c r="F35100"/>
    </row>
    <row r="35101" spans="1:6" x14ac:dyDescent="0.25">
      <c r="A35101"/>
      <c r="B35101"/>
      <c r="C35101"/>
      <c r="E35101"/>
      <c r="F35101"/>
    </row>
    <row r="35102" spans="1:6" x14ac:dyDescent="0.25">
      <c r="A35102"/>
      <c r="B35102"/>
      <c r="C35102"/>
      <c r="E35102"/>
      <c r="F35102"/>
    </row>
    <row r="35103" spans="1:6" x14ac:dyDescent="0.25">
      <c r="A35103"/>
      <c r="B35103"/>
      <c r="C35103"/>
      <c r="E35103"/>
      <c r="F35103"/>
    </row>
    <row r="35104" spans="1:6" x14ac:dyDescent="0.25">
      <c r="A35104"/>
      <c r="B35104"/>
      <c r="C35104"/>
      <c r="E35104"/>
      <c r="F35104"/>
    </row>
    <row r="35105" spans="1:6" x14ac:dyDescent="0.25">
      <c r="A35105"/>
      <c r="B35105"/>
      <c r="C35105"/>
      <c r="E35105"/>
      <c r="F35105"/>
    </row>
    <row r="35106" spans="1:6" x14ac:dyDescent="0.25">
      <c r="A35106"/>
      <c r="B35106"/>
      <c r="C35106"/>
      <c r="E35106"/>
      <c r="F35106"/>
    </row>
    <row r="35107" spans="1:6" x14ac:dyDescent="0.25">
      <c r="A35107"/>
      <c r="B35107"/>
      <c r="C35107"/>
      <c r="E35107"/>
      <c r="F35107"/>
    </row>
    <row r="35108" spans="1:6" x14ac:dyDescent="0.25">
      <c r="A35108"/>
      <c r="B35108"/>
      <c r="C35108"/>
      <c r="E35108"/>
      <c r="F35108"/>
    </row>
    <row r="35109" spans="1:6" x14ac:dyDescent="0.25">
      <c r="A35109"/>
      <c r="B35109"/>
      <c r="C35109"/>
      <c r="E35109"/>
      <c r="F35109"/>
    </row>
    <row r="35110" spans="1:6" x14ac:dyDescent="0.25">
      <c r="A35110"/>
      <c r="B35110"/>
      <c r="C35110"/>
      <c r="E35110"/>
      <c r="F35110"/>
    </row>
    <row r="35111" spans="1:6" x14ac:dyDescent="0.25">
      <c r="A35111"/>
      <c r="B35111"/>
      <c r="C35111"/>
      <c r="E35111"/>
      <c r="F35111"/>
    </row>
    <row r="35112" spans="1:6" x14ac:dyDescent="0.25">
      <c r="A35112"/>
      <c r="B35112"/>
      <c r="C35112"/>
      <c r="E35112"/>
      <c r="F35112"/>
    </row>
    <row r="35113" spans="1:6" x14ac:dyDescent="0.25">
      <c r="A35113"/>
      <c r="B35113"/>
      <c r="C35113"/>
      <c r="E35113"/>
      <c r="F35113"/>
    </row>
    <row r="35114" spans="1:6" x14ac:dyDescent="0.25">
      <c r="A35114"/>
      <c r="B35114"/>
      <c r="C35114"/>
      <c r="E35114"/>
      <c r="F35114"/>
    </row>
    <row r="35115" spans="1:6" x14ac:dyDescent="0.25">
      <c r="A35115"/>
      <c r="B35115"/>
      <c r="C35115"/>
      <c r="E35115"/>
      <c r="F35115"/>
    </row>
    <row r="35116" spans="1:6" x14ac:dyDescent="0.25">
      <c r="A35116"/>
      <c r="B35116"/>
      <c r="C35116"/>
      <c r="E35116"/>
      <c r="F35116"/>
    </row>
    <row r="35117" spans="1:6" x14ac:dyDescent="0.25">
      <c r="A35117"/>
      <c r="B35117"/>
      <c r="C35117"/>
      <c r="E35117"/>
      <c r="F35117"/>
    </row>
    <row r="35118" spans="1:6" x14ac:dyDescent="0.25">
      <c r="A35118"/>
      <c r="B35118"/>
      <c r="C35118"/>
      <c r="E35118"/>
      <c r="F35118"/>
    </row>
    <row r="35119" spans="1:6" x14ac:dyDescent="0.25">
      <c r="A35119"/>
      <c r="B35119"/>
      <c r="C35119"/>
      <c r="E35119"/>
      <c r="F35119"/>
    </row>
    <row r="35120" spans="1:6" x14ac:dyDescent="0.25">
      <c r="A35120"/>
      <c r="B35120"/>
      <c r="C35120"/>
      <c r="E35120"/>
      <c r="F35120"/>
    </row>
    <row r="35121" spans="1:6" x14ac:dyDescent="0.25">
      <c r="A35121"/>
      <c r="B35121"/>
      <c r="C35121"/>
      <c r="E35121"/>
      <c r="F35121"/>
    </row>
    <row r="35122" spans="1:6" x14ac:dyDescent="0.25">
      <c r="A35122"/>
      <c r="B35122"/>
      <c r="C35122"/>
      <c r="E35122"/>
      <c r="F35122"/>
    </row>
    <row r="35123" spans="1:6" x14ac:dyDescent="0.25">
      <c r="A35123"/>
      <c r="B35123"/>
      <c r="C35123"/>
      <c r="E35123"/>
      <c r="F35123"/>
    </row>
    <row r="35124" spans="1:6" x14ac:dyDescent="0.25">
      <c r="A35124"/>
      <c r="B35124"/>
      <c r="C35124"/>
      <c r="E35124"/>
      <c r="F35124"/>
    </row>
    <row r="35125" spans="1:6" x14ac:dyDescent="0.25">
      <c r="A35125"/>
      <c r="B35125"/>
      <c r="C35125"/>
      <c r="E35125"/>
      <c r="F35125"/>
    </row>
    <row r="35126" spans="1:6" x14ac:dyDescent="0.25">
      <c r="A35126"/>
      <c r="B35126"/>
      <c r="C35126"/>
      <c r="E35126"/>
      <c r="F35126"/>
    </row>
    <row r="35127" spans="1:6" x14ac:dyDescent="0.25">
      <c r="A35127"/>
      <c r="B35127"/>
      <c r="C35127"/>
      <c r="E35127"/>
      <c r="F35127"/>
    </row>
    <row r="35128" spans="1:6" x14ac:dyDescent="0.25">
      <c r="A35128"/>
      <c r="B35128"/>
      <c r="C35128"/>
      <c r="E35128"/>
      <c r="F35128"/>
    </row>
    <row r="35129" spans="1:6" x14ac:dyDescent="0.25">
      <c r="A35129"/>
      <c r="B35129"/>
      <c r="C35129"/>
      <c r="E35129"/>
      <c r="F35129"/>
    </row>
    <row r="35130" spans="1:6" x14ac:dyDescent="0.25">
      <c r="A35130"/>
      <c r="B35130"/>
      <c r="C35130"/>
      <c r="E35130"/>
      <c r="F35130"/>
    </row>
    <row r="35131" spans="1:6" x14ac:dyDescent="0.25">
      <c r="A35131"/>
      <c r="B35131"/>
      <c r="C35131"/>
      <c r="E35131"/>
      <c r="F35131"/>
    </row>
    <row r="35132" spans="1:6" x14ac:dyDescent="0.25">
      <c r="A35132"/>
      <c r="B35132"/>
      <c r="C35132"/>
      <c r="E35132"/>
      <c r="F35132"/>
    </row>
    <row r="35133" spans="1:6" x14ac:dyDescent="0.25">
      <c r="A35133"/>
      <c r="B35133"/>
      <c r="C35133"/>
      <c r="E35133"/>
      <c r="F35133"/>
    </row>
    <row r="35134" spans="1:6" x14ac:dyDescent="0.25">
      <c r="A35134"/>
      <c r="B35134"/>
      <c r="C35134"/>
      <c r="E35134"/>
      <c r="F35134"/>
    </row>
    <row r="35135" spans="1:6" x14ac:dyDescent="0.25">
      <c r="A35135"/>
      <c r="B35135"/>
      <c r="C35135"/>
      <c r="E35135"/>
      <c r="F35135"/>
    </row>
    <row r="35136" spans="1:6" x14ac:dyDescent="0.25">
      <c r="A35136"/>
      <c r="B35136"/>
      <c r="C35136"/>
      <c r="E35136"/>
      <c r="F35136"/>
    </row>
    <row r="35137" spans="1:6" x14ac:dyDescent="0.25">
      <c r="A35137"/>
      <c r="B35137"/>
      <c r="C35137"/>
      <c r="E35137"/>
      <c r="F35137"/>
    </row>
    <row r="35138" spans="1:6" x14ac:dyDescent="0.25">
      <c r="A35138"/>
      <c r="B35138"/>
      <c r="C35138"/>
      <c r="E35138"/>
      <c r="F35138"/>
    </row>
    <row r="35139" spans="1:6" x14ac:dyDescent="0.25">
      <c r="A35139"/>
      <c r="B35139"/>
      <c r="C35139"/>
      <c r="E35139"/>
      <c r="F35139"/>
    </row>
    <row r="35140" spans="1:6" x14ac:dyDescent="0.25">
      <c r="A35140"/>
      <c r="B35140"/>
      <c r="C35140"/>
      <c r="E35140"/>
      <c r="F35140"/>
    </row>
    <row r="35141" spans="1:6" x14ac:dyDescent="0.25">
      <c r="A35141"/>
      <c r="B35141"/>
      <c r="C35141"/>
      <c r="E35141"/>
      <c r="F35141"/>
    </row>
    <row r="35142" spans="1:6" x14ac:dyDescent="0.25">
      <c r="A35142"/>
      <c r="B35142"/>
      <c r="C35142"/>
      <c r="E35142"/>
      <c r="F35142"/>
    </row>
    <row r="35143" spans="1:6" x14ac:dyDescent="0.25">
      <c r="A35143"/>
      <c r="B35143"/>
      <c r="C35143"/>
      <c r="E35143"/>
      <c r="F35143"/>
    </row>
    <row r="35144" spans="1:6" x14ac:dyDescent="0.25">
      <c r="A35144"/>
      <c r="B35144"/>
      <c r="C35144"/>
      <c r="E35144"/>
      <c r="F35144"/>
    </row>
    <row r="35145" spans="1:6" x14ac:dyDescent="0.25">
      <c r="A35145"/>
      <c r="B35145"/>
      <c r="C35145"/>
      <c r="E35145"/>
      <c r="F35145"/>
    </row>
    <row r="35146" spans="1:6" x14ac:dyDescent="0.25">
      <c r="A35146"/>
      <c r="B35146"/>
      <c r="C35146"/>
      <c r="E35146"/>
      <c r="F35146"/>
    </row>
    <row r="35147" spans="1:6" x14ac:dyDescent="0.25">
      <c r="A35147"/>
      <c r="B35147"/>
      <c r="C35147"/>
      <c r="E35147"/>
      <c r="F35147"/>
    </row>
    <row r="35148" spans="1:6" x14ac:dyDescent="0.25">
      <c r="A35148"/>
      <c r="B35148"/>
      <c r="C35148"/>
      <c r="E35148"/>
      <c r="F35148"/>
    </row>
    <row r="35149" spans="1:6" x14ac:dyDescent="0.25">
      <c r="A35149"/>
      <c r="B35149"/>
      <c r="C35149"/>
      <c r="E35149"/>
      <c r="F35149"/>
    </row>
    <row r="35150" spans="1:6" x14ac:dyDescent="0.25">
      <c r="A35150"/>
      <c r="B35150"/>
      <c r="C35150"/>
      <c r="E35150"/>
      <c r="F35150"/>
    </row>
    <row r="35151" spans="1:6" x14ac:dyDescent="0.25">
      <c r="A35151"/>
      <c r="B35151"/>
      <c r="C35151"/>
      <c r="E35151"/>
      <c r="F35151"/>
    </row>
    <row r="35152" spans="1:6" x14ac:dyDescent="0.25">
      <c r="A35152"/>
      <c r="B35152"/>
      <c r="C35152"/>
      <c r="E35152"/>
      <c r="F35152"/>
    </row>
    <row r="35153" spans="1:6" x14ac:dyDescent="0.25">
      <c r="A35153"/>
      <c r="B35153"/>
      <c r="C35153"/>
      <c r="E35153"/>
      <c r="F35153"/>
    </row>
    <row r="35154" spans="1:6" x14ac:dyDescent="0.25">
      <c r="A35154"/>
      <c r="B35154"/>
      <c r="C35154"/>
      <c r="E35154"/>
      <c r="F35154"/>
    </row>
    <row r="35155" spans="1:6" x14ac:dyDescent="0.25">
      <c r="A35155"/>
      <c r="B35155"/>
      <c r="C35155"/>
      <c r="E35155"/>
      <c r="F35155"/>
    </row>
    <row r="35156" spans="1:6" x14ac:dyDescent="0.25">
      <c r="A35156"/>
      <c r="B35156"/>
      <c r="C35156"/>
      <c r="E35156"/>
      <c r="F35156"/>
    </row>
    <row r="35157" spans="1:6" x14ac:dyDescent="0.25">
      <c r="A35157"/>
      <c r="B35157"/>
      <c r="C35157"/>
      <c r="E35157"/>
      <c r="F35157"/>
    </row>
    <row r="35158" spans="1:6" x14ac:dyDescent="0.25">
      <c r="A35158"/>
      <c r="B35158"/>
      <c r="C35158"/>
      <c r="E35158"/>
      <c r="F35158"/>
    </row>
    <row r="35159" spans="1:6" x14ac:dyDescent="0.25">
      <c r="A35159"/>
      <c r="B35159"/>
      <c r="C35159"/>
      <c r="E35159"/>
      <c r="F35159"/>
    </row>
    <row r="35160" spans="1:6" x14ac:dyDescent="0.25">
      <c r="A35160"/>
      <c r="B35160"/>
      <c r="C35160"/>
      <c r="E35160"/>
      <c r="F35160"/>
    </row>
    <row r="35161" spans="1:6" x14ac:dyDescent="0.25">
      <c r="A35161"/>
      <c r="B35161"/>
      <c r="C35161"/>
      <c r="E35161"/>
      <c r="F35161"/>
    </row>
    <row r="35162" spans="1:6" x14ac:dyDescent="0.25">
      <c r="A35162"/>
      <c r="B35162"/>
      <c r="C35162"/>
      <c r="E35162"/>
      <c r="F35162"/>
    </row>
    <row r="35163" spans="1:6" x14ac:dyDescent="0.25">
      <c r="A35163"/>
      <c r="B35163"/>
      <c r="C35163"/>
      <c r="E35163"/>
      <c r="F35163"/>
    </row>
    <row r="35164" spans="1:6" x14ac:dyDescent="0.25">
      <c r="A35164"/>
      <c r="B35164"/>
      <c r="C35164"/>
      <c r="E35164"/>
      <c r="F35164"/>
    </row>
    <row r="35165" spans="1:6" x14ac:dyDescent="0.25">
      <c r="A35165"/>
      <c r="B35165"/>
      <c r="C35165"/>
      <c r="E35165"/>
      <c r="F35165"/>
    </row>
    <row r="35166" spans="1:6" x14ac:dyDescent="0.25">
      <c r="A35166"/>
      <c r="B35166"/>
      <c r="C35166"/>
      <c r="E35166"/>
      <c r="F35166"/>
    </row>
    <row r="35167" spans="1:6" x14ac:dyDescent="0.25">
      <c r="A35167"/>
      <c r="B35167"/>
      <c r="C35167"/>
      <c r="E35167"/>
      <c r="F35167"/>
    </row>
    <row r="35168" spans="1:6" x14ac:dyDescent="0.25">
      <c r="A35168"/>
      <c r="B35168"/>
      <c r="C35168"/>
      <c r="E35168"/>
      <c r="F35168"/>
    </row>
    <row r="35169" spans="1:6" x14ac:dyDescent="0.25">
      <c r="A35169"/>
      <c r="B35169"/>
      <c r="C35169"/>
      <c r="E35169"/>
      <c r="F35169"/>
    </row>
    <row r="35170" spans="1:6" x14ac:dyDescent="0.25">
      <c r="A35170"/>
      <c r="B35170"/>
      <c r="C35170"/>
      <c r="E35170"/>
      <c r="F35170"/>
    </row>
    <row r="35171" spans="1:6" x14ac:dyDescent="0.25">
      <c r="A35171"/>
      <c r="B35171"/>
      <c r="C35171"/>
      <c r="E35171"/>
      <c r="F35171"/>
    </row>
    <row r="35172" spans="1:6" x14ac:dyDescent="0.25">
      <c r="A35172"/>
      <c r="B35172"/>
      <c r="C35172"/>
      <c r="E35172"/>
      <c r="F35172"/>
    </row>
    <row r="35173" spans="1:6" x14ac:dyDescent="0.25">
      <c r="A35173"/>
      <c r="B35173"/>
      <c r="C35173"/>
      <c r="E35173"/>
      <c r="F35173"/>
    </row>
    <row r="35174" spans="1:6" x14ac:dyDescent="0.25">
      <c r="A35174"/>
      <c r="B35174"/>
      <c r="C35174"/>
      <c r="E35174"/>
      <c r="F35174"/>
    </row>
    <row r="35175" spans="1:6" x14ac:dyDescent="0.25">
      <c r="A35175"/>
      <c r="B35175"/>
      <c r="C35175"/>
      <c r="E35175"/>
      <c r="F35175"/>
    </row>
    <row r="35176" spans="1:6" x14ac:dyDescent="0.25">
      <c r="A35176"/>
      <c r="B35176"/>
      <c r="C35176"/>
      <c r="E35176"/>
      <c r="F35176"/>
    </row>
    <row r="35177" spans="1:6" x14ac:dyDescent="0.25">
      <c r="A35177"/>
      <c r="B35177"/>
      <c r="C35177"/>
      <c r="E35177"/>
      <c r="F35177"/>
    </row>
    <row r="35178" spans="1:6" x14ac:dyDescent="0.25">
      <c r="A35178"/>
      <c r="B35178"/>
      <c r="C35178"/>
      <c r="E35178"/>
      <c r="F35178"/>
    </row>
    <row r="35179" spans="1:6" x14ac:dyDescent="0.25">
      <c r="A35179"/>
      <c r="B35179"/>
      <c r="C35179"/>
      <c r="E35179"/>
      <c r="F35179"/>
    </row>
    <row r="35180" spans="1:6" x14ac:dyDescent="0.25">
      <c r="A35180"/>
      <c r="B35180"/>
      <c r="C35180"/>
      <c r="E35180"/>
      <c r="F35180"/>
    </row>
    <row r="35181" spans="1:6" x14ac:dyDescent="0.25">
      <c r="A35181"/>
      <c r="B35181"/>
      <c r="C35181"/>
      <c r="E35181"/>
      <c r="F35181"/>
    </row>
    <row r="35182" spans="1:6" x14ac:dyDescent="0.25">
      <c r="A35182"/>
      <c r="B35182"/>
      <c r="C35182"/>
      <c r="E35182"/>
      <c r="F35182"/>
    </row>
    <row r="35183" spans="1:6" x14ac:dyDescent="0.25">
      <c r="A35183"/>
      <c r="B35183"/>
      <c r="C35183"/>
      <c r="E35183"/>
      <c r="F35183"/>
    </row>
    <row r="35184" spans="1:6" x14ac:dyDescent="0.25">
      <c r="A35184"/>
      <c r="B35184"/>
      <c r="C35184"/>
      <c r="E35184"/>
      <c r="F35184"/>
    </row>
    <row r="35185" spans="1:6" x14ac:dyDescent="0.25">
      <c r="A35185"/>
      <c r="B35185"/>
      <c r="C35185"/>
      <c r="E35185"/>
      <c r="F35185"/>
    </row>
    <row r="35186" spans="1:6" x14ac:dyDescent="0.25">
      <c r="A35186"/>
      <c r="B35186"/>
      <c r="C35186"/>
      <c r="E35186"/>
      <c r="F35186"/>
    </row>
    <row r="35187" spans="1:6" x14ac:dyDescent="0.25">
      <c r="A35187"/>
      <c r="B35187"/>
      <c r="C35187"/>
      <c r="E35187"/>
      <c r="F35187"/>
    </row>
    <row r="35188" spans="1:6" x14ac:dyDescent="0.25">
      <c r="A35188"/>
      <c r="B35188"/>
      <c r="C35188"/>
      <c r="E35188"/>
      <c r="F35188"/>
    </row>
    <row r="35189" spans="1:6" x14ac:dyDescent="0.25">
      <c r="A35189"/>
      <c r="B35189"/>
      <c r="C35189"/>
      <c r="E35189"/>
      <c r="F35189"/>
    </row>
    <row r="35190" spans="1:6" x14ac:dyDescent="0.25">
      <c r="A35190"/>
      <c r="B35190"/>
      <c r="C35190"/>
      <c r="E35190"/>
      <c r="F35190"/>
    </row>
    <row r="35191" spans="1:6" x14ac:dyDescent="0.25">
      <c r="A35191"/>
      <c r="B35191"/>
      <c r="C35191"/>
      <c r="E35191"/>
      <c r="F35191"/>
    </row>
    <row r="35192" spans="1:6" x14ac:dyDescent="0.25">
      <c r="A35192"/>
      <c r="B35192"/>
      <c r="C35192"/>
      <c r="E35192"/>
      <c r="F35192"/>
    </row>
    <row r="35193" spans="1:6" x14ac:dyDescent="0.25">
      <c r="A35193"/>
      <c r="B35193"/>
      <c r="C35193"/>
      <c r="E35193"/>
      <c r="F35193"/>
    </row>
    <row r="35194" spans="1:6" x14ac:dyDescent="0.25">
      <c r="A35194"/>
      <c r="B35194"/>
      <c r="C35194"/>
      <c r="E35194"/>
      <c r="F35194"/>
    </row>
    <row r="35195" spans="1:6" x14ac:dyDescent="0.25">
      <c r="A35195"/>
      <c r="B35195"/>
      <c r="C35195"/>
      <c r="E35195"/>
      <c r="F35195"/>
    </row>
    <row r="35196" spans="1:6" x14ac:dyDescent="0.25">
      <c r="A35196"/>
      <c r="B35196"/>
      <c r="C35196"/>
      <c r="E35196"/>
      <c r="F35196"/>
    </row>
    <row r="35197" spans="1:6" x14ac:dyDescent="0.25">
      <c r="A35197"/>
      <c r="B35197"/>
      <c r="C35197"/>
      <c r="E35197"/>
      <c r="F35197"/>
    </row>
    <row r="35198" spans="1:6" x14ac:dyDescent="0.25">
      <c r="A35198"/>
      <c r="B35198"/>
      <c r="C35198"/>
      <c r="E35198"/>
      <c r="F35198"/>
    </row>
    <row r="35199" spans="1:6" x14ac:dyDescent="0.25">
      <c r="A35199"/>
      <c r="B35199"/>
      <c r="C35199"/>
      <c r="E35199"/>
      <c r="F35199"/>
    </row>
    <row r="35200" spans="1:6" x14ac:dyDescent="0.25">
      <c r="A35200"/>
      <c r="B35200"/>
      <c r="C35200"/>
      <c r="E35200"/>
      <c r="F35200"/>
    </row>
    <row r="35201" spans="1:6" x14ac:dyDescent="0.25">
      <c r="A35201"/>
      <c r="B35201"/>
      <c r="C35201"/>
      <c r="E35201"/>
      <c r="F35201"/>
    </row>
    <row r="35202" spans="1:6" x14ac:dyDescent="0.25">
      <c r="A35202"/>
      <c r="B35202"/>
      <c r="C35202"/>
      <c r="E35202"/>
      <c r="F35202"/>
    </row>
    <row r="35203" spans="1:6" x14ac:dyDescent="0.25">
      <c r="A35203"/>
      <c r="B35203"/>
      <c r="C35203"/>
      <c r="E35203"/>
      <c r="F35203"/>
    </row>
    <row r="35204" spans="1:6" x14ac:dyDescent="0.25">
      <c r="A35204"/>
      <c r="B35204"/>
      <c r="C35204"/>
      <c r="E35204"/>
      <c r="F35204"/>
    </row>
    <row r="35205" spans="1:6" x14ac:dyDescent="0.25">
      <c r="A35205"/>
      <c r="B35205"/>
      <c r="C35205"/>
      <c r="E35205"/>
      <c r="F35205"/>
    </row>
    <row r="35206" spans="1:6" x14ac:dyDescent="0.25">
      <c r="A35206"/>
      <c r="B35206"/>
      <c r="C35206"/>
      <c r="E35206"/>
      <c r="F35206"/>
    </row>
    <row r="35207" spans="1:6" x14ac:dyDescent="0.25">
      <c r="A35207"/>
      <c r="B35207"/>
      <c r="C35207"/>
      <c r="E35207"/>
      <c r="F35207"/>
    </row>
    <row r="35208" spans="1:6" x14ac:dyDescent="0.25">
      <c r="A35208"/>
      <c r="B35208"/>
      <c r="C35208"/>
      <c r="E35208"/>
      <c r="F35208"/>
    </row>
    <row r="35209" spans="1:6" x14ac:dyDescent="0.25">
      <c r="A35209"/>
      <c r="B35209"/>
      <c r="C35209"/>
      <c r="E35209"/>
      <c r="F35209"/>
    </row>
    <row r="35210" spans="1:6" x14ac:dyDescent="0.25">
      <c r="A35210"/>
      <c r="B35210"/>
      <c r="C35210"/>
      <c r="E35210"/>
      <c r="F35210"/>
    </row>
    <row r="35211" spans="1:6" x14ac:dyDescent="0.25">
      <c r="A35211"/>
      <c r="B35211"/>
      <c r="C35211"/>
      <c r="E35211"/>
      <c r="F35211"/>
    </row>
    <row r="35212" spans="1:6" x14ac:dyDescent="0.25">
      <c r="A35212"/>
      <c r="B35212"/>
      <c r="C35212"/>
      <c r="E35212"/>
      <c r="F35212"/>
    </row>
    <row r="35213" spans="1:6" x14ac:dyDescent="0.25">
      <c r="A35213"/>
      <c r="B35213"/>
      <c r="C35213"/>
      <c r="E35213"/>
      <c r="F35213"/>
    </row>
    <row r="35214" spans="1:6" x14ac:dyDescent="0.25">
      <c r="A35214"/>
      <c r="B35214"/>
      <c r="C35214"/>
      <c r="E35214"/>
      <c r="F35214"/>
    </row>
    <row r="35215" spans="1:6" x14ac:dyDescent="0.25">
      <c r="A35215"/>
      <c r="B35215"/>
      <c r="C35215"/>
      <c r="E35215"/>
      <c r="F35215"/>
    </row>
    <row r="35216" spans="1:6" x14ac:dyDescent="0.25">
      <c r="A35216"/>
      <c r="B35216"/>
      <c r="C35216"/>
      <c r="E35216"/>
      <c r="F35216"/>
    </row>
    <row r="35217" spans="1:6" x14ac:dyDescent="0.25">
      <c r="A35217"/>
      <c r="B35217"/>
      <c r="C35217"/>
      <c r="E35217"/>
      <c r="F35217"/>
    </row>
    <row r="35218" spans="1:6" x14ac:dyDescent="0.25">
      <c r="A35218"/>
      <c r="B35218"/>
      <c r="C35218"/>
      <c r="E35218"/>
      <c r="F35218"/>
    </row>
    <row r="35219" spans="1:6" x14ac:dyDescent="0.25">
      <c r="A35219"/>
      <c r="B35219"/>
      <c r="C35219"/>
      <c r="E35219"/>
      <c r="F35219"/>
    </row>
    <row r="35220" spans="1:6" x14ac:dyDescent="0.25">
      <c r="A35220"/>
      <c r="B35220"/>
      <c r="C35220"/>
      <c r="E35220"/>
      <c r="F35220"/>
    </row>
    <row r="35221" spans="1:6" x14ac:dyDescent="0.25">
      <c r="A35221"/>
      <c r="B35221"/>
      <c r="C35221"/>
      <c r="E35221"/>
      <c r="F35221"/>
    </row>
    <row r="35222" spans="1:6" x14ac:dyDescent="0.25">
      <c r="A35222"/>
      <c r="B35222"/>
      <c r="C35222"/>
      <c r="E35222"/>
      <c r="F35222"/>
    </row>
    <row r="35223" spans="1:6" x14ac:dyDescent="0.25">
      <c r="A35223"/>
      <c r="B35223"/>
      <c r="C35223"/>
      <c r="E35223"/>
      <c r="F35223"/>
    </row>
    <row r="35224" spans="1:6" x14ac:dyDescent="0.25">
      <c r="A35224"/>
      <c r="B35224"/>
      <c r="C35224"/>
      <c r="E35224"/>
      <c r="F35224"/>
    </row>
    <row r="35225" spans="1:6" x14ac:dyDescent="0.25">
      <c r="A35225"/>
      <c r="B35225"/>
      <c r="C35225"/>
      <c r="E35225"/>
      <c r="F35225"/>
    </row>
    <row r="35226" spans="1:6" x14ac:dyDescent="0.25">
      <c r="A35226"/>
      <c r="B35226"/>
      <c r="C35226"/>
      <c r="E35226"/>
      <c r="F35226"/>
    </row>
    <row r="35227" spans="1:6" x14ac:dyDescent="0.25">
      <c r="A35227"/>
      <c r="B35227"/>
      <c r="C35227"/>
      <c r="E35227"/>
      <c r="F35227"/>
    </row>
    <row r="35228" spans="1:6" x14ac:dyDescent="0.25">
      <c r="A35228"/>
      <c r="B35228"/>
      <c r="C35228"/>
      <c r="E35228"/>
      <c r="F35228"/>
    </row>
    <row r="35229" spans="1:6" x14ac:dyDescent="0.25">
      <c r="A35229"/>
      <c r="B35229"/>
      <c r="C35229"/>
      <c r="E35229"/>
      <c r="F35229"/>
    </row>
    <row r="35230" spans="1:6" x14ac:dyDescent="0.25">
      <c r="A35230"/>
      <c r="B35230"/>
      <c r="C35230"/>
      <c r="E35230"/>
      <c r="F35230"/>
    </row>
    <row r="35231" spans="1:6" x14ac:dyDescent="0.25">
      <c r="A35231"/>
      <c r="B35231"/>
      <c r="C35231"/>
      <c r="E35231"/>
      <c r="F35231"/>
    </row>
    <row r="35232" spans="1:6" x14ac:dyDescent="0.25">
      <c r="A35232"/>
      <c r="B35232"/>
      <c r="C35232"/>
      <c r="E35232"/>
      <c r="F35232"/>
    </row>
    <row r="35233" spans="1:6" x14ac:dyDescent="0.25">
      <c r="A35233"/>
      <c r="B35233"/>
      <c r="C35233"/>
      <c r="E35233"/>
      <c r="F35233"/>
    </row>
    <row r="35234" spans="1:6" x14ac:dyDescent="0.25">
      <c r="A35234"/>
      <c r="B35234"/>
      <c r="C35234"/>
      <c r="E35234"/>
      <c r="F35234"/>
    </row>
    <row r="35235" spans="1:6" x14ac:dyDescent="0.25">
      <c r="A35235"/>
      <c r="B35235"/>
      <c r="C35235"/>
      <c r="E35235"/>
      <c r="F35235"/>
    </row>
    <row r="35236" spans="1:6" x14ac:dyDescent="0.25">
      <c r="A35236"/>
      <c r="B35236"/>
      <c r="C35236"/>
      <c r="E35236"/>
      <c r="F35236"/>
    </row>
    <row r="35237" spans="1:6" x14ac:dyDescent="0.25">
      <c r="A35237"/>
      <c r="B35237"/>
      <c r="C35237"/>
      <c r="E35237"/>
      <c r="F35237"/>
    </row>
    <row r="35238" spans="1:6" x14ac:dyDescent="0.25">
      <c r="A35238"/>
      <c r="B35238"/>
      <c r="C35238"/>
      <c r="E35238"/>
      <c r="F35238"/>
    </row>
    <row r="35239" spans="1:6" x14ac:dyDescent="0.25">
      <c r="A35239"/>
      <c r="B35239"/>
      <c r="C35239"/>
      <c r="E35239"/>
      <c r="F35239"/>
    </row>
    <row r="35240" spans="1:6" x14ac:dyDescent="0.25">
      <c r="A35240"/>
      <c r="B35240"/>
      <c r="C35240"/>
      <c r="E35240"/>
      <c r="F35240"/>
    </row>
    <row r="35241" spans="1:6" x14ac:dyDescent="0.25">
      <c r="A35241"/>
      <c r="B35241"/>
      <c r="C35241"/>
      <c r="E35241"/>
      <c r="F35241"/>
    </row>
    <row r="35242" spans="1:6" x14ac:dyDescent="0.25">
      <c r="A35242"/>
      <c r="B35242"/>
      <c r="C35242"/>
      <c r="E35242"/>
      <c r="F35242"/>
    </row>
    <row r="35243" spans="1:6" x14ac:dyDescent="0.25">
      <c r="A35243"/>
      <c r="B35243"/>
      <c r="C35243"/>
      <c r="E35243"/>
      <c r="F35243"/>
    </row>
    <row r="35244" spans="1:6" x14ac:dyDescent="0.25">
      <c r="A35244"/>
      <c r="B35244"/>
      <c r="C35244"/>
      <c r="E35244"/>
      <c r="F35244"/>
    </row>
    <row r="35245" spans="1:6" x14ac:dyDescent="0.25">
      <c r="A35245"/>
      <c r="B35245"/>
      <c r="C35245"/>
      <c r="E35245"/>
      <c r="F35245"/>
    </row>
    <row r="35246" spans="1:6" x14ac:dyDescent="0.25">
      <c r="A35246"/>
      <c r="B35246"/>
      <c r="C35246"/>
      <c r="E35246"/>
      <c r="F35246"/>
    </row>
    <row r="35247" spans="1:6" x14ac:dyDescent="0.25">
      <c r="A35247"/>
      <c r="B35247"/>
      <c r="C35247"/>
      <c r="E35247"/>
      <c r="F35247"/>
    </row>
    <row r="35248" spans="1:6" x14ac:dyDescent="0.25">
      <c r="A35248"/>
      <c r="B35248"/>
      <c r="C35248"/>
      <c r="E35248"/>
      <c r="F35248"/>
    </row>
    <row r="35249" spans="1:6" x14ac:dyDescent="0.25">
      <c r="A35249"/>
      <c r="B35249"/>
      <c r="C35249"/>
      <c r="E35249"/>
      <c r="F35249"/>
    </row>
    <row r="35250" spans="1:6" x14ac:dyDescent="0.25">
      <c r="A35250"/>
      <c r="B35250"/>
      <c r="C35250"/>
      <c r="E35250"/>
      <c r="F35250"/>
    </row>
    <row r="35251" spans="1:6" x14ac:dyDescent="0.25">
      <c r="A35251"/>
      <c r="B35251"/>
      <c r="C35251"/>
      <c r="E35251"/>
      <c r="F35251"/>
    </row>
    <row r="35252" spans="1:6" x14ac:dyDescent="0.25">
      <c r="A35252"/>
      <c r="B35252"/>
      <c r="C35252"/>
      <c r="E35252"/>
      <c r="F35252"/>
    </row>
    <row r="35253" spans="1:6" x14ac:dyDescent="0.25">
      <c r="A35253"/>
      <c r="B35253"/>
      <c r="C35253"/>
      <c r="E35253"/>
      <c r="F35253"/>
    </row>
    <row r="35254" spans="1:6" x14ac:dyDescent="0.25">
      <c r="A35254"/>
      <c r="B35254"/>
      <c r="C35254"/>
      <c r="E35254"/>
      <c r="F35254"/>
    </row>
    <row r="35255" spans="1:6" x14ac:dyDescent="0.25">
      <c r="A35255"/>
      <c r="B35255"/>
      <c r="C35255"/>
      <c r="E35255"/>
      <c r="F35255"/>
    </row>
    <row r="35256" spans="1:6" x14ac:dyDescent="0.25">
      <c r="A35256"/>
      <c r="B35256"/>
      <c r="C35256"/>
      <c r="E35256"/>
      <c r="F35256"/>
    </row>
    <row r="35257" spans="1:6" x14ac:dyDescent="0.25">
      <c r="A35257"/>
      <c r="B35257"/>
      <c r="C35257"/>
      <c r="E35257"/>
      <c r="F35257"/>
    </row>
    <row r="35258" spans="1:6" x14ac:dyDescent="0.25">
      <c r="A35258"/>
      <c r="B35258"/>
      <c r="C35258"/>
      <c r="E35258"/>
      <c r="F35258"/>
    </row>
    <row r="35259" spans="1:6" x14ac:dyDescent="0.25">
      <c r="A35259"/>
      <c r="B35259"/>
      <c r="C35259"/>
      <c r="E35259"/>
      <c r="F35259"/>
    </row>
    <row r="35260" spans="1:6" x14ac:dyDescent="0.25">
      <c r="A35260"/>
      <c r="B35260"/>
      <c r="C35260"/>
      <c r="E35260"/>
      <c r="F35260"/>
    </row>
    <row r="35261" spans="1:6" x14ac:dyDescent="0.25">
      <c r="A35261"/>
      <c r="B35261"/>
      <c r="C35261"/>
      <c r="E35261"/>
      <c r="F35261"/>
    </row>
    <row r="35262" spans="1:6" x14ac:dyDescent="0.25">
      <c r="A35262"/>
      <c r="B35262"/>
      <c r="C35262"/>
      <c r="E35262"/>
      <c r="F35262"/>
    </row>
    <row r="35263" spans="1:6" x14ac:dyDescent="0.25">
      <c r="A35263"/>
      <c r="B35263"/>
      <c r="C35263"/>
      <c r="E35263"/>
      <c r="F35263"/>
    </row>
    <row r="35264" spans="1:6" x14ac:dyDescent="0.25">
      <c r="A35264"/>
      <c r="B35264"/>
      <c r="C35264"/>
      <c r="E35264"/>
      <c r="F35264"/>
    </row>
    <row r="35265" spans="1:6" x14ac:dyDescent="0.25">
      <c r="A35265"/>
      <c r="B35265"/>
      <c r="C35265"/>
      <c r="E35265"/>
      <c r="F35265"/>
    </row>
    <row r="35266" spans="1:6" x14ac:dyDescent="0.25">
      <c r="A35266"/>
      <c r="B35266"/>
      <c r="C35266"/>
      <c r="E35266"/>
      <c r="F35266"/>
    </row>
    <row r="35267" spans="1:6" x14ac:dyDescent="0.25">
      <c r="A35267"/>
      <c r="B35267"/>
      <c r="C35267"/>
      <c r="E35267"/>
      <c r="F35267"/>
    </row>
    <row r="35268" spans="1:6" x14ac:dyDescent="0.25">
      <c r="A35268"/>
      <c r="B35268"/>
      <c r="C35268"/>
      <c r="E35268"/>
      <c r="F35268"/>
    </row>
    <row r="35269" spans="1:6" x14ac:dyDescent="0.25">
      <c r="A35269"/>
      <c r="B35269"/>
      <c r="C35269"/>
      <c r="E35269"/>
      <c r="F35269"/>
    </row>
    <row r="35270" spans="1:6" x14ac:dyDescent="0.25">
      <c r="A35270"/>
      <c r="B35270"/>
      <c r="C35270"/>
      <c r="E35270"/>
      <c r="F35270"/>
    </row>
    <row r="35271" spans="1:6" x14ac:dyDescent="0.25">
      <c r="A35271"/>
      <c r="B35271"/>
      <c r="C35271"/>
      <c r="E35271"/>
      <c r="F35271"/>
    </row>
    <row r="35272" spans="1:6" x14ac:dyDescent="0.25">
      <c r="A35272"/>
      <c r="B35272"/>
      <c r="C35272"/>
      <c r="E35272"/>
      <c r="F35272"/>
    </row>
    <row r="35273" spans="1:6" x14ac:dyDescent="0.25">
      <c r="A35273"/>
      <c r="B35273"/>
      <c r="C35273"/>
      <c r="E35273"/>
      <c r="F35273"/>
    </row>
    <row r="35274" spans="1:6" x14ac:dyDescent="0.25">
      <c r="A35274"/>
      <c r="B35274"/>
      <c r="C35274"/>
      <c r="E35274"/>
      <c r="F35274"/>
    </row>
    <row r="35275" spans="1:6" x14ac:dyDescent="0.25">
      <c r="A35275"/>
      <c r="B35275"/>
      <c r="C35275"/>
      <c r="E35275"/>
      <c r="F35275"/>
    </row>
    <row r="35276" spans="1:6" x14ac:dyDescent="0.25">
      <c r="A35276"/>
      <c r="B35276"/>
      <c r="C35276"/>
      <c r="E35276"/>
      <c r="F35276"/>
    </row>
    <row r="35277" spans="1:6" x14ac:dyDescent="0.25">
      <c r="A35277"/>
      <c r="B35277"/>
      <c r="C35277"/>
      <c r="E35277"/>
      <c r="F35277"/>
    </row>
    <row r="35278" spans="1:6" x14ac:dyDescent="0.25">
      <c r="A35278"/>
      <c r="B35278"/>
      <c r="C35278"/>
      <c r="E35278"/>
      <c r="F35278"/>
    </row>
    <row r="35279" spans="1:6" x14ac:dyDescent="0.25">
      <c r="A35279"/>
      <c r="B35279"/>
      <c r="C35279"/>
      <c r="E35279"/>
      <c r="F35279"/>
    </row>
    <row r="35280" spans="1:6" x14ac:dyDescent="0.25">
      <c r="A35280"/>
      <c r="B35280"/>
      <c r="C35280"/>
      <c r="E35280"/>
      <c r="F35280"/>
    </row>
    <row r="35281" spans="1:6" x14ac:dyDescent="0.25">
      <c r="A35281"/>
      <c r="B35281"/>
      <c r="C35281"/>
      <c r="E35281"/>
      <c r="F35281"/>
    </row>
    <row r="35282" spans="1:6" x14ac:dyDescent="0.25">
      <c r="A35282"/>
      <c r="B35282"/>
      <c r="C35282"/>
      <c r="E35282"/>
      <c r="F35282"/>
    </row>
    <row r="35283" spans="1:6" x14ac:dyDescent="0.25">
      <c r="A35283"/>
      <c r="B35283"/>
      <c r="C35283"/>
      <c r="E35283"/>
      <c r="F35283"/>
    </row>
    <row r="35284" spans="1:6" x14ac:dyDescent="0.25">
      <c r="A35284"/>
      <c r="B35284"/>
      <c r="C35284"/>
      <c r="E35284"/>
      <c r="F35284"/>
    </row>
    <row r="35285" spans="1:6" x14ac:dyDescent="0.25">
      <c r="A35285"/>
      <c r="B35285"/>
      <c r="C35285"/>
      <c r="E35285"/>
      <c r="F35285"/>
    </row>
    <row r="35286" spans="1:6" x14ac:dyDescent="0.25">
      <c r="A35286"/>
      <c r="B35286"/>
      <c r="C35286"/>
      <c r="E35286"/>
      <c r="F35286"/>
    </row>
    <row r="35287" spans="1:6" x14ac:dyDescent="0.25">
      <c r="A35287"/>
      <c r="B35287"/>
      <c r="C35287"/>
      <c r="E35287"/>
      <c r="F35287"/>
    </row>
    <row r="35288" spans="1:6" x14ac:dyDescent="0.25">
      <c r="A35288"/>
      <c r="B35288"/>
      <c r="C35288"/>
      <c r="E35288"/>
      <c r="F35288"/>
    </row>
    <row r="35289" spans="1:6" x14ac:dyDescent="0.25">
      <c r="A35289"/>
      <c r="B35289"/>
      <c r="C35289"/>
      <c r="E35289"/>
      <c r="F35289"/>
    </row>
    <row r="35290" spans="1:6" x14ac:dyDescent="0.25">
      <c r="A35290"/>
      <c r="B35290"/>
      <c r="C35290"/>
      <c r="E35290"/>
      <c r="F35290"/>
    </row>
    <row r="35291" spans="1:6" x14ac:dyDescent="0.25">
      <c r="A35291"/>
      <c r="B35291"/>
      <c r="C35291"/>
      <c r="E35291"/>
      <c r="F35291"/>
    </row>
    <row r="35292" spans="1:6" x14ac:dyDescent="0.25">
      <c r="A35292"/>
      <c r="B35292"/>
      <c r="C35292"/>
      <c r="E35292"/>
      <c r="F35292"/>
    </row>
    <row r="35293" spans="1:6" x14ac:dyDescent="0.25">
      <c r="A35293"/>
      <c r="B35293"/>
      <c r="C35293"/>
      <c r="E35293"/>
      <c r="F35293"/>
    </row>
    <row r="35294" spans="1:6" x14ac:dyDescent="0.25">
      <c r="A35294"/>
      <c r="B35294"/>
      <c r="C35294"/>
      <c r="E35294"/>
      <c r="F35294"/>
    </row>
    <row r="35295" spans="1:6" x14ac:dyDescent="0.25">
      <c r="A35295"/>
      <c r="B35295"/>
      <c r="C35295"/>
      <c r="E35295"/>
      <c r="F35295"/>
    </row>
    <row r="35296" spans="1:6" x14ac:dyDescent="0.25">
      <c r="A35296"/>
      <c r="B35296"/>
      <c r="C35296"/>
      <c r="E35296"/>
      <c r="F35296"/>
    </row>
    <row r="35297" spans="1:6" x14ac:dyDescent="0.25">
      <c r="A35297"/>
      <c r="B35297"/>
      <c r="C35297"/>
      <c r="E35297"/>
      <c r="F35297"/>
    </row>
    <row r="35298" spans="1:6" x14ac:dyDescent="0.25">
      <c r="A35298"/>
      <c r="B35298"/>
      <c r="C35298"/>
      <c r="E35298"/>
      <c r="F35298"/>
    </row>
    <row r="35299" spans="1:6" x14ac:dyDescent="0.25">
      <c r="A35299"/>
      <c r="B35299"/>
      <c r="C35299"/>
      <c r="E35299"/>
      <c r="F35299"/>
    </row>
    <row r="35300" spans="1:6" x14ac:dyDescent="0.25">
      <c r="A35300"/>
      <c r="B35300"/>
      <c r="C35300"/>
      <c r="E35300"/>
      <c r="F35300"/>
    </row>
    <row r="35301" spans="1:6" x14ac:dyDescent="0.25">
      <c r="A35301"/>
      <c r="B35301"/>
      <c r="C35301"/>
      <c r="E35301"/>
      <c r="F35301"/>
    </row>
    <row r="35302" spans="1:6" x14ac:dyDescent="0.25">
      <c r="A35302"/>
      <c r="B35302"/>
      <c r="C35302"/>
      <c r="E35302"/>
      <c r="F35302"/>
    </row>
    <row r="35303" spans="1:6" x14ac:dyDescent="0.25">
      <c r="A35303"/>
      <c r="B35303"/>
      <c r="C35303"/>
      <c r="E35303"/>
      <c r="F35303"/>
    </row>
    <row r="35304" spans="1:6" x14ac:dyDescent="0.25">
      <c r="A35304"/>
      <c r="B35304"/>
      <c r="C35304"/>
      <c r="E35304"/>
      <c r="F35304"/>
    </row>
    <row r="35305" spans="1:6" x14ac:dyDescent="0.25">
      <c r="A35305"/>
      <c r="B35305"/>
      <c r="C35305"/>
      <c r="E35305"/>
      <c r="F35305"/>
    </row>
    <row r="35306" spans="1:6" x14ac:dyDescent="0.25">
      <c r="A35306"/>
      <c r="B35306"/>
      <c r="C35306"/>
      <c r="E35306"/>
      <c r="F35306"/>
    </row>
    <row r="35307" spans="1:6" x14ac:dyDescent="0.25">
      <c r="A35307"/>
      <c r="B35307"/>
      <c r="C35307"/>
      <c r="E35307"/>
      <c r="F35307"/>
    </row>
    <row r="35308" spans="1:6" x14ac:dyDescent="0.25">
      <c r="A35308"/>
      <c r="B35308"/>
      <c r="C35308"/>
      <c r="E35308"/>
      <c r="F35308"/>
    </row>
    <row r="35309" spans="1:6" x14ac:dyDescent="0.25">
      <c r="A35309"/>
      <c r="B35309"/>
      <c r="C35309"/>
      <c r="E35309"/>
      <c r="F35309"/>
    </row>
    <row r="35310" spans="1:6" x14ac:dyDescent="0.25">
      <c r="A35310"/>
      <c r="B35310"/>
      <c r="C35310"/>
      <c r="E35310"/>
      <c r="F35310"/>
    </row>
    <row r="35311" spans="1:6" x14ac:dyDescent="0.25">
      <c r="A35311"/>
      <c r="B35311"/>
      <c r="C35311"/>
      <c r="E35311"/>
      <c r="F35311"/>
    </row>
    <row r="35312" spans="1:6" x14ac:dyDescent="0.25">
      <c r="A35312"/>
      <c r="B35312"/>
      <c r="C35312"/>
      <c r="E35312"/>
      <c r="F35312"/>
    </row>
    <row r="35313" spans="1:6" x14ac:dyDescent="0.25">
      <c r="A35313"/>
      <c r="B35313"/>
      <c r="C35313"/>
      <c r="E35313"/>
      <c r="F35313"/>
    </row>
    <row r="35314" spans="1:6" x14ac:dyDescent="0.25">
      <c r="A35314"/>
      <c r="B35314"/>
      <c r="C35314"/>
      <c r="E35314"/>
      <c r="F35314"/>
    </row>
    <row r="35315" spans="1:6" x14ac:dyDescent="0.25">
      <c r="A35315"/>
      <c r="B35315"/>
      <c r="C35315"/>
      <c r="E35315"/>
      <c r="F35315"/>
    </row>
    <row r="35316" spans="1:6" x14ac:dyDescent="0.25">
      <c r="A35316"/>
      <c r="B35316"/>
      <c r="C35316"/>
      <c r="E35316"/>
      <c r="F35316"/>
    </row>
    <row r="35317" spans="1:6" x14ac:dyDescent="0.25">
      <c r="A35317"/>
      <c r="B35317"/>
      <c r="C35317"/>
      <c r="E35317"/>
      <c r="F35317"/>
    </row>
    <row r="35318" spans="1:6" x14ac:dyDescent="0.25">
      <c r="A35318"/>
      <c r="B35318"/>
      <c r="C35318"/>
      <c r="E35318"/>
      <c r="F35318"/>
    </row>
    <row r="35319" spans="1:6" x14ac:dyDescent="0.25">
      <c r="A35319"/>
      <c r="B35319"/>
      <c r="C35319"/>
      <c r="E35319"/>
      <c r="F35319"/>
    </row>
    <row r="35320" spans="1:6" x14ac:dyDescent="0.25">
      <c r="A35320"/>
      <c r="B35320"/>
      <c r="C35320"/>
      <c r="E35320"/>
      <c r="F35320"/>
    </row>
    <row r="35321" spans="1:6" x14ac:dyDescent="0.25">
      <c r="A35321"/>
      <c r="B35321"/>
      <c r="C35321"/>
      <c r="E35321"/>
      <c r="F35321"/>
    </row>
    <row r="35322" spans="1:6" x14ac:dyDescent="0.25">
      <c r="A35322"/>
      <c r="B35322"/>
      <c r="C35322"/>
      <c r="E35322"/>
      <c r="F35322"/>
    </row>
    <row r="35323" spans="1:6" x14ac:dyDescent="0.25">
      <c r="A35323"/>
      <c r="B35323"/>
      <c r="C35323"/>
      <c r="E35323"/>
      <c r="F35323"/>
    </row>
    <row r="35324" spans="1:6" x14ac:dyDescent="0.25">
      <c r="A35324"/>
      <c r="B35324"/>
      <c r="C35324"/>
      <c r="E35324"/>
      <c r="F35324"/>
    </row>
    <row r="35325" spans="1:6" x14ac:dyDescent="0.25">
      <c r="A35325"/>
      <c r="B35325"/>
      <c r="C35325"/>
      <c r="E35325"/>
      <c r="F35325"/>
    </row>
    <row r="35326" spans="1:6" x14ac:dyDescent="0.25">
      <c r="A35326"/>
      <c r="B35326"/>
      <c r="C35326"/>
      <c r="E35326"/>
      <c r="F35326"/>
    </row>
    <row r="35327" spans="1:6" x14ac:dyDescent="0.25">
      <c r="A35327"/>
      <c r="B35327"/>
      <c r="C35327"/>
      <c r="E35327"/>
      <c r="F35327"/>
    </row>
    <row r="35328" spans="1:6" x14ac:dyDescent="0.25">
      <c r="A35328"/>
      <c r="B35328"/>
      <c r="C35328"/>
      <c r="E35328"/>
      <c r="F35328"/>
    </row>
    <row r="35329" spans="1:6" x14ac:dyDescent="0.25">
      <c r="A35329"/>
      <c r="B35329"/>
      <c r="C35329"/>
      <c r="E35329"/>
      <c r="F35329"/>
    </row>
    <row r="35330" spans="1:6" x14ac:dyDescent="0.25">
      <c r="A35330"/>
      <c r="B35330"/>
      <c r="C35330"/>
      <c r="E35330"/>
      <c r="F35330"/>
    </row>
    <row r="35331" spans="1:6" x14ac:dyDescent="0.25">
      <c r="A35331"/>
      <c r="B35331"/>
      <c r="C35331"/>
      <c r="E35331"/>
      <c r="F35331"/>
    </row>
    <row r="35332" spans="1:6" x14ac:dyDescent="0.25">
      <c r="A35332"/>
      <c r="B35332"/>
      <c r="C35332"/>
      <c r="E35332"/>
      <c r="F35332"/>
    </row>
    <row r="35333" spans="1:6" x14ac:dyDescent="0.25">
      <c r="A35333"/>
      <c r="B35333"/>
      <c r="C35333"/>
      <c r="E35333"/>
      <c r="F35333"/>
    </row>
    <row r="35334" spans="1:6" x14ac:dyDescent="0.25">
      <c r="A35334"/>
      <c r="B35334"/>
      <c r="C35334"/>
      <c r="E35334"/>
      <c r="F35334"/>
    </row>
    <row r="35335" spans="1:6" x14ac:dyDescent="0.25">
      <c r="A35335"/>
      <c r="B35335"/>
      <c r="C35335"/>
      <c r="E35335"/>
      <c r="F35335"/>
    </row>
    <row r="35336" spans="1:6" x14ac:dyDescent="0.25">
      <c r="A35336"/>
      <c r="B35336"/>
      <c r="C35336"/>
      <c r="E35336"/>
      <c r="F35336"/>
    </row>
    <row r="35337" spans="1:6" x14ac:dyDescent="0.25">
      <c r="A35337"/>
      <c r="B35337"/>
      <c r="C35337"/>
      <c r="E35337"/>
      <c r="F35337"/>
    </row>
    <row r="35338" spans="1:6" x14ac:dyDescent="0.25">
      <c r="A35338"/>
      <c r="B35338"/>
      <c r="C35338"/>
      <c r="E35338"/>
      <c r="F35338"/>
    </row>
    <row r="35339" spans="1:6" x14ac:dyDescent="0.25">
      <c r="A35339"/>
      <c r="B35339"/>
      <c r="C35339"/>
      <c r="E35339"/>
      <c r="F35339"/>
    </row>
    <row r="35340" spans="1:6" x14ac:dyDescent="0.25">
      <c r="A35340"/>
      <c r="B35340"/>
      <c r="C35340"/>
      <c r="E35340"/>
      <c r="F35340"/>
    </row>
    <row r="35341" spans="1:6" x14ac:dyDescent="0.25">
      <c r="A35341"/>
      <c r="B35341"/>
      <c r="C35341"/>
      <c r="E35341"/>
      <c r="F35341"/>
    </row>
    <row r="35342" spans="1:6" x14ac:dyDescent="0.25">
      <c r="A35342"/>
      <c r="B35342"/>
      <c r="C35342"/>
      <c r="E35342"/>
      <c r="F35342"/>
    </row>
    <row r="35343" spans="1:6" x14ac:dyDescent="0.25">
      <c r="A35343"/>
      <c r="B35343"/>
      <c r="C35343"/>
      <c r="E35343"/>
      <c r="F35343"/>
    </row>
    <row r="35344" spans="1:6" x14ac:dyDescent="0.25">
      <c r="A35344"/>
      <c r="B35344"/>
      <c r="C35344"/>
      <c r="E35344"/>
      <c r="F35344"/>
    </row>
    <row r="35345" spans="1:6" x14ac:dyDescent="0.25">
      <c r="A35345"/>
      <c r="B35345"/>
      <c r="C35345"/>
      <c r="E35345"/>
      <c r="F35345"/>
    </row>
    <row r="35346" spans="1:6" x14ac:dyDescent="0.25">
      <c r="A35346"/>
      <c r="B35346"/>
      <c r="C35346"/>
      <c r="E35346"/>
      <c r="F35346"/>
    </row>
    <row r="35347" spans="1:6" x14ac:dyDescent="0.25">
      <c r="A35347"/>
      <c r="B35347"/>
      <c r="C35347"/>
      <c r="E35347"/>
      <c r="F35347"/>
    </row>
    <row r="35348" spans="1:6" x14ac:dyDescent="0.25">
      <c r="A35348"/>
      <c r="B35348"/>
      <c r="C35348"/>
      <c r="E35348"/>
      <c r="F35348"/>
    </row>
    <row r="35349" spans="1:6" x14ac:dyDescent="0.25">
      <c r="A35349"/>
      <c r="B35349"/>
      <c r="C35349"/>
      <c r="E35349"/>
      <c r="F35349"/>
    </row>
    <row r="35350" spans="1:6" x14ac:dyDescent="0.25">
      <c r="A35350"/>
      <c r="B35350"/>
      <c r="C35350"/>
      <c r="E35350"/>
      <c r="F35350"/>
    </row>
    <row r="35351" spans="1:6" x14ac:dyDescent="0.25">
      <c r="A35351"/>
      <c r="B35351"/>
      <c r="C35351"/>
      <c r="E35351"/>
      <c r="F35351"/>
    </row>
    <row r="35352" spans="1:6" x14ac:dyDescent="0.25">
      <c r="A35352"/>
      <c r="B35352"/>
      <c r="C35352"/>
      <c r="E35352"/>
      <c r="F35352"/>
    </row>
    <row r="35353" spans="1:6" x14ac:dyDescent="0.25">
      <c r="A35353"/>
      <c r="B35353"/>
      <c r="C35353"/>
      <c r="E35353"/>
      <c r="F35353"/>
    </row>
    <row r="35354" spans="1:6" x14ac:dyDescent="0.25">
      <c r="A35354"/>
      <c r="B35354"/>
      <c r="C35354"/>
      <c r="E35354"/>
      <c r="F35354"/>
    </row>
    <row r="35355" spans="1:6" x14ac:dyDescent="0.25">
      <c r="A35355"/>
      <c r="B35355"/>
      <c r="C35355"/>
      <c r="E35355"/>
      <c r="F35355"/>
    </row>
    <row r="35356" spans="1:6" x14ac:dyDescent="0.25">
      <c r="A35356"/>
      <c r="B35356"/>
      <c r="C35356"/>
      <c r="E35356"/>
      <c r="F35356"/>
    </row>
    <row r="35357" spans="1:6" x14ac:dyDescent="0.25">
      <c r="A35357"/>
      <c r="B35357"/>
      <c r="C35357"/>
      <c r="E35357"/>
      <c r="F35357"/>
    </row>
    <row r="35358" spans="1:6" x14ac:dyDescent="0.25">
      <c r="A35358"/>
      <c r="B35358"/>
      <c r="C35358"/>
      <c r="E35358"/>
      <c r="F35358"/>
    </row>
    <row r="35359" spans="1:6" x14ac:dyDescent="0.25">
      <c r="A35359"/>
      <c r="B35359"/>
      <c r="C35359"/>
      <c r="E35359"/>
      <c r="F35359"/>
    </row>
    <row r="35360" spans="1:6" x14ac:dyDescent="0.25">
      <c r="A35360"/>
      <c r="B35360"/>
      <c r="C35360"/>
      <c r="E35360"/>
      <c r="F35360"/>
    </row>
    <row r="35361" spans="1:6" x14ac:dyDescent="0.25">
      <c r="A35361"/>
      <c r="B35361"/>
      <c r="C35361"/>
      <c r="E35361"/>
      <c r="F35361"/>
    </row>
    <row r="35362" spans="1:6" x14ac:dyDescent="0.25">
      <c r="A35362"/>
      <c r="B35362"/>
      <c r="C35362"/>
      <c r="E35362"/>
      <c r="F35362"/>
    </row>
    <row r="35363" spans="1:6" x14ac:dyDescent="0.25">
      <c r="A35363"/>
      <c r="B35363"/>
      <c r="C35363"/>
      <c r="E35363"/>
      <c r="F35363"/>
    </row>
    <row r="35364" spans="1:6" x14ac:dyDescent="0.25">
      <c r="A35364"/>
      <c r="B35364"/>
      <c r="C35364"/>
      <c r="E35364"/>
      <c r="F35364"/>
    </row>
    <row r="35365" spans="1:6" x14ac:dyDescent="0.25">
      <c r="A35365"/>
      <c r="B35365"/>
      <c r="C35365"/>
      <c r="E35365"/>
      <c r="F35365"/>
    </row>
    <row r="35366" spans="1:6" x14ac:dyDescent="0.25">
      <c r="A35366"/>
      <c r="B35366"/>
      <c r="C35366"/>
      <c r="E35366"/>
      <c r="F35366"/>
    </row>
    <row r="35367" spans="1:6" x14ac:dyDescent="0.25">
      <c r="A35367"/>
      <c r="B35367"/>
      <c r="C35367"/>
      <c r="E35367"/>
      <c r="F35367"/>
    </row>
    <row r="35368" spans="1:6" x14ac:dyDescent="0.25">
      <c r="A35368"/>
      <c r="B35368"/>
      <c r="C35368"/>
      <c r="E35368"/>
      <c r="F35368"/>
    </row>
    <row r="35369" spans="1:6" x14ac:dyDescent="0.25">
      <c r="A35369"/>
      <c r="B35369"/>
      <c r="C35369"/>
      <c r="E35369"/>
      <c r="F35369"/>
    </row>
    <row r="35370" spans="1:6" x14ac:dyDescent="0.25">
      <c r="A35370"/>
      <c r="B35370"/>
      <c r="C35370"/>
      <c r="E35370"/>
      <c r="F35370"/>
    </row>
    <row r="35371" spans="1:6" x14ac:dyDescent="0.25">
      <c r="A35371"/>
      <c r="B35371"/>
      <c r="C35371"/>
      <c r="E35371"/>
      <c r="F35371"/>
    </row>
    <row r="35372" spans="1:6" x14ac:dyDescent="0.25">
      <c r="A35372"/>
      <c r="B35372"/>
      <c r="C35372"/>
      <c r="E35372"/>
      <c r="F35372"/>
    </row>
    <row r="35373" spans="1:6" x14ac:dyDescent="0.25">
      <c r="A35373"/>
      <c r="B35373"/>
      <c r="C35373"/>
      <c r="E35373"/>
      <c r="F35373"/>
    </row>
    <row r="35374" spans="1:6" x14ac:dyDescent="0.25">
      <c r="A35374"/>
      <c r="B35374"/>
      <c r="C35374"/>
      <c r="E35374"/>
      <c r="F35374"/>
    </row>
    <row r="35375" spans="1:6" x14ac:dyDescent="0.25">
      <c r="A35375"/>
      <c r="B35375"/>
      <c r="C35375"/>
      <c r="E35375"/>
      <c r="F35375"/>
    </row>
    <row r="35376" spans="1:6" x14ac:dyDescent="0.25">
      <c r="A35376"/>
      <c r="B35376"/>
      <c r="C35376"/>
      <c r="E35376"/>
      <c r="F35376"/>
    </row>
    <row r="35377" spans="1:6" x14ac:dyDescent="0.25">
      <c r="A35377"/>
      <c r="B35377"/>
      <c r="C35377"/>
      <c r="E35377"/>
      <c r="F35377"/>
    </row>
    <row r="35378" spans="1:6" x14ac:dyDescent="0.25">
      <c r="A35378"/>
      <c r="B35378"/>
      <c r="C35378"/>
      <c r="E35378"/>
      <c r="F35378"/>
    </row>
    <row r="35379" spans="1:6" x14ac:dyDescent="0.25">
      <c r="A35379"/>
      <c r="B35379"/>
      <c r="C35379"/>
      <c r="E35379"/>
      <c r="F35379"/>
    </row>
    <row r="35380" spans="1:6" x14ac:dyDescent="0.25">
      <c r="A35380"/>
      <c r="B35380"/>
      <c r="C35380"/>
      <c r="E35380"/>
      <c r="F35380"/>
    </row>
    <row r="35381" spans="1:6" x14ac:dyDescent="0.25">
      <c r="A35381"/>
      <c r="B35381"/>
      <c r="C35381"/>
      <c r="E35381"/>
      <c r="F35381"/>
    </row>
    <row r="35382" spans="1:6" x14ac:dyDescent="0.25">
      <c r="A35382"/>
      <c r="B35382"/>
      <c r="C35382"/>
      <c r="E35382"/>
      <c r="F35382"/>
    </row>
    <row r="35383" spans="1:6" x14ac:dyDescent="0.25">
      <c r="A35383"/>
      <c r="B35383"/>
      <c r="C35383"/>
      <c r="E35383"/>
      <c r="F35383"/>
    </row>
    <row r="35384" spans="1:6" x14ac:dyDescent="0.25">
      <c r="A35384"/>
      <c r="B35384"/>
      <c r="C35384"/>
      <c r="E35384"/>
      <c r="F35384"/>
    </row>
    <row r="35385" spans="1:6" x14ac:dyDescent="0.25">
      <c r="A35385"/>
      <c r="B35385"/>
      <c r="C35385"/>
      <c r="E35385"/>
      <c r="F35385"/>
    </row>
    <row r="35386" spans="1:6" x14ac:dyDescent="0.25">
      <c r="A35386"/>
      <c r="B35386"/>
      <c r="C35386"/>
      <c r="E35386"/>
      <c r="F35386"/>
    </row>
    <row r="35387" spans="1:6" x14ac:dyDescent="0.25">
      <c r="A35387"/>
      <c r="B35387"/>
      <c r="C35387"/>
      <c r="E35387"/>
      <c r="F35387"/>
    </row>
    <row r="35388" spans="1:6" x14ac:dyDescent="0.25">
      <c r="A35388"/>
      <c r="B35388"/>
      <c r="C35388"/>
      <c r="E35388"/>
      <c r="F35388"/>
    </row>
    <row r="35389" spans="1:6" x14ac:dyDescent="0.25">
      <c r="A35389"/>
      <c r="B35389"/>
      <c r="C35389"/>
      <c r="E35389"/>
      <c r="F35389"/>
    </row>
    <row r="35390" spans="1:6" x14ac:dyDescent="0.25">
      <c r="A35390"/>
      <c r="B35390"/>
      <c r="C35390"/>
      <c r="E35390"/>
      <c r="F35390"/>
    </row>
    <row r="35391" spans="1:6" x14ac:dyDescent="0.25">
      <c r="A35391"/>
      <c r="B35391"/>
      <c r="C35391"/>
      <c r="E35391"/>
      <c r="F35391"/>
    </row>
    <row r="35392" spans="1:6" x14ac:dyDescent="0.25">
      <c r="A35392"/>
      <c r="B35392"/>
      <c r="C35392"/>
      <c r="E35392"/>
      <c r="F35392"/>
    </row>
    <row r="35393" spans="1:6" x14ac:dyDescent="0.25">
      <c r="A35393"/>
      <c r="B35393"/>
      <c r="C35393"/>
      <c r="E35393"/>
      <c r="F35393"/>
    </row>
    <row r="35394" spans="1:6" x14ac:dyDescent="0.25">
      <c r="A35394"/>
      <c r="B35394"/>
      <c r="C35394"/>
      <c r="E35394"/>
      <c r="F35394"/>
    </row>
    <row r="35395" spans="1:6" x14ac:dyDescent="0.25">
      <c r="A35395"/>
      <c r="B35395"/>
      <c r="C35395"/>
      <c r="E35395"/>
      <c r="F35395"/>
    </row>
    <row r="35396" spans="1:6" x14ac:dyDescent="0.25">
      <c r="A35396"/>
      <c r="B35396"/>
      <c r="C35396"/>
      <c r="E35396"/>
      <c r="F35396"/>
    </row>
    <row r="35397" spans="1:6" x14ac:dyDescent="0.25">
      <c r="A35397"/>
      <c r="B35397"/>
      <c r="C35397"/>
      <c r="E35397"/>
      <c r="F35397"/>
    </row>
    <row r="35398" spans="1:6" x14ac:dyDescent="0.25">
      <c r="A35398"/>
      <c r="B35398"/>
      <c r="C35398"/>
      <c r="E35398"/>
      <c r="F35398"/>
    </row>
    <row r="35399" spans="1:6" x14ac:dyDescent="0.25">
      <c r="A35399"/>
      <c r="B35399"/>
      <c r="C35399"/>
      <c r="E35399"/>
      <c r="F35399"/>
    </row>
    <row r="35400" spans="1:6" x14ac:dyDescent="0.25">
      <c r="A35400"/>
      <c r="B35400"/>
      <c r="C35400"/>
      <c r="E35400"/>
      <c r="F35400"/>
    </row>
    <row r="35401" spans="1:6" x14ac:dyDescent="0.25">
      <c r="A35401"/>
      <c r="B35401"/>
      <c r="C35401"/>
      <c r="E35401"/>
      <c r="F35401"/>
    </row>
    <row r="35402" spans="1:6" x14ac:dyDescent="0.25">
      <c r="A35402"/>
      <c r="B35402"/>
      <c r="C35402"/>
      <c r="E35402"/>
      <c r="F35402"/>
    </row>
    <row r="35403" spans="1:6" x14ac:dyDescent="0.25">
      <c r="A35403"/>
      <c r="B35403"/>
      <c r="C35403"/>
      <c r="E35403"/>
      <c r="F35403"/>
    </row>
    <row r="35404" spans="1:6" x14ac:dyDescent="0.25">
      <c r="A35404"/>
      <c r="B35404"/>
      <c r="C35404"/>
      <c r="E35404"/>
      <c r="F35404"/>
    </row>
    <row r="35405" spans="1:6" x14ac:dyDescent="0.25">
      <c r="A35405"/>
      <c r="B35405"/>
      <c r="C35405"/>
      <c r="E35405"/>
      <c r="F35405"/>
    </row>
    <row r="35406" spans="1:6" x14ac:dyDescent="0.25">
      <c r="A35406"/>
      <c r="B35406"/>
      <c r="C35406"/>
      <c r="E35406"/>
      <c r="F35406"/>
    </row>
    <row r="35407" spans="1:6" x14ac:dyDescent="0.25">
      <c r="A35407"/>
      <c r="B35407"/>
      <c r="C35407"/>
      <c r="E35407"/>
      <c r="F35407"/>
    </row>
    <row r="35408" spans="1:6" x14ac:dyDescent="0.25">
      <c r="A35408"/>
      <c r="B35408"/>
      <c r="C35408"/>
      <c r="E35408"/>
      <c r="F35408"/>
    </row>
    <row r="35409" spans="1:6" x14ac:dyDescent="0.25">
      <c r="A35409"/>
      <c r="B35409"/>
      <c r="C35409"/>
      <c r="E35409"/>
      <c r="F35409"/>
    </row>
    <row r="35410" spans="1:6" x14ac:dyDescent="0.25">
      <c r="A35410"/>
      <c r="B35410"/>
      <c r="C35410"/>
      <c r="E35410"/>
      <c r="F35410"/>
    </row>
    <row r="35411" spans="1:6" x14ac:dyDescent="0.25">
      <c r="A35411"/>
      <c r="B35411"/>
      <c r="C35411"/>
      <c r="E35411"/>
      <c r="F35411"/>
    </row>
    <row r="35412" spans="1:6" x14ac:dyDescent="0.25">
      <c r="A35412"/>
      <c r="B35412"/>
      <c r="C35412"/>
      <c r="E35412"/>
      <c r="F35412"/>
    </row>
    <row r="35413" spans="1:6" x14ac:dyDescent="0.25">
      <c r="A35413"/>
      <c r="B35413"/>
      <c r="C35413"/>
      <c r="E35413"/>
      <c r="F35413"/>
    </row>
    <row r="35414" spans="1:6" x14ac:dyDescent="0.25">
      <c r="A35414"/>
      <c r="B35414"/>
      <c r="C35414"/>
      <c r="E35414"/>
      <c r="F35414"/>
    </row>
    <row r="35415" spans="1:6" x14ac:dyDescent="0.25">
      <c r="A35415"/>
      <c r="B35415"/>
      <c r="C35415"/>
      <c r="E35415"/>
      <c r="F35415"/>
    </row>
    <row r="35416" spans="1:6" x14ac:dyDescent="0.25">
      <c r="A35416"/>
      <c r="B35416"/>
      <c r="C35416"/>
      <c r="E35416"/>
      <c r="F35416"/>
    </row>
    <row r="35417" spans="1:6" x14ac:dyDescent="0.25">
      <c r="A35417"/>
      <c r="B35417"/>
      <c r="C35417"/>
      <c r="E35417"/>
      <c r="F35417"/>
    </row>
    <row r="35418" spans="1:6" x14ac:dyDescent="0.25">
      <c r="A35418"/>
      <c r="B35418"/>
      <c r="C35418"/>
      <c r="E35418"/>
      <c r="F35418"/>
    </row>
    <row r="35419" spans="1:6" x14ac:dyDescent="0.25">
      <c r="A35419"/>
      <c r="B35419"/>
      <c r="C35419"/>
      <c r="E35419"/>
      <c r="F35419"/>
    </row>
    <row r="35420" spans="1:6" x14ac:dyDescent="0.25">
      <c r="A35420"/>
      <c r="B35420"/>
      <c r="C35420"/>
      <c r="E35420"/>
      <c r="F35420"/>
    </row>
    <row r="35421" spans="1:6" x14ac:dyDescent="0.25">
      <c r="A35421"/>
      <c r="B35421"/>
      <c r="C35421"/>
      <c r="E35421"/>
      <c r="F35421"/>
    </row>
    <row r="35422" spans="1:6" x14ac:dyDescent="0.25">
      <c r="A35422"/>
      <c r="B35422"/>
      <c r="C35422"/>
      <c r="E35422"/>
      <c r="F35422"/>
    </row>
    <row r="35423" spans="1:6" x14ac:dyDescent="0.25">
      <c r="A35423"/>
      <c r="B35423"/>
      <c r="C35423"/>
      <c r="E35423"/>
      <c r="F35423"/>
    </row>
    <row r="35424" spans="1:6" x14ac:dyDescent="0.25">
      <c r="A35424"/>
      <c r="B35424"/>
      <c r="C35424"/>
      <c r="E35424"/>
      <c r="F35424"/>
    </row>
    <row r="35425" spans="1:6" x14ac:dyDescent="0.25">
      <c r="A35425"/>
      <c r="B35425"/>
      <c r="C35425"/>
      <c r="E35425"/>
      <c r="F35425"/>
    </row>
    <row r="35426" spans="1:6" x14ac:dyDescent="0.25">
      <c r="A35426"/>
      <c r="B35426"/>
      <c r="C35426"/>
      <c r="E35426"/>
      <c r="F35426"/>
    </row>
    <row r="35427" spans="1:6" x14ac:dyDescent="0.25">
      <c r="A35427"/>
      <c r="B35427"/>
      <c r="C35427"/>
      <c r="E35427"/>
      <c r="F35427"/>
    </row>
    <row r="35428" spans="1:6" x14ac:dyDescent="0.25">
      <c r="A35428"/>
      <c r="B35428"/>
      <c r="C35428"/>
      <c r="E35428"/>
      <c r="F35428"/>
    </row>
    <row r="35429" spans="1:6" x14ac:dyDescent="0.25">
      <c r="A35429"/>
      <c r="B35429"/>
      <c r="C35429"/>
      <c r="E35429"/>
      <c r="F35429"/>
    </row>
    <row r="35430" spans="1:6" x14ac:dyDescent="0.25">
      <c r="A35430"/>
      <c r="B35430"/>
      <c r="C35430"/>
      <c r="E35430"/>
      <c r="F35430"/>
    </row>
    <row r="35431" spans="1:6" x14ac:dyDescent="0.25">
      <c r="A35431"/>
      <c r="B35431"/>
      <c r="C35431"/>
      <c r="E35431"/>
      <c r="F35431"/>
    </row>
    <row r="35432" spans="1:6" x14ac:dyDescent="0.25">
      <c r="A35432"/>
      <c r="B35432"/>
      <c r="C35432"/>
      <c r="E35432"/>
      <c r="F35432"/>
    </row>
    <row r="35433" spans="1:6" x14ac:dyDescent="0.25">
      <c r="A35433"/>
      <c r="B35433"/>
      <c r="C35433"/>
      <c r="E35433"/>
      <c r="F35433"/>
    </row>
    <row r="35434" spans="1:6" x14ac:dyDescent="0.25">
      <c r="A35434"/>
      <c r="B35434"/>
      <c r="C35434"/>
      <c r="E35434"/>
      <c r="F35434"/>
    </row>
    <row r="35435" spans="1:6" x14ac:dyDescent="0.25">
      <c r="A35435"/>
      <c r="B35435"/>
      <c r="C35435"/>
      <c r="E35435"/>
      <c r="F35435"/>
    </row>
    <row r="35436" spans="1:6" x14ac:dyDescent="0.25">
      <c r="A35436"/>
      <c r="B35436"/>
      <c r="C35436"/>
      <c r="E35436"/>
      <c r="F35436"/>
    </row>
    <row r="35437" spans="1:6" x14ac:dyDescent="0.25">
      <c r="A35437"/>
      <c r="B35437"/>
      <c r="C35437"/>
      <c r="E35437"/>
      <c r="F35437"/>
    </row>
    <row r="35438" spans="1:6" x14ac:dyDescent="0.25">
      <c r="A35438"/>
      <c r="B35438"/>
      <c r="C35438"/>
      <c r="E35438"/>
      <c r="F35438"/>
    </row>
    <row r="35439" spans="1:6" x14ac:dyDescent="0.25">
      <c r="A35439"/>
      <c r="B35439"/>
      <c r="C35439"/>
      <c r="E35439"/>
      <c r="F35439"/>
    </row>
    <row r="35440" spans="1:6" x14ac:dyDescent="0.25">
      <c r="A35440"/>
      <c r="B35440"/>
      <c r="C35440"/>
      <c r="E35440"/>
      <c r="F35440"/>
    </row>
    <row r="35441" spans="1:6" x14ac:dyDescent="0.25">
      <c r="A35441"/>
      <c r="B35441"/>
      <c r="C35441"/>
      <c r="E35441"/>
      <c r="F35441"/>
    </row>
    <row r="35442" spans="1:6" x14ac:dyDescent="0.25">
      <c r="A35442"/>
      <c r="B35442"/>
      <c r="C35442"/>
      <c r="E35442"/>
      <c r="F35442"/>
    </row>
    <row r="35443" spans="1:6" x14ac:dyDescent="0.25">
      <c r="A35443"/>
      <c r="B35443"/>
      <c r="C35443"/>
      <c r="E35443"/>
      <c r="F35443"/>
    </row>
    <row r="35444" spans="1:6" x14ac:dyDescent="0.25">
      <c r="A35444"/>
      <c r="B35444"/>
      <c r="C35444"/>
      <c r="E35444"/>
      <c r="F35444"/>
    </row>
    <row r="35445" spans="1:6" x14ac:dyDescent="0.25">
      <c r="A35445"/>
      <c r="B35445"/>
      <c r="C35445"/>
      <c r="E35445"/>
      <c r="F35445"/>
    </row>
    <row r="35446" spans="1:6" x14ac:dyDescent="0.25">
      <c r="A35446"/>
      <c r="B35446"/>
      <c r="C35446"/>
      <c r="E35446"/>
      <c r="F35446"/>
    </row>
    <row r="35447" spans="1:6" x14ac:dyDescent="0.25">
      <c r="A35447"/>
      <c r="B35447"/>
      <c r="C35447"/>
      <c r="E35447"/>
      <c r="F35447"/>
    </row>
    <row r="35448" spans="1:6" x14ac:dyDescent="0.25">
      <c r="A35448"/>
      <c r="B35448"/>
      <c r="C35448"/>
      <c r="E35448"/>
      <c r="F35448"/>
    </row>
    <row r="35449" spans="1:6" x14ac:dyDescent="0.25">
      <c r="A35449"/>
      <c r="B35449"/>
      <c r="C35449"/>
      <c r="E35449"/>
      <c r="F35449"/>
    </row>
    <row r="35450" spans="1:6" x14ac:dyDescent="0.25">
      <c r="A35450"/>
      <c r="B35450"/>
      <c r="C35450"/>
      <c r="E35450"/>
      <c r="F35450"/>
    </row>
    <row r="35451" spans="1:6" x14ac:dyDescent="0.25">
      <c r="A35451"/>
      <c r="B35451"/>
      <c r="C35451"/>
      <c r="E35451"/>
      <c r="F35451"/>
    </row>
    <row r="35452" spans="1:6" x14ac:dyDescent="0.25">
      <c r="A35452"/>
      <c r="B35452"/>
      <c r="C35452"/>
      <c r="E35452"/>
      <c r="F35452"/>
    </row>
    <row r="35453" spans="1:6" x14ac:dyDescent="0.25">
      <c r="A35453"/>
      <c r="B35453"/>
      <c r="C35453"/>
      <c r="E35453"/>
      <c r="F35453"/>
    </row>
    <row r="35454" spans="1:6" x14ac:dyDescent="0.25">
      <c r="A35454"/>
      <c r="B35454"/>
      <c r="C35454"/>
      <c r="E35454"/>
      <c r="F35454"/>
    </row>
    <row r="35455" spans="1:6" x14ac:dyDescent="0.25">
      <c r="A35455"/>
      <c r="B35455"/>
      <c r="C35455"/>
      <c r="E35455"/>
      <c r="F35455"/>
    </row>
    <row r="35456" spans="1:6" x14ac:dyDescent="0.25">
      <c r="A35456"/>
      <c r="B35456"/>
      <c r="C35456"/>
      <c r="E35456"/>
      <c r="F35456"/>
    </row>
    <row r="35457" spans="1:6" x14ac:dyDescent="0.25">
      <c r="A35457"/>
      <c r="B35457"/>
      <c r="C35457"/>
      <c r="E35457"/>
      <c r="F35457"/>
    </row>
    <row r="35458" spans="1:6" x14ac:dyDescent="0.25">
      <c r="A35458"/>
      <c r="B35458"/>
      <c r="C35458"/>
      <c r="E35458"/>
      <c r="F35458"/>
    </row>
    <row r="35459" spans="1:6" x14ac:dyDescent="0.25">
      <c r="A35459"/>
      <c r="B35459"/>
      <c r="C35459"/>
      <c r="E35459"/>
      <c r="F35459"/>
    </row>
    <row r="35460" spans="1:6" x14ac:dyDescent="0.25">
      <c r="A35460"/>
      <c r="B35460"/>
      <c r="C35460"/>
      <c r="E35460"/>
      <c r="F35460"/>
    </row>
    <row r="35461" spans="1:6" x14ac:dyDescent="0.25">
      <c r="A35461"/>
      <c r="B35461"/>
      <c r="C35461"/>
      <c r="E35461"/>
      <c r="F35461"/>
    </row>
    <row r="35462" spans="1:6" x14ac:dyDescent="0.25">
      <c r="A35462"/>
      <c r="B35462"/>
      <c r="C35462"/>
      <c r="E35462"/>
      <c r="F35462"/>
    </row>
    <row r="35463" spans="1:6" x14ac:dyDescent="0.25">
      <c r="A35463"/>
      <c r="B35463"/>
      <c r="C35463"/>
      <c r="E35463"/>
      <c r="F35463"/>
    </row>
    <row r="35464" spans="1:6" x14ac:dyDescent="0.25">
      <c r="A35464"/>
      <c r="B35464"/>
      <c r="C35464"/>
      <c r="E35464"/>
      <c r="F35464"/>
    </row>
    <row r="35465" spans="1:6" x14ac:dyDescent="0.25">
      <c r="A35465"/>
      <c r="B35465"/>
      <c r="C35465"/>
      <c r="E35465"/>
      <c r="F35465"/>
    </row>
    <row r="35466" spans="1:6" x14ac:dyDescent="0.25">
      <c r="A35466"/>
      <c r="B35466"/>
      <c r="C35466"/>
      <c r="E35466"/>
      <c r="F35466"/>
    </row>
    <row r="35467" spans="1:6" x14ac:dyDescent="0.25">
      <c r="A35467"/>
      <c r="B35467"/>
      <c r="C35467"/>
      <c r="E35467"/>
      <c r="F35467"/>
    </row>
    <row r="35468" spans="1:6" x14ac:dyDescent="0.25">
      <c r="A35468"/>
      <c r="B35468"/>
      <c r="C35468"/>
      <c r="E35468"/>
      <c r="F35468"/>
    </row>
    <row r="35469" spans="1:6" x14ac:dyDescent="0.25">
      <c r="A35469"/>
      <c r="B35469"/>
      <c r="C35469"/>
      <c r="E35469"/>
      <c r="F35469"/>
    </row>
    <row r="35470" spans="1:6" x14ac:dyDescent="0.25">
      <c r="A35470"/>
      <c r="B35470"/>
      <c r="C35470"/>
      <c r="E35470"/>
      <c r="F35470"/>
    </row>
    <row r="35471" spans="1:6" x14ac:dyDescent="0.25">
      <c r="A35471"/>
      <c r="B35471"/>
      <c r="C35471"/>
      <c r="E35471"/>
      <c r="F35471"/>
    </row>
    <row r="35472" spans="1:6" x14ac:dyDescent="0.25">
      <c r="A35472"/>
      <c r="B35472"/>
      <c r="C35472"/>
      <c r="E35472"/>
      <c r="F35472"/>
    </row>
    <row r="35473" spans="1:6" x14ac:dyDescent="0.25">
      <c r="A35473"/>
      <c r="B35473"/>
      <c r="C35473"/>
      <c r="E35473"/>
      <c r="F35473"/>
    </row>
    <row r="35474" spans="1:6" x14ac:dyDescent="0.25">
      <c r="A35474"/>
      <c r="B35474"/>
      <c r="C35474"/>
      <c r="E35474"/>
      <c r="F35474"/>
    </row>
    <row r="35475" spans="1:6" x14ac:dyDescent="0.25">
      <c r="A35475"/>
      <c r="B35475"/>
      <c r="C35475"/>
      <c r="E35475"/>
      <c r="F35475"/>
    </row>
    <row r="35476" spans="1:6" x14ac:dyDescent="0.25">
      <c r="A35476"/>
      <c r="B35476"/>
      <c r="C35476"/>
      <c r="E35476"/>
      <c r="F35476"/>
    </row>
    <row r="35477" spans="1:6" x14ac:dyDescent="0.25">
      <c r="A35477"/>
      <c r="B35477"/>
      <c r="C35477"/>
      <c r="E35477"/>
      <c r="F35477"/>
    </row>
    <row r="35478" spans="1:6" x14ac:dyDescent="0.25">
      <c r="A35478"/>
      <c r="B35478"/>
      <c r="C35478"/>
      <c r="E35478"/>
      <c r="F35478"/>
    </row>
    <row r="35479" spans="1:6" x14ac:dyDescent="0.25">
      <c r="A35479"/>
      <c r="B35479"/>
      <c r="C35479"/>
      <c r="E35479"/>
      <c r="F35479"/>
    </row>
    <row r="35480" spans="1:6" x14ac:dyDescent="0.25">
      <c r="A35480"/>
      <c r="B35480"/>
      <c r="C35480"/>
      <c r="E35480"/>
      <c r="F35480"/>
    </row>
    <row r="35481" spans="1:6" x14ac:dyDescent="0.25">
      <c r="A35481"/>
      <c r="B35481"/>
      <c r="C35481"/>
      <c r="E35481"/>
      <c r="F35481"/>
    </row>
    <row r="35482" spans="1:6" x14ac:dyDescent="0.25">
      <c r="A35482"/>
      <c r="B35482"/>
      <c r="C35482"/>
      <c r="E35482"/>
      <c r="F35482"/>
    </row>
    <row r="35483" spans="1:6" x14ac:dyDescent="0.25">
      <c r="A35483"/>
      <c r="B35483"/>
      <c r="C35483"/>
      <c r="E35483"/>
      <c r="F35483"/>
    </row>
    <row r="35484" spans="1:6" x14ac:dyDescent="0.25">
      <c r="A35484"/>
      <c r="B35484"/>
      <c r="C35484"/>
      <c r="E35484"/>
      <c r="F35484"/>
    </row>
    <row r="35485" spans="1:6" x14ac:dyDescent="0.25">
      <c r="A35485"/>
      <c r="B35485"/>
      <c r="C35485"/>
      <c r="E35485"/>
      <c r="F35485"/>
    </row>
    <row r="35486" spans="1:6" x14ac:dyDescent="0.25">
      <c r="A35486"/>
      <c r="B35486"/>
      <c r="C35486"/>
      <c r="E35486"/>
      <c r="F35486"/>
    </row>
    <row r="35487" spans="1:6" x14ac:dyDescent="0.25">
      <c r="A35487"/>
      <c r="B35487"/>
      <c r="C35487"/>
      <c r="E35487"/>
      <c r="F35487"/>
    </row>
    <row r="35488" spans="1:6" x14ac:dyDescent="0.25">
      <c r="A35488"/>
      <c r="B35488"/>
      <c r="C35488"/>
      <c r="E35488"/>
      <c r="F35488"/>
    </row>
    <row r="35489" spans="1:6" x14ac:dyDescent="0.25">
      <c r="A35489"/>
      <c r="B35489"/>
      <c r="C35489"/>
      <c r="E35489"/>
      <c r="F35489"/>
    </row>
    <row r="35490" spans="1:6" x14ac:dyDescent="0.25">
      <c r="A35490"/>
      <c r="B35490"/>
      <c r="C35490"/>
      <c r="E35490"/>
      <c r="F35490"/>
    </row>
    <row r="35491" spans="1:6" x14ac:dyDescent="0.25">
      <c r="A35491"/>
      <c r="B35491"/>
      <c r="C35491"/>
      <c r="E35491"/>
      <c r="F35491"/>
    </row>
    <row r="35492" spans="1:6" x14ac:dyDescent="0.25">
      <c r="A35492"/>
      <c r="B35492"/>
      <c r="C35492"/>
      <c r="E35492"/>
      <c r="F35492"/>
    </row>
    <row r="35493" spans="1:6" x14ac:dyDescent="0.25">
      <c r="A35493"/>
      <c r="B35493"/>
      <c r="C35493"/>
      <c r="E35493"/>
      <c r="F35493"/>
    </row>
    <row r="35494" spans="1:6" x14ac:dyDescent="0.25">
      <c r="A35494"/>
      <c r="B35494"/>
      <c r="C35494"/>
      <c r="E35494"/>
      <c r="F35494"/>
    </row>
    <row r="35495" spans="1:6" x14ac:dyDescent="0.25">
      <c r="A35495"/>
      <c r="B35495"/>
      <c r="C35495"/>
      <c r="E35495"/>
      <c r="F35495"/>
    </row>
    <row r="35496" spans="1:6" x14ac:dyDescent="0.25">
      <c r="A35496"/>
      <c r="B35496"/>
      <c r="C35496"/>
      <c r="E35496"/>
      <c r="F35496"/>
    </row>
    <row r="35497" spans="1:6" x14ac:dyDescent="0.25">
      <c r="A35497"/>
      <c r="B35497"/>
      <c r="C35497"/>
      <c r="E35497"/>
      <c r="F35497"/>
    </row>
    <row r="35498" spans="1:6" x14ac:dyDescent="0.25">
      <c r="A35498"/>
      <c r="B35498"/>
      <c r="C35498"/>
      <c r="E35498"/>
      <c r="F35498"/>
    </row>
    <row r="35499" spans="1:6" x14ac:dyDescent="0.25">
      <c r="A35499"/>
      <c r="B35499"/>
      <c r="C35499"/>
      <c r="E35499"/>
      <c r="F35499"/>
    </row>
    <row r="35500" spans="1:6" x14ac:dyDescent="0.25">
      <c r="A35500"/>
      <c r="B35500"/>
      <c r="C35500"/>
      <c r="E35500"/>
      <c r="F35500"/>
    </row>
    <row r="35501" spans="1:6" x14ac:dyDescent="0.25">
      <c r="A35501"/>
      <c r="B35501"/>
      <c r="C35501"/>
      <c r="E35501"/>
      <c r="F35501"/>
    </row>
    <row r="35502" spans="1:6" x14ac:dyDescent="0.25">
      <c r="A35502"/>
      <c r="B35502"/>
      <c r="C35502"/>
      <c r="E35502"/>
      <c r="F35502"/>
    </row>
    <row r="35503" spans="1:6" x14ac:dyDescent="0.25">
      <c r="A35503"/>
      <c r="B35503"/>
      <c r="C35503"/>
      <c r="E35503"/>
      <c r="F35503"/>
    </row>
    <row r="35504" spans="1:6" x14ac:dyDescent="0.25">
      <c r="A35504"/>
      <c r="B35504"/>
      <c r="C35504"/>
      <c r="E35504"/>
      <c r="F35504"/>
    </row>
    <row r="35505" spans="1:6" x14ac:dyDescent="0.25">
      <c r="A35505"/>
      <c r="B35505"/>
      <c r="C35505"/>
      <c r="E35505"/>
      <c r="F35505"/>
    </row>
    <row r="35506" spans="1:6" x14ac:dyDescent="0.25">
      <c r="A35506"/>
      <c r="B35506"/>
      <c r="C35506"/>
      <c r="E35506"/>
      <c r="F35506"/>
    </row>
    <row r="35507" spans="1:6" x14ac:dyDescent="0.25">
      <c r="A35507"/>
      <c r="B35507"/>
      <c r="C35507"/>
      <c r="E35507"/>
      <c r="F35507"/>
    </row>
    <row r="35508" spans="1:6" x14ac:dyDescent="0.25">
      <c r="A35508"/>
      <c r="B35508"/>
      <c r="C35508"/>
      <c r="E35508"/>
      <c r="F35508"/>
    </row>
    <row r="35509" spans="1:6" x14ac:dyDescent="0.25">
      <c r="A35509"/>
      <c r="B35509"/>
      <c r="C35509"/>
      <c r="E35509"/>
      <c r="F35509"/>
    </row>
    <row r="35510" spans="1:6" x14ac:dyDescent="0.25">
      <c r="A35510"/>
      <c r="B35510"/>
      <c r="C35510"/>
      <c r="E35510"/>
      <c r="F35510"/>
    </row>
    <row r="35511" spans="1:6" x14ac:dyDescent="0.25">
      <c r="A35511"/>
      <c r="B35511"/>
      <c r="C35511"/>
      <c r="E35511"/>
      <c r="F35511"/>
    </row>
    <row r="35512" spans="1:6" x14ac:dyDescent="0.25">
      <c r="A35512"/>
      <c r="B35512"/>
      <c r="C35512"/>
      <c r="E35512"/>
      <c r="F35512"/>
    </row>
    <row r="35513" spans="1:6" x14ac:dyDescent="0.25">
      <c r="A35513"/>
      <c r="B35513"/>
      <c r="C35513"/>
      <c r="E35513"/>
      <c r="F35513"/>
    </row>
    <row r="35514" spans="1:6" x14ac:dyDescent="0.25">
      <c r="A35514"/>
      <c r="B35514"/>
      <c r="C35514"/>
      <c r="E35514"/>
      <c r="F35514"/>
    </row>
    <row r="35515" spans="1:6" x14ac:dyDescent="0.25">
      <c r="A35515"/>
      <c r="B35515"/>
      <c r="C35515"/>
      <c r="E35515"/>
      <c r="F35515"/>
    </row>
    <row r="35516" spans="1:6" x14ac:dyDescent="0.25">
      <c r="A35516"/>
      <c r="B35516"/>
      <c r="C35516"/>
      <c r="E35516"/>
      <c r="F35516"/>
    </row>
    <row r="35517" spans="1:6" x14ac:dyDescent="0.25">
      <c r="A35517"/>
      <c r="B35517"/>
      <c r="C35517"/>
      <c r="E35517"/>
      <c r="F35517"/>
    </row>
    <row r="35518" spans="1:6" x14ac:dyDescent="0.25">
      <c r="A35518"/>
      <c r="B35518"/>
      <c r="C35518"/>
      <c r="E35518"/>
      <c r="F35518"/>
    </row>
    <row r="35519" spans="1:6" x14ac:dyDescent="0.25">
      <c r="A35519"/>
      <c r="B35519"/>
      <c r="C35519"/>
      <c r="E35519"/>
      <c r="F35519"/>
    </row>
    <row r="35520" spans="1:6" x14ac:dyDescent="0.25">
      <c r="A35520"/>
      <c r="B35520"/>
      <c r="C35520"/>
      <c r="E35520"/>
      <c r="F35520"/>
    </row>
    <row r="35521" spans="1:6" x14ac:dyDescent="0.25">
      <c r="A35521"/>
      <c r="B35521"/>
      <c r="C35521"/>
      <c r="E35521"/>
      <c r="F35521"/>
    </row>
    <row r="35522" spans="1:6" x14ac:dyDescent="0.25">
      <c r="A35522"/>
      <c r="B35522"/>
      <c r="C35522"/>
      <c r="E35522"/>
      <c r="F35522"/>
    </row>
    <row r="35523" spans="1:6" x14ac:dyDescent="0.25">
      <c r="A35523"/>
      <c r="B35523"/>
      <c r="C35523"/>
      <c r="E35523"/>
      <c r="F35523"/>
    </row>
    <row r="35524" spans="1:6" x14ac:dyDescent="0.25">
      <c r="A35524"/>
      <c r="B35524"/>
      <c r="C35524"/>
      <c r="E35524"/>
      <c r="F35524"/>
    </row>
    <row r="35525" spans="1:6" x14ac:dyDescent="0.25">
      <c r="A35525"/>
      <c r="B35525"/>
      <c r="C35525"/>
      <c r="E35525"/>
      <c r="F35525"/>
    </row>
    <row r="35526" spans="1:6" x14ac:dyDescent="0.25">
      <c r="A35526"/>
      <c r="B35526"/>
      <c r="C35526"/>
      <c r="E35526"/>
      <c r="F35526"/>
    </row>
    <row r="35527" spans="1:6" x14ac:dyDescent="0.25">
      <c r="A35527"/>
      <c r="B35527"/>
      <c r="C35527"/>
      <c r="E35527"/>
      <c r="F35527"/>
    </row>
    <row r="35528" spans="1:6" x14ac:dyDescent="0.25">
      <c r="A35528"/>
      <c r="B35528"/>
      <c r="C35528"/>
      <c r="E35528"/>
      <c r="F35528"/>
    </row>
    <row r="35529" spans="1:6" x14ac:dyDescent="0.25">
      <c r="A35529"/>
      <c r="B35529"/>
      <c r="C35529"/>
      <c r="E35529"/>
      <c r="F35529"/>
    </row>
    <row r="35530" spans="1:6" x14ac:dyDescent="0.25">
      <c r="A35530"/>
      <c r="B35530"/>
      <c r="C35530"/>
      <c r="E35530"/>
      <c r="F35530"/>
    </row>
    <row r="35531" spans="1:6" x14ac:dyDescent="0.25">
      <c r="A35531"/>
      <c r="B35531"/>
      <c r="C35531"/>
      <c r="E35531"/>
      <c r="F35531"/>
    </row>
    <row r="35532" spans="1:6" x14ac:dyDescent="0.25">
      <c r="A35532"/>
      <c r="B35532"/>
      <c r="C35532"/>
      <c r="E35532"/>
      <c r="F35532"/>
    </row>
    <row r="35533" spans="1:6" x14ac:dyDescent="0.25">
      <c r="A35533"/>
      <c r="B35533"/>
      <c r="C35533"/>
      <c r="E35533"/>
      <c r="F35533"/>
    </row>
    <row r="35534" spans="1:6" x14ac:dyDescent="0.25">
      <c r="A35534"/>
      <c r="B35534"/>
      <c r="C35534"/>
      <c r="E35534"/>
      <c r="F35534"/>
    </row>
    <row r="35535" spans="1:6" x14ac:dyDescent="0.25">
      <c r="A35535"/>
      <c r="B35535"/>
      <c r="C35535"/>
      <c r="E35535"/>
      <c r="F35535"/>
    </row>
    <row r="35536" spans="1:6" x14ac:dyDescent="0.25">
      <c r="A35536"/>
      <c r="B35536"/>
      <c r="C35536"/>
      <c r="E35536"/>
      <c r="F35536"/>
    </row>
    <row r="35537" spans="1:6" x14ac:dyDescent="0.25">
      <c r="A35537"/>
      <c r="B35537"/>
      <c r="C35537"/>
      <c r="E35537"/>
      <c r="F35537"/>
    </row>
    <row r="35538" spans="1:6" x14ac:dyDescent="0.25">
      <c r="A35538"/>
      <c r="B35538"/>
      <c r="C35538"/>
      <c r="E35538"/>
      <c r="F35538"/>
    </row>
    <row r="35539" spans="1:6" x14ac:dyDescent="0.25">
      <c r="A35539"/>
      <c r="B35539"/>
      <c r="C35539"/>
      <c r="E35539"/>
      <c r="F35539"/>
    </row>
    <row r="35540" spans="1:6" x14ac:dyDescent="0.25">
      <c r="A35540"/>
      <c r="B35540"/>
      <c r="C35540"/>
      <c r="E35540"/>
      <c r="F35540"/>
    </row>
    <row r="35541" spans="1:6" x14ac:dyDescent="0.25">
      <c r="A35541"/>
      <c r="B35541"/>
      <c r="C35541"/>
      <c r="E35541"/>
      <c r="F35541"/>
    </row>
    <row r="35542" spans="1:6" x14ac:dyDescent="0.25">
      <c r="A35542"/>
      <c r="B35542"/>
      <c r="C35542"/>
      <c r="E35542"/>
      <c r="F35542"/>
    </row>
    <row r="35543" spans="1:6" x14ac:dyDescent="0.25">
      <c r="A35543"/>
      <c r="B35543"/>
      <c r="C35543"/>
      <c r="E35543"/>
      <c r="F35543"/>
    </row>
    <row r="35544" spans="1:6" x14ac:dyDescent="0.25">
      <c r="A35544"/>
      <c r="B35544"/>
      <c r="C35544"/>
      <c r="E35544"/>
      <c r="F35544"/>
    </row>
    <row r="35545" spans="1:6" x14ac:dyDescent="0.25">
      <c r="A35545"/>
      <c r="B35545"/>
      <c r="C35545"/>
      <c r="E35545"/>
      <c r="F35545"/>
    </row>
    <row r="35546" spans="1:6" x14ac:dyDescent="0.25">
      <c r="A35546"/>
      <c r="B35546"/>
      <c r="C35546"/>
      <c r="E35546"/>
      <c r="F35546"/>
    </row>
    <row r="35547" spans="1:6" x14ac:dyDescent="0.25">
      <c r="A35547"/>
      <c r="B35547"/>
      <c r="C35547"/>
      <c r="E35547"/>
      <c r="F35547"/>
    </row>
    <row r="35548" spans="1:6" x14ac:dyDescent="0.25">
      <c r="A35548"/>
      <c r="B35548"/>
      <c r="C35548"/>
      <c r="E35548"/>
      <c r="F35548"/>
    </row>
    <row r="35549" spans="1:6" x14ac:dyDescent="0.25">
      <c r="A35549"/>
      <c r="B35549"/>
      <c r="C35549"/>
      <c r="E35549"/>
      <c r="F35549"/>
    </row>
    <row r="35550" spans="1:6" x14ac:dyDescent="0.25">
      <c r="A35550"/>
      <c r="B35550"/>
      <c r="C35550"/>
      <c r="E35550"/>
      <c r="F35550"/>
    </row>
    <row r="35551" spans="1:6" x14ac:dyDescent="0.25">
      <c r="A35551"/>
      <c r="B35551"/>
      <c r="C35551"/>
      <c r="E35551"/>
      <c r="F35551"/>
    </row>
    <row r="35552" spans="1:6" x14ac:dyDescent="0.25">
      <c r="A35552"/>
      <c r="B35552"/>
      <c r="C35552"/>
      <c r="E35552"/>
      <c r="F35552"/>
    </row>
    <row r="35553" spans="1:6" x14ac:dyDescent="0.25">
      <c r="A35553"/>
      <c r="B35553"/>
      <c r="C35553"/>
      <c r="E35553"/>
      <c r="F35553"/>
    </row>
    <row r="35554" spans="1:6" x14ac:dyDescent="0.25">
      <c r="A35554"/>
      <c r="B35554"/>
      <c r="C35554"/>
      <c r="E35554"/>
      <c r="F35554"/>
    </row>
    <row r="35555" spans="1:6" x14ac:dyDescent="0.25">
      <c r="A35555"/>
      <c r="B35555"/>
      <c r="C35555"/>
      <c r="E35555"/>
      <c r="F35555"/>
    </row>
    <row r="35556" spans="1:6" x14ac:dyDescent="0.25">
      <c r="A35556"/>
      <c r="B35556"/>
      <c r="C35556"/>
      <c r="E35556"/>
      <c r="F35556"/>
    </row>
    <row r="35557" spans="1:6" x14ac:dyDescent="0.25">
      <c r="A35557"/>
      <c r="B35557"/>
      <c r="C35557"/>
      <c r="E35557"/>
      <c r="F35557"/>
    </row>
    <row r="35558" spans="1:6" x14ac:dyDescent="0.25">
      <c r="A35558"/>
      <c r="B35558"/>
      <c r="C35558"/>
      <c r="E35558"/>
      <c r="F35558"/>
    </row>
    <row r="35559" spans="1:6" x14ac:dyDescent="0.25">
      <c r="A35559"/>
      <c r="B35559"/>
      <c r="C35559"/>
      <c r="E35559"/>
      <c r="F35559"/>
    </row>
    <row r="35560" spans="1:6" x14ac:dyDescent="0.25">
      <c r="A35560"/>
      <c r="B35560"/>
      <c r="C35560"/>
      <c r="E35560"/>
      <c r="F35560"/>
    </row>
    <row r="35561" spans="1:6" x14ac:dyDescent="0.25">
      <c r="A35561"/>
      <c r="B35561"/>
      <c r="C35561"/>
      <c r="E35561"/>
      <c r="F35561"/>
    </row>
    <row r="35562" spans="1:6" x14ac:dyDescent="0.25">
      <c r="A35562"/>
      <c r="B35562"/>
      <c r="C35562"/>
      <c r="E35562"/>
      <c r="F35562"/>
    </row>
    <row r="35563" spans="1:6" x14ac:dyDescent="0.25">
      <c r="A35563"/>
      <c r="B35563"/>
      <c r="C35563"/>
      <c r="E35563"/>
      <c r="F35563"/>
    </row>
    <row r="35564" spans="1:6" x14ac:dyDescent="0.25">
      <c r="A35564"/>
      <c r="B35564"/>
      <c r="C35564"/>
      <c r="E35564"/>
      <c r="F35564"/>
    </row>
    <row r="35565" spans="1:6" x14ac:dyDescent="0.25">
      <c r="A35565"/>
      <c r="B35565"/>
      <c r="C35565"/>
      <c r="E35565"/>
      <c r="F35565"/>
    </row>
    <row r="35566" spans="1:6" x14ac:dyDescent="0.25">
      <c r="A35566"/>
      <c r="B35566"/>
      <c r="C35566"/>
      <c r="E35566"/>
      <c r="F35566"/>
    </row>
    <row r="35567" spans="1:6" x14ac:dyDescent="0.25">
      <c r="A35567"/>
      <c r="B35567"/>
      <c r="C35567"/>
      <c r="E35567"/>
      <c r="F35567"/>
    </row>
    <row r="35568" spans="1:6" x14ac:dyDescent="0.25">
      <c r="A35568"/>
      <c r="B35568"/>
      <c r="C35568"/>
      <c r="E35568"/>
      <c r="F35568"/>
    </row>
    <row r="35569" spans="1:6" x14ac:dyDescent="0.25">
      <c r="A35569"/>
      <c r="B35569"/>
      <c r="C35569"/>
      <c r="E35569"/>
      <c r="F35569"/>
    </row>
    <row r="35570" spans="1:6" x14ac:dyDescent="0.25">
      <c r="A35570"/>
      <c r="B35570"/>
      <c r="C35570"/>
      <c r="E35570"/>
      <c r="F35570"/>
    </row>
    <row r="35571" spans="1:6" x14ac:dyDescent="0.25">
      <c r="A35571"/>
      <c r="B35571"/>
      <c r="C35571"/>
      <c r="E35571"/>
      <c r="F35571"/>
    </row>
    <row r="35572" spans="1:6" x14ac:dyDescent="0.25">
      <c r="A35572"/>
      <c r="B35572"/>
      <c r="C35572"/>
      <c r="E35572"/>
      <c r="F35572"/>
    </row>
    <row r="35573" spans="1:6" x14ac:dyDescent="0.25">
      <c r="A35573"/>
      <c r="B35573"/>
      <c r="C35573"/>
      <c r="E35573"/>
      <c r="F35573"/>
    </row>
    <row r="35574" spans="1:6" x14ac:dyDescent="0.25">
      <c r="A35574"/>
      <c r="B35574"/>
      <c r="C35574"/>
      <c r="E35574"/>
      <c r="F35574"/>
    </row>
    <row r="35575" spans="1:6" x14ac:dyDescent="0.25">
      <c r="A35575"/>
      <c r="B35575"/>
      <c r="C35575"/>
      <c r="E35575"/>
      <c r="F35575"/>
    </row>
    <row r="35576" spans="1:6" x14ac:dyDescent="0.25">
      <c r="A35576"/>
      <c r="B35576"/>
      <c r="C35576"/>
      <c r="E35576"/>
      <c r="F35576"/>
    </row>
    <row r="35577" spans="1:6" x14ac:dyDescent="0.25">
      <c r="A35577"/>
      <c r="B35577"/>
      <c r="C35577"/>
      <c r="E35577"/>
      <c r="F35577"/>
    </row>
    <row r="35578" spans="1:6" x14ac:dyDescent="0.25">
      <c r="A35578"/>
      <c r="B35578"/>
      <c r="C35578"/>
      <c r="E35578"/>
      <c r="F35578"/>
    </row>
    <row r="35579" spans="1:6" x14ac:dyDescent="0.25">
      <c r="A35579"/>
      <c r="B35579"/>
      <c r="C35579"/>
      <c r="E35579"/>
      <c r="F35579"/>
    </row>
    <row r="35580" spans="1:6" x14ac:dyDescent="0.25">
      <c r="A35580"/>
      <c r="B35580"/>
      <c r="C35580"/>
      <c r="E35580"/>
      <c r="F35580"/>
    </row>
    <row r="35581" spans="1:6" x14ac:dyDescent="0.25">
      <c r="A35581"/>
      <c r="B35581"/>
      <c r="C35581"/>
      <c r="E35581"/>
      <c r="F35581"/>
    </row>
    <row r="35582" spans="1:6" x14ac:dyDescent="0.25">
      <c r="A35582"/>
      <c r="B35582"/>
      <c r="C35582"/>
      <c r="E35582"/>
      <c r="F35582"/>
    </row>
    <row r="35583" spans="1:6" x14ac:dyDescent="0.25">
      <c r="A35583"/>
      <c r="B35583"/>
      <c r="C35583"/>
      <c r="E35583"/>
      <c r="F35583"/>
    </row>
    <row r="35584" spans="1:6" x14ac:dyDescent="0.25">
      <c r="A35584"/>
      <c r="B35584"/>
      <c r="C35584"/>
      <c r="E35584"/>
      <c r="F35584"/>
    </row>
    <row r="35585" spans="1:6" x14ac:dyDescent="0.25">
      <c r="A35585"/>
      <c r="B35585"/>
      <c r="C35585"/>
      <c r="E35585"/>
      <c r="F35585"/>
    </row>
    <row r="35586" spans="1:6" x14ac:dyDescent="0.25">
      <c r="A35586"/>
      <c r="B35586"/>
      <c r="C35586"/>
      <c r="E35586"/>
      <c r="F35586"/>
    </row>
    <row r="35587" spans="1:6" x14ac:dyDescent="0.25">
      <c r="A35587"/>
      <c r="B35587"/>
      <c r="C35587"/>
      <c r="E35587"/>
      <c r="F35587"/>
    </row>
    <row r="35588" spans="1:6" x14ac:dyDescent="0.25">
      <c r="A35588"/>
      <c r="B35588"/>
      <c r="C35588"/>
      <c r="E35588"/>
      <c r="F35588"/>
    </row>
    <row r="35589" spans="1:6" x14ac:dyDescent="0.25">
      <c r="A35589"/>
      <c r="B35589"/>
      <c r="C35589"/>
      <c r="E35589"/>
      <c r="F35589"/>
    </row>
    <row r="35590" spans="1:6" x14ac:dyDescent="0.25">
      <c r="A35590"/>
      <c r="B35590"/>
      <c r="C35590"/>
      <c r="E35590"/>
      <c r="F35590"/>
    </row>
    <row r="35591" spans="1:6" x14ac:dyDescent="0.25">
      <c r="A35591"/>
      <c r="B35591"/>
      <c r="C35591"/>
      <c r="E35591"/>
      <c r="F35591"/>
    </row>
    <row r="35592" spans="1:6" x14ac:dyDescent="0.25">
      <c r="A35592"/>
      <c r="B35592"/>
      <c r="C35592"/>
      <c r="E35592"/>
      <c r="F35592"/>
    </row>
    <row r="35593" spans="1:6" x14ac:dyDescent="0.25">
      <c r="A35593"/>
      <c r="B35593"/>
      <c r="C35593"/>
      <c r="E35593"/>
      <c r="F35593"/>
    </row>
    <row r="35594" spans="1:6" x14ac:dyDescent="0.25">
      <c r="A35594"/>
      <c r="B35594"/>
      <c r="C35594"/>
      <c r="E35594"/>
      <c r="F35594"/>
    </row>
    <row r="35595" spans="1:6" x14ac:dyDescent="0.25">
      <c r="A35595"/>
      <c r="B35595"/>
      <c r="C35595"/>
      <c r="E35595"/>
      <c r="F35595"/>
    </row>
    <row r="35596" spans="1:6" x14ac:dyDescent="0.25">
      <c r="A35596"/>
      <c r="B35596"/>
      <c r="C35596"/>
      <c r="E35596"/>
      <c r="F35596"/>
    </row>
    <row r="35597" spans="1:6" x14ac:dyDescent="0.25">
      <c r="A35597"/>
      <c r="B35597"/>
      <c r="C35597"/>
      <c r="E35597"/>
      <c r="F35597"/>
    </row>
    <row r="35598" spans="1:6" x14ac:dyDescent="0.25">
      <c r="A35598"/>
      <c r="B35598"/>
      <c r="C35598"/>
      <c r="E35598"/>
      <c r="F35598"/>
    </row>
    <row r="35599" spans="1:6" x14ac:dyDescent="0.25">
      <c r="A35599"/>
      <c r="B35599"/>
      <c r="C35599"/>
      <c r="E35599"/>
      <c r="F35599"/>
    </row>
    <row r="35600" spans="1:6" x14ac:dyDescent="0.25">
      <c r="A35600"/>
      <c r="B35600"/>
      <c r="C35600"/>
      <c r="E35600"/>
      <c r="F35600"/>
    </row>
    <row r="35601" spans="1:6" x14ac:dyDescent="0.25">
      <c r="A35601"/>
      <c r="B35601"/>
      <c r="C35601"/>
      <c r="E35601"/>
      <c r="F35601"/>
    </row>
    <row r="35602" spans="1:6" x14ac:dyDescent="0.25">
      <c r="A35602"/>
      <c r="B35602"/>
      <c r="C35602"/>
      <c r="E35602"/>
      <c r="F35602"/>
    </row>
    <row r="35603" spans="1:6" x14ac:dyDescent="0.25">
      <c r="A35603"/>
      <c r="B35603"/>
      <c r="C35603"/>
      <c r="E35603"/>
      <c r="F35603"/>
    </row>
    <row r="35604" spans="1:6" x14ac:dyDescent="0.25">
      <c r="A35604"/>
      <c r="B35604"/>
      <c r="C35604"/>
      <c r="E35604"/>
      <c r="F35604"/>
    </row>
    <row r="35605" spans="1:6" x14ac:dyDescent="0.25">
      <c r="A35605"/>
      <c r="B35605"/>
      <c r="C35605"/>
      <c r="E35605"/>
      <c r="F35605"/>
    </row>
    <row r="35606" spans="1:6" x14ac:dyDescent="0.25">
      <c r="A35606"/>
      <c r="B35606"/>
      <c r="C35606"/>
      <c r="E35606"/>
      <c r="F35606"/>
    </row>
    <row r="35607" spans="1:6" x14ac:dyDescent="0.25">
      <c r="A35607"/>
      <c r="B35607"/>
      <c r="C35607"/>
      <c r="E35607"/>
      <c r="F35607"/>
    </row>
    <row r="35608" spans="1:6" x14ac:dyDescent="0.25">
      <c r="A35608"/>
      <c r="B35608"/>
      <c r="C35608"/>
      <c r="E35608"/>
      <c r="F35608"/>
    </row>
    <row r="35609" spans="1:6" x14ac:dyDescent="0.25">
      <c r="A35609"/>
      <c r="B35609"/>
      <c r="C35609"/>
      <c r="E35609"/>
      <c r="F35609"/>
    </row>
    <row r="35610" spans="1:6" x14ac:dyDescent="0.25">
      <c r="A35610"/>
      <c r="B35610"/>
      <c r="C35610"/>
      <c r="E35610"/>
      <c r="F35610"/>
    </row>
    <row r="35611" spans="1:6" x14ac:dyDescent="0.25">
      <c r="A35611"/>
      <c r="B35611"/>
      <c r="C35611"/>
      <c r="E35611"/>
      <c r="F35611"/>
    </row>
    <row r="35612" spans="1:6" x14ac:dyDescent="0.25">
      <c r="A35612"/>
      <c r="B35612"/>
      <c r="C35612"/>
      <c r="E35612"/>
      <c r="F35612"/>
    </row>
    <row r="35613" spans="1:6" x14ac:dyDescent="0.25">
      <c r="A35613"/>
      <c r="B35613"/>
      <c r="C35613"/>
      <c r="E35613"/>
      <c r="F35613"/>
    </row>
    <row r="35614" spans="1:6" x14ac:dyDescent="0.25">
      <c r="A35614"/>
      <c r="B35614"/>
      <c r="C35614"/>
      <c r="E35614"/>
      <c r="F35614"/>
    </row>
    <row r="35615" spans="1:6" x14ac:dyDescent="0.25">
      <c r="A35615"/>
      <c r="B35615"/>
      <c r="C35615"/>
      <c r="E35615"/>
      <c r="F35615"/>
    </row>
    <row r="35616" spans="1:6" x14ac:dyDescent="0.25">
      <c r="A35616"/>
      <c r="B35616"/>
      <c r="C35616"/>
      <c r="E35616"/>
      <c r="F35616"/>
    </row>
    <row r="35617" spans="1:6" x14ac:dyDescent="0.25">
      <c r="A35617"/>
      <c r="B35617"/>
      <c r="C35617"/>
      <c r="E35617"/>
      <c r="F35617"/>
    </row>
    <row r="35618" spans="1:6" x14ac:dyDescent="0.25">
      <c r="A35618"/>
      <c r="B35618"/>
      <c r="C35618"/>
      <c r="E35618"/>
      <c r="F35618"/>
    </row>
    <row r="35619" spans="1:6" x14ac:dyDescent="0.25">
      <c r="A35619"/>
      <c r="B35619"/>
      <c r="C35619"/>
      <c r="E35619"/>
      <c r="F35619"/>
    </row>
    <row r="35620" spans="1:6" x14ac:dyDescent="0.25">
      <c r="A35620"/>
      <c r="B35620"/>
      <c r="C35620"/>
      <c r="E35620"/>
      <c r="F35620"/>
    </row>
    <row r="35621" spans="1:6" x14ac:dyDescent="0.25">
      <c r="A35621"/>
      <c r="B35621"/>
      <c r="C35621"/>
      <c r="E35621"/>
      <c r="F35621"/>
    </row>
    <row r="35622" spans="1:6" x14ac:dyDescent="0.25">
      <c r="A35622"/>
      <c r="B35622"/>
      <c r="C35622"/>
      <c r="E35622"/>
      <c r="F35622"/>
    </row>
    <row r="35623" spans="1:6" x14ac:dyDescent="0.25">
      <c r="A35623"/>
      <c r="B35623"/>
      <c r="C35623"/>
      <c r="E35623"/>
      <c r="F35623"/>
    </row>
    <row r="35624" spans="1:6" x14ac:dyDescent="0.25">
      <c r="A35624"/>
      <c r="B35624"/>
      <c r="C35624"/>
      <c r="E35624"/>
      <c r="F35624"/>
    </row>
    <row r="35625" spans="1:6" x14ac:dyDescent="0.25">
      <c r="A35625"/>
      <c r="B35625"/>
      <c r="C35625"/>
      <c r="E35625"/>
      <c r="F35625"/>
    </row>
    <row r="35626" spans="1:6" x14ac:dyDescent="0.25">
      <c r="A35626"/>
      <c r="B35626"/>
      <c r="C35626"/>
      <c r="E35626"/>
      <c r="F35626"/>
    </row>
    <row r="35627" spans="1:6" x14ac:dyDescent="0.25">
      <c r="A35627"/>
      <c r="B35627"/>
      <c r="C35627"/>
      <c r="E35627"/>
      <c r="F35627"/>
    </row>
    <row r="35628" spans="1:6" x14ac:dyDescent="0.25">
      <c r="A35628"/>
      <c r="B35628"/>
      <c r="C35628"/>
      <c r="E35628"/>
      <c r="F35628"/>
    </row>
    <row r="35629" spans="1:6" x14ac:dyDescent="0.25">
      <c r="A35629"/>
      <c r="B35629"/>
      <c r="C35629"/>
      <c r="E35629"/>
      <c r="F35629"/>
    </row>
    <row r="35630" spans="1:6" x14ac:dyDescent="0.25">
      <c r="A35630"/>
      <c r="B35630"/>
      <c r="C35630"/>
      <c r="E35630"/>
      <c r="F35630"/>
    </row>
    <row r="35631" spans="1:6" x14ac:dyDescent="0.25">
      <c r="A35631"/>
      <c r="B35631"/>
      <c r="C35631"/>
      <c r="E35631"/>
      <c r="F35631"/>
    </row>
    <row r="35632" spans="1:6" x14ac:dyDescent="0.25">
      <c r="A35632"/>
      <c r="B35632"/>
      <c r="C35632"/>
      <c r="E35632"/>
      <c r="F35632"/>
    </row>
    <row r="35633" spans="1:6" x14ac:dyDescent="0.25">
      <c r="A35633"/>
      <c r="B35633"/>
      <c r="C35633"/>
      <c r="E35633"/>
      <c r="F35633"/>
    </row>
    <row r="35634" spans="1:6" x14ac:dyDescent="0.25">
      <c r="A35634"/>
      <c r="B35634"/>
      <c r="C35634"/>
      <c r="E35634"/>
      <c r="F35634"/>
    </row>
    <row r="35635" spans="1:6" x14ac:dyDescent="0.25">
      <c r="A35635"/>
      <c r="B35635"/>
      <c r="C35635"/>
      <c r="E35635"/>
      <c r="F35635"/>
    </row>
    <row r="35636" spans="1:6" x14ac:dyDescent="0.25">
      <c r="A35636"/>
      <c r="B35636"/>
      <c r="C35636"/>
      <c r="E35636"/>
      <c r="F35636"/>
    </row>
    <row r="35637" spans="1:6" x14ac:dyDescent="0.25">
      <c r="A35637"/>
      <c r="B35637"/>
      <c r="C35637"/>
      <c r="E35637"/>
      <c r="F35637"/>
    </row>
    <row r="35638" spans="1:6" x14ac:dyDescent="0.25">
      <c r="A35638"/>
      <c r="B35638"/>
      <c r="C35638"/>
      <c r="E35638"/>
      <c r="F35638"/>
    </row>
    <row r="35639" spans="1:6" x14ac:dyDescent="0.25">
      <c r="A35639"/>
      <c r="B35639"/>
      <c r="C35639"/>
      <c r="E35639"/>
      <c r="F35639"/>
    </row>
    <row r="35640" spans="1:6" x14ac:dyDescent="0.25">
      <c r="A35640"/>
      <c r="B35640"/>
      <c r="C35640"/>
      <c r="E35640"/>
      <c r="F35640"/>
    </row>
    <row r="35641" spans="1:6" x14ac:dyDescent="0.25">
      <c r="A35641"/>
      <c r="B35641"/>
      <c r="C35641"/>
      <c r="E35641"/>
      <c r="F35641"/>
    </row>
    <row r="35642" spans="1:6" x14ac:dyDescent="0.25">
      <c r="A35642"/>
      <c r="B35642"/>
      <c r="C35642"/>
      <c r="E35642"/>
      <c r="F35642"/>
    </row>
    <row r="35643" spans="1:6" x14ac:dyDescent="0.25">
      <c r="A35643"/>
      <c r="B35643"/>
      <c r="C35643"/>
      <c r="E35643"/>
      <c r="F35643"/>
    </row>
    <row r="35644" spans="1:6" x14ac:dyDescent="0.25">
      <c r="A35644"/>
      <c r="B35644"/>
      <c r="C35644"/>
      <c r="E35644"/>
      <c r="F35644"/>
    </row>
    <row r="35645" spans="1:6" x14ac:dyDescent="0.25">
      <c r="A35645"/>
      <c r="B35645"/>
      <c r="C35645"/>
      <c r="E35645"/>
      <c r="F35645"/>
    </row>
    <row r="35646" spans="1:6" x14ac:dyDescent="0.25">
      <c r="A35646"/>
      <c r="B35646"/>
      <c r="C35646"/>
      <c r="E35646"/>
      <c r="F35646"/>
    </row>
    <row r="35647" spans="1:6" x14ac:dyDescent="0.25">
      <c r="A35647"/>
      <c r="B35647"/>
      <c r="C35647"/>
      <c r="E35647"/>
      <c r="F35647"/>
    </row>
    <row r="35648" spans="1:6" x14ac:dyDescent="0.25">
      <c r="A35648"/>
      <c r="B35648"/>
      <c r="C35648"/>
      <c r="E35648"/>
      <c r="F35648"/>
    </row>
    <row r="35649" spans="1:6" x14ac:dyDescent="0.25">
      <c r="A35649"/>
      <c r="B35649"/>
      <c r="C35649"/>
      <c r="E35649"/>
      <c r="F35649"/>
    </row>
    <row r="35650" spans="1:6" x14ac:dyDescent="0.25">
      <c r="A35650"/>
      <c r="B35650"/>
      <c r="C35650"/>
      <c r="E35650"/>
      <c r="F35650"/>
    </row>
    <row r="35651" spans="1:6" x14ac:dyDescent="0.25">
      <c r="A35651"/>
      <c r="B35651"/>
      <c r="C35651"/>
      <c r="E35651"/>
      <c r="F35651"/>
    </row>
    <row r="35652" spans="1:6" x14ac:dyDescent="0.25">
      <c r="A35652"/>
      <c r="B35652"/>
      <c r="C35652"/>
      <c r="E35652"/>
      <c r="F35652"/>
    </row>
    <row r="35653" spans="1:6" x14ac:dyDescent="0.25">
      <c r="A35653"/>
      <c r="B35653"/>
      <c r="C35653"/>
      <c r="E35653"/>
      <c r="F35653"/>
    </row>
    <row r="35654" spans="1:6" x14ac:dyDescent="0.25">
      <c r="A35654"/>
      <c r="B35654"/>
      <c r="C35654"/>
      <c r="E35654"/>
      <c r="F35654"/>
    </row>
    <row r="35655" spans="1:6" x14ac:dyDescent="0.25">
      <c r="A35655"/>
      <c r="B35655"/>
      <c r="C35655"/>
      <c r="E35655"/>
      <c r="F35655"/>
    </row>
    <row r="35656" spans="1:6" x14ac:dyDescent="0.25">
      <c r="A35656"/>
      <c r="B35656"/>
      <c r="C35656"/>
      <c r="E35656"/>
      <c r="F35656"/>
    </row>
    <row r="35657" spans="1:6" x14ac:dyDescent="0.25">
      <c r="A35657"/>
      <c r="B35657"/>
      <c r="C35657"/>
      <c r="E35657"/>
      <c r="F35657"/>
    </row>
    <row r="35658" spans="1:6" x14ac:dyDescent="0.25">
      <c r="A35658"/>
      <c r="B35658"/>
      <c r="C35658"/>
      <c r="E35658"/>
      <c r="F35658"/>
    </row>
    <row r="35659" spans="1:6" x14ac:dyDescent="0.25">
      <c r="A35659"/>
      <c r="B35659"/>
      <c r="C35659"/>
      <c r="E35659"/>
      <c r="F35659"/>
    </row>
    <row r="35660" spans="1:6" x14ac:dyDescent="0.25">
      <c r="A35660"/>
      <c r="B35660"/>
      <c r="C35660"/>
      <c r="E35660"/>
      <c r="F35660"/>
    </row>
    <row r="35661" spans="1:6" x14ac:dyDescent="0.25">
      <c r="A35661"/>
      <c r="B35661"/>
      <c r="C35661"/>
      <c r="E35661"/>
      <c r="F35661"/>
    </row>
    <row r="35662" spans="1:6" x14ac:dyDescent="0.25">
      <c r="A35662"/>
      <c r="B35662"/>
      <c r="C35662"/>
      <c r="E35662"/>
      <c r="F35662"/>
    </row>
    <row r="35663" spans="1:6" x14ac:dyDescent="0.25">
      <c r="A35663"/>
      <c r="B35663"/>
      <c r="C35663"/>
      <c r="E35663"/>
      <c r="F35663"/>
    </row>
    <row r="35664" spans="1:6" x14ac:dyDescent="0.25">
      <c r="A35664"/>
      <c r="B35664"/>
      <c r="C35664"/>
      <c r="E35664"/>
      <c r="F35664"/>
    </row>
    <row r="35665" spans="1:6" x14ac:dyDescent="0.25">
      <c r="A35665"/>
      <c r="B35665"/>
      <c r="C35665"/>
      <c r="E35665"/>
      <c r="F35665"/>
    </row>
    <row r="35666" spans="1:6" x14ac:dyDescent="0.25">
      <c r="A35666"/>
      <c r="B35666"/>
      <c r="C35666"/>
      <c r="E35666"/>
      <c r="F35666"/>
    </row>
    <row r="35667" spans="1:6" x14ac:dyDescent="0.25">
      <c r="A35667"/>
      <c r="B35667"/>
      <c r="C35667"/>
      <c r="E35667"/>
      <c r="F35667"/>
    </row>
    <row r="35668" spans="1:6" x14ac:dyDescent="0.25">
      <c r="A35668"/>
      <c r="B35668"/>
      <c r="C35668"/>
      <c r="E35668"/>
      <c r="F35668"/>
    </row>
    <row r="35669" spans="1:6" x14ac:dyDescent="0.25">
      <c r="A35669"/>
      <c r="B35669"/>
      <c r="C35669"/>
      <c r="E35669"/>
      <c r="F35669"/>
    </row>
    <row r="35670" spans="1:6" x14ac:dyDescent="0.25">
      <c r="A35670"/>
      <c r="B35670"/>
      <c r="C35670"/>
      <c r="E35670"/>
      <c r="F35670"/>
    </row>
    <row r="35671" spans="1:6" x14ac:dyDescent="0.25">
      <c r="A35671"/>
      <c r="B35671"/>
      <c r="C35671"/>
      <c r="E35671"/>
      <c r="F35671"/>
    </row>
    <row r="35672" spans="1:6" x14ac:dyDescent="0.25">
      <c r="A35672"/>
      <c r="B35672"/>
      <c r="C35672"/>
      <c r="E35672"/>
      <c r="F35672"/>
    </row>
    <row r="35673" spans="1:6" x14ac:dyDescent="0.25">
      <c r="A35673"/>
      <c r="B35673"/>
      <c r="C35673"/>
      <c r="E35673"/>
      <c r="F35673"/>
    </row>
    <row r="35674" spans="1:6" x14ac:dyDescent="0.25">
      <c r="A35674"/>
      <c r="B35674"/>
      <c r="C35674"/>
      <c r="E35674"/>
      <c r="F35674"/>
    </row>
    <row r="35675" spans="1:6" x14ac:dyDescent="0.25">
      <c r="A35675"/>
      <c r="B35675"/>
      <c r="C35675"/>
      <c r="E35675"/>
      <c r="F35675"/>
    </row>
    <row r="35676" spans="1:6" x14ac:dyDescent="0.25">
      <c r="A35676"/>
      <c r="B35676"/>
      <c r="C35676"/>
      <c r="E35676"/>
      <c r="F35676"/>
    </row>
    <row r="35677" spans="1:6" x14ac:dyDescent="0.25">
      <c r="A35677"/>
      <c r="B35677"/>
      <c r="C35677"/>
      <c r="E35677"/>
      <c r="F35677"/>
    </row>
    <row r="35678" spans="1:6" x14ac:dyDescent="0.25">
      <c r="A35678"/>
      <c r="B35678"/>
      <c r="C35678"/>
      <c r="E35678"/>
      <c r="F35678"/>
    </row>
    <row r="35679" spans="1:6" x14ac:dyDescent="0.25">
      <c r="A35679"/>
      <c r="B35679"/>
      <c r="C35679"/>
      <c r="E35679"/>
      <c r="F35679"/>
    </row>
    <row r="35680" spans="1:6" x14ac:dyDescent="0.25">
      <c r="A35680"/>
      <c r="B35680"/>
      <c r="C35680"/>
      <c r="E35680"/>
      <c r="F35680"/>
    </row>
    <row r="35681" spans="1:6" x14ac:dyDescent="0.25">
      <c r="A35681"/>
      <c r="B35681"/>
      <c r="C35681"/>
      <c r="E35681"/>
      <c r="F35681"/>
    </row>
    <row r="35682" spans="1:6" x14ac:dyDescent="0.25">
      <c r="A35682"/>
      <c r="B35682"/>
      <c r="C35682"/>
      <c r="E35682"/>
      <c r="F35682"/>
    </row>
    <row r="35683" spans="1:6" x14ac:dyDescent="0.25">
      <c r="A35683"/>
      <c r="B35683"/>
      <c r="C35683"/>
      <c r="E35683"/>
      <c r="F35683"/>
    </row>
    <row r="35684" spans="1:6" x14ac:dyDescent="0.25">
      <c r="A35684"/>
      <c r="B35684"/>
      <c r="C35684"/>
      <c r="E35684"/>
      <c r="F35684"/>
    </row>
    <row r="35685" spans="1:6" x14ac:dyDescent="0.25">
      <c r="A35685"/>
      <c r="B35685"/>
      <c r="C35685"/>
      <c r="E35685"/>
      <c r="F35685"/>
    </row>
    <row r="35686" spans="1:6" x14ac:dyDescent="0.25">
      <c r="A35686"/>
      <c r="B35686"/>
      <c r="C35686"/>
      <c r="E35686"/>
      <c r="F35686"/>
    </row>
    <row r="35687" spans="1:6" x14ac:dyDescent="0.25">
      <c r="A35687"/>
      <c r="B35687"/>
      <c r="C35687"/>
      <c r="E35687"/>
      <c r="F35687"/>
    </row>
    <row r="35688" spans="1:6" x14ac:dyDescent="0.25">
      <c r="A35688"/>
      <c r="B35688"/>
      <c r="C35688"/>
      <c r="E35688"/>
      <c r="F35688"/>
    </row>
    <row r="35689" spans="1:6" x14ac:dyDescent="0.25">
      <c r="A35689"/>
      <c r="B35689"/>
      <c r="C35689"/>
      <c r="E35689"/>
      <c r="F35689"/>
    </row>
    <row r="35690" spans="1:6" x14ac:dyDescent="0.25">
      <c r="A35690"/>
      <c r="B35690"/>
      <c r="C35690"/>
      <c r="E35690"/>
      <c r="F35690"/>
    </row>
    <row r="35691" spans="1:6" x14ac:dyDescent="0.25">
      <c r="A35691"/>
      <c r="B35691"/>
      <c r="C35691"/>
      <c r="E35691"/>
      <c r="F35691"/>
    </row>
    <row r="35692" spans="1:6" x14ac:dyDescent="0.25">
      <c r="A35692"/>
      <c r="B35692"/>
      <c r="C35692"/>
      <c r="E35692"/>
      <c r="F35692"/>
    </row>
    <row r="35693" spans="1:6" x14ac:dyDescent="0.25">
      <c r="A35693"/>
      <c r="B35693"/>
      <c r="C35693"/>
      <c r="E35693"/>
      <c r="F35693"/>
    </row>
    <row r="35694" spans="1:6" x14ac:dyDescent="0.25">
      <c r="A35694"/>
      <c r="B35694"/>
      <c r="C35694"/>
      <c r="E35694"/>
      <c r="F35694"/>
    </row>
    <row r="35695" spans="1:6" x14ac:dyDescent="0.25">
      <c r="A35695"/>
      <c r="B35695"/>
      <c r="C35695"/>
      <c r="E35695"/>
      <c r="F35695"/>
    </row>
    <row r="35696" spans="1:6" x14ac:dyDescent="0.25">
      <c r="A35696"/>
      <c r="B35696"/>
      <c r="C35696"/>
      <c r="E35696"/>
      <c r="F35696"/>
    </row>
    <row r="35697" spans="1:6" x14ac:dyDescent="0.25">
      <c r="A35697"/>
      <c r="B35697"/>
      <c r="C35697"/>
      <c r="E35697"/>
      <c r="F35697"/>
    </row>
    <row r="35698" spans="1:6" x14ac:dyDescent="0.25">
      <c r="A35698"/>
      <c r="B35698"/>
      <c r="C35698"/>
      <c r="E35698"/>
      <c r="F35698"/>
    </row>
    <row r="35699" spans="1:6" x14ac:dyDescent="0.25">
      <c r="A35699"/>
      <c r="B35699"/>
      <c r="C35699"/>
      <c r="E35699"/>
      <c r="F35699"/>
    </row>
    <row r="35700" spans="1:6" x14ac:dyDescent="0.25">
      <c r="A35700"/>
      <c r="B35700"/>
      <c r="C35700"/>
      <c r="E35700"/>
      <c r="F35700"/>
    </row>
    <row r="35701" spans="1:6" x14ac:dyDescent="0.25">
      <c r="A35701"/>
      <c r="B35701"/>
      <c r="C35701"/>
      <c r="E35701"/>
      <c r="F35701"/>
    </row>
    <row r="35702" spans="1:6" x14ac:dyDescent="0.25">
      <c r="A35702"/>
      <c r="B35702"/>
      <c r="C35702"/>
      <c r="E35702"/>
      <c r="F35702"/>
    </row>
    <row r="35703" spans="1:6" x14ac:dyDescent="0.25">
      <c r="A35703"/>
      <c r="B35703"/>
      <c r="C35703"/>
      <c r="E35703"/>
      <c r="F35703"/>
    </row>
    <row r="35704" spans="1:6" x14ac:dyDescent="0.25">
      <c r="A35704"/>
      <c r="B35704"/>
      <c r="C35704"/>
      <c r="E35704"/>
      <c r="F35704"/>
    </row>
    <row r="35705" spans="1:6" x14ac:dyDescent="0.25">
      <c r="A35705"/>
      <c r="B35705"/>
      <c r="C35705"/>
      <c r="E35705"/>
      <c r="F35705"/>
    </row>
    <row r="35706" spans="1:6" x14ac:dyDescent="0.25">
      <c r="A35706"/>
      <c r="B35706"/>
      <c r="C35706"/>
      <c r="E35706"/>
      <c r="F35706"/>
    </row>
    <row r="35707" spans="1:6" x14ac:dyDescent="0.25">
      <c r="A35707"/>
      <c r="B35707"/>
      <c r="C35707"/>
      <c r="E35707"/>
      <c r="F35707"/>
    </row>
    <row r="35708" spans="1:6" x14ac:dyDescent="0.25">
      <c r="A35708"/>
      <c r="B35708"/>
      <c r="C35708"/>
      <c r="E35708"/>
      <c r="F35708"/>
    </row>
    <row r="35709" spans="1:6" x14ac:dyDescent="0.25">
      <c r="A35709"/>
      <c r="B35709"/>
      <c r="C35709"/>
      <c r="E35709"/>
      <c r="F35709"/>
    </row>
    <row r="35710" spans="1:6" x14ac:dyDescent="0.25">
      <c r="A35710"/>
      <c r="B35710"/>
      <c r="C35710"/>
      <c r="E35710"/>
      <c r="F35710"/>
    </row>
    <row r="35711" spans="1:6" x14ac:dyDescent="0.25">
      <c r="A35711"/>
      <c r="B35711"/>
      <c r="C35711"/>
      <c r="E35711"/>
      <c r="F35711"/>
    </row>
    <row r="35712" spans="1:6" x14ac:dyDescent="0.25">
      <c r="A35712"/>
      <c r="B35712"/>
      <c r="C35712"/>
      <c r="E35712"/>
      <c r="F35712"/>
    </row>
    <row r="35713" spans="1:6" x14ac:dyDescent="0.25">
      <c r="A35713"/>
      <c r="B35713"/>
      <c r="C35713"/>
      <c r="E35713"/>
      <c r="F35713"/>
    </row>
    <row r="35714" spans="1:6" x14ac:dyDescent="0.25">
      <c r="A35714"/>
      <c r="B35714"/>
      <c r="C35714"/>
      <c r="E35714"/>
      <c r="F35714"/>
    </row>
    <row r="35715" spans="1:6" x14ac:dyDescent="0.25">
      <c r="A35715"/>
      <c r="B35715"/>
      <c r="C35715"/>
      <c r="E35715"/>
      <c r="F35715"/>
    </row>
    <row r="35716" spans="1:6" x14ac:dyDescent="0.25">
      <c r="A35716"/>
      <c r="B35716"/>
      <c r="C35716"/>
      <c r="E35716"/>
      <c r="F35716"/>
    </row>
    <row r="35717" spans="1:6" x14ac:dyDescent="0.25">
      <c r="A35717"/>
      <c r="B35717"/>
      <c r="C35717"/>
      <c r="E35717"/>
      <c r="F35717"/>
    </row>
    <row r="35718" spans="1:6" x14ac:dyDescent="0.25">
      <c r="A35718"/>
      <c r="B35718"/>
      <c r="C35718"/>
      <c r="E35718"/>
      <c r="F35718"/>
    </row>
    <row r="35719" spans="1:6" x14ac:dyDescent="0.25">
      <c r="A35719"/>
      <c r="B35719"/>
      <c r="C35719"/>
      <c r="E35719"/>
      <c r="F35719"/>
    </row>
    <row r="35720" spans="1:6" x14ac:dyDescent="0.25">
      <c r="A35720"/>
      <c r="B35720"/>
      <c r="C35720"/>
      <c r="E35720"/>
      <c r="F35720"/>
    </row>
    <row r="35721" spans="1:6" x14ac:dyDescent="0.25">
      <c r="A35721"/>
      <c r="B35721"/>
      <c r="C35721"/>
      <c r="E35721"/>
      <c r="F35721"/>
    </row>
    <row r="35722" spans="1:6" x14ac:dyDescent="0.25">
      <c r="A35722"/>
      <c r="B35722"/>
      <c r="C35722"/>
      <c r="E35722"/>
      <c r="F35722"/>
    </row>
    <row r="35723" spans="1:6" x14ac:dyDescent="0.25">
      <c r="A35723"/>
      <c r="B35723"/>
      <c r="C35723"/>
      <c r="E35723"/>
      <c r="F35723"/>
    </row>
    <row r="35724" spans="1:6" x14ac:dyDescent="0.25">
      <c r="A35724"/>
      <c r="B35724"/>
      <c r="C35724"/>
      <c r="E35724"/>
      <c r="F35724"/>
    </row>
    <row r="35725" spans="1:6" x14ac:dyDescent="0.25">
      <c r="A35725"/>
      <c r="B35725"/>
      <c r="C35725"/>
      <c r="E35725"/>
      <c r="F35725"/>
    </row>
    <row r="35726" spans="1:6" x14ac:dyDescent="0.25">
      <c r="A35726"/>
      <c r="B35726"/>
      <c r="C35726"/>
      <c r="E35726"/>
      <c r="F35726"/>
    </row>
    <row r="35727" spans="1:6" x14ac:dyDescent="0.25">
      <c r="A35727"/>
      <c r="B35727"/>
      <c r="C35727"/>
      <c r="E35727"/>
      <c r="F35727"/>
    </row>
    <row r="35728" spans="1:6" x14ac:dyDescent="0.25">
      <c r="A35728"/>
      <c r="B35728"/>
      <c r="C35728"/>
      <c r="E35728"/>
      <c r="F35728"/>
    </row>
    <row r="35729" spans="1:6" x14ac:dyDescent="0.25">
      <c r="A35729"/>
      <c r="B35729"/>
      <c r="C35729"/>
      <c r="E35729"/>
      <c r="F35729"/>
    </row>
    <row r="35730" spans="1:6" x14ac:dyDescent="0.25">
      <c r="A35730"/>
      <c r="B35730"/>
      <c r="C35730"/>
      <c r="E35730"/>
      <c r="F35730"/>
    </row>
    <row r="35731" spans="1:6" x14ac:dyDescent="0.25">
      <c r="A35731"/>
      <c r="B35731"/>
      <c r="C35731"/>
      <c r="E35731"/>
      <c r="F35731"/>
    </row>
    <row r="35732" spans="1:6" x14ac:dyDescent="0.25">
      <c r="A35732"/>
      <c r="B35732"/>
      <c r="C35732"/>
      <c r="E35732"/>
      <c r="F35732"/>
    </row>
    <row r="35733" spans="1:6" x14ac:dyDescent="0.25">
      <c r="A35733"/>
      <c r="B35733"/>
      <c r="C35733"/>
      <c r="E35733"/>
      <c r="F35733"/>
    </row>
    <row r="35734" spans="1:6" x14ac:dyDescent="0.25">
      <c r="A35734"/>
      <c r="B35734"/>
      <c r="C35734"/>
      <c r="E35734"/>
      <c r="F35734"/>
    </row>
    <row r="35735" spans="1:6" x14ac:dyDescent="0.25">
      <c r="A35735"/>
      <c r="B35735"/>
      <c r="C35735"/>
      <c r="E35735"/>
      <c r="F35735"/>
    </row>
    <row r="35736" spans="1:6" x14ac:dyDescent="0.25">
      <c r="A35736"/>
      <c r="B35736"/>
      <c r="C35736"/>
      <c r="E35736"/>
      <c r="F35736"/>
    </row>
    <row r="35737" spans="1:6" x14ac:dyDescent="0.25">
      <c r="A35737"/>
      <c r="B35737"/>
      <c r="C35737"/>
      <c r="E35737"/>
      <c r="F35737"/>
    </row>
    <row r="35738" spans="1:6" x14ac:dyDescent="0.25">
      <c r="A35738"/>
      <c r="B35738"/>
      <c r="C35738"/>
      <c r="E35738"/>
      <c r="F35738"/>
    </row>
    <row r="35739" spans="1:6" x14ac:dyDescent="0.25">
      <c r="A35739"/>
      <c r="B35739"/>
      <c r="C35739"/>
      <c r="E35739"/>
      <c r="F35739"/>
    </row>
    <row r="35740" spans="1:6" x14ac:dyDescent="0.25">
      <c r="A35740"/>
      <c r="B35740"/>
      <c r="C35740"/>
      <c r="E35740"/>
      <c r="F35740"/>
    </row>
    <row r="35741" spans="1:6" x14ac:dyDescent="0.25">
      <c r="A35741"/>
      <c r="B35741"/>
      <c r="C35741"/>
      <c r="E35741"/>
      <c r="F35741"/>
    </row>
    <row r="35742" spans="1:6" x14ac:dyDescent="0.25">
      <c r="A35742"/>
      <c r="B35742"/>
      <c r="C35742"/>
      <c r="E35742"/>
      <c r="F35742"/>
    </row>
    <row r="35743" spans="1:6" x14ac:dyDescent="0.25">
      <c r="A35743"/>
      <c r="B35743"/>
      <c r="C35743"/>
      <c r="E35743"/>
      <c r="F35743"/>
    </row>
    <row r="35744" spans="1:6" x14ac:dyDescent="0.25">
      <c r="A35744"/>
      <c r="B35744"/>
      <c r="C35744"/>
      <c r="E35744"/>
      <c r="F35744"/>
    </row>
    <row r="35745" spans="1:6" x14ac:dyDescent="0.25">
      <c r="A35745"/>
      <c r="B35745"/>
      <c r="C35745"/>
      <c r="E35745"/>
      <c r="F35745"/>
    </row>
    <row r="35746" spans="1:6" x14ac:dyDescent="0.25">
      <c r="A35746"/>
      <c r="B35746"/>
      <c r="C35746"/>
      <c r="E35746"/>
      <c r="F35746"/>
    </row>
    <row r="35747" spans="1:6" x14ac:dyDescent="0.25">
      <c r="A35747"/>
      <c r="B35747"/>
      <c r="C35747"/>
      <c r="E35747"/>
      <c r="F35747"/>
    </row>
    <row r="35748" spans="1:6" x14ac:dyDescent="0.25">
      <c r="A35748"/>
      <c r="B35748"/>
      <c r="C35748"/>
      <c r="E35748"/>
      <c r="F35748"/>
    </row>
    <row r="35749" spans="1:6" x14ac:dyDescent="0.25">
      <c r="A35749"/>
      <c r="B35749"/>
      <c r="C35749"/>
      <c r="E35749"/>
      <c r="F35749"/>
    </row>
    <row r="35750" spans="1:6" x14ac:dyDescent="0.25">
      <c r="A35750"/>
      <c r="B35750"/>
      <c r="C35750"/>
      <c r="E35750"/>
      <c r="F35750"/>
    </row>
    <row r="35751" spans="1:6" x14ac:dyDescent="0.25">
      <c r="A35751"/>
      <c r="B35751"/>
      <c r="C35751"/>
      <c r="E35751"/>
      <c r="F35751"/>
    </row>
    <row r="35752" spans="1:6" x14ac:dyDescent="0.25">
      <c r="A35752"/>
      <c r="B35752"/>
      <c r="C35752"/>
      <c r="E35752"/>
      <c r="F35752"/>
    </row>
    <row r="35753" spans="1:6" x14ac:dyDescent="0.25">
      <c r="A35753"/>
      <c r="B35753"/>
      <c r="C35753"/>
      <c r="E35753"/>
      <c r="F35753"/>
    </row>
    <row r="35754" spans="1:6" x14ac:dyDescent="0.25">
      <c r="A35754"/>
      <c r="B35754"/>
      <c r="C35754"/>
      <c r="E35754"/>
      <c r="F35754"/>
    </row>
    <row r="35755" spans="1:6" x14ac:dyDescent="0.25">
      <c r="A35755"/>
      <c r="B35755"/>
      <c r="C35755"/>
      <c r="E35755"/>
      <c r="F35755"/>
    </row>
    <row r="35756" spans="1:6" x14ac:dyDescent="0.25">
      <c r="A35756"/>
      <c r="B35756"/>
      <c r="C35756"/>
      <c r="E35756"/>
      <c r="F35756"/>
    </row>
    <row r="35757" spans="1:6" x14ac:dyDescent="0.25">
      <c r="A35757"/>
      <c r="B35757"/>
      <c r="C35757"/>
      <c r="E35757"/>
      <c r="F35757"/>
    </row>
    <row r="35758" spans="1:6" x14ac:dyDescent="0.25">
      <c r="A35758"/>
      <c r="B35758"/>
      <c r="C35758"/>
      <c r="E35758"/>
      <c r="F35758"/>
    </row>
    <row r="35759" spans="1:6" x14ac:dyDescent="0.25">
      <c r="A35759"/>
      <c r="B35759"/>
      <c r="C35759"/>
      <c r="E35759"/>
      <c r="F35759"/>
    </row>
    <row r="35760" spans="1:6" x14ac:dyDescent="0.25">
      <c r="A35760"/>
      <c r="B35760"/>
      <c r="C35760"/>
      <c r="E35760"/>
      <c r="F35760"/>
    </row>
    <row r="35761" spans="1:6" x14ac:dyDescent="0.25">
      <c r="A35761"/>
      <c r="B35761"/>
      <c r="C35761"/>
      <c r="E35761"/>
      <c r="F35761"/>
    </row>
    <row r="35762" spans="1:6" x14ac:dyDescent="0.25">
      <c r="A35762"/>
      <c r="B35762"/>
      <c r="C35762"/>
      <c r="E35762"/>
      <c r="F35762"/>
    </row>
    <row r="35763" spans="1:6" x14ac:dyDescent="0.25">
      <c r="A35763"/>
      <c r="B35763"/>
      <c r="C35763"/>
      <c r="E35763"/>
      <c r="F35763"/>
    </row>
    <row r="35764" spans="1:6" x14ac:dyDescent="0.25">
      <c r="A35764"/>
      <c r="B35764"/>
      <c r="C35764"/>
      <c r="E35764"/>
      <c r="F35764"/>
    </row>
    <row r="35765" spans="1:6" x14ac:dyDescent="0.25">
      <c r="A35765"/>
      <c r="B35765"/>
      <c r="C35765"/>
      <c r="E35765"/>
      <c r="F35765"/>
    </row>
    <row r="35766" spans="1:6" x14ac:dyDescent="0.25">
      <c r="A35766"/>
      <c r="B35766"/>
      <c r="C35766"/>
      <c r="E35766"/>
      <c r="F35766"/>
    </row>
    <row r="35767" spans="1:6" x14ac:dyDescent="0.25">
      <c r="A35767"/>
      <c r="B35767"/>
      <c r="C35767"/>
      <c r="E35767"/>
      <c r="F35767"/>
    </row>
    <row r="35768" spans="1:6" x14ac:dyDescent="0.25">
      <c r="A35768"/>
      <c r="B35768"/>
      <c r="C35768"/>
      <c r="E35768"/>
      <c r="F35768"/>
    </row>
    <row r="35769" spans="1:6" x14ac:dyDescent="0.25">
      <c r="A35769"/>
      <c r="B35769"/>
      <c r="C35769"/>
      <c r="E35769"/>
      <c r="F35769"/>
    </row>
    <row r="35770" spans="1:6" x14ac:dyDescent="0.25">
      <c r="A35770"/>
      <c r="B35770"/>
      <c r="C35770"/>
      <c r="E35770"/>
      <c r="F35770"/>
    </row>
    <row r="35771" spans="1:6" x14ac:dyDescent="0.25">
      <c r="A35771"/>
      <c r="B35771"/>
      <c r="C35771"/>
      <c r="E35771"/>
      <c r="F35771"/>
    </row>
    <row r="35772" spans="1:6" x14ac:dyDescent="0.25">
      <c r="A35772"/>
      <c r="B35772"/>
      <c r="C35772"/>
      <c r="E35772"/>
      <c r="F35772"/>
    </row>
    <row r="35773" spans="1:6" x14ac:dyDescent="0.25">
      <c r="A35773"/>
      <c r="B35773"/>
      <c r="C35773"/>
      <c r="E35773"/>
      <c r="F35773"/>
    </row>
    <row r="35774" spans="1:6" x14ac:dyDescent="0.25">
      <c r="A35774"/>
      <c r="B35774"/>
      <c r="C35774"/>
      <c r="E35774"/>
      <c r="F35774"/>
    </row>
    <row r="35775" spans="1:6" x14ac:dyDescent="0.25">
      <c r="A35775"/>
      <c r="B35775"/>
      <c r="C35775"/>
      <c r="E35775"/>
      <c r="F35775"/>
    </row>
    <row r="35776" spans="1:6" x14ac:dyDescent="0.25">
      <c r="A35776"/>
      <c r="B35776"/>
      <c r="C35776"/>
      <c r="E35776"/>
      <c r="F35776"/>
    </row>
    <row r="35777" spans="1:6" x14ac:dyDescent="0.25">
      <c r="A35777"/>
      <c r="B35777"/>
      <c r="C35777"/>
      <c r="E35777"/>
      <c r="F35777"/>
    </row>
    <row r="35778" spans="1:6" x14ac:dyDescent="0.25">
      <c r="A35778"/>
      <c r="B35778"/>
      <c r="C35778"/>
      <c r="E35778"/>
      <c r="F35778"/>
    </row>
    <row r="35779" spans="1:6" x14ac:dyDescent="0.25">
      <c r="A35779"/>
      <c r="B35779"/>
      <c r="C35779"/>
      <c r="E35779"/>
      <c r="F35779"/>
    </row>
    <row r="35780" spans="1:6" x14ac:dyDescent="0.25">
      <c r="A35780"/>
      <c r="B35780"/>
      <c r="C35780"/>
      <c r="E35780"/>
      <c r="F35780"/>
    </row>
    <row r="35781" spans="1:6" x14ac:dyDescent="0.25">
      <c r="A35781"/>
      <c r="B35781"/>
      <c r="C35781"/>
      <c r="E35781"/>
      <c r="F35781"/>
    </row>
    <row r="35782" spans="1:6" x14ac:dyDescent="0.25">
      <c r="A35782"/>
      <c r="B35782"/>
      <c r="C35782"/>
      <c r="E35782"/>
      <c r="F35782"/>
    </row>
    <row r="35783" spans="1:6" x14ac:dyDescent="0.25">
      <c r="A35783"/>
      <c r="B35783"/>
      <c r="C35783"/>
      <c r="E35783"/>
      <c r="F35783"/>
    </row>
    <row r="35784" spans="1:6" x14ac:dyDescent="0.25">
      <c r="A35784"/>
      <c r="B35784"/>
      <c r="C35784"/>
      <c r="E35784"/>
      <c r="F35784"/>
    </row>
    <row r="35785" spans="1:6" x14ac:dyDescent="0.25">
      <c r="A35785"/>
      <c r="B35785"/>
      <c r="C35785"/>
      <c r="E35785"/>
      <c r="F35785"/>
    </row>
    <row r="35786" spans="1:6" x14ac:dyDescent="0.25">
      <c r="A35786"/>
      <c r="B35786"/>
      <c r="C35786"/>
      <c r="E35786"/>
      <c r="F35786"/>
    </row>
    <row r="35787" spans="1:6" x14ac:dyDescent="0.25">
      <c r="A35787"/>
      <c r="B35787"/>
      <c r="C35787"/>
      <c r="E35787"/>
      <c r="F35787"/>
    </row>
    <row r="35788" spans="1:6" x14ac:dyDescent="0.25">
      <c r="A35788"/>
      <c r="B35788"/>
      <c r="C35788"/>
      <c r="E35788"/>
      <c r="F35788"/>
    </row>
    <row r="35789" spans="1:6" x14ac:dyDescent="0.25">
      <c r="A35789"/>
      <c r="B35789"/>
      <c r="C35789"/>
      <c r="E35789"/>
      <c r="F35789"/>
    </row>
    <row r="35790" spans="1:6" x14ac:dyDescent="0.25">
      <c r="A35790"/>
      <c r="B35790"/>
      <c r="C35790"/>
      <c r="E35790"/>
      <c r="F35790"/>
    </row>
    <row r="35791" spans="1:6" x14ac:dyDescent="0.25">
      <c r="A35791"/>
      <c r="B35791"/>
      <c r="C35791"/>
      <c r="E35791"/>
      <c r="F35791"/>
    </row>
    <row r="35792" spans="1:6" x14ac:dyDescent="0.25">
      <c r="A35792"/>
      <c r="B35792"/>
      <c r="C35792"/>
      <c r="E35792"/>
      <c r="F35792"/>
    </row>
    <row r="35793" spans="1:6" x14ac:dyDescent="0.25">
      <c r="A35793"/>
      <c r="B35793"/>
      <c r="C35793"/>
      <c r="E35793"/>
      <c r="F35793"/>
    </row>
    <row r="35794" spans="1:6" x14ac:dyDescent="0.25">
      <c r="A35794"/>
      <c r="B35794"/>
      <c r="C35794"/>
      <c r="E35794"/>
      <c r="F35794"/>
    </row>
    <row r="35795" spans="1:6" x14ac:dyDescent="0.25">
      <c r="A35795"/>
      <c r="B35795"/>
      <c r="C35795"/>
      <c r="E35795"/>
      <c r="F35795"/>
    </row>
    <row r="35796" spans="1:6" x14ac:dyDescent="0.25">
      <c r="A35796"/>
      <c r="B35796"/>
      <c r="C35796"/>
      <c r="E35796"/>
      <c r="F35796"/>
    </row>
    <row r="35797" spans="1:6" x14ac:dyDescent="0.25">
      <c r="A35797"/>
      <c r="B35797"/>
      <c r="C35797"/>
      <c r="E35797"/>
      <c r="F35797"/>
    </row>
    <row r="35798" spans="1:6" x14ac:dyDescent="0.25">
      <c r="A35798"/>
      <c r="B35798"/>
      <c r="C35798"/>
      <c r="E35798"/>
      <c r="F35798"/>
    </row>
    <row r="35799" spans="1:6" x14ac:dyDescent="0.25">
      <c r="A35799"/>
      <c r="B35799"/>
      <c r="C35799"/>
      <c r="E35799"/>
      <c r="F35799"/>
    </row>
    <row r="35800" spans="1:6" x14ac:dyDescent="0.25">
      <c r="A35800"/>
      <c r="B35800"/>
      <c r="C35800"/>
      <c r="E35800"/>
      <c r="F35800"/>
    </row>
    <row r="35801" spans="1:6" x14ac:dyDescent="0.25">
      <c r="A35801"/>
      <c r="B35801"/>
      <c r="C35801"/>
      <c r="E35801"/>
      <c r="F35801"/>
    </row>
    <row r="35802" spans="1:6" x14ac:dyDescent="0.25">
      <c r="A35802"/>
      <c r="B35802"/>
      <c r="C35802"/>
      <c r="E35802"/>
      <c r="F35802"/>
    </row>
    <row r="35803" spans="1:6" x14ac:dyDescent="0.25">
      <c r="A35803"/>
      <c r="B35803"/>
      <c r="C35803"/>
      <c r="E35803"/>
      <c r="F35803"/>
    </row>
    <row r="35804" spans="1:6" x14ac:dyDescent="0.25">
      <c r="A35804"/>
      <c r="B35804"/>
      <c r="C35804"/>
      <c r="E35804"/>
      <c r="F35804"/>
    </row>
    <row r="35805" spans="1:6" x14ac:dyDescent="0.25">
      <c r="A35805"/>
      <c r="B35805"/>
      <c r="C35805"/>
      <c r="E35805"/>
      <c r="F35805"/>
    </row>
    <row r="35806" spans="1:6" x14ac:dyDescent="0.25">
      <c r="A35806"/>
      <c r="B35806"/>
      <c r="C35806"/>
      <c r="E35806"/>
      <c r="F35806"/>
    </row>
    <row r="35807" spans="1:6" x14ac:dyDescent="0.25">
      <c r="A35807"/>
      <c r="B35807"/>
      <c r="C35807"/>
      <c r="E35807"/>
      <c r="F35807"/>
    </row>
    <row r="35808" spans="1:6" x14ac:dyDescent="0.25">
      <c r="A35808"/>
      <c r="B35808"/>
      <c r="C35808"/>
      <c r="E35808"/>
      <c r="F35808"/>
    </row>
    <row r="35809" spans="1:6" x14ac:dyDescent="0.25">
      <c r="A35809"/>
      <c r="B35809"/>
      <c r="C35809"/>
      <c r="E35809"/>
      <c r="F35809"/>
    </row>
    <row r="35810" spans="1:6" x14ac:dyDescent="0.25">
      <c r="A35810"/>
      <c r="B35810"/>
      <c r="C35810"/>
      <c r="E35810"/>
      <c r="F35810"/>
    </row>
    <row r="35811" spans="1:6" x14ac:dyDescent="0.25">
      <c r="A35811"/>
      <c r="B35811"/>
      <c r="C35811"/>
      <c r="E35811"/>
      <c r="F35811"/>
    </row>
    <row r="35812" spans="1:6" x14ac:dyDescent="0.25">
      <c r="A35812"/>
      <c r="B35812"/>
      <c r="C35812"/>
      <c r="E35812"/>
      <c r="F35812"/>
    </row>
    <row r="35813" spans="1:6" x14ac:dyDescent="0.25">
      <c r="A35813"/>
      <c r="B35813"/>
      <c r="C35813"/>
      <c r="E35813"/>
      <c r="F35813"/>
    </row>
    <row r="35814" spans="1:6" x14ac:dyDescent="0.25">
      <c r="A35814"/>
      <c r="B35814"/>
      <c r="C35814"/>
      <c r="E35814"/>
      <c r="F35814"/>
    </row>
    <row r="35815" spans="1:6" x14ac:dyDescent="0.25">
      <c r="A35815"/>
      <c r="B35815"/>
      <c r="C35815"/>
      <c r="E35815"/>
      <c r="F35815"/>
    </row>
    <row r="35816" spans="1:6" x14ac:dyDescent="0.25">
      <c r="A35816"/>
      <c r="B35816"/>
      <c r="C35816"/>
      <c r="E35816"/>
      <c r="F35816"/>
    </row>
    <row r="35817" spans="1:6" x14ac:dyDescent="0.25">
      <c r="A35817"/>
      <c r="B35817"/>
      <c r="C35817"/>
      <c r="E35817"/>
      <c r="F35817"/>
    </row>
    <row r="35818" spans="1:6" x14ac:dyDescent="0.25">
      <c r="A35818"/>
      <c r="B35818"/>
      <c r="C35818"/>
      <c r="E35818"/>
      <c r="F35818"/>
    </row>
    <row r="35819" spans="1:6" x14ac:dyDescent="0.25">
      <c r="A35819"/>
      <c r="B35819"/>
      <c r="C35819"/>
      <c r="E35819"/>
      <c r="F35819"/>
    </row>
    <row r="35820" spans="1:6" x14ac:dyDescent="0.25">
      <c r="A35820"/>
      <c r="B35820"/>
      <c r="C35820"/>
      <c r="E35820"/>
      <c r="F35820"/>
    </row>
    <row r="35821" spans="1:6" x14ac:dyDescent="0.25">
      <c r="A35821"/>
      <c r="B35821"/>
      <c r="C35821"/>
      <c r="E35821"/>
      <c r="F35821"/>
    </row>
    <row r="35822" spans="1:6" x14ac:dyDescent="0.25">
      <c r="A35822"/>
      <c r="B35822"/>
      <c r="C35822"/>
      <c r="E35822"/>
      <c r="F35822"/>
    </row>
    <row r="35823" spans="1:6" x14ac:dyDescent="0.25">
      <c r="A35823"/>
      <c r="B35823"/>
      <c r="C35823"/>
      <c r="E35823"/>
      <c r="F35823"/>
    </row>
    <row r="35824" spans="1:6" x14ac:dyDescent="0.25">
      <c r="A35824"/>
      <c r="B35824"/>
      <c r="C35824"/>
      <c r="E35824"/>
      <c r="F35824"/>
    </row>
    <row r="35825" spans="1:6" x14ac:dyDescent="0.25">
      <c r="A35825"/>
      <c r="B35825"/>
      <c r="C35825"/>
      <c r="E35825"/>
      <c r="F35825"/>
    </row>
    <row r="35826" spans="1:6" x14ac:dyDescent="0.25">
      <c r="A35826"/>
      <c r="B35826"/>
      <c r="C35826"/>
      <c r="E35826"/>
      <c r="F35826"/>
    </row>
    <row r="35827" spans="1:6" x14ac:dyDescent="0.25">
      <c r="A35827"/>
      <c r="B35827"/>
      <c r="C35827"/>
      <c r="E35827"/>
      <c r="F35827"/>
    </row>
    <row r="35828" spans="1:6" x14ac:dyDescent="0.25">
      <c r="A35828"/>
      <c r="B35828"/>
      <c r="C35828"/>
      <c r="E35828"/>
      <c r="F35828"/>
    </row>
    <row r="35829" spans="1:6" x14ac:dyDescent="0.25">
      <c r="A35829"/>
      <c r="B35829"/>
      <c r="C35829"/>
      <c r="E35829"/>
      <c r="F35829"/>
    </row>
    <row r="35830" spans="1:6" x14ac:dyDescent="0.25">
      <c r="A35830"/>
      <c r="B35830"/>
      <c r="C35830"/>
      <c r="E35830"/>
      <c r="F35830"/>
    </row>
    <row r="35831" spans="1:6" x14ac:dyDescent="0.25">
      <c r="A35831"/>
      <c r="B35831"/>
      <c r="C35831"/>
      <c r="E35831"/>
      <c r="F35831"/>
    </row>
    <row r="35832" spans="1:6" x14ac:dyDescent="0.25">
      <c r="A35832"/>
      <c r="B35832"/>
      <c r="C35832"/>
      <c r="E35832"/>
      <c r="F35832"/>
    </row>
    <row r="35833" spans="1:6" x14ac:dyDescent="0.25">
      <c r="A35833"/>
      <c r="B35833"/>
      <c r="C35833"/>
      <c r="E35833"/>
      <c r="F35833"/>
    </row>
    <row r="35834" spans="1:6" x14ac:dyDescent="0.25">
      <c r="A35834"/>
      <c r="B35834"/>
      <c r="C35834"/>
      <c r="E35834"/>
      <c r="F35834"/>
    </row>
    <row r="35835" spans="1:6" x14ac:dyDescent="0.25">
      <c r="A35835"/>
      <c r="B35835"/>
      <c r="C35835"/>
      <c r="E35835"/>
      <c r="F35835"/>
    </row>
    <row r="35836" spans="1:6" x14ac:dyDescent="0.25">
      <c r="A35836"/>
      <c r="B35836"/>
      <c r="C35836"/>
      <c r="E35836"/>
      <c r="F35836"/>
    </row>
    <row r="35837" spans="1:6" x14ac:dyDescent="0.25">
      <c r="A35837"/>
      <c r="B35837"/>
      <c r="C35837"/>
      <c r="E35837"/>
      <c r="F35837"/>
    </row>
    <row r="35838" spans="1:6" x14ac:dyDescent="0.25">
      <c r="A35838"/>
      <c r="B35838"/>
      <c r="C35838"/>
      <c r="E35838"/>
      <c r="F35838"/>
    </row>
    <row r="35839" spans="1:6" x14ac:dyDescent="0.25">
      <c r="A35839"/>
      <c r="B35839"/>
      <c r="C35839"/>
      <c r="E35839"/>
      <c r="F35839"/>
    </row>
    <row r="35840" spans="1:6" x14ac:dyDescent="0.25">
      <c r="A35840"/>
      <c r="B35840"/>
      <c r="C35840"/>
      <c r="E35840"/>
      <c r="F35840"/>
    </row>
    <row r="35841" spans="1:6" x14ac:dyDescent="0.25">
      <c r="A35841"/>
      <c r="B35841"/>
      <c r="C35841"/>
      <c r="E35841"/>
      <c r="F35841"/>
    </row>
    <row r="35842" spans="1:6" x14ac:dyDescent="0.25">
      <c r="A35842"/>
      <c r="B35842"/>
      <c r="C35842"/>
      <c r="E35842"/>
      <c r="F35842"/>
    </row>
    <row r="35843" spans="1:6" x14ac:dyDescent="0.25">
      <c r="A35843"/>
      <c r="B35843"/>
      <c r="C35843"/>
      <c r="E35843"/>
      <c r="F35843"/>
    </row>
    <row r="35844" spans="1:6" x14ac:dyDescent="0.25">
      <c r="A35844"/>
      <c r="B35844"/>
      <c r="C35844"/>
      <c r="E35844"/>
      <c r="F35844"/>
    </row>
    <row r="35845" spans="1:6" x14ac:dyDescent="0.25">
      <c r="A35845"/>
      <c r="B35845"/>
      <c r="C35845"/>
      <c r="E35845"/>
      <c r="F35845"/>
    </row>
    <row r="35846" spans="1:6" x14ac:dyDescent="0.25">
      <c r="A35846"/>
      <c r="B35846"/>
      <c r="C35846"/>
      <c r="E35846"/>
      <c r="F35846"/>
    </row>
    <row r="35847" spans="1:6" x14ac:dyDescent="0.25">
      <c r="A35847"/>
      <c r="B35847"/>
      <c r="C35847"/>
      <c r="E35847"/>
      <c r="F35847"/>
    </row>
    <row r="35848" spans="1:6" x14ac:dyDescent="0.25">
      <c r="A35848"/>
      <c r="B35848"/>
      <c r="C35848"/>
      <c r="E35848"/>
      <c r="F35848"/>
    </row>
    <row r="35849" spans="1:6" x14ac:dyDescent="0.25">
      <c r="A35849"/>
      <c r="B35849"/>
      <c r="C35849"/>
      <c r="E35849"/>
      <c r="F35849"/>
    </row>
    <row r="35850" spans="1:6" x14ac:dyDescent="0.25">
      <c r="A35850"/>
      <c r="B35850"/>
      <c r="C35850"/>
      <c r="E35850"/>
      <c r="F35850"/>
    </row>
    <row r="35851" spans="1:6" x14ac:dyDescent="0.25">
      <c r="A35851"/>
      <c r="B35851"/>
      <c r="C35851"/>
      <c r="E35851"/>
      <c r="F35851"/>
    </row>
    <row r="35852" spans="1:6" x14ac:dyDescent="0.25">
      <c r="A35852"/>
      <c r="B35852"/>
      <c r="C35852"/>
      <c r="E35852"/>
      <c r="F35852"/>
    </row>
    <row r="35853" spans="1:6" x14ac:dyDescent="0.25">
      <c r="A35853"/>
      <c r="B35853"/>
      <c r="C35853"/>
      <c r="E35853"/>
      <c r="F35853"/>
    </row>
    <row r="35854" spans="1:6" x14ac:dyDescent="0.25">
      <c r="A35854"/>
      <c r="B35854"/>
      <c r="C35854"/>
      <c r="E35854"/>
      <c r="F35854"/>
    </row>
    <row r="35855" spans="1:6" x14ac:dyDescent="0.25">
      <c r="A35855"/>
      <c r="B35855"/>
      <c r="C35855"/>
      <c r="E35855"/>
      <c r="F35855"/>
    </row>
    <row r="35856" spans="1:6" x14ac:dyDescent="0.25">
      <c r="A35856"/>
      <c r="B35856"/>
      <c r="C35856"/>
      <c r="E35856"/>
      <c r="F35856"/>
    </row>
    <row r="35857" spans="1:6" x14ac:dyDescent="0.25">
      <c r="A35857"/>
      <c r="B35857"/>
      <c r="C35857"/>
      <c r="E35857"/>
      <c r="F35857"/>
    </row>
    <row r="35858" spans="1:6" x14ac:dyDescent="0.25">
      <c r="A35858"/>
      <c r="B35858"/>
      <c r="C35858"/>
      <c r="E35858"/>
      <c r="F35858"/>
    </row>
    <row r="35859" spans="1:6" x14ac:dyDescent="0.25">
      <c r="A35859"/>
      <c r="B35859"/>
      <c r="C35859"/>
      <c r="E35859"/>
      <c r="F35859"/>
    </row>
    <row r="35860" spans="1:6" x14ac:dyDescent="0.25">
      <c r="A35860"/>
      <c r="B35860"/>
      <c r="C35860"/>
      <c r="E35860"/>
      <c r="F35860"/>
    </row>
    <row r="35861" spans="1:6" x14ac:dyDescent="0.25">
      <c r="A35861"/>
      <c r="B35861"/>
      <c r="C35861"/>
      <c r="E35861"/>
      <c r="F35861"/>
    </row>
    <row r="35862" spans="1:6" x14ac:dyDescent="0.25">
      <c r="A35862"/>
      <c r="B35862"/>
      <c r="C35862"/>
      <c r="E35862"/>
      <c r="F35862"/>
    </row>
    <row r="35863" spans="1:6" x14ac:dyDescent="0.25">
      <c r="A35863"/>
      <c r="B35863"/>
      <c r="C35863"/>
      <c r="E35863"/>
      <c r="F35863"/>
    </row>
    <row r="35864" spans="1:6" x14ac:dyDescent="0.25">
      <c r="A35864"/>
      <c r="B35864"/>
      <c r="C35864"/>
      <c r="E35864"/>
      <c r="F35864"/>
    </row>
    <row r="35865" spans="1:6" x14ac:dyDescent="0.25">
      <c r="A35865"/>
      <c r="B35865"/>
      <c r="C35865"/>
      <c r="E35865"/>
      <c r="F35865"/>
    </row>
    <row r="35866" spans="1:6" x14ac:dyDescent="0.25">
      <c r="A35866"/>
      <c r="B35866"/>
      <c r="C35866"/>
      <c r="E35866"/>
      <c r="F35866"/>
    </row>
    <row r="35867" spans="1:6" x14ac:dyDescent="0.25">
      <c r="A35867"/>
      <c r="B35867"/>
      <c r="C35867"/>
      <c r="E35867"/>
      <c r="F35867"/>
    </row>
    <row r="35868" spans="1:6" x14ac:dyDescent="0.25">
      <c r="A35868"/>
      <c r="B35868"/>
      <c r="C35868"/>
      <c r="E35868"/>
      <c r="F35868"/>
    </row>
    <row r="35869" spans="1:6" x14ac:dyDescent="0.25">
      <c r="A35869"/>
      <c r="B35869"/>
      <c r="C35869"/>
      <c r="E35869"/>
      <c r="F35869"/>
    </row>
    <row r="35870" spans="1:6" x14ac:dyDescent="0.25">
      <c r="A35870"/>
      <c r="B35870"/>
      <c r="C35870"/>
      <c r="E35870"/>
      <c r="F35870"/>
    </row>
    <row r="35871" spans="1:6" x14ac:dyDescent="0.25">
      <c r="A35871"/>
      <c r="B35871"/>
      <c r="C35871"/>
      <c r="E35871"/>
      <c r="F35871"/>
    </row>
    <row r="35872" spans="1:6" x14ac:dyDescent="0.25">
      <c r="A35872"/>
      <c r="B35872"/>
      <c r="C35872"/>
      <c r="E35872"/>
      <c r="F35872"/>
    </row>
    <row r="35873" spans="1:6" x14ac:dyDescent="0.25">
      <c r="A35873"/>
      <c r="B35873"/>
      <c r="C35873"/>
      <c r="E35873"/>
      <c r="F35873"/>
    </row>
    <row r="35874" spans="1:6" x14ac:dyDescent="0.25">
      <c r="A35874"/>
      <c r="B35874"/>
      <c r="C35874"/>
      <c r="E35874"/>
      <c r="F35874"/>
    </row>
    <row r="35875" spans="1:6" x14ac:dyDescent="0.25">
      <c r="A35875"/>
      <c r="B35875"/>
      <c r="C35875"/>
      <c r="E35875"/>
      <c r="F35875"/>
    </row>
    <row r="35876" spans="1:6" x14ac:dyDescent="0.25">
      <c r="A35876"/>
      <c r="B35876"/>
      <c r="C35876"/>
      <c r="E35876"/>
      <c r="F35876"/>
    </row>
    <row r="35877" spans="1:6" x14ac:dyDescent="0.25">
      <c r="A35877"/>
      <c r="B35877"/>
      <c r="C35877"/>
      <c r="E35877"/>
      <c r="F35877"/>
    </row>
    <row r="35878" spans="1:6" x14ac:dyDescent="0.25">
      <c r="A35878"/>
      <c r="B35878"/>
      <c r="C35878"/>
      <c r="E35878"/>
      <c r="F35878"/>
    </row>
    <row r="35879" spans="1:6" x14ac:dyDescent="0.25">
      <c r="A35879"/>
      <c r="B35879"/>
      <c r="C35879"/>
      <c r="E35879"/>
      <c r="F35879"/>
    </row>
    <row r="35880" spans="1:6" x14ac:dyDescent="0.25">
      <c r="A35880"/>
      <c r="B35880"/>
      <c r="C35880"/>
      <c r="E35880"/>
      <c r="F35880"/>
    </row>
    <row r="35881" spans="1:6" x14ac:dyDescent="0.25">
      <c r="A35881"/>
      <c r="B35881"/>
      <c r="C35881"/>
      <c r="E35881"/>
      <c r="F35881"/>
    </row>
    <row r="35882" spans="1:6" x14ac:dyDescent="0.25">
      <c r="A35882"/>
      <c r="B35882"/>
      <c r="C35882"/>
      <c r="E35882"/>
      <c r="F35882"/>
    </row>
    <row r="35883" spans="1:6" x14ac:dyDescent="0.25">
      <c r="A35883"/>
      <c r="B35883"/>
      <c r="C35883"/>
      <c r="E35883"/>
      <c r="F35883"/>
    </row>
    <row r="35884" spans="1:6" x14ac:dyDescent="0.25">
      <c r="A35884"/>
      <c r="B35884"/>
      <c r="C35884"/>
      <c r="E35884"/>
      <c r="F35884"/>
    </row>
    <row r="35885" spans="1:6" x14ac:dyDescent="0.25">
      <c r="A35885"/>
      <c r="B35885"/>
      <c r="C35885"/>
      <c r="E35885"/>
      <c r="F35885"/>
    </row>
    <row r="35886" spans="1:6" x14ac:dyDescent="0.25">
      <c r="A35886"/>
      <c r="B35886"/>
      <c r="C35886"/>
      <c r="E35886"/>
      <c r="F35886"/>
    </row>
    <row r="35887" spans="1:6" x14ac:dyDescent="0.25">
      <c r="A35887"/>
      <c r="B35887"/>
      <c r="C35887"/>
      <c r="E35887"/>
      <c r="F35887"/>
    </row>
    <row r="35888" spans="1:6" x14ac:dyDescent="0.25">
      <c r="A35888"/>
      <c r="B35888"/>
      <c r="C35888"/>
      <c r="E35888"/>
      <c r="F35888"/>
    </row>
    <row r="35889" spans="1:6" x14ac:dyDescent="0.25">
      <c r="A35889"/>
      <c r="B35889"/>
      <c r="C35889"/>
      <c r="E35889"/>
      <c r="F35889"/>
    </row>
    <row r="35890" spans="1:6" x14ac:dyDescent="0.25">
      <c r="A35890"/>
      <c r="B35890"/>
      <c r="C35890"/>
      <c r="E35890"/>
      <c r="F35890"/>
    </row>
    <row r="35891" spans="1:6" x14ac:dyDescent="0.25">
      <c r="A35891"/>
      <c r="B35891"/>
      <c r="C35891"/>
      <c r="E35891"/>
      <c r="F35891"/>
    </row>
    <row r="35892" spans="1:6" x14ac:dyDescent="0.25">
      <c r="A35892"/>
      <c r="B35892"/>
      <c r="C35892"/>
      <c r="E35892"/>
      <c r="F35892"/>
    </row>
    <row r="35893" spans="1:6" x14ac:dyDescent="0.25">
      <c r="A35893"/>
      <c r="B35893"/>
      <c r="C35893"/>
      <c r="E35893"/>
      <c r="F35893"/>
    </row>
    <row r="35894" spans="1:6" x14ac:dyDescent="0.25">
      <c r="A35894"/>
      <c r="B35894"/>
      <c r="C35894"/>
      <c r="E35894"/>
      <c r="F35894"/>
    </row>
    <row r="35895" spans="1:6" x14ac:dyDescent="0.25">
      <c r="A35895"/>
      <c r="B35895"/>
      <c r="C35895"/>
      <c r="E35895"/>
      <c r="F35895"/>
    </row>
    <row r="35896" spans="1:6" x14ac:dyDescent="0.25">
      <c r="A35896"/>
      <c r="B35896"/>
      <c r="C35896"/>
      <c r="E35896"/>
      <c r="F35896"/>
    </row>
    <row r="35897" spans="1:6" x14ac:dyDescent="0.25">
      <c r="A35897"/>
      <c r="B35897"/>
      <c r="C35897"/>
      <c r="E35897"/>
      <c r="F35897"/>
    </row>
    <row r="35898" spans="1:6" x14ac:dyDescent="0.25">
      <c r="A35898"/>
      <c r="B35898"/>
      <c r="C35898"/>
      <c r="E35898"/>
      <c r="F35898"/>
    </row>
    <row r="35899" spans="1:6" x14ac:dyDescent="0.25">
      <c r="A35899"/>
      <c r="B35899"/>
      <c r="C35899"/>
      <c r="E35899"/>
      <c r="F35899"/>
    </row>
    <row r="35900" spans="1:6" x14ac:dyDescent="0.25">
      <c r="A35900"/>
      <c r="B35900"/>
      <c r="C35900"/>
      <c r="E35900"/>
      <c r="F35900"/>
    </row>
    <row r="35901" spans="1:6" x14ac:dyDescent="0.25">
      <c r="A35901"/>
      <c r="B35901"/>
      <c r="C35901"/>
      <c r="E35901"/>
      <c r="F35901"/>
    </row>
    <row r="35902" spans="1:6" x14ac:dyDescent="0.25">
      <c r="A35902"/>
      <c r="B35902"/>
      <c r="C35902"/>
      <c r="E35902"/>
      <c r="F35902"/>
    </row>
    <row r="35903" spans="1:6" x14ac:dyDescent="0.25">
      <c r="A35903"/>
      <c r="B35903"/>
      <c r="C35903"/>
      <c r="E35903"/>
      <c r="F35903"/>
    </row>
    <row r="35904" spans="1:6" x14ac:dyDescent="0.25">
      <c r="A35904"/>
      <c r="B35904"/>
      <c r="C35904"/>
      <c r="E35904"/>
      <c r="F35904"/>
    </row>
    <row r="35905" spans="1:6" x14ac:dyDescent="0.25">
      <c r="A35905"/>
      <c r="B35905"/>
      <c r="C35905"/>
      <c r="E35905"/>
      <c r="F35905"/>
    </row>
    <row r="35906" spans="1:6" x14ac:dyDescent="0.25">
      <c r="A35906"/>
      <c r="B35906"/>
      <c r="C35906"/>
      <c r="E35906"/>
      <c r="F35906"/>
    </row>
    <row r="35907" spans="1:6" x14ac:dyDescent="0.25">
      <c r="A35907"/>
      <c r="B35907"/>
      <c r="C35907"/>
      <c r="E35907"/>
      <c r="F35907"/>
    </row>
    <row r="35908" spans="1:6" x14ac:dyDescent="0.25">
      <c r="A35908"/>
      <c r="B35908"/>
      <c r="C35908"/>
      <c r="E35908"/>
      <c r="F35908"/>
    </row>
    <row r="35909" spans="1:6" x14ac:dyDescent="0.25">
      <c r="A35909"/>
      <c r="B35909"/>
      <c r="C35909"/>
      <c r="E35909"/>
      <c r="F35909"/>
    </row>
    <row r="35910" spans="1:6" x14ac:dyDescent="0.25">
      <c r="A35910"/>
      <c r="B35910"/>
      <c r="C35910"/>
      <c r="E35910"/>
      <c r="F35910"/>
    </row>
    <row r="35911" spans="1:6" x14ac:dyDescent="0.25">
      <c r="A35911"/>
      <c r="B35911"/>
      <c r="C35911"/>
      <c r="E35911"/>
      <c r="F35911"/>
    </row>
    <row r="35912" spans="1:6" x14ac:dyDescent="0.25">
      <c r="A35912"/>
      <c r="B35912"/>
      <c r="C35912"/>
      <c r="E35912"/>
      <c r="F35912"/>
    </row>
    <row r="35913" spans="1:6" x14ac:dyDescent="0.25">
      <c r="A35913"/>
      <c r="B35913"/>
      <c r="C35913"/>
      <c r="E35913"/>
      <c r="F35913"/>
    </row>
    <row r="35914" spans="1:6" x14ac:dyDescent="0.25">
      <c r="A35914"/>
      <c r="B35914"/>
      <c r="C35914"/>
      <c r="E35914"/>
      <c r="F35914"/>
    </row>
    <row r="35915" spans="1:6" x14ac:dyDescent="0.25">
      <c r="A35915"/>
      <c r="B35915"/>
      <c r="C35915"/>
      <c r="E35915"/>
      <c r="F35915"/>
    </row>
    <row r="35916" spans="1:6" x14ac:dyDescent="0.25">
      <c r="A35916"/>
      <c r="B35916"/>
      <c r="C35916"/>
      <c r="E35916"/>
      <c r="F35916"/>
    </row>
    <row r="35917" spans="1:6" x14ac:dyDescent="0.25">
      <c r="A35917"/>
      <c r="B35917"/>
      <c r="C35917"/>
      <c r="E35917"/>
      <c r="F35917"/>
    </row>
    <row r="35918" spans="1:6" x14ac:dyDescent="0.25">
      <c r="A35918"/>
      <c r="B35918"/>
      <c r="C35918"/>
      <c r="E35918"/>
      <c r="F35918"/>
    </row>
    <row r="35919" spans="1:6" x14ac:dyDescent="0.25">
      <c r="A35919"/>
      <c r="B35919"/>
      <c r="C35919"/>
      <c r="E35919"/>
      <c r="F35919"/>
    </row>
    <row r="35920" spans="1:6" x14ac:dyDescent="0.25">
      <c r="A35920"/>
      <c r="B35920"/>
      <c r="C35920"/>
      <c r="E35920"/>
      <c r="F35920"/>
    </row>
    <row r="35921" spans="1:6" x14ac:dyDescent="0.25">
      <c r="A35921"/>
      <c r="B35921"/>
      <c r="C35921"/>
      <c r="E35921"/>
      <c r="F35921"/>
    </row>
    <row r="35922" spans="1:6" x14ac:dyDescent="0.25">
      <c r="A35922"/>
      <c r="B35922"/>
      <c r="C35922"/>
      <c r="E35922"/>
      <c r="F35922"/>
    </row>
    <row r="35923" spans="1:6" x14ac:dyDescent="0.25">
      <c r="A35923"/>
      <c r="B35923"/>
      <c r="C35923"/>
      <c r="E35923"/>
      <c r="F35923"/>
    </row>
    <row r="35924" spans="1:6" x14ac:dyDescent="0.25">
      <c r="A35924"/>
      <c r="B35924"/>
      <c r="C35924"/>
      <c r="E35924"/>
      <c r="F35924"/>
    </row>
    <row r="35925" spans="1:6" x14ac:dyDescent="0.25">
      <c r="A35925"/>
      <c r="B35925"/>
      <c r="C35925"/>
      <c r="E35925"/>
      <c r="F35925"/>
    </row>
    <row r="35926" spans="1:6" x14ac:dyDescent="0.25">
      <c r="A35926"/>
      <c r="B35926"/>
      <c r="C35926"/>
      <c r="E35926"/>
      <c r="F35926"/>
    </row>
    <row r="35927" spans="1:6" x14ac:dyDescent="0.25">
      <c r="A35927"/>
      <c r="B35927"/>
      <c r="C35927"/>
      <c r="E35927"/>
      <c r="F35927"/>
    </row>
    <row r="35928" spans="1:6" x14ac:dyDescent="0.25">
      <c r="A35928"/>
      <c r="B35928"/>
      <c r="C35928"/>
      <c r="E35928"/>
      <c r="F35928"/>
    </row>
    <row r="35929" spans="1:6" x14ac:dyDescent="0.25">
      <c r="A35929"/>
      <c r="B35929"/>
      <c r="C35929"/>
      <c r="E35929"/>
      <c r="F35929"/>
    </row>
    <row r="35930" spans="1:6" x14ac:dyDescent="0.25">
      <c r="A35930"/>
      <c r="B35930"/>
      <c r="C35930"/>
      <c r="E35930"/>
      <c r="F35930"/>
    </row>
    <row r="35931" spans="1:6" x14ac:dyDescent="0.25">
      <c r="A35931"/>
      <c r="B35931"/>
      <c r="C35931"/>
      <c r="E35931"/>
      <c r="F35931"/>
    </row>
    <row r="35932" spans="1:6" x14ac:dyDescent="0.25">
      <c r="A35932"/>
      <c r="B35932"/>
      <c r="C35932"/>
      <c r="E35932"/>
      <c r="F35932"/>
    </row>
    <row r="35933" spans="1:6" x14ac:dyDescent="0.25">
      <c r="A35933"/>
      <c r="B35933"/>
      <c r="C35933"/>
      <c r="E35933"/>
      <c r="F35933"/>
    </row>
    <row r="35934" spans="1:6" x14ac:dyDescent="0.25">
      <c r="A35934"/>
      <c r="B35934"/>
      <c r="C35934"/>
      <c r="E35934"/>
      <c r="F35934"/>
    </row>
    <row r="35935" spans="1:6" x14ac:dyDescent="0.25">
      <c r="A35935"/>
      <c r="B35935"/>
      <c r="C35935"/>
      <c r="E35935"/>
      <c r="F35935"/>
    </row>
    <row r="35936" spans="1:6" x14ac:dyDescent="0.25">
      <c r="A35936"/>
      <c r="B35936"/>
      <c r="C35936"/>
      <c r="E35936"/>
      <c r="F35936"/>
    </row>
    <row r="35937" spans="1:6" x14ac:dyDescent="0.25">
      <c r="A35937"/>
      <c r="B35937"/>
      <c r="C35937"/>
      <c r="E35937"/>
      <c r="F35937"/>
    </row>
    <row r="35938" spans="1:6" x14ac:dyDescent="0.25">
      <c r="A35938"/>
      <c r="B35938"/>
      <c r="C35938"/>
      <c r="E35938"/>
      <c r="F35938"/>
    </row>
    <row r="35939" spans="1:6" x14ac:dyDescent="0.25">
      <c r="A35939"/>
      <c r="B35939"/>
      <c r="C35939"/>
      <c r="E35939"/>
      <c r="F35939"/>
    </row>
    <row r="35940" spans="1:6" x14ac:dyDescent="0.25">
      <c r="A35940"/>
      <c r="B35940"/>
      <c r="C35940"/>
      <c r="E35940"/>
      <c r="F35940"/>
    </row>
    <row r="35941" spans="1:6" x14ac:dyDescent="0.25">
      <c r="A35941"/>
      <c r="B35941"/>
      <c r="C35941"/>
      <c r="E35941"/>
      <c r="F35941"/>
    </row>
    <row r="35942" spans="1:6" x14ac:dyDescent="0.25">
      <c r="A35942"/>
      <c r="B35942"/>
      <c r="C35942"/>
      <c r="E35942"/>
      <c r="F35942"/>
    </row>
    <row r="35943" spans="1:6" x14ac:dyDescent="0.25">
      <c r="A35943"/>
      <c r="B35943"/>
      <c r="C35943"/>
      <c r="E35943"/>
      <c r="F35943"/>
    </row>
    <row r="35944" spans="1:6" x14ac:dyDescent="0.25">
      <c r="A35944"/>
      <c r="B35944"/>
      <c r="C35944"/>
      <c r="E35944"/>
      <c r="F35944"/>
    </row>
    <row r="35945" spans="1:6" x14ac:dyDescent="0.25">
      <c r="A35945"/>
      <c r="B35945"/>
      <c r="C35945"/>
      <c r="E35945"/>
      <c r="F35945"/>
    </row>
    <row r="35946" spans="1:6" x14ac:dyDescent="0.25">
      <c r="A35946"/>
      <c r="B35946"/>
      <c r="C35946"/>
      <c r="E35946"/>
      <c r="F35946"/>
    </row>
    <row r="35947" spans="1:6" x14ac:dyDescent="0.25">
      <c r="A35947"/>
      <c r="B35947"/>
      <c r="C35947"/>
      <c r="E35947"/>
      <c r="F35947"/>
    </row>
    <row r="35948" spans="1:6" x14ac:dyDescent="0.25">
      <c r="A35948"/>
      <c r="B35948"/>
      <c r="C35948"/>
      <c r="E35948"/>
      <c r="F35948"/>
    </row>
    <row r="35949" spans="1:6" x14ac:dyDescent="0.25">
      <c r="A35949"/>
      <c r="B35949"/>
      <c r="C35949"/>
      <c r="E35949"/>
      <c r="F35949"/>
    </row>
    <row r="35950" spans="1:6" x14ac:dyDescent="0.25">
      <c r="A35950"/>
      <c r="B35950"/>
      <c r="C35950"/>
      <c r="E35950"/>
      <c r="F35950"/>
    </row>
    <row r="35951" spans="1:6" x14ac:dyDescent="0.25">
      <c r="A35951"/>
      <c r="B35951"/>
      <c r="C35951"/>
      <c r="E35951"/>
      <c r="F35951"/>
    </row>
    <row r="35952" spans="1:6" x14ac:dyDescent="0.25">
      <c r="A35952"/>
      <c r="B35952"/>
      <c r="C35952"/>
      <c r="E35952"/>
      <c r="F35952"/>
    </row>
    <row r="35953" spans="1:6" x14ac:dyDescent="0.25">
      <c r="A35953"/>
      <c r="B35953"/>
      <c r="C35953"/>
      <c r="E35953"/>
      <c r="F35953"/>
    </row>
    <row r="35954" spans="1:6" x14ac:dyDescent="0.25">
      <c r="A35954"/>
      <c r="B35954"/>
      <c r="C35954"/>
      <c r="E35954"/>
      <c r="F35954"/>
    </row>
    <row r="35955" spans="1:6" x14ac:dyDescent="0.25">
      <c r="A35955"/>
      <c r="B35955"/>
      <c r="C35955"/>
      <c r="E35955"/>
      <c r="F35955"/>
    </row>
    <row r="35956" spans="1:6" x14ac:dyDescent="0.25">
      <c r="A35956"/>
      <c r="B35956"/>
      <c r="C35956"/>
      <c r="E35956"/>
      <c r="F35956"/>
    </row>
    <row r="35957" spans="1:6" x14ac:dyDescent="0.25">
      <c r="A35957"/>
      <c r="B35957"/>
      <c r="C35957"/>
      <c r="E35957"/>
      <c r="F35957"/>
    </row>
    <row r="35958" spans="1:6" x14ac:dyDescent="0.25">
      <c r="A35958"/>
      <c r="B35958"/>
      <c r="C35958"/>
      <c r="E35958"/>
      <c r="F35958"/>
    </row>
    <row r="35959" spans="1:6" x14ac:dyDescent="0.25">
      <c r="A35959"/>
      <c r="B35959"/>
      <c r="C35959"/>
      <c r="E35959"/>
      <c r="F35959"/>
    </row>
    <row r="35960" spans="1:6" x14ac:dyDescent="0.25">
      <c r="A35960"/>
      <c r="B35960"/>
      <c r="C35960"/>
      <c r="E35960"/>
      <c r="F35960"/>
    </row>
    <row r="35961" spans="1:6" x14ac:dyDescent="0.25">
      <c r="A35961"/>
      <c r="B35961"/>
      <c r="C35961"/>
      <c r="E35961"/>
      <c r="F35961"/>
    </row>
    <row r="35962" spans="1:6" x14ac:dyDescent="0.25">
      <c r="A35962"/>
      <c r="B35962"/>
      <c r="C35962"/>
      <c r="E35962"/>
      <c r="F35962"/>
    </row>
    <row r="35963" spans="1:6" x14ac:dyDescent="0.25">
      <c r="A35963"/>
      <c r="B35963"/>
      <c r="C35963"/>
      <c r="E35963"/>
      <c r="F35963"/>
    </row>
    <row r="35964" spans="1:6" x14ac:dyDescent="0.25">
      <c r="A35964"/>
      <c r="B35964"/>
      <c r="C35964"/>
      <c r="E35964"/>
      <c r="F35964"/>
    </row>
    <row r="35965" spans="1:6" x14ac:dyDescent="0.25">
      <c r="A35965"/>
      <c r="B35965"/>
      <c r="C35965"/>
      <c r="E35965"/>
      <c r="F35965"/>
    </row>
    <row r="35966" spans="1:6" x14ac:dyDescent="0.25">
      <c r="A35966"/>
      <c r="B35966"/>
      <c r="C35966"/>
      <c r="E35966"/>
      <c r="F35966"/>
    </row>
    <row r="35967" spans="1:6" x14ac:dyDescent="0.25">
      <c r="A35967"/>
      <c r="B35967"/>
      <c r="C35967"/>
      <c r="E35967"/>
      <c r="F35967"/>
    </row>
    <row r="35968" spans="1:6" x14ac:dyDescent="0.25">
      <c r="A35968"/>
      <c r="B35968"/>
      <c r="C35968"/>
      <c r="E35968"/>
      <c r="F35968"/>
    </row>
    <row r="35969" spans="1:6" x14ac:dyDescent="0.25">
      <c r="A35969"/>
      <c r="B35969"/>
      <c r="C35969"/>
      <c r="E35969"/>
      <c r="F35969"/>
    </row>
    <row r="35970" spans="1:6" x14ac:dyDescent="0.25">
      <c r="A35970"/>
      <c r="B35970"/>
      <c r="C35970"/>
      <c r="E35970"/>
      <c r="F35970"/>
    </row>
    <row r="35971" spans="1:6" x14ac:dyDescent="0.25">
      <c r="A35971"/>
      <c r="B35971"/>
      <c r="C35971"/>
      <c r="E35971"/>
      <c r="F35971"/>
    </row>
    <row r="35972" spans="1:6" x14ac:dyDescent="0.25">
      <c r="A35972"/>
      <c r="B35972"/>
      <c r="C35972"/>
      <c r="E35972"/>
      <c r="F35972"/>
    </row>
    <row r="35973" spans="1:6" x14ac:dyDescent="0.25">
      <c r="A35973"/>
      <c r="B35973"/>
      <c r="C35973"/>
      <c r="E35973"/>
      <c r="F35973"/>
    </row>
    <row r="35974" spans="1:6" x14ac:dyDescent="0.25">
      <c r="A35974"/>
      <c r="B35974"/>
      <c r="C35974"/>
      <c r="E35974"/>
      <c r="F35974"/>
    </row>
    <row r="35975" spans="1:6" x14ac:dyDescent="0.25">
      <c r="A35975"/>
      <c r="B35975"/>
      <c r="C35975"/>
      <c r="E35975"/>
      <c r="F35975"/>
    </row>
    <row r="35976" spans="1:6" x14ac:dyDescent="0.25">
      <c r="A35976"/>
      <c r="B35976"/>
      <c r="C35976"/>
      <c r="E35976"/>
      <c r="F35976"/>
    </row>
    <row r="35977" spans="1:6" x14ac:dyDescent="0.25">
      <c r="A35977"/>
      <c r="B35977"/>
      <c r="C35977"/>
      <c r="E35977"/>
      <c r="F35977"/>
    </row>
    <row r="35978" spans="1:6" x14ac:dyDescent="0.25">
      <c r="A35978"/>
      <c r="B35978"/>
      <c r="C35978"/>
      <c r="E35978"/>
      <c r="F35978"/>
    </row>
    <row r="35979" spans="1:6" x14ac:dyDescent="0.25">
      <c r="A35979"/>
      <c r="B35979"/>
      <c r="C35979"/>
      <c r="E35979"/>
      <c r="F35979"/>
    </row>
    <row r="35980" spans="1:6" x14ac:dyDescent="0.25">
      <c r="A35980"/>
      <c r="B35980"/>
      <c r="C35980"/>
      <c r="E35980"/>
      <c r="F35980"/>
    </row>
    <row r="35981" spans="1:6" x14ac:dyDescent="0.25">
      <c r="A35981"/>
      <c r="B35981"/>
      <c r="C35981"/>
      <c r="E35981"/>
      <c r="F35981"/>
    </row>
    <row r="35982" spans="1:6" x14ac:dyDescent="0.25">
      <c r="A35982"/>
      <c r="B35982"/>
      <c r="C35982"/>
      <c r="E35982"/>
      <c r="F35982"/>
    </row>
    <row r="35983" spans="1:6" x14ac:dyDescent="0.25">
      <c r="A35983"/>
      <c r="B35983"/>
      <c r="C35983"/>
      <c r="E35983"/>
      <c r="F35983"/>
    </row>
    <row r="35984" spans="1:6" x14ac:dyDescent="0.25">
      <c r="A35984"/>
      <c r="B35984"/>
      <c r="C35984"/>
      <c r="E35984"/>
      <c r="F35984"/>
    </row>
    <row r="35985" spans="1:6" x14ac:dyDescent="0.25">
      <c r="A35985"/>
      <c r="B35985"/>
      <c r="C35985"/>
      <c r="E35985"/>
      <c r="F35985"/>
    </row>
    <row r="35986" spans="1:6" x14ac:dyDescent="0.25">
      <c r="A35986"/>
      <c r="B35986"/>
      <c r="C35986"/>
      <c r="E35986"/>
      <c r="F35986"/>
    </row>
    <row r="35987" spans="1:6" x14ac:dyDescent="0.25">
      <c r="A35987"/>
      <c r="B35987"/>
      <c r="C35987"/>
      <c r="E35987"/>
      <c r="F35987"/>
    </row>
    <row r="35988" spans="1:6" x14ac:dyDescent="0.25">
      <c r="A35988"/>
      <c r="B35988"/>
      <c r="C35988"/>
      <c r="E35988"/>
      <c r="F35988"/>
    </row>
    <row r="35989" spans="1:6" x14ac:dyDescent="0.25">
      <c r="A35989"/>
      <c r="B35989"/>
      <c r="C35989"/>
      <c r="E35989"/>
      <c r="F35989"/>
    </row>
    <row r="35990" spans="1:6" x14ac:dyDescent="0.25">
      <c r="A35990"/>
      <c r="B35990"/>
      <c r="C35990"/>
      <c r="E35990"/>
      <c r="F35990"/>
    </row>
    <row r="35991" spans="1:6" x14ac:dyDescent="0.25">
      <c r="A35991"/>
      <c r="B35991"/>
      <c r="C35991"/>
      <c r="E35991"/>
      <c r="F35991"/>
    </row>
    <row r="35992" spans="1:6" x14ac:dyDescent="0.25">
      <c r="A35992"/>
      <c r="B35992"/>
      <c r="C35992"/>
      <c r="E35992"/>
      <c r="F35992"/>
    </row>
    <row r="35993" spans="1:6" x14ac:dyDescent="0.25">
      <c r="A35993"/>
      <c r="B35993"/>
      <c r="C35993"/>
      <c r="E35993"/>
      <c r="F35993"/>
    </row>
    <row r="35994" spans="1:6" x14ac:dyDescent="0.25">
      <c r="A35994"/>
      <c r="B35994"/>
      <c r="C35994"/>
      <c r="E35994"/>
      <c r="F35994"/>
    </row>
    <row r="35995" spans="1:6" x14ac:dyDescent="0.25">
      <c r="A35995"/>
      <c r="B35995"/>
      <c r="C35995"/>
      <c r="E35995"/>
      <c r="F35995"/>
    </row>
    <row r="35996" spans="1:6" x14ac:dyDescent="0.25">
      <c r="A35996"/>
      <c r="B35996"/>
      <c r="C35996"/>
      <c r="E35996"/>
      <c r="F35996"/>
    </row>
    <row r="35997" spans="1:6" x14ac:dyDescent="0.25">
      <c r="A35997"/>
      <c r="B35997"/>
      <c r="C35997"/>
      <c r="E35997"/>
      <c r="F35997"/>
    </row>
    <row r="35998" spans="1:6" x14ac:dyDescent="0.25">
      <c r="A35998"/>
      <c r="B35998"/>
      <c r="C35998"/>
      <c r="E35998"/>
      <c r="F35998"/>
    </row>
    <row r="35999" spans="1:6" x14ac:dyDescent="0.25">
      <c r="A35999"/>
      <c r="B35999"/>
      <c r="C35999"/>
      <c r="E35999"/>
      <c r="F35999"/>
    </row>
    <row r="36000" spans="1:6" x14ac:dyDescent="0.25">
      <c r="A36000"/>
      <c r="B36000"/>
      <c r="C36000"/>
      <c r="E36000"/>
      <c r="F36000"/>
    </row>
    <row r="36001" spans="1:6" x14ac:dyDescent="0.25">
      <c r="A36001"/>
      <c r="B36001"/>
      <c r="C36001"/>
      <c r="E36001"/>
      <c r="F36001"/>
    </row>
    <row r="36002" spans="1:6" x14ac:dyDescent="0.25">
      <c r="A36002"/>
      <c r="B36002"/>
      <c r="C36002"/>
      <c r="E36002"/>
      <c r="F36002"/>
    </row>
    <row r="36003" spans="1:6" x14ac:dyDescent="0.25">
      <c r="A36003"/>
      <c r="B36003"/>
      <c r="C36003"/>
      <c r="E36003"/>
      <c r="F36003"/>
    </row>
    <row r="36004" spans="1:6" x14ac:dyDescent="0.25">
      <c r="A36004"/>
      <c r="B36004"/>
      <c r="C36004"/>
      <c r="E36004"/>
      <c r="F36004"/>
    </row>
    <row r="36005" spans="1:6" x14ac:dyDescent="0.25">
      <c r="A36005"/>
      <c r="B36005"/>
      <c r="C36005"/>
      <c r="E36005"/>
      <c r="F36005"/>
    </row>
    <row r="36006" spans="1:6" x14ac:dyDescent="0.25">
      <c r="A36006"/>
      <c r="B36006"/>
      <c r="C36006"/>
      <c r="E36006"/>
      <c r="F36006"/>
    </row>
    <row r="36007" spans="1:6" x14ac:dyDescent="0.25">
      <c r="A36007"/>
      <c r="B36007"/>
      <c r="C36007"/>
      <c r="E36007"/>
      <c r="F36007"/>
    </row>
    <row r="36008" spans="1:6" x14ac:dyDescent="0.25">
      <c r="A36008"/>
      <c r="B36008"/>
      <c r="C36008"/>
      <c r="E36008"/>
      <c r="F36008"/>
    </row>
    <row r="36009" spans="1:6" x14ac:dyDescent="0.25">
      <c r="A36009"/>
      <c r="B36009"/>
      <c r="C36009"/>
      <c r="E36009"/>
      <c r="F36009"/>
    </row>
    <row r="36010" spans="1:6" x14ac:dyDescent="0.25">
      <c r="A36010"/>
      <c r="B36010"/>
      <c r="C36010"/>
      <c r="E36010"/>
      <c r="F36010"/>
    </row>
    <row r="36011" spans="1:6" x14ac:dyDescent="0.25">
      <c r="A36011"/>
      <c r="B36011"/>
      <c r="C36011"/>
      <c r="E36011"/>
      <c r="F36011"/>
    </row>
    <row r="36012" spans="1:6" x14ac:dyDescent="0.25">
      <c r="A36012"/>
      <c r="B36012"/>
      <c r="C36012"/>
      <c r="E36012"/>
      <c r="F36012"/>
    </row>
    <row r="36013" spans="1:6" x14ac:dyDescent="0.25">
      <c r="A36013"/>
      <c r="B36013"/>
      <c r="C36013"/>
      <c r="E36013"/>
      <c r="F36013"/>
    </row>
    <row r="36014" spans="1:6" x14ac:dyDescent="0.25">
      <c r="A36014"/>
      <c r="B36014"/>
      <c r="C36014"/>
      <c r="E36014"/>
      <c r="F36014"/>
    </row>
    <row r="36015" spans="1:6" x14ac:dyDescent="0.25">
      <c r="A36015"/>
      <c r="B36015"/>
      <c r="C36015"/>
      <c r="E36015"/>
      <c r="F36015"/>
    </row>
    <row r="36016" spans="1:6" x14ac:dyDescent="0.25">
      <c r="A36016"/>
      <c r="B36016"/>
      <c r="C36016"/>
      <c r="E36016"/>
      <c r="F36016"/>
    </row>
    <row r="36017" spans="1:6" x14ac:dyDescent="0.25">
      <c r="A36017"/>
      <c r="B36017"/>
      <c r="C36017"/>
      <c r="E36017"/>
      <c r="F36017"/>
    </row>
    <row r="36018" spans="1:6" x14ac:dyDescent="0.25">
      <c r="A36018"/>
      <c r="B36018"/>
      <c r="C36018"/>
      <c r="E36018"/>
      <c r="F36018"/>
    </row>
    <row r="36019" spans="1:6" x14ac:dyDescent="0.25">
      <c r="A36019"/>
      <c r="B36019"/>
      <c r="C36019"/>
      <c r="E36019"/>
      <c r="F36019"/>
    </row>
    <row r="36020" spans="1:6" x14ac:dyDescent="0.25">
      <c r="A36020"/>
      <c r="B36020"/>
      <c r="C36020"/>
      <c r="E36020"/>
      <c r="F36020"/>
    </row>
    <row r="36021" spans="1:6" x14ac:dyDescent="0.25">
      <c r="A36021"/>
      <c r="B36021"/>
      <c r="C36021"/>
      <c r="E36021"/>
      <c r="F36021"/>
    </row>
    <row r="36022" spans="1:6" x14ac:dyDescent="0.25">
      <c r="A36022"/>
      <c r="B36022"/>
      <c r="C36022"/>
      <c r="E36022"/>
      <c r="F36022"/>
    </row>
    <row r="36023" spans="1:6" x14ac:dyDescent="0.25">
      <c r="A36023"/>
      <c r="B36023"/>
      <c r="C36023"/>
      <c r="E36023"/>
      <c r="F36023"/>
    </row>
    <row r="36024" spans="1:6" x14ac:dyDescent="0.25">
      <c r="A36024"/>
      <c r="B36024"/>
      <c r="C36024"/>
      <c r="E36024"/>
      <c r="F36024"/>
    </row>
    <row r="36025" spans="1:6" x14ac:dyDescent="0.25">
      <c r="A36025"/>
      <c r="B36025"/>
      <c r="C36025"/>
      <c r="E36025"/>
      <c r="F36025"/>
    </row>
    <row r="36026" spans="1:6" x14ac:dyDescent="0.25">
      <c r="A36026"/>
      <c r="B36026"/>
      <c r="C36026"/>
      <c r="E36026"/>
      <c r="F36026"/>
    </row>
    <row r="36027" spans="1:6" x14ac:dyDescent="0.25">
      <c r="A36027"/>
      <c r="B36027"/>
      <c r="C36027"/>
      <c r="E36027"/>
      <c r="F36027"/>
    </row>
    <row r="36028" spans="1:6" x14ac:dyDescent="0.25">
      <c r="A36028"/>
      <c r="B36028"/>
      <c r="C36028"/>
      <c r="E36028"/>
      <c r="F36028"/>
    </row>
    <row r="36029" spans="1:6" x14ac:dyDescent="0.25">
      <c r="A36029"/>
      <c r="B36029"/>
      <c r="C36029"/>
      <c r="E36029"/>
      <c r="F36029"/>
    </row>
    <row r="36030" spans="1:6" x14ac:dyDescent="0.25">
      <c r="A36030"/>
      <c r="B36030"/>
      <c r="C36030"/>
      <c r="E36030"/>
      <c r="F36030"/>
    </row>
    <row r="36031" spans="1:6" x14ac:dyDescent="0.25">
      <c r="A36031"/>
      <c r="B36031"/>
      <c r="C36031"/>
      <c r="E36031"/>
      <c r="F36031"/>
    </row>
    <row r="36032" spans="1:6" x14ac:dyDescent="0.25">
      <c r="A36032"/>
      <c r="B36032"/>
      <c r="C36032"/>
      <c r="E36032"/>
      <c r="F36032"/>
    </row>
    <row r="36033" spans="1:6" x14ac:dyDescent="0.25">
      <c r="A36033"/>
      <c r="B36033"/>
      <c r="C36033"/>
      <c r="E36033"/>
      <c r="F36033"/>
    </row>
    <row r="36034" spans="1:6" x14ac:dyDescent="0.25">
      <c r="A36034"/>
      <c r="B36034"/>
      <c r="C36034"/>
      <c r="E36034"/>
      <c r="F36034"/>
    </row>
    <row r="36035" spans="1:6" x14ac:dyDescent="0.25">
      <c r="A36035"/>
      <c r="B36035"/>
      <c r="C36035"/>
      <c r="E36035"/>
      <c r="F36035"/>
    </row>
    <row r="36036" spans="1:6" x14ac:dyDescent="0.25">
      <c r="A36036"/>
      <c r="B36036"/>
      <c r="C36036"/>
      <c r="E36036"/>
      <c r="F36036"/>
    </row>
    <row r="36037" spans="1:6" x14ac:dyDescent="0.25">
      <c r="A36037"/>
      <c r="B36037"/>
      <c r="C36037"/>
      <c r="E36037"/>
      <c r="F36037"/>
    </row>
    <row r="36038" spans="1:6" x14ac:dyDescent="0.25">
      <c r="A36038"/>
      <c r="B36038"/>
      <c r="C36038"/>
      <c r="E36038"/>
      <c r="F36038"/>
    </row>
    <row r="36039" spans="1:6" x14ac:dyDescent="0.25">
      <c r="A36039"/>
      <c r="B36039"/>
      <c r="C36039"/>
      <c r="E36039"/>
      <c r="F36039"/>
    </row>
    <row r="36040" spans="1:6" x14ac:dyDescent="0.25">
      <c r="A36040"/>
      <c r="B36040"/>
      <c r="C36040"/>
      <c r="E36040"/>
      <c r="F36040"/>
    </row>
    <row r="36041" spans="1:6" x14ac:dyDescent="0.25">
      <c r="A36041"/>
      <c r="B36041"/>
      <c r="C36041"/>
      <c r="E36041"/>
      <c r="F36041"/>
    </row>
    <row r="36042" spans="1:6" x14ac:dyDescent="0.25">
      <c r="A36042"/>
      <c r="B36042"/>
      <c r="C36042"/>
      <c r="E36042"/>
      <c r="F36042"/>
    </row>
    <row r="36043" spans="1:6" x14ac:dyDescent="0.25">
      <c r="A36043"/>
      <c r="B36043"/>
      <c r="C36043"/>
      <c r="E36043"/>
      <c r="F36043"/>
    </row>
    <row r="36044" spans="1:6" x14ac:dyDescent="0.25">
      <c r="A36044"/>
      <c r="B36044"/>
      <c r="C36044"/>
      <c r="E36044"/>
      <c r="F36044"/>
    </row>
    <row r="36045" spans="1:6" x14ac:dyDescent="0.25">
      <c r="A36045"/>
      <c r="B36045"/>
      <c r="C36045"/>
      <c r="E36045"/>
      <c r="F36045"/>
    </row>
    <row r="36046" spans="1:6" x14ac:dyDescent="0.25">
      <c r="A36046"/>
      <c r="B36046"/>
      <c r="C36046"/>
      <c r="E36046"/>
      <c r="F36046"/>
    </row>
    <row r="36047" spans="1:6" x14ac:dyDescent="0.25">
      <c r="A36047"/>
      <c r="B36047"/>
      <c r="C36047"/>
      <c r="E36047"/>
      <c r="F36047"/>
    </row>
    <row r="36048" spans="1:6" x14ac:dyDescent="0.25">
      <c r="A36048"/>
      <c r="B36048"/>
      <c r="C36048"/>
      <c r="E36048"/>
      <c r="F36048"/>
    </row>
    <row r="36049" spans="1:6" x14ac:dyDescent="0.25">
      <c r="A36049"/>
      <c r="B36049"/>
      <c r="C36049"/>
      <c r="E36049"/>
      <c r="F36049"/>
    </row>
    <row r="36050" spans="1:6" x14ac:dyDescent="0.25">
      <c r="A36050"/>
      <c r="B36050"/>
      <c r="C36050"/>
      <c r="E36050"/>
      <c r="F36050"/>
    </row>
    <row r="36051" spans="1:6" x14ac:dyDescent="0.25">
      <c r="A36051"/>
      <c r="B36051"/>
      <c r="C36051"/>
      <c r="E36051"/>
      <c r="F36051"/>
    </row>
    <row r="36052" spans="1:6" x14ac:dyDescent="0.25">
      <c r="A36052"/>
      <c r="B36052"/>
      <c r="C36052"/>
      <c r="E36052"/>
      <c r="F36052"/>
    </row>
    <row r="36053" spans="1:6" x14ac:dyDescent="0.25">
      <c r="A36053"/>
      <c r="B36053"/>
      <c r="C36053"/>
      <c r="E36053"/>
      <c r="F36053"/>
    </row>
    <row r="36054" spans="1:6" x14ac:dyDescent="0.25">
      <c r="A36054"/>
      <c r="B36054"/>
      <c r="C36054"/>
      <c r="E36054"/>
      <c r="F36054"/>
    </row>
    <row r="36055" spans="1:6" x14ac:dyDescent="0.25">
      <c r="A36055"/>
      <c r="B36055"/>
      <c r="C36055"/>
      <c r="E36055"/>
      <c r="F36055"/>
    </row>
    <row r="36056" spans="1:6" x14ac:dyDescent="0.25">
      <c r="A36056"/>
      <c r="B36056"/>
      <c r="C36056"/>
      <c r="E36056"/>
      <c r="F36056"/>
    </row>
    <row r="36057" spans="1:6" x14ac:dyDescent="0.25">
      <c r="A36057"/>
      <c r="B36057"/>
      <c r="C36057"/>
      <c r="E36057"/>
      <c r="F36057"/>
    </row>
    <row r="36058" spans="1:6" x14ac:dyDescent="0.25">
      <c r="A36058"/>
      <c r="B36058"/>
      <c r="C36058"/>
      <c r="E36058"/>
      <c r="F36058"/>
    </row>
    <row r="36059" spans="1:6" x14ac:dyDescent="0.25">
      <c r="A36059"/>
      <c r="B36059"/>
      <c r="C36059"/>
      <c r="E36059"/>
      <c r="F36059"/>
    </row>
    <row r="36060" spans="1:6" x14ac:dyDescent="0.25">
      <c r="A36060"/>
      <c r="B36060"/>
      <c r="C36060"/>
      <c r="E36060"/>
      <c r="F36060"/>
    </row>
    <row r="36061" spans="1:6" x14ac:dyDescent="0.25">
      <c r="A36061"/>
      <c r="B36061"/>
      <c r="C36061"/>
      <c r="E36061"/>
      <c r="F36061"/>
    </row>
    <row r="36062" spans="1:6" x14ac:dyDescent="0.25">
      <c r="A36062"/>
      <c r="B36062"/>
      <c r="C36062"/>
      <c r="E36062"/>
      <c r="F36062"/>
    </row>
    <row r="36063" spans="1:6" x14ac:dyDescent="0.25">
      <c r="A36063"/>
      <c r="B36063"/>
      <c r="C36063"/>
      <c r="E36063"/>
      <c r="F36063"/>
    </row>
    <row r="36064" spans="1:6" x14ac:dyDescent="0.25">
      <c r="A36064"/>
      <c r="B36064"/>
      <c r="C36064"/>
      <c r="E36064"/>
      <c r="F36064"/>
    </row>
    <row r="36065" spans="1:6" x14ac:dyDescent="0.25">
      <c r="A36065"/>
      <c r="B36065"/>
      <c r="C36065"/>
      <c r="E36065"/>
      <c r="F36065"/>
    </row>
    <row r="36066" spans="1:6" x14ac:dyDescent="0.25">
      <c r="A36066"/>
      <c r="B36066"/>
      <c r="C36066"/>
      <c r="E36066"/>
      <c r="F36066"/>
    </row>
    <row r="36067" spans="1:6" x14ac:dyDescent="0.25">
      <c r="A36067"/>
      <c r="B36067"/>
      <c r="C36067"/>
      <c r="E36067"/>
      <c r="F36067"/>
    </row>
    <row r="36068" spans="1:6" x14ac:dyDescent="0.25">
      <c r="A36068"/>
      <c r="B36068"/>
      <c r="C36068"/>
      <c r="E36068"/>
      <c r="F36068"/>
    </row>
    <row r="36069" spans="1:6" x14ac:dyDescent="0.25">
      <c r="A36069"/>
      <c r="B36069"/>
      <c r="C36069"/>
      <c r="E36069"/>
      <c r="F36069"/>
    </row>
    <row r="36070" spans="1:6" x14ac:dyDescent="0.25">
      <c r="A36070"/>
      <c r="B36070"/>
      <c r="C36070"/>
      <c r="E36070"/>
      <c r="F36070"/>
    </row>
    <row r="36071" spans="1:6" x14ac:dyDescent="0.25">
      <c r="A36071"/>
      <c r="B36071"/>
      <c r="C36071"/>
      <c r="E36071"/>
      <c r="F36071"/>
    </row>
    <row r="36072" spans="1:6" x14ac:dyDescent="0.25">
      <c r="A36072"/>
      <c r="B36072"/>
      <c r="C36072"/>
      <c r="E36072"/>
      <c r="F36072"/>
    </row>
    <row r="36073" spans="1:6" x14ac:dyDescent="0.25">
      <c r="A36073"/>
      <c r="B36073"/>
      <c r="C36073"/>
      <c r="E36073"/>
      <c r="F36073"/>
    </row>
    <row r="36074" spans="1:6" x14ac:dyDescent="0.25">
      <c r="A36074"/>
      <c r="B36074"/>
      <c r="C36074"/>
      <c r="E36074"/>
      <c r="F36074"/>
    </row>
    <row r="36075" spans="1:6" x14ac:dyDescent="0.25">
      <c r="A36075"/>
      <c r="B36075"/>
      <c r="C36075"/>
      <c r="E36075"/>
      <c r="F36075"/>
    </row>
    <row r="36076" spans="1:6" x14ac:dyDescent="0.25">
      <c r="A36076"/>
      <c r="B36076"/>
      <c r="C36076"/>
      <c r="E36076"/>
      <c r="F36076"/>
    </row>
    <row r="36077" spans="1:6" x14ac:dyDescent="0.25">
      <c r="A36077"/>
      <c r="B36077"/>
      <c r="C36077"/>
      <c r="E36077"/>
      <c r="F36077"/>
    </row>
    <row r="36078" spans="1:6" x14ac:dyDescent="0.25">
      <c r="A36078"/>
      <c r="B36078"/>
      <c r="C36078"/>
      <c r="E36078"/>
      <c r="F36078"/>
    </row>
    <row r="36079" spans="1:6" x14ac:dyDescent="0.25">
      <c r="A36079"/>
      <c r="B36079"/>
      <c r="C36079"/>
      <c r="E36079"/>
      <c r="F36079"/>
    </row>
    <row r="36080" spans="1:6" x14ac:dyDescent="0.25">
      <c r="A36080"/>
      <c r="B36080"/>
      <c r="C36080"/>
      <c r="E36080"/>
      <c r="F36080"/>
    </row>
    <row r="36081" spans="1:6" x14ac:dyDescent="0.25">
      <c r="A36081"/>
      <c r="B36081"/>
      <c r="C36081"/>
      <c r="E36081"/>
      <c r="F36081"/>
    </row>
    <row r="36082" spans="1:6" x14ac:dyDescent="0.25">
      <c r="A36082"/>
      <c r="B36082"/>
      <c r="C36082"/>
      <c r="E36082"/>
      <c r="F36082"/>
    </row>
    <row r="36083" spans="1:6" x14ac:dyDescent="0.25">
      <c r="A36083"/>
      <c r="B36083"/>
      <c r="C36083"/>
      <c r="E36083"/>
      <c r="F36083"/>
    </row>
    <row r="36084" spans="1:6" x14ac:dyDescent="0.25">
      <c r="A36084"/>
      <c r="B36084"/>
      <c r="C36084"/>
      <c r="E36084"/>
      <c r="F36084"/>
    </row>
    <row r="36085" spans="1:6" x14ac:dyDescent="0.25">
      <c r="A36085"/>
      <c r="B36085"/>
      <c r="C36085"/>
      <c r="E36085"/>
      <c r="F36085"/>
    </row>
    <row r="36086" spans="1:6" x14ac:dyDescent="0.25">
      <c r="A36086"/>
      <c r="B36086"/>
      <c r="C36086"/>
      <c r="E36086"/>
      <c r="F36086"/>
    </row>
    <row r="36087" spans="1:6" x14ac:dyDescent="0.25">
      <c r="A36087"/>
      <c r="B36087"/>
      <c r="C36087"/>
      <c r="E36087"/>
      <c r="F36087"/>
    </row>
    <row r="36088" spans="1:6" x14ac:dyDescent="0.25">
      <c r="A36088"/>
      <c r="B36088"/>
      <c r="C36088"/>
      <c r="E36088"/>
      <c r="F36088"/>
    </row>
    <row r="36089" spans="1:6" x14ac:dyDescent="0.25">
      <c r="A36089"/>
      <c r="B36089"/>
      <c r="C36089"/>
      <c r="E36089"/>
      <c r="F36089"/>
    </row>
    <row r="36090" spans="1:6" x14ac:dyDescent="0.25">
      <c r="A36090"/>
      <c r="B36090"/>
      <c r="C36090"/>
      <c r="E36090"/>
      <c r="F36090"/>
    </row>
    <row r="36091" spans="1:6" x14ac:dyDescent="0.25">
      <c r="A36091"/>
      <c r="B36091"/>
      <c r="C36091"/>
      <c r="E36091"/>
      <c r="F36091"/>
    </row>
    <row r="36092" spans="1:6" x14ac:dyDescent="0.25">
      <c r="A36092"/>
      <c r="B36092"/>
      <c r="C36092"/>
      <c r="E36092"/>
      <c r="F36092"/>
    </row>
    <row r="36093" spans="1:6" x14ac:dyDescent="0.25">
      <c r="A36093"/>
      <c r="B36093"/>
      <c r="C36093"/>
      <c r="E36093"/>
      <c r="F36093"/>
    </row>
    <row r="36094" spans="1:6" x14ac:dyDescent="0.25">
      <c r="A36094"/>
      <c r="B36094"/>
      <c r="C36094"/>
      <c r="E36094"/>
      <c r="F36094"/>
    </row>
    <row r="36095" spans="1:6" x14ac:dyDescent="0.25">
      <c r="A36095"/>
      <c r="B36095"/>
      <c r="C36095"/>
      <c r="E36095"/>
      <c r="F36095"/>
    </row>
    <row r="36096" spans="1:6" x14ac:dyDescent="0.25">
      <c r="A36096"/>
      <c r="B36096"/>
      <c r="C36096"/>
      <c r="E36096"/>
      <c r="F36096"/>
    </row>
    <row r="36097" spans="1:6" x14ac:dyDescent="0.25">
      <c r="A36097"/>
      <c r="B36097"/>
      <c r="C36097"/>
      <c r="E36097"/>
      <c r="F36097"/>
    </row>
    <row r="36098" spans="1:6" x14ac:dyDescent="0.25">
      <c r="A36098"/>
      <c r="B36098"/>
      <c r="C36098"/>
      <c r="E36098"/>
      <c r="F36098"/>
    </row>
    <row r="36099" spans="1:6" x14ac:dyDescent="0.25">
      <c r="A36099"/>
      <c r="B36099"/>
      <c r="C36099"/>
      <c r="E36099"/>
      <c r="F36099"/>
    </row>
    <row r="36100" spans="1:6" x14ac:dyDescent="0.25">
      <c r="A36100"/>
      <c r="B36100"/>
      <c r="C36100"/>
      <c r="E36100"/>
      <c r="F36100"/>
    </row>
    <row r="36101" spans="1:6" x14ac:dyDescent="0.25">
      <c r="A36101"/>
      <c r="B36101"/>
      <c r="C36101"/>
      <c r="E36101"/>
      <c r="F36101"/>
    </row>
    <row r="36102" spans="1:6" x14ac:dyDescent="0.25">
      <c r="A36102"/>
      <c r="B36102"/>
      <c r="C36102"/>
      <c r="E36102"/>
      <c r="F36102"/>
    </row>
    <row r="36103" spans="1:6" x14ac:dyDescent="0.25">
      <c r="A36103"/>
      <c r="B36103"/>
      <c r="C36103"/>
      <c r="E36103"/>
      <c r="F36103"/>
    </row>
    <row r="36104" spans="1:6" x14ac:dyDescent="0.25">
      <c r="A36104"/>
      <c r="B36104"/>
      <c r="C36104"/>
      <c r="E36104"/>
      <c r="F36104"/>
    </row>
    <row r="36105" spans="1:6" x14ac:dyDescent="0.25">
      <c r="A36105"/>
      <c r="B36105"/>
      <c r="C36105"/>
      <c r="E36105"/>
      <c r="F36105"/>
    </row>
    <row r="36106" spans="1:6" x14ac:dyDescent="0.25">
      <c r="A36106"/>
      <c r="B36106"/>
      <c r="C36106"/>
      <c r="E36106"/>
      <c r="F36106"/>
    </row>
    <row r="36107" spans="1:6" x14ac:dyDescent="0.25">
      <c r="A36107"/>
      <c r="B36107"/>
      <c r="C36107"/>
      <c r="E36107"/>
      <c r="F36107"/>
    </row>
    <row r="36108" spans="1:6" x14ac:dyDescent="0.25">
      <c r="A36108"/>
      <c r="B36108"/>
      <c r="C36108"/>
      <c r="E36108"/>
      <c r="F36108"/>
    </row>
    <row r="36109" spans="1:6" x14ac:dyDescent="0.25">
      <c r="A36109"/>
      <c r="B36109"/>
      <c r="C36109"/>
      <c r="E36109"/>
      <c r="F36109"/>
    </row>
    <row r="36110" spans="1:6" x14ac:dyDescent="0.25">
      <c r="A36110"/>
      <c r="B36110"/>
      <c r="C36110"/>
      <c r="E36110"/>
      <c r="F36110"/>
    </row>
    <row r="36111" spans="1:6" x14ac:dyDescent="0.25">
      <c r="A36111"/>
      <c r="B36111"/>
      <c r="C36111"/>
      <c r="E36111"/>
      <c r="F36111"/>
    </row>
    <row r="36112" spans="1:6" x14ac:dyDescent="0.25">
      <c r="A36112"/>
      <c r="B36112"/>
      <c r="C36112"/>
      <c r="E36112"/>
      <c r="F36112"/>
    </row>
    <row r="36113" spans="1:6" x14ac:dyDescent="0.25">
      <c r="A36113"/>
      <c r="B36113"/>
      <c r="C36113"/>
      <c r="E36113"/>
      <c r="F36113"/>
    </row>
    <row r="36114" spans="1:6" x14ac:dyDescent="0.25">
      <c r="A36114"/>
      <c r="B36114"/>
      <c r="C36114"/>
      <c r="E36114"/>
      <c r="F36114"/>
    </row>
    <row r="36115" spans="1:6" x14ac:dyDescent="0.25">
      <c r="A36115"/>
      <c r="B36115"/>
      <c r="C36115"/>
      <c r="E36115"/>
      <c r="F36115"/>
    </row>
    <row r="36116" spans="1:6" x14ac:dyDescent="0.25">
      <c r="A36116"/>
      <c r="B36116"/>
      <c r="C36116"/>
      <c r="E36116"/>
      <c r="F36116"/>
    </row>
    <row r="36117" spans="1:6" x14ac:dyDescent="0.25">
      <c r="A36117"/>
      <c r="B36117"/>
      <c r="C36117"/>
      <c r="E36117"/>
      <c r="F36117"/>
    </row>
    <row r="36118" spans="1:6" x14ac:dyDescent="0.25">
      <c r="A36118"/>
      <c r="B36118"/>
      <c r="C36118"/>
      <c r="E36118"/>
      <c r="F36118"/>
    </row>
    <row r="36119" spans="1:6" x14ac:dyDescent="0.25">
      <c r="A36119"/>
      <c r="B36119"/>
      <c r="C36119"/>
      <c r="E36119"/>
      <c r="F36119"/>
    </row>
    <row r="36120" spans="1:6" x14ac:dyDescent="0.25">
      <c r="A36120"/>
      <c r="B36120"/>
      <c r="C36120"/>
      <c r="E36120"/>
      <c r="F36120"/>
    </row>
    <row r="36121" spans="1:6" x14ac:dyDescent="0.25">
      <c r="A36121"/>
      <c r="B36121"/>
      <c r="C36121"/>
      <c r="E36121"/>
      <c r="F36121"/>
    </row>
    <row r="36122" spans="1:6" x14ac:dyDescent="0.25">
      <c r="A36122"/>
      <c r="B36122"/>
      <c r="C36122"/>
      <c r="E36122"/>
      <c r="F36122"/>
    </row>
    <row r="36123" spans="1:6" x14ac:dyDescent="0.25">
      <c r="A36123"/>
      <c r="B36123"/>
      <c r="C36123"/>
      <c r="E36123"/>
      <c r="F36123"/>
    </row>
    <row r="36124" spans="1:6" x14ac:dyDescent="0.25">
      <c r="A36124"/>
      <c r="B36124"/>
      <c r="C36124"/>
      <c r="E36124"/>
      <c r="F36124"/>
    </row>
    <row r="36125" spans="1:6" x14ac:dyDescent="0.25">
      <c r="A36125"/>
      <c r="B36125"/>
      <c r="C36125"/>
      <c r="E36125"/>
      <c r="F36125"/>
    </row>
    <row r="36126" spans="1:6" x14ac:dyDescent="0.25">
      <c r="A36126"/>
      <c r="B36126"/>
      <c r="C36126"/>
      <c r="E36126"/>
      <c r="F36126"/>
    </row>
    <row r="36127" spans="1:6" x14ac:dyDescent="0.25">
      <c r="A36127"/>
      <c r="B36127"/>
      <c r="C36127"/>
      <c r="E36127"/>
      <c r="F36127"/>
    </row>
    <row r="36128" spans="1:6" x14ac:dyDescent="0.25">
      <c r="A36128"/>
      <c r="B36128"/>
      <c r="C36128"/>
      <c r="E36128"/>
      <c r="F36128"/>
    </row>
    <row r="36129" spans="1:6" x14ac:dyDescent="0.25">
      <c r="A36129"/>
      <c r="B36129"/>
      <c r="C36129"/>
      <c r="E36129"/>
      <c r="F36129"/>
    </row>
    <row r="36130" spans="1:6" x14ac:dyDescent="0.25">
      <c r="A36130"/>
      <c r="B36130"/>
      <c r="C36130"/>
      <c r="E36130"/>
      <c r="F36130"/>
    </row>
    <row r="36131" spans="1:6" x14ac:dyDescent="0.25">
      <c r="A36131"/>
      <c r="B36131"/>
      <c r="C36131"/>
      <c r="E36131"/>
      <c r="F36131"/>
    </row>
    <row r="36132" spans="1:6" x14ac:dyDescent="0.25">
      <c r="A36132"/>
      <c r="B36132"/>
      <c r="C36132"/>
      <c r="E36132"/>
      <c r="F36132"/>
    </row>
    <row r="36133" spans="1:6" x14ac:dyDescent="0.25">
      <c r="A36133"/>
      <c r="B36133"/>
      <c r="C36133"/>
      <c r="E36133"/>
      <c r="F36133"/>
    </row>
    <row r="36134" spans="1:6" x14ac:dyDescent="0.25">
      <c r="A36134"/>
      <c r="B36134"/>
      <c r="C36134"/>
      <c r="E36134"/>
      <c r="F36134"/>
    </row>
    <row r="36135" spans="1:6" x14ac:dyDescent="0.25">
      <c r="A36135"/>
      <c r="B36135"/>
      <c r="C36135"/>
      <c r="E36135"/>
      <c r="F36135"/>
    </row>
    <row r="36136" spans="1:6" x14ac:dyDescent="0.25">
      <c r="A36136"/>
      <c r="B36136"/>
      <c r="C36136"/>
      <c r="E36136"/>
      <c r="F36136"/>
    </row>
    <row r="36137" spans="1:6" x14ac:dyDescent="0.25">
      <c r="A36137"/>
      <c r="B36137"/>
      <c r="C36137"/>
      <c r="E36137"/>
      <c r="F36137"/>
    </row>
    <row r="36138" spans="1:6" x14ac:dyDescent="0.25">
      <c r="A36138"/>
      <c r="B36138"/>
      <c r="C36138"/>
      <c r="E36138"/>
      <c r="F36138"/>
    </row>
    <row r="36139" spans="1:6" x14ac:dyDescent="0.25">
      <c r="A36139"/>
      <c r="B36139"/>
      <c r="C36139"/>
      <c r="E36139"/>
      <c r="F36139"/>
    </row>
    <row r="36140" spans="1:6" x14ac:dyDescent="0.25">
      <c r="A36140"/>
      <c r="B36140"/>
      <c r="C36140"/>
      <c r="E36140"/>
      <c r="F36140"/>
    </row>
    <row r="36141" spans="1:6" x14ac:dyDescent="0.25">
      <c r="A36141"/>
      <c r="B36141"/>
      <c r="C36141"/>
      <c r="E36141"/>
      <c r="F36141"/>
    </row>
    <row r="36142" spans="1:6" x14ac:dyDescent="0.25">
      <c r="A36142"/>
      <c r="B36142"/>
      <c r="C36142"/>
      <c r="E36142"/>
      <c r="F36142"/>
    </row>
    <row r="36143" spans="1:6" x14ac:dyDescent="0.25">
      <c r="A36143"/>
      <c r="B36143"/>
      <c r="C36143"/>
      <c r="E36143"/>
      <c r="F36143"/>
    </row>
    <row r="36144" spans="1:6" x14ac:dyDescent="0.25">
      <c r="A36144"/>
      <c r="B36144"/>
      <c r="C36144"/>
      <c r="E36144"/>
      <c r="F36144"/>
    </row>
    <row r="36145" spans="1:6" x14ac:dyDescent="0.25">
      <c r="A36145"/>
      <c r="B36145"/>
      <c r="C36145"/>
      <c r="E36145"/>
      <c r="F36145"/>
    </row>
    <row r="36146" spans="1:6" x14ac:dyDescent="0.25">
      <c r="A36146"/>
      <c r="B36146"/>
      <c r="C36146"/>
      <c r="E36146"/>
      <c r="F36146"/>
    </row>
    <row r="36147" spans="1:6" x14ac:dyDescent="0.25">
      <c r="A36147"/>
      <c r="B36147"/>
      <c r="C36147"/>
      <c r="E36147"/>
      <c r="F36147"/>
    </row>
    <row r="36148" spans="1:6" x14ac:dyDescent="0.25">
      <c r="A36148"/>
      <c r="B36148"/>
      <c r="C36148"/>
      <c r="E36148"/>
      <c r="F36148"/>
    </row>
    <row r="36149" spans="1:6" x14ac:dyDescent="0.25">
      <c r="A36149"/>
      <c r="B36149"/>
      <c r="C36149"/>
      <c r="E36149"/>
      <c r="F36149"/>
    </row>
    <row r="36150" spans="1:6" x14ac:dyDescent="0.25">
      <c r="A36150"/>
      <c r="B36150"/>
      <c r="C36150"/>
      <c r="E36150"/>
      <c r="F36150"/>
    </row>
    <row r="36151" spans="1:6" x14ac:dyDescent="0.25">
      <c r="A36151"/>
      <c r="B36151"/>
      <c r="C36151"/>
      <c r="E36151"/>
      <c r="F36151"/>
    </row>
    <row r="36152" spans="1:6" x14ac:dyDescent="0.25">
      <c r="A36152"/>
      <c r="B36152"/>
      <c r="C36152"/>
      <c r="E36152"/>
      <c r="F36152"/>
    </row>
    <row r="36153" spans="1:6" x14ac:dyDescent="0.25">
      <c r="A36153"/>
      <c r="B36153"/>
      <c r="C36153"/>
      <c r="E36153"/>
      <c r="F36153"/>
    </row>
    <row r="36154" spans="1:6" x14ac:dyDescent="0.25">
      <c r="A36154"/>
      <c r="B36154"/>
      <c r="C36154"/>
      <c r="E36154"/>
      <c r="F36154"/>
    </row>
    <row r="36155" spans="1:6" x14ac:dyDescent="0.25">
      <c r="A36155"/>
      <c r="B36155"/>
      <c r="C36155"/>
      <c r="E36155"/>
      <c r="F36155"/>
    </row>
    <row r="36156" spans="1:6" x14ac:dyDescent="0.25">
      <c r="A36156"/>
      <c r="B36156"/>
      <c r="C36156"/>
      <c r="E36156"/>
      <c r="F36156"/>
    </row>
    <row r="36157" spans="1:6" x14ac:dyDescent="0.25">
      <c r="A36157"/>
      <c r="B36157"/>
      <c r="C36157"/>
      <c r="E36157"/>
      <c r="F36157"/>
    </row>
    <row r="36158" spans="1:6" x14ac:dyDescent="0.25">
      <c r="A36158"/>
      <c r="B36158"/>
      <c r="C36158"/>
      <c r="E36158"/>
      <c r="F36158"/>
    </row>
    <row r="36159" spans="1:6" x14ac:dyDescent="0.25">
      <c r="A36159"/>
      <c r="B36159"/>
      <c r="C36159"/>
      <c r="E36159"/>
      <c r="F36159"/>
    </row>
    <row r="36160" spans="1:6" x14ac:dyDescent="0.25">
      <c r="A36160"/>
      <c r="B36160"/>
      <c r="C36160"/>
      <c r="E36160"/>
      <c r="F36160"/>
    </row>
    <row r="36161" spans="1:6" x14ac:dyDescent="0.25">
      <c r="A36161"/>
      <c r="B36161"/>
      <c r="C36161"/>
      <c r="E36161"/>
      <c r="F36161"/>
    </row>
    <row r="36162" spans="1:6" x14ac:dyDescent="0.25">
      <c r="A36162"/>
      <c r="B36162"/>
      <c r="C36162"/>
      <c r="E36162"/>
      <c r="F36162"/>
    </row>
    <row r="36163" spans="1:6" x14ac:dyDescent="0.25">
      <c r="A36163"/>
      <c r="B36163"/>
      <c r="C36163"/>
      <c r="E36163"/>
      <c r="F36163"/>
    </row>
    <row r="36164" spans="1:6" x14ac:dyDescent="0.25">
      <c r="A36164"/>
      <c r="B36164"/>
      <c r="C36164"/>
      <c r="E36164"/>
      <c r="F36164"/>
    </row>
    <row r="36165" spans="1:6" x14ac:dyDescent="0.25">
      <c r="A36165"/>
      <c r="B36165"/>
      <c r="C36165"/>
      <c r="E36165"/>
      <c r="F36165"/>
    </row>
    <row r="36166" spans="1:6" x14ac:dyDescent="0.25">
      <c r="A36166"/>
      <c r="B36166"/>
      <c r="C36166"/>
      <c r="E36166"/>
      <c r="F36166"/>
    </row>
    <row r="36167" spans="1:6" x14ac:dyDescent="0.25">
      <c r="A36167"/>
      <c r="B36167"/>
      <c r="C36167"/>
      <c r="E36167"/>
      <c r="F36167"/>
    </row>
    <row r="36168" spans="1:6" x14ac:dyDescent="0.25">
      <c r="A36168"/>
      <c r="B36168"/>
      <c r="C36168"/>
      <c r="E36168"/>
      <c r="F36168"/>
    </row>
    <row r="36169" spans="1:6" x14ac:dyDescent="0.25">
      <c r="A36169"/>
      <c r="B36169"/>
      <c r="C36169"/>
      <c r="E36169"/>
      <c r="F36169"/>
    </row>
    <row r="36170" spans="1:6" x14ac:dyDescent="0.25">
      <c r="A36170"/>
      <c r="B36170"/>
      <c r="C36170"/>
      <c r="E36170"/>
      <c r="F36170"/>
    </row>
    <row r="36171" spans="1:6" x14ac:dyDescent="0.25">
      <c r="A36171"/>
      <c r="B36171"/>
      <c r="C36171"/>
      <c r="E36171"/>
      <c r="F36171"/>
    </row>
    <row r="36172" spans="1:6" x14ac:dyDescent="0.25">
      <c r="A36172"/>
      <c r="B36172"/>
      <c r="C36172"/>
      <c r="E36172"/>
      <c r="F36172"/>
    </row>
    <row r="36173" spans="1:6" x14ac:dyDescent="0.25">
      <c r="A36173"/>
      <c r="B36173"/>
      <c r="C36173"/>
      <c r="E36173"/>
      <c r="F36173"/>
    </row>
    <row r="36174" spans="1:6" x14ac:dyDescent="0.25">
      <c r="A36174"/>
      <c r="B36174"/>
      <c r="C36174"/>
      <c r="E36174"/>
      <c r="F36174"/>
    </row>
    <row r="36175" spans="1:6" x14ac:dyDescent="0.25">
      <c r="A36175"/>
      <c r="B36175"/>
      <c r="C36175"/>
      <c r="E36175"/>
      <c r="F36175"/>
    </row>
    <row r="36176" spans="1:6" x14ac:dyDescent="0.25">
      <c r="A36176"/>
      <c r="B36176"/>
      <c r="C36176"/>
      <c r="E36176"/>
      <c r="F36176"/>
    </row>
    <row r="36177" spans="1:6" x14ac:dyDescent="0.25">
      <c r="A36177"/>
      <c r="B36177"/>
      <c r="C36177"/>
      <c r="E36177"/>
      <c r="F36177"/>
    </row>
    <row r="36178" spans="1:6" x14ac:dyDescent="0.25">
      <c r="A36178"/>
      <c r="B36178"/>
      <c r="C36178"/>
      <c r="E36178"/>
      <c r="F36178"/>
    </row>
    <row r="36179" spans="1:6" x14ac:dyDescent="0.25">
      <c r="A36179"/>
      <c r="B36179"/>
      <c r="C36179"/>
      <c r="E36179"/>
      <c r="F36179"/>
    </row>
    <row r="36180" spans="1:6" x14ac:dyDescent="0.25">
      <c r="A36180"/>
      <c r="B36180"/>
      <c r="C36180"/>
      <c r="E36180"/>
      <c r="F36180"/>
    </row>
    <row r="36181" spans="1:6" x14ac:dyDescent="0.25">
      <c r="A36181"/>
      <c r="B36181"/>
      <c r="C36181"/>
      <c r="E36181"/>
      <c r="F36181"/>
    </row>
    <row r="36182" spans="1:6" x14ac:dyDescent="0.25">
      <c r="A36182"/>
      <c r="B36182"/>
      <c r="C36182"/>
      <c r="E36182"/>
      <c r="F36182"/>
    </row>
    <row r="36183" spans="1:6" x14ac:dyDescent="0.25">
      <c r="A36183"/>
      <c r="B36183"/>
      <c r="C36183"/>
      <c r="E36183"/>
      <c r="F36183"/>
    </row>
    <row r="36184" spans="1:6" x14ac:dyDescent="0.25">
      <c r="A36184"/>
      <c r="B36184"/>
      <c r="C36184"/>
      <c r="E36184"/>
      <c r="F36184"/>
    </row>
    <row r="36185" spans="1:6" x14ac:dyDescent="0.25">
      <c r="A36185"/>
      <c r="B36185"/>
      <c r="C36185"/>
      <c r="E36185"/>
      <c r="F36185"/>
    </row>
    <row r="36186" spans="1:6" x14ac:dyDescent="0.25">
      <c r="A36186"/>
      <c r="B36186"/>
      <c r="C36186"/>
      <c r="E36186"/>
      <c r="F36186"/>
    </row>
    <row r="36187" spans="1:6" x14ac:dyDescent="0.25">
      <c r="A36187"/>
      <c r="B36187"/>
      <c r="C36187"/>
      <c r="E36187"/>
      <c r="F36187"/>
    </row>
    <row r="36188" spans="1:6" x14ac:dyDescent="0.25">
      <c r="A36188"/>
      <c r="B36188"/>
      <c r="C36188"/>
      <c r="E36188"/>
      <c r="F36188"/>
    </row>
    <row r="36189" spans="1:6" x14ac:dyDescent="0.25">
      <c r="A36189"/>
      <c r="B36189"/>
      <c r="C36189"/>
      <c r="E36189"/>
      <c r="F36189"/>
    </row>
    <row r="36190" spans="1:6" x14ac:dyDescent="0.25">
      <c r="A36190"/>
      <c r="B36190"/>
      <c r="C36190"/>
      <c r="E36190"/>
      <c r="F36190"/>
    </row>
    <row r="36191" spans="1:6" x14ac:dyDescent="0.25">
      <c r="A36191"/>
      <c r="B36191"/>
      <c r="C36191"/>
      <c r="E36191"/>
      <c r="F36191"/>
    </row>
    <row r="36192" spans="1:6" x14ac:dyDescent="0.25">
      <c r="A36192"/>
      <c r="B36192"/>
      <c r="C36192"/>
      <c r="E36192"/>
      <c r="F36192"/>
    </row>
    <row r="36193" spans="1:6" x14ac:dyDescent="0.25">
      <c r="A36193"/>
      <c r="B36193"/>
      <c r="C36193"/>
      <c r="E36193"/>
      <c r="F36193"/>
    </row>
    <row r="36194" spans="1:6" x14ac:dyDescent="0.25">
      <c r="A36194"/>
      <c r="B36194"/>
      <c r="C36194"/>
      <c r="E36194"/>
      <c r="F36194"/>
    </row>
    <row r="36195" spans="1:6" x14ac:dyDescent="0.25">
      <c r="A36195"/>
      <c r="B36195"/>
      <c r="C36195"/>
      <c r="E36195"/>
      <c r="F36195"/>
    </row>
    <row r="36196" spans="1:6" x14ac:dyDescent="0.25">
      <c r="A36196"/>
      <c r="B36196"/>
      <c r="C36196"/>
      <c r="E36196"/>
      <c r="F36196"/>
    </row>
    <row r="36197" spans="1:6" x14ac:dyDescent="0.25">
      <c r="A36197"/>
      <c r="B36197"/>
      <c r="C36197"/>
      <c r="E36197"/>
      <c r="F36197"/>
    </row>
    <row r="36198" spans="1:6" x14ac:dyDescent="0.25">
      <c r="A36198"/>
      <c r="B36198"/>
      <c r="C36198"/>
      <c r="E36198"/>
      <c r="F36198"/>
    </row>
    <row r="36199" spans="1:6" x14ac:dyDescent="0.25">
      <c r="A36199"/>
      <c r="B36199"/>
      <c r="C36199"/>
      <c r="E36199"/>
      <c r="F36199"/>
    </row>
    <row r="36200" spans="1:6" x14ac:dyDescent="0.25">
      <c r="A36200"/>
      <c r="B36200"/>
      <c r="C36200"/>
      <c r="E36200"/>
      <c r="F36200"/>
    </row>
    <row r="36201" spans="1:6" x14ac:dyDescent="0.25">
      <c r="A36201"/>
      <c r="B36201"/>
      <c r="C36201"/>
      <c r="E36201"/>
      <c r="F36201"/>
    </row>
    <row r="36202" spans="1:6" x14ac:dyDescent="0.25">
      <c r="A36202"/>
      <c r="B36202"/>
      <c r="C36202"/>
      <c r="E36202"/>
      <c r="F36202"/>
    </row>
    <row r="36203" spans="1:6" x14ac:dyDescent="0.25">
      <c r="A36203"/>
      <c r="B36203"/>
      <c r="C36203"/>
      <c r="E36203"/>
      <c r="F36203"/>
    </row>
    <row r="36204" spans="1:6" x14ac:dyDescent="0.25">
      <c r="A36204"/>
      <c r="B36204"/>
      <c r="C36204"/>
      <c r="E36204"/>
      <c r="F36204"/>
    </row>
    <row r="36205" spans="1:6" x14ac:dyDescent="0.25">
      <c r="A36205"/>
      <c r="B36205"/>
      <c r="C36205"/>
      <c r="E36205"/>
      <c r="F36205"/>
    </row>
    <row r="36206" spans="1:6" x14ac:dyDescent="0.25">
      <c r="A36206"/>
      <c r="B36206"/>
      <c r="C36206"/>
      <c r="E36206"/>
      <c r="F36206"/>
    </row>
    <row r="36207" spans="1:6" x14ac:dyDescent="0.25">
      <c r="A36207"/>
      <c r="B36207"/>
      <c r="C36207"/>
      <c r="E36207"/>
      <c r="F36207"/>
    </row>
    <row r="36208" spans="1:6" x14ac:dyDescent="0.25">
      <c r="A36208"/>
      <c r="B36208"/>
      <c r="C36208"/>
      <c r="E36208"/>
      <c r="F36208"/>
    </row>
    <row r="36209" spans="1:6" x14ac:dyDescent="0.25">
      <c r="A36209"/>
      <c r="B36209"/>
      <c r="C36209"/>
      <c r="E36209"/>
      <c r="F36209"/>
    </row>
    <row r="36210" spans="1:6" x14ac:dyDescent="0.25">
      <c r="A36210"/>
      <c r="B36210"/>
      <c r="C36210"/>
      <c r="E36210"/>
      <c r="F36210"/>
    </row>
    <row r="36211" spans="1:6" x14ac:dyDescent="0.25">
      <c r="A36211"/>
      <c r="B36211"/>
      <c r="C36211"/>
      <c r="E36211"/>
      <c r="F36211"/>
    </row>
    <row r="36212" spans="1:6" x14ac:dyDescent="0.25">
      <c r="A36212"/>
      <c r="B36212"/>
      <c r="C36212"/>
      <c r="E36212"/>
      <c r="F36212"/>
    </row>
    <row r="36213" spans="1:6" x14ac:dyDescent="0.25">
      <c r="A36213"/>
      <c r="B36213"/>
      <c r="C36213"/>
      <c r="E36213"/>
      <c r="F36213"/>
    </row>
    <row r="36214" spans="1:6" x14ac:dyDescent="0.25">
      <c r="A36214"/>
      <c r="B36214"/>
      <c r="C36214"/>
      <c r="E36214"/>
      <c r="F36214"/>
    </row>
    <row r="36215" spans="1:6" x14ac:dyDescent="0.25">
      <c r="A36215"/>
      <c r="B36215"/>
      <c r="C36215"/>
      <c r="E36215"/>
      <c r="F36215"/>
    </row>
    <row r="36216" spans="1:6" x14ac:dyDescent="0.25">
      <c r="A36216"/>
      <c r="B36216"/>
      <c r="C36216"/>
      <c r="E36216"/>
      <c r="F36216"/>
    </row>
    <row r="36217" spans="1:6" x14ac:dyDescent="0.25">
      <c r="A36217"/>
      <c r="B36217"/>
      <c r="C36217"/>
      <c r="E36217"/>
      <c r="F36217"/>
    </row>
    <row r="36218" spans="1:6" x14ac:dyDescent="0.25">
      <c r="A36218"/>
      <c r="B36218"/>
      <c r="C36218"/>
      <c r="E36218"/>
      <c r="F36218"/>
    </row>
    <row r="36219" spans="1:6" x14ac:dyDescent="0.25">
      <c r="A36219"/>
      <c r="B36219"/>
      <c r="C36219"/>
      <c r="E36219"/>
      <c r="F36219"/>
    </row>
    <row r="36220" spans="1:6" x14ac:dyDescent="0.25">
      <c r="A36220"/>
      <c r="B36220"/>
      <c r="C36220"/>
      <c r="E36220"/>
      <c r="F36220"/>
    </row>
    <row r="36221" spans="1:6" x14ac:dyDescent="0.25">
      <c r="A36221"/>
      <c r="B36221"/>
      <c r="C36221"/>
      <c r="E36221"/>
      <c r="F36221"/>
    </row>
    <row r="36222" spans="1:6" x14ac:dyDescent="0.25">
      <c r="A36222"/>
      <c r="B36222"/>
      <c r="C36222"/>
      <c r="E36222"/>
      <c r="F36222"/>
    </row>
    <row r="36223" spans="1:6" x14ac:dyDescent="0.25">
      <c r="A36223"/>
      <c r="B36223"/>
      <c r="C36223"/>
      <c r="E36223"/>
      <c r="F36223"/>
    </row>
    <row r="36224" spans="1:6" x14ac:dyDescent="0.25">
      <c r="A36224"/>
      <c r="B36224"/>
      <c r="C36224"/>
      <c r="E36224"/>
      <c r="F36224"/>
    </row>
    <row r="36225" spans="1:6" x14ac:dyDescent="0.25">
      <c r="A36225"/>
      <c r="B36225"/>
      <c r="C36225"/>
      <c r="E36225"/>
      <c r="F36225"/>
    </row>
    <row r="36226" spans="1:6" x14ac:dyDescent="0.25">
      <c r="A36226"/>
      <c r="B36226"/>
      <c r="C36226"/>
      <c r="E36226"/>
      <c r="F36226"/>
    </row>
    <row r="36227" spans="1:6" x14ac:dyDescent="0.25">
      <c r="A36227"/>
      <c r="B36227"/>
      <c r="C36227"/>
      <c r="E36227"/>
      <c r="F36227"/>
    </row>
    <row r="36228" spans="1:6" x14ac:dyDescent="0.25">
      <c r="A36228"/>
      <c r="B36228"/>
      <c r="C36228"/>
      <c r="E36228"/>
      <c r="F36228"/>
    </row>
    <row r="36229" spans="1:6" x14ac:dyDescent="0.25">
      <c r="A36229"/>
      <c r="B36229"/>
      <c r="C36229"/>
      <c r="E36229"/>
      <c r="F36229"/>
    </row>
    <row r="36230" spans="1:6" x14ac:dyDescent="0.25">
      <c r="A36230"/>
      <c r="B36230"/>
      <c r="C36230"/>
      <c r="E36230"/>
      <c r="F36230"/>
    </row>
    <row r="36231" spans="1:6" x14ac:dyDescent="0.25">
      <c r="A36231"/>
      <c r="B36231"/>
      <c r="C36231"/>
      <c r="E36231"/>
      <c r="F36231"/>
    </row>
    <row r="36232" spans="1:6" x14ac:dyDescent="0.25">
      <c r="A36232"/>
      <c r="B36232"/>
      <c r="C36232"/>
      <c r="E36232"/>
      <c r="F36232"/>
    </row>
    <row r="36233" spans="1:6" x14ac:dyDescent="0.25">
      <c r="A36233"/>
      <c r="B36233"/>
      <c r="C36233"/>
      <c r="E36233"/>
      <c r="F36233"/>
    </row>
    <row r="36234" spans="1:6" x14ac:dyDescent="0.25">
      <c r="A36234"/>
      <c r="B36234"/>
      <c r="C36234"/>
      <c r="E36234"/>
      <c r="F36234"/>
    </row>
    <row r="36235" spans="1:6" x14ac:dyDescent="0.25">
      <c r="A36235"/>
      <c r="B36235"/>
      <c r="C36235"/>
      <c r="E36235"/>
      <c r="F36235"/>
    </row>
    <row r="36236" spans="1:6" x14ac:dyDescent="0.25">
      <c r="A36236"/>
      <c r="B36236"/>
      <c r="C36236"/>
      <c r="E36236"/>
      <c r="F36236"/>
    </row>
    <row r="36237" spans="1:6" x14ac:dyDescent="0.25">
      <c r="A36237"/>
      <c r="B36237"/>
      <c r="C36237"/>
      <c r="E36237"/>
      <c r="F36237"/>
    </row>
    <row r="36238" spans="1:6" x14ac:dyDescent="0.25">
      <c r="A36238"/>
      <c r="B36238"/>
      <c r="C36238"/>
      <c r="E36238"/>
      <c r="F36238"/>
    </row>
    <row r="36239" spans="1:6" x14ac:dyDescent="0.25">
      <c r="A36239"/>
      <c r="B36239"/>
      <c r="C36239"/>
      <c r="E36239"/>
      <c r="F36239"/>
    </row>
    <row r="36240" spans="1:6" x14ac:dyDescent="0.25">
      <c r="A36240"/>
      <c r="B36240"/>
      <c r="C36240"/>
      <c r="E36240"/>
      <c r="F36240"/>
    </row>
    <row r="36241" spans="1:6" x14ac:dyDescent="0.25">
      <c r="A36241"/>
      <c r="B36241"/>
      <c r="C36241"/>
      <c r="E36241"/>
      <c r="F36241"/>
    </row>
    <row r="36242" spans="1:6" x14ac:dyDescent="0.25">
      <c r="A36242"/>
      <c r="B36242"/>
      <c r="C36242"/>
      <c r="E36242"/>
      <c r="F36242"/>
    </row>
    <row r="36243" spans="1:6" x14ac:dyDescent="0.25">
      <c r="A36243"/>
      <c r="B36243"/>
      <c r="C36243"/>
      <c r="E36243"/>
      <c r="F36243"/>
    </row>
    <row r="36244" spans="1:6" x14ac:dyDescent="0.25">
      <c r="A36244"/>
      <c r="B36244"/>
      <c r="C36244"/>
      <c r="E36244"/>
      <c r="F36244"/>
    </row>
    <row r="36245" spans="1:6" x14ac:dyDescent="0.25">
      <c r="A36245"/>
      <c r="B36245"/>
      <c r="C36245"/>
      <c r="E36245"/>
      <c r="F36245"/>
    </row>
    <row r="36246" spans="1:6" x14ac:dyDescent="0.25">
      <c r="A36246"/>
      <c r="B36246"/>
      <c r="C36246"/>
      <c r="E36246"/>
      <c r="F36246"/>
    </row>
    <row r="36247" spans="1:6" x14ac:dyDescent="0.25">
      <c r="A36247"/>
      <c r="B36247"/>
      <c r="C36247"/>
      <c r="E36247"/>
      <c r="F36247"/>
    </row>
    <row r="36248" spans="1:6" x14ac:dyDescent="0.25">
      <c r="A36248"/>
      <c r="B36248"/>
      <c r="C36248"/>
      <c r="E36248"/>
      <c r="F36248"/>
    </row>
    <row r="36249" spans="1:6" x14ac:dyDescent="0.25">
      <c r="A36249"/>
      <c r="B36249"/>
      <c r="C36249"/>
      <c r="E36249"/>
      <c r="F36249"/>
    </row>
    <row r="36250" spans="1:6" x14ac:dyDescent="0.25">
      <c r="A36250"/>
      <c r="B36250"/>
      <c r="C36250"/>
      <c r="E36250"/>
      <c r="F36250"/>
    </row>
    <row r="36251" spans="1:6" x14ac:dyDescent="0.25">
      <c r="A36251"/>
      <c r="B36251"/>
      <c r="C36251"/>
      <c r="E36251"/>
      <c r="F36251"/>
    </row>
    <row r="36252" spans="1:6" x14ac:dyDescent="0.25">
      <c r="A36252"/>
      <c r="B36252"/>
      <c r="C36252"/>
      <c r="E36252"/>
      <c r="F36252"/>
    </row>
    <row r="36253" spans="1:6" x14ac:dyDescent="0.25">
      <c r="A36253"/>
      <c r="B36253"/>
      <c r="C36253"/>
      <c r="E36253"/>
      <c r="F36253"/>
    </row>
    <row r="36254" spans="1:6" x14ac:dyDescent="0.25">
      <c r="A36254"/>
      <c r="B36254"/>
      <c r="C36254"/>
      <c r="E36254"/>
      <c r="F36254"/>
    </row>
    <row r="36255" spans="1:6" x14ac:dyDescent="0.25">
      <c r="A36255"/>
      <c r="B36255"/>
      <c r="C36255"/>
      <c r="E36255"/>
      <c r="F36255"/>
    </row>
    <row r="36256" spans="1:6" x14ac:dyDescent="0.25">
      <c r="A36256"/>
      <c r="B36256"/>
      <c r="C36256"/>
      <c r="E36256"/>
      <c r="F36256"/>
    </row>
    <row r="36257" spans="1:6" x14ac:dyDescent="0.25">
      <c r="A36257"/>
      <c r="B36257"/>
      <c r="C36257"/>
      <c r="E36257"/>
      <c r="F36257"/>
    </row>
    <row r="36258" spans="1:6" x14ac:dyDescent="0.25">
      <c r="A36258"/>
      <c r="B36258"/>
      <c r="C36258"/>
      <c r="E36258"/>
      <c r="F36258"/>
    </row>
    <row r="36259" spans="1:6" x14ac:dyDescent="0.25">
      <c r="A36259"/>
      <c r="B36259"/>
      <c r="C36259"/>
      <c r="E36259"/>
      <c r="F36259"/>
    </row>
    <row r="36260" spans="1:6" x14ac:dyDescent="0.25">
      <c r="A36260"/>
      <c r="B36260"/>
      <c r="C36260"/>
      <c r="E36260"/>
      <c r="F36260"/>
    </row>
    <row r="36261" spans="1:6" x14ac:dyDescent="0.25">
      <c r="A36261"/>
      <c r="B36261"/>
      <c r="C36261"/>
      <c r="E36261"/>
      <c r="F36261"/>
    </row>
    <row r="36262" spans="1:6" x14ac:dyDescent="0.25">
      <c r="A36262"/>
      <c r="B36262"/>
      <c r="C36262"/>
      <c r="E36262"/>
      <c r="F36262"/>
    </row>
    <row r="36263" spans="1:6" x14ac:dyDescent="0.25">
      <c r="A36263"/>
      <c r="B36263"/>
      <c r="C36263"/>
      <c r="E36263"/>
      <c r="F36263"/>
    </row>
    <row r="36264" spans="1:6" x14ac:dyDescent="0.25">
      <c r="A36264"/>
      <c r="B36264"/>
      <c r="C36264"/>
      <c r="E36264"/>
      <c r="F36264"/>
    </row>
    <row r="36265" spans="1:6" x14ac:dyDescent="0.25">
      <c r="A36265"/>
      <c r="B36265"/>
      <c r="C36265"/>
      <c r="E36265"/>
      <c r="F36265"/>
    </row>
    <row r="36266" spans="1:6" x14ac:dyDescent="0.25">
      <c r="A36266"/>
      <c r="B36266"/>
      <c r="C36266"/>
      <c r="E36266"/>
      <c r="F36266"/>
    </row>
    <row r="36267" spans="1:6" x14ac:dyDescent="0.25">
      <c r="A36267"/>
      <c r="B36267"/>
      <c r="C36267"/>
      <c r="E36267"/>
      <c r="F36267"/>
    </row>
    <row r="36268" spans="1:6" x14ac:dyDescent="0.25">
      <c r="A36268"/>
      <c r="B36268"/>
      <c r="C36268"/>
      <c r="E36268"/>
      <c r="F36268"/>
    </row>
    <row r="36269" spans="1:6" x14ac:dyDescent="0.25">
      <c r="A36269"/>
      <c r="B36269"/>
      <c r="C36269"/>
      <c r="E36269"/>
      <c r="F36269"/>
    </row>
    <row r="36270" spans="1:6" x14ac:dyDescent="0.25">
      <c r="A36270"/>
      <c r="B36270"/>
      <c r="C36270"/>
      <c r="E36270"/>
      <c r="F36270"/>
    </row>
    <row r="36271" spans="1:6" x14ac:dyDescent="0.25">
      <c r="A36271"/>
      <c r="B36271"/>
      <c r="C36271"/>
      <c r="E36271"/>
      <c r="F36271"/>
    </row>
    <row r="36272" spans="1:6" x14ac:dyDescent="0.25">
      <c r="A36272"/>
      <c r="B36272"/>
      <c r="C36272"/>
      <c r="E36272"/>
      <c r="F36272"/>
    </row>
    <row r="36273" spans="1:6" x14ac:dyDescent="0.25">
      <c r="A36273"/>
      <c r="B36273"/>
      <c r="C36273"/>
      <c r="E36273"/>
      <c r="F36273"/>
    </row>
    <row r="36274" spans="1:6" x14ac:dyDescent="0.25">
      <c r="A36274"/>
      <c r="B36274"/>
      <c r="C36274"/>
      <c r="E36274"/>
      <c r="F36274"/>
    </row>
    <row r="36275" spans="1:6" x14ac:dyDescent="0.25">
      <c r="A36275"/>
      <c r="B36275"/>
      <c r="C36275"/>
      <c r="E36275"/>
      <c r="F36275"/>
    </row>
    <row r="36276" spans="1:6" x14ac:dyDescent="0.25">
      <c r="A36276"/>
      <c r="B36276"/>
      <c r="C36276"/>
      <c r="E36276"/>
      <c r="F36276"/>
    </row>
    <row r="36277" spans="1:6" x14ac:dyDescent="0.25">
      <c r="A36277"/>
      <c r="B36277"/>
      <c r="C36277"/>
      <c r="E36277"/>
      <c r="F36277"/>
    </row>
    <row r="36278" spans="1:6" x14ac:dyDescent="0.25">
      <c r="A36278"/>
      <c r="B36278"/>
      <c r="C36278"/>
      <c r="E36278"/>
      <c r="F36278"/>
    </row>
    <row r="36279" spans="1:6" x14ac:dyDescent="0.25">
      <c r="A36279"/>
      <c r="B36279"/>
      <c r="C36279"/>
      <c r="E36279"/>
      <c r="F36279"/>
    </row>
    <row r="36280" spans="1:6" x14ac:dyDescent="0.25">
      <c r="A36280"/>
      <c r="B36280"/>
      <c r="C36280"/>
      <c r="E36280"/>
      <c r="F36280"/>
    </row>
    <row r="36281" spans="1:6" x14ac:dyDescent="0.25">
      <c r="A36281"/>
      <c r="B36281"/>
      <c r="C36281"/>
      <c r="E36281"/>
      <c r="F36281"/>
    </row>
    <row r="36282" spans="1:6" x14ac:dyDescent="0.25">
      <c r="A36282"/>
      <c r="B36282"/>
      <c r="C36282"/>
      <c r="E36282"/>
      <c r="F36282"/>
    </row>
    <row r="36283" spans="1:6" x14ac:dyDescent="0.25">
      <c r="A36283"/>
      <c r="B36283"/>
      <c r="C36283"/>
      <c r="E36283"/>
      <c r="F36283"/>
    </row>
    <row r="36284" spans="1:6" x14ac:dyDescent="0.25">
      <c r="A36284"/>
      <c r="B36284"/>
      <c r="C36284"/>
      <c r="E36284"/>
      <c r="F36284"/>
    </row>
    <row r="36285" spans="1:6" x14ac:dyDescent="0.25">
      <c r="A36285"/>
      <c r="B36285"/>
      <c r="C36285"/>
      <c r="E36285"/>
      <c r="F36285"/>
    </row>
    <row r="36286" spans="1:6" x14ac:dyDescent="0.25">
      <c r="A36286"/>
      <c r="B36286"/>
      <c r="C36286"/>
      <c r="E36286"/>
      <c r="F36286"/>
    </row>
    <row r="36287" spans="1:6" x14ac:dyDescent="0.25">
      <c r="A36287"/>
      <c r="B36287"/>
      <c r="C36287"/>
      <c r="E36287"/>
      <c r="F36287"/>
    </row>
    <row r="36288" spans="1:6" x14ac:dyDescent="0.25">
      <c r="A36288"/>
      <c r="B36288"/>
      <c r="C36288"/>
      <c r="E36288"/>
      <c r="F36288"/>
    </row>
    <row r="36289" spans="1:6" x14ac:dyDescent="0.25">
      <c r="A36289"/>
      <c r="B36289"/>
      <c r="C36289"/>
      <c r="E36289"/>
      <c r="F36289"/>
    </row>
    <row r="36290" spans="1:6" x14ac:dyDescent="0.25">
      <c r="A36290"/>
      <c r="B36290"/>
      <c r="C36290"/>
      <c r="E36290"/>
      <c r="F36290"/>
    </row>
    <row r="36291" spans="1:6" x14ac:dyDescent="0.25">
      <c r="A36291"/>
      <c r="B36291"/>
      <c r="C36291"/>
      <c r="E36291"/>
      <c r="F36291"/>
    </row>
    <row r="36292" spans="1:6" x14ac:dyDescent="0.25">
      <c r="A36292"/>
      <c r="B36292"/>
      <c r="C36292"/>
      <c r="E36292"/>
      <c r="F36292"/>
    </row>
    <row r="36293" spans="1:6" x14ac:dyDescent="0.25">
      <c r="A36293"/>
      <c r="B36293"/>
      <c r="C36293"/>
      <c r="E36293"/>
      <c r="F36293"/>
    </row>
    <row r="36294" spans="1:6" x14ac:dyDescent="0.25">
      <c r="A36294"/>
      <c r="B36294"/>
      <c r="C36294"/>
      <c r="E36294"/>
      <c r="F36294"/>
    </row>
    <row r="36295" spans="1:6" x14ac:dyDescent="0.25">
      <c r="A36295"/>
      <c r="B36295"/>
      <c r="C36295"/>
      <c r="E36295"/>
      <c r="F36295"/>
    </row>
    <row r="36296" spans="1:6" x14ac:dyDescent="0.25">
      <c r="A36296"/>
      <c r="B36296"/>
      <c r="C36296"/>
      <c r="E36296"/>
      <c r="F36296"/>
    </row>
    <row r="36297" spans="1:6" x14ac:dyDescent="0.25">
      <c r="A36297"/>
      <c r="B36297"/>
      <c r="C36297"/>
      <c r="E36297"/>
      <c r="F36297"/>
    </row>
    <row r="36298" spans="1:6" x14ac:dyDescent="0.25">
      <c r="A36298"/>
      <c r="B36298"/>
      <c r="C36298"/>
      <c r="E36298"/>
      <c r="F36298"/>
    </row>
    <row r="36299" spans="1:6" x14ac:dyDescent="0.25">
      <c r="A36299"/>
      <c r="B36299"/>
      <c r="C36299"/>
      <c r="E36299"/>
      <c r="F36299"/>
    </row>
    <row r="36300" spans="1:6" x14ac:dyDescent="0.25">
      <c r="A36300"/>
      <c r="B36300"/>
      <c r="C36300"/>
      <c r="E36300"/>
      <c r="F36300"/>
    </row>
    <row r="36301" spans="1:6" x14ac:dyDescent="0.25">
      <c r="A36301"/>
      <c r="B36301"/>
      <c r="C36301"/>
      <c r="E36301"/>
      <c r="F36301"/>
    </row>
    <row r="36302" spans="1:6" x14ac:dyDescent="0.25">
      <c r="A36302"/>
      <c r="B36302"/>
      <c r="C36302"/>
      <c r="E36302"/>
      <c r="F36302"/>
    </row>
    <row r="36303" spans="1:6" x14ac:dyDescent="0.25">
      <c r="A36303"/>
      <c r="B36303"/>
      <c r="C36303"/>
      <c r="E36303"/>
      <c r="F36303"/>
    </row>
    <row r="36304" spans="1:6" x14ac:dyDescent="0.25">
      <c r="A36304"/>
      <c r="B36304"/>
      <c r="C36304"/>
      <c r="E36304"/>
      <c r="F36304"/>
    </row>
    <row r="36305" spans="1:6" x14ac:dyDescent="0.25">
      <c r="A36305"/>
      <c r="B36305"/>
      <c r="C36305"/>
      <c r="E36305"/>
      <c r="F36305"/>
    </row>
    <row r="36306" spans="1:6" x14ac:dyDescent="0.25">
      <c r="A36306"/>
      <c r="B36306"/>
      <c r="C36306"/>
      <c r="E36306"/>
      <c r="F36306"/>
    </row>
    <row r="36307" spans="1:6" x14ac:dyDescent="0.25">
      <c r="A36307"/>
      <c r="B36307"/>
      <c r="C36307"/>
      <c r="E36307"/>
      <c r="F36307"/>
    </row>
    <row r="36308" spans="1:6" x14ac:dyDescent="0.25">
      <c r="A36308"/>
      <c r="B36308"/>
      <c r="C36308"/>
      <c r="E36308"/>
      <c r="F36308"/>
    </row>
    <row r="36309" spans="1:6" x14ac:dyDescent="0.25">
      <c r="A36309"/>
      <c r="B36309"/>
      <c r="C36309"/>
      <c r="E36309"/>
      <c r="F36309"/>
    </row>
    <row r="36310" spans="1:6" x14ac:dyDescent="0.25">
      <c r="A36310"/>
      <c r="B36310"/>
      <c r="C36310"/>
      <c r="E36310"/>
      <c r="F36310"/>
    </row>
    <row r="36311" spans="1:6" x14ac:dyDescent="0.25">
      <c r="A36311"/>
      <c r="B36311"/>
      <c r="C36311"/>
      <c r="E36311"/>
      <c r="F36311"/>
    </row>
    <row r="36312" spans="1:6" x14ac:dyDescent="0.25">
      <c r="A36312"/>
      <c r="B36312"/>
      <c r="C36312"/>
      <c r="E36312"/>
      <c r="F36312"/>
    </row>
    <row r="36313" spans="1:6" x14ac:dyDescent="0.25">
      <c r="A36313"/>
      <c r="B36313"/>
      <c r="C36313"/>
      <c r="E36313"/>
      <c r="F36313"/>
    </row>
    <row r="36314" spans="1:6" x14ac:dyDescent="0.25">
      <c r="A36314"/>
      <c r="B36314"/>
      <c r="C36314"/>
      <c r="E36314"/>
      <c r="F36314"/>
    </row>
    <row r="36315" spans="1:6" x14ac:dyDescent="0.25">
      <c r="A36315"/>
      <c r="B36315"/>
      <c r="C36315"/>
      <c r="E36315"/>
      <c r="F36315"/>
    </row>
    <row r="36316" spans="1:6" x14ac:dyDescent="0.25">
      <c r="A36316"/>
      <c r="B36316"/>
      <c r="C36316"/>
      <c r="E36316"/>
      <c r="F36316"/>
    </row>
    <row r="36317" spans="1:6" x14ac:dyDescent="0.25">
      <c r="A36317"/>
      <c r="B36317"/>
      <c r="C36317"/>
      <c r="E36317"/>
      <c r="F36317"/>
    </row>
    <row r="36318" spans="1:6" x14ac:dyDescent="0.25">
      <c r="A36318"/>
      <c r="B36318"/>
      <c r="C36318"/>
      <c r="E36318"/>
      <c r="F36318"/>
    </row>
    <row r="36319" spans="1:6" x14ac:dyDescent="0.25">
      <c r="A36319"/>
      <c r="B36319"/>
      <c r="C36319"/>
      <c r="E36319"/>
      <c r="F36319"/>
    </row>
    <row r="36320" spans="1:6" x14ac:dyDescent="0.25">
      <c r="A36320"/>
      <c r="B36320"/>
      <c r="C36320"/>
      <c r="E36320"/>
      <c r="F36320"/>
    </row>
    <row r="36321" spans="1:6" x14ac:dyDescent="0.25">
      <c r="A36321"/>
      <c r="B36321"/>
      <c r="C36321"/>
      <c r="E36321"/>
      <c r="F36321"/>
    </row>
    <row r="36322" spans="1:6" x14ac:dyDescent="0.25">
      <c r="A36322"/>
      <c r="B36322"/>
      <c r="C36322"/>
      <c r="E36322"/>
      <c r="F36322"/>
    </row>
    <row r="36323" spans="1:6" x14ac:dyDescent="0.25">
      <c r="A36323"/>
      <c r="B36323"/>
      <c r="C36323"/>
      <c r="E36323"/>
      <c r="F36323"/>
    </row>
    <row r="36324" spans="1:6" x14ac:dyDescent="0.25">
      <c r="A36324"/>
      <c r="B36324"/>
      <c r="C36324"/>
      <c r="E36324"/>
      <c r="F36324"/>
    </row>
    <row r="36325" spans="1:6" x14ac:dyDescent="0.25">
      <c r="A36325"/>
      <c r="B36325"/>
      <c r="C36325"/>
      <c r="E36325"/>
      <c r="F36325"/>
    </row>
    <row r="36326" spans="1:6" x14ac:dyDescent="0.25">
      <c r="A36326"/>
      <c r="B36326"/>
      <c r="C36326"/>
      <c r="E36326"/>
      <c r="F36326"/>
    </row>
    <row r="36327" spans="1:6" x14ac:dyDescent="0.25">
      <c r="A36327"/>
      <c r="B36327"/>
      <c r="C36327"/>
      <c r="E36327"/>
      <c r="F36327"/>
    </row>
    <row r="36328" spans="1:6" x14ac:dyDescent="0.25">
      <c r="A36328"/>
      <c r="B36328"/>
      <c r="C36328"/>
      <c r="E36328"/>
      <c r="F36328"/>
    </row>
    <row r="36329" spans="1:6" x14ac:dyDescent="0.25">
      <c r="A36329"/>
      <c r="B36329"/>
      <c r="C36329"/>
      <c r="E36329"/>
      <c r="F36329"/>
    </row>
    <row r="36330" spans="1:6" x14ac:dyDescent="0.25">
      <c r="A36330"/>
      <c r="B36330"/>
      <c r="C36330"/>
      <c r="E36330"/>
      <c r="F36330"/>
    </row>
    <row r="36331" spans="1:6" x14ac:dyDescent="0.25">
      <c r="A36331"/>
      <c r="B36331"/>
      <c r="C36331"/>
      <c r="E36331"/>
      <c r="F36331"/>
    </row>
    <row r="36332" spans="1:6" x14ac:dyDescent="0.25">
      <c r="A36332"/>
      <c r="B36332"/>
      <c r="C36332"/>
      <c r="E36332"/>
      <c r="F36332"/>
    </row>
    <row r="36333" spans="1:6" x14ac:dyDescent="0.25">
      <c r="A36333"/>
      <c r="B36333"/>
      <c r="C36333"/>
      <c r="E36333"/>
      <c r="F36333"/>
    </row>
    <row r="36334" spans="1:6" x14ac:dyDescent="0.25">
      <c r="A36334"/>
      <c r="B36334"/>
      <c r="C36334"/>
      <c r="E36334"/>
      <c r="F36334"/>
    </row>
    <row r="36335" spans="1:6" x14ac:dyDescent="0.25">
      <c r="A36335"/>
      <c r="B36335"/>
      <c r="C36335"/>
      <c r="E36335"/>
      <c r="F36335"/>
    </row>
    <row r="36336" spans="1:6" x14ac:dyDescent="0.25">
      <c r="A36336"/>
      <c r="B36336"/>
      <c r="C36336"/>
      <c r="E36336"/>
      <c r="F36336"/>
    </row>
    <row r="36337" spans="1:6" x14ac:dyDescent="0.25">
      <c r="A36337"/>
      <c r="B36337"/>
      <c r="C36337"/>
      <c r="E36337"/>
      <c r="F36337"/>
    </row>
    <row r="36338" spans="1:6" x14ac:dyDescent="0.25">
      <c r="A36338"/>
      <c r="B36338"/>
      <c r="C36338"/>
      <c r="E36338"/>
      <c r="F36338"/>
    </row>
    <row r="36339" spans="1:6" x14ac:dyDescent="0.25">
      <c r="A36339"/>
      <c r="B36339"/>
      <c r="C36339"/>
      <c r="E36339"/>
      <c r="F36339"/>
    </row>
    <row r="36340" spans="1:6" x14ac:dyDescent="0.25">
      <c r="A36340"/>
      <c r="B36340"/>
      <c r="C36340"/>
      <c r="E36340"/>
      <c r="F36340"/>
    </row>
    <row r="36341" spans="1:6" x14ac:dyDescent="0.25">
      <c r="A36341"/>
      <c r="B36341"/>
      <c r="C36341"/>
      <c r="E36341"/>
      <c r="F36341"/>
    </row>
    <row r="36342" spans="1:6" x14ac:dyDescent="0.25">
      <c r="A36342"/>
      <c r="B36342"/>
      <c r="C36342"/>
      <c r="E36342"/>
      <c r="F36342"/>
    </row>
    <row r="36343" spans="1:6" x14ac:dyDescent="0.25">
      <c r="A36343"/>
      <c r="B36343"/>
      <c r="C36343"/>
      <c r="E36343"/>
      <c r="F36343"/>
    </row>
    <row r="36344" spans="1:6" x14ac:dyDescent="0.25">
      <c r="A36344"/>
      <c r="B36344"/>
      <c r="C36344"/>
      <c r="E36344"/>
      <c r="F36344"/>
    </row>
    <row r="36345" spans="1:6" x14ac:dyDescent="0.25">
      <c r="A36345"/>
      <c r="B36345"/>
      <c r="C36345"/>
      <c r="E36345"/>
      <c r="F36345"/>
    </row>
    <row r="36346" spans="1:6" x14ac:dyDescent="0.25">
      <c r="A36346"/>
      <c r="B36346"/>
      <c r="C36346"/>
      <c r="E36346"/>
      <c r="F36346"/>
    </row>
    <row r="36347" spans="1:6" x14ac:dyDescent="0.25">
      <c r="A36347"/>
      <c r="B36347"/>
      <c r="C36347"/>
      <c r="E36347"/>
      <c r="F36347"/>
    </row>
    <row r="36348" spans="1:6" x14ac:dyDescent="0.25">
      <c r="A36348"/>
      <c r="B36348"/>
      <c r="C36348"/>
      <c r="E36348"/>
      <c r="F36348"/>
    </row>
    <row r="36349" spans="1:6" x14ac:dyDescent="0.25">
      <c r="A36349"/>
      <c r="B36349"/>
      <c r="C36349"/>
      <c r="E36349"/>
      <c r="F36349"/>
    </row>
    <row r="36350" spans="1:6" x14ac:dyDescent="0.25">
      <c r="A36350"/>
      <c r="B36350"/>
      <c r="C36350"/>
      <c r="E36350"/>
      <c r="F36350"/>
    </row>
    <row r="36351" spans="1:6" x14ac:dyDescent="0.25">
      <c r="A36351"/>
      <c r="B36351"/>
      <c r="C36351"/>
      <c r="E36351"/>
      <c r="F36351"/>
    </row>
    <row r="36352" spans="1:6" x14ac:dyDescent="0.25">
      <c r="A36352"/>
      <c r="B36352"/>
      <c r="C36352"/>
      <c r="E36352"/>
      <c r="F36352"/>
    </row>
    <row r="36353" spans="1:6" x14ac:dyDescent="0.25">
      <c r="A36353"/>
      <c r="B36353"/>
      <c r="C36353"/>
      <c r="E36353"/>
      <c r="F36353"/>
    </row>
    <row r="36354" spans="1:6" x14ac:dyDescent="0.25">
      <c r="A36354"/>
      <c r="B36354"/>
      <c r="C36354"/>
      <c r="E36354"/>
      <c r="F36354"/>
    </row>
    <row r="36355" spans="1:6" x14ac:dyDescent="0.25">
      <c r="A36355"/>
      <c r="B36355"/>
      <c r="C36355"/>
      <c r="E36355"/>
      <c r="F36355"/>
    </row>
    <row r="36356" spans="1:6" x14ac:dyDescent="0.25">
      <c r="A36356"/>
      <c r="B36356"/>
      <c r="C36356"/>
      <c r="E36356"/>
      <c r="F36356"/>
    </row>
    <row r="36357" spans="1:6" x14ac:dyDescent="0.25">
      <c r="A36357"/>
      <c r="B36357"/>
      <c r="C36357"/>
      <c r="E36357"/>
      <c r="F36357"/>
    </row>
    <row r="36358" spans="1:6" x14ac:dyDescent="0.25">
      <c r="A36358"/>
      <c r="B36358"/>
      <c r="C36358"/>
      <c r="E36358"/>
      <c r="F36358"/>
    </row>
    <row r="36359" spans="1:6" x14ac:dyDescent="0.25">
      <c r="A36359"/>
      <c r="B36359"/>
      <c r="C36359"/>
      <c r="E36359"/>
      <c r="F36359"/>
    </row>
    <row r="36360" spans="1:6" x14ac:dyDescent="0.25">
      <c r="A36360"/>
      <c r="B36360"/>
      <c r="C36360"/>
      <c r="E36360"/>
      <c r="F36360"/>
    </row>
    <row r="36361" spans="1:6" x14ac:dyDescent="0.25">
      <c r="A36361"/>
      <c r="B36361"/>
      <c r="C36361"/>
      <c r="E36361"/>
      <c r="F36361"/>
    </row>
    <row r="36362" spans="1:6" x14ac:dyDescent="0.25">
      <c r="A36362"/>
      <c r="B36362"/>
      <c r="C36362"/>
      <c r="E36362"/>
      <c r="F36362"/>
    </row>
    <row r="36363" spans="1:6" x14ac:dyDescent="0.25">
      <c r="A36363"/>
      <c r="B36363"/>
      <c r="C36363"/>
      <c r="E36363"/>
      <c r="F36363"/>
    </row>
    <row r="36364" spans="1:6" x14ac:dyDescent="0.25">
      <c r="A36364"/>
      <c r="B36364"/>
      <c r="C36364"/>
      <c r="E36364"/>
      <c r="F36364"/>
    </row>
    <row r="36365" spans="1:6" x14ac:dyDescent="0.25">
      <c r="A36365"/>
      <c r="B36365"/>
      <c r="C36365"/>
      <c r="E36365"/>
      <c r="F36365"/>
    </row>
    <row r="36366" spans="1:6" x14ac:dyDescent="0.25">
      <c r="A36366"/>
      <c r="B36366"/>
      <c r="C36366"/>
      <c r="E36366"/>
      <c r="F36366"/>
    </row>
    <row r="36367" spans="1:6" x14ac:dyDescent="0.25">
      <c r="A36367"/>
      <c r="B36367"/>
      <c r="C36367"/>
      <c r="E36367"/>
      <c r="F36367"/>
    </row>
    <row r="36368" spans="1:6" x14ac:dyDescent="0.25">
      <c r="A36368"/>
      <c r="B36368"/>
      <c r="C36368"/>
      <c r="E36368"/>
      <c r="F36368"/>
    </row>
    <row r="36369" spans="1:6" x14ac:dyDescent="0.25">
      <c r="A36369"/>
      <c r="B36369"/>
      <c r="C36369"/>
      <c r="E36369"/>
      <c r="F36369"/>
    </row>
    <row r="36370" spans="1:6" x14ac:dyDescent="0.25">
      <c r="A36370"/>
      <c r="B36370"/>
      <c r="C36370"/>
      <c r="E36370"/>
      <c r="F36370"/>
    </row>
    <row r="36371" spans="1:6" x14ac:dyDescent="0.25">
      <c r="A36371"/>
      <c r="B36371"/>
      <c r="C36371"/>
      <c r="E36371"/>
      <c r="F36371"/>
    </row>
    <row r="36372" spans="1:6" x14ac:dyDescent="0.25">
      <c r="A36372"/>
      <c r="B36372"/>
      <c r="C36372"/>
      <c r="E36372"/>
      <c r="F36372"/>
    </row>
    <row r="36373" spans="1:6" x14ac:dyDescent="0.25">
      <c r="A36373"/>
      <c r="B36373"/>
      <c r="C36373"/>
      <c r="E36373"/>
      <c r="F36373"/>
    </row>
    <row r="36374" spans="1:6" x14ac:dyDescent="0.25">
      <c r="A36374"/>
      <c r="B36374"/>
      <c r="C36374"/>
      <c r="E36374"/>
      <c r="F36374"/>
    </row>
    <row r="36375" spans="1:6" x14ac:dyDescent="0.25">
      <c r="A36375"/>
      <c r="B36375"/>
      <c r="C36375"/>
      <c r="E36375"/>
      <c r="F36375"/>
    </row>
    <row r="36376" spans="1:6" x14ac:dyDescent="0.25">
      <c r="A36376"/>
      <c r="B36376"/>
      <c r="C36376"/>
      <c r="E36376"/>
      <c r="F36376"/>
    </row>
    <row r="36377" spans="1:6" x14ac:dyDescent="0.25">
      <c r="A36377"/>
      <c r="B36377"/>
      <c r="C36377"/>
      <c r="E36377"/>
      <c r="F36377"/>
    </row>
    <row r="36378" spans="1:6" x14ac:dyDescent="0.25">
      <c r="A36378"/>
      <c r="B36378"/>
      <c r="C36378"/>
      <c r="E36378"/>
      <c r="F36378"/>
    </row>
    <row r="36379" spans="1:6" x14ac:dyDescent="0.25">
      <c r="A36379"/>
      <c r="B36379"/>
      <c r="C36379"/>
      <c r="E36379"/>
      <c r="F36379"/>
    </row>
    <row r="36380" spans="1:6" x14ac:dyDescent="0.25">
      <c r="A36380"/>
      <c r="B36380"/>
      <c r="C36380"/>
      <c r="E36380"/>
      <c r="F36380"/>
    </row>
    <row r="36381" spans="1:6" x14ac:dyDescent="0.25">
      <c r="A36381"/>
      <c r="B36381"/>
      <c r="C36381"/>
      <c r="E36381"/>
      <c r="F36381"/>
    </row>
    <row r="36382" spans="1:6" x14ac:dyDescent="0.25">
      <c r="A36382"/>
      <c r="B36382"/>
      <c r="C36382"/>
      <c r="E36382"/>
      <c r="F36382"/>
    </row>
    <row r="36383" spans="1:6" x14ac:dyDescent="0.25">
      <c r="A36383"/>
      <c r="B36383"/>
      <c r="C36383"/>
      <c r="E36383"/>
      <c r="F36383"/>
    </row>
    <row r="36384" spans="1:6" x14ac:dyDescent="0.25">
      <c r="A36384"/>
      <c r="B36384"/>
      <c r="C36384"/>
      <c r="E36384"/>
      <c r="F36384"/>
    </row>
    <row r="36385" spans="1:6" x14ac:dyDescent="0.25">
      <c r="A36385"/>
      <c r="B36385"/>
      <c r="C36385"/>
      <c r="E36385"/>
      <c r="F36385"/>
    </row>
    <row r="36386" spans="1:6" x14ac:dyDescent="0.25">
      <c r="A36386"/>
      <c r="B36386"/>
      <c r="C36386"/>
      <c r="E36386"/>
      <c r="F36386"/>
    </row>
    <row r="36387" spans="1:6" x14ac:dyDescent="0.25">
      <c r="A36387"/>
      <c r="B36387"/>
      <c r="C36387"/>
      <c r="E36387"/>
      <c r="F36387"/>
    </row>
    <row r="36388" spans="1:6" x14ac:dyDescent="0.25">
      <c r="A36388"/>
      <c r="B36388"/>
      <c r="C36388"/>
      <c r="E36388"/>
      <c r="F36388"/>
    </row>
    <row r="36389" spans="1:6" x14ac:dyDescent="0.25">
      <c r="A36389"/>
      <c r="B36389"/>
      <c r="C36389"/>
      <c r="E36389"/>
      <c r="F36389"/>
    </row>
    <row r="36390" spans="1:6" x14ac:dyDescent="0.25">
      <c r="A36390"/>
      <c r="B36390"/>
      <c r="C36390"/>
      <c r="E36390"/>
      <c r="F36390"/>
    </row>
    <row r="36391" spans="1:6" x14ac:dyDescent="0.25">
      <c r="A36391"/>
      <c r="B36391"/>
      <c r="C36391"/>
      <c r="E36391"/>
      <c r="F36391"/>
    </row>
    <row r="36392" spans="1:6" x14ac:dyDescent="0.25">
      <c r="A36392"/>
      <c r="B36392"/>
      <c r="C36392"/>
      <c r="E36392"/>
      <c r="F36392"/>
    </row>
    <row r="36393" spans="1:6" x14ac:dyDescent="0.25">
      <c r="A36393"/>
      <c r="B36393"/>
      <c r="C36393"/>
      <c r="E36393"/>
      <c r="F36393"/>
    </row>
    <row r="36394" spans="1:6" x14ac:dyDescent="0.25">
      <c r="A36394"/>
      <c r="B36394"/>
      <c r="C36394"/>
      <c r="E36394"/>
      <c r="F36394"/>
    </row>
    <row r="36395" spans="1:6" x14ac:dyDescent="0.25">
      <c r="A36395"/>
      <c r="B36395"/>
      <c r="C36395"/>
      <c r="E36395"/>
      <c r="F36395"/>
    </row>
    <row r="36396" spans="1:6" x14ac:dyDescent="0.25">
      <c r="A36396"/>
      <c r="B36396"/>
      <c r="C36396"/>
      <c r="E36396"/>
      <c r="F36396"/>
    </row>
    <row r="36397" spans="1:6" x14ac:dyDescent="0.25">
      <c r="A36397"/>
      <c r="B36397"/>
      <c r="C36397"/>
      <c r="E36397"/>
      <c r="F36397"/>
    </row>
    <row r="36398" spans="1:6" x14ac:dyDescent="0.25">
      <c r="A36398"/>
      <c r="B36398"/>
      <c r="C36398"/>
      <c r="E36398"/>
      <c r="F36398"/>
    </row>
    <row r="36399" spans="1:6" x14ac:dyDescent="0.25">
      <c r="A36399"/>
      <c r="B36399"/>
      <c r="C36399"/>
      <c r="E36399"/>
      <c r="F36399"/>
    </row>
    <row r="36400" spans="1:6" x14ac:dyDescent="0.25">
      <c r="A36400"/>
      <c r="B36400"/>
      <c r="C36400"/>
      <c r="E36400"/>
      <c r="F36400"/>
    </row>
    <row r="36401" spans="1:6" x14ac:dyDescent="0.25">
      <c r="A36401"/>
      <c r="B36401"/>
      <c r="C36401"/>
      <c r="E36401"/>
      <c r="F36401"/>
    </row>
    <row r="36402" spans="1:6" x14ac:dyDescent="0.25">
      <c r="A36402"/>
      <c r="B36402"/>
      <c r="C36402"/>
      <c r="E36402"/>
      <c r="F36402"/>
    </row>
    <row r="36403" spans="1:6" x14ac:dyDescent="0.25">
      <c r="A36403"/>
      <c r="B36403"/>
      <c r="C36403"/>
      <c r="E36403"/>
      <c r="F36403"/>
    </row>
    <row r="36404" spans="1:6" x14ac:dyDescent="0.25">
      <c r="A36404"/>
      <c r="B36404"/>
      <c r="C36404"/>
      <c r="E36404"/>
      <c r="F36404"/>
    </row>
    <row r="36405" spans="1:6" x14ac:dyDescent="0.25">
      <c r="A36405"/>
      <c r="B36405"/>
      <c r="C36405"/>
      <c r="E36405"/>
      <c r="F36405"/>
    </row>
    <row r="36406" spans="1:6" x14ac:dyDescent="0.25">
      <c r="A36406"/>
      <c r="B36406"/>
      <c r="C36406"/>
      <c r="E36406"/>
      <c r="F36406"/>
    </row>
    <row r="36407" spans="1:6" x14ac:dyDescent="0.25">
      <c r="A36407"/>
      <c r="B36407"/>
      <c r="C36407"/>
      <c r="E36407"/>
      <c r="F36407"/>
    </row>
    <row r="36408" spans="1:6" x14ac:dyDescent="0.25">
      <c r="A36408"/>
      <c r="B36408"/>
      <c r="C36408"/>
      <c r="E36408"/>
      <c r="F36408"/>
    </row>
    <row r="36409" spans="1:6" x14ac:dyDescent="0.25">
      <c r="A36409"/>
      <c r="B36409"/>
      <c r="C36409"/>
      <c r="E36409"/>
      <c r="F36409"/>
    </row>
    <row r="36410" spans="1:6" x14ac:dyDescent="0.25">
      <c r="A36410"/>
      <c r="B36410"/>
      <c r="C36410"/>
      <c r="E36410"/>
      <c r="F36410"/>
    </row>
    <row r="36411" spans="1:6" x14ac:dyDescent="0.25">
      <c r="A36411"/>
      <c r="B36411"/>
      <c r="C36411"/>
      <c r="E36411"/>
      <c r="F36411"/>
    </row>
    <row r="36412" spans="1:6" x14ac:dyDescent="0.25">
      <c r="A36412"/>
      <c r="B36412"/>
      <c r="C36412"/>
      <c r="E36412"/>
      <c r="F36412"/>
    </row>
    <row r="36413" spans="1:6" x14ac:dyDescent="0.25">
      <c r="A36413"/>
      <c r="B36413"/>
      <c r="C36413"/>
      <c r="E36413"/>
      <c r="F36413"/>
    </row>
    <row r="36414" spans="1:6" x14ac:dyDescent="0.25">
      <c r="A36414"/>
      <c r="B36414"/>
      <c r="C36414"/>
      <c r="E36414"/>
      <c r="F36414"/>
    </row>
    <row r="36415" spans="1:6" x14ac:dyDescent="0.25">
      <c r="A36415"/>
      <c r="B36415"/>
      <c r="C36415"/>
      <c r="E36415"/>
      <c r="F36415"/>
    </row>
    <row r="36416" spans="1:6" x14ac:dyDescent="0.25">
      <c r="A36416"/>
      <c r="B36416"/>
      <c r="C36416"/>
      <c r="E36416"/>
      <c r="F36416"/>
    </row>
    <row r="36417" spans="1:6" x14ac:dyDescent="0.25">
      <c r="A36417"/>
      <c r="B36417"/>
      <c r="C36417"/>
      <c r="E36417"/>
      <c r="F36417"/>
    </row>
    <row r="36418" spans="1:6" x14ac:dyDescent="0.25">
      <c r="A36418"/>
      <c r="B36418"/>
      <c r="C36418"/>
      <c r="E36418"/>
      <c r="F36418"/>
    </row>
    <row r="36419" spans="1:6" x14ac:dyDescent="0.25">
      <c r="A36419"/>
      <c r="B36419"/>
      <c r="C36419"/>
      <c r="E36419"/>
      <c r="F36419"/>
    </row>
    <row r="36420" spans="1:6" x14ac:dyDescent="0.25">
      <c r="A36420"/>
      <c r="B36420"/>
      <c r="C36420"/>
      <c r="E36420"/>
      <c r="F36420"/>
    </row>
    <row r="36421" spans="1:6" x14ac:dyDescent="0.25">
      <c r="A36421"/>
      <c r="B36421"/>
      <c r="C36421"/>
      <c r="E36421"/>
      <c r="F36421"/>
    </row>
    <row r="36422" spans="1:6" x14ac:dyDescent="0.25">
      <c r="A36422"/>
      <c r="B36422"/>
      <c r="C36422"/>
      <c r="E36422"/>
      <c r="F36422"/>
    </row>
    <row r="36423" spans="1:6" x14ac:dyDescent="0.25">
      <c r="A36423"/>
      <c r="B36423"/>
      <c r="C36423"/>
      <c r="E36423"/>
      <c r="F36423"/>
    </row>
    <row r="36424" spans="1:6" x14ac:dyDescent="0.25">
      <c r="A36424"/>
      <c r="B36424"/>
      <c r="C36424"/>
      <c r="E36424"/>
      <c r="F36424"/>
    </row>
    <row r="36425" spans="1:6" x14ac:dyDescent="0.25">
      <c r="A36425"/>
      <c r="B36425"/>
      <c r="C36425"/>
      <c r="E36425"/>
      <c r="F36425"/>
    </row>
    <row r="36426" spans="1:6" x14ac:dyDescent="0.25">
      <c r="A36426"/>
      <c r="B36426"/>
      <c r="C36426"/>
      <c r="E36426"/>
      <c r="F36426"/>
    </row>
    <row r="36427" spans="1:6" x14ac:dyDescent="0.25">
      <c r="A36427"/>
      <c r="B36427"/>
      <c r="C36427"/>
      <c r="E36427"/>
      <c r="F36427"/>
    </row>
    <row r="36428" spans="1:6" x14ac:dyDescent="0.25">
      <c r="A36428"/>
      <c r="B36428"/>
      <c r="C36428"/>
      <c r="E36428"/>
      <c r="F36428"/>
    </row>
    <row r="36429" spans="1:6" x14ac:dyDescent="0.25">
      <c r="A36429"/>
      <c r="B36429"/>
      <c r="C36429"/>
      <c r="E36429"/>
      <c r="F36429"/>
    </row>
    <row r="36430" spans="1:6" x14ac:dyDescent="0.25">
      <c r="A36430"/>
      <c r="B36430"/>
      <c r="C36430"/>
      <c r="E36430"/>
      <c r="F36430"/>
    </row>
    <row r="36431" spans="1:6" x14ac:dyDescent="0.25">
      <c r="A36431"/>
      <c r="B36431"/>
      <c r="C36431"/>
      <c r="E36431"/>
      <c r="F36431"/>
    </row>
    <row r="36432" spans="1:6" x14ac:dyDescent="0.25">
      <c r="A36432"/>
      <c r="B36432"/>
      <c r="C36432"/>
      <c r="E36432"/>
      <c r="F36432"/>
    </row>
    <row r="36433" spans="1:6" x14ac:dyDescent="0.25">
      <c r="A36433"/>
      <c r="B36433"/>
      <c r="C36433"/>
      <c r="E36433"/>
      <c r="F36433"/>
    </row>
    <row r="36434" spans="1:6" x14ac:dyDescent="0.25">
      <c r="A36434"/>
      <c r="B36434"/>
      <c r="C36434"/>
      <c r="E36434"/>
      <c r="F36434"/>
    </row>
    <row r="36435" spans="1:6" x14ac:dyDescent="0.25">
      <c r="A36435"/>
      <c r="B36435"/>
      <c r="C36435"/>
      <c r="E36435"/>
      <c r="F36435"/>
    </row>
    <row r="36436" spans="1:6" x14ac:dyDescent="0.25">
      <c r="A36436"/>
      <c r="B36436"/>
      <c r="C36436"/>
      <c r="E36436"/>
      <c r="F36436"/>
    </row>
    <row r="36437" spans="1:6" x14ac:dyDescent="0.25">
      <c r="A36437"/>
      <c r="B36437"/>
      <c r="C36437"/>
      <c r="E36437"/>
      <c r="F36437"/>
    </row>
    <row r="36438" spans="1:6" x14ac:dyDescent="0.25">
      <c r="A36438"/>
      <c r="B36438"/>
      <c r="C36438"/>
      <c r="E36438"/>
      <c r="F36438"/>
    </row>
    <row r="36439" spans="1:6" x14ac:dyDescent="0.25">
      <c r="A36439"/>
      <c r="B36439"/>
      <c r="C36439"/>
      <c r="E36439"/>
      <c r="F36439"/>
    </row>
    <row r="36440" spans="1:6" x14ac:dyDescent="0.25">
      <c r="A36440"/>
      <c r="B36440"/>
      <c r="C36440"/>
      <c r="E36440"/>
      <c r="F36440"/>
    </row>
    <row r="36441" spans="1:6" x14ac:dyDescent="0.25">
      <c r="A36441"/>
      <c r="B36441"/>
      <c r="C36441"/>
      <c r="E36441"/>
      <c r="F36441"/>
    </row>
    <row r="36442" spans="1:6" x14ac:dyDescent="0.25">
      <c r="A36442"/>
      <c r="B36442"/>
      <c r="C36442"/>
      <c r="E36442"/>
      <c r="F36442"/>
    </row>
    <row r="36443" spans="1:6" x14ac:dyDescent="0.25">
      <c r="A36443"/>
      <c r="B36443"/>
      <c r="C36443"/>
      <c r="E36443"/>
      <c r="F36443"/>
    </row>
    <row r="36444" spans="1:6" x14ac:dyDescent="0.25">
      <c r="A36444"/>
      <c r="B36444"/>
      <c r="C36444"/>
      <c r="E36444"/>
      <c r="F36444"/>
    </row>
    <row r="36445" spans="1:6" x14ac:dyDescent="0.25">
      <c r="A36445"/>
      <c r="B36445"/>
      <c r="C36445"/>
      <c r="E36445"/>
      <c r="F36445"/>
    </row>
    <row r="36446" spans="1:6" x14ac:dyDescent="0.25">
      <c r="A36446"/>
      <c r="B36446"/>
      <c r="C36446"/>
      <c r="E36446"/>
      <c r="F36446"/>
    </row>
    <row r="36447" spans="1:6" x14ac:dyDescent="0.25">
      <c r="A36447"/>
      <c r="B36447"/>
      <c r="C36447"/>
      <c r="E36447"/>
      <c r="F36447"/>
    </row>
    <row r="36448" spans="1:6" x14ac:dyDescent="0.25">
      <c r="A36448"/>
      <c r="B36448"/>
      <c r="C36448"/>
      <c r="E36448"/>
      <c r="F36448"/>
    </row>
    <row r="36449" spans="1:6" x14ac:dyDescent="0.25">
      <c r="A36449"/>
      <c r="B36449"/>
      <c r="C36449"/>
      <c r="E36449"/>
      <c r="F36449"/>
    </row>
    <row r="36450" spans="1:6" x14ac:dyDescent="0.25">
      <c r="A36450"/>
      <c r="B36450"/>
      <c r="C36450"/>
      <c r="E36450"/>
      <c r="F36450"/>
    </row>
    <row r="36451" spans="1:6" x14ac:dyDescent="0.25">
      <c r="A36451"/>
      <c r="B36451"/>
      <c r="C36451"/>
      <c r="E36451"/>
      <c r="F36451"/>
    </row>
    <row r="36452" spans="1:6" x14ac:dyDescent="0.25">
      <c r="A36452"/>
      <c r="B36452"/>
      <c r="C36452"/>
      <c r="E36452"/>
      <c r="F36452"/>
    </row>
    <row r="36453" spans="1:6" x14ac:dyDescent="0.25">
      <c r="A36453"/>
      <c r="B36453"/>
      <c r="C36453"/>
      <c r="E36453"/>
      <c r="F36453"/>
    </row>
    <row r="36454" spans="1:6" x14ac:dyDescent="0.25">
      <c r="A36454"/>
      <c r="B36454"/>
      <c r="C36454"/>
      <c r="E36454"/>
      <c r="F36454"/>
    </row>
    <row r="36455" spans="1:6" x14ac:dyDescent="0.25">
      <c r="A36455"/>
      <c r="B36455"/>
      <c r="C36455"/>
      <c r="E36455"/>
      <c r="F36455"/>
    </row>
    <row r="36456" spans="1:6" x14ac:dyDescent="0.25">
      <c r="A36456"/>
      <c r="B36456"/>
      <c r="C36456"/>
      <c r="E36456"/>
      <c r="F36456"/>
    </row>
    <row r="36457" spans="1:6" x14ac:dyDescent="0.25">
      <c r="A36457"/>
      <c r="B36457"/>
      <c r="C36457"/>
      <c r="E36457"/>
      <c r="F36457"/>
    </row>
    <row r="36458" spans="1:6" x14ac:dyDescent="0.25">
      <c r="A36458"/>
      <c r="B36458"/>
      <c r="C36458"/>
      <c r="E36458"/>
      <c r="F36458"/>
    </row>
    <row r="36459" spans="1:6" x14ac:dyDescent="0.25">
      <c r="A36459"/>
      <c r="B36459"/>
      <c r="C36459"/>
      <c r="E36459"/>
      <c r="F36459"/>
    </row>
    <row r="36460" spans="1:6" x14ac:dyDescent="0.25">
      <c r="A36460"/>
      <c r="B36460"/>
      <c r="C36460"/>
      <c r="E36460"/>
      <c r="F36460"/>
    </row>
    <row r="36461" spans="1:6" x14ac:dyDescent="0.25">
      <c r="A36461"/>
      <c r="B36461"/>
      <c r="C36461"/>
      <c r="E36461"/>
      <c r="F36461"/>
    </row>
    <row r="36462" spans="1:6" x14ac:dyDescent="0.25">
      <c r="A36462"/>
      <c r="B36462"/>
      <c r="C36462"/>
      <c r="E36462"/>
      <c r="F36462"/>
    </row>
    <row r="36463" spans="1:6" x14ac:dyDescent="0.25">
      <c r="A36463"/>
      <c r="B36463"/>
      <c r="C36463"/>
      <c r="E36463"/>
      <c r="F36463"/>
    </row>
    <row r="36464" spans="1:6" x14ac:dyDescent="0.25">
      <c r="A36464"/>
      <c r="B36464"/>
      <c r="C36464"/>
      <c r="E36464"/>
      <c r="F36464"/>
    </row>
    <row r="36465" spans="1:6" x14ac:dyDescent="0.25">
      <c r="A36465"/>
      <c r="B36465"/>
      <c r="C36465"/>
      <c r="E36465"/>
      <c r="F36465"/>
    </row>
    <row r="36466" spans="1:6" x14ac:dyDescent="0.25">
      <c r="A36466"/>
      <c r="B36466"/>
      <c r="C36466"/>
      <c r="E36466"/>
      <c r="F36466"/>
    </row>
    <row r="36467" spans="1:6" x14ac:dyDescent="0.25">
      <c r="A36467"/>
      <c r="B36467"/>
      <c r="C36467"/>
      <c r="E36467"/>
      <c r="F36467"/>
    </row>
    <row r="36468" spans="1:6" x14ac:dyDescent="0.25">
      <c r="A36468"/>
      <c r="B36468"/>
      <c r="C36468"/>
      <c r="E36468"/>
      <c r="F36468"/>
    </row>
    <row r="36469" spans="1:6" x14ac:dyDescent="0.25">
      <c r="A36469"/>
      <c r="B36469"/>
      <c r="C36469"/>
      <c r="E36469"/>
      <c r="F36469"/>
    </row>
    <row r="36470" spans="1:6" x14ac:dyDescent="0.25">
      <c r="A36470"/>
      <c r="B36470"/>
      <c r="C36470"/>
      <c r="E36470"/>
      <c r="F36470"/>
    </row>
    <row r="36471" spans="1:6" x14ac:dyDescent="0.25">
      <c r="A36471"/>
      <c r="B36471"/>
      <c r="C36471"/>
      <c r="E36471"/>
      <c r="F36471"/>
    </row>
    <row r="36472" spans="1:6" x14ac:dyDescent="0.25">
      <c r="A36472"/>
      <c r="B36472"/>
      <c r="C36472"/>
      <c r="E36472"/>
      <c r="F36472"/>
    </row>
    <row r="36473" spans="1:6" x14ac:dyDescent="0.25">
      <c r="A36473"/>
      <c r="B36473"/>
      <c r="C36473"/>
      <c r="E36473"/>
      <c r="F36473"/>
    </row>
    <row r="36474" spans="1:6" x14ac:dyDescent="0.25">
      <c r="A36474"/>
      <c r="B36474"/>
      <c r="C36474"/>
      <c r="E36474"/>
      <c r="F36474"/>
    </row>
    <row r="36475" spans="1:6" x14ac:dyDescent="0.25">
      <c r="A36475"/>
      <c r="B36475"/>
      <c r="C36475"/>
      <c r="E36475"/>
      <c r="F36475"/>
    </row>
    <row r="36476" spans="1:6" x14ac:dyDescent="0.25">
      <c r="A36476"/>
      <c r="B36476"/>
      <c r="C36476"/>
      <c r="E36476"/>
      <c r="F36476"/>
    </row>
    <row r="36477" spans="1:6" x14ac:dyDescent="0.25">
      <c r="A36477"/>
      <c r="B36477"/>
      <c r="C36477"/>
      <c r="E36477"/>
      <c r="F36477"/>
    </row>
    <row r="36478" spans="1:6" x14ac:dyDescent="0.25">
      <c r="A36478"/>
      <c r="B36478"/>
      <c r="C36478"/>
      <c r="E36478"/>
      <c r="F36478"/>
    </row>
    <row r="36479" spans="1:6" x14ac:dyDescent="0.25">
      <c r="A36479"/>
      <c r="B36479"/>
      <c r="C36479"/>
      <c r="E36479"/>
      <c r="F36479"/>
    </row>
    <row r="36480" spans="1:6" x14ac:dyDescent="0.25">
      <c r="A36480"/>
      <c r="B36480"/>
      <c r="C36480"/>
      <c r="E36480"/>
      <c r="F36480"/>
    </row>
    <row r="36481" spans="1:6" x14ac:dyDescent="0.25">
      <c r="A36481"/>
      <c r="B36481"/>
      <c r="C36481"/>
      <c r="E36481"/>
      <c r="F36481"/>
    </row>
    <row r="36482" spans="1:6" x14ac:dyDescent="0.25">
      <c r="A36482"/>
      <c r="B36482"/>
      <c r="C36482"/>
      <c r="E36482"/>
      <c r="F36482"/>
    </row>
    <row r="36483" spans="1:6" x14ac:dyDescent="0.25">
      <c r="A36483"/>
      <c r="B36483"/>
      <c r="C36483"/>
      <c r="E36483"/>
      <c r="F36483"/>
    </row>
    <row r="36484" spans="1:6" x14ac:dyDescent="0.25">
      <c r="A36484"/>
      <c r="B36484"/>
      <c r="C36484"/>
      <c r="E36484"/>
      <c r="F36484"/>
    </row>
    <row r="36485" spans="1:6" x14ac:dyDescent="0.25">
      <c r="A36485"/>
      <c r="B36485"/>
      <c r="C36485"/>
      <c r="E36485"/>
      <c r="F36485"/>
    </row>
    <row r="36486" spans="1:6" x14ac:dyDescent="0.25">
      <c r="A36486"/>
      <c r="B36486"/>
      <c r="C36486"/>
      <c r="E36486"/>
      <c r="F36486"/>
    </row>
    <row r="36487" spans="1:6" x14ac:dyDescent="0.25">
      <c r="A36487"/>
      <c r="B36487"/>
      <c r="C36487"/>
      <c r="E36487"/>
      <c r="F36487"/>
    </row>
    <row r="36488" spans="1:6" x14ac:dyDescent="0.25">
      <c r="A36488"/>
      <c r="B36488"/>
      <c r="C36488"/>
      <c r="E36488"/>
      <c r="F36488"/>
    </row>
    <row r="36489" spans="1:6" x14ac:dyDescent="0.25">
      <c r="A36489"/>
      <c r="B36489"/>
      <c r="C36489"/>
      <c r="E36489"/>
      <c r="F36489"/>
    </row>
    <row r="36490" spans="1:6" x14ac:dyDescent="0.25">
      <c r="A36490"/>
      <c r="B36490"/>
      <c r="C36490"/>
      <c r="E36490"/>
      <c r="F36490"/>
    </row>
    <row r="36491" spans="1:6" x14ac:dyDescent="0.25">
      <c r="A36491"/>
      <c r="B36491"/>
      <c r="C36491"/>
      <c r="E36491"/>
      <c r="F36491"/>
    </row>
    <row r="36492" spans="1:6" x14ac:dyDescent="0.25">
      <c r="A36492"/>
      <c r="B36492"/>
      <c r="C36492"/>
      <c r="E36492"/>
      <c r="F36492"/>
    </row>
    <row r="36493" spans="1:6" x14ac:dyDescent="0.25">
      <c r="A36493"/>
      <c r="B36493"/>
      <c r="C36493"/>
      <c r="E36493"/>
      <c r="F36493"/>
    </row>
    <row r="36494" spans="1:6" x14ac:dyDescent="0.25">
      <c r="A36494"/>
      <c r="B36494"/>
      <c r="C36494"/>
      <c r="E36494"/>
      <c r="F36494"/>
    </row>
    <row r="36495" spans="1:6" x14ac:dyDescent="0.25">
      <c r="A36495"/>
      <c r="B36495"/>
      <c r="C36495"/>
      <c r="E36495"/>
      <c r="F36495"/>
    </row>
    <row r="36496" spans="1:6" x14ac:dyDescent="0.25">
      <c r="A36496"/>
      <c r="B36496"/>
      <c r="C36496"/>
      <c r="E36496"/>
      <c r="F36496"/>
    </row>
    <row r="36497" spans="1:6" x14ac:dyDescent="0.25">
      <c r="A36497"/>
      <c r="B36497"/>
      <c r="C36497"/>
      <c r="E36497"/>
      <c r="F36497"/>
    </row>
    <row r="36498" spans="1:6" x14ac:dyDescent="0.25">
      <c r="A36498"/>
      <c r="B36498"/>
      <c r="C36498"/>
      <c r="E36498"/>
      <c r="F36498"/>
    </row>
    <row r="36499" spans="1:6" x14ac:dyDescent="0.25">
      <c r="A36499"/>
      <c r="B36499"/>
      <c r="C36499"/>
      <c r="E36499"/>
      <c r="F36499"/>
    </row>
    <row r="36500" spans="1:6" x14ac:dyDescent="0.25">
      <c r="A36500"/>
      <c r="B36500"/>
      <c r="C36500"/>
      <c r="E36500"/>
      <c r="F36500"/>
    </row>
    <row r="36501" spans="1:6" x14ac:dyDescent="0.25">
      <c r="A36501"/>
      <c r="B36501"/>
      <c r="C36501"/>
      <c r="E36501"/>
      <c r="F36501"/>
    </row>
    <row r="36502" spans="1:6" x14ac:dyDescent="0.25">
      <c r="A36502"/>
      <c r="B36502"/>
      <c r="C36502"/>
      <c r="E36502"/>
      <c r="F36502"/>
    </row>
    <row r="36503" spans="1:6" x14ac:dyDescent="0.25">
      <c r="A36503"/>
      <c r="B36503"/>
      <c r="C36503"/>
      <c r="E36503"/>
      <c r="F36503"/>
    </row>
    <row r="36504" spans="1:6" x14ac:dyDescent="0.25">
      <c r="A36504"/>
      <c r="B36504"/>
      <c r="C36504"/>
      <c r="E36504"/>
      <c r="F36504"/>
    </row>
    <row r="36505" spans="1:6" x14ac:dyDescent="0.25">
      <c r="A36505"/>
      <c r="B36505"/>
      <c r="C36505"/>
      <c r="E36505"/>
      <c r="F36505"/>
    </row>
    <row r="36506" spans="1:6" x14ac:dyDescent="0.25">
      <c r="A36506"/>
      <c r="B36506"/>
      <c r="C36506"/>
      <c r="E36506"/>
      <c r="F36506"/>
    </row>
    <row r="36507" spans="1:6" x14ac:dyDescent="0.25">
      <c r="A36507"/>
      <c r="B36507"/>
      <c r="C36507"/>
      <c r="E36507"/>
      <c r="F36507"/>
    </row>
    <row r="36508" spans="1:6" x14ac:dyDescent="0.25">
      <c r="A36508"/>
      <c r="B36508"/>
      <c r="C36508"/>
      <c r="E36508"/>
      <c r="F36508"/>
    </row>
    <row r="36509" spans="1:6" x14ac:dyDescent="0.25">
      <c r="A36509"/>
      <c r="B36509"/>
      <c r="C36509"/>
      <c r="E36509"/>
      <c r="F36509"/>
    </row>
    <row r="36510" spans="1:6" x14ac:dyDescent="0.25">
      <c r="A36510"/>
      <c r="B36510"/>
      <c r="C36510"/>
      <c r="E36510"/>
      <c r="F36510"/>
    </row>
    <row r="36511" spans="1:6" x14ac:dyDescent="0.25">
      <c r="A36511"/>
      <c r="B36511"/>
      <c r="C36511"/>
      <c r="E36511"/>
      <c r="F36511"/>
    </row>
    <row r="36512" spans="1:6" x14ac:dyDescent="0.25">
      <c r="A36512"/>
      <c r="B36512"/>
      <c r="C36512"/>
      <c r="E36512"/>
      <c r="F36512"/>
    </row>
    <row r="36513" spans="1:6" x14ac:dyDescent="0.25">
      <c r="A36513"/>
      <c r="B36513"/>
      <c r="C36513"/>
      <c r="E36513"/>
      <c r="F36513"/>
    </row>
    <row r="36514" spans="1:6" x14ac:dyDescent="0.25">
      <c r="A36514"/>
      <c r="B36514"/>
      <c r="C36514"/>
      <c r="E36514"/>
      <c r="F36514"/>
    </row>
    <row r="36515" spans="1:6" x14ac:dyDescent="0.25">
      <c r="A36515"/>
      <c r="B36515"/>
      <c r="C36515"/>
      <c r="E36515"/>
      <c r="F36515"/>
    </row>
    <row r="36516" spans="1:6" x14ac:dyDescent="0.25">
      <c r="A36516"/>
      <c r="B36516"/>
      <c r="C36516"/>
      <c r="E36516"/>
      <c r="F36516"/>
    </row>
    <row r="36517" spans="1:6" x14ac:dyDescent="0.25">
      <c r="A36517"/>
      <c r="B36517"/>
      <c r="C36517"/>
      <c r="E36517"/>
      <c r="F36517"/>
    </row>
    <row r="36518" spans="1:6" x14ac:dyDescent="0.25">
      <c r="A36518"/>
      <c r="B36518"/>
      <c r="C36518"/>
      <c r="E36518"/>
      <c r="F36518"/>
    </row>
    <row r="36519" spans="1:6" x14ac:dyDescent="0.25">
      <c r="A36519"/>
      <c r="B36519"/>
      <c r="C36519"/>
      <c r="E36519"/>
      <c r="F36519"/>
    </row>
    <row r="36520" spans="1:6" x14ac:dyDescent="0.25">
      <c r="A36520"/>
      <c r="B36520"/>
      <c r="C36520"/>
      <c r="E36520"/>
      <c r="F36520"/>
    </row>
    <row r="36521" spans="1:6" x14ac:dyDescent="0.25">
      <c r="A36521"/>
      <c r="B36521"/>
      <c r="C36521"/>
      <c r="E36521"/>
      <c r="F36521"/>
    </row>
    <row r="36522" spans="1:6" x14ac:dyDescent="0.25">
      <c r="A36522"/>
      <c r="B36522"/>
      <c r="C36522"/>
      <c r="E36522"/>
      <c r="F36522"/>
    </row>
    <row r="36523" spans="1:6" x14ac:dyDescent="0.25">
      <c r="A36523"/>
      <c r="B36523"/>
      <c r="C36523"/>
      <c r="E36523"/>
      <c r="F36523"/>
    </row>
    <row r="36524" spans="1:6" x14ac:dyDescent="0.25">
      <c r="A36524"/>
      <c r="B36524"/>
      <c r="C36524"/>
      <c r="E36524"/>
      <c r="F36524"/>
    </row>
    <row r="36525" spans="1:6" x14ac:dyDescent="0.25">
      <c r="A36525"/>
      <c r="B36525"/>
      <c r="C36525"/>
      <c r="E36525"/>
      <c r="F36525"/>
    </row>
    <row r="36526" spans="1:6" x14ac:dyDescent="0.25">
      <c r="A36526"/>
      <c r="B36526"/>
      <c r="C36526"/>
      <c r="E36526"/>
      <c r="F36526"/>
    </row>
    <row r="36527" spans="1:6" x14ac:dyDescent="0.25">
      <c r="A36527"/>
      <c r="B36527"/>
      <c r="C36527"/>
      <c r="E36527"/>
      <c r="F36527"/>
    </row>
    <row r="36528" spans="1:6" x14ac:dyDescent="0.25">
      <c r="A36528"/>
      <c r="B36528"/>
      <c r="C36528"/>
      <c r="E36528"/>
      <c r="F36528"/>
    </row>
    <row r="36529" spans="1:6" x14ac:dyDescent="0.25">
      <c r="A36529"/>
      <c r="B36529"/>
      <c r="C36529"/>
      <c r="E36529"/>
      <c r="F36529"/>
    </row>
    <row r="36530" spans="1:6" x14ac:dyDescent="0.25">
      <c r="A36530"/>
      <c r="B36530"/>
      <c r="C36530"/>
      <c r="E36530"/>
      <c r="F36530"/>
    </row>
    <row r="36531" spans="1:6" x14ac:dyDescent="0.25">
      <c r="A36531"/>
      <c r="B36531"/>
      <c r="C36531"/>
      <c r="E36531"/>
      <c r="F36531"/>
    </row>
    <row r="36532" spans="1:6" x14ac:dyDescent="0.25">
      <c r="A36532"/>
      <c r="B36532"/>
      <c r="C36532"/>
      <c r="E36532"/>
      <c r="F36532"/>
    </row>
    <row r="36533" spans="1:6" x14ac:dyDescent="0.25">
      <c r="A36533"/>
      <c r="B36533"/>
      <c r="C36533"/>
      <c r="E36533"/>
      <c r="F36533"/>
    </row>
    <row r="36534" spans="1:6" x14ac:dyDescent="0.25">
      <c r="A36534"/>
      <c r="B36534"/>
      <c r="C36534"/>
      <c r="E36534"/>
      <c r="F36534"/>
    </row>
    <row r="36535" spans="1:6" x14ac:dyDescent="0.25">
      <c r="A36535"/>
      <c r="B36535"/>
      <c r="C36535"/>
      <c r="E36535"/>
      <c r="F36535"/>
    </row>
    <row r="36536" spans="1:6" x14ac:dyDescent="0.25">
      <c r="A36536"/>
      <c r="B36536"/>
      <c r="C36536"/>
      <c r="E36536"/>
      <c r="F36536"/>
    </row>
    <row r="36537" spans="1:6" x14ac:dyDescent="0.25">
      <c r="A36537"/>
      <c r="B36537"/>
      <c r="C36537"/>
      <c r="E36537"/>
      <c r="F36537"/>
    </row>
    <row r="36538" spans="1:6" x14ac:dyDescent="0.25">
      <c r="A36538"/>
      <c r="B36538"/>
      <c r="C36538"/>
      <c r="E36538"/>
      <c r="F36538"/>
    </row>
    <row r="36539" spans="1:6" x14ac:dyDescent="0.25">
      <c r="A36539"/>
      <c r="B36539"/>
      <c r="C36539"/>
      <c r="E36539"/>
      <c r="F36539"/>
    </row>
    <row r="36540" spans="1:6" x14ac:dyDescent="0.25">
      <c r="A36540"/>
      <c r="B36540"/>
      <c r="C36540"/>
      <c r="E36540"/>
      <c r="F36540"/>
    </row>
    <row r="36541" spans="1:6" x14ac:dyDescent="0.25">
      <c r="A36541"/>
      <c r="B36541"/>
      <c r="C36541"/>
      <c r="E36541"/>
      <c r="F36541"/>
    </row>
    <row r="36542" spans="1:6" x14ac:dyDescent="0.25">
      <c r="A36542"/>
      <c r="B36542"/>
      <c r="C36542"/>
      <c r="E36542"/>
      <c r="F36542"/>
    </row>
    <row r="36543" spans="1:6" x14ac:dyDescent="0.25">
      <c r="A36543"/>
      <c r="B36543"/>
      <c r="C36543"/>
      <c r="E36543"/>
      <c r="F36543"/>
    </row>
    <row r="36544" spans="1:6" x14ac:dyDescent="0.25">
      <c r="A36544"/>
      <c r="B36544"/>
      <c r="C36544"/>
      <c r="E36544"/>
      <c r="F36544"/>
    </row>
    <row r="36545" spans="1:6" x14ac:dyDescent="0.25">
      <c r="A36545"/>
      <c r="B36545"/>
      <c r="C36545"/>
      <c r="E36545"/>
      <c r="F36545"/>
    </row>
    <row r="36546" spans="1:6" x14ac:dyDescent="0.25">
      <c r="A36546"/>
      <c r="B36546"/>
      <c r="C36546"/>
      <c r="E36546"/>
      <c r="F36546"/>
    </row>
    <row r="36547" spans="1:6" x14ac:dyDescent="0.25">
      <c r="A36547"/>
      <c r="B36547"/>
      <c r="C36547"/>
      <c r="E36547"/>
      <c r="F36547"/>
    </row>
    <row r="36548" spans="1:6" x14ac:dyDescent="0.25">
      <c r="A36548"/>
      <c r="B36548"/>
      <c r="C36548"/>
      <c r="E36548"/>
      <c r="F36548"/>
    </row>
    <row r="36549" spans="1:6" x14ac:dyDescent="0.25">
      <c r="A36549"/>
      <c r="B36549"/>
      <c r="C36549"/>
      <c r="E36549"/>
      <c r="F36549"/>
    </row>
    <row r="36550" spans="1:6" x14ac:dyDescent="0.25">
      <c r="A36550"/>
      <c r="B36550"/>
      <c r="C36550"/>
      <c r="E36550"/>
      <c r="F36550"/>
    </row>
    <row r="36551" spans="1:6" x14ac:dyDescent="0.25">
      <c r="A36551"/>
      <c r="B36551"/>
      <c r="C36551"/>
      <c r="E36551"/>
      <c r="F36551"/>
    </row>
    <row r="36552" spans="1:6" x14ac:dyDescent="0.25">
      <c r="A36552"/>
      <c r="B36552"/>
      <c r="C36552"/>
      <c r="E36552"/>
      <c r="F36552"/>
    </row>
    <row r="36553" spans="1:6" x14ac:dyDescent="0.25">
      <c r="A36553"/>
      <c r="B36553"/>
      <c r="C36553"/>
      <c r="E36553"/>
      <c r="F36553"/>
    </row>
    <row r="36554" spans="1:6" x14ac:dyDescent="0.25">
      <c r="A36554"/>
      <c r="B36554"/>
      <c r="C36554"/>
      <c r="E36554"/>
      <c r="F36554"/>
    </row>
    <row r="36555" spans="1:6" x14ac:dyDescent="0.25">
      <c r="A36555"/>
      <c r="B36555"/>
      <c r="C36555"/>
      <c r="E36555"/>
      <c r="F36555"/>
    </row>
    <row r="36556" spans="1:6" x14ac:dyDescent="0.25">
      <c r="A36556"/>
      <c r="B36556"/>
      <c r="C36556"/>
      <c r="E36556"/>
      <c r="F36556"/>
    </row>
    <row r="36557" spans="1:6" x14ac:dyDescent="0.25">
      <c r="A36557"/>
      <c r="B36557"/>
      <c r="C36557"/>
      <c r="E36557"/>
      <c r="F36557"/>
    </row>
    <row r="36558" spans="1:6" x14ac:dyDescent="0.25">
      <c r="A36558"/>
      <c r="B36558"/>
      <c r="C36558"/>
      <c r="E36558"/>
      <c r="F36558"/>
    </row>
    <row r="36559" spans="1:6" x14ac:dyDescent="0.25">
      <c r="A36559"/>
      <c r="B36559"/>
      <c r="C36559"/>
      <c r="E36559"/>
      <c r="F36559"/>
    </row>
    <row r="36560" spans="1:6" x14ac:dyDescent="0.25">
      <c r="A36560"/>
      <c r="B36560"/>
      <c r="C36560"/>
      <c r="E36560"/>
      <c r="F36560"/>
    </row>
    <row r="36561" spans="1:6" x14ac:dyDescent="0.25">
      <c r="A36561"/>
      <c r="B36561"/>
      <c r="C36561"/>
      <c r="E36561"/>
      <c r="F36561"/>
    </row>
    <row r="36562" spans="1:6" x14ac:dyDescent="0.25">
      <c r="A36562"/>
      <c r="B36562"/>
      <c r="C36562"/>
      <c r="E36562"/>
      <c r="F36562"/>
    </row>
    <row r="36563" spans="1:6" x14ac:dyDescent="0.25">
      <c r="A36563"/>
      <c r="B36563"/>
      <c r="C36563"/>
      <c r="E36563"/>
      <c r="F36563"/>
    </row>
    <row r="36564" spans="1:6" x14ac:dyDescent="0.25">
      <c r="A36564"/>
      <c r="B36564"/>
      <c r="C36564"/>
      <c r="E36564"/>
      <c r="F36564"/>
    </row>
    <row r="36565" spans="1:6" x14ac:dyDescent="0.25">
      <c r="A36565"/>
      <c r="B36565"/>
      <c r="C36565"/>
      <c r="E36565"/>
      <c r="F36565"/>
    </row>
    <row r="36566" spans="1:6" x14ac:dyDescent="0.25">
      <c r="A36566"/>
      <c r="B36566"/>
      <c r="C36566"/>
      <c r="E36566"/>
      <c r="F36566"/>
    </row>
    <row r="36567" spans="1:6" x14ac:dyDescent="0.25">
      <c r="A36567"/>
      <c r="B36567"/>
      <c r="C36567"/>
      <c r="E36567"/>
      <c r="F36567"/>
    </row>
    <row r="36568" spans="1:6" x14ac:dyDescent="0.25">
      <c r="A36568"/>
      <c r="B36568"/>
      <c r="C36568"/>
      <c r="E36568"/>
      <c r="F36568"/>
    </row>
    <row r="36569" spans="1:6" x14ac:dyDescent="0.25">
      <c r="A36569"/>
      <c r="B36569"/>
      <c r="C36569"/>
      <c r="E36569"/>
      <c r="F36569"/>
    </row>
    <row r="36570" spans="1:6" x14ac:dyDescent="0.25">
      <c r="A36570"/>
      <c r="B36570"/>
      <c r="C36570"/>
      <c r="E36570"/>
      <c r="F36570"/>
    </row>
    <row r="36571" spans="1:6" x14ac:dyDescent="0.25">
      <c r="A36571"/>
      <c r="B36571"/>
      <c r="C36571"/>
      <c r="E36571"/>
      <c r="F36571"/>
    </row>
    <row r="36572" spans="1:6" x14ac:dyDescent="0.25">
      <c r="A36572"/>
      <c r="B36572"/>
      <c r="C36572"/>
      <c r="E36572"/>
      <c r="F36572"/>
    </row>
    <row r="36573" spans="1:6" x14ac:dyDescent="0.25">
      <c r="A36573"/>
      <c r="B36573"/>
      <c r="C36573"/>
      <c r="E36573"/>
      <c r="F36573"/>
    </row>
    <row r="36574" spans="1:6" x14ac:dyDescent="0.25">
      <c r="A36574"/>
      <c r="B36574"/>
      <c r="C36574"/>
      <c r="E36574"/>
      <c r="F36574"/>
    </row>
    <row r="36575" spans="1:6" x14ac:dyDescent="0.25">
      <c r="A36575"/>
      <c r="B36575"/>
      <c r="C36575"/>
      <c r="E36575"/>
      <c r="F36575"/>
    </row>
    <row r="36576" spans="1:6" x14ac:dyDescent="0.25">
      <c r="A36576"/>
      <c r="B36576"/>
      <c r="C36576"/>
      <c r="E36576"/>
      <c r="F36576"/>
    </row>
    <row r="36577" spans="1:6" x14ac:dyDescent="0.25">
      <c r="A36577"/>
      <c r="B36577"/>
      <c r="C36577"/>
      <c r="E36577"/>
      <c r="F36577"/>
    </row>
    <row r="36578" spans="1:6" x14ac:dyDescent="0.25">
      <c r="A36578"/>
      <c r="B36578"/>
      <c r="C36578"/>
      <c r="E36578"/>
      <c r="F36578"/>
    </row>
    <row r="36579" spans="1:6" x14ac:dyDescent="0.25">
      <c r="A36579"/>
      <c r="B36579"/>
      <c r="C36579"/>
      <c r="E36579"/>
      <c r="F36579"/>
    </row>
    <row r="36580" spans="1:6" x14ac:dyDescent="0.25">
      <c r="A36580"/>
      <c r="B36580"/>
      <c r="C36580"/>
      <c r="E36580"/>
      <c r="F36580"/>
    </row>
    <row r="36581" spans="1:6" x14ac:dyDescent="0.25">
      <c r="A36581"/>
      <c r="B36581"/>
      <c r="C36581"/>
      <c r="E36581"/>
      <c r="F36581"/>
    </row>
    <row r="36582" spans="1:6" x14ac:dyDescent="0.25">
      <c r="A36582"/>
      <c r="B36582"/>
      <c r="C36582"/>
      <c r="E36582"/>
      <c r="F36582"/>
    </row>
    <row r="36583" spans="1:6" x14ac:dyDescent="0.25">
      <c r="A36583"/>
      <c r="B36583"/>
      <c r="C36583"/>
      <c r="E36583"/>
      <c r="F36583"/>
    </row>
    <row r="36584" spans="1:6" x14ac:dyDescent="0.25">
      <c r="A36584"/>
      <c r="B36584"/>
      <c r="C36584"/>
      <c r="E36584"/>
      <c r="F36584"/>
    </row>
    <row r="36585" spans="1:6" x14ac:dyDescent="0.25">
      <c r="A36585"/>
      <c r="B36585"/>
      <c r="C36585"/>
      <c r="E36585"/>
      <c r="F36585"/>
    </row>
    <row r="36586" spans="1:6" x14ac:dyDescent="0.25">
      <c r="A36586"/>
      <c r="B36586"/>
      <c r="C36586"/>
      <c r="E36586"/>
      <c r="F36586"/>
    </row>
    <row r="36587" spans="1:6" x14ac:dyDescent="0.25">
      <c r="A36587"/>
      <c r="B36587"/>
      <c r="C36587"/>
      <c r="E36587"/>
      <c r="F36587"/>
    </row>
    <row r="36588" spans="1:6" x14ac:dyDescent="0.25">
      <c r="A36588"/>
      <c r="B36588"/>
      <c r="C36588"/>
      <c r="E36588"/>
      <c r="F36588"/>
    </row>
    <row r="36589" spans="1:6" x14ac:dyDescent="0.25">
      <c r="A36589"/>
      <c r="B36589"/>
      <c r="C36589"/>
      <c r="E36589"/>
      <c r="F36589"/>
    </row>
    <row r="36590" spans="1:6" x14ac:dyDescent="0.25">
      <c r="A36590"/>
      <c r="B36590"/>
      <c r="C36590"/>
      <c r="E36590"/>
      <c r="F36590"/>
    </row>
    <row r="36591" spans="1:6" x14ac:dyDescent="0.25">
      <c r="A36591"/>
      <c r="B36591"/>
      <c r="C36591"/>
      <c r="E36591"/>
      <c r="F36591"/>
    </row>
    <row r="36592" spans="1:6" x14ac:dyDescent="0.25">
      <c r="A36592"/>
      <c r="B36592"/>
      <c r="C36592"/>
      <c r="E36592"/>
      <c r="F36592"/>
    </row>
    <row r="36593" spans="1:6" x14ac:dyDescent="0.25">
      <c r="A36593"/>
      <c r="B36593"/>
      <c r="C36593"/>
      <c r="E36593"/>
      <c r="F36593"/>
    </row>
    <row r="36594" spans="1:6" x14ac:dyDescent="0.25">
      <c r="A36594"/>
      <c r="B36594"/>
      <c r="C36594"/>
      <c r="E36594"/>
      <c r="F36594"/>
    </row>
    <row r="36595" spans="1:6" x14ac:dyDescent="0.25">
      <c r="A36595"/>
      <c r="B36595"/>
      <c r="C36595"/>
      <c r="E36595"/>
      <c r="F36595"/>
    </row>
    <row r="36596" spans="1:6" x14ac:dyDescent="0.25">
      <c r="A36596"/>
      <c r="B36596"/>
      <c r="C36596"/>
      <c r="E36596"/>
      <c r="F36596"/>
    </row>
    <row r="36597" spans="1:6" x14ac:dyDescent="0.25">
      <c r="A36597"/>
      <c r="B36597"/>
      <c r="C36597"/>
      <c r="E36597"/>
      <c r="F36597"/>
    </row>
    <row r="36598" spans="1:6" x14ac:dyDescent="0.25">
      <c r="A36598"/>
      <c r="B36598"/>
      <c r="C36598"/>
      <c r="E36598"/>
      <c r="F36598"/>
    </row>
    <row r="36599" spans="1:6" x14ac:dyDescent="0.25">
      <c r="A36599"/>
      <c r="B36599"/>
      <c r="C36599"/>
      <c r="E36599"/>
      <c r="F36599"/>
    </row>
    <row r="36600" spans="1:6" x14ac:dyDescent="0.25">
      <c r="A36600"/>
      <c r="B36600"/>
      <c r="C36600"/>
      <c r="E36600"/>
      <c r="F36600"/>
    </row>
    <row r="36601" spans="1:6" x14ac:dyDescent="0.25">
      <c r="A36601"/>
      <c r="B36601"/>
      <c r="C36601"/>
      <c r="E36601"/>
      <c r="F36601"/>
    </row>
    <row r="36602" spans="1:6" x14ac:dyDescent="0.25">
      <c r="A36602"/>
      <c r="B36602"/>
      <c r="C36602"/>
      <c r="E36602"/>
      <c r="F36602"/>
    </row>
    <row r="36603" spans="1:6" x14ac:dyDescent="0.25">
      <c r="A36603"/>
      <c r="B36603"/>
      <c r="C36603"/>
      <c r="E36603"/>
      <c r="F36603"/>
    </row>
    <row r="36604" spans="1:6" x14ac:dyDescent="0.25">
      <c r="A36604"/>
      <c r="B36604"/>
      <c r="C36604"/>
      <c r="E36604"/>
      <c r="F36604"/>
    </row>
    <row r="36605" spans="1:6" x14ac:dyDescent="0.25">
      <c r="A36605"/>
      <c r="B36605"/>
      <c r="C36605"/>
      <c r="E36605"/>
      <c r="F36605"/>
    </row>
    <row r="36606" spans="1:6" x14ac:dyDescent="0.25">
      <c r="A36606"/>
      <c r="B36606"/>
      <c r="C36606"/>
      <c r="E36606"/>
      <c r="F36606"/>
    </row>
    <row r="36607" spans="1:6" x14ac:dyDescent="0.25">
      <c r="A36607"/>
      <c r="B36607"/>
      <c r="C36607"/>
      <c r="E36607"/>
      <c r="F36607"/>
    </row>
    <row r="36608" spans="1:6" x14ac:dyDescent="0.25">
      <c r="A36608"/>
      <c r="B36608"/>
      <c r="C36608"/>
      <c r="E36608"/>
      <c r="F36608"/>
    </row>
    <row r="36609" spans="1:6" x14ac:dyDescent="0.25">
      <c r="A36609"/>
      <c r="B36609"/>
      <c r="C36609"/>
      <c r="E36609"/>
      <c r="F36609"/>
    </row>
    <row r="36610" spans="1:6" x14ac:dyDescent="0.25">
      <c r="A36610"/>
      <c r="B36610"/>
      <c r="C36610"/>
      <c r="E36610"/>
      <c r="F36610"/>
    </row>
    <row r="36611" spans="1:6" x14ac:dyDescent="0.25">
      <c r="A36611"/>
      <c r="B36611"/>
      <c r="C36611"/>
      <c r="E36611"/>
      <c r="F36611"/>
    </row>
    <row r="36612" spans="1:6" x14ac:dyDescent="0.25">
      <c r="A36612"/>
      <c r="B36612"/>
      <c r="C36612"/>
      <c r="E36612"/>
      <c r="F36612"/>
    </row>
    <row r="36613" spans="1:6" x14ac:dyDescent="0.25">
      <c r="A36613"/>
      <c r="B36613"/>
      <c r="C36613"/>
      <c r="E36613"/>
      <c r="F36613"/>
    </row>
    <row r="36614" spans="1:6" x14ac:dyDescent="0.25">
      <c r="A36614"/>
      <c r="B36614"/>
      <c r="C36614"/>
      <c r="E36614"/>
      <c r="F36614"/>
    </row>
    <row r="36615" spans="1:6" x14ac:dyDescent="0.25">
      <c r="A36615"/>
      <c r="B36615"/>
      <c r="C36615"/>
      <c r="E36615"/>
      <c r="F36615"/>
    </row>
    <row r="36616" spans="1:6" x14ac:dyDescent="0.25">
      <c r="A36616"/>
      <c r="B36616"/>
      <c r="C36616"/>
      <c r="E36616"/>
      <c r="F36616"/>
    </row>
    <row r="36617" spans="1:6" x14ac:dyDescent="0.25">
      <c r="A36617"/>
      <c r="B36617"/>
      <c r="C36617"/>
      <c r="E36617"/>
      <c r="F36617"/>
    </row>
    <row r="36618" spans="1:6" x14ac:dyDescent="0.25">
      <c r="A36618"/>
      <c r="B36618"/>
      <c r="C36618"/>
      <c r="E36618"/>
      <c r="F36618"/>
    </row>
    <row r="36619" spans="1:6" x14ac:dyDescent="0.25">
      <c r="A36619"/>
      <c r="B36619"/>
      <c r="C36619"/>
      <c r="E36619"/>
      <c r="F36619"/>
    </row>
    <row r="36620" spans="1:6" x14ac:dyDescent="0.25">
      <c r="A36620"/>
      <c r="B36620"/>
      <c r="C36620"/>
      <c r="E36620"/>
      <c r="F36620"/>
    </row>
    <row r="36621" spans="1:6" x14ac:dyDescent="0.25">
      <c r="A36621"/>
      <c r="B36621"/>
      <c r="C36621"/>
      <c r="E36621"/>
      <c r="F36621"/>
    </row>
    <row r="36622" spans="1:6" x14ac:dyDescent="0.25">
      <c r="A36622"/>
      <c r="B36622"/>
      <c r="C36622"/>
      <c r="E36622"/>
      <c r="F36622"/>
    </row>
    <row r="36623" spans="1:6" x14ac:dyDescent="0.25">
      <c r="A36623"/>
      <c r="B36623"/>
      <c r="C36623"/>
      <c r="E36623"/>
      <c r="F36623"/>
    </row>
    <row r="36624" spans="1:6" x14ac:dyDescent="0.25">
      <c r="A36624"/>
      <c r="B36624"/>
      <c r="C36624"/>
      <c r="E36624"/>
      <c r="F36624"/>
    </row>
    <row r="36625" spans="1:6" x14ac:dyDescent="0.25">
      <c r="A36625"/>
      <c r="B36625"/>
      <c r="C36625"/>
      <c r="E36625"/>
      <c r="F36625"/>
    </row>
    <row r="36626" spans="1:6" x14ac:dyDescent="0.25">
      <c r="A36626"/>
      <c r="B36626"/>
      <c r="C36626"/>
      <c r="E36626"/>
      <c r="F36626"/>
    </row>
    <row r="36627" spans="1:6" x14ac:dyDescent="0.25">
      <c r="A36627"/>
      <c r="B36627"/>
      <c r="C36627"/>
      <c r="E36627"/>
      <c r="F36627"/>
    </row>
    <row r="36628" spans="1:6" x14ac:dyDescent="0.25">
      <c r="A36628"/>
      <c r="B36628"/>
      <c r="C36628"/>
      <c r="E36628"/>
      <c r="F36628"/>
    </row>
    <row r="36629" spans="1:6" x14ac:dyDescent="0.25">
      <c r="A36629"/>
      <c r="B36629"/>
      <c r="C36629"/>
      <c r="E36629"/>
      <c r="F36629"/>
    </row>
    <row r="36630" spans="1:6" x14ac:dyDescent="0.25">
      <c r="A36630"/>
      <c r="B36630"/>
      <c r="C36630"/>
      <c r="E36630"/>
      <c r="F36630"/>
    </row>
    <row r="36631" spans="1:6" x14ac:dyDescent="0.25">
      <c r="A36631"/>
      <c r="B36631"/>
      <c r="C36631"/>
      <c r="E36631"/>
      <c r="F36631"/>
    </row>
    <row r="36632" spans="1:6" x14ac:dyDescent="0.25">
      <c r="A36632"/>
      <c r="B36632"/>
      <c r="C36632"/>
      <c r="E36632"/>
      <c r="F36632"/>
    </row>
    <row r="36633" spans="1:6" x14ac:dyDescent="0.25">
      <c r="A36633"/>
      <c r="B36633"/>
      <c r="C36633"/>
      <c r="E36633"/>
      <c r="F36633"/>
    </row>
    <row r="36634" spans="1:6" x14ac:dyDescent="0.25">
      <c r="A36634"/>
      <c r="B36634"/>
      <c r="C36634"/>
      <c r="E36634"/>
      <c r="F36634"/>
    </row>
    <row r="36635" spans="1:6" x14ac:dyDescent="0.25">
      <c r="A36635"/>
      <c r="B36635"/>
      <c r="C36635"/>
      <c r="E36635"/>
      <c r="F36635"/>
    </row>
    <row r="36636" spans="1:6" x14ac:dyDescent="0.25">
      <c r="A36636"/>
      <c r="B36636"/>
      <c r="C36636"/>
      <c r="E36636"/>
      <c r="F36636"/>
    </row>
    <row r="36637" spans="1:6" x14ac:dyDescent="0.25">
      <c r="A36637"/>
      <c r="B36637"/>
      <c r="C36637"/>
      <c r="E36637"/>
      <c r="F36637"/>
    </row>
    <row r="36638" spans="1:6" x14ac:dyDescent="0.25">
      <c r="A36638"/>
      <c r="B36638"/>
      <c r="C36638"/>
      <c r="E36638"/>
      <c r="F36638"/>
    </row>
    <row r="36639" spans="1:6" x14ac:dyDescent="0.25">
      <c r="A36639"/>
      <c r="B36639"/>
      <c r="C36639"/>
      <c r="E36639"/>
      <c r="F36639"/>
    </row>
    <row r="36640" spans="1:6" x14ac:dyDescent="0.25">
      <c r="A36640"/>
      <c r="B36640"/>
      <c r="C36640"/>
      <c r="E36640"/>
      <c r="F36640"/>
    </row>
    <row r="36641" spans="1:6" x14ac:dyDescent="0.25">
      <c r="A36641"/>
      <c r="B36641"/>
      <c r="C36641"/>
      <c r="E36641"/>
      <c r="F36641"/>
    </row>
    <row r="36642" spans="1:6" x14ac:dyDescent="0.25">
      <c r="A36642"/>
      <c r="B36642"/>
      <c r="C36642"/>
      <c r="E36642"/>
      <c r="F36642"/>
    </row>
    <row r="36643" spans="1:6" x14ac:dyDescent="0.25">
      <c r="A36643"/>
      <c r="B36643"/>
      <c r="C36643"/>
      <c r="E36643"/>
      <c r="F36643"/>
    </row>
    <row r="36644" spans="1:6" x14ac:dyDescent="0.25">
      <c r="A36644"/>
      <c r="B36644"/>
      <c r="C36644"/>
      <c r="E36644"/>
      <c r="F36644"/>
    </row>
    <row r="36645" spans="1:6" x14ac:dyDescent="0.25">
      <c r="A36645"/>
      <c r="B36645"/>
      <c r="C36645"/>
      <c r="E36645"/>
      <c r="F36645"/>
    </row>
    <row r="36646" spans="1:6" x14ac:dyDescent="0.25">
      <c r="A36646"/>
      <c r="B36646"/>
      <c r="C36646"/>
      <c r="E36646"/>
      <c r="F36646"/>
    </row>
    <row r="36647" spans="1:6" x14ac:dyDescent="0.25">
      <c r="A36647"/>
      <c r="B36647"/>
      <c r="C36647"/>
      <c r="E36647"/>
      <c r="F36647"/>
    </row>
    <row r="36648" spans="1:6" x14ac:dyDescent="0.25">
      <c r="A36648"/>
      <c r="B36648"/>
      <c r="C36648"/>
      <c r="E36648"/>
      <c r="F36648"/>
    </row>
    <row r="36649" spans="1:6" x14ac:dyDescent="0.25">
      <c r="A36649"/>
      <c r="B36649"/>
      <c r="C36649"/>
      <c r="E36649"/>
      <c r="F36649"/>
    </row>
    <row r="36650" spans="1:6" x14ac:dyDescent="0.25">
      <c r="A36650"/>
      <c r="B36650"/>
      <c r="C36650"/>
      <c r="E36650"/>
      <c r="F36650"/>
    </row>
    <row r="36651" spans="1:6" x14ac:dyDescent="0.25">
      <c r="A36651"/>
      <c r="B36651"/>
      <c r="C36651"/>
      <c r="E36651"/>
      <c r="F36651"/>
    </row>
    <row r="36652" spans="1:6" x14ac:dyDescent="0.25">
      <c r="A36652"/>
      <c r="B36652"/>
      <c r="C36652"/>
      <c r="E36652"/>
      <c r="F36652"/>
    </row>
    <row r="36653" spans="1:6" x14ac:dyDescent="0.25">
      <c r="A36653"/>
      <c r="B36653"/>
      <c r="C36653"/>
      <c r="E36653"/>
      <c r="F36653"/>
    </row>
    <row r="36654" spans="1:6" x14ac:dyDescent="0.25">
      <c r="A36654"/>
      <c r="B36654"/>
      <c r="C36654"/>
      <c r="E36654"/>
      <c r="F36654"/>
    </row>
    <row r="36655" spans="1:6" x14ac:dyDescent="0.25">
      <c r="A36655"/>
      <c r="B36655"/>
      <c r="C36655"/>
      <c r="E36655"/>
      <c r="F36655"/>
    </row>
    <row r="36656" spans="1:6" x14ac:dyDescent="0.25">
      <c r="A36656"/>
      <c r="B36656"/>
      <c r="C36656"/>
      <c r="E36656"/>
      <c r="F36656"/>
    </row>
    <row r="36657" spans="1:6" x14ac:dyDescent="0.25">
      <c r="A36657"/>
      <c r="B36657"/>
      <c r="C36657"/>
      <c r="E36657"/>
      <c r="F36657"/>
    </row>
    <row r="36658" spans="1:6" x14ac:dyDescent="0.25">
      <c r="A36658"/>
      <c r="B36658"/>
      <c r="C36658"/>
      <c r="E36658"/>
      <c r="F36658"/>
    </row>
    <row r="36659" spans="1:6" x14ac:dyDescent="0.25">
      <c r="A36659"/>
      <c r="B36659"/>
      <c r="C36659"/>
      <c r="E36659"/>
      <c r="F36659"/>
    </row>
    <row r="36660" spans="1:6" x14ac:dyDescent="0.25">
      <c r="A36660"/>
      <c r="B36660"/>
      <c r="C36660"/>
      <c r="E36660"/>
      <c r="F36660"/>
    </row>
    <row r="36661" spans="1:6" x14ac:dyDescent="0.25">
      <c r="A36661"/>
      <c r="B36661"/>
      <c r="C36661"/>
      <c r="E36661"/>
      <c r="F36661"/>
    </row>
    <row r="36662" spans="1:6" x14ac:dyDescent="0.25">
      <c r="A36662"/>
      <c r="B36662"/>
      <c r="C36662"/>
      <c r="E36662"/>
      <c r="F36662"/>
    </row>
    <row r="36663" spans="1:6" x14ac:dyDescent="0.25">
      <c r="A36663"/>
      <c r="B36663"/>
      <c r="C36663"/>
      <c r="E36663"/>
      <c r="F36663"/>
    </row>
    <row r="36664" spans="1:6" x14ac:dyDescent="0.25">
      <c r="A36664"/>
      <c r="B36664"/>
      <c r="C36664"/>
      <c r="E36664"/>
      <c r="F36664"/>
    </row>
    <row r="36665" spans="1:6" x14ac:dyDescent="0.25">
      <c r="A36665"/>
      <c r="B36665"/>
      <c r="C36665"/>
      <c r="E36665"/>
      <c r="F36665"/>
    </row>
    <row r="36666" spans="1:6" x14ac:dyDescent="0.25">
      <c r="A36666"/>
      <c r="B36666"/>
      <c r="C36666"/>
      <c r="E36666"/>
      <c r="F36666"/>
    </row>
    <row r="36667" spans="1:6" x14ac:dyDescent="0.25">
      <c r="A36667"/>
      <c r="B36667"/>
      <c r="C36667"/>
      <c r="E36667"/>
      <c r="F36667"/>
    </row>
    <row r="36668" spans="1:6" x14ac:dyDescent="0.25">
      <c r="A36668"/>
      <c r="B36668"/>
      <c r="C36668"/>
      <c r="E36668"/>
      <c r="F36668"/>
    </row>
    <row r="36669" spans="1:6" x14ac:dyDescent="0.25">
      <c r="A36669"/>
      <c r="B36669"/>
      <c r="C36669"/>
      <c r="E36669"/>
      <c r="F36669"/>
    </row>
    <row r="36670" spans="1:6" x14ac:dyDescent="0.25">
      <c r="A36670"/>
      <c r="B36670"/>
      <c r="C36670"/>
      <c r="E36670"/>
      <c r="F36670"/>
    </row>
    <row r="36671" spans="1:6" x14ac:dyDescent="0.25">
      <c r="A36671"/>
      <c r="B36671"/>
      <c r="C36671"/>
      <c r="E36671"/>
      <c r="F36671"/>
    </row>
    <row r="36672" spans="1:6" x14ac:dyDescent="0.25">
      <c r="A36672"/>
      <c r="B36672"/>
      <c r="C36672"/>
      <c r="E36672"/>
      <c r="F36672"/>
    </row>
    <row r="36673" spans="1:6" x14ac:dyDescent="0.25">
      <c r="A36673"/>
      <c r="B36673"/>
      <c r="C36673"/>
      <c r="E36673"/>
      <c r="F36673"/>
    </row>
    <row r="36674" spans="1:6" x14ac:dyDescent="0.25">
      <c r="A36674"/>
      <c r="B36674"/>
      <c r="C36674"/>
      <c r="E36674"/>
      <c r="F36674"/>
    </row>
    <row r="36675" spans="1:6" x14ac:dyDescent="0.25">
      <c r="A36675"/>
      <c r="B36675"/>
      <c r="C36675"/>
      <c r="E36675"/>
      <c r="F36675"/>
    </row>
    <row r="36676" spans="1:6" x14ac:dyDescent="0.25">
      <c r="A36676"/>
      <c r="B36676"/>
      <c r="C36676"/>
      <c r="E36676"/>
      <c r="F36676"/>
    </row>
    <row r="36677" spans="1:6" x14ac:dyDescent="0.25">
      <c r="A36677"/>
      <c r="B36677"/>
      <c r="C36677"/>
      <c r="E36677"/>
      <c r="F36677"/>
    </row>
    <row r="36678" spans="1:6" x14ac:dyDescent="0.25">
      <c r="A36678"/>
      <c r="B36678"/>
      <c r="C36678"/>
      <c r="E36678"/>
      <c r="F36678"/>
    </row>
    <row r="36679" spans="1:6" x14ac:dyDescent="0.25">
      <c r="A36679"/>
      <c r="B36679"/>
      <c r="C36679"/>
      <c r="E36679"/>
      <c r="F36679"/>
    </row>
    <row r="36680" spans="1:6" x14ac:dyDescent="0.25">
      <c r="A36680"/>
      <c r="B36680"/>
      <c r="C36680"/>
      <c r="E36680"/>
      <c r="F36680"/>
    </row>
    <row r="36681" spans="1:6" x14ac:dyDescent="0.25">
      <c r="A36681"/>
      <c r="B36681"/>
      <c r="C36681"/>
      <c r="E36681"/>
      <c r="F36681"/>
    </row>
    <row r="36682" spans="1:6" x14ac:dyDescent="0.25">
      <c r="A36682"/>
      <c r="B36682"/>
      <c r="C36682"/>
      <c r="E36682"/>
      <c r="F36682"/>
    </row>
    <row r="36683" spans="1:6" x14ac:dyDescent="0.25">
      <c r="A36683"/>
      <c r="B36683"/>
      <c r="C36683"/>
      <c r="E36683"/>
      <c r="F36683"/>
    </row>
    <row r="36684" spans="1:6" x14ac:dyDescent="0.25">
      <c r="A36684"/>
      <c r="B36684"/>
      <c r="C36684"/>
      <c r="E36684"/>
      <c r="F36684"/>
    </row>
    <row r="36685" spans="1:6" x14ac:dyDescent="0.25">
      <c r="A36685"/>
      <c r="B36685"/>
      <c r="C36685"/>
      <c r="E36685"/>
      <c r="F36685"/>
    </row>
    <row r="36686" spans="1:6" x14ac:dyDescent="0.25">
      <c r="A36686"/>
      <c r="B36686"/>
      <c r="C36686"/>
      <c r="E36686"/>
      <c r="F36686"/>
    </row>
    <row r="36687" spans="1:6" x14ac:dyDescent="0.25">
      <c r="A36687"/>
      <c r="B36687"/>
      <c r="C36687"/>
      <c r="E36687"/>
      <c r="F36687"/>
    </row>
    <row r="36688" spans="1:6" x14ac:dyDescent="0.25">
      <c r="A36688"/>
      <c r="B36688"/>
      <c r="C36688"/>
      <c r="E36688"/>
      <c r="F36688"/>
    </row>
    <row r="36689" spans="1:6" x14ac:dyDescent="0.25">
      <c r="A36689"/>
      <c r="B36689"/>
      <c r="C36689"/>
      <c r="E36689"/>
      <c r="F36689"/>
    </row>
    <row r="36690" spans="1:6" x14ac:dyDescent="0.25">
      <c r="A36690"/>
      <c r="B36690"/>
      <c r="C36690"/>
      <c r="E36690"/>
      <c r="F36690"/>
    </row>
    <row r="36691" spans="1:6" x14ac:dyDescent="0.25">
      <c r="A36691"/>
      <c r="B36691"/>
      <c r="C36691"/>
      <c r="E36691"/>
      <c r="F36691"/>
    </row>
    <row r="36692" spans="1:6" x14ac:dyDescent="0.25">
      <c r="A36692"/>
      <c r="B36692"/>
      <c r="C36692"/>
      <c r="E36692"/>
      <c r="F36692"/>
    </row>
    <row r="36693" spans="1:6" x14ac:dyDescent="0.25">
      <c r="A36693"/>
      <c r="B36693"/>
      <c r="C36693"/>
      <c r="E36693"/>
      <c r="F36693"/>
    </row>
    <row r="36694" spans="1:6" x14ac:dyDescent="0.25">
      <c r="A36694"/>
      <c r="B36694"/>
      <c r="C36694"/>
      <c r="E36694"/>
      <c r="F36694"/>
    </row>
    <row r="36695" spans="1:6" x14ac:dyDescent="0.25">
      <c r="A36695"/>
      <c r="B36695"/>
      <c r="C36695"/>
      <c r="E36695"/>
      <c r="F36695"/>
    </row>
    <row r="36696" spans="1:6" x14ac:dyDescent="0.25">
      <c r="A36696"/>
      <c r="B36696"/>
      <c r="C36696"/>
      <c r="E36696"/>
      <c r="F36696"/>
    </row>
    <row r="36697" spans="1:6" x14ac:dyDescent="0.25">
      <c r="A36697"/>
      <c r="B36697"/>
      <c r="C36697"/>
      <c r="E36697"/>
      <c r="F36697"/>
    </row>
    <row r="36698" spans="1:6" x14ac:dyDescent="0.25">
      <c r="A36698"/>
      <c r="B36698"/>
      <c r="C36698"/>
      <c r="E36698"/>
      <c r="F36698"/>
    </row>
    <row r="36699" spans="1:6" x14ac:dyDescent="0.25">
      <c r="A36699"/>
      <c r="B36699"/>
      <c r="C36699"/>
      <c r="E36699"/>
      <c r="F36699"/>
    </row>
    <row r="36700" spans="1:6" x14ac:dyDescent="0.25">
      <c r="A36700"/>
      <c r="B36700"/>
      <c r="C36700"/>
      <c r="E36700"/>
      <c r="F36700"/>
    </row>
    <row r="36701" spans="1:6" x14ac:dyDescent="0.25">
      <c r="A36701"/>
      <c r="B36701"/>
      <c r="C36701"/>
      <c r="E36701"/>
      <c r="F36701"/>
    </row>
    <row r="36702" spans="1:6" x14ac:dyDescent="0.25">
      <c r="A36702"/>
      <c r="B36702"/>
      <c r="C36702"/>
      <c r="E36702"/>
      <c r="F36702"/>
    </row>
    <row r="36703" spans="1:6" x14ac:dyDescent="0.25">
      <c r="A36703"/>
      <c r="B36703"/>
      <c r="C36703"/>
      <c r="E36703"/>
      <c r="F36703"/>
    </row>
    <row r="36704" spans="1:6" x14ac:dyDescent="0.25">
      <c r="A36704"/>
      <c r="B36704"/>
      <c r="C36704"/>
      <c r="E36704"/>
      <c r="F36704"/>
    </row>
    <row r="36705" spans="1:6" x14ac:dyDescent="0.25">
      <c r="A36705"/>
      <c r="B36705"/>
      <c r="C36705"/>
      <c r="E36705"/>
      <c r="F36705"/>
    </row>
    <row r="36706" spans="1:6" x14ac:dyDescent="0.25">
      <c r="A36706"/>
      <c r="B36706"/>
      <c r="C36706"/>
      <c r="E36706"/>
      <c r="F36706"/>
    </row>
    <row r="36707" spans="1:6" x14ac:dyDescent="0.25">
      <c r="A36707"/>
      <c r="B36707"/>
      <c r="C36707"/>
      <c r="E36707"/>
      <c r="F36707"/>
    </row>
    <row r="36708" spans="1:6" x14ac:dyDescent="0.25">
      <c r="A36708"/>
      <c r="B36708"/>
      <c r="C36708"/>
      <c r="E36708"/>
      <c r="F36708"/>
    </row>
    <row r="36709" spans="1:6" x14ac:dyDescent="0.25">
      <c r="A36709"/>
      <c r="B36709"/>
      <c r="C36709"/>
      <c r="E36709"/>
      <c r="F36709"/>
    </row>
    <row r="36710" spans="1:6" x14ac:dyDescent="0.25">
      <c r="A36710"/>
      <c r="B36710"/>
      <c r="C36710"/>
      <c r="E36710"/>
      <c r="F36710"/>
    </row>
    <row r="36711" spans="1:6" x14ac:dyDescent="0.25">
      <c r="A36711"/>
      <c r="B36711"/>
      <c r="C36711"/>
      <c r="E36711"/>
      <c r="F36711"/>
    </row>
    <row r="36712" spans="1:6" x14ac:dyDescent="0.25">
      <c r="A36712"/>
      <c r="B36712"/>
      <c r="C36712"/>
      <c r="E36712"/>
      <c r="F36712"/>
    </row>
    <row r="36713" spans="1:6" x14ac:dyDescent="0.25">
      <c r="A36713"/>
      <c r="B36713"/>
      <c r="C36713"/>
      <c r="E36713"/>
      <c r="F36713"/>
    </row>
    <row r="36714" spans="1:6" x14ac:dyDescent="0.25">
      <c r="A36714"/>
      <c r="B36714"/>
      <c r="C36714"/>
      <c r="E36714"/>
      <c r="F36714"/>
    </row>
    <row r="36715" spans="1:6" x14ac:dyDescent="0.25">
      <c r="A36715"/>
      <c r="B36715"/>
      <c r="C36715"/>
      <c r="E36715"/>
      <c r="F36715"/>
    </row>
    <row r="36716" spans="1:6" x14ac:dyDescent="0.25">
      <c r="A36716"/>
      <c r="B36716"/>
      <c r="C36716"/>
      <c r="E36716"/>
      <c r="F36716"/>
    </row>
    <row r="36717" spans="1:6" x14ac:dyDescent="0.25">
      <c r="A36717"/>
      <c r="B36717"/>
      <c r="C36717"/>
      <c r="E36717"/>
      <c r="F36717"/>
    </row>
    <row r="36718" spans="1:6" x14ac:dyDescent="0.25">
      <c r="A36718"/>
      <c r="B36718"/>
      <c r="C36718"/>
      <c r="E36718"/>
      <c r="F36718"/>
    </row>
    <row r="36719" spans="1:6" x14ac:dyDescent="0.25">
      <c r="A36719"/>
      <c r="B36719"/>
      <c r="C36719"/>
      <c r="E36719"/>
      <c r="F36719"/>
    </row>
    <row r="36720" spans="1:6" x14ac:dyDescent="0.25">
      <c r="A36720"/>
      <c r="B36720"/>
      <c r="C36720"/>
      <c r="E36720"/>
      <c r="F36720"/>
    </row>
    <row r="36721" spans="1:6" x14ac:dyDescent="0.25">
      <c r="A36721"/>
      <c r="B36721"/>
      <c r="C36721"/>
      <c r="E36721"/>
      <c r="F36721"/>
    </row>
    <row r="36722" spans="1:6" x14ac:dyDescent="0.25">
      <c r="A36722"/>
      <c r="B36722"/>
      <c r="C36722"/>
      <c r="E36722"/>
      <c r="F36722"/>
    </row>
    <row r="36723" spans="1:6" x14ac:dyDescent="0.25">
      <c r="A36723"/>
      <c r="B36723"/>
      <c r="C36723"/>
      <c r="E36723"/>
      <c r="F36723"/>
    </row>
    <row r="36724" spans="1:6" x14ac:dyDescent="0.25">
      <c r="A36724"/>
      <c r="B36724"/>
      <c r="C36724"/>
      <c r="E36724"/>
      <c r="F36724"/>
    </row>
    <row r="36725" spans="1:6" x14ac:dyDescent="0.25">
      <c r="A36725"/>
      <c r="B36725"/>
      <c r="C36725"/>
      <c r="E36725"/>
      <c r="F36725"/>
    </row>
    <row r="36726" spans="1:6" x14ac:dyDescent="0.25">
      <c r="A36726"/>
      <c r="B36726"/>
      <c r="C36726"/>
      <c r="E36726"/>
      <c r="F36726"/>
    </row>
    <row r="36727" spans="1:6" x14ac:dyDescent="0.25">
      <c r="A36727"/>
      <c r="B36727"/>
      <c r="C36727"/>
      <c r="E36727"/>
      <c r="F36727"/>
    </row>
    <row r="36728" spans="1:6" x14ac:dyDescent="0.25">
      <c r="A36728"/>
      <c r="B36728"/>
      <c r="C36728"/>
      <c r="E36728"/>
      <c r="F36728"/>
    </row>
    <row r="36729" spans="1:6" x14ac:dyDescent="0.25">
      <c r="A36729"/>
      <c r="B36729"/>
      <c r="C36729"/>
      <c r="E36729"/>
      <c r="F36729"/>
    </row>
    <row r="36730" spans="1:6" x14ac:dyDescent="0.25">
      <c r="A36730"/>
      <c r="B36730"/>
      <c r="C36730"/>
      <c r="E36730"/>
      <c r="F36730"/>
    </row>
    <row r="36731" spans="1:6" x14ac:dyDescent="0.25">
      <c r="A36731"/>
      <c r="B36731"/>
      <c r="C36731"/>
      <c r="E36731"/>
      <c r="F36731"/>
    </row>
    <row r="36732" spans="1:6" x14ac:dyDescent="0.25">
      <c r="A36732"/>
      <c r="B36732"/>
      <c r="C36732"/>
      <c r="E36732"/>
      <c r="F36732"/>
    </row>
    <row r="36733" spans="1:6" x14ac:dyDescent="0.25">
      <c r="A36733"/>
      <c r="B36733"/>
      <c r="C36733"/>
      <c r="E36733"/>
      <c r="F36733"/>
    </row>
    <row r="36734" spans="1:6" x14ac:dyDescent="0.25">
      <c r="A36734"/>
      <c r="B36734"/>
      <c r="C36734"/>
      <c r="E36734"/>
      <c r="F36734"/>
    </row>
    <row r="36735" spans="1:6" x14ac:dyDescent="0.25">
      <c r="A36735"/>
      <c r="B36735"/>
      <c r="C36735"/>
      <c r="E36735"/>
      <c r="F36735"/>
    </row>
    <row r="36736" spans="1:6" x14ac:dyDescent="0.25">
      <c r="A36736"/>
      <c r="B36736"/>
      <c r="C36736"/>
      <c r="E36736"/>
      <c r="F36736"/>
    </row>
    <row r="36737" spans="1:6" x14ac:dyDescent="0.25">
      <c r="A36737"/>
      <c r="B36737"/>
      <c r="C36737"/>
      <c r="E36737"/>
      <c r="F36737"/>
    </row>
    <row r="36738" spans="1:6" x14ac:dyDescent="0.25">
      <c r="A36738"/>
      <c r="B36738"/>
      <c r="C36738"/>
      <c r="E36738"/>
      <c r="F36738"/>
    </row>
    <row r="36739" spans="1:6" x14ac:dyDescent="0.25">
      <c r="A36739"/>
      <c r="B36739"/>
      <c r="C36739"/>
      <c r="E36739"/>
      <c r="F36739"/>
    </row>
    <row r="36740" spans="1:6" x14ac:dyDescent="0.25">
      <c r="A36740"/>
      <c r="B36740"/>
      <c r="C36740"/>
      <c r="E36740"/>
      <c r="F36740"/>
    </row>
    <row r="36741" spans="1:6" x14ac:dyDescent="0.25">
      <c r="A36741"/>
      <c r="B36741"/>
      <c r="C36741"/>
      <c r="E36741"/>
      <c r="F36741"/>
    </row>
    <row r="36742" spans="1:6" x14ac:dyDescent="0.25">
      <c r="A36742"/>
      <c r="B36742"/>
      <c r="C36742"/>
      <c r="E36742"/>
      <c r="F36742"/>
    </row>
    <row r="36743" spans="1:6" x14ac:dyDescent="0.25">
      <c r="A36743"/>
      <c r="B36743"/>
      <c r="C36743"/>
      <c r="E36743"/>
      <c r="F36743"/>
    </row>
    <row r="36744" spans="1:6" x14ac:dyDescent="0.25">
      <c r="A36744"/>
      <c r="B36744"/>
      <c r="C36744"/>
      <c r="E36744"/>
      <c r="F36744"/>
    </row>
    <row r="36745" spans="1:6" x14ac:dyDescent="0.25">
      <c r="A36745"/>
      <c r="B36745"/>
      <c r="C36745"/>
      <c r="E36745"/>
      <c r="F36745"/>
    </row>
    <row r="36746" spans="1:6" x14ac:dyDescent="0.25">
      <c r="A36746"/>
      <c r="B36746"/>
      <c r="C36746"/>
      <c r="E36746"/>
      <c r="F36746"/>
    </row>
    <row r="36747" spans="1:6" x14ac:dyDescent="0.25">
      <c r="A36747"/>
      <c r="B36747"/>
      <c r="C36747"/>
      <c r="E36747"/>
      <c r="F36747"/>
    </row>
    <row r="36748" spans="1:6" x14ac:dyDescent="0.25">
      <c r="A36748"/>
      <c r="B36748"/>
      <c r="C36748"/>
      <c r="E36748"/>
      <c r="F36748"/>
    </row>
    <row r="36749" spans="1:6" x14ac:dyDescent="0.25">
      <c r="A36749"/>
      <c r="B36749"/>
      <c r="C36749"/>
      <c r="E36749"/>
      <c r="F36749"/>
    </row>
    <row r="36750" spans="1:6" x14ac:dyDescent="0.25">
      <c r="A36750"/>
      <c r="B36750"/>
      <c r="C36750"/>
      <c r="E36750"/>
      <c r="F36750"/>
    </row>
    <row r="36751" spans="1:6" x14ac:dyDescent="0.25">
      <c r="A36751"/>
      <c r="B36751"/>
      <c r="C36751"/>
      <c r="E36751"/>
      <c r="F36751"/>
    </row>
    <row r="36752" spans="1:6" x14ac:dyDescent="0.25">
      <c r="A36752"/>
      <c r="B36752"/>
      <c r="C36752"/>
      <c r="E36752"/>
      <c r="F36752"/>
    </row>
    <row r="36753" spans="1:6" x14ac:dyDescent="0.25">
      <c r="A36753"/>
      <c r="B36753"/>
      <c r="C36753"/>
      <c r="E36753"/>
      <c r="F36753"/>
    </row>
    <row r="36754" spans="1:6" x14ac:dyDescent="0.25">
      <c r="A36754"/>
      <c r="B36754"/>
      <c r="C36754"/>
      <c r="E36754"/>
      <c r="F36754"/>
    </row>
    <row r="36755" spans="1:6" x14ac:dyDescent="0.25">
      <c r="A36755"/>
      <c r="B36755"/>
      <c r="C36755"/>
      <c r="E36755"/>
      <c r="F36755"/>
    </row>
    <row r="36756" spans="1:6" x14ac:dyDescent="0.25">
      <c r="A36756"/>
      <c r="B36756"/>
      <c r="C36756"/>
      <c r="E36756"/>
      <c r="F36756"/>
    </row>
    <row r="36757" spans="1:6" x14ac:dyDescent="0.25">
      <c r="A36757"/>
      <c r="B36757"/>
      <c r="C36757"/>
      <c r="E36757"/>
      <c r="F36757"/>
    </row>
    <row r="36758" spans="1:6" x14ac:dyDescent="0.25">
      <c r="A36758"/>
      <c r="B36758"/>
      <c r="C36758"/>
      <c r="E36758"/>
      <c r="F36758"/>
    </row>
    <row r="36759" spans="1:6" x14ac:dyDescent="0.25">
      <c r="A36759"/>
      <c r="B36759"/>
      <c r="C36759"/>
      <c r="E36759"/>
      <c r="F36759"/>
    </row>
    <row r="36760" spans="1:6" x14ac:dyDescent="0.25">
      <c r="A36760"/>
      <c r="B36760"/>
      <c r="C36760"/>
      <c r="E36760"/>
      <c r="F36760"/>
    </row>
    <row r="36761" spans="1:6" x14ac:dyDescent="0.25">
      <c r="A36761"/>
      <c r="B36761"/>
      <c r="C36761"/>
      <c r="E36761"/>
      <c r="F36761"/>
    </row>
    <row r="36762" spans="1:6" x14ac:dyDescent="0.25">
      <c r="A36762"/>
      <c r="B36762"/>
      <c r="C36762"/>
      <c r="E36762"/>
      <c r="F36762"/>
    </row>
    <row r="36763" spans="1:6" x14ac:dyDescent="0.25">
      <c r="A36763"/>
      <c r="B36763"/>
      <c r="C36763"/>
      <c r="E36763"/>
      <c r="F36763"/>
    </row>
    <row r="36764" spans="1:6" x14ac:dyDescent="0.25">
      <c r="A36764"/>
      <c r="B36764"/>
      <c r="C36764"/>
      <c r="E36764"/>
      <c r="F36764"/>
    </row>
    <row r="36765" spans="1:6" x14ac:dyDescent="0.25">
      <c r="A36765"/>
      <c r="B36765"/>
      <c r="C36765"/>
      <c r="E36765"/>
      <c r="F36765"/>
    </row>
    <row r="36766" spans="1:6" x14ac:dyDescent="0.25">
      <c r="A36766"/>
      <c r="B36766"/>
      <c r="C36766"/>
      <c r="E36766"/>
      <c r="F36766"/>
    </row>
    <row r="36767" spans="1:6" x14ac:dyDescent="0.25">
      <c r="A36767"/>
      <c r="B36767"/>
      <c r="C36767"/>
      <c r="E36767"/>
      <c r="F36767"/>
    </row>
    <row r="36768" spans="1:6" x14ac:dyDescent="0.25">
      <c r="A36768"/>
      <c r="B36768"/>
      <c r="C36768"/>
      <c r="E36768"/>
      <c r="F36768"/>
    </row>
    <row r="36769" spans="1:6" x14ac:dyDescent="0.25">
      <c r="A36769"/>
      <c r="B36769"/>
      <c r="C36769"/>
      <c r="E36769"/>
      <c r="F36769"/>
    </row>
    <row r="36770" spans="1:6" x14ac:dyDescent="0.25">
      <c r="A36770"/>
      <c r="B36770"/>
      <c r="C36770"/>
      <c r="E36770"/>
      <c r="F36770"/>
    </row>
    <row r="36771" spans="1:6" x14ac:dyDescent="0.25">
      <c r="A36771"/>
      <c r="B36771"/>
      <c r="C36771"/>
      <c r="E36771"/>
      <c r="F36771"/>
    </row>
    <row r="36772" spans="1:6" x14ac:dyDescent="0.25">
      <c r="A36772"/>
      <c r="B36772"/>
      <c r="C36772"/>
      <c r="E36772"/>
      <c r="F36772"/>
    </row>
    <row r="36773" spans="1:6" x14ac:dyDescent="0.25">
      <c r="A36773"/>
      <c r="B36773"/>
      <c r="C36773"/>
      <c r="E36773"/>
      <c r="F36773"/>
    </row>
    <row r="36774" spans="1:6" x14ac:dyDescent="0.25">
      <c r="A36774"/>
      <c r="B36774"/>
      <c r="C36774"/>
      <c r="E36774"/>
      <c r="F36774"/>
    </row>
    <row r="36775" spans="1:6" x14ac:dyDescent="0.25">
      <c r="A36775"/>
      <c r="B36775"/>
      <c r="C36775"/>
      <c r="E36775"/>
      <c r="F36775"/>
    </row>
    <row r="36776" spans="1:6" x14ac:dyDescent="0.25">
      <c r="A36776"/>
      <c r="B36776"/>
      <c r="C36776"/>
      <c r="E36776"/>
      <c r="F36776"/>
    </row>
    <row r="36777" spans="1:6" x14ac:dyDescent="0.25">
      <c r="A36777"/>
      <c r="B36777"/>
      <c r="C36777"/>
      <c r="E36777"/>
      <c r="F36777"/>
    </row>
    <row r="36778" spans="1:6" x14ac:dyDescent="0.25">
      <c r="A36778"/>
      <c r="B36778"/>
      <c r="C36778"/>
      <c r="E36778"/>
      <c r="F36778"/>
    </row>
    <row r="36779" spans="1:6" x14ac:dyDescent="0.25">
      <c r="A36779"/>
      <c r="B36779"/>
      <c r="C36779"/>
      <c r="E36779"/>
      <c r="F36779"/>
    </row>
    <row r="36780" spans="1:6" x14ac:dyDescent="0.25">
      <c r="A36780"/>
      <c r="B36780"/>
      <c r="C36780"/>
      <c r="E36780"/>
      <c r="F36780"/>
    </row>
    <row r="36781" spans="1:6" x14ac:dyDescent="0.25">
      <c r="A36781"/>
      <c r="B36781"/>
      <c r="C36781"/>
      <c r="E36781"/>
      <c r="F36781"/>
    </row>
    <row r="36782" spans="1:6" x14ac:dyDescent="0.25">
      <c r="A36782"/>
      <c r="B36782"/>
      <c r="C36782"/>
      <c r="E36782"/>
      <c r="F36782"/>
    </row>
    <row r="36783" spans="1:6" x14ac:dyDescent="0.25">
      <c r="A36783"/>
      <c r="B36783"/>
      <c r="C36783"/>
      <c r="E36783"/>
      <c r="F36783"/>
    </row>
    <row r="36784" spans="1:6" x14ac:dyDescent="0.25">
      <c r="A36784"/>
      <c r="B36784"/>
      <c r="C36784"/>
      <c r="E36784"/>
      <c r="F36784"/>
    </row>
    <row r="36785" spans="1:6" x14ac:dyDescent="0.25">
      <c r="A36785"/>
      <c r="B36785"/>
      <c r="C36785"/>
      <c r="E36785"/>
      <c r="F36785"/>
    </row>
    <row r="36786" spans="1:6" x14ac:dyDescent="0.25">
      <c r="A36786"/>
      <c r="B36786"/>
      <c r="C36786"/>
      <c r="E36786"/>
      <c r="F36786"/>
    </row>
    <row r="36787" spans="1:6" x14ac:dyDescent="0.25">
      <c r="A36787"/>
      <c r="B36787"/>
      <c r="C36787"/>
      <c r="E36787"/>
      <c r="F36787"/>
    </row>
    <row r="36788" spans="1:6" x14ac:dyDescent="0.25">
      <c r="A36788"/>
      <c r="B36788"/>
      <c r="C36788"/>
      <c r="E36788"/>
      <c r="F36788"/>
    </row>
    <row r="36789" spans="1:6" x14ac:dyDescent="0.25">
      <c r="A36789"/>
      <c r="B36789"/>
      <c r="C36789"/>
      <c r="E36789"/>
      <c r="F36789"/>
    </row>
    <row r="36790" spans="1:6" x14ac:dyDescent="0.25">
      <c r="A36790"/>
      <c r="B36790"/>
      <c r="C36790"/>
      <c r="E36790"/>
      <c r="F36790"/>
    </row>
    <row r="36791" spans="1:6" x14ac:dyDescent="0.25">
      <c r="A36791"/>
      <c r="B36791"/>
      <c r="C36791"/>
      <c r="E36791"/>
      <c r="F36791"/>
    </row>
    <row r="36792" spans="1:6" x14ac:dyDescent="0.25">
      <c r="A36792"/>
      <c r="B36792"/>
      <c r="C36792"/>
      <c r="E36792"/>
      <c r="F36792"/>
    </row>
    <row r="36793" spans="1:6" x14ac:dyDescent="0.25">
      <c r="A36793"/>
      <c r="B36793"/>
      <c r="C36793"/>
      <c r="E36793"/>
      <c r="F36793"/>
    </row>
    <row r="36794" spans="1:6" x14ac:dyDescent="0.25">
      <c r="A36794"/>
      <c r="B36794"/>
      <c r="C36794"/>
      <c r="E36794"/>
      <c r="F36794"/>
    </row>
    <row r="36795" spans="1:6" x14ac:dyDescent="0.25">
      <c r="A36795"/>
      <c r="B36795"/>
      <c r="C36795"/>
      <c r="E36795"/>
      <c r="F36795"/>
    </row>
    <row r="36796" spans="1:6" x14ac:dyDescent="0.25">
      <c r="A36796"/>
      <c r="B36796"/>
      <c r="C36796"/>
      <c r="E36796"/>
      <c r="F36796"/>
    </row>
    <row r="36797" spans="1:6" x14ac:dyDescent="0.25">
      <c r="A36797"/>
      <c r="B36797"/>
      <c r="C36797"/>
      <c r="E36797"/>
      <c r="F36797"/>
    </row>
    <row r="36798" spans="1:6" x14ac:dyDescent="0.25">
      <c r="A36798"/>
      <c r="B36798"/>
      <c r="C36798"/>
      <c r="E36798"/>
      <c r="F36798"/>
    </row>
    <row r="36799" spans="1:6" x14ac:dyDescent="0.25">
      <c r="A36799"/>
      <c r="B36799"/>
      <c r="C36799"/>
      <c r="E36799"/>
      <c r="F36799"/>
    </row>
    <row r="36800" spans="1:6" x14ac:dyDescent="0.25">
      <c r="A36800"/>
      <c r="B36800"/>
      <c r="C36800"/>
      <c r="E36800"/>
      <c r="F36800"/>
    </row>
    <row r="36801" spans="1:6" x14ac:dyDescent="0.25">
      <c r="A36801"/>
      <c r="B36801"/>
      <c r="C36801"/>
      <c r="E36801"/>
      <c r="F36801"/>
    </row>
    <row r="36802" spans="1:6" x14ac:dyDescent="0.25">
      <c r="A36802"/>
      <c r="B36802"/>
      <c r="C36802"/>
      <c r="E36802"/>
      <c r="F36802"/>
    </row>
    <row r="36803" spans="1:6" x14ac:dyDescent="0.25">
      <c r="A36803"/>
      <c r="B36803"/>
      <c r="C36803"/>
      <c r="E36803"/>
      <c r="F36803"/>
    </row>
    <row r="36804" spans="1:6" x14ac:dyDescent="0.25">
      <c r="A36804"/>
      <c r="B36804"/>
      <c r="C36804"/>
      <c r="E36804"/>
      <c r="F36804"/>
    </row>
    <row r="36805" spans="1:6" x14ac:dyDescent="0.25">
      <c r="A36805"/>
      <c r="B36805"/>
      <c r="C36805"/>
      <c r="E36805"/>
      <c r="F36805"/>
    </row>
    <row r="36806" spans="1:6" x14ac:dyDescent="0.25">
      <c r="A36806"/>
      <c r="B36806"/>
      <c r="C36806"/>
      <c r="E36806"/>
      <c r="F36806"/>
    </row>
    <row r="36807" spans="1:6" x14ac:dyDescent="0.25">
      <c r="A36807"/>
      <c r="B36807"/>
      <c r="C36807"/>
      <c r="E36807"/>
      <c r="F36807"/>
    </row>
    <row r="36808" spans="1:6" x14ac:dyDescent="0.25">
      <c r="A36808"/>
      <c r="B36808"/>
      <c r="C36808"/>
      <c r="E36808"/>
      <c r="F36808"/>
    </row>
    <row r="36809" spans="1:6" x14ac:dyDescent="0.25">
      <c r="A36809"/>
      <c r="B36809"/>
      <c r="C36809"/>
      <c r="E36809"/>
      <c r="F36809"/>
    </row>
    <row r="36810" spans="1:6" x14ac:dyDescent="0.25">
      <c r="A36810"/>
      <c r="B36810"/>
      <c r="C36810"/>
      <c r="E36810"/>
      <c r="F36810"/>
    </row>
    <row r="36811" spans="1:6" x14ac:dyDescent="0.25">
      <c r="A36811"/>
      <c r="B36811"/>
      <c r="C36811"/>
      <c r="E36811"/>
      <c r="F36811"/>
    </row>
    <row r="36812" spans="1:6" x14ac:dyDescent="0.25">
      <c r="A36812"/>
      <c r="B36812"/>
      <c r="C36812"/>
      <c r="E36812"/>
      <c r="F36812"/>
    </row>
    <row r="36813" spans="1:6" x14ac:dyDescent="0.25">
      <c r="A36813"/>
      <c r="B36813"/>
      <c r="C36813"/>
      <c r="E36813"/>
      <c r="F36813"/>
    </row>
    <row r="36814" spans="1:6" x14ac:dyDescent="0.25">
      <c r="A36814"/>
      <c r="B36814"/>
      <c r="C36814"/>
      <c r="E36814"/>
      <c r="F36814"/>
    </row>
    <row r="36815" spans="1:6" x14ac:dyDescent="0.25">
      <c r="A36815"/>
      <c r="B36815"/>
      <c r="C36815"/>
      <c r="E36815"/>
      <c r="F36815"/>
    </row>
    <row r="36816" spans="1:6" x14ac:dyDescent="0.25">
      <c r="A36816"/>
      <c r="B36816"/>
      <c r="C36816"/>
      <c r="E36816"/>
      <c r="F36816"/>
    </row>
    <row r="36817" spans="1:6" x14ac:dyDescent="0.25">
      <c r="A36817"/>
      <c r="B36817"/>
      <c r="C36817"/>
      <c r="E36817"/>
      <c r="F36817"/>
    </row>
    <row r="36818" spans="1:6" x14ac:dyDescent="0.25">
      <c r="A36818"/>
      <c r="B36818"/>
      <c r="C36818"/>
      <c r="E36818"/>
      <c r="F36818"/>
    </row>
    <row r="36819" spans="1:6" x14ac:dyDescent="0.25">
      <c r="A36819"/>
      <c r="B36819"/>
      <c r="C36819"/>
      <c r="E36819"/>
      <c r="F36819"/>
    </row>
    <row r="36820" spans="1:6" x14ac:dyDescent="0.25">
      <c r="A36820"/>
      <c r="B36820"/>
      <c r="C36820"/>
      <c r="E36820"/>
      <c r="F36820"/>
    </row>
    <row r="36821" spans="1:6" x14ac:dyDescent="0.25">
      <c r="A36821"/>
      <c r="B36821"/>
      <c r="C36821"/>
      <c r="E36821"/>
      <c r="F36821"/>
    </row>
    <row r="36822" spans="1:6" x14ac:dyDescent="0.25">
      <c r="A36822"/>
      <c r="B36822"/>
      <c r="C36822"/>
      <c r="E36822"/>
      <c r="F36822"/>
    </row>
    <row r="36823" spans="1:6" x14ac:dyDescent="0.25">
      <c r="A36823"/>
      <c r="B36823"/>
      <c r="C36823"/>
      <c r="E36823"/>
      <c r="F36823"/>
    </row>
    <row r="36824" spans="1:6" x14ac:dyDescent="0.25">
      <c r="A36824"/>
      <c r="B36824"/>
      <c r="C36824"/>
      <c r="E36824"/>
      <c r="F36824"/>
    </row>
    <row r="36825" spans="1:6" x14ac:dyDescent="0.25">
      <c r="A36825"/>
      <c r="B36825"/>
      <c r="C36825"/>
      <c r="E36825"/>
      <c r="F36825"/>
    </row>
    <row r="36826" spans="1:6" x14ac:dyDescent="0.25">
      <c r="A36826"/>
      <c r="B36826"/>
      <c r="C36826"/>
      <c r="E36826"/>
      <c r="F36826"/>
    </row>
    <row r="36827" spans="1:6" x14ac:dyDescent="0.25">
      <c r="A36827"/>
      <c r="B36827"/>
      <c r="C36827"/>
      <c r="E36827"/>
      <c r="F36827"/>
    </row>
    <row r="36828" spans="1:6" x14ac:dyDescent="0.25">
      <c r="A36828"/>
      <c r="B36828"/>
      <c r="C36828"/>
      <c r="E36828"/>
      <c r="F36828"/>
    </row>
    <row r="36829" spans="1:6" x14ac:dyDescent="0.25">
      <c r="A36829"/>
      <c r="B36829"/>
      <c r="C36829"/>
      <c r="E36829"/>
      <c r="F36829"/>
    </row>
    <row r="36830" spans="1:6" x14ac:dyDescent="0.25">
      <c r="A36830"/>
      <c r="B36830"/>
      <c r="C36830"/>
      <c r="E36830"/>
      <c r="F36830"/>
    </row>
    <row r="36831" spans="1:6" x14ac:dyDescent="0.25">
      <c r="A36831"/>
      <c r="B36831"/>
      <c r="C36831"/>
      <c r="E36831"/>
      <c r="F36831"/>
    </row>
    <row r="36832" spans="1:6" x14ac:dyDescent="0.25">
      <c r="A36832"/>
      <c r="B36832"/>
      <c r="C36832"/>
      <c r="E36832"/>
      <c r="F36832"/>
    </row>
    <row r="36833" spans="1:6" x14ac:dyDescent="0.25">
      <c r="A36833"/>
      <c r="B36833"/>
      <c r="C36833"/>
      <c r="E36833"/>
      <c r="F36833"/>
    </row>
    <row r="36834" spans="1:6" x14ac:dyDescent="0.25">
      <c r="A36834"/>
      <c r="B36834"/>
      <c r="C36834"/>
      <c r="E36834"/>
      <c r="F36834"/>
    </row>
    <row r="36835" spans="1:6" x14ac:dyDescent="0.25">
      <c r="A36835"/>
      <c r="B36835"/>
      <c r="C36835"/>
      <c r="E36835"/>
      <c r="F36835"/>
    </row>
    <row r="36836" spans="1:6" x14ac:dyDescent="0.25">
      <c r="A36836"/>
      <c r="B36836"/>
      <c r="C36836"/>
      <c r="E36836"/>
      <c r="F36836"/>
    </row>
    <row r="36837" spans="1:6" x14ac:dyDescent="0.25">
      <c r="A36837"/>
      <c r="B36837"/>
      <c r="C36837"/>
      <c r="E36837"/>
      <c r="F36837"/>
    </row>
    <row r="36838" spans="1:6" x14ac:dyDescent="0.25">
      <c r="A36838"/>
      <c r="B36838"/>
      <c r="C36838"/>
      <c r="E36838"/>
      <c r="F36838"/>
    </row>
    <row r="36839" spans="1:6" x14ac:dyDescent="0.25">
      <c r="A36839"/>
      <c r="B36839"/>
      <c r="C36839"/>
      <c r="E36839"/>
      <c r="F36839"/>
    </row>
    <row r="36840" spans="1:6" x14ac:dyDescent="0.25">
      <c r="A36840"/>
      <c r="B36840"/>
      <c r="C36840"/>
      <c r="E36840"/>
      <c r="F36840"/>
    </row>
    <row r="36841" spans="1:6" x14ac:dyDescent="0.25">
      <c r="A36841"/>
      <c r="B36841"/>
      <c r="C36841"/>
      <c r="E36841"/>
      <c r="F36841"/>
    </row>
    <row r="36842" spans="1:6" x14ac:dyDescent="0.25">
      <c r="A36842"/>
      <c r="B36842"/>
      <c r="C36842"/>
      <c r="E36842"/>
      <c r="F36842"/>
    </row>
    <row r="36843" spans="1:6" x14ac:dyDescent="0.25">
      <c r="A36843"/>
      <c r="B36843"/>
      <c r="C36843"/>
      <c r="E36843"/>
      <c r="F36843"/>
    </row>
    <row r="36844" spans="1:6" x14ac:dyDescent="0.25">
      <c r="A36844"/>
      <c r="B36844"/>
      <c r="C36844"/>
      <c r="E36844"/>
      <c r="F36844"/>
    </row>
    <row r="36845" spans="1:6" x14ac:dyDescent="0.25">
      <c r="A36845"/>
      <c r="B36845"/>
      <c r="C36845"/>
      <c r="E36845"/>
      <c r="F36845"/>
    </row>
    <row r="36846" spans="1:6" x14ac:dyDescent="0.25">
      <c r="A36846"/>
      <c r="B36846"/>
      <c r="C36846"/>
      <c r="E36846"/>
      <c r="F36846"/>
    </row>
    <row r="36847" spans="1:6" x14ac:dyDescent="0.25">
      <c r="A36847"/>
      <c r="B36847"/>
      <c r="C36847"/>
      <c r="E36847"/>
      <c r="F36847"/>
    </row>
    <row r="36848" spans="1:6" x14ac:dyDescent="0.25">
      <c r="A36848"/>
      <c r="B36848"/>
      <c r="C36848"/>
      <c r="E36848"/>
      <c r="F36848"/>
    </row>
    <row r="36849" spans="1:6" x14ac:dyDescent="0.25">
      <c r="A36849"/>
      <c r="B36849"/>
      <c r="C36849"/>
      <c r="E36849"/>
      <c r="F36849"/>
    </row>
    <row r="36850" spans="1:6" x14ac:dyDescent="0.25">
      <c r="A36850"/>
      <c r="B36850"/>
      <c r="C36850"/>
      <c r="E36850"/>
      <c r="F36850"/>
    </row>
    <row r="36851" spans="1:6" x14ac:dyDescent="0.25">
      <c r="A36851"/>
      <c r="B36851"/>
      <c r="C36851"/>
      <c r="E36851"/>
      <c r="F36851"/>
    </row>
    <row r="36852" spans="1:6" x14ac:dyDescent="0.25">
      <c r="A36852"/>
      <c r="B36852"/>
      <c r="C36852"/>
      <c r="E36852"/>
      <c r="F36852"/>
    </row>
    <row r="36853" spans="1:6" x14ac:dyDescent="0.25">
      <c r="A36853"/>
      <c r="B36853"/>
      <c r="C36853"/>
      <c r="E36853"/>
      <c r="F36853"/>
    </row>
    <row r="36854" spans="1:6" x14ac:dyDescent="0.25">
      <c r="A36854"/>
      <c r="B36854"/>
      <c r="C36854"/>
      <c r="E36854"/>
      <c r="F36854"/>
    </row>
    <row r="36855" spans="1:6" x14ac:dyDescent="0.25">
      <c r="A36855"/>
      <c r="B36855"/>
      <c r="C36855"/>
      <c r="E36855"/>
      <c r="F36855"/>
    </row>
    <row r="36856" spans="1:6" x14ac:dyDescent="0.25">
      <c r="A36856"/>
      <c r="B36856"/>
      <c r="C36856"/>
      <c r="E36856"/>
      <c r="F36856"/>
    </row>
    <row r="36857" spans="1:6" x14ac:dyDescent="0.25">
      <c r="A36857"/>
      <c r="B36857"/>
      <c r="C36857"/>
      <c r="E36857"/>
      <c r="F36857"/>
    </row>
    <row r="36858" spans="1:6" x14ac:dyDescent="0.25">
      <c r="A36858"/>
      <c r="B36858"/>
      <c r="C36858"/>
      <c r="E36858"/>
      <c r="F36858"/>
    </row>
    <row r="36859" spans="1:6" x14ac:dyDescent="0.25">
      <c r="A36859"/>
      <c r="B36859"/>
      <c r="C36859"/>
      <c r="E36859"/>
      <c r="F36859"/>
    </row>
    <row r="36860" spans="1:6" x14ac:dyDescent="0.25">
      <c r="A36860"/>
      <c r="B36860"/>
      <c r="C36860"/>
      <c r="E36860"/>
      <c r="F36860"/>
    </row>
    <row r="36861" spans="1:6" x14ac:dyDescent="0.25">
      <c r="A36861"/>
      <c r="B36861"/>
      <c r="C36861"/>
      <c r="E36861"/>
      <c r="F36861"/>
    </row>
    <row r="36862" spans="1:6" x14ac:dyDescent="0.25">
      <c r="A36862"/>
      <c r="B36862"/>
      <c r="C36862"/>
      <c r="E36862"/>
      <c r="F36862"/>
    </row>
    <row r="36863" spans="1:6" x14ac:dyDescent="0.25">
      <c r="A36863"/>
      <c r="B36863"/>
      <c r="C36863"/>
      <c r="E36863"/>
      <c r="F36863"/>
    </row>
    <row r="36864" spans="1:6" x14ac:dyDescent="0.25">
      <c r="A36864"/>
      <c r="B36864"/>
      <c r="C36864"/>
      <c r="E36864"/>
      <c r="F36864"/>
    </row>
    <row r="36865" spans="1:6" x14ac:dyDescent="0.25">
      <c r="A36865"/>
      <c r="B36865"/>
      <c r="C36865"/>
      <c r="E36865"/>
      <c r="F36865"/>
    </row>
    <row r="36866" spans="1:6" x14ac:dyDescent="0.25">
      <c r="A36866"/>
      <c r="B36866"/>
      <c r="C36866"/>
      <c r="E36866"/>
      <c r="F36866"/>
    </row>
    <row r="36867" spans="1:6" x14ac:dyDescent="0.25">
      <c r="A36867"/>
      <c r="B36867"/>
      <c r="C36867"/>
      <c r="E36867"/>
      <c r="F36867"/>
    </row>
    <row r="36868" spans="1:6" x14ac:dyDescent="0.25">
      <c r="A36868"/>
      <c r="B36868"/>
      <c r="C36868"/>
      <c r="E36868"/>
      <c r="F36868"/>
    </row>
    <row r="36869" spans="1:6" x14ac:dyDescent="0.25">
      <c r="A36869"/>
      <c r="B36869"/>
      <c r="C36869"/>
      <c r="E36869"/>
      <c r="F36869"/>
    </row>
    <row r="36870" spans="1:6" x14ac:dyDescent="0.25">
      <c r="A36870"/>
      <c r="B36870"/>
      <c r="C36870"/>
      <c r="E36870"/>
      <c r="F36870"/>
    </row>
    <row r="36871" spans="1:6" x14ac:dyDescent="0.25">
      <c r="A36871"/>
      <c r="B36871"/>
      <c r="C36871"/>
      <c r="E36871"/>
      <c r="F36871"/>
    </row>
    <row r="36872" spans="1:6" x14ac:dyDescent="0.25">
      <c r="A36872"/>
      <c r="B36872"/>
      <c r="C36872"/>
      <c r="E36872"/>
      <c r="F36872"/>
    </row>
    <row r="36873" spans="1:6" x14ac:dyDescent="0.25">
      <c r="A36873"/>
      <c r="B36873"/>
      <c r="C36873"/>
      <c r="E36873"/>
      <c r="F36873"/>
    </row>
    <row r="36874" spans="1:6" x14ac:dyDescent="0.25">
      <c r="A36874"/>
      <c r="B36874"/>
      <c r="C36874"/>
      <c r="E36874"/>
      <c r="F36874"/>
    </row>
    <row r="36875" spans="1:6" x14ac:dyDescent="0.25">
      <c r="A36875"/>
      <c r="B36875"/>
      <c r="C36875"/>
      <c r="E36875"/>
      <c r="F36875"/>
    </row>
    <row r="36876" spans="1:6" x14ac:dyDescent="0.25">
      <c r="A36876"/>
      <c r="B36876"/>
      <c r="C36876"/>
      <c r="E36876"/>
      <c r="F36876"/>
    </row>
    <row r="36877" spans="1:6" x14ac:dyDescent="0.25">
      <c r="A36877"/>
      <c r="B36877"/>
      <c r="C36877"/>
      <c r="E36877"/>
      <c r="F36877"/>
    </row>
    <row r="36878" spans="1:6" x14ac:dyDescent="0.25">
      <c r="A36878"/>
      <c r="B36878"/>
      <c r="C36878"/>
      <c r="E36878"/>
      <c r="F36878"/>
    </row>
    <row r="36879" spans="1:6" x14ac:dyDescent="0.25">
      <c r="A36879"/>
      <c r="B36879"/>
      <c r="C36879"/>
      <c r="E36879"/>
      <c r="F36879"/>
    </row>
    <row r="36880" spans="1:6" x14ac:dyDescent="0.25">
      <c r="A36880"/>
      <c r="B36880"/>
      <c r="C36880"/>
      <c r="E36880"/>
      <c r="F36880"/>
    </row>
    <row r="36881" spans="1:6" x14ac:dyDescent="0.25">
      <c r="A36881"/>
      <c r="B36881"/>
      <c r="C36881"/>
      <c r="E36881"/>
      <c r="F36881"/>
    </row>
    <row r="36882" spans="1:6" x14ac:dyDescent="0.25">
      <c r="A36882"/>
      <c r="B36882"/>
      <c r="C36882"/>
      <c r="E36882"/>
      <c r="F36882"/>
    </row>
    <row r="36883" spans="1:6" x14ac:dyDescent="0.25">
      <c r="A36883"/>
      <c r="B36883"/>
      <c r="C36883"/>
      <c r="E36883"/>
      <c r="F36883"/>
    </row>
    <row r="36884" spans="1:6" x14ac:dyDescent="0.25">
      <c r="A36884"/>
      <c r="B36884"/>
      <c r="C36884"/>
      <c r="E36884"/>
      <c r="F36884"/>
    </row>
    <row r="36885" spans="1:6" x14ac:dyDescent="0.25">
      <c r="A36885"/>
      <c r="B36885"/>
      <c r="C36885"/>
      <c r="E36885"/>
      <c r="F36885"/>
    </row>
    <row r="36886" spans="1:6" x14ac:dyDescent="0.25">
      <c r="A36886"/>
      <c r="B36886"/>
      <c r="C36886"/>
      <c r="E36886"/>
      <c r="F36886"/>
    </row>
    <row r="36887" spans="1:6" x14ac:dyDescent="0.25">
      <c r="A36887"/>
      <c r="B36887"/>
      <c r="C36887"/>
      <c r="E36887"/>
      <c r="F36887"/>
    </row>
    <row r="36888" spans="1:6" x14ac:dyDescent="0.25">
      <c r="A36888"/>
      <c r="B36888"/>
      <c r="C36888"/>
      <c r="E36888"/>
      <c r="F36888"/>
    </row>
    <row r="36889" spans="1:6" x14ac:dyDescent="0.25">
      <c r="A36889"/>
      <c r="B36889"/>
      <c r="C36889"/>
      <c r="E36889"/>
      <c r="F36889"/>
    </row>
    <row r="36890" spans="1:6" x14ac:dyDescent="0.25">
      <c r="A36890"/>
      <c r="B36890"/>
      <c r="C36890"/>
      <c r="E36890"/>
      <c r="F36890"/>
    </row>
    <row r="36891" spans="1:6" x14ac:dyDescent="0.25">
      <c r="A36891"/>
      <c r="B36891"/>
      <c r="C36891"/>
      <c r="E36891"/>
      <c r="F36891"/>
    </row>
    <row r="36892" spans="1:6" x14ac:dyDescent="0.25">
      <c r="A36892"/>
      <c r="B36892"/>
      <c r="C36892"/>
      <c r="E36892"/>
      <c r="F36892"/>
    </row>
    <row r="36893" spans="1:6" x14ac:dyDescent="0.25">
      <c r="A36893"/>
      <c r="B36893"/>
      <c r="C36893"/>
      <c r="E36893"/>
      <c r="F36893"/>
    </row>
    <row r="36894" spans="1:6" x14ac:dyDescent="0.25">
      <c r="A36894"/>
      <c r="B36894"/>
      <c r="C36894"/>
      <c r="E36894"/>
      <c r="F36894"/>
    </row>
    <row r="36895" spans="1:6" x14ac:dyDescent="0.25">
      <c r="A36895"/>
      <c r="B36895"/>
      <c r="C36895"/>
      <c r="E36895"/>
      <c r="F36895"/>
    </row>
    <row r="36896" spans="1:6" x14ac:dyDescent="0.25">
      <c r="A36896"/>
      <c r="B36896"/>
      <c r="C36896"/>
      <c r="E36896"/>
      <c r="F36896"/>
    </row>
    <row r="36897" spans="1:6" x14ac:dyDescent="0.25">
      <c r="A36897"/>
      <c r="B36897"/>
      <c r="C36897"/>
      <c r="E36897"/>
      <c r="F36897"/>
    </row>
    <row r="36898" spans="1:6" x14ac:dyDescent="0.25">
      <c r="A36898"/>
      <c r="B36898"/>
      <c r="C36898"/>
      <c r="E36898"/>
      <c r="F36898"/>
    </row>
    <row r="36899" spans="1:6" x14ac:dyDescent="0.25">
      <c r="A36899"/>
      <c r="B36899"/>
      <c r="C36899"/>
      <c r="E36899"/>
      <c r="F36899"/>
    </row>
    <row r="36900" spans="1:6" x14ac:dyDescent="0.25">
      <c r="A36900"/>
      <c r="B36900"/>
      <c r="C36900"/>
      <c r="E36900"/>
      <c r="F36900"/>
    </row>
    <row r="36901" spans="1:6" x14ac:dyDescent="0.25">
      <c r="A36901"/>
      <c r="B36901"/>
      <c r="C36901"/>
      <c r="E36901"/>
      <c r="F36901"/>
    </row>
    <row r="36902" spans="1:6" x14ac:dyDescent="0.25">
      <c r="A36902"/>
      <c r="B36902"/>
      <c r="C36902"/>
      <c r="E36902"/>
      <c r="F36902"/>
    </row>
    <row r="36903" spans="1:6" x14ac:dyDescent="0.25">
      <c r="A36903"/>
      <c r="B36903"/>
      <c r="C36903"/>
      <c r="E36903"/>
      <c r="F36903"/>
    </row>
    <row r="36904" spans="1:6" x14ac:dyDescent="0.25">
      <c r="A36904"/>
      <c r="B36904"/>
      <c r="C36904"/>
      <c r="E36904"/>
      <c r="F36904"/>
    </row>
    <row r="36905" spans="1:6" x14ac:dyDescent="0.25">
      <c r="A36905"/>
      <c r="B36905"/>
      <c r="C36905"/>
      <c r="E36905"/>
      <c r="F36905"/>
    </row>
    <row r="36906" spans="1:6" x14ac:dyDescent="0.25">
      <c r="A36906"/>
      <c r="B36906"/>
      <c r="C36906"/>
      <c r="E36906"/>
      <c r="F36906"/>
    </row>
    <row r="36907" spans="1:6" x14ac:dyDescent="0.25">
      <c r="A36907"/>
      <c r="B36907"/>
      <c r="C36907"/>
      <c r="E36907"/>
      <c r="F36907"/>
    </row>
    <row r="36908" spans="1:6" x14ac:dyDescent="0.25">
      <c r="A36908"/>
      <c r="B36908"/>
      <c r="C36908"/>
      <c r="E36908"/>
      <c r="F36908"/>
    </row>
    <row r="36909" spans="1:6" x14ac:dyDescent="0.25">
      <c r="A36909"/>
      <c r="B36909"/>
      <c r="C36909"/>
      <c r="E36909"/>
      <c r="F36909"/>
    </row>
    <row r="36910" spans="1:6" x14ac:dyDescent="0.25">
      <c r="A36910"/>
      <c r="B36910"/>
      <c r="C36910"/>
      <c r="E36910"/>
      <c r="F36910"/>
    </row>
    <row r="36911" spans="1:6" x14ac:dyDescent="0.25">
      <c r="A36911"/>
      <c r="B36911"/>
      <c r="C36911"/>
      <c r="E36911"/>
      <c r="F36911"/>
    </row>
    <row r="36912" spans="1:6" x14ac:dyDescent="0.25">
      <c r="A36912"/>
      <c r="B36912"/>
      <c r="C36912"/>
      <c r="E36912"/>
      <c r="F36912"/>
    </row>
    <row r="36913" spans="1:6" x14ac:dyDescent="0.25">
      <c r="A36913"/>
      <c r="B36913"/>
      <c r="C36913"/>
      <c r="E36913"/>
      <c r="F36913"/>
    </row>
    <row r="36914" spans="1:6" x14ac:dyDescent="0.25">
      <c r="A36914"/>
      <c r="B36914"/>
      <c r="C36914"/>
      <c r="E36914"/>
      <c r="F36914"/>
    </row>
    <row r="36915" spans="1:6" x14ac:dyDescent="0.25">
      <c r="A36915"/>
      <c r="B36915"/>
      <c r="C36915"/>
      <c r="E36915"/>
      <c r="F36915"/>
    </row>
    <row r="36916" spans="1:6" x14ac:dyDescent="0.25">
      <c r="A36916"/>
      <c r="B36916"/>
      <c r="C36916"/>
      <c r="E36916"/>
      <c r="F36916"/>
    </row>
    <row r="36917" spans="1:6" x14ac:dyDescent="0.25">
      <c r="A36917"/>
      <c r="B36917"/>
      <c r="C36917"/>
      <c r="E36917"/>
      <c r="F36917"/>
    </row>
    <row r="36918" spans="1:6" x14ac:dyDescent="0.25">
      <c r="A36918"/>
      <c r="B36918"/>
      <c r="C36918"/>
      <c r="E36918"/>
      <c r="F36918"/>
    </row>
    <row r="36919" spans="1:6" x14ac:dyDescent="0.25">
      <c r="A36919"/>
      <c r="B36919"/>
      <c r="C36919"/>
      <c r="E36919"/>
      <c r="F36919"/>
    </row>
    <row r="36920" spans="1:6" x14ac:dyDescent="0.25">
      <c r="A36920"/>
      <c r="B36920"/>
      <c r="C36920"/>
      <c r="E36920"/>
      <c r="F36920"/>
    </row>
    <row r="36921" spans="1:6" x14ac:dyDescent="0.25">
      <c r="A36921"/>
      <c r="B36921"/>
      <c r="C36921"/>
      <c r="E36921"/>
      <c r="F36921"/>
    </row>
    <row r="36922" spans="1:6" x14ac:dyDescent="0.25">
      <c r="A36922"/>
      <c r="B36922"/>
      <c r="C36922"/>
      <c r="E36922"/>
      <c r="F36922"/>
    </row>
    <row r="36923" spans="1:6" x14ac:dyDescent="0.25">
      <c r="A36923"/>
      <c r="B36923"/>
      <c r="C36923"/>
      <c r="E36923"/>
      <c r="F36923"/>
    </row>
    <row r="36924" spans="1:6" x14ac:dyDescent="0.25">
      <c r="A36924"/>
      <c r="B36924"/>
      <c r="C36924"/>
      <c r="E36924"/>
      <c r="F36924"/>
    </row>
    <row r="36925" spans="1:6" x14ac:dyDescent="0.25">
      <c r="A36925"/>
      <c r="B36925"/>
      <c r="C36925"/>
      <c r="E36925"/>
      <c r="F36925"/>
    </row>
    <row r="36926" spans="1:6" x14ac:dyDescent="0.25">
      <c r="A36926"/>
      <c r="B36926"/>
      <c r="C36926"/>
      <c r="E36926"/>
      <c r="F36926"/>
    </row>
    <row r="36927" spans="1:6" x14ac:dyDescent="0.25">
      <c r="A36927"/>
      <c r="B36927"/>
      <c r="C36927"/>
      <c r="E36927"/>
      <c r="F36927"/>
    </row>
    <row r="36928" spans="1:6" x14ac:dyDescent="0.25">
      <c r="A36928"/>
      <c r="B36928"/>
      <c r="C36928"/>
      <c r="E36928"/>
      <c r="F36928"/>
    </row>
    <row r="36929" spans="1:6" x14ac:dyDescent="0.25">
      <c r="A36929"/>
      <c r="B36929"/>
      <c r="C36929"/>
      <c r="E36929"/>
      <c r="F36929"/>
    </row>
    <row r="36930" spans="1:6" x14ac:dyDescent="0.25">
      <c r="A36930"/>
      <c r="B36930"/>
      <c r="C36930"/>
      <c r="E36930"/>
      <c r="F36930"/>
    </row>
    <row r="36931" spans="1:6" x14ac:dyDescent="0.25">
      <c r="A36931"/>
      <c r="B36931"/>
      <c r="C36931"/>
      <c r="E36931"/>
      <c r="F36931"/>
    </row>
    <row r="36932" spans="1:6" x14ac:dyDescent="0.25">
      <c r="A36932"/>
      <c r="B36932"/>
      <c r="C36932"/>
      <c r="E36932"/>
      <c r="F36932"/>
    </row>
    <row r="36933" spans="1:6" x14ac:dyDescent="0.25">
      <c r="A36933"/>
      <c r="B36933"/>
      <c r="C36933"/>
      <c r="E36933"/>
      <c r="F36933"/>
    </row>
    <row r="36934" spans="1:6" x14ac:dyDescent="0.25">
      <c r="A36934"/>
      <c r="B36934"/>
      <c r="C36934"/>
      <c r="E36934"/>
      <c r="F36934"/>
    </row>
    <row r="36935" spans="1:6" x14ac:dyDescent="0.25">
      <c r="A36935"/>
      <c r="B36935"/>
      <c r="C36935"/>
      <c r="E36935"/>
      <c r="F36935"/>
    </row>
    <row r="36936" spans="1:6" x14ac:dyDescent="0.25">
      <c r="A36936"/>
      <c r="B36936"/>
      <c r="C36936"/>
      <c r="E36936"/>
      <c r="F36936"/>
    </row>
    <row r="36937" spans="1:6" x14ac:dyDescent="0.25">
      <c r="A36937"/>
      <c r="B36937"/>
      <c r="C36937"/>
      <c r="E36937"/>
      <c r="F36937"/>
    </row>
    <row r="36938" spans="1:6" x14ac:dyDescent="0.25">
      <c r="A36938"/>
      <c r="B36938"/>
      <c r="C36938"/>
      <c r="E36938"/>
      <c r="F36938"/>
    </row>
    <row r="36939" spans="1:6" x14ac:dyDescent="0.25">
      <c r="A36939"/>
      <c r="B36939"/>
      <c r="C36939"/>
      <c r="E36939"/>
      <c r="F36939"/>
    </row>
    <row r="36940" spans="1:6" x14ac:dyDescent="0.25">
      <c r="A36940"/>
      <c r="B36940"/>
      <c r="C36940"/>
      <c r="E36940"/>
      <c r="F36940"/>
    </row>
    <row r="36941" spans="1:6" x14ac:dyDescent="0.25">
      <c r="A36941"/>
      <c r="B36941"/>
      <c r="C36941"/>
      <c r="E36941"/>
      <c r="F36941"/>
    </row>
    <row r="36942" spans="1:6" x14ac:dyDescent="0.25">
      <c r="A36942"/>
      <c r="B36942"/>
      <c r="C36942"/>
      <c r="E36942"/>
      <c r="F36942"/>
    </row>
    <row r="36943" spans="1:6" x14ac:dyDescent="0.25">
      <c r="A36943"/>
      <c r="B36943"/>
      <c r="C36943"/>
      <c r="E36943"/>
      <c r="F36943"/>
    </row>
    <row r="36944" spans="1:6" x14ac:dyDescent="0.25">
      <c r="A36944"/>
      <c r="B36944"/>
      <c r="C36944"/>
      <c r="E36944"/>
      <c r="F36944"/>
    </row>
    <row r="36945" spans="1:6" x14ac:dyDescent="0.25">
      <c r="A36945"/>
      <c r="B36945"/>
      <c r="C36945"/>
      <c r="E36945"/>
      <c r="F36945"/>
    </row>
    <row r="36946" spans="1:6" x14ac:dyDescent="0.25">
      <c r="A36946"/>
      <c r="B36946"/>
      <c r="C36946"/>
      <c r="E36946"/>
      <c r="F36946"/>
    </row>
    <row r="36947" spans="1:6" x14ac:dyDescent="0.25">
      <c r="A36947"/>
      <c r="B36947"/>
      <c r="C36947"/>
      <c r="E36947"/>
      <c r="F36947"/>
    </row>
    <row r="36948" spans="1:6" x14ac:dyDescent="0.25">
      <c r="A36948"/>
      <c r="B36948"/>
      <c r="C36948"/>
      <c r="E36948"/>
      <c r="F36948"/>
    </row>
    <row r="36949" spans="1:6" x14ac:dyDescent="0.25">
      <c r="A36949"/>
      <c r="B36949"/>
      <c r="C36949"/>
      <c r="E36949"/>
      <c r="F36949"/>
    </row>
    <row r="36950" spans="1:6" x14ac:dyDescent="0.25">
      <c r="A36950"/>
      <c r="B36950"/>
      <c r="C36950"/>
      <c r="E36950"/>
      <c r="F36950"/>
    </row>
    <row r="36951" spans="1:6" x14ac:dyDescent="0.25">
      <c r="A36951"/>
      <c r="B36951"/>
      <c r="C36951"/>
      <c r="E36951"/>
      <c r="F36951"/>
    </row>
    <row r="36952" spans="1:6" x14ac:dyDescent="0.25">
      <c r="A36952"/>
      <c r="B36952"/>
      <c r="C36952"/>
      <c r="E36952"/>
      <c r="F36952"/>
    </row>
    <row r="36953" spans="1:6" x14ac:dyDescent="0.25">
      <c r="A36953"/>
      <c r="B36953"/>
      <c r="C36953"/>
      <c r="E36953"/>
      <c r="F36953"/>
    </row>
    <row r="36954" spans="1:6" x14ac:dyDescent="0.25">
      <c r="A36954"/>
      <c r="B36954"/>
      <c r="C36954"/>
      <c r="E36954"/>
      <c r="F36954"/>
    </row>
    <row r="36955" spans="1:6" x14ac:dyDescent="0.25">
      <c r="A36955"/>
      <c r="B36955"/>
      <c r="C36955"/>
      <c r="E36955"/>
      <c r="F36955"/>
    </row>
    <row r="36956" spans="1:6" x14ac:dyDescent="0.25">
      <c r="A36956"/>
      <c r="B36956"/>
      <c r="C36956"/>
      <c r="E36956"/>
      <c r="F36956"/>
    </row>
    <row r="36957" spans="1:6" x14ac:dyDescent="0.25">
      <c r="A36957"/>
      <c r="B36957"/>
      <c r="C36957"/>
      <c r="E36957"/>
      <c r="F36957"/>
    </row>
    <row r="36958" spans="1:6" x14ac:dyDescent="0.25">
      <c r="A36958"/>
      <c r="B36958"/>
      <c r="C36958"/>
      <c r="E36958"/>
      <c r="F36958"/>
    </row>
    <row r="36959" spans="1:6" x14ac:dyDescent="0.25">
      <c r="A36959"/>
      <c r="B36959"/>
      <c r="C36959"/>
      <c r="E36959"/>
      <c r="F36959"/>
    </row>
    <row r="36960" spans="1:6" x14ac:dyDescent="0.25">
      <c r="A36960"/>
      <c r="B36960"/>
      <c r="C36960"/>
      <c r="E36960"/>
      <c r="F36960"/>
    </row>
    <row r="36961" spans="1:6" x14ac:dyDescent="0.25">
      <c r="A36961"/>
      <c r="B36961"/>
      <c r="C36961"/>
      <c r="E36961"/>
      <c r="F36961"/>
    </row>
    <row r="36962" spans="1:6" x14ac:dyDescent="0.25">
      <c r="A36962"/>
      <c r="B36962"/>
      <c r="C36962"/>
      <c r="E36962"/>
      <c r="F36962"/>
    </row>
    <row r="36963" spans="1:6" x14ac:dyDescent="0.25">
      <c r="A36963"/>
      <c r="B36963"/>
      <c r="C36963"/>
      <c r="E36963"/>
      <c r="F36963"/>
    </row>
    <row r="36964" spans="1:6" x14ac:dyDescent="0.25">
      <c r="A36964"/>
      <c r="B36964"/>
      <c r="C36964"/>
      <c r="E36964"/>
      <c r="F36964"/>
    </row>
    <row r="36965" spans="1:6" x14ac:dyDescent="0.25">
      <c r="A36965"/>
      <c r="B36965"/>
      <c r="C36965"/>
      <c r="E36965"/>
      <c r="F36965"/>
    </row>
    <row r="36966" spans="1:6" x14ac:dyDescent="0.25">
      <c r="A36966"/>
      <c r="B36966"/>
      <c r="C36966"/>
      <c r="E36966"/>
      <c r="F36966"/>
    </row>
    <row r="36967" spans="1:6" x14ac:dyDescent="0.25">
      <c r="A36967"/>
      <c r="B36967"/>
      <c r="C36967"/>
      <c r="E36967"/>
      <c r="F36967"/>
    </row>
    <row r="36968" spans="1:6" x14ac:dyDescent="0.25">
      <c r="A36968"/>
      <c r="B36968"/>
      <c r="C36968"/>
      <c r="E36968"/>
      <c r="F36968"/>
    </row>
    <row r="36969" spans="1:6" x14ac:dyDescent="0.25">
      <c r="A36969"/>
      <c r="B36969"/>
      <c r="C36969"/>
      <c r="E36969"/>
      <c r="F36969"/>
    </row>
    <row r="36970" spans="1:6" x14ac:dyDescent="0.25">
      <c r="A36970"/>
      <c r="B36970"/>
      <c r="C36970"/>
      <c r="E36970"/>
      <c r="F36970"/>
    </row>
    <row r="36971" spans="1:6" x14ac:dyDescent="0.25">
      <c r="A36971"/>
      <c r="B36971"/>
      <c r="C36971"/>
      <c r="E36971"/>
      <c r="F36971"/>
    </row>
    <row r="36972" spans="1:6" x14ac:dyDescent="0.25">
      <c r="A36972"/>
      <c r="B36972"/>
      <c r="C36972"/>
      <c r="E36972"/>
      <c r="F36972"/>
    </row>
    <row r="36973" spans="1:6" x14ac:dyDescent="0.25">
      <c r="A36973"/>
      <c r="B36973"/>
      <c r="C36973"/>
      <c r="E36973"/>
      <c r="F36973"/>
    </row>
    <row r="36974" spans="1:6" x14ac:dyDescent="0.25">
      <c r="A36974"/>
      <c r="B36974"/>
      <c r="C36974"/>
      <c r="E36974"/>
      <c r="F36974"/>
    </row>
    <row r="36975" spans="1:6" x14ac:dyDescent="0.25">
      <c r="A36975"/>
      <c r="B36975"/>
      <c r="C36975"/>
      <c r="E36975"/>
      <c r="F36975"/>
    </row>
    <row r="36976" spans="1:6" x14ac:dyDescent="0.25">
      <c r="A36976"/>
      <c r="B36976"/>
      <c r="C36976"/>
      <c r="E36976"/>
      <c r="F36976"/>
    </row>
    <row r="36977" spans="1:6" x14ac:dyDescent="0.25">
      <c r="A36977"/>
      <c r="B36977"/>
      <c r="C36977"/>
      <c r="E36977"/>
      <c r="F36977"/>
    </row>
    <row r="36978" spans="1:6" x14ac:dyDescent="0.25">
      <c r="A36978"/>
      <c r="B36978"/>
      <c r="C36978"/>
      <c r="E36978"/>
      <c r="F36978"/>
    </row>
    <row r="36979" spans="1:6" x14ac:dyDescent="0.25">
      <c r="A36979"/>
      <c r="B36979"/>
      <c r="C36979"/>
      <c r="E36979"/>
      <c r="F36979"/>
    </row>
    <row r="36980" spans="1:6" x14ac:dyDescent="0.25">
      <c r="A36980"/>
      <c r="B36980"/>
      <c r="C36980"/>
      <c r="E36980"/>
      <c r="F36980"/>
    </row>
    <row r="36981" spans="1:6" x14ac:dyDescent="0.25">
      <c r="A36981"/>
      <c r="B36981"/>
      <c r="C36981"/>
      <c r="E36981"/>
      <c r="F36981"/>
    </row>
    <row r="36982" spans="1:6" x14ac:dyDescent="0.25">
      <c r="A36982"/>
      <c r="B36982"/>
      <c r="C36982"/>
      <c r="E36982"/>
      <c r="F36982"/>
    </row>
    <row r="36983" spans="1:6" x14ac:dyDescent="0.25">
      <c r="A36983"/>
      <c r="B36983"/>
      <c r="C36983"/>
      <c r="E36983"/>
      <c r="F36983"/>
    </row>
    <row r="36984" spans="1:6" x14ac:dyDescent="0.25">
      <c r="A36984"/>
      <c r="B36984"/>
      <c r="C36984"/>
      <c r="E36984"/>
      <c r="F36984"/>
    </row>
    <row r="36985" spans="1:6" x14ac:dyDescent="0.25">
      <c r="A36985"/>
      <c r="B36985"/>
      <c r="C36985"/>
      <c r="E36985"/>
      <c r="F36985"/>
    </row>
    <row r="36986" spans="1:6" x14ac:dyDescent="0.25">
      <c r="A36986"/>
      <c r="B36986"/>
      <c r="C36986"/>
      <c r="E36986"/>
      <c r="F36986"/>
    </row>
    <row r="36987" spans="1:6" x14ac:dyDescent="0.25">
      <c r="A36987"/>
      <c r="B36987"/>
      <c r="C36987"/>
      <c r="E36987"/>
      <c r="F36987"/>
    </row>
    <row r="36988" spans="1:6" x14ac:dyDescent="0.25">
      <c r="A36988"/>
      <c r="B36988"/>
      <c r="C36988"/>
      <c r="E36988"/>
      <c r="F36988"/>
    </row>
    <row r="36989" spans="1:6" x14ac:dyDescent="0.25">
      <c r="A36989"/>
      <c r="B36989"/>
      <c r="C36989"/>
      <c r="E36989"/>
      <c r="F36989"/>
    </row>
    <row r="36990" spans="1:6" x14ac:dyDescent="0.25">
      <c r="A36990"/>
      <c r="B36990"/>
      <c r="C36990"/>
      <c r="E36990"/>
      <c r="F36990"/>
    </row>
    <row r="36991" spans="1:6" x14ac:dyDescent="0.25">
      <c r="A36991"/>
      <c r="B36991"/>
      <c r="C36991"/>
      <c r="E36991"/>
      <c r="F36991"/>
    </row>
    <row r="36992" spans="1:6" x14ac:dyDescent="0.25">
      <c r="A36992"/>
      <c r="B36992"/>
      <c r="C36992"/>
      <c r="E36992"/>
      <c r="F36992"/>
    </row>
    <row r="36993" spans="1:6" x14ac:dyDescent="0.25">
      <c r="A36993"/>
      <c r="B36993"/>
      <c r="C36993"/>
      <c r="E36993"/>
      <c r="F36993"/>
    </row>
    <row r="36994" spans="1:6" x14ac:dyDescent="0.25">
      <c r="A36994"/>
      <c r="B36994"/>
      <c r="C36994"/>
      <c r="E36994"/>
      <c r="F36994"/>
    </row>
    <row r="36995" spans="1:6" x14ac:dyDescent="0.25">
      <c r="A36995"/>
      <c r="B36995"/>
      <c r="C36995"/>
      <c r="E36995"/>
      <c r="F36995"/>
    </row>
    <row r="36996" spans="1:6" x14ac:dyDescent="0.25">
      <c r="A36996"/>
      <c r="B36996"/>
      <c r="C36996"/>
      <c r="E36996"/>
      <c r="F36996"/>
    </row>
    <row r="36997" spans="1:6" x14ac:dyDescent="0.25">
      <c r="A36997"/>
      <c r="B36997"/>
      <c r="C36997"/>
      <c r="E36997"/>
      <c r="F36997"/>
    </row>
    <row r="36998" spans="1:6" x14ac:dyDescent="0.25">
      <c r="A36998"/>
      <c r="B36998"/>
      <c r="C36998"/>
      <c r="E36998"/>
      <c r="F36998"/>
    </row>
    <row r="36999" spans="1:6" x14ac:dyDescent="0.25">
      <c r="A36999"/>
      <c r="B36999"/>
      <c r="C36999"/>
      <c r="E36999"/>
      <c r="F36999"/>
    </row>
    <row r="37000" spans="1:6" x14ac:dyDescent="0.25">
      <c r="A37000"/>
      <c r="B37000"/>
      <c r="C37000"/>
      <c r="E37000"/>
      <c r="F37000"/>
    </row>
    <row r="37001" spans="1:6" x14ac:dyDescent="0.25">
      <c r="A37001"/>
      <c r="B37001"/>
      <c r="C37001"/>
      <c r="E37001"/>
      <c r="F37001"/>
    </row>
    <row r="37002" spans="1:6" x14ac:dyDescent="0.25">
      <c r="A37002"/>
      <c r="B37002"/>
      <c r="C37002"/>
      <c r="E37002"/>
      <c r="F37002"/>
    </row>
    <row r="37003" spans="1:6" x14ac:dyDescent="0.25">
      <c r="A37003"/>
      <c r="B37003"/>
      <c r="C37003"/>
      <c r="E37003"/>
      <c r="F37003"/>
    </row>
    <row r="37004" spans="1:6" x14ac:dyDescent="0.25">
      <c r="A37004"/>
      <c r="B37004"/>
      <c r="C37004"/>
      <c r="E37004"/>
      <c r="F37004"/>
    </row>
    <row r="37005" spans="1:6" x14ac:dyDescent="0.25">
      <c r="A37005"/>
      <c r="B37005"/>
      <c r="C37005"/>
      <c r="E37005"/>
      <c r="F37005"/>
    </row>
    <row r="37006" spans="1:6" x14ac:dyDescent="0.25">
      <c r="A37006"/>
      <c r="B37006"/>
      <c r="C37006"/>
      <c r="E37006"/>
      <c r="F37006"/>
    </row>
    <row r="37007" spans="1:6" x14ac:dyDescent="0.25">
      <c r="A37007"/>
      <c r="B37007"/>
      <c r="C37007"/>
      <c r="E37007"/>
      <c r="F37007"/>
    </row>
    <row r="37008" spans="1:6" x14ac:dyDescent="0.25">
      <c r="A37008"/>
      <c r="B37008"/>
      <c r="C37008"/>
      <c r="E37008"/>
      <c r="F37008"/>
    </row>
    <row r="37009" spans="1:6" x14ac:dyDescent="0.25">
      <c r="A37009"/>
      <c r="B37009"/>
      <c r="C37009"/>
      <c r="E37009"/>
      <c r="F37009"/>
    </row>
    <row r="37010" spans="1:6" x14ac:dyDescent="0.25">
      <c r="A37010"/>
      <c r="B37010"/>
      <c r="C37010"/>
      <c r="E37010"/>
      <c r="F37010"/>
    </row>
    <row r="37011" spans="1:6" x14ac:dyDescent="0.25">
      <c r="A37011"/>
      <c r="B37011"/>
      <c r="C37011"/>
      <c r="E37011"/>
      <c r="F37011"/>
    </row>
    <row r="37012" spans="1:6" x14ac:dyDescent="0.25">
      <c r="A37012"/>
      <c r="B37012"/>
      <c r="C37012"/>
      <c r="E37012"/>
      <c r="F37012"/>
    </row>
    <row r="37013" spans="1:6" x14ac:dyDescent="0.25">
      <c r="A37013"/>
      <c r="B37013"/>
      <c r="C37013"/>
      <c r="E37013"/>
      <c r="F37013"/>
    </row>
    <row r="37014" spans="1:6" x14ac:dyDescent="0.25">
      <c r="A37014"/>
      <c r="B37014"/>
      <c r="C37014"/>
      <c r="E37014"/>
      <c r="F37014"/>
    </row>
    <row r="37015" spans="1:6" x14ac:dyDescent="0.25">
      <c r="A37015"/>
      <c r="B37015"/>
      <c r="C37015"/>
      <c r="E37015"/>
      <c r="F37015"/>
    </row>
    <row r="37016" spans="1:6" x14ac:dyDescent="0.25">
      <c r="A37016"/>
      <c r="B37016"/>
      <c r="C37016"/>
      <c r="E37016"/>
      <c r="F37016"/>
    </row>
    <row r="37017" spans="1:6" x14ac:dyDescent="0.25">
      <c r="A37017"/>
      <c r="B37017"/>
      <c r="C37017"/>
      <c r="E37017"/>
      <c r="F37017"/>
    </row>
    <row r="37018" spans="1:6" x14ac:dyDescent="0.25">
      <c r="A37018"/>
      <c r="B37018"/>
      <c r="C37018"/>
      <c r="E37018"/>
      <c r="F37018"/>
    </row>
    <row r="37019" spans="1:6" x14ac:dyDescent="0.25">
      <c r="A37019"/>
      <c r="B37019"/>
      <c r="C37019"/>
      <c r="E37019"/>
      <c r="F37019"/>
    </row>
    <row r="37020" spans="1:6" x14ac:dyDescent="0.25">
      <c r="A37020"/>
      <c r="B37020"/>
      <c r="C37020"/>
      <c r="E37020"/>
      <c r="F37020"/>
    </row>
    <row r="37021" spans="1:6" x14ac:dyDescent="0.25">
      <c r="A37021"/>
      <c r="B37021"/>
      <c r="C37021"/>
      <c r="E37021"/>
      <c r="F37021"/>
    </row>
    <row r="37022" spans="1:6" x14ac:dyDescent="0.25">
      <c r="A37022"/>
      <c r="B37022"/>
      <c r="C37022"/>
      <c r="E37022"/>
      <c r="F37022"/>
    </row>
    <row r="37023" spans="1:6" x14ac:dyDescent="0.25">
      <c r="A37023"/>
      <c r="B37023"/>
      <c r="C37023"/>
      <c r="E37023"/>
      <c r="F37023"/>
    </row>
    <row r="37024" spans="1:6" x14ac:dyDescent="0.25">
      <c r="A37024"/>
      <c r="B37024"/>
      <c r="C37024"/>
      <c r="E37024"/>
      <c r="F37024"/>
    </row>
    <row r="37025" spans="1:6" x14ac:dyDescent="0.25">
      <c r="A37025"/>
      <c r="B37025"/>
      <c r="C37025"/>
      <c r="E37025"/>
      <c r="F37025"/>
    </row>
    <row r="37026" spans="1:6" x14ac:dyDescent="0.25">
      <c r="A37026"/>
      <c r="B37026"/>
      <c r="C37026"/>
      <c r="E37026"/>
      <c r="F37026"/>
    </row>
    <row r="37027" spans="1:6" x14ac:dyDescent="0.25">
      <c r="A37027"/>
      <c r="B37027"/>
      <c r="C37027"/>
      <c r="E37027"/>
      <c r="F37027"/>
    </row>
    <row r="37028" spans="1:6" x14ac:dyDescent="0.25">
      <c r="A37028"/>
      <c r="B37028"/>
      <c r="C37028"/>
      <c r="E37028"/>
      <c r="F37028"/>
    </row>
    <row r="37029" spans="1:6" x14ac:dyDescent="0.25">
      <c r="A37029"/>
      <c r="B37029"/>
      <c r="C37029"/>
      <c r="E37029"/>
      <c r="F37029"/>
    </row>
    <row r="37030" spans="1:6" x14ac:dyDescent="0.25">
      <c r="A37030"/>
      <c r="B37030"/>
      <c r="C37030"/>
      <c r="E37030"/>
      <c r="F37030"/>
    </row>
    <row r="37031" spans="1:6" x14ac:dyDescent="0.25">
      <c r="A37031"/>
      <c r="B37031"/>
      <c r="C37031"/>
      <c r="E37031"/>
      <c r="F37031"/>
    </row>
    <row r="37032" spans="1:6" x14ac:dyDescent="0.25">
      <c r="A37032"/>
      <c r="B37032"/>
      <c r="C37032"/>
      <c r="E37032"/>
      <c r="F37032"/>
    </row>
    <row r="37033" spans="1:6" x14ac:dyDescent="0.25">
      <c r="A37033"/>
      <c r="B37033"/>
      <c r="C37033"/>
      <c r="E37033"/>
      <c r="F37033"/>
    </row>
    <row r="37034" spans="1:6" x14ac:dyDescent="0.25">
      <c r="A37034"/>
      <c r="B37034"/>
      <c r="C37034"/>
      <c r="E37034"/>
      <c r="F37034"/>
    </row>
    <row r="37035" spans="1:6" x14ac:dyDescent="0.25">
      <c r="A37035"/>
      <c r="B37035"/>
      <c r="C37035"/>
      <c r="E37035"/>
      <c r="F37035"/>
    </row>
    <row r="37036" spans="1:6" x14ac:dyDescent="0.25">
      <c r="A37036"/>
      <c r="B37036"/>
      <c r="C37036"/>
      <c r="E37036"/>
      <c r="F37036"/>
    </row>
    <row r="37037" spans="1:6" x14ac:dyDescent="0.25">
      <c r="A37037"/>
      <c r="B37037"/>
      <c r="C37037"/>
      <c r="E37037"/>
      <c r="F37037"/>
    </row>
    <row r="37038" spans="1:6" x14ac:dyDescent="0.25">
      <c r="A37038"/>
      <c r="B37038"/>
      <c r="C37038"/>
      <c r="E37038"/>
      <c r="F37038"/>
    </row>
    <row r="37039" spans="1:6" x14ac:dyDescent="0.25">
      <c r="A37039"/>
      <c r="B37039"/>
      <c r="C37039"/>
      <c r="E37039"/>
      <c r="F37039"/>
    </row>
    <row r="37040" spans="1:6" x14ac:dyDescent="0.25">
      <c r="A37040"/>
      <c r="B37040"/>
      <c r="C37040"/>
      <c r="E37040"/>
      <c r="F37040"/>
    </row>
    <row r="37041" spans="1:6" x14ac:dyDescent="0.25">
      <c r="A37041"/>
      <c r="B37041"/>
      <c r="C37041"/>
      <c r="E37041"/>
      <c r="F37041"/>
    </row>
    <row r="37042" spans="1:6" x14ac:dyDescent="0.25">
      <c r="A37042"/>
      <c r="B37042"/>
      <c r="C37042"/>
      <c r="E37042"/>
      <c r="F37042"/>
    </row>
    <row r="37043" spans="1:6" x14ac:dyDescent="0.25">
      <c r="A37043"/>
      <c r="B37043"/>
      <c r="C37043"/>
      <c r="E37043"/>
      <c r="F37043"/>
    </row>
    <row r="37044" spans="1:6" x14ac:dyDescent="0.25">
      <c r="A37044"/>
      <c r="B37044"/>
      <c r="C37044"/>
      <c r="E37044"/>
      <c r="F37044"/>
    </row>
    <row r="37045" spans="1:6" x14ac:dyDescent="0.25">
      <c r="A37045"/>
      <c r="B37045"/>
      <c r="C37045"/>
      <c r="E37045"/>
      <c r="F37045"/>
    </row>
    <row r="37046" spans="1:6" x14ac:dyDescent="0.25">
      <c r="A37046"/>
      <c r="B37046"/>
      <c r="C37046"/>
      <c r="E37046"/>
      <c r="F37046"/>
    </row>
    <row r="37047" spans="1:6" x14ac:dyDescent="0.25">
      <c r="A37047"/>
      <c r="B37047"/>
      <c r="C37047"/>
      <c r="E37047"/>
      <c r="F37047"/>
    </row>
    <row r="37048" spans="1:6" x14ac:dyDescent="0.25">
      <c r="A37048"/>
      <c r="B37048"/>
      <c r="C37048"/>
      <c r="E37048"/>
      <c r="F37048"/>
    </row>
    <row r="37049" spans="1:6" x14ac:dyDescent="0.25">
      <c r="A37049"/>
      <c r="B37049"/>
      <c r="C37049"/>
      <c r="E37049"/>
      <c r="F37049"/>
    </row>
    <row r="37050" spans="1:6" x14ac:dyDescent="0.25">
      <c r="A37050"/>
      <c r="B37050"/>
      <c r="C37050"/>
      <c r="E37050"/>
      <c r="F37050"/>
    </row>
    <row r="37051" spans="1:6" x14ac:dyDescent="0.25">
      <c r="A37051"/>
      <c r="B37051"/>
      <c r="C37051"/>
      <c r="E37051"/>
      <c r="F37051"/>
    </row>
    <row r="37052" spans="1:6" x14ac:dyDescent="0.25">
      <c r="A37052"/>
      <c r="B37052"/>
      <c r="C37052"/>
      <c r="E37052"/>
      <c r="F37052"/>
    </row>
    <row r="37053" spans="1:6" x14ac:dyDescent="0.25">
      <c r="A37053"/>
      <c r="B37053"/>
      <c r="C37053"/>
      <c r="E37053"/>
      <c r="F37053"/>
    </row>
    <row r="37054" spans="1:6" x14ac:dyDescent="0.25">
      <c r="A37054"/>
      <c r="B37054"/>
      <c r="C37054"/>
      <c r="E37054"/>
      <c r="F37054"/>
    </row>
    <row r="37055" spans="1:6" x14ac:dyDescent="0.25">
      <c r="A37055"/>
      <c r="B37055"/>
      <c r="C37055"/>
      <c r="E37055"/>
      <c r="F37055"/>
    </row>
    <row r="37056" spans="1:6" x14ac:dyDescent="0.25">
      <c r="A37056"/>
      <c r="B37056"/>
      <c r="C37056"/>
      <c r="E37056"/>
      <c r="F37056"/>
    </row>
    <row r="37057" spans="1:6" x14ac:dyDescent="0.25">
      <c r="A37057"/>
      <c r="B37057"/>
      <c r="C37057"/>
      <c r="E37057"/>
      <c r="F37057"/>
    </row>
    <row r="37058" spans="1:6" x14ac:dyDescent="0.25">
      <c r="A37058"/>
      <c r="B37058"/>
      <c r="C37058"/>
      <c r="E37058"/>
      <c r="F37058"/>
    </row>
    <row r="37059" spans="1:6" x14ac:dyDescent="0.25">
      <c r="A37059"/>
      <c r="B37059"/>
      <c r="C37059"/>
      <c r="E37059"/>
      <c r="F37059"/>
    </row>
    <row r="37060" spans="1:6" x14ac:dyDescent="0.25">
      <c r="A37060"/>
      <c r="B37060"/>
      <c r="C37060"/>
      <c r="E37060"/>
      <c r="F37060"/>
    </row>
    <row r="37061" spans="1:6" x14ac:dyDescent="0.25">
      <c r="A37061"/>
      <c r="B37061"/>
      <c r="C37061"/>
      <c r="E37061"/>
      <c r="F37061"/>
    </row>
    <row r="37062" spans="1:6" x14ac:dyDescent="0.25">
      <c r="A37062"/>
      <c r="B37062"/>
      <c r="C37062"/>
      <c r="E37062"/>
      <c r="F37062"/>
    </row>
    <row r="37063" spans="1:6" x14ac:dyDescent="0.25">
      <c r="A37063"/>
      <c r="B37063"/>
      <c r="C37063"/>
      <c r="E37063"/>
      <c r="F37063"/>
    </row>
    <row r="37064" spans="1:6" x14ac:dyDescent="0.25">
      <c r="A37064"/>
      <c r="B37064"/>
      <c r="C37064"/>
      <c r="E37064"/>
      <c r="F37064"/>
    </row>
    <row r="37065" spans="1:6" x14ac:dyDescent="0.25">
      <c r="A37065"/>
      <c r="B37065"/>
      <c r="C37065"/>
      <c r="E37065"/>
      <c r="F37065"/>
    </row>
    <row r="37066" spans="1:6" x14ac:dyDescent="0.25">
      <c r="A37066"/>
      <c r="B37066"/>
      <c r="C37066"/>
      <c r="E37066"/>
      <c r="F37066"/>
    </row>
    <row r="37067" spans="1:6" x14ac:dyDescent="0.25">
      <c r="A37067"/>
      <c r="B37067"/>
      <c r="C37067"/>
      <c r="E37067"/>
      <c r="F37067"/>
    </row>
    <row r="37068" spans="1:6" x14ac:dyDescent="0.25">
      <c r="A37068"/>
      <c r="B37068"/>
      <c r="C37068"/>
      <c r="E37068"/>
      <c r="F37068"/>
    </row>
    <row r="37069" spans="1:6" x14ac:dyDescent="0.25">
      <c r="A37069"/>
      <c r="B37069"/>
      <c r="C37069"/>
      <c r="E37069"/>
      <c r="F37069"/>
    </row>
    <row r="37070" spans="1:6" x14ac:dyDescent="0.25">
      <c r="A37070"/>
      <c r="B37070"/>
      <c r="C37070"/>
      <c r="E37070"/>
      <c r="F37070"/>
    </row>
    <row r="37071" spans="1:6" x14ac:dyDescent="0.25">
      <c r="A37071"/>
      <c r="B37071"/>
      <c r="C37071"/>
      <c r="E37071"/>
      <c r="F37071"/>
    </row>
    <row r="37072" spans="1:6" x14ac:dyDescent="0.25">
      <c r="A37072"/>
      <c r="B37072"/>
      <c r="C37072"/>
      <c r="E37072"/>
      <c r="F37072"/>
    </row>
    <row r="37073" spans="1:6" x14ac:dyDescent="0.25">
      <c r="A37073"/>
      <c r="B37073"/>
      <c r="C37073"/>
      <c r="E37073"/>
      <c r="F37073"/>
    </row>
    <row r="37074" spans="1:6" x14ac:dyDescent="0.25">
      <c r="A37074"/>
      <c r="B37074"/>
      <c r="C37074"/>
      <c r="E37074"/>
      <c r="F37074"/>
    </row>
    <row r="37075" spans="1:6" x14ac:dyDescent="0.25">
      <c r="A37075"/>
      <c r="B37075"/>
      <c r="C37075"/>
      <c r="E37075"/>
      <c r="F37075"/>
    </row>
    <row r="37076" spans="1:6" x14ac:dyDescent="0.25">
      <c r="A37076"/>
      <c r="B37076"/>
      <c r="C37076"/>
      <c r="E37076"/>
      <c r="F37076"/>
    </row>
    <row r="37077" spans="1:6" x14ac:dyDescent="0.25">
      <c r="A37077"/>
      <c r="B37077"/>
      <c r="C37077"/>
      <c r="E37077"/>
      <c r="F37077"/>
    </row>
    <row r="37078" spans="1:6" x14ac:dyDescent="0.25">
      <c r="A37078"/>
      <c r="B37078"/>
      <c r="C37078"/>
      <c r="E37078"/>
      <c r="F37078"/>
    </row>
    <row r="37079" spans="1:6" x14ac:dyDescent="0.25">
      <c r="A37079"/>
      <c r="B37079"/>
      <c r="C37079"/>
      <c r="E37079"/>
      <c r="F37079"/>
    </row>
    <row r="37080" spans="1:6" x14ac:dyDescent="0.25">
      <c r="A37080"/>
      <c r="B37080"/>
      <c r="C37080"/>
      <c r="E37080"/>
      <c r="F37080"/>
    </row>
    <row r="37081" spans="1:6" x14ac:dyDescent="0.25">
      <c r="A37081"/>
      <c r="B37081"/>
      <c r="C37081"/>
      <c r="E37081"/>
      <c r="F37081"/>
    </row>
    <row r="37082" spans="1:6" x14ac:dyDescent="0.25">
      <c r="A37082"/>
      <c r="B37082"/>
      <c r="C37082"/>
      <c r="E37082"/>
      <c r="F37082"/>
    </row>
    <row r="37083" spans="1:6" x14ac:dyDescent="0.25">
      <c r="A37083"/>
      <c r="B37083"/>
      <c r="C37083"/>
      <c r="E37083"/>
      <c r="F37083"/>
    </row>
    <row r="37084" spans="1:6" x14ac:dyDescent="0.25">
      <c r="A37084"/>
      <c r="B37084"/>
      <c r="C37084"/>
      <c r="E37084"/>
      <c r="F37084"/>
    </row>
    <row r="37085" spans="1:6" x14ac:dyDescent="0.25">
      <c r="A37085"/>
      <c r="B37085"/>
      <c r="C37085"/>
      <c r="E37085"/>
      <c r="F37085"/>
    </row>
    <row r="37086" spans="1:6" x14ac:dyDescent="0.25">
      <c r="A37086"/>
      <c r="B37086"/>
      <c r="C37086"/>
      <c r="E37086"/>
      <c r="F37086"/>
    </row>
    <row r="37087" spans="1:6" x14ac:dyDescent="0.25">
      <c r="A37087"/>
      <c r="B37087"/>
      <c r="C37087"/>
      <c r="E37087"/>
      <c r="F37087"/>
    </row>
    <row r="37088" spans="1:6" x14ac:dyDescent="0.25">
      <c r="A37088"/>
      <c r="B37088"/>
      <c r="C37088"/>
      <c r="E37088"/>
      <c r="F37088"/>
    </row>
    <row r="37089" spans="1:6" x14ac:dyDescent="0.25">
      <c r="A37089"/>
      <c r="B37089"/>
      <c r="C37089"/>
      <c r="E37089"/>
      <c r="F37089"/>
    </row>
    <row r="37090" spans="1:6" x14ac:dyDescent="0.25">
      <c r="A37090"/>
      <c r="B37090"/>
      <c r="C37090"/>
      <c r="E37090"/>
      <c r="F37090"/>
    </row>
    <row r="37091" spans="1:6" x14ac:dyDescent="0.25">
      <c r="A37091"/>
      <c r="B37091"/>
      <c r="C37091"/>
      <c r="E37091"/>
      <c r="F37091"/>
    </row>
    <row r="37092" spans="1:6" x14ac:dyDescent="0.25">
      <c r="A37092"/>
      <c r="B37092"/>
      <c r="C37092"/>
      <c r="E37092"/>
      <c r="F37092"/>
    </row>
    <row r="37093" spans="1:6" x14ac:dyDescent="0.25">
      <c r="A37093"/>
      <c r="B37093"/>
      <c r="C37093"/>
      <c r="E37093"/>
      <c r="F37093"/>
    </row>
    <row r="37094" spans="1:6" x14ac:dyDescent="0.25">
      <c r="A37094"/>
      <c r="B37094"/>
      <c r="C37094"/>
      <c r="E37094"/>
      <c r="F37094"/>
    </row>
    <row r="37095" spans="1:6" x14ac:dyDescent="0.25">
      <c r="A37095"/>
      <c r="B37095"/>
      <c r="C37095"/>
      <c r="E37095"/>
      <c r="F37095"/>
    </row>
    <row r="37096" spans="1:6" x14ac:dyDescent="0.25">
      <c r="A37096"/>
      <c r="B37096"/>
      <c r="C37096"/>
      <c r="E37096"/>
      <c r="F37096"/>
    </row>
    <row r="37097" spans="1:6" x14ac:dyDescent="0.25">
      <c r="A37097"/>
      <c r="B37097"/>
      <c r="C37097"/>
      <c r="E37097"/>
      <c r="F37097"/>
    </row>
    <row r="37098" spans="1:6" x14ac:dyDescent="0.25">
      <c r="A37098"/>
      <c r="B37098"/>
      <c r="C37098"/>
      <c r="E37098"/>
      <c r="F37098"/>
    </row>
    <row r="37099" spans="1:6" x14ac:dyDescent="0.25">
      <c r="A37099"/>
      <c r="B37099"/>
      <c r="C37099"/>
      <c r="E37099"/>
      <c r="F37099"/>
    </row>
    <row r="37100" spans="1:6" x14ac:dyDescent="0.25">
      <c r="A37100"/>
      <c r="B37100"/>
      <c r="C37100"/>
      <c r="E37100"/>
      <c r="F37100"/>
    </row>
    <row r="37101" spans="1:6" x14ac:dyDescent="0.25">
      <c r="A37101"/>
      <c r="B37101"/>
      <c r="C37101"/>
      <c r="E37101"/>
      <c r="F37101"/>
    </row>
    <row r="37102" spans="1:6" x14ac:dyDescent="0.25">
      <c r="A37102"/>
      <c r="B37102"/>
      <c r="C37102"/>
      <c r="E37102"/>
      <c r="F37102"/>
    </row>
    <row r="37103" spans="1:6" x14ac:dyDescent="0.25">
      <c r="A37103"/>
      <c r="B37103"/>
      <c r="C37103"/>
      <c r="E37103"/>
      <c r="F37103"/>
    </row>
    <row r="37104" spans="1:6" x14ac:dyDescent="0.25">
      <c r="A37104"/>
      <c r="B37104"/>
      <c r="C37104"/>
      <c r="E37104"/>
      <c r="F37104"/>
    </row>
    <row r="37105" spans="1:6" x14ac:dyDescent="0.25">
      <c r="A37105"/>
      <c r="B37105"/>
      <c r="C37105"/>
      <c r="E37105"/>
      <c r="F37105"/>
    </row>
    <row r="37106" spans="1:6" x14ac:dyDescent="0.25">
      <c r="A37106"/>
      <c r="B37106"/>
      <c r="C37106"/>
      <c r="E37106"/>
      <c r="F37106"/>
    </row>
    <row r="37107" spans="1:6" x14ac:dyDescent="0.25">
      <c r="A37107"/>
      <c r="B37107"/>
      <c r="C37107"/>
      <c r="E37107"/>
      <c r="F37107"/>
    </row>
    <row r="37108" spans="1:6" x14ac:dyDescent="0.25">
      <c r="A37108"/>
      <c r="B37108"/>
      <c r="C37108"/>
      <c r="E37108"/>
      <c r="F37108"/>
    </row>
    <row r="37109" spans="1:6" x14ac:dyDescent="0.25">
      <c r="A37109"/>
      <c r="B37109"/>
      <c r="C37109"/>
      <c r="E37109"/>
      <c r="F37109"/>
    </row>
    <row r="37110" spans="1:6" x14ac:dyDescent="0.25">
      <c r="A37110"/>
      <c r="B37110"/>
      <c r="C37110"/>
      <c r="E37110"/>
      <c r="F37110"/>
    </row>
    <row r="37111" spans="1:6" x14ac:dyDescent="0.25">
      <c r="A37111"/>
      <c r="B37111"/>
      <c r="C37111"/>
      <c r="E37111"/>
      <c r="F37111"/>
    </row>
    <row r="37112" spans="1:6" x14ac:dyDescent="0.25">
      <c r="A37112"/>
      <c r="B37112"/>
      <c r="C37112"/>
      <c r="E37112"/>
      <c r="F37112"/>
    </row>
    <row r="37113" spans="1:6" x14ac:dyDescent="0.25">
      <c r="A37113"/>
      <c r="B37113"/>
      <c r="C37113"/>
      <c r="E37113"/>
      <c r="F37113"/>
    </row>
    <row r="37114" spans="1:6" x14ac:dyDescent="0.25">
      <c r="A37114"/>
      <c r="B37114"/>
      <c r="C37114"/>
      <c r="E37114"/>
      <c r="F37114"/>
    </row>
    <row r="37115" spans="1:6" x14ac:dyDescent="0.25">
      <c r="A37115"/>
      <c r="B37115"/>
      <c r="C37115"/>
      <c r="E37115"/>
      <c r="F37115"/>
    </row>
    <row r="37116" spans="1:6" x14ac:dyDescent="0.25">
      <c r="A37116"/>
      <c r="B37116"/>
      <c r="C37116"/>
      <c r="E37116"/>
      <c r="F37116"/>
    </row>
    <row r="37117" spans="1:6" x14ac:dyDescent="0.25">
      <c r="A37117"/>
      <c r="B37117"/>
      <c r="C37117"/>
      <c r="E37117"/>
      <c r="F37117"/>
    </row>
    <row r="37118" spans="1:6" x14ac:dyDescent="0.25">
      <c r="A37118"/>
      <c r="B37118"/>
      <c r="C37118"/>
      <c r="E37118"/>
      <c r="F37118"/>
    </row>
    <row r="37119" spans="1:6" x14ac:dyDescent="0.25">
      <c r="A37119"/>
      <c r="B37119"/>
      <c r="C37119"/>
      <c r="E37119"/>
      <c r="F37119"/>
    </row>
    <row r="37120" spans="1:6" x14ac:dyDescent="0.25">
      <c r="A37120"/>
      <c r="B37120"/>
      <c r="C37120"/>
      <c r="E37120"/>
      <c r="F37120"/>
    </row>
    <row r="37121" spans="1:6" x14ac:dyDescent="0.25">
      <c r="A37121"/>
      <c r="B37121"/>
      <c r="C37121"/>
      <c r="E37121"/>
      <c r="F37121"/>
    </row>
    <row r="37122" spans="1:6" x14ac:dyDescent="0.25">
      <c r="A37122"/>
      <c r="B37122"/>
      <c r="C37122"/>
      <c r="E37122"/>
      <c r="F37122"/>
    </row>
    <row r="37123" spans="1:6" x14ac:dyDescent="0.25">
      <c r="A37123"/>
      <c r="B37123"/>
      <c r="C37123"/>
      <c r="E37123"/>
      <c r="F37123"/>
    </row>
    <row r="37124" spans="1:6" x14ac:dyDescent="0.25">
      <c r="A37124"/>
      <c r="B37124"/>
      <c r="C37124"/>
      <c r="E37124"/>
      <c r="F37124"/>
    </row>
    <row r="37125" spans="1:6" x14ac:dyDescent="0.25">
      <c r="A37125"/>
      <c r="B37125"/>
      <c r="C37125"/>
      <c r="E37125"/>
      <c r="F37125"/>
    </row>
    <row r="37126" spans="1:6" x14ac:dyDescent="0.25">
      <c r="A37126"/>
      <c r="B37126"/>
      <c r="C37126"/>
      <c r="E37126"/>
      <c r="F37126"/>
    </row>
    <row r="37127" spans="1:6" x14ac:dyDescent="0.25">
      <c r="A37127"/>
      <c r="B37127"/>
      <c r="C37127"/>
      <c r="E37127"/>
      <c r="F37127"/>
    </row>
    <row r="37128" spans="1:6" x14ac:dyDescent="0.25">
      <c r="A37128"/>
      <c r="B37128"/>
      <c r="C37128"/>
      <c r="E37128"/>
      <c r="F37128"/>
    </row>
    <row r="37129" spans="1:6" x14ac:dyDescent="0.25">
      <c r="A37129"/>
      <c r="B37129"/>
      <c r="C37129"/>
      <c r="E37129"/>
      <c r="F37129"/>
    </row>
    <row r="37130" spans="1:6" x14ac:dyDescent="0.25">
      <c r="A37130"/>
      <c r="B37130"/>
      <c r="C37130"/>
      <c r="E37130"/>
      <c r="F37130"/>
    </row>
    <row r="37131" spans="1:6" x14ac:dyDescent="0.25">
      <c r="A37131"/>
      <c r="B37131"/>
      <c r="C37131"/>
      <c r="E37131"/>
      <c r="F37131"/>
    </row>
    <row r="37132" spans="1:6" x14ac:dyDescent="0.25">
      <c r="A37132"/>
      <c r="B37132"/>
      <c r="C37132"/>
      <c r="E37132"/>
      <c r="F37132"/>
    </row>
    <row r="37133" spans="1:6" x14ac:dyDescent="0.25">
      <c r="A37133"/>
      <c r="B37133"/>
      <c r="C37133"/>
      <c r="E37133"/>
      <c r="F37133"/>
    </row>
    <row r="37134" spans="1:6" x14ac:dyDescent="0.25">
      <c r="A37134"/>
      <c r="B37134"/>
      <c r="C37134"/>
      <c r="E37134"/>
      <c r="F37134"/>
    </row>
    <row r="37135" spans="1:6" x14ac:dyDescent="0.25">
      <c r="A37135"/>
      <c r="B37135"/>
      <c r="C37135"/>
      <c r="E37135"/>
      <c r="F37135"/>
    </row>
    <row r="37136" spans="1:6" x14ac:dyDescent="0.25">
      <c r="A37136"/>
      <c r="B37136"/>
      <c r="C37136"/>
      <c r="E37136"/>
      <c r="F37136"/>
    </row>
    <row r="37137" spans="1:6" x14ac:dyDescent="0.25">
      <c r="A37137"/>
      <c r="B37137"/>
      <c r="C37137"/>
      <c r="E37137"/>
      <c r="F37137"/>
    </row>
    <row r="37138" spans="1:6" x14ac:dyDescent="0.25">
      <c r="A37138"/>
      <c r="B37138"/>
      <c r="C37138"/>
      <c r="E37138"/>
      <c r="F37138"/>
    </row>
    <row r="37139" spans="1:6" x14ac:dyDescent="0.25">
      <c r="A37139"/>
      <c r="B37139"/>
      <c r="C37139"/>
      <c r="E37139"/>
      <c r="F37139"/>
    </row>
    <row r="37140" spans="1:6" x14ac:dyDescent="0.25">
      <c r="A37140"/>
      <c r="B37140"/>
      <c r="C37140"/>
      <c r="E37140"/>
      <c r="F37140"/>
    </row>
    <row r="37141" spans="1:6" x14ac:dyDescent="0.25">
      <c r="A37141"/>
      <c r="B37141"/>
      <c r="C37141"/>
      <c r="E37141"/>
      <c r="F37141"/>
    </row>
    <row r="37142" spans="1:6" x14ac:dyDescent="0.25">
      <c r="A37142"/>
      <c r="B37142"/>
      <c r="C37142"/>
      <c r="E37142"/>
      <c r="F37142"/>
    </row>
    <row r="37143" spans="1:6" x14ac:dyDescent="0.25">
      <c r="A37143"/>
      <c r="B37143"/>
      <c r="C37143"/>
      <c r="E37143"/>
      <c r="F37143"/>
    </row>
    <row r="37144" spans="1:6" x14ac:dyDescent="0.25">
      <c r="A37144"/>
      <c r="B37144"/>
      <c r="C37144"/>
      <c r="E37144"/>
      <c r="F37144"/>
    </row>
    <row r="37145" spans="1:6" x14ac:dyDescent="0.25">
      <c r="A37145"/>
      <c r="B37145"/>
      <c r="C37145"/>
      <c r="E37145"/>
      <c r="F37145"/>
    </row>
    <row r="37146" spans="1:6" x14ac:dyDescent="0.25">
      <c r="A37146"/>
      <c r="B37146"/>
      <c r="C37146"/>
      <c r="E37146"/>
      <c r="F37146"/>
    </row>
    <row r="37147" spans="1:6" x14ac:dyDescent="0.25">
      <c r="A37147"/>
      <c r="B37147"/>
      <c r="C37147"/>
      <c r="E37147"/>
      <c r="F37147"/>
    </row>
    <row r="37148" spans="1:6" x14ac:dyDescent="0.25">
      <c r="A37148"/>
      <c r="B37148"/>
      <c r="C37148"/>
      <c r="E37148"/>
      <c r="F37148"/>
    </row>
    <row r="37149" spans="1:6" x14ac:dyDescent="0.25">
      <c r="A37149"/>
      <c r="B37149"/>
      <c r="C37149"/>
      <c r="E37149"/>
      <c r="F37149"/>
    </row>
    <row r="37150" spans="1:6" x14ac:dyDescent="0.25">
      <c r="A37150"/>
      <c r="B37150"/>
      <c r="C37150"/>
      <c r="E37150"/>
      <c r="F37150"/>
    </row>
    <row r="37151" spans="1:6" x14ac:dyDescent="0.25">
      <c r="A37151"/>
      <c r="B37151"/>
      <c r="C37151"/>
      <c r="E37151"/>
      <c r="F37151"/>
    </row>
    <row r="37152" spans="1:6" x14ac:dyDescent="0.25">
      <c r="A37152"/>
      <c r="B37152"/>
      <c r="C37152"/>
      <c r="E37152"/>
      <c r="F37152"/>
    </row>
    <row r="37153" spans="1:6" x14ac:dyDescent="0.25">
      <c r="A37153"/>
      <c r="B37153"/>
      <c r="C37153"/>
      <c r="E37153"/>
      <c r="F37153"/>
    </row>
    <row r="37154" spans="1:6" x14ac:dyDescent="0.25">
      <c r="A37154"/>
      <c r="B37154"/>
      <c r="C37154"/>
      <c r="E37154"/>
      <c r="F37154"/>
    </row>
    <row r="37155" spans="1:6" x14ac:dyDescent="0.25">
      <c r="A37155"/>
      <c r="B37155"/>
      <c r="C37155"/>
      <c r="E37155"/>
      <c r="F37155"/>
    </row>
    <row r="37156" spans="1:6" x14ac:dyDescent="0.25">
      <c r="A37156"/>
      <c r="B37156"/>
      <c r="C37156"/>
      <c r="E37156"/>
      <c r="F37156"/>
    </row>
    <row r="37157" spans="1:6" x14ac:dyDescent="0.25">
      <c r="A37157"/>
      <c r="B37157"/>
      <c r="C37157"/>
      <c r="E37157"/>
      <c r="F37157"/>
    </row>
    <row r="37158" spans="1:6" x14ac:dyDescent="0.25">
      <c r="A37158"/>
      <c r="B37158"/>
      <c r="C37158"/>
      <c r="E37158"/>
      <c r="F37158"/>
    </row>
    <row r="37159" spans="1:6" x14ac:dyDescent="0.25">
      <c r="A37159"/>
      <c r="B37159"/>
      <c r="C37159"/>
      <c r="E37159"/>
      <c r="F37159"/>
    </row>
    <row r="37160" spans="1:6" x14ac:dyDescent="0.25">
      <c r="A37160"/>
      <c r="B37160"/>
      <c r="C37160"/>
      <c r="E37160"/>
      <c r="F37160"/>
    </row>
    <row r="37161" spans="1:6" x14ac:dyDescent="0.25">
      <c r="A37161"/>
      <c r="B37161"/>
      <c r="C37161"/>
      <c r="E37161"/>
      <c r="F37161"/>
    </row>
    <row r="37162" spans="1:6" x14ac:dyDescent="0.25">
      <c r="A37162"/>
      <c r="B37162"/>
      <c r="C37162"/>
      <c r="E37162"/>
      <c r="F37162"/>
    </row>
    <row r="37163" spans="1:6" x14ac:dyDescent="0.25">
      <c r="A37163"/>
      <c r="B37163"/>
      <c r="C37163"/>
      <c r="E37163"/>
      <c r="F37163"/>
    </row>
    <row r="37164" spans="1:6" x14ac:dyDescent="0.25">
      <c r="A37164"/>
      <c r="B37164"/>
      <c r="C37164"/>
      <c r="E37164"/>
      <c r="F37164"/>
    </row>
    <row r="37165" spans="1:6" x14ac:dyDescent="0.25">
      <c r="A37165"/>
      <c r="B37165"/>
      <c r="C37165"/>
      <c r="E37165"/>
      <c r="F37165"/>
    </row>
    <row r="37166" spans="1:6" x14ac:dyDescent="0.25">
      <c r="A37166"/>
      <c r="B37166"/>
      <c r="C37166"/>
      <c r="E37166"/>
      <c r="F37166"/>
    </row>
    <row r="37167" spans="1:6" x14ac:dyDescent="0.25">
      <c r="A37167"/>
      <c r="B37167"/>
      <c r="C37167"/>
      <c r="E37167"/>
      <c r="F37167"/>
    </row>
    <row r="37168" spans="1:6" x14ac:dyDescent="0.25">
      <c r="A37168"/>
      <c r="B37168"/>
      <c r="C37168"/>
      <c r="E37168"/>
      <c r="F37168"/>
    </row>
    <row r="37169" spans="1:6" x14ac:dyDescent="0.25">
      <c r="A37169"/>
      <c r="B37169"/>
      <c r="C37169"/>
      <c r="E37169"/>
      <c r="F37169"/>
    </row>
    <row r="37170" spans="1:6" x14ac:dyDescent="0.25">
      <c r="A37170"/>
      <c r="B37170"/>
      <c r="C37170"/>
      <c r="E37170"/>
      <c r="F37170"/>
    </row>
    <row r="37171" spans="1:6" x14ac:dyDescent="0.25">
      <c r="A37171"/>
      <c r="B37171"/>
      <c r="C37171"/>
      <c r="E37171"/>
      <c r="F37171"/>
    </row>
    <row r="37172" spans="1:6" x14ac:dyDescent="0.25">
      <c r="A37172"/>
      <c r="B37172"/>
      <c r="C37172"/>
      <c r="E37172"/>
      <c r="F37172"/>
    </row>
    <row r="37173" spans="1:6" x14ac:dyDescent="0.25">
      <c r="A37173"/>
      <c r="B37173"/>
      <c r="C37173"/>
      <c r="E37173"/>
      <c r="F37173"/>
    </row>
    <row r="37174" spans="1:6" x14ac:dyDescent="0.25">
      <c r="A37174"/>
      <c r="B37174"/>
      <c r="C37174"/>
      <c r="E37174"/>
      <c r="F37174"/>
    </row>
    <row r="37175" spans="1:6" x14ac:dyDescent="0.25">
      <c r="A37175"/>
      <c r="B37175"/>
      <c r="C37175"/>
      <c r="E37175"/>
      <c r="F37175"/>
    </row>
    <row r="37176" spans="1:6" x14ac:dyDescent="0.25">
      <c r="A37176"/>
      <c r="B37176"/>
      <c r="C37176"/>
      <c r="E37176"/>
      <c r="F37176"/>
    </row>
    <row r="37177" spans="1:6" x14ac:dyDescent="0.25">
      <c r="A37177"/>
      <c r="B37177"/>
      <c r="C37177"/>
      <c r="E37177"/>
      <c r="F37177"/>
    </row>
    <row r="37178" spans="1:6" x14ac:dyDescent="0.25">
      <c r="A37178"/>
      <c r="B37178"/>
      <c r="C37178"/>
      <c r="E37178"/>
      <c r="F37178"/>
    </row>
    <row r="37179" spans="1:6" x14ac:dyDescent="0.25">
      <c r="A37179"/>
      <c r="B37179"/>
      <c r="C37179"/>
      <c r="E37179"/>
      <c r="F37179"/>
    </row>
    <row r="37180" spans="1:6" x14ac:dyDescent="0.25">
      <c r="A37180"/>
      <c r="B37180"/>
      <c r="C37180"/>
      <c r="E37180"/>
      <c r="F37180"/>
    </row>
    <row r="37181" spans="1:6" x14ac:dyDescent="0.25">
      <c r="A37181"/>
      <c r="B37181"/>
      <c r="C37181"/>
      <c r="E37181"/>
      <c r="F37181"/>
    </row>
    <row r="37182" spans="1:6" x14ac:dyDescent="0.25">
      <c r="A37182"/>
      <c r="B37182"/>
      <c r="C37182"/>
      <c r="E37182"/>
      <c r="F37182"/>
    </row>
    <row r="37183" spans="1:6" x14ac:dyDescent="0.25">
      <c r="A37183"/>
      <c r="B37183"/>
      <c r="C37183"/>
      <c r="E37183"/>
      <c r="F37183"/>
    </row>
    <row r="37184" spans="1:6" x14ac:dyDescent="0.25">
      <c r="A37184"/>
      <c r="B37184"/>
      <c r="C37184"/>
      <c r="E37184"/>
      <c r="F37184"/>
    </row>
    <row r="37185" spans="1:6" x14ac:dyDescent="0.25">
      <c r="A37185"/>
      <c r="B37185"/>
      <c r="C37185"/>
      <c r="E37185"/>
      <c r="F37185"/>
    </row>
    <row r="37186" spans="1:6" x14ac:dyDescent="0.25">
      <c r="A37186"/>
      <c r="B37186"/>
      <c r="C37186"/>
      <c r="E37186"/>
      <c r="F37186"/>
    </row>
    <row r="37187" spans="1:6" x14ac:dyDescent="0.25">
      <c r="A37187"/>
      <c r="B37187"/>
      <c r="C37187"/>
      <c r="E37187"/>
      <c r="F37187"/>
    </row>
    <row r="37188" spans="1:6" x14ac:dyDescent="0.25">
      <c r="A37188"/>
      <c r="B37188"/>
      <c r="C37188"/>
      <c r="E37188"/>
      <c r="F37188"/>
    </row>
    <row r="37189" spans="1:6" x14ac:dyDescent="0.25">
      <c r="A37189"/>
      <c r="B37189"/>
      <c r="C37189"/>
      <c r="E37189"/>
      <c r="F37189"/>
    </row>
    <row r="37190" spans="1:6" x14ac:dyDescent="0.25">
      <c r="A37190"/>
      <c r="B37190"/>
      <c r="C37190"/>
      <c r="E37190"/>
      <c r="F37190"/>
    </row>
    <row r="37191" spans="1:6" x14ac:dyDescent="0.25">
      <c r="A37191"/>
      <c r="B37191"/>
      <c r="C37191"/>
      <c r="E37191"/>
      <c r="F37191"/>
    </row>
    <row r="37192" spans="1:6" x14ac:dyDescent="0.25">
      <c r="A37192"/>
      <c r="B37192"/>
      <c r="C37192"/>
      <c r="E37192"/>
      <c r="F37192"/>
    </row>
    <row r="37193" spans="1:6" x14ac:dyDescent="0.25">
      <c r="A37193"/>
      <c r="B37193"/>
      <c r="C37193"/>
      <c r="E37193"/>
      <c r="F37193"/>
    </row>
    <row r="37194" spans="1:6" x14ac:dyDescent="0.25">
      <c r="A37194"/>
      <c r="B37194"/>
      <c r="C37194"/>
      <c r="E37194"/>
      <c r="F37194"/>
    </row>
    <row r="37195" spans="1:6" x14ac:dyDescent="0.25">
      <c r="A37195"/>
      <c r="B37195"/>
      <c r="C37195"/>
      <c r="E37195"/>
      <c r="F37195"/>
    </row>
    <row r="37196" spans="1:6" x14ac:dyDescent="0.25">
      <c r="A37196"/>
      <c r="B37196"/>
      <c r="C37196"/>
      <c r="E37196"/>
      <c r="F37196"/>
    </row>
    <row r="37197" spans="1:6" x14ac:dyDescent="0.25">
      <c r="A37197"/>
      <c r="B37197"/>
      <c r="C37197"/>
      <c r="E37197"/>
      <c r="F37197"/>
    </row>
    <row r="37198" spans="1:6" x14ac:dyDescent="0.25">
      <c r="A37198"/>
      <c r="B37198"/>
      <c r="C37198"/>
      <c r="E37198"/>
      <c r="F37198"/>
    </row>
    <row r="37199" spans="1:6" x14ac:dyDescent="0.25">
      <c r="A37199"/>
      <c r="B37199"/>
      <c r="C37199"/>
      <c r="E37199"/>
      <c r="F37199"/>
    </row>
    <row r="37200" spans="1:6" x14ac:dyDescent="0.25">
      <c r="A37200"/>
      <c r="B37200"/>
      <c r="C37200"/>
      <c r="E37200"/>
      <c r="F37200"/>
    </row>
    <row r="37201" spans="1:6" x14ac:dyDescent="0.25">
      <c r="A37201"/>
      <c r="B37201"/>
      <c r="C37201"/>
      <c r="E37201"/>
      <c r="F37201"/>
    </row>
    <row r="37202" spans="1:6" x14ac:dyDescent="0.25">
      <c r="A37202"/>
      <c r="B37202"/>
      <c r="C37202"/>
      <c r="E37202"/>
      <c r="F37202"/>
    </row>
    <row r="37203" spans="1:6" x14ac:dyDescent="0.25">
      <c r="A37203"/>
      <c r="B37203"/>
      <c r="C37203"/>
      <c r="E37203"/>
      <c r="F37203"/>
    </row>
    <row r="37204" spans="1:6" x14ac:dyDescent="0.25">
      <c r="A37204"/>
      <c r="B37204"/>
      <c r="C37204"/>
      <c r="E37204"/>
      <c r="F37204"/>
    </row>
    <row r="37205" spans="1:6" x14ac:dyDescent="0.25">
      <c r="A37205"/>
      <c r="B37205"/>
      <c r="C37205"/>
      <c r="E37205"/>
      <c r="F37205"/>
    </row>
    <row r="37206" spans="1:6" x14ac:dyDescent="0.25">
      <c r="A37206"/>
      <c r="B37206"/>
      <c r="C37206"/>
      <c r="E37206"/>
      <c r="F37206"/>
    </row>
    <row r="37207" spans="1:6" x14ac:dyDescent="0.25">
      <c r="A37207"/>
      <c r="B37207"/>
      <c r="C37207"/>
      <c r="E37207"/>
      <c r="F37207"/>
    </row>
    <row r="37208" spans="1:6" x14ac:dyDescent="0.25">
      <c r="A37208"/>
      <c r="B37208"/>
      <c r="C37208"/>
      <c r="E37208"/>
      <c r="F37208"/>
    </row>
    <row r="37209" spans="1:6" x14ac:dyDescent="0.25">
      <c r="A37209"/>
      <c r="B37209"/>
      <c r="C37209"/>
      <c r="E37209"/>
      <c r="F37209"/>
    </row>
    <row r="37210" spans="1:6" x14ac:dyDescent="0.25">
      <c r="A37210"/>
      <c r="B37210"/>
      <c r="C37210"/>
      <c r="E37210"/>
      <c r="F37210"/>
    </row>
    <row r="37211" spans="1:6" x14ac:dyDescent="0.25">
      <c r="A37211"/>
      <c r="B37211"/>
      <c r="C37211"/>
      <c r="E37211"/>
      <c r="F37211"/>
    </row>
    <row r="37212" spans="1:6" x14ac:dyDescent="0.25">
      <c r="A37212"/>
      <c r="B37212"/>
      <c r="C37212"/>
      <c r="E37212"/>
      <c r="F37212"/>
    </row>
    <row r="37213" spans="1:6" x14ac:dyDescent="0.25">
      <c r="A37213"/>
      <c r="B37213"/>
      <c r="C37213"/>
      <c r="E37213"/>
      <c r="F37213"/>
    </row>
    <row r="37214" spans="1:6" x14ac:dyDescent="0.25">
      <c r="A37214"/>
      <c r="B37214"/>
      <c r="C37214"/>
      <c r="E37214"/>
      <c r="F37214"/>
    </row>
    <row r="37215" spans="1:6" x14ac:dyDescent="0.25">
      <c r="A37215"/>
      <c r="B37215"/>
      <c r="C37215"/>
      <c r="E37215"/>
      <c r="F37215"/>
    </row>
    <row r="37216" spans="1:6" x14ac:dyDescent="0.25">
      <c r="A37216"/>
      <c r="B37216"/>
      <c r="C37216"/>
      <c r="E37216"/>
      <c r="F37216"/>
    </row>
    <row r="37217" spans="1:6" x14ac:dyDescent="0.25">
      <c r="A37217"/>
      <c r="B37217"/>
      <c r="C37217"/>
      <c r="E37217"/>
      <c r="F37217"/>
    </row>
    <row r="37218" spans="1:6" x14ac:dyDescent="0.25">
      <c r="A37218"/>
      <c r="B37218"/>
      <c r="C37218"/>
      <c r="E37218"/>
      <c r="F37218"/>
    </row>
    <row r="37219" spans="1:6" x14ac:dyDescent="0.25">
      <c r="A37219"/>
      <c r="B37219"/>
      <c r="C37219"/>
      <c r="E37219"/>
      <c r="F37219"/>
    </row>
    <row r="37220" spans="1:6" x14ac:dyDescent="0.25">
      <c r="A37220"/>
      <c r="B37220"/>
      <c r="C37220"/>
      <c r="E37220"/>
      <c r="F37220"/>
    </row>
    <row r="37221" spans="1:6" x14ac:dyDescent="0.25">
      <c r="A37221"/>
      <c r="B37221"/>
      <c r="C37221"/>
      <c r="E37221"/>
      <c r="F37221"/>
    </row>
    <row r="37222" spans="1:6" x14ac:dyDescent="0.25">
      <c r="A37222"/>
      <c r="B37222"/>
      <c r="C37222"/>
      <c r="E37222"/>
      <c r="F37222"/>
    </row>
    <row r="37223" spans="1:6" x14ac:dyDescent="0.25">
      <c r="A37223"/>
      <c r="B37223"/>
      <c r="C37223"/>
      <c r="E37223"/>
      <c r="F37223"/>
    </row>
    <row r="37224" spans="1:6" x14ac:dyDescent="0.25">
      <c r="A37224"/>
      <c r="B37224"/>
      <c r="C37224"/>
      <c r="E37224"/>
      <c r="F37224"/>
    </row>
    <row r="37225" spans="1:6" x14ac:dyDescent="0.25">
      <c r="A37225"/>
      <c r="B37225"/>
      <c r="C37225"/>
      <c r="E37225"/>
      <c r="F37225"/>
    </row>
    <row r="37226" spans="1:6" x14ac:dyDescent="0.25">
      <c r="A37226"/>
      <c r="B37226"/>
      <c r="C37226"/>
      <c r="E37226"/>
      <c r="F37226"/>
    </row>
    <row r="37227" spans="1:6" x14ac:dyDescent="0.25">
      <c r="A37227"/>
      <c r="B37227"/>
      <c r="C37227"/>
      <c r="E37227"/>
      <c r="F37227"/>
    </row>
    <row r="37228" spans="1:6" x14ac:dyDescent="0.25">
      <c r="A37228"/>
      <c r="B37228"/>
      <c r="C37228"/>
      <c r="E37228"/>
      <c r="F37228"/>
    </row>
    <row r="37229" spans="1:6" x14ac:dyDescent="0.25">
      <c r="A37229"/>
      <c r="B37229"/>
      <c r="C37229"/>
      <c r="E37229"/>
      <c r="F37229"/>
    </row>
    <row r="37230" spans="1:6" x14ac:dyDescent="0.25">
      <c r="A37230"/>
      <c r="B37230"/>
      <c r="C37230"/>
      <c r="E37230"/>
      <c r="F37230"/>
    </row>
    <row r="37231" spans="1:6" x14ac:dyDescent="0.25">
      <c r="A37231"/>
      <c r="B37231"/>
      <c r="C37231"/>
      <c r="E37231"/>
      <c r="F37231"/>
    </row>
    <row r="37232" spans="1:6" x14ac:dyDescent="0.25">
      <c r="A37232"/>
      <c r="B37232"/>
      <c r="C37232"/>
      <c r="E37232"/>
      <c r="F37232"/>
    </row>
    <row r="37233" spans="1:6" x14ac:dyDescent="0.25">
      <c r="A37233"/>
      <c r="B37233"/>
      <c r="C37233"/>
      <c r="E37233"/>
      <c r="F37233"/>
    </row>
    <row r="37234" spans="1:6" x14ac:dyDescent="0.25">
      <c r="A37234"/>
      <c r="B37234"/>
      <c r="C37234"/>
      <c r="E37234"/>
      <c r="F37234"/>
    </row>
    <row r="37235" spans="1:6" x14ac:dyDescent="0.25">
      <c r="A37235"/>
      <c r="B37235"/>
      <c r="C37235"/>
      <c r="E37235"/>
      <c r="F37235"/>
    </row>
    <row r="37236" spans="1:6" x14ac:dyDescent="0.25">
      <c r="A37236"/>
      <c r="B37236"/>
      <c r="C37236"/>
      <c r="E37236"/>
      <c r="F37236"/>
    </row>
    <row r="37237" spans="1:6" x14ac:dyDescent="0.25">
      <c r="A37237"/>
      <c r="B37237"/>
      <c r="C37237"/>
      <c r="E37237"/>
      <c r="F37237"/>
    </row>
    <row r="37238" spans="1:6" x14ac:dyDescent="0.25">
      <c r="A37238"/>
      <c r="B37238"/>
      <c r="C37238"/>
      <c r="E37238"/>
      <c r="F37238"/>
    </row>
    <row r="37239" spans="1:6" x14ac:dyDescent="0.25">
      <c r="A37239"/>
      <c r="B37239"/>
      <c r="C37239"/>
      <c r="E37239"/>
      <c r="F37239"/>
    </row>
    <row r="37240" spans="1:6" x14ac:dyDescent="0.25">
      <c r="A37240"/>
      <c r="B37240"/>
      <c r="C37240"/>
      <c r="E37240"/>
      <c r="F37240"/>
    </row>
    <row r="37241" spans="1:6" x14ac:dyDescent="0.25">
      <c r="A37241"/>
      <c r="B37241"/>
      <c r="C37241"/>
      <c r="E37241"/>
      <c r="F37241"/>
    </row>
    <row r="37242" spans="1:6" x14ac:dyDescent="0.25">
      <c r="A37242"/>
      <c r="B37242"/>
      <c r="C37242"/>
      <c r="E37242"/>
      <c r="F37242"/>
    </row>
    <row r="37243" spans="1:6" x14ac:dyDescent="0.25">
      <c r="A37243"/>
      <c r="B37243"/>
      <c r="C37243"/>
      <c r="E37243"/>
      <c r="F37243"/>
    </row>
    <row r="37244" spans="1:6" x14ac:dyDescent="0.25">
      <c r="A37244"/>
      <c r="B37244"/>
      <c r="C37244"/>
      <c r="E37244"/>
      <c r="F37244"/>
    </row>
    <row r="37245" spans="1:6" x14ac:dyDescent="0.25">
      <c r="A37245"/>
      <c r="B37245"/>
      <c r="C37245"/>
      <c r="E37245"/>
      <c r="F37245"/>
    </row>
    <row r="37246" spans="1:6" x14ac:dyDescent="0.25">
      <c r="A37246"/>
      <c r="B37246"/>
      <c r="C37246"/>
      <c r="E37246"/>
      <c r="F37246"/>
    </row>
    <row r="37247" spans="1:6" x14ac:dyDescent="0.25">
      <c r="A37247"/>
      <c r="B37247"/>
      <c r="C37247"/>
      <c r="E37247"/>
      <c r="F37247"/>
    </row>
    <row r="37248" spans="1:6" x14ac:dyDescent="0.25">
      <c r="A37248"/>
      <c r="B37248"/>
      <c r="C37248"/>
      <c r="E37248"/>
      <c r="F37248"/>
    </row>
    <row r="37249" spans="1:6" x14ac:dyDescent="0.25">
      <c r="A37249"/>
      <c r="B37249"/>
      <c r="C37249"/>
      <c r="E37249"/>
      <c r="F37249"/>
    </row>
    <row r="37250" spans="1:6" x14ac:dyDescent="0.25">
      <c r="A37250"/>
      <c r="B37250"/>
      <c r="C37250"/>
      <c r="E37250"/>
      <c r="F37250"/>
    </row>
    <row r="37251" spans="1:6" x14ac:dyDescent="0.25">
      <c r="A37251"/>
      <c r="B37251"/>
      <c r="C37251"/>
      <c r="E37251"/>
      <c r="F37251"/>
    </row>
    <row r="37252" spans="1:6" x14ac:dyDescent="0.25">
      <c r="A37252"/>
      <c r="B37252"/>
      <c r="C37252"/>
      <c r="E37252"/>
      <c r="F37252"/>
    </row>
    <row r="37253" spans="1:6" x14ac:dyDescent="0.25">
      <c r="A37253"/>
      <c r="B37253"/>
      <c r="C37253"/>
      <c r="E37253"/>
      <c r="F37253"/>
    </row>
    <row r="37254" spans="1:6" x14ac:dyDescent="0.25">
      <c r="A37254"/>
      <c r="B37254"/>
      <c r="C37254"/>
      <c r="E37254"/>
      <c r="F37254"/>
    </row>
    <row r="37255" spans="1:6" x14ac:dyDescent="0.25">
      <c r="A37255"/>
      <c r="B37255"/>
      <c r="C37255"/>
      <c r="E37255"/>
      <c r="F37255"/>
    </row>
    <row r="37256" spans="1:6" x14ac:dyDescent="0.25">
      <c r="A37256"/>
      <c r="B37256"/>
      <c r="C37256"/>
      <c r="E37256"/>
      <c r="F37256"/>
    </row>
    <row r="37257" spans="1:6" x14ac:dyDescent="0.25">
      <c r="A37257"/>
      <c r="B37257"/>
      <c r="C37257"/>
      <c r="E37257"/>
      <c r="F37257"/>
    </row>
    <row r="37258" spans="1:6" x14ac:dyDescent="0.25">
      <c r="A37258"/>
      <c r="B37258"/>
      <c r="C37258"/>
      <c r="E37258"/>
      <c r="F37258"/>
    </row>
    <row r="37259" spans="1:6" x14ac:dyDescent="0.25">
      <c r="A37259"/>
      <c r="B37259"/>
      <c r="C37259"/>
      <c r="E37259"/>
      <c r="F37259"/>
    </row>
    <row r="37260" spans="1:6" x14ac:dyDescent="0.25">
      <c r="A37260"/>
      <c r="B37260"/>
      <c r="C37260"/>
      <c r="E37260"/>
      <c r="F37260"/>
    </row>
    <row r="37261" spans="1:6" x14ac:dyDescent="0.25">
      <c r="A37261"/>
      <c r="B37261"/>
      <c r="C37261"/>
      <c r="E37261"/>
      <c r="F37261"/>
    </row>
    <row r="37262" spans="1:6" x14ac:dyDescent="0.25">
      <c r="A37262"/>
      <c r="B37262"/>
      <c r="C37262"/>
      <c r="E37262"/>
      <c r="F37262"/>
    </row>
    <row r="37263" spans="1:6" x14ac:dyDescent="0.25">
      <c r="A37263"/>
      <c r="B37263"/>
      <c r="C37263"/>
      <c r="E37263"/>
      <c r="F37263"/>
    </row>
    <row r="37264" spans="1:6" x14ac:dyDescent="0.25">
      <c r="A37264"/>
      <c r="B37264"/>
      <c r="C37264"/>
      <c r="E37264"/>
      <c r="F37264"/>
    </row>
    <row r="37265" spans="1:6" x14ac:dyDescent="0.25">
      <c r="A37265"/>
      <c r="B37265"/>
      <c r="C37265"/>
      <c r="E37265"/>
      <c r="F37265"/>
    </row>
    <row r="37266" spans="1:6" x14ac:dyDescent="0.25">
      <c r="A37266"/>
      <c r="B37266"/>
      <c r="C37266"/>
      <c r="E37266"/>
      <c r="F37266"/>
    </row>
    <row r="37267" spans="1:6" x14ac:dyDescent="0.25">
      <c r="A37267"/>
      <c r="B37267"/>
      <c r="C37267"/>
      <c r="E37267"/>
      <c r="F37267"/>
    </row>
    <row r="37268" spans="1:6" x14ac:dyDescent="0.25">
      <c r="A37268"/>
      <c r="B37268"/>
      <c r="C37268"/>
      <c r="E37268"/>
      <c r="F37268"/>
    </row>
    <row r="37269" spans="1:6" x14ac:dyDescent="0.25">
      <c r="A37269"/>
      <c r="B37269"/>
      <c r="C37269"/>
      <c r="E37269"/>
      <c r="F37269"/>
    </row>
    <row r="37270" spans="1:6" x14ac:dyDescent="0.25">
      <c r="A37270"/>
      <c r="B37270"/>
      <c r="C37270"/>
      <c r="E37270"/>
      <c r="F37270"/>
    </row>
    <row r="37271" spans="1:6" x14ac:dyDescent="0.25">
      <c r="A37271"/>
      <c r="B37271"/>
      <c r="C37271"/>
      <c r="E37271"/>
      <c r="F37271"/>
    </row>
    <row r="37272" spans="1:6" x14ac:dyDescent="0.25">
      <c r="A37272"/>
      <c r="B37272"/>
      <c r="C37272"/>
      <c r="E37272"/>
      <c r="F37272"/>
    </row>
    <row r="37273" spans="1:6" x14ac:dyDescent="0.25">
      <c r="A37273"/>
      <c r="B37273"/>
      <c r="C37273"/>
      <c r="E37273"/>
      <c r="F37273"/>
    </row>
    <row r="37274" spans="1:6" x14ac:dyDescent="0.25">
      <c r="A37274"/>
      <c r="B37274"/>
      <c r="C37274"/>
      <c r="E37274"/>
      <c r="F37274"/>
    </row>
    <row r="37275" spans="1:6" x14ac:dyDescent="0.25">
      <c r="A37275"/>
      <c r="B37275"/>
      <c r="C37275"/>
      <c r="E37275"/>
      <c r="F37275"/>
    </row>
    <row r="37276" spans="1:6" x14ac:dyDescent="0.25">
      <c r="A37276"/>
      <c r="B37276"/>
      <c r="C37276"/>
      <c r="E37276"/>
      <c r="F37276"/>
    </row>
    <row r="37277" spans="1:6" x14ac:dyDescent="0.25">
      <c r="A37277"/>
      <c r="B37277"/>
      <c r="C37277"/>
      <c r="E37277"/>
      <c r="F37277"/>
    </row>
    <row r="37278" spans="1:6" x14ac:dyDescent="0.25">
      <c r="A37278"/>
      <c r="B37278"/>
      <c r="C37278"/>
      <c r="E37278"/>
      <c r="F37278"/>
    </row>
    <row r="37279" spans="1:6" x14ac:dyDescent="0.25">
      <c r="A37279"/>
      <c r="B37279"/>
      <c r="C37279"/>
      <c r="E37279"/>
      <c r="F37279"/>
    </row>
    <row r="37280" spans="1:6" x14ac:dyDescent="0.25">
      <c r="A37280"/>
      <c r="B37280"/>
      <c r="C37280"/>
      <c r="E37280"/>
      <c r="F37280"/>
    </row>
    <row r="37281" spans="1:6" x14ac:dyDescent="0.25">
      <c r="A37281"/>
      <c r="B37281"/>
      <c r="C37281"/>
      <c r="E37281"/>
      <c r="F37281"/>
    </row>
    <row r="37282" spans="1:6" x14ac:dyDescent="0.25">
      <c r="A37282"/>
      <c r="B37282"/>
      <c r="C37282"/>
      <c r="E37282"/>
      <c r="F37282"/>
    </row>
    <row r="37283" spans="1:6" x14ac:dyDescent="0.25">
      <c r="A37283"/>
      <c r="B37283"/>
      <c r="C37283"/>
      <c r="E37283"/>
      <c r="F37283"/>
    </row>
    <row r="37284" spans="1:6" x14ac:dyDescent="0.25">
      <c r="A37284"/>
      <c r="B37284"/>
      <c r="C37284"/>
      <c r="E37284"/>
      <c r="F37284"/>
    </row>
    <row r="37285" spans="1:6" x14ac:dyDescent="0.25">
      <c r="A37285"/>
      <c r="B37285"/>
      <c r="C37285"/>
      <c r="E37285"/>
      <c r="F37285"/>
    </row>
    <row r="37286" spans="1:6" x14ac:dyDescent="0.25">
      <c r="A37286"/>
      <c r="B37286"/>
      <c r="C37286"/>
      <c r="E37286"/>
      <c r="F37286"/>
    </row>
    <row r="37287" spans="1:6" x14ac:dyDescent="0.25">
      <c r="A37287"/>
      <c r="B37287"/>
      <c r="C37287"/>
      <c r="E37287"/>
      <c r="F37287"/>
    </row>
    <row r="37288" spans="1:6" x14ac:dyDescent="0.25">
      <c r="A37288"/>
      <c r="B37288"/>
      <c r="C37288"/>
      <c r="E37288"/>
      <c r="F37288"/>
    </row>
    <row r="37289" spans="1:6" x14ac:dyDescent="0.25">
      <c r="A37289"/>
      <c r="B37289"/>
      <c r="C37289"/>
      <c r="E37289"/>
      <c r="F37289"/>
    </row>
    <row r="37290" spans="1:6" x14ac:dyDescent="0.25">
      <c r="A37290"/>
      <c r="B37290"/>
      <c r="C37290"/>
      <c r="E37290"/>
      <c r="F37290"/>
    </row>
    <row r="37291" spans="1:6" x14ac:dyDescent="0.25">
      <c r="A37291"/>
      <c r="B37291"/>
      <c r="C37291"/>
      <c r="E37291"/>
      <c r="F37291"/>
    </row>
    <row r="37292" spans="1:6" x14ac:dyDescent="0.25">
      <c r="A37292"/>
      <c r="B37292"/>
      <c r="C37292"/>
      <c r="E37292"/>
      <c r="F37292"/>
    </row>
    <row r="37293" spans="1:6" x14ac:dyDescent="0.25">
      <c r="A37293"/>
      <c r="B37293"/>
      <c r="C37293"/>
      <c r="E37293"/>
      <c r="F37293"/>
    </row>
    <row r="37294" spans="1:6" x14ac:dyDescent="0.25">
      <c r="A37294"/>
      <c r="B37294"/>
      <c r="C37294"/>
      <c r="E37294"/>
      <c r="F37294"/>
    </row>
    <row r="37295" spans="1:6" x14ac:dyDescent="0.25">
      <c r="A37295"/>
      <c r="B37295"/>
      <c r="C37295"/>
      <c r="E37295"/>
      <c r="F37295"/>
    </row>
    <row r="37296" spans="1:6" x14ac:dyDescent="0.25">
      <c r="A37296"/>
      <c r="B37296"/>
      <c r="C37296"/>
      <c r="E37296"/>
      <c r="F37296"/>
    </row>
    <row r="37297" spans="1:6" x14ac:dyDescent="0.25">
      <c r="A37297"/>
      <c r="B37297"/>
      <c r="C37297"/>
      <c r="E37297"/>
      <c r="F37297"/>
    </row>
    <row r="37298" spans="1:6" x14ac:dyDescent="0.25">
      <c r="A37298"/>
      <c r="B37298"/>
      <c r="C37298"/>
      <c r="E37298"/>
      <c r="F37298"/>
    </row>
    <row r="37299" spans="1:6" x14ac:dyDescent="0.25">
      <c r="A37299"/>
      <c r="B37299"/>
      <c r="C37299"/>
      <c r="E37299"/>
      <c r="F37299"/>
    </row>
    <row r="37300" spans="1:6" x14ac:dyDescent="0.25">
      <c r="A37300"/>
      <c r="B37300"/>
      <c r="C37300"/>
      <c r="E37300"/>
      <c r="F37300"/>
    </row>
    <row r="37301" spans="1:6" x14ac:dyDescent="0.25">
      <c r="A37301"/>
      <c r="B37301"/>
      <c r="C37301"/>
      <c r="E37301"/>
      <c r="F37301"/>
    </row>
    <row r="37302" spans="1:6" x14ac:dyDescent="0.25">
      <c r="A37302"/>
      <c r="B37302"/>
      <c r="C37302"/>
      <c r="E37302"/>
      <c r="F37302"/>
    </row>
    <row r="37303" spans="1:6" x14ac:dyDescent="0.25">
      <c r="A37303"/>
      <c r="B37303"/>
      <c r="C37303"/>
      <c r="E37303"/>
      <c r="F37303"/>
    </row>
    <row r="37304" spans="1:6" x14ac:dyDescent="0.25">
      <c r="A37304"/>
      <c r="B37304"/>
      <c r="C37304"/>
      <c r="E37304"/>
      <c r="F37304"/>
    </row>
    <row r="37305" spans="1:6" x14ac:dyDescent="0.25">
      <c r="A37305"/>
      <c r="B37305"/>
      <c r="C37305"/>
      <c r="E37305"/>
      <c r="F37305"/>
    </row>
    <row r="37306" spans="1:6" x14ac:dyDescent="0.25">
      <c r="A37306"/>
      <c r="B37306"/>
      <c r="C37306"/>
      <c r="E37306"/>
      <c r="F37306"/>
    </row>
    <row r="37307" spans="1:6" x14ac:dyDescent="0.25">
      <c r="A37307"/>
      <c r="B37307"/>
      <c r="C37307"/>
      <c r="E37307"/>
      <c r="F37307"/>
    </row>
    <row r="37308" spans="1:6" x14ac:dyDescent="0.25">
      <c r="A37308"/>
      <c r="B37308"/>
      <c r="C37308"/>
      <c r="E37308"/>
      <c r="F37308"/>
    </row>
    <row r="37309" spans="1:6" x14ac:dyDescent="0.25">
      <c r="A37309"/>
      <c r="B37309"/>
      <c r="C37309"/>
      <c r="E37309"/>
      <c r="F37309"/>
    </row>
    <row r="37310" spans="1:6" x14ac:dyDescent="0.25">
      <c r="A37310"/>
      <c r="B37310"/>
      <c r="C37310"/>
      <c r="E37310"/>
      <c r="F37310"/>
    </row>
    <row r="37311" spans="1:6" x14ac:dyDescent="0.25">
      <c r="A37311"/>
      <c r="B37311"/>
      <c r="C37311"/>
      <c r="E37311"/>
      <c r="F37311"/>
    </row>
    <row r="37312" spans="1:6" x14ac:dyDescent="0.25">
      <c r="A37312"/>
      <c r="B37312"/>
      <c r="C37312"/>
      <c r="E37312"/>
      <c r="F37312"/>
    </row>
    <row r="37313" spans="1:6" x14ac:dyDescent="0.25">
      <c r="A37313"/>
      <c r="B37313"/>
      <c r="C37313"/>
      <c r="E37313"/>
      <c r="F37313"/>
    </row>
    <row r="37314" spans="1:6" x14ac:dyDescent="0.25">
      <c r="A37314"/>
      <c r="B37314"/>
      <c r="C37314"/>
      <c r="E37314"/>
      <c r="F37314"/>
    </row>
    <row r="37315" spans="1:6" x14ac:dyDescent="0.25">
      <c r="A37315"/>
      <c r="B37315"/>
      <c r="C37315"/>
      <c r="E37315"/>
      <c r="F37315"/>
    </row>
    <row r="37316" spans="1:6" x14ac:dyDescent="0.25">
      <c r="A37316"/>
      <c r="B37316"/>
      <c r="C37316"/>
      <c r="E37316"/>
      <c r="F37316"/>
    </row>
    <row r="37317" spans="1:6" x14ac:dyDescent="0.25">
      <c r="A37317"/>
      <c r="B37317"/>
      <c r="C37317"/>
      <c r="E37317"/>
      <c r="F37317"/>
    </row>
    <row r="37318" spans="1:6" x14ac:dyDescent="0.25">
      <c r="A37318"/>
      <c r="B37318"/>
      <c r="C37318"/>
      <c r="E37318"/>
      <c r="F37318"/>
    </row>
    <row r="37319" spans="1:6" x14ac:dyDescent="0.25">
      <c r="A37319"/>
      <c r="B37319"/>
      <c r="C37319"/>
      <c r="E37319"/>
      <c r="F37319"/>
    </row>
    <row r="37320" spans="1:6" x14ac:dyDescent="0.25">
      <c r="A37320"/>
      <c r="B37320"/>
      <c r="C37320"/>
      <c r="E37320"/>
      <c r="F37320"/>
    </row>
    <row r="37321" spans="1:6" x14ac:dyDescent="0.25">
      <c r="A37321"/>
      <c r="B37321"/>
      <c r="C37321"/>
      <c r="E37321"/>
      <c r="F37321"/>
    </row>
    <row r="37322" spans="1:6" x14ac:dyDescent="0.25">
      <c r="A37322"/>
      <c r="B37322"/>
      <c r="C37322"/>
      <c r="E37322"/>
      <c r="F37322"/>
    </row>
    <row r="37323" spans="1:6" x14ac:dyDescent="0.25">
      <c r="A37323"/>
      <c r="B37323"/>
      <c r="C37323"/>
      <c r="E37323"/>
      <c r="F37323"/>
    </row>
    <row r="37324" spans="1:6" x14ac:dyDescent="0.25">
      <c r="A37324"/>
      <c r="B37324"/>
      <c r="C37324"/>
      <c r="E37324"/>
      <c r="F37324"/>
    </row>
    <row r="37325" spans="1:6" x14ac:dyDescent="0.25">
      <c r="A37325"/>
      <c r="B37325"/>
      <c r="C37325"/>
      <c r="E37325"/>
      <c r="F37325"/>
    </row>
    <row r="37326" spans="1:6" x14ac:dyDescent="0.25">
      <c r="A37326"/>
      <c r="B37326"/>
      <c r="C37326"/>
      <c r="E37326"/>
      <c r="F37326"/>
    </row>
    <row r="37327" spans="1:6" x14ac:dyDescent="0.25">
      <c r="A37327"/>
      <c r="B37327"/>
      <c r="C37327"/>
      <c r="E37327"/>
      <c r="F37327"/>
    </row>
    <row r="37328" spans="1:6" x14ac:dyDescent="0.25">
      <c r="A37328"/>
      <c r="B37328"/>
      <c r="C37328"/>
      <c r="E37328"/>
      <c r="F37328"/>
    </row>
    <row r="37329" spans="1:6" x14ac:dyDescent="0.25">
      <c r="A37329"/>
      <c r="B37329"/>
      <c r="C37329"/>
      <c r="E37329"/>
      <c r="F37329"/>
    </row>
    <row r="37330" spans="1:6" x14ac:dyDescent="0.25">
      <c r="A37330"/>
      <c r="B37330"/>
      <c r="C37330"/>
      <c r="E37330"/>
      <c r="F37330"/>
    </row>
    <row r="37331" spans="1:6" x14ac:dyDescent="0.25">
      <c r="A37331"/>
      <c r="B37331"/>
      <c r="C37331"/>
      <c r="E37331"/>
      <c r="F37331"/>
    </row>
    <row r="37332" spans="1:6" x14ac:dyDescent="0.25">
      <c r="A37332"/>
      <c r="B37332"/>
      <c r="C37332"/>
      <c r="E37332"/>
      <c r="F37332"/>
    </row>
    <row r="37333" spans="1:6" x14ac:dyDescent="0.25">
      <c r="A37333"/>
      <c r="B37333"/>
      <c r="C37333"/>
      <c r="E37333"/>
      <c r="F37333"/>
    </row>
    <row r="37334" spans="1:6" x14ac:dyDescent="0.25">
      <c r="A37334"/>
      <c r="B37334"/>
      <c r="C37334"/>
      <c r="E37334"/>
      <c r="F37334"/>
    </row>
    <row r="37335" spans="1:6" x14ac:dyDescent="0.25">
      <c r="A37335"/>
      <c r="B37335"/>
      <c r="C37335"/>
      <c r="E37335"/>
      <c r="F37335"/>
    </row>
    <row r="37336" spans="1:6" x14ac:dyDescent="0.25">
      <c r="A37336"/>
      <c r="B37336"/>
      <c r="C37336"/>
      <c r="E37336"/>
      <c r="F37336"/>
    </row>
    <row r="37337" spans="1:6" x14ac:dyDescent="0.25">
      <c r="A37337"/>
      <c r="B37337"/>
      <c r="C37337"/>
      <c r="E37337"/>
      <c r="F37337"/>
    </row>
    <row r="37338" spans="1:6" x14ac:dyDescent="0.25">
      <c r="A37338"/>
      <c r="B37338"/>
      <c r="C37338"/>
      <c r="E37338"/>
      <c r="F37338"/>
    </row>
    <row r="37339" spans="1:6" x14ac:dyDescent="0.25">
      <c r="A37339"/>
      <c r="B37339"/>
      <c r="C37339"/>
      <c r="E37339"/>
      <c r="F37339"/>
    </row>
    <row r="37340" spans="1:6" x14ac:dyDescent="0.25">
      <c r="A37340"/>
      <c r="B37340"/>
      <c r="C37340"/>
      <c r="E37340"/>
      <c r="F37340"/>
    </row>
    <row r="37341" spans="1:6" x14ac:dyDescent="0.25">
      <c r="A37341"/>
      <c r="B37341"/>
      <c r="C37341"/>
      <c r="E37341"/>
      <c r="F37341"/>
    </row>
    <row r="37342" spans="1:6" x14ac:dyDescent="0.25">
      <c r="A37342"/>
      <c r="B37342"/>
      <c r="C37342"/>
      <c r="E37342"/>
      <c r="F37342"/>
    </row>
    <row r="37343" spans="1:6" x14ac:dyDescent="0.25">
      <c r="A37343"/>
      <c r="B37343"/>
      <c r="C37343"/>
      <c r="E37343"/>
      <c r="F37343"/>
    </row>
    <row r="37344" spans="1:6" x14ac:dyDescent="0.25">
      <c r="A37344"/>
      <c r="B37344"/>
      <c r="C37344"/>
      <c r="E37344"/>
      <c r="F37344"/>
    </row>
    <row r="37345" spans="1:6" x14ac:dyDescent="0.25">
      <c r="A37345"/>
      <c r="B37345"/>
      <c r="C37345"/>
      <c r="E37345"/>
      <c r="F37345"/>
    </row>
    <row r="37346" spans="1:6" x14ac:dyDescent="0.25">
      <c r="A37346"/>
      <c r="B37346"/>
      <c r="C37346"/>
      <c r="E37346"/>
      <c r="F37346"/>
    </row>
    <row r="37347" spans="1:6" x14ac:dyDescent="0.25">
      <c r="A37347"/>
      <c r="B37347"/>
      <c r="C37347"/>
      <c r="E37347"/>
      <c r="F37347"/>
    </row>
    <row r="37348" spans="1:6" x14ac:dyDescent="0.25">
      <c r="A37348"/>
      <c r="B37348"/>
      <c r="C37348"/>
      <c r="E37348"/>
      <c r="F37348"/>
    </row>
    <row r="37349" spans="1:6" x14ac:dyDescent="0.25">
      <c r="A37349"/>
      <c r="B37349"/>
      <c r="C37349"/>
      <c r="E37349"/>
      <c r="F37349"/>
    </row>
    <row r="37350" spans="1:6" x14ac:dyDescent="0.25">
      <c r="A37350"/>
      <c r="B37350"/>
      <c r="C37350"/>
      <c r="E37350"/>
      <c r="F37350"/>
    </row>
    <row r="37351" spans="1:6" x14ac:dyDescent="0.25">
      <c r="A37351"/>
      <c r="B37351"/>
      <c r="C37351"/>
      <c r="E37351"/>
      <c r="F37351"/>
    </row>
    <row r="37352" spans="1:6" x14ac:dyDescent="0.25">
      <c r="A37352"/>
      <c r="B37352"/>
      <c r="C37352"/>
      <c r="E37352"/>
      <c r="F37352"/>
    </row>
    <row r="37353" spans="1:6" x14ac:dyDescent="0.25">
      <c r="A37353"/>
      <c r="B37353"/>
      <c r="C37353"/>
      <c r="E37353"/>
      <c r="F37353"/>
    </row>
    <row r="37354" spans="1:6" x14ac:dyDescent="0.25">
      <c r="A37354"/>
      <c r="B37354"/>
      <c r="C37354"/>
      <c r="E37354"/>
      <c r="F37354"/>
    </row>
    <row r="37355" spans="1:6" x14ac:dyDescent="0.25">
      <c r="A37355"/>
      <c r="B37355"/>
      <c r="C37355"/>
      <c r="E37355"/>
      <c r="F37355"/>
    </row>
    <row r="37356" spans="1:6" x14ac:dyDescent="0.25">
      <c r="A37356"/>
      <c r="B37356"/>
      <c r="C37356"/>
      <c r="E37356"/>
      <c r="F37356"/>
    </row>
    <row r="37357" spans="1:6" x14ac:dyDescent="0.25">
      <c r="A37357"/>
      <c r="B37357"/>
      <c r="C37357"/>
      <c r="E37357"/>
      <c r="F37357"/>
    </row>
    <row r="37358" spans="1:6" x14ac:dyDescent="0.25">
      <c r="A37358"/>
      <c r="B37358"/>
      <c r="C37358"/>
      <c r="E37358"/>
      <c r="F37358"/>
    </row>
    <row r="37359" spans="1:6" x14ac:dyDescent="0.25">
      <c r="A37359"/>
      <c r="B37359"/>
      <c r="C37359"/>
      <c r="E37359"/>
      <c r="F37359"/>
    </row>
    <row r="37360" spans="1:6" x14ac:dyDescent="0.25">
      <c r="A37360"/>
      <c r="B37360"/>
      <c r="C37360"/>
      <c r="E37360"/>
      <c r="F37360"/>
    </row>
    <row r="37361" spans="1:6" x14ac:dyDescent="0.25">
      <c r="A37361"/>
      <c r="B37361"/>
      <c r="C37361"/>
      <c r="E37361"/>
      <c r="F37361"/>
    </row>
    <row r="37362" spans="1:6" x14ac:dyDescent="0.25">
      <c r="A37362"/>
      <c r="B37362"/>
      <c r="C37362"/>
      <c r="E37362"/>
      <c r="F37362"/>
    </row>
    <row r="37363" spans="1:6" x14ac:dyDescent="0.25">
      <c r="A37363"/>
      <c r="B37363"/>
      <c r="C37363"/>
      <c r="E37363"/>
      <c r="F37363"/>
    </row>
    <row r="37364" spans="1:6" x14ac:dyDescent="0.25">
      <c r="A37364"/>
      <c r="B37364"/>
      <c r="C37364"/>
      <c r="E37364"/>
      <c r="F37364"/>
    </row>
    <row r="37365" spans="1:6" x14ac:dyDescent="0.25">
      <c r="A37365"/>
      <c r="B37365"/>
      <c r="C37365"/>
      <c r="E37365"/>
      <c r="F37365"/>
    </row>
    <row r="37366" spans="1:6" x14ac:dyDescent="0.25">
      <c r="A37366"/>
      <c r="B37366"/>
      <c r="C37366"/>
      <c r="E37366"/>
      <c r="F37366"/>
    </row>
    <row r="37367" spans="1:6" x14ac:dyDescent="0.25">
      <c r="A37367"/>
      <c r="B37367"/>
      <c r="C37367"/>
      <c r="E37367"/>
      <c r="F37367"/>
    </row>
    <row r="37368" spans="1:6" x14ac:dyDescent="0.25">
      <c r="A37368"/>
      <c r="B37368"/>
      <c r="C37368"/>
      <c r="E37368"/>
      <c r="F37368"/>
    </row>
    <row r="37369" spans="1:6" x14ac:dyDescent="0.25">
      <c r="A37369"/>
      <c r="B37369"/>
      <c r="C37369"/>
      <c r="E37369"/>
      <c r="F37369"/>
    </row>
    <row r="37370" spans="1:6" x14ac:dyDescent="0.25">
      <c r="A37370"/>
      <c r="B37370"/>
      <c r="C37370"/>
      <c r="E37370"/>
      <c r="F37370"/>
    </row>
    <row r="37371" spans="1:6" x14ac:dyDescent="0.25">
      <c r="A37371"/>
      <c r="B37371"/>
      <c r="C37371"/>
      <c r="E37371"/>
      <c r="F37371"/>
    </row>
    <row r="37372" spans="1:6" x14ac:dyDescent="0.25">
      <c r="A37372"/>
      <c r="B37372"/>
      <c r="C37372"/>
      <c r="E37372"/>
      <c r="F37372"/>
    </row>
    <row r="37373" spans="1:6" x14ac:dyDescent="0.25">
      <c r="A37373"/>
      <c r="B37373"/>
      <c r="C37373"/>
      <c r="E37373"/>
      <c r="F37373"/>
    </row>
    <row r="37374" spans="1:6" x14ac:dyDescent="0.25">
      <c r="A37374"/>
      <c r="B37374"/>
      <c r="C37374"/>
      <c r="E37374"/>
      <c r="F37374"/>
    </row>
    <row r="37375" spans="1:6" x14ac:dyDescent="0.25">
      <c r="A37375"/>
      <c r="B37375"/>
      <c r="C37375"/>
      <c r="E37375"/>
      <c r="F37375"/>
    </row>
    <row r="37376" spans="1:6" x14ac:dyDescent="0.25">
      <c r="A37376"/>
      <c r="B37376"/>
      <c r="C37376"/>
      <c r="E37376"/>
      <c r="F37376"/>
    </row>
    <row r="37377" spans="1:6" x14ac:dyDescent="0.25">
      <c r="A37377"/>
      <c r="B37377"/>
      <c r="C37377"/>
      <c r="E37377"/>
      <c r="F37377"/>
    </row>
    <row r="37378" spans="1:6" x14ac:dyDescent="0.25">
      <c r="A37378"/>
      <c r="B37378"/>
      <c r="C37378"/>
      <c r="E37378"/>
      <c r="F37378"/>
    </row>
    <row r="37379" spans="1:6" x14ac:dyDescent="0.25">
      <c r="A37379"/>
      <c r="B37379"/>
      <c r="C37379"/>
      <c r="E37379"/>
      <c r="F37379"/>
    </row>
    <row r="37380" spans="1:6" x14ac:dyDescent="0.25">
      <c r="A37380"/>
      <c r="B37380"/>
      <c r="C37380"/>
      <c r="E37380"/>
      <c r="F37380"/>
    </row>
    <row r="37381" spans="1:6" x14ac:dyDescent="0.25">
      <c r="A37381"/>
      <c r="B37381"/>
      <c r="C37381"/>
      <c r="E37381"/>
      <c r="F37381"/>
    </row>
    <row r="37382" spans="1:6" x14ac:dyDescent="0.25">
      <c r="A37382"/>
      <c r="B37382"/>
      <c r="C37382"/>
      <c r="E37382"/>
      <c r="F37382"/>
    </row>
    <row r="37383" spans="1:6" x14ac:dyDescent="0.25">
      <c r="A37383"/>
      <c r="B37383"/>
      <c r="C37383"/>
      <c r="E37383"/>
      <c r="F37383"/>
    </row>
    <row r="37384" spans="1:6" x14ac:dyDescent="0.25">
      <c r="A37384"/>
      <c r="B37384"/>
      <c r="C37384"/>
      <c r="E37384"/>
      <c r="F37384"/>
    </row>
    <row r="37385" spans="1:6" x14ac:dyDescent="0.25">
      <c r="A37385"/>
      <c r="B37385"/>
      <c r="C37385"/>
      <c r="E37385"/>
      <c r="F37385"/>
    </row>
    <row r="37386" spans="1:6" x14ac:dyDescent="0.25">
      <c r="A37386"/>
      <c r="B37386"/>
      <c r="C37386"/>
      <c r="E37386"/>
      <c r="F37386"/>
    </row>
    <row r="37387" spans="1:6" x14ac:dyDescent="0.25">
      <c r="A37387"/>
      <c r="B37387"/>
      <c r="C37387"/>
      <c r="E37387"/>
      <c r="F37387"/>
    </row>
    <row r="37388" spans="1:6" x14ac:dyDescent="0.25">
      <c r="A37388"/>
      <c r="B37388"/>
      <c r="C37388"/>
      <c r="E37388"/>
      <c r="F37388"/>
    </row>
    <row r="37389" spans="1:6" x14ac:dyDescent="0.25">
      <c r="A37389"/>
      <c r="B37389"/>
      <c r="C37389"/>
      <c r="E37389"/>
      <c r="F37389"/>
    </row>
    <row r="37390" spans="1:6" x14ac:dyDescent="0.25">
      <c r="A37390"/>
      <c r="B37390"/>
      <c r="C37390"/>
      <c r="E37390"/>
      <c r="F37390"/>
    </row>
    <row r="37391" spans="1:6" x14ac:dyDescent="0.25">
      <c r="A37391"/>
      <c r="B37391"/>
      <c r="C37391"/>
      <c r="E37391"/>
      <c r="F37391"/>
    </row>
    <row r="37392" spans="1:6" x14ac:dyDescent="0.25">
      <c r="A37392"/>
      <c r="B37392"/>
      <c r="C37392"/>
      <c r="E37392"/>
      <c r="F37392"/>
    </row>
    <row r="37393" spans="1:6" x14ac:dyDescent="0.25">
      <c r="A37393"/>
      <c r="B37393"/>
      <c r="C37393"/>
      <c r="E37393"/>
      <c r="F37393"/>
    </row>
    <row r="37394" spans="1:6" x14ac:dyDescent="0.25">
      <c r="A37394"/>
      <c r="B37394"/>
      <c r="C37394"/>
      <c r="E37394"/>
      <c r="F37394"/>
    </row>
    <row r="37395" spans="1:6" x14ac:dyDescent="0.25">
      <c r="A37395"/>
      <c r="B37395"/>
      <c r="C37395"/>
      <c r="E37395"/>
      <c r="F37395"/>
    </row>
    <row r="37396" spans="1:6" x14ac:dyDescent="0.25">
      <c r="A37396"/>
      <c r="B37396"/>
      <c r="C37396"/>
      <c r="E37396"/>
      <c r="F37396"/>
    </row>
    <row r="37397" spans="1:6" x14ac:dyDescent="0.25">
      <c r="A37397"/>
      <c r="B37397"/>
      <c r="C37397"/>
      <c r="E37397"/>
      <c r="F37397"/>
    </row>
    <row r="37398" spans="1:6" x14ac:dyDescent="0.25">
      <c r="A37398"/>
      <c r="B37398"/>
      <c r="C37398"/>
      <c r="E37398"/>
      <c r="F37398"/>
    </row>
    <row r="37399" spans="1:6" x14ac:dyDescent="0.25">
      <c r="A37399"/>
      <c r="B37399"/>
      <c r="C37399"/>
      <c r="E37399"/>
      <c r="F37399"/>
    </row>
    <row r="37400" spans="1:6" x14ac:dyDescent="0.25">
      <c r="A37400"/>
      <c r="B37400"/>
      <c r="C37400"/>
      <c r="E37400"/>
      <c r="F37400"/>
    </row>
    <row r="37401" spans="1:6" x14ac:dyDescent="0.25">
      <c r="A37401"/>
      <c r="B37401"/>
      <c r="C37401"/>
      <c r="E37401"/>
      <c r="F37401"/>
    </row>
    <row r="37402" spans="1:6" x14ac:dyDescent="0.25">
      <c r="A37402"/>
      <c r="B37402"/>
      <c r="C37402"/>
      <c r="E37402"/>
      <c r="F37402"/>
    </row>
    <row r="37403" spans="1:6" x14ac:dyDescent="0.25">
      <c r="A37403"/>
      <c r="B37403"/>
      <c r="C37403"/>
      <c r="E37403"/>
      <c r="F37403"/>
    </row>
    <row r="37404" spans="1:6" x14ac:dyDescent="0.25">
      <c r="A37404"/>
      <c r="B37404"/>
      <c r="C37404"/>
      <c r="E37404"/>
      <c r="F37404"/>
    </row>
    <row r="37405" spans="1:6" x14ac:dyDescent="0.25">
      <c r="A37405"/>
      <c r="B37405"/>
      <c r="C37405"/>
      <c r="E37405"/>
      <c r="F37405"/>
    </row>
    <row r="37406" spans="1:6" x14ac:dyDescent="0.25">
      <c r="A37406"/>
      <c r="B37406"/>
      <c r="C37406"/>
      <c r="E37406"/>
      <c r="F37406"/>
    </row>
    <row r="37407" spans="1:6" x14ac:dyDescent="0.25">
      <c r="A37407"/>
      <c r="B37407"/>
      <c r="C37407"/>
      <c r="E37407"/>
      <c r="F37407"/>
    </row>
    <row r="37408" spans="1:6" x14ac:dyDescent="0.25">
      <c r="A37408"/>
      <c r="B37408"/>
      <c r="C37408"/>
      <c r="E37408"/>
      <c r="F37408"/>
    </row>
    <row r="37409" spans="1:6" x14ac:dyDescent="0.25">
      <c r="A37409"/>
      <c r="B37409"/>
      <c r="C37409"/>
      <c r="E37409"/>
      <c r="F37409"/>
    </row>
    <row r="37410" spans="1:6" x14ac:dyDescent="0.25">
      <c r="A37410"/>
      <c r="B37410"/>
      <c r="C37410"/>
      <c r="E37410"/>
      <c r="F37410"/>
    </row>
    <row r="37411" spans="1:6" x14ac:dyDescent="0.25">
      <c r="A37411"/>
      <c r="B37411"/>
      <c r="C37411"/>
      <c r="E37411"/>
      <c r="F37411"/>
    </row>
    <row r="37412" spans="1:6" x14ac:dyDescent="0.25">
      <c r="A37412"/>
      <c r="B37412"/>
      <c r="C37412"/>
      <c r="E37412"/>
      <c r="F37412"/>
    </row>
    <row r="37413" spans="1:6" x14ac:dyDescent="0.25">
      <c r="A37413"/>
      <c r="B37413"/>
      <c r="C37413"/>
      <c r="E37413"/>
      <c r="F37413"/>
    </row>
    <row r="37414" spans="1:6" x14ac:dyDescent="0.25">
      <c r="A37414"/>
      <c r="B37414"/>
      <c r="C37414"/>
      <c r="E37414"/>
      <c r="F37414"/>
    </row>
    <row r="37415" spans="1:6" x14ac:dyDescent="0.25">
      <c r="A37415"/>
      <c r="B37415"/>
      <c r="C37415"/>
      <c r="E37415"/>
      <c r="F37415"/>
    </row>
    <row r="37416" spans="1:6" x14ac:dyDescent="0.25">
      <c r="A37416"/>
      <c r="B37416"/>
      <c r="C37416"/>
      <c r="E37416"/>
      <c r="F37416"/>
    </row>
    <row r="37417" spans="1:6" x14ac:dyDescent="0.25">
      <c r="A37417"/>
      <c r="B37417"/>
      <c r="C37417"/>
      <c r="E37417"/>
      <c r="F37417"/>
    </row>
    <row r="37418" spans="1:6" x14ac:dyDescent="0.25">
      <c r="A37418"/>
      <c r="B37418"/>
      <c r="C37418"/>
      <c r="E37418"/>
      <c r="F37418"/>
    </row>
    <row r="37419" spans="1:6" x14ac:dyDescent="0.25">
      <c r="A37419"/>
      <c r="B37419"/>
      <c r="C37419"/>
      <c r="E37419"/>
      <c r="F37419"/>
    </row>
    <row r="37420" spans="1:6" x14ac:dyDescent="0.25">
      <c r="A37420"/>
      <c r="B37420"/>
      <c r="C37420"/>
      <c r="E37420"/>
      <c r="F37420"/>
    </row>
    <row r="37421" spans="1:6" x14ac:dyDescent="0.25">
      <c r="A37421"/>
      <c r="B37421"/>
      <c r="C37421"/>
      <c r="E37421"/>
      <c r="F37421"/>
    </row>
    <row r="37422" spans="1:6" x14ac:dyDescent="0.25">
      <c r="A37422"/>
      <c r="B37422"/>
      <c r="C37422"/>
      <c r="E37422"/>
      <c r="F37422"/>
    </row>
    <row r="37423" spans="1:6" x14ac:dyDescent="0.25">
      <c r="A37423"/>
      <c r="B37423"/>
      <c r="C37423"/>
      <c r="E37423"/>
      <c r="F37423"/>
    </row>
    <row r="37424" spans="1:6" x14ac:dyDescent="0.25">
      <c r="A37424"/>
      <c r="B37424"/>
      <c r="C37424"/>
      <c r="E37424"/>
      <c r="F37424"/>
    </row>
    <row r="37425" spans="1:6" x14ac:dyDescent="0.25">
      <c r="A37425"/>
      <c r="B37425"/>
      <c r="C37425"/>
      <c r="E37425"/>
      <c r="F37425"/>
    </row>
    <row r="37426" spans="1:6" x14ac:dyDescent="0.25">
      <c r="A37426"/>
      <c r="B37426"/>
      <c r="C37426"/>
      <c r="E37426"/>
      <c r="F37426"/>
    </row>
    <row r="37427" spans="1:6" x14ac:dyDescent="0.25">
      <c r="A37427"/>
      <c r="B37427"/>
      <c r="C37427"/>
      <c r="E37427"/>
      <c r="F37427"/>
    </row>
    <row r="37428" spans="1:6" x14ac:dyDescent="0.25">
      <c r="A37428"/>
      <c r="B37428"/>
      <c r="C37428"/>
      <c r="E37428"/>
      <c r="F37428"/>
    </row>
    <row r="37429" spans="1:6" x14ac:dyDescent="0.25">
      <c r="A37429"/>
      <c r="B37429"/>
      <c r="C37429"/>
      <c r="E37429"/>
      <c r="F37429"/>
    </row>
    <row r="37430" spans="1:6" x14ac:dyDescent="0.25">
      <c r="A37430"/>
      <c r="B37430"/>
      <c r="C37430"/>
      <c r="E37430"/>
      <c r="F37430"/>
    </row>
    <row r="37431" spans="1:6" x14ac:dyDescent="0.25">
      <c r="A37431"/>
      <c r="B37431"/>
      <c r="C37431"/>
      <c r="E37431"/>
      <c r="F37431"/>
    </row>
    <row r="37432" spans="1:6" x14ac:dyDescent="0.25">
      <c r="A37432"/>
      <c r="B37432"/>
      <c r="C37432"/>
      <c r="E37432"/>
      <c r="F37432"/>
    </row>
    <row r="37433" spans="1:6" x14ac:dyDescent="0.25">
      <c r="A37433"/>
      <c r="B37433"/>
      <c r="C37433"/>
      <c r="E37433"/>
      <c r="F37433"/>
    </row>
    <row r="37434" spans="1:6" x14ac:dyDescent="0.25">
      <c r="A37434"/>
      <c r="B37434"/>
      <c r="C37434"/>
      <c r="E37434"/>
      <c r="F37434"/>
    </row>
    <row r="37435" spans="1:6" x14ac:dyDescent="0.25">
      <c r="A37435"/>
      <c r="B37435"/>
      <c r="C37435"/>
      <c r="E37435"/>
      <c r="F37435"/>
    </row>
    <row r="37436" spans="1:6" x14ac:dyDescent="0.25">
      <c r="A37436"/>
      <c r="B37436"/>
      <c r="C37436"/>
      <c r="E37436"/>
      <c r="F37436"/>
    </row>
    <row r="37437" spans="1:6" x14ac:dyDescent="0.25">
      <c r="A37437"/>
      <c r="B37437"/>
      <c r="C37437"/>
      <c r="E37437"/>
      <c r="F37437"/>
    </row>
    <row r="37438" spans="1:6" x14ac:dyDescent="0.25">
      <c r="A37438"/>
      <c r="B37438"/>
      <c r="C37438"/>
      <c r="E37438"/>
      <c r="F37438"/>
    </row>
    <row r="37439" spans="1:6" x14ac:dyDescent="0.25">
      <c r="A37439"/>
      <c r="B37439"/>
      <c r="C37439"/>
      <c r="E37439"/>
      <c r="F37439"/>
    </row>
    <row r="37440" spans="1:6" x14ac:dyDescent="0.25">
      <c r="A37440"/>
      <c r="B37440"/>
      <c r="C37440"/>
      <c r="E37440"/>
      <c r="F37440"/>
    </row>
    <row r="37441" spans="1:6" x14ac:dyDescent="0.25">
      <c r="A37441"/>
      <c r="B37441"/>
      <c r="C37441"/>
      <c r="E37441"/>
      <c r="F37441"/>
    </row>
    <row r="37442" spans="1:6" x14ac:dyDescent="0.25">
      <c r="A37442"/>
      <c r="B37442"/>
      <c r="C37442"/>
      <c r="E37442"/>
      <c r="F37442"/>
    </row>
    <row r="37443" spans="1:6" x14ac:dyDescent="0.25">
      <c r="A37443"/>
      <c r="B37443"/>
      <c r="C37443"/>
      <c r="E37443"/>
      <c r="F37443"/>
    </row>
    <row r="37444" spans="1:6" x14ac:dyDescent="0.25">
      <c r="A37444"/>
      <c r="B37444"/>
      <c r="C37444"/>
      <c r="E37444"/>
      <c r="F37444"/>
    </row>
    <row r="37445" spans="1:6" x14ac:dyDescent="0.25">
      <c r="A37445"/>
      <c r="B37445"/>
      <c r="C37445"/>
      <c r="E37445"/>
      <c r="F37445"/>
    </row>
    <row r="37446" spans="1:6" x14ac:dyDescent="0.25">
      <c r="A37446"/>
      <c r="B37446"/>
      <c r="C37446"/>
      <c r="E37446"/>
      <c r="F37446"/>
    </row>
    <row r="37447" spans="1:6" x14ac:dyDescent="0.25">
      <c r="A37447"/>
      <c r="B37447"/>
      <c r="C37447"/>
      <c r="E37447"/>
      <c r="F37447"/>
    </row>
    <row r="37448" spans="1:6" x14ac:dyDescent="0.25">
      <c r="A37448"/>
      <c r="B37448"/>
      <c r="C37448"/>
      <c r="E37448"/>
      <c r="F37448"/>
    </row>
    <row r="37449" spans="1:6" x14ac:dyDescent="0.25">
      <c r="A37449"/>
      <c r="B37449"/>
      <c r="C37449"/>
      <c r="E37449"/>
      <c r="F37449"/>
    </row>
    <row r="37450" spans="1:6" x14ac:dyDescent="0.25">
      <c r="A37450"/>
      <c r="B37450"/>
      <c r="C37450"/>
      <c r="E37450"/>
      <c r="F37450"/>
    </row>
    <row r="37451" spans="1:6" x14ac:dyDescent="0.25">
      <c r="A37451"/>
      <c r="B37451"/>
      <c r="C37451"/>
      <c r="E37451"/>
      <c r="F37451"/>
    </row>
    <row r="37452" spans="1:6" x14ac:dyDescent="0.25">
      <c r="A37452"/>
      <c r="B37452"/>
      <c r="C37452"/>
      <c r="E37452"/>
      <c r="F37452"/>
    </row>
    <row r="37453" spans="1:6" x14ac:dyDescent="0.25">
      <c r="A37453"/>
      <c r="B37453"/>
      <c r="C37453"/>
      <c r="E37453"/>
      <c r="F37453"/>
    </row>
    <row r="37454" spans="1:6" x14ac:dyDescent="0.25">
      <c r="A37454"/>
      <c r="B37454"/>
      <c r="C37454"/>
      <c r="E37454"/>
      <c r="F37454"/>
    </row>
    <row r="37455" spans="1:6" x14ac:dyDescent="0.25">
      <c r="A37455"/>
      <c r="B37455"/>
      <c r="C37455"/>
      <c r="E37455"/>
      <c r="F37455"/>
    </row>
    <row r="37456" spans="1:6" x14ac:dyDescent="0.25">
      <c r="A37456"/>
      <c r="B37456"/>
      <c r="C37456"/>
      <c r="E37456"/>
      <c r="F37456"/>
    </row>
    <row r="37457" spans="1:6" x14ac:dyDescent="0.25">
      <c r="A37457"/>
      <c r="B37457"/>
      <c r="C37457"/>
      <c r="E37457"/>
      <c r="F37457"/>
    </row>
    <row r="37458" spans="1:6" x14ac:dyDescent="0.25">
      <c r="A37458"/>
      <c r="B37458"/>
      <c r="C37458"/>
      <c r="E37458"/>
      <c r="F37458"/>
    </row>
    <row r="37459" spans="1:6" x14ac:dyDescent="0.25">
      <c r="A37459"/>
      <c r="B37459"/>
      <c r="C37459"/>
      <c r="E37459"/>
      <c r="F37459"/>
    </row>
    <row r="37460" spans="1:6" x14ac:dyDescent="0.25">
      <c r="A37460"/>
      <c r="B37460"/>
      <c r="C37460"/>
      <c r="E37460"/>
      <c r="F37460"/>
    </row>
    <row r="37461" spans="1:6" x14ac:dyDescent="0.25">
      <c r="A37461"/>
      <c r="B37461"/>
      <c r="C37461"/>
      <c r="E37461"/>
      <c r="F37461"/>
    </row>
    <row r="37462" spans="1:6" x14ac:dyDescent="0.25">
      <c r="A37462"/>
      <c r="B37462"/>
      <c r="C37462"/>
      <c r="E37462"/>
      <c r="F37462"/>
    </row>
    <row r="37463" spans="1:6" x14ac:dyDescent="0.25">
      <c r="A37463"/>
      <c r="B37463"/>
      <c r="C37463"/>
      <c r="E37463"/>
      <c r="F37463"/>
    </row>
    <row r="37464" spans="1:6" x14ac:dyDescent="0.25">
      <c r="A37464"/>
      <c r="B37464"/>
      <c r="C37464"/>
      <c r="E37464"/>
      <c r="F37464"/>
    </row>
    <row r="37465" spans="1:6" x14ac:dyDescent="0.25">
      <c r="A37465"/>
      <c r="B37465"/>
      <c r="C37465"/>
      <c r="E37465"/>
      <c r="F37465"/>
    </row>
    <row r="37466" spans="1:6" x14ac:dyDescent="0.25">
      <c r="A37466"/>
      <c r="B37466"/>
      <c r="C37466"/>
      <c r="E37466"/>
      <c r="F37466"/>
    </row>
    <row r="37467" spans="1:6" x14ac:dyDescent="0.25">
      <c r="A37467"/>
      <c r="B37467"/>
      <c r="C37467"/>
      <c r="E37467"/>
      <c r="F37467"/>
    </row>
    <row r="37468" spans="1:6" x14ac:dyDescent="0.25">
      <c r="A37468"/>
      <c r="B37468"/>
      <c r="C37468"/>
      <c r="E37468"/>
      <c r="F37468"/>
    </row>
    <row r="37469" spans="1:6" x14ac:dyDescent="0.25">
      <c r="A37469"/>
      <c r="B37469"/>
      <c r="C37469"/>
      <c r="E37469"/>
      <c r="F37469"/>
    </row>
    <row r="37470" spans="1:6" x14ac:dyDescent="0.25">
      <c r="A37470"/>
      <c r="B37470"/>
      <c r="C37470"/>
      <c r="E37470"/>
      <c r="F37470"/>
    </row>
    <row r="37471" spans="1:6" x14ac:dyDescent="0.25">
      <c r="A37471"/>
      <c r="B37471"/>
      <c r="C37471"/>
      <c r="E37471"/>
      <c r="F37471"/>
    </row>
    <row r="37472" spans="1:6" x14ac:dyDescent="0.25">
      <c r="A37472"/>
      <c r="B37472"/>
      <c r="C37472"/>
      <c r="E37472"/>
      <c r="F37472"/>
    </row>
    <row r="37473" spans="1:6" x14ac:dyDescent="0.25">
      <c r="A37473"/>
      <c r="B37473"/>
      <c r="C37473"/>
      <c r="E37473"/>
      <c r="F37473"/>
    </row>
    <row r="37474" spans="1:6" x14ac:dyDescent="0.25">
      <c r="A37474"/>
      <c r="B37474"/>
      <c r="C37474"/>
      <c r="E37474"/>
      <c r="F37474"/>
    </row>
    <row r="37475" spans="1:6" x14ac:dyDescent="0.25">
      <c r="A37475"/>
      <c r="B37475"/>
      <c r="C37475"/>
      <c r="E37475"/>
      <c r="F37475"/>
    </row>
    <row r="37476" spans="1:6" x14ac:dyDescent="0.25">
      <c r="A37476"/>
      <c r="B37476"/>
      <c r="C37476"/>
      <c r="E37476"/>
      <c r="F37476"/>
    </row>
    <row r="37477" spans="1:6" x14ac:dyDescent="0.25">
      <c r="A37477"/>
      <c r="B37477"/>
      <c r="C37477"/>
      <c r="E37477"/>
      <c r="F37477"/>
    </row>
    <row r="37478" spans="1:6" x14ac:dyDescent="0.25">
      <c r="A37478"/>
      <c r="B37478"/>
      <c r="C37478"/>
      <c r="E37478"/>
      <c r="F37478"/>
    </row>
    <row r="37479" spans="1:6" x14ac:dyDescent="0.25">
      <c r="A37479"/>
      <c r="B37479"/>
      <c r="C37479"/>
      <c r="E37479"/>
      <c r="F37479"/>
    </row>
    <row r="37480" spans="1:6" x14ac:dyDescent="0.25">
      <c r="A37480"/>
      <c r="B37480"/>
      <c r="C37480"/>
      <c r="E37480"/>
      <c r="F37480"/>
    </row>
    <row r="37481" spans="1:6" x14ac:dyDescent="0.25">
      <c r="A37481"/>
      <c r="B37481"/>
      <c r="C37481"/>
      <c r="E37481"/>
      <c r="F37481"/>
    </row>
    <row r="37482" spans="1:6" x14ac:dyDescent="0.25">
      <c r="A37482"/>
      <c r="B37482"/>
      <c r="C37482"/>
      <c r="E37482"/>
      <c r="F37482"/>
    </row>
    <row r="37483" spans="1:6" x14ac:dyDescent="0.25">
      <c r="A37483"/>
      <c r="B37483"/>
      <c r="C37483"/>
      <c r="E37483"/>
      <c r="F37483"/>
    </row>
    <row r="37484" spans="1:6" x14ac:dyDescent="0.25">
      <c r="A37484"/>
      <c r="B37484"/>
      <c r="C37484"/>
      <c r="E37484"/>
      <c r="F37484"/>
    </row>
    <row r="37485" spans="1:6" x14ac:dyDescent="0.25">
      <c r="A37485"/>
      <c r="B37485"/>
      <c r="C37485"/>
      <c r="E37485"/>
      <c r="F37485"/>
    </row>
    <row r="37486" spans="1:6" x14ac:dyDescent="0.25">
      <c r="A37486"/>
      <c r="B37486"/>
      <c r="C37486"/>
      <c r="E37486"/>
      <c r="F37486"/>
    </row>
    <row r="37487" spans="1:6" x14ac:dyDescent="0.25">
      <c r="A37487"/>
      <c r="B37487"/>
      <c r="C37487"/>
      <c r="E37487"/>
      <c r="F37487"/>
    </row>
    <row r="37488" spans="1:6" x14ac:dyDescent="0.25">
      <c r="A37488"/>
      <c r="B37488"/>
      <c r="C37488"/>
      <c r="E37488"/>
      <c r="F37488"/>
    </row>
    <row r="37489" spans="1:6" x14ac:dyDescent="0.25">
      <c r="A37489"/>
      <c r="B37489"/>
      <c r="C37489"/>
      <c r="E37489"/>
      <c r="F37489"/>
    </row>
    <row r="37490" spans="1:6" x14ac:dyDescent="0.25">
      <c r="A37490"/>
      <c r="B37490"/>
      <c r="C37490"/>
      <c r="E37490"/>
      <c r="F37490"/>
    </row>
    <row r="37491" spans="1:6" x14ac:dyDescent="0.25">
      <c r="A37491"/>
      <c r="B37491"/>
      <c r="C37491"/>
      <c r="E37491"/>
      <c r="F37491"/>
    </row>
    <row r="37492" spans="1:6" x14ac:dyDescent="0.25">
      <c r="A37492"/>
      <c r="B37492"/>
      <c r="C37492"/>
      <c r="E37492"/>
      <c r="F37492"/>
    </row>
    <row r="37493" spans="1:6" x14ac:dyDescent="0.25">
      <c r="A37493"/>
      <c r="B37493"/>
      <c r="C37493"/>
      <c r="E37493"/>
      <c r="F37493"/>
    </row>
    <row r="37494" spans="1:6" x14ac:dyDescent="0.25">
      <c r="A37494"/>
      <c r="B37494"/>
      <c r="C37494"/>
      <c r="E37494"/>
      <c r="F37494"/>
    </row>
    <row r="37495" spans="1:6" x14ac:dyDescent="0.25">
      <c r="A37495"/>
      <c r="B37495"/>
      <c r="C37495"/>
      <c r="E37495"/>
      <c r="F37495"/>
    </row>
    <row r="37496" spans="1:6" x14ac:dyDescent="0.25">
      <c r="A37496"/>
      <c r="B37496"/>
      <c r="C37496"/>
      <c r="E37496"/>
      <c r="F37496"/>
    </row>
    <row r="37497" spans="1:6" x14ac:dyDescent="0.25">
      <c r="A37497"/>
      <c r="B37497"/>
      <c r="C37497"/>
      <c r="E37497"/>
      <c r="F37497"/>
    </row>
    <row r="37498" spans="1:6" x14ac:dyDescent="0.25">
      <c r="A37498"/>
      <c r="B37498"/>
      <c r="C37498"/>
      <c r="E37498"/>
      <c r="F37498"/>
    </row>
    <row r="37499" spans="1:6" x14ac:dyDescent="0.25">
      <c r="A37499"/>
      <c r="B37499"/>
      <c r="C37499"/>
      <c r="E37499"/>
      <c r="F37499"/>
    </row>
    <row r="37500" spans="1:6" x14ac:dyDescent="0.25">
      <c r="A37500"/>
      <c r="B37500"/>
      <c r="C37500"/>
      <c r="E37500"/>
      <c r="F37500"/>
    </row>
    <row r="37501" spans="1:6" x14ac:dyDescent="0.25">
      <c r="A37501"/>
      <c r="B37501"/>
      <c r="C37501"/>
      <c r="E37501"/>
      <c r="F37501"/>
    </row>
    <row r="37502" spans="1:6" x14ac:dyDescent="0.25">
      <c r="A37502"/>
      <c r="B37502"/>
      <c r="C37502"/>
      <c r="E37502"/>
      <c r="F37502"/>
    </row>
    <row r="37503" spans="1:6" x14ac:dyDescent="0.25">
      <c r="A37503"/>
      <c r="B37503"/>
      <c r="C37503"/>
      <c r="E37503"/>
      <c r="F37503"/>
    </row>
    <row r="37504" spans="1:6" x14ac:dyDescent="0.25">
      <c r="A37504"/>
      <c r="B37504"/>
      <c r="C37504"/>
      <c r="E37504"/>
      <c r="F37504"/>
    </row>
    <row r="37505" spans="1:6" x14ac:dyDescent="0.25">
      <c r="A37505"/>
      <c r="B37505"/>
      <c r="C37505"/>
      <c r="E37505"/>
      <c r="F37505"/>
    </row>
    <row r="37506" spans="1:6" x14ac:dyDescent="0.25">
      <c r="A37506"/>
      <c r="B37506"/>
      <c r="C37506"/>
      <c r="E37506"/>
      <c r="F37506"/>
    </row>
    <row r="37507" spans="1:6" x14ac:dyDescent="0.25">
      <c r="A37507"/>
      <c r="B37507"/>
      <c r="C37507"/>
      <c r="E37507"/>
      <c r="F37507"/>
    </row>
    <row r="37508" spans="1:6" x14ac:dyDescent="0.25">
      <c r="A37508"/>
      <c r="B37508"/>
      <c r="C37508"/>
      <c r="E37508"/>
      <c r="F37508"/>
    </row>
    <row r="37509" spans="1:6" x14ac:dyDescent="0.25">
      <c r="A37509"/>
      <c r="B37509"/>
      <c r="C37509"/>
      <c r="E37509"/>
      <c r="F37509"/>
    </row>
    <row r="37510" spans="1:6" x14ac:dyDescent="0.25">
      <c r="A37510"/>
      <c r="B37510"/>
      <c r="C37510"/>
      <c r="E37510"/>
      <c r="F37510"/>
    </row>
    <row r="37511" spans="1:6" x14ac:dyDescent="0.25">
      <c r="A37511"/>
      <c r="B37511"/>
      <c r="C37511"/>
      <c r="E37511"/>
      <c r="F37511"/>
    </row>
    <row r="37512" spans="1:6" x14ac:dyDescent="0.25">
      <c r="A37512"/>
      <c r="B37512"/>
      <c r="C37512"/>
      <c r="E37512"/>
      <c r="F37512"/>
    </row>
    <row r="37513" spans="1:6" x14ac:dyDescent="0.25">
      <c r="A37513"/>
      <c r="B37513"/>
      <c r="C37513"/>
      <c r="E37513"/>
      <c r="F37513"/>
    </row>
    <row r="37514" spans="1:6" x14ac:dyDescent="0.25">
      <c r="A37514"/>
      <c r="B37514"/>
      <c r="C37514"/>
      <c r="E37514"/>
      <c r="F37514"/>
    </row>
    <row r="37515" spans="1:6" x14ac:dyDescent="0.25">
      <c r="A37515"/>
      <c r="B37515"/>
      <c r="C37515"/>
      <c r="E37515"/>
      <c r="F37515"/>
    </row>
    <row r="37516" spans="1:6" x14ac:dyDescent="0.25">
      <c r="A37516"/>
      <c r="B37516"/>
      <c r="C37516"/>
      <c r="E37516"/>
      <c r="F37516"/>
    </row>
    <row r="37517" spans="1:6" x14ac:dyDescent="0.25">
      <c r="A37517"/>
      <c r="B37517"/>
      <c r="C37517"/>
      <c r="E37517"/>
      <c r="F37517"/>
    </row>
    <row r="37518" spans="1:6" x14ac:dyDescent="0.25">
      <c r="A37518"/>
      <c r="B37518"/>
      <c r="C37518"/>
      <c r="E37518"/>
      <c r="F37518"/>
    </row>
    <row r="37519" spans="1:6" x14ac:dyDescent="0.25">
      <c r="A37519"/>
      <c r="B37519"/>
      <c r="C37519"/>
      <c r="E37519"/>
      <c r="F37519"/>
    </row>
    <row r="37520" spans="1:6" x14ac:dyDescent="0.25">
      <c r="A37520"/>
      <c r="B37520"/>
      <c r="C37520"/>
      <c r="E37520"/>
      <c r="F37520"/>
    </row>
    <row r="37521" spans="1:6" x14ac:dyDescent="0.25">
      <c r="A37521"/>
      <c r="B37521"/>
      <c r="C37521"/>
      <c r="E37521"/>
      <c r="F37521"/>
    </row>
    <row r="37522" spans="1:6" x14ac:dyDescent="0.25">
      <c r="A37522"/>
      <c r="B37522"/>
      <c r="C37522"/>
      <c r="E37522"/>
      <c r="F37522"/>
    </row>
    <row r="37523" spans="1:6" x14ac:dyDescent="0.25">
      <c r="A37523"/>
      <c r="B37523"/>
      <c r="C37523"/>
      <c r="E37523"/>
      <c r="F37523"/>
    </row>
    <row r="37524" spans="1:6" x14ac:dyDescent="0.25">
      <c r="A37524"/>
      <c r="B37524"/>
      <c r="C37524"/>
      <c r="E37524"/>
      <c r="F37524"/>
    </row>
    <row r="37525" spans="1:6" x14ac:dyDescent="0.25">
      <c r="A37525"/>
      <c r="B37525"/>
      <c r="C37525"/>
      <c r="E37525"/>
      <c r="F37525"/>
    </row>
    <row r="37526" spans="1:6" x14ac:dyDescent="0.25">
      <c r="A37526"/>
      <c r="B37526"/>
      <c r="C37526"/>
      <c r="E37526"/>
      <c r="F37526"/>
    </row>
    <row r="37527" spans="1:6" x14ac:dyDescent="0.25">
      <c r="A37527"/>
      <c r="B37527"/>
      <c r="C37527"/>
      <c r="E37527"/>
      <c r="F37527"/>
    </row>
    <row r="37528" spans="1:6" x14ac:dyDescent="0.25">
      <c r="A37528"/>
      <c r="B37528"/>
      <c r="C37528"/>
      <c r="E37528"/>
      <c r="F37528"/>
    </row>
    <row r="37529" spans="1:6" x14ac:dyDescent="0.25">
      <c r="A37529"/>
      <c r="B37529"/>
      <c r="C37529"/>
      <c r="E37529"/>
      <c r="F37529"/>
    </row>
    <row r="37530" spans="1:6" x14ac:dyDescent="0.25">
      <c r="A37530"/>
      <c r="B37530"/>
      <c r="C37530"/>
      <c r="E37530"/>
      <c r="F37530"/>
    </row>
    <row r="37531" spans="1:6" x14ac:dyDescent="0.25">
      <c r="A37531"/>
      <c r="B37531"/>
      <c r="C37531"/>
      <c r="E37531"/>
      <c r="F37531"/>
    </row>
    <row r="37532" spans="1:6" x14ac:dyDescent="0.25">
      <c r="A37532"/>
      <c r="B37532"/>
      <c r="C37532"/>
      <c r="E37532"/>
      <c r="F37532"/>
    </row>
    <row r="37533" spans="1:6" x14ac:dyDescent="0.25">
      <c r="A37533"/>
      <c r="B37533"/>
      <c r="C37533"/>
      <c r="E37533"/>
      <c r="F37533"/>
    </row>
    <row r="37534" spans="1:6" x14ac:dyDescent="0.25">
      <c r="A37534"/>
      <c r="B37534"/>
      <c r="C37534"/>
      <c r="E37534"/>
      <c r="F37534"/>
    </row>
    <row r="37535" spans="1:6" x14ac:dyDescent="0.25">
      <c r="A37535"/>
      <c r="B37535"/>
      <c r="C37535"/>
      <c r="E37535"/>
      <c r="F37535"/>
    </row>
    <row r="37536" spans="1:6" x14ac:dyDescent="0.25">
      <c r="A37536"/>
      <c r="B37536"/>
      <c r="C37536"/>
      <c r="E37536"/>
      <c r="F37536"/>
    </row>
    <row r="37537" spans="1:6" x14ac:dyDescent="0.25">
      <c r="A37537"/>
      <c r="B37537"/>
      <c r="C37537"/>
      <c r="E37537"/>
      <c r="F37537"/>
    </row>
    <row r="37538" spans="1:6" x14ac:dyDescent="0.25">
      <c r="A37538"/>
      <c r="B37538"/>
      <c r="C37538"/>
      <c r="E37538"/>
      <c r="F37538"/>
    </row>
    <row r="37539" spans="1:6" x14ac:dyDescent="0.25">
      <c r="A37539"/>
      <c r="B37539"/>
      <c r="C37539"/>
      <c r="E37539"/>
      <c r="F37539"/>
    </row>
    <row r="37540" spans="1:6" x14ac:dyDescent="0.25">
      <c r="A37540"/>
      <c r="B37540"/>
      <c r="C37540"/>
      <c r="E37540"/>
      <c r="F37540"/>
    </row>
    <row r="37541" spans="1:6" x14ac:dyDescent="0.25">
      <c r="A37541"/>
      <c r="B37541"/>
      <c r="C37541"/>
      <c r="E37541"/>
      <c r="F37541"/>
    </row>
    <row r="37542" spans="1:6" x14ac:dyDescent="0.25">
      <c r="A37542"/>
      <c r="B37542"/>
      <c r="C37542"/>
      <c r="E37542"/>
      <c r="F37542"/>
    </row>
    <row r="37543" spans="1:6" x14ac:dyDescent="0.25">
      <c r="A37543"/>
      <c r="B37543"/>
      <c r="C37543"/>
      <c r="E37543"/>
      <c r="F37543"/>
    </row>
    <row r="37544" spans="1:6" x14ac:dyDescent="0.25">
      <c r="A37544"/>
      <c r="B37544"/>
      <c r="C37544"/>
      <c r="E37544"/>
      <c r="F37544"/>
    </row>
    <row r="37545" spans="1:6" x14ac:dyDescent="0.25">
      <c r="A37545"/>
      <c r="B37545"/>
      <c r="C37545"/>
      <c r="E37545"/>
      <c r="F37545"/>
    </row>
    <row r="37546" spans="1:6" x14ac:dyDescent="0.25">
      <c r="A37546"/>
      <c r="B37546"/>
      <c r="C37546"/>
      <c r="E37546"/>
      <c r="F37546"/>
    </row>
    <row r="37547" spans="1:6" x14ac:dyDescent="0.25">
      <c r="A37547"/>
      <c r="B37547"/>
      <c r="C37547"/>
      <c r="E37547"/>
      <c r="F37547"/>
    </row>
    <row r="37548" spans="1:6" x14ac:dyDescent="0.25">
      <c r="A37548"/>
      <c r="B37548"/>
      <c r="C37548"/>
      <c r="E37548"/>
      <c r="F37548"/>
    </row>
    <row r="37549" spans="1:6" x14ac:dyDescent="0.25">
      <c r="A37549"/>
      <c r="B37549"/>
      <c r="C37549"/>
      <c r="E37549"/>
      <c r="F37549"/>
    </row>
    <row r="37550" spans="1:6" x14ac:dyDescent="0.25">
      <c r="A37550"/>
      <c r="B37550"/>
      <c r="C37550"/>
      <c r="E37550"/>
      <c r="F37550"/>
    </row>
    <row r="37551" spans="1:6" x14ac:dyDescent="0.25">
      <c r="A37551"/>
      <c r="B37551"/>
      <c r="C37551"/>
      <c r="E37551"/>
      <c r="F37551"/>
    </row>
    <row r="37552" spans="1:6" x14ac:dyDescent="0.25">
      <c r="A37552"/>
      <c r="B37552"/>
      <c r="C37552"/>
      <c r="E37552"/>
      <c r="F37552"/>
    </row>
    <row r="37553" spans="1:6" x14ac:dyDescent="0.25">
      <c r="A37553"/>
      <c r="B37553"/>
      <c r="C37553"/>
      <c r="E37553"/>
      <c r="F37553"/>
    </row>
    <row r="37554" spans="1:6" x14ac:dyDescent="0.25">
      <c r="A37554"/>
      <c r="B37554"/>
      <c r="C37554"/>
      <c r="E37554"/>
      <c r="F37554"/>
    </row>
    <row r="37555" spans="1:6" x14ac:dyDescent="0.25">
      <c r="A37555"/>
      <c r="B37555"/>
      <c r="C37555"/>
      <c r="E37555"/>
      <c r="F37555"/>
    </row>
    <row r="37556" spans="1:6" x14ac:dyDescent="0.25">
      <c r="A37556"/>
      <c r="B37556"/>
      <c r="C37556"/>
      <c r="E37556"/>
      <c r="F37556"/>
    </row>
    <row r="37557" spans="1:6" x14ac:dyDescent="0.25">
      <c r="A37557"/>
      <c r="B37557"/>
      <c r="C37557"/>
      <c r="E37557"/>
      <c r="F37557"/>
    </row>
    <row r="37558" spans="1:6" x14ac:dyDescent="0.25">
      <c r="A37558"/>
      <c r="B37558"/>
      <c r="C37558"/>
      <c r="E37558"/>
      <c r="F37558"/>
    </row>
    <row r="37559" spans="1:6" x14ac:dyDescent="0.25">
      <c r="A37559"/>
      <c r="B37559"/>
      <c r="C37559"/>
      <c r="E37559"/>
      <c r="F37559"/>
    </row>
    <row r="37560" spans="1:6" x14ac:dyDescent="0.25">
      <c r="A37560"/>
      <c r="B37560"/>
      <c r="C37560"/>
      <c r="E37560"/>
      <c r="F37560"/>
    </row>
    <row r="37561" spans="1:6" x14ac:dyDescent="0.25">
      <c r="A37561"/>
      <c r="B37561"/>
      <c r="C37561"/>
      <c r="E37561"/>
      <c r="F37561"/>
    </row>
    <row r="37562" spans="1:6" x14ac:dyDescent="0.25">
      <c r="A37562"/>
      <c r="B37562"/>
      <c r="C37562"/>
      <c r="E37562"/>
      <c r="F37562"/>
    </row>
    <row r="37563" spans="1:6" x14ac:dyDescent="0.25">
      <c r="A37563"/>
      <c r="B37563"/>
      <c r="C37563"/>
      <c r="E37563"/>
      <c r="F37563"/>
    </row>
    <row r="37564" spans="1:6" x14ac:dyDescent="0.25">
      <c r="A37564"/>
      <c r="B37564"/>
      <c r="C37564"/>
      <c r="E37564"/>
      <c r="F37564"/>
    </row>
    <row r="37565" spans="1:6" x14ac:dyDescent="0.25">
      <c r="A37565"/>
      <c r="B37565"/>
      <c r="C37565"/>
      <c r="E37565"/>
      <c r="F37565"/>
    </row>
    <row r="37566" spans="1:6" x14ac:dyDescent="0.25">
      <c r="A37566"/>
      <c r="B37566"/>
      <c r="C37566"/>
      <c r="E37566"/>
      <c r="F37566"/>
    </row>
    <row r="37567" spans="1:6" x14ac:dyDescent="0.25">
      <c r="A37567"/>
      <c r="B37567"/>
      <c r="C37567"/>
      <c r="E37567"/>
      <c r="F37567"/>
    </row>
    <row r="37568" spans="1:6" x14ac:dyDescent="0.25">
      <c r="A37568"/>
      <c r="B37568"/>
      <c r="C37568"/>
      <c r="E37568"/>
      <c r="F37568"/>
    </row>
    <row r="37569" spans="1:6" x14ac:dyDescent="0.25">
      <c r="A37569"/>
      <c r="B37569"/>
      <c r="C37569"/>
      <c r="E37569"/>
      <c r="F37569"/>
    </row>
    <row r="37570" spans="1:6" x14ac:dyDescent="0.25">
      <c r="A37570"/>
      <c r="B37570"/>
      <c r="C37570"/>
      <c r="E37570"/>
      <c r="F37570"/>
    </row>
    <row r="37571" spans="1:6" x14ac:dyDescent="0.25">
      <c r="A37571"/>
      <c r="B37571"/>
      <c r="C37571"/>
      <c r="E37571"/>
      <c r="F37571"/>
    </row>
    <row r="37572" spans="1:6" x14ac:dyDescent="0.25">
      <c r="A37572"/>
      <c r="B37572"/>
      <c r="C37572"/>
      <c r="E37572"/>
      <c r="F37572"/>
    </row>
    <row r="37573" spans="1:6" x14ac:dyDescent="0.25">
      <c r="A37573"/>
      <c r="B37573"/>
      <c r="C37573"/>
      <c r="E37573"/>
      <c r="F37573"/>
    </row>
    <row r="37574" spans="1:6" x14ac:dyDescent="0.25">
      <c r="A37574"/>
      <c r="B37574"/>
      <c r="C37574"/>
      <c r="E37574"/>
      <c r="F37574"/>
    </row>
    <row r="37575" spans="1:6" x14ac:dyDescent="0.25">
      <c r="A37575"/>
      <c r="B37575"/>
      <c r="C37575"/>
      <c r="E37575"/>
      <c r="F37575"/>
    </row>
    <row r="37576" spans="1:6" x14ac:dyDescent="0.25">
      <c r="A37576"/>
      <c r="B37576"/>
      <c r="C37576"/>
      <c r="E37576"/>
      <c r="F37576"/>
    </row>
    <row r="37577" spans="1:6" x14ac:dyDescent="0.25">
      <c r="A37577"/>
      <c r="B37577"/>
      <c r="C37577"/>
      <c r="E37577"/>
      <c r="F37577"/>
    </row>
    <row r="37578" spans="1:6" x14ac:dyDescent="0.25">
      <c r="A37578"/>
      <c r="B37578"/>
      <c r="C37578"/>
      <c r="E37578"/>
      <c r="F37578"/>
    </row>
    <row r="37579" spans="1:6" x14ac:dyDescent="0.25">
      <c r="A37579"/>
      <c r="B37579"/>
      <c r="C37579"/>
      <c r="E37579"/>
      <c r="F37579"/>
    </row>
    <row r="37580" spans="1:6" x14ac:dyDescent="0.25">
      <c r="A37580"/>
      <c r="B37580"/>
      <c r="C37580"/>
      <c r="E37580"/>
      <c r="F37580"/>
    </row>
    <row r="37581" spans="1:6" x14ac:dyDescent="0.25">
      <c r="A37581"/>
      <c r="B37581"/>
      <c r="C37581"/>
      <c r="E37581"/>
      <c r="F37581"/>
    </row>
    <row r="37582" spans="1:6" x14ac:dyDescent="0.25">
      <c r="A37582"/>
      <c r="B37582"/>
      <c r="C37582"/>
      <c r="E37582"/>
      <c r="F37582"/>
    </row>
    <row r="37583" spans="1:6" x14ac:dyDescent="0.25">
      <c r="A37583"/>
      <c r="B37583"/>
      <c r="C37583"/>
      <c r="E37583"/>
      <c r="F37583"/>
    </row>
    <row r="37584" spans="1:6" x14ac:dyDescent="0.25">
      <c r="A37584"/>
      <c r="B37584"/>
      <c r="C37584"/>
      <c r="E37584"/>
      <c r="F37584"/>
    </row>
    <row r="37585" spans="1:6" x14ac:dyDescent="0.25">
      <c r="A37585"/>
      <c r="B37585"/>
      <c r="C37585"/>
      <c r="E37585"/>
      <c r="F37585"/>
    </row>
    <row r="37586" spans="1:6" x14ac:dyDescent="0.25">
      <c r="A37586"/>
      <c r="B37586"/>
      <c r="C37586"/>
      <c r="E37586"/>
      <c r="F37586"/>
    </row>
    <row r="37587" spans="1:6" x14ac:dyDescent="0.25">
      <c r="A37587"/>
      <c r="B37587"/>
      <c r="C37587"/>
      <c r="E37587"/>
      <c r="F37587"/>
    </row>
    <row r="37588" spans="1:6" x14ac:dyDescent="0.25">
      <c r="A37588"/>
      <c r="B37588"/>
      <c r="C37588"/>
      <c r="E37588"/>
      <c r="F37588"/>
    </row>
    <row r="37589" spans="1:6" x14ac:dyDescent="0.25">
      <c r="A37589"/>
      <c r="B37589"/>
      <c r="C37589"/>
      <c r="E37589"/>
      <c r="F37589"/>
    </row>
    <row r="37590" spans="1:6" x14ac:dyDescent="0.25">
      <c r="A37590"/>
      <c r="B37590"/>
      <c r="C37590"/>
      <c r="E37590"/>
      <c r="F37590"/>
    </row>
    <row r="37591" spans="1:6" x14ac:dyDescent="0.25">
      <c r="A37591"/>
      <c r="B37591"/>
      <c r="C37591"/>
      <c r="E37591"/>
      <c r="F37591"/>
    </row>
    <row r="37592" spans="1:6" x14ac:dyDescent="0.25">
      <c r="A37592"/>
      <c r="B37592"/>
      <c r="C37592"/>
      <c r="E37592"/>
      <c r="F37592"/>
    </row>
    <row r="37593" spans="1:6" x14ac:dyDescent="0.25">
      <c r="A37593"/>
      <c r="B37593"/>
      <c r="C37593"/>
      <c r="E37593"/>
      <c r="F37593"/>
    </row>
    <row r="37594" spans="1:6" x14ac:dyDescent="0.25">
      <c r="A37594"/>
      <c r="B37594"/>
      <c r="C37594"/>
      <c r="E37594"/>
      <c r="F37594"/>
    </row>
    <row r="37595" spans="1:6" x14ac:dyDescent="0.25">
      <c r="A37595"/>
      <c r="B37595"/>
      <c r="C37595"/>
      <c r="E37595"/>
      <c r="F37595"/>
    </row>
    <row r="37596" spans="1:6" x14ac:dyDescent="0.25">
      <c r="A37596"/>
      <c r="B37596"/>
      <c r="C37596"/>
      <c r="E37596"/>
      <c r="F37596"/>
    </row>
    <row r="37597" spans="1:6" x14ac:dyDescent="0.25">
      <c r="A37597"/>
      <c r="B37597"/>
      <c r="C37597"/>
      <c r="E37597"/>
      <c r="F37597"/>
    </row>
    <row r="37598" spans="1:6" x14ac:dyDescent="0.25">
      <c r="A37598"/>
      <c r="B37598"/>
      <c r="C37598"/>
      <c r="E37598"/>
      <c r="F37598"/>
    </row>
    <row r="37599" spans="1:6" x14ac:dyDescent="0.25">
      <c r="A37599"/>
      <c r="B37599"/>
      <c r="C37599"/>
      <c r="E37599"/>
      <c r="F37599"/>
    </row>
    <row r="37600" spans="1:6" x14ac:dyDescent="0.25">
      <c r="A37600"/>
      <c r="B37600"/>
      <c r="C37600"/>
      <c r="E37600"/>
      <c r="F37600"/>
    </row>
    <row r="37601" spans="1:6" x14ac:dyDescent="0.25">
      <c r="A37601"/>
      <c r="B37601"/>
      <c r="C37601"/>
      <c r="E37601"/>
      <c r="F37601"/>
    </row>
    <row r="37602" spans="1:6" x14ac:dyDescent="0.25">
      <c r="A37602"/>
      <c r="B37602"/>
      <c r="C37602"/>
      <c r="E37602"/>
      <c r="F37602"/>
    </row>
    <row r="37603" spans="1:6" x14ac:dyDescent="0.25">
      <c r="A37603"/>
      <c r="B37603"/>
      <c r="C37603"/>
      <c r="E37603"/>
      <c r="F37603"/>
    </row>
    <row r="37604" spans="1:6" x14ac:dyDescent="0.25">
      <c r="A37604"/>
      <c r="B37604"/>
      <c r="C37604"/>
      <c r="E37604"/>
      <c r="F37604"/>
    </row>
    <row r="37605" spans="1:6" x14ac:dyDescent="0.25">
      <c r="A37605"/>
      <c r="B37605"/>
      <c r="C37605"/>
      <c r="E37605"/>
      <c r="F37605"/>
    </row>
    <row r="37606" spans="1:6" x14ac:dyDescent="0.25">
      <c r="A37606"/>
      <c r="B37606"/>
      <c r="C37606"/>
      <c r="E37606"/>
      <c r="F37606"/>
    </row>
    <row r="37607" spans="1:6" x14ac:dyDescent="0.25">
      <c r="A37607"/>
      <c r="B37607"/>
      <c r="C37607"/>
      <c r="E37607"/>
      <c r="F37607"/>
    </row>
    <row r="37608" spans="1:6" x14ac:dyDescent="0.25">
      <c r="A37608"/>
      <c r="B37608"/>
      <c r="C37608"/>
      <c r="E37608"/>
      <c r="F37608"/>
    </row>
    <row r="37609" spans="1:6" x14ac:dyDescent="0.25">
      <c r="A37609"/>
      <c r="B37609"/>
      <c r="C37609"/>
      <c r="E37609"/>
      <c r="F37609"/>
    </row>
    <row r="37610" spans="1:6" x14ac:dyDescent="0.25">
      <c r="A37610"/>
      <c r="B37610"/>
      <c r="C37610"/>
      <c r="E37610"/>
      <c r="F37610"/>
    </row>
    <row r="37611" spans="1:6" x14ac:dyDescent="0.25">
      <c r="A37611"/>
      <c r="B37611"/>
      <c r="C37611"/>
      <c r="E37611"/>
      <c r="F37611"/>
    </row>
    <row r="37612" spans="1:6" x14ac:dyDescent="0.25">
      <c r="A37612"/>
      <c r="B37612"/>
      <c r="C37612"/>
      <c r="E37612"/>
      <c r="F37612"/>
    </row>
    <row r="37613" spans="1:6" x14ac:dyDescent="0.25">
      <c r="A37613"/>
      <c r="B37613"/>
      <c r="C37613"/>
      <c r="E37613"/>
      <c r="F37613"/>
    </row>
    <row r="37614" spans="1:6" x14ac:dyDescent="0.25">
      <c r="A37614"/>
      <c r="B37614"/>
      <c r="C37614"/>
      <c r="E37614"/>
      <c r="F37614"/>
    </row>
    <row r="37615" spans="1:6" x14ac:dyDescent="0.25">
      <c r="A37615"/>
      <c r="B37615"/>
      <c r="C37615"/>
      <c r="E37615"/>
      <c r="F37615"/>
    </row>
    <row r="37616" spans="1:6" x14ac:dyDescent="0.25">
      <c r="A37616"/>
      <c r="B37616"/>
      <c r="C37616"/>
      <c r="E37616"/>
      <c r="F37616"/>
    </row>
    <row r="37617" spans="1:6" x14ac:dyDescent="0.25">
      <c r="A37617"/>
      <c r="B37617"/>
      <c r="C37617"/>
      <c r="E37617"/>
      <c r="F37617"/>
    </row>
    <row r="37618" spans="1:6" x14ac:dyDescent="0.25">
      <c r="A37618"/>
      <c r="B37618"/>
      <c r="C37618"/>
      <c r="E37618"/>
      <c r="F37618"/>
    </row>
    <row r="37619" spans="1:6" x14ac:dyDescent="0.25">
      <c r="A37619"/>
      <c r="B37619"/>
      <c r="C37619"/>
      <c r="E37619"/>
      <c r="F37619"/>
    </row>
    <row r="37620" spans="1:6" x14ac:dyDescent="0.25">
      <c r="A37620"/>
      <c r="B37620"/>
      <c r="C37620"/>
      <c r="E37620"/>
      <c r="F37620"/>
    </row>
    <row r="37621" spans="1:6" x14ac:dyDescent="0.25">
      <c r="A37621"/>
      <c r="B37621"/>
      <c r="C37621"/>
      <c r="E37621"/>
      <c r="F37621"/>
    </row>
    <row r="37622" spans="1:6" x14ac:dyDescent="0.25">
      <c r="A37622"/>
      <c r="B37622"/>
      <c r="C37622"/>
      <c r="E37622"/>
      <c r="F37622"/>
    </row>
    <row r="37623" spans="1:6" x14ac:dyDescent="0.25">
      <c r="A37623"/>
      <c r="B37623"/>
      <c r="C37623"/>
      <c r="E37623"/>
      <c r="F37623"/>
    </row>
    <row r="37624" spans="1:6" x14ac:dyDescent="0.25">
      <c r="A37624"/>
      <c r="B37624"/>
      <c r="C37624"/>
      <c r="E37624"/>
      <c r="F37624"/>
    </row>
    <row r="37625" spans="1:6" x14ac:dyDescent="0.25">
      <c r="A37625"/>
      <c r="B37625"/>
      <c r="C37625"/>
      <c r="E37625"/>
      <c r="F37625"/>
    </row>
    <row r="37626" spans="1:6" x14ac:dyDescent="0.25">
      <c r="A37626"/>
      <c r="B37626"/>
      <c r="C37626"/>
      <c r="E37626"/>
      <c r="F37626"/>
    </row>
    <row r="37627" spans="1:6" x14ac:dyDescent="0.25">
      <c r="A37627"/>
      <c r="B37627"/>
      <c r="C37627"/>
      <c r="E37627"/>
      <c r="F37627"/>
    </row>
    <row r="37628" spans="1:6" x14ac:dyDescent="0.25">
      <c r="A37628"/>
      <c r="B37628"/>
      <c r="C37628"/>
      <c r="E37628"/>
      <c r="F37628"/>
    </row>
    <row r="37629" spans="1:6" x14ac:dyDescent="0.25">
      <c r="A37629"/>
      <c r="B37629"/>
      <c r="C37629"/>
      <c r="E37629"/>
      <c r="F37629"/>
    </row>
    <row r="37630" spans="1:6" x14ac:dyDescent="0.25">
      <c r="A37630"/>
      <c r="B37630"/>
      <c r="C37630"/>
      <c r="E37630"/>
      <c r="F37630"/>
    </row>
    <row r="37631" spans="1:6" x14ac:dyDescent="0.25">
      <c r="A37631"/>
      <c r="B37631"/>
      <c r="C37631"/>
      <c r="E37631"/>
      <c r="F37631"/>
    </row>
    <row r="37632" spans="1:6" x14ac:dyDescent="0.25">
      <c r="A37632"/>
      <c r="B37632"/>
      <c r="C37632"/>
      <c r="E37632"/>
      <c r="F37632"/>
    </row>
    <row r="37633" spans="1:6" x14ac:dyDescent="0.25">
      <c r="A37633"/>
      <c r="B37633"/>
      <c r="C37633"/>
      <c r="E37633"/>
      <c r="F37633"/>
    </row>
    <row r="37634" spans="1:6" x14ac:dyDescent="0.25">
      <c r="A37634"/>
      <c r="B37634"/>
      <c r="C37634"/>
      <c r="E37634"/>
      <c r="F37634"/>
    </row>
    <row r="37635" spans="1:6" x14ac:dyDescent="0.25">
      <c r="A37635"/>
      <c r="B37635"/>
      <c r="C37635"/>
      <c r="E37635"/>
      <c r="F37635"/>
    </row>
    <row r="37636" spans="1:6" x14ac:dyDescent="0.25">
      <c r="A37636"/>
      <c r="B37636"/>
      <c r="C37636"/>
      <c r="E37636"/>
      <c r="F37636"/>
    </row>
    <row r="37637" spans="1:6" x14ac:dyDescent="0.25">
      <c r="A37637"/>
      <c r="B37637"/>
      <c r="C37637"/>
      <c r="E37637"/>
      <c r="F37637"/>
    </row>
    <row r="37638" spans="1:6" x14ac:dyDescent="0.25">
      <c r="A37638"/>
      <c r="B37638"/>
      <c r="C37638"/>
      <c r="E37638"/>
      <c r="F37638"/>
    </row>
    <row r="37639" spans="1:6" x14ac:dyDescent="0.25">
      <c r="A37639"/>
      <c r="B37639"/>
      <c r="C37639"/>
      <c r="E37639"/>
      <c r="F37639"/>
    </row>
    <row r="37640" spans="1:6" x14ac:dyDescent="0.25">
      <c r="A37640"/>
      <c r="B37640"/>
      <c r="C37640"/>
      <c r="E37640"/>
      <c r="F37640"/>
    </row>
    <row r="37641" spans="1:6" x14ac:dyDescent="0.25">
      <c r="A37641"/>
      <c r="B37641"/>
      <c r="C37641"/>
      <c r="E37641"/>
      <c r="F37641"/>
    </row>
    <row r="37642" spans="1:6" x14ac:dyDescent="0.25">
      <c r="A37642"/>
      <c r="B37642"/>
      <c r="C37642"/>
      <c r="E37642"/>
      <c r="F37642"/>
    </row>
    <row r="37643" spans="1:6" x14ac:dyDescent="0.25">
      <c r="A37643"/>
      <c r="B37643"/>
      <c r="C37643"/>
      <c r="E37643"/>
      <c r="F37643"/>
    </row>
    <row r="37644" spans="1:6" x14ac:dyDescent="0.25">
      <c r="A37644"/>
      <c r="B37644"/>
      <c r="C37644"/>
      <c r="E37644"/>
      <c r="F37644"/>
    </row>
    <row r="37645" spans="1:6" x14ac:dyDescent="0.25">
      <c r="A37645"/>
      <c r="B37645"/>
      <c r="C37645"/>
      <c r="E37645"/>
      <c r="F37645"/>
    </row>
    <row r="37646" spans="1:6" x14ac:dyDescent="0.25">
      <c r="A37646"/>
      <c r="B37646"/>
      <c r="C37646"/>
      <c r="E37646"/>
      <c r="F37646"/>
    </row>
    <row r="37647" spans="1:6" x14ac:dyDescent="0.25">
      <c r="A37647"/>
      <c r="B37647"/>
      <c r="C37647"/>
      <c r="E37647"/>
      <c r="F37647"/>
    </row>
    <row r="37648" spans="1:6" x14ac:dyDescent="0.25">
      <c r="A37648"/>
      <c r="B37648"/>
      <c r="C37648"/>
      <c r="E37648"/>
      <c r="F37648"/>
    </row>
    <row r="37649" spans="1:6" x14ac:dyDescent="0.25">
      <c r="A37649"/>
      <c r="B37649"/>
      <c r="C37649"/>
      <c r="E37649"/>
      <c r="F37649"/>
    </row>
    <row r="37650" spans="1:6" x14ac:dyDescent="0.25">
      <c r="A37650"/>
      <c r="B37650"/>
      <c r="C37650"/>
      <c r="E37650"/>
      <c r="F37650"/>
    </row>
    <row r="37651" spans="1:6" x14ac:dyDescent="0.25">
      <c r="A37651"/>
      <c r="B37651"/>
      <c r="C37651"/>
      <c r="E37651"/>
      <c r="F37651"/>
    </row>
    <row r="37652" spans="1:6" x14ac:dyDescent="0.25">
      <c r="A37652"/>
      <c r="B37652"/>
      <c r="C37652"/>
      <c r="E37652"/>
      <c r="F37652"/>
    </row>
    <row r="37653" spans="1:6" x14ac:dyDescent="0.25">
      <c r="A37653"/>
      <c r="B37653"/>
      <c r="C37653"/>
      <c r="E37653"/>
      <c r="F37653"/>
    </row>
    <row r="37654" spans="1:6" x14ac:dyDescent="0.25">
      <c r="A37654"/>
      <c r="B37654"/>
      <c r="C37654"/>
      <c r="E37654"/>
      <c r="F37654"/>
    </row>
    <row r="37655" spans="1:6" x14ac:dyDescent="0.25">
      <c r="A37655"/>
      <c r="B37655"/>
      <c r="C37655"/>
      <c r="E37655"/>
      <c r="F37655"/>
    </row>
    <row r="37656" spans="1:6" x14ac:dyDescent="0.25">
      <c r="A37656"/>
      <c r="B37656"/>
      <c r="C37656"/>
      <c r="E37656"/>
      <c r="F37656"/>
    </row>
    <row r="37657" spans="1:6" x14ac:dyDescent="0.25">
      <c r="A37657"/>
      <c r="B37657"/>
      <c r="C37657"/>
      <c r="E37657"/>
      <c r="F37657"/>
    </row>
    <row r="37658" spans="1:6" x14ac:dyDescent="0.25">
      <c r="A37658"/>
      <c r="B37658"/>
      <c r="C37658"/>
      <c r="E37658"/>
      <c r="F37658"/>
    </row>
    <row r="37659" spans="1:6" x14ac:dyDescent="0.25">
      <c r="A37659"/>
      <c r="B37659"/>
      <c r="C37659"/>
      <c r="E37659"/>
      <c r="F37659"/>
    </row>
    <row r="37660" spans="1:6" x14ac:dyDescent="0.25">
      <c r="A37660"/>
      <c r="B37660"/>
      <c r="C37660"/>
      <c r="E37660"/>
      <c r="F37660"/>
    </row>
    <row r="37661" spans="1:6" x14ac:dyDescent="0.25">
      <c r="A37661"/>
      <c r="B37661"/>
      <c r="C37661"/>
      <c r="E37661"/>
      <c r="F37661"/>
    </row>
    <row r="37662" spans="1:6" x14ac:dyDescent="0.25">
      <c r="A37662"/>
      <c r="B37662"/>
      <c r="C37662"/>
      <c r="E37662"/>
      <c r="F37662"/>
    </row>
    <row r="37663" spans="1:6" x14ac:dyDescent="0.25">
      <c r="A37663"/>
      <c r="B37663"/>
      <c r="C37663"/>
      <c r="E37663"/>
      <c r="F37663"/>
    </row>
    <row r="37664" spans="1:6" x14ac:dyDescent="0.25">
      <c r="A37664"/>
      <c r="B37664"/>
      <c r="C37664"/>
      <c r="E37664"/>
      <c r="F37664"/>
    </row>
    <row r="37665" spans="1:6" x14ac:dyDescent="0.25">
      <c r="A37665"/>
      <c r="B37665"/>
      <c r="C37665"/>
      <c r="E37665"/>
      <c r="F37665"/>
    </row>
    <row r="37666" spans="1:6" x14ac:dyDescent="0.25">
      <c r="A37666"/>
      <c r="B37666"/>
      <c r="C37666"/>
      <c r="E37666"/>
      <c r="F37666"/>
    </row>
    <row r="37667" spans="1:6" x14ac:dyDescent="0.25">
      <c r="A37667"/>
      <c r="B37667"/>
      <c r="C37667"/>
      <c r="E37667"/>
      <c r="F37667"/>
    </row>
    <row r="37668" spans="1:6" x14ac:dyDescent="0.25">
      <c r="A37668"/>
      <c r="B37668"/>
      <c r="C37668"/>
      <c r="E37668"/>
      <c r="F37668"/>
    </row>
    <row r="37669" spans="1:6" x14ac:dyDescent="0.25">
      <c r="A37669"/>
      <c r="B37669"/>
      <c r="C37669"/>
      <c r="E37669"/>
      <c r="F37669"/>
    </row>
    <row r="37670" spans="1:6" x14ac:dyDescent="0.25">
      <c r="A37670"/>
      <c r="B37670"/>
      <c r="C37670"/>
      <c r="E37670"/>
      <c r="F37670"/>
    </row>
    <row r="37671" spans="1:6" x14ac:dyDescent="0.25">
      <c r="A37671"/>
      <c r="B37671"/>
      <c r="C37671"/>
      <c r="E37671"/>
      <c r="F37671"/>
    </row>
    <row r="37672" spans="1:6" x14ac:dyDescent="0.25">
      <c r="A37672"/>
      <c r="B37672"/>
      <c r="C37672"/>
      <c r="E37672"/>
      <c r="F37672"/>
    </row>
    <row r="37673" spans="1:6" x14ac:dyDescent="0.25">
      <c r="A37673"/>
      <c r="B37673"/>
      <c r="C37673"/>
      <c r="E37673"/>
      <c r="F37673"/>
    </row>
    <row r="37674" spans="1:6" x14ac:dyDescent="0.25">
      <c r="A37674"/>
      <c r="B37674"/>
      <c r="C37674"/>
      <c r="E37674"/>
      <c r="F37674"/>
    </row>
    <row r="37675" spans="1:6" x14ac:dyDescent="0.25">
      <c r="A37675"/>
      <c r="B37675"/>
      <c r="C37675"/>
      <c r="E37675"/>
      <c r="F37675"/>
    </row>
    <row r="37676" spans="1:6" x14ac:dyDescent="0.25">
      <c r="A37676"/>
      <c r="B37676"/>
      <c r="C37676"/>
      <c r="E37676"/>
      <c r="F37676"/>
    </row>
    <row r="37677" spans="1:6" x14ac:dyDescent="0.25">
      <c r="A37677"/>
      <c r="B37677"/>
      <c r="C37677"/>
      <c r="E37677"/>
      <c r="F37677"/>
    </row>
    <row r="37678" spans="1:6" x14ac:dyDescent="0.25">
      <c r="A37678"/>
      <c r="B37678"/>
      <c r="C37678"/>
      <c r="E37678"/>
      <c r="F37678"/>
    </row>
    <row r="37679" spans="1:6" x14ac:dyDescent="0.25">
      <c r="A37679"/>
      <c r="B37679"/>
      <c r="C37679"/>
      <c r="E37679"/>
      <c r="F37679"/>
    </row>
    <row r="37680" spans="1:6" x14ac:dyDescent="0.25">
      <c r="A37680"/>
      <c r="B37680"/>
      <c r="C37680"/>
      <c r="E37680"/>
      <c r="F37680"/>
    </row>
    <row r="37681" spans="1:6" x14ac:dyDescent="0.25">
      <c r="A37681"/>
      <c r="B37681"/>
      <c r="C37681"/>
      <c r="E37681"/>
      <c r="F37681"/>
    </row>
    <row r="37682" spans="1:6" x14ac:dyDescent="0.25">
      <c r="A37682"/>
      <c r="B37682"/>
      <c r="C37682"/>
      <c r="E37682"/>
      <c r="F37682"/>
    </row>
    <row r="37683" spans="1:6" x14ac:dyDescent="0.25">
      <c r="A37683"/>
      <c r="B37683"/>
      <c r="C37683"/>
      <c r="E37683"/>
      <c r="F37683"/>
    </row>
    <row r="37684" spans="1:6" x14ac:dyDescent="0.25">
      <c r="A37684"/>
      <c r="B37684"/>
      <c r="C37684"/>
      <c r="E37684"/>
      <c r="F37684"/>
    </row>
    <row r="37685" spans="1:6" x14ac:dyDescent="0.25">
      <c r="A37685"/>
      <c r="B37685"/>
      <c r="C37685"/>
      <c r="E37685"/>
      <c r="F37685"/>
    </row>
    <row r="37686" spans="1:6" x14ac:dyDescent="0.25">
      <c r="A37686"/>
      <c r="B37686"/>
      <c r="C37686"/>
      <c r="E37686"/>
      <c r="F37686"/>
    </row>
    <row r="37687" spans="1:6" x14ac:dyDescent="0.25">
      <c r="A37687"/>
      <c r="B37687"/>
      <c r="C37687"/>
      <c r="E37687"/>
      <c r="F37687"/>
    </row>
    <row r="37688" spans="1:6" x14ac:dyDescent="0.25">
      <c r="A37688"/>
      <c r="B37688"/>
      <c r="C37688"/>
      <c r="E37688"/>
      <c r="F37688"/>
    </row>
    <row r="37689" spans="1:6" x14ac:dyDescent="0.25">
      <c r="A37689"/>
      <c r="B37689"/>
      <c r="C37689"/>
      <c r="E37689"/>
      <c r="F37689"/>
    </row>
    <row r="37690" spans="1:6" x14ac:dyDescent="0.25">
      <c r="A37690"/>
      <c r="B37690"/>
      <c r="C37690"/>
      <c r="E37690"/>
      <c r="F37690"/>
    </row>
    <row r="37691" spans="1:6" x14ac:dyDescent="0.25">
      <c r="A37691"/>
      <c r="B37691"/>
      <c r="C37691"/>
      <c r="E37691"/>
      <c r="F37691"/>
    </row>
    <row r="37692" spans="1:6" x14ac:dyDescent="0.25">
      <c r="A37692"/>
      <c r="B37692"/>
      <c r="C37692"/>
      <c r="E37692"/>
      <c r="F37692"/>
    </row>
    <row r="37693" spans="1:6" x14ac:dyDescent="0.25">
      <c r="A37693"/>
      <c r="B37693"/>
      <c r="C37693"/>
      <c r="E37693"/>
      <c r="F37693"/>
    </row>
    <row r="37694" spans="1:6" x14ac:dyDescent="0.25">
      <c r="A37694"/>
      <c r="B37694"/>
      <c r="C37694"/>
      <c r="E37694"/>
      <c r="F37694"/>
    </row>
    <row r="37695" spans="1:6" x14ac:dyDescent="0.25">
      <c r="A37695"/>
      <c r="B37695"/>
      <c r="C37695"/>
      <c r="E37695"/>
      <c r="F37695"/>
    </row>
    <row r="37696" spans="1:6" x14ac:dyDescent="0.25">
      <c r="A37696"/>
      <c r="B37696"/>
      <c r="C37696"/>
      <c r="E37696"/>
      <c r="F37696"/>
    </row>
    <row r="37697" spans="1:6" x14ac:dyDescent="0.25">
      <c r="A37697"/>
      <c r="B37697"/>
      <c r="C37697"/>
      <c r="E37697"/>
      <c r="F37697"/>
    </row>
    <row r="37698" spans="1:6" x14ac:dyDescent="0.25">
      <c r="A37698"/>
      <c r="B37698"/>
      <c r="C37698"/>
      <c r="E37698"/>
      <c r="F37698"/>
    </row>
    <row r="37699" spans="1:6" x14ac:dyDescent="0.25">
      <c r="A37699"/>
      <c r="B37699"/>
      <c r="C37699"/>
      <c r="E37699"/>
      <c r="F37699"/>
    </row>
    <row r="37700" spans="1:6" x14ac:dyDescent="0.25">
      <c r="A37700"/>
      <c r="B37700"/>
      <c r="C37700"/>
      <c r="E37700"/>
      <c r="F37700"/>
    </row>
    <row r="37701" spans="1:6" x14ac:dyDescent="0.25">
      <c r="A37701"/>
      <c r="B37701"/>
      <c r="C37701"/>
      <c r="E37701"/>
      <c r="F37701"/>
    </row>
    <row r="37702" spans="1:6" x14ac:dyDescent="0.25">
      <c r="A37702"/>
      <c r="B37702"/>
      <c r="C37702"/>
      <c r="E37702"/>
      <c r="F37702"/>
    </row>
    <row r="37703" spans="1:6" x14ac:dyDescent="0.25">
      <c r="A37703"/>
      <c r="B37703"/>
      <c r="C37703"/>
      <c r="E37703"/>
      <c r="F37703"/>
    </row>
    <row r="37704" spans="1:6" x14ac:dyDescent="0.25">
      <c r="A37704"/>
      <c r="B37704"/>
      <c r="C37704"/>
      <c r="E37704"/>
      <c r="F37704"/>
    </row>
    <row r="37705" spans="1:6" x14ac:dyDescent="0.25">
      <c r="A37705"/>
      <c r="B37705"/>
      <c r="C37705"/>
      <c r="E37705"/>
      <c r="F37705"/>
    </row>
    <row r="37706" spans="1:6" x14ac:dyDescent="0.25">
      <c r="A37706"/>
      <c r="B37706"/>
      <c r="C37706"/>
      <c r="E37706"/>
      <c r="F37706"/>
    </row>
    <row r="37707" spans="1:6" x14ac:dyDescent="0.25">
      <c r="A37707"/>
      <c r="B37707"/>
      <c r="C37707"/>
      <c r="E37707"/>
      <c r="F37707"/>
    </row>
    <row r="37708" spans="1:6" x14ac:dyDescent="0.25">
      <c r="A37708"/>
      <c r="B37708"/>
      <c r="C37708"/>
      <c r="E37708"/>
      <c r="F37708"/>
    </row>
    <row r="37709" spans="1:6" x14ac:dyDescent="0.25">
      <c r="A37709"/>
      <c r="B37709"/>
      <c r="C37709"/>
      <c r="E37709"/>
      <c r="F37709"/>
    </row>
    <row r="37710" spans="1:6" x14ac:dyDescent="0.25">
      <c r="A37710"/>
      <c r="B37710"/>
      <c r="C37710"/>
      <c r="E37710"/>
      <c r="F37710"/>
    </row>
    <row r="37711" spans="1:6" x14ac:dyDescent="0.25">
      <c r="A37711"/>
      <c r="B37711"/>
      <c r="C37711"/>
      <c r="E37711"/>
      <c r="F37711"/>
    </row>
    <row r="37712" spans="1:6" x14ac:dyDescent="0.25">
      <c r="A37712"/>
      <c r="B37712"/>
      <c r="C37712"/>
      <c r="E37712"/>
      <c r="F37712"/>
    </row>
    <row r="37713" spans="1:6" x14ac:dyDescent="0.25">
      <c r="A37713"/>
      <c r="B37713"/>
      <c r="C37713"/>
      <c r="E37713"/>
      <c r="F37713"/>
    </row>
    <row r="37714" spans="1:6" x14ac:dyDescent="0.25">
      <c r="A37714"/>
      <c r="B37714"/>
      <c r="C37714"/>
      <c r="E37714"/>
      <c r="F37714"/>
    </row>
    <row r="37715" spans="1:6" x14ac:dyDescent="0.25">
      <c r="A37715"/>
      <c r="B37715"/>
      <c r="C37715"/>
      <c r="E37715"/>
      <c r="F37715"/>
    </row>
    <row r="37716" spans="1:6" x14ac:dyDescent="0.25">
      <c r="A37716"/>
      <c r="B37716"/>
      <c r="C37716"/>
      <c r="E37716"/>
      <c r="F37716"/>
    </row>
    <row r="37717" spans="1:6" x14ac:dyDescent="0.25">
      <c r="A37717"/>
      <c r="B37717"/>
      <c r="C37717"/>
      <c r="E37717"/>
      <c r="F37717"/>
    </row>
    <row r="37718" spans="1:6" x14ac:dyDescent="0.25">
      <c r="A37718"/>
      <c r="B37718"/>
      <c r="C37718"/>
      <c r="E37718"/>
      <c r="F37718"/>
    </row>
    <row r="37719" spans="1:6" x14ac:dyDescent="0.25">
      <c r="A37719"/>
      <c r="B37719"/>
      <c r="C37719"/>
      <c r="E37719"/>
      <c r="F37719"/>
    </row>
    <row r="37720" spans="1:6" x14ac:dyDescent="0.25">
      <c r="A37720"/>
      <c r="B37720"/>
      <c r="C37720"/>
      <c r="E37720"/>
      <c r="F37720"/>
    </row>
    <row r="37721" spans="1:6" x14ac:dyDescent="0.25">
      <c r="A37721"/>
      <c r="B37721"/>
      <c r="C37721"/>
      <c r="E37721"/>
      <c r="F37721"/>
    </row>
    <row r="37722" spans="1:6" x14ac:dyDescent="0.25">
      <c r="A37722"/>
      <c r="B37722"/>
      <c r="C37722"/>
      <c r="E37722"/>
      <c r="F37722"/>
    </row>
    <row r="37723" spans="1:6" x14ac:dyDescent="0.25">
      <c r="A37723"/>
      <c r="B37723"/>
      <c r="C37723"/>
      <c r="E37723"/>
      <c r="F37723"/>
    </row>
    <row r="37724" spans="1:6" x14ac:dyDescent="0.25">
      <c r="A37724"/>
      <c r="B37724"/>
      <c r="C37724"/>
      <c r="E37724"/>
      <c r="F37724"/>
    </row>
    <row r="37725" spans="1:6" x14ac:dyDescent="0.25">
      <c r="A37725"/>
      <c r="B37725"/>
      <c r="C37725"/>
      <c r="E37725"/>
      <c r="F37725"/>
    </row>
    <row r="37726" spans="1:6" x14ac:dyDescent="0.25">
      <c r="A37726"/>
      <c r="B37726"/>
      <c r="C37726"/>
      <c r="E37726"/>
      <c r="F37726"/>
    </row>
    <row r="37727" spans="1:6" x14ac:dyDescent="0.25">
      <c r="A37727"/>
      <c r="B37727"/>
      <c r="C37727"/>
      <c r="E37727"/>
      <c r="F37727"/>
    </row>
    <row r="37728" spans="1:6" x14ac:dyDescent="0.25">
      <c r="A37728"/>
      <c r="B37728"/>
      <c r="C37728"/>
      <c r="E37728"/>
      <c r="F37728"/>
    </row>
    <row r="37729" spans="1:6" x14ac:dyDescent="0.25">
      <c r="A37729"/>
      <c r="B37729"/>
      <c r="C37729"/>
      <c r="E37729"/>
      <c r="F37729"/>
    </row>
    <row r="37730" spans="1:6" x14ac:dyDescent="0.25">
      <c r="A37730"/>
      <c r="B37730"/>
      <c r="C37730"/>
      <c r="E37730"/>
      <c r="F37730"/>
    </row>
    <row r="37731" spans="1:6" x14ac:dyDescent="0.25">
      <c r="A37731"/>
      <c r="B37731"/>
      <c r="C37731"/>
      <c r="E37731"/>
      <c r="F37731"/>
    </row>
    <row r="37732" spans="1:6" x14ac:dyDescent="0.25">
      <c r="A37732"/>
      <c r="B37732"/>
      <c r="C37732"/>
      <c r="E37732"/>
      <c r="F37732"/>
    </row>
    <row r="37733" spans="1:6" x14ac:dyDescent="0.25">
      <c r="A37733"/>
      <c r="B37733"/>
      <c r="C37733"/>
      <c r="E37733"/>
      <c r="F37733"/>
    </row>
    <row r="37734" spans="1:6" x14ac:dyDescent="0.25">
      <c r="A37734"/>
      <c r="B37734"/>
      <c r="C37734"/>
      <c r="E37734"/>
      <c r="F37734"/>
    </row>
    <row r="37735" spans="1:6" x14ac:dyDescent="0.25">
      <c r="A37735"/>
      <c r="B37735"/>
      <c r="C37735"/>
      <c r="E37735"/>
      <c r="F37735"/>
    </row>
    <row r="37736" spans="1:6" x14ac:dyDescent="0.25">
      <c r="A37736"/>
      <c r="B37736"/>
      <c r="C37736"/>
      <c r="E37736"/>
      <c r="F37736"/>
    </row>
    <row r="37737" spans="1:6" x14ac:dyDescent="0.25">
      <c r="A37737"/>
      <c r="B37737"/>
      <c r="C37737"/>
      <c r="E37737"/>
      <c r="F37737"/>
    </row>
    <row r="37738" spans="1:6" x14ac:dyDescent="0.25">
      <c r="A37738"/>
      <c r="B37738"/>
      <c r="C37738"/>
      <c r="E37738"/>
      <c r="F37738"/>
    </row>
    <row r="37739" spans="1:6" x14ac:dyDescent="0.25">
      <c r="A37739"/>
      <c r="B37739"/>
      <c r="C37739"/>
      <c r="E37739"/>
      <c r="F37739"/>
    </row>
    <row r="37740" spans="1:6" x14ac:dyDescent="0.25">
      <c r="A37740"/>
      <c r="B37740"/>
      <c r="C37740"/>
      <c r="E37740"/>
      <c r="F37740"/>
    </row>
    <row r="37741" spans="1:6" x14ac:dyDescent="0.25">
      <c r="A37741"/>
      <c r="B37741"/>
      <c r="C37741"/>
      <c r="E37741"/>
      <c r="F37741"/>
    </row>
    <row r="37742" spans="1:6" x14ac:dyDescent="0.25">
      <c r="A37742"/>
      <c r="B37742"/>
      <c r="C37742"/>
      <c r="E37742"/>
      <c r="F37742"/>
    </row>
    <row r="37743" spans="1:6" x14ac:dyDescent="0.25">
      <c r="A37743"/>
      <c r="B37743"/>
      <c r="C37743"/>
      <c r="E37743"/>
      <c r="F37743"/>
    </row>
    <row r="37744" spans="1:6" x14ac:dyDescent="0.25">
      <c r="A37744"/>
      <c r="B37744"/>
      <c r="C37744"/>
      <c r="E37744"/>
      <c r="F37744"/>
    </row>
    <row r="37745" spans="1:6" x14ac:dyDescent="0.25">
      <c r="A37745"/>
      <c r="B37745"/>
      <c r="C37745"/>
      <c r="E37745"/>
      <c r="F37745"/>
    </row>
    <row r="37746" spans="1:6" x14ac:dyDescent="0.25">
      <c r="A37746"/>
      <c r="B37746"/>
      <c r="C37746"/>
      <c r="E37746"/>
      <c r="F37746"/>
    </row>
    <row r="37747" spans="1:6" x14ac:dyDescent="0.25">
      <c r="A37747"/>
      <c r="B37747"/>
      <c r="C37747"/>
      <c r="E37747"/>
      <c r="F37747"/>
    </row>
    <row r="37748" spans="1:6" x14ac:dyDescent="0.25">
      <c r="A37748"/>
      <c r="B37748"/>
      <c r="C37748"/>
      <c r="E37748"/>
      <c r="F37748"/>
    </row>
    <row r="37749" spans="1:6" x14ac:dyDescent="0.25">
      <c r="A37749"/>
      <c r="B37749"/>
      <c r="C37749"/>
      <c r="E37749"/>
      <c r="F37749"/>
    </row>
    <row r="37750" spans="1:6" x14ac:dyDescent="0.25">
      <c r="A37750"/>
      <c r="B37750"/>
      <c r="C37750"/>
      <c r="E37750"/>
      <c r="F37750"/>
    </row>
    <row r="37751" spans="1:6" x14ac:dyDescent="0.25">
      <c r="A37751"/>
      <c r="B37751"/>
      <c r="C37751"/>
      <c r="E37751"/>
      <c r="F37751"/>
    </row>
    <row r="37752" spans="1:6" x14ac:dyDescent="0.25">
      <c r="A37752"/>
      <c r="B37752"/>
      <c r="C37752"/>
      <c r="E37752"/>
      <c r="F37752"/>
    </row>
    <row r="37753" spans="1:6" x14ac:dyDescent="0.25">
      <c r="A37753"/>
      <c r="B37753"/>
      <c r="C37753"/>
      <c r="E37753"/>
      <c r="F37753"/>
    </row>
    <row r="37754" spans="1:6" x14ac:dyDescent="0.25">
      <c r="A37754"/>
      <c r="B37754"/>
      <c r="C37754"/>
      <c r="E37754"/>
      <c r="F37754"/>
    </row>
    <row r="37755" spans="1:6" x14ac:dyDescent="0.25">
      <c r="A37755"/>
      <c r="B37755"/>
      <c r="C37755"/>
      <c r="E37755"/>
      <c r="F37755"/>
    </row>
    <row r="37756" spans="1:6" x14ac:dyDescent="0.25">
      <c r="A37756"/>
      <c r="B37756"/>
      <c r="C37756"/>
      <c r="E37756"/>
      <c r="F37756"/>
    </row>
    <row r="37757" spans="1:6" x14ac:dyDescent="0.25">
      <c r="A37757"/>
      <c r="B37757"/>
      <c r="C37757"/>
      <c r="E37757"/>
      <c r="F37757"/>
    </row>
    <row r="37758" spans="1:6" x14ac:dyDescent="0.25">
      <c r="A37758"/>
      <c r="B37758"/>
      <c r="C37758"/>
      <c r="E37758"/>
      <c r="F37758"/>
    </row>
    <row r="37759" spans="1:6" x14ac:dyDescent="0.25">
      <c r="A37759"/>
      <c r="B37759"/>
      <c r="C37759"/>
      <c r="E37759"/>
      <c r="F37759"/>
    </row>
    <row r="37760" spans="1:6" x14ac:dyDescent="0.25">
      <c r="A37760"/>
      <c r="B37760"/>
      <c r="C37760"/>
      <c r="E37760"/>
      <c r="F37760"/>
    </row>
    <row r="37761" spans="1:6" x14ac:dyDescent="0.25">
      <c r="A37761"/>
      <c r="B37761"/>
      <c r="C37761"/>
      <c r="E37761"/>
      <c r="F37761"/>
    </row>
    <row r="37762" spans="1:6" x14ac:dyDescent="0.25">
      <c r="A37762"/>
      <c r="B37762"/>
      <c r="C37762"/>
      <c r="E37762"/>
      <c r="F37762"/>
    </row>
    <row r="37763" spans="1:6" x14ac:dyDescent="0.25">
      <c r="A37763"/>
      <c r="B37763"/>
      <c r="C37763"/>
      <c r="E37763"/>
      <c r="F37763"/>
    </row>
    <row r="37764" spans="1:6" x14ac:dyDescent="0.25">
      <c r="A37764"/>
      <c r="B37764"/>
      <c r="C37764"/>
      <c r="E37764"/>
      <c r="F37764"/>
    </row>
    <row r="37765" spans="1:6" x14ac:dyDescent="0.25">
      <c r="A37765"/>
      <c r="B37765"/>
      <c r="C37765"/>
      <c r="E37765"/>
      <c r="F37765"/>
    </row>
    <row r="37766" spans="1:6" x14ac:dyDescent="0.25">
      <c r="A37766"/>
      <c r="B37766"/>
      <c r="C37766"/>
      <c r="E37766"/>
      <c r="F37766"/>
    </row>
    <row r="37767" spans="1:6" x14ac:dyDescent="0.25">
      <c r="A37767"/>
      <c r="B37767"/>
      <c r="C37767"/>
      <c r="E37767"/>
      <c r="F37767"/>
    </row>
    <row r="37768" spans="1:6" x14ac:dyDescent="0.25">
      <c r="A37768"/>
      <c r="B37768"/>
      <c r="C37768"/>
      <c r="E37768"/>
      <c r="F37768"/>
    </row>
    <row r="37769" spans="1:6" x14ac:dyDescent="0.25">
      <c r="A37769"/>
      <c r="B37769"/>
      <c r="C37769"/>
      <c r="E37769"/>
      <c r="F37769"/>
    </row>
    <row r="37770" spans="1:6" x14ac:dyDescent="0.25">
      <c r="A37770"/>
      <c r="B37770"/>
      <c r="C37770"/>
      <c r="E37770"/>
      <c r="F37770"/>
    </row>
    <row r="37771" spans="1:6" x14ac:dyDescent="0.25">
      <c r="A37771"/>
      <c r="B37771"/>
      <c r="C37771"/>
      <c r="E37771"/>
      <c r="F37771"/>
    </row>
    <row r="37772" spans="1:6" x14ac:dyDescent="0.25">
      <c r="A37772"/>
      <c r="B37772"/>
      <c r="C37772"/>
      <c r="E37772"/>
      <c r="F37772"/>
    </row>
    <row r="37773" spans="1:6" x14ac:dyDescent="0.25">
      <c r="A37773"/>
      <c r="B37773"/>
      <c r="C37773"/>
      <c r="E37773"/>
      <c r="F37773"/>
    </row>
    <row r="37774" spans="1:6" x14ac:dyDescent="0.25">
      <c r="A37774"/>
      <c r="B37774"/>
      <c r="C37774"/>
      <c r="E37774"/>
      <c r="F37774"/>
    </row>
    <row r="37775" spans="1:6" x14ac:dyDescent="0.25">
      <c r="A37775"/>
      <c r="B37775"/>
      <c r="C37775"/>
      <c r="E37775"/>
      <c r="F37775"/>
    </row>
    <row r="37776" spans="1:6" x14ac:dyDescent="0.25">
      <c r="A37776"/>
      <c r="B37776"/>
      <c r="C37776"/>
      <c r="E37776"/>
      <c r="F37776"/>
    </row>
    <row r="37777" spans="1:6" x14ac:dyDescent="0.25">
      <c r="A37777"/>
      <c r="B37777"/>
      <c r="C37777"/>
      <c r="E37777"/>
      <c r="F37777"/>
    </row>
    <row r="37778" spans="1:6" x14ac:dyDescent="0.25">
      <c r="A37778"/>
      <c r="B37778"/>
      <c r="C37778"/>
      <c r="E37778"/>
      <c r="F37778"/>
    </row>
    <row r="37779" spans="1:6" x14ac:dyDescent="0.25">
      <c r="A37779"/>
      <c r="B37779"/>
      <c r="C37779"/>
      <c r="E37779"/>
      <c r="F37779"/>
    </row>
    <row r="37780" spans="1:6" x14ac:dyDescent="0.25">
      <c r="A37780"/>
      <c r="B37780"/>
      <c r="C37780"/>
      <c r="E37780"/>
      <c r="F37780"/>
    </row>
    <row r="37781" spans="1:6" x14ac:dyDescent="0.25">
      <c r="A37781"/>
      <c r="B37781"/>
      <c r="C37781"/>
      <c r="E37781"/>
      <c r="F37781"/>
    </row>
    <row r="37782" spans="1:6" x14ac:dyDescent="0.25">
      <c r="A37782"/>
      <c r="B37782"/>
      <c r="C37782"/>
      <c r="E37782"/>
      <c r="F37782"/>
    </row>
    <row r="37783" spans="1:6" x14ac:dyDescent="0.25">
      <c r="A37783"/>
      <c r="B37783"/>
      <c r="C37783"/>
      <c r="E37783"/>
      <c r="F37783"/>
    </row>
    <row r="37784" spans="1:6" x14ac:dyDescent="0.25">
      <c r="A37784"/>
      <c r="B37784"/>
      <c r="C37784"/>
      <c r="E37784"/>
      <c r="F37784"/>
    </row>
    <row r="37785" spans="1:6" x14ac:dyDescent="0.25">
      <c r="A37785"/>
      <c r="B37785"/>
      <c r="C37785"/>
      <c r="E37785"/>
      <c r="F37785"/>
    </row>
    <row r="37786" spans="1:6" x14ac:dyDescent="0.25">
      <c r="A37786"/>
      <c r="B37786"/>
      <c r="C37786"/>
      <c r="E37786"/>
      <c r="F37786"/>
    </row>
    <row r="37787" spans="1:6" x14ac:dyDescent="0.25">
      <c r="A37787"/>
      <c r="B37787"/>
      <c r="C37787"/>
      <c r="E37787"/>
      <c r="F37787"/>
    </row>
    <row r="37788" spans="1:6" x14ac:dyDescent="0.25">
      <c r="A37788"/>
      <c r="B37788"/>
      <c r="C37788"/>
      <c r="E37788"/>
      <c r="F37788"/>
    </row>
    <row r="37789" spans="1:6" x14ac:dyDescent="0.25">
      <c r="A37789"/>
      <c r="B37789"/>
      <c r="C37789"/>
      <c r="E37789"/>
      <c r="F37789"/>
    </row>
    <row r="37790" spans="1:6" x14ac:dyDescent="0.25">
      <c r="A37790"/>
      <c r="B37790"/>
      <c r="C37790"/>
      <c r="E37790"/>
      <c r="F37790"/>
    </row>
    <row r="37791" spans="1:6" x14ac:dyDescent="0.25">
      <c r="A37791"/>
      <c r="B37791"/>
      <c r="C37791"/>
      <c r="E37791"/>
      <c r="F37791"/>
    </row>
    <row r="37792" spans="1:6" x14ac:dyDescent="0.25">
      <c r="A37792"/>
      <c r="B37792"/>
      <c r="C37792"/>
      <c r="E37792"/>
      <c r="F37792"/>
    </row>
    <row r="37793" spans="1:6" x14ac:dyDescent="0.25">
      <c r="A37793"/>
      <c r="B37793"/>
      <c r="C37793"/>
      <c r="E37793"/>
      <c r="F37793"/>
    </row>
    <row r="37794" spans="1:6" x14ac:dyDescent="0.25">
      <c r="A37794"/>
      <c r="B37794"/>
      <c r="C37794"/>
      <c r="E37794"/>
      <c r="F37794"/>
    </row>
    <row r="37795" spans="1:6" x14ac:dyDescent="0.25">
      <c r="A37795"/>
      <c r="B37795"/>
      <c r="C37795"/>
      <c r="E37795"/>
      <c r="F37795"/>
    </row>
    <row r="37796" spans="1:6" x14ac:dyDescent="0.25">
      <c r="A37796"/>
      <c r="B37796"/>
      <c r="C37796"/>
      <c r="E37796"/>
      <c r="F37796"/>
    </row>
    <row r="37797" spans="1:6" x14ac:dyDescent="0.25">
      <c r="A37797"/>
      <c r="B37797"/>
      <c r="C37797"/>
      <c r="E37797"/>
      <c r="F37797"/>
    </row>
    <row r="37798" spans="1:6" x14ac:dyDescent="0.25">
      <c r="A37798"/>
      <c r="B37798"/>
      <c r="C37798"/>
      <c r="E37798"/>
      <c r="F37798"/>
    </row>
    <row r="37799" spans="1:6" x14ac:dyDescent="0.25">
      <c r="A37799"/>
      <c r="B37799"/>
      <c r="C37799"/>
      <c r="E37799"/>
      <c r="F37799"/>
    </row>
    <row r="37800" spans="1:6" x14ac:dyDescent="0.25">
      <c r="A37800"/>
      <c r="B37800"/>
      <c r="C37800"/>
      <c r="E37800"/>
      <c r="F37800"/>
    </row>
    <row r="37801" spans="1:6" x14ac:dyDescent="0.25">
      <c r="A37801"/>
      <c r="B37801"/>
      <c r="C37801"/>
      <c r="E37801"/>
      <c r="F37801"/>
    </row>
    <row r="37802" spans="1:6" x14ac:dyDescent="0.25">
      <c r="A37802"/>
      <c r="B37802"/>
      <c r="C37802"/>
      <c r="E37802"/>
      <c r="F37802"/>
    </row>
    <row r="37803" spans="1:6" x14ac:dyDescent="0.25">
      <c r="A37803"/>
      <c r="B37803"/>
      <c r="C37803"/>
      <c r="E37803"/>
      <c r="F37803"/>
    </row>
    <row r="37804" spans="1:6" x14ac:dyDescent="0.25">
      <c r="A37804"/>
      <c r="B37804"/>
      <c r="C37804"/>
      <c r="E37804"/>
      <c r="F37804"/>
    </row>
    <row r="37805" spans="1:6" x14ac:dyDescent="0.25">
      <c r="A37805"/>
      <c r="B37805"/>
      <c r="C37805"/>
      <c r="E37805"/>
      <c r="F37805"/>
    </row>
    <row r="37806" spans="1:6" x14ac:dyDescent="0.25">
      <c r="A37806"/>
      <c r="B37806"/>
      <c r="C37806"/>
      <c r="E37806"/>
      <c r="F37806"/>
    </row>
    <row r="37807" spans="1:6" x14ac:dyDescent="0.25">
      <c r="A37807"/>
      <c r="B37807"/>
      <c r="C37807"/>
      <c r="E37807"/>
      <c r="F37807"/>
    </row>
    <row r="37808" spans="1:6" x14ac:dyDescent="0.25">
      <c r="A37808"/>
      <c r="B37808"/>
      <c r="C37808"/>
      <c r="E37808"/>
      <c r="F37808"/>
    </row>
    <row r="37809" spans="1:6" x14ac:dyDescent="0.25">
      <c r="A37809"/>
      <c r="B37809"/>
      <c r="C37809"/>
      <c r="E37809"/>
      <c r="F37809"/>
    </row>
    <row r="37810" spans="1:6" x14ac:dyDescent="0.25">
      <c r="A37810"/>
      <c r="B37810"/>
      <c r="C37810"/>
      <c r="E37810"/>
      <c r="F37810"/>
    </row>
    <row r="37811" spans="1:6" x14ac:dyDescent="0.25">
      <c r="A37811"/>
      <c r="B37811"/>
      <c r="C37811"/>
      <c r="E37811"/>
      <c r="F37811"/>
    </row>
    <row r="37812" spans="1:6" x14ac:dyDescent="0.25">
      <c r="A37812"/>
      <c r="B37812"/>
      <c r="C37812"/>
      <c r="E37812"/>
      <c r="F37812"/>
    </row>
    <row r="37813" spans="1:6" x14ac:dyDescent="0.25">
      <c r="A37813"/>
      <c r="B37813"/>
      <c r="C37813"/>
      <c r="E37813"/>
      <c r="F37813"/>
    </row>
    <row r="37814" spans="1:6" x14ac:dyDescent="0.25">
      <c r="A37814"/>
      <c r="B37814"/>
      <c r="C37814"/>
      <c r="E37814"/>
      <c r="F37814"/>
    </row>
    <row r="37815" spans="1:6" x14ac:dyDescent="0.25">
      <c r="A37815"/>
      <c r="B37815"/>
      <c r="C37815"/>
      <c r="E37815"/>
      <c r="F37815"/>
    </row>
    <row r="37816" spans="1:6" x14ac:dyDescent="0.25">
      <c r="A37816"/>
      <c r="B37816"/>
      <c r="C37816"/>
      <c r="E37816"/>
      <c r="F37816"/>
    </row>
    <row r="37817" spans="1:6" x14ac:dyDescent="0.25">
      <c r="A37817"/>
      <c r="B37817"/>
      <c r="C37817"/>
      <c r="E37817"/>
      <c r="F37817"/>
    </row>
    <row r="37818" spans="1:6" x14ac:dyDescent="0.25">
      <c r="A37818"/>
      <c r="B37818"/>
      <c r="C37818"/>
      <c r="E37818"/>
      <c r="F37818"/>
    </row>
    <row r="37819" spans="1:6" x14ac:dyDescent="0.25">
      <c r="A37819"/>
      <c r="B37819"/>
      <c r="C37819"/>
      <c r="E37819"/>
      <c r="F37819"/>
    </row>
    <row r="37820" spans="1:6" x14ac:dyDescent="0.25">
      <c r="A37820"/>
      <c r="B37820"/>
      <c r="C37820"/>
      <c r="E37820"/>
      <c r="F37820"/>
    </row>
    <row r="37821" spans="1:6" x14ac:dyDescent="0.25">
      <c r="A37821"/>
      <c r="B37821"/>
      <c r="C37821"/>
      <c r="E37821"/>
      <c r="F37821"/>
    </row>
    <row r="37822" spans="1:6" x14ac:dyDescent="0.25">
      <c r="A37822"/>
      <c r="B37822"/>
      <c r="C37822"/>
      <c r="E37822"/>
      <c r="F37822"/>
    </row>
    <row r="37823" spans="1:6" x14ac:dyDescent="0.25">
      <c r="A37823"/>
      <c r="B37823"/>
      <c r="C37823"/>
      <c r="E37823"/>
      <c r="F37823"/>
    </row>
    <row r="37824" spans="1:6" x14ac:dyDescent="0.25">
      <c r="A37824"/>
      <c r="B37824"/>
      <c r="C37824"/>
      <c r="E37824"/>
      <c r="F37824"/>
    </row>
    <row r="37825" spans="1:6" x14ac:dyDescent="0.25">
      <c r="A37825"/>
      <c r="B37825"/>
      <c r="C37825"/>
      <c r="E37825"/>
      <c r="F37825"/>
    </row>
    <row r="37826" spans="1:6" x14ac:dyDescent="0.25">
      <c r="A37826"/>
      <c r="B37826"/>
      <c r="C37826"/>
      <c r="E37826"/>
      <c r="F37826"/>
    </row>
    <row r="37827" spans="1:6" x14ac:dyDescent="0.25">
      <c r="A37827"/>
      <c r="B37827"/>
      <c r="C37827"/>
      <c r="E37827"/>
      <c r="F37827"/>
    </row>
    <row r="37828" spans="1:6" x14ac:dyDescent="0.25">
      <c r="A37828"/>
      <c r="B37828"/>
      <c r="C37828"/>
      <c r="E37828"/>
      <c r="F37828"/>
    </row>
    <row r="37829" spans="1:6" x14ac:dyDescent="0.25">
      <c r="A37829"/>
      <c r="B37829"/>
      <c r="C37829"/>
      <c r="E37829"/>
      <c r="F37829"/>
    </row>
    <row r="37830" spans="1:6" x14ac:dyDescent="0.25">
      <c r="A37830"/>
      <c r="B37830"/>
      <c r="C37830"/>
      <c r="E37830"/>
      <c r="F37830"/>
    </row>
    <row r="37831" spans="1:6" x14ac:dyDescent="0.25">
      <c r="A37831"/>
      <c r="B37831"/>
      <c r="C37831"/>
      <c r="E37831"/>
      <c r="F37831"/>
    </row>
    <row r="37832" spans="1:6" x14ac:dyDescent="0.25">
      <c r="A37832"/>
      <c r="B37832"/>
      <c r="C37832"/>
      <c r="E37832"/>
      <c r="F37832"/>
    </row>
    <row r="37833" spans="1:6" x14ac:dyDescent="0.25">
      <c r="A37833"/>
      <c r="B37833"/>
      <c r="C37833"/>
      <c r="E37833"/>
      <c r="F37833"/>
    </row>
    <row r="37834" spans="1:6" x14ac:dyDescent="0.25">
      <c r="A37834"/>
      <c r="B37834"/>
      <c r="C37834"/>
      <c r="E37834"/>
      <c r="F37834"/>
    </row>
    <row r="37835" spans="1:6" x14ac:dyDescent="0.25">
      <c r="A37835"/>
      <c r="B37835"/>
      <c r="C37835"/>
      <c r="E37835"/>
      <c r="F37835"/>
    </row>
    <row r="37836" spans="1:6" x14ac:dyDescent="0.25">
      <c r="A37836"/>
      <c r="B37836"/>
      <c r="C37836"/>
      <c r="E37836"/>
      <c r="F37836"/>
    </row>
    <row r="37837" spans="1:6" x14ac:dyDescent="0.25">
      <c r="A37837"/>
      <c r="B37837"/>
      <c r="C37837"/>
      <c r="E37837"/>
      <c r="F37837"/>
    </row>
    <row r="37838" spans="1:6" x14ac:dyDescent="0.25">
      <c r="A37838"/>
      <c r="B37838"/>
      <c r="C37838"/>
      <c r="E37838"/>
      <c r="F37838"/>
    </row>
    <row r="37839" spans="1:6" x14ac:dyDescent="0.25">
      <c r="A37839"/>
      <c r="B37839"/>
      <c r="C37839"/>
      <c r="E37839"/>
      <c r="F37839"/>
    </row>
    <row r="37840" spans="1:6" x14ac:dyDescent="0.25">
      <c r="A37840"/>
      <c r="B37840"/>
      <c r="C37840"/>
      <c r="E37840"/>
      <c r="F37840"/>
    </row>
    <row r="37841" spans="1:6" x14ac:dyDescent="0.25">
      <c r="A37841"/>
      <c r="B37841"/>
      <c r="C37841"/>
      <c r="E37841"/>
      <c r="F37841"/>
    </row>
    <row r="37842" spans="1:6" x14ac:dyDescent="0.25">
      <c r="A37842"/>
      <c r="B37842"/>
      <c r="C37842"/>
      <c r="E37842"/>
      <c r="F37842"/>
    </row>
    <row r="37843" spans="1:6" x14ac:dyDescent="0.25">
      <c r="A37843"/>
      <c r="B37843"/>
      <c r="C37843"/>
      <c r="E37843"/>
      <c r="F37843"/>
    </row>
    <row r="37844" spans="1:6" x14ac:dyDescent="0.25">
      <c r="A37844"/>
      <c r="B37844"/>
      <c r="C37844"/>
      <c r="E37844"/>
      <c r="F37844"/>
    </row>
    <row r="37845" spans="1:6" x14ac:dyDescent="0.25">
      <c r="A37845"/>
      <c r="B37845"/>
      <c r="C37845"/>
      <c r="E37845"/>
      <c r="F37845"/>
    </row>
    <row r="37846" spans="1:6" x14ac:dyDescent="0.25">
      <c r="A37846"/>
      <c r="B37846"/>
      <c r="C37846"/>
      <c r="E37846"/>
      <c r="F37846"/>
    </row>
    <row r="37847" spans="1:6" x14ac:dyDescent="0.25">
      <c r="A37847"/>
      <c r="B37847"/>
      <c r="C37847"/>
      <c r="E37847"/>
      <c r="F37847"/>
    </row>
    <row r="37848" spans="1:6" x14ac:dyDescent="0.25">
      <c r="A37848"/>
      <c r="B37848"/>
      <c r="C37848"/>
      <c r="E37848"/>
      <c r="F37848"/>
    </row>
    <row r="37849" spans="1:6" x14ac:dyDescent="0.25">
      <c r="A37849"/>
      <c r="B37849"/>
      <c r="C37849"/>
      <c r="E37849"/>
      <c r="F37849"/>
    </row>
    <row r="37850" spans="1:6" x14ac:dyDescent="0.25">
      <c r="A37850"/>
      <c r="B37850"/>
      <c r="C37850"/>
      <c r="E37850"/>
      <c r="F37850"/>
    </row>
    <row r="37851" spans="1:6" x14ac:dyDescent="0.25">
      <c r="A37851"/>
      <c r="B37851"/>
      <c r="C37851"/>
      <c r="E37851"/>
      <c r="F37851"/>
    </row>
    <row r="37852" spans="1:6" x14ac:dyDescent="0.25">
      <c r="A37852"/>
      <c r="B37852"/>
      <c r="C37852"/>
      <c r="E37852"/>
      <c r="F37852"/>
    </row>
    <row r="37853" spans="1:6" x14ac:dyDescent="0.25">
      <c r="A37853"/>
      <c r="B37853"/>
      <c r="C37853"/>
      <c r="E37853"/>
      <c r="F37853"/>
    </row>
    <row r="37854" spans="1:6" x14ac:dyDescent="0.25">
      <c r="A37854"/>
      <c r="B37854"/>
      <c r="C37854"/>
      <c r="E37854"/>
      <c r="F37854"/>
    </row>
    <row r="37855" spans="1:6" x14ac:dyDescent="0.25">
      <c r="A37855"/>
      <c r="B37855"/>
      <c r="C37855"/>
      <c r="E37855"/>
      <c r="F37855"/>
    </row>
    <row r="37856" spans="1:6" x14ac:dyDescent="0.25">
      <c r="A37856"/>
      <c r="B37856"/>
      <c r="C37856"/>
      <c r="E37856"/>
      <c r="F37856"/>
    </row>
    <row r="37857" spans="1:6" x14ac:dyDescent="0.25">
      <c r="A37857"/>
      <c r="B37857"/>
      <c r="C37857"/>
      <c r="E37857"/>
      <c r="F37857"/>
    </row>
    <row r="37858" spans="1:6" x14ac:dyDescent="0.25">
      <c r="A37858"/>
      <c r="B37858"/>
      <c r="C37858"/>
      <c r="E37858"/>
      <c r="F37858"/>
    </row>
    <row r="37859" spans="1:6" x14ac:dyDescent="0.25">
      <c r="A37859"/>
      <c r="B37859"/>
      <c r="C37859"/>
      <c r="E37859"/>
      <c r="F37859"/>
    </row>
    <row r="37860" spans="1:6" x14ac:dyDescent="0.25">
      <c r="A37860"/>
      <c r="B37860"/>
      <c r="C37860"/>
      <c r="E37860"/>
      <c r="F37860"/>
    </row>
    <row r="37861" spans="1:6" x14ac:dyDescent="0.25">
      <c r="A37861"/>
      <c r="B37861"/>
      <c r="C37861"/>
      <c r="E37861"/>
      <c r="F37861"/>
    </row>
    <row r="37862" spans="1:6" x14ac:dyDescent="0.25">
      <c r="A37862"/>
      <c r="B37862"/>
      <c r="C37862"/>
      <c r="E37862"/>
      <c r="F37862"/>
    </row>
    <row r="37863" spans="1:6" x14ac:dyDescent="0.25">
      <c r="A37863"/>
      <c r="B37863"/>
      <c r="C37863"/>
      <c r="E37863"/>
      <c r="F37863"/>
    </row>
    <row r="37864" spans="1:6" x14ac:dyDescent="0.25">
      <c r="A37864"/>
      <c r="B37864"/>
      <c r="C37864"/>
      <c r="E37864"/>
      <c r="F37864"/>
    </row>
    <row r="37865" spans="1:6" x14ac:dyDescent="0.25">
      <c r="A37865"/>
      <c r="B37865"/>
      <c r="C37865"/>
      <c r="E37865"/>
      <c r="F37865"/>
    </row>
    <row r="37866" spans="1:6" x14ac:dyDescent="0.25">
      <c r="A37866"/>
      <c r="B37866"/>
      <c r="C37866"/>
      <c r="E37866"/>
      <c r="F37866"/>
    </row>
    <row r="37867" spans="1:6" x14ac:dyDescent="0.25">
      <c r="A37867"/>
      <c r="B37867"/>
      <c r="C37867"/>
      <c r="E37867"/>
      <c r="F37867"/>
    </row>
    <row r="37868" spans="1:6" x14ac:dyDescent="0.25">
      <c r="A37868"/>
      <c r="B37868"/>
      <c r="C37868"/>
      <c r="E37868"/>
      <c r="F37868"/>
    </row>
    <row r="37869" spans="1:6" x14ac:dyDescent="0.25">
      <c r="A37869"/>
      <c r="B37869"/>
      <c r="C37869"/>
      <c r="E37869"/>
      <c r="F37869"/>
    </row>
    <row r="37870" spans="1:6" x14ac:dyDescent="0.25">
      <c r="A37870"/>
      <c r="B37870"/>
      <c r="C37870"/>
      <c r="E37870"/>
      <c r="F37870"/>
    </row>
    <row r="37871" spans="1:6" x14ac:dyDescent="0.25">
      <c r="A37871"/>
      <c r="B37871"/>
      <c r="C37871"/>
      <c r="E37871"/>
      <c r="F37871"/>
    </row>
    <row r="37872" spans="1:6" x14ac:dyDescent="0.25">
      <c r="A37872"/>
      <c r="B37872"/>
      <c r="C37872"/>
      <c r="E37872"/>
      <c r="F37872"/>
    </row>
    <row r="37873" spans="1:6" x14ac:dyDescent="0.25">
      <c r="A37873"/>
      <c r="B37873"/>
      <c r="C37873"/>
      <c r="E37873"/>
      <c r="F37873"/>
    </row>
    <row r="37874" spans="1:6" x14ac:dyDescent="0.25">
      <c r="A37874"/>
      <c r="B37874"/>
      <c r="C37874"/>
      <c r="E37874"/>
      <c r="F37874"/>
    </row>
    <row r="37875" spans="1:6" x14ac:dyDescent="0.25">
      <c r="A37875"/>
      <c r="B37875"/>
      <c r="C37875"/>
      <c r="E37875"/>
      <c r="F37875"/>
    </row>
    <row r="37876" spans="1:6" x14ac:dyDescent="0.25">
      <c r="A37876"/>
      <c r="B37876"/>
      <c r="C37876"/>
      <c r="E37876"/>
      <c r="F37876"/>
    </row>
    <row r="37877" spans="1:6" x14ac:dyDescent="0.25">
      <c r="A37877"/>
      <c r="B37877"/>
      <c r="C37877"/>
      <c r="E37877"/>
      <c r="F37877"/>
    </row>
    <row r="37878" spans="1:6" x14ac:dyDescent="0.25">
      <c r="A37878"/>
      <c r="B37878"/>
      <c r="C37878"/>
      <c r="E37878"/>
      <c r="F37878"/>
    </row>
    <row r="37879" spans="1:6" x14ac:dyDescent="0.25">
      <c r="A37879"/>
      <c r="B37879"/>
      <c r="C37879"/>
      <c r="E37879"/>
      <c r="F37879"/>
    </row>
    <row r="37880" spans="1:6" x14ac:dyDescent="0.25">
      <c r="A37880"/>
      <c r="B37880"/>
      <c r="C37880"/>
      <c r="E37880"/>
      <c r="F37880"/>
    </row>
    <row r="37881" spans="1:6" x14ac:dyDescent="0.25">
      <c r="A37881"/>
      <c r="B37881"/>
      <c r="C37881"/>
      <c r="E37881"/>
      <c r="F37881"/>
    </row>
    <row r="37882" spans="1:6" x14ac:dyDescent="0.25">
      <c r="A37882"/>
      <c r="B37882"/>
      <c r="C37882"/>
      <c r="E37882"/>
      <c r="F37882"/>
    </row>
    <row r="37883" spans="1:6" x14ac:dyDescent="0.25">
      <c r="A37883"/>
      <c r="B37883"/>
      <c r="C37883"/>
      <c r="E37883"/>
      <c r="F37883"/>
    </row>
    <row r="37884" spans="1:6" x14ac:dyDescent="0.25">
      <c r="A37884"/>
      <c r="B37884"/>
      <c r="C37884"/>
      <c r="E37884"/>
      <c r="F37884"/>
    </row>
    <row r="37885" spans="1:6" x14ac:dyDescent="0.25">
      <c r="A37885"/>
      <c r="B37885"/>
      <c r="C37885"/>
      <c r="E37885"/>
      <c r="F37885"/>
    </row>
    <row r="37886" spans="1:6" x14ac:dyDescent="0.25">
      <c r="A37886"/>
      <c r="B37886"/>
      <c r="C37886"/>
      <c r="E37886"/>
      <c r="F37886"/>
    </row>
    <row r="37887" spans="1:6" x14ac:dyDescent="0.25">
      <c r="A37887"/>
      <c r="B37887"/>
      <c r="C37887"/>
      <c r="E37887"/>
      <c r="F37887"/>
    </row>
    <row r="37888" spans="1:6" x14ac:dyDescent="0.25">
      <c r="A37888"/>
      <c r="B37888"/>
      <c r="C37888"/>
      <c r="E37888"/>
      <c r="F37888"/>
    </row>
    <row r="37889" spans="1:6" x14ac:dyDescent="0.25">
      <c r="A37889"/>
      <c r="B37889"/>
      <c r="C37889"/>
      <c r="E37889"/>
      <c r="F37889"/>
    </row>
    <row r="37890" spans="1:6" x14ac:dyDescent="0.25">
      <c r="A37890"/>
      <c r="B37890"/>
      <c r="C37890"/>
      <c r="E37890"/>
      <c r="F37890"/>
    </row>
    <row r="37891" spans="1:6" x14ac:dyDescent="0.25">
      <c r="A37891"/>
      <c r="B37891"/>
      <c r="C37891"/>
      <c r="E37891"/>
      <c r="F37891"/>
    </row>
    <row r="37892" spans="1:6" x14ac:dyDescent="0.25">
      <c r="A37892"/>
      <c r="B37892"/>
      <c r="C37892"/>
      <c r="E37892"/>
      <c r="F37892"/>
    </row>
    <row r="37893" spans="1:6" x14ac:dyDescent="0.25">
      <c r="A37893"/>
      <c r="B37893"/>
      <c r="C37893"/>
      <c r="E37893"/>
      <c r="F37893"/>
    </row>
    <row r="37894" spans="1:6" x14ac:dyDescent="0.25">
      <c r="A37894"/>
      <c r="B37894"/>
      <c r="C37894"/>
      <c r="E37894"/>
      <c r="F37894"/>
    </row>
    <row r="37895" spans="1:6" x14ac:dyDescent="0.25">
      <c r="A37895"/>
      <c r="B37895"/>
      <c r="C37895"/>
      <c r="E37895"/>
      <c r="F37895"/>
    </row>
    <row r="37896" spans="1:6" x14ac:dyDescent="0.25">
      <c r="A37896"/>
      <c r="B37896"/>
      <c r="C37896"/>
      <c r="E37896"/>
      <c r="F37896"/>
    </row>
    <row r="37897" spans="1:6" x14ac:dyDescent="0.25">
      <c r="A37897"/>
      <c r="B37897"/>
      <c r="C37897"/>
      <c r="E37897"/>
      <c r="F37897"/>
    </row>
    <row r="37898" spans="1:6" x14ac:dyDescent="0.25">
      <c r="A37898"/>
      <c r="B37898"/>
      <c r="C37898"/>
      <c r="E37898"/>
      <c r="F37898"/>
    </row>
    <row r="37899" spans="1:6" x14ac:dyDescent="0.25">
      <c r="A37899"/>
      <c r="B37899"/>
      <c r="C37899"/>
      <c r="E37899"/>
      <c r="F37899"/>
    </row>
    <row r="37900" spans="1:6" x14ac:dyDescent="0.25">
      <c r="A37900"/>
      <c r="B37900"/>
      <c r="C37900"/>
      <c r="E37900"/>
      <c r="F37900"/>
    </row>
    <row r="37901" spans="1:6" x14ac:dyDescent="0.25">
      <c r="A37901"/>
      <c r="B37901"/>
      <c r="C37901"/>
      <c r="E37901"/>
      <c r="F37901"/>
    </row>
    <row r="37902" spans="1:6" x14ac:dyDescent="0.25">
      <c r="A37902"/>
      <c r="B37902"/>
      <c r="C37902"/>
      <c r="E37902"/>
      <c r="F37902"/>
    </row>
    <row r="37903" spans="1:6" x14ac:dyDescent="0.25">
      <c r="A37903"/>
      <c r="B37903"/>
      <c r="C37903"/>
      <c r="E37903"/>
      <c r="F37903"/>
    </row>
    <row r="37904" spans="1:6" x14ac:dyDescent="0.25">
      <c r="A37904"/>
      <c r="B37904"/>
      <c r="C37904"/>
      <c r="E37904"/>
      <c r="F37904"/>
    </row>
    <row r="37905" spans="1:6" x14ac:dyDescent="0.25">
      <c r="A37905"/>
      <c r="B37905"/>
      <c r="C37905"/>
      <c r="E37905"/>
      <c r="F37905"/>
    </row>
    <row r="37906" spans="1:6" x14ac:dyDescent="0.25">
      <c r="A37906"/>
      <c r="B37906"/>
      <c r="C37906"/>
      <c r="E37906"/>
      <c r="F37906"/>
    </row>
    <row r="37907" spans="1:6" x14ac:dyDescent="0.25">
      <c r="A37907"/>
      <c r="B37907"/>
      <c r="C37907"/>
      <c r="E37907"/>
      <c r="F37907"/>
    </row>
    <row r="37908" spans="1:6" x14ac:dyDescent="0.25">
      <c r="A37908"/>
      <c r="B37908"/>
      <c r="C37908"/>
      <c r="E37908"/>
      <c r="F37908"/>
    </row>
    <row r="37909" spans="1:6" x14ac:dyDescent="0.25">
      <c r="A37909"/>
      <c r="B37909"/>
      <c r="C37909"/>
      <c r="E37909"/>
      <c r="F37909"/>
    </row>
    <row r="37910" spans="1:6" x14ac:dyDescent="0.25">
      <c r="A37910"/>
      <c r="B37910"/>
      <c r="C37910"/>
      <c r="E37910"/>
      <c r="F37910"/>
    </row>
    <row r="37911" spans="1:6" x14ac:dyDescent="0.25">
      <c r="A37911"/>
      <c r="B37911"/>
      <c r="C37911"/>
      <c r="E37911"/>
      <c r="F37911"/>
    </row>
    <row r="37912" spans="1:6" x14ac:dyDescent="0.25">
      <c r="A37912"/>
      <c r="B37912"/>
      <c r="C37912"/>
      <c r="E37912"/>
      <c r="F37912"/>
    </row>
    <row r="37913" spans="1:6" x14ac:dyDescent="0.25">
      <c r="A37913"/>
      <c r="B37913"/>
      <c r="C37913"/>
      <c r="E37913"/>
      <c r="F37913"/>
    </row>
    <row r="37914" spans="1:6" x14ac:dyDescent="0.25">
      <c r="A37914"/>
      <c r="B37914"/>
      <c r="C37914"/>
      <c r="E37914"/>
      <c r="F37914"/>
    </row>
    <row r="37915" spans="1:6" x14ac:dyDescent="0.25">
      <c r="A37915"/>
      <c r="B37915"/>
      <c r="C37915"/>
      <c r="E37915"/>
      <c r="F37915"/>
    </row>
    <row r="37916" spans="1:6" x14ac:dyDescent="0.25">
      <c r="A37916"/>
      <c r="B37916"/>
      <c r="C37916"/>
      <c r="E37916"/>
      <c r="F37916"/>
    </row>
    <row r="37917" spans="1:6" x14ac:dyDescent="0.25">
      <c r="A37917"/>
      <c r="B37917"/>
      <c r="C37917"/>
      <c r="E37917"/>
      <c r="F37917"/>
    </row>
    <row r="37918" spans="1:6" x14ac:dyDescent="0.25">
      <c r="A37918"/>
      <c r="B37918"/>
      <c r="C37918"/>
      <c r="E37918"/>
      <c r="F37918"/>
    </row>
    <row r="37919" spans="1:6" x14ac:dyDescent="0.25">
      <c r="A37919"/>
      <c r="B37919"/>
      <c r="C37919"/>
      <c r="E37919"/>
      <c r="F37919"/>
    </row>
    <row r="37920" spans="1:6" x14ac:dyDescent="0.25">
      <c r="A37920"/>
      <c r="B37920"/>
      <c r="C37920"/>
      <c r="E37920"/>
      <c r="F37920"/>
    </row>
    <row r="37921" spans="1:6" x14ac:dyDescent="0.25">
      <c r="A37921"/>
      <c r="B37921"/>
      <c r="C37921"/>
      <c r="E37921"/>
      <c r="F37921"/>
    </row>
    <row r="37922" spans="1:6" x14ac:dyDescent="0.25">
      <c r="A37922"/>
      <c r="B37922"/>
      <c r="C37922"/>
      <c r="E37922"/>
      <c r="F37922"/>
    </row>
    <row r="37923" spans="1:6" x14ac:dyDescent="0.25">
      <c r="A37923"/>
      <c r="B37923"/>
      <c r="C37923"/>
      <c r="E37923"/>
      <c r="F37923"/>
    </row>
    <row r="37924" spans="1:6" x14ac:dyDescent="0.25">
      <c r="A37924"/>
      <c r="B37924"/>
      <c r="C37924"/>
      <c r="E37924"/>
      <c r="F37924"/>
    </row>
    <row r="37925" spans="1:6" x14ac:dyDescent="0.25">
      <c r="A37925"/>
      <c r="B37925"/>
      <c r="C37925"/>
      <c r="E37925"/>
      <c r="F37925"/>
    </row>
    <row r="37926" spans="1:6" x14ac:dyDescent="0.25">
      <c r="A37926"/>
      <c r="B37926"/>
      <c r="C37926"/>
      <c r="E37926"/>
      <c r="F37926"/>
    </row>
    <row r="37927" spans="1:6" x14ac:dyDescent="0.25">
      <c r="A37927"/>
      <c r="B37927"/>
      <c r="C37927"/>
      <c r="E37927"/>
      <c r="F37927"/>
    </row>
    <row r="37928" spans="1:6" x14ac:dyDescent="0.25">
      <c r="A37928"/>
      <c r="B37928"/>
      <c r="C37928"/>
      <c r="E37928"/>
      <c r="F37928"/>
    </row>
    <row r="37929" spans="1:6" x14ac:dyDescent="0.25">
      <c r="A37929"/>
      <c r="B37929"/>
      <c r="C37929"/>
      <c r="E37929"/>
      <c r="F37929"/>
    </row>
    <row r="37930" spans="1:6" x14ac:dyDescent="0.25">
      <c r="A37930"/>
      <c r="B37930"/>
      <c r="C37930"/>
      <c r="E37930"/>
      <c r="F37930"/>
    </row>
    <row r="37931" spans="1:6" x14ac:dyDescent="0.25">
      <c r="A37931"/>
      <c r="B37931"/>
      <c r="C37931"/>
      <c r="E37931"/>
      <c r="F37931"/>
    </row>
    <row r="37932" spans="1:6" x14ac:dyDescent="0.25">
      <c r="A37932"/>
      <c r="B37932"/>
      <c r="C37932"/>
      <c r="E37932"/>
      <c r="F37932"/>
    </row>
    <row r="37933" spans="1:6" x14ac:dyDescent="0.25">
      <c r="A37933"/>
      <c r="B37933"/>
      <c r="C37933"/>
      <c r="E37933"/>
      <c r="F37933"/>
    </row>
    <row r="37934" spans="1:6" x14ac:dyDescent="0.25">
      <c r="A37934"/>
      <c r="B37934"/>
      <c r="C37934"/>
      <c r="E37934"/>
      <c r="F37934"/>
    </row>
    <row r="37935" spans="1:6" x14ac:dyDescent="0.25">
      <c r="A37935"/>
      <c r="B37935"/>
      <c r="C37935"/>
      <c r="E37935"/>
      <c r="F37935"/>
    </row>
    <row r="37936" spans="1:6" x14ac:dyDescent="0.25">
      <c r="A37936"/>
      <c r="B37936"/>
      <c r="C37936"/>
      <c r="E37936"/>
      <c r="F37936"/>
    </row>
    <row r="37937" spans="1:6" x14ac:dyDescent="0.25">
      <c r="A37937"/>
      <c r="B37937"/>
      <c r="C37937"/>
      <c r="E37937"/>
      <c r="F37937"/>
    </row>
    <row r="37938" spans="1:6" x14ac:dyDescent="0.25">
      <c r="A37938"/>
      <c r="B37938"/>
      <c r="C37938"/>
      <c r="E37938"/>
      <c r="F37938"/>
    </row>
    <row r="37939" spans="1:6" x14ac:dyDescent="0.25">
      <c r="A37939"/>
      <c r="B37939"/>
      <c r="C37939"/>
      <c r="E37939"/>
      <c r="F37939"/>
    </row>
    <row r="37940" spans="1:6" x14ac:dyDescent="0.25">
      <c r="A37940"/>
      <c r="B37940"/>
      <c r="C37940"/>
      <c r="E37940"/>
      <c r="F37940"/>
    </row>
    <row r="37941" spans="1:6" x14ac:dyDescent="0.25">
      <c r="A37941"/>
      <c r="B37941"/>
      <c r="C37941"/>
      <c r="E37941"/>
      <c r="F37941"/>
    </row>
    <row r="37942" spans="1:6" x14ac:dyDescent="0.25">
      <c r="A37942"/>
      <c r="B37942"/>
      <c r="C37942"/>
      <c r="E37942"/>
      <c r="F37942"/>
    </row>
    <row r="37943" spans="1:6" x14ac:dyDescent="0.25">
      <c r="A37943"/>
      <c r="B37943"/>
      <c r="C37943"/>
      <c r="E37943"/>
      <c r="F37943"/>
    </row>
    <row r="37944" spans="1:6" x14ac:dyDescent="0.25">
      <c r="A37944"/>
      <c r="B37944"/>
      <c r="C37944"/>
      <c r="E37944"/>
      <c r="F37944"/>
    </row>
    <row r="37945" spans="1:6" x14ac:dyDescent="0.25">
      <c r="A37945"/>
      <c r="B37945"/>
      <c r="C37945"/>
      <c r="E37945"/>
      <c r="F37945"/>
    </row>
    <row r="37946" spans="1:6" x14ac:dyDescent="0.25">
      <c r="A37946"/>
      <c r="B37946"/>
      <c r="C37946"/>
      <c r="E37946"/>
      <c r="F37946"/>
    </row>
    <row r="37947" spans="1:6" x14ac:dyDescent="0.25">
      <c r="A37947"/>
      <c r="B37947"/>
      <c r="C37947"/>
      <c r="E37947"/>
      <c r="F37947"/>
    </row>
    <row r="37948" spans="1:6" x14ac:dyDescent="0.25">
      <c r="A37948"/>
      <c r="B37948"/>
      <c r="C37948"/>
      <c r="E37948"/>
      <c r="F37948"/>
    </row>
    <row r="37949" spans="1:6" x14ac:dyDescent="0.25">
      <c r="A37949"/>
      <c r="B37949"/>
      <c r="C37949"/>
      <c r="E37949"/>
      <c r="F37949"/>
    </row>
    <row r="37950" spans="1:6" x14ac:dyDescent="0.25">
      <c r="A37950"/>
      <c r="B37950"/>
      <c r="C37950"/>
      <c r="E37950"/>
      <c r="F37950"/>
    </row>
    <row r="37951" spans="1:6" x14ac:dyDescent="0.25">
      <c r="A37951"/>
      <c r="B37951"/>
      <c r="C37951"/>
      <c r="E37951"/>
      <c r="F37951"/>
    </row>
    <row r="37952" spans="1:6" x14ac:dyDescent="0.25">
      <c r="A37952"/>
      <c r="B37952"/>
      <c r="C37952"/>
      <c r="E37952"/>
      <c r="F37952"/>
    </row>
    <row r="37953" spans="1:6" x14ac:dyDescent="0.25">
      <c r="A37953"/>
      <c r="B37953"/>
      <c r="C37953"/>
      <c r="E37953"/>
      <c r="F37953"/>
    </row>
    <row r="37954" spans="1:6" x14ac:dyDescent="0.25">
      <c r="A37954"/>
      <c r="B37954"/>
      <c r="C37954"/>
      <c r="E37954"/>
      <c r="F37954"/>
    </row>
    <row r="37955" spans="1:6" x14ac:dyDescent="0.25">
      <c r="A37955"/>
      <c r="B37955"/>
      <c r="C37955"/>
      <c r="E37955"/>
      <c r="F37955"/>
    </row>
    <row r="37956" spans="1:6" x14ac:dyDescent="0.25">
      <c r="A37956"/>
      <c r="B37956"/>
      <c r="C37956"/>
      <c r="E37956"/>
      <c r="F37956"/>
    </row>
    <row r="37957" spans="1:6" x14ac:dyDescent="0.25">
      <c r="A37957"/>
      <c r="B37957"/>
      <c r="C37957"/>
      <c r="E37957"/>
      <c r="F37957"/>
    </row>
    <row r="37958" spans="1:6" x14ac:dyDescent="0.25">
      <c r="A37958"/>
      <c r="B37958"/>
      <c r="C37958"/>
      <c r="E37958"/>
      <c r="F37958"/>
    </row>
    <row r="37959" spans="1:6" x14ac:dyDescent="0.25">
      <c r="A37959"/>
      <c r="B37959"/>
      <c r="C37959"/>
      <c r="E37959"/>
      <c r="F37959"/>
    </row>
    <row r="37960" spans="1:6" x14ac:dyDescent="0.25">
      <c r="A37960"/>
      <c r="B37960"/>
      <c r="C37960"/>
      <c r="E37960"/>
      <c r="F37960"/>
    </row>
    <row r="37961" spans="1:6" x14ac:dyDescent="0.25">
      <c r="A37961"/>
      <c r="B37961"/>
      <c r="C37961"/>
      <c r="E37961"/>
      <c r="F37961"/>
    </row>
    <row r="37962" spans="1:6" x14ac:dyDescent="0.25">
      <c r="A37962"/>
      <c r="B37962"/>
      <c r="C37962"/>
      <c r="E37962"/>
      <c r="F37962"/>
    </row>
    <row r="37963" spans="1:6" x14ac:dyDescent="0.25">
      <c r="A37963"/>
      <c r="B37963"/>
      <c r="C37963"/>
      <c r="E37963"/>
      <c r="F37963"/>
    </row>
    <row r="37964" spans="1:6" x14ac:dyDescent="0.25">
      <c r="A37964"/>
      <c r="B37964"/>
      <c r="C37964"/>
      <c r="E37964"/>
      <c r="F37964"/>
    </row>
    <row r="37965" spans="1:6" x14ac:dyDescent="0.25">
      <c r="A37965"/>
      <c r="B37965"/>
      <c r="C37965"/>
      <c r="E37965"/>
      <c r="F37965"/>
    </row>
    <row r="37966" spans="1:6" x14ac:dyDescent="0.25">
      <c r="A37966"/>
      <c r="B37966"/>
      <c r="C37966"/>
      <c r="E37966"/>
      <c r="F37966"/>
    </row>
    <row r="37967" spans="1:6" x14ac:dyDescent="0.25">
      <c r="A37967"/>
      <c r="B37967"/>
      <c r="C37967"/>
      <c r="E37967"/>
      <c r="F37967"/>
    </row>
    <row r="37968" spans="1:6" x14ac:dyDescent="0.25">
      <c r="A37968"/>
      <c r="B37968"/>
      <c r="C37968"/>
      <c r="E37968"/>
      <c r="F37968"/>
    </row>
    <row r="37969" spans="1:6" x14ac:dyDescent="0.25">
      <c r="A37969"/>
      <c r="B37969"/>
      <c r="C37969"/>
      <c r="E37969"/>
      <c r="F37969"/>
    </row>
    <row r="37970" spans="1:6" x14ac:dyDescent="0.25">
      <c r="A37970"/>
      <c r="B37970"/>
      <c r="C37970"/>
      <c r="E37970"/>
      <c r="F37970"/>
    </row>
    <row r="37971" spans="1:6" x14ac:dyDescent="0.25">
      <c r="A37971"/>
      <c r="B37971"/>
      <c r="C37971"/>
      <c r="E37971"/>
      <c r="F37971"/>
    </row>
    <row r="37972" spans="1:6" x14ac:dyDescent="0.25">
      <c r="A37972"/>
      <c r="B37972"/>
      <c r="C37972"/>
      <c r="E37972"/>
      <c r="F37972"/>
    </row>
    <row r="37973" spans="1:6" x14ac:dyDescent="0.25">
      <c r="A37973"/>
      <c r="B37973"/>
      <c r="C37973"/>
      <c r="E37973"/>
      <c r="F37973"/>
    </row>
    <row r="37974" spans="1:6" x14ac:dyDescent="0.25">
      <c r="A37974"/>
      <c r="B37974"/>
      <c r="C37974"/>
      <c r="E37974"/>
      <c r="F37974"/>
    </row>
    <row r="37975" spans="1:6" x14ac:dyDescent="0.25">
      <c r="A37975"/>
      <c r="B37975"/>
      <c r="C37975"/>
      <c r="E37975"/>
      <c r="F37975"/>
    </row>
    <row r="37976" spans="1:6" x14ac:dyDescent="0.25">
      <c r="A37976"/>
      <c r="B37976"/>
      <c r="C37976"/>
      <c r="E37976"/>
      <c r="F37976"/>
    </row>
    <row r="37977" spans="1:6" x14ac:dyDescent="0.25">
      <c r="A37977"/>
      <c r="B37977"/>
      <c r="C37977"/>
      <c r="E37977"/>
      <c r="F37977"/>
    </row>
    <row r="37978" spans="1:6" x14ac:dyDescent="0.25">
      <c r="A37978"/>
      <c r="B37978"/>
      <c r="C37978"/>
      <c r="E37978"/>
      <c r="F37978"/>
    </row>
    <row r="37979" spans="1:6" x14ac:dyDescent="0.25">
      <c r="A37979"/>
      <c r="B37979"/>
      <c r="C37979"/>
      <c r="E37979"/>
      <c r="F37979"/>
    </row>
    <row r="37980" spans="1:6" x14ac:dyDescent="0.25">
      <c r="A37980"/>
      <c r="B37980"/>
      <c r="C37980"/>
      <c r="E37980"/>
      <c r="F37980"/>
    </row>
    <row r="37981" spans="1:6" x14ac:dyDescent="0.25">
      <c r="A37981"/>
      <c r="B37981"/>
      <c r="C37981"/>
      <c r="E37981"/>
      <c r="F37981"/>
    </row>
    <row r="37982" spans="1:6" x14ac:dyDescent="0.25">
      <c r="A37982"/>
      <c r="B37982"/>
      <c r="C37982"/>
      <c r="E37982"/>
      <c r="F37982"/>
    </row>
    <row r="37983" spans="1:6" x14ac:dyDescent="0.25">
      <c r="A37983"/>
      <c r="B37983"/>
      <c r="C37983"/>
      <c r="E37983"/>
      <c r="F37983"/>
    </row>
    <row r="37984" spans="1:6" x14ac:dyDescent="0.25">
      <c r="A37984"/>
      <c r="B37984"/>
      <c r="C37984"/>
      <c r="E37984"/>
      <c r="F37984"/>
    </row>
    <row r="37985" spans="1:6" x14ac:dyDescent="0.25">
      <c r="A37985"/>
      <c r="B37985"/>
      <c r="C37985"/>
      <c r="E37985"/>
      <c r="F37985"/>
    </row>
    <row r="37986" spans="1:6" x14ac:dyDescent="0.25">
      <c r="A37986"/>
      <c r="B37986"/>
      <c r="C37986"/>
      <c r="E37986"/>
      <c r="F37986"/>
    </row>
    <row r="37987" spans="1:6" x14ac:dyDescent="0.25">
      <c r="A37987"/>
      <c r="B37987"/>
      <c r="C37987"/>
      <c r="E37987"/>
      <c r="F37987"/>
    </row>
    <row r="37988" spans="1:6" x14ac:dyDescent="0.25">
      <c r="A37988"/>
      <c r="B37988"/>
      <c r="C37988"/>
      <c r="E37988"/>
      <c r="F37988"/>
    </row>
    <row r="37989" spans="1:6" x14ac:dyDescent="0.25">
      <c r="A37989"/>
      <c r="B37989"/>
      <c r="C37989"/>
      <c r="E37989"/>
      <c r="F37989"/>
    </row>
    <row r="37990" spans="1:6" x14ac:dyDescent="0.25">
      <c r="A37990"/>
      <c r="B37990"/>
      <c r="C37990"/>
      <c r="E37990"/>
      <c r="F37990"/>
    </row>
    <row r="37991" spans="1:6" x14ac:dyDescent="0.25">
      <c r="A37991"/>
      <c r="B37991"/>
      <c r="C37991"/>
      <c r="E37991"/>
      <c r="F37991"/>
    </row>
    <row r="37992" spans="1:6" x14ac:dyDescent="0.25">
      <c r="A37992"/>
      <c r="B37992"/>
      <c r="C37992"/>
      <c r="E37992"/>
      <c r="F37992"/>
    </row>
    <row r="37993" spans="1:6" x14ac:dyDescent="0.25">
      <c r="A37993"/>
      <c r="B37993"/>
      <c r="C37993"/>
      <c r="E37993"/>
      <c r="F37993"/>
    </row>
    <row r="37994" spans="1:6" x14ac:dyDescent="0.25">
      <c r="A37994"/>
      <c r="B37994"/>
      <c r="C37994"/>
      <c r="E37994"/>
      <c r="F37994"/>
    </row>
    <row r="37995" spans="1:6" x14ac:dyDescent="0.25">
      <c r="A37995"/>
      <c r="B37995"/>
      <c r="C37995"/>
      <c r="E37995"/>
      <c r="F37995"/>
    </row>
    <row r="37996" spans="1:6" x14ac:dyDescent="0.25">
      <c r="A37996"/>
      <c r="B37996"/>
      <c r="C37996"/>
      <c r="E37996"/>
      <c r="F37996"/>
    </row>
    <row r="37997" spans="1:6" x14ac:dyDescent="0.25">
      <c r="A37997"/>
      <c r="B37997"/>
      <c r="C37997"/>
      <c r="E37997"/>
      <c r="F37997"/>
    </row>
    <row r="37998" spans="1:6" x14ac:dyDescent="0.25">
      <c r="A37998"/>
      <c r="B37998"/>
      <c r="C37998"/>
      <c r="E37998"/>
      <c r="F37998"/>
    </row>
    <row r="37999" spans="1:6" x14ac:dyDescent="0.25">
      <c r="A37999"/>
      <c r="B37999"/>
      <c r="C37999"/>
      <c r="E37999"/>
      <c r="F37999"/>
    </row>
    <row r="38000" spans="1:6" x14ac:dyDescent="0.25">
      <c r="A38000"/>
      <c r="B38000"/>
      <c r="C38000"/>
      <c r="E38000"/>
      <c r="F38000"/>
    </row>
    <row r="38001" spans="1:6" x14ac:dyDescent="0.25">
      <c r="A38001"/>
      <c r="B38001"/>
      <c r="C38001"/>
      <c r="E38001"/>
      <c r="F38001"/>
    </row>
    <row r="38002" spans="1:6" x14ac:dyDescent="0.25">
      <c r="A38002"/>
      <c r="B38002"/>
      <c r="C38002"/>
      <c r="E38002"/>
      <c r="F38002"/>
    </row>
    <row r="38003" spans="1:6" x14ac:dyDescent="0.25">
      <c r="A38003"/>
      <c r="B38003"/>
      <c r="C38003"/>
      <c r="E38003"/>
      <c r="F38003"/>
    </row>
    <row r="38004" spans="1:6" x14ac:dyDescent="0.25">
      <c r="A38004"/>
      <c r="B38004"/>
      <c r="C38004"/>
      <c r="E38004"/>
      <c r="F38004"/>
    </row>
    <row r="38005" spans="1:6" x14ac:dyDescent="0.25">
      <c r="A38005"/>
      <c r="B38005"/>
      <c r="C38005"/>
      <c r="E38005"/>
      <c r="F38005"/>
    </row>
    <row r="38006" spans="1:6" x14ac:dyDescent="0.25">
      <c r="A38006"/>
      <c r="B38006"/>
      <c r="C38006"/>
      <c r="E38006"/>
      <c r="F38006"/>
    </row>
    <row r="38007" spans="1:6" x14ac:dyDescent="0.25">
      <c r="A38007"/>
      <c r="B38007"/>
      <c r="C38007"/>
      <c r="E38007"/>
      <c r="F38007"/>
    </row>
    <row r="38008" spans="1:6" x14ac:dyDescent="0.25">
      <c r="A38008"/>
      <c r="B38008"/>
      <c r="C38008"/>
      <c r="E38008"/>
      <c r="F38008"/>
    </row>
    <row r="38009" spans="1:6" x14ac:dyDescent="0.25">
      <c r="A38009"/>
      <c r="B38009"/>
      <c r="C38009"/>
      <c r="E38009"/>
      <c r="F38009"/>
    </row>
    <row r="38010" spans="1:6" x14ac:dyDescent="0.25">
      <c r="A38010"/>
      <c r="B38010"/>
      <c r="C38010"/>
      <c r="E38010"/>
      <c r="F38010"/>
    </row>
    <row r="38011" spans="1:6" x14ac:dyDescent="0.25">
      <c r="A38011"/>
      <c r="B38011"/>
      <c r="C38011"/>
      <c r="E38011"/>
      <c r="F38011"/>
    </row>
    <row r="38012" spans="1:6" x14ac:dyDescent="0.25">
      <c r="A38012"/>
      <c r="B38012"/>
      <c r="C38012"/>
      <c r="E38012"/>
      <c r="F38012"/>
    </row>
    <row r="38013" spans="1:6" x14ac:dyDescent="0.25">
      <c r="A38013"/>
      <c r="B38013"/>
      <c r="C38013"/>
      <c r="E38013"/>
      <c r="F38013"/>
    </row>
    <row r="38014" spans="1:6" x14ac:dyDescent="0.25">
      <c r="A38014"/>
      <c r="B38014"/>
      <c r="C38014"/>
      <c r="E38014"/>
      <c r="F38014"/>
    </row>
    <row r="38015" spans="1:6" x14ac:dyDescent="0.25">
      <c r="A38015"/>
      <c r="B38015"/>
      <c r="C38015"/>
      <c r="E38015"/>
      <c r="F38015"/>
    </row>
    <row r="38016" spans="1:6" x14ac:dyDescent="0.25">
      <c r="A38016"/>
      <c r="B38016"/>
      <c r="C38016"/>
      <c r="E38016"/>
      <c r="F38016"/>
    </row>
    <row r="38017" spans="1:6" x14ac:dyDescent="0.25">
      <c r="A38017"/>
      <c r="B38017"/>
      <c r="C38017"/>
      <c r="E38017"/>
      <c r="F38017"/>
    </row>
    <row r="38018" spans="1:6" x14ac:dyDescent="0.25">
      <c r="A38018"/>
      <c r="B38018"/>
      <c r="C38018"/>
      <c r="E38018"/>
      <c r="F38018"/>
    </row>
    <row r="38019" spans="1:6" x14ac:dyDescent="0.25">
      <c r="A38019"/>
      <c r="B38019"/>
      <c r="C38019"/>
      <c r="E38019"/>
      <c r="F38019"/>
    </row>
    <row r="38020" spans="1:6" x14ac:dyDescent="0.25">
      <c r="A38020"/>
      <c r="B38020"/>
      <c r="C38020"/>
      <c r="E38020"/>
      <c r="F38020"/>
    </row>
    <row r="38021" spans="1:6" x14ac:dyDescent="0.25">
      <c r="A38021"/>
      <c r="B38021"/>
      <c r="C38021"/>
      <c r="E38021"/>
      <c r="F38021"/>
    </row>
    <row r="38022" spans="1:6" x14ac:dyDescent="0.25">
      <c r="A38022"/>
      <c r="B38022"/>
      <c r="C38022"/>
      <c r="E38022"/>
      <c r="F38022"/>
    </row>
    <row r="38023" spans="1:6" x14ac:dyDescent="0.25">
      <c r="A38023"/>
      <c r="B38023"/>
      <c r="C38023"/>
      <c r="E38023"/>
      <c r="F38023"/>
    </row>
    <row r="38024" spans="1:6" x14ac:dyDescent="0.25">
      <c r="A38024"/>
      <c r="B38024"/>
      <c r="C38024"/>
      <c r="E38024"/>
      <c r="F38024"/>
    </row>
    <row r="38025" spans="1:6" x14ac:dyDescent="0.25">
      <c r="A38025"/>
      <c r="B38025"/>
      <c r="C38025"/>
      <c r="E38025"/>
      <c r="F38025"/>
    </row>
    <row r="38026" spans="1:6" x14ac:dyDescent="0.25">
      <c r="A38026"/>
      <c r="B38026"/>
      <c r="C38026"/>
      <c r="E38026"/>
      <c r="F38026"/>
    </row>
    <row r="38027" spans="1:6" x14ac:dyDescent="0.25">
      <c r="A38027"/>
      <c r="B38027"/>
      <c r="C38027"/>
      <c r="E38027"/>
      <c r="F38027"/>
    </row>
    <row r="38028" spans="1:6" x14ac:dyDescent="0.25">
      <c r="A38028"/>
      <c r="B38028"/>
      <c r="C38028"/>
      <c r="E38028"/>
      <c r="F38028"/>
    </row>
    <row r="38029" spans="1:6" x14ac:dyDescent="0.25">
      <c r="A38029"/>
      <c r="B38029"/>
      <c r="C38029"/>
      <c r="E38029"/>
      <c r="F38029"/>
    </row>
    <row r="38030" spans="1:6" x14ac:dyDescent="0.25">
      <c r="A38030"/>
      <c r="B38030"/>
      <c r="C38030"/>
      <c r="E38030"/>
      <c r="F38030"/>
    </row>
    <row r="38031" spans="1:6" x14ac:dyDescent="0.25">
      <c r="A38031"/>
      <c r="B38031"/>
      <c r="C38031"/>
      <c r="E38031"/>
      <c r="F38031"/>
    </row>
    <row r="38032" spans="1:6" x14ac:dyDescent="0.25">
      <c r="A38032"/>
      <c r="B38032"/>
      <c r="C38032"/>
      <c r="E38032"/>
      <c r="F38032"/>
    </row>
    <row r="38033" spans="1:6" x14ac:dyDescent="0.25">
      <c r="A38033"/>
      <c r="B38033"/>
      <c r="C38033"/>
      <c r="E38033"/>
      <c r="F38033"/>
    </row>
    <row r="38034" spans="1:6" x14ac:dyDescent="0.25">
      <c r="A38034"/>
      <c r="B38034"/>
      <c r="C38034"/>
      <c r="E38034"/>
      <c r="F38034"/>
    </row>
    <row r="38035" spans="1:6" x14ac:dyDescent="0.25">
      <c r="A38035"/>
      <c r="B38035"/>
      <c r="C38035"/>
      <c r="E38035"/>
      <c r="F38035"/>
    </row>
    <row r="38036" spans="1:6" x14ac:dyDescent="0.25">
      <c r="A38036"/>
      <c r="B38036"/>
      <c r="C38036"/>
      <c r="E38036"/>
      <c r="F38036"/>
    </row>
    <row r="38037" spans="1:6" x14ac:dyDescent="0.25">
      <c r="A38037"/>
      <c r="B38037"/>
      <c r="C38037"/>
      <c r="E38037"/>
      <c r="F38037"/>
    </row>
    <row r="38038" spans="1:6" x14ac:dyDescent="0.25">
      <c r="A38038"/>
      <c r="B38038"/>
      <c r="C38038"/>
      <c r="E38038"/>
      <c r="F38038"/>
    </row>
    <row r="38039" spans="1:6" x14ac:dyDescent="0.25">
      <c r="A38039"/>
      <c r="B38039"/>
      <c r="C38039"/>
      <c r="E38039"/>
      <c r="F38039"/>
    </row>
    <row r="38040" spans="1:6" x14ac:dyDescent="0.25">
      <c r="A38040"/>
      <c r="B38040"/>
      <c r="C38040"/>
      <c r="E38040"/>
      <c r="F38040"/>
    </row>
    <row r="38041" spans="1:6" x14ac:dyDescent="0.25">
      <c r="A38041"/>
      <c r="B38041"/>
      <c r="C38041"/>
      <c r="E38041"/>
      <c r="F38041"/>
    </row>
    <row r="38042" spans="1:6" x14ac:dyDescent="0.25">
      <c r="A38042"/>
      <c r="B38042"/>
      <c r="C38042"/>
      <c r="E38042"/>
      <c r="F38042"/>
    </row>
    <row r="38043" spans="1:6" x14ac:dyDescent="0.25">
      <c r="A38043"/>
      <c r="B38043"/>
      <c r="C38043"/>
      <c r="E38043"/>
      <c r="F38043"/>
    </row>
    <row r="38044" spans="1:6" x14ac:dyDescent="0.25">
      <c r="A38044"/>
      <c r="B38044"/>
      <c r="C38044"/>
      <c r="E38044"/>
      <c r="F38044"/>
    </row>
    <row r="38045" spans="1:6" x14ac:dyDescent="0.25">
      <c r="A38045"/>
      <c r="B38045"/>
      <c r="C38045"/>
      <c r="E38045"/>
      <c r="F38045"/>
    </row>
    <row r="38046" spans="1:6" x14ac:dyDescent="0.25">
      <c r="A38046"/>
      <c r="B38046"/>
      <c r="C38046"/>
      <c r="E38046"/>
      <c r="F38046"/>
    </row>
    <row r="38047" spans="1:6" x14ac:dyDescent="0.25">
      <c r="A38047"/>
      <c r="B38047"/>
      <c r="C38047"/>
      <c r="E38047"/>
      <c r="F38047"/>
    </row>
    <row r="38048" spans="1:6" x14ac:dyDescent="0.25">
      <c r="A38048"/>
      <c r="B38048"/>
      <c r="C38048"/>
      <c r="E38048"/>
      <c r="F38048"/>
    </row>
    <row r="38049" spans="1:6" x14ac:dyDescent="0.25">
      <c r="A38049"/>
      <c r="B38049"/>
      <c r="C38049"/>
      <c r="E38049"/>
      <c r="F38049"/>
    </row>
    <row r="38050" spans="1:6" x14ac:dyDescent="0.25">
      <c r="A38050"/>
      <c r="B38050"/>
      <c r="C38050"/>
      <c r="E38050"/>
      <c r="F38050"/>
    </row>
    <row r="38051" spans="1:6" x14ac:dyDescent="0.25">
      <c r="A38051"/>
      <c r="B38051"/>
      <c r="C38051"/>
      <c r="E38051"/>
      <c r="F38051"/>
    </row>
    <row r="38052" spans="1:6" x14ac:dyDescent="0.25">
      <c r="A38052"/>
      <c r="B38052"/>
      <c r="C38052"/>
      <c r="E38052"/>
      <c r="F38052"/>
    </row>
    <row r="38053" spans="1:6" x14ac:dyDescent="0.25">
      <c r="A38053"/>
      <c r="B38053"/>
      <c r="C38053"/>
      <c r="E38053"/>
      <c r="F38053"/>
    </row>
    <row r="38054" spans="1:6" x14ac:dyDescent="0.25">
      <c r="A38054"/>
      <c r="B38054"/>
      <c r="C38054"/>
      <c r="E38054"/>
      <c r="F38054"/>
    </row>
    <row r="38055" spans="1:6" x14ac:dyDescent="0.25">
      <c r="A38055"/>
      <c r="B38055"/>
      <c r="C38055"/>
      <c r="E38055"/>
      <c r="F38055"/>
    </row>
    <row r="38056" spans="1:6" x14ac:dyDescent="0.25">
      <c r="A38056"/>
      <c r="B38056"/>
      <c r="C38056"/>
      <c r="E38056"/>
      <c r="F38056"/>
    </row>
    <row r="38057" spans="1:6" x14ac:dyDescent="0.25">
      <c r="A38057"/>
      <c r="B38057"/>
      <c r="C38057"/>
      <c r="E38057"/>
      <c r="F38057"/>
    </row>
    <row r="38058" spans="1:6" x14ac:dyDescent="0.25">
      <c r="A38058"/>
      <c r="B38058"/>
      <c r="C38058"/>
      <c r="E38058"/>
      <c r="F38058"/>
    </row>
    <row r="38059" spans="1:6" x14ac:dyDescent="0.25">
      <c r="A38059"/>
      <c r="B38059"/>
      <c r="C38059"/>
      <c r="E38059"/>
      <c r="F38059"/>
    </row>
    <row r="38060" spans="1:6" x14ac:dyDescent="0.25">
      <c r="A38060"/>
      <c r="B38060"/>
      <c r="C38060"/>
      <c r="E38060"/>
      <c r="F38060"/>
    </row>
    <row r="38061" spans="1:6" x14ac:dyDescent="0.25">
      <c r="A38061"/>
      <c r="B38061"/>
      <c r="C38061"/>
      <c r="E38061"/>
      <c r="F38061"/>
    </row>
    <row r="38062" spans="1:6" x14ac:dyDescent="0.25">
      <c r="A38062"/>
      <c r="B38062"/>
      <c r="C38062"/>
      <c r="E38062"/>
      <c r="F38062"/>
    </row>
    <row r="38063" spans="1:6" x14ac:dyDescent="0.25">
      <c r="A38063"/>
      <c r="B38063"/>
      <c r="C38063"/>
      <c r="E38063"/>
      <c r="F38063"/>
    </row>
    <row r="38064" spans="1:6" x14ac:dyDescent="0.25">
      <c r="A38064"/>
      <c r="B38064"/>
      <c r="C38064"/>
      <c r="E38064"/>
      <c r="F38064"/>
    </row>
    <row r="38065" spans="1:6" x14ac:dyDescent="0.25">
      <c r="A38065"/>
      <c r="B38065"/>
      <c r="C38065"/>
      <c r="E38065"/>
      <c r="F38065"/>
    </row>
    <row r="38066" spans="1:6" x14ac:dyDescent="0.25">
      <c r="A38066"/>
      <c r="B38066"/>
      <c r="C38066"/>
      <c r="E38066"/>
      <c r="F38066"/>
    </row>
    <row r="38067" spans="1:6" x14ac:dyDescent="0.25">
      <c r="A38067"/>
      <c r="B38067"/>
      <c r="C38067"/>
      <c r="E38067"/>
      <c r="F38067"/>
    </row>
    <row r="38068" spans="1:6" x14ac:dyDescent="0.25">
      <c r="A38068"/>
      <c r="B38068"/>
      <c r="C38068"/>
      <c r="E38068"/>
      <c r="F38068"/>
    </row>
    <row r="38069" spans="1:6" x14ac:dyDescent="0.25">
      <c r="A38069"/>
      <c r="B38069"/>
      <c r="C38069"/>
      <c r="E38069"/>
      <c r="F38069"/>
    </row>
    <row r="38070" spans="1:6" x14ac:dyDescent="0.25">
      <c r="A38070"/>
      <c r="B38070"/>
      <c r="C38070"/>
      <c r="E38070"/>
      <c r="F38070"/>
    </row>
    <row r="38071" spans="1:6" x14ac:dyDescent="0.25">
      <c r="A38071"/>
      <c r="B38071"/>
      <c r="C38071"/>
      <c r="E38071"/>
      <c r="F38071"/>
    </row>
    <row r="38072" spans="1:6" x14ac:dyDescent="0.25">
      <c r="A38072"/>
      <c r="B38072"/>
      <c r="C38072"/>
      <c r="E38072"/>
      <c r="F38072"/>
    </row>
    <row r="38073" spans="1:6" x14ac:dyDescent="0.25">
      <c r="A38073"/>
      <c r="B38073"/>
      <c r="C38073"/>
      <c r="E38073"/>
      <c r="F38073"/>
    </row>
    <row r="38074" spans="1:6" x14ac:dyDescent="0.25">
      <c r="A38074"/>
      <c r="B38074"/>
      <c r="C38074"/>
      <c r="E38074"/>
      <c r="F38074"/>
    </row>
    <row r="38075" spans="1:6" x14ac:dyDescent="0.25">
      <c r="A38075"/>
      <c r="B38075"/>
      <c r="C38075"/>
      <c r="E38075"/>
      <c r="F38075"/>
    </row>
    <row r="38076" spans="1:6" x14ac:dyDescent="0.25">
      <c r="A38076"/>
      <c r="B38076"/>
      <c r="C38076"/>
      <c r="E38076"/>
      <c r="F38076"/>
    </row>
    <row r="38077" spans="1:6" x14ac:dyDescent="0.25">
      <c r="A38077"/>
      <c r="B38077"/>
      <c r="C38077"/>
      <c r="E38077"/>
      <c r="F38077"/>
    </row>
    <row r="38078" spans="1:6" x14ac:dyDescent="0.25">
      <c r="A38078"/>
      <c r="B38078"/>
      <c r="C38078"/>
      <c r="E38078"/>
      <c r="F38078"/>
    </row>
    <row r="38079" spans="1:6" x14ac:dyDescent="0.25">
      <c r="A38079"/>
      <c r="B38079"/>
      <c r="C38079"/>
      <c r="E38079"/>
      <c r="F38079"/>
    </row>
    <row r="38080" spans="1:6" x14ac:dyDescent="0.25">
      <c r="A38080"/>
      <c r="B38080"/>
      <c r="C38080"/>
      <c r="E38080"/>
      <c r="F38080"/>
    </row>
    <row r="38081" spans="1:6" x14ac:dyDescent="0.25">
      <c r="A38081"/>
      <c r="B38081"/>
      <c r="C38081"/>
      <c r="E38081"/>
      <c r="F38081"/>
    </row>
    <row r="38082" spans="1:6" x14ac:dyDescent="0.25">
      <c r="A38082"/>
      <c r="B38082"/>
      <c r="C38082"/>
      <c r="E38082"/>
      <c r="F38082"/>
    </row>
    <row r="38083" spans="1:6" x14ac:dyDescent="0.25">
      <c r="A38083"/>
      <c r="B38083"/>
      <c r="C38083"/>
      <c r="E38083"/>
      <c r="F38083"/>
    </row>
    <row r="38084" spans="1:6" x14ac:dyDescent="0.25">
      <c r="A38084"/>
      <c r="B38084"/>
      <c r="C38084"/>
      <c r="E38084"/>
      <c r="F38084"/>
    </row>
    <row r="38085" spans="1:6" x14ac:dyDescent="0.25">
      <c r="A38085"/>
      <c r="B38085"/>
      <c r="C38085"/>
      <c r="E38085"/>
      <c r="F38085"/>
    </row>
    <row r="38086" spans="1:6" x14ac:dyDescent="0.25">
      <c r="A38086"/>
      <c r="B38086"/>
      <c r="C38086"/>
      <c r="E38086"/>
      <c r="F38086"/>
    </row>
    <row r="38087" spans="1:6" x14ac:dyDescent="0.25">
      <c r="A38087"/>
      <c r="B38087"/>
      <c r="C38087"/>
      <c r="E38087"/>
      <c r="F38087"/>
    </row>
    <row r="38088" spans="1:6" x14ac:dyDescent="0.25">
      <c r="A38088"/>
      <c r="B38088"/>
      <c r="C38088"/>
      <c r="E38088"/>
      <c r="F38088"/>
    </row>
    <row r="38089" spans="1:6" x14ac:dyDescent="0.25">
      <c r="A38089"/>
      <c r="B38089"/>
      <c r="C38089"/>
      <c r="E38089"/>
      <c r="F38089"/>
    </row>
    <row r="38090" spans="1:6" x14ac:dyDescent="0.25">
      <c r="A38090"/>
      <c r="B38090"/>
      <c r="C38090"/>
      <c r="E38090"/>
      <c r="F38090"/>
    </row>
    <row r="38091" spans="1:6" x14ac:dyDescent="0.25">
      <c r="A38091"/>
      <c r="B38091"/>
      <c r="C38091"/>
      <c r="E38091"/>
      <c r="F38091"/>
    </row>
    <row r="38092" spans="1:6" x14ac:dyDescent="0.25">
      <c r="A38092"/>
      <c r="B38092"/>
      <c r="C38092"/>
      <c r="E38092"/>
      <c r="F38092"/>
    </row>
    <row r="38093" spans="1:6" x14ac:dyDescent="0.25">
      <c r="A38093"/>
      <c r="B38093"/>
      <c r="C38093"/>
      <c r="E38093"/>
      <c r="F38093"/>
    </row>
    <row r="38094" spans="1:6" x14ac:dyDescent="0.25">
      <c r="A38094"/>
      <c r="B38094"/>
      <c r="C38094"/>
      <c r="E38094"/>
      <c r="F38094"/>
    </row>
    <row r="38095" spans="1:6" x14ac:dyDescent="0.25">
      <c r="A38095"/>
      <c r="B38095"/>
      <c r="C38095"/>
      <c r="E38095"/>
      <c r="F38095"/>
    </row>
    <row r="38096" spans="1:6" x14ac:dyDescent="0.25">
      <c r="A38096"/>
      <c r="B38096"/>
      <c r="C38096"/>
      <c r="E38096"/>
      <c r="F38096"/>
    </row>
    <row r="38097" spans="1:6" x14ac:dyDescent="0.25">
      <c r="A38097"/>
      <c r="B38097"/>
      <c r="C38097"/>
      <c r="E38097"/>
      <c r="F38097"/>
    </row>
    <row r="38098" spans="1:6" x14ac:dyDescent="0.25">
      <c r="A38098"/>
      <c r="B38098"/>
      <c r="C38098"/>
      <c r="E38098"/>
      <c r="F38098"/>
    </row>
    <row r="38099" spans="1:6" x14ac:dyDescent="0.25">
      <c r="A38099"/>
      <c r="B38099"/>
      <c r="C38099"/>
      <c r="E38099"/>
      <c r="F38099"/>
    </row>
    <row r="38100" spans="1:6" x14ac:dyDescent="0.25">
      <c r="A38100"/>
      <c r="B38100"/>
      <c r="C38100"/>
      <c r="E38100"/>
      <c r="F38100"/>
    </row>
    <row r="38101" spans="1:6" x14ac:dyDescent="0.25">
      <c r="A38101"/>
      <c r="B38101"/>
      <c r="C38101"/>
      <c r="E38101"/>
      <c r="F38101"/>
    </row>
    <row r="38102" spans="1:6" x14ac:dyDescent="0.25">
      <c r="A38102"/>
      <c r="B38102"/>
      <c r="C38102"/>
      <c r="E38102"/>
      <c r="F38102"/>
    </row>
    <row r="38103" spans="1:6" x14ac:dyDescent="0.25">
      <c r="A38103"/>
      <c r="B38103"/>
      <c r="C38103"/>
      <c r="E38103"/>
      <c r="F38103"/>
    </row>
    <row r="38104" spans="1:6" x14ac:dyDescent="0.25">
      <c r="A38104"/>
      <c r="B38104"/>
      <c r="C38104"/>
      <c r="E38104"/>
      <c r="F38104"/>
    </row>
    <row r="38105" spans="1:6" x14ac:dyDescent="0.25">
      <c r="A38105"/>
      <c r="B38105"/>
      <c r="C38105"/>
      <c r="E38105"/>
      <c r="F38105"/>
    </row>
    <row r="38106" spans="1:6" x14ac:dyDescent="0.25">
      <c r="A38106"/>
      <c r="B38106"/>
      <c r="C38106"/>
      <c r="E38106"/>
      <c r="F38106"/>
    </row>
    <row r="38107" spans="1:6" x14ac:dyDescent="0.25">
      <c r="A38107"/>
      <c r="B38107"/>
      <c r="C38107"/>
      <c r="E38107"/>
      <c r="F38107"/>
    </row>
    <row r="38108" spans="1:6" x14ac:dyDescent="0.25">
      <c r="A38108"/>
      <c r="B38108"/>
      <c r="C38108"/>
      <c r="E38108"/>
      <c r="F38108"/>
    </row>
    <row r="38109" spans="1:6" x14ac:dyDescent="0.25">
      <c r="A38109"/>
      <c r="B38109"/>
      <c r="C38109"/>
      <c r="E38109"/>
      <c r="F38109"/>
    </row>
    <row r="38110" spans="1:6" x14ac:dyDescent="0.25">
      <c r="A38110"/>
      <c r="B38110"/>
      <c r="C38110"/>
      <c r="E38110"/>
      <c r="F38110"/>
    </row>
    <row r="38111" spans="1:6" x14ac:dyDescent="0.25">
      <c r="A38111"/>
      <c r="B38111"/>
      <c r="C38111"/>
      <c r="E38111"/>
      <c r="F38111"/>
    </row>
    <row r="38112" spans="1:6" x14ac:dyDescent="0.25">
      <c r="A38112"/>
      <c r="B38112"/>
      <c r="C38112"/>
      <c r="E38112"/>
      <c r="F38112"/>
    </row>
    <row r="38113" spans="1:6" x14ac:dyDescent="0.25">
      <c r="A38113"/>
      <c r="B38113"/>
      <c r="C38113"/>
      <c r="E38113"/>
      <c r="F38113"/>
    </row>
    <row r="38114" spans="1:6" x14ac:dyDescent="0.25">
      <c r="A38114"/>
      <c r="B38114"/>
      <c r="C38114"/>
      <c r="E38114"/>
      <c r="F38114"/>
    </row>
    <row r="38115" spans="1:6" x14ac:dyDescent="0.25">
      <c r="A38115"/>
      <c r="B38115"/>
      <c r="C38115"/>
      <c r="E38115"/>
      <c r="F38115"/>
    </row>
    <row r="38116" spans="1:6" x14ac:dyDescent="0.25">
      <c r="A38116"/>
      <c r="B38116"/>
      <c r="C38116"/>
      <c r="E38116"/>
      <c r="F38116"/>
    </row>
    <row r="38117" spans="1:6" x14ac:dyDescent="0.25">
      <c r="A38117"/>
      <c r="B38117"/>
      <c r="C38117"/>
      <c r="E38117"/>
      <c r="F38117"/>
    </row>
    <row r="38118" spans="1:6" x14ac:dyDescent="0.25">
      <c r="A38118"/>
      <c r="B38118"/>
      <c r="C38118"/>
      <c r="E38118"/>
      <c r="F38118"/>
    </row>
    <row r="38119" spans="1:6" x14ac:dyDescent="0.25">
      <c r="A38119"/>
      <c r="B38119"/>
      <c r="C38119"/>
      <c r="E38119"/>
      <c r="F38119"/>
    </row>
    <row r="38120" spans="1:6" x14ac:dyDescent="0.25">
      <c r="A38120"/>
      <c r="B38120"/>
      <c r="C38120"/>
      <c r="E38120"/>
      <c r="F38120"/>
    </row>
    <row r="38121" spans="1:6" x14ac:dyDescent="0.25">
      <c r="A38121"/>
      <c r="B38121"/>
      <c r="C38121"/>
      <c r="E38121"/>
      <c r="F38121"/>
    </row>
    <row r="38122" spans="1:6" x14ac:dyDescent="0.25">
      <c r="A38122"/>
      <c r="B38122"/>
      <c r="C38122"/>
      <c r="E38122"/>
      <c r="F38122"/>
    </row>
    <row r="38123" spans="1:6" x14ac:dyDescent="0.25">
      <c r="A38123"/>
      <c r="B38123"/>
      <c r="C38123"/>
      <c r="E38123"/>
      <c r="F38123"/>
    </row>
    <row r="38124" spans="1:6" x14ac:dyDescent="0.25">
      <c r="A38124"/>
      <c r="B38124"/>
      <c r="C38124"/>
      <c r="E38124"/>
      <c r="F38124"/>
    </row>
    <row r="38125" spans="1:6" x14ac:dyDescent="0.25">
      <c r="A38125"/>
      <c r="B38125"/>
      <c r="C38125"/>
      <c r="E38125"/>
      <c r="F38125"/>
    </row>
    <row r="38126" spans="1:6" x14ac:dyDescent="0.25">
      <c r="A38126"/>
      <c r="B38126"/>
      <c r="C38126"/>
      <c r="E38126"/>
      <c r="F38126"/>
    </row>
    <row r="38127" spans="1:6" x14ac:dyDescent="0.25">
      <c r="A38127"/>
      <c r="B38127"/>
      <c r="C38127"/>
      <c r="E38127"/>
      <c r="F38127"/>
    </row>
    <row r="38128" spans="1:6" x14ac:dyDescent="0.25">
      <c r="A38128"/>
      <c r="B38128"/>
      <c r="C38128"/>
      <c r="E38128"/>
      <c r="F38128"/>
    </row>
    <row r="38129" spans="1:6" x14ac:dyDescent="0.25">
      <c r="A38129"/>
      <c r="B38129"/>
      <c r="C38129"/>
      <c r="E38129"/>
      <c r="F38129"/>
    </row>
    <row r="38130" spans="1:6" x14ac:dyDescent="0.25">
      <c r="A38130"/>
      <c r="B38130"/>
      <c r="C38130"/>
      <c r="E38130"/>
      <c r="F38130"/>
    </row>
    <row r="38131" spans="1:6" x14ac:dyDescent="0.25">
      <c r="A38131"/>
      <c r="B38131"/>
      <c r="C38131"/>
      <c r="E38131"/>
      <c r="F38131"/>
    </row>
    <row r="38132" spans="1:6" x14ac:dyDescent="0.25">
      <c r="A38132"/>
      <c r="B38132"/>
      <c r="C38132"/>
      <c r="E38132"/>
      <c r="F38132"/>
    </row>
    <row r="38133" spans="1:6" x14ac:dyDescent="0.25">
      <c r="A38133"/>
      <c r="B38133"/>
      <c r="C38133"/>
      <c r="E38133"/>
      <c r="F38133"/>
    </row>
    <row r="38134" spans="1:6" x14ac:dyDescent="0.25">
      <c r="A38134"/>
      <c r="B38134"/>
      <c r="C38134"/>
      <c r="E38134"/>
      <c r="F38134"/>
    </row>
    <row r="38135" spans="1:6" x14ac:dyDescent="0.25">
      <c r="A38135"/>
      <c r="B38135"/>
      <c r="C38135"/>
      <c r="E38135"/>
      <c r="F38135"/>
    </row>
    <row r="38136" spans="1:6" x14ac:dyDescent="0.25">
      <c r="A38136"/>
      <c r="B38136"/>
      <c r="C38136"/>
      <c r="E38136"/>
      <c r="F38136"/>
    </row>
    <row r="38137" spans="1:6" x14ac:dyDescent="0.25">
      <c r="A38137"/>
      <c r="B38137"/>
      <c r="C38137"/>
      <c r="E38137"/>
      <c r="F38137"/>
    </row>
    <row r="38138" spans="1:6" x14ac:dyDescent="0.25">
      <c r="A38138"/>
      <c r="B38138"/>
      <c r="C38138"/>
      <c r="E38138"/>
      <c r="F38138"/>
    </row>
    <row r="38139" spans="1:6" x14ac:dyDescent="0.25">
      <c r="A38139"/>
      <c r="B38139"/>
      <c r="C38139"/>
      <c r="E38139"/>
      <c r="F38139"/>
    </row>
    <row r="38140" spans="1:6" x14ac:dyDescent="0.25">
      <c r="A38140"/>
      <c r="B38140"/>
      <c r="C38140"/>
      <c r="E38140"/>
      <c r="F38140"/>
    </row>
    <row r="38141" spans="1:6" x14ac:dyDescent="0.25">
      <c r="A38141"/>
      <c r="B38141"/>
      <c r="C38141"/>
      <c r="E38141"/>
      <c r="F38141"/>
    </row>
    <row r="38142" spans="1:6" x14ac:dyDescent="0.25">
      <c r="A38142"/>
      <c r="B38142"/>
      <c r="C38142"/>
      <c r="E38142"/>
      <c r="F38142"/>
    </row>
    <row r="38143" spans="1:6" x14ac:dyDescent="0.25">
      <c r="A38143"/>
      <c r="B38143"/>
      <c r="C38143"/>
      <c r="E38143"/>
      <c r="F38143"/>
    </row>
    <row r="38144" spans="1:6" x14ac:dyDescent="0.25">
      <c r="A38144"/>
      <c r="B38144"/>
      <c r="C38144"/>
      <c r="E38144"/>
      <c r="F38144"/>
    </row>
    <row r="38145" spans="1:6" x14ac:dyDescent="0.25">
      <c r="A38145"/>
      <c r="B38145"/>
      <c r="C38145"/>
      <c r="E38145"/>
      <c r="F38145"/>
    </row>
    <row r="38146" spans="1:6" x14ac:dyDescent="0.25">
      <c r="A38146"/>
      <c r="B38146"/>
      <c r="C38146"/>
      <c r="E38146"/>
      <c r="F38146"/>
    </row>
    <row r="38147" spans="1:6" x14ac:dyDescent="0.25">
      <c r="A38147"/>
      <c r="B38147"/>
      <c r="C38147"/>
      <c r="E38147"/>
      <c r="F38147"/>
    </row>
    <row r="38148" spans="1:6" x14ac:dyDescent="0.25">
      <c r="A38148"/>
      <c r="B38148"/>
      <c r="C38148"/>
      <c r="E38148"/>
      <c r="F38148"/>
    </row>
    <row r="38149" spans="1:6" x14ac:dyDescent="0.25">
      <c r="A38149"/>
      <c r="B38149"/>
      <c r="C38149"/>
      <c r="E38149"/>
      <c r="F38149"/>
    </row>
    <row r="38150" spans="1:6" x14ac:dyDescent="0.25">
      <c r="A38150"/>
      <c r="B38150"/>
      <c r="C38150"/>
      <c r="E38150"/>
      <c r="F38150"/>
    </row>
    <row r="38151" spans="1:6" x14ac:dyDescent="0.25">
      <c r="A38151"/>
      <c r="B38151"/>
      <c r="C38151"/>
      <c r="E38151"/>
      <c r="F38151"/>
    </row>
    <row r="38152" spans="1:6" x14ac:dyDescent="0.25">
      <c r="A38152"/>
      <c r="B38152"/>
      <c r="C38152"/>
      <c r="E38152"/>
      <c r="F38152"/>
    </row>
    <row r="38153" spans="1:6" x14ac:dyDescent="0.25">
      <c r="A38153"/>
      <c r="B38153"/>
      <c r="C38153"/>
      <c r="E38153"/>
      <c r="F38153"/>
    </row>
    <row r="38154" spans="1:6" x14ac:dyDescent="0.25">
      <c r="A38154"/>
      <c r="B38154"/>
      <c r="C38154"/>
      <c r="E38154"/>
      <c r="F38154"/>
    </row>
    <row r="38155" spans="1:6" x14ac:dyDescent="0.25">
      <c r="A38155"/>
      <c r="B38155"/>
      <c r="C38155"/>
      <c r="E38155"/>
      <c r="F38155"/>
    </row>
    <row r="38156" spans="1:6" x14ac:dyDescent="0.25">
      <c r="A38156"/>
      <c r="B38156"/>
      <c r="C38156"/>
      <c r="E38156"/>
      <c r="F38156"/>
    </row>
    <row r="38157" spans="1:6" x14ac:dyDescent="0.25">
      <c r="A38157"/>
      <c r="B38157"/>
      <c r="C38157"/>
      <c r="E38157"/>
      <c r="F38157"/>
    </row>
    <row r="38158" spans="1:6" x14ac:dyDescent="0.25">
      <c r="A38158"/>
      <c r="B38158"/>
      <c r="C38158"/>
      <c r="E38158"/>
      <c r="F38158"/>
    </row>
    <row r="38159" spans="1:6" x14ac:dyDescent="0.25">
      <c r="A38159"/>
      <c r="B38159"/>
      <c r="C38159"/>
      <c r="E38159"/>
      <c r="F38159"/>
    </row>
    <row r="38160" spans="1:6" x14ac:dyDescent="0.25">
      <c r="A38160"/>
      <c r="B38160"/>
      <c r="C38160"/>
      <c r="E38160"/>
      <c r="F38160"/>
    </row>
    <row r="38161" spans="1:6" x14ac:dyDescent="0.25">
      <c r="A38161"/>
      <c r="B38161"/>
      <c r="C38161"/>
      <c r="E38161"/>
      <c r="F38161"/>
    </row>
    <row r="38162" spans="1:6" x14ac:dyDescent="0.25">
      <c r="A38162"/>
      <c r="B38162"/>
      <c r="C38162"/>
      <c r="E38162"/>
      <c r="F38162"/>
    </row>
    <row r="38163" spans="1:6" x14ac:dyDescent="0.25">
      <c r="A38163"/>
      <c r="B38163"/>
      <c r="C38163"/>
      <c r="E38163"/>
      <c r="F38163"/>
    </row>
    <row r="38164" spans="1:6" x14ac:dyDescent="0.25">
      <c r="A38164"/>
      <c r="B38164"/>
      <c r="C38164"/>
      <c r="E38164"/>
      <c r="F38164"/>
    </row>
    <row r="38165" spans="1:6" x14ac:dyDescent="0.25">
      <c r="A38165"/>
      <c r="B38165"/>
      <c r="C38165"/>
      <c r="E38165"/>
      <c r="F38165"/>
    </row>
    <row r="38166" spans="1:6" x14ac:dyDescent="0.25">
      <c r="A38166"/>
      <c r="B38166"/>
      <c r="C38166"/>
      <c r="E38166"/>
      <c r="F38166"/>
    </row>
    <row r="38167" spans="1:6" x14ac:dyDescent="0.25">
      <c r="A38167"/>
      <c r="B38167"/>
      <c r="C38167"/>
      <c r="E38167"/>
      <c r="F38167"/>
    </row>
    <row r="38168" spans="1:6" x14ac:dyDescent="0.25">
      <c r="A38168"/>
      <c r="B38168"/>
      <c r="C38168"/>
      <c r="E38168"/>
      <c r="F38168"/>
    </row>
    <row r="38169" spans="1:6" x14ac:dyDescent="0.25">
      <c r="A38169"/>
      <c r="B38169"/>
      <c r="C38169"/>
      <c r="E38169"/>
      <c r="F38169"/>
    </row>
    <row r="38170" spans="1:6" x14ac:dyDescent="0.25">
      <c r="A38170"/>
      <c r="B38170"/>
      <c r="C38170"/>
      <c r="E38170"/>
      <c r="F38170"/>
    </row>
    <row r="38171" spans="1:6" x14ac:dyDescent="0.25">
      <c r="A38171"/>
      <c r="B38171"/>
      <c r="C38171"/>
      <c r="E38171"/>
      <c r="F38171"/>
    </row>
    <row r="38172" spans="1:6" x14ac:dyDescent="0.25">
      <c r="A38172"/>
      <c r="B38172"/>
      <c r="C38172"/>
      <c r="E38172"/>
      <c r="F38172"/>
    </row>
    <row r="38173" spans="1:6" x14ac:dyDescent="0.25">
      <c r="A38173"/>
      <c r="B38173"/>
      <c r="C38173"/>
      <c r="E38173"/>
      <c r="F38173"/>
    </row>
    <row r="38174" spans="1:6" x14ac:dyDescent="0.25">
      <c r="A38174"/>
      <c r="B38174"/>
      <c r="C38174"/>
      <c r="E38174"/>
      <c r="F38174"/>
    </row>
    <row r="38175" spans="1:6" x14ac:dyDescent="0.25">
      <c r="A38175"/>
      <c r="B38175"/>
      <c r="C38175"/>
      <c r="E38175"/>
      <c r="F38175"/>
    </row>
    <row r="38176" spans="1:6" x14ac:dyDescent="0.25">
      <c r="A38176"/>
      <c r="B38176"/>
      <c r="C38176"/>
      <c r="E38176"/>
      <c r="F38176"/>
    </row>
    <row r="38177" spans="1:6" x14ac:dyDescent="0.25">
      <c r="A38177"/>
      <c r="B38177"/>
      <c r="C38177"/>
      <c r="E38177"/>
      <c r="F38177"/>
    </row>
    <row r="38178" spans="1:6" x14ac:dyDescent="0.25">
      <c r="A38178"/>
      <c r="B38178"/>
      <c r="C38178"/>
      <c r="E38178"/>
      <c r="F38178"/>
    </row>
    <row r="38179" spans="1:6" x14ac:dyDescent="0.25">
      <c r="A38179"/>
      <c r="B38179"/>
      <c r="C38179"/>
      <c r="E38179"/>
      <c r="F38179"/>
    </row>
    <row r="38180" spans="1:6" x14ac:dyDescent="0.25">
      <c r="A38180"/>
      <c r="B38180"/>
      <c r="C38180"/>
      <c r="E38180"/>
      <c r="F38180"/>
    </row>
    <row r="38181" spans="1:6" x14ac:dyDescent="0.25">
      <c r="A38181"/>
      <c r="B38181"/>
      <c r="C38181"/>
      <c r="E38181"/>
      <c r="F38181"/>
    </row>
    <row r="38182" spans="1:6" x14ac:dyDescent="0.25">
      <c r="A38182"/>
      <c r="B38182"/>
      <c r="C38182"/>
      <c r="E38182"/>
      <c r="F38182"/>
    </row>
    <row r="38183" spans="1:6" x14ac:dyDescent="0.25">
      <c r="A38183"/>
      <c r="B38183"/>
      <c r="C38183"/>
      <c r="E38183"/>
      <c r="F38183"/>
    </row>
    <row r="38184" spans="1:6" x14ac:dyDescent="0.25">
      <c r="A38184"/>
      <c r="B38184"/>
      <c r="C38184"/>
      <c r="E38184"/>
      <c r="F38184"/>
    </row>
    <row r="38185" spans="1:6" x14ac:dyDescent="0.25">
      <c r="A38185"/>
      <c r="B38185"/>
      <c r="C38185"/>
      <c r="E38185"/>
      <c r="F38185"/>
    </row>
    <row r="38186" spans="1:6" x14ac:dyDescent="0.25">
      <c r="A38186"/>
      <c r="B38186"/>
      <c r="C38186"/>
      <c r="E38186"/>
      <c r="F38186"/>
    </row>
    <row r="38187" spans="1:6" x14ac:dyDescent="0.25">
      <c r="A38187"/>
      <c r="B38187"/>
      <c r="C38187"/>
      <c r="E38187"/>
      <c r="F38187"/>
    </row>
    <row r="38188" spans="1:6" x14ac:dyDescent="0.25">
      <c r="A38188"/>
      <c r="B38188"/>
      <c r="C38188"/>
      <c r="E38188"/>
      <c r="F38188"/>
    </row>
    <row r="38189" spans="1:6" x14ac:dyDescent="0.25">
      <c r="A38189"/>
      <c r="B38189"/>
      <c r="C38189"/>
      <c r="E38189"/>
      <c r="F38189"/>
    </row>
    <row r="38190" spans="1:6" x14ac:dyDescent="0.25">
      <c r="A38190"/>
      <c r="B38190"/>
      <c r="C38190"/>
      <c r="E38190"/>
      <c r="F38190"/>
    </row>
    <row r="38191" spans="1:6" x14ac:dyDescent="0.25">
      <c r="A38191"/>
      <c r="B38191"/>
      <c r="C38191"/>
      <c r="E38191"/>
      <c r="F38191"/>
    </row>
    <row r="38192" spans="1:6" x14ac:dyDescent="0.25">
      <c r="A38192"/>
      <c r="B38192"/>
      <c r="C38192"/>
      <c r="E38192"/>
      <c r="F38192"/>
    </row>
    <row r="38193" spans="1:6" x14ac:dyDescent="0.25">
      <c r="A38193"/>
      <c r="B38193"/>
      <c r="C38193"/>
      <c r="E38193"/>
      <c r="F38193"/>
    </row>
    <row r="38194" spans="1:6" x14ac:dyDescent="0.25">
      <c r="A38194"/>
      <c r="B38194"/>
      <c r="C38194"/>
      <c r="E38194"/>
      <c r="F38194"/>
    </row>
    <row r="38195" spans="1:6" x14ac:dyDescent="0.25">
      <c r="A38195"/>
      <c r="B38195"/>
      <c r="C38195"/>
      <c r="E38195"/>
      <c r="F38195"/>
    </row>
    <row r="38196" spans="1:6" x14ac:dyDescent="0.25">
      <c r="A38196"/>
      <c r="B38196"/>
      <c r="C38196"/>
      <c r="E38196"/>
      <c r="F38196"/>
    </row>
    <row r="38197" spans="1:6" x14ac:dyDescent="0.25">
      <c r="A38197"/>
      <c r="B38197"/>
      <c r="C38197"/>
      <c r="E38197"/>
      <c r="F38197"/>
    </row>
    <row r="38198" spans="1:6" x14ac:dyDescent="0.25">
      <c r="A38198"/>
      <c r="B38198"/>
      <c r="C38198"/>
      <c r="E38198"/>
      <c r="F38198"/>
    </row>
    <row r="38199" spans="1:6" x14ac:dyDescent="0.25">
      <c r="A38199"/>
      <c r="B38199"/>
      <c r="C38199"/>
      <c r="E38199"/>
      <c r="F38199"/>
    </row>
    <row r="38200" spans="1:6" x14ac:dyDescent="0.25">
      <c r="A38200"/>
      <c r="B38200"/>
      <c r="C38200"/>
      <c r="E38200"/>
      <c r="F38200"/>
    </row>
    <row r="38201" spans="1:6" x14ac:dyDescent="0.25">
      <c r="A38201"/>
      <c r="B38201"/>
      <c r="C38201"/>
      <c r="E38201"/>
      <c r="F38201"/>
    </row>
    <row r="38202" spans="1:6" x14ac:dyDescent="0.25">
      <c r="A38202"/>
      <c r="B38202"/>
      <c r="C38202"/>
      <c r="E38202"/>
      <c r="F38202"/>
    </row>
    <row r="38203" spans="1:6" x14ac:dyDescent="0.25">
      <c r="A38203"/>
      <c r="B38203"/>
      <c r="C38203"/>
      <c r="E38203"/>
      <c r="F38203"/>
    </row>
    <row r="38204" spans="1:6" x14ac:dyDescent="0.25">
      <c r="A38204"/>
      <c r="B38204"/>
      <c r="C38204"/>
      <c r="E38204"/>
      <c r="F38204"/>
    </row>
    <row r="38205" spans="1:6" x14ac:dyDescent="0.25">
      <c r="A38205"/>
      <c r="B38205"/>
      <c r="C38205"/>
      <c r="E38205"/>
      <c r="F38205"/>
    </row>
    <row r="38206" spans="1:6" x14ac:dyDescent="0.25">
      <c r="A38206"/>
      <c r="B38206"/>
      <c r="C38206"/>
      <c r="E38206"/>
      <c r="F38206"/>
    </row>
    <row r="38207" spans="1:6" x14ac:dyDescent="0.25">
      <c r="A38207"/>
      <c r="B38207"/>
      <c r="C38207"/>
      <c r="E38207"/>
      <c r="F38207"/>
    </row>
    <row r="38208" spans="1:6" x14ac:dyDescent="0.25">
      <c r="A38208"/>
      <c r="B38208"/>
      <c r="C38208"/>
      <c r="E38208"/>
      <c r="F38208"/>
    </row>
    <row r="38209" spans="1:6" x14ac:dyDescent="0.25">
      <c r="A38209"/>
      <c r="B38209"/>
      <c r="C38209"/>
      <c r="E38209"/>
      <c r="F38209"/>
    </row>
    <row r="38210" spans="1:6" x14ac:dyDescent="0.25">
      <c r="A38210"/>
      <c r="B38210"/>
      <c r="C38210"/>
      <c r="E38210"/>
      <c r="F38210"/>
    </row>
    <row r="38211" spans="1:6" x14ac:dyDescent="0.25">
      <c r="A38211"/>
      <c r="B38211"/>
      <c r="C38211"/>
      <c r="E38211"/>
      <c r="F38211"/>
    </row>
    <row r="38212" spans="1:6" x14ac:dyDescent="0.25">
      <c r="A38212"/>
      <c r="B38212"/>
      <c r="C38212"/>
      <c r="E38212"/>
      <c r="F38212"/>
    </row>
    <row r="38213" spans="1:6" x14ac:dyDescent="0.25">
      <c r="A38213"/>
      <c r="B38213"/>
      <c r="C38213"/>
      <c r="E38213"/>
      <c r="F38213"/>
    </row>
    <row r="38214" spans="1:6" x14ac:dyDescent="0.25">
      <c r="A38214"/>
      <c r="B38214"/>
      <c r="C38214"/>
      <c r="E38214"/>
      <c r="F38214"/>
    </row>
    <row r="38215" spans="1:6" x14ac:dyDescent="0.25">
      <c r="A38215"/>
      <c r="B38215"/>
      <c r="C38215"/>
      <c r="E38215"/>
      <c r="F38215"/>
    </row>
    <row r="38216" spans="1:6" x14ac:dyDescent="0.25">
      <c r="A38216"/>
      <c r="B38216"/>
      <c r="C38216"/>
      <c r="E38216"/>
      <c r="F38216"/>
    </row>
    <row r="38217" spans="1:6" x14ac:dyDescent="0.25">
      <c r="A38217"/>
      <c r="B38217"/>
      <c r="C38217"/>
      <c r="E38217"/>
      <c r="F38217"/>
    </row>
    <row r="38218" spans="1:6" x14ac:dyDescent="0.25">
      <c r="A38218"/>
      <c r="B38218"/>
      <c r="C38218"/>
      <c r="E38218"/>
      <c r="F38218"/>
    </row>
    <row r="38219" spans="1:6" x14ac:dyDescent="0.25">
      <c r="A38219"/>
      <c r="B38219"/>
      <c r="C38219"/>
      <c r="E38219"/>
      <c r="F38219"/>
    </row>
    <row r="38220" spans="1:6" x14ac:dyDescent="0.25">
      <c r="A38220"/>
      <c r="B38220"/>
      <c r="C38220"/>
      <c r="E38220"/>
      <c r="F38220"/>
    </row>
    <row r="38221" spans="1:6" x14ac:dyDescent="0.25">
      <c r="A38221"/>
      <c r="B38221"/>
      <c r="C38221"/>
      <c r="E38221"/>
      <c r="F38221"/>
    </row>
    <row r="38222" spans="1:6" x14ac:dyDescent="0.25">
      <c r="A38222"/>
      <c r="B38222"/>
      <c r="C38222"/>
      <c r="E38222"/>
      <c r="F38222"/>
    </row>
    <row r="38223" spans="1:6" x14ac:dyDescent="0.25">
      <c r="A38223"/>
      <c r="B38223"/>
      <c r="C38223"/>
      <c r="E38223"/>
      <c r="F38223"/>
    </row>
    <row r="38224" spans="1:6" x14ac:dyDescent="0.25">
      <c r="A38224"/>
      <c r="B38224"/>
      <c r="C38224"/>
      <c r="E38224"/>
      <c r="F38224"/>
    </row>
    <row r="38225" spans="1:6" x14ac:dyDescent="0.25">
      <c r="A38225"/>
      <c r="B38225"/>
      <c r="C38225"/>
      <c r="E38225"/>
      <c r="F38225"/>
    </row>
    <row r="38226" spans="1:6" x14ac:dyDescent="0.25">
      <c r="A38226"/>
      <c r="B38226"/>
      <c r="C38226"/>
      <c r="E38226"/>
      <c r="F38226"/>
    </row>
    <row r="38227" spans="1:6" x14ac:dyDescent="0.25">
      <c r="A38227"/>
      <c r="B38227"/>
      <c r="C38227"/>
      <c r="E38227"/>
      <c r="F38227"/>
    </row>
    <row r="38228" spans="1:6" x14ac:dyDescent="0.25">
      <c r="A38228"/>
      <c r="B38228"/>
      <c r="C38228"/>
      <c r="E38228"/>
      <c r="F38228"/>
    </row>
    <row r="38229" spans="1:6" x14ac:dyDescent="0.25">
      <c r="A38229"/>
      <c r="B38229"/>
      <c r="C38229"/>
      <c r="E38229"/>
      <c r="F38229"/>
    </row>
    <row r="38230" spans="1:6" x14ac:dyDescent="0.25">
      <c r="A38230"/>
      <c r="B38230"/>
      <c r="C38230"/>
      <c r="E38230"/>
      <c r="F38230"/>
    </row>
    <row r="38231" spans="1:6" x14ac:dyDescent="0.25">
      <c r="A38231"/>
      <c r="B38231"/>
      <c r="C38231"/>
      <c r="E38231"/>
      <c r="F38231"/>
    </row>
    <row r="38232" spans="1:6" x14ac:dyDescent="0.25">
      <c r="A38232"/>
      <c r="B38232"/>
      <c r="C38232"/>
      <c r="E38232"/>
      <c r="F38232"/>
    </row>
    <row r="38233" spans="1:6" x14ac:dyDescent="0.25">
      <c r="A38233"/>
      <c r="B38233"/>
      <c r="C38233"/>
      <c r="E38233"/>
      <c r="F38233"/>
    </row>
    <row r="38234" spans="1:6" x14ac:dyDescent="0.25">
      <c r="A38234"/>
      <c r="B38234"/>
      <c r="C38234"/>
      <c r="E38234"/>
      <c r="F38234"/>
    </row>
    <row r="38235" spans="1:6" x14ac:dyDescent="0.25">
      <c r="A38235"/>
      <c r="B38235"/>
      <c r="C38235"/>
      <c r="E38235"/>
      <c r="F38235"/>
    </row>
    <row r="38236" spans="1:6" x14ac:dyDescent="0.25">
      <c r="A38236"/>
      <c r="B38236"/>
      <c r="C38236"/>
      <c r="E38236"/>
      <c r="F38236"/>
    </row>
    <row r="38237" spans="1:6" x14ac:dyDescent="0.25">
      <c r="A38237"/>
      <c r="B38237"/>
      <c r="C38237"/>
      <c r="E38237"/>
      <c r="F38237"/>
    </row>
    <row r="38238" spans="1:6" x14ac:dyDescent="0.25">
      <c r="A38238"/>
      <c r="B38238"/>
      <c r="C38238"/>
      <c r="E38238"/>
      <c r="F38238"/>
    </row>
    <row r="38239" spans="1:6" x14ac:dyDescent="0.25">
      <c r="A38239"/>
      <c r="B38239"/>
      <c r="C38239"/>
      <c r="E38239"/>
      <c r="F38239"/>
    </row>
    <row r="38240" spans="1:6" x14ac:dyDescent="0.25">
      <c r="A38240"/>
      <c r="B38240"/>
      <c r="C38240"/>
      <c r="E38240"/>
      <c r="F38240"/>
    </row>
    <row r="38241" spans="1:6" x14ac:dyDescent="0.25">
      <c r="A38241"/>
      <c r="B38241"/>
      <c r="C38241"/>
      <c r="E38241"/>
      <c r="F38241"/>
    </row>
    <row r="38242" spans="1:6" x14ac:dyDescent="0.25">
      <c r="A38242"/>
      <c r="B38242"/>
      <c r="C38242"/>
      <c r="E38242"/>
      <c r="F38242"/>
    </row>
    <row r="38243" spans="1:6" x14ac:dyDescent="0.25">
      <c r="A38243"/>
      <c r="B38243"/>
      <c r="C38243"/>
      <c r="E38243"/>
      <c r="F38243"/>
    </row>
    <row r="38244" spans="1:6" x14ac:dyDescent="0.25">
      <c r="A38244"/>
      <c r="B38244"/>
      <c r="C38244"/>
      <c r="E38244"/>
      <c r="F38244"/>
    </row>
    <row r="38245" spans="1:6" x14ac:dyDescent="0.25">
      <c r="A38245"/>
      <c r="B38245"/>
      <c r="C38245"/>
      <c r="E38245"/>
      <c r="F38245"/>
    </row>
    <row r="38246" spans="1:6" x14ac:dyDescent="0.25">
      <c r="A38246"/>
      <c r="B38246"/>
      <c r="C38246"/>
      <c r="E38246"/>
      <c r="F38246"/>
    </row>
    <row r="38247" spans="1:6" x14ac:dyDescent="0.25">
      <c r="A38247"/>
      <c r="B38247"/>
      <c r="C38247"/>
      <c r="E38247"/>
      <c r="F38247"/>
    </row>
    <row r="38248" spans="1:6" x14ac:dyDescent="0.25">
      <c r="A38248"/>
      <c r="B38248"/>
      <c r="C38248"/>
      <c r="E38248"/>
      <c r="F38248"/>
    </row>
    <row r="38249" spans="1:6" x14ac:dyDescent="0.25">
      <c r="A38249"/>
      <c r="B38249"/>
      <c r="C38249"/>
      <c r="E38249"/>
      <c r="F38249"/>
    </row>
    <row r="38250" spans="1:6" x14ac:dyDescent="0.25">
      <c r="A38250"/>
      <c r="B38250"/>
      <c r="C38250"/>
      <c r="E38250"/>
      <c r="F38250"/>
    </row>
    <row r="38251" spans="1:6" x14ac:dyDescent="0.25">
      <c r="A38251"/>
      <c r="B38251"/>
      <c r="C38251"/>
      <c r="E38251"/>
      <c r="F38251"/>
    </row>
    <row r="38252" spans="1:6" x14ac:dyDescent="0.25">
      <c r="A38252"/>
      <c r="B38252"/>
      <c r="C38252"/>
      <c r="E38252"/>
      <c r="F38252"/>
    </row>
    <row r="38253" spans="1:6" x14ac:dyDescent="0.25">
      <c r="A38253"/>
      <c r="B38253"/>
      <c r="C38253"/>
      <c r="E38253"/>
      <c r="F38253"/>
    </row>
    <row r="38254" spans="1:6" x14ac:dyDescent="0.25">
      <c r="A38254"/>
      <c r="B38254"/>
      <c r="C38254"/>
      <c r="E38254"/>
      <c r="F38254"/>
    </row>
    <row r="38255" spans="1:6" x14ac:dyDescent="0.25">
      <c r="A38255"/>
      <c r="B38255"/>
      <c r="C38255"/>
      <c r="E38255"/>
      <c r="F38255"/>
    </row>
    <row r="38256" spans="1:6" x14ac:dyDescent="0.25">
      <c r="A38256"/>
      <c r="B38256"/>
      <c r="C38256"/>
      <c r="E38256"/>
      <c r="F38256"/>
    </row>
    <row r="38257" spans="1:6" x14ac:dyDescent="0.25">
      <c r="A38257"/>
      <c r="B38257"/>
      <c r="C38257"/>
      <c r="E38257"/>
      <c r="F38257"/>
    </row>
    <row r="38258" spans="1:6" x14ac:dyDescent="0.25">
      <c r="A38258"/>
      <c r="B38258"/>
      <c r="C38258"/>
      <c r="E38258"/>
      <c r="F38258"/>
    </row>
    <row r="38259" spans="1:6" x14ac:dyDescent="0.25">
      <c r="A38259"/>
      <c r="B38259"/>
      <c r="C38259"/>
      <c r="E38259"/>
      <c r="F38259"/>
    </row>
    <row r="38260" spans="1:6" x14ac:dyDescent="0.25">
      <c r="A38260"/>
      <c r="B38260"/>
      <c r="C38260"/>
      <c r="E38260"/>
      <c r="F38260"/>
    </row>
    <row r="38261" spans="1:6" x14ac:dyDescent="0.25">
      <c r="A38261"/>
      <c r="B38261"/>
      <c r="C38261"/>
      <c r="E38261"/>
      <c r="F38261"/>
    </row>
    <row r="38262" spans="1:6" x14ac:dyDescent="0.25">
      <c r="A38262"/>
      <c r="B38262"/>
      <c r="C38262"/>
      <c r="E38262"/>
      <c r="F38262"/>
    </row>
    <row r="38263" spans="1:6" x14ac:dyDescent="0.25">
      <c r="A38263"/>
      <c r="B38263"/>
      <c r="C38263"/>
      <c r="E38263"/>
      <c r="F38263"/>
    </row>
    <row r="38264" spans="1:6" x14ac:dyDescent="0.25">
      <c r="A38264"/>
      <c r="B38264"/>
      <c r="C38264"/>
      <c r="E38264"/>
      <c r="F38264"/>
    </row>
    <row r="38265" spans="1:6" x14ac:dyDescent="0.25">
      <c r="A38265"/>
      <c r="B38265"/>
      <c r="C38265"/>
      <c r="E38265"/>
      <c r="F38265"/>
    </row>
    <row r="38266" spans="1:6" x14ac:dyDescent="0.25">
      <c r="A38266"/>
      <c r="B38266"/>
      <c r="C38266"/>
      <c r="E38266"/>
      <c r="F38266"/>
    </row>
    <row r="38267" spans="1:6" x14ac:dyDescent="0.25">
      <c r="A38267"/>
      <c r="B38267"/>
      <c r="C38267"/>
      <c r="E38267"/>
      <c r="F38267"/>
    </row>
    <row r="38268" spans="1:6" x14ac:dyDescent="0.25">
      <c r="A38268"/>
      <c r="B38268"/>
      <c r="C38268"/>
      <c r="E38268"/>
      <c r="F38268"/>
    </row>
    <row r="38269" spans="1:6" x14ac:dyDescent="0.25">
      <c r="A38269"/>
      <c r="B38269"/>
      <c r="C38269"/>
      <c r="E38269"/>
      <c r="F38269"/>
    </row>
    <row r="38270" spans="1:6" x14ac:dyDescent="0.25">
      <c r="A38270"/>
      <c r="B38270"/>
      <c r="C38270"/>
      <c r="E38270"/>
      <c r="F38270"/>
    </row>
    <row r="38271" spans="1:6" x14ac:dyDescent="0.25">
      <c r="A38271"/>
      <c r="B38271"/>
      <c r="C38271"/>
      <c r="E38271"/>
      <c r="F38271"/>
    </row>
    <row r="38272" spans="1:6" x14ac:dyDescent="0.25">
      <c r="A38272"/>
      <c r="B38272"/>
      <c r="C38272"/>
      <c r="E38272"/>
      <c r="F38272"/>
    </row>
    <row r="38273" spans="1:6" x14ac:dyDescent="0.25">
      <c r="A38273"/>
      <c r="B38273"/>
      <c r="C38273"/>
      <c r="E38273"/>
      <c r="F38273"/>
    </row>
    <row r="38274" spans="1:6" x14ac:dyDescent="0.25">
      <c r="A38274"/>
      <c r="B38274"/>
      <c r="C38274"/>
      <c r="E38274"/>
      <c r="F38274"/>
    </row>
    <row r="38275" spans="1:6" x14ac:dyDescent="0.25">
      <c r="A38275"/>
      <c r="B38275"/>
      <c r="C38275"/>
      <c r="E38275"/>
      <c r="F38275"/>
    </row>
    <row r="38276" spans="1:6" x14ac:dyDescent="0.25">
      <c r="A38276"/>
      <c r="B38276"/>
      <c r="C38276"/>
      <c r="E38276"/>
      <c r="F38276"/>
    </row>
    <row r="38277" spans="1:6" x14ac:dyDescent="0.25">
      <c r="A38277"/>
      <c r="B38277"/>
      <c r="C38277"/>
      <c r="E38277"/>
      <c r="F38277"/>
    </row>
    <row r="38278" spans="1:6" x14ac:dyDescent="0.25">
      <c r="A38278"/>
      <c r="B38278"/>
      <c r="C38278"/>
      <c r="E38278"/>
      <c r="F38278"/>
    </row>
    <row r="38279" spans="1:6" x14ac:dyDescent="0.25">
      <c r="A38279"/>
      <c r="B38279"/>
      <c r="C38279"/>
      <c r="E38279"/>
      <c r="F38279"/>
    </row>
    <row r="38280" spans="1:6" x14ac:dyDescent="0.25">
      <c r="A38280"/>
      <c r="B38280"/>
      <c r="C38280"/>
      <c r="E38280"/>
      <c r="F38280"/>
    </row>
    <row r="38281" spans="1:6" x14ac:dyDescent="0.25">
      <c r="A38281"/>
      <c r="B38281"/>
      <c r="C38281"/>
      <c r="E38281"/>
      <c r="F38281"/>
    </row>
    <row r="38282" spans="1:6" x14ac:dyDescent="0.25">
      <c r="A38282"/>
      <c r="B38282"/>
      <c r="C38282"/>
      <c r="E38282"/>
      <c r="F38282"/>
    </row>
    <row r="38283" spans="1:6" x14ac:dyDescent="0.25">
      <c r="A38283"/>
      <c r="B38283"/>
      <c r="C38283"/>
      <c r="E38283"/>
      <c r="F38283"/>
    </row>
    <row r="38284" spans="1:6" x14ac:dyDescent="0.25">
      <c r="A38284"/>
      <c r="B38284"/>
      <c r="C38284"/>
      <c r="E38284"/>
      <c r="F38284"/>
    </row>
    <row r="38285" spans="1:6" x14ac:dyDescent="0.25">
      <c r="A38285"/>
      <c r="B38285"/>
      <c r="C38285"/>
      <c r="E38285"/>
      <c r="F38285"/>
    </row>
    <row r="38286" spans="1:6" x14ac:dyDescent="0.25">
      <c r="A38286"/>
      <c r="B38286"/>
      <c r="C38286"/>
      <c r="E38286"/>
      <c r="F38286"/>
    </row>
    <row r="38287" spans="1:6" x14ac:dyDescent="0.25">
      <c r="A38287"/>
      <c r="B38287"/>
      <c r="C38287"/>
      <c r="E38287"/>
      <c r="F38287"/>
    </row>
    <row r="38288" spans="1:6" x14ac:dyDescent="0.25">
      <c r="A38288"/>
      <c r="B38288"/>
      <c r="C38288"/>
      <c r="E38288"/>
      <c r="F38288"/>
    </row>
    <row r="38289" spans="1:6" x14ac:dyDescent="0.25">
      <c r="A38289"/>
      <c r="B38289"/>
      <c r="C38289"/>
      <c r="E38289"/>
      <c r="F38289"/>
    </row>
    <row r="38290" spans="1:6" x14ac:dyDescent="0.25">
      <c r="A38290"/>
      <c r="B38290"/>
      <c r="C38290"/>
      <c r="E38290"/>
      <c r="F38290"/>
    </row>
    <row r="38291" spans="1:6" x14ac:dyDescent="0.25">
      <c r="A38291"/>
      <c r="B38291"/>
      <c r="C38291"/>
      <c r="E38291"/>
      <c r="F38291"/>
    </row>
    <row r="38292" spans="1:6" x14ac:dyDescent="0.25">
      <c r="A38292"/>
      <c r="B38292"/>
      <c r="C38292"/>
      <c r="E38292"/>
      <c r="F38292"/>
    </row>
    <row r="38293" spans="1:6" x14ac:dyDescent="0.25">
      <c r="A38293"/>
      <c r="B38293"/>
      <c r="C38293"/>
      <c r="E38293"/>
      <c r="F38293"/>
    </row>
    <row r="38294" spans="1:6" x14ac:dyDescent="0.25">
      <c r="A38294"/>
      <c r="B38294"/>
      <c r="C38294"/>
      <c r="E38294"/>
      <c r="F38294"/>
    </row>
    <row r="38295" spans="1:6" x14ac:dyDescent="0.25">
      <c r="A38295"/>
      <c r="B38295"/>
      <c r="C38295"/>
      <c r="E38295"/>
      <c r="F38295"/>
    </row>
    <row r="38296" spans="1:6" x14ac:dyDescent="0.25">
      <c r="A38296"/>
      <c r="B38296"/>
      <c r="C38296"/>
      <c r="E38296"/>
      <c r="F38296"/>
    </row>
    <row r="38297" spans="1:6" x14ac:dyDescent="0.25">
      <c r="A38297"/>
      <c r="B38297"/>
      <c r="C38297"/>
      <c r="E38297"/>
      <c r="F38297"/>
    </row>
    <row r="38298" spans="1:6" x14ac:dyDescent="0.25">
      <c r="A38298"/>
      <c r="B38298"/>
      <c r="C38298"/>
      <c r="E38298"/>
      <c r="F38298"/>
    </row>
    <row r="38299" spans="1:6" x14ac:dyDescent="0.25">
      <c r="A38299"/>
      <c r="B38299"/>
      <c r="C38299"/>
      <c r="E38299"/>
      <c r="F38299"/>
    </row>
    <row r="38300" spans="1:6" x14ac:dyDescent="0.25">
      <c r="A38300"/>
      <c r="B38300"/>
      <c r="C38300"/>
      <c r="E38300"/>
      <c r="F38300"/>
    </row>
    <row r="38301" spans="1:6" x14ac:dyDescent="0.25">
      <c r="A38301"/>
      <c r="B38301"/>
      <c r="C38301"/>
      <c r="E38301"/>
      <c r="F38301"/>
    </row>
    <row r="38302" spans="1:6" x14ac:dyDescent="0.25">
      <c r="A38302"/>
      <c r="B38302"/>
      <c r="C38302"/>
      <c r="E38302"/>
      <c r="F38302"/>
    </row>
    <row r="38303" spans="1:6" x14ac:dyDescent="0.25">
      <c r="A38303"/>
      <c r="B38303"/>
      <c r="C38303"/>
      <c r="E38303"/>
      <c r="F38303"/>
    </row>
    <row r="38304" spans="1:6" x14ac:dyDescent="0.25">
      <c r="A38304"/>
      <c r="B38304"/>
      <c r="C38304"/>
      <c r="E38304"/>
      <c r="F38304"/>
    </row>
    <row r="38305" spans="1:6" x14ac:dyDescent="0.25">
      <c r="A38305"/>
      <c r="B38305"/>
      <c r="C38305"/>
      <c r="E38305"/>
      <c r="F38305"/>
    </row>
    <row r="38306" spans="1:6" x14ac:dyDescent="0.25">
      <c r="A38306"/>
      <c r="B38306"/>
      <c r="C38306"/>
      <c r="E38306"/>
      <c r="F38306"/>
    </row>
    <row r="38307" spans="1:6" x14ac:dyDescent="0.25">
      <c r="A38307"/>
      <c r="B38307"/>
      <c r="C38307"/>
      <c r="E38307"/>
      <c r="F38307"/>
    </row>
    <row r="38308" spans="1:6" x14ac:dyDescent="0.25">
      <c r="A38308"/>
      <c r="B38308"/>
      <c r="C38308"/>
      <c r="E38308"/>
      <c r="F38308"/>
    </row>
    <row r="38309" spans="1:6" x14ac:dyDescent="0.25">
      <c r="A38309"/>
      <c r="B38309"/>
      <c r="C38309"/>
      <c r="E38309"/>
      <c r="F38309"/>
    </row>
    <row r="38310" spans="1:6" x14ac:dyDescent="0.25">
      <c r="A38310"/>
      <c r="B38310"/>
      <c r="C38310"/>
      <c r="E38310"/>
      <c r="F38310"/>
    </row>
    <row r="38311" spans="1:6" x14ac:dyDescent="0.25">
      <c r="A38311"/>
      <c r="B38311"/>
      <c r="C38311"/>
      <c r="E38311"/>
      <c r="F38311"/>
    </row>
    <row r="38312" spans="1:6" x14ac:dyDescent="0.25">
      <c r="A38312"/>
      <c r="B38312"/>
      <c r="C38312"/>
      <c r="E38312"/>
      <c r="F38312"/>
    </row>
    <row r="38313" spans="1:6" x14ac:dyDescent="0.25">
      <c r="A38313"/>
      <c r="B38313"/>
      <c r="C38313"/>
      <c r="E38313"/>
      <c r="F38313"/>
    </row>
    <row r="38314" spans="1:6" x14ac:dyDescent="0.25">
      <c r="A38314"/>
      <c r="B38314"/>
      <c r="C38314"/>
      <c r="E38314"/>
      <c r="F38314"/>
    </row>
    <row r="38315" spans="1:6" x14ac:dyDescent="0.25">
      <c r="A38315"/>
      <c r="B38315"/>
      <c r="C38315"/>
      <c r="E38315"/>
      <c r="F38315"/>
    </row>
    <row r="38316" spans="1:6" x14ac:dyDescent="0.25">
      <c r="A38316"/>
      <c r="B38316"/>
      <c r="C38316"/>
      <c r="E38316"/>
      <c r="F38316"/>
    </row>
    <row r="38317" spans="1:6" x14ac:dyDescent="0.25">
      <c r="A38317"/>
      <c r="B38317"/>
      <c r="C38317"/>
      <c r="E38317"/>
      <c r="F38317"/>
    </row>
    <row r="38318" spans="1:6" x14ac:dyDescent="0.25">
      <c r="A38318"/>
      <c r="B38318"/>
      <c r="C38318"/>
      <c r="E38318"/>
      <c r="F38318"/>
    </row>
    <row r="38319" spans="1:6" x14ac:dyDescent="0.25">
      <c r="A38319"/>
      <c r="B38319"/>
      <c r="C38319"/>
      <c r="E38319"/>
      <c r="F38319"/>
    </row>
    <row r="38320" spans="1:6" x14ac:dyDescent="0.25">
      <c r="A38320"/>
      <c r="B38320"/>
      <c r="C38320"/>
      <c r="E38320"/>
      <c r="F38320"/>
    </row>
    <row r="38321" spans="1:6" x14ac:dyDescent="0.25">
      <c r="A38321"/>
      <c r="B38321"/>
      <c r="C38321"/>
      <c r="E38321"/>
      <c r="F38321"/>
    </row>
    <row r="38322" spans="1:6" x14ac:dyDescent="0.25">
      <c r="A38322"/>
      <c r="B38322"/>
      <c r="C38322"/>
      <c r="E38322"/>
      <c r="F38322"/>
    </row>
    <row r="38323" spans="1:6" x14ac:dyDescent="0.25">
      <c r="A38323"/>
      <c r="B38323"/>
      <c r="C38323"/>
      <c r="E38323"/>
      <c r="F38323"/>
    </row>
    <row r="38324" spans="1:6" x14ac:dyDescent="0.25">
      <c r="A38324"/>
      <c r="B38324"/>
      <c r="C38324"/>
      <c r="E38324"/>
      <c r="F38324"/>
    </row>
    <row r="38325" spans="1:6" x14ac:dyDescent="0.25">
      <c r="A38325"/>
      <c r="B38325"/>
      <c r="C38325"/>
      <c r="E38325"/>
      <c r="F38325"/>
    </row>
    <row r="38326" spans="1:6" x14ac:dyDescent="0.25">
      <c r="A38326"/>
      <c r="B38326"/>
      <c r="C38326"/>
      <c r="E38326"/>
      <c r="F38326"/>
    </row>
    <row r="38327" spans="1:6" x14ac:dyDescent="0.25">
      <c r="A38327"/>
      <c r="B38327"/>
      <c r="C38327"/>
      <c r="E38327"/>
      <c r="F38327"/>
    </row>
    <row r="38328" spans="1:6" x14ac:dyDescent="0.25">
      <c r="A38328"/>
      <c r="B38328"/>
      <c r="C38328"/>
      <c r="E38328"/>
      <c r="F38328"/>
    </row>
    <row r="38329" spans="1:6" x14ac:dyDescent="0.25">
      <c r="A38329"/>
      <c r="B38329"/>
      <c r="C38329"/>
      <c r="E38329"/>
      <c r="F38329"/>
    </row>
    <row r="38330" spans="1:6" x14ac:dyDescent="0.25">
      <c r="A38330"/>
      <c r="B38330"/>
      <c r="C38330"/>
      <c r="E38330"/>
      <c r="F38330"/>
    </row>
    <row r="38331" spans="1:6" x14ac:dyDescent="0.25">
      <c r="A38331"/>
      <c r="B38331"/>
      <c r="C38331"/>
      <c r="E38331"/>
      <c r="F38331"/>
    </row>
    <row r="38332" spans="1:6" x14ac:dyDescent="0.25">
      <c r="A38332"/>
      <c r="B38332"/>
      <c r="C38332"/>
      <c r="E38332"/>
      <c r="F38332"/>
    </row>
    <row r="38333" spans="1:6" x14ac:dyDescent="0.25">
      <c r="A38333"/>
      <c r="B38333"/>
      <c r="C38333"/>
      <c r="E38333"/>
      <c r="F38333"/>
    </row>
    <row r="38334" spans="1:6" x14ac:dyDescent="0.25">
      <c r="A38334"/>
      <c r="B38334"/>
      <c r="C38334"/>
      <c r="E38334"/>
      <c r="F38334"/>
    </row>
    <row r="38335" spans="1:6" x14ac:dyDescent="0.25">
      <c r="A38335"/>
      <c r="B38335"/>
      <c r="C38335"/>
      <c r="E38335"/>
      <c r="F38335"/>
    </row>
    <row r="38336" spans="1:6" x14ac:dyDescent="0.25">
      <c r="A38336"/>
      <c r="B38336"/>
      <c r="C38336"/>
      <c r="E38336"/>
      <c r="F38336"/>
    </row>
    <row r="38337" spans="1:6" x14ac:dyDescent="0.25">
      <c r="A38337"/>
      <c r="B38337"/>
      <c r="C38337"/>
      <c r="E38337"/>
      <c r="F38337"/>
    </row>
    <row r="38338" spans="1:6" x14ac:dyDescent="0.25">
      <c r="A38338"/>
      <c r="B38338"/>
      <c r="C38338"/>
      <c r="E38338"/>
      <c r="F38338"/>
    </row>
    <row r="38339" spans="1:6" x14ac:dyDescent="0.25">
      <c r="A38339"/>
      <c r="B38339"/>
      <c r="C38339"/>
      <c r="E38339"/>
      <c r="F38339"/>
    </row>
    <row r="38340" spans="1:6" x14ac:dyDescent="0.25">
      <c r="A38340"/>
      <c r="B38340"/>
      <c r="C38340"/>
      <c r="E38340"/>
      <c r="F38340"/>
    </row>
    <row r="38341" spans="1:6" x14ac:dyDescent="0.25">
      <c r="A38341"/>
      <c r="B38341"/>
      <c r="C38341"/>
      <c r="E38341"/>
      <c r="F38341"/>
    </row>
    <row r="38342" spans="1:6" x14ac:dyDescent="0.25">
      <c r="A38342"/>
      <c r="B38342"/>
      <c r="C38342"/>
      <c r="E38342"/>
      <c r="F38342"/>
    </row>
    <row r="38343" spans="1:6" x14ac:dyDescent="0.25">
      <c r="A38343"/>
      <c r="B38343"/>
      <c r="C38343"/>
      <c r="E38343"/>
      <c r="F38343"/>
    </row>
    <row r="38344" spans="1:6" x14ac:dyDescent="0.25">
      <c r="A38344"/>
      <c r="B38344"/>
      <c r="C38344"/>
      <c r="E38344"/>
      <c r="F38344"/>
    </row>
    <row r="38345" spans="1:6" x14ac:dyDescent="0.25">
      <c r="A38345"/>
      <c r="B38345"/>
      <c r="C38345"/>
      <c r="E38345"/>
      <c r="F38345"/>
    </row>
    <row r="38346" spans="1:6" x14ac:dyDescent="0.25">
      <c r="A38346"/>
      <c r="B38346"/>
      <c r="C38346"/>
      <c r="E38346"/>
      <c r="F38346"/>
    </row>
    <row r="38347" spans="1:6" x14ac:dyDescent="0.25">
      <c r="A38347"/>
      <c r="B38347"/>
      <c r="C38347"/>
      <c r="E38347"/>
      <c r="F38347"/>
    </row>
    <row r="38348" spans="1:6" x14ac:dyDescent="0.25">
      <c r="A38348"/>
      <c r="B38348"/>
      <c r="C38348"/>
      <c r="E38348"/>
      <c r="F38348"/>
    </row>
    <row r="38349" spans="1:6" x14ac:dyDescent="0.25">
      <c r="A38349"/>
      <c r="B38349"/>
      <c r="C38349"/>
      <c r="E38349"/>
      <c r="F38349"/>
    </row>
    <row r="38350" spans="1:6" x14ac:dyDescent="0.25">
      <c r="A38350"/>
      <c r="B38350"/>
      <c r="C38350"/>
      <c r="E38350"/>
      <c r="F38350"/>
    </row>
    <row r="38351" spans="1:6" x14ac:dyDescent="0.25">
      <c r="A38351"/>
      <c r="B38351"/>
      <c r="C38351"/>
      <c r="E38351"/>
      <c r="F38351"/>
    </row>
    <row r="38352" spans="1:6" x14ac:dyDescent="0.25">
      <c r="A38352"/>
      <c r="B38352"/>
      <c r="C38352"/>
      <c r="E38352"/>
      <c r="F38352"/>
    </row>
    <row r="38353" spans="1:6" x14ac:dyDescent="0.25">
      <c r="A38353"/>
      <c r="B38353"/>
      <c r="C38353"/>
      <c r="E38353"/>
      <c r="F38353"/>
    </row>
    <row r="38354" spans="1:6" x14ac:dyDescent="0.25">
      <c r="A38354"/>
      <c r="B38354"/>
      <c r="C38354"/>
      <c r="E38354"/>
      <c r="F38354"/>
    </row>
    <row r="38355" spans="1:6" x14ac:dyDescent="0.25">
      <c r="A38355"/>
      <c r="B38355"/>
      <c r="C38355"/>
      <c r="E38355"/>
      <c r="F38355"/>
    </row>
    <row r="38356" spans="1:6" x14ac:dyDescent="0.25">
      <c r="A38356"/>
      <c r="B38356"/>
      <c r="C38356"/>
      <c r="E38356"/>
      <c r="F38356"/>
    </row>
    <row r="38357" spans="1:6" x14ac:dyDescent="0.25">
      <c r="A38357"/>
      <c r="B38357"/>
      <c r="C38357"/>
      <c r="E38357"/>
      <c r="F38357"/>
    </row>
    <row r="38358" spans="1:6" x14ac:dyDescent="0.25">
      <c r="A38358"/>
      <c r="B38358"/>
      <c r="C38358"/>
      <c r="E38358"/>
      <c r="F38358"/>
    </row>
    <row r="38359" spans="1:6" x14ac:dyDescent="0.25">
      <c r="A38359"/>
      <c r="B38359"/>
      <c r="C38359"/>
      <c r="E38359"/>
      <c r="F38359"/>
    </row>
    <row r="38360" spans="1:6" x14ac:dyDescent="0.25">
      <c r="A38360"/>
      <c r="B38360"/>
      <c r="C38360"/>
      <c r="E38360"/>
      <c r="F38360"/>
    </row>
    <row r="38361" spans="1:6" x14ac:dyDescent="0.25">
      <c r="A38361"/>
      <c r="B38361"/>
      <c r="C38361"/>
      <c r="E38361"/>
      <c r="F38361"/>
    </row>
    <row r="38362" spans="1:6" x14ac:dyDescent="0.25">
      <c r="A38362"/>
      <c r="B38362"/>
      <c r="C38362"/>
      <c r="E38362"/>
      <c r="F38362"/>
    </row>
    <row r="38363" spans="1:6" x14ac:dyDescent="0.25">
      <c r="A38363"/>
      <c r="B38363"/>
      <c r="C38363"/>
      <c r="E38363"/>
      <c r="F38363"/>
    </row>
    <row r="38364" spans="1:6" x14ac:dyDescent="0.25">
      <c r="A38364"/>
      <c r="B38364"/>
      <c r="C38364"/>
      <c r="E38364"/>
      <c r="F38364"/>
    </row>
    <row r="38365" spans="1:6" x14ac:dyDescent="0.25">
      <c r="A38365"/>
      <c r="B38365"/>
      <c r="C38365"/>
      <c r="E38365"/>
      <c r="F38365"/>
    </row>
    <row r="38366" spans="1:6" x14ac:dyDescent="0.25">
      <c r="A38366"/>
      <c r="B38366"/>
      <c r="C38366"/>
      <c r="E38366"/>
      <c r="F38366"/>
    </row>
    <row r="38367" spans="1:6" x14ac:dyDescent="0.25">
      <c r="A38367"/>
      <c r="B38367"/>
      <c r="C38367"/>
      <c r="E38367"/>
      <c r="F38367"/>
    </row>
    <row r="38368" spans="1:6" x14ac:dyDescent="0.25">
      <c r="A38368"/>
      <c r="B38368"/>
      <c r="C38368"/>
      <c r="E38368"/>
      <c r="F38368"/>
    </row>
    <row r="38369" spans="1:6" x14ac:dyDescent="0.25">
      <c r="A38369"/>
      <c r="B38369"/>
      <c r="C38369"/>
      <c r="E38369"/>
      <c r="F38369"/>
    </row>
    <row r="38370" spans="1:6" x14ac:dyDescent="0.25">
      <c r="A38370"/>
      <c r="B38370"/>
      <c r="C38370"/>
      <c r="E38370"/>
      <c r="F38370"/>
    </row>
    <row r="38371" spans="1:6" x14ac:dyDescent="0.25">
      <c r="A38371"/>
      <c r="B38371"/>
      <c r="C38371"/>
      <c r="E38371"/>
      <c r="F38371"/>
    </row>
    <row r="38372" spans="1:6" x14ac:dyDescent="0.25">
      <c r="A38372"/>
      <c r="B38372"/>
      <c r="C38372"/>
      <c r="E38372"/>
      <c r="F38372"/>
    </row>
    <row r="38373" spans="1:6" x14ac:dyDescent="0.25">
      <c r="A38373"/>
      <c r="B38373"/>
      <c r="C38373"/>
      <c r="E38373"/>
      <c r="F38373"/>
    </row>
    <row r="38374" spans="1:6" x14ac:dyDescent="0.25">
      <c r="A38374"/>
      <c r="B38374"/>
      <c r="C38374"/>
      <c r="E38374"/>
      <c r="F38374"/>
    </row>
    <row r="38375" spans="1:6" x14ac:dyDescent="0.25">
      <c r="A38375"/>
      <c r="B38375"/>
      <c r="C38375"/>
      <c r="E38375"/>
      <c r="F38375"/>
    </row>
    <row r="38376" spans="1:6" x14ac:dyDescent="0.25">
      <c r="A38376"/>
      <c r="B38376"/>
      <c r="C38376"/>
      <c r="E38376"/>
      <c r="F38376"/>
    </row>
    <row r="38377" spans="1:6" x14ac:dyDescent="0.25">
      <c r="A38377"/>
      <c r="B38377"/>
      <c r="C38377"/>
      <c r="E38377"/>
      <c r="F38377"/>
    </row>
    <row r="38378" spans="1:6" x14ac:dyDescent="0.25">
      <c r="A38378"/>
      <c r="B38378"/>
      <c r="C38378"/>
      <c r="E38378"/>
      <c r="F38378"/>
    </row>
    <row r="38379" spans="1:6" x14ac:dyDescent="0.25">
      <c r="A38379"/>
      <c r="B38379"/>
      <c r="C38379"/>
      <c r="E38379"/>
      <c r="F38379"/>
    </row>
    <row r="38380" spans="1:6" x14ac:dyDescent="0.25">
      <c r="A38380"/>
      <c r="B38380"/>
      <c r="C38380"/>
      <c r="E38380"/>
      <c r="F38380"/>
    </row>
    <row r="38381" spans="1:6" x14ac:dyDescent="0.25">
      <c r="A38381"/>
      <c r="B38381"/>
      <c r="C38381"/>
      <c r="E38381"/>
      <c r="F38381"/>
    </row>
    <row r="38382" spans="1:6" x14ac:dyDescent="0.25">
      <c r="A38382"/>
      <c r="B38382"/>
      <c r="C38382"/>
      <c r="E38382"/>
      <c r="F38382"/>
    </row>
    <row r="38383" spans="1:6" x14ac:dyDescent="0.25">
      <c r="A38383"/>
      <c r="B38383"/>
      <c r="C38383"/>
      <c r="E38383"/>
      <c r="F38383"/>
    </row>
    <row r="38384" spans="1:6" x14ac:dyDescent="0.25">
      <c r="A38384"/>
      <c r="B38384"/>
      <c r="C38384"/>
      <c r="E38384"/>
      <c r="F38384"/>
    </row>
    <row r="38385" spans="1:6" x14ac:dyDescent="0.25">
      <c r="A38385"/>
      <c r="B38385"/>
      <c r="C38385"/>
      <c r="E38385"/>
      <c r="F38385"/>
    </row>
    <row r="38386" spans="1:6" x14ac:dyDescent="0.25">
      <c r="A38386"/>
      <c r="B38386"/>
      <c r="C38386"/>
      <c r="E38386"/>
      <c r="F38386"/>
    </row>
    <row r="38387" spans="1:6" x14ac:dyDescent="0.25">
      <c r="A38387"/>
      <c r="B38387"/>
      <c r="C38387"/>
      <c r="E38387"/>
      <c r="F38387"/>
    </row>
    <row r="38388" spans="1:6" x14ac:dyDescent="0.25">
      <c r="A38388"/>
      <c r="B38388"/>
      <c r="C38388"/>
      <c r="E38388"/>
      <c r="F38388"/>
    </row>
    <row r="38389" spans="1:6" x14ac:dyDescent="0.25">
      <c r="A38389"/>
      <c r="B38389"/>
      <c r="C38389"/>
      <c r="E38389"/>
      <c r="F38389"/>
    </row>
    <row r="38390" spans="1:6" x14ac:dyDescent="0.25">
      <c r="A38390"/>
      <c r="B38390"/>
      <c r="C38390"/>
      <c r="E38390"/>
      <c r="F38390"/>
    </row>
    <row r="38391" spans="1:6" x14ac:dyDescent="0.25">
      <c r="A38391"/>
      <c r="B38391"/>
      <c r="C38391"/>
      <c r="E38391"/>
      <c r="F38391"/>
    </row>
    <row r="38392" spans="1:6" x14ac:dyDescent="0.25">
      <c r="A38392"/>
      <c r="B38392"/>
      <c r="C38392"/>
      <c r="E38392"/>
      <c r="F38392"/>
    </row>
    <row r="38393" spans="1:6" x14ac:dyDescent="0.25">
      <c r="A38393"/>
      <c r="B38393"/>
      <c r="C38393"/>
      <c r="E38393"/>
      <c r="F38393"/>
    </row>
    <row r="38394" spans="1:6" x14ac:dyDescent="0.25">
      <c r="A38394"/>
      <c r="B38394"/>
      <c r="C38394"/>
      <c r="E38394"/>
      <c r="F38394"/>
    </row>
    <row r="38395" spans="1:6" x14ac:dyDescent="0.25">
      <c r="A38395"/>
      <c r="B38395"/>
      <c r="C38395"/>
      <c r="E38395"/>
      <c r="F38395"/>
    </row>
    <row r="38396" spans="1:6" x14ac:dyDescent="0.25">
      <c r="A38396"/>
      <c r="B38396"/>
      <c r="C38396"/>
      <c r="E38396"/>
      <c r="F38396"/>
    </row>
    <row r="38397" spans="1:6" x14ac:dyDescent="0.25">
      <c r="A38397"/>
      <c r="B38397"/>
      <c r="C38397"/>
      <c r="E38397"/>
      <c r="F38397"/>
    </row>
    <row r="38398" spans="1:6" x14ac:dyDescent="0.25">
      <c r="A38398"/>
      <c r="B38398"/>
      <c r="C38398"/>
      <c r="E38398"/>
      <c r="F38398"/>
    </row>
    <row r="38399" spans="1:6" x14ac:dyDescent="0.25">
      <c r="A38399"/>
      <c r="B38399"/>
      <c r="C38399"/>
      <c r="E38399"/>
      <c r="F38399"/>
    </row>
    <row r="38400" spans="1:6" x14ac:dyDescent="0.25">
      <c r="A38400"/>
      <c r="B38400"/>
      <c r="C38400"/>
      <c r="E38400"/>
      <c r="F38400"/>
    </row>
    <row r="38401" spans="1:6" x14ac:dyDescent="0.25">
      <c r="A38401"/>
      <c r="B38401"/>
      <c r="C38401"/>
      <c r="E38401"/>
      <c r="F38401"/>
    </row>
    <row r="38402" spans="1:6" x14ac:dyDescent="0.25">
      <c r="A38402"/>
      <c r="B38402"/>
      <c r="C38402"/>
      <c r="E38402"/>
      <c r="F38402"/>
    </row>
    <row r="38403" spans="1:6" x14ac:dyDescent="0.25">
      <c r="A38403"/>
      <c r="B38403"/>
      <c r="C38403"/>
      <c r="E38403"/>
      <c r="F38403"/>
    </row>
    <row r="38404" spans="1:6" x14ac:dyDescent="0.25">
      <c r="A38404"/>
      <c r="B38404"/>
      <c r="C38404"/>
      <c r="E38404"/>
      <c r="F38404"/>
    </row>
    <row r="38405" spans="1:6" x14ac:dyDescent="0.25">
      <c r="A38405"/>
      <c r="B38405"/>
      <c r="C38405"/>
      <c r="E38405"/>
      <c r="F38405"/>
    </row>
    <row r="38406" spans="1:6" x14ac:dyDescent="0.25">
      <c r="A38406"/>
      <c r="B38406"/>
      <c r="C38406"/>
      <c r="E38406"/>
      <c r="F38406"/>
    </row>
    <row r="38407" spans="1:6" x14ac:dyDescent="0.25">
      <c r="A38407"/>
      <c r="B38407"/>
      <c r="C38407"/>
      <c r="E38407"/>
      <c r="F38407"/>
    </row>
    <row r="38408" spans="1:6" x14ac:dyDescent="0.25">
      <c r="A38408"/>
      <c r="B38408"/>
      <c r="C38408"/>
      <c r="E38408"/>
      <c r="F38408"/>
    </row>
    <row r="38409" spans="1:6" x14ac:dyDescent="0.25">
      <c r="A38409"/>
      <c r="B38409"/>
      <c r="C38409"/>
      <c r="E38409"/>
      <c r="F38409"/>
    </row>
    <row r="38410" spans="1:6" x14ac:dyDescent="0.25">
      <c r="A38410"/>
      <c r="B38410"/>
      <c r="C38410"/>
      <c r="E38410"/>
      <c r="F38410"/>
    </row>
    <row r="38411" spans="1:6" x14ac:dyDescent="0.25">
      <c r="A38411"/>
      <c r="B38411"/>
      <c r="C38411"/>
      <c r="E38411"/>
      <c r="F38411"/>
    </row>
    <row r="38412" spans="1:6" x14ac:dyDescent="0.25">
      <c r="A38412"/>
      <c r="B38412"/>
      <c r="C38412"/>
      <c r="E38412"/>
      <c r="F38412"/>
    </row>
    <row r="38413" spans="1:6" x14ac:dyDescent="0.25">
      <c r="A38413"/>
      <c r="B38413"/>
      <c r="C38413"/>
      <c r="E38413"/>
      <c r="F38413"/>
    </row>
    <row r="38414" spans="1:6" x14ac:dyDescent="0.25">
      <c r="A38414"/>
      <c r="B38414"/>
      <c r="C38414"/>
      <c r="E38414"/>
      <c r="F38414"/>
    </row>
    <row r="38415" spans="1:6" x14ac:dyDescent="0.25">
      <c r="A38415"/>
      <c r="B38415"/>
      <c r="C38415"/>
      <c r="E38415"/>
      <c r="F38415"/>
    </row>
    <row r="38416" spans="1:6" x14ac:dyDescent="0.25">
      <c r="A38416"/>
      <c r="B38416"/>
      <c r="C38416"/>
      <c r="E38416"/>
      <c r="F38416"/>
    </row>
    <row r="38417" spans="1:6" x14ac:dyDescent="0.25">
      <c r="A38417"/>
      <c r="B38417"/>
      <c r="C38417"/>
      <c r="E38417"/>
      <c r="F38417"/>
    </row>
    <row r="38418" spans="1:6" x14ac:dyDescent="0.25">
      <c r="A38418"/>
      <c r="B38418"/>
      <c r="C38418"/>
      <c r="E38418"/>
      <c r="F38418"/>
    </row>
    <row r="38419" spans="1:6" x14ac:dyDescent="0.25">
      <c r="A38419"/>
      <c r="B38419"/>
      <c r="C38419"/>
      <c r="E38419"/>
      <c r="F38419"/>
    </row>
    <row r="38420" spans="1:6" x14ac:dyDescent="0.25">
      <c r="A38420"/>
      <c r="B38420"/>
      <c r="C38420"/>
      <c r="E38420"/>
      <c r="F38420"/>
    </row>
    <row r="38421" spans="1:6" x14ac:dyDescent="0.25">
      <c r="A38421"/>
      <c r="B38421"/>
      <c r="C38421"/>
      <c r="E38421"/>
      <c r="F38421"/>
    </row>
    <row r="38422" spans="1:6" x14ac:dyDescent="0.25">
      <c r="A38422"/>
      <c r="B38422"/>
      <c r="C38422"/>
      <c r="E38422"/>
      <c r="F38422"/>
    </row>
    <row r="38423" spans="1:6" x14ac:dyDescent="0.25">
      <c r="A38423"/>
      <c r="B38423"/>
      <c r="C38423"/>
      <c r="E38423"/>
      <c r="F38423"/>
    </row>
    <row r="38424" spans="1:6" x14ac:dyDescent="0.25">
      <c r="A38424"/>
      <c r="B38424"/>
      <c r="C38424"/>
      <c r="E38424"/>
      <c r="F38424"/>
    </row>
    <row r="38425" spans="1:6" x14ac:dyDescent="0.25">
      <c r="A38425"/>
      <c r="B38425"/>
      <c r="C38425"/>
      <c r="E38425"/>
      <c r="F38425"/>
    </row>
    <row r="38426" spans="1:6" x14ac:dyDescent="0.25">
      <c r="A38426"/>
      <c r="B38426"/>
      <c r="C38426"/>
      <c r="E38426"/>
      <c r="F38426"/>
    </row>
    <row r="38427" spans="1:6" x14ac:dyDescent="0.25">
      <c r="A38427"/>
      <c r="B38427"/>
      <c r="C38427"/>
      <c r="E38427"/>
      <c r="F38427"/>
    </row>
    <row r="38428" spans="1:6" x14ac:dyDescent="0.25">
      <c r="A38428"/>
      <c r="B38428"/>
      <c r="C38428"/>
      <c r="E38428"/>
      <c r="F38428"/>
    </row>
    <row r="38429" spans="1:6" x14ac:dyDescent="0.25">
      <c r="A38429"/>
      <c r="B38429"/>
      <c r="C38429"/>
      <c r="E38429"/>
      <c r="F38429"/>
    </row>
    <row r="38430" spans="1:6" x14ac:dyDescent="0.25">
      <c r="A38430"/>
      <c r="B38430"/>
      <c r="C38430"/>
      <c r="E38430"/>
      <c r="F38430"/>
    </row>
    <row r="38431" spans="1:6" x14ac:dyDescent="0.25">
      <c r="A38431"/>
      <c r="B38431"/>
      <c r="C38431"/>
      <c r="E38431"/>
      <c r="F38431"/>
    </row>
    <row r="38432" spans="1:6" x14ac:dyDescent="0.25">
      <c r="A38432"/>
      <c r="B38432"/>
      <c r="C38432"/>
      <c r="E38432"/>
      <c r="F38432"/>
    </row>
    <row r="38433" spans="1:6" x14ac:dyDescent="0.25">
      <c r="A38433"/>
      <c r="B38433"/>
      <c r="C38433"/>
      <c r="E38433"/>
      <c r="F38433"/>
    </row>
    <row r="38434" spans="1:6" x14ac:dyDescent="0.25">
      <c r="A38434"/>
      <c r="B38434"/>
      <c r="C38434"/>
      <c r="E38434"/>
      <c r="F38434"/>
    </row>
    <row r="38435" spans="1:6" x14ac:dyDescent="0.25">
      <c r="A38435"/>
      <c r="B38435"/>
      <c r="C38435"/>
      <c r="E38435"/>
      <c r="F38435"/>
    </row>
    <row r="38436" spans="1:6" x14ac:dyDescent="0.25">
      <c r="A38436"/>
      <c r="B38436"/>
      <c r="C38436"/>
      <c r="E38436"/>
      <c r="F38436"/>
    </row>
    <row r="38437" spans="1:6" x14ac:dyDescent="0.25">
      <c r="A38437"/>
      <c r="B38437"/>
      <c r="C38437"/>
      <c r="E38437"/>
      <c r="F38437"/>
    </row>
    <row r="38438" spans="1:6" x14ac:dyDescent="0.25">
      <c r="A38438"/>
      <c r="B38438"/>
      <c r="C38438"/>
      <c r="E38438"/>
      <c r="F38438"/>
    </row>
    <row r="38439" spans="1:6" x14ac:dyDescent="0.25">
      <c r="A38439"/>
      <c r="B38439"/>
      <c r="C38439"/>
      <c r="E38439"/>
      <c r="F38439"/>
    </row>
    <row r="38440" spans="1:6" x14ac:dyDescent="0.25">
      <c r="A38440"/>
      <c r="B38440"/>
      <c r="C38440"/>
      <c r="E38440"/>
      <c r="F38440"/>
    </row>
    <row r="38441" spans="1:6" x14ac:dyDescent="0.25">
      <c r="A38441"/>
      <c r="B38441"/>
      <c r="C38441"/>
      <c r="E38441"/>
      <c r="F38441"/>
    </row>
    <row r="38442" spans="1:6" x14ac:dyDescent="0.25">
      <c r="A38442"/>
      <c r="B38442"/>
      <c r="C38442"/>
      <c r="E38442"/>
      <c r="F38442"/>
    </row>
    <row r="38443" spans="1:6" x14ac:dyDescent="0.25">
      <c r="A38443"/>
      <c r="B38443"/>
      <c r="C38443"/>
      <c r="E38443"/>
      <c r="F38443"/>
    </row>
    <row r="38444" spans="1:6" x14ac:dyDescent="0.25">
      <c r="A38444"/>
      <c r="B38444"/>
      <c r="C38444"/>
      <c r="E38444"/>
      <c r="F38444"/>
    </row>
    <row r="38445" spans="1:6" x14ac:dyDescent="0.25">
      <c r="A38445"/>
      <c r="B38445"/>
      <c r="C38445"/>
      <c r="E38445"/>
      <c r="F38445"/>
    </row>
    <row r="38446" spans="1:6" x14ac:dyDescent="0.25">
      <c r="A38446"/>
      <c r="B38446"/>
      <c r="C38446"/>
      <c r="E38446"/>
      <c r="F38446"/>
    </row>
    <row r="38447" spans="1:6" x14ac:dyDescent="0.25">
      <c r="A38447"/>
      <c r="B38447"/>
      <c r="C38447"/>
      <c r="E38447"/>
      <c r="F38447"/>
    </row>
    <row r="38448" spans="1:6" x14ac:dyDescent="0.25">
      <c r="A38448"/>
      <c r="B38448"/>
      <c r="C38448"/>
      <c r="E38448"/>
      <c r="F38448"/>
    </row>
    <row r="38449" spans="1:6" x14ac:dyDescent="0.25">
      <c r="A38449"/>
      <c r="B38449"/>
      <c r="C38449"/>
      <c r="E38449"/>
      <c r="F38449"/>
    </row>
    <row r="38450" spans="1:6" x14ac:dyDescent="0.25">
      <c r="A38450"/>
      <c r="B38450"/>
      <c r="C38450"/>
      <c r="E38450"/>
      <c r="F38450"/>
    </row>
    <row r="38451" spans="1:6" x14ac:dyDescent="0.25">
      <c r="A38451"/>
      <c r="B38451"/>
      <c r="C38451"/>
      <c r="E38451"/>
      <c r="F38451"/>
    </row>
    <row r="38452" spans="1:6" x14ac:dyDescent="0.25">
      <c r="A38452"/>
      <c r="B38452"/>
      <c r="C38452"/>
      <c r="E38452"/>
      <c r="F38452"/>
    </row>
    <row r="38453" spans="1:6" x14ac:dyDescent="0.25">
      <c r="A38453"/>
      <c r="B38453"/>
      <c r="C38453"/>
      <c r="E38453"/>
      <c r="F38453"/>
    </row>
    <row r="38454" spans="1:6" x14ac:dyDescent="0.25">
      <c r="A38454"/>
      <c r="B38454"/>
      <c r="C38454"/>
      <c r="E38454"/>
      <c r="F38454"/>
    </row>
    <row r="38455" spans="1:6" x14ac:dyDescent="0.25">
      <c r="A38455"/>
      <c r="B38455"/>
      <c r="C38455"/>
      <c r="E38455"/>
      <c r="F38455"/>
    </row>
    <row r="38456" spans="1:6" x14ac:dyDescent="0.25">
      <c r="A38456"/>
      <c r="B38456"/>
      <c r="C38456"/>
      <c r="E38456"/>
      <c r="F38456"/>
    </row>
    <row r="38457" spans="1:6" x14ac:dyDescent="0.25">
      <c r="A38457"/>
      <c r="B38457"/>
      <c r="C38457"/>
      <c r="E38457"/>
      <c r="F38457"/>
    </row>
    <row r="38458" spans="1:6" x14ac:dyDescent="0.25">
      <c r="A38458"/>
      <c r="B38458"/>
      <c r="C38458"/>
      <c r="E38458"/>
      <c r="F38458"/>
    </row>
    <row r="38459" spans="1:6" x14ac:dyDescent="0.25">
      <c r="A38459"/>
      <c r="B38459"/>
      <c r="C38459"/>
      <c r="E38459"/>
      <c r="F38459"/>
    </row>
    <row r="38460" spans="1:6" x14ac:dyDescent="0.25">
      <c r="A38460"/>
      <c r="B38460"/>
      <c r="C38460"/>
      <c r="E38460"/>
      <c r="F38460"/>
    </row>
    <row r="38461" spans="1:6" x14ac:dyDescent="0.25">
      <c r="A38461"/>
      <c r="B38461"/>
      <c r="C38461"/>
      <c r="E38461"/>
      <c r="F38461"/>
    </row>
    <row r="38462" spans="1:6" x14ac:dyDescent="0.25">
      <c r="A38462"/>
      <c r="B38462"/>
      <c r="C38462"/>
      <c r="E38462"/>
      <c r="F38462"/>
    </row>
    <row r="38463" spans="1:6" x14ac:dyDescent="0.25">
      <c r="A38463"/>
      <c r="B38463"/>
      <c r="C38463"/>
      <c r="E38463"/>
      <c r="F38463"/>
    </row>
    <row r="38464" spans="1:6" x14ac:dyDescent="0.25">
      <c r="A38464"/>
      <c r="B38464"/>
      <c r="C38464"/>
      <c r="E38464"/>
      <c r="F38464"/>
    </row>
    <row r="38465" spans="1:6" x14ac:dyDescent="0.25">
      <c r="A38465"/>
      <c r="B38465"/>
      <c r="C38465"/>
      <c r="E38465"/>
      <c r="F38465"/>
    </row>
    <row r="38466" spans="1:6" x14ac:dyDescent="0.25">
      <c r="A38466"/>
      <c r="B38466"/>
      <c r="C38466"/>
      <c r="E38466"/>
      <c r="F38466"/>
    </row>
    <row r="38467" spans="1:6" x14ac:dyDescent="0.25">
      <c r="A38467"/>
      <c r="B38467"/>
      <c r="C38467"/>
      <c r="E38467"/>
      <c r="F38467"/>
    </row>
    <row r="38468" spans="1:6" x14ac:dyDescent="0.25">
      <c r="A38468"/>
      <c r="B38468"/>
      <c r="C38468"/>
      <c r="E38468"/>
      <c r="F38468"/>
    </row>
    <row r="38469" spans="1:6" x14ac:dyDescent="0.25">
      <c r="A38469"/>
      <c r="B38469"/>
      <c r="C38469"/>
      <c r="E38469"/>
      <c r="F38469"/>
    </row>
    <row r="38470" spans="1:6" x14ac:dyDescent="0.25">
      <c r="A38470"/>
      <c r="B38470"/>
      <c r="C38470"/>
      <c r="E38470"/>
      <c r="F38470"/>
    </row>
    <row r="38471" spans="1:6" x14ac:dyDescent="0.25">
      <c r="A38471"/>
      <c r="B38471"/>
      <c r="C38471"/>
      <c r="E38471"/>
      <c r="F38471"/>
    </row>
    <row r="38472" spans="1:6" x14ac:dyDescent="0.25">
      <c r="A38472"/>
      <c r="B38472"/>
      <c r="C38472"/>
      <c r="E38472"/>
      <c r="F38472"/>
    </row>
    <row r="38473" spans="1:6" x14ac:dyDescent="0.25">
      <c r="A38473"/>
      <c r="B38473"/>
      <c r="C38473"/>
      <c r="E38473"/>
      <c r="F38473"/>
    </row>
    <row r="38474" spans="1:6" x14ac:dyDescent="0.25">
      <c r="A38474"/>
      <c r="B38474"/>
      <c r="C38474"/>
      <c r="E38474"/>
      <c r="F38474"/>
    </row>
    <row r="38475" spans="1:6" x14ac:dyDescent="0.25">
      <c r="A38475"/>
      <c r="B38475"/>
      <c r="C38475"/>
      <c r="E38475"/>
      <c r="F38475"/>
    </row>
    <row r="38476" spans="1:6" x14ac:dyDescent="0.25">
      <c r="A38476"/>
      <c r="B38476"/>
      <c r="C38476"/>
      <c r="E38476"/>
      <c r="F38476"/>
    </row>
    <row r="38477" spans="1:6" x14ac:dyDescent="0.25">
      <c r="A38477"/>
      <c r="B38477"/>
      <c r="C38477"/>
      <c r="E38477"/>
      <c r="F38477"/>
    </row>
    <row r="38478" spans="1:6" x14ac:dyDescent="0.25">
      <c r="A38478"/>
      <c r="B38478"/>
      <c r="C38478"/>
      <c r="E38478"/>
      <c r="F38478"/>
    </row>
    <row r="38479" spans="1:6" x14ac:dyDescent="0.25">
      <c r="A38479"/>
      <c r="B38479"/>
      <c r="C38479"/>
      <c r="E38479"/>
      <c r="F38479"/>
    </row>
    <row r="38480" spans="1:6" x14ac:dyDescent="0.25">
      <c r="A38480"/>
      <c r="B38480"/>
      <c r="C38480"/>
      <c r="E38480"/>
      <c r="F38480"/>
    </row>
    <row r="38481" spans="1:6" x14ac:dyDescent="0.25">
      <c r="A38481"/>
      <c r="B38481"/>
      <c r="C38481"/>
      <c r="E38481"/>
      <c r="F38481"/>
    </row>
    <row r="38482" spans="1:6" x14ac:dyDescent="0.25">
      <c r="A38482"/>
      <c r="B38482"/>
      <c r="C38482"/>
      <c r="E38482"/>
      <c r="F38482"/>
    </row>
    <row r="38483" spans="1:6" x14ac:dyDescent="0.25">
      <c r="A38483"/>
      <c r="B38483"/>
      <c r="C38483"/>
      <c r="E38483"/>
      <c r="F38483"/>
    </row>
    <row r="38484" spans="1:6" x14ac:dyDescent="0.25">
      <c r="A38484"/>
      <c r="B38484"/>
      <c r="C38484"/>
      <c r="E38484"/>
      <c r="F38484"/>
    </row>
    <row r="38485" spans="1:6" x14ac:dyDescent="0.25">
      <c r="A38485"/>
      <c r="B38485"/>
      <c r="C38485"/>
      <c r="E38485"/>
      <c r="F38485"/>
    </row>
    <row r="38486" spans="1:6" x14ac:dyDescent="0.25">
      <c r="A38486"/>
      <c r="B38486"/>
      <c r="C38486"/>
      <c r="E38486"/>
      <c r="F38486"/>
    </row>
    <row r="38487" spans="1:6" x14ac:dyDescent="0.25">
      <c r="A38487"/>
      <c r="B38487"/>
      <c r="C38487"/>
      <c r="E38487"/>
      <c r="F38487"/>
    </row>
    <row r="38488" spans="1:6" x14ac:dyDescent="0.25">
      <c r="A38488"/>
      <c r="B38488"/>
      <c r="C38488"/>
      <c r="E38488"/>
      <c r="F38488"/>
    </row>
    <row r="38489" spans="1:6" x14ac:dyDescent="0.25">
      <c r="A38489"/>
      <c r="B38489"/>
      <c r="C38489"/>
      <c r="E38489"/>
      <c r="F38489"/>
    </row>
    <row r="38490" spans="1:6" x14ac:dyDescent="0.25">
      <c r="A38490"/>
      <c r="B38490"/>
      <c r="C38490"/>
      <c r="E38490"/>
      <c r="F38490"/>
    </row>
    <row r="38491" spans="1:6" x14ac:dyDescent="0.25">
      <c r="A38491"/>
      <c r="B38491"/>
      <c r="C38491"/>
      <c r="E38491"/>
      <c r="F38491"/>
    </row>
    <row r="38492" spans="1:6" x14ac:dyDescent="0.25">
      <c r="A38492"/>
      <c r="B38492"/>
      <c r="C38492"/>
      <c r="E38492"/>
      <c r="F38492"/>
    </row>
    <row r="38493" spans="1:6" x14ac:dyDescent="0.25">
      <c r="A38493"/>
      <c r="B38493"/>
      <c r="C38493"/>
      <c r="E38493"/>
      <c r="F38493"/>
    </row>
    <row r="38494" spans="1:6" x14ac:dyDescent="0.25">
      <c r="A38494"/>
      <c r="B38494"/>
      <c r="C38494"/>
      <c r="E38494"/>
      <c r="F38494"/>
    </row>
    <row r="38495" spans="1:6" x14ac:dyDescent="0.25">
      <c r="A38495"/>
      <c r="B38495"/>
      <c r="C38495"/>
      <c r="E38495"/>
      <c r="F38495"/>
    </row>
    <row r="38496" spans="1:6" x14ac:dyDescent="0.25">
      <c r="A38496"/>
      <c r="B38496"/>
      <c r="C38496"/>
      <c r="E38496"/>
      <c r="F38496"/>
    </row>
    <row r="38497" spans="1:6" x14ac:dyDescent="0.25">
      <c r="A38497"/>
      <c r="B38497"/>
      <c r="C38497"/>
      <c r="E38497"/>
      <c r="F38497"/>
    </row>
    <row r="38498" spans="1:6" x14ac:dyDescent="0.25">
      <c r="A38498"/>
      <c r="B38498"/>
      <c r="C38498"/>
      <c r="E38498"/>
      <c r="F38498"/>
    </row>
    <row r="38499" spans="1:6" x14ac:dyDescent="0.25">
      <c r="A38499"/>
      <c r="B38499"/>
      <c r="C38499"/>
      <c r="E38499"/>
      <c r="F38499"/>
    </row>
    <row r="38500" spans="1:6" x14ac:dyDescent="0.25">
      <c r="A38500"/>
      <c r="B38500"/>
      <c r="C38500"/>
      <c r="E38500"/>
      <c r="F38500"/>
    </row>
    <row r="38501" spans="1:6" x14ac:dyDescent="0.25">
      <c r="A38501"/>
      <c r="B38501"/>
      <c r="C38501"/>
      <c r="E38501"/>
      <c r="F38501"/>
    </row>
    <row r="38502" spans="1:6" x14ac:dyDescent="0.25">
      <c r="A38502"/>
      <c r="B38502"/>
      <c r="C38502"/>
      <c r="E38502"/>
      <c r="F38502"/>
    </row>
    <row r="38503" spans="1:6" x14ac:dyDescent="0.25">
      <c r="A38503"/>
      <c r="B38503"/>
      <c r="C38503"/>
      <c r="E38503"/>
      <c r="F38503"/>
    </row>
    <row r="38504" spans="1:6" x14ac:dyDescent="0.25">
      <c r="A38504"/>
      <c r="B38504"/>
      <c r="C38504"/>
      <c r="E38504"/>
      <c r="F38504"/>
    </row>
    <row r="38505" spans="1:6" x14ac:dyDescent="0.25">
      <c r="A38505"/>
      <c r="B38505"/>
      <c r="C38505"/>
      <c r="E38505"/>
      <c r="F38505"/>
    </row>
    <row r="38506" spans="1:6" x14ac:dyDescent="0.25">
      <c r="A38506"/>
      <c r="B38506"/>
      <c r="C38506"/>
      <c r="E38506"/>
      <c r="F38506"/>
    </row>
    <row r="38507" spans="1:6" x14ac:dyDescent="0.25">
      <c r="A38507"/>
      <c r="B38507"/>
      <c r="C38507"/>
      <c r="E38507"/>
      <c r="F38507"/>
    </row>
    <row r="38508" spans="1:6" x14ac:dyDescent="0.25">
      <c r="A38508"/>
      <c r="B38508"/>
      <c r="C38508"/>
      <c r="E38508"/>
      <c r="F38508"/>
    </row>
    <row r="38509" spans="1:6" x14ac:dyDescent="0.25">
      <c r="A38509"/>
      <c r="B38509"/>
      <c r="C38509"/>
      <c r="E38509"/>
      <c r="F38509"/>
    </row>
    <row r="38510" spans="1:6" x14ac:dyDescent="0.25">
      <c r="A38510"/>
      <c r="B38510"/>
      <c r="C38510"/>
      <c r="E38510"/>
      <c r="F38510"/>
    </row>
    <row r="38511" spans="1:6" x14ac:dyDescent="0.25">
      <c r="A38511"/>
      <c r="B38511"/>
      <c r="C38511"/>
      <c r="E38511"/>
      <c r="F38511"/>
    </row>
    <row r="38512" spans="1:6" x14ac:dyDescent="0.25">
      <c r="A38512"/>
      <c r="B38512"/>
      <c r="C38512"/>
      <c r="E38512"/>
      <c r="F38512"/>
    </row>
    <row r="38513" spans="1:6" x14ac:dyDescent="0.25">
      <c r="A38513"/>
      <c r="B38513"/>
      <c r="C38513"/>
      <c r="E38513"/>
      <c r="F38513"/>
    </row>
    <row r="38514" spans="1:6" x14ac:dyDescent="0.25">
      <c r="A38514"/>
      <c r="B38514"/>
      <c r="C38514"/>
      <c r="E38514"/>
      <c r="F38514"/>
    </row>
    <row r="38515" spans="1:6" x14ac:dyDescent="0.25">
      <c r="A38515"/>
      <c r="B38515"/>
      <c r="C38515"/>
      <c r="E38515"/>
      <c r="F38515"/>
    </row>
    <row r="38516" spans="1:6" x14ac:dyDescent="0.25">
      <c r="A38516"/>
      <c r="B38516"/>
      <c r="C38516"/>
      <c r="E38516"/>
      <c r="F38516"/>
    </row>
    <row r="38517" spans="1:6" x14ac:dyDescent="0.25">
      <c r="A38517"/>
      <c r="B38517"/>
      <c r="C38517"/>
      <c r="E38517"/>
      <c r="F38517"/>
    </row>
    <row r="38518" spans="1:6" x14ac:dyDescent="0.25">
      <c r="A38518"/>
      <c r="B38518"/>
      <c r="C38518"/>
      <c r="E38518"/>
      <c r="F38518"/>
    </row>
    <row r="38519" spans="1:6" x14ac:dyDescent="0.25">
      <c r="A38519"/>
      <c r="B38519"/>
      <c r="C38519"/>
      <c r="E38519"/>
      <c r="F38519"/>
    </row>
    <row r="38520" spans="1:6" x14ac:dyDescent="0.25">
      <c r="A38520"/>
      <c r="B38520"/>
      <c r="C38520"/>
      <c r="E38520"/>
      <c r="F38520"/>
    </row>
    <row r="38521" spans="1:6" x14ac:dyDescent="0.25">
      <c r="A38521"/>
      <c r="B38521"/>
      <c r="C38521"/>
      <c r="E38521"/>
      <c r="F38521"/>
    </row>
    <row r="38522" spans="1:6" x14ac:dyDescent="0.25">
      <c r="A38522"/>
      <c r="B38522"/>
      <c r="C38522"/>
      <c r="E38522"/>
      <c r="F38522"/>
    </row>
    <row r="38523" spans="1:6" x14ac:dyDescent="0.25">
      <c r="A38523"/>
      <c r="B38523"/>
      <c r="C38523"/>
      <c r="E38523"/>
      <c r="F38523"/>
    </row>
    <row r="38524" spans="1:6" x14ac:dyDescent="0.25">
      <c r="A38524"/>
      <c r="B38524"/>
      <c r="C38524"/>
      <c r="E38524"/>
      <c r="F38524"/>
    </row>
    <row r="38525" spans="1:6" x14ac:dyDescent="0.25">
      <c r="A38525"/>
      <c r="B38525"/>
      <c r="C38525"/>
      <c r="E38525"/>
      <c r="F38525"/>
    </row>
    <row r="38526" spans="1:6" x14ac:dyDescent="0.25">
      <c r="A38526"/>
      <c r="B38526"/>
      <c r="C38526"/>
      <c r="E38526"/>
      <c r="F38526"/>
    </row>
    <row r="38527" spans="1:6" x14ac:dyDescent="0.25">
      <c r="A38527"/>
      <c r="B38527"/>
      <c r="C38527"/>
      <c r="E38527"/>
      <c r="F38527"/>
    </row>
    <row r="38528" spans="1:6" x14ac:dyDescent="0.25">
      <c r="A38528"/>
      <c r="B38528"/>
      <c r="C38528"/>
      <c r="E38528"/>
      <c r="F38528"/>
    </row>
    <row r="38529" spans="1:6" x14ac:dyDescent="0.25">
      <c r="A38529"/>
      <c r="B38529"/>
      <c r="C38529"/>
      <c r="E38529"/>
      <c r="F38529"/>
    </row>
    <row r="38530" spans="1:6" x14ac:dyDescent="0.25">
      <c r="A38530"/>
      <c r="B38530"/>
      <c r="C38530"/>
      <c r="E38530"/>
      <c r="F38530"/>
    </row>
    <row r="38531" spans="1:6" x14ac:dyDescent="0.25">
      <c r="A38531"/>
      <c r="B38531"/>
      <c r="C38531"/>
      <c r="E38531"/>
      <c r="F38531"/>
    </row>
    <row r="38532" spans="1:6" x14ac:dyDescent="0.25">
      <c r="A38532"/>
      <c r="B38532"/>
      <c r="C38532"/>
      <c r="E38532"/>
      <c r="F38532"/>
    </row>
    <row r="38533" spans="1:6" x14ac:dyDescent="0.25">
      <c r="A38533"/>
      <c r="B38533"/>
      <c r="C38533"/>
      <c r="E38533"/>
      <c r="F38533"/>
    </row>
    <row r="38534" spans="1:6" x14ac:dyDescent="0.25">
      <c r="A38534"/>
      <c r="B38534"/>
      <c r="C38534"/>
      <c r="E38534"/>
      <c r="F38534"/>
    </row>
    <row r="38535" spans="1:6" x14ac:dyDescent="0.25">
      <c r="A38535"/>
      <c r="B38535"/>
      <c r="C38535"/>
      <c r="E38535"/>
      <c r="F38535"/>
    </row>
    <row r="38536" spans="1:6" x14ac:dyDescent="0.25">
      <c r="A38536"/>
      <c r="B38536"/>
      <c r="C38536"/>
      <c r="E38536"/>
      <c r="F38536"/>
    </row>
    <row r="38537" spans="1:6" x14ac:dyDescent="0.25">
      <c r="A38537"/>
      <c r="B38537"/>
      <c r="C38537"/>
      <c r="E38537"/>
      <c r="F38537"/>
    </row>
    <row r="38538" spans="1:6" x14ac:dyDescent="0.25">
      <c r="A38538"/>
      <c r="B38538"/>
      <c r="C38538"/>
      <c r="E38538"/>
      <c r="F38538"/>
    </row>
    <row r="38539" spans="1:6" x14ac:dyDescent="0.25">
      <c r="A38539"/>
      <c r="B38539"/>
      <c r="C38539"/>
      <c r="E38539"/>
      <c r="F38539"/>
    </row>
    <row r="38540" spans="1:6" x14ac:dyDescent="0.25">
      <c r="A38540"/>
      <c r="B38540"/>
      <c r="C38540"/>
      <c r="E38540"/>
      <c r="F38540"/>
    </row>
    <row r="38541" spans="1:6" x14ac:dyDescent="0.25">
      <c r="A38541"/>
      <c r="B38541"/>
      <c r="C38541"/>
      <c r="E38541"/>
      <c r="F38541"/>
    </row>
    <row r="38542" spans="1:6" x14ac:dyDescent="0.25">
      <c r="A38542"/>
      <c r="B38542"/>
      <c r="C38542"/>
      <c r="E38542"/>
      <c r="F38542"/>
    </row>
    <row r="38543" spans="1:6" x14ac:dyDescent="0.25">
      <c r="A38543"/>
      <c r="B38543"/>
      <c r="C38543"/>
      <c r="E38543"/>
      <c r="F38543"/>
    </row>
    <row r="38544" spans="1:6" x14ac:dyDescent="0.25">
      <c r="A38544"/>
      <c r="B38544"/>
      <c r="C38544"/>
      <c r="E38544"/>
      <c r="F38544"/>
    </row>
    <row r="38545" spans="1:6" x14ac:dyDescent="0.25">
      <c r="A38545"/>
      <c r="B38545"/>
      <c r="C38545"/>
      <c r="E38545"/>
      <c r="F38545"/>
    </row>
    <row r="38546" spans="1:6" x14ac:dyDescent="0.25">
      <c r="A38546"/>
      <c r="B38546"/>
      <c r="C38546"/>
      <c r="E38546"/>
      <c r="F38546"/>
    </row>
    <row r="38547" spans="1:6" x14ac:dyDescent="0.25">
      <c r="A38547"/>
      <c r="B38547"/>
      <c r="C38547"/>
      <c r="E38547"/>
      <c r="F38547"/>
    </row>
    <row r="38548" spans="1:6" x14ac:dyDescent="0.25">
      <c r="A38548"/>
      <c r="B38548"/>
      <c r="C38548"/>
      <c r="E38548"/>
      <c r="F38548"/>
    </row>
    <row r="38549" spans="1:6" x14ac:dyDescent="0.25">
      <c r="A38549"/>
      <c r="B38549"/>
      <c r="C38549"/>
      <c r="E38549"/>
      <c r="F38549"/>
    </row>
    <row r="38550" spans="1:6" x14ac:dyDescent="0.25">
      <c r="A38550"/>
      <c r="B38550"/>
      <c r="C38550"/>
      <c r="E38550"/>
      <c r="F38550"/>
    </row>
    <row r="38551" spans="1:6" x14ac:dyDescent="0.25">
      <c r="A38551"/>
      <c r="B38551"/>
      <c r="C38551"/>
      <c r="E38551"/>
      <c r="F38551"/>
    </row>
    <row r="38552" spans="1:6" x14ac:dyDescent="0.25">
      <c r="A38552"/>
      <c r="B38552"/>
      <c r="C38552"/>
      <c r="E38552"/>
      <c r="F38552"/>
    </row>
    <row r="38553" spans="1:6" x14ac:dyDescent="0.25">
      <c r="A38553"/>
      <c r="B38553"/>
      <c r="C38553"/>
      <c r="E38553"/>
      <c r="F38553"/>
    </row>
    <row r="38554" spans="1:6" x14ac:dyDescent="0.25">
      <c r="A38554"/>
      <c r="B38554"/>
      <c r="C38554"/>
      <c r="E38554"/>
      <c r="F38554"/>
    </row>
    <row r="38555" spans="1:6" x14ac:dyDescent="0.25">
      <c r="A38555"/>
      <c r="B38555"/>
      <c r="C38555"/>
      <c r="E38555"/>
      <c r="F38555"/>
    </row>
    <row r="38556" spans="1:6" x14ac:dyDescent="0.25">
      <c r="A38556"/>
      <c r="B38556"/>
      <c r="C38556"/>
      <c r="E38556"/>
      <c r="F38556"/>
    </row>
    <row r="38557" spans="1:6" x14ac:dyDescent="0.25">
      <c r="A38557"/>
      <c r="B38557"/>
      <c r="C38557"/>
      <c r="E38557"/>
      <c r="F38557"/>
    </row>
    <row r="38558" spans="1:6" x14ac:dyDescent="0.25">
      <c r="A38558"/>
      <c r="B38558"/>
      <c r="C38558"/>
      <c r="E38558"/>
      <c r="F38558"/>
    </row>
    <row r="38559" spans="1:6" x14ac:dyDescent="0.25">
      <c r="A38559"/>
      <c r="B38559"/>
      <c r="C38559"/>
      <c r="E38559"/>
      <c r="F38559"/>
    </row>
    <row r="38560" spans="1:6" x14ac:dyDescent="0.25">
      <c r="A38560"/>
      <c r="B38560"/>
      <c r="C38560"/>
      <c r="E38560"/>
      <c r="F38560"/>
    </row>
    <row r="38561" spans="1:6" x14ac:dyDescent="0.25">
      <c r="A38561"/>
      <c r="B38561"/>
      <c r="C38561"/>
      <c r="E38561"/>
      <c r="F38561"/>
    </row>
    <row r="38562" spans="1:6" x14ac:dyDescent="0.25">
      <c r="A38562"/>
      <c r="B38562"/>
      <c r="C38562"/>
      <c r="E38562"/>
      <c r="F38562"/>
    </row>
    <row r="38563" spans="1:6" x14ac:dyDescent="0.25">
      <c r="A38563"/>
      <c r="B38563"/>
      <c r="C38563"/>
      <c r="E38563"/>
      <c r="F38563"/>
    </row>
    <row r="38564" spans="1:6" x14ac:dyDescent="0.25">
      <c r="A38564"/>
      <c r="B38564"/>
      <c r="C38564"/>
      <c r="E38564"/>
      <c r="F38564"/>
    </row>
    <row r="38565" spans="1:6" x14ac:dyDescent="0.25">
      <c r="A38565"/>
      <c r="B38565"/>
      <c r="C38565"/>
      <c r="E38565"/>
      <c r="F38565"/>
    </row>
    <row r="38566" spans="1:6" x14ac:dyDescent="0.25">
      <c r="A38566"/>
      <c r="B38566"/>
      <c r="C38566"/>
      <c r="E38566"/>
      <c r="F38566"/>
    </row>
    <row r="38567" spans="1:6" x14ac:dyDescent="0.25">
      <c r="A38567"/>
      <c r="B38567"/>
      <c r="C38567"/>
      <c r="E38567"/>
      <c r="F38567"/>
    </row>
    <row r="38568" spans="1:6" x14ac:dyDescent="0.25">
      <c r="A38568"/>
      <c r="B38568"/>
      <c r="C38568"/>
      <c r="E38568"/>
      <c r="F38568"/>
    </row>
    <row r="38569" spans="1:6" x14ac:dyDescent="0.25">
      <c r="A38569"/>
      <c r="B38569"/>
      <c r="C38569"/>
      <c r="E38569"/>
      <c r="F38569"/>
    </row>
    <row r="38570" spans="1:6" x14ac:dyDescent="0.25">
      <c r="A38570"/>
      <c r="B38570"/>
      <c r="C38570"/>
      <c r="E38570"/>
      <c r="F38570"/>
    </row>
    <row r="38571" spans="1:6" x14ac:dyDescent="0.25">
      <c r="A38571"/>
      <c r="B38571"/>
      <c r="C38571"/>
      <c r="E38571"/>
      <c r="F38571"/>
    </row>
    <row r="38572" spans="1:6" x14ac:dyDescent="0.25">
      <c r="A38572"/>
      <c r="B38572"/>
      <c r="C38572"/>
      <c r="E38572"/>
      <c r="F38572"/>
    </row>
    <row r="38573" spans="1:6" x14ac:dyDescent="0.25">
      <c r="A38573"/>
      <c r="B38573"/>
      <c r="C38573"/>
      <c r="E38573"/>
      <c r="F38573"/>
    </row>
    <row r="38574" spans="1:6" x14ac:dyDescent="0.25">
      <c r="A38574"/>
      <c r="B38574"/>
      <c r="C38574"/>
      <c r="E38574"/>
      <c r="F38574"/>
    </row>
    <row r="38575" spans="1:6" x14ac:dyDescent="0.25">
      <c r="A38575"/>
      <c r="B38575"/>
      <c r="C38575"/>
      <c r="E38575"/>
      <c r="F38575"/>
    </row>
    <row r="38576" spans="1:6" x14ac:dyDescent="0.25">
      <c r="A38576"/>
      <c r="B38576"/>
      <c r="C38576"/>
      <c r="E38576"/>
      <c r="F38576"/>
    </row>
    <row r="38577" spans="1:6" x14ac:dyDescent="0.25">
      <c r="A38577"/>
      <c r="B38577"/>
      <c r="C38577"/>
      <c r="E38577"/>
      <c r="F38577"/>
    </row>
    <row r="38578" spans="1:6" x14ac:dyDescent="0.25">
      <c r="A38578"/>
      <c r="B38578"/>
      <c r="C38578"/>
      <c r="E38578"/>
      <c r="F38578"/>
    </row>
    <row r="38579" spans="1:6" x14ac:dyDescent="0.25">
      <c r="A38579"/>
      <c r="B38579"/>
      <c r="C38579"/>
      <c r="E38579"/>
      <c r="F38579"/>
    </row>
    <row r="38580" spans="1:6" x14ac:dyDescent="0.25">
      <c r="A38580"/>
      <c r="B38580"/>
      <c r="C38580"/>
      <c r="E38580"/>
      <c r="F38580"/>
    </row>
    <row r="38581" spans="1:6" x14ac:dyDescent="0.25">
      <c r="A38581"/>
      <c r="B38581"/>
      <c r="C38581"/>
      <c r="E38581"/>
      <c r="F38581"/>
    </row>
    <row r="38582" spans="1:6" x14ac:dyDescent="0.25">
      <c r="A38582"/>
      <c r="B38582"/>
      <c r="C38582"/>
      <c r="E38582"/>
      <c r="F38582"/>
    </row>
    <row r="38583" spans="1:6" x14ac:dyDescent="0.25">
      <c r="A38583"/>
      <c r="B38583"/>
      <c r="C38583"/>
      <c r="E38583"/>
      <c r="F38583"/>
    </row>
    <row r="38584" spans="1:6" x14ac:dyDescent="0.25">
      <c r="A38584"/>
      <c r="B38584"/>
      <c r="C38584"/>
      <c r="E38584"/>
      <c r="F38584"/>
    </row>
    <row r="38585" spans="1:6" x14ac:dyDescent="0.25">
      <c r="A38585"/>
      <c r="B38585"/>
      <c r="C38585"/>
      <c r="E38585"/>
      <c r="F38585"/>
    </row>
    <row r="38586" spans="1:6" x14ac:dyDescent="0.25">
      <c r="A38586"/>
      <c r="B38586"/>
      <c r="C38586"/>
      <c r="E38586"/>
      <c r="F38586"/>
    </row>
    <row r="38587" spans="1:6" x14ac:dyDescent="0.25">
      <c r="A38587"/>
      <c r="B38587"/>
      <c r="C38587"/>
      <c r="E38587"/>
      <c r="F38587"/>
    </row>
    <row r="38588" spans="1:6" x14ac:dyDescent="0.25">
      <c r="A38588"/>
      <c r="B38588"/>
      <c r="C38588"/>
      <c r="E38588"/>
      <c r="F38588"/>
    </row>
    <row r="38589" spans="1:6" x14ac:dyDescent="0.25">
      <c r="A38589"/>
      <c r="B38589"/>
      <c r="C38589"/>
      <c r="E38589"/>
      <c r="F38589"/>
    </row>
    <row r="38590" spans="1:6" x14ac:dyDescent="0.25">
      <c r="A38590"/>
      <c r="B38590"/>
      <c r="C38590"/>
      <c r="E38590"/>
      <c r="F38590"/>
    </row>
    <row r="38591" spans="1:6" x14ac:dyDescent="0.25">
      <c r="A38591"/>
      <c r="B38591"/>
      <c r="C38591"/>
      <c r="E38591"/>
      <c r="F38591"/>
    </row>
    <row r="38592" spans="1:6" x14ac:dyDescent="0.25">
      <c r="A38592"/>
      <c r="B38592"/>
      <c r="C38592"/>
      <c r="E38592"/>
      <c r="F38592"/>
    </row>
    <row r="38593" spans="1:6" x14ac:dyDescent="0.25">
      <c r="A38593"/>
      <c r="B38593"/>
      <c r="C38593"/>
      <c r="E38593"/>
      <c r="F38593"/>
    </row>
    <row r="38594" spans="1:6" x14ac:dyDescent="0.25">
      <c r="A38594"/>
      <c r="B38594"/>
      <c r="C38594"/>
      <c r="E38594"/>
      <c r="F38594"/>
    </row>
    <row r="38595" spans="1:6" x14ac:dyDescent="0.25">
      <c r="A38595"/>
      <c r="B38595"/>
      <c r="C38595"/>
      <c r="E38595"/>
      <c r="F38595"/>
    </row>
    <row r="38596" spans="1:6" x14ac:dyDescent="0.25">
      <c r="A38596"/>
      <c r="B38596"/>
      <c r="C38596"/>
      <c r="E38596"/>
      <c r="F38596"/>
    </row>
    <row r="38597" spans="1:6" x14ac:dyDescent="0.25">
      <c r="A38597"/>
      <c r="B38597"/>
      <c r="C38597"/>
      <c r="E38597"/>
      <c r="F38597"/>
    </row>
    <row r="38598" spans="1:6" x14ac:dyDescent="0.25">
      <c r="A38598"/>
      <c r="B38598"/>
      <c r="C38598"/>
      <c r="E38598"/>
      <c r="F38598"/>
    </row>
    <row r="38599" spans="1:6" x14ac:dyDescent="0.25">
      <c r="A38599"/>
      <c r="B38599"/>
      <c r="C38599"/>
      <c r="E38599"/>
      <c r="F38599"/>
    </row>
    <row r="38600" spans="1:6" x14ac:dyDescent="0.25">
      <c r="A38600"/>
      <c r="B38600"/>
      <c r="C38600"/>
      <c r="E38600"/>
      <c r="F38600"/>
    </row>
    <row r="38601" spans="1:6" x14ac:dyDescent="0.25">
      <c r="A38601"/>
      <c r="B38601"/>
      <c r="C38601"/>
      <c r="E38601"/>
      <c r="F38601"/>
    </row>
    <row r="38602" spans="1:6" x14ac:dyDescent="0.25">
      <c r="A38602"/>
      <c r="B38602"/>
      <c r="C38602"/>
      <c r="E38602"/>
      <c r="F38602"/>
    </row>
    <row r="38603" spans="1:6" x14ac:dyDescent="0.25">
      <c r="A38603"/>
      <c r="B38603"/>
      <c r="C38603"/>
      <c r="E38603"/>
      <c r="F38603"/>
    </row>
    <row r="38604" spans="1:6" x14ac:dyDescent="0.25">
      <c r="A38604"/>
      <c r="B38604"/>
      <c r="C38604"/>
      <c r="E38604"/>
      <c r="F38604"/>
    </row>
    <row r="38605" spans="1:6" x14ac:dyDescent="0.25">
      <c r="A38605"/>
      <c r="B38605"/>
      <c r="C38605"/>
      <c r="E38605"/>
      <c r="F38605"/>
    </row>
    <row r="38606" spans="1:6" x14ac:dyDescent="0.25">
      <c r="A38606"/>
      <c r="B38606"/>
      <c r="C38606"/>
      <c r="E38606"/>
      <c r="F38606"/>
    </row>
    <row r="38607" spans="1:6" x14ac:dyDescent="0.25">
      <c r="A38607"/>
      <c r="B38607"/>
      <c r="C38607"/>
      <c r="E38607"/>
      <c r="F38607"/>
    </row>
    <row r="38608" spans="1:6" x14ac:dyDescent="0.25">
      <c r="A38608"/>
      <c r="B38608"/>
      <c r="C38608"/>
      <c r="E38608"/>
      <c r="F38608"/>
    </row>
    <row r="38609" spans="1:6" x14ac:dyDescent="0.25">
      <c r="A38609"/>
      <c r="B38609"/>
      <c r="C38609"/>
      <c r="E38609"/>
      <c r="F38609"/>
    </row>
    <row r="38610" spans="1:6" x14ac:dyDescent="0.25">
      <c r="A38610"/>
      <c r="B38610"/>
      <c r="C38610"/>
      <c r="E38610"/>
      <c r="F38610"/>
    </row>
    <row r="38611" spans="1:6" x14ac:dyDescent="0.25">
      <c r="A38611"/>
      <c r="B38611"/>
      <c r="C38611"/>
      <c r="E38611"/>
      <c r="F38611"/>
    </row>
    <row r="38612" spans="1:6" x14ac:dyDescent="0.25">
      <c r="A38612"/>
      <c r="B38612"/>
      <c r="C38612"/>
      <c r="E38612"/>
      <c r="F38612"/>
    </row>
    <row r="38613" spans="1:6" x14ac:dyDescent="0.25">
      <c r="A38613"/>
      <c r="B38613"/>
      <c r="C38613"/>
      <c r="E38613"/>
      <c r="F38613"/>
    </row>
    <row r="38614" spans="1:6" x14ac:dyDescent="0.25">
      <c r="A38614"/>
      <c r="B38614"/>
      <c r="C38614"/>
      <c r="E38614"/>
      <c r="F38614"/>
    </row>
    <row r="38615" spans="1:6" x14ac:dyDescent="0.25">
      <c r="A38615"/>
      <c r="B38615"/>
      <c r="C38615"/>
      <c r="E38615"/>
      <c r="F38615"/>
    </row>
    <row r="38616" spans="1:6" x14ac:dyDescent="0.25">
      <c r="A38616"/>
      <c r="B38616"/>
      <c r="C38616"/>
      <c r="E38616"/>
      <c r="F38616"/>
    </row>
    <row r="38617" spans="1:6" x14ac:dyDescent="0.25">
      <c r="A38617"/>
      <c r="B38617"/>
      <c r="C38617"/>
      <c r="E38617"/>
      <c r="F38617"/>
    </row>
    <row r="38618" spans="1:6" x14ac:dyDescent="0.25">
      <c r="A38618"/>
      <c r="B38618"/>
      <c r="C38618"/>
      <c r="E38618"/>
      <c r="F38618"/>
    </row>
    <row r="38619" spans="1:6" x14ac:dyDescent="0.25">
      <c r="A38619"/>
      <c r="B38619"/>
      <c r="C38619"/>
      <c r="E38619"/>
      <c r="F38619"/>
    </row>
    <row r="38620" spans="1:6" x14ac:dyDescent="0.25">
      <c r="A38620"/>
      <c r="B38620"/>
      <c r="C38620"/>
      <c r="E38620"/>
      <c r="F38620"/>
    </row>
    <row r="38621" spans="1:6" x14ac:dyDescent="0.25">
      <c r="A38621"/>
      <c r="B38621"/>
      <c r="C38621"/>
      <c r="E38621"/>
      <c r="F38621"/>
    </row>
    <row r="38622" spans="1:6" x14ac:dyDescent="0.25">
      <c r="A38622"/>
      <c r="B38622"/>
      <c r="C38622"/>
      <c r="E38622"/>
      <c r="F38622"/>
    </row>
    <row r="38623" spans="1:6" x14ac:dyDescent="0.25">
      <c r="A38623"/>
      <c r="B38623"/>
      <c r="C38623"/>
      <c r="E38623"/>
      <c r="F38623"/>
    </row>
    <row r="38624" spans="1:6" x14ac:dyDescent="0.25">
      <c r="A38624"/>
      <c r="B38624"/>
      <c r="C38624"/>
      <c r="E38624"/>
      <c r="F38624"/>
    </row>
    <row r="38625" spans="1:6" x14ac:dyDescent="0.25">
      <c r="A38625"/>
      <c r="B38625"/>
      <c r="C38625"/>
      <c r="E38625"/>
      <c r="F38625"/>
    </row>
    <row r="38626" spans="1:6" x14ac:dyDescent="0.25">
      <c r="A38626"/>
      <c r="B38626"/>
      <c r="C38626"/>
      <c r="E38626"/>
      <c r="F38626"/>
    </row>
    <row r="38627" spans="1:6" x14ac:dyDescent="0.25">
      <c r="A38627"/>
      <c r="B38627"/>
      <c r="C38627"/>
      <c r="E38627"/>
      <c r="F38627"/>
    </row>
    <row r="38628" spans="1:6" x14ac:dyDescent="0.25">
      <c r="A38628"/>
      <c r="B38628"/>
      <c r="C38628"/>
      <c r="E38628"/>
      <c r="F38628"/>
    </row>
    <row r="38629" spans="1:6" x14ac:dyDescent="0.25">
      <c r="A38629"/>
      <c r="B38629"/>
      <c r="C38629"/>
      <c r="E38629"/>
      <c r="F38629"/>
    </row>
    <row r="38630" spans="1:6" x14ac:dyDescent="0.25">
      <c r="A38630"/>
      <c r="B38630"/>
      <c r="C38630"/>
      <c r="E38630"/>
      <c r="F38630"/>
    </row>
    <row r="38631" spans="1:6" x14ac:dyDescent="0.25">
      <c r="A38631"/>
      <c r="B38631"/>
      <c r="C38631"/>
      <c r="E38631"/>
      <c r="F38631"/>
    </row>
    <row r="38632" spans="1:6" x14ac:dyDescent="0.25">
      <c r="A38632"/>
      <c r="B38632"/>
      <c r="C38632"/>
      <c r="E38632"/>
      <c r="F38632"/>
    </row>
    <row r="38633" spans="1:6" x14ac:dyDescent="0.25">
      <c r="A38633"/>
      <c r="B38633"/>
      <c r="C38633"/>
      <c r="E38633"/>
      <c r="F38633"/>
    </row>
    <row r="38634" spans="1:6" x14ac:dyDescent="0.25">
      <c r="A38634"/>
      <c r="B38634"/>
      <c r="C38634"/>
      <c r="E38634"/>
      <c r="F38634"/>
    </row>
    <row r="38635" spans="1:6" x14ac:dyDescent="0.25">
      <c r="A38635"/>
      <c r="B38635"/>
      <c r="C38635"/>
      <c r="E38635"/>
      <c r="F38635"/>
    </row>
    <row r="38636" spans="1:6" x14ac:dyDescent="0.25">
      <c r="A38636"/>
      <c r="B38636"/>
      <c r="C38636"/>
      <c r="E38636"/>
      <c r="F38636"/>
    </row>
    <row r="38637" spans="1:6" x14ac:dyDescent="0.25">
      <c r="A38637"/>
      <c r="B38637"/>
      <c r="C38637"/>
      <c r="E38637"/>
      <c r="F38637"/>
    </row>
    <row r="38638" spans="1:6" x14ac:dyDescent="0.25">
      <c r="A38638"/>
      <c r="B38638"/>
      <c r="C38638"/>
      <c r="E38638"/>
      <c r="F38638"/>
    </row>
    <row r="38639" spans="1:6" x14ac:dyDescent="0.25">
      <c r="A38639"/>
      <c r="B38639"/>
      <c r="C38639"/>
      <c r="E38639"/>
      <c r="F38639"/>
    </row>
    <row r="38640" spans="1:6" x14ac:dyDescent="0.25">
      <c r="A38640"/>
      <c r="B38640"/>
      <c r="C38640"/>
      <c r="E38640"/>
      <c r="F38640"/>
    </row>
    <row r="38641" spans="1:6" x14ac:dyDescent="0.25">
      <c r="A38641"/>
      <c r="B38641"/>
      <c r="C38641"/>
      <c r="E38641"/>
      <c r="F38641"/>
    </row>
    <row r="38642" spans="1:6" x14ac:dyDescent="0.25">
      <c r="A38642"/>
      <c r="B38642"/>
      <c r="C38642"/>
      <c r="E38642"/>
      <c r="F38642"/>
    </row>
    <row r="38643" spans="1:6" x14ac:dyDescent="0.25">
      <c r="A38643"/>
      <c r="B38643"/>
      <c r="C38643"/>
      <c r="E38643"/>
      <c r="F38643"/>
    </row>
    <row r="38644" spans="1:6" x14ac:dyDescent="0.25">
      <c r="A38644"/>
      <c r="B38644"/>
      <c r="C38644"/>
      <c r="E38644"/>
      <c r="F38644"/>
    </row>
    <row r="38645" spans="1:6" x14ac:dyDescent="0.25">
      <c r="A38645"/>
      <c r="B38645"/>
      <c r="C38645"/>
      <c r="E38645"/>
      <c r="F38645"/>
    </row>
    <row r="38646" spans="1:6" x14ac:dyDescent="0.25">
      <c r="A38646"/>
      <c r="B38646"/>
      <c r="C38646"/>
      <c r="E38646"/>
      <c r="F38646"/>
    </row>
    <row r="38647" spans="1:6" x14ac:dyDescent="0.25">
      <c r="A38647"/>
      <c r="B38647"/>
      <c r="C38647"/>
      <c r="E38647"/>
      <c r="F38647"/>
    </row>
    <row r="38648" spans="1:6" x14ac:dyDescent="0.25">
      <c r="A38648"/>
      <c r="B38648"/>
      <c r="C38648"/>
      <c r="E38648"/>
      <c r="F38648"/>
    </row>
    <row r="38649" spans="1:6" x14ac:dyDescent="0.25">
      <c r="A38649"/>
      <c r="B38649"/>
      <c r="C38649"/>
      <c r="E38649"/>
      <c r="F38649"/>
    </row>
    <row r="38650" spans="1:6" x14ac:dyDescent="0.25">
      <c r="A38650"/>
      <c r="B38650"/>
      <c r="C38650"/>
      <c r="E38650"/>
      <c r="F38650"/>
    </row>
    <row r="38651" spans="1:6" x14ac:dyDescent="0.25">
      <c r="A38651"/>
      <c r="B38651"/>
      <c r="C38651"/>
      <c r="E38651"/>
      <c r="F38651"/>
    </row>
    <row r="38652" spans="1:6" x14ac:dyDescent="0.25">
      <c r="A38652"/>
      <c r="B38652"/>
      <c r="C38652"/>
      <c r="E38652"/>
      <c r="F38652"/>
    </row>
    <row r="38653" spans="1:6" x14ac:dyDescent="0.25">
      <c r="A38653"/>
      <c r="B38653"/>
      <c r="C38653"/>
      <c r="E38653"/>
      <c r="F38653"/>
    </row>
    <row r="38654" spans="1:6" x14ac:dyDescent="0.25">
      <c r="A38654"/>
      <c r="B38654"/>
      <c r="C38654"/>
      <c r="E38654"/>
      <c r="F38654"/>
    </row>
    <row r="38655" spans="1:6" x14ac:dyDescent="0.25">
      <c r="A38655"/>
      <c r="B38655"/>
      <c r="C38655"/>
      <c r="E38655"/>
      <c r="F38655"/>
    </row>
    <row r="38656" spans="1:6" x14ac:dyDescent="0.25">
      <c r="A38656"/>
      <c r="B38656"/>
      <c r="C38656"/>
      <c r="E38656"/>
      <c r="F38656"/>
    </row>
    <row r="38657" spans="1:6" x14ac:dyDescent="0.25">
      <c r="A38657"/>
      <c r="B38657"/>
      <c r="C38657"/>
      <c r="E38657"/>
      <c r="F38657"/>
    </row>
    <row r="38658" spans="1:6" x14ac:dyDescent="0.25">
      <c r="A38658"/>
      <c r="B38658"/>
      <c r="C38658"/>
      <c r="E38658"/>
      <c r="F38658"/>
    </row>
    <row r="38659" spans="1:6" x14ac:dyDescent="0.25">
      <c r="A38659"/>
      <c r="B38659"/>
      <c r="C38659"/>
      <c r="E38659"/>
      <c r="F38659"/>
    </row>
    <row r="38660" spans="1:6" x14ac:dyDescent="0.25">
      <c r="A38660"/>
      <c r="B38660"/>
      <c r="C38660"/>
      <c r="E38660"/>
      <c r="F38660"/>
    </row>
    <row r="38661" spans="1:6" x14ac:dyDescent="0.25">
      <c r="A38661"/>
      <c r="B38661"/>
      <c r="C38661"/>
      <c r="E38661"/>
      <c r="F38661"/>
    </row>
    <row r="38662" spans="1:6" x14ac:dyDescent="0.25">
      <c r="A38662"/>
      <c r="B38662"/>
      <c r="C38662"/>
      <c r="E38662"/>
      <c r="F38662"/>
    </row>
    <row r="38663" spans="1:6" x14ac:dyDescent="0.25">
      <c r="A38663"/>
      <c r="B38663"/>
      <c r="C38663"/>
      <c r="E38663"/>
      <c r="F38663"/>
    </row>
    <row r="38664" spans="1:6" x14ac:dyDescent="0.25">
      <c r="A38664"/>
      <c r="B38664"/>
      <c r="C38664"/>
      <c r="E38664"/>
      <c r="F38664"/>
    </row>
    <row r="38665" spans="1:6" x14ac:dyDescent="0.25">
      <c r="A38665"/>
      <c r="B38665"/>
      <c r="C38665"/>
      <c r="E38665"/>
      <c r="F38665"/>
    </row>
    <row r="38666" spans="1:6" x14ac:dyDescent="0.25">
      <c r="A38666"/>
      <c r="B38666"/>
      <c r="C38666"/>
      <c r="E38666"/>
      <c r="F38666"/>
    </row>
    <row r="38667" spans="1:6" x14ac:dyDescent="0.25">
      <c r="A38667"/>
      <c r="B38667"/>
      <c r="C38667"/>
      <c r="E38667"/>
      <c r="F38667"/>
    </row>
    <row r="38668" spans="1:6" x14ac:dyDescent="0.25">
      <c r="A38668"/>
      <c r="B38668"/>
      <c r="C38668"/>
      <c r="E38668"/>
      <c r="F38668"/>
    </row>
    <row r="38669" spans="1:6" x14ac:dyDescent="0.25">
      <c r="A38669"/>
      <c r="B38669"/>
      <c r="C38669"/>
      <c r="E38669"/>
      <c r="F38669"/>
    </row>
    <row r="38670" spans="1:6" x14ac:dyDescent="0.25">
      <c r="A38670"/>
      <c r="B38670"/>
      <c r="C38670"/>
      <c r="E38670"/>
      <c r="F38670"/>
    </row>
    <row r="38671" spans="1:6" x14ac:dyDescent="0.25">
      <c r="A38671"/>
      <c r="B38671"/>
      <c r="C38671"/>
      <c r="E38671"/>
      <c r="F38671"/>
    </row>
    <row r="38672" spans="1:6" x14ac:dyDescent="0.25">
      <c r="A38672"/>
      <c r="B38672"/>
      <c r="C38672"/>
      <c r="E38672"/>
      <c r="F38672"/>
    </row>
    <row r="38673" spans="1:6" x14ac:dyDescent="0.25">
      <c r="A38673"/>
      <c r="B38673"/>
      <c r="C38673"/>
      <c r="E38673"/>
      <c r="F38673"/>
    </row>
    <row r="38674" spans="1:6" x14ac:dyDescent="0.25">
      <c r="A38674"/>
      <c r="B38674"/>
      <c r="C38674"/>
      <c r="E38674"/>
      <c r="F38674"/>
    </row>
    <row r="38675" spans="1:6" x14ac:dyDescent="0.25">
      <c r="A38675"/>
      <c r="B38675"/>
      <c r="C38675"/>
      <c r="E38675"/>
      <c r="F38675"/>
    </row>
    <row r="38676" spans="1:6" x14ac:dyDescent="0.25">
      <c r="A38676"/>
      <c r="B38676"/>
      <c r="C38676"/>
      <c r="E38676"/>
      <c r="F38676"/>
    </row>
    <row r="38677" spans="1:6" x14ac:dyDescent="0.25">
      <c r="A38677"/>
      <c r="B38677"/>
      <c r="C38677"/>
      <c r="E38677"/>
      <c r="F38677"/>
    </row>
    <row r="38678" spans="1:6" x14ac:dyDescent="0.25">
      <c r="A38678"/>
      <c r="B38678"/>
      <c r="C38678"/>
      <c r="E38678"/>
      <c r="F38678"/>
    </row>
    <row r="38679" spans="1:6" x14ac:dyDescent="0.25">
      <c r="A38679"/>
      <c r="B38679"/>
      <c r="C38679"/>
      <c r="E38679"/>
      <c r="F38679"/>
    </row>
    <row r="38680" spans="1:6" x14ac:dyDescent="0.25">
      <c r="A38680"/>
      <c r="B38680"/>
      <c r="C38680"/>
      <c r="E38680"/>
      <c r="F38680"/>
    </row>
    <row r="38681" spans="1:6" x14ac:dyDescent="0.25">
      <c r="A38681"/>
      <c r="B38681"/>
      <c r="C38681"/>
      <c r="E38681"/>
      <c r="F38681"/>
    </row>
    <row r="38682" spans="1:6" x14ac:dyDescent="0.25">
      <c r="A38682"/>
      <c r="B38682"/>
      <c r="C38682"/>
      <c r="E38682"/>
      <c r="F38682"/>
    </row>
    <row r="38683" spans="1:6" x14ac:dyDescent="0.25">
      <c r="A38683"/>
      <c r="B38683"/>
      <c r="C38683"/>
      <c r="E38683"/>
      <c r="F38683"/>
    </row>
    <row r="38684" spans="1:6" x14ac:dyDescent="0.25">
      <c r="A38684"/>
      <c r="B38684"/>
      <c r="C38684"/>
      <c r="E38684"/>
      <c r="F38684"/>
    </row>
    <row r="38685" spans="1:6" x14ac:dyDescent="0.25">
      <c r="A38685"/>
      <c r="B38685"/>
      <c r="C38685"/>
      <c r="E38685"/>
      <c r="F38685"/>
    </row>
    <row r="38686" spans="1:6" x14ac:dyDescent="0.25">
      <c r="A38686"/>
      <c r="B38686"/>
      <c r="C38686"/>
      <c r="E38686"/>
      <c r="F38686"/>
    </row>
    <row r="38687" spans="1:6" x14ac:dyDescent="0.25">
      <c r="A38687"/>
      <c r="B38687"/>
      <c r="C38687"/>
      <c r="E38687"/>
      <c r="F38687"/>
    </row>
    <row r="38688" spans="1:6" x14ac:dyDescent="0.25">
      <c r="A38688"/>
      <c r="B38688"/>
      <c r="C38688"/>
      <c r="E38688"/>
      <c r="F38688"/>
    </row>
    <row r="38689" spans="1:6" x14ac:dyDescent="0.25">
      <c r="A38689"/>
      <c r="B38689"/>
      <c r="C38689"/>
      <c r="E38689"/>
      <c r="F38689"/>
    </row>
    <row r="38690" spans="1:6" x14ac:dyDescent="0.25">
      <c r="A38690"/>
      <c r="B38690"/>
      <c r="C38690"/>
      <c r="E38690"/>
      <c r="F38690"/>
    </row>
    <row r="38691" spans="1:6" x14ac:dyDescent="0.25">
      <c r="A38691"/>
      <c r="B38691"/>
      <c r="C38691"/>
      <c r="E38691"/>
      <c r="F38691"/>
    </row>
    <row r="38692" spans="1:6" x14ac:dyDescent="0.25">
      <c r="A38692"/>
      <c r="B38692"/>
      <c r="C38692"/>
      <c r="E38692"/>
      <c r="F38692"/>
    </row>
    <row r="38693" spans="1:6" x14ac:dyDescent="0.25">
      <c r="A38693"/>
      <c r="B38693"/>
      <c r="C38693"/>
      <c r="E38693"/>
      <c r="F38693"/>
    </row>
    <row r="38694" spans="1:6" x14ac:dyDescent="0.25">
      <c r="A38694"/>
      <c r="B38694"/>
      <c r="C38694"/>
      <c r="E38694"/>
      <c r="F38694"/>
    </row>
    <row r="38695" spans="1:6" x14ac:dyDescent="0.25">
      <c r="A38695"/>
      <c r="B38695"/>
      <c r="C38695"/>
      <c r="E38695"/>
      <c r="F38695"/>
    </row>
    <row r="38696" spans="1:6" x14ac:dyDescent="0.25">
      <c r="A38696"/>
      <c r="B38696"/>
      <c r="C38696"/>
      <c r="E38696"/>
      <c r="F38696"/>
    </row>
    <row r="38697" spans="1:6" x14ac:dyDescent="0.25">
      <c r="A38697"/>
      <c r="B38697"/>
      <c r="C38697"/>
      <c r="E38697"/>
      <c r="F38697"/>
    </row>
    <row r="38698" spans="1:6" x14ac:dyDescent="0.25">
      <c r="A38698"/>
      <c r="B38698"/>
      <c r="C38698"/>
      <c r="E38698"/>
      <c r="F38698"/>
    </row>
    <row r="38699" spans="1:6" x14ac:dyDescent="0.25">
      <c r="A38699"/>
      <c r="B38699"/>
      <c r="C38699"/>
      <c r="E38699"/>
      <c r="F38699"/>
    </row>
    <row r="38700" spans="1:6" x14ac:dyDescent="0.25">
      <c r="A38700"/>
      <c r="B38700"/>
      <c r="C38700"/>
      <c r="E38700"/>
      <c r="F38700"/>
    </row>
    <row r="38701" spans="1:6" x14ac:dyDescent="0.25">
      <c r="A38701"/>
      <c r="B38701"/>
      <c r="C38701"/>
      <c r="E38701"/>
      <c r="F38701"/>
    </row>
    <row r="38702" spans="1:6" x14ac:dyDescent="0.25">
      <c r="A38702"/>
      <c r="B38702"/>
      <c r="C38702"/>
      <c r="E38702"/>
      <c r="F38702"/>
    </row>
    <row r="38703" spans="1:6" x14ac:dyDescent="0.25">
      <c r="A38703"/>
      <c r="B38703"/>
      <c r="C38703"/>
      <c r="E38703"/>
      <c r="F38703"/>
    </row>
    <row r="38704" spans="1:6" x14ac:dyDescent="0.25">
      <c r="A38704"/>
      <c r="B38704"/>
      <c r="C38704"/>
      <c r="E38704"/>
      <c r="F38704"/>
    </row>
    <row r="38705" spans="1:6" x14ac:dyDescent="0.25">
      <c r="A38705"/>
      <c r="B38705"/>
      <c r="C38705"/>
      <c r="E38705"/>
      <c r="F38705"/>
    </row>
    <row r="38706" spans="1:6" x14ac:dyDescent="0.25">
      <c r="A38706"/>
      <c r="B38706"/>
      <c r="C38706"/>
      <c r="E38706"/>
      <c r="F38706"/>
    </row>
    <row r="38707" spans="1:6" x14ac:dyDescent="0.25">
      <c r="A38707"/>
      <c r="B38707"/>
      <c r="C38707"/>
      <c r="E38707"/>
      <c r="F38707"/>
    </row>
    <row r="38708" spans="1:6" x14ac:dyDescent="0.25">
      <c r="A38708"/>
      <c r="B38708"/>
      <c r="C38708"/>
      <c r="E38708"/>
      <c r="F38708"/>
    </row>
    <row r="38709" spans="1:6" x14ac:dyDescent="0.25">
      <c r="A38709"/>
      <c r="B38709"/>
      <c r="C38709"/>
      <c r="E38709"/>
      <c r="F38709"/>
    </row>
    <row r="38710" spans="1:6" x14ac:dyDescent="0.25">
      <c r="A38710"/>
      <c r="B38710"/>
      <c r="C38710"/>
      <c r="E38710"/>
      <c r="F38710"/>
    </row>
    <row r="38711" spans="1:6" x14ac:dyDescent="0.25">
      <c r="A38711"/>
      <c r="B38711"/>
      <c r="C38711"/>
      <c r="E38711"/>
      <c r="F38711"/>
    </row>
    <row r="38712" spans="1:6" x14ac:dyDescent="0.25">
      <c r="A38712"/>
      <c r="B38712"/>
      <c r="C38712"/>
      <c r="E38712"/>
      <c r="F38712"/>
    </row>
    <row r="38713" spans="1:6" x14ac:dyDescent="0.25">
      <c r="A38713"/>
      <c r="B38713"/>
      <c r="C38713"/>
      <c r="E38713"/>
      <c r="F38713"/>
    </row>
    <row r="38714" spans="1:6" x14ac:dyDescent="0.25">
      <c r="A38714"/>
      <c r="B38714"/>
      <c r="C38714"/>
      <c r="E38714"/>
      <c r="F38714"/>
    </row>
    <row r="38715" spans="1:6" x14ac:dyDescent="0.25">
      <c r="A38715"/>
      <c r="B38715"/>
      <c r="C38715"/>
      <c r="E38715"/>
      <c r="F38715"/>
    </row>
    <row r="38716" spans="1:6" x14ac:dyDescent="0.25">
      <c r="A38716"/>
      <c r="B38716"/>
      <c r="C38716"/>
      <c r="E38716"/>
      <c r="F38716"/>
    </row>
    <row r="38717" spans="1:6" x14ac:dyDescent="0.25">
      <c r="A38717"/>
      <c r="B38717"/>
      <c r="C38717"/>
      <c r="E38717"/>
      <c r="F38717"/>
    </row>
    <row r="38718" spans="1:6" x14ac:dyDescent="0.25">
      <c r="A38718"/>
      <c r="B38718"/>
      <c r="C38718"/>
      <c r="E38718"/>
      <c r="F38718"/>
    </row>
    <row r="38719" spans="1:6" x14ac:dyDescent="0.25">
      <c r="A38719"/>
      <c r="B38719"/>
      <c r="C38719"/>
      <c r="E38719"/>
      <c r="F38719"/>
    </row>
    <row r="38720" spans="1:6" x14ac:dyDescent="0.25">
      <c r="A38720"/>
      <c r="B38720"/>
      <c r="C38720"/>
      <c r="E38720"/>
      <c r="F38720"/>
    </row>
    <row r="38721" spans="1:6" x14ac:dyDescent="0.25">
      <c r="A38721"/>
      <c r="B38721"/>
      <c r="C38721"/>
      <c r="E38721"/>
      <c r="F38721"/>
    </row>
    <row r="38722" spans="1:6" x14ac:dyDescent="0.25">
      <c r="A38722"/>
      <c r="B38722"/>
      <c r="C38722"/>
      <c r="E38722"/>
      <c r="F38722"/>
    </row>
    <row r="38723" spans="1:6" x14ac:dyDescent="0.25">
      <c r="A38723"/>
      <c r="B38723"/>
      <c r="C38723"/>
      <c r="E38723"/>
      <c r="F38723"/>
    </row>
    <row r="38724" spans="1:6" x14ac:dyDescent="0.25">
      <c r="A38724"/>
      <c r="B38724"/>
      <c r="C38724"/>
      <c r="E38724"/>
      <c r="F38724"/>
    </row>
    <row r="38725" spans="1:6" x14ac:dyDescent="0.25">
      <c r="A38725"/>
      <c r="B38725"/>
      <c r="C38725"/>
      <c r="E38725"/>
      <c r="F38725"/>
    </row>
    <row r="38726" spans="1:6" x14ac:dyDescent="0.25">
      <c r="A38726"/>
      <c r="B38726"/>
      <c r="C38726"/>
      <c r="E38726"/>
      <c r="F38726"/>
    </row>
    <row r="38727" spans="1:6" x14ac:dyDescent="0.25">
      <c r="A38727"/>
      <c r="B38727"/>
      <c r="C38727"/>
      <c r="E38727"/>
      <c r="F38727"/>
    </row>
    <row r="38728" spans="1:6" x14ac:dyDescent="0.25">
      <c r="A38728"/>
      <c r="B38728"/>
      <c r="C38728"/>
      <c r="E38728"/>
      <c r="F38728"/>
    </row>
    <row r="38729" spans="1:6" x14ac:dyDescent="0.25">
      <c r="A38729"/>
      <c r="B38729"/>
      <c r="C38729"/>
      <c r="E38729"/>
      <c r="F38729"/>
    </row>
    <row r="38730" spans="1:6" x14ac:dyDescent="0.25">
      <c r="A38730"/>
      <c r="B38730"/>
      <c r="C38730"/>
      <c r="E38730"/>
      <c r="F38730"/>
    </row>
    <row r="38731" spans="1:6" x14ac:dyDescent="0.25">
      <c r="A38731"/>
      <c r="B38731"/>
      <c r="C38731"/>
      <c r="E38731"/>
      <c r="F38731"/>
    </row>
    <row r="38732" spans="1:6" x14ac:dyDescent="0.25">
      <c r="A38732"/>
      <c r="B38732"/>
      <c r="C38732"/>
      <c r="E38732"/>
      <c r="F38732"/>
    </row>
    <row r="38733" spans="1:6" x14ac:dyDescent="0.25">
      <c r="A38733"/>
      <c r="B38733"/>
      <c r="C38733"/>
      <c r="E38733"/>
      <c r="F38733"/>
    </row>
    <row r="38734" spans="1:6" x14ac:dyDescent="0.25">
      <c r="A38734"/>
      <c r="B38734"/>
      <c r="C38734"/>
      <c r="E38734"/>
      <c r="F38734"/>
    </row>
    <row r="38735" spans="1:6" x14ac:dyDescent="0.25">
      <c r="A38735"/>
      <c r="B38735"/>
      <c r="C38735"/>
      <c r="E38735"/>
      <c r="F38735"/>
    </row>
    <row r="38736" spans="1:6" x14ac:dyDescent="0.25">
      <c r="A38736"/>
      <c r="B38736"/>
      <c r="C38736"/>
      <c r="E38736"/>
      <c r="F38736"/>
    </row>
    <row r="38737" spans="1:6" x14ac:dyDescent="0.25">
      <c r="A38737"/>
      <c r="B38737"/>
      <c r="C38737"/>
      <c r="E38737"/>
      <c r="F38737"/>
    </row>
    <row r="38738" spans="1:6" x14ac:dyDescent="0.25">
      <c r="A38738"/>
      <c r="B38738"/>
      <c r="C38738"/>
      <c r="E38738"/>
      <c r="F38738"/>
    </row>
    <row r="38739" spans="1:6" x14ac:dyDescent="0.25">
      <c r="A38739"/>
      <c r="B38739"/>
      <c r="C38739"/>
      <c r="E38739"/>
      <c r="F38739"/>
    </row>
    <row r="38740" spans="1:6" x14ac:dyDescent="0.25">
      <c r="A38740"/>
      <c r="B38740"/>
      <c r="C38740"/>
      <c r="E38740"/>
      <c r="F38740"/>
    </row>
    <row r="38741" spans="1:6" x14ac:dyDescent="0.25">
      <c r="A38741"/>
      <c r="B38741"/>
      <c r="C38741"/>
      <c r="E38741"/>
      <c r="F38741"/>
    </row>
    <row r="38742" spans="1:6" x14ac:dyDescent="0.25">
      <c r="A38742"/>
      <c r="B38742"/>
      <c r="C38742"/>
      <c r="E38742"/>
      <c r="F38742"/>
    </row>
    <row r="38743" spans="1:6" x14ac:dyDescent="0.25">
      <c r="A38743"/>
      <c r="B38743"/>
      <c r="C38743"/>
      <c r="E38743"/>
      <c r="F38743"/>
    </row>
    <row r="38744" spans="1:6" x14ac:dyDescent="0.25">
      <c r="A38744"/>
      <c r="B38744"/>
      <c r="C38744"/>
      <c r="E38744"/>
      <c r="F38744"/>
    </row>
    <row r="38745" spans="1:6" x14ac:dyDescent="0.25">
      <c r="A38745"/>
      <c r="B38745"/>
      <c r="C38745"/>
      <c r="E38745"/>
      <c r="F38745"/>
    </row>
    <row r="38746" spans="1:6" x14ac:dyDescent="0.25">
      <c r="A38746"/>
      <c r="B38746"/>
      <c r="C38746"/>
      <c r="E38746"/>
      <c r="F38746"/>
    </row>
    <row r="38747" spans="1:6" x14ac:dyDescent="0.25">
      <c r="A38747"/>
      <c r="B38747"/>
      <c r="C38747"/>
      <c r="E38747"/>
      <c r="F38747"/>
    </row>
    <row r="38748" spans="1:6" x14ac:dyDescent="0.25">
      <c r="A38748"/>
      <c r="B38748"/>
      <c r="C38748"/>
      <c r="E38748"/>
      <c r="F38748"/>
    </row>
    <row r="38749" spans="1:6" x14ac:dyDescent="0.25">
      <c r="A38749"/>
      <c r="B38749"/>
      <c r="C38749"/>
      <c r="E38749"/>
      <c r="F38749"/>
    </row>
    <row r="38750" spans="1:6" x14ac:dyDescent="0.25">
      <c r="A38750"/>
      <c r="B38750"/>
      <c r="C38750"/>
      <c r="E38750"/>
      <c r="F38750"/>
    </row>
    <row r="38751" spans="1:6" x14ac:dyDescent="0.25">
      <c r="A38751"/>
      <c r="B38751"/>
      <c r="C38751"/>
      <c r="E38751"/>
      <c r="F38751"/>
    </row>
    <row r="38752" spans="1:6" x14ac:dyDescent="0.25">
      <c r="A38752"/>
      <c r="B38752"/>
      <c r="C38752"/>
      <c r="E38752"/>
      <c r="F38752"/>
    </row>
    <row r="38753" spans="1:6" x14ac:dyDescent="0.25">
      <c r="A38753"/>
      <c r="B38753"/>
      <c r="C38753"/>
      <c r="E38753"/>
      <c r="F38753"/>
    </row>
    <row r="38754" spans="1:6" x14ac:dyDescent="0.25">
      <c r="A38754"/>
      <c r="B38754"/>
      <c r="C38754"/>
      <c r="E38754"/>
      <c r="F38754"/>
    </row>
    <row r="38755" spans="1:6" x14ac:dyDescent="0.25">
      <c r="A38755"/>
      <c r="B38755"/>
      <c r="C38755"/>
      <c r="E38755"/>
      <c r="F38755"/>
    </row>
    <row r="38756" spans="1:6" x14ac:dyDescent="0.25">
      <c r="A38756"/>
      <c r="B38756"/>
      <c r="C38756"/>
      <c r="E38756"/>
      <c r="F38756"/>
    </row>
    <row r="38757" spans="1:6" x14ac:dyDescent="0.25">
      <c r="A38757"/>
      <c r="B38757"/>
      <c r="C38757"/>
      <c r="E38757"/>
      <c r="F38757"/>
    </row>
    <row r="38758" spans="1:6" x14ac:dyDescent="0.25">
      <c r="A38758"/>
      <c r="B38758"/>
      <c r="C38758"/>
      <c r="E38758"/>
      <c r="F38758"/>
    </row>
    <row r="38759" spans="1:6" x14ac:dyDescent="0.25">
      <c r="A38759"/>
      <c r="B38759"/>
      <c r="C38759"/>
      <c r="E38759"/>
      <c r="F38759"/>
    </row>
    <row r="38760" spans="1:6" x14ac:dyDescent="0.25">
      <c r="A38760"/>
      <c r="B38760"/>
      <c r="C38760"/>
      <c r="E38760"/>
      <c r="F38760"/>
    </row>
    <row r="38761" spans="1:6" x14ac:dyDescent="0.25">
      <c r="A38761"/>
      <c r="B38761"/>
      <c r="C38761"/>
      <c r="E38761"/>
      <c r="F38761"/>
    </row>
    <row r="38762" spans="1:6" x14ac:dyDescent="0.25">
      <c r="A38762"/>
      <c r="B38762"/>
      <c r="C38762"/>
      <c r="E38762"/>
      <c r="F38762"/>
    </row>
    <row r="38763" spans="1:6" x14ac:dyDescent="0.25">
      <c r="A38763"/>
      <c r="B38763"/>
      <c r="C38763"/>
      <c r="E38763"/>
      <c r="F38763"/>
    </row>
    <row r="38764" spans="1:6" x14ac:dyDescent="0.25">
      <c r="A38764"/>
      <c r="B38764"/>
      <c r="C38764"/>
      <c r="E38764"/>
      <c r="F38764"/>
    </row>
    <row r="38765" spans="1:6" x14ac:dyDescent="0.25">
      <c r="A38765"/>
      <c r="B38765"/>
      <c r="C38765"/>
      <c r="E38765"/>
      <c r="F38765"/>
    </row>
    <row r="38766" spans="1:6" x14ac:dyDescent="0.25">
      <c r="A38766"/>
      <c r="B38766"/>
      <c r="C38766"/>
      <c r="E38766"/>
      <c r="F38766"/>
    </row>
    <row r="38767" spans="1:6" x14ac:dyDescent="0.25">
      <c r="A38767"/>
      <c r="B38767"/>
      <c r="C38767"/>
      <c r="E38767"/>
      <c r="F38767"/>
    </row>
    <row r="38768" spans="1:6" x14ac:dyDescent="0.25">
      <c r="A38768"/>
      <c r="B38768"/>
      <c r="C38768"/>
      <c r="E38768"/>
      <c r="F38768"/>
    </row>
    <row r="38769" spans="1:6" x14ac:dyDescent="0.25">
      <c r="A38769"/>
      <c r="B38769"/>
      <c r="C38769"/>
      <c r="E38769"/>
      <c r="F38769"/>
    </row>
    <row r="38770" spans="1:6" x14ac:dyDescent="0.25">
      <c r="A38770"/>
      <c r="B38770"/>
      <c r="C38770"/>
      <c r="E38770"/>
      <c r="F38770"/>
    </row>
    <row r="38771" spans="1:6" x14ac:dyDescent="0.25">
      <c r="A38771"/>
      <c r="B38771"/>
      <c r="C38771"/>
      <c r="E38771"/>
      <c r="F38771"/>
    </row>
    <row r="38772" spans="1:6" x14ac:dyDescent="0.25">
      <c r="A38772"/>
      <c r="B38772"/>
      <c r="C38772"/>
      <c r="E38772"/>
      <c r="F38772"/>
    </row>
    <row r="38773" spans="1:6" x14ac:dyDescent="0.25">
      <c r="A38773"/>
      <c r="B38773"/>
      <c r="C38773"/>
      <c r="E38773"/>
      <c r="F38773"/>
    </row>
    <row r="38774" spans="1:6" x14ac:dyDescent="0.25">
      <c r="A38774"/>
      <c r="B38774"/>
      <c r="C38774"/>
      <c r="E38774"/>
      <c r="F38774"/>
    </row>
    <row r="38775" spans="1:6" x14ac:dyDescent="0.25">
      <c r="A38775"/>
      <c r="B38775"/>
      <c r="C38775"/>
      <c r="E38775"/>
      <c r="F38775"/>
    </row>
    <row r="38776" spans="1:6" x14ac:dyDescent="0.25">
      <c r="A38776"/>
      <c r="B38776"/>
      <c r="C38776"/>
      <c r="E38776"/>
      <c r="F38776"/>
    </row>
    <row r="38777" spans="1:6" x14ac:dyDescent="0.25">
      <c r="A38777"/>
      <c r="B38777"/>
      <c r="C38777"/>
      <c r="E38777"/>
      <c r="F38777"/>
    </row>
    <row r="38778" spans="1:6" x14ac:dyDescent="0.25">
      <c r="A38778"/>
      <c r="B38778"/>
      <c r="C38778"/>
      <c r="E38778"/>
      <c r="F38778"/>
    </row>
    <row r="38779" spans="1:6" x14ac:dyDescent="0.25">
      <c r="A38779"/>
      <c r="B38779"/>
      <c r="C38779"/>
      <c r="E38779"/>
      <c r="F38779"/>
    </row>
    <row r="38780" spans="1:6" x14ac:dyDescent="0.25">
      <c r="A38780"/>
      <c r="B38780"/>
      <c r="C38780"/>
      <c r="E38780"/>
      <c r="F38780"/>
    </row>
    <row r="38781" spans="1:6" x14ac:dyDescent="0.25">
      <c r="A38781"/>
      <c r="B38781"/>
      <c r="C38781"/>
      <c r="E38781"/>
      <c r="F38781"/>
    </row>
    <row r="38782" spans="1:6" x14ac:dyDescent="0.25">
      <c r="A38782"/>
      <c r="B38782"/>
      <c r="C38782"/>
      <c r="E38782"/>
      <c r="F38782"/>
    </row>
    <row r="38783" spans="1:6" x14ac:dyDescent="0.25">
      <c r="A38783"/>
      <c r="B38783"/>
      <c r="C38783"/>
      <c r="E38783"/>
      <c r="F38783"/>
    </row>
    <row r="38784" spans="1:6" x14ac:dyDescent="0.25">
      <c r="A38784"/>
      <c r="B38784"/>
      <c r="C38784"/>
      <c r="E38784"/>
      <c r="F38784"/>
    </row>
    <row r="38785" spans="1:6" x14ac:dyDescent="0.25">
      <c r="A38785"/>
      <c r="B38785"/>
      <c r="C38785"/>
      <c r="E38785"/>
      <c r="F38785"/>
    </row>
    <row r="38786" spans="1:6" x14ac:dyDescent="0.25">
      <c r="A38786"/>
      <c r="B38786"/>
      <c r="C38786"/>
      <c r="E38786"/>
      <c r="F38786"/>
    </row>
    <row r="38787" spans="1:6" x14ac:dyDescent="0.25">
      <c r="A38787"/>
      <c r="B38787"/>
      <c r="C38787"/>
      <c r="E38787"/>
      <c r="F38787"/>
    </row>
    <row r="38788" spans="1:6" x14ac:dyDescent="0.25">
      <c r="A38788"/>
      <c r="B38788"/>
      <c r="C38788"/>
      <c r="E38788"/>
      <c r="F38788"/>
    </row>
    <row r="38789" spans="1:6" x14ac:dyDescent="0.25">
      <c r="A38789"/>
      <c r="B38789"/>
      <c r="C38789"/>
      <c r="E38789"/>
      <c r="F38789"/>
    </row>
    <row r="38790" spans="1:6" x14ac:dyDescent="0.25">
      <c r="A38790"/>
      <c r="B38790"/>
      <c r="C38790"/>
      <c r="E38790"/>
      <c r="F38790"/>
    </row>
    <row r="38791" spans="1:6" x14ac:dyDescent="0.25">
      <c r="A38791"/>
      <c r="B38791"/>
      <c r="C38791"/>
      <c r="E38791"/>
      <c r="F38791"/>
    </row>
    <row r="38792" spans="1:6" x14ac:dyDescent="0.25">
      <c r="A38792"/>
      <c r="B38792"/>
      <c r="C38792"/>
      <c r="E38792"/>
      <c r="F38792"/>
    </row>
    <row r="38793" spans="1:6" x14ac:dyDescent="0.25">
      <c r="A38793"/>
      <c r="B38793"/>
      <c r="C38793"/>
      <c r="E38793"/>
      <c r="F38793"/>
    </row>
    <row r="38794" spans="1:6" x14ac:dyDescent="0.25">
      <c r="A38794"/>
      <c r="B38794"/>
      <c r="C38794"/>
      <c r="E38794"/>
      <c r="F38794"/>
    </row>
    <row r="38795" spans="1:6" x14ac:dyDescent="0.25">
      <c r="A38795"/>
      <c r="B38795"/>
      <c r="C38795"/>
      <c r="E38795"/>
      <c r="F38795"/>
    </row>
    <row r="38796" spans="1:6" x14ac:dyDescent="0.25">
      <c r="A38796"/>
      <c r="B38796"/>
      <c r="C38796"/>
      <c r="E38796"/>
      <c r="F38796"/>
    </row>
    <row r="38797" spans="1:6" x14ac:dyDescent="0.25">
      <c r="A38797"/>
      <c r="B38797"/>
      <c r="C38797"/>
      <c r="E38797"/>
      <c r="F38797"/>
    </row>
    <row r="38798" spans="1:6" x14ac:dyDescent="0.25">
      <c r="A38798"/>
      <c r="B38798"/>
      <c r="C38798"/>
      <c r="E38798"/>
      <c r="F38798"/>
    </row>
    <row r="38799" spans="1:6" x14ac:dyDescent="0.25">
      <c r="A38799"/>
      <c r="B38799"/>
      <c r="C38799"/>
      <c r="E38799"/>
      <c r="F38799"/>
    </row>
    <row r="38800" spans="1:6" x14ac:dyDescent="0.25">
      <c r="A38800"/>
      <c r="B38800"/>
      <c r="C38800"/>
      <c r="E38800"/>
      <c r="F38800"/>
    </row>
    <row r="38801" spans="1:6" x14ac:dyDescent="0.25">
      <c r="A38801"/>
      <c r="B38801"/>
      <c r="C38801"/>
      <c r="E38801"/>
      <c r="F38801"/>
    </row>
    <row r="38802" spans="1:6" x14ac:dyDescent="0.25">
      <c r="A38802"/>
      <c r="B38802"/>
      <c r="C38802"/>
      <c r="E38802"/>
      <c r="F38802"/>
    </row>
    <row r="38803" spans="1:6" x14ac:dyDescent="0.25">
      <c r="A38803"/>
      <c r="B38803"/>
      <c r="C38803"/>
      <c r="E38803"/>
      <c r="F38803"/>
    </row>
    <row r="38804" spans="1:6" x14ac:dyDescent="0.25">
      <c r="A38804"/>
      <c r="B38804"/>
      <c r="C38804"/>
      <c r="E38804"/>
      <c r="F38804"/>
    </row>
    <row r="38805" spans="1:6" x14ac:dyDescent="0.25">
      <c r="A38805"/>
      <c r="B38805"/>
      <c r="C38805"/>
      <c r="E38805"/>
      <c r="F38805"/>
    </row>
    <row r="38806" spans="1:6" x14ac:dyDescent="0.25">
      <c r="A38806"/>
      <c r="B38806"/>
      <c r="C38806"/>
      <c r="E38806"/>
      <c r="F38806"/>
    </row>
    <row r="38807" spans="1:6" x14ac:dyDescent="0.25">
      <c r="A38807"/>
      <c r="B38807"/>
      <c r="C38807"/>
      <c r="E38807"/>
      <c r="F38807"/>
    </row>
    <row r="38808" spans="1:6" x14ac:dyDescent="0.25">
      <c r="A38808"/>
      <c r="B38808"/>
      <c r="C38808"/>
      <c r="E38808"/>
      <c r="F38808"/>
    </row>
    <row r="38809" spans="1:6" x14ac:dyDescent="0.25">
      <c r="A38809"/>
      <c r="B38809"/>
      <c r="C38809"/>
      <c r="E38809"/>
      <c r="F38809"/>
    </row>
    <row r="38810" spans="1:6" x14ac:dyDescent="0.25">
      <c r="A38810"/>
      <c r="B38810"/>
      <c r="C38810"/>
      <c r="E38810"/>
      <c r="F38810"/>
    </row>
    <row r="38811" spans="1:6" x14ac:dyDescent="0.25">
      <c r="A38811"/>
      <c r="B38811"/>
      <c r="C38811"/>
      <c r="E38811"/>
      <c r="F38811"/>
    </row>
    <row r="38812" spans="1:6" x14ac:dyDescent="0.25">
      <c r="A38812"/>
      <c r="B38812"/>
      <c r="C38812"/>
      <c r="E38812"/>
      <c r="F38812"/>
    </row>
    <row r="38813" spans="1:6" x14ac:dyDescent="0.25">
      <c r="A38813"/>
      <c r="B38813"/>
      <c r="C38813"/>
      <c r="E38813"/>
      <c r="F38813"/>
    </row>
    <row r="38814" spans="1:6" x14ac:dyDescent="0.25">
      <c r="A38814"/>
      <c r="B38814"/>
      <c r="C38814"/>
      <c r="E38814"/>
      <c r="F38814"/>
    </row>
    <row r="38815" spans="1:6" x14ac:dyDescent="0.25">
      <c r="A38815"/>
      <c r="B38815"/>
      <c r="C38815"/>
      <c r="E38815"/>
      <c r="F38815"/>
    </row>
    <row r="38816" spans="1:6" x14ac:dyDescent="0.25">
      <c r="A38816"/>
      <c r="B38816"/>
      <c r="C38816"/>
      <c r="E38816"/>
      <c r="F38816"/>
    </row>
    <row r="38817" spans="1:6" x14ac:dyDescent="0.25">
      <c r="A38817"/>
      <c r="B38817"/>
      <c r="C38817"/>
      <c r="E38817"/>
      <c r="F38817"/>
    </row>
    <row r="38818" spans="1:6" x14ac:dyDescent="0.25">
      <c r="A38818"/>
      <c r="B38818"/>
      <c r="C38818"/>
      <c r="E38818"/>
      <c r="F38818"/>
    </row>
    <row r="38819" spans="1:6" x14ac:dyDescent="0.25">
      <c r="A38819"/>
      <c r="B38819"/>
      <c r="C38819"/>
      <c r="E38819"/>
      <c r="F38819"/>
    </row>
    <row r="38820" spans="1:6" x14ac:dyDescent="0.25">
      <c r="A38820"/>
      <c r="B38820"/>
      <c r="C38820"/>
      <c r="E38820"/>
      <c r="F38820"/>
    </row>
    <row r="38821" spans="1:6" x14ac:dyDescent="0.25">
      <c r="A38821"/>
      <c r="B38821"/>
      <c r="C38821"/>
      <c r="E38821"/>
      <c r="F38821"/>
    </row>
    <row r="38822" spans="1:6" x14ac:dyDescent="0.25">
      <c r="A38822"/>
      <c r="B38822"/>
      <c r="C38822"/>
      <c r="E38822"/>
      <c r="F38822"/>
    </row>
    <row r="38823" spans="1:6" x14ac:dyDescent="0.25">
      <c r="A38823"/>
      <c r="B38823"/>
      <c r="C38823"/>
      <c r="E38823"/>
      <c r="F38823"/>
    </row>
    <row r="38824" spans="1:6" x14ac:dyDescent="0.25">
      <c r="A38824"/>
      <c r="B38824"/>
      <c r="C38824"/>
      <c r="E38824"/>
      <c r="F38824"/>
    </row>
    <row r="38825" spans="1:6" x14ac:dyDescent="0.25">
      <c r="A38825"/>
      <c r="B38825"/>
      <c r="C38825"/>
      <c r="E38825"/>
      <c r="F38825"/>
    </row>
    <row r="38826" spans="1:6" x14ac:dyDescent="0.25">
      <c r="A38826"/>
      <c r="B38826"/>
      <c r="C38826"/>
      <c r="E38826"/>
      <c r="F38826"/>
    </row>
    <row r="38827" spans="1:6" x14ac:dyDescent="0.25">
      <c r="A38827"/>
      <c r="B38827"/>
      <c r="C38827"/>
      <c r="E38827"/>
      <c r="F38827"/>
    </row>
    <row r="38828" spans="1:6" x14ac:dyDescent="0.25">
      <c r="A38828"/>
      <c r="B38828"/>
      <c r="C38828"/>
      <c r="E38828"/>
      <c r="F38828"/>
    </row>
    <row r="38829" spans="1:6" x14ac:dyDescent="0.25">
      <c r="A38829"/>
      <c r="B38829"/>
      <c r="C38829"/>
      <c r="E38829"/>
      <c r="F38829"/>
    </row>
    <row r="38830" spans="1:6" x14ac:dyDescent="0.25">
      <c r="A38830"/>
      <c r="B38830"/>
      <c r="C38830"/>
      <c r="E38830"/>
      <c r="F38830"/>
    </row>
    <row r="38831" spans="1:6" x14ac:dyDescent="0.25">
      <c r="A38831"/>
      <c r="B38831"/>
      <c r="C38831"/>
      <c r="E38831"/>
      <c r="F38831"/>
    </row>
    <row r="38832" spans="1:6" x14ac:dyDescent="0.25">
      <c r="A38832"/>
      <c r="B38832"/>
      <c r="C38832"/>
      <c r="E38832"/>
      <c r="F38832"/>
    </row>
    <row r="38833" spans="1:6" x14ac:dyDescent="0.25">
      <c r="A38833"/>
      <c r="B38833"/>
      <c r="C38833"/>
      <c r="E38833"/>
      <c r="F38833"/>
    </row>
    <row r="38834" spans="1:6" x14ac:dyDescent="0.25">
      <c r="A38834"/>
      <c r="B38834"/>
      <c r="C38834"/>
      <c r="E38834"/>
      <c r="F38834"/>
    </row>
    <row r="38835" spans="1:6" x14ac:dyDescent="0.25">
      <c r="A38835"/>
      <c r="B38835"/>
      <c r="C38835"/>
      <c r="E38835"/>
      <c r="F38835"/>
    </row>
    <row r="38836" spans="1:6" x14ac:dyDescent="0.25">
      <c r="A38836"/>
      <c r="B38836"/>
      <c r="C38836"/>
      <c r="E38836"/>
      <c r="F38836"/>
    </row>
    <row r="38837" spans="1:6" x14ac:dyDescent="0.25">
      <c r="A38837"/>
      <c r="B38837"/>
      <c r="C38837"/>
      <c r="E38837"/>
      <c r="F38837"/>
    </row>
    <row r="38838" spans="1:6" x14ac:dyDescent="0.25">
      <c r="A38838"/>
      <c r="B38838"/>
      <c r="C38838"/>
      <c r="E38838"/>
      <c r="F38838"/>
    </row>
    <row r="38839" spans="1:6" x14ac:dyDescent="0.25">
      <c r="A38839"/>
      <c r="B38839"/>
      <c r="C38839"/>
      <c r="E38839"/>
      <c r="F38839"/>
    </row>
    <row r="38840" spans="1:6" x14ac:dyDescent="0.25">
      <c r="A38840"/>
      <c r="B38840"/>
      <c r="C38840"/>
      <c r="E38840"/>
      <c r="F38840"/>
    </row>
    <row r="38841" spans="1:6" x14ac:dyDescent="0.25">
      <c r="A38841"/>
      <c r="B38841"/>
      <c r="C38841"/>
      <c r="E38841"/>
      <c r="F38841"/>
    </row>
    <row r="38842" spans="1:6" x14ac:dyDescent="0.25">
      <c r="A38842"/>
      <c r="B38842"/>
      <c r="C38842"/>
      <c r="E38842"/>
      <c r="F38842"/>
    </row>
    <row r="38843" spans="1:6" x14ac:dyDescent="0.25">
      <c r="A38843"/>
      <c r="B38843"/>
      <c r="C38843"/>
      <c r="E38843"/>
      <c r="F38843"/>
    </row>
    <row r="38844" spans="1:6" x14ac:dyDescent="0.25">
      <c r="A38844"/>
      <c r="B38844"/>
      <c r="C38844"/>
      <c r="E38844"/>
      <c r="F38844"/>
    </row>
    <row r="38845" spans="1:6" x14ac:dyDescent="0.25">
      <c r="A38845"/>
      <c r="B38845"/>
      <c r="C38845"/>
      <c r="E38845"/>
      <c r="F38845"/>
    </row>
    <row r="38846" spans="1:6" x14ac:dyDescent="0.25">
      <c r="A38846"/>
      <c r="B38846"/>
      <c r="C38846"/>
      <c r="E38846"/>
      <c r="F38846"/>
    </row>
    <row r="38847" spans="1:6" x14ac:dyDescent="0.25">
      <c r="A38847"/>
      <c r="B38847"/>
      <c r="C38847"/>
      <c r="E38847"/>
      <c r="F38847"/>
    </row>
    <row r="38848" spans="1:6" x14ac:dyDescent="0.25">
      <c r="A38848"/>
      <c r="B38848"/>
      <c r="C38848"/>
      <c r="E38848"/>
      <c r="F38848"/>
    </row>
    <row r="38849" spans="1:6" x14ac:dyDescent="0.25">
      <c r="A38849"/>
      <c r="B38849"/>
      <c r="C38849"/>
      <c r="E38849"/>
      <c r="F38849"/>
    </row>
    <row r="38850" spans="1:6" x14ac:dyDescent="0.25">
      <c r="A38850"/>
      <c r="B38850"/>
      <c r="C38850"/>
      <c r="E38850"/>
      <c r="F38850"/>
    </row>
    <row r="38851" spans="1:6" x14ac:dyDescent="0.25">
      <c r="A38851"/>
      <c r="B38851"/>
      <c r="C38851"/>
      <c r="E38851"/>
      <c r="F38851"/>
    </row>
    <row r="38852" spans="1:6" x14ac:dyDescent="0.25">
      <c r="A38852"/>
      <c r="B38852"/>
      <c r="C38852"/>
      <c r="E38852"/>
      <c r="F38852"/>
    </row>
    <row r="38853" spans="1:6" x14ac:dyDescent="0.25">
      <c r="A38853"/>
      <c r="B38853"/>
      <c r="C38853"/>
      <c r="E38853"/>
      <c r="F38853"/>
    </row>
    <row r="38854" spans="1:6" x14ac:dyDescent="0.25">
      <c r="A38854"/>
      <c r="B38854"/>
      <c r="C38854"/>
      <c r="E38854"/>
      <c r="F38854"/>
    </row>
    <row r="38855" spans="1:6" x14ac:dyDescent="0.25">
      <c r="A38855"/>
      <c r="B38855"/>
      <c r="C38855"/>
      <c r="E38855"/>
      <c r="F38855"/>
    </row>
    <row r="38856" spans="1:6" x14ac:dyDescent="0.25">
      <c r="A38856"/>
      <c r="B38856"/>
      <c r="C38856"/>
      <c r="E38856"/>
      <c r="F38856"/>
    </row>
    <row r="38857" spans="1:6" x14ac:dyDescent="0.25">
      <c r="A38857"/>
      <c r="B38857"/>
      <c r="C38857"/>
      <c r="E38857"/>
      <c r="F38857"/>
    </row>
    <row r="38858" spans="1:6" x14ac:dyDescent="0.25">
      <c r="A38858"/>
      <c r="B38858"/>
      <c r="C38858"/>
      <c r="E38858"/>
      <c r="F38858"/>
    </row>
    <row r="38859" spans="1:6" x14ac:dyDescent="0.25">
      <c r="A38859"/>
      <c r="B38859"/>
      <c r="C38859"/>
      <c r="E38859"/>
      <c r="F38859"/>
    </row>
    <row r="38860" spans="1:6" x14ac:dyDescent="0.25">
      <c r="A38860"/>
      <c r="B38860"/>
      <c r="C38860"/>
      <c r="E38860"/>
      <c r="F38860"/>
    </row>
    <row r="38861" spans="1:6" x14ac:dyDescent="0.25">
      <c r="A38861"/>
      <c r="B38861"/>
      <c r="C38861"/>
      <c r="E38861"/>
      <c r="F38861"/>
    </row>
    <row r="38862" spans="1:6" x14ac:dyDescent="0.25">
      <c r="A38862"/>
      <c r="B38862"/>
      <c r="C38862"/>
      <c r="E38862"/>
      <c r="F38862"/>
    </row>
    <row r="38863" spans="1:6" x14ac:dyDescent="0.25">
      <c r="A38863"/>
      <c r="B38863"/>
      <c r="C38863"/>
      <c r="E38863"/>
      <c r="F38863"/>
    </row>
    <row r="38864" spans="1:6" x14ac:dyDescent="0.25">
      <c r="A38864"/>
      <c r="B38864"/>
      <c r="C38864"/>
      <c r="E38864"/>
      <c r="F38864"/>
    </row>
    <row r="38865" spans="1:6" x14ac:dyDescent="0.25">
      <c r="A38865"/>
      <c r="B38865"/>
      <c r="C38865"/>
      <c r="E38865"/>
      <c r="F38865"/>
    </row>
    <row r="38866" spans="1:6" x14ac:dyDescent="0.25">
      <c r="A38866"/>
      <c r="B38866"/>
      <c r="C38866"/>
      <c r="E38866"/>
      <c r="F38866"/>
    </row>
    <row r="38867" spans="1:6" x14ac:dyDescent="0.25">
      <c r="A38867"/>
      <c r="B38867"/>
      <c r="C38867"/>
      <c r="E38867"/>
      <c r="F38867"/>
    </row>
    <row r="38868" spans="1:6" x14ac:dyDescent="0.25">
      <c r="A38868"/>
      <c r="B38868"/>
      <c r="C38868"/>
      <c r="E38868"/>
      <c r="F38868"/>
    </row>
    <row r="38869" spans="1:6" x14ac:dyDescent="0.25">
      <c r="A38869"/>
      <c r="B38869"/>
      <c r="C38869"/>
      <c r="E38869"/>
      <c r="F38869"/>
    </row>
    <row r="38870" spans="1:6" x14ac:dyDescent="0.25">
      <c r="A38870"/>
      <c r="B38870"/>
      <c r="C38870"/>
      <c r="E38870"/>
      <c r="F38870"/>
    </row>
    <row r="38871" spans="1:6" x14ac:dyDescent="0.25">
      <c r="A38871"/>
      <c r="B38871"/>
      <c r="C38871"/>
      <c r="E38871"/>
      <c r="F38871"/>
    </row>
    <row r="38872" spans="1:6" x14ac:dyDescent="0.25">
      <c r="A38872"/>
      <c r="B38872"/>
      <c r="C38872"/>
      <c r="E38872"/>
      <c r="F38872"/>
    </row>
    <row r="38873" spans="1:6" x14ac:dyDescent="0.25">
      <c r="A38873"/>
      <c r="B38873"/>
      <c r="C38873"/>
      <c r="E38873"/>
      <c r="F38873"/>
    </row>
    <row r="38874" spans="1:6" x14ac:dyDescent="0.25">
      <c r="A38874"/>
      <c r="B38874"/>
      <c r="C38874"/>
      <c r="E38874"/>
      <c r="F38874"/>
    </row>
    <row r="38875" spans="1:6" x14ac:dyDescent="0.25">
      <c r="A38875"/>
      <c r="B38875"/>
      <c r="C38875"/>
      <c r="E38875"/>
      <c r="F38875"/>
    </row>
    <row r="38876" spans="1:6" x14ac:dyDescent="0.25">
      <c r="A38876"/>
      <c r="B38876"/>
      <c r="C38876"/>
      <c r="E38876"/>
      <c r="F38876"/>
    </row>
    <row r="38877" spans="1:6" x14ac:dyDescent="0.25">
      <c r="A38877"/>
      <c r="B38877"/>
      <c r="C38877"/>
      <c r="E38877"/>
      <c r="F38877"/>
    </row>
    <row r="38878" spans="1:6" x14ac:dyDescent="0.25">
      <c r="A38878"/>
      <c r="B38878"/>
      <c r="C38878"/>
      <c r="E38878"/>
      <c r="F38878"/>
    </row>
    <row r="38879" spans="1:6" x14ac:dyDescent="0.25">
      <c r="A38879"/>
      <c r="B38879"/>
      <c r="C38879"/>
      <c r="E38879"/>
      <c r="F38879"/>
    </row>
    <row r="38880" spans="1:6" x14ac:dyDescent="0.25">
      <c r="A38880"/>
      <c r="B38880"/>
      <c r="C38880"/>
      <c r="E38880"/>
      <c r="F38880"/>
    </row>
    <row r="38881" spans="1:6" x14ac:dyDescent="0.25">
      <c r="A38881"/>
      <c r="B38881"/>
      <c r="C38881"/>
      <c r="E38881"/>
      <c r="F38881"/>
    </row>
    <row r="38882" spans="1:6" x14ac:dyDescent="0.25">
      <c r="A38882"/>
      <c r="B38882"/>
      <c r="C38882"/>
      <c r="E38882"/>
      <c r="F38882"/>
    </row>
    <row r="38883" spans="1:6" x14ac:dyDescent="0.25">
      <c r="A38883"/>
      <c r="B38883"/>
      <c r="C38883"/>
      <c r="E38883"/>
      <c r="F38883"/>
    </row>
    <row r="38884" spans="1:6" x14ac:dyDescent="0.25">
      <c r="A38884"/>
      <c r="B38884"/>
      <c r="C38884"/>
      <c r="E38884"/>
      <c r="F38884"/>
    </row>
    <row r="38885" spans="1:6" x14ac:dyDescent="0.25">
      <c r="A38885"/>
      <c r="B38885"/>
      <c r="C38885"/>
      <c r="E38885"/>
      <c r="F38885"/>
    </row>
    <row r="38886" spans="1:6" x14ac:dyDescent="0.25">
      <c r="A38886"/>
      <c r="B38886"/>
      <c r="C38886"/>
      <c r="E38886"/>
      <c r="F38886"/>
    </row>
    <row r="38887" spans="1:6" x14ac:dyDescent="0.25">
      <c r="A38887"/>
      <c r="B38887"/>
      <c r="C38887"/>
      <c r="E38887"/>
      <c r="F38887"/>
    </row>
    <row r="38888" spans="1:6" x14ac:dyDescent="0.25">
      <c r="A38888"/>
      <c r="B38888"/>
      <c r="C38888"/>
      <c r="E38888"/>
      <c r="F38888"/>
    </row>
    <row r="38889" spans="1:6" x14ac:dyDescent="0.25">
      <c r="A38889"/>
      <c r="B38889"/>
      <c r="C38889"/>
      <c r="E38889"/>
      <c r="F38889"/>
    </row>
    <row r="38890" spans="1:6" x14ac:dyDescent="0.25">
      <c r="A38890"/>
      <c r="B38890"/>
      <c r="C38890"/>
      <c r="E38890"/>
      <c r="F38890"/>
    </row>
    <row r="38891" spans="1:6" x14ac:dyDescent="0.25">
      <c r="A38891"/>
      <c r="B38891"/>
      <c r="C38891"/>
      <c r="E38891"/>
      <c r="F38891"/>
    </row>
    <row r="38892" spans="1:6" x14ac:dyDescent="0.25">
      <c r="A38892"/>
      <c r="B38892"/>
      <c r="C38892"/>
      <c r="E38892"/>
      <c r="F38892"/>
    </row>
    <row r="38893" spans="1:6" x14ac:dyDescent="0.25">
      <c r="A38893"/>
      <c r="B38893"/>
      <c r="C38893"/>
      <c r="E38893"/>
      <c r="F38893"/>
    </row>
    <row r="38894" spans="1:6" x14ac:dyDescent="0.25">
      <c r="A38894"/>
      <c r="B38894"/>
      <c r="C38894"/>
      <c r="E38894"/>
      <c r="F38894"/>
    </row>
    <row r="38895" spans="1:6" x14ac:dyDescent="0.25">
      <c r="A38895"/>
      <c r="B38895"/>
      <c r="C38895"/>
      <c r="E38895"/>
      <c r="F38895"/>
    </row>
    <row r="38896" spans="1:6" x14ac:dyDescent="0.25">
      <c r="A38896"/>
      <c r="B38896"/>
      <c r="C38896"/>
      <c r="E38896"/>
      <c r="F38896"/>
    </row>
    <row r="38897" spans="1:6" x14ac:dyDescent="0.25">
      <c r="A38897"/>
      <c r="B38897"/>
      <c r="C38897"/>
      <c r="E38897"/>
      <c r="F38897"/>
    </row>
    <row r="38898" spans="1:6" x14ac:dyDescent="0.25">
      <c r="A38898"/>
      <c r="B38898"/>
      <c r="C38898"/>
      <c r="E38898"/>
      <c r="F38898"/>
    </row>
    <row r="38899" spans="1:6" x14ac:dyDescent="0.25">
      <c r="A38899"/>
      <c r="B38899"/>
      <c r="C38899"/>
      <c r="E38899"/>
      <c r="F38899"/>
    </row>
    <row r="38900" spans="1:6" x14ac:dyDescent="0.25">
      <c r="A38900"/>
      <c r="B38900"/>
      <c r="C38900"/>
      <c r="E38900"/>
      <c r="F38900"/>
    </row>
    <row r="38901" spans="1:6" x14ac:dyDescent="0.25">
      <c r="A38901"/>
      <c r="B38901"/>
      <c r="C38901"/>
      <c r="E38901"/>
      <c r="F38901"/>
    </row>
    <row r="38902" spans="1:6" x14ac:dyDescent="0.25">
      <c r="A38902"/>
      <c r="B38902"/>
      <c r="C38902"/>
      <c r="E38902"/>
      <c r="F38902"/>
    </row>
    <row r="38903" spans="1:6" x14ac:dyDescent="0.25">
      <c r="A38903"/>
      <c r="B38903"/>
      <c r="C38903"/>
      <c r="E38903"/>
      <c r="F38903"/>
    </row>
    <row r="38904" spans="1:6" x14ac:dyDescent="0.25">
      <c r="A38904"/>
      <c r="B38904"/>
      <c r="C38904"/>
      <c r="E38904"/>
      <c r="F38904"/>
    </row>
    <row r="38905" spans="1:6" x14ac:dyDescent="0.25">
      <c r="A38905"/>
      <c r="B38905"/>
      <c r="C38905"/>
      <c r="E38905"/>
      <c r="F38905"/>
    </row>
    <row r="38906" spans="1:6" x14ac:dyDescent="0.25">
      <c r="A38906"/>
      <c r="B38906"/>
      <c r="C38906"/>
      <c r="E38906"/>
      <c r="F38906"/>
    </row>
    <row r="38907" spans="1:6" x14ac:dyDescent="0.25">
      <c r="A38907"/>
      <c r="B38907"/>
      <c r="C38907"/>
      <c r="E38907"/>
      <c r="F38907"/>
    </row>
    <row r="38908" spans="1:6" x14ac:dyDescent="0.25">
      <c r="A38908"/>
      <c r="B38908"/>
      <c r="C38908"/>
      <c r="E38908"/>
      <c r="F38908"/>
    </row>
    <row r="38909" spans="1:6" x14ac:dyDescent="0.25">
      <c r="A38909"/>
      <c r="B38909"/>
      <c r="C38909"/>
      <c r="E38909"/>
      <c r="F38909"/>
    </row>
    <row r="38910" spans="1:6" x14ac:dyDescent="0.25">
      <c r="A38910"/>
      <c r="B38910"/>
      <c r="C38910"/>
      <c r="E38910"/>
      <c r="F38910"/>
    </row>
    <row r="38911" spans="1:6" x14ac:dyDescent="0.25">
      <c r="A38911"/>
      <c r="B38911"/>
      <c r="C38911"/>
      <c r="E38911"/>
      <c r="F38911"/>
    </row>
    <row r="38912" spans="1:6" x14ac:dyDescent="0.25">
      <c r="A38912"/>
      <c r="B38912"/>
      <c r="C38912"/>
      <c r="E38912"/>
      <c r="F38912"/>
    </row>
    <row r="38913" spans="1:6" x14ac:dyDescent="0.25">
      <c r="A38913"/>
      <c r="B38913"/>
      <c r="C38913"/>
      <c r="E38913"/>
      <c r="F38913"/>
    </row>
    <row r="38914" spans="1:6" x14ac:dyDescent="0.25">
      <c r="A38914"/>
      <c r="B38914"/>
      <c r="C38914"/>
      <c r="E38914"/>
      <c r="F38914"/>
    </row>
    <row r="38915" spans="1:6" x14ac:dyDescent="0.25">
      <c r="A38915"/>
      <c r="B38915"/>
      <c r="C38915"/>
      <c r="E38915"/>
      <c r="F38915"/>
    </row>
    <row r="38916" spans="1:6" x14ac:dyDescent="0.25">
      <c r="A38916"/>
      <c r="B38916"/>
      <c r="C38916"/>
      <c r="E38916"/>
      <c r="F38916"/>
    </row>
    <row r="38917" spans="1:6" x14ac:dyDescent="0.25">
      <c r="A38917"/>
      <c r="B38917"/>
      <c r="C38917"/>
      <c r="E38917"/>
      <c r="F38917"/>
    </row>
    <row r="38918" spans="1:6" x14ac:dyDescent="0.25">
      <c r="A38918"/>
      <c r="B38918"/>
      <c r="C38918"/>
      <c r="E38918"/>
      <c r="F38918"/>
    </row>
    <row r="38919" spans="1:6" x14ac:dyDescent="0.25">
      <c r="A38919"/>
      <c r="B38919"/>
      <c r="C38919"/>
      <c r="E38919"/>
      <c r="F38919"/>
    </row>
    <row r="38920" spans="1:6" x14ac:dyDescent="0.25">
      <c r="A38920"/>
      <c r="B38920"/>
      <c r="C38920"/>
      <c r="E38920"/>
      <c r="F38920"/>
    </row>
    <row r="38921" spans="1:6" x14ac:dyDescent="0.25">
      <c r="A38921"/>
      <c r="B38921"/>
      <c r="C38921"/>
      <c r="E38921"/>
      <c r="F38921"/>
    </row>
    <row r="38922" spans="1:6" x14ac:dyDescent="0.25">
      <c r="A38922"/>
      <c r="B38922"/>
      <c r="C38922"/>
      <c r="E38922"/>
      <c r="F38922"/>
    </row>
    <row r="38923" spans="1:6" x14ac:dyDescent="0.25">
      <c r="A38923"/>
      <c r="B38923"/>
      <c r="C38923"/>
      <c r="E38923"/>
      <c r="F38923"/>
    </row>
    <row r="38924" spans="1:6" x14ac:dyDescent="0.25">
      <c r="A38924"/>
      <c r="B38924"/>
      <c r="C38924"/>
      <c r="E38924"/>
      <c r="F38924"/>
    </row>
    <row r="38925" spans="1:6" x14ac:dyDescent="0.25">
      <c r="A38925"/>
      <c r="B38925"/>
      <c r="C38925"/>
      <c r="E38925"/>
      <c r="F38925"/>
    </row>
    <row r="38926" spans="1:6" x14ac:dyDescent="0.25">
      <c r="A38926"/>
      <c r="B38926"/>
      <c r="C38926"/>
      <c r="E38926"/>
      <c r="F38926"/>
    </row>
    <row r="38927" spans="1:6" x14ac:dyDescent="0.25">
      <c r="A38927"/>
      <c r="B38927"/>
      <c r="C38927"/>
      <c r="E38927"/>
      <c r="F38927"/>
    </row>
    <row r="38928" spans="1:6" x14ac:dyDescent="0.25">
      <c r="A38928"/>
      <c r="B38928"/>
      <c r="C38928"/>
      <c r="E38928"/>
      <c r="F38928"/>
    </row>
    <row r="38929" spans="1:6" x14ac:dyDescent="0.25">
      <c r="A38929"/>
      <c r="B38929"/>
      <c r="C38929"/>
      <c r="E38929"/>
      <c r="F38929"/>
    </row>
    <row r="38930" spans="1:6" x14ac:dyDescent="0.25">
      <c r="A38930"/>
      <c r="B38930"/>
      <c r="C38930"/>
      <c r="E38930"/>
      <c r="F38930"/>
    </row>
    <row r="38931" spans="1:6" x14ac:dyDescent="0.25">
      <c r="A38931"/>
      <c r="B38931"/>
      <c r="C38931"/>
      <c r="E38931"/>
      <c r="F38931"/>
    </row>
    <row r="38932" spans="1:6" x14ac:dyDescent="0.25">
      <c r="A38932"/>
      <c r="B38932"/>
      <c r="C38932"/>
      <c r="E38932"/>
      <c r="F38932"/>
    </row>
    <row r="38933" spans="1:6" x14ac:dyDescent="0.25">
      <c r="A38933"/>
      <c r="B38933"/>
      <c r="C38933"/>
      <c r="E38933"/>
      <c r="F38933"/>
    </row>
    <row r="38934" spans="1:6" x14ac:dyDescent="0.25">
      <c r="A38934"/>
      <c r="B38934"/>
      <c r="C38934"/>
      <c r="E38934"/>
      <c r="F38934"/>
    </row>
    <row r="38935" spans="1:6" x14ac:dyDescent="0.25">
      <c r="A38935"/>
      <c r="B38935"/>
      <c r="C38935"/>
      <c r="E38935"/>
      <c r="F38935"/>
    </row>
    <row r="38936" spans="1:6" x14ac:dyDescent="0.25">
      <c r="A38936"/>
      <c r="B38936"/>
      <c r="C38936"/>
      <c r="E38936"/>
      <c r="F38936"/>
    </row>
    <row r="38937" spans="1:6" x14ac:dyDescent="0.25">
      <c r="A38937"/>
      <c r="B38937"/>
      <c r="C38937"/>
      <c r="E38937"/>
      <c r="F38937"/>
    </row>
    <row r="38938" spans="1:6" x14ac:dyDescent="0.25">
      <c r="A38938"/>
      <c r="B38938"/>
      <c r="C38938"/>
      <c r="E38938"/>
      <c r="F38938"/>
    </row>
    <row r="38939" spans="1:6" x14ac:dyDescent="0.25">
      <c r="A38939"/>
      <c r="B38939"/>
      <c r="C38939"/>
      <c r="E38939"/>
      <c r="F38939"/>
    </row>
    <row r="38940" spans="1:6" x14ac:dyDescent="0.25">
      <c r="A38940"/>
      <c r="B38940"/>
      <c r="C38940"/>
      <c r="E38940"/>
      <c r="F38940"/>
    </row>
    <row r="38941" spans="1:6" x14ac:dyDescent="0.25">
      <c r="A38941"/>
      <c r="B38941"/>
      <c r="C38941"/>
      <c r="E38941"/>
      <c r="F38941"/>
    </row>
    <row r="38942" spans="1:6" x14ac:dyDescent="0.25">
      <c r="A38942"/>
      <c r="B38942"/>
      <c r="C38942"/>
      <c r="E38942"/>
      <c r="F38942"/>
    </row>
    <row r="38943" spans="1:6" x14ac:dyDescent="0.25">
      <c r="A38943"/>
      <c r="B38943"/>
      <c r="C38943"/>
      <c r="E38943"/>
      <c r="F38943"/>
    </row>
    <row r="38944" spans="1:6" x14ac:dyDescent="0.25">
      <c r="A38944"/>
      <c r="B38944"/>
      <c r="C38944"/>
      <c r="E38944"/>
      <c r="F38944"/>
    </row>
    <row r="38945" spans="1:6" x14ac:dyDescent="0.25">
      <c r="A38945"/>
      <c r="B38945"/>
      <c r="C38945"/>
      <c r="E38945"/>
      <c r="F38945"/>
    </row>
    <row r="38946" spans="1:6" x14ac:dyDescent="0.25">
      <c r="A38946"/>
      <c r="B38946"/>
      <c r="C38946"/>
      <c r="E38946"/>
      <c r="F38946"/>
    </row>
    <row r="38947" spans="1:6" x14ac:dyDescent="0.25">
      <c r="A38947"/>
      <c r="B38947"/>
      <c r="C38947"/>
      <c r="E38947"/>
      <c r="F38947"/>
    </row>
    <row r="38948" spans="1:6" x14ac:dyDescent="0.25">
      <c r="A38948"/>
      <c r="B38948"/>
      <c r="C38948"/>
      <c r="E38948"/>
      <c r="F38948"/>
    </row>
    <row r="38949" spans="1:6" x14ac:dyDescent="0.25">
      <c r="A38949"/>
      <c r="B38949"/>
      <c r="C38949"/>
      <c r="E38949"/>
      <c r="F38949"/>
    </row>
    <row r="38950" spans="1:6" x14ac:dyDescent="0.25">
      <c r="A38950"/>
      <c r="B38950"/>
      <c r="C38950"/>
      <c r="E38950"/>
      <c r="F38950"/>
    </row>
    <row r="38951" spans="1:6" x14ac:dyDescent="0.25">
      <c r="A38951"/>
      <c r="B38951"/>
      <c r="C38951"/>
      <c r="E38951"/>
      <c r="F38951"/>
    </row>
    <row r="38952" spans="1:6" x14ac:dyDescent="0.25">
      <c r="A38952"/>
      <c r="B38952"/>
      <c r="C38952"/>
      <c r="E38952"/>
      <c r="F38952"/>
    </row>
    <row r="38953" spans="1:6" x14ac:dyDescent="0.25">
      <c r="A38953"/>
      <c r="B38953"/>
      <c r="C38953"/>
      <c r="E38953"/>
      <c r="F38953"/>
    </row>
    <row r="38954" spans="1:6" x14ac:dyDescent="0.25">
      <c r="A38954"/>
      <c r="B38954"/>
      <c r="C38954"/>
      <c r="E38954"/>
      <c r="F38954"/>
    </row>
    <row r="38955" spans="1:6" x14ac:dyDescent="0.25">
      <c r="A38955"/>
      <c r="B38955"/>
      <c r="C38955"/>
      <c r="E38955"/>
      <c r="F38955"/>
    </row>
    <row r="38956" spans="1:6" x14ac:dyDescent="0.25">
      <c r="A38956"/>
      <c r="B38956"/>
      <c r="C38956"/>
      <c r="E38956"/>
      <c r="F38956"/>
    </row>
    <row r="38957" spans="1:6" x14ac:dyDescent="0.25">
      <c r="A38957"/>
      <c r="B38957"/>
      <c r="C38957"/>
      <c r="E38957"/>
      <c r="F38957"/>
    </row>
    <row r="38958" spans="1:6" x14ac:dyDescent="0.25">
      <c r="A38958"/>
      <c r="B38958"/>
      <c r="C38958"/>
      <c r="E38958"/>
      <c r="F38958"/>
    </row>
    <row r="38959" spans="1:6" x14ac:dyDescent="0.25">
      <c r="A38959"/>
      <c r="B38959"/>
      <c r="C38959"/>
      <c r="E38959"/>
      <c r="F38959"/>
    </row>
    <row r="38960" spans="1:6" x14ac:dyDescent="0.25">
      <c r="A38960"/>
      <c r="B38960"/>
      <c r="C38960"/>
      <c r="E38960"/>
      <c r="F38960"/>
    </row>
    <row r="38961" spans="1:6" x14ac:dyDescent="0.25">
      <c r="A38961"/>
      <c r="B38961"/>
      <c r="C38961"/>
      <c r="E38961"/>
      <c r="F38961"/>
    </row>
    <row r="38962" spans="1:6" x14ac:dyDescent="0.25">
      <c r="A38962"/>
      <c r="B38962"/>
      <c r="C38962"/>
      <c r="E38962"/>
      <c r="F38962"/>
    </row>
    <row r="38963" spans="1:6" x14ac:dyDescent="0.25">
      <c r="A38963"/>
      <c r="B38963"/>
      <c r="C38963"/>
      <c r="E38963"/>
      <c r="F38963"/>
    </row>
    <row r="38964" spans="1:6" x14ac:dyDescent="0.25">
      <c r="A38964"/>
      <c r="B38964"/>
      <c r="C38964"/>
      <c r="E38964"/>
      <c r="F38964"/>
    </row>
    <row r="38965" spans="1:6" x14ac:dyDescent="0.25">
      <c r="A38965"/>
      <c r="B38965"/>
      <c r="C38965"/>
      <c r="E38965"/>
      <c r="F38965"/>
    </row>
    <row r="38966" spans="1:6" x14ac:dyDescent="0.25">
      <c r="A38966"/>
      <c r="B38966"/>
      <c r="C38966"/>
      <c r="E38966"/>
      <c r="F38966"/>
    </row>
    <row r="38967" spans="1:6" x14ac:dyDescent="0.25">
      <c r="A38967"/>
      <c r="B38967"/>
      <c r="C38967"/>
      <c r="E38967"/>
      <c r="F38967"/>
    </row>
    <row r="38968" spans="1:6" x14ac:dyDescent="0.25">
      <c r="A38968"/>
      <c r="B38968"/>
      <c r="C38968"/>
      <c r="E38968"/>
      <c r="F38968"/>
    </row>
    <row r="38969" spans="1:6" x14ac:dyDescent="0.25">
      <c r="A38969"/>
      <c r="B38969"/>
      <c r="C38969"/>
      <c r="E38969"/>
      <c r="F38969"/>
    </row>
    <row r="38970" spans="1:6" x14ac:dyDescent="0.25">
      <c r="A38970"/>
      <c r="B38970"/>
      <c r="C38970"/>
      <c r="E38970"/>
      <c r="F38970"/>
    </row>
    <row r="38971" spans="1:6" x14ac:dyDescent="0.25">
      <c r="A38971"/>
      <c r="B38971"/>
      <c r="C38971"/>
      <c r="E38971"/>
      <c r="F38971"/>
    </row>
    <row r="38972" spans="1:6" x14ac:dyDescent="0.25">
      <c r="A38972"/>
      <c r="B38972"/>
      <c r="C38972"/>
      <c r="E38972"/>
      <c r="F38972"/>
    </row>
    <row r="38973" spans="1:6" x14ac:dyDescent="0.25">
      <c r="A38973"/>
      <c r="B38973"/>
      <c r="C38973"/>
      <c r="E38973"/>
      <c r="F38973"/>
    </row>
    <row r="38974" spans="1:6" x14ac:dyDescent="0.25">
      <c r="A38974"/>
      <c r="B38974"/>
      <c r="C38974"/>
      <c r="E38974"/>
      <c r="F38974"/>
    </row>
    <row r="38975" spans="1:6" x14ac:dyDescent="0.25">
      <c r="A38975"/>
      <c r="B38975"/>
      <c r="C38975"/>
      <c r="E38975"/>
      <c r="F38975"/>
    </row>
    <row r="38976" spans="1:6" x14ac:dyDescent="0.25">
      <c r="A38976"/>
      <c r="B38976"/>
      <c r="C38976"/>
      <c r="E38976"/>
      <c r="F38976"/>
    </row>
    <row r="38977" spans="1:6" x14ac:dyDescent="0.25">
      <c r="A38977"/>
      <c r="B38977"/>
      <c r="C38977"/>
      <c r="E38977"/>
      <c r="F38977"/>
    </row>
    <row r="38978" spans="1:6" x14ac:dyDescent="0.25">
      <c r="A38978"/>
      <c r="B38978"/>
      <c r="C38978"/>
      <c r="E38978"/>
      <c r="F38978"/>
    </row>
    <row r="38979" spans="1:6" x14ac:dyDescent="0.25">
      <c r="A38979"/>
      <c r="B38979"/>
      <c r="C38979"/>
      <c r="E38979"/>
      <c r="F38979"/>
    </row>
    <row r="38980" spans="1:6" x14ac:dyDescent="0.25">
      <c r="A38980"/>
      <c r="B38980"/>
      <c r="C38980"/>
      <c r="E38980"/>
      <c r="F38980"/>
    </row>
    <row r="38981" spans="1:6" x14ac:dyDescent="0.25">
      <c r="A38981"/>
      <c r="B38981"/>
      <c r="C38981"/>
      <c r="E38981"/>
      <c r="F38981"/>
    </row>
    <row r="38982" spans="1:6" x14ac:dyDescent="0.25">
      <c r="A38982"/>
      <c r="B38982"/>
      <c r="C38982"/>
      <c r="E38982"/>
      <c r="F38982"/>
    </row>
    <row r="38983" spans="1:6" x14ac:dyDescent="0.25">
      <c r="A38983"/>
      <c r="B38983"/>
      <c r="C38983"/>
      <c r="E38983"/>
      <c r="F38983"/>
    </row>
    <row r="38984" spans="1:6" x14ac:dyDescent="0.25">
      <c r="A38984"/>
      <c r="B38984"/>
      <c r="C38984"/>
      <c r="E38984"/>
      <c r="F38984"/>
    </row>
    <row r="38985" spans="1:6" x14ac:dyDescent="0.25">
      <c r="A38985"/>
      <c r="B38985"/>
      <c r="C38985"/>
      <c r="E38985"/>
      <c r="F38985"/>
    </row>
    <row r="38986" spans="1:6" x14ac:dyDescent="0.25">
      <c r="A38986"/>
      <c r="B38986"/>
      <c r="C38986"/>
      <c r="E38986"/>
      <c r="F38986"/>
    </row>
    <row r="38987" spans="1:6" x14ac:dyDescent="0.25">
      <c r="A38987"/>
      <c r="B38987"/>
      <c r="C38987"/>
      <c r="E38987"/>
      <c r="F38987"/>
    </row>
    <row r="38988" spans="1:6" x14ac:dyDescent="0.25">
      <c r="A38988"/>
      <c r="B38988"/>
      <c r="C38988"/>
      <c r="E38988"/>
      <c r="F38988"/>
    </row>
    <row r="38989" spans="1:6" x14ac:dyDescent="0.25">
      <c r="A38989"/>
      <c r="B38989"/>
      <c r="C38989"/>
      <c r="E38989"/>
      <c r="F38989"/>
    </row>
    <row r="38990" spans="1:6" x14ac:dyDescent="0.25">
      <c r="A38990"/>
      <c r="B38990"/>
      <c r="C38990"/>
      <c r="E38990"/>
      <c r="F38990"/>
    </row>
    <row r="38991" spans="1:6" x14ac:dyDescent="0.25">
      <c r="A38991"/>
      <c r="B38991"/>
      <c r="C38991"/>
      <c r="E38991"/>
      <c r="F38991"/>
    </row>
    <row r="38992" spans="1:6" x14ac:dyDescent="0.25">
      <c r="A38992"/>
      <c r="B38992"/>
      <c r="C38992"/>
      <c r="E38992"/>
      <c r="F38992"/>
    </row>
    <row r="38993" spans="1:6" x14ac:dyDescent="0.25">
      <c r="A38993"/>
      <c r="B38993"/>
      <c r="C38993"/>
      <c r="E38993"/>
      <c r="F38993"/>
    </row>
    <row r="38994" spans="1:6" x14ac:dyDescent="0.25">
      <c r="A38994"/>
      <c r="B38994"/>
      <c r="C38994"/>
      <c r="E38994"/>
      <c r="F38994"/>
    </row>
    <row r="38995" spans="1:6" x14ac:dyDescent="0.25">
      <c r="A38995"/>
      <c r="B38995"/>
      <c r="C38995"/>
      <c r="E38995"/>
      <c r="F38995"/>
    </row>
    <row r="38996" spans="1:6" x14ac:dyDescent="0.25">
      <c r="A38996"/>
      <c r="B38996"/>
      <c r="C38996"/>
      <c r="E38996"/>
      <c r="F38996"/>
    </row>
    <row r="38997" spans="1:6" x14ac:dyDescent="0.25">
      <c r="A38997"/>
      <c r="B38997"/>
      <c r="C38997"/>
      <c r="E38997"/>
      <c r="F38997"/>
    </row>
    <row r="38998" spans="1:6" x14ac:dyDescent="0.25">
      <c r="A38998"/>
      <c r="B38998"/>
      <c r="C38998"/>
      <c r="E38998"/>
      <c r="F38998"/>
    </row>
    <row r="38999" spans="1:6" x14ac:dyDescent="0.25">
      <c r="A38999"/>
      <c r="B38999"/>
      <c r="C38999"/>
      <c r="E38999"/>
      <c r="F38999"/>
    </row>
    <row r="39000" spans="1:6" x14ac:dyDescent="0.25">
      <c r="A39000"/>
      <c r="B39000"/>
      <c r="C39000"/>
      <c r="E39000"/>
      <c r="F39000"/>
    </row>
    <row r="39001" spans="1:6" x14ac:dyDescent="0.25">
      <c r="A39001"/>
      <c r="B39001"/>
      <c r="C39001"/>
      <c r="E39001"/>
      <c r="F39001"/>
    </row>
    <row r="39002" spans="1:6" x14ac:dyDescent="0.25">
      <c r="A39002"/>
      <c r="B39002"/>
      <c r="C39002"/>
      <c r="E39002"/>
      <c r="F39002"/>
    </row>
    <row r="39003" spans="1:6" x14ac:dyDescent="0.25">
      <c r="A39003"/>
      <c r="B39003"/>
      <c r="C39003"/>
      <c r="E39003"/>
      <c r="F39003"/>
    </row>
    <row r="39004" spans="1:6" x14ac:dyDescent="0.25">
      <c r="A39004"/>
      <c r="B39004"/>
      <c r="C39004"/>
      <c r="E39004"/>
      <c r="F39004"/>
    </row>
    <row r="39005" spans="1:6" x14ac:dyDescent="0.25">
      <c r="A39005"/>
      <c r="B39005"/>
      <c r="C39005"/>
      <c r="E39005"/>
      <c r="F39005"/>
    </row>
    <row r="39006" spans="1:6" x14ac:dyDescent="0.25">
      <c r="A39006"/>
      <c r="B39006"/>
      <c r="C39006"/>
      <c r="E39006"/>
      <c r="F39006"/>
    </row>
    <row r="39007" spans="1:6" x14ac:dyDescent="0.25">
      <c r="A39007"/>
      <c r="B39007"/>
      <c r="C39007"/>
      <c r="E39007"/>
      <c r="F39007"/>
    </row>
    <row r="39008" spans="1:6" x14ac:dyDescent="0.25">
      <c r="A39008"/>
      <c r="B39008"/>
      <c r="C39008"/>
      <c r="E39008"/>
      <c r="F39008"/>
    </row>
    <row r="39009" spans="1:6" x14ac:dyDescent="0.25">
      <c r="A39009"/>
      <c r="B39009"/>
      <c r="C39009"/>
      <c r="E39009"/>
      <c r="F39009"/>
    </row>
    <row r="39010" spans="1:6" x14ac:dyDescent="0.25">
      <c r="A39010"/>
      <c r="B39010"/>
      <c r="C39010"/>
      <c r="E39010"/>
      <c r="F39010"/>
    </row>
    <row r="39011" spans="1:6" x14ac:dyDescent="0.25">
      <c r="A39011"/>
      <c r="B39011"/>
      <c r="C39011"/>
      <c r="E39011"/>
      <c r="F39011"/>
    </row>
    <row r="39012" spans="1:6" x14ac:dyDescent="0.25">
      <c r="A39012"/>
      <c r="B39012"/>
      <c r="C39012"/>
      <c r="E39012"/>
      <c r="F39012"/>
    </row>
    <row r="39013" spans="1:6" x14ac:dyDescent="0.25">
      <c r="A39013"/>
      <c r="B39013"/>
      <c r="C39013"/>
      <c r="E39013"/>
      <c r="F39013"/>
    </row>
    <row r="39014" spans="1:6" x14ac:dyDescent="0.25">
      <c r="A39014"/>
      <c r="B39014"/>
      <c r="C39014"/>
      <c r="E39014"/>
      <c r="F39014"/>
    </row>
    <row r="39015" spans="1:6" x14ac:dyDescent="0.25">
      <c r="A39015"/>
      <c r="B39015"/>
      <c r="C39015"/>
      <c r="E39015"/>
      <c r="F39015"/>
    </row>
    <row r="39016" spans="1:6" x14ac:dyDescent="0.25">
      <c r="A39016"/>
      <c r="B39016"/>
      <c r="C39016"/>
      <c r="E39016"/>
      <c r="F39016"/>
    </row>
    <row r="39017" spans="1:6" x14ac:dyDescent="0.25">
      <c r="A39017"/>
      <c r="B39017"/>
      <c r="C39017"/>
      <c r="E39017"/>
      <c r="F39017"/>
    </row>
    <row r="39018" spans="1:6" x14ac:dyDescent="0.25">
      <c r="A39018"/>
      <c r="B39018"/>
      <c r="C39018"/>
      <c r="E39018"/>
      <c r="F39018"/>
    </row>
    <row r="39019" spans="1:6" x14ac:dyDescent="0.25">
      <c r="A39019"/>
      <c r="B39019"/>
      <c r="C39019"/>
      <c r="E39019"/>
      <c r="F39019"/>
    </row>
    <row r="39020" spans="1:6" x14ac:dyDescent="0.25">
      <c r="A39020"/>
      <c r="B39020"/>
      <c r="C39020"/>
      <c r="E39020"/>
      <c r="F39020"/>
    </row>
    <row r="39021" spans="1:6" x14ac:dyDescent="0.25">
      <c r="A39021"/>
      <c r="B39021"/>
      <c r="C39021"/>
      <c r="E39021"/>
      <c r="F39021"/>
    </row>
    <row r="39022" spans="1:6" x14ac:dyDescent="0.25">
      <c r="A39022"/>
      <c r="B39022"/>
      <c r="C39022"/>
      <c r="E39022"/>
      <c r="F39022"/>
    </row>
    <row r="39023" spans="1:6" x14ac:dyDescent="0.25">
      <c r="A39023"/>
      <c r="B39023"/>
      <c r="C39023"/>
      <c r="E39023"/>
      <c r="F39023"/>
    </row>
    <row r="39024" spans="1:6" x14ac:dyDescent="0.25">
      <c r="A39024"/>
      <c r="B39024"/>
      <c r="C39024"/>
      <c r="E39024"/>
      <c r="F39024"/>
    </row>
    <row r="39025" spans="1:6" x14ac:dyDescent="0.25">
      <c r="A39025"/>
      <c r="B39025"/>
      <c r="C39025"/>
      <c r="E39025"/>
      <c r="F39025"/>
    </row>
    <row r="39026" spans="1:6" x14ac:dyDescent="0.25">
      <c r="A39026"/>
      <c r="B39026"/>
      <c r="C39026"/>
      <c r="E39026"/>
      <c r="F39026"/>
    </row>
    <row r="39027" spans="1:6" x14ac:dyDescent="0.25">
      <c r="A39027"/>
      <c r="B39027"/>
      <c r="C39027"/>
      <c r="E39027"/>
      <c r="F39027"/>
    </row>
    <row r="39028" spans="1:6" x14ac:dyDescent="0.25">
      <c r="A39028"/>
      <c r="B39028"/>
      <c r="C39028"/>
      <c r="E39028"/>
      <c r="F39028"/>
    </row>
    <row r="39029" spans="1:6" x14ac:dyDescent="0.25">
      <c r="A39029"/>
      <c r="B39029"/>
      <c r="C39029"/>
      <c r="E39029"/>
      <c r="F39029"/>
    </row>
    <row r="39030" spans="1:6" x14ac:dyDescent="0.25">
      <c r="A39030"/>
      <c r="B39030"/>
      <c r="C39030"/>
      <c r="E39030"/>
      <c r="F39030"/>
    </row>
    <row r="39031" spans="1:6" x14ac:dyDescent="0.25">
      <c r="A39031"/>
      <c r="B39031"/>
      <c r="C39031"/>
      <c r="E39031"/>
      <c r="F39031"/>
    </row>
    <row r="39032" spans="1:6" x14ac:dyDescent="0.25">
      <c r="A39032"/>
      <c r="B39032"/>
      <c r="C39032"/>
      <c r="E39032"/>
      <c r="F39032"/>
    </row>
    <row r="39033" spans="1:6" x14ac:dyDescent="0.25">
      <c r="A39033"/>
      <c r="B39033"/>
      <c r="C39033"/>
      <c r="E39033"/>
      <c r="F39033"/>
    </row>
    <row r="39034" spans="1:6" x14ac:dyDescent="0.25">
      <c r="A39034"/>
      <c r="B39034"/>
      <c r="C39034"/>
      <c r="E39034"/>
      <c r="F39034"/>
    </row>
    <row r="39035" spans="1:6" x14ac:dyDescent="0.25">
      <c r="A39035"/>
      <c r="B39035"/>
      <c r="C39035"/>
      <c r="E39035"/>
      <c r="F39035"/>
    </row>
    <row r="39036" spans="1:6" x14ac:dyDescent="0.25">
      <c r="A39036"/>
      <c r="B39036"/>
      <c r="C39036"/>
      <c r="E39036"/>
      <c r="F39036"/>
    </row>
    <row r="39037" spans="1:6" x14ac:dyDescent="0.25">
      <c r="A39037"/>
      <c r="B39037"/>
      <c r="C39037"/>
      <c r="E39037"/>
      <c r="F39037"/>
    </row>
    <row r="39038" spans="1:6" x14ac:dyDescent="0.25">
      <c r="A39038"/>
      <c r="B39038"/>
      <c r="C39038"/>
      <c r="E39038"/>
      <c r="F39038"/>
    </row>
    <row r="39039" spans="1:6" x14ac:dyDescent="0.25">
      <c r="A39039"/>
      <c r="B39039"/>
      <c r="C39039"/>
      <c r="E39039"/>
      <c r="F39039"/>
    </row>
    <row r="39040" spans="1:6" x14ac:dyDescent="0.25">
      <c r="A39040"/>
      <c r="B39040"/>
      <c r="C39040"/>
      <c r="E39040"/>
      <c r="F39040"/>
    </row>
    <row r="39041" spans="1:6" x14ac:dyDescent="0.25">
      <c r="A39041"/>
      <c r="B39041"/>
      <c r="C39041"/>
      <c r="E39041"/>
      <c r="F39041"/>
    </row>
    <row r="39042" spans="1:6" x14ac:dyDescent="0.25">
      <c r="A39042"/>
      <c r="B39042"/>
      <c r="C39042"/>
      <c r="E39042"/>
      <c r="F39042"/>
    </row>
    <row r="39043" spans="1:6" x14ac:dyDescent="0.25">
      <c r="A39043"/>
      <c r="B39043"/>
      <c r="C39043"/>
      <c r="E39043"/>
      <c r="F39043"/>
    </row>
    <row r="39044" spans="1:6" x14ac:dyDescent="0.25">
      <c r="A39044"/>
      <c r="B39044"/>
      <c r="C39044"/>
      <c r="E39044"/>
      <c r="F39044"/>
    </row>
    <row r="39045" spans="1:6" x14ac:dyDescent="0.25">
      <c r="A39045"/>
      <c r="B39045"/>
      <c r="C39045"/>
      <c r="E39045"/>
      <c r="F39045"/>
    </row>
    <row r="39046" spans="1:6" x14ac:dyDescent="0.25">
      <c r="A39046"/>
      <c r="B39046"/>
      <c r="C39046"/>
      <c r="E39046"/>
      <c r="F39046"/>
    </row>
    <row r="39047" spans="1:6" x14ac:dyDescent="0.25">
      <c r="A39047"/>
      <c r="B39047"/>
      <c r="C39047"/>
      <c r="E39047"/>
      <c r="F39047"/>
    </row>
    <row r="39048" spans="1:6" x14ac:dyDescent="0.25">
      <c r="A39048"/>
      <c r="B39048"/>
      <c r="C39048"/>
      <c r="E39048"/>
      <c r="F39048"/>
    </row>
    <row r="39049" spans="1:6" x14ac:dyDescent="0.25">
      <c r="A39049"/>
      <c r="B39049"/>
      <c r="C39049"/>
      <c r="E39049"/>
      <c r="F39049"/>
    </row>
    <row r="39050" spans="1:6" x14ac:dyDescent="0.25">
      <c r="A39050"/>
      <c r="B39050"/>
      <c r="C39050"/>
      <c r="E39050"/>
      <c r="F39050"/>
    </row>
    <row r="39051" spans="1:6" x14ac:dyDescent="0.25">
      <c r="A39051"/>
      <c r="B39051"/>
      <c r="C39051"/>
      <c r="E39051"/>
      <c r="F39051"/>
    </row>
    <row r="39052" spans="1:6" x14ac:dyDescent="0.25">
      <c r="A39052"/>
      <c r="B39052"/>
      <c r="C39052"/>
      <c r="E39052"/>
      <c r="F39052"/>
    </row>
    <row r="39053" spans="1:6" x14ac:dyDescent="0.25">
      <c r="A39053"/>
      <c r="B39053"/>
      <c r="C39053"/>
      <c r="E39053"/>
      <c r="F39053"/>
    </row>
    <row r="39054" spans="1:6" x14ac:dyDescent="0.25">
      <c r="A39054"/>
      <c r="B39054"/>
      <c r="C39054"/>
      <c r="E39054"/>
      <c r="F39054"/>
    </row>
    <row r="39055" spans="1:6" x14ac:dyDescent="0.25">
      <c r="A39055"/>
      <c r="B39055"/>
      <c r="C39055"/>
      <c r="E39055"/>
      <c r="F39055"/>
    </row>
    <row r="39056" spans="1:6" x14ac:dyDescent="0.25">
      <c r="A39056"/>
      <c r="B39056"/>
      <c r="C39056"/>
      <c r="E39056"/>
      <c r="F39056"/>
    </row>
    <row r="39057" spans="1:6" x14ac:dyDescent="0.25">
      <c r="A39057"/>
      <c r="B39057"/>
      <c r="C39057"/>
      <c r="E39057"/>
      <c r="F39057"/>
    </row>
    <row r="39058" spans="1:6" x14ac:dyDescent="0.25">
      <c r="A39058"/>
      <c r="B39058"/>
      <c r="C39058"/>
      <c r="E39058"/>
      <c r="F39058"/>
    </row>
    <row r="39059" spans="1:6" x14ac:dyDescent="0.25">
      <c r="A39059"/>
      <c r="B39059"/>
      <c r="C39059"/>
      <c r="E39059"/>
      <c r="F39059"/>
    </row>
    <row r="39060" spans="1:6" x14ac:dyDescent="0.25">
      <c r="A39060"/>
      <c r="B39060"/>
      <c r="C39060"/>
      <c r="E39060"/>
      <c r="F39060"/>
    </row>
    <row r="39061" spans="1:6" x14ac:dyDescent="0.25">
      <c r="A39061"/>
      <c r="B39061"/>
      <c r="C39061"/>
      <c r="E39061"/>
      <c r="F39061"/>
    </row>
    <row r="39062" spans="1:6" x14ac:dyDescent="0.25">
      <c r="A39062"/>
      <c r="B39062"/>
      <c r="C39062"/>
      <c r="E39062"/>
      <c r="F39062"/>
    </row>
    <row r="39063" spans="1:6" x14ac:dyDescent="0.25">
      <c r="A39063"/>
      <c r="B39063"/>
      <c r="C39063"/>
      <c r="E39063"/>
      <c r="F39063"/>
    </row>
    <row r="39064" spans="1:6" x14ac:dyDescent="0.25">
      <c r="A39064"/>
      <c r="B39064"/>
      <c r="C39064"/>
      <c r="E39064"/>
      <c r="F39064"/>
    </row>
    <row r="39065" spans="1:6" x14ac:dyDescent="0.25">
      <c r="A39065"/>
      <c r="B39065"/>
      <c r="C39065"/>
      <c r="E39065"/>
      <c r="F39065"/>
    </row>
    <row r="39066" spans="1:6" x14ac:dyDescent="0.25">
      <c r="A39066"/>
      <c r="B39066"/>
      <c r="C39066"/>
      <c r="E39066"/>
      <c r="F39066"/>
    </row>
    <row r="39067" spans="1:6" x14ac:dyDescent="0.25">
      <c r="A39067"/>
      <c r="B39067"/>
      <c r="C39067"/>
      <c r="E39067"/>
      <c r="F39067"/>
    </row>
    <row r="39068" spans="1:6" x14ac:dyDescent="0.25">
      <c r="A39068"/>
      <c r="B39068"/>
      <c r="C39068"/>
      <c r="E39068"/>
      <c r="F39068"/>
    </row>
    <row r="39069" spans="1:6" x14ac:dyDescent="0.25">
      <c r="A39069"/>
      <c r="B39069"/>
      <c r="C39069"/>
      <c r="E39069"/>
      <c r="F39069"/>
    </row>
    <row r="39070" spans="1:6" x14ac:dyDescent="0.25">
      <c r="A39070"/>
      <c r="B39070"/>
      <c r="C39070"/>
      <c r="E39070"/>
      <c r="F39070"/>
    </row>
    <row r="39071" spans="1:6" x14ac:dyDescent="0.25">
      <c r="A39071"/>
      <c r="B39071"/>
      <c r="C39071"/>
      <c r="E39071"/>
      <c r="F39071"/>
    </row>
    <row r="39072" spans="1:6" x14ac:dyDescent="0.25">
      <c r="A39072"/>
      <c r="B39072"/>
      <c r="C39072"/>
      <c r="E39072"/>
      <c r="F39072"/>
    </row>
    <row r="39073" spans="1:6" x14ac:dyDescent="0.25">
      <c r="A39073"/>
      <c r="B39073"/>
      <c r="C39073"/>
      <c r="E39073"/>
      <c r="F39073"/>
    </row>
    <row r="39074" spans="1:6" x14ac:dyDescent="0.25">
      <c r="A39074"/>
      <c r="B39074"/>
      <c r="C39074"/>
      <c r="E39074"/>
      <c r="F39074"/>
    </row>
    <row r="39075" spans="1:6" x14ac:dyDescent="0.25">
      <c r="A39075"/>
      <c r="B39075"/>
      <c r="C39075"/>
      <c r="E39075"/>
      <c r="F39075"/>
    </row>
    <row r="39076" spans="1:6" x14ac:dyDescent="0.25">
      <c r="A39076"/>
      <c r="B39076"/>
      <c r="C39076"/>
      <c r="E39076"/>
      <c r="F39076"/>
    </row>
    <row r="39077" spans="1:6" x14ac:dyDescent="0.25">
      <c r="A39077"/>
      <c r="B39077"/>
      <c r="C39077"/>
      <c r="E39077"/>
      <c r="F39077"/>
    </row>
    <row r="39078" spans="1:6" x14ac:dyDescent="0.25">
      <c r="A39078"/>
      <c r="B39078"/>
      <c r="C39078"/>
      <c r="E39078"/>
      <c r="F39078"/>
    </row>
    <row r="39079" spans="1:6" x14ac:dyDescent="0.25">
      <c r="A39079"/>
      <c r="B39079"/>
      <c r="C39079"/>
      <c r="E39079"/>
      <c r="F39079"/>
    </row>
    <row r="39080" spans="1:6" x14ac:dyDescent="0.25">
      <c r="A39080"/>
      <c r="B39080"/>
      <c r="C39080"/>
      <c r="E39080"/>
      <c r="F39080"/>
    </row>
    <row r="39081" spans="1:6" x14ac:dyDescent="0.25">
      <c r="A39081"/>
      <c r="B39081"/>
      <c r="C39081"/>
      <c r="E39081"/>
      <c r="F39081"/>
    </row>
    <row r="39082" spans="1:6" x14ac:dyDescent="0.25">
      <c r="A39082"/>
      <c r="B39082"/>
      <c r="C39082"/>
      <c r="E39082"/>
      <c r="F39082"/>
    </row>
    <row r="39083" spans="1:6" x14ac:dyDescent="0.25">
      <c r="A39083"/>
      <c r="B39083"/>
      <c r="C39083"/>
      <c r="E39083"/>
      <c r="F39083"/>
    </row>
    <row r="39084" spans="1:6" x14ac:dyDescent="0.25">
      <c r="A39084"/>
      <c r="B39084"/>
      <c r="C39084"/>
      <c r="E39084"/>
      <c r="F39084"/>
    </row>
    <row r="39085" spans="1:6" x14ac:dyDescent="0.25">
      <c r="A39085"/>
      <c r="B39085"/>
      <c r="C39085"/>
      <c r="E39085"/>
      <c r="F39085"/>
    </row>
    <row r="39086" spans="1:6" x14ac:dyDescent="0.25">
      <c r="A39086"/>
      <c r="B39086"/>
      <c r="C39086"/>
      <c r="E39086"/>
      <c r="F39086"/>
    </row>
    <row r="39087" spans="1:6" x14ac:dyDescent="0.25">
      <c r="A39087"/>
      <c r="B39087"/>
      <c r="C39087"/>
      <c r="E39087"/>
      <c r="F39087"/>
    </row>
    <row r="39088" spans="1:6" x14ac:dyDescent="0.25">
      <c r="A39088"/>
      <c r="B39088"/>
      <c r="C39088"/>
      <c r="E39088"/>
      <c r="F39088"/>
    </row>
    <row r="39089" spans="1:6" x14ac:dyDescent="0.25">
      <c r="A39089"/>
      <c r="B39089"/>
      <c r="C39089"/>
      <c r="E39089"/>
      <c r="F39089"/>
    </row>
    <row r="39090" spans="1:6" x14ac:dyDescent="0.25">
      <c r="A39090"/>
      <c r="B39090"/>
      <c r="C39090"/>
      <c r="E39090"/>
      <c r="F39090"/>
    </row>
    <row r="39091" spans="1:6" x14ac:dyDescent="0.25">
      <c r="A39091"/>
      <c r="B39091"/>
      <c r="C39091"/>
      <c r="E39091"/>
      <c r="F39091"/>
    </row>
    <row r="39092" spans="1:6" x14ac:dyDescent="0.25">
      <c r="A39092"/>
      <c r="B39092"/>
      <c r="C39092"/>
      <c r="E39092"/>
      <c r="F39092"/>
    </row>
    <row r="39093" spans="1:6" x14ac:dyDescent="0.25">
      <c r="A39093"/>
      <c r="B39093"/>
      <c r="C39093"/>
      <c r="E39093"/>
      <c r="F39093"/>
    </row>
    <row r="39094" spans="1:6" x14ac:dyDescent="0.25">
      <c r="A39094"/>
      <c r="B39094"/>
      <c r="C39094"/>
      <c r="E39094"/>
      <c r="F39094"/>
    </row>
    <row r="39095" spans="1:6" x14ac:dyDescent="0.25">
      <c r="A39095"/>
      <c r="B39095"/>
      <c r="C39095"/>
      <c r="E39095"/>
      <c r="F39095"/>
    </row>
    <row r="39096" spans="1:6" x14ac:dyDescent="0.25">
      <c r="A39096"/>
      <c r="B39096"/>
      <c r="C39096"/>
      <c r="E39096"/>
      <c r="F39096"/>
    </row>
    <row r="39097" spans="1:6" x14ac:dyDescent="0.25">
      <c r="A39097"/>
      <c r="B39097"/>
      <c r="C39097"/>
      <c r="E39097"/>
      <c r="F39097"/>
    </row>
    <row r="39098" spans="1:6" x14ac:dyDescent="0.25">
      <c r="A39098"/>
      <c r="B39098"/>
      <c r="C39098"/>
      <c r="E39098"/>
      <c r="F39098"/>
    </row>
    <row r="39099" spans="1:6" x14ac:dyDescent="0.25">
      <c r="A39099"/>
      <c r="B39099"/>
      <c r="C39099"/>
      <c r="E39099"/>
      <c r="F39099"/>
    </row>
    <row r="39100" spans="1:6" x14ac:dyDescent="0.25">
      <c r="A39100"/>
      <c r="B39100"/>
      <c r="C39100"/>
      <c r="E39100"/>
      <c r="F39100"/>
    </row>
    <row r="39101" spans="1:6" x14ac:dyDescent="0.25">
      <c r="A39101"/>
      <c r="B39101"/>
      <c r="C39101"/>
      <c r="E39101"/>
      <c r="F39101"/>
    </row>
    <row r="39102" spans="1:6" x14ac:dyDescent="0.25">
      <c r="A39102"/>
      <c r="B39102"/>
      <c r="C39102"/>
      <c r="E39102"/>
      <c r="F39102"/>
    </row>
    <row r="39103" spans="1:6" x14ac:dyDescent="0.25">
      <c r="A39103"/>
      <c r="B39103"/>
      <c r="C39103"/>
      <c r="E39103"/>
      <c r="F39103"/>
    </row>
    <row r="39104" spans="1:6" x14ac:dyDescent="0.25">
      <c r="A39104"/>
      <c r="B39104"/>
      <c r="C39104"/>
      <c r="E39104"/>
      <c r="F39104"/>
    </row>
    <row r="39105" spans="1:6" x14ac:dyDescent="0.25">
      <c r="A39105"/>
      <c r="B39105"/>
      <c r="C39105"/>
      <c r="E39105"/>
      <c r="F39105"/>
    </row>
    <row r="39106" spans="1:6" x14ac:dyDescent="0.25">
      <c r="A39106"/>
      <c r="B39106"/>
      <c r="C39106"/>
      <c r="E39106"/>
      <c r="F39106"/>
    </row>
    <row r="39107" spans="1:6" x14ac:dyDescent="0.25">
      <c r="A39107"/>
      <c r="B39107"/>
      <c r="C39107"/>
      <c r="E39107"/>
      <c r="F39107"/>
    </row>
    <row r="39108" spans="1:6" x14ac:dyDescent="0.25">
      <c r="A39108"/>
      <c r="B39108"/>
      <c r="C39108"/>
      <c r="E39108"/>
      <c r="F39108"/>
    </row>
    <row r="39109" spans="1:6" x14ac:dyDescent="0.25">
      <c r="A39109"/>
      <c r="B39109"/>
      <c r="C39109"/>
      <c r="E39109"/>
      <c r="F39109"/>
    </row>
    <row r="39110" spans="1:6" x14ac:dyDescent="0.25">
      <c r="A39110"/>
      <c r="B39110"/>
      <c r="C39110"/>
      <c r="E39110"/>
      <c r="F39110"/>
    </row>
    <row r="39111" spans="1:6" x14ac:dyDescent="0.25">
      <c r="A39111"/>
      <c r="B39111"/>
      <c r="C39111"/>
      <c r="E39111"/>
      <c r="F39111"/>
    </row>
    <row r="39112" spans="1:6" x14ac:dyDescent="0.25">
      <c r="A39112"/>
      <c r="B39112"/>
      <c r="C39112"/>
      <c r="E39112"/>
      <c r="F39112"/>
    </row>
    <row r="39113" spans="1:6" x14ac:dyDescent="0.25">
      <c r="A39113"/>
      <c r="B39113"/>
      <c r="C39113"/>
      <c r="E39113"/>
      <c r="F39113"/>
    </row>
    <row r="39114" spans="1:6" x14ac:dyDescent="0.25">
      <c r="A39114"/>
      <c r="B39114"/>
      <c r="C39114"/>
      <c r="E39114"/>
      <c r="F39114"/>
    </row>
    <row r="39115" spans="1:6" x14ac:dyDescent="0.25">
      <c r="A39115"/>
      <c r="B39115"/>
      <c r="C39115"/>
      <c r="E39115"/>
      <c r="F39115"/>
    </row>
    <row r="39116" spans="1:6" x14ac:dyDescent="0.25">
      <c r="A39116"/>
      <c r="B39116"/>
      <c r="C39116"/>
      <c r="E39116"/>
      <c r="F39116"/>
    </row>
    <row r="39117" spans="1:6" x14ac:dyDescent="0.25">
      <c r="A39117"/>
      <c r="B39117"/>
      <c r="C39117"/>
      <c r="E39117"/>
      <c r="F39117"/>
    </row>
    <row r="39118" spans="1:6" x14ac:dyDescent="0.25">
      <c r="A39118"/>
      <c r="B39118"/>
      <c r="C39118"/>
      <c r="E39118"/>
      <c r="F39118"/>
    </row>
    <row r="39119" spans="1:6" x14ac:dyDescent="0.25">
      <c r="A39119"/>
      <c r="B39119"/>
      <c r="C39119"/>
      <c r="E39119"/>
      <c r="F39119"/>
    </row>
    <row r="39120" spans="1:6" x14ac:dyDescent="0.25">
      <c r="A39120"/>
      <c r="B39120"/>
      <c r="C39120"/>
      <c r="E39120"/>
      <c r="F39120"/>
    </row>
    <row r="39121" spans="1:6" x14ac:dyDescent="0.25">
      <c r="A39121"/>
      <c r="B39121"/>
      <c r="C39121"/>
      <c r="E39121"/>
      <c r="F39121"/>
    </row>
    <row r="39122" spans="1:6" x14ac:dyDescent="0.25">
      <c r="A39122"/>
      <c r="B39122"/>
      <c r="C39122"/>
      <c r="E39122"/>
      <c r="F39122"/>
    </row>
    <row r="39123" spans="1:6" x14ac:dyDescent="0.25">
      <c r="A39123"/>
      <c r="B39123"/>
      <c r="C39123"/>
      <c r="E39123"/>
      <c r="F39123"/>
    </row>
    <row r="39124" spans="1:6" x14ac:dyDescent="0.25">
      <c r="A39124"/>
      <c r="B39124"/>
      <c r="C39124"/>
      <c r="E39124"/>
      <c r="F39124"/>
    </row>
    <row r="39125" spans="1:6" x14ac:dyDescent="0.25">
      <c r="A39125"/>
      <c r="B39125"/>
      <c r="C39125"/>
      <c r="E39125"/>
      <c r="F39125"/>
    </row>
    <row r="39126" spans="1:6" x14ac:dyDescent="0.25">
      <c r="A39126"/>
      <c r="B39126"/>
      <c r="C39126"/>
      <c r="E39126"/>
      <c r="F39126"/>
    </row>
    <row r="39127" spans="1:6" x14ac:dyDescent="0.25">
      <c r="A39127"/>
      <c r="B39127"/>
      <c r="C39127"/>
      <c r="E39127"/>
      <c r="F39127"/>
    </row>
    <row r="39128" spans="1:6" x14ac:dyDescent="0.25">
      <c r="A39128"/>
      <c r="B39128"/>
      <c r="C39128"/>
      <c r="E39128"/>
      <c r="F39128"/>
    </row>
    <row r="39129" spans="1:6" x14ac:dyDescent="0.25">
      <c r="A39129"/>
      <c r="B39129"/>
      <c r="C39129"/>
      <c r="E39129"/>
      <c r="F39129"/>
    </row>
    <row r="39130" spans="1:6" x14ac:dyDescent="0.25">
      <c r="A39130"/>
      <c r="B39130"/>
      <c r="C39130"/>
      <c r="E39130"/>
      <c r="F39130"/>
    </row>
    <row r="39131" spans="1:6" x14ac:dyDescent="0.25">
      <c r="A39131"/>
      <c r="B39131"/>
      <c r="C39131"/>
      <c r="E39131"/>
      <c r="F39131"/>
    </row>
    <row r="39132" spans="1:6" x14ac:dyDescent="0.25">
      <c r="A39132"/>
      <c r="B39132"/>
      <c r="C39132"/>
      <c r="E39132"/>
      <c r="F39132"/>
    </row>
    <row r="39133" spans="1:6" x14ac:dyDescent="0.25">
      <c r="A39133"/>
      <c r="B39133"/>
      <c r="C39133"/>
      <c r="E39133"/>
      <c r="F39133"/>
    </row>
    <row r="39134" spans="1:6" x14ac:dyDescent="0.25">
      <c r="A39134"/>
      <c r="B39134"/>
      <c r="C39134"/>
      <c r="E39134"/>
      <c r="F39134"/>
    </row>
    <row r="39135" spans="1:6" x14ac:dyDescent="0.25">
      <c r="A39135"/>
      <c r="B39135"/>
      <c r="C39135"/>
      <c r="E39135"/>
      <c r="F39135"/>
    </row>
    <row r="39136" spans="1:6" x14ac:dyDescent="0.25">
      <c r="A39136"/>
      <c r="B39136"/>
      <c r="C39136"/>
      <c r="E39136"/>
      <c r="F39136"/>
    </row>
    <row r="39137" spans="1:6" x14ac:dyDescent="0.25">
      <c r="A39137"/>
      <c r="B39137"/>
      <c r="C39137"/>
      <c r="E39137"/>
      <c r="F39137"/>
    </row>
    <row r="39138" spans="1:6" x14ac:dyDescent="0.25">
      <c r="A39138"/>
      <c r="B39138"/>
      <c r="C39138"/>
      <c r="E39138"/>
      <c r="F39138"/>
    </row>
    <row r="39139" spans="1:6" x14ac:dyDescent="0.25">
      <c r="A39139"/>
      <c r="B39139"/>
      <c r="C39139"/>
      <c r="E39139"/>
      <c r="F39139"/>
    </row>
    <row r="39140" spans="1:6" x14ac:dyDescent="0.25">
      <c r="A39140"/>
      <c r="B39140"/>
      <c r="C39140"/>
      <c r="E39140"/>
      <c r="F39140"/>
    </row>
    <row r="39141" spans="1:6" x14ac:dyDescent="0.25">
      <c r="A39141"/>
      <c r="B39141"/>
      <c r="C39141"/>
      <c r="E39141"/>
      <c r="F39141"/>
    </row>
    <row r="39142" spans="1:6" x14ac:dyDescent="0.25">
      <c r="A39142"/>
      <c r="B39142"/>
      <c r="C39142"/>
      <c r="E39142"/>
      <c r="F39142"/>
    </row>
    <row r="39143" spans="1:6" x14ac:dyDescent="0.25">
      <c r="A39143"/>
      <c r="B39143"/>
      <c r="C39143"/>
      <c r="E39143"/>
      <c r="F39143"/>
    </row>
    <row r="39144" spans="1:6" x14ac:dyDescent="0.25">
      <c r="A39144"/>
      <c r="B39144"/>
      <c r="C39144"/>
      <c r="E39144"/>
      <c r="F39144"/>
    </row>
    <row r="39145" spans="1:6" x14ac:dyDescent="0.25">
      <c r="A39145"/>
      <c r="B39145"/>
      <c r="C39145"/>
      <c r="E39145"/>
      <c r="F39145"/>
    </row>
    <row r="39146" spans="1:6" x14ac:dyDescent="0.25">
      <c r="A39146"/>
      <c r="B39146"/>
      <c r="C39146"/>
      <c r="E39146"/>
      <c r="F39146"/>
    </row>
    <row r="39147" spans="1:6" x14ac:dyDescent="0.25">
      <c r="A39147"/>
      <c r="B39147"/>
      <c r="C39147"/>
      <c r="E39147"/>
      <c r="F39147"/>
    </row>
    <row r="39148" spans="1:6" x14ac:dyDescent="0.25">
      <c r="A39148"/>
      <c r="B39148"/>
      <c r="C39148"/>
      <c r="E39148"/>
      <c r="F39148"/>
    </row>
    <row r="39149" spans="1:6" x14ac:dyDescent="0.25">
      <c r="A39149"/>
      <c r="B39149"/>
      <c r="C39149"/>
      <c r="E39149"/>
      <c r="F39149"/>
    </row>
    <row r="39150" spans="1:6" x14ac:dyDescent="0.25">
      <c r="A39150"/>
      <c r="B39150"/>
      <c r="C39150"/>
      <c r="E39150"/>
      <c r="F39150"/>
    </row>
    <row r="39151" spans="1:6" x14ac:dyDescent="0.25">
      <c r="A39151"/>
      <c r="B39151"/>
      <c r="C39151"/>
      <c r="E39151"/>
      <c r="F39151"/>
    </row>
    <row r="39152" spans="1:6" x14ac:dyDescent="0.25">
      <c r="A39152"/>
      <c r="B39152"/>
      <c r="C39152"/>
      <c r="E39152"/>
      <c r="F39152"/>
    </row>
    <row r="39153" spans="1:6" x14ac:dyDescent="0.25">
      <c r="A39153"/>
      <c r="B39153"/>
      <c r="C39153"/>
      <c r="E39153"/>
      <c r="F39153"/>
    </row>
    <row r="39154" spans="1:6" x14ac:dyDescent="0.25">
      <c r="A39154"/>
      <c r="B39154"/>
      <c r="C39154"/>
      <c r="E39154"/>
      <c r="F39154"/>
    </row>
    <row r="39155" spans="1:6" x14ac:dyDescent="0.25">
      <c r="A39155"/>
      <c r="B39155"/>
      <c r="C39155"/>
      <c r="E39155"/>
      <c r="F39155"/>
    </row>
    <row r="39156" spans="1:6" x14ac:dyDescent="0.25">
      <c r="A39156"/>
      <c r="B39156"/>
      <c r="C39156"/>
      <c r="E39156"/>
      <c r="F39156"/>
    </row>
    <row r="39157" spans="1:6" x14ac:dyDescent="0.25">
      <c r="A39157"/>
      <c r="B39157"/>
      <c r="C39157"/>
      <c r="E39157"/>
      <c r="F39157"/>
    </row>
    <row r="39158" spans="1:6" x14ac:dyDescent="0.25">
      <c r="A39158"/>
      <c r="B39158"/>
      <c r="C39158"/>
      <c r="E39158"/>
      <c r="F39158"/>
    </row>
    <row r="39159" spans="1:6" x14ac:dyDescent="0.25">
      <c r="A39159"/>
      <c r="B39159"/>
      <c r="C39159"/>
      <c r="E39159"/>
      <c r="F39159"/>
    </row>
    <row r="39160" spans="1:6" x14ac:dyDescent="0.25">
      <c r="A39160"/>
      <c r="B39160"/>
      <c r="C39160"/>
      <c r="E39160"/>
      <c r="F39160"/>
    </row>
    <row r="39161" spans="1:6" x14ac:dyDescent="0.25">
      <c r="A39161"/>
      <c r="B39161"/>
      <c r="C39161"/>
      <c r="E39161"/>
      <c r="F39161"/>
    </row>
    <row r="39162" spans="1:6" x14ac:dyDescent="0.25">
      <c r="A39162"/>
      <c r="B39162"/>
      <c r="C39162"/>
      <c r="E39162"/>
      <c r="F39162"/>
    </row>
    <row r="39163" spans="1:6" x14ac:dyDescent="0.25">
      <c r="A39163"/>
      <c r="B39163"/>
      <c r="C39163"/>
      <c r="E39163"/>
      <c r="F39163"/>
    </row>
    <row r="39164" spans="1:6" x14ac:dyDescent="0.25">
      <c r="A39164"/>
      <c r="B39164"/>
      <c r="C39164"/>
      <c r="E39164"/>
      <c r="F39164"/>
    </row>
    <row r="39165" spans="1:6" x14ac:dyDescent="0.25">
      <c r="A39165"/>
      <c r="B39165"/>
      <c r="C39165"/>
      <c r="E39165"/>
      <c r="F39165"/>
    </row>
    <row r="39166" spans="1:6" x14ac:dyDescent="0.25">
      <c r="A39166"/>
      <c r="B39166"/>
      <c r="C39166"/>
      <c r="E39166"/>
      <c r="F39166"/>
    </row>
    <row r="39167" spans="1:6" x14ac:dyDescent="0.25">
      <c r="A39167"/>
      <c r="B39167"/>
      <c r="C39167"/>
      <c r="E39167"/>
      <c r="F39167"/>
    </row>
    <row r="39168" spans="1:6" x14ac:dyDescent="0.25">
      <c r="A39168"/>
      <c r="B39168"/>
      <c r="C39168"/>
      <c r="E39168"/>
      <c r="F39168"/>
    </row>
    <row r="39169" spans="1:6" x14ac:dyDescent="0.25">
      <c r="A39169"/>
      <c r="B39169"/>
      <c r="C39169"/>
      <c r="E39169"/>
      <c r="F39169"/>
    </row>
    <row r="39170" spans="1:6" x14ac:dyDescent="0.25">
      <c r="A39170"/>
      <c r="B39170"/>
      <c r="C39170"/>
      <c r="E39170"/>
      <c r="F39170"/>
    </row>
    <row r="39171" spans="1:6" x14ac:dyDescent="0.25">
      <c r="A39171"/>
      <c r="B39171"/>
      <c r="C39171"/>
      <c r="E39171"/>
      <c r="F39171"/>
    </row>
    <row r="39172" spans="1:6" x14ac:dyDescent="0.25">
      <c r="A39172"/>
      <c r="B39172"/>
      <c r="C39172"/>
      <c r="E39172"/>
      <c r="F39172"/>
    </row>
    <row r="39173" spans="1:6" x14ac:dyDescent="0.25">
      <c r="A39173"/>
      <c r="B39173"/>
      <c r="C39173"/>
      <c r="E39173"/>
      <c r="F39173"/>
    </row>
    <row r="39174" spans="1:6" x14ac:dyDescent="0.25">
      <c r="A39174"/>
      <c r="B39174"/>
      <c r="C39174"/>
      <c r="E39174"/>
      <c r="F39174"/>
    </row>
    <row r="39175" spans="1:6" x14ac:dyDescent="0.25">
      <c r="A39175"/>
      <c r="B39175"/>
      <c r="C39175"/>
      <c r="E39175"/>
      <c r="F39175"/>
    </row>
    <row r="39176" spans="1:6" x14ac:dyDescent="0.25">
      <c r="A39176"/>
      <c r="B39176"/>
      <c r="C39176"/>
      <c r="E39176"/>
      <c r="F39176"/>
    </row>
    <row r="39177" spans="1:6" x14ac:dyDescent="0.25">
      <c r="A39177"/>
      <c r="B39177"/>
      <c r="C39177"/>
      <c r="E39177"/>
      <c r="F39177"/>
    </row>
    <row r="39178" spans="1:6" x14ac:dyDescent="0.25">
      <c r="A39178"/>
      <c r="B39178"/>
      <c r="C39178"/>
      <c r="E39178"/>
      <c r="F39178"/>
    </row>
    <row r="39179" spans="1:6" x14ac:dyDescent="0.25">
      <c r="A39179"/>
      <c r="B39179"/>
      <c r="C39179"/>
      <c r="E39179"/>
      <c r="F39179"/>
    </row>
    <row r="39180" spans="1:6" x14ac:dyDescent="0.25">
      <c r="A39180"/>
      <c r="B39180"/>
      <c r="C39180"/>
      <c r="E39180"/>
      <c r="F39180"/>
    </row>
    <row r="39181" spans="1:6" x14ac:dyDescent="0.25">
      <c r="A39181"/>
      <c r="B39181"/>
      <c r="C39181"/>
      <c r="E39181"/>
      <c r="F39181"/>
    </row>
    <row r="39182" spans="1:6" x14ac:dyDescent="0.25">
      <c r="A39182"/>
      <c r="B39182"/>
      <c r="C39182"/>
      <c r="E39182"/>
      <c r="F39182"/>
    </row>
    <row r="39183" spans="1:6" x14ac:dyDescent="0.25">
      <c r="A39183"/>
      <c r="B39183"/>
      <c r="C39183"/>
      <c r="E39183"/>
      <c r="F39183"/>
    </row>
    <row r="39184" spans="1:6" x14ac:dyDescent="0.25">
      <c r="A39184"/>
      <c r="B39184"/>
      <c r="C39184"/>
      <c r="E39184"/>
      <c r="F39184"/>
    </row>
    <row r="39185" spans="1:6" x14ac:dyDescent="0.25">
      <c r="A39185"/>
      <c r="B39185"/>
      <c r="C39185"/>
      <c r="E39185"/>
      <c r="F39185"/>
    </row>
    <row r="39186" spans="1:6" x14ac:dyDescent="0.25">
      <c r="A39186"/>
      <c r="B39186"/>
      <c r="C39186"/>
      <c r="E39186"/>
      <c r="F39186"/>
    </row>
    <row r="39187" spans="1:6" x14ac:dyDescent="0.25">
      <c r="A39187"/>
      <c r="B39187"/>
      <c r="C39187"/>
      <c r="E39187"/>
      <c r="F39187"/>
    </row>
    <row r="39188" spans="1:6" x14ac:dyDescent="0.25">
      <c r="A39188"/>
      <c r="B39188"/>
      <c r="C39188"/>
      <c r="E39188"/>
      <c r="F39188"/>
    </row>
    <row r="39189" spans="1:6" x14ac:dyDescent="0.25">
      <c r="A39189"/>
      <c r="B39189"/>
      <c r="C39189"/>
      <c r="E39189"/>
      <c r="F39189"/>
    </row>
    <row r="39190" spans="1:6" x14ac:dyDescent="0.25">
      <c r="A39190"/>
      <c r="B39190"/>
      <c r="C39190"/>
      <c r="E39190"/>
      <c r="F39190"/>
    </row>
    <row r="39191" spans="1:6" x14ac:dyDescent="0.25">
      <c r="A39191"/>
      <c r="B39191"/>
      <c r="C39191"/>
      <c r="E39191"/>
      <c r="F39191"/>
    </row>
    <row r="39192" spans="1:6" x14ac:dyDescent="0.25">
      <c r="A39192"/>
      <c r="B39192"/>
      <c r="C39192"/>
      <c r="E39192"/>
      <c r="F39192"/>
    </row>
    <row r="39193" spans="1:6" x14ac:dyDescent="0.25">
      <c r="A39193"/>
      <c r="B39193"/>
      <c r="C39193"/>
      <c r="E39193"/>
      <c r="F39193"/>
    </row>
    <row r="39194" spans="1:6" x14ac:dyDescent="0.25">
      <c r="A39194"/>
      <c r="B39194"/>
      <c r="C39194"/>
      <c r="E39194"/>
      <c r="F39194"/>
    </row>
    <row r="39195" spans="1:6" x14ac:dyDescent="0.25">
      <c r="A39195"/>
      <c r="B39195"/>
      <c r="C39195"/>
      <c r="E39195"/>
      <c r="F39195"/>
    </row>
    <row r="39196" spans="1:6" x14ac:dyDescent="0.25">
      <c r="A39196"/>
      <c r="B39196"/>
      <c r="C39196"/>
      <c r="E39196"/>
      <c r="F39196"/>
    </row>
    <row r="39197" spans="1:6" x14ac:dyDescent="0.25">
      <c r="A39197"/>
      <c r="B39197"/>
      <c r="C39197"/>
      <c r="E39197"/>
      <c r="F39197"/>
    </row>
    <row r="39198" spans="1:6" x14ac:dyDescent="0.25">
      <c r="A39198"/>
      <c r="B39198"/>
      <c r="C39198"/>
      <c r="E39198"/>
      <c r="F39198"/>
    </row>
    <row r="39199" spans="1:6" x14ac:dyDescent="0.25">
      <c r="A39199"/>
      <c r="B39199"/>
      <c r="C39199"/>
      <c r="E39199"/>
      <c r="F39199"/>
    </row>
    <row r="39200" spans="1:6" x14ac:dyDescent="0.25">
      <c r="A39200"/>
      <c r="B39200"/>
      <c r="C39200"/>
      <c r="E39200"/>
      <c r="F39200"/>
    </row>
    <row r="39201" spans="1:6" x14ac:dyDescent="0.25">
      <c r="A39201"/>
      <c r="B39201"/>
      <c r="C39201"/>
      <c r="E39201"/>
      <c r="F39201"/>
    </row>
    <row r="39202" spans="1:6" x14ac:dyDescent="0.25">
      <c r="A39202"/>
      <c r="B39202"/>
      <c r="C39202"/>
      <c r="E39202"/>
      <c r="F39202"/>
    </row>
    <row r="39203" spans="1:6" x14ac:dyDescent="0.25">
      <c r="A39203"/>
      <c r="B39203"/>
      <c r="C39203"/>
      <c r="E39203"/>
      <c r="F39203"/>
    </row>
    <row r="39204" spans="1:6" x14ac:dyDescent="0.25">
      <c r="A39204"/>
      <c r="B39204"/>
      <c r="C39204"/>
      <c r="E39204"/>
      <c r="F39204"/>
    </row>
    <row r="39205" spans="1:6" x14ac:dyDescent="0.25">
      <c r="A39205"/>
      <c r="B39205"/>
      <c r="C39205"/>
      <c r="E39205"/>
      <c r="F39205"/>
    </row>
    <row r="39206" spans="1:6" x14ac:dyDescent="0.25">
      <c r="A39206"/>
      <c r="B39206"/>
      <c r="C39206"/>
      <c r="E39206"/>
      <c r="F39206"/>
    </row>
    <row r="39207" spans="1:6" x14ac:dyDescent="0.25">
      <c r="A39207"/>
      <c r="B39207"/>
      <c r="C39207"/>
      <c r="E39207"/>
      <c r="F39207"/>
    </row>
    <row r="39208" spans="1:6" x14ac:dyDescent="0.25">
      <c r="A39208"/>
      <c r="B39208"/>
      <c r="C39208"/>
      <c r="E39208"/>
      <c r="F39208"/>
    </row>
    <row r="39209" spans="1:6" x14ac:dyDescent="0.25">
      <c r="A39209"/>
      <c r="B39209"/>
      <c r="C39209"/>
      <c r="E39209"/>
      <c r="F39209"/>
    </row>
    <row r="39210" spans="1:6" x14ac:dyDescent="0.25">
      <c r="A39210"/>
      <c r="B39210"/>
      <c r="C39210"/>
      <c r="E39210"/>
      <c r="F39210"/>
    </row>
    <row r="39211" spans="1:6" x14ac:dyDescent="0.25">
      <c r="A39211"/>
      <c r="B39211"/>
      <c r="C39211"/>
      <c r="E39211"/>
      <c r="F39211"/>
    </row>
    <row r="39212" spans="1:6" x14ac:dyDescent="0.25">
      <c r="A39212"/>
      <c r="B39212"/>
      <c r="C39212"/>
      <c r="E39212"/>
      <c r="F39212"/>
    </row>
    <row r="39213" spans="1:6" x14ac:dyDescent="0.25">
      <c r="A39213"/>
      <c r="B39213"/>
      <c r="C39213"/>
      <c r="E39213"/>
      <c r="F39213"/>
    </row>
    <row r="39214" spans="1:6" x14ac:dyDescent="0.25">
      <c r="A39214"/>
      <c r="B39214"/>
      <c r="C39214"/>
      <c r="E39214"/>
      <c r="F39214"/>
    </row>
    <row r="39215" spans="1:6" x14ac:dyDescent="0.25">
      <c r="A39215"/>
      <c r="B39215"/>
      <c r="C39215"/>
      <c r="E39215"/>
      <c r="F39215"/>
    </row>
    <row r="39216" spans="1:6" x14ac:dyDescent="0.25">
      <c r="A39216"/>
      <c r="B39216"/>
      <c r="C39216"/>
      <c r="E39216"/>
      <c r="F39216"/>
    </row>
    <row r="39217" spans="1:6" x14ac:dyDescent="0.25">
      <c r="A39217"/>
      <c r="B39217"/>
      <c r="C39217"/>
      <c r="E39217"/>
      <c r="F39217"/>
    </row>
    <row r="39218" spans="1:6" x14ac:dyDescent="0.25">
      <c r="A39218"/>
      <c r="B39218"/>
      <c r="C39218"/>
      <c r="E39218"/>
      <c r="F39218"/>
    </row>
    <row r="39219" spans="1:6" x14ac:dyDescent="0.25">
      <c r="A39219"/>
      <c r="B39219"/>
      <c r="C39219"/>
      <c r="E39219"/>
      <c r="F39219"/>
    </row>
    <row r="39220" spans="1:6" x14ac:dyDescent="0.25">
      <c r="A39220"/>
      <c r="B39220"/>
      <c r="C39220"/>
      <c r="E39220"/>
      <c r="F39220"/>
    </row>
    <row r="39221" spans="1:6" x14ac:dyDescent="0.25">
      <c r="A39221"/>
      <c r="B39221"/>
      <c r="C39221"/>
      <c r="E39221"/>
      <c r="F39221"/>
    </row>
    <row r="39222" spans="1:6" x14ac:dyDescent="0.25">
      <c r="A39222"/>
      <c r="B39222"/>
      <c r="C39222"/>
      <c r="E39222"/>
      <c r="F39222"/>
    </row>
    <row r="39223" spans="1:6" x14ac:dyDescent="0.25">
      <c r="A39223"/>
      <c r="B39223"/>
      <c r="C39223"/>
      <c r="E39223"/>
      <c r="F39223"/>
    </row>
    <row r="39224" spans="1:6" x14ac:dyDescent="0.25">
      <c r="A39224"/>
      <c r="B39224"/>
      <c r="C39224"/>
      <c r="E39224"/>
      <c r="F39224"/>
    </row>
    <row r="39225" spans="1:6" x14ac:dyDescent="0.25">
      <c r="A39225"/>
      <c r="B39225"/>
      <c r="C39225"/>
      <c r="E39225"/>
      <c r="F39225"/>
    </row>
    <row r="39226" spans="1:6" x14ac:dyDescent="0.25">
      <c r="A39226"/>
      <c r="B39226"/>
      <c r="C39226"/>
      <c r="E39226"/>
      <c r="F39226"/>
    </row>
    <row r="39227" spans="1:6" x14ac:dyDescent="0.25">
      <c r="A39227"/>
      <c r="B39227"/>
      <c r="C39227"/>
      <c r="E39227"/>
      <c r="F39227"/>
    </row>
    <row r="39228" spans="1:6" x14ac:dyDescent="0.25">
      <c r="A39228"/>
      <c r="B39228"/>
      <c r="C39228"/>
      <c r="E39228"/>
      <c r="F39228"/>
    </row>
    <row r="39229" spans="1:6" x14ac:dyDescent="0.25">
      <c r="A39229"/>
      <c r="B39229"/>
      <c r="C39229"/>
      <c r="E39229"/>
      <c r="F39229"/>
    </row>
    <row r="39230" spans="1:6" x14ac:dyDescent="0.25">
      <c r="A39230"/>
      <c r="B39230"/>
      <c r="C39230"/>
      <c r="E39230"/>
      <c r="F39230"/>
    </row>
    <row r="39231" spans="1:6" x14ac:dyDescent="0.25">
      <c r="A39231"/>
      <c r="B39231"/>
      <c r="C39231"/>
      <c r="E39231"/>
      <c r="F39231"/>
    </row>
    <row r="39232" spans="1:6" x14ac:dyDescent="0.25">
      <c r="A39232"/>
      <c r="B39232"/>
      <c r="C39232"/>
      <c r="E39232"/>
      <c r="F39232"/>
    </row>
    <row r="39233" spans="1:6" x14ac:dyDescent="0.25">
      <c r="A39233"/>
      <c r="B39233"/>
      <c r="C39233"/>
      <c r="E39233"/>
      <c r="F39233"/>
    </row>
    <row r="39234" spans="1:6" x14ac:dyDescent="0.25">
      <c r="A39234"/>
      <c r="B39234"/>
      <c r="C39234"/>
      <c r="E39234"/>
      <c r="F39234"/>
    </row>
    <row r="39235" spans="1:6" x14ac:dyDescent="0.25">
      <c r="A39235"/>
      <c r="B39235"/>
      <c r="C39235"/>
      <c r="E39235"/>
      <c r="F39235"/>
    </row>
    <row r="39236" spans="1:6" x14ac:dyDescent="0.25">
      <c r="A39236"/>
      <c r="B39236"/>
      <c r="C39236"/>
      <c r="E39236"/>
      <c r="F39236"/>
    </row>
    <row r="39237" spans="1:6" x14ac:dyDescent="0.25">
      <c r="A39237"/>
      <c r="B39237"/>
      <c r="C39237"/>
      <c r="E39237"/>
      <c r="F39237"/>
    </row>
    <row r="39238" spans="1:6" x14ac:dyDescent="0.25">
      <c r="A39238"/>
      <c r="B39238"/>
      <c r="C39238"/>
      <c r="E39238"/>
      <c r="F39238"/>
    </row>
    <row r="39239" spans="1:6" x14ac:dyDescent="0.25">
      <c r="A39239"/>
      <c r="B39239"/>
      <c r="C39239"/>
      <c r="E39239"/>
      <c r="F39239"/>
    </row>
    <row r="39240" spans="1:6" x14ac:dyDescent="0.25">
      <c r="A39240"/>
      <c r="B39240"/>
      <c r="C39240"/>
      <c r="E39240"/>
      <c r="F39240"/>
    </row>
    <row r="39241" spans="1:6" x14ac:dyDescent="0.25">
      <c r="A39241"/>
      <c r="B39241"/>
      <c r="C39241"/>
      <c r="E39241"/>
      <c r="F39241"/>
    </row>
    <row r="39242" spans="1:6" x14ac:dyDescent="0.25">
      <c r="A39242"/>
      <c r="B39242"/>
      <c r="C39242"/>
      <c r="E39242"/>
      <c r="F39242"/>
    </row>
    <row r="39243" spans="1:6" x14ac:dyDescent="0.25">
      <c r="A39243"/>
      <c r="B39243"/>
      <c r="C39243"/>
      <c r="E39243"/>
      <c r="F39243"/>
    </row>
    <row r="39244" spans="1:6" x14ac:dyDescent="0.25">
      <c r="A39244"/>
      <c r="B39244"/>
      <c r="C39244"/>
      <c r="E39244"/>
      <c r="F39244"/>
    </row>
    <row r="39245" spans="1:6" x14ac:dyDescent="0.25">
      <c r="A39245"/>
      <c r="B39245"/>
      <c r="C39245"/>
      <c r="E39245"/>
      <c r="F39245"/>
    </row>
    <row r="39246" spans="1:6" x14ac:dyDescent="0.25">
      <c r="A39246"/>
      <c r="B39246"/>
      <c r="C39246"/>
      <c r="E39246"/>
      <c r="F39246"/>
    </row>
    <row r="39247" spans="1:6" x14ac:dyDescent="0.25">
      <c r="A39247"/>
      <c r="B39247"/>
      <c r="C39247"/>
      <c r="E39247"/>
      <c r="F39247"/>
    </row>
    <row r="39248" spans="1:6" x14ac:dyDescent="0.25">
      <c r="A39248"/>
      <c r="B39248"/>
      <c r="C39248"/>
      <c r="E39248"/>
      <c r="F39248"/>
    </row>
    <row r="39249" spans="1:6" x14ac:dyDescent="0.25">
      <c r="A39249"/>
      <c r="B39249"/>
      <c r="C39249"/>
      <c r="E39249"/>
      <c r="F39249"/>
    </row>
    <row r="39250" spans="1:6" x14ac:dyDescent="0.25">
      <c r="A39250"/>
      <c r="B39250"/>
      <c r="C39250"/>
      <c r="E39250"/>
      <c r="F39250"/>
    </row>
    <row r="39251" spans="1:6" x14ac:dyDescent="0.25">
      <c r="A39251"/>
      <c r="B39251"/>
      <c r="C39251"/>
      <c r="E39251"/>
      <c r="F39251"/>
    </row>
    <row r="39252" spans="1:6" x14ac:dyDescent="0.25">
      <c r="A39252"/>
      <c r="B39252"/>
      <c r="C39252"/>
      <c r="E39252"/>
      <c r="F39252"/>
    </row>
    <row r="39253" spans="1:6" x14ac:dyDescent="0.25">
      <c r="A39253"/>
      <c r="B39253"/>
      <c r="C39253"/>
      <c r="E39253"/>
      <c r="F39253"/>
    </row>
    <row r="39254" spans="1:6" x14ac:dyDescent="0.25">
      <c r="A39254"/>
      <c r="B39254"/>
      <c r="C39254"/>
      <c r="E39254"/>
      <c r="F39254"/>
    </row>
    <row r="39255" spans="1:6" x14ac:dyDescent="0.25">
      <c r="A39255"/>
      <c r="B39255"/>
      <c r="C39255"/>
      <c r="E39255"/>
      <c r="F39255"/>
    </row>
    <row r="39256" spans="1:6" x14ac:dyDescent="0.25">
      <c r="A39256"/>
      <c r="B39256"/>
      <c r="C39256"/>
      <c r="E39256"/>
      <c r="F39256"/>
    </row>
    <row r="39257" spans="1:6" x14ac:dyDescent="0.25">
      <c r="A39257"/>
      <c r="B39257"/>
      <c r="C39257"/>
      <c r="E39257"/>
      <c r="F39257"/>
    </row>
    <row r="39258" spans="1:6" x14ac:dyDescent="0.25">
      <c r="A39258"/>
      <c r="B39258"/>
      <c r="C39258"/>
      <c r="E39258"/>
      <c r="F39258"/>
    </row>
    <row r="39259" spans="1:6" x14ac:dyDescent="0.25">
      <c r="A39259"/>
      <c r="B39259"/>
      <c r="C39259"/>
      <c r="E39259"/>
      <c r="F39259"/>
    </row>
    <row r="39260" spans="1:6" x14ac:dyDescent="0.25">
      <c r="A39260"/>
      <c r="B39260"/>
      <c r="C39260"/>
      <c r="E39260"/>
      <c r="F39260"/>
    </row>
    <row r="39261" spans="1:6" x14ac:dyDescent="0.25">
      <c r="A39261"/>
      <c r="B39261"/>
      <c r="C39261"/>
      <c r="E39261"/>
      <c r="F39261"/>
    </row>
    <row r="39262" spans="1:6" x14ac:dyDescent="0.25">
      <c r="A39262"/>
      <c r="B39262"/>
      <c r="C39262"/>
      <c r="E39262"/>
      <c r="F39262"/>
    </row>
    <row r="39263" spans="1:6" x14ac:dyDescent="0.25">
      <c r="A39263"/>
      <c r="B39263"/>
      <c r="C39263"/>
      <c r="E39263"/>
      <c r="F39263"/>
    </row>
    <row r="39264" spans="1:6" x14ac:dyDescent="0.25">
      <c r="A39264"/>
      <c r="B39264"/>
      <c r="C39264"/>
      <c r="E39264"/>
      <c r="F39264"/>
    </row>
    <row r="39265" spans="1:6" x14ac:dyDescent="0.25">
      <c r="A39265"/>
      <c r="B39265"/>
      <c r="C39265"/>
      <c r="E39265"/>
      <c r="F39265"/>
    </row>
    <row r="39266" spans="1:6" x14ac:dyDescent="0.25">
      <c r="A39266"/>
      <c r="B39266"/>
      <c r="C39266"/>
      <c r="E39266"/>
      <c r="F39266"/>
    </row>
    <row r="39267" spans="1:6" x14ac:dyDescent="0.25">
      <c r="A39267"/>
      <c r="B39267"/>
      <c r="C39267"/>
      <c r="E39267"/>
      <c r="F39267"/>
    </row>
    <row r="39268" spans="1:6" x14ac:dyDescent="0.25">
      <c r="A39268"/>
      <c r="B39268"/>
      <c r="C39268"/>
      <c r="E39268"/>
      <c r="F39268"/>
    </row>
    <row r="39269" spans="1:6" x14ac:dyDescent="0.25">
      <c r="A39269"/>
      <c r="B39269"/>
      <c r="C39269"/>
      <c r="E39269"/>
      <c r="F39269"/>
    </row>
    <row r="39270" spans="1:6" x14ac:dyDescent="0.25">
      <c r="A39270"/>
      <c r="B39270"/>
      <c r="C39270"/>
      <c r="E39270"/>
      <c r="F39270"/>
    </row>
    <row r="39271" spans="1:6" x14ac:dyDescent="0.25">
      <c r="A39271"/>
      <c r="B39271"/>
      <c r="C39271"/>
      <c r="E39271"/>
      <c r="F39271"/>
    </row>
    <row r="39272" spans="1:6" x14ac:dyDescent="0.25">
      <c r="A39272"/>
      <c r="B39272"/>
      <c r="C39272"/>
      <c r="E39272"/>
      <c r="F39272"/>
    </row>
    <row r="39273" spans="1:6" x14ac:dyDescent="0.25">
      <c r="A39273"/>
      <c r="B39273"/>
      <c r="C39273"/>
      <c r="E39273"/>
      <c r="F39273"/>
    </row>
    <row r="39274" spans="1:6" x14ac:dyDescent="0.25">
      <c r="A39274"/>
      <c r="B39274"/>
      <c r="C39274"/>
      <c r="E39274"/>
      <c r="F39274"/>
    </row>
    <row r="39275" spans="1:6" x14ac:dyDescent="0.25">
      <c r="A39275"/>
      <c r="B39275"/>
      <c r="C39275"/>
      <c r="E39275"/>
      <c r="F39275"/>
    </row>
    <row r="39276" spans="1:6" x14ac:dyDescent="0.25">
      <c r="A39276"/>
      <c r="B39276"/>
      <c r="C39276"/>
      <c r="E39276"/>
      <c r="F39276"/>
    </row>
    <row r="39277" spans="1:6" x14ac:dyDescent="0.25">
      <c r="A39277"/>
      <c r="B39277"/>
      <c r="C39277"/>
      <c r="E39277"/>
      <c r="F39277"/>
    </row>
    <row r="39278" spans="1:6" x14ac:dyDescent="0.25">
      <c r="A39278"/>
      <c r="B39278"/>
      <c r="C39278"/>
      <c r="E39278"/>
      <c r="F39278"/>
    </row>
    <row r="39279" spans="1:6" x14ac:dyDescent="0.25">
      <c r="A39279"/>
      <c r="B39279"/>
      <c r="C39279"/>
      <c r="E39279"/>
      <c r="F39279"/>
    </row>
    <row r="39280" spans="1:6" x14ac:dyDescent="0.25">
      <c r="A39280"/>
      <c r="B39280"/>
      <c r="C39280"/>
      <c r="E39280"/>
      <c r="F39280"/>
    </row>
    <row r="39281" spans="1:6" x14ac:dyDescent="0.25">
      <c r="A39281"/>
      <c r="B39281"/>
      <c r="C39281"/>
      <c r="E39281"/>
      <c r="F39281"/>
    </row>
    <row r="39282" spans="1:6" x14ac:dyDescent="0.25">
      <c r="A39282"/>
      <c r="B39282"/>
      <c r="C39282"/>
      <c r="E39282"/>
      <c r="F39282"/>
    </row>
    <row r="39283" spans="1:6" x14ac:dyDescent="0.25">
      <c r="A39283"/>
      <c r="B39283"/>
      <c r="C39283"/>
      <c r="E39283"/>
      <c r="F39283"/>
    </row>
    <row r="39284" spans="1:6" x14ac:dyDescent="0.25">
      <c r="A39284"/>
      <c r="B39284"/>
      <c r="C39284"/>
      <c r="E39284"/>
      <c r="F39284"/>
    </row>
    <row r="39285" spans="1:6" x14ac:dyDescent="0.25">
      <c r="A39285"/>
      <c r="B39285"/>
      <c r="C39285"/>
      <c r="E39285"/>
      <c r="F39285"/>
    </row>
    <row r="39286" spans="1:6" x14ac:dyDescent="0.25">
      <c r="A39286"/>
      <c r="B39286"/>
      <c r="C39286"/>
      <c r="E39286"/>
      <c r="F39286"/>
    </row>
    <row r="39287" spans="1:6" x14ac:dyDescent="0.25">
      <c r="A39287"/>
      <c r="B39287"/>
      <c r="C39287"/>
      <c r="E39287"/>
      <c r="F39287"/>
    </row>
    <row r="39288" spans="1:6" x14ac:dyDescent="0.25">
      <c r="A39288"/>
      <c r="B39288"/>
      <c r="C39288"/>
      <c r="E39288"/>
      <c r="F39288"/>
    </row>
    <row r="39289" spans="1:6" x14ac:dyDescent="0.25">
      <c r="A39289"/>
      <c r="B39289"/>
      <c r="C39289"/>
      <c r="E39289"/>
      <c r="F39289"/>
    </row>
    <row r="39290" spans="1:6" x14ac:dyDescent="0.25">
      <c r="A39290"/>
      <c r="B39290"/>
      <c r="C39290"/>
      <c r="E39290"/>
      <c r="F39290"/>
    </row>
    <row r="39291" spans="1:6" x14ac:dyDescent="0.25">
      <c r="A39291"/>
      <c r="B39291"/>
      <c r="C39291"/>
      <c r="E39291"/>
      <c r="F39291"/>
    </row>
    <row r="39292" spans="1:6" x14ac:dyDescent="0.25">
      <c r="A39292"/>
      <c r="B39292"/>
      <c r="C39292"/>
      <c r="E39292"/>
      <c r="F39292"/>
    </row>
    <row r="39293" spans="1:6" x14ac:dyDescent="0.25">
      <c r="A39293"/>
      <c r="B39293"/>
      <c r="C39293"/>
      <c r="E39293"/>
      <c r="F39293"/>
    </row>
    <row r="39294" spans="1:6" x14ac:dyDescent="0.25">
      <c r="A39294"/>
      <c r="B39294"/>
      <c r="C39294"/>
      <c r="E39294"/>
      <c r="F39294"/>
    </row>
    <row r="39295" spans="1:6" x14ac:dyDescent="0.25">
      <c r="A39295"/>
      <c r="B39295"/>
      <c r="C39295"/>
      <c r="E39295"/>
      <c r="F39295"/>
    </row>
    <row r="39296" spans="1:6" x14ac:dyDescent="0.25">
      <c r="A39296"/>
      <c r="B39296"/>
      <c r="C39296"/>
      <c r="E39296"/>
      <c r="F39296"/>
    </row>
    <row r="39297" spans="1:6" x14ac:dyDescent="0.25">
      <c r="A39297"/>
      <c r="B39297"/>
      <c r="C39297"/>
      <c r="E39297"/>
      <c r="F39297"/>
    </row>
    <row r="39298" spans="1:6" x14ac:dyDescent="0.25">
      <c r="A39298"/>
      <c r="B39298"/>
      <c r="C39298"/>
      <c r="E39298"/>
      <c r="F39298"/>
    </row>
    <row r="39299" spans="1:6" x14ac:dyDescent="0.25">
      <c r="A39299"/>
      <c r="B39299"/>
      <c r="C39299"/>
      <c r="E39299"/>
      <c r="F39299"/>
    </row>
    <row r="39300" spans="1:6" x14ac:dyDescent="0.25">
      <c r="A39300"/>
      <c r="B39300"/>
      <c r="C39300"/>
      <c r="E39300"/>
      <c r="F39300"/>
    </row>
    <row r="39301" spans="1:6" x14ac:dyDescent="0.25">
      <c r="A39301"/>
      <c r="B39301"/>
      <c r="C39301"/>
      <c r="E39301"/>
      <c r="F39301"/>
    </row>
    <row r="39302" spans="1:6" x14ac:dyDescent="0.25">
      <c r="A39302"/>
      <c r="B39302"/>
      <c r="C39302"/>
      <c r="E39302"/>
      <c r="F39302"/>
    </row>
    <row r="39303" spans="1:6" x14ac:dyDescent="0.25">
      <c r="A39303"/>
      <c r="B39303"/>
      <c r="C39303"/>
      <c r="E39303"/>
      <c r="F39303"/>
    </row>
    <row r="39304" spans="1:6" x14ac:dyDescent="0.25">
      <c r="A39304"/>
      <c r="B39304"/>
      <c r="C39304"/>
      <c r="E39304"/>
      <c r="F39304"/>
    </row>
    <row r="39305" spans="1:6" x14ac:dyDescent="0.25">
      <c r="A39305"/>
      <c r="B39305"/>
      <c r="C39305"/>
      <c r="E39305"/>
      <c r="F39305"/>
    </row>
    <row r="39306" spans="1:6" x14ac:dyDescent="0.25">
      <c r="A39306"/>
      <c r="B39306"/>
      <c r="C39306"/>
      <c r="E39306"/>
      <c r="F39306"/>
    </row>
    <row r="39307" spans="1:6" x14ac:dyDescent="0.25">
      <c r="A39307"/>
      <c r="B39307"/>
      <c r="C39307"/>
      <c r="E39307"/>
      <c r="F39307"/>
    </row>
    <row r="39308" spans="1:6" x14ac:dyDescent="0.25">
      <c r="A39308"/>
      <c r="B39308"/>
      <c r="C39308"/>
      <c r="E39308"/>
      <c r="F39308"/>
    </row>
    <row r="39309" spans="1:6" x14ac:dyDescent="0.25">
      <c r="A39309"/>
      <c r="B39309"/>
      <c r="C39309"/>
      <c r="E39309"/>
      <c r="F39309"/>
    </row>
    <row r="39310" spans="1:6" x14ac:dyDescent="0.25">
      <c r="A39310"/>
      <c r="B39310"/>
      <c r="C39310"/>
      <c r="E39310"/>
      <c r="F39310"/>
    </row>
    <row r="39311" spans="1:6" x14ac:dyDescent="0.25">
      <c r="A39311"/>
      <c r="B39311"/>
      <c r="C39311"/>
      <c r="E39311"/>
      <c r="F39311"/>
    </row>
    <row r="39312" spans="1:6" x14ac:dyDescent="0.25">
      <c r="A39312"/>
      <c r="B39312"/>
      <c r="C39312"/>
      <c r="E39312"/>
      <c r="F39312"/>
    </row>
    <row r="39313" spans="1:6" x14ac:dyDescent="0.25">
      <c r="A39313"/>
      <c r="B39313"/>
      <c r="C39313"/>
      <c r="E39313"/>
      <c r="F39313"/>
    </row>
    <row r="39314" spans="1:6" x14ac:dyDescent="0.25">
      <c r="A39314"/>
      <c r="B39314"/>
      <c r="C39314"/>
      <c r="E39314"/>
      <c r="F39314"/>
    </row>
    <row r="39315" spans="1:6" x14ac:dyDescent="0.25">
      <c r="A39315"/>
      <c r="B39315"/>
      <c r="C39315"/>
      <c r="E39315"/>
      <c r="F39315"/>
    </row>
    <row r="39316" spans="1:6" x14ac:dyDescent="0.25">
      <c r="A39316"/>
      <c r="B39316"/>
      <c r="C39316"/>
      <c r="E39316"/>
      <c r="F39316"/>
    </row>
    <row r="39317" spans="1:6" x14ac:dyDescent="0.25">
      <c r="A39317"/>
      <c r="B39317"/>
      <c r="C39317"/>
      <c r="E39317"/>
      <c r="F39317"/>
    </row>
    <row r="39318" spans="1:6" x14ac:dyDescent="0.25">
      <c r="A39318"/>
      <c r="B39318"/>
      <c r="C39318"/>
      <c r="E39318"/>
      <c r="F39318"/>
    </row>
    <row r="39319" spans="1:6" x14ac:dyDescent="0.25">
      <c r="A39319"/>
      <c r="B39319"/>
      <c r="C39319"/>
      <c r="E39319"/>
      <c r="F39319"/>
    </row>
    <row r="39320" spans="1:6" x14ac:dyDescent="0.25">
      <c r="A39320"/>
      <c r="B39320"/>
      <c r="C39320"/>
      <c r="E39320"/>
      <c r="F39320"/>
    </row>
    <row r="39321" spans="1:6" x14ac:dyDescent="0.25">
      <c r="A39321"/>
      <c r="B39321"/>
      <c r="C39321"/>
      <c r="E39321"/>
      <c r="F39321"/>
    </row>
    <row r="39322" spans="1:6" x14ac:dyDescent="0.25">
      <c r="A39322"/>
      <c r="B39322"/>
      <c r="C39322"/>
      <c r="E39322"/>
      <c r="F39322"/>
    </row>
    <row r="39323" spans="1:6" x14ac:dyDescent="0.25">
      <c r="A39323"/>
      <c r="B39323"/>
      <c r="C39323"/>
      <c r="E39323"/>
      <c r="F39323"/>
    </row>
    <row r="39324" spans="1:6" x14ac:dyDescent="0.25">
      <c r="A39324"/>
      <c r="B39324"/>
      <c r="C39324"/>
      <c r="E39324"/>
      <c r="F39324"/>
    </row>
    <row r="39325" spans="1:6" x14ac:dyDescent="0.25">
      <c r="A39325"/>
      <c r="B39325"/>
      <c r="C39325"/>
      <c r="E39325"/>
      <c r="F39325"/>
    </row>
    <row r="39326" spans="1:6" x14ac:dyDescent="0.25">
      <c r="A39326"/>
      <c r="B39326"/>
      <c r="C39326"/>
      <c r="E39326"/>
      <c r="F39326"/>
    </row>
    <row r="39327" spans="1:6" x14ac:dyDescent="0.25">
      <c r="A39327"/>
      <c r="B39327"/>
      <c r="C39327"/>
      <c r="E39327"/>
      <c r="F39327"/>
    </row>
    <row r="39328" spans="1:6" x14ac:dyDescent="0.25">
      <c r="A39328"/>
      <c r="B39328"/>
      <c r="C39328"/>
      <c r="E39328"/>
      <c r="F39328"/>
    </row>
    <row r="39329" spans="1:6" x14ac:dyDescent="0.25">
      <c r="A39329"/>
      <c r="B39329"/>
      <c r="C39329"/>
      <c r="E39329"/>
      <c r="F39329"/>
    </row>
    <row r="39330" spans="1:6" x14ac:dyDescent="0.25">
      <c r="A39330"/>
      <c r="B39330"/>
      <c r="C39330"/>
      <c r="E39330"/>
      <c r="F39330"/>
    </row>
    <row r="39331" spans="1:6" x14ac:dyDescent="0.25">
      <c r="A39331"/>
      <c r="B39331"/>
      <c r="C39331"/>
      <c r="E39331"/>
      <c r="F39331"/>
    </row>
    <row r="39332" spans="1:6" x14ac:dyDescent="0.25">
      <c r="A39332"/>
      <c r="B39332"/>
      <c r="C39332"/>
      <c r="E39332"/>
      <c r="F39332"/>
    </row>
    <row r="39333" spans="1:6" x14ac:dyDescent="0.25">
      <c r="A39333"/>
      <c r="B39333"/>
      <c r="C39333"/>
      <c r="E39333"/>
      <c r="F39333"/>
    </row>
    <row r="39334" spans="1:6" x14ac:dyDescent="0.25">
      <c r="A39334"/>
      <c r="B39334"/>
      <c r="C39334"/>
      <c r="E39334"/>
      <c r="F39334"/>
    </row>
    <row r="39335" spans="1:6" x14ac:dyDescent="0.25">
      <c r="A39335"/>
      <c r="B39335"/>
      <c r="C39335"/>
      <c r="E39335"/>
      <c r="F39335"/>
    </row>
    <row r="39336" spans="1:6" x14ac:dyDescent="0.25">
      <c r="A39336"/>
      <c r="B39336"/>
      <c r="C39336"/>
      <c r="E39336"/>
      <c r="F39336"/>
    </row>
    <row r="39337" spans="1:6" x14ac:dyDescent="0.25">
      <c r="A39337"/>
      <c r="B39337"/>
      <c r="C39337"/>
      <c r="E39337"/>
      <c r="F39337"/>
    </row>
    <row r="39338" spans="1:6" x14ac:dyDescent="0.25">
      <c r="A39338"/>
      <c r="B39338"/>
      <c r="C39338"/>
      <c r="E39338"/>
      <c r="F39338"/>
    </row>
    <row r="39339" spans="1:6" x14ac:dyDescent="0.25">
      <c r="A39339"/>
      <c r="B39339"/>
      <c r="C39339"/>
      <c r="E39339"/>
      <c r="F39339"/>
    </row>
    <row r="39340" spans="1:6" x14ac:dyDescent="0.25">
      <c r="A39340"/>
      <c r="B39340"/>
      <c r="C39340"/>
      <c r="E39340"/>
      <c r="F39340"/>
    </row>
    <row r="39341" spans="1:6" x14ac:dyDescent="0.25">
      <c r="A39341"/>
      <c r="B39341"/>
      <c r="C39341"/>
      <c r="E39341"/>
      <c r="F39341"/>
    </row>
    <row r="39342" spans="1:6" x14ac:dyDescent="0.25">
      <c r="A39342"/>
      <c r="B39342"/>
      <c r="C39342"/>
      <c r="E39342"/>
      <c r="F39342"/>
    </row>
    <row r="39343" spans="1:6" x14ac:dyDescent="0.25">
      <c r="A39343"/>
      <c r="B39343"/>
      <c r="C39343"/>
      <c r="E39343"/>
      <c r="F39343"/>
    </row>
    <row r="39344" spans="1:6" x14ac:dyDescent="0.25">
      <c r="A39344"/>
      <c r="B39344"/>
      <c r="C39344"/>
      <c r="E39344"/>
      <c r="F39344"/>
    </row>
    <row r="39345" spans="1:6" x14ac:dyDescent="0.25">
      <c r="A39345"/>
      <c r="B39345"/>
      <c r="C39345"/>
      <c r="E39345"/>
      <c r="F39345"/>
    </row>
    <row r="39346" spans="1:6" x14ac:dyDescent="0.25">
      <c r="A39346"/>
      <c r="B39346"/>
      <c r="C39346"/>
      <c r="E39346"/>
      <c r="F39346"/>
    </row>
    <row r="39347" spans="1:6" x14ac:dyDescent="0.25">
      <c r="A39347"/>
      <c r="B39347"/>
      <c r="C39347"/>
      <c r="E39347"/>
      <c r="F39347"/>
    </row>
    <row r="39348" spans="1:6" x14ac:dyDescent="0.25">
      <c r="A39348"/>
      <c r="B39348"/>
      <c r="C39348"/>
      <c r="E39348"/>
      <c r="F39348"/>
    </row>
    <row r="39349" spans="1:6" x14ac:dyDescent="0.25">
      <c r="A39349"/>
      <c r="B39349"/>
      <c r="C39349"/>
      <c r="E39349"/>
      <c r="F39349"/>
    </row>
    <row r="39350" spans="1:6" x14ac:dyDescent="0.25">
      <c r="A39350"/>
      <c r="B39350"/>
      <c r="C39350"/>
      <c r="E39350"/>
      <c r="F39350"/>
    </row>
    <row r="39351" spans="1:6" x14ac:dyDescent="0.25">
      <c r="A39351"/>
      <c r="B39351"/>
      <c r="C39351"/>
      <c r="E39351"/>
      <c r="F39351"/>
    </row>
    <row r="39352" spans="1:6" x14ac:dyDescent="0.25">
      <c r="A39352"/>
      <c r="B39352"/>
      <c r="C39352"/>
      <c r="E39352"/>
      <c r="F39352"/>
    </row>
    <row r="39353" spans="1:6" x14ac:dyDescent="0.25">
      <c r="A39353"/>
      <c r="B39353"/>
      <c r="C39353"/>
      <c r="E39353"/>
      <c r="F39353"/>
    </row>
    <row r="39354" spans="1:6" x14ac:dyDescent="0.25">
      <c r="A39354"/>
      <c r="B39354"/>
      <c r="C39354"/>
      <c r="E39354"/>
      <c r="F39354"/>
    </row>
    <row r="39355" spans="1:6" x14ac:dyDescent="0.25">
      <c r="A39355"/>
      <c r="B39355"/>
      <c r="C39355"/>
      <c r="E39355"/>
      <c r="F39355"/>
    </row>
    <row r="39356" spans="1:6" x14ac:dyDescent="0.25">
      <c r="A39356"/>
      <c r="B39356"/>
      <c r="C39356"/>
      <c r="E39356"/>
      <c r="F39356"/>
    </row>
    <row r="39357" spans="1:6" x14ac:dyDescent="0.25">
      <c r="A39357"/>
      <c r="B39357"/>
      <c r="C39357"/>
      <c r="E39357"/>
      <c r="F39357"/>
    </row>
    <row r="39358" spans="1:6" x14ac:dyDescent="0.25">
      <c r="A39358"/>
      <c r="B39358"/>
      <c r="C39358"/>
      <c r="E39358"/>
      <c r="F39358"/>
    </row>
    <row r="39359" spans="1:6" x14ac:dyDescent="0.25">
      <c r="A39359"/>
      <c r="B39359"/>
      <c r="C39359"/>
      <c r="E39359"/>
      <c r="F39359"/>
    </row>
    <row r="39360" spans="1:6" x14ac:dyDescent="0.25">
      <c r="A39360"/>
      <c r="B39360"/>
      <c r="C39360"/>
      <c r="E39360"/>
      <c r="F39360"/>
    </row>
    <row r="39361" spans="1:6" x14ac:dyDescent="0.25">
      <c r="A39361"/>
      <c r="B39361"/>
      <c r="C39361"/>
      <c r="E39361"/>
      <c r="F39361"/>
    </row>
    <row r="39362" spans="1:6" x14ac:dyDescent="0.25">
      <c r="A39362"/>
      <c r="B39362"/>
      <c r="C39362"/>
      <c r="E39362"/>
      <c r="F39362"/>
    </row>
    <row r="39363" spans="1:6" x14ac:dyDescent="0.25">
      <c r="A39363"/>
      <c r="B39363"/>
      <c r="C39363"/>
      <c r="E39363"/>
      <c r="F39363"/>
    </row>
    <row r="39364" spans="1:6" x14ac:dyDescent="0.25">
      <c r="A39364"/>
      <c r="B39364"/>
      <c r="C39364"/>
      <c r="E39364"/>
      <c r="F39364"/>
    </row>
    <row r="39365" spans="1:6" x14ac:dyDescent="0.25">
      <c r="A39365"/>
      <c r="B39365"/>
      <c r="C39365"/>
      <c r="E39365"/>
      <c r="F39365"/>
    </row>
    <row r="39366" spans="1:6" x14ac:dyDescent="0.25">
      <c r="A39366"/>
      <c r="B39366"/>
      <c r="C39366"/>
      <c r="E39366"/>
      <c r="F39366"/>
    </row>
    <row r="39367" spans="1:6" x14ac:dyDescent="0.25">
      <c r="A39367"/>
      <c r="B39367"/>
      <c r="C39367"/>
      <c r="E39367"/>
      <c r="F39367"/>
    </row>
    <row r="39368" spans="1:6" x14ac:dyDescent="0.25">
      <c r="A39368"/>
      <c r="B39368"/>
      <c r="C39368"/>
      <c r="E39368"/>
      <c r="F39368"/>
    </row>
    <row r="39369" spans="1:6" x14ac:dyDescent="0.25">
      <c r="A39369"/>
      <c r="B39369"/>
      <c r="C39369"/>
      <c r="E39369"/>
      <c r="F39369"/>
    </row>
    <row r="39370" spans="1:6" x14ac:dyDescent="0.25">
      <c r="A39370"/>
      <c r="B39370"/>
      <c r="C39370"/>
      <c r="E39370"/>
      <c r="F39370"/>
    </row>
    <row r="39371" spans="1:6" x14ac:dyDescent="0.25">
      <c r="A39371"/>
      <c r="B39371"/>
      <c r="C39371"/>
      <c r="E39371"/>
      <c r="F39371"/>
    </row>
    <row r="39372" spans="1:6" x14ac:dyDescent="0.25">
      <c r="A39372"/>
      <c r="B39372"/>
      <c r="C39372"/>
      <c r="E39372"/>
      <c r="F39372"/>
    </row>
    <row r="39373" spans="1:6" x14ac:dyDescent="0.25">
      <c r="A39373"/>
      <c r="B39373"/>
      <c r="C39373"/>
      <c r="E39373"/>
      <c r="F39373"/>
    </row>
    <row r="39374" spans="1:6" x14ac:dyDescent="0.25">
      <c r="A39374"/>
      <c r="B39374"/>
      <c r="C39374"/>
      <c r="E39374"/>
      <c r="F39374"/>
    </row>
    <row r="39375" spans="1:6" x14ac:dyDescent="0.25">
      <c r="A39375"/>
      <c r="B39375"/>
      <c r="C39375"/>
      <c r="E39375"/>
      <c r="F39375"/>
    </row>
    <row r="39376" spans="1:6" x14ac:dyDescent="0.25">
      <c r="A39376"/>
      <c r="B39376"/>
      <c r="C39376"/>
      <c r="E39376"/>
      <c r="F39376"/>
    </row>
    <row r="39377" spans="1:6" x14ac:dyDescent="0.25">
      <c r="A39377"/>
      <c r="B39377"/>
      <c r="C39377"/>
      <c r="E39377"/>
      <c r="F39377"/>
    </row>
    <row r="39378" spans="1:6" x14ac:dyDescent="0.25">
      <c r="A39378"/>
      <c r="B39378"/>
      <c r="C39378"/>
      <c r="E39378"/>
      <c r="F39378"/>
    </row>
    <row r="39379" spans="1:6" x14ac:dyDescent="0.25">
      <c r="A39379"/>
      <c r="B39379"/>
      <c r="C39379"/>
      <c r="E39379"/>
      <c r="F39379"/>
    </row>
    <row r="39380" spans="1:6" x14ac:dyDescent="0.25">
      <c r="A39380"/>
      <c r="B39380"/>
      <c r="C39380"/>
      <c r="E39380"/>
      <c r="F39380"/>
    </row>
    <row r="39381" spans="1:6" x14ac:dyDescent="0.25">
      <c r="A39381"/>
      <c r="B39381"/>
      <c r="C39381"/>
      <c r="E39381"/>
      <c r="F39381"/>
    </row>
    <row r="39382" spans="1:6" x14ac:dyDescent="0.25">
      <c r="A39382"/>
      <c r="B39382"/>
      <c r="C39382"/>
      <c r="E39382"/>
      <c r="F39382"/>
    </row>
    <row r="39383" spans="1:6" x14ac:dyDescent="0.25">
      <c r="A39383"/>
      <c r="B39383"/>
      <c r="C39383"/>
      <c r="E39383"/>
      <c r="F39383"/>
    </row>
    <row r="39384" spans="1:6" x14ac:dyDescent="0.25">
      <c r="A39384"/>
      <c r="B39384"/>
      <c r="C39384"/>
      <c r="E39384"/>
      <c r="F39384"/>
    </row>
    <row r="39385" spans="1:6" x14ac:dyDescent="0.25">
      <c r="A39385"/>
      <c r="B39385"/>
      <c r="C39385"/>
      <c r="E39385"/>
      <c r="F39385"/>
    </row>
    <row r="39386" spans="1:6" x14ac:dyDescent="0.25">
      <c r="A39386"/>
      <c r="B39386"/>
      <c r="C39386"/>
      <c r="E39386"/>
      <c r="F39386"/>
    </row>
    <row r="39387" spans="1:6" x14ac:dyDescent="0.25">
      <c r="A39387"/>
      <c r="B39387"/>
      <c r="C39387"/>
      <c r="E39387"/>
      <c r="F39387"/>
    </row>
    <row r="39388" spans="1:6" x14ac:dyDescent="0.25">
      <c r="A39388"/>
      <c r="B39388"/>
      <c r="C39388"/>
      <c r="E39388"/>
      <c r="F39388"/>
    </row>
    <row r="39389" spans="1:6" x14ac:dyDescent="0.25">
      <c r="A39389"/>
      <c r="B39389"/>
      <c r="C39389"/>
      <c r="E39389"/>
      <c r="F39389"/>
    </row>
    <row r="39390" spans="1:6" x14ac:dyDescent="0.25">
      <c r="A39390"/>
      <c r="B39390"/>
      <c r="C39390"/>
      <c r="E39390"/>
      <c r="F39390"/>
    </row>
    <row r="39391" spans="1:6" x14ac:dyDescent="0.25">
      <c r="A39391"/>
      <c r="B39391"/>
      <c r="C39391"/>
      <c r="E39391"/>
      <c r="F39391"/>
    </row>
    <row r="39392" spans="1:6" x14ac:dyDescent="0.25">
      <c r="A39392"/>
      <c r="B39392"/>
      <c r="C39392"/>
      <c r="E39392"/>
      <c r="F39392"/>
    </row>
    <row r="39393" spans="1:6" x14ac:dyDescent="0.25">
      <c r="A39393"/>
      <c r="B39393"/>
      <c r="C39393"/>
      <c r="E39393"/>
      <c r="F39393"/>
    </row>
    <row r="39394" spans="1:6" x14ac:dyDescent="0.25">
      <c r="A39394"/>
      <c r="B39394"/>
      <c r="C39394"/>
      <c r="E39394"/>
      <c r="F39394"/>
    </row>
    <row r="39395" spans="1:6" x14ac:dyDescent="0.25">
      <c r="A39395"/>
      <c r="B39395"/>
      <c r="C39395"/>
      <c r="E39395"/>
      <c r="F39395"/>
    </row>
    <row r="39396" spans="1:6" x14ac:dyDescent="0.25">
      <c r="A39396"/>
      <c r="B39396"/>
      <c r="C39396"/>
      <c r="E39396"/>
      <c r="F39396"/>
    </row>
    <row r="39397" spans="1:6" x14ac:dyDescent="0.25">
      <c r="A39397"/>
      <c r="B39397"/>
      <c r="C39397"/>
      <c r="E39397"/>
      <c r="F39397"/>
    </row>
    <row r="39398" spans="1:6" x14ac:dyDescent="0.25">
      <c r="A39398"/>
      <c r="B39398"/>
      <c r="C39398"/>
      <c r="E39398"/>
      <c r="F39398"/>
    </row>
    <row r="39399" spans="1:6" x14ac:dyDescent="0.25">
      <c r="A39399"/>
      <c r="B39399"/>
      <c r="C39399"/>
      <c r="E39399"/>
      <c r="F39399"/>
    </row>
    <row r="39400" spans="1:6" x14ac:dyDescent="0.25">
      <c r="A39400"/>
      <c r="B39400"/>
      <c r="C39400"/>
      <c r="E39400"/>
      <c r="F39400"/>
    </row>
    <row r="39401" spans="1:6" x14ac:dyDescent="0.25">
      <c r="A39401"/>
      <c r="B39401"/>
      <c r="C39401"/>
      <c r="E39401"/>
      <c r="F39401"/>
    </row>
    <row r="39402" spans="1:6" x14ac:dyDescent="0.25">
      <c r="A39402"/>
      <c r="B39402"/>
      <c r="C39402"/>
      <c r="E39402"/>
      <c r="F39402"/>
    </row>
    <row r="39403" spans="1:6" x14ac:dyDescent="0.25">
      <c r="A39403"/>
      <c r="B39403"/>
      <c r="C39403"/>
      <c r="E39403"/>
      <c r="F39403"/>
    </row>
    <row r="39404" spans="1:6" x14ac:dyDescent="0.25">
      <c r="A39404"/>
      <c r="B39404"/>
      <c r="C39404"/>
      <c r="E39404"/>
      <c r="F39404"/>
    </row>
    <row r="39405" spans="1:6" x14ac:dyDescent="0.25">
      <c r="A39405"/>
      <c r="B39405"/>
      <c r="C39405"/>
      <c r="E39405"/>
      <c r="F39405"/>
    </row>
    <row r="39406" spans="1:6" x14ac:dyDescent="0.25">
      <c r="A39406"/>
      <c r="B39406"/>
      <c r="C39406"/>
      <c r="E39406"/>
      <c r="F39406"/>
    </row>
    <row r="39407" spans="1:6" x14ac:dyDescent="0.25">
      <c r="A39407"/>
      <c r="B39407"/>
      <c r="C39407"/>
      <c r="E39407"/>
      <c r="F39407"/>
    </row>
    <row r="39408" spans="1:6" x14ac:dyDescent="0.25">
      <c r="A39408"/>
      <c r="B39408"/>
      <c r="C39408"/>
      <c r="E39408"/>
      <c r="F39408"/>
    </row>
    <row r="39409" spans="1:6" x14ac:dyDescent="0.25">
      <c r="A39409"/>
      <c r="B39409"/>
      <c r="C39409"/>
      <c r="E39409"/>
      <c r="F39409"/>
    </row>
    <row r="39410" spans="1:6" x14ac:dyDescent="0.25">
      <c r="A39410"/>
      <c r="B39410"/>
      <c r="C39410"/>
      <c r="E39410"/>
      <c r="F39410"/>
    </row>
    <row r="39411" spans="1:6" x14ac:dyDescent="0.25">
      <c r="A39411"/>
      <c r="B39411"/>
      <c r="C39411"/>
      <c r="E39411"/>
      <c r="F39411"/>
    </row>
    <row r="39412" spans="1:6" x14ac:dyDescent="0.25">
      <c r="A39412"/>
      <c r="B39412"/>
      <c r="C39412"/>
      <c r="E39412"/>
      <c r="F39412"/>
    </row>
    <row r="39413" spans="1:6" x14ac:dyDescent="0.25">
      <c r="A39413"/>
      <c r="B39413"/>
      <c r="C39413"/>
      <c r="E39413"/>
      <c r="F39413"/>
    </row>
    <row r="39414" spans="1:6" x14ac:dyDescent="0.25">
      <c r="A39414"/>
      <c r="B39414"/>
      <c r="C39414"/>
      <c r="E39414"/>
      <c r="F39414"/>
    </row>
    <row r="39415" spans="1:6" x14ac:dyDescent="0.25">
      <c r="A39415"/>
      <c r="B39415"/>
      <c r="C39415"/>
      <c r="E39415"/>
      <c r="F39415"/>
    </row>
    <row r="39416" spans="1:6" x14ac:dyDescent="0.25">
      <c r="A39416"/>
      <c r="B39416"/>
      <c r="C39416"/>
      <c r="E39416"/>
      <c r="F39416"/>
    </row>
    <row r="39417" spans="1:6" x14ac:dyDescent="0.25">
      <c r="A39417"/>
      <c r="B39417"/>
      <c r="C39417"/>
      <c r="E39417"/>
      <c r="F39417"/>
    </row>
    <row r="39418" spans="1:6" x14ac:dyDescent="0.25">
      <c r="A39418"/>
      <c r="B39418"/>
      <c r="C39418"/>
      <c r="E39418"/>
      <c r="F39418"/>
    </row>
    <row r="39419" spans="1:6" x14ac:dyDescent="0.25">
      <c r="A39419"/>
      <c r="B39419"/>
      <c r="C39419"/>
      <c r="E39419"/>
      <c r="F39419"/>
    </row>
    <row r="39420" spans="1:6" x14ac:dyDescent="0.25">
      <c r="A39420"/>
      <c r="B39420"/>
      <c r="C39420"/>
      <c r="E39420"/>
      <c r="F39420"/>
    </row>
    <row r="39421" spans="1:6" x14ac:dyDescent="0.25">
      <c r="A39421"/>
      <c r="B39421"/>
      <c r="C39421"/>
      <c r="E39421"/>
      <c r="F39421"/>
    </row>
    <row r="39422" spans="1:6" x14ac:dyDescent="0.25">
      <c r="A39422"/>
      <c r="B39422"/>
      <c r="C39422"/>
      <c r="E39422"/>
      <c r="F39422"/>
    </row>
    <row r="39423" spans="1:6" x14ac:dyDescent="0.25">
      <c r="A39423"/>
      <c r="B39423"/>
      <c r="C39423"/>
      <c r="E39423"/>
      <c r="F39423"/>
    </row>
    <row r="39424" spans="1:6" x14ac:dyDescent="0.25">
      <c r="A39424"/>
      <c r="B39424"/>
      <c r="C39424"/>
      <c r="E39424"/>
      <c r="F39424"/>
    </row>
    <row r="39425" spans="1:6" x14ac:dyDescent="0.25">
      <c r="A39425"/>
      <c r="B39425"/>
      <c r="C39425"/>
      <c r="E39425"/>
      <c r="F39425"/>
    </row>
    <row r="39426" spans="1:6" x14ac:dyDescent="0.25">
      <c r="A39426"/>
      <c r="B39426"/>
      <c r="C39426"/>
      <c r="E39426"/>
      <c r="F39426"/>
    </row>
    <row r="39427" spans="1:6" x14ac:dyDescent="0.25">
      <c r="A39427"/>
      <c r="B39427"/>
      <c r="C39427"/>
      <c r="E39427"/>
      <c r="F39427"/>
    </row>
    <row r="39428" spans="1:6" x14ac:dyDescent="0.25">
      <c r="A39428"/>
      <c r="B39428"/>
      <c r="C39428"/>
      <c r="E39428"/>
      <c r="F39428"/>
    </row>
    <row r="39429" spans="1:6" x14ac:dyDescent="0.25">
      <c r="A39429"/>
      <c r="B39429"/>
      <c r="C39429"/>
      <c r="E39429"/>
      <c r="F39429"/>
    </row>
    <row r="39430" spans="1:6" x14ac:dyDescent="0.25">
      <c r="A39430"/>
      <c r="B39430"/>
      <c r="C39430"/>
      <c r="E39430"/>
      <c r="F39430"/>
    </row>
    <row r="39431" spans="1:6" x14ac:dyDescent="0.25">
      <c r="A39431"/>
      <c r="B39431"/>
      <c r="C39431"/>
      <c r="E39431"/>
      <c r="F39431"/>
    </row>
    <row r="39432" spans="1:6" x14ac:dyDescent="0.25">
      <c r="A39432"/>
      <c r="B39432"/>
      <c r="C39432"/>
      <c r="E39432"/>
      <c r="F39432"/>
    </row>
    <row r="39433" spans="1:6" x14ac:dyDescent="0.25">
      <c r="A39433"/>
      <c r="B39433"/>
      <c r="C39433"/>
      <c r="E39433"/>
      <c r="F39433"/>
    </row>
    <row r="39434" spans="1:6" x14ac:dyDescent="0.25">
      <c r="A39434"/>
      <c r="B39434"/>
      <c r="C39434"/>
      <c r="E39434"/>
      <c r="F39434"/>
    </row>
    <row r="39435" spans="1:6" x14ac:dyDescent="0.25">
      <c r="A39435"/>
      <c r="B39435"/>
      <c r="C39435"/>
      <c r="E39435"/>
      <c r="F39435"/>
    </row>
    <row r="39436" spans="1:6" x14ac:dyDescent="0.25">
      <c r="A39436"/>
      <c r="B39436"/>
      <c r="C39436"/>
      <c r="E39436"/>
      <c r="F39436"/>
    </row>
    <row r="39437" spans="1:6" x14ac:dyDescent="0.25">
      <c r="A39437"/>
      <c r="B39437"/>
      <c r="C39437"/>
      <c r="E39437"/>
      <c r="F39437"/>
    </row>
    <row r="39438" spans="1:6" x14ac:dyDescent="0.25">
      <c r="A39438"/>
      <c r="B39438"/>
      <c r="C39438"/>
      <c r="E39438"/>
      <c r="F39438"/>
    </row>
    <row r="39439" spans="1:6" x14ac:dyDescent="0.25">
      <c r="A39439"/>
      <c r="B39439"/>
      <c r="C39439"/>
      <c r="E39439"/>
      <c r="F39439"/>
    </row>
    <row r="39440" spans="1:6" x14ac:dyDescent="0.25">
      <c r="A39440"/>
      <c r="B39440"/>
      <c r="C39440"/>
      <c r="E39440"/>
      <c r="F39440"/>
    </row>
    <row r="39441" spans="1:6" x14ac:dyDescent="0.25">
      <c r="A39441"/>
      <c r="B39441"/>
      <c r="C39441"/>
      <c r="E39441"/>
      <c r="F39441"/>
    </row>
    <row r="39442" spans="1:6" x14ac:dyDescent="0.25">
      <c r="A39442"/>
      <c r="B39442"/>
      <c r="C39442"/>
      <c r="E39442"/>
      <c r="F39442"/>
    </row>
    <row r="39443" spans="1:6" x14ac:dyDescent="0.25">
      <c r="A39443"/>
      <c r="B39443"/>
      <c r="C39443"/>
      <c r="E39443"/>
      <c r="F39443"/>
    </row>
    <row r="39444" spans="1:6" x14ac:dyDescent="0.25">
      <c r="A39444"/>
      <c r="B39444"/>
      <c r="C39444"/>
      <c r="E39444"/>
      <c r="F39444"/>
    </row>
    <row r="39445" spans="1:6" x14ac:dyDescent="0.25">
      <c r="A39445"/>
      <c r="B39445"/>
      <c r="C39445"/>
      <c r="E39445"/>
      <c r="F39445"/>
    </row>
    <row r="39446" spans="1:6" x14ac:dyDescent="0.25">
      <c r="A39446"/>
      <c r="B39446"/>
      <c r="C39446"/>
      <c r="E39446"/>
      <c r="F39446"/>
    </row>
    <row r="39447" spans="1:6" x14ac:dyDescent="0.25">
      <c r="A39447"/>
      <c r="B39447"/>
      <c r="C39447"/>
      <c r="E39447"/>
      <c r="F39447"/>
    </row>
    <row r="39448" spans="1:6" x14ac:dyDescent="0.25">
      <c r="A39448"/>
      <c r="B39448"/>
      <c r="C39448"/>
      <c r="E39448"/>
      <c r="F39448"/>
    </row>
    <row r="39449" spans="1:6" x14ac:dyDescent="0.25">
      <c r="A39449"/>
      <c r="B39449"/>
      <c r="C39449"/>
      <c r="E39449"/>
      <c r="F39449"/>
    </row>
    <row r="39450" spans="1:6" x14ac:dyDescent="0.25">
      <c r="A39450"/>
      <c r="B39450"/>
      <c r="C39450"/>
      <c r="E39450"/>
      <c r="F39450"/>
    </row>
    <row r="39451" spans="1:6" x14ac:dyDescent="0.25">
      <c r="A39451"/>
      <c r="B39451"/>
      <c r="C39451"/>
      <c r="E39451"/>
      <c r="F39451"/>
    </row>
    <row r="39452" spans="1:6" x14ac:dyDescent="0.25">
      <c r="A39452"/>
      <c r="B39452"/>
      <c r="C39452"/>
      <c r="E39452"/>
      <c r="F39452"/>
    </row>
    <row r="39453" spans="1:6" x14ac:dyDescent="0.25">
      <c r="A39453"/>
      <c r="B39453"/>
      <c r="C39453"/>
      <c r="E39453"/>
      <c r="F39453"/>
    </row>
    <row r="39454" spans="1:6" x14ac:dyDescent="0.25">
      <c r="A39454"/>
      <c r="B39454"/>
      <c r="C39454"/>
      <c r="E39454"/>
      <c r="F39454"/>
    </row>
    <row r="39455" spans="1:6" x14ac:dyDescent="0.25">
      <c r="A39455"/>
      <c r="B39455"/>
      <c r="C39455"/>
      <c r="E39455"/>
      <c r="F39455"/>
    </row>
    <row r="39456" spans="1:6" x14ac:dyDescent="0.25">
      <c r="A39456"/>
      <c r="B39456"/>
      <c r="C39456"/>
      <c r="E39456"/>
      <c r="F39456"/>
    </row>
    <row r="39457" spans="1:6" x14ac:dyDescent="0.25">
      <c r="A39457"/>
      <c r="B39457"/>
      <c r="C39457"/>
      <c r="E39457"/>
      <c r="F39457"/>
    </row>
    <row r="39458" spans="1:6" x14ac:dyDescent="0.25">
      <c r="A39458"/>
      <c r="B39458"/>
      <c r="C39458"/>
      <c r="E39458"/>
      <c r="F39458"/>
    </row>
    <row r="39459" spans="1:6" x14ac:dyDescent="0.25">
      <c r="A39459"/>
      <c r="B39459"/>
      <c r="C39459"/>
      <c r="E39459"/>
      <c r="F39459"/>
    </row>
    <row r="39460" spans="1:6" x14ac:dyDescent="0.25">
      <c r="A39460"/>
      <c r="B39460"/>
      <c r="C39460"/>
      <c r="E39460"/>
      <c r="F39460"/>
    </row>
    <row r="39461" spans="1:6" x14ac:dyDescent="0.25">
      <c r="A39461"/>
      <c r="B39461"/>
      <c r="C39461"/>
      <c r="E39461"/>
      <c r="F39461"/>
    </row>
    <row r="39462" spans="1:6" x14ac:dyDescent="0.25">
      <c r="A39462"/>
      <c r="B39462"/>
      <c r="C39462"/>
      <c r="E39462"/>
      <c r="F39462"/>
    </row>
    <row r="39463" spans="1:6" x14ac:dyDescent="0.25">
      <c r="A39463"/>
      <c r="B39463"/>
      <c r="C39463"/>
      <c r="E39463"/>
      <c r="F39463"/>
    </row>
    <row r="39464" spans="1:6" x14ac:dyDescent="0.25">
      <c r="A39464"/>
      <c r="B39464"/>
      <c r="C39464"/>
      <c r="E39464"/>
      <c r="F39464"/>
    </row>
    <row r="39465" spans="1:6" x14ac:dyDescent="0.25">
      <c r="A39465"/>
      <c r="B39465"/>
      <c r="C39465"/>
      <c r="E39465"/>
      <c r="F39465"/>
    </row>
    <row r="39466" spans="1:6" x14ac:dyDescent="0.25">
      <c r="A39466"/>
      <c r="B39466"/>
      <c r="C39466"/>
      <c r="E39466"/>
      <c r="F39466"/>
    </row>
    <row r="39467" spans="1:6" x14ac:dyDescent="0.25">
      <c r="A39467"/>
      <c r="B39467"/>
      <c r="C39467"/>
      <c r="E39467"/>
      <c r="F39467"/>
    </row>
    <row r="39468" spans="1:6" x14ac:dyDescent="0.25">
      <c r="A39468"/>
      <c r="B39468"/>
      <c r="C39468"/>
      <c r="E39468"/>
      <c r="F39468"/>
    </row>
    <row r="39469" spans="1:6" x14ac:dyDescent="0.25">
      <c r="A39469"/>
      <c r="B39469"/>
      <c r="C39469"/>
      <c r="E39469"/>
      <c r="F39469"/>
    </row>
    <row r="39470" spans="1:6" x14ac:dyDescent="0.25">
      <c r="A39470"/>
      <c r="B39470"/>
      <c r="C39470"/>
      <c r="E39470"/>
      <c r="F39470"/>
    </row>
    <row r="39471" spans="1:6" x14ac:dyDescent="0.25">
      <c r="A39471"/>
      <c r="B39471"/>
      <c r="C39471"/>
      <c r="E39471"/>
      <c r="F39471"/>
    </row>
    <row r="39472" spans="1:6" x14ac:dyDescent="0.25">
      <c r="A39472"/>
      <c r="B39472"/>
      <c r="C39472"/>
      <c r="E39472"/>
      <c r="F39472"/>
    </row>
    <row r="39473" spans="1:6" x14ac:dyDescent="0.25">
      <c r="A39473"/>
      <c r="B39473"/>
      <c r="C39473"/>
      <c r="E39473"/>
      <c r="F39473"/>
    </row>
    <row r="39474" spans="1:6" x14ac:dyDescent="0.25">
      <c r="A39474"/>
      <c r="B39474"/>
      <c r="C39474"/>
      <c r="E39474"/>
      <c r="F39474"/>
    </row>
    <row r="39475" spans="1:6" x14ac:dyDescent="0.25">
      <c r="A39475"/>
      <c r="B39475"/>
      <c r="C39475"/>
      <c r="E39475"/>
      <c r="F39475"/>
    </row>
    <row r="39476" spans="1:6" x14ac:dyDescent="0.25">
      <c r="A39476"/>
      <c r="B39476"/>
      <c r="C39476"/>
      <c r="E39476"/>
      <c r="F39476"/>
    </row>
    <row r="39477" spans="1:6" x14ac:dyDescent="0.25">
      <c r="A39477"/>
      <c r="B39477"/>
      <c r="C39477"/>
      <c r="E39477"/>
      <c r="F39477"/>
    </row>
    <row r="39478" spans="1:6" x14ac:dyDescent="0.25">
      <c r="A39478"/>
      <c r="B39478"/>
      <c r="C39478"/>
      <c r="E39478"/>
      <c r="F39478"/>
    </row>
    <row r="39479" spans="1:6" x14ac:dyDescent="0.25">
      <c r="A39479"/>
      <c r="B39479"/>
      <c r="C39479"/>
      <c r="E39479"/>
      <c r="F39479"/>
    </row>
    <row r="39480" spans="1:6" x14ac:dyDescent="0.25">
      <c r="A39480"/>
      <c r="B39480"/>
      <c r="C39480"/>
      <c r="E39480"/>
      <c r="F39480"/>
    </row>
    <row r="39481" spans="1:6" x14ac:dyDescent="0.25">
      <c r="A39481"/>
      <c r="B39481"/>
      <c r="C39481"/>
      <c r="E39481"/>
      <c r="F39481"/>
    </row>
    <row r="39482" spans="1:6" x14ac:dyDescent="0.25">
      <c r="A39482"/>
      <c r="B39482"/>
      <c r="C39482"/>
      <c r="E39482"/>
      <c r="F39482"/>
    </row>
    <row r="39483" spans="1:6" x14ac:dyDescent="0.25">
      <c r="A39483"/>
      <c r="B39483"/>
      <c r="C39483"/>
      <c r="E39483"/>
      <c r="F39483"/>
    </row>
    <row r="39484" spans="1:6" x14ac:dyDescent="0.25">
      <c r="A39484"/>
      <c r="B39484"/>
      <c r="C39484"/>
      <c r="E39484"/>
      <c r="F39484"/>
    </row>
    <row r="39485" spans="1:6" x14ac:dyDescent="0.25">
      <c r="A39485"/>
      <c r="B39485"/>
      <c r="C39485"/>
      <c r="E39485"/>
      <c r="F39485"/>
    </row>
    <row r="39486" spans="1:6" x14ac:dyDescent="0.25">
      <c r="A39486"/>
      <c r="B39486"/>
      <c r="C39486"/>
      <c r="E39486"/>
      <c r="F39486"/>
    </row>
    <row r="39487" spans="1:6" x14ac:dyDescent="0.25">
      <c r="A39487"/>
      <c r="B39487"/>
      <c r="C39487"/>
      <c r="E39487"/>
      <c r="F39487"/>
    </row>
    <row r="39488" spans="1:6" x14ac:dyDescent="0.25">
      <c r="A39488"/>
      <c r="B39488"/>
      <c r="C39488"/>
      <c r="E39488"/>
      <c r="F39488"/>
    </row>
    <row r="39489" spans="1:6" x14ac:dyDescent="0.25">
      <c r="A39489"/>
      <c r="B39489"/>
      <c r="C39489"/>
      <c r="E39489"/>
      <c r="F39489"/>
    </row>
    <row r="39490" spans="1:6" x14ac:dyDescent="0.25">
      <c r="A39490"/>
      <c r="B39490"/>
      <c r="C39490"/>
      <c r="E39490"/>
      <c r="F39490"/>
    </row>
    <row r="39491" spans="1:6" x14ac:dyDescent="0.25">
      <c r="A39491"/>
      <c r="B39491"/>
      <c r="C39491"/>
      <c r="E39491"/>
      <c r="F39491"/>
    </row>
    <row r="39492" spans="1:6" x14ac:dyDescent="0.25">
      <c r="A39492"/>
      <c r="B39492"/>
      <c r="C39492"/>
      <c r="E39492"/>
      <c r="F39492"/>
    </row>
    <row r="39493" spans="1:6" x14ac:dyDescent="0.25">
      <c r="A39493"/>
      <c r="B39493"/>
      <c r="C39493"/>
      <c r="E39493"/>
      <c r="F39493"/>
    </row>
    <row r="39494" spans="1:6" x14ac:dyDescent="0.25">
      <c r="A39494"/>
      <c r="B39494"/>
      <c r="C39494"/>
      <c r="E39494"/>
      <c r="F39494"/>
    </row>
    <row r="39495" spans="1:6" x14ac:dyDescent="0.25">
      <c r="A39495"/>
      <c r="B39495"/>
      <c r="C39495"/>
      <c r="E39495"/>
      <c r="F39495"/>
    </row>
    <row r="39496" spans="1:6" x14ac:dyDescent="0.25">
      <c r="A39496"/>
      <c r="B39496"/>
      <c r="C39496"/>
      <c r="E39496"/>
      <c r="F39496"/>
    </row>
    <row r="39497" spans="1:6" x14ac:dyDescent="0.25">
      <c r="A39497"/>
      <c r="B39497"/>
      <c r="C39497"/>
      <c r="E39497"/>
      <c r="F39497"/>
    </row>
    <row r="39498" spans="1:6" x14ac:dyDescent="0.25">
      <c r="A39498"/>
      <c r="B39498"/>
      <c r="C39498"/>
      <c r="E39498"/>
      <c r="F39498"/>
    </row>
    <row r="39499" spans="1:6" x14ac:dyDescent="0.25">
      <c r="A39499"/>
      <c r="B39499"/>
      <c r="C39499"/>
      <c r="E39499"/>
      <c r="F39499"/>
    </row>
    <row r="39500" spans="1:6" x14ac:dyDescent="0.25">
      <c r="A39500"/>
      <c r="B39500"/>
      <c r="C39500"/>
      <c r="E39500"/>
      <c r="F39500"/>
    </row>
    <row r="39501" spans="1:6" x14ac:dyDescent="0.25">
      <c r="A39501"/>
      <c r="B39501"/>
      <c r="C39501"/>
      <c r="E39501"/>
      <c r="F39501"/>
    </row>
    <row r="39502" spans="1:6" x14ac:dyDescent="0.25">
      <c r="A39502"/>
      <c r="B39502"/>
      <c r="C39502"/>
      <c r="E39502"/>
      <c r="F39502"/>
    </row>
    <row r="39503" spans="1:6" x14ac:dyDescent="0.25">
      <c r="A39503"/>
      <c r="B39503"/>
      <c r="C39503"/>
      <c r="E39503"/>
      <c r="F39503"/>
    </row>
    <row r="39504" spans="1:6" x14ac:dyDescent="0.25">
      <c r="A39504"/>
      <c r="B39504"/>
      <c r="C39504"/>
      <c r="E39504"/>
      <c r="F39504"/>
    </row>
    <row r="39505" spans="1:6" x14ac:dyDescent="0.25">
      <c r="A39505"/>
      <c r="B39505"/>
      <c r="C39505"/>
      <c r="E39505"/>
      <c r="F39505"/>
    </row>
    <row r="39506" spans="1:6" x14ac:dyDescent="0.25">
      <c r="A39506"/>
      <c r="B39506"/>
      <c r="C39506"/>
      <c r="E39506"/>
      <c r="F39506"/>
    </row>
    <row r="39507" spans="1:6" x14ac:dyDescent="0.25">
      <c r="A39507"/>
      <c r="B39507"/>
      <c r="C39507"/>
      <c r="E39507"/>
      <c r="F39507"/>
    </row>
    <row r="39508" spans="1:6" x14ac:dyDescent="0.25">
      <c r="A39508"/>
      <c r="B39508"/>
      <c r="C39508"/>
      <c r="E39508"/>
      <c r="F39508"/>
    </row>
    <row r="39509" spans="1:6" x14ac:dyDescent="0.25">
      <c r="A39509"/>
      <c r="B39509"/>
      <c r="C39509"/>
      <c r="E39509"/>
      <c r="F39509"/>
    </row>
    <row r="39510" spans="1:6" x14ac:dyDescent="0.25">
      <c r="A39510"/>
      <c r="B39510"/>
      <c r="C39510"/>
      <c r="E39510"/>
      <c r="F39510"/>
    </row>
    <row r="39511" spans="1:6" x14ac:dyDescent="0.25">
      <c r="A39511"/>
      <c r="B39511"/>
      <c r="C39511"/>
      <c r="E39511"/>
      <c r="F39511"/>
    </row>
    <row r="39512" spans="1:6" x14ac:dyDescent="0.25">
      <c r="A39512"/>
      <c r="B39512"/>
      <c r="C39512"/>
      <c r="E39512"/>
      <c r="F39512"/>
    </row>
    <row r="39513" spans="1:6" x14ac:dyDescent="0.25">
      <c r="A39513"/>
      <c r="B39513"/>
      <c r="C39513"/>
      <c r="E39513"/>
      <c r="F39513"/>
    </row>
    <row r="39514" spans="1:6" x14ac:dyDescent="0.25">
      <c r="A39514"/>
      <c r="B39514"/>
      <c r="C39514"/>
      <c r="E39514"/>
      <c r="F39514"/>
    </row>
    <row r="39515" spans="1:6" x14ac:dyDescent="0.25">
      <c r="A39515"/>
      <c r="B39515"/>
      <c r="C39515"/>
      <c r="E39515"/>
      <c r="F39515"/>
    </row>
    <row r="39516" spans="1:6" x14ac:dyDescent="0.25">
      <c r="A39516"/>
      <c r="B39516"/>
      <c r="C39516"/>
      <c r="E39516"/>
      <c r="F39516"/>
    </row>
    <row r="39517" spans="1:6" x14ac:dyDescent="0.25">
      <c r="A39517"/>
      <c r="B39517"/>
      <c r="C39517"/>
      <c r="E39517"/>
      <c r="F39517"/>
    </row>
    <row r="39518" spans="1:6" x14ac:dyDescent="0.25">
      <c r="A39518"/>
      <c r="B39518"/>
      <c r="C39518"/>
      <c r="E39518"/>
      <c r="F39518"/>
    </row>
    <row r="39519" spans="1:6" x14ac:dyDescent="0.25">
      <c r="A39519"/>
      <c r="B39519"/>
      <c r="C39519"/>
      <c r="E39519"/>
      <c r="F39519"/>
    </row>
    <row r="39520" spans="1:6" x14ac:dyDescent="0.25">
      <c r="A39520"/>
      <c r="B39520"/>
      <c r="C39520"/>
      <c r="E39520"/>
      <c r="F39520"/>
    </row>
    <row r="39521" spans="1:6" x14ac:dyDescent="0.25">
      <c r="A39521"/>
      <c r="B39521"/>
      <c r="C39521"/>
      <c r="E39521"/>
      <c r="F39521"/>
    </row>
    <row r="39522" spans="1:6" x14ac:dyDescent="0.25">
      <c r="A39522"/>
      <c r="B39522"/>
      <c r="C39522"/>
      <c r="E39522"/>
      <c r="F39522"/>
    </row>
    <row r="39523" spans="1:6" x14ac:dyDescent="0.25">
      <c r="A39523"/>
      <c r="B39523"/>
      <c r="C39523"/>
      <c r="E39523"/>
      <c r="F39523"/>
    </row>
    <row r="39524" spans="1:6" x14ac:dyDescent="0.25">
      <c r="A39524"/>
      <c r="B39524"/>
      <c r="C39524"/>
      <c r="E39524"/>
      <c r="F39524"/>
    </row>
    <row r="39525" spans="1:6" x14ac:dyDescent="0.25">
      <c r="A39525"/>
      <c r="B39525"/>
      <c r="C39525"/>
      <c r="E39525"/>
      <c r="F39525"/>
    </row>
    <row r="39526" spans="1:6" x14ac:dyDescent="0.25">
      <c r="A39526"/>
      <c r="B39526"/>
      <c r="C39526"/>
      <c r="E39526"/>
      <c r="F39526"/>
    </row>
    <row r="39527" spans="1:6" x14ac:dyDescent="0.25">
      <c r="A39527"/>
      <c r="B39527"/>
      <c r="C39527"/>
      <c r="E39527"/>
      <c r="F39527"/>
    </row>
    <row r="39528" spans="1:6" x14ac:dyDescent="0.25">
      <c r="A39528"/>
      <c r="B39528"/>
      <c r="C39528"/>
      <c r="E39528"/>
      <c r="F39528"/>
    </row>
    <row r="39529" spans="1:6" x14ac:dyDescent="0.25">
      <c r="A39529"/>
      <c r="B39529"/>
      <c r="C39529"/>
      <c r="E39529"/>
      <c r="F39529"/>
    </row>
    <row r="39530" spans="1:6" x14ac:dyDescent="0.25">
      <c r="A39530"/>
      <c r="B39530"/>
      <c r="C39530"/>
      <c r="E39530"/>
      <c r="F39530"/>
    </row>
    <row r="39531" spans="1:6" x14ac:dyDescent="0.25">
      <c r="A39531"/>
      <c r="B39531"/>
      <c r="C39531"/>
      <c r="E39531"/>
      <c r="F39531"/>
    </row>
    <row r="39532" spans="1:6" x14ac:dyDescent="0.25">
      <c r="A39532"/>
      <c r="B39532"/>
      <c r="C39532"/>
      <c r="E39532"/>
      <c r="F39532"/>
    </row>
    <row r="39533" spans="1:6" x14ac:dyDescent="0.25">
      <c r="A39533"/>
      <c r="B39533"/>
      <c r="C39533"/>
      <c r="E39533"/>
      <c r="F39533"/>
    </row>
    <row r="39534" spans="1:6" x14ac:dyDescent="0.25">
      <c r="A39534"/>
      <c r="B39534"/>
      <c r="C39534"/>
      <c r="E39534"/>
      <c r="F39534"/>
    </row>
    <row r="39535" spans="1:6" x14ac:dyDescent="0.25">
      <c r="A39535"/>
      <c r="B39535"/>
      <c r="C39535"/>
      <c r="E39535"/>
      <c r="F39535"/>
    </row>
    <row r="39536" spans="1:6" x14ac:dyDescent="0.25">
      <c r="A39536"/>
      <c r="B39536"/>
      <c r="C39536"/>
      <c r="E39536"/>
      <c r="F39536"/>
    </row>
    <row r="39537" spans="1:6" x14ac:dyDescent="0.25">
      <c r="A39537"/>
      <c r="B39537"/>
      <c r="C39537"/>
      <c r="E39537"/>
      <c r="F39537"/>
    </row>
    <row r="39538" spans="1:6" x14ac:dyDescent="0.25">
      <c r="A39538"/>
      <c r="B39538"/>
      <c r="C39538"/>
      <c r="E39538"/>
      <c r="F39538"/>
    </row>
    <row r="39539" spans="1:6" x14ac:dyDescent="0.25">
      <c r="A39539"/>
      <c r="B39539"/>
      <c r="C39539"/>
      <c r="E39539"/>
      <c r="F39539"/>
    </row>
    <row r="39540" spans="1:6" x14ac:dyDescent="0.25">
      <c r="A39540"/>
      <c r="B39540"/>
      <c r="C39540"/>
      <c r="E39540"/>
      <c r="F39540"/>
    </row>
    <row r="39541" spans="1:6" x14ac:dyDescent="0.25">
      <c r="A39541"/>
      <c r="B39541"/>
      <c r="C39541"/>
      <c r="E39541"/>
      <c r="F39541"/>
    </row>
    <row r="39542" spans="1:6" x14ac:dyDescent="0.25">
      <c r="A39542"/>
      <c r="B39542"/>
      <c r="C39542"/>
      <c r="E39542"/>
      <c r="F39542"/>
    </row>
    <row r="39543" spans="1:6" x14ac:dyDescent="0.25">
      <c r="A39543"/>
      <c r="B39543"/>
      <c r="C39543"/>
      <c r="E39543"/>
      <c r="F39543"/>
    </row>
    <row r="39544" spans="1:6" x14ac:dyDescent="0.25">
      <c r="A39544"/>
      <c r="B39544"/>
      <c r="C39544"/>
      <c r="E39544"/>
      <c r="F39544"/>
    </row>
    <row r="39545" spans="1:6" x14ac:dyDescent="0.25">
      <c r="A39545"/>
      <c r="B39545"/>
      <c r="C39545"/>
      <c r="E39545"/>
      <c r="F39545"/>
    </row>
    <row r="39546" spans="1:6" x14ac:dyDescent="0.25">
      <c r="A39546"/>
      <c r="B39546"/>
      <c r="C39546"/>
      <c r="E39546"/>
      <c r="F39546"/>
    </row>
    <row r="39547" spans="1:6" x14ac:dyDescent="0.25">
      <c r="A39547"/>
      <c r="B39547"/>
      <c r="C39547"/>
      <c r="E39547"/>
      <c r="F39547"/>
    </row>
    <row r="39548" spans="1:6" x14ac:dyDescent="0.25">
      <c r="A39548"/>
      <c r="B39548"/>
      <c r="C39548"/>
      <c r="E39548"/>
      <c r="F39548"/>
    </row>
    <row r="39549" spans="1:6" x14ac:dyDescent="0.25">
      <c r="A39549"/>
      <c r="B39549"/>
      <c r="C39549"/>
      <c r="E39549"/>
      <c r="F39549"/>
    </row>
    <row r="39550" spans="1:6" x14ac:dyDescent="0.25">
      <c r="A39550"/>
      <c r="B39550"/>
      <c r="C39550"/>
      <c r="E39550"/>
      <c r="F39550"/>
    </row>
    <row r="39551" spans="1:6" x14ac:dyDescent="0.25">
      <c r="A39551"/>
      <c r="B39551"/>
      <c r="C39551"/>
      <c r="E39551"/>
      <c r="F39551"/>
    </row>
    <row r="39552" spans="1:6" x14ac:dyDescent="0.25">
      <c r="A39552"/>
      <c r="B39552"/>
      <c r="C39552"/>
      <c r="E39552"/>
      <c r="F39552"/>
    </row>
    <row r="39553" spans="1:6" x14ac:dyDescent="0.25">
      <c r="A39553"/>
      <c r="B39553"/>
      <c r="C39553"/>
      <c r="E39553"/>
      <c r="F39553"/>
    </row>
    <row r="39554" spans="1:6" x14ac:dyDescent="0.25">
      <c r="A39554"/>
      <c r="B39554"/>
      <c r="C39554"/>
      <c r="E39554"/>
      <c r="F39554"/>
    </row>
    <row r="39555" spans="1:6" x14ac:dyDescent="0.25">
      <c r="A39555"/>
      <c r="B39555"/>
      <c r="C39555"/>
      <c r="E39555"/>
      <c r="F39555"/>
    </row>
    <row r="39556" spans="1:6" x14ac:dyDescent="0.25">
      <c r="A39556"/>
      <c r="B39556"/>
      <c r="C39556"/>
      <c r="E39556"/>
      <c r="F39556"/>
    </row>
    <row r="39557" spans="1:6" x14ac:dyDescent="0.25">
      <c r="A39557"/>
      <c r="B39557"/>
      <c r="C39557"/>
      <c r="E39557"/>
      <c r="F39557"/>
    </row>
    <row r="39558" spans="1:6" x14ac:dyDescent="0.25">
      <c r="A39558"/>
      <c r="B39558"/>
      <c r="C39558"/>
      <c r="E39558"/>
      <c r="F39558"/>
    </row>
    <row r="39559" spans="1:6" x14ac:dyDescent="0.25">
      <c r="A39559"/>
      <c r="B39559"/>
      <c r="C39559"/>
      <c r="E39559"/>
      <c r="F39559"/>
    </row>
    <row r="39560" spans="1:6" x14ac:dyDescent="0.25">
      <c r="A39560"/>
      <c r="B39560"/>
      <c r="C39560"/>
      <c r="E39560"/>
      <c r="F39560"/>
    </row>
    <row r="39561" spans="1:6" x14ac:dyDescent="0.25">
      <c r="A39561"/>
      <c r="B39561"/>
      <c r="C39561"/>
      <c r="E39561"/>
      <c r="F39561"/>
    </row>
    <row r="39562" spans="1:6" x14ac:dyDescent="0.25">
      <c r="A39562"/>
      <c r="B39562"/>
      <c r="C39562"/>
      <c r="E39562"/>
      <c r="F39562"/>
    </row>
    <row r="39563" spans="1:6" x14ac:dyDescent="0.25">
      <c r="A39563"/>
      <c r="B39563"/>
      <c r="C39563"/>
      <c r="E39563"/>
      <c r="F39563"/>
    </row>
    <row r="39564" spans="1:6" x14ac:dyDescent="0.25">
      <c r="A39564"/>
      <c r="B39564"/>
      <c r="C39564"/>
      <c r="E39564"/>
      <c r="F39564"/>
    </row>
    <row r="39565" spans="1:6" x14ac:dyDescent="0.25">
      <c r="A39565"/>
      <c r="B39565"/>
      <c r="C39565"/>
      <c r="E39565"/>
      <c r="F39565"/>
    </row>
    <row r="39566" spans="1:6" x14ac:dyDescent="0.25">
      <c r="A39566"/>
      <c r="B39566"/>
      <c r="C39566"/>
      <c r="E39566"/>
      <c r="F39566"/>
    </row>
    <row r="39567" spans="1:6" x14ac:dyDescent="0.25">
      <c r="A39567"/>
      <c r="B39567"/>
      <c r="C39567"/>
      <c r="E39567"/>
      <c r="F39567"/>
    </row>
    <row r="39568" spans="1:6" x14ac:dyDescent="0.25">
      <c r="A39568"/>
      <c r="B39568"/>
      <c r="C39568"/>
      <c r="E39568"/>
      <c r="F39568"/>
    </row>
    <row r="39569" spans="1:6" x14ac:dyDescent="0.25">
      <c r="A39569"/>
      <c r="B39569"/>
      <c r="C39569"/>
      <c r="E39569"/>
      <c r="F39569"/>
    </row>
    <row r="39570" spans="1:6" x14ac:dyDescent="0.25">
      <c r="A39570"/>
      <c r="B39570"/>
      <c r="C39570"/>
      <c r="E39570"/>
      <c r="F39570"/>
    </row>
    <row r="39571" spans="1:6" x14ac:dyDescent="0.25">
      <c r="A39571"/>
      <c r="B39571"/>
      <c r="C39571"/>
      <c r="E39571"/>
      <c r="F39571"/>
    </row>
    <row r="39572" spans="1:6" x14ac:dyDescent="0.25">
      <c r="A39572"/>
      <c r="B39572"/>
      <c r="C39572"/>
      <c r="E39572"/>
      <c r="F39572"/>
    </row>
    <row r="39573" spans="1:6" x14ac:dyDescent="0.25">
      <c r="A39573"/>
      <c r="B39573"/>
      <c r="C39573"/>
      <c r="E39573"/>
      <c r="F39573"/>
    </row>
    <row r="39574" spans="1:6" x14ac:dyDescent="0.25">
      <c r="A39574"/>
      <c r="B39574"/>
      <c r="C39574"/>
      <c r="E39574"/>
      <c r="F39574"/>
    </row>
    <row r="39575" spans="1:6" x14ac:dyDescent="0.25">
      <c r="A39575"/>
      <c r="B39575"/>
      <c r="C39575"/>
      <c r="E39575"/>
      <c r="F39575"/>
    </row>
    <row r="39576" spans="1:6" x14ac:dyDescent="0.25">
      <c r="A39576"/>
      <c r="B39576"/>
      <c r="C39576"/>
      <c r="E39576"/>
      <c r="F39576"/>
    </row>
    <row r="39577" spans="1:6" x14ac:dyDescent="0.25">
      <c r="A39577"/>
      <c r="B39577"/>
      <c r="C39577"/>
      <c r="E39577"/>
      <c r="F39577"/>
    </row>
    <row r="39578" spans="1:6" x14ac:dyDescent="0.25">
      <c r="A39578"/>
      <c r="B39578"/>
      <c r="C39578"/>
      <c r="E39578"/>
      <c r="F39578"/>
    </row>
    <row r="39579" spans="1:6" x14ac:dyDescent="0.25">
      <c r="A39579"/>
      <c r="B39579"/>
      <c r="C39579"/>
      <c r="E39579"/>
      <c r="F39579"/>
    </row>
    <row r="39580" spans="1:6" x14ac:dyDescent="0.25">
      <c r="A39580"/>
      <c r="B39580"/>
      <c r="C39580"/>
      <c r="E39580"/>
      <c r="F39580"/>
    </row>
    <row r="39581" spans="1:6" x14ac:dyDescent="0.25">
      <c r="A39581"/>
      <c r="B39581"/>
      <c r="C39581"/>
      <c r="E39581"/>
      <c r="F39581"/>
    </row>
    <row r="39582" spans="1:6" x14ac:dyDescent="0.25">
      <c r="A39582"/>
      <c r="B39582"/>
      <c r="C39582"/>
      <c r="E39582"/>
      <c r="F39582"/>
    </row>
    <row r="39583" spans="1:6" x14ac:dyDescent="0.25">
      <c r="A39583"/>
      <c r="B39583"/>
      <c r="C39583"/>
      <c r="E39583"/>
      <c r="F39583"/>
    </row>
    <row r="39584" spans="1:6" x14ac:dyDescent="0.25">
      <c r="A39584"/>
      <c r="B39584"/>
      <c r="C39584"/>
      <c r="E39584"/>
      <c r="F39584"/>
    </row>
    <row r="39585" spans="1:6" x14ac:dyDescent="0.25">
      <c r="A39585"/>
      <c r="B39585"/>
      <c r="C39585"/>
      <c r="E39585"/>
      <c r="F39585"/>
    </row>
    <row r="39586" spans="1:6" x14ac:dyDescent="0.25">
      <c r="A39586"/>
      <c r="B39586"/>
      <c r="C39586"/>
      <c r="E39586"/>
      <c r="F39586"/>
    </row>
    <row r="39587" spans="1:6" x14ac:dyDescent="0.25">
      <c r="A39587"/>
      <c r="B39587"/>
      <c r="C39587"/>
      <c r="E39587"/>
      <c r="F39587"/>
    </row>
    <row r="39588" spans="1:6" x14ac:dyDescent="0.25">
      <c r="A39588"/>
      <c r="B39588"/>
      <c r="C39588"/>
      <c r="E39588"/>
      <c r="F39588"/>
    </row>
    <row r="39589" spans="1:6" x14ac:dyDescent="0.25">
      <c r="A39589"/>
      <c r="B39589"/>
      <c r="C39589"/>
      <c r="E39589"/>
      <c r="F39589"/>
    </row>
    <row r="39590" spans="1:6" x14ac:dyDescent="0.25">
      <c r="A39590"/>
      <c r="B39590"/>
      <c r="C39590"/>
      <c r="E39590"/>
      <c r="F39590"/>
    </row>
    <row r="39591" spans="1:6" x14ac:dyDescent="0.25">
      <c r="A39591"/>
      <c r="B39591"/>
      <c r="C39591"/>
      <c r="E39591"/>
      <c r="F39591"/>
    </row>
    <row r="39592" spans="1:6" x14ac:dyDescent="0.25">
      <c r="A39592"/>
      <c r="B39592"/>
      <c r="C39592"/>
      <c r="E39592"/>
      <c r="F39592"/>
    </row>
    <row r="39593" spans="1:6" x14ac:dyDescent="0.25">
      <c r="A39593"/>
      <c r="B39593"/>
      <c r="C39593"/>
      <c r="E39593"/>
      <c r="F39593"/>
    </row>
    <row r="39594" spans="1:6" x14ac:dyDescent="0.25">
      <c r="A39594"/>
      <c r="B39594"/>
      <c r="C39594"/>
      <c r="E39594"/>
      <c r="F39594"/>
    </row>
    <row r="39595" spans="1:6" x14ac:dyDescent="0.25">
      <c r="A39595"/>
      <c r="B39595"/>
      <c r="C39595"/>
      <c r="E39595"/>
      <c r="F39595"/>
    </row>
    <row r="39596" spans="1:6" x14ac:dyDescent="0.25">
      <c r="A39596"/>
      <c r="B39596"/>
      <c r="C39596"/>
      <c r="E39596"/>
      <c r="F39596"/>
    </row>
    <row r="39597" spans="1:6" x14ac:dyDescent="0.25">
      <c r="A39597"/>
      <c r="B39597"/>
      <c r="C39597"/>
      <c r="E39597"/>
      <c r="F39597"/>
    </row>
    <row r="39598" spans="1:6" x14ac:dyDescent="0.25">
      <c r="A39598"/>
      <c r="B39598"/>
      <c r="C39598"/>
      <c r="E39598"/>
      <c r="F39598"/>
    </row>
    <row r="39599" spans="1:6" x14ac:dyDescent="0.25">
      <c r="A39599"/>
      <c r="B39599"/>
      <c r="C39599"/>
      <c r="E39599"/>
      <c r="F39599"/>
    </row>
    <row r="39600" spans="1:6" x14ac:dyDescent="0.25">
      <c r="A39600"/>
      <c r="B39600"/>
      <c r="C39600"/>
      <c r="E39600"/>
      <c r="F39600"/>
    </row>
    <row r="39601" spans="1:6" x14ac:dyDescent="0.25">
      <c r="A39601"/>
      <c r="B39601"/>
      <c r="C39601"/>
      <c r="E39601"/>
      <c r="F39601"/>
    </row>
    <row r="39602" spans="1:6" x14ac:dyDescent="0.25">
      <c r="A39602"/>
      <c r="B39602"/>
      <c r="C39602"/>
      <c r="E39602"/>
      <c r="F39602"/>
    </row>
    <row r="39603" spans="1:6" x14ac:dyDescent="0.25">
      <c r="A39603"/>
      <c r="B39603"/>
      <c r="C39603"/>
      <c r="E39603"/>
      <c r="F39603"/>
    </row>
    <row r="39604" spans="1:6" x14ac:dyDescent="0.25">
      <c r="A39604"/>
      <c r="B39604"/>
      <c r="C39604"/>
      <c r="E39604"/>
      <c r="F39604"/>
    </row>
    <row r="39605" spans="1:6" x14ac:dyDescent="0.25">
      <c r="A39605"/>
      <c r="B39605"/>
      <c r="C39605"/>
      <c r="E39605"/>
      <c r="F39605"/>
    </row>
    <row r="39606" spans="1:6" x14ac:dyDescent="0.25">
      <c r="A39606"/>
      <c r="B39606"/>
      <c r="C39606"/>
      <c r="E39606"/>
      <c r="F39606"/>
    </row>
    <row r="39607" spans="1:6" x14ac:dyDescent="0.25">
      <c r="A39607"/>
      <c r="B39607"/>
      <c r="C39607"/>
      <c r="E39607"/>
      <c r="F39607"/>
    </row>
    <row r="39608" spans="1:6" x14ac:dyDescent="0.25">
      <c r="A39608"/>
      <c r="B39608"/>
      <c r="C39608"/>
      <c r="E39608"/>
      <c r="F39608"/>
    </row>
    <row r="39609" spans="1:6" x14ac:dyDescent="0.25">
      <c r="A39609"/>
      <c r="B39609"/>
      <c r="C39609"/>
      <c r="E39609"/>
      <c r="F39609"/>
    </row>
    <row r="39610" spans="1:6" x14ac:dyDescent="0.25">
      <c r="A39610"/>
      <c r="B39610"/>
      <c r="C39610"/>
      <c r="E39610"/>
      <c r="F39610"/>
    </row>
    <row r="39611" spans="1:6" x14ac:dyDescent="0.25">
      <c r="A39611"/>
      <c r="B39611"/>
      <c r="C39611"/>
      <c r="E39611"/>
      <c r="F39611"/>
    </row>
    <row r="39612" spans="1:6" x14ac:dyDescent="0.25">
      <c r="A39612"/>
      <c r="B39612"/>
      <c r="C39612"/>
      <c r="E39612"/>
      <c r="F39612"/>
    </row>
    <row r="39613" spans="1:6" x14ac:dyDescent="0.25">
      <c r="A39613"/>
      <c r="B39613"/>
      <c r="C39613"/>
      <c r="E39613"/>
      <c r="F39613"/>
    </row>
    <row r="39614" spans="1:6" x14ac:dyDescent="0.25">
      <c r="A39614"/>
      <c r="B39614"/>
      <c r="C39614"/>
      <c r="E39614"/>
      <c r="F39614"/>
    </row>
    <row r="39615" spans="1:6" x14ac:dyDescent="0.25">
      <c r="A39615"/>
      <c r="B39615"/>
      <c r="C39615"/>
      <c r="E39615"/>
      <c r="F39615"/>
    </row>
    <row r="39616" spans="1:6" x14ac:dyDescent="0.25">
      <c r="A39616"/>
      <c r="B39616"/>
      <c r="C39616"/>
      <c r="E39616"/>
      <c r="F39616"/>
    </row>
    <row r="39617" spans="1:6" x14ac:dyDescent="0.25">
      <c r="A39617"/>
      <c r="B39617"/>
      <c r="C39617"/>
      <c r="E39617"/>
      <c r="F39617"/>
    </row>
    <row r="39618" spans="1:6" x14ac:dyDescent="0.25">
      <c r="A39618"/>
      <c r="B39618"/>
      <c r="C39618"/>
      <c r="E39618"/>
      <c r="F39618"/>
    </row>
    <row r="39619" spans="1:6" x14ac:dyDescent="0.25">
      <c r="A39619"/>
      <c r="B39619"/>
      <c r="C39619"/>
      <c r="E39619"/>
      <c r="F39619"/>
    </row>
    <row r="39620" spans="1:6" x14ac:dyDescent="0.25">
      <c r="A39620"/>
      <c r="B39620"/>
      <c r="C39620"/>
      <c r="E39620"/>
      <c r="F39620"/>
    </row>
    <row r="39621" spans="1:6" x14ac:dyDescent="0.25">
      <c r="A39621"/>
      <c r="B39621"/>
      <c r="C39621"/>
      <c r="E39621"/>
      <c r="F39621"/>
    </row>
    <row r="39622" spans="1:6" x14ac:dyDescent="0.25">
      <c r="A39622"/>
      <c r="B39622"/>
      <c r="C39622"/>
      <c r="E39622"/>
      <c r="F39622"/>
    </row>
    <row r="39623" spans="1:6" x14ac:dyDescent="0.25">
      <c r="A39623"/>
      <c r="B39623"/>
      <c r="C39623"/>
      <c r="E39623"/>
      <c r="F39623"/>
    </row>
    <row r="39624" spans="1:6" x14ac:dyDescent="0.25">
      <c r="A39624"/>
      <c r="B39624"/>
      <c r="C39624"/>
      <c r="E39624"/>
      <c r="F39624"/>
    </row>
    <row r="39625" spans="1:6" x14ac:dyDescent="0.25">
      <c r="A39625"/>
      <c r="B39625"/>
      <c r="C39625"/>
      <c r="E39625"/>
      <c r="F39625"/>
    </row>
    <row r="39626" spans="1:6" x14ac:dyDescent="0.25">
      <c r="A39626"/>
      <c r="B39626"/>
      <c r="C39626"/>
      <c r="E39626"/>
      <c r="F39626"/>
    </row>
    <row r="39627" spans="1:6" x14ac:dyDescent="0.25">
      <c r="A39627"/>
      <c r="B39627"/>
      <c r="C39627"/>
      <c r="E39627"/>
      <c r="F39627"/>
    </row>
    <row r="39628" spans="1:6" x14ac:dyDescent="0.25">
      <c r="A39628"/>
      <c r="B39628"/>
      <c r="C39628"/>
      <c r="E39628"/>
      <c r="F39628"/>
    </row>
    <row r="39629" spans="1:6" x14ac:dyDescent="0.25">
      <c r="A39629"/>
      <c r="B39629"/>
      <c r="C39629"/>
      <c r="E39629"/>
      <c r="F39629"/>
    </row>
    <row r="39630" spans="1:6" x14ac:dyDescent="0.25">
      <c r="A39630"/>
      <c r="B39630"/>
      <c r="C39630"/>
      <c r="E39630"/>
      <c r="F39630"/>
    </row>
    <row r="39631" spans="1:6" x14ac:dyDescent="0.25">
      <c r="A39631"/>
      <c r="B39631"/>
      <c r="C39631"/>
      <c r="E39631"/>
      <c r="F39631"/>
    </row>
    <row r="39632" spans="1:6" x14ac:dyDescent="0.25">
      <c r="A39632"/>
      <c r="B39632"/>
      <c r="C39632"/>
      <c r="E39632"/>
      <c r="F39632"/>
    </row>
    <row r="39633" spans="1:6" x14ac:dyDescent="0.25">
      <c r="A39633"/>
      <c r="B39633"/>
      <c r="C39633"/>
      <c r="E39633"/>
      <c r="F39633"/>
    </row>
    <row r="39634" spans="1:6" x14ac:dyDescent="0.25">
      <c r="A39634"/>
      <c r="B39634"/>
      <c r="C39634"/>
      <c r="E39634"/>
      <c r="F39634"/>
    </row>
    <row r="39635" spans="1:6" x14ac:dyDescent="0.25">
      <c r="A39635"/>
      <c r="B39635"/>
      <c r="C39635"/>
      <c r="E39635"/>
      <c r="F39635"/>
    </row>
    <row r="39636" spans="1:6" x14ac:dyDescent="0.25">
      <c r="A39636"/>
      <c r="B39636"/>
      <c r="C39636"/>
      <c r="E39636"/>
      <c r="F39636"/>
    </row>
    <row r="39637" spans="1:6" x14ac:dyDescent="0.25">
      <c r="A39637"/>
      <c r="B39637"/>
      <c r="C39637"/>
      <c r="E39637"/>
      <c r="F39637"/>
    </row>
    <row r="39638" spans="1:6" x14ac:dyDescent="0.25">
      <c r="A39638"/>
      <c r="B39638"/>
      <c r="C39638"/>
      <c r="E39638"/>
      <c r="F39638"/>
    </row>
    <row r="39639" spans="1:6" x14ac:dyDescent="0.25">
      <c r="A39639"/>
      <c r="B39639"/>
      <c r="C39639"/>
      <c r="E39639"/>
      <c r="F39639"/>
    </row>
    <row r="39640" spans="1:6" x14ac:dyDescent="0.25">
      <c r="A39640"/>
      <c r="B39640"/>
      <c r="C39640"/>
      <c r="E39640"/>
      <c r="F39640"/>
    </row>
    <row r="39641" spans="1:6" x14ac:dyDescent="0.25">
      <c r="A39641"/>
      <c r="B39641"/>
      <c r="C39641"/>
      <c r="E39641"/>
      <c r="F39641"/>
    </row>
    <row r="39642" spans="1:6" x14ac:dyDescent="0.25">
      <c r="A39642"/>
      <c r="B39642"/>
      <c r="C39642"/>
      <c r="E39642"/>
      <c r="F39642"/>
    </row>
    <row r="39643" spans="1:6" x14ac:dyDescent="0.25">
      <c r="A39643"/>
      <c r="B39643"/>
      <c r="C39643"/>
      <c r="E39643"/>
      <c r="F39643"/>
    </row>
    <row r="39644" spans="1:6" x14ac:dyDescent="0.25">
      <c r="A39644"/>
      <c r="B39644"/>
      <c r="C39644"/>
      <c r="E39644"/>
      <c r="F39644"/>
    </row>
    <row r="39645" spans="1:6" x14ac:dyDescent="0.25">
      <c r="A39645"/>
      <c r="B39645"/>
      <c r="C39645"/>
      <c r="E39645"/>
      <c r="F39645"/>
    </row>
    <row r="39646" spans="1:6" x14ac:dyDescent="0.25">
      <c r="A39646"/>
      <c r="B39646"/>
      <c r="C39646"/>
      <c r="E39646"/>
      <c r="F39646"/>
    </row>
    <row r="39647" spans="1:6" x14ac:dyDescent="0.25">
      <c r="A39647"/>
      <c r="B39647"/>
      <c r="C39647"/>
      <c r="E39647"/>
      <c r="F39647"/>
    </row>
    <row r="39648" spans="1:6" x14ac:dyDescent="0.25">
      <c r="A39648"/>
      <c r="B39648"/>
      <c r="C39648"/>
      <c r="E39648"/>
      <c r="F39648"/>
    </row>
    <row r="39649" spans="1:6" x14ac:dyDescent="0.25">
      <c r="A39649"/>
      <c r="B39649"/>
      <c r="C39649"/>
      <c r="E39649"/>
      <c r="F39649"/>
    </row>
    <row r="39650" spans="1:6" x14ac:dyDescent="0.25">
      <c r="A39650"/>
      <c r="B39650"/>
      <c r="C39650"/>
      <c r="E39650"/>
      <c r="F39650"/>
    </row>
    <row r="39651" spans="1:6" x14ac:dyDescent="0.25">
      <c r="A39651"/>
      <c r="B39651"/>
      <c r="C39651"/>
      <c r="E39651"/>
      <c r="F39651"/>
    </row>
    <row r="39652" spans="1:6" x14ac:dyDescent="0.25">
      <c r="A39652"/>
      <c r="B39652"/>
      <c r="C39652"/>
      <c r="E39652"/>
      <c r="F39652"/>
    </row>
    <row r="39653" spans="1:6" x14ac:dyDescent="0.25">
      <c r="A39653"/>
      <c r="B39653"/>
      <c r="C39653"/>
      <c r="E39653"/>
      <c r="F39653"/>
    </row>
    <row r="39654" spans="1:6" x14ac:dyDescent="0.25">
      <c r="A39654"/>
      <c r="B39654"/>
      <c r="C39654"/>
      <c r="E39654"/>
      <c r="F39654"/>
    </row>
    <row r="39655" spans="1:6" x14ac:dyDescent="0.25">
      <c r="A39655"/>
      <c r="B39655"/>
      <c r="C39655"/>
      <c r="E39655"/>
      <c r="F39655"/>
    </row>
    <row r="39656" spans="1:6" x14ac:dyDescent="0.25">
      <c r="A39656"/>
      <c r="B39656"/>
      <c r="C39656"/>
      <c r="E39656"/>
      <c r="F39656"/>
    </row>
    <row r="39657" spans="1:6" x14ac:dyDescent="0.25">
      <c r="A39657"/>
      <c r="B39657"/>
      <c r="C39657"/>
      <c r="E39657"/>
      <c r="F39657"/>
    </row>
    <row r="39658" spans="1:6" x14ac:dyDescent="0.25">
      <c r="A39658"/>
      <c r="B39658"/>
      <c r="C39658"/>
      <c r="E39658"/>
      <c r="F39658"/>
    </row>
    <row r="39659" spans="1:6" x14ac:dyDescent="0.25">
      <c r="A39659"/>
      <c r="B39659"/>
      <c r="C39659"/>
      <c r="E39659"/>
      <c r="F39659"/>
    </row>
    <row r="39660" spans="1:6" x14ac:dyDescent="0.25">
      <c r="A39660"/>
      <c r="B39660"/>
      <c r="C39660"/>
      <c r="E39660"/>
      <c r="F39660"/>
    </row>
    <row r="39661" spans="1:6" x14ac:dyDescent="0.25">
      <c r="A39661"/>
      <c r="B39661"/>
      <c r="C39661"/>
      <c r="E39661"/>
      <c r="F39661"/>
    </row>
    <row r="39662" spans="1:6" x14ac:dyDescent="0.25">
      <c r="A39662"/>
      <c r="B39662"/>
      <c r="C39662"/>
      <c r="E39662"/>
      <c r="F39662"/>
    </row>
    <row r="39663" spans="1:6" x14ac:dyDescent="0.25">
      <c r="A39663"/>
      <c r="B39663"/>
      <c r="C39663"/>
      <c r="E39663"/>
      <c r="F39663"/>
    </row>
    <row r="39664" spans="1:6" x14ac:dyDescent="0.25">
      <c r="A39664"/>
      <c r="B39664"/>
      <c r="C39664"/>
      <c r="E39664"/>
      <c r="F39664"/>
    </row>
    <row r="39665" spans="1:6" x14ac:dyDescent="0.25">
      <c r="A39665"/>
      <c r="B39665"/>
      <c r="C39665"/>
      <c r="E39665"/>
      <c r="F39665"/>
    </row>
    <row r="39666" spans="1:6" x14ac:dyDescent="0.25">
      <c r="A39666"/>
      <c r="B39666"/>
      <c r="C39666"/>
      <c r="E39666"/>
      <c r="F39666"/>
    </row>
    <row r="39667" spans="1:6" x14ac:dyDescent="0.25">
      <c r="A39667"/>
      <c r="B39667"/>
      <c r="C39667"/>
      <c r="E39667"/>
      <c r="F39667"/>
    </row>
    <row r="39668" spans="1:6" x14ac:dyDescent="0.25">
      <c r="A39668"/>
      <c r="B39668"/>
      <c r="C39668"/>
      <c r="E39668"/>
      <c r="F39668"/>
    </row>
    <row r="39669" spans="1:6" x14ac:dyDescent="0.25">
      <c r="A39669"/>
      <c r="B39669"/>
      <c r="C39669"/>
      <c r="E39669"/>
      <c r="F39669"/>
    </row>
    <row r="39670" spans="1:6" x14ac:dyDescent="0.25">
      <c r="A39670"/>
      <c r="B39670"/>
      <c r="C39670"/>
      <c r="E39670"/>
      <c r="F39670"/>
    </row>
    <row r="39671" spans="1:6" x14ac:dyDescent="0.25">
      <c r="A39671"/>
      <c r="B39671"/>
      <c r="C39671"/>
      <c r="E39671"/>
      <c r="F39671"/>
    </row>
    <row r="39672" spans="1:6" x14ac:dyDescent="0.25">
      <c r="A39672"/>
      <c r="B39672"/>
      <c r="C39672"/>
      <c r="E39672"/>
      <c r="F39672"/>
    </row>
    <row r="39673" spans="1:6" x14ac:dyDescent="0.25">
      <c r="A39673"/>
      <c r="B39673"/>
      <c r="C39673"/>
      <c r="E39673"/>
      <c r="F39673"/>
    </row>
    <row r="39674" spans="1:6" x14ac:dyDescent="0.25">
      <c r="A39674"/>
      <c r="B39674"/>
      <c r="C39674"/>
      <c r="E39674"/>
      <c r="F39674"/>
    </row>
    <row r="39675" spans="1:6" x14ac:dyDescent="0.25">
      <c r="A39675"/>
      <c r="B39675"/>
      <c r="C39675"/>
      <c r="E39675"/>
      <c r="F39675"/>
    </row>
    <row r="39676" spans="1:6" x14ac:dyDescent="0.25">
      <c r="A39676"/>
      <c r="B39676"/>
      <c r="C39676"/>
      <c r="E39676"/>
      <c r="F39676"/>
    </row>
    <row r="39677" spans="1:6" x14ac:dyDescent="0.25">
      <c r="A39677"/>
      <c r="B39677"/>
      <c r="C39677"/>
      <c r="E39677"/>
      <c r="F39677"/>
    </row>
    <row r="39678" spans="1:6" x14ac:dyDescent="0.25">
      <c r="A39678"/>
      <c r="B39678"/>
      <c r="C39678"/>
      <c r="E39678"/>
      <c r="F39678"/>
    </row>
    <row r="39679" spans="1:6" x14ac:dyDescent="0.25">
      <c r="A39679"/>
      <c r="B39679"/>
      <c r="C39679"/>
      <c r="E39679"/>
      <c r="F39679"/>
    </row>
    <row r="39680" spans="1:6" x14ac:dyDescent="0.25">
      <c r="A39680"/>
      <c r="B39680"/>
      <c r="C39680"/>
      <c r="E39680"/>
      <c r="F39680"/>
    </row>
    <row r="39681" spans="1:6" x14ac:dyDescent="0.25">
      <c r="A39681"/>
      <c r="B39681"/>
      <c r="C39681"/>
      <c r="E39681"/>
      <c r="F39681"/>
    </row>
    <row r="39682" spans="1:6" x14ac:dyDescent="0.25">
      <c r="A39682"/>
      <c r="B39682"/>
      <c r="C39682"/>
      <c r="E39682"/>
      <c r="F39682"/>
    </row>
    <row r="39683" spans="1:6" x14ac:dyDescent="0.25">
      <c r="A39683"/>
      <c r="B39683"/>
      <c r="C39683"/>
      <c r="E39683"/>
      <c r="F39683"/>
    </row>
    <row r="39684" spans="1:6" x14ac:dyDescent="0.25">
      <c r="A39684"/>
      <c r="B39684"/>
      <c r="C39684"/>
      <c r="E39684"/>
      <c r="F39684"/>
    </row>
    <row r="39685" spans="1:6" x14ac:dyDescent="0.25">
      <c r="A39685"/>
      <c r="B39685"/>
      <c r="C39685"/>
      <c r="E39685"/>
      <c r="F39685"/>
    </row>
    <row r="39686" spans="1:6" x14ac:dyDescent="0.25">
      <c r="A39686"/>
      <c r="B39686"/>
      <c r="C39686"/>
      <c r="E39686"/>
      <c r="F39686"/>
    </row>
    <row r="39687" spans="1:6" x14ac:dyDescent="0.25">
      <c r="A39687"/>
      <c r="B39687"/>
      <c r="C39687"/>
      <c r="E39687"/>
      <c r="F39687"/>
    </row>
    <row r="39688" spans="1:6" x14ac:dyDescent="0.25">
      <c r="A39688"/>
      <c r="B39688"/>
      <c r="C39688"/>
      <c r="E39688"/>
      <c r="F39688"/>
    </row>
    <row r="39689" spans="1:6" x14ac:dyDescent="0.25">
      <c r="A39689"/>
      <c r="B39689"/>
      <c r="C39689"/>
      <c r="E39689"/>
      <c r="F39689"/>
    </row>
    <row r="39690" spans="1:6" x14ac:dyDescent="0.25">
      <c r="A39690"/>
      <c r="B39690"/>
      <c r="C39690"/>
      <c r="E39690"/>
      <c r="F39690"/>
    </row>
    <row r="39691" spans="1:6" x14ac:dyDescent="0.25">
      <c r="A39691"/>
      <c r="B39691"/>
      <c r="C39691"/>
      <c r="E39691"/>
      <c r="F39691"/>
    </row>
    <row r="39692" spans="1:6" x14ac:dyDescent="0.25">
      <c r="A39692"/>
      <c r="B39692"/>
      <c r="C39692"/>
      <c r="E39692"/>
      <c r="F39692"/>
    </row>
    <row r="39693" spans="1:6" x14ac:dyDescent="0.25">
      <c r="A39693"/>
      <c r="B39693"/>
      <c r="C39693"/>
      <c r="E39693"/>
      <c r="F39693"/>
    </row>
    <row r="39694" spans="1:6" x14ac:dyDescent="0.25">
      <c r="A39694"/>
      <c r="B39694"/>
      <c r="C39694"/>
      <c r="E39694"/>
      <c r="F39694"/>
    </row>
    <row r="39695" spans="1:6" x14ac:dyDescent="0.25">
      <c r="A39695"/>
      <c r="B39695"/>
      <c r="C39695"/>
      <c r="E39695"/>
      <c r="F39695"/>
    </row>
    <row r="39696" spans="1:6" x14ac:dyDescent="0.25">
      <c r="A39696"/>
      <c r="B39696"/>
      <c r="C39696"/>
      <c r="E39696"/>
      <c r="F39696"/>
    </row>
    <row r="39697" spans="1:6" x14ac:dyDescent="0.25">
      <c r="A39697"/>
      <c r="B39697"/>
      <c r="C39697"/>
      <c r="E39697"/>
      <c r="F39697"/>
    </row>
    <row r="39698" spans="1:6" x14ac:dyDescent="0.25">
      <c r="A39698"/>
      <c r="B39698"/>
      <c r="C39698"/>
      <c r="E39698"/>
      <c r="F39698"/>
    </row>
    <row r="39699" spans="1:6" x14ac:dyDescent="0.25">
      <c r="A39699"/>
      <c r="B39699"/>
      <c r="C39699"/>
      <c r="E39699"/>
      <c r="F39699"/>
    </row>
    <row r="39700" spans="1:6" x14ac:dyDescent="0.25">
      <c r="A39700"/>
      <c r="B39700"/>
      <c r="C39700"/>
      <c r="E39700"/>
      <c r="F39700"/>
    </row>
    <row r="39701" spans="1:6" x14ac:dyDescent="0.25">
      <c r="A39701"/>
      <c r="B39701"/>
      <c r="C39701"/>
      <c r="E39701"/>
      <c r="F39701"/>
    </row>
    <row r="39702" spans="1:6" x14ac:dyDescent="0.25">
      <c r="A39702"/>
      <c r="B39702"/>
      <c r="C39702"/>
      <c r="E39702"/>
      <c r="F39702"/>
    </row>
    <row r="39703" spans="1:6" x14ac:dyDescent="0.25">
      <c r="A39703"/>
      <c r="B39703"/>
      <c r="C39703"/>
      <c r="E39703"/>
      <c r="F39703"/>
    </row>
    <row r="39704" spans="1:6" x14ac:dyDescent="0.25">
      <c r="A39704"/>
      <c r="B39704"/>
      <c r="C39704"/>
      <c r="E39704"/>
      <c r="F39704"/>
    </row>
    <row r="39705" spans="1:6" x14ac:dyDescent="0.25">
      <c r="A39705"/>
      <c r="B39705"/>
      <c r="C39705"/>
      <c r="E39705"/>
      <c r="F39705"/>
    </row>
    <row r="39706" spans="1:6" x14ac:dyDescent="0.25">
      <c r="A39706"/>
      <c r="B39706"/>
      <c r="C39706"/>
      <c r="E39706"/>
      <c r="F39706"/>
    </row>
    <row r="39707" spans="1:6" x14ac:dyDescent="0.25">
      <c r="A39707"/>
      <c r="B39707"/>
      <c r="C39707"/>
      <c r="E39707"/>
      <c r="F39707"/>
    </row>
    <row r="39708" spans="1:6" x14ac:dyDescent="0.25">
      <c r="A39708"/>
      <c r="B39708"/>
      <c r="C39708"/>
      <c r="E39708"/>
      <c r="F39708"/>
    </row>
    <row r="39709" spans="1:6" x14ac:dyDescent="0.25">
      <c r="A39709"/>
      <c r="B39709"/>
      <c r="C39709"/>
      <c r="E39709"/>
      <c r="F39709"/>
    </row>
    <row r="39710" spans="1:6" x14ac:dyDescent="0.25">
      <c r="A39710"/>
      <c r="B39710"/>
      <c r="C39710"/>
      <c r="E39710"/>
      <c r="F39710"/>
    </row>
    <row r="39711" spans="1:6" x14ac:dyDescent="0.25">
      <c r="A39711"/>
      <c r="B39711"/>
      <c r="C39711"/>
      <c r="E39711"/>
      <c r="F39711"/>
    </row>
    <row r="39712" spans="1:6" x14ac:dyDescent="0.25">
      <c r="A39712"/>
      <c r="B39712"/>
      <c r="C39712"/>
      <c r="E39712"/>
      <c r="F39712"/>
    </row>
    <row r="39713" spans="1:6" x14ac:dyDescent="0.25">
      <c r="A39713"/>
      <c r="B39713"/>
      <c r="C39713"/>
      <c r="E39713"/>
      <c r="F39713"/>
    </row>
    <row r="39714" spans="1:6" x14ac:dyDescent="0.25">
      <c r="A39714"/>
      <c r="B39714"/>
      <c r="C39714"/>
      <c r="E39714"/>
      <c r="F39714"/>
    </row>
    <row r="39715" spans="1:6" x14ac:dyDescent="0.25">
      <c r="A39715"/>
      <c r="B39715"/>
      <c r="C39715"/>
      <c r="E39715"/>
      <c r="F39715"/>
    </row>
    <row r="39716" spans="1:6" x14ac:dyDescent="0.25">
      <c r="A39716"/>
      <c r="B39716"/>
      <c r="C39716"/>
      <c r="E39716"/>
      <c r="F39716"/>
    </row>
    <row r="39717" spans="1:6" x14ac:dyDescent="0.25">
      <c r="A39717"/>
      <c r="B39717"/>
      <c r="C39717"/>
      <c r="E39717"/>
      <c r="F39717"/>
    </row>
    <row r="39718" spans="1:6" x14ac:dyDescent="0.25">
      <c r="A39718"/>
      <c r="B39718"/>
      <c r="C39718"/>
      <c r="E39718"/>
      <c r="F39718"/>
    </row>
    <row r="39719" spans="1:6" x14ac:dyDescent="0.25">
      <c r="A39719"/>
      <c r="B39719"/>
      <c r="C39719"/>
      <c r="E39719"/>
      <c r="F39719"/>
    </row>
    <row r="39720" spans="1:6" x14ac:dyDescent="0.25">
      <c r="A39720"/>
      <c r="B39720"/>
      <c r="C39720"/>
      <c r="E39720"/>
      <c r="F39720"/>
    </row>
    <row r="39721" spans="1:6" x14ac:dyDescent="0.25">
      <c r="A39721"/>
      <c r="B39721"/>
      <c r="C39721"/>
      <c r="E39721"/>
      <c r="F39721"/>
    </row>
    <row r="39722" spans="1:6" x14ac:dyDescent="0.25">
      <c r="A39722"/>
      <c r="B39722"/>
      <c r="C39722"/>
      <c r="E39722"/>
      <c r="F39722"/>
    </row>
    <row r="39723" spans="1:6" x14ac:dyDescent="0.25">
      <c r="A39723"/>
      <c r="B39723"/>
      <c r="C39723"/>
      <c r="E39723"/>
      <c r="F39723"/>
    </row>
    <row r="39724" spans="1:6" x14ac:dyDescent="0.25">
      <c r="A39724"/>
      <c r="B39724"/>
      <c r="C39724"/>
      <c r="E39724"/>
      <c r="F39724"/>
    </row>
    <row r="39725" spans="1:6" x14ac:dyDescent="0.25">
      <c r="A39725"/>
      <c r="B39725"/>
      <c r="C39725"/>
      <c r="E39725"/>
      <c r="F39725"/>
    </row>
    <row r="39726" spans="1:6" x14ac:dyDescent="0.25">
      <c r="A39726"/>
      <c r="B39726"/>
      <c r="C39726"/>
      <c r="E39726"/>
      <c r="F39726"/>
    </row>
    <row r="39727" spans="1:6" x14ac:dyDescent="0.25">
      <c r="A39727"/>
      <c r="B39727"/>
      <c r="C39727"/>
      <c r="E39727"/>
      <c r="F39727"/>
    </row>
    <row r="39728" spans="1:6" x14ac:dyDescent="0.25">
      <c r="A39728"/>
      <c r="B39728"/>
      <c r="C39728"/>
      <c r="E39728"/>
      <c r="F39728"/>
    </row>
    <row r="39729" spans="1:6" x14ac:dyDescent="0.25">
      <c r="A39729"/>
      <c r="B39729"/>
      <c r="C39729"/>
      <c r="E39729"/>
      <c r="F39729"/>
    </row>
    <row r="39730" spans="1:6" x14ac:dyDescent="0.25">
      <c r="A39730"/>
      <c r="B39730"/>
      <c r="C39730"/>
      <c r="E39730"/>
      <c r="F39730"/>
    </row>
    <row r="39731" spans="1:6" x14ac:dyDescent="0.25">
      <c r="A39731"/>
      <c r="B39731"/>
      <c r="C39731"/>
      <c r="E39731"/>
      <c r="F39731"/>
    </row>
    <row r="39732" spans="1:6" x14ac:dyDescent="0.25">
      <c r="A39732"/>
      <c r="B39732"/>
      <c r="C39732"/>
      <c r="E39732"/>
      <c r="F39732"/>
    </row>
    <row r="39733" spans="1:6" x14ac:dyDescent="0.25">
      <c r="A39733"/>
      <c r="B39733"/>
      <c r="C39733"/>
      <c r="E39733"/>
      <c r="F39733"/>
    </row>
    <row r="39734" spans="1:6" x14ac:dyDescent="0.25">
      <c r="A39734"/>
      <c r="B39734"/>
      <c r="C39734"/>
      <c r="E39734"/>
      <c r="F39734"/>
    </row>
    <row r="39735" spans="1:6" x14ac:dyDescent="0.25">
      <c r="A39735"/>
      <c r="B39735"/>
      <c r="C39735"/>
      <c r="E39735"/>
      <c r="F39735"/>
    </row>
    <row r="39736" spans="1:6" x14ac:dyDescent="0.25">
      <c r="A39736"/>
      <c r="B39736"/>
      <c r="C39736"/>
      <c r="E39736"/>
      <c r="F39736"/>
    </row>
    <row r="39737" spans="1:6" x14ac:dyDescent="0.25">
      <c r="A39737"/>
      <c r="B39737"/>
      <c r="C39737"/>
      <c r="E39737"/>
      <c r="F39737"/>
    </row>
    <row r="39738" spans="1:6" x14ac:dyDescent="0.25">
      <c r="A39738"/>
      <c r="B39738"/>
      <c r="C39738"/>
      <c r="E39738"/>
      <c r="F39738"/>
    </row>
    <row r="39739" spans="1:6" x14ac:dyDescent="0.25">
      <c r="A39739"/>
      <c r="B39739"/>
      <c r="C39739"/>
      <c r="E39739"/>
      <c r="F39739"/>
    </row>
    <row r="39740" spans="1:6" x14ac:dyDescent="0.25">
      <c r="A39740"/>
      <c r="B39740"/>
      <c r="C39740"/>
      <c r="E39740"/>
      <c r="F39740"/>
    </row>
    <row r="39741" spans="1:6" x14ac:dyDescent="0.25">
      <c r="A39741"/>
      <c r="B39741"/>
      <c r="C39741"/>
      <c r="E39741"/>
      <c r="F39741"/>
    </row>
    <row r="39742" spans="1:6" x14ac:dyDescent="0.25">
      <c r="A39742"/>
      <c r="B39742"/>
      <c r="C39742"/>
      <c r="E39742"/>
      <c r="F39742"/>
    </row>
    <row r="39743" spans="1:6" x14ac:dyDescent="0.25">
      <c r="A39743"/>
      <c r="B39743"/>
      <c r="C39743"/>
      <c r="E39743"/>
      <c r="F39743"/>
    </row>
    <row r="39744" spans="1:6" x14ac:dyDescent="0.25">
      <c r="A39744"/>
      <c r="B39744"/>
      <c r="C39744"/>
      <c r="E39744"/>
      <c r="F39744"/>
    </row>
    <row r="39745" spans="1:6" x14ac:dyDescent="0.25">
      <c r="A39745"/>
      <c r="B39745"/>
      <c r="C39745"/>
      <c r="E39745"/>
      <c r="F39745"/>
    </row>
    <row r="39746" spans="1:6" x14ac:dyDescent="0.25">
      <c r="A39746"/>
      <c r="B39746"/>
      <c r="C39746"/>
      <c r="E39746"/>
      <c r="F39746"/>
    </row>
    <row r="39747" spans="1:6" x14ac:dyDescent="0.25">
      <c r="A39747"/>
      <c r="B39747"/>
      <c r="C39747"/>
      <c r="E39747"/>
      <c r="F39747"/>
    </row>
    <row r="39748" spans="1:6" x14ac:dyDescent="0.25">
      <c r="A39748"/>
      <c r="B39748"/>
      <c r="C39748"/>
      <c r="E39748"/>
      <c r="F39748"/>
    </row>
    <row r="39749" spans="1:6" x14ac:dyDescent="0.25">
      <c r="A39749"/>
      <c r="B39749"/>
      <c r="C39749"/>
      <c r="E39749"/>
      <c r="F39749"/>
    </row>
    <row r="39750" spans="1:6" x14ac:dyDescent="0.25">
      <c r="A39750"/>
      <c r="B39750"/>
      <c r="C39750"/>
      <c r="E39750"/>
      <c r="F39750"/>
    </row>
    <row r="39751" spans="1:6" x14ac:dyDescent="0.25">
      <c r="A39751"/>
      <c r="B39751"/>
      <c r="C39751"/>
      <c r="E39751"/>
      <c r="F39751"/>
    </row>
    <row r="39752" spans="1:6" x14ac:dyDescent="0.25">
      <c r="A39752"/>
      <c r="B39752"/>
      <c r="C39752"/>
      <c r="E39752"/>
      <c r="F39752"/>
    </row>
    <row r="39753" spans="1:6" x14ac:dyDescent="0.25">
      <c r="A39753"/>
      <c r="B39753"/>
      <c r="C39753"/>
      <c r="E39753"/>
      <c r="F39753"/>
    </row>
    <row r="39754" spans="1:6" x14ac:dyDescent="0.25">
      <c r="A39754"/>
      <c r="B39754"/>
      <c r="C39754"/>
      <c r="E39754"/>
      <c r="F39754"/>
    </row>
    <row r="39755" spans="1:6" x14ac:dyDescent="0.25">
      <c r="A39755"/>
      <c r="B39755"/>
      <c r="C39755"/>
      <c r="E39755"/>
      <c r="F39755"/>
    </row>
    <row r="39756" spans="1:6" x14ac:dyDescent="0.25">
      <c r="A39756"/>
      <c r="B39756"/>
      <c r="C39756"/>
      <c r="E39756"/>
      <c r="F39756"/>
    </row>
    <row r="39757" spans="1:6" x14ac:dyDescent="0.25">
      <c r="A39757"/>
      <c r="B39757"/>
      <c r="C39757"/>
      <c r="E39757"/>
      <c r="F39757"/>
    </row>
    <row r="39758" spans="1:6" x14ac:dyDescent="0.25">
      <c r="A39758"/>
      <c r="B39758"/>
      <c r="C39758"/>
      <c r="E39758"/>
      <c r="F39758"/>
    </row>
    <row r="39759" spans="1:6" x14ac:dyDescent="0.25">
      <c r="A39759"/>
      <c r="B39759"/>
      <c r="C39759"/>
      <c r="E39759"/>
      <c r="F39759"/>
    </row>
    <row r="39760" spans="1:6" x14ac:dyDescent="0.25">
      <c r="A39760"/>
      <c r="B39760"/>
      <c r="C39760"/>
      <c r="E39760"/>
      <c r="F39760"/>
    </row>
    <row r="39761" spans="1:6" x14ac:dyDescent="0.25">
      <c r="A39761"/>
      <c r="B39761"/>
      <c r="C39761"/>
      <c r="E39761"/>
      <c r="F39761"/>
    </row>
    <row r="39762" spans="1:6" x14ac:dyDescent="0.25">
      <c r="A39762"/>
      <c r="B39762"/>
      <c r="C39762"/>
      <c r="E39762"/>
      <c r="F39762"/>
    </row>
    <row r="39763" spans="1:6" x14ac:dyDescent="0.25">
      <c r="A39763"/>
      <c r="B39763"/>
      <c r="C39763"/>
      <c r="E39763"/>
      <c r="F39763"/>
    </row>
    <row r="39764" spans="1:6" x14ac:dyDescent="0.25">
      <c r="A39764"/>
      <c r="B39764"/>
      <c r="C39764"/>
      <c r="E39764"/>
      <c r="F39764"/>
    </row>
    <row r="39765" spans="1:6" x14ac:dyDescent="0.25">
      <c r="A39765"/>
      <c r="B39765"/>
      <c r="C39765"/>
      <c r="E39765"/>
      <c r="F39765"/>
    </row>
    <row r="39766" spans="1:6" x14ac:dyDescent="0.25">
      <c r="A39766"/>
      <c r="B39766"/>
      <c r="C39766"/>
      <c r="E39766"/>
      <c r="F39766"/>
    </row>
    <row r="39767" spans="1:6" x14ac:dyDescent="0.25">
      <c r="A39767"/>
      <c r="B39767"/>
      <c r="C39767"/>
      <c r="E39767"/>
      <c r="F39767"/>
    </row>
    <row r="39768" spans="1:6" x14ac:dyDescent="0.25">
      <c r="A39768"/>
      <c r="B39768"/>
      <c r="C39768"/>
      <c r="E39768"/>
      <c r="F39768"/>
    </row>
    <row r="39769" spans="1:6" x14ac:dyDescent="0.25">
      <c r="A39769"/>
      <c r="B39769"/>
      <c r="C39769"/>
      <c r="E39769"/>
      <c r="F39769"/>
    </row>
    <row r="39770" spans="1:6" x14ac:dyDescent="0.25">
      <c r="A39770"/>
      <c r="B39770"/>
      <c r="C39770"/>
      <c r="E39770"/>
      <c r="F39770"/>
    </row>
    <row r="39771" spans="1:6" x14ac:dyDescent="0.25">
      <c r="A39771"/>
      <c r="B39771"/>
      <c r="C39771"/>
      <c r="E39771"/>
      <c r="F39771"/>
    </row>
    <row r="39772" spans="1:6" x14ac:dyDescent="0.25">
      <c r="A39772"/>
      <c r="B39772"/>
      <c r="C39772"/>
      <c r="E39772"/>
      <c r="F39772"/>
    </row>
    <row r="39773" spans="1:6" x14ac:dyDescent="0.25">
      <c r="A39773"/>
      <c r="B39773"/>
      <c r="C39773"/>
      <c r="E39773"/>
      <c r="F39773"/>
    </row>
    <row r="39774" spans="1:6" x14ac:dyDescent="0.25">
      <c r="A39774"/>
      <c r="B39774"/>
      <c r="C39774"/>
      <c r="E39774"/>
      <c r="F39774"/>
    </row>
    <row r="39775" spans="1:6" x14ac:dyDescent="0.25">
      <c r="A39775"/>
      <c r="B39775"/>
      <c r="C39775"/>
      <c r="E39775"/>
      <c r="F39775"/>
    </row>
    <row r="39776" spans="1:6" x14ac:dyDescent="0.25">
      <c r="A39776"/>
      <c r="B39776"/>
      <c r="C39776"/>
      <c r="E39776"/>
      <c r="F39776"/>
    </row>
    <row r="39777" spans="1:6" x14ac:dyDescent="0.25">
      <c r="A39777"/>
      <c r="B39777"/>
      <c r="C39777"/>
      <c r="E39777"/>
      <c r="F39777"/>
    </row>
    <row r="39778" spans="1:6" x14ac:dyDescent="0.25">
      <c r="A39778"/>
      <c r="B39778"/>
      <c r="C39778"/>
      <c r="E39778"/>
      <c r="F39778"/>
    </row>
    <row r="39779" spans="1:6" x14ac:dyDescent="0.25">
      <c r="A39779"/>
      <c r="B39779"/>
      <c r="C39779"/>
      <c r="E39779"/>
      <c r="F39779"/>
    </row>
    <row r="39780" spans="1:6" x14ac:dyDescent="0.25">
      <c r="A39780"/>
      <c r="B39780"/>
      <c r="C39780"/>
      <c r="E39780"/>
      <c r="F39780"/>
    </row>
    <row r="39781" spans="1:6" x14ac:dyDescent="0.25">
      <c r="A39781"/>
      <c r="B39781"/>
      <c r="C39781"/>
      <c r="E39781"/>
      <c r="F39781"/>
    </row>
    <row r="39782" spans="1:6" x14ac:dyDescent="0.25">
      <c r="A39782"/>
      <c r="B39782"/>
      <c r="C39782"/>
      <c r="E39782"/>
      <c r="F39782"/>
    </row>
    <row r="39783" spans="1:6" x14ac:dyDescent="0.25">
      <c r="A39783"/>
      <c r="B39783"/>
      <c r="C39783"/>
      <c r="E39783"/>
      <c r="F39783"/>
    </row>
    <row r="39784" spans="1:6" x14ac:dyDescent="0.25">
      <c r="A39784"/>
      <c r="B39784"/>
      <c r="C39784"/>
      <c r="E39784"/>
      <c r="F39784"/>
    </row>
    <row r="39785" spans="1:6" x14ac:dyDescent="0.25">
      <c r="A39785"/>
      <c r="B39785"/>
      <c r="C39785"/>
      <c r="E39785"/>
      <c r="F39785"/>
    </row>
    <row r="39786" spans="1:6" x14ac:dyDescent="0.25">
      <c r="A39786"/>
      <c r="B39786"/>
      <c r="C39786"/>
      <c r="E39786"/>
      <c r="F39786"/>
    </row>
    <row r="39787" spans="1:6" x14ac:dyDescent="0.25">
      <c r="A39787"/>
      <c r="B39787"/>
      <c r="C39787"/>
      <c r="E39787"/>
      <c r="F39787"/>
    </row>
    <row r="39788" spans="1:6" x14ac:dyDescent="0.25">
      <c r="A39788"/>
      <c r="B39788"/>
      <c r="C39788"/>
      <c r="E39788"/>
      <c r="F39788"/>
    </row>
    <row r="39789" spans="1:6" x14ac:dyDescent="0.25">
      <c r="A39789"/>
      <c r="B39789"/>
      <c r="C39789"/>
      <c r="E39789"/>
      <c r="F39789"/>
    </row>
    <row r="39790" spans="1:6" x14ac:dyDescent="0.25">
      <c r="A39790"/>
      <c r="B39790"/>
      <c r="C39790"/>
      <c r="E39790"/>
      <c r="F39790"/>
    </row>
    <row r="39791" spans="1:6" x14ac:dyDescent="0.25">
      <c r="A39791"/>
      <c r="B39791"/>
      <c r="C39791"/>
      <c r="E39791"/>
      <c r="F39791"/>
    </row>
    <row r="39792" spans="1:6" x14ac:dyDescent="0.25">
      <c r="A39792"/>
      <c r="B39792"/>
      <c r="C39792"/>
      <c r="E39792"/>
      <c r="F39792"/>
    </row>
    <row r="39793" spans="1:6" x14ac:dyDescent="0.25">
      <c r="A39793"/>
      <c r="B39793"/>
      <c r="C39793"/>
      <c r="E39793"/>
      <c r="F39793"/>
    </row>
    <row r="39794" spans="1:6" x14ac:dyDescent="0.25">
      <c r="A39794"/>
      <c r="B39794"/>
      <c r="C39794"/>
      <c r="E39794"/>
      <c r="F39794"/>
    </row>
    <row r="39795" spans="1:6" x14ac:dyDescent="0.25">
      <c r="A39795"/>
      <c r="B39795"/>
      <c r="C39795"/>
      <c r="E39795"/>
      <c r="F39795"/>
    </row>
    <row r="39796" spans="1:6" x14ac:dyDescent="0.25">
      <c r="A39796"/>
      <c r="B39796"/>
      <c r="C39796"/>
      <c r="E39796"/>
      <c r="F39796"/>
    </row>
    <row r="39797" spans="1:6" x14ac:dyDescent="0.25">
      <c r="A39797"/>
      <c r="B39797"/>
      <c r="C39797"/>
      <c r="E39797"/>
      <c r="F39797"/>
    </row>
    <row r="39798" spans="1:6" x14ac:dyDescent="0.25">
      <c r="A39798"/>
      <c r="B39798"/>
      <c r="C39798"/>
      <c r="E39798"/>
      <c r="F39798"/>
    </row>
    <row r="39799" spans="1:6" x14ac:dyDescent="0.25">
      <c r="A39799"/>
      <c r="B39799"/>
      <c r="C39799"/>
      <c r="E39799"/>
      <c r="F39799"/>
    </row>
    <row r="39800" spans="1:6" x14ac:dyDescent="0.25">
      <c r="A39800"/>
      <c r="B39800"/>
      <c r="C39800"/>
      <c r="E39800"/>
      <c r="F39800"/>
    </row>
    <row r="39801" spans="1:6" x14ac:dyDescent="0.25">
      <c r="A39801"/>
      <c r="B39801"/>
      <c r="C39801"/>
      <c r="E39801"/>
      <c r="F39801"/>
    </row>
    <row r="39802" spans="1:6" x14ac:dyDescent="0.25">
      <c r="A39802"/>
      <c r="B39802"/>
      <c r="C39802"/>
      <c r="E39802"/>
      <c r="F39802"/>
    </row>
    <row r="39803" spans="1:6" x14ac:dyDescent="0.25">
      <c r="A39803"/>
      <c r="B39803"/>
      <c r="C39803"/>
      <c r="E39803"/>
      <c r="F39803"/>
    </row>
    <row r="39804" spans="1:6" x14ac:dyDescent="0.25">
      <c r="A39804"/>
      <c r="B39804"/>
      <c r="C39804"/>
      <c r="E39804"/>
      <c r="F39804"/>
    </row>
    <row r="39805" spans="1:6" x14ac:dyDescent="0.25">
      <c r="A39805"/>
      <c r="B39805"/>
      <c r="C39805"/>
      <c r="E39805"/>
      <c r="F39805"/>
    </row>
    <row r="39806" spans="1:6" x14ac:dyDescent="0.25">
      <c r="A39806"/>
      <c r="B39806"/>
      <c r="C39806"/>
      <c r="E39806"/>
      <c r="F39806"/>
    </row>
    <row r="39807" spans="1:6" x14ac:dyDescent="0.25">
      <c r="A39807"/>
      <c r="B39807"/>
      <c r="C39807"/>
      <c r="E39807"/>
      <c r="F39807"/>
    </row>
    <row r="39808" spans="1:6" x14ac:dyDescent="0.25">
      <c r="A39808"/>
      <c r="B39808"/>
      <c r="C39808"/>
      <c r="E39808"/>
      <c r="F39808"/>
    </row>
    <row r="39809" spans="1:6" x14ac:dyDescent="0.25">
      <c r="A39809"/>
      <c r="B39809"/>
      <c r="C39809"/>
      <c r="E39809"/>
      <c r="F39809"/>
    </row>
    <row r="39810" spans="1:6" x14ac:dyDescent="0.25">
      <c r="A39810"/>
      <c r="B39810"/>
      <c r="C39810"/>
      <c r="E39810"/>
      <c r="F39810"/>
    </row>
    <row r="39811" spans="1:6" x14ac:dyDescent="0.25">
      <c r="A39811"/>
      <c r="B39811"/>
      <c r="C39811"/>
      <c r="E39811"/>
      <c r="F39811"/>
    </row>
    <row r="39812" spans="1:6" x14ac:dyDescent="0.25">
      <c r="A39812"/>
      <c r="B39812"/>
      <c r="C39812"/>
      <c r="E39812"/>
      <c r="F39812"/>
    </row>
    <row r="39813" spans="1:6" x14ac:dyDescent="0.25">
      <c r="A39813"/>
      <c r="B39813"/>
      <c r="C39813"/>
      <c r="E39813"/>
      <c r="F39813"/>
    </row>
    <row r="39814" spans="1:6" x14ac:dyDescent="0.25">
      <c r="A39814"/>
      <c r="B39814"/>
      <c r="C39814"/>
      <c r="E39814"/>
      <c r="F39814"/>
    </row>
    <row r="39815" spans="1:6" x14ac:dyDescent="0.25">
      <c r="A39815"/>
      <c r="B39815"/>
      <c r="C39815"/>
      <c r="E39815"/>
      <c r="F39815"/>
    </row>
    <row r="39816" spans="1:6" x14ac:dyDescent="0.25">
      <c r="A39816"/>
      <c r="B39816"/>
      <c r="C39816"/>
      <c r="E39816"/>
      <c r="F39816"/>
    </row>
    <row r="39817" spans="1:6" x14ac:dyDescent="0.25">
      <c r="A39817"/>
      <c r="B39817"/>
      <c r="C39817"/>
      <c r="E39817"/>
      <c r="F39817"/>
    </row>
    <row r="39818" spans="1:6" x14ac:dyDescent="0.25">
      <c r="A39818"/>
      <c r="B39818"/>
      <c r="C39818"/>
      <c r="E39818"/>
      <c r="F39818"/>
    </row>
    <row r="39819" spans="1:6" x14ac:dyDescent="0.25">
      <c r="A39819"/>
      <c r="B39819"/>
      <c r="C39819"/>
      <c r="E39819"/>
      <c r="F39819"/>
    </row>
    <row r="39820" spans="1:6" x14ac:dyDescent="0.25">
      <c r="A39820"/>
      <c r="B39820"/>
      <c r="C39820"/>
      <c r="E39820"/>
      <c r="F39820"/>
    </row>
    <row r="39821" spans="1:6" x14ac:dyDescent="0.25">
      <c r="A39821"/>
      <c r="B39821"/>
      <c r="C39821"/>
      <c r="E39821"/>
      <c r="F39821"/>
    </row>
    <row r="39822" spans="1:6" x14ac:dyDescent="0.25">
      <c r="A39822"/>
      <c r="B39822"/>
      <c r="C39822"/>
      <c r="E39822"/>
      <c r="F39822"/>
    </row>
    <row r="39823" spans="1:6" x14ac:dyDescent="0.25">
      <c r="A39823"/>
      <c r="B39823"/>
      <c r="C39823"/>
      <c r="E39823"/>
      <c r="F39823"/>
    </row>
    <row r="39824" spans="1:6" x14ac:dyDescent="0.25">
      <c r="A39824"/>
      <c r="B39824"/>
      <c r="C39824"/>
      <c r="E39824"/>
      <c r="F39824"/>
    </row>
    <row r="39825" spans="1:6" x14ac:dyDescent="0.25">
      <c r="A39825"/>
      <c r="B39825"/>
      <c r="C39825"/>
      <c r="E39825"/>
      <c r="F39825"/>
    </row>
    <row r="39826" spans="1:6" x14ac:dyDescent="0.25">
      <c r="A39826"/>
      <c r="B39826"/>
      <c r="C39826"/>
      <c r="E39826"/>
      <c r="F39826"/>
    </row>
    <row r="39827" spans="1:6" x14ac:dyDescent="0.25">
      <c r="A39827"/>
      <c r="B39827"/>
      <c r="C39827"/>
      <c r="E39827"/>
      <c r="F39827"/>
    </row>
    <row r="39828" spans="1:6" x14ac:dyDescent="0.25">
      <c r="A39828"/>
      <c r="B39828"/>
      <c r="C39828"/>
      <c r="E39828"/>
      <c r="F39828"/>
    </row>
    <row r="39829" spans="1:6" x14ac:dyDescent="0.25">
      <c r="A39829"/>
      <c r="B39829"/>
      <c r="C39829"/>
      <c r="E39829"/>
      <c r="F39829"/>
    </row>
    <row r="39830" spans="1:6" x14ac:dyDescent="0.25">
      <c r="A39830"/>
      <c r="B39830"/>
      <c r="C39830"/>
      <c r="E39830"/>
      <c r="F39830"/>
    </row>
    <row r="39831" spans="1:6" x14ac:dyDescent="0.25">
      <c r="A39831"/>
      <c r="B39831"/>
      <c r="C39831"/>
      <c r="E39831"/>
      <c r="F39831"/>
    </row>
    <row r="39832" spans="1:6" x14ac:dyDescent="0.25">
      <c r="A39832"/>
      <c r="B39832"/>
      <c r="C39832"/>
      <c r="E39832"/>
      <c r="F39832"/>
    </row>
    <row r="39833" spans="1:6" x14ac:dyDescent="0.25">
      <c r="A39833"/>
      <c r="B39833"/>
      <c r="C39833"/>
      <c r="E39833"/>
      <c r="F39833"/>
    </row>
    <row r="39834" spans="1:6" x14ac:dyDescent="0.25">
      <c r="A39834"/>
      <c r="B39834"/>
      <c r="C39834"/>
      <c r="E39834"/>
      <c r="F39834"/>
    </row>
    <row r="39835" spans="1:6" x14ac:dyDescent="0.25">
      <c r="A39835"/>
      <c r="B39835"/>
      <c r="C39835"/>
      <c r="E39835"/>
      <c r="F39835"/>
    </row>
    <row r="39836" spans="1:6" x14ac:dyDescent="0.25">
      <c r="A39836"/>
      <c r="B39836"/>
      <c r="C39836"/>
      <c r="E39836"/>
      <c r="F39836"/>
    </row>
    <row r="39837" spans="1:6" x14ac:dyDescent="0.25">
      <c r="A39837"/>
      <c r="B39837"/>
      <c r="C39837"/>
      <c r="E39837"/>
      <c r="F39837"/>
    </row>
    <row r="39838" spans="1:6" x14ac:dyDescent="0.25">
      <c r="A39838"/>
      <c r="B39838"/>
      <c r="C39838"/>
      <c r="E39838"/>
      <c r="F39838"/>
    </row>
    <row r="39839" spans="1:6" x14ac:dyDescent="0.25">
      <c r="A39839"/>
      <c r="B39839"/>
      <c r="C39839"/>
      <c r="E39839"/>
      <c r="F39839"/>
    </row>
    <row r="39840" spans="1:6" x14ac:dyDescent="0.25">
      <c r="A39840"/>
      <c r="B39840"/>
      <c r="C39840"/>
      <c r="E39840"/>
      <c r="F39840"/>
    </row>
    <row r="39841" spans="1:6" x14ac:dyDescent="0.25">
      <c r="A39841"/>
      <c r="B39841"/>
      <c r="C39841"/>
      <c r="E39841"/>
      <c r="F39841"/>
    </row>
    <row r="39842" spans="1:6" x14ac:dyDescent="0.25">
      <c r="A39842"/>
      <c r="B39842"/>
      <c r="C39842"/>
      <c r="E39842"/>
      <c r="F39842"/>
    </row>
    <row r="39843" spans="1:6" x14ac:dyDescent="0.25">
      <c r="A39843"/>
      <c r="B39843"/>
      <c r="C39843"/>
      <c r="E39843"/>
      <c r="F39843"/>
    </row>
    <row r="39844" spans="1:6" x14ac:dyDescent="0.25">
      <c r="A39844"/>
      <c r="B39844"/>
      <c r="C39844"/>
      <c r="E39844"/>
      <c r="F39844"/>
    </row>
    <row r="39845" spans="1:6" x14ac:dyDescent="0.25">
      <c r="A39845"/>
      <c r="B39845"/>
      <c r="C39845"/>
      <c r="E39845"/>
      <c r="F39845"/>
    </row>
    <row r="39846" spans="1:6" x14ac:dyDescent="0.25">
      <c r="A39846"/>
      <c r="B39846"/>
      <c r="C39846"/>
      <c r="E39846"/>
      <c r="F39846"/>
    </row>
    <row r="39847" spans="1:6" x14ac:dyDescent="0.25">
      <c r="A39847"/>
      <c r="B39847"/>
      <c r="C39847"/>
      <c r="E39847"/>
      <c r="F39847"/>
    </row>
    <row r="39848" spans="1:6" x14ac:dyDescent="0.25">
      <c r="A39848"/>
      <c r="B39848"/>
      <c r="C39848"/>
      <c r="E39848"/>
      <c r="F39848"/>
    </row>
    <row r="39849" spans="1:6" x14ac:dyDescent="0.25">
      <c r="A39849"/>
      <c r="B39849"/>
      <c r="C39849"/>
      <c r="E39849"/>
      <c r="F39849"/>
    </row>
    <row r="39850" spans="1:6" x14ac:dyDescent="0.25">
      <c r="A39850"/>
      <c r="B39850"/>
      <c r="C39850"/>
      <c r="E39850"/>
      <c r="F39850"/>
    </row>
    <row r="39851" spans="1:6" x14ac:dyDescent="0.25">
      <c r="A39851"/>
      <c r="B39851"/>
      <c r="C39851"/>
      <c r="E39851"/>
      <c r="F39851"/>
    </row>
    <row r="39852" spans="1:6" x14ac:dyDescent="0.25">
      <c r="A39852"/>
      <c r="B39852"/>
      <c r="C39852"/>
      <c r="E39852"/>
      <c r="F39852"/>
    </row>
    <row r="39853" spans="1:6" x14ac:dyDescent="0.25">
      <c r="A39853"/>
      <c r="B39853"/>
      <c r="C39853"/>
      <c r="E39853"/>
      <c r="F39853"/>
    </row>
    <row r="39854" spans="1:6" x14ac:dyDescent="0.25">
      <c r="A39854"/>
      <c r="B39854"/>
      <c r="C39854"/>
      <c r="E39854"/>
      <c r="F39854"/>
    </row>
    <row r="39855" spans="1:6" x14ac:dyDescent="0.25">
      <c r="A39855"/>
      <c r="B39855"/>
      <c r="C39855"/>
      <c r="E39855"/>
      <c r="F39855"/>
    </row>
    <row r="39856" spans="1:6" x14ac:dyDescent="0.25">
      <c r="A39856"/>
      <c r="B39856"/>
      <c r="C39856"/>
      <c r="E39856"/>
      <c r="F39856"/>
    </row>
    <row r="39857" spans="1:6" x14ac:dyDescent="0.25">
      <c r="A39857"/>
      <c r="B39857"/>
      <c r="C39857"/>
      <c r="E39857"/>
      <c r="F39857"/>
    </row>
    <row r="39858" spans="1:6" x14ac:dyDescent="0.25">
      <c r="A39858"/>
      <c r="B39858"/>
      <c r="C39858"/>
      <c r="E39858"/>
      <c r="F39858"/>
    </row>
    <row r="39859" spans="1:6" x14ac:dyDescent="0.25">
      <c r="A39859"/>
      <c r="B39859"/>
      <c r="C39859"/>
      <c r="E39859"/>
      <c r="F39859"/>
    </row>
    <row r="39860" spans="1:6" x14ac:dyDescent="0.25">
      <c r="A39860"/>
      <c r="B39860"/>
      <c r="C39860"/>
      <c r="E39860"/>
      <c r="F39860"/>
    </row>
    <row r="39861" spans="1:6" x14ac:dyDescent="0.25">
      <c r="A39861"/>
      <c r="B39861"/>
      <c r="C39861"/>
      <c r="E39861"/>
      <c r="F39861"/>
    </row>
    <row r="39862" spans="1:6" x14ac:dyDescent="0.25">
      <c r="A39862"/>
      <c r="B39862"/>
      <c r="C39862"/>
      <c r="E39862"/>
      <c r="F39862"/>
    </row>
    <row r="39863" spans="1:6" x14ac:dyDescent="0.25">
      <c r="A39863"/>
      <c r="B39863"/>
      <c r="C39863"/>
      <c r="E39863"/>
      <c r="F39863"/>
    </row>
    <row r="39864" spans="1:6" x14ac:dyDescent="0.25">
      <c r="A39864"/>
      <c r="B39864"/>
      <c r="C39864"/>
      <c r="E39864"/>
      <c r="F39864"/>
    </row>
    <row r="39865" spans="1:6" x14ac:dyDescent="0.25">
      <c r="A39865"/>
      <c r="B39865"/>
      <c r="C39865"/>
      <c r="E39865"/>
      <c r="F39865"/>
    </row>
    <row r="39866" spans="1:6" x14ac:dyDescent="0.25">
      <c r="A39866"/>
      <c r="B39866"/>
      <c r="C39866"/>
      <c r="E39866"/>
      <c r="F39866"/>
    </row>
    <row r="39867" spans="1:6" x14ac:dyDescent="0.25">
      <c r="A39867"/>
      <c r="B39867"/>
      <c r="C39867"/>
      <c r="E39867"/>
      <c r="F39867"/>
    </row>
    <row r="39868" spans="1:6" x14ac:dyDescent="0.25">
      <c r="A39868"/>
      <c r="B39868"/>
      <c r="C39868"/>
      <c r="E39868"/>
      <c r="F39868"/>
    </row>
    <row r="39869" spans="1:6" x14ac:dyDescent="0.25">
      <c r="A39869"/>
      <c r="B39869"/>
      <c r="C39869"/>
      <c r="E39869"/>
      <c r="F39869"/>
    </row>
    <row r="39870" spans="1:6" x14ac:dyDescent="0.25">
      <c r="A39870"/>
      <c r="B39870"/>
      <c r="C39870"/>
      <c r="E39870"/>
      <c r="F39870"/>
    </row>
    <row r="39871" spans="1:6" x14ac:dyDescent="0.25">
      <c r="A39871"/>
      <c r="B39871"/>
      <c r="C39871"/>
      <c r="E39871"/>
      <c r="F39871"/>
    </row>
    <row r="39872" spans="1:6" x14ac:dyDescent="0.25">
      <c r="A39872"/>
      <c r="B39872"/>
      <c r="C39872"/>
      <c r="E39872"/>
      <c r="F39872"/>
    </row>
    <row r="39873" spans="1:6" x14ac:dyDescent="0.25">
      <c r="A39873"/>
      <c r="B39873"/>
      <c r="C39873"/>
      <c r="E39873"/>
      <c r="F39873"/>
    </row>
    <row r="39874" spans="1:6" x14ac:dyDescent="0.25">
      <c r="A39874"/>
      <c r="B39874"/>
      <c r="C39874"/>
      <c r="E39874"/>
      <c r="F39874"/>
    </row>
    <row r="39875" spans="1:6" x14ac:dyDescent="0.25">
      <c r="A39875"/>
      <c r="B39875"/>
      <c r="C39875"/>
      <c r="E39875"/>
      <c r="F39875"/>
    </row>
    <row r="39876" spans="1:6" x14ac:dyDescent="0.25">
      <c r="A39876"/>
      <c r="B39876"/>
      <c r="C39876"/>
      <c r="E39876"/>
      <c r="F39876"/>
    </row>
    <row r="39877" spans="1:6" x14ac:dyDescent="0.25">
      <c r="A39877"/>
      <c r="B39877"/>
      <c r="C39877"/>
      <c r="E39877"/>
      <c r="F39877"/>
    </row>
    <row r="39878" spans="1:6" x14ac:dyDescent="0.25">
      <c r="A39878"/>
      <c r="B39878"/>
      <c r="C39878"/>
      <c r="E39878"/>
      <c r="F39878"/>
    </row>
    <row r="39879" spans="1:6" x14ac:dyDescent="0.25">
      <c r="A39879"/>
      <c r="B39879"/>
      <c r="C39879"/>
      <c r="E39879"/>
      <c r="F39879"/>
    </row>
    <row r="39880" spans="1:6" x14ac:dyDescent="0.25">
      <c r="A39880"/>
      <c r="B39880"/>
      <c r="C39880"/>
      <c r="E39880"/>
      <c r="F39880"/>
    </row>
    <row r="39881" spans="1:6" x14ac:dyDescent="0.25">
      <c r="A39881"/>
      <c r="B39881"/>
      <c r="C39881"/>
      <c r="E39881"/>
      <c r="F39881"/>
    </row>
    <row r="39882" spans="1:6" x14ac:dyDescent="0.25">
      <c r="A39882"/>
      <c r="B39882"/>
      <c r="C39882"/>
      <c r="E39882"/>
      <c r="F39882"/>
    </row>
    <row r="39883" spans="1:6" x14ac:dyDescent="0.25">
      <c r="A39883"/>
      <c r="B39883"/>
      <c r="C39883"/>
      <c r="E39883"/>
      <c r="F39883"/>
    </row>
    <row r="39884" spans="1:6" x14ac:dyDescent="0.25">
      <c r="A39884"/>
      <c r="B39884"/>
      <c r="C39884"/>
      <c r="E39884"/>
      <c r="F39884"/>
    </row>
    <row r="39885" spans="1:6" x14ac:dyDescent="0.25">
      <c r="A39885"/>
      <c r="B39885"/>
      <c r="C39885"/>
      <c r="E39885"/>
      <c r="F39885"/>
    </row>
    <row r="39886" spans="1:6" x14ac:dyDescent="0.25">
      <c r="A39886"/>
      <c r="B39886"/>
      <c r="C39886"/>
      <c r="E39886"/>
      <c r="F39886"/>
    </row>
    <row r="39887" spans="1:6" x14ac:dyDescent="0.25">
      <c r="A39887"/>
      <c r="B39887"/>
      <c r="C39887"/>
      <c r="E39887"/>
      <c r="F39887"/>
    </row>
    <row r="39888" spans="1:6" x14ac:dyDescent="0.25">
      <c r="A39888"/>
      <c r="B39888"/>
      <c r="C39888"/>
      <c r="E39888"/>
      <c r="F39888"/>
    </row>
    <row r="39889" spans="1:6" x14ac:dyDescent="0.25">
      <c r="A39889"/>
      <c r="B39889"/>
      <c r="C39889"/>
      <c r="E39889"/>
      <c r="F39889"/>
    </row>
    <row r="39890" spans="1:6" x14ac:dyDescent="0.25">
      <c r="A39890"/>
      <c r="B39890"/>
      <c r="C39890"/>
      <c r="E39890"/>
      <c r="F39890"/>
    </row>
    <row r="39891" spans="1:6" x14ac:dyDescent="0.25">
      <c r="A39891"/>
      <c r="B39891"/>
      <c r="C39891"/>
      <c r="E39891"/>
      <c r="F39891"/>
    </row>
    <row r="39892" spans="1:6" x14ac:dyDescent="0.25">
      <c r="A39892"/>
      <c r="B39892"/>
      <c r="C39892"/>
      <c r="E39892"/>
      <c r="F39892"/>
    </row>
    <row r="39893" spans="1:6" x14ac:dyDescent="0.25">
      <c r="A39893"/>
      <c r="B39893"/>
      <c r="C39893"/>
      <c r="E39893"/>
      <c r="F39893"/>
    </row>
    <row r="39894" spans="1:6" x14ac:dyDescent="0.25">
      <c r="A39894"/>
      <c r="B39894"/>
      <c r="C39894"/>
      <c r="E39894"/>
      <c r="F39894"/>
    </row>
    <row r="39895" spans="1:6" x14ac:dyDescent="0.25">
      <c r="A39895"/>
      <c r="B39895"/>
      <c r="C39895"/>
      <c r="E39895"/>
      <c r="F39895"/>
    </row>
    <row r="39896" spans="1:6" x14ac:dyDescent="0.25">
      <c r="A39896"/>
      <c r="B39896"/>
      <c r="C39896"/>
      <c r="E39896"/>
      <c r="F39896"/>
    </row>
    <row r="39897" spans="1:6" x14ac:dyDescent="0.25">
      <c r="A39897"/>
      <c r="B39897"/>
      <c r="C39897"/>
      <c r="E39897"/>
      <c r="F39897"/>
    </row>
    <row r="39898" spans="1:6" x14ac:dyDescent="0.25">
      <c r="A39898"/>
      <c r="B39898"/>
      <c r="C39898"/>
      <c r="E39898"/>
      <c r="F39898"/>
    </row>
    <row r="39899" spans="1:6" x14ac:dyDescent="0.25">
      <c r="A39899"/>
      <c r="B39899"/>
      <c r="C39899"/>
      <c r="E39899"/>
      <c r="F39899"/>
    </row>
    <row r="39900" spans="1:6" x14ac:dyDescent="0.25">
      <c r="A39900"/>
      <c r="B39900"/>
      <c r="C39900"/>
      <c r="E39900"/>
      <c r="F39900"/>
    </row>
    <row r="39901" spans="1:6" x14ac:dyDescent="0.25">
      <c r="A39901"/>
      <c r="B39901"/>
      <c r="C39901"/>
      <c r="E39901"/>
      <c r="F39901"/>
    </row>
    <row r="39902" spans="1:6" x14ac:dyDescent="0.25">
      <c r="A39902"/>
      <c r="B39902"/>
      <c r="C39902"/>
      <c r="E39902"/>
      <c r="F39902"/>
    </row>
    <row r="39903" spans="1:6" x14ac:dyDescent="0.25">
      <c r="A39903"/>
      <c r="B39903"/>
      <c r="C39903"/>
      <c r="E39903"/>
      <c r="F39903"/>
    </row>
    <row r="39904" spans="1:6" x14ac:dyDescent="0.25">
      <c r="A39904"/>
      <c r="B39904"/>
      <c r="C39904"/>
      <c r="E39904"/>
      <c r="F39904"/>
    </row>
    <row r="39905" spans="1:6" x14ac:dyDescent="0.25">
      <c r="A39905"/>
      <c r="B39905"/>
      <c r="C39905"/>
      <c r="E39905"/>
      <c r="F39905"/>
    </row>
    <row r="39906" spans="1:6" x14ac:dyDescent="0.25">
      <c r="A39906"/>
      <c r="B39906"/>
      <c r="C39906"/>
      <c r="E39906"/>
      <c r="F39906"/>
    </row>
    <row r="39907" spans="1:6" x14ac:dyDescent="0.25">
      <c r="A39907"/>
      <c r="B39907"/>
      <c r="C39907"/>
      <c r="E39907"/>
      <c r="F39907"/>
    </row>
    <row r="39908" spans="1:6" x14ac:dyDescent="0.25">
      <c r="A39908"/>
      <c r="B39908"/>
      <c r="C39908"/>
      <c r="E39908"/>
      <c r="F39908"/>
    </row>
    <row r="39909" spans="1:6" x14ac:dyDescent="0.25">
      <c r="A39909"/>
      <c r="B39909"/>
      <c r="C39909"/>
      <c r="E39909"/>
      <c r="F39909"/>
    </row>
    <row r="39910" spans="1:6" x14ac:dyDescent="0.25">
      <c r="A39910"/>
      <c r="B39910"/>
      <c r="C39910"/>
      <c r="E39910"/>
      <c r="F39910"/>
    </row>
    <row r="39911" spans="1:6" x14ac:dyDescent="0.25">
      <c r="A39911"/>
      <c r="B39911"/>
      <c r="C39911"/>
      <c r="E39911"/>
      <c r="F39911"/>
    </row>
    <row r="39912" spans="1:6" x14ac:dyDescent="0.25">
      <c r="A39912"/>
      <c r="B39912"/>
      <c r="C39912"/>
      <c r="E39912"/>
      <c r="F39912"/>
    </row>
    <row r="39913" spans="1:6" x14ac:dyDescent="0.25">
      <c r="A39913"/>
      <c r="B39913"/>
      <c r="C39913"/>
      <c r="E39913"/>
      <c r="F39913"/>
    </row>
    <row r="39914" spans="1:6" x14ac:dyDescent="0.25">
      <c r="A39914"/>
      <c r="B39914"/>
      <c r="C39914"/>
      <c r="E39914"/>
      <c r="F39914"/>
    </row>
    <row r="39915" spans="1:6" x14ac:dyDescent="0.25">
      <c r="A39915"/>
      <c r="B39915"/>
      <c r="C39915"/>
      <c r="E39915"/>
      <c r="F39915"/>
    </row>
    <row r="39916" spans="1:6" x14ac:dyDescent="0.25">
      <c r="A39916"/>
      <c r="B39916"/>
      <c r="C39916"/>
      <c r="E39916"/>
      <c r="F39916"/>
    </row>
    <row r="39917" spans="1:6" x14ac:dyDescent="0.25">
      <c r="A39917"/>
      <c r="B39917"/>
      <c r="C39917"/>
      <c r="E39917"/>
      <c r="F39917"/>
    </row>
    <row r="39918" spans="1:6" x14ac:dyDescent="0.25">
      <c r="A39918"/>
      <c r="B39918"/>
      <c r="C39918"/>
      <c r="E39918"/>
      <c r="F39918"/>
    </row>
    <row r="39919" spans="1:6" x14ac:dyDescent="0.25">
      <c r="A39919"/>
      <c r="B39919"/>
      <c r="C39919"/>
      <c r="E39919"/>
      <c r="F39919"/>
    </row>
    <row r="39920" spans="1:6" x14ac:dyDescent="0.25">
      <c r="A39920"/>
      <c r="B39920"/>
      <c r="C39920"/>
      <c r="E39920"/>
      <c r="F39920"/>
    </row>
    <row r="39921" spans="1:6" x14ac:dyDescent="0.25">
      <c r="A39921"/>
      <c r="B39921"/>
      <c r="C39921"/>
      <c r="E39921"/>
      <c r="F39921"/>
    </row>
    <row r="39922" spans="1:6" x14ac:dyDescent="0.25">
      <c r="A39922"/>
      <c r="B39922"/>
      <c r="C39922"/>
      <c r="E39922"/>
      <c r="F39922"/>
    </row>
    <row r="39923" spans="1:6" x14ac:dyDescent="0.25">
      <c r="A39923"/>
      <c r="B39923"/>
      <c r="C39923"/>
      <c r="E39923"/>
      <c r="F39923"/>
    </row>
    <row r="39924" spans="1:6" x14ac:dyDescent="0.25">
      <c r="A39924"/>
      <c r="B39924"/>
      <c r="C39924"/>
      <c r="E39924"/>
      <c r="F39924"/>
    </row>
    <row r="39925" spans="1:6" x14ac:dyDescent="0.25">
      <c r="A39925"/>
      <c r="B39925"/>
      <c r="C39925"/>
      <c r="E39925"/>
      <c r="F39925"/>
    </row>
    <row r="39926" spans="1:6" x14ac:dyDescent="0.25">
      <c r="A39926"/>
      <c r="B39926"/>
      <c r="C39926"/>
      <c r="E39926"/>
      <c r="F39926"/>
    </row>
    <row r="39927" spans="1:6" x14ac:dyDescent="0.25">
      <c r="A39927"/>
      <c r="B39927"/>
      <c r="C39927"/>
      <c r="E39927"/>
      <c r="F39927"/>
    </row>
    <row r="39928" spans="1:6" x14ac:dyDescent="0.25">
      <c r="A39928"/>
      <c r="B39928"/>
      <c r="C39928"/>
      <c r="E39928"/>
      <c r="F39928"/>
    </row>
    <row r="39929" spans="1:6" x14ac:dyDescent="0.25">
      <c r="A39929"/>
      <c r="B39929"/>
      <c r="C39929"/>
      <c r="E39929"/>
      <c r="F39929"/>
    </row>
    <row r="39930" spans="1:6" x14ac:dyDescent="0.25">
      <c r="A39930"/>
      <c r="B39930"/>
      <c r="C39930"/>
      <c r="E39930"/>
      <c r="F39930"/>
    </row>
    <row r="39931" spans="1:6" x14ac:dyDescent="0.25">
      <c r="A39931"/>
      <c r="B39931"/>
      <c r="C39931"/>
      <c r="E39931"/>
      <c r="F39931"/>
    </row>
    <row r="39932" spans="1:6" x14ac:dyDescent="0.25">
      <c r="A39932"/>
      <c r="B39932"/>
      <c r="C39932"/>
      <c r="E39932"/>
      <c r="F39932"/>
    </row>
    <row r="39933" spans="1:6" x14ac:dyDescent="0.25">
      <c r="A39933"/>
      <c r="B39933"/>
      <c r="C39933"/>
      <c r="E39933"/>
      <c r="F39933"/>
    </row>
    <row r="39934" spans="1:6" x14ac:dyDescent="0.25">
      <c r="A39934"/>
      <c r="B39934"/>
      <c r="C39934"/>
      <c r="E39934"/>
      <c r="F39934"/>
    </row>
    <row r="39935" spans="1:6" x14ac:dyDescent="0.25">
      <c r="A39935"/>
      <c r="B39935"/>
      <c r="C39935"/>
      <c r="E39935"/>
      <c r="F39935"/>
    </row>
    <row r="39936" spans="1:6" x14ac:dyDescent="0.25">
      <c r="A39936"/>
      <c r="B39936"/>
      <c r="C39936"/>
      <c r="E39936"/>
      <c r="F39936"/>
    </row>
    <row r="39937" spans="1:6" x14ac:dyDescent="0.25">
      <c r="A39937"/>
      <c r="B39937"/>
      <c r="C39937"/>
      <c r="E39937"/>
      <c r="F39937"/>
    </row>
    <row r="39938" spans="1:6" x14ac:dyDescent="0.25">
      <c r="A39938"/>
      <c r="B39938"/>
      <c r="C39938"/>
      <c r="E39938"/>
      <c r="F39938"/>
    </row>
    <row r="39939" spans="1:6" x14ac:dyDescent="0.25">
      <c r="A39939"/>
      <c r="B39939"/>
      <c r="C39939"/>
      <c r="E39939"/>
      <c r="F39939"/>
    </row>
    <row r="39940" spans="1:6" x14ac:dyDescent="0.25">
      <c r="A39940"/>
      <c r="B39940"/>
      <c r="C39940"/>
      <c r="E39940"/>
      <c r="F39940"/>
    </row>
    <row r="39941" spans="1:6" x14ac:dyDescent="0.25">
      <c r="A39941"/>
      <c r="B39941"/>
      <c r="C39941"/>
      <c r="E39941"/>
      <c r="F39941"/>
    </row>
    <row r="39942" spans="1:6" x14ac:dyDescent="0.25">
      <c r="A39942"/>
      <c r="B39942"/>
      <c r="C39942"/>
      <c r="E39942"/>
      <c r="F39942"/>
    </row>
    <row r="39943" spans="1:6" x14ac:dyDescent="0.25">
      <c r="A39943"/>
      <c r="B39943"/>
      <c r="C39943"/>
      <c r="E39943"/>
      <c r="F39943"/>
    </row>
    <row r="39944" spans="1:6" x14ac:dyDescent="0.25">
      <c r="A39944"/>
      <c r="B39944"/>
      <c r="C39944"/>
      <c r="E39944"/>
      <c r="F39944"/>
    </row>
    <row r="39945" spans="1:6" x14ac:dyDescent="0.25">
      <c r="A39945"/>
      <c r="B39945"/>
      <c r="C39945"/>
      <c r="E39945"/>
      <c r="F39945"/>
    </row>
    <row r="39946" spans="1:6" x14ac:dyDescent="0.25">
      <c r="A39946"/>
      <c r="B39946"/>
      <c r="C39946"/>
      <c r="E39946"/>
      <c r="F39946"/>
    </row>
    <row r="39947" spans="1:6" x14ac:dyDescent="0.25">
      <c r="A39947"/>
      <c r="B39947"/>
      <c r="C39947"/>
      <c r="E39947"/>
      <c r="F39947"/>
    </row>
    <row r="39948" spans="1:6" x14ac:dyDescent="0.25">
      <c r="A39948"/>
      <c r="B39948"/>
      <c r="C39948"/>
      <c r="E39948"/>
      <c r="F39948"/>
    </row>
    <row r="39949" spans="1:6" x14ac:dyDescent="0.25">
      <c r="A39949"/>
      <c r="B39949"/>
      <c r="C39949"/>
      <c r="E39949"/>
      <c r="F39949"/>
    </row>
    <row r="39950" spans="1:6" x14ac:dyDescent="0.25">
      <c r="A39950"/>
      <c r="B39950"/>
      <c r="C39950"/>
      <c r="E39950"/>
      <c r="F39950"/>
    </row>
    <row r="39951" spans="1:6" x14ac:dyDescent="0.25">
      <c r="A39951"/>
      <c r="B39951"/>
      <c r="C39951"/>
      <c r="E39951"/>
      <c r="F39951"/>
    </row>
    <row r="39952" spans="1:6" x14ac:dyDescent="0.25">
      <c r="A39952"/>
      <c r="B39952"/>
      <c r="C39952"/>
      <c r="E39952"/>
      <c r="F39952"/>
    </row>
    <row r="39953" spans="1:6" x14ac:dyDescent="0.25">
      <c r="A39953"/>
      <c r="B39953"/>
      <c r="C39953"/>
      <c r="E39953"/>
      <c r="F39953"/>
    </row>
    <row r="39954" spans="1:6" x14ac:dyDescent="0.25">
      <c r="A39954"/>
      <c r="B39954"/>
      <c r="C39954"/>
      <c r="E39954"/>
      <c r="F39954"/>
    </row>
    <row r="39955" spans="1:6" x14ac:dyDescent="0.25">
      <c r="A39955"/>
      <c r="B39955"/>
      <c r="C39955"/>
      <c r="E39955"/>
      <c r="F39955"/>
    </row>
    <row r="39956" spans="1:6" x14ac:dyDescent="0.25">
      <c r="A39956"/>
      <c r="B39956"/>
      <c r="C39956"/>
      <c r="E39956"/>
      <c r="F39956"/>
    </row>
    <row r="39957" spans="1:6" x14ac:dyDescent="0.25">
      <c r="A39957"/>
      <c r="B39957"/>
      <c r="C39957"/>
      <c r="E39957"/>
      <c r="F39957"/>
    </row>
    <row r="39958" spans="1:6" x14ac:dyDescent="0.25">
      <c r="A39958"/>
      <c r="B39958"/>
      <c r="C39958"/>
      <c r="E39958"/>
      <c r="F39958"/>
    </row>
    <row r="39959" spans="1:6" x14ac:dyDescent="0.25">
      <c r="A39959"/>
      <c r="B39959"/>
      <c r="C39959"/>
      <c r="E39959"/>
      <c r="F39959"/>
    </row>
    <row r="39960" spans="1:6" x14ac:dyDescent="0.25">
      <c r="A39960"/>
      <c r="B39960"/>
      <c r="C39960"/>
      <c r="E39960"/>
      <c r="F39960"/>
    </row>
    <row r="39961" spans="1:6" x14ac:dyDescent="0.25">
      <c r="A39961"/>
      <c r="B39961"/>
      <c r="C39961"/>
      <c r="E39961"/>
      <c r="F39961"/>
    </row>
    <row r="39962" spans="1:6" x14ac:dyDescent="0.25">
      <c r="A39962"/>
      <c r="B39962"/>
      <c r="C39962"/>
      <c r="E39962"/>
      <c r="F39962"/>
    </row>
    <row r="39963" spans="1:6" x14ac:dyDescent="0.25">
      <c r="A39963"/>
      <c r="B39963"/>
      <c r="C39963"/>
      <c r="E39963"/>
      <c r="F39963"/>
    </row>
    <row r="39964" spans="1:6" x14ac:dyDescent="0.25">
      <c r="A39964"/>
      <c r="B39964"/>
      <c r="C39964"/>
      <c r="E39964"/>
      <c r="F39964"/>
    </row>
    <row r="39965" spans="1:6" x14ac:dyDescent="0.25">
      <c r="A39965"/>
      <c r="B39965"/>
      <c r="C39965"/>
      <c r="E39965"/>
      <c r="F39965"/>
    </row>
    <row r="39966" spans="1:6" x14ac:dyDescent="0.25">
      <c r="A39966"/>
      <c r="B39966"/>
      <c r="C39966"/>
      <c r="E39966"/>
      <c r="F39966"/>
    </row>
    <row r="39967" spans="1:6" x14ac:dyDescent="0.25">
      <c r="A39967"/>
      <c r="B39967"/>
      <c r="C39967"/>
      <c r="E39967"/>
      <c r="F39967"/>
    </row>
    <row r="39968" spans="1:6" x14ac:dyDescent="0.25">
      <c r="A39968"/>
      <c r="B39968"/>
      <c r="C39968"/>
      <c r="E39968"/>
      <c r="F39968"/>
    </row>
    <row r="39969" spans="1:6" x14ac:dyDescent="0.25">
      <c r="A39969"/>
      <c r="B39969"/>
      <c r="C39969"/>
      <c r="E39969"/>
      <c r="F39969"/>
    </row>
    <row r="39970" spans="1:6" x14ac:dyDescent="0.25">
      <c r="A39970"/>
      <c r="B39970"/>
      <c r="C39970"/>
      <c r="E39970"/>
      <c r="F39970"/>
    </row>
    <row r="39971" spans="1:6" x14ac:dyDescent="0.25">
      <c r="A39971"/>
      <c r="B39971"/>
      <c r="C39971"/>
      <c r="E39971"/>
      <c r="F39971"/>
    </row>
    <row r="39972" spans="1:6" x14ac:dyDescent="0.25">
      <c r="A39972"/>
      <c r="B39972"/>
      <c r="C39972"/>
      <c r="E39972"/>
      <c r="F39972"/>
    </row>
    <row r="39973" spans="1:6" x14ac:dyDescent="0.25">
      <c r="A39973"/>
      <c r="B39973"/>
      <c r="C39973"/>
      <c r="E39973"/>
      <c r="F39973"/>
    </row>
    <row r="39974" spans="1:6" x14ac:dyDescent="0.25">
      <c r="A39974"/>
      <c r="B39974"/>
      <c r="C39974"/>
      <c r="E39974"/>
      <c r="F39974"/>
    </row>
    <row r="39975" spans="1:6" x14ac:dyDescent="0.25">
      <c r="A39975"/>
      <c r="B39975"/>
      <c r="C39975"/>
      <c r="E39975"/>
      <c r="F39975"/>
    </row>
    <row r="39976" spans="1:6" x14ac:dyDescent="0.25">
      <c r="A39976"/>
      <c r="B39976"/>
      <c r="C39976"/>
      <c r="E39976"/>
      <c r="F39976"/>
    </row>
    <row r="39977" spans="1:6" x14ac:dyDescent="0.25">
      <c r="A39977"/>
      <c r="B39977"/>
      <c r="C39977"/>
      <c r="E39977"/>
      <c r="F39977"/>
    </row>
    <row r="39978" spans="1:6" x14ac:dyDescent="0.25">
      <c r="A39978"/>
      <c r="B39978"/>
      <c r="C39978"/>
      <c r="E39978"/>
      <c r="F39978"/>
    </row>
    <row r="39979" spans="1:6" x14ac:dyDescent="0.25">
      <c r="A39979"/>
      <c r="B39979"/>
      <c r="C39979"/>
      <c r="E39979"/>
      <c r="F39979"/>
    </row>
    <row r="39980" spans="1:6" x14ac:dyDescent="0.25">
      <c r="A39980"/>
      <c r="B39980"/>
      <c r="C39980"/>
      <c r="E39980"/>
      <c r="F39980"/>
    </row>
    <row r="39981" spans="1:6" x14ac:dyDescent="0.25">
      <c r="A39981"/>
      <c r="B39981"/>
      <c r="C39981"/>
      <c r="E39981"/>
      <c r="F39981"/>
    </row>
    <row r="39982" spans="1:6" x14ac:dyDescent="0.25">
      <c r="A39982"/>
      <c r="B39982"/>
      <c r="C39982"/>
      <c r="E39982"/>
      <c r="F39982"/>
    </row>
    <row r="39983" spans="1:6" x14ac:dyDescent="0.25">
      <c r="A39983"/>
      <c r="B39983"/>
      <c r="C39983"/>
      <c r="E39983"/>
      <c r="F39983"/>
    </row>
    <row r="39984" spans="1:6" x14ac:dyDescent="0.25">
      <c r="A39984"/>
      <c r="B39984"/>
      <c r="C39984"/>
      <c r="E39984"/>
      <c r="F39984"/>
    </row>
    <row r="39985" spans="1:6" x14ac:dyDescent="0.25">
      <c r="A39985"/>
      <c r="B39985"/>
      <c r="C39985"/>
      <c r="E39985"/>
      <c r="F39985"/>
    </row>
    <row r="39986" spans="1:6" x14ac:dyDescent="0.25">
      <c r="A39986"/>
      <c r="B39986"/>
      <c r="C39986"/>
      <c r="E39986"/>
      <c r="F39986"/>
    </row>
    <row r="39987" spans="1:6" x14ac:dyDescent="0.25">
      <c r="A39987"/>
      <c r="B39987"/>
      <c r="C39987"/>
      <c r="E39987"/>
      <c r="F39987"/>
    </row>
    <row r="39988" spans="1:6" x14ac:dyDescent="0.25">
      <c r="A39988"/>
      <c r="B39988"/>
      <c r="C39988"/>
      <c r="E39988"/>
      <c r="F39988"/>
    </row>
    <row r="39989" spans="1:6" x14ac:dyDescent="0.25">
      <c r="A39989"/>
      <c r="B39989"/>
      <c r="C39989"/>
      <c r="E39989"/>
      <c r="F39989"/>
    </row>
    <row r="39990" spans="1:6" x14ac:dyDescent="0.25">
      <c r="A39990"/>
      <c r="B39990"/>
      <c r="C39990"/>
      <c r="E39990"/>
      <c r="F39990"/>
    </row>
    <row r="39991" spans="1:6" x14ac:dyDescent="0.25">
      <c r="A39991"/>
      <c r="B39991"/>
      <c r="C39991"/>
      <c r="E39991"/>
      <c r="F39991"/>
    </row>
    <row r="39992" spans="1:6" x14ac:dyDescent="0.25">
      <c r="A39992"/>
      <c r="B39992"/>
      <c r="C39992"/>
      <c r="E39992"/>
      <c r="F39992"/>
    </row>
    <row r="39993" spans="1:6" x14ac:dyDescent="0.25">
      <c r="A39993"/>
      <c r="B39993"/>
      <c r="C39993"/>
      <c r="E39993"/>
      <c r="F39993"/>
    </row>
    <row r="39994" spans="1:6" x14ac:dyDescent="0.25">
      <c r="A39994"/>
      <c r="B39994"/>
      <c r="C39994"/>
      <c r="E39994"/>
      <c r="F39994"/>
    </row>
    <row r="39995" spans="1:6" x14ac:dyDescent="0.25">
      <c r="A39995"/>
      <c r="B39995"/>
      <c r="C39995"/>
      <c r="E39995"/>
      <c r="F39995"/>
    </row>
    <row r="39996" spans="1:6" x14ac:dyDescent="0.25">
      <c r="A39996"/>
      <c r="B39996"/>
      <c r="C39996"/>
      <c r="E39996"/>
      <c r="F39996"/>
    </row>
    <row r="39997" spans="1:6" x14ac:dyDescent="0.25">
      <c r="A39997"/>
      <c r="B39997"/>
      <c r="C39997"/>
      <c r="E39997"/>
      <c r="F39997"/>
    </row>
    <row r="39998" spans="1:6" x14ac:dyDescent="0.25">
      <c r="A39998"/>
      <c r="B39998"/>
      <c r="C39998"/>
      <c r="E39998"/>
      <c r="F39998"/>
    </row>
    <row r="39999" spans="1:6" x14ac:dyDescent="0.25">
      <c r="A39999"/>
      <c r="B39999"/>
      <c r="C39999"/>
      <c r="E39999"/>
      <c r="F39999"/>
    </row>
    <row r="40000" spans="1:6" x14ac:dyDescent="0.25">
      <c r="A40000"/>
      <c r="B40000"/>
      <c r="C40000"/>
      <c r="E40000"/>
      <c r="F40000"/>
    </row>
    <row r="40001" spans="1:6" x14ac:dyDescent="0.25">
      <c r="A40001"/>
      <c r="B40001"/>
      <c r="C40001"/>
      <c r="E40001"/>
      <c r="F40001"/>
    </row>
    <row r="40002" spans="1:6" x14ac:dyDescent="0.25">
      <c r="A40002"/>
      <c r="B40002"/>
      <c r="C40002"/>
      <c r="E40002"/>
      <c r="F40002"/>
    </row>
    <row r="40003" spans="1:6" x14ac:dyDescent="0.25">
      <c r="A40003"/>
      <c r="B40003"/>
      <c r="C40003"/>
      <c r="E40003"/>
      <c r="F40003"/>
    </row>
    <row r="40004" spans="1:6" x14ac:dyDescent="0.25">
      <c r="A40004"/>
      <c r="B40004"/>
      <c r="C40004"/>
      <c r="E40004"/>
      <c r="F40004"/>
    </row>
    <row r="40005" spans="1:6" x14ac:dyDescent="0.25">
      <c r="A40005"/>
      <c r="B40005"/>
      <c r="C40005"/>
      <c r="E40005"/>
      <c r="F40005"/>
    </row>
    <row r="40006" spans="1:6" x14ac:dyDescent="0.25">
      <c r="A40006"/>
      <c r="B40006"/>
      <c r="C40006"/>
      <c r="E40006"/>
      <c r="F40006"/>
    </row>
    <row r="40007" spans="1:6" x14ac:dyDescent="0.25">
      <c r="A40007"/>
      <c r="B40007"/>
      <c r="C40007"/>
      <c r="E40007"/>
      <c r="F40007"/>
    </row>
    <row r="40008" spans="1:6" x14ac:dyDescent="0.25">
      <c r="A40008"/>
      <c r="B40008"/>
      <c r="C40008"/>
      <c r="E40008"/>
      <c r="F40008"/>
    </row>
    <row r="40009" spans="1:6" x14ac:dyDescent="0.25">
      <c r="A40009"/>
      <c r="B40009"/>
      <c r="C40009"/>
      <c r="E40009"/>
      <c r="F40009"/>
    </row>
    <row r="40010" spans="1:6" x14ac:dyDescent="0.25">
      <c r="A40010"/>
      <c r="B40010"/>
      <c r="C40010"/>
      <c r="E40010"/>
      <c r="F40010"/>
    </row>
    <row r="40011" spans="1:6" x14ac:dyDescent="0.25">
      <c r="A40011"/>
      <c r="B40011"/>
      <c r="C40011"/>
      <c r="E40011"/>
      <c r="F40011"/>
    </row>
    <row r="40012" spans="1:6" x14ac:dyDescent="0.25">
      <c r="A40012"/>
      <c r="B40012"/>
      <c r="C40012"/>
      <c r="E40012"/>
      <c r="F40012"/>
    </row>
    <row r="40013" spans="1:6" x14ac:dyDescent="0.25">
      <c r="A40013"/>
      <c r="B40013"/>
      <c r="C40013"/>
      <c r="E40013"/>
      <c r="F40013"/>
    </row>
    <row r="40014" spans="1:6" x14ac:dyDescent="0.25">
      <c r="A40014"/>
      <c r="B40014"/>
      <c r="C40014"/>
      <c r="E40014"/>
      <c r="F40014"/>
    </row>
    <row r="40015" spans="1:6" x14ac:dyDescent="0.25">
      <c r="A40015"/>
      <c r="B40015"/>
      <c r="C40015"/>
      <c r="E40015"/>
      <c r="F40015"/>
    </row>
    <row r="40016" spans="1:6" x14ac:dyDescent="0.25">
      <c r="A40016"/>
      <c r="B40016"/>
      <c r="C40016"/>
      <c r="E40016"/>
      <c r="F40016"/>
    </row>
    <row r="40017" spans="1:6" x14ac:dyDescent="0.25">
      <c r="A40017"/>
      <c r="B40017"/>
      <c r="C40017"/>
      <c r="E40017"/>
      <c r="F40017"/>
    </row>
    <row r="40018" spans="1:6" x14ac:dyDescent="0.25">
      <c r="A40018"/>
      <c r="B40018"/>
      <c r="C40018"/>
      <c r="E40018"/>
      <c r="F40018"/>
    </row>
    <row r="40019" spans="1:6" x14ac:dyDescent="0.25">
      <c r="A40019"/>
      <c r="B40019"/>
      <c r="C40019"/>
      <c r="E40019"/>
      <c r="F40019"/>
    </row>
    <row r="40020" spans="1:6" x14ac:dyDescent="0.25">
      <c r="A40020"/>
      <c r="B40020"/>
      <c r="C40020"/>
      <c r="E40020"/>
      <c r="F40020"/>
    </row>
    <row r="40021" spans="1:6" x14ac:dyDescent="0.25">
      <c r="A40021"/>
      <c r="B40021"/>
      <c r="C40021"/>
      <c r="E40021"/>
      <c r="F40021"/>
    </row>
    <row r="40022" spans="1:6" x14ac:dyDescent="0.25">
      <c r="A40022"/>
      <c r="B40022"/>
      <c r="C40022"/>
      <c r="E40022"/>
      <c r="F40022"/>
    </row>
    <row r="40023" spans="1:6" x14ac:dyDescent="0.25">
      <c r="A40023"/>
      <c r="B40023"/>
      <c r="C40023"/>
      <c r="E40023"/>
      <c r="F40023"/>
    </row>
    <row r="40024" spans="1:6" x14ac:dyDescent="0.25">
      <c r="A40024"/>
      <c r="B40024"/>
      <c r="C40024"/>
      <c r="E40024"/>
      <c r="F40024"/>
    </row>
    <row r="40025" spans="1:6" x14ac:dyDescent="0.25">
      <c r="A40025"/>
      <c r="B40025"/>
      <c r="C40025"/>
      <c r="E40025"/>
      <c r="F40025"/>
    </row>
    <row r="40026" spans="1:6" x14ac:dyDescent="0.25">
      <c r="A40026"/>
      <c r="B40026"/>
      <c r="C40026"/>
      <c r="E40026"/>
      <c r="F40026"/>
    </row>
    <row r="40027" spans="1:6" x14ac:dyDescent="0.25">
      <c r="A40027"/>
      <c r="B40027"/>
      <c r="C40027"/>
      <c r="E40027"/>
      <c r="F40027"/>
    </row>
    <row r="40028" spans="1:6" x14ac:dyDescent="0.25">
      <c r="A40028"/>
      <c r="B40028"/>
      <c r="C40028"/>
      <c r="E40028"/>
      <c r="F40028"/>
    </row>
    <row r="40029" spans="1:6" x14ac:dyDescent="0.25">
      <c r="A40029"/>
      <c r="B40029"/>
      <c r="C40029"/>
      <c r="E40029"/>
      <c r="F40029"/>
    </row>
    <row r="40030" spans="1:6" x14ac:dyDescent="0.25">
      <c r="A40030"/>
      <c r="B40030"/>
      <c r="C40030"/>
      <c r="E40030"/>
      <c r="F40030"/>
    </row>
    <row r="40031" spans="1:6" x14ac:dyDescent="0.25">
      <c r="A40031"/>
      <c r="B40031"/>
      <c r="C40031"/>
      <c r="E40031"/>
      <c r="F40031"/>
    </row>
    <row r="40032" spans="1:6" x14ac:dyDescent="0.25">
      <c r="A40032"/>
      <c r="B40032"/>
      <c r="C40032"/>
      <c r="E40032"/>
      <c r="F40032"/>
    </row>
    <row r="40033" spans="1:6" x14ac:dyDescent="0.25">
      <c r="A40033"/>
      <c r="B40033"/>
      <c r="C40033"/>
      <c r="E40033"/>
      <c r="F40033"/>
    </row>
    <row r="40034" spans="1:6" x14ac:dyDescent="0.25">
      <c r="A40034"/>
      <c r="B40034"/>
      <c r="C40034"/>
      <c r="E40034"/>
      <c r="F40034"/>
    </row>
    <row r="40035" spans="1:6" x14ac:dyDescent="0.25">
      <c r="A40035"/>
      <c r="B40035"/>
      <c r="C40035"/>
      <c r="E40035"/>
      <c r="F40035"/>
    </row>
    <row r="40036" spans="1:6" x14ac:dyDescent="0.25">
      <c r="A40036"/>
      <c r="B40036"/>
      <c r="C40036"/>
      <c r="E40036"/>
      <c r="F40036"/>
    </row>
    <row r="40037" spans="1:6" x14ac:dyDescent="0.25">
      <c r="A40037"/>
      <c r="B40037"/>
      <c r="C40037"/>
      <c r="E40037"/>
      <c r="F40037"/>
    </row>
    <row r="40038" spans="1:6" x14ac:dyDescent="0.25">
      <c r="A40038"/>
      <c r="B40038"/>
      <c r="C40038"/>
      <c r="E40038"/>
      <c r="F40038"/>
    </row>
    <row r="40039" spans="1:6" x14ac:dyDescent="0.25">
      <c r="A40039"/>
      <c r="B40039"/>
      <c r="C40039"/>
      <c r="E40039"/>
      <c r="F40039"/>
    </row>
    <row r="40040" spans="1:6" x14ac:dyDescent="0.25">
      <c r="A40040"/>
      <c r="B40040"/>
      <c r="C40040"/>
      <c r="E40040"/>
      <c r="F40040"/>
    </row>
    <row r="40041" spans="1:6" x14ac:dyDescent="0.25">
      <c r="A40041"/>
      <c r="B40041"/>
      <c r="C40041"/>
      <c r="E40041"/>
      <c r="F40041"/>
    </row>
    <row r="40042" spans="1:6" x14ac:dyDescent="0.25">
      <c r="A40042"/>
      <c r="B40042"/>
      <c r="C40042"/>
      <c r="E40042"/>
      <c r="F40042"/>
    </row>
    <row r="40043" spans="1:6" x14ac:dyDescent="0.25">
      <c r="A40043"/>
      <c r="B40043"/>
      <c r="C40043"/>
      <c r="E40043"/>
      <c r="F40043"/>
    </row>
    <row r="40044" spans="1:6" x14ac:dyDescent="0.25">
      <c r="A40044"/>
      <c r="B40044"/>
      <c r="C40044"/>
      <c r="E40044"/>
      <c r="F40044"/>
    </row>
    <row r="40045" spans="1:6" x14ac:dyDescent="0.25">
      <c r="A40045"/>
      <c r="B40045"/>
      <c r="C40045"/>
      <c r="E40045"/>
      <c r="F40045"/>
    </row>
    <row r="40046" spans="1:6" x14ac:dyDescent="0.25">
      <c r="A40046"/>
      <c r="B40046"/>
      <c r="C40046"/>
      <c r="E40046"/>
      <c r="F40046"/>
    </row>
    <row r="40047" spans="1:6" x14ac:dyDescent="0.25">
      <c r="A40047"/>
      <c r="B40047"/>
      <c r="C40047"/>
      <c r="E40047"/>
      <c r="F40047"/>
    </row>
    <row r="40048" spans="1:6" x14ac:dyDescent="0.25">
      <c r="A40048"/>
      <c r="B40048"/>
      <c r="C40048"/>
      <c r="E40048"/>
      <c r="F40048"/>
    </row>
    <row r="40049" spans="1:6" x14ac:dyDescent="0.25">
      <c r="A40049"/>
      <c r="B40049"/>
      <c r="C40049"/>
      <c r="E40049"/>
      <c r="F40049"/>
    </row>
    <row r="40050" spans="1:6" x14ac:dyDescent="0.25">
      <c r="A40050"/>
      <c r="B40050"/>
      <c r="C40050"/>
      <c r="E40050"/>
      <c r="F40050"/>
    </row>
    <row r="40051" spans="1:6" x14ac:dyDescent="0.25">
      <c r="A40051"/>
      <c r="B40051"/>
      <c r="C40051"/>
      <c r="E40051"/>
      <c r="F40051"/>
    </row>
    <row r="40052" spans="1:6" x14ac:dyDescent="0.25">
      <c r="A40052"/>
      <c r="B40052"/>
      <c r="C40052"/>
      <c r="E40052"/>
      <c r="F40052"/>
    </row>
    <row r="40053" spans="1:6" x14ac:dyDescent="0.25">
      <c r="A40053"/>
      <c r="B40053"/>
      <c r="C40053"/>
      <c r="E40053"/>
      <c r="F40053"/>
    </row>
    <row r="40054" spans="1:6" x14ac:dyDescent="0.25">
      <c r="A40054"/>
      <c r="B40054"/>
      <c r="C40054"/>
      <c r="E40054"/>
      <c r="F40054"/>
    </row>
    <row r="40055" spans="1:6" x14ac:dyDescent="0.25">
      <c r="A40055"/>
      <c r="B40055"/>
      <c r="C40055"/>
      <c r="E40055"/>
      <c r="F40055"/>
    </row>
    <row r="40056" spans="1:6" x14ac:dyDescent="0.25">
      <c r="A40056"/>
      <c r="B40056"/>
      <c r="C40056"/>
      <c r="E40056"/>
      <c r="F40056"/>
    </row>
    <row r="40057" spans="1:6" x14ac:dyDescent="0.25">
      <c r="A40057"/>
      <c r="B40057"/>
      <c r="C40057"/>
      <c r="E40057"/>
      <c r="F40057"/>
    </row>
    <row r="40058" spans="1:6" x14ac:dyDescent="0.25">
      <c r="A40058"/>
      <c r="B40058"/>
      <c r="C40058"/>
      <c r="E40058"/>
      <c r="F40058"/>
    </row>
    <row r="40059" spans="1:6" x14ac:dyDescent="0.25">
      <c r="A40059"/>
      <c r="B40059"/>
      <c r="C40059"/>
      <c r="E40059"/>
      <c r="F40059"/>
    </row>
    <row r="40060" spans="1:6" x14ac:dyDescent="0.25">
      <c r="A40060"/>
      <c r="B40060"/>
      <c r="C40060"/>
      <c r="E40060"/>
      <c r="F40060"/>
    </row>
    <row r="40061" spans="1:6" x14ac:dyDescent="0.25">
      <c r="A40061"/>
      <c r="B40061"/>
      <c r="C40061"/>
      <c r="E40061"/>
      <c r="F40061"/>
    </row>
    <row r="40062" spans="1:6" x14ac:dyDescent="0.25">
      <c r="A40062"/>
      <c r="B40062"/>
      <c r="C40062"/>
      <c r="E40062"/>
      <c r="F40062"/>
    </row>
    <row r="40063" spans="1:6" x14ac:dyDescent="0.25">
      <c r="A40063"/>
      <c r="B40063"/>
      <c r="C40063"/>
      <c r="E40063"/>
      <c r="F40063"/>
    </row>
    <row r="40064" spans="1:6" x14ac:dyDescent="0.25">
      <c r="A40064"/>
      <c r="B40064"/>
      <c r="C40064"/>
      <c r="E40064"/>
      <c r="F40064"/>
    </row>
    <row r="40065" spans="1:6" x14ac:dyDescent="0.25">
      <c r="A40065"/>
      <c r="B40065"/>
      <c r="C40065"/>
      <c r="E40065"/>
      <c r="F40065"/>
    </row>
    <row r="40066" spans="1:6" x14ac:dyDescent="0.25">
      <c r="A40066"/>
      <c r="B40066"/>
      <c r="C40066"/>
      <c r="E40066"/>
      <c r="F40066"/>
    </row>
    <row r="40067" spans="1:6" x14ac:dyDescent="0.25">
      <c r="A40067"/>
      <c r="B40067"/>
      <c r="C40067"/>
      <c r="E40067"/>
      <c r="F40067"/>
    </row>
    <row r="40068" spans="1:6" x14ac:dyDescent="0.25">
      <c r="A40068"/>
      <c r="B40068"/>
      <c r="C40068"/>
      <c r="E40068"/>
      <c r="F40068"/>
    </row>
    <row r="40069" spans="1:6" x14ac:dyDescent="0.25">
      <c r="A40069"/>
      <c r="B40069"/>
      <c r="C40069"/>
      <c r="E40069"/>
      <c r="F40069"/>
    </row>
    <row r="40070" spans="1:6" x14ac:dyDescent="0.25">
      <c r="A40070"/>
      <c r="B40070"/>
      <c r="C40070"/>
      <c r="E40070"/>
      <c r="F40070"/>
    </row>
    <row r="40071" spans="1:6" x14ac:dyDescent="0.25">
      <c r="A40071"/>
      <c r="B40071"/>
      <c r="C40071"/>
      <c r="E40071"/>
      <c r="F40071"/>
    </row>
    <row r="40072" spans="1:6" x14ac:dyDescent="0.25">
      <c r="A40072"/>
      <c r="B40072"/>
      <c r="C40072"/>
      <c r="E40072"/>
      <c r="F40072"/>
    </row>
    <row r="40073" spans="1:6" x14ac:dyDescent="0.25">
      <c r="A40073"/>
      <c r="B40073"/>
      <c r="C40073"/>
      <c r="E40073"/>
      <c r="F40073"/>
    </row>
    <row r="40074" spans="1:6" x14ac:dyDescent="0.25">
      <c r="A40074"/>
      <c r="B40074"/>
      <c r="C40074"/>
      <c r="E40074"/>
      <c r="F40074"/>
    </row>
    <row r="40075" spans="1:6" x14ac:dyDescent="0.25">
      <c r="A40075"/>
      <c r="B40075"/>
      <c r="C40075"/>
      <c r="E40075"/>
      <c r="F40075"/>
    </row>
    <row r="40076" spans="1:6" x14ac:dyDescent="0.25">
      <c r="A40076"/>
      <c r="B40076"/>
      <c r="C40076"/>
      <c r="E40076"/>
      <c r="F40076"/>
    </row>
    <row r="40077" spans="1:6" x14ac:dyDescent="0.25">
      <c r="A40077"/>
      <c r="B40077"/>
      <c r="C40077"/>
      <c r="E40077"/>
      <c r="F40077"/>
    </row>
    <row r="40078" spans="1:6" x14ac:dyDescent="0.25">
      <c r="A40078"/>
      <c r="B40078"/>
      <c r="C40078"/>
      <c r="E40078"/>
      <c r="F40078"/>
    </row>
    <row r="40079" spans="1:6" x14ac:dyDescent="0.25">
      <c r="A40079"/>
      <c r="B40079"/>
      <c r="C40079"/>
      <c r="E40079"/>
      <c r="F40079"/>
    </row>
    <row r="40080" spans="1:6" x14ac:dyDescent="0.25">
      <c r="A40080"/>
      <c r="B40080"/>
      <c r="C40080"/>
      <c r="E40080"/>
      <c r="F40080"/>
    </row>
    <row r="40081" spans="1:6" x14ac:dyDescent="0.25">
      <c r="A40081"/>
      <c r="B40081"/>
      <c r="C40081"/>
      <c r="E40081"/>
      <c r="F40081"/>
    </row>
    <row r="40082" spans="1:6" x14ac:dyDescent="0.25">
      <c r="A40082"/>
      <c r="B40082"/>
      <c r="C40082"/>
      <c r="E40082"/>
      <c r="F40082"/>
    </row>
    <row r="40083" spans="1:6" x14ac:dyDescent="0.25">
      <c r="A40083"/>
      <c r="B40083"/>
      <c r="C40083"/>
      <c r="E40083"/>
      <c r="F40083"/>
    </row>
    <row r="40084" spans="1:6" x14ac:dyDescent="0.25">
      <c r="A40084"/>
      <c r="B40084"/>
      <c r="C40084"/>
      <c r="E40084"/>
      <c r="F40084"/>
    </row>
    <row r="40085" spans="1:6" x14ac:dyDescent="0.25">
      <c r="A40085"/>
      <c r="B40085"/>
      <c r="C40085"/>
      <c r="E40085"/>
      <c r="F40085"/>
    </row>
    <row r="40086" spans="1:6" x14ac:dyDescent="0.25">
      <c r="A40086"/>
      <c r="B40086"/>
      <c r="C40086"/>
      <c r="E40086"/>
      <c r="F40086"/>
    </row>
    <row r="40087" spans="1:6" x14ac:dyDescent="0.25">
      <c r="A40087"/>
      <c r="B40087"/>
      <c r="C40087"/>
      <c r="E40087"/>
      <c r="F40087"/>
    </row>
    <row r="40088" spans="1:6" x14ac:dyDescent="0.25">
      <c r="A40088"/>
      <c r="B40088"/>
      <c r="C40088"/>
      <c r="E40088"/>
      <c r="F40088"/>
    </row>
    <row r="40089" spans="1:6" x14ac:dyDescent="0.25">
      <c r="A40089"/>
      <c r="B40089"/>
      <c r="C40089"/>
      <c r="E40089"/>
      <c r="F40089"/>
    </row>
    <row r="40090" spans="1:6" x14ac:dyDescent="0.25">
      <c r="A40090"/>
      <c r="B40090"/>
      <c r="C40090"/>
      <c r="E40090"/>
      <c r="F40090"/>
    </row>
    <row r="40091" spans="1:6" x14ac:dyDescent="0.25">
      <c r="A40091"/>
      <c r="B40091"/>
      <c r="C40091"/>
      <c r="E40091"/>
      <c r="F40091"/>
    </row>
    <row r="40092" spans="1:6" x14ac:dyDescent="0.25">
      <c r="A40092"/>
      <c r="B40092"/>
      <c r="C40092"/>
      <c r="E40092"/>
      <c r="F40092"/>
    </row>
    <row r="40093" spans="1:6" x14ac:dyDescent="0.25">
      <c r="A40093"/>
      <c r="B40093"/>
      <c r="C40093"/>
      <c r="E40093"/>
      <c r="F40093"/>
    </row>
    <row r="40094" spans="1:6" x14ac:dyDescent="0.25">
      <c r="A40094"/>
      <c r="B40094"/>
      <c r="C40094"/>
      <c r="E40094"/>
      <c r="F40094"/>
    </row>
    <row r="40095" spans="1:6" x14ac:dyDescent="0.25">
      <c r="A40095"/>
      <c r="B40095"/>
      <c r="C40095"/>
      <c r="E40095"/>
      <c r="F40095"/>
    </row>
    <row r="40096" spans="1:6" x14ac:dyDescent="0.25">
      <c r="A40096"/>
      <c r="B40096"/>
      <c r="C40096"/>
      <c r="E40096"/>
      <c r="F40096"/>
    </row>
    <row r="40097" spans="1:6" x14ac:dyDescent="0.25">
      <c r="A40097"/>
      <c r="B40097"/>
      <c r="C40097"/>
      <c r="E40097"/>
      <c r="F40097"/>
    </row>
    <row r="40098" spans="1:6" x14ac:dyDescent="0.25">
      <c r="A40098"/>
      <c r="B40098"/>
      <c r="C40098"/>
      <c r="E40098"/>
      <c r="F40098"/>
    </row>
    <row r="40099" spans="1:6" x14ac:dyDescent="0.25">
      <c r="A40099"/>
      <c r="B40099"/>
      <c r="C40099"/>
      <c r="E40099"/>
      <c r="F40099"/>
    </row>
    <row r="40100" spans="1:6" x14ac:dyDescent="0.25">
      <c r="A40100"/>
      <c r="B40100"/>
      <c r="C40100"/>
      <c r="E40100"/>
      <c r="F40100"/>
    </row>
    <row r="40101" spans="1:6" x14ac:dyDescent="0.25">
      <c r="A40101"/>
      <c r="B40101"/>
      <c r="C40101"/>
      <c r="E40101"/>
      <c r="F40101"/>
    </row>
    <row r="40102" spans="1:6" x14ac:dyDescent="0.25">
      <c r="A40102"/>
      <c r="B40102"/>
      <c r="C40102"/>
      <c r="E40102"/>
      <c r="F40102"/>
    </row>
    <row r="40103" spans="1:6" x14ac:dyDescent="0.25">
      <c r="A40103"/>
      <c r="B40103"/>
      <c r="C40103"/>
      <c r="E40103"/>
      <c r="F40103"/>
    </row>
    <row r="40104" spans="1:6" x14ac:dyDescent="0.25">
      <c r="A40104"/>
      <c r="B40104"/>
      <c r="C40104"/>
      <c r="E40104"/>
      <c r="F40104"/>
    </row>
    <row r="40105" spans="1:6" x14ac:dyDescent="0.25">
      <c r="A40105"/>
      <c r="B40105"/>
      <c r="C40105"/>
      <c r="E40105"/>
      <c r="F40105"/>
    </row>
    <row r="40106" spans="1:6" x14ac:dyDescent="0.25">
      <c r="A40106"/>
      <c r="B40106"/>
      <c r="C40106"/>
      <c r="E40106"/>
      <c r="F40106"/>
    </row>
    <row r="40107" spans="1:6" x14ac:dyDescent="0.25">
      <c r="A40107"/>
      <c r="B40107"/>
      <c r="C40107"/>
      <c r="E40107"/>
      <c r="F40107"/>
    </row>
    <row r="40108" spans="1:6" x14ac:dyDescent="0.25">
      <c r="A40108"/>
      <c r="B40108"/>
      <c r="C40108"/>
      <c r="E40108"/>
      <c r="F40108"/>
    </row>
    <row r="40109" spans="1:6" x14ac:dyDescent="0.25">
      <c r="A40109"/>
      <c r="B40109"/>
      <c r="C40109"/>
      <c r="E40109"/>
      <c r="F40109"/>
    </row>
    <row r="40110" spans="1:6" x14ac:dyDescent="0.25">
      <c r="A40110"/>
      <c r="B40110"/>
      <c r="C40110"/>
      <c r="E40110"/>
      <c r="F40110"/>
    </row>
    <row r="40111" spans="1:6" x14ac:dyDescent="0.25">
      <c r="A40111"/>
      <c r="B40111"/>
      <c r="C40111"/>
      <c r="E40111"/>
      <c r="F40111"/>
    </row>
    <row r="40112" spans="1:6" x14ac:dyDescent="0.25">
      <c r="A40112"/>
      <c r="B40112"/>
      <c r="C40112"/>
      <c r="E40112"/>
      <c r="F40112"/>
    </row>
    <row r="40113" spans="1:6" x14ac:dyDescent="0.25">
      <c r="A40113"/>
      <c r="B40113"/>
      <c r="C40113"/>
      <c r="E40113"/>
      <c r="F40113"/>
    </row>
    <row r="40114" spans="1:6" x14ac:dyDescent="0.25">
      <c r="A40114"/>
      <c r="B40114"/>
      <c r="C40114"/>
      <c r="E40114"/>
      <c r="F40114"/>
    </row>
    <row r="40115" spans="1:6" x14ac:dyDescent="0.25">
      <c r="A40115"/>
      <c r="B40115"/>
      <c r="C40115"/>
      <c r="E40115"/>
      <c r="F40115"/>
    </row>
    <row r="40116" spans="1:6" x14ac:dyDescent="0.25">
      <c r="A40116"/>
      <c r="B40116"/>
      <c r="C40116"/>
      <c r="E40116"/>
      <c r="F40116"/>
    </row>
    <row r="40117" spans="1:6" x14ac:dyDescent="0.25">
      <c r="A40117"/>
      <c r="B40117"/>
      <c r="C40117"/>
      <c r="E40117"/>
      <c r="F40117"/>
    </row>
    <row r="40118" spans="1:6" x14ac:dyDescent="0.25">
      <c r="A40118"/>
      <c r="B40118"/>
      <c r="C40118"/>
      <c r="E40118"/>
      <c r="F40118"/>
    </row>
    <row r="40119" spans="1:6" x14ac:dyDescent="0.25">
      <c r="A40119"/>
      <c r="B40119"/>
      <c r="C40119"/>
      <c r="E40119"/>
      <c r="F40119"/>
    </row>
    <row r="40120" spans="1:6" x14ac:dyDescent="0.25">
      <c r="A40120"/>
      <c r="B40120"/>
      <c r="C40120"/>
      <c r="E40120"/>
      <c r="F40120"/>
    </row>
    <row r="40121" spans="1:6" x14ac:dyDescent="0.25">
      <c r="A40121"/>
      <c r="B40121"/>
      <c r="C40121"/>
      <c r="E40121"/>
      <c r="F40121"/>
    </row>
    <row r="40122" spans="1:6" x14ac:dyDescent="0.25">
      <c r="A40122"/>
      <c r="B40122"/>
      <c r="C40122"/>
      <c r="E40122"/>
      <c r="F40122"/>
    </row>
    <row r="40123" spans="1:6" x14ac:dyDescent="0.25">
      <c r="A40123"/>
      <c r="B40123"/>
      <c r="C40123"/>
      <c r="E40123"/>
      <c r="F40123"/>
    </row>
    <row r="40124" spans="1:6" x14ac:dyDescent="0.25">
      <c r="A40124"/>
      <c r="B40124"/>
      <c r="C40124"/>
      <c r="E40124"/>
      <c r="F40124"/>
    </row>
    <row r="40125" spans="1:6" x14ac:dyDescent="0.25">
      <c r="A40125"/>
      <c r="B40125"/>
      <c r="C40125"/>
      <c r="E40125"/>
      <c r="F40125"/>
    </row>
    <row r="40126" spans="1:6" x14ac:dyDescent="0.25">
      <c r="A40126"/>
      <c r="B40126"/>
      <c r="C40126"/>
      <c r="E40126"/>
      <c r="F40126"/>
    </row>
    <row r="40127" spans="1:6" x14ac:dyDescent="0.25">
      <c r="A40127"/>
      <c r="B40127"/>
      <c r="C40127"/>
      <c r="E40127"/>
      <c r="F40127"/>
    </row>
    <row r="40128" spans="1:6" x14ac:dyDescent="0.25">
      <c r="A40128"/>
      <c r="B40128"/>
      <c r="C40128"/>
      <c r="E40128"/>
      <c r="F40128"/>
    </row>
    <row r="40129" spans="1:6" x14ac:dyDescent="0.25">
      <c r="A40129"/>
      <c r="B40129"/>
      <c r="C40129"/>
      <c r="E40129"/>
      <c r="F40129"/>
    </row>
    <row r="40130" spans="1:6" x14ac:dyDescent="0.25">
      <c r="A40130"/>
      <c r="B40130"/>
      <c r="C40130"/>
      <c r="E40130"/>
      <c r="F40130"/>
    </row>
    <row r="40131" spans="1:6" x14ac:dyDescent="0.25">
      <c r="A40131"/>
      <c r="B40131"/>
      <c r="C40131"/>
      <c r="E40131"/>
      <c r="F40131"/>
    </row>
    <row r="40132" spans="1:6" x14ac:dyDescent="0.25">
      <c r="A40132"/>
      <c r="B40132"/>
      <c r="C40132"/>
      <c r="E40132"/>
      <c r="F40132"/>
    </row>
    <row r="40133" spans="1:6" x14ac:dyDescent="0.25">
      <c r="A40133"/>
      <c r="B40133"/>
      <c r="C40133"/>
      <c r="E40133"/>
      <c r="F40133"/>
    </row>
    <row r="40134" spans="1:6" x14ac:dyDescent="0.25">
      <c r="A40134"/>
      <c r="B40134"/>
      <c r="C40134"/>
      <c r="E40134"/>
      <c r="F40134"/>
    </row>
    <row r="40135" spans="1:6" x14ac:dyDescent="0.25">
      <c r="A40135"/>
      <c r="B40135"/>
      <c r="C40135"/>
      <c r="E40135"/>
      <c r="F40135"/>
    </row>
    <row r="40136" spans="1:6" x14ac:dyDescent="0.25">
      <c r="A40136"/>
      <c r="B40136"/>
      <c r="C40136"/>
      <c r="E40136"/>
      <c r="F40136"/>
    </row>
    <row r="40137" spans="1:6" x14ac:dyDescent="0.25">
      <c r="A40137"/>
      <c r="B40137"/>
      <c r="C40137"/>
      <c r="E40137"/>
      <c r="F40137"/>
    </row>
    <row r="40138" spans="1:6" x14ac:dyDescent="0.25">
      <c r="A40138"/>
      <c r="B40138"/>
      <c r="C40138"/>
      <c r="E40138"/>
      <c r="F40138"/>
    </row>
    <row r="40139" spans="1:6" x14ac:dyDescent="0.25">
      <c r="A40139"/>
      <c r="B40139"/>
      <c r="C40139"/>
      <c r="E40139"/>
      <c r="F40139"/>
    </row>
    <row r="40140" spans="1:6" x14ac:dyDescent="0.25">
      <c r="A40140"/>
      <c r="B40140"/>
      <c r="C40140"/>
      <c r="E40140"/>
      <c r="F40140"/>
    </row>
    <row r="40141" spans="1:6" x14ac:dyDescent="0.25">
      <c r="A40141"/>
      <c r="B40141"/>
      <c r="C40141"/>
      <c r="E40141"/>
      <c r="F40141"/>
    </row>
    <row r="40142" spans="1:6" x14ac:dyDescent="0.25">
      <c r="A40142"/>
      <c r="B40142"/>
      <c r="C40142"/>
      <c r="E40142"/>
      <c r="F40142"/>
    </row>
    <row r="40143" spans="1:6" x14ac:dyDescent="0.25">
      <c r="A40143"/>
      <c r="B40143"/>
      <c r="C40143"/>
      <c r="E40143"/>
      <c r="F40143"/>
    </row>
    <row r="40144" spans="1:6" x14ac:dyDescent="0.25">
      <c r="A40144"/>
      <c r="B40144"/>
      <c r="C40144"/>
      <c r="E40144"/>
      <c r="F40144"/>
    </row>
    <row r="40145" spans="1:6" x14ac:dyDescent="0.25">
      <c r="A40145"/>
      <c r="B40145"/>
      <c r="C40145"/>
      <c r="E40145"/>
      <c r="F40145"/>
    </row>
    <row r="40146" spans="1:6" x14ac:dyDescent="0.25">
      <c r="A40146"/>
      <c r="B40146"/>
      <c r="C40146"/>
      <c r="E40146"/>
      <c r="F40146"/>
    </row>
    <row r="40147" spans="1:6" x14ac:dyDescent="0.25">
      <c r="A40147"/>
      <c r="B40147"/>
      <c r="C40147"/>
      <c r="E40147"/>
      <c r="F40147"/>
    </row>
    <row r="40148" spans="1:6" x14ac:dyDescent="0.25">
      <c r="A40148"/>
      <c r="B40148"/>
      <c r="C40148"/>
      <c r="E40148"/>
      <c r="F40148"/>
    </row>
    <row r="40149" spans="1:6" x14ac:dyDescent="0.25">
      <c r="A40149"/>
      <c r="B40149"/>
      <c r="C40149"/>
      <c r="E40149"/>
      <c r="F40149"/>
    </row>
    <row r="40150" spans="1:6" x14ac:dyDescent="0.25">
      <c r="A40150"/>
      <c r="B40150"/>
      <c r="C40150"/>
      <c r="E40150"/>
      <c r="F40150"/>
    </row>
    <row r="40151" spans="1:6" x14ac:dyDescent="0.25">
      <c r="A40151"/>
      <c r="B40151"/>
      <c r="C40151"/>
      <c r="E40151"/>
      <c r="F40151"/>
    </row>
    <row r="40152" spans="1:6" x14ac:dyDescent="0.25">
      <c r="A40152"/>
      <c r="B40152"/>
      <c r="C40152"/>
      <c r="E40152"/>
      <c r="F40152"/>
    </row>
    <row r="40153" spans="1:6" x14ac:dyDescent="0.25">
      <c r="A40153"/>
      <c r="B40153"/>
      <c r="C40153"/>
      <c r="E40153"/>
      <c r="F40153"/>
    </row>
    <row r="40154" spans="1:6" x14ac:dyDescent="0.25">
      <c r="A40154"/>
      <c r="B40154"/>
      <c r="C40154"/>
      <c r="E40154"/>
      <c r="F40154"/>
    </row>
    <row r="40155" spans="1:6" x14ac:dyDescent="0.25">
      <c r="A40155"/>
      <c r="B40155"/>
      <c r="C40155"/>
      <c r="E40155"/>
      <c r="F40155"/>
    </row>
    <row r="40156" spans="1:6" x14ac:dyDescent="0.25">
      <c r="A40156"/>
      <c r="B40156"/>
      <c r="C40156"/>
      <c r="E40156"/>
      <c r="F40156"/>
    </row>
    <row r="40157" spans="1:6" x14ac:dyDescent="0.25">
      <c r="A40157"/>
      <c r="B40157"/>
      <c r="C40157"/>
      <c r="E40157"/>
      <c r="F40157"/>
    </row>
    <row r="40158" spans="1:6" x14ac:dyDescent="0.25">
      <c r="A40158"/>
      <c r="B40158"/>
      <c r="C40158"/>
      <c r="E40158"/>
      <c r="F40158"/>
    </row>
    <row r="40159" spans="1:6" x14ac:dyDescent="0.25">
      <c r="A40159"/>
      <c r="B40159"/>
      <c r="C40159"/>
      <c r="E40159"/>
      <c r="F40159"/>
    </row>
    <row r="40160" spans="1:6" x14ac:dyDescent="0.25">
      <c r="A40160"/>
      <c r="B40160"/>
      <c r="C40160"/>
      <c r="E40160"/>
      <c r="F40160"/>
    </row>
    <row r="40161" spans="1:6" x14ac:dyDescent="0.25">
      <c r="A40161"/>
      <c r="B40161"/>
      <c r="C40161"/>
      <c r="E40161"/>
      <c r="F40161"/>
    </row>
    <row r="40162" spans="1:6" x14ac:dyDescent="0.25">
      <c r="A40162"/>
      <c r="B40162"/>
      <c r="C40162"/>
      <c r="E40162"/>
      <c r="F40162"/>
    </row>
    <row r="40163" spans="1:6" x14ac:dyDescent="0.25">
      <c r="A40163"/>
      <c r="B40163"/>
      <c r="C40163"/>
      <c r="E40163"/>
      <c r="F40163"/>
    </row>
    <row r="40164" spans="1:6" x14ac:dyDescent="0.25">
      <c r="A40164"/>
      <c r="B40164"/>
      <c r="C40164"/>
      <c r="E40164"/>
      <c r="F40164"/>
    </row>
    <row r="40165" spans="1:6" x14ac:dyDescent="0.25">
      <c r="A40165"/>
      <c r="B40165"/>
      <c r="C40165"/>
      <c r="E40165"/>
      <c r="F40165"/>
    </row>
    <row r="40166" spans="1:6" x14ac:dyDescent="0.25">
      <c r="A40166"/>
      <c r="B40166"/>
      <c r="C40166"/>
      <c r="E40166"/>
      <c r="F40166"/>
    </row>
    <row r="40167" spans="1:6" x14ac:dyDescent="0.25">
      <c r="A40167"/>
      <c r="B40167"/>
      <c r="C40167"/>
      <c r="E40167"/>
      <c r="F40167"/>
    </row>
    <row r="40168" spans="1:6" x14ac:dyDescent="0.25">
      <c r="A40168"/>
      <c r="B40168"/>
      <c r="C40168"/>
      <c r="E40168"/>
      <c r="F40168"/>
    </row>
    <row r="40169" spans="1:6" x14ac:dyDescent="0.25">
      <c r="A40169"/>
      <c r="B40169"/>
      <c r="C40169"/>
      <c r="E40169"/>
      <c r="F40169"/>
    </row>
    <row r="40170" spans="1:6" x14ac:dyDescent="0.25">
      <c r="A40170"/>
      <c r="B40170"/>
      <c r="C40170"/>
      <c r="E40170"/>
      <c r="F40170"/>
    </row>
    <row r="40171" spans="1:6" x14ac:dyDescent="0.25">
      <c r="A40171"/>
      <c r="B40171"/>
      <c r="C40171"/>
      <c r="E40171"/>
      <c r="F40171"/>
    </row>
    <row r="40172" spans="1:6" x14ac:dyDescent="0.25">
      <c r="A40172"/>
      <c r="B40172"/>
      <c r="C40172"/>
      <c r="E40172"/>
      <c r="F40172"/>
    </row>
    <row r="40173" spans="1:6" x14ac:dyDescent="0.25">
      <c r="A40173"/>
      <c r="B40173"/>
      <c r="C40173"/>
      <c r="E40173"/>
      <c r="F40173"/>
    </row>
    <row r="40174" spans="1:6" x14ac:dyDescent="0.25">
      <c r="A40174"/>
      <c r="B40174"/>
      <c r="C40174"/>
      <c r="E40174"/>
      <c r="F40174"/>
    </row>
    <row r="40175" spans="1:6" x14ac:dyDescent="0.25">
      <c r="A40175"/>
      <c r="B40175"/>
      <c r="C40175"/>
      <c r="E40175"/>
      <c r="F40175"/>
    </row>
    <row r="40176" spans="1:6" x14ac:dyDescent="0.25">
      <c r="A40176"/>
      <c r="B40176"/>
      <c r="C40176"/>
      <c r="E40176"/>
      <c r="F40176"/>
    </row>
    <row r="40177" spans="1:6" x14ac:dyDescent="0.25">
      <c r="A40177"/>
      <c r="B40177"/>
      <c r="C40177"/>
      <c r="E40177"/>
      <c r="F40177"/>
    </row>
    <row r="40178" spans="1:6" x14ac:dyDescent="0.25">
      <c r="A40178"/>
      <c r="B40178"/>
      <c r="C40178"/>
      <c r="E40178"/>
      <c r="F40178"/>
    </row>
    <row r="40179" spans="1:6" x14ac:dyDescent="0.25">
      <c r="A40179"/>
      <c r="B40179"/>
      <c r="C40179"/>
      <c r="E40179"/>
      <c r="F40179"/>
    </row>
    <row r="40180" spans="1:6" x14ac:dyDescent="0.25">
      <c r="A40180"/>
      <c r="B40180"/>
      <c r="C40180"/>
      <c r="E40180"/>
      <c r="F40180"/>
    </row>
    <row r="40181" spans="1:6" x14ac:dyDescent="0.25">
      <c r="A40181"/>
      <c r="B40181"/>
      <c r="C40181"/>
      <c r="E40181"/>
      <c r="F40181"/>
    </row>
    <row r="40182" spans="1:6" x14ac:dyDescent="0.25">
      <c r="A40182"/>
      <c r="B40182"/>
      <c r="C40182"/>
      <c r="E40182"/>
      <c r="F40182"/>
    </row>
    <row r="40183" spans="1:6" x14ac:dyDescent="0.25">
      <c r="A40183"/>
      <c r="B40183"/>
      <c r="C40183"/>
      <c r="E40183"/>
      <c r="F40183"/>
    </row>
    <row r="40184" spans="1:6" x14ac:dyDescent="0.25">
      <c r="A40184"/>
      <c r="B40184"/>
      <c r="C40184"/>
      <c r="E40184"/>
      <c r="F40184"/>
    </row>
    <row r="40185" spans="1:6" x14ac:dyDescent="0.25">
      <c r="A40185"/>
      <c r="B40185"/>
      <c r="C40185"/>
      <c r="E40185"/>
      <c r="F40185"/>
    </row>
    <row r="40186" spans="1:6" x14ac:dyDescent="0.25">
      <c r="A40186"/>
      <c r="B40186"/>
      <c r="C40186"/>
      <c r="E40186"/>
      <c r="F40186"/>
    </row>
    <row r="40187" spans="1:6" x14ac:dyDescent="0.25">
      <c r="A40187"/>
      <c r="B40187"/>
      <c r="C40187"/>
      <c r="E40187"/>
      <c r="F40187"/>
    </row>
    <row r="40188" spans="1:6" x14ac:dyDescent="0.25">
      <c r="A40188"/>
      <c r="B40188"/>
      <c r="C40188"/>
      <c r="E40188"/>
      <c r="F40188"/>
    </row>
    <row r="40189" spans="1:6" x14ac:dyDescent="0.25">
      <c r="A40189"/>
      <c r="B40189"/>
      <c r="C40189"/>
      <c r="E40189"/>
      <c r="F40189"/>
    </row>
    <row r="40190" spans="1:6" x14ac:dyDescent="0.25">
      <c r="A40190"/>
      <c r="B40190"/>
      <c r="C40190"/>
      <c r="E40190"/>
      <c r="F40190"/>
    </row>
    <row r="40191" spans="1:6" x14ac:dyDescent="0.25">
      <c r="A40191"/>
      <c r="B40191"/>
      <c r="C40191"/>
      <c r="E40191"/>
      <c r="F40191"/>
    </row>
    <row r="40192" spans="1:6" x14ac:dyDescent="0.25">
      <c r="A40192"/>
      <c r="B40192"/>
      <c r="C40192"/>
      <c r="E40192"/>
      <c r="F40192"/>
    </row>
    <row r="40193" spans="1:6" x14ac:dyDescent="0.25">
      <c r="A40193"/>
      <c r="B40193"/>
      <c r="C40193"/>
      <c r="E40193"/>
      <c r="F40193"/>
    </row>
    <row r="40194" spans="1:6" x14ac:dyDescent="0.25">
      <c r="A40194"/>
      <c r="B40194"/>
      <c r="C40194"/>
      <c r="E40194"/>
      <c r="F40194"/>
    </row>
    <row r="40195" spans="1:6" x14ac:dyDescent="0.25">
      <c r="A40195"/>
      <c r="B40195"/>
      <c r="C40195"/>
      <c r="E40195"/>
      <c r="F40195"/>
    </row>
    <row r="40196" spans="1:6" x14ac:dyDescent="0.25">
      <c r="A40196"/>
      <c r="B40196"/>
      <c r="C40196"/>
      <c r="E40196"/>
      <c r="F40196"/>
    </row>
    <row r="40197" spans="1:6" x14ac:dyDescent="0.25">
      <c r="A40197"/>
      <c r="B40197"/>
      <c r="C40197"/>
      <c r="E40197"/>
      <c r="F40197"/>
    </row>
    <row r="40198" spans="1:6" x14ac:dyDescent="0.25">
      <c r="A40198"/>
      <c r="B40198"/>
      <c r="C40198"/>
      <c r="E40198"/>
      <c r="F40198"/>
    </row>
    <row r="40199" spans="1:6" x14ac:dyDescent="0.25">
      <c r="A40199"/>
      <c r="B40199"/>
      <c r="C40199"/>
      <c r="E40199"/>
      <c r="F40199"/>
    </row>
    <row r="40200" spans="1:6" x14ac:dyDescent="0.25">
      <c r="A40200"/>
      <c r="B40200"/>
      <c r="C40200"/>
      <c r="E40200"/>
      <c r="F40200"/>
    </row>
    <row r="40201" spans="1:6" x14ac:dyDescent="0.25">
      <c r="A40201"/>
      <c r="B40201"/>
      <c r="C40201"/>
      <c r="E40201"/>
      <c r="F40201"/>
    </row>
    <row r="40202" spans="1:6" x14ac:dyDescent="0.25">
      <c r="A40202"/>
      <c r="B40202"/>
      <c r="C40202"/>
      <c r="E40202"/>
      <c r="F40202"/>
    </row>
    <row r="40203" spans="1:6" x14ac:dyDescent="0.25">
      <c r="A40203"/>
      <c r="B40203"/>
      <c r="C40203"/>
      <c r="E40203"/>
      <c r="F40203"/>
    </row>
    <row r="40204" spans="1:6" x14ac:dyDescent="0.25">
      <c r="A40204"/>
      <c r="B40204"/>
      <c r="C40204"/>
      <c r="E40204"/>
      <c r="F40204"/>
    </row>
    <row r="40205" spans="1:6" x14ac:dyDescent="0.25">
      <c r="A40205"/>
      <c r="B40205"/>
      <c r="C40205"/>
      <c r="E40205"/>
      <c r="F40205"/>
    </row>
    <row r="40206" spans="1:6" x14ac:dyDescent="0.25">
      <c r="A40206"/>
      <c r="B40206"/>
      <c r="C40206"/>
      <c r="E40206"/>
      <c r="F40206"/>
    </row>
    <row r="40207" spans="1:6" x14ac:dyDescent="0.25">
      <c r="A40207"/>
      <c r="B40207"/>
      <c r="C40207"/>
      <c r="E40207"/>
      <c r="F40207"/>
    </row>
    <row r="40208" spans="1:6" x14ac:dyDescent="0.25">
      <c r="A40208"/>
      <c r="B40208"/>
      <c r="C40208"/>
      <c r="E40208"/>
      <c r="F40208"/>
    </row>
    <row r="40209" spans="1:6" x14ac:dyDescent="0.25">
      <c r="A40209"/>
      <c r="B40209"/>
      <c r="C40209"/>
      <c r="E40209"/>
      <c r="F40209"/>
    </row>
    <row r="40210" spans="1:6" x14ac:dyDescent="0.25">
      <c r="A40210"/>
      <c r="B40210"/>
      <c r="C40210"/>
      <c r="E40210"/>
      <c r="F40210"/>
    </row>
    <row r="40211" spans="1:6" x14ac:dyDescent="0.25">
      <c r="A40211"/>
      <c r="B40211"/>
      <c r="C40211"/>
      <c r="E40211"/>
      <c r="F40211"/>
    </row>
    <row r="40212" spans="1:6" x14ac:dyDescent="0.25">
      <c r="A40212"/>
      <c r="B40212"/>
      <c r="C40212"/>
      <c r="E40212"/>
      <c r="F40212"/>
    </row>
    <row r="40213" spans="1:6" x14ac:dyDescent="0.25">
      <c r="A40213"/>
      <c r="B40213"/>
      <c r="C40213"/>
      <c r="E40213"/>
      <c r="F40213"/>
    </row>
    <row r="40214" spans="1:6" x14ac:dyDescent="0.25">
      <c r="A40214"/>
      <c r="B40214"/>
      <c r="C40214"/>
      <c r="E40214"/>
      <c r="F40214"/>
    </row>
    <row r="40215" spans="1:6" x14ac:dyDescent="0.25">
      <c r="A40215"/>
      <c r="B40215"/>
      <c r="C40215"/>
      <c r="E40215"/>
      <c r="F40215"/>
    </row>
    <row r="40216" spans="1:6" x14ac:dyDescent="0.25">
      <c r="A40216"/>
      <c r="B40216"/>
      <c r="C40216"/>
      <c r="E40216"/>
      <c r="F40216"/>
    </row>
    <row r="40217" spans="1:6" x14ac:dyDescent="0.25">
      <c r="A40217"/>
      <c r="B40217"/>
      <c r="C40217"/>
      <c r="E40217"/>
      <c r="F40217"/>
    </row>
    <row r="40218" spans="1:6" x14ac:dyDescent="0.25">
      <c r="A40218"/>
      <c r="B40218"/>
      <c r="C40218"/>
      <c r="E40218"/>
      <c r="F40218"/>
    </row>
    <row r="40219" spans="1:6" x14ac:dyDescent="0.25">
      <c r="A40219"/>
      <c r="B40219"/>
      <c r="C40219"/>
      <c r="E40219"/>
      <c r="F40219"/>
    </row>
    <row r="40220" spans="1:6" x14ac:dyDescent="0.25">
      <c r="A40220"/>
      <c r="B40220"/>
      <c r="C40220"/>
      <c r="E40220"/>
      <c r="F40220"/>
    </row>
    <row r="40221" spans="1:6" x14ac:dyDescent="0.25">
      <c r="A40221"/>
      <c r="B40221"/>
      <c r="C40221"/>
      <c r="E40221"/>
      <c r="F40221"/>
    </row>
    <row r="40222" spans="1:6" x14ac:dyDescent="0.25">
      <c r="A40222"/>
      <c r="B40222"/>
      <c r="C40222"/>
      <c r="E40222"/>
      <c r="F40222"/>
    </row>
    <row r="40223" spans="1:6" x14ac:dyDescent="0.25">
      <c r="A40223"/>
      <c r="B40223"/>
      <c r="C40223"/>
      <c r="E40223"/>
      <c r="F40223"/>
    </row>
    <row r="40224" spans="1:6" x14ac:dyDescent="0.25">
      <c r="A40224"/>
      <c r="B40224"/>
      <c r="C40224"/>
      <c r="E40224"/>
      <c r="F40224"/>
    </row>
    <row r="40225" spans="1:6" x14ac:dyDescent="0.25">
      <c r="A40225"/>
      <c r="B40225"/>
      <c r="C40225"/>
      <c r="E40225"/>
      <c r="F40225"/>
    </row>
    <row r="40226" spans="1:6" x14ac:dyDescent="0.25">
      <c r="A40226"/>
      <c r="B40226"/>
      <c r="C40226"/>
      <c r="E40226"/>
      <c r="F40226"/>
    </row>
    <row r="40227" spans="1:6" x14ac:dyDescent="0.25">
      <c r="A40227"/>
      <c r="B40227"/>
      <c r="C40227"/>
      <c r="E40227"/>
      <c r="F40227"/>
    </row>
    <row r="40228" spans="1:6" x14ac:dyDescent="0.25">
      <c r="A40228"/>
      <c r="B40228"/>
      <c r="C40228"/>
      <c r="E40228"/>
      <c r="F40228"/>
    </row>
    <row r="40229" spans="1:6" x14ac:dyDescent="0.25">
      <c r="A40229"/>
      <c r="B40229"/>
      <c r="C40229"/>
      <c r="E40229"/>
      <c r="F40229"/>
    </row>
    <row r="40230" spans="1:6" x14ac:dyDescent="0.25">
      <c r="A40230"/>
      <c r="B40230"/>
      <c r="C40230"/>
      <c r="E40230"/>
      <c r="F40230"/>
    </row>
    <row r="40231" spans="1:6" x14ac:dyDescent="0.25">
      <c r="A40231"/>
      <c r="B40231"/>
      <c r="C40231"/>
      <c r="E40231"/>
      <c r="F40231"/>
    </row>
    <row r="40232" spans="1:6" x14ac:dyDescent="0.25">
      <c r="A40232"/>
      <c r="B40232"/>
      <c r="C40232"/>
      <c r="E40232"/>
      <c r="F40232"/>
    </row>
    <row r="40233" spans="1:6" x14ac:dyDescent="0.25">
      <c r="A40233"/>
      <c r="B40233"/>
      <c r="C40233"/>
      <c r="E40233"/>
      <c r="F40233"/>
    </row>
    <row r="40234" spans="1:6" x14ac:dyDescent="0.25">
      <c r="A40234"/>
      <c r="B40234"/>
      <c r="C40234"/>
      <c r="E40234"/>
      <c r="F40234"/>
    </row>
    <row r="40235" spans="1:6" x14ac:dyDescent="0.25">
      <c r="A40235"/>
      <c r="B40235"/>
      <c r="C40235"/>
      <c r="E40235"/>
      <c r="F40235"/>
    </row>
    <row r="40236" spans="1:6" x14ac:dyDescent="0.25">
      <c r="A40236"/>
      <c r="B40236"/>
      <c r="C40236"/>
      <c r="E40236"/>
      <c r="F40236"/>
    </row>
    <row r="40237" spans="1:6" x14ac:dyDescent="0.25">
      <c r="A40237"/>
      <c r="B40237"/>
      <c r="C40237"/>
      <c r="E40237"/>
      <c r="F40237"/>
    </row>
    <row r="40238" spans="1:6" x14ac:dyDescent="0.25">
      <c r="A40238"/>
      <c r="B40238"/>
      <c r="C40238"/>
      <c r="E40238"/>
      <c r="F40238"/>
    </row>
    <row r="40239" spans="1:6" x14ac:dyDescent="0.25">
      <c r="A40239"/>
      <c r="B40239"/>
      <c r="C40239"/>
      <c r="E40239"/>
      <c r="F40239"/>
    </row>
    <row r="40240" spans="1:6" x14ac:dyDescent="0.25">
      <c r="A40240"/>
      <c r="B40240"/>
      <c r="C40240"/>
      <c r="E40240"/>
      <c r="F40240"/>
    </row>
    <row r="40241" spans="1:6" x14ac:dyDescent="0.25">
      <c r="A40241"/>
      <c r="B40241"/>
      <c r="C40241"/>
      <c r="E40241"/>
      <c r="F40241"/>
    </row>
    <row r="40242" spans="1:6" x14ac:dyDescent="0.25">
      <c r="A40242"/>
      <c r="B40242"/>
      <c r="C40242"/>
      <c r="E40242"/>
      <c r="F40242"/>
    </row>
    <row r="40243" spans="1:6" x14ac:dyDescent="0.25">
      <c r="A40243"/>
      <c r="B40243"/>
      <c r="C40243"/>
      <c r="E40243"/>
      <c r="F40243"/>
    </row>
    <row r="40244" spans="1:6" x14ac:dyDescent="0.25">
      <c r="A40244"/>
      <c r="B40244"/>
      <c r="C40244"/>
      <c r="E40244"/>
      <c r="F40244"/>
    </row>
    <row r="40245" spans="1:6" x14ac:dyDescent="0.25">
      <c r="A40245"/>
      <c r="B40245"/>
      <c r="C40245"/>
      <c r="E40245"/>
      <c r="F40245"/>
    </row>
    <row r="40246" spans="1:6" x14ac:dyDescent="0.25">
      <c r="A40246"/>
      <c r="B40246"/>
      <c r="C40246"/>
      <c r="E40246"/>
      <c r="F40246"/>
    </row>
    <row r="40247" spans="1:6" x14ac:dyDescent="0.25">
      <c r="A40247"/>
      <c r="B40247"/>
      <c r="C40247"/>
      <c r="E40247"/>
      <c r="F40247"/>
    </row>
    <row r="40248" spans="1:6" x14ac:dyDescent="0.25">
      <c r="A40248"/>
      <c r="B40248"/>
      <c r="C40248"/>
      <c r="E40248"/>
      <c r="F40248"/>
    </row>
    <row r="40249" spans="1:6" x14ac:dyDescent="0.25">
      <c r="A40249"/>
      <c r="B40249"/>
      <c r="C40249"/>
      <c r="E40249"/>
      <c r="F40249"/>
    </row>
    <row r="40250" spans="1:6" x14ac:dyDescent="0.25">
      <c r="A40250"/>
      <c r="B40250"/>
      <c r="C40250"/>
      <c r="E40250"/>
      <c r="F40250"/>
    </row>
    <row r="40251" spans="1:6" x14ac:dyDescent="0.25">
      <c r="A40251"/>
      <c r="B40251"/>
      <c r="C40251"/>
      <c r="E40251"/>
      <c r="F40251"/>
    </row>
    <row r="40252" spans="1:6" x14ac:dyDescent="0.25">
      <c r="A40252"/>
      <c r="B40252"/>
      <c r="C40252"/>
      <c r="E40252"/>
      <c r="F40252"/>
    </row>
    <row r="40253" spans="1:6" x14ac:dyDescent="0.25">
      <c r="A40253"/>
      <c r="B40253"/>
      <c r="C40253"/>
      <c r="E40253"/>
      <c r="F40253"/>
    </row>
    <row r="40254" spans="1:6" x14ac:dyDescent="0.25">
      <c r="A40254"/>
      <c r="B40254"/>
      <c r="C40254"/>
      <c r="E40254"/>
      <c r="F40254"/>
    </row>
    <row r="40255" spans="1:6" x14ac:dyDescent="0.25">
      <c r="A40255"/>
      <c r="B40255"/>
      <c r="C40255"/>
      <c r="E40255"/>
      <c r="F40255"/>
    </row>
    <row r="40256" spans="1:6" x14ac:dyDescent="0.25">
      <c r="A40256"/>
      <c r="B40256"/>
      <c r="C40256"/>
      <c r="E40256"/>
      <c r="F40256"/>
    </row>
    <row r="40257" spans="1:6" x14ac:dyDescent="0.25">
      <c r="A40257"/>
      <c r="B40257"/>
      <c r="C40257"/>
      <c r="E40257"/>
      <c r="F40257"/>
    </row>
    <row r="40258" spans="1:6" x14ac:dyDescent="0.25">
      <c r="A40258"/>
      <c r="B40258"/>
      <c r="C40258"/>
      <c r="E40258"/>
      <c r="F40258"/>
    </row>
    <row r="40259" spans="1:6" x14ac:dyDescent="0.25">
      <c r="A40259"/>
      <c r="B40259"/>
      <c r="C40259"/>
      <c r="E40259"/>
      <c r="F40259"/>
    </row>
    <row r="40260" spans="1:6" x14ac:dyDescent="0.25">
      <c r="A40260"/>
      <c r="B40260"/>
      <c r="C40260"/>
      <c r="E40260"/>
      <c r="F40260"/>
    </row>
    <row r="40261" spans="1:6" x14ac:dyDescent="0.25">
      <c r="A40261"/>
      <c r="B40261"/>
      <c r="C40261"/>
      <c r="E40261"/>
      <c r="F40261"/>
    </row>
    <row r="40262" spans="1:6" x14ac:dyDescent="0.25">
      <c r="A40262"/>
      <c r="B40262"/>
      <c r="C40262"/>
      <c r="E40262"/>
      <c r="F40262"/>
    </row>
    <row r="40263" spans="1:6" x14ac:dyDescent="0.25">
      <c r="A40263"/>
      <c r="B40263"/>
      <c r="C40263"/>
      <c r="E40263"/>
      <c r="F40263"/>
    </row>
    <row r="40264" spans="1:6" x14ac:dyDescent="0.25">
      <c r="A40264"/>
      <c r="B40264"/>
      <c r="C40264"/>
      <c r="E40264"/>
      <c r="F40264"/>
    </row>
    <row r="40265" spans="1:6" x14ac:dyDescent="0.25">
      <c r="A40265"/>
      <c r="B40265"/>
      <c r="C40265"/>
      <c r="E40265"/>
      <c r="F40265"/>
    </row>
    <row r="40266" spans="1:6" x14ac:dyDescent="0.25">
      <c r="A40266"/>
      <c r="B40266"/>
      <c r="C40266"/>
      <c r="E40266"/>
      <c r="F40266"/>
    </row>
    <row r="40267" spans="1:6" x14ac:dyDescent="0.25">
      <c r="A40267"/>
      <c r="B40267"/>
      <c r="C40267"/>
      <c r="E40267"/>
      <c r="F40267"/>
    </row>
    <row r="40268" spans="1:6" x14ac:dyDescent="0.25">
      <c r="A40268"/>
      <c r="B40268"/>
      <c r="C40268"/>
      <c r="E40268"/>
      <c r="F40268"/>
    </row>
    <row r="40269" spans="1:6" x14ac:dyDescent="0.25">
      <c r="A40269"/>
      <c r="B40269"/>
      <c r="C40269"/>
      <c r="E40269"/>
      <c r="F40269"/>
    </row>
    <row r="40270" spans="1:6" x14ac:dyDescent="0.25">
      <c r="A40270"/>
      <c r="B40270"/>
      <c r="C40270"/>
      <c r="E40270"/>
      <c r="F40270"/>
    </row>
    <row r="40271" spans="1:6" x14ac:dyDescent="0.25">
      <c r="A40271"/>
      <c r="B40271"/>
      <c r="C40271"/>
      <c r="E40271"/>
      <c r="F40271"/>
    </row>
    <row r="40272" spans="1:6" x14ac:dyDescent="0.25">
      <c r="A40272"/>
      <c r="B40272"/>
      <c r="C40272"/>
      <c r="E40272"/>
      <c r="F40272"/>
    </row>
    <row r="40273" spans="1:6" x14ac:dyDescent="0.25">
      <c r="A40273"/>
      <c r="B40273"/>
      <c r="C40273"/>
      <c r="E40273"/>
      <c r="F40273"/>
    </row>
    <row r="40274" spans="1:6" x14ac:dyDescent="0.25">
      <c r="A40274"/>
      <c r="B40274"/>
      <c r="C40274"/>
      <c r="E40274"/>
      <c r="F40274"/>
    </row>
    <row r="40275" spans="1:6" x14ac:dyDescent="0.25">
      <c r="A40275"/>
      <c r="B40275"/>
      <c r="C40275"/>
      <c r="E40275"/>
      <c r="F40275"/>
    </row>
    <row r="40276" spans="1:6" x14ac:dyDescent="0.25">
      <c r="A40276"/>
      <c r="B40276"/>
      <c r="C40276"/>
      <c r="E40276"/>
      <c r="F40276"/>
    </row>
    <row r="40277" spans="1:6" x14ac:dyDescent="0.25">
      <c r="A40277"/>
      <c r="B40277"/>
      <c r="C40277"/>
      <c r="E40277"/>
      <c r="F40277"/>
    </row>
    <row r="40278" spans="1:6" x14ac:dyDescent="0.25">
      <c r="A40278"/>
      <c r="B40278"/>
      <c r="C40278"/>
      <c r="E40278"/>
      <c r="F40278"/>
    </row>
    <row r="40279" spans="1:6" x14ac:dyDescent="0.25">
      <c r="A40279"/>
      <c r="B40279"/>
      <c r="C40279"/>
      <c r="E40279"/>
      <c r="F40279"/>
    </row>
    <row r="40280" spans="1:6" x14ac:dyDescent="0.25">
      <c r="A40280"/>
      <c r="B40280"/>
      <c r="C40280"/>
      <c r="E40280"/>
      <c r="F40280"/>
    </row>
    <row r="40281" spans="1:6" x14ac:dyDescent="0.25">
      <c r="A40281"/>
      <c r="B40281"/>
      <c r="C40281"/>
      <c r="E40281"/>
      <c r="F40281"/>
    </row>
    <row r="40282" spans="1:6" x14ac:dyDescent="0.25">
      <c r="A40282"/>
      <c r="B40282"/>
      <c r="C40282"/>
      <c r="E40282"/>
      <c r="F40282"/>
    </row>
    <row r="40283" spans="1:6" x14ac:dyDescent="0.25">
      <c r="A40283"/>
      <c r="B40283"/>
      <c r="C40283"/>
      <c r="E40283"/>
      <c r="F40283"/>
    </row>
    <row r="40284" spans="1:6" x14ac:dyDescent="0.25">
      <c r="A40284"/>
      <c r="B40284"/>
      <c r="C40284"/>
      <c r="E40284"/>
      <c r="F40284"/>
    </row>
    <row r="40285" spans="1:6" x14ac:dyDescent="0.25">
      <c r="A40285"/>
      <c r="B40285"/>
      <c r="C40285"/>
      <c r="E40285"/>
      <c r="F40285"/>
    </row>
    <row r="40286" spans="1:6" x14ac:dyDescent="0.25">
      <c r="A40286"/>
      <c r="B40286"/>
      <c r="C40286"/>
      <c r="E40286"/>
      <c r="F40286"/>
    </row>
    <row r="40287" spans="1:6" x14ac:dyDescent="0.25">
      <c r="A40287"/>
      <c r="B40287"/>
      <c r="C40287"/>
      <c r="E40287"/>
      <c r="F40287"/>
    </row>
    <row r="40288" spans="1:6" x14ac:dyDescent="0.25">
      <c r="A40288"/>
      <c r="B40288"/>
      <c r="C40288"/>
      <c r="E40288"/>
      <c r="F40288"/>
    </row>
    <row r="40289" spans="1:6" x14ac:dyDescent="0.25">
      <c r="A40289"/>
      <c r="B40289"/>
      <c r="C40289"/>
      <c r="E40289"/>
      <c r="F40289"/>
    </row>
    <row r="40290" spans="1:6" x14ac:dyDescent="0.25">
      <c r="A40290"/>
      <c r="B40290"/>
      <c r="C40290"/>
      <c r="E40290"/>
      <c r="F40290"/>
    </row>
    <row r="40291" spans="1:6" x14ac:dyDescent="0.25">
      <c r="A40291"/>
      <c r="B40291"/>
      <c r="C40291"/>
      <c r="E40291"/>
      <c r="F40291"/>
    </row>
    <row r="40292" spans="1:6" x14ac:dyDescent="0.25">
      <c r="A40292"/>
      <c r="B40292"/>
      <c r="C40292"/>
      <c r="E40292"/>
      <c r="F40292"/>
    </row>
    <row r="40293" spans="1:6" x14ac:dyDescent="0.25">
      <c r="A40293"/>
      <c r="B40293"/>
      <c r="C40293"/>
      <c r="E40293"/>
      <c r="F40293"/>
    </row>
    <row r="40294" spans="1:6" x14ac:dyDescent="0.25">
      <c r="A40294"/>
      <c r="B40294"/>
      <c r="C40294"/>
      <c r="E40294"/>
      <c r="F40294"/>
    </row>
    <row r="40295" spans="1:6" x14ac:dyDescent="0.25">
      <c r="A40295"/>
      <c r="B40295"/>
      <c r="C40295"/>
      <c r="E40295"/>
      <c r="F40295"/>
    </row>
    <row r="40296" spans="1:6" x14ac:dyDescent="0.25">
      <c r="A40296"/>
      <c r="B40296"/>
      <c r="C40296"/>
      <c r="E40296"/>
      <c r="F40296"/>
    </row>
    <row r="40297" spans="1:6" x14ac:dyDescent="0.25">
      <c r="A40297"/>
      <c r="B40297"/>
      <c r="C40297"/>
      <c r="E40297"/>
      <c r="F40297"/>
    </row>
    <row r="40298" spans="1:6" x14ac:dyDescent="0.25">
      <c r="A40298"/>
      <c r="B40298"/>
      <c r="C40298"/>
      <c r="E40298"/>
      <c r="F40298"/>
    </row>
    <row r="40299" spans="1:6" x14ac:dyDescent="0.25">
      <c r="A40299"/>
      <c r="B40299"/>
      <c r="C40299"/>
      <c r="E40299"/>
      <c r="F40299"/>
    </row>
    <row r="40300" spans="1:6" x14ac:dyDescent="0.25">
      <c r="A40300"/>
      <c r="B40300"/>
      <c r="C40300"/>
      <c r="E40300"/>
      <c r="F40300"/>
    </row>
    <row r="40301" spans="1:6" x14ac:dyDescent="0.25">
      <c r="A40301"/>
      <c r="B40301"/>
      <c r="C40301"/>
      <c r="E40301"/>
      <c r="F40301"/>
    </row>
    <row r="40302" spans="1:6" x14ac:dyDescent="0.25">
      <c r="A40302"/>
      <c r="B40302"/>
      <c r="C40302"/>
      <c r="E40302"/>
      <c r="F40302"/>
    </row>
    <row r="40303" spans="1:6" x14ac:dyDescent="0.25">
      <c r="A40303"/>
      <c r="B40303"/>
      <c r="C40303"/>
      <c r="E40303"/>
      <c r="F40303"/>
    </row>
    <row r="40304" spans="1:6" x14ac:dyDescent="0.25">
      <c r="A40304"/>
      <c r="B40304"/>
      <c r="C40304"/>
      <c r="E40304"/>
      <c r="F40304"/>
    </row>
    <row r="40305" spans="1:6" x14ac:dyDescent="0.25">
      <c r="A40305"/>
      <c r="B40305"/>
      <c r="C40305"/>
      <c r="E40305"/>
      <c r="F40305"/>
    </row>
    <row r="40306" spans="1:6" x14ac:dyDescent="0.25">
      <c r="A40306"/>
      <c r="B40306"/>
      <c r="C40306"/>
      <c r="E40306"/>
      <c r="F40306"/>
    </row>
    <row r="40307" spans="1:6" x14ac:dyDescent="0.25">
      <c r="A40307"/>
      <c r="B40307"/>
      <c r="C40307"/>
      <c r="E40307"/>
      <c r="F40307"/>
    </row>
    <row r="40308" spans="1:6" x14ac:dyDescent="0.25">
      <c r="A40308"/>
      <c r="B40308"/>
      <c r="C40308"/>
      <c r="E40308"/>
      <c r="F40308"/>
    </row>
    <row r="40309" spans="1:6" x14ac:dyDescent="0.25">
      <c r="A40309"/>
      <c r="B40309"/>
      <c r="C40309"/>
      <c r="E40309"/>
      <c r="F40309"/>
    </row>
    <row r="40310" spans="1:6" x14ac:dyDescent="0.25">
      <c r="A40310"/>
      <c r="B40310"/>
      <c r="C40310"/>
      <c r="E40310"/>
      <c r="F40310"/>
    </row>
    <row r="40311" spans="1:6" x14ac:dyDescent="0.25">
      <c r="A40311"/>
      <c r="B40311"/>
      <c r="C40311"/>
      <c r="E40311"/>
      <c r="F40311"/>
    </row>
    <row r="40312" spans="1:6" x14ac:dyDescent="0.25">
      <c r="A40312"/>
      <c r="B40312"/>
      <c r="C40312"/>
      <c r="E40312"/>
      <c r="F40312"/>
    </row>
    <row r="40313" spans="1:6" x14ac:dyDescent="0.25">
      <c r="A40313"/>
      <c r="B40313"/>
      <c r="C40313"/>
      <c r="E40313"/>
      <c r="F40313"/>
    </row>
    <row r="40314" spans="1:6" x14ac:dyDescent="0.25">
      <c r="A40314"/>
      <c r="B40314"/>
      <c r="C40314"/>
      <c r="E40314"/>
      <c r="F40314"/>
    </row>
    <row r="40315" spans="1:6" x14ac:dyDescent="0.25">
      <c r="A40315"/>
      <c r="B40315"/>
      <c r="C40315"/>
      <c r="E40315"/>
      <c r="F40315"/>
    </row>
    <row r="40316" spans="1:6" x14ac:dyDescent="0.25">
      <c r="A40316"/>
      <c r="B40316"/>
      <c r="C40316"/>
      <c r="E40316"/>
      <c r="F40316"/>
    </row>
    <row r="40317" spans="1:6" x14ac:dyDescent="0.25">
      <c r="A40317"/>
      <c r="B40317"/>
      <c r="C40317"/>
      <c r="E40317"/>
      <c r="F40317"/>
    </row>
    <row r="40318" spans="1:6" x14ac:dyDescent="0.25">
      <c r="A40318"/>
      <c r="B40318"/>
      <c r="C40318"/>
      <c r="E40318"/>
      <c r="F40318"/>
    </row>
    <row r="40319" spans="1:6" x14ac:dyDescent="0.25">
      <c r="A40319"/>
      <c r="B40319"/>
      <c r="C40319"/>
      <c r="E40319"/>
      <c r="F40319"/>
    </row>
    <row r="40320" spans="1:6" x14ac:dyDescent="0.25">
      <c r="A40320"/>
      <c r="B40320"/>
      <c r="C40320"/>
      <c r="E40320"/>
      <c r="F40320"/>
    </row>
    <row r="40321" spans="1:6" x14ac:dyDescent="0.25">
      <c r="A40321"/>
      <c r="B40321"/>
      <c r="C40321"/>
      <c r="E40321"/>
      <c r="F40321"/>
    </row>
    <row r="40322" spans="1:6" x14ac:dyDescent="0.25">
      <c r="A40322"/>
      <c r="B40322"/>
      <c r="C40322"/>
      <c r="E40322"/>
      <c r="F40322"/>
    </row>
    <row r="40323" spans="1:6" x14ac:dyDescent="0.25">
      <c r="A40323"/>
      <c r="B40323"/>
      <c r="C40323"/>
      <c r="E40323"/>
      <c r="F40323"/>
    </row>
    <row r="40324" spans="1:6" x14ac:dyDescent="0.25">
      <c r="A40324"/>
      <c r="B40324"/>
      <c r="C40324"/>
      <c r="E40324"/>
      <c r="F40324"/>
    </row>
    <row r="40325" spans="1:6" x14ac:dyDescent="0.25">
      <c r="A40325"/>
      <c r="B40325"/>
      <c r="C40325"/>
      <c r="E40325"/>
      <c r="F40325"/>
    </row>
    <row r="40326" spans="1:6" x14ac:dyDescent="0.25">
      <c r="A40326"/>
      <c r="B40326"/>
      <c r="C40326"/>
      <c r="E40326"/>
      <c r="F40326"/>
    </row>
    <row r="40327" spans="1:6" x14ac:dyDescent="0.25">
      <c r="A40327"/>
      <c r="B40327"/>
      <c r="C40327"/>
      <c r="E40327"/>
      <c r="F40327"/>
    </row>
    <row r="40328" spans="1:6" x14ac:dyDescent="0.25">
      <c r="A40328"/>
      <c r="B40328"/>
      <c r="C40328"/>
      <c r="E40328"/>
      <c r="F40328"/>
    </row>
    <row r="40329" spans="1:6" x14ac:dyDescent="0.25">
      <c r="A40329"/>
      <c r="B40329"/>
      <c r="C40329"/>
      <c r="E40329"/>
      <c r="F40329"/>
    </row>
    <row r="40330" spans="1:6" x14ac:dyDescent="0.25">
      <c r="A40330"/>
      <c r="B40330"/>
      <c r="C40330"/>
      <c r="E40330"/>
      <c r="F40330"/>
    </row>
    <row r="40331" spans="1:6" x14ac:dyDescent="0.25">
      <c r="A40331"/>
      <c r="B40331"/>
      <c r="C40331"/>
      <c r="E40331"/>
      <c r="F40331"/>
    </row>
    <row r="40332" spans="1:6" x14ac:dyDescent="0.25">
      <c r="A40332"/>
      <c r="B40332"/>
      <c r="C40332"/>
      <c r="E40332"/>
      <c r="F40332"/>
    </row>
    <row r="40333" spans="1:6" x14ac:dyDescent="0.25">
      <c r="A40333"/>
      <c r="B40333"/>
      <c r="C40333"/>
      <c r="E40333"/>
      <c r="F40333"/>
    </row>
    <row r="40334" spans="1:6" x14ac:dyDescent="0.25">
      <c r="A40334"/>
      <c r="B40334"/>
      <c r="C40334"/>
      <c r="E40334"/>
      <c r="F40334"/>
    </row>
    <row r="40335" spans="1:6" x14ac:dyDescent="0.25">
      <c r="A40335"/>
      <c r="B40335"/>
      <c r="C40335"/>
      <c r="E40335"/>
      <c r="F40335"/>
    </row>
    <row r="40336" spans="1:6" x14ac:dyDescent="0.25">
      <c r="A40336"/>
      <c r="B40336"/>
      <c r="C40336"/>
      <c r="E40336"/>
      <c r="F40336"/>
    </row>
    <row r="40337" spans="1:6" x14ac:dyDescent="0.25">
      <c r="A40337"/>
      <c r="B40337"/>
      <c r="C40337"/>
      <c r="E40337"/>
      <c r="F40337"/>
    </row>
    <row r="40338" spans="1:6" x14ac:dyDescent="0.25">
      <c r="A40338"/>
      <c r="B40338"/>
      <c r="C40338"/>
      <c r="E40338"/>
      <c r="F40338"/>
    </row>
    <row r="40339" spans="1:6" x14ac:dyDescent="0.25">
      <c r="A40339"/>
      <c r="B40339"/>
      <c r="C40339"/>
      <c r="E40339"/>
      <c r="F40339"/>
    </row>
    <row r="40340" spans="1:6" x14ac:dyDescent="0.25">
      <c r="A40340"/>
      <c r="B40340"/>
      <c r="C40340"/>
      <c r="E40340"/>
      <c r="F40340"/>
    </row>
    <row r="40341" spans="1:6" x14ac:dyDescent="0.25">
      <c r="A40341"/>
      <c r="B40341"/>
      <c r="C40341"/>
      <c r="E40341"/>
      <c r="F40341"/>
    </row>
    <row r="40342" spans="1:6" x14ac:dyDescent="0.25">
      <c r="A40342"/>
      <c r="B40342"/>
      <c r="C40342"/>
      <c r="E40342"/>
      <c r="F40342"/>
    </row>
    <row r="40343" spans="1:6" x14ac:dyDescent="0.25">
      <c r="A40343"/>
      <c r="B40343"/>
      <c r="C40343"/>
      <c r="E40343"/>
      <c r="F40343"/>
    </row>
    <row r="40344" spans="1:6" x14ac:dyDescent="0.25">
      <c r="A40344"/>
      <c r="B40344"/>
      <c r="C40344"/>
      <c r="E40344"/>
      <c r="F40344"/>
    </row>
    <row r="40345" spans="1:6" x14ac:dyDescent="0.25">
      <c r="A40345"/>
      <c r="B40345"/>
      <c r="C40345"/>
      <c r="E40345"/>
      <c r="F40345"/>
    </row>
    <row r="40346" spans="1:6" x14ac:dyDescent="0.25">
      <c r="A40346"/>
      <c r="B40346"/>
      <c r="C40346"/>
      <c r="E40346"/>
      <c r="F40346"/>
    </row>
    <row r="40347" spans="1:6" x14ac:dyDescent="0.25">
      <c r="A40347"/>
      <c r="B40347"/>
      <c r="C40347"/>
      <c r="E40347"/>
      <c r="F40347"/>
    </row>
    <row r="40348" spans="1:6" x14ac:dyDescent="0.25">
      <c r="A40348"/>
      <c r="B40348"/>
      <c r="C40348"/>
      <c r="E40348"/>
      <c r="F40348"/>
    </row>
    <row r="40349" spans="1:6" x14ac:dyDescent="0.25">
      <c r="A40349"/>
      <c r="B40349"/>
      <c r="C40349"/>
      <c r="E40349"/>
      <c r="F40349"/>
    </row>
    <row r="40350" spans="1:6" x14ac:dyDescent="0.25">
      <c r="A40350"/>
      <c r="B40350"/>
      <c r="C40350"/>
      <c r="E40350"/>
      <c r="F40350"/>
    </row>
    <row r="40351" spans="1:6" x14ac:dyDescent="0.25">
      <c r="A40351"/>
      <c r="B40351"/>
      <c r="C40351"/>
      <c r="E40351"/>
      <c r="F40351"/>
    </row>
    <row r="40352" spans="1:6" x14ac:dyDescent="0.25">
      <c r="A40352"/>
      <c r="B40352"/>
      <c r="C40352"/>
      <c r="E40352"/>
      <c r="F40352"/>
    </row>
    <row r="40353" spans="1:6" x14ac:dyDescent="0.25">
      <c r="A40353"/>
      <c r="B40353"/>
      <c r="C40353"/>
      <c r="E40353"/>
      <c r="F40353"/>
    </row>
    <row r="40354" spans="1:6" x14ac:dyDescent="0.25">
      <c r="A40354"/>
      <c r="B40354"/>
      <c r="C40354"/>
      <c r="E40354"/>
      <c r="F40354"/>
    </row>
    <row r="40355" spans="1:6" x14ac:dyDescent="0.25">
      <c r="A40355"/>
      <c r="B40355"/>
      <c r="C40355"/>
      <c r="E40355"/>
      <c r="F40355"/>
    </row>
    <row r="40356" spans="1:6" x14ac:dyDescent="0.25">
      <c r="A40356"/>
      <c r="B40356"/>
      <c r="C40356"/>
      <c r="E40356"/>
      <c r="F40356"/>
    </row>
    <row r="40357" spans="1:6" x14ac:dyDescent="0.25">
      <c r="A40357"/>
      <c r="B40357"/>
      <c r="C40357"/>
      <c r="E40357"/>
      <c r="F40357"/>
    </row>
    <row r="40358" spans="1:6" x14ac:dyDescent="0.25">
      <c r="A40358"/>
      <c r="B40358"/>
      <c r="C40358"/>
      <c r="E40358"/>
      <c r="F40358"/>
    </row>
    <row r="40359" spans="1:6" x14ac:dyDescent="0.25">
      <c r="A40359"/>
      <c r="B40359"/>
      <c r="C40359"/>
      <c r="E40359"/>
      <c r="F40359"/>
    </row>
    <row r="40360" spans="1:6" x14ac:dyDescent="0.25">
      <c r="A40360"/>
      <c r="B40360"/>
      <c r="C40360"/>
      <c r="E40360"/>
      <c r="F40360"/>
    </row>
    <row r="40361" spans="1:6" x14ac:dyDescent="0.25">
      <c r="A40361"/>
      <c r="B40361"/>
      <c r="C40361"/>
      <c r="E40361"/>
      <c r="F40361"/>
    </row>
    <row r="40362" spans="1:6" x14ac:dyDescent="0.25">
      <c r="A40362"/>
      <c r="B40362"/>
      <c r="C40362"/>
      <c r="E40362"/>
      <c r="F40362"/>
    </row>
    <row r="40363" spans="1:6" x14ac:dyDescent="0.25">
      <c r="A40363"/>
      <c r="B40363"/>
      <c r="C40363"/>
      <c r="E40363"/>
      <c r="F40363"/>
    </row>
    <row r="40364" spans="1:6" x14ac:dyDescent="0.25">
      <c r="A40364"/>
      <c r="B40364"/>
      <c r="C40364"/>
      <c r="E40364"/>
      <c r="F40364"/>
    </row>
    <row r="40365" spans="1:6" x14ac:dyDescent="0.25">
      <c r="A40365"/>
      <c r="B40365"/>
      <c r="C40365"/>
      <c r="E40365"/>
      <c r="F40365"/>
    </row>
    <row r="40366" spans="1:6" x14ac:dyDescent="0.25">
      <c r="A40366"/>
      <c r="B40366"/>
      <c r="C40366"/>
      <c r="E40366"/>
      <c r="F40366"/>
    </row>
    <row r="40367" spans="1:6" x14ac:dyDescent="0.25">
      <c r="A40367"/>
      <c r="B40367"/>
      <c r="C40367"/>
      <c r="E40367"/>
      <c r="F40367"/>
    </row>
    <row r="40368" spans="1:6" x14ac:dyDescent="0.25">
      <c r="A40368"/>
      <c r="B40368"/>
      <c r="C40368"/>
      <c r="E40368"/>
      <c r="F40368"/>
    </row>
    <row r="40369" spans="1:6" x14ac:dyDescent="0.25">
      <c r="A40369"/>
      <c r="B40369"/>
      <c r="C40369"/>
      <c r="E40369"/>
      <c r="F40369"/>
    </row>
    <row r="40370" spans="1:6" x14ac:dyDescent="0.25">
      <c r="A40370"/>
      <c r="B40370"/>
      <c r="C40370"/>
      <c r="E40370"/>
      <c r="F40370"/>
    </row>
    <row r="40371" spans="1:6" x14ac:dyDescent="0.25">
      <c r="A40371"/>
      <c r="B40371"/>
      <c r="C40371"/>
      <c r="E40371"/>
      <c r="F40371"/>
    </row>
    <row r="40372" spans="1:6" x14ac:dyDescent="0.25">
      <c r="A40372"/>
      <c r="B40372"/>
      <c r="C40372"/>
      <c r="E40372"/>
      <c r="F40372"/>
    </row>
    <row r="40373" spans="1:6" x14ac:dyDescent="0.25">
      <c r="A40373"/>
      <c r="B40373"/>
      <c r="C40373"/>
      <c r="E40373"/>
      <c r="F40373"/>
    </row>
    <row r="40374" spans="1:6" x14ac:dyDescent="0.25">
      <c r="A40374"/>
      <c r="B40374"/>
      <c r="C40374"/>
      <c r="E40374"/>
      <c r="F40374"/>
    </row>
    <row r="40375" spans="1:6" x14ac:dyDescent="0.25">
      <c r="A40375"/>
      <c r="B40375"/>
      <c r="C40375"/>
      <c r="E40375"/>
      <c r="F40375"/>
    </row>
    <row r="40376" spans="1:6" x14ac:dyDescent="0.25">
      <c r="A40376"/>
      <c r="B40376"/>
      <c r="C40376"/>
      <c r="E40376"/>
      <c r="F40376"/>
    </row>
    <row r="40377" spans="1:6" x14ac:dyDescent="0.25">
      <c r="A40377"/>
      <c r="B40377"/>
      <c r="C40377"/>
      <c r="E40377"/>
      <c r="F40377"/>
    </row>
    <row r="40378" spans="1:6" x14ac:dyDescent="0.25">
      <c r="A40378"/>
      <c r="B40378"/>
      <c r="C40378"/>
      <c r="E40378"/>
      <c r="F40378"/>
    </row>
    <row r="40379" spans="1:6" x14ac:dyDescent="0.25">
      <c r="A40379"/>
      <c r="B40379"/>
      <c r="C40379"/>
      <c r="E40379"/>
      <c r="F40379"/>
    </row>
    <row r="40380" spans="1:6" x14ac:dyDescent="0.25">
      <c r="A40380"/>
      <c r="B40380"/>
      <c r="C40380"/>
      <c r="E40380"/>
      <c r="F40380"/>
    </row>
    <row r="40381" spans="1:6" x14ac:dyDescent="0.25">
      <c r="A40381"/>
      <c r="B40381"/>
      <c r="C40381"/>
      <c r="E40381"/>
      <c r="F40381"/>
    </row>
    <row r="40382" spans="1:6" x14ac:dyDescent="0.25">
      <c r="A40382"/>
      <c r="B40382"/>
      <c r="C40382"/>
      <c r="E40382"/>
      <c r="F40382"/>
    </row>
    <row r="40383" spans="1:6" x14ac:dyDescent="0.25">
      <c r="A40383"/>
      <c r="B40383"/>
      <c r="C40383"/>
      <c r="E40383"/>
      <c r="F40383"/>
    </row>
    <row r="40384" spans="1:6" x14ac:dyDescent="0.25">
      <c r="A40384"/>
      <c r="B40384"/>
      <c r="C40384"/>
      <c r="E40384"/>
      <c r="F40384"/>
    </row>
    <row r="40385" spans="1:6" x14ac:dyDescent="0.25">
      <c r="A40385"/>
      <c r="B40385"/>
      <c r="C40385"/>
      <c r="E40385"/>
      <c r="F40385"/>
    </row>
    <row r="40386" spans="1:6" x14ac:dyDescent="0.25">
      <c r="A40386"/>
      <c r="B40386"/>
      <c r="C40386"/>
      <c r="E40386"/>
      <c r="F40386"/>
    </row>
    <row r="40387" spans="1:6" x14ac:dyDescent="0.25">
      <c r="A40387"/>
      <c r="B40387"/>
      <c r="C40387"/>
      <c r="E40387"/>
      <c r="F40387"/>
    </row>
    <row r="40388" spans="1:6" x14ac:dyDescent="0.25">
      <c r="A40388"/>
      <c r="B40388"/>
      <c r="C40388"/>
      <c r="E40388"/>
      <c r="F40388"/>
    </row>
    <row r="40389" spans="1:6" x14ac:dyDescent="0.25">
      <c r="A40389"/>
      <c r="B40389"/>
      <c r="C40389"/>
      <c r="E40389"/>
      <c r="F40389"/>
    </row>
    <row r="40390" spans="1:6" x14ac:dyDescent="0.25">
      <c r="A40390"/>
      <c r="B40390"/>
      <c r="C40390"/>
      <c r="E40390"/>
      <c r="F40390"/>
    </row>
    <row r="40391" spans="1:6" x14ac:dyDescent="0.25">
      <c r="A40391"/>
      <c r="B40391"/>
      <c r="C40391"/>
      <c r="E40391"/>
      <c r="F40391"/>
    </row>
    <row r="40392" spans="1:6" x14ac:dyDescent="0.25">
      <c r="A40392"/>
      <c r="B40392"/>
      <c r="C40392"/>
      <c r="E40392"/>
      <c r="F40392"/>
    </row>
    <row r="40393" spans="1:6" x14ac:dyDescent="0.25">
      <c r="A40393"/>
      <c r="B40393"/>
      <c r="C40393"/>
      <c r="E40393"/>
      <c r="F40393"/>
    </row>
    <row r="40394" spans="1:6" x14ac:dyDescent="0.25">
      <c r="A40394"/>
      <c r="B40394"/>
      <c r="C40394"/>
      <c r="E40394"/>
      <c r="F40394"/>
    </row>
    <row r="40395" spans="1:6" x14ac:dyDescent="0.25">
      <c r="A40395"/>
      <c r="B40395"/>
      <c r="C40395"/>
      <c r="E40395"/>
      <c r="F40395"/>
    </row>
    <row r="40396" spans="1:6" x14ac:dyDescent="0.25">
      <c r="A40396"/>
      <c r="B40396"/>
      <c r="C40396"/>
      <c r="E40396"/>
      <c r="F40396"/>
    </row>
    <row r="40397" spans="1:6" x14ac:dyDescent="0.25">
      <c r="A40397"/>
      <c r="B40397"/>
      <c r="C40397"/>
      <c r="E40397"/>
      <c r="F40397"/>
    </row>
    <row r="40398" spans="1:6" x14ac:dyDescent="0.25">
      <c r="A40398"/>
      <c r="B40398"/>
      <c r="C40398"/>
      <c r="E40398"/>
      <c r="F40398"/>
    </row>
    <row r="40399" spans="1:6" x14ac:dyDescent="0.25">
      <c r="A40399"/>
      <c r="B40399"/>
      <c r="C40399"/>
      <c r="E40399"/>
      <c r="F40399"/>
    </row>
    <row r="40400" spans="1:6" x14ac:dyDescent="0.25">
      <c r="A40400"/>
      <c r="B40400"/>
      <c r="C40400"/>
      <c r="E40400"/>
      <c r="F40400"/>
    </row>
    <row r="40401" spans="1:6" x14ac:dyDescent="0.25">
      <c r="A40401"/>
      <c r="B40401"/>
      <c r="C40401"/>
      <c r="E40401"/>
      <c r="F40401"/>
    </row>
    <row r="40402" spans="1:6" x14ac:dyDescent="0.25">
      <c r="A40402"/>
      <c r="B40402"/>
      <c r="C40402"/>
      <c r="E40402"/>
      <c r="F40402"/>
    </row>
    <row r="40403" spans="1:6" x14ac:dyDescent="0.25">
      <c r="A40403"/>
      <c r="B40403"/>
      <c r="C40403"/>
      <c r="E40403"/>
      <c r="F40403"/>
    </row>
    <row r="40404" spans="1:6" x14ac:dyDescent="0.25">
      <c r="A40404"/>
      <c r="B40404"/>
      <c r="C40404"/>
      <c r="E40404"/>
      <c r="F40404"/>
    </row>
    <row r="40405" spans="1:6" x14ac:dyDescent="0.25">
      <c r="A40405"/>
      <c r="B40405"/>
      <c r="C40405"/>
      <c r="E40405"/>
      <c r="F40405"/>
    </row>
    <row r="40406" spans="1:6" x14ac:dyDescent="0.25">
      <c r="A40406"/>
      <c r="B40406"/>
      <c r="C40406"/>
      <c r="E40406"/>
      <c r="F40406"/>
    </row>
    <row r="40407" spans="1:6" x14ac:dyDescent="0.25">
      <c r="A40407"/>
      <c r="B40407"/>
      <c r="C40407"/>
      <c r="E40407"/>
      <c r="F40407"/>
    </row>
    <row r="40408" spans="1:6" x14ac:dyDescent="0.25">
      <c r="A40408"/>
      <c r="B40408"/>
      <c r="C40408"/>
      <c r="E40408"/>
      <c r="F40408"/>
    </row>
    <row r="40409" spans="1:6" x14ac:dyDescent="0.25">
      <c r="A40409"/>
      <c r="B40409"/>
      <c r="C40409"/>
      <c r="E40409"/>
      <c r="F40409"/>
    </row>
    <row r="40410" spans="1:6" x14ac:dyDescent="0.25">
      <c r="A40410"/>
      <c r="B40410"/>
      <c r="C40410"/>
      <c r="E40410"/>
      <c r="F40410"/>
    </row>
    <row r="40411" spans="1:6" x14ac:dyDescent="0.25">
      <c r="A40411"/>
      <c r="B40411"/>
      <c r="C40411"/>
      <c r="E40411"/>
      <c r="F40411"/>
    </row>
    <row r="40412" spans="1:6" x14ac:dyDescent="0.25">
      <c r="A40412"/>
      <c r="B40412"/>
      <c r="C40412"/>
      <c r="E40412"/>
      <c r="F40412"/>
    </row>
    <row r="40413" spans="1:6" x14ac:dyDescent="0.25">
      <c r="A40413"/>
      <c r="B40413"/>
      <c r="C40413"/>
      <c r="E40413"/>
      <c r="F40413"/>
    </row>
    <row r="40414" spans="1:6" x14ac:dyDescent="0.25">
      <c r="A40414"/>
      <c r="B40414"/>
      <c r="C40414"/>
      <c r="E40414"/>
      <c r="F40414"/>
    </row>
    <row r="40415" spans="1:6" x14ac:dyDescent="0.25">
      <c r="A40415"/>
      <c r="B40415"/>
      <c r="C40415"/>
      <c r="E40415"/>
      <c r="F40415"/>
    </row>
    <row r="40416" spans="1:6" x14ac:dyDescent="0.25">
      <c r="A40416"/>
      <c r="B40416"/>
      <c r="C40416"/>
      <c r="E40416"/>
      <c r="F40416"/>
    </row>
    <row r="40417" spans="1:6" x14ac:dyDescent="0.25">
      <c r="A40417"/>
      <c r="B40417"/>
      <c r="C40417"/>
      <c r="E40417"/>
      <c r="F40417"/>
    </row>
    <row r="40418" spans="1:6" x14ac:dyDescent="0.25">
      <c r="A40418"/>
      <c r="B40418"/>
      <c r="C40418"/>
      <c r="E40418"/>
      <c r="F40418"/>
    </row>
    <row r="40419" spans="1:6" x14ac:dyDescent="0.25">
      <c r="A40419"/>
      <c r="B40419"/>
      <c r="C40419"/>
      <c r="E40419"/>
      <c r="F40419"/>
    </row>
    <row r="40420" spans="1:6" x14ac:dyDescent="0.25">
      <c r="A40420"/>
      <c r="B40420"/>
      <c r="C40420"/>
      <c r="E40420"/>
      <c r="F40420"/>
    </row>
    <row r="40421" spans="1:6" x14ac:dyDescent="0.25">
      <c r="A40421"/>
      <c r="B40421"/>
      <c r="C40421"/>
      <c r="E40421"/>
      <c r="F40421"/>
    </row>
    <row r="40422" spans="1:6" x14ac:dyDescent="0.25">
      <c r="A40422"/>
      <c r="B40422"/>
      <c r="C40422"/>
      <c r="E40422"/>
      <c r="F40422"/>
    </row>
    <row r="40423" spans="1:6" x14ac:dyDescent="0.25">
      <c r="A40423"/>
      <c r="B40423"/>
      <c r="C40423"/>
      <c r="E40423"/>
      <c r="F40423"/>
    </row>
    <row r="40424" spans="1:6" x14ac:dyDescent="0.25">
      <c r="A40424"/>
      <c r="B40424"/>
      <c r="C40424"/>
      <c r="E40424"/>
      <c r="F40424"/>
    </row>
    <row r="40425" spans="1:6" x14ac:dyDescent="0.25">
      <c r="A40425"/>
      <c r="B40425"/>
      <c r="C40425"/>
      <c r="E40425"/>
      <c r="F40425"/>
    </row>
    <row r="40426" spans="1:6" x14ac:dyDescent="0.25">
      <c r="A40426"/>
      <c r="B40426"/>
      <c r="C40426"/>
      <c r="E40426"/>
      <c r="F40426"/>
    </row>
    <row r="40427" spans="1:6" x14ac:dyDescent="0.25">
      <c r="A40427"/>
      <c r="B40427"/>
      <c r="C40427"/>
      <c r="E40427"/>
      <c r="F40427"/>
    </row>
    <row r="40428" spans="1:6" x14ac:dyDescent="0.25">
      <c r="A40428"/>
      <c r="B40428"/>
      <c r="C40428"/>
      <c r="E40428"/>
      <c r="F40428"/>
    </row>
    <row r="40429" spans="1:6" x14ac:dyDescent="0.25">
      <c r="A40429"/>
      <c r="B40429"/>
      <c r="C40429"/>
      <c r="E40429"/>
      <c r="F40429"/>
    </row>
    <row r="40430" spans="1:6" x14ac:dyDescent="0.25">
      <c r="A40430"/>
      <c r="B40430"/>
      <c r="C40430"/>
      <c r="E40430"/>
      <c r="F40430"/>
    </row>
    <row r="40431" spans="1:6" x14ac:dyDescent="0.25">
      <c r="A40431"/>
      <c r="B40431"/>
      <c r="C40431"/>
      <c r="E40431"/>
      <c r="F40431"/>
    </row>
    <row r="40432" spans="1:6" x14ac:dyDescent="0.25">
      <c r="A40432"/>
      <c r="B40432"/>
      <c r="C40432"/>
      <c r="E40432"/>
      <c r="F40432"/>
    </row>
    <row r="40433" spans="1:6" x14ac:dyDescent="0.25">
      <c r="A40433"/>
      <c r="B40433"/>
      <c r="C40433"/>
      <c r="E40433"/>
      <c r="F40433"/>
    </row>
    <row r="40434" spans="1:6" x14ac:dyDescent="0.25">
      <c r="A40434"/>
      <c r="B40434"/>
      <c r="C40434"/>
      <c r="E40434"/>
      <c r="F40434"/>
    </row>
    <row r="40435" spans="1:6" x14ac:dyDescent="0.25">
      <c r="A40435"/>
      <c r="B40435"/>
      <c r="C40435"/>
      <c r="E40435"/>
      <c r="F40435"/>
    </row>
    <row r="40436" spans="1:6" x14ac:dyDescent="0.25">
      <c r="A40436"/>
      <c r="B40436"/>
      <c r="C40436"/>
      <c r="E40436"/>
      <c r="F40436"/>
    </row>
    <row r="40437" spans="1:6" x14ac:dyDescent="0.25">
      <c r="A40437"/>
      <c r="B40437"/>
      <c r="C40437"/>
      <c r="E40437"/>
      <c r="F40437"/>
    </row>
    <row r="40438" spans="1:6" x14ac:dyDescent="0.25">
      <c r="A40438"/>
      <c r="B40438"/>
      <c r="C40438"/>
      <c r="E40438"/>
      <c r="F40438"/>
    </row>
    <row r="40439" spans="1:6" x14ac:dyDescent="0.25">
      <c r="A40439"/>
      <c r="B40439"/>
      <c r="C40439"/>
      <c r="E40439"/>
      <c r="F40439"/>
    </row>
    <row r="40440" spans="1:6" x14ac:dyDescent="0.25">
      <c r="A40440"/>
      <c r="B40440"/>
      <c r="C40440"/>
      <c r="E40440"/>
      <c r="F40440"/>
    </row>
    <row r="40441" spans="1:6" x14ac:dyDescent="0.25">
      <c r="A40441"/>
      <c r="B40441"/>
      <c r="C40441"/>
      <c r="E40441"/>
      <c r="F40441"/>
    </row>
    <row r="40442" spans="1:6" x14ac:dyDescent="0.25">
      <c r="A40442"/>
      <c r="B40442"/>
      <c r="C40442"/>
      <c r="E40442"/>
      <c r="F40442"/>
    </row>
    <row r="40443" spans="1:6" x14ac:dyDescent="0.25">
      <c r="A40443"/>
      <c r="B40443"/>
      <c r="C40443"/>
      <c r="E40443"/>
      <c r="F40443"/>
    </row>
    <row r="40444" spans="1:6" x14ac:dyDescent="0.25">
      <c r="A40444"/>
      <c r="B40444"/>
      <c r="C40444"/>
      <c r="E40444"/>
      <c r="F40444"/>
    </row>
    <row r="40445" spans="1:6" x14ac:dyDescent="0.25">
      <c r="A40445"/>
      <c r="B40445"/>
      <c r="C40445"/>
      <c r="E40445"/>
      <c r="F40445"/>
    </row>
    <row r="40446" spans="1:6" x14ac:dyDescent="0.25">
      <c r="A40446"/>
      <c r="B40446"/>
      <c r="C40446"/>
      <c r="E40446"/>
      <c r="F40446"/>
    </row>
    <row r="40447" spans="1:6" x14ac:dyDescent="0.25">
      <c r="A40447"/>
      <c r="B40447"/>
      <c r="C40447"/>
      <c r="E40447"/>
      <c r="F40447"/>
    </row>
    <row r="40448" spans="1:6" x14ac:dyDescent="0.25">
      <c r="A40448"/>
      <c r="B40448"/>
      <c r="C40448"/>
      <c r="E40448"/>
      <c r="F40448"/>
    </row>
    <row r="40449" spans="1:6" x14ac:dyDescent="0.25">
      <c r="A40449"/>
      <c r="B40449"/>
      <c r="C40449"/>
      <c r="E40449"/>
      <c r="F40449"/>
    </row>
    <row r="40450" spans="1:6" x14ac:dyDescent="0.25">
      <c r="A40450"/>
      <c r="B40450"/>
      <c r="C40450"/>
      <c r="E40450"/>
      <c r="F40450"/>
    </row>
    <row r="40451" spans="1:6" x14ac:dyDescent="0.25">
      <c r="A40451"/>
      <c r="B40451"/>
      <c r="C40451"/>
      <c r="E40451"/>
      <c r="F40451"/>
    </row>
    <row r="40452" spans="1:6" x14ac:dyDescent="0.25">
      <c r="A40452"/>
      <c r="B40452"/>
      <c r="C40452"/>
      <c r="E40452"/>
      <c r="F40452"/>
    </row>
    <row r="40453" spans="1:6" x14ac:dyDescent="0.25">
      <c r="A40453"/>
      <c r="B40453"/>
      <c r="C40453"/>
      <c r="E40453"/>
      <c r="F40453"/>
    </row>
    <row r="40454" spans="1:6" x14ac:dyDescent="0.25">
      <c r="A40454"/>
      <c r="B40454"/>
      <c r="C40454"/>
      <c r="E40454"/>
      <c r="F40454"/>
    </row>
    <row r="40455" spans="1:6" x14ac:dyDescent="0.25">
      <c r="A40455"/>
      <c r="B40455"/>
      <c r="C40455"/>
      <c r="E40455"/>
      <c r="F40455"/>
    </row>
    <row r="40456" spans="1:6" x14ac:dyDescent="0.25">
      <c r="A40456"/>
      <c r="B40456"/>
      <c r="C40456"/>
      <c r="E40456"/>
      <c r="F40456"/>
    </row>
    <row r="40457" spans="1:6" x14ac:dyDescent="0.25">
      <c r="A40457"/>
      <c r="B40457"/>
      <c r="C40457"/>
      <c r="E40457"/>
      <c r="F40457"/>
    </row>
    <row r="40458" spans="1:6" x14ac:dyDescent="0.25">
      <c r="A40458"/>
      <c r="B40458"/>
      <c r="C40458"/>
      <c r="E40458"/>
      <c r="F40458"/>
    </row>
    <row r="40459" spans="1:6" x14ac:dyDescent="0.25">
      <c r="A40459"/>
      <c r="B40459"/>
      <c r="C40459"/>
      <c r="E40459"/>
      <c r="F40459"/>
    </row>
    <row r="40460" spans="1:6" x14ac:dyDescent="0.25">
      <c r="A40460"/>
      <c r="B40460"/>
      <c r="C40460"/>
      <c r="E40460"/>
      <c r="F40460"/>
    </row>
    <row r="40461" spans="1:6" x14ac:dyDescent="0.25">
      <c r="A40461"/>
      <c r="B40461"/>
      <c r="C40461"/>
      <c r="E40461"/>
      <c r="F40461"/>
    </row>
    <row r="40462" spans="1:6" x14ac:dyDescent="0.25">
      <c r="A40462"/>
      <c r="B40462"/>
      <c r="C40462"/>
      <c r="E40462"/>
      <c r="F40462"/>
    </row>
    <row r="40463" spans="1:6" x14ac:dyDescent="0.25">
      <c r="A40463"/>
      <c r="B40463"/>
      <c r="C40463"/>
      <c r="E40463"/>
      <c r="F40463"/>
    </row>
    <row r="40464" spans="1:6" x14ac:dyDescent="0.25">
      <c r="A40464"/>
      <c r="B40464"/>
      <c r="C40464"/>
      <c r="E40464"/>
      <c r="F40464"/>
    </row>
    <row r="40465" spans="1:6" x14ac:dyDescent="0.25">
      <c r="A40465"/>
      <c r="B40465"/>
      <c r="C40465"/>
      <c r="E40465"/>
      <c r="F40465"/>
    </row>
    <row r="40466" spans="1:6" x14ac:dyDescent="0.25">
      <c r="A40466"/>
      <c r="B40466"/>
      <c r="C40466"/>
      <c r="E40466"/>
      <c r="F40466"/>
    </row>
    <row r="40467" spans="1:6" x14ac:dyDescent="0.25">
      <c r="A40467"/>
      <c r="B40467"/>
      <c r="C40467"/>
      <c r="E40467"/>
      <c r="F40467"/>
    </row>
    <row r="40468" spans="1:6" x14ac:dyDescent="0.25">
      <c r="A40468"/>
      <c r="B40468"/>
      <c r="C40468"/>
      <c r="E40468"/>
      <c r="F40468"/>
    </row>
    <row r="40469" spans="1:6" x14ac:dyDescent="0.25">
      <c r="A40469"/>
      <c r="B40469"/>
      <c r="C40469"/>
      <c r="E40469"/>
      <c r="F40469"/>
    </row>
    <row r="40470" spans="1:6" x14ac:dyDescent="0.25">
      <c r="A40470"/>
      <c r="B40470"/>
      <c r="C40470"/>
      <c r="E40470"/>
      <c r="F40470"/>
    </row>
    <row r="40471" spans="1:6" x14ac:dyDescent="0.25">
      <c r="A40471"/>
      <c r="B40471"/>
      <c r="C40471"/>
      <c r="E40471"/>
      <c r="F40471"/>
    </row>
    <row r="40472" spans="1:6" x14ac:dyDescent="0.25">
      <c r="A40472"/>
      <c r="B40472"/>
      <c r="C40472"/>
      <c r="E40472"/>
      <c r="F40472"/>
    </row>
    <row r="40473" spans="1:6" x14ac:dyDescent="0.25">
      <c r="A40473"/>
      <c r="B40473"/>
      <c r="C40473"/>
      <c r="E40473"/>
      <c r="F40473"/>
    </row>
    <row r="40474" spans="1:6" x14ac:dyDescent="0.25">
      <c r="A40474"/>
      <c r="B40474"/>
      <c r="C40474"/>
      <c r="E40474"/>
      <c r="F40474"/>
    </row>
    <row r="40475" spans="1:6" x14ac:dyDescent="0.25">
      <c r="A40475"/>
      <c r="B40475"/>
      <c r="C40475"/>
      <c r="E40475"/>
      <c r="F40475"/>
    </row>
    <row r="40476" spans="1:6" x14ac:dyDescent="0.25">
      <c r="A40476"/>
      <c r="B40476"/>
      <c r="C40476"/>
      <c r="E40476"/>
      <c r="F40476"/>
    </row>
    <row r="40477" spans="1:6" x14ac:dyDescent="0.25">
      <c r="A40477"/>
      <c r="B40477"/>
      <c r="C40477"/>
      <c r="E40477"/>
      <c r="F40477"/>
    </row>
    <row r="40478" spans="1:6" x14ac:dyDescent="0.25">
      <c r="A40478"/>
      <c r="B40478"/>
      <c r="C40478"/>
      <c r="E40478"/>
      <c r="F40478"/>
    </row>
    <row r="40479" spans="1:6" x14ac:dyDescent="0.25">
      <c r="A40479"/>
      <c r="B40479"/>
      <c r="C40479"/>
      <c r="E40479"/>
      <c r="F40479"/>
    </row>
    <row r="40480" spans="1:6" x14ac:dyDescent="0.25">
      <c r="A40480"/>
      <c r="B40480"/>
      <c r="C40480"/>
      <c r="E40480"/>
      <c r="F40480"/>
    </row>
    <row r="40481" spans="1:6" x14ac:dyDescent="0.25">
      <c r="A40481"/>
      <c r="B40481"/>
      <c r="C40481"/>
      <c r="E40481"/>
      <c r="F40481"/>
    </row>
    <row r="40482" spans="1:6" x14ac:dyDescent="0.25">
      <c r="A40482"/>
      <c r="B40482"/>
      <c r="C40482"/>
      <c r="E40482"/>
      <c r="F40482"/>
    </row>
    <row r="40483" spans="1:6" x14ac:dyDescent="0.25">
      <c r="A40483"/>
      <c r="B40483"/>
      <c r="C40483"/>
      <c r="E40483"/>
      <c r="F40483"/>
    </row>
    <row r="40484" spans="1:6" x14ac:dyDescent="0.25">
      <c r="A40484"/>
      <c r="B40484"/>
      <c r="C40484"/>
      <c r="E40484"/>
      <c r="F40484"/>
    </row>
    <row r="40485" spans="1:6" x14ac:dyDescent="0.25">
      <c r="A40485"/>
      <c r="B40485"/>
      <c r="C40485"/>
      <c r="E40485"/>
      <c r="F40485"/>
    </row>
    <row r="40486" spans="1:6" x14ac:dyDescent="0.25">
      <c r="A40486"/>
      <c r="B40486"/>
      <c r="C40486"/>
      <c r="E40486"/>
      <c r="F40486"/>
    </row>
    <row r="40487" spans="1:6" x14ac:dyDescent="0.25">
      <c r="A40487"/>
      <c r="B40487"/>
      <c r="C40487"/>
      <c r="E40487"/>
      <c r="F40487"/>
    </row>
    <row r="40488" spans="1:6" x14ac:dyDescent="0.25">
      <c r="A40488"/>
      <c r="B40488"/>
      <c r="C40488"/>
      <c r="E40488"/>
      <c r="F40488"/>
    </row>
    <row r="40489" spans="1:6" x14ac:dyDescent="0.25">
      <c r="A40489"/>
      <c r="B40489"/>
      <c r="C40489"/>
      <c r="E40489"/>
      <c r="F40489"/>
    </row>
    <row r="40490" spans="1:6" x14ac:dyDescent="0.25">
      <c r="A40490"/>
      <c r="B40490"/>
      <c r="C40490"/>
      <c r="E40490"/>
      <c r="F40490"/>
    </row>
    <row r="40491" spans="1:6" x14ac:dyDescent="0.25">
      <c r="A40491"/>
      <c r="B40491"/>
      <c r="C40491"/>
      <c r="E40491"/>
      <c r="F40491"/>
    </row>
    <row r="40492" spans="1:6" x14ac:dyDescent="0.25">
      <c r="A40492"/>
      <c r="B40492"/>
      <c r="C40492"/>
      <c r="E40492"/>
      <c r="F40492"/>
    </row>
    <row r="40493" spans="1:6" x14ac:dyDescent="0.25">
      <c r="A40493"/>
      <c r="B40493"/>
      <c r="C40493"/>
      <c r="E40493"/>
      <c r="F40493"/>
    </row>
    <row r="40494" spans="1:6" x14ac:dyDescent="0.25">
      <c r="A40494"/>
      <c r="B40494"/>
      <c r="C40494"/>
      <c r="E40494"/>
      <c r="F40494"/>
    </row>
    <row r="40495" spans="1:6" x14ac:dyDescent="0.25">
      <c r="A40495"/>
      <c r="B40495"/>
      <c r="C40495"/>
      <c r="E40495"/>
      <c r="F40495"/>
    </row>
    <row r="40496" spans="1:6" x14ac:dyDescent="0.25">
      <c r="A40496"/>
      <c r="B40496"/>
      <c r="C40496"/>
      <c r="E40496"/>
      <c r="F40496"/>
    </row>
    <row r="40497" spans="1:6" x14ac:dyDescent="0.25">
      <c r="A40497"/>
      <c r="B40497"/>
      <c r="C40497"/>
      <c r="E40497"/>
      <c r="F40497"/>
    </row>
    <row r="40498" spans="1:6" x14ac:dyDescent="0.25">
      <c r="A40498"/>
      <c r="B40498"/>
      <c r="C40498"/>
      <c r="E40498"/>
      <c r="F40498"/>
    </row>
    <row r="40499" spans="1:6" x14ac:dyDescent="0.25">
      <c r="A40499"/>
      <c r="B40499"/>
      <c r="C40499"/>
      <c r="E40499"/>
      <c r="F40499"/>
    </row>
    <row r="40500" spans="1:6" x14ac:dyDescent="0.25">
      <c r="A40500"/>
      <c r="B40500"/>
      <c r="C40500"/>
      <c r="E40500"/>
      <c r="F40500"/>
    </row>
    <row r="40501" spans="1:6" x14ac:dyDescent="0.25">
      <c r="A40501"/>
      <c r="B40501"/>
      <c r="C40501"/>
      <c r="E40501"/>
      <c r="F40501"/>
    </row>
    <row r="40502" spans="1:6" x14ac:dyDescent="0.25">
      <c r="A40502"/>
      <c r="B40502"/>
      <c r="C40502"/>
      <c r="E40502"/>
      <c r="F40502"/>
    </row>
    <row r="40503" spans="1:6" x14ac:dyDescent="0.25">
      <c r="A40503"/>
      <c r="B40503"/>
      <c r="C40503"/>
      <c r="E40503"/>
      <c r="F40503"/>
    </row>
    <row r="40504" spans="1:6" x14ac:dyDescent="0.25">
      <c r="A40504"/>
      <c r="B40504"/>
      <c r="C40504"/>
      <c r="E40504"/>
      <c r="F40504"/>
    </row>
    <row r="40505" spans="1:6" x14ac:dyDescent="0.25">
      <c r="A40505"/>
      <c r="B40505"/>
      <c r="C40505"/>
      <c r="E40505"/>
      <c r="F40505"/>
    </row>
    <row r="40506" spans="1:6" x14ac:dyDescent="0.25">
      <c r="A40506"/>
      <c r="B40506"/>
      <c r="C40506"/>
      <c r="E40506"/>
      <c r="F40506"/>
    </row>
    <row r="40507" spans="1:6" x14ac:dyDescent="0.25">
      <c r="A40507"/>
      <c r="B40507"/>
      <c r="C40507"/>
      <c r="E40507"/>
      <c r="F40507"/>
    </row>
    <row r="40508" spans="1:6" x14ac:dyDescent="0.25">
      <c r="A40508"/>
      <c r="B40508"/>
      <c r="C40508"/>
      <c r="E40508"/>
      <c r="F40508"/>
    </row>
    <row r="40509" spans="1:6" x14ac:dyDescent="0.25">
      <c r="A40509"/>
      <c r="B40509"/>
      <c r="C40509"/>
      <c r="E40509"/>
      <c r="F40509"/>
    </row>
    <row r="40510" spans="1:6" x14ac:dyDescent="0.25">
      <c r="A40510"/>
      <c r="B40510"/>
      <c r="C40510"/>
      <c r="E40510"/>
      <c r="F40510"/>
    </row>
    <row r="40511" spans="1:6" x14ac:dyDescent="0.25">
      <c r="A40511"/>
      <c r="B40511"/>
      <c r="C40511"/>
      <c r="E40511"/>
      <c r="F40511"/>
    </row>
    <row r="40512" spans="1:6" x14ac:dyDescent="0.25">
      <c r="A40512"/>
      <c r="B40512"/>
      <c r="C40512"/>
      <c r="E40512"/>
      <c r="F40512"/>
    </row>
    <row r="40513" spans="1:6" x14ac:dyDescent="0.25">
      <c r="A40513"/>
      <c r="B40513"/>
      <c r="C40513"/>
      <c r="E40513"/>
      <c r="F40513"/>
    </row>
    <row r="40514" spans="1:6" x14ac:dyDescent="0.25">
      <c r="A40514"/>
      <c r="B40514"/>
      <c r="C40514"/>
      <c r="E40514"/>
      <c r="F40514"/>
    </row>
    <row r="40515" spans="1:6" x14ac:dyDescent="0.25">
      <c r="A40515"/>
      <c r="B40515"/>
      <c r="C40515"/>
      <c r="E40515"/>
      <c r="F40515"/>
    </row>
    <row r="40516" spans="1:6" x14ac:dyDescent="0.25">
      <c r="A40516"/>
      <c r="B40516"/>
      <c r="C40516"/>
      <c r="E40516"/>
      <c r="F40516"/>
    </row>
    <row r="40517" spans="1:6" x14ac:dyDescent="0.25">
      <c r="A40517"/>
      <c r="B40517"/>
      <c r="C40517"/>
      <c r="E40517"/>
      <c r="F40517"/>
    </row>
    <row r="40518" spans="1:6" x14ac:dyDescent="0.25">
      <c r="A40518"/>
      <c r="B40518"/>
      <c r="C40518"/>
      <c r="E40518"/>
      <c r="F40518"/>
    </row>
    <row r="40519" spans="1:6" x14ac:dyDescent="0.25">
      <c r="A40519"/>
      <c r="B40519"/>
      <c r="C40519"/>
      <c r="E40519"/>
      <c r="F40519"/>
    </row>
    <row r="40520" spans="1:6" x14ac:dyDescent="0.25">
      <c r="A40520"/>
      <c r="B40520"/>
      <c r="C40520"/>
      <c r="E40520"/>
      <c r="F40520"/>
    </row>
    <row r="40521" spans="1:6" x14ac:dyDescent="0.25">
      <c r="A40521"/>
      <c r="B40521"/>
      <c r="C40521"/>
      <c r="E40521"/>
      <c r="F40521"/>
    </row>
    <row r="40522" spans="1:6" x14ac:dyDescent="0.25">
      <c r="A40522"/>
      <c r="B40522"/>
      <c r="C40522"/>
      <c r="E40522"/>
      <c r="F40522"/>
    </row>
    <row r="40523" spans="1:6" x14ac:dyDescent="0.25">
      <c r="A40523"/>
      <c r="B40523"/>
      <c r="C40523"/>
      <c r="E40523"/>
      <c r="F40523"/>
    </row>
    <row r="40524" spans="1:6" x14ac:dyDescent="0.25">
      <c r="A40524"/>
      <c r="B40524"/>
      <c r="C40524"/>
      <c r="E40524"/>
      <c r="F40524"/>
    </row>
    <row r="40525" spans="1:6" x14ac:dyDescent="0.25">
      <c r="A40525"/>
      <c r="B40525"/>
      <c r="C40525"/>
      <c r="E40525"/>
      <c r="F40525"/>
    </row>
    <row r="40526" spans="1:6" x14ac:dyDescent="0.25">
      <c r="A40526"/>
      <c r="B40526"/>
      <c r="C40526"/>
      <c r="E40526"/>
      <c r="F40526"/>
    </row>
    <row r="40527" spans="1:6" x14ac:dyDescent="0.25">
      <c r="A40527"/>
      <c r="B40527"/>
      <c r="C40527"/>
      <c r="E40527"/>
      <c r="F40527"/>
    </row>
    <row r="40528" spans="1:6" x14ac:dyDescent="0.25">
      <c r="A40528"/>
      <c r="B40528"/>
      <c r="C40528"/>
      <c r="E40528"/>
      <c r="F40528"/>
    </row>
    <row r="40529" spans="1:6" x14ac:dyDescent="0.25">
      <c r="A40529"/>
      <c r="B40529"/>
      <c r="C40529"/>
      <c r="E40529"/>
      <c r="F40529"/>
    </row>
    <row r="40530" spans="1:6" x14ac:dyDescent="0.25">
      <c r="A40530"/>
      <c r="B40530"/>
      <c r="C40530"/>
      <c r="E40530"/>
      <c r="F40530"/>
    </row>
    <row r="40531" spans="1:6" x14ac:dyDescent="0.25">
      <c r="A40531"/>
      <c r="B40531"/>
      <c r="C40531"/>
      <c r="E40531"/>
      <c r="F40531"/>
    </row>
    <row r="40532" spans="1:6" x14ac:dyDescent="0.25">
      <c r="A40532"/>
      <c r="B40532"/>
      <c r="C40532"/>
      <c r="E40532"/>
      <c r="F40532"/>
    </row>
    <row r="40533" spans="1:6" x14ac:dyDescent="0.25">
      <c r="A40533"/>
      <c r="B40533"/>
      <c r="C40533"/>
      <c r="E40533"/>
      <c r="F40533"/>
    </row>
    <row r="40534" spans="1:6" x14ac:dyDescent="0.25">
      <c r="A40534"/>
      <c r="B40534"/>
      <c r="C40534"/>
      <c r="E40534"/>
      <c r="F40534"/>
    </row>
    <row r="40535" spans="1:6" x14ac:dyDescent="0.25">
      <c r="A40535"/>
      <c r="B40535"/>
      <c r="C40535"/>
      <c r="E40535"/>
      <c r="F40535"/>
    </row>
    <row r="40536" spans="1:6" x14ac:dyDescent="0.25">
      <c r="A40536"/>
      <c r="B40536"/>
      <c r="C40536"/>
      <c r="E40536"/>
      <c r="F40536"/>
    </row>
    <row r="40537" spans="1:6" x14ac:dyDescent="0.25">
      <c r="A40537"/>
      <c r="B40537"/>
      <c r="C40537"/>
      <c r="E40537"/>
      <c r="F40537"/>
    </row>
    <row r="40538" spans="1:6" x14ac:dyDescent="0.25">
      <c r="A40538"/>
      <c r="B40538"/>
      <c r="C40538"/>
      <c r="E40538"/>
      <c r="F40538"/>
    </row>
    <row r="40539" spans="1:6" x14ac:dyDescent="0.25">
      <c r="A40539"/>
      <c r="B40539"/>
      <c r="C40539"/>
      <c r="E40539"/>
      <c r="F40539"/>
    </row>
    <row r="40540" spans="1:6" x14ac:dyDescent="0.25">
      <c r="A40540"/>
      <c r="B40540"/>
      <c r="C40540"/>
      <c r="E40540"/>
      <c r="F40540"/>
    </row>
    <row r="40541" spans="1:6" x14ac:dyDescent="0.25">
      <c r="A40541"/>
      <c r="B40541"/>
      <c r="C40541"/>
      <c r="E40541"/>
      <c r="F40541"/>
    </row>
    <row r="40542" spans="1:6" x14ac:dyDescent="0.25">
      <c r="A40542"/>
      <c r="B40542"/>
      <c r="C40542"/>
      <c r="E40542"/>
      <c r="F40542"/>
    </row>
    <row r="40543" spans="1:6" x14ac:dyDescent="0.25">
      <c r="A40543"/>
      <c r="B40543"/>
      <c r="C40543"/>
      <c r="E40543"/>
      <c r="F40543"/>
    </row>
    <row r="40544" spans="1:6" x14ac:dyDescent="0.25">
      <c r="A40544"/>
      <c r="B40544"/>
      <c r="C40544"/>
      <c r="E40544"/>
      <c r="F40544"/>
    </row>
    <row r="40545" spans="1:6" x14ac:dyDescent="0.25">
      <c r="A40545"/>
      <c r="B40545"/>
      <c r="C40545"/>
      <c r="E40545"/>
      <c r="F40545"/>
    </row>
    <row r="40546" spans="1:6" x14ac:dyDescent="0.25">
      <c r="A40546"/>
      <c r="B40546"/>
      <c r="C40546"/>
      <c r="E40546"/>
      <c r="F40546"/>
    </row>
    <row r="40547" spans="1:6" x14ac:dyDescent="0.25">
      <c r="A40547"/>
      <c r="B40547"/>
      <c r="C40547"/>
      <c r="E40547"/>
      <c r="F40547"/>
    </row>
    <row r="40548" spans="1:6" x14ac:dyDescent="0.25">
      <c r="A40548"/>
      <c r="B40548"/>
      <c r="C40548"/>
      <c r="E40548"/>
      <c r="F40548"/>
    </row>
    <row r="40549" spans="1:6" x14ac:dyDescent="0.25">
      <c r="A40549"/>
      <c r="B40549"/>
      <c r="C40549"/>
      <c r="E40549"/>
      <c r="F40549"/>
    </row>
    <row r="40550" spans="1:6" x14ac:dyDescent="0.25">
      <c r="A40550"/>
      <c r="B40550"/>
      <c r="C40550"/>
      <c r="E40550"/>
      <c r="F40550"/>
    </row>
    <row r="40551" spans="1:6" x14ac:dyDescent="0.25">
      <c r="A40551"/>
      <c r="B40551"/>
      <c r="C40551"/>
      <c r="E40551"/>
      <c r="F40551"/>
    </row>
    <row r="40552" spans="1:6" x14ac:dyDescent="0.25">
      <c r="A40552"/>
      <c r="B40552"/>
      <c r="C40552"/>
      <c r="E40552"/>
      <c r="F40552"/>
    </row>
    <row r="40553" spans="1:6" x14ac:dyDescent="0.25">
      <c r="A40553"/>
      <c r="B40553"/>
      <c r="C40553"/>
      <c r="E40553"/>
      <c r="F40553"/>
    </row>
    <row r="40554" spans="1:6" x14ac:dyDescent="0.25">
      <c r="A40554"/>
      <c r="B40554"/>
      <c r="C40554"/>
      <c r="E40554"/>
      <c r="F40554"/>
    </row>
    <row r="40555" spans="1:6" x14ac:dyDescent="0.25">
      <c r="A40555"/>
      <c r="B40555"/>
      <c r="C40555"/>
      <c r="E40555"/>
      <c r="F40555"/>
    </row>
    <row r="40556" spans="1:6" x14ac:dyDescent="0.25">
      <c r="A40556"/>
      <c r="B40556"/>
      <c r="C40556"/>
      <c r="E40556"/>
      <c r="F40556"/>
    </row>
    <row r="40557" spans="1:6" x14ac:dyDescent="0.25">
      <c r="A40557"/>
      <c r="B40557"/>
      <c r="C40557"/>
      <c r="E40557"/>
      <c r="F40557"/>
    </row>
    <row r="40558" spans="1:6" x14ac:dyDescent="0.25">
      <c r="A40558"/>
      <c r="B40558"/>
      <c r="C40558"/>
      <c r="E40558"/>
      <c r="F40558"/>
    </row>
    <row r="40559" spans="1:6" x14ac:dyDescent="0.25">
      <c r="A40559"/>
      <c r="B40559"/>
      <c r="C40559"/>
      <c r="E40559"/>
      <c r="F40559"/>
    </row>
    <row r="40560" spans="1:6" x14ac:dyDescent="0.25">
      <c r="A40560"/>
      <c r="B40560"/>
      <c r="C40560"/>
      <c r="E40560"/>
      <c r="F40560"/>
    </row>
    <row r="40561" spans="1:6" x14ac:dyDescent="0.25">
      <c r="A40561"/>
      <c r="B40561"/>
      <c r="C40561"/>
      <c r="E40561"/>
      <c r="F40561"/>
    </row>
    <row r="40562" spans="1:6" x14ac:dyDescent="0.25">
      <c r="A40562"/>
      <c r="B40562"/>
      <c r="C40562"/>
      <c r="E40562"/>
      <c r="F40562"/>
    </row>
    <row r="40563" spans="1:6" x14ac:dyDescent="0.25">
      <c r="A40563"/>
      <c r="B40563"/>
      <c r="C40563"/>
      <c r="E40563"/>
      <c r="F40563"/>
    </row>
    <row r="40564" spans="1:6" x14ac:dyDescent="0.25">
      <c r="A40564"/>
      <c r="B40564"/>
      <c r="C40564"/>
      <c r="E40564"/>
      <c r="F40564"/>
    </row>
    <row r="40565" spans="1:6" x14ac:dyDescent="0.25">
      <c r="A40565"/>
      <c r="B40565"/>
      <c r="C40565"/>
      <c r="E40565"/>
      <c r="F40565"/>
    </row>
    <row r="40566" spans="1:6" x14ac:dyDescent="0.25">
      <c r="A40566"/>
      <c r="B40566"/>
      <c r="C40566"/>
      <c r="E40566"/>
      <c r="F40566"/>
    </row>
    <row r="40567" spans="1:6" x14ac:dyDescent="0.25">
      <c r="A40567"/>
      <c r="B40567"/>
      <c r="C40567"/>
      <c r="E40567"/>
      <c r="F40567"/>
    </row>
    <row r="40568" spans="1:6" x14ac:dyDescent="0.25">
      <c r="A40568"/>
      <c r="B40568"/>
      <c r="C40568"/>
      <c r="E40568"/>
      <c r="F40568"/>
    </row>
    <row r="40569" spans="1:6" x14ac:dyDescent="0.25">
      <c r="A40569"/>
      <c r="B40569"/>
      <c r="C40569"/>
      <c r="E40569"/>
      <c r="F40569"/>
    </row>
    <row r="40570" spans="1:6" x14ac:dyDescent="0.25">
      <c r="A40570"/>
      <c r="B40570"/>
      <c r="C40570"/>
      <c r="E40570"/>
      <c r="F40570"/>
    </row>
    <row r="40571" spans="1:6" x14ac:dyDescent="0.25">
      <c r="A40571"/>
      <c r="B40571"/>
      <c r="C40571"/>
      <c r="E40571"/>
      <c r="F40571"/>
    </row>
    <row r="40572" spans="1:6" x14ac:dyDescent="0.25">
      <c r="A40572"/>
      <c r="B40572"/>
      <c r="C40572"/>
      <c r="E40572"/>
      <c r="F40572"/>
    </row>
    <row r="40573" spans="1:6" x14ac:dyDescent="0.25">
      <c r="A40573"/>
      <c r="B40573"/>
      <c r="C40573"/>
      <c r="E40573"/>
      <c r="F40573"/>
    </row>
    <row r="40574" spans="1:6" x14ac:dyDescent="0.25">
      <c r="A40574"/>
      <c r="B40574"/>
      <c r="C40574"/>
      <c r="E40574"/>
      <c r="F40574"/>
    </row>
    <row r="40575" spans="1:6" x14ac:dyDescent="0.25">
      <c r="A40575"/>
      <c r="B40575"/>
      <c r="C40575"/>
      <c r="E40575"/>
      <c r="F40575"/>
    </row>
    <row r="40576" spans="1:6" x14ac:dyDescent="0.25">
      <c r="A40576"/>
      <c r="B40576"/>
      <c r="C40576"/>
      <c r="E40576"/>
      <c r="F40576"/>
    </row>
    <row r="40577" spans="1:6" x14ac:dyDescent="0.25">
      <c r="A40577"/>
      <c r="B40577"/>
      <c r="C40577"/>
      <c r="E40577"/>
      <c r="F40577"/>
    </row>
    <row r="40578" spans="1:6" x14ac:dyDescent="0.25">
      <c r="A40578"/>
      <c r="B40578"/>
      <c r="C40578"/>
      <c r="E40578"/>
      <c r="F40578"/>
    </row>
    <row r="40579" spans="1:6" x14ac:dyDescent="0.25">
      <c r="A40579"/>
      <c r="B40579"/>
      <c r="C40579"/>
      <c r="E40579"/>
      <c r="F40579"/>
    </row>
    <row r="40580" spans="1:6" x14ac:dyDescent="0.25">
      <c r="A40580"/>
      <c r="B40580"/>
      <c r="C40580"/>
      <c r="E40580"/>
      <c r="F40580"/>
    </row>
    <row r="40581" spans="1:6" x14ac:dyDescent="0.25">
      <c r="A40581"/>
      <c r="B40581"/>
      <c r="C40581"/>
      <c r="E40581"/>
      <c r="F40581"/>
    </row>
    <row r="40582" spans="1:6" x14ac:dyDescent="0.25">
      <c r="A40582"/>
      <c r="B40582"/>
      <c r="C40582"/>
      <c r="E40582"/>
      <c r="F40582"/>
    </row>
    <row r="40583" spans="1:6" x14ac:dyDescent="0.25">
      <c r="A40583"/>
      <c r="B40583"/>
      <c r="C40583"/>
      <c r="E40583"/>
      <c r="F40583"/>
    </row>
    <row r="40584" spans="1:6" x14ac:dyDescent="0.25">
      <c r="A40584"/>
      <c r="B40584"/>
      <c r="C40584"/>
      <c r="E40584"/>
      <c r="F40584"/>
    </row>
    <row r="40585" spans="1:6" x14ac:dyDescent="0.25">
      <c r="A40585"/>
      <c r="B40585"/>
      <c r="C40585"/>
      <c r="E40585"/>
      <c r="F40585"/>
    </row>
    <row r="40586" spans="1:6" x14ac:dyDescent="0.25">
      <c r="A40586"/>
      <c r="B40586"/>
      <c r="C40586"/>
      <c r="E40586"/>
      <c r="F40586"/>
    </row>
    <row r="40587" spans="1:6" x14ac:dyDescent="0.25">
      <c r="A40587"/>
      <c r="B40587"/>
      <c r="C40587"/>
      <c r="E40587"/>
      <c r="F40587"/>
    </row>
    <row r="40588" spans="1:6" x14ac:dyDescent="0.25">
      <c r="A40588"/>
      <c r="B40588"/>
      <c r="C40588"/>
      <c r="E40588"/>
      <c r="F40588"/>
    </row>
    <row r="40589" spans="1:6" x14ac:dyDescent="0.25">
      <c r="A40589"/>
      <c r="B40589"/>
      <c r="C40589"/>
      <c r="E40589"/>
      <c r="F40589"/>
    </row>
    <row r="40590" spans="1:6" x14ac:dyDescent="0.25">
      <c r="A40590"/>
      <c r="B40590"/>
      <c r="C40590"/>
      <c r="E40590"/>
      <c r="F40590"/>
    </row>
    <row r="40591" spans="1:6" x14ac:dyDescent="0.25">
      <c r="A40591"/>
      <c r="B40591"/>
      <c r="C40591"/>
      <c r="E40591"/>
      <c r="F40591"/>
    </row>
    <row r="40592" spans="1:6" x14ac:dyDescent="0.25">
      <c r="A40592"/>
      <c r="B40592"/>
      <c r="C40592"/>
      <c r="E40592"/>
      <c r="F40592"/>
    </row>
    <row r="40593" spans="1:6" x14ac:dyDescent="0.25">
      <c r="A40593"/>
      <c r="B40593"/>
      <c r="C40593"/>
      <c r="E40593"/>
      <c r="F40593"/>
    </row>
    <row r="40594" spans="1:6" x14ac:dyDescent="0.25">
      <c r="A40594"/>
      <c r="B40594"/>
      <c r="C40594"/>
      <c r="E40594"/>
      <c r="F40594"/>
    </row>
    <row r="40595" spans="1:6" x14ac:dyDescent="0.25">
      <c r="A40595"/>
      <c r="B40595"/>
      <c r="C40595"/>
      <c r="E40595"/>
      <c r="F40595"/>
    </row>
    <row r="40596" spans="1:6" x14ac:dyDescent="0.25">
      <c r="A40596"/>
      <c r="B40596"/>
      <c r="C40596"/>
      <c r="E40596"/>
      <c r="F40596"/>
    </row>
    <row r="40597" spans="1:6" x14ac:dyDescent="0.25">
      <c r="A40597"/>
      <c r="B40597"/>
      <c r="C40597"/>
      <c r="E40597"/>
      <c r="F40597"/>
    </row>
    <row r="40598" spans="1:6" x14ac:dyDescent="0.25">
      <c r="A40598"/>
      <c r="B40598"/>
      <c r="C40598"/>
      <c r="E40598"/>
      <c r="F40598"/>
    </row>
    <row r="40599" spans="1:6" x14ac:dyDescent="0.25">
      <c r="A40599"/>
      <c r="B40599"/>
      <c r="C40599"/>
      <c r="E40599"/>
      <c r="F40599"/>
    </row>
    <row r="40600" spans="1:6" x14ac:dyDescent="0.25">
      <c r="A40600"/>
      <c r="B40600"/>
      <c r="C40600"/>
      <c r="E40600"/>
      <c r="F40600"/>
    </row>
    <row r="40601" spans="1:6" x14ac:dyDescent="0.25">
      <c r="A40601"/>
      <c r="B40601"/>
      <c r="C40601"/>
      <c r="E40601"/>
      <c r="F40601"/>
    </row>
    <row r="40602" spans="1:6" x14ac:dyDescent="0.25">
      <c r="A40602"/>
      <c r="B40602"/>
      <c r="C40602"/>
      <c r="E40602"/>
      <c r="F40602"/>
    </row>
    <row r="40603" spans="1:6" x14ac:dyDescent="0.25">
      <c r="A40603"/>
      <c r="B40603"/>
      <c r="C40603"/>
      <c r="E40603"/>
      <c r="F40603"/>
    </row>
    <row r="40604" spans="1:6" x14ac:dyDescent="0.25">
      <c r="A40604"/>
      <c r="B40604"/>
      <c r="C40604"/>
      <c r="E40604"/>
      <c r="F40604"/>
    </row>
    <row r="40605" spans="1:6" x14ac:dyDescent="0.25">
      <c r="A40605"/>
      <c r="B40605"/>
      <c r="C40605"/>
      <c r="E40605"/>
      <c r="F40605"/>
    </row>
    <row r="40606" spans="1:6" x14ac:dyDescent="0.25">
      <c r="A40606"/>
      <c r="B40606"/>
      <c r="C40606"/>
      <c r="E40606"/>
      <c r="F40606"/>
    </row>
    <row r="40607" spans="1:6" x14ac:dyDescent="0.25">
      <c r="A40607"/>
      <c r="B40607"/>
      <c r="C40607"/>
      <c r="E40607"/>
      <c r="F40607"/>
    </row>
    <row r="40608" spans="1:6" x14ac:dyDescent="0.25">
      <c r="A40608"/>
      <c r="B40608"/>
      <c r="C40608"/>
      <c r="E40608"/>
      <c r="F40608"/>
    </row>
    <row r="40609" spans="1:6" x14ac:dyDescent="0.25">
      <c r="A40609"/>
      <c r="B40609"/>
      <c r="C40609"/>
      <c r="E40609"/>
      <c r="F40609"/>
    </row>
    <row r="40610" spans="1:6" x14ac:dyDescent="0.25">
      <c r="A40610"/>
      <c r="B40610"/>
      <c r="C40610"/>
      <c r="E40610"/>
      <c r="F40610"/>
    </row>
    <row r="40611" spans="1:6" x14ac:dyDescent="0.25">
      <c r="A40611"/>
      <c r="B40611"/>
      <c r="C40611"/>
      <c r="E40611"/>
      <c r="F40611"/>
    </row>
    <row r="40612" spans="1:6" x14ac:dyDescent="0.25">
      <c r="A40612"/>
      <c r="B40612"/>
      <c r="C40612"/>
      <c r="E40612"/>
      <c r="F40612"/>
    </row>
    <row r="40613" spans="1:6" x14ac:dyDescent="0.25">
      <c r="A40613"/>
      <c r="B40613"/>
      <c r="C40613"/>
      <c r="E40613"/>
      <c r="F40613"/>
    </row>
    <row r="40614" spans="1:6" x14ac:dyDescent="0.25">
      <c r="A40614"/>
      <c r="B40614"/>
      <c r="C40614"/>
      <c r="E40614"/>
      <c r="F40614"/>
    </row>
    <row r="40615" spans="1:6" x14ac:dyDescent="0.25">
      <c r="A40615"/>
      <c r="B40615"/>
      <c r="C40615"/>
      <c r="E40615"/>
      <c r="F40615"/>
    </row>
    <row r="40616" spans="1:6" x14ac:dyDescent="0.25">
      <c r="A40616"/>
      <c r="B40616"/>
      <c r="C40616"/>
      <c r="E40616"/>
      <c r="F40616"/>
    </row>
    <row r="40617" spans="1:6" x14ac:dyDescent="0.25">
      <c r="A40617"/>
      <c r="B40617"/>
      <c r="C40617"/>
      <c r="E40617"/>
      <c r="F40617"/>
    </row>
    <row r="40618" spans="1:6" x14ac:dyDescent="0.25">
      <c r="A40618"/>
      <c r="B40618"/>
      <c r="C40618"/>
      <c r="E40618"/>
      <c r="F40618"/>
    </row>
    <row r="40619" spans="1:6" x14ac:dyDescent="0.25">
      <c r="A40619"/>
      <c r="B40619"/>
      <c r="C40619"/>
      <c r="E40619"/>
      <c r="F40619"/>
    </row>
    <row r="40620" spans="1:6" x14ac:dyDescent="0.25">
      <c r="A40620"/>
      <c r="B40620"/>
      <c r="C40620"/>
      <c r="E40620"/>
      <c r="F40620"/>
    </row>
    <row r="40621" spans="1:6" x14ac:dyDescent="0.25">
      <c r="A40621"/>
      <c r="B40621"/>
      <c r="C40621"/>
      <c r="E40621"/>
      <c r="F40621"/>
    </row>
    <row r="40622" spans="1:6" x14ac:dyDescent="0.25">
      <c r="A40622"/>
      <c r="B40622"/>
      <c r="C40622"/>
      <c r="E40622"/>
      <c r="F40622"/>
    </row>
    <row r="40623" spans="1:6" x14ac:dyDescent="0.25">
      <c r="A40623"/>
      <c r="B40623"/>
      <c r="C40623"/>
      <c r="E40623"/>
      <c r="F40623"/>
    </row>
    <row r="40624" spans="1:6" x14ac:dyDescent="0.25">
      <c r="A40624"/>
      <c r="B40624"/>
      <c r="C40624"/>
      <c r="E40624"/>
      <c r="F40624"/>
    </row>
    <row r="40625" spans="1:6" x14ac:dyDescent="0.25">
      <c r="A40625"/>
      <c r="B40625"/>
      <c r="C40625"/>
      <c r="E40625"/>
      <c r="F40625"/>
    </row>
    <row r="40626" spans="1:6" x14ac:dyDescent="0.25">
      <c r="A40626"/>
      <c r="B40626"/>
      <c r="C40626"/>
      <c r="E40626"/>
      <c r="F40626"/>
    </row>
    <row r="40627" spans="1:6" x14ac:dyDescent="0.25">
      <c r="A40627"/>
      <c r="B40627"/>
      <c r="C40627"/>
      <c r="E40627"/>
      <c r="F40627"/>
    </row>
    <row r="40628" spans="1:6" x14ac:dyDescent="0.25">
      <c r="A40628"/>
      <c r="B40628"/>
      <c r="C40628"/>
      <c r="E40628"/>
      <c r="F40628"/>
    </row>
    <row r="40629" spans="1:6" x14ac:dyDescent="0.25">
      <c r="A40629"/>
      <c r="B40629"/>
      <c r="C40629"/>
      <c r="E40629"/>
      <c r="F40629"/>
    </row>
    <row r="40630" spans="1:6" x14ac:dyDescent="0.25">
      <c r="A40630"/>
      <c r="B40630"/>
      <c r="C40630"/>
      <c r="E40630"/>
      <c r="F40630"/>
    </row>
    <row r="40631" spans="1:6" x14ac:dyDescent="0.25">
      <c r="A40631"/>
      <c r="B40631"/>
      <c r="C40631"/>
      <c r="E40631"/>
      <c r="F40631"/>
    </row>
    <row r="40632" spans="1:6" x14ac:dyDescent="0.25">
      <c r="A40632"/>
      <c r="B40632"/>
      <c r="C40632"/>
      <c r="E40632"/>
      <c r="F40632"/>
    </row>
    <row r="40633" spans="1:6" x14ac:dyDescent="0.25">
      <c r="A40633"/>
      <c r="B40633"/>
      <c r="C40633"/>
      <c r="E40633"/>
      <c r="F40633"/>
    </row>
    <row r="40634" spans="1:6" x14ac:dyDescent="0.25">
      <c r="A40634"/>
      <c r="B40634"/>
      <c r="C40634"/>
      <c r="E40634"/>
      <c r="F40634"/>
    </row>
    <row r="40635" spans="1:6" x14ac:dyDescent="0.25">
      <c r="A40635"/>
      <c r="B40635"/>
      <c r="C40635"/>
      <c r="E40635"/>
      <c r="F40635"/>
    </row>
    <row r="40636" spans="1:6" x14ac:dyDescent="0.25">
      <c r="A40636"/>
      <c r="B40636"/>
      <c r="C40636"/>
      <c r="E40636"/>
      <c r="F40636"/>
    </row>
    <row r="40637" spans="1:6" x14ac:dyDescent="0.25">
      <c r="A40637"/>
      <c r="B40637"/>
      <c r="C40637"/>
      <c r="E40637"/>
      <c r="F40637"/>
    </row>
    <row r="40638" spans="1:6" x14ac:dyDescent="0.25">
      <c r="A40638"/>
      <c r="B40638"/>
      <c r="C40638"/>
      <c r="E40638"/>
      <c r="F40638"/>
    </row>
    <row r="40639" spans="1:6" x14ac:dyDescent="0.25">
      <c r="A40639"/>
      <c r="B40639"/>
      <c r="C40639"/>
      <c r="E40639"/>
      <c r="F40639"/>
    </row>
    <row r="40640" spans="1:6" x14ac:dyDescent="0.25">
      <c r="A40640"/>
      <c r="B40640"/>
      <c r="C40640"/>
      <c r="E40640"/>
      <c r="F40640"/>
    </row>
    <row r="40641" spans="1:6" x14ac:dyDescent="0.25">
      <c r="A40641"/>
      <c r="B40641"/>
      <c r="C40641"/>
      <c r="E40641"/>
      <c r="F40641"/>
    </row>
    <row r="40642" spans="1:6" x14ac:dyDescent="0.25">
      <c r="A40642"/>
      <c r="B40642"/>
      <c r="C40642"/>
      <c r="E40642"/>
      <c r="F40642"/>
    </row>
    <row r="40643" spans="1:6" x14ac:dyDescent="0.25">
      <c r="A40643"/>
      <c r="B40643"/>
      <c r="C40643"/>
      <c r="E40643"/>
      <c r="F40643"/>
    </row>
    <row r="40644" spans="1:6" x14ac:dyDescent="0.25">
      <c r="A40644"/>
      <c r="B40644"/>
      <c r="C40644"/>
      <c r="E40644"/>
      <c r="F40644"/>
    </row>
    <row r="40645" spans="1:6" x14ac:dyDescent="0.25">
      <c r="A40645"/>
      <c r="B40645"/>
      <c r="C40645"/>
      <c r="E40645"/>
      <c r="F40645"/>
    </row>
    <row r="40646" spans="1:6" x14ac:dyDescent="0.25">
      <c r="A40646"/>
      <c r="B40646"/>
      <c r="C40646"/>
      <c r="E40646"/>
      <c r="F40646"/>
    </row>
    <row r="40647" spans="1:6" x14ac:dyDescent="0.25">
      <c r="A40647"/>
      <c r="B40647"/>
      <c r="C40647"/>
      <c r="E40647"/>
      <c r="F40647"/>
    </row>
    <row r="40648" spans="1:6" x14ac:dyDescent="0.25">
      <c r="A40648"/>
      <c r="B40648"/>
      <c r="C40648"/>
      <c r="E40648"/>
      <c r="F40648"/>
    </row>
    <row r="40649" spans="1:6" x14ac:dyDescent="0.25">
      <c r="A40649"/>
      <c r="B40649"/>
      <c r="C40649"/>
      <c r="E40649"/>
      <c r="F40649"/>
    </row>
    <row r="40650" spans="1:6" x14ac:dyDescent="0.25">
      <c r="A40650"/>
      <c r="B40650"/>
      <c r="C40650"/>
      <c r="E40650"/>
      <c r="F40650"/>
    </row>
    <row r="40651" spans="1:6" x14ac:dyDescent="0.25">
      <c r="A40651"/>
      <c r="B40651"/>
      <c r="C40651"/>
      <c r="E40651"/>
      <c r="F40651"/>
    </row>
    <row r="40652" spans="1:6" x14ac:dyDescent="0.25">
      <c r="A40652"/>
      <c r="B40652"/>
      <c r="C40652"/>
      <c r="E40652"/>
      <c r="F40652"/>
    </row>
    <row r="40653" spans="1:6" x14ac:dyDescent="0.25">
      <c r="A40653"/>
      <c r="B40653"/>
      <c r="C40653"/>
      <c r="E40653"/>
      <c r="F40653"/>
    </row>
    <row r="40654" spans="1:6" x14ac:dyDescent="0.25">
      <c r="A40654"/>
      <c r="B40654"/>
      <c r="C40654"/>
      <c r="E40654"/>
      <c r="F40654"/>
    </row>
    <row r="40655" spans="1:6" x14ac:dyDescent="0.25">
      <c r="A40655"/>
      <c r="B40655"/>
      <c r="C40655"/>
      <c r="E40655"/>
      <c r="F40655"/>
    </row>
    <row r="40656" spans="1:6" x14ac:dyDescent="0.25">
      <c r="A40656"/>
      <c r="B40656"/>
      <c r="C40656"/>
      <c r="E40656"/>
      <c r="F40656"/>
    </row>
    <row r="40657" spans="1:6" x14ac:dyDescent="0.25">
      <c r="A40657"/>
      <c r="B40657"/>
      <c r="C40657"/>
      <c r="E40657"/>
      <c r="F40657"/>
    </row>
    <row r="40658" spans="1:6" x14ac:dyDescent="0.25">
      <c r="A40658"/>
      <c r="B40658"/>
      <c r="C40658"/>
      <c r="E40658"/>
      <c r="F40658"/>
    </row>
    <row r="40659" spans="1:6" x14ac:dyDescent="0.25">
      <c r="A40659"/>
      <c r="B40659"/>
      <c r="C40659"/>
      <c r="E40659"/>
      <c r="F40659"/>
    </row>
    <row r="40660" spans="1:6" x14ac:dyDescent="0.25">
      <c r="A40660"/>
      <c r="B40660"/>
      <c r="C40660"/>
      <c r="E40660"/>
      <c r="F40660"/>
    </row>
    <row r="40661" spans="1:6" x14ac:dyDescent="0.25">
      <c r="A40661"/>
      <c r="B40661"/>
      <c r="C40661"/>
      <c r="E40661"/>
      <c r="F40661"/>
    </row>
    <row r="40662" spans="1:6" x14ac:dyDescent="0.25">
      <c r="A40662"/>
      <c r="B40662"/>
      <c r="C40662"/>
      <c r="E40662"/>
      <c r="F40662"/>
    </row>
    <row r="40663" spans="1:6" x14ac:dyDescent="0.25">
      <c r="A40663"/>
      <c r="B40663"/>
      <c r="C40663"/>
      <c r="E40663"/>
      <c r="F40663"/>
    </row>
    <row r="40664" spans="1:6" x14ac:dyDescent="0.25">
      <c r="A40664"/>
      <c r="B40664"/>
      <c r="C40664"/>
      <c r="E40664"/>
      <c r="F40664"/>
    </row>
    <row r="40665" spans="1:6" x14ac:dyDescent="0.25">
      <c r="A40665"/>
      <c r="B40665"/>
      <c r="C40665"/>
      <c r="E40665"/>
      <c r="F40665"/>
    </row>
    <row r="40666" spans="1:6" x14ac:dyDescent="0.25">
      <c r="A40666"/>
      <c r="B40666"/>
      <c r="C40666"/>
      <c r="E40666"/>
      <c r="F40666"/>
    </row>
    <row r="40667" spans="1:6" x14ac:dyDescent="0.25">
      <c r="A40667"/>
      <c r="B40667"/>
      <c r="C40667"/>
      <c r="E40667"/>
      <c r="F40667"/>
    </row>
    <row r="40668" spans="1:6" x14ac:dyDescent="0.25">
      <c r="A40668"/>
      <c r="B40668"/>
      <c r="C40668"/>
      <c r="E40668"/>
      <c r="F40668"/>
    </row>
    <row r="40669" spans="1:6" x14ac:dyDescent="0.25">
      <c r="A40669"/>
      <c r="B40669"/>
      <c r="C40669"/>
      <c r="E40669"/>
      <c r="F40669"/>
    </row>
    <row r="40670" spans="1:6" x14ac:dyDescent="0.25">
      <c r="A40670"/>
      <c r="B40670"/>
      <c r="C40670"/>
      <c r="E40670"/>
      <c r="F40670"/>
    </row>
    <row r="40671" spans="1:6" x14ac:dyDescent="0.25">
      <c r="A40671"/>
      <c r="B40671"/>
      <c r="C40671"/>
      <c r="E40671"/>
      <c r="F40671"/>
    </row>
    <row r="40672" spans="1:6" x14ac:dyDescent="0.25">
      <c r="A40672"/>
      <c r="B40672"/>
      <c r="C40672"/>
      <c r="E40672"/>
      <c r="F40672"/>
    </row>
    <row r="40673" spans="1:6" x14ac:dyDescent="0.25">
      <c r="A40673"/>
      <c r="B40673"/>
      <c r="C40673"/>
      <c r="E40673"/>
      <c r="F40673"/>
    </row>
    <row r="40674" spans="1:6" x14ac:dyDescent="0.25">
      <c r="A40674"/>
      <c r="B40674"/>
      <c r="C40674"/>
      <c r="E40674"/>
      <c r="F40674"/>
    </row>
    <row r="40675" spans="1:6" x14ac:dyDescent="0.25">
      <c r="A40675"/>
      <c r="B40675"/>
      <c r="C40675"/>
      <c r="E40675"/>
      <c r="F40675"/>
    </row>
    <row r="40676" spans="1:6" x14ac:dyDescent="0.25">
      <c r="A40676"/>
      <c r="B40676"/>
      <c r="C40676"/>
      <c r="E40676"/>
      <c r="F40676"/>
    </row>
    <row r="40677" spans="1:6" x14ac:dyDescent="0.25">
      <c r="A40677"/>
      <c r="B40677"/>
      <c r="C40677"/>
      <c r="E40677"/>
      <c r="F40677"/>
    </row>
    <row r="40678" spans="1:6" x14ac:dyDescent="0.25">
      <c r="A40678"/>
      <c r="B40678"/>
      <c r="C40678"/>
      <c r="E40678"/>
      <c r="F40678"/>
    </row>
    <row r="40679" spans="1:6" x14ac:dyDescent="0.25">
      <c r="A40679"/>
      <c r="B40679"/>
      <c r="C40679"/>
      <c r="E40679"/>
      <c r="F40679"/>
    </row>
    <row r="40680" spans="1:6" x14ac:dyDescent="0.25">
      <c r="A40680"/>
      <c r="B40680"/>
      <c r="C40680"/>
      <c r="E40680"/>
      <c r="F40680"/>
    </row>
    <row r="40681" spans="1:6" x14ac:dyDescent="0.25">
      <c r="A40681"/>
      <c r="B40681"/>
      <c r="C40681"/>
      <c r="E40681"/>
      <c r="F40681"/>
    </row>
    <row r="40682" spans="1:6" x14ac:dyDescent="0.25">
      <c r="A40682"/>
      <c r="B40682"/>
      <c r="C40682"/>
      <c r="E40682"/>
      <c r="F40682"/>
    </row>
    <row r="40683" spans="1:6" x14ac:dyDescent="0.25">
      <c r="A40683"/>
      <c r="B40683"/>
      <c r="C40683"/>
      <c r="E40683"/>
      <c r="F40683"/>
    </row>
    <row r="40684" spans="1:6" x14ac:dyDescent="0.25">
      <c r="A40684"/>
      <c r="B40684"/>
      <c r="C40684"/>
      <c r="E40684"/>
      <c r="F40684"/>
    </row>
    <row r="40685" spans="1:6" x14ac:dyDescent="0.25">
      <c r="A40685"/>
      <c r="B40685"/>
      <c r="C40685"/>
      <c r="E40685"/>
      <c r="F40685"/>
    </row>
    <row r="40686" spans="1:6" x14ac:dyDescent="0.25">
      <c r="A40686"/>
      <c r="B40686"/>
      <c r="C40686"/>
      <c r="E40686"/>
      <c r="F40686"/>
    </row>
    <row r="40687" spans="1:6" x14ac:dyDescent="0.25">
      <c r="A40687"/>
      <c r="B40687"/>
      <c r="C40687"/>
      <c r="E40687"/>
      <c r="F40687"/>
    </row>
    <row r="40688" spans="1:6" x14ac:dyDescent="0.25">
      <c r="A40688"/>
      <c r="B40688"/>
      <c r="C40688"/>
      <c r="E40688"/>
      <c r="F40688"/>
    </row>
    <row r="40689" spans="1:6" x14ac:dyDescent="0.25">
      <c r="A40689"/>
      <c r="B40689"/>
      <c r="C40689"/>
      <c r="E40689"/>
      <c r="F40689"/>
    </row>
    <row r="40690" spans="1:6" x14ac:dyDescent="0.25">
      <c r="A40690"/>
      <c r="B40690"/>
      <c r="C40690"/>
      <c r="E40690"/>
      <c r="F40690"/>
    </row>
    <row r="40691" spans="1:6" x14ac:dyDescent="0.25">
      <c r="A40691"/>
      <c r="B40691"/>
      <c r="C40691"/>
      <c r="E40691"/>
      <c r="F40691"/>
    </row>
    <row r="40692" spans="1:6" x14ac:dyDescent="0.25">
      <c r="A40692"/>
      <c r="B40692"/>
      <c r="C40692"/>
      <c r="E40692"/>
      <c r="F40692"/>
    </row>
    <row r="40693" spans="1:6" x14ac:dyDescent="0.25">
      <c r="A40693"/>
      <c r="B40693"/>
      <c r="C40693"/>
      <c r="E40693"/>
      <c r="F40693"/>
    </row>
    <row r="40694" spans="1:6" x14ac:dyDescent="0.25">
      <c r="A40694"/>
      <c r="B40694"/>
      <c r="C40694"/>
      <c r="E40694"/>
      <c r="F40694"/>
    </row>
    <row r="40695" spans="1:6" x14ac:dyDescent="0.25">
      <c r="A40695"/>
      <c r="B40695"/>
      <c r="C40695"/>
      <c r="E40695"/>
      <c r="F40695"/>
    </row>
    <row r="40696" spans="1:6" x14ac:dyDescent="0.25">
      <c r="A40696"/>
      <c r="B40696"/>
      <c r="C40696"/>
      <c r="E40696"/>
      <c r="F40696"/>
    </row>
    <row r="40697" spans="1:6" x14ac:dyDescent="0.25">
      <c r="A40697"/>
      <c r="B40697"/>
      <c r="C40697"/>
      <c r="E40697"/>
      <c r="F40697"/>
    </row>
    <row r="40698" spans="1:6" x14ac:dyDescent="0.25">
      <c r="A40698"/>
      <c r="B40698"/>
      <c r="C40698"/>
      <c r="E40698"/>
      <c r="F40698"/>
    </row>
    <row r="40699" spans="1:6" x14ac:dyDescent="0.25">
      <c r="A40699"/>
      <c r="B40699"/>
      <c r="C40699"/>
      <c r="E40699"/>
      <c r="F40699"/>
    </row>
    <row r="40700" spans="1:6" x14ac:dyDescent="0.25">
      <c r="A40700"/>
      <c r="B40700"/>
      <c r="C40700"/>
      <c r="E40700"/>
      <c r="F40700"/>
    </row>
    <row r="40701" spans="1:6" x14ac:dyDescent="0.25">
      <c r="A40701"/>
      <c r="B40701"/>
      <c r="C40701"/>
      <c r="E40701"/>
      <c r="F40701"/>
    </row>
    <row r="40702" spans="1:6" x14ac:dyDescent="0.25">
      <c r="A40702"/>
      <c r="B40702"/>
      <c r="C40702"/>
      <c r="E40702"/>
      <c r="F40702"/>
    </row>
    <row r="40703" spans="1:6" x14ac:dyDescent="0.25">
      <c r="A40703"/>
      <c r="B40703"/>
      <c r="C40703"/>
      <c r="E40703"/>
      <c r="F40703"/>
    </row>
    <row r="40704" spans="1:6" x14ac:dyDescent="0.25">
      <c r="A40704"/>
      <c r="B40704"/>
      <c r="C40704"/>
      <c r="E40704"/>
      <c r="F40704"/>
    </row>
    <row r="40705" spans="1:6" x14ac:dyDescent="0.25">
      <c r="A40705"/>
      <c r="B40705"/>
      <c r="C40705"/>
      <c r="E40705"/>
      <c r="F40705"/>
    </row>
    <row r="40706" spans="1:6" x14ac:dyDescent="0.25">
      <c r="A40706"/>
      <c r="B40706"/>
      <c r="C40706"/>
      <c r="E40706"/>
      <c r="F40706"/>
    </row>
    <row r="40707" spans="1:6" x14ac:dyDescent="0.25">
      <c r="A40707"/>
      <c r="B40707"/>
      <c r="C40707"/>
      <c r="E40707"/>
      <c r="F40707"/>
    </row>
    <row r="40708" spans="1:6" x14ac:dyDescent="0.25">
      <c r="A40708"/>
      <c r="B40708"/>
      <c r="C40708"/>
      <c r="E40708"/>
      <c r="F40708"/>
    </row>
    <row r="40709" spans="1:6" x14ac:dyDescent="0.25">
      <c r="A40709"/>
      <c r="B40709"/>
      <c r="C40709"/>
      <c r="E40709"/>
      <c r="F40709"/>
    </row>
    <row r="40710" spans="1:6" x14ac:dyDescent="0.25">
      <c r="A40710"/>
      <c r="B40710"/>
      <c r="C40710"/>
      <c r="E40710"/>
      <c r="F40710"/>
    </row>
    <row r="40711" spans="1:6" x14ac:dyDescent="0.25">
      <c r="A40711"/>
      <c r="B40711"/>
      <c r="C40711"/>
      <c r="E40711"/>
      <c r="F40711"/>
    </row>
    <row r="40712" spans="1:6" x14ac:dyDescent="0.25">
      <c r="A40712"/>
      <c r="B40712"/>
      <c r="C40712"/>
      <c r="E40712"/>
      <c r="F40712"/>
    </row>
    <row r="40713" spans="1:6" x14ac:dyDescent="0.25">
      <c r="A40713"/>
      <c r="B40713"/>
      <c r="C40713"/>
      <c r="E40713"/>
      <c r="F40713"/>
    </row>
    <row r="40714" spans="1:6" x14ac:dyDescent="0.25">
      <c r="A40714"/>
      <c r="B40714"/>
      <c r="C40714"/>
      <c r="E40714"/>
      <c r="F40714"/>
    </row>
    <row r="40715" spans="1:6" x14ac:dyDescent="0.25">
      <c r="A40715"/>
      <c r="B40715"/>
      <c r="C40715"/>
      <c r="E40715"/>
      <c r="F40715"/>
    </row>
    <row r="40716" spans="1:6" x14ac:dyDescent="0.25">
      <c r="A40716"/>
      <c r="B40716"/>
      <c r="C40716"/>
      <c r="E40716"/>
      <c r="F40716"/>
    </row>
    <row r="40717" spans="1:6" x14ac:dyDescent="0.25">
      <c r="A40717"/>
      <c r="B40717"/>
      <c r="C40717"/>
      <c r="E40717"/>
      <c r="F40717"/>
    </row>
    <row r="40718" spans="1:6" x14ac:dyDescent="0.25">
      <c r="A40718"/>
      <c r="B40718"/>
      <c r="C40718"/>
      <c r="E40718"/>
      <c r="F40718"/>
    </row>
    <row r="40719" spans="1:6" x14ac:dyDescent="0.25">
      <c r="A40719"/>
      <c r="B40719"/>
      <c r="C40719"/>
      <c r="E40719"/>
      <c r="F40719"/>
    </row>
    <row r="40720" spans="1:6" x14ac:dyDescent="0.25">
      <c r="A40720"/>
      <c r="B40720"/>
      <c r="C40720"/>
      <c r="E40720"/>
      <c r="F40720"/>
    </row>
    <row r="40721" spans="1:6" x14ac:dyDescent="0.25">
      <c r="A40721"/>
      <c r="B40721"/>
      <c r="C40721"/>
      <c r="E40721"/>
      <c r="F40721"/>
    </row>
    <row r="40722" spans="1:6" x14ac:dyDescent="0.25">
      <c r="A40722"/>
      <c r="B40722"/>
      <c r="C40722"/>
      <c r="E40722"/>
      <c r="F40722"/>
    </row>
    <row r="40723" spans="1:6" x14ac:dyDescent="0.25">
      <c r="A40723"/>
      <c r="B40723"/>
      <c r="C40723"/>
      <c r="E40723"/>
      <c r="F40723"/>
    </row>
    <row r="40724" spans="1:6" x14ac:dyDescent="0.25">
      <c r="A40724"/>
      <c r="B40724"/>
      <c r="C40724"/>
      <c r="E40724"/>
      <c r="F40724"/>
    </row>
    <row r="40725" spans="1:6" x14ac:dyDescent="0.25">
      <c r="A40725"/>
      <c r="B40725"/>
      <c r="C40725"/>
      <c r="E40725"/>
      <c r="F40725"/>
    </row>
    <row r="40726" spans="1:6" x14ac:dyDescent="0.25">
      <c r="A40726"/>
      <c r="B40726"/>
      <c r="C40726"/>
      <c r="E40726"/>
      <c r="F40726"/>
    </row>
    <row r="40727" spans="1:6" x14ac:dyDescent="0.25">
      <c r="A40727"/>
      <c r="B40727"/>
      <c r="C40727"/>
      <c r="E40727"/>
      <c r="F40727"/>
    </row>
    <row r="40728" spans="1:6" x14ac:dyDescent="0.25">
      <c r="A40728"/>
      <c r="B40728"/>
      <c r="C40728"/>
      <c r="E40728"/>
      <c r="F40728"/>
    </row>
    <row r="40729" spans="1:6" x14ac:dyDescent="0.25">
      <c r="A40729"/>
      <c r="B40729"/>
      <c r="C40729"/>
      <c r="E40729"/>
      <c r="F40729"/>
    </row>
    <row r="40730" spans="1:6" x14ac:dyDescent="0.25">
      <c r="A40730"/>
      <c r="B40730"/>
      <c r="C40730"/>
      <c r="E40730"/>
      <c r="F40730"/>
    </row>
    <row r="40731" spans="1:6" x14ac:dyDescent="0.25">
      <c r="A40731"/>
      <c r="B40731"/>
      <c r="C40731"/>
      <c r="E40731"/>
      <c r="F40731"/>
    </row>
    <row r="40732" spans="1:6" x14ac:dyDescent="0.25">
      <c r="A40732"/>
      <c r="B40732"/>
      <c r="C40732"/>
      <c r="E40732"/>
      <c r="F40732"/>
    </row>
    <row r="40733" spans="1:6" x14ac:dyDescent="0.25">
      <c r="A40733"/>
      <c r="B40733"/>
      <c r="C40733"/>
      <c r="E40733"/>
      <c r="F40733"/>
    </row>
    <row r="40734" spans="1:6" x14ac:dyDescent="0.25">
      <c r="A40734"/>
      <c r="B40734"/>
      <c r="C40734"/>
      <c r="E40734"/>
      <c r="F40734"/>
    </row>
    <row r="40735" spans="1:6" x14ac:dyDescent="0.25">
      <c r="A40735"/>
      <c r="B40735"/>
      <c r="C40735"/>
      <c r="E40735"/>
      <c r="F40735"/>
    </row>
    <row r="40736" spans="1:6" x14ac:dyDescent="0.25">
      <c r="A40736"/>
      <c r="B40736"/>
      <c r="C40736"/>
      <c r="E40736"/>
      <c r="F40736"/>
    </row>
    <row r="40737" spans="1:6" x14ac:dyDescent="0.25">
      <c r="A40737"/>
      <c r="B40737"/>
      <c r="C40737"/>
      <c r="E40737"/>
      <c r="F40737"/>
    </row>
    <row r="40738" spans="1:6" x14ac:dyDescent="0.25">
      <c r="A40738"/>
      <c r="B40738"/>
      <c r="C40738"/>
      <c r="E40738"/>
      <c r="F40738"/>
    </row>
    <row r="40739" spans="1:6" x14ac:dyDescent="0.25">
      <c r="A40739"/>
      <c r="B40739"/>
      <c r="C40739"/>
      <c r="E40739"/>
      <c r="F40739"/>
    </row>
    <row r="40740" spans="1:6" x14ac:dyDescent="0.25">
      <c r="A40740"/>
      <c r="B40740"/>
      <c r="C40740"/>
      <c r="E40740"/>
      <c r="F40740"/>
    </row>
    <row r="40741" spans="1:6" x14ac:dyDescent="0.25">
      <c r="A40741"/>
      <c r="B40741"/>
      <c r="C40741"/>
      <c r="E40741"/>
      <c r="F40741"/>
    </row>
    <row r="40742" spans="1:6" x14ac:dyDescent="0.25">
      <c r="A40742"/>
      <c r="B40742"/>
      <c r="C40742"/>
      <c r="E40742"/>
      <c r="F40742"/>
    </row>
    <row r="40743" spans="1:6" x14ac:dyDescent="0.25">
      <c r="A40743"/>
      <c r="B40743"/>
      <c r="C40743"/>
      <c r="E40743"/>
      <c r="F40743"/>
    </row>
    <row r="40744" spans="1:6" x14ac:dyDescent="0.25">
      <c r="A40744"/>
      <c r="B40744"/>
      <c r="C40744"/>
      <c r="E40744"/>
      <c r="F40744"/>
    </row>
    <row r="40745" spans="1:6" x14ac:dyDescent="0.25">
      <c r="A40745"/>
      <c r="B40745"/>
      <c r="C40745"/>
      <c r="E40745"/>
      <c r="F40745"/>
    </row>
    <row r="40746" spans="1:6" x14ac:dyDescent="0.25">
      <c r="A40746"/>
      <c r="B40746"/>
      <c r="C40746"/>
      <c r="E40746"/>
      <c r="F40746"/>
    </row>
    <row r="40747" spans="1:6" x14ac:dyDescent="0.25">
      <c r="A40747"/>
      <c r="B40747"/>
      <c r="C40747"/>
      <c r="E40747"/>
      <c r="F40747"/>
    </row>
    <row r="40748" spans="1:6" x14ac:dyDescent="0.25">
      <c r="A40748"/>
      <c r="B40748"/>
      <c r="C40748"/>
      <c r="E40748"/>
      <c r="F40748"/>
    </row>
    <row r="40749" spans="1:6" x14ac:dyDescent="0.25">
      <c r="A40749"/>
      <c r="B40749"/>
      <c r="C40749"/>
      <c r="E40749"/>
      <c r="F40749"/>
    </row>
    <row r="40750" spans="1:6" x14ac:dyDescent="0.25">
      <c r="A40750"/>
      <c r="B40750"/>
      <c r="C40750"/>
      <c r="E40750"/>
      <c r="F40750"/>
    </row>
    <row r="40751" spans="1:6" x14ac:dyDescent="0.25">
      <c r="A40751"/>
      <c r="B40751"/>
      <c r="C40751"/>
      <c r="E40751"/>
      <c r="F40751"/>
    </row>
    <row r="40752" spans="1:6" x14ac:dyDescent="0.25">
      <c r="A40752"/>
      <c r="B40752"/>
      <c r="C40752"/>
      <c r="E40752"/>
      <c r="F40752"/>
    </row>
    <row r="40753" spans="1:6" x14ac:dyDescent="0.25">
      <c r="A40753"/>
      <c r="B40753"/>
      <c r="C40753"/>
      <c r="E40753"/>
      <c r="F40753"/>
    </row>
    <row r="40754" spans="1:6" x14ac:dyDescent="0.25">
      <c r="A40754"/>
      <c r="B40754"/>
      <c r="C40754"/>
      <c r="E40754"/>
      <c r="F40754"/>
    </row>
    <row r="40755" spans="1:6" x14ac:dyDescent="0.25">
      <c r="A40755"/>
      <c r="B40755"/>
      <c r="C40755"/>
      <c r="E40755"/>
      <c r="F40755"/>
    </row>
    <row r="40756" spans="1:6" x14ac:dyDescent="0.25">
      <c r="A40756"/>
      <c r="B40756"/>
      <c r="C40756"/>
      <c r="E40756"/>
      <c r="F40756"/>
    </row>
    <row r="40757" spans="1:6" x14ac:dyDescent="0.25">
      <c r="A40757"/>
      <c r="B40757"/>
      <c r="C40757"/>
      <c r="E40757"/>
      <c r="F40757"/>
    </row>
    <row r="40758" spans="1:6" x14ac:dyDescent="0.25">
      <c r="A40758"/>
      <c r="B40758"/>
      <c r="C40758"/>
      <c r="E40758"/>
      <c r="F40758"/>
    </row>
    <row r="40759" spans="1:6" x14ac:dyDescent="0.25">
      <c r="A40759"/>
      <c r="B40759"/>
      <c r="C40759"/>
      <c r="E40759"/>
      <c r="F40759"/>
    </row>
    <row r="40760" spans="1:6" x14ac:dyDescent="0.25">
      <c r="A40760"/>
      <c r="B40760"/>
      <c r="C40760"/>
      <c r="E40760"/>
      <c r="F40760"/>
    </row>
    <row r="40761" spans="1:6" x14ac:dyDescent="0.25">
      <c r="A40761"/>
      <c r="B40761"/>
      <c r="C40761"/>
      <c r="E40761"/>
      <c r="F40761"/>
    </row>
    <row r="40762" spans="1:6" x14ac:dyDescent="0.25">
      <c r="A40762"/>
      <c r="B40762"/>
      <c r="C40762"/>
      <c r="E40762"/>
      <c r="F40762"/>
    </row>
    <row r="40763" spans="1:6" x14ac:dyDescent="0.25">
      <c r="A40763"/>
      <c r="B40763"/>
      <c r="C40763"/>
      <c r="E40763"/>
      <c r="F40763"/>
    </row>
    <row r="40764" spans="1:6" x14ac:dyDescent="0.25">
      <c r="A40764"/>
      <c r="B40764"/>
      <c r="C40764"/>
      <c r="E40764"/>
      <c r="F40764"/>
    </row>
    <row r="40765" spans="1:6" x14ac:dyDescent="0.25">
      <c r="A40765"/>
      <c r="B40765"/>
      <c r="C40765"/>
      <c r="E40765"/>
      <c r="F40765"/>
    </row>
    <row r="40766" spans="1:6" x14ac:dyDescent="0.25">
      <c r="A40766"/>
      <c r="B40766"/>
      <c r="C40766"/>
      <c r="E40766"/>
      <c r="F40766"/>
    </row>
    <row r="40767" spans="1:6" x14ac:dyDescent="0.25">
      <c r="A40767"/>
      <c r="B40767"/>
      <c r="C40767"/>
      <c r="E40767"/>
      <c r="F40767"/>
    </row>
    <row r="40768" spans="1:6" x14ac:dyDescent="0.25">
      <c r="A40768"/>
      <c r="B40768"/>
      <c r="C40768"/>
      <c r="E40768"/>
      <c r="F40768"/>
    </row>
    <row r="40769" spans="1:6" x14ac:dyDescent="0.25">
      <c r="A40769"/>
      <c r="B40769"/>
      <c r="C40769"/>
      <c r="E40769"/>
      <c r="F40769"/>
    </row>
    <row r="40770" spans="1:6" x14ac:dyDescent="0.25">
      <c r="A40770"/>
      <c r="B40770"/>
      <c r="C40770"/>
      <c r="E40770"/>
      <c r="F40770"/>
    </row>
    <row r="40771" spans="1:6" x14ac:dyDescent="0.25">
      <c r="A40771"/>
      <c r="B40771"/>
      <c r="C40771"/>
      <c r="E40771"/>
      <c r="F40771"/>
    </row>
    <row r="40772" spans="1:6" x14ac:dyDescent="0.25">
      <c r="A40772"/>
      <c r="B40772"/>
      <c r="C40772"/>
      <c r="E40772"/>
      <c r="F40772"/>
    </row>
    <row r="40773" spans="1:6" x14ac:dyDescent="0.25">
      <c r="A40773"/>
      <c r="B40773"/>
      <c r="C40773"/>
      <c r="E40773"/>
      <c r="F40773"/>
    </row>
    <row r="40774" spans="1:6" x14ac:dyDescent="0.25">
      <c r="A40774"/>
      <c r="B40774"/>
      <c r="C40774"/>
      <c r="E40774"/>
      <c r="F40774"/>
    </row>
    <row r="40775" spans="1:6" x14ac:dyDescent="0.25">
      <c r="A40775"/>
      <c r="B40775"/>
      <c r="C40775"/>
      <c r="E40775"/>
      <c r="F40775"/>
    </row>
    <row r="40776" spans="1:6" x14ac:dyDescent="0.25">
      <c r="A40776"/>
      <c r="B40776"/>
      <c r="C40776"/>
      <c r="E40776"/>
      <c r="F40776"/>
    </row>
    <row r="40777" spans="1:6" x14ac:dyDescent="0.25">
      <c r="A40777"/>
      <c r="B40777"/>
      <c r="C40777"/>
      <c r="E40777"/>
      <c r="F40777"/>
    </row>
    <row r="40778" spans="1:6" x14ac:dyDescent="0.25">
      <c r="A40778"/>
      <c r="B40778"/>
      <c r="C40778"/>
      <c r="E40778"/>
      <c r="F40778"/>
    </row>
    <row r="40779" spans="1:6" x14ac:dyDescent="0.25">
      <c r="A40779"/>
      <c r="B40779"/>
      <c r="C40779"/>
      <c r="E40779"/>
      <c r="F40779"/>
    </row>
    <row r="40780" spans="1:6" x14ac:dyDescent="0.25">
      <c r="A40780"/>
      <c r="B40780"/>
      <c r="C40780"/>
      <c r="E40780"/>
      <c r="F40780"/>
    </row>
    <row r="40781" spans="1:6" x14ac:dyDescent="0.25">
      <c r="A40781"/>
      <c r="B40781"/>
      <c r="C40781"/>
      <c r="E40781"/>
      <c r="F40781"/>
    </row>
    <row r="40782" spans="1:6" x14ac:dyDescent="0.25">
      <c r="A40782"/>
      <c r="B40782"/>
      <c r="C40782"/>
      <c r="E40782"/>
      <c r="F40782"/>
    </row>
    <row r="40783" spans="1:6" x14ac:dyDescent="0.25">
      <c r="A40783"/>
      <c r="B40783"/>
      <c r="C40783"/>
      <c r="E40783"/>
      <c r="F40783"/>
    </row>
    <row r="40784" spans="1:6" x14ac:dyDescent="0.25">
      <c r="A40784"/>
      <c r="B40784"/>
      <c r="C40784"/>
      <c r="E40784"/>
      <c r="F40784"/>
    </row>
    <row r="40785" spans="1:6" x14ac:dyDescent="0.25">
      <c r="A40785"/>
      <c r="B40785"/>
      <c r="C40785"/>
      <c r="E40785"/>
      <c r="F40785"/>
    </row>
    <row r="40786" spans="1:6" x14ac:dyDescent="0.25">
      <c r="A40786"/>
      <c r="B40786"/>
      <c r="C40786"/>
      <c r="E40786"/>
      <c r="F40786"/>
    </row>
    <row r="40787" spans="1:6" x14ac:dyDescent="0.25">
      <c r="A40787"/>
      <c r="B40787"/>
      <c r="C40787"/>
      <c r="E40787"/>
      <c r="F40787"/>
    </row>
    <row r="40788" spans="1:6" x14ac:dyDescent="0.25">
      <c r="A40788"/>
      <c r="B40788"/>
      <c r="C40788"/>
      <c r="E40788"/>
      <c r="F40788"/>
    </row>
    <row r="40789" spans="1:6" x14ac:dyDescent="0.25">
      <c r="A40789"/>
      <c r="B40789"/>
      <c r="C40789"/>
      <c r="E40789"/>
      <c r="F40789"/>
    </row>
    <row r="40790" spans="1:6" x14ac:dyDescent="0.25">
      <c r="A40790"/>
      <c r="B40790"/>
      <c r="C40790"/>
      <c r="E40790"/>
      <c r="F40790"/>
    </row>
    <row r="40791" spans="1:6" x14ac:dyDescent="0.25">
      <c r="A40791"/>
      <c r="B40791"/>
      <c r="C40791"/>
      <c r="E40791"/>
      <c r="F40791"/>
    </row>
    <row r="40792" spans="1:6" x14ac:dyDescent="0.25">
      <c r="A40792"/>
      <c r="B40792"/>
      <c r="C40792"/>
      <c r="E40792"/>
      <c r="F40792"/>
    </row>
    <row r="40793" spans="1:6" x14ac:dyDescent="0.25">
      <c r="A40793"/>
      <c r="B40793"/>
      <c r="C40793"/>
      <c r="E40793"/>
      <c r="F40793"/>
    </row>
    <row r="40794" spans="1:6" x14ac:dyDescent="0.25">
      <c r="A40794"/>
      <c r="B40794"/>
      <c r="C40794"/>
      <c r="E40794"/>
      <c r="F40794"/>
    </row>
    <row r="40795" spans="1:6" x14ac:dyDescent="0.25">
      <c r="A40795"/>
      <c r="B40795"/>
      <c r="C40795"/>
      <c r="E40795"/>
      <c r="F40795"/>
    </row>
    <row r="40796" spans="1:6" x14ac:dyDescent="0.25">
      <c r="A40796"/>
      <c r="B40796"/>
      <c r="C40796"/>
      <c r="E40796"/>
      <c r="F40796"/>
    </row>
    <row r="40797" spans="1:6" x14ac:dyDescent="0.25">
      <c r="A40797"/>
      <c r="B40797"/>
      <c r="C40797"/>
      <c r="E40797"/>
      <c r="F40797"/>
    </row>
    <row r="40798" spans="1:6" x14ac:dyDescent="0.25">
      <c r="A40798"/>
      <c r="B40798"/>
      <c r="C40798"/>
      <c r="E40798"/>
      <c r="F40798"/>
    </row>
    <row r="40799" spans="1:6" x14ac:dyDescent="0.25">
      <c r="A40799"/>
      <c r="B40799"/>
      <c r="C40799"/>
      <c r="E40799"/>
      <c r="F40799"/>
    </row>
    <row r="40800" spans="1:6" x14ac:dyDescent="0.25">
      <c r="A40800"/>
      <c r="B40800"/>
      <c r="C40800"/>
      <c r="E40800"/>
      <c r="F40800"/>
    </row>
    <row r="40801" spans="1:6" x14ac:dyDescent="0.25">
      <c r="A40801"/>
      <c r="B40801"/>
      <c r="C40801"/>
      <c r="E40801"/>
      <c r="F40801"/>
    </row>
    <row r="40802" spans="1:6" x14ac:dyDescent="0.25">
      <c r="A40802"/>
      <c r="B40802"/>
      <c r="C40802"/>
      <c r="E40802"/>
      <c r="F40802"/>
    </row>
    <row r="40803" spans="1:6" x14ac:dyDescent="0.25">
      <c r="A40803"/>
      <c r="B40803"/>
      <c r="C40803"/>
      <c r="E40803"/>
      <c r="F40803"/>
    </row>
    <row r="40804" spans="1:6" x14ac:dyDescent="0.25">
      <c r="A40804"/>
      <c r="B40804"/>
      <c r="C40804"/>
      <c r="E40804"/>
      <c r="F40804"/>
    </row>
    <row r="40805" spans="1:6" x14ac:dyDescent="0.25">
      <c r="A40805"/>
      <c r="B40805"/>
      <c r="C40805"/>
      <c r="E40805"/>
      <c r="F40805"/>
    </row>
    <row r="40806" spans="1:6" x14ac:dyDescent="0.25">
      <c r="A40806"/>
      <c r="B40806"/>
      <c r="C40806"/>
      <c r="E40806"/>
      <c r="F40806"/>
    </row>
    <row r="40807" spans="1:6" x14ac:dyDescent="0.25">
      <c r="A40807"/>
      <c r="B40807"/>
      <c r="C40807"/>
      <c r="E40807"/>
      <c r="F40807"/>
    </row>
    <row r="40808" spans="1:6" x14ac:dyDescent="0.25">
      <c r="A40808"/>
      <c r="B40808"/>
      <c r="C40808"/>
      <c r="E40808"/>
      <c r="F40808"/>
    </row>
    <row r="40809" spans="1:6" x14ac:dyDescent="0.25">
      <c r="A40809"/>
      <c r="B40809"/>
      <c r="C40809"/>
      <c r="E40809"/>
      <c r="F40809"/>
    </row>
    <row r="40810" spans="1:6" x14ac:dyDescent="0.25">
      <c r="A40810"/>
      <c r="B40810"/>
      <c r="C40810"/>
      <c r="E40810"/>
      <c r="F40810"/>
    </row>
    <row r="40811" spans="1:6" x14ac:dyDescent="0.25">
      <c r="A40811"/>
      <c r="B40811"/>
      <c r="C40811"/>
      <c r="E40811"/>
      <c r="F40811"/>
    </row>
    <row r="40812" spans="1:6" x14ac:dyDescent="0.25">
      <c r="A40812"/>
      <c r="B40812"/>
      <c r="C40812"/>
      <c r="E40812"/>
      <c r="F40812"/>
    </row>
    <row r="40813" spans="1:6" x14ac:dyDescent="0.25">
      <c r="A40813"/>
      <c r="B40813"/>
      <c r="C40813"/>
      <c r="E40813"/>
      <c r="F40813"/>
    </row>
    <row r="40814" spans="1:6" x14ac:dyDescent="0.25">
      <c r="A40814"/>
      <c r="B40814"/>
      <c r="C40814"/>
      <c r="E40814"/>
      <c r="F40814"/>
    </row>
    <row r="40815" spans="1:6" x14ac:dyDescent="0.25">
      <c r="A40815"/>
      <c r="B40815"/>
      <c r="C40815"/>
      <c r="E40815"/>
      <c r="F40815"/>
    </row>
    <row r="40816" spans="1:6" x14ac:dyDescent="0.25">
      <c r="A40816"/>
      <c r="B40816"/>
      <c r="C40816"/>
      <c r="E40816"/>
      <c r="F40816"/>
    </row>
    <row r="40817" spans="1:6" x14ac:dyDescent="0.25">
      <c r="A40817"/>
      <c r="B40817"/>
      <c r="C40817"/>
      <c r="E40817"/>
      <c r="F40817"/>
    </row>
    <row r="40818" spans="1:6" x14ac:dyDescent="0.25">
      <c r="A40818"/>
      <c r="B40818"/>
      <c r="C40818"/>
      <c r="E40818"/>
      <c r="F40818"/>
    </row>
    <row r="40819" spans="1:6" x14ac:dyDescent="0.25">
      <c r="A40819"/>
      <c r="B40819"/>
      <c r="C40819"/>
      <c r="E40819"/>
      <c r="F40819"/>
    </row>
    <row r="40820" spans="1:6" x14ac:dyDescent="0.25">
      <c r="A40820"/>
      <c r="B40820"/>
      <c r="C40820"/>
      <c r="E40820"/>
      <c r="F40820"/>
    </row>
    <row r="40821" spans="1:6" x14ac:dyDescent="0.25">
      <c r="A40821"/>
      <c r="B40821"/>
      <c r="C40821"/>
      <c r="E40821"/>
      <c r="F40821"/>
    </row>
    <row r="40822" spans="1:6" x14ac:dyDescent="0.25">
      <c r="A40822"/>
      <c r="B40822"/>
      <c r="C40822"/>
      <c r="E40822"/>
      <c r="F40822"/>
    </row>
    <row r="40823" spans="1:6" x14ac:dyDescent="0.25">
      <c r="A40823"/>
      <c r="B40823"/>
      <c r="C40823"/>
      <c r="E40823"/>
      <c r="F40823"/>
    </row>
    <row r="40824" spans="1:6" x14ac:dyDescent="0.25">
      <c r="A40824"/>
      <c r="B40824"/>
      <c r="C40824"/>
      <c r="E40824"/>
      <c r="F40824"/>
    </row>
    <row r="40825" spans="1:6" x14ac:dyDescent="0.25">
      <c r="A40825"/>
      <c r="B40825"/>
      <c r="C40825"/>
      <c r="E40825"/>
      <c r="F40825"/>
    </row>
    <row r="40826" spans="1:6" x14ac:dyDescent="0.25">
      <c r="A40826"/>
      <c r="B40826"/>
      <c r="C40826"/>
      <c r="E40826"/>
      <c r="F40826"/>
    </row>
    <row r="40827" spans="1:6" x14ac:dyDescent="0.25">
      <c r="A40827"/>
      <c r="B40827"/>
      <c r="C40827"/>
      <c r="E40827"/>
      <c r="F40827"/>
    </row>
    <row r="40828" spans="1:6" x14ac:dyDescent="0.25">
      <c r="A40828"/>
      <c r="B40828"/>
      <c r="C40828"/>
      <c r="E40828"/>
      <c r="F40828"/>
    </row>
    <row r="40829" spans="1:6" x14ac:dyDescent="0.25">
      <c r="A40829"/>
      <c r="B40829"/>
      <c r="C40829"/>
      <c r="E40829"/>
      <c r="F40829"/>
    </row>
    <row r="40830" spans="1:6" x14ac:dyDescent="0.25">
      <c r="A40830"/>
      <c r="B40830"/>
      <c r="C40830"/>
      <c r="E40830"/>
      <c r="F40830"/>
    </row>
    <row r="40831" spans="1:6" x14ac:dyDescent="0.25">
      <c r="A40831"/>
      <c r="B40831"/>
      <c r="C40831"/>
      <c r="E40831"/>
      <c r="F40831"/>
    </row>
    <row r="40832" spans="1:6" x14ac:dyDescent="0.25">
      <c r="A40832"/>
      <c r="B40832"/>
      <c r="C40832"/>
      <c r="E40832"/>
      <c r="F40832"/>
    </row>
    <row r="40833" spans="1:6" x14ac:dyDescent="0.25">
      <c r="A40833"/>
      <c r="B40833"/>
      <c r="C40833"/>
      <c r="E40833"/>
      <c r="F40833"/>
    </row>
    <row r="40834" spans="1:6" x14ac:dyDescent="0.25">
      <c r="A40834"/>
      <c r="B40834"/>
      <c r="C40834"/>
      <c r="E40834"/>
      <c r="F40834"/>
    </row>
    <row r="40835" spans="1:6" x14ac:dyDescent="0.25">
      <c r="A40835"/>
      <c r="B40835"/>
      <c r="C40835"/>
      <c r="E40835"/>
      <c r="F40835"/>
    </row>
    <row r="40836" spans="1:6" x14ac:dyDescent="0.25">
      <c r="A40836"/>
      <c r="B40836"/>
      <c r="C40836"/>
      <c r="E40836"/>
      <c r="F40836"/>
    </row>
    <row r="40837" spans="1:6" x14ac:dyDescent="0.25">
      <c r="A40837"/>
      <c r="B40837"/>
      <c r="C40837"/>
      <c r="E40837"/>
      <c r="F40837"/>
    </row>
    <row r="40838" spans="1:6" x14ac:dyDescent="0.25">
      <c r="A40838"/>
      <c r="B40838"/>
      <c r="C40838"/>
      <c r="E40838"/>
      <c r="F40838"/>
    </row>
    <row r="40839" spans="1:6" x14ac:dyDescent="0.25">
      <c r="A40839"/>
      <c r="B40839"/>
      <c r="C40839"/>
      <c r="E40839"/>
      <c r="F40839"/>
    </row>
    <row r="40840" spans="1:6" x14ac:dyDescent="0.25">
      <c r="A40840"/>
      <c r="B40840"/>
      <c r="C40840"/>
      <c r="E40840"/>
      <c r="F40840"/>
    </row>
    <row r="40841" spans="1:6" x14ac:dyDescent="0.25">
      <c r="A40841"/>
      <c r="B40841"/>
      <c r="C40841"/>
      <c r="E40841"/>
      <c r="F40841"/>
    </row>
    <row r="40842" spans="1:6" x14ac:dyDescent="0.25">
      <c r="A40842"/>
      <c r="B40842"/>
      <c r="C40842"/>
      <c r="E40842"/>
      <c r="F40842"/>
    </row>
    <row r="40843" spans="1:6" x14ac:dyDescent="0.25">
      <c r="A40843"/>
      <c r="B40843"/>
      <c r="C40843"/>
      <c r="E40843"/>
      <c r="F40843"/>
    </row>
    <row r="40844" spans="1:6" x14ac:dyDescent="0.25">
      <c r="A40844"/>
      <c r="B40844"/>
      <c r="C40844"/>
      <c r="E40844"/>
      <c r="F40844"/>
    </row>
    <row r="40845" spans="1:6" x14ac:dyDescent="0.25">
      <c r="A40845"/>
      <c r="B40845"/>
      <c r="C40845"/>
      <c r="E40845"/>
      <c r="F40845"/>
    </row>
    <row r="40846" spans="1:6" x14ac:dyDescent="0.25">
      <c r="A40846"/>
      <c r="B40846"/>
      <c r="C40846"/>
      <c r="E40846"/>
      <c r="F40846"/>
    </row>
    <row r="40847" spans="1:6" x14ac:dyDescent="0.25">
      <c r="A40847"/>
      <c r="B40847"/>
      <c r="C40847"/>
      <c r="E40847"/>
      <c r="F40847"/>
    </row>
    <row r="40848" spans="1:6" x14ac:dyDescent="0.25">
      <c r="A40848"/>
      <c r="B40848"/>
      <c r="C40848"/>
      <c r="E40848"/>
      <c r="F40848"/>
    </row>
    <row r="40849" spans="1:6" x14ac:dyDescent="0.25">
      <c r="A40849"/>
      <c r="B40849"/>
      <c r="C40849"/>
      <c r="E40849"/>
      <c r="F40849"/>
    </row>
    <row r="40850" spans="1:6" x14ac:dyDescent="0.25">
      <c r="A40850"/>
      <c r="B40850"/>
      <c r="C40850"/>
      <c r="E40850"/>
      <c r="F40850"/>
    </row>
    <row r="40851" spans="1:6" x14ac:dyDescent="0.25">
      <c r="A40851"/>
      <c r="B40851"/>
      <c r="C40851"/>
      <c r="E40851"/>
      <c r="F40851"/>
    </row>
    <row r="40852" spans="1:6" x14ac:dyDescent="0.25">
      <c r="A40852"/>
      <c r="B40852"/>
      <c r="C40852"/>
      <c r="E40852"/>
      <c r="F40852"/>
    </row>
    <row r="40853" spans="1:6" x14ac:dyDescent="0.25">
      <c r="A40853"/>
      <c r="B40853"/>
      <c r="C40853"/>
      <c r="E40853"/>
      <c r="F40853"/>
    </row>
    <row r="40854" spans="1:6" x14ac:dyDescent="0.25">
      <c r="A40854"/>
      <c r="B40854"/>
      <c r="C40854"/>
      <c r="E40854"/>
      <c r="F40854"/>
    </row>
    <row r="40855" spans="1:6" x14ac:dyDescent="0.25">
      <c r="A40855"/>
      <c r="B40855"/>
      <c r="C40855"/>
      <c r="E40855"/>
      <c r="F40855"/>
    </row>
    <row r="40856" spans="1:6" x14ac:dyDescent="0.25">
      <c r="A40856"/>
      <c r="B40856"/>
      <c r="C40856"/>
      <c r="E40856"/>
      <c r="F40856"/>
    </row>
    <row r="40857" spans="1:6" x14ac:dyDescent="0.25">
      <c r="A40857"/>
      <c r="B40857"/>
      <c r="C40857"/>
      <c r="E40857"/>
      <c r="F40857"/>
    </row>
    <row r="40858" spans="1:6" x14ac:dyDescent="0.25">
      <c r="A40858"/>
      <c r="B40858"/>
      <c r="C40858"/>
      <c r="E40858"/>
      <c r="F40858"/>
    </row>
    <row r="40859" spans="1:6" x14ac:dyDescent="0.25">
      <c r="A40859"/>
      <c r="B40859"/>
      <c r="C40859"/>
      <c r="E40859"/>
      <c r="F40859"/>
    </row>
    <row r="40860" spans="1:6" x14ac:dyDescent="0.25">
      <c r="A40860"/>
      <c r="B40860"/>
      <c r="C40860"/>
      <c r="E40860"/>
      <c r="F40860"/>
    </row>
    <row r="40861" spans="1:6" x14ac:dyDescent="0.25">
      <c r="A40861"/>
      <c r="B40861"/>
      <c r="C40861"/>
      <c r="E40861"/>
      <c r="F40861"/>
    </row>
    <row r="40862" spans="1:6" x14ac:dyDescent="0.25">
      <c r="A40862"/>
      <c r="B40862"/>
      <c r="C40862"/>
      <c r="E40862"/>
      <c r="F40862"/>
    </row>
    <row r="40863" spans="1:6" x14ac:dyDescent="0.25">
      <c r="A40863"/>
      <c r="B40863"/>
      <c r="C40863"/>
      <c r="E40863"/>
      <c r="F40863"/>
    </row>
    <row r="40864" spans="1:6" x14ac:dyDescent="0.25">
      <c r="A40864"/>
      <c r="B40864"/>
      <c r="C40864"/>
      <c r="E40864"/>
      <c r="F40864"/>
    </row>
    <row r="40865" spans="1:6" x14ac:dyDescent="0.25">
      <c r="A40865"/>
      <c r="B40865"/>
      <c r="C40865"/>
      <c r="E40865"/>
      <c r="F40865"/>
    </row>
    <row r="40866" spans="1:6" x14ac:dyDescent="0.25">
      <c r="A40866"/>
      <c r="B40866"/>
      <c r="C40866"/>
      <c r="E40866"/>
      <c r="F40866"/>
    </row>
    <row r="40867" spans="1:6" x14ac:dyDescent="0.25">
      <c r="A40867"/>
      <c r="B40867"/>
      <c r="C40867"/>
      <c r="E40867"/>
      <c r="F40867"/>
    </row>
    <row r="40868" spans="1:6" x14ac:dyDescent="0.25">
      <c r="A40868"/>
      <c r="B40868"/>
      <c r="C40868"/>
      <c r="E40868"/>
      <c r="F40868"/>
    </row>
    <row r="40869" spans="1:6" x14ac:dyDescent="0.25">
      <c r="A40869"/>
      <c r="B40869"/>
      <c r="C40869"/>
      <c r="E40869"/>
      <c r="F40869"/>
    </row>
    <row r="40870" spans="1:6" x14ac:dyDescent="0.25">
      <c r="A40870"/>
      <c r="B40870"/>
      <c r="C40870"/>
      <c r="E40870"/>
      <c r="F40870"/>
    </row>
    <row r="40871" spans="1:6" x14ac:dyDescent="0.25">
      <c r="A40871"/>
      <c r="B40871"/>
      <c r="C40871"/>
      <c r="E40871"/>
      <c r="F40871"/>
    </row>
    <row r="40872" spans="1:6" x14ac:dyDescent="0.25">
      <c r="A40872"/>
      <c r="B40872"/>
      <c r="C40872"/>
      <c r="E40872"/>
      <c r="F40872"/>
    </row>
    <row r="40873" spans="1:6" x14ac:dyDescent="0.25">
      <c r="A40873"/>
      <c r="B40873"/>
      <c r="C40873"/>
      <c r="E40873"/>
      <c r="F40873"/>
    </row>
    <row r="40874" spans="1:6" x14ac:dyDescent="0.25">
      <c r="A40874"/>
      <c r="B40874"/>
      <c r="C40874"/>
      <c r="E40874"/>
      <c r="F40874"/>
    </row>
    <row r="40875" spans="1:6" x14ac:dyDescent="0.25">
      <c r="A40875"/>
      <c r="B40875"/>
      <c r="C40875"/>
      <c r="E40875"/>
      <c r="F40875"/>
    </row>
    <row r="40876" spans="1:6" x14ac:dyDescent="0.25">
      <c r="A40876"/>
      <c r="B40876"/>
      <c r="C40876"/>
      <c r="E40876"/>
      <c r="F40876"/>
    </row>
    <row r="40877" spans="1:6" x14ac:dyDescent="0.25">
      <c r="A40877"/>
      <c r="B40877"/>
      <c r="C40877"/>
      <c r="E40877"/>
      <c r="F40877"/>
    </row>
    <row r="40878" spans="1:6" x14ac:dyDescent="0.25">
      <c r="A40878"/>
      <c r="B40878"/>
      <c r="C40878"/>
      <c r="E40878"/>
      <c r="F40878"/>
    </row>
    <row r="40879" spans="1:6" x14ac:dyDescent="0.25">
      <c r="A40879"/>
      <c r="B40879"/>
      <c r="C40879"/>
      <c r="E40879"/>
      <c r="F40879"/>
    </row>
    <row r="40880" spans="1:6" x14ac:dyDescent="0.25">
      <c r="A40880"/>
      <c r="B40880"/>
      <c r="C40880"/>
      <c r="E40880"/>
      <c r="F40880"/>
    </row>
    <row r="40881" spans="1:6" x14ac:dyDescent="0.25">
      <c r="A40881"/>
      <c r="B40881"/>
      <c r="C40881"/>
      <c r="E40881"/>
      <c r="F40881"/>
    </row>
    <row r="40882" spans="1:6" x14ac:dyDescent="0.25">
      <c r="A40882"/>
      <c r="B40882"/>
      <c r="C40882"/>
      <c r="E40882"/>
      <c r="F40882"/>
    </row>
    <row r="40883" spans="1:6" x14ac:dyDescent="0.25">
      <c r="A40883"/>
      <c r="B40883"/>
      <c r="C40883"/>
      <c r="E40883"/>
      <c r="F40883"/>
    </row>
    <row r="40884" spans="1:6" x14ac:dyDescent="0.25">
      <c r="A40884"/>
      <c r="B40884"/>
      <c r="C40884"/>
      <c r="E40884"/>
      <c r="F40884"/>
    </row>
    <row r="40885" spans="1:6" x14ac:dyDescent="0.25">
      <c r="A40885"/>
      <c r="B40885"/>
      <c r="C40885"/>
      <c r="E40885"/>
      <c r="F40885"/>
    </row>
    <row r="40886" spans="1:6" x14ac:dyDescent="0.25">
      <c r="A40886"/>
      <c r="B40886"/>
      <c r="C40886"/>
      <c r="E40886"/>
      <c r="F40886"/>
    </row>
    <row r="40887" spans="1:6" x14ac:dyDescent="0.25">
      <c r="A40887"/>
      <c r="B40887"/>
      <c r="C40887"/>
      <c r="E40887"/>
      <c r="F40887"/>
    </row>
    <row r="40888" spans="1:6" x14ac:dyDescent="0.25">
      <c r="A40888"/>
      <c r="B40888"/>
      <c r="C40888"/>
      <c r="E40888"/>
      <c r="F40888"/>
    </row>
    <row r="40889" spans="1:6" x14ac:dyDescent="0.25">
      <c r="A40889"/>
      <c r="B40889"/>
      <c r="C40889"/>
      <c r="E40889"/>
      <c r="F40889"/>
    </row>
    <row r="40890" spans="1:6" x14ac:dyDescent="0.25">
      <c r="A40890"/>
      <c r="B40890"/>
      <c r="C40890"/>
      <c r="E40890"/>
      <c r="F40890"/>
    </row>
    <row r="40891" spans="1:6" x14ac:dyDescent="0.25">
      <c r="A40891"/>
      <c r="B40891"/>
      <c r="C40891"/>
      <c r="E40891"/>
      <c r="F40891"/>
    </row>
    <row r="40892" spans="1:6" x14ac:dyDescent="0.25">
      <c r="A40892"/>
      <c r="B40892"/>
      <c r="C40892"/>
      <c r="E40892"/>
      <c r="F40892"/>
    </row>
    <row r="40893" spans="1:6" x14ac:dyDescent="0.25">
      <c r="A40893"/>
      <c r="B40893"/>
      <c r="C40893"/>
      <c r="E40893"/>
      <c r="F40893"/>
    </row>
    <row r="40894" spans="1:6" x14ac:dyDescent="0.25">
      <c r="A40894"/>
      <c r="B40894"/>
      <c r="C40894"/>
      <c r="E40894"/>
      <c r="F40894"/>
    </row>
    <row r="40895" spans="1:6" x14ac:dyDescent="0.25">
      <c r="A40895"/>
      <c r="B40895"/>
      <c r="C40895"/>
      <c r="E40895"/>
      <c r="F40895"/>
    </row>
    <row r="40896" spans="1:6" x14ac:dyDescent="0.25">
      <c r="A40896"/>
      <c r="B40896"/>
      <c r="C40896"/>
      <c r="E40896"/>
      <c r="F40896"/>
    </row>
    <row r="40897" spans="1:6" x14ac:dyDescent="0.25">
      <c r="A40897"/>
      <c r="B40897"/>
      <c r="C40897"/>
      <c r="E40897"/>
      <c r="F40897"/>
    </row>
    <row r="40898" spans="1:6" x14ac:dyDescent="0.25">
      <c r="A40898"/>
      <c r="B40898"/>
      <c r="C40898"/>
      <c r="E40898"/>
      <c r="F40898"/>
    </row>
    <row r="40899" spans="1:6" x14ac:dyDescent="0.25">
      <c r="A40899"/>
      <c r="B40899"/>
      <c r="C40899"/>
      <c r="E40899"/>
      <c r="F40899"/>
    </row>
    <row r="40900" spans="1:6" x14ac:dyDescent="0.25">
      <c r="A40900"/>
      <c r="B40900"/>
      <c r="C40900"/>
      <c r="E40900"/>
      <c r="F40900"/>
    </row>
    <row r="40901" spans="1:6" x14ac:dyDescent="0.25">
      <c r="A40901"/>
      <c r="B40901"/>
      <c r="C40901"/>
      <c r="E40901"/>
      <c r="F40901"/>
    </row>
    <row r="40902" spans="1:6" x14ac:dyDescent="0.25">
      <c r="A40902"/>
      <c r="B40902"/>
      <c r="C40902"/>
      <c r="E40902"/>
      <c r="F40902"/>
    </row>
    <row r="40903" spans="1:6" x14ac:dyDescent="0.25">
      <c r="A40903"/>
      <c r="B40903"/>
      <c r="C40903"/>
      <c r="E40903"/>
      <c r="F40903"/>
    </row>
    <row r="40904" spans="1:6" x14ac:dyDescent="0.25">
      <c r="A40904"/>
      <c r="B40904"/>
      <c r="C40904"/>
      <c r="E40904"/>
      <c r="F40904"/>
    </row>
    <row r="40905" spans="1:6" x14ac:dyDescent="0.25">
      <c r="A40905"/>
      <c r="B40905"/>
      <c r="C40905"/>
      <c r="E40905"/>
      <c r="F40905"/>
    </row>
    <row r="40906" spans="1:6" x14ac:dyDescent="0.25">
      <c r="A40906"/>
      <c r="B40906"/>
      <c r="C40906"/>
      <c r="E40906"/>
      <c r="F40906"/>
    </row>
    <row r="40907" spans="1:6" x14ac:dyDescent="0.25">
      <c r="A40907"/>
      <c r="B40907"/>
      <c r="C40907"/>
      <c r="E40907"/>
      <c r="F40907"/>
    </row>
    <row r="40908" spans="1:6" x14ac:dyDescent="0.25">
      <c r="A40908"/>
      <c r="B40908"/>
      <c r="C40908"/>
      <c r="E40908"/>
      <c r="F40908"/>
    </row>
    <row r="40909" spans="1:6" x14ac:dyDescent="0.25">
      <c r="A40909"/>
      <c r="B40909"/>
      <c r="C40909"/>
      <c r="E40909"/>
      <c r="F40909"/>
    </row>
    <row r="40910" spans="1:6" x14ac:dyDescent="0.25">
      <c r="A40910"/>
      <c r="B40910"/>
      <c r="C40910"/>
      <c r="E40910"/>
      <c r="F40910"/>
    </row>
    <row r="40911" spans="1:6" x14ac:dyDescent="0.25">
      <c r="A40911"/>
      <c r="B40911"/>
      <c r="C40911"/>
      <c r="E40911"/>
      <c r="F40911"/>
    </row>
    <row r="40912" spans="1:6" x14ac:dyDescent="0.25">
      <c r="A40912"/>
      <c r="B40912"/>
      <c r="C40912"/>
      <c r="E40912"/>
      <c r="F40912"/>
    </row>
    <row r="40913" spans="1:6" x14ac:dyDescent="0.25">
      <c r="A40913"/>
      <c r="B40913"/>
      <c r="C40913"/>
      <c r="E40913"/>
      <c r="F40913"/>
    </row>
    <row r="40914" spans="1:6" x14ac:dyDescent="0.25">
      <c r="A40914"/>
      <c r="B40914"/>
      <c r="C40914"/>
      <c r="E40914"/>
      <c r="F40914"/>
    </row>
    <row r="40915" spans="1:6" x14ac:dyDescent="0.25">
      <c r="A40915"/>
      <c r="B40915"/>
      <c r="C40915"/>
      <c r="E40915"/>
      <c r="F40915"/>
    </row>
    <row r="40916" spans="1:6" x14ac:dyDescent="0.25">
      <c r="A40916"/>
      <c r="B40916"/>
      <c r="C40916"/>
      <c r="E40916"/>
      <c r="F40916"/>
    </row>
    <row r="40917" spans="1:6" x14ac:dyDescent="0.25">
      <c r="A40917"/>
      <c r="B40917"/>
      <c r="C40917"/>
      <c r="E40917"/>
      <c r="F40917"/>
    </row>
    <row r="40918" spans="1:6" x14ac:dyDescent="0.25">
      <c r="A40918"/>
      <c r="B40918"/>
      <c r="C40918"/>
      <c r="E40918"/>
      <c r="F40918"/>
    </row>
    <row r="40919" spans="1:6" x14ac:dyDescent="0.25">
      <c r="A40919"/>
      <c r="B40919"/>
      <c r="C40919"/>
      <c r="E40919"/>
      <c r="F40919"/>
    </row>
    <row r="40920" spans="1:6" x14ac:dyDescent="0.25">
      <c r="A40920"/>
      <c r="B40920"/>
      <c r="C40920"/>
      <c r="E40920"/>
      <c r="F40920"/>
    </row>
    <row r="40921" spans="1:6" x14ac:dyDescent="0.25">
      <c r="A40921"/>
      <c r="B40921"/>
      <c r="C40921"/>
      <c r="E40921"/>
      <c r="F40921"/>
    </row>
    <row r="40922" spans="1:6" x14ac:dyDescent="0.25">
      <c r="A40922"/>
      <c r="B40922"/>
      <c r="C40922"/>
      <c r="E40922"/>
      <c r="F40922"/>
    </row>
    <row r="40923" spans="1:6" x14ac:dyDescent="0.25">
      <c r="A40923"/>
      <c r="B40923"/>
      <c r="C40923"/>
      <c r="E40923"/>
      <c r="F40923"/>
    </row>
    <row r="40924" spans="1:6" x14ac:dyDescent="0.25">
      <c r="A40924"/>
      <c r="B40924"/>
      <c r="C40924"/>
      <c r="E40924"/>
      <c r="F40924"/>
    </row>
    <row r="40925" spans="1:6" x14ac:dyDescent="0.25">
      <c r="A40925"/>
      <c r="B40925"/>
      <c r="C40925"/>
      <c r="E40925"/>
      <c r="F40925"/>
    </row>
    <row r="40926" spans="1:6" x14ac:dyDescent="0.25">
      <c r="A40926"/>
      <c r="B40926"/>
      <c r="C40926"/>
      <c r="E40926"/>
      <c r="F40926"/>
    </row>
    <row r="40927" spans="1:6" x14ac:dyDescent="0.25">
      <c r="A40927"/>
      <c r="B40927"/>
      <c r="C40927"/>
      <c r="E40927"/>
      <c r="F40927"/>
    </row>
    <row r="40928" spans="1:6" x14ac:dyDescent="0.25">
      <c r="A40928"/>
      <c r="B40928"/>
      <c r="C40928"/>
      <c r="E40928"/>
      <c r="F40928"/>
    </row>
    <row r="40929" spans="1:6" x14ac:dyDescent="0.25">
      <c r="A40929"/>
      <c r="B40929"/>
      <c r="C40929"/>
      <c r="E40929"/>
      <c r="F40929"/>
    </row>
    <row r="40930" spans="1:6" x14ac:dyDescent="0.25">
      <c r="A40930"/>
      <c r="B40930"/>
      <c r="C40930"/>
      <c r="E40930"/>
      <c r="F40930"/>
    </row>
    <row r="40931" spans="1:6" x14ac:dyDescent="0.25">
      <c r="A40931"/>
      <c r="B40931"/>
      <c r="C40931"/>
      <c r="E40931"/>
      <c r="F40931"/>
    </row>
    <row r="40932" spans="1:6" x14ac:dyDescent="0.25">
      <c r="A40932"/>
      <c r="B40932"/>
      <c r="C40932"/>
      <c r="E40932"/>
      <c r="F40932"/>
    </row>
    <row r="40933" spans="1:6" x14ac:dyDescent="0.25">
      <c r="A40933"/>
      <c r="B40933"/>
      <c r="C40933"/>
      <c r="E40933"/>
      <c r="F40933"/>
    </row>
    <row r="40934" spans="1:6" x14ac:dyDescent="0.25">
      <c r="A40934"/>
      <c r="B40934"/>
      <c r="C40934"/>
      <c r="E40934"/>
      <c r="F40934"/>
    </row>
    <row r="40935" spans="1:6" x14ac:dyDescent="0.25">
      <c r="A40935"/>
      <c r="B40935"/>
      <c r="C40935"/>
      <c r="E40935"/>
      <c r="F40935"/>
    </row>
    <row r="40936" spans="1:6" x14ac:dyDescent="0.25">
      <c r="A40936"/>
      <c r="B40936"/>
      <c r="C40936"/>
      <c r="E40936"/>
      <c r="F40936"/>
    </row>
    <row r="40937" spans="1:6" x14ac:dyDescent="0.25">
      <c r="A40937"/>
      <c r="B40937"/>
      <c r="C40937"/>
      <c r="E40937"/>
      <c r="F40937"/>
    </row>
    <row r="40938" spans="1:6" x14ac:dyDescent="0.25">
      <c r="A40938"/>
      <c r="B40938"/>
      <c r="C40938"/>
      <c r="E40938"/>
      <c r="F40938"/>
    </row>
    <row r="40939" spans="1:6" x14ac:dyDescent="0.25">
      <c r="A40939"/>
      <c r="B40939"/>
      <c r="C40939"/>
      <c r="E40939"/>
      <c r="F40939"/>
    </row>
    <row r="40940" spans="1:6" x14ac:dyDescent="0.25">
      <c r="A40940"/>
      <c r="B40940"/>
      <c r="C40940"/>
      <c r="E40940"/>
      <c r="F40940"/>
    </row>
    <row r="40941" spans="1:6" x14ac:dyDescent="0.25">
      <c r="A40941"/>
      <c r="B40941"/>
      <c r="C40941"/>
      <c r="E40941"/>
      <c r="F40941"/>
    </row>
    <row r="40942" spans="1:6" x14ac:dyDescent="0.25">
      <c r="A40942"/>
      <c r="B40942"/>
      <c r="C40942"/>
      <c r="E40942"/>
      <c r="F40942"/>
    </row>
    <row r="40943" spans="1:6" x14ac:dyDescent="0.25">
      <c r="A40943"/>
      <c r="B40943"/>
      <c r="C40943"/>
      <c r="E40943"/>
      <c r="F40943"/>
    </row>
    <row r="40944" spans="1:6" x14ac:dyDescent="0.25">
      <c r="A40944"/>
      <c r="B40944"/>
      <c r="C40944"/>
      <c r="E40944"/>
      <c r="F40944"/>
    </row>
    <row r="40945" spans="1:6" x14ac:dyDescent="0.25">
      <c r="A40945"/>
      <c r="B40945"/>
      <c r="C40945"/>
      <c r="E40945"/>
      <c r="F40945"/>
    </row>
    <row r="40946" spans="1:6" x14ac:dyDescent="0.25">
      <c r="A40946"/>
      <c r="B40946"/>
      <c r="C40946"/>
      <c r="E40946"/>
      <c r="F40946"/>
    </row>
    <row r="40947" spans="1:6" x14ac:dyDescent="0.25">
      <c r="A40947"/>
      <c r="B40947"/>
      <c r="C40947"/>
      <c r="E40947"/>
      <c r="F40947"/>
    </row>
    <row r="40948" spans="1:6" x14ac:dyDescent="0.25">
      <c r="A40948"/>
      <c r="B40948"/>
      <c r="C40948"/>
      <c r="E40948"/>
      <c r="F40948"/>
    </row>
    <row r="40949" spans="1:6" x14ac:dyDescent="0.25">
      <c r="A40949"/>
      <c r="B40949"/>
      <c r="C40949"/>
      <c r="E40949"/>
      <c r="F40949"/>
    </row>
    <row r="40950" spans="1:6" x14ac:dyDescent="0.25">
      <c r="A40950"/>
      <c r="B40950"/>
      <c r="C40950"/>
      <c r="E40950"/>
      <c r="F40950"/>
    </row>
    <row r="40951" spans="1:6" x14ac:dyDescent="0.25">
      <c r="A40951"/>
      <c r="B40951"/>
      <c r="C40951"/>
      <c r="E40951"/>
      <c r="F40951"/>
    </row>
    <row r="40952" spans="1:6" x14ac:dyDescent="0.25">
      <c r="A40952"/>
      <c r="B40952"/>
      <c r="C40952"/>
      <c r="E40952"/>
      <c r="F40952"/>
    </row>
    <row r="40953" spans="1:6" x14ac:dyDescent="0.25">
      <c r="A40953"/>
      <c r="B40953"/>
      <c r="C40953"/>
      <c r="E40953"/>
      <c r="F40953"/>
    </row>
    <row r="40954" spans="1:6" x14ac:dyDescent="0.25">
      <c r="A40954"/>
      <c r="B40954"/>
      <c r="C40954"/>
      <c r="E40954"/>
      <c r="F40954"/>
    </row>
    <row r="40955" spans="1:6" x14ac:dyDescent="0.25">
      <c r="A40955"/>
      <c r="B40955"/>
      <c r="C40955"/>
      <c r="E40955"/>
      <c r="F40955"/>
    </row>
    <row r="40956" spans="1:6" x14ac:dyDescent="0.25">
      <c r="A40956"/>
      <c r="B40956"/>
      <c r="C40956"/>
      <c r="E40956"/>
      <c r="F40956"/>
    </row>
    <row r="40957" spans="1:6" x14ac:dyDescent="0.25">
      <c r="A40957"/>
      <c r="B40957"/>
      <c r="C40957"/>
      <c r="E40957"/>
      <c r="F40957"/>
    </row>
    <row r="40958" spans="1:6" x14ac:dyDescent="0.25">
      <c r="A40958"/>
      <c r="B40958"/>
      <c r="C40958"/>
      <c r="E40958"/>
      <c r="F40958"/>
    </row>
    <row r="40959" spans="1:6" x14ac:dyDescent="0.25">
      <c r="A40959"/>
      <c r="B40959"/>
      <c r="C40959"/>
      <c r="E40959"/>
      <c r="F40959"/>
    </row>
    <row r="40960" spans="1:6" x14ac:dyDescent="0.25">
      <c r="A40960"/>
      <c r="B40960"/>
      <c r="C40960"/>
      <c r="E40960"/>
      <c r="F40960"/>
    </row>
    <row r="40961" spans="1:6" x14ac:dyDescent="0.25">
      <c r="A40961"/>
      <c r="B40961"/>
      <c r="C40961"/>
      <c r="E40961"/>
      <c r="F40961"/>
    </row>
    <row r="40962" spans="1:6" x14ac:dyDescent="0.25">
      <c r="A40962"/>
      <c r="B40962"/>
      <c r="C40962"/>
      <c r="E40962"/>
      <c r="F40962"/>
    </row>
    <row r="40963" spans="1:6" x14ac:dyDescent="0.25">
      <c r="A40963"/>
      <c r="B40963"/>
      <c r="C40963"/>
      <c r="E40963"/>
      <c r="F40963"/>
    </row>
    <row r="40964" spans="1:6" x14ac:dyDescent="0.25">
      <c r="A40964"/>
      <c r="B40964"/>
      <c r="C40964"/>
      <c r="E40964"/>
      <c r="F40964"/>
    </row>
    <row r="40965" spans="1:6" x14ac:dyDescent="0.25">
      <c r="A40965"/>
      <c r="B40965"/>
      <c r="C40965"/>
      <c r="E40965"/>
      <c r="F40965"/>
    </row>
    <row r="40966" spans="1:6" x14ac:dyDescent="0.25">
      <c r="A40966"/>
      <c r="B40966"/>
      <c r="C40966"/>
      <c r="E40966"/>
      <c r="F40966"/>
    </row>
    <row r="40967" spans="1:6" x14ac:dyDescent="0.25">
      <c r="A40967"/>
      <c r="B40967"/>
      <c r="C40967"/>
      <c r="E40967"/>
      <c r="F40967"/>
    </row>
    <row r="40968" spans="1:6" x14ac:dyDescent="0.25">
      <c r="A40968"/>
      <c r="B40968"/>
      <c r="C40968"/>
      <c r="E40968"/>
      <c r="F40968"/>
    </row>
    <row r="40969" spans="1:6" x14ac:dyDescent="0.25">
      <c r="A40969"/>
      <c r="B40969"/>
      <c r="C40969"/>
      <c r="E40969"/>
      <c r="F40969"/>
    </row>
    <row r="40970" spans="1:6" x14ac:dyDescent="0.25">
      <c r="A40970"/>
      <c r="B40970"/>
      <c r="C40970"/>
      <c r="E40970"/>
      <c r="F40970"/>
    </row>
    <row r="40971" spans="1:6" x14ac:dyDescent="0.25">
      <c r="A40971"/>
      <c r="B40971"/>
      <c r="C40971"/>
      <c r="E40971"/>
      <c r="F40971"/>
    </row>
    <row r="40972" spans="1:6" x14ac:dyDescent="0.25">
      <c r="A40972"/>
      <c r="B40972"/>
      <c r="C40972"/>
      <c r="E40972"/>
      <c r="F40972"/>
    </row>
    <row r="40973" spans="1:6" x14ac:dyDescent="0.25">
      <c r="A40973"/>
      <c r="B40973"/>
      <c r="C40973"/>
      <c r="E40973"/>
      <c r="F40973"/>
    </row>
    <row r="40974" spans="1:6" x14ac:dyDescent="0.25">
      <c r="A40974"/>
      <c r="B40974"/>
      <c r="C40974"/>
      <c r="E40974"/>
      <c r="F40974"/>
    </row>
    <row r="40975" spans="1:6" x14ac:dyDescent="0.25">
      <c r="A40975"/>
      <c r="B40975"/>
      <c r="C40975"/>
      <c r="E40975"/>
      <c r="F40975"/>
    </row>
    <row r="40976" spans="1:6" x14ac:dyDescent="0.25">
      <c r="A40976"/>
      <c r="B40976"/>
      <c r="C40976"/>
      <c r="E40976"/>
      <c r="F40976"/>
    </row>
    <row r="40977" spans="1:6" x14ac:dyDescent="0.25">
      <c r="A40977"/>
      <c r="B40977"/>
      <c r="C40977"/>
      <c r="E40977"/>
      <c r="F40977"/>
    </row>
    <row r="40978" spans="1:6" x14ac:dyDescent="0.25">
      <c r="A40978"/>
      <c r="B40978"/>
      <c r="C40978"/>
      <c r="E40978"/>
      <c r="F40978"/>
    </row>
    <row r="40979" spans="1:6" x14ac:dyDescent="0.25">
      <c r="A40979"/>
      <c r="B40979"/>
      <c r="C40979"/>
      <c r="E40979"/>
      <c r="F40979"/>
    </row>
    <row r="40980" spans="1:6" x14ac:dyDescent="0.25">
      <c r="A40980"/>
      <c r="B40980"/>
      <c r="C40980"/>
      <c r="E40980"/>
      <c r="F40980"/>
    </row>
    <row r="40981" spans="1:6" x14ac:dyDescent="0.25">
      <c r="A40981"/>
      <c r="B40981"/>
      <c r="C40981"/>
      <c r="E40981"/>
      <c r="F40981"/>
    </row>
    <row r="40982" spans="1:6" x14ac:dyDescent="0.25">
      <c r="A40982"/>
      <c r="B40982"/>
      <c r="C40982"/>
      <c r="E40982"/>
      <c r="F40982"/>
    </row>
    <row r="40983" spans="1:6" x14ac:dyDescent="0.25">
      <c r="A40983"/>
      <c r="B40983"/>
      <c r="C40983"/>
      <c r="E40983"/>
      <c r="F40983"/>
    </row>
    <row r="40984" spans="1:6" x14ac:dyDescent="0.25">
      <c r="A40984"/>
      <c r="B40984"/>
      <c r="C40984"/>
      <c r="E40984"/>
      <c r="F40984"/>
    </row>
    <row r="40985" spans="1:6" x14ac:dyDescent="0.25">
      <c r="A40985"/>
      <c r="B40985"/>
      <c r="C40985"/>
      <c r="E40985"/>
      <c r="F40985"/>
    </row>
    <row r="40986" spans="1:6" x14ac:dyDescent="0.25">
      <c r="A40986"/>
      <c r="B40986"/>
      <c r="C40986"/>
      <c r="E40986"/>
      <c r="F40986"/>
    </row>
    <row r="40987" spans="1:6" x14ac:dyDescent="0.25">
      <c r="A40987"/>
      <c r="B40987"/>
      <c r="C40987"/>
      <c r="E40987"/>
      <c r="F40987"/>
    </row>
    <row r="40988" spans="1:6" x14ac:dyDescent="0.25">
      <c r="A40988"/>
      <c r="B40988"/>
      <c r="C40988"/>
      <c r="E40988"/>
      <c r="F40988"/>
    </row>
    <row r="40989" spans="1:6" x14ac:dyDescent="0.25">
      <c r="A40989"/>
      <c r="B40989"/>
      <c r="C40989"/>
      <c r="E40989"/>
      <c r="F40989"/>
    </row>
    <row r="40990" spans="1:6" x14ac:dyDescent="0.25">
      <c r="A40990"/>
      <c r="B40990"/>
      <c r="C40990"/>
      <c r="E40990"/>
      <c r="F40990"/>
    </row>
    <row r="40991" spans="1:6" x14ac:dyDescent="0.25">
      <c r="A40991"/>
      <c r="B40991"/>
      <c r="C40991"/>
      <c r="E40991"/>
      <c r="F40991"/>
    </row>
    <row r="40992" spans="1:6" x14ac:dyDescent="0.25">
      <c r="A40992"/>
      <c r="B40992"/>
      <c r="C40992"/>
      <c r="E40992"/>
      <c r="F40992"/>
    </row>
    <row r="40993" spans="1:6" x14ac:dyDescent="0.25">
      <c r="A40993"/>
      <c r="B40993"/>
      <c r="C40993"/>
      <c r="E40993"/>
      <c r="F40993"/>
    </row>
    <row r="40994" spans="1:6" x14ac:dyDescent="0.25">
      <c r="A40994"/>
      <c r="B40994"/>
      <c r="C40994"/>
      <c r="E40994"/>
      <c r="F40994"/>
    </row>
    <row r="40995" spans="1:6" x14ac:dyDescent="0.25">
      <c r="A40995"/>
      <c r="B40995"/>
      <c r="C40995"/>
      <c r="E40995"/>
      <c r="F40995"/>
    </row>
    <row r="40996" spans="1:6" x14ac:dyDescent="0.25">
      <c r="A40996"/>
      <c r="B40996"/>
      <c r="C40996"/>
      <c r="E40996"/>
      <c r="F40996"/>
    </row>
    <row r="40997" spans="1:6" x14ac:dyDescent="0.25">
      <c r="A40997"/>
      <c r="B40997"/>
      <c r="C40997"/>
      <c r="E40997"/>
      <c r="F40997"/>
    </row>
    <row r="40998" spans="1:6" x14ac:dyDescent="0.25">
      <c r="A40998"/>
      <c r="B40998"/>
      <c r="C40998"/>
      <c r="E40998"/>
      <c r="F40998"/>
    </row>
    <row r="40999" spans="1:6" x14ac:dyDescent="0.25">
      <c r="A40999"/>
      <c r="B40999"/>
      <c r="C40999"/>
      <c r="E40999"/>
      <c r="F40999"/>
    </row>
    <row r="41000" spans="1:6" x14ac:dyDescent="0.25">
      <c r="A41000"/>
      <c r="B41000"/>
      <c r="C41000"/>
      <c r="E41000"/>
      <c r="F41000"/>
    </row>
    <row r="41001" spans="1:6" x14ac:dyDescent="0.25">
      <c r="A41001"/>
      <c r="B41001"/>
      <c r="C41001"/>
      <c r="E41001"/>
      <c r="F41001"/>
    </row>
    <row r="41002" spans="1:6" x14ac:dyDescent="0.25">
      <c r="A41002"/>
      <c r="B41002"/>
      <c r="C41002"/>
      <c r="E41002"/>
      <c r="F41002"/>
    </row>
    <row r="41003" spans="1:6" x14ac:dyDescent="0.25">
      <c r="A41003"/>
      <c r="B41003"/>
      <c r="C41003"/>
      <c r="E41003"/>
      <c r="F41003"/>
    </row>
    <row r="41004" spans="1:6" x14ac:dyDescent="0.25">
      <c r="A41004"/>
      <c r="B41004"/>
      <c r="C41004"/>
      <c r="E41004"/>
      <c r="F41004"/>
    </row>
    <row r="41005" spans="1:6" x14ac:dyDescent="0.25">
      <c r="A41005"/>
      <c r="B41005"/>
      <c r="C41005"/>
      <c r="E41005"/>
      <c r="F41005"/>
    </row>
    <row r="41006" spans="1:6" x14ac:dyDescent="0.25">
      <c r="A41006"/>
      <c r="B41006"/>
      <c r="C41006"/>
      <c r="E41006"/>
      <c r="F41006"/>
    </row>
    <row r="41007" spans="1:6" x14ac:dyDescent="0.25">
      <c r="A41007"/>
      <c r="B41007"/>
      <c r="C41007"/>
      <c r="E41007"/>
      <c r="F41007"/>
    </row>
    <row r="41008" spans="1:6" x14ac:dyDescent="0.25">
      <c r="A41008"/>
      <c r="B41008"/>
      <c r="C41008"/>
      <c r="E41008"/>
      <c r="F41008"/>
    </row>
    <row r="41009" spans="1:6" x14ac:dyDescent="0.25">
      <c r="A41009"/>
      <c r="B41009"/>
      <c r="C41009"/>
      <c r="E41009"/>
      <c r="F41009"/>
    </row>
    <row r="41010" spans="1:6" x14ac:dyDescent="0.25">
      <c r="A41010"/>
      <c r="B41010"/>
      <c r="C41010"/>
      <c r="E41010"/>
      <c r="F41010"/>
    </row>
    <row r="41011" spans="1:6" x14ac:dyDescent="0.25">
      <c r="A41011"/>
      <c r="B41011"/>
      <c r="C41011"/>
      <c r="E41011"/>
      <c r="F41011"/>
    </row>
    <row r="41012" spans="1:6" x14ac:dyDescent="0.25">
      <c r="A41012"/>
      <c r="B41012"/>
      <c r="C41012"/>
      <c r="E41012"/>
      <c r="F41012"/>
    </row>
    <row r="41013" spans="1:6" x14ac:dyDescent="0.25">
      <c r="A41013"/>
      <c r="B41013"/>
      <c r="C41013"/>
      <c r="E41013"/>
      <c r="F41013"/>
    </row>
    <row r="41014" spans="1:6" x14ac:dyDescent="0.25">
      <c r="A41014"/>
      <c r="B41014"/>
      <c r="C41014"/>
      <c r="E41014"/>
      <c r="F41014"/>
    </row>
    <row r="41015" spans="1:6" x14ac:dyDescent="0.25">
      <c r="A41015"/>
      <c r="B41015"/>
      <c r="C41015"/>
      <c r="E41015"/>
      <c r="F41015"/>
    </row>
    <row r="41016" spans="1:6" x14ac:dyDescent="0.25">
      <c r="A41016"/>
      <c r="B41016"/>
      <c r="C41016"/>
      <c r="E41016"/>
      <c r="F41016"/>
    </row>
    <row r="41017" spans="1:6" x14ac:dyDescent="0.25">
      <c r="A41017"/>
      <c r="B41017"/>
      <c r="C41017"/>
      <c r="E41017"/>
      <c r="F41017"/>
    </row>
    <row r="41018" spans="1:6" x14ac:dyDescent="0.25">
      <c r="A41018"/>
      <c r="B41018"/>
      <c r="C41018"/>
      <c r="E41018"/>
      <c r="F41018"/>
    </row>
    <row r="41019" spans="1:6" x14ac:dyDescent="0.25">
      <c r="A41019"/>
      <c r="B41019"/>
      <c r="C41019"/>
      <c r="E41019"/>
      <c r="F41019"/>
    </row>
    <row r="41020" spans="1:6" x14ac:dyDescent="0.25">
      <c r="A41020"/>
      <c r="B41020"/>
      <c r="C41020"/>
      <c r="E41020"/>
      <c r="F41020"/>
    </row>
    <row r="41021" spans="1:6" x14ac:dyDescent="0.25">
      <c r="A41021"/>
      <c r="B41021"/>
      <c r="C41021"/>
      <c r="E41021"/>
      <c r="F41021"/>
    </row>
    <row r="41022" spans="1:6" x14ac:dyDescent="0.25">
      <c r="A41022"/>
      <c r="B41022"/>
      <c r="C41022"/>
      <c r="E41022"/>
      <c r="F41022"/>
    </row>
    <row r="41023" spans="1:6" x14ac:dyDescent="0.25">
      <c r="A41023"/>
      <c r="B41023"/>
      <c r="C41023"/>
      <c r="E41023"/>
      <c r="F41023"/>
    </row>
    <row r="41024" spans="1:6" x14ac:dyDescent="0.25">
      <c r="A41024"/>
      <c r="B41024"/>
      <c r="C41024"/>
      <c r="E41024"/>
      <c r="F41024"/>
    </row>
    <row r="41025" spans="1:6" x14ac:dyDescent="0.25">
      <c r="A41025"/>
      <c r="B41025"/>
      <c r="C41025"/>
      <c r="E41025"/>
      <c r="F41025"/>
    </row>
    <row r="41026" spans="1:6" x14ac:dyDescent="0.25">
      <c r="A41026"/>
      <c r="B41026"/>
      <c r="C41026"/>
      <c r="E41026"/>
      <c r="F41026"/>
    </row>
    <row r="41027" spans="1:6" x14ac:dyDescent="0.25">
      <c r="A41027"/>
      <c r="B41027"/>
      <c r="C41027"/>
      <c r="E41027"/>
      <c r="F41027"/>
    </row>
    <row r="41028" spans="1:6" x14ac:dyDescent="0.25">
      <c r="A41028"/>
      <c r="B41028"/>
      <c r="C41028"/>
      <c r="E41028"/>
      <c r="F41028"/>
    </row>
    <row r="41029" spans="1:6" x14ac:dyDescent="0.25">
      <c r="A41029"/>
      <c r="B41029"/>
      <c r="C41029"/>
      <c r="E41029"/>
      <c r="F41029"/>
    </row>
    <row r="41030" spans="1:6" x14ac:dyDescent="0.25">
      <c r="A41030"/>
      <c r="B41030"/>
      <c r="C41030"/>
      <c r="E41030"/>
      <c r="F41030"/>
    </row>
    <row r="41031" spans="1:6" x14ac:dyDescent="0.25">
      <c r="A41031"/>
      <c r="B41031"/>
      <c r="C41031"/>
      <c r="E41031"/>
      <c r="F41031"/>
    </row>
    <row r="41032" spans="1:6" x14ac:dyDescent="0.25">
      <c r="A41032"/>
      <c r="B41032"/>
      <c r="C41032"/>
      <c r="E41032"/>
      <c r="F41032"/>
    </row>
    <row r="41033" spans="1:6" x14ac:dyDescent="0.25">
      <c r="A41033"/>
      <c r="B41033"/>
      <c r="C41033"/>
      <c r="E41033"/>
      <c r="F41033"/>
    </row>
    <row r="41034" spans="1:6" x14ac:dyDescent="0.25">
      <c r="A41034"/>
      <c r="B41034"/>
      <c r="C41034"/>
      <c r="E41034"/>
      <c r="F41034"/>
    </row>
    <row r="41035" spans="1:6" x14ac:dyDescent="0.25">
      <c r="A41035"/>
      <c r="B41035"/>
      <c r="C41035"/>
      <c r="E41035"/>
      <c r="F41035"/>
    </row>
    <row r="41036" spans="1:6" x14ac:dyDescent="0.25">
      <c r="A41036"/>
      <c r="B41036"/>
      <c r="C41036"/>
      <c r="E41036"/>
      <c r="F41036"/>
    </row>
    <row r="41037" spans="1:6" x14ac:dyDescent="0.25">
      <c r="A41037"/>
      <c r="B41037"/>
      <c r="C41037"/>
      <c r="E41037"/>
      <c r="F41037"/>
    </row>
    <row r="41038" spans="1:6" x14ac:dyDescent="0.25">
      <c r="A41038"/>
      <c r="B41038"/>
      <c r="C41038"/>
      <c r="E41038"/>
      <c r="F41038"/>
    </row>
    <row r="41039" spans="1:6" x14ac:dyDescent="0.25">
      <c r="A41039"/>
      <c r="B41039"/>
      <c r="C41039"/>
      <c r="E41039"/>
      <c r="F41039"/>
    </row>
    <row r="41040" spans="1:6" x14ac:dyDescent="0.25">
      <c r="A41040"/>
      <c r="B41040"/>
      <c r="C41040"/>
      <c r="E41040"/>
      <c r="F41040"/>
    </row>
    <row r="41041" spans="1:6" x14ac:dyDescent="0.25">
      <c r="A41041"/>
      <c r="B41041"/>
      <c r="C41041"/>
      <c r="E41041"/>
      <c r="F41041"/>
    </row>
    <row r="41042" spans="1:6" x14ac:dyDescent="0.25">
      <c r="A41042"/>
      <c r="B41042"/>
      <c r="C41042"/>
      <c r="E41042"/>
      <c r="F41042"/>
    </row>
    <row r="41043" spans="1:6" x14ac:dyDescent="0.25">
      <c r="A41043"/>
      <c r="B41043"/>
      <c r="C41043"/>
      <c r="E41043"/>
      <c r="F41043"/>
    </row>
    <row r="41044" spans="1:6" x14ac:dyDescent="0.25">
      <c r="A41044"/>
      <c r="B41044"/>
      <c r="C41044"/>
      <c r="E41044"/>
      <c r="F41044"/>
    </row>
    <row r="41045" spans="1:6" x14ac:dyDescent="0.25">
      <c r="A41045"/>
      <c r="B41045"/>
      <c r="C41045"/>
      <c r="E41045"/>
      <c r="F41045"/>
    </row>
    <row r="41046" spans="1:6" x14ac:dyDescent="0.25">
      <c r="A41046"/>
      <c r="B41046"/>
      <c r="C41046"/>
      <c r="E41046"/>
      <c r="F41046"/>
    </row>
    <row r="41047" spans="1:6" x14ac:dyDescent="0.25">
      <c r="A41047"/>
      <c r="B41047"/>
      <c r="C41047"/>
      <c r="E41047"/>
      <c r="F41047"/>
    </row>
    <row r="41048" spans="1:6" x14ac:dyDescent="0.25">
      <c r="A41048"/>
      <c r="B41048"/>
      <c r="C41048"/>
      <c r="E41048"/>
      <c r="F41048"/>
    </row>
    <row r="41049" spans="1:6" x14ac:dyDescent="0.25">
      <c r="A41049"/>
      <c r="B41049"/>
      <c r="C41049"/>
      <c r="E41049"/>
      <c r="F41049"/>
    </row>
    <row r="41050" spans="1:6" x14ac:dyDescent="0.25">
      <c r="A41050"/>
      <c r="B41050"/>
      <c r="C41050"/>
      <c r="E41050"/>
      <c r="F41050"/>
    </row>
    <row r="41051" spans="1:6" x14ac:dyDescent="0.25">
      <c r="A41051"/>
      <c r="B41051"/>
      <c r="C41051"/>
      <c r="E41051"/>
      <c r="F41051"/>
    </row>
    <row r="41052" spans="1:6" x14ac:dyDescent="0.25">
      <c r="A41052"/>
      <c r="B41052"/>
      <c r="C41052"/>
      <c r="E41052"/>
      <c r="F41052"/>
    </row>
    <row r="41053" spans="1:6" x14ac:dyDescent="0.25">
      <c r="A41053"/>
      <c r="B41053"/>
      <c r="C41053"/>
      <c r="E41053"/>
      <c r="F41053"/>
    </row>
    <row r="41054" spans="1:6" x14ac:dyDescent="0.25">
      <c r="A41054"/>
      <c r="B41054"/>
      <c r="C41054"/>
      <c r="E41054"/>
      <c r="F41054"/>
    </row>
    <row r="41055" spans="1:6" x14ac:dyDescent="0.25">
      <c r="A41055"/>
      <c r="B41055"/>
      <c r="C41055"/>
      <c r="E41055"/>
      <c r="F41055"/>
    </row>
    <row r="41056" spans="1:6" x14ac:dyDescent="0.25">
      <c r="A41056"/>
      <c r="B41056"/>
      <c r="C41056"/>
      <c r="E41056"/>
      <c r="F41056"/>
    </row>
    <row r="41057" spans="1:6" x14ac:dyDescent="0.25">
      <c r="A41057"/>
      <c r="B41057"/>
      <c r="C41057"/>
      <c r="E41057"/>
      <c r="F41057"/>
    </row>
    <row r="41058" spans="1:6" x14ac:dyDescent="0.25">
      <c r="A41058"/>
      <c r="B41058"/>
      <c r="C41058"/>
      <c r="E41058"/>
      <c r="F41058"/>
    </row>
    <row r="41059" spans="1:6" x14ac:dyDescent="0.25">
      <c r="A41059"/>
      <c r="B41059"/>
      <c r="C41059"/>
      <c r="E41059"/>
      <c r="F41059"/>
    </row>
    <row r="41060" spans="1:6" x14ac:dyDescent="0.25">
      <c r="A41060"/>
      <c r="B41060"/>
      <c r="C41060"/>
      <c r="E41060"/>
      <c r="F41060"/>
    </row>
    <row r="41061" spans="1:6" x14ac:dyDescent="0.25">
      <c r="A41061"/>
      <c r="B41061"/>
      <c r="C41061"/>
      <c r="E41061"/>
      <c r="F41061"/>
    </row>
    <row r="41062" spans="1:6" x14ac:dyDescent="0.25">
      <c r="A41062"/>
      <c r="B41062"/>
      <c r="C41062"/>
      <c r="E41062"/>
      <c r="F41062"/>
    </row>
    <row r="41063" spans="1:6" x14ac:dyDescent="0.25">
      <c r="A41063"/>
      <c r="B41063"/>
      <c r="C41063"/>
      <c r="E41063"/>
      <c r="F41063"/>
    </row>
    <row r="41064" spans="1:6" x14ac:dyDescent="0.25">
      <c r="A41064"/>
      <c r="B41064"/>
      <c r="C41064"/>
      <c r="E41064"/>
      <c r="F41064"/>
    </row>
    <row r="41065" spans="1:6" x14ac:dyDescent="0.25">
      <c r="A41065"/>
      <c r="B41065"/>
      <c r="C41065"/>
      <c r="E41065"/>
      <c r="F41065"/>
    </row>
    <row r="41066" spans="1:6" x14ac:dyDescent="0.25">
      <c r="A41066"/>
      <c r="B41066"/>
      <c r="C41066"/>
      <c r="E41066"/>
      <c r="F41066"/>
    </row>
    <row r="41067" spans="1:6" x14ac:dyDescent="0.25">
      <c r="A41067"/>
      <c r="B41067"/>
      <c r="C41067"/>
      <c r="E41067"/>
      <c r="F41067"/>
    </row>
    <row r="41068" spans="1:6" x14ac:dyDescent="0.25">
      <c r="A41068"/>
      <c r="B41068"/>
      <c r="C41068"/>
      <c r="E41068"/>
      <c r="F41068"/>
    </row>
    <row r="41069" spans="1:6" x14ac:dyDescent="0.25">
      <c r="A41069"/>
      <c r="B41069"/>
      <c r="C41069"/>
      <c r="E41069"/>
      <c r="F41069"/>
    </row>
    <row r="41070" spans="1:6" x14ac:dyDescent="0.25">
      <c r="A41070"/>
      <c r="B41070"/>
      <c r="C41070"/>
      <c r="E41070"/>
      <c r="F41070"/>
    </row>
    <row r="41071" spans="1:6" x14ac:dyDescent="0.25">
      <c r="A41071"/>
      <c r="B41071"/>
      <c r="C41071"/>
      <c r="E41071"/>
      <c r="F41071"/>
    </row>
    <row r="41072" spans="1:6" x14ac:dyDescent="0.25">
      <c r="A41072"/>
      <c r="B41072"/>
      <c r="C41072"/>
      <c r="E41072"/>
      <c r="F41072"/>
    </row>
    <row r="41073" spans="1:6" x14ac:dyDescent="0.25">
      <c r="A41073"/>
      <c r="B41073"/>
      <c r="C41073"/>
      <c r="E41073"/>
      <c r="F41073"/>
    </row>
    <row r="41074" spans="1:6" x14ac:dyDescent="0.25">
      <c r="A41074"/>
      <c r="B41074"/>
      <c r="C41074"/>
      <c r="E41074"/>
      <c r="F41074"/>
    </row>
    <row r="41075" spans="1:6" x14ac:dyDescent="0.25">
      <c r="A41075"/>
      <c r="B41075"/>
      <c r="C41075"/>
      <c r="E41075"/>
      <c r="F41075"/>
    </row>
    <row r="41076" spans="1:6" x14ac:dyDescent="0.25">
      <c r="A41076"/>
      <c r="B41076"/>
      <c r="C41076"/>
      <c r="E41076"/>
      <c r="F41076"/>
    </row>
    <row r="41077" spans="1:6" x14ac:dyDescent="0.25">
      <c r="A41077"/>
      <c r="B41077"/>
      <c r="C41077"/>
      <c r="E41077"/>
      <c r="F41077"/>
    </row>
    <row r="41078" spans="1:6" x14ac:dyDescent="0.25">
      <c r="A41078"/>
      <c r="B41078"/>
      <c r="C41078"/>
      <c r="E41078"/>
      <c r="F41078"/>
    </row>
    <row r="41079" spans="1:6" x14ac:dyDescent="0.25">
      <c r="A41079"/>
      <c r="B41079"/>
      <c r="C41079"/>
      <c r="E41079"/>
      <c r="F41079"/>
    </row>
    <row r="41080" spans="1:6" x14ac:dyDescent="0.25">
      <c r="A41080"/>
      <c r="B41080"/>
      <c r="C41080"/>
      <c r="E41080"/>
      <c r="F41080"/>
    </row>
    <row r="41081" spans="1:6" x14ac:dyDescent="0.25">
      <c r="A41081"/>
      <c r="B41081"/>
      <c r="C41081"/>
      <c r="E41081"/>
      <c r="F41081"/>
    </row>
    <row r="41082" spans="1:6" x14ac:dyDescent="0.25">
      <c r="A41082"/>
      <c r="B41082"/>
      <c r="C41082"/>
      <c r="E41082"/>
      <c r="F41082"/>
    </row>
    <row r="41083" spans="1:6" x14ac:dyDescent="0.25">
      <c r="A41083"/>
      <c r="B41083"/>
      <c r="C41083"/>
      <c r="E41083"/>
      <c r="F41083"/>
    </row>
    <row r="41084" spans="1:6" x14ac:dyDescent="0.25">
      <c r="A41084"/>
      <c r="B41084"/>
      <c r="C41084"/>
      <c r="E41084"/>
      <c r="F41084"/>
    </row>
    <row r="41085" spans="1:6" x14ac:dyDescent="0.25">
      <c r="A41085"/>
      <c r="B41085"/>
      <c r="C41085"/>
      <c r="E41085"/>
      <c r="F41085"/>
    </row>
    <row r="41086" spans="1:6" x14ac:dyDescent="0.25">
      <c r="A41086"/>
      <c r="B41086"/>
      <c r="C41086"/>
      <c r="E41086"/>
      <c r="F41086"/>
    </row>
    <row r="41087" spans="1:6" x14ac:dyDescent="0.25">
      <c r="A41087"/>
      <c r="B41087"/>
      <c r="C41087"/>
      <c r="E41087"/>
      <c r="F41087"/>
    </row>
    <row r="41088" spans="1:6" x14ac:dyDescent="0.25">
      <c r="A41088"/>
      <c r="B41088"/>
      <c r="C41088"/>
      <c r="E41088"/>
      <c r="F41088"/>
    </row>
    <row r="41089" spans="1:6" x14ac:dyDescent="0.25">
      <c r="A41089"/>
      <c r="B41089"/>
      <c r="C41089"/>
      <c r="E41089"/>
      <c r="F41089"/>
    </row>
    <row r="41090" spans="1:6" x14ac:dyDescent="0.25">
      <c r="A41090"/>
      <c r="B41090"/>
      <c r="C41090"/>
      <c r="E41090"/>
      <c r="F41090"/>
    </row>
    <row r="41091" spans="1:6" x14ac:dyDescent="0.25">
      <c r="A41091"/>
      <c r="B41091"/>
      <c r="C41091"/>
      <c r="E41091"/>
      <c r="F41091"/>
    </row>
    <row r="41092" spans="1:6" x14ac:dyDescent="0.25">
      <c r="A41092"/>
      <c r="B41092"/>
      <c r="C41092"/>
      <c r="E41092"/>
      <c r="F41092"/>
    </row>
    <row r="41093" spans="1:6" x14ac:dyDescent="0.25">
      <c r="A41093"/>
      <c r="B41093"/>
      <c r="C41093"/>
      <c r="E41093"/>
      <c r="F41093"/>
    </row>
    <row r="41094" spans="1:6" x14ac:dyDescent="0.25">
      <c r="A41094"/>
      <c r="B41094"/>
      <c r="C41094"/>
      <c r="E41094"/>
      <c r="F41094"/>
    </row>
    <row r="41095" spans="1:6" x14ac:dyDescent="0.25">
      <c r="A41095"/>
      <c r="B41095"/>
      <c r="C41095"/>
      <c r="E41095"/>
      <c r="F41095"/>
    </row>
    <row r="41096" spans="1:6" x14ac:dyDescent="0.25">
      <c r="A41096"/>
      <c r="B41096"/>
      <c r="C41096"/>
      <c r="E41096"/>
      <c r="F41096"/>
    </row>
    <row r="41097" spans="1:6" x14ac:dyDescent="0.25">
      <c r="A41097"/>
      <c r="B41097"/>
      <c r="C41097"/>
      <c r="E41097"/>
      <c r="F41097"/>
    </row>
    <row r="41098" spans="1:6" x14ac:dyDescent="0.25">
      <c r="A41098"/>
      <c r="B41098"/>
      <c r="C41098"/>
      <c r="E41098"/>
      <c r="F41098"/>
    </row>
    <row r="41099" spans="1:6" x14ac:dyDescent="0.25">
      <c r="A41099"/>
      <c r="B41099"/>
      <c r="C41099"/>
      <c r="E41099"/>
      <c r="F41099"/>
    </row>
    <row r="41100" spans="1:6" x14ac:dyDescent="0.25">
      <c r="A41100"/>
      <c r="B41100"/>
      <c r="C41100"/>
      <c r="E41100"/>
      <c r="F41100"/>
    </row>
    <row r="41101" spans="1:6" x14ac:dyDescent="0.25">
      <c r="A41101"/>
      <c r="B41101"/>
      <c r="C41101"/>
      <c r="E41101"/>
      <c r="F41101"/>
    </row>
    <row r="41102" spans="1:6" x14ac:dyDescent="0.25">
      <c r="A41102"/>
      <c r="B41102"/>
      <c r="C41102"/>
      <c r="E41102"/>
      <c r="F41102"/>
    </row>
    <row r="41103" spans="1:6" x14ac:dyDescent="0.25">
      <c r="A41103"/>
      <c r="B41103"/>
      <c r="C41103"/>
      <c r="E41103"/>
      <c r="F41103"/>
    </row>
    <row r="41104" spans="1:6" x14ac:dyDescent="0.25">
      <c r="A41104"/>
      <c r="B41104"/>
      <c r="C41104"/>
      <c r="E41104"/>
      <c r="F41104"/>
    </row>
    <row r="41105" spans="1:6" x14ac:dyDescent="0.25">
      <c r="A41105"/>
      <c r="B41105"/>
      <c r="C41105"/>
      <c r="E41105"/>
      <c r="F41105"/>
    </row>
    <row r="41106" spans="1:6" x14ac:dyDescent="0.25">
      <c r="A41106"/>
      <c r="B41106"/>
      <c r="C41106"/>
      <c r="E41106"/>
      <c r="F41106"/>
    </row>
    <row r="41107" spans="1:6" x14ac:dyDescent="0.25">
      <c r="A41107"/>
      <c r="B41107"/>
      <c r="C41107"/>
      <c r="E41107"/>
      <c r="F41107"/>
    </row>
    <row r="41108" spans="1:6" x14ac:dyDescent="0.25">
      <c r="A41108"/>
      <c r="B41108"/>
      <c r="C41108"/>
      <c r="E41108"/>
      <c r="F41108"/>
    </row>
    <row r="41109" spans="1:6" x14ac:dyDescent="0.25">
      <c r="A41109"/>
      <c r="B41109"/>
      <c r="C41109"/>
      <c r="E41109"/>
      <c r="F41109"/>
    </row>
    <row r="41110" spans="1:6" x14ac:dyDescent="0.25">
      <c r="A41110"/>
      <c r="B41110"/>
      <c r="C41110"/>
      <c r="E41110"/>
      <c r="F41110"/>
    </row>
    <row r="41111" spans="1:6" x14ac:dyDescent="0.25">
      <c r="A41111"/>
      <c r="B41111"/>
      <c r="C41111"/>
      <c r="E41111"/>
      <c r="F41111"/>
    </row>
    <row r="41112" spans="1:6" x14ac:dyDescent="0.25">
      <c r="A41112"/>
      <c r="B41112"/>
      <c r="C41112"/>
      <c r="E41112"/>
      <c r="F41112"/>
    </row>
    <row r="41113" spans="1:6" x14ac:dyDescent="0.25">
      <c r="A41113"/>
      <c r="B41113"/>
      <c r="C41113"/>
      <c r="E41113"/>
      <c r="F41113"/>
    </row>
    <row r="41114" spans="1:6" x14ac:dyDescent="0.25">
      <c r="A41114"/>
      <c r="B41114"/>
      <c r="C41114"/>
      <c r="E41114"/>
      <c r="F41114"/>
    </row>
    <row r="41115" spans="1:6" x14ac:dyDescent="0.25">
      <c r="A41115"/>
      <c r="B41115"/>
      <c r="C41115"/>
      <c r="E41115"/>
      <c r="F41115"/>
    </row>
    <row r="41116" spans="1:6" x14ac:dyDescent="0.25">
      <c r="A41116"/>
      <c r="B41116"/>
      <c r="C41116"/>
      <c r="E41116"/>
      <c r="F41116"/>
    </row>
    <row r="41117" spans="1:6" x14ac:dyDescent="0.25">
      <c r="A41117"/>
      <c r="B41117"/>
      <c r="C41117"/>
      <c r="E41117"/>
      <c r="F41117"/>
    </row>
    <row r="41118" spans="1:6" x14ac:dyDescent="0.25">
      <c r="A41118"/>
      <c r="B41118"/>
      <c r="C41118"/>
      <c r="E41118"/>
      <c r="F41118"/>
    </row>
    <row r="41119" spans="1:6" x14ac:dyDescent="0.25">
      <c r="A41119"/>
      <c r="B41119"/>
      <c r="C41119"/>
      <c r="E41119"/>
      <c r="F41119"/>
    </row>
    <row r="41120" spans="1:6" x14ac:dyDescent="0.25">
      <c r="A41120"/>
      <c r="B41120"/>
      <c r="C41120"/>
      <c r="E41120"/>
      <c r="F41120"/>
    </row>
    <row r="41121" spans="1:6" x14ac:dyDescent="0.25">
      <c r="A41121"/>
      <c r="B41121"/>
      <c r="C41121"/>
      <c r="E41121"/>
      <c r="F41121"/>
    </row>
    <row r="41122" spans="1:6" x14ac:dyDescent="0.25">
      <c r="A41122"/>
      <c r="B41122"/>
      <c r="C41122"/>
      <c r="E41122"/>
      <c r="F41122"/>
    </row>
    <row r="41123" spans="1:6" x14ac:dyDescent="0.25">
      <c r="A41123"/>
      <c r="B41123"/>
      <c r="C41123"/>
      <c r="E41123"/>
      <c r="F41123"/>
    </row>
    <row r="41124" spans="1:6" x14ac:dyDescent="0.25">
      <c r="A41124"/>
      <c r="B41124"/>
      <c r="C41124"/>
      <c r="E41124"/>
      <c r="F41124"/>
    </row>
    <row r="41125" spans="1:6" x14ac:dyDescent="0.25">
      <c r="A41125"/>
      <c r="B41125"/>
      <c r="C41125"/>
      <c r="E41125"/>
      <c r="F41125"/>
    </row>
    <row r="41126" spans="1:6" x14ac:dyDescent="0.25">
      <c r="A41126"/>
      <c r="B41126"/>
      <c r="C41126"/>
      <c r="E41126"/>
      <c r="F41126"/>
    </row>
    <row r="41127" spans="1:6" x14ac:dyDescent="0.25">
      <c r="A41127"/>
      <c r="B41127"/>
      <c r="C41127"/>
      <c r="E41127"/>
      <c r="F41127"/>
    </row>
    <row r="41128" spans="1:6" x14ac:dyDescent="0.25">
      <c r="A41128"/>
      <c r="B41128"/>
      <c r="C41128"/>
      <c r="E41128"/>
      <c r="F41128"/>
    </row>
    <row r="41129" spans="1:6" x14ac:dyDescent="0.25">
      <c r="A41129"/>
      <c r="B41129"/>
      <c r="C41129"/>
      <c r="E41129"/>
      <c r="F41129"/>
    </row>
    <row r="41130" spans="1:6" x14ac:dyDescent="0.25">
      <c r="A41130"/>
      <c r="B41130"/>
      <c r="C41130"/>
      <c r="E41130"/>
      <c r="F41130"/>
    </row>
    <row r="41131" spans="1:6" x14ac:dyDescent="0.25">
      <c r="A41131"/>
      <c r="B41131"/>
      <c r="C41131"/>
      <c r="E41131"/>
      <c r="F41131"/>
    </row>
    <row r="41132" spans="1:6" x14ac:dyDescent="0.25">
      <c r="A41132"/>
      <c r="B41132"/>
      <c r="C41132"/>
      <c r="E41132"/>
      <c r="F41132"/>
    </row>
    <row r="41133" spans="1:6" x14ac:dyDescent="0.25">
      <c r="A41133"/>
      <c r="B41133"/>
      <c r="C41133"/>
      <c r="E41133"/>
      <c r="F41133"/>
    </row>
    <row r="41134" spans="1:6" x14ac:dyDescent="0.25">
      <c r="A41134"/>
      <c r="B41134"/>
      <c r="C41134"/>
      <c r="E41134"/>
      <c r="F41134"/>
    </row>
    <row r="41135" spans="1:6" x14ac:dyDescent="0.25">
      <c r="A41135"/>
      <c r="B41135"/>
      <c r="C41135"/>
      <c r="E41135"/>
      <c r="F41135"/>
    </row>
    <row r="41136" spans="1:6" x14ac:dyDescent="0.25">
      <c r="A41136"/>
      <c r="B41136"/>
      <c r="C41136"/>
      <c r="E41136"/>
      <c r="F41136"/>
    </row>
    <row r="41137" spans="1:6" x14ac:dyDescent="0.25">
      <c r="A41137"/>
      <c r="B41137"/>
      <c r="C41137"/>
      <c r="E41137"/>
      <c r="F41137"/>
    </row>
    <row r="41138" spans="1:6" x14ac:dyDescent="0.25">
      <c r="A41138"/>
      <c r="B41138"/>
      <c r="C41138"/>
      <c r="E41138"/>
      <c r="F41138"/>
    </row>
    <row r="41139" spans="1:6" x14ac:dyDescent="0.25">
      <c r="A41139"/>
      <c r="B41139"/>
      <c r="C41139"/>
      <c r="E41139"/>
      <c r="F41139"/>
    </row>
    <row r="41140" spans="1:6" x14ac:dyDescent="0.25">
      <c r="A41140"/>
      <c r="B41140"/>
      <c r="C41140"/>
      <c r="E41140"/>
      <c r="F41140"/>
    </row>
    <row r="41141" spans="1:6" x14ac:dyDescent="0.25">
      <c r="A41141"/>
      <c r="B41141"/>
      <c r="C41141"/>
      <c r="E41141"/>
      <c r="F41141"/>
    </row>
    <row r="41142" spans="1:6" x14ac:dyDescent="0.25">
      <c r="A41142"/>
      <c r="B41142"/>
      <c r="C41142"/>
      <c r="E41142"/>
      <c r="F41142"/>
    </row>
    <row r="41143" spans="1:6" x14ac:dyDescent="0.25">
      <c r="A41143"/>
      <c r="B41143"/>
      <c r="C41143"/>
      <c r="E41143"/>
      <c r="F41143"/>
    </row>
    <row r="41144" spans="1:6" x14ac:dyDescent="0.25">
      <c r="A41144"/>
      <c r="B41144"/>
      <c r="C41144"/>
      <c r="E41144"/>
      <c r="F41144"/>
    </row>
    <row r="41145" spans="1:6" x14ac:dyDescent="0.25">
      <c r="A41145"/>
      <c r="B41145"/>
      <c r="C41145"/>
      <c r="E41145"/>
      <c r="F41145"/>
    </row>
    <row r="41146" spans="1:6" x14ac:dyDescent="0.25">
      <c r="A41146"/>
      <c r="B41146"/>
      <c r="C41146"/>
      <c r="E41146"/>
      <c r="F41146"/>
    </row>
    <row r="41147" spans="1:6" x14ac:dyDescent="0.25">
      <c r="A41147"/>
      <c r="B41147"/>
      <c r="C41147"/>
      <c r="E41147"/>
      <c r="F41147"/>
    </row>
    <row r="41148" spans="1:6" x14ac:dyDescent="0.25">
      <c r="A41148"/>
      <c r="B41148"/>
      <c r="C41148"/>
      <c r="E41148"/>
      <c r="F41148"/>
    </row>
    <row r="41149" spans="1:6" x14ac:dyDescent="0.25">
      <c r="A41149"/>
      <c r="B41149"/>
      <c r="C41149"/>
      <c r="E41149"/>
      <c r="F41149"/>
    </row>
    <row r="41150" spans="1:6" x14ac:dyDescent="0.25">
      <c r="A41150"/>
      <c r="B41150"/>
      <c r="C41150"/>
      <c r="E41150"/>
      <c r="F41150"/>
    </row>
    <row r="41151" spans="1:6" x14ac:dyDescent="0.25">
      <c r="A41151"/>
      <c r="B41151"/>
      <c r="C41151"/>
      <c r="E41151"/>
      <c r="F41151"/>
    </row>
    <row r="41152" spans="1:6" x14ac:dyDescent="0.25">
      <c r="A41152"/>
      <c r="B41152"/>
      <c r="C41152"/>
      <c r="E41152"/>
      <c r="F41152"/>
    </row>
    <row r="41153" spans="1:6" x14ac:dyDescent="0.25">
      <c r="A41153"/>
      <c r="B41153"/>
      <c r="C41153"/>
      <c r="E41153"/>
      <c r="F41153"/>
    </row>
    <row r="41154" spans="1:6" x14ac:dyDescent="0.25">
      <c r="A41154"/>
      <c r="B41154"/>
      <c r="C41154"/>
      <c r="E41154"/>
      <c r="F41154"/>
    </row>
    <row r="41155" spans="1:6" x14ac:dyDescent="0.25">
      <c r="A41155"/>
      <c r="B41155"/>
      <c r="C41155"/>
      <c r="E41155"/>
      <c r="F41155"/>
    </row>
    <row r="41156" spans="1:6" x14ac:dyDescent="0.25">
      <c r="A41156"/>
      <c r="B41156"/>
      <c r="C41156"/>
      <c r="E41156"/>
      <c r="F41156"/>
    </row>
    <row r="41157" spans="1:6" x14ac:dyDescent="0.25">
      <c r="A41157"/>
      <c r="B41157"/>
      <c r="C41157"/>
      <c r="E41157"/>
      <c r="F41157"/>
    </row>
    <row r="41158" spans="1:6" x14ac:dyDescent="0.25">
      <c r="A41158"/>
      <c r="B41158"/>
      <c r="C41158"/>
      <c r="E41158"/>
      <c r="F41158"/>
    </row>
    <row r="41159" spans="1:6" x14ac:dyDescent="0.25">
      <c r="A41159"/>
      <c r="B41159"/>
      <c r="C41159"/>
      <c r="E41159"/>
      <c r="F41159"/>
    </row>
    <row r="41160" spans="1:6" x14ac:dyDescent="0.25">
      <c r="A41160"/>
      <c r="B41160"/>
      <c r="C41160"/>
      <c r="E41160"/>
      <c r="F41160"/>
    </row>
    <row r="41161" spans="1:6" x14ac:dyDescent="0.25">
      <c r="A41161"/>
      <c r="B41161"/>
      <c r="C41161"/>
      <c r="E41161"/>
      <c r="F41161"/>
    </row>
    <row r="41162" spans="1:6" x14ac:dyDescent="0.25">
      <c r="A41162"/>
      <c r="B41162"/>
      <c r="C41162"/>
      <c r="E41162"/>
      <c r="F41162"/>
    </row>
    <row r="41163" spans="1:6" x14ac:dyDescent="0.25">
      <c r="A41163"/>
      <c r="B41163"/>
      <c r="C41163"/>
      <c r="E41163"/>
      <c r="F41163"/>
    </row>
    <row r="41164" spans="1:6" x14ac:dyDescent="0.25">
      <c r="A41164"/>
      <c r="B41164"/>
      <c r="C41164"/>
      <c r="E41164"/>
      <c r="F41164"/>
    </row>
    <row r="41165" spans="1:6" x14ac:dyDescent="0.25">
      <c r="A41165"/>
      <c r="B41165"/>
      <c r="C41165"/>
      <c r="E41165"/>
      <c r="F41165"/>
    </row>
    <row r="41166" spans="1:6" x14ac:dyDescent="0.25">
      <c r="A41166"/>
      <c r="B41166"/>
      <c r="C41166"/>
      <c r="E41166"/>
      <c r="F41166"/>
    </row>
    <row r="41167" spans="1:6" x14ac:dyDescent="0.25">
      <c r="A41167"/>
      <c r="B41167"/>
      <c r="C41167"/>
      <c r="E41167"/>
      <c r="F41167"/>
    </row>
    <row r="41168" spans="1:6" x14ac:dyDescent="0.25">
      <c r="A41168"/>
      <c r="B41168"/>
      <c r="C41168"/>
      <c r="E41168"/>
      <c r="F41168"/>
    </row>
    <row r="41169" spans="1:6" x14ac:dyDescent="0.25">
      <c r="A41169"/>
      <c r="B41169"/>
      <c r="C41169"/>
      <c r="E41169"/>
      <c r="F41169"/>
    </row>
    <row r="41170" spans="1:6" x14ac:dyDescent="0.25">
      <c r="A41170"/>
      <c r="B41170"/>
      <c r="C41170"/>
      <c r="E41170"/>
      <c r="F41170"/>
    </row>
    <row r="41171" spans="1:6" x14ac:dyDescent="0.25">
      <c r="A41171"/>
      <c r="B41171"/>
      <c r="C41171"/>
      <c r="E41171"/>
      <c r="F41171"/>
    </row>
    <row r="41172" spans="1:6" x14ac:dyDescent="0.25">
      <c r="A41172"/>
      <c r="B41172"/>
      <c r="C41172"/>
      <c r="E41172"/>
      <c r="F41172"/>
    </row>
    <row r="41173" spans="1:6" x14ac:dyDescent="0.25">
      <c r="A41173"/>
      <c r="B41173"/>
      <c r="C41173"/>
      <c r="E41173"/>
      <c r="F41173"/>
    </row>
    <row r="41174" spans="1:6" x14ac:dyDescent="0.25">
      <c r="A41174"/>
      <c r="B41174"/>
      <c r="C41174"/>
      <c r="E41174"/>
      <c r="F41174"/>
    </row>
    <row r="41175" spans="1:6" x14ac:dyDescent="0.25">
      <c r="A41175"/>
      <c r="B41175"/>
      <c r="C41175"/>
      <c r="E41175"/>
      <c r="F41175"/>
    </row>
    <row r="41176" spans="1:6" x14ac:dyDescent="0.25">
      <c r="A41176"/>
      <c r="B41176"/>
      <c r="C41176"/>
      <c r="E41176"/>
      <c r="F41176"/>
    </row>
    <row r="41177" spans="1:6" x14ac:dyDescent="0.25">
      <c r="A41177"/>
      <c r="B41177"/>
      <c r="C41177"/>
      <c r="E41177"/>
      <c r="F41177"/>
    </row>
    <row r="41178" spans="1:6" x14ac:dyDescent="0.25">
      <c r="A41178"/>
      <c r="B41178"/>
      <c r="C41178"/>
      <c r="E41178"/>
      <c r="F41178"/>
    </row>
    <row r="41179" spans="1:6" x14ac:dyDescent="0.25">
      <c r="A41179"/>
      <c r="B41179"/>
      <c r="C41179"/>
      <c r="E41179"/>
      <c r="F41179"/>
    </row>
    <row r="41180" spans="1:6" x14ac:dyDescent="0.25">
      <c r="A41180"/>
      <c r="B41180"/>
      <c r="C41180"/>
      <c r="E41180"/>
      <c r="F41180"/>
    </row>
    <row r="41181" spans="1:6" x14ac:dyDescent="0.25">
      <c r="A41181"/>
      <c r="B41181"/>
      <c r="C41181"/>
      <c r="E41181"/>
      <c r="F41181"/>
    </row>
    <row r="41182" spans="1:6" x14ac:dyDescent="0.25">
      <c r="A41182"/>
      <c r="B41182"/>
      <c r="C41182"/>
      <c r="E41182"/>
      <c r="F41182"/>
    </row>
    <row r="41183" spans="1:6" x14ac:dyDescent="0.25">
      <c r="A41183"/>
      <c r="B41183"/>
      <c r="C41183"/>
      <c r="E41183"/>
      <c r="F41183"/>
    </row>
    <row r="41184" spans="1:6" x14ac:dyDescent="0.25">
      <c r="A41184"/>
      <c r="B41184"/>
      <c r="C41184"/>
      <c r="E41184"/>
      <c r="F41184"/>
    </row>
    <row r="41185" spans="1:6" x14ac:dyDescent="0.25">
      <c r="A41185"/>
      <c r="B41185"/>
      <c r="C41185"/>
      <c r="E41185"/>
      <c r="F41185"/>
    </row>
    <row r="41186" spans="1:6" x14ac:dyDescent="0.25">
      <c r="A41186"/>
      <c r="B41186"/>
      <c r="C41186"/>
      <c r="E41186"/>
      <c r="F41186"/>
    </row>
    <row r="41187" spans="1:6" x14ac:dyDescent="0.25">
      <c r="A41187"/>
      <c r="B41187"/>
      <c r="C41187"/>
      <c r="E41187"/>
      <c r="F41187"/>
    </row>
    <row r="41188" spans="1:6" x14ac:dyDescent="0.25">
      <c r="A41188"/>
      <c r="B41188"/>
      <c r="C41188"/>
      <c r="E41188"/>
      <c r="F41188"/>
    </row>
    <row r="41189" spans="1:6" x14ac:dyDescent="0.25">
      <c r="A41189"/>
      <c r="B41189"/>
      <c r="C41189"/>
      <c r="E41189"/>
      <c r="F41189"/>
    </row>
    <row r="41190" spans="1:6" x14ac:dyDescent="0.25">
      <c r="A41190"/>
      <c r="B41190"/>
      <c r="C41190"/>
      <c r="E41190"/>
      <c r="F41190"/>
    </row>
    <row r="41191" spans="1:6" x14ac:dyDescent="0.25">
      <c r="A41191"/>
      <c r="B41191"/>
      <c r="C41191"/>
      <c r="E41191"/>
      <c r="F41191"/>
    </row>
    <row r="41192" spans="1:6" x14ac:dyDescent="0.25">
      <c r="A41192"/>
      <c r="B41192"/>
      <c r="C41192"/>
      <c r="E41192"/>
      <c r="F41192"/>
    </row>
    <row r="41193" spans="1:6" x14ac:dyDescent="0.25">
      <c r="A41193"/>
      <c r="B41193"/>
      <c r="C41193"/>
      <c r="E41193"/>
      <c r="F41193"/>
    </row>
    <row r="41194" spans="1:6" x14ac:dyDescent="0.25">
      <c r="A41194"/>
      <c r="B41194"/>
      <c r="C41194"/>
      <c r="E41194"/>
      <c r="F41194"/>
    </row>
    <row r="41195" spans="1:6" x14ac:dyDescent="0.25">
      <c r="A41195"/>
      <c r="B41195"/>
      <c r="C41195"/>
      <c r="E41195"/>
      <c r="F41195"/>
    </row>
    <row r="41196" spans="1:6" x14ac:dyDescent="0.25">
      <c r="A41196"/>
      <c r="B41196"/>
      <c r="C41196"/>
      <c r="E41196"/>
      <c r="F41196"/>
    </row>
    <row r="41197" spans="1:6" x14ac:dyDescent="0.25">
      <c r="A41197"/>
      <c r="B41197"/>
      <c r="C41197"/>
      <c r="E41197"/>
      <c r="F41197"/>
    </row>
    <row r="41198" spans="1:6" x14ac:dyDescent="0.25">
      <c r="A41198"/>
      <c r="B41198"/>
      <c r="C41198"/>
      <c r="E41198"/>
      <c r="F41198"/>
    </row>
    <row r="41199" spans="1:6" x14ac:dyDescent="0.25">
      <c r="A41199"/>
      <c r="B41199"/>
      <c r="C41199"/>
      <c r="E41199"/>
      <c r="F41199"/>
    </row>
    <row r="41200" spans="1:6" x14ac:dyDescent="0.25">
      <c r="A41200"/>
      <c r="B41200"/>
      <c r="C41200"/>
      <c r="E41200"/>
      <c r="F41200"/>
    </row>
    <row r="41201" spans="1:6" x14ac:dyDescent="0.25">
      <c r="A41201"/>
      <c r="B41201"/>
      <c r="C41201"/>
      <c r="E41201"/>
      <c r="F41201"/>
    </row>
    <row r="41202" spans="1:6" x14ac:dyDescent="0.25">
      <c r="A41202"/>
      <c r="B41202"/>
      <c r="C41202"/>
      <c r="E41202"/>
      <c r="F41202"/>
    </row>
    <row r="41203" spans="1:6" x14ac:dyDescent="0.25">
      <c r="A41203"/>
      <c r="B41203"/>
      <c r="C41203"/>
      <c r="E41203"/>
      <c r="F41203"/>
    </row>
    <row r="41204" spans="1:6" x14ac:dyDescent="0.25">
      <c r="A41204"/>
      <c r="B41204"/>
      <c r="C41204"/>
      <c r="E41204"/>
      <c r="F41204"/>
    </row>
    <row r="41205" spans="1:6" x14ac:dyDescent="0.25">
      <c r="A41205"/>
      <c r="B41205"/>
      <c r="C41205"/>
      <c r="E41205"/>
      <c r="F41205"/>
    </row>
    <row r="41206" spans="1:6" x14ac:dyDescent="0.25">
      <c r="A41206"/>
      <c r="B41206"/>
      <c r="C41206"/>
      <c r="E41206"/>
      <c r="F41206"/>
    </row>
    <row r="41207" spans="1:6" x14ac:dyDescent="0.25">
      <c r="A41207"/>
      <c r="B41207"/>
      <c r="C41207"/>
      <c r="E41207"/>
      <c r="F41207"/>
    </row>
    <row r="41208" spans="1:6" x14ac:dyDescent="0.25">
      <c r="A41208"/>
      <c r="B41208"/>
      <c r="C41208"/>
      <c r="E41208"/>
      <c r="F41208"/>
    </row>
    <row r="41209" spans="1:6" x14ac:dyDescent="0.25">
      <c r="A41209"/>
      <c r="B41209"/>
      <c r="C41209"/>
      <c r="E41209"/>
      <c r="F41209"/>
    </row>
    <row r="41210" spans="1:6" x14ac:dyDescent="0.25">
      <c r="A41210"/>
      <c r="B41210"/>
      <c r="C41210"/>
      <c r="E41210"/>
      <c r="F41210"/>
    </row>
    <row r="41211" spans="1:6" x14ac:dyDescent="0.25">
      <c r="A41211"/>
      <c r="B41211"/>
      <c r="C41211"/>
      <c r="E41211"/>
      <c r="F41211"/>
    </row>
    <row r="41212" spans="1:6" x14ac:dyDescent="0.25">
      <c r="A41212"/>
      <c r="B41212"/>
      <c r="C41212"/>
      <c r="E41212"/>
      <c r="F41212"/>
    </row>
    <row r="41213" spans="1:6" x14ac:dyDescent="0.25">
      <c r="A41213"/>
      <c r="B41213"/>
      <c r="C41213"/>
      <c r="E41213"/>
      <c r="F41213"/>
    </row>
    <row r="41214" spans="1:6" x14ac:dyDescent="0.25">
      <c r="A41214"/>
      <c r="B41214"/>
      <c r="C41214"/>
      <c r="E41214"/>
      <c r="F41214"/>
    </row>
    <row r="41215" spans="1:6" x14ac:dyDescent="0.25">
      <c r="A41215"/>
      <c r="B41215"/>
      <c r="C41215"/>
      <c r="E41215"/>
      <c r="F41215"/>
    </row>
    <row r="41216" spans="1:6" x14ac:dyDescent="0.25">
      <c r="A41216"/>
      <c r="B41216"/>
      <c r="C41216"/>
      <c r="E41216"/>
      <c r="F41216"/>
    </row>
    <row r="41217" spans="1:6" x14ac:dyDescent="0.25">
      <c r="A41217"/>
      <c r="B41217"/>
      <c r="C41217"/>
      <c r="E41217"/>
      <c r="F41217"/>
    </row>
    <row r="41218" spans="1:6" x14ac:dyDescent="0.25">
      <c r="A41218"/>
      <c r="B41218"/>
      <c r="C41218"/>
      <c r="E41218"/>
      <c r="F41218"/>
    </row>
    <row r="41219" spans="1:6" x14ac:dyDescent="0.25">
      <c r="A41219"/>
      <c r="B41219"/>
      <c r="C41219"/>
      <c r="E41219"/>
      <c r="F41219"/>
    </row>
    <row r="41220" spans="1:6" x14ac:dyDescent="0.25">
      <c r="A41220"/>
      <c r="B41220"/>
      <c r="C41220"/>
      <c r="E41220"/>
      <c r="F41220"/>
    </row>
    <row r="41221" spans="1:6" x14ac:dyDescent="0.25">
      <c r="A41221"/>
      <c r="B41221"/>
      <c r="C41221"/>
      <c r="E41221"/>
      <c r="F41221"/>
    </row>
    <row r="41222" spans="1:6" x14ac:dyDescent="0.25">
      <c r="A41222"/>
      <c r="B41222"/>
      <c r="C41222"/>
      <c r="E41222"/>
      <c r="F41222"/>
    </row>
    <row r="41223" spans="1:6" x14ac:dyDescent="0.25">
      <c r="A41223"/>
      <c r="B41223"/>
      <c r="C41223"/>
      <c r="E41223"/>
      <c r="F41223"/>
    </row>
    <row r="41224" spans="1:6" x14ac:dyDescent="0.25">
      <c r="A41224"/>
      <c r="B41224"/>
      <c r="C41224"/>
      <c r="E41224"/>
      <c r="F41224"/>
    </row>
    <row r="41225" spans="1:6" x14ac:dyDescent="0.25">
      <c r="A41225"/>
      <c r="B41225"/>
      <c r="C41225"/>
      <c r="E41225"/>
      <c r="F41225"/>
    </row>
    <row r="41226" spans="1:6" x14ac:dyDescent="0.25">
      <c r="A41226"/>
      <c r="B41226"/>
      <c r="C41226"/>
      <c r="E41226"/>
      <c r="F41226"/>
    </row>
    <row r="41227" spans="1:6" x14ac:dyDescent="0.25">
      <c r="A41227"/>
      <c r="B41227"/>
      <c r="C41227"/>
      <c r="E41227"/>
      <c r="F41227"/>
    </row>
    <row r="41228" spans="1:6" x14ac:dyDescent="0.25">
      <c r="A41228"/>
      <c r="B41228"/>
      <c r="C41228"/>
      <c r="E41228"/>
      <c r="F41228"/>
    </row>
    <row r="41229" spans="1:6" x14ac:dyDescent="0.25">
      <c r="A41229"/>
      <c r="B41229"/>
      <c r="C41229"/>
      <c r="E41229"/>
      <c r="F41229"/>
    </row>
    <row r="41230" spans="1:6" x14ac:dyDescent="0.25">
      <c r="A41230"/>
      <c r="B41230"/>
      <c r="C41230"/>
      <c r="E41230"/>
      <c r="F41230"/>
    </row>
    <row r="41231" spans="1:6" x14ac:dyDescent="0.25">
      <c r="A41231"/>
      <c r="B41231"/>
      <c r="C41231"/>
      <c r="E41231"/>
      <c r="F41231"/>
    </row>
    <row r="41232" spans="1:6" x14ac:dyDescent="0.25">
      <c r="A41232"/>
      <c r="B41232"/>
      <c r="C41232"/>
      <c r="E41232"/>
      <c r="F41232"/>
    </row>
    <row r="41233" spans="1:6" x14ac:dyDescent="0.25">
      <c r="A41233"/>
      <c r="B41233"/>
      <c r="C41233"/>
      <c r="E41233"/>
      <c r="F41233"/>
    </row>
    <row r="41234" spans="1:6" x14ac:dyDescent="0.25">
      <c r="A41234"/>
      <c r="B41234"/>
      <c r="C41234"/>
      <c r="E41234"/>
      <c r="F41234"/>
    </row>
    <row r="41235" spans="1:6" x14ac:dyDescent="0.25">
      <c r="A41235"/>
      <c r="B41235"/>
      <c r="C41235"/>
      <c r="E41235"/>
      <c r="F41235"/>
    </row>
    <row r="41236" spans="1:6" x14ac:dyDescent="0.25">
      <c r="A41236"/>
      <c r="B41236"/>
      <c r="C41236"/>
      <c r="E41236"/>
      <c r="F41236"/>
    </row>
    <row r="41237" spans="1:6" x14ac:dyDescent="0.25">
      <c r="A41237"/>
      <c r="B41237"/>
      <c r="C41237"/>
      <c r="E41237"/>
      <c r="F41237"/>
    </row>
    <row r="41238" spans="1:6" x14ac:dyDescent="0.25">
      <c r="A41238"/>
      <c r="B41238"/>
      <c r="C41238"/>
      <c r="E41238"/>
      <c r="F41238"/>
    </row>
    <row r="41239" spans="1:6" x14ac:dyDescent="0.25">
      <c r="A41239"/>
      <c r="B41239"/>
      <c r="C41239"/>
      <c r="E41239"/>
      <c r="F41239"/>
    </row>
    <row r="41240" spans="1:6" x14ac:dyDescent="0.25">
      <c r="A41240"/>
      <c r="B41240"/>
      <c r="C41240"/>
      <c r="E41240"/>
      <c r="F41240"/>
    </row>
    <row r="41241" spans="1:6" x14ac:dyDescent="0.25">
      <c r="A41241"/>
      <c r="B41241"/>
      <c r="C41241"/>
      <c r="E41241"/>
      <c r="F41241"/>
    </row>
    <row r="41242" spans="1:6" x14ac:dyDescent="0.25">
      <c r="A41242"/>
      <c r="B41242"/>
      <c r="C41242"/>
      <c r="E41242"/>
      <c r="F41242"/>
    </row>
    <row r="41243" spans="1:6" x14ac:dyDescent="0.25">
      <c r="A41243"/>
      <c r="B41243"/>
      <c r="C41243"/>
      <c r="E41243"/>
      <c r="F41243"/>
    </row>
    <row r="41244" spans="1:6" x14ac:dyDescent="0.25">
      <c r="A41244"/>
      <c r="B41244"/>
      <c r="C41244"/>
      <c r="E41244"/>
      <c r="F41244"/>
    </row>
    <row r="41245" spans="1:6" x14ac:dyDescent="0.25">
      <c r="A41245"/>
      <c r="B41245"/>
      <c r="C41245"/>
      <c r="E41245"/>
      <c r="F41245"/>
    </row>
    <row r="41246" spans="1:6" x14ac:dyDescent="0.25">
      <c r="A41246"/>
      <c r="B41246"/>
      <c r="C41246"/>
      <c r="E41246"/>
      <c r="F41246"/>
    </row>
    <row r="41247" spans="1:6" x14ac:dyDescent="0.25">
      <c r="A41247"/>
      <c r="B41247"/>
      <c r="C41247"/>
      <c r="E41247"/>
      <c r="F41247"/>
    </row>
    <row r="41248" spans="1:6" x14ac:dyDescent="0.25">
      <c r="A41248"/>
      <c r="B41248"/>
      <c r="C41248"/>
      <c r="E41248"/>
      <c r="F41248"/>
    </row>
    <row r="41249" spans="1:6" x14ac:dyDescent="0.25">
      <c r="A41249"/>
      <c r="B41249"/>
      <c r="C41249"/>
      <c r="E41249"/>
      <c r="F41249"/>
    </row>
    <row r="41250" spans="1:6" x14ac:dyDescent="0.25">
      <c r="A41250"/>
      <c r="B41250"/>
      <c r="C41250"/>
      <c r="E41250"/>
      <c r="F41250"/>
    </row>
    <row r="41251" spans="1:6" x14ac:dyDescent="0.25">
      <c r="A41251"/>
      <c r="B41251"/>
      <c r="C41251"/>
      <c r="E41251"/>
      <c r="F41251"/>
    </row>
    <row r="41252" spans="1:6" x14ac:dyDescent="0.25">
      <c r="A41252"/>
      <c r="B41252"/>
      <c r="C41252"/>
      <c r="E41252"/>
      <c r="F41252"/>
    </row>
    <row r="41253" spans="1:6" x14ac:dyDescent="0.25">
      <c r="A41253"/>
      <c r="B41253"/>
      <c r="C41253"/>
      <c r="E41253"/>
      <c r="F41253"/>
    </row>
    <row r="41254" spans="1:6" x14ac:dyDescent="0.25">
      <c r="A41254"/>
      <c r="B41254"/>
      <c r="C41254"/>
      <c r="E41254"/>
      <c r="F41254"/>
    </row>
    <row r="41255" spans="1:6" x14ac:dyDescent="0.25">
      <c r="A41255"/>
      <c r="B41255"/>
      <c r="C41255"/>
      <c r="E41255"/>
      <c r="F41255"/>
    </row>
    <row r="41256" spans="1:6" x14ac:dyDescent="0.25">
      <c r="A41256"/>
      <c r="B41256"/>
      <c r="C41256"/>
      <c r="E41256"/>
      <c r="F41256"/>
    </row>
    <row r="41257" spans="1:6" x14ac:dyDescent="0.25">
      <c r="A41257"/>
      <c r="B41257"/>
      <c r="C41257"/>
      <c r="E41257"/>
      <c r="F41257"/>
    </row>
    <row r="41258" spans="1:6" x14ac:dyDescent="0.25">
      <c r="A41258"/>
      <c r="B41258"/>
      <c r="C41258"/>
      <c r="E41258"/>
      <c r="F41258"/>
    </row>
    <row r="41259" spans="1:6" x14ac:dyDescent="0.25">
      <c r="A41259"/>
      <c r="B41259"/>
      <c r="C41259"/>
      <c r="E41259"/>
      <c r="F41259"/>
    </row>
    <row r="41260" spans="1:6" x14ac:dyDescent="0.25">
      <c r="A41260"/>
      <c r="B41260"/>
      <c r="C41260"/>
      <c r="E41260"/>
      <c r="F41260"/>
    </row>
    <row r="41261" spans="1:6" x14ac:dyDescent="0.25">
      <c r="A41261"/>
      <c r="B41261"/>
      <c r="C41261"/>
      <c r="E41261"/>
      <c r="F41261"/>
    </row>
    <row r="41262" spans="1:6" x14ac:dyDescent="0.25">
      <c r="A41262"/>
      <c r="B41262"/>
      <c r="C41262"/>
      <c r="E41262"/>
      <c r="F41262"/>
    </row>
    <row r="41263" spans="1:6" x14ac:dyDescent="0.25">
      <c r="A41263"/>
      <c r="B41263"/>
      <c r="C41263"/>
      <c r="E41263"/>
      <c r="F41263"/>
    </row>
    <row r="41264" spans="1:6" x14ac:dyDescent="0.25">
      <c r="A41264"/>
      <c r="B41264"/>
      <c r="C41264"/>
      <c r="E41264"/>
      <c r="F41264"/>
    </row>
    <row r="41265" spans="1:6" x14ac:dyDescent="0.25">
      <c r="A41265"/>
      <c r="B41265"/>
      <c r="C41265"/>
      <c r="E41265"/>
      <c r="F41265"/>
    </row>
    <row r="41266" spans="1:6" x14ac:dyDescent="0.25">
      <c r="A41266"/>
      <c r="B41266"/>
      <c r="C41266"/>
      <c r="E41266"/>
      <c r="F41266"/>
    </row>
    <row r="41267" spans="1:6" x14ac:dyDescent="0.25">
      <c r="A41267"/>
      <c r="B41267"/>
      <c r="C41267"/>
      <c r="E41267"/>
      <c r="F41267"/>
    </row>
    <row r="41268" spans="1:6" x14ac:dyDescent="0.25">
      <c r="A41268"/>
      <c r="B41268"/>
      <c r="C41268"/>
      <c r="E41268"/>
      <c r="F41268"/>
    </row>
    <row r="41269" spans="1:6" x14ac:dyDescent="0.25">
      <c r="A41269"/>
      <c r="B41269"/>
      <c r="C41269"/>
      <c r="E41269"/>
      <c r="F41269"/>
    </row>
    <row r="41270" spans="1:6" x14ac:dyDescent="0.25">
      <c r="A41270"/>
      <c r="B41270"/>
      <c r="C41270"/>
      <c r="E41270"/>
      <c r="F41270"/>
    </row>
    <row r="41271" spans="1:6" x14ac:dyDescent="0.25">
      <c r="A41271"/>
      <c r="B41271"/>
      <c r="C41271"/>
      <c r="E41271"/>
      <c r="F41271"/>
    </row>
    <row r="41272" spans="1:6" x14ac:dyDescent="0.25">
      <c r="A41272"/>
      <c r="B41272"/>
      <c r="C41272"/>
      <c r="E41272"/>
      <c r="F41272"/>
    </row>
    <row r="41273" spans="1:6" x14ac:dyDescent="0.25">
      <c r="A41273"/>
      <c r="B41273"/>
      <c r="C41273"/>
      <c r="E41273"/>
      <c r="F41273"/>
    </row>
    <row r="41274" spans="1:6" x14ac:dyDescent="0.25">
      <c r="A41274"/>
      <c r="B41274"/>
      <c r="C41274"/>
      <c r="E41274"/>
      <c r="F41274"/>
    </row>
    <row r="41275" spans="1:6" x14ac:dyDescent="0.25">
      <c r="A41275"/>
      <c r="B41275"/>
      <c r="C41275"/>
      <c r="E41275"/>
      <c r="F41275"/>
    </row>
    <row r="41276" spans="1:6" x14ac:dyDescent="0.25">
      <c r="A41276"/>
      <c r="B41276"/>
      <c r="C41276"/>
      <c r="E41276"/>
      <c r="F41276"/>
    </row>
    <row r="41277" spans="1:6" x14ac:dyDescent="0.25">
      <c r="A41277"/>
      <c r="B41277"/>
      <c r="C41277"/>
      <c r="E41277"/>
      <c r="F41277"/>
    </row>
    <row r="41278" spans="1:6" x14ac:dyDescent="0.25">
      <c r="A41278"/>
      <c r="B41278"/>
      <c r="C41278"/>
      <c r="E41278"/>
      <c r="F41278"/>
    </row>
    <row r="41279" spans="1:6" x14ac:dyDescent="0.25">
      <c r="A41279"/>
      <c r="B41279"/>
      <c r="C41279"/>
      <c r="E41279"/>
      <c r="F41279"/>
    </row>
    <row r="41280" spans="1:6" x14ac:dyDescent="0.25">
      <c r="A41280"/>
      <c r="B41280"/>
      <c r="C41280"/>
      <c r="E41280"/>
      <c r="F41280"/>
    </row>
    <row r="41281" spans="1:6" x14ac:dyDescent="0.25">
      <c r="A41281"/>
      <c r="B41281"/>
      <c r="C41281"/>
      <c r="E41281"/>
      <c r="F41281"/>
    </row>
    <row r="41282" spans="1:6" x14ac:dyDescent="0.25">
      <c r="A41282"/>
      <c r="B41282"/>
      <c r="C41282"/>
      <c r="E41282"/>
      <c r="F41282"/>
    </row>
    <row r="41283" spans="1:6" x14ac:dyDescent="0.25">
      <c r="A41283"/>
      <c r="B41283"/>
      <c r="C41283"/>
      <c r="E41283"/>
      <c r="F41283"/>
    </row>
    <row r="41284" spans="1:6" x14ac:dyDescent="0.25">
      <c r="A41284"/>
      <c r="B41284"/>
      <c r="C41284"/>
      <c r="E41284"/>
      <c r="F41284"/>
    </row>
    <row r="41285" spans="1:6" x14ac:dyDescent="0.25">
      <c r="A41285"/>
      <c r="B41285"/>
      <c r="C41285"/>
      <c r="E41285"/>
      <c r="F41285"/>
    </row>
    <row r="41286" spans="1:6" x14ac:dyDescent="0.25">
      <c r="A41286"/>
      <c r="B41286"/>
      <c r="C41286"/>
      <c r="E41286"/>
      <c r="F41286"/>
    </row>
    <row r="41287" spans="1:6" x14ac:dyDescent="0.25">
      <c r="A41287"/>
      <c r="B41287"/>
      <c r="C41287"/>
      <c r="E41287"/>
      <c r="F41287"/>
    </row>
    <row r="41288" spans="1:6" x14ac:dyDescent="0.25">
      <c r="A41288"/>
      <c r="B41288"/>
      <c r="C41288"/>
      <c r="E41288"/>
      <c r="F41288"/>
    </row>
    <row r="41289" spans="1:6" x14ac:dyDescent="0.25">
      <c r="A41289"/>
      <c r="B41289"/>
      <c r="C41289"/>
      <c r="E41289"/>
      <c r="F41289"/>
    </row>
    <row r="41290" spans="1:6" x14ac:dyDescent="0.25">
      <c r="A41290"/>
      <c r="B41290"/>
      <c r="C41290"/>
      <c r="E41290"/>
      <c r="F41290"/>
    </row>
    <row r="41291" spans="1:6" x14ac:dyDescent="0.25">
      <c r="A41291"/>
      <c r="B41291"/>
      <c r="C41291"/>
      <c r="E41291"/>
      <c r="F41291"/>
    </row>
    <row r="41292" spans="1:6" x14ac:dyDescent="0.25">
      <c r="A41292"/>
      <c r="B41292"/>
      <c r="C41292"/>
      <c r="E41292"/>
      <c r="F41292"/>
    </row>
    <row r="41293" spans="1:6" x14ac:dyDescent="0.25">
      <c r="A41293"/>
      <c r="B41293"/>
      <c r="C41293"/>
      <c r="E41293"/>
      <c r="F41293"/>
    </row>
    <row r="41294" spans="1:6" x14ac:dyDescent="0.25">
      <c r="A41294"/>
      <c r="B41294"/>
      <c r="C41294"/>
      <c r="E41294"/>
      <c r="F41294"/>
    </row>
    <row r="41295" spans="1:6" x14ac:dyDescent="0.25">
      <c r="A41295"/>
      <c r="B41295"/>
      <c r="C41295"/>
      <c r="E41295"/>
      <c r="F41295"/>
    </row>
    <row r="41296" spans="1:6" x14ac:dyDescent="0.25">
      <c r="A41296"/>
      <c r="B41296"/>
      <c r="C41296"/>
      <c r="E41296"/>
      <c r="F41296"/>
    </row>
    <row r="41297" spans="1:6" x14ac:dyDescent="0.25">
      <c r="A41297"/>
      <c r="B41297"/>
      <c r="C41297"/>
      <c r="E41297"/>
      <c r="F41297"/>
    </row>
    <row r="41298" spans="1:6" x14ac:dyDescent="0.25">
      <c r="A41298"/>
      <c r="B41298"/>
      <c r="C41298"/>
      <c r="E41298"/>
      <c r="F41298"/>
    </row>
    <row r="41299" spans="1:6" x14ac:dyDescent="0.25">
      <c r="A41299"/>
      <c r="B41299"/>
      <c r="C41299"/>
      <c r="E41299"/>
      <c r="F41299"/>
    </row>
    <row r="41300" spans="1:6" x14ac:dyDescent="0.25">
      <c r="A41300"/>
      <c r="B41300"/>
      <c r="C41300"/>
      <c r="E41300"/>
      <c r="F41300"/>
    </row>
    <row r="41301" spans="1:6" x14ac:dyDescent="0.25">
      <c r="A41301"/>
      <c r="B41301"/>
      <c r="C41301"/>
      <c r="E41301"/>
      <c r="F41301"/>
    </row>
    <row r="41302" spans="1:6" x14ac:dyDescent="0.25">
      <c r="A41302"/>
      <c r="B41302"/>
      <c r="C41302"/>
      <c r="E41302"/>
      <c r="F41302"/>
    </row>
    <row r="41303" spans="1:6" x14ac:dyDescent="0.25">
      <c r="A41303"/>
      <c r="B41303"/>
      <c r="C41303"/>
      <c r="E41303"/>
      <c r="F41303"/>
    </row>
    <row r="41304" spans="1:6" x14ac:dyDescent="0.25">
      <c r="A41304"/>
      <c r="B41304"/>
      <c r="C41304"/>
      <c r="E41304"/>
      <c r="F41304"/>
    </row>
    <row r="41305" spans="1:6" x14ac:dyDescent="0.25">
      <c r="A41305"/>
      <c r="B41305"/>
      <c r="C41305"/>
      <c r="E41305"/>
      <c r="F41305"/>
    </row>
    <row r="41306" spans="1:6" x14ac:dyDescent="0.25">
      <c r="A41306"/>
      <c r="B41306"/>
      <c r="C41306"/>
      <c r="E41306"/>
      <c r="F41306"/>
    </row>
    <row r="41307" spans="1:6" x14ac:dyDescent="0.25">
      <c r="A41307"/>
      <c r="B41307"/>
      <c r="C41307"/>
      <c r="E41307"/>
      <c r="F41307"/>
    </row>
    <row r="41308" spans="1:6" x14ac:dyDescent="0.25">
      <c r="A41308"/>
      <c r="B41308"/>
      <c r="C41308"/>
      <c r="E41308"/>
      <c r="F41308"/>
    </row>
    <row r="41309" spans="1:6" x14ac:dyDescent="0.25">
      <c r="A41309"/>
      <c r="B41309"/>
      <c r="C41309"/>
      <c r="E41309"/>
      <c r="F41309"/>
    </row>
    <row r="41310" spans="1:6" x14ac:dyDescent="0.25">
      <c r="A41310"/>
      <c r="B41310"/>
      <c r="C41310"/>
      <c r="E41310"/>
      <c r="F41310"/>
    </row>
    <row r="41311" spans="1:6" x14ac:dyDescent="0.25">
      <c r="A41311"/>
      <c r="B41311"/>
      <c r="C41311"/>
      <c r="E41311"/>
      <c r="F41311"/>
    </row>
    <row r="41312" spans="1:6" x14ac:dyDescent="0.25">
      <c r="A41312"/>
      <c r="B41312"/>
      <c r="C41312"/>
      <c r="E41312"/>
      <c r="F41312"/>
    </row>
    <row r="41313" spans="1:6" x14ac:dyDescent="0.25">
      <c r="A41313"/>
      <c r="B41313"/>
      <c r="C41313"/>
      <c r="E41313"/>
      <c r="F41313"/>
    </row>
    <row r="41314" spans="1:6" x14ac:dyDescent="0.25">
      <c r="A41314"/>
      <c r="B41314"/>
      <c r="C41314"/>
      <c r="E41314"/>
      <c r="F41314"/>
    </row>
    <row r="41315" spans="1:6" x14ac:dyDescent="0.25">
      <c r="A41315"/>
      <c r="B41315"/>
      <c r="C41315"/>
      <c r="E41315"/>
      <c r="F41315"/>
    </row>
    <row r="41316" spans="1:6" x14ac:dyDescent="0.25">
      <c r="A41316"/>
      <c r="B41316"/>
      <c r="C41316"/>
      <c r="E41316"/>
      <c r="F41316"/>
    </row>
    <row r="41317" spans="1:6" x14ac:dyDescent="0.25">
      <c r="A41317"/>
      <c r="B41317"/>
      <c r="C41317"/>
      <c r="E41317"/>
      <c r="F41317"/>
    </row>
    <row r="41318" spans="1:6" x14ac:dyDescent="0.25">
      <c r="A41318"/>
      <c r="B41318"/>
      <c r="C41318"/>
      <c r="E41318"/>
      <c r="F41318"/>
    </row>
    <row r="41319" spans="1:6" x14ac:dyDescent="0.25">
      <c r="A41319"/>
      <c r="B41319"/>
      <c r="C41319"/>
      <c r="E41319"/>
      <c r="F41319"/>
    </row>
    <row r="41320" spans="1:6" x14ac:dyDescent="0.25">
      <c r="A41320"/>
      <c r="B41320"/>
      <c r="C41320"/>
      <c r="E41320"/>
      <c r="F41320"/>
    </row>
    <row r="41321" spans="1:6" x14ac:dyDescent="0.25">
      <c r="A41321"/>
      <c r="B41321"/>
      <c r="C41321"/>
      <c r="E41321"/>
      <c r="F41321"/>
    </row>
    <row r="41322" spans="1:6" x14ac:dyDescent="0.25">
      <c r="A41322"/>
      <c r="B41322"/>
      <c r="C41322"/>
      <c r="E41322"/>
      <c r="F41322"/>
    </row>
    <row r="41323" spans="1:6" x14ac:dyDescent="0.25">
      <c r="A41323"/>
      <c r="B41323"/>
      <c r="C41323"/>
      <c r="E41323"/>
      <c r="F41323"/>
    </row>
    <row r="41324" spans="1:6" x14ac:dyDescent="0.25">
      <c r="A41324"/>
      <c r="B41324"/>
      <c r="C41324"/>
      <c r="E41324"/>
      <c r="F41324"/>
    </row>
    <row r="41325" spans="1:6" x14ac:dyDescent="0.25">
      <c r="A41325"/>
      <c r="B41325"/>
      <c r="C41325"/>
      <c r="E41325"/>
      <c r="F41325"/>
    </row>
    <row r="41326" spans="1:6" x14ac:dyDescent="0.25">
      <c r="A41326"/>
      <c r="B41326"/>
      <c r="C41326"/>
      <c r="E41326"/>
      <c r="F41326"/>
    </row>
    <row r="41327" spans="1:6" x14ac:dyDescent="0.25">
      <c r="A41327"/>
      <c r="B41327"/>
      <c r="C41327"/>
      <c r="E41327"/>
      <c r="F41327"/>
    </row>
    <row r="41328" spans="1:6" x14ac:dyDescent="0.25">
      <c r="A41328"/>
      <c r="B41328"/>
      <c r="C41328"/>
      <c r="E41328"/>
      <c r="F41328"/>
    </row>
    <row r="41329" spans="1:6" x14ac:dyDescent="0.25">
      <c r="A41329"/>
      <c r="B41329"/>
      <c r="C41329"/>
      <c r="E41329"/>
      <c r="F41329"/>
    </row>
    <row r="41330" spans="1:6" x14ac:dyDescent="0.25">
      <c r="A41330"/>
      <c r="B41330"/>
      <c r="C41330"/>
      <c r="E41330"/>
      <c r="F41330"/>
    </row>
    <row r="41331" spans="1:6" x14ac:dyDescent="0.25">
      <c r="A41331"/>
      <c r="B41331"/>
      <c r="C41331"/>
      <c r="E41331"/>
      <c r="F41331"/>
    </row>
    <row r="41332" spans="1:6" x14ac:dyDescent="0.25">
      <c r="A41332"/>
      <c r="B41332"/>
      <c r="C41332"/>
      <c r="E41332"/>
      <c r="F41332"/>
    </row>
    <row r="41333" spans="1:6" x14ac:dyDescent="0.25">
      <c r="A41333"/>
      <c r="B41333"/>
      <c r="C41333"/>
      <c r="E41333"/>
      <c r="F41333"/>
    </row>
    <row r="41334" spans="1:6" x14ac:dyDescent="0.25">
      <c r="A41334"/>
      <c r="B41334"/>
      <c r="C41334"/>
      <c r="E41334"/>
      <c r="F41334"/>
    </row>
    <row r="41335" spans="1:6" x14ac:dyDescent="0.25">
      <c r="A41335"/>
      <c r="B41335"/>
      <c r="C41335"/>
      <c r="E41335"/>
      <c r="F41335"/>
    </row>
    <row r="41336" spans="1:6" x14ac:dyDescent="0.25">
      <c r="A41336"/>
      <c r="B41336"/>
      <c r="C41336"/>
      <c r="E41336"/>
      <c r="F41336"/>
    </row>
    <row r="41337" spans="1:6" x14ac:dyDescent="0.25">
      <c r="A41337"/>
      <c r="B41337"/>
      <c r="C41337"/>
      <c r="E41337"/>
      <c r="F41337"/>
    </row>
    <row r="41338" spans="1:6" x14ac:dyDescent="0.25">
      <c r="A41338"/>
      <c r="B41338"/>
      <c r="C41338"/>
      <c r="E41338"/>
      <c r="F41338"/>
    </row>
    <row r="41339" spans="1:6" x14ac:dyDescent="0.25">
      <c r="A41339"/>
      <c r="B41339"/>
      <c r="C41339"/>
      <c r="E41339"/>
      <c r="F41339"/>
    </row>
    <row r="41340" spans="1:6" x14ac:dyDescent="0.25">
      <c r="A41340"/>
      <c r="B41340"/>
      <c r="C41340"/>
      <c r="E41340"/>
      <c r="F41340"/>
    </row>
    <row r="41341" spans="1:6" x14ac:dyDescent="0.25">
      <c r="A41341"/>
      <c r="B41341"/>
      <c r="C41341"/>
      <c r="E41341"/>
      <c r="F41341"/>
    </row>
    <row r="41342" spans="1:6" x14ac:dyDescent="0.25">
      <c r="A41342"/>
      <c r="B41342"/>
      <c r="C41342"/>
      <c r="E41342"/>
      <c r="F41342"/>
    </row>
    <row r="41343" spans="1:6" x14ac:dyDescent="0.25">
      <c r="A41343"/>
      <c r="B41343"/>
      <c r="C41343"/>
      <c r="E41343"/>
      <c r="F41343"/>
    </row>
    <row r="41344" spans="1:6" x14ac:dyDescent="0.25">
      <c r="A41344"/>
      <c r="B41344"/>
      <c r="C41344"/>
      <c r="E41344"/>
      <c r="F41344"/>
    </row>
    <row r="41345" spans="1:6" x14ac:dyDescent="0.25">
      <c r="A41345"/>
      <c r="B41345"/>
      <c r="C41345"/>
      <c r="E41345"/>
      <c r="F41345"/>
    </row>
    <row r="41346" spans="1:6" x14ac:dyDescent="0.25">
      <c r="A41346"/>
      <c r="B41346"/>
      <c r="C41346"/>
      <c r="E41346"/>
      <c r="F41346"/>
    </row>
    <row r="41347" spans="1:6" x14ac:dyDescent="0.25">
      <c r="A41347"/>
      <c r="B41347"/>
      <c r="C41347"/>
      <c r="E41347"/>
      <c r="F41347"/>
    </row>
    <row r="41348" spans="1:6" x14ac:dyDescent="0.25">
      <c r="A41348"/>
      <c r="B41348"/>
      <c r="C41348"/>
      <c r="E41348"/>
      <c r="F41348"/>
    </row>
    <row r="41349" spans="1:6" x14ac:dyDescent="0.25">
      <c r="A41349"/>
      <c r="B41349"/>
      <c r="C41349"/>
      <c r="E41349"/>
      <c r="F41349"/>
    </row>
    <row r="41350" spans="1:6" x14ac:dyDescent="0.25">
      <c r="A41350"/>
      <c r="B41350"/>
      <c r="C41350"/>
      <c r="E41350"/>
      <c r="F41350"/>
    </row>
    <row r="41351" spans="1:6" x14ac:dyDescent="0.25">
      <c r="A41351"/>
      <c r="B41351"/>
      <c r="C41351"/>
      <c r="E41351"/>
      <c r="F41351"/>
    </row>
    <row r="41352" spans="1:6" x14ac:dyDescent="0.25">
      <c r="A41352"/>
      <c r="B41352"/>
      <c r="C41352"/>
      <c r="E41352"/>
      <c r="F41352"/>
    </row>
    <row r="41353" spans="1:6" x14ac:dyDescent="0.25">
      <c r="A41353"/>
      <c r="B41353"/>
      <c r="C41353"/>
      <c r="E41353"/>
      <c r="F41353"/>
    </row>
    <row r="41354" spans="1:6" x14ac:dyDescent="0.25">
      <c r="A41354"/>
      <c r="B41354"/>
      <c r="C41354"/>
      <c r="E41354"/>
      <c r="F41354"/>
    </row>
    <row r="41355" spans="1:6" x14ac:dyDescent="0.25">
      <c r="A41355"/>
      <c r="B41355"/>
      <c r="C41355"/>
      <c r="E41355"/>
      <c r="F41355"/>
    </row>
    <row r="41356" spans="1:6" x14ac:dyDescent="0.25">
      <c r="A41356"/>
      <c r="B41356"/>
      <c r="C41356"/>
      <c r="E41356"/>
      <c r="F41356"/>
    </row>
    <row r="41357" spans="1:6" x14ac:dyDescent="0.25">
      <c r="A41357"/>
      <c r="B41357"/>
      <c r="C41357"/>
      <c r="E41357"/>
      <c r="F41357"/>
    </row>
    <row r="41358" spans="1:6" x14ac:dyDescent="0.25">
      <c r="A41358"/>
      <c r="B41358"/>
      <c r="C41358"/>
      <c r="E41358"/>
      <c r="F41358"/>
    </row>
    <row r="41359" spans="1:6" x14ac:dyDescent="0.25">
      <c r="A41359"/>
      <c r="B41359"/>
      <c r="C41359"/>
      <c r="E41359"/>
      <c r="F41359"/>
    </row>
    <row r="41360" spans="1:6" x14ac:dyDescent="0.25">
      <c r="A41360"/>
      <c r="B41360"/>
      <c r="C41360"/>
      <c r="E41360"/>
      <c r="F41360"/>
    </row>
    <row r="41361" spans="1:6" x14ac:dyDescent="0.25">
      <c r="A41361"/>
      <c r="B41361"/>
      <c r="C41361"/>
      <c r="E41361"/>
      <c r="F41361"/>
    </row>
    <row r="41362" spans="1:6" x14ac:dyDescent="0.25">
      <c r="A41362"/>
      <c r="B41362"/>
      <c r="C41362"/>
      <c r="E41362"/>
      <c r="F41362"/>
    </row>
    <row r="41363" spans="1:6" x14ac:dyDescent="0.25">
      <c r="A41363"/>
      <c r="B41363"/>
      <c r="C41363"/>
      <c r="E41363"/>
      <c r="F41363"/>
    </row>
    <row r="41364" spans="1:6" x14ac:dyDescent="0.25">
      <c r="A41364"/>
      <c r="B41364"/>
      <c r="C41364"/>
      <c r="E41364"/>
      <c r="F41364"/>
    </row>
    <row r="41365" spans="1:6" x14ac:dyDescent="0.25">
      <c r="A41365"/>
      <c r="B41365"/>
      <c r="C41365"/>
      <c r="E41365"/>
      <c r="F41365"/>
    </row>
    <row r="41366" spans="1:6" x14ac:dyDescent="0.25">
      <c r="A41366"/>
      <c r="B41366"/>
      <c r="C41366"/>
      <c r="E41366"/>
      <c r="F41366"/>
    </row>
    <row r="41367" spans="1:6" x14ac:dyDescent="0.25">
      <c r="A41367"/>
      <c r="B41367"/>
      <c r="C41367"/>
      <c r="E41367"/>
      <c r="F41367"/>
    </row>
    <row r="41368" spans="1:6" x14ac:dyDescent="0.25">
      <c r="A41368"/>
      <c r="B41368"/>
      <c r="C41368"/>
      <c r="E41368"/>
      <c r="F41368"/>
    </row>
    <row r="41369" spans="1:6" x14ac:dyDescent="0.25">
      <c r="A41369"/>
      <c r="B41369"/>
      <c r="C41369"/>
      <c r="E41369"/>
      <c r="F41369"/>
    </row>
    <row r="41370" spans="1:6" x14ac:dyDescent="0.25">
      <c r="A41370"/>
      <c r="B41370"/>
      <c r="C41370"/>
      <c r="E41370"/>
      <c r="F41370"/>
    </row>
    <row r="41371" spans="1:6" x14ac:dyDescent="0.25">
      <c r="A41371"/>
      <c r="B41371"/>
      <c r="C41371"/>
      <c r="E41371"/>
      <c r="F41371"/>
    </row>
    <row r="41372" spans="1:6" x14ac:dyDescent="0.25">
      <c r="A41372"/>
      <c r="B41372"/>
      <c r="C41372"/>
      <c r="E41372"/>
      <c r="F41372"/>
    </row>
    <row r="41373" spans="1:6" x14ac:dyDescent="0.25">
      <c r="A41373"/>
      <c r="B41373"/>
      <c r="C41373"/>
      <c r="E41373"/>
      <c r="F41373"/>
    </row>
    <row r="41374" spans="1:6" x14ac:dyDescent="0.25">
      <c r="A41374"/>
      <c r="B41374"/>
      <c r="C41374"/>
      <c r="E41374"/>
      <c r="F41374"/>
    </row>
    <row r="41375" spans="1:6" x14ac:dyDescent="0.25">
      <c r="A41375"/>
      <c r="B41375"/>
      <c r="C41375"/>
      <c r="E41375"/>
      <c r="F41375"/>
    </row>
    <row r="41376" spans="1:6" x14ac:dyDescent="0.25">
      <c r="A41376"/>
      <c r="B41376"/>
      <c r="C41376"/>
      <c r="E41376"/>
      <c r="F41376"/>
    </row>
    <row r="41377" spans="1:6" x14ac:dyDescent="0.25">
      <c r="A41377"/>
      <c r="B41377"/>
      <c r="C41377"/>
      <c r="E41377"/>
      <c r="F41377"/>
    </row>
    <row r="41378" spans="1:6" x14ac:dyDescent="0.25">
      <c r="A41378"/>
      <c r="B41378"/>
      <c r="C41378"/>
      <c r="E41378"/>
      <c r="F41378"/>
    </row>
    <row r="41379" spans="1:6" x14ac:dyDescent="0.25">
      <c r="A41379"/>
      <c r="B41379"/>
      <c r="C41379"/>
      <c r="E41379"/>
      <c r="F41379"/>
    </row>
    <row r="41380" spans="1:6" x14ac:dyDescent="0.25">
      <c r="A41380"/>
      <c r="B41380"/>
      <c r="C41380"/>
      <c r="E41380"/>
      <c r="F41380"/>
    </row>
    <row r="41381" spans="1:6" x14ac:dyDescent="0.25">
      <c r="A41381"/>
      <c r="B41381"/>
      <c r="C41381"/>
      <c r="E41381"/>
      <c r="F41381"/>
    </row>
    <row r="41382" spans="1:6" x14ac:dyDescent="0.25">
      <c r="A41382"/>
      <c r="B41382"/>
      <c r="C41382"/>
      <c r="E41382"/>
      <c r="F41382"/>
    </row>
    <row r="41383" spans="1:6" x14ac:dyDescent="0.25">
      <c r="A41383"/>
      <c r="B41383"/>
      <c r="C41383"/>
      <c r="E41383"/>
      <c r="F41383"/>
    </row>
    <row r="41384" spans="1:6" x14ac:dyDescent="0.25">
      <c r="A41384"/>
      <c r="B41384"/>
      <c r="C41384"/>
      <c r="E41384"/>
      <c r="F41384"/>
    </row>
    <row r="41385" spans="1:6" x14ac:dyDescent="0.25">
      <c r="A41385"/>
      <c r="B41385"/>
      <c r="C41385"/>
      <c r="E41385"/>
      <c r="F41385"/>
    </row>
    <row r="41386" spans="1:6" x14ac:dyDescent="0.25">
      <c r="A41386"/>
      <c r="B41386"/>
      <c r="C41386"/>
      <c r="E41386"/>
      <c r="F41386"/>
    </row>
    <row r="41387" spans="1:6" x14ac:dyDescent="0.25">
      <c r="A41387"/>
      <c r="B41387"/>
      <c r="C41387"/>
      <c r="E41387"/>
      <c r="F41387"/>
    </row>
    <row r="41388" spans="1:6" x14ac:dyDescent="0.25">
      <c r="A41388"/>
      <c r="B41388"/>
      <c r="C41388"/>
      <c r="E41388"/>
      <c r="F41388"/>
    </row>
    <row r="41389" spans="1:6" x14ac:dyDescent="0.25">
      <c r="A41389"/>
      <c r="B41389"/>
      <c r="C41389"/>
      <c r="E41389"/>
      <c r="F41389"/>
    </row>
    <row r="41390" spans="1:6" x14ac:dyDescent="0.25">
      <c r="A41390"/>
      <c r="B41390"/>
      <c r="C41390"/>
      <c r="E41390"/>
      <c r="F41390"/>
    </row>
    <row r="41391" spans="1:6" x14ac:dyDescent="0.25">
      <c r="A41391"/>
      <c r="B41391"/>
      <c r="C41391"/>
      <c r="E41391"/>
      <c r="F41391"/>
    </row>
    <row r="41392" spans="1:6" x14ac:dyDescent="0.25">
      <c r="A41392"/>
      <c r="B41392"/>
      <c r="C41392"/>
      <c r="E41392"/>
      <c r="F41392"/>
    </row>
    <row r="41393" spans="1:6" x14ac:dyDescent="0.25">
      <c r="A41393"/>
      <c r="B41393"/>
      <c r="C41393"/>
      <c r="E41393"/>
      <c r="F41393"/>
    </row>
    <row r="41394" spans="1:6" x14ac:dyDescent="0.25">
      <c r="A41394"/>
      <c r="B41394"/>
      <c r="C41394"/>
      <c r="E41394"/>
      <c r="F41394"/>
    </row>
    <row r="41395" spans="1:6" x14ac:dyDescent="0.25">
      <c r="A41395"/>
      <c r="B41395"/>
      <c r="C41395"/>
      <c r="E41395"/>
      <c r="F41395"/>
    </row>
    <row r="41396" spans="1:6" x14ac:dyDescent="0.25">
      <c r="A41396"/>
      <c r="B41396"/>
      <c r="C41396"/>
      <c r="E41396"/>
      <c r="F41396"/>
    </row>
    <row r="41397" spans="1:6" x14ac:dyDescent="0.25">
      <c r="A41397"/>
      <c r="B41397"/>
      <c r="C41397"/>
      <c r="E41397"/>
      <c r="F41397"/>
    </row>
    <row r="41398" spans="1:6" x14ac:dyDescent="0.25">
      <c r="A41398"/>
      <c r="B41398"/>
      <c r="C41398"/>
      <c r="E41398"/>
      <c r="F41398"/>
    </row>
    <row r="41399" spans="1:6" x14ac:dyDescent="0.25">
      <c r="A41399"/>
      <c r="B41399"/>
      <c r="C41399"/>
      <c r="E41399"/>
      <c r="F41399"/>
    </row>
    <row r="41400" spans="1:6" x14ac:dyDescent="0.25">
      <c r="A41400"/>
      <c r="B41400"/>
      <c r="C41400"/>
      <c r="E41400"/>
      <c r="F41400"/>
    </row>
    <row r="41401" spans="1:6" x14ac:dyDescent="0.25">
      <c r="A41401"/>
      <c r="B41401"/>
      <c r="C41401"/>
      <c r="E41401"/>
      <c r="F41401"/>
    </row>
    <row r="41402" spans="1:6" x14ac:dyDescent="0.25">
      <c r="A41402"/>
      <c r="B41402"/>
      <c r="C41402"/>
      <c r="E41402"/>
      <c r="F41402"/>
    </row>
    <row r="41403" spans="1:6" x14ac:dyDescent="0.25">
      <c r="A41403"/>
      <c r="B41403"/>
      <c r="C41403"/>
      <c r="E41403"/>
      <c r="F41403"/>
    </row>
    <row r="41404" spans="1:6" x14ac:dyDescent="0.25">
      <c r="A41404"/>
      <c r="B41404"/>
      <c r="C41404"/>
      <c r="E41404"/>
      <c r="F41404"/>
    </row>
    <row r="41405" spans="1:6" x14ac:dyDescent="0.25">
      <c r="A41405"/>
      <c r="B41405"/>
      <c r="C41405"/>
      <c r="E41405"/>
      <c r="F41405"/>
    </row>
    <row r="41406" spans="1:6" x14ac:dyDescent="0.25">
      <c r="A41406"/>
      <c r="B41406"/>
      <c r="C41406"/>
      <c r="E41406"/>
      <c r="F41406"/>
    </row>
    <row r="41407" spans="1:6" x14ac:dyDescent="0.25">
      <c r="A41407"/>
      <c r="B41407"/>
      <c r="C41407"/>
      <c r="E41407"/>
      <c r="F41407"/>
    </row>
    <row r="41408" spans="1:6" x14ac:dyDescent="0.25">
      <c r="A41408"/>
      <c r="B41408"/>
      <c r="C41408"/>
      <c r="E41408"/>
      <c r="F41408"/>
    </row>
    <row r="41409" spans="1:6" x14ac:dyDescent="0.25">
      <c r="A41409"/>
      <c r="B41409"/>
      <c r="C41409"/>
      <c r="E41409"/>
      <c r="F41409"/>
    </row>
    <row r="41410" spans="1:6" x14ac:dyDescent="0.25">
      <c r="A41410"/>
      <c r="B41410"/>
      <c r="C41410"/>
      <c r="E41410"/>
      <c r="F41410"/>
    </row>
    <row r="41411" spans="1:6" x14ac:dyDescent="0.25">
      <c r="A41411"/>
      <c r="B41411"/>
      <c r="C41411"/>
      <c r="E41411"/>
      <c r="F41411"/>
    </row>
    <row r="41412" spans="1:6" x14ac:dyDescent="0.25">
      <c r="A41412"/>
      <c r="B41412"/>
      <c r="C41412"/>
      <c r="E41412"/>
      <c r="F41412"/>
    </row>
    <row r="41413" spans="1:6" x14ac:dyDescent="0.25">
      <c r="A41413"/>
      <c r="B41413"/>
      <c r="C41413"/>
      <c r="E41413"/>
      <c r="F41413"/>
    </row>
    <row r="41414" spans="1:6" x14ac:dyDescent="0.25">
      <c r="A41414"/>
      <c r="B41414"/>
      <c r="C41414"/>
      <c r="E41414"/>
      <c r="F41414"/>
    </row>
    <row r="41415" spans="1:6" x14ac:dyDescent="0.25">
      <c r="A41415"/>
      <c r="B41415"/>
      <c r="C41415"/>
      <c r="E41415"/>
      <c r="F41415"/>
    </row>
    <row r="41416" spans="1:6" x14ac:dyDescent="0.25">
      <c r="A41416"/>
      <c r="B41416"/>
      <c r="C41416"/>
      <c r="E41416"/>
      <c r="F41416"/>
    </row>
    <row r="41417" spans="1:6" x14ac:dyDescent="0.25">
      <c r="A41417"/>
      <c r="B41417"/>
      <c r="C41417"/>
      <c r="E41417"/>
      <c r="F41417"/>
    </row>
    <row r="41418" spans="1:6" x14ac:dyDescent="0.25">
      <c r="A41418"/>
      <c r="B41418"/>
      <c r="C41418"/>
      <c r="E41418"/>
      <c r="F41418"/>
    </row>
    <row r="41419" spans="1:6" x14ac:dyDescent="0.25">
      <c r="A41419"/>
      <c r="B41419"/>
      <c r="C41419"/>
      <c r="E41419"/>
      <c r="F41419"/>
    </row>
    <row r="41420" spans="1:6" x14ac:dyDescent="0.25">
      <c r="A41420"/>
      <c r="B41420"/>
      <c r="C41420"/>
      <c r="E41420"/>
      <c r="F41420"/>
    </row>
    <row r="41421" spans="1:6" x14ac:dyDescent="0.25">
      <c r="A41421"/>
      <c r="B41421"/>
      <c r="C41421"/>
      <c r="E41421"/>
      <c r="F41421"/>
    </row>
    <row r="41422" spans="1:6" x14ac:dyDescent="0.25">
      <c r="A41422"/>
      <c r="B41422"/>
      <c r="C41422"/>
      <c r="E41422"/>
      <c r="F41422"/>
    </row>
    <row r="41423" spans="1:6" x14ac:dyDescent="0.25">
      <c r="A41423"/>
      <c r="B41423"/>
      <c r="C41423"/>
      <c r="E41423"/>
      <c r="F41423"/>
    </row>
    <row r="41424" spans="1:6" x14ac:dyDescent="0.25">
      <c r="A41424"/>
      <c r="B41424"/>
      <c r="C41424"/>
      <c r="E41424"/>
      <c r="F41424"/>
    </row>
    <row r="41425" spans="1:6" x14ac:dyDescent="0.25">
      <c r="A41425"/>
      <c r="B41425"/>
      <c r="C41425"/>
      <c r="E41425"/>
      <c r="F41425"/>
    </row>
    <row r="41426" spans="1:6" x14ac:dyDescent="0.25">
      <c r="A41426"/>
      <c r="B41426"/>
      <c r="C41426"/>
      <c r="E41426"/>
      <c r="F41426"/>
    </row>
    <row r="41427" spans="1:6" x14ac:dyDescent="0.25">
      <c r="A41427"/>
      <c r="B41427"/>
      <c r="C41427"/>
      <c r="E41427"/>
      <c r="F41427"/>
    </row>
    <row r="41428" spans="1:6" x14ac:dyDescent="0.25">
      <c r="A41428"/>
      <c r="B41428"/>
      <c r="C41428"/>
      <c r="E41428"/>
      <c r="F41428"/>
    </row>
    <row r="41429" spans="1:6" x14ac:dyDescent="0.25">
      <c r="A41429"/>
      <c r="B41429"/>
      <c r="C41429"/>
      <c r="E41429"/>
      <c r="F41429"/>
    </row>
    <row r="41430" spans="1:6" x14ac:dyDescent="0.25">
      <c r="A41430"/>
      <c r="B41430"/>
      <c r="C41430"/>
      <c r="E41430"/>
      <c r="F41430"/>
    </row>
    <row r="41431" spans="1:6" x14ac:dyDescent="0.25">
      <c r="A41431"/>
      <c r="B41431"/>
      <c r="C41431"/>
      <c r="E41431"/>
      <c r="F41431"/>
    </row>
    <row r="41432" spans="1:6" x14ac:dyDescent="0.25">
      <c r="A41432"/>
      <c r="B41432"/>
      <c r="C41432"/>
      <c r="E41432"/>
      <c r="F41432"/>
    </row>
    <row r="41433" spans="1:6" x14ac:dyDescent="0.25">
      <c r="A41433"/>
      <c r="B41433"/>
      <c r="C41433"/>
      <c r="E41433"/>
      <c r="F41433"/>
    </row>
    <row r="41434" spans="1:6" x14ac:dyDescent="0.25">
      <c r="A41434"/>
      <c r="B41434"/>
      <c r="C41434"/>
      <c r="E41434"/>
      <c r="F41434"/>
    </row>
    <row r="41435" spans="1:6" x14ac:dyDescent="0.25">
      <c r="A41435"/>
      <c r="B41435"/>
      <c r="C41435"/>
      <c r="E41435"/>
      <c r="F41435"/>
    </row>
    <row r="41436" spans="1:6" x14ac:dyDescent="0.25">
      <c r="A41436"/>
      <c r="B41436"/>
      <c r="C41436"/>
      <c r="E41436"/>
      <c r="F41436"/>
    </row>
    <row r="41437" spans="1:6" x14ac:dyDescent="0.25">
      <c r="A41437"/>
      <c r="B41437"/>
      <c r="C41437"/>
      <c r="E41437"/>
      <c r="F41437"/>
    </row>
    <row r="41438" spans="1:6" x14ac:dyDescent="0.25">
      <c r="A41438"/>
      <c r="B41438"/>
      <c r="C41438"/>
      <c r="E41438"/>
      <c r="F41438"/>
    </row>
    <row r="41439" spans="1:6" x14ac:dyDescent="0.25">
      <c r="A41439"/>
      <c r="B41439"/>
      <c r="C41439"/>
      <c r="E41439"/>
      <c r="F41439"/>
    </row>
    <row r="41440" spans="1:6" x14ac:dyDescent="0.25">
      <c r="A41440"/>
      <c r="B41440"/>
      <c r="C41440"/>
      <c r="E41440"/>
      <c r="F41440"/>
    </row>
    <row r="41441" spans="1:6" x14ac:dyDescent="0.25">
      <c r="A41441"/>
      <c r="B41441"/>
      <c r="C41441"/>
      <c r="E41441"/>
      <c r="F41441"/>
    </row>
    <row r="41442" spans="1:6" x14ac:dyDescent="0.25">
      <c r="A41442"/>
      <c r="B41442"/>
      <c r="C41442"/>
      <c r="E41442"/>
      <c r="F41442"/>
    </row>
    <row r="41443" spans="1:6" x14ac:dyDescent="0.25">
      <c r="A41443"/>
      <c r="B41443"/>
      <c r="C41443"/>
      <c r="E41443"/>
      <c r="F41443"/>
    </row>
    <row r="41444" spans="1:6" x14ac:dyDescent="0.25">
      <c r="A41444"/>
      <c r="B41444"/>
      <c r="C41444"/>
      <c r="E41444"/>
      <c r="F41444"/>
    </row>
    <row r="41445" spans="1:6" x14ac:dyDescent="0.25">
      <c r="A41445"/>
      <c r="B41445"/>
      <c r="C41445"/>
      <c r="E41445"/>
      <c r="F41445"/>
    </row>
    <row r="41446" spans="1:6" x14ac:dyDescent="0.25">
      <c r="A41446"/>
      <c r="B41446"/>
      <c r="C41446"/>
      <c r="E41446"/>
      <c r="F41446"/>
    </row>
    <row r="41447" spans="1:6" x14ac:dyDescent="0.25">
      <c r="A41447"/>
      <c r="B41447"/>
      <c r="C41447"/>
      <c r="E41447"/>
      <c r="F41447"/>
    </row>
    <row r="41448" spans="1:6" x14ac:dyDescent="0.25">
      <c r="A41448"/>
      <c r="B41448"/>
      <c r="C41448"/>
      <c r="E41448"/>
      <c r="F41448"/>
    </row>
    <row r="41449" spans="1:6" x14ac:dyDescent="0.25">
      <c r="A41449"/>
      <c r="B41449"/>
      <c r="C41449"/>
      <c r="E41449"/>
      <c r="F41449"/>
    </row>
    <row r="41450" spans="1:6" x14ac:dyDescent="0.25">
      <c r="A41450"/>
      <c r="B41450"/>
      <c r="C41450"/>
      <c r="E41450"/>
      <c r="F41450"/>
    </row>
    <row r="41451" spans="1:6" x14ac:dyDescent="0.25">
      <c r="A41451"/>
      <c r="B41451"/>
      <c r="C41451"/>
      <c r="E41451"/>
      <c r="F41451"/>
    </row>
    <row r="41452" spans="1:6" x14ac:dyDescent="0.25">
      <c r="A41452"/>
      <c r="B41452"/>
      <c r="C41452"/>
      <c r="E41452"/>
      <c r="F41452"/>
    </row>
    <row r="41453" spans="1:6" x14ac:dyDescent="0.25">
      <c r="A41453"/>
      <c r="B41453"/>
      <c r="C41453"/>
      <c r="E41453"/>
      <c r="F41453"/>
    </row>
    <row r="41454" spans="1:6" x14ac:dyDescent="0.25">
      <c r="A41454"/>
      <c r="B41454"/>
      <c r="C41454"/>
      <c r="E41454"/>
      <c r="F41454"/>
    </row>
    <row r="41455" spans="1:6" x14ac:dyDescent="0.25">
      <c r="A41455"/>
      <c r="B41455"/>
      <c r="C41455"/>
      <c r="E41455"/>
      <c r="F41455"/>
    </row>
    <row r="41456" spans="1:6" x14ac:dyDescent="0.25">
      <c r="A41456"/>
      <c r="B41456"/>
      <c r="C41456"/>
      <c r="E41456"/>
      <c r="F41456"/>
    </row>
    <row r="41457" spans="1:6" x14ac:dyDescent="0.25">
      <c r="A41457"/>
      <c r="B41457"/>
      <c r="C41457"/>
      <c r="E41457"/>
      <c r="F41457"/>
    </row>
    <row r="41458" spans="1:6" x14ac:dyDescent="0.25">
      <c r="A41458"/>
      <c r="B41458"/>
      <c r="C41458"/>
      <c r="E41458"/>
      <c r="F41458"/>
    </row>
    <row r="41459" spans="1:6" x14ac:dyDescent="0.25">
      <c r="A41459"/>
      <c r="B41459"/>
      <c r="C41459"/>
      <c r="E41459"/>
      <c r="F41459"/>
    </row>
    <row r="41460" spans="1:6" x14ac:dyDescent="0.25">
      <c r="A41460"/>
      <c r="B41460"/>
      <c r="C41460"/>
      <c r="E41460"/>
      <c r="F41460"/>
    </row>
    <row r="41461" spans="1:6" x14ac:dyDescent="0.25">
      <c r="A41461"/>
      <c r="B41461"/>
      <c r="C41461"/>
      <c r="E41461"/>
      <c r="F41461"/>
    </row>
    <row r="41462" spans="1:6" x14ac:dyDescent="0.25">
      <c r="A41462"/>
      <c r="B41462"/>
      <c r="C41462"/>
      <c r="E41462"/>
      <c r="F41462"/>
    </row>
    <row r="41463" spans="1:6" x14ac:dyDescent="0.25">
      <c r="A41463"/>
      <c r="B41463"/>
      <c r="C41463"/>
      <c r="E41463"/>
      <c r="F41463"/>
    </row>
    <row r="41464" spans="1:6" x14ac:dyDescent="0.25">
      <c r="A41464"/>
      <c r="B41464"/>
      <c r="C41464"/>
      <c r="E41464"/>
      <c r="F41464"/>
    </row>
    <row r="41465" spans="1:6" x14ac:dyDescent="0.25">
      <c r="A41465"/>
      <c r="B41465"/>
      <c r="C41465"/>
      <c r="E41465"/>
      <c r="F41465"/>
    </row>
    <row r="41466" spans="1:6" x14ac:dyDescent="0.25">
      <c r="A41466"/>
      <c r="B41466"/>
      <c r="C41466"/>
      <c r="E41466"/>
      <c r="F41466"/>
    </row>
    <row r="41467" spans="1:6" x14ac:dyDescent="0.25">
      <c r="A41467"/>
      <c r="B41467"/>
      <c r="C41467"/>
      <c r="E41467"/>
      <c r="F41467"/>
    </row>
    <row r="41468" spans="1:6" x14ac:dyDescent="0.25">
      <c r="A41468"/>
      <c r="B41468"/>
      <c r="C41468"/>
      <c r="E41468"/>
      <c r="F41468"/>
    </row>
    <row r="41469" spans="1:6" x14ac:dyDescent="0.25">
      <c r="A41469"/>
      <c r="B41469"/>
      <c r="C41469"/>
      <c r="E41469"/>
      <c r="F41469"/>
    </row>
    <row r="41470" spans="1:6" x14ac:dyDescent="0.25">
      <c r="A41470"/>
      <c r="B41470"/>
      <c r="C41470"/>
      <c r="E41470"/>
      <c r="F41470"/>
    </row>
    <row r="41471" spans="1:6" x14ac:dyDescent="0.25">
      <c r="A41471"/>
      <c r="B41471"/>
      <c r="C41471"/>
      <c r="E41471"/>
      <c r="F41471"/>
    </row>
    <row r="41472" spans="1:6" x14ac:dyDescent="0.25">
      <c r="A41472"/>
      <c r="B41472"/>
      <c r="C41472"/>
      <c r="E41472"/>
      <c r="F41472"/>
    </row>
    <row r="41473" spans="1:6" x14ac:dyDescent="0.25">
      <c r="A41473"/>
      <c r="B41473"/>
      <c r="C41473"/>
      <c r="E41473"/>
      <c r="F41473"/>
    </row>
    <row r="41474" spans="1:6" x14ac:dyDescent="0.25">
      <c r="A41474"/>
      <c r="B41474"/>
      <c r="C41474"/>
      <c r="E41474"/>
      <c r="F41474"/>
    </row>
    <row r="41475" spans="1:6" x14ac:dyDescent="0.25">
      <c r="A41475"/>
      <c r="B41475"/>
      <c r="C41475"/>
      <c r="E41475"/>
      <c r="F41475"/>
    </row>
    <row r="41476" spans="1:6" x14ac:dyDescent="0.25">
      <c r="A41476"/>
      <c r="B41476"/>
      <c r="C41476"/>
      <c r="E41476"/>
      <c r="F41476"/>
    </row>
    <row r="41477" spans="1:6" x14ac:dyDescent="0.25">
      <c r="A41477"/>
      <c r="B41477"/>
      <c r="C41477"/>
      <c r="E41477"/>
      <c r="F41477"/>
    </row>
    <row r="41478" spans="1:6" x14ac:dyDescent="0.25">
      <c r="A41478"/>
      <c r="B41478"/>
      <c r="C41478"/>
      <c r="E41478"/>
      <c r="F41478"/>
    </row>
    <row r="41479" spans="1:6" x14ac:dyDescent="0.25">
      <c r="A41479"/>
      <c r="B41479"/>
      <c r="C41479"/>
      <c r="E41479"/>
      <c r="F41479"/>
    </row>
    <row r="41480" spans="1:6" x14ac:dyDescent="0.25">
      <c r="A41480"/>
      <c r="B41480"/>
      <c r="C41480"/>
      <c r="E41480"/>
      <c r="F41480"/>
    </row>
    <row r="41481" spans="1:6" x14ac:dyDescent="0.25">
      <c r="A41481"/>
      <c r="B41481"/>
      <c r="C41481"/>
      <c r="E41481"/>
      <c r="F41481"/>
    </row>
    <row r="41482" spans="1:6" x14ac:dyDescent="0.25">
      <c r="A41482"/>
      <c r="B41482"/>
      <c r="C41482"/>
      <c r="E41482"/>
      <c r="F41482"/>
    </row>
    <row r="41483" spans="1:6" x14ac:dyDescent="0.25">
      <c r="A41483"/>
      <c r="B41483"/>
      <c r="C41483"/>
      <c r="E41483"/>
      <c r="F41483"/>
    </row>
    <row r="41484" spans="1:6" x14ac:dyDescent="0.25">
      <c r="A41484"/>
      <c r="B41484"/>
      <c r="C41484"/>
      <c r="E41484"/>
      <c r="F41484"/>
    </row>
    <row r="41485" spans="1:6" x14ac:dyDescent="0.25">
      <c r="A41485"/>
      <c r="B41485"/>
      <c r="C41485"/>
      <c r="E41485"/>
      <c r="F41485"/>
    </row>
    <row r="41486" spans="1:6" x14ac:dyDescent="0.25">
      <c r="A41486"/>
      <c r="B41486"/>
      <c r="C41486"/>
      <c r="E41486"/>
      <c r="F41486"/>
    </row>
    <row r="41487" spans="1:6" x14ac:dyDescent="0.25">
      <c r="A41487"/>
      <c r="B41487"/>
      <c r="C41487"/>
      <c r="E41487"/>
      <c r="F41487"/>
    </row>
    <row r="41488" spans="1:6" x14ac:dyDescent="0.25">
      <c r="A41488"/>
      <c r="B41488"/>
      <c r="C41488"/>
      <c r="E41488"/>
      <c r="F41488"/>
    </row>
    <row r="41489" spans="1:6" x14ac:dyDescent="0.25">
      <c r="A41489"/>
      <c r="B41489"/>
      <c r="C41489"/>
      <c r="E41489"/>
      <c r="F41489"/>
    </row>
    <row r="41490" spans="1:6" x14ac:dyDescent="0.25">
      <c r="A41490"/>
      <c r="B41490"/>
      <c r="C41490"/>
      <c r="E41490"/>
      <c r="F41490"/>
    </row>
    <row r="41491" spans="1:6" x14ac:dyDescent="0.25">
      <c r="A41491"/>
      <c r="B41491"/>
      <c r="C41491"/>
      <c r="E41491"/>
      <c r="F41491"/>
    </row>
    <row r="41492" spans="1:6" x14ac:dyDescent="0.25">
      <c r="A41492"/>
      <c r="B41492"/>
      <c r="C41492"/>
      <c r="E41492"/>
      <c r="F41492"/>
    </row>
    <row r="41493" spans="1:6" x14ac:dyDescent="0.25">
      <c r="A41493"/>
      <c r="B41493"/>
      <c r="C41493"/>
      <c r="E41493"/>
      <c r="F41493"/>
    </row>
    <row r="41494" spans="1:6" x14ac:dyDescent="0.25">
      <c r="A41494"/>
      <c r="B41494"/>
      <c r="C41494"/>
      <c r="E41494"/>
      <c r="F41494"/>
    </row>
    <row r="41495" spans="1:6" x14ac:dyDescent="0.25">
      <c r="A41495"/>
      <c r="B41495"/>
      <c r="C41495"/>
      <c r="E41495"/>
      <c r="F41495"/>
    </row>
    <row r="41496" spans="1:6" x14ac:dyDescent="0.25">
      <c r="A41496"/>
      <c r="B41496"/>
      <c r="C41496"/>
      <c r="E41496"/>
      <c r="F41496"/>
    </row>
    <row r="41497" spans="1:6" x14ac:dyDescent="0.25">
      <c r="A41497"/>
      <c r="B41497"/>
      <c r="C41497"/>
      <c r="E41497"/>
      <c r="F41497"/>
    </row>
    <row r="41498" spans="1:6" x14ac:dyDescent="0.25">
      <c r="A41498"/>
      <c r="B41498"/>
      <c r="C41498"/>
      <c r="E41498"/>
      <c r="F41498"/>
    </row>
    <row r="41499" spans="1:6" x14ac:dyDescent="0.25">
      <c r="A41499"/>
      <c r="B41499"/>
      <c r="C41499"/>
      <c r="E41499"/>
      <c r="F41499"/>
    </row>
    <row r="41500" spans="1:6" x14ac:dyDescent="0.25">
      <c r="A41500"/>
      <c r="B41500"/>
      <c r="C41500"/>
      <c r="E41500"/>
      <c r="F41500"/>
    </row>
    <row r="41501" spans="1:6" x14ac:dyDescent="0.25">
      <c r="A41501"/>
      <c r="B41501"/>
      <c r="C41501"/>
      <c r="E41501"/>
      <c r="F41501"/>
    </row>
    <row r="41502" spans="1:6" x14ac:dyDescent="0.25">
      <c r="A41502"/>
      <c r="B41502"/>
      <c r="C41502"/>
      <c r="E41502"/>
      <c r="F41502"/>
    </row>
    <row r="41503" spans="1:6" x14ac:dyDescent="0.25">
      <c r="A41503"/>
      <c r="B41503"/>
      <c r="C41503"/>
      <c r="E41503"/>
      <c r="F41503"/>
    </row>
    <row r="41504" spans="1:6" x14ac:dyDescent="0.25">
      <c r="A41504"/>
      <c r="B41504"/>
      <c r="C41504"/>
      <c r="E41504"/>
      <c r="F41504"/>
    </row>
    <row r="41505" spans="1:6" x14ac:dyDescent="0.25">
      <c r="A41505"/>
      <c r="B41505"/>
      <c r="C41505"/>
      <c r="E41505"/>
      <c r="F41505"/>
    </row>
    <row r="41506" spans="1:6" x14ac:dyDescent="0.25">
      <c r="A41506"/>
      <c r="B41506"/>
      <c r="C41506"/>
      <c r="E41506"/>
      <c r="F41506"/>
    </row>
    <row r="41507" spans="1:6" x14ac:dyDescent="0.25">
      <c r="A41507"/>
      <c r="B41507"/>
      <c r="C41507"/>
      <c r="E41507"/>
      <c r="F41507"/>
    </row>
    <row r="41508" spans="1:6" x14ac:dyDescent="0.25">
      <c r="A41508"/>
      <c r="B41508"/>
      <c r="C41508"/>
      <c r="E41508"/>
      <c r="F41508"/>
    </row>
    <row r="41509" spans="1:6" x14ac:dyDescent="0.25">
      <c r="A41509"/>
      <c r="B41509"/>
      <c r="C41509"/>
      <c r="E41509"/>
      <c r="F41509"/>
    </row>
    <row r="41510" spans="1:6" x14ac:dyDescent="0.25">
      <c r="A41510"/>
      <c r="B41510"/>
      <c r="C41510"/>
      <c r="E41510"/>
      <c r="F41510"/>
    </row>
    <row r="41511" spans="1:6" x14ac:dyDescent="0.25">
      <c r="A41511"/>
      <c r="B41511"/>
      <c r="C41511"/>
      <c r="E41511"/>
      <c r="F41511"/>
    </row>
    <row r="41512" spans="1:6" x14ac:dyDescent="0.25">
      <c r="A41512"/>
      <c r="B41512"/>
      <c r="C41512"/>
      <c r="E41512"/>
      <c r="F41512"/>
    </row>
    <row r="41513" spans="1:6" x14ac:dyDescent="0.25">
      <c r="A41513"/>
      <c r="B41513"/>
      <c r="C41513"/>
      <c r="E41513"/>
      <c r="F41513"/>
    </row>
    <row r="41514" spans="1:6" x14ac:dyDescent="0.25">
      <c r="A41514"/>
      <c r="B41514"/>
      <c r="C41514"/>
      <c r="E41514"/>
      <c r="F41514"/>
    </row>
    <row r="41515" spans="1:6" x14ac:dyDescent="0.25">
      <c r="A41515"/>
      <c r="B41515"/>
      <c r="C41515"/>
      <c r="E41515"/>
      <c r="F41515"/>
    </row>
    <row r="41516" spans="1:6" x14ac:dyDescent="0.25">
      <c r="A41516"/>
      <c r="B41516"/>
      <c r="C41516"/>
      <c r="E41516"/>
      <c r="F41516"/>
    </row>
    <row r="41517" spans="1:6" x14ac:dyDescent="0.25">
      <c r="A41517"/>
      <c r="B41517"/>
      <c r="C41517"/>
      <c r="E41517"/>
      <c r="F41517"/>
    </row>
    <row r="41518" spans="1:6" x14ac:dyDescent="0.25">
      <c r="A41518"/>
      <c r="B41518"/>
      <c r="C41518"/>
      <c r="E41518"/>
      <c r="F41518"/>
    </row>
    <row r="41519" spans="1:6" x14ac:dyDescent="0.25">
      <c r="A41519"/>
      <c r="B41519"/>
      <c r="C41519"/>
      <c r="E41519"/>
      <c r="F41519"/>
    </row>
    <row r="41520" spans="1:6" x14ac:dyDescent="0.25">
      <c r="A41520"/>
      <c r="B41520"/>
      <c r="C41520"/>
      <c r="E41520"/>
      <c r="F41520"/>
    </row>
    <row r="41521" spans="1:6" x14ac:dyDescent="0.25">
      <c r="A41521"/>
      <c r="B41521"/>
      <c r="C41521"/>
      <c r="E41521"/>
      <c r="F41521"/>
    </row>
    <row r="41522" spans="1:6" x14ac:dyDescent="0.25">
      <c r="A41522"/>
      <c r="B41522"/>
      <c r="C41522"/>
      <c r="E41522"/>
      <c r="F41522"/>
    </row>
    <row r="41523" spans="1:6" x14ac:dyDescent="0.25">
      <c r="A41523"/>
      <c r="B41523"/>
      <c r="C41523"/>
      <c r="E41523"/>
      <c r="F41523"/>
    </row>
    <row r="41524" spans="1:6" x14ac:dyDescent="0.25">
      <c r="A41524"/>
      <c r="B41524"/>
      <c r="C41524"/>
      <c r="E41524"/>
      <c r="F41524"/>
    </row>
    <row r="41525" spans="1:6" x14ac:dyDescent="0.25">
      <c r="A41525"/>
      <c r="B41525"/>
      <c r="C41525"/>
      <c r="E41525"/>
      <c r="F41525"/>
    </row>
    <row r="41526" spans="1:6" x14ac:dyDescent="0.25">
      <c r="A41526"/>
      <c r="B41526"/>
      <c r="C41526"/>
      <c r="E41526"/>
      <c r="F41526"/>
    </row>
    <row r="41527" spans="1:6" x14ac:dyDescent="0.25">
      <c r="A41527"/>
      <c r="B41527"/>
      <c r="C41527"/>
      <c r="E41527"/>
      <c r="F41527"/>
    </row>
    <row r="41528" spans="1:6" x14ac:dyDescent="0.25">
      <c r="A41528"/>
      <c r="B41528"/>
      <c r="C41528"/>
      <c r="E41528"/>
      <c r="F41528"/>
    </row>
    <row r="41529" spans="1:6" x14ac:dyDescent="0.25">
      <c r="A41529"/>
      <c r="B41529"/>
      <c r="C41529"/>
      <c r="E41529"/>
      <c r="F41529"/>
    </row>
    <row r="41530" spans="1:6" x14ac:dyDescent="0.25">
      <c r="A41530"/>
      <c r="B41530"/>
      <c r="C41530"/>
      <c r="E41530"/>
      <c r="F41530"/>
    </row>
    <row r="41531" spans="1:6" x14ac:dyDescent="0.25">
      <c r="A41531"/>
      <c r="B41531"/>
      <c r="C41531"/>
      <c r="E41531"/>
      <c r="F41531"/>
    </row>
    <row r="41532" spans="1:6" x14ac:dyDescent="0.25">
      <c r="A41532"/>
      <c r="B41532"/>
      <c r="C41532"/>
      <c r="E41532"/>
      <c r="F41532"/>
    </row>
    <row r="41533" spans="1:6" x14ac:dyDescent="0.25">
      <c r="A41533"/>
      <c r="B41533"/>
      <c r="C41533"/>
      <c r="E41533"/>
      <c r="F41533"/>
    </row>
    <row r="41534" spans="1:6" x14ac:dyDescent="0.25">
      <c r="A41534"/>
      <c r="B41534"/>
      <c r="C41534"/>
      <c r="E41534"/>
      <c r="F41534"/>
    </row>
    <row r="41535" spans="1:6" x14ac:dyDescent="0.25">
      <c r="A41535"/>
      <c r="B41535"/>
      <c r="C41535"/>
      <c r="E41535"/>
      <c r="F41535"/>
    </row>
    <row r="41536" spans="1:6" x14ac:dyDescent="0.25">
      <c r="A41536"/>
      <c r="B41536"/>
      <c r="C41536"/>
      <c r="E41536"/>
      <c r="F41536"/>
    </row>
    <row r="41537" spans="1:6" x14ac:dyDescent="0.25">
      <c r="A41537"/>
      <c r="B41537"/>
      <c r="C41537"/>
      <c r="E41537"/>
      <c r="F41537"/>
    </row>
    <row r="41538" spans="1:6" x14ac:dyDescent="0.25">
      <c r="A41538"/>
      <c r="B41538"/>
      <c r="C41538"/>
      <c r="E41538"/>
      <c r="F41538"/>
    </row>
    <row r="41539" spans="1:6" x14ac:dyDescent="0.25">
      <c r="A41539"/>
      <c r="B41539"/>
      <c r="C41539"/>
      <c r="E41539"/>
      <c r="F41539"/>
    </row>
    <row r="41540" spans="1:6" x14ac:dyDescent="0.25">
      <c r="A41540"/>
      <c r="B41540"/>
      <c r="C41540"/>
      <c r="E41540"/>
      <c r="F41540"/>
    </row>
    <row r="41541" spans="1:6" x14ac:dyDescent="0.25">
      <c r="A41541"/>
      <c r="B41541"/>
      <c r="C41541"/>
      <c r="E41541"/>
      <c r="F41541"/>
    </row>
    <row r="41542" spans="1:6" x14ac:dyDescent="0.25">
      <c r="A41542"/>
      <c r="B41542"/>
      <c r="C41542"/>
      <c r="E41542"/>
      <c r="F41542"/>
    </row>
    <row r="41543" spans="1:6" x14ac:dyDescent="0.25">
      <c r="A41543"/>
      <c r="B41543"/>
      <c r="C41543"/>
      <c r="E41543"/>
      <c r="F41543"/>
    </row>
    <row r="41544" spans="1:6" x14ac:dyDescent="0.25">
      <c r="A41544"/>
      <c r="B41544"/>
      <c r="C41544"/>
      <c r="E41544"/>
      <c r="F41544"/>
    </row>
    <row r="41545" spans="1:6" x14ac:dyDescent="0.25">
      <c r="A41545"/>
      <c r="B41545"/>
      <c r="C41545"/>
      <c r="E41545"/>
      <c r="F41545"/>
    </row>
    <row r="41546" spans="1:6" x14ac:dyDescent="0.25">
      <c r="A41546"/>
      <c r="B41546"/>
      <c r="C41546"/>
      <c r="E41546"/>
      <c r="F41546"/>
    </row>
    <row r="41547" spans="1:6" x14ac:dyDescent="0.25">
      <c r="A41547"/>
      <c r="B41547"/>
      <c r="C41547"/>
      <c r="E41547"/>
      <c r="F41547"/>
    </row>
    <row r="41548" spans="1:6" x14ac:dyDescent="0.25">
      <c r="A41548"/>
      <c r="B41548"/>
      <c r="C41548"/>
      <c r="E41548"/>
      <c r="F41548"/>
    </row>
    <row r="41549" spans="1:6" x14ac:dyDescent="0.25">
      <c r="A41549"/>
      <c r="B41549"/>
      <c r="C41549"/>
      <c r="E41549"/>
      <c r="F41549"/>
    </row>
    <row r="41550" spans="1:6" x14ac:dyDescent="0.25">
      <c r="A41550"/>
      <c r="B41550"/>
      <c r="C41550"/>
      <c r="E41550"/>
      <c r="F41550"/>
    </row>
    <row r="41551" spans="1:6" x14ac:dyDescent="0.25">
      <c r="A41551"/>
      <c r="B41551"/>
      <c r="C41551"/>
      <c r="E41551"/>
      <c r="F41551"/>
    </row>
    <row r="41552" spans="1:6" x14ac:dyDescent="0.25">
      <c r="A41552"/>
      <c r="B41552"/>
      <c r="C41552"/>
      <c r="E41552"/>
      <c r="F41552"/>
    </row>
    <row r="41553" spans="1:6" x14ac:dyDescent="0.25">
      <c r="A41553"/>
      <c r="B41553"/>
      <c r="C41553"/>
      <c r="E41553"/>
      <c r="F41553"/>
    </row>
    <row r="41554" spans="1:6" x14ac:dyDescent="0.25">
      <c r="A41554"/>
      <c r="B41554"/>
      <c r="C41554"/>
      <c r="E41554"/>
      <c r="F41554"/>
    </row>
    <row r="41555" spans="1:6" x14ac:dyDescent="0.25">
      <c r="A41555"/>
      <c r="B41555"/>
      <c r="C41555"/>
      <c r="E41555"/>
      <c r="F41555"/>
    </row>
    <row r="41556" spans="1:6" x14ac:dyDescent="0.25">
      <c r="A41556"/>
      <c r="B41556"/>
      <c r="C41556"/>
      <c r="E41556"/>
      <c r="F41556"/>
    </row>
    <row r="41557" spans="1:6" x14ac:dyDescent="0.25">
      <c r="A41557"/>
      <c r="B41557"/>
      <c r="C41557"/>
      <c r="E41557"/>
      <c r="F41557"/>
    </row>
    <row r="41558" spans="1:6" x14ac:dyDescent="0.25">
      <c r="A41558"/>
      <c r="B41558"/>
      <c r="C41558"/>
      <c r="E41558"/>
      <c r="F41558"/>
    </row>
    <row r="41559" spans="1:6" x14ac:dyDescent="0.25">
      <c r="A41559"/>
      <c r="B41559"/>
      <c r="C41559"/>
      <c r="E41559"/>
      <c r="F41559"/>
    </row>
    <row r="41560" spans="1:6" x14ac:dyDescent="0.25">
      <c r="A41560"/>
      <c r="B41560"/>
      <c r="C41560"/>
      <c r="E41560"/>
      <c r="F41560"/>
    </row>
    <row r="41561" spans="1:6" x14ac:dyDescent="0.25">
      <c r="A41561"/>
      <c r="B41561"/>
      <c r="C41561"/>
      <c r="E41561"/>
      <c r="F41561"/>
    </row>
    <row r="41562" spans="1:6" x14ac:dyDescent="0.25">
      <c r="A41562"/>
      <c r="B41562"/>
      <c r="C41562"/>
      <c r="E41562"/>
      <c r="F41562"/>
    </row>
    <row r="41563" spans="1:6" x14ac:dyDescent="0.25">
      <c r="A41563"/>
      <c r="B41563"/>
      <c r="C41563"/>
      <c r="E41563"/>
      <c r="F41563"/>
    </row>
    <row r="41564" spans="1:6" x14ac:dyDescent="0.25">
      <c r="A41564"/>
      <c r="B41564"/>
      <c r="C41564"/>
      <c r="E41564"/>
      <c r="F41564"/>
    </row>
    <row r="41565" spans="1:6" x14ac:dyDescent="0.25">
      <c r="A41565"/>
      <c r="B41565"/>
      <c r="C41565"/>
      <c r="E41565"/>
      <c r="F41565"/>
    </row>
    <row r="41566" spans="1:6" x14ac:dyDescent="0.25">
      <c r="A41566"/>
      <c r="B41566"/>
      <c r="C41566"/>
      <c r="E41566"/>
      <c r="F41566"/>
    </row>
    <row r="41567" spans="1:6" x14ac:dyDescent="0.25">
      <c r="A41567"/>
      <c r="B41567"/>
      <c r="C41567"/>
      <c r="E41567"/>
      <c r="F41567"/>
    </row>
    <row r="41568" spans="1:6" x14ac:dyDescent="0.25">
      <c r="A41568"/>
      <c r="B41568"/>
      <c r="C41568"/>
      <c r="E41568"/>
      <c r="F41568"/>
    </row>
    <row r="41569" spans="1:6" x14ac:dyDescent="0.25">
      <c r="A41569"/>
      <c r="B41569"/>
      <c r="C41569"/>
      <c r="E41569"/>
      <c r="F41569"/>
    </row>
    <row r="41570" spans="1:6" x14ac:dyDescent="0.25">
      <c r="A41570"/>
      <c r="B41570"/>
      <c r="C41570"/>
      <c r="E41570"/>
      <c r="F41570"/>
    </row>
    <row r="41571" spans="1:6" x14ac:dyDescent="0.25">
      <c r="A41571"/>
      <c r="B41571"/>
      <c r="C41571"/>
      <c r="E41571"/>
      <c r="F41571"/>
    </row>
    <row r="41572" spans="1:6" x14ac:dyDescent="0.25">
      <c r="A41572"/>
      <c r="B41572"/>
      <c r="C41572"/>
      <c r="E41572"/>
      <c r="F41572"/>
    </row>
    <row r="41573" spans="1:6" x14ac:dyDescent="0.25">
      <c r="A41573"/>
      <c r="B41573"/>
      <c r="C41573"/>
      <c r="E41573"/>
      <c r="F41573"/>
    </row>
    <row r="41574" spans="1:6" x14ac:dyDescent="0.25">
      <c r="A41574"/>
      <c r="B41574"/>
      <c r="C41574"/>
      <c r="E41574"/>
      <c r="F41574"/>
    </row>
    <row r="41575" spans="1:6" x14ac:dyDescent="0.25">
      <c r="A41575"/>
      <c r="B41575"/>
      <c r="C41575"/>
      <c r="E41575"/>
      <c r="F41575"/>
    </row>
    <row r="41576" spans="1:6" x14ac:dyDescent="0.25">
      <c r="A41576"/>
      <c r="B41576"/>
      <c r="C41576"/>
      <c r="E41576"/>
      <c r="F41576"/>
    </row>
    <row r="41577" spans="1:6" x14ac:dyDescent="0.25">
      <c r="A41577"/>
      <c r="B41577"/>
      <c r="C41577"/>
      <c r="E41577"/>
      <c r="F41577"/>
    </row>
    <row r="41578" spans="1:6" x14ac:dyDescent="0.25">
      <c r="A41578"/>
      <c r="B41578"/>
      <c r="C41578"/>
      <c r="E41578"/>
      <c r="F41578"/>
    </row>
    <row r="41579" spans="1:6" x14ac:dyDescent="0.25">
      <c r="A41579"/>
      <c r="B41579"/>
      <c r="C41579"/>
      <c r="E41579"/>
      <c r="F41579"/>
    </row>
    <row r="41580" spans="1:6" x14ac:dyDescent="0.25">
      <c r="A41580"/>
      <c r="B41580"/>
      <c r="C41580"/>
      <c r="E41580"/>
      <c r="F41580"/>
    </row>
    <row r="41581" spans="1:6" x14ac:dyDescent="0.25">
      <c r="A41581"/>
      <c r="B41581"/>
      <c r="C41581"/>
      <c r="E41581"/>
      <c r="F41581"/>
    </row>
    <row r="41582" spans="1:6" x14ac:dyDescent="0.25">
      <c r="A41582"/>
      <c r="B41582"/>
      <c r="C41582"/>
      <c r="E41582"/>
      <c r="F41582"/>
    </row>
    <row r="41583" spans="1:6" x14ac:dyDescent="0.25">
      <c r="A41583"/>
      <c r="B41583"/>
      <c r="C41583"/>
      <c r="E41583"/>
      <c r="F41583"/>
    </row>
    <row r="41584" spans="1:6" x14ac:dyDescent="0.25">
      <c r="A41584"/>
      <c r="B41584"/>
      <c r="C41584"/>
      <c r="E41584"/>
      <c r="F41584"/>
    </row>
    <row r="41585" spans="1:6" x14ac:dyDescent="0.25">
      <c r="A41585"/>
      <c r="B41585"/>
      <c r="C41585"/>
      <c r="E41585"/>
      <c r="F41585"/>
    </row>
    <row r="41586" spans="1:6" x14ac:dyDescent="0.25">
      <c r="A41586"/>
      <c r="B41586"/>
      <c r="C41586"/>
      <c r="E41586"/>
      <c r="F41586"/>
    </row>
    <row r="41587" spans="1:6" x14ac:dyDescent="0.25">
      <c r="A41587"/>
      <c r="B41587"/>
      <c r="C41587"/>
      <c r="E41587"/>
      <c r="F41587"/>
    </row>
    <row r="41588" spans="1:6" x14ac:dyDescent="0.25">
      <c r="A41588"/>
      <c r="B41588"/>
      <c r="C41588"/>
      <c r="E41588"/>
      <c r="F41588"/>
    </row>
    <row r="41589" spans="1:6" x14ac:dyDescent="0.25">
      <c r="A41589"/>
      <c r="B41589"/>
      <c r="C41589"/>
      <c r="E41589"/>
      <c r="F41589"/>
    </row>
    <row r="41590" spans="1:6" x14ac:dyDescent="0.25">
      <c r="A41590"/>
      <c r="B41590"/>
      <c r="C41590"/>
      <c r="E41590"/>
      <c r="F41590"/>
    </row>
    <row r="41591" spans="1:6" x14ac:dyDescent="0.25">
      <c r="A41591"/>
      <c r="B41591"/>
      <c r="C41591"/>
      <c r="E41591"/>
      <c r="F41591"/>
    </row>
    <row r="41592" spans="1:6" x14ac:dyDescent="0.25">
      <c r="A41592"/>
      <c r="B41592"/>
      <c r="C41592"/>
      <c r="E41592"/>
      <c r="F41592"/>
    </row>
    <row r="41593" spans="1:6" x14ac:dyDescent="0.25">
      <c r="A41593"/>
      <c r="B41593"/>
      <c r="C41593"/>
      <c r="E41593"/>
      <c r="F41593"/>
    </row>
    <row r="41594" spans="1:6" x14ac:dyDescent="0.25">
      <c r="A41594"/>
      <c r="B41594"/>
      <c r="C41594"/>
      <c r="E41594"/>
      <c r="F41594"/>
    </row>
    <row r="41595" spans="1:6" x14ac:dyDescent="0.25">
      <c r="A41595"/>
      <c r="B41595"/>
      <c r="C41595"/>
      <c r="E41595"/>
      <c r="F41595"/>
    </row>
    <row r="41596" spans="1:6" x14ac:dyDescent="0.25">
      <c r="A41596"/>
      <c r="B41596"/>
      <c r="C41596"/>
      <c r="E41596"/>
      <c r="F41596"/>
    </row>
    <row r="41597" spans="1:6" x14ac:dyDescent="0.25">
      <c r="A41597"/>
      <c r="B41597"/>
      <c r="C41597"/>
      <c r="E41597"/>
      <c r="F41597"/>
    </row>
    <row r="41598" spans="1:6" x14ac:dyDescent="0.25">
      <c r="A41598"/>
      <c r="B41598"/>
      <c r="C41598"/>
      <c r="E41598"/>
      <c r="F41598"/>
    </row>
    <row r="41599" spans="1:6" x14ac:dyDescent="0.25">
      <c r="A41599"/>
      <c r="B41599"/>
      <c r="C41599"/>
      <c r="E41599"/>
      <c r="F41599"/>
    </row>
    <row r="41600" spans="1:6" x14ac:dyDescent="0.25">
      <c r="A41600"/>
      <c r="B41600"/>
      <c r="C41600"/>
      <c r="E41600"/>
      <c r="F41600"/>
    </row>
    <row r="41601" spans="1:6" x14ac:dyDescent="0.25">
      <c r="A41601"/>
      <c r="B41601"/>
      <c r="C41601"/>
      <c r="E41601"/>
      <c r="F41601"/>
    </row>
    <row r="41602" spans="1:6" x14ac:dyDescent="0.25">
      <c r="A41602"/>
      <c r="B41602"/>
      <c r="C41602"/>
      <c r="E41602"/>
      <c r="F41602"/>
    </row>
    <row r="41603" spans="1:6" x14ac:dyDescent="0.25">
      <c r="A41603"/>
      <c r="B41603"/>
      <c r="C41603"/>
      <c r="E41603"/>
      <c r="F41603"/>
    </row>
    <row r="41604" spans="1:6" x14ac:dyDescent="0.25">
      <c r="A41604"/>
      <c r="B41604"/>
      <c r="C41604"/>
      <c r="E41604"/>
      <c r="F41604"/>
    </row>
    <row r="41605" spans="1:6" x14ac:dyDescent="0.25">
      <c r="A41605"/>
      <c r="B41605"/>
      <c r="C41605"/>
      <c r="E41605"/>
      <c r="F41605"/>
    </row>
    <row r="41606" spans="1:6" x14ac:dyDescent="0.25">
      <c r="A41606"/>
      <c r="B41606"/>
      <c r="C41606"/>
      <c r="E41606"/>
      <c r="F41606"/>
    </row>
    <row r="41607" spans="1:6" x14ac:dyDescent="0.25">
      <c r="A41607"/>
      <c r="B41607"/>
      <c r="C41607"/>
      <c r="E41607"/>
      <c r="F41607"/>
    </row>
    <row r="41608" spans="1:6" x14ac:dyDescent="0.25">
      <c r="A41608"/>
      <c r="B41608"/>
      <c r="C41608"/>
      <c r="E41608"/>
      <c r="F41608"/>
    </row>
    <row r="41609" spans="1:6" x14ac:dyDescent="0.25">
      <c r="A41609"/>
      <c r="B41609"/>
      <c r="C41609"/>
      <c r="E41609"/>
      <c r="F41609"/>
    </row>
    <row r="41610" spans="1:6" x14ac:dyDescent="0.25">
      <c r="A41610"/>
      <c r="B41610"/>
      <c r="C41610"/>
      <c r="E41610"/>
      <c r="F41610"/>
    </row>
    <row r="41611" spans="1:6" x14ac:dyDescent="0.25">
      <c r="A41611"/>
      <c r="B41611"/>
      <c r="C41611"/>
      <c r="E41611"/>
      <c r="F41611"/>
    </row>
    <row r="41612" spans="1:6" x14ac:dyDescent="0.25">
      <c r="A41612"/>
      <c r="B41612"/>
      <c r="C41612"/>
      <c r="E41612"/>
      <c r="F41612"/>
    </row>
    <row r="41613" spans="1:6" x14ac:dyDescent="0.25">
      <c r="A41613"/>
      <c r="B41613"/>
      <c r="C41613"/>
      <c r="E41613"/>
      <c r="F41613"/>
    </row>
    <row r="41614" spans="1:6" x14ac:dyDescent="0.25">
      <c r="A41614"/>
      <c r="B41614"/>
      <c r="C41614"/>
      <c r="E41614"/>
      <c r="F41614"/>
    </row>
    <row r="41615" spans="1:6" x14ac:dyDescent="0.25">
      <c r="A41615"/>
      <c r="B41615"/>
      <c r="C41615"/>
      <c r="E41615"/>
      <c r="F41615"/>
    </row>
    <row r="41616" spans="1:6" x14ac:dyDescent="0.25">
      <c r="A41616"/>
      <c r="B41616"/>
      <c r="C41616"/>
      <c r="E41616"/>
      <c r="F41616"/>
    </row>
    <row r="41617" spans="1:6" x14ac:dyDescent="0.25">
      <c r="A41617"/>
      <c r="B41617"/>
      <c r="C41617"/>
      <c r="E41617"/>
      <c r="F41617"/>
    </row>
    <row r="41618" spans="1:6" x14ac:dyDescent="0.25">
      <c r="A41618"/>
      <c r="B41618"/>
      <c r="C41618"/>
      <c r="E41618"/>
      <c r="F41618"/>
    </row>
    <row r="41619" spans="1:6" x14ac:dyDescent="0.25">
      <c r="A41619"/>
      <c r="B41619"/>
      <c r="C41619"/>
      <c r="E41619"/>
      <c r="F41619"/>
    </row>
    <row r="41620" spans="1:6" x14ac:dyDescent="0.25">
      <c r="A41620"/>
      <c r="B41620"/>
      <c r="C41620"/>
      <c r="E41620"/>
      <c r="F41620"/>
    </row>
    <row r="41621" spans="1:6" x14ac:dyDescent="0.25">
      <c r="A41621"/>
      <c r="B41621"/>
      <c r="C41621"/>
      <c r="E41621"/>
      <c r="F41621"/>
    </row>
    <row r="41622" spans="1:6" x14ac:dyDescent="0.25">
      <c r="A41622"/>
      <c r="B41622"/>
      <c r="C41622"/>
      <c r="E41622"/>
      <c r="F41622"/>
    </row>
    <row r="41623" spans="1:6" x14ac:dyDescent="0.25">
      <c r="A41623"/>
      <c r="B41623"/>
      <c r="C41623"/>
      <c r="E41623"/>
      <c r="F41623"/>
    </row>
    <row r="41624" spans="1:6" x14ac:dyDescent="0.25">
      <c r="A41624"/>
      <c r="B41624"/>
      <c r="C41624"/>
      <c r="E41624"/>
      <c r="F41624"/>
    </row>
    <row r="41625" spans="1:6" x14ac:dyDescent="0.25">
      <c r="A41625"/>
      <c r="B41625"/>
      <c r="C41625"/>
      <c r="E41625"/>
      <c r="F41625"/>
    </row>
    <row r="41626" spans="1:6" x14ac:dyDescent="0.25">
      <c r="A41626"/>
      <c r="B41626"/>
      <c r="C41626"/>
      <c r="E41626"/>
      <c r="F41626"/>
    </row>
    <row r="41627" spans="1:6" x14ac:dyDescent="0.25">
      <c r="A41627"/>
      <c r="B41627"/>
      <c r="C41627"/>
      <c r="E41627"/>
      <c r="F41627"/>
    </row>
    <row r="41628" spans="1:6" x14ac:dyDescent="0.25">
      <c r="A41628"/>
      <c r="B41628"/>
      <c r="C41628"/>
      <c r="E41628"/>
      <c r="F41628"/>
    </row>
    <row r="41629" spans="1:6" x14ac:dyDescent="0.25">
      <c r="A41629"/>
      <c r="B41629"/>
      <c r="C41629"/>
      <c r="E41629"/>
      <c r="F41629"/>
    </row>
    <row r="41630" spans="1:6" x14ac:dyDescent="0.25">
      <c r="A41630"/>
      <c r="B41630"/>
      <c r="C41630"/>
      <c r="E41630"/>
      <c r="F41630"/>
    </row>
    <row r="41631" spans="1:6" x14ac:dyDescent="0.25">
      <c r="A41631"/>
      <c r="B41631"/>
      <c r="C41631"/>
      <c r="E41631"/>
      <c r="F41631"/>
    </row>
    <row r="41632" spans="1:6" x14ac:dyDescent="0.25">
      <c r="A41632"/>
      <c r="B41632"/>
      <c r="C41632"/>
      <c r="E41632"/>
      <c r="F41632"/>
    </row>
    <row r="41633" spans="1:6" x14ac:dyDescent="0.25">
      <c r="A41633"/>
      <c r="B41633"/>
      <c r="C41633"/>
      <c r="E41633"/>
      <c r="F41633"/>
    </row>
    <row r="41634" spans="1:6" x14ac:dyDescent="0.25">
      <c r="A41634"/>
      <c r="B41634"/>
      <c r="C41634"/>
      <c r="E41634"/>
      <c r="F41634"/>
    </row>
    <row r="41635" spans="1:6" x14ac:dyDescent="0.25">
      <c r="A41635"/>
      <c r="B41635"/>
      <c r="C41635"/>
      <c r="E41635"/>
      <c r="F41635"/>
    </row>
    <row r="41636" spans="1:6" x14ac:dyDescent="0.25">
      <c r="A41636"/>
      <c r="B41636"/>
      <c r="C41636"/>
      <c r="E41636"/>
      <c r="F41636"/>
    </row>
    <row r="41637" spans="1:6" x14ac:dyDescent="0.25">
      <c r="A41637"/>
      <c r="B41637"/>
      <c r="C41637"/>
      <c r="E41637"/>
      <c r="F41637"/>
    </row>
    <row r="41638" spans="1:6" x14ac:dyDescent="0.25">
      <c r="A41638"/>
      <c r="B41638"/>
      <c r="C41638"/>
      <c r="E41638"/>
      <c r="F41638"/>
    </row>
    <row r="41639" spans="1:6" x14ac:dyDescent="0.25">
      <c r="A41639"/>
      <c r="B41639"/>
      <c r="C41639"/>
      <c r="E41639"/>
      <c r="F41639"/>
    </row>
    <row r="41640" spans="1:6" x14ac:dyDescent="0.25">
      <c r="A41640"/>
      <c r="B41640"/>
      <c r="C41640"/>
      <c r="E41640"/>
      <c r="F41640"/>
    </row>
    <row r="41641" spans="1:6" x14ac:dyDescent="0.25">
      <c r="A41641"/>
      <c r="B41641"/>
      <c r="C41641"/>
      <c r="E41641"/>
      <c r="F41641"/>
    </row>
    <row r="41642" spans="1:6" x14ac:dyDescent="0.25">
      <c r="A41642"/>
      <c r="B41642"/>
      <c r="C41642"/>
      <c r="E41642"/>
      <c r="F41642"/>
    </row>
    <row r="41643" spans="1:6" x14ac:dyDescent="0.25">
      <c r="A41643"/>
      <c r="B41643"/>
      <c r="C41643"/>
      <c r="E41643"/>
      <c r="F41643"/>
    </row>
    <row r="41644" spans="1:6" x14ac:dyDescent="0.25">
      <c r="A41644"/>
      <c r="B41644"/>
      <c r="C41644"/>
      <c r="E41644"/>
      <c r="F41644"/>
    </row>
    <row r="41645" spans="1:6" x14ac:dyDescent="0.25">
      <c r="A41645"/>
      <c r="B41645"/>
      <c r="C41645"/>
      <c r="E41645"/>
      <c r="F41645"/>
    </row>
    <row r="41646" spans="1:6" x14ac:dyDescent="0.25">
      <c r="A41646"/>
      <c r="B41646"/>
      <c r="C41646"/>
      <c r="E41646"/>
      <c r="F41646"/>
    </row>
    <row r="41647" spans="1:6" x14ac:dyDescent="0.25">
      <c r="A41647"/>
      <c r="B41647"/>
      <c r="C41647"/>
      <c r="E41647"/>
      <c r="F41647"/>
    </row>
    <row r="41648" spans="1:6" x14ac:dyDescent="0.25">
      <c r="A41648"/>
      <c r="B41648"/>
      <c r="C41648"/>
      <c r="E41648"/>
      <c r="F41648"/>
    </row>
    <row r="41649" spans="1:6" x14ac:dyDescent="0.25">
      <c r="A41649"/>
      <c r="B41649"/>
      <c r="C41649"/>
      <c r="E41649"/>
      <c r="F41649"/>
    </row>
    <row r="41650" spans="1:6" x14ac:dyDescent="0.25">
      <c r="A41650"/>
      <c r="B41650"/>
      <c r="C41650"/>
      <c r="E41650"/>
      <c r="F41650"/>
    </row>
    <row r="41651" spans="1:6" x14ac:dyDescent="0.25">
      <c r="A41651"/>
      <c r="B41651"/>
      <c r="C41651"/>
      <c r="E41651"/>
      <c r="F41651"/>
    </row>
    <row r="41652" spans="1:6" x14ac:dyDescent="0.25">
      <c r="A41652"/>
      <c r="B41652"/>
      <c r="C41652"/>
      <c r="E41652"/>
      <c r="F41652"/>
    </row>
    <row r="41653" spans="1:6" x14ac:dyDescent="0.25">
      <c r="A41653"/>
      <c r="B41653"/>
      <c r="C41653"/>
      <c r="E41653"/>
      <c r="F41653"/>
    </row>
    <row r="41654" spans="1:6" x14ac:dyDescent="0.25">
      <c r="A41654"/>
      <c r="B41654"/>
      <c r="C41654"/>
      <c r="E41654"/>
      <c r="F41654"/>
    </row>
    <row r="41655" spans="1:6" x14ac:dyDescent="0.25">
      <c r="A41655"/>
      <c r="B41655"/>
      <c r="C41655"/>
      <c r="E41655"/>
      <c r="F41655"/>
    </row>
    <row r="41656" spans="1:6" x14ac:dyDescent="0.25">
      <c r="A41656"/>
      <c r="B41656"/>
      <c r="C41656"/>
      <c r="E41656"/>
      <c r="F41656"/>
    </row>
    <row r="41657" spans="1:6" x14ac:dyDescent="0.25">
      <c r="A41657"/>
      <c r="B41657"/>
      <c r="C41657"/>
      <c r="E41657"/>
      <c r="F41657"/>
    </row>
    <row r="41658" spans="1:6" x14ac:dyDescent="0.25">
      <c r="A41658"/>
      <c r="B41658"/>
      <c r="C41658"/>
      <c r="E41658"/>
      <c r="F41658"/>
    </row>
    <row r="41659" spans="1:6" x14ac:dyDescent="0.25">
      <c r="A41659"/>
      <c r="B41659"/>
      <c r="C41659"/>
      <c r="E41659"/>
      <c r="F41659"/>
    </row>
    <row r="41660" spans="1:6" x14ac:dyDescent="0.25">
      <c r="A41660"/>
      <c r="B41660"/>
      <c r="C41660"/>
      <c r="E41660"/>
      <c r="F41660"/>
    </row>
    <row r="41661" spans="1:6" x14ac:dyDescent="0.25">
      <c r="A41661"/>
      <c r="B41661"/>
      <c r="C41661"/>
      <c r="E41661"/>
      <c r="F41661"/>
    </row>
    <row r="41662" spans="1:6" x14ac:dyDescent="0.25">
      <c r="A41662"/>
      <c r="B41662"/>
      <c r="C41662"/>
      <c r="E41662"/>
      <c r="F41662"/>
    </row>
    <row r="41663" spans="1:6" x14ac:dyDescent="0.25">
      <c r="A41663"/>
      <c r="B41663"/>
      <c r="C41663"/>
      <c r="E41663"/>
      <c r="F41663"/>
    </row>
    <row r="41664" spans="1:6" x14ac:dyDescent="0.25">
      <c r="A41664"/>
      <c r="B41664"/>
      <c r="C41664"/>
      <c r="E41664"/>
      <c r="F41664"/>
    </row>
    <row r="41665" spans="1:6" x14ac:dyDescent="0.25">
      <c r="A41665"/>
      <c r="B41665"/>
      <c r="C41665"/>
      <c r="E41665"/>
      <c r="F41665"/>
    </row>
    <row r="41666" spans="1:6" x14ac:dyDescent="0.25">
      <c r="A41666"/>
      <c r="B41666"/>
      <c r="C41666"/>
      <c r="E41666"/>
      <c r="F41666"/>
    </row>
    <row r="41667" spans="1:6" x14ac:dyDescent="0.25">
      <c r="A41667"/>
      <c r="B41667"/>
      <c r="C41667"/>
      <c r="E41667"/>
      <c r="F41667"/>
    </row>
    <row r="41668" spans="1:6" x14ac:dyDescent="0.25">
      <c r="A41668"/>
      <c r="B41668"/>
      <c r="C41668"/>
      <c r="E41668"/>
      <c r="F41668"/>
    </row>
    <row r="41669" spans="1:6" x14ac:dyDescent="0.25">
      <c r="A41669"/>
      <c r="B41669"/>
      <c r="C41669"/>
      <c r="E41669"/>
      <c r="F41669"/>
    </row>
    <row r="41670" spans="1:6" x14ac:dyDescent="0.25">
      <c r="A41670"/>
      <c r="B41670"/>
      <c r="C41670"/>
      <c r="E41670"/>
      <c r="F41670"/>
    </row>
    <row r="41671" spans="1:6" x14ac:dyDescent="0.25">
      <c r="A41671"/>
      <c r="B41671"/>
      <c r="C41671"/>
      <c r="E41671"/>
      <c r="F41671"/>
    </row>
    <row r="41672" spans="1:6" x14ac:dyDescent="0.25">
      <c r="A41672"/>
      <c r="B41672"/>
      <c r="C41672"/>
      <c r="E41672"/>
      <c r="F41672"/>
    </row>
    <row r="41673" spans="1:6" x14ac:dyDescent="0.25">
      <c r="A41673"/>
      <c r="B41673"/>
      <c r="C41673"/>
      <c r="E41673"/>
      <c r="F41673"/>
    </row>
    <row r="41674" spans="1:6" x14ac:dyDescent="0.25">
      <c r="A41674"/>
      <c r="B41674"/>
      <c r="C41674"/>
      <c r="E41674"/>
      <c r="F41674"/>
    </row>
    <row r="41675" spans="1:6" x14ac:dyDescent="0.25">
      <c r="A41675"/>
      <c r="B41675"/>
      <c r="C41675"/>
      <c r="E41675"/>
      <c r="F41675"/>
    </row>
    <row r="41676" spans="1:6" x14ac:dyDescent="0.25">
      <c r="A41676"/>
      <c r="B41676"/>
      <c r="C41676"/>
      <c r="E41676"/>
      <c r="F41676"/>
    </row>
    <row r="41677" spans="1:6" x14ac:dyDescent="0.25">
      <c r="A41677"/>
      <c r="B41677"/>
      <c r="C41677"/>
      <c r="E41677"/>
      <c r="F41677"/>
    </row>
    <row r="41678" spans="1:6" x14ac:dyDescent="0.25">
      <c r="A41678"/>
      <c r="B41678"/>
      <c r="C41678"/>
      <c r="E41678"/>
      <c r="F41678"/>
    </row>
    <row r="41679" spans="1:6" x14ac:dyDescent="0.25">
      <c r="A41679"/>
      <c r="B41679"/>
      <c r="C41679"/>
      <c r="E41679"/>
      <c r="F41679"/>
    </row>
    <row r="41680" spans="1:6" x14ac:dyDescent="0.25">
      <c r="A41680"/>
      <c r="B41680"/>
      <c r="C41680"/>
      <c r="E41680"/>
      <c r="F41680"/>
    </row>
    <row r="41681" spans="1:6" x14ac:dyDescent="0.25">
      <c r="A41681"/>
      <c r="B41681"/>
      <c r="C41681"/>
      <c r="E41681"/>
      <c r="F41681"/>
    </row>
    <row r="41682" spans="1:6" x14ac:dyDescent="0.25">
      <c r="A41682"/>
      <c r="B41682"/>
      <c r="C41682"/>
      <c r="E41682"/>
      <c r="F41682"/>
    </row>
    <row r="41683" spans="1:6" x14ac:dyDescent="0.25">
      <c r="A41683"/>
      <c r="B41683"/>
      <c r="C41683"/>
      <c r="E41683"/>
      <c r="F41683"/>
    </row>
    <row r="41684" spans="1:6" x14ac:dyDescent="0.25">
      <c r="A41684"/>
      <c r="B41684"/>
      <c r="C41684"/>
      <c r="E41684"/>
      <c r="F41684"/>
    </row>
    <row r="41685" spans="1:6" x14ac:dyDescent="0.25">
      <c r="A41685"/>
      <c r="B41685"/>
      <c r="C41685"/>
      <c r="E41685"/>
      <c r="F41685"/>
    </row>
    <row r="41686" spans="1:6" x14ac:dyDescent="0.25">
      <c r="A41686"/>
      <c r="B41686"/>
      <c r="C41686"/>
      <c r="E41686"/>
      <c r="F41686"/>
    </row>
    <row r="41687" spans="1:6" x14ac:dyDescent="0.25">
      <c r="A41687"/>
      <c r="B41687"/>
      <c r="C41687"/>
      <c r="E41687"/>
      <c r="F41687"/>
    </row>
    <row r="41688" spans="1:6" x14ac:dyDescent="0.25">
      <c r="A41688"/>
      <c r="B41688"/>
      <c r="C41688"/>
      <c r="E41688"/>
      <c r="F41688"/>
    </row>
    <row r="41689" spans="1:6" x14ac:dyDescent="0.25">
      <c r="A41689"/>
      <c r="B41689"/>
      <c r="C41689"/>
      <c r="E41689"/>
      <c r="F41689"/>
    </row>
    <row r="41690" spans="1:6" x14ac:dyDescent="0.25">
      <c r="A41690"/>
      <c r="B41690"/>
      <c r="C41690"/>
      <c r="E41690"/>
      <c r="F41690"/>
    </row>
    <row r="41691" spans="1:6" x14ac:dyDescent="0.25">
      <c r="A41691"/>
      <c r="B41691"/>
      <c r="C41691"/>
      <c r="E41691"/>
      <c r="F41691"/>
    </row>
    <row r="41692" spans="1:6" x14ac:dyDescent="0.25">
      <c r="A41692"/>
      <c r="B41692"/>
      <c r="C41692"/>
      <c r="E41692"/>
      <c r="F41692"/>
    </row>
    <row r="41693" spans="1:6" x14ac:dyDescent="0.25">
      <c r="A41693"/>
      <c r="B41693"/>
      <c r="C41693"/>
      <c r="E41693"/>
      <c r="F41693"/>
    </row>
    <row r="41694" spans="1:6" x14ac:dyDescent="0.25">
      <c r="A41694"/>
      <c r="B41694"/>
      <c r="C41694"/>
      <c r="E41694"/>
      <c r="F41694"/>
    </row>
    <row r="41695" spans="1:6" x14ac:dyDescent="0.25">
      <c r="A41695"/>
      <c r="B41695"/>
      <c r="C41695"/>
      <c r="E41695"/>
      <c r="F41695"/>
    </row>
    <row r="41696" spans="1:6" x14ac:dyDescent="0.25">
      <c r="A41696"/>
      <c r="B41696"/>
      <c r="C41696"/>
      <c r="E41696"/>
      <c r="F41696"/>
    </row>
    <row r="41697" spans="1:6" x14ac:dyDescent="0.25">
      <c r="A41697"/>
      <c r="B41697"/>
      <c r="C41697"/>
      <c r="E41697"/>
      <c r="F41697"/>
    </row>
    <row r="41698" spans="1:6" x14ac:dyDescent="0.25">
      <c r="A41698"/>
      <c r="B41698"/>
      <c r="C41698"/>
      <c r="E41698"/>
      <c r="F41698"/>
    </row>
    <row r="41699" spans="1:6" x14ac:dyDescent="0.25">
      <c r="A41699"/>
      <c r="B41699"/>
      <c r="C41699"/>
      <c r="E41699"/>
      <c r="F41699"/>
    </row>
    <row r="41700" spans="1:6" x14ac:dyDescent="0.25">
      <c r="A41700"/>
      <c r="B41700"/>
      <c r="C41700"/>
      <c r="E41700"/>
      <c r="F41700"/>
    </row>
    <row r="41701" spans="1:6" x14ac:dyDescent="0.25">
      <c r="A41701"/>
      <c r="B41701"/>
      <c r="C41701"/>
      <c r="E41701"/>
      <c r="F41701"/>
    </row>
    <row r="41702" spans="1:6" x14ac:dyDescent="0.25">
      <c r="A41702"/>
      <c r="B41702"/>
      <c r="C41702"/>
      <c r="E41702"/>
      <c r="F41702"/>
    </row>
    <row r="41703" spans="1:6" x14ac:dyDescent="0.25">
      <c r="A41703"/>
      <c r="B41703"/>
      <c r="C41703"/>
      <c r="E41703"/>
      <c r="F41703"/>
    </row>
    <row r="41704" spans="1:6" x14ac:dyDescent="0.25">
      <c r="A41704"/>
      <c r="B41704"/>
      <c r="C41704"/>
      <c r="E41704"/>
      <c r="F41704"/>
    </row>
    <row r="41705" spans="1:6" x14ac:dyDescent="0.25">
      <c r="A41705"/>
      <c r="B41705"/>
      <c r="C41705"/>
      <c r="E41705"/>
      <c r="F41705"/>
    </row>
    <row r="41706" spans="1:6" x14ac:dyDescent="0.25">
      <c r="A41706"/>
      <c r="B41706"/>
      <c r="C41706"/>
      <c r="E41706"/>
      <c r="F41706"/>
    </row>
    <row r="41707" spans="1:6" x14ac:dyDescent="0.25">
      <c r="A41707"/>
      <c r="B41707"/>
      <c r="C41707"/>
      <c r="E41707"/>
      <c r="F41707"/>
    </row>
    <row r="41708" spans="1:6" x14ac:dyDescent="0.25">
      <c r="A41708"/>
      <c r="B41708"/>
      <c r="C41708"/>
      <c r="E41708"/>
      <c r="F41708"/>
    </row>
    <row r="41709" spans="1:6" x14ac:dyDescent="0.25">
      <c r="A41709"/>
      <c r="B41709"/>
      <c r="C41709"/>
      <c r="E41709"/>
      <c r="F41709"/>
    </row>
    <row r="41710" spans="1:6" x14ac:dyDescent="0.25">
      <c r="A41710"/>
      <c r="B41710"/>
      <c r="C41710"/>
      <c r="E41710"/>
      <c r="F41710"/>
    </row>
    <row r="41711" spans="1:6" x14ac:dyDescent="0.25">
      <c r="A41711"/>
      <c r="B41711"/>
      <c r="C41711"/>
      <c r="E41711"/>
      <c r="F41711"/>
    </row>
    <row r="41712" spans="1:6" x14ac:dyDescent="0.25">
      <c r="A41712"/>
      <c r="B41712"/>
      <c r="C41712"/>
      <c r="E41712"/>
      <c r="F41712"/>
    </row>
    <row r="41713" spans="1:6" x14ac:dyDescent="0.25">
      <c r="A41713"/>
      <c r="B41713"/>
      <c r="C41713"/>
      <c r="E41713"/>
      <c r="F41713"/>
    </row>
    <row r="41714" spans="1:6" x14ac:dyDescent="0.25">
      <c r="A41714"/>
      <c r="B41714"/>
      <c r="C41714"/>
      <c r="E41714"/>
      <c r="F41714"/>
    </row>
    <row r="41715" spans="1:6" x14ac:dyDescent="0.25">
      <c r="A41715"/>
      <c r="B41715"/>
      <c r="C41715"/>
      <c r="E41715"/>
      <c r="F41715"/>
    </row>
    <row r="41716" spans="1:6" x14ac:dyDescent="0.25">
      <c r="A41716"/>
      <c r="B41716"/>
      <c r="C41716"/>
      <c r="E41716"/>
      <c r="F41716"/>
    </row>
    <row r="41717" spans="1:6" x14ac:dyDescent="0.25">
      <c r="A41717"/>
      <c r="B41717"/>
      <c r="C41717"/>
      <c r="E41717"/>
      <c r="F41717"/>
    </row>
    <row r="41718" spans="1:6" x14ac:dyDescent="0.25">
      <c r="A41718"/>
      <c r="B41718"/>
      <c r="C41718"/>
      <c r="E41718"/>
      <c r="F41718"/>
    </row>
    <row r="41719" spans="1:6" x14ac:dyDescent="0.25">
      <c r="A41719"/>
      <c r="B41719"/>
      <c r="C41719"/>
      <c r="E41719"/>
      <c r="F41719"/>
    </row>
    <row r="41720" spans="1:6" x14ac:dyDescent="0.25">
      <c r="A41720"/>
      <c r="B41720"/>
      <c r="C41720"/>
      <c r="E41720"/>
      <c r="F41720"/>
    </row>
    <row r="41721" spans="1:6" x14ac:dyDescent="0.25">
      <c r="A41721"/>
      <c r="B41721"/>
      <c r="C41721"/>
      <c r="E41721"/>
      <c r="F41721"/>
    </row>
    <row r="41722" spans="1:6" x14ac:dyDescent="0.25">
      <c r="A41722"/>
      <c r="B41722"/>
      <c r="C41722"/>
      <c r="E41722"/>
      <c r="F41722"/>
    </row>
    <row r="41723" spans="1:6" x14ac:dyDescent="0.25">
      <c r="A41723"/>
      <c r="B41723"/>
      <c r="C41723"/>
      <c r="E41723"/>
      <c r="F41723"/>
    </row>
    <row r="41724" spans="1:6" x14ac:dyDescent="0.25">
      <c r="A41724"/>
      <c r="B41724"/>
      <c r="C41724"/>
      <c r="E41724"/>
      <c r="F41724"/>
    </row>
    <row r="41725" spans="1:6" x14ac:dyDescent="0.25">
      <c r="A41725"/>
      <c r="B41725"/>
      <c r="C41725"/>
      <c r="E41725"/>
      <c r="F41725"/>
    </row>
    <row r="41726" spans="1:6" x14ac:dyDescent="0.25">
      <c r="A41726"/>
      <c r="B41726"/>
      <c r="C41726"/>
      <c r="E41726"/>
      <c r="F41726"/>
    </row>
    <row r="41727" spans="1:6" x14ac:dyDescent="0.25">
      <c r="A41727"/>
      <c r="B41727"/>
      <c r="C41727"/>
      <c r="E41727"/>
      <c r="F41727"/>
    </row>
    <row r="41728" spans="1:6" x14ac:dyDescent="0.25">
      <c r="A41728"/>
      <c r="B41728"/>
      <c r="C41728"/>
      <c r="E41728"/>
      <c r="F41728"/>
    </row>
    <row r="41729" spans="1:6" x14ac:dyDescent="0.25">
      <c r="A41729"/>
      <c r="B41729"/>
      <c r="C41729"/>
      <c r="E41729"/>
      <c r="F41729"/>
    </row>
    <row r="41730" spans="1:6" x14ac:dyDescent="0.25">
      <c r="A41730"/>
      <c r="B41730"/>
      <c r="C41730"/>
      <c r="E41730"/>
      <c r="F41730"/>
    </row>
    <row r="41731" spans="1:6" x14ac:dyDescent="0.25">
      <c r="A41731"/>
      <c r="B41731"/>
      <c r="C41731"/>
      <c r="E41731"/>
      <c r="F41731"/>
    </row>
    <row r="41732" spans="1:6" x14ac:dyDescent="0.25">
      <c r="A41732"/>
      <c r="B41732"/>
      <c r="C41732"/>
      <c r="E41732"/>
      <c r="F41732"/>
    </row>
    <row r="41733" spans="1:6" x14ac:dyDescent="0.25">
      <c r="A41733"/>
      <c r="B41733"/>
      <c r="C41733"/>
      <c r="E41733"/>
      <c r="F41733"/>
    </row>
    <row r="41734" spans="1:6" x14ac:dyDescent="0.25">
      <c r="A41734"/>
      <c r="B41734"/>
      <c r="C41734"/>
      <c r="E41734"/>
      <c r="F41734"/>
    </row>
    <row r="41735" spans="1:6" x14ac:dyDescent="0.25">
      <c r="A41735"/>
      <c r="B41735"/>
      <c r="C41735"/>
      <c r="E41735"/>
      <c r="F41735"/>
    </row>
    <row r="41736" spans="1:6" x14ac:dyDescent="0.25">
      <c r="A41736"/>
      <c r="B41736"/>
      <c r="C41736"/>
      <c r="E41736"/>
      <c r="F41736"/>
    </row>
    <row r="41737" spans="1:6" x14ac:dyDescent="0.25">
      <c r="A41737"/>
      <c r="B41737"/>
      <c r="C41737"/>
      <c r="E41737"/>
      <c r="F41737"/>
    </row>
    <row r="41738" spans="1:6" x14ac:dyDescent="0.25">
      <c r="A41738"/>
      <c r="B41738"/>
      <c r="C41738"/>
      <c r="E41738"/>
      <c r="F41738"/>
    </row>
    <row r="41739" spans="1:6" x14ac:dyDescent="0.25">
      <c r="A41739"/>
      <c r="B41739"/>
      <c r="C41739"/>
      <c r="E41739"/>
      <c r="F41739"/>
    </row>
    <row r="41740" spans="1:6" x14ac:dyDescent="0.25">
      <c r="A41740"/>
      <c r="B41740"/>
      <c r="C41740"/>
      <c r="E41740"/>
      <c r="F41740"/>
    </row>
    <row r="41741" spans="1:6" x14ac:dyDescent="0.25">
      <c r="A41741"/>
      <c r="B41741"/>
      <c r="C41741"/>
      <c r="E41741"/>
      <c r="F41741"/>
    </row>
    <row r="41742" spans="1:6" x14ac:dyDescent="0.25">
      <c r="A41742"/>
      <c r="B41742"/>
      <c r="C41742"/>
      <c r="E41742"/>
      <c r="F41742"/>
    </row>
    <row r="41743" spans="1:6" x14ac:dyDescent="0.25">
      <c r="A41743"/>
      <c r="B41743"/>
      <c r="C41743"/>
      <c r="E41743"/>
      <c r="F41743"/>
    </row>
    <row r="41744" spans="1:6" x14ac:dyDescent="0.25">
      <c r="A41744"/>
      <c r="B41744"/>
      <c r="C41744"/>
      <c r="E41744"/>
      <c r="F41744"/>
    </row>
    <row r="41745" spans="1:6" x14ac:dyDescent="0.25">
      <c r="A41745"/>
      <c r="B41745"/>
      <c r="C41745"/>
      <c r="E41745"/>
      <c r="F41745"/>
    </row>
    <row r="41746" spans="1:6" x14ac:dyDescent="0.25">
      <c r="A41746"/>
      <c r="B41746"/>
      <c r="C41746"/>
      <c r="E41746"/>
      <c r="F41746"/>
    </row>
    <row r="41747" spans="1:6" x14ac:dyDescent="0.25">
      <c r="A41747"/>
      <c r="B41747"/>
      <c r="C41747"/>
      <c r="E41747"/>
      <c r="F41747"/>
    </row>
    <row r="41748" spans="1:6" x14ac:dyDescent="0.25">
      <c r="A41748"/>
      <c r="B41748"/>
      <c r="C41748"/>
      <c r="E41748"/>
      <c r="F41748"/>
    </row>
    <row r="41749" spans="1:6" x14ac:dyDescent="0.25">
      <c r="A41749"/>
      <c r="B41749"/>
      <c r="C41749"/>
      <c r="E41749"/>
      <c r="F41749"/>
    </row>
    <row r="41750" spans="1:6" x14ac:dyDescent="0.25">
      <c r="A41750"/>
      <c r="B41750"/>
      <c r="C41750"/>
      <c r="E41750"/>
      <c r="F41750"/>
    </row>
    <row r="41751" spans="1:6" x14ac:dyDescent="0.25">
      <c r="A41751"/>
      <c r="B41751"/>
      <c r="C41751"/>
      <c r="E41751"/>
      <c r="F41751"/>
    </row>
    <row r="41752" spans="1:6" x14ac:dyDescent="0.25">
      <c r="A41752"/>
      <c r="B41752"/>
      <c r="C41752"/>
      <c r="E41752"/>
      <c r="F41752"/>
    </row>
    <row r="41753" spans="1:6" x14ac:dyDescent="0.25">
      <c r="A41753"/>
      <c r="B41753"/>
      <c r="C41753"/>
      <c r="E41753"/>
      <c r="F41753"/>
    </row>
    <row r="41754" spans="1:6" x14ac:dyDescent="0.25">
      <c r="A41754"/>
      <c r="B41754"/>
      <c r="C41754"/>
      <c r="E41754"/>
      <c r="F41754"/>
    </row>
    <row r="41755" spans="1:6" x14ac:dyDescent="0.25">
      <c r="A41755"/>
      <c r="B41755"/>
      <c r="C41755"/>
      <c r="E41755"/>
      <c r="F41755"/>
    </row>
    <row r="41756" spans="1:6" x14ac:dyDescent="0.25">
      <c r="A41756"/>
      <c r="B41756"/>
      <c r="C41756"/>
      <c r="E41756"/>
      <c r="F41756"/>
    </row>
    <row r="41757" spans="1:6" x14ac:dyDescent="0.25">
      <c r="A41757"/>
      <c r="B41757"/>
      <c r="C41757"/>
      <c r="E41757"/>
      <c r="F41757"/>
    </row>
    <row r="41758" spans="1:6" x14ac:dyDescent="0.25">
      <c r="A41758"/>
      <c r="B41758"/>
      <c r="C41758"/>
      <c r="E41758"/>
      <c r="F41758"/>
    </row>
    <row r="41759" spans="1:6" x14ac:dyDescent="0.25">
      <c r="A41759"/>
      <c r="B41759"/>
      <c r="C41759"/>
      <c r="E41759"/>
      <c r="F41759"/>
    </row>
    <row r="41760" spans="1:6" x14ac:dyDescent="0.25">
      <c r="A41760"/>
      <c r="B41760"/>
      <c r="C41760"/>
      <c r="E41760"/>
      <c r="F41760"/>
    </row>
    <row r="41761" spans="1:6" x14ac:dyDescent="0.25">
      <c r="A41761"/>
      <c r="B41761"/>
      <c r="C41761"/>
      <c r="E41761"/>
      <c r="F41761"/>
    </row>
    <row r="41762" spans="1:6" x14ac:dyDescent="0.25">
      <c r="A41762"/>
      <c r="B41762"/>
      <c r="C41762"/>
      <c r="E41762"/>
      <c r="F41762"/>
    </row>
    <row r="41763" spans="1:6" x14ac:dyDescent="0.25">
      <c r="A41763"/>
      <c r="B41763"/>
      <c r="C41763"/>
      <c r="E41763"/>
      <c r="F41763"/>
    </row>
    <row r="41764" spans="1:6" x14ac:dyDescent="0.25">
      <c r="A41764"/>
      <c r="B41764"/>
      <c r="C41764"/>
      <c r="E41764"/>
      <c r="F41764"/>
    </row>
    <row r="41765" spans="1:6" x14ac:dyDescent="0.25">
      <c r="A41765"/>
      <c r="B41765"/>
      <c r="C41765"/>
      <c r="E41765"/>
      <c r="F41765"/>
    </row>
    <row r="41766" spans="1:6" x14ac:dyDescent="0.25">
      <c r="A41766"/>
      <c r="B41766"/>
      <c r="C41766"/>
      <c r="E41766"/>
      <c r="F41766"/>
    </row>
    <row r="41767" spans="1:6" x14ac:dyDescent="0.25">
      <c r="A41767"/>
      <c r="B41767"/>
      <c r="C41767"/>
      <c r="E41767"/>
      <c r="F41767"/>
    </row>
    <row r="41768" spans="1:6" x14ac:dyDescent="0.25">
      <c r="A41768"/>
      <c r="B41768"/>
      <c r="C41768"/>
      <c r="E41768"/>
      <c r="F41768"/>
    </row>
    <row r="41769" spans="1:6" x14ac:dyDescent="0.25">
      <c r="A41769"/>
      <c r="B41769"/>
      <c r="C41769"/>
      <c r="E41769"/>
      <c r="F41769"/>
    </row>
    <row r="41770" spans="1:6" x14ac:dyDescent="0.25">
      <c r="A41770"/>
      <c r="B41770"/>
      <c r="C41770"/>
      <c r="E41770"/>
      <c r="F41770"/>
    </row>
    <row r="41771" spans="1:6" x14ac:dyDescent="0.25">
      <c r="A41771"/>
      <c r="B41771"/>
      <c r="C41771"/>
      <c r="E41771"/>
      <c r="F41771"/>
    </row>
    <row r="41772" spans="1:6" x14ac:dyDescent="0.25">
      <c r="A41772"/>
      <c r="B41772"/>
      <c r="C41772"/>
      <c r="E41772"/>
      <c r="F41772"/>
    </row>
    <row r="41773" spans="1:6" x14ac:dyDescent="0.25">
      <c r="A41773"/>
      <c r="B41773"/>
      <c r="C41773"/>
      <c r="E41773"/>
      <c r="F41773"/>
    </row>
    <row r="41774" spans="1:6" x14ac:dyDescent="0.25">
      <c r="A41774"/>
      <c r="B41774"/>
      <c r="C41774"/>
      <c r="E41774"/>
      <c r="F41774"/>
    </row>
    <row r="41775" spans="1:6" x14ac:dyDescent="0.25">
      <c r="A41775"/>
      <c r="B41775"/>
      <c r="C41775"/>
      <c r="E41775"/>
      <c r="F41775"/>
    </row>
    <row r="41776" spans="1:6" x14ac:dyDescent="0.25">
      <c r="A41776"/>
      <c r="B41776"/>
      <c r="C41776"/>
      <c r="E41776"/>
      <c r="F41776"/>
    </row>
    <row r="41777" spans="1:6" x14ac:dyDescent="0.25">
      <c r="A41777"/>
      <c r="B41777"/>
      <c r="C41777"/>
      <c r="E41777"/>
      <c r="F41777"/>
    </row>
    <row r="41778" spans="1:6" x14ac:dyDescent="0.25">
      <c r="A41778"/>
      <c r="B41778"/>
      <c r="C41778"/>
      <c r="E41778"/>
      <c r="F41778"/>
    </row>
    <row r="41779" spans="1:6" x14ac:dyDescent="0.25">
      <c r="A41779"/>
      <c r="B41779"/>
      <c r="C41779"/>
      <c r="E41779"/>
      <c r="F41779"/>
    </row>
    <row r="41780" spans="1:6" x14ac:dyDescent="0.25">
      <c r="A41780"/>
      <c r="B41780"/>
      <c r="C41780"/>
      <c r="E41780"/>
      <c r="F41780"/>
    </row>
    <row r="41781" spans="1:6" x14ac:dyDescent="0.25">
      <c r="A41781"/>
      <c r="B41781"/>
      <c r="C41781"/>
      <c r="E41781"/>
      <c r="F41781"/>
    </row>
    <row r="41782" spans="1:6" x14ac:dyDescent="0.25">
      <c r="A41782"/>
      <c r="B41782"/>
      <c r="C41782"/>
      <c r="E41782"/>
      <c r="F41782"/>
    </row>
    <row r="41783" spans="1:6" x14ac:dyDescent="0.25">
      <c r="A41783"/>
      <c r="B41783"/>
      <c r="C41783"/>
      <c r="E41783"/>
      <c r="F41783"/>
    </row>
    <row r="41784" spans="1:6" x14ac:dyDescent="0.25">
      <c r="A41784"/>
      <c r="B41784"/>
      <c r="C41784"/>
      <c r="E41784"/>
      <c r="F41784"/>
    </row>
    <row r="41785" spans="1:6" x14ac:dyDescent="0.25">
      <c r="A41785"/>
      <c r="B41785"/>
      <c r="C41785"/>
      <c r="E41785"/>
      <c r="F41785"/>
    </row>
    <row r="41786" spans="1:6" x14ac:dyDescent="0.25">
      <c r="A41786"/>
      <c r="B41786"/>
      <c r="C41786"/>
      <c r="E41786"/>
      <c r="F41786"/>
    </row>
    <row r="41787" spans="1:6" x14ac:dyDescent="0.25">
      <c r="A41787"/>
      <c r="B41787"/>
      <c r="C41787"/>
      <c r="E41787"/>
      <c r="F41787"/>
    </row>
    <row r="41788" spans="1:6" x14ac:dyDescent="0.25">
      <c r="A41788"/>
      <c r="B41788"/>
      <c r="C41788"/>
      <c r="E41788"/>
      <c r="F41788"/>
    </row>
    <row r="41789" spans="1:6" x14ac:dyDescent="0.25">
      <c r="A41789"/>
      <c r="B41789"/>
      <c r="C41789"/>
      <c r="E41789"/>
      <c r="F41789"/>
    </row>
    <row r="41790" spans="1:6" x14ac:dyDescent="0.25">
      <c r="A41790"/>
      <c r="B41790"/>
      <c r="C41790"/>
      <c r="E41790"/>
      <c r="F41790"/>
    </row>
    <row r="41791" spans="1:6" x14ac:dyDescent="0.25">
      <c r="A41791"/>
      <c r="B41791"/>
      <c r="C41791"/>
      <c r="E41791"/>
      <c r="F41791"/>
    </row>
    <row r="41792" spans="1:6" x14ac:dyDescent="0.25">
      <c r="A41792"/>
      <c r="B41792"/>
      <c r="C41792"/>
      <c r="E41792"/>
      <c r="F41792"/>
    </row>
    <row r="41793" spans="1:6" x14ac:dyDescent="0.25">
      <c r="A41793"/>
      <c r="B41793"/>
      <c r="C41793"/>
      <c r="E41793"/>
      <c r="F41793"/>
    </row>
    <row r="41794" spans="1:6" x14ac:dyDescent="0.25">
      <c r="A41794"/>
      <c r="B41794"/>
      <c r="C41794"/>
      <c r="E41794"/>
      <c r="F41794"/>
    </row>
    <row r="41795" spans="1:6" x14ac:dyDescent="0.25">
      <c r="A41795"/>
      <c r="B41795"/>
      <c r="C41795"/>
      <c r="E41795"/>
      <c r="F41795"/>
    </row>
    <row r="41796" spans="1:6" x14ac:dyDescent="0.25">
      <c r="A41796"/>
      <c r="B41796"/>
      <c r="C41796"/>
      <c r="E41796"/>
      <c r="F41796"/>
    </row>
    <row r="41797" spans="1:6" x14ac:dyDescent="0.25">
      <c r="A41797"/>
      <c r="B41797"/>
      <c r="C41797"/>
      <c r="E41797"/>
      <c r="F41797"/>
    </row>
    <row r="41798" spans="1:6" x14ac:dyDescent="0.25">
      <c r="A41798"/>
      <c r="B41798"/>
      <c r="C41798"/>
      <c r="E41798"/>
      <c r="F41798"/>
    </row>
    <row r="41799" spans="1:6" x14ac:dyDescent="0.25">
      <c r="A41799"/>
      <c r="B41799"/>
      <c r="C41799"/>
      <c r="E41799"/>
      <c r="F41799"/>
    </row>
    <row r="41800" spans="1:6" x14ac:dyDescent="0.25">
      <c r="A41800"/>
      <c r="B41800"/>
      <c r="C41800"/>
      <c r="E41800"/>
      <c r="F41800"/>
    </row>
    <row r="41801" spans="1:6" x14ac:dyDescent="0.25">
      <c r="A41801"/>
      <c r="B41801"/>
      <c r="C41801"/>
      <c r="E41801"/>
      <c r="F41801"/>
    </row>
    <row r="41802" spans="1:6" x14ac:dyDescent="0.25">
      <c r="A41802"/>
      <c r="B41802"/>
      <c r="C41802"/>
      <c r="E41802"/>
      <c r="F41802"/>
    </row>
    <row r="41803" spans="1:6" x14ac:dyDescent="0.25">
      <c r="A41803"/>
      <c r="B41803"/>
      <c r="C41803"/>
      <c r="E41803"/>
      <c r="F41803"/>
    </row>
    <row r="41804" spans="1:6" x14ac:dyDescent="0.25">
      <c r="A41804"/>
      <c r="B41804"/>
      <c r="C41804"/>
      <c r="E41804"/>
      <c r="F41804"/>
    </row>
    <row r="41805" spans="1:6" x14ac:dyDescent="0.25">
      <c r="A41805"/>
      <c r="B41805"/>
      <c r="C41805"/>
      <c r="E41805"/>
      <c r="F41805"/>
    </row>
    <row r="41806" spans="1:6" x14ac:dyDescent="0.25">
      <c r="A41806"/>
      <c r="B41806"/>
      <c r="C41806"/>
      <c r="E41806"/>
      <c r="F41806"/>
    </row>
    <row r="41807" spans="1:6" x14ac:dyDescent="0.25">
      <c r="A41807"/>
      <c r="B41807"/>
      <c r="C41807"/>
      <c r="E41807"/>
      <c r="F41807"/>
    </row>
    <row r="41808" spans="1:6" x14ac:dyDescent="0.25">
      <c r="A41808"/>
      <c r="B41808"/>
      <c r="C41808"/>
      <c r="E41808"/>
      <c r="F41808"/>
    </row>
    <row r="41809" spans="1:6" x14ac:dyDescent="0.25">
      <c r="A41809"/>
      <c r="B41809"/>
      <c r="C41809"/>
      <c r="E41809"/>
      <c r="F41809"/>
    </row>
    <row r="41810" spans="1:6" x14ac:dyDescent="0.25">
      <c r="A41810"/>
      <c r="B41810"/>
      <c r="C41810"/>
      <c r="E41810"/>
      <c r="F41810"/>
    </row>
    <row r="41811" spans="1:6" x14ac:dyDescent="0.25">
      <c r="A41811"/>
      <c r="B41811"/>
      <c r="C41811"/>
      <c r="E41811"/>
      <c r="F41811"/>
    </row>
    <row r="41812" spans="1:6" x14ac:dyDescent="0.25">
      <c r="A41812"/>
      <c r="B41812"/>
      <c r="C41812"/>
      <c r="E41812"/>
      <c r="F41812"/>
    </row>
    <row r="41813" spans="1:6" x14ac:dyDescent="0.25">
      <c r="A41813"/>
      <c r="B41813"/>
      <c r="C41813"/>
      <c r="E41813"/>
      <c r="F41813"/>
    </row>
    <row r="41814" spans="1:6" x14ac:dyDescent="0.25">
      <c r="A41814"/>
      <c r="B41814"/>
      <c r="C41814"/>
      <c r="E41814"/>
      <c r="F41814"/>
    </row>
    <row r="41815" spans="1:6" x14ac:dyDescent="0.25">
      <c r="A41815"/>
      <c r="B41815"/>
      <c r="C41815"/>
      <c r="E41815"/>
      <c r="F41815"/>
    </row>
    <row r="41816" spans="1:6" x14ac:dyDescent="0.25">
      <c r="A41816"/>
      <c r="B41816"/>
      <c r="C41816"/>
      <c r="E41816"/>
      <c r="F41816"/>
    </row>
    <row r="41817" spans="1:6" x14ac:dyDescent="0.25">
      <c r="A41817"/>
      <c r="B41817"/>
      <c r="C41817"/>
      <c r="E41817"/>
      <c r="F41817"/>
    </row>
    <row r="41818" spans="1:6" x14ac:dyDescent="0.25">
      <c r="A41818"/>
      <c r="B41818"/>
      <c r="C41818"/>
      <c r="E41818"/>
      <c r="F41818"/>
    </row>
    <row r="41819" spans="1:6" x14ac:dyDescent="0.25">
      <c r="A41819"/>
      <c r="B41819"/>
      <c r="C41819"/>
      <c r="E41819"/>
      <c r="F41819"/>
    </row>
    <row r="41820" spans="1:6" x14ac:dyDescent="0.25">
      <c r="A41820"/>
      <c r="B41820"/>
      <c r="C41820"/>
      <c r="E41820"/>
      <c r="F41820"/>
    </row>
    <row r="41821" spans="1:6" x14ac:dyDescent="0.25">
      <c r="A41821"/>
      <c r="B41821"/>
      <c r="C41821"/>
      <c r="E41821"/>
      <c r="F41821"/>
    </row>
    <row r="41822" spans="1:6" x14ac:dyDescent="0.25">
      <c r="A41822"/>
      <c r="B41822"/>
      <c r="C41822"/>
      <c r="E41822"/>
      <c r="F41822"/>
    </row>
    <row r="41823" spans="1:6" x14ac:dyDescent="0.25">
      <c r="A41823"/>
      <c r="B41823"/>
      <c r="C41823"/>
      <c r="E41823"/>
      <c r="F41823"/>
    </row>
    <row r="41824" spans="1:6" x14ac:dyDescent="0.25">
      <c r="A41824"/>
      <c r="B41824"/>
      <c r="C41824"/>
      <c r="E41824"/>
      <c r="F41824"/>
    </row>
    <row r="41825" spans="1:6" x14ac:dyDescent="0.25">
      <c r="A41825"/>
      <c r="B41825"/>
      <c r="C41825"/>
      <c r="E41825"/>
      <c r="F41825"/>
    </row>
    <row r="41826" spans="1:6" x14ac:dyDescent="0.25">
      <c r="A41826"/>
      <c r="B41826"/>
      <c r="C41826"/>
      <c r="E41826"/>
      <c r="F41826"/>
    </row>
    <row r="41827" spans="1:6" x14ac:dyDescent="0.25">
      <c r="A41827"/>
      <c r="B41827"/>
      <c r="C41827"/>
      <c r="E41827"/>
      <c r="F41827"/>
    </row>
    <row r="41828" spans="1:6" x14ac:dyDescent="0.25">
      <c r="A41828"/>
      <c r="B41828"/>
      <c r="C41828"/>
      <c r="E41828"/>
      <c r="F41828"/>
    </row>
    <row r="41829" spans="1:6" x14ac:dyDescent="0.25">
      <c r="A41829"/>
      <c r="B41829"/>
      <c r="C41829"/>
      <c r="E41829"/>
      <c r="F41829"/>
    </row>
    <row r="41830" spans="1:6" x14ac:dyDescent="0.25">
      <c r="A41830"/>
      <c r="B41830"/>
      <c r="C41830"/>
      <c r="E41830"/>
      <c r="F41830"/>
    </row>
    <row r="41831" spans="1:6" x14ac:dyDescent="0.25">
      <c r="A41831"/>
      <c r="B41831"/>
      <c r="C41831"/>
      <c r="E41831"/>
      <c r="F41831"/>
    </row>
    <row r="41832" spans="1:6" x14ac:dyDescent="0.25">
      <c r="A41832"/>
      <c r="B41832"/>
      <c r="C41832"/>
      <c r="E41832"/>
      <c r="F41832"/>
    </row>
    <row r="41833" spans="1:6" x14ac:dyDescent="0.25">
      <c r="A41833"/>
      <c r="B41833"/>
      <c r="C41833"/>
      <c r="E41833"/>
      <c r="F41833"/>
    </row>
    <row r="41834" spans="1:6" x14ac:dyDescent="0.25">
      <c r="A41834"/>
      <c r="B41834"/>
      <c r="C41834"/>
      <c r="E41834"/>
      <c r="F41834"/>
    </row>
    <row r="41835" spans="1:6" x14ac:dyDescent="0.25">
      <c r="A41835"/>
      <c r="B41835"/>
      <c r="C41835"/>
      <c r="E41835"/>
      <c r="F41835"/>
    </row>
    <row r="41836" spans="1:6" x14ac:dyDescent="0.25">
      <c r="A41836"/>
      <c r="B41836"/>
      <c r="C41836"/>
      <c r="E41836"/>
      <c r="F41836"/>
    </row>
    <row r="41837" spans="1:6" x14ac:dyDescent="0.25">
      <c r="A41837"/>
      <c r="B41837"/>
      <c r="C41837"/>
      <c r="E41837"/>
      <c r="F41837"/>
    </row>
    <row r="41838" spans="1:6" x14ac:dyDescent="0.25">
      <c r="A41838"/>
      <c r="B41838"/>
      <c r="C41838"/>
      <c r="E41838"/>
      <c r="F41838"/>
    </row>
    <row r="41839" spans="1:6" x14ac:dyDescent="0.25">
      <c r="A41839"/>
      <c r="B41839"/>
      <c r="C41839"/>
      <c r="E41839"/>
      <c r="F41839"/>
    </row>
    <row r="41840" spans="1:6" x14ac:dyDescent="0.25">
      <c r="A41840"/>
      <c r="B41840"/>
      <c r="C41840"/>
      <c r="E41840"/>
      <c r="F41840"/>
    </row>
    <row r="41841" spans="1:6" x14ac:dyDescent="0.25">
      <c r="A41841"/>
      <c r="B41841"/>
      <c r="C41841"/>
      <c r="E41841"/>
      <c r="F41841"/>
    </row>
    <row r="41842" spans="1:6" x14ac:dyDescent="0.25">
      <c r="A41842"/>
      <c r="B41842"/>
      <c r="C41842"/>
      <c r="E41842"/>
      <c r="F41842"/>
    </row>
    <row r="41843" spans="1:6" x14ac:dyDescent="0.25">
      <c r="A41843"/>
      <c r="B41843"/>
      <c r="C41843"/>
      <c r="E41843"/>
      <c r="F41843"/>
    </row>
    <row r="41844" spans="1:6" x14ac:dyDescent="0.25">
      <c r="A41844"/>
      <c r="B41844"/>
      <c r="C41844"/>
      <c r="E41844"/>
      <c r="F41844"/>
    </row>
    <row r="41845" spans="1:6" x14ac:dyDescent="0.25">
      <c r="A41845"/>
      <c r="B41845"/>
      <c r="C41845"/>
      <c r="E41845"/>
      <c r="F41845"/>
    </row>
    <row r="41846" spans="1:6" x14ac:dyDescent="0.25">
      <c r="A41846"/>
      <c r="B41846"/>
      <c r="C41846"/>
      <c r="E41846"/>
      <c r="F41846"/>
    </row>
    <row r="41847" spans="1:6" x14ac:dyDescent="0.25">
      <c r="A41847"/>
      <c r="B41847"/>
      <c r="C41847"/>
      <c r="E41847"/>
      <c r="F41847"/>
    </row>
    <row r="41848" spans="1:6" x14ac:dyDescent="0.25">
      <c r="A41848"/>
      <c r="B41848"/>
      <c r="C41848"/>
      <c r="E41848"/>
      <c r="F41848"/>
    </row>
    <row r="41849" spans="1:6" x14ac:dyDescent="0.25">
      <c r="A41849"/>
      <c r="B41849"/>
      <c r="C41849"/>
      <c r="E41849"/>
      <c r="F41849"/>
    </row>
    <row r="41850" spans="1:6" x14ac:dyDescent="0.25">
      <c r="A41850"/>
      <c r="B41850"/>
      <c r="C41850"/>
      <c r="E41850"/>
      <c r="F41850"/>
    </row>
    <row r="41851" spans="1:6" x14ac:dyDescent="0.25">
      <c r="A41851"/>
      <c r="B41851"/>
      <c r="C41851"/>
      <c r="E41851"/>
      <c r="F41851"/>
    </row>
    <row r="41852" spans="1:6" x14ac:dyDescent="0.25">
      <c r="A41852"/>
      <c r="B41852"/>
      <c r="C41852"/>
      <c r="E41852"/>
      <c r="F41852"/>
    </row>
    <row r="41853" spans="1:6" x14ac:dyDescent="0.25">
      <c r="A41853"/>
      <c r="B41853"/>
      <c r="C41853"/>
      <c r="E41853"/>
      <c r="F41853"/>
    </row>
    <row r="41854" spans="1:6" x14ac:dyDescent="0.25">
      <c r="A41854"/>
      <c r="B41854"/>
      <c r="C41854"/>
      <c r="E41854"/>
      <c r="F41854"/>
    </row>
    <row r="41855" spans="1:6" x14ac:dyDescent="0.25">
      <c r="A41855"/>
      <c r="B41855"/>
      <c r="C41855"/>
      <c r="E41855"/>
      <c r="F41855"/>
    </row>
    <row r="41856" spans="1:6" x14ac:dyDescent="0.25">
      <c r="A41856"/>
      <c r="B41856"/>
      <c r="C41856"/>
      <c r="E41856"/>
      <c r="F41856"/>
    </row>
    <row r="41857" spans="1:6" x14ac:dyDescent="0.25">
      <c r="A41857"/>
      <c r="B41857"/>
      <c r="C41857"/>
      <c r="E41857"/>
      <c r="F41857"/>
    </row>
    <row r="41858" spans="1:6" x14ac:dyDescent="0.25">
      <c r="A41858"/>
      <c r="B41858"/>
      <c r="C41858"/>
      <c r="E41858"/>
      <c r="F41858"/>
    </row>
    <row r="41859" spans="1:6" x14ac:dyDescent="0.25">
      <c r="A41859"/>
      <c r="B41859"/>
      <c r="C41859"/>
      <c r="E41859"/>
      <c r="F41859"/>
    </row>
    <row r="41860" spans="1:6" x14ac:dyDescent="0.25">
      <c r="A41860"/>
      <c r="B41860"/>
      <c r="C41860"/>
      <c r="E41860"/>
      <c r="F41860"/>
    </row>
    <row r="41861" spans="1:6" x14ac:dyDescent="0.25">
      <c r="A41861"/>
      <c r="B41861"/>
      <c r="C41861"/>
      <c r="E41861"/>
      <c r="F41861"/>
    </row>
    <row r="41862" spans="1:6" x14ac:dyDescent="0.25">
      <c r="A41862"/>
      <c r="B41862"/>
      <c r="C41862"/>
      <c r="E41862"/>
      <c r="F41862"/>
    </row>
    <row r="41863" spans="1:6" x14ac:dyDescent="0.25">
      <c r="A41863"/>
      <c r="B41863"/>
      <c r="C41863"/>
      <c r="E41863"/>
      <c r="F41863"/>
    </row>
    <row r="41864" spans="1:6" x14ac:dyDescent="0.25">
      <c r="A41864"/>
      <c r="B41864"/>
      <c r="C41864"/>
      <c r="E41864"/>
      <c r="F41864"/>
    </row>
    <row r="41865" spans="1:6" x14ac:dyDescent="0.25">
      <c r="A41865"/>
      <c r="B41865"/>
      <c r="C41865"/>
      <c r="E41865"/>
      <c r="F41865"/>
    </row>
    <row r="41866" spans="1:6" x14ac:dyDescent="0.25">
      <c r="A41866"/>
      <c r="B41866"/>
      <c r="C41866"/>
      <c r="E41866"/>
      <c r="F41866"/>
    </row>
    <row r="41867" spans="1:6" x14ac:dyDescent="0.25">
      <c r="A41867"/>
      <c r="B41867"/>
      <c r="C41867"/>
      <c r="E41867"/>
      <c r="F41867"/>
    </row>
    <row r="41868" spans="1:6" x14ac:dyDescent="0.25">
      <c r="A41868"/>
      <c r="B41868"/>
      <c r="C41868"/>
      <c r="E41868"/>
      <c r="F41868"/>
    </row>
    <row r="41869" spans="1:6" x14ac:dyDescent="0.25">
      <c r="A41869"/>
      <c r="B41869"/>
      <c r="C41869"/>
      <c r="E41869"/>
      <c r="F41869"/>
    </row>
    <row r="41870" spans="1:6" x14ac:dyDescent="0.25">
      <c r="A41870"/>
      <c r="B41870"/>
      <c r="C41870"/>
      <c r="E41870"/>
      <c r="F41870"/>
    </row>
    <row r="41871" spans="1:6" x14ac:dyDescent="0.25">
      <c r="A41871"/>
      <c r="B41871"/>
      <c r="C41871"/>
      <c r="E41871"/>
      <c r="F41871"/>
    </row>
    <row r="41872" spans="1:6" x14ac:dyDescent="0.25">
      <c r="A41872"/>
      <c r="B41872"/>
      <c r="C41872"/>
      <c r="E41872"/>
      <c r="F41872"/>
    </row>
    <row r="41873" spans="1:6" x14ac:dyDescent="0.25">
      <c r="A41873"/>
      <c r="B41873"/>
      <c r="C41873"/>
      <c r="E41873"/>
      <c r="F41873"/>
    </row>
    <row r="41874" spans="1:6" x14ac:dyDescent="0.25">
      <c r="A41874"/>
      <c r="B41874"/>
      <c r="C41874"/>
      <c r="E41874"/>
      <c r="F41874"/>
    </row>
    <row r="41875" spans="1:6" x14ac:dyDescent="0.25">
      <c r="A41875"/>
      <c r="B41875"/>
      <c r="C41875"/>
      <c r="E41875"/>
      <c r="F41875"/>
    </row>
    <row r="41876" spans="1:6" x14ac:dyDescent="0.25">
      <c r="A41876"/>
      <c r="B41876"/>
      <c r="C41876"/>
      <c r="E41876"/>
      <c r="F41876"/>
    </row>
    <row r="41877" spans="1:6" x14ac:dyDescent="0.25">
      <c r="A41877"/>
      <c r="B41877"/>
      <c r="C41877"/>
      <c r="E41877"/>
      <c r="F41877"/>
    </row>
    <row r="41878" spans="1:6" x14ac:dyDescent="0.25">
      <c r="A41878"/>
      <c r="B41878"/>
      <c r="C41878"/>
      <c r="E41878"/>
      <c r="F41878"/>
    </row>
    <row r="41879" spans="1:6" x14ac:dyDescent="0.25">
      <c r="A41879"/>
      <c r="B41879"/>
      <c r="C41879"/>
      <c r="E41879"/>
      <c r="F41879"/>
    </row>
    <row r="41880" spans="1:6" x14ac:dyDescent="0.25">
      <c r="A41880"/>
      <c r="B41880"/>
      <c r="C41880"/>
      <c r="E41880"/>
      <c r="F41880"/>
    </row>
    <row r="41881" spans="1:6" x14ac:dyDescent="0.25">
      <c r="A41881"/>
      <c r="B41881"/>
      <c r="C41881"/>
      <c r="E41881"/>
      <c r="F41881"/>
    </row>
    <row r="41882" spans="1:6" x14ac:dyDescent="0.25">
      <c r="A41882"/>
      <c r="B41882"/>
      <c r="C41882"/>
      <c r="E41882"/>
      <c r="F41882"/>
    </row>
    <row r="41883" spans="1:6" x14ac:dyDescent="0.25">
      <c r="A41883"/>
      <c r="B41883"/>
      <c r="C41883"/>
      <c r="E41883"/>
      <c r="F41883"/>
    </row>
    <row r="41884" spans="1:6" x14ac:dyDescent="0.25">
      <c r="A41884"/>
      <c r="B41884"/>
      <c r="C41884"/>
      <c r="E41884"/>
      <c r="F41884"/>
    </row>
    <row r="41885" spans="1:6" x14ac:dyDescent="0.25">
      <c r="A41885"/>
      <c r="B41885"/>
      <c r="C41885"/>
      <c r="E41885"/>
      <c r="F41885"/>
    </row>
    <row r="41886" spans="1:6" x14ac:dyDescent="0.25">
      <c r="A41886"/>
      <c r="B41886"/>
      <c r="C41886"/>
      <c r="E41886"/>
      <c r="F41886"/>
    </row>
    <row r="41887" spans="1:6" x14ac:dyDescent="0.25">
      <c r="A41887"/>
      <c r="B41887"/>
      <c r="C41887"/>
      <c r="E41887"/>
      <c r="F41887"/>
    </row>
    <row r="41888" spans="1:6" x14ac:dyDescent="0.25">
      <c r="A41888"/>
      <c r="B41888"/>
      <c r="C41888"/>
      <c r="E41888"/>
      <c r="F41888"/>
    </row>
    <row r="41889" spans="1:6" x14ac:dyDescent="0.25">
      <c r="A41889"/>
      <c r="B41889"/>
      <c r="C41889"/>
      <c r="E41889"/>
      <c r="F41889"/>
    </row>
    <row r="41890" spans="1:6" x14ac:dyDescent="0.25">
      <c r="A41890"/>
      <c r="B41890"/>
      <c r="C41890"/>
      <c r="E41890"/>
      <c r="F41890"/>
    </row>
    <row r="41891" spans="1:6" x14ac:dyDescent="0.25">
      <c r="A41891"/>
      <c r="B41891"/>
      <c r="C41891"/>
      <c r="E41891"/>
      <c r="F41891"/>
    </row>
    <row r="41892" spans="1:6" x14ac:dyDescent="0.25">
      <c r="A41892"/>
      <c r="B41892"/>
      <c r="C41892"/>
      <c r="E41892"/>
      <c r="F41892"/>
    </row>
    <row r="41893" spans="1:6" x14ac:dyDescent="0.25">
      <c r="A41893"/>
      <c r="B41893"/>
      <c r="C41893"/>
      <c r="E41893"/>
      <c r="F41893"/>
    </row>
    <row r="41894" spans="1:6" x14ac:dyDescent="0.25">
      <c r="A41894"/>
      <c r="B41894"/>
      <c r="C41894"/>
      <c r="E41894"/>
      <c r="F41894"/>
    </row>
    <row r="41895" spans="1:6" x14ac:dyDescent="0.25">
      <c r="A41895"/>
      <c r="B41895"/>
      <c r="C41895"/>
      <c r="E41895"/>
      <c r="F41895"/>
    </row>
    <row r="41896" spans="1:6" x14ac:dyDescent="0.25">
      <c r="A41896"/>
      <c r="B41896"/>
      <c r="C41896"/>
      <c r="E41896"/>
      <c r="F41896"/>
    </row>
    <row r="41897" spans="1:6" x14ac:dyDescent="0.25">
      <c r="A41897"/>
      <c r="B41897"/>
      <c r="C41897"/>
      <c r="E41897"/>
      <c r="F41897"/>
    </row>
    <row r="41898" spans="1:6" x14ac:dyDescent="0.25">
      <c r="A41898"/>
      <c r="B41898"/>
      <c r="C41898"/>
      <c r="E41898"/>
      <c r="F41898"/>
    </row>
    <row r="41899" spans="1:6" x14ac:dyDescent="0.25">
      <c r="A41899"/>
      <c r="B41899"/>
      <c r="C41899"/>
      <c r="E41899"/>
      <c r="F41899"/>
    </row>
    <row r="41900" spans="1:6" x14ac:dyDescent="0.25">
      <c r="A41900"/>
      <c r="B41900"/>
      <c r="C41900"/>
      <c r="E41900"/>
      <c r="F41900"/>
    </row>
    <row r="41901" spans="1:6" x14ac:dyDescent="0.25">
      <c r="A41901"/>
      <c r="B41901"/>
      <c r="C41901"/>
      <c r="E41901"/>
      <c r="F41901"/>
    </row>
    <row r="41902" spans="1:6" x14ac:dyDescent="0.25">
      <c r="A41902"/>
      <c r="B41902"/>
      <c r="C41902"/>
      <c r="E41902"/>
      <c r="F41902"/>
    </row>
    <row r="41903" spans="1:6" x14ac:dyDescent="0.25">
      <c r="A41903"/>
      <c r="B41903"/>
      <c r="C41903"/>
      <c r="E41903"/>
      <c r="F41903"/>
    </row>
    <row r="41904" spans="1:6" x14ac:dyDescent="0.25">
      <c r="A41904"/>
      <c r="B41904"/>
      <c r="C41904"/>
      <c r="E41904"/>
      <c r="F41904"/>
    </row>
    <row r="41905" spans="1:6" x14ac:dyDescent="0.25">
      <c r="A41905"/>
      <c r="B41905"/>
      <c r="C41905"/>
      <c r="E41905"/>
      <c r="F41905"/>
    </row>
    <row r="41906" spans="1:6" x14ac:dyDescent="0.25">
      <c r="A41906"/>
      <c r="B41906"/>
      <c r="C41906"/>
      <c r="E41906"/>
      <c r="F41906"/>
    </row>
    <row r="41907" spans="1:6" x14ac:dyDescent="0.25">
      <c r="A41907"/>
      <c r="B41907"/>
      <c r="C41907"/>
      <c r="E41907"/>
      <c r="F41907"/>
    </row>
    <row r="41908" spans="1:6" x14ac:dyDescent="0.25">
      <c r="A41908"/>
      <c r="B41908"/>
      <c r="C41908"/>
      <c r="E41908"/>
      <c r="F41908"/>
    </row>
    <row r="41909" spans="1:6" x14ac:dyDescent="0.25">
      <c r="A41909"/>
      <c r="B41909"/>
      <c r="C41909"/>
      <c r="E41909"/>
      <c r="F41909"/>
    </row>
    <row r="41910" spans="1:6" x14ac:dyDescent="0.25">
      <c r="A41910"/>
      <c r="B41910"/>
      <c r="C41910"/>
      <c r="E41910"/>
      <c r="F41910"/>
    </row>
    <row r="41911" spans="1:6" x14ac:dyDescent="0.25">
      <c r="A41911"/>
      <c r="B41911"/>
      <c r="C41911"/>
      <c r="E41911"/>
      <c r="F41911"/>
    </row>
    <row r="41912" spans="1:6" x14ac:dyDescent="0.25">
      <c r="A41912"/>
      <c r="B41912"/>
      <c r="C41912"/>
      <c r="E41912"/>
      <c r="F41912"/>
    </row>
    <row r="41913" spans="1:6" x14ac:dyDescent="0.25">
      <c r="A41913"/>
      <c r="B41913"/>
      <c r="C41913"/>
      <c r="E41913"/>
      <c r="F41913"/>
    </row>
    <row r="41914" spans="1:6" x14ac:dyDescent="0.25">
      <c r="A41914"/>
      <c r="B41914"/>
      <c r="C41914"/>
      <c r="E41914"/>
      <c r="F41914"/>
    </row>
    <row r="41915" spans="1:6" x14ac:dyDescent="0.25">
      <c r="A41915"/>
      <c r="B41915"/>
      <c r="C41915"/>
      <c r="E41915"/>
      <c r="F41915"/>
    </row>
    <row r="41916" spans="1:6" x14ac:dyDescent="0.25">
      <c r="A41916"/>
      <c r="B41916"/>
      <c r="C41916"/>
      <c r="E41916"/>
      <c r="F41916"/>
    </row>
    <row r="41917" spans="1:6" x14ac:dyDescent="0.25">
      <c r="A41917"/>
      <c r="B41917"/>
      <c r="C41917"/>
      <c r="E41917"/>
      <c r="F41917"/>
    </row>
    <row r="41918" spans="1:6" x14ac:dyDescent="0.25">
      <c r="A41918"/>
      <c r="B41918"/>
      <c r="C41918"/>
      <c r="E41918"/>
      <c r="F41918"/>
    </row>
    <row r="41919" spans="1:6" x14ac:dyDescent="0.25">
      <c r="A41919"/>
      <c r="B41919"/>
      <c r="C41919"/>
      <c r="E41919"/>
      <c r="F41919"/>
    </row>
    <row r="41920" spans="1:6" x14ac:dyDescent="0.25">
      <c r="A41920"/>
      <c r="B41920"/>
      <c r="C41920"/>
      <c r="E41920"/>
      <c r="F41920"/>
    </row>
    <row r="41921" spans="1:6" x14ac:dyDescent="0.25">
      <c r="A41921"/>
      <c r="B41921"/>
      <c r="C41921"/>
      <c r="E41921"/>
      <c r="F41921"/>
    </row>
    <row r="41922" spans="1:6" x14ac:dyDescent="0.25">
      <c r="A41922"/>
      <c r="B41922"/>
      <c r="C41922"/>
      <c r="E41922"/>
      <c r="F41922"/>
    </row>
    <row r="41923" spans="1:6" x14ac:dyDescent="0.25">
      <c r="A41923"/>
      <c r="B41923"/>
      <c r="C41923"/>
      <c r="E41923"/>
      <c r="F41923"/>
    </row>
    <row r="41924" spans="1:6" x14ac:dyDescent="0.25">
      <c r="A41924"/>
      <c r="B41924"/>
      <c r="C41924"/>
      <c r="E41924"/>
      <c r="F41924"/>
    </row>
    <row r="41925" spans="1:6" x14ac:dyDescent="0.25">
      <c r="A41925"/>
      <c r="B41925"/>
      <c r="C41925"/>
      <c r="E41925"/>
      <c r="F41925"/>
    </row>
    <row r="41926" spans="1:6" x14ac:dyDescent="0.25">
      <c r="A41926"/>
      <c r="B41926"/>
      <c r="C41926"/>
      <c r="E41926"/>
      <c r="F41926"/>
    </row>
    <row r="41927" spans="1:6" x14ac:dyDescent="0.25">
      <c r="A41927"/>
      <c r="B41927"/>
      <c r="C41927"/>
      <c r="E41927"/>
      <c r="F41927"/>
    </row>
    <row r="41928" spans="1:6" x14ac:dyDescent="0.25">
      <c r="A41928"/>
      <c r="B41928"/>
      <c r="C41928"/>
      <c r="E41928"/>
      <c r="F41928"/>
    </row>
    <row r="41929" spans="1:6" x14ac:dyDescent="0.25">
      <c r="A41929"/>
      <c r="B41929"/>
      <c r="C41929"/>
      <c r="E41929"/>
      <c r="F41929"/>
    </row>
    <row r="41930" spans="1:6" x14ac:dyDescent="0.25">
      <c r="A41930"/>
      <c r="B41930"/>
      <c r="C41930"/>
      <c r="E41930"/>
      <c r="F41930"/>
    </row>
    <row r="41931" spans="1:6" x14ac:dyDescent="0.25">
      <c r="A41931"/>
      <c r="B41931"/>
      <c r="C41931"/>
      <c r="E41931"/>
      <c r="F41931"/>
    </row>
    <row r="41932" spans="1:6" x14ac:dyDescent="0.25">
      <c r="A41932"/>
      <c r="B41932"/>
      <c r="C41932"/>
      <c r="E41932"/>
      <c r="F41932"/>
    </row>
    <row r="41933" spans="1:6" x14ac:dyDescent="0.25">
      <c r="A41933"/>
      <c r="B41933"/>
      <c r="C41933"/>
      <c r="E41933"/>
      <c r="F41933"/>
    </row>
    <row r="41934" spans="1:6" x14ac:dyDescent="0.25">
      <c r="A41934"/>
      <c r="B41934"/>
      <c r="C41934"/>
      <c r="E41934"/>
      <c r="F41934"/>
    </row>
    <row r="41935" spans="1:6" x14ac:dyDescent="0.25">
      <c r="A41935"/>
      <c r="B41935"/>
      <c r="C41935"/>
      <c r="E41935"/>
      <c r="F41935"/>
    </row>
    <row r="41936" spans="1:6" x14ac:dyDescent="0.25">
      <c r="A41936"/>
      <c r="B41936"/>
      <c r="C41936"/>
      <c r="E41936"/>
      <c r="F41936"/>
    </row>
    <row r="41937" spans="1:6" x14ac:dyDescent="0.25">
      <c r="A41937"/>
      <c r="B41937"/>
      <c r="C41937"/>
      <c r="E41937"/>
      <c r="F41937"/>
    </row>
    <row r="41938" spans="1:6" x14ac:dyDescent="0.25">
      <c r="A41938"/>
      <c r="B41938"/>
      <c r="C41938"/>
      <c r="E41938"/>
      <c r="F41938"/>
    </row>
    <row r="41939" spans="1:6" x14ac:dyDescent="0.25">
      <c r="A41939"/>
      <c r="B41939"/>
      <c r="C41939"/>
      <c r="E41939"/>
      <c r="F41939"/>
    </row>
    <row r="41940" spans="1:6" x14ac:dyDescent="0.25">
      <c r="A41940"/>
      <c r="B41940"/>
      <c r="C41940"/>
      <c r="E41940"/>
      <c r="F41940"/>
    </row>
    <row r="41941" spans="1:6" x14ac:dyDescent="0.25">
      <c r="A41941"/>
      <c r="B41941"/>
      <c r="C41941"/>
      <c r="E41941"/>
      <c r="F41941"/>
    </row>
    <row r="41942" spans="1:6" x14ac:dyDescent="0.25">
      <c r="A41942"/>
      <c r="B41942"/>
      <c r="C41942"/>
      <c r="E41942"/>
      <c r="F41942"/>
    </row>
    <row r="41943" spans="1:6" x14ac:dyDescent="0.25">
      <c r="A41943"/>
      <c r="B41943"/>
      <c r="C41943"/>
      <c r="E41943"/>
      <c r="F41943"/>
    </row>
    <row r="41944" spans="1:6" x14ac:dyDescent="0.25">
      <c r="A41944"/>
      <c r="B41944"/>
      <c r="C41944"/>
      <c r="E41944"/>
      <c r="F41944"/>
    </row>
    <row r="41945" spans="1:6" x14ac:dyDescent="0.25">
      <c r="A41945"/>
      <c r="B41945"/>
      <c r="C41945"/>
      <c r="E41945"/>
      <c r="F41945"/>
    </row>
    <row r="41946" spans="1:6" x14ac:dyDescent="0.25">
      <c r="A41946"/>
      <c r="B41946"/>
      <c r="C41946"/>
      <c r="E41946"/>
      <c r="F41946"/>
    </row>
    <row r="41947" spans="1:6" x14ac:dyDescent="0.25">
      <c r="A41947"/>
      <c r="B41947"/>
      <c r="C41947"/>
      <c r="E41947"/>
      <c r="F41947"/>
    </row>
    <row r="41948" spans="1:6" x14ac:dyDescent="0.25">
      <c r="A41948"/>
      <c r="B41948"/>
      <c r="C41948"/>
      <c r="E41948"/>
      <c r="F41948"/>
    </row>
    <row r="41949" spans="1:6" x14ac:dyDescent="0.25">
      <c r="A41949"/>
      <c r="B41949"/>
      <c r="C41949"/>
      <c r="E41949"/>
      <c r="F41949"/>
    </row>
    <row r="41950" spans="1:6" x14ac:dyDescent="0.25">
      <c r="A41950"/>
      <c r="B41950"/>
      <c r="C41950"/>
      <c r="E41950"/>
      <c r="F41950"/>
    </row>
    <row r="41951" spans="1:6" x14ac:dyDescent="0.25">
      <c r="A41951"/>
      <c r="B41951"/>
      <c r="C41951"/>
      <c r="E41951"/>
      <c r="F41951"/>
    </row>
    <row r="41952" spans="1:6" x14ac:dyDescent="0.25">
      <c r="A41952"/>
      <c r="B41952"/>
      <c r="C41952"/>
      <c r="E41952"/>
      <c r="F41952"/>
    </row>
    <row r="41953" spans="1:6" x14ac:dyDescent="0.25">
      <c r="A41953"/>
      <c r="B41953"/>
      <c r="C41953"/>
      <c r="E41953"/>
      <c r="F41953"/>
    </row>
    <row r="41954" spans="1:6" x14ac:dyDescent="0.25">
      <c r="A41954"/>
      <c r="B41954"/>
      <c r="C41954"/>
      <c r="E41954"/>
      <c r="F41954"/>
    </row>
    <row r="41955" spans="1:6" x14ac:dyDescent="0.25">
      <c r="A41955"/>
      <c r="B41955"/>
      <c r="C41955"/>
      <c r="E41955"/>
      <c r="F41955"/>
    </row>
    <row r="41956" spans="1:6" x14ac:dyDescent="0.25">
      <c r="A41956"/>
      <c r="B41956"/>
      <c r="C41956"/>
      <c r="E41956"/>
      <c r="F41956"/>
    </row>
    <row r="41957" spans="1:6" x14ac:dyDescent="0.25">
      <c r="A41957"/>
      <c r="B41957"/>
      <c r="C41957"/>
      <c r="E41957"/>
      <c r="F41957"/>
    </row>
    <row r="41958" spans="1:6" x14ac:dyDescent="0.25">
      <c r="A41958"/>
      <c r="B41958"/>
      <c r="C41958"/>
      <c r="E41958"/>
      <c r="F41958"/>
    </row>
    <row r="41959" spans="1:6" x14ac:dyDescent="0.25">
      <c r="A41959"/>
      <c r="B41959"/>
      <c r="C41959"/>
      <c r="E41959"/>
      <c r="F41959"/>
    </row>
    <row r="41960" spans="1:6" x14ac:dyDescent="0.25">
      <c r="A41960"/>
      <c r="B41960"/>
      <c r="C41960"/>
      <c r="E41960"/>
      <c r="F41960"/>
    </row>
    <row r="41961" spans="1:6" x14ac:dyDescent="0.25">
      <c r="A41961"/>
      <c r="B41961"/>
      <c r="C41961"/>
      <c r="E41961"/>
      <c r="F41961"/>
    </row>
    <row r="41962" spans="1:6" x14ac:dyDescent="0.25">
      <c r="A41962"/>
      <c r="B41962"/>
      <c r="C41962"/>
      <c r="E41962"/>
      <c r="F41962"/>
    </row>
    <row r="41963" spans="1:6" x14ac:dyDescent="0.25">
      <c r="A41963"/>
      <c r="B41963"/>
      <c r="C41963"/>
      <c r="E41963"/>
      <c r="F41963"/>
    </row>
    <row r="41964" spans="1:6" x14ac:dyDescent="0.25">
      <c r="A41964"/>
      <c r="B41964"/>
      <c r="C41964"/>
      <c r="E41964"/>
      <c r="F41964"/>
    </row>
    <row r="41965" spans="1:6" x14ac:dyDescent="0.25">
      <c r="A41965"/>
      <c r="B41965"/>
      <c r="C41965"/>
      <c r="E41965"/>
      <c r="F41965"/>
    </row>
    <row r="41966" spans="1:6" x14ac:dyDescent="0.25">
      <c r="A41966"/>
      <c r="B41966"/>
      <c r="C41966"/>
      <c r="E41966"/>
      <c r="F41966"/>
    </row>
    <row r="41967" spans="1:6" x14ac:dyDescent="0.25">
      <c r="A41967"/>
      <c r="B41967"/>
      <c r="C41967"/>
      <c r="E41967"/>
      <c r="F41967"/>
    </row>
    <row r="41968" spans="1:6" x14ac:dyDescent="0.25">
      <c r="A41968"/>
      <c r="B41968"/>
      <c r="C41968"/>
      <c r="E41968"/>
      <c r="F41968"/>
    </row>
    <row r="41969" spans="1:6" x14ac:dyDescent="0.25">
      <c r="A41969"/>
      <c r="B41969"/>
      <c r="C41969"/>
      <c r="E41969"/>
      <c r="F41969"/>
    </row>
    <row r="41970" spans="1:6" x14ac:dyDescent="0.25">
      <c r="A41970"/>
      <c r="B41970"/>
      <c r="C41970"/>
      <c r="E41970"/>
      <c r="F41970"/>
    </row>
    <row r="41971" spans="1:6" x14ac:dyDescent="0.25">
      <c r="A41971"/>
      <c r="B41971"/>
      <c r="C41971"/>
      <c r="E41971"/>
      <c r="F41971"/>
    </row>
    <row r="41972" spans="1:6" x14ac:dyDescent="0.25">
      <c r="A41972"/>
      <c r="B41972"/>
      <c r="C41972"/>
      <c r="E41972"/>
      <c r="F41972"/>
    </row>
    <row r="41973" spans="1:6" x14ac:dyDescent="0.25">
      <c r="A41973"/>
      <c r="B41973"/>
      <c r="C41973"/>
      <c r="E41973"/>
      <c r="F41973"/>
    </row>
    <row r="41974" spans="1:6" x14ac:dyDescent="0.25">
      <c r="A41974"/>
      <c r="B41974"/>
      <c r="C41974"/>
      <c r="E41974"/>
      <c r="F41974"/>
    </row>
    <row r="41975" spans="1:6" x14ac:dyDescent="0.25">
      <c r="A41975"/>
      <c r="B41975"/>
      <c r="C41975"/>
      <c r="E41975"/>
      <c r="F41975"/>
    </row>
    <row r="41976" spans="1:6" x14ac:dyDescent="0.25">
      <c r="A41976"/>
      <c r="B41976"/>
      <c r="C41976"/>
      <c r="E41976"/>
      <c r="F41976"/>
    </row>
    <row r="41977" spans="1:6" x14ac:dyDescent="0.25">
      <c r="A41977"/>
      <c r="B41977"/>
      <c r="C41977"/>
      <c r="E41977"/>
      <c r="F41977"/>
    </row>
    <row r="41978" spans="1:6" x14ac:dyDescent="0.25">
      <c r="A41978"/>
      <c r="B41978"/>
      <c r="C41978"/>
      <c r="E41978"/>
      <c r="F41978"/>
    </row>
    <row r="41979" spans="1:6" x14ac:dyDescent="0.25">
      <c r="A41979"/>
      <c r="B41979"/>
      <c r="C41979"/>
      <c r="E41979"/>
      <c r="F41979"/>
    </row>
    <row r="41980" spans="1:6" x14ac:dyDescent="0.25">
      <c r="A41980"/>
      <c r="B41980"/>
      <c r="C41980"/>
      <c r="E41980"/>
      <c r="F41980"/>
    </row>
    <row r="41981" spans="1:6" x14ac:dyDescent="0.25">
      <c r="A41981"/>
      <c r="B41981"/>
      <c r="C41981"/>
      <c r="E41981"/>
      <c r="F41981"/>
    </row>
    <row r="41982" spans="1:6" x14ac:dyDescent="0.25">
      <c r="A41982"/>
      <c r="B41982"/>
      <c r="C41982"/>
      <c r="E41982"/>
      <c r="F41982"/>
    </row>
    <row r="41983" spans="1:6" x14ac:dyDescent="0.25">
      <c r="A41983"/>
      <c r="B41983"/>
      <c r="C41983"/>
      <c r="E41983"/>
      <c r="F41983"/>
    </row>
    <row r="41984" spans="1:6" x14ac:dyDescent="0.25">
      <c r="A41984"/>
      <c r="B41984"/>
      <c r="C41984"/>
      <c r="E41984"/>
      <c r="F41984"/>
    </row>
    <row r="41985" spans="1:6" x14ac:dyDescent="0.25">
      <c r="A41985"/>
      <c r="B41985"/>
      <c r="C41985"/>
      <c r="E41985"/>
      <c r="F41985"/>
    </row>
    <row r="41986" spans="1:6" x14ac:dyDescent="0.25">
      <c r="A41986"/>
      <c r="B41986"/>
      <c r="C41986"/>
      <c r="E41986"/>
      <c r="F41986"/>
    </row>
    <row r="41987" spans="1:6" x14ac:dyDescent="0.25">
      <c r="A41987"/>
      <c r="B41987"/>
      <c r="C41987"/>
      <c r="E41987"/>
      <c r="F41987"/>
    </row>
    <row r="41988" spans="1:6" x14ac:dyDescent="0.25">
      <c r="A41988"/>
      <c r="B41988"/>
      <c r="C41988"/>
      <c r="E41988"/>
      <c r="F41988"/>
    </row>
    <row r="41989" spans="1:6" x14ac:dyDescent="0.25">
      <c r="A41989"/>
      <c r="B41989"/>
      <c r="C41989"/>
      <c r="E41989"/>
      <c r="F41989"/>
    </row>
    <row r="41990" spans="1:6" x14ac:dyDescent="0.25">
      <c r="A41990"/>
      <c r="B41990"/>
      <c r="C41990"/>
      <c r="E41990"/>
      <c r="F41990"/>
    </row>
    <row r="41991" spans="1:6" x14ac:dyDescent="0.25">
      <c r="A41991"/>
      <c r="B41991"/>
      <c r="C41991"/>
      <c r="E41991"/>
      <c r="F41991"/>
    </row>
    <row r="41992" spans="1:6" x14ac:dyDescent="0.25">
      <c r="A41992"/>
      <c r="B41992"/>
      <c r="C41992"/>
      <c r="E41992"/>
      <c r="F41992"/>
    </row>
    <row r="41993" spans="1:6" x14ac:dyDescent="0.25">
      <c r="A41993"/>
      <c r="B41993"/>
      <c r="C41993"/>
      <c r="E41993"/>
      <c r="F41993"/>
    </row>
    <row r="41994" spans="1:6" x14ac:dyDescent="0.25">
      <c r="A41994"/>
      <c r="B41994"/>
      <c r="C41994"/>
      <c r="E41994"/>
      <c r="F41994"/>
    </row>
    <row r="41995" spans="1:6" x14ac:dyDescent="0.25">
      <c r="A41995"/>
      <c r="B41995"/>
      <c r="C41995"/>
      <c r="E41995"/>
      <c r="F41995"/>
    </row>
    <row r="41996" spans="1:6" x14ac:dyDescent="0.25">
      <c r="A41996"/>
      <c r="B41996"/>
      <c r="C41996"/>
      <c r="E41996"/>
      <c r="F41996"/>
    </row>
    <row r="41997" spans="1:6" x14ac:dyDescent="0.25">
      <c r="A41997"/>
      <c r="B41997"/>
      <c r="C41997"/>
      <c r="E41997"/>
      <c r="F41997"/>
    </row>
    <row r="41998" spans="1:6" x14ac:dyDescent="0.25">
      <c r="A41998"/>
      <c r="B41998"/>
      <c r="C41998"/>
      <c r="E41998"/>
      <c r="F41998"/>
    </row>
    <row r="41999" spans="1:6" x14ac:dyDescent="0.25">
      <c r="A41999"/>
      <c r="B41999"/>
      <c r="C41999"/>
      <c r="E41999"/>
      <c r="F41999"/>
    </row>
    <row r="42000" spans="1:6" x14ac:dyDescent="0.25">
      <c r="A42000"/>
      <c r="B42000"/>
      <c r="C42000"/>
      <c r="E42000"/>
      <c r="F42000"/>
    </row>
    <row r="42001" spans="1:6" x14ac:dyDescent="0.25">
      <c r="A42001"/>
      <c r="B42001"/>
      <c r="C42001"/>
      <c r="E42001"/>
      <c r="F42001"/>
    </row>
    <row r="42002" spans="1:6" x14ac:dyDescent="0.25">
      <c r="A42002"/>
      <c r="B42002"/>
      <c r="C42002"/>
      <c r="E42002"/>
      <c r="F42002"/>
    </row>
    <row r="42003" spans="1:6" x14ac:dyDescent="0.25">
      <c r="A42003"/>
      <c r="B42003"/>
      <c r="C42003"/>
      <c r="E42003"/>
      <c r="F42003"/>
    </row>
    <row r="42004" spans="1:6" x14ac:dyDescent="0.25">
      <c r="A42004"/>
      <c r="B42004"/>
      <c r="C42004"/>
      <c r="E42004"/>
      <c r="F42004"/>
    </row>
    <row r="42005" spans="1:6" x14ac:dyDescent="0.25">
      <c r="A42005"/>
      <c r="B42005"/>
      <c r="C42005"/>
      <c r="E42005"/>
      <c r="F42005"/>
    </row>
    <row r="42006" spans="1:6" x14ac:dyDescent="0.25">
      <c r="A42006"/>
      <c r="B42006"/>
      <c r="C42006"/>
      <c r="E42006"/>
      <c r="F42006"/>
    </row>
    <row r="42007" spans="1:6" x14ac:dyDescent="0.25">
      <c r="A42007"/>
      <c r="B42007"/>
      <c r="C42007"/>
      <c r="E42007"/>
      <c r="F42007"/>
    </row>
    <row r="42008" spans="1:6" x14ac:dyDescent="0.25">
      <c r="A42008"/>
      <c r="B42008"/>
      <c r="C42008"/>
      <c r="E42008"/>
      <c r="F42008"/>
    </row>
    <row r="42009" spans="1:6" x14ac:dyDescent="0.25">
      <c r="A42009"/>
      <c r="B42009"/>
      <c r="C42009"/>
      <c r="E42009"/>
      <c r="F42009"/>
    </row>
    <row r="42010" spans="1:6" x14ac:dyDescent="0.25">
      <c r="A42010"/>
      <c r="B42010"/>
      <c r="C42010"/>
      <c r="E42010"/>
      <c r="F42010"/>
    </row>
    <row r="42011" spans="1:6" x14ac:dyDescent="0.25">
      <c r="A42011"/>
      <c r="B42011"/>
      <c r="C42011"/>
      <c r="E42011"/>
      <c r="F42011"/>
    </row>
    <row r="42012" spans="1:6" x14ac:dyDescent="0.25">
      <c r="A42012"/>
      <c r="B42012"/>
      <c r="C42012"/>
      <c r="E42012"/>
      <c r="F42012"/>
    </row>
    <row r="42013" spans="1:6" x14ac:dyDescent="0.25">
      <c r="A42013"/>
      <c r="B42013"/>
      <c r="C42013"/>
      <c r="E42013"/>
      <c r="F42013"/>
    </row>
    <row r="42014" spans="1:6" x14ac:dyDescent="0.25">
      <c r="A42014"/>
      <c r="B42014"/>
      <c r="C42014"/>
      <c r="E42014"/>
      <c r="F42014"/>
    </row>
    <row r="42015" spans="1:6" x14ac:dyDescent="0.25">
      <c r="A42015"/>
      <c r="B42015"/>
      <c r="C42015"/>
      <c r="E42015"/>
      <c r="F42015"/>
    </row>
    <row r="42016" spans="1:6" x14ac:dyDescent="0.25">
      <c r="A42016"/>
      <c r="B42016"/>
      <c r="C42016"/>
      <c r="E42016"/>
      <c r="F42016"/>
    </row>
    <row r="42017" spans="1:6" x14ac:dyDescent="0.25">
      <c r="A42017"/>
      <c r="B42017"/>
      <c r="C42017"/>
      <c r="E42017"/>
      <c r="F42017"/>
    </row>
    <row r="42018" spans="1:6" x14ac:dyDescent="0.25">
      <c r="A42018"/>
      <c r="B42018"/>
      <c r="C42018"/>
      <c r="E42018"/>
      <c r="F42018"/>
    </row>
    <row r="42019" spans="1:6" x14ac:dyDescent="0.25">
      <c r="A42019"/>
      <c r="B42019"/>
      <c r="C42019"/>
      <c r="E42019"/>
      <c r="F42019"/>
    </row>
    <row r="42020" spans="1:6" x14ac:dyDescent="0.25">
      <c r="A42020"/>
      <c r="B42020"/>
      <c r="C42020"/>
      <c r="E42020"/>
      <c r="F42020"/>
    </row>
    <row r="42021" spans="1:6" x14ac:dyDescent="0.25">
      <c r="A42021"/>
      <c r="B42021"/>
      <c r="C42021"/>
      <c r="E42021"/>
      <c r="F42021"/>
    </row>
    <row r="42022" spans="1:6" x14ac:dyDescent="0.25">
      <c r="A42022"/>
      <c r="B42022"/>
      <c r="C42022"/>
      <c r="E42022"/>
      <c r="F42022"/>
    </row>
    <row r="42023" spans="1:6" x14ac:dyDescent="0.25">
      <c r="A42023"/>
      <c r="B42023"/>
      <c r="C42023"/>
      <c r="E42023"/>
      <c r="F42023"/>
    </row>
    <row r="42024" spans="1:6" x14ac:dyDescent="0.25">
      <c r="A42024"/>
      <c r="B42024"/>
      <c r="C42024"/>
      <c r="E42024"/>
      <c r="F42024"/>
    </row>
    <row r="42025" spans="1:6" x14ac:dyDescent="0.25">
      <c r="A42025"/>
      <c r="B42025"/>
      <c r="C42025"/>
      <c r="E42025"/>
      <c r="F42025"/>
    </row>
    <row r="42026" spans="1:6" x14ac:dyDescent="0.25">
      <c r="A42026"/>
      <c r="B42026"/>
      <c r="C42026"/>
      <c r="E42026"/>
      <c r="F42026"/>
    </row>
    <row r="42027" spans="1:6" x14ac:dyDescent="0.25">
      <c r="A42027"/>
      <c r="B42027"/>
      <c r="C42027"/>
      <c r="E42027"/>
      <c r="F42027"/>
    </row>
    <row r="42028" spans="1:6" x14ac:dyDescent="0.25">
      <c r="A42028"/>
      <c r="B42028"/>
      <c r="C42028"/>
      <c r="E42028"/>
      <c r="F42028"/>
    </row>
    <row r="42029" spans="1:6" x14ac:dyDescent="0.25">
      <c r="A42029"/>
      <c r="B42029"/>
      <c r="C42029"/>
      <c r="E42029"/>
      <c r="F42029"/>
    </row>
    <row r="42030" spans="1:6" x14ac:dyDescent="0.25">
      <c r="A42030"/>
      <c r="B42030"/>
      <c r="C42030"/>
      <c r="E42030"/>
      <c r="F42030"/>
    </row>
    <row r="42031" spans="1:6" x14ac:dyDescent="0.25">
      <c r="A42031"/>
      <c r="B42031"/>
      <c r="C42031"/>
      <c r="E42031"/>
      <c r="F42031"/>
    </row>
    <row r="42032" spans="1:6" x14ac:dyDescent="0.25">
      <c r="A42032"/>
      <c r="B42032"/>
      <c r="C42032"/>
      <c r="E42032"/>
      <c r="F42032"/>
    </row>
    <row r="42033" spans="1:6" x14ac:dyDescent="0.25">
      <c r="A42033"/>
      <c r="B42033"/>
      <c r="C42033"/>
      <c r="E42033"/>
      <c r="F42033"/>
    </row>
    <row r="42034" spans="1:6" x14ac:dyDescent="0.25">
      <c r="A42034"/>
      <c r="B42034"/>
      <c r="C42034"/>
      <c r="E42034"/>
      <c r="F42034"/>
    </row>
    <row r="42035" spans="1:6" x14ac:dyDescent="0.25">
      <c r="A42035"/>
      <c r="B42035"/>
      <c r="C42035"/>
      <c r="E42035"/>
      <c r="F42035"/>
    </row>
    <row r="42036" spans="1:6" x14ac:dyDescent="0.25">
      <c r="A42036"/>
      <c r="B42036"/>
      <c r="C42036"/>
      <c r="E42036"/>
      <c r="F42036"/>
    </row>
    <row r="42037" spans="1:6" x14ac:dyDescent="0.25">
      <c r="A42037"/>
      <c r="B42037"/>
      <c r="C42037"/>
      <c r="E42037"/>
      <c r="F42037"/>
    </row>
    <row r="42038" spans="1:6" x14ac:dyDescent="0.25">
      <c r="A42038"/>
      <c r="B42038"/>
      <c r="C42038"/>
      <c r="E42038"/>
      <c r="F42038"/>
    </row>
    <row r="42039" spans="1:6" x14ac:dyDescent="0.25">
      <c r="A42039"/>
      <c r="B42039"/>
      <c r="C42039"/>
      <c r="E42039"/>
      <c r="F42039"/>
    </row>
    <row r="42040" spans="1:6" x14ac:dyDescent="0.25">
      <c r="A42040"/>
      <c r="B42040"/>
      <c r="C42040"/>
      <c r="E42040"/>
      <c r="F42040"/>
    </row>
    <row r="42041" spans="1:6" x14ac:dyDescent="0.25">
      <c r="A42041"/>
      <c r="B42041"/>
      <c r="C42041"/>
      <c r="E42041"/>
      <c r="F42041"/>
    </row>
    <row r="42042" spans="1:6" x14ac:dyDescent="0.25">
      <c r="A42042"/>
      <c r="B42042"/>
      <c r="C42042"/>
      <c r="E42042"/>
      <c r="F42042"/>
    </row>
    <row r="42043" spans="1:6" x14ac:dyDescent="0.25">
      <c r="A42043"/>
      <c r="B42043"/>
      <c r="C42043"/>
      <c r="E42043"/>
      <c r="F42043"/>
    </row>
    <row r="42044" spans="1:6" x14ac:dyDescent="0.25">
      <c r="A42044"/>
      <c r="B42044"/>
      <c r="C42044"/>
      <c r="E42044"/>
      <c r="F42044"/>
    </row>
    <row r="42045" spans="1:6" x14ac:dyDescent="0.25">
      <c r="A42045"/>
      <c r="B42045"/>
      <c r="C42045"/>
      <c r="E42045"/>
      <c r="F42045"/>
    </row>
    <row r="42046" spans="1:6" x14ac:dyDescent="0.25">
      <c r="A42046"/>
      <c r="B42046"/>
      <c r="C42046"/>
      <c r="E42046"/>
      <c r="F42046"/>
    </row>
    <row r="42047" spans="1:6" x14ac:dyDescent="0.25">
      <c r="A42047"/>
      <c r="B42047"/>
      <c r="C42047"/>
      <c r="E42047"/>
      <c r="F42047"/>
    </row>
    <row r="42048" spans="1:6" x14ac:dyDescent="0.25">
      <c r="A42048"/>
      <c r="B42048"/>
      <c r="C42048"/>
      <c r="E42048"/>
      <c r="F42048"/>
    </row>
    <row r="42049" spans="1:6" x14ac:dyDescent="0.25">
      <c r="A42049"/>
      <c r="B42049"/>
      <c r="C42049"/>
      <c r="E42049"/>
      <c r="F42049"/>
    </row>
    <row r="42050" spans="1:6" x14ac:dyDescent="0.25">
      <c r="A42050"/>
      <c r="B42050"/>
      <c r="C42050"/>
      <c r="E42050"/>
      <c r="F42050"/>
    </row>
    <row r="42051" spans="1:6" x14ac:dyDescent="0.25">
      <c r="A42051"/>
      <c r="B42051"/>
      <c r="C42051"/>
      <c r="E42051"/>
      <c r="F42051"/>
    </row>
    <row r="42052" spans="1:6" x14ac:dyDescent="0.25">
      <c r="A42052"/>
      <c r="B42052"/>
      <c r="C42052"/>
      <c r="E42052"/>
      <c r="F42052"/>
    </row>
    <row r="42053" spans="1:6" x14ac:dyDescent="0.25">
      <c r="A42053"/>
      <c r="B42053"/>
      <c r="C42053"/>
      <c r="E42053"/>
      <c r="F42053"/>
    </row>
    <row r="42054" spans="1:6" x14ac:dyDescent="0.25">
      <c r="A42054"/>
      <c r="B42054"/>
      <c r="C42054"/>
      <c r="E42054"/>
      <c r="F42054"/>
    </row>
    <row r="42055" spans="1:6" x14ac:dyDescent="0.25">
      <c r="A42055"/>
      <c r="B42055"/>
      <c r="C42055"/>
      <c r="E42055"/>
      <c r="F42055"/>
    </row>
    <row r="42056" spans="1:6" x14ac:dyDescent="0.25">
      <c r="A42056"/>
      <c r="B42056"/>
      <c r="C42056"/>
      <c r="E42056"/>
      <c r="F42056"/>
    </row>
    <row r="42057" spans="1:6" x14ac:dyDescent="0.25">
      <c r="A42057"/>
      <c r="B42057"/>
      <c r="C42057"/>
      <c r="E42057"/>
      <c r="F42057"/>
    </row>
    <row r="42058" spans="1:6" x14ac:dyDescent="0.25">
      <c r="A42058"/>
      <c r="B42058"/>
      <c r="C42058"/>
      <c r="E42058"/>
      <c r="F42058"/>
    </row>
    <row r="42059" spans="1:6" x14ac:dyDescent="0.25">
      <c r="A42059"/>
      <c r="B42059"/>
      <c r="C42059"/>
      <c r="E42059"/>
      <c r="F42059"/>
    </row>
    <row r="42060" spans="1:6" x14ac:dyDescent="0.25">
      <c r="A42060"/>
      <c r="B42060"/>
      <c r="C42060"/>
      <c r="E42060"/>
      <c r="F42060"/>
    </row>
    <row r="42061" spans="1:6" x14ac:dyDescent="0.25">
      <c r="A42061"/>
      <c r="B42061"/>
      <c r="C42061"/>
      <c r="E42061"/>
      <c r="F42061"/>
    </row>
    <row r="42062" spans="1:6" x14ac:dyDescent="0.25">
      <c r="A42062"/>
      <c r="B42062"/>
      <c r="C42062"/>
      <c r="E42062"/>
      <c r="F42062"/>
    </row>
    <row r="42063" spans="1:6" x14ac:dyDescent="0.25">
      <c r="A42063"/>
      <c r="B42063"/>
      <c r="C42063"/>
      <c r="E42063"/>
      <c r="F42063"/>
    </row>
    <row r="42064" spans="1:6" x14ac:dyDescent="0.25">
      <c r="A42064"/>
      <c r="B42064"/>
      <c r="C42064"/>
      <c r="E42064"/>
      <c r="F42064"/>
    </row>
    <row r="42065" spans="1:6" x14ac:dyDescent="0.25">
      <c r="A42065"/>
      <c r="B42065"/>
      <c r="C42065"/>
      <c r="E42065"/>
      <c r="F42065"/>
    </row>
    <row r="42066" spans="1:6" x14ac:dyDescent="0.25">
      <c r="A42066"/>
      <c r="B42066"/>
      <c r="C42066"/>
      <c r="E42066"/>
      <c r="F42066"/>
    </row>
    <row r="42067" spans="1:6" x14ac:dyDescent="0.25">
      <c r="A42067"/>
      <c r="B42067"/>
      <c r="C42067"/>
      <c r="E42067"/>
      <c r="F42067"/>
    </row>
    <row r="42068" spans="1:6" x14ac:dyDescent="0.25">
      <c r="A42068"/>
      <c r="B42068"/>
      <c r="C42068"/>
      <c r="E42068"/>
      <c r="F42068"/>
    </row>
    <row r="42069" spans="1:6" x14ac:dyDescent="0.25">
      <c r="A42069"/>
      <c r="B42069"/>
      <c r="C42069"/>
      <c r="E42069"/>
      <c r="F42069"/>
    </row>
    <row r="42070" spans="1:6" x14ac:dyDescent="0.25">
      <c r="A42070"/>
      <c r="B42070"/>
      <c r="C42070"/>
      <c r="E42070"/>
      <c r="F42070"/>
    </row>
    <row r="42071" spans="1:6" x14ac:dyDescent="0.25">
      <c r="A42071"/>
      <c r="B42071"/>
      <c r="C42071"/>
      <c r="E42071"/>
      <c r="F42071"/>
    </row>
    <row r="42072" spans="1:6" x14ac:dyDescent="0.25">
      <c r="A42072"/>
      <c r="B42072"/>
      <c r="C42072"/>
      <c r="E42072"/>
      <c r="F42072"/>
    </row>
    <row r="42073" spans="1:6" x14ac:dyDescent="0.25">
      <c r="A42073"/>
      <c r="B42073"/>
      <c r="C42073"/>
      <c r="E42073"/>
      <c r="F42073"/>
    </row>
    <row r="42074" spans="1:6" x14ac:dyDescent="0.25">
      <c r="A42074"/>
      <c r="B42074"/>
      <c r="C42074"/>
      <c r="E42074"/>
      <c r="F42074"/>
    </row>
    <row r="42075" spans="1:6" x14ac:dyDescent="0.25">
      <c r="A42075"/>
      <c r="B42075"/>
      <c r="C42075"/>
      <c r="E42075"/>
      <c r="F42075"/>
    </row>
    <row r="42076" spans="1:6" x14ac:dyDescent="0.25">
      <c r="A42076"/>
      <c r="B42076"/>
      <c r="C42076"/>
      <c r="E42076"/>
      <c r="F42076"/>
    </row>
    <row r="42077" spans="1:6" x14ac:dyDescent="0.25">
      <c r="A42077"/>
      <c r="B42077"/>
      <c r="C42077"/>
      <c r="E42077"/>
      <c r="F42077"/>
    </row>
    <row r="42078" spans="1:6" x14ac:dyDescent="0.25">
      <c r="A42078"/>
      <c r="B42078"/>
      <c r="C42078"/>
      <c r="E42078"/>
      <c r="F42078"/>
    </row>
    <row r="42079" spans="1:6" x14ac:dyDescent="0.25">
      <c r="A42079"/>
      <c r="B42079"/>
      <c r="C42079"/>
      <c r="E42079"/>
      <c r="F42079"/>
    </row>
    <row r="42080" spans="1:6" x14ac:dyDescent="0.25">
      <c r="A42080"/>
      <c r="B42080"/>
      <c r="C42080"/>
      <c r="E42080"/>
      <c r="F42080"/>
    </row>
    <row r="42081" spans="1:6" x14ac:dyDescent="0.25">
      <c r="A42081"/>
      <c r="B42081"/>
      <c r="C42081"/>
      <c r="E42081"/>
      <c r="F42081"/>
    </row>
    <row r="42082" spans="1:6" x14ac:dyDescent="0.25">
      <c r="A42082"/>
      <c r="B42082"/>
      <c r="C42082"/>
      <c r="E42082"/>
      <c r="F42082"/>
    </row>
    <row r="42083" spans="1:6" x14ac:dyDescent="0.25">
      <c r="A42083"/>
      <c r="B42083"/>
      <c r="C42083"/>
      <c r="E42083"/>
      <c r="F42083"/>
    </row>
    <row r="42084" spans="1:6" x14ac:dyDescent="0.25">
      <c r="A42084"/>
      <c r="B42084"/>
      <c r="C42084"/>
      <c r="E42084"/>
      <c r="F42084"/>
    </row>
    <row r="42085" spans="1:6" x14ac:dyDescent="0.25">
      <c r="A42085"/>
      <c r="B42085"/>
      <c r="C42085"/>
      <c r="E42085"/>
      <c r="F42085"/>
    </row>
    <row r="42086" spans="1:6" x14ac:dyDescent="0.25">
      <c r="A42086"/>
      <c r="B42086"/>
      <c r="C42086"/>
      <c r="E42086"/>
      <c r="F42086"/>
    </row>
    <row r="42087" spans="1:6" x14ac:dyDescent="0.25">
      <c r="A42087"/>
      <c r="B42087"/>
      <c r="C42087"/>
      <c r="E42087"/>
      <c r="F42087"/>
    </row>
    <row r="42088" spans="1:6" x14ac:dyDescent="0.25">
      <c r="A42088"/>
      <c r="B42088"/>
      <c r="C42088"/>
      <c r="E42088"/>
      <c r="F42088"/>
    </row>
    <row r="42089" spans="1:6" x14ac:dyDescent="0.25">
      <c r="A42089"/>
      <c r="B42089"/>
      <c r="C42089"/>
      <c r="E42089"/>
      <c r="F42089"/>
    </row>
    <row r="42090" spans="1:6" x14ac:dyDescent="0.25">
      <c r="A42090"/>
      <c r="B42090"/>
      <c r="C42090"/>
      <c r="E42090"/>
      <c r="F42090"/>
    </row>
    <row r="42091" spans="1:6" x14ac:dyDescent="0.25">
      <c r="A42091"/>
      <c r="B42091"/>
      <c r="C42091"/>
      <c r="E42091"/>
      <c r="F42091"/>
    </row>
    <row r="42092" spans="1:6" x14ac:dyDescent="0.25">
      <c r="A42092"/>
      <c r="B42092"/>
      <c r="C42092"/>
      <c r="E42092"/>
      <c r="F42092"/>
    </row>
    <row r="42093" spans="1:6" x14ac:dyDescent="0.25">
      <c r="A42093"/>
      <c r="B42093"/>
      <c r="C42093"/>
      <c r="E42093"/>
      <c r="F42093"/>
    </row>
    <row r="42094" spans="1:6" x14ac:dyDescent="0.25">
      <c r="A42094"/>
      <c r="B42094"/>
      <c r="C42094"/>
      <c r="E42094"/>
      <c r="F42094"/>
    </row>
    <row r="42095" spans="1:6" x14ac:dyDescent="0.25">
      <c r="A42095"/>
      <c r="B42095"/>
      <c r="C42095"/>
      <c r="E42095"/>
      <c r="F42095"/>
    </row>
    <row r="42096" spans="1:6" x14ac:dyDescent="0.25">
      <c r="A42096"/>
      <c r="B42096"/>
      <c r="C42096"/>
      <c r="E42096"/>
      <c r="F42096"/>
    </row>
    <row r="42097" spans="1:6" x14ac:dyDescent="0.25">
      <c r="A42097"/>
      <c r="B42097"/>
      <c r="C42097"/>
      <c r="E42097"/>
      <c r="F42097"/>
    </row>
    <row r="42098" spans="1:6" x14ac:dyDescent="0.25">
      <c r="A42098"/>
      <c r="B42098"/>
      <c r="C42098"/>
      <c r="E42098"/>
      <c r="F42098"/>
    </row>
    <row r="42099" spans="1:6" x14ac:dyDescent="0.25">
      <c r="A42099"/>
      <c r="B42099"/>
      <c r="C42099"/>
      <c r="E42099"/>
      <c r="F42099"/>
    </row>
    <row r="42100" spans="1:6" x14ac:dyDescent="0.25">
      <c r="A42100"/>
      <c r="B42100"/>
      <c r="C42100"/>
      <c r="E42100"/>
      <c r="F42100"/>
    </row>
    <row r="42101" spans="1:6" x14ac:dyDescent="0.25">
      <c r="A42101"/>
      <c r="B42101"/>
      <c r="C42101"/>
      <c r="E42101"/>
      <c r="F42101"/>
    </row>
    <row r="42102" spans="1:6" x14ac:dyDescent="0.25">
      <c r="A42102"/>
      <c r="B42102"/>
      <c r="C42102"/>
      <c r="E42102"/>
      <c r="F42102"/>
    </row>
    <row r="42103" spans="1:6" x14ac:dyDescent="0.25">
      <c r="A42103"/>
      <c r="B42103"/>
      <c r="C42103"/>
      <c r="E42103"/>
      <c r="F42103"/>
    </row>
    <row r="42104" spans="1:6" x14ac:dyDescent="0.25">
      <c r="A42104"/>
      <c r="B42104"/>
      <c r="C42104"/>
      <c r="E42104"/>
      <c r="F42104"/>
    </row>
    <row r="42105" spans="1:6" x14ac:dyDescent="0.25">
      <c r="A42105"/>
      <c r="B42105"/>
      <c r="C42105"/>
      <c r="E42105"/>
      <c r="F42105"/>
    </row>
    <row r="42106" spans="1:6" x14ac:dyDescent="0.25">
      <c r="A42106"/>
      <c r="B42106"/>
      <c r="C42106"/>
      <c r="E42106"/>
      <c r="F42106"/>
    </row>
    <row r="42107" spans="1:6" x14ac:dyDescent="0.25">
      <c r="A42107"/>
      <c r="B42107"/>
      <c r="C42107"/>
      <c r="E42107"/>
      <c r="F42107"/>
    </row>
    <row r="42108" spans="1:6" x14ac:dyDescent="0.25">
      <c r="A42108"/>
      <c r="B42108"/>
      <c r="C42108"/>
      <c r="E42108"/>
      <c r="F42108"/>
    </row>
    <row r="42109" spans="1:6" x14ac:dyDescent="0.25">
      <c r="A42109"/>
      <c r="B42109"/>
      <c r="C42109"/>
      <c r="E42109"/>
      <c r="F42109"/>
    </row>
    <row r="42110" spans="1:6" x14ac:dyDescent="0.25">
      <c r="A42110"/>
      <c r="B42110"/>
      <c r="C42110"/>
      <c r="E42110"/>
      <c r="F42110"/>
    </row>
    <row r="42111" spans="1:6" x14ac:dyDescent="0.25">
      <c r="A42111"/>
      <c r="B42111"/>
      <c r="C42111"/>
      <c r="E42111"/>
      <c r="F42111"/>
    </row>
    <row r="42112" spans="1:6" x14ac:dyDescent="0.25">
      <c r="A42112"/>
      <c r="B42112"/>
      <c r="C42112"/>
      <c r="E42112"/>
      <c r="F42112"/>
    </row>
    <row r="42113" spans="1:6" x14ac:dyDescent="0.25">
      <c r="A42113"/>
      <c r="B42113"/>
      <c r="C42113"/>
      <c r="E42113"/>
      <c r="F42113"/>
    </row>
    <row r="42114" spans="1:6" x14ac:dyDescent="0.25">
      <c r="A42114"/>
      <c r="B42114"/>
      <c r="C42114"/>
      <c r="E42114"/>
      <c r="F42114"/>
    </row>
    <row r="42115" spans="1:6" x14ac:dyDescent="0.25">
      <c r="A42115"/>
      <c r="B42115"/>
      <c r="C42115"/>
      <c r="E42115"/>
      <c r="F42115"/>
    </row>
    <row r="42116" spans="1:6" x14ac:dyDescent="0.25">
      <c r="A42116"/>
      <c r="B42116"/>
      <c r="C42116"/>
      <c r="E42116"/>
      <c r="F42116"/>
    </row>
    <row r="42117" spans="1:6" x14ac:dyDescent="0.25">
      <c r="A42117"/>
      <c r="B42117"/>
      <c r="C42117"/>
      <c r="E42117"/>
      <c r="F42117"/>
    </row>
    <row r="42118" spans="1:6" x14ac:dyDescent="0.25">
      <c r="A42118"/>
      <c r="B42118"/>
      <c r="C42118"/>
      <c r="E42118"/>
      <c r="F42118"/>
    </row>
    <row r="42119" spans="1:6" x14ac:dyDescent="0.25">
      <c r="A42119"/>
      <c r="B42119"/>
      <c r="C42119"/>
      <c r="E42119"/>
      <c r="F42119"/>
    </row>
    <row r="42120" spans="1:6" x14ac:dyDescent="0.25">
      <c r="A42120"/>
      <c r="B42120"/>
      <c r="C42120"/>
      <c r="E42120"/>
      <c r="F42120"/>
    </row>
    <row r="42121" spans="1:6" x14ac:dyDescent="0.25">
      <c r="A42121"/>
      <c r="B42121"/>
      <c r="C42121"/>
      <c r="E42121"/>
      <c r="F42121"/>
    </row>
    <row r="42122" spans="1:6" x14ac:dyDescent="0.25">
      <c r="A42122"/>
      <c r="B42122"/>
      <c r="C42122"/>
      <c r="E42122"/>
      <c r="F42122"/>
    </row>
    <row r="42123" spans="1:6" x14ac:dyDescent="0.25">
      <c r="A42123"/>
      <c r="B42123"/>
      <c r="C42123"/>
      <c r="E42123"/>
      <c r="F42123"/>
    </row>
    <row r="42124" spans="1:6" x14ac:dyDescent="0.25">
      <c r="A42124"/>
      <c r="B42124"/>
      <c r="C42124"/>
      <c r="E42124"/>
      <c r="F42124"/>
    </row>
    <row r="42125" spans="1:6" x14ac:dyDescent="0.25">
      <c r="A42125"/>
      <c r="B42125"/>
      <c r="C42125"/>
      <c r="E42125"/>
      <c r="F42125"/>
    </row>
    <row r="42126" spans="1:6" x14ac:dyDescent="0.25">
      <c r="A42126"/>
      <c r="B42126"/>
      <c r="C42126"/>
      <c r="E42126"/>
      <c r="F42126"/>
    </row>
    <row r="42127" spans="1:6" x14ac:dyDescent="0.25">
      <c r="A42127"/>
      <c r="B42127"/>
      <c r="C42127"/>
      <c r="E42127"/>
      <c r="F42127"/>
    </row>
    <row r="42128" spans="1:6" x14ac:dyDescent="0.25">
      <c r="A42128"/>
      <c r="B42128"/>
      <c r="C42128"/>
      <c r="E42128"/>
      <c r="F42128"/>
    </row>
    <row r="42129" spans="1:6" x14ac:dyDescent="0.25">
      <c r="A42129"/>
      <c r="B42129"/>
      <c r="C42129"/>
      <c r="E42129"/>
      <c r="F42129"/>
    </row>
    <row r="42130" spans="1:6" x14ac:dyDescent="0.25">
      <c r="A42130"/>
      <c r="B42130"/>
      <c r="C42130"/>
      <c r="E42130"/>
      <c r="F42130"/>
    </row>
    <row r="42131" spans="1:6" x14ac:dyDescent="0.25">
      <c r="A42131"/>
      <c r="B42131"/>
      <c r="C42131"/>
      <c r="E42131"/>
      <c r="F42131"/>
    </row>
    <row r="42132" spans="1:6" x14ac:dyDescent="0.25">
      <c r="A42132"/>
      <c r="B42132"/>
      <c r="C42132"/>
      <c r="E42132"/>
      <c r="F42132"/>
    </row>
    <row r="42133" spans="1:6" x14ac:dyDescent="0.25">
      <c r="A42133"/>
      <c r="B42133"/>
      <c r="C42133"/>
      <c r="E42133"/>
      <c r="F42133"/>
    </row>
    <row r="42134" spans="1:6" x14ac:dyDescent="0.25">
      <c r="A42134"/>
      <c r="B42134"/>
      <c r="C42134"/>
      <c r="E42134"/>
      <c r="F42134"/>
    </row>
    <row r="42135" spans="1:6" x14ac:dyDescent="0.25">
      <c r="A42135"/>
      <c r="B42135"/>
      <c r="C42135"/>
      <c r="E42135"/>
      <c r="F42135"/>
    </row>
    <row r="42136" spans="1:6" x14ac:dyDescent="0.25">
      <c r="A42136"/>
      <c r="B42136"/>
      <c r="C42136"/>
      <c r="E42136"/>
      <c r="F42136"/>
    </row>
    <row r="42137" spans="1:6" x14ac:dyDescent="0.25">
      <c r="A42137"/>
      <c r="B42137"/>
      <c r="C42137"/>
      <c r="E42137"/>
      <c r="F42137"/>
    </row>
    <row r="42138" spans="1:6" x14ac:dyDescent="0.25">
      <c r="A42138"/>
      <c r="B42138"/>
      <c r="C42138"/>
      <c r="E42138"/>
      <c r="F42138"/>
    </row>
    <row r="42139" spans="1:6" x14ac:dyDescent="0.25">
      <c r="A42139"/>
      <c r="B42139"/>
      <c r="C42139"/>
      <c r="E42139"/>
      <c r="F42139"/>
    </row>
    <row r="42140" spans="1:6" x14ac:dyDescent="0.25">
      <c r="A42140"/>
      <c r="B42140"/>
      <c r="C42140"/>
      <c r="E42140"/>
      <c r="F42140"/>
    </row>
    <row r="42141" spans="1:6" x14ac:dyDescent="0.25">
      <c r="A42141"/>
      <c r="B42141"/>
      <c r="C42141"/>
      <c r="E42141"/>
      <c r="F42141"/>
    </row>
    <row r="42142" spans="1:6" x14ac:dyDescent="0.25">
      <c r="A42142"/>
      <c r="B42142"/>
      <c r="C42142"/>
      <c r="E42142"/>
      <c r="F42142"/>
    </row>
    <row r="42143" spans="1:6" x14ac:dyDescent="0.25">
      <c r="A42143"/>
      <c r="B42143"/>
      <c r="C42143"/>
      <c r="E42143"/>
      <c r="F42143"/>
    </row>
    <row r="42144" spans="1:6" x14ac:dyDescent="0.25">
      <c r="A42144"/>
      <c r="B42144"/>
      <c r="C42144"/>
      <c r="E42144"/>
      <c r="F42144"/>
    </row>
    <row r="42145" spans="1:6" x14ac:dyDescent="0.25">
      <c r="A42145"/>
      <c r="B42145"/>
      <c r="C42145"/>
      <c r="E42145"/>
      <c r="F42145"/>
    </row>
    <row r="42146" spans="1:6" x14ac:dyDescent="0.25">
      <c r="A42146"/>
      <c r="B42146"/>
      <c r="C42146"/>
      <c r="E42146"/>
      <c r="F42146"/>
    </row>
    <row r="42147" spans="1:6" x14ac:dyDescent="0.25">
      <c r="A42147"/>
      <c r="B42147"/>
      <c r="C42147"/>
      <c r="E42147"/>
      <c r="F42147"/>
    </row>
    <row r="42148" spans="1:6" x14ac:dyDescent="0.25">
      <c r="A42148"/>
      <c r="B42148"/>
      <c r="C42148"/>
      <c r="E42148"/>
      <c r="F42148"/>
    </row>
    <row r="42149" spans="1:6" x14ac:dyDescent="0.25">
      <c r="A42149"/>
      <c r="B42149"/>
      <c r="C42149"/>
      <c r="E42149"/>
      <c r="F42149"/>
    </row>
    <row r="42150" spans="1:6" x14ac:dyDescent="0.25">
      <c r="A42150"/>
      <c r="B42150"/>
      <c r="C42150"/>
      <c r="E42150"/>
      <c r="F42150"/>
    </row>
    <row r="42151" spans="1:6" x14ac:dyDescent="0.25">
      <c r="A42151"/>
      <c r="B42151"/>
      <c r="C42151"/>
      <c r="E42151"/>
      <c r="F42151"/>
    </row>
    <row r="42152" spans="1:6" x14ac:dyDescent="0.25">
      <c r="A42152"/>
      <c r="B42152"/>
      <c r="C42152"/>
      <c r="E42152"/>
      <c r="F42152"/>
    </row>
    <row r="42153" spans="1:6" x14ac:dyDescent="0.25">
      <c r="A42153"/>
      <c r="B42153"/>
      <c r="C42153"/>
      <c r="E42153"/>
      <c r="F42153"/>
    </row>
    <row r="42154" spans="1:6" x14ac:dyDescent="0.25">
      <c r="A42154"/>
      <c r="B42154"/>
      <c r="C42154"/>
      <c r="E42154"/>
      <c r="F42154"/>
    </row>
    <row r="42155" spans="1:6" x14ac:dyDescent="0.25">
      <c r="A42155"/>
      <c r="B42155"/>
      <c r="C42155"/>
      <c r="E42155"/>
      <c r="F42155"/>
    </row>
    <row r="42156" spans="1:6" x14ac:dyDescent="0.25">
      <c r="A42156"/>
      <c r="B42156"/>
      <c r="C42156"/>
      <c r="E42156"/>
      <c r="F42156"/>
    </row>
    <row r="42157" spans="1:6" x14ac:dyDescent="0.25">
      <c r="A42157"/>
      <c r="B42157"/>
      <c r="C42157"/>
      <c r="E42157"/>
      <c r="F42157"/>
    </row>
    <row r="42158" spans="1:6" x14ac:dyDescent="0.25">
      <c r="A42158"/>
      <c r="B42158"/>
      <c r="C42158"/>
      <c r="E42158"/>
      <c r="F42158"/>
    </row>
    <row r="42159" spans="1:6" x14ac:dyDescent="0.25">
      <c r="A42159"/>
      <c r="B42159"/>
      <c r="C42159"/>
      <c r="E42159"/>
      <c r="F42159"/>
    </row>
    <row r="42160" spans="1:6" x14ac:dyDescent="0.25">
      <c r="A42160"/>
      <c r="B42160"/>
      <c r="C42160"/>
      <c r="E42160"/>
      <c r="F42160"/>
    </row>
    <row r="42161" spans="1:6" x14ac:dyDescent="0.25">
      <c r="A42161"/>
      <c r="B42161"/>
      <c r="C42161"/>
      <c r="E42161"/>
      <c r="F42161"/>
    </row>
    <row r="42162" spans="1:6" x14ac:dyDescent="0.25">
      <c r="A42162"/>
      <c r="B42162"/>
      <c r="C42162"/>
      <c r="E42162"/>
      <c r="F42162"/>
    </row>
    <row r="42163" spans="1:6" x14ac:dyDescent="0.25">
      <c r="A42163"/>
      <c r="B42163"/>
      <c r="C42163"/>
      <c r="E42163"/>
      <c r="F42163"/>
    </row>
    <row r="42164" spans="1:6" x14ac:dyDescent="0.25">
      <c r="A42164"/>
      <c r="B42164"/>
      <c r="C42164"/>
      <c r="E42164"/>
      <c r="F42164"/>
    </row>
    <row r="42165" spans="1:6" x14ac:dyDescent="0.25">
      <c r="A42165"/>
      <c r="B42165"/>
      <c r="C42165"/>
      <c r="E42165"/>
      <c r="F42165"/>
    </row>
    <row r="42166" spans="1:6" x14ac:dyDescent="0.25">
      <c r="A42166"/>
      <c r="B42166"/>
      <c r="C42166"/>
      <c r="E42166"/>
      <c r="F42166"/>
    </row>
    <row r="42167" spans="1:6" x14ac:dyDescent="0.25">
      <c r="A42167"/>
      <c r="B42167"/>
      <c r="C42167"/>
      <c r="E42167"/>
      <c r="F42167"/>
    </row>
    <row r="42168" spans="1:6" x14ac:dyDescent="0.25">
      <c r="A42168"/>
      <c r="B42168"/>
      <c r="C42168"/>
      <c r="E42168"/>
      <c r="F42168"/>
    </row>
    <row r="42169" spans="1:6" x14ac:dyDescent="0.25">
      <c r="A42169"/>
      <c r="B42169"/>
      <c r="C42169"/>
      <c r="E42169"/>
      <c r="F42169"/>
    </row>
    <row r="42170" spans="1:6" x14ac:dyDescent="0.25">
      <c r="A42170"/>
      <c r="B42170"/>
      <c r="C42170"/>
      <c r="E42170"/>
      <c r="F42170"/>
    </row>
    <row r="42171" spans="1:6" x14ac:dyDescent="0.25">
      <c r="A42171"/>
      <c r="B42171"/>
      <c r="C42171"/>
      <c r="E42171"/>
      <c r="F42171"/>
    </row>
    <row r="42172" spans="1:6" x14ac:dyDescent="0.25">
      <c r="A42172"/>
      <c r="B42172"/>
      <c r="C42172"/>
      <c r="E42172"/>
      <c r="F42172"/>
    </row>
    <row r="42173" spans="1:6" x14ac:dyDescent="0.25">
      <c r="A42173"/>
      <c r="B42173"/>
      <c r="C42173"/>
      <c r="E42173"/>
      <c r="F42173"/>
    </row>
    <row r="42174" spans="1:6" x14ac:dyDescent="0.25">
      <c r="A42174"/>
      <c r="B42174"/>
      <c r="C42174"/>
      <c r="E42174"/>
      <c r="F42174"/>
    </row>
    <row r="42175" spans="1:6" x14ac:dyDescent="0.25">
      <c r="A42175"/>
      <c r="B42175"/>
      <c r="C42175"/>
      <c r="E42175"/>
      <c r="F42175"/>
    </row>
    <row r="42176" spans="1:6" x14ac:dyDescent="0.25">
      <c r="A42176"/>
      <c r="B42176"/>
      <c r="C42176"/>
      <c r="E42176"/>
      <c r="F42176"/>
    </row>
    <row r="42177" spans="1:6" x14ac:dyDescent="0.25">
      <c r="A42177"/>
      <c r="B42177"/>
      <c r="C42177"/>
      <c r="E42177"/>
      <c r="F42177"/>
    </row>
    <row r="42178" spans="1:6" x14ac:dyDescent="0.25">
      <c r="A42178"/>
      <c r="B42178"/>
      <c r="C42178"/>
      <c r="E42178"/>
      <c r="F42178"/>
    </row>
    <row r="42179" spans="1:6" x14ac:dyDescent="0.25">
      <c r="A42179"/>
      <c r="B42179"/>
      <c r="C42179"/>
      <c r="E42179"/>
      <c r="F42179"/>
    </row>
    <row r="42180" spans="1:6" x14ac:dyDescent="0.25">
      <c r="A42180"/>
      <c r="B42180"/>
      <c r="C42180"/>
      <c r="E42180"/>
      <c r="F42180"/>
    </row>
    <row r="42181" spans="1:6" x14ac:dyDescent="0.25">
      <c r="A42181"/>
      <c r="B42181"/>
      <c r="C42181"/>
      <c r="E42181"/>
      <c r="F42181"/>
    </row>
    <row r="42182" spans="1:6" x14ac:dyDescent="0.25">
      <c r="A42182"/>
      <c r="B42182"/>
      <c r="C42182"/>
      <c r="E42182"/>
      <c r="F42182"/>
    </row>
    <row r="42183" spans="1:6" x14ac:dyDescent="0.25">
      <c r="A42183"/>
      <c r="B42183"/>
      <c r="C42183"/>
      <c r="E42183"/>
      <c r="F42183"/>
    </row>
    <row r="42184" spans="1:6" x14ac:dyDescent="0.25">
      <c r="A42184"/>
      <c r="B42184"/>
      <c r="C42184"/>
      <c r="E42184"/>
      <c r="F42184"/>
    </row>
    <row r="42185" spans="1:6" x14ac:dyDescent="0.25">
      <c r="A42185"/>
      <c r="B42185"/>
      <c r="C42185"/>
      <c r="E42185"/>
      <c r="F42185"/>
    </row>
    <row r="42186" spans="1:6" x14ac:dyDescent="0.25">
      <c r="A42186"/>
      <c r="B42186"/>
      <c r="C42186"/>
      <c r="E42186"/>
      <c r="F42186"/>
    </row>
    <row r="42187" spans="1:6" x14ac:dyDescent="0.25">
      <c r="A42187"/>
      <c r="B42187"/>
      <c r="C42187"/>
      <c r="E42187"/>
      <c r="F42187"/>
    </row>
    <row r="42188" spans="1:6" x14ac:dyDescent="0.25">
      <c r="A42188"/>
      <c r="B42188"/>
      <c r="C42188"/>
      <c r="E42188"/>
      <c r="F42188"/>
    </row>
    <row r="42189" spans="1:6" x14ac:dyDescent="0.25">
      <c r="A42189"/>
      <c r="B42189"/>
      <c r="C42189"/>
      <c r="E42189"/>
      <c r="F42189"/>
    </row>
    <row r="42190" spans="1:6" x14ac:dyDescent="0.25">
      <c r="A42190"/>
      <c r="B42190"/>
      <c r="C42190"/>
      <c r="E42190"/>
      <c r="F42190"/>
    </row>
    <row r="42191" spans="1:6" x14ac:dyDescent="0.25">
      <c r="A42191"/>
      <c r="B42191"/>
      <c r="C42191"/>
      <c r="E42191"/>
      <c r="F42191"/>
    </row>
    <row r="42192" spans="1:6" x14ac:dyDescent="0.25">
      <c r="A42192"/>
      <c r="B42192"/>
      <c r="C42192"/>
      <c r="E42192"/>
      <c r="F42192"/>
    </row>
    <row r="42193" spans="1:6" x14ac:dyDescent="0.25">
      <c r="A42193"/>
      <c r="B42193"/>
      <c r="C42193"/>
      <c r="E42193"/>
      <c r="F42193"/>
    </row>
    <row r="42194" spans="1:6" x14ac:dyDescent="0.25">
      <c r="A42194"/>
      <c r="B42194"/>
      <c r="C42194"/>
      <c r="E42194"/>
      <c r="F42194"/>
    </row>
    <row r="42195" spans="1:6" x14ac:dyDescent="0.25">
      <c r="A42195"/>
      <c r="B42195"/>
      <c r="C42195"/>
      <c r="E42195"/>
      <c r="F42195"/>
    </row>
    <row r="42196" spans="1:6" x14ac:dyDescent="0.25">
      <c r="A42196"/>
      <c r="B42196"/>
      <c r="C42196"/>
      <c r="E42196"/>
      <c r="F42196"/>
    </row>
    <row r="42197" spans="1:6" x14ac:dyDescent="0.25">
      <c r="A42197"/>
      <c r="B42197"/>
      <c r="C42197"/>
      <c r="E42197"/>
      <c r="F42197"/>
    </row>
    <row r="42198" spans="1:6" x14ac:dyDescent="0.25">
      <c r="A42198"/>
      <c r="B42198"/>
      <c r="C42198"/>
      <c r="E42198"/>
      <c r="F42198"/>
    </row>
    <row r="42199" spans="1:6" x14ac:dyDescent="0.25">
      <c r="A42199"/>
      <c r="B42199"/>
      <c r="C42199"/>
      <c r="E42199"/>
      <c r="F42199"/>
    </row>
    <row r="42200" spans="1:6" x14ac:dyDescent="0.25">
      <c r="A42200"/>
      <c r="B42200"/>
      <c r="C42200"/>
      <c r="E42200"/>
      <c r="F42200"/>
    </row>
    <row r="42201" spans="1:6" x14ac:dyDescent="0.25">
      <c r="A42201"/>
      <c r="B42201"/>
      <c r="C42201"/>
      <c r="E42201"/>
      <c r="F42201"/>
    </row>
    <row r="42202" spans="1:6" x14ac:dyDescent="0.25">
      <c r="A42202"/>
      <c r="B42202"/>
      <c r="C42202"/>
      <c r="E42202"/>
      <c r="F42202"/>
    </row>
    <row r="42203" spans="1:6" x14ac:dyDescent="0.25">
      <c r="A42203"/>
      <c r="B42203"/>
      <c r="C42203"/>
      <c r="E42203"/>
      <c r="F42203"/>
    </row>
    <row r="42204" spans="1:6" x14ac:dyDescent="0.25">
      <c r="A42204"/>
      <c r="B42204"/>
      <c r="C42204"/>
      <c r="E42204"/>
      <c r="F42204"/>
    </row>
    <row r="42205" spans="1:6" x14ac:dyDescent="0.25">
      <c r="A42205"/>
      <c r="B42205"/>
      <c r="C42205"/>
      <c r="E42205"/>
      <c r="F42205"/>
    </row>
    <row r="42206" spans="1:6" x14ac:dyDescent="0.25">
      <c r="A42206"/>
      <c r="B42206"/>
      <c r="C42206"/>
      <c r="E42206"/>
      <c r="F42206"/>
    </row>
    <row r="42207" spans="1:6" x14ac:dyDescent="0.25">
      <c r="A42207"/>
      <c r="B42207"/>
      <c r="C42207"/>
      <c r="E42207"/>
      <c r="F42207"/>
    </row>
    <row r="42208" spans="1:6" x14ac:dyDescent="0.25">
      <c r="A42208"/>
      <c r="B42208"/>
      <c r="C42208"/>
      <c r="E42208"/>
      <c r="F42208"/>
    </row>
    <row r="42209" spans="1:6" x14ac:dyDescent="0.25">
      <c r="A42209"/>
      <c r="B42209"/>
      <c r="C42209"/>
      <c r="E42209"/>
      <c r="F42209"/>
    </row>
    <row r="42210" spans="1:6" x14ac:dyDescent="0.25">
      <c r="A42210"/>
      <c r="B42210"/>
      <c r="C42210"/>
      <c r="E42210"/>
      <c r="F42210"/>
    </row>
    <row r="42211" spans="1:6" x14ac:dyDescent="0.25">
      <c r="A42211"/>
      <c r="B42211"/>
      <c r="C42211"/>
      <c r="E42211"/>
      <c r="F42211"/>
    </row>
    <row r="42212" spans="1:6" x14ac:dyDescent="0.25">
      <c r="A42212"/>
      <c r="B42212"/>
      <c r="C42212"/>
      <c r="E42212"/>
      <c r="F42212"/>
    </row>
    <row r="42213" spans="1:6" x14ac:dyDescent="0.25">
      <c r="A42213"/>
      <c r="B42213"/>
      <c r="C42213"/>
      <c r="E42213"/>
      <c r="F42213"/>
    </row>
    <row r="42214" spans="1:6" x14ac:dyDescent="0.25">
      <c r="A42214"/>
      <c r="B42214"/>
      <c r="C42214"/>
      <c r="E42214"/>
      <c r="F42214"/>
    </row>
    <row r="42215" spans="1:6" x14ac:dyDescent="0.25">
      <c r="A42215"/>
      <c r="B42215"/>
      <c r="C42215"/>
      <c r="E42215"/>
      <c r="F42215"/>
    </row>
    <row r="42216" spans="1:6" x14ac:dyDescent="0.25">
      <c r="A42216"/>
      <c r="B42216"/>
      <c r="C42216"/>
      <c r="E42216"/>
      <c r="F42216"/>
    </row>
    <row r="42217" spans="1:6" x14ac:dyDescent="0.25">
      <c r="A42217"/>
      <c r="B42217"/>
      <c r="C42217"/>
      <c r="E42217"/>
      <c r="F42217"/>
    </row>
    <row r="42218" spans="1:6" x14ac:dyDescent="0.25">
      <c r="A42218"/>
      <c r="B42218"/>
      <c r="C42218"/>
      <c r="E42218"/>
      <c r="F42218"/>
    </row>
    <row r="42219" spans="1:6" x14ac:dyDescent="0.25">
      <c r="A42219"/>
      <c r="B42219"/>
      <c r="C42219"/>
      <c r="E42219"/>
      <c r="F42219"/>
    </row>
    <row r="42220" spans="1:6" x14ac:dyDescent="0.25">
      <c r="A42220"/>
      <c r="B42220"/>
      <c r="C42220"/>
      <c r="E42220"/>
      <c r="F42220"/>
    </row>
    <row r="42221" spans="1:6" x14ac:dyDescent="0.25">
      <c r="A42221"/>
      <c r="B42221"/>
      <c r="C42221"/>
      <c r="E42221"/>
      <c r="F42221"/>
    </row>
    <row r="42222" spans="1:6" x14ac:dyDescent="0.25">
      <c r="A42222"/>
      <c r="B42222"/>
      <c r="C42222"/>
      <c r="E42222"/>
      <c r="F42222"/>
    </row>
    <row r="42223" spans="1:6" x14ac:dyDescent="0.25">
      <c r="A42223"/>
      <c r="B42223"/>
      <c r="C42223"/>
      <c r="E42223"/>
      <c r="F42223"/>
    </row>
    <row r="42224" spans="1:6" x14ac:dyDescent="0.25">
      <c r="A42224"/>
      <c r="B42224"/>
      <c r="C42224"/>
      <c r="E42224"/>
      <c r="F42224"/>
    </row>
    <row r="42225" spans="1:6" x14ac:dyDescent="0.25">
      <c r="A42225"/>
      <c r="B42225"/>
      <c r="C42225"/>
      <c r="E42225"/>
      <c r="F42225"/>
    </row>
    <row r="42226" spans="1:6" x14ac:dyDescent="0.25">
      <c r="A42226"/>
      <c r="B42226"/>
      <c r="C42226"/>
      <c r="E42226"/>
      <c r="F42226"/>
    </row>
    <row r="42227" spans="1:6" x14ac:dyDescent="0.25">
      <c r="A42227"/>
      <c r="B42227"/>
      <c r="C42227"/>
      <c r="E42227"/>
      <c r="F42227"/>
    </row>
    <row r="42228" spans="1:6" x14ac:dyDescent="0.25">
      <c r="A42228"/>
      <c r="B42228"/>
      <c r="C42228"/>
      <c r="E42228"/>
      <c r="F42228"/>
    </row>
    <row r="42229" spans="1:6" x14ac:dyDescent="0.25">
      <c r="A42229"/>
      <c r="B42229"/>
      <c r="C42229"/>
      <c r="E42229"/>
      <c r="F42229"/>
    </row>
    <row r="42230" spans="1:6" x14ac:dyDescent="0.25">
      <c r="A42230"/>
      <c r="B42230"/>
      <c r="C42230"/>
      <c r="E42230"/>
      <c r="F42230"/>
    </row>
    <row r="42231" spans="1:6" x14ac:dyDescent="0.25">
      <c r="A42231"/>
      <c r="B42231"/>
      <c r="C42231"/>
      <c r="E42231"/>
      <c r="F42231"/>
    </row>
    <row r="42232" spans="1:6" x14ac:dyDescent="0.25">
      <c r="A42232"/>
      <c r="B42232"/>
      <c r="C42232"/>
      <c r="E42232"/>
      <c r="F42232"/>
    </row>
    <row r="42233" spans="1:6" x14ac:dyDescent="0.25">
      <c r="A42233"/>
      <c r="B42233"/>
      <c r="C42233"/>
      <c r="E42233"/>
      <c r="F42233"/>
    </row>
    <row r="42234" spans="1:6" x14ac:dyDescent="0.25">
      <c r="A42234"/>
      <c r="B42234"/>
      <c r="C42234"/>
      <c r="E42234"/>
      <c r="F42234"/>
    </row>
    <row r="42235" spans="1:6" x14ac:dyDescent="0.25">
      <c r="A42235"/>
      <c r="B42235"/>
      <c r="C42235"/>
      <c r="E42235"/>
      <c r="F42235"/>
    </row>
    <row r="42236" spans="1:6" x14ac:dyDescent="0.25">
      <c r="A42236"/>
      <c r="B42236"/>
      <c r="C42236"/>
      <c r="E42236"/>
      <c r="F42236"/>
    </row>
    <row r="42237" spans="1:6" x14ac:dyDescent="0.25">
      <c r="A42237"/>
      <c r="B42237"/>
      <c r="C42237"/>
      <c r="E42237"/>
      <c r="F42237"/>
    </row>
    <row r="42238" spans="1:6" x14ac:dyDescent="0.25">
      <c r="A42238"/>
      <c r="B42238"/>
      <c r="C42238"/>
      <c r="E42238"/>
      <c r="F42238"/>
    </row>
    <row r="42239" spans="1:6" x14ac:dyDescent="0.25">
      <c r="A42239"/>
      <c r="B42239"/>
      <c r="C42239"/>
      <c r="E42239"/>
      <c r="F42239"/>
    </row>
    <row r="42240" spans="1:6" x14ac:dyDescent="0.25">
      <c r="A42240"/>
      <c r="B42240"/>
      <c r="C42240"/>
      <c r="E42240"/>
      <c r="F42240"/>
    </row>
    <row r="42241" spans="1:6" x14ac:dyDescent="0.25">
      <c r="A42241"/>
      <c r="B42241"/>
      <c r="C42241"/>
      <c r="E42241"/>
      <c r="F42241"/>
    </row>
    <row r="42242" spans="1:6" x14ac:dyDescent="0.25">
      <c r="A42242"/>
      <c r="B42242"/>
      <c r="C42242"/>
      <c r="E42242"/>
      <c r="F42242"/>
    </row>
    <row r="42243" spans="1:6" x14ac:dyDescent="0.25">
      <c r="A42243"/>
      <c r="B42243"/>
      <c r="C42243"/>
      <c r="E42243"/>
      <c r="F42243"/>
    </row>
    <row r="42244" spans="1:6" x14ac:dyDescent="0.25">
      <c r="A42244"/>
      <c r="B42244"/>
      <c r="C42244"/>
      <c r="E42244"/>
      <c r="F42244"/>
    </row>
    <row r="42245" spans="1:6" x14ac:dyDescent="0.25">
      <c r="A42245"/>
      <c r="B42245"/>
      <c r="C42245"/>
      <c r="E42245"/>
      <c r="F42245"/>
    </row>
    <row r="42246" spans="1:6" x14ac:dyDescent="0.25">
      <c r="A42246"/>
      <c r="B42246"/>
      <c r="C42246"/>
      <c r="E42246"/>
      <c r="F42246"/>
    </row>
    <row r="42247" spans="1:6" x14ac:dyDescent="0.25">
      <c r="A42247"/>
      <c r="B42247"/>
      <c r="C42247"/>
      <c r="E42247"/>
      <c r="F42247"/>
    </row>
    <row r="42248" spans="1:6" x14ac:dyDescent="0.25">
      <c r="A42248"/>
      <c r="B42248"/>
      <c r="C42248"/>
      <c r="E42248"/>
      <c r="F42248"/>
    </row>
    <row r="42249" spans="1:6" x14ac:dyDescent="0.25">
      <c r="A42249"/>
      <c r="B42249"/>
      <c r="C42249"/>
      <c r="E42249"/>
      <c r="F42249"/>
    </row>
    <row r="42250" spans="1:6" x14ac:dyDescent="0.25">
      <c r="A42250"/>
      <c r="B42250"/>
      <c r="C42250"/>
      <c r="E42250"/>
      <c r="F42250"/>
    </row>
    <row r="42251" spans="1:6" x14ac:dyDescent="0.25">
      <c r="A42251"/>
      <c r="B42251"/>
      <c r="C42251"/>
      <c r="E42251"/>
      <c r="F42251"/>
    </row>
    <row r="42252" spans="1:6" x14ac:dyDescent="0.25">
      <c r="A42252"/>
      <c r="B42252"/>
      <c r="C42252"/>
      <c r="E42252"/>
      <c r="F42252"/>
    </row>
    <row r="42253" spans="1:6" x14ac:dyDescent="0.25">
      <c r="A42253"/>
      <c r="B42253"/>
      <c r="C42253"/>
      <c r="E42253"/>
      <c r="F42253"/>
    </row>
    <row r="42254" spans="1:6" x14ac:dyDescent="0.25">
      <c r="A42254"/>
      <c r="B42254"/>
      <c r="C42254"/>
      <c r="E42254"/>
      <c r="F42254"/>
    </row>
    <row r="42255" spans="1:6" x14ac:dyDescent="0.25">
      <c r="A42255"/>
      <c r="B42255"/>
      <c r="C42255"/>
      <c r="E42255"/>
      <c r="F42255"/>
    </row>
    <row r="42256" spans="1:6" x14ac:dyDescent="0.25">
      <c r="A42256"/>
      <c r="B42256"/>
      <c r="C42256"/>
      <c r="E42256"/>
      <c r="F42256"/>
    </row>
    <row r="42257" spans="1:6" x14ac:dyDescent="0.25">
      <c r="A42257"/>
      <c r="B42257"/>
      <c r="C42257"/>
      <c r="E42257"/>
      <c r="F42257"/>
    </row>
    <row r="42258" spans="1:6" x14ac:dyDescent="0.25">
      <c r="A42258"/>
      <c r="B42258"/>
      <c r="C42258"/>
      <c r="E42258"/>
      <c r="F42258"/>
    </row>
    <row r="42259" spans="1:6" x14ac:dyDescent="0.25">
      <c r="A42259"/>
      <c r="B42259"/>
      <c r="C42259"/>
      <c r="E42259"/>
      <c r="F42259"/>
    </row>
    <row r="42260" spans="1:6" x14ac:dyDescent="0.25">
      <c r="A42260"/>
      <c r="B42260"/>
      <c r="C42260"/>
      <c r="E42260"/>
      <c r="F42260"/>
    </row>
    <row r="42261" spans="1:6" x14ac:dyDescent="0.25">
      <c r="A42261"/>
      <c r="B42261"/>
      <c r="C42261"/>
      <c r="E42261"/>
      <c r="F42261"/>
    </row>
    <row r="42262" spans="1:6" x14ac:dyDescent="0.25">
      <c r="A42262"/>
      <c r="B42262"/>
      <c r="C42262"/>
      <c r="E42262"/>
      <c r="F42262"/>
    </row>
    <row r="42263" spans="1:6" x14ac:dyDescent="0.25">
      <c r="A42263"/>
      <c r="B42263"/>
      <c r="C42263"/>
      <c r="E42263"/>
      <c r="F42263"/>
    </row>
    <row r="42264" spans="1:6" x14ac:dyDescent="0.25">
      <c r="A42264"/>
      <c r="B42264"/>
      <c r="C42264"/>
      <c r="E42264"/>
      <c r="F42264"/>
    </row>
    <row r="42265" spans="1:6" x14ac:dyDescent="0.25">
      <c r="A42265"/>
      <c r="B42265"/>
      <c r="C42265"/>
      <c r="E42265"/>
      <c r="F42265"/>
    </row>
    <row r="42266" spans="1:6" x14ac:dyDescent="0.25">
      <c r="A42266"/>
      <c r="B42266"/>
      <c r="C42266"/>
      <c r="E42266"/>
      <c r="F42266"/>
    </row>
    <row r="42267" spans="1:6" x14ac:dyDescent="0.25">
      <c r="A42267"/>
      <c r="B42267"/>
      <c r="C42267"/>
      <c r="E42267"/>
      <c r="F42267"/>
    </row>
    <row r="42268" spans="1:6" x14ac:dyDescent="0.25">
      <c r="A42268"/>
      <c r="B42268"/>
      <c r="C42268"/>
      <c r="E42268"/>
      <c r="F42268"/>
    </row>
    <row r="42269" spans="1:6" x14ac:dyDescent="0.25">
      <c r="A42269"/>
      <c r="B42269"/>
      <c r="C42269"/>
      <c r="E42269"/>
      <c r="F42269"/>
    </row>
    <row r="42270" spans="1:6" x14ac:dyDescent="0.25">
      <c r="A42270"/>
      <c r="B42270"/>
      <c r="C42270"/>
      <c r="E42270"/>
      <c r="F42270"/>
    </row>
    <row r="42271" spans="1:6" x14ac:dyDescent="0.25">
      <c r="A42271"/>
      <c r="B42271"/>
      <c r="C42271"/>
      <c r="E42271"/>
      <c r="F42271"/>
    </row>
    <row r="42272" spans="1:6" x14ac:dyDescent="0.25">
      <c r="A42272"/>
      <c r="B42272"/>
      <c r="C42272"/>
      <c r="E42272"/>
      <c r="F42272"/>
    </row>
    <row r="42273" spans="1:6" x14ac:dyDescent="0.25">
      <c r="A42273"/>
      <c r="B42273"/>
      <c r="C42273"/>
      <c r="E42273"/>
      <c r="F42273"/>
    </row>
    <row r="42274" spans="1:6" x14ac:dyDescent="0.25">
      <c r="A42274"/>
      <c r="B42274"/>
      <c r="C42274"/>
      <c r="E42274"/>
      <c r="F42274"/>
    </row>
    <row r="42275" spans="1:6" x14ac:dyDescent="0.25">
      <c r="A42275"/>
      <c r="B42275"/>
      <c r="C42275"/>
      <c r="E42275"/>
      <c r="F42275"/>
    </row>
    <row r="42276" spans="1:6" x14ac:dyDescent="0.25">
      <c r="A42276"/>
      <c r="B42276"/>
      <c r="C42276"/>
      <c r="E42276"/>
      <c r="F42276"/>
    </row>
    <row r="42277" spans="1:6" x14ac:dyDescent="0.25">
      <c r="A42277"/>
      <c r="B42277"/>
      <c r="C42277"/>
      <c r="E42277"/>
      <c r="F42277"/>
    </row>
    <row r="42278" spans="1:6" x14ac:dyDescent="0.25">
      <c r="A42278"/>
      <c r="B42278"/>
      <c r="C42278"/>
      <c r="E42278"/>
      <c r="F42278"/>
    </row>
    <row r="42279" spans="1:6" x14ac:dyDescent="0.25">
      <c r="A42279"/>
      <c r="B42279"/>
      <c r="C42279"/>
      <c r="E42279"/>
      <c r="F42279"/>
    </row>
    <row r="42280" spans="1:6" x14ac:dyDescent="0.25">
      <c r="A42280"/>
      <c r="B42280"/>
      <c r="C42280"/>
      <c r="E42280"/>
      <c r="F42280"/>
    </row>
    <row r="42281" spans="1:6" x14ac:dyDescent="0.25">
      <c r="A42281"/>
      <c r="B42281"/>
      <c r="C42281"/>
      <c r="E42281"/>
      <c r="F42281"/>
    </row>
    <row r="42282" spans="1:6" x14ac:dyDescent="0.25">
      <c r="A42282"/>
      <c r="B42282"/>
      <c r="C42282"/>
      <c r="E42282"/>
      <c r="F42282"/>
    </row>
    <row r="42283" spans="1:6" x14ac:dyDescent="0.25">
      <c r="A42283"/>
      <c r="B42283"/>
      <c r="C42283"/>
      <c r="E42283"/>
      <c r="F42283"/>
    </row>
    <row r="42284" spans="1:6" x14ac:dyDescent="0.25">
      <c r="A42284"/>
      <c r="B42284"/>
      <c r="C42284"/>
      <c r="E42284"/>
      <c r="F42284"/>
    </row>
    <row r="42285" spans="1:6" x14ac:dyDescent="0.25">
      <c r="A42285"/>
      <c r="B42285"/>
      <c r="C42285"/>
      <c r="E42285"/>
      <c r="F42285"/>
    </row>
    <row r="42286" spans="1:6" x14ac:dyDescent="0.25">
      <c r="A42286"/>
      <c r="B42286"/>
      <c r="C42286"/>
      <c r="E42286"/>
      <c r="F42286"/>
    </row>
    <row r="42287" spans="1:6" x14ac:dyDescent="0.25">
      <c r="A42287"/>
      <c r="B42287"/>
      <c r="C42287"/>
      <c r="E42287"/>
      <c r="F42287"/>
    </row>
    <row r="42288" spans="1:6" x14ac:dyDescent="0.25">
      <c r="A42288"/>
      <c r="B42288"/>
      <c r="C42288"/>
      <c r="E42288"/>
      <c r="F42288"/>
    </row>
    <row r="42289" spans="1:6" x14ac:dyDescent="0.25">
      <c r="A42289"/>
      <c r="B42289"/>
      <c r="C42289"/>
      <c r="E42289"/>
      <c r="F42289"/>
    </row>
    <row r="42290" spans="1:6" x14ac:dyDescent="0.25">
      <c r="A42290"/>
      <c r="B42290"/>
      <c r="C42290"/>
      <c r="E42290"/>
      <c r="F42290"/>
    </row>
    <row r="42291" spans="1:6" x14ac:dyDescent="0.25">
      <c r="A42291"/>
      <c r="B42291"/>
      <c r="C42291"/>
      <c r="E42291"/>
      <c r="F42291"/>
    </row>
    <row r="42292" spans="1:6" x14ac:dyDescent="0.25">
      <c r="A42292"/>
      <c r="B42292"/>
      <c r="C42292"/>
      <c r="E42292"/>
      <c r="F42292"/>
    </row>
    <row r="42293" spans="1:6" x14ac:dyDescent="0.25">
      <c r="A42293"/>
      <c r="B42293"/>
      <c r="C42293"/>
      <c r="E42293"/>
      <c r="F42293"/>
    </row>
    <row r="42294" spans="1:6" x14ac:dyDescent="0.25">
      <c r="A42294"/>
      <c r="B42294"/>
      <c r="C42294"/>
      <c r="E42294"/>
      <c r="F42294"/>
    </row>
    <row r="42295" spans="1:6" x14ac:dyDescent="0.25">
      <c r="A42295"/>
      <c r="B42295"/>
      <c r="C42295"/>
      <c r="E42295"/>
      <c r="F42295"/>
    </row>
    <row r="42296" spans="1:6" x14ac:dyDescent="0.25">
      <c r="A42296"/>
      <c r="B42296"/>
      <c r="C42296"/>
      <c r="E42296"/>
      <c r="F42296"/>
    </row>
    <row r="42297" spans="1:6" x14ac:dyDescent="0.25">
      <c r="A42297"/>
      <c r="B42297"/>
      <c r="C42297"/>
      <c r="E42297"/>
      <c r="F42297"/>
    </row>
    <row r="42298" spans="1:6" x14ac:dyDescent="0.25">
      <c r="A42298"/>
      <c r="B42298"/>
      <c r="C42298"/>
      <c r="E42298"/>
      <c r="F42298"/>
    </row>
    <row r="42299" spans="1:6" x14ac:dyDescent="0.25">
      <c r="A42299"/>
      <c r="B42299"/>
      <c r="C42299"/>
      <c r="E42299"/>
      <c r="F42299"/>
    </row>
    <row r="42300" spans="1:6" x14ac:dyDescent="0.25">
      <c r="A42300"/>
      <c r="B42300"/>
      <c r="C42300"/>
      <c r="E42300"/>
      <c r="F42300"/>
    </row>
    <row r="42301" spans="1:6" x14ac:dyDescent="0.25">
      <c r="A42301"/>
      <c r="B42301"/>
      <c r="C42301"/>
      <c r="E42301"/>
      <c r="F42301"/>
    </row>
    <row r="42302" spans="1:6" x14ac:dyDescent="0.25">
      <c r="A42302"/>
      <c r="B42302"/>
      <c r="C42302"/>
      <c r="E42302"/>
      <c r="F42302"/>
    </row>
    <row r="42303" spans="1:6" x14ac:dyDescent="0.25">
      <c r="A42303"/>
      <c r="B42303"/>
      <c r="C42303"/>
      <c r="E42303"/>
      <c r="F42303"/>
    </row>
    <row r="42304" spans="1:6" x14ac:dyDescent="0.25">
      <c r="A42304"/>
      <c r="B42304"/>
      <c r="C42304"/>
      <c r="E42304"/>
      <c r="F42304"/>
    </row>
    <row r="42305" spans="1:6" x14ac:dyDescent="0.25">
      <c r="A42305"/>
      <c r="B42305"/>
      <c r="C42305"/>
      <c r="E42305"/>
      <c r="F42305"/>
    </row>
    <row r="42306" spans="1:6" x14ac:dyDescent="0.25">
      <c r="A42306"/>
      <c r="B42306"/>
      <c r="C42306"/>
      <c r="E42306"/>
      <c r="F42306"/>
    </row>
    <row r="42307" spans="1:6" x14ac:dyDescent="0.25">
      <c r="A42307"/>
      <c r="B42307"/>
      <c r="C42307"/>
      <c r="E42307"/>
      <c r="F42307"/>
    </row>
    <row r="42308" spans="1:6" x14ac:dyDescent="0.25">
      <c r="A42308"/>
      <c r="B42308"/>
      <c r="C42308"/>
      <c r="E42308"/>
      <c r="F42308"/>
    </row>
    <row r="42309" spans="1:6" x14ac:dyDescent="0.25">
      <c r="A42309"/>
      <c r="B42309"/>
      <c r="C42309"/>
      <c r="E42309"/>
      <c r="F42309"/>
    </row>
    <row r="42310" spans="1:6" x14ac:dyDescent="0.25">
      <c r="A42310"/>
      <c r="B42310"/>
      <c r="C42310"/>
      <c r="E42310"/>
      <c r="F42310"/>
    </row>
    <row r="42311" spans="1:6" x14ac:dyDescent="0.25">
      <c r="A42311"/>
      <c r="B42311"/>
      <c r="C42311"/>
      <c r="E42311"/>
      <c r="F42311"/>
    </row>
    <row r="42312" spans="1:6" x14ac:dyDescent="0.25">
      <c r="A42312"/>
      <c r="B42312"/>
      <c r="C42312"/>
      <c r="E42312"/>
      <c r="F42312"/>
    </row>
    <row r="42313" spans="1:6" x14ac:dyDescent="0.25">
      <c r="A42313"/>
      <c r="B42313"/>
      <c r="C42313"/>
      <c r="E42313"/>
      <c r="F42313"/>
    </row>
    <row r="42314" spans="1:6" x14ac:dyDescent="0.25">
      <c r="A42314"/>
      <c r="B42314"/>
      <c r="C42314"/>
      <c r="E42314"/>
      <c r="F42314"/>
    </row>
    <row r="42315" spans="1:6" x14ac:dyDescent="0.25">
      <c r="A42315"/>
      <c r="B42315"/>
      <c r="C42315"/>
      <c r="E42315"/>
      <c r="F42315"/>
    </row>
    <row r="42316" spans="1:6" x14ac:dyDescent="0.25">
      <c r="A42316"/>
      <c r="B42316"/>
      <c r="C42316"/>
      <c r="E42316"/>
      <c r="F42316"/>
    </row>
    <row r="42317" spans="1:6" x14ac:dyDescent="0.25">
      <c r="A42317"/>
      <c r="B42317"/>
      <c r="C42317"/>
      <c r="E42317"/>
      <c r="F42317"/>
    </row>
    <row r="42318" spans="1:6" x14ac:dyDescent="0.25">
      <c r="A42318"/>
      <c r="B42318"/>
      <c r="C42318"/>
      <c r="E42318"/>
      <c r="F42318"/>
    </row>
    <row r="42319" spans="1:6" x14ac:dyDescent="0.25">
      <c r="A42319"/>
      <c r="B42319"/>
      <c r="C42319"/>
      <c r="E42319"/>
      <c r="F42319"/>
    </row>
    <row r="42320" spans="1:6" x14ac:dyDescent="0.25">
      <c r="A42320"/>
      <c r="B42320"/>
      <c r="C42320"/>
      <c r="E42320"/>
      <c r="F42320"/>
    </row>
    <row r="42321" spans="1:6" x14ac:dyDescent="0.25">
      <c r="A42321"/>
      <c r="B42321"/>
      <c r="C42321"/>
      <c r="E42321"/>
      <c r="F42321"/>
    </row>
    <row r="42322" spans="1:6" x14ac:dyDescent="0.25">
      <c r="A42322"/>
      <c r="B42322"/>
      <c r="C42322"/>
      <c r="E42322"/>
      <c r="F42322"/>
    </row>
    <row r="42323" spans="1:6" x14ac:dyDescent="0.25">
      <c r="A42323"/>
      <c r="B42323"/>
      <c r="C42323"/>
      <c r="E42323"/>
      <c r="F42323"/>
    </row>
    <row r="42324" spans="1:6" x14ac:dyDescent="0.25">
      <c r="A42324"/>
      <c r="B42324"/>
      <c r="C42324"/>
      <c r="E42324"/>
      <c r="F42324"/>
    </row>
    <row r="42325" spans="1:6" x14ac:dyDescent="0.25">
      <c r="A42325"/>
      <c r="B42325"/>
      <c r="C42325"/>
      <c r="E42325"/>
      <c r="F42325"/>
    </row>
    <row r="42326" spans="1:6" x14ac:dyDescent="0.25">
      <c r="A42326"/>
      <c r="B42326"/>
      <c r="C42326"/>
      <c r="E42326"/>
      <c r="F42326"/>
    </row>
    <row r="42327" spans="1:6" x14ac:dyDescent="0.25">
      <c r="A42327"/>
      <c r="B42327"/>
      <c r="C42327"/>
      <c r="E42327"/>
      <c r="F42327"/>
    </row>
    <row r="42328" spans="1:6" x14ac:dyDescent="0.25">
      <c r="A42328"/>
      <c r="B42328"/>
      <c r="C42328"/>
      <c r="E42328"/>
      <c r="F42328"/>
    </row>
    <row r="42329" spans="1:6" x14ac:dyDescent="0.25">
      <c r="A42329"/>
      <c r="B42329"/>
      <c r="C42329"/>
      <c r="E42329"/>
      <c r="F42329"/>
    </row>
    <row r="42330" spans="1:6" x14ac:dyDescent="0.25">
      <c r="A42330"/>
      <c r="B42330"/>
      <c r="C42330"/>
      <c r="E42330"/>
      <c r="F42330"/>
    </row>
    <row r="42331" spans="1:6" x14ac:dyDescent="0.25">
      <c r="A42331"/>
      <c r="B42331"/>
      <c r="C42331"/>
      <c r="E42331"/>
      <c r="F42331"/>
    </row>
    <row r="42332" spans="1:6" x14ac:dyDescent="0.25">
      <c r="A42332"/>
      <c r="B42332"/>
      <c r="C42332"/>
      <c r="E42332"/>
      <c r="F42332"/>
    </row>
    <row r="42333" spans="1:6" x14ac:dyDescent="0.25">
      <c r="A42333"/>
      <c r="B42333"/>
      <c r="C42333"/>
      <c r="E42333"/>
      <c r="F42333"/>
    </row>
    <row r="42334" spans="1:6" x14ac:dyDescent="0.25">
      <c r="A42334"/>
      <c r="B42334"/>
      <c r="C42334"/>
      <c r="E42334"/>
      <c r="F42334"/>
    </row>
    <row r="42335" spans="1:6" x14ac:dyDescent="0.25">
      <c r="A42335"/>
      <c r="B42335"/>
      <c r="C42335"/>
      <c r="E42335"/>
      <c r="F42335"/>
    </row>
    <row r="42336" spans="1:6" x14ac:dyDescent="0.25">
      <c r="A42336"/>
      <c r="B42336"/>
      <c r="C42336"/>
      <c r="E42336"/>
      <c r="F42336"/>
    </row>
    <row r="42337" spans="1:6" x14ac:dyDescent="0.25">
      <c r="A42337"/>
      <c r="B42337"/>
      <c r="C42337"/>
      <c r="E42337"/>
      <c r="F42337"/>
    </row>
    <row r="42338" spans="1:6" x14ac:dyDescent="0.25">
      <c r="A42338"/>
      <c r="B42338"/>
      <c r="C42338"/>
      <c r="E42338"/>
      <c r="F42338"/>
    </row>
    <row r="42339" spans="1:6" x14ac:dyDescent="0.25">
      <c r="A42339"/>
      <c r="B42339"/>
      <c r="C42339"/>
      <c r="E42339"/>
      <c r="F42339"/>
    </row>
    <row r="42340" spans="1:6" x14ac:dyDescent="0.25">
      <c r="A42340"/>
      <c r="B42340"/>
      <c r="C42340"/>
      <c r="E42340"/>
      <c r="F42340"/>
    </row>
    <row r="42341" spans="1:6" x14ac:dyDescent="0.25">
      <c r="A42341"/>
      <c r="B42341"/>
      <c r="C42341"/>
      <c r="E42341"/>
      <c r="F42341"/>
    </row>
    <row r="42342" spans="1:6" x14ac:dyDescent="0.25">
      <c r="A42342"/>
      <c r="B42342"/>
      <c r="C42342"/>
      <c r="E42342"/>
      <c r="F42342"/>
    </row>
    <row r="42343" spans="1:6" x14ac:dyDescent="0.25">
      <c r="A42343"/>
      <c r="B42343"/>
      <c r="C42343"/>
      <c r="E42343"/>
      <c r="F42343"/>
    </row>
    <row r="42344" spans="1:6" x14ac:dyDescent="0.25">
      <c r="A42344"/>
      <c r="B42344"/>
      <c r="C42344"/>
      <c r="E42344"/>
      <c r="F42344"/>
    </row>
    <row r="42345" spans="1:6" x14ac:dyDescent="0.25">
      <c r="A42345"/>
      <c r="B42345"/>
      <c r="C42345"/>
      <c r="E42345"/>
      <c r="F42345"/>
    </row>
    <row r="42346" spans="1:6" x14ac:dyDescent="0.25">
      <c r="A42346"/>
      <c r="B42346"/>
      <c r="C42346"/>
      <c r="E42346"/>
      <c r="F42346"/>
    </row>
    <row r="42347" spans="1:6" x14ac:dyDescent="0.25">
      <c r="A42347"/>
      <c r="B42347"/>
      <c r="C42347"/>
      <c r="E42347"/>
      <c r="F42347"/>
    </row>
    <row r="42348" spans="1:6" x14ac:dyDescent="0.25">
      <c r="A42348"/>
      <c r="B42348"/>
      <c r="C42348"/>
      <c r="E42348"/>
      <c r="F42348"/>
    </row>
    <row r="42349" spans="1:6" x14ac:dyDescent="0.25">
      <c r="A42349"/>
      <c r="B42349"/>
      <c r="C42349"/>
      <c r="E42349"/>
      <c r="F42349"/>
    </row>
    <row r="42350" spans="1:6" x14ac:dyDescent="0.25">
      <c r="A42350"/>
      <c r="B42350"/>
      <c r="C42350"/>
      <c r="E42350"/>
      <c r="F42350"/>
    </row>
    <row r="42351" spans="1:6" x14ac:dyDescent="0.25">
      <c r="A42351"/>
      <c r="B42351"/>
      <c r="C42351"/>
      <c r="E42351"/>
      <c r="F42351"/>
    </row>
    <row r="42352" spans="1:6" x14ac:dyDescent="0.25">
      <c r="A42352"/>
      <c r="B42352"/>
      <c r="C42352"/>
      <c r="E42352"/>
      <c r="F42352"/>
    </row>
    <row r="42353" spans="1:6" x14ac:dyDescent="0.25">
      <c r="A42353"/>
      <c r="B42353"/>
      <c r="C42353"/>
      <c r="E42353"/>
      <c r="F42353"/>
    </row>
    <row r="42354" spans="1:6" x14ac:dyDescent="0.25">
      <c r="A42354"/>
      <c r="B42354"/>
      <c r="C42354"/>
      <c r="E42354"/>
      <c r="F42354"/>
    </row>
    <row r="42355" spans="1:6" x14ac:dyDescent="0.25">
      <c r="A42355"/>
      <c r="B42355"/>
      <c r="C42355"/>
      <c r="E42355"/>
      <c r="F42355"/>
    </row>
    <row r="42356" spans="1:6" x14ac:dyDescent="0.25">
      <c r="A42356"/>
      <c r="B42356"/>
      <c r="C42356"/>
      <c r="E42356"/>
      <c r="F42356"/>
    </row>
    <row r="42357" spans="1:6" x14ac:dyDescent="0.25">
      <c r="A42357"/>
      <c r="B42357"/>
      <c r="C42357"/>
      <c r="E42357"/>
      <c r="F42357"/>
    </row>
    <row r="42358" spans="1:6" x14ac:dyDescent="0.25">
      <c r="A42358"/>
      <c r="B42358"/>
      <c r="C42358"/>
      <c r="E42358"/>
      <c r="F42358"/>
    </row>
    <row r="42359" spans="1:6" x14ac:dyDescent="0.25">
      <c r="A42359"/>
      <c r="B42359"/>
      <c r="C42359"/>
      <c r="E42359"/>
      <c r="F42359"/>
    </row>
    <row r="42360" spans="1:6" x14ac:dyDescent="0.25">
      <c r="A42360"/>
      <c r="B42360"/>
      <c r="C42360"/>
      <c r="E42360"/>
      <c r="F42360"/>
    </row>
    <row r="42361" spans="1:6" x14ac:dyDescent="0.25">
      <c r="A42361"/>
      <c r="B42361"/>
      <c r="C42361"/>
      <c r="E42361"/>
      <c r="F42361"/>
    </row>
    <row r="42362" spans="1:6" x14ac:dyDescent="0.25">
      <c r="A42362"/>
      <c r="B42362"/>
      <c r="C42362"/>
      <c r="E42362"/>
      <c r="F42362"/>
    </row>
    <row r="42363" spans="1:6" x14ac:dyDescent="0.25">
      <c r="A42363"/>
      <c r="B42363"/>
      <c r="C42363"/>
      <c r="E42363"/>
      <c r="F42363"/>
    </row>
    <row r="42364" spans="1:6" x14ac:dyDescent="0.25">
      <c r="A42364"/>
      <c r="B42364"/>
      <c r="C42364"/>
      <c r="E42364"/>
      <c r="F42364"/>
    </row>
    <row r="42365" spans="1:6" x14ac:dyDescent="0.25">
      <c r="A42365"/>
      <c r="B42365"/>
      <c r="C42365"/>
      <c r="E42365"/>
      <c r="F42365"/>
    </row>
    <row r="42366" spans="1:6" x14ac:dyDescent="0.25">
      <c r="A42366"/>
      <c r="B42366"/>
      <c r="C42366"/>
      <c r="E42366"/>
      <c r="F42366"/>
    </row>
    <row r="42367" spans="1:6" x14ac:dyDescent="0.25">
      <c r="A42367"/>
      <c r="B42367"/>
      <c r="C42367"/>
      <c r="E42367"/>
      <c r="F42367"/>
    </row>
    <row r="42368" spans="1:6" x14ac:dyDescent="0.25">
      <c r="A42368"/>
      <c r="B42368"/>
      <c r="C42368"/>
      <c r="E42368"/>
      <c r="F42368"/>
    </row>
    <row r="42369" spans="1:6" x14ac:dyDescent="0.25">
      <c r="A42369"/>
      <c r="B42369"/>
      <c r="C42369"/>
      <c r="E42369"/>
      <c r="F42369"/>
    </row>
    <row r="42370" spans="1:6" x14ac:dyDescent="0.25">
      <c r="A42370"/>
      <c r="B42370"/>
      <c r="C42370"/>
      <c r="E42370"/>
      <c r="F42370"/>
    </row>
    <row r="42371" spans="1:6" x14ac:dyDescent="0.25">
      <c r="A42371"/>
      <c r="B42371"/>
      <c r="C42371"/>
      <c r="E42371"/>
      <c r="F42371"/>
    </row>
    <row r="42372" spans="1:6" x14ac:dyDescent="0.25">
      <c r="A42372"/>
      <c r="B42372"/>
      <c r="C42372"/>
      <c r="E42372"/>
      <c r="F42372"/>
    </row>
    <row r="42373" spans="1:6" x14ac:dyDescent="0.25">
      <c r="A42373"/>
      <c r="B42373"/>
      <c r="C42373"/>
      <c r="E42373"/>
      <c r="F42373"/>
    </row>
    <row r="42374" spans="1:6" x14ac:dyDescent="0.25">
      <c r="A42374"/>
      <c r="B42374"/>
      <c r="C42374"/>
      <c r="E42374"/>
      <c r="F42374"/>
    </row>
    <row r="42375" spans="1:6" x14ac:dyDescent="0.25">
      <c r="A42375"/>
      <c r="B42375"/>
      <c r="C42375"/>
      <c r="E42375"/>
      <c r="F42375"/>
    </row>
    <row r="42376" spans="1:6" x14ac:dyDescent="0.25">
      <c r="A42376"/>
      <c r="B42376"/>
      <c r="C42376"/>
      <c r="E42376"/>
      <c r="F42376"/>
    </row>
    <row r="42377" spans="1:6" x14ac:dyDescent="0.25">
      <c r="A42377"/>
      <c r="B42377"/>
      <c r="C42377"/>
      <c r="E42377"/>
      <c r="F42377"/>
    </row>
    <row r="42378" spans="1:6" x14ac:dyDescent="0.25">
      <c r="A42378"/>
      <c r="B42378"/>
      <c r="C42378"/>
      <c r="E42378"/>
      <c r="F42378"/>
    </row>
    <row r="42379" spans="1:6" x14ac:dyDescent="0.25">
      <c r="A42379"/>
      <c r="B42379"/>
      <c r="C42379"/>
      <c r="E42379"/>
      <c r="F42379"/>
    </row>
    <row r="42380" spans="1:6" x14ac:dyDescent="0.25">
      <c r="A42380"/>
      <c r="B42380"/>
      <c r="C42380"/>
      <c r="E42380"/>
      <c r="F42380"/>
    </row>
    <row r="42381" spans="1:6" x14ac:dyDescent="0.25">
      <c r="A42381"/>
      <c r="B42381"/>
      <c r="C42381"/>
      <c r="E42381"/>
      <c r="F42381"/>
    </row>
    <row r="42382" spans="1:6" x14ac:dyDescent="0.25">
      <c r="A42382"/>
      <c r="B42382"/>
      <c r="C42382"/>
      <c r="E42382"/>
      <c r="F42382"/>
    </row>
    <row r="42383" spans="1:6" x14ac:dyDescent="0.25">
      <c r="A42383"/>
      <c r="B42383"/>
      <c r="C42383"/>
      <c r="E42383"/>
      <c r="F42383"/>
    </row>
    <row r="42384" spans="1:6" x14ac:dyDescent="0.25">
      <c r="A42384"/>
      <c r="B42384"/>
      <c r="C42384"/>
      <c r="E42384"/>
      <c r="F42384"/>
    </row>
    <row r="42385" spans="1:6" x14ac:dyDescent="0.25">
      <c r="A42385"/>
      <c r="B42385"/>
      <c r="C42385"/>
      <c r="E42385"/>
      <c r="F42385"/>
    </row>
    <row r="42386" spans="1:6" x14ac:dyDescent="0.25">
      <c r="A42386"/>
      <c r="B42386"/>
      <c r="C42386"/>
      <c r="E42386"/>
      <c r="F42386"/>
    </row>
    <row r="42387" spans="1:6" x14ac:dyDescent="0.25">
      <c r="A42387"/>
      <c r="B42387"/>
      <c r="C42387"/>
      <c r="E42387"/>
      <c r="F42387"/>
    </row>
    <row r="42388" spans="1:6" x14ac:dyDescent="0.25">
      <c r="A42388"/>
      <c r="B42388"/>
      <c r="C42388"/>
      <c r="E42388"/>
      <c r="F42388"/>
    </row>
    <row r="42389" spans="1:6" x14ac:dyDescent="0.25">
      <c r="A42389"/>
      <c r="B42389"/>
      <c r="C42389"/>
      <c r="E42389"/>
      <c r="F42389"/>
    </row>
    <row r="42390" spans="1:6" x14ac:dyDescent="0.25">
      <c r="A42390"/>
      <c r="B42390"/>
      <c r="C42390"/>
      <c r="E42390"/>
      <c r="F42390"/>
    </row>
    <row r="42391" spans="1:6" x14ac:dyDescent="0.25">
      <c r="A42391"/>
      <c r="B42391"/>
      <c r="C42391"/>
      <c r="E42391"/>
      <c r="F42391"/>
    </row>
    <row r="42392" spans="1:6" x14ac:dyDescent="0.25">
      <c r="A42392"/>
      <c r="B42392"/>
      <c r="C42392"/>
      <c r="E42392"/>
      <c r="F42392"/>
    </row>
    <row r="42393" spans="1:6" x14ac:dyDescent="0.25">
      <c r="A42393"/>
      <c r="B42393"/>
      <c r="C42393"/>
      <c r="E42393"/>
      <c r="F42393"/>
    </row>
    <row r="42394" spans="1:6" x14ac:dyDescent="0.25">
      <c r="A42394"/>
      <c r="B42394"/>
      <c r="C42394"/>
      <c r="E42394"/>
      <c r="F42394"/>
    </row>
    <row r="42395" spans="1:6" x14ac:dyDescent="0.25">
      <c r="A42395"/>
      <c r="B42395"/>
      <c r="C42395"/>
      <c r="E42395"/>
      <c r="F42395"/>
    </row>
    <row r="42396" spans="1:6" x14ac:dyDescent="0.25">
      <c r="A42396"/>
      <c r="B42396"/>
      <c r="C42396"/>
      <c r="E42396"/>
      <c r="F42396"/>
    </row>
    <row r="42397" spans="1:6" x14ac:dyDescent="0.25">
      <c r="A42397"/>
      <c r="B42397"/>
      <c r="C42397"/>
      <c r="E42397"/>
      <c r="F42397"/>
    </row>
    <row r="42398" spans="1:6" x14ac:dyDescent="0.25">
      <c r="A42398"/>
      <c r="B42398"/>
      <c r="C42398"/>
      <c r="E42398"/>
      <c r="F42398"/>
    </row>
    <row r="42399" spans="1:6" x14ac:dyDescent="0.25">
      <c r="A42399"/>
      <c r="B42399"/>
      <c r="C42399"/>
      <c r="E42399"/>
      <c r="F42399"/>
    </row>
    <row r="42400" spans="1:6" x14ac:dyDescent="0.25">
      <c r="A42400"/>
      <c r="B42400"/>
      <c r="C42400"/>
      <c r="E42400"/>
      <c r="F42400"/>
    </row>
    <row r="42401" spans="1:6" x14ac:dyDescent="0.25">
      <c r="A42401"/>
      <c r="B42401"/>
      <c r="C42401"/>
      <c r="E42401"/>
      <c r="F42401"/>
    </row>
    <row r="42402" spans="1:6" x14ac:dyDescent="0.25">
      <c r="A42402"/>
      <c r="B42402"/>
      <c r="C42402"/>
      <c r="E42402"/>
      <c r="F42402"/>
    </row>
    <row r="42403" spans="1:6" x14ac:dyDescent="0.25">
      <c r="A42403"/>
      <c r="B42403"/>
      <c r="C42403"/>
      <c r="E42403"/>
      <c r="F42403"/>
    </row>
    <row r="42404" spans="1:6" x14ac:dyDescent="0.25">
      <c r="A42404"/>
      <c r="B42404"/>
      <c r="C42404"/>
      <c r="E42404"/>
      <c r="F42404"/>
    </row>
    <row r="42405" spans="1:6" x14ac:dyDescent="0.25">
      <c r="A42405"/>
      <c r="B42405"/>
      <c r="C42405"/>
      <c r="E42405"/>
      <c r="F42405"/>
    </row>
    <row r="42406" spans="1:6" x14ac:dyDescent="0.25">
      <c r="A42406"/>
      <c r="B42406"/>
      <c r="C42406"/>
      <c r="E42406"/>
      <c r="F42406"/>
    </row>
    <row r="42407" spans="1:6" x14ac:dyDescent="0.25">
      <c r="A42407"/>
      <c r="B42407"/>
      <c r="C42407"/>
      <c r="E42407"/>
      <c r="F42407"/>
    </row>
    <row r="42408" spans="1:6" x14ac:dyDescent="0.25">
      <c r="A42408"/>
      <c r="B42408"/>
      <c r="C42408"/>
      <c r="E42408"/>
      <c r="F42408"/>
    </row>
    <row r="42409" spans="1:6" x14ac:dyDescent="0.25">
      <c r="A42409"/>
      <c r="B42409"/>
      <c r="C42409"/>
      <c r="E42409"/>
      <c r="F42409"/>
    </row>
    <row r="42410" spans="1:6" x14ac:dyDescent="0.25">
      <c r="A42410"/>
      <c r="B42410"/>
      <c r="C42410"/>
      <c r="E42410"/>
      <c r="F42410"/>
    </row>
    <row r="42411" spans="1:6" x14ac:dyDescent="0.25">
      <c r="A42411"/>
      <c r="B42411"/>
      <c r="C42411"/>
      <c r="E42411"/>
      <c r="F42411"/>
    </row>
    <row r="42412" spans="1:6" x14ac:dyDescent="0.25">
      <c r="A42412"/>
      <c r="B42412"/>
      <c r="C42412"/>
      <c r="E42412"/>
      <c r="F42412"/>
    </row>
    <row r="42413" spans="1:6" x14ac:dyDescent="0.25">
      <c r="A42413"/>
      <c r="B42413"/>
      <c r="C42413"/>
      <c r="E42413"/>
      <c r="F42413"/>
    </row>
    <row r="42414" spans="1:6" x14ac:dyDescent="0.25">
      <c r="A42414"/>
      <c r="B42414"/>
      <c r="C42414"/>
      <c r="E42414"/>
      <c r="F42414"/>
    </row>
    <row r="42415" spans="1:6" x14ac:dyDescent="0.25">
      <c r="A42415"/>
      <c r="B42415"/>
      <c r="C42415"/>
      <c r="E42415"/>
      <c r="F42415"/>
    </row>
    <row r="42416" spans="1:6" x14ac:dyDescent="0.25">
      <c r="A42416"/>
      <c r="B42416"/>
      <c r="C42416"/>
      <c r="E42416"/>
      <c r="F42416"/>
    </row>
    <row r="42417" spans="1:6" x14ac:dyDescent="0.25">
      <c r="A42417"/>
      <c r="B42417"/>
      <c r="C42417"/>
      <c r="E42417"/>
      <c r="F42417"/>
    </row>
    <row r="42418" spans="1:6" x14ac:dyDescent="0.25">
      <c r="A42418"/>
      <c r="B42418"/>
      <c r="C42418"/>
      <c r="E42418"/>
      <c r="F42418"/>
    </row>
    <row r="42419" spans="1:6" x14ac:dyDescent="0.25">
      <c r="A42419"/>
      <c r="B42419"/>
      <c r="C42419"/>
      <c r="E42419"/>
      <c r="F42419"/>
    </row>
    <row r="42420" spans="1:6" x14ac:dyDescent="0.25">
      <c r="A42420"/>
      <c r="B42420"/>
      <c r="C42420"/>
      <c r="E42420"/>
      <c r="F42420"/>
    </row>
    <row r="42421" spans="1:6" x14ac:dyDescent="0.25">
      <c r="A42421"/>
      <c r="B42421"/>
      <c r="C42421"/>
      <c r="E42421"/>
      <c r="F42421"/>
    </row>
    <row r="42422" spans="1:6" x14ac:dyDescent="0.25">
      <c r="A42422"/>
      <c r="B42422"/>
      <c r="C42422"/>
      <c r="E42422"/>
      <c r="F42422"/>
    </row>
    <row r="42423" spans="1:6" x14ac:dyDescent="0.25">
      <c r="A42423"/>
      <c r="B42423"/>
      <c r="C42423"/>
      <c r="E42423"/>
      <c r="F42423"/>
    </row>
    <row r="42424" spans="1:6" x14ac:dyDescent="0.25">
      <c r="A42424"/>
      <c r="B42424"/>
      <c r="C42424"/>
      <c r="E42424"/>
      <c r="F42424"/>
    </row>
    <row r="42425" spans="1:6" x14ac:dyDescent="0.25">
      <c r="A42425"/>
      <c r="B42425"/>
      <c r="C42425"/>
      <c r="E42425"/>
      <c r="F42425"/>
    </row>
    <row r="42426" spans="1:6" x14ac:dyDescent="0.25">
      <c r="A42426"/>
      <c r="B42426"/>
      <c r="C42426"/>
      <c r="E42426"/>
      <c r="F42426"/>
    </row>
    <row r="42427" spans="1:6" x14ac:dyDescent="0.25">
      <c r="A42427"/>
      <c r="B42427"/>
      <c r="C42427"/>
      <c r="E42427"/>
      <c r="F42427"/>
    </row>
    <row r="42428" spans="1:6" x14ac:dyDescent="0.25">
      <c r="A42428"/>
      <c r="B42428"/>
      <c r="C42428"/>
      <c r="E42428"/>
      <c r="F42428"/>
    </row>
    <row r="42429" spans="1:6" x14ac:dyDescent="0.25">
      <c r="A42429"/>
      <c r="B42429"/>
      <c r="C42429"/>
      <c r="E42429"/>
      <c r="F42429"/>
    </row>
    <row r="42430" spans="1:6" x14ac:dyDescent="0.25">
      <c r="A42430"/>
      <c r="B42430"/>
      <c r="C42430"/>
      <c r="E42430"/>
      <c r="F42430"/>
    </row>
    <row r="42431" spans="1:6" x14ac:dyDescent="0.25">
      <c r="A42431"/>
      <c r="B42431"/>
      <c r="C42431"/>
      <c r="E42431"/>
      <c r="F42431"/>
    </row>
    <row r="42432" spans="1:6" x14ac:dyDescent="0.25">
      <c r="A42432"/>
      <c r="B42432"/>
      <c r="C42432"/>
      <c r="E42432"/>
      <c r="F42432"/>
    </row>
    <row r="42433" spans="1:6" x14ac:dyDescent="0.25">
      <c r="A42433"/>
      <c r="B42433"/>
      <c r="C42433"/>
      <c r="E42433"/>
      <c r="F42433"/>
    </row>
    <row r="42434" spans="1:6" x14ac:dyDescent="0.25">
      <c r="A42434"/>
      <c r="B42434"/>
      <c r="C42434"/>
      <c r="E42434"/>
      <c r="F42434"/>
    </row>
    <row r="42435" spans="1:6" x14ac:dyDescent="0.25">
      <c r="A42435"/>
      <c r="B42435"/>
      <c r="C42435"/>
      <c r="E42435"/>
      <c r="F42435"/>
    </row>
    <row r="42436" spans="1:6" x14ac:dyDescent="0.25">
      <c r="A42436"/>
      <c r="B42436"/>
      <c r="C42436"/>
      <c r="E42436"/>
      <c r="F42436"/>
    </row>
    <row r="42437" spans="1:6" x14ac:dyDescent="0.25">
      <c r="A42437"/>
      <c r="B42437"/>
      <c r="C42437"/>
      <c r="E42437"/>
      <c r="F42437"/>
    </row>
    <row r="42438" spans="1:6" x14ac:dyDescent="0.25">
      <c r="A42438"/>
      <c r="B42438"/>
      <c r="C42438"/>
      <c r="E42438"/>
      <c r="F42438"/>
    </row>
    <row r="42439" spans="1:6" x14ac:dyDescent="0.25">
      <c r="A42439"/>
      <c r="B42439"/>
      <c r="C42439"/>
      <c r="E42439"/>
      <c r="F42439"/>
    </row>
    <row r="42440" spans="1:6" x14ac:dyDescent="0.25">
      <c r="A42440"/>
      <c r="B42440"/>
      <c r="C42440"/>
      <c r="E42440"/>
      <c r="F42440"/>
    </row>
    <row r="42441" spans="1:6" x14ac:dyDescent="0.25">
      <c r="A42441"/>
      <c r="B42441"/>
      <c r="C42441"/>
      <c r="E42441"/>
      <c r="F42441"/>
    </row>
    <row r="42442" spans="1:6" x14ac:dyDescent="0.25">
      <c r="A42442"/>
      <c r="B42442"/>
      <c r="C42442"/>
      <c r="E42442"/>
      <c r="F42442"/>
    </row>
    <row r="42443" spans="1:6" x14ac:dyDescent="0.25">
      <c r="A42443"/>
      <c r="B42443"/>
      <c r="C42443"/>
      <c r="E42443"/>
      <c r="F42443"/>
    </row>
    <row r="42444" spans="1:6" x14ac:dyDescent="0.25">
      <c r="A42444"/>
      <c r="B42444"/>
      <c r="C42444"/>
      <c r="E42444"/>
      <c r="F42444"/>
    </row>
    <row r="42445" spans="1:6" x14ac:dyDescent="0.25">
      <c r="A42445"/>
      <c r="B42445"/>
      <c r="C42445"/>
      <c r="E42445"/>
      <c r="F42445"/>
    </row>
    <row r="42446" spans="1:6" x14ac:dyDescent="0.25">
      <c r="A42446"/>
      <c r="B42446"/>
      <c r="C42446"/>
      <c r="E42446"/>
      <c r="F42446"/>
    </row>
    <row r="42447" spans="1:6" x14ac:dyDescent="0.25">
      <c r="A42447"/>
      <c r="B42447"/>
      <c r="C42447"/>
      <c r="E42447"/>
      <c r="F42447"/>
    </row>
    <row r="42448" spans="1:6" x14ac:dyDescent="0.25">
      <c r="A42448"/>
      <c r="B42448"/>
      <c r="C42448"/>
      <c r="E42448"/>
      <c r="F42448"/>
    </row>
    <row r="42449" spans="1:6" x14ac:dyDescent="0.25">
      <c r="A42449"/>
      <c r="B42449"/>
      <c r="C42449"/>
      <c r="E42449"/>
      <c r="F42449"/>
    </row>
    <row r="42450" spans="1:6" x14ac:dyDescent="0.25">
      <c r="A42450"/>
      <c r="B42450"/>
      <c r="C42450"/>
      <c r="E42450"/>
      <c r="F42450"/>
    </row>
    <row r="42451" spans="1:6" x14ac:dyDescent="0.25">
      <c r="A42451"/>
      <c r="B42451"/>
      <c r="C42451"/>
      <c r="E42451"/>
      <c r="F42451"/>
    </row>
    <row r="42452" spans="1:6" x14ac:dyDescent="0.25">
      <c r="A42452"/>
      <c r="B42452"/>
      <c r="C42452"/>
      <c r="E42452"/>
      <c r="F42452"/>
    </row>
    <row r="42453" spans="1:6" x14ac:dyDescent="0.25">
      <c r="A42453"/>
      <c r="B42453"/>
      <c r="C42453"/>
      <c r="E42453"/>
      <c r="F42453"/>
    </row>
    <row r="42454" spans="1:6" x14ac:dyDescent="0.25">
      <c r="A42454"/>
      <c r="B42454"/>
      <c r="C42454"/>
      <c r="E42454"/>
      <c r="F42454"/>
    </row>
    <row r="42455" spans="1:6" x14ac:dyDescent="0.25">
      <c r="A42455"/>
      <c r="B42455"/>
      <c r="C42455"/>
      <c r="E42455"/>
      <c r="F42455"/>
    </row>
    <row r="42456" spans="1:6" x14ac:dyDescent="0.25">
      <c r="A42456"/>
      <c r="B42456"/>
      <c r="C42456"/>
      <c r="E42456"/>
      <c r="F42456"/>
    </row>
    <row r="42457" spans="1:6" x14ac:dyDescent="0.25">
      <c r="A42457"/>
      <c r="B42457"/>
      <c r="C42457"/>
      <c r="E42457"/>
      <c r="F42457"/>
    </row>
    <row r="42458" spans="1:6" x14ac:dyDescent="0.25">
      <c r="A42458"/>
      <c r="B42458"/>
      <c r="C42458"/>
      <c r="E42458"/>
      <c r="F42458"/>
    </row>
    <row r="42459" spans="1:6" x14ac:dyDescent="0.25">
      <c r="A42459"/>
      <c r="B42459"/>
      <c r="C42459"/>
      <c r="E42459"/>
      <c r="F42459"/>
    </row>
    <row r="42460" spans="1:6" x14ac:dyDescent="0.25">
      <c r="A42460"/>
      <c r="B42460"/>
      <c r="C42460"/>
      <c r="E42460"/>
      <c r="F42460"/>
    </row>
    <row r="42461" spans="1:6" x14ac:dyDescent="0.25">
      <c r="A42461"/>
      <c r="B42461"/>
      <c r="C42461"/>
      <c r="E42461"/>
      <c r="F42461"/>
    </row>
    <row r="42462" spans="1:6" x14ac:dyDescent="0.25">
      <c r="A42462"/>
      <c r="B42462"/>
      <c r="C42462"/>
      <c r="E42462"/>
      <c r="F42462"/>
    </row>
    <row r="42463" spans="1:6" x14ac:dyDescent="0.25">
      <c r="A42463"/>
      <c r="B42463"/>
      <c r="C42463"/>
      <c r="E42463"/>
      <c r="F42463"/>
    </row>
    <row r="42464" spans="1:6" x14ac:dyDescent="0.25">
      <c r="A42464"/>
      <c r="B42464"/>
      <c r="C42464"/>
      <c r="E42464"/>
      <c r="F42464"/>
    </row>
    <row r="42465" spans="1:6" x14ac:dyDescent="0.25">
      <c r="A42465"/>
      <c r="B42465"/>
      <c r="C42465"/>
      <c r="E42465"/>
      <c r="F42465"/>
    </row>
    <row r="42466" spans="1:6" x14ac:dyDescent="0.25">
      <c r="A42466"/>
      <c r="B42466"/>
      <c r="C42466"/>
      <c r="E42466"/>
      <c r="F42466"/>
    </row>
    <row r="42467" spans="1:6" x14ac:dyDescent="0.25">
      <c r="A42467"/>
      <c r="B42467"/>
      <c r="C42467"/>
      <c r="E42467"/>
      <c r="F42467"/>
    </row>
    <row r="42468" spans="1:6" x14ac:dyDescent="0.25">
      <c r="A42468"/>
      <c r="B42468"/>
      <c r="C42468"/>
      <c r="E42468"/>
      <c r="F42468"/>
    </row>
    <row r="42469" spans="1:6" x14ac:dyDescent="0.25">
      <c r="A42469"/>
      <c r="B42469"/>
      <c r="C42469"/>
      <c r="E42469"/>
      <c r="F42469"/>
    </row>
    <row r="42470" spans="1:6" x14ac:dyDescent="0.25">
      <c r="A42470"/>
      <c r="B42470"/>
      <c r="C42470"/>
      <c r="E42470"/>
      <c r="F42470"/>
    </row>
    <row r="42471" spans="1:6" x14ac:dyDescent="0.25">
      <c r="A42471"/>
      <c r="B42471"/>
      <c r="C42471"/>
      <c r="E42471"/>
      <c r="F42471"/>
    </row>
    <row r="42472" spans="1:6" x14ac:dyDescent="0.25">
      <c r="A42472"/>
      <c r="B42472"/>
      <c r="C42472"/>
      <c r="E42472"/>
      <c r="F42472"/>
    </row>
    <row r="42473" spans="1:6" x14ac:dyDescent="0.25">
      <c r="A42473"/>
      <c r="B42473"/>
      <c r="C42473"/>
      <c r="E42473"/>
      <c r="F42473"/>
    </row>
    <row r="42474" spans="1:6" x14ac:dyDescent="0.25">
      <c r="A42474"/>
      <c r="B42474"/>
      <c r="C42474"/>
      <c r="E42474"/>
      <c r="F42474"/>
    </row>
    <row r="42475" spans="1:6" x14ac:dyDescent="0.25">
      <c r="A42475"/>
      <c r="B42475"/>
      <c r="C42475"/>
      <c r="E42475"/>
      <c r="F42475"/>
    </row>
    <row r="42476" spans="1:6" x14ac:dyDescent="0.25">
      <c r="A42476"/>
      <c r="B42476"/>
      <c r="C42476"/>
      <c r="E42476"/>
      <c r="F42476"/>
    </row>
    <row r="42477" spans="1:6" x14ac:dyDescent="0.25">
      <c r="A42477"/>
      <c r="B42477"/>
      <c r="C42477"/>
      <c r="E42477"/>
      <c r="F42477"/>
    </row>
    <row r="42478" spans="1:6" x14ac:dyDescent="0.25">
      <c r="A42478"/>
      <c r="B42478"/>
      <c r="C42478"/>
      <c r="E42478"/>
      <c r="F42478"/>
    </row>
    <row r="42479" spans="1:6" x14ac:dyDescent="0.25">
      <c r="A42479"/>
      <c r="B42479"/>
      <c r="C42479"/>
      <c r="E42479"/>
      <c r="F42479"/>
    </row>
    <row r="42480" spans="1:6" x14ac:dyDescent="0.25">
      <c r="A42480"/>
      <c r="B42480"/>
      <c r="C42480"/>
      <c r="E42480"/>
      <c r="F42480"/>
    </row>
    <row r="42481" spans="1:6" x14ac:dyDescent="0.25">
      <c r="A42481"/>
      <c r="B42481"/>
      <c r="C42481"/>
      <c r="E42481"/>
      <c r="F42481"/>
    </row>
    <row r="42482" spans="1:6" x14ac:dyDescent="0.25">
      <c r="A42482"/>
      <c r="B42482"/>
      <c r="C42482"/>
      <c r="E42482"/>
      <c r="F42482"/>
    </row>
    <row r="42483" spans="1:6" x14ac:dyDescent="0.25">
      <c r="A42483"/>
      <c r="B42483"/>
      <c r="C42483"/>
      <c r="E42483"/>
      <c r="F42483"/>
    </row>
    <row r="42484" spans="1:6" x14ac:dyDescent="0.25">
      <c r="A42484"/>
      <c r="B42484"/>
      <c r="C42484"/>
      <c r="E42484"/>
      <c r="F42484"/>
    </row>
    <row r="42485" spans="1:6" x14ac:dyDescent="0.25">
      <c r="A42485"/>
      <c r="B42485"/>
      <c r="C42485"/>
      <c r="E42485"/>
      <c r="F42485"/>
    </row>
    <row r="42486" spans="1:6" x14ac:dyDescent="0.25">
      <c r="A42486"/>
      <c r="B42486"/>
      <c r="C42486"/>
      <c r="E42486"/>
      <c r="F42486"/>
    </row>
    <row r="42487" spans="1:6" x14ac:dyDescent="0.25">
      <c r="A42487"/>
      <c r="B42487"/>
      <c r="C42487"/>
      <c r="E42487"/>
      <c r="F42487"/>
    </row>
    <row r="42488" spans="1:6" x14ac:dyDescent="0.25">
      <c r="A42488"/>
      <c r="B42488"/>
      <c r="C42488"/>
      <c r="E42488"/>
      <c r="F42488"/>
    </row>
    <row r="42489" spans="1:6" x14ac:dyDescent="0.25">
      <c r="A42489"/>
      <c r="B42489"/>
      <c r="C42489"/>
      <c r="E42489"/>
      <c r="F42489"/>
    </row>
    <row r="42490" spans="1:6" x14ac:dyDescent="0.25">
      <c r="A42490"/>
      <c r="B42490"/>
      <c r="C42490"/>
      <c r="E42490"/>
      <c r="F42490"/>
    </row>
    <row r="42491" spans="1:6" x14ac:dyDescent="0.25">
      <c r="A42491"/>
      <c r="B42491"/>
      <c r="C42491"/>
      <c r="E42491"/>
      <c r="F42491"/>
    </row>
    <row r="42492" spans="1:6" x14ac:dyDescent="0.25">
      <c r="A42492"/>
      <c r="B42492"/>
      <c r="C42492"/>
      <c r="E42492"/>
      <c r="F42492"/>
    </row>
    <row r="42493" spans="1:6" x14ac:dyDescent="0.25">
      <c r="A42493"/>
      <c r="B42493"/>
      <c r="C42493"/>
      <c r="E42493"/>
      <c r="F42493"/>
    </row>
    <row r="42494" spans="1:6" x14ac:dyDescent="0.25">
      <c r="A42494"/>
      <c r="B42494"/>
      <c r="C42494"/>
      <c r="E42494"/>
      <c r="F42494"/>
    </row>
    <row r="42495" spans="1:6" x14ac:dyDescent="0.25">
      <c r="A42495"/>
      <c r="B42495"/>
      <c r="C42495"/>
      <c r="E42495"/>
      <c r="F42495"/>
    </row>
    <row r="42496" spans="1:6" x14ac:dyDescent="0.25">
      <c r="A42496"/>
      <c r="B42496"/>
      <c r="C42496"/>
      <c r="E42496"/>
      <c r="F42496"/>
    </row>
    <row r="42497" spans="1:6" x14ac:dyDescent="0.25">
      <c r="A42497"/>
      <c r="B42497"/>
      <c r="C42497"/>
      <c r="E42497"/>
      <c r="F42497"/>
    </row>
    <row r="42498" spans="1:6" x14ac:dyDescent="0.25">
      <c r="A42498"/>
      <c r="B42498"/>
      <c r="C42498"/>
      <c r="E42498"/>
      <c r="F42498"/>
    </row>
    <row r="42499" spans="1:6" x14ac:dyDescent="0.25">
      <c r="A42499"/>
      <c r="B42499"/>
      <c r="C42499"/>
      <c r="E42499"/>
      <c r="F42499"/>
    </row>
    <row r="42500" spans="1:6" x14ac:dyDescent="0.25">
      <c r="A42500"/>
      <c r="B42500"/>
      <c r="C42500"/>
      <c r="E42500"/>
      <c r="F42500"/>
    </row>
    <row r="42501" spans="1:6" x14ac:dyDescent="0.25">
      <c r="A42501"/>
      <c r="B42501"/>
      <c r="C42501"/>
      <c r="E42501"/>
      <c r="F42501"/>
    </row>
    <row r="42502" spans="1:6" x14ac:dyDescent="0.25">
      <c r="A42502"/>
      <c r="B42502"/>
      <c r="C42502"/>
      <c r="E42502"/>
      <c r="F42502"/>
    </row>
    <row r="42503" spans="1:6" x14ac:dyDescent="0.25">
      <c r="A42503"/>
      <c r="B42503"/>
      <c r="C42503"/>
      <c r="E42503"/>
      <c r="F42503"/>
    </row>
    <row r="42504" spans="1:6" x14ac:dyDescent="0.25">
      <c r="A42504"/>
      <c r="B42504"/>
      <c r="C42504"/>
      <c r="E42504"/>
      <c r="F42504"/>
    </row>
    <row r="42505" spans="1:6" x14ac:dyDescent="0.25">
      <c r="A42505"/>
      <c r="B42505"/>
      <c r="C42505"/>
      <c r="E42505"/>
      <c r="F42505"/>
    </row>
    <row r="42506" spans="1:6" x14ac:dyDescent="0.25">
      <c r="A42506"/>
      <c r="B42506"/>
      <c r="C42506"/>
      <c r="E42506"/>
      <c r="F42506"/>
    </row>
    <row r="42507" spans="1:6" x14ac:dyDescent="0.25">
      <c r="A42507"/>
      <c r="B42507"/>
      <c r="C42507"/>
      <c r="E42507"/>
      <c r="F42507"/>
    </row>
    <row r="42508" spans="1:6" x14ac:dyDescent="0.25">
      <c r="A42508"/>
      <c r="B42508"/>
      <c r="C42508"/>
      <c r="E42508"/>
      <c r="F42508"/>
    </row>
    <row r="42509" spans="1:6" x14ac:dyDescent="0.25">
      <c r="A42509"/>
      <c r="B42509"/>
      <c r="C42509"/>
      <c r="E42509"/>
      <c r="F42509"/>
    </row>
    <row r="42510" spans="1:6" x14ac:dyDescent="0.25">
      <c r="A42510"/>
      <c r="B42510"/>
      <c r="C42510"/>
      <c r="E42510"/>
      <c r="F42510"/>
    </row>
    <row r="42511" spans="1:6" x14ac:dyDescent="0.25">
      <c r="A42511"/>
      <c r="B42511"/>
      <c r="C42511"/>
      <c r="E42511"/>
      <c r="F42511"/>
    </row>
    <row r="42512" spans="1:6" x14ac:dyDescent="0.25">
      <c r="A42512"/>
      <c r="B42512"/>
      <c r="C42512"/>
      <c r="E42512"/>
      <c r="F42512"/>
    </row>
    <row r="42513" spans="1:6" x14ac:dyDescent="0.25">
      <c r="A42513"/>
      <c r="B42513"/>
      <c r="C42513"/>
      <c r="E42513"/>
      <c r="F42513"/>
    </row>
    <row r="42514" spans="1:6" x14ac:dyDescent="0.25">
      <c r="A42514"/>
      <c r="B42514"/>
      <c r="C42514"/>
      <c r="E42514"/>
      <c r="F42514"/>
    </row>
    <row r="42515" spans="1:6" x14ac:dyDescent="0.25">
      <c r="A42515"/>
      <c r="B42515"/>
      <c r="C42515"/>
      <c r="E42515"/>
      <c r="F42515"/>
    </row>
    <row r="42516" spans="1:6" x14ac:dyDescent="0.25">
      <c r="A42516"/>
      <c r="B42516"/>
      <c r="C42516"/>
      <c r="E42516"/>
      <c r="F42516"/>
    </row>
    <row r="42517" spans="1:6" x14ac:dyDescent="0.25">
      <c r="A42517"/>
      <c r="B42517"/>
      <c r="C42517"/>
      <c r="E42517"/>
      <c r="F42517"/>
    </row>
    <row r="42518" spans="1:6" x14ac:dyDescent="0.25">
      <c r="A42518"/>
      <c r="B42518"/>
      <c r="C42518"/>
      <c r="E42518"/>
      <c r="F42518"/>
    </row>
    <row r="42519" spans="1:6" x14ac:dyDescent="0.25">
      <c r="A42519"/>
      <c r="B42519"/>
      <c r="C42519"/>
      <c r="E42519"/>
      <c r="F42519"/>
    </row>
    <row r="42520" spans="1:6" x14ac:dyDescent="0.25">
      <c r="A42520"/>
      <c r="B42520"/>
      <c r="C42520"/>
      <c r="E42520"/>
      <c r="F42520"/>
    </row>
    <row r="42521" spans="1:6" x14ac:dyDescent="0.25">
      <c r="A42521"/>
      <c r="B42521"/>
      <c r="C42521"/>
      <c r="E42521"/>
      <c r="F42521"/>
    </row>
    <row r="42522" spans="1:6" x14ac:dyDescent="0.25">
      <c r="A42522"/>
      <c r="B42522"/>
      <c r="C42522"/>
      <c r="E42522"/>
      <c r="F42522"/>
    </row>
    <row r="42523" spans="1:6" x14ac:dyDescent="0.25">
      <c r="A42523"/>
      <c r="B42523"/>
      <c r="C42523"/>
      <c r="E42523"/>
      <c r="F42523"/>
    </row>
    <row r="42524" spans="1:6" x14ac:dyDescent="0.25">
      <c r="A42524"/>
      <c r="B42524"/>
      <c r="C42524"/>
      <c r="E42524"/>
      <c r="F42524"/>
    </row>
    <row r="42525" spans="1:6" x14ac:dyDescent="0.25">
      <c r="A42525"/>
      <c r="B42525"/>
      <c r="C42525"/>
      <c r="E42525"/>
      <c r="F42525"/>
    </row>
    <row r="42526" spans="1:6" x14ac:dyDescent="0.25">
      <c r="A42526"/>
      <c r="B42526"/>
      <c r="C42526"/>
      <c r="E42526"/>
      <c r="F42526"/>
    </row>
    <row r="42527" spans="1:6" x14ac:dyDescent="0.25">
      <c r="A42527"/>
      <c r="B42527"/>
      <c r="C42527"/>
      <c r="E42527"/>
      <c r="F42527"/>
    </row>
    <row r="42528" spans="1:6" x14ac:dyDescent="0.25">
      <c r="A42528"/>
      <c r="B42528"/>
      <c r="C42528"/>
      <c r="E42528"/>
      <c r="F42528"/>
    </row>
    <row r="42529" spans="1:6" x14ac:dyDescent="0.25">
      <c r="A42529"/>
      <c r="B42529"/>
      <c r="C42529"/>
      <c r="E42529"/>
      <c r="F42529"/>
    </row>
    <row r="42530" spans="1:6" x14ac:dyDescent="0.25">
      <c r="A42530"/>
      <c r="B42530"/>
      <c r="C42530"/>
      <c r="E42530"/>
      <c r="F42530"/>
    </row>
    <row r="42531" spans="1:6" x14ac:dyDescent="0.25">
      <c r="A42531"/>
      <c r="B42531"/>
      <c r="C42531"/>
      <c r="E42531"/>
      <c r="F42531"/>
    </row>
    <row r="42532" spans="1:6" x14ac:dyDescent="0.25">
      <c r="A42532"/>
      <c r="B42532"/>
      <c r="C42532"/>
      <c r="E42532"/>
      <c r="F42532"/>
    </row>
    <row r="42533" spans="1:6" x14ac:dyDescent="0.25">
      <c r="A42533"/>
      <c r="B42533"/>
      <c r="C42533"/>
      <c r="E42533"/>
      <c r="F42533"/>
    </row>
    <row r="42534" spans="1:6" x14ac:dyDescent="0.25">
      <c r="A42534"/>
      <c r="B42534"/>
      <c r="C42534"/>
      <c r="E42534"/>
      <c r="F42534"/>
    </row>
    <row r="42535" spans="1:6" x14ac:dyDescent="0.25">
      <c r="A42535"/>
      <c r="B42535"/>
      <c r="C42535"/>
      <c r="E42535"/>
      <c r="F42535"/>
    </row>
    <row r="42536" spans="1:6" x14ac:dyDescent="0.25">
      <c r="A42536"/>
      <c r="B42536"/>
      <c r="C42536"/>
      <c r="E42536"/>
      <c r="F42536"/>
    </row>
    <row r="42537" spans="1:6" x14ac:dyDescent="0.25">
      <c r="A42537"/>
      <c r="B42537"/>
      <c r="C42537"/>
      <c r="E42537"/>
      <c r="F42537"/>
    </row>
    <row r="42538" spans="1:6" x14ac:dyDescent="0.25">
      <c r="A42538"/>
      <c r="B42538"/>
      <c r="C42538"/>
      <c r="E42538"/>
      <c r="F42538"/>
    </row>
    <row r="42539" spans="1:6" x14ac:dyDescent="0.25">
      <c r="A42539"/>
      <c r="B42539"/>
      <c r="C42539"/>
      <c r="E42539"/>
      <c r="F42539"/>
    </row>
    <row r="42540" spans="1:6" x14ac:dyDescent="0.25">
      <c r="A42540"/>
      <c r="B42540"/>
      <c r="C42540"/>
      <c r="E42540"/>
      <c r="F42540"/>
    </row>
    <row r="42541" spans="1:6" x14ac:dyDescent="0.25">
      <c r="A42541"/>
      <c r="B42541"/>
      <c r="C42541"/>
      <c r="E42541"/>
      <c r="F42541"/>
    </row>
    <row r="42542" spans="1:6" x14ac:dyDescent="0.25">
      <c r="A42542"/>
      <c r="B42542"/>
      <c r="C42542"/>
      <c r="E42542"/>
      <c r="F42542"/>
    </row>
    <row r="42543" spans="1:6" x14ac:dyDescent="0.25">
      <c r="A42543"/>
      <c r="B42543"/>
      <c r="C42543"/>
      <c r="E42543"/>
      <c r="F42543"/>
    </row>
    <row r="42544" spans="1:6" x14ac:dyDescent="0.25">
      <c r="A42544"/>
      <c r="B42544"/>
      <c r="C42544"/>
      <c r="E42544"/>
      <c r="F42544"/>
    </row>
    <row r="42545" spans="1:6" x14ac:dyDescent="0.25">
      <c r="A42545"/>
      <c r="B42545"/>
      <c r="C42545"/>
      <c r="E42545"/>
      <c r="F42545"/>
    </row>
    <row r="42546" spans="1:6" x14ac:dyDescent="0.25">
      <c r="A42546"/>
      <c r="B42546"/>
      <c r="C42546"/>
      <c r="E42546"/>
      <c r="F42546"/>
    </row>
    <row r="42547" spans="1:6" x14ac:dyDescent="0.25">
      <c r="A42547"/>
      <c r="B42547"/>
      <c r="C42547"/>
      <c r="E42547"/>
      <c r="F42547"/>
    </row>
    <row r="42548" spans="1:6" x14ac:dyDescent="0.25">
      <c r="A42548"/>
      <c r="B42548"/>
      <c r="C42548"/>
      <c r="E42548"/>
      <c r="F42548"/>
    </row>
    <row r="42549" spans="1:6" x14ac:dyDescent="0.25">
      <c r="A42549"/>
      <c r="B42549"/>
      <c r="C42549"/>
      <c r="E42549"/>
      <c r="F42549"/>
    </row>
    <row r="42550" spans="1:6" x14ac:dyDescent="0.25">
      <c r="A42550"/>
      <c r="B42550"/>
      <c r="C42550"/>
      <c r="E42550"/>
      <c r="F42550"/>
    </row>
    <row r="42551" spans="1:6" x14ac:dyDescent="0.25">
      <c r="A42551"/>
      <c r="B42551"/>
      <c r="C42551"/>
      <c r="E42551"/>
      <c r="F42551"/>
    </row>
    <row r="42552" spans="1:6" x14ac:dyDescent="0.25">
      <c r="A42552"/>
      <c r="B42552"/>
      <c r="C42552"/>
      <c r="E42552"/>
      <c r="F42552"/>
    </row>
    <row r="42553" spans="1:6" x14ac:dyDescent="0.25">
      <c r="A42553"/>
      <c r="B42553"/>
      <c r="C42553"/>
      <c r="E42553"/>
      <c r="F42553"/>
    </row>
    <row r="42554" spans="1:6" x14ac:dyDescent="0.25">
      <c r="A42554"/>
      <c r="B42554"/>
      <c r="C42554"/>
      <c r="E42554"/>
      <c r="F42554"/>
    </row>
    <row r="42555" spans="1:6" x14ac:dyDescent="0.25">
      <c r="A42555"/>
      <c r="B42555"/>
      <c r="C42555"/>
      <c r="E42555"/>
      <c r="F42555"/>
    </row>
    <row r="42556" spans="1:6" x14ac:dyDescent="0.25">
      <c r="A42556"/>
      <c r="B42556"/>
      <c r="C42556"/>
      <c r="E42556"/>
      <c r="F42556"/>
    </row>
    <row r="42557" spans="1:6" x14ac:dyDescent="0.25">
      <c r="A42557"/>
      <c r="B42557"/>
      <c r="C42557"/>
      <c r="E42557"/>
      <c r="F42557"/>
    </row>
    <row r="42558" spans="1:6" x14ac:dyDescent="0.25">
      <c r="A42558"/>
      <c r="B42558"/>
      <c r="C42558"/>
      <c r="E42558"/>
      <c r="F42558"/>
    </row>
    <row r="42559" spans="1:6" x14ac:dyDescent="0.25">
      <c r="A42559"/>
      <c r="B42559"/>
      <c r="C42559"/>
      <c r="E42559"/>
      <c r="F42559"/>
    </row>
    <row r="42560" spans="1:6" x14ac:dyDescent="0.25">
      <c r="A42560"/>
      <c r="B42560"/>
      <c r="C42560"/>
      <c r="E42560"/>
      <c r="F42560"/>
    </row>
    <row r="42561" spans="1:6" x14ac:dyDescent="0.25">
      <c r="A42561"/>
      <c r="B42561"/>
      <c r="C42561"/>
      <c r="E42561"/>
      <c r="F42561"/>
    </row>
    <row r="42562" spans="1:6" x14ac:dyDescent="0.25">
      <c r="A42562"/>
      <c r="B42562"/>
      <c r="C42562"/>
      <c r="E42562"/>
      <c r="F42562"/>
    </row>
    <row r="42563" spans="1:6" x14ac:dyDescent="0.25">
      <c r="A42563"/>
      <c r="B42563"/>
      <c r="C42563"/>
      <c r="E42563"/>
      <c r="F42563"/>
    </row>
    <row r="42564" spans="1:6" x14ac:dyDescent="0.25">
      <c r="A42564"/>
      <c r="B42564"/>
      <c r="C42564"/>
      <c r="E42564"/>
      <c r="F42564"/>
    </row>
    <row r="42565" spans="1:6" x14ac:dyDescent="0.25">
      <c r="A42565"/>
      <c r="B42565"/>
      <c r="C42565"/>
      <c r="E42565"/>
      <c r="F42565"/>
    </row>
    <row r="42566" spans="1:6" x14ac:dyDescent="0.25">
      <c r="A42566"/>
      <c r="B42566"/>
      <c r="C42566"/>
      <c r="E42566"/>
      <c r="F42566"/>
    </row>
    <row r="42567" spans="1:6" x14ac:dyDescent="0.25">
      <c r="A42567"/>
      <c r="B42567"/>
      <c r="C42567"/>
      <c r="E42567"/>
      <c r="F42567"/>
    </row>
    <row r="42568" spans="1:6" x14ac:dyDescent="0.25">
      <c r="A42568"/>
      <c r="B42568"/>
      <c r="C42568"/>
      <c r="E42568"/>
      <c r="F42568"/>
    </row>
    <row r="42569" spans="1:6" x14ac:dyDescent="0.25">
      <c r="A42569"/>
      <c r="B42569"/>
      <c r="C42569"/>
      <c r="E42569"/>
      <c r="F42569"/>
    </row>
    <row r="42570" spans="1:6" x14ac:dyDescent="0.25">
      <c r="A42570"/>
      <c r="B42570"/>
      <c r="C42570"/>
      <c r="E42570"/>
      <c r="F42570"/>
    </row>
    <row r="42571" spans="1:6" x14ac:dyDescent="0.25">
      <c r="A42571"/>
      <c r="B42571"/>
      <c r="C42571"/>
      <c r="E42571"/>
      <c r="F42571"/>
    </row>
    <row r="42572" spans="1:6" x14ac:dyDescent="0.25">
      <c r="A42572"/>
      <c r="B42572"/>
      <c r="C42572"/>
      <c r="E42572"/>
      <c r="F42572"/>
    </row>
    <row r="42573" spans="1:6" x14ac:dyDescent="0.25">
      <c r="A42573"/>
      <c r="B42573"/>
      <c r="C42573"/>
      <c r="E42573"/>
      <c r="F42573"/>
    </row>
    <row r="42574" spans="1:6" x14ac:dyDescent="0.25">
      <c r="A42574"/>
      <c r="B42574"/>
      <c r="C42574"/>
      <c r="E42574"/>
      <c r="F42574"/>
    </row>
    <row r="42575" spans="1:6" x14ac:dyDescent="0.25">
      <c r="A42575"/>
      <c r="B42575"/>
      <c r="C42575"/>
      <c r="E42575"/>
      <c r="F42575"/>
    </row>
    <row r="42576" spans="1:6" x14ac:dyDescent="0.25">
      <c r="A42576"/>
      <c r="B42576"/>
      <c r="C42576"/>
      <c r="E42576"/>
      <c r="F42576"/>
    </row>
    <row r="42577" spans="1:6" x14ac:dyDescent="0.25">
      <c r="A42577"/>
      <c r="B42577"/>
      <c r="C42577"/>
      <c r="E42577"/>
      <c r="F42577"/>
    </row>
    <row r="42578" spans="1:6" x14ac:dyDescent="0.25">
      <c r="A42578"/>
      <c r="B42578"/>
      <c r="C42578"/>
      <c r="E42578"/>
      <c r="F42578"/>
    </row>
    <row r="42579" spans="1:6" x14ac:dyDescent="0.25">
      <c r="A42579"/>
      <c r="B42579"/>
      <c r="C42579"/>
      <c r="E42579"/>
      <c r="F42579"/>
    </row>
    <row r="42580" spans="1:6" x14ac:dyDescent="0.25">
      <c r="A42580"/>
      <c r="B42580"/>
      <c r="C42580"/>
      <c r="E42580"/>
      <c r="F42580"/>
    </row>
    <row r="42581" spans="1:6" x14ac:dyDescent="0.25">
      <c r="A42581"/>
      <c r="B42581"/>
      <c r="C42581"/>
      <c r="E42581"/>
      <c r="F42581"/>
    </row>
    <row r="42582" spans="1:6" x14ac:dyDescent="0.25">
      <c r="A42582"/>
      <c r="B42582"/>
      <c r="C42582"/>
      <c r="E42582"/>
      <c r="F42582"/>
    </row>
    <row r="42583" spans="1:6" x14ac:dyDescent="0.25">
      <c r="A42583"/>
      <c r="B42583"/>
      <c r="C42583"/>
      <c r="E42583"/>
      <c r="F42583"/>
    </row>
    <row r="42584" spans="1:6" x14ac:dyDescent="0.25">
      <c r="A42584"/>
      <c r="B42584"/>
      <c r="C42584"/>
      <c r="E42584"/>
      <c r="F42584"/>
    </row>
    <row r="42585" spans="1:6" x14ac:dyDescent="0.25">
      <c r="A42585"/>
      <c r="B42585"/>
      <c r="C42585"/>
      <c r="E42585"/>
      <c r="F42585"/>
    </row>
    <row r="42586" spans="1:6" x14ac:dyDescent="0.25">
      <c r="A42586"/>
      <c r="B42586"/>
      <c r="C42586"/>
      <c r="E42586"/>
      <c r="F42586"/>
    </row>
    <row r="42587" spans="1:6" x14ac:dyDescent="0.25">
      <c r="A42587"/>
      <c r="B42587"/>
      <c r="C42587"/>
      <c r="E42587"/>
      <c r="F42587"/>
    </row>
    <row r="42588" spans="1:6" x14ac:dyDescent="0.25">
      <c r="A42588"/>
      <c r="B42588"/>
      <c r="C42588"/>
      <c r="E42588"/>
      <c r="F42588"/>
    </row>
    <row r="42589" spans="1:6" x14ac:dyDescent="0.25">
      <c r="A42589"/>
      <c r="B42589"/>
      <c r="C42589"/>
      <c r="E42589"/>
      <c r="F42589"/>
    </row>
    <row r="42590" spans="1:6" x14ac:dyDescent="0.25">
      <c r="A42590"/>
      <c r="B42590"/>
      <c r="C42590"/>
      <c r="E42590"/>
      <c r="F42590"/>
    </row>
    <row r="42591" spans="1:6" x14ac:dyDescent="0.25">
      <c r="A42591"/>
      <c r="B42591"/>
      <c r="C42591"/>
      <c r="E42591"/>
      <c r="F42591"/>
    </row>
    <row r="42592" spans="1:6" x14ac:dyDescent="0.25">
      <c r="A42592"/>
      <c r="B42592"/>
      <c r="C42592"/>
      <c r="E42592"/>
      <c r="F42592"/>
    </row>
    <row r="42593" spans="1:6" x14ac:dyDescent="0.25">
      <c r="A42593"/>
      <c r="B42593"/>
      <c r="C42593"/>
      <c r="E42593"/>
      <c r="F42593"/>
    </row>
    <row r="42594" spans="1:6" x14ac:dyDescent="0.25">
      <c r="A42594"/>
      <c r="B42594"/>
      <c r="C42594"/>
      <c r="E42594"/>
      <c r="F42594"/>
    </row>
    <row r="42595" spans="1:6" x14ac:dyDescent="0.25">
      <c r="A42595"/>
      <c r="B42595"/>
      <c r="C42595"/>
      <c r="E42595"/>
      <c r="F42595"/>
    </row>
    <row r="42596" spans="1:6" x14ac:dyDescent="0.25">
      <c r="A42596"/>
      <c r="B42596"/>
      <c r="C42596"/>
      <c r="E42596"/>
      <c r="F42596"/>
    </row>
    <row r="42597" spans="1:6" x14ac:dyDescent="0.25">
      <c r="A42597"/>
      <c r="B42597"/>
      <c r="C42597"/>
      <c r="E42597"/>
      <c r="F42597"/>
    </row>
    <row r="42598" spans="1:6" x14ac:dyDescent="0.25">
      <c r="A42598"/>
      <c r="B42598"/>
      <c r="C42598"/>
      <c r="E42598"/>
      <c r="F42598"/>
    </row>
    <row r="42599" spans="1:6" x14ac:dyDescent="0.25">
      <c r="A42599"/>
      <c r="B42599"/>
      <c r="C42599"/>
      <c r="E42599"/>
      <c r="F42599"/>
    </row>
    <row r="42600" spans="1:6" x14ac:dyDescent="0.25">
      <c r="A42600"/>
      <c r="B42600"/>
      <c r="C42600"/>
      <c r="E42600"/>
      <c r="F42600"/>
    </row>
    <row r="42601" spans="1:6" x14ac:dyDescent="0.25">
      <c r="A42601"/>
      <c r="B42601"/>
      <c r="C42601"/>
      <c r="E42601"/>
      <c r="F42601"/>
    </row>
    <row r="42602" spans="1:6" x14ac:dyDescent="0.25">
      <c r="A42602"/>
      <c r="B42602"/>
      <c r="C42602"/>
      <c r="E42602"/>
      <c r="F42602"/>
    </row>
    <row r="42603" spans="1:6" x14ac:dyDescent="0.25">
      <c r="A42603"/>
      <c r="B42603"/>
      <c r="C42603"/>
      <c r="E42603"/>
      <c r="F42603"/>
    </row>
    <row r="42604" spans="1:6" x14ac:dyDescent="0.25">
      <c r="A42604"/>
      <c r="B42604"/>
      <c r="C42604"/>
      <c r="E42604"/>
      <c r="F42604"/>
    </row>
    <row r="42605" spans="1:6" x14ac:dyDescent="0.25">
      <c r="A42605"/>
      <c r="B42605"/>
      <c r="C42605"/>
      <c r="E42605"/>
      <c r="F42605"/>
    </row>
    <row r="42606" spans="1:6" x14ac:dyDescent="0.25">
      <c r="A42606"/>
      <c r="B42606"/>
      <c r="C42606"/>
      <c r="E42606"/>
      <c r="F42606"/>
    </row>
    <row r="42607" spans="1:6" x14ac:dyDescent="0.25">
      <c r="A42607"/>
      <c r="B42607"/>
      <c r="C42607"/>
      <c r="E42607"/>
      <c r="F42607"/>
    </row>
    <row r="42608" spans="1:6" x14ac:dyDescent="0.25">
      <c r="A42608"/>
      <c r="B42608"/>
      <c r="C42608"/>
      <c r="E42608"/>
      <c r="F42608"/>
    </row>
    <row r="42609" spans="1:6" x14ac:dyDescent="0.25">
      <c r="A42609"/>
      <c r="B42609"/>
      <c r="C42609"/>
      <c r="E42609"/>
      <c r="F42609"/>
    </row>
    <row r="42610" spans="1:6" x14ac:dyDescent="0.25">
      <c r="A42610"/>
      <c r="B42610"/>
      <c r="C42610"/>
      <c r="E42610"/>
      <c r="F42610"/>
    </row>
    <row r="42611" spans="1:6" x14ac:dyDescent="0.25">
      <c r="A42611"/>
      <c r="B42611"/>
      <c r="C42611"/>
      <c r="E42611"/>
      <c r="F42611"/>
    </row>
    <row r="42612" spans="1:6" x14ac:dyDescent="0.25">
      <c r="A42612"/>
      <c r="B42612"/>
      <c r="C42612"/>
      <c r="E42612"/>
      <c r="F42612"/>
    </row>
    <row r="42613" spans="1:6" x14ac:dyDescent="0.25">
      <c r="A42613"/>
      <c r="B42613"/>
      <c r="C42613"/>
      <c r="E42613"/>
      <c r="F42613"/>
    </row>
    <row r="42614" spans="1:6" x14ac:dyDescent="0.25">
      <c r="A42614"/>
      <c r="B42614"/>
      <c r="C42614"/>
      <c r="E42614"/>
      <c r="F42614"/>
    </row>
    <row r="42615" spans="1:6" x14ac:dyDescent="0.25">
      <c r="A42615"/>
      <c r="B42615"/>
      <c r="C42615"/>
      <c r="E42615"/>
      <c r="F42615"/>
    </row>
    <row r="42616" spans="1:6" x14ac:dyDescent="0.25">
      <c r="A42616"/>
      <c r="B42616"/>
      <c r="C42616"/>
      <c r="E42616"/>
      <c r="F42616"/>
    </row>
    <row r="42617" spans="1:6" x14ac:dyDescent="0.25">
      <c r="A42617"/>
      <c r="B42617"/>
      <c r="C42617"/>
      <c r="E42617"/>
      <c r="F42617"/>
    </row>
    <row r="42618" spans="1:6" x14ac:dyDescent="0.25">
      <c r="A42618"/>
      <c r="B42618"/>
      <c r="C42618"/>
      <c r="E42618"/>
      <c r="F42618"/>
    </row>
    <row r="42619" spans="1:6" x14ac:dyDescent="0.25">
      <c r="A42619"/>
      <c r="B42619"/>
      <c r="C42619"/>
      <c r="E42619"/>
      <c r="F42619"/>
    </row>
    <row r="42620" spans="1:6" x14ac:dyDescent="0.25">
      <c r="A42620"/>
      <c r="B42620"/>
      <c r="C42620"/>
      <c r="E42620"/>
      <c r="F42620"/>
    </row>
    <row r="42621" spans="1:6" x14ac:dyDescent="0.25">
      <c r="A42621"/>
      <c r="B42621"/>
      <c r="C42621"/>
      <c r="E42621"/>
      <c r="F42621"/>
    </row>
    <row r="42622" spans="1:6" x14ac:dyDescent="0.25">
      <c r="A42622"/>
      <c r="B42622"/>
      <c r="C42622"/>
      <c r="E42622"/>
      <c r="F42622"/>
    </row>
    <row r="42623" spans="1:6" x14ac:dyDescent="0.25">
      <c r="A42623"/>
      <c r="B42623"/>
      <c r="C42623"/>
      <c r="E42623"/>
      <c r="F42623"/>
    </row>
    <row r="42624" spans="1:6" x14ac:dyDescent="0.25">
      <c r="A42624"/>
      <c r="B42624"/>
      <c r="C42624"/>
      <c r="E42624"/>
      <c r="F42624"/>
    </row>
    <row r="42625" spans="1:6" x14ac:dyDescent="0.25">
      <c r="A42625"/>
      <c r="B42625"/>
      <c r="C42625"/>
      <c r="E42625"/>
      <c r="F42625"/>
    </row>
    <row r="42626" spans="1:6" x14ac:dyDescent="0.25">
      <c r="A42626"/>
      <c r="B42626"/>
      <c r="C42626"/>
      <c r="E42626"/>
      <c r="F42626"/>
    </row>
    <row r="42627" spans="1:6" x14ac:dyDescent="0.25">
      <c r="A42627"/>
      <c r="B42627"/>
      <c r="C42627"/>
      <c r="E42627"/>
      <c r="F42627"/>
    </row>
    <row r="42628" spans="1:6" x14ac:dyDescent="0.25">
      <c r="A42628"/>
      <c r="B42628"/>
      <c r="C42628"/>
      <c r="E42628"/>
      <c r="F42628"/>
    </row>
    <row r="42629" spans="1:6" x14ac:dyDescent="0.25">
      <c r="A42629"/>
      <c r="B42629"/>
      <c r="C42629"/>
      <c r="E42629"/>
      <c r="F42629"/>
    </row>
    <row r="42630" spans="1:6" x14ac:dyDescent="0.25">
      <c r="A42630"/>
      <c r="B42630"/>
      <c r="C42630"/>
      <c r="E42630"/>
      <c r="F42630"/>
    </row>
    <row r="42631" spans="1:6" x14ac:dyDescent="0.25">
      <c r="A42631"/>
      <c r="B42631"/>
      <c r="C42631"/>
      <c r="E42631"/>
      <c r="F42631"/>
    </row>
    <row r="42632" spans="1:6" x14ac:dyDescent="0.25">
      <c r="A42632"/>
      <c r="B42632"/>
      <c r="C42632"/>
      <c r="E42632"/>
      <c r="F42632"/>
    </row>
    <row r="42633" spans="1:6" x14ac:dyDescent="0.25">
      <c r="A42633"/>
      <c r="B42633"/>
      <c r="C42633"/>
      <c r="E42633"/>
      <c r="F42633"/>
    </row>
    <row r="42634" spans="1:6" x14ac:dyDescent="0.25">
      <c r="A42634"/>
      <c r="B42634"/>
      <c r="C42634"/>
      <c r="E42634"/>
      <c r="F42634"/>
    </row>
    <row r="42635" spans="1:6" x14ac:dyDescent="0.25">
      <c r="A42635"/>
      <c r="B42635"/>
      <c r="C42635"/>
      <c r="E42635"/>
      <c r="F42635"/>
    </row>
    <row r="42636" spans="1:6" x14ac:dyDescent="0.25">
      <c r="A42636"/>
      <c r="B42636"/>
      <c r="C42636"/>
      <c r="E42636"/>
      <c r="F42636"/>
    </row>
    <row r="42637" spans="1:6" x14ac:dyDescent="0.25">
      <c r="A42637"/>
      <c r="B42637"/>
      <c r="C42637"/>
      <c r="E42637"/>
      <c r="F42637"/>
    </row>
    <row r="42638" spans="1:6" x14ac:dyDescent="0.25">
      <c r="A42638"/>
      <c r="B42638"/>
      <c r="C42638"/>
      <c r="E42638"/>
      <c r="F42638"/>
    </row>
    <row r="42639" spans="1:6" x14ac:dyDescent="0.25">
      <c r="A42639"/>
      <c r="B42639"/>
      <c r="C42639"/>
      <c r="E42639"/>
      <c r="F42639"/>
    </row>
    <row r="42640" spans="1:6" x14ac:dyDescent="0.25">
      <c r="A42640"/>
      <c r="B42640"/>
      <c r="C42640"/>
      <c r="E42640"/>
      <c r="F42640"/>
    </row>
    <row r="42641" spans="1:6" x14ac:dyDescent="0.25">
      <c r="A42641"/>
      <c r="B42641"/>
      <c r="C42641"/>
      <c r="E42641"/>
      <c r="F42641"/>
    </row>
    <row r="42642" spans="1:6" x14ac:dyDescent="0.25">
      <c r="A42642"/>
      <c r="B42642"/>
      <c r="C42642"/>
      <c r="E42642"/>
      <c r="F42642"/>
    </row>
    <row r="42643" spans="1:6" x14ac:dyDescent="0.25">
      <c r="A42643"/>
      <c r="B42643"/>
      <c r="C42643"/>
      <c r="E42643"/>
      <c r="F42643"/>
    </row>
    <row r="42644" spans="1:6" x14ac:dyDescent="0.25">
      <c r="A42644"/>
      <c r="B42644"/>
      <c r="C42644"/>
      <c r="E42644"/>
      <c r="F42644"/>
    </row>
    <row r="42645" spans="1:6" x14ac:dyDescent="0.25">
      <c r="A42645"/>
      <c r="B42645"/>
      <c r="C42645"/>
      <c r="E42645"/>
      <c r="F42645"/>
    </row>
    <row r="42646" spans="1:6" x14ac:dyDescent="0.25">
      <c r="A42646"/>
      <c r="B42646"/>
      <c r="C42646"/>
      <c r="E42646"/>
      <c r="F42646"/>
    </row>
    <row r="42647" spans="1:6" x14ac:dyDescent="0.25">
      <c r="A42647"/>
      <c r="B42647"/>
      <c r="C42647"/>
      <c r="E42647"/>
      <c r="F42647"/>
    </row>
    <row r="42648" spans="1:6" x14ac:dyDescent="0.25">
      <c r="A42648"/>
      <c r="B42648"/>
      <c r="C42648"/>
      <c r="E42648"/>
      <c r="F42648"/>
    </row>
    <row r="42649" spans="1:6" x14ac:dyDescent="0.25">
      <c r="A42649"/>
      <c r="B42649"/>
      <c r="C42649"/>
      <c r="E42649"/>
      <c r="F42649"/>
    </row>
    <row r="42650" spans="1:6" x14ac:dyDescent="0.25">
      <c r="A42650"/>
      <c r="B42650"/>
      <c r="C42650"/>
      <c r="E42650"/>
      <c r="F42650"/>
    </row>
    <row r="42651" spans="1:6" x14ac:dyDescent="0.25">
      <c r="A42651"/>
      <c r="B42651"/>
      <c r="C42651"/>
      <c r="E42651"/>
      <c r="F42651"/>
    </row>
    <row r="42652" spans="1:6" x14ac:dyDescent="0.25">
      <c r="A42652"/>
      <c r="B42652"/>
      <c r="C42652"/>
      <c r="E42652"/>
      <c r="F42652"/>
    </row>
    <row r="42653" spans="1:6" x14ac:dyDescent="0.25">
      <c r="A42653"/>
      <c r="B42653"/>
      <c r="C42653"/>
      <c r="E42653"/>
      <c r="F42653"/>
    </row>
    <row r="42654" spans="1:6" x14ac:dyDescent="0.25">
      <c r="A42654"/>
      <c r="B42654"/>
      <c r="C42654"/>
      <c r="E42654"/>
      <c r="F42654"/>
    </row>
    <row r="42655" spans="1:6" x14ac:dyDescent="0.25">
      <c r="A42655"/>
      <c r="B42655"/>
      <c r="C42655"/>
      <c r="E42655"/>
      <c r="F42655"/>
    </row>
    <row r="42656" spans="1:6" x14ac:dyDescent="0.25">
      <c r="A42656"/>
      <c r="B42656"/>
      <c r="C42656"/>
      <c r="E42656"/>
      <c r="F42656"/>
    </row>
    <row r="42657" spans="1:6" x14ac:dyDescent="0.25">
      <c r="A42657"/>
      <c r="B42657"/>
      <c r="C42657"/>
      <c r="E42657"/>
      <c r="F42657"/>
    </row>
    <row r="42658" spans="1:6" x14ac:dyDescent="0.25">
      <c r="A42658"/>
      <c r="B42658"/>
      <c r="C42658"/>
      <c r="E42658"/>
      <c r="F42658"/>
    </row>
    <row r="42659" spans="1:6" x14ac:dyDescent="0.25">
      <c r="A42659"/>
      <c r="B42659"/>
      <c r="C42659"/>
      <c r="E42659"/>
      <c r="F42659"/>
    </row>
    <row r="42660" spans="1:6" x14ac:dyDescent="0.25">
      <c r="A42660"/>
      <c r="B42660"/>
      <c r="C42660"/>
      <c r="E42660"/>
      <c r="F42660"/>
    </row>
    <row r="42661" spans="1:6" x14ac:dyDescent="0.25">
      <c r="A42661"/>
      <c r="B42661"/>
      <c r="C42661"/>
      <c r="E42661"/>
      <c r="F42661"/>
    </row>
    <row r="42662" spans="1:6" x14ac:dyDescent="0.25">
      <c r="A42662"/>
      <c r="B42662"/>
      <c r="C42662"/>
      <c r="E42662"/>
      <c r="F42662"/>
    </row>
    <row r="42663" spans="1:6" x14ac:dyDescent="0.25">
      <c r="A42663"/>
      <c r="B42663"/>
      <c r="C42663"/>
      <c r="E42663"/>
      <c r="F42663"/>
    </row>
    <row r="42664" spans="1:6" x14ac:dyDescent="0.25">
      <c r="A42664"/>
      <c r="B42664"/>
      <c r="C42664"/>
      <c r="E42664"/>
      <c r="F42664"/>
    </row>
    <row r="42665" spans="1:6" x14ac:dyDescent="0.25">
      <c r="A42665"/>
      <c r="B42665"/>
      <c r="C42665"/>
      <c r="E42665"/>
      <c r="F42665"/>
    </row>
    <row r="42666" spans="1:6" x14ac:dyDescent="0.25">
      <c r="A42666"/>
      <c r="B42666"/>
      <c r="C42666"/>
      <c r="E42666"/>
      <c r="F42666"/>
    </row>
    <row r="42667" spans="1:6" x14ac:dyDescent="0.25">
      <c r="A42667"/>
      <c r="B42667"/>
      <c r="C42667"/>
      <c r="E42667"/>
      <c r="F42667"/>
    </row>
    <row r="42668" spans="1:6" x14ac:dyDescent="0.25">
      <c r="A42668"/>
      <c r="B42668"/>
      <c r="C42668"/>
      <c r="E42668"/>
      <c r="F42668"/>
    </row>
    <row r="42669" spans="1:6" x14ac:dyDescent="0.25">
      <c r="A42669"/>
      <c r="B42669"/>
      <c r="C42669"/>
      <c r="E42669"/>
      <c r="F42669"/>
    </row>
    <row r="42670" spans="1:6" x14ac:dyDescent="0.25">
      <c r="A42670"/>
      <c r="B42670"/>
      <c r="C42670"/>
      <c r="E42670"/>
      <c r="F42670"/>
    </row>
    <row r="42671" spans="1:6" x14ac:dyDescent="0.25">
      <c r="A42671"/>
      <c r="B42671"/>
      <c r="C42671"/>
      <c r="E42671"/>
      <c r="F42671"/>
    </row>
    <row r="42672" spans="1:6" x14ac:dyDescent="0.25">
      <c r="A42672"/>
      <c r="B42672"/>
      <c r="C42672"/>
      <c r="E42672"/>
      <c r="F42672"/>
    </row>
    <row r="42673" spans="1:6" x14ac:dyDescent="0.25">
      <c r="A42673"/>
      <c r="B42673"/>
      <c r="C42673"/>
      <c r="E42673"/>
      <c r="F42673"/>
    </row>
    <row r="42674" spans="1:6" x14ac:dyDescent="0.25">
      <c r="A42674"/>
      <c r="B42674"/>
      <c r="C42674"/>
      <c r="E42674"/>
      <c r="F42674"/>
    </row>
    <row r="42675" spans="1:6" x14ac:dyDescent="0.25">
      <c r="A42675"/>
      <c r="B42675"/>
      <c r="C42675"/>
      <c r="E42675"/>
      <c r="F42675"/>
    </row>
    <row r="42676" spans="1:6" x14ac:dyDescent="0.25">
      <c r="A42676"/>
      <c r="B42676"/>
      <c r="C42676"/>
      <c r="E42676"/>
      <c r="F42676"/>
    </row>
    <row r="42677" spans="1:6" x14ac:dyDescent="0.25">
      <c r="A42677"/>
      <c r="B42677"/>
      <c r="C42677"/>
      <c r="E42677"/>
      <c r="F42677"/>
    </row>
    <row r="42678" spans="1:6" x14ac:dyDescent="0.25">
      <c r="A42678"/>
      <c r="B42678"/>
      <c r="C42678"/>
      <c r="E42678"/>
      <c r="F42678"/>
    </row>
    <row r="42679" spans="1:6" x14ac:dyDescent="0.25">
      <c r="A42679"/>
      <c r="B42679"/>
      <c r="C42679"/>
      <c r="E42679"/>
      <c r="F42679"/>
    </row>
    <row r="42680" spans="1:6" x14ac:dyDescent="0.25">
      <c r="A42680"/>
      <c r="B42680"/>
      <c r="C42680"/>
      <c r="E42680"/>
      <c r="F42680"/>
    </row>
    <row r="42681" spans="1:6" x14ac:dyDescent="0.25">
      <c r="A42681"/>
      <c r="B42681"/>
      <c r="C42681"/>
      <c r="E42681"/>
      <c r="F42681"/>
    </row>
    <row r="42682" spans="1:6" x14ac:dyDescent="0.25">
      <c r="A42682"/>
      <c r="B42682"/>
      <c r="C42682"/>
      <c r="E42682"/>
      <c r="F42682"/>
    </row>
    <row r="42683" spans="1:6" x14ac:dyDescent="0.25">
      <c r="A42683"/>
      <c r="B42683"/>
      <c r="C42683"/>
      <c r="E42683"/>
      <c r="F42683"/>
    </row>
    <row r="42684" spans="1:6" x14ac:dyDescent="0.25">
      <c r="A42684"/>
      <c r="B42684"/>
      <c r="C42684"/>
      <c r="E42684"/>
      <c r="F42684"/>
    </row>
    <row r="42685" spans="1:6" x14ac:dyDescent="0.25">
      <c r="A42685"/>
      <c r="B42685"/>
      <c r="C42685"/>
      <c r="E42685"/>
      <c r="F42685"/>
    </row>
    <row r="42686" spans="1:6" x14ac:dyDescent="0.25">
      <c r="A42686"/>
      <c r="B42686"/>
      <c r="C42686"/>
      <c r="E42686"/>
      <c r="F42686"/>
    </row>
    <row r="42687" spans="1:6" x14ac:dyDescent="0.25">
      <c r="A42687"/>
      <c r="B42687"/>
      <c r="C42687"/>
      <c r="E42687"/>
      <c r="F42687"/>
    </row>
    <row r="42688" spans="1:6" x14ac:dyDescent="0.25">
      <c r="A42688"/>
      <c r="B42688"/>
      <c r="C42688"/>
      <c r="E42688"/>
      <c r="F42688"/>
    </row>
    <row r="42689" spans="1:6" x14ac:dyDescent="0.25">
      <c r="A42689"/>
      <c r="B42689"/>
      <c r="C42689"/>
      <c r="E42689"/>
      <c r="F42689"/>
    </row>
    <row r="42690" spans="1:6" x14ac:dyDescent="0.25">
      <c r="A42690"/>
      <c r="B42690"/>
      <c r="C42690"/>
      <c r="E42690"/>
      <c r="F42690"/>
    </row>
    <row r="42691" spans="1:6" x14ac:dyDescent="0.25">
      <c r="A42691"/>
      <c r="B42691"/>
      <c r="C42691"/>
      <c r="E42691"/>
      <c r="F42691"/>
    </row>
    <row r="42692" spans="1:6" x14ac:dyDescent="0.25">
      <c r="A42692"/>
      <c r="B42692"/>
      <c r="C42692"/>
      <c r="E42692"/>
      <c r="F42692"/>
    </row>
    <row r="42693" spans="1:6" x14ac:dyDescent="0.25">
      <c r="A42693"/>
      <c r="B42693"/>
      <c r="C42693"/>
      <c r="E42693"/>
      <c r="F42693"/>
    </row>
    <row r="42694" spans="1:6" x14ac:dyDescent="0.25">
      <c r="A42694"/>
      <c r="B42694"/>
      <c r="C42694"/>
      <c r="E42694"/>
      <c r="F42694"/>
    </row>
    <row r="42695" spans="1:6" x14ac:dyDescent="0.25">
      <c r="A42695"/>
      <c r="B42695"/>
      <c r="C42695"/>
      <c r="E42695"/>
      <c r="F42695"/>
    </row>
    <row r="42696" spans="1:6" x14ac:dyDescent="0.25">
      <c r="A42696"/>
      <c r="B42696"/>
      <c r="C42696"/>
      <c r="E42696"/>
      <c r="F42696"/>
    </row>
    <row r="42697" spans="1:6" x14ac:dyDescent="0.25">
      <c r="A42697"/>
      <c r="B42697"/>
      <c r="C42697"/>
      <c r="E42697"/>
      <c r="F42697"/>
    </row>
    <row r="42698" spans="1:6" x14ac:dyDescent="0.25">
      <c r="A42698"/>
      <c r="B42698"/>
      <c r="C42698"/>
      <c r="E42698"/>
      <c r="F42698"/>
    </row>
    <row r="42699" spans="1:6" x14ac:dyDescent="0.25">
      <c r="A42699"/>
      <c r="B42699"/>
      <c r="C42699"/>
      <c r="E42699"/>
      <c r="F42699"/>
    </row>
    <row r="42700" spans="1:6" x14ac:dyDescent="0.25">
      <c r="A42700"/>
      <c r="B42700"/>
      <c r="C42700"/>
      <c r="E42700"/>
      <c r="F42700"/>
    </row>
    <row r="42701" spans="1:6" x14ac:dyDescent="0.25">
      <c r="A42701"/>
      <c r="B42701"/>
      <c r="C42701"/>
      <c r="E42701"/>
      <c r="F42701"/>
    </row>
    <row r="42702" spans="1:6" x14ac:dyDescent="0.25">
      <c r="A42702"/>
      <c r="B42702"/>
      <c r="C42702"/>
      <c r="E42702"/>
      <c r="F42702"/>
    </row>
    <row r="42703" spans="1:6" x14ac:dyDescent="0.25">
      <c r="A42703"/>
      <c r="B42703"/>
      <c r="C42703"/>
      <c r="E42703"/>
      <c r="F42703"/>
    </row>
    <row r="42704" spans="1:6" x14ac:dyDescent="0.25">
      <c r="A42704"/>
      <c r="B42704"/>
      <c r="C42704"/>
      <c r="E42704"/>
      <c r="F42704"/>
    </row>
    <row r="42705" spans="1:6" x14ac:dyDescent="0.25">
      <c r="A42705"/>
      <c r="B42705"/>
      <c r="C42705"/>
      <c r="E42705"/>
      <c r="F42705"/>
    </row>
    <row r="42706" spans="1:6" x14ac:dyDescent="0.25">
      <c r="A42706"/>
      <c r="B42706"/>
      <c r="C42706"/>
      <c r="E42706"/>
      <c r="F42706"/>
    </row>
    <row r="42707" spans="1:6" x14ac:dyDescent="0.25">
      <c r="A42707"/>
      <c r="B42707"/>
      <c r="C42707"/>
      <c r="E42707"/>
      <c r="F42707"/>
    </row>
    <row r="42708" spans="1:6" x14ac:dyDescent="0.25">
      <c r="A42708"/>
      <c r="B42708"/>
      <c r="C42708"/>
      <c r="E42708"/>
      <c r="F42708"/>
    </row>
    <row r="42709" spans="1:6" x14ac:dyDescent="0.25">
      <c r="A42709"/>
      <c r="B42709"/>
      <c r="C42709"/>
      <c r="E42709"/>
      <c r="F42709"/>
    </row>
    <row r="42710" spans="1:6" x14ac:dyDescent="0.25">
      <c r="A42710"/>
      <c r="B42710"/>
      <c r="C42710"/>
      <c r="E42710"/>
      <c r="F42710"/>
    </row>
    <row r="42711" spans="1:6" x14ac:dyDescent="0.25">
      <c r="A42711"/>
      <c r="B42711"/>
      <c r="C42711"/>
      <c r="E42711"/>
      <c r="F42711"/>
    </row>
    <row r="42712" spans="1:6" x14ac:dyDescent="0.25">
      <c r="A42712"/>
      <c r="B42712"/>
      <c r="C42712"/>
      <c r="E42712"/>
      <c r="F42712"/>
    </row>
    <row r="42713" spans="1:6" x14ac:dyDescent="0.25">
      <c r="A42713"/>
      <c r="B42713"/>
      <c r="C42713"/>
      <c r="E42713"/>
      <c r="F42713"/>
    </row>
    <row r="42714" spans="1:6" x14ac:dyDescent="0.25">
      <c r="A42714"/>
      <c r="B42714"/>
      <c r="C42714"/>
      <c r="E42714"/>
      <c r="F42714"/>
    </row>
    <row r="42715" spans="1:6" x14ac:dyDescent="0.25">
      <c r="A42715"/>
      <c r="B42715"/>
      <c r="C42715"/>
      <c r="E42715"/>
      <c r="F42715"/>
    </row>
    <row r="42716" spans="1:6" x14ac:dyDescent="0.25">
      <c r="A42716"/>
      <c r="B42716"/>
      <c r="C42716"/>
      <c r="E42716"/>
      <c r="F42716"/>
    </row>
    <row r="42717" spans="1:6" x14ac:dyDescent="0.25">
      <c r="A42717"/>
      <c r="B42717"/>
      <c r="C42717"/>
      <c r="E42717"/>
      <c r="F42717"/>
    </row>
    <row r="42718" spans="1:6" x14ac:dyDescent="0.25">
      <c r="A42718"/>
      <c r="B42718"/>
      <c r="C42718"/>
      <c r="E42718"/>
      <c r="F42718"/>
    </row>
    <row r="42719" spans="1:6" x14ac:dyDescent="0.25">
      <c r="A42719"/>
      <c r="B42719"/>
      <c r="C42719"/>
      <c r="E42719"/>
      <c r="F42719"/>
    </row>
    <row r="42720" spans="1:6" x14ac:dyDescent="0.25">
      <c r="A42720"/>
      <c r="B42720"/>
      <c r="C42720"/>
      <c r="E42720"/>
      <c r="F42720"/>
    </row>
    <row r="42721" spans="1:6" x14ac:dyDescent="0.25">
      <c r="A42721"/>
      <c r="B42721"/>
      <c r="C42721"/>
      <c r="E42721"/>
      <c r="F42721"/>
    </row>
    <row r="42722" spans="1:6" x14ac:dyDescent="0.25">
      <c r="A42722"/>
      <c r="B42722"/>
      <c r="C42722"/>
      <c r="E42722"/>
      <c r="F42722"/>
    </row>
    <row r="42723" spans="1:6" x14ac:dyDescent="0.25">
      <c r="A42723"/>
      <c r="B42723"/>
      <c r="C42723"/>
      <c r="E42723"/>
      <c r="F42723"/>
    </row>
    <row r="42724" spans="1:6" x14ac:dyDescent="0.25">
      <c r="A42724"/>
      <c r="B42724"/>
      <c r="C42724"/>
      <c r="E42724"/>
      <c r="F42724"/>
    </row>
    <row r="42725" spans="1:6" x14ac:dyDescent="0.25">
      <c r="A42725"/>
      <c r="B42725"/>
      <c r="C42725"/>
      <c r="E42725"/>
      <c r="F42725"/>
    </row>
    <row r="42726" spans="1:6" x14ac:dyDescent="0.25">
      <c r="A42726"/>
      <c r="B42726"/>
      <c r="C42726"/>
      <c r="E42726"/>
      <c r="F42726"/>
    </row>
    <row r="42727" spans="1:6" x14ac:dyDescent="0.25">
      <c r="A42727"/>
      <c r="B42727"/>
      <c r="C42727"/>
      <c r="E42727"/>
      <c r="F42727"/>
    </row>
    <row r="42728" spans="1:6" x14ac:dyDescent="0.25">
      <c r="A42728"/>
      <c r="B42728"/>
      <c r="C42728"/>
      <c r="E42728"/>
      <c r="F42728"/>
    </row>
    <row r="42729" spans="1:6" x14ac:dyDescent="0.25">
      <c r="A42729"/>
      <c r="B42729"/>
      <c r="C42729"/>
      <c r="E42729"/>
      <c r="F42729"/>
    </row>
    <row r="42730" spans="1:6" x14ac:dyDescent="0.25">
      <c r="A42730"/>
      <c r="B42730"/>
      <c r="C42730"/>
      <c r="E42730"/>
      <c r="F42730"/>
    </row>
    <row r="42731" spans="1:6" x14ac:dyDescent="0.25">
      <c r="A42731"/>
      <c r="B42731"/>
      <c r="C42731"/>
      <c r="E42731"/>
      <c r="F42731"/>
    </row>
    <row r="42732" spans="1:6" x14ac:dyDescent="0.25">
      <c r="A42732"/>
      <c r="B42732"/>
      <c r="C42732"/>
      <c r="E42732"/>
      <c r="F42732"/>
    </row>
    <row r="42733" spans="1:6" x14ac:dyDescent="0.25">
      <c r="A42733"/>
      <c r="B42733"/>
      <c r="C42733"/>
      <c r="E42733"/>
      <c r="F42733"/>
    </row>
    <row r="42734" spans="1:6" x14ac:dyDescent="0.25">
      <c r="A42734"/>
      <c r="B42734"/>
      <c r="C42734"/>
      <c r="E42734"/>
      <c r="F42734"/>
    </row>
    <row r="42735" spans="1:6" x14ac:dyDescent="0.25">
      <c r="A42735"/>
      <c r="B42735"/>
      <c r="C42735"/>
      <c r="E42735"/>
      <c r="F42735"/>
    </row>
    <row r="42736" spans="1:6" x14ac:dyDescent="0.25">
      <c r="A42736"/>
      <c r="B42736"/>
      <c r="C42736"/>
      <c r="E42736"/>
      <c r="F42736"/>
    </row>
    <row r="42737" spans="1:6" x14ac:dyDescent="0.25">
      <c r="A42737"/>
      <c r="B42737"/>
      <c r="C42737"/>
      <c r="E42737"/>
      <c r="F42737"/>
    </row>
    <row r="42738" spans="1:6" x14ac:dyDescent="0.25">
      <c r="A42738"/>
      <c r="B42738"/>
      <c r="C42738"/>
      <c r="E42738"/>
      <c r="F42738"/>
    </row>
    <row r="42739" spans="1:6" x14ac:dyDescent="0.25">
      <c r="A42739"/>
      <c r="B42739"/>
      <c r="C42739"/>
      <c r="E42739"/>
      <c r="F42739"/>
    </row>
    <row r="42740" spans="1:6" x14ac:dyDescent="0.25">
      <c r="A42740"/>
      <c r="B42740"/>
      <c r="C42740"/>
      <c r="E42740"/>
      <c r="F42740"/>
    </row>
    <row r="42741" spans="1:6" x14ac:dyDescent="0.25">
      <c r="A42741"/>
      <c r="B42741"/>
      <c r="C42741"/>
      <c r="E42741"/>
      <c r="F42741"/>
    </row>
    <row r="42742" spans="1:6" x14ac:dyDescent="0.25">
      <c r="A42742"/>
      <c r="B42742"/>
      <c r="C42742"/>
      <c r="E42742"/>
      <c r="F42742"/>
    </row>
    <row r="42743" spans="1:6" x14ac:dyDescent="0.25">
      <c r="A42743"/>
      <c r="B42743"/>
      <c r="C42743"/>
      <c r="E42743"/>
      <c r="F42743"/>
    </row>
    <row r="42744" spans="1:6" x14ac:dyDescent="0.25">
      <c r="A42744"/>
      <c r="B42744"/>
      <c r="C42744"/>
      <c r="E42744"/>
      <c r="F42744"/>
    </row>
    <row r="42745" spans="1:6" x14ac:dyDescent="0.25">
      <c r="A42745"/>
      <c r="B42745"/>
      <c r="C42745"/>
      <c r="E42745"/>
      <c r="F42745"/>
    </row>
    <row r="42746" spans="1:6" x14ac:dyDescent="0.25">
      <c r="A42746"/>
      <c r="B42746"/>
      <c r="C42746"/>
      <c r="E42746"/>
      <c r="F42746"/>
    </row>
    <row r="42747" spans="1:6" x14ac:dyDescent="0.25">
      <c r="A42747"/>
      <c r="B42747"/>
      <c r="C42747"/>
      <c r="E42747"/>
      <c r="F42747"/>
    </row>
    <row r="42748" spans="1:6" x14ac:dyDescent="0.25">
      <c r="A42748"/>
      <c r="B42748"/>
      <c r="C42748"/>
      <c r="E42748"/>
      <c r="F42748"/>
    </row>
    <row r="42749" spans="1:6" x14ac:dyDescent="0.25">
      <c r="A42749"/>
      <c r="B42749"/>
      <c r="C42749"/>
      <c r="E42749"/>
      <c r="F42749"/>
    </row>
    <row r="42750" spans="1:6" x14ac:dyDescent="0.25">
      <c r="A42750"/>
      <c r="B42750"/>
      <c r="C42750"/>
      <c r="E42750"/>
      <c r="F42750"/>
    </row>
    <row r="42751" spans="1:6" x14ac:dyDescent="0.25">
      <c r="A42751"/>
      <c r="B42751"/>
      <c r="C42751"/>
      <c r="E42751"/>
      <c r="F42751"/>
    </row>
    <row r="42752" spans="1:6" x14ac:dyDescent="0.25">
      <c r="A42752"/>
      <c r="B42752"/>
      <c r="C42752"/>
      <c r="E42752"/>
      <c r="F42752"/>
    </row>
    <row r="42753" spans="1:6" x14ac:dyDescent="0.25">
      <c r="A42753"/>
      <c r="B42753"/>
      <c r="C42753"/>
      <c r="E42753"/>
      <c r="F42753"/>
    </row>
    <row r="42754" spans="1:6" x14ac:dyDescent="0.25">
      <c r="A42754"/>
      <c r="B42754"/>
      <c r="C42754"/>
      <c r="E42754"/>
      <c r="F42754"/>
    </row>
    <row r="42755" spans="1:6" x14ac:dyDescent="0.25">
      <c r="A42755"/>
      <c r="B42755"/>
      <c r="C42755"/>
      <c r="E42755"/>
      <c r="F42755"/>
    </row>
    <row r="42756" spans="1:6" x14ac:dyDescent="0.25">
      <c r="A42756"/>
      <c r="B42756"/>
      <c r="C42756"/>
      <c r="E42756"/>
      <c r="F42756"/>
    </row>
    <row r="42757" spans="1:6" x14ac:dyDescent="0.25">
      <c r="A42757"/>
      <c r="B42757"/>
      <c r="C42757"/>
      <c r="E42757"/>
      <c r="F42757"/>
    </row>
    <row r="42758" spans="1:6" x14ac:dyDescent="0.25">
      <c r="A42758"/>
      <c r="B42758"/>
      <c r="C42758"/>
      <c r="E42758"/>
      <c r="F42758"/>
    </row>
    <row r="42759" spans="1:6" x14ac:dyDescent="0.25">
      <c r="A42759"/>
      <c r="B42759"/>
      <c r="C42759"/>
      <c r="E42759"/>
      <c r="F42759"/>
    </row>
    <row r="42760" spans="1:6" x14ac:dyDescent="0.25">
      <c r="A42760"/>
      <c r="B42760"/>
      <c r="C42760"/>
      <c r="E42760"/>
      <c r="F42760"/>
    </row>
    <row r="42761" spans="1:6" x14ac:dyDescent="0.25">
      <c r="A42761"/>
      <c r="B42761"/>
      <c r="C42761"/>
      <c r="E42761"/>
      <c r="F42761"/>
    </row>
    <row r="42762" spans="1:6" x14ac:dyDescent="0.25">
      <c r="A42762"/>
      <c r="B42762"/>
      <c r="C42762"/>
      <c r="E42762"/>
      <c r="F42762"/>
    </row>
    <row r="42763" spans="1:6" x14ac:dyDescent="0.25">
      <c r="A42763"/>
      <c r="B42763"/>
      <c r="C42763"/>
      <c r="E42763"/>
      <c r="F42763"/>
    </row>
    <row r="42764" spans="1:6" x14ac:dyDescent="0.25">
      <c r="A42764"/>
      <c r="B42764"/>
      <c r="C42764"/>
      <c r="E42764"/>
      <c r="F42764"/>
    </row>
    <row r="42765" spans="1:6" x14ac:dyDescent="0.25">
      <c r="A42765"/>
      <c r="B42765"/>
      <c r="C42765"/>
      <c r="E42765"/>
      <c r="F42765"/>
    </row>
    <row r="42766" spans="1:6" x14ac:dyDescent="0.25">
      <c r="A42766"/>
      <c r="B42766"/>
      <c r="C42766"/>
      <c r="E42766"/>
      <c r="F42766"/>
    </row>
    <row r="42767" spans="1:6" x14ac:dyDescent="0.25">
      <c r="A42767"/>
      <c r="B42767"/>
      <c r="C42767"/>
      <c r="E42767"/>
      <c r="F42767"/>
    </row>
    <row r="42768" spans="1:6" x14ac:dyDescent="0.25">
      <c r="A42768"/>
      <c r="B42768"/>
      <c r="C42768"/>
      <c r="E42768"/>
      <c r="F42768"/>
    </row>
    <row r="42769" spans="1:6" x14ac:dyDescent="0.25">
      <c r="A42769"/>
      <c r="B42769"/>
      <c r="C42769"/>
      <c r="E42769"/>
      <c r="F42769"/>
    </row>
    <row r="42770" spans="1:6" x14ac:dyDescent="0.25">
      <c r="A42770"/>
      <c r="B42770"/>
      <c r="C42770"/>
      <c r="E42770"/>
      <c r="F42770"/>
    </row>
    <row r="42771" spans="1:6" x14ac:dyDescent="0.25">
      <c r="A42771"/>
      <c r="B42771"/>
      <c r="C42771"/>
      <c r="E42771"/>
      <c r="F42771"/>
    </row>
    <row r="42772" spans="1:6" x14ac:dyDescent="0.25">
      <c r="A42772"/>
      <c r="B42772"/>
      <c r="C42772"/>
      <c r="E42772"/>
      <c r="F42772"/>
    </row>
    <row r="42773" spans="1:6" x14ac:dyDescent="0.25">
      <c r="A42773"/>
      <c r="B42773"/>
      <c r="C42773"/>
      <c r="E42773"/>
      <c r="F42773"/>
    </row>
    <row r="42774" spans="1:6" x14ac:dyDescent="0.25">
      <c r="A42774"/>
      <c r="B42774"/>
      <c r="C42774"/>
      <c r="E42774"/>
      <c r="F42774"/>
    </row>
    <row r="42775" spans="1:6" x14ac:dyDescent="0.25">
      <c r="A42775"/>
      <c r="B42775"/>
      <c r="C42775"/>
      <c r="E42775"/>
      <c r="F42775"/>
    </row>
    <row r="42776" spans="1:6" x14ac:dyDescent="0.25">
      <c r="A42776"/>
      <c r="B42776"/>
      <c r="C42776"/>
      <c r="E42776"/>
      <c r="F42776"/>
    </row>
    <row r="42777" spans="1:6" x14ac:dyDescent="0.25">
      <c r="A42777"/>
      <c r="B42777"/>
      <c r="C42777"/>
      <c r="E42777"/>
      <c r="F42777"/>
    </row>
    <row r="42778" spans="1:6" x14ac:dyDescent="0.25">
      <c r="A42778"/>
      <c r="B42778"/>
      <c r="C42778"/>
      <c r="E42778"/>
      <c r="F42778"/>
    </row>
    <row r="42779" spans="1:6" x14ac:dyDescent="0.25">
      <c r="A42779"/>
      <c r="B42779"/>
      <c r="C42779"/>
      <c r="E42779"/>
      <c r="F42779"/>
    </row>
    <row r="42780" spans="1:6" x14ac:dyDescent="0.25">
      <c r="A42780"/>
      <c r="B42780"/>
      <c r="C42780"/>
      <c r="E42780"/>
      <c r="F42780"/>
    </row>
    <row r="42781" spans="1:6" x14ac:dyDescent="0.25">
      <c r="A42781"/>
      <c r="B42781"/>
      <c r="C42781"/>
      <c r="E42781"/>
      <c r="F42781"/>
    </row>
    <row r="42782" spans="1:6" x14ac:dyDescent="0.25">
      <c r="A42782"/>
      <c r="B42782"/>
      <c r="C42782"/>
      <c r="E42782"/>
      <c r="F42782"/>
    </row>
    <row r="42783" spans="1:6" x14ac:dyDescent="0.25">
      <c r="A42783"/>
      <c r="B42783"/>
      <c r="C42783"/>
      <c r="E42783"/>
      <c r="F42783"/>
    </row>
    <row r="42784" spans="1:6" x14ac:dyDescent="0.25">
      <c r="A42784"/>
      <c r="B42784"/>
      <c r="C42784"/>
      <c r="E42784"/>
      <c r="F42784"/>
    </row>
    <row r="42785" spans="1:6" x14ac:dyDescent="0.25">
      <c r="A42785"/>
      <c r="B42785"/>
      <c r="C42785"/>
      <c r="E42785"/>
      <c r="F42785"/>
    </row>
    <row r="42786" spans="1:6" x14ac:dyDescent="0.25">
      <c r="A42786"/>
      <c r="B42786"/>
      <c r="C42786"/>
      <c r="E42786"/>
      <c r="F42786"/>
    </row>
    <row r="42787" spans="1:6" x14ac:dyDescent="0.25">
      <c r="A42787"/>
      <c r="B42787"/>
      <c r="C42787"/>
      <c r="E42787"/>
      <c r="F42787"/>
    </row>
    <row r="42788" spans="1:6" x14ac:dyDescent="0.25">
      <c r="A42788"/>
      <c r="B42788"/>
      <c r="C42788"/>
      <c r="E42788"/>
      <c r="F42788"/>
    </row>
    <row r="42789" spans="1:6" x14ac:dyDescent="0.25">
      <c r="A42789"/>
      <c r="B42789"/>
      <c r="C42789"/>
      <c r="E42789"/>
      <c r="F42789"/>
    </row>
    <row r="42790" spans="1:6" x14ac:dyDescent="0.25">
      <c r="A42790"/>
      <c r="B42790"/>
      <c r="C42790"/>
      <c r="E42790"/>
      <c r="F42790"/>
    </row>
    <row r="42791" spans="1:6" x14ac:dyDescent="0.25">
      <c r="A42791"/>
      <c r="B42791"/>
      <c r="C42791"/>
      <c r="E42791"/>
      <c r="F42791"/>
    </row>
    <row r="42792" spans="1:6" x14ac:dyDescent="0.25">
      <c r="A42792"/>
      <c r="B42792"/>
      <c r="C42792"/>
      <c r="E42792"/>
      <c r="F42792"/>
    </row>
    <row r="42793" spans="1:6" x14ac:dyDescent="0.25">
      <c r="A42793"/>
      <c r="B42793"/>
      <c r="C42793"/>
      <c r="E42793"/>
      <c r="F42793"/>
    </row>
    <row r="42794" spans="1:6" x14ac:dyDescent="0.25">
      <c r="A42794"/>
      <c r="B42794"/>
      <c r="C42794"/>
      <c r="E42794"/>
      <c r="F42794"/>
    </row>
    <row r="42795" spans="1:6" x14ac:dyDescent="0.25">
      <c r="A42795"/>
      <c r="B42795"/>
      <c r="C42795"/>
      <c r="E42795"/>
      <c r="F42795"/>
    </row>
    <row r="42796" spans="1:6" x14ac:dyDescent="0.25">
      <c r="A42796"/>
      <c r="B42796"/>
      <c r="C42796"/>
      <c r="E42796"/>
      <c r="F42796"/>
    </row>
    <row r="42797" spans="1:6" x14ac:dyDescent="0.25">
      <c r="A42797"/>
      <c r="B42797"/>
      <c r="C42797"/>
      <c r="E42797"/>
      <c r="F42797"/>
    </row>
    <row r="42798" spans="1:6" x14ac:dyDescent="0.25">
      <c r="A42798"/>
      <c r="B42798"/>
      <c r="C42798"/>
      <c r="E42798"/>
      <c r="F42798"/>
    </row>
    <row r="42799" spans="1:6" x14ac:dyDescent="0.25">
      <c r="A42799"/>
      <c r="B42799"/>
      <c r="C42799"/>
      <c r="E42799"/>
      <c r="F42799"/>
    </row>
    <row r="42800" spans="1:6" x14ac:dyDescent="0.25">
      <c r="A42800"/>
      <c r="B42800"/>
      <c r="C42800"/>
      <c r="E42800"/>
      <c r="F42800"/>
    </row>
    <row r="42801" spans="1:6" x14ac:dyDescent="0.25">
      <c r="A42801"/>
      <c r="B42801"/>
      <c r="C42801"/>
      <c r="E42801"/>
      <c r="F42801"/>
    </row>
    <row r="42802" spans="1:6" x14ac:dyDescent="0.25">
      <c r="A42802"/>
      <c r="B42802"/>
      <c r="C42802"/>
      <c r="E42802"/>
      <c r="F42802"/>
    </row>
    <row r="42803" spans="1:6" x14ac:dyDescent="0.25">
      <c r="A42803"/>
      <c r="B42803"/>
      <c r="C42803"/>
      <c r="E42803"/>
      <c r="F42803"/>
    </row>
    <row r="42804" spans="1:6" x14ac:dyDescent="0.25">
      <c r="A42804"/>
      <c r="B42804"/>
      <c r="C42804"/>
      <c r="E42804"/>
      <c r="F42804"/>
    </row>
    <row r="42805" spans="1:6" x14ac:dyDescent="0.25">
      <c r="A42805"/>
      <c r="B42805"/>
      <c r="C42805"/>
      <c r="E42805"/>
      <c r="F42805"/>
    </row>
    <row r="42806" spans="1:6" x14ac:dyDescent="0.25">
      <c r="A42806"/>
      <c r="B42806"/>
      <c r="C42806"/>
      <c r="E42806"/>
      <c r="F42806"/>
    </row>
    <row r="42807" spans="1:6" x14ac:dyDescent="0.25">
      <c r="A42807"/>
      <c r="B42807"/>
      <c r="C42807"/>
      <c r="E42807"/>
      <c r="F42807"/>
    </row>
    <row r="42808" spans="1:6" x14ac:dyDescent="0.25">
      <c r="A42808"/>
      <c r="B42808"/>
      <c r="C42808"/>
      <c r="E42808"/>
      <c r="F42808"/>
    </row>
    <row r="42809" spans="1:6" x14ac:dyDescent="0.25">
      <c r="A42809"/>
      <c r="B42809"/>
      <c r="C42809"/>
      <c r="E42809"/>
      <c r="F42809"/>
    </row>
    <row r="42810" spans="1:6" x14ac:dyDescent="0.25">
      <c r="A42810"/>
      <c r="B42810"/>
      <c r="C42810"/>
      <c r="E42810"/>
      <c r="F42810"/>
    </row>
    <row r="42811" spans="1:6" x14ac:dyDescent="0.25">
      <c r="A42811"/>
      <c r="B42811"/>
      <c r="C42811"/>
      <c r="E42811"/>
      <c r="F42811"/>
    </row>
    <row r="42812" spans="1:6" x14ac:dyDescent="0.25">
      <c r="A42812"/>
      <c r="B42812"/>
      <c r="C42812"/>
      <c r="E42812"/>
      <c r="F42812"/>
    </row>
    <row r="42813" spans="1:6" x14ac:dyDescent="0.25">
      <c r="A42813"/>
      <c r="B42813"/>
      <c r="C42813"/>
      <c r="E42813"/>
      <c r="F42813"/>
    </row>
    <row r="42814" spans="1:6" x14ac:dyDescent="0.25">
      <c r="A42814"/>
      <c r="B42814"/>
      <c r="C42814"/>
      <c r="E42814"/>
      <c r="F42814"/>
    </row>
    <row r="42815" spans="1:6" x14ac:dyDescent="0.25">
      <c r="A42815"/>
      <c r="B42815"/>
      <c r="C42815"/>
      <c r="E42815"/>
      <c r="F42815"/>
    </row>
    <row r="42816" spans="1:6" x14ac:dyDescent="0.25">
      <c r="A42816"/>
      <c r="B42816"/>
      <c r="C42816"/>
      <c r="E42816"/>
      <c r="F42816"/>
    </row>
    <row r="42817" spans="1:6" x14ac:dyDescent="0.25">
      <c r="A42817"/>
      <c r="B42817"/>
      <c r="C42817"/>
      <c r="E42817"/>
      <c r="F42817"/>
    </row>
    <row r="42818" spans="1:6" x14ac:dyDescent="0.25">
      <c r="A42818"/>
      <c r="B42818"/>
      <c r="C42818"/>
      <c r="E42818"/>
      <c r="F42818"/>
    </row>
    <row r="42819" spans="1:6" x14ac:dyDescent="0.25">
      <c r="A42819"/>
      <c r="B42819"/>
      <c r="C42819"/>
      <c r="E42819"/>
      <c r="F42819"/>
    </row>
    <row r="42820" spans="1:6" x14ac:dyDescent="0.25">
      <c r="A42820"/>
      <c r="B42820"/>
      <c r="C42820"/>
      <c r="E42820"/>
      <c r="F42820"/>
    </row>
    <row r="42821" spans="1:6" x14ac:dyDescent="0.25">
      <c r="A42821"/>
      <c r="B42821"/>
      <c r="C42821"/>
      <c r="E42821"/>
      <c r="F42821"/>
    </row>
    <row r="42822" spans="1:6" x14ac:dyDescent="0.25">
      <c r="A42822"/>
      <c r="B42822"/>
      <c r="C42822"/>
      <c r="E42822"/>
      <c r="F42822"/>
    </row>
    <row r="42823" spans="1:6" x14ac:dyDescent="0.25">
      <c r="A42823"/>
      <c r="B42823"/>
      <c r="C42823"/>
      <c r="E42823"/>
      <c r="F42823"/>
    </row>
    <row r="42824" spans="1:6" x14ac:dyDescent="0.25">
      <c r="A42824"/>
      <c r="B42824"/>
      <c r="C42824"/>
      <c r="E42824"/>
      <c r="F42824"/>
    </row>
    <row r="42825" spans="1:6" x14ac:dyDescent="0.25">
      <c r="A42825"/>
      <c r="B42825"/>
      <c r="C42825"/>
      <c r="E42825"/>
      <c r="F42825"/>
    </row>
    <row r="42826" spans="1:6" x14ac:dyDescent="0.25">
      <c r="A42826"/>
      <c r="B42826"/>
      <c r="C42826"/>
      <c r="E42826"/>
      <c r="F42826"/>
    </row>
    <row r="42827" spans="1:6" x14ac:dyDescent="0.25">
      <c r="A42827"/>
      <c r="B42827"/>
      <c r="C42827"/>
      <c r="E42827"/>
      <c r="F42827"/>
    </row>
    <row r="42828" spans="1:6" x14ac:dyDescent="0.25">
      <c r="A42828"/>
      <c r="B42828"/>
      <c r="C42828"/>
      <c r="E42828"/>
      <c r="F42828"/>
    </row>
    <row r="42829" spans="1:6" x14ac:dyDescent="0.25">
      <c r="A42829"/>
      <c r="B42829"/>
      <c r="C42829"/>
      <c r="E42829"/>
      <c r="F42829"/>
    </row>
    <row r="42830" spans="1:6" x14ac:dyDescent="0.25">
      <c r="A42830"/>
      <c r="B42830"/>
      <c r="C42830"/>
      <c r="E42830"/>
      <c r="F42830"/>
    </row>
    <row r="42831" spans="1:6" x14ac:dyDescent="0.25">
      <c r="A42831"/>
      <c r="B42831"/>
      <c r="C42831"/>
      <c r="E42831"/>
      <c r="F42831"/>
    </row>
    <row r="42832" spans="1:6" x14ac:dyDescent="0.25">
      <c r="A42832"/>
      <c r="B42832"/>
      <c r="C42832"/>
      <c r="E42832"/>
      <c r="F42832"/>
    </row>
    <row r="42833" spans="1:6" x14ac:dyDescent="0.25">
      <c r="A42833"/>
      <c r="B42833"/>
      <c r="C42833"/>
      <c r="E42833"/>
      <c r="F42833"/>
    </row>
    <row r="42834" spans="1:6" x14ac:dyDescent="0.25">
      <c r="A42834"/>
      <c r="B42834"/>
      <c r="C42834"/>
      <c r="E42834"/>
      <c r="F42834"/>
    </row>
    <row r="42835" spans="1:6" x14ac:dyDescent="0.25">
      <c r="A42835"/>
      <c r="B42835"/>
      <c r="C42835"/>
      <c r="E42835"/>
      <c r="F42835"/>
    </row>
    <row r="42836" spans="1:6" x14ac:dyDescent="0.25">
      <c r="A42836"/>
      <c r="B42836"/>
      <c r="C42836"/>
      <c r="E42836"/>
      <c r="F42836"/>
    </row>
    <row r="42837" spans="1:6" x14ac:dyDescent="0.25">
      <c r="A42837"/>
      <c r="B42837"/>
      <c r="C42837"/>
      <c r="E42837"/>
      <c r="F42837"/>
    </row>
    <row r="42838" spans="1:6" x14ac:dyDescent="0.25">
      <c r="A42838"/>
      <c r="B42838"/>
      <c r="C42838"/>
      <c r="E42838"/>
      <c r="F42838"/>
    </row>
    <row r="42839" spans="1:6" x14ac:dyDescent="0.25">
      <c r="A42839"/>
      <c r="B42839"/>
      <c r="C42839"/>
      <c r="E42839"/>
      <c r="F42839"/>
    </row>
    <row r="42840" spans="1:6" x14ac:dyDescent="0.25">
      <c r="A42840"/>
      <c r="B42840"/>
      <c r="C42840"/>
      <c r="E42840"/>
      <c r="F42840"/>
    </row>
    <row r="42841" spans="1:6" x14ac:dyDescent="0.25">
      <c r="A42841"/>
      <c r="B42841"/>
      <c r="C42841"/>
      <c r="E42841"/>
      <c r="F42841"/>
    </row>
    <row r="42842" spans="1:6" x14ac:dyDescent="0.25">
      <c r="A42842"/>
      <c r="B42842"/>
      <c r="C42842"/>
      <c r="E42842"/>
      <c r="F42842"/>
    </row>
    <row r="42843" spans="1:6" x14ac:dyDescent="0.25">
      <c r="A42843"/>
      <c r="B42843"/>
      <c r="C42843"/>
      <c r="E42843"/>
      <c r="F42843"/>
    </row>
    <row r="42844" spans="1:6" x14ac:dyDescent="0.25">
      <c r="A42844"/>
      <c r="B42844"/>
      <c r="C42844"/>
      <c r="E42844"/>
      <c r="F42844"/>
    </row>
    <row r="42845" spans="1:6" x14ac:dyDescent="0.25">
      <c r="A42845"/>
      <c r="B42845"/>
      <c r="C42845"/>
      <c r="E42845"/>
      <c r="F42845"/>
    </row>
    <row r="42846" spans="1:6" x14ac:dyDescent="0.25">
      <c r="A42846"/>
      <c r="B42846"/>
      <c r="C42846"/>
      <c r="E42846"/>
      <c r="F42846"/>
    </row>
    <row r="42847" spans="1:6" x14ac:dyDescent="0.25">
      <c r="A42847"/>
      <c r="B42847"/>
      <c r="C42847"/>
      <c r="E42847"/>
      <c r="F42847"/>
    </row>
    <row r="42848" spans="1:6" x14ac:dyDescent="0.25">
      <c r="A42848"/>
      <c r="B42848"/>
      <c r="C42848"/>
      <c r="E42848"/>
      <c r="F42848"/>
    </row>
    <row r="42849" spans="1:6" x14ac:dyDescent="0.25">
      <c r="A42849"/>
      <c r="B42849"/>
      <c r="C42849"/>
      <c r="E42849"/>
      <c r="F42849"/>
    </row>
    <row r="42850" spans="1:6" x14ac:dyDescent="0.25">
      <c r="A42850"/>
      <c r="B42850"/>
      <c r="C42850"/>
      <c r="E42850"/>
      <c r="F42850"/>
    </row>
    <row r="42851" spans="1:6" x14ac:dyDescent="0.25">
      <c r="A42851"/>
      <c r="B42851"/>
      <c r="C42851"/>
      <c r="E42851"/>
      <c r="F42851"/>
    </row>
    <row r="42852" spans="1:6" x14ac:dyDescent="0.25">
      <c r="A42852"/>
      <c r="B42852"/>
      <c r="C42852"/>
      <c r="E42852"/>
      <c r="F42852"/>
    </row>
    <row r="42853" spans="1:6" x14ac:dyDescent="0.25">
      <c r="A42853"/>
      <c r="B42853"/>
      <c r="C42853"/>
      <c r="E42853"/>
      <c r="F42853"/>
    </row>
    <row r="42854" spans="1:6" x14ac:dyDescent="0.25">
      <c r="A42854"/>
      <c r="B42854"/>
      <c r="C42854"/>
      <c r="E42854"/>
      <c r="F42854"/>
    </row>
    <row r="42855" spans="1:6" x14ac:dyDescent="0.25">
      <c r="A42855"/>
      <c r="B42855"/>
      <c r="C42855"/>
      <c r="E42855"/>
      <c r="F42855"/>
    </row>
    <row r="42856" spans="1:6" x14ac:dyDescent="0.25">
      <c r="A42856"/>
      <c r="B42856"/>
      <c r="C42856"/>
      <c r="E42856"/>
      <c r="F42856"/>
    </row>
    <row r="42857" spans="1:6" x14ac:dyDescent="0.25">
      <c r="A42857"/>
      <c r="B42857"/>
      <c r="C42857"/>
      <c r="E42857"/>
      <c r="F42857"/>
    </row>
    <row r="42858" spans="1:6" x14ac:dyDescent="0.25">
      <c r="A42858"/>
      <c r="B42858"/>
      <c r="C42858"/>
      <c r="E42858"/>
      <c r="F42858"/>
    </row>
    <row r="42859" spans="1:6" x14ac:dyDescent="0.25">
      <c r="A42859"/>
      <c r="B42859"/>
      <c r="C42859"/>
      <c r="E42859"/>
      <c r="F42859"/>
    </row>
    <row r="42860" spans="1:6" x14ac:dyDescent="0.25">
      <c r="A42860"/>
      <c r="B42860"/>
      <c r="C42860"/>
      <c r="E42860"/>
      <c r="F42860"/>
    </row>
    <row r="42861" spans="1:6" x14ac:dyDescent="0.25">
      <c r="A42861"/>
      <c r="B42861"/>
      <c r="C42861"/>
      <c r="E42861"/>
      <c r="F42861"/>
    </row>
    <row r="42862" spans="1:6" x14ac:dyDescent="0.25">
      <c r="A42862"/>
      <c r="B42862"/>
      <c r="C42862"/>
      <c r="E42862"/>
      <c r="F42862"/>
    </row>
    <row r="42863" spans="1:6" x14ac:dyDescent="0.25">
      <c r="A42863"/>
      <c r="B42863"/>
      <c r="C42863"/>
      <c r="E42863"/>
      <c r="F42863"/>
    </row>
    <row r="42864" spans="1:6" x14ac:dyDescent="0.25">
      <c r="A42864"/>
      <c r="B42864"/>
      <c r="C42864"/>
      <c r="E42864"/>
      <c r="F42864"/>
    </row>
    <row r="42865" spans="1:6" x14ac:dyDescent="0.25">
      <c r="A42865"/>
      <c r="B42865"/>
      <c r="C42865"/>
      <c r="E42865"/>
      <c r="F42865"/>
    </row>
    <row r="42866" spans="1:6" x14ac:dyDescent="0.25">
      <c r="A42866"/>
      <c r="B42866"/>
      <c r="C42866"/>
      <c r="E42866"/>
      <c r="F42866"/>
    </row>
    <row r="42867" spans="1:6" x14ac:dyDescent="0.25">
      <c r="A42867"/>
      <c r="B42867"/>
      <c r="C42867"/>
      <c r="E42867"/>
      <c r="F42867"/>
    </row>
    <row r="42868" spans="1:6" x14ac:dyDescent="0.25">
      <c r="A42868"/>
      <c r="B42868"/>
      <c r="C42868"/>
      <c r="E42868"/>
      <c r="F42868"/>
    </row>
    <row r="42869" spans="1:6" x14ac:dyDescent="0.25">
      <c r="A42869"/>
      <c r="B42869"/>
      <c r="C42869"/>
      <c r="E42869"/>
      <c r="F42869"/>
    </row>
    <row r="42870" spans="1:6" x14ac:dyDescent="0.25">
      <c r="A42870"/>
      <c r="B42870"/>
      <c r="C42870"/>
      <c r="E42870"/>
      <c r="F42870"/>
    </row>
    <row r="42871" spans="1:6" x14ac:dyDescent="0.25">
      <c r="A42871"/>
      <c r="B42871"/>
      <c r="C42871"/>
      <c r="E42871"/>
      <c r="F42871"/>
    </row>
    <row r="42872" spans="1:6" x14ac:dyDescent="0.25">
      <c r="A42872"/>
      <c r="B42872"/>
      <c r="C42872"/>
      <c r="E42872"/>
      <c r="F42872"/>
    </row>
    <row r="42873" spans="1:6" x14ac:dyDescent="0.25">
      <c r="A42873"/>
      <c r="B42873"/>
      <c r="C42873"/>
      <c r="E42873"/>
      <c r="F42873"/>
    </row>
    <row r="42874" spans="1:6" x14ac:dyDescent="0.25">
      <c r="A42874"/>
      <c r="B42874"/>
      <c r="C42874"/>
      <c r="E42874"/>
      <c r="F42874"/>
    </row>
    <row r="42875" spans="1:6" x14ac:dyDescent="0.25">
      <c r="A42875"/>
      <c r="B42875"/>
      <c r="C42875"/>
      <c r="E42875"/>
      <c r="F42875"/>
    </row>
    <row r="42876" spans="1:6" x14ac:dyDescent="0.25">
      <c r="A42876"/>
      <c r="B42876"/>
      <c r="C42876"/>
      <c r="E42876"/>
      <c r="F42876"/>
    </row>
    <row r="42877" spans="1:6" x14ac:dyDescent="0.25">
      <c r="A42877"/>
      <c r="B42877"/>
      <c r="C42877"/>
      <c r="E42877"/>
      <c r="F42877"/>
    </row>
    <row r="42878" spans="1:6" x14ac:dyDescent="0.25">
      <c r="A42878"/>
      <c r="B42878"/>
      <c r="C42878"/>
      <c r="E42878"/>
      <c r="F42878"/>
    </row>
    <row r="42879" spans="1:6" x14ac:dyDescent="0.25">
      <c r="A42879"/>
      <c r="B42879"/>
      <c r="C42879"/>
      <c r="E42879"/>
      <c r="F42879"/>
    </row>
    <row r="42880" spans="1:6" x14ac:dyDescent="0.25">
      <c r="A42880"/>
      <c r="B42880"/>
      <c r="C42880"/>
      <c r="E42880"/>
      <c r="F42880"/>
    </row>
    <row r="42881" spans="1:6" x14ac:dyDescent="0.25">
      <c r="A42881"/>
      <c r="B42881"/>
      <c r="C42881"/>
      <c r="E42881"/>
      <c r="F42881"/>
    </row>
    <row r="42882" spans="1:6" x14ac:dyDescent="0.25">
      <c r="A42882"/>
      <c r="B42882"/>
      <c r="C42882"/>
      <c r="E42882"/>
      <c r="F42882"/>
    </row>
    <row r="42883" spans="1:6" x14ac:dyDescent="0.25">
      <c r="A42883"/>
      <c r="B42883"/>
      <c r="C42883"/>
      <c r="E42883"/>
      <c r="F42883"/>
    </row>
    <row r="42884" spans="1:6" x14ac:dyDescent="0.25">
      <c r="A42884"/>
      <c r="B42884"/>
      <c r="C42884"/>
      <c r="E42884"/>
      <c r="F42884"/>
    </row>
    <row r="42885" spans="1:6" x14ac:dyDescent="0.25">
      <c r="A42885"/>
      <c r="B42885"/>
      <c r="C42885"/>
      <c r="E42885"/>
      <c r="F42885"/>
    </row>
    <row r="42886" spans="1:6" x14ac:dyDescent="0.25">
      <c r="A42886"/>
      <c r="B42886"/>
      <c r="C42886"/>
      <c r="E42886"/>
      <c r="F42886"/>
    </row>
    <row r="42887" spans="1:6" x14ac:dyDescent="0.25">
      <c r="A42887"/>
      <c r="B42887"/>
      <c r="C42887"/>
      <c r="E42887"/>
      <c r="F42887"/>
    </row>
    <row r="42888" spans="1:6" x14ac:dyDescent="0.25">
      <c r="A42888"/>
      <c r="B42888"/>
      <c r="C42888"/>
      <c r="E42888"/>
      <c r="F42888"/>
    </row>
    <row r="42889" spans="1:6" x14ac:dyDescent="0.25">
      <c r="A42889"/>
      <c r="B42889"/>
      <c r="C42889"/>
      <c r="E42889"/>
      <c r="F42889"/>
    </row>
    <row r="42890" spans="1:6" x14ac:dyDescent="0.25">
      <c r="A42890"/>
      <c r="B42890"/>
      <c r="C42890"/>
      <c r="E42890"/>
      <c r="F42890"/>
    </row>
    <row r="42891" spans="1:6" x14ac:dyDescent="0.25">
      <c r="A42891"/>
      <c r="B42891"/>
      <c r="C42891"/>
      <c r="E42891"/>
      <c r="F42891"/>
    </row>
    <row r="42892" spans="1:6" x14ac:dyDescent="0.25">
      <c r="A42892"/>
      <c r="B42892"/>
      <c r="C42892"/>
      <c r="E42892"/>
      <c r="F42892"/>
    </row>
    <row r="42893" spans="1:6" x14ac:dyDescent="0.25">
      <c r="A42893"/>
      <c r="B42893"/>
      <c r="C42893"/>
      <c r="E42893"/>
      <c r="F42893"/>
    </row>
    <row r="42894" spans="1:6" x14ac:dyDescent="0.25">
      <c r="A42894"/>
      <c r="B42894"/>
      <c r="C42894"/>
      <c r="E42894"/>
      <c r="F42894"/>
    </row>
    <row r="42895" spans="1:6" x14ac:dyDescent="0.25">
      <c r="A42895"/>
      <c r="B42895"/>
      <c r="C42895"/>
      <c r="E42895"/>
      <c r="F42895"/>
    </row>
    <row r="42896" spans="1:6" x14ac:dyDescent="0.25">
      <c r="A42896"/>
      <c r="B42896"/>
      <c r="C42896"/>
      <c r="E42896"/>
      <c r="F42896"/>
    </row>
    <row r="42897" spans="1:6" x14ac:dyDescent="0.25">
      <c r="A42897"/>
      <c r="B42897"/>
      <c r="C42897"/>
      <c r="E42897"/>
      <c r="F42897"/>
    </row>
    <row r="42898" spans="1:6" x14ac:dyDescent="0.25">
      <c r="A42898"/>
      <c r="B42898"/>
      <c r="C42898"/>
      <c r="E42898"/>
      <c r="F42898"/>
    </row>
    <row r="42899" spans="1:6" x14ac:dyDescent="0.25">
      <c r="A42899"/>
      <c r="B42899"/>
      <c r="C42899"/>
      <c r="E42899"/>
      <c r="F42899"/>
    </row>
    <row r="42900" spans="1:6" x14ac:dyDescent="0.25">
      <c r="A42900"/>
      <c r="B42900"/>
      <c r="C42900"/>
      <c r="E42900"/>
      <c r="F42900"/>
    </row>
    <row r="42901" spans="1:6" x14ac:dyDescent="0.25">
      <c r="A42901"/>
      <c r="B42901"/>
      <c r="C42901"/>
      <c r="E42901"/>
      <c r="F42901"/>
    </row>
    <row r="42902" spans="1:6" x14ac:dyDescent="0.25">
      <c r="A42902"/>
      <c r="B42902"/>
      <c r="C42902"/>
      <c r="E42902"/>
      <c r="F42902"/>
    </row>
    <row r="42903" spans="1:6" x14ac:dyDescent="0.25">
      <c r="A42903"/>
      <c r="B42903"/>
      <c r="C42903"/>
      <c r="E42903"/>
      <c r="F42903"/>
    </row>
    <row r="42904" spans="1:6" x14ac:dyDescent="0.25">
      <c r="A42904"/>
      <c r="B42904"/>
      <c r="C42904"/>
      <c r="E42904"/>
      <c r="F42904"/>
    </row>
    <row r="42905" spans="1:6" x14ac:dyDescent="0.25">
      <c r="A42905"/>
      <c r="B42905"/>
      <c r="C42905"/>
      <c r="E42905"/>
      <c r="F42905"/>
    </row>
    <row r="42906" spans="1:6" x14ac:dyDescent="0.25">
      <c r="A42906"/>
      <c r="B42906"/>
      <c r="C42906"/>
      <c r="E42906"/>
      <c r="F42906"/>
    </row>
    <row r="42907" spans="1:6" x14ac:dyDescent="0.25">
      <c r="A42907"/>
      <c r="B42907"/>
      <c r="C42907"/>
      <c r="E42907"/>
      <c r="F42907"/>
    </row>
    <row r="42908" spans="1:6" x14ac:dyDescent="0.25">
      <c r="A42908"/>
      <c r="B42908"/>
      <c r="C42908"/>
      <c r="E42908"/>
      <c r="F42908"/>
    </row>
    <row r="42909" spans="1:6" x14ac:dyDescent="0.25">
      <c r="A42909"/>
      <c r="B42909"/>
      <c r="C42909"/>
      <c r="E42909"/>
      <c r="F42909"/>
    </row>
    <row r="42910" spans="1:6" x14ac:dyDescent="0.25">
      <c r="A42910"/>
      <c r="B42910"/>
      <c r="C42910"/>
      <c r="E42910"/>
      <c r="F42910"/>
    </row>
    <row r="42911" spans="1:6" x14ac:dyDescent="0.25">
      <c r="A42911"/>
      <c r="B42911"/>
      <c r="C42911"/>
      <c r="E42911"/>
      <c r="F42911"/>
    </row>
    <row r="42912" spans="1:6" x14ac:dyDescent="0.25">
      <c r="A42912"/>
      <c r="B42912"/>
      <c r="C42912"/>
      <c r="E42912"/>
      <c r="F42912"/>
    </row>
    <row r="42913" spans="1:6" x14ac:dyDescent="0.25">
      <c r="A42913"/>
      <c r="B42913"/>
      <c r="C42913"/>
      <c r="E42913"/>
      <c r="F42913"/>
    </row>
    <row r="42914" spans="1:6" x14ac:dyDescent="0.25">
      <c r="A42914"/>
      <c r="B42914"/>
      <c r="C42914"/>
      <c r="E42914"/>
      <c r="F42914"/>
    </row>
    <row r="42915" spans="1:6" x14ac:dyDescent="0.25">
      <c r="A42915"/>
      <c r="B42915"/>
      <c r="C42915"/>
      <c r="E42915"/>
      <c r="F42915"/>
    </row>
    <row r="42916" spans="1:6" x14ac:dyDescent="0.25">
      <c r="A42916"/>
      <c r="B42916"/>
      <c r="C42916"/>
      <c r="E42916"/>
      <c r="F42916"/>
    </row>
    <row r="42917" spans="1:6" x14ac:dyDescent="0.25">
      <c r="A42917"/>
      <c r="B42917"/>
      <c r="C42917"/>
      <c r="E42917"/>
      <c r="F42917"/>
    </row>
    <row r="42918" spans="1:6" x14ac:dyDescent="0.25">
      <c r="A42918"/>
      <c r="B42918"/>
      <c r="C42918"/>
      <c r="E42918"/>
      <c r="F42918"/>
    </row>
    <row r="42919" spans="1:6" x14ac:dyDescent="0.25">
      <c r="A42919"/>
      <c r="B42919"/>
      <c r="C42919"/>
      <c r="E42919"/>
      <c r="F42919"/>
    </row>
    <row r="42920" spans="1:6" x14ac:dyDescent="0.25">
      <c r="A42920"/>
      <c r="B42920"/>
      <c r="C42920"/>
      <c r="E42920"/>
      <c r="F42920"/>
    </row>
    <row r="42921" spans="1:6" x14ac:dyDescent="0.25">
      <c r="A42921"/>
      <c r="B42921"/>
      <c r="C42921"/>
      <c r="E42921"/>
      <c r="F42921"/>
    </row>
    <row r="42922" spans="1:6" x14ac:dyDescent="0.25">
      <c r="A42922"/>
      <c r="B42922"/>
      <c r="C42922"/>
      <c r="E42922"/>
      <c r="F42922"/>
    </row>
    <row r="42923" spans="1:6" x14ac:dyDescent="0.25">
      <c r="A42923"/>
      <c r="B42923"/>
      <c r="C42923"/>
      <c r="E42923"/>
      <c r="F42923"/>
    </row>
    <row r="42924" spans="1:6" x14ac:dyDescent="0.25">
      <c r="A42924"/>
      <c r="B42924"/>
      <c r="C42924"/>
      <c r="E42924"/>
      <c r="F42924"/>
    </row>
    <row r="42925" spans="1:6" x14ac:dyDescent="0.25">
      <c r="A42925"/>
      <c r="B42925"/>
      <c r="C42925"/>
      <c r="E42925"/>
      <c r="F42925"/>
    </row>
    <row r="42926" spans="1:6" x14ac:dyDescent="0.25">
      <c r="A42926"/>
      <c r="B42926"/>
      <c r="C42926"/>
      <c r="E42926"/>
      <c r="F42926"/>
    </row>
    <row r="42927" spans="1:6" x14ac:dyDescent="0.25">
      <c r="A42927"/>
      <c r="B42927"/>
      <c r="C42927"/>
      <c r="E42927"/>
      <c r="F42927"/>
    </row>
    <row r="42928" spans="1:6" x14ac:dyDescent="0.25">
      <c r="A42928"/>
      <c r="B42928"/>
      <c r="C42928"/>
      <c r="E42928"/>
      <c r="F42928"/>
    </row>
    <row r="42929" spans="1:6" x14ac:dyDescent="0.25">
      <c r="A42929"/>
      <c r="B42929"/>
      <c r="C42929"/>
      <c r="E42929"/>
      <c r="F42929"/>
    </row>
    <row r="42930" spans="1:6" x14ac:dyDescent="0.25">
      <c r="A42930"/>
      <c r="B42930"/>
      <c r="C42930"/>
      <c r="E42930"/>
      <c r="F42930"/>
    </row>
    <row r="42931" spans="1:6" x14ac:dyDescent="0.25">
      <c r="A42931"/>
      <c r="B42931"/>
      <c r="C42931"/>
      <c r="E42931"/>
      <c r="F42931"/>
    </row>
    <row r="42932" spans="1:6" x14ac:dyDescent="0.25">
      <c r="A42932"/>
      <c r="B42932"/>
      <c r="C42932"/>
      <c r="E42932"/>
      <c r="F42932"/>
    </row>
    <row r="42933" spans="1:6" x14ac:dyDescent="0.25">
      <c r="A42933"/>
      <c r="B42933"/>
      <c r="C42933"/>
      <c r="E42933"/>
      <c r="F42933"/>
    </row>
    <row r="42934" spans="1:6" x14ac:dyDescent="0.25">
      <c r="A42934"/>
      <c r="B42934"/>
      <c r="C42934"/>
      <c r="E42934"/>
      <c r="F42934"/>
    </row>
    <row r="42935" spans="1:6" x14ac:dyDescent="0.25">
      <c r="A42935"/>
      <c r="B42935"/>
      <c r="C42935"/>
      <c r="E42935"/>
      <c r="F42935"/>
    </row>
    <row r="42936" spans="1:6" x14ac:dyDescent="0.25">
      <c r="A42936"/>
      <c r="B42936"/>
      <c r="C42936"/>
      <c r="E42936"/>
      <c r="F42936"/>
    </row>
    <row r="42937" spans="1:6" x14ac:dyDescent="0.25">
      <c r="A42937"/>
      <c r="B42937"/>
      <c r="C42937"/>
      <c r="E42937"/>
      <c r="F42937"/>
    </row>
    <row r="42938" spans="1:6" x14ac:dyDescent="0.25">
      <c r="A42938"/>
      <c r="B42938"/>
      <c r="C42938"/>
      <c r="E42938"/>
      <c r="F42938"/>
    </row>
    <row r="42939" spans="1:6" x14ac:dyDescent="0.25">
      <c r="A42939"/>
      <c r="B42939"/>
      <c r="C42939"/>
      <c r="E42939"/>
      <c r="F42939"/>
    </row>
    <row r="42940" spans="1:6" x14ac:dyDescent="0.25">
      <c r="A42940"/>
      <c r="B42940"/>
      <c r="C42940"/>
      <c r="E42940"/>
      <c r="F42940"/>
    </row>
    <row r="42941" spans="1:6" x14ac:dyDescent="0.25">
      <c r="A42941"/>
      <c r="B42941"/>
      <c r="C42941"/>
      <c r="E42941"/>
      <c r="F42941"/>
    </row>
    <row r="42942" spans="1:6" x14ac:dyDescent="0.25">
      <c r="A42942"/>
      <c r="B42942"/>
      <c r="C42942"/>
      <c r="E42942"/>
      <c r="F42942"/>
    </row>
    <row r="42943" spans="1:6" x14ac:dyDescent="0.25">
      <c r="A42943"/>
      <c r="B42943"/>
      <c r="C42943"/>
      <c r="E42943"/>
      <c r="F42943"/>
    </row>
    <row r="42944" spans="1:6" x14ac:dyDescent="0.25">
      <c r="A42944"/>
      <c r="B42944"/>
      <c r="C42944"/>
      <c r="E42944"/>
      <c r="F42944"/>
    </row>
    <row r="42945" spans="1:6" x14ac:dyDescent="0.25">
      <c r="A42945"/>
      <c r="B42945"/>
      <c r="C42945"/>
      <c r="E42945"/>
      <c r="F42945"/>
    </row>
    <row r="42946" spans="1:6" x14ac:dyDescent="0.25">
      <c r="A42946"/>
      <c r="B42946"/>
      <c r="C42946"/>
      <c r="E42946"/>
      <c r="F42946"/>
    </row>
    <row r="42947" spans="1:6" x14ac:dyDescent="0.25">
      <c r="A42947"/>
      <c r="B42947"/>
      <c r="C42947"/>
      <c r="E42947"/>
      <c r="F42947"/>
    </row>
    <row r="42948" spans="1:6" x14ac:dyDescent="0.25">
      <c r="A42948"/>
      <c r="B42948"/>
      <c r="C42948"/>
      <c r="E42948"/>
      <c r="F42948"/>
    </row>
    <row r="42949" spans="1:6" x14ac:dyDescent="0.25">
      <c r="A42949"/>
      <c r="B42949"/>
      <c r="C42949"/>
      <c r="E42949"/>
      <c r="F42949"/>
    </row>
    <row r="42950" spans="1:6" x14ac:dyDescent="0.25">
      <c r="A42950"/>
      <c r="B42950"/>
      <c r="C42950"/>
      <c r="E42950"/>
      <c r="F42950"/>
    </row>
    <row r="42951" spans="1:6" x14ac:dyDescent="0.25">
      <c r="A42951"/>
      <c r="B42951"/>
      <c r="C42951"/>
      <c r="E42951"/>
      <c r="F42951"/>
    </row>
    <row r="42952" spans="1:6" x14ac:dyDescent="0.25">
      <c r="A42952"/>
      <c r="B42952"/>
      <c r="C42952"/>
      <c r="E42952"/>
      <c r="F42952"/>
    </row>
    <row r="42953" spans="1:6" x14ac:dyDescent="0.25">
      <c r="A42953"/>
      <c r="B42953"/>
      <c r="C42953"/>
      <c r="E42953"/>
      <c r="F42953"/>
    </row>
    <row r="42954" spans="1:6" x14ac:dyDescent="0.25">
      <c r="A42954"/>
      <c r="B42954"/>
      <c r="C42954"/>
      <c r="E42954"/>
      <c r="F42954"/>
    </row>
    <row r="42955" spans="1:6" x14ac:dyDescent="0.25">
      <c r="A42955"/>
      <c r="B42955"/>
      <c r="C42955"/>
      <c r="E42955"/>
      <c r="F42955"/>
    </row>
    <row r="42956" spans="1:6" x14ac:dyDescent="0.25">
      <c r="A42956"/>
      <c r="B42956"/>
      <c r="C42956"/>
      <c r="E42956"/>
      <c r="F42956"/>
    </row>
    <row r="42957" spans="1:6" x14ac:dyDescent="0.25">
      <c r="A42957"/>
      <c r="B42957"/>
      <c r="C42957"/>
      <c r="E42957"/>
      <c r="F42957"/>
    </row>
    <row r="42958" spans="1:6" x14ac:dyDescent="0.25">
      <c r="A42958"/>
      <c r="B42958"/>
      <c r="C42958"/>
      <c r="E42958"/>
      <c r="F42958"/>
    </row>
    <row r="42959" spans="1:6" x14ac:dyDescent="0.25">
      <c r="A42959"/>
      <c r="B42959"/>
      <c r="C42959"/>
      <c r="E42959"/>
      <c r="F42959"/>
    </row>
    <row r="42960" spans="1:6" x14ac:dyDescent="0.25">
      <c r="A42960"/>
      <c r="B42960"/>
      <c r="C42960"/>
      <c r="E42960"/>
      <c r="F42960"/>
    </row>
    <row r="42961" spans="1:6" x14ac:dyDescent="0.25">
      <c r="A42961"/>
      <c r="B42961"/>
      <c r="C42961"/>
      <c r="E42961"/>
      <c r="F42961"/>
    </row>
    <row r="42962" spans="1:6" x14ac:dyDescent="0.25">
      <c r="A42962"/>
      <c r="B42962"/>
      <c r="C42962"/>
      <c r="E42962"/>
      <c r="F42962"/>
    </row>
    <row r="42963" spans="1:6" x14ac:dyDescent="0.25">
      <c r="A42963"/>
      <c r="B42963"/>
      <c r="C42963"/>
      <c r="E42963"/>
      <c r="F42963"/>
    </row>
    <row r="42964" spans="1:6" x14ac:dyDescent="0.25">
      <c r="A42964"/>
      <c r="B42964"/>
      <c r="C42964"/>
      <c r="E42964"/>
      <c r="F42964"/>
    </row>
    <row r="42965" spans="1:6" x14ac:dyDescent="0.25">
      <c r="A42965"/>
      <c r="B42965"/>
      <c r="C42965"/>
      <c r="E42965"/>
      <c r="F42965"/>
    </row>
    <row r="42966" spans="1:6" x14ac:dyDescent="0.25">
      <c r="A42966"/>
      <c r="B42966"/>
      <c r="C42966"/>
      <c r="E42966"/>
      <c r="F42966"/>
    </row>
    <row r="42967" spans="1:6" x14ac:dyDescent="0.25">
      <c r="A42967"/>
      <c r="B42967"/>
      <c r="C42967"/>
      <c r="E42967"/>
      <c r="F42967"/>
    </row>
    <row r="42968" spans="1:6" x14ac:dyDescent="0.25">
      <c r="A42968"/>
      <c r="B42968"/>
      <c r="C42968"/>
      <c r="E42968"/>
      <c r="F42968"/>
    </row>
    <row r="42969" spans="1:6" x14ac:dyDescent="0.25">
      <c r="A42969"/>
      <c r="B42969"/>
      <c r="C42969"/>
      <c r="E42969"/>
      <c r="F42969"/>
    </row>
    <row r="42970" spans="1:6" x14ac:dyDescent="0.25">
      <c r="A42970"/>
      <c r="B42970"/>
      <c r="C42970"/>
      <c r="E42970"/>
      <c r="F42970"/>
    </row>
    <row r="42971" spans="1:6" x14ac:dyDescent="0.25">
      <c r="A42971"/>
      <c r="B42971"/>
      <c r="C42971"/>
      <c r="E42971"/>
      <c r="F42971"/>
    </row>
    <row r="42972" spans="1:6" x14ac:dyDescent="0.25">
      <c r="A42972"/>
      <c r="B42972"/>
      <c r="C42972"/>
      <c r="E42972"/>
      <c r="F42972"/>
    </row>
    <row r="42973" spans="1:6" x14ac:dyDescent="0.25">
      <c r="A42973"/>
      <c r="B42973"/>
      <c r="C42973"/>
      <c r="E42973"/>
      <c r="F42973"/>
    </row>
    <row r="42974" spans="1:6" x14ac:dyDescent="0.25">
      <c r="A42974"/>
      <c r="B42974"/>
      <c r="C42974"/>
      <c r="E42974"/>
      <c r="F42974"/>
    </row>
    <row r="42975" spans="1:6" x14ac:dyDescent="0.25">
      <c r="A42975"/>
      <c r="B42975"/>
      <c r="C42975"/>
      <c r="E42975"/>
      <c r="F42975"/>
    </row>
    <row r="42976" spans="1:6" x14ac:dyDescent="0.25">
      <c r="A42976"/>
      <c r="B42976"/>
      <c r="C42976"/>
      <c r="E42976"/>
      <c r="F42976"/>
    </row>
    <row r="42977" spans="1:6" x14ac:dyDescent="0.25">
      <c r="A42977"/>
      <c r="B42977"/>
      <c r="C42977"/>
      <c r="E42977"/>
      <c r="F42977"/>
    </row>
    <row r="42978" spans="1:6" x14ac:dyDescent="0.25">
      <c r="A42978"/>
      <c r="B42978"/>
      <c r="C42978"/>
      <c r="E42978"/>
      <c r="F42978"/>
    </row>
    <row r="42979" spans="1:6" x14ac:dyDescent="0.25">
      <c r="A42979"/>
      <c r="B42979"/>
      <c r="C42979"/>
      <c r="E42979"/>
      <c r="F42979"/>
    </row>
    <row r="42980" spans="1:6" x14ac:dyDescent="0.25">
      <c r="A42980"/>
      <c r="B42980"/>
      <c r="C42980"/>
      <c r="E42980"/>
      <c r="F42980"/>
    </row>
    <row r="42981" spans="1:6" x14ac:dyDescent="0.25">
      <c r="A42981"/>
      <c r="B42981"/>
      <c r="C42981"/>
      <c r="E42981"/>
      <c r="F42981"/>
    </row>
    <row r="42982" spans="1:6" x14ac:dyDescent="0.25">
      <c r="A42982"/>
      <c r="B42982"/>
      <c r="C42982"/>
      <c r="E42982"/>
      <c r="F42982"/>
    </row>
    <row r="42983" spans="1:6" x14ac:dyDescent="0.25">
      <c r="A42983"/>
      <c r="B42983"/>
      <c r="C42983"/>
      <c r="E42983"/>
      <c r="F42983"/>
    </row>
    <row r="42984" spans="1:6" x14ac:dyDescent="0.25">
      <c r="A42984"/>
      <c r="B42984"/>
      <c r="C42984"/>
      <c r="E42984"/>
      <c r="F42984"/>
    </row>
    <row r="42985" spans="1:6" x14ac:dyDescent="0.25">
      <c r="A42985"/>
      <c r="B42985"/>
      <c r="C42985"/>
      <c r="E42985"/>
      <c r="F42985"/>
    </row>
    <row r="42986" spans="1:6" x14ac:dyDescent="0.25">
      <c r="A42986"/>
      <c r="B42986"/>
      <c r="C42986"/>
      <c r="E42986"/>
      <c r="F42986"/>
    </row>
    <row r="42987" spans="1:6" x14ac:dyDescent="0.25">
      <c r="A42987"/>
      <c r="B42987"/>
      <c r="C42987"/>
      <c r="E42987"/>
      <c r="F42987"/>
    </row>
    <row r="42988" spans="1:6" x14ac:dyDescent="0.25">
      <c r="A42988"/>
      <c r="B42988"/>
      <c r="C42988"/>
      <c r="E42988"/>
      <c r="F42988"/>
    </row>
    <row r="42989" spans="1:6" x14ac:dyDescent="0.25">
      <c r="A42989"/>
      <c r="B42989"/>
      <c r="C42989"/>
      <c r="E42989"/>
      <c r="F42989"/>
    </row>
    <row r="42990" spans="1:6" x14ac:dyDescent="0.25">
      <c r="A42990"/>
      <c r="B42990"/>
      <c r="C42990"/>
      <c r="E42990"/>
      <c r="F42990"/>
    </row>
    <row r="42991" spans="1:6" x14ac:dyDescent="0.25">
      <c r="A42991"/>
      <c r="B42991"/>
      <c r="C42991"/>
      <c r="E42991"/>
      <c r="F42991"/>
    </row>
    <row r="42992" spans="1:6" x14ac:dyDescent="0.25">
      <c r="A42992"/>
      <c r="B42992"/>
      <c r="C42992"/>
      <c r="E42992"/>
      <c r="F42992"/>
    </row>
    <row r="42993" spans="1:6" x14ac:dyDescent="0.25">
      <c r="A42993"/>
      <c r="B42993"/>
      <c r="C42993"/>
      <c r="E42993"/>
      <c r="F42993"/>
    </row>
    <row r="42994" spans="1:6" x14ac:dyDescent="0.25">
      <c r="A42994"/>
      <c r="B42994"/>
      <c r="C42994"/>
      <c r="E42994"/>
      <c r="F42994"/>
    </row>
    <row r="42995" spans="1:6" x14ac:dyDescent="0.25">
      <c r="A42995"/>
      <c r="B42995"/>
      <c r="C42995"/>
      <c r="E42995"/>
      <c r="F42995"/>
    </row>
    <row r="42996" spans="1:6" x14ac:dyDescent="0.25">
      <c r="A42996"/>
      <c r="B42996"/>
      <c r="C42996"/>
      <c r="E42996"/>
      <c r="F42996"/>
    </row>
    <row r="42997" spans="1:6" x14ac:dyDescent="0.25">
      <c r="A42997"/>
      <c r="B42997"/>
      <c r="C42997"/>
      <c r="E42997"/>
      <c r="F42997"/>
    </row>
    <row r="42998" spans="1:6" x14ac:dyDescent="0.25">
      <c r="A42998"/>
      <c r="B42998"/>
      <c r="C42998"/>
      <c r="E42998"/>
      <c r="F42998"/>
    </row>
    <row r="42999" spans="1:6" x14ac:dyDescent="0.25">
      <c r="A42999"/>
      <c r="B42999"/>
      <c r="C42999"/>
      <c r="E42999"/>
      <c r="F42999"/>
    </row>
    <row r="43000" spans="1:6" x14ac:dyDescent="0.25">
      <c r="A43000"/>
      <c r="B43000"/>
      <c r="C43000"/>
      <c r="E43000"/>
      <c r="F43000"/>
    </row>
    <row r="43001" spans="1:6" x14ac:dyDescent="0.25">
      <c r="A43001"/>
      <c r="B43001"/>
      <c r="C43001"/>
      <c r="E43001"/>
      <c r="F43001"/>
    </row>
    <row r="43002" spans="1:6" x14ac:dyDescent="0.25">
      <c r="A43002"/>
      <c r="B43002"/>
      <c r="C43002"/>
      <c r="E43002"/>
      <c r="F43002"/>
    </row>
    <row r="43003" spans="1:6" x14ac:dyDescent="0.25">
      <c r="A43003"/>
      <c r="B43003"/>
      <c r="C43003"/>
      <c r="E43003"/>
      <c r="F43003"/>
    </row>
    <row r="43004" spans="1:6" x14ac:dyDescent="0.25">
      <c r="A43004"/>
      <c r="B43004"/>
      <c r="C43004"/>
      <c r="E43004"/>
      <c r="F43004"/>
    </row>
    <row r="43005" spans="1:6" x14ac:dyDescent="0.25">
      <c r="A43005"/>
      <c r="B43005"/>
      <c r="C43005"/>
      <c r="E43005"/>
      <c r="F43005"/>
    </row>
    <row r="43006" spans="1:6" x14ac:dyDescent="0.25">
      <c r="A43006"/>
      <c r="B43006"/>
      <c r="C43006"/>
      <c r="E43006"/>
      <c r="F43006"/>
    </row>
    <row r="43007" spans="1:6" x14ac:dyDescent="0.25">
      <c r="A43007"/>
      <c r="B43007"/>
      <c r="C43007"/>
      <c r="E43007"/>
      <c r="F43007"/>
    </row>
    <row r="43008" spans="1:6" x14ac:dyDescent="0.25">
      <c r="A43008"/>
      <c r="B43008"/>
      <c r="C43008"/>
      <c r="E43008"/>
      <c r="F43008"/>
    </row>
    <row r="43009" spans="1:6" x14ac:dyDescent="0.25">
      <c r="A43009"/>
      <c r="B43009"/>
      <c r="C43009"/>
      <c r="E43009"/>
      <c r="F43009"/>
    </row>
    <row r="43010" spans="1:6" x14ac:dyDescent="0.25">
      <c r="A43010"/>
      <c r="B43010"/>
      <c r="C43010"/>
      <c r="E43010"/>
      <c r="F43010"/>
    </row>
    <row r="43011" spans="1:6" x14ac:dyDescent="0.25">
      <c r="A43011"/>
      <c r="B43011"/>
      <c r="C43011"/>
      <c r="E43011"/>
      <c r="F43011"/>
    </row>
    <row r="43012" spans="1:6" x14ac:dyDescent="0.25">
      <c r="A43012"/>
      <c r="B43012"/>
      <c r="C43012"/>
      <c r="E43012"/>
      <c r="F43012"/>
    </row>
    <row r="43013" spans="1:6" x14ac:dyDescent="0.25">
      <c r="A43013"/>
      <c r="B43013"/>
      <c r="C43013"/>
      <c r="E43013"/>
      <c r="F43013"/>
    </row>
    <row r="43014" spans="1:6" x14ac:dyDescent="0.25">
      <c r="A43014"/>
      <c r="B43014"/>
      <c r="C43014"/>
      <c r="E43014"/>
      <c r="F43014"/>
    </row>
    <row r="43015" spans="1:6" x14ac:dyDescent="0.25">
      <c r="A43015"/>
      <c r="B43015"/>
      <c r="C43015"/>
      <c r="E43015"/>
      <c r="F43015"/>
    </row>
    <row r="43016" spans="1:6" x14ac:dyDescent="0.25">
      <c r="A43016"/>
      <c r="B43016"/>
      <c r="C43016"/>
      <c r="E43016"/>
      <c r="F43016"/>
    </row>
    <row r="43017" spans="1:6" x14ac:dyDescent="0.25">
      <c r="A43017"/>
      <c r="B43017"/>
      <c r="C43017"/>
      <c r="E43017"/>
      <c r="F43017"/>
    </row>
    <row r="43018" spans="1:6" x14ac:dyDescent="0.25">
      <c r="A43018"/>
      <c r="B43018"/>
      <c r="C43018"/>
      <c r="E43018"/>
      <c r="F43018"/>
    </row>
    <row r="43019" spans="1:6" x14ac:dyDescent="0.25">
      <c r="A43019"/>
      <c r="B43019"/>
      <c r="C43019"/>
      <c r="E43019"/>
      <c r="F43019"/>
    </row>
    <row r="43020" spans="1:6" x14ac:dyDescent="0.25">
      <c r="A43020"/>
      <c r="B43020"/>
      <c r="C43020"/>
      <c r="E43020"/>
      <c r="F43020"/>
    </row>
    <row r="43021" spans="1:6" x14ac:dyDescent="0.25">
      <c r="A43021"/>
      <c r="B43021"/>
      <c r="C43021"/>
      <c r="E43021"/>
      <c r="F43021"/>
    </row>
    <row r="43022" spans="1:6" x14ac:dyDescent="0.25">
      <c r="A43022"/>
      <c r="B43022"/>
      <c r="C43022"/>
      <c r="E43022"/>
      <c r="F43022"/>
    </row>
    <row r="43023" spans="1:6" x14ac:dyDescent="0.25">
      <c r="A43023"/>
      <c r="B43023"/>
      <c r="C43023"/>
      <c r="E43023"/>
      <c r="F43023"/>
    </row>
    <row r="43024" spans="1:6" x14ac:dyDescent="0.25">
      <c r="A43024"/>
      <c r="B43024"/>
      <c r="C43024"/>
      <c r="E43024"/>
      <c r="F43024"/>
    </row>
    <row r="43025" spans="1:6" x14ac:dyDescent="0.25">
      <c r="A43025"/>
      <c r="B43025"/>
      <c r="C43025"/>
      <c r="E43025"/>
      <c r="F43025"/>
    </row>
    <row r="43026" spans="1:6" x14ac:dyDescent="0.25">
      <c r="A43026"/>
      <c r="B43026"/>
      <c r="C43026"/>
      <c r="E43026"/>
      <c r="F43026"/>
    </row>
    <row r="43027" spans="1:6" x14ac:dyDescent="0.25">
      <c r="A43027"/>
      <c r="B43027"/>
      <c r="C43027"/>
      <c r="E43027"/>
      <c r="F43027"/>
    </row>
    <row r="43028" spans="1:6" x14ac:dyDescent="0.25">
      <c r="A43028"/>
      <c r="B43028"/>
      <c r="C43028"/>
      <c r="E43028"/>
      <c r="F43028"/>
    </row>
    <row r="43029" spans="1:6" x14ac:dyDescent="0.25">
      <c r="A43029"/>
      <c r="B43029"/>
      <c r="C43029"/>
      <c r="E43029"/>
      <c r="F43029"/>
    </row>
    <row r="43030" spans="1:6" x14ac:dyDescent="0.25">
      <c r="A43030"/>
      <c r="B43030"/>
      <c r="C43030"/>
      <c r="E43030"/>
      <c r="F43030"/>
    </row>
    <row r="43031" spans="1:6" x14ac:dyDescent="0.25">
      <c r="A43031"/>
      <c r="B43031"/>
      <c r="C43031"/>
      <c r="E43031"/>
      <c r="F43031"/>
    </row>
    <row r="43032" spans="1:6" x14ac:dyDescent="0.25">
      <c r="A43032"/>
      <c r="B43032"/>
      <c r="C43032"/>
      <c r="E43032"/>
      <c r="F43032"/>
    </row>
    <row r="43033" spans="1:6" x14ac:dyDescent="0.25">
      <c r="A43033"/>
      <c r="B43033"/>
      <c r="C43033"/>
      <c r="E43033"/>
      <c r="F43033"/>
    </row>
    <row r="43034" spans="1:6" x14ac:dyDescent="0.25">
      <c r="A43034"/>
      <c r="B43034"/>
      <c r="C43034"/>
      <c r="E43034"/>
      <c r="F43034"/>
    </row>
    <row r="43035" spans="1:6" x14ac:dyDescent="0.25">
      <c r="A43035"/>
      <c r="B43035"/>
      <c r="C43035"/>
      <c r="E43035"/>
      <c r="F43035"/>
    </row>
    <row r="43036" spans="1:6" x14ac:dyDescent="0.25">
      <c r="A43036"/>
      <c r="B43036"/>
      <c r="C43036"/>
      <c r="E43036"/>
      <c r="F43036"/>
    </row>
    <row r="43037" spans="1:6" x14ac:dyDescent="0.25">
      <c r="A43037"/>
      <c r="B43037"/>
      <c r="C43037"/>
      <c r="E43037"/>
      <c r="F43037"/>
    </row>
    <row r="43038" spans="1:6" x14ac:dyDescent="0.25">
      <c r="A43038"/>
      <c r="B43038"/>
      <c r="C43038"/>
      <c r="E43038"/>
      <c r="F43038"/>
    </row>
    <row r="43039" spans="1:6" x14ac:dyDescent="0.25">
      <c r="A43039"/>
      <c r="B43039"/>
      <c r="C43039"/>
      <c r="E43039"/>
      <c r="F43039"/>
    </row>
    <row r="43040" spans="1:6" x14ac:dyDescent="0.25">
      <c r="A43040"/>
      <c r="B43040"/>
      <c r="C43040"/>
      <c r="E43040"/>
      <c r="F43040"/>
    </row>
    <row r="43041" spans="1:6" x14ac:dyDescent="0.25">
      <c r="A43041"/>
      <c r="B43041"/>
      <c r="C43041"/>
      <c r="E43041"/>
      <c r="F43041"/>
    </row>
    <row r="43042" spans="1:6" x14ac:dyDescent="0.25">
      <c r="A43042"/>
      <c r="B43042"/>
      <c r="C43042"/>
      <c r="E43042"/>
      <c r="F43042"/>
    </row>
    <row r="43043" spans="1:6" x14ac:dyDescent="0.25">
      <c r="A43043"/>
      <c r="B43043"/>
      <c r="C43043"/>
      <c r="E43043"/>
      <c r="F43043"/>
    </row>
    <row r="43044" spans="1:6" x14ac:dyDescent="0.25">
      <c r="A43044"/>
      <c r="B43044"/>
      <c r="C43044"/>
      <c r="E43044"/>
      <c r="F43044"/>
    </row>
    <row r="43045" spans="1:6" x14ac:dyDescent="0.25">
      <c r="A43045"/>
      <c r="B43045"/>
      <c r="C43045"/>
      <c r="E43045"/>
      <c r="F43045"/>
    </row>
    <row r="43046" spans="1:6" x14ac:dyDescent="0.25">
      <c r="A43046"/>
      <c r="B43046"/>
      <c r="C43046"/>
      <c r="E43046"/>
      <c r="F43046"/>
    </row>
    <row r="43047" spans="1:6" x14ac:dyDescent="0.25">
      <c r="A43047"/>
      <c r="B43047"/>
      <c r="C43047"/>
      <c r="E43047"/>
      <c r="F43047"/>
    </row>
    <row r="43048" spans="1:6" x14ac:dyDescent="0.25">
      <c r="A43048"/>
      <c r="B43048"/>
      <c r="C43048"/>
      <c r="E43048"/>
      <c r="F43048"/>
    </row>
    <row r="43049" spans="1:6" x14ac:dyDescent="0.25">
      <c r="A43049"/>
      <c r="B43049"/>
      <c r="C43049"/>
      <c r="E43049"/>
      <c r="F43049"/>
    </row>
    <row r="43050" spans="1:6" x14ac:dyDescent="0.25">
      <c r="A43050"/>
      <c r="B43050"/>
      <c r="C43050"/>
      <c r="E43050"/>
      <c r="F43050"/>
    </row>
    <row r="43051" spans="1:6" x14ac:dyDescent="0.25">
      <c r="A43051"/>
      <c r="B43051"/>
      <c r="C43051"/>
      <c r="E43051"/>
      <c r="F43051"/>
    </row>
    <row r="43052" spans="1:6" x14ac:dyDescent="0.25">
      <c r="A43052"/>
      <c r="B43052"/>
      <c r="C43052"/>
      <c r="E43052"/>
      <c r="F43052"/>
    </row>
    <row r="43053" spans="1:6" x14ac:dyDescent="0.25">
      <c r="A43053"/>
      <c r="B43053"/>
      <c r="C43053"/>
      <c r="E43053"/>
      <c r="F43053"/>
    </row>
    <row r="43054" spans="1:6" x14ac:dyDescent="0.25">
      <c r="A43054"/>
      <c r="B43054"/>
      <c r="C43054"/>
      <c r="E43054"/>
      <c r="F43054"/>
    </row>
    <row r="43055" spans="1:6" x14ac:dyDescent="0.25">
      <c r="A43055"/>
      <c r="B43055"/>
      <c r="C43055"/>
      <c r="E43055"/>
      <c r="F43055"/>
    </row>
    <row r="43056" spans="1:6" x14ac:dyDescent="0.25">
      <c r="A43056"/>
      <c r="B43056"/>
      <c r="C43056"/>
      <c r="E43056"/>
      <c r="F43056"/>
    </row>
    <row r="43057" spans="1:6" x14ac:dyDescent="0.25">
      <c r="A43057"/>
      <c r="B43057"/>
      <c r="C43057"/>
      <c r="E43057"/>
      <c r="F43057"/>
    </row>
    <row r="43058" spans="1:6" x14ac:dyDescent="0.25">
      <c r="A43058"/>
      <c r="B43058"/>
      <c r="C43058"/>
      <c r="E43058"/>
      <c r="F43058"/>
    </row>
    <row r="43059" spans="1:6" x14ac:dyDescent="0.25">
      <c r="A43059"/>
      <c r="B43059"/>
      <c r="C43059"/>
      <c r="E43059"/>
      <c r="F43059"/>
    </row>
    <row r="43060" spans="1:6" x14ac:dyDescent="0.25">
      <c r="A43060"/>
      <c r="B43060"/>
      <c r="C43060"/>
      <c r="E43060"/>
      <c r="F43060"/>
    </row>
    <row r="43061" spans="1:6" x14ac:dyDescent="0.25">
      <c r="A43061"/>
      <c r="B43061"/>
      <c r="C43061"/>
      <c r="E43061"/>
      <c r="F43061"/>
    </row>
    <row r="43062" spans="1:6" x14ac:dyDescent="0.25">
      <c r="A43062"/>
      <c r="B43062"/>
      <c r="C43062"/>
      <c r="E43062"/>
      <c r="F43062"/>
    </row>
    <row r="43063" spans="1:6" x14ac:dyDescent="0.25">
      <c r="A43063"/>
      <c r="B43063"/>
      <c r="C43063"/>
      <c r="E43063"/>
      <c r="F43063"/>
    </row>
    <row r="43064" spans="1:6" x14ac:dyDescent="0.25">
      <c r="A43064"/>
      <c r="B43064"/>
      <c r="C43064"/>
      <c r="E43064"/>
      <c r="F43064"/>
    </row>
    <row r="43065" spans="1:6" x14ac:dyDescent="0.25">
      <c r="A43065"/>
      <c r="B43065"/>
      <c r="C43065"/>
      <c r="E43065"/>
      <c r="F43065"/>
    </row>
    <row r="43066" spans="1:6" x14ac:dyDescent="0.25">
      <c r="A43066"/>
      <c r="B43066"/>
      <c r="C43066"/>
      <c r="E43066"/>
      <c r="F43066"/>
    </row>
    <row r="43067" spans="1:6" x14ac:dyDescent="0.25">
      <c r="A43067"/>
      <c r="B43067"/>
      <c r="C43067"/>
      <c r="E43067"/>
      <c r="F43067"/>
    </row>
    <row r="43068" spans="1:6" x14ac:dyDescent="0.25">
      <c r="A43068"/>
      <c r="B43068"/>
      <c r="C43068"/>
      <c r="E43068"/>
      <c r="F43068"/>
    </row>
    <row r="43069" spans="1:6" x14ac:dyDescent="0.25">
      <c r="A43069"/>
      <c r="B43069"/>
      <c r="C43069"/>
      <c r="E43069"/>
      <c r="F43069"/>
    </row>
    <row r="43070" spans="1:6" x14ac:dyDescent="0.25">
      <c r="A43070"/>
      <c r="B43070"/>
      <c r="C43070"/>
      <c r="E43070"/>
      <c r="F43070"/>
    </row>
    <row r="43071" spans="1:6" x14ac:dyDescent="0.25">
      <c r="A43071"/>
      <c r="B43071"/>
      <c r="C43071"/>
      <c r="E43071"/>
      <c r="F43071"/>
    </row>
    <row r="43072" spans="1:6" x14ac:dyDescent="0.25">
      <c r="A43072"/>
      <c r="B43072"/>
      <c r="C43072"/>
      <c r="E43072"/>
      <c r="F43072"/>
    </row>
    <row r="43073" spans="1:6" x14ac:dyDescent="0.25">
      <c r="A43073"/>
      <c r="B43073"/>
      <c r="C43073"/>
      <c r="E43073"/>
      <c r="F43073"/>
    </row>
    <row r="43074" spans="1:6" x14ac:dyDescent="0.25">
      <c r="A43074"/>
      <c r="B43074"/>
      <c r="C43074"/>
      <c r="E43074"/>
      <c r="F43074"/>
    </row>
    <row r="43075" spans="1:6" x14ac:dyDescent="0.25">
      <c r="A43075"/>
      <c r="B43075"/>
      <c r="C43075"/>
      <c r="E43075"/>
      <c r="F43075"/>
    </row>
    <row r="43076" spans="1:6" x14ac:dyDescent="0.25">
      <c r="A43076"/>
      <c r="B43076"/>
      <c r="C43076"/>
      <c r="E43076"/>
      <c r="F43076"/>
    </row>
    <row r="43077" spans="1:6" x14ac:dyDescent="0.25">
      <c r="A43077"/>
      <c r="B43077"/>
      <c r="C43077"/>
      <c r="E43077"/>
      <c r="F43077"/>
    </row>
    <row r="43078" spans="1:6" x14ac:dyDescent="0.25">
      <c r="A43078"/>
      <c r="B43078"/>
      <c r="C43078"/>
      <c r="E43078"/>
      <c r="F43078"/>
    </row>
    <row r="43079" spans="1:6" x14ac:dyDescent="0.25">
      <c r="A43079"/>
      <c r="B43079"/>
      <c r="C43079"/>
      <c r="E43079"/>
      <c r="F43079"/>
    </row>
    <row r="43080" spans="1:6" x14ac:dyDescent="0.25">
      <c r="A43080"/>
      <c r="B43080"/>
      <c r="C43080"/>
      <c r="E43080"/>
      <c r="F43080"/>
    </row>
    <row r="43081" spans="1:6" x14ac:dyDescent="0.25">
      <c r="A43081"/>
      <c r="B43081"/>
      <c r="C43081"/>
      <c r="E43081"/>
      <c r="F43081"/>
    </row>
    <row r="43082" spans="1:6" x14ac:dyDescent="0.25">
      <c r="A43082"/>
      <c r="B43082"/>
      <c r="C43082"/>
      <c r="E43082"/>
      <c r="F43082"/>
    </row>
    <row r="43083" spans="1:6" x14ac:dyDescent="0.25">
      <c r="A43083"/>
      <c r="B43083"/>
      <c r="C43083"/>
      <c r="E43083"/>
      <c r="F43083"/>
    </row>
    <row r="43084" spans="1:6" x14ac:dyDescent="0.25">
      <c r="A43084"/>
      <c r="B43084"/>
      <c r="C43084"/>
      <c r="E43084"/>
      <c r="F43084"/>
    </row>
    <row r="43085" spans="1:6" x14ac:dyDescent="0.25">
      <c r="A43085"/>
      <c r="B43085"/>
      <c r="C43085"/>
      <c r="E43085"/>
      <c r="F43085"/>
    </row>
    <row r="43086" spans="1:6" x14ac:dyDescent="0.25">
      <c r="A43086"/>
      <c r="B43086"/>
      <c r="C43086"/>
      <c r="E43086"/>
      <c r="F43086"/>
    </row>
    <row r="43087" spans="1:6" x14ac:dyDescent="0.25">
      <c r="A43087"/>
      <c r="B43087"/>
      <c r="C43087"/>
      <c r="E43087"/>
      <c r="F43087"/>
    </row>
    <row r="43088" spans="1:6" x14ac:dyDescent="0.25">
      <c r="A43088"/>
      <c r="B43088"/>
      <c r="C43088"/>
      <c r="E43088"/>
      <c r="F43088"/>
    </row>
    <row r="43089" spans="1:6" x14ac:dyDescent="0.25">
      <c r="A43089"/>
      <c r="B43089"/>
      <c r="C43089"/>
      <c r="E43089"/>
      <c r="F43089"/>
    </row>
    <row r="43090" spans="1:6" x14ac:dyDescent="0.25">
      <c r="A43090"/>
      <c r="B43090"/>
      <c r="C43090"/>
      <c r="E43090"/>
      <c r="F43090"/>
    </row>
    <row r="43091" spans="1:6" x14ac:dyDescent="0.25">
      <c r="A43091"/>
      <c r="B43091"/>
      <c r="C43091"/>
      <c r="E43091"/>
      <c r="F43091"/>
    </row>
    <row r="43092" spans="1:6" x14ac:dyDescent="0.25">
      <c r="A43092"/>
      <c r="B43092"/>
      <c r="C43092"/>
      <c r="E43092"/>
      <c r="F43092"/>
    </row>
    <row r="43093" spans="1:6" x14ac:dyDescent="0.25">
      <c r="A43093"/>
      <c r="B43093"/>
      <c r="C43093"/>
      <c r="E43093"/>
      <c r="F43093"/>
    </row>
    <row r="43094" spans="1:6" x14ac:dyDescent="0.25">
      <c r="A43094"/>
      <c r="B43094"/>
      <c r="C43094"/>
      <c r="E43094"/>
      <c r="F43094"/>
    </row>
    <row r="43095" spans="1:6" x14ac:dyDescent="0.25">
      <c r="A43095"/>
      <c r="B43095"/>
      <c r="C43095"/>
      <c r="E43095"/>
      <c r="F43095"/>
    </row>
    <row r="43096" spans="1:6" x14ac:dyDescent="0.25">
      <c r="A43096"/>
      <c r="B43096"/>
      <c r="C43096"/>
      <c r="E43096"/>
      <c r="F43096"/>
    </row>
    <row r="43097" spans="1:6" x14ac:dyDescent="0.25">
      <c r="A43097"/>
      <c r="B43097"/>
      <c r="C43097"/>
      <c r="E43097"/>
      <c r="F43097"/>
    </row>
    <row r="43098" spans="1:6" x14ac:dyDescent="0.25">
      <c r="A43098"/>
      <c r="B43098"/>
      <c r="C43098"/>
      <c r="E43098"/>
      <c r="F43098"/>
    </row>
    <row r="43099" spans="1:6" x14ac:dyDescent="0.25">
      <c r="A43099"/>
      <c r="B43099"/>
      <c r="C43099"/>
      <c r="E43099"/>
      <c r="F43099"/>
    </row>
    <row r="43100" spans="1:6" x14ac:dyDescent="0.25">
      <c r="A43100"/>
      <c r="B43100"/>
      <c r="C43100"/>
      <c r="E43100"/>
      <c r="F43100"/>
    </row>
    <row r="43101" spans="1:6" x14ac:dyDescent="0.25">
      <c r="A43101"/>
      <c r="B43101"/>
      <c r="C43101"/>
      <c r="E43101"/>
      <c r="F43101"/>
    </row>
    <row r="43102" spans="1:6" x14ac:dyDescent="0.25">
      <c r="A43102"/>
      <c r="B43102"/>
      <c r="C43102"/>
      <c r="E43102"/>
      <c r="F43102"/>
    </row>
    <row r="43103" spans="1:6" x14ac:dyDescent="0.25">
      <c r="A43103"/>
      <c r="B43103"/>
      <c r="C43103"/>
      <c r="E43103"/>
      <c r="F43103"/>
    </row>
    <row r="43104" spans="1:6" x14ac:dyDescent="0.25">
      <c r="A43104"/>
      <c r="B43104"/>
      <c r="C43104"/>
      <c r="E43104"/>
      <c r="F43104"/>
    </row>
    <row r="43105" spans="1:6" x14ac:dyDescent="0.25">
      <c r="A43105"/>
      <c r="B43105"/>
      <c r="C43105"/>
      <c r="E43105"/>
      <c r="F43105"/>
    </row>
    <row r="43106" spans="1:6" x14ac:dyDescent="0.25">
      <c r="A43106"/>
      <c r="B43106"/>
      <c r="C43106"/>
      <c r="E43106"/>
      <c r="F43106"/>
    </row>
    <row r="43107" spans="1:6" x14ac:dyDescent="0.25">
      <c r="A43107"/>
      <c r="B43107"/>
      <c r="C43107"/>
      <c r="E43107"/>
      <c r="F43107"/>
    </row>
    <row r="43108" spans="1:6" x14ac:dyDescent="0.25">
      <c r="A43108"/>
      <c r="B43108"/>
      <c r="C43108"/>
      <c r="E43108"/>
      <c r="F43108"/>
    </row>
    <row r="43109" spans="1:6" x14ac:dyDescent="0.25">
      <c r="A43109"/>
      <c r="B43109"/>
      <c r="C43109"/>
      <c r="E43109"/>
      <c r="F43109"/>
    </row>
    <row r="43110" spans="1:6" x14ac:dyDescent="0.25">
      <c r="A43110"/>
      <c r="B43110"/>
      <c r="C43110"/>
      <c r="E43110"/>
      <c r="F43110"/>
    </row>
    <row r="43111" spans="1:6" x14ac:dyDescent="0.25">
      <c r="A43111"/>
      <c r="B43111"/>
      <c r="C43111"/>
      <c r="E43111"/>
      <c r="F43111"/>
    </row>
    <row r="43112" spans="1:6" x14ac:dyDescent="0.25">
      <c r="A43112"/>
      <c r="B43112"/>
      <c r="C43112"/>
      <c r="E43112"/>
      <c r="F43112"/>
    </row>
    <row r="43113" spans="1:6" x14ac:dyDescent="0.25">
      <c r="A43113"/>
      <c r="B43113"/>
      <c r="C43113"/>
      <c r="E43113"/>
      <c r="F43113"/>
    </row>
    <row r="43114" spans="1:6" x14ac:dyDescent="0.25">
      <c r="A43114"/>
      <c r="B43114"/>
      <c r="C43114"/>
      <c r="E43114"/>
      <c r="F43114"/>
    </row>
    <row r="43115" spans="1:6" x14ac:dyDescent="0.25">
      <c r="A43115"/>
      <c r="B43115"/>
      <c r="C43115"/>
      <c r="E43115"/>
      <c r="F43115"/>
    </row>
    <row r="43116" spans="1:6" x14ac:dyDescent="0.25">
      <c r="A43116"/>
      <c r="B43116"/>
      <c r="C43116"/>
      <c r="E43116"/>
      <c r="F43116"/>
    </row>
    <row r="43117" spans="1:6" x14ac:dyDescent="0.25">
      <c r="A43117"/>
      <c r="B43117"/>
      <c r="C43117"/>
      <c r="E43117"/>
      <c r="F43117"/>
    </row>
    <row r="43118" spans="1:6" x14ac:dyDescent="0.25">
      <c r="A43118"/>
      <c r="B43118"/>
      <c r="C43118"/>
      <c r="E43118"/>
      <c r="F43118"/>
    </row>
    <row r="43119" spans="1:6" x14ac:dyDescent="0.25">
      <c r="A43119"/>
      <c r="B43119"/>
      <c r="C43119"/>
      <c r="E43119"/>
      <c r="F43119"/>
    </row>
    <row r="43120" spans="1:6" x14ac:dyDescent="0.25">
      <c r="A43120"/>
      <c r="B43120"/>
      <c r="C43120"/>
      <c r="E43120"/>
      <c r="F43120"/>
    </row>
    <row r="43121" spans="1:6" x14ac:dyDescent="0.25">
      <c r="A43121"/>
      <c r="B43121"/>
      <c r="C43121"/>
      <c r="E43121"/>
      <c r="F43121"/>
    </row>
    <row r="43122" spans="1:6" x14ac:dyDescent="0.25">
      <c r="A43122"/>
      <c r="B43122"/>
      <c r="C43122"/>
      <c r="E43122"/>
      <c r="F43122"/>
    </row>
    <row r="43123" spans="1:6" x14ac:dyDescent="0.25">
      <c r="A43123"/>
      <c r="B43123"/>
      <c r="C43123"/>
      <c r="E43123"/>
      <c r="F43123"/>
    </row>
    <row r="43124" spans="1:6" x14ac:dyDescent="0.25">
      <c r="A43124"/>
      <c r="B43124"/>
      <c r="C43124"/>
      <c r="E43124"/>
      <c r="F43124"/>
    </row>
    <row r="43125" spans="1:6" x14ac:dyDescent="0.25">
      <c r="A43125"/>
      <c r="B43125"/>
      <c r="C43125"/>
      <c r="E43125"/>
      <c r="F43125"/>
    </row>
    <row r="43126" spans="1:6" x14ac:dyDescent="0.25">
      <c r="A43126"/>
      <c r="B43126"/>
      <c r="C43126"/>
      <c r="E43126"/>
      <c r="F43126"/>
    </row>
    <row r="43127" spans="1:6" x14ac:dyDescent="0.25">
      <c r="A43127"/>
      <c r="B43127"/>
      <c r="C43127"/>
      <c r="E43127"/>
      <c r="F43127"/>
    </row>
    <row r="43128" spans="1:6" x14ac:dyDescent="0.25">
      <c r="A43128"/>
      <c r="B43128"/>
      <c r="C43128"/>
      <c r="E43128"/>
      <c r="F43128"/>
    </row>
    <row r="43129" spans="1:6" x14ac:dyDescent="0.25">
      <c r="A43129"/>
      <c r="B43129"/>
      <c r="C43129"/>
      <c r="E43129"/>
      <c r="F43129"/>
    </row>
    <row r="43130" spans="1:6" x14ac:dyDescent="0.25">
      <c r="A43130"/>
      <c r="B43130"/>
      <c r="C43130"/>
      <c r="E43130"/>
      <c r="F43130"/>
    </row>
    <row r="43131" spans="1:6" x14ac:dyDescent="0.25">
      <c r="A43131"/>
      <c r="B43131"/>
      <c r="C43131"/>
      <c r="E43131"/>
      <c r="F43131"/>
    </row>
    <row r="43132" spans="1:6" x14ac:dyDescent="0.25">
      <c r="A43132"/>
      <c r="B43132"/>
      <c r="C43132"/>
      <c r="E43132"/>
      <c r="F43132"/>
    </row>
    <row r="43133" spans="1:6" x14ac:dyDescent="0.25">
      <c r="A43133"/>
      <c r="B43133"/>
      <c r="C43133"/>
      <c r="E43133"/>
      <c r="F43133"/>
    </row>
    <row r="43134" spans="1:6" x14ac:dyDescent="0.25">
      <c r="A43134"/>
      <c r="B43134"/>
      <c r="C43134"/>
      <c r="E43134"/>
      <c r="F43134"/>
    </row>
    <row r="43135" spans="1:6" x14ac:dyDescent="0.25">
      <c r="A43135"/>
      <c r="B43135"/>
      <c r="C43135"/>
      <c r="E43135"/>
      <c r="F43135"/>
    </row>
    <row r="43136" spans="1:6" x14ac:dyDescent="0.25">
      <c r="A43136"/>
      <c r="B43136"/>
      <c r="C43136"/>
      <c r="E43136"/>
      <c r="F43136"/>
    </row>
    <row r="43137" spans="1:6" x14ac:dyDescent="0.25">
      <c r="A43137"/>
      <c r="B43137"/>
      <c r="C43137"/>
      <c r="E43137"/>
      <c r="F43137"/>
    </row>
    <row r="43138" spans="1:6" x14ac:dyDescent="0.25">
      <c r="A43138"/>
      <c r="B43138"/>
      <c r="C43138"/>
      <c r="E43138"/>
      <c r="F43138"/>
    </row>
    <row r="43139" spans="1:6" x14ac:dyDescent="0.25">
      <c r="A43139"/>
      <c r="B43139"/>
      <c r="C43139"/>
      <c r="E43139"/>
      <c r="F43139"/>
    </row>
    <row r="43140" spans="1:6" x14ac:dyDescent="0.25">
      <c r="A43140"/>
      <c r="B43140"/>
      <c r="C43140"/>
      <c r="E43140"/>
      <c r="F43140"/>
    </row>
    <row r="43141" spans="1:6" x14ac:dyDescent="0.25">
      <c r="A43141"/>
      <c r="B43141"/>
      <c r="C43141"/>
      <c r="E43141"/>
      <c r="F43141"/>
    </row>
    <row r="43142" spans="1:6" x14ac:dyDescent="0.25">
      <c r="A43142"/>
      <c r="B43142"/>
      <c r="C43142"/>
      <c r="E43142"/>
      <c r="F43142"/>
    </row>
    <row r="43143" spans="1:6" x14ac:dyDescent="0.25">
      <c r="A43143"/>
      <c r="B43143"/>
      <c r="C43143"/>
      <c r="E43143"/>
      <c r="F43143"/>
    </row>
    <row r="43144" spans="1:6" x14ac:dyDescent="0.25">
      <c r="A43144"/>
      <c r="B43144"/>
      <c r="C43144"/>
      <c r="E43144"/>
      <c r="F43144"/>
    </row>
    <row r="43145" spans="1:6" x14ac:dyDescent="0.25">
      <c r="A43145"/>
      <c r="B43145"/>
      <c r="C43145"/>
      <c r="E43145"/>
      <c r="F43145"/>
    </row>
    <row r="43146" spans="1:6" x14ac:dyDescent="0.25">
      <c r="A43146"/>
      <c r="B43146"/>
      <c r="C43146"/>
      <c r="E43146"/>
      <c r="F43146"/>
    </row>
    <row r="43147" spans="1:6" x14ac:dyDescent="0.25">
      <c r="A43147"/>
      <c r="B43147"/>
      <c r="C43147"/>
      <c r="E43147"/>
      <c r="F43147"/>
    </row>
    <row r="43148" spans="1:6" x14ac:dyDescent="0.25">
      <c r="A43148"/>
      <c r="B43148"/>
      <c r="C43148"/>
      <c r="E43148"/>
      <c r="F43148"/>
    </row>
    <row r="43149" spans="1:6" x14ac:dyDescent="0.25">
      <c r="A43149"/>
      <c r="B43149"/>
      <c r="C43149"/>
      <c r="E43149"/>
      <c r="F43149"/>
    </row>
    <row r="43150" spans="1:6" x14ac:dyDescent="0.25">
      <c r="A43150"/>
      <c r="B43150"/>
      <c r="C43150"/>
      <c r="E43150"/>
      <c r="F43150"/>
    </row>
    <row r="43151" spans="1:6" x14ac:dyDescent="0.25">
      <c r="A43151"/>
      <c r="B43151"/>
      <c r="C43151"/>
      <c r="E43151"/>
      <c r="F43151"/>
    </row>
    <row r="43152" spans="1:6" x14ac:dyDescent="0.25">
      <c r="A43152"/>
      <c r="B43152"/>
      <c r="C43152"/>
      <c r="E43152"/>
      <c r="F43152"/>
    </row>
    <row r="43153" spans="1:6" x14ac:dyDescent="0.25">
      <c r="A43153"/>
      <c r="B43153"/>
      <c r="C43153"/>
      <c r="E43153"/>
      <c r="F43153"/>
    </row>
    <row r="43154" spans="1:6" x14ac:dyDescent="0.25">
      <c r="A43154"/>
      <c r="B43154"/>
      <c r="C43154"/>
      <c r="E43154"/>
      <c r="F43154"/>
    </row>
    <row r="43155" spans="1:6" x14ac:dyDescent="0.25">
      <c r="A43155"/>
      <c r="B43155"/>
      <c r="C43155"/>
      <c r="E43155"/>
      <c r="F43155"/>
    </row>
    <row r="43156" spans="1:6" x14ac:dyDescent="0.25">
      <c r="A43156"/>
      <c r="B43156"/>
      <c r="C43156"/>
      <c r="E43156"/>
      <c r="F43156"/>
    </row>
    <row r="43157" spans="1:6" x14ac:dyDescent="0.25">
      <c r="A43157"/>
      <c r="B43157"/>
      <c r="C43157"/>
      <c r="E43157"/>
      <c r="F43157"/>
    </row>
    <row r="43158" spans="1:6" x14ac:dyDescent="0.25">
      <c r="A43158"/>
      <c r="B43158"/>
      <c r="C43158"/>
      <c r="E43158"/>
      <c r="F43158"/>
    </row>
    <row r="43159" spans="1:6" x14ac:dyDescent="0.25">
      <c r="A43159"/>
      <c r="B43159"/>
      <c r="C43159"/>
      <c r="E43159"/>
      <c r="F43159"/>
    </row>
    <row r="43160" spans="1:6" x14ac:dyDescent="0.25">
      <c r="A43160"/>
      <c r="B43160"/>
      <c r="C43160"/>
      <c r="E43160"/>
      <c r="F43160"/>
    </row>
    <row r="43161" spans="1:6" x14ac:dyDescent="0.25">
      <c r="A43161"/>
      <c r="B43161"/>
      <c r="C43161"/>
      <c r="E43161"/>
      <c r="F43161"/>
    </row>
    <row r="43162" spans="1:6" x14ac:dyDescent="0.25">
      <c r="A43162"/>
      <c r="B43162"/>
      <c r="C43162"/>
      <c r="E43162"/>
      <c r="F43162"/>
    </row>
    <row r="43163" spans="1:6" x14ac:dyDescent="0.25">
      <c r="A43163"/>
      <c r="B43163"/>
      <c r="C43163"/>
      <c r="E43163"/>
      <c r="F43163"/>
    </row>
    <row r="43164" spans="1:6" x14ac:dyDescent="0.25">
      <c r="A43164"/>
      <c r="B43164"/>
      <c r="C43164"/>
      <c r="E43164"/>
      <c r="F43164"/>
    </row>
    <row r="43165" spans="1:6" x14ac:dyDescent="0.25">
      <c r="A43165"/>
      <c r="B43165"/>
      <c r="C43165"/>
      <c r="E43165"/>
      <c r="F43165"/>
    </row>
    <row r="43166" spans="1:6" x14ac:dyDescent="0.25">
      <c r="A43166"/>
      <c r="B43166"/>
      <c r="C43166"/>
      <c r="E43166"/>
      <c r="F43166"/>
    </row>
    <row r="43167" spans="1:6" x14ac:dyDescent="0.25">
      <c r="A43167"/>
      <c r="B43167"/>
      <c r="C43167"/>
      <c r="E43167"/>
      <c r="F43167"/>
    </row>
    <row r="43168" spans="1:6" x14ac:dyDescent="0.25">
      <c r="A43168"/>
      <c r="B43168"/>
      <c r="C43168"/>
      <c r="E43168"/>
      <c r="F43168"/>
    </row>
    <row r="43169" spans="1:6" x14ac:dyDescent="0.25">
      <c r="A43169"/>
      <c r="B43169"/>
      <c r="C43169"/>
      <c r="E43169"/>
      <c r="F43169"/>
    </row>
    <row r="43170" spans="1:6" x14ac:dyDescent="0.25">
      <c r="A43170"/>
      <c r="B43170"/>
      <c r="C43170"/>
      <c r="E43170"/>
      <c r="F43170"/>
    </row>
    <row r="43171" spans="1:6" x14ac:dyDescent="0.25">
      <c r="A43171"/>
      <c r="B43171"/>
      <c r="C43171"/>
      <c r="E43171"/>
      <c r="F43171"/>
    </row>
    <row r="43172" spans="1:6" x14ac:dyDescent="0.25">
      <c r="A43172"/>
      <c r="B43172"/>
      <c r="C43172"/>
      <c r="E43172"/>
      <c r="F43172"/>
    </row>
    <row r="43173" spans="1:6" x14ac:dyDescent="0.25">
      <c r="A43173"/>
      <c r="B43173"/>
      <c r="C43173"/>
      <c r="E43173"/>
      <c r="F43173"/>
    </row>
    <row r="43174" spans="1:6" x14ac:dyDescent="0.25">
      <c r="A43174"/>
      <c r="B43174"/>
      <c r="C43174"/>
      <c r="E43174"/>
      <c r="F43174"/>
    </row>
    <row r="43175" spans="1:6" x14ac:dyDescent="0.25">
      <c r="A43175"/>
      <c r="B43175"/>
      <c r="C43175"/>
      <c r="E43175"/>
      <c r="F43175"/>
    </row>
    <row r="43176" spans="1:6" x14ac:dyDescent="0.25">
      <c r="A43176"/>
      <c r="B43176"/>
      <c r="C43176"/>
      <c r="E43176"/>
      <c r="F43176"/>
    </row>
    <row r="43177" spans="1:6" x14ac:dyDescent="0.25">
      <c r="A43177"/>
      <c r="B43177"/>
      <c r="C43177"/>
      <c r="E43177"/>
      <c r="F43177"/>
    </row>
    <row r="43178" spans="1:6" x14ac:dyDescent="0.25">
      <c r="A43178"/>
      <c r="B43178"/>
      <c r="C43178"/>
      <c r="E43178"/>
      <c r="F43178"/>
    </row>
    <row r="43179" spans="1:6" x14ac:dyDescent="0.25">
      <c r="A43179"/>
      <c r="B43179"/>
      <c r="C43179"/>
      <c r="E43179"/>
      <c r="F43179"/>
    </row>
    <row r="43180" spans="1:6" x14ac:dyDescent="0.25">
      <c r="A43180"/>
      <c r="B43180"/>
      <c r="C43180"/>
      <c r="E43180"/>
      <c r="F43180"/>
    </row>
    <row r="43181" spans="1:6" x14ac:dyDescent="0.25">
      <c r="A43181"/>
      <c r="B43181"/>
      <c r="C43181"/>
      <c r="E43181"/>
      <c r="F43181"/>
    </row>
    <row r="43182" spans="1:6" x14ac:dyDescent="0.25">
      <c r="A43182"/>
      <c r="B43182"/>
      <c r="C43182"/>
      <c r="E43182"/>
      <c r="F43182"/>
    </row>
    <row r="43183" spans="1:6" x14ac:dyDescent="0.25">
      <c r="A43183"/>
      <c r="B43183"/>
      <c r="C43183"/>
      <c r="E43183"/>
      <c r="F43183"/>
    </row>
    <row r="43184" spans="1:6" x14ac:dyDescent="0.25">
      <c r="A43184"/>
      <c r="B43184"/>
      <c r="C43184"/>
      <c r="E43184"/>
      <c r="F43184"/>
    </row>
    <row r="43185" spans="1:6" x14ac:dyDescent="0.25">
      <c r="A43185"/>
      <c r="B43185"/>
      <c r="C43185"/>
      <c r="E43185"/>
      <c r="F43185"/>
    </row>
    <row r="43186" spans="1:6" x14ac:dyDescent="0.25">
      <c r="A43186"/>
      <c r="B43186"/>
      <c r="C43186"/>
      <c r="E43186"/>
      <c r="F43186"/>
    </row>
    <row r="43187" spans="1:6" x14ac:dyDescent="0.25">
      <c r="A43187"/>
      <c r="B43187"/>
      <c r="C43187"/>
      <c r="E43187"/>
      <c r="F43187"/>
    </row>
    <row r="43188" spans="1:6" x14ac:dyDescent="0.25">
      <c r="A43188"/>
      <c r="B43188"/>
      <c r="C43188"/>
      <c r="E43188"/>
      <c r="F43188"/>
    </row>
    <row r="43189" spans="1:6" x14ac:dyDescent="0.25">
      <c r="A43189"/>
      <c r="B43189"/>
      <c r="C43189"/>
      <c r="E43189"/>
      <c r="F43189"/>
    </row>
    <row r="43190" spans="1:6" x14ac:dyDescent="0.25">
      <c r="A43190"/>
      <c r="B43190"/>
      <c r="C43190"/>
      <c r="E43190"/>
      <c r="F43190"/>
    </row>
    <row r="43191" spans="1:6" x14ac:dyDescent="0.25">
      <c r="A43191"/>
      <c r="B43191"/>
      <c r="C43191"/>
      <c r="E43191"/>
      <c r="F43191"/>
    </row>
    <row r="43192" spans="1:6" x14ac:dyDescent="0.25">
      <c r="A43192"/>
      <c r="B43192"/>
      <c r="C43192"/>
      <c r="E43192"/>
      <c r="F43192"/>
    </row>
    <row r="43193" spans="1:6" x14ac:dyDescent="0.25">
      <c r="A43193"/>
      <c r="B43193"/>
      <c r="C43193"/>
      <c r="E43193"/>
      <c r="F43193"/>
    </row>
    <row r="43194" spans="1:6" x14ac:dyDescent="0.25">
      <c r="A43194"/>
      <c r="B43194"/>
      <c r="C43194"/>
      <c r="E43194"/>
      <c r="F43194"/>
    </row>
    <row r="43195" spans="1:6" x14ac:dyDescent="0.25">
      <c r="A43195"/>
      <c r="B43195"/>
      <c r="C43195"/>
      <c r="E43195"/>
      <c r="F43195"/>
    </row>
    <row r="43196" spans="1:6" x14ac:dyDescent="0.25">
      <c r="A43196"/>
      <c r="B43196"/>
      <c r="C43196"/>
      <c r="E43196"/>
      <c r="F43196"/>
    </row>
    <row r="43197" spans="1:6" x14ac:dyDescent="0.25">
      <c r="A43197"/>
      <c r="B43197"/>
      <c r="C43197"/>
      <c r="E43197"/>
      <c r="F43197"/>
    </row>
    <row r="43198" spans="1:6" x14ac:dyDescent="0.25">
      <c r="A43198"/>
      <c r="B43198"/>
      <c r="C43198"/>
      <c r="E43198"/>
      <c r="F43198"/>
    </row>
    <row r="43199" spans="1:6" x14ac:dyDescent="0.25">
      <c r="A43199"/>
      <c r="B43199"/>
      <c r="C43199"/>
      <c r="E43199"/>
      <c r="F43199"/>
    </row>
    <row r="43200" spans="1:6" x14ac:dyDescent="0.25">
      <c r="A43200"/>
      <c r="B43200"/>
      <c r="C43200"/>
      <c r="E43200"/>
      <c r="F43200"/>
    </row>
    <row r="43201" spans="1:6" x14ac:dyDescent="0.25">
      <c r="A43201"/>
      <c r="B43201"/>
      <c r="C43201"/>
      <c r="E43201"/>
      <c r="F43201"/>
    </row>
    <row r="43202" spans="1:6" x14ac:dyDescent="0.25">
      <c r="A43202"/>
      <c r="B43202"/>
      <c r="C43202"/>
      <c r="E43202"/>
      <c r="F43202"/>
    </row>
    <row r="43203" spans="1:6" x14ac:dyDescent="0.25">
      <c r="A43203"/>
      <c r="B43203"/>
      <c r="C43203"/>
      <c r="E43203"/>
      <c r="F43203"/>
    </row>
    <row r="43204" spans="1:6" x14ac:dyDescent="0.25">
      <c r="A43204"/>
      <c r="B43204"/>
      <c r="C43204"/>
      <c r="E43204"/>
      <c r="F43204"/>
    </row>
    <row r="43205" spans="1:6" x14ac:dyDescent="0.25">
      <c r="A43205"/>
      <c r="B43205"/>
      <c r="C43205"/>
      <c r="E43205"/>
      <c r="F43205"/>
    </row>
    <row r="43206" spans="1:6" x14ac:dyDescent="0.25">
      <c r="A43206"/>
      <c r="B43206"/>
      <c r="C43206"/>
      <c r="E43206"/>
      <c r="F43206"/>
    </row>
    <row r="43207" spans="1:6" x14ac:dyDescent="0.25">
      <c r="A43207"/>
      <c r="B43207"/>
      <c r="C43207"/>
      <c r="E43207"/>
      <c r="F43207"/>
    </row>
    <row r="43208" spans="1:6" x14ac:dyDescent="0.25">
      <c r="A43208"/>
      <c r="B43208"/>
      <c r="C43208"/>
      <c r="E43208"/>
      <c r="F43208"/>
    </row>
    <row r="43209" spans="1:6" x14ac:dyDescent="0.25">
      <c r="A43209"/>
      <c r="B43209"/>
      <c r="C43209"/>
      <c r="E43209"/>
      <c r="F43209"/>
    </row>
    <row r="43210" spans="1:6" x14ac:dyDescent="0.25">
      <c r="A43210"/>
      <c r="B43210"/>
      <c r="C43210"/>
      <c r="E43210"/>
      <c r="F43210"/>
    </row>
    <row r="43211" spans="1:6" x14ac:dyDescent="0.25">
      <c r="A43211"/>
      <c r="B43211"/>
      <c r="C43211"/>
      <c r="E43211"/>
      <c r="F43211"/>
    </row>
    <row r="43212" spans="1:6" x14ac:dyDescent="0.25">
      <c r="A43212"/>
      <c r="B43212"/>
      <c r="C43212"/>
      <c r="E43212"/>
      <c r="F43212"/>
    </row>
    <row r="43213" spans="1:6" x14ac:dyDescent="0.25">
      <c r="A43213"/>
      <c r="B43213"/>
      <c r="C43213"/>
      <c r="E43213"/>
      <c r="F43213"/>
    </row>
    <row r="43214" spans="1:6" x14ac:dyDescent="0.25">
      <c r="A43214"/>
      <c r="B43214"/>
      <c r="C43214"/>
      <c r="E43214"/>
      <c r="F43214"/>
    </row>
    <row r="43215" spans="1:6" x14ac:dyDescent="0.25">
      <c r="A43215"/>
      <c r="B43215"/>
      <c r="C43215"/>
      <c r="E43215"/>
      <c r="F43215"/>
    </row>
    <row r="43216" spans="1:6" x14ac:dyDescent="0.25">
      <c r="A43216"/>
      <c r="B43216"/>
      <c r="C43216"/>
      <c r="E43216"/>
      <c r="F43216"/>
    </row>
    <row r="43217" spans="1:6" x14ac:dyDescent="0.25">
      <c r="A43217"/>
      <c r="B43217"/>
      <c r="C43217"/>
      <c r="E43217"/>
      <c r="F43217"/>
    </row>
    <row r="43218" spans="1:6" x14ac:dyDescent="0.25">
      <c r="A43218"/>
      <c r="B43218"/>
      <c r="C43218"/>
      <c r="E43218"/>
      <c r="F43218"/>
    </row>
    <row r="43219" spans="1:6" x14ac:dyDescent="0.25">
      <c r="A43219"/>
      <c r="B43219"/>
      <c r="C43219"/>
      <c r="E43219"/>
      <c r="F43219"/>
    </row>
    <row r="43220" spans="1:6" x14ac:dyDescent="0.25">
      <c r="A43220"/>
      <c r="B43220"/>
      <c r="C43220"/>
      <c r="E43220"/>
      <c r="F43220"/>
    </row>
    <row r="43221" spans="1:6" x14ac:dyDescent="0.25">
      <c r="A43221"/>
      <c r="B43221"/>
      <c r="C43221"/>
      <c r="E43221"/>
      <c r="F43221"/>
    </row>
    <row r="43222" spans="1:6" x14ac:dyDescent="0.25">
      <c r="A43222"/>
      <c r="B43222"/>
      <c r="C43222"/>
      <c r="E43222"/>
      <c r="F43222"/>
    </row>
    <row r="43223" spans="1:6" x14ac:dyDescent="0.25">
      <c r="A43223"/>
      <c r="B43223"/>
      <c r="C43223"/>
      <c r="E43223"/>
      <c r="F43223"/>
    </row>
    <row r="43224" spans="1:6" x14ac:dyDescent="0.25">
      <c r="A43224"/>
      <c r="B43224"/>
      <c r="C43224"/>
      <c r="E43224"/>
      <c r="F43224"/>
    </row>
    <row r="43225" spans="1:6" x14ac:dyDescent="0.25">
      <c r="A43225"/>
      <c r="B43225"/>
      <c r="C43225"/>
      <c r="E43225"/>
      <c r="F43225"/>
    </row>
    <row r="43226" spans="1:6" x14ac:dyDescent="0.25">
      <c r="A43226"/>
      <c r="B43226"/>
      <c r="C43226"/>
      <c r="E43226"/>
      <c r="F43226"/>
    </row>
    <row r="43227" spans="1:6" x14ac:dyDescent="0.25">
      <c r="A43227"/>
      <c r="B43227"/>
      <c r="C43227"/>
      <c r="E43227"/>
      <c r="F43227"/>
    </row>
    <row r="43228" spans="1:6" x14ac:dyDescent="0.25">
      <c r="A43228"/>
      <c r="B43228"/>
      <c r="C43228"/>
      <c r="E43228"/>
      <c r="F43228"/>
    </row>
    <row r="43229" spans="1:6" x14ac:dyDescent="0.25">
      <c r="A43229"/>
      <c r="B43229"/>
      <c r="C43229"/>
      <c r="E43229"/>
      <c r="F43229"/>
    </row>
    <row r="43230" spans="1:6" x14ac:dyDescent="0.25">
      <c r="A43230"/>
      <c r="B43230"/>
      <c r="C43230"/>
      <c r="E43230"/>
      <c r="F43230"/>
    </row>
    <row r="43231" spans="1:6" x14ac:dyDescent="0.25">
      <c r="A43231"/>
      <c r="B43231"/>
      <c r="C43231"/>
      <c r="E43231"/>
      <c r="F43231"/>
    </row>
    <row r="43232" spans="1:6" x14ac:dyDescent="0.25">
      <c r="A43232"/>
      <c r="B43232"/>
      <c r="C43232"/>
      <c r="E43232"/>
      <c r="F43232"/>
    </row>
    <row r="43233" spans="1:6" x14ac:dyDescent="0.25">
      <c r="A43233"/>
      <c r="B43233"/>
      <c r="C43233"/>
      <c r="E43233"/>
      <c r="F43233"/>
    </row>
    <row r="43234" spans="1:6" x14ac:dyDescent="0.25">
      <c r="A43234"/>
      <c r="B43234"/>
      <c r="C43234"/>
      <c r="E43234"/>
      <c r="F43234"/>
    </row>
    <row r="43235" spans="1:6" x14ac:dyDescent="0.25">
      <c r="A43235"/>
      <c r="B43235"/>
      <c r="C43235"/>
      <c r="E43235"/>
      <c r="F43235"/>
    </row>
    <row r="43236" spans="1:6" x14ac:dyDescent="0.25">
      <c r="A43236"/>
      <c r="B43236"/>
      <c r="C43236"/>
      <c r="E43236"/>
      <c r="F43236"/>
    </row>
    <row r="43237" spans="1:6" x14ac:dyDescent="0.25">
      <c r="A43237"/>
      <c r="B43237"/>
      <c r="C43237"/>
      <c r="E43237"/>
      <c r="F43237"/>
    </row>
    <row r="43238" spans="1:6" x14ac:dyDescent="0.25">
      <c r="A43238"/>
      <c r="B43238"/>
      <c r="C43238"/>
      <c r="E43238"/>
      <c r="F43238"/>
    </row>
    <row r="43239" spans="1:6" x14ac:dyDescent="0.25">
      <c r="A43239"/>
      <c r="B43239"/>
      <c r="C43239"/>
      <c r="E43239"/>
      <c r="F43239"/>
    </row>
    <row r="43240" spans="1:6" x14ac:dyDescent="0.25">
      <c r="A43240"/>
      <c r="B43240"/>
      <c r="C43240"/>
      <c r="E43240"/>
      <c r="F43240"/>
    </row>
    <row r="43241" spans="1:6" x14ac:dyDescent="0.25">
      <c r="A43241"/>
      <c r="B43241"/>
      <c r="C43241"/>
      <c r="E43241"/>
      <c r="F43241"/>
    </row>
    <row r="43242" spans="1:6" x14ac:dyDescent="0.25">
      <c r="A43242"/>
      <c r="B43242"/>
      <c r="C43242"/>
      <c r="E43242"/>
      <c r="F43242"/>
    </row>
    <row r="43243" spans="1:6" x14ac:dyDescent="0.25">
      <c r="A43243"/>
      <c r="B43243"/>
      <c r="C43243"/>
      <c r="E43243"/>
      <c r="F43243"/>
    </row>
    <row r="43244" spans="1:6" x14ac:dyDescent="0.25">
      <c r="A43244"/>
      <c r="B43244"/>
      <c r="C43244"/>
      <c r="E43244"/>
      <c r="F43244"/>
    </row>
    <row r="43245" spans="1:6" x14ac:dyDescent="0.25">
      <c r="A43245"/>
      <c r="B43245"/>
      <c r="C43245"/>
      <c r="E43245"/>
      <c r="F43245"/>
    </row>
    <row r="43246" spans="1:6" x14ac:dyDescent="0.25">
      <c r="A43246"/>
      <c r="B43246"/>
      <c r="C43246"/>
      <c r="E43246"/>
      <c r="F43246"/>
    </row>
    <row r="43247" spans="1:6" x14ac:dyDescent="0.25">
      <c r="A43247"/>
      <c r="B43247"/>
      <c r="C43247"/>
      <c r="E43247"/>
      <c r="F43247"/>
    </row>
    <row r="43248" spans="1:6" x14ac:dyDescent="0.25">
      <c r="A43248"/>
      <c r="B43248"/>
      <c r="C43248"/>
      <c r="E43248"/>
      <c r="F43248"/>
    </row>
    <row r="43249" spans="1:6" x14ac:dyDescent="0.25">
      <c r="A43249"/>
      <c r="B43249"/>
      <c r="C43249"/>
      <c r="E43249"/>
      <c r="F43249"/>
    </row>
    <row r="43250" spans="1:6" x14ac:dyDescent="0.25">
      <c r="A43250"/>
      <c r="B43250"/>
      <c r="C43250"/>
      <c r="E43250"/>
      <c r="F43250"/>
    </row>
    <row r="43251" spans="1:6" x14ac:dyDescent="0.25">
      <c r="A43251"/>
      <c r="B43251"/>
      <c r="C43251"/>
      <c r="E43251"/>
      <c r="F43251"/>
    </row>
    <row r="43252" spans="1:6" x14ac:dyDescent="0.25">
      <c r="A43252"/>
      <c r="B43252"/>
      <c r="C43252"/>
      <c r="E43252"/>
      <c r="F43252"/>
    </row>
    <row r="43253" spans="1:6" x14ac:dyDescent="0.25">
      <c r="A43253"/>
      <c r="B43253"/>
      <c r="C43253"/>
      <c r="E43253"/>
      <c r="F43253"/>
    </row>
    <row r="43254" spans="1:6" x14ac:dyDescent="0.25">
      <c r="A43254"/>
      <c r="B43254"/>
      <c r="C43254"/>
      <c r="E43254"/>
      <c r="F43254"/>
    </row>
    <row r="43255" spans="1:6" x14ac:dyDescent="0.25">
      <c r="A43255"/>
      <c r="B43255"/>
      <c r="C43255"/>
      <c r="E43255"/>
      <c r="F43255"/>
    </row>
    <row r="43256" spans="1:6" x14ac:dyDescent="0.25">
      <c r="A43256"/>
      <c r="B43256"/>
      <c r="C43256"/>
      <c r="E43256"/>
      <c r="F43256"/>
    </row>
    <row r="43257" spans="1:6" x14ac:dyDescent="0.25">
      <c r="A43257"/>
      <c r="B43257"/>
      <c r="C43257"/>
      <c r="E43257"/>
      <c r="F43257"/>
    </row>
    <row r="43258" spans="1:6" x14ac:dyDescent="0.25">
      <c r="A43258"/>
      <c r="B43258"/>
      <c r="C43258"/>
      <c r="E43258"/>
      <c r="F43258"/>
    </row>
    <row r="43259" spans="1:6" x14ac:dyDescent="0.25">
      <c r="A43259"/>
      <c r="B43259"/>
      <c r="C43259"/>
      <c r="E43259"/>
      <c r="F43259"/>
    </row>
    <row r="43260" spans="1:6" x14ac:dyDescent="0.25">
      <c r="A43260"/>
      <c r="B43260"/>
      <c r="C43260"/>
      <c r="E43260"/>
      <c r="F43260"/>
    </row>
    <row r="43261" spans="1:6" x14ac:dyDescent="0.25">
      <c r="A43261"/>
      <c r="B43261"/>
      <c r="C43261"/>
      <c r="E43261"/>
      <c r="F43261"/>
    </row>
    <row r="43262" spans="1:6" x14ac:dyDescent="0.25">
      <c r="A43262"/>
      <c r="B43262"/>
      <c r="C43262"/>
      <c r="E43262"/>
      <c r="F43262"/>
    </row>
    <row r="43263" spans="1:6" x14ac:dyDescent="0.25">
      <c r="A43263"/>
      <c r="B43263"/>
      <c r="C43263"/>
      <c r="E43263"/>
      <c r="F43263"/>
    </row>
    <row r="43264" spans="1:6" x14ac:dyDescent="0.25">
      <c r="A43264"/>
      <c r="B43264"/>
      <c r="C43264"/>
      <c r="E43264"/>
      <c r="F43264"/>
    </row>
    <row r="43265" spans="1:6" x14ac:dyDescent="0.25">
      <c r="A43265"/>
      <c r="B43265"/>
      <c r="C43265"/>
      <c r="E43265"/>
      <c r="F43265"/>
    </row>
    <row r="43266" spans="1:6" x14ac:dyDescent="0.25">
      <c r="A43266"/>
      <c r="B43266"/>
      <c r="C43266"/>
      <c r="E43266"/>
      <c r="F43266"/>
    </row>
    <row r="43267" spans="1:6" x14ac:dyDescent="0.25">
      <c r="A43267"/>
      <c r="B43267"/>
      <c r="C43267"/>
      <c r="E43267"/>
      <c r="F43267"/>
    </row>
    <row r="43268" spans="1:6" x14ac:dyDescent="0.25">
      <c r="A43268"/>
      <c r="B43268"/>
      <c r="C43268"/>
      <c r="E43268"/>
      <c r="F43268"/>
    </row>
    <row r="43269" spans="1:6" x14ac:dyDescent="0.25">
      <c r="A43269"/>
      <c r="B43269"/>
      <c r="C43269"/>
      <c r="E43269"/>
      <c r="F43269"/>
    </row>
    <row r="43270" spans="1:6" x14ac:dyDescent="0.25">
      <c r="A43270"/>
      <c r="B43270"/>
      <c r="C43270"/>
      <c r="E43270"/>
      <c r="F43270"/>
    </row>
    <row r="43271" spans="1:6" x14ac:dyDescent="0.25">
      <c r="A43271"/>
      <c r="B43271"/>
      <c r="C43271"/>
      <c r="E43271"/>
      <c r="F43271"/>
    </row>
    <row r="43272" spans="1:6" x14ac:dyDescent="0.25">
      <c r="A43272"/>
      <c r="B43272"/>
      <c r="C43272"/>
      <c r="E43272"/>
      <c r="F43272"/>
    </row>
    <row r="43273" spans="1:6" x14ac:dyDescent="0.25">
      <c r="A43273"/>
      <c r="B43273"/>
      <c r="C43273"/>
      <c r="E43273"/>
      <c r="F43273"/>
    </row>
    <row r="43274" spans="1:6" x14ac:dyDescent="0.25">
      <c r="A43274"/>
      <c r="B43274"/>
      <c r="C43274"/>
      <c r="E43274"/>
      <c r="F43274"/>
    </row>
    <row r="43275" spans="1:6" x14ac:dyDescent="0.25">
      <c r="A43275"/>
      <c r="B43275"/>
      <c r="C43275"/>
      <c r="E43275"/>
      <c r="F43275"/>
    </row>
    <row r="43276" spans="1:6" x14ac:dyDescent="0.25">
      <c r="A43276"/>
      <c r="B43276"/>
      <c r="C43276"/>
      <c r="E43276"/>
      <c r="F43276"/>
    </row>
    <row r="43277" spans="1:6" x14ac:dyDescent="0.25">
      <c r="A43277"/>
      <c r="B43277"/>
      <c r="C43277"/>
      <c r="E43277"/>
      <c r="F43277"/>
    </row>
    <row r="43278" spans="1:6" x14ac:dyDescent="0.25">
      <c r="A43278"/>
      <c r="B43278"/>
      <c r="C43278"/>
      <c r="E43278"/>
      <c r="F43278"/>
    </row>
    <row r="43279" spans="1:6" x14ac:dyDescent="0.25">
      <c r="A43279"/>
      <c r="B43279"/>
      <c r="C43279"/>
      <c r="E43279"/>
      <c r="F43279"/>
    </row>
    <row r="43280" spans="1:6" x14ac:dyDescent="0.25">
      <c r="A43280"/>
      <c r="B43280"/>
      <c r="C43280"/>
      <c r="E43280"/>
      <c r="F43280"/>
    </row>
    <row r="43281" spans="1:6" x14ac:dyDescent="0.25">
      <c r="A43281"/>
      <c r="B43281"/>
      <c r="C43281"/>
      <c r="E43281"/>
      <c r="F43281"/>
    </row>
    <row r="43282" spans="1:6" x14ac:dyDescent="0.25">
      <c r="A43282"/>
      <c r="B43282"/>
      <c r="C43282"/>
      <c r="E43282"/>
      <c r="F43282"/>
    </row>
    <row r="43283" spans="1:6" x14ac:dyDescent="0.25">
      <c r="A43283"/>
      <c r="B43283"/>
      <c r="C43283"/>
      <c r="E43283"/>
      <c r="F43283"/>
    </row>
    <row r="43284" spans="1:6" x14ac:dyDescent="0.25">
      <c r="A43284"/>
      <c r="B43284"/>
      <c r="C43284"/>
      <c r="E43284"/>
      <c r="F43284"/>
    </row>
    <row r="43285" spans="1:6" x14ac:dyDescent="0.25">
      <c r="A43285"/>
      <c r="B43285"/>
      <c r="C43285"/>
      <c r="E43285"/>
      <c r="F43285"/>
    </row>
    <row r="43286" spans="1:6" x14ac:dyDescent="0.25">
      <c r="A43286"/>
      <c r="B43286"/>
      <c r="C43286"/>
      <c r="E43286"/>
      <c r="F43286"/>
    </row>
    <row r="43287" spans="1:6" x14ac:dyDescent="0.25">
      <c r="A43287"/>
      <c r="B43287"/>
      <c r="C43287"/>
      <c r="E43287"/>
      <c r="F43287"/>
    </row>
    <row r="43288" spans="1:6" x14ac:dyDescent="0.25">
      <c r="A43288"/>
      <c r="B43288"/>
      <c r="C43288"/>
      <c r="E43288"/>
      <c r="F43288"/>
    </row>
    <row r="43289" spans="1:6" x14ac:dyDescent="0.25">
      <c r="A43289"/>
      <c r="B43289"/>
      <c r="C43289"/>
      <c r="E43289"/>
      <c r="F43289"/>
    </row>
    <row r="43290" spans="1:6" x14ac:dyDescent="0.25">
      <c r="A43290"/>
      <c r="B43290"/>
      <c r="C43290"/>
      <c r="E43290"/>
      <c r="F43290"/>
    </row>
    <row r="43291" spans="1:6" x14ac:dyDescent="0.25">
      <c r="A43291"/>
      <c r="B43291"/>
      <c r="C43291"/>
      <c r="E43291"/>
      <c r="F43291"/>
    </row>
    <row r="43292" spans="1:6" x14ac:dyDescent="0.25">
      <c r="A43292"/>
      <c r="B43292"/>
      <c r="C43292"/>
      <c r="E43292"/>
      <c r="F43292"/>
    </row>
    <row r="43293" spans="1:6" x14ac:dyDescent="0.25">
      <c r="A43293"/>
      <c r="B43293"/>
      <c r="C43293"/>
      <c r="E43293"/>
      <c r="F43293"/>
    </row>
    <row r="43294" spans="1:6" x14ac:dyDescent="0.25">
      <c r="A43294"/>
      <c r="B43294"/>
      <c r="C43294"/>
      <c r="E43294"/>
      <c r="F43294"/>
    </row>
    <row r="43295" spans="1:6" x14ac:dyDescent="0.25">
      <c r="A43295"/>
      <c r="B43295"/>
      <c r="C43295"/>
      <c r="E43295"/>
      <c r="F43295"/>
    </row>
    <row r="43296" spans="1:6" x14ac:dyDescent="0.25">
      <c r="A43296"/>
      <c r="B43296"/>
      <c r="C43296"/>
      <c r="E43296"/>
      <c r="F43296"/>
    </row>
    <row r="43297" spans="1:6" x14ac:dyDescent="0.25">
      <c r="A43297"/>
      <c r="B43297"/>
      <c r="C43297"/>
      <c r="E43297"/>
      <c r="F43297"/>
    </row>
    <row r="43298" spans="1:6" x14ac:dyDescent="0.25">
      <c r="A43298"/>
      <c r="B43298"/>
      <c r="C43298"/>
      <c r="E43298"/>
      <c r="F43298"/>
    </row>
    <row r="43299" spans="1:6" x14ac:dyDescent="0.25">
      <c r="A43299"/>
      <c r="B43299"/>
      <c r="C43299"/>
      <c r="E43299"/>
      <c r="F43299"/>
    </row>
    <row r="43300" spans="1:6" x14ac:dyDescent="0.25">
      <c r="A43300"/>
      <c r="B43300"/>
      <c r="C43300"/>
      <c r="E43300"/>
      <c r="F43300"/>
    </row>
    <row r="43301" spans="1:6" x14ac:dyDescent="0.25">
      <c r="A43301"/>
      <c r="B43301"/>
      <c r="C43301"/>
      <c r="E43301"/>
      <c r="F43301"/>
    </row>
    <row r="43302" spans="1:6" x14ac:dyDescent="0.25">
      <c r="A43302"/>
      <c r="B43302"/>
      <c r="C43302"/>
      <c r="E43302"/>
      <c r="F43302"/>
    </row>
    <row r="43303" spans="1:6" x14ac:dyDescent="0.25">
      <c r="A43303"/>
      <c r="B43303"/>
      <c r="C43303"/>
      <c r="E43303"/>
      <c r="F43303"/>
    </row>
    <row r="43304" spans="1:6" x14ac:dyDescent="0.25">
      <c r="A43304"/>
      <c r="B43304"/>
      <c r="C43304"/>
      <c r="E43304"/>
      <c r="F43304"/>
    </row>
    <row r="43305" spans="1:6" x14ac:dyDescent="0.25">
      <c r="A43305"/>
      <c r="B43305"/>
      <c r="C43305"/>
      <c r="E43305"/>
      <c r="F43305"/>
    </row>
    <row r="43306" spans="1:6" x14ac:dyDescent="0.25">
      <c r="A43306"/>
      <c r="B43306"/>
      <c r="C43306"/>
      <c r="E43306"/>
      <c r="F43306"/>
    </row>
    <row r="43307" spans="1:6" x14ac:dyDescent="0.25">
      <c r="A43307"/>
      <c r="B43307"/>
      <c r="C43307"/>
      <c r="E43307"/>
      <c r="F43307"/>
    </row>
    <row r="43308" spans="1:6" x14ac:dyDescent="0.25">
      <c r="A43308"/>
      <c r="B43308"/>
      <c r="C43308"/>
      <c r="E43308"/>
      <c r="F43308"/>
    </row>
    <row r="43309" spans="1:6" x14ac:dyDescent="0.25">
      <c r="A43309"/>
      <c r="B43309"/>
      <c r="C43309"/>
      <c r="E43309"/>
      <c r="F43309"/>
    </row>
    <row r="43310" spans="1:6" x14ac:dyDescent="0.25">
      <c r="A43310"/>
      <c r="B43310"/>
      <c r="C43310"/>
      <c r="E43310"/>
      <c r="F43310"/>
    </row>
    <row r="43311" spans="1:6" x14ac:dyDescent="0.25">
      <c r="A43311"/>
      <c r="B43311"/>
      <c r="C43311"/>
      <c r="E43311"/>
      <c r="F43311"/>
    </row>
    <row r="43312" spans="1:6" x14ac:dyDescent="0.25">
      <c r="A43312"/>
      <c r="B43312"/>
      <c r="C43312"/>
      <c r="E43312"/>
      <c r="F43312"/>
    </row>
    <row r="43313" spans="1:6" x14ac:dyDescent="0.25">
      <c r="A43313"/>
      <c r="B43313"/>
      <c r="C43313"/>
      <c r="E43313"/>
      <c r="F43313"/>
    </row>
    <row r="43314" spans="1:6" x14ac:dyDescent="0.25">
      <c r="A43314"/>
      <c r="B43314"/>
      <c r="C43314"/>
      <c r="E43314"/>
      <c r="F43314"/>
    </row>
    <row r="43315" spans="1:6" x14ac:dyDescent="0.25">
      <c r="A43315"/>
      <c r="B43315"/>
      <c r="C43315"/>
      <c r="E43315"/>
      <c r="F43315"/>
    </row>
    <row r="43316" spans="1:6" x14ac:dyDescent="0.25">
      <c r="A43316"/>
      <c r="B43316"/>
      <c r="C43316"/>
      <c r="E43316"/>
      <c r="F43316"/>
    </row>
    <row r="43317" spans="1:6" x14ac:dyDescent="0.25">
      <c r="A43317"/>
      <c r="B43317"/>
      <c r="C43317"/>
      <c r="E43317"/>
      <c r="F43317"/>
    </row>
    <row r="43318" spans="1:6" x14ac:dyDescent="0.25">
      <c r="A43318"/>
      <c r="B43318"/>
      <c r="C43318"/>
      <c r="E43318"/>
      <c r="F43318"/>
    </row>
    <row r="43319" spans="1:6" x14ac:dyDescent="0.25">
      <c r="A43319"/>
      <c r="B43319"/>
      <c r="C43319"/>
      <c r="E43319"/>
      <c r="F43319"/>
    </row>
    <row r="43320" spans="1:6" x14ac:dyDescent="0.25">
      <c r="A43320"/>
      <c r="B43320"/>
      <c r="C43320"/>
      <c r="E43320"/>
      <c r="F43320"/>
    </row>
    <row r="43321" spans="1:6" x14ac:dyDescent="0.25">
      <c r="A43321"/>
      <c r="B43321"/>
      <c r="C43321"/>
      <c r="E43321"/>
      <c r="F43321"/>
    </row>
    <row r="43322" spans="1:6" x14ac:dyDescent="0.25">
      <c r="A43322"/>
      <c r="B43322"/>
      <c r="C43322"/>
      <c r="E43322"/>
      <c r="F43322"/>
    </row>
    <row r="43323" spans="1:6" x14ac:dyDescent="0.25">
      <c r="A43323"/>
      <c r="B43323"/>
      <c r="C43323"/>
      <c r="E43323"/>
      <c r="F43323"/>
    </row>
    <row r="43324" spans="1:6" x14ac:dyDescent="0.25">
      <c r="A43324"/>
      <c r="B43324"/>
      <c r="C43324"/>
      <c r="E43324"/>
      <c r="F43324"/>
    </row>
    <row r="43325" spans="1:6" x14ac:dyDescent="0.25">
      <c r="A43325"/>
      <c r="B43325"/>
      <c r="C43325"/>
      <c r="E43325"/>
      <c r="F43325"/>
    </row>
    <row r="43326" spans="1:6" x14ac:dyDescent="0.25">
      <c r="A43326"/>
      <c r="B43326"/>
      <c r="C43326"/>
      <c r="E43326"/>
      <c r="F43326"/>
    </row>
    <row r="43327" spans="1:6" x14ac:dyDescent="0.25">
      <c r="A43327"/>
      <c r="B43327"/>
      <c r="C43327"/>
      <c r="E43327"/>
      <c r="F43327"/>
    </row>
    <row r="43328" spans="1:6" x14ac:dyDescent="0.25">
      <c r="A43328"/>
      <c r="B43328"/>
      <c r="C43328"/>
      <c r="E43328"/>
      <c r="F43328"/>
    </row>
    <row r="43329" spans="1:6" x14ac:dyDescent="0.25">
      <c r="A43329"/>
      <c r="B43329"/>
      <c r="C43329"/>
      <c r="E43329"/>
      <c r="F43329"/>
    </row>
    <row r="43330" spans="1:6" x14ac:dyDescent="0.25">
      <c r="A43330"/>
      <c r="B43330"/>
      <c r="C43330"/>
      <c r="E43330"/>
      <c r="F43330"/>
    </row>
    <row r="43331" spans="1:6" x14ac:dyDescent="0.25">
      <c r="A43331"/>
      <c r="B43331"/>
      <c r="C43331"/>
      <c r="E43331"/>
      <c r="F43331"/>
    </row>
    <row r="43332" spans="1:6" x14ac:dyDescent="0.25">
      <c r="A43332"/>
      <c r="B43332"/>
      <c r="C43332"/>
      <c r="E43332"/>
      <c r="F43332"/>
    </row>
    <row r="43333" spans="1:6" x14ac:dyDescent="0.25">
      <c r="A43333"/>
      <c r="B43333"/>
      <c r="C43333"/>
      <c r="E43333"/>
      <c r="F43333"/>
    </row>
    <row r="43334" spans="1:6" x14ac:dyDescent="0.25">
      <c r="A43334"/>
      <c r="B43334"/>
      <c r="C43334"/>
      <c r="E43334"/>
      <c r="F43334"/>
    </row>
    <row r="43335" spans="1:6" x14ac:dyDescent="0.25">
      <c r="A43335"/>
      <c r="B43335"/>
      <c r="C43335"/>
      <c r="E43335"/>
      <c r="F43335"/>
    </row>
    <row r="43336" spans="1:6" x14ac:dyDescent="0.25">
      <c r="A43336"/>
      <c r="B43336"/>
      <c r="C43336"/>
      <c r="E43336"/>
      <c r="F43336"/>
    </row>
    <row r="43337" spans="1:6" x14ac:dyDescent="0.25">
      <c r="A43337"/>
      <c r="B43337"/>
      <c r="C43337"/>
      <c r="E43337"/>
      <c r="F43337"/>
    </row>
    <row r="43338" spans="1:6" x14ac:dyDescent="0.25">
      <c r="A43338"/>
      <c r="B43338"/>
      <c r="C43338"/>
      <c r="E43338"/>
      <c r="F43338"/>
    </row>
    <row r="43339" spans="1:6" x14ac:dyDescent="0.25">
      <c r="A43339"/>
      <c r="B43339"/>
      <c r="C43339"/>
      <c r="E43339"/>
      <c r="F43339"/>
    </row>
    <row r="43340" spans="1:6" x14ac:dyDescent="0.25">
      <c r="A43340"/>
      <c r="B43340"/>
      <c r="C43340"/>
      <c r="E43340"/>
      <c r="F43340"/>
    </row>
    <row r="43341" spans="1:6" x14ac:dyDescent="0.25">
      <c r="A43341"/>
      <c r="B43341"/>
      <c r="C43341"/>
      <c r="E43341"/>
      <c r="F43341"/>
    </row>
    <row r="43342" spans="1:6" x14ac:dyDescent="0.25">
      <c r="A43342"/>
      <c r="B43342"/>
      <c r="C43342"/>
      <c r="E43342"/>
      <c r="F43342"/>
    </row>
    <row r="43343" spans="1:6" x14ac:dyDescent="0.25">
      <c r="A43343"/>
      <c r="B43343"/>
      <c r="C43343"/>
      <c r="E43343"/>
      <c r="F43343"/>
    </row>
    <row r="43344" spans="1:6" x14ac:dyDescent="0.25">
      <c r="A43344"/>
      <c r="B43344"/>
      <c r="C43344"/>
      <c r="E43344"/>
      <c r="F43344"/>
    </row>
    <row r="43345" spans="1:6" x14ac:dyDescent="0.25">
      <c r="A43345"/>
      <c r="B43345"/>
      <c r="C43345"/>
      <c r="E43345"/>
      <c r="F43345"/>
    </row>
    <row r="43346" spans="1:6" x14ac:dyDescent="0.25">
      <c r="A43346"/>
      <c r="B43346"/>
      <c r="C43346"/>
      <c r="E43346"/>
      <c r="F43346"/>
    </row>
    <row r="43347" spans="1:6" x14ac:dyDescent="0.25">
      <c r="A43347"/>
      <c r="B43347"/>
      <c r="C43347"/>
      <c r="E43347"/>
      <c r="F43347"/>
    </row>
    <row r="43348" spans="1:6" x14ac:dyDescent="0.25">
      <c r="A43348"/>
      <c r="B43348"/>
      <c r="C43348"/>
      <c r="E43348"/>
      <c r="F43348"/>
    </row>
    <row r="43349" spans="1:6" x14ac:dyDescent="0.25">
      <c r="A43349"/>
      <c r="B43349"/>
      <c r="C43349"/>
      <c r="E43349"/>
      <c r="F43349"/>
    </row>
    <row r="43350" spans="1:6" x14ac:dyDescent="0.25">
      <c r="A43350"/>
      <c r="B43350"/>
      <c r="C43350"/>
      <c r="E43350"/>
      <c r="F43350"/>
    </row>
    <row r="43351" spans="1:6" x14ac:dyDescent="0.25">
      <c r="A43351"/>
      <c r="B43351"/>
      <c r="C43351"/>
      <c r="E43351"/>
      <c r="F43351"/>
    </row>
    <row r="43352" spans="1:6" x14ac:dyDescent="0.25">
      <c r="A43352"/>
      <c r="B43352"/>
      <c r="C43352"/>
      <c r="E43352"/>
      <c r="F43352"/>
    </row>
    <row r="43353" spans="1:6" x14ac:dyDescent="0.25">
      <c r="A43353"/>
      <c r="B43353"/>
      <c r="C43353"/>
      <c r="E43353"/>
      <c r="F43353"/>
    </row>
    <row r="43354" spans="1:6" x14ac:dyDescent="0.25">
      <c r="A43354"/>
      <c r="B43354"/>
      <c r="C43354"/>
      <c r="E43354"/>
      <c r="F43354"/>
    </row>
    <row r="43355" spans="1:6" x14ac:dyDescent="0.25">
      <c r="A43355"/>
      <c r="B43355"/>
      <c r="C43355"/>
      <c r="E43355"/>
      <c r="F43355"/>
    </row>
    <row r="43356" spans="1:6" x14ac:dyDescent="0.25">
      <c r="A43356"/>
      <c r="B43356"/>
      <c r="C43356"/>
      <c r="E43356"/>
      <c r="F43356"/>
    </row>
    <row r="43357" spans="1:6" x14ac:dyDescent="0.25">
      <c r="A43357"/>
      <c r="B43357"/>
      <c r="C43357"/>
      <c r="E43357"/>
      <c r="F43357"/>
    </row>
    <row r="43358" spans="1:6" x14ac:dyDescent="0.25">
      <c r="A43358"/>
      <c r="B43358"/>
      <c r="C43358"/>
      <c r="E43358"/>
      <c r="F43358"/>
    </row>
    <row r="43359" spans="1:6" x14ac:dyDescent="0.25">
      <c r="A43359"/>
      <c r="B43359"/>
      <c r="C43359"/>
      <c r="E43359"/>
      <c r="F43359"/>
    </row>
    <row r="43360" spans="1:6" x14ac:dyDescent="0.25">
      <c r="A43360"/>
      <c r="B43360"/>
      <c r="C43360"/>
      <c r="E43360"/>
      <c r="F43360"/>
    </row>
    <row r="43361" spans="1:6" x14ac:dyDescent="0.25">
      <c r="A43361"/>
      <c r="B43361"/>
      <c r="C43361"/>
      <c r="E43361"/>
      <c r="F43361"/>
    </row>
    <row r="43362" spans="1:6" x14ac:dyDescent="0.25">
      <c r="A43362"/>
      <c r="B43362"/>
      <c r="C43362"/>
      <c r="E43362"/>
      <c r="F43362"/>
    </row>
    <row r="43363" spans="1:6" x14ac:dyDescent="0.25">
      <c r="A43363"/>
      <c r="B43363"/>
      <c r="C43363"/>
      <c r="E43363"/>
      <c r="F43363"/>
    </row>
    <row r="43364" spans="1:6" x14ac:dyDescent="0.25">
      <c r="A43364"/>
      <c r="B43364"/>
      <c r="C43364"/>
      <c r="E43364"/>
      <c r="F43364"/>
    </row>
    <row r="43365" spans="1:6" x14ac:dyDescent="0.25">
      <c r="A43365"/>
      <c r="B43365"/>
      <c r="C43365"/>
      <c r="E43365"/>
      <c r="F43365"/>
    </row>
    <row r="43366" spans="1:6" x14ac:dyDescent="0.25">
      <c r="A43366"/>
      <c r="B43366"/>
      <c r="C43366"/>
      <c r="E43366"/>
      <c r="F43366"/>
    </row>
    <row r="43367" spans="1:6" x14ac:dyDescent="0.25">
      <c r="A43367"/>
      <c r="B43367"/>
      <c r="C43367"/>
      <c r="E43367"/>
      <c r="F43367"/>
    </row>
    <row r="43368" spans="1:6" x14ac:dyDescent="0.25">
      <c r="A43368"/>
      <c r="B43368"/>
      <c r="C43368"/>
      <c r="E43368"/>
      <c r="F43368"/>
    </row>
    <row r="43369" spans="1:6" x14ac:dyDescent="0.25">
      <c r="A43369"/>
      <c r="B43369"/>
      <c r="C43369"/>
      <c r="E43369"/>
      <c r="F43369"/>
    </row>
    <row r="43370" spans="1:6" x14ac:dyDescent="0.25">
      <c r="A43370"/>
      <c r="B43370"/>
      <c r="C43370"/>
      <c r="E43370"/>
      <c r="F43370"/>
    </row>
    <row r="43371" spans="1:6" x14ac:dyDescent="0.25">
      <c r="A43371"/>
      <c r="B43371"/>
      <c r="C43371"/>
      <c r="E43371"/>
      <c r="F43371"/>
    </row>
    <row r="43372" spans="1:6" x14ac:dyDescent="0.25">
      <c r="A43372"/>
      <c r="B43372"/>
      <c r="C43372"/>
      <c r="E43372"/>
      <c r="F43372"/>
    </row>
    <row r="43373" spans="1:6" x14ac:dyDescent="0.25">
      <c r="A43373"/>
      <c r="B43373"/>
      <c r="C43373"/>
      <c r="E43373"/>
      <c r="F43373"/>
    </row>
    <row r="43374" spans="1:6" x14ac:dyDescent="0.25">
      <c r="A43374"/>
      <c r="B43374"/>
      <c r="C43374"/>
      <c r="E43374"/>
      <c r="F43374"/>
    </row>
    <row r="43375" spans="1:6" x14ac:dyDescent="0.25">
      <c r="A43375"/>
      <c r="B43375"/>
      <c r="C43375"/>
      <c r="E43375"/>
      <c r="F43375"/>
    </row>
    <row r="43376" spans="1:6" x14ac:dyDescent="0.25">
      <c r="A43376"/>
      <c r="B43376"/>
      <c r="C43376"/>
      <c r="E43376"/>
      <c r="F43376"/>
    </row>
    <row r="43377" spans="1:6" x14ac:dyDescent="0.25">
      <c r="A43377"/>
      <c r="B43377"/>
      <c r="C43377"/>
      <c r="E43377"/>
      <c r="F43377"/>
    </row>
    <row r="43378" spans="1:6" x14ac:dyDescent="0.25">
      <c r="A43378"/>
      <c r="B43378"/>
      <c r="C43378"/>
      <c r="E43378"/>
      <c r="F43378"/>
    </row>
    <row r="43379" spans="1:6" x14ac:dyDescent="0.25">
      <c r="A43379"/>
      <c r="B43379"/>
      <c r="C43379"/>
      <c r="E43379"/>
      <c r="F43379"/>
    </row>
    <row r="43380" spans="1:6" x14ac:dyDescent="0.25">
      <c r="A43380"/>
      <c r="B43380"/>
      <c r="C43380"/>
      <c r="E43380"/>
      <c r="F43380"/>
    </row>
    <row r="43381" spans="1:6" x14ac:dyDescent="0.25">
      <c r="A43381"/>
      <c r="B43381"/>
      <c r="C43381"/>
      <c r="E43381"/>
      <c r="F43381"/>
    </row>
    <row r="43382" spans="1:6" x14ac:dyDescent="0.25">
      <c r="A43382"/>
      <c r="B43382"/>
      <c r="C43382"/>
      <c r="E43382"/>
      <c r="F43382"/>
    </row>
    <row r="43383" spans="1:6" x14ac:dyDescent="0.25">
      <c r="A43383"/>
      <c r="B43383"/>
      <c r="C43383"/>
      <c r="E43383"/>
      <c r="F43383"/>
    </row>
    <row r="43384" spans="1:6" x14ac:dyDescent="0.25">
      <c r="A43384"/>
      <c r="B43384"/>
      <c r="C43384"/>
      <c r="E43384"/>
      <c r="F43384"/>
    </row>
    <row r="43385" spans="1:6" x14ac:dyDescent="0.25">
      <c r="A43385"/>
      <c r="B43385"/>
      <c r="C43385"/>
      <c r="E43385"/>
      <c r="F43385"/>
    </row>
    <row r="43386" spans="1:6" x14ac:dyDescent="0.25">
      <c r="A43386"/>
      <c r="B43386"/>
      <c r="C43386"/>
      <c r="E43386"/>
      <c r="F43386"/>
    </row>
    <row r="43387" spans="1:6" x14ac:dyDescent="0.25">
      <c r="A43387"/>
      <c r="B43387"/>
      <c r="C43387"/>
      <c r="E43387"/>
      <c r="F43387"/>
    </row>
    <row r="43388" spans="1:6" x14ac:dyDescent="0.25">
      <c r="A43388"/>
      <c r="B43388"/>
      <c r="C43388"/>
      <c r="E43388"/>
      <c r="F43388"/>
    </row>
    <row r="43389" spans="1:6" x14ac:dyDescent="0.25">
      <c r="A43389"/>
      <c r="B43389"/>
      <c r="C43389"/>
      <c r="E43389"/>
      <c r="F43389"/>
    </row>
    <row r="43390" spans="1:6" x14ac:dyDescent="0.25">
      <c r="A43390"/>
      <c r="B43390"/>
      <c r="C43390"/>
      <c r="E43390"/>
      <c r="F43390"/>
    </row>
    <row r="43391" spans="1:6" x14ac:dyDescent="0.25">
      <c r="A43391"/>
      <c r="B43391"/>
      <c r="C43391"/>
      <c r="E43391"/>
      <c r="F43391"/>
    </row>
    <row r="43392" spans="1:6" x14ac:dyDescent="0.25">
      <c r="A43392"/>
      <c r="B43392"/>
      <c r="C43392"/>
      <c r="E43392"/>
      <c r="F43392"/>
    </row>
    <row r="43393" spans="1:6" x14ac:dyDescent="0.25">
      <c r="A43393"/>
      <c r="B43393"/>
      <c r="C43393"/>
      <c r="E43393"/>
      <c r="F43393"/>
    </row>
    <row r="43394" spans="1:6" x14ac:dyDescent="0.25">
      <c r="A43394"/>
      <c r="B43394"/>
      <c r="C43394"/>
      <c r="E43394"/>
      <c r="F43394"/>
    </row>
    <row r="43395" spans="1:6" x14ac:dyDescent="0.25">
      <c r="A43395"/>
      <c r="B43395"/>
      <c r="C43395"/>
      <c r="E43395"/>
      <c r="F43395"/>
    </row>
    <row r="43396" spans="1:6" x14ac:dyDescent="0.25">
      <c r="A43396"/>
      <c r="B43396"/>
      <c r="C43396"/>
      <c r="E43396"/>
      <c r="F43396"/>
    </row>
    <row r="43397" spans="1:6" x14ac:dyDescent="0.25">
      <c r="A43397"/>
      <c r="B43397"/>
      <c r="C43397"/>
      <c r="E43397"/>
      <c r="F43397"/>
    </row>
    <row r="43398" spans="1:6" x14ac:dyDescent="0.25">
      <c r="A43398"/>
      <c r="B43398"/>
      <c r="C43398"/>
      <c r="E43398"/>
      <c r="F43398"/>
    </row>
    <row r="43399" spans="1:6" x14ac:dyDescent="0.25">
      <c r="A43399"/>
      <c r="B43399"/>
      <c r="C43399"/>
      <c r="E43399"/>
      <c r="F43399"/>
    </row>
    <row r="43400" spans="1:6" x14ac:dyDescent="0.25">
      <c r="A43400"/>
      <c r="B43400"/>
      <c r="C43400"/>
      <c r="E43400"/>
      <c r="F43400"/>
    </row>
    <row r="43401" spans="1:6" x14ac:dyDescent="0.25">
      <c r="A43401"/>
      <c r="B43401"/>
      <c r="C43401"/>
      <c r="E43401"/>
      <c r="F43401"/>
    </row>
    <row r="43402" spans="1:6" x14ac:dyDescent="0.25">
      <c r="A43402"/>
      <c r="B43402"/>
      <c r="C43402"/>
      <c r="E43402"/>
      <c r="F43402"/>
    </row>
    <row r="43403" spans="1:6" x14ac:dyDescent="0.25">
      <c r="A43403"/>
      <c r="B43403"/>
      <c r="C43403"/>
      <c r="E43403"/>
      <c r="F43403"/>
    </row>
    <row r="43404" spans="1:6" x14ac:dyDescent="0.25">
      <c r="A43404"/>
      <c r="B43404"/>
      <c r="C43404"/>
      <c r="E43404"/>
      <c r="F43404"/>
    </row>
    <row r="43405" spans="1:6" x14ac:dyDescent="0.25">
      <c r="A43405"/>
      <c r="B43405"/>
      <c r="C43405"/>
      <c r="E43405"/>
      <c r="F43405"/>
    </row>
    <row r="43406" spans="1:6" x14ac:dyDescent="0.25">
      <c r="A43406"/>
      <c r="B43406"/>
      <c r="C43406"/>
      <c r="E43406"/>
      <c r="F43406"/>
    </row>
    <row r="43407" spans="1:6" x14ac:dyDescent="0.25">
      <c r="A43407"/>
      <c r="B43407"/>
      <c r="C43407"/>
      <c r="E43407"/>
      <c r="F43407"/>
    </row>
    <row r="43408" spans="1:6" x14ac:dyDescent="0.25">
      <c r="A43408"/>
      <c r="B43408"/>
      <c r="C43408"/>
      <c r="E43408"/>
      <c r="F43408"/>
    </row>
    <row r="43409" spans="1:6" x14ac:dyDescent="0.25">
      <c r="A43409"/>
      <c r="B43409"/>
      <c r="C43409"/>
      <c r="E43409"/>
      <c r="F43409"/>
    </row>
    <row r="43410" spans="1:6" x14ac:dyDescent="0.25">
      <c r="A43410"/>
      <c r="B43410"/>
      <c r="C43410"/>
      <c r="E43410"/>
      <c r="F43410"/>
    </row>
    <row r="43411" spans="1:6" x14ac:dyDescent="0.25">
      <c r="A43411"/>
      <c r="B43411"/>
      <c r="C43411"/>
      <c r="E43411"/>
      <c r="F43411"/>
    </row>
    <row r="43412" spans="1:6" x14ac:dyDescent="0.25">
      <c r="A43412"/>
      <c r="B43412"/>
      <c r="C43412"/>
      <c r="E43412"/>
      <c r="F43412"/>
    </row>
    <row r="43413" spans="1:6" x14ac:dyDescent="0.25">
      <c r="A43413"/>
      <c r="B43413"/>
      <c r="C43413"/>
      <c r="E43413"/>
      <c r="F43413"/>
    </row>
    <row r="43414" spans="1:6" x14ac:dyDescent="0.25">
      <c r="A43414"/>
      <c r="B43414"/>
      <c r="C43414"/>
      <c r="E43414"/>
      <c r="F43414"/>
    </row>
    <row r="43415" spans="1:6" x14ac:dyDescent="0.25">
      <c r="A43415"/>
      <c r="B43415"/>
      <c r="C43415"/>
      <c r="E43415"/>
      <c r="F43415"/>
    </row>
    <row r="43416" spans="1:6" x14ac:dyDescent="0.25">
      <c r="A43416"/>
      <c r="B43416"/>
      <c r="C43416"/>
      <c r="E43416"/>
      <c r="F43416"/>
    </row>
    <row r="43417" spans="1:6" x14ac:dyDescent="0.25">
      <c r="A43417"/>
      <c r="B43417"/>
      <c r="C43417"/>
      <c r="E43417"/>
      <c r="F43417"/>
    </row>
    <row r="43418" spans="1:6" x14ac:dyDescent="0.25">
      <c r="A43418"/>
      <c r="B43418"/>
      <c r="C43418"/>
      <c r="E43418"/>
      <c r="F43418"/>
    </row>
    <row r="43419" spans="1:6" x14ac:dyDescent="0.25">
      <c r="A43419"/>
      <c r="B43419"/>
      <c r="C43419"/>
      <c r="E43419"/>
      <c r="F43419"/>
    </row>
    <row r="43420" spans="1:6" x14ac:dyDescent="0.25">
      <c r="A43420"/>
      <c r="B43420"/>
      <c r="C43420"/>
      <c r="E43420"/>
      <c r="F43420"/>
    </row>
    <row r="43421" spans="1:6" x14ac:dyDescent="0.25">
      <c r="A43421"/>
      <c r="B43421"/>
      <c r="C43421"/>
      <c r="E43421"/>
      <c r="F43421"/>
    </row>
    <row r="43422" spans="1:6" x14ac:dyDescent="0.25">
      <c r="A43422"/>
      <c r="B43422"/>
      <c r="C43422"/>
      <c r="E43422"/>
      <c r="F43422"/>
    </row>
    <row r="43423" spans="1:6" x14ac:dyDescent="0.25">
      <c r="A43423"/>
      <c r="B43423"/>
      <c r="C43423"/>
      <c r="E43423"/>
      <c r="F43423"/>
    </row>
    <row r="43424" spans="1:6" x14ac:dyDescent="0.25">
      <c r="A43424"/>
      <c r="B43424"/>
      <c r="C43424"/>
      <c r="E43424"/>
      <c r="F43424"/>
    </row>
    <row r="43425" spans="1:6" x14ac:dyDescent="0.25">
      <c r="A43425"/>
      <c r="B43425"/>
      <c r="C43425"/>
      <c r="E43425"/>
      <c r="F43425"/>
    </row>
    <row r="43426" spans="1:6" x14ac:dyDescent="0.25">
      <c r="A43426"/>
      <c r="B43426"/>
      <c r="C43426"/>
      <c r="E43426"/>
      <c r="F43426"/>
    </row>
    <row r="43427" spans="1:6" x14ac:dyDescent="0.25">
      <c r="A43427"/>
      <c r="B43427"/>
      <c r="C43427"/>
      <c r="E43427"/>
      <c r="F43427"/>
    </row>
    <row r="43428" spans="1:6" x14ac:dyDescent="0.25">
      <c r="A43428"/>
      <c r="B43428"/>
      <c r="C43428"/>
      <c r="E43428"/>
      <c r="F43428"/>
    </row>
    <row r="43429" spans="1:6" x14ac:dyDescent="0.25">
      <c r="A43429"/>
      <c r="B43429"/>
      <c r="C43429"/>
      <c r="E43429"/>
      <c r="F43429"/>
    </row>
    <row r="43430" spans="1:6" x14ac:dyDescent="0.25">
      <c r="A43430"/>
      <c r="B43430"/>
      <c r="C43430"/>
      <c r="E43430"/>
      <c r="F43430"/>
    </row>
    <row r="43431" spans="1:6" x14ac:dyDescent="0.25">
      <c r="A43431"/>
      <c r="B43431"/>
      <c r="C43431"/>
      <c r="E43431"/>
      <c r="F43431"/>
    </row>
    <row r="43432" spans="1:6" x14ac:dyDescent="0.25">
      <c r="A43432"/>
      <c r="B43432"/>
      <c r="C43432"/>
      <c r="E43432"/>
      <c r="F43432"/>
    </row>
    <row r="43433" spans="1:6" x14ac:dyDescent="0.25">
      <c r="A43433"/>
      <c r="B43433"/>
      <c r="C43433"/>
      <c r="E43433"/>
      <c r="F43433"/>
    </row>
    <row r="43434" spans="1:6" x14ac:dyDescent="0.25">
      <c r="A43434"/>
      <c r="B43434"/>
      <c r="C43434"/>
      <c r="E43434"/>
      <c r="F43434"/>
    </row>
    <row r="43435" spans="1:6" x14ac:dyDescent="0.25">
      <c r="A43435"/>
      <c r="B43435"/>
      <c r="C43435"/>
      <c r="E43435"/>
      <c r="F43435"/>
    </row>
    <row r="43436" spans="1:6" x14ac:dyDescent="0.25">
      <c r="A43436"/>
      <c r="B43436"/>
      <c r="C43436"/>
      <c r="E43436"/>
      <c r="F43436"/>
    </row>
    <row r="43437" spans="1:6" x14ac:dyDescent="0.25">
      <c r="A43437"/>
      <c r="B43437"/>
      <c r="C43437"/>
      <c r="E43437"/>
      <c r="F43437"/>
    </row>
    <row r="43438" spans="1:6" x14ac:dyDescent="0.25">
      <c r="A43438"/>
      <c r="B43438"/>
      <c r="C43438"/>
      <c r="E43438"/>
      <c r="F43438"/>
    </row>
    <row r="43439" spans="1:6" x14ac:dyDescent="0.25">
      <c r="A43439"/>
      <c r="B43439"/>
      <c r="C43439"/>
      <c r="E43439"/>
      <c r="F43439"/>
    </row>
    <row r="43440" spans="1:6" x14ac:dyDescent="0.25">
      <c r="A43440"/>
      <c r="B43440"/>
      <c r="C43440"/>
      <c r="E43440"/>
      <c r="F43440"/>
    </row>
    <row r="43441" spans="1:6" x14ac:dyDescent="0.25">
      <c r="A43441"/>
      <c r="B43441"/>
      <c r="C43441"/>
      <c r="E43441"/>
      <c r="F43441"/>
    </row>
    <row r="43442" spans="1:6" x14ac:dyDescent="0.25">
      <c r="A43442"/>
      <c r="B43442"/>
      <c r="C43442"/>
      <c r="E43442"/>
      <c r="F43442"/>
    </row>
    <row r="43443" spans="1:6" x14ac:dyDescent="0.25">
      <c r="A43443"/>
      <c r="B43443"/>
      <c r="C43443"/>
      <c r="E43443"/>
      <c r="F43443"/>
    </row>
    <row r="43444" spans="1:6" x14ac:dyDescent="0.25">
      <c r="A43444"/>
      <c r="B43444"/>
      <c r="C43444"/>
      <c r="E43444"/>
      <c r="F43444"/>
    </row>
    <row r="43445" spans="1:6" x14ac:dyDescent="0.25">
      <c r="A43445"/>
      <c r="B43445"/>
      <c r="C43445"/>
      <c r="E43445"/>
      <c r="F43445"/>
    </row>
    <row r="43446" spans="1:6" x14ac:dyDescent="0.25">
      <c r="A43446"/>
      <c r="B43446"/>
      <c r="C43446"/>
      <c r="E43446"/>
      <c r="F43446"/>
    </row>
    <row r="43447" spans="1:6" x14ac:dyDescent="0.25">
      <c r="A43447"/>
      <c r="B43447"/>
      <c r="C43447"/>
      <c r="E43447"/>
      <c r="F43447"/>
    </row>
    <row r="43448" spans="1:6" x14ac:dyDescent="0.25">
      <c r="A43448"/>
      <c r="B43448"/>
      <c r="C43448"/>
      <c r="E43448"/>
      <c r="F43448"/>
    </row>
    <row r="43449" spans="1:6" x14ac:dyDescent="0.25">
      <c r="A43449"/>
      <c r="B43449"/>
      <c r="C43449"/>
      <c r="E43449"/>
      <c r="F43449"/>
    </row>
    <row r="43450" spans="1:6" x14ac:dyDescent="0.25">
      <c r="A43450"/>
      <c r="B43450"/>
      <c r="C43450"/>
      <c r="E43450"/>
      <c r="F43450"/>
    </row>
    <row r="43451" spans="1:6" x14ac:dyDescent="0.25">
      <c r="A43451"/>
      <c r="B43451"/>
      <c r="C43451"/>
      <c r="E43451"/>
      <c r="F43451"/>
    </row>
    <row r="43452" spans="1:6" x14ac:dyDescent="0.25">
      <c r="A43452"/>
      <c r="B43452"/>
      <c r="C43452"/>
      <c r="E43452"/>
      <c r="F43452"/>
    </row>
    <row r="43453" spans="1:6" x14ac:dyDescent="0.25">
      <c r="A43453"/>
      <c r="B43453"/>
      <c r="C43453"/>
      <c r="E43453"/>
      <c r="F43453"/>
    </row>
    <row r="43454" spans="1:6" x14ac:dyDescent="0.25">
      <c r="A43454"/>
      <c r="B43454"/>
      <c r="C43454"/>
      <c r="E43454"/>
      <c r="F43454"/>
    </row>
    <row r="43455" spans="1:6" x14ac:dyDescent="0.25">
      <c r="A43455"/>
      <c r="B43455"/>
      <c r="C43455"/>
      <c r="E43455"/>
      <c r="F43455"/>
    </row>
    <row r="43456" spans="1:6" x14ac:dyDescent="0.25">
      <c r="A43456"/>
      <c r="B43456"/>
      <c r="C43456"/>
      <c r="E43456"/>
      <c r="F43456"/>
    </row>
    <row r="43457" spans="1:6" x14ac:dyDescent="0.25">
      <c r="A43457"/>
      <c r="B43457"/>
      <c r="C43457"/>
      <c r="E43457"/>
      <c r="F43457"/>
    </row>
    <row r="43458" spans="1:6" x14ac:dyDescent="0.25">
      <c r="A43458"/>
      <c r="B43458"/>
      <c r="C43458"/>
      <c r="E43458"/>
      <c r="F43458"/>
    </row>
    <row r="43459" spans="1:6" x14ac:dyDescent="0.25">
      <c r="A43459"/>
      <c r="B43459"/>
      <c r="C43459"/>
      <c r="E43459"/>
      <c r="F43459"/>
    </row>
    <row r="43460" spans="1:6" x14ac:dyDescent="0.25">
      <c r="A43460"/>
      <c r="B43460"/>
      <c r="C43460"/>
      <c r="E43460"/>
      <c r="F43460"/>
    </row>
    <row r="43461" spans="1:6" x14ac:dyDescent="0.25">
      <c r="A43461"/>
      <c r="B43461"/>
      <c r="C43461"/>
      <c r="E43461"/>
      <c r="F43461"/>
    </row>
    <row r="43462" spans="1:6" x14ac:dyDescent="0.25">
      <c r="A43462"/>
      <c r="B43462"/>
      <c r="C43462"/>
      <c r="E43462"/>
      <c r="F43462"/>
    </row>
    <row r="43463" spans="1:6" x14ac:dyDescent="0.25">
      <c r="A43463"/>
      <c r="B43463"/>
      <c r="C43463"/>
      <c r="E43463"/>
      <c r="F43463"/>
    </row>
    <row r="43464" spans="1:6" x14ac:dyDescent="0.25">
      <c r="A43464"/>
      <c r="B43464"/>
      <c r="C43464"/>
      <c r="E43464"/>
      <c r="F43464"/>
    </row>
    <row r="43465" spans="1:6" x14ac:dyDescent="0.25">
      <c r="A43465"/>
      <c r="B43465"/>
      <c r="C43465"/>
      <c r="E43465"/>
      <c r="F43465"/>
    </row>
    <row r="43466" spans="1:6" x14ac:dyDescent="0.25">
      <c r="A43466"/>
      <c r="B43466"/>
      <c r="C43466"/>
      <c r="E43466"/>
      <c r="F43466"/>
    </row>
    <row r="43467" spans="1:6" x14ac:dyDescent="0.25">
      <c r="A43467"/>
      <c r="B43467"/>
      <c r="C43467"/>
      <c r="E43467"/>
      <c r="F43467"/>
    </row>
    <row r="43468" spans="1:6" x14ac:dyDescent="0.25">
      <c r="A43468"/>
      <c r="B43468"/>
      <c r="C43468"/>
      <c r="E43468"/>
      <c r="F43468"/>
    </row>
    <row r="43469" spans="1:6" x14ac:dyDescent="0.25">
      <c r="A43469"/>
      <c r="B43469"/>
      <c r="C43469"/>
      <c r="E43469"/>
      <c r="F43469"/>
    </row>
    <row r="43470" spans="1:6" x14ac:dyDescent="0.25">
      <c r="A43470"/>
      <c r="B43470"/>
      <c r="C43470"/>
      <c r="E43470"/>
      <c r="F43470"/>
    </row>
    <row r="43471" spans="1:6" x14ac:dyDescent="0.25">
      <c r="A43471"/>
      <c r="B43471"/>
      <c r="C43471"/>
      <c r="E43471"/>
      <c r="F43471"/>
    </row>
    <row r="43472" spans="1:6" x14ac:dyDescent="0.25">
      <c r="A43472"/>
      <c r="B43472"/>
      <c r="C43472"/>
      <c r="E43472"/>
      <c r="F43472"/>
    </row>
    <row r="43473" spans="1:6" x14ac:dyDescent="0.25">
      <c r="A43473"/>
      <c r="B43473"/>
      <c r="C43473"/>
      <c r="E43473"/>
      <c r="F43473"/>
    </row>
    <row r="43474" spans="1:6" x14ac:dyDescent="0.25">
      <c r="A43474"/>
      <c r="B43474"/>
      <c r="C43474"/>
      <c r="E43474"/>
      <c r="F43474"/>
    </row>
    <row r="43475" spans="1:6" x14ac:dyDescent="0.25">
      <c r="A43475"/>
      <c r="B43475"/>
      <c r="C43475"/>
      <c r="E43475"/>
      <c r="F43475"/>
    </row>
    <row r="43476" spans="1:6" x14ac:dyDescent="0.25">
      <c r="A43476"/>
      <c r="B43476"/>
      <c r="C43476"/>
      <c r="E43476"/>
      <c r="F43476"/>
    </row>
    <row r="43477" spans="1:6" x14ac:dyDescent="0.25">
      <c r="A43477"/>
      <c r="B43477"/>
      <c r="C43477"/>
      <c r="E43477"/>
      <c r="F43477"/>
    </row>
    <row r="43478" spans="1:6" x14ac:dyDescent="0.25">
      <c r="A43478"/>
      <c r="B43478"/>
      <c r="C43478"/>
      <c r="E43478"/>
      <c r="F43478"/>
    </row>
    <row r="43479" spans="1:6" x14ac:dyDescent="0.25">
      <c r="A43479"/>
      <c r="B43479"/>
      <c r="C43479"/>
      <c r="E43479"/>
      <c r="F43479"/>
    </row>
    <row r="43480" spans="1:6" x14ac:dyDescent="0.25">
      <c r="A43480"/>
      <c r="B43480"/>
      <c r="C43480"/>
      <c r="E43480"/>
      <c r="F43480"/>
    </row>
    <row r="43481" spans="1:6" x14ac:dyDescent="0.25">
      <c r="A43481"/>
      <c r="B43481"/>
      <c r="C43481"/>
      <c r="E43481"/>
      <c r="F43481"/>
    </row>
    <row r="43482" spans="1:6" x14ac:dyDescent="0.25">
      <c r="A43482"/>
      <c r="B43482"/>
      <c r="C43482"/>
      <c r="E43482"/>
      <c r="F43482"/>
    </row>
    <row r="43483" spans="1:6" x14ac:dyDescent="0.25">
      <c r="A43483"/>
      <c r="B43483"/>
      <c r="C43483"/>
      <c r="E43483"/>
      <c r="F43483"/>
    </row>
    <row r="43484" spans="1:6" x14ac:dyDescent="0.25">
      <c r="A43484"/>
      <c r="B43484"/>
      <c r="C43484"/>
      <c r="E43484"/>
      <c r="F43484"/>
    </row>
    <row r="43485" spans="1:6" x14ac:dyDescent="0.25">
      <c r="A43485"/>
      <c r="B43485"/>
      <c r="C43485"/>
      <c r="E43485"/>
      <c r="F43485"/>
    </row>
    <row r="43486" spans="1:6" x14ac:dyDescent="0.25">
      <c r="A43486"/>
      <c r="B43486"/>
      <c r="C43486"/>
      <c r="E43486"/>
      <c r="F43486"/>
    </row>
    <row r="43487" spans="1:6" x14ac:dyDescent="0.25">
      <c r="A43487"/>
      <c r="B43487"/>
      <c r="C43487"/>
      <c r="E43487"/>
      <c r="F43487"/>
    </row>
    <row r="43488" spans="1:6" x14ac:dyDescent="0.25">
      <c r="A43488"/>
      <c r="B43488"/>
      <c r="C43488"/>
      <c r="E43488"/>
      <c r="F43488"/>
    </row>
    <row r="43489" spans="1:6" x14ac:dyDescent="0.25">
      <c r="A43489"/>
      <c r="B43489"/>
      <c r="C43489"/>
      <c r="E43489"/>
      <c r="F43489"/>
    </row>
    <row r="43490" spans="1:6" x14ac:dyDescent="0.25">
      <c r="A43490"/>
      <c r="B43490"/>
      <c r="C43490"/>
      <c r="E43490"/>
      <c r="F43490"/>
    </row>
    <row r="43491" spans="1:6" x14ac:dyDescent="0.25">
      <c r="A43491"/>
      <c r="B43491"/>
      <c r="C43491"/>
      <c r="E43491"/>
      <c r="F43491"/>
    </row>
    <row r="43492" spans="1:6" x14ac:dyDescent="0.25">
      <c r="A43492"/>
      <c r="B43492"/>
      <c r="C43492"/>
      <c r="E43492"/>
      <c r="F43492"/>
    </row>
    <row r="43493" spans="1:6" x14ac:dyDescent="0.25">
      <c r="A43493"/>
      <c r="B43493"/>
      <c r="C43493"/>
      <c r="E43493"/>
      <c r="F43493"/>
    </row>
    <row r="43494" spans="1:6" x14ac:dyDescent="0.25">
      <c r="A43494"/>
      <c r="B43494"/>
      <c r="C43494"/>
      <c r="E43494"/>
      <c r="F43494"/>
    </row>
    <row r="43495" spans="1:6" x14ac:dyDescent="0.25">
      <c r="A43495"/>
      <c r="B43495"/>
      <c r="C43495"/>
      <c r="E43495"/>
      <c r="F43495"/>
    </row>
    <row r="43496" spans="1:6" x14ac:dyDescent="0.25">
      <c r="A43496"/>
      <c r="B43496"/>
      <c r="C43496"/>
      <c r="E43496"/>
      <c r="F43496"/>
    </row>
    <row r="43497" spans="1:6" x14ac:dyDescent="0.25">
      <c r="A43497"/>
      <c r="B43497"/>
      <c r="C43497"/>
      <c r="E43497"/>
      <c r="F43497"/>
    </row>
    <row r="43498" spans="1:6" x14ac:dyDescent="0.25">
      <c r="A43498"/>
      <c r="B43498"/>
      <c r="C43498"/>
      <c r="E43498"/>
      <c r="F43498"/>
    </row>
    <row r="43499" spans="1:6" x14ac:dyDescent="0.25">
      <c r="A43499"/>
      <c r="B43499"/>
      <c r="C43499"/>
      <c r="E43499"/>
      <c r="F43499"/>
    </row>
    <row r="43500" spans="1:6" x14ac:dyDescent="0.25">
      <c r="A43500"/>
      <c r="B43500"/>
      <c r="C43500"/>
      <c r="E43500"/>
      <c r="F43500"/>
    </row>
    <row r="43501" spans="1:6" x14ac:dyDescent="0.25">
      <c r="A43501"/>
      <c r="B43501"/>
      <c r="C43501"/>
      <c r="E43501"/>
      <c r="F43501"/>
    </row>
    <row r="43502" spans="1:6" x14ac:dyDescent="0.25">
      <c r="A43502"/>
      <c r="B43502"/>
      <c r="C43502"/>
      <c r="E43502"/>
      <c r="F43502"/>
    </row>
    <row r="43503" spans="1:6" x14ac:dyDescent="0.25">
      <c r="A43503"/>
      <c r="B43503"/>
      <c r="C43503"/>
      <c r="E43503"/>
      <c r="F43503"/>
    </row>
    <row r="43504" spans="1:6" x14ac:dyDescent="0.25">
      <c r="A43504"/>
      <c r="B43504"/>
      <c r="C43504"/>
      <c r="E43504"/>
      <c r="F43504"/>
    </row>
    <row r="43505" spans="1:6" x14ac:dyDescent="0.25">
      <c r="A43505"/>
      <c r="B43505"/>
      <c r="C43505"/>
      <c r="E43505"/>
      <c r="F43505"/>
    </row>
    <row r="43506" spans="1:6" x14ac:dyDescent="0.25">
      <c r="A43506"/>
      <c r="B43506"/>
      <c r="C43506"/>
      <c r="E43506"/>
      <c r="F43506"/>
    </row>
    <row r="43507" spans="1:6" x14ac:dyDescent="0.25">
      <c r="A43507"/>
      <c r="B43507"/>
      <c r="C43507"/>
      <c r="E43507"/>
      <c r="F43507"/>
    </row>
    <row r="43508" spans="1:6" x14ac:dyDescent="0.25">
      <c r="A43508"/>
      <c r="B43508"/>
      <c r="C43508"/>
      <c r="E43508"/>
      <c r="F43508"/>
    </row>
    <row r="43509" spans="1:6" x14ac:dyDescent="0.25">
      <c r="A43509"/>
      <c r="B43509"/>
      <c r="C43509"/>
      <c r="E43509"/>
      <c r="F43509"/>
    </row>
    <row r="43510" spans="1:6" x14ac:dyDescent="0.25">
      <c r="A43510"/>
      <c r="B43510"/>
      <c r="C43510"/>
      <c r="E43510"/>
      <c r="F43510"/>
    </row>
    <row r="43511" spans="1:6" x14ac:dyDescent="0.25">
      <c r="A43511"/>
      <c r="B43511"/>
      <c r="C43511"/>
      <c r="E43511"/>
      <c r="F43511"/>
    </row>
    <row r="43512" spans="1:6" x14ac:dyDescent="0.25">
      <c r="A43512"/>
      <c r="B43512"/>
      <c r="C43512"/>
      <c r="E43512"/>
      <c r="F43512"/>
    </row>
    <row r="43513" spans="1:6" x14ac:dyDescent="0.25">
      <c r="A43513"/>
      <c r="B43513"/>
      <c r="C43513"/>
      <c r="E43513"/>
      <c r="F43513"/>
    </row>
    <row r="43514" spans="1:6" x14ac:dyDescent="0.25">
      <c r="A43514"/>
      <c r="B43514"/>
      <c r="C43514"/>
      <c r="E43514"/>
      <c r="F43514"/>
    </row>
    <row r="43515" spans="1:6" x14ac:dyDescent="0.25">
      <c r="A43515"/>
      <c r="B43515"/>
      <c r="C43515"/>
      <c r="E43515"/>
      <c r="F43515"/>
    </row>
    <row r="43516" spans="1:6" x14ac:dyDescent="0.25">
      <c r="A43516"/>
      <c r="B43516"/>
      <c r="C43516"/>
      <c r="E43516"/>
      <c r="F43516"/>
    </row>
    <row r="43517" spans="1:6" x14ac:dyDescent="0.25">
      <c r="A43517"/>
      <c r="B43517"/>
      <c r="C43517"/>
      <c r="E43517"/>
      <c r="F43517"/>
    </row>
    <row r="43518" spans="1:6" x14ac:dyDescent="0.25">
      <c r="A43518"/>
      <c r="B43518"/>
      <c r="C43518"/>
      <c r="E43518"/>
      <c r="F43518"/>
    </row>
    <row r="43519" spans="1:6" x14ac:dyDescent="0.25">
      <c r="A43519"/>
      <c r="B43519"/>
      <c r="C43519"/>
      <c r="E43519"/>
      <c r="F43519"/>
    </row>
    <row r="43520" spans="1:6" x14ac:dyDescent="0.25">
      <c r="A43520"/>
      <c r="B43520"/>
      <c r="C43520"/>
      <c r="E43520"/>
      <c r="F43520"/>
    </row>
    <row r="43521" spans="1:6" x14ac:dyDescent="0.25">
      <c r="A43521"/>
      <c r="B43521"/>
      <c r="C43521"/>
      <c r="E43521"/>
      <c r="F43521"/>
    </row>
    <row r="43522" spans="1:6" x14ac:dyDescent="0.25">
      <c r="A43522"/>
      <c r="B43522"/>
      <c r="C43522"/>
      <c r="E43522"/>
      <c r="F43522"/>
    </row>
    <row r="43523" spans="1:6" x14ac:dyDescent="0.25">
      <c r="A43523"/>
      <c r="B43523"/>
      <c r="C43523"/>
      <c r="E43523"/>
      <c r="F43523"/>
    </row>
    <row r="43524" spans="1:6" x14ac:dyDescent="0.25">
      <c r="A43524"/>
      <c r="B43524"/>
      <c r="C43524"/>
      <c r="E43524"/>
      <c r="F43524"/>
    </row>
    <row r="43525" spans="1:6" x14ac:dyDescent="0.25">
      <c r="A43525"/>
      <c r="B43525"/>
      <c r="C43525"/>
      <c r="E43525"/>
      <c r="F43525"/>
    </row>
    <row r="43526" spans="1:6" x14ac:dyDescent="0.25">
      <c r="A43526"/>
      <c r="B43526"/>
      <c r="C43526"/>
      <c r="E43526"/>
      <c r="F43526"/>
    </row>
    <row r="43527" spans="1:6" x14ac:dyDescent="0.25">
      <c r="A43527"/>
      <c r="B43527"/>
      <c r="C43527"/>
      <c r="E43527"/>
      <c r="F43527"/>
    </row>
    <row r="43528" spans="1:6" x14ac:dyDescent="0.25">
      <c r="A43528"/>
      <c r="B43528"/>
      <c r="C43528"/>
      <c r="E43528"/>
      <c r="F43528"/>
    </row>
    <row r="43529" spans="1:6" x14ac:dyDescent="0.25">
      <c r="A43529"/>
      <c r="B43529"/>
      <c r="C43529"/>
      <c r="E43529"/>
      <c r="F43529"/>
    </row>
    <row r="43530" spans="1:6" x14ac:dyDescent="0.25">
      <c r="A43530"/>
      <c r="B43530"/>
      <c r="C43530"/>
      <c r="E43530"/>
      <c r="F43530"/>
    </row>
    <row r="43531" spans="1:6" x14ac:dyDescent="0.25">
      <c r="A43531"/>
      <c r="B43531"/>
      <c r="C43531"/>
      <c r="E43531"/>
      <c r="F43531"/>
    </row>
    <row r="43532" spans="1:6" x14ac:dyDescent="0.25">
      <c r="A43532"/>
      <c r="B43532"/>
      <c r="C43532"/>
      <c r="E43532"/>
      <c r="F43532"/>
    </row>
    <row r="43533" spans="1:6" x14ac:dyDescent="0.25">
      <c r="A43533"/>
      <c r="B43533"/>
      <c r="C43533"/>
      <c r="E43533"/>
      <c r="F43533"/>
    </row>
    <row r="43534" spans="1:6" x14ac:dyDescent="0.25">
      <c r="A43534"/>
      <c r="B43534"/>
      <c r="C43534"/>
      <c r="E43534"/>
      <c r="F43534"/>
    </row>
    <row r="43535" spans="1:6" x14ac:dyDescent="0.25">
      <c r="A43535"/>
      <c r="B43535"/>
      <c r="C43535"/>
      <c r="E43535"/>
      <c r="F43535"/>
    </row>
    <row r="43536" spans="1:6" x14ac:dyDescent="0.25">
      <c r="A43536"/>
      <c r="B43536"/>
      <c r="C43536"/>
      <c r="E43536"/>
      <c r="F43536"/>
    </row>
    <row r="43537" spans="1:6" x14ac:dyDescent="0.25">
      <c r="A43537"/>
      <c r="B43537"/>
      <c r="C43537"/>
      <c r="E43537"/>
      <c r="F43537"/>
    </row>
    <row r="43538" spans="1:6" x14ac:dyDescent="0.25">
      <c r="A43538"/>
      <c r="B43538"/>
      <c r="C43538"/>
      <c r="E43538"/>
      <c r="F43538"/>
    </row>
    <row r="43539" spans="1:6" x14ac:dyDescent="0.25">
      <c r="A43539"/>
      <c r="B43539"/>
      <c r="C43539"/>
      <c r="E43539"/>
      <c r="F43539"/>
    </row>
    <row r="43540" spans="1:6" x14ac:dyDescent="0.25">
      <c r="A43540"/>
      <c r="B43540"/>
      <c r="C43540"/>
      <c r="E43540"/>
      <c r="F43540"/>
    </row>
    <row r="43541" spans="1:6" x14ac:dyDescent="0.25">
      <c r="A43541"/>
      <c r="B43541"/>
      <c r="C43541"/>
      <c r="E43541"/>
      <c r="F43541"/>
    </row>
    <row r="43542" spans="1:6" x14ac:dyDescent="0.25">
      <c r="A43542"/>
      <c r="B43542"/>
      <c r="C43542"/>
      <c r="E43542"/>
      <c r="F43542"/>
    </row>
    <row r="43543" spans="1:6" x14ac:dyDescent="0.25">
      <c r="A43543"/>
      <c r="B43543"/>
      <c r="C43543"/>
      <c r="E43543"/>
      <c r="F43543"/>
    </row>
    <row r="43544" spans="1:6" x14ac:dyDescent="0.25">
      <c r="A43544"/>
      <c r="B43544"/>
      <c r="C43544"/>
      <c r="E43544"/>
      <c r="F43544"/>
    </row>
    <row r="43545" spans="1:6" x14ac:dyDescent="0.25">
      <c r="A43545"/>
      <c r="B43545"/>
      <c r="C43545"/>
      <c r="E43545"/>
      <c r="F43545"/>
    </row>
    <row r="43546" spans="1:6" x14ac:dyDescent="0.25">
      <c r="A43546"/>
      <c r="B43546"/>
      <c r="C43546"/>
      <c r="E43546"/>
      <c r="F43546"/>
    </row>
    <row r="43547" spans="1:6" x14ac:dyDescent="0.25">
      <c r="A43547"/>
      <c r="B43547"/>
      <c r="C43547"/>
      <c r="E43547"/>
      <c r="F43547"/>
    </row>
    <row r="43548" spans="1:6" x14ac:dyDescent="0.25">
      <c r="A43548"/>
      <c r="B43548"/>
      <c r="C43548"/>
      <c r="E43548"/>
      <c r="F43548"/>
    </row>
    <row r="43549" spans="1:6" x14ac:dyDescent="0.25">
      <c r="A43549"/>
      <c r="B43549"/>
      <c r="C43549"/>
      <c r="E43549"/>
      <c r="F43549"/>
    </row>
    <row r="43550" spans="1:6" x14ac:dyDescent="0.25">
      <c r="A43550"/>
      <c r="B43550"/>
      <c r="C43550"/>
      <c r="E43550"/>
      <c r="F43550"/>
    </row>
    <row r="43551" spans="1:6" x14ac:dyDescent="0.25">
      <c r="A43551"/>
      <c r="B43551"/>
      <c r="C43551"/>
      <c r="E43551"/>
      <c r="F43551"/>
    </row>
    <row r="43552" spans="1:6" x14ac:dyDescent="0.25">
      <c r="A43552"/>
      <c r="B43552"/>
      <c r="C43552"/>
      <c r="E43552"/>
      <c r="F43552"/>
    </row>
    <row r="43553" spans="1:6" x14ac:dyDescent="0.25">
      <c r="A43553"/>
      <c r="B43553"/>
      <c r="C43553"/>
      <c r="E43553"/>
      <c r="F43553"/>
    </row>
    <row r="43554" spans="1:6" x14ac:dyDescent="0.25">
      <c r="A43554"/>
      <c r="B43554"/>
      <c r="C43554"/>
      <c r="E43554"/>
      <c r="F43554"/>
    </row>
    <row r="43555" spans="1:6" x14ac:dyDescent="0.25">
      <c r="A43555"/>
      <c r="B43555"/>
      <c r="C43555"/>
      <c r="E43555"/>
      <c r="F43555"/>
    </row>
    <row r="43556" spans="1:6" x14ac:dyDescent="0.25">
      <c r="A43556"/>
      <c r="B43556"/>
      <c r="C43556"/>
      <c r="E43556"/>
      <c r="F43556"/>
    </row>
    <row r="43557" spans="1:6" x14ac:dyDescent="0.25">
      <c r="A43557"/>
      <c r="B43557"/>
      <c r="C43557"/>
      <c r="E43557"/>
      <c r="F43557"/>
    </row>
    <row r="43558" spans="1:6" x14ac:dyDescent="0.25">
      <c r="A43558"/>
      <c r="B43558"/>
      <c r="C43558"/>
      <c r="E43558"/>
      <c r="F43558"/>
    </row>
    <row r="43559" spans="1:6" x14ac:dyDescent="0.25">
      <c r="A43559"/>
      <c r="B43559"/>
      <c r="C43559"/>
      <c r="E43559"/>
      <c r="F43559"/>
    </row>
    <row r="43560" spans="1:6" x14ac:dyDescent="0.25">
      <c r="A43560"/>
      <c r="B43560"/>
      <c r="C43560"/>
      <c r="E43560"/>
      <c r="F43560"/>
    </row>
    <row r="43561" spans="1:6" x14ac:dyDescent="0.25">
      <c r="A43561"/>
      <c r="B43561"/>
      <c r="C43561"/>
      <c r="E43561"/>
      <c r="F43561"/>
    </row>
    <row r="43562" spans="1:6" x14ac:dyDescent="0.25">
      <c r="A43562"/>
      <c r="B43562"/>
      <c r="C43562"/>
      <c r="E43562"/>
      <c r="F43562"/>
    </row>
    <row r="43563" spans="1:6" x14ac:dyDescent="0.25">
      <c r="A43563"/>
      <c r="B43563"/>
      <c r="C43563"/>
      <c r="E43563"/>
      <c r="F43563"/>
    </row>
    <row r="43564" spans="1:6" x14ac:dyDescent="0.25">
      <c r="A43564"/>
      <c r="B43564"/>
      <c r="C43564"/>
      <c r="E43564"/>
      <c r="F43564"/>
    </row>
    <row r="43565" spans="1:6" x14ac:dyDescent="0.25">
      <c r="A43565"/>
      <c r="B43565"/>
      <c r="C43565"/>
      <c r="E43565"/>
      <c r="F43565"/>
    </row>
    <row r="43566" spans="1:6" x14ac:dyDescent="0.25">
      <c r="A43566"/>
      <c r="B43566"/>
      <c r="C43566"/>
      <c r="E43566"/>
      <c r="F43566"/>
    </row>
    <row r="43567" spans="1:6" x14ac:dyDescent="0.25">
      <c r="A43567"/>
      <c r="B43567"/>
      <c r="C43567"/>
      <c r="E43567"/>
      <c r="F43567"/>
    </row>
    <row r="43568" spans="1:6" x14ac:dyDescent="0.25">
      <c r="A43568"/>
      <c r="B43568"/>
      <c r="C43568"/>
      <c r="E43568"/>
      <c r="F43568"/>
    </row>
    <row r="43569" spans="1:6" x14ac:dyDescent="0.25">
      <c r="A43569"/>
      <c r="B43569"/>
      <c r="C43569"/>
      <c r="E43569"/>
      <c r="F43569"/>
    </row>
    <row r="43570" spans="1:6" x14ac:dyDescent="0.25">
      <c r="A43570"/>
      <c r="B43570"/>
      <c r="C43570"/>
      <c r="E43570"/>
      <c r="F43570"/>
    </row>
    <row r="43571" spans="1:6" x14ac:dyDescent="0.25">
      <c r="A43571"/>
      <c r="B43571"/>
      <c r="C43571"/>
      <c r="E43571"/>
      <c r="F43571"/>
    </row>
    <row r="43572" spans="1:6" x14ac:dyDescent="0.25">
      <c r="A43572"/>
      <c r="B43572"/>
      <c r="C43572"/>
      <c r="E43572"/>
      <c r="F43572"/>
    </row>
    <row r="43573" spans="1:6" x14ac:dyDescent="0.25">
      <c r="A43573"/>
      <c r="B43573"/>
      <c r="C43573"/>
      <c r="E43573"/>
      <c r="F43573"/>
    </row>
    <row r="43574" spans="1:6" x14ac:dyDescent="0.25">
      <c r="A43574"/>
      <c r="B43574"/>
      <c r="C43574"/>
      <c r="E43574"/>
      <c r="F43574"/>
    </row>
    <row r="43575" spans="1:6" x14ac:dyDescent="0.25">
      <c r="A43575"/>
      <c r="B43575"/>
      <c r="C43575"/>
      <c r="E43575"/>
      <c r="F43575"/>
    </row>
    <row r="43576" spans="1:6" x14ac:dyDescent="0.25">
      <c r="A43576"/>
      <c r="B43576"/>
      <c r="C43576"/>
      <c r="E43576"/>
      <c r="F43576"/>
    </row>
    <row r="43577" spans="1:6" x14ac:dyDescent="0.25">
      <c r="A43577"/>
      <c r="B43577"/>
      <c r="C43577"/>
      <c r="E43577"/>
      <c r="F43577"/>
    </row>
    <row r="43578" spans="1:6" x14ac:dyDescent="0.25">
      <c r="A43578"/>
      <c r="B43578"/>
      <c r="C43578"/>
      <c r="E43578"/>
      <c r="F43578"/>
    </row>
    <row r="43579" spans="1:6" x14ac:dyDescent="0.25">
      <c r="A43579"/>
      <c r="B43579"/>
      <c r="C43579"/>
      <c r="E43579"/>
      <c r="F43579"/>
    </row>
    <row r="43580" spans="1:6" x14ac:dyDescent="0.25">
      <c r="A43580"/>
      <c r="B43580"/>
      <c r="C43580"/>
      <c r="E43580"/>
      <c r="F43580"/>
    </row>
    <row r="43581" spans="1:6" x14ac:dyDescent="0.25">
      <c r="A43581"/>
      <c r="B43581"/>
      <c r="C43581"/>
      <c r="E43581"/>
      <c r="F43581"/>
    </row>
    <row r="43582" spans="1:6" x14ac:dyDescent="0.25">
      <c r="A43582"/>
      <c r="B43582"/>
      <c r="C43582"/>
      <c r="E43582"/>
      <c r="F43582"/>
    </row>
    <row r="43583" spans="1:6" x14ac:dyDescent="0.25">
      <c r="A43583"/>
      <c r="B43583"/>
      <c r="C43583"/>
      <c r="E43583"/>
      <c r="F43583"/>
    </row>
    <row r="43584" spans="1:6" x14ac:dyDescent="0.25">
      <c r="A43584"/>
      <c r="B43584"/>
      <c r="C43584"/>
      <c r="E43584"/>
      <c r="F43584"/>
    </row>
    <row r="43585" spans="1:6" x14ac:dyDescent="0.25">
      <c r="A43585"/>
      <c r="B43585"/>
      <c r="C43585"/>
      <c r="E43585"/>
      <c r="F43585"/>
    </row>
    <row r="43586" spans="1:6" x14ac:dyDescent="0.25">
      <c r="A43586"/>
      <c r="B43586"/>
      <c r="C43586"/>
      <c r="E43586"/>
      <c r="F43586"/>
    </row>
    <row r="43587" spans="1:6" x14ac:dyDescent="0.25">
      <c r="A43587"/>
      <c r="B43587"/>
      <c r="C43587"/>
      <c r="E43587"/>
      <c r="F43587"/>
    </row>
    <row r="43588" spans="1:6" x14ac:dyDescent="0.25">
      <c r="A43588"/>
      <c r="B43588"/>
      <c r="C43588"/>
      <c r="E43588"/>
      <c r="F43588"/>
    </row>
    <row r="43589" spans="1:6" x14ac:dyDescent="0.25">
      <c r="A43589"/>
      <c r="B43589"/>
      <c r="C43589"/>
      <c r="E43589"/>
      <c r="F43589"/>
    </row>
    <row r="43590" spans="1:6" x14ac:dyDescent="0.25">
      <c r="A43590"/>
      <c r="B43590"/>
      <c r="C43590"/>
      <c r="E43590"/>
      <c r="F43590"/>
    </row>
    <row r="43591" spans="1:6" x14ac:dyDescent="0.25">
      <c r="A43591"/>
      <c r="B43591"/>
      <c r="C43591"/>
      <c r="E43591"/>
      <c r="F43591"/>
    </row>
    <row r="43592" spans="1:6" x14ac:dyDescent="0.25">
      <c r="A43592"/>
      <c r="B43592"/>
      <c r="C43592"/>
      <c r="E43592"/>
      <c r="F43592"/>
    </row>
    <row r="43593" spans="1:6" x14ac:dyDescent="0.25">
      <c r="A43593"/>
      <c r="B43593"/>
      <c r="C43593"/>
      <c r="E43593"/>
      <c r="F43593"/>
    </row>
    <row r="43594" spans="1:6" x14ac:dyDescent="0.25">
      <c r="A43594"/>
      <c r="B43594"/>
      <c r="C43594"/>
      <c r="E43594"/>
      <c r="F43594"/>
    </row>
    <row r="43595" spans="1:6" x14ac:dyDescent="0.25">
      <c r="A43595"/>
      <c r="B43595"/>
      <c r="C43595"/>
      <c r="E43595"/>
      <c r="F43595"/>
    </row>
    <row r="43596" spans="1:6" x14ac:dyDescent="0.25">
      <c r="A43596"/>
      <c r="B43596"/>
      <c r="C43596"/>
      <c r="E43596"/>
      <c r="F43596"/>
    </row>
    <row r="43597" spans="1:6" x14ac:dyDescent="0.25">
      <c r="A43597"/>
      <c r="B43597"/>
      <c r="C43597"/>
      <c r="E43597"/>
      <c r="F43597"/>
    </row>
    <row r="43598" spans="1:6" x14ac:dyDescent="0.25">
      <c r="A43598"/>
      <c r="B43598"/>
      <c r="C43598"/>
      <c r="E43598"/>
      <c r="F43598"/>
    </row>
    <row r="43599" spans="1:6" x14ac:dyDescent="0.25">
      <c r="A43599"/>
      <c r="B43599"/>
      <c r="C43599"/>
      <c r="E43599"/>
      <c r="F43599"/>
    </row>
    <row r="43600" spans="1:6" x14ac:dyDescent="0.25">
      <c r="A43600"/>
      <c r="B43600"/>
      <c r="C43600"/>
      <c r="E43600"/>
      <c r="F43600"/>
    </row>
    <row r="43601" spans="1:6" x14ac:dyDescent="0.25">
      <c r="A43601"/>
      <c r="B43601"/>
      <c r="C43601"/>
      <c r="E43601"/>
      <c r="F43601"/>
    </row>
    <row r="43602" spans="1:6" x14ac:dyDescent="0.25">
      <c r="A43602"/>
      <c r="B43602"/>
      <c r="C43602"/>
      <c r="E43602"/>
      <c r="F43602"/>
    </row>
    <row r="43603" spans="1:6" x14ac:dyDescent="0.25">
      <c r="A43603"/>
      <c r="B43603"/>
      <c r="C43603"/>
      <c r="E43603"/>
      <c r="F43603"/>
    </row>
    <row r="43604" spans="1:6" x14ac:dyDescent="0.25">
      <c r="A43604"/>
      <c r="B43604"/>
      <c r="C43604"/>
      <c r="E43604"/>
      <c r="F43604"/>
    </row>
    <row r="43605" spans="1:6" x14ac:dyDescent="0.25">
      <c r="A43605"/>
      <c r="B43605"/>
      <c r="C43605"/>
      <c r="E43605"/>
      <c r="F43605"/>
    </row>
    <row r="43606" spans="1:6" x14ac:dyDescent="0.25">
      <c r="A43606"/>
      <c r="B43606"/>
      <c r="C43606"/>
      <c r="E43606"/>
      <c r="F43606"/>
    </row>
    <row r="43607" spans="1:6" x14ac:dyDescent="0.25">
      <c r="A43607"/>
      <c r="B43607"/>
      <c r="C43607"/>
      <c r="E43607"/>
      <c r="F43607"/>
    </row>
    <row r="43608" spans="1:6" x14ac:dyDescent="0.25">
      <c r="A43608"/>
      <c r="B43608"/>
      <c r="C43608"/>
      <c r="E43608"/>
      <c r="F43608"/>
    </row>
    <row r="43609" spans="1:6" x14ac:dyDescent="0.25">
      <c r="A43609"/>
      <c r="B43609"/>
      <c r="C43609"/>
      <c r="E43609"/>
      <c r="F43609"/>
    </row>
    <row r="43610" spans="1:6" x14ac:dyDescent="0.25">
      <c r="A43610"/>
      <c r="B43610"/>
      <c r="C43610"/>
      <c r="E43610"/>
      <c r="F43610"/>
    </row>
    <row r="43611" spans="1:6" x14ac:dyDescent="0.25">
      <c r="A43611"/>
      <c r="B43611"/>
      <c r="C43611"/>
      <c r="E43611"/>
      <c r="F43611"/>
    </row>
    <row r="43612" spans="1:6" x14ac:dyDescent="0.25">
      <c r="A43612"/>
      <c r="B43612"/>
      <c r="C43612"/>
      <c r="E43612"/>
      <c r="F43612"/>
    </row>
    <row r="43613" spans="1:6" x14ac:dyDescent="0.25">
      <c r="A43613"/>
      <c r="B43613"/>
      <c r="C43613"/>
      <c r="E43613"/>
      <c r="F43613"/>
    </row>
    <row r="43614" spans="1:6" x14ac:dyDescent="0.25">
      <c r="A43614"/>
      <c r="B43614"/>
      <c r="C43614"/>
      <c r="E43614"/>
      <c r="F43614"/>
    </row>
    <row r="43615" spans="1:6" x14ac:dyDescent="0.25">
      <c r="A43615"/>
      <c r="B43615"/>
      <c r="C43615"/>
      <c r="E43615"/>
      <c r="F43615"/>
    </row>
    <row r="43616" spans="1:6" x14ac:dyDescent="0.25">
      <c r="A43616"/>
      <c r="B43616"/>
      <c r="C43616"/>
      <c r="E43616"/>
      <c r="F43616"/>
    </row>
    <row r="43617" spans="1:6" x14ac:dyDescent="0.25">
      <c r="A43617"/>
      <c r="B43617"/>
      <c r="C43617"/>
      <c r="E43617"/>
      <c r="F43617"/>
    </row>
    <row r="43618" spans="1:6" x14ac:dyDescent="0.25">
      <c r="A43618"/>
      <c r="B43618"/>
      <c r="C43618"/>
      <c r="E43618"/>
      <c r="F43618"/>
    </row>
    <row r="43619" spans="1:6" x14ac:dyDescent="0.25">
      <c r="A43619"/>
      <c r="B43619"/>
      <c r="C43619"/>
      <c r="E43619"/>
      <c r="F43619"/>
    </row>
    <row r="43620" spans="1:6" x14ac:dyDescent="0.25">
      <c r="A43620"/>
      <c r="B43620"/>
      <c r="C43620"/>
      <c r="E43620"/>
      <c r="F43620"/>
    </row>
    <row r="43621" spans="1:6" x14ac:dyDescent="0.25">
      <c r="A43621"/>
      <c r="B43621"/>
      <c r="C43621"/>
      <c r="E43621"/>
      <c r="F43621"/>
    </row>
    <row r="43622" spans="1:6" x14ac:dyDescent="0.25">
      <c r="A43622"/>
      <c r="B43622"/>
      <c r="C43622"/>
      <c r="E43622"/>
      <c r="F43622"/>
    </row>
    <row r="43623" spans="1:6" x14ac:dyDescent="0.25">
      <c r="A43623"/>
      <c r="B43623"/>
      <c r="C43623"/>
      <c r="E43623"/>
      <c r="F43623"/>
    </row>
    <row r="43624" spans="1:6" x14ac:dyDescent="0.25">
      <c r="A43624"/>
      <c r="B43624"/>
      <c r="C43624"/>
      <c r="E43624"/>
      <c r="F43624"/>
    </row>
    <row r="43625" spans="1:6" x14ac:dyDescent="0.25">
      <c r="A43625"/>
      <c r="B43625"/>
      <c r="C43625"/>
      <c r="E43625"/>
      <c r="F43625"/>
    </row>
    <row r="43626" spans="1:6" x14ac:dyDescent="0.25">
      <c r="A43626"/>
      <c r="B43626"/>
      <c r="C43626"/>
      <c r="E43626"/>
      <c r="F43626"/>
    </row>
    <row r="43627" spans="1:6" x14ac:dyDescent="0.25">
      <c r="A43627"/>
      <c r="B43627"/>
      <c r="C43627"/>
      <c r="E43627"/>
      <c r="F43627"/>
    </row>
    <row r="43628" spans="1:6" x14ac:dyDescent="0.25">
      <c r="A43628"/>
      <c r="B43628"/>
      <c r="C43628"/>
      <c r="E43628"/>
      <c r="F43628"/>
    </row>
    <row r="43629" spans="1:6" x14ac:dyDescent="0.25">
      <c r="A43629"/>
      <c r="B43629"/>
      <c r="C43629"/>
      <c r="E43629"/>
      <c r="F43629"/>
    </row>
    <row r="43630" spans="1:6" x14ac:dyDescent="0.25">
      <c r="A43630"/>
      <c r="B43630"/>
      <c r="C43630"/>
      <c r="E43630"/>
      <c r="F43630"/>
    </row>
    <row r="43631" spans="1:6" x14ac:dyDescent="0.25">
      <c r="A43631"/>
      <c r="B43631"/>
      <c r="C43631"/>
      <c r="E43631"/>
      <c r="F43631"/>
    </row>
    <row r="43632" spans="1:6" x14ac:dyDescent="0.25">
      <c r="A43632"/>
      <c r="B43632"/>
      <c r="C43632"/>
      <c r="E43632"/>
      <c r="F43632"/>
    </row>
    <row r="43633" spans="1:6" x14ac:dyDescent="0.25">
      <c r="A43633"/>
      <c r="B43633"/>
      <c r="C43633"/>
      <c r="E43633"/>
      <c r="F43633"/>
    </row>
    <row r="43634" spans="1:6" x14ac:dyDescent="0.25">
      <c r="A43634"/>
      <c r="B43634"/>
      <c r="C43634"/>
      <c r="E43634"/>
      <c r="F43634"/>
    </row>
    <row r="43635" spans="1:6" x14ac:dyDescent="0.25">
      <c r="A43635"/>
      <c r="B43635"/>
      <c r="C43635"/>
      <c r="E43635"/>
      <c r="F43635"/>
    </row>
    <row r="43636" spans="1:6" x14ac:dyDescent="0.25">
      <c r="A43636"/>
      <c r="B43636"/>
      <c r="C43636"/>
      <c r="E43636"/>
      <c r="F43636"/>
    </row>
    <row r="43637" spans="1:6" x14ac:dyDescent="0.25">
      <c r="A43637"/>
      <c r="B43637"/>
      <c r="C43637"/>
      <c r="E43637"/>
      <c r="F43637"/>
    </row>
    <row r="43638" spans="1:6" x14ac:dyDescent="0.25">
      <c r="A43638"/>
      <c r="B43638"/>
      <c r="C43638"/>
      <c r="E43638"/>
      <c r="F43638"/>
    </row>
    <row r="43639" spans="1:6" x14ac:dyDescent="0.25">
      <c r="A43639"/>
      <c r="B43639"/>
      <c r="C43639"/>
      <c r="E43639"/>
      <c r="F43639"/>
    </row>
    <row r="43640" spans="1:6" x14ac:dyDescent="0.25">
      <c r="A43640"/>
      <c r="B43640"/>
      <c r="C43640"/>
      <c r="E43640"/>
      <c r="F43640"/>
    </row>
    <row r="43641" spans="1:6" x14ac:dyDescent="0.25">
      <c r="A43641"/>
      <c r="B43641"/>
      <c r="C43641"/>
      <c r="E43641"/>
      <c r="F43641"/>
    </row>
    <row r="43642" spans="1:6" x14ac:dyDescent="0.25">
      <c r="A43642"/>
      <c r="B43642"/>
      <c r="C43642"/>
      <c r="E43642"/>
      <c r="F43642"/>
    </row>
    <row r="43643" spans="1:6" x14ac:dyDescent="0.25">
      <c r="A43643"/>
      <c r="B43643"/>
      <c r="C43643"/>
      <c r="E43643"/>
      <c r="F43643"/>
    </row>
    <row r="43644" spans="1:6" x14ac:dyDescent="0.25">
      <c r="A43644"/>
      <c r="B43644"/>
      <c r="C43644"/>
      <c r="E43644"/>
      <c r="F43644"/>
    </row>
    <row r="43645" spans="1:6" x14ac:dyDescent="0.25">
      <c r="A43645"/>
      <c r="B43645"/>
      <c r="C43645"/>
      <c r="E43645"/>
      <c r="F43645"/>
    </row>
    <row r="43646" spans="1:6" x14ac:dyDescent="0.25">
      <c r="A43646"/>
      <c r="B43646"/>
      <c r="C43646"/>
      <c r="E43646"/>
      <c r="F43646"/>
    </row>
    <row r="43647" spans="1:6" x14ac:dyDescent="0.25">
      <c r="A43647"/>
      <c r="B43647"/>
      <c r="C43647"/>
      <c r="E43647"/>
      <c r="F43647"/>
    </row>
    <row r="43648" spans="1:6" x14ac:dyDescent="0.25">
      <c r="A43648"/>
      <c r="B43648"/>
      <c r="C43648"/>
      <c r="E43648"/>
      <c r="F43648"/>
    </row>
    <row r="43649" spans="1:6" x14ac:dyDescent="0.25">
      <c r="A43649"/>
      <c r="B43649"/>
      <c r="C43649"/>
      <c r="E43649"/>
      <c r="F43649"/>
    </row>
    <row r="43650" spans="1:6" x14ac:dyDescent="0.25">
      <c r="A43650"/>
      <c r="B43650"/>
      <c r="C43650"/>
      <c r="E43650"/>
      <c r="F43650"/>
    </row>
    <row r="43651" spans="1:6" x14ac:dyDescent="0.25">
      <c r="A43651"/>
      <c r="B43651"/>
      <c r="C43651"/>
      <c r="E43651"/>
      <c r="F43651"/>
    </row>
    <row r="43652" spans="1:6" x14ac:dyDescent="0.25">
      <c r="A43652"/>
      <c r="B43652"/>
      <c r="C43652"/>
      <c r="E43652"/>
      <c r="F43652"/>
    </row>
    <row r="43653" spans="1:6" x14ac:dyDescent="0.25">
      <c r="A43653"/>
      <c r="B43653"/>
      <c r="C43653"/>
      <c r="E43653"/>
      <c r="F43653"/>
    </row>
    <row r="43654" spans="1:6" x14ac:dyDescent="0.25">
      <c r="A43654"/>
      <c r="B43654"/>
      <c r="C43654"/>
      <c r="E43654"/>
      <c r="F43654"/>
    </row>
    <row r="43655" spans="1:6" x14ac:dyDescent="0.25">
      <c r="A43655"/>
      <c r="B43655"/>
      <c r="C43655"/>
      <c r="E43655"/>
      <c r="F43655"/>
    </row>
    <row r="43656" spans="1:6" x14ac:dyDescent="0.25">
      <c r="A43656"/>
      <c r="B43656"/>
      <c r="C43656"/>
      <c r="E43656"/>
      <c r="F43656"/>
    </row>
    <row r="43657" spans="1:6" x14ac:dyDescent="0.25">
      <c r="A43657"/>
      <c r="B43657"/>
      <c r="C43657"/>
      <c r="E43657"/>
      <c r="F43657"/>
    </row>
    <row r="43658" spans="1:6" x14ac:dyDescent="0.25">
      <c r="A43658"/>
      <c r="B43658"/>
      <c r="C43658"/>
      <c r="E43658"/>
      <c r="F43658"/>
    </row>
    <row r="43659" spans="1:6" x14ac:dyDescent="0.25">
      <c r="A43659"/>
      <c r="B43659"/>
      <c r="C43659"/>
      <c r="E43659"/>
      <c r="F43659"/>
    </row>
    <row r="43660" spans="1:6" x14ac:dyDescent="0.25">
      <c r="A43660"/>
      <c r="B43660"/>
      <c r="C43660"/>
      <c r="E43660"/>
      <c r="F43660"/>
    </row>
    <row r="43661" spans="1:6" x14ac:dyDescent="0.25">
      <c r="A43661"/>
      <c r="B43661"/>
      <c r="C43661"/>
      <c r="E43661"/>
      <c r="F43661"/>
    </row>
    <row r="43662" spans="1:6" x14ac:dyDescent="0.25">
      <c r="A43662"/>
      <c r="B43662"/>
      <c r="C43662"/>
      <c r="E43662"/>
      <c r="F43662"/>
    </row>
    <row r="43663" spans="1:6" x14ac:dyDescent="0.25">
      <c r="A43663"/>
      <c r="B43663"/>
      <c r="C43663"/>
      <c r="E43663"/>
      <c r="F43663"/>
    </row>
    <row r="43664" spans="1:6" x14ac:dyDescent="0.25">
      <c r="A43664"/>
      <c r="B43664"/>
      <c r="C43664"/>
      <c r="E43664"/>
      <c r="F43664"/>
    </row>
    <row r="43665" spans="1:6" x14ac:dyDescent="0.25">
      <c r="A43665"/>
      <c r="B43665"/>
      <c r="C43665"/>
      <c r="E43665"/>
      <c r="F43665"/>
    </row>
    <row r="43666" spans="1:6" x14ac:dyDescent="0.25">
      <c r="A43666"/>
      <c r="B43666"/>
      <c r="C43666"/>
      <c r="E43666"/>
      <c r="F43666"/>
    </row>
    <row r="43667" spans="1:6" x14ac:dyDescent="0.25">
      <c r="A43667"/>
      <c r="B43667"/>
      <c r="C43667"/>
      <c r="E43667"/>
      <c r="F43667"/>
    </row>
    <row r="43668" spans="1:6" x14ac:dyDescent="0.25">
      <c r="A43668"/>
      <c r="B43668"/>
      <c r="C43668"/>
      <c r="E43668"/>
      <c r="F43668"/>
    </row>
    <row r="43669" spans="1:6" x14ac:dyDescent="0.25">
      <c r="A43669"/>
      <c r="B43669"/>
      <c r="C43669"/>
      <c r="E43669"/>
      <c r="F43669"/>
    </row>
    <row r="43670" spans="1:6" x14ac:dyDescent="0.25">
      <c r="A43670"/>
      <c r="B43670"/>
      <c r="C43670"/>
      <c r="E43670"/>
      <c r="F43670"/>
    </row>
    <row r="43671" spans="1:6" x14ac:dyDescent="0.25">
      <c r="A43671"/>
      <c r="B43671"/>
      <c r="C43671"/>
      <c r="E43671"/>
      <c r="F43671"/>
    </row>
    <row r="43672" spans="1:6" x14ac:dyDescent="0.25">
      <c r="A43672"/>
      <c r="B43672"/>
      <c r="C43672"/>
      <c r="E43672"/>
      <c r="F43672"/>
    </row>
    <row r="43673" spans="1:6" x14ac:dyDescent="0.25">
      <c r="A43673"/>
      <c r="B43673"/>
      <c r="C43673"/>
      <c r="E43673"/>
      <c r="F43673"/>
    </row>
    <row r="43674" spans="1:6" x14ac:dyDescent="0.25">
      <c r="A43674"/>
      <c r="B43674"/>
      <c r="C43674"/>
      <c r="E43674"/>
      <c r="F43674"/>
    </row>
    <row r="43675" spans="1:6" x14ac:dyDescent="0.25">
      <c r="A43675"/>
      <c r="B43675"/>
      <c r="C43675"/>
      <c r="E43675"/>
      <c r="F43675"/>
    </row>
    <row r="43676" spans="1:6" x14ac:dyDescent="0.25">
      <c r="A43676"/>
      <c r="B43676"/>
      <c r="C43676"/>
      <c r="E43676"/>
      <c r="F43676"/>
    </row>
    <row r="43677" spans="1:6" x14ac:dyDescent="0.25">
      <c r="A43677"/>
      <c r="B43677"/>
      <c r="C43677"/>
      <c r="E43677"/>
      <c r="F43677"/>
    </row>
    <row r="43678" spans="1:6" x14ac:dyDescent="0.25">
      <c r="A43678"/>
      <c r="B43678"/>
      <c r="C43678"/>
      <c r="E43678"/>
      <c r="F43678"/>
    </row>
    <row r="43679" spans="1:6" x14ac:dyDescent="0.25">
      <c r="A43679"/>
      <c r="B43679"/>
      <c r="C43679"/>
      <c r="E43679"/>
      <c r="F43679"/>
    </row>
    <row r="43680" spans="1:6" x14ac:dyDescent="0.25">
      <c r="A43680"/>
      <c r="B43680"/>
      <c r="C43680"/>
      <c r="E43680"/>
      <c r="F43680"/>
    </row>
    <row r="43681" spans="1:6" x14ac:dyDescent="0.25">
      <c r="A43681"/>
      <c r="B43681"/>
      <c r="C43681"/>
      <c r="E43681"/>
      <c r="F43681"/>
    </row>
    <row r="43682" spans="1:6" x14ac:dyDescent="0.25">
      <c r="A43682"/>
      <c r="B43682"/>
      <c r="C43682"/>
      <c r="E43682"/>
      <c r="F43682"/>
    </row>
    <row r="43683" spans="1:6" x14ac:dyDescent="0.25">
      <c r="A43683"/>
      <c r="B43683"/>
      <c r="C43683"/>
      <c r="E43683"/>
      <c r="F43683"/>
    </row>
    <row r="43684" spans="1:6" x14ac:dyDescent="0.25">
      <c r="A43684"/>
      <c r="B43684"/>
      <c r="C43684"/>
      <c r="E43684"/>
      <c r="F43684"/>
    </row>
    <row r="43685" spans="1:6" x14ac:dyDescent="0.25">
      <c r="A43685"/>
      <c r="B43685"/>
      <c r="C43685"/>
      <c r="E43685"/>
      <c r="F43685"/>
    </row>
    <row r="43686" spans="1:6" x14ac:dyDescent="0.25">
      <c r="A43686"/>
      <c r="B43686"/>
      <c r="C43686"/>
      <c r="E43686"/>
      <c r="F43686"/>
    </row>
    <row r="43687" spans="1:6" x14ac:dyDescent="0.25">
      <c r="A43687"/>
      <c r="B43687"/>
      <c r="C43687"/>
      <c r="E43687"/>
      <c r="F43687"/>
    </row>
    <row r="43688" spans="1:6" x14ac:dyDescent="0.25">
      <c r="A43688"/>
      <c r="B43688"/>
      <c r="C43688"/>
      <c r="E43688"/>
      <c r="F43688"/>
    </row>
    <row r="43689" spans="1:6" x14ac:dyDescent="0.25">
      <c r="A43689"/>
      <c r="B43689"/>
      <c r="C43689"/>
      <c r="E43689"/>
      <c r="F43689"/>
    </row>
    <row r="43690" spans="1:6" x14ac:dyDescent="0.25">
      <c r="A43690"/>
      <c r="B43690"/>
      <c r="C43690"/>
      <c r="E43690"/>
      <c r="F43690"/>
    </row>
    <row r="43691" spans="1:6" x14ac:dyDescent="0.25">
      <c r="A43691"/>
      <c r="B43691"/>
      <c r="C43691"/>
      <c r="E43691"/>
      <c r="F43691"/>
    </row>
    <row r="43692" spans="1:6" x14ac:dyDescent="0.25">
      <c r="A43692"/>
      <c r="B43692"/>
      <c r="C43692"/>
      <c r="E43692"/>
      <c r="F43692"/>
    </row>
    <row r="43693" spans="1:6" x14ac:dyDescent="0.25">
      <c r="A43693"/>
      <c r="B43693"/>
      <c r="C43693"/>
      <c r="E43693"/>
      <c r="F43693"/>
    </row>
    <row r="43694" spans="1:6" x14ac:dyDescent="0.25">
      <c r="A43694"/>
      <c r="B43694"/>
      <c r="C43694"/>
      <c r="E43694"/>
      <c r="F43694"/>
    </row>
    <row r="43695" spans="1:6" x14ac:dyDescent="0.25">
      <c r="A43695"/>
      <c r="B43695"/>
      <c r="C43695"/>
      <c r="E43695"/>
      <c r="F43695"/>
    </row>
    <row r="43696" spans="1:6" x14ac:dyDescent="0.25">
      <c r="A43696"/>
      <c r="B43696"/>
      <c r="C43696"/>
      <c r="E43696"/>
      <c r="F43696"/>
    </row>
    <row r="43697" spans="1:6" x14ac:dyDescent="0.25">
      <c r="A43697"/>
      <c r="B43697"/>
      <c r="C43697"/>
      <c r="E43697"/>
      <c r="F43697"/>
    </row>
    <row r="43698" spans="1:6" x14ac:dyDescent="0.25">
      <c r="A43698"/>
      <c r="B43698"/>
      <c r="C43698"/>
      <c r="E43698"/>
      <c r="F43698"/>
    </row>
    <row r="43699" spans="1:6" x14ac:dyDescent="0.25">
      <c r="A43699"/>
      <c r="B43699"/>
      <c r="C43699"/>
      <c r="E43699"/>
      <c r="F43699"/>
    </row>
    <row r="43700" spans="1:6" x14ac:dyDescent="0.25">
      <c r="A43700"/>
      <c r="B43700"/>
      <c r="C43700"/>
      <c r="E43700"/>
      <c r="F43700"/>
    </row>
    <row r="43701" spans="1:6" x14ac:dyDescent="0.25">
      <c r="A43701"/>
      <c r="B43701"/>
      <c r="C43701"/>
      <c r="E43701"/>
      <c r="F43701"/>
    </row>
    <row r="43702" spans="1:6" x14ac:dyDescent="0.25">
      <c r="A43702"/>
      <c r="B43702"/>
      <c r="C43702"/>
      <c r="E43702"/>
      <c r="F43702"/>
    </row>
    <row r="43703" spans="1:6" x14ac:dyDescent="0.25">
      <c r="A43703"/>
      <c r="B43703"/>
      <c r="C43703"/>
      <c r="E43703"/>
      <c r="F43703"/>
    </row>
    <row r="43704" spans="1:6" x14ac:dyDescent="0.25">
      <c r="A43704"/>
      <c r="B43704"/>
      <c r="C43704"/>
      <c r="E43704"/>
      <c r="F43704"/>
    </row>
    <row r="43705" spans="1:6" x14ac:dyDescent="0.25">
      <c r="A43705"/>
      <c r="B43705"/>
      <c r="C43705"/>
      <c r="E43705"/>
      <c r="F43705"/>
    </row>
    <row r="43706" spans="1:6" x14ac:dyDescent="0.25">
      <c r="A43706"/>
      <c r="B43706"/>
      <c r="C43706"/>
      <c r="E43706"/>
      <c r="F43706"/>
    </row>
    <row r="43707" spans="1:6" x14ac:dyDescent="0.25">
      <c r="A43707"/>
      <c r="B43707"/>
      <c r="C43707"/>
      <c r="E43707"/>
      <c r="F43707"/>
    </row>
    <row r="43708" spans="1:6" x14ac:dyDescent="0.25">
      <c r="A43708"/>
      <c r="B43708"/>
      <c r="C43708"/>
      <c r="E43708"/>
      <c r="F43708"/>
    </row>
    <row r="43709" spans="1:6" x14ac:dyDescent="0.25">
      <c r="A43709"/>
      <c r="B43709"/>
      <c r="C43709"/>
      <c r="E43709"/>
      <c r="F43709"/>
    </row>
    <row r="43710" spans="1:6" x14ac:dyDescent="0.25">
      <c r="A43710"/>
      <c r="B43710"/>
      <c r="C43710"/>
      <c r="E43710"/>
      <c r="F43710"/>
    </row>
    <row r="43711" spans="1:6" x14ac:dyDescent="0.25">
      <c r="A43711"/>
      <c r="B43711"/>
      <c r="C43711"/>
      <c r="E43711"/>
      <c r="F43711"/>
    </row>
    <row r="43712" spans="1:6" x14ac:dyDescent="0.25">
      <c r="A43712"/>
      <c r="B43712"/>
      <c r="C43712"/>
      <c r="E43712"/>
      <c r="F43712"/>
    </row>
    <row r="43713" spans="1:6" x14ac:dyDescent="0.25">
      <c r="A43713"/>
      <c r="B43713"/>
      <c r="C43713"/>
      <c r="E43713"/>
      <c r="F43713"/>
    </row>
    <row r="43714" spans="1:6" x14ac:dyDescent="0.25">
      <c r="A43714"/>
      <c r="B43714"/>
      <c r="C43714"/>
      <c r="E43714"/>
      <c r="F43714"/>
    </row>
    <row r="43715" spans="1:6" x14ac:dyDescent="0.25">
      <c r="A43715"/>
      <c r="B43715"/>
      <c r="C43715"/>
      <c r="E43715"/>
      <c r="F43715"/>
    </row>
    <row r="43716" spans="1:6" x14ac:dyDescent="0.25">
      <c r="A43716"/>
      <c r="B43716"/>
      <c r="C43716"/>
      <c r="E43716"/>
      <c r="F43716"/>
    </row>
    <row r="43717" spans="1:6" x14ac:dyDescent="0.25">
      <c r="A43717"/>
      <c r="B43717"/>
      <c r="C43717"/>
      <c r="E43717"/>
      <c r="F43717"/>
    </row>
    <row r="43718" spans="1:6" x14ac:dyDescent="0.25">
      <c r="A43718"/>
      <c r="B43718"/>
      <c r="C43718"/>
      <c r="E43718"/>
      <c r="F43718"/>
    </row>
    <row r="43719" spans="1:6" x14ac:dyDescent="0.25">
      <c r="A43719"/>
      <c r="B43719"/>
      <c r="C43719"/>
      <c r="E43719"/>
      <c r="F43719"/>
    </row>
    <row r="43720" spans="1:6" x14ac:dyDescent="0.25">
      <c r="A43720"/>
      <c r="B43720"/>
      <c r="C43720"/>
      <c r="E43720"/>
      <c r="F43720"/>
    </row>
    <row r="43721" spans="1:6" x14ac:dyDescent="0.25">
      <c r="A43721"/>
      <c r="B43721"/>
      <c r="C43721"/>
      <c r="E43721"/>
      <c r="F43721"/>
    </row>
    <row r="43722" spans="1:6" x14ac:dyDescent="0.25">
      <c r="A43722"/>
      <c r="B43722"/>
      <c r="C43722"/>
      <c r="E43722"/>
      <c r="F43722"/>
    </row>
    <row r="43723" spans="1:6" x14ac:dyDescent="0.25">
      <c r="A43723"/>
      <c r="B43723"/>
      <c r="C43723"/>
      <c r="E43723"/>
      <c r="F43723"/>
    </row>
    <row r="43724" spans="1:6" x14ac:dyDescent="0.25">
      <c r="A43724"/>
      <c r="B43724"/>
      <c r="C43724"/>
      <c r="E43724"/>
      <c r="F43724"/>
    </row>
    <row r="43725" spans="1:6" x14ac:dyDescent="0.25">
      <c r="A43725"/>
      <c r="B43725"/>
      <c r="C43725"/>
      <c r="E43725"/>
      <c r="F43725"/>
    </row>
    <row r="43726" spans="1:6" x14ac:dyDescent="0.25">
      <c r="A43726"/>
      <c r="B43726"/>
      <c r="C43726"/>
      <c r="E43726"/>
      <c r="F43726"/>
    </row>
    <row r="43727" spans="1:6" x14ac:dyDescent="0.25">
      <c r="A43727"/>
      <c r="B43727"/>
      <c r="C43727"/>
      <c r="E43727"/>
      <c r="F43727"/>
    </row>
    <row r="43728" spans="1:6" x14ac:dyDescent="0.25">
      <c r="A43728"/>
      <c r="B43728"/>
      <c r="C43728"/>
      <c r="E43728"/>
      <c r="F43728"/>
    </row>
    <row r="43729" spans="1:6" x14ac:dyDescent="0.25">
      <c r="A43729"/>
      <c r="B43729"/>
      <c r="C43729"/>
      <c r="E43729"/>
      <c r="F43729"/>
    </row>
    <row r="43730" spans="1:6" x14ac:dyDescent="0.25">
      <c r="A43730"/>
      <c r="B43730"/>
      <c r="C43730"/>
      <c r="E43730"/>
      <c r="F43730"/>
    </row>
    <row r="43731" spans="1:6" x14ac:dyDescent="0.25">
      <c r="A43731"/>
      <c r="B43731"/>
      <c r="C43731"/>
      <c r="E43731"/>
      <c r="F43731"/>
    </row>
    <row r="43732" spans="1:6" x14ac:dyDescent="0.25">
      <c r="A43732"/>
      <c r="B43732"/>
      <c r="C43732"/>
      <c r="E43732"/>
      <c r="F43732"/>
    </row>
    <row r="43733" spans="1:6" x14ac:dyDescent="0.25">
      <c r="A43733"/>
      <c r="B43733"/>
      <c r="C43733"/>
      <c r="E43733"/>
      <c r="F43733"/>
    </row>
    <row r="43734" spans="1:6" x14ac:dyDescent="0.25">
      <c r="A43734"/>
      <c r="B43734"/>
      <c r="C43734"/>
      <c r="E43734"/>
      <c r="F43734"/>
    </row>
    <row r="43735" spans="1:6" x14ac:dyDescent="0.25">
      <c r="A43735"/>
      <c r="B43735"/>
      <c r="C43735"/>
      <c r="E43735"/>
      <c r="F43735"/>
    </row>
    <row r="43736" spans="1:6" x14ac:dyDescent="0.25">
      <c r="A43736"/>
      <c r="B43736"/>
      <c r="C43736"/>
      <c r="E43736"/>
      <c r="F43736"/>
    </row>
    <row r="43737" spans="1:6" x14ac:dyDescent="0.25">
      <c r="A43737"/>
      <c r="B43737"/>
      <c r="C43737"/>
      <c r="E43737"/>
      <c r="F43737"/>
    </row>
    <row r="43738" spans="1:6" x14ac:dyDescent="0.25">
      <c r="A43738"/>
      <c r="B43738"/>
      <c r="C43738"/>
      <c r="E43738"/>
      <c r="F43738"/>
    </row>
    <row r="43739" spans="1:6" x14ac:dyDescent="0.25">
      <c r="A43739"/>
      <c r="B43739"/>
      <c r="C43739"/>
      <c r="E43739"/>
      <c r="F43739"/>
    </row>
    <row r="43740" spans="1:6" x14ac:dyDescent="0.25">
      <c r="A43740"/>
      <c r="B43740"/>
      <c r="C43740"/>
      <c r="E43740"/>
      <c r="F43740"/>
    </row>
    <row r="43741" spans="1:6" x14ac:dyDescent="0.25">
      <c r="A43741"/>
      <c r="B43741"/>
      <c r="C43741"/>
      <c r="E43741"/>
      <c r="F43741"/>
    </row>
    <row r="43742" spans="1:6" x14ac:dyDescent="0.25">
      <c r="A43742"/>
      <c r="B43742"/>
      <c r="C43742"/>
      <c r="E43742"/>
      <c r="F43742"/>
    </row>
    <row r="43743" spans="1:6" x14ac:dyDescent="0.25">
      <c r="A43743"/>
      <c r="B43743"/>
      <c r="C43743"/>
      <c r="E43743"/>
      <c r="F43743"/>
    </row>
    <row r="43744" spans="1:6" x14ac:dyDescent="0.25">
      <c r="A43744"/>
      <c r="B43744"/>
      <c r="C43744"/>
      <c r="E43744"/>
      <c r="F43744"/>
    </row>
    <row r="43745" spans="1:6" x14ac:dyDescent="0.25">
      <c r="A43745"/>
      <c r="B43745"/>
      <c r="C43745"/>
      <c r="E43745"/>
      <c r="F43745"/>
    </row>
    <row r="43746" spans="1:6" x14ac:dyDescent="0.25">
      <c r="A43746"/>
      <c r="B43746"/>
      <c r="C43746"/>
      <c r="E43746"/>
      <c r="F43746"/>
    </row>
    <row r="43747" spans="1:6" x14ac:dyDescent="0.25">
      <c r="A43747"/>
      <c r="B43747"/>
      <c r="C43747"/>
      <c r="E43747"/>
      <c r="F43747"/>
    </row>
    <row r="43748" spans="1:6" x14ac:dyDescent="0.25">
      <c r="A43748"/>
      <c r="B43748"/>
      <c r="C43748"/>
      <c r="E43748"/>
      <c r="F43748"/>
    </row>
    <row r="43749" spans="1:6" x14ac:dyDescent="0.25">
      <c r="A43749"/>
      <c r="B43749"/>
      <c r="C43749"/>
      <c r="E43749"/>
      <c r="F43749"/>
    </row>
    <row r="43750" spans="1:6" x14ac:dyDescent="0.25">
      <c r="A43750"/>
      <c r="B43750"/>
      <c r="C43750"/>
      <c r="E43750"/>
      <c r="F43750"/>
    </row>
    <row r="43751" spans="1:6" x14ac:dyDescent="0.25">
      <c r="A43751"/>
      <c r="B43751"/>
      <c r="C43751"/>
      <c r="E43751"/>
      <c r="F43751"/>
    </row>
    <row r="43752" spans="1:6" x14ac:dyDescent="0.25">
      <c r="A43752"/>
      <c r="B43752"/>
      <c r="C43752"/>
      <c r="E43752"/>
      <c r="F43752"/>
    </row>
    <row r="43753" spans="1:6" x14ac:dyDescent="0.25">
      <c r="A43753"/>
      <c r="B43753"/>
      <c r="C43753"/>
      <c r="E43753"/>
      <c r="F43753"/>
    </row>
    <row r="43754" spans="1:6" x14ac:dyDescent="0.25">
      <c r="A43754"/>
      <c r="B43754"/>
      <c r="C43754"/>
      <c r="E43754"/>
      <c r="F43754"/>
    </row>
    <row r="43755" spans="1:6" x14ac:dyDescent="0.25">
      <c r="A43755"/>
      <c r="B43755"/>
      <c r="C43755"/>
      <c r="E43755"/>
      <c r="F43755"/>
    </row>
    <row r="43756" spans="1:6" x14ac:dyDescent="0.25">
      <c r="A43756"/>
      <c r="B43756"/>
      <c r="C43756"/>
      <c r="E43756"/>
      <c r="F43756"/>
    </row>
    <row r="43757" spans="1:6" x14ac:dyDescent="0.25">
      <c r="A43757"/>
      <c r="B43757"/>
      <c r="C43757"/>
      <c r="E43757"/>
      <c r="F43757"/>
    </row>
    <row r="43758" spans="1:6" x14ac:dyDescent="0.25">
      <c r="A43758"/>
      <c r="B43758"/>
      <c r="C43758"/>
      <c r="E43758"/>
      <c r="F43758"/>
    </row>
    <row r="43759" spans="1:6" x14ac:dyDescent="0.25">
      <c r="A43759"/>
      <c r="B43759"/>
      <c r="C43759"/>
      <c r="E43759"/>
      <c r="F43759"/>
    </row>
    <row r="43760" spans="1:6" x14ac:dyDescent="0.25">
      <c r="A43760"/>
      <c r="B43760"/>
      <c r="C43760"/>
      <c r="E43760"/>
      <c r="F43760"/>
    </row>
    <row r="43761" spans="1:6" x14ac:dyDescent="0.25">
      <c r="A43761"/>
      <c r="B43761"/>
      <c r="C43761"/>
      <c r="E43761"/>
      <c r="F43761"/>
    </row>
    <row r="43762" spans="1:6" x14ac:dyDescent="0.25">
      <c r="A43762"/>
      <c r="B43762"/>
      <c r="C43762"/>
      <c r="E43762"/>
      <c r="F43762"/>
    </row>
    <row r="43763" spans="1:6" x14ac:dyDescent="0.25">
      <c r="A43763"/>
      <c r="B43763"/>
      <c r="C43763"/>
      <c r="E43763"/>
      <c r="F43763"/>
    </row>
    <row r="43764" spans="1:6" x14ac:dyDescent="0.25">
      <c r="A43764"/>
      <c r="B43764"/>
      <c r="C43764"/>
      <c r="E43764"/>
      <c r="F43764"/>
    </row>
    <row r="43765" spans="1:6" x14ac:dyDescent="0.25">
      <c r="A43765"/>
      <c r="B43765"/>
      <c r="C43765"/>
      <c r="E43765"/>
      <c r="F43765"/>
    </row>
    <row r="43766" spans="1:6" x14ac:dyDescent="0.25">
      <c r="A43766"/>
      <c r="B43766"/>
      <c r="C43766"/>
      <c r="E43766"/>
      <c r="F43766"/>
    </row>
    <row r="43767" spans="1:6" x14ac:dyDescent="0.25">
      <c r="A43767"/>
      <c r="B43767"/>
      <c r="C43767"/>
      <c r="E43767"/>
      <c r="F43767"/>
    </row>
    <row r="43768" spans="1:6" x14ac:dyDescent="0.25">
      <c r="A43768"/>
      <c r="B43768"/>
      <c r="C43768"/>
      <c r="E43768"/>
      <c r="F43768"/>
    </row>
    <row r="43769" spans="1:6" x14ac:dyDescent="0.25">
      <c r="A43769"/>
      <c r="B43769"/>
      <c r="C43769"/>
      <c r="E43769"/>
      <c r="F43769"/>
    </row>
    <row r="43770" spans="1:6" x14ac:dyDescent="0.25">
      <c r="A43770"/>
      <c r="B43770"/>
      <c r="C43770"/>
      <c r="E43770"/>
      <c r="F43770"/>
    </row>
    <row r="43771" spans="1:6" x14ac:dyDescent="0.25">
      <c r="A43771"/>
      <c r="B43771"/>
      <c r="C43771"/>
      <c r="E43771"/>
      <c r="F43771"/>
    </row>
    <row r="43772" spans="1:6" x14ac:dyDescent="0.25">
      <c r="A43772"/>
      <c r="B43772"/>
      <c r="C43772"/>
      <c r="E43772"/>
      <c r="F43772"/>
    </row>
    <row r="43773" spans="1:6" x14ac:dyDescent="0.25">
      <c r="A43773"/>
      <c r="B43773"/>
      <c r="C43773"/>
      <c r="E43773"/>
      <c r="F43773"/>
    </row>
    <row r="43774" spans="1:6" x14ac:dyDescent="0.25">
      <c r="A43774"/>
      <c r="B43774"/>
      <c r="C43774"/>
      <c r="E43774"/>
      <c r="F43774"/>
    </row>
    <row r="43775" spans="1:6" x14ac:dyDescent="0.25">
      <c r="A43775"/>
      <c r="B43775"/>
      <c r="C43775"/>
      <c r="E43775"/>
      <c r="F43775"/>
    </row>
    <row r="43776" spans="1:6" x14ac:dyDescent="0.25">
      <c r="A43776"/>
      <c r="B43776"/>
      <c r="C43776"/>
      <c r="E43776"/>
      <c r="F43776"/>
    </row>
    <row r="43777" spans="1:6" x14ac:dyDescent="0.25">
      <c r="A43777"/>
      <c r="B43777"/>
      <c r="C43777"/>
      <c r="E43777"/>
      <c r="F43777"/>
    </row>
    <row r="43778" spans="1:6" x14ac:dyDescent="0.25">
      <c r="A43778"/>
      <c r="B43778"/>
      <c r="C43778"/>
      <c r="E43778"/>
      <c r="F43778"/>
    </row>
    <row r="43779" spans="1:6" x14ac:dyDescent="0.25">
      <c r="A43779"/>
      <c r="B43779"/>
      <c r="C43779"/>
      <c r="E43779"/>
      <c r="F43779"/>
    </row>
    <row r="43780" spans="1:6" x14ac:dyDescent="0.25">
      <c r="A43780"/>
      <c r="B43780"/>
      <c r="C43780"/>
      <c r="E43780"/>
      <c r="F43780"/>
    </row>
    <row r="43781" spans="1:6" x14ac:dyDescent="0.25">
      <c r="A43781"/>
      <c r="B43781"/>
      <c r="C43781"/>
      <c r="E43781"/>
      <c r="F43781"/>
    </row>
    <row r="43782" spans="1:6" x14ac:dyDescent="0.25">
      <c r="A43782"/>
      <c r="B43782"/>
      <c r="C43782"/>
      <c r="E43782"/>
      <c r="F43782"/>
    </row>
    <row r="43783" spans="1:6" x14ac:dyDescent="0.25">
      <c r="A43783"/>
      <c r="B43783"/>
      <c r="C43783"/>
      <c r="E43783"/>
      <c r="F43783"/>
    </row>
    <row r="43784" spans="1:6" x14ac:dyDescent="0.25">
      <c r="A43784"/>
      <c r="B43784"/>
      <c r="C43784"/>
      <c r="E43784"/>
      <c r="F43784"/>
    </row>
    <row r="43785" spans="1:6" x14ac:dyDescent="0.25">
      <c r="A43785"/>
      <c r="B43785"/>
      <c r="C43785"/>
      <c r="E43785"/>
      <c r="F43785"/>
    </row>
    <row r="43786" spans="1:6" x14ac:dyDescent="0.25">
      <c r="A43786"/>
      <c r="B43786"/>
      <c r="C43786"/>
      <c r="E43786"/>
      <c r="F43786"/>
    </row>
    <row r="43787" spans="1:6" x14ac:dyDescent="0.25">
      <c r="A43787"/>
      <c r="B43787"/>
      <c r="C43787"/>
      <c r="E43787"/>
      <c r="F43787"/>
    </row>
    <row r="43788" spans="1:6" x14ac:dyDescent="0.25">
      <c r="A43788"/>
      <c r="B43788"/>
      <c r="C43788"/>
      <c r="E43788"/>
      <c r="F43788"/>
    </row>
    <row r="43789" spans="1:6" x14ac:dyDescent="0.25">
      <c r="A43789"/>
      <c r="B43789"/>
      <c r="C43789"/>
      <c r="E43789"/>
      <c r="F43789"/>
    </row>
    <row r="43790" spans="1:6" x14ac:dyDescent="0.25">
      <c r="A43790"/>
      <c r="B43790"/>
      <c r="C43790"/>
      <c r="E43790"/>
      <c r="F43790"/>
    </row>
    <row r="43791" spans="1:6" x14ac:dyDescent="0.25">
      <c r="A43791"/>
      <c r="B43791"/>
      <c r="C43791"/>
      <c r="E43791"/>
      <c r="F43791"/>
    </row>
    <row r="43792" spans="1:6" x14ac:dyDescent="0.25">
      <c r="A43792"/>
      <c r="B43792"/>
      <c r="C43792"/>
      <c r="E43792"/>
      <c r="F43792"/>
    </row>
    <row r="43793" spans="1:6" x14ac:dyDescent="0.25">
      <c r="A43793"/>
      <c r="B43793"/>
      <c r="C43793"/>
      <c r="E43793"/>
      <c r="F43793"/>
    </row>
    <row r="43794" spans="1:6" x14ac:dyDescent="0.25">
      <c r="A43794"/>
      <c r="B43794"/>
      <c r="C43794"/>
      <c r="E43794"/>
      <c r="F43794"/>
    </row>
    <row r="43795" spans="1:6" x14ac:dyDescent="0.25">
      <c r="A43795"/>
      <c r="B43795"/>
      <c r="C43795"/>
      <c r="E43795"/>
      <c r="F43795"/>
    </row>
    <row r="43796" spans="1:6" x14ac:dyDescent="0.25">
      <c r="A43796"/>
      <c r="B43796"/>
      <c r="C43796"/>
      <c r="E43796"/>
      <c r="F43796"/>
    </row>
    <row r="43797" spans="1:6" x14ac:dyDescent="0.25">
      <c r="A43797"/>
      <c r="B43797"/>
      <c r="C43797"/>
      <c r="E43797"/>
      <c r="F43797"/>
    </row>
    <row r="43798" spans="1:6" x14ac:dyDescent="0.25">
      <c r="A43798"/>
      <c r="B43798"/>
      <c r="C43798"/>
      <c r="E43798"/>
      <c r="F43798"/>
    </row>
    <row r="43799" spans="1:6" x14ac:dyDescent="0.25">
      <c r="A43799"/>
      <c r="B43799"/>
      <c r="C43799"/>
      <c r="E43799"/>
      <c r="F43799"/>
    </row>
    <row r="43800" spans="1:6" x14ac:dyDescent="0.25">
      <c r="A43800"/>
      <c r="B43800"/>
      <c r="C43800"/>
      <c r="E43800"/>
      <c r="F43800"/>
    </row>
    <row r="43801" spans="1:6" x14ac:dyDescent="0.25">
      <c r="A43801"/>
      <c r="B43801"/>
      <c r="C43801"/>
      <c r="E43801"/>
      <c r="F43801"/>
    </row>
    <row r="43802" spans="1:6" x14ac:dyDescent="0.25">
      <c r="A43802"/>
      <c r="B43802"/>
      <c r="C43802"/>
      <c r="E43802"/>
      <c r="F43802"/>
    </row>
    <row r="43803" spans="1:6" x14ac:dyDescent="0.25">
      <c r="A43803"/>
      <c r="B43803"/>
      <c r="C43803"/>
      <c r="E43803"/>
      <c r="F43803"/>
    </row>
    <row r="43804" spans="1:6" x14ac:dyDescent="0.25">
      <c r="A43804"/>
      <c r="B43804"/>
      <c r="C43804"/>
      <c r="E43804"/>
      <c r="F43804"/>
    </row>
    <row r="43805" spans="1:6" x14ac:dyDescent="0.25">
      <c r="A43805"/>
      <c r="B43805"/>
      <c r="C43805"/>
      <c r="E43805"/>
      <c r="F43805"/>
    </row>
    <row r="43806" spans="1:6" x14ac:dyDescent="0.25">
      <c r="A43806"/>
      <c r="B43806"/>
      <c r="C43806"/>
      <c r="E43806"/>
      <c r="F43806"/>
    </row>
    <row r="43807" spans="1:6" x14ac:dyDescent="0.25">
      <c r="A43807"/>
      <c r="B43807"/>
      <c r="C43807"/>
      <c r="E43807"/>
      <c r="F43807"/>
    </row>
    <row r="43808" spans="1:6" x14ac:dyDescent="0.25">
      <c r="A43808"/>
      <c r="B43808"/>
      <c r="C43808"/>
      <c r="E43808"/>
      <c r="F43808"/>
    </row>
    <row r="43809" spans="1:6" x14ac:dyDescent="0.25">
      <c r="A43809"/>
      <c r="B43809"/>
      <c r="C43809"/>
      <c r="E43809"/>
      <c r="F43809"/>
    </row>
    <row r="43810" spans="1:6" x14ac:dyDescent="0.25">
      <c r="A43810"/>
      <c r="B43810"/>
      <c r="C43810"/>
      <c r="E43810"/>
      <c r="F43810"/>
    </row>
    <row r="43811" spans="1:6" x14ac:dyDescent="0.25">
      <c r="A43811"/>
      <c r="B43811"/>
      <c r="C43811"/>
      <c r="E43811"/>
      <c r="F43811"/>
    </row>
    <row r="43812" spans="1:6" x14ac:dyDescent="0.25">
      <c r="A43812"/>
      <c r="B43812"/>
      <c r="C43812"/>
      <c r="E43812"/>
      <c r="F43812"/>
    </row>
    <row r="43813" spans="1:6" x14ac:dyDescent="0.25">
      <c r="A43813"/>
      <c r="B43813"/>
      <c r="C43813"/>
      <c r="E43813"/>
      <c r="F43813"/>
    </row>
    <row r="43814" spans="1:6" x14ac:dyDescent="0.25">
      <c r="A43814"/>
      <c r="B43814"/>
      <c r="C43814"/>
      <c r="E43814"/>
      <c r="F43814"/>
    </row>
    <row r="43815" spans="1:6" x14ac:dyDescent="0.25">
      <c r="A43815"/>
      <c r="B43815"/>
      <c r="C43815"/>
      <c r="E43815"/>
      <c r="F43815"/>
    </row>
    <row r="43816" spans="1:6" x14ac:dyDescent="0.25">
      <c r="A43816"/>
      <c r="B43816"/>
      <c r="C43816"/>
      <c r="E43816"/>
      <c r="F43816"/>
    </row>
    <row r="43817" spans="1:6" x14ac:dyDescent="0.25">
      <c r="A43817"/>
      <c r="B43817"/>
      <c r="C43817"/>
      <c r="E43817"/>
      <c r="F43817"/>
    </row>
    <row r="43818" spans="1:6" x14ac:dyDescent="0.25">
      <c r="A43818"/>
      <c r="B43818"/>
      <c r="C43818"/>
      <c r="E43818"/>
      <c r="F43818"/>
    </row>
    <row r="43819" spans="1:6" x14ac:dyDescent="0.25">
      <c r="A43819"/>
      <c r="B43819"/>
      <c r="C43819"/>
      <c r="E43819"/>
      <c r="F43819"/>
    </row>
    <row r="43820" spans="1:6" x14ac:dyDescent="0.25">
      <c r="A43820"/>
      <c r="B43820"/>
      <c r="C43820"/>
      <c r="E43820"/>
      <c r="F43820"/>
    </row>
    <row r="43821" spans="1:6" x14ac:dyDescent="0.25">
      <c r="A43821"/>
      <c r="B43821"/>
      <c r="C43821"/>
      <c r="E43821"/>
      <c r="F43821"/>
    </row>
    <row r="43822" spans="1:6" x14ac:dyDescent="0.25">
      <c r="A43822"/>
      <c r="B43822"/>
      <c r="C43822"/>
      <c r="E43822"/>
      <c r="F43822"/>
    </row>
    <row r="43823" spans="1:6" x14ac:dyDescent="0.25">
      <c r="A43823"/>
      <c r="B43823"/>
      <c r="C43823"/>
      <c r="E43823"/>
      <c r="F43823"/>
    </row>
    <row r="43824" spans="1:6" x14ac:dyDescent="0.25">
      <c r="A43824"/>
      <c r="B43824"/>
      <c r="C43824"/>
      <c r="E43824"/>
      <c r="F43824"/>
    </row>
    <row r="43825" spans="1:6" x14ac:dyDescent="0.25">
      <c r="A43825"/>
      <c r="B43825"/>
      <c r="C43825"/>
      <c r="E43825"/>
      <c r="F43825"/>
    </row>
    <row r="43826" spans="1:6" x14ac:dyDescent="0.25">
      <c r="A43826"/>
      <c r="B43826"/>
      <c r="C43826"/>
      <c r="E43826"/>
      <c r="F43826"/>
    </row>
    <row r="43827" spans="1:6" x14ac:dyDescent="0.25">
      <c r="A43827"/>
      <c r="B43827"/>
      <c r="C43827"/>
      <c r="E43827"/>
      <c r="F43827"/>
    </row>
    <row r="43828" spans="1:6" x14ac:dyDescent="0.25">
      <c r="A43828"/>
      <c r="B43828"/>
      <c r="C43828"/>
      <c r="E43828"/>
      <c r="F43828"/>
    </row>
    <row r="43829" spans="1:6" x14ac:dyDescent="0.25">
      <c r="A43829"/>
      <c r="B43829"/>
      <c r="C43829"/>
      <c r="E43829"/>
      <c r="F43829"/>
    </row>
    <row r="43830" spans="1:6" x14ac:dyDescent="0.25">
      <c r="A43830"/>
      <c r="B43830"/>
      <c r="C43830"/>
      <c r="E43830"/>
      <c r="F43830"/>
    </row>
    <row r="43831" spans="1:6" x14ac:dyDescent="0.25">
      <c r="A43831"/>
      <c r="B43831"/>
      <c r="C43831"/>
      <c r="E43831"/>
      <c r="F43831"/>
    </row>
    <row r="43832" spans="1:6" x14ac:dyDescent="0.25">
      <c r="A43832"/>
      <c r="B43832"/>
      <c r="C43832"/>
      <c r="E43832"/>
      <c r="F43832"/>
    </row>
    <row r="43833" spans="1:6" x14ac:dyDescent="0.25">
      <c r="A43833"/>
      <c r="B43833"/>
      <c r="C43833"/>
      <c r="E43833"/>
      <c r="F43833"/>
    </row>
    <row r="43834" spans="1:6" x14ac:dyDescent="0.25">
      <c r="A43834"/>
      <c r="B43834"/>
      <c r="C43834"/>
      <c r="E43834"/>
      <c r="F43834"/>
    </row>
    <row r="43835" spans="1:6" x14ac:dyDescent="0.25">
      <c r="A43835"/>
      <c r="B43835"/>
      <c r="C43835"/>
      <c r="E43835"/>
      <c r="F43835"/>
    </row>
    <row r="43836" spans="1:6" x14ac:dyDescent="0.25">
      <c r="A43836"/>
      <c r="B43836"/>
      <c r="C43836"/>
      <c r="E43836"/>
      <c r="F43836"/>
    </row>
    <row r="43837" spans="1:6" x14ac:dyDescent="0.25">
      <c r="A43837"/>
      <c r="B43837"/>
      <c r="C43837"/>
      <c r="E43837"/>
      <c r="F43837"/>
    </row>
    <row r="43838" spans="1:6" x14ac:dyDescent="0.25">
      <c r="A43838"/>
      <c r="B43838"/>
      <c r="C43838"/>
      <c r="E43838"/>
      <c r="F43838"/>
    </row>
    <row r="43839" spans="1:6" x14ac:dyDescent="0.25">
      <c r="A43839"/>
      <c r="B43839"/>
      <c r="C43839"/>
      <c r="E43839"/>
      <c r="F43839"/>
    </row>
    <row r="43840" spans="1:6" x14ac:dyDescent="0.25">
      <c r="A43840"/>
      <c r="B43840"/>
      <c r="C43840"/>
      <c r="E43840"/>
      <c r="F43840"/>
    </row>
    <row r="43841" spans="1:6" x14ac:dyDescent="0.25">
      <c r="A43841"/>
      <c r="B43841"/>
      <c r="C43841"/>
      <c r="E43841"/>
      <c r="F43841"/>
    </row>
    <row r="43842" spans="1:6" x14ac:dyDescent="0.25">
      <c r="A43842"/>
      <c r="B43842"/>
      <c r="C43842"/>
      <c r="E43842"/>
      <c r="F43842"/>
    </row>
    <row r="43843" spans="1:6" x14ac:dyDescent="0.25">
      <c r="A43843"/>
      <c r="B43843"/>
      <c r="C43843"/>
      <c r="E43843"/>
      <c r="F43843"/>
    </row>
    <row r="43844" spans="1:6" x14ac:dyDescent="0.25">
      <c r="A43844"/>
      <c r="B43844"/>
      <c r="C43844"/>
      <c r="E43844"/>
      <c r="F43844"/>
    </row>
    <row r="43845" spans="1:6" x14ac:dyDescent="0.25">
      <c r="A43845"/>
      <c r="B43845"/>
      <c r="C43845"/>
      <c r="E43845"/>
      <c r="F43845"/>
    </row>
    <row r="43846" spans="1:6" x14ac:dyDescent="0.25">
      <c r="A43846"/>
      <c r="B43846"/>
      <c r="C43846"/>
      <c r="E43846"/>
      <c r="F43846"/>
    </row>
    <row r="43847" spans="1:6" x14ac:dyDescent="0.25">
      <c r="A43847"/>
      <c r="B43847"/>
      <c r="C43847"/>
      <c r="E43847"/>
      <c r="F43847"/>
    </row>
    <row r="43848" spans="1:6" x14ac:dyDescent="0.25">
      <c r="A43848"/>
      <c r="B43848"/>
      <c r="C43848"/>
      <c r="E43848"/>
      <c r="F43848"/>
    </row>
    <row r="43849" spans="1:6" x14ac:dyDescent="0.25">
      <c r="A43849"/>
      <c r="B43849"/>
      <c r="C43849"/>
      <c r="E43849"/>
      <c r="F43849"/>
    </row>
    <row r="43850" spans="1:6" x14ac:dyDescent="0.25">
      <c r="A43850"/>
      <c r="B43850"/>
      <c r="C43850"/>
      <c r="E43850"/>
      <c r="F43850"/>
    </row>
    <row r="43851" spans="1:6" x14ac:dyDescent="0.25">
      <c r="A43851"/>
      <c r="B43851"/>
      <c r="C43851"/>
      <c r="E43851"/>
      <c r="F43851"/>
    </row>
    <row r="43852" spans="1:6" x14ac:dyDescent="0.25">
      <c r="A43852"/>
      <c r="B43852"/>
      <c r="C43852"/>
      <c r="E43852"/>
      <c r="F43852"/>
    </row>
    <row r="43853" spans="1:6" x14ac:dyDescent="0.25">
      <c r="A43853"/>
      <c r="B43853"/>
      <c r="C43853"/>
      <c r="E43853"/>
      <c r="F43853"/>
    </row>
    <row r="43854" spans="1:6" x14ac:dyDescent="0.25">
      <c r="A43854"/>
      <c r="B43854"/>
      <c r="C43854"/>
      <c r="E43854"/>
      <c r="F43854"/>
    </row>
    <row r="43855" spans="1:6" x14ac:dyDescent="0.25">
      <c r="A43855"/>
      <c r="B43855"/>
      <c r="C43855"/>
      <c r="E43855"/>
      <c r="F43855"/>
    </row>
    <row r="43856" spans="1:6" x14ac:dyDescent="0.25">
      <c r="A43856"/>
      <c r="B43856"/>
      <c r="C43856"/>
      <c r="E43856"/>
      <c r="F43856"/>
    </row>
    <row r="43857" spans="1:6" x14ac:dyDescent="0.25">
      <c r="A43857"/>
      <c r="B43857"/>
      <c r="C43857"/>
      <c r="E43857"/>
      <c r="F43857"/>
    </row>
    <row r="43858" spans="1:6" x14ac:dyDescent="0.25">
      <c r="A43858"/>
      <c r="B43858"/>
      <c r="C43858"/>
      <c r="E43858"/>
      <c r="F43858"/>
    </row>
    <row r="43859" spans="1:6" x14ac:dyDescent="0.25">
      <c r="A43859"/>
      <c r="B43859"/>
      <c r="C43859"/>
      <c r="E43859"/>
      <c r="F43859"/>
    </row>
    <row r="43860" spans="1:6" x14ac:dyDescent="0.25">
      <c r="A43860"/>
      <c r="B43860"/>
      <c r="C43860"/>
      <c r="E43860"/>
      <c r="F43860"/>
    </row>
    <row r="43861" spans="1:6" x14ac:dyDescent="0.25">
      <c r="A43861"/>
      <c r="B43861"/>
      <c r="C43861"/>
      <c r="E43861"/>
      <c r="F43861"/>
    </row>
    <row r="43862" spans="1:6" x14ac:dyDescent="0.25">
      <c r="A43862"/>
      <c r="B43862"/>
      <c r="C43862"/>
      <c r="E43862"/>
      <c r="F43862"/>
    </row>
    <row r="43863" spans="1:6" x14ac:dyDescent="0.25">
      <c r="A43863"/>
      <c r="B43863"/>
      <c r="C43863"/>
      <c r="E43863"/>
      <c r="F43863"/>
    </row>
    <row r="43864" spans="1:6" x14ac:dyDescent="0.25">
      <c r="A43864"/>
      <c r="B43864"/>
      <c r="C43864"/>
      <c r="E43864"/>
      <c r="F43864"/>
    </row>
    <row r="43865" spans="1:6" x14ac:dyDescent="0.25">
      <c r="A43865"/>
      <c r="B43865"/>
      <c r="C43865"/>
      <c r="E43865"/>
      <c r="F43865"/>
    </row>
    <row r="43866" spans="1:6" x14ac:dyDescent="0.25">
      <c r="A43866"/>
      <c r="B43866"/>
      <c r="C43866"/>
      <c r="E43866"/>
      <c r="F43866"/>
    </row>
    <row r="43867" spans="1:6" x14ac:dyDescent="0.25">
      <c r="A43867"/>
      <c r="B43867"/>
      <c r="C43867"/>
      <c r="E43867"/>
      <c r="F43867"/>
    </row>
    <row r="43868" spans="1:6" x14ac:dyDescent="0.25">
      <c r="A43868"/>
      <c r="B43868"/>
      <c r="C43868"/>
      <c r="E43868"/>
      <c r="F43868"/>
    </row>
    <row r="43869" spans="1:6" x14ac:dyDescent="0.25">
      <c r="A43869"/>
      <c r="B43869"/>
      <c r="C43869"/>
      <c r="E43869"/>
      <c r="F43869"/>
    </row>
    <row r="43870" spans="1:6" x14ac:dyDescent="0.25">
      <c r="A43870"/>
      <c r="B43870"/>
      <c r="C43870"/>
      <c r="E43870"/>
      <c r="F43870"/>
    </row>
    <row r="43871" spans="1:6" x14ac:dyDescent="0.25">
      <c r="A43871"/>
      <c r="B43871"/>
      <c r="C43871"/>
      <c r="E43871"/>
      <c r="F43871"/>
    </row>
    <row r="43872" spans="1:6" x14ac:dyDescent="0.25">
      <c r="A43872"/>
      <c r="B43872"/>
      <c r="C43872"/>
      <c r="E43872"/>
      <c r="F43872"/>
    </row>
    <row r="43873" spans="1:6" x14ac:dyDescent="0.25">
      <c r="A43873"/>
      <c r="B43873"/>
      <c r="C43873"/>
      <c r="E43873"/>
      <c r="F43873"/>
    </row>
    <row r="43874" spans="1:6" x14ac:dyDescent="0.25">
      <c r="A43874"/>
      <c r="B43874"/>
      <c r="C43874"/>
      <c r="E43874"/>
      <c r="F43874"/>
    </row>
    <row r="43875" spans="1:6" x14ac:dyDescent="0.25">
      <c r="A43875"/>
      <c r="B43875"/>
      <c r="C43875"/>
      <c r="E43875"/>
      <c r="F43875"/>
    </row>
    <row r="43876" spans="1:6" x14ac:dyDescent="0.25">
      <c r="A43876"/>
      <c r="B43876"/>
      <c r="C43876"/>
      <c r="E43876"/>
      <c r="F43876"/>
    </row>
    <row r="43877" spans="1:6" x14ac:dyDescent="0.25">
      <c r="A43877"/>
      <c r="B43877"/>
      <c r="C43877"/>
      <c r="E43877"/>
      <c r="F43877"/>
    </row>
    <row r="43878" spans="1:6" x14ac:dyDescent="0.25">
      <c r="A43878"/>
      <c r="B43878"/>
      <c r="C43878"/>
      <c r="E43878"/>
      <c r="F43878"/>
    </row>
    <row r="43879" spans="1:6" x14ac:dyDescent="0.25">
      <c r="A43879"/>
      <c r="B43879"/>
      <c r="C43879"/>
      <c r="E43879"/>
      <c r="F43879"/>
    </row>
    <row r="43880" spans="1:6" x14ac:dyDescent="0.25">
      <c r="A43880"/>
      <c r="B43880"/>
      <c r="C43880"/>
      <c r="E43880"/>
      <c r="F43880"/>
    </row>
    <row r="43881" spans="1:6" x14ac:dyDescent="0.25">
      <c r="A43881"/>
      <c r="B43881"/>
      <c r="C43881"/>
      <c r="E43881"/>
      <c r="F43881"/>
    </row>
    <row r="43882" spans="1:6" x14ac:dyDescent="0.25">
      <c r="A43882"/>
      <c r="B43882"/>
      <c r="C43882"/>
      <c r="E43882"/>
      <c r="F43882"/>
    </row>
    <row r="43883" spans="1:6" x14ac:dyDescent="0.25">
      <c r="A43883"/>
      <c r="B43883"/>
      <c r="C43883"/>
      <c r="E43883"/>
      <c r="F43883"/>
    </row>
    <row r="43884" spans="1:6" x14ac:dyDescent="0.25">
      <c r="A43884"/>
      <c r="B43884"/>
      <c r="C43884"/>
      <c r="E43884"/>
      <c r="F43884"/>
    </row>
    <row r="43885" spans="1:6" x14ac:dyDescent="0.25">
      <c r="A43885"/>
      <c r="B43885"/>
      <c r="C43885"/>
      <c r="E43885"/>
      <c r="F43885"/>
    </row>
    <row r="43886" spans="1:6" x14ac:dyDescent="0.25">
      <c r="A43886"/>
      <c r="B43886"/>
      <c r="C43886"/>
      <c r="E43886"/>
      <c r="F43886"/>
    </row>
    <row r="43887" spans="1:6" x14ac:dyDescent="0.25">
      <c r="A43887"/>
      <c r="B43887"/>
      <c r="C43887"/>
      <c r="E43887"/>
      <c r="F43887"/>
    </row>
    <row r="43888" spans="1:6" x14ac:dyDescent="0.25">
      <c r="A43888"/>
      <c r="B43888"/>
      <c r="C43888"/>
      <c r="E43888"/>
      <c r="F43888"/>
    </row>
    <row r="43889" spans="1:6" x14ac:dyDescent="0.25">
      <c r="A43889"/>
      <c r="B43889"/>
      <c r="C43889"/>
      <c r="E43889"/>
      <c r="F43889"/>
    </row>
    <row r="43890" spans="1:6" x14ac:dyDescent="0.25">
      <c r="A43890"/>
      <c r="B43890"/>
      <c r="C43890"/>
      <c r="E43890"/>
      <c r="F43890"/>
    </row>
    <row r="43891" spans="1:6" x14ac:dyDescent="0.25">
      <c r="A43891"/>
      <c r="B43891"/>
      <c r="C43891"/>
      <c r="E43891"/>
      <c r="F43891"/>
    </row>
    <row r="43892" spans="1:6" x14ac:dyDescent="0.25">
      <c r="A43892"/>
      <c r="B43892"/>
      <c r="C43892"/>
      <c r="E43892"/>
      <c r="F43892"/>
    </row>
    <row r="43893" spans="1:6" x14ac:dyDescent="0.25">
      <c r="A43893"/>
      <c r="B43893"/>
      <c r="C43893"/>
      <c r="E43893"/>
      <c r="F43893"/>
    </row>
    <row r="43894" spans="1:6" x14ac:dyDescent="0.25">
      <c r="A43894"/>
      <c r="B43894"/>
      <c r="C43894"/>
      <c r="E43894"/>
      <c r="F43894"/>
    </row>
    <row r="43895" spans="1:6" x14ac:dyDescent="0.25">
      <c r="A43895"/>
      <c r="B43895"/>
      <c r="C43895"/>
      <c r="E43895"/>
      <c r="F43895"/>
    </row>
    <row r="43896" spans="1:6" x14ac:dyDescent="0.25">
      <c r="A43896"/>
      <c r="B43896"/>
      <c r="C43896"/>
      <c r="E43896"/>
      <c r="F43896"/>
    </row>
    <row r="43897" spans="1:6" x14ac:dyDescent="0.25">
      <c r="A43897"/>
      <c r="B43897"/>
      <c r="C43897"/>
      <c r="E43897"/>
      <c r="F43897"/>
    </row>
    <row r="43898" spans="1:6" x14ac:dyDescent="0.25">
      <c r="A43898"/>
      <c r="B43898"/>
      <c r="C43898"/>
      <c r="E43898"/>
      <c r="F43898"/>
    </row>
    <row r="43899" spans="1:6" x14ac:dyDescent="0.25">
      <c r="A43899"/>
      <c r="B43899"/>
      <c r="C43899"/>
      <c r="E43899"/>
      <c r="F43899"/>
    </row>
    <row r="43900" spans="1:6" x14ac:dyDescent="0.25">
      <c r="A43900"/>
      <c r="B43900"/>
      <c r="C43900"/>
      <c r="E43900"/>
      <c r="F43900"/>
    </row>
    <row r="43901" spans="1:6" x14ac:dyDescent="0.25">
      <c r="A43901"/>
      <c r="B43901"/>
      <c r="C43901"/>
      <c r="E43901"/>
      <c r="F43901"/>
    </row>
    <row r="43902" spans="1:6" x14ac:dyDescent="0.25">
      <c r="A43902"/>
      <c r="B43902"/>
      <c r="C43902"/>
      <c r="E43902"/>
      <c r="F43902"/>
    </row>
    <row r="43903" spans="1:6" x14ac:dyDescent="0.25">
      <c r="A43903"/>
      <c r="B43903"/>
      <c r="C43903"/>
      <c r="E43903"/>
      <c r="F43903"/>
    </row>
    <row r="43904" spans="1:6" x14ac:dyDescent="0.25">
      <c r="A43904"/>
      <c r="B43904"/>
      <c r="C43904"/>
      <c r="E43904"/>
      <c r="F43904"/>
    </row>
    <row r="43905" spans="1:6" x14ac:dyDescent="0.25">
      <c r="A43905"/>
      <c r="B43905"/>
      <c r="C43905"/>
      <c r="E43905"/>
      <c r="F43905"/>
    </row>
    <row r="43906" spans="1:6" x14ac:dyDescent="0.25">
      <c r="A43906"/>
      <c r="B43906"/>
      <c r="C43906"/>
      <c r="E43906"/>
      <c r="F43906"/>
    </row>
    <row r="43907" spans="1:6" x14ac:dyDescent="0.25">
      <c r="A43907"/>
      <c r="B43907"/>
      <c r="C43907"/>
      <c r="E43907"/>
      <c r="F43907"/>
    </row>
    <row r="43908" spans="1:6" x14ac:dyDescent="0.25">
      <c r="A43908"/>
      <c r="B43908"/>
      <c r="C43908"/>
      <c r="E43908"/>
      <c r="F43908"/>
    </row>
    <row r="43909" spans="1:6" x14ac:dyDescent="0.25">
      <c r="A43909"/>
      <c r="B43909"/>
      <c r="C43909"/>
      <c r="E43909"/>
      <c r="F43909"/>
    </row>
    <row r="43910" spans="1:6" x14ac:dyDescent="0.25">
      <c r="A43910"/>
      <c r="B43910"/>
      <c r="C43910"/>
      <c r="E43910"/>
      <c r="F43910"/>
    </row>
    <row r="43911" spans="1:6" x14ac:dyDescent="0.25">
      <c r="A43911"/>
      <c r="B43911"/>
      <c r="C43911"/>
      <c r="E43911"/>
      <c r="F43911"/>
    </row>
    <row r="43912" spans="1:6" x14ac:dyDescent="0.25">
      <c r="A43912"/>
      <c r="B43912"/>
      <c r="C43912"/>
      <c r="E43912"/>
      <c r="F43912"/>
    </row>
    <row r="43913" spans="1:6" x14ac:dyDescent="0.25">
      <c r="A43913"/>
      <c r="B43913"/>
      <c r="C43913"/>
      <c r="E43913"/>
      <c r="F43913"/>
    </row>
    <row r="43914" spans="1:6" x14ac:dyDescent="0.25">
      <c r="A43914"/>
      <c r="B43914"/>
      <c r="C43914"/>
      <c r="E43914"/>
      <c r="F43914"/>
    </row>
    <row r="43915" spans="1:6" x14ac:dyDescent="0.25">
      <c r="A43915"/>
      <c r="B43915"/>
      <c r="C43915"/>
      <c r="E43915"/>
      <c r="F43915"/>
    </row>
    <row r="43916" spans="1:6" x14ac:dyDescent="0.25">
      <c r="A43916"/>
      <c r="B43916"/>
      <c r="C43916"/>
      <c r="E43916"/>
      <c r="F43916"/>
    </row>
    <row r="43917" spans="1:6" x14ac:dyDescent="0.25">
      <c r="A43917"/>
      <c r="B43917"/>
      <c r="C43917"/>
      <c r="E43917"/>
      <c r="F43917"/>
    </row>
    <row r="43918" spans="1:6" x14ac:dyDescent="0.25">
      <c r="A43918"/>
      <c r="B43918"/>
      <c r="C43918"/>
      <c r="E43918"/>
      <c r="F43918"/>
    </row>
    <row r="43919" spans="1:6" x14ac:dyDescent="0.25">
      <c r="A43919"/>
      <c r="B43919"/>
      <c r="C43919"/>
      <c r="E43919"/>
      <c r="F43919"/>
    </row>
    <row r="43920" spans="1:6" x14ac:dyDescent="0.25">
      <c r="A43920"/>
      <c r="B43920"/>
      <c r="C43920"/>
      <c r="E43920"/>
      <c r="F43920"/>
    </row>
    <row r="43921" spans="1:6" x14ac:dyDescent="0.25">
      <c r="A43921"/>
      <c r="B43921"/>
      <c r="C43921"/>
      <c r="E43921"/>
      <c r="F43921"/>
    </row>
    <row r="43922" spans="1:6" x14ac:dyDescent="0.25">
      <c r="A43922"/>
      <c r="B43922"/>
      <c r="C43922"/>
      <c r="E43922"/>
      <c r="F43922"/>
    </row>
    <row r="43923" spans="1:6" x14ac:dyDescent="0.25">
      <c r="A43923"/>
      <c r="B43923"/>
      <c r="C43923"/>
      <c r="E43923"/>
      <c r="F43923"/>
    </row>
    <row r="43924" spans="1:6" x14ac:dyDescent="0.25">
      <c r="A43924"/>
      <c r="B43924"/>
      <c r="C43924"/>
      <c r="E43924"/>
      <c r="F43924"/>
    </row>
    <row r="43925" spans="1:6" x14ac:dyDescent="0.25">
      <c r="A43925"/>
      <c r="B43925"/>
      <c r="C43925"/>
      <c r="E43925"/>
      <c r="F43925"/>
    </row>
    <row r="43926" spans="1:6" x14ac:dyDescent="0.25">
      <c r="A43926"/>
      <c r="B43926"/>
      <c r="C43926"/>
      <c r="E43926"/>
      <c r="F43926"/>
    </row>
    <row r="43927" spans="1:6" x14ac:dyDescent="0.25">
      <c r="A43927"/>
      <c r="B43927"/>
      <c r="C43927"/>
      <c r="E43927"/>
      <c r="F43927"/>
    </row>
    <row r="43928" spans="1:6" x14ac:dyDescent="0.25">
      <c r="A43928"/>
      <c r="B43928"/>
      <c r="C43928"/>
      <c r="E43928"/>
      <c r="F43928"/>
    </row>
    <row r="43929" spans="1:6" x14ac:dyDescent="0.25">
      <c r="A43929"/>
      <c r="B43929"/>
      <c r="C43929"/>
      <c r="E43929"/>
      <c r="F43929"/>
    </row>
    <row r="43930" spans="1:6" x14ac:dyDescent="0.25">
      <c r="A43930"/>
      <c r="B43930"/>
      <c r="C43930"/>
      <c r="E43930"/>
      <c r="F43930"/>
    </row>
    <row r="43931" spans="1:6" x14ac:dyDescent="0.25">
      <c r="A43931"/>
      <c r="B43931"/>
      <c r="C43931"/>
      <c r="E43931"/>
      <c r="F43931"/>
    </row>
    <row r="43932" spans="1:6" x14ac:dyDescent="0.25">
      <c r="A43932"/>
      <c r="B43932"/>
      <c r="C43932"/>
      <c r="E43932"/>
      <c r="F43932"/>
    </row>
    <row r="43933" spans="1:6" x14ac:dyDescent="0.25">
      <c r="A43933"/>
      <c r="B43933"/>
      <c r="C43933"/>
      <c r="E43933"/>
      <c r="F43933"/>
    </row>
    <row r="43934" spans="1:6" x14ac:dyDescent="0.25">
      <c r="A43934"/>
      <c r="B43934"/>
      <c r="C43934"/>
      <c r="E43934"/>
      <c r="F43934"/>
    </row>
    <row r="43935" spans="1:6" x14ac:dyDescent="0.25">
      <c r="A43935"/>
      <c r="B43935"/>
      <c r="C43935"/>
      <c r="E43935"/>
      <c r="F43935"/>
    </row>
    <row r="43936" spans="1:6" x14ac:dyDescent="0.25">
      <c r="A43936"/>
      <c r="B43936"/>
      <c r="C43936"/>
      <c r="E43936"/>
      <c r="F43936"/>
    </row>
    <row r="43937" spans="1:6" x14ac:dyDescent="0.25">
      <c r="A43937"/>
      <c r="B43937"/>
      <c r="C43937"/>
      <c r="E43937"/>
      <c r="F43937"/>
    </row>
    <row r="43938" spans="1:6" x14ac:dyDescent="0.25">
      <c r="A43938"/>
      <c r="B43938"/>
      <c r="C43938"/>
      <c r="E43938"/>
      <c r="F43938"/>
    </row>
    <row r="43939" spans="1:6" x14ac:dyDescent="0.25">
      <c r="A43939"/>
      <c r="B43939"/>
      <c r="C43939"/>
      <c r="E43939"/>
      <c r="F43939"/>
    </row>
    <row r="43940" spans="1:6" x14ac:dyDescent="0.25">
      <c r="A43940"/>
      <c r="B43940"/>
      <c r="C43940"/>
      <c r="E43940"/>
      <c r="F43940"/>
    </row>
    <row r="43941" spans="1:6" x14ac:dyDescent="0.25">
      <c r="A43941"/>
      <c r="B43941"/>
      <c r="C43941"/>
      <c r="E43941"/>
      <c r="F43941"/>
    </row>
    <row r="43942" spans="1:6" x14ac:dyDescent="0.25">
      <c r="A43942"/>
      <c r="B43942"/>
      <c r="C43942"/>
      <c r="E43942"/>
      <c r="F43942"/>
    </row>
    <row r="43943" spans="1:6" x14ac:dyDescent="0.25">
      <c r="A43943"/>
      <c r="B43943"/>
      <c r="C43943"/>
      <c r="E43943"/>
      <c r="F43943"/>
    </row>
    <row r="43944" spans="1:6" x14ac:dyDescent="0.25">
      <c r="A43944"/>
      <c r="B43944"/>
      <c r="C43944"/>
      <c r="E43944"/>
      <c r="F43944"/>
    </row>
    <row r="43945" spans="1:6" x14ac:dyDescent="0.25">
      <c r="A43945"/>
      <c r="B43945"/>
      <c r="C43945"/>
      <c r="E43945"/>
      <c r="F43945"/>
    </row>
    <row r="43946" spans="1:6" x14ac:dyDescent="0.25">
      <c r="A43946"/>
      <c r="B43946"/>
      <c r="C43946"/>
      <c r="E43946"/>
      <c r="F43946"/>
    </row>
    <row r="43947" spans="1:6" x14ac:dyDescent="0.25">
      <c r="A43947"/>
      <c r="B43947"/>
      <c r="C43947"/>
      <c r="E43947"/>
      <c r="F43947"/>
    </row>
    <row r="43948" spans="1:6" x14ac:dyDescent="0.25">
      <c r="A43948"/>
      <c r="B43948"/>
      <c r="C43948"/>
      <c r="E43948"/>
      <c r="F43948"/>
    </row>
    <row r="43949" spans="1:6" x14ac:dyDescent="0.25">
      <c r="A43949"/>
      <c r="B43949"/>
      <c r="C43949"/>
      <c r="E43949"/>
      <c r="F43949"/>
    </row>
    <row r="43950" spans="1:6" x14ac:dyDescent="0.25">
      <c r="A43950"/>
      <c r="B43950"/>
      <c r="C43950"/>
      <c r="E43950"/>
      <c r="F43950"/>
    </row>
    <row r="43951" spans="1:6" x14ac:dyDescent="0.25">
      <c r="A43951"/>
      <c r="B43951"/>
      <c r="C43951"/>
      <c r="E43951"/>
      <c r="F43951"/>
    </row>
    <row r="43952" spans="1:6" x14ac:dyDescent="0.25">
      <c r="A43952"/>
      <c r="B43952"/>
      <c r="C43952"/>
      <c r="E43952"/>
      <c r="F43952"/>
    </row>
    <row r="43953" spans="1:6" x14ac:dyDescent="0.25">
      <c r="A43953"/>
      <c r="B43953"/>
      <c r="C43953"/>
      <c r="E43953"/>
      <c r="F43953"/>
    </row>
    <row r="43954" spans="1:6" x14ac:dyDescent="0.25">
      <c r="A43954"/>
      <c r="B43954"/>
      <c r="C43954"/>
      <c r="E43954"/>
      <c r="F43954"/>
    </row>
    <row r="43955" spans="1:6" x14ac:dyDescent="0.25">
      <c r="A43955"/>
      <c r="B43955"/>
      <c r="C43955"/>
      <c r="E43955"/>
      <c r="F43955"/>
    </row>
    <row r="43956" spans="1:6" x14ac:dyDescent="0.25">
      <c r="A43956"/>
      <c r="B43956"/>
      <c r="C43956"/>
      <c r="E43956"/>
      <c r="F43956"/>
    </row>
    <row r="43957" spans="1:6" x14ac:dyDescent="0.25">
      <c r="A43957"/>
      <c r="B43957"/>
      <c r="C43957"/>
      <c r="E43957"/>
      <c r="F43957"/>
    </row>
    <row r="43958" spans="1:6" x14ac:dyDescent="0.25">
      <c r="A43958"/>
      <c r="B43958"/>
      <c r="C43958"/>
      <c r="E43958"/>
      <c r="F43958"/>
    </row>
    <row r="43959" spans="1:6" x14ac:dyDescent="0.25">
      <c r="A43959"/>
      <c r="B43959"/>
      <c r="C43959"/>
      <c r="E43959"/>
      <c r="F43959"/>
    </row>
    <row r="43960" spans="1:6" x14ac:dyDescent="0.25">
      <c r="A43960"/>
      <c r="B43960"/>
      <c r="C43960"/>
      <c r="E43960"/>
      <c r="F43960"/>
    </row>
    <row r="43961" spans="1:6" x14ac:dyDescent="0.25">
      <c r="A43961"/>
      <c r="B43961"/>
      <c r="C43961"/>
      <c r="E43961"/>
      <c r="F43961"/>
    </row>
    <row r="43962" spans="1:6" x14ac:dyDescent="0.25">
      <c r="A43962"/>
      <c r="B43962"/>
      <c r="C43962"/>
      <c r="E43962"/>
      <c r="F43962"/>
    </row>
    <row r="43963" spans="1:6" x14ac:dyDescent="0.25">
      <c r="A43963"/>
      <c r="B43963"/>
      <c r="C43963"/>
      <c r="E43963"/>
      <c r="F43963"/>
    </row>
    <row r="43964" spans="1:6" x14ac:dyDescent="0.25">
      <c r="A43964"/>
      <c r="B43964"/>
      <c r="C43964"/>
      <c r="E43964"/>
      <c r="F43964"/>
    </row>
    <row r="43965" spans="1:6" x14ac:dyDescent="0.25">
      <c r="A43965"/>
      <c r="B43965"/>
      <c r="C43965"/>
      <c r="E43965"/>
      <c r="F43965"/>
    </row>
    <row r="43966" spans="1:6" x14ac:dyDescent="0.25">
      <c r="A43966"/>
      <c r="B43966"/>
      <c r="C43966"/>
      <c r="E43966"/>
      <c r="F43966"/>
    </row>
    <row r="43967" spans="1:6" x14ac:dyDescent="0.25">
      <c r="A43967"/>
      <c r="B43967"/>
      <c r="C43967"/>
      <c r="E43967"/>
      <c r="F43967"/>
    </row>
    <row r="43968" spans="1:6" x14ac:dyDescent="0.25">
      <c r="A43968"/>
      <c r="B43968"/>
      <c r="C43968"/>
      <c r="E43968"/>
      <c r="F43968"/>
    </row>
    <row r="43969" spans="1:6" x14ac:dyDescent="0.25">
      <c r="A43969"/>
      <c r="B43969"/>
      <c r="C43969"/>
      <c r="E43969"/>
      <c r="F43969"/>
    </row>
    <row r="43970" spans="1:6" x14ac:dyDescent="0.25">
      <c r="A43970"/>
      <c r="B43970"/>
      <c r="C43970"/>
      <c r="E43970"/>
      <c r="F43970"/>
    </row>
    <row r="43971" spans="1:6" x14ac:dyDescent="0.25">
      <c r="A43971"/>
      <c r="B43971"/>
      <c r="C43971"/>
      <c r="E43971"/>
      <c r="F43971"/>
    </row>
    <row r="43972" spans="1:6" x14ac:dyDescent="0.25">
      <c r="A43972"/>
      <c r="B43972"/>
      <c r="C43972"/>
      <c r="E43972"/>
      <c r="F43972"/>
    </row>
    <row r="43973" spans="1:6" x14ac:dyDescent="0.25">
      <c r="A43973"/>
      <c r="B43973"/>
      <c r="C43973"/>
      <c r="E43973"/>
      <c r="F43973"/>
    </row>
    <row r="43974" spans="1:6" x14ac:dyDescent="0.25">
      <c r="A43974"/>
      <c r="B43974"/>
      <c r="C43974"/>
      <c r="E43974"/>
      <c r="F43974"/>
    </row>
    <row r="43975" spans="1:6" x14ac:dyDescent="0.25">
      <c r="A43975"/>
      <c r="B43975"/>
      <c r="C43975"/>
      <c r="E43975"/>
      <c r="F43975"/>
    </row>
    <row r="43976" spans="1:6" x14ac:dyDescent="0.25">
      <c r="A43976"/>
      <c r="B43976"/>
      <c r="C43976"/>
      <c r="E43976"/>
      <c r="F43976"/>
    </row>
    <row r="43977" spans="1:6" x14ac:dyDescent="0.25">
      <c r="A43977"/>
      <c r="B43977"/>
      <c r="C43977"/>
      <c r="E43977"/>
      <c r="F43977"/>
    </row>
    <row r="43978" spans="1:6" x14ac:dyDescent="0.25">
      <c r="A43978"/>
      <c r="B43978"/>
      <c r="C43978"/>
      <c r="E43978"/>
      <c r="F43978"/>
    </row>
    <row r="43979" spans="1:6" x14ac:dyDescent="0.25">
      <c r="A43979"/>
      <c r="B43979"/>
      <c r="C43979"/>
      <c r="E43979"/>
      <c r="F43979"/>
    </row>
    <row r="43980" spans="1:6" x14ac:dyDescent="0.25">
      <c r="A43980"/>
      <c r="B43980"/>
      <c r="C43980"/>
      <c r="E43980"/>
      <c r="F43980"/>
    </row>
    <row r="43981" spans="1:6" x14ac:dyDescent="0.25">
      <c r="A43981"/>
      <c r="B43981"/>
      <c r="C43981"/>
      <c r="E43981"/>
      <c r="F43981"/>
    </row>
    <row r="43982" spans="1:6" x14ac:dyDescent="0.25">
      <c r="A43982"/>
      <c r="B43982"/>
      <c r="C43982"/>
      <c r="E43982"/>
      <c r="F43982"/>
    </row>
    <row r="43983" spans="1:6" x14ac:dyDescent="0.25">
      <c r="A43983"/>
      <c r="B43983"/>
      <c r="C43983"/>
      <c r="E43983"/>
      <c r="F43983"/>
    </row>
    <row r="43984" spans="1:6" x14ac:dyDescent="0.25">
      <c r="A43984"/>
      <c r="B43984"/>
      <c r="C43984"/>
      <c r="E43984"/>
      <c r="F43984"/>
    </row>
    <row r="43985" spans="1:6" x14ac:dyDescent="0.25">
      <c r="A43985"/>
      <c r="B43985"/>
      <c r="C43985"/>
      <c r="E43985"/>
      <c r="F43985"/>
    </row>
    <row r="43986" spans="1:6" x14ac:dyDescent="0.25">
      <c r="A43986"/>
      <c r="B43986"/>
      <c r="C43986"/>
      <c r="E43986"/>
      <c r="F43986"/>
    </row>
    <row r="43987" spans="1:6" x14ac:dyDescent="0.25">
      <c r="A43987"/>
      <c r="B43987"/>
      <c r="C43987"/>
      <c r="E43987"/>
      <c r="F43987"/>
    </row>
    <row r="43988" spans="1:6" x14ac:dyDescent="0.25">
      <c r="A43988"/>
      <c r="B43988"/>
      <c r="C43988"/>
      <c r="E43988"/>
      <c r="F43988"/>
    </row>
    <row r="43989" spans="1:6" x14ac:dyDescent="0.25">
      <c r="A43989"/>
      <c r="B43989"/>
      <c r="C43989"/>
      <c r="E43989"/>
      <c r="F43989"/>
    </row>
    <row r="43990" spans="1:6" x14ac:dyDescent="0.25">
      <c r="A43990"/>
      <c r="B43990"/>
      <c r="C43990"/>
      <c r="E43990"/>
      <c r="F43990"/>
    </row>
    <row r="43991" spans="1:6" x14ac:dyDescent="0.25">
      <c r="A43991"/>
      <c r="B43991"/>
      <c r="C43991"/>
      <c r="E43991"/>
      <c r="F43991"/>
    </row>
    <row r="43992" spans="1:6" x14ac:dyDescent="0.25">
      <c r="A43992"/>
      <c r="B43992"/>
      <c r="C43992"/>
      <c r="E43992"/>
      <c r="F43992"/>
    </row>
    <row r="43993" spans="1:6" x14ac:dyDescent="0.25">
      <c r="A43993"/>
      <c r="B43993"/>
      <c r="C43993"/>
      <c r="E43993"/>
      <c r="F43993"/>
    </row>
    <row r="43994" spans="1:6" x14ac:dyDescent="0.25">
      <c r="A43994"/>
      <c r="B43994"/>
      <c r="C43994"/>
      <c r="E43994"/>
      <c r="F43994"/>
    </row>
    <row r="43995" spans="1:6" x14ac:dyDescent="0.25">
      <c r="A43995"/>
      <c r="B43995"/>
      <c r="C43995"/>
      <c r="E43995"/>
      <c r="F43995"/>
    </row>
    <row r="43996" spans="1:6" x14ac:dyDescent="0.25">
      <c r="A43996"/>
      <c r="B43996"/>
      <c r="C43996"/>
      <c r="E43996"/>
      <c r="F43996"/>
    </row>
    <row r="43997" spans="1:6" x14ac:dyDescent="0.25">
      <c r="A43997"/>
      <c r="B43997"/>
      <c r="C43997"/>
      <c r="E43997"/>
      <c r="F43997"/>
    </row>
    <row r="43998" spans="1:6" x14ac:dyDescent="0.25">
      <c r="A43998"/>
      <c r="B43998"/>
      <c r="C43998"/>
      <c r="E43998"/>
      <c r="F43998"/>
    </row>
    <row r="43999" spans="1:6" x14ac:dyDescent="0.25">
      <c r="A43999"/>
      <c r="B43999"/>
      <c r="C43999"/>
      <c r="E43999"/>
      <c r="F43999"/>
    </row>
    <row r="44000" spans="1:6" x14ac:dyDescent="0.25">
      <c r="A44000"/>
      <c r="B44000"/>
      <c r="C44000"/>
      <c r="E44000"/>
      <c r="F44000"/>
    </row>
    <row r="44001" spans="1:6" x14ac:dyDescent="0.25">
      <c r="A44001"/>
      <c r="B44001"/>
      <c r="C44001"/>
      <c r="E44001"/>
      <c r="F44001"/>
    </row>
    <row r="44002" spans="1:6" x14ac:dyDescent="0.25">
      <c r="A44002"/>
      <c r="B44002"/>
      <c r="C44002"/>
      <c r="E44002"/>
      <c r="F44002"/>
    </row>
    <row r="44003" spans="1:6" x14ac:dyDescent="0.25">
      <c r="A44003"/>
      <c r="B44003"/>
      <c r="C44003"/>
      <c r="E44003"/>
      <c r="F44003"/>
    </row>
    <row r="44004" spans="1:6" x14ac:dyDescent="0.25">
      <c r="A44004"/>
      <c r="B44004"/>
      <c r="C44004"/>
      <c r="E44004"/>
      <c r="F44004"/>
    </row>
    <row r="44005" spans="1:6" x14ac:dyDescent="0.25">
      <c r="A44005"/>
      <c r="B44005"/>
      <c r="C44005"/>
      <c r="E44005"/>
      <c r="F44005"/>
    </row>
    <row r="44006" spans="1:6" x14ac:dyDescent="0.25">
      <c r="A44006"/>
      <c r="B44006"/>
      <c r="C44006"/>
      <c r="E44006"/>
      <c r="F44006"/>
    </row>
    <row r="44007" spans="1:6" x14ac:dyDescent="0.25">
      <c r="A44007"/>
      <c r="B44007"/>
      <c r="C44007"/>
      <c r="E44007"/>
      <c r="F44007"/>
    </row>
    <row r="44008" spans="1:6" x14ac:dyDescent="0.25">
      <c r="A44008"/>
      <c r="B44008"/>
      <c r="C44008"/>
      <c r="E44008"/>
      <c r="F44008"/>
    </row>
    <row r="44009" spans="1:6" x14ac:dyDescent="0.25">
      <c r="A44009"/>
      <c r="B44009"/>
      <c r="C44009"/>
      <c r="E44009"/>
      <c r="F44009"/>
    </row>
    <row r="44010" spans="1:6" x14ac:dyDescent="0.25">
      <c r="A44010"/>
      <c r="B44010"/>
      <c r="C44010"/>
      <c r="E44010"/>
      <c r="F44010"/>
    </row>
    <row r="44011" spans="1:6" x14ac:dyDescent="0.25">
      <c r="A44011"/>
      <c r="B44011"/>
      <c r="C44011"/>
      <c r="E44011"/>
      <c r="F44011"/>
    </row>
    <row r="44012" spans="1:6" x14ac:dyDescent="0.25">
      <c r="A44012"/>
      <c r="B44012"/>
      <c r="C44012"/>
      <c r="E44012"/>
      <c r="F44012"/>
    </row>
    <row r="44013" spans="1:6" x14ac:dyDescent="0.25">
      <c r="A44013"/>
      <c r="B44013"/>
      <c r="C44013"/>
      <c r="E44013"/>
      <c r="F44013"/>
    </row>
    <row r="44014" spans="1:6" x14ac:dyDescent="0.25">
      <c r="A44014"/>
      <c r="B44014"/>
      <c r="C44014"/>
      <c r="E44014"/>
      <c r="F44014"/>
    </row>
    <row r="44015" spans="1:6" x14ac:dyDescent="0.25">
      <c r="A44015"/>
      <c r="B44015"/>
      <c r="C44015"/>
      <c r="E44015"/>
      <c r="F44015"/>
    </row>
    <row r="44016" spans="1:6" x14ac:dyDescent="0.25">
      <c r="A44016"/>
      <c r="B44016"/>
      <c r="C44016"/>
      <c r="E44016"/>
      <c r="F44016"/>
    </row>
    <row r="44017" spans="1:6" x14ac:dyDescent="0.25">
      <c r="A44017"/>
      <c r="B44017"/>
      <c r="C44017"/>
      <c r="E44017"/>
      <c r="F44017"/>
    </row>
    <row r="44018" spans="1:6" x14ac:dyDescent="0.25">
      <c r="A44018"/>
      <c r="B44018"/>
      <c r="C44018"/>
      <c r="E44018"/>
      <c r="F44018"/>
    </row>
    <row r="44019" spans="1:6" x14ac:dyDescent="0.25">
      <c r="A44019"/>
      <c r="B44019"/>
      <c r="C44019"/>
      <c r="E44019"/>
      <c r="F44019"/>
    </row>
    <row r="44020" spans="1:6" x14ac:dyDescent="0.25">
      <c r="A44020"/>
      <c r="B44020"/>
      <c r="C44020"/>
      <c r="E44020"/>
      <c r="F44020"/>
    </row>
    <row r="44021" spans="1:6" x14ac:dyDescent="0.25">
      <c r="A44021"/>
      <c r="B44021"/>
      <c r="C44021"/>
      <c r="E44021"/>
      <c r="F44021"/>
    </row>
    <row r="44022" spans="1:6" x14ac:dyDescent="0.25">
      <c r="A44022"/>
      <c r="B44022"/>
      <c r="C44022"/>
      <c r="E44022"/>
      <c r="F44022"/>
    </row>
    <row r="44023" spans="1:6" x14ac:dyDescent="0.25">
      <c r="A44023"/>
      <c r="B44023"/>
      <c r="C44023"/>
      <c r="E44023"/>
      <c r="F44023"/>
    </row>
    <row r="44024" spans="1:6" x14ac:dyDescent="0.25">
      <c r="A44024"/>
      <c r="B44024"/>
      <c r="C44024"/>
      <c r="E44024"/>
      <c r="F44024"/>
    </row>
    <row r="44025" spans="1:6" x14ac:dyDescent="0.25">
      <c r="A44025"/>
      <c r="B44025"/>
      <c r="C44025"/>
      <c r="E44025"/>
      <c r="F44025"/>
    </row>
    <row r="44026" spans="1:6" x14ac:dyDescent="0.25">
      <c r="A44026"/>
      <c r="B44026"/>
      <c r="C44026"/>
      <c r="E44026"/>
      <c r="F44026"/>
    </row>
    <row r="44027" spans="1:6" x14ac:dyDescent="0.25">
      <c r="A44027"/>
      <c r="B44027"/>
      <c r="C44027"/>
      <c r="E44027"/>
      <c r="F44027"/>
    </row>
    <row r="44028" spans="1:6" x14ac:dyDescent="0.25">
      <c r="A44028"/>
      <c r="B44028"/>
      <c r="C44028"/>
      <c r="E44028"/>
      <c r="F44028"/>
    </row>
    <row r="44029" spans="1:6" x14ac:dyDescent="0.25">
      <c r="A44029"/>
      <c r="B44029"/>
      <c r="C44029"/>
      <c r="E44029"/>
      <c r="F44029"/>
    </row>
    <row r="44030" spans="1:6" x14ac:dyDescent="0.25">
      <c r="A44030"/>
      <c r="B44030"/>
      <c r="C44030"/>
      <c r="E44030"/>
      <c r="F44030"/>
    </row>
    <row r="44031" spans="1:6" x14ac:dyDescent="0.25">
      <c r="A44031"/>
      <c r="B44031"/>
      <c r="C44031"/>
      <c r="E44031"/>
      <c r="F44031"/>
    </row>
    <row r="44032" spans="1:6" x14ac:dyDescent="0.25">
      <c r="A44032"/>
      <c r="B44032"/>
      <c r="C44032"/>
      <c r="E44032"/>
      <c r="F44032"/>
    </row>
    <row r="44033" spans="1:6" x14ac:dyDescent="0.25">
      <c r="A44033"/>
      <c r="B44033"/>
      <c r="C44033"/>
      <c r="E44033"/>
      <c r="F44033"/>
    </row>
    <row r="44034" spans="1:6" x14ac:dyDescent="0.25">
      <c r="A44034"/>
      <c r="B44034"/>
      <c r="C44034"/>
      <c r="E44034"/>
      <c r="F44034"/>
    </row>
    <row r="44035" spans="1:6" x14ac:dyDescent="0.25">
      <c r="A44035"/>
      <c r="B44035"/>
      <c r="C44035"/>
      <c r="E44035"/>
      <c r="F44035"/>
    </row>
    <row r="44036" spans="1:6" x14ac:dyDescent="0.25">
      <c r="A44036"/>
      <c r="B44036"/>
      <c r="C44036"/>
      <c r="E44036"/>
      <c r="F44036"/>
    </row>
    <row r="44037" spans="1:6" x14ac:dyDescent="0.25">
      <c r="A44037"/>
      <c r="B44037"/>
      <c r="C44037"/>
      <c r="E44037"/>
      <c r="F44037"/>
    </row>
    <row r="44038" spans="1:6" x14ac:dyDescent="0.25">
      <c r="A44038"/>
      <c r="B44038"/>
      <c r="C44038"/>
      <c r="E44038"/>
      <c r="F44038"/>
    </row>
    <row r="44039" spans="1:6" x14ac:dyDescent="0.25">
      <c r="A44039"/>
      <c r="B44039"/>
      <c r="C44039"/>
      <c r="E44039"/>
      <c r="F44039"/>
    </row>
    <row r="44040" spans="1:6" x14ac:dyDescent="0.25">
      <c r="A44040"/>
      <c r="B44040"/>
      <c r="C44040"/>
      <c r="E44040"/>
      <c r="F44040"/>
    </row>
    <row r="44041" spans="1:6" x14ac:dyDescent="0.25">
      <c r="A44041"/>
      <c r="B44041"/>
      <c r="C44041"/>
      <c r="E44041"/>
      <c r="F44041"/>
    </row>
    <row r="44042" spans="1:6" x14ac:dyDescent="0.25">
      <c r="A44042"/>
      <c r="B44042"/>
      <c r="C44042"/>
      <c r="E44042"/>
      <c r="F44042"/>
    </row>
    <row r="44043" spans="1:6" x14ac:dyDescent="0.25">
      <c r="A44043"/>
      <c r="B44043"/>
      <c r="C44043"/>
      <c r="E44043"/>
      <c r="F44043"/>
    </row>
    <row r="44044" spans="1:6" x14ac:dyDescent="0.25">
      <c r="A44044"/>
      <c r="B44044"/>
      <c r="C44044"/>
      <c r="E44044"/>
      <c r="F44044"/>
    </row>
    <row r="44045" spans="1:6" x14ac:dyDescent="0.25">
      <c r="A44045"/>
      <c r="B44045"/>
      <c r="C44045"/>
      <c r="E44045"/>
      <c r="F44045"/>
    </row>
    <row r="44046" spans="1:6" x14ac:dyDescent="0.25">
      <c r="A44046"/>
      <c r="B44046"/>
      <c r="C44046"/>
      <c r="E44046"/>
      <c r="F44046"/>
    </row>
    <row r="44047" spans="1:6" x14ac:dyDescent="0.25">
      <c r="A44047"/>
      <c r="B44047"/>
      <c r="C44047"/>
      <c r="E44047"/>
      <c r="F44047"/>
    </row>
    <row r="44048" spans="1:6" x14ac:dyDescent="0.25">
      <c r="A44048"/>
      <c r="B44048"/>
      <c r="C44048"/>
      <c r="E44048"/>
      <c r="F44048"/>
    </row>
    <row r="44049" spans="1:6" x14ac:dyDescent="0.25">
      <c r="A44049"/>
      <c r="B44049"/>
      <c r="C44049"/>
      <c r="E44049"/>
      <c r="F44049"/>
    </row>
    <row r="44050" spans="1:6" x14ac:dyDescent="0.25">
      <c r="A44050"/>
      <c r="B44050"/>
      <c r="C44050"/>
      <c r="E44050"/>
      <c r="F44050"/>
    </row>
    <row r="44051" spans="1:6" x14ac:dyDescent="0.25">
      <c r="A44051"/>
      <c r="B44051"/>
      <c r="C44051"/>
      <c r="E44051"/>
      <c r="F44051"/>
    </row>
    <row r="44052" spans="1:6" x14ac:dyDescent="0.25">
      <c r="A44052"/>
      <c r="B44052"/>
      <c r="C44052"/>
      <c r="E44052"/>
      <c r="F44052"/>
    </row>
    <row r="44053" spans="1:6" x14ac:dyDescent="0.25">
      <c r="A44053"/>
      <c r="B44053"/>
      <c r="C44053"/>
      <c r="E44053"/>
      <c r="F44053"/>
    </row>
    <row r="44054" spans="1:6" x14ac:dyDescent="0.25">
      <c r="A44054"/>
      <c r="B44054"/>
      <c r="C44054"/>
      <c r="E44054"/>
      <c r="F44054"/>
    </row>
    <row r="44055" spans="1:6" x14ac:dyDescent="0.25">
      <c r="A44055"/>
      <c r="B44055"/>
      <c r="C44055"/>
      <c r="E44055"/>
      <c r="F44055"/>
    </row>
    <row r="44056" spans="1:6" x14ac:dyDescent="0.25">
      <c r="A44056"/>
      <c r="B44056"/>
      <c r="C44056"/>
      <c r="E44056"/>
      <c r="F44056"/>
    </row>
    <row r="44057" spans="1:6" x14ac:dyDescent="0.25">
      <c r="A44057"/>
      <c r="B44057"/>
      <c r="C44057"/>
      <c r="E44057"/>
      <c r="F44057"/>
    </row>
    <row r="44058" spans="1:6" x14ac:dyDescent="0.25">
      <c r="A44058"/>
      <c r="B44058"/>
      <c r="C44058"/>
      <c r="E44058"/>
      <c r="F44058"/>
    </row>
    <row r="44059" spans="1:6" x14ac:dyDescent="0.25">
      <c r="A44059"/>
      <c r="B44059"/>
      <c r="C44059"/>
      <c r="E44059"/>
      <c r="F44059"/>
    </row>
    <row r="44060" spans="1:6" x14ac:dyDescent="0.25">
      <c r="A44060"/>
      <c r="B44060"/>
      <c r="C44060"/>
      <c r="E44060"/>
      <c r="F44060"/>
    </row>
    <row r="44061" spans="1:6" x14ac:dyDescent="0.25">
      <c r="A44061"/>
      <c r="B44061"/>
      <c r="C44061"/>
      <c r="E44061"/>
      <c r="F44061"/>
    </row>
    <row r="44062" spans="1:6" x14ac:dyDescent="0.25">
      <c r="A44062"/>
      <c r="B44062"/>
      <c r="C44062"/>
      <c r="E44062"/>
      <c r="F44062"/>
    </row>
    <row r="44063" spans="1:6" x14ac:dyDescent="0.25">
      <c r="A44063"/>
      <c r="B44063"/>
      <c r="C44063"/>
      <c r="E44063"/>
      <c r="F44063"/>
    </row>
    <row r="44064" spans="1:6" x14ac:dyDescent="0.25">
      <c r="A44064"/>
      <c r="B44064"/>
      <c r="C44064"/>
      <c r="E44064"/>
      <c r="F44064"/>
    </row>
    <row r="44065" spans="1:6" x14ac:dyDescent="0.25">
      <c r="A44065"/>
      <c r="B44065"/>
      <c r="C44065"/>
      <c r="E44065"/>
      <c r="F44065"/>
    </row>
    <row r="44066" spans="1:6" x14ac:dyDescent="0.25">
      <c r="A44066"/>
      <c r="B44066"/>
      <c r="C44066"/>
      <c r="E44066"/>
      <c r="F44066"/>
    </row>
    <row r="44067" spans="1:6" x14ac:dyDescent="0.25">
      <c r="A44067"/>
      <c r="B44067"/>
      <c r="C44067"/>
      <c r="E44067"/>
      <c r="F44067"/>
    </row>
    <row r="44068" spans="1:6" x14ac:dyDescent="0.25">
      <c r="A44068"/>
      <c r="B44068"/>
      <c r="C44068"/>
      <c r="E44068"/>
      <c r="F44068"/>
    </row>
    <row r="44069" spans="1:6" x14ac:dyDescent="0.25">
      <c r="A44069"/>
      <c r="B44069"/>
      <c r="C44069"/>
      <c r="E44069"/>
      <c r="F44069"/>
    </row>
    <row r="44070" spans="1:6" x14ac:dyDescent="0.25">
      <c r="A44070"/>
      <c r="B44070"/>
      <c r="C44070"/>
      <c r="E44070"/>
      <c r="F44070"/>
    </row>
    <row r="44071" spans="1:6" x14ac:dyDescent="0.25">
      <c r="A44071"/>
      <c r="B44071"/>
      <c r="C44071"/>
      <c r="E44071"/>
      <c r="F44071"/>
    </row>
    <row r="44072" spans="1:6" x14ac:dyDescent="0.25">
      <c r="A44072"/>
      <c r="B44072"/>
      <c r="C44072"/>
      <c r="E44072"/>
      <c r="F44072"/>
    </row>
    <row r="44073" spans="1:6" x14ac:dyDescent="0.25">
      <c r="A44073"/>
      <c r="B44073"/>
      <c r="C44073"/>
      <c r="E44073"/>
      <c r="F44073"/>
    </row>
    <row r="44074" spans="1:6" x14ac:dyDescent="0.25">
      <c r="A44074"/>
      <c r="B44074"/>
      <c r="C44074"/>
      <c r="E44074"/>
      <c r="F44074"/>
    </row>
    <row r="44075" spans="1:6" x14ac:dyDescent="0.25">
      <c r="A44075"/>
      <c r="B44075"/>
      <c r="C44075"/>
      <c r="E44075"/>
      <c r="F44075"/>
    </row>
    <row r="44076" spans="1:6" x14ac:dyDescent="0.25">
      <c r="A44076"/>
      <c r="B44076"/>
      <c r="C44076"/>
      <c r="E44076"/>
      <c r="F44076"/>
    </row>
    <row r="44077" spans="1:6" x14ac:dyDescent="0.25">
      <c r="A44077"/>
      <c r="B44077"/>
      <c r="C44077"/>
      <c r="E44077"/>
      <c r="F44077"/>
    </row>
    <row r="44078" spans="1:6" x14ac:dyDescent="0.25">
      <c r="A44078"/>
      <c r="B44078"/>
      <c r="C44078"/>
      <c r="E44078"/>
      <c r="F44078"/>
    </row>
    <row r="44079" spans="1:6" x14ac:dyDescent="0.25">
      <c r="A44079"/>
      <c r="B44079"/>
      <c r="C44079"/>
      <c r="E44079"/>
      <c r="F44079"/>
    </row>
    <row r="44080" spans="1:6" x14ac:dyDescent="0.25">
      <c r="A44080"/>
      <c r="B44080"/>
      <c r="C44080"/>
      <c r="E44080"/>
      <c r="F44080"/>
    </row>
    <row r="44081" spans="1:6" x14ac:dyDescent="0.25">
      <c r="A44081"/>
      <c r="B44081"/>
      <c r="C44081"/>
      <c r="E44081"/>
      <c r="F44081"/>
    </row>
    <row r="44082" spans="1:6" x14ac:dyDescent="0.25">
      <c r="A44082"/>
      <c r="B44082"/>
      <c r="C44082"/>
      <c r="E44082"/>
      <c r="F44082"/>
    </row>
    <row r="44083" spans="1:6" x14ac:dyDescent="0.25">
      <c r="A44083"/>
      <c r="B44083"/>
      <c r="C44083"/>
      <c r="E44083"/>
      <c r="F44083"/>
    </row>
    <row r="44084" spans="1:6" x14ac:dyDescent="0.25">
      <c r="A44084"/>
      <c r="B44084"/>
      <c r="C44084"/>
      <c r="E44084"/>
      <c r="F44084"/>
    </row>
    <row r="44085" spans="1:6" x14ac:dyDescent="0.25">
      <c r="A44085"/>
      <c r="B44085"/>
      <c r="C44085"/>
      <c r="E44085"/>
      <c r="F44085"/>
    </row>
    <row r="44086" spans="1:6" x14ac:dyDescent="0.25">
      <c r="A44086"/>
      <c r="B44086"/>
      <c r="C44086"/>
      <c r="E44086"/>
      <c r="F44086"/>
    </row>
    <row r="44087" spans="1:6" x14ac:dyDescent="0.25">
      <c r="A44087"/>
      <c r="B44087"/>
      <c r="C44087"/>
      <c r="E44087"/>
      <c r="F44087"/>
    </row>
    <row r="44088" spans="1:6" x14ac:dyDescent="0.25">
      <c r="A44088"/>
      <c r="B44088"/>
      <c r="C44088"/>
      <c r="E44088"/>
      <c r="F44088"/>
    </row>
    <row r="44089" spans="1:6" x14ac:dyDescent="0.25">
      <c r="A44089"/>
      <c r="B44089"/>
      <c r="C44089"/>
      <c r="E44089"/>
      <c r="F44089"/>
    </row>
    <row r="44090" spans="1:6" x14ac:dyDescent="0.25">
      <c r="A44090"/>
      <c r="B44090"/>
      <c r="C44090"/>
      <c r="E44090"/>
      <c r="F44090"/>
    </row>
    <row r="44091" spans="1:6" x14ac:dyDescent="0.25">
      <c r="A44091"/>
      <c r="B44091"/>
      <c r="C44091"/>
      <c r="E44091"/>
      <c r="F44091"/>
    </row>
    <row r="44092" spans="1:6" x14ac:dyDescent="0.25">
      <c r="A44092"/>
      <c r="B44092"/>
      <c r="C44092"/>
      <c r="E44092"/>
      <c r="F44092"/>
    </row>
    <row r="44093" spans="1:6" x14ac:dyDescent="0.25">
      <c r="A44093"/>
      <c r="B44093"/>
      <c r="C44093"/>
      <c r="E44093"/>
      <c r="F44093"/>
    </row>
    <row r="44094" spans="1:6" x14ac:dyDescent="0.25">
      <c r="A44094"/>
      <c r="B44094"/>
      <c r="C44094"/>
      <c r="E44094"/>
      <c r="F44094"/>
    </row>
    <row r="44095" spans="1:6" x14ac:dyDescent="0.25">
      <c r="A44095"/>
      <c r="B44095"/>
      <c r="C44095"/>
      <c r="E44095"/>
      <c r="F44095"/>
    </row>
    <row r="44096" spans="1:6" x14ac:dyDescent="0.25">
      <c r="A44096"/>
      <c r="B44096"/>
      <c r="C44096"/>
      <c r="E44096"/>
      <c r="F44096"/>
    </row>
    <row r="44097" spans="1:6" x14ac:dyDescent="0.25">
      <c r="A44097"/>
      <c r="B44097"/>
      <c r="C44097"/>
      <c r="E44097"/>
      <c r="F44097"/>
    </row>
    <row r="44098" spans="1:6" x14ac:dyDescent="0.25">
      <c r="A44098"/>
      <c r="B44098"/>
      <c r="C44098"/>
      <c r="E44098"/>
      <c r="F44098"/>
    </row>
    <row r="44099" spans="1:6" x14ac:dyDescent="0.25">
      <c r="A44099"/>
      <c r="B44099"/>
      <c r="C44099"/>
      <c r="E44099"/>
      <c r="F44099"/>
    </row>
    <row r="44100" spans="1:6" x14ac:dyDescent="0.25">
      <c r="A44100"/>
      <c r="B44100"/>
      <c r="C44100"/>
      <c r="E44100"/>
      <c r="F44100"/>
    </row>
    <row r="44101" spans="1:6" x14ac:dyDescent="0.25">
      <c r="A44101"/>
      <c r="B44101"/>
      <c r="C44101"/>
      <c r="E44101"/>
      <c r="F44101"/>
    </row>
    <row r="44102" spans="1:6" x14ac:dyDescent="0.25">
      <c r="A44102"/>
      <c r="B44102"/>
      <c r="C44102"/>
      <c r="E44102"/>
      <c r="F44102"/>
    </row>
    <row r="44103" spans="1:6" x14ac:dyDescent="0.25">
      <c r="A44103"/>
      <c r="B44103"/>
      <c r="C44103"/>
      <c r="E44103"/>
      <c r="F44103"/>
    </row>
    <row r="44104" spans="1:6" x14ac:dyDescent="0.25">
      <c r="A44104"/>
      <c r="B44104"/>
      <c r="C44104"/>
      <c r="E44104"/>
      <c r="F44104"/>
    </row>
    <row r="44105" spans="1:6" x14ac:dyDescent="0.25">
      <c r="A44105"/>
      <c r="B44105"/>
      <c r="C44105"/>
      <c r="E44105"/>
      <c r="F44105"/>
    </row>
    <row r="44106" spans="1:6" x14ac:dyDescent="0.25">
      <c r="A44106"/>
      <c r="B44106"/>
      <c r="C44106"/>
      <c r="E44106"/>
      <c r="F44106"/>
    </row>
    <row r="44107" spans="1:6" x14ac:dyDescent="0.25">
      <c r="A44107"/>
      <c r="B44107"/>
      <c r="C44107"/>
      <c r="E44107"/>
      <c r="F44107"/>
    </row>
    <row r="44108" spans="1:6" x14ac:dyDescent="0.25">
      <c r="A44108"/>
      <c r="B44108"/>
      <c r="C44108"/>
      <c r="E44108"/>
      <c r="F44108"/>
    </row>
    <row r="44109" spans="1:6" x14ac:dyDescent="0.25">
      <c r="A44109"/>
      <c r="B44109"/>
      <c r="C44109"/>
      <c r="E44109"/>
      <c r="F44109"/>
    </row>
    <row r="44110" spans="1:6" x14ac:dyDescent="0.25">
      <c r="A44110"/>
      <c r="B44110"/>
      <c r="C44110"/>
      <c r="E44110"/>
      <c r="F44110"/>
    </row>
    <row r="44111" spans="1:6" x14ac:dyDescent="0.25">
      <c r="A44111"/>
      <c r="B44111"/>
      <c r="C44111"/>
      <c r="E44111"/>
      <c r="F44111"/>
    </row>
    <row r="44112" spans="1:6" x14ac:dyDescent="0.25">
      <c r="A44112"/>
      <c r="B44112"/>
      <c r="C44112"/>
      <c r="E44112"/>
      <c r="F44112"/>
    </row>
    <row r="44113" spans="1:6" x14ac:dyDescent="0.25">
      <c r="A44113"/>
      <c r="B44113"/>
      <c r="C44113"/>
      <c r="E44113"/>
      <c r="F44113"/>
    </row>
    <row r="44114" spans="1:6" x14ac:dyDescent="0.25">
      <c r="A44114"/>
      <c r="B44114"/>
      <c r="C44114"/>
      <c r="E44114"/>
      <c r="F44114"/>
    </row>
    <row r="44115" spans="1:6" x14ac:dyDescent="0.25">
      <c r="A44115"/>
      <c r="B44115"/>
      <c r="C44115"/>
      <c r="E44115"/>
      <c r="F44115"/>
    </row>
    <row r="44116" spans="1:6" x14ac:dyDescent="0.25">
      <c r="A44116"/>
      <c r="B44116"/>
      <c r="C44116"/>
      <c r="E44116"/>
      <c r="F44116"/>
    </row>
    <row r="44117" spans="1:6" x14ac:dyDescent="0.25">
      <c r="A44117"/>
      <c r="B44117"/>
      <c r="C44117"/>
      <c r="E44117"/>
      <c r="F44117"/>
    </row>
    <row r="44118" spans="1:6" x14ac:dyDescent="0.25">
      <c r="A44118"/>
      <c r="B44118"/>
      <c r="C44118"/>
      <c r="E44118"/>
      <c r="F44118"/>
    </row>
    <row r="44119" spans="1:6" x14ac:dyDescent="0.25">
      <c r="A44119"/>
      <c r="B44119"/>
      <c r="C44119"/>
      <c r="E44119"/>
      <c r="F44119"/>
    </row>
    <row r="44120" spans="1:6" x14ac:dyDescent="0.25">
      <c r="A44120"/>
      <c r="B44120"/>
      <c r="C44120"/>
      <c r="E44120"/>
      <c r="F44120"/>
    </row>
    <row r="44121" spans="1:6" x14ac:dyDescent="0.25">
      <c r="A44121"/>
      <c r="B44121"/>
      <c r="C44121"/>
      <c r="E44121"/>
      <c r="F44121"/>
    </row>
    <row r="44122" spans="1:6" x14ac:dyDescent="0.25">
      <c r="A44122"/>
      <c r="B44122"/>
      <c r="C44122"/>
      <c r="E44122"/>
      <c r="F44122"/>
    </row>
    <row r="44123" spans="1:6" x14ac:dyDescent="0.25">
      <c r="A44123"/>
      <c r="B44123"/>
      <c r="C44123"/>
      <c r="E44123"/>
      <c r="F44123"/>
    </row>
    <row r="44124" spans="1:6" x14ac:dyDescent="0.25">
      <c r="A44124"/>
      <c r="B44124"/>
      <c r="C44124"/>
      <c r="E44124"/>
      <c r="F44124"/>
    </row>
    <row r="44125" spans="1:6" x14ac:dyDescent="0.25">
      <c r="A44125"/>
      <c r="B44125"/>
      <c r="C44125"/>
      <c r="E44125"/>
      <c r="F44125"/>
    </row>
    <row r="44126" spans="1:6" x14ac:dyDescent="0.25">
      <c r="A44126"/>
      <c r="B44126"/>
      <c r="C44126"/>
      <c r="E44126"/>
      <c r="F44126"/>
    </row>
    <row r="44127" spans="1:6" x14ac:dyDescent="0.25">
      <c r="A44127"/>
      <c r="B44127"/>
      <c r="C44127"/>
      <c r="E44127"/>
      <c r="F44127"/>
    </row>
    <row r="44128" spans="1:6" x14ac:dyDescent="0.25">
      <c r="A44128"/>
      <c r="B44128"/>
      <c r="C44128"/>
      <c r="E44128"/>
      <c r="F44128"/>
    </row>
    <row r="44129" spans="1:6" x14ac:dyDescent="0.25">
      <c r="A44129"/>
      <c r="B44129"/>
      <c r="C44129"/>
      <c r="E44129"/>
      <c r="F44129"/>
    </row>
    <row r="44130" spans="1:6" x14ac:dyDescent="0.25">
      <c r="A44130"/>
      <c r="B44130"/>
      <c r="C44130"/>
      <c r="E44130"/>
      <c r="F44130"/>
    </row>
    <row r="44131" spans="1:6" x14ac:dyDescent="0.25">
      <c r="A44131"/>
      <c r="B44131"/>
      <c r="C44131"/>
      <c r="E44131"/>
      <c r="F44131"/>
    </row>
    <row r="44132" spans="1:6" x14ac:dyDescent="0.25">
      <c r="A44132"/>
      <c r="B44132"/>
      <c r="C44132"/>
      <c r="E44132"/>
      <c r="F44132"/>
    </row>
    <row r="44133" spans="1:6" x14ac:dyDescent="0.25">
      <c r="A44133"/>
      <c r="B44133"/>
      <c r="C44133"/>
      <c r="E44133"/>
      <c r="F44133"/>
    </row>
    <row r="44134" spans="1:6" x14ac:dyDescent="0.25">
      <c r="A44134"/>
      <c r="B44134"/>
      <c r="C44134"/>
      <c r="E44134"/>
      <c r="F44134"/>
    </row>
    <row r="44135" spans="1:6" x14ac:dyDescent="0.25">
      <c r="A44135"/>
      <c r="B44135"/>
      <c r="C44135"/>
      <c r="E44135"/>
      <c r="F44135"/>
    </row>
    <row r="44136" spans="1:6" x14ac:dyDescent="0.25">
      <c r="A44136"/>
      <c r="B44136"/>
      <c r="C44136"/>
      <c r="E44136"/>
      <c r="F44136"/>
    </row>
    <row r="44137" spans="1:6" x14ac:dyDescent="0.25">
      <c r="A44137"/>
      <c r="B44137"/>
      <c r="C44137"/>
      <c r="E44137"/>
      <c r="F44137"/>
    </row>
    <row r="44138" spans="1:6" x14ac:dyDescent="0.25">
      <c r="A44138"/>
      <c r="B44138"/>
      <c r="C44138"/>
      <c r="E44138"/>
      <c r="F44138"/>
    </row>
    <row r="44139" spans="1:6" x14ac:dyDescent="0.25">
      <c r="A44139"/>
      <c r="B44139"/>
      <c r="C44139"/>
      <c r="E44139"/>
      <c r="F44139"/>
    </row>
    <row r="44140" spans="1:6" x14ac:dyDescent="0.25">
      <c r="A44140"/>
      <c r="B44140"/>
      <c r="C44140"/>
      <c r="E44140"/>
      <c r="F44140"/>
    </row>
    <row r="44141" spans="1:6" x14ac:dyDescent="0.25">
      <c r="A44141"/>
      <c r="B44141"/>
      <c r="C44141"/>
      <c r="E44141"/>
      <c r="F44141"/>
    </row>
    <row r="44142" spans="1:6" x14ac:dyDescent="0.25">
      <c r="A44142"/>
      <c r="B44142"/>
      <c r="C44142"/>
      <c r="E44142"/>
      <c r="F44142"/>
    </row>
    <row r="44143" spans="1:6" x14ac:dyDescent="0.25">
      <c r="A44143"/>
      <c r="B44143"/>
      <c r="C44143"/>
      <c r="E44143"/>
      <c r="F44143"/>
    </row>
    <row r="44144" spans="1:6" x14ac:dyDescent="0.25">
      <c r="A44144"/>
      <c r="B44144"/>
      <c r="C44144"/>
      <c r="E44144"/>
      <c r="F44144"/>
    </row>
    <row r="44145" spans="1:6" x14ac:dyDescent="0.25">
      <c r="A44145"/>
      <c r="B44145"/>
      <c r="C44145"/>
      <c r="E44145"/>
      <c r="F44145"/>
    </row>
    <row r="44146" spans="1:6" x14ac:dyDescent="0.25">
      <c r="A44146"/>
      <c r="B44146"/>
      <c r="C44146"/>
      <c r="E44146"/>
      <c r="F44146"/>
    </row>
    <row r="44147" spans="1:6" x14ac:dyDescent="0.25">
      <c r="A44147"/>
      <c r="B44147"/>
      <c r="C44147"/>
      <c r="E44147"/>
      <c r="F44147"/>
    </row>
    <row r="44148" spans="1:6" x14ac:dyDescent="0.25">
      <c r="A44148"/>
      <c r="B44148"/>
      <c r="C44148"/>
      <c r="E44148"/>
      <c r="F44148"/>
    </row>
    <row r="44149" spans="1:6" x14ac:dyDescent="0.25">
      <c r="A44149"/>
      <c r="B44149"/>
      <c r="C44149"/>
      <c r="E44149"/>
      <c r="F44149"/>
    </row>
    <row r="44150" spans="1:6" x14ac:dyDescent="0.25">
      <c r="A44150"/>
      <c r="B44150"/>
      <c r="C44150"/>
      <c r="E44150"/>
      <c r="F44150"/>
    </row>
    <row r="44151" spans="1:6" x14ac:dyDescent="0.25">
      <c r="A44151"/>
      <c r="B44151"/>
      <c r="C44151"/>
      <c r="E44151"/>
      <c r="F44151"/>
    </row>
    <row r="44152" spans="1:6" x14ac:dyDescent="0.25">
      <c r="A44152"/>
      <c r="B44152"/>
      <c r="C44152"/>
      <c r="E44152"/>
      <c r="F44152"/>
    </row>
    <row r="44153" spans="1:6" x14ac:dyDescent="0.25">
      <c r="A44153"/>
      <c r="B44153"/>
      <c r="C44153"/>
      <c r="E44153"/>
      <c r="F44153"/>
    </row>
    <row r="44154" spans="1:6" x14ac:dyDescent="0.25">
      <c r="A44154"/>
      <c r="B44154"/>
      <c r="C44154"/>
      <c r="E44154"/>
      <c r="F44154"/>
    </row>
    <row r="44155" spans="1:6" x14ac:dyDescent="0.25">
      <c r="A44155"/>
      <c r="B44155"/>
      <c r="C44155"/>
      <c r="E44155"/>
      <c r="F44155"/>
    </row>
    <row r="44156" spans="1:6" x14ac:dyDescent="0.25">
      <c r="A44156"/>
      <c r="B44156"/>
      <c r="C44156"/>
      <c r="E44156"/>
      <c r="F44156"/>
    </row>
    <row r="44157" spans="1:6" x14ac:dyDescent="0.25">
      <c r="A44157"/>
      <c r="B44157"/>
      <c r="C44157"/>
      <c r="E44157"/>
      <c r="F44157"/>
    </row>
    <row r="44158" spans="1:6" x14ac:dyDescent="0.25">
      <c r="A44158"/>
      <c r="B44158"/>
      <c r="C44158"/>
      <c r="E44158"/>
      <c r="F44158"/>
    </row>
    <row r="44159" spans="1:6" x14ac:dyDescent="0.25">
      <c r="A44159"/>
      <c r="B44159"/>
      <c r="C44159"/>
      <c r="E44159"/>
      <c r="F44159"/>
    </row>
    <row r="44160" spans="1:6" x14ac:dyDescent="0.25">
      <c r="A44160"/>
      <c r="B44160"/>
      <c r="C44160"/>
      <c r="E44160"/>
      <c r="F44160"/>
    </row>
    <row r="44161" spans="1:6" x14ac:dyDescent="0.25">
      <c r="A44161"/>
      <c r="B44161"/>
      <c r="C44161"/>
      <c r="E44161"/>
      <c r="F44161"/>
    </row>
    <row r="44162" spans="1:6" x14ac:dyDescent="0.25">
      <c r="A44162"/>
      <c r="B44162"/>
      <c r="C44162"/>
      <c r="E44162"/>
      <c r="F44162"/>
    </row>
    <row r="44163" spans="1:6" x14ac:dyDescent="0.25">
      <c r="A44163"/>
      <c r="B44163"/>
      <c r="C44163"/>
      <c r="E44163"/>
      <c r="F44163"/>
    </row>
    <row r="44164" spans="1:6" x14ac:dyDescent="0.25">
      <c r="A44164"/>
      <c r="B44164"/>
      <c r="C44164"/>
      <c r="E44164"/>
      <c r="F44164"/>
    </row>
    <row r="44165" spans="1:6" x14ac:dyDescent="0.25">
      <c r="A44165"/>
      <c r="B44165"/>
      <c r="C44165"/>
      <c r="E44165"/>
      <c r="F44165"/>
    </row>
    <row r="44166" spans="1:6" x14ac:dyDescent="0.25">
      <c r="A44166"/>
      <c r="B44166"/>
      <c r="C44166"/>
      <c r="E44166"/>
      <c r="F44166"/>
    </row>
    <row r="44167" spans="1:6" x14ac:dyDescent="0.25">
      <c r="A44167"/>
      <c r="B44167"/>
      <c r="C44167"/>
      <c r="E44167"/>
      <c r="F44167"/>
    </row>
    <row r="44168" spans="1:6" x14ac:dyDescent="0.25">
      <c r="A44168"/>
      <c r="B44168"/>
      <c r="C44168"/>
      <c r="E44168"/>
      <c r="F44168"/>
    </row>
    <row r="44169" spans="1:6" x14ac:dyDescent="0.25">
      <c r="A44169"/>
      <c r="B44169"/>
      <c r="C44169"/>
      <c r="E44169"/>
      <c r="F44169"/>
    </row>
    <row r="44170" spans="1:6" x14ac:dyDescent="0.25">
      <c r="A44170"/>
      <c r="B44170"/>
      <c r="C44170"/>
      <c r="E44170"/>
      <c r="F44170"/>
    </row>
    <row r="44171" spans="1:6" x14ac:dyDescent="0.25">
      <c r="A44171"/>
      <c r="B44171"/>
      <c r="C44171"/>
      <c r="E44171"/>
      <c r="F44171"/>
    </row>
    <row r="44172" spans="1:6" x14ac:dyDescent="0.25">
      <c r="A44172"/>
      <c r="B44172"/>
      <c r="C44172"/>
      <c r="E44172"/>
      <c r="F44172"/>
    </row>
    <row r="44173" spans="1:6" x14ac:dyDescent="0.25">
      <c r="A44173"/>
      <c r="B44173"/>
      <c r="C44173"/>
      <c r="E44173"/>
      <c r="F44173"/>
    </row>
    <row r="44174" spans="1:6" x14ac:dyDescent="0.25">
      <c r="A44174"/>
      <c r="B44174"/>
      <c r="C44174"/>
      <c r="E44174"/>
      <c r="F44174"/>
    </row>
    <row r="44175" spans="1:6" x14ac:dyDescent="0.25">
      <c r="A44175"/>
      <c r="B44175"/>
      <c r="C44175"/>
      <c r="E44175"/>
      <c r="F44175"/>
    </row>
    <row r="44176" spans="1:6" x14ac:dyDescent="0.25">
      <c r="A44176"/>
      <c r="B44176"/>
      <c r="C44176"/>
      <c r="E44176"/>
      <c r="F44176"/>
    </row>
    <row r="44177" spans="1:6" x14ac:dyDescent="0.25">
      <c r="A44177"/>
      <c r="B44177"/>
      <c r="C44177"/>
      <c r="E44177"/>
      <c r="F44177"/>
    </row>
    <row r="44178" spans="1:6" x14ac:dyDescent="0.25">
      <c r="A44178"/>
      <c r="B44178"/>
      <c r="C44178"/>
      <c r="E44178"/>
      <c r="F44178"/>
    </row>
    <row r="44179" spans="1:6" x14ac:dyDescent="0.25">
      <c r="A44179"/>
      <c r="B44179"/>
      <c r="C44179"/>
      <c r="E44179"/>
      <c r="F44179"/>
    </row>
    <row r="44180" spans="1:6" x14ac:dyDescent="0.25">
      <c r="A44180"/>
      <c r="B44180"/>
      <c r="C44180"/>
      <c r="E44180"/>
      <c r="F44180"/>
    </row>
    <row r="44181" spans="1:6" x14ac:dyDescent="0.25">
      <c r="A44181"/>
      <c r="B44181"/>
      <c r="C44181"/>
      <c r="E44181"/>
      <c r="F44181"/>
    </row>
    <row r="44182" spans="1:6" x14ac:dyDescent="0.25">
      <c r="A44182"/>
      <c r="B44182"/>
      <c r="C44182"/>
      <c r="E44182"/>
      <c r="F44182"/>
    </row>
    <row r="44183" spans="1:6" x14ac:dyDescent="0.25">
      <c r="A44183"/>
      <c r="B44183"/>
      <c r="C44183"/>
      <c r="E44183"/>
      <c r="F44183"/>
    </row>
    <row r="44184" spans="1:6" x14ac:dyDescent="0.25">
      <c r="A44184"/>
      <c r="B44184"/>
      <c r="C44184"/>
      <c r="E44184"/>
      <c r="F44184"/>
    </row>
    <row r="44185" spans="1:6" x14ac:dyDescent="0.25">
      <c r="A44185"/>
      <c r="B44185"/>
      <c r="C44185"/>
      <c r="E44185"/>
      <c r="F44185"/>
    </row>
    <row r="44186" spans="1:6" x14ac:dyDescent="0.25">
      <c r="A44186"/>
      <c r="B44186"/>
      <c r="C44186"/>
      <c r="E44186"/>
      <c r="F44186"/>
    </row>
    <row r="44187" spans="1:6" x14ac:dyDescent="0.25">
      <c r="A44187"/>
      <c r="B44187"/>
      <c r="C44187"/>
      <c r="E44187"/>
      <c r="F44187"/>
    </row>
    <row r="44188" spans="1:6" x14ac:dyDescent="0.25">
      <c r="A44188"/>
      <c r="B44188"/>
      <c r="C44188"/>
      <c r="E44188"/>
      <c r="F44188"/>
    </row>
    <row r="44189" spans="1:6" x14ac:dyDescent="0.25">
      <c r="A44189"/>
      <c r="B44189"/>
      <c r="C44189"/>
      <c r="E44189"/>
      <c r="F44189"/>
    </row>
    <row r="44190" spans="1:6" x14ac:dyDescent="0.25">
      <c r="A44190"/>
      <c r="B44190"/>
      <c r="C44190"/>
      <c r="E44190"/>
      <c r="F44190"/>
    </row>
    <row r="44191" spans="1:6" x14ac:dyDescent="0.25">
      <c r="A44191"/>
      <c r="B44191"/>
      <c r="C44191"/>
      <c r="E44191"/>
      <c r="F44191"/>
    </row>
    <row r="44192" spans="1:6" x14ac:dyDescent="0.25">
      <c r="A44192"/>
      <c r="B44192"/>
      <c r="C44192"/>
      <c r="E44192"/>
      <c r="F44192"/>
    </row>
    <row r="44193" spans="1:6" x14ac:dyDescent="0.25">
      <c r="A44193"/>
      <c r="B44193"/>
      <c r="C44193"/>
      <c r="E44193"/>
      <c r="F44193"/>
    </row>
    <row r="44194" spans="1:6" x14ac:dyDescent="0.25">
      <c r="A44194"/>
      <c r="B44194"/>
      <c r="C44194"/>
      <c r="E44194"/>
      <c r="F44194"/>
    </row>
    <row r="44195" spans="1:6" x14ac:dyDescent="0.25">
      <c r="A44195"/>
      <c r="B44195"/>
      <c r="C44195"/>
      <c r="E44195"/>
      <c r="F44195"/>
    </row>
    <row r="44196" spans="1:6" x14ac:dyDescent="0.25">
      <c r="A44196"/>
      <c r="B44196"/>
      <c r="C44196"/>
      <c r="E44196"/>
      <c r="F44196"/>
    </row>
    <row r="44197" spans="1:6" x14ac:dyDescent="0.25">
      <c r="A44197"/>
      <c r="B44197"/>
      <c r="C44197"/>
      <c r="E44197"/>
      <c r="F44197"/>
    </row>
    <row r="44198" spans="1:6" x14ac:dyDescent="0.25">
      <c r="A44198"/>
      <c r="B44198"/>
      <c r="C44198"/>
      <c r="E44198"/>
      <c r="F44198"/>
    </row>
    <row r="44199" spans="1:6" x14ac:dyDescent="0.25">
      <c r="A44199"/>
      <c r="B44199"/>
      <c r="C44199"/>
      <c r="E44199"/>
      <c r="F44199"/>
    </row>
    <row r="44200" spans="1:6" x14ac:dyDescent="0.25">
      <c r="A44200"/>
      <c r="B44200"/>
      <c r="C44200"/>
      <c r="E44200"/>
      <c r="F44200"/>
    </row>
    <row r="44201" spans="1:6" x14ac:dyDescent="0.25">
      <c r="A44201"/>
      <c r="B44201"/>
      <c r="C44201"/>
      <c r="E44201"/>
      <c r="F44201"/>
    </row>
    <row r="44202" spans="1:6" x14ac:dyDescent="0.25">
      <c r="A44202"/>
      <c r="B44202"/>
      <c r="C44202"/>
      <c r="E44202"/>
      <c r="F44202"/>
    </row>
    <row r="44203" spans="1:6" x14ac:dyDescent="0.25">
      <c r="A44203"/>
      <c r="B44203"/>
      <c r="C44203"/>
      <c r="E44203"/>
      <c r="F44203"/>
    </row>
    <row r="44204" spans="1:6" x14ac:dyDescent="0.25">
      <c r="A44204"/>
      <c r="B44204"/>
      <c r="C44204"/>
      <c r="E44204"/>
      <c r="F44204"/>
    </row>
    <row r="44205" spans="1:6" x14ac:dyDescent="0.25">
      <c r="A44205"/>
      <c r="B44205"/>
      <c r="C44205"/>
      <c r="E44205"/>
      <c r="F44205"/>
    </row>
    <row r="44206" spans="1:6" x14ac:dyDescent="0.25">
      <c r="A44206"/>
      <c r="B44206"/>
      <c r="C44206"/>
      <c r="E44206"/>
      <c r="F44206"/>
    </row>
    <row r="44207" spans="1:6" x14ac:dyDescent="0.25">
      <c r="A44207"/>
      <c r="B44207"/>
      <c r="C44207"/>
      <c r="E44207"/>
      <c r="F44207"/>
    </row>
    <row r="44208" spans="1:6" x14ac:dyDescent="0.25">
      <c r="A44208"/>
      <c r="B44208"/>
      <c r="C44208"/>
      <c r="E44208"/>
      <c r="F44208"/>
    </row>
    <row r="44209" spans="1:6" x14ac:dyDescent="0.25">
      <c r="A44209"/>
      <c r="B44209"/>
      <c r="C44209"/>
      <c r="E44209"/>
      <c r="F44209"/>
    </row>
    <row r="44210" spans="1:6" x14ac:dyDescent="0.25">
      <c r="A44210"/>
      <c r="B44210"/>
      <c r="C44210"/>
      <c r="E44210"/>
      <c r="F44210"/>
    </row>
    <row r="44211" spans="1:6" x14ac:dyDescent="0.25">
      <c r="A44211"/>
      <c r="B44211"/>
      <c r="C44211"/>
      <c r="E44211"/>
      <c r="F44211"/>
    </row>
    <row r="44212" spans="1:6" x14ac:dyDescent="0.25">
      <c r="A44212"/>
      <c r="B44212"/>
      <c r="C44212"/>
      <c r="E44212"/>
      <c r="F44212"/>
    </row>
    <row r="44213" spans="1:6" x14ac:dyDescent="0.25">
      <c r="A44213"/>
      <c r="B44213"/>
      <c r="C44213"/>
      <c r="E44213"/>
      <c r="F44213"/>
    </row>
    <row r="44214" spans="1:6" x14ac:dyDescent="0.25">
      <c r="A44214"/>
      <c r="B44214"/>
      <c r="C44214"/>
      <c r="E44214"/>
      <c r="F44214"/>
    </row>
    <row r="44215" spans="1:6" x14ac:dyDescent="0.25">
      <c r="A44215"/>
      <c r="B44215"/>
      <c r="C44215"/>
      <c r="E44215"/>
      <c r="F44215"/>
    </row>
    <row r="44216" spans="1:6" x14ac:dyDescent="0.25">
      <c r="A44216"/>
      <c r="B44216"/>
      <c r="C44216"/>
      <c r="E44216"/>
      <c r="F44216"/>
    </row>
    <row r="44217" spans="1:6" x14ac:dyDescent="0.25">
      <c r="A44217"/>
      <c r="B44217"/>
      <c r="C44217"/>
      <c r="E44217"/>
      <c r="F44217"/>
    </row>
    <row r="44218" spans="1:6" x14ac:dyDescent="0.25">
      <c r="A44218"/>
      <c r="B44218"/>
      <c r="C44218"/>
      <c r="E44218"/>
      <c r="F44218"/>
    </row>
    <row r="44219" spans="1:6" x14ac:dyDescent="0.25">
      <c r="A44219"/>
      <c r="B44219"/>
      <c r="C44219"/>
      <c r="E44219"/>
      <c r="F44219"/>
    </row>
    <row r="44220" spans="1:6" x14ac:dyDescent="0.25">
      <c r="A44220"/>
      <c r="B44220"/>
      <c r="C44220"/>
      <c r="E44220"/>
      <c r="F44220"/>
    </row>
    <row r="44221" spans="1:6" x14ac:dyDescent="0.25">
      <c r="A44221"/>
      <c r="B44221"/>
      <c r="C44221"/>
      <c r="E44221"/>
      <c r="F44221"/>
    </row>
    <row r="44222" spans="1:6" x14ac:dyDescent="0.25">
      <c r="A44222"/>
      <c r="B44222"/>
      <c r="C44222"/>
      <c r="E44222"/>
      <c r="F44222"/>
    </row>
    <row r="44223" spans="1:6" x14ac:dyDescent="0.25">
      <c r="A44223"/>
      <c r="B44223"/>
      <c r="C44223"/>
      <c r="E44223"/>
      <c r="F44223"/>
    </row>
    <row r="44224" spans="1:6" x14ac:dyDescent="0.25">
      <c r="A44224"/>
      <c r="B44224"/>
      <c r="C44224"/>
      <c r="E44224"/>
      <c r="F44224"/>
    </row>
    <row r="44225" spans="1:6" x14ac:dyDescent="0.25">
      <c r="A44225"/>
      <c r="B44225"/>
      <c r="C44225"/>
      <c r="E44225"/>
      <c r="F44225"/>
    </row>
    <row r="44226" spans="1:6" x14ac:dyDescent="0.25">
      <c r="A44226"/>
      <c r="B44226"/>
      <c r="C44226"/>
      <c r="E44226"/>
      <c r="F44226"/>
    </row>
    <row r="44227" spans="1:6" x14ac:dyDescent="0.25">
      <c r="A44227"/>
      <c r="B44227"/>
      <c r="C44227"/>
      <c r="E44227"/>
      <c r="F44227"/>
    </row>
    <row r="44228" spans="1:6" x14ac:dyDescent="0.25">
      <c r="A44228"/>
      <c r="B44228"/>
      <c r="C44228"/>
      <c r="E44228"/>
      <c r="F44228"/>
    </row>
    <row r="44229" spans="1:6" x14ac:dyDescent="0.25">
      <c r="A44229"/>
      <c r="B44229"/>
      <c r="C44229"/>
      <c r="E44229"/>
      <c r="F44229"/>
    </row>
    <row r="44230" spans="1:6" x14ac:dyDescent="0.25">
      <c r="A44230"/>
      <c r="B44230"/>
      <c r="C44230"/>
      <c r="E44230"/>
      <c r="F44230"/>
    </row>
    <row r="44231" spans="1:6" x14ac:dyDescent="0.25">
      <c r="A44231"/>
      <c r="B44231"/>
      <c r="C44231"/>
      <c r="E44231"/>
      <c r="F44231"/>
    </row>
    <row r="44232" spans="1:6" x14ac:dyDescent="0.25">
      <c r="A44232"/>
      <c r="B44232"/>
      <c r="C44232"/>
      <c r="E44232"/>
      <c r="F44232"/>
    </row>
    <row r="44233" spans="1:6" x14ac:dyDescent="0.25">
      <c r="A44233"/>
      <c r="B44233"/>
      <c r="C44233"/>
      <c r="E44233"/>
      <c r="F44233"/>
    </row>
    <row r="44234" spans="1:6" x14ac:dyDescent="0.25">
      <c r="A44234"/>
      <c r="B44234"/>
      <c r="C44234"/>
      <c r="E44234"/>
      <c r="F44234"/>
    </row>
    <row r="44235" spans="1:6" x14ac:dyDescent="0.25">
      <c r="A44235"/>
      <c r="B44235"/>
      <c r="C44235"/>
      <c r="E44235"/>
      <c r="F44235"/>
    </row>
    <row r="44236" spans="1:6" x14ac:dyDescent="0.25">
      <c r="A44236"/>
      <c r="B44236"/>
      <c r="C44236"/>
      <c r="E44236"/>
      <c r="F44236"/>
    </row>
    <row r="44237" spans="1:6" x14ac:dyDescent="0.25">
      <c r="A44237"/>
      <c r="B44237"/>
      <c r="C44237"/>
      <c r="E44237"/>
      <c r="F44237"/>
    </row>
    <row r="44238" spans="1:6" x14ac:dyDescent="0.25">
      <c r="A44238"/>
      <c r="B44238"/>
      <c r="C44238"/>
      <c r="E44238"/>
      <c r="F44238"/>
    </row>
    <row r="44239" spans="1:6" x14ac:dyDescent="0.25">
      <c r="A44239"/>
      <c r="B44239"/>
      <c r="C44239"/>
      <c r="E44239"/>
      <c r="F44239"/>
    </row>
    <row r="44240" spans="1:6" x14ac:dyDescent="0.25">
      <c r="A44240"/>
      <c r="B44240"/>
      <c r="C44240"/>
      <c r="E44240"/>
      <c r="F44240"/>
    </row>
    <row r="44241" spans="1:6" x14ac:dyDescent="0.25">
      <c r="A44241"/>
      <c r="B44241"/>
      <c r="C44241"/>
      <c r="E44241"/>
      <c r="F44241"/>
    </row>
    <row r="44242" spans="1:6" x14ac:dyDescent="0.25">
      <c r="A44242"/>
      <c r="B44242"/>
      <c r="C44242"/>
      <c r="E44242"/>
      <c r="F44242"/>
    </row>
    <row r="44243" spans="1:6" x14ac:dyDescent="0.25">
      <c r="A44243"/>
      <c r="B44243"/>
      <c r="C44243"/>
      <c r="E44243"/>
      <c r="F44243"/>
    </row>
    <row r="44244" spans="1:6" x14ac:dyDescent="0.25">
      <c r="A44244"/>
      <c r="B44244"/>
      <c r="C44244"/>
      <c r="E44244"/>
      <c r="F44244"/>
    </row>
    <row r="44245" spans="1:6" x14ac:dyDescent="0.25">
      <c r="A44245"/>
      <c r="B44245"/>
      <c r="C44245"/>
      <c r="E44245"/>
      <c r="F44245"/>
    </row>
    <row r="44246" spans="1:6" x14ac:dyDescent="0.25">
      <c r="A44246"/>
      <c r="B44246"/>
      <c r="C44246"/>
      <c r="E44246"/>
      <c r="F44246"/>
    </row>
    <row r="44247" spans="1:6" x14ac:dyDescent="0.25">
      <c r="A44247"/>
      <c r="B44247"/>
      <c r="C44247"/>
      <c r="E44247"/>
      <c r="F44247"/>
    </row>
    <row r="44248" spans="1:6" x14ac:dyDescent="0.25">
      <c r="A44248"/>
      <c r="B44248"/>
      <c r="C44248"/>
      <c r="E44248"/>
      <c r="F44248"/>
    </row>
    <row r="44249" spans="1:6" x14ac:dyDescent="0.25">
      <c r="A44249"/>
      <c r="B44249"/>
      <c r="C44249"/>
      <c r="E44249"/>
      <c r="F44249"/>
    </row>
    <row r="44250" spans="1:6" x14ac:dyDescent="0.25">
      <c r="A44250"/>
      <c r="B44250"/>
      <c r="C44250"/>
      <c r="E44250"/>
      <c r="F44250"/>
    </row>
    <row r="44251" spans="1:6" x14ac:dyDescent="0.25">
      <c r="A44251"/>
      <c r="B44251"/>
      <c r="C44251"/>
      <c r="E44251"/>
      <c r="F44251"/>
    </row>
    <row r="44252" spans="1:6" x14ac:dyDescent="0.25">
      <c r="A44252"/>
      <c r="B44252"/>
      <c r="C44252"/>
      <c r="E44252"/>
      <c r="F44252"/>
    </row>
    <row r="44253" spans="1:6" x14ac:dyDescent="0.25">
      <c r="A44253"/>
      <c r="B44253"/>
      <c r="C44253"/>
      <c r="E44253"/>
      <c r="F44253"/>
    </row>
    <row r="44254" spans="1:6" x14ac:dyDescent="0.25">
      <c r="A44254"/>
      <c r="B44254"/>
      <c r="C44254"/>
      <c r="E44254"/>
      <c r="F44254"/>
    </row>
    <row r="44255" spans="1:6" x14ac:dyDescent="0.25">
      <c r="A44255"/>
      <c r="B44255"/>
      <c r="C44255"/>
      <c r="E44255"/>
      <c r="F44255"/>
    </row>
    <row r="44256" spans="1:6" x14ac:dyDescent="0.25">
      <c r="A44256"/>
      <c r="B44256"/>
      <c r="C44256"/>
      <c r="E44256"/>
      <c r="F44256"/>
    </row>
    <row r="44257" spans="1:6" x14ac:dyDescent="0.25">
      <c r="A44257"/>
      <c r="B44257"/>
      <c r="C44257"/>
      <c r="E44257"/>
      <c r="F44257"/>
    </row>
    <row r="44258" spans="1:6" x14ac:dyDescent="0.25">
      <c r="A44258"/>
      <c r="B44258"/>
      <c r="C44258"/>
      <c r="E44258"/>
      <c r="F44258"/>
    </row>
    <row r="44259" spans="1:6" x14ac:dyDescent="0.25">
      <c r="A44259"/>
      <c r="B44259"/>
      <c r="C44259"/>
      <c r="E44259"/>
      <c r="F44259"/>
    </row>
    <row r="44260" spans="1:6" x14ac:dyDescent="0.25">
      <c r="A44260"/>
      <c r="B44260"/>
      <c r="C44260"/>
      <c r="E44260"/>
      <c r="F44260"/>
    </row>
    <row r="44261" spans="1:6" x14ac:dyDescent="0.25">
      <c r="A44261"/>
      <c r="B44261"/>
      <c r="C44261"/>
      <c r="E44261"/>
      <c r="F44261"/>
    </row>
    <row r="44262" spans="1:6" x14ac:dyDescent="0.25">
      <c r="A44262"/>
      <c r="B44262"/>
      <c r="C44262"/>
      <c r="E44262"/>
      <c r="F44262"/>
    </row>
    <row r="44263" spans="1:6" x14ac:dyDescent="0.25">
      <c r="A44263"/>
      <c r="B44263"/>
      <c r="C44263"/>
      <c r="E44263"/>
      <c r="F44263"/>
    </row>
    <row r="44264" spans="1:6" x14ac:dyDescent="0.25">
      <c r="A44264"/>
      <c r="B44264"/>
      <c r="C44264"/>
      <c r="E44264"/>
      <c r="F44264"/>
    </row>
    <row r="44265" spans="1:6" x14ac:dyDescent="0.25">
      <c r="A44265"/>
      <c r="B44265"/>
      <c r="C44265"/>
      <c r="E44265"/>
      <c r="F44265"/>
    </row>
    <row r="44266" spans="1:6" x14ac:dyDescent="0.25">
      <c r="A44266"/>
      <c r="B44266"/>
      <c r="C44266"/>
      <c r="E44266"/>
      <c r="F44266"/>
    </row>
    <row r="44267" spans="1:6" x14ac:dyDescent="0.25">
      <c r="A44267"/>
      <c r="B44267"/>
      <c r="C44267"/>
      <c r="E44267"/>
      <c r="F44267"/>
    </row>
    <row r="44268" spans="1:6" x14ac:dyDescent="0.25">
      <c r="A44268"/>
      <c r="B44268"/>
      <c r="C44268"/>
      <c r="E44268"/>
      <c r="F44268"/>
    </row>
    <row r="44269" spans="1:6" x14ac:dyDescent="0.25">
      <c r="A44269"/>
      <c r="B44269"/>
      <c r="C44269"/>
      <c r="E44269"/>
      <c r="F44269"/>
    </row>
    <row r="44270" spans="1:6" x14ac:dyDescent="0.25">
      <c r="A44270"/>
      <c r="B44270"/>
      <c r="C44270"/>
      <c r="E44270"/>
      <c r="F44270"/>
    </row>
    <row r="44271" spans="1:6" x14ac:dyDescent="0.25">
      <c r="A44271"/>
      <c r="B44271"/>
      <c r="C44271"/>
      <c r="E44271"/>
      <c r="F44271"/>
    </row>
    <row r="44272" spans="1:6" x14ac:dyDescent="0.25">
      <c r="A44272"/>
      <c r="B44272"/>
      <c r="C44272"/>
      <c r="E44272"/>
      <c r="F44272"/>
    </row>
    <row r="44273" spans="1:6" x14ac:dyDescent="0.25">
      <c r="A44273"/>
      <c r="B44273"/>
      <c r="C44273"/>
      <c r="E44273"/>
      <c r="F44273"/>
    </row>
    <row r="44274" spans="1:6" x14ac:dyDescent="0.25">
      <c r="A44274"/>
      <c r="B44274"/>
      <c r="C44274"/>
      <c r="E44274"/>
      <c r="F44274"/>
    </row>
    <row r="44275" spans="1:6" x14ac:dyDescent="0.25">
      <c r="A44275"/>
      <c r="B44275"/>
      <c r="C44275"/>
      <c r="E44275"/>
      <c r="F44275"/>
    </row>
    <row r="44276" spans="1:6" x14ac:dyDescent="0.25">
      <c r="A44276"/>
      <c r="B44276"/>
      <c r="C44276"/>
      <c r="E44276"/>
      <c r="F44276"/>
    </row>
    <row r="44277" spans="1:6" x14ac:dyDescent="0.25">
      <c r="A44277"/>
      <c r="B44277"/>
      <c r="C44277"/>
      <c r="E44277"/>
      <c r="F44277"/>
    </row>
    <row r="44278" spans="1:6" x14ac:dyDescent="0.25">
      <c r="A44278"/>
      <c r="B44278"/>
      <c r="C44278"/>
      <c r="E44278"/>
      <c r="F44278"/>
    </row>
    <row r="44279" spans="1:6" x14ac:dyDescent="0.25">
      <c r="A44279"/>
      <c r="B44279"/>
      <c r="C44279"/>
      <c r="E44279"/>
      <c r="F44279"/>
    </row>
    <row r="44280" spans="1:6" x14ac:dyDescent="0.25">
      <c r="A44280"/>
      <c r="B44280"/>
      <c r="C44280"/>
      <c r="E44280"/>
      <c r="F44280"/>
    </row>
    <row r="44281" spans="1:6" x14ac:dyDescent="0.25">
      <c r="A44281"/>
      <c r="B44281"/>
      <c r="C44281"/>
      <c r="E44281"/>
      <c r="F44281"/>
    </row>
    <row r="44282" spans="1:6" x14ac:dyDescent="0.25">
      <c r="A44282"/>
      <c r="B44282"/>
      <c r="C44282"/>
      <c r="E44282"/>
      <c r="F44282"/>
    </row>
    <row r="44283" spans="1:6" x14ac:dyDescent="0.25">
      <c r="A44283"/>
      <c r="B44283"/>
      <c r="C44283"/>
      <c r="E44283"/>
      <c r="F44283"/>
    </row>
    <row r="44284" spans="1:6" x14ac:dyDescent="0.25">
      <c r="A44284"/>
      <c r="B44284"/>
      <c r="C44284"/>
      <c r="E44284"/>
      <c r="F44284"/>
    </row>
    <row r="44285" spans="1:6" x14ac:dyDescent="0.25">
      <c r="A44285"/>
      <c r="B44285"/>
      <c r="C44285"/>
      <c r="E44285"/>
      <c r="F44285"/>
    </row>
    <row r="44286" spans="1:6" x14ac:dyDescent="0.25">
      <c r="A44286"/>
      <c r="B44286"/>
      <c r="C44286"/>
      <c r="E44286"/>
      <c r="F44286"/>
    </row>
    <row r="44287" spans="1:6" x14ac:dyDescent="0.25">
      <c r="A44287"/>
      <c r="B44287"/>
      <c r="C44287"/>
      <c r="E44287"/>
      <c r="F44287"/>
    </row>
    <row r="44288" spans="1:6" x14ac:dyDescent="0.25">
      <c r="A44288"/>
      <c r="B44288"/>
      <c r="C44288"/>
      <c r="E44288"/>
      <c r="F44288"/>
    </row>
    <row r="44289" spans="1:6" x14ac:dyDescent="0.25">
      <c r="A44289"/>
      <c r="B44289"/>
      <c r="C44289"/>
      <c r="E44289"/>
      <c r="F44289"/>
    </row>
    <row r="44290" spans="1:6" x14ac:dyDescent="0.25">
      <c r="A44290"/>
      <c r="B44290"/>
      <c r="C44290"/>
      <c r="E44290"/>
      <c r="F44290"/>
    </row>
    <row r="44291" spans="1:6" x14ac:dyDescent="0.25">
      <c r="A44291"/>
      <c r="B44291"/>
      <c r="C44291"/>
      <c r="E44291"/>
      <c r="F44291"/>
    </row>
    <row r="44292" spans="1:6" x14ac:dyDescent="0.25">
      <c r="A44292"/>
      <c r="B44292"/>
      <c r="C44292"/>
      <c r="E44292"/>
      <c r="F44292"/>
    </row>
    <row r="44293" spans="1:6" x14ac:dyDescent="0.25">
      <c r="A44293"/>
      <c r="B44293"/>
      <c r="C44293"/>
      <c r="E44293"/>
      <c r="F44293"/>
    </row>
    <row r="44294" spans="1:6" x14ac:dyDescent="0.25">
      <c r="A44294"/>
      <c r="B44294"/>
      <c r="C44294"/>
      <c r="E44294"/>
      <c r="F44294"/>
    </row>
    <row r="44295" spans="1:6" x14ac:dyDescent="0.25">
      <c r="A44295"/>
      <c r="B44295"/>
      <c r="C44295"/>
      <c r="E44295"/>
      <c r="F44295"/>
    </row>
    <row r="44296" spans="1:6" x14ac:dyDescent="0.25">
      <c r="A44296"/>
      <c r="B44296"/>
      <c r="C44296"/>
      <c r="E44296"/>
      <c r="F44296"/>
    </row>
    <row r="44297" spans="1:6" x14ac:dyDescent="0.25">
      <c r="A44297"/>
      <c r="B44297"/>
      <c r="C44297"/>
      <c r="E44297"/>
      <c r="F44297"/>
    </row>
    <row r="44298" spans="1:6" x14ac:dyDescent="0.25">
      <c r="A44298"/>
      <c r="B44298"/>
      <c r="C44298"/>
      <c r="E44298"/>
      <c r="F44298"/>
    </row>
    <row r="44299" spans="1:6" x14ac:dyDescent="0.25">
      <c r="A44299"/>
      <c r="B44299"/>
      <c r="C44299"/>
      <c r="E44299"/>
      <c r="F44299"/>
    </row>
    <row r="44300" spans="1:6" x14ac:dyDescent="0.25">
      <c r="A44300"/>
      <c r="B44300"/>
      <c r="C44300"/>
      <c r="E44300"/>
      <c r="F44300"/>
    </row>
    <row r="44301" spans="1:6" x14ac:dyDescent="0.25">
      <c r="A44301"/>
      <c r="B44301"/>
      <c r="C44301"/>
      <c r="E44301"/>
      <c r="F44301"/>
    </row>
    <row r="44302" spans="1:6" x14ac:dyDescent="0.25">
      <c r="A44302"/>
      <c r="B44302"/>
      <c r="C44302"/>
      <c r="E44302"/>
      <c r="F44302"/>
    </row>
    <row r="44303" spans="1:6" x14ac:dyDescent="0.25">
      <c r="A44303"/>
      <c r="B44303"/>
      <c r="C44303"/>
      <c r="E44303"/>
      <c r="F44303"/>
    </row>
    <row r="44304" spans="1:6" x14ac:dyDescent="0.25">
      <c r="A44304"/>
      <c r="B44304"/>
      <c r="C44304"/>
      <c r="E44304"/>
      <c r="F44304"/>
    </row>
    <row r="44305" spans="1:6" x14ac:dyDescent="0.25">
      <c r="A44305"/>
      <c r="B44305"/>
      <c r="C44305"/>
      <c r="E44305"/>
      <c r="F44305"/>
    </row>
    <row r="44306" spans="1:6" x14ac:dyDescent="0.25">
      <c r="A44306"/>
      <c r="B44306"/>
      <c r="C44306"/>
      <c r="E44306"/>
      <c r="F44306"/>
    </row>
    <row r="44307" spans="1:6" x14ac:dyDescent="0.25">
      <c r="A44307"/>
      <c r="B44307"/>
      <c r="C44307"/>
      <c r="E44307"/>
      <c r="F44307"/>
    </row>
    <row r="44308" spans="1:6" x14ac:dyDescent="0.25">
      <c r="A44308"/>
      <c r="B44308"/>
      <c r="C44308"/>
      <c r="E44308"/>
      <c r="F44308"/>
    </row>
    <row r="44309" spans="1:6" x14ac:dyDescent="0.25">
      <c r="A44309"/>
      <c r="B44309"/>
      <c r="C44309"/>
      <c r="E44309"/>
      <c r="F44309"/>
    </row>
    <row r="44310" spans="1:6" x14ac:dyDescent="0.25">
      <c r="A44310"/>
      <c r="B44310"/>
      <c r="C44310"/>
      <c r="E44310"/>
      <c r="F44310"/>
    </row>
    <row r="44311" spans="1:6" x14ac:dyDescent="0.25">
      <c r="A44311"/>
      <c r="B44311"/>
      <c r="C44311"/>
      <c r="E44311"/>
      <c r="F44311"/>
    </row>
    <row r="44312" spans="1:6" x14ac:dyDescent="0.25">
      <c r="A44312"/>
      <c r="B44312"/>
      <c r="C44312"/>
      <c r="E44312"/>
      <c r="F44312"/>
    </row>
    <row r="44313" spans="1:6" x14ac:dyDescent="0.25">
      <c r="A44313"/>
      <c r="B44313"/>
      <c r="C44313"/>
      <c r="E44313"/>
      <c r="F44313"/>
    </row>
    <row r="44314" spans="1:6" x14ac:dyDescent="0.25">
      <c r="A44314"/>
      <c r="B44314"/>
      <c r="C44314"/>
      <c r="E44314"/>
      <c r="F44314"/>
    </row>
    <row r="44315" spans="1:6" x14ac:dyDescent="0.25">
      <c r="A44315"/>
      <c r="B44315"/>
      <c r="C44315"/>
      <c r="E44315"/>
      <c r="F44315"/>
    </row>
    <row r="44316" spans="1:6" x14ac:dyDescent="0.25">
      <c r="A44316"/>
      <c r="B44316"/>
      <c r="C44316"/>
      <c r="E44316"/>
      <c r="F44316"/>
    </row>
    <row r="44317" spans="1:6" x14ac:dyDescent="0.25">
      <c r="A44317"/>
      <c r="B44317"/>
      <c r="C44317"/>
      <c r="E44317"/>
      <c r="F44317"/>
    </row>
    <row r="44318" spans="1:6" x14ac:dyDescent="0.25">
      <c r="A44318"/>
      <c r="B44318"/>
      <c r="C44318"/>
      <c r="E44318"/>
      <c r="F44318"/>
    </row>
    <row r="44319" spans="1:6" x14ac:dyDescent="0.25">
      <c r="A44319"/>
      <c r="B44319"/>
      <c r="C44319"/>
      <c r="E44319"/>
      <c r="F44319"/>
    </row>
    <row r="44320" spans="1:6" x14ac:dyDescent="0.25">
      <c r="A44320"/>
      <c r="B44320"/>
      <c r="C44320"/>
      <c r="E44320"/>
      <c r="F44320"/>
    </row>
    <row r="44321" spans="1:6" x14ac:dyDescent="0.25">
      <c r="A44321"/>
      <c r="B44321"/>
      <c r="C44321"/>
      <c r="E44321"/>
      <c r="F44321"/>
    </row>
    <row r="44322" spans="1:6" x14ac:dyDescent="0.25">
      <c r="A44322"/>
      <c r="B44322"/>
      <c r="C44322"/>
      <c r="E44322"/>
      <c r="F44322"/>
    </row>
    <row r="44323" spans="1:6" x14ac:dyDescent="0.25">
      <c r="A44323"/>
      <c r="B44323"/>
      <c r="C44323"/>
      <c r="E44323"/>
      <c r="F44323"/>
    </row>
    <row r="44324" spans="1:6" x14ac:dyDescent="0.25">
      <c r="A44324"/>
      <c r="B44324"/>
      <c r="C44324"/>
      <c r="E44324"/>
      <c r="F44324"/>
    </row>
    <row r="44325" spans="1:6" x14ac:dyDescent="0.25">
      <c r="A44325"/>
      <c r="B44325"/>
      <c r="C44325"/>
      <c r="E44325"/>
      <c r="F44325"/>
    </row>
    <row r="44326" spans="1:6" x14ac:dyDescent="0.25">
      <c r="A44326"/>
      <c r="B44326"/>
      <c r="C44326"/>
      <c r="E44326"/>
      <c r="F44326"/>
    </row>
    <row r="44327" spans="1:6" x14ac:dyDescent="0.25">
      <c r="A44327"/>
      <c r="B44327"/>
      <c r="C44327"/>
      <c r="E44327"/>
      <c r="F44327"/>
    </row>
    <row r="44328" spans="1:6" x14ac:dyDescent="0.25">
      <c r="A44328"/>
      <c r="B44328"/>
      <c r="C44328"/>
      <c r="E44328"/>
      <c r="F44328"/>
    </row>
    <row r="44329" spans="1:6" x14ac:dyDescent="0.25">
      <c r="A44329"/>
      <c r="B44329"/>
      <c r="C44329"/>
      <c r="E44329"/>
      <c r="F44329"/>
    </row>
    <row r="44330" spans="1:6" x14ac:dyDescent="0.25">
      <c r="A44330"/>
      <c r="B44330"/>
      <c r="C44330"/>
      <c r="E44330"/>
      <c r="F44330"/>
    </row>
    <row r="44331" spans="1:6" x14ac:dyDescent="0.25">
      <c r="A44331"/>
      <c r="B44331"/>
      <c r="C44331"/>
      <c r="E44331"/>
      <c r="F44331"/>
    </row>
    <row r="44332" spans="1:6" x14ac:dyDescent="0.25">
      <c r="A44332"/>
      <c r="B44332"/>
      <c r="C44332"/>
      <c r="E44332"/>
      <c r="F44332"/>
    </row>
    <row r="44333" spans="1:6" x14ac:dyDescent="0.25">
      <c r="A44333"/>
      <c r="B44333"/>
      <c r="C44333"/>
      <c r="E44333"/>
      <c r="F44333"/>
    </row>
    <row r="44334" spans="1:6" x14ac:dyDescent="0.25">
      <c r="A44334"/>
      <c r="B44334"/>
      <c r="C44334"/>
      <c r="E44334"/>
      <c r="F44334"/>
    </row>
    <row r="44335" spans="1:6" x14ac:dyDescent="0.25">
      <c r="A44335"/>
      <c r="B44335"/>
      <c r="C44335"/>
      <c r="E44335"/>
      <c r="F44335"/>
    </row>
    <row r="44336" spans="1:6" x14ac:dyDescent="0.25">
      <c r="A44336"/>
      <c r="B44336"/>
      <c r="C44336"/>
      <c r="E44336"/>
      <c r="F44336"/>
    </row>
    <row r="44337" spans="1:6" x14ac:dyDescent="0.25">
      <c r="A44337"/>
      <c r="B44337"/>
      <c r="C44337"/>
      <c r="E44337"/>
      <c r="F44337"/>
    </row>
    <row r="44338" spans="1:6" x14ac:dyDescent="0.25">
      <c r="A44338"/>
      <c r="B44338"/>
      <c r="C44338"/>
      <c r="E44338"/>
      <c r="F44338"/>
    </row>
    <row r="44339" spans="1:6" x14ac:dyDescent="0.25">
      <c r="A44339"/>
      <c r="B44339"/>
      <c r="C44339"/>
      <c r="E44339"/>
      <c r="F44339"/>
    </row>
    <row r="44340" spans="1:6" x14ac:dyDescent="0.25">
      <c r="A44340"/>
      <c r="B44340"/>
      <c r="C44340"/>
      <c r="E44340"/>
      <c r="F44340"/>
    </row>
    <row r="44341" spans="1:6" x14ac:dyDescent="0.25">
      <c r="A44341"/>
      <c r="B44341"/>
      <c r="C44341"/>
      <c r="E44341"/>
      <c r="F44341"/>
    </row>
    <row r="44342" spans="1:6" x14ac:dyDescent="0.25">
      <c r="A44342"/>
      <c r="B44342"/>
      <c r="C44342"/>
      <c r="E44342"/>
      <c r="F44342"/>
    </row>
    <row r="44343" spans="1:6" x14ac:dyDescent="0.25">
      <c r="A44343"/>
      <c r="B44343"/>
      <c r="C44343"/>
      <c r="E44343"/>
      <c r="F44343"/>
    </row>
    <row r="44344" spans="1:6" x14ac:dyDescent="0.25">
      <c r="A44344"/>
      <c r="B44344"/>
      <c r="C44344"/>
      <c r="E44344"/>
      <c r="F44344"/>
    </row>
    <row r="44345" spans="1:6" x14ac:dyDescent="0.25">
      <c r="A44345"/>
      <c r="B44345"/>
      <c r="C44345"/>
      <c r="E44345"/>
      <c r="F44345"/>
    </row>
    <row r="44346" spans="1:6" x14ac:dyDescent="0.25">
      <c r="A44346"/>
      <c r="B44346"/>
      <c r="C44346"/>
      <c r="E44346"/>
      <c r="F44346"/>
    </row>
    <row r="44347" spans="1:6" x14ac:dyDescent="0.25">
      <c r="A44347"/>
      <c r="B44347"/>
      <c r="C44347"/>
      <c r="E44347"/>
      <c r="F44347"/>
    </row>
    <row r="44348" spans="1:6" x14ac:dyDescent="0.25">
      <c r="A44348"/>
      <c r="B44348"/>
      <c r="C44348"/>
      <c r="E44348"/>
      <c r="F44348"/>
    </row>
    <row r="44349" spans="1:6" x14ac:dyDescent="0.25">
      <c r="A44349"/>
      <c r="B44349"/>
      <c r="C44349"/>
      <c r="E44349"/>
      <c r="F44349"/>
    </row>
    <row r="44350" spans="1:6" x14ac:dyDescent="0.25">
      <c r="A44350"/>
      <c r="B44350"/>
      <c r="C44350"/>
      <c r="E44350"/>
      <c r="F44350"/>
    </row>
    <row r="44351" spans="1:6" x14ac:dyDescent="0.25">
      <c r="A44351"/>
      <c r="B44351"/>
      <c r="C44351"/>
      <c r="E44351"/>
      <c r="F44351"/>
    </row>
    <row r="44352" spans="1:6" x14ac:dyDescent="0.25">
      <c r="A44352"/>
      <c r="B44352"/>
      <c r="C44352"/>
      <c r="E44352"/>
      <c r="F44352"/>
    </row>
    <row r="44353" spans="1:6" x14ac:dyDescent="0.25">
      <c r="A44353"/>
      <c r="B44353"/>
      <c r="C44353"/>
      <c r="E44353"/>
      <c r="F44353"/>
    </row>
    <row r="44354" spans="1:6" x14ac:dyDescent="0.25">
      <c r="A44354"/>
      <c r="B44354"/>
      <c r="C44354"/>
      <c r="E44354"/>
      <c r="F44354"/>
    </row>
    <row r="44355" spans="1:6" x14ac:dyDescent="0.25">
      <c r="A44355"/>
      <c r="B44355"/>
      <c r="C44355"/>
      <c r="E44355"/>
      <c r="F44355"/>
    </row>
    <row r="44356" spans="1:6" x14ac:dyDescent="0.25">
      <c r="A44356"/>
      <c r="B44356"/>
      <c r="C44356"/>
      <c r="E44356"/>
      <c r="F44356"/>
    </row>
    <row r="44357" spans="1:6" x14ac:dyDescent="0.25">
      <c r="A44357"/>
      <c r="B44357"/>
      <c r="C44357"/>
      <c r="E44357"/>
      <c r="F44357"/>
    </row>
    <row r="44358" spans="1:6" x14ac:dyDescent="0.25">
      <c r="A44358"/>
      <c r="B44358"/>
      <c r="C44358"/>
      <c r="E44358"/>
      <c r="F44358"/>
    </row>
    <row r="44359" spans="1:6" x14ac:dyDescent="0.25">
      <c r="A44359"/>
      <c r="B44359"/>
      <c r="C44359"/>
      <c r="E44359"/>
      <c r="F44359"/>
    </row>
    <row r="44360" spans="1:6" x14ac:dyDescent="0.25">
      <c r="A44360"/>
      <c r="B44360"/>
      <c r="C44360"/>
      <c r="E44360"/>
      <c r="F44360"/>
    </row>
    <row r="44361" spans="1:6" x14ac:dyDescent="0.25">
      <c r="A44361"/>
      <c r="B44361"/>
      <c r="C44361"/>
      <c r="E44361"/>
      <c r="F44361"/>
    </row>
    <row r="44362" spans="1:6" x14ac:dyDescent="0.25">
      <c r="A44362"/>
      <c r="B44362"/>
      <c r="C44362"/>
      <c r="E44362"/>
      <c r="F44362"/>
    </row>
    <row r="44363" spans="1:6" x14ac:dyDescent="0.25">
      <c r="A44363"/>
      <c r="B44363"/>
      <c r="C44363"/>
      <c r="E44363"/>
      <c r="F44363"/>
    </row>
    <row r="44364" spans="1:6" x14ac:dyDescent="0.25">
      <c r="A44364"/>
      <c r="B44364"/>
      <c r="C44364"/>
      <c r="E44364"/>
      <c r="F44364"/>
    </row>
    <row r="44365" spans="1:6" x14ac:dyDescent="0.25">
      <c r="A44365"/>
      <c r="B44365"/>
      <c r="C44365"/>
      <c r="E44365"/>
      <c r="F44365"/>
    </row>
    <row r="44366" spans="1:6" x14ac:dyDescent="0.25">
      <c r="A44366"/>
      <c r="B44366"/>
      <c r="C44366"/>
      <c r="E44366"/>
      <c r="F44366"/>
    </row>
    <row r="44367" spans="1:6" x14ac:dyDescent="0.25">
      <c r="A44367"/>
      <c r="B44367"/>
      <c r="C44367"/>
      <c r="E44367"/>
      <c r="F44367"/>
    </row>
    <row r="44368" spans="1:6" x14ac:dyDescent="0.25">
      <c r="A44368"/>
      <c r="B44368"/>
      <c r="C44368"/>
      <c r="E44368"/>
      <c r="F44368"/>
    </row>
    <row r="44369" spans="1:6" x14ac:dyDescent="0.25">
      <c r="A44369"/>
      <c r="B44369"/>
      <c r="C44369"/>
      <c r="E44369"/>
      <c r="F44369"/>
    </row>
    <row r="44370" spans="1:6" x14ac:dyDescent="0.25">
      <c r="A44370"/>
      <c r="B44370"/>
      <c r="C44370"/>
      <c r="E44370"/>
      <c r="F44370"/>
    </row>
    <row r="44371" spans="1:6" x14ac:dyDescent="0.25">
      <c r="A44371"/>
      <c r="B44371"/>
      <c r="C44371"/>
      <c r="E44371"/>
      <c r="F44371"/>
    </row>
    <row r="44372" spans="1:6" x14ac:dyDescent="0.25">
      <c r="A44372"/>
      <c r="B44372"/>
      <c r="C44372"/>
      <c r="E44372"/>
      <c r="F44372"/>
    </row>
    <row r="44373" spans="1:6" x14ac:dyDescent="0.25">
      <c r="A44373"/>
      <c r="B44373"/>
      <c r="C44373"/>
      <c r="E44373"/>
      <c r="F44373"/>
    </row>
    <row r="44374" spans="1:6" x14ac:dyDescent="0.25">
      <c r="A44374"/>
      <c r="B44374"/>
      <c r="C44374"/>
      <c r="E44374"/>
      <c r="F44374"/>
    </row>
    <row r="44375" spans="1:6" x14ac:dyDescent="0.25">
      <c r="A44375"/>
      <c r="B44375"/>
      <c r="C44375"/>
      <c r="E44375"/>
      <c r="F44375"/>
    </row>
    <row r="44376" spans="1:6" x14ac:dyDescent="0.25">
      <c r="A44376"/>
      <c r="B44376"/>
      <c r="C44376"/>
      <c r="E44376"/>
      <c r="F44376"/>
    </row>
    <row r="44377" spans="1:6" x14ac:dyDescent="0.25">
      <c r="A44377"/>
      <c r="B44377"/>
      <c r="C44377"/>
      <c r="E44377"/>
      <c r="F44377"/>
    </row>
    <row r="44378" spans="1:6" x14ac:dyDescent="0.25">
      <c r="A44378"/>
      <c r="B44378"/>
      <c r="C44378"/>
      <c r="E44378"/>
      <c r="F44378"/>
    </row>
    <row r="44379" spans="1:6" x14ac:dyDescent="0.25">
      <c r="A44379"/>
      <c r="B44379"/>
      <c r="C44379"/>
      <c r="E44379"/>
      <c r="F44379"/>
    </row>
    <row r="44380" spans="1:6" x14ac:dyDescent="0.25">
      <c r="A44380"/>
      <c r="B44380"/>
      <c r="C44380"/>
      <c r="E44380"/>
      <c r="F44380"/>
    </row>
    <row r="44381" spans="1:6" x14ac:dyDescent="0.25">
      <c r="A44381"/>
      <c r="B44381"/>
      <c r="C44381"/>
      <c r="E44381"/>
      <c r="F44381"/>
    </row>
    <row r="44382" spans="1:6" x14ac:dyDescent="0.25">
      <c r="A44382"/>
      <c r="B44382"/>
      <c r="C44382"/>
      <c r="E44382"/>
      <c r="F44382"/>
    </row>
    <row r="44383" spans="1:6" x14ac:dyDescent="0.25">
      <c r="A44383"/>
      <c r="B44383"/>
      <c r="C44383"/>
      <c r="E44383"/>
      <c r="F44383"/>
    </row>
    <row r="44384" spans="1:6" x14ac:dyDescent="0.25">
      <c r="A44384"/>
      <c r="B44384"/>
      <c r="C44384"/>
      <c r="E44384"/>
      <c r="F44384"/>
    </row>
    <row r="44385" spans="1:6" x14ac:dyDescent="0.25">
      <c r="A44385"/>
      <c r="B44385"/>
      <c r="C44385"/>
      <c r="E44385"/>
      <c r="F44385"/>
    </row>
    <row r="44386" spans="1:6" x14ac:dyDescent="0.25">
      <c r="A44386"/>
      <c r="B44386"/>
      <c r="C44386"/>
      <c r="E44386"/>
      <c r="F44386"/>
    </row>
    <row r="44387" spans="1:6" x14ac:dyDescent="0.25">
      <c r="A44387"/>
      <c r="B44387"/>
      <c r="C44387"/>
      <c r="E44387"/>
      <c r="F44387"/>
    </row>
    <row r="44388" spans="1:6" x14ac:dyDescent="0.25">
      <c r="A44388"/>
      <c r="B44388"/>
      <c r="C44388"/>
      <c r="E44388"/>
      <c r="F44388"/>
    </row>
    <row r="44389" spans="1:6" x14ac:dyDescent="0.25">
      <c r="A44389"/>
      <c r="B44389"/>
      <c r="C44389"/>
      <c r="E44389"/>
      <c r="F44389"/>
    </row>
    <row r="44390" spans="1:6" x14ac:dyDescent="0.25">
      <c r="A44390"/>
      <c r="B44390"/>
      <c r="C44390"/>
      <c r="E44390"/>
      <c r="F44390"/>
    </row>
    <row r="44391" spans="1:6" x14ac:dyDescent="0.25">
      <c r="A44391"/>
      <c r="B44391"/>
      <c r="C44391"/>
      <c r="E44391"/>
      <c r="F44391"/>
    </row>
    <row r="44392" spans="1:6" x14ac:dyDescent="0.25">
      <c r="A44392"/>
      <c r="B44392"/>
      <c r="C44392"/>
      <c r="E44392"/>
      <c r="F44392"/>
    </row>
    <row r="44393" spans="1:6" x14ac:dyDescent="0.25">
      <c r="A44393"/>
      <c r="B44393"/>
      <c r="C44393"/>
      <c r="E44393"/>
      <c r="F44393"/>
    </row>
    <row r="44394" spans="1:6" x14ac:dyDescent="0.25">
      <c r="A44394"/>
      <c r="B44394"/>
      <c r="C44394"/>
      <c r="E44394"/>
      <c r="F44394"/>
    </row>
    <row r="44395" spans="1:6" x14ac:dyDescent="0.25">
      <c r="A44395"/>
      <c r="B44395"/>
      <c r="C44395"/>
      <c r="E44395"/>
      <c r="F44395"/>
    </row>
    <row r="44396" spans="1:6" x14ac:dyDescent="0.25">
      <c r="A44396"/>
      <c r="B44396"/>
      <c r="C44396"/>
      <c r="E44396"/>
      <c r="F44396"/>
    </row>
    <row r="44397" spans="1:6" x14ac:dyDescent="0.25">
      <c r="A44397"/>
      <c r="B44397"/>
      <c r="C44397"/>
      <c r="E44397"/>
      <c r="F44397"/>
    </row>
    <row r="44398" spans="1:6" x14ac:dyDescent="0.25">
      <c r="A44398"/>
      <c r="B44398"/>
      <c r="C44398"/>
      <c r="E44398"/>
      <c r="F44398"/>
    </row>
    <row r="44399" spans="1:6" x14ac:dyDescent="0.25">
      <c r="A44399"/>
      <c r="B44399"/>
      <c r="C44399"/>
      <c r="E44399"/>
      <c r="F44399"/>
    </row>
    <row r="44400" spans="1:6" x14ac:dyDescent="0.25">
      <c r="A44400"/>
      <c r="B44400"/>
      <c r="C44400"/>
      <c r="E44400"/>
      <c r="F44400"/>
    </row>
    <row r="44401" spans="1:6" x14ac:dyDescent="0.25">
      <c r="A44401"/>
      <c r="B44401"/>
      <c r="C44401"/>
      <c r="E44401"/>
      <c r="F44401"/>
    </row>
    <row r="44402" spans="1:6" x14ac:dyDescent="0.25">
      <c r="A44402"/>
      <c r="B44402"/>
      <c r="C44402"/>
      <c r="E44402"/>
      <c r="F44402"/>
    </row>
    <row r="44403" spans="1:6" x14ac:dyDescent="0.25">
      <c r="A44403"/>
      <c r="B44403"/>
      <c r="C44403"/>
      <c r="E44403"/>
      <c r="F44403"/>
    </row>
    <row r="44404" spans="1:6" x14ac:dyDescent="0.25">
      <c r="A44404"/>
      <c r="B44404"/>
      <c r="C44404"/>
      <c r="E44404"/>
      <c r="F44404"/>
    </row>
    <row r="44405" spans="1:6" x14ac:dyDescent="0.25">
      <c r="A44405"/>
      <c r="B44405"/>
      <c r="C44405"/>
      <c r="E44405"/>
      <c r="F44405"/>
    </row>
    <row r="44406" spans="1:6" x14ac:dyDescent="0.25">
      <c r="A44406"/>
      <c r="B44406"/>
      <c r="C44406"/>
      <c r="E44406"/>
      <c r="F44406"/>
    </row>
    <row r="44407" spans="1:6" x14ac:dyDescent="0.25">
      <c r="A44407"/>
      <c r="B44407"/>
      <c r="C44407"/>
      <c r="E44407"/>
      <c r="F44407"/>
    </row>
    <row r="44408" spans="1:6" x14ac:dyDescent="0.25">
      <c r="A44408"/>
      <c r="B44408"/>
      <c r="C44408"/>
      <c r="E44408"/>
      <c r="F44408"/>
    </row>
    <row r="44409" spans="1:6" x14ac:dyDescent="0.25">
      <c r="A44409"/>
      <c r="B44409"/>
      <c r="C44409"/>
      <c r="E44409"/>
      <c r="F44409"/>
    </row>
    <row r="44410" spans="1:6" x14ac:dyDescent="0.25">
      <c r="A44410"/>
      <c r="B44410"/>
      <c r="C44410"/>
      <c r="E44410"/>
      <c r="F44410"/>
    </row>
    <row r="44411" spans="1:6" x14ac:dyDescent="0.25">
      <c r="A44411"/>
      <c r="B44411"/>
      <c r="C44411"/>
      <c r="E44411"/>
      <c r="F44411"/>
    </row>
    <row r="44412" spans="1:6" x14ac:dyDescent="0.25">
      <c r="A44412"/>
      <c r="B44412"/>
      <c r="C44412"/>
      <c r="E44412"/>
      <c r="F44412"/>
    </row>
    <row r="44413" spans="1:6" x14ac:dyDescent="0.25">
      <c r="A44413"/>
      <c r="B44413"/>
      <c r="C44413"/>
      <c r="E44413"/>
      <c r="F44413"/>
    </row>
    <row r="44414" spans="1:6" x14ac:dyDescent="0.25">
      <c r="A44414"/>
      <c r="B44414"/>
      <c r="C44414"/>
      <c r="E44414"/>
      <c r="F44414"/>
    </row>
    <row r="44415" spans="1:6" x14ac:dyDescent="0.25">
      <c r="A44415"/>
      <c r="B44415"/>
      <c r="C44415"/>
      <c r="E44415"/>
      <c r="F44415"/>
    </row>
    <row r="44416" spans="1:6" x14ac:dyDescent="0.25">
      <c r="A44416"/>
      <c r="B44416"/>
      <c r="C44416"/>
      <c r="E44416"/>
      <c r="F44416"/>
    </row>
    <row r="44417" spans="1:6" x14ac:dyDescent="0.25">
      <c r="A44417"/>
      <c r="B44417"/>
      <c r="C44417"/>
      <c r="E44417"/>
      <c r="F44417"/>
    </row>
    <row r="44418" spans="1:6" x14ac:dyDescent="0.25">
      <c r="A44418"/>
      <c r="B44418"/>
      <c r="C44418"/>
      <c r="E44418"/>
      <c r="F44418"/>
    </row>
    <row r="44419" spans="1:6" x14ac:dyDescent="0.25">
      <c r="A44419"/>
      <c r="B44419"/>
      <c r="C44419"/>
      <c r="E44419"/>
      <c r="F44419"/>
    </row>
    <row r="44420" spans="1:6" x14ac:dyDescent="0.25">
      <c r="A44420"/>
      <c r="B44420"/>
      <c r="C44420"/>
      <c r="E44420"/>
      <c r="F44420"/>
    </row>
    <row r="44421" spans="1:6" x14ac:dyDescent="0.25">
      <c r="A44421"/>
      <c r="B44421"/>
      <c r="C44421"/>
      <c r="E44421"/>
      <c r="F44421"/>
    </row>
    <row r="44422" spans="1:6" x14ac:dyDescent="0.25">
      <c r="A44422"/>
      <c r="B44422"/>
      <c r="C44422"/>
      <c r="E44422"/>
      <c r="F44422"/>
    </row>
    <row r="44423" spans="1:6" x14ac:dyDescent="0.25">
      <c r="A44423"/>
      <c r="B44423"/>
      <c r="C44423"/>
      <c r="E44423"/>
      <c r="F44423"/>
    </row>
    <row r="44424" spans="1:6" x14ac:dyDescent="0.25">
      <c r="A44424"/>
      <c r="B44424"/>
      <c r="C44424"/>
      <c r="E44424"/>
      <c r="F44424"/>
    </row>
    <row r="44425" spans="1:6" x14ac:dyDescent="0.25">
      <c r="A44425"/>
      <c r="B44425"/>
      <c r="C44425"/>
      <c r="E44425"/>
      <c r="F44425"/>
    </row>
    <row r="44426" spans="1:6" x14ac:dyDescent="0.25">
      <c r="A44426"/>
      <c r="B44426"/>
      <c r="C44426"/>
      <c r="E44426"/>
      <c r="F44426"/>
    </row>
    <row r="44427" spans="1:6" x14ac:dyDescent="0.25">
      <c r="A44427"/>
      <c r="B44427"/>
      <c r="C44427"/>
      <c r="E44427"/>
      <c r="F44427"/>
    </row>
    <row r="44428" spans="1:6" x14ac:dyDescent="0.25">
      <c r="A44428"/>
      <c r="B44428"/>
      <c r="C44428"/>
      <c r="E44428"/>
      <c r="F44428"/>
    </row>
    <row r="44429" spans="1:6" x14ac:dyDescent="0.25">
      <c r="A44429"/>
      <c r="B44429"/>
      <c r="C44429"/>
      <c r="E44429"/>
      <c r="F44429"/>
    </row>
    <row r="44430" spans="1:6" x14ac:dyDescent="0.25">
      <c r="A44430"/>
      <c r="B44430"/>
      <c r="C44430"/>
      <c r="E44430"/>
      <c r="F44430"/>
    </row>
    <row r="44431" spans="1:6" x14ac:dyDescent="0.25">
      <c r="A44431"/>
      <c r="B44431"/>
      <c r="C44431"/>
      <c r="E44431"/>
      <c r="F44431"/>
    </row>
    <row r="44432" spans="1:6" x14ac:dyDescent="0.25">
      <c r="A44432"/>
      <c r="B44432"/>
      <c r="C44432"/>
      <c r="E44432"/>
      <c r="F44432"/>
    </row>
    <row r="44433" spans="1:6" x14ac:dyDescent="0.25">
      <c r="A44433"/>
      <c r="B44433"/>
      <c r="C44433"/>
      <c r="E44433"/>
      <c r="F44433"/>
    </row>
    <row r="44434" spans="1:6" x14ac:dyDescent="0.25">
      <c r="A44434"/>
      <c r="B44434"/>
      <c r="C44434"/>
      <c r="E44434"/>
      <c r="F44434"/>
    </row>
    <row r="44435" spans="1:6" x14ac:dyDescent="0.25">
      <c r="A44435"/>
      <c r="B44435"/>
      <c r="C44435"/>
      <c r="E44435"/>
      <c r="F44435"/>
    </row>
    <row r="44436" spans="1:6" x14ac:dyDescent="0.25">
      <c r="A44436"/>
      <c r="B44436"/>
      <c r="C44436"/>
      <c r="E44436"/>
      <c r="F44436"/>
    </row>
    <row r="44437" spans="1:6" x14ac:dyDescent="0.25">
      <c r="A44437"/>
      <c r="B44437"/>
      <c r="C44437"/>
      <c r="E44437"/>
      <c r="F44437"/>
    </row>
    <row r="44438" spans="1:6" x14ac:dyDescent="0.25">
      <c r="A44438"/>
      <c r="B44438"/>
      <c r="C44438"/>
      <c r="E44438"/>
      <c r="F44438"/>
    </row>
    <row r="44439" spans="1:6" x14ac:dyDescent="0.25">
      <c r="A44439"/>
      <c r="B44439"/>
      <c r="C44439"/>
      <c r="E44439"/>
      <c r="F44439"/>
    </row>
    <row r="44440" spans="1:6" x14ac:dyDescent="0.25">
      <c r="A44440"/>
      <c r="B44440"/>
      <c r="C44440"/>
      <c r="E44440"/>
      <c r="F44440"/>
    </row>
    <row r="44441" spans="1:6" x14ac:dyDescent="0.25">
      <c r="A44441"/>
      <c r="B44441"/>
      <c r="C44441"/>
      <c r="E44441"/>
      <c r="F44441"/>
    </row>
    <row r="44442" spans="1:6" x14ac:dyDescent="0.25">
      <c r="A44442"/>
      <c r="B44442"/>
      <c r="C44442"/>
      <c r="E44442"/>
      <c r="F44442"/>
    </row>
    <row r="44443" spans="1:6" x14ac:dyDescent="0.25">
      <c r="A44443"/>
      <c r="B44443"/>
      <c r="C44443"/>
      <c r="E44443"/>
      <c r="F44443"/>
    </row>
    <row r="44444" spans="1:6" x14ac:dyDescent="0.25">
      <c r="A44444"/>
      <c r="B44444"/>
      <c r="C44444"/>
      <c r="E44444"/>
      <c r="F44444"/>
    </row>
    <row r="44445" spans="1:6" x14ac:dyDescent="0.25">
      <c r="A44445"/>
      <c r="B44445"/>
      <c r="C44445"/>
      <c r="E44445"/>
      <c r="F44445"/>
    </row>
    <row r="44446" spans="1:6" x14ac:dyDescent="0.25">
      <c r="A44446"/>
      <c r="B44446"/>
      <c r="C44446"/>
      <c r="E44446"/>
      <c r="F44446"/>
    </row>
    <row r="44447" spans="1:6" x14ac:dyDescent="0.25">
      <c r="A44447"/>
      <c r="B44447"/>
      <c r="C44447"/>
      <c r="E44447"/>
      <c r="F44447"/>
    </row>
    <row r="44448" spans="1:6" x14ac:dyDescent="0.25">
      <c r="A44448"/>
      <c r="B44448"/>
      <c r="C44448"/>
      <c r="E44448"/>
      <c r="F44448"/>
    </row>
    <row r="44449" spans="1:6" x14ac:dyDescent="0.25">
      <c r="A44449"/>
      <c r="B44449"/>
      <c r="C44449"/>
      <c r="E44449"/>
      <c r="F44449"/>
    </row>
    <row r="44450" spans="1:6" x14ac:dyDescent="0.25">
      <c r="A44450"/>
      <c r="B44450"/>
      <c r="C44450"/>
      <c r="E44450"/>
      <c r="F44450"/>
    </row>
    <row r="44451" spans="1:6" x14ac:dyDescent="0.25">
      <c r="A44451"/>
      <c r="B44451"/>
      <c r="C44451"/>
      <c r="E44451"/>
      <c r="F44451"/>
    </row>
    <row r="44452" spans="1:6" x14ac:dyDescent="0.25">
      <c r="A44452"/>
      <c r="B44452"/>
      <c r="C44452"/>
      <c r="E44452"/>
      <c r="F44452"/>
    </row>
    <row r="44453" spans="1:6" x14ac:dyDescent="0.25">
      <c r="A44453"/>
      <c r="B44453"/>
      <c r="C44453"/>
      <c r="E44453"/>
      <c r="F44453"/>
    </row>
    <row r="44454" spans="1:6" x14ac:dyDescent="0.25">
      <c r="A44454"/>
      <c r="B44454"/>
      <c r="C44454"/>
      <c r="E44454"/>
      <c r="F44454"/>
    </row>
    <row r="44455" spans="1:6" x14ac:dyDescent="0.25">
      <c r="A44455"/>
      <c r="B44455"/>
      <c r="C44455"/>
      <c r="E44455"/>
      <c r="F44455"/>
    </row>
    <row r="44456" spans="1:6" x14ac:dyDescent="0.25">
      <c r="A44456"/>
      <c r="B44456"/>
      <c r="C44456"/>
      <c r="E44456"/>
      <c r="F44456"/>
    </row>
    <row r="44457" spans="1:6" x14ac:dyDescent="0.25">
      <c r="A44457"/>
      <c r="B44457"/>
      <c r="C44457"/>
      <c r="E44457"/>
      <c r="F44457"/>
    </row>
    <row r="44458" spans="1:6" x14ac:dyDescent="0.25">
      <c r="A44458"/>
      <c r="B44458"/>
      <c r="C44458"/>
      <c r="E44458"/>
      <c r="F44458"/>
    </row>
    <row r="44459" spans="1:6" x14ac:dyDescent="0.25">
      <c r="A44459"/>
      <c r="B44459"/>
      <c r="C44459"/>
      <c r="E44459"/>
      <c r="F44459"/>
    </row>
    <row r="44460" spans="1:6" x14ac:dyDescent="0.25">
      <c r="A44460"/>
      <c r="B44460"/>
      <c r="C44460"/>
      <c r="E44460"/>
      <c r="F44460"/>
    </row>
    <row r="44461" spans="1:6" x14ac:dyDescent="0.25">
      <c r="A44461"/>
      <c r="B44461"/>
      <c r="C44461"/>
      <c r="E44461"/>
      <c r="F44461"/>
    </row>
    <row r="44462" spans="1:6" x14ac:dyDescent="0.25">
      <c r="A44462"/>
      <c r="B44462"/>
      <c r="C44462"/>
      <c r="E44462"/>
      <c r="F44462"/>
    </row>
    <row r="44463" spans="1:6" x14ac:dyDescent="0.25">
      <c r="A44463"/>
      <c r="B44463"/>
      <c r="C44463"/>
      <c r="E44463"/>
      <c r="F44463"/>
    </row>
    <row r="44464" spans="1:6" x14ac:dyDescent="0.25">
      <c r="A44464"/>
      <c r="B44464"/>
      <c r="C44464"/>
      <c r="E44464"/>
      <c r="F44464"/>
    </row>
    <row r="44465" spans="1:6" x14ac:dyDescent="0.25">
      <c r="A44465"/>
      <c r="B44465"/>
      <c r="C44465"/>
      <c r="E44465"/>
      <c r="F44465"/>
    </row>
    <row r="44466" spans="1:6" x14ac:dyDescent="0.25">
      <c r="A44466"/>
      <c r="B44466"/>
      <c r="C44466"/>
      <c r="E44466"/>
      <c r="F44466"/>
    </row>
    <row r="44467" spans="1:6" x14ac:dyDescent="0.25">
      <c r="A44467"/>
      <c r="B44467"/>
      <c r="C44467"/>
      <c r="E44467"/>
      <c r="F44467"/>
    </row>
    <row r="44468" spans="1:6" x14ac:dyDescent="0.25">
      <c r="A44468"/>
      <c r="B44468"/>
      <c r="C44468"/>
      <c r="E44468"/>
      <c r="F44468"/>
    </row>
    <row r="44469" spans="1:6" x14ac:dyDescent="0.25">
      <c r="A44469"/>
      <c r="B44469"/>
      <c r="C44469"/>
      <c r="E44469"/>
      <c r="F44469"/>
    </row>
    <row r="44470" spans="1:6" x14ac:dyDescent="0.25">
      <c r="A44470"/>
      <c r="B44470"/>
      <c r="C44470"/>
      <c r="E44470"/>
      <c r="F44470"/>
    </row>
    <row r="44471" spans="1:6" x14ac:dyDescent="0.25">
      <c r="A44471"/>
      <c r="B44471"/>
      <c r="C44471"/>
      <c r="E44471"/>
      <c r="F44471"/>
    </row>
    <row r="44472" spans="1:6" x14ac:dyDescent="0.25">
      <c r="A44472"/>
      <c r="B44472"/>
      <c r="C44472"/>
      <c r="E44472"/>
      <c r="F44472"/>
    </row>
    <row r="44473" spans="1:6" x14ac:dyDescent="0.25">
      <c r="A44473"/>
      <c r="B44473"/>
      <c r="C44473"/>
      <c r="E44473"/>
      <c r="F44473"/>
    </row>
    <row r="44474" spans="1:6" x14ac:dyDescent="0.25">
      <c r="A44474"/>
      <c r="B44474"/>
      <c r="C44474"/>
      <c r="E44474"/>
      <c r="F44474"/>
    </row>
    <row r="44475" spans="1:6" x14ac:dyDescent="0.25">
      <c r="A44475"/>
      <c r="B44475"/>
      <c r="C44475"/>
      <c r="E44475"/>
      <c r="F44475"/>
    </row>
    <row r="44476" spans="1:6" x14ac:dyDescent="0.25">
      <c r="A44476"/>
      <c r="B44476"/>
      <c r="C44476"/>
      <c r="E44476"/>
      <c r="F44476"/>
    </row>
    <row r="44477" spans="1:6" x14ac:dyDescent="0.25">
      <c r="A44477"/>
      <c r="B44477"/>
      <c r="C44477"/>
      <c r="E44477"/>
      <c r="F44477"/>
    </row>
    <row r="44478" spans="1:6" x14ac:dyDescent="0.25">
      <c r="A44478"/>
      <c r="B44478"/>
      <c r="C44478"/>
      <c r="E44478"/>
      <c r="F44478"/>
    </row>
    <row r="44479" spans="1:6" x14ac:dyDescent="0.25">
      <c r="A44479"/>
      <c r="B44479"/>
      <c r="C44479"/>
      <c r="E44479"/>
      <c r="F44479"/>
    </row>
    <row r="44480" spans="1:6" x14ac:dyDescent="0.25">
      <c r="A44480"/>
      <c r="B44480"/>
      <c r="C44480"/>
      <c r="E44480"/>
      <c r="F44480"/>
    </row>
    <row r="44481" spans="1:6" x14ac:dyDescent="0.25">
      <c r="A44481"/>
      <c r="B44481"/>
      <c r="C44481"/>
      <c r="E44481"/>
      <c r="F44481"/>
    </row>
    <row r="44482" spans="1:6" x14ac:dyDescent="0.25">
      <c r="A44482"/>
      <c r="B44482"/>
      <c r="C44482"/>
      <c r="E44482"/>
      <c r="F44482"/>
    </row>
    <row r="44483" spans="1:6" x14ac:dyDescent="0.25">
      <c r="A44483"/>
      <c r="B44483"/>
      <c r="C44483"/>
      <c r="E44483"/>
      <c r="F44483"/>
    </row>
    <row r="44484" spans="1:6" x14ac:dyDescent="0.25">
      <c r="A44484"/>
      <c r="B44484"/>
      <c r="C44484"/>
      <c r="E44484"/>
      <c r="F44484"/>
    </row>
    <row r="44485" spans="1:6" x14ac:dyDescent="0.25">
      <c r="A44485"/>
      <c r="B44485"/>
      <c r="C44485"/>
      <c r="E44485"/>
      <c r="F44485"/>
    </row>
    <row r="44486" spans="1:6" x14ac:dyDescent="0.25">
      <c r="A44486"/>
      <c r="B44486"/>
      <c r="C44486"/>
      <c r="E44486"/>
      <c r="F44486"/>
    </row>
    <row r="44487" spans="1:6" x14ac:dyDescent="0.25">
      <c r="A44487"/>
      <c r="B44487"/>
      <c r="C44487"/>
      <c r="E44487"/>
      <c r="F44487"/>
    </row>
    <row r="44488" spans="1:6" x14ac:dyDescent="0.25">
      <c r="A44488"/>
      <c r="B44488"/>
      <c r="C44488"/>
      <c r="E44488"/>
      <c r="F44488"/>
    </row>
    <row r="44489" spans="1:6" x14ac:dyDescent="0.25">
      <c r="A44489"/>
      <c r="B44489"/>
      <c r="C44489"/>
      <c r="E44489"/>
      <c r="F44489"/>
    </row>
    <row r="44490" spans="1:6" x14ac:dyDescent="0.25">
      <c r="A44490"/>
      <c r="B44490"/>
      <c r="C44490"/>
      <c r="E44490"/>
      <c r="F44490"/>
    </row>
    <row r="44491" spans="1:6" x14ac:dyDescent="0.25">
      <c r="A44491"/>
      <c r="B44491"/>
      <c r="C44491"/>
      <c r="E44491"/>
      <c r="F44491"/>
    </row>
    <row r="44492" spans="1:6" x14ac:dyDescent="0.25">
      <c r="A44492"/>
      <c r="B44492"/>
      <c r="C44492"/>
      <c r="E44492"/>
      <c r="F44492"/>
    </row>
    <row r="44493" spans="1:6" x14ac:dyDescent="0.25">
      <c r="A44493"/>
      <c r="B44493"/>
      <c r="C44493"/>
      <c r="E44493"/>
      <c r="F44493"/>
    </row>
    <row r="44494" spans="1:6" x14ac:dyDescent="0.25">
      <c r="A44494"/>
      <c r="B44494"/>
      <c r="C44494"/>
      <c r="E44494"/>
      <c r="F44494"/>
    </row>
    <row r="44495" spans="1:6" x14ac:dyDescent="0.25">
      <c r="A44495"/>
      <c r="B44495"/>
      <c r="C44495"/>
      <c r="E44495"/>
      <c r="F44495"/>
    </row>
    <row r="44496" spans="1:6" x14ac:dyDescent="0.25">
      <c r="A44496"/>
      <c r="B44496"/>
      <c r="C44496"/>
      <c r="E44496"/>
      <c r="F44496"/>
    </row>
    <row r="44497" spans="1:6" x14ac:dyDescent="0.25">
      <c r="A44497"/>
      <c r="B44497"/>
      <c r="C44497"/>
      <c r="E44497"/>
      <c r="F44497"/>
    </row>
    <row r="44498" spans="1:6" x14ac:dyDescent="0.25">
      <c r="A44498"/>
      <c r="B44498"/>
      <c r="C44498"/>
      <c r="E44498"/>
      <c r="F44498"/>
    </row>
    <row r="44499" spans="1:6" x14ac:dyDescent="0.25">
      <c r="A44499"/>
      <c r="B44499"/>
      <c r="C44499"/>
      <c r="E44499"/>
      <c r="F44499"/>
    </row>
    <row r="44500" spans="1:6" x14ac:dyDescent="0.25">
      <c r="A44500"/>
      <c r="B44500"/>
      <c r="C44500"/>
      <c r="E44500"/>
      <c r="F44500"/>
    </row>
    <row r="44501" spans="1:6" x14ac:dyDescent="0.25">
      <c r="A44501"/>
      <c r="B44501"/>
      <c r="C44501"/>
      <c r="E44501"/>
      <c r="F44501"/>
    </row>
    <row r="44502" spans="1:6" x14ac:dyDescent="0.25">
      <c r="A44502"/>
      <c r="B44502"/>
      <c r="C44502"/>
      <c r="E44502"/>
      <c r="F44502"/>
    </row>
    <row r="44503" spans="1:6" x14ac:dyDescent="0.25">
      <c r="A44503"/>
      <c r="B44503"/>
      <c r="C44503"/>
      <c r="E44503"/>
      <c r="F44503"/>
    </row>
    <row r="44504" spans="1:6" x14ac:dyDescent="0.25">
      <c r="A44504"/>
      <c r="B44504"/>
      <c r="C44504"/>
      <c r="E44504"/>
      <c r="F44504"/>
    </row>
    <row r="44505" spans="1:6" x14ac:dyDescent="0.25">
      <c r="A44505"/>
      <c r="B44505"/>
      <c r="C44505"/>
      <c r="E44505"/>
      <c r="F44505"/>
    </row>
    <row r="44506" spans="1:6" x14ac:dyDescent="0.25">
      <c r="A44506"/>
      <c r="B44506"/>
      <c r="C44506"/>
      <c r="E44506"/>
      <c r="F44506"/>
    </row>
    <row r="44507" spans="1:6" x14ac:dyDescent="0.25">
      <c r="A44507"/>
      <c r="B44507"/>
      <c r="C44507"/>
      <c r="E44507"/>
      <c r="F44507"/>
    </row>
    <row r="44508" spans="1:6" x14ac:dyDescent="0.25">
      <c r="A44508"/>
      <c r="B44508"/>
      <c r="C44508"/>
      <c r="E44508"/>
      <c r="F44508"/>
    </row>
    <row r="44509" spans="1:6" x14ac:dyDescent="0.25">
      <c r="A44509"/>
      <c r="B44509"/>
      <c r="C44509"/>
      <c r="E44509"/>
      <c r="F44509"/>
    </row>
    <row r="44510" spans="1:6" x14ac:dyDescent="0.25">
      <c r="A44510"/>
      <c r="B44510"/>
      <c r="C44510"/>
      <c r="E44510"/>
      <c r="F44510"/>
    </row>
    <row r="44511" spans="1:6" x14ac:dyDescent="0.25">
      <c r="A44511"/>
      <c r="B44511"/>
      <c r="C44511"/>
      <c r="E44511"/>
      <c r="F44511"/>
    </row>
    <row r="44512" spans="1:6" x14ac:dyDescent="0.25">
      <c r="A44512"/>
      <c r="B44512"/>
      <c r="C44512"/>
      <c r="E44512"/>
      <c r="F44512"/>
    </row>
    <row r="44513" spans="1:6" x14ac:dyDescent="0.25">
      <c r="A44513"/>
      <c r="B44513"/>
      <c r="C44513"/>
      <c r="E44513"/>
      <c r="F44513"/>
    </row>
    <row r="44514" spans="1:6" x14ac:dyDescent="0.25">
      <c r="A44514"/>
      <c r="B44514"/>
      <c r="C44514"/>
      <c r="E44514"/>
      <c r="F44514"/>
    </row>
    <row r="44515" spans="1:6" x14ac:dyDescent="0.25">
      <c r="A44515"/>
      <c r="B44515"/>
      <c r="C44515"/>
      <c r="E44515"/>
      <c r="F44515"/>
    </row>
    <row r="44516" spans="1:6" x14ac:dyDescent="0.25">
      <c r="A44516"/>
      <c r="B44516"/>
      <c r="C44516"/>
      <c r="E44516"/>
      <c r="F44516"/>
    </row>
    <row r="44517" spans="1:6" x14ac:dyDescent="0.25">
      <c r="A44517"/>
      <c r="B44517"/>
      <c r="C44517"/>
      <c r="E44517"/>
      <c r="F44517"/>
    </row>
    <row r="44518" spans="1:6" x14ac:dyDescent="0.25">
      <c r="A44518"/>
      <c r="B44518"/>
      <c r="C44518"/>
      <c r="E44518"/>
      <c r="F44518"/>
    </row>
    <row r="44519" spans="1:6" x14ac:dyDescent="0.25">
      <c r="A44519"/>
      <c r="B44519"/>
      <c r="C44519"/>
      <c r="E44519"/>
      <c r="F44519"/>
    </row>
    <row r="44520" spans="1:6" x14ac:dyDescent="0.25">
      <c r="A44520"/>
      <c r="B44520"/>
      <c r="C44520"/>
      <c r="E44520"/>
      <c r="F44520"/>
    </row>
    <row r="44521" spans="1:6" x14ac:dyDescent="0.25">
      <c r="A44521"/>
      <c r="B44521"/>
      <c r="C44521"/>
      <c r="E44521"/>
      <c r="F44521"/>
    </row>
    <row r="44522" spans="1:6" x14ac:dyDescent="0.25">
      <c r="A44522"/>
      <c r="B44522"/>
      <c r="C44522"/>
      <c r="E44522"/>
      <c r="F44522"/>
    </row>
    <row r="44523" spans="1:6" x14ac:dyDescent="0.25">
      <c r="A44523"/>
      <c r="B44523"/>
      <c r="C44523"/>
      <c r="E44523"/>
      <c r="F44523"/>
    </row>
    <row r="44524" spans="1:6" x14ac:dyDescent="0.25">
      <c r="A44524"/>
      <c r="B44524"/>
      <c r="C44524"/>
      <c r="E44524"/>
      <c r="F44524"/>
    </row>
    <row r="44525" spans="1:6" x14ac:dyDescent="0.25">
      <c r="A44525"/>
      <c r="B44525"/>
      <c r="C44525"/>
      <c r="E44525"/>
      <c r="F44525"/>
    </row>
    <row r="44526" spans="1:6" x14ac:dyDescent="0.25">
      <c r="A44526"/>
      <c r="B44526"/>
      <c r="C44526"/>
      <c r="E44526"/>
      <c r="F44526"/>
    </row>
    <row r="44527" spans="1:6" x14ac:dyDescent="0.25">
      <c r="A44527"/>
      <c r="B44527"/>
      <c r="C44527"/>
      <c r="E44527"/>
      <c r="F44527"/>
    </row>
    <row r="44528" spans="1:6" x14ac:dyDescent="0.25">
      <c r="A44528"/>
      <c r="B44528"/>
      <c r="C44528"/>
      <c r="E44528"/>
      <c r="F44528"/>
    </row>
    <row r="44529" spans="1:6" x14ac:dyDescent="0.25">
      <c r="A44529"/>
      <c r="B44529"/>
      <c r="C44529"/>
      <c r="E44529"/>
      <c r="F44529"/>
    </row>
    <row r="44530" spans="1:6" x14ac:dyDescent="0.25">
      <c r="A44530"/>
      <c r="B44530"/>
      <c r="C44530"/>
      <c r="E44530"/>
      <c r="F44530"/>
    </row>
    <row r="44531" spans="1:6" x14ac:dyDescent="0.25">
      <c r="A44531"/>
      <c r="B44531"/>
      <c r="C44531"/>
      <c r="E44531"/>
      <c r="F44531"/>
    </row>
    <row r="44532" spans="1:6" x14ac:dyDescent="0.25">
      <c r="A44532"/>
      <c r="B44532"/>
      <c r="C44532"/>
      <c r="E44532"/>
      <c r="F44532"/>
    </row>
    <row r="44533" spans="1:6" x14ac:dyDescent="0.25">
      <c r="A44533"/>
      <c r="B44533"/>
      <c r="C44533"/>
      <c r="E44533"/>
      <c r="F44533"/>
    </row>
    <row r="44534" spans="1:6" x14ac:dyDescent="0.25">
      <c r="A44534"/>
      <c r="B44534"/>
      <c r="C44534"/>
      <c r="E44534"/>
      <c r="F44534"/>
    </row>
    <row r="44535" spans="1:6" x14ac:dyDescent="0.25">
      <c r="A44535"/>
      <c r="B44535"/>
      <c r="C44535"/>
      <c r="E44535"/>
      <c r="F44535"/>
    </row>
    <row r="44536" spans="1:6" x14ac:dyDescent="0.25">
      <c r="A44536"/>
      <c r="B44536"/>
      <c r="C44536"/>
      <c r="E44536"/>
      <c r="F44536"/>
    </row>
    <row r="44537" spans="1:6" x14ac:dyDescent="0.25">
      <c r="A44537"/>
      <c r="B44537"/>
      <c r="C44537"/>
      <c r="E44537"/>
      <c r="F44537"/>
    </row>
    <row r="44538" spans="1:6" x14ac:dyDescent="0.25">
      <c r="A44538"/>
      <c r="B44538"/>
      <c r="C44538"/>
      <c r="E44538"/>
      <c r="F44538"/>
    </row>
    <row r="44539" spans="1:6" x14ac:dyDescent="0.25">
      <c r="A44539"/>
      <c r="B44539"/>
      <c r="C44539"/>
      <c r="E44539"/>
      <c r="F44539"/>
    </row>
    <row r="44540" spans="1:6" x14ac:dyDescent="0.25">
      <c r="A44540"/>
      <c r="B44540"/>
      <c r="C44540"/>
      <c r="E44540"/>
      <c r="F44540"/>
    </row>
    <row r="44541" spans="1:6" x14ac:dyDescent="0.25">
      <c r="A44541"/>
      <c r="B44541"/>
      <c r="C44541"/>
      <c r="E44541"/>
      <c r="F44541"/>
    </row>
    <row r="44542" spans="1:6" x14ac:dyDescent="0.25">
      <c r="A44542"/>
      <c r="B44542"/>
      <c r="C44542"/>
      <c r="E44542"/>
      <c r="F44542"/>
    </row>
    <row r="44543" spans="1:6" x14ac:dyDescent="0.25">
      <c r="A44543"/>
      <c r="B44543"/>
      <c r="C44543"/>
      <c r="E44543"/>
      <c r="F44543"/>
    </row>
    <row r="44544" spans="1:6" x14ac:dyDescent="0.25">
      <c r="A44544"/>
      <c r="B44544"/>
      <c r="C44544"/>
      <c r="E44544"/>
      <c r="F44544"/>
    </row>
    <row r="44545" spans="1:6" x14ac:dyDescent="0.25">
      <c r="A44545"/>
      <c r="B44545"/>
      <c r="C44545"/>
      <c r="E44545"/>
      <c r="F44545"/>
    </row>
    <row r="44546" spans="1:6" x14ac:dyDescent="0.25">
      <c r="A44546"/>
      <c r="B44546"/>
      <c r="C44546"/>
      <c r="E44546"/>
      <c r="F44546"/>
    </row>
    <row r="44547" spans="1:6" x14ac:dyDescent="0.25">
      <c r="A44547"/>
      <c r="B44547"/>
      <c r="C44547"/>
      <c r="E44547"/>
      <c r="F44547"/>
    </row>
    <row r="44548" spans="1:6" x14ac:dyDescent="0.25">
      <c r="A44548"/>
      <c r="B44548"/>
      <c r="C44548"/>
      <c r="E44548"/>
      <c r="F44548"/>
    </row>
    <row r="44549" spans="1:6" x14ac:dyDescent="0.25">
      <c r="A44549"/>
      <c r="B44549"/>
      <c r="C44549"/>
      <c r="E44549"/>
      <c r="F44549"/>
    </row>
    <row r="44550" spans="1:6" x14ac:dyDescent="0.25">
      <c r="A44550"/>
      <c r="B44550"/>
      <c r="C44550"/>
      <c r="E44550"/>
      <c r="F44550"/>
    </row>
    <row r="44551" spans="1:6" x14ac:dyDescent="0.25">
      <c r="A44551"/>
      <c r="B44551"/>
      <c r="C44551"/>
      <c r="E44551"/>
      <c r="F44551"/>
    </row>
    <row r="44552" spans="1:6" x14ac:dyDescent="0.25">
      <c r="A44552"/>
      <c r="B44552"/>
      <c r="C44552"/>
      <c r="E44552"/>
      <c r="F44552"/>
    </row>
    <row r="44553" spans="1:6" x14ac:dyDescent="0.25">
      <c r="A44553"/>
      <c r="B44553"/>
      <c r="C44553"/>
      <c r="E44553"/>
      <c r="F44553"/>
    </row>
    <row r="44554" spans="1:6" x14ac:dyDescent="0.25">
      <c r="A44554"/>
      <c r="B44554"/>
      <c r="C44554"/>
      <c r="E44554"/>
      <c r="F44554"/>
    </row>
    <row r="44555" spans="1:6" x14ac:dyDescent="0.25">
      <c r="A44555"/>
      <c r="B44555"/>
      <c r="C44555"/>
      <c r="E44555"/>
      <c r="F44555"/>
    </row>
    <row r="44556" spans="1:6" x14ac:dyDescent="0.25">
      <c r="A44556"/>
      <c r="B44556"/>
      <c r="C44556"/>
      <c r="E44556"/>
      <c r="F44556"/>
    </row>
    <row r="44557" spans="1:6" x14ac:dyDescent="0.25">
      <c r="A44557"/>
      <c r="B44557"/>
      <c r="C44557"/>
      <c r="E44557"/>
      <c r="F44557"/>
    </row>
    <row r="44558" spans="1:6" x14ac:dyDescent="0.25">
      <c r="A44558"/>
      <c r="B44558"/>
      <c r="C44558"/>
      <c r="E44558"/>
      <c r="F44558"/>
    </row>
    <row r="44559" spans="1:6" x14ac:dyDescent="0.25">
      <c r="A44559"/>
      <c r="B44559"/>
      <c r="C44559"/>
      <c r="E44559"/>
      <c r="F44559"/>
    </row>
    <row r="44560" spans="1:6" x14ac:dyDescent="0.25">
      <c r="A44560"/>
      <c r="B44560"/>
      <c r="C44560"/>
      <c r="E44560"/>
      <c r="F44560"/>
    </row>
    <row r="44561" spans="1:6" x14ac:dyDescent="0.25">
      <c r="A44561"/>
      <c r="B44561"/>
      <c r="C44561"/>
      <c r="E44561"/>
      <c r="F44561"/>
    </row>
    <row r="44562" spans="1:6" x14ac:dyDescent="0.25">
      <c r="A44562"/>
      <c r="B44562"/>
      <c r="C44562"/>
      <c r="E44562"/>
      <c r="F44562"/>
    </row>
    <row r="44563" spans="1:6" x14ac:dyDescent="0.25">
      <c r="A44563"/>
      <c r="B44563"/>
      <c r="C44563"/>
      <c r="E44563"/>
      <c r="F44563"/>
    </row>
    <row r="44564" spans="1:6" x14ac:dyDescent="0.25">
      <c r="A44564"/>
      <c r="B44564"/>
      <c r="C44564"/>
      <c r="E44564"/>
      <c r="F44564"/>
    </row>
    <row r="44565" spans="1:6" x14ac:dyDescent="0.25">
      <c r="A44565"/>
      <c r="B44565"/>
      <c r="C44565"/>
      <c r="E44565"/>
      <c r="F44565"/>
    </row>
    <row r="44566" spans="1:6" x14ac:dyDescent="0.25">
      <c r="A44566"/>
      <c r="B44566"/>
      <c r="C44566"/>
      <c r="E44566"/>
      <c r="F44566"/>
    </row>
    <row r="44567" spans="1:6" x14ac:dyDescent="0.25">
      <c r="A44567"/>
      <c r="B44567"/>
      <c r="C44567"/>
      <c r="E44567"/>
      <c r="F44567"/>
    </row>
    <row r="44568" spans="1:6" x14ac:dyDescent="0.25">
      <c r="A44568"/>
      <c r="B44568"/>
      <c r="C44568"/>
      <c r="E44568"/>
      <c r="F44568"/>
    </row>
    <row r="44569" spans="1:6" x14ac:dyDescent="0.25">
      <c r="A44569"/>
      <c r="B44569"/>
      <c r="C44569"/>
      <c r="E44569"/>
      <c r="F44569"/>
    </row>
    <row r="44570" spans="1:6" x14ac:dyDescent="0.25">
      <c r="A44570"/>
      <c r="B44570"/>
      <c r="C44570"/>
      <c r="E44570"/>
      <c r="F44570"/>
    </row>
    <row r="44571" spans="1:6" x14ac:dyDescent="0.25">
      <c r="A44571"/>
      <c r="B44571"/>
      <c r="C44571"/>
      <c r="E44571"/>
      <c r="F44571"/>
    </row>
    <row r="44572" spans="1:6" x14ac:dyDescent="0.25">
      <c r="A44572"/>
      <c r="B44572"/>
      <c r="C44572"/>
      <c r="E44572"/>
      <c r="F44572"/>
    </row>
    <row r="44573" spans="1:6" x14ac:dyDescent="0.25">
      <c r="A44573"/>
      <c r="B44573"/>
      <c r="C44573"/>
      <c r="E44573"/>
      <c r="F44573"/>
    </row>
    <row r="44574" spans="1:6" x14ac:dyDescent="0.25">
      <c r="A44574"/>
      <c r="B44574"/>
      <c r="C44574"/>
      <c r="E44574"/>
      <c r="F44574"/>
    </row>
    <row r="44575" spans="1:6" x14ac:dyDescent="0.25">
      <c r="A44575"/>
      <c r="B44575"/>
      <c r="C44575"/>
      <c r="E44575"/>
      <c r="F44575"/>
    </row>
    <row r="44576" spans="1:6" x14ac:dyDescent="0.25">
      <c r="A44576"/>
      <c r="B44576"/>
      <c r="C44576"/>
      <c r="E44576"/>
      <c r="F44576"/>
    </row>
    <row r="44577" spans="1:6" x14ac:dyDescent="0.25">
      <c r="A44577"/>
      <c r="B44577"/>
      <c r="C44577"/>
      <c r="E44577"/>
      <c r="F44577"/>
    </row>
    <row r="44578" spans="1:6" x14ac:dyDescent="0.25">
      <c r="A44578"/>
      <c r="B44578"/>
      <c r="C44578"/>
      <c r="E44578"/>
      <c r="F44578"/>
    </row>
    <row r="44579" spans="1:6" x14ac:dyDescent="0.25">
      <c r="A44579"/>
      <c r="B44579"/>
      <c r="C44579"/>
      <c r="E44579"/>
      <c r="F44579"/>
    </row>
    <row r="44580" spans="1:6" x14ac:dyDescent="0.25">
      <c r="A44580"/>
      <c r="B44580"/>
      <c r="C44580"/>
      <c r="E44580"/>
      <c r="F44580"/>
    </row>
    <row r="44581" spans="1:6" x14ac:dyDescent="0.25">
      <c r="A44581"/>
      <c r="B44581"/>
      <c r="C44581"/>
      <c r="E44581"/>
      <c r="F44581"/>
    </row>
    <row r="44582" spans="1:6" x14ac:dyDescent="0.25">
      <c r="A44582"/>
      <c r="B44582"/>
      <c r="C44582"/>
      <c r="E44582"/>
      <c r="F44582"/>
    </row>
    <row r="44583" spans="1:6" x14ac:dyDescent="0.25">
      <c r="A44583"/>
      <c r="B44583"/>
      <c r="C44583"/>
      <c r="E44583"/>
      <c r="F44583"/>
    </row>
    <row r="44584" spans="1:6" x14ac:dyDescent="0.25">
      <c r="A44584"/>
      <c r="B44584"/>
      <c r="C44584"/>
      <c r="E44584"/>
      <c r="F44584"/>
    </row>
    <row r="44585" spans="1:6" x14ac:dyDescent="0.25">
      <c r="A44585"/>
      <c r="B44585"/>
      <c r="C44585"/>
      <c r="E44585"/>
      <c r="F44585"/>
    </row>
    <row r="44586" spans="1:6" x14ac:dyDescent="0.25">
      <c r="A44586"/>
      <c r="B44586"/>
      <c r="C44586"/>
      <c r="E44586"/>
      <c r="F44586"/>
    </row>
    <row r="44587" spans="1:6" x14ac:dyDescent="0.25">
      <c r="A44587"/>
      <c r="B44587"/>
      <c r="C44587"/>
      <c r="E44587"/>
      <c r="F44587"/>
    </row>
    <row r="44588" spans="1:6" x14ac:dyDescent="0.25">
      <c r="A44588"/>
      <c r="B44588"/>
      <c r="C44588"/>
      <c r="E44588"/>
      <c r="F44588"/>
    </row>
    <row r="44589" spans="1:6" x14ac:dyDescent="0.25">
      <c r="A44589"/>
      <c r="B44589"/>
      <c r="C44589"/>
      <c r="E44589"/>
      <c r="F44589"/>
    </row>
    <row r="44590" spans="1:6" x14ac:dyDescent="0.25">
      <c r="A44590"/>
      <c r="B44590"/>
      <c r="C44590"/>
      <c r="E44590"/>
      <c r="F44590"/>
    </row>
    <row r="44591" spans="1:6" x14ac:dyDescent="0.25">
      <c r="A44591"/>
      <c r="B44591"/>
      <c r="C44591"/>
      <c r="E44591"/>
      <c r="F44591"/>
    </row>
    <row r="44592" spans="1:6" x14ac:dyDescent="0.25">
      <c r="A44592"/>
      <c r="B44592"/>
      <c r="C44592"/>
      <c r="E44592"/>
      <c r="F44592"/>
    </row>
    <row r="44593" spans="1:6" x14ac:dyDescent="0.25">
      <c r="A44593"/>
      <c r="B44593"/>
      <c r="C44593"/>
      <c r="E44593"/>
      <c r="F44593"/>
    </row>
    <row r="44594" spans="1:6" x14ac:dyDescent="0.25">
      <c r="A44594"/>
      <c r="B44594"/>
      <c r="C44594"/>
      <c r="E44594"/>
      <c r="F44594"/>
    </row>
    <row r="44595" spans="1:6" x14ac:dyDescent="0.25">
      <c r="A44595"/>
      <c r="B44595"/>
      <c r="C44595"/>
      <c r="E44595"/>
      <c r="F44595"/>
    </row>
    <row r="44596" spans="1:6" x14ac:dyDescent="0.25">
      <c r="A44596"/>
      <c r="B44596"/>
      <c r="C44596"/>
      <c r="E44596"/>
      <c r="F44596"/>
    </row>
    <row r="44597" spans="1:6" x14ac:dyDescent="0.25">
      <c r="A44597"/>
      <c r="B44597"/>
      <c r="C44597"/>
      <c r="E44597"/>
      <c r="F44597"/>
    </row>
    <row r="44598" spans="1:6" x14ac:dyDescent="0.25">
      <c r="A44598"/>
      <c r="B44598"/>
      <c r="C44598"/>
      <c r="E44598"/>
      <c r="F44598"/>
    </row>
    <row r="44599" spans="1:6" x14ac:dyDescent="0.25">
      <c r="A44599"/>
      <c r="B44599"/>
      <c r="C44599"/>
      <c r="E44599"/>
      <c r="F44599"/>
    </row>
    <row r="44600" spans="1:6" x14ac:dyDescent="0.25">
      <c r="A44600"/>
      <c r="B44600"/>
      <c r="C44600"/>
      <c r="E44600"/>
      <c r="F44600"/>
    </row>
    <row r="44601" spans="1:6" x14ac:dyDescent="0.25">
      <c r="A44601"/>
      <c r="B44601"/>
      <c r="C44601"/>
      <c r="E44601"/>
      <c r="F44601"/>
    </row>
    <row r="44602" spans="1:6" x14ac:dyDescent="0.25">
      <c r="A44602"/>
      <c r="B44602"/>
      <c r="C44602"/>
      <c r="E44602"/>
      <c r="F44602"/>
    </row>
    <row r="44603" spans="1:6" x14ac:dyDescent="0.25">
      <c r="A44603"/>
      <c r="B44603"/>
      <c r="C44603"/>
      <c r="E44603"/>
      <c r="F44603"/>
    </row>
    <row r="44604" spans="1:6" x14ac:dyDescent="0.25">
      <c r="A44604"/>
      <c r="B44604"/>
      <c r="C44604"/>
      <c r="E44604"/>
      <c r="F44604"/>
    </row>
    <row r="44605" spans="1:6" x14ac:dyDescent="0.25">
      <c r="A44605"/>
      <c r="B44605"/>
      <c r="C44605"/>
      <c r="E44605"/>
      <c r="F44605"/>
    </row>
    <row r="44606" spans="1:6" x14ac:dyDescent="0.25">
      <c r="A44606"/>
      <c r="B44606"/>
      <c r="C44606"/>
      <c r="E44606"/>
      <c r="F44606"/>
    </row>
    <row r="44607" spans="1:6" x14ac:dyDescent="0.25">
      <c r="A44607"/>
      <c r="B44607"/>
      <c r="C44607"/>
      <c r="E44607"/>
      <c r="F44607"/>
    </row>
    <row r="44608" spans="1:6" x14ac:dyDescent="0.25">
      <c r="A44608"/>
      <c r="B44608"/>
      <c r="C44608"/>
      <c r="E44608"/>
      <c r="F44608"/>
    </row>
    <row r="44609" spans="1:6" x14ac:dyDescent="0.25">
      <c r="A44609"/>
      <c r="B44609"/>
      <c r="C44609"/>
      <c r="E44609"/>
      <c r="F44609"/>
    </row>
    <row r="44610" spans="1:6" x14ac:dyDescent="0.25">
      <c r="A44610"/>
      <c r="B44610"/>
      <c r="C44610"/>
      <c r="E44610"/>
      <c r="F44610"/>
    </row>
    <row r="44611" spans="1:6" x14ac:dyDescent="0.25">
      <c r="A44611"/>
      <c r="B44611"/>
      <c r="C44611"/>
      <c r="E44611"/>
      <c r="F44611"/>
    </row>
    <row r="44612" spans="1:6" x14ac:dyDescent="0.25">
      <c r="A44612"/>
      <c r="B44612"/>
      <c r="C44612"/>
      <c r="E44612"/>
      <c r="F44612"/>
    </row>
    <row r="44613" spans="1:6" x14ac:dyDescent="0.25">
      <c r="A44613"/>
      <c r="B44613"/>
      <c r="C44613"/>
      <c r="E44613"/>
      <c r="F44613"/>
    </row>
    <row r="44614" spans="1:6" x14ac:dyDescent="0.25">
      <c r="A44614"/>
      <c r="B44614"/>
      <c r="C44614"/>
      <c r="E44614"/>
      <c r="F44614"/>
    </row>
    <row r="44615" spans="1:6" x14ac:dyDescent="0.25">
      <c r="A44615"/>
      <c r="B44615"/>
      <c r="C44615"/>
      <c r="E44615"/>
      <c r="F44615"/>
    </row>
    <row r="44616" spans="1:6" x14ac:dyDescent="0.25">
      <c r="A44616"/>
      <c r="B44616"/>
      <c r="C44616"/>
      <c r="E44616"/>
      <c r="F44616"/>
    </row>
    <row r="44617" spans="1:6" x14ac:dyDescent="0.25">
      <c r="A44617"/>
      <c r="B44617"/>
      <c r="C44617"/>
      <c r="E44617"/>
      <c r="F44617"/>
    </row>
    <row r="44618" spans="1:6" x14ac:dyDescent="0.25">
      <c r="A44618"/>
      <c r="B44618"/>
      <c r="C44618"/>
      <c r="E44618"/>
      <c r="F44618"/>
    </row>
    <row r="44619" spans="1:6" x14ac:dyDescent="0.25">
      <c r="A44619"/>
      <c r="B44619"/>
      <c r="C44619"/>
      <c r="E44619"/>
      <c r="F44619"/>
    </row>
    <row r="44620" spans="1:6" x14ac:dyDescent="0.25">
      <c r="A44620"/>
      <c r="B44620"/>
      <c r="C44620"/>
      <c r="E44620"/>
      <c r="F44620"/>
    </row>
    <row r="44621" spans="1:6" x14ac:dyDescent="0.25">
      <c r="A44621"/>
      <c r="B44621"/>
      <c r="C44621"/>
      <c r="E44621"/>
      <c r="F44621"/>
    </row>
    <row r="44622" spans="1:6" x14ac:dyDescent="0.25">
      <c r="A44622"/>
      <c r="B44622"/>
      <c r="C44622"/>
      <c r="E44622"/>
      <c r="F44622"/>
    </row>
    <row r="44623" spans="1:6" x14ac:dyDescent="0.25">
      <c r="A44623"/>
      <c r="B44623"/>
      <c r="C44623"/>
      <c r="E44623"/>
      <c r="F44623"/>
    </row>
    <row r="44624" spans="1:6" x14ac:dyDescent="0.25">
      <c r="A44624"/>
      <c r="B44624"/>
      <c r="C44624"/>
      <c r="E44624"/>
      <c r="F44624"/>
    </row>
    <row r="44625" spans="1:6" x14ac:dyDescent="0.25">
      <c r="A44625"/>
      <c r="B44625"/>
      <c r="C44625"/>
      <c r="E44625"/>
      <c r="F44625"/>
    </row>
    <row r="44626" spans="1:6" x14ac:dyDescent="0.25">
      <c r="A44626"/>
      <c r="B44626"/>
      <c r="C44626"/>
      <c r="E44626"/>
      <c r="F44626"/>
    </row>
    <row r="44627" spans="1:6" x14ac:dyDescent="0.25">
      <c r="A44627"/>
      <c r="B44627"/>
      <c r="C44627"/>
      <c r="E44627"/>
      <c r="F44627"/>
    </row>
    <row r="44628" spans="1:6" x14ac:dyDescent="0.25">
      <c r="A44628"/>
      <c r="B44628"/>
      <c r="C44628"/>
      <c r="E44628"/>
      <c r="F44628"/>
    </row>
    <row r="44629" spans="1:6" x14ac:dyDescent="0.25">
      <c r="A44629"/>
      <c r="B44629"/>
      <c r="C44629"/>
      <c r="E44629"/>
      <c r="F44629"/>
    </row>
    <row r="44630" spans="1:6" x14ac:dyDescent="0.25">
      <c r="A44630"/>
      <c r="B44630"/>
      <c r="C44630"/>
      <c r="E44630"/>
      <c r="F44630"/>
    </row>
    <row r="44631" spans="1:6" x14ac:dyDescent="0.25">
      <c r="A44631"/>
      <c r="B44631"/>
      <c r="C44631"/>
      <c r="E44631"/>
      <c r="F44631"/>
    </row>
    <row r="44632" spans="1:6" x14ac:dyDescent="0.25">
      <c r="A44632"/>
      <c r="B44632"/>
      <c r="C44632"/>
      <c r="E44632"/>
      <c r="F44632"/>
    </row>
    <row r="44633" spans="1:6" x14ac:dyDescent="0.25">
      <c r="A44633"/>
      <c r="B44633"/>
      <c r="C44633"/>
      <c r="E44633"/>
      <c r="F44633"/>
    </row>
    <row r="44634" spans="1:6" x14ac:dyDescent="0.25">
      <c r="A44634"/>
      <c r="B44634"/>
      <c r="C44634"/>
      <c r="E44634"/>
      <c r="F44634"/>
    </row>
    <row r="44635" spans="1:6" x14ac:dyDescent="0.25">
      <c r="A44635"/>
      <c r="B44635"/>
      <c r="C44635"/>
      <c r="E44635"/>
      <c r="F44635"/>
    </row>
    <row r="44636" spans="1:6" x14ac:dyDescent="0.25">
      <c r="A44636"/>
      <c r="B44636"/>
      <c r="C44636"/>
      <c r="E44636"/>
      <c r="F44636"/>
    </row>
    <row r="44637" spans="1:6" x14ac:dyDescent="0.25">
      <c r="A44637"/>
      <c r="B44637"/>
      <c r="C44637"/>
      <c r="E44637"/>
      <c r="F44637"/>
    </row>
    <row r="44638" spans="1:6" x14ac:dyDescent="0.25">
      <c r="A44638"/>
      <c r="B44638"/>
      <c r="C44638"/>
      <c r="E44638"/>
      <c r="F44638"/>
    </row>
    <row r="44639" spans="1:6" x14ac:dyDescent="0.25">
      <c r="A44639"/>
      <c r="B44639"/>
      <c r="C44639"/>
      <c r="E44639"/>
      <c r="F44639"/>
    </row>
    <row r="44640" spans="1:6" x14ac:dyDescent="0.25">
      <c r="A44640"/>
      <c r="B44640"/>
      <c r="C44640"/>
      <c r="E44640"/>
      <c r="F44640"/>
    </row>
    <row r="44641" spans="1:6" x14ac:dyDescent="0.25">
      <c r="A44641"/>
      <c r="B44641"/>
      <c r="C44641"/>
      <c r="E44641"/>
      <c r="F44641"/>
    </row>
    <row r="44642" spans="1:6" x14ac:dyDescent="0.25">
      <c r="A44642"/>
      <c r="B44642"/>
      <c r="C44642"/>
      <c r="E44642"/>
      <c r="F44642"/>
    </row>
    <row r="44643" spans="1:6" x14ac:dyDescent="0.25">
      <c r="A44643"/>
      <c r="B44643"/>
      <c r="C44643"/>
      <c r="E44643"/>
      <c r="F44643"/>
    </row>
    <row r="44644" spans="1:6" x14ac:dyDescent="0.25">
      <c r="A44644"/>
      <c r="B44644"/>
      <c r="C44644"/>
      <c r="E44644"/>
      <c r="F44644"/>
    </row>
    <row r="44645" spans="1:6" x14ac:dyDescent="0.25">
      <c r="A44645"/>
      <c r="B44645"/>
      <c r="C44645"/>
      <c r="E44645"/>
      <c r="F44645"/>
    </row>
    <row r="44646" spans="1:6" x14ac:dyDescent="0.25">
      <c r="A44646"/>
      <c r="B44646"/>
      <c r="C44646"/>
      <c r="E44646"/>
      <c r="F44646"/>
    </row>
    <row r="44647" spans="1:6" x14ac:dyDescent="0.25">
      <c r="A44647"/>
      <c r="B44647"/>
      <c r="C44647"/>
      <c r="E44647"/>
      <c r="F44647"/>
    </row>
    <row r="44648" spans="1:6" x14ac:dyDescent="0.25">
      <c r="A44648"/>
      <c r="B44648"/>
      <c r="C44648"/>
      <c r="E44648"/>
      <c r="F44648"/>
    </row>
    <row r="44649" spans="1:6" x14ac:dyDescent="0.25">
      <c r="A44649"/>
      <c r="B44649"/>
      <c r="C44649"/>
      <c r="E44649"/>
      <c r="F44649"/>
    </row>
    <row r="44650" spans="1:6" x14ac:dyDescent="0.25">
      <c r="A44650"/>
      <c r="B44650"/>
      <c r="C44650"/>
      <c r="E44650"/>
      <c r="F44650"/>
    </row>
    <row r="44651" spans="1:6" x14ac:dyDescent="0.25">
      <c r="A44651"/>
      <c r="B44651"/>
      <c r="C44651"/>
      <c r="E44651"/>
      <c r="F44651"/>
    </row>
    <row r="44652" spans="1:6" x14ac:dyDescent="0.25">
      <c r="A44652"/>
      <c r="B44652"/>
      <c r="C44652"/>
      <c r="E44652"/>
      <c r="F44652"/>
    </row>
    <row r="44653" spans="1:6" x14ac:dyDescent="0.25">
      <c r="A44653"/>
      <c r="B44653"/>
      <c r="C44653"/>
      <c r="E44653"/>
      <c r="F44653"/>
    </row>
    <row r="44654" spans="1:6" x14ac:dyDescent="0.25">
      <c r="A44654"/>
      <c r="B44654"/>
      <c r="C44654"/>
      <c r="E44654"/>
      <c r="F44654"/>
    </row>
    <row r="44655" spans="1:6" x14ac:dyDescent="0.25">
      <c r="A44655"/>
      <c r="B44655"/>
      <c r="C44655"/>
      <c r="E44655"/>
      <c r="F44655"/>
    </row>
    <row r="44656" spans="1:6" x14ac:dyDescent="0.25">
      <c r="A44656"/>
      <c r="B44656"/>
      <c r="C44656"/>
      <c r="E44656"/>
      <c r="F44656"/>
    </row>
    <row r="44657" spans="1:6" x14ac:dyDescent="0.25">
      <c r="A44657"/>
      <c r="B44657"/>
      <c r="C44657"/>
      <c r="E44657"/>
      <c r="F44657"/>
    </row>
    <row r="44658" spans="1:6" x14ac:dyDescent="0.25">
      <c r="A44658"/>
      <c r="B44658"/>
      <c r="C44658"/>
      <c r="E44658"/>
      <c r="F44658"/>
    </row>
    <row r="44659" spans="1:6" x14ac:dyDescent="0.25">
      <c r="A44659"/>
      <c r="B44659"/>
      <c r="C44659"/>
      <c r="E44659"/>
      <c r="F44659"/>
    </row>
    <row r="44660" spans="1:6" x14ac:dyDescent="0.25">
      <c r="A44660"/>
      <c r="B44660"/>
      <c r="C44660"/>
      <c r="E44660"/>
      <c r="F44660"/>
    </row>
    <row r="44661" spans="1:6" x14ac:dyDescent="0.25">
      <c r="A44661"/>
      <c r="B44661"/>
      <c r="C44661"/>
      <c r="E44661"/>
      <c r="F44661"/>
    </row>
    <row r="44662" spans="1:6" x14ac:dyDescent="0.25">
      <c r="A44662"/>
      <c r="B44662"/>
      <c r="C44662"/>
      <c r="E44662"/>
      <c r="F44662"/>
    </row>
    <row r="44663" spans="1:6" x14ac:dyDescent="0.25">
      <c r="A44663"/>
      <c r="B44663"/>
      <c r="C44663"/>
      <c r="E44663"/>
      <c r="F44663"/>
    </row>
    <row r="44664" spans="1:6" x14ac:dyDescent="0.25">
      <c r="A44664"/>
      <c r="B44664"/>
      <c r="C44664"/>
      <c r="E44664"/>
      <c r="F44664"/>
    </row>
    <row r="44665" spans="1:6" x14ac:dyDescent="0.25">
      <c r="A44665"/>
      <c r="B44665"/>
      <c r="C44665"/>
      <c r="E44665"/>
      <c r="F44665"/>
    </row>
    <row r="44666" spans="1:6" x14ac:dyDescent="0.25">
      <c r="A44666"/>
      <c r="B44666"/>
      <c r="C44666"/>
      <c r="E44666"/>
      <c r="F44666"/>
    </row>
    <row r="44667" spans="1:6" x14ac:dyDescent="0.25">
      <c r="A44667"/>
      <c r="B44667"/>
      <c r="C44667"/>
      <c r="E44667"/>
      <c r="F44667"/>
    </row>
    <row r="44668" spans="1:6" x14ac:dyDescent="0.25">
      <c r="A44668"/>
      <c r="B44668"/>
      <c r="C44668"/>
      <c r="E44668"/>
      <c r="F44668"/>
    </row>
    <row r="44669" spans="1:6" x14ac:dyDescent="0.25">
      <c r="A44669"/>
      <c r="B44669"/>
      <c r="C44669"/>
      <c r="E44669"/>
      <c r="F44669"/>
    </row>
    <row r="44670" spans="1:6" x14ac:dyDescent="0.25">
      <c r="A44670"/>
      <c r="B44670"/>
      <c r="C44670"/>
      <c r="E44670"/>
      <c r="F44670"/>
    </row>
    <row r="44671" spans="1:6" x14ac:dyDescent="0.25">
      <c r="A44671"/>
      <c r="B44671"/>
      <c r="C44671"/>
      <c r="E44671"/>
      <c r="F44671"/>
    </row>
    <row r="44672" spans="1:6" x14ac:dyDescent="0.25">
      <c r="A44672"/>
      <c r="B44672"/>
      <c r="C44672"/>
      <c r="E44672"/>
      <c r="F44672"/>
    </row>
    <row r="44673" spans="1:6" x14ac:dyDescent="0.25">
      <c r="A44673"/>
      <c r="B44673"/>
      <c r="C44673"/>
      <c r="E44673"/>
      <c r="F44673"/>
    </row>
    <row r="44674" spans="1:6" x14ac:dyDescent="0.25">
      <c r="A44674"/>
      <c r="B44674"/>
      <c r="C44674"/>
      <c r="E44674"/>
      <c r="F44674"/>
    </row>
    <row r="44675" spans="1:6" x14ac:dyDescent="0.25">
      <c r="A44675"/>
      <c r="B44675"/>
      <c r="C44675"/>
      <c r="E44675"/>
      <c r="F44675"/>
    </row>
    <row r="44676" spans="1:6" x14ac:dyDescent="0.25">
      <c r="A44676"/>
      <c r="B44676"/>
      <c r="C44676"/>
      <c r="E44676"/>
      <c r="F44676"/>
    </row>
    <row r="44677" spans="1:6" x14ac:dyDescent="0.25">
      <c r="A44677"/>
      <c r="B44677"/>
      <c r="C44677"/>
      <c r="E44677"/>
      <c r="F44677"/>
    </row>
    <row r="44678" spans="1:6" x14ac:dyDescent="0.25">
      <c r="A44678"/>
      <c r="B44678"/>
      <c r="C44678"/>
      <c r="E44678"/>
      <c r="F44678"/>
    </row>
    <row r="44679" spans="1:6" x14ac:dyDescent="0.25">
      <c r="A44679"/>
      <c r="B44679"/>
      <c r="C44679"/>
      <c r="E44679"/>
      <c r="F44679"/>
    </row>
    <row r="44680" spans="1:6" x14ac:dyDescent="0.25">
      <c r="A44680"/>
      <c r="B44680"/>
      <c r="C44680"/>
      <c r="E44680"/>
      <c r="F44680"/>
    </row>
    <row r="44681" spans="1:6" x14ac:dyDescent="0.25">
      <c r="A44681"/>
      <c r="B44681"/>
      <c r="C44681"/>
      <c r="E44681"/>
      <c r="F44681"/>
    </row>
    <row r="44682" spans="1:6" x14ac:dyDescent="0.25">
      <c r="A44682"/>
      <c r="B44682"/>
      <c r="C44682"/>
      <c r="E44682"/>
      <c r="F44682"/>
    </row>
    <row r="44683" spans="1:6" x14ac:dyDescent="0.25">
      <c r="A44683"/>
      <c r="B44683"/>
      <c r="C44683"/>
      <c r="E44683"/>
      <c r="F44683"/>
    </row>
    <row r="44684" spans="1:6" x14ac:dyDescent="0.25">
      <c r="A44684"/>
      <c r="B44684"/>
      <c r="C44684"/>
      <c r="E44684"/>
      <c r="F44684"/>
    </row>
    <row r="44685" spans="1:6" x14ac:dyDescent="0.25">
      <c r="A44685"/>
      <c r="B44685"/>
      <c r="C44685"/>
      <c r="E44685"/>
      <c r="F44685"/>
    </row>
    <row r="44686" spans="1:6" x14ac:dyDescent="0.25">
      <c r="A44686"/>
      <c r="B44686"/>
      <c r="C44686"/>
      <c r="E44686"/>
      <c r="F44686"/>
    </row>
    <row r="44687" spans="1:6" x14ac:dyDescent="0.25">
      <c r="A44687"/>
      <c r="B44687"/>
      <c r="C44687"/>
      <c r="E44687"/>
      <c r="F44687"/>
    </row>
    <row r="44688" spans="1:6" x14ac:dyDescent="0.25">
      <c r="A44688"/>
      <c r="B44688"/>
      <c r="C44688"/>
      <c r="E44688"/>
      <c r="F44688"/>
    </row>
    <row r="44689" spans="1:6" x14ac:dyDescent="0.25">
      <c r="A44689"/>
      <c r="B44689"/>
      <c r="C44689"/>
      <c r="E44689"/>
      <c r="F44689"/>
    </row>
    <row r="44690" spans="1:6" x14ac:dyDescent="0.25">
      <c r="A44690"/>
      <c r="B44690"/>
      <c r="C44690"/>
      <c r="E44690"/>
      <c r="F44690"/>
    </row>
    <row r="44691" spans="1:6" x14ac:dyDescent="0.25">
      <c r="A44691"/>
      <c r="B44691"/>
      <c r="C44691"/>
      <c r="E44691"/>
      <c r="F44691"/>
    </row>
    <row r="44692" spans="1:6" x14ac:dyDescent="0.25">
      <c r="A44692"/>
      <c r="B44692"/>
      <c r="C44692"/>
      <c r="E44692"/>
      <c r="F44692"/>
    </row>
    <row r="44693" spans="1:6" x14ac:dyDescent="0.25">
      <c r="A44693"/>
      <c r="B44693"/>
      <c r="C44693"/>
      <c r="E44693"/>
      <c r="F44693"/>
    </row>
    <row r="44694" spans="1:6" x14ac:dyDescent="0.25">
      <c r="A44694"/>
      <c r="B44694"/>
      <c r="C44694"/>
      <c r="E44694"/>
      <c r="F44694"/>
    </row>
    <row r="44695" spans="1:6" x14ac:dyDescent="0.25">
      <c r="A44695"/>
      <c r="B44695"/>
      <c r="C44695"/>
      <c r="E44695"/>
      <c r="F44695"/>
    </row>
    <row r="44696" spans="1:6" x14ac:dyDescent="0.25">
      <c r="A44696"/>
      <c r="B44696"/>
      <c r="C44696"/>
      <c r="E44696"/>
      <c r="F44696"/>
    </row>
    <row r="44697" spans="1:6" x14ac:dyDescent="0.25">
      <c r="A44697"/>
      <c r="B44697"/>
      <c r="C44697"/>
      <c r="E44697"/>
      <c r="F44697"/>
    </row>
    <row r="44698" spans="1:6" x14ac:dyDescent="0.25">
      <c r="A44698"/>
      <c r="B44698"/>
      <c r="C44698"/>
      <c r="E44698"/>
      <c r="F44698"/>
    </row>
    <row r="44699" spans="1:6" x14ac:dyDescent="0.25">
      <c r="A44699"/>
      <c r="B44699"/>
      <c r="C44699"/>
      <c r="E44699"/>
      <c r="F44699"/>
    </row>
    <row r="44700" spans="1:6" x14ac:dyDescent="0.25">
      <c r="A44700"/>
      <c r="B44700"/>
      <c r="C44700"/>
      <c r="E44700"/>
      <c r="F44700"/>
    </row>
    <row r="44701" spans="1:6" x14ac:dyDescent="0.25">
      <c r="A44701"/>
      <c r="B44701"/>
      <c r="C44701"/>
      <c r="E44701"/>
      <c r="F44701"/>
    </row>
    <row r="44702" spans="1:6" x14ac:dyDescent="0.25">
      <c r="A44702"/>
      <c r="B44702"/>
      <c r="C44702"/>
      <c r="E44702"/>
      <c r="F44702"/>
    </row>
    <row r="44703" spans="1:6" x14ac:dyDescent="0.25">
      <c r="A44703"/>
      <c r="B44703"/>
      <c r="C44703"/>
      <c r="E44703"/>
      <c r="F44703"/>
    </row>
    <row r="44704" spans="1:6" x14ac:dyDescent="0.25">
      <c r="A44704"/>
      <c r="B44704"/>
      <c r="C44704"/>
      <c r="E44704"/>
      <c r="F44704"/>
    </row>
    <row r="44705" spans="1:6" x14ac:dyDescent="0.25">
      <c r="A44705"/>
      <c r="B44705"/>
      <c r="C44705"/>
      <c r="E44705"/>
      <c r="F44705"/>
    </row>
    <row r="44706" spans="1:6" x14ac:dyDescent="0.25">
      <c r="A44706"/>
      <c r="B44706"/>
      <c r="C44706"/>
      <c r="E44706"/>
      <c r="F44706"/>
    </row>
    <row r="44707" spans="1:6" x14ac:dyDescent="0.25">
      <c r="A44707"/>
      <c r="B44707"/>
      <c r="C44707"/>
      <c r="E44707"/>
      <c r="F44707"/>
    </row>
    <row r="44708" spans="1:6" x14ac:dyDescent="0.25">
      <c r="A44708"/>
      <c r="B44708"/>
      <c r="C44708"/>
      <c r="E44708"/>
      <c r="F44708"/>
    </row>
    <row r="44709" spans="1:6" x14ac:dyDescent="0.25">
      <c r="A44709"/>
      <c r="B44709"/>
      <c r="C44709"/>
      <c r="E44709"/>
      <c r="F44709"/>
    </row>
    <row r="44710" spans="1:6" x14ac:dyDescent="0.25">
      <c r="A44710"/>
      <c r="B44710"/>
      <c r="C44710"/>
      <c r="E44710"/>
      <c r="F44710"/>
    </row>
    <row r="44711" spans="1:6" x14ac:dyDescent="0.25">
      <c r="A44711"/>
      <c r="B44711"/>
      <c r="C44711"/>
      <c r="E44711"/>
      <c r="F44711"/>
    </row>
    <row r="44712" spans="1:6" x14ac:dyDescent="0.25">
      <c r="A44712"/>
      <c r="B44712"/>
      <c r="C44712"/>
      <c r="E44712"/>
      <c r="F44712"/>
    </row>
    <row r="44713" spans="1:6" x14ac:dyDescent="0.25">
      <c r="A44713"/>
      <c r="B44713"/>
      <c r="C44713"/>
      <c r="E44713"/>
      <c r="F44713"/>
    </row>
    <row r="44714" spans="1:6" x14ac:dyDescent="0.25">
      <c r="A44714"/>
      <c r="B44714"/>
      <c r="C44714"/>
      <c r="E44714"/>
      <c r="F44714"/>
    </row>
    <row r="44715" spans="1:6" x14ac:dyDescent="0.25">
      <c r="A44715"/>
      <c r="B44715"/>
      <c r="C44715"/>
      <c r="E44715"/>
      <c r="F44715"/>
    </row>
    <row r="44716" spans="1:6" x14ac:dyDescent="0.25">
      <c r="A44716"/>
      <c r="B44716"/>
      <c r="C44716"/>
      <c r="E44716"/>
      <c r="F44716"/>
    </row>
    <row r="44717" spans="1:6" x14ac:dyDescent="0.25">
      <c r="A44717"/>
      <c r="B44717"/>
      <c r="C44717"/>
      <c r="E44717"/>
      <c r="F44717"/>
    </row>
    <row r="44718" spans="1:6" x14ac:dyDescent="0.25">
      <c r="A44718"/>
      <c r="B44718"/>
      <c r="C44718"/>
      <c r="E44718"/>
      <c r="F44718"/>
    </row>
    <row r="44719" spans="1:6" x14ac:dyDescent="0.25">
      <c r="A44719"/>
      <c r="B44719"/>
      <c r="C44719"/>
      <c r="E44719"/>
      <c r="F44719"/>
    </row>
    <row r="44720" spans="1:6" x14ac:dyDescent="0.25">
      <c r="A44720"/>
      <c r="B44720"/>
      <c r="C44720"/>
      <c r="E44720"/>
      <c r="F44720"/>
    </row>
    <row r="44721" spans="1:6" x14ac:dyDescent="0.25">
      <c r="A44721"/>
      <c r="B44721"/>
      <c r="C44721"/>
      <c r="E44721"/>
      <c r="F44721"/>
    </row>
    <row r="44722" spans="1:6" x14ac:dyDescent="0.25">
      <c r="A44722"/>
      <c r="B44722"/>
      <c r="C44722"/>
      <c r="E44722"/>
      <c r="F44722"/>
    </row>
    <row r="44723" spans="1:6" x14ac:dyDescent="0.25">
      <c r="A44723"/>
      <c r="B44723"/>
      <c r="C44723"/>
      <c r="E44723"/>
      <c r="F44723"/>
    </row>
    <row r="44724" spans="1:6" x14ac:dyDescent="0.25">
      <c r="A44724"/>
      <c r="B44724"/>
      <c r="C44724"/>
      <c r="E44724"/>
      <c r="F44724"/>
    </row>
    <row r="44725" spans="1:6" x14ac:dyDescent="0.25">
      <c r="A44725"/>
      <c r="B44725"/>
      <c r="C44725"/>
      <c r="E44725"/>
      <c r="F44725"/>
    </row>
    <row r="44726" spans="1:6" x14ac:dyDescent="0.25">
      <c r="A44726"/>
      <c r="B44726"/>
      <c r="C44726"/>
      <c r="E44726"/>
      <c r="F44726"/>
    </row>
    <row r="44727" spans="1:6" x14ac:dyDescent="0.25">
      <c r="A44727"/>
      <c r="B44727"/>
      <c r="C44727"/>
      <c r="E44727"/>
      <c r="F44727"/>
    </row>
    <row r="44728" spans="1:6" x14ac:dyDescent="0.25">
      <c r="A44728"/>
      <c r="B44728"/>
      <c r="C44728"/>
      <c r="E44728"/>
      <c r="F44728"/>
    </row>
    <row r="44729" spans="1:6" x14ac:dyDescent="0.25">
      <c r="A44729"/>
      <c r="B44729"/>
      <c r="C44729"/>
      <c r="E44729"/>
      <c r="F44729"/>
    </row>
    <row r="44730" spans="1:6" x14ac:dyDescent="0.25">
      <c r="A44730"/>
      <c r="B44730"/>
      <c r="C44730"/>
      <c r="E44730"/>
      <c r="F44730"/>
    </row>
    <row r="44731" spans="1:6" x14ac:dyDescent="0.25">
      <c r="A44731"/>
      <c r="B44731"/>
      <c r="C44731"/>
      <c r="E44731"/>
      <c r="F44731"/>
    </row>
    <row r="44732" spans="1:6" x14ac:dyDescent="0.25">
      <c r="A44732"/>
      <c r="B44732"/>
      <c r="C44732"/>
      <c r="E44732"/>
      <c r="F44732"/>
    </row>
    <row r="44733" spans="1:6" x14ac:dyDescent="0.25">
      <c r="A44733"/>
      <c r="B44733"/>
      <c r="C44733"/>
      <c r="E44733"/>
      <c r="F44733"/>
    </row>
    <row r="44734" spans="1:6" x14ac:dyDescent="0.25">
      <c r="A44734"/>
      <c r="B44734"/>
      <c r="C44734"/>
      <c r="E44734"/>
      <c r="F44734"/>
    </row>
    <row r="44735" spans="1:6" x14ac:dyDescent="0.25">
      <c r="A44735"/>
      <c r="B44735"/>
      <c r="C44735"/>
      <c r="E44735"/>
      <c r="F44735"/>
    </row>
    <row r="44736" spans="1:6" x14ac:dyDescent="0.25">
      <c r="A44736"/>
      <c r="B44736"/>
      <c r="C44736"/>
      <c r="E44736"/>
      <c r="F44736"/>
    </row>
    <row r="44737" spans="1:6" x14ac:dyDescent="0.25">
      <c r="A44737"/>
      <c r="B44737"/>
      <c r="C44737"/>
      <c r="E44737"/>
      <c r="F44737"/>
    </row>
    <row r="44738" spans="1:6" x14ac:dyDescent="0.25">
      <c r="A44738"/>
      <c r="B44738"/>
      <c r="C44738"/>
      <c r="E44738"/>
      <c r="F44738"/>
    </row>
    <row r="44739" spans="1:6" x14ac:dyDescent="0.25">
      <c r="A44739"/>
      <c r="B44739"/>
      <c r="C44739"/>
      <c r="E44739"/>
      <c r="F44739"/>
    </row>
    <row r="44740" spans="1:6" x14ac:dyDescent="0.25">
      <c r="A44740"/>
      <c r="B44740"/>
      <c r="C44740"/>
      <c r="E44740"/>
      <c r="F44740"/>
    </row>
    <row r="44741" spans="1:6" x14ac:dyDescent="0.25">
      <c r="A44741"/>
      <c r="B44741"/>
      <c r="C44741"/>
      <c r="E44741"/>
      <c r="F44741"/>
    </row>
    <row r="44742" spans="1:6" x14ac:dyDescent="0.25">
      <c r="A44742"/>
      <c r="B44742"/>
      <c r="C44742"/>
      <c r="E44742"/>
      <c r="F44742"/>
    </row>
    <row r="44743" spans="1:6" x14ac:dyDescent="0.25">
      <c r="A44743"/>
      <c r="B44743"/>
      <c r="C44743"/>
      <c r="E44743"/>
      <c r="F44743"/>
    </row>
    <row r="44744" spans="1:6" x14ac:dyDescent="0.25">
      <c r="A44744"/>
      <c r="B44744"/>
      <c r="C44744"/>
      <c r="E44744"/>
      <c r="F44744"/>
    </row>
    <row r="44745" spans="1:6" x14ac:dyDescent="0.25">
      <c r="A44745"/>
      <c r="B44745"/>
      <c r="C44745"/>
      <c r="E44745"/>
      <c r="F44745"/>
    </row>
    <row r="44746" spans="1:6" x14ac:dyDescent="0.25">
      <c r="A44746"/>
      <c r="B44746"/>
      <c r="C44746"/>
      <c r="E44746"/>
      <c r="F44746"/>
    </row>
    <row r="44747" spans="1:6" x14ac:dyDescent="0.25">
      <c r="A44747"/>
      <c r="B44747"/>
      <c r="C44747"/>
      <c r="E44747"/>
      <c r="F44747"/>
    </row>
    <row r="44748" spans="1:6" x14ac:dyDescent="0.25">
      <c r="A44748"/>
      <c r="B44748"/>
      <c r="C44748"/>
      <c r="E44748"/>
      <c r="F44748"/>
    </row>
    <row r="44749" spans="1:6" x14ac:dyDescent="0.25">
      <c r="A44749"/>
      <c r="B44749"/>
      <c r="C44749"/>
      <c r="E44749"/>
      <c r="F44749"/>
    </row>
    <row r="44750" spans="1:6" x14ac:dyDescent="0.25">
      <c r="A44750"/>
      <c r="B44750"/>
      <c r="C44750"/>
      <c r="E44750"/>
      <c r="F44750"/>
    </row>
    <row r="44751" spans="1:6" x14ac:dyDescent="0.25">
      <c r="A44751"/>
      <c r="B44751"/>
      <c r="C44751"/>
      <c r="E44751"/>
      <c r="F44751"/>
    </row>
    <row r="44752" spans="1:6" x14ac:dyDescent="0.25">
      <c r="A44752"/>
      <c r="B44752"/>
      <c r="C44752"/>
      <c r="E44752"/>
      <c r="F44752"/>
    </row>
    <row r="44753" spans="1:6" x14ac:dyDescent="0.25">
      <c r="A44753"/>
      <c r="B44753"/>
      <c r="C44753"/>
      <c r="E44753"/>
      <c r="F44753"/>
    </row>
    <row r="44754" spans="1:6" x14ac:dyDescent="0.25">
      <c r="A44754"/>
      <c r="B44754"/>
      <c r="C44754"/>
      <c r="E44754"/>
      <c r="F44754"/>
    </row>
    <row r="44755" spans="1:6" x14ac:dyDescent="0.25">
      <c r="A44755"/>
      <c r="B44755"/>
      <c r="C44755"/>
      <c r="E44755"/>
      <c r="F44755"/>
    </row>
    <row r="44756" spans="1:6" x14ac:dyDescent="0.25">
      <c r="A44756"/>
      <c r="B44756"/>
      <c r="C44756"/>
      <c r="E44756"/>
      <c r="F44756"/>
    </row>
    <row r="44757" spans="1:6" x14ac:dyDescent="0.25">
      <c r="A44757"/>
      <c r="B44757"/>
      <c r="C44757"/>
      <c r="E44757"/>
      <c r="F44757"/>
    </row>
    <row r="44758" spans="1:6" x14ac:dyDescent="0.25">
      <c r="A44758"/>
      <c r="B44758"/>
      <c r="C44758"/>
      <c r="E44758"/>
      <c r="F44758"/>
    </row>
    <row r="44759" spans="1:6" x14ac:dyDescent="0.25">
      <c r="A44759"/>
      <c r="B44759"/>
      <c r="C44759"/>
      <c r="E44759"/>
      <c r="F44759"/>
    </row>
    <row r="44760" spans="1:6" x14ac:dyDescent="0.25">
      <c r="A44760"/>
      <c r="B44760"/>
      <c r="C44760"/>
      <c r="E44760"/>
      <c r="F44760"/>
    </row>
    <row r="44761" spans="1:6" x14ac:dyDescent="0.25">
      <c r="A44761"/>
      <c r="B44761"/>
      <c r="C44761"/>
      <c r="E44761"/>
      <c r="F44761"/>
    </row>
    <row r="44762" spans="1:6" x14ac:dyDescent="0.25">
      <c r="A44762"/>
      <c r="B44762"/>
      <c r="C44762"/>
      <c r="E44762"/>
      <c r="F44762"/>
    </row>
    <row r="44763" spans="1:6" x14ac:dyDescent="0.25">
      <c r="A44763"/>
      <c r="B44763"/>
      <c r="C44763"/>
      <c r="E44763"/>
      <c r="F44763"/>
    </row>
    <row r="44764" spans="1:6" x14ac:dyDescent="0.25">
      <c r="A44764"/>
      <c r="B44764"/>
      <c r="C44764"/>
      <c r="E44764"/>
      <c r="F44764"/>
    </row>
    <row r="44765" spans="1:6" x14ac:dyDescent="0.25">
      <c r="A44765"/>
      <c r="B44765"/>
      <c r="C44765"/>
      <c r="E44765"/>
      <c r="F44765"/>
    </row>
    <row r="44766" spans="1:6" x14ac:dyDescent="0.25">
      <c r="A44766"/>
      <c r="B44766"/>
      <c r="C44766"/>
      <c r="E44766"/>
      <c r="F44766"/>
    </row>
    <row r="44767" spans="1:6" x14ac:dyDescent="0.25">
      <c r="A44767"/>
      <c r="B44767"/>
      <c r="C44767"/>
      <c r="E44767"/>
      <c r="F44767"/>
    </row>
    <row r="44768" spans="1:6" x14ac:dyDescent="0.25">
      <c r="A44768"/>
      <c r="B44768"/>
      <c r="C44768"/>
      <c r="E44768"/>
      <c r="F44768"/>
    </row>
    <row r="44769" spans="1:6" x14ac:dyDescent="0.25">
      <c r="A44769"/>
      <c r="B44769"/>
      <c r="C44769"/>
      <c r="E44769"/>
      <c r="F44769"/>
    </row>
    <row r="44770" spans="1:6" x14ac:dyDescent="0.25">
      <c r="A44770"/>
      <c r="B44770"/>
      <c r="C44770"/>
      <c r="E44770"/>
      <c r="F44770"/>
    </row>
    <row r="44771" spans="1:6" x14ac:dyDescent="0.25">
      <c r="A44771"/>
      <c r="B44771"/>
      <c r="C44771"/>
      <c r="E44771"/>
      <c r="F44771"/>
    </row>
    <row r="44772" spans="1:6" x14ac:dyDescent="0.25">
      <c r="A44772"/>
      <c r="B44772"/>
      <c r="C44772"/>
      <c r="E44772"/>
      <c r="F44772"/>
    </row>
    <row r="44773" spans="1:6" x14ac:dyDescent="0.25">
      <c r="A44773"/>
      <c r="B44773"/>
      <c r="C44773"/>
      <c r="E44773"/>
      <c r="F44773"/>
    </row>
    <row r="44774" spans="1:6" x14ac:dyDescent="0.25">
      <c r="A44774"/>
      <c r="B44774"/>
      <c r="C44774"/>
      <c r="E44774"/>
      <c r="F44774"/>
    </row>
    <row r="44775" spans="1:6" x14ac:dyDescent="0.25">
      <c r="A44775"/>
      <c r="B44775"/>
      <c r="C44775"/>
      <c r="E44775"/>
      <c r="F44775"/>
    </row>
    <row r="44776" spans="1:6" x14ac:dyDescent="0.25">
      <c r="A44776"/>
      <c r="B44776"/>
      <c r="C44776"/>
      <c r="E44776"/>
      <c r="F44776"/>
    </row>
    <row r="44777" spans="1:6" x14ac:dyDescent="0.25">
      <c r="A44777"/>
      <c r="B44777"/>
      <c r="C44777"/>
      <c r="E44777"/>
      <c r="F44777"/>
    </row>
    <row r="44778" spans="1:6" x14ac:dyDescent="0.25">
      <c r="A44778"/>
      <c r="B44778"/>
      <c r="C44778"/>
      <c r="E44778"/>
      <c r="F44778"/>
    </row>
    <row r="44779" spans="1:6" x14ac:dyDescent="0.25">
      <c r="A44779"/>
      <c r="B44779"/>
      <c r="C44779"/>
      <c r="E44779"/>
      <c r="F44779"/>
    </row>
    <row r="44780" spans="1:6" x14ac:dyDescent="0.25">
      <c r="A44780"/>
      <c r="B44780"/>
      <c r="C44780"/>
      <c r="E44780"/>
      <c r="F44780"/>
    </row>
    <row r="44781" spans="1:6" x14ac:dyDescent="0.25">
      <c r="A44781"/>
      <c r="B44781"/>
      <c r="C44781"/>
      <c r="E44781"/>
      <c r="F44781"/>
    </row>
    <row r="44782" spans="1:6" x14ac:dyDescent="0.25">
      <c r="A44782"/>
      <c r="B44782"/>
      <c r="C44782"/>
      <c r="E44782"/>
      <c r="F44782"/>
    </row>
    <row r="44783" spans="1:6" x14ac:dyDescent="0.25">
      <c r="A44783"/>
      <c r="B44783"/>
      <c r="C44783"/>
      <c r="E44783"/>
      <c r="F44783"/>
    </row>
    <row r="44784" spans="1:6" x14ac:dyDescent="0.25">
      <c r="A44784"/>
      <c r="B44784"/>
      <c r="C44784"/>
      <c r="E44784"/>
      <c r="F44784"/>
    </row>
    <row r="44785" spans="1:6" x14ac:dyDescent="0.25">
      <c r="A44785"/>
      <c r="B44785"/>
      <c r="C44785"/>
      <c r="E44785"/>
      <c r="F44785"/>
    </row>
    <row r="44786" spans="1:6" x14ac:dyDescent="0.25">
      <c r="A44786"/>
      <c r="B44786"/>
      <c r="C44786"/>
      <c r="E44786"/>
      <c r="F44786"/>
    </row>
    <row r="44787" spans="1:6" x14ac:dyDescent="0.25">
      <c r="A44787"/>
      <c r="B44787"/>
      <c r="C44787"/>
      <c r="E44787"/>
      <c r="F44787"/>
    </row>
    <row r="44788" spans="1:6" x14ac:dyDescent="0.25">
      <c r="A44788"/>
      <c r="B44788"/>
      <c r="C44788"/>
      <c r="E44788"/>
      <c r="F44788"/>
    </row>
    <row r="44789" spans="1:6" x14ac:dyDescent="0.25">
      <c r="A44789"/>
      <c r="B44789"/>
      <c r="C44789"/>
      <c r="E44789"/>
      <c r="F44789"/>
    </row>
    <row r="44790" spans="1:6" x14ac:dyDescent="0.25">
      <c r="A44790"/>
      <c r="B44790"/>
      <c r="C44790"/>
      <c r="E44790"/>
      <c r="F44790"/>
    </row>
    <row r="44791" spans="1:6" x14ac:dyDescent="0.25">
      <c r="A44791"/>
      <c r="B44791"/>
      <c r="C44791"/>
      <c r="E44791"/>
      <c r="F44791"/>
    </row>
    <row r="44792" spans="1:6" x14ac:dyDescent="0.25">
      <c r="A44792"/>
      <c r="B44792"/>
      <c r="C44792"/>
      <c r="E44792"/>
      <c r="F44792"/>
    </row>
    <row r="44793" spans="1:6" x14ac:dyDescent="0.25">
      <c r="A44793"/>
      <c r="B44793"/>
      <c r="C44793"/>
      <c r="E44793"/>
      <c r="F44793"/>
    </row>
    <row r="44794" spans="1:6" x14ac:dyDescent="0.25">
      <c r="A44794"/>
      <c r="B44794"/>
      <c r="C44794"/>
      <c r="E44794"/>
      <c r="F44794"/>
    </row>
    <row r="44795" spans="1:6" x14ac:dyDescent="0.25">
      <c r="A44795"/>
      <c r="B44795"/>
      <c r="C44795"/>
      <c r="E44795"/>
      <c r="F44795"/>
    </row>
    <row r="44796" spans="1:6" x14ac:dyDescent="0.25">
      <c r="A44796"/>
      <c r="B44796"/>
      <c r="C44796"/>
      <c r="E44796"/>
      <c r="F44796"/>
    </row>
    <row r="44797" spans="1:6" x14ac:dyDescent="0.25">
      <c r="A44797"/>
      <c r="B44797"/>
      <c r="C44797"/>
      <c r="E44797"/>
      <c r="F44797"/>
    </row>
    <row r="44798" spans="1:6" x14ac:dyDescent="0.25">
      <c r="A44798"/>
      <c r="B44798"/>
      <c r="C44798"/>
      <c r="E44798"/>
      <c r="F44798"/>
    </row>
    <row r="44799" spans="1:6" x14ac:dyDescent="0.25">
      <c r="A44799"/>
      <c r="B44799"/>
      <c r="C44799"/>
      <c r="E44799"/>
      <c r="F44799"/>
    </row>
    <row r="44800" spans="1:6" x14ac:dyDescent="0.25">
      <c r="A44800"/>
      <c r="B44800"/>
      <c r="C44800"/>
      <c r="E44800"/>
      <c r="F44800"/>
    </row>
    <row r="44801" spans="1:6" x14ac:dyDescent="0.25">
      <c r="A44801"/>
      <c r="B44801"/>
      <c r="C44801"/>
      <c r="E44801"/>
      <c r="F44801"/>
    </row>
    <row r="44802" spans="1:6" x14ac:dyDescent="0.25">
      <c r="A44802"/>
      <c r="B44802"/>
      <c r="C44802"/>
      <c r="E44802"/>
      <c r="F44802"/>
    </row>
    <row r="44803" spans="1:6" x14ac:dyDescent="0.25">
      <c r="A44803"/>
      <c r="B44803"/>
      <c r="C44803"/>
      <c r="E44803"/>
      <c r="F44803"/>
    </row>
    <row r="44804" spans="1:6" x14ac:dyDescent="0.25">
      <c r="A44804"/>
      <c r="B44804"/>
      <c r="C44804"/>
      <c r="E44804"/>
      <c r="F44804"/>
    </row>
    <row r="44805" spans="1:6" x14ac:dyDescent="0.25">
      <c r="A44805"/>
      <c r="B44805"/>
      <c r="C44805"/>
      <c r="E44805"/>
      <c r="F44805"/>
    </row>
    <row r="44806" spans="1:6" x14ac:dyDescent="0.25">
      <c r="A44806"/>
      <c r="B44806"/>
      <c r="C44806"/>
      <c r="E44806"/>
      <c r="F44806"/>
    </row>
    <row r="44807" spans="1:6" x14ac:dyDescent="0.25">
      <c r="A44807"/>
      <c r="B44807"/>
      <c r="C44807"/>
      <c r="E44807"/>
      <c r="F44807"/>
    </row>
    <row r="44808" spans="1:6" x14ac:dyDescent="0.25">
      <c r="A44808"/>
      <c r="B44808"/>
      <c r="C44808"/>
      <c r="E44808"/>
      <c r="F44808"/>
    </row>
    <row r="44809" spans="1:6" x14ac:dyDescent="0.25">
      <c r="A44809"/>
      <c r="B44809"/>
      <c r="C44809"/>
      <c r="E44809"/>
      <c r="F44809"/>
    </row>
    <row r="44810" spans="1:6" x14ac:dyDescent="0.25">
      <c r="A44810"/>
      <c r="B44810"/>
      <c r="C44810"/>
      <c r="E44810"/>
      <c r="F44810"/>
    </row>
    <row r="44811" spans="1:6" x14ac:dyDescent="0.25">
      <c r="A44811"/>
      <c r="B44811"/>
      <c r="C44811"/>
      <c r="E44811"/>
      <c r="F44811"/>
    </row>
    <row r="44812" spans="1:6" x14ac:dyDescent="0.25">
      <c r="A44812"/>
      <c r="B44812"/>
      <c r="C44812"/>
      <c r="E44812"/>
      <c r="F44812"/>
    </row>
    <row r="44813" spans="1:6" x14ac:dyDescent="0.25">
      <c r="A44813"/>
      <c r="B44813"/>
      <c r="C44813"/>
      <c r="E44813"/>
      <c r="F44813"/>
    </row>
    <row r="44814" spans="1:6" x14ac:dyDescent="0.25">
      <c r="A44814"/>
      <c r="B44814"/>
      <c r="C44814"/>
      <c r="E44814"/>
      <c r="F44814"/>
    </row>
    <row r="44815" spans="1:6" x14ac:dyDescent="0.25">
      <c r="A44815"/>
      <c r="B44815"/>
      <c r="C44815"/>
      <c r="E44815"/>
      <c r="F44815"/>
    </row>
    <row r="44816" spans="1:6" x14ac:dyDescent="0.25">
      <c r="A44816"/>
      <c r="B44816"/>
      <c r="C44816"/>
      <c r="E44816"/>
      <c r="F44816"/>
    </row>
    <row r="44817" spans="1:6" x14ac:dyDescent="0.25">
      <c r="A44817"/>
      <c r="B44817"/>
      <c r="C44817"/>
      <c r="E44817"/>
      <c r="F44817"/>
    </row>
    <row r="44818" spans="1:6" x14ac:dyDescent="0.25">
      <c r="A44818"/>
      <c r="B44818"/>
      <c r="C44818"/>
      <c r="E44818"/>
      <c r="F44818"/>
    </row>
    <row r="44819" spans="1:6" x14ac:dyDescent="0.25">
      <c r="A44819"/>
      <c r="B44819"/>
      <c r="C44819"/>
      <c r="E44819"/>
      <c r="F44819"/>
    </row>
    <row r="44820" spans="1:6" x14ac:dyDescent="0.25">
      <c r="A44820"/>
      <c r="B44820"/>
      <c r="C44820"/>
      <c r="E44820"/>
      <c r="F44820"/>
    </row>
    <row r="44821" spans="1:6" x14ac:dyDescent="0.25">
      <c r="A44821"/>
      <c r="B44821"/>
      <c r="C44821"/>
      <c r="E44821"/>
      <c r="F44821"/>
    </row>
    <row r="44822" spans="1:6" x14ac:dyDescent="0.25">
      <c r="A44822"/>
      <c r="B44822"/>
      <c r="C44822"/>
      <c r="E44822"/>
      <c r="F44822"/>
    </row>
    <row r="44823" spans="1:6" x14ac:dyDescent="0.25">
      <c r="A44823"/>
      <c r="B44823"/>
      <c r="C44823"/>
      <c r="E44823"/>
      <c r="F44823"/>
    </row>
    <row r="44824" spans="1:6" x14ac:dyDescent="0.25">
      <c r="A44824"/>
      <c r="B44824"/>
      <c r="C44824"/>
      <c r="E44824"/>
      <c r="F44824"/>
    </row>
    <row r="44825" spans="1:6" x14ac:dyDescent="0.25">
      <c r="A44825"/>
      <c r="B44825"/>
      <c r="C44825"/>
      <c r="E44825"/>
      <c r="F44825"/>
    </row>
    <row r="44826" spans="1:6" x14ac:dyDescent="0.25">
      <c r="A44826"/>
      <c r="B44826"/>
      <c r="C44826"/>
      <c r="E44826"/>
      <c r="F44826"/>
    </row>
    <row r="44827" spans="1:6" x14ac:dyDescent="0.25">
      <c r="A44827"/>
      <c r="B44827"/>
      <c r="C44827"/>
      <c r="E44827"/>
      <c r="F44827"/>
    </row>
    <row r="44828" spans="1:6" x14ac:dyDescent="0.25">
      <c r="A44828"/>
      <c r="B44828"/>
      <c r="C44828"/>
      <c r="E44828"/>
      <c r="F44828"/>
    </row>
    <row r="44829" spans="1:6" x14ac:dyDescent="0.25">
      <c r="A44829"/>
      <c r="B44829"/>
      <c r="C44829"/>
      <c r="E44829"/>
      <c r="F44829"/>
    </row>
    <row r="44830" spans="1:6" x14ac:dyDescent="0.25">
      <c r="A44830"/>
      <c r="B44830"/>
      <c r="C44830"/>
      <c r="E44830"/>
      <c r="F44830"/>
    </row>
    <row r="44831" spans="1:6" x14ac:dyDescent="0.25">
      <c r="A44831"/>
      <c r="B44831"/>
      <c r="C44831"/>
      <c r="E44831"/>
      <c r="F44831"/>
    </row>
    <row r="44832" spans="1:6" x14ac:dyDescent="0.25">
      <c r="A44832"/>
      <c r="B44832"/>
      <c r="C44832"/>
      <c r="E44832"/>
      <c r="F44832"/>
    </row>
    <row r="44833" spans="1:6" x14ac:dyDescent="0.25">
      <c r="A44833"/>
      <c r="B44833"/>
      <c r="C44833"/>
      <c r="E44833"/>
      <c r="F44833"/>
    </row>
    <row r="44834" spans="1:6" x14ac:dyDescent="0.25">
      <c r="A44834"/>
      <c r="B44834"/>
      <c r="C44834"/>
      <c r="E44834"/>
      <c r="F44834"/>
    </row>
    <row r="44835" spans="1:6" x14ac:dyDescent="0.25">
      <c r="A44835"/>
      <c r="B44835"/>
      <c r="C44835"/>
      <c r="E44835"/>
      <c r="F44835"/>
    </row>
    <row r="44836" spans="1:6" x14ac:dyDescent="0.25">
      <c r="A44836"/>
      <c r="B44836"/>
      <c r="C44836"/>
      <c r="E44836"/>
      <c r="F44836"/>
    </row>
    <row r="44837" spans="1:6" x14ac:dyDescent="0.25">
      <c r="A44837"/>
      <c r="B44837"/>
      <c r="C44837"/>
      <c r="E44837"/>
      <c r="F44837"/>
    </row>
    <row r="44838" spans="1:6" x14ac:dyDescent="0.25">
      <c r="A44838"/>
      <c r="B44838"/>
      <c r="C44838"/>
      <c r="E44838"/>
      <c r="F44838"/>
    </row>
    <row r="44839" spans="1:6" x14ac:dyDescent="0.25">
      <c r="A44839"/>
      <c r="B44839"/>
      <c r="C44839"/>
      <c r="E44839"/>
      <c r="F44839"/>
    </row>
    <row r="44840" spans="1:6" x14ac:dyDescent="0.25">
      <c r="A44840"/>
      <c r="B44840"/>
      <c r="C44840"/>
      <c r="E44840"/>
      <c r="F44840"/>
    </row>
    <row r="44841" spans="1:6" x14ac:dyDescent="0.25">
      <c r="A44841"/>
      <c r="B44841"/>
      <c r="C44841"/>
      <c r="E44841"/>
      <c r="F44841"/>
    </row>
    <row r="44842" spans="1:6" x14ac:dyDescent="0.25">
      <c r="A44842"/>
      <c r="B44842"/>
      <c r="C44842"/>
      <c r="E44842"/>
      <c r="F44842"/>
    </row>
    <row r="44843" spans="1:6" x14ac:dyDescent="0.25">
      <c r="A44843"/>
      <c r="B44843"/>
      <c r="C44843"/>
      <c r="E44843"/>
      <c r="F44843"/>
    </row>
    <row r="44844" spans="1:6" x14ac:dyDescent="0.25">
      <c r="A44844"/>
      <c r="B44844"/>
      <c r="C44844"/>
      <c r="E44844"/>
      <c r="F44844"/>
    </row>
    <row r="44845" spans="1:6" x14ac:dyDescent="0.25">
      <c r="A44845"/>
      <c r="B44845"/>
      <c r="C44845"/>
      <c r="E44845"/>
      <c r="F44845"/>
    </row>
    <row r="44846" spans="1:6" x14ac:dyDescent="0.25">
      <c r="A44846"/>
      <c r="B44846"/>
      <c r="C44846"/>
      <c r="E44846"/>
      <c r="F44846"/>
    </row>
    <row r="44847" spans="1:6" x14ac:dyDescent="0.25">
      <c r="A44847"/>
      <c r="B44847"/>
      <c r="C44847"/>
      <c r="E44847"/>
      <c r="F44847"/>
    </row>
    <row r="44848" spans="1:6" x14ac:dyDescent="0.25">
      <c r="A44848"/>
      <c r="B44848"/>
      <c r="C44848"/>
      <c r="E44848"/>
      <c r="F44848"/>
    </row>
    <row r="44849" spans="1:6" x14ac:dyDescent="0.25">
      <c r="A44849"/>
      <c r="B44849"/>
      <c r="C44849"/>
      <c r="E44849"/>
      <c r="F44849"/>
    </row>
    <row r="44850" spans="1:6" x14ac:dyDescent="0.25">
      <c r="A44850"/>
      <c r="B44850"/>
      <c r="C44850"/>
      <c r="E44850"/>
      <c r="F44850"/>
    </row>
    <row r="44851" spans="1:6" x14ac:dyDescent="0.25">
      <c r="A44851"/>
      <c r="B44851"/>
      <c r="C44851"/>
      <c r="E44851"/>
      <c r="F44851"/>
    </row>
    <row r="44852" spans="1:6" x14ac:dyDescent="0.25">
      <c r="A44852"/>
      <c r="B44852"/>
      <c r="C44852"/>
      <c r="E44852"/>
      <c r="F44852"/>
    </row>
    <row r="44853" spans="1:6" x14ac:dyDescent="0.25">
      <c r="A44853"/>
      <c r="B44853"/>
      <c r="C44853"/>
      <c r="E44853"/>
      <c r="F44853"/>
    </row>
    <row r="44854" spans="1:6" x14ac:dyDescent="0.25">
      <c r="A44854"/>
      <c r="B44854"/>
      <c r="C44854"/>
      <c r="E44854"/>
      <c r="F44854"/>
    </row>
    <row r="44855" spans="1:6" x14ac:dyDescent="0.25">
      <c r="A44855"/>
      <c r="B44855"/>
      <c r="C44855"/>
      <c r="E44855"/>
      <c r="F44855"/>
    </row>
    <row r="44856" spans="1:6" x14ac:dyDescent="0.25">
      <c r="A44856"/>
      <c r="B44856"/>
      <c r="C44856"/>
      <c r="E44856"/>
      <c r="F44856"/>
    </row>
    <row r="44857" spans="1:6" x14ac:dyDescent="0.25">
      <c r="A44857"/>
      <c r="B44857"/>
      <c r="C44857"/>
      <c r="E44857"/>
      <c r="F44857"/>
    </row>
    <row r="44858" spans="1:6" x14ac:dyDescent="0.25">
      <c r="A44858"/>
      <c r="B44858"/>
      <c r="C44858"/>
      <c r="E44858"/>
      <c r="F44858"/>
    </row>
    <row r="44859" spans="1:6" x14ac:dyDescent="0.25">
      <c r="A44859"/>
      <c r="B44859"/>
      <c r="C44859"/>
      <c r="E44859"/>
      <c r="F44859"/>
    </row>
    <row r="44860" spans="1:6" x14ac:dyDescent="0.25">
      <c r="A44860"/>
      <c r="B44860"/>
      <c r="C44860"/>
      <c r="E44860"/>
      <c r="F44860"/>
    </row>
    <row r="44861" spans="1:6" x14ac:dyDescent="0.25">
      <c r="A44861"/>
      <c r="B44861"/>
      <c r="C44861"/>
      <c r="E44861"/>
      <c r="F44861"/>
    </row>
    <row r="44862" spans="1:6" x14ac:dyDescent="0.25">
      <c r="A44862"/>
      <c r="B44862"/>
      <c r="C44862"/>
      <c r="E44862"/>
      <c r="F44862"/>
    </row>
    <row r="44863" spans="1:6" x14ac:dyDescent="0.25">
      <c r="A44863"/>
      <c r="B44863"/>
      <c r="C44863"/>
      <c r="E44863"/>
      <c r="F44863"/>
    </row>
    <row r="44864" spans="1:6" x14ac:dyDescent="0.25">
      <c r="A44864"/>
      <c r="B44864"/>
      <c r="C44864"/>
      <c r="E44864"/>
      <c r="F44864"/>
    </row>
    <row r="44865" spans="1:6" x14ac:dyDescent="0.25">
      <c r="A44865"/>
      <c r="B44865"/>
      <c r="C44865"/>
      <c r="E44865"/>
      <c r="F44865"/>
    </row>
    <row r="44866" spans="1:6" x14ac:dyDescent="0.25">
      <c r="A44866"/>
      <c r="B44866"/>
      <c r="C44866"/>
      <c r="E44866"/>
      <c r="F44866"/>
    </row>
    <row r="44867" spans="1:6" x14ac:dyDescent="0.25">
      <c r="A44867"/>
      <c r="B44867"/>
      <c r="C44867"/>
      <c r="E44867"/>
      <c r="F44867"/>
    </row>
    <row r="44868" spans="1:6" x14ac:dyDescent="0.25">
      <c r="A44868"/>
      <c r="B44868"/>
      <c r="C44868"/>
      <c r="E44868"/>
      <c r="F44868"/>
    </row>
    <row r="44869" spans="1:6" x14ac:dyDescent="0.25">
      <c r="A44869"/>
      <c r="B44869"/>
      <c r="C44869"/>
      <c r="E44869"/>
      <c r="F44869"/>
    </row>
    <row r="44870" spans="1:6" x14ac:dyDescent="0.25">
      <c r="A44870"/>
      <c r="B44870"/>
      <c r="C44870"/>
      <c r="E44870"/>
      <c r="F44870"/>
    </row>
    <row r="44871" spans="1:6" x14ac:dyDescent="0.25">
      <c r="A44871"/>
      <c r="B44871"/>
      <c r="C44871"/>
      <c r="E44871"/>
      <c r="F44871"/>
    </row>
    <row r="44872" spans="1:6" x14ac:dyDescent="0.25">
      <c r="A44872"/>
      <c r="B44872"/>
      <c r="C44872"/>
      <c r="E44872"/>
      <c r="F44872"/>
    </row>
    <row r="44873" spans="1:6" x14ac:dyDescent="0.25">
      <c r="A44873"/>
      <c r="B44873"/>
      <c r="C44873"/>
      <c r="E44873"/>
      <c r="F44873"/>
    </row>
    <row r="44874" spans="1:6" x14ac:dyDescent="0.25">
      <c r="A44874"/>
      <c r="B44874"/>
      <c r="C44874"/>
      <c r="E44874"/>
      <c r="F44874"/>
    </row>
    <row r="44875" spans="1:6" x14ac:dyDescent="0.25">
      <c r="A44875"/>
      <c r="B44875"/>
      <c r="C44875"/>
      <c r="E44875"/>
      <c r="F44875"/>
    </row>
    <row r="44876" spans="1:6" x14ac:dyDescent="0.25">
      <c r="A44876"/>
      <c r="B44876"/>
      <c r="C44876"/>
      <c r="E44876"/>
      <c r="F44876"/>
    </row>
    <row r="44877" spans="1:6" x14ac:dyDescent="0.25">
      <c r="A44877"/>
      <c r="B44877"/>
      <c r="C44877"/>
      <c r="E44877"/>
      <c r="F44877"/>
    </row>
    <row r="44878" spans="1:6" x14ac:dyDescent="0.25">
      <c r="A44878"/>
      <c r="B44878"/>
      <c r="C44878"/>
      <c r="E44878"/>
      <c r="F44878"/>
    </row>
    <row r="44879" spans="1:6" x14ac:dyDescent="0.25">
      <c r="A44879"/>
      <c r="B44879"/>
      <c r="C44879"/>
      <c r="E44879"/>
      <c r="F44879"/>
    </row>
    <row r="44880" spans="1:6" x14ac:dyDescent="0.25">
      <c r="A44880"/>
      <c r="B44880"/>
      <c r="C44880"/>
      <c r="E44880"/>
      <c r="F44880"/>
    </row>
    <row r="44881" spans="1:6" x14ac:dyDescent="0.25">
      <c r="A44881"/>
      <c r="B44881"/>
      <c r="C44881"/>
      <c r="E44881"/>
      <c r="F44881"/>
    </row>
    <row r="44882" spans="1:6" x14ac:dyDescent="0.25">
      <c r="A44882"/>
      <c r="B44882"/>
      <c r="C44882"/>
      <c r="E44882"/>
      <c r="F44882"/>
    </row>
    <row r="44883" spans="1:6" x14ac:dyDescent="0.25">
      <c r="A44883"/>
      <c r="B44883"/>
      <c r="C44883"/>
      <c r="E44883"/>
      <c r="F44883"/>
    </row>
    <row r="44884" spans="1:6" x14ac:dyDescent="0.25">
      <c r="A44884"/>
      <c r="B44884"/>
      <c r="C44884"/>
      <c r="E44884"/>
      <c r="F44884"/>
    </row>
    <row r="44885" spans="1:6" x14ac:dyDescent="0.25">
      <c r="A44885"/>
      <c r="B44885"/>
      <c r="C44885"/>
      <c r="E44885"/>
      <c r="F44885"/>
    </row>
    <row r="44886" spans="1:6" x14ac:dyDescent="0.25">
      <c r="A44886"/>
      <c r="B44886"/>
      <c r="C44886"/>
      <c r="E44886"/>
      <c r="F44886"/>
    </row>
    <row r="44887" spans="1:6" x14ac:dyDescent="0.25">
      <c r="A44887"/>
      <c r="B44887"/>
      <c r="C44887"/>
      <c r="E44887"/>
      <c r="F44887"/>
    </row>
    <row r="44888" spans="1:6" x14ac:dyDescent="0.25">
      <c r="A44888"/>
      <c r="B44888"/>
      <c r="C44888"/>
      <c r="E44888"/>
      <c r="F44888"/>
    </row>
    <row r="44889" spans="1:6" x14ac:dyDescent="0.25">
      <c r="A44889"/>
      <c r="B44889"/>
      <c r="C44889"/>
      <c r="E44889"/>
      <c r="F44889"/>
    </row>
    <row r="44890" spans="1:6" x14ac:dyDescent="0.25">
      <c r="A44890"/>
      <c r="B44890"/>
      <c r="C44890"/>
      <c r="E44890"/>
      <c r="F44890"/>
    </row>
    <row r="44891" spans="1:6" x14ac:dyDescent="0.25">
      <c r="A44891"/>
      <c r="B44891"/>
      <c r="C44891"/>
      <c r="E44891"/>
      <c r="F44891"/>
    </row>
    <row r="44892" spans="1:6" x14ac:dyDescent="0.25">
      <c r="A44892"/>
      <c r="B44892"/>
      <c r="C44892"/>
      <c r="E44892"/>
      <c r="F44892"/>
    </row>
    <row r="44893" spans="1:6" x14ac:dyDescent="0.25">
      <c r="A44893"/>
      <c r="B44893"/>
      <c r="C44893"/>
      <c r="E44893"/>
      <c r="F44893"/>
    </row>
    <row r="44894" spans="1:6" x14ac:dyDescent="0.25">
      <c r="A44894"/>
      <c r="B44894"/>
      <c r="C44894"/>
      <c r="E44894"/>
      <c r="F44894"/>
    </row>
    <row r="44895" spans="1:6" x14ac:dyDescent="0.25">
      <c r="A44895"/>
      <c r="B44895"/>
      <c r="C44895"/>
      <c r="E44895"/>
      <c r="F44895"/>
    </row>
    <row r="44896" spans="1:6" x14ac:dyDescent="0.25">
      <c r="A44896"/>
      <c r="B44896"/>
      <c r="C44896"/>
      <c r="E44896"/>
      <c r="F44896"/>
    </row>
    <row r="44897" spans="1:6" x14ac:dyDescent="0.25">
      <c r="A44897"/>
      <c r="B44897"/>
      <c r="C44897"/>
      <c r="E44897"/>
      <c r="F44897"/>
    </row>
    <row r="44898" spans="1:6" x14ac:dyDescent="0.25">
      <c r="A44898"/>
      <c r="B44898"/>
      <c r="C44898"/>
      <c r="E44898"/>
      <c r="F44898"/>
    </row>
    <row r="44899" spans="1:6" x14ac:dyDescent="0.25">
      <c r="A44899"/>
      <c r="B44899"/>
      <c r="C44899"/>
      <c r="E44899"/>
      <c r="F44899"/>
    </row>
    <row r="44900" spans="1:6" x14ac:dyDescent="0.25">
      <c r="A44900"/>
      <c r="B44900"/>
      <c r="C44900"/>
      <c r="E44900"/>
      <c r="F44900"/>
    </row>
    <row r="44901" spans="1:6" x14ac:dyDescent="0.25">
      <c r="A44901"/>
      <c r="B44901"/>
      <c r="C44901"/>
      <c r="E44901"/>
      <c r="F44901"/>
    </row>
    <row r="44902" spans="1:6" x14ac:dyDescent="0.25">
      <c r="A44902"/>
      <c r="B44902"/>
      <c r="C44902"/>
      <c r="E44902"/>
      <c r="F44902"/>
    </row>
    <row r="44903" spans="1:6" x14ac:dyDescent="0.25">
      <c r="A44903"/>
      <c r="B44903"/>
      <c r="C44903"/>
      <c r="E44903"/>
      <c r="F44903"/>
    </row>
    <row r="44904" spans="1:6" x14ac:dyDescent="0.25">
      <c r="A44904"/>
      <c r="B44904"/>
      <c r="C44904"/>
      <c r="E44904"/>
      <c r="F44904"/>
    </row>
    <row r="44905" spans="1:6" x14ac:dyDescent="0.25">
      <c r="A44905"/>
      <c r="B44905"/>
      <c r="C44905"/>
      <c r="E44905"/>
      <c r="F44905"/>
    </row>
    <row r="44906" spans="1:6" x14ac:dyDescent="0.25">
      <c r="A44906"/>
      <c r="B44906"/>
      <c r="C44906"/>
      <c r="E44906"/>
      <c r="F44906"/>
    </row>
    <row r="44907" spans="1:6" x14ac:dyDescent="0.25">
      <c r="A44907"/>
      <c r="B44907"/>
      <c r="C44907"/>
      <c r="E44907"/>
      <c r="F44907"/>
    </row>
    <row r="44908" spans="1:6" x14ac:dyDescent="0.25">
      <c r="A44908"/>
      <c r="B44908"/>
      <c r="C44908"/>
      <c r="E44908"/>
      <c r="F44908"/>
    </row>
    <row r="44909" spans="1:6" x14ac:dyDescent="0.25">
      <c r="A44909"/>
      <c r="B44909"/>
      <c r="C44909"/>
      <c r="E44909"/>
      <c r="F44909"/>
    </row>
    <row r="44910" spans="1:6" x14ac:dyDescent="0.25">
      <c r="A44910"/>
      <c r="B44910"/>
      <c r="C44910"/>
      <c r="E44910"/>
      <c r="F44910"/>
    </row>
    <row r="44911" spans="1:6" x14ac:dyDescent="0.25">
      <c r="A44911"/>
      <c r="B44911"/>
      <c r="C44911"/>
      <c r="E44911"/>
      <c r="F44911"/>
    </row>
    <row r="44912" spans="1:6" x14ac:dyDescent="0.25">
      <c r="A44912"/>
      <c r="B44912"/>
      <c r="C44912"/>
      <c r="E44912"/>
      <c r="F44912"/>
    </row>
    <row r="44913" spans="1:6" x14ac:dyDescent="0.25">
      <c r="A44913"/>
      <c r="B44913"/>
      <c r="C44913"/>
      <c r="E44913"/>
      <c r="F44913"/>
    </row>
    <row r="44914" spans="1:6" x14ac:dyDescent="0.25">
      <c r="A44914"/>
      <c r="B44914"/>
      <c r="C44914"/>
      <c r="E44914"/>
      <c r="F44914"/>
    </row>
    <row r="44915" spans="1:6" x14ac:dyDescent="0.25">
      <c r="A44915"/>
      <c r="B44915"/>
      <c r="C44915"/>
      <c r="E44915"/>
      <c r="F44915"/>
    </row>
    <row r="44916" spans="1:6" x14ac:dyDescent="0.25">
      <c r="A44916"/>
      <c r="B44916"/>
      <c r="C44916"/>
      <c r="E44916"/>
      <c r="F44916"/>
    </row>
    <row r="44917" spans="1:6" x14ac:dyDescent="0.25">
      <c r="A44917"/>
      <c r="B44917"/>
      <c r="C44917"/>
      <c r="E44917"/>
      <c r="F44917"/>
    </row>
    <row r="44918" spans="1:6" x14ac:dyDescent="0.25">
      <c r="A44918"/>
      <c r="B44918"/>
      <c r="C44918"/>
      <c r="E44918"/>
      <c r="F44918"/>
    </row>
    <row r="44919" spans="1:6" x14ac:dyDescent="0.25">
      <c r="A44919"/>
      <c r="B44919"/>
      <c r="C44919"/>
      <c r="E44919"/>
      <c r="F44919"/>
    </row>
    <row r="44920" spans="1:6" x14ac:dyDescent="0.25">
      <c r="A44920"/>
      <c r="B44920"/>
      <c r="C44920"/>
      <c r="E44920"/>
      <c r="F44920"/>
    </row>
    <row r="44921" spans="1:6" x14ac:dyDescent="0.25">
      <c r="A44921"/>
      <c r="B44921"/>
      <c r="C44921"/>
      <c r="E44921"/>
      <c r="F44921"/>
    </row>
    <row r="44922" spans="1:6" x14ac:dyDescent="0.25">
      <c r="A44922"/>
      <c r="B44922"/>
      <c r="C44922"/>
      <c r="E44922"/>
      <c r="F44922"/>
    </row>
    <row r="44923" spans="1:6" x14ac:dyDescent="0.25">
      <c r="A44923"/>
      <c r="B44923"/>
      <c r="C44923"/>
      <c r="E44923"/>
      <c r="F44923"/>
    </row>
    <row r="44924" spans="1:6" x14ac:dyDescent="0.25">
      <c r="A44924"/>
      <c r="B44924"/>
      <c r="C44924"/>
      <c r="E44924"/>
      <c r="F44924"/>
    </row>
    <row r="44925" spans="1:6" x14ac:dyDescent="0.25">
      <c r="A44925"/>
      <c r="B44925"/>
      <c r="C44925"/>
      <c r="E44925"/>
      <c r="F44925"/>
    </row>
    <row r="44926" spans="1:6" x14ac:dyDescent="0.25">
      <c r="A44926"/>
      <c r="B44926"/>
      <c r="C44926"/>
      <c r="E44926"/>
      <c r="F44926"/>
    </row>
    <row r="44927" spans="1:6" x14ac:dyDescent="0.25">
      <c r="A44927"/>
      <c r="B44927"/>
      <c r="C44927"/>
      <c r="E44927"/>
      <c r="F44927"/>
    </row>
    <row r="44928" spans="1:6" x14ac:dyDescent="0.25">
      <c r="A44928"/>
      <c r="B44928"/>
      <c r="C44928"/>
      <c r="E44928"/>
      <c r="F44928"/>
    </row>
    <row r="44929" spans="1:6" x14ac:dyDescent="0.25">
      <c r="A44929"/>
      <c r="B44929"/>
      <c r="C44929"/>
      <c r="E44929"/>
      <c r="F44929"/>
    </row>
    <row r="44930" spans="1:6" x14ac:dyDescent="0.25">
      <c r="A44930"/>
      <c r="B44930"/>
      <c r="C44930"/>
      <c r="E44930"/>
      <c r="F44930"/>
    </row>
    <row r="44931" spans="1:6" x14ac:dyDescent="0.25">
      <c r="A44931"/>
      <c r="B44931"/>
      <c r="C44931"/>
      <c r="E44931"/>
      <c r="F44931"/>
    </row>
    <row r="44932" spans="1:6" x14ac:dyDescent="0.25">
      <c r="A44932"/>
      <c r="B44932"/>
      <c r="C44932"/>
      <c r="E44932"/>
      <c r="F44932"/>
    </row>
    <row r="44933" spans="1:6" x14ac:dyDescent="0.25">
      <c r="A44933"/>
      <c r="B44933"/>
      <c r="C44933"/>
      <c r="E44933"/>
      <c r="F44933"/>
    </row>
    <row r="44934" spans="1:6" x14ac:dyDescent="0.25">
      <c r="A44934"/>
      <c r="B44934"/>
      <c r="C44934"/>
      <c r="E44934"/>
      <c r="F44934"/>
    </row>
    <row r="44935" spans="1:6" x14ac:dyDescent="0.25">
      <c r="A44935"/>
      <c r="B44935"/>
      <c r="C44935"/>
      <c r="E44935"/>
      <c r="F44935"/>
    </row>
    <row r="44936" spans="1:6" x14ac:dyDescent="0.25">
      <c r="A44936"/>
      <c r="B44936"/>
      <c r="C44936"/>
      <c r="E44936"/>
      <c r="F44936"/>
    </row>
    <row r="44937" spans="1:6" x14ac:dyDescent="0.25">
      <c r="A44937"/>
      <c r="B44937"/>
      <c r="C44937"/>
      <c r="E44937"/>
      <c r="F44937"/>
    </row>
    <row r="44938" spans="1:6" x14ac:dyDescent="0.25">
      <c r="A44938"/>
      <c r="B44938"/>
      <c r="C44938"/>
      <c r="E44938"/>
      <c r="F44938"/>
    </row>
    <row r="44939" spans="1:6" x14ac:dyDescent="0.25">
      <c r="A44939"/>
      <c r="B44939"/>
      <c r="C44939"/>
      <c r="E44939"/>
      <c r="F44939"/>
    </row>
    <row r="44940" spans="1:6" x14ac:dyDescent="0.25">
      <c r="A44940"/>
      <c r="B44940"/>
      <c r="C44940"/>
      <c r="E44940"/>
      <c r="F44940"/>
    </row>
    <row r="44941" spans="1:6" x14ac:dyDescent="0.25">
      <c r="A44941"/>
      <c r="B44941"/>
      <c r="C44941"/>
      <c r="E44941"/>
      <c r="F44941"/>
    </row>
    <row r="44942" spans="1:6" x14ac:dyDescent="0.25">
      <c r="A44942"/>
      <c r="B44942"/>
      <c r="C44942"/>
      <c r="E44942"/>
      <c r="F44942"/>
    </row>
    <row r="44943" spans="1:6" x14ac:dyDescent="0.25">
      <c r="A44943"/>
      <c r="B44943"/>
      <c r="C44943"/>
      <c r="E44943"/>
      <c r="F44943"/>
    </row>
    <row r="44944" spans="1:6" x14ac:dyDescent="0.25">
      <c r="A44944"/>
      <c r="B44944"/>
      <c r="C44944"/>
      <c r="E44944"/>
      <c r="F44944"/>
    </row>
    <row r="44945" spans="1:6" x14ac:dyDescent="0.25">
      <c r="A44945"/>
      <c r="B44945"/>
      <c r="C44945"/>
      <c r="E44945"/>
      <c r="F44945"/>
    </row>
    <row r="44946" spans="1:6" x14ac:dyDescent="0.25">
      <c r="A44946"/>
      <c r="B44946"/>
      <c r="C44946"/>
      <c r="E44946"/>
      <c r="F44946"/>
    </row>
    <row r="44947" spans="1:6" x14ac:dyDescent="0.25">
      <c r="A44947"/>
      <c r="B44947"/>
      <c r="C44947"/>
      <c r="E44947"/>
      <c r="F44947"/>
    </row>
    <row r="44948" spans="1:6" x14ac:dyDescent="0.25">
      <c r="A44948"/>
      <c r="B44948"/>
      <c r="C44948"/>
      <c r="E44948"/>
      <c r="F44948"/>
    </row>
    <row r="44949" spans="1:6" x14ac:dyDescent="0.25">
      <c r="A44949"/>
      <c r="B44949"/>
      <c r="C44949"/>
      <c r="E44949"/>
      <c r="F44949"/>
    </row>
    <row r="44950" spans="1:6" x14ac:dyDescent="0.25">
      <c r="A44950"/>
      <c r="B44950"/>
      <c r="C44950"/>
      <c r="E44950"/>
      <c r="F44950"/>
    </row>
    <row r="44951" spans="1:6" x14ac:dyDescent="0.25">
      <c r="A44951"/>
      <c r="B44951"/>
      <c r="C44951"/>
      <c r="E44951"/>
      <c r="F44951"/>
    </row>
    <row r="44952" spans="1:6" x14ac:dyDescent="0.25">
      <c r="A44952"/>
      <c r="B44952"/>
      <c r="C44952"/>
      <c r="E44952"/>
      <c r="F44952"/>
    </row>
    <row r="44953" spans="1:6" x14ac:dyDescent="0.25">
      <c r="A44953"/>
      <c r="B44953"/>
      <c r="C44953"/>
      <c r="E44953"/>
      <c r="F44953"/>
    </row>
    <row r="44954" spans="1:6" x14ac:dyDescent="0.25">
      <c r="A44954"/>
      <c r="B44954"/>
      <c r="C44954"/>
      <c r="E44954"/>
      <c r="F44954"/>
    </row>
    <row r="44955" spans="1:6" x14ac:dyDescent="0.25">
      <c r="A44955"/>
      <c r="B44955"/>
      <c r="C44955"/>
      <c r="E44955"/>
      <c r="F44955"/>
    </row>
    <row r="44956" spans="1:6" x14ac:dyDescent="0.25">
      <c r="A44956"/>
      <c r="B44956"/>
      <c r="C44956"/>
      <c r="E44956"/>
      <c r="F44956"/>
    </row>
    <row r="44957" spans="1:6" x14ac:dyDescent="0.25">
      <c r="A44957"/>
      <c r="B44957"/>
      <c r="C44957"/>
      <c r="E44957"/>
      <c r="F44957"/>
    </row>
    <row r="44958" spans="1:6" x14ac:dyDescent="0.25">
      <c r="A44958"/>
      <c r="B44958"/>
      <c r="C44958"/>
      <c r="E44958"/>
      <c r="F44958"/>
    </row>
    <row r="44959" spans="1:6" x14ac:dyDescent="0.25">
      <c r="A44959"/>
      <c r="B44959"/>
      <c r="C44959"/>
      <c r="E44959"/>
      <c r="F44959"/>
    </row>
    <row r="44960" spans="1:6" x14ac:dyDescent="0.25">
      <c r="A44960"/>
      <c r="B44960"/>
      <c r="C44960"/>
      <c r="E44960"/>
      <c r="F44960"/>
    </row>
    <row r="44961" spans="1:6" x14ac:dyDescent="0.25">
      <c r="A44961"/>
      <c r="B44961"/>
      <c r="C44961"/>
      <c r="E44961"/>
      <c r="F44961"/>
    </row>
    <row r="44962" spans="1:6" x14ac:dyDescent="0.25">
      <c r="A44962"/>
      <c r="B44962"/>
      <c r="C44962"/>
      <c r="E44962"/>
      <c r="F44962"/>
    </row>
    <row r="44963" spans="1:6" x14ac:dyDescent="0.25">
      <c r="A44963"/>
      <c r="B44963"/>
      <c r="C44963"/>
      <c r="E44963"/>
      <c r="F44963"/>
    </row>
    <row r="44964" spans="1:6" x14ac:dyDescent="0.25">
      <c r="A44964"/>
      <c r="B44964"/>
      <c r="C44964"/>
      <c r="E44964"/>
      <c r="F44964"/>
    </row>
    <row r="44965" spans="1:6" x14ac:dyDescent="0.25">
      <c r="A44965"/>
      <c r="B44965"/>
      <c r="C44965"/>
      <c r="E44965"/>
      <c r="F44965"/>
    </row>
    <row r="44966" spans="1:6" x14ac:dyDescent="0.25">
      <c r="A44966"/>
      <c r="B44966"/>
      <c r="C44966"/>
      <c r="E44966"/>
      <c r="F44966"/>
    </row>
    <row r="44967" spans="1:6" x14ac:dyDescent="0.25">
      <c r="A44967"/>
      <c r="B44967"/>
      <c r="C44967"/>
      <c r="E44967"/>
      <c r="F44967"/>
    </row>
    <row r="44968" spans="1:6" x14ac:dyDescent="0.25">
      <c r="A44968"/>
      <c r="B44968"/>
      <c r="C44968"/>
      <c r="E44968"/>
      <c r="F44968"/>
    </row>
    <row r="44969" spans="1:6" x14ac:dyDescent="0.25">
      <c r="A44969"/>
      <c r="B44969"/>
      <c r="C44969"/>
      <c r="E44969"/>
      <c r="F44969"/>
    </row>
    <row r="44970" spans="1:6" x14ac:dyDescent="0.25">
      <c r="A44970"/>
      <c r="B44970"/>
      <c r="C44970"/>
      <c r="E44970"/>
      <c r="F44970"/>
    </row>
    <row r="44971" spans="1:6" x14ac:dyDescent="0.25">
      <c r="A44971"/>
      <c r="B44971"/>
      <c r="C44971"/>
      <c r="E44971"/>
      <c r="F44971"/>
    </row>
    <row r="44972" spans="1:6" x14ac:dyDescent="0.25">
      <c r="A44972"/>
      <c r="B44972"/>
      <c r="C44972"/>
      <c r="E44972"/>
      <c r="F44972"/>
    </row>
    <row r="44973" spans="1:6" x14ac:dyDescent="0.25">
      <c r="A44973"/>
      <c r="B44973"/>
      <c r="C44973"/>
      <c r="E44973"/>
      <c r="F44973"/>
    </row>
    <row r="44974" spans="1:6" x14ac:dyDescent="0.25">
      <c r="A44974"/>
      <c r="B44974"/>
      <c r="C44974"/>
      <c r="E44974"/>
      <c r="F44974"/>
    </row>
    <row r="44975" spans="1:6" x14ac:dyDescent="0.25">
      <c r="A44975"/>
      <c r="B44975"/>
      <c r="C44975"/>
      <c r="E44975"/>
      <c r="F44975"/>
    </row>
    <row r="44976" spans="1:6" x14ac:dyDescent="0.25">
      <c r="A44976"/>
      <c r="B44976"/>
      <c r="C44976"/>
      <c r="E44976"/>
      <c r="F44976"/>
    </row>
    <row r="44977" spans="1:6" x14ac:dyDescent="0.25">
      <c r="A44977"/>
      <c r="B44977"/>
      <c r="C44977"/>
      <c r="E44977"/>
      <c r="F44977"/>
    </row>
    <row r="44978" spans="1:6" x14ac:dyDescent="0.25">
      <c r="A44978"/>
      <c r="B44978"/>
      <c r="C44978"/>
      <c r="E44978"/>
      <c r="F44978"/>
    </row>
    <row r="44979" spans="1:6" x14ac:dyDescent="0.25">
      <c r="A44979"/>
      <c r="B44979"/>
      <c r="C44979"/>
      <c r="E44979"/>
      <c r="F44979"/>
    </row>
    <row r="44980" spans="1:6" x14ac:dyDescent="0.25">
      <c r="A44980"/>
      <c r="B44980"/>
      <c r="C44980"/>
      <c r="E44980"/>
      <c r="F44980"/>
    </row>
    <row r="44981" spans="1:6" x14ac:dyDescent="0.25">
      <c r="A44981"/>
      <c r="B44981"/>
      <c r="C44981"/>
      <c r="E44981"/>
      <c r="F44981"/>
    </row>
    <row r="44982" spans="1:6" x14ac:dyDescent="0.25">
      <c r="A44982"/>
      <c r="B44982"/>
      <c r="C44982"/>
      <c r="E44982"/>
      <c r="F44982"/>
    </row>
    <row r="44983" spans="1:6" x14ac:dyDescent="0.25">
      <c r="A44983"/>
      <c r="B44983"/>
      <c r="C44983"/>
      <c r="E44983"/>
      <c r="F44983"/>
    </row>
    <row r="44984" spans="1:6" x14ac:dyDescent="0.25">
      <c r="A44984"/>
      <c r="B44984"/>
      <c r="C44984"/>
      <c r="E44984"/>
      <c r="F44984"/>
    </row>
    <row r="44985" spans="1:6" x14ac:dyDescent="0.25">
      <c r="A44985"/>
      <c r="B44985"/>
      <c r="C44985"/>
      <c r="E44985"/>
      <c r="F44985"/>
    </row>
    <row r="44986" spans="1:6" x14ac:dyDescent="0.25">
      <c r="A44986"/>
      <c r="B44986"/>
      <c r="C44986"/>
      <c r="E44986"/>
      <c r="F44986"/>
    </row>
    <row r="44987" spans="1:6" x14ac:dyDescent="0.25">
      <c r="A44987"/>
      <c r="B44987"/>
      <c r="C44987"/>
      <c r="E44987"/>
      <c r="F44987"/>
    </row>
    <row r="44988" spans="1:6" x14ac:dyDescent="0.25">
      <c r="A44988"/>
      <c r="B44988"/>
      <c r="C44988"/>
      <c r="E44988"/>
      <c r="F44988"/>
    </row>
    <row r="44989" spans="1:6" x14ac:dyDescent="0.25">
      <c r="A44989"/>
      <c r="B44989"/>
      <c r="C44989"/>
      <c r="E44989"/>
      <c r="F44989"/>
    </row>
    <row r="44990" spans="1:6" x14ac:dyDescent="0.25">
      <c r="A44990"/>
      <c r="B44990"/>
      <c r="C44990"/>
      <c r="E44990"/>
      <c r="F44990"/>
    </row>
    <row r="44991" spans="1:6" x14ac:dyDescent="0.25">
      <c r="A44991"/>
      <c r="B44991"/>
      <c r="C44991"/>
      <c r="E44991"/>
      <c r="F44991"/>
    </row>
    <row r="44992" spans="1:6" x14ac:dyDescent="0.25">
      <c r="A44992"/>
      <c r="B44992"/>
      <c r="C44992"/>
      <c r="E44992"/>
      <c r="F44992"/>
    </row>
    <row r="44993" spans="1:6" x14ac:dyDescent="0.25">
      <c r="A44993"/>
      <c r="B44993"/>
      <c r="C44993"/>
      <c r="E44993"/>
      <c r="F44993"/>
    </row>
    <row r="44994" spans="1:6" x14ac:dyDescent="0.25">
      <c r="A44994"/>
      <c r="B44994"/>
      <c r="C44994"/>
      <c r="E44994"/>
      <c r="F44994"/>
    </row>
    <row r="44995" spans="1:6" x14ac:dyDescent="0.25">
      <c r="A44995"/>
      <c r="B44995"/>
      <c r="C44995"/>
      <c r="E44995"/>
      <c r="F44995"/>
    </row>
    <row r="44996" spans="1:6" x14ac:dyDescent="0.25">
      <c r="A44996"/>
      <c r="B44996"/>
      <c r="C44996"/>
      <c r="E44996"/>
      <c r="F44996"/>
    </row>
    <row r="44997" spans="1:6" x14ac:dyDescent="0.25">
      <c r="A44997"/>
      <c r="B44997"/>
      <c r="C44997"/>
      <c r="E44997"/>
      <c r="F44997"/>
    </row>
    <row r="44998" spans="1:6" x14ac:dyDescent="0.25">
      <c r="A44998"/>
      <c r="B44998"/>
      <c r="C44998"/>
      <c r="E44998"/>
      <c r="F44998"/>
    </row>
    <row r="44999" spans="1:6" x14ac:dyDescent="0.25">
      <c r="A44999"/>
      <c r="B44999"/>
      <c r="C44999"/>
      <c r="E44999"/>
      <c r="F44999"/>
    </row>
    <row r="45000" spans="1:6" x14ac:dyDescent="0.25">
      <c r="A45000"/>
      <c r="B45000"/>
      <c r="C45000"/>
      <c r="E45000"/>
      <c r="F45000"/>
    </row>
    <row r="45001" spans="1:6" x14ac:dyDescent="0.25">
      <c r="A45001"/>
      <c r="B45001"/>
      <c r="C45001"/>
      <c r="E45001"/>
      <c r="F45001"/>
    </row>
    <row r="45002" spans="1:6" x14ac:dyDescent="0.25">
      <c r="A45002"/>
      <c r="B45002"/>
      <c r="C45002"/>
      <c r="E45002"/>
      <c r="F45002"/>
    </row>
    <row r="45003" spans="1:6" x14ac:dyDescent="0.25">
      <c r="A45003"/>
      <c r="B45003"/>
      <c r="C45003"/>
      <c r="E45003"/>
      <c r="F45003"/>
    </row>
    <row r="45004" spans="1:6" x14ac:dyDescent="0.25">
      <c r="A45004"/>
      <c r="B45004"/>
      <c r="C45004"/>
      <c r="E45004"/>
      <c r="F45004"/>
    </row>
    <row r="45005" spans="1:6" x14ac:dyDescent="0.25">
      <c r="A45005"/>
      <c r="B45005"/>
      <c r="C45005"/>
      <c r="E45005"/>
      <c r="F45005"/>
    </row>
    <row r="45006" spans="1:6" x14ac:dyDescent="0.25">
      <c r="A45006"/>
      <c r="B45006"/>
      <c r="C45006"/>
      <c r="E45006"/>
      <c r="F45006"/>
    </row>
    <row r="45007" spans="1:6" x14ac:dyDescent="0.25">
      <c r="A45007"/>
      <c r="B45007"/>
      <c r="C45007"/>
      <c r="E45007"/>
      <c r="F45007"/>
    </row>
    <row r="45008" spans="1:6" x14ac:dyDescent="0.25">
      <c r="A45008"/>
      <c r="B45008"/>
      <c r="C45008"/>
      <c r="E45008"/>
      <c r="F45008"/>
    </row>
    <row r="45009" spans="1:6" x14ac:dyDescent="0.25">
      <c r="A45009"/>
      <c r="B45009"/>
      <c r="C45009"/>
      <c r="E45009"/>
      <c r="F45009"/>
    </row>
    <row r="45010" spans="1:6" x14ac:dyDescent="0.25">
      <c r="A45010"/>
      <c r="B45010"/>
      <c r="C45010"/>
      <c r="E45010"/>
      <c r="F45010"/>
    </row>
    <row r="45011" spans="1:6" x14ac:dyDescent="0.25">
      <c r="A45011"/>
      <c r="B45011"/>
      <c r="C45011"/>
      <c r="E45011"/>
      <c r="F45011"/>
    </row>
    <row r="45012" spans="1:6" x14ac:dyDescent="0.25">
      <c r="A45012"/>
      <c r="B45012"/>
      <c r="C45012"/>
      <c r="E45012"/>
      <c r="F45012"/>
    </row>
    <row r="45013" spans="1:6" x14ac:dyDescent="0.25">
      <c r="A45013"/>
      <c r="B45013"/>
      <c r="C45013"/>
      <c r="E45013"/>
      <c r="F45013"/>
    </row>
    <row r="45014" spans="1:6" x14ac:dyDescent="0.25">
      <c r="A45014"/>
      <c r="B45014"/>
      <c r="C45014"/>
      <c r="E45014"/>
      <c r="F45014"/>
    </row>
    <row r="45015" spans="1:6" x14ac:dyDescent="0.25">
      <c r="A45015"/>
      <c r="B45015"/>
      <c r="C45015"/>
      <c r="E45015"/>
      <c r="F45015"/>
    </row>
    <row r="45016" spans="1:6" x14ac:dyDescent="0.25">
      <c r="A45016"/>
      <c r="B45016"/>
      <c r="C45016"/>
      <c r="E45016"/>
      <c r="F45016"/>
    </row>
    <row r="45017" spans="1:6" x14ac:dyDescent="0.25">
      <c r="A45017"/>
      <c r="B45017"/>
      <c r="C45017"/>
      <c r="E45017"/>
      <c r="F45017"/>
    </row>
    <row r="45018" spans="1:6" x14ac:dyDescent="0.25">
      <c r="A45018"/>
      <c r="B45018"/>
      <c r="C45018"/>
      <c r="E45018"/>
      <c r="F45018"/>
    </row>
    <row r="45019" spans="1:6" x14ac:dyDescent="0.25">
      <c r="A45019"/>
      <c r="B45019"/>
      <c r="C45019"/>
      <c r="E45019"/>
      <c r="F45019"/>
    </row>
    <row r="45020" spans="1:6" x14ac:dyDescent="0.25">
      <c r="A45020"/>
      <c r="B45020"/>
      <c r="C45020"/>
      <c r="E45020"/>
      <c r="F45020"/>
    </row>
    <row r="45021" spans="1:6" x14ac:dyDescent="0.25">
      <c r="A45021"/>
      <c r="B45021"/>
      <c r="C45021"/>
      <c r="E45021"/>
      <c r="F45021"/>
    </row>
    <row r="45022" spans="1:6" x14ac:dyDescent="0.25">
      <c r="A45022"/>
      <c r="B45022"/>
      <c r="C45022"/>
      <c r="E45022"/>
      <c r="F45022"/>
    </row>
    <row r="45023" spans="1:6" x14ac:dyDescent="0.25">
      <c r="A45023"/>
      <c r="B45023"/>
      <c r="C45023"/>
      <c r="E45023"/>
      <c r="F45023"/>
    </row>
    <row r="45024" spans="1:6" x14ac:dyDescent="0.25">
      <c r="A45024"/>
      <c r="B45024"/>
      <c r="C45024"/>
      <c r="E45024"/>
      <c r="F45024"/>
    </row>
    <row r="45025" spans="1:6" x14ac:dyDescent="0.25">
      <c r="A45025"/>
      <c r="B45025"/>
      <c r="C45025"/>
      <c r="E45025"/>
      <c r="F45025"/>
    </row>
    <row r="45026" spans="1:6" x14ac:dyDescent="0.25">
      <c r="A45026"/>
      <c r="B45026"/>
      <c r="C45026"/>
      <c r="E45026"/>
      <c r="F45026"/>
    </row>
    <row r="45027" spans="1:6" x14ac:dyDescent="0.25">
      <c r="A45027"/>
      <c r="B45027"/>
      <c r="C45027"/>
      <c r="E45027"/>
      <c r="F45027"/>
    </row>
    <row r="45028" spans="1:6" x14ac:dyDescent="0.25">
      <c r="A45028"/>
      <c r="B45028"/>
      <c r="C45028"/>
      <c r="E45028"/>
      <c r="F45028"/>
    </row>
    <row r="45029" spans="1:6" x14ac:dyDescent="0.25">
      <c r="A45029"/>
      <c r="B45029"/>
      <c r="C45029"/>
      <c r="E45029"/>
      <c r="F45029"/>
    </row>
    <row r="45030" spans="1:6" x14ac:dyDescent="0.25">
      <c r="A45030"/>
      <c r="B45030"/>
      <c r="C45030"/>
      <c r="E45030"/>
      <c r="F45030"/>
    </row>
    <row r="45031" spans="1:6" x14ac:dyDescent="0.25">
      <c r="A45031"/>
      <c r="B45031"/>
      <c r="C45031"/>
      <c r="E45031"/>
      <c r="F45031"/>
    </row>
    <row r="45032" spans="1:6" x14ac:dyDescent="0.25">
      <c r="A45032"/>
      <c r="B45032"/>
      <c r="C45032"/>
      <c r="E45032"/>
      <c r="F45032"/>
    </row>
    <row r="45033" spans="1:6" x14ac:dyDescent="0.25">
      <c r="A45033"/>
      <c r="B45033"/>
      <c r="C45033"/>
      <c r="E45033"/>
      <c r="F45033"/>
    </row>
    <row r="45034" spans="1:6" x14ac:dyDescent="0.25">
      <c r="A45034"/>
      <c r="B45034"/>
      <c r="C45034"/>
      <c r="E45034"/>
      <c r="F45034"/>
    </row>
    <row r="45035" spans="1:6" x14ac:dyDescent="0.25">
      <c r="A45035"/>
      <c r="B45035"/>
      <c r="C45035"/>
      <c r="E45035"/>
      <c r="F45035"/>
    </row>
    <row r="45036" spans="1:6" x14ac:dyDescent="0.25">
      <c r="A45036"/>
      <c r="B45036"/>
      <c r="C45036"/>
      <c r="E45036"/>
      <c r="F45036"/>
    </row>
    <row r="45037" spans="1:6" x14ac:dyDescent="0.25">
      <c r="A45037"/>
      <c r="B45037"/>
      <c r="C45037"/>
      <c r="E45037"/>
      <c r="F45037"/>
    </row>
    <row r="45038" spans="1:6" x14ac:dyDescent="0.25">
      <c r="A45038"/>
      <c r="B45038"/>
      <c r="C45038"/>
      <c r="E45038"/>
      <c r="F45038"/>
    </row>
    <row r="45039" spans="1:6" x14ac:dyDescent="0.25">
      <c r="A45039"/>
      <c r="B45039"/>
      <c r="C45039"/>
      <c r="E45039"/>
      <c r="F45039"/>
    </row>
    <row r="45040" spans="1:6" x14ac:dyDescent="0.25">
      <c r="A45040"/>
      <c r="B45040"/>
      <c r="C45040"/>
      <c r="E45040"/>
      <c r="F45040"/>
    </row>
    <row r="45041" spans="1:6" x14ac:dyDescent="0.25">
      <c r="A45041"/>
      <c r="B45041"/>
      <c r="C45041"/>
      <c r="E45041"/>
      <c r="F45041"/>
    </row>
    <row r="45042" spans="1:6" x14ac:dyDescent="0.25">
      <c r="A45042"/>
      <c r="B45042"/>
      <c r="C45042"/>
      <c r="E45042"/>
      <c r="F45042"/>
    </row>
    <row r="45043" spans="1:6" x14ac:dyDescent="0.25">
      <c r="A45043"/>
      <c r="B45043"/>
      <c r="C45043"/>
      <c r="E45043"/>
      <c r="F45043"/>
    </row>
    <row r="45044" spans="1:6" x14ac:dyDescent="0.25">
      <c r="A45044"/>
      <c r="B45044"/>
      <c r="C45044"/>
      <c r="E45044"/>
      <c r="F45044"/>
    </row>
    <row r="45045" spans="1:6" x14ac:dyDescent="0.25">
      <c r="A45045"/>
      <c r="B45045"/>
      <c r="C45045"/>
      <c r="E45045"/>
      <c r="F45045"/>
    </row>
    <row r="45046" spans="1:6" x14ac:dyDescent="0.25">
      <c r="A45046"/>
      <c r="B45046"/>
      <c r="C45046"/>
      <c r="E45046"/>
      <c r="F45046"/>
    </row>
    <row r="45047" spans="1:6" x14ac:dyDescent="0.25">
      <c r="A45047"/>
      <c r="B45047"/>
      <c r="C45047"/>
      <c r="E45047"/>
      <c r="F45047"/>
    </row>
    <row r="45048" spans="1:6" x14ac:dyDescent="0.25">
      <c r="A45048"/>
      <c r="B45048"/>
      <c r="C45048"/>
      <c r="E45048"/>
      <c r="F45048"/>
    </row>
    <row r="45049" spans="1:6" x14ac:dyDescent="0.25">
      <c r="A45049"/>
      <c r="B45049"/>
      <c r="C45049"/>
      <c r="E45049"/>
      <c r="F45049"/>
    </row>
    <row r="45050" spans="1:6" x14ac:dyDescent="0.25">
      <c r="A45050"/>
      <c r="B45050"/>
      <c r="C45050"/>
      <c r="E45050"/>
      <c r="F45050"/>
    </row>
    <row r="45051" spans="1:6" x14ac:dyDescent="0.25">
      <c r="A45051"/>
      <c r="B45051"/>
      <c r="C45051"/>
      <c r="E45051"/>
      <c r="F45051"/>
    </row>
    <row r="45052" spans="1:6" x14ac:dyDescent="0.25">
      <c r="A45052"/>
      <c r="B45052"/>
      <c r="C45052"/>
      <c r="E45052"/>
      <c r="F45052"/>
    </row>
    <row r="45053" spans="1:6" x14ac:dyDescent="0.25">
      <c r="A45053"/>
      <c r="B45053"/>
      <c r="C45053"/>
      <c r="E45053"/>
      <c r="F45053"/>
    </row>
    <row r="45054" spans="1:6" x14ac:dyDescent="0.25">
      <c r="A45054"/>
      <c r="B45054"/>
      <c r="C45054"/>
      <c r="E45054"/>
      <c r="F45054"/>
    </row>
    <row r="45055" spans="1:6" x14ac:dyDescent="0.25">
      <c r="A45055"/>
      <c r="B45055"/>
      <c r="C45055"/>
      <c r="E45055"/>
      <c r="F45055"/>
    </row>
    <row r="45056" spans="1:6" x14ac:dyDescent="0.25">
      <c r="A45056"/>
      <c r="B45056"/>
      <c r="C45056"/>
      <c r="E45056"/>
      <c r="F45056"/>
    </row>
    <row r="45057" spans="1:6" x14ac:dyDescent="0.25">
      <c r="A45057"/>
      <c r="B45057"/>
      <c r="C45057"/>
      <c r="E45057"/>
      <c r="F45057"/>
    </row>
    <row r="45058" spans="1:6" x14ac:dyDescent="0.25">
      <c r="A45058"/>
      <c r="B45058"/>
      <c r="C45058"/>
      <c r="E45058"/>
      <c r="F45058"/>
    </row>
    <row r="45059" spans="1:6" x14ac:dyDescent="0.25">
      <c r="A45059"/>
      <c r="B45059"/>
      <c r="C45059"/>
      <c r="E45059"/>
      <c r="F45059"/>
    </row>
    <row r="45060" spans="1:6" x14ac:dyDescent="0.25">
      <c r="A45060"/>
      <c r="B45060"/>
      <c r="C45060"/>
      <c r="E45060"/>
      <c r="F45060"/>
    </row>
    <row r="45061" spans="1:6" x14ac:dyDescent="0.25">
      <c r="A45061"/>
      <c r="B45061"/>
      <c r="C45061"/>
      <c r="E45061"/>
      <c r="F45061"/>
    </row>
    <row r="45062" spans="1:6" x14ac:dyDescent="0.25">
      <c r="A45062"/>
      <c r="B45062"/>
      <c r="C45062"/>
      <c r="E45062"/>
      <c r="F45062"/>
    </row>
    <row r="45063" spans="1:6" x14ac:dyDescent="0.25">
      <c r="A45063"/>
      <c r="B45063"/>
      <c r="C45063"/>
      <c r="E45063"/>
      <c r="F45063"/>
    </row>
    <row r="45064" spans="1:6" x14ac:dyDescent="0.25">
      <c r="A45064"/>
      <c r="B45064"/>
      <c r="C45064"/>
      <c r="E45064"/>
      <c r="F45064"/>
    </row>
    <row r="45065" spans="1:6" x14ac:dyDescent="0.25">
      <c r="A45065"/>
      <c r="B45065"/>
      <c r="C45065"/>
      <c r="E45065"/>
      <c r="F45065"/>
    </row>
    <row r="45066" spans="1:6" x14ac:dyDescent="0.25">
      <c r="A45066"/>
      <c r="B45066"/>
      <c r="C45066"/>
      <c r="E45066"/>
      <c r="F45066"/>
    </row>
    <row r="45067" spans="1:6" x14ac:dyDescent="0.25">
      <c r="A45067"/>
      <c r="B45067"/>
      <c r="C45067"/>
      <c r="E45067"/>
      <c r="F45067"/>
    </row>
    <row r="45068" spans="1:6" x14ac:dyDescent="0.25">
      <c r="A45068"/>
      <c r="B45068"/>
      <c r="C45068"/>
      <c r="E45068"/>
      <c r="F45068"/>
    </row>
    <row r="45069" spans="1:6" x14ac:dyDescent="0.25">
      <c r="A45069"/>
      <c r="B45069"/>
      <c r="C45069"/>
      <c r="E45069"/>
      <c r="F45069"/>
    </row>
    <row r="45070" spans="1:6" x14ac:dyDescent="0.25">
      <c r="A45070"/>
      <c r="B45070"/>
      <c r="C45070"/>
      <c r="E45070"/>
      <c r="F45070"/>
    </row>
    <row r="45071" spans="1:6" x14ac:dyDescent="0.25">
      <c r="A45071"/>
      <c r="B45071"/>
      <c r="C45071"/>
      <c r="E45071"/>
      <c r="F45071"/>
    </row>
    <row r="45072" spans="1:6" x14ac:dyDescent="0.25">
      <c r="A45072"/>
      <c r="B45072"/>
      <c r="C45072"/>
      <c r="E45072"/>
      <c r="F45072"/>
    </row>
    <row r="45073" spans="1:6" x14ac:dyDescent="0.25">
      <c r="A45073"/>
      <c r="B45073"/>
      <c r="C45073"/>
      <c r="E45073"/>
      <c r="F45073"/>
    </row>
    <row r="45074" spans="1:6" x14ac:dyDescent="0.25">
      <c r="A45074"/>
      <c r="B45074"/>
      <c r="C45074"/>
      <c r="E45074"/>
      <c r="F45074"/>
    </row>
    <row r="45075" spans="1:6" x14ac:dyDescent="0.25">
      <c r="A45075"/>
      <c r="B45075"/>
      <c r="C45075"/>
      <c r="E45075"/>
      <c r="F45075"/>
    </row>
    <row r="45076" spans="1:6" x14ac:dyDescent="0.25">
      <c r="A45076"/>
      <c r="B45076"/>
      <c r="C45076"/>
      <c r="E45076"/>
      <c r="F45076"/>
    </row>
    <row r="45077" spans="1:6" x14ac:dyDescent="0.25">
      <c r="A45077"/>
      <c r="B45077"/>
      <c r="C45077"/>
      <c r="E45077"/>
      <c r="F45077"/>
    </row>
    <row r="45078" spans="1:6" x14ac:dyDescent="0.25">
      <c r="A45078"/>
      <c r="B45078"/>
      <c r="C45078"/>
      <c r="E45078"/>
      <c r="F45078"/>
    </row>
    <row r="45079" spans="1:6" x14ac:dyDescent="0.25">
      <c r="A45079"/>
      <c r="B45079"/>
      <c r="C45079"/>
      <c r="E45079"/>
      <c r="F45079"/>
    </row>
    <row r="45080" spans="1:6" x14ac:dyDescent="0.25">
      <c r="A45080"/>
      <c r="B45080"/>
      <c r="C45080"/>
      <c r="E45080"/>
      <c r="F45080"/>
    </row>
    <row r="45081" spans="1:6" x14ac:dyDescent="0.25">
      <c r="A45081"/>
      <c r="B45081"/>
      <c r="C45081"/>
      <c r="E45081"/>
      <c r="F45081"/>
    </row>
    <row r="45082" spans="1:6" x14ac:dyDescent="0.25">
      <c r="A45082"/>
      <c r="B45082"/>
      <c r="C45082"/>
      <c r="E45082"/>
      <c r="F45082"/>
    </row>
    <row r="45083" spans="1:6" x14ac:dyDescent="0.25">
      <c r="A45083"/>
      <c r="B45083"/>
      <c r="C45083"/>
      <c r="E45083"/>
      <c r="F45083"/>
    </row>
    <row r="45084" spans="1:6" x14ac:dyDescent="0.25">
      <c r="A45084"/>
      <c r="B45084"/>
      <c r="C45084"/>
      <c r="E45084"/>
      <c r="F45084"/>
    </row>
    <row r="45085" spans="1:6" x14ac:dyDescent="0.25">
      <c r="A45085"/>
      <c r="B45085"/>
      <c r="C45085"/>
      <c r="E45085"/>
      <c r="F45085"/>
    </row>
    <row r="45086" spans="1:6" x14ac:dyDescent="0.25">
      <c r="A45086"/>
      <c r="B45086"/>
      <c r="C45086"/>
      <c r="E45086"/>
      <c r="F45086"/>
    </row>
    <row r="45087" spans="1:6" x14ac:dyDescent="0.25">
      <c r="A45087"/>
      <c r="B45087"/>
      <c r="C45087"/>
      <c r="E45087"/>
      <c r="F45087"/>
    </row>
    <row r="45088" spans="1:6" x14ac:dyDescent="0.25">
      <c r="A45088"/>
      <c r="B45088"/>
      <c r="C45088"/>
      <c r="E45088"/>
      <c r="F45088"/>
    </row>
    <row r="45089" spans="1:6" x14ac:dyDescent="0.25">
      <c r="A45089"/>
      <c r="B45089"/>
      <c r="C45089"/>
      <c r="E45089"/>
      <c r="F45089"/>
    </row>
    <row r="45090" spans="1:6" x14ac:dyDescent="0.25">
      <c r="A45090"/>
      <c r="B45090"/>
      <c r="C45090"/>
      <c r="E45090"/>
      <c r="F45090"/>
    </row>
    <row r="45091" spans="1:6" x14ac:dyDescent="0.25">
      <c r="A45091"/>
      <c r="B45091"/>
      <c r="C45091"/>
      <c r="E45091"/>
      <c r="F45091"/>
    </row>
    <row r="45092" spans="1:6" x14ac:dyDescent="0.25">
      <c r="A45092"/>
      <c r="B45092"/>
      <c r="C45092"/>
      <c r="E45092"/>
      <c r="F45092"/>
    </row>
    <row r="45093" spans="1:6" x14ac:dyDescent="0.25">
      <c r="A45093"/>
      <c r="B45093"/>
      <c r="C45093"/>
      <c r="E45093"/>
      <c r="F45093"/>
    </row>
    <row r="45094" spans="1:6" x14ac:dyDescent="0.25">
      <c r="A45094"/>
      <c r="B45094"/>
      <c r="C45094"/>
      <c r="E45094"/>
      <c r="F45094"/>
    </row>
    <row r="45095" spans="1:6" x14ac:dyDescent="0.25">
      <c r="A45095"/>
      <c r="B45095"/>
      <c r="C45095"/>
      <c r="E45095"/>
      <c r="F45095"/>
    </row>
    <row r="45096" spans="1:6" x14ac:dyDescent="0.25">
      <c r="A45096"/>
      <c r="B45096"/>
      <c r="C45096"/>
      <c r="E45096"/>
      <c r="F45096"/>
    </row>
    <row r="45097" spans="1:6" x14ac:dyDescent="0.25">
      <c r="A45097"/>
      <c r="B45097"/>
      <c r="C45097"/>
      <c r="E45097"/>
      <c r="F45097"/>
    </row>
    <row r="45098" spans="1:6" x14ac:dyDescent="0.25">
      <c r="A45098"/>
      <c r="B45098"/>
      <c r="C45098"/>
      <c r="E45098"/>
      <c r="F45098"/>
    </row>
    <row r="45099" spans="1:6" x14ac:dyDescent="0.25">
      <c r="A45099"/>
      <c r="B45099"/>
      <c r="C45099"/>
      <c r="E45099"/>
      <c r="F45099"/>
    </row>
    <row r="45100" spans="1:6" x14ac:dyDescent="0.25">
      <c r="A45100"/>
      <c r="B45100"/>
      <c r="C45100"/>
      <c r="E45100"/>
      <c r="F45100"/>
    </row>
    <row r="45101" spans="1:6" x14ac:dyDescent="0.25">
      <c r="A45101"/>
      <c r="B45101"/>
      <c r="C45101"/>
      <c r="E45101"/>
      <c r="F45101"/>
    </row>
    <row r="45102" spans="1:6" x14ac:dyDescent="0.25">
      <c r="A45102"/>
      <c r="B45102"/>
      <c r="C45102"/>
      <c r="E45102"/>
      <c r="F45102"/>
    </row>
    <row r="45103" spans="1:6" x14ac:dyDescent="0.25">
      <c r="A45103"/>
      <c r="B45103"/>
      <c r="C45103"/>
      <c r="E45103"/>
      <c r="F45103"/>
    </row>
    <row r="45104" spans="1:6" x14ac:dyDescent="0.25">
      <c r="A45104"/>
      <c r="B45104"/>
      <c r="C45104"/>
      <c r="E45104"/>
      <c r="F45104"/>
    </row>
    <row r="45105" spans="1:6" x14ac:dyDescent="0.25">
      <c r="A45105"/>
      <c r="B45105"/>
      <c r="C45105"/>
      <c r="E45105"/>
      <c r="F45105"/>
    </row>
    <row r="45106" spans="1:6" x14ac:dyDescent="0.25">
      <c r="A45106"/>
      <c r="B45106"/>
      <c r="C45106"/>
      <c r="E45106"/>
      <c r="F45106"/>
    </row>
    <row r="45107" spans="1:6" x14ac:dyDescent="0.25">
      <c r="A45107"/>
      <c r="B45107"/>
      <c r="C45107"/>
      <c r="E45107"/>
      <c r="F45107"/>
    </row>
    <row r="45108" spans="1:6" x14ac:dyDescent="0.25">
      <c r="A45108"/>
      <c r="B45108"/>
      <c r="C45108"/>
      <c r="E45108"/>
      <c r="F45108"/>
    </row>
    <row r="45109" spans="1:6" x14ac:dyDescent="0.25">
      <c r="A45109"/>
      <c r="B45109"/>
      <c r="C45109"/>
      <c r="E45109"/>
      <c r="F45109"/>
    </row>
    <row r="45110" spans="1:6" x14ac:dyDescent="0.25">
      <c r="A45110"/>
      <c r="B45110"/>
      <c r="C45110"/>
      <c r="E45110"/>
      <c r="F45110"/>
    </row>
    <row r="45111" spans="1:6" x14ac:dyDescent="0.25">
      <c r="A45111"/>
      <c r="B45111"/>
      <c r="C45111"/>
      <c r="E45111"/>
      <c r="F45111"/>
    </row>
    <row r="45112" spans="1:6" x14ac:dyDescent="0.25">
      <c r="A45112"/>
      <c r="B45112"/>
      <c r="C45112"/>
      <c r="E45112"/>
      <c r="F45112"/>
    </row>
    <row r="45113" spans="1:6" x14ac:dyDescent="0.25">
      <c r="A45113"/>
      <c r="B45113"/>
      <c r="C45113"/>
      <c r="E45113"/>
      <c r="F45113"/>
    </row>
    <row r="45114" spans="1:6" x14ac:dyDescent="0.25">
      <c r="A45114"/>
      <c r="B45114"/>
      <c r="C45114"/>
      <c r="E45114"/>
      <c r="F45114"/>
    </row>
    <row r="45115" spans="1:6" x14ac:dyDescent="0.25">
      <c r="A45115"/>
      <c r="B45115"/>
      <c r="C45115"/>
      <c r="E45115"/>
      <c r="F45115"/>
    </row>
    <row r="45116" spans="1:6" x14ac:dyDescent="0.25">
      <c r="A45116"/>
      <c r="B45116"/>
      <c r="C45116"/>
      <c r="E45116"/>
      <c r="F45116"/>
    </row>
    <row r="45117" spans="1:6" x14ac:dyDescent="0.25">
      <c r="A45117"/>
      <c r="B45117"/>
      <c r="C45117"/>
      <c r="E45117"/>
      <c r="F45117"/>
    </row>
    <row r="45118" spans="1:6" x14ac:dyDescent="0.25">
      <c r="A45118"/>
      <c r="B45118"/>
      <c r="C45118"/>
      <c r="E45118"/>
      <c r="F45118"/>
    </row>
    <row r="45119" spans="1:6" x14ac:dyDescent="0.25">
      <c r="A45119"/>
      <c r="B45119"/>
      <c r="C45119"/>
      <c r="E45119"/>
      <c r="F45119"/>
    </row>
    <row r="45120" spans="1:6" x14ac:dyDescent="0.25">
      <c r="A45120"/>
      <c r="B45120"/>
      <c r="C45120"/>
      <c r="E45120"/>
      <c r="F45120"/>
    </row>
    <row r="45121" spans="1:6" x14ac:dyDescent="0.25">
      <c r="A45121"/>
      <c r="B45121"/>
      <c r="C45121"/>
      <c r="E45121"/>
      <c r="F45121"/>
    </row>
    <row r="45122" spans="1:6" x14ac:dyDescent="0.25">
      <c r="A45122"/>
      <c r="B45122"/>
      <c r="C45122"/>
      <c r="E45122"/>
      <c r="F45122"/>
    </row>
    <row r="45123" spans="1:6" x14ac:dyDescent="0.25">
      <c r="A45123"/>
      <c r="B45123"/>
      <c r="C45123"/>
      <c r="E45123"/>
      <c r="F45123"/>
    </row>
    <row r="45124" spans="1:6" x14ac:dyDescent="0.25">
      <c r="A45124"/>
      <c r="B45124"/>
      <c r="C45124"/>
      <c r="E45124"/>
      <c r="F45124"/>
    </row>
    <row r="45125" spans="1:6" x14ac:dyDescent="0.25">
      <c r="A45125"/>
      <c r="B45125"/>
      <c r="C45125"/>
      <c r="E45125"/>
      <c r="F45125"/>
    </row>
    <row r="45126" spans="1:6" x14ac:dyDescent="0.25">
      <c r="A45126"/>
      <c r="B45126"/>
      <c r="C45126"/>
      <c r="E45126"/>
      <c r="F45126"/>
    </row>
    <row r="45127" spans="1:6" x14ac:dyDescent="0.25">
      <c r="A45127"/>
      <c r="B45127"/>
      <c r="C45127"/>
      <c r="E45127"/>
      <c r="F45127"/>
    </row>
    <row r="45128" spans="1:6" x14ac:dyDescent="0.25">
      <c r="A45128"/>
      <c r="B45128"/>
      <c r="C45128"/>
      <c r="E45128"/>
      <c r="F45128"/>
    </row>
    <row r="45129" spans="1:6" x14ac:dyDescent="0.25">
      <c r="A45129"/>
      <c r="B45129"/>
      <c r="C45129"/>
      <c r="E45129"/>
      <c r="F45129"/>
    </row>
    <row r="45130" spans="1:6" x14ac:dyDescent="0.25">
      <c r="A45130"/>
      <c r="B45130"/>
      <c r="C45130"/>
      <c r="E45130"/>
      <c r="F45130"/>
    </row>
    <row r="45131" spans="1:6" x14ac:dyDescent="0.25">
      <c r="A45131"/>
      <c r="B45131"/>
      <c r="C45131"/>
      <c r="E45131"/>
      <c r="F45131"/>
    </row>
    <row r="45132" spans="1:6" x14ac:dyDescent="0.25">
      <c r="A45132"/>
      <c r="B45132"/>
      <c r="C45132"/>
      <c r="E45132"/>
      <c r="F45132"/>
    </row>
    <row r="45133" spans="1:6" x14ac:dyDescent="0.25">
      <c r="A45133"/>
      <c r="B45133"/>
      <c r="C45133"/>
      <c r="E45133"/>
      <c r="F45133"/>
    </row>
    <row r="45134" spans="1:6" x14ac:dyDescent="0.25">
      <c r="A45134"/>
      <c r="B45134"/>
      <c r="C45134"/>
      <c r="E45134"/>
      <c r="F45134"/>
    </row>
    <row r="45135" spans="1:6" x14ac:dyDescent="0.25">
      <c r="A45135"/>
      <c r="B45135"/>
      <c r="C45135"/>
      <c r="E45135"/>
      <c r="F45135"/>
    </row>
    <row r="45136" spans="1:6" x14ac:dyDescent="0.25">
      <c r="A45136"/>
      <c r="B45136"/>
      <c r="C45136"/>
      <c r="E45136"/>
      <c r="F45136"/>
    </row>
    <row r="45137" spans="1:6" x14ac:dyDescent="0.25">
      <c r="A45137"/>
      <c r="B45137"/>
      <c r="C45137"/>
      <c r="E45137"/>
      <c r="F45137"/>
    </row>
    <row r="45138" spans="1:6" x14ac:dyDescent="0.25">
      <c r="A45138"/>
      <c r="B45138"/>
      <c r="C45138"/>
      <c r="E45138"/>
      <c r="F45138"/>
    </row>
    <row r="45139" spans="1:6" x14ac:dyDescent="0.25">
      <c r="A45139"/>
      <c r="B45139"/>
      <c r="C45139"/>
      <c r="E45139"/>
      <c r="F45139"/>
    </row>
    <row r="45140" spans="1:6" x14ac:dyDescent="0.25">
      <c r="A45140"/>
      <c r="B45140"/>
      <c r="C45140"/>
      <c r="E45140"/>
      <c r="F45140"/>
    </row>
    <row r="45141" spans="1:6" x14ac:dyDescent="0.25">
      <c r="A45141"/>
      <c r="B45141"/>
      <c r="C45141"/>
      <c r="E45141"/>
      <c r="F45141"/>
    </row>
    <row r="45142" spans="1:6" x14ac:dyDescent="0.25">
      <c r="A45142"/>
      <c r="B45142"/>
      <c r="C45142"/>
      <c r="E45142"/>
      <c r="F45142"/>
    </row>
    <row r="45143" spans="1:6" x14ac:dyDescent="0.25">
      <c r="A45143"/>
      <c r="B45143"/>
      <c r="C45143"/>
      <c r="E45143"/>
      <c r="F45143"/>
    </row>
    <row r="45144" spans="1:6" x14ac:dyDescent="0.25">
      <c r="A45144"/>
      <c r="B45144"/>
      <c r="C45144"/>
      <c r="E45144"/>
      <c r="F45144"/>
    </row>
    <row r="45145" spans="1:6" x14ac:dyDescent="0.25">
      <c r="A45145"/>
      <c r="B45145"/>
      <c r="C45145"/>
      <c r="E45145"/>
      <c r="F45145"/>
    </row>
    <row r="45146" spans="1:6" x14ac:dyDescent="0.25">
      <c r="A45146"/>
      <c r="B45146"/>
      <c r="C45146"/>
      <c r="E45146"/>
      <c r="F45146"/>
    </row>
    <row r="45147" spans="1:6" x14ac:dyDescent="0.25">
      <c r="A45147"/>
      <c r="B45147"/>
      <c r="C45147"/>
      <c r="E45147"/>
      <c r="F45147"/>
    </row>
    <row r="45148" spans="1:6" x14ac:dyDescent="0.25">
      <c r="A45148"/>
      <c r="B45148"/>
      <c r="C45148"/>
      <c r="E45148"/>
      <c r="F45148"/>
    </row>
    <row r="45149" spans="1:6" x14ac:dyDescent="0.25">
      <c r="A45149"/>
      <c r="B45149"/>
      <c r="C45149"/>
      <c r="E45149"/>
      <c r="F45149"/>
    </row>
    <row r="45150" spans="1:6" x14ac:dyDescent="0.25">
      <c r="A45150"/>
      <c r="B45150"/>
      <c r="C45150"/>
      <c r="E45150"/>
      <c r="F45150"/>
    </row>
    <row r="45151" spans="1:6" x14ac:dyDescent="0.25">
      <c r="A45151"/>
      <c r="B45151"/>
      <c r="C45151"/>
      <c r="E45151"/>
      <c r="F45151"/>
    </row>
    <row r="45152" spans="1:6" x14ac:dyDescent="0.25">
      <c r="A45152"/>
      <c r="B45152"/>
      <c r="C45152"/>
      <c r="E45152"/>
      <c r="F45152"/>
    </row>
    <row r="45153" spans="1:6" x14ac:dyDescent="0.25">
      <c r="A45153"/>
      <c r="B45153"/>
      <c r="C45153"/>
      <c r="E45153"/>
      <c r="F45153"/>
    </row>
    <row r="45154" spans="1:6" x14ac:dyDescent="0.25">
      <c r="A45154"/>
      <c r="B45154"/>
      <c r="C45154"/>
      <c r="E45154"/>
      <c r="F45154"/>
    </row>
    <row r="45155" spans="1:6" x14ac:dyDescent="0.25">
      <c r="A45155"/>
      <c r="B45155"/>
      <c r="C45155"/>
      <c r="E45155"/>
      <c r="F45155"/>
    </row>
    <row r="45156" spans="1:6" x14ac:dyDescent="0.25">
      <c r="A45156"/>
      <c r="B45156"/>
      <c r="C45156"/>
      <c r="E45156"/>
      <c r="F45156"/>
    </row>
    <row r="45157" spans="1:6" x14ac:dyDescent="0.25">
      <c r="A45157"/>
      <c r="B45157"/>
      <c r="C45157"/>
      <c r="E45157"/>
      <c r="F45157"/>
    </row>
    <row r="45158" spans="1:6" x14ac:dyDescent="0.25">
      <c r="A45158"/>
      <c r="B45158"/>
      <c r="C45158"/>
      <c r="E45158"/>
      <c r="F45158"/>
    </row>
    <row r="45159" spans="1:6" x14ac:dyDescent="0.25">
      <c r="A45159"/>
      <c r="B45159"/>
      <c r="C45159"/>
      <c r="E45159"/>
      <c r="F45159"/>
    </row>
    <row r="45160" spans="1:6" x14ac:dyDescent="0.25">
      <c r="A45160"/>
      <c r="B45160"/>
      <c r="C45160"/>
      <c r="E45160"/>
      <c r="F45160"/>
    </row>
    <row r="45161" spans="1:6" x14ac:dyDescent="0.25">
      <c r="A45161"/>
      <c r="B45161"/>
      <c r="C45161"/>
      <c r="E45161"/>
      <c r="F45161"/>
    </row>
    <row r="45162" spans="1:6" x14ac:dyDescent="0.25">
      <c r="A45162"/>
      <c r="B45162"/>
      <c r="C45162"/>
      <c r="E45162"/>
      <c r="F45162"/>
    </row>
    <row r="45163" spans="1:6" x14ac:dyDescent="0.25">
      <c r="A45163"/>
      <c r="B45163"/>
      <c r="C45163"/>
      <c r="E45163"/>
      <c r="F45163"/>
    </row>
    <row r="45164" spans="1:6" x14ac:dyDescent="0.25">
      <c r="A45164"/>
      <c r="B45164"/>
      <c r="C45164"/>
      <c r="E45164"/>
      <c r="F45164"/>
    </row>
    <row r="45165" spans="1:6" x14ac:dyDescent="0.25">
      <c r="A45165"/>
      <c r="B45165"/>
      <c r="C45165"/>
      <c r="E45165"/>
      <c r="F45165"/>
    </row>
    <row r="45166" spans="1:6" x14ac:dyDescent="0.25">
      <c r="A45166"/>
      <c r="B45166"/>
      <c r="C45166"/>
      <c r="E45166"/>
      <c r="F45166"/>
    </row>
    <row r="45167" spans="1:6" x14ac:dyDescent="0.25">
      <c r="A45167"/>
      <c r="B45167"/>
      <c r="C45167"/>
      <c r="E45167"/>
      <c r="F45167"/>
    </row>
    <row r="45168" spans="1:6" x14ac:dyDescent="0.25">
      <c r="A45168"/>
      <c r="B45168"/>
      <c r="C45168"/>
      <c r="E45168"/>
      <c r="F45168"/>
    </row>
    <row r="45169" spans="1:6" x14ac:dyDescent="0.25">
      <c r="A45169"/>
      <c r="B45169"/>
      <c r="C45169"/>
      <c r="E45169"/>
      <c r="F45169"/>
    </row>
    <row r="45170" spans="1:6" x14ac:dyDescent="0.25">
      <c r="A45170"/>
      <c r="B45170"/>
      <c r="C45170"/>
      <c r="E45170"/>
      <c r="F45170"/>
    </row>
    <row r="45171" spans="1:6" x14ac:dyDescent="0.25">
      <c r="A45171"/>
      <c r="B45171"/>
      <c r="C45171"/>
      <c r="E45171"/>
      <c r="F45171"/>
    </row>
    <row r="45172" spans="1:6" x14ac:dyDescent="0.25">
      <c r="A45172"/>
      <c r="B45172"/>
      <c r="C45172"/>
      <c r="E45172"/>
      <c r="F45172"/>
    </row>
    <row r="45173" spans="1:6" x14ac:dyDescent="0.25">
      <c r="A45173"/>
      <c r="B45173"/>
      <c r="C45173"/>
      <c r="E45173"/>
      <c r="F45173"/>
    </row>
    <row r="45174" spans="1:6" x14ac:dyDescent="0.25">
      <c r="A45174"/>
      <c r="B45174"/>
      <c r="C45174"/>
      <c r="E45174"/>
      <c r="F45174"/>
    </row>
    <row r="45175" spans="1:6" x14ac:dyDescent="0.25">
      <c r="A45175"/>
      <c r="B45175"/>
      <c r="C45175"/>
      <c r="E45175"/>
      <c r="F45175"/>
    </row>
    <row r="45176" spans="1:6" x14ac:dyDescent="0.25">
      <c r="A45176"/>
      <c r="B45176"/>
      <c r="C45176"/>
      <c r="E45176"/>
      <c r="F45176"/>
    </row>
    <row r="45177" spans="1:6" x14ac:dyDescent="0.25">
      <c r="A45177"/>
      <c r="B45177"/>
      <c r="C45177"/>
      <c r="E45177"/>
      <c r="F45177"/>
    </row>
    <row r="45178" spans="1:6" x14ac:dyDescent="0.25">
      <c r="A45178"/>
      <c r="B45178"/>
      <c r="C45178"/>
      <c r="E45178"/>
      <c r="F45178"/>
    </row>
    <row r="45179" spans="1:6" x14ac:dyDescent="0.25">
      <c r="A45179"/>
      <c r="B45179"/>
      <c r="C45179"/>
      <c r="E45179"/>
      <c r="F45179"/>
    </row>
    <row r="45180" spans="1:6" x14ac:dyDescent="0.25">
      <c r="A45180"/>
      <c r="B45180"/>
      <c r="C45180"/>
      <c r="E45180"/>
      <c r="F45180"/>
    </row>
    <row r="45181" spans="1:6" x14ac:dyDescent="0.25">
      <c r="A45181"/>
      <c r="B45181"/>
      <c r="C45181"/>
      <c r="E45181"/>
      <c r="F45181"/>
    </row>
    <row r="45182" spans="1:6" x14ac:dyDescent="0.25">
      <c r="A45182"/>
      <c r="B45182"/>
      <c r="C45182"/>
      <c r="E45182"/>
      <c r="F45182"/>
    </row>
    <row r="45183" spans="1:6" x14ac:dyDescent="0.25">
      <c r="A45183"/>
      <c r="B45183"/>
      <c r="C45183"/>
      <c r="E45183"/>
      <c r="F45183"/>
    </row>
    <row r="45184" spans="1:6" x14ac:dyDescent="0.25">
      <c r="A45184"/>
      <c r="B45184"/>
      <c r="C45184"/>
      <c r="E45184"/>
      <c r="F45184"/>
    </row>
    <row r="45185" spans="1:6" x14ac:dyDescent="0.25">
      <c r="A45185"/>
      <c r="B45185"/>
      <c r="C45185"/>
      <c r="E45185"/>
      <c r="F45185"/>
    </row>
    <row r="45186" spans="1:6" x14ac:dyDescent="0.25">
      <c r="A45186"/>
      <c r="B45186"/>
      <c r="C45186"/>
      <c r="E45186"/>
      <c r="F45186"/>
    </row>
    <row r="45187" spans="1:6" x14ac:dyDescent="0.25">
      <c r="A45187"/>
      <c r="B45187"/>
      <c r="C45187"/>
      <c r="E45187"/>
      <c r="F45187"/>
    </row>
    <row r="45188" spans="1:6" x14ac:dyDescent="0.25">
      <c r="A45188"/>
      <c r="B45188"/>
      <c r="C45188"/>
      <c r="E45188"/>
      <c r="F45188"/>
    </row>
    <row r="45189" spans="1:6" x14ac:dyDescent="0.25">
      <c r="A45189"/>
      <c r="B45189"/>
      <c r="C45189"/>
      <c r="E45189"/>
      <c r="F45189"/>
    </row>
    <row r="45190" spans="1:6" x14ac:dyDescent="0.25">
      <c r="A45190"/>
      <c r="B45190"/>
      <c r="C45190"/>
      <c r="E45190"/>
      <c r="F45190"/>
    </row>
    <row r="45191" spans="1:6" x14ac:dyDescent="0.25">
      <c r="A45191"/>
      <c r="B45191"/>
      <c r="C45191"/>
      <c r="E45191"/>
      <c r="F45191"/>
    </row>
    <row r="45192" spans="1:6" x14ac:dyDescent="0.25">
      <c r="A45192"/>
      <c r="B45192"/>
      <c r="C45192"/>
      <c r="E45192"/>
      <c r="F45192"/>
    </row>
    <row r="45193" spans="1:6" x14ac:dyDescent="0.25">
      <c r="A45193"/>
      <c r="B45193"/>
      <c r="C45193"/>
      <c r="E45193"/>
      <c r="F45193"/>
    </row>
    <row r="45194" spans="1:6" x14ac:dyDescent="0.25">
      <c r="A45194"/>
      <c r="B45194"/>
      <c r="C45194"/>
      <c r="E45194"/>
      <c r="F45194"/>
    </row>
    <row r="45195" spans="1:6" x14ac:dyDescent="0.25">
      <c r="A45195"/>
      <c r="B45195"/>
      <c r="C45195"/>
      <c r="E45195"/>
      <c r="F45195"/>
    </row>
    <row r="45196" spans="1:6" x14ac:dyDescent="0.25">
      <c r="A45196"/>
      <c r="B45196"/>
      <c r="C45196"/>
      <c r="E45196"/>
      <c r="F45196"/>
    </row>
    <row r="45197" spans="1:6" x14ac:dyDescent="0.25">
      <c r="A45197"/>
      <c r="B45197"/>
      <c r="C45197"/>
      <c r="E45197"/>
      <c r="F45197"/>
    </row>
    <row r="45198" spans="1:6" x14ac:dyDescent="0.25">
      <c r="A45198"/>
      <c r="B45198"/>
      <c r="C45198"/>
      <c r="E45198"/>
      <c r="F45198"/>
    </row>
    <row r="45199" spans="1:6" x14ac:dyDescent="0.25">
      <c r="A45199"/>
      <c r="B45199"/>
      <c r="C45199"/>
      <c r="E45199"/>
      <c r="F45199"/>
    </row>
    <row r="45200" spans="1:6" x14ac:dyDescent="0.25">
      <c r="A45200"/>
      <c r="B45200"/>
      <c r="C45200"/>
      <c r="E45200"/>
      <c r="F45200"/>
    </row>
    <row r="45201" spans="1:6" x14ac:dyDescent="0.25">
      <c r="A45201"/>
      <c r="B45201"/>
      <c r="C45201"/>
      <c r="E45201"/>
      <c r="F45201"/>
    </row>
    <row r="45202" spans="1:6" x14ac:dyDescent="0.25">
      <c r="A45202"/>
      <c r="B45202"/>
      <c r="C45202"/>
      <c r="E45202"/>
      <c r="F45202"/>
    </row>
    <row r="45203" spans="1:6" x14ac:dyDescent="0.25">
      <c r="A45203"/>
      <c r="B45203"/>
      <c r="C45203"/>
      <c r="E45203"/>
      <c r="F45203"/>
    </row>
    <row r="45204" spans="1:6" x14ac:dyDescent="0.25">
      <c r="A45204"/>
      <c r="B45204"/>
      <c r="C45204"/>
      <c r="E45204"/>
      <c r="F45204"/>
    </row>
    <row r="45205" spans="1:6" x14ac:dyDescent="0.25">
      <c r="A45205"/>
      <c r="B45205"/>
      <c r="C45205"/>
      <c r="E45205"/>
      <c r="F45205"/>
    </row>
    <row r="45206" spans="1:6" x14ac:dyDescent="0.25">
      <c r="A45206"/>
      <c r="B45206"/>
      <c r="C45206"/>
      <c r="E45206"/>
      <c r="F45206"/>
    </row>
    <row r="45207" spans="1:6" x14ac:dyDescent="0.25">
      <c r="A45207"/>
      <c r="B45207"/>
      <c r="C45207"/>
      <c r="E45207"/>
      <c r="F45207"/>
    </row>
    <row r="45208" spans="1:6" x14ac:dyDescent="0.25">
      <c r="A45208"/>
      <c r="B45208"/>
      <c r="C45208"/>
      <c r="E45208"/>
      <c r="F45208"/>
    </row>
    <row r="45209" spans="1:6" x14ac:dyDescent="0.25">
      <c r="A45209"/>
      <c r="B45209"/>
      <c r="C45209"/>
      <c r="E45209"/>
      <c r="F45209"/>
    </row>
    <row r="45210" spans="1:6" x14ac:dyDescent="0.25">
      <c r="A45210"/>
      <c r="B45210"/>
      <c r="C45210"/>
      <c r="E45210"/>
      <c r="F45210"/>
    </row>
    <row r="45211" spans="1:6" x14ac:dyDescent="0.25">
      <c r="A45211"/>
      <c r="B45211"/>
      <c r="C45211"/>
      <c r="E45211"/>
      <c r="F45211"/>
    </row>
    <row r="45212" spans="1:6" x14ac:dyDescent="0.25">
      <c r="A45212"/>
      <c r="B45212"/>
      <c r="C45212"/>
      <c r="E45212"/>
      <c r="F45212"/>
    </row>
    <row r="45213" spans="1:6" x14ac:dyDescent="0.25">
      <c r="A45213"/>
      <c r="B45213"/>
      <c r="C45213"/>
      <c r="E45213"/>
      <c r="F45213"/>
    </row>
    <row r="45214" spans="1:6" x14ac:dyDescent="0.25">
      <c r="A45214"/>
      <c r="B45214"/>
      <c r="C45214"/>
      <c r="E45214"/>
      <c r="F45214"/>
    </row>
    <row r="45215" spans="1:6" x14ac:dyDescent="0.25">
      <c r="A45215"/>
      <c r="B45215"/>
      <c r="C45215"/>
      <c r="E45215"/>
      <c r="F45215"/>
    </row>
    <row r="45216" spans="1:6" x14ac:dyDescent="0.25">
      <c r="A45216"/>
      <c r="B45216"/>
      <c r="C45216"/>
      <c r="E45216"/>
      <c r="F45216"/>
    </row>
    <row r="45217" spans="1:6" x14ac:dyDescent="0.25">
      <c r="A45217"/>
      <c r="B45217"/>
      <c r="C45217"/>
      <c r="E45217"/>
      <c r="F45217"/>
    </row>
    <row r="45218" spans="1:6" x14ac:dyDescent="0.25">
      <c r="A45218"/>
      <c r="B45218"/>
      <c r="C45218"/>
      <c r="E45218"/>
      <c r="F45218"/>
    </row>
    <row r="45219" spans="1:6" x14ac:dyDescent="0.25">
      <c r="A45219"/>
      <c r="B45219"/>
      <c r="C45219"/>
      <c r="E45219"/>
      <c r="F45219"/>
    </row>
    <row r="45220" spans="1:6" x14ac:dyDescent="0.25">
      <c r="A45220"/>
      <c r="B45220"/>
      <c r="C45220"/>
      <c r="E45220"/>
      <c r="F45220"/>
    </row>
    <row r="45221" spans="1:6" x14ac:dyDescent="0.25">
      <c r="A45221"/>
      <c r="B45221"/>
      <c r="C45221"/>
      <c r="E45221"/>
      <c r="F45221"/>
    </row>
    <row r="45222" spans="1:6" x14ac:dyDescent="0.25">
      <c r="A45222"/>
      <c r="B45222"/>
      <c r="C45222"/>
      <c r="E45222"/>
      <c r="F45222"/>
    </row>
    <row r="45223" spans="1:6" x14ac:dyDescent="0.25">
      <c r="A45223"/>
      <c r="B45223"/>
      <c r="C45223"/>
      <c r="E45223"/>
      <c r="F45223"/>
    </row>
    <row r="45224" spans="1:6" x14ac:dyDescent="0.25">
      <c r="A45224"/>
      <c r="B45224"/>
      <c r="C45224"/>
      <c r="E45224"/>
      <c r="F45224"/>
    </row>
    <row r="45225" spans="1:6" x14ac:dyDescent="0.25">
      <c r="A45225"/>
      <c r="B45225"/>
      <c r="C45225"/>
      <c r="E45225"/>
      <c r="F45225"/>
    </row>
    <row r="45226" spans="1:6" x14ac:dyDescent="0.25">
      <c r="A45226"/>
      <c r="B45226"/>
      <c r="C45226"/>
      <c r="E45226"/>
      <c r="F45226"/>
    </row>
    <row r="45227" spans="1:6" x14ac:dyDescent="0.25">
      <c r="A45227"/>
      <c r="B45227"/>
      <c r="C45227"/>
      <c r="E45227"/>
      <c r="F45227"/>
    </row>
    <row r="45228" spans="1:6" x14ac:dyDescent="0.25">
      <c r="A45228"/>
      <c r="B45228"/>
      <c r="C45228"/>
      <c r="E45228"/>
      <c r="F45228"/>
    </row>
    <row r="45229" spans="1:6" x14ac:dyDescent="0.25">
      <c r="A45229"/>
      <c r="B45229"/>
      <c r="C45229"/>
      <c r="E45229"/>
      <c r="F45229"/>
    </row>
    <row r="45230" spans="1:6" x14ac:dyDescent="0.25">
      <c r="A45230"/>
      <c r="B45230"/>
      <c r="C45230"/>
      <c r="E45230"/>
      <c r="F45230"/>
    </row>
    <row r="45231" spans="1:6" x14ac:dyDescent="0.25">
      <c r="A45231"/>
      <c r="B45231"/>
      <c r="C45231"/>
      <c r="E45231"/>
      <c r="F45231"/>
    </row>
    <row r="45232" spans="1:6" x14ac:dyDescent="0.25">
      <c r="A45232"/>
      <c r="B45232"/>
      <c r="C45232"/>
      <c r="E45232"/>
      <c r="F45232"/>
    </row>
    <row r="45233" spans="1:6" x14ac:dyDescent="0.25">
      <c r="A45233"/>
      <c r="B45233"/>
      <c r="C45233"/>
      <c r="E45233"/>
      <c r="F45233"/>
    </row>
    <row r="45234" spans="1:6" x14ac:dyDescent="0.25">
      <c r="A45234"/>
      <c r="B45234"/>
      <c r="C45234"/>
      <c r="E45234"/>
      <c r="F45234"/>
    </row>
    <row r="45235" spans="1:6" x14ac:dyDescent="0.25">
      <c r="A45235"/>
      <c r="B45235"/>
      <c r="C45235"/>
      <c r="E45235"/>
      <c r="F45235"/>
    </row>
    <row r="45236" spans="1:6" x14ac:dyDescent="0.25">
      <c r="A45236"/>
      <c r="B45236"/>
      <c r="C45236"/>
      <c r="E45236"/>
      <c r="F45236"/>
    </row>
    <row r="45237" spans="1:6" x14ac:dyDescent="0.25">
      <c r="A45237"/>
      <c r="B45237"/>
      <c r="C45237"/>
      <c r="E45237"/>
      <c r="F45237"/>
    </row>
    <row r="45238" spans="1:6" x14ac:dyDescent="0.25">
      <c r="A45238"/>
      <c r="B45238"/>
      <c r="C45238"/>
      <c r="E45238"/>
      <c r="F45238"/>
    </row>
    <row r="45239" spans="1:6" x14ac:dyDescent="0.25">
      <c r="A45239"/>
      <c r="B45239"/>
      <c r="C45239"/>
      <c r="E45239"/>
      <c r="F45239"/>
    </row>
    <row r="45240" spans="1:6" x14ac:dyDescent="0.25">
      <c r="A45240"/>
      <c r="B45240"/>
      <c r="C45240"/>
      <c r="E45240"/>
      <c r="F45240"/>
    </row>
    <row r="45241" spans="1:6" x14ac:dyDescent="0.25">
      <c r="A45241"/>
      <c r="B45241"/>
      <c r="C45241"/>
      <c r="E45241"/>
      <c r="F45241"/>
    </row>
    <row r="45242" spans="1:6" x14ac:dyDescent="0.25">
      <c r="A45242"/>
      <c r="B45242"/>
      <c r="C45242"/>
      <c r="E45242"/>
      <c r="F45242"/>
    </row>
    <row r="45243" spans="1:6" x14ac:dyDescent="0.25">
      <c r="A45243"/>
      <c r="B45243"/>
      <c r="C45243"/>
      <c r="E45243"/>
      <c r="F45243"/>
    </row>
    <row r="45244" spans="1:6" x14ac:dyDescent="0.25">
      <c r="A45244"/>
      <c r="B45244"/>
      <c r="C45244"/>
      <c r="E45244"/>
      <c r="F45244"/>
    </row>
    <row r="45245" spans="1:6" x14ac:dyDescent="0.25">
      <c r="A45245"/>
      <c r="B45245"/>
      <c r="C45245"/>
      <c r="E45245"/>
      <c r="F45245"/>
    </row>
    <row r="45246" spans="1:6" x14ac:dyDescent="0.25">
      <c r="A45246"/>
      <c r="B45246"/>
      <c r="C45246"/>
      <c r="E45246"/>
      <c r="F45246"/>
    </row>
    <row r="45247" spans="1:6" x14ac:dyDescent="0.25">
      <c r="A45247"/>
      <c r="B45247"/>
      <c r="C45247"/>
      <c r="E45247"/>
      <c r="F45247"/>
    </row>
    <row r="45248" spans="1:6" x14ac:dyDescent="0.25">
      <c r="A45248"/>
      <c r="B45248"/>
      <c r="C45248"/>
      <c r="E45248"/>
      <c r="F45248"/>
    </row>
    <row r="45249" spans="1:6" x14ac:dyDescent="0.25">
      <c r="A45249"/>
      <c r="B45249"/>
      <c r="C45249"/>
      <c r="E45249"/>
      <c r="F45249"/>
    </row>
    <row r="45250" spans="1:6" x14ac:dyDescent="0.25">
      <c r="A45250"/>
      <c r="B45250"/>
      <c r="C45250"/>
      <c r="E45250"/>
      <c r="F45250"/>
    </row>
    <row r="45251" spans="1:6" x14ac:dyDescent="0.25">
      <c r="A45251"/>
      <c r="B45251"/>
      <c r="C45251"/>
      <c r="E45251"/>
      <c r="F45251"/>
    </row>
    <row r="45252" spans="1:6" x14ac:dyDescent="0.25">
      <c r="A45252"/>
      <c r="B45252"/>
      <c r="C45252"/>
      <c r="E45252"/>
      <c r="F45252"/>
    </row>
    <row r="45253" spans="1:6" x14ac:dyDescent="0.25">
      <c r="A45253"/>
      <c r="B45253"/>
      <c r="C45253"/>
      <c r="E45253"/>
      <c r="F45253"/>
    </row>
    <row r="45254" spans="1:6" x14ac:dyDescent="0.25">
      <c r="A45254"/>
      <c r="B45254"/>
      <c r="C45254"/>
      <c r="E45254"/>
      <c r="F45254"/>
    </row>
    <row r="45255" spans="1:6" x14ac:dyDescent="0.25">
      <c r="A45255"/>
      <c r="B45255"/>
      <c r="C45255"/>
      <c r="E45255"/>
      <c r="F45255"/>
    </row>
    <row r="45256" spans="1:6" x14ac:dyDescent="0.25">
      <c r="A45256"/>
      <c r="B45256"/>
      <c r="C45256"/>
      <c r="E45256"/>
      <c r="F45256"/>
    </row>
    <row r="45257" spans="1:6" x14ac:dyDescent="0.25">
      <c r="A45257"/>
      <c r="B45257"/>
      <c r="C45257"/>
      <c r="E45257"/>
      <c r="F45257"/>
    </row>
    <row r="45258" spans="1:6" x14ac:dyDescent="0.25">
      <c r="A45258"/>
      <c r="B45258"/>
      <c r="C45258"/>
      <c r="E45258"/>
      <c r="F45258"/>
    </row>
    <row r="45259" spans="1:6" x14ac:dyDescent="0.25">
      <c r="A45259"/>
      <c r="B45259"/>
      <c r="C45259"/>
      <c r="E45259"/>
      <c r="F45259"/>
    </row>
    <row r="45260" spans="1:6" x14ac:dyDescent="0.25">
      <c r="A45260"/>
      <c r="B45260"/>
      <c r="C45260"/>
      <c r="E45260"/>
      <c r="F45260"/>
    </row>
    <row r="45261" spans="1:6" x14ac:dyDescent="0.25">
      <c r="A45261"/>
      <c r="B45261"/>
      <c r="C45261"/>
      <c r="E45261"/>
      <c r="F45261"/>
    </row>
    <row r="45262" spans="1:6" x14ac:dyDescent="0.25">
      <c r="A45262"/>
      <c r="B45262"/>
      <c r="C45262"/>
      <c r="E45262"/>
      <c r="F45262"/>
    </row>
    <row r="45263" spans="1:6" x14ac:dyDescent="0.25">
      <c r="A45263"/>
      <c r="B45263"/>
      <c r="C45263"/>
      <c r="E45263"/>
      <c r="F45263"/>
    </row>
    <row r="45264" spans="1:6" x14ac:dyDescent="0.25">
      <c r="A45264"/>
      <c r="B45264"/>
      <c r="C45264"/>
      <c r="E45264"/>
      <c r="F45264"/>
    </row>
    <row r="45265" spans="1:6" x14ac:dyDescent="0.25">
      <c r="A45265"/>
      <c r="B45265"/>
      <c r="C45265"/>
      <c r="E45265"/>
      <c r="F45265"/>
    </row>
    <row r="45266" spans="1:6" x14ac:dyDescent="0.25">
      <c r="A45266"/>
      <c r="B45266"/>
      <c r="C45266"/>
      <c r="E45266"/>
      <c r="F45266"/>
    </row>
    <row r="45267" spans="1:6" x14ac:dyDescent="0.25">
      <c r="A45267"/>
      <c r="B45267"/>
      <c r="C45267"/>
      <c r="E45267"/>
      <c r="F45267"/>
    </row>
    <row r="45268" spans="1:6" x14ac:dyDescent="0.25">
      <c r="A45268"/>
      <c r="B45268"/>
      <c r="C45268"/>
      <c r="E45268"/>
      <c r="F45268"/>
    </row>
    <row r="45269" spans="1:6" x14ac:dyDescent="0.25">
      <c r="A45269"/>
      <c r="B45269"/>
      <c r="C45269"/>
      <c r="E45269"/>
      <c r="F45269"/>
    </row>
    <row r="45270" spans="1:6" x14ac:dyDescent="0.25">
      <c r="A45270"/>
      <c r="B45270"/>
      <c r="C45270"/>
      <c r="E45270"/>
      <c r="F45270"/>
    </row>
    <row r="45271" spans="1:6" x14ac:dyDescent="0.25">
      <c r="A45271"/>
      <c r="B45271"/>
      <c r="C45271"/>
      <c r="E45271"/>
      <c r="F45271"/>
    </row>
    <row r="45272" spans="1:6" x14ac:dyDescent="0.25">
      <c r="A45272"/>
      <c r="B45272"/>
      <c r="C45272"/>
      <c r="E45272"/>
      <c r="F45272"/>
    </row>
    <row r="45273" spans="1:6" x14ac:dyDescent="0.25">
      <c r="A45273"/>
      <c r="B45273"/>
      <c r="C45273"/>
      <c r="E45273"/>
      <c r="F45273"/>
    </row>
    <row r="45274" spans="1:6" x14ac:dyDescent="0.25">
      <c r="A45274"/>
      <c r="B45274"/>
      <c r="C45274"/>
      <c r="E45274"/>
      <c r="F45274"/>
    </row>
    <row r="45275" spans="1:6" x14ac:dyDescent="0.25">
      <c r="A45275"/>
      <c r="B45275"/>
      <c r="C45275"/>
      <c r="E45275"/>
      <c r="F45275"/>
    </row>
    <row r="45276" spans="1:6" x14ac:dyDescent="0.25">
      <c r="A45276"/>
      <c r="B45276"/>
      <c r="C45276"/>
      <c r="E45276"/>
      <c r="F45276"/>
    </row>
    <row r="45277" spans="1:6" x14ac:dyDescent="0.25">
      <c r="A45277"/>
      <c r="B45277"/>
      <c r="C45277"/>
      <c r="E45277"/>
      <c r="F45277"/>
    </row>
    <row r="45278" spans="1:6" x14ac:dyDescent="0.25">
      <c r="A45278"/>
      <c r="B45278"/>
      <c r="C45278"/>
      <c r="E45278"/>
      <c r="F45278"/>
    </row>
    <row r="45279" spans="1:6" x14ac:dyDescent="0.25">
      <c r="A45279"/>
      <c r="B45279"/>
      <c r="C45279"/>
      <c r="E45279"/>
      <c r="F45279"/>
    </row>
    <row r="45280" spans="1:6" x14ac:dyDescent="0.25">
      <c r="A45280"/>
      <c r="B45280"/>
      <c r="C45280"/>
      <c r="E45280"/>
      <c r="F45280"/>
    </row>
    <row r="45281" spans="1:6" x14ac:dyDescent="0.25">
      <c r="A45281"/>
      <c r="B45281"/>
      <c r="C45281"/>
      <c r="E45281"/>
      <c r="F45281"/>
    </row>
    <row r="45282" spans="1:6" x14ac:dyDescent="0.25">
      <c r="A45282"/>
      <c r="B45282"/>
      <c r="C45282"/>
      <c r="E45282"/>
      <c r="F45282"/>
    </row>
    <row r="45283" spans="1:6" x14ac:dyDescent="0.25">
      <c r="A45283"/>
      <c r="B45283"/>
      <c r="C45283"/>
      <c r="E45283"/>
      <c r="F45283"/>
    </row>
    <row r="45284" spans="1:6" x14ac:dyDescent="0.25">
      <c r="A45284"/>
      <c r="B45284"/>
      <c r="C45284"/>
      <c r="E45284"/>
      <c r="F45284"/>
    </row>
    <row r="45285" spans="1:6" x14ac:dyDescent="0.25">
      <c r="A45285"/>
      <c r="B45285"/>
      <c r="C45285"/>
      <c r="E45285"/>
      <c r="F45285"/>
    </row>
    <row r="45286" spans="1:6" x14ac:dyDescent="0.25">
      <c r="A45286"/>
      <c r="B45286"/>
      <c r="C45286"/>
      <c r="E45286"/>
      <c r="F45286"/>
    </row>
    <row r="45287" spans="1:6" x14ac:dyDescent="0.25">
      <c r="A45287"/>
      <c r="B45287"/>
      <c r="C45287"/>
      <c r="E45287"/>
      <c r="F45287"/>
    </row>
    <row r="45288" spans="1:6" x14ac:dyDescent="0.25">
      <c r="A45288"/>
      <c r="B45288"/>
      <c r="C45288"/>
      <c r="E45288"/>
      <c r="F45288"/>
    </row>
    <row r="45289" spans="1:6" x14ac:dyDescent="0.25">
      <c r="A45289"/>
      <c r="B45289"/>
      <c r="C45289"/>
      <c r="E45289"/>
      <c r="F45289"/>
    </row>
    <row r="45290" spans="1:6" x14ac:dyDescent="0.25">
      <c r="A45290"/>
      <c r="B45290"/>
      <c r="C45290"/>
      <c r="E45290"/>
      <c r="F45290"/>
    </row>
    <row r="45291" spans="1:6" x14ac:dyDescent="0.25">
      <c r="A45291"/>
      <c r="B45291"/>
      <c r="C45291"/>
      <c r="E45291"/>
      <c r="F45291"/>
    </row>
    <row r="45292" spans="1:6" x14ac:dyDescent="0.25">
      <c r="A45292"/>
      <c r="B45292"/>
      <c r="C45292"/>
      <c r="E45292"/>
      <c r="F45292"/>
    </row>
    <row r="45293" spans="1:6" x14ac:dyDescent="0.25">
      <c r="A45293"/>
      <c r="B45293"/>
      <c r="C45293"/>
      <c r="E45293"/>
      <c r="F45293"/>
    </row>
    <row r="45294" spans="1:6" x14ac:dyDescent="0.25">
      <c r="A45294"/>
      <c r="B45294"/>
      <c r="C45294"/>
      <c r="E45294"/>
      <c r="F45294"/>
    </row>
    <row r="45295" spans="1:6" x14ac:dyDescent="0.25">
      <c r="A45295"/>
      <c r="B45295"/>
      <c r="C45295"/>
      <c r="E45295"/>
      <c r="F45295"/>
    </row>
    <row r="45296" spans="1:6" x14ac:dyDescent="0.25">
      <c r="A45296"/>
      <c r="B45296"/>
      <c r="C45296"/>
      <c r="E45296"/>
      <c r="F45296"/>
    </row>
    <row r="45297" spans="1:6" x14ac:dyDescent="0.25">
      <c r="A45297"/>
      <c r="B45297"/>
      <c r="C45297"/>
      <c r="E45297"/>
      <c r="F45297"/>
    </row>
    <row r="45298" spans="1:6" x14ac:dyDescent="0.25">
      <c r="A45298"/>
      <c r="B45298"/>
      <c r="C45298"/>
      <c r="E45298"/>
      <c r="F45298"/>
    </row>
    <row r="45299" spans="1:6" x14ac:dyDescent="0.25">
      <c r="A45299"/>
      <c r="B45299"/>
      <c r="C45299"/>
      <c r="E45299"/>
      <c r="F45299"/>
    </row>
    <row r="45300" spans="1:6" x14ac:dyDescent="0.25">
      <c r="A45300"/>
      <c r="B45300"/>
      <c r="C45300"/>
      <c r="E45300"/>
      <c r="F45300"/>
    </row>
    <row r="45301" spans="1:6" x14ac:dyDescent="0.25">
      <c r="A45301"/>
      <c r="B45301"/>
      <c r="C45301"/>
      <c r="E45301"/>
      <c r="F45301"/>
    </row>
    <row r="45302" spans="1:6" x14ac:dyDescent="0.25">
      <c r="A45302"/>
      <c r="B45302"/>
      <c r="C45302"/>
      <c r="E45302"/>
      <c r="F45302"/>
    </row>
    <row r="45303" spans="1:6" x14ac:dyDescent="0.25">
      <c r="A45303"/>
      <c r="B45303"/>
      <c r="C45303"/>
      <c r="E45303"/>
      <c r="F45303"/>
    </row>
    <row r="45304" spans="1:6" x14ac:dyDescent="0.25">
      <c r="A45304"/>
      <c r="B45304"/>
      <c r="C45304"/>
      <c r="E45304"/>
      <c r="F45304"/>
    </row>
    <row r="45305" spans="1:6" x14ac:dyDescent="0.25">
      <c r="A45305"/>
      <c r="B45305"/>
      <c r="C45305"/>
      <c r="E45305"/>
      <c r="F45305"/>
    </row>
    <row r="45306" spans="1:6" x14ac:dyDescent="0.25">
      <c r="A45306"/>
      <c r="B45306"/>
      <c r="C45306"/>
      <c r="E45306"/>
      <c r="F45306"/>
    </row>
    <row r="45307" spans="1:6" x14ac:dyDescent="0.25">
      <c r="A45307"/>
      <c r="B45307"/>
      <c r="C45307"/>
      <c r="E45307"/>
      <c r="F45307"/>
    </row>
    <row r="45308" spans="1:6" x14ac:dyDescent="0.25">
      <c r="A45308"/>
      <c r="B45308"/>
      <c r="C45308"/>
      <c r="E45308"/>
      <c r="F45308"/>
    </row>
    <row r="45309" spans="1:6" x14ac:dyDescent="0.25">
      <c r="A45309"/>
      <c r="B45309"/>
      <c r="C45309"/>
      <c r="E45309"/>
      <c r="F45309"/>
    </row>
    <row r="45310" spans="1:6" x14ac:dyDescent="0.25">
      <c r="A45310"/>
      <c r="B45310"/>
      <c r="C45310"/>
      <c r="E45310"/>
      <c r="F45310"/>
    </row>
    <row r="45311" spans="1:6" x14ac:dyDescent="0.25">
      <c r="A45311"/>
      <c r="B45311"/>
      <c r="C45311"/>
      <c r="E45311"/>
      <c r="F45311"/>
    </row>
    <row r="45312" spans="1:6" x14ac:dyDescent="0.25">
      <c r="A45312"/>
      <c r="B45312"/>
      <c r="C45312"/>
      <c r="E45312"/>
      <c r="F45312"/>
    </row>
    <row r="45313" spans="1:6" x14ac:dyDescent="0.25">
      <c r="A45313"/>
      <c r="B45313"/>
      <c r="C45313"/>
      <c r="E45313"/>
      <c r="F45313"/>
    </row>
    <row r="45314" spans="1:6" x14ac:dyDescent="0.25">
      <c r="A45314"/>
      <c r="B45314"/>
      <c r="C45314"/>
      <c r="E45314"/>
      <c r="F45314"/>
    </row>
    <row r="45315" spans="1:6" x14ac:dyDescent="0.25">
      <c r="A45315"/>
      <c r="B45315"/>
      <c r="C45315"/>
      <c r="E45315"/>
      <c r="F45315"/>
    </row>
    <row r="45316" spans="1:6" x14ac:dyDescent="0.25">
      <c r="A45316"/>
      <c r="B45316"/>
      <c r="C45316"/>
      <c r="E45316"/>
      <c r="F45316"/>
    </row>
    <row r="45317" spans="1:6" x14ac:dyDescent="0.25">
      <c r="A45317"/>
      <c r="B45317"/>
      <c r="C45317"/>
      <c r="E45317"/>
      <c r="F45317"/>
    </row>
    <row r="45318" spans="1:6" x14ac:dyDescent="0.25">
      <c r="A45318"/>
      <c r="B45318"/>
      <c r="C45318"/>
      <c r="E45318"/>
      <c r="F45318"/>
    </row>
    <row r="45319" spans="1:6" x14ac:dyDescent="0.25">
      <c r="A45319"/>
      <c r="B45319"/>
      <c r="C45319"/>
      <c r="E45319"/>
      <c r="F45319"/>
    </row>
    <row r="45320" spans="1:6" x14ac:dyDescent="0.25">
      <c r="A45320"/>
      <c r="B45320"/>
      <c r="C45320"/>
      <c r="E45320"/>
      <c r="F45320"/>
    </row>
    <row r="45321" spans="1:6" x14ac:dyDescent="0.25">
      <c r="A45321"/>
      <c r="B45321"/>
      <c r="C45321"/>
      <c r="E45321"/>
      <c r="F45321"/>
    </row>
    <row r="45322" spans="1:6" x14ac:dyDescent="0.25">
      <c r="A45322"/>
      <c r="B45322"/>
      <c r="C45322"/>
      <c r="E45322"/>
      <c r="F45322"/>
    </row>
    <row r="45323" spans="1:6" x14ac:dyDescent="0.25">
      <c r="A45323"/>
      <c r="B45323"/>
      <c r="C45323"/>
      <c r="E45323"/>
      <c r="F45323"/>
    </row>
    <row r="45324" spans="1:6" x14ac:dyDescent="0.25">
      <c r="A45324"/>
      <c r="B45324"/>
      <c r="C45324"/>
      <c r="E45324"/>
      <c r="F45324"/>
    </row>
    <row r="45325" spans="1:6" x14ac:dyDescent="0.25">
      <c r="A45325"/>
      <c r="B45325"/>
      <c r="C45325"/>
      <c r="E45325"/>
      <c r="F45325"/>
    </row>
    <row r="45326" spans="1:6" x14ac:dyDescent="0.25">
      <c r="A45326"/>
      <c r="B45326"/>
      <c r="C45326"/>
      <c r="E45326"/>
      <c r="F45326"/>
    </row>
    <row r="45327" spans="1:6" x14ac:dyDescent="0.25">
      <c r="A45327"/>
      <c r="B45327"/>
      <c r="C45327"/>
      <c r="E45327"/>
      <c r="F45327"/>
    </row>
    <row r="45328" spans="1:6" x14ac:dyDescent="0.25">
      <c r="A45328"/>
      <c r="B45328"/>
      <c r="C45328"/>
      <c r="E45328"/>
      <c r="F45328"/>
    </row>
    <row r="45329" spans="1:6" x14ac:dyDescent="0.25">
      <c r="A45329"/>
      <c r="B45329"/>
      <c r="C45329"/>
      <c r="E45329"/>
      <c r="F45329"/>
    </row>
    <row r="45330" spans="1:6" x14ac:dyDescent="0.25">
      <c r="A45330"/>
      <c r="B45330"/>
      <c r="C45330"/>
      <c r="E45330"/>
      <c r="F45330"/>
    </row>
    <row r="45331" spans="1:6" x14ac:dyDescent="0.25">
      <c r="A45331"/>
      <c r="B45331"/>
      <c r="C45331"/>
      <c r="E45331"/>
      <c r="F45331"/>
    </row>
    <row r="45332" spans="1:6" x14ac:dyDescent="0.25">
      <c r="A45332"/>
      <c r="B45332"/>
      <c r="C45332"/>
      <c r="E45332"/>
      <c r="F45332"/>
    </row>
    <row r="45333" spans="1:6" x14ac:dyDescent="0.25">
      <c r="A45333"/>
      <c r="B45333"/>
      <c r="C45333"/>
      <c r="E45333"/>
      <c r="F45333"/>
    </row>
    <row r="45334" spans="1:6" x14ac:dyDescent="0.25">
      <c r="A45334"/>
      <c r="B45334"/>
      <c r="C45334"/>
      <c r="E45334"/>
      <c r="F45334"/>
    </row>
    <row r="45335" spans="1:6" x14ac:dyDescent="0.25">
      <c r="A45335"/>
      <c r="B45335"/>
      <c r="C45335"/>
      <c r="E45335"/>
      <c r="F45335"/>
    </row>
    <row r="45336" spans="1:6" x14ac:dyDescent="0.25">
      <c r="A45336"/>
      <c r="B45336"/>
      <c r="C45336"/>
      <c r="E45336"/>
      <c r="F45336"/>
    </row>
    <row r="45337" spans="1:6" x14ac:dyDescent="0.25">
      <c r="A45337"/>
      <c r="B45337"/>
      <c r="C45337"/>
      <c r="E45337"/>
      <c r="F45337"/>
    </row>
    <row r="45338" spans="1:6" x14ac:dyDescent="0.25">
      <c r="A45338"/>
      <c r="B45338"/>
      <c r="C45338"/>
      <c r="E45338"/>
      <c r="F45338"/>
    </row>
    <row r="45339" spans="1:6" x14ac:dyDescent="0.25">
      <c r="A45339"/>
      <c r="B45339"/>
      <c r="C45339"/>
      <c r="E45339"/>
      <c r="F45339"/>
    </row>
    <row r="45340" spans="1:6" x14ac:dyDescent="0.25">
      <c r="A45340"/>
      <c r="B45340"/>
      <c r="C45340"/>
      <c r="E45340"/>
      <c r="F45340"/>
    </row>
    <row r="45341" spans="1:6" x14ac:dyDescent="0.25">
      <c r="A45341"/>
      <c r="B45341"/>
      <c r="C45341"/>
      <c r="E45341"/>
      <c r="F45341"/>
    </row>
    <row r="45342" spans="1:6" x14ac:dyDescent="0.25">
      <c r="A45342"/>
      <c r="B45342"/>
      <c r="C45342"/>
      <c r="E45342"/>
      <c r="F45342"/>
    </row>
    <row r="45343" spans="1:6" x14ac:dyDescent="0.25">
      <c r="A45343"/>
      <c r="B45343"/>
      <c r="C45343"/>
      <c r="E45343"/>
      <c r="F45343"/>
    </row>
    <row r="45344" spans="1:6" x14ac:dyDescent="0.25">
      <c r="A45344"/>
      <c r="B45344"/>
      <c r="C45344"/>
      <c r="E45344"/>
      <c r="F45344"/>
    </row>
    <row r="45345" spans="1:6" x14ac:dyDescent="0.25">
      <c r="A45345"/>
      <c r="B45345"/>
      <c r="C45345"/>
      <c r="E45345"/>
      <c r="F45345"/>
    </row>
    <row r="45346" spans="1:6" x14ac:dyDescent="0.25">
      <c r="A45346"/>
      <c r="B45346"/>
      <c r="C45346"/>
      <c r="E45346"/>
      <c r="F45346"/>
    </row>
    <row r="45347" spans="1:6" x14ac:dyDescent="0.25">
      <c r="A45347"/>
      <c r="B45347"/>
      <c r="C45347"/>
      <c r="E45347"/>
      <c r="F45347"/>
    </row>
    <row r="45348" spans="1:6" x14ac:dyDescent="0.25">
      <c r="A45348"/>
      <c r="B45348"/>
      <c r="C45348"/>
      <c r="E45348"/>
      <c r="F45348"/>
    </row>
    <row r="45349" spans="1:6" x14ac:dyDescent="0.25">
      <c r="A45349"/>
      <c r="B45349"/>
      <c r="C45349"/>
      <c r="E45349"/>
      <c r="F45349"/>
    </row>
    <row r="45350" spans="1:6" x14ac:dyDescent="0.25">
      <c r="A45350"/>
      <c r="B45350"/>
      <c r="C45350"/>
      <c r="E45350"/>
      <c r="F45350"/>
    </row>
    <row r="45351" spans="1:6" x14ac:dyDescent="0.25">
      <c r="A45351"/>
      <c r="B45351"/>
      <c r="C45351"/>
      <c r="E45351"/>
      <c r="F45351"/>
    </row>
    <row r="45352" spans="1:6" x14ac:dyDescent="0.25">
      <c r="A45352"/>
      <c r="B45352"/>
      <c r="C45352"/>
      <c r="E45352"/>
      <c r="F45352"/>
    </row>
    <row r="45353" spans="1:6" x14ac:dyDescent="0.25">
      <c r="A45353"/>
      <c r="B45353"/>
      <c r="C45353"/>
      <c r="E45353"/>
      <c r="F45353"/>
    </row>
    <row r="45354" spans="1:6" x14ac:dyDescent="0.25">
      <c r="A45354"/>
      <c r="B45354"/>
      <c r="C45354"/>
      <c r="E45354"/>
      <c r="F45354"/>
    </row>
    <row r="45355" spans="1:6" x14ac:dyDescent="0.25">
      <c r="A45355"/>
      <c r="B45355"/>
      <c r="C45355"/>
      <c r="E45355"/>
      <c r="F45355"/>
    </row>
    <row r="45356" spans="1:6" x14ac:dyDescent="0.25">
      <c r="A45356"/>
      <c r="B45356"/>
      <c r="C45356"/>
      <c r="E45356"/>
      <c r="F45356"/>
    </row>
    <row r="45357" spans="1:6" x14ac:dyDescent="0.25">
      <c r="A45357"/>
      <c r="B45357"/>
      <c r="C45357"/>
      <c r="E45357"/>
      <c r="F45357"/>
    </row>
    <row r="45358" spans="1:6" x14ac:dyDescent="0.25">
      <c r="A45358"/>
      <c r="B45358"/>
      <c r="C45358"/>
      <c r="E45358"/>
      <c r="F45358"/>
    </row>
    <row r="45359" spans="1:6" x14ac:dyDescent="0.25">
      <c r="A45359"/>
      <c r="B45359"/>
      <c r="C45359"/>
      <c r="E45359"/>
      <c r="F45359"/>
    </row>
    <row r="45360" spans="1:6" x14ac:dyDescent="0.25">
      <c r="A45360"/>
      <c r="B45360"/>
      <c r="C45360"/>
      <c r="E45360"/>
      <c r="F45360"/>
    </row>
    <row r="45361" spans="1:6" x14ac:dyDescent="0.25">
      <c r="A45361"/>
      <c r="B45361"/>
      <c r="C45361"/>
      <c r="E45361"/>
      <c r="F45361"/>
    </row>
    <row r="45362" spans="1:6" x14ac:dyDescent="0.25">
      <c r="A45362"/>
      <c r="B45362"/>
      <c r="C45362"/>
      <c r="E45362"/>
      <c r="F45362"/>
    </row>
    <row r="45363" spans="1:6" x14ac:dyDescent="0.25">
      <c r="A45363"/>
      <c r="B45363"/>
      <c r="C45363"/>
      <c r="E45363"/>
      <c r="F45363"/>
    </row>
    <row r="45364" spans="1:6" x14ac:dyDescent="0.25">
      <c r="A45364"/>
      <c r="B45364"/>
      <c r="C45364"/>
      <c r="E45364"/>
      <c r="F45364"/>
    </row>
    <row r="45365" spans="1:6" x14ac:dyDescent="0.25">
      <c r="A45365"/>
      <c r="B45365"/>
      <c r="C45365"/>
      <c r="E45365"/>
      <c r="F45365"/>
    </row>
    <row r="45366" spans="1:6" x14ac:dyDescent="0.25">
      <c r="A45366"/>
      <c r="B45366"/>
      <c r="C45366"/>
      <c r="E45366"/>
      <c r="F45366"/>
    </row>
    <row r="45367" spans="1:6" x14ac:dyDescent="0.25">
      <c r="A45367"/>
      <c r="B45367"/>
      <c r="C45367"/>
      <c r="E45367"/>
      <c r="F45367"/>
    </row>
    <row r="45368" spans="1:6" x14ac:dyDescent="0.25">
      <c r="A45368"/>
      <c r="B45368"/>
      <c r="C45368"/>
      <c r="E45368"/>
      <c r="F45368"/>
    </row>
    <row r="45369" spans="1:6" x14ac:dyDescent="0.25">
      <c r="A45369"/>
      <c r="B45369"/>
      <c r="C45369"/>
      <c r="E45369"/>
      <c r="F45369"/>
    </row>
    <row r="45370" spans="1:6" x14ac:dyDescent="0.25">
      <c r="A45370"/>
      <c r="B45370"/>
      <c r="C45370"/>
      <c r="E45370"/>
      <c r="F45370"/>
    </row>
    <row r="45371" spans="1:6" x14ac:dyDescent="0.25">
      <c r="A45371"/>
      <c r="B45371"/>
      <c r="C45371"/>
      <c r="E45371"/>
      <c r="F45371"/>
    </row>
    <row r="45372" spans="1:6" x14ac:dyDescent="0.25">
      <c r="A45372"/>
      <c r="B45372"/>
      <c r="C45372"/>
      <c r="E45372"/>
      <c r="F45372"/>
    </row>
    <row r="45373" spans="1:6" x14ac:dyDescent="0.25">
      <c r="A45373"/>
      <c r="B45373"/>
      <c r="C45373"/>
      <c r="E45373"/>
      <c r="F45373"/>
    </row>
    <row r="45374" spans="1:6" x14ac:dyDescent="0.25">
      <c r="A45374"/>
      <c r="B45374"/>
      <c r="C45374"/>
      <c r="E45374"/>
      <c r="F45374"/>
    </row>
    <row r="45375" spans="1:6" x14ac:dyDescent="0.25">
      <c r="A45375"/>
      <c r="B45375"/>
      <c r="C45375"/>
      <c r="E45375"/>
      <c r="F45375"/>
    </row>
    <row r="45376" spans="1:6" x14ac:dyDescent="0.25">
      <c r="A45376"/>
      <c r="B45376"/>
      <c r="C45376"/>
      <c r="E45376"/>
      <c r="F45376"/>
    </row>
    <row r="45377" spans="1:6" x14ac:dyDescent="0.25">
      <c r="A45377"/>
      <c r="B45377"/>
      <c r="C45377"/>
      <c r="E45377"/>
      <c r="F45377"/>
    </row>
    <row r="45378" spans="1:6" x14ac:dyDescent="0.25">
      <c r="A45378"/>
      <c r="B45378"/>
      <c r="C45378"/>
      <c r="E45378"/>
      <c r="F45378"/>
    </row>
    <row r="45379" spans="1:6" x14ac:dyDescent="0.25">
      <c r="A45379"/>
      <c r="B45379"/>
      <c r="C45379"/>
      <c r="E45379"/>
      <c r="F45379"/>
    </row>
    <row r="45380" spans="1:6" x14ac:dyDescent="0.25">
      <c r="A45380"/>
      <c r="B45380"/>
      <c r="C45380"/>
      <c r="E45380"/>
      <c r="F45380"/>
    </row>
    <row r="45381" spans="1:6" x14ac:dyDescent="0.25">
      <c r="A45381"/>
      <c r="B45381"/>
      <c r="C45381"/>
      <c r="E45381"/>
      <c r="F45381"/>
    </row>
    <row r="45382" spans="1:6" x14ac:dyDescent="0.25">
      <c r="A45382"/>
      <c r="B45382"/>
      <c r="C45382"/>
      <c r="E45382"/>
      <c r="F45382"/>
    </row>
    <row r="45383" spans="1:6" x14ac:dyDescent="0.25">
      <c r="A45383"/>
      <c r="B45383"/>
      <c r="C45383"/>
      <c r="E45383"/>
      <c r="F45383"/>
    </row>
    <row r="45384" spans="1:6" x14ac:dyDescent="0.25">
      <c r="A45384"/>
      <c r="B45384"/>
      <c r="C45384"/>
      <c r="E45384"/>
      <c r="F45384"/>
    </row>
    <row r="45385" spans="1:6" x14ac:dyDescent="0.25">
      <c r="A45385"/>
      <c r="B45385"/>
      <c r="C45385"/>
      <c r="E45385"/>
      <c r="F45385"/>
    </row>
    <row r="45386" spans="1:6" x14ac:dyDescent="0.25">
      <c r="A45386"/>
      <c r="B45386"/>
      <c r="C45386"/>
      <c r="E45386"/>
      <c r="F45386"/>
    </row>
    <row r="45387" spans="1:6" x14ac:dyDescent="0.25">
      <c r="A45387"/>
      <c r="B45387"/>
      <c r="C45387"/>
      <c r="E45387"/>
      <c r="F45387"/>
    </row>
    <row r="45388" spans="1:6" x14ac:dyDescent="0.25">
      <c r="A45388"/>
      <c r="B45388"/>
      <c r="C45388"/>
      <c r="E45388"/>
      <c r="F45388"/>
    </row>
    <row r="45389" spans="1:6" x14ac:dyDescent="0.25">
      <c r="A45389"/>
      <c r="B45389"/>
      <c r="C45389"/>
      <c r="E45389"/>
      <c r="F45389"/>
    </row>
    <row r="45390" spans="1:6" x14ac:dyDescent="0.25">
      <c r="A45390"/>
      <c r="B45390"/>
      <c r="C45390"/>
      <c r="E45390"/>
      <c r="F45390"/>
    </row>
    <row r="45391" spans="1:6" x14ac:dyDescent="0.25">
      <c r="A45391"/>
      <c r="B45391"/>
      <c r="C45391"/>
      <c r="E45391"/>
      <c r="F45391"/>
    </row>
    <row r="45392" spans="1:6" x14ac:dyDescent="0.25">
      <c r="A45392"/>
      <c r="B45392"/>
      <c r="C45392"/>
      <c r="E45392"/>
      <c r="F45392"/>
    </row>
    <row r="45393" spans="1:6" x14ac:dyDescent="0.25">
      <c r="A45393"/>
      <c r="B45393"/>
      <c r="C45393"/>
      <c r="E45393"/>
      <c r="F45393"/>
    </row>
    <row r="45394" spans="1:6" x14ac:dyDescent="0.25">
      <c r="A45394"/>
      <c r="B45394"/>
      <c r="C45394"/>
      <c r="E45394"/>
      <c r="F45394"/>
    </row>
    <row r="45395" spans="1:6" x14ac:dyDescent="0.25">
      <c r="A45395"/>
      <c r="B45395"/>
      <c r="C45395"/>
      <c r="E45395"/>
      <c r="F45395"/>
    </row>
    <row r="45396" spans="1:6" x14ac:dyDescent="0.25">
      <c r="A45396"/>
      <c r="B45396"/>
      <c r="C45396"/>
      <c r="E45396"/>
      <c r="F45396"/>
    </row>
    <row r="45397" spans="1:6" x14ac:dyDescent="0.25">
      <c r="A45397"/>
      <c r="B45397"/>
      <c r="C45397"/>
      <c r="E45397"/>
      <c r="F45397"/>
    </row>
    <row r="45398" spans="1:6" x14ac:dyDescent="0.25">
      <c r="A45398"/>
      <c r="B45398"/>
      <c r="C45398"/>
      <c r="E45398"/>
      <c r="F45398"/>
    </row>
    <row r="45399" spans="1:6" x14ac:dyDescent="0.25">
      <c r="A45399"/>
      <c r="B45399"/>
      <c r="C45399"/>
      <c r="E45399"/>
      <c r="F45399"/>
    </row>
    <row r="45400" spans="1:6" x14ac:dyDescent="0.25">
      <c r="A45400"/>
      <c r="B45400"/>
      <c r="C45400"/>
      <c r="E45400"/>
      <c r="F45400"/>
    </row>
    <row r="45401" spans="1:6" x14ac:dyDescent="0.25">
      <c r="A45401"/>
      <c r="B45401"/>
      <c r="C45401"/>
      <c r="E45401"/>
      <c r="F45401"/>
    </row>
    <row r="45402" spans="1:6" x14ac:dyDescent="0.25">
      <c r="A45402"/>
      <c r="B45402"/>
      <c r="C45402"/>
      <c r="E45402"/>
      <c r="F45402"/>
    </row>
    <row r="45403" spans="1:6" x14ac:dyDescent="0.25">
      <c r="A45403"/>
      <c r="B45403"/>
      <c r="C45403"/>
      <c r="E45403"/>
      <c r="F45403"/>
    </row>
    <row r="45404" spans="1:6" x14ac:dyDescent="0.25">
      <c r="A45404"/>
      <c r="B45404"/>
      <c r="C45404"/>
      <c r="E45404"/>
      <c r="F45404"/>
    </row>
    <row r="45405" spans="1:6" x14ac:dyDescent="0.25">
      <c r="A45405"/>
      <c r="B45405"/>
      <c r="C45405"/>
      <c r="E45405"/>
      <c r="F45405"/>
    </row>
    <row r="45406" spans="1:6" x14ac:dyDescent="0.25">
      <c r="A45406"/>
      <c r="B45406"/>
      <c r="C45406"/>
      <c r="E45406"/>
      <c r="F45406"/>
    </row>
    <row r="45407" spans="1:6" x14ac:dyDescent="0.25">
      <c r="A45407"/>
      <c r="B45407"/>
      <c r="C45407"/>
      <c r="E45407"/>
      <c r="F45407"/>
    </row>
    <row r="45408" spans="1:6" x14ac:dyDescent="0.25">
      <c r="A45408"/>
      <c r="B45408"/>
      <c r="C45408"/>
      <c r="E45408"/>
      <c r="F45408"/>
    </row>
    <row r="45409" spans="1:6" x14ac:dyDescent="0.25">
      <c r="A45409"/>
      <c r="B45409"/>
      <c r="C45409"/>
      <c r="E45409"/>
      <c r="F45409"/>
    </row>
    <row r="45410" spans="1:6" x14ac:dyDescent="0.25">
      <c r="A45410"/>
      <c r="B45410"/>
      <c r="C45410"/>
      <c r="E45410"/>
      <c r="F45410"/>
    </row>
    <row r="45411" spans="1:6" x14ac:dyDescent="0.25">
      <c r="A45411"/>
      <c r="B45411"/>
      <c r="C45411"/>
      <c r="E45411"/>
      <c r="F45411"/>
    </row>
    <row r="45412" spans="1:6" x14ac:dyDescent="0.25">
      <c r="A45412"/>
      <c r="B45412"/>
      <c r="C45412"/>
      <c r="E45412"/>
      <c r="F45412"/>
    </row>
    <row r="45413" spans="1:6" x14ac:dyDescent="0.25">
      <c r="A45413"/>
      <c r="B45413"/>
      <c r="C45413"/>
      <c r="E45413"/>
      <c r="F45413"/>
    </row>
    <row r="45414" spans="1:6" x14ac:dyDescent="0.25">
      <c r="A45414"/>
      <c r="B45414"/>
      <c r="C45414"/>
      <c r="E45414"/>
      <c r="F45414"/>
    </row>
    <row r="45415" spans="1:6" x14ac:dyDescent="0.25">
      <c r="A45415"/>
      <c r="B45415"/>
      <c r="C45415"/>
      <c r="E45415"/>
      <c r="F45415"/>
    </row>
    <row r="45416" spans="1:6" x14ac:dyDescent="0.25">
      <c r="A45416"/>
      <c r="B45416"/>
      <c r="C45416"/>
      <c r="E45416"/>
      <c r="F45416"/>
    </row>
    <row r="45417" spans="1:6" x14ac:dyDescent="0.25">
      <c r="A45417"/>
      <c r="B45417"/>
      <c r="C45417"/>
      <c r="E45417"/>
      <c r="F45417"/>
    </row>
    <row r="45418" spans="1:6" x14ac:dyDescent="0.25">
      <c r="A45418"/>
      <c r="B45418"/>
      <c r="C45418"/>
      <c r="E45418"/>
      <c r="F45418"/>
    </row>
    <row r="45419" spans="1:6" x14ac:dyDescent="0.25">
      <c r="A45419"/>
      <c r="B45419"/>
      <c r="C45419"/>
      <c r="E45419"/>
      <c r="F45419"/>
    </row>
    <row r="45420" spans="1:6" x14ac:dyDescent="0.25">
      <c r="A45420"/>
      <c r="B45420"/>
      <c r="C45420"/>
      <c r="E45420"/>
      <c r="F45420"/>
    </row>
    <row r="45421" spans="1:6" x14ac:dyDescent="0.25">
      <c r="A45421"/>
      <c r="B45421"/>
      <c r="C45421"/>
      <c r="E45421"/>
      <c r="F45421"/>
    </row>
    <row r="45422" spans="1:6" x14ac:dyDescent="0.25">
      <c r="A45422"/>
      <c r="B45422"/>
      <c r="C45422"/>
      <c r="E45422"/>
      <c r="F45422"/>
    </row>
    <row r="45423" spans="1:6" x14ac:dyDescent="0.25">
      <c r="A45423"/>
      <c r="B45423"/>
      <c r="C45423"/>
      <c r="E45423"/>
      <c r="F45423"/>
    </row>
    <row r="45424" spans="1:6" x14ac:dyDescent="0.25">
      <c r="A45424"/>
      <c r="B45424"/>
      <c r="C45424"/>
      <c r="E45424"/>
      <c r="F45424"/>
    </row>
    <row r="45425" spans="1:6" x14ac:dyDescent="0.25">
      <c r="A45425"/>
      <c r="B45425"/>
      <c r="C45425"/>
      <c r="E45425"/>
      <c r="F45425"/>
    </row>
    <row r="45426" spans="1:6" x14ac:dyDescent="0.25">
      <c r="A45426"/>
      <c r="B45426"/>
      <c r="C45426"/>
      <c r="E45426"/>
      <c r="F45426"/>
    </row>
    <row r="45427" spans="1:6" x14ac:dyDescent="0.25">
      <c r="A45427"/>
      <c r="B45427"/>
      <c r="C45427"/>
      <c r="E45427"/>
      <c r="F45427"/>
    </row>
    <row r="45428" spans="1:6" x14ac:dyDescent="0.25">
      <c r="A45428"/>
      <c r="B45428"/>
      <c r="C45428"/>
      <c r="E45428"/>
      <c r="F45428"/>
    </row>
    <row r="45429" spans="1:6" x14ac:dyDescent="0.25">
      <c r="A45429"/>
      <c r="B45429"/>
      <c r="C45429"/>
      <c r="E45429"/>
      <c r="F45429"/>
    </row>
    <row r="45430" spans="1:6" x14ac:dyDescent="0.25">
      <c r="A45430"/>
      <c r="B45430"/>
      <c r="C45430"/>
      <c r="E45430"/>
      <c r="F45430"/>
    </row>
    <row r="45431" spans="1:6" x14ac:dyDescent="0.25">
      <c r="A45431"/>
      <c r="B45431"/>
      <c r="C45431"/>
      <c r="E45431"/>
      <c r="F45431"/>
    </row>
    <row r="45432" spans="1:6" x14ac:dyDescent="0.25">
      <c r="A45432"/>
      <c r="B45432"/>
      <c r="C45432"/>
      <c r="E45432"/>
      <c r="F45432"/>
    </row>
    <row r="45433" spans="1:6" x14ac:dyDescent="0.25">
      <c r="A45433"/>
      <c r="B45433"/>
      <c r="C45433"/>
      <c r="E45433"/>
      <c r="F45433"/>
    </row>
    <row r="45434" spans="1:6" x14ac:dyDescent="0.25">
      <c r="A45434"/>
      <c r="B45434"/>
      <c r="C45434"/>
      <c r="E45434"/>
      <c r="F45434"/>
    </row>
    <row r="45435" spans="1:6" x14ac:dyDescent="0.25">
      <c r="A45435"/>
      <c r="B45435"/>
      <c r="C45435"/>
      <c r="E45435"/>
      <c r="F45435"/>
    </row>
    <row r="45436" spans="1:6" x14ac:dyDescent="0.25">
      <c r="A45436"/>
      <c r="B45436"/>
      <c r="C45436"/>
      <c r="E45436"/>
      <c r="F45436"/>
    </row>
    <row r="45437" spans="1:6" x14ac:dyDescent="0.25">
      <c r="A45437"/>
      <c r="B45437"/>
      <c r="C45437"/>
      <c r="E45437"/>
      <c r="F45437"/>
    </row>
    <row r="45438" spans="1:6" x14ac:dyDescent="0.25">
      <c r="A45438"/>
      <c r="B45438"/>
      <c r="C45438"/>
      <c r="E45438"/>
      <c r="F45438"/>
    </row>
    <row r="45439" spans="1:6" x14ac:dyDescent="0.25">
      <c r="A45439"/>
      <c r="B45439"/>
      <c r="C45439"/>
      <c r="E45439"/>
      <c r="F45439"/>
    </row>
    <row r="45440" spans="1:6" x14ac:dyDescent="0.25">
      <c r="A45440"/>
      <c r="B45440"/>
      <c r="C45440"/>
      <c r="E45440"/>
      <c r="F45440"/>
    </row>
    <row r="45441" spans="1:6" x14ac:dyDescent="0.25">
      <c r="A45441"/>
      <c r="B45441"/>
      <c r="C45441"/>
      <c r="E45441"/>
      <c r="F45441"/>
    </row>
    <row r="45442" spans="1:6" x14ac:dyDescent="0.25">
      <c r="A45442"/>
      <c r="B45442"/>
      <c r="C45442"/>
      <c r="E45442"/>
      <c r="F45442"/>
    </row>
    <row r="45443" spans="1:6" x14ac:dyDescent="0.25">
      <c r="A45443"/>
      <c r="B45443"/>
      <c r="C45443"/>
      <c r="E45443"/>
      <c r="F45443"/>
    </row>
    <row r="45444" spans="1:6" x14ac:dyDescent="0.25">
      <c r="A45444"/>
      <c r="B45444"/>
      <c r="C45444"/>
      <c r="E45444"/>
      <c r="F45444"/>
    </row>
    <row r="45445" spans="1:6" x14ac:dyDescent="0.25">
      <c r="A45445"/>
      <c r="B45445"/>
      <c r="C45445"/>
      <c r="E45445"/>
      <c r="F45445"/>
    </row>
    <row r="45446" spans="1:6" x14ac:dyDescent="0.25">
      <c r="A45446"/>
      <c r="B45446"/>
      <c r="C45446"/>
      <c r="E45446"/>
      <c r="F45446"/>
    </row>
    <row r="45447" spans="1:6" x14ac:dyDescent="0.25">
      <c r="A45447"/>
      <c r="B45447"/>
      <c r="C45447"/>
      <c r="E45447"/>
      <c r="F45447"/>
    </row>
    <row r="45448" spans="1:6" x14ac:dyDescent="0.25">
      <c r="A45448"/>
      <c r="B45448"/>
      <c r="C45448"/>
      <c r="E45448"/>
      <c r="F45448"/>
    </row>
    <row r="45449" spans="1:6" x14ac:dyDescent="0.25">
      <c r="A45449"/>
      <c r="B45449"/>
      <c r="C45449"/>
      <c r="E45449"/>
      <c r="F45449"/>
    </row>
    <row r="45450" spans="1:6" x14ac:dyDescent="0.25">
      <c r="A45450"/>
      <c r="B45450"/>
      <c r="C45450"/>
      <c r="E45450"/>
      <c r="F45450"/>
    </row>
    <row r="45451" spans="1:6" x14ac:dyDescent="0.25">
      <c r="A45451"/>
      <c r="B45451"/>
      <c r="C45451"/>
      <c r="E45451"/>
      <c r="F45451"/>
    </row>
    <row r="45452" spans="1:6" x14ac:dyDescent="0.25">
      <c r="A45452"/>
      <c r="B45452"/>
      <c r="C45452"/>
      <c r="E45452"/>
      <c r="F45452"/>
    </row>
    <row r="45453" spans="1:6" x14ac:dyDescent="0.25">
      <c r="A45453"/>
      <c r="B45453"/>
      <c r="C45453"/>
      <c r="E45453"/>
      <c r="F45453"/>
    </row>
    <row r="45454" spans="1:6" x14ac:dyDescent="0.25">
      <c r="A45454"/>
      <c r="B45454"/>
      <c r="C45454"/>
      <c r="E45454"/>
      <c r="F45454"/>
    </row>
    <row r="45455" spans="1:6" x14ac:dyDescent="0.25">
      <c r="A45455"/>
      <c r="B45455"/>
      <c r="C45455"/>
      <c r="E45455"/>
      <c r="F45455"/>
    </row>
    <row r="45456" spans="1:6" x14ac:dyDescent="0.25">
      <c r="A45456"/>
      <c r="B45456"/>
      <c r="C45456"/>
      <c r="E45456"/>
      <c r="F45456"/>
    </row>
    <row r="45457" spans="1:6" x14ac:dyDescent="0.25">
      <c r="A45457"/>
      <c r="B45457"/>
      <c r="C45457"/>
      <c r="E45457"/>
      <c r="F45457"/>
    </row>
    <row r="45458" spans="1:6" x14ac:dyDescent="0.25">
      <c r="A45458"/>
      <c r="B45458"/>
      <c r="C45458"/>
      <c r="E45458"/>
      <c r="F45458"/>
    </row>
    <row r="45459" spans="1:6" x14ac:dyDescent="0.25">
      <c r="A45459"/>
      <c r="B45459"/>
      <c r="C45459"/>
      <c r="E45459"/>
      <c r="F45459"/>
    </row>
    <row r="45460" spans="1:6" x14ac:dyDescent="0.25">
      <c r="A45460"/>
      <c r="B45460"/>
      <c r="C45460"/>
      <c r="E45460"/>
      <c r="F45460"/>
    </row>
    <row r="45461" spans="1:6" x14ac:dyDescent="0.25">
      <c r="A45461"/>
      <c r="B45461"/>
      <c r="C45461"/>
      <c r="E45461"/>
      <c r="F45461"/>
    </row>
    <row r="45462" spans="1:6" x14ac:dyDescent="0.25">
      <c r="A45462"/>
      <c r="B45462"/>
      <c r="C45462"/>
      <c r="E45462"/>
      <c r="F45462"/>
    </row>
    <row r="45463" spans="1:6" x14ac:dyDescent="0.25">
      <c r="A45463"/>
      <c r="B45463"/>
      <c r="C45463"/>
      <c r="E45463"/>
      <c r="F45463"/>
    </row>
    <row r="45464" spans="1:6" x14ac:dyDescent="0.25">
      <c r="A45464"/>
      <c r="B45464"/>
      <c r="C45464"/>
      <c r="E45464"/>
      <c r="F45464"/>
    </row>
    <row r="45465" spans="1:6" x14ac:dyDescent="0.25">
      <c r="A45465"/>
      <c r="B45465"/>
      <c r="C45465"/>
      <c r="E45465"/>
      <c r="F45465"/>
    </row>
    <row r="45466" spans="1:6" x14ac:dyDescent="0.25">
      <c r="A45466"/>
      <c r="B45466"/>
      <c r="C45466"/>
      <c r="E45466"/>
      <c r="F45466"/>
    </row>
    <row r="45467" spans="1:6" x14ac:dyDescent="0.25">
      <c r="A45467"/>
      <c r="B45467"/>
      <c r="C45467"/>
      <c r="E45467"/>
      <c r="F45467"/>
    </row>
    <row r="45468" spans="1:6" x14ac:dyDescent="0.25">
      <c r="A45468"/>
      <c r="B45468"/>
      <c r="C45468"/>
      <c r="E45468"/>
      <c r="F45468"/>
    </row>
    <row r="45469" spans="1:6" x14ac:dyDescent="0.25">
      <c r="A45469"/>
      <c r="B45469"/>
      <c r="C45469"/>
      <c r="E45469"/>
      <c r="F45469"/>
    </row>
    <row r="45470" spans="1:6" x14ac:dyDescent="0.25">
      <c r="A45470"/>
      <c r="B45470"/>
      <c r="C45470"/>
      <c r="E45470"/>
      <c r="F45470"/>
    </row>
    <row r="45471" spans="1:6" x14ac:dyDescent="0.25">
      <c r="A45471"/>
      <c r="B45471"/>
      <c r="C45471"/>
      <c r="E45471"/>
      <c r="F45471"/>
    </row>
    <row r="45472" spans="1:6" x14ac:dyDescent="0.25">
      <c r="A45472"/>
      <c r="B45472"/>
      <c r="C45472"/>
      <c r="E45472"/>
      <c r="F45472"/>
    </row>
    <row r="45473" spans="1:6" x14ac:dyDescent="0.25">
      <c r="A45473"/>
      <c r="B45473"/>
      <c r="C45473"/>
      <c r="E45473"/>
      <c r="F45473"/>
    </row>
    <row r="45474" spans="1:6" x14ac:dyDescent="0.25">
      <c r="A45474"/>
      <c r="B45474"/>
      <c r="C45474"/>
      <c r="E45474"/>
      <c r="F45474"/>
    </row>
    <row r="45475" spans="1:6" x14ac:dyDescent="0.25">
      <c r="A45475"/>
      <c r="B45475"/>
      <c r="C45475"/>
      <c r="E45475"/>
      <c r="F45475"/>
    </row>
    <row r="45476" spans="1:6" x14ac:dyDescent="0.25">
      <c r="A45476"/>
      <c r="B45476"/>
      <c r="C45476"/>
      <c r="E45476"/>
      <c r="F45476"/>
    </row>
    <row r="45477" spans="1:6" x14ac:dyDescent="0.25">
      <c r="A45477"/>
      <c r="B45477"/>
      <c r="C45477"/>
      <c r="E45477"/>
      <c r="F45477"/>
    </row>
    <row r="45478" spans="1:6" x14ac:dyDescent="0.25">
      <c r="A45478"/>
      <c r="B45478"/>
      <c r="C45478"/>
      <c r="E45478"/>
      <c r="F45478"/>
    </row>
    <row r="45479" spans="1:6" x14ac:dyDescent="0.25">
      <c r="A45479"/>
      <c r="B45479"/>
      <c r="C45479"/>
      <c r="E45479"/>
      <c r="F45479"/>
    </row>
    <row r="45480" spans="1:6" x14ac:dyDescent="0.25">
      <c r="A45480"/>
      <c r="B45480"/>
      <c r="C45480"/>
      <c r="E45480"/>
      <c r="F45480"/>
    </row>
    <row r="45481" spans="1:6" x14ac:dyDescent="0.25">
      <c r="A45481"/>
      <c r="B45481"/>
      <c r="C45481"/>
      <c r="E45481"/>
      <c r="F45481"/>
    </row>
    <row r="45482" spans="1:6" x14ac:dyDescent="0.25">
      <c r="A45482"/>
      <c r="B45482"/>
      <c r="C45482"/>
      <c r="E45482"/>
      <c r="F45482"/>
    </row>
    <row r="45483" spans="1:6" x14ac:dyDescent="0.25">
      <c r="A45483"/>
      <c r="B45483"/>
      <c r="C45483"/>
      <c r="E45483"/>
      <c r="F45483"/>
    </row>
    <row r="45484" spans="1:6" x14ac:dyDescent="0.25">
      <c r="A45484"/>
      <c r="B45484"/>
      <c r="C45484"/>
      <c r="E45484"/>
      <c r="F45484"/>
    </row>
    <row r="45485" spans="1:6" x14ac:dyDescent="0.25">
      <c r="A45485"/>
      <c r="B45485"/>
      <c r="C45485"/>
      <c r="E45485"/>
      <c r="F45485"/>
    </row>
    <row r="45486" spans="1:6" x14ac:dyDescent="0.25">
      <c r="A45486"/>
      <c r="B45486"/>
      <c r="C45486"/>
      <c r="E45486"/>
      <c r="F45486"/>
    </row>
    <row r="45487" spans="1:6" x14ac:dyDescent="0.25">
      <c r="A45487"/>
      <c r="B45487"/>
      <c r="C45487"/>
      <c r="E45487"/>
      <c r="F45487"/>
    </row>
    <row r="45488" spans="1:6" x14ac:dyDescent="0.25">
      <c r="A45488"/>
      <c r="B45488"/>
      <c r="C45488"/>
      <c r="E45488"/>
      <c r="F45488"/>
    </row>
    <row r="45489" spans="1:6" x14ac:dyDescent="0.25">
      <c r="A45489"/>
      <c r="B45489"/>
      <c r="C45489"/>
      <c r="E45489"/>
      <c r="F45489"/>
    </row>
    <row r="45490" spans="1:6" x14ac:dyDescent="0.25">
      <c r="A45490"/>
      <c r="B45490"/>
      <c r="C45490"/>
      <c r="E45490"/>
      <c r="F45490"/>
    </row>
    <row r="45491" spans="1:6" x14ac:dyDescent="0.25">
      <c r="A45491"/>
      <c r="B45491"/>
      <c r="C45491"/>
      <c r="E45491"/>
      <c r="F45491"/>
    </row>
    <row r="45492" spans="1:6" x14ac:dyDescent="0.25">
      <c r="A45492"/>
      <c r="B45492"/>
      <c r="C45492"/>
      <c r="E45492"/>
      <c r="F45492"/>
    </row>
    <row r="45493" spans="1:6" x14ac:dyDescent="0.25">
      <c r="A45493"/>
      <c r="B45493"/>
      <c r="C45493"/>
      <c r="E45493"/>
      <c r="F45493"/>
    </row>
    <row r="45494" spans="1:6" x14ac:dyDescent="0.25">
      <c r="A45494"/>
      <c r="B45494"/>
      <c r="C45494"/>
      <c r="E45494"/>
      <c r="F45494"/>
    </row>
    <row r="45495" spans="1:6" x14ac:dyDescent="0.25">
      <c r="A45495"/>
      <c r="B45495"/>
      <c r="C45495"/>
      <c r="E45495"/>
      <c r="F45495"/>
    </row>
    <row r="45496" spans="1:6" x14ac:dyDescent="0.25">
      <c r="A45496"/>
      <c r="B45496"/>
      <c r="C45496"/>
      <c r="E45496"/>
      <c r="F45496"/>
    </row>
    <row r="45497" spans="1:6" x14ac:dyDescent="0.25">
      <c r="A45497"/>
      <c r="B45497"/>
      <c r="C45497"/>
      <c r="E45497"/>
      <c r="F45497"/>
    </row>
    <row r="45498" spans="1:6" x14ac:dyDescent="0.25">
      <c r="A45498"/>
      <c r="B45498"/>
      <c r="C45498"/>
      <c r="E45498"/>
      <c r="F45498"/>
    </row>
    <row r="45499" spans="1:6" x14ac:dyDescent="0.25">
      <c r="A45499"/>
      <c r="B45499"/>
      <c r="C45499"/>
      <c r="E45499"/>
      <c r="F45499"/>
    </row>
    <row r="45500" spans="1:6" x14ac:dyDescent="0.25">
      <c r="A45500"/>
      <c r="B45500"/>
      <c r="C45500"/>
      <c r="E45500"/>
      <c r="F45500"/>
    </row>
    <row r="45501" spans="1:6" x14ac:dyDescent="0.25">
      <c r="A45501"/>
      <c r="B45501"/>
      <c r="C45501"/>
      <c r="E45501"/>
      <c r="F45501"/>
    </row>
    <row r="45502" spans="1:6" x14ac:dyDescent="0.25">
      <c r="A45502"/>
      <c r="B45502"/>
      <c r="C45502"/>
      <c r="E45502"/>
      <c r="F45502"/>
    </row>
    <row r="45503" spans="1:6" x14ac:dyDescent="0.25">
      <c r="A45503"/>
      <c r="B45503"/>
      <c r="C45503"/>
      <c r="E45503"/>
      <c r="F45503"/>
    </row>
    <row r="45504" spans="1:6" x14ac:dyDescent="0.25">
      <c r="A45504"/>
      <c r="B45504"/>
      <c r="C45504"/>
      <c r="E45504"/>
      <c r="F45504"/>
    </row>
    <row r="45505" spans="1:6" x14ac:dyDescent="0.25">
      <c r="A45505"/>
      <c r="B45505"/>
      <c r="C45505"/>
      <c r="E45505"/>
      <c r="F45505"/>
    </row>
    <row r="45506" spans="1:6" x14ac:dyDescent="0.25">
      <c r="A45506"/>
      <c r="B45506"/>
      <c r="C45506"/>
      <c r="E45506"/>
      <c r="F45506"/>
    </row>
    <row r="45507" spans="1:6" x14ac:dyDescent="0.25">
      <c r="A45507"/>
      <c r="B45507"/>
      <c r="C45507"/>
      <c r="E45507"/>
      <c r="F45507"/>
    </row>
    <row r="45508" spans="1:6" x14ac:dyDescent="0.25">
      <c r="A45508"/>
      <c r="B45508"/>
      <c r="C45508"/>
      <c r="E45508"/>
      <c r="F45508"/>
    </row>
    <row r="45509" spans="1:6" x14ac:dyDescent="0.25">
      <c r="A45509"/>
      <c r="B45509"/>
      <c r="C45509"/>
      <c r="E45509"/>
      <c r="F45509"/>
    </row>
    <row r="45510" spans="1:6" x14ac:dyDescent="0.25">
      <c r="A45510"/>
      <c r="B45510"/>
      <c r="C45510"/>
      <c r="E45510"/>
      <c r="F45510"/>
    </row>
    <row r="45511" spans="1:6" x14ac:dyDescent="0.25">
      <c r="A45511"/>
      <c r="B45511"/>
      <c r="C45511"/>
      <c r="E45511"/>
      <c r="F45511"/>
    </row>
    <row r="45512" spans="1:6" x14ac:dyDescent="0.25">
      <c r="A45512"/>
      <c r="B45512"/>
      <c r="C45512"/>
      <c r="E45512"/>
      <c r="F45512"/>
    </row>
    <row r="45513" spans="1:6" x14ac:dyDescent="0.25">
      <c r="A45513"/>
      <c r="B45513"/>
      <c r="C45513"/>
      <c r="E45513"/>
      <c r="F45513"/>
    </row>
    <row r="45514" spans="1:6" x14ac:dyDescent="0.25">
      <c r="A45514"/>
      <c r="B45514"/>
      <c r="C45514"/>
      <c r="E45514"/>
      <c r="F45514"/>
    </row>
    <row r="45515" spans="1:6" x14ac:dyDescent="0.25">
      <c r="A45515"/>
      <c r="B45515"/>
      <c r="C45515"/>
      <c r="E45515"/>
      <c r="F45515"/>
    </row>
    <row r="45516" spans="1:6" x14ac:dyDescent="0.25">
      <c r="A45516"/>
      <c r="B45516"/>
      <c r="C45516"/>
      <c r="E45516"/>
      <c r="F45516"/>
    </row>
    <row r="45517" spans="1:6" x14ac:dyDescent="0.25">
      <c r="A45517"/>
      <c r="B45517"/>
      <c r="C45517"/>
      <c r="E45517"/>
      <c r="F45517"/>
    </row>
    <row r="45518" spans="1:6" x14ac:dyDescent="0.25">
      <c r="A45518"/>
      <c r="B45518"/>
      <c r="C45518"/>
      <c r="E45518"/>
      <c r="F45518"/>
    </row>
    <row r="45519" spans="1:6" x14ac:dyDescent="0.25">
      <c r="A45519"/>
      <c r="B45519"/>
      <c r="C45519"/>
      <c r="E45519"/>
      <c r="F45519"/>
    </row>
    <row r="45520" spans="1:6" x14ac:dyDescent="0.25">
      <c r="A45520"/>
      <c r="B45520"/>
      <c r="C45520"/>
      <c r="E45520"/>
      <c r="F45520"/>
    </row>
    <row r="45521" spans="1:6" x14ac:dyDescent="0.25">
      <c r="A45521"/>
      <c r="B45521"/>
      <c r="C45521"/>
      <c r="E45521"/>
      <c r="F45521"/>
    </row>
    <row r="45522" spans="1:6" x14ac:dyDescent="0.25">
      <c r="A45522"/>
      <c r="B45522"/>
      <c r="C45522"/>
      <c r="E45522"/>
      <c r="F45522"/>
    </row>
    <row r="45523" spans="1:6" x14ac:dyDescent="0.25">
      <c r="A45523"/>
      <c r="B45523"/>
      <c r="C45523"/>
      <c r="E45523"/>
      <c r="F45523"/>
    </row>
    <row r="45524" spans="1:6" x14ac:dyDescent="0.25">
      <c r="A45524"/>
      <c r="B45524"/>
      <c r="C45524"/>
      <c r="E45524"/>
      <c r="F45524"/>
    </row>
    <row r="45525" spans="1:6" x14ac:dyDescent="0.25">
      <c r="A45525"/>
      <c r="B45525"/>
      <c r="C45525"/>
      <c r="E45525"/>
      <c r="F45525"/>
    </row>
    <row r="45526" spans="1:6" x14ac:dyDescent="0.25">
      <c r="A45526"/>
      <c r="B45526"/>
      <c r="C45526"/>
      <c r="E45526"/>
      <c r="F45526"/>
    </row>
    <row r="45527" spans="1:6" x14ac:dyDescent="0.25">
      <c r="A45527"/>
      <c r="B45527"/>
      <c r="C45527"/>
      <c r="E45527"/>
      <c r="F45527"/>
    </row>
    <row r="45528" spans="1:6" x14ac:dyDescent="0.25">
      <c r="A45528"/>
      <c r="B45528"/>
      <c r="C45528"/>
      <c r="E45528"/>
      <c r="F45528"/>
    </row>
    <row r="45529" spans="1:6" x14ac:dyDescent="0.25">
      <c r="A45529"/>
      <c r="B45529"/>
      <c r="C45529"/>
      <c r="E45529"/>
      <c r="F45529"/>
    </row>
    <row r="45530" spans="1:6" x14ac:dyDescent="0.25">
      <c r="A45530"/>
      <c r="B45530"/>
      <c r="C45530"/>
      <c r="E45530"/>
      <c r="F45530"/>
    </row>
    <row r="45531" spans="1:6" x14ac:dyDescent="0.25">
      <c r="A45531"/>
      <c r="B45531"/>
      <c r="C45531"/>
      <c r="E45531"/>
      <c r="F45531"/>
    </row>
    <row r="45532" spans="1:6" x14ac:dyDescent="0.25">
      <c r="A45532"/>
      <c r="B45532"/>
      <c r="C45532"/>
      <c r="E45532"/>
      <c r="F45532"/>
    </row>
    <row r="45533" spans="1:6" x14ac:dyDescent="0.25">
      <c r="A45533"/>
      <c r="B45533"/>
      <c r="C45533"/>
      <c r="E45533"/>
      <c r="F45533"/>
    </row>
    <row r="45534" spans="1:6" x14ac:dyDescent="0.25">
      <c r="A45534"/>
      <c r="B45534"/>
      <c r="C45534"/>
      <c r="E45534"/>
      <c r="F45534"/>
    </row>
    <row r="45535" spans="1:6" x14ac:dyDescent="0.25">
      <c r="A45535"/>
      <c r="B45535"/>
      <c r="C45535"/>
      <c r="E45535"/>
      <c r="F45535"/>
    </row>
    <row r="45536" spans="1:6" x14ac:dyDescent="0.25">
      <c r="A45536"/>
      <c r="B45536"/>
      <c r="C45536"/>
      <c r="E45536"/>
      <c r="F45536"/>
    </row>
    <row r="45537" spans="1:6" x14ac:dyDescent="0.25">
      <c r="A45537"/>
      <c r="B45537"/>
      <c r="C45537"/>
      <c r="E45537"/>
      <c r="F45537"/>
    </row>
    <row r="45538" spans="1:6" x14ac:dyDescent="0.25">
      <c r="A45538"/>
      <c r="B45538"/>
      <c r="C45538"/>
      <c r="E45538"/>
      <c r="F45538"/>
    </row>
    <row r="45539" spans="1:6" x14ac:dyDescent="0.25">
      <c r="A45539"/>
      <c r="B45539"/>
      <c r="C45539"/>
      <c r="E45539"/>
      <c r="F45539"/>
    </row>
    <row r="45540" spans="1:6" x14ac:dyDescent="0.25">
      <c r="A45540"/>
      <c r="B45540"/>
      <c r="C45540"/>
      <c r="E45540"/>
      <c r="F45540"/>
    </row>
    <row r="45541" spans="1:6" x14ac:dyDescent="0.25">
      <c r="A45541"/>
      <c r="B45541"/>
      <c r="C45541"/>
      <c r="E45541"/>
      <c r="F45541"/>
    </row>
    <row r="45542" spans="1:6" x14ac:dyDescent="0.25">
      <c r="A45542"/>
      <c r="B45542"/>
      <c r="C45542"/>
      <c r="E45542"/>
      <c r="F45542"/>
    </row>
    <row r="45543" spans="1:6" x14ac:dyDescent="0.25">
      <c r="A45543"/>
      <c r="B45543"/>
      <c r="C45543"/>
      <c r="E45543"/>
      <c r="F45543"/>
    </row>
    <row r="45544" spans="1:6" x14ac:dyDescent="0.25">
      <c r="A45544"/>
      <c r="B45544"/>
      <c r="C45544"/>
      <c r="E45544"/>
      <c r="F45544"/>
    </row>
    <row r="45545" spans="1:6" x14ac:dyDescent="0.25">
      <c r="A45545"/>
      <c r="B45545"/>
      <c r="C45545"/>
      <c r="E45545"/>
      <c r="F45545"/>
    </row>
    <row r="45546" spans="1:6" x14ac:dyDescent="0.25">
      <c r="A45546"/>
      <c r="B45546"/>
      <c r="C45546"/>
      <c r="E45546"/>
      <c r="F45546"/>
    </row>
    <row r="45547" spans="1:6" x14ac:dyDescent="0.25">
      <c r="A45547"/>
      <c r="B45547"/>
      <c r="C45547"/>
      <c r="E45547"/>
      <c r="F45547"/>
    </row>
    <row r="45548" spans="1:6" x14ac:dyDescent="0.25">
      <c r="A45548"/>
      <c r="B45548"/>
      <c r="C45548"/>
      <c r="E45548"/>
      <c r="F45548"/>
    </row>
    <row r="45549" spans="1:6" x14ac:dyDescent="0.25">
      <c r="A45549"/>
      <c r="B45549"/>
      <c r="C45549"/>
      <c r="E45549"/>
      <c r="F45549"/>
    </row>
    <row r="45550" spans="1:6" x14ac:dyDescent="0.25">
      <c r="A45550"/>
      <c r="B45550"/>
      <c r="C45550"/>
      <c r="E45550"/>
      <c r="F45550"/>
    </row>
    <row r="45551" spans="1:6" x14ac:dyDescent="0.25">
      <c r="A45551"/>
      <c r="B45551"/>
      <c r="C45551"/>
      <c r="E45551"/>
      <c r="F45551"/>
    </row>
    <row r="45552" spans="1:6" x14ac:dyDescent="0.25">
      <c r="A45552"/>
      <c r="B45552"/>
      <c r="C45552"/>
      <c r="E45552"/>
      <c r="F45552"/>
    </row>
    <row r="45553" spans="1:6" x14ac:dyDescent="0.25">
      <c r="A45553"/>
      <c r="B45553"/>
      <c r="C45553"/>
      <c r="E45553"/>
      <c r="F45553"/>
    </row>
    <row r="45554" spans="1:6" x14ac:dyDescent="0.25">
      <c r="A45554"/>
      <c r="B45554"/>
      <c r="C45554"/>
      <c r="E45554"/>
      <c r="F45554"/>
    </row>
    <row r="45555" spans="1:6" x14ac:dyDescent="0.25">
      <c r="A45555"/>
      <c r="B45555"/>
      <c r="C45555"/>
      <c r="E45555"/>
      <c r="F45555"/>
    </row>
    <row r="45556" spans="1:6" x14ac:dyDescent="0.25">
      <c r="A45556"/>
      <c r="B45556"/>
      <c r="C45556"/>
      <c r="E45556"/>
      <c r="F45556"/>
    </row>
    <row r="45557" spans="1:6" x14ac:dyDescent="0.25">
      <c r="A45557"/>
      <c r="B45557"/>
      <c r="C45557"/>
      <c r="E45557"/>
      <c r="F45557"/>
    </row>
    <row r="45558" spans="1:6" x14ac:dyDescent="0.25">
      <c r="A45558"/>
      <c r="B45558"/>
      <c r="C45558"/>
      <c r="E45558"/>
      <c r="F45558"/>
    </row>
    <row r="45559" spans="1:6" x14ac:dyDescent="0.25">
      <c r="A45559"/>
      <c r="B45559"/>
      <c r="C45559"/>
      <c r="E45559"/>
      <c r="F45559"/>
    </row>
    <row r="45560" spans="1:6" x14ac:dyDescent="0.25">
      <c r="A45560"/>
      <c r="B45560"/>
      <c r="C45560"/>
      <c r="E45560"/>
      <c r="F45560"/>
    </row>
    <row r="45561" spans="1:6" x14ac:dyDescent="0.25">
      <c r="A45561"/>
      <c r="B45561"/>
      <c r="C45561"/>
      <c r="E45561"/>
      <c r="F45561"/>
    </row>
    <row r="45562" spans="1:6" x14ac:dyDescent="0.25">
      <c r="A45562"/>
      <c r="B45562"/>
      <c r="C45562"/>
      <c r="E45562"/>
      <c r="F45562"/>
    </row>
    <row r="45563" spans="1:6" x14ac:dyDescent="0.25">
      <c r="A45563"/>
      <c r="B45563"/>
      <c r="C45563"/>
      <c r="E45563"/>
      <c r="F45563"/>
    </row>
    <row r="45564" spans="1:6" x14ac:dyDescent="0.25">
      <c r="A45564"/>
      <c r="B45564"/>
      <c r="C45564"/>
      <c r="E45564"/>
      <c r="F45564"/>
    </row>
    <row r="45565" spans="1:6" x14ac:dyDescent="0.25">
      <c r="A45565"/>
      <c r="B45565"/>
      <c r="C45565"/>
      <c r="E45565"/>
      <c r="F45565"/>
    </row>
    <row r="45566" spans="1:6" x14ac:dyDescent="0.25">
      <c r="A45566"/>
      <c r="B45566"/>
      <c r="C45566"/>
      <c r="E45566"/>
      <c r="F45566"/>
    </row>
    <row r="45567" spans="1:6" x14ac:dyDescent="0.25">
      <c r="A45567"/>
      <c r="B45567"/>
      <c r="C45567"/>
      <c r="E45567"/>
      <c r="F45567"/>
    </row>
    <row r="45568" spans="1:6" x14ac:dyDescent="0.25">
      <c r="A45568"/>
      <c r="B45568"/>
      <c r="C45568"/>
      <c r="E45568"/>
      <c r="F45568"/>
    </row>
    <row r="45569" spans="1:6" x14ac:dyDescent="0.25">
      <c r="A45569"/>
      <c r="B45569"/>
      <c r="C45569"/>
      <c r="E45569"/>
      <c r="F45569"/>
    </row>
    <row r="45570" spans="1:6" x14ac:dyDescent="0.25">
      <c r="A45570"/>
      <c r="B45570"/>
      <c r="C45570"/>
      <c r="E45570"/>
      <c r="F45570"/>
    </row>
    <row r="45571" spans="1:6" x14ac:dyDescent="0.25">
      <c r="A45571"/>
      <c r="B45571"/>
      <c r="C45571"/>
      <c r="E45571"/>
      <c r="F45571"/>
    </row>
    <row r="45572" spans="1:6" x14ac:dyDescent="0.25">
      <c r="A45572"/>
      <c r="B45572"/>
      <c r="C45572"/>
      <c r="E45572"/>
      <c r="F45572"/>
    </row>
    <row r="45573" spans="1:6" x14ac:dyDescent="0.25">
      <c r="A45573"/>
      <c r="B45573"/>
      <c r="C45573"/>
      <c r="E45573"/>
      <c r="F45573"/>
    </row>
    <row r="45574" spans="1:6" x14ac:dyDescent="0.25">
      <c r="A45574"/>
      <c r="B45574"/>
      <c r="C45574"/>
      <c r="E45574"/>
      <c r="F45574"/>
    </row>
    <row r="45575" spans="1:6" x14ac:dyDescent="0.25">
      <c r="A45575"/>
      <c r="B45575"/>
      <c r="C45575"/>
      <c r="E45575"/>
      <c r="F45575"/>
    </row>
    <row r="45576" spans="1:6" x14ac:dyDescent="0.25">
      <c r="A45576"/>
      <c r="B45576"/>
      <c r="C45576"/>
      <c r="E45576"/>
      <c r="F45576"/>
    </row>
    <row r="45577" spans="1:6" x14ac:dyDescent="0.25">
      <c r="A45577"/>
      <c r="B45577"/>
      <c r="C45577"/>
      <c r="E45577"/>
      <c r="F45577"/>
    </row>
    <row r="45578" spans="1:6" x14ac:dyDescent="0.25">
      <c r="A45578"/>
      <c r="B45578"/>
      <c r="C45578"/>
      <c r="E45578"/>
      <c r="F45578"/>
    </row>
    <row r="45579" spans="1:6" x14ac:dyDescent="0.25">
      <c r="A45579"/>
      <c r="B45579"/>
      <c r="C45579"/>
      <c r="E45579"/>
      <c r="F45579"/>
    </row>
    <row r="45580" spans="1:6" x14ac:dyDescent="0.25">
      <c r="A45580"/>
      <c r="B45580"/>
      <c r="C45580"/>
      <c r="E45580"/>
      <c r="F45580"/>
    </row>
    <row r="45581" spans="1:6" x14ac:dyDescent="0.25">
      <c r="A45581"/>
      <c r="B45581"/>
      <c r="C45581"/>
      <c r="E45581"/>
      <c r="F45581"/>
    </row>
    <row r="45582" spans="1:6" x14ac:dyDescent="0.25">
      <c r="A45582"/>
      <c r="B45582"/>
      <c r="C45582"/>
      <c r="E45582"/>
      <c r="F45582"/>
    </row>
    <row r="45583" spans="1:6" x14ac:dyDescent="0.25">
      <c r="A45583"/>
      <c r="B45583"/>
      <c r="C45583"/>
      <c r="E45583"/>
      <c r="F45583"/>
    </row>
    <row r="45584" spans="1:6" x14ac:dyDescent="0.25">
      <c r="A45584"/>
      <c r="B45584"/>
      <c r="C45584"/>
      <c r="E45584"/>
      <c r="F45584"/>
    </row>
    <row r="45585" spans="1:6" x14ac:dyDescent="0.25">
      <c r="A45585"/>
      <c r="B45585"/>
      <c r="C45585"/>
      <c r="E45585"/>
      <c r="F45585"/>
    </row>
    <row r="45586" spans="1:6" x14ac:dyDescent="0.25">
      <c r="A45586"/>
      <c r="B45586"/>
      <c r="C45586"/>
      <c r="E45586"/>
      <c r="F45586"/>
    </row>
    <row r="45587" spans="1:6" x14ac:dyDescent="0.25">
      <c r="A45587"/>
      <c r="B45587"/>
      <c r="C45587"/>
      <c r="E45587"/>
      <c r="F45587"/>
    </row>
    <row r="45588" spans="1:6" x14ac:dyDescent="0.25">
      <c r="A45588"/>
      <c r="B45588"/>
      <c r="C45588"/>
      <c r="E45588"/>
      <c r="F45588"/>
    </row>
    <row r="45589" spans="1:6" x14ac:dyDescent="0.25">
      <c r="A45589"/>
      <c r="B45589"/>
      <c r="C45589"/>
      <c r="E45589"/>
      <c r="F45589"/>
    </row>
    <row r="45590" spans="1:6" x14ac:dyDescent="0.25">
      <c r="A45590"/>
      <c r="B45590"/>
      <c r="C45590"/>
      <c r="E45590"/>
      <c r="F45590"/>
    </row>
    <row r="45591" spans="1:6" x14ac:dyDescent="0.25">
      <c r="A45591"/>
      <c r="B45591"/>
      <c r="C45591"/>
      <c r="E45591"/>
      <c r="F45591"/>
    </row>
    <row r="45592" spans="1:6" x14ac:dyDescent="0.25">
      <c r="A45592"/>
      <c r="B45592"/>
      <c r="C45592"/>
      <c r="E45592"/>
      <c r="F45592"/>
    </row>
    <row r="45593" spans="1:6" x14ac:dyDescent="0.25">
      <c r="A45593"/>
      <c r="B45593"/>
      <c r="C45593"/>
      <c r="E45593"/>
      <c r="F45593"/>
    </row>
    <row r="45594" spans="1:6" x14ac:dyDescent="0.25">
      <c r="A45594"/>
      <c r="B45594"/>
      <c r="C45594"/>
      <c r="E45594"/>
      <c r="F45594"/>
    </row>
    <row r="45595" spans="1:6" x14ac:dyDescent="0.25">
      <c r="A45595"/>
      <c r="B45595"/>
      <c r="C45595"/>
      <c r="E45595"/>
      <c r="F45595"/>
    </row>
    <row r="45596" spans="1:6" x14ac:dyDescent="0.25">
      <c r="A45596"/>
      <c r="B45596"/>
      <c r="C45596"/>
      <c r="E45596"/>
      <c r="F45596"/>
    </row>
    <row r="45597" spans="1:6" x14ac:dyDescent="0.25">
      <c r="A45597"/>
      <c r="B45597"/>
      <c r="C45597"/>
      <c r="E45597"/>
      <c r="F45597"/>
    </row>
    <row r="45598" spans="1:6" x14ac:dyDescent="0.25">
      <c r="A45598"/>
      <c r="B45598"/>
      <c r="C45598"/>
      <c r="E45598"/>
      <c r="F45598"/>
    </row>
    <row r="45599" spans="1:6" x14ac:dyDescent="0.25">
      <c r="A45599"/>
      <c r="B45599"/>
      <c r="C45599"/>
      <c r="E45599"/>
      <c r="F45599"/>
    </row>
    <row r="45600" spans="1:6" x14ac:dyDescent="0.25">
      <c r="A45600"/>
      <c r="B45600"/>
      <c r="C45600"/>
      <c r="E45600"/>
      <c r="F45600"/>
    </row>
    <row r="45601" spans="1:6" x14ac:dyDescent="0.25">
      <c r="A45601"/>
      <c r="B45601"/>
      <c r="C45601"/>
      <c r="E45601"/>
      <c r="F45601"/>
    </row>
    <row r="45602" spans="1:6" x14ac:dyDescent="0.25">
      <c r="A45602"/>
      <c r="B45602"/>
      <c r="C45602"/>
      <c r="E45602"/>
      <c r="F45602"/>
    </row>
    <row r="45603" spans="1:6" x14ac:dyDescent="0.25">
      <c r="A45603"/>
      <c r="B45603"/>
      <c r="C45603"/>
      <c r="E45603"/>
      <c r="F45603"/>
    </row>
    <row r="45604" spans="1:6" x14ac:dyDescent="0.25">
      <c r="A45604"/>
      <c r="B45604"/>
      <c r="C45604"/>
      <c r="E45604"/>
      <c r="F45604"/>
    </row>
    <row r="45605" spans="1:6" x14ac:dyDescent="0.25">
      <c r="A45605"/>
      <c r="B45605"/>
      <c r="C45605"/>
      <c r="E45605"/>
      <c r="F45605"/>
    </row>
    <row r="45606" spans="1:6" x14ac:dyDescent="0.25">
      <c r="A45606"/>
      <c r="B45606"/>
      <c r="C45606"/>
      <c r="E45606"/>
      <c r="F45606"/>
    </row>
    <row r="45607" spans="1:6" x14ac:dyDescent="0.25">
      <c r="A45607"/>
      <c r="B45607"/>
      <c r="C45607"/>
      <c r="E45607"/>
      <c r="F45607"/>
    </row>
    <row r="45608" spans="1:6" x14ac:dyDescent="0.25">
      <c r="A45608"/>
      <c r="B45608"/>
      <c r="C45608"/>
      <c r="E45608"/>
      <c r="F45608"/>
    </row>
    <row r="45609" spans="1:6" x14ac:dyDescent="0.25">
      <c r="A45609"/>
      <c r="B45609"/>
      <c r="C45609"/>
      <c r="E45609"/>
      <c r="F45609"/>
    </row>
    <row r="45610" spans="1:6" x14ac:dyDescent="0.25">
      <c r="A45610"/>
      <c r="B45610"/>
      <c r="C45610"/>
      <c r="E45610"/>
      <c r="F45610"/>
    </row>
    <row r="45611" spans="1:6" x14ac:dyDescent="0.25">
      <c r="A45611"/>
      <c r="B45611"/>
      <c r="C45611"/>
      <c r="E45611"/>
      <c r="F45611"/>
    </row>
    <row r="45612" spans="1:6" x14ac:dyDescent="0.25">
      <c r="A45612"/>
      <c r="B45612"/>
      <c r="C45612"/>
      <c r="E45612"/>
      <c r="F45612"/>
    </row>
    <row r="45613" spans="1:6" x14ac:dyDescent="0.25">
      <c r="A45613"/>
      <c r="B45613"/>
      <c r="C45613"/>
      <c r="E45613"/>
      <c r="F45613"/>
    </row>
    <row r="45614" spans="1:6" x14ac:dyDescent="0.25">
      <c r="A45614"/>
      <c r="B45614"/>
      <c r="C45614"/>
      <c r="E45614"/>
      <c r="F45614"/>
    </row>
    <row r="45615" spans="1:6" x14ac:dyDescent="0.25">
      <c r="A45615"/>
      <c r="B45615"/>
      <c r="C45615"/>
      <c r="E45615"/>
      <c r="F45615"/>
    </row>
    <row r="45616" spans="1:6" x14ac:dyDescent="0.25">
      <c r="A45616"/>
      <c r="B45616"/>
      <c r="C45616"/>
      <c r="E45616"/>
      <c r="F45616"/>
    </row>
    <row r="45617" spans="1:6" x14ac:dyDescent="0.25">
      <c r="A45617"/>
      <c r="B45617"/>
      <c r="C45617"/>
      <c r="E45617"/>
      <c r="F45617"/>
    </row>
    <row r="45618" spans="1:6" x14ac:dyDescent="0.25">
      <c r="A45618"/>
      <c r="B45618"/>
      <c r="C45618"/>
      <c r="E45618"/>
      <c r="F45618"/>
    </row>
    <row r="45619" spans="1:6" x14ac:dyDescent="0.25">
      <c r="A45619"/>
      <c r="B45619"/>
      <c r="C45619"/>
      <c r="E45619"/>
      <c r="F45619"/>
    </row>
    <row r="45620" spans="1:6" x14ac:dyDescent="0.25">
      <c r="A45620"/>
      <c r="B45620"/>
      <c r="C45620"/>
      <c r="E45620"/>
      <c r="F45620"/>
    </row>
    <row r="45621" spans="1:6" x14ac:dyDescent="0.25">
      <c r="A45621"/>
      <c r="B45621"/>
      <c r="C45621"/>
      <c r="E45621"/>
      <c r="F45621"/>
    </row>
    <row r="45622" spans="1:6" x14ac:dyDescent="0.25">
      <c r="A45622"/>
      <c r="B45622"/>
      <c r="C45622"/>
      <c r="E45622"/>
      <c r="F45622"/>
    </row>
    <row r="45623" spans="1:6" x14ac:dyDescent="0.25">
      <c r="A45623"/>
      <c r="B45623"/>
      <c r="C45623"/>
      <c r="E45623"/>
      <c r="F45623"/>
    </row>
    <row r="45624" spans="1:6" x14ac:dyDescent="0.25">
      <c r="A45624"/>
      <c r="B45624"/>
      <c r="C45624"/>
      <c r="E45624"/>
      <c r="F45624"/>
    </row>
    <row r="45625" spans="1:6" x14ac:dyDescent="0.25">
      <c r="A45625"/>
      <c r="B45625"/>
      <c r="C45625"/>
      <c r="E45625"/>
      <c r="F45625"/>
    </row>
    <row r="45626" spans="1:6" x14ac:dyDescent="0.25">
      <c r="A45626"/>
      <c r="B45626"/>
      <c r="C45626"/>
      <c r="E45626"/>
      <c r="F45626"/>
    </row>
    <row r="45627" spans="1:6" x14ac:dyDescent="0.25">
      <c r="A45627"/>
      <c r="B45627"/>
      <c r="C45627"/>
      <c r="E45627"/>
      <c r="F45627"/>
    </row>
    <row r="45628" spans="1:6" x14ac:dyDescent="0.25">
      <c r="A45628"/>
      <c r="B45628"/>
      <c r="C45628"/>
      <c r="E45628"/>
      <c r="F45628"/>
    </row>
    <row r="45629" spans="1:6" x14ac:dyDescent="0.25">
      <c r="A45629"/>
      <c r="B45629"/>
      <c r="C45629"/>
      <c r="E45629"/>
      <c r="F45629"/>
    </row>
    <row r="45630" spans="1:6" x14ac:dyDescent="0.25">
      <c r="A45630"/>
      <c r="B45630"/>
      <c r="C45630"/>
      <c r="E45630"/>
      <c r="F45630"/>
    </row>
    <row r="45631" spans="1:6" x14ac:dyDescent="0.25">
      <c r="A45631"/>
      <c r="B45631"/>
      <c r="C45631"/>
      <c r="E45631"/>
      <c r="F45631"/>
    </row>
    <row r="45632" spans="1:6" x14ac:dyDescent="0.25">
      <c r="A45632"/>
      <c r="B45632"/>
      <c r="C45632"/>
      <c r="E45632"/>
      <c r="F45632"/>
    </row>
    <row r="45633" spans="1:6" x14ac:dyDescent="0.25">
      <c r="A45633"/>
      <c r="B45633"/>
      <c r="C45633"/>
      <c r="E45633"/>
      <c r="F45633"/>
    </row>
    <row r="45634" spans="1:6" x14ac:dyDescent="0.25">
      <c r="A45634"/>
      <c r="B45634"/>
      <c r="C45634"/>
      <c r="E45634"/>
      <c r="F45634"/>
    </row>
    <row r="45635" spans="1:6" x14ac:dyDescent="0.25">
      <c r="A45635"/>
      <c r="B45635"/>
      <c r="C45635"/>
      <c r="E45635"/>
      <c r="F45635"/>
    </row>
    <row r="45636" spans="1:6" x14ac:dyDescent="0.25">
      <c r="A45636"/>
      <c r="B45636"/>
      <c r="C45636"/>
      <c r="E45636"/>
      <c r="F45636"/>
    </row>
    <row r="45637" spans="1:6" x14ac:dyDescent="0.25">
      <c r="A45637"/>
      <c r="B45637"/>
      <c r="C45637"/>
      <c r="E45637"/>
      <c r="F45637"/>
    </row>
    <row r="45638" spans="1:6" x14ac:dyDescent="0.25">
      <c r="A45638"/>
      <c r="B45638"/>
      <c r="C45638"/>
      <c r="E45638"/>
      <c r="F45638"/>
    </row>
    <row r="45639" spans="1:6" x14ac:dyDescent="0.25">
      <c r="A45639"/>
      <c r="B45639"/>
      <c r="C45639"/>
      <c r="E45639"/>
      <c r="F45639"/>
    </row>
    <row r="45640" spans="1:6" x14ac:dyDescent="0.25">
      <c r="A45640"/>
      <c r="B45640"/>
      <c r="C45640"/>
      <c r="E45640"/>
      <c r="F45640"/>
    </row>
    <row r="45641" spans="1:6" x14ac:dyDescent="0.25">
      <c r="A45641"/>
      <c r="B45641"/>
      <c r="C45641"/>
      <c r="E45641"/>
      <c r="F45641"/>
    </row>
    <row r="45642" spans="1:6" x14ac:dyDescent="0.25">
      <c r="A45642"/>
      <c r="B45642"/>
      <c r="C45642"/>
      <c r="E45642"/>
      <c r="F45642"/>
    </row>
    <row r="45643" spans="1:6" x14ac:dyDescent="0.25">
      <c r="A45643"/>
      <c r="B45643"/>
      <c r="C45643"/>
      <c r="E45643"/>
      <c r="F45643"/>
    </row>
    <row r="45644" spans="1:6" x14ac:dyDescent="0.25">
      <c r="A45644"/>
      <c r="B45644"/>
      <c r="C45644"/>
      <c r="E45644"/>
      <c r="F45644"/>
    </row>
    <row r="45645" spans="1:6" x14ac:dyDescent="0.25">
      <c r="A45645"/>
      <c r="B45645"/>
      <c r="C45645"/>
      <c r="E45645"/>
      <c r="F45645"/>
    </row>
    <row r="45646" spans="1:6" x14ac:dyDescent="0.25">
      <c r="A45646"/>
      <c r="B45646"/>
      <c r="C45646"/>
      <c r="E45646"/>
      <c r="F45646"/>
    </row>
    <row r="45647" spans="1:6" x14ac:dyDescent="0.25">
      <c r="A45647"/>
      <c r="B45647"/>
      <c r="C45647"/>
      <c r="E45647"/>
      <c r="F45647"/>
    </row>
    <row r="45648" spans="1:6" x14ac:dyDescent="0.25">
      <c r="A45648"/>
      <c r="B45648"/>
      <c r="C45648"/>
      <c r="E45648"/>
      <c r="F45648"/>
    </row>
    <row r="45649" spans="1:6" x14ac:dyDescent="0.25">
      <c r="A45649"/>
      <c r="B45649"/>
      <c r="C45649"/>
      <c r="E45649"/>
      <c r="F45649"/>
    </row>
    <row r="45650" spans="1:6" x14ac:dyDescent="0.25">
      <c r="A45650"/>
      <c r="B45650"/>
      <c r="C45650"/>
      <c r="E45650"/>
      <c r="F45650"/>
    </row>
    <row r="45651" spans="1:6" x14ac:dyDescent="0.25">
      <c r="A45651"/>
      <c r="B45651"/>
      <c r="C45651"/>
      <c r="E45651"/>
      <c r="F45651"/>
    </row>
    <row r="45652" spans="1:6" x14ac:dyDescent="0.25">
      <c r="A45652"/>
      <c r="B45652"/>
      <c r="C45652"/>
      <c r="E45652"/>
      <c r="F45652"/>
    </row>
    <row r="45653" spans="1:6" x14ac:dyDescent="0.25">
      <c r="A45653"/>
      <c r="B45653"/>
      <c r="C45653"/>
      <c r="E45653"/>
      <c r="F45653"/>
    </row>
    <row r="45654" spans="1:6" x14ac:dyDescent="0.25">
      <c r="A45654"/>
      <c r="B45654"/>
      <c r="C45654"/>
      <c r="E45654"/>
      <c r="F45654"/>
    </row>
    <row r="45655" spans="1:6" x14ac:dyDescent="0.25">
      <c r="A45655"/>
      <c r="B45655"/>
      <c r="C45655"/>
      <c r="E45655"/>
      <c r="F45655"/>
    </row>
    <row r="45656" spans="1:6" x14ac:dyDescent="0.25">
      <c r="A45656"/>
      <c r="B45656"/>
      <c r="C45656"/>
      <c r="E45656"/>
      <c r="F45656"/>
    </row>
    <row r="45657" spans="1:6" x14ac:dyDescent="0.25">
      <c r="A45657"/>
      <c r="B45657"/>
      <c r="C45657"/>
      <c r="E45657"/>
      <c r="F45657"/>
    </row>
    <row r="45658" spans="1:6" x14ac:dyDescent="0.25">
      <c r="A45658"/>
      <c r="B45658"/>
      <c r="C45658"/>
      <c r="E45658"/>
      <c r="F45658"/>
    </row>
    <row r="45659" spans="1:6" x14ac:dyDescent="0.25">
      <c r="A45659"/>
      <c r="B45659"/>
      <c r="C45659"/>
      <c r="E45659"/>
      <c r="F45659"/>
    </row>
    <row r="45660" spans="1:6" x14ac:dyDescent="0.25">
      <c r="A45660"/>
      <c r="B45660"/>
      <c r="C45660"/>
      <c r="E45660"/>
      <c r="F45660"/>
    </row>
    <row r="45661" spans="1:6" x14ac:dyDescent="0.25">
      <c r="A45661"/>
      <c r="B45661"/>
      <c r="C45661"/>
      <c r="E45661"/>
      <c r="F45661"/>
    </row>
    <row r="45662" spans="1:6" x14ac:dyDescent="0.25">
      <c r="A45662"/>
      <c r="B45662"/>
      <c r="C45662"/>
      <c r="E45662"/>
      <c r="F45662"/>
    </row>
    <row r="45663" spans="1:6" x14ac:dyDescent="0.25">
      <c r="A45663"/>
      <c r="B45663"/>
      <c r="C45663"/>
      <c r="E45663"/>
      <c r="F45663"/>
    </row>
    <row r="45664" spans="1:6" x14ac:dyDescent="0.25">
      <c r="A45664"/>
      <c r="B45664"/>
      <c r="C45664"/>
      <c r="E45664"/>
      <c r="F45664"/>
    </row>
    <row r="45665" spans="1:6" x14ac:dyDescent="0.25">
      <c r="A45665"/>
      <c r="B45665"/>
      <c r="C45665"/>
      <c r="E45665"/>
      <c r="F45665"/>
    </row>
    <row r="45666" spans="1:6" x14ac:dyDescent="0.25">
      <c r="A45666"/>
      <c r="B45666"/>
      <c r="C45666"/>
      <c r="E45666"/>
      <c r="F45666"/>
    </row>
    <row r="45667" spans="1:6" x14ac:dyDescent="0.25">
      <c r="A45667"/>
      <c r="B45667"/>
      <c r="C45667"/>
      <c r="E45667"/>
      <c r="F45667"/>
    </row>
    <row r="45668" spans="1:6" x14ac:dyDescent="0.25">
      <c r="A45668"/>
      <c r="B45668"/>
      <c r="C45668"/>
      <c r="E45668"/>
      <c r="F45668"/>
    </row>
    <row r="45669" spans="1:6" x14ac:dyDescent="0.25">
      <c r="A45669"/>
      <c r="B45669"/>
      <c r="C45669"/>
      <c r="E45669"/>
      <c r="F45669"/>
    </row>
    <row r="45670" spans="1:6" x14ac:dyDescent="0.25">
      <c r="A45670"/>
      <c r="B45670"/>
      <c r="C45670"/>
      <c r="E45670"/>
      <c r="F45670"/>
    </row>
    <row r="45671" spans="1:6" x14ac:dyDescent="0.25">
      <c r="A45671"/>
      <c r="B45671"/>
      <c r="C45671"/>
      <c r="E45671"/>
      <c r="F45671"/>
    </row>
    <row r="45672" spans="1:6" x14ac:dyDescent="0.25">
      <c r="A45672"/>
      <c r="B45672"/>
      <c r="C45672"/>
      <c r="E45672"/>
      <c r="F45672"/>
    </row>
    <row r="45673" spans="1:6" x14ac:dyDescent="0.25">
      <c r="A45673"/>
      <c r="B45673"/>
      <c r="C45673"/>
      <c r="E45673"/>
      <c r="F45673"/>
    </row>
    <row r="45674" spans="1:6" x14ac:dyDescent="0.25">
      <c r="A45674"/>
      <c r="B45674"/>
      <c r="C45674"/>
      <c r="E45674"/>
      <c r="F45674"/>
    </row>
    <row r="45675" spans="1:6" x14ac:dyDescent="0.25">
      <c r="A45675"/>
      <c r="B45675"/>
      <c r="C45675"/>
      <c r="E45675"/>
      <c r="F45675"/>
    </row>
    <row r="45676" spans="1:6" x14ac:dyDescent="0.25">
      <c r="A45676"/>
      <c r="B45676"/>
      <c r="C45676"/>
      <c r="E45676"/>
      <c r="F45676"/>
    </row>
    <row r="45677" spans="1:6" x14ac:dyDescent="0.25">
      <c r="A45677"/>
      <c r="B45677"/>
      <c r="C45677"/>
      <c r="E45677"/>
      <c r="F45677"/>
    </row>
    <row r="45678" spans="1:6" x14ac:dyDescent="0.25">
      <c r="A45678"/>
      <c r="B45678"/>
      <c r="C45678"/>
      <c r="E45678"/>
      <c r="F45678"/>
    </row>
    <row r="45679" spans="1:6" x14ac:dyDescent="0.25">
      <c r="A45679"/>
      <c r="B45679"/>
      <c r="C45679"/>
      <c r="E45679"/>
      <c r="F45679"/>
    </row>
    <row r="45680" spans="1:6" x14ac:dyDescent="0.25">
      <c r="A45680"/>
      <c r="B45680"/>
      <c r="C45680"/>
      <c r="E45680"/>
      <c r="F45680"/>
    </row>
    <row r="45681" spans="1:6" x14ac:dyDescent="0.25">
      <c r="A45681"/>
      <c r="B45681"/>
      <c r="C45681"/>
      <c r="E45681"/>
      <c r="F45681"/>
    </row>
    <row r="45682" spans="1:6" x14ac:dyDescent="0.25">
      <c r="A45682"/>
      <c r="B45682"/>
      <c r="C45682"/>
      <c r="E45682"/>
      <c r="F45682"/>
    </row>
    <row r="45683" spans="1:6" x14ac:dyDescent="0.25">
      <c r="A45683"/>
      <c r="B45683"/>
      <c r="C45683"/>
      <c r="E45683"/>
      <c r="F45683"/>
    </row>
    <row r="45684" spans="1:6" x14ac:dyDescent="0.25">
      <c r="A45684"/>
      <c r="B45684"/>
      <c r="C45684"/>
      <c r="E45684"/>
      <c r="F45684"/>
    </row>
    <row r="45685" spans="1:6" x14ac:dyDescent="0.25">
      <c r="A45685"/>
      <c r="B45685"/>
      <c r="C45685"/>
      <c r="E45685"/>
      <c r="F45685"/>
    </row>
    <row r="45686" spans="1:6" x14ac:dyDescent="0.25">
      <c r="A45686"/>
      <c r="B45686"/>
      <c r="C45686"/>
      <c r="E45686"/>
      <c r="F45686"/>
    </row>
    <row r="45687" spans="1:6" x14ac:dyDescent="0.25">
      <c r="A45687"/>
      <c r="B45687"/>
      <c r="C45687"/>
      <c r="E45687"/>
      <c r="F45687"/>
    </row>
    <row r="45688" spans="1:6" x14ac:dyDescent="0.25">
      <c r="A45688"/>
      <c r="B45688"/>
      <c r="C45688"/>
      <c r="E45688"/>
      <c r="F45688"/>
    </row>
    <row r="45689" spans="1:6" x14ac:dyDescent="0.25">
      <c r="A45689"/>
      <c r="B45689"/>
      <c r="C45689"/>
      <c r="E45689"/>
      <c r="F45689"/>
    </row>
    <row r="45690" spans="1:6" x14ac:dyDescent="0.25">
      <c r="A45690"/>
      <c r="B45690"/>
      <c r="C45690"/>
      <c r="E45690"/>
      <c r="F45690"/>
    </row>
    <row r="45691" spans="1:6" x14ac:dyDescent="0.25">
      <c r="A45691"/>
      <c r="B45691"/>
      <c r="C45691"/>
      <c r="E45691"/>
      <c r="F45691"/>
    </row>
    <row r="45692" spans="1:6" x14ac:dyDescent="0.25">
      <c r="A45692"/>
      <c r="B45692"/>
      <c r="C45692"/>
      <c r="E45692"/>
      <c r="F45692"/>
    </row>
    <row r="45693" spans="1:6" x14ac:dyDescent="0.25">
      <c r="A45693"/>
      <c r="B45693"/>
      <c r="C45693"/>
      <c r="E45693"/>
      <c r="F45693"/>
    </row>
    <row r="45694" spans="1:6" x14ac:dyDescent="0.25">
      <c r="A45694"/>
      <c r="B45694"/>
      <c r="C45694"/>
      <c r="E45694"/>
      <c r="F45694"/>
    </row>
    <row r="45695" spans="1:6" x14ac:dyDescent="0.25">
      <c r="A45695"/>
      <c r="B45695"/>
      <c r="C45695"/>
      <c r="E45695"/>
      <c r="F45695"/>
    </row>
    <row r="45696" spans="1:6" x14ac:dyDescent="0.25">
      <c r="A45696"/>
      <c r="B45696"/>
      <c r="C45696"/>
      <c r="E45696"/>
      <c r="F45696"/>
    </row>
    <row r="45697" spans="1:6" x14ac:dyDescent="0.25">
      <c r="A45697"/>
      <c r="B45697"/>
      <c r="C45697"/>
      <c r="E45697"/>
      <c r="F45697"/>
    </row>
    <row r="45698" spans="1:6" x14ac:dyDescent="0.25">
      <c r="A45698"/>
      <c r="B45698"/>
      <c r="C45698"/>
      <c r="E45698"/>
      <c r="F45698"/>
    </row>
    <row r="45699" spans="1:6" x14ac:dyDescent="0.25">
      <c r="A45699"/>
      <c r="B45699"/>
      <c r="C45699"/>
      <c r="E45699"/>
      <c r="F45699"/>
    </row>
    <row r="45700" spans="1:6" x14ac:dyDescent="0.25">
      <c r="A45700"/>
      <c r="B45700"/>
      <c r="C45700"/>
      <c r="E45700"/>
      <c r="F45700"/>
    </row>
    <row r="45701" spans="1:6" x14ac:dyDescent="0.25">
      <c r="A45701"/>
      <c r="B45701"/>
      <c r="C45701"/>
      <c r="E45701"/>
      <c r="F45701"/>
    </row>
    <row r="45702" spans="1:6" x14ac:dyDescent="0.25">
      <c r="A45702"/>
      <c r="B45702"/>
      <c r="C45702"/>
      <c r="E45702"/>
      <c r="F45702"/>
    </row>
    <row r="45703" spans="1:6" x14ac:dyDescent="0.25">
      <c r="A45703"/>
      <c r="B45703"/>
      <c r="C45703"/>
      <c r="E45703"/>
      <c r="F45703"/>
    </row>
    <row r="45704" spans="1:6" x14ac:dyDescent="0.25">
      <c r="A45704"/>
      <c r="B45704"/>
      <c r="C45704"/>
      <c r="E45704"/>
      <c r="F45704"/>
    </row>
    <row r="45705" spans="1:6" x14ac:dyDescent="0.25">
      <c r="A45705"/>
      <c r="B45705"/>
      <c r="C45705"/>
      <c r="E45705"/>
      <c r="F45705"/>
    </row>
    <row r="45706" spans="1:6" x14ac:dyDescent="0.25">
      <c r="A45706"/>
      <c r="B45706"/>
      <c r="C45706"/>
      <c r="E45706"/>
      <c r="F45706"/>
    </row>
    <row r="45707" spans="1:6" x14ac:dyDescent="0.25">
      <c r="A45707"/>
      <c r="B45707"/>
      <c r="C45707"/>
      <c r="E45707"/>
      <c r="F45707"/>
    </row>
    <row r="45708" spans="1:6" x14ac:dyDescent="0.25">
      <c r="A45708"/>
      <c r="B45708"/>
      <c r="C45708"/>
      <c r="E45708"/>
      <c r="F45708"/>
    </row>
    <row r="45709" spans="1:6" x14ac:dyDescent="0.25">
      <c r="A45709"/>
      <c r="B45709"/>
      <c r="C45709"/>
      <c r="E45709"/>
      <c r="F45709"/>
    </row>
    <row r="45710" spans="1:6" x14ac:dyDescent="0.25">
      <c r="A45710"/>
      <c r="B45710"/>
      <c r="C45710"/>
      <c r="E45710"/>
      <c r="F45710"/>
    </row>
    <row r="45711" spans="1:6" x14ac:dyDescent="0.25">
      <c r="A45711"/>
      <c r="B45711"/>
      <c r="C45711"/>
      <c r="E45711"/>
      <c r="F45711"/>
    </row>
    <row r="45712" spans="1:6" x14ac:dyDescent="0.25">
      <c r="A45712"/>
      <c r="B45712"/>
      <c r="C45712"/>
      <c r="E45712"/>
      <c r="F45712"/>
    </row>
    <row r="45713" spans="1:6" x14ac:dyDescent="0.25">
      <c r="A45713"/>
      <c r="B45713"/>
      <c r="C45713"/>
      <c r="E45713"/>
      <c r="F45713"/>
    </row>
    <row r="45714" spans="1:6" x14ac:dyDescent="0.25">
      <c r="A45714"/>
      <c r="B45714"/>
      <c r="C45714"/>
      <c r="E45714"/>
      <c r="F45714"/>
    </row>
    <row r="45715" spans="1:6" x14ac:dyDescent="0.25">
      <c r="A45715"/>
      <c r="B45715"/>
      <c r="C45715"/>
      <c r="E45715"/>
      <c r="F45715"/>
    </row>
    <row r="45716" spans="1:6" x14ac:dyDescent="0.25">
      <c r="A45716"/>
      <c r="B45716"/>
      <c r="C45716"/>
      <c r="E45716"/>
      <c r="F45716"/>
    </row>
    <row r="45717" spans="1:6" x14ac:dyDescent="0.25">
      <c r="A45717"/>
      <c r="B45717"/>
      <c r="C45717"/>
      <c r="E45717"/>
      <c r="F45717"/>
    </row>
    <row r="45718" spans="1:6" x14ac:dyDescent="0.25">
      <c r="A45718"/>
      <c r="B45718"/>
      <c r="C45718"/>
      <c r="E45718"/>
      <c r="F45718"/>
    </row>
    <row r="45719" spans="1:6" x14ac:dyDescent="0.25">
      <c r="A45719"/>
      <c r="B45719"/>
      <c r="C45719"/>
      <c r="E45719"/>
      <c r="F45719"/>
    </row>
    <row r="45720" spans="1:6" x14ac:dyDescent="0.25">
      <c r="A45720"/>
      <c r="B45720"/>
      <c r="C45720"/>
      <c r="E45720"/>
      <c r="F45720"/>
    </row>
    <row r="45721" spans="1:6" x14ac:dyDescent="0.25">
      <c r="A45721"/>
      <c r="B45721"/>
      <c r="C45721"/>
      <c r="E45721"/>
      <c r="F45721"/>
    </row>
    <row r="45722" spans="1:6" x14ac:dyDescent="0.25">
      <c r="A45722"/>
      <c r="B45722"/>
      <c r="C45722"/>
      <c r="E45722"/>
      <c r="F45722"/>
    </row>
    <row r="45723" spans="1:6" x14ac:dyDescent="0.25">
      <c r="A45723"/>
      <c r="B45723"/>
      <c r="C45723"/>
      <c r="E45723"/>
      <c r="F45723"/>
    </row>
    <row r="45724" spans="1:6" x14ac:dyDescent="0.25">
      <c r="A45724"/>
      <c r="B45724"/>
      <c r="C45724"/>
      <c r="E45724"/>
      <c r="F45724"/>
    </row>
    <row r="45725" spans="1:6" x14ac:dyDescent="0.25">
      <c r="A45725"/>
      <c r="B45725"/>
      <c r="C45725"/>
      <c r="E45725"/>
      <c r="F45725"/>
    </row>
    <row r="45726" spans="1:6" x14ac:dyDescent="0.25">
      <c r="A45726"/>
      <c r="B45726"/>
      <c r="C45726"/>
      <c r="E45726"/>
      <c r="F45726"/>
    </row>
    <row r="45727" spans="1:6" x14ac:dyDescent="0.25">
      <c r="A45727"/>
      <c r="B45727"/>
      <c r="C45727"/>
      <c r="E45727"/>
      <c r="F45727"/>
    </row>
    <row r="45728" spans="1:6" x14ac:dyDescent="0.25">
      <c r="A45728"/>
      <c r="B45728"/>
      <c r="C45728"/>
      <c r="E45728"/>
      <c r="F45728"/>
    </row>
    <row r="45729" spans="1:6" x14ac:dyDescent="0.25">
      <c r="A45729"/>
      <c r="B45729"/>
      <c r="C45729"/>
      <c r="E45729"/>
      <c r="F45729"/>
    </row>
    <row r="45730" spans="1:6" x14ac:dyDescent="0.25">
      <c r="A45730"/>
      <c r="B45730"/>
      <c r="C45730"/>
      <c r="E45730"/>
      <c r="F45730"/>
    </row>
    <row r="45731" spans="1:6" x14ac:dyDescent="0.25">
      <c r="A45731"/>
      <c r="B45731"/>
      <c r="C45731"/>
      <c r="E45731"/>
      <c r="F45731"/>
    </row>
    <row r="45732" spans="1:6" x14ac:dyDescent="0.25">
      <c r="A45732"/>
      <c r="B45732"/>
      <c r="C45732"/>
      <c r="E45732"/>
      <c r="F45732"/>
    </row>
    <row r="45733" spans="1:6" x14ac:dyDescent="0.25">
      <c r="A45733"/>
      <c r="B45733"/>
      <c r="C45733"/>
      <c r="E45733"/>
      <c r="F45733"/>
    </row>
    <row r="45734" spans="1:6" x14ac:dyDescent="0.25">
      <c r="A45734"/>
      <c r="B45734"/>
      <c r="C45734"/>
      <c r="E45734"/>
      <c r="F45734"/>
    </row>
    <row r="45735" spans="1:6" x14ac:dyDescent="0.25">
      <c r="A45735"/>
      <c r="B45735"/>
      <c r="C45735"/>
      <c r="E45735"/>
      <c r="F45735"/>
    </row>
    <row r="45736" spans="1:6" x14ac:dyDescent="0.25">
      <c r="A45736"/>
      <c r="B45736"/>
      <c r="C45736"/>
      <c r="E45736"/>
      <c r="F45736"/>
    </row>
    <row r="45737" spans="1:6" x14ac:dyDescent="0.25">
      <c r="A45737"/>
      <c r="B45737"/>
      <c r="C45737"/>
      <c r="E45737"/>
      <c r="F45737"/>
    </row>
    <row r="45738" spans="1:6" x14ac:dyDescent="0.25">
      <c r="A45738"/>
      <c r="B45738"/>
      <c r="C45738"/>
      <c r="E45738"/>
      <c r="F45738"/>
    </row>
    <row r="45739" spans="1:6" x14ac:dyDescent="0.25">
      <c r="A45739"/>
      <c r="B45739"/>
      <c r="C45739"/>
      <c r="E45739"/>
      <c r="F45739"/>
    </row>
    <row r="45740" spans="1:6" x14ac:dyDescent="0.25">
      <c r="A45740"/>
      <c r="B45740"/>
      <c r="C45740"/>
      <c r="E45740"/>
      <c r="F45740"/>
    </row>
    <row r="45741" spans="1:6" x14ac:dyDescent="0.25">
      <c r="A45741"/>
      <c r="B45741"/>
      <c r="C45741"/>
      <c r="E45741"/>
      <c r="F45741"/>
    </row>
    <row r="45742" spans="1:6" x14ac:dyDescent="0.25">
      <c r="A45742"/>
      <c r="B45742"/>
      <c r="C45742"/>
      <c r="E45742"/>
      <c r="F45742"/>
    </row>
    <row r="45743" spans="1:6" x14ac:dyDescent="0.25">
      <c r="A45743"/>
      <c r="B45743"/>
      <c r="C45743"/>
      <c r="E45743"/>
      <c r="F45743"/>
    </row>
    <row r="45744" spans="1:6" x14ac:dyDescent="0.25">
      <c r="A45744"/>
      <c r="B45744"/>
      <c r="C45744"/>
      <c r="E45744"/>
      <c r="F45744"/>
    </row>
    <row r="45745" spans="1:6" x14ac:dyDescent="0.25">
      <c r="A45745"/>
      <c r="B45745"/>
      <c r="C45745"/>
      <c r="E45745"/>
      <c r="F45745"/>
    </row>
    <row r="45746" spans="1:6" x14ac:dyDescent="0.25">
      <c r="A45746"/>
      <c r="B45746"/>
      <c r="C45746"/>
      <c r="E45746"/>
      <c r="F45746"/>
    </row>
    <row r="45747" spans="1:6" x14ac:dyDescent="0.25">
      <c r="A45747"/>
      <c r="B45747"/>
      <c r="C45747"/>
      <c r="E45747"/>
      <c r="F45747"/>
    </row>
    <row r="45748" spans="1:6" x14ac:dyDescent="0.25">
      <c r="A45748"/>
      <c r="B45748"/>
      <c r="C45748"/>
      <c r="E45748"/>
      <c r="F45748"/>
    </row>
    <row r="45749" spans="1:6" x14ac:dyDescent="0.25">
      <c r="A45749"/>
      <c r="B45749"/>
      <c r="C45749"/>
      <c r="E45749"/>
      <c r="F45749"/>
    </row>
    <row r="45750" spans="1:6" x14ac:dyDescent="0.25">
      <c r="A45750"/>
      <c r="B45750"/>
      <c r="C45750"/>
      <c r="E45750"/>
      <c r="F45750"/>
    </row>
    <row r="45751" spans="1:6" x14ac:dyDescent="0.25">
      <c r="A45751"/>
      <c r="B45751"/>
      <c r="C45751"/>
      <c r="E45751"/>
      <c r="F45751"/>
    </row>
    <row r="45752" spans="1:6" x14ac:dyDescent="0.25">
      <c r="A45752"/>
      <c r="B45752"/>
      <c r="C45752"/>
      <c r="E45752"/>
      <c r="F45752"/>
    </row>
    <row r="45753" spans="1:6" x14ac:dyDescent="0.25">
      <c r="A45753"/>
      <c r="B45753"/>
      <c r="C45753"/>
      <c r="E45753"/>
      <c r="F45753"/>
    </row>
    <row r="45754" spans="1:6" x14ac:dyDescent="0.25">
      <c r="A45754"/>
      <c r="B45754"/>
      <c r="C45754"/>
      <c r="E45754"/>
      <c r="F45754"/>
    </row>
    <row r="45755" spans="1:6" x14ac:dyDescent="0.25">
      <c r="A45755"/>
      <c r="B45755"/>
      <c r="C45755"/>
      <c r="E45755"/>
      <c r="F45755"/>
    </row>
    <row r="45756" spans="1:6" x14ac:dyDescent="0.25">
      <c r="A45756"/>
      <c r="B45756"/>
      <c r="C45756"/>
      <c r="E45756"/>
      <c r="F45756"/>
    </row>
    <row r="45757" spans="1:6" x14ac:dyDescent="0.25">
      <c r="A45757"/>
      <c r="B45757"/>
      <c r="C45757"/>
      <c r="E45757"/>
      <c r="F45757"/>
    </row>
    <row r="45758" spans="1:6" x14ac:dyDescent="0.25">
      <c r="A45758"/>
      <c r="B45758"/>
      <c r="C45758"/>
      <c r="E45758"/>
      <c r="F45758"/>
    </row>
    <row r="45759" spans="1:6" x14ac:dyDescent="0.25">
      <c r="A45759"/>
      <c r="B45759"/>
      <c r="C45759"/>
      <c r="E45759"/>
      <c r="F45759"/>
    </row>
    <row r="45760" spans="1:6" x14ac:dyDescent="0.25">
      <c r="A45760"/>
      <c r="B45760"/>
      <c r="C45760"/>
      <c r="E45760"/>
      <c r="F45760"/>
    </row>
    <row r="45761" spans="1:6" x14ac:dyDescent="0.25">
      <c r="A45761"/>
      <c r="B45761"/>
      <c r="C45761"/>
      <c r="E45761"/>
      <c r="F45761"/>
    </row>
    <row r="45762" spans="1:6" x14ac:dyDescent="0.25">
      <c r="A45762"/>
      <c r="B45762"/>
      <c r="C45762"/>
      <c r="E45762"/>
      <c r="F45762"/>
    </row>
    <row r="45763" spans="1:6" x14ac:dyDescent="0.25">
      <c r="A45763"/>
      <c r="B45763"/>
      <c r="C45763"/>
      <c r="E45763"/>
      <c r="F45763"/>
    </row>
    <row r="45764" spans="1:6" x14ac:dyDescent="0.25">
      <c r="A45764"/>
      <c r="B45764"/>
      <c r="C45764"/>
      <c r="E45764"/>
      <c r="F45764"/>
    </row>
    <row r="45765" spans="1:6" x14ac:dyDescent="0.25">
      <c r="A45765"/>
      <c r="B45765"/>
      <c r="C45765"/>
      <c r="E45765"/>
      <c r="F45765"/>
    </row>
    <row r="45766" spans="1:6" x14ac:dyDescent="0.25">
      <c r="A45766"/>
      <c r="B45766"/>
      <c r="C45766"/>
      <c r="E45766"/>
      <c r="F45766"/>
    </row>
    <row r="45767" spans="1:6" x14ac:dyDescent="0.25">
      <c r="A45767"/>
      <c r="B45767"/>
      <c r="C45767"/>
      <c r="E45767"/>
      <c r="F45767"/>
    </row>
    <row r="45768" spans="1:6" x14ac:dyDescent="0.25">
      <c r="A45768"/>
      <c r="B45768"/>
      <c r="C45768"/>
      <c r="E45768"/>
      <c r="F45768"/>
    </row>
    <row r="45769" spans="1:6" x14ac:dyDescent="0.25">
      <c r="A45769"/>
      <c r="B45769"/>
      <c r="C45769"/>
      <c r="E45769"/>
      <c r="F45769"/>
    </row>
    <row r="45770" spans="1:6" x14ac:dyDescent="0.25">
      <c r="A45770"/>
      <c r="B45770"/>
      <c r="C45770"/>
      <c r="E45770"/>
      <c r="F45770"/>
    </row>
    <row r="45771" spans="1:6" x14ac:dyDescent="0.25">
      <c r="A45771"/>
      <c r="B45771"/>
      <c r="C45771"/>
      <c r="E45771"/>
      <c r="F45771"/>
    </row>
    <row r="45772" spans="1:6" x14ac:dyDescent="0.25">
      <c r="A45772"/>
      <c r="B45772"/>
      <c r="C45772"/>
      <c r="E45772"/>
      <c r="F45772"/>
    </row>
    <row r="45773" spans="1:6" x14ac:dyDescent="0.25">
      <c r="A45773"/>
      <c r="B45773"/>
      <c r="C45773"/>
      <c r="E45773"/>
      <c r="F45773"/>
    </row>
    <row r="45774" spans="1:6" x14ac:dyDescent="0.25">
      <c r="A45774"/>
      <c r="B45774"/>
      <c r="C45774"/>
      <c r="E45774"/>
      <c r="F45774"/>
    </row>
    <row r="45775" spans="1:6" x14ac:dyDescent="0.25">
      <c r="A45775"/>
      <c r="B45775"/>
      <c r="C45775"/>
      <c r="E45775"/>
      <c r="F45775"/>
    </row>
    <row r="45776" spans="1:6" x14ac:dyDescent="0.25">
      <c r="A45776"/>
      <c r="B45776"/>
      <c r="C45776"/>
      <c r="E45776"/>
      <c r="F45776"/>
    </row>
    <row r="45777" spans="1:6" x14ac:dyDescent="0.25">
      <c r="A45777"/>
      <c r="B45777"/>
      <c r="C45777"/>
      <c r="E45777"/>
      <c r="F45777"/>
    </row>
    <row r="45778" spans="1:6" x14ac:dyDescent="0.25">
      <c r="A45778"/>
      <c r="B45778"/>
      <c r="C45778"/>
      <c r="E45778"/>
      <c r="F45778"/>
    </row>
    <row r="45779" spans="1:6" x14ac:dyDescent="0.25">
      <c r="A45779"/>
      <c r="B45779"/>
      <c r="C45779"/>
      <c r="E45779"/>
      <c r="F45779"/>
    </row>
    <row r="45780" spans="1:6" x14ac:dyDescent="0.25">
      <c r="A45780"/>
      <c r="B45780"/>
      <c r="C45780"/>
      <c r="E45780"/>
      <c r="F45780"/>
    </row>
    <row r="45781" spans="1:6" x14ac:dyDescent="0.25">
      <c r="A45781"/>
      <c r="B45781"/>
      <c r="C45781"/>
      <c r="E45781"/>
      <c r="F45781"/>
    </row>
    <row r="45782" spans="1:6" x14ac:dyDescent="0.25">
      <c r="A45782"/>
      <c r="B45782"/>
      <c r="C45782"/>
      <c r="E45782"/>
      <c r="F45782"/>
    </row>
    <row r="45783" spans="1:6" x14ac:dyDescent="0.25">
      <c r="A45783"/>
      <c r="B45783"/>
      <c r="C45783"/>
      <c r="E45783"/>
      <c r="F45783"/>
    </row>
    <row r="45784" spans="1:6" x14ac:dyDescent="0.25">
      <c r="A45784"/>
      <c r="B45784"/>
      <c r="C45784"/>
      <c r="E45784"/>
      <c r="F45784"/>
    </row>
    <row r="45785" spans="1:6" x14ac:dyDescent="0.25">
      <c r="A45785"/>
      <c r="B45785"/>
      <c r="C45785"/>
      <c r="E45785"/>
      <c r="F45785"/>
    </row>
    <row r="45786" spans="1:6" x14ac:dyDescent="0.25">
      <c r="A45786"/>
      <c r="B45786"/>
      <c r="C45786"/>
      <c r="E45786"/>
      <c r="F45786"/>
    </row>
    <row r="45787" spans="1:6" x14ac:dyDescent="0.25">
      <c r="A45787"/>
      <c r="B45787"/>
      <c r="C45787"/>
      <c r="E45787"/>
      <c r="F45787"/>
    </row>
    <row r="45788" spans="1:6" x14ac:dyDescent="0.25">
      <c r="A45788"/>
      <c r="B45788"/>
      <c r="C45788"/>
      <c r="E45788"/>
      <c r="F45788"/>
    </row>
    <row r="45789" spans="1:6" x14ac:dyDescent="0.25">
      <c r="A45789"/>
      <c r="B45789"/>
      <c r="C45789"/>
      <c r="E45789"/>
      <c r="F45789"/>
    </row>
    <row r="45790" spans="1:6" x14ac:dyDescent="0.25">
      <c r="A45790"/>
      <c r="B45790"/>
      <c r="C45790"/>
      <c r="E45790"/>
      <c r="F45790"/>
    </row>
    <row r="45791" spans="1:6" x14ac:dyDescent="0.25">
      <c r="A45791"/>
      <c r="B45791"/>
      <c r="C45791"/>
      <c r="E45791"/>
      <c r="F45791"/>
    </row>
    <row r="45792" spans="1:6" x14ac:dyDescent="0.25">
      <c r="A45792"/>
      <c r="B45792"/>
      <c r="C45792"/>
      <c r="E45792"/>
      <c r="F45792"/>
    </row>
    <row r="45793" spans="1:6" x14ac:dyDescent="0.25">
      <c r="A45793"/>
      <c r="B45793"/>
      <c r="C45793"/>
      <c r="E45793"/>
      <c r="F45793"/>
    </row>
    <row r="45794" spans="1:6" x14ac:dyDescent="0.25">
      <c r="A45794"/>
      <c r="B45794"/>
      <c r="C45794"/>
      <c r="E45794"/>
      <c r="F45794"/>
    </row>
    <row r="45795" spans="1:6" x14ac:dyDescent="0.25">
      <c r="A45795"/>
      <c r="B45795"/>
      <c r="C45795"/>
      <c r="E45795"/>
      <c r="F45795"/>
    </row>
    <row r="45796" spans="1:6" x14ac:dyDescent="0.25">
      <c r="A45796"/>
      <c r="B45796"/>
      <c r="C45796"/>
      <c r="E45796"/>
      <c r="F45796"/>
    </row>
    <row r="45797" spans="1:6" x14ac:dyDescent="0.25">
      <c r="A45797"/>
      <c r="B45797"/>
      <c r="C45797"/>
      <c r="E45797"/>
      <c r="F45797"/>
    </row>
    <row r="45798" spans="1:6" x14ac:dyDescent="0.25">
      <c r="A45798"/>
      <c r="B45798"/>
      <c r="C45798"/>
      <c r="E45798"/>
      <c r="F45798"/>
    </row>
    <row r="45799" spans="1:6" x14ac:dyDescent="0.25">
      <c r="A45799"/>
      <c r="B45799"/>
      <c r="C45799"/>
      <c r="E45799"/>
      <c r="F45799"/>
    </row>
    <row r="45800" spans="1:6" x14ac:dyDescent="0.25">
      <c r="A45800"/>
      <c r="B45800"/>
      <c r="C45800"/>
      <c r="E45800"/>
      <c r="F45800"/>
    </row>
    <row r="45801" spans="1:6" x14ac:dyDescent="0.25">
      <c r="A45801"/>
      <c r="B45801"/>
      <c r="C45801"/>
      <c r="E45801"/>
      <c r="F45801"/>
    </row>
    <row r="45802" spans="1:6" x14ac:dyDescent="0.25">
      <c r="A45802"/>
      <c r="B45802"/>
      <c r="C45802"/>
      <c r="E45802"/>
      <c r="F45802"/>
    </row>
    <row r="45803" spans="1:6" x14ac:dyDescent="0.25">
      <c r="A45803"/>
      <c r="B45803"/>
      <c r="C45803"/>
      <c r="E45803"/>
      <c r="F45803"/>
    </row>
    <row r="45804" spans="1:6" x14ac:dyDescent="0.25">
      <c r="A45804"/>
      <c r="B45804"/>
      <c r="C45804"/>
      <c r="E45804"/>
      <c r="F45804"/>
    </row>
    <row r="45805" spans="1:6" x14ac:dyDescent="0.25">
      <c r="A45805"/>
      <c r="B45805"/>
      <c r="C45805"/>
      <c r="E45805"/>
      <c r="F45805"/>
    </row>
    <row r="45806" spans="1:6" x14ac:dyDescent="0.25">
      <c r="A45806"/>
      <c r="B45806"/>
      <c r="C45806"/>
      <c r="E45806"/>
      <c r="F45806"/>
    </row>
    <row r="45807" spans="1:6" x14ac:dyDescent="0.25">
      <c r="A45807"/>
      <c r="B45807"/>
      <c r="C45807"/>
      <c r="E45807"/>
      <c r="F45807"/>
    </row>
    <row r="45808" spans="1:6" x14ac:dyDescent="0.25">
      <c r="A45808"/>
      <c r="B45808"/>
      <c r="C45808"/>
      <c r="E45808"/>
      <c r="F45808"/>
    </row>
    <row r="45809" spans="1:6" x14ac:dyDescent="0.25">
      <c r="A45809"/>
      <c r="B45809"/>
      <c r="C45809"/>
      <c r="E45809"/>
      <c r="F45809"/>
    </row>
    <row r="45810" spans="1:6" x14ac:dyDescent="0.25">
      <c r="A45810"/>
      <c r="B45810"/>
      <c r="C45810"/>
      <c r="E45810"/>
      <c r="F45810"/>
    </row>
    <row r="45811" spans="1:6" x14ac:dyDescent="0.25">
      <c r="A45811"/>
      <c r="B45811"/>
      <c r="C45811"/>
      <c r="E45811"/>
      <c r="F45811"/>
    </row>
    <row r="45812" spans="1:6" x14ac:dyDescent="0.25">
      <c r="A45812"/>
      <c r="B45812"/>
      <c r="C45812"/>
      <c r="E45812"/>
      <c r="F45812"/>
    </row>
    <row r="45813" spans="1:6" x14ac:dyDescent="0.25">
      <c r="A45813"/>
      <c r="B45813"/>
      <c r="C45813"/>
      <c r="E45813"/>
      <c r="F45813"/>
    </row>
    <row r="45814" spans="1:6" x14ac:dyDescent="0.25">
      <c r="A45814"/>
      <c r="B45814"/>
      <c r="C45814"/>
      <c r="E45814"/>
      <c r="F45814"/>
    </row>
    <row r="45815" spans="1:6" x14ac:dyDescent="0.25">
      <c r="A45815"/>
      <c r="B45815"/>
      <c r="C45815"/>
      <c r="E45815"/>
      <c r="F45815"/>
    </row>
    <row r="45816" spans="1:6" x14ac:dyDescent="0.25">
      <c r="A45816"/>
      <c r="B45816"/>
      <c r="C45816"/>
      <c r="E45816"/>
      <c r="F45816"/>
    </row>
    <row r="45817" spans="1:6" x14ac:dyDescent="0.25">
      <c r="A45817"/>
      <c r="B45817"/>
      <c r="C45817"/>
      <c r="E45817"/>
      <c r="F45817"/>
    </row>
    <row r="45818" spans="1:6" x14ac:dyDescent="0.25">
      <c r="A45818"/>
      <c r="B45818"/>
      <c r="C45818"/>
      <c r="E45818"/>
      <c r="F45818"/>
    </row>
    <row r="45819" spans="1:6" x14ac:dyDescent="0.25">
      <c r="A45819"/>
      <c r="B45819"/>
      <c r="C45819"/>
      <c r="E45819"/>
      <c r="F45819"/>
    </row>
    <row r="45820" spans="1:6" x14ac:dyDescent="0.25">
      <c r="A45820"/>
      <c r="B45820"/>
      <c r="C45820"/>
      <c r="E45820"/>
      <c r="F45820"/>
    </row>
    <row r="45821" spans="1:6" x14ac:dyDescent="0.25">
      <c r="A45821"/>
      <c r="B45821"/>
      <c r="C45821"/>
      <c r="E45821"/>
      <c r="F45821"/>
    </row>
    <row r="45822" spans="1:6" x14ac:dyDescent="0.25">
      <c r="A45822"/>
      <c r="B45822"/>
      <c r="C45822"/>
      <c r="E45822"/>
      <c r="F45822"/>
    </row>
    <row r="45823" spans="1:6" x14ac:dyDescent="0.25">
      <c r="A45823"/>
      <c r="B45823"/>
      <c r="C45823"/>
      <c r="E45823"/>
      <c r="F45823"/>
    </row>
    <row r="45824" spans="1:6" x14ac:dyDescent="0.25">
      <c r="A45824"/>
      <c r="B45824"/>
      <c r="C45824"/>
      <c r="E45824"/>
      <c r="F45824"/>
    </row>
    <row r="45825" spans="1:6" x14ac:dyDescent="0.25">
      <c r="A45825"/>
      <c r="B45825"/>
      <c r="C45825"/>
      <c r="E45825"/>
      <c r="F45825"/>
    </row>
    <row r="45826" spans="1:6" x14ac:dyDescent="0.25">
      <c r="A45826"/>
      <c r="B45826"/>
      <c r="C45826"/>
      <c r="E45826"/>
      <c r="F45826"/>
    </row>
    <row r="45827" spans="1:6" x14ac:dyDescent="0.25">
      <c r="A45827"/>
      <c r="B45827"/>
      <c r="C45827"/>
      <c r="E45827"/>
      <c r="F45827"/>
    </row>
    <row r="45828" spans="1:6" x14ac:dyDescent="0.25">
      <c r="A45828"/>
      <c r="B45828"/>
      <c r="C45828"/>
      <c r="E45828"/>
      <c r="F45828"/>
    </row>
    <row r="45829" spans="1:6" x14ac:dyDescent="0.25">
      <c r="A45829"/>
      <c r="B45829"/>
      <c r="C45829"/>
      <c r="E45829"/>
      <c r="F45829"/>
    </row>
    <row r="45830" spans="1:6" x14ac:dyDescent="0.25">
      <c r="A45830"/>
      <c r="B45830"/>
      <c r="C45830"/>
      <c r="E45830"/>
      <c r="F45830"/>
    </row>
    <row r="45831" spans="1:6" x14ac:dyDescent="0.25">
      <c r="A45831"/>
      <c r="B45831"/>
      <c r="C45831"/>
      <c r="E45831"/>
      <c r="F45831"/>
    </row>
    <row r="45832" spans="1:6" x14ac:dyDescent="0.25">
      <c r="A45832"/>
      <c r="B45832"/>
      <c r="C45832"/>
      <c r="E45832"/>
      <c r="F45832"/>
    </row>
    <row r="45833" spans="1:6" x14ac:dyDescent="0.25">
      <c r="A45833"/>
      <c r="B45833"/>
      <c r="C45833"/>
      <c r="E45833"/>
      <c r="F45833"/>
    </row>
    <row r="45834" spans="1:6" x14ac:dyDescent="0.25">
      <c r="A45834"/>
      <c r="B45834"/>
      <c r="C45834"/>
      <c r="E45834"/>
      <c r="F45834"/>
    </row>
    <row r="45835" spans="1:6" x14ac:dyDescent="0.25">
      <c r="A45835"/>
      <c r="B45835"/>
      <c r="C45835"/>
      <c r="E45835"/>
      <c r="F45835"/>
    </row>
    <row r="45836" spans="1:6" x14ac:dyDescent="0.25">
      <c r="A45836"/>
      <c r="B45836"/>
      <c r="C45836"/>
      <c r="E45836"/>
      <c r="F45836"/>
    </row>
    <row r="45837" spans="1:6" x14ac:dyDescent="0.25">
      <c r="A45837"/>
      <c r="B45837"/>
      <c r="C45837"/>
      <c r="E45837"/>
      <c r="F45837"/>
    </row>
    <row r="45838" spans="1:6" x14ac:dyDescent="0.25">
      <c r="A45838"/>
      <c r="B45838"/>
      <c r="C45838"/>
      <c r="E45838"/>
      <c r="F45838"/>
    </row>
    <row r="45839" spans="1:6" x14ac:dyDescent="0.25">
      <c r="A45839"/>
      <c r="B45839"/>
      <c r="C45839"/>
      <c r="E45839"/>
      <c r="F45839"/>
    </row>
    <row r="45840" spans="1:6" x14ac:dyDescent="0.25">
      <c r="A45840"/>
      <c r="B45840"/>
      <c r="C45840"/>
      <c r="E45840"/>
      <c r="F45840"/>
    </row>
    <row r="45841" spans="1:6" x14ac:dyDescent="0.25">
      <c r="A45841"/>
      <c r="B45841"/>
      <c r="C45841"/>
      <c r="E45841"/>
      <c r="F45841"/>
    </row>
    <row r="45842" spans="1:6" x14ac:dyDescent="0.25">
      <c r="A45842"/>
      <c r="B45842"/>
      <c r="C45842"/>
      <c r="E45842"/>
      <c r="F45842"/>
    </row>
    <row r="45843" spans="1:6" x14ac:dyDescent="0.25">
      <c r="A45843"/>
      <c r="B45843"/>
      <c r="C45843"/>
      <c r="E45843"/>
      <c r="F45843"/>
    </row>
    <row r="45844" spans="1:6" x14ac:dyDescent="0.25">
      <c r="A45844"/>
      <c r="B45844"/>
      <c r="C45844"/>
      <c r="E45844"/>
      <c r="F45844"/>
    </row>
    <row r="45845" spans="1:6" x14ac:dyDescent="0.25">
      <c r="A45845"/>
      <c r="B45845"/>
      <c r="C45845"/>
      <c r="E45845"/>
      <c r="F45845"/>
    </row>
    <row r="45846" spans="1:6" x14ac:dyDescent="0.25">
      <c r="A45846"/>
      <c r="B45846"/>
      <c r="C45846"/>
      <c r="E45846"/>
      <c r="F45846"/>
    </row>
    <row r="45847" spans="1:6" x14ac:dyDescent="0.25">
      <c r="A45847"/>
      <c r="B45847"/>
      <c r="C45847"/>
      <c r="E45847"/>
      <c r="F45847"/>
    </row>
    <row r="45848" spans="1:6" x14ac:dyDescent="0.25">
      <c r="A45848"/>
      <c r="B45848"/>
      <c r="C45848"/>
      <c r="E45848"/>
      <c r="F45848"/>
    </row>
    <row r="45849" spans="1:6" x14ac:dyDescent="0.25">
      <c r="A45849"/>
      <c r="B45849"/>
      <c r="C45849"/>
      <c r="E45849"/>
      <c r="F45849"/>
    </row>
    <row r="45850" spans="1:6" x14ac:dyDescent="0.25">
      <c r="A45850"/>
      <c r="B45850"/>
      <c r="C45850"/>
      <c r="E45850"/>
      <c r="F45850"/>
    </row>
    <row r="45851" spans="1:6" x14ac:dyDescent="0.25">
      <c r="A45851"/>
      <c r="B45851"/>
      <c r="C45851"/>
      <c r="E45851"/>
      <c r="F45851"/>
    </row>
    <row r="45852" spans="1:6" x14ac:dyDescent="0.25">
      <c r="A45852"/>
      <c r="B45852"/>
      <c r="C45852"/>
      <c r="E45852"/>
      <c r="F45852"/>
    </row>
    <row r="45853" spans="1:6" x14ac:dyDescent="0.25">
      <c r="A45853"/>
      <c r="B45853"/>
      <c r="C45853"/>
      <c r="E45853"/>
      <c r="F45853"/>
    </row>
    <row r="45854" spans="1:6" x14ac:dyDescent="0.25">
      <c r="A45854"/>
      <c r="B45854"/>
      <c r="C45854"/>
      <c r="E45854"/>
      <c r="F45854"/>
    </row>
    <row r="45855" spans="1:6" x14ac:dyDescent="0.25">
      <c r="A45855"/>
      <c r="B45855"/>
      <c r="C45855"/>
      <c r="E45855"/>
      <c r="F45855"/>
    </row>
    <row r="45856" spans="1:6" x14ac:dyDescent="0.25">
      <c r="A45856"/>
      <c r="B45856"/>
      <c r="C45856"/>
      <c r="E45856"/>
      <c r="F45856"/>
    </row>
    <row r="45857" spans="1:6" x14ac:dyDescent="0.25">
      <c r="A45857"/>
      <c r="B45857"/>
      <c r="C45857"/>
      <c r="E45857"/>
      <c r="F45857"/>
    </row>
    <row r="45858" spans="1:6" x14ac:dyDescent="0.25">
      <c r="A45858"/>
      <c r="B45858"/>
      <c r="C45858"/>
      <c r="E45858"/>
      <c r="F45858"/>
    </row>
    <row r="45859" spans="1:6" x14ac:dyDescent="0.25">
      <c r="A45859"/>
      <c r="B45859"/>
      <c r="C45859"/>
      <c r="E45859"/>
      <c r="F45859"/>
    </row>
    <row r="45860" spans="1:6" x14ac:dyDescent="0.25">
      <c r="A45860"/>
      <c r="B45860"/>
      <c r="C45860"/>
      <c r="E45860"/>
      <c r="F45860"/>
    </row>
    <row r="45861" spans="1:6" x14ac:dyDescent="0.25">
      <c r="A45861"/>
      <c r="B45861"/>
      <c r="C45861"/>
      <c r="E45861"/>
      <c r="F45861"/>
    </row>
    <row r="45862" spans="1:6" x14ac:dyDescent="0.25">
      <c r="A45862"/>
      <c r="B45862"/>
      <c r="C45862"/>
      <c r="E45862"/>
      <c r="F45862"/>
    </row>
    <row r="45863" spans="1:6" x14ac:dyDescent="0.25">
      <c r="A45863"/>
      <c r="B45863"/>
      <c r="C45863"/>
      <c r="E45863"/>
      <c r="F45863"/>
    </row>
    <row r="45864" spans="1:6" x14ac:dyDescent="0.25">
      <c r="A45864"/>
      <c r="B45864"/>
      <c r="C45864"/>
      <c r="E45864"/>
      <c r="F45864"/>
    </row>
    <row r="45865" spans="1:6" x14ac:dyDescent="0.25">
      <c r="A45865"/>
      <c r="B45865"/>
      <c r="C45865"/>
      <c r="E45865"/>
      <c r="F45865"/>
    </row>
    <row r="45866" spans="1:6" x14ac:dyDescent="0.25">
      <c r="A45866"/>
      <c r="B45866"/>
      <c r="C45866"/>
      <c r="E45866"/>
      <c r="F45866"/>
    </row>
    <row r="45867" spans="1:6" x14ac:dyDescent="0.25">
      <c r="A45867"/>
      <c r="B45867"/>
      <c r="C45867"/>
      <c r="E45867"/>
      <c r="F45867"/>
    </row>
    <row r="45868" spans="1:6" x14ac:dyDescent="0.25">
      <c r="A45868"/>
      <c r="B45868"/>
      <c r="C45868"/>
      <c r="E45868"/>
      <c r="F45868"/>
    </row>
    <row r="45869" spans="1:6" x14ac:dyDescent="0.25">
      <c r="A45869"/>
      <c r="B45869"/>
      <c r="C45869"/>
      <c r="E45869"/>
      <c r="F45869"/>
    </row>
    <row r="45870" spans="1:6" x14ac:dyDescent="0.25">
      <c r="A45870"/>
      <c r="B45870"/>
      <c r="C45870"/>
      <c r="E45870"/>
      <c r="F45870"/>
    </row>
    <row r="45871" spans="1:6" x14ac:dyDescent="0.25">
      <c r="A45871"/>
      <c r="B45871"/>
      <c r="C45871"/>
      <c r="E45871"/>
      <c r="F45871"/>
    </row>
    <row r="45872" spans="1:6" x14ac:dyDescent="0.25">
      <c r="A45872"/>
      <c r="B45872"/>
      <c r="C45872"/>
      <c r="E45872"/>
      <c r="F45872"/>
    </row>
    <row r="45873" spans="1:6" x14ac:dyDescent="0.25">
      <c r="A45873"/>
      <c r="B45873"/>
      <c r="C45873"/>
      <c r="E45873"/>
      <c r="F45873"/>
    </row>
    <row r="45874" spans="1:6" x14ac:dyDescent="0.25">
      <c r="A45874"/>
      <c r="B45874"/>
      <c r="C45874"/>
      <c r="E45874"/>
      <c r="F45874"/>
    </row>
    <row r="45875" spans="1:6" x14ac:dyDescent="0.25">
      <c r="A45875"/>
      <c r="B45875"/>
      <c r="C45875"/>
      <c r="E45875"/>
      <c r="F45875"/>
    </row>
    <row r="45876" spans="1:6" x14ac:dyDescent="0.25">
      <c r="A45876"/>
      <c r="B45876"/>
      <c r="C45876"/>
      <c r="E45876"/>
      <c r="F45876"/>
    </row>
    <row r="45877" spans="1:6" x14ac:dyDescent="0.25">
      <c r="A45877"/>
      <c r="B45877"/>
      <c r="C45877"/>
      <c r="E45877"/>
      <c r="F45877"/>
    </row>
    <row r="45878" spans="1:6" x14ac:dyDescent="0.25">
      <c r="A45878"/>
      <c r="B45878"/>
      <c r="C45878"/>
      <c r="E45878"/>
      <c r="F45878"/>
    </row>
    <row r="45879" spans="1:6" x14ac:dyDescent="0.25">
      <c r="A45879"/>
      <c r="B45879"/>
      <c r="C45879"/>
      <c r="E45879"/>
      <c r="F45879"/>
    </row>
    <row r="45880" spans="1:6" x14ac:dyDescent="0.25">
      <c r="A45880"/>
      <c r="B45880"/>
      <c r="C45880"/>
      <c r="E45880"/>
      <c r="F45880"/>
    </row>
    <row r="45881" spans="1:6" x14ac:dyDescent="0.25">
      <c r="A45881"/>
      <c r="B45881"/>
      <c r="C45881"/>
      <c r="E45881"/>
      <c r="F45881"/>
    </row>
    <row r="45882" spans="1:6" x14ac:dyDescent="0.25">
      <c r="A45882"/>
      <c r="B45882"/>
      <c r="C45882"/>
      <c r="E45882"/>
      <c r="F45882"/>
    </row>
    <row r="45883" spans="1:6" x14ac:dyDescent="0.25">
      <c r="A45883"/>
      <c r="B45883"/>
      <c r="C45883"/>
      <c r="E45883"/>
      <c r="F45883"/>
    </row>
    <row r="45884" spans="1:6" x14ac:dyDescent="0.25">
      <c r="A45884"/>
      <c r="B45884"/>
      <c r="C45884"/>
      <c r="E45884"/>
      <c r="F45884"/>
    </row>
    <row r="45885" spans="1:6" x14ac:dyDescent="0.25">
      <c r="A45885"/>
      <c r="B45885"/>
      <c r="C45885"/>
      <c r="E45885"/>
      <c r="F45885"/>
    </row>
    <row r="45886" spans="1:6" x14ac:dyDescent="0.25">
      <c r="A45886"/>
      <c r="B45886"/>
      <c r="C45886"/>
      <c r="E45886"/>
      <c r="F45886"/>
    </row>
    <row r="45887" spans="1:6" x14ac:dyDescent="0.25">
      <c r="A45887"/>
      <c r="B45887"/>
      <c r="C45887"/>
      <c r="E45887"/>
      <c r="F45887"/>
    </row>
    <row r="45888" spans="1:6" x14ac:dyDescent="0.25">
      <c r="A45888"/>
      <c r="B45888"/>
      <c r="C45888"/>
      <c r="E45888"/>
      <c r="F45888"/>
    </row>
    <row r="45889" spans="1:6" x14ac:dyDescent="0.25">
      <c r="A45889"/>
      <c r="B45889"/>
      <c r="C45889"/>
      <c r="E45889"/>
      <c r="F45889"/>
    </row>
    <row r="45890" spans="1:6" x14ac:dyDescent="0.25">
      <c r="A45890"/>
      <c r="B45890"/>
      <c r="C45890"/>
      <c r="E45890"/>
      <c r="F45890"/>
    </row>
    <row r="45891" spans="1:6" x14ac:dyDescent="0.25">
      <c r="A45891"/>
      <c r="B45891"/>
      <c r="C45891"/>
      <c r="E45891"/>
      <c r="F45891"/>
    </row>
    <row r="45892" spans="1:6" x14ac:dyDescent="0.25">
      <c r="A45892"/>
      <c r="B45892"/>
      <c r="C45892"/>
      <c r="E45892"/>
      <c r="F45892"/>
    </row>
    <row r="45893" spans="1:6" x14ac:dyDescent="0.25">
      <c r="A45893"/>
      <c r="B45893"/>
      <c r="C45893"/>
      <c r="E45893"/>
      <c r="F45893"/>
    </row>
    <row r="45894" spans="1:6" x14ac:dyDescent="0.25">
      <c r="A45894"/>
      <c r="B45894"/>
      <c r="C45894"/>
      <c r="E45894"/>
      <c r="F45894"/>
    </row>
    <row r="45895" spans="1:6" x14ac:dyDescent="0.25">
      <c r="A45895"/>
      <c r="B45895"/>
      <c r="C45895"/>
      <c r="E45895"/>
      <c r="F45895"/>
    </row>
    <row r="45896" spans="1:6" x14ac:dyDescent="0.25">
      <c r="A45896"/>
      <c r="B45896"/>
      <c r="C45896"/>
      <c r="E45896"/>
      <c r="F45896"/>
    </row>
    <row r="45897" spans="1:6" x14ac:dyDescent="0.25">
      <c r="A45897"/>
      <c r="B45897"/>
      <c r="C45897"/>
      <c r="E45897"/>
      <c r="F45897"/>
    </row>
    <row r="45898" spans="1:6" x14ac:dyDescent="0.25">
      <c r="A45898"/>
      <c r="B45898"/>
      <c r="C45898"/>
      <c r="E45898"/>
      <c r="F45898"/>
    </row>
    <row r="45899" spans="1:6" x14ac:dyDescent="0.25">
      <c r="A45899"/>
      <c r="B45899"/>
      <c r="C45899"/>
      <c r="E45899"/>
      <c r="F45899"/>
    </row>
    <row r="45900" spans="1:6" x14ac:dyDescent="0.25">
      <c r="A45900"/>
      <c r="B45900"/>
      <c r="C45900"/>
      <c r="E45900"/>
      <c r="F45900"/>
    </row>
    <row r="45901" spans="1:6" x14ac:dyDescent="0.25">
      <c r="A45901"/>
      <c r="B45901"/>
      <c r="C45901"/>
      <c r="E45901"/>
      <c r="F45901"/>
    </row>
    <row r="45902" spans="1:6" x14ac:dyDescent="0.25">
      <c r="A45902"/>
      <c r="B45902"/>
      <c r="C45902"/>
      <c r="E45902"/>
      <c r="F45902"/>
    </row>
    <row r="45903" spans="1:6" x14ac:dyDescent="0.25">
      <c r="A45903"/>
      <c r="B45903"/>
      <c r="C45903"/>
      <c r="E45903"/>
      <c r="F45903"/>
    </row>
    <row r="45904" spans="1:6" x14ac:dyDescent="0.25">
      <c r="A45904"/>
      <c r="B45904"/>
      <c r="C45904"/>
      <c r="E45904"/>
      <c r="F45904"/>
    </row>
    <row r="45905" spans="1:6" x14ac:dyDescent="0.25">
      <c r="A45905"/>
      <c r="B45905"/>
      <c r="C45905"/>
      <c r="E45905"/>
      <c r="F45905"/>
    </row>
    <row r="45906" spans="1:6" x14ac:dyDescent="0.25">
      <c r="A45906"/>
      <c r="B45906"/>
      <c r="C45906"/>
      <c r="E45906"/>
      <c r="F45906"/>
    </row>
    <row r="45907" spans="1:6" x14ac:dyDescent="0.25">
      <c r="A45907"/>
      <c r="B45907"/>
      <c r="C45907"/>
      <c r="E45907"/>
      <c r="F45907"/>
    </row>
    <row r="45908" spans="1:6" x14ac:dyDescent="0.25">
      <c r="A45908"/>
      <c r="B45908"/>
      <c r="C45908"/>
      <c r="E45908"/>
      <c r="F45908"/>
    </row>
    <row r="45909" spans="1:6" x14ac:dyDescent="0.25">
      <c r="A45909"/>
      <c r="B45909"/>
      <c r="C45909"/>
      <c r="E45909"/>
      <c r="F45909"/>
    </row>
    <row r="45910" spans="1:6" x14ac:dyDescent="0.25">
      <c r="A45910"/>
      <c r="B45910"/>
      <c r="C45910"/>
      <c r="E45910"/>
      <c r="F45910"/>
    </row>
    <row r="45911" spans="1:6" x14ac:dyDescent="0.25">
      <c r="A45911"/>
      <c r="B45911"/>
      <c r="C45911"/>
      <c r="E45911"/>
      <c r="F45911"/>
    </row>
    <row r="45912" spans="1:6" x14ac:dyDescent="0.25">
      <c r="A45912"/>
      <c r="B45912"/>
      <c r="C45912"/>
      <c r="E45912"/>
      <c r="F45912"/>
    </row>
    <row r="45913" spans="1:6" x14ac:dyDescent="0.25">
      <c r="A45913"/>
      <c r="B45913"/>
      <c r="C45913"/>
      <c r="E45913"/>
      <c r="F45913"/>
    </row>
    <row r="45914" spans="1:6" x14ac:dyDescent="0.25">
      <c r="A45914"/>
      <c r="B45914"/>
      <c r="C45914"/>
      <c r="E45914"/>
      <c r="F45914"/>
    </row>
    <row r="45915" spans="1:6" x14ac:dyDescent="0.25">
      <c r="A45915"/>
      <c r="B45915"/>
      <c r="C45915"/>
      <c r="E45915"/>
      <c r="F45915"/>
    </row>
    <row r="45916" spans="1:6" x14ac:dyDescent="0.25">
      <c r="A45916"/>
      <c r="B45916"/>
      <c r="C45916"/>
      <c r="E45916"/>
      <c r="F45916"/>
    </row>
    <row r="45917" spans="1:6" x14ac:dyDescent="0.25">
      <c r="A45917"/>
      <c r="B45917"/>
      <c r="C45917"/>
      <c r="E45917"/>
      <c r="F45917"/>
    </row>
    <row r="45918" spans="1:6" x14ac:dyDescent="0.25">
      <c r="A45918"/>
      <c r="B45918"/>
      <c r="C45918"/>
      <c r="E45918"/>
      <c r="F45918"/>
    </row>
    <row r="45919" spans="1:6" x14ac:dyDescent="0.25">
      <c r="A45919"/>
      <c r="B45919"/>
      <c r="C45919"/>
      <c r="E45919"/>
      <c r="F45919"/>
    </row>
    <row r="45920" spans="1:6" x14ac:dyDescent="0.25">
      <c r="A45920"/>
      <c r="B45920"/>
      <c r="C45920"/>
      <c r="E45920"/>
      <c r="F45920"/>
    </row>
    <row r="45921" spans="1:6" x14ac:dyDescent="0.25">
      <c r="A45921"/>
      <c r="B45921"/>
      <c r="C45921"/>
      <c r="E45921"/>
      <c r="F45921"/>
    </row>
    <row r="45922" spans="1:6" x14ac:dyDescent="0.25">
      <c r="A45922"/>
      <c r="B45922"/>
      <c r="C45922"/>
      <c r="E45922"/>
      <c r="F45922"/>
    </row>
    <row r="45923" spans="1:6" x14ac:dyDescent="0.25">
      <c r="A45923"/>
      <c r="B45923"/>
      <c r="C45923"/>
      <c r="E45923"/>
      <c r="F45923"/>
    </row>
    <row r="45924" spans="1:6" x14ac:dyDescent="0.25">
      <c r="A45924"/>
      <c r="B45924"/>
      <c r="C45924"/>
      <c r="E45924"/>
      <c r="F45924"/>
    </row>
    <row r="45925" spans="1:6" x14ac:dyDescent="0.25">
      <c r="A45925"/>
      <c r="B45925"/>
      <c r="C45925"/>
      <c r="E45925"/>
      <c r="F45925"/>
    </row>
    <row r="45926" spans="1:6" x14ac:dyDescent="0.25">
      <c r="A45926"/>
      <c r="B45926"/>
      <c r="C45926"/>
      <c r="E45926"/>
      <c r="F45926"/>
    </row>
    <row r="45927" spans="1:6" x14ac:dyDescent="0.25">
      <c r="A45927"/>
      <c r="B45927"/>
      <c r="C45927"/>
      <c r="E45927"/>
      <c r="F45927"/>
    </row>
    <row r="45928" spans="1:6" x14ac:dyDescent="0.25">
      <c r="A45928"/>
      <c r="B45928"/>
      <c r="C45928"/>
      <c r="E45928"/>
      <c r="F45928"/>
    </row>
    <row r="45929" spans="1:6" x14ac:dyDescent="0.25">
      <c r="A45929"/>
      <c r="B45929"/>
      <c r="C45929"/>
      <c r="E45929"/>
      <c r="F45929"/>
    </row>
    <row r="45930" spans="1:6" x14ac:dyDescent="0.25">
      <c r="A45930"/>
      <c r="B45930"/>
      <c r="C45930"/>
      <c r="E45930"/>
      <c r="F45930"/>
    </row>
    <row r="45931" spans="1:6" x14ac:dyDescent="0.25">
      <c r="A45931"/>
      <c r="B45931"/>
      <c r="C45931"/>
      <c r="E45931"/>
      <c r="F45931"/>
    </row>
    <row r="45932" spans="1:6" x14ac:dyDescent="0.25">
      <c r="A45932"/>
      <c r="B45932"/>
      <c r="C45932"/>
      <c r="E45932"/>
      <c r="F45932"/>
    </row>
    <row r="45933" spans="1:6" x14ac:dyDescent="0.25">
      <c r="A45933"/>
      <c r="B45933"/>
      <c r="C45933"/>
      <c r="E45933"/>
      <c r="F45933"/>
    </row>
    <row r="45934" spans="1:6" x14ac:dyDescent="0.25">
      <c r="A45934"/>
      <c r="B45934"/>
      <c r="C45934"/>
      <c r="E45934"/>
      <c r="F45934"/>
    </row>
    <row r="45935" spans="1:6" x14ac:dyDescent="0.25">
      <c r="A45935"/>
      <c r="B45935"/>
      <c r="C45935"/>
      <c r="E45935"/>
      <c r="F45935"/>
    </row>
    <row r="45936" spans="1:6" x14ac:dyDescent="0.25">
      <c r="A45936"/>
      <c r="B45936"/>
      <c r="C45936"/>
      <c r="E45936"/>
      <c r="F45936"/>
    </row>
    <row r="45937" spans="1:6" x14ac:dyDescent="0.25">
      <c r="A45937"/>
      <c r="B45937"/>
      <c r="C45937"/>
      <c r="E45937"/>
      <c r="F45937"/>
    </row>
    <row r="45938" spans="1:6" x14ac:dyDescent="0.25">
      <c r="A45938"/>
      <c r="B45938"/>
      <c r="C45938"/>
      <c r="E45938"/>
      <c r="F45938"/>
    </row>
    <row r="45939" spans="1:6" x14ac:dyDescent="0.25">
      <c r="A45939"/>
      <c r="B45939"/>
      <c r="C45939"/>
      <c r="E45939"/>
      <c r="F45939"/>
    </row>
    <row r="45940" spans="1:6" x14ac:dyDescent="0.25">
      <c r="A45940"/>
      <c r="B45940"/>
      <c r="C45940"/>
      <c r="E45940"/>
      <c r="F45940"/>
    </row>
    <row r="45941" spans="1:6" x14ac:dyDescent="0.25">
      <c r="A45941"/>
      <c r="B45941"/>
      <c r="C45941"/>
      <c r="E45941"/>
      <c r="F45941"/>
    </row>
    <row r="45942" spans="1:6" x14ac:dyDescent="0.25">
      <c r="A45942"/>
      <c r="B45942"/>
      <c r="C45942"/>
      <c r="E45942"/>
      <c r="F45942"/>
    </row>
    <row r="45943" spans="1:6" x14ac:dyDescent="0.25">
      <c r="A45943"/>
      <c r="B45943"/>
      <c r="C45943"/>
      <c r="E45943"/>
      <c r="F45943"/>
    </row>
    <row r="45944" spans="1:6" x14ac:dyDescent="0.25">
      <c r="A45944"/>
      <c r="B45944"/>
      <c r="C45944"/>
      <c r="E45944"/>
      <c r="F45944"/>
    </row>
    <row r="45945" spans="1:6" x14ac:dyDescent="0.25">
      <c r="A45945"/>
      <c r="B45945"/>
      <c r="C45945"/>
      <c r="E45945"/>
      <c r="F45945"/>
    </row>
    <row r="45946" spans="1:6" x14ac:dyDescent="0.25">
      <c r="A45946"/>
      <c r="B45946"/>
      <c r="C45946"/>
      <c r="E45946"/>
      <c r="F45946"/>
    </row>
    <row r="45947" spans="1:6" x14ac:dyDescent="0.25">
      <c r="A45947"/>
      <c r="B45947"/>
      <c r="C45947"/>
      <c r="E45947"/>
      <c r="F45947"/>
    </row>
    <row r="45948" spans="1:6" x14ac:dyDescent="0.25">
      <c r="A45948"/>
      <c r="B45948"/>
      <c r="C45948"/>
      <c r="E45948"/>
      <c r="F45948"/>
    </row>
    <row r="45949" spans="1:6" x14ac:dyDescent="0.25">
      <c r="A45949"/>
      <c r="B45949"/>
      <c r="C45949"/>
      <c r="E45949"/>
      <c r="F45949"/>
    </row>
    <row r="45950" spans="1:6" x14ac:dyDescent="0.25">
      <c r="A45950"/>
      <c r="B45950"/>
      <c r="C45950"/>
      <c r="E45950"/>
      <c r="F45950"/>
    </row>
    <row r="45951" spans="1:6" x14ac:dyDescent="0.25">
      <c r="A45951"/>
      <c r="B45951"/>
      <c r="C45951"/>
      <c r="E45951"/>
      <c r="F45951"/>
    </row>
    <row r="45952" spans="1:6" x14ac:dyDescent="0.25">
      <c r="A45952"/>
      <c r="B45952"/>
      <c r="C45952"/>
      <c r="E45952"/>
      <c r="F45952"/>
    </row>
    <row r="45953" spans="1:6" x14ac:dyDescent="0.25">
      <c r="A45953"/>
      <c r="B45953"/>
      <c r="C45953"/>
      <c r="E45953"/>
      <c r="F45953"/>
    </row>
    <row r="45954" spans="1:6" x14ac:dyDescent="0.25">
      <c r="A45954"/>
      <c r="B45954"/>
      <c r="C45954"/>
      <c r="E45954"/>
      <c r="F45954"/>
    </row>
    <row r="45955" spans="1:6" x14ac:dyDescent="0.25">
      <c r="A45955"/>
      <c r="B45955"/>
      <c r="C45955"/>
      <c r="E45955"/>
      <c r="F45955"/>
    </row>
    <row r="45956" spans="1:6" x14ac:dyDescent="0.25">
      <c r="A45956"/>
      <c r="B45956"/>
      <c r="C45956"/>
      <c r="E45956"/>
      <c r="F45956"/>
    </row>
    <row r="45957" spans="1:6" x14ac:dyDescent="0.25">
      <c r="A45957"/>
      <c r="B45957"/>
      <c r="C45957"/>
      <c r="E45957"/>
      <c r="F45957"/>
    </row>
    <row r="45958" spans="1:6" x14ac:dyDescent="0.25">
      <c r="A45958"/>
      <c r="B45958"/>
      <c r="C45958"/>
      <c r="E45958"/>
      <c r="F45958"/>
    </row>
    <row r="45959" spans="1:6" x14ac:dyDescent="0.25">
      <c r="A45959"/>
      <c r="B45959"/>
      <c r="C45959"/>
      <c r="E45959"/>
      <c r="F45959"/>
    </row>
    <row r="45960" spans="1:6" x14ac:dyDescent="0.25">
      <c r="A45960"/>
      <c r="B45960"/>
      <c r="C45960"/>
      <c r="E45960"/>
      <c r="F45960"/>
    </row>
    <row r="45961" spans="1:6" x14ac:dyDescent="0.25">
      <c r="A45961"/>
      <c r="B45961"/>
      <c r="C45961"/>
      <c r="E45961"/>
      <c r="F45961"/>
    </row>
    <row r="45962" spans="1:6" x14ac:dyDescent="0.25">
      <c r="A45962"/>
      <c r="B45962"/>
      <c r="C45962"/>
      <c r="E45962"/>
      <c r="F45962"/>
    </row>
    <row r="45963" spans="1:6" x14ac:dyDescent="0.25">
      <c r="A45963"/>
      <c r="B45963"/>
      <c r="C45963"/>
      <c r="E45963"/>
      <c r="F45963"/>
    </row>
    <row r="45964" spans="1:6" x14ac:dyDescent="0.25">
      <c r="A45964"/>
      <c r="B45964"/>
      <c r="C45964"/>
      <c r="E45964"/>
      <c r="F45964"/>
    </row>
    <row r="45965" spans="1:6" x14ac:dyDescent="0.25">
      <c r="A45965"/>
      <c r="B45965"/>
      <c r="C45965"/>
      <c r="E45965"/>
      <c r="F45965"/>
    </row>
    <row r="45966" spans="1:6" x14ac:dyDescent="0.25">
      <c r="A45966"/>
      <c r="B45966"/>
      <c r="C45966"/>
      <c r="E45966"/>
      <c r="F45966"/>
    </row>
    <row r="45967" spans="1:6" x14ac:dyDescent="0.25">
      <c r="A45967"/>
      <c r="B45967"/>
      <c r="C45967"/>
      <c r="E45967"/>
      <c r="F45967"/>
    </row>
    <row r="45968" spans="1:6" x14ac:dyDescent="0.25">
      <c r="A45968"/>
      <c r="B45968"/>
      <c r="C45968"/>
      <c r="E45968"/>
      <c r="F45968"/>
    </row>
    <row r="45969" spans="1:6" x14ac:dyDescent="0.25">
      <c r="A45969"/>
      <c r="B45969"/>
      <c r="C45969"/>
      <c r="E45969"/>
      <c r="F45969"/>
    </row>
    <row r="45970" spans="1:6" x14ac:dyDescent="0.25">
      <c r="A45970"/>
      <c r="B45970"/>
      <c r="C45970"/>
      <c r="E45970"/>
      <c r="F45970"/>
    </row>
    <row r="45971" spans="1:6" x14ac:dyDescent="0.25">
      <c r="A45971"/>
      <c r="B45971"/>
      <c r="C45971"/>
      <c r="E45971"/>
      <c r="F45971"/>
    </row>
    <row r="45972" spans="1:6" x14ac:dyDescent="0.25">
      <c r="A45972"/>
      <c r="B45972"/>
      <c r="C45972"/>
      <c r="E45972"/>
      <c r="F45972"/>
    </row>
    <row r="45973" spans="1:6" x14ac:dyDescent="0.25">
      <c r="A45973"/>
      <c r="B45973"/>
      <c r="C45973"/>
      <c r="E45973"/>
      <c r="F45973"/>
    </row>
    <row r="45974" spans="1:6" x14ac:dyDescent="0.25">
      <c r="A45974"/>
      <c r="B45974"/>
      <c r="C45974"/>
      <c r="E45974"/>
      <c r="F45974"/>
    </row>
    <row r="45975" spans="1:6" x14ac:dyDescent="0.25">
      <c r="A45975"/>
      <c r="B45975"/>
      <c r="C45975"/>
      <c r="E45975"/>
      <c r="F45975"/>
    </row>
    <row r="45976" spans="1:6" x14ac:dyDescent="0.25">
      <c r="A45976"/>
      <c r="B45976"/>
      <c r="C45976"/>
      <c r="E45976"/>
      <c r="F45976"/>
    </row>
    <row r="45977" spans="1:6" x14ac:dyDescent="0.25">
      <c r="A45977"/>
      <c r="B45977"/>
      <c r="C45977"/>
      <c r="E45977"/>
      <c r="F45977"/>
    </row>
    <row r="45978" spans="1:6" x14ac:dyDescent="0.25">
      <c r="A45978"/>
      <c r="B45978"/>
      <c r="C45978"/>
      <c r="E45978"/>
      <c r="F45978"/>
    </row>
    <row r="45979" spans="1:6" x14ac:dyDescent="0.25">
      <c r="A45979"/>
      <c r="B45979"/>
      <c r="C45979"/>
      <c r="E45979"/>
      <c r="F45979"/>
    </row>
    <row r="45980" spans="1:6" x14ac:dyDescent="0.25">
      <c r="A45980"/>
      <c r="B45980"/>
      <c r="C45980"/>
      <c r="E45980"/>
      <c r="F45980"/>
    </row>
    <row r="45981" spans="1:6" x14ac:dyDescent="0.25">
      <c r="A45981"/>
      <c r="B45981"/>
      <c r="C45981"/>
      <c r="E45981"/>
      <c r="F45981"/>
    </row>
    <row r="45982" spans="1:6" x14ac:dyDescent="0.25">
      <c r="A45982"/>
      <c r="B45982"/>
      <c r="C45982"/>
      <c r="E45982"/>
      <c r="F45982"/>
    </row>
    <row r="45983" spans="1:6" x14ac:dyDescent="0.25">
      <c r="A45983"/>
      <c r="B45983"/>
      <c r="C45983"/>
      <c r="E45983"/>
      <c r="F45983"/>
    </row>
    <row r="45984" spans="1:6" x14ac:dyDescent="0.25">
      <c r="A45984"/>
      <c r="B45984"/>
      <c r="C45984"/>
      <c r="E45984"/>
      <c r="F45984"/>
    </row>
    <row r="45985" spans="1:6" x14ac:dyDescent="0.25">
      <c r="A45985"/>
      <c r="B45985"/>
      <c r="C45985"/>
      <c r="E45985"/>
      <c r="F45985"/>
    </row>
    <row r="45986" spans="1:6" x14ac:dyDescent="0.25">
      <c r="A45986"/>
      <c r="B45986"/>
      <c r="C45986"/>
      <c r="E45986"/>
      <c r="F45986"/>
    </row>
    <row r="45987" spans="1:6" x14ac:dyDescent="0.25">
      <c r="A45987"/>
      <c r="B45987"/>
      <c r="C45987"/>
      <c r="E45987"/>
      <c r="F45987"/>
    </row>
    <row r="45988" spans="1:6" x14ac:dyDescent="0.25">
      <c r="A45988"/>
      <c r="B45988"/>
      <c r="C45988"/>
      <c r="E45988"/>
      <c r="F45988"/>
    </row>
    <row r="45989" spans="1:6" x14ac:dyDescent="0.25">
      <c r="A45989"/>
      <c r="B45989"/>
      <c r="C45989"/>
      <c r="E45989"/>
      <c r="F45989"/>
    </row>
    <row r="45990" spans="1:6" x14ac:dyDescent="0.25">
      <c r="A45990"/>
      <c r="B45990"/>
      <c r="C45990"/>
      <c r="E45990"/>
      <c r="F45990"/>
    </row>
    <row r="45991" spans="1:6" x14ac:dyDescent="0.25">
      <c r="A45991"/>
      <c r="B45991"/>
      <c r="C45991"/>
      <c r="E45991"/>
      <c r="F45991"/>
    </row>
    <row r="45992" spans="1:6" x14ac:dyDescent="0.25">
      <c r="A45992"/>
      <c r="B45992"/>
      <c r="C45992"/>
      <c r="E45992"/>
      <c r="F45992"/>
    </row>
    <row r="45993" spans="1:6" x14ac:dyDescent="0.25">
      <c r="A45993"/>
      <c r="B45993"/>
      <c r="C45993"/>
      <c r="E45993"/>
      <c r="F45993"/>
    </row>
    <row r="45994" spans="1:6" x14ac:dyDescent="0.25">
      <c r="A45994"/>
      <c r="B45994"/>
      <c r="C45994"/>
      <c r="E45994"/>
      <c r="F45994"/>
    </row>
    <row r="45995" spans="1:6" x14ac:dyDescent="0.25">
      <c r="A45995"/>
      <c r="B45995"/>
      <c r="C45995"/>
      <c r="E45995"/>
      <c r="F45995"/>
    </row>
    <row r="45996" spans="1:6" x14ac:dyDescent="0.25">
      <c r="A45996"/>
      <c r="B45996"/>
      <c r="C45996"/>
      <c r="E45996"/>
      <c r="F45996"/>
    </row>
    <row r="45997" spans="1:6" x14ac:dyDescent="0.25">
      <c r="A45997"/>
      <c r="B45997"/>
      <c r="C45997"/>
      <c r="E45997"/>
      <c r="F45997"/>
    </row>
    <row r="45998" spans="1:6" x14ac:dyDescent="0.25">
      <c r="A45998"/>
      <c r="B45998"/>
      <c r="C45998"/>
      <c r="E45998"/>
      <c r="F45998"/>
    </row>
    <row r="45999" spans="1:6" x14ac:dyDescent="0.25">
      <c r="A45999"/>
      <c r="B45999"/>
      <c r="C45999"/>
      <c r="E45999"/>
      <c r="F45999"/>
    </row>
    <row r="46000" spans="1:6" x14ac:dyDescent="0.25">
      <c r="A46000"/>
      <c r="B46000"/>
      <c r="C46000"/>
      <c r="E46000"/>
      <c r="F46000"/>
    </row>
    <row r="46001" spans="1:6" x14ac:dyDescent="0.25">
      <c r="A46001"/>
      <c r="B46001"/>
      <c r="C46001"/>
      <c r="E46001"/>
      <c r="F46001"/>
    </row>
    <row r="46002" spans="1:6" x14ac:dyDescent="0.25">
      <c r="A46002"/>
      <c r="B46002"/>
      <c r="C46002"/>
      <c r="E46002"/>
      <c r="F46002"/>
    </row>
    <row r="46003" spans="1:6" x14ac:dyDescent="0.25">
      <c r="A46003"/>
      <c r="B46003"/>
      <c r="C46003"/>
      <c r="E46003"/>
      <c r="F46003"/>
    </row>
    <row r="46004" spans="1:6" x14ac:dyDescent="0.25">
      <c r="A46004"/>
      <c r="B46004"/>
      <c r="C46004"/>
      <c r="E46004"/>
      <c r="F46004"/>
    </row>
    <row r="46005" spans="1:6" x14ac:dyDescent="0.25">
      <c r="A46005"/>
      <c r="B46005"/>
      <c r="C46005"/>
      <c r="E46005"/>
      <c r="F46005"/>
    </row>
    <row r="46006" spans="1:6" x14ac:dyDescent="0.25">
      <c r="A46006"/>
      <c r="B46006"/>
      <c r="C46006"/>
      <c r="E46006"/>
      <c r="F46006"/>
    </row>
    <row r="46007" spans="1:6" x14ac:dyDescent="0.25">
      <c r="A46007"/>
      <c r="B46007"/>
      <c r="C46007"/>
      <c r="E46007"/>
      <c r="F46007"/>
    </row>
    <row r="46008" spans="1:6" x14ac:dyDescent="0.25">
      <c r="A46008"/>
      <c r="B46008"/>
      <c r="C46008"/>
      <c r="E46008"/>
      <c r="F46008"/>
    </row>
    <row r="46009" spans="1:6" x14ac:dyDescent="0.25">
      <c r="A46009"/>
      <c r="B46009"/>
      <c r="C46009"/>
      <c r="E46009"/>
      <c r="F46009"/>
    </row>
    <row r="46010" spans="1:6" x14ac:dyDescent="0.25">
      <c r="A46010"/>
      <c r="B46010"/>
      <c r="C46010"/>
      <c r="E46010"/>
      <c r="F46010"/>
    </row>
    <row r="46011" spans="1:6" x14ac:dyDescent="0.25">
      <c r="A46011"/>
      <c r="B46011"/>
      <c r="C46011"/>
      <c r="E46011"/>
      <c r="F46011"/>
    </row>
    <row r="46012" spans="1:6" x14ac:dyDescent="0.25">
      <c r="A46012"/>
      <c r="B46012"/>
      <c r="C46012"/>
      <c r="E46012"/>
      <c r="F46012"/>
    </row>
    <row r="46013" spans="1:6" x14ac:dyDescent="0.25">
      <c r="A46013"/>
      <c r="B46013"/>
      <c r="C46013"/>
      <c r="E46013"/>
      <c r="F46013"/>
    </row>
    <row r="46014" spans="1:6" x14ac:dyDescent="0.25">
      <c r="A46014"/>
      <c r="B46014"/>
      <c r="C46014"/>
      <c r="E46014"/>
      <c r="F46014"/>
    </row>
    <row r="46015" spans="1:6" x14ac:dyDescent="0.25">
      <c r="A46015"/>
      <c r="B46015"/>
      <c r="C46015"/>
      <c r="E46015"/>
      <c r="F46015"/>
    </row>
    <row r="46016" spans="1:6" x14ac:dyDescent="0.25">
      <c r="A46016"/>
      <c r="B46016"/>
      <c r="C46016"/>
      <c r="E46016"/>
      <c r="F46016"/>
    </row>
    <row r="46017" spans="1:6" x14ac:dyDescent="0.25">
      <c r="A46017"/>
      <c r="B46017"/>
      <c r="C46017"/>
      <c r="E46017"/>
      <c r="F46017"/>
    </row>
    <row r="46018" spans="1:6" x14ac:dyDescent="0.25">
      <c r="A46018"/>
      <c r="B46018"/>
      <c r="C46018"/>
      <c r="E46018"/>
      <c r="F46018"/>
    </row>
    <row r="46019" spans="1:6" x14ac:dyDescent="0.25">
      <c r="A46019"/>
      <c r="B46019"/>
      <c r="C46019"/>
      <c r="E46019"/>
      <c r="F46019"/>
    </row>
    <row r="46020" spans="1:6" x14ac:dyDescent="0.25">
      <c r="A46020"/>
      <c r="B46020"/>
      <c r="C46020"/>
      <c r="E46020"/>
      <c r="F46020"/>
    </row>
    <row r="46021" spans="1:6" x14ac:dyDescent="0.25">
      <c r="A46021"/>
      <c r="B46021"/>
      <c r="C46021"/>
      <c r="E46021"/>
      <c r="F46021"/>
    </row>
    <row r="46022" spans="1:6" x14ac:dyDescent="0.25">
      <c r="A46022"/>
      <c r="B46022"/>
      <c r="C46022"/>
      <c r="E46022"/>
      <c r="F46022"/>
    </row>
    <row r="46023" spans="1:6" x14ac:dyDescent="0.25">
      <c r="A46023"/>
      <c r="B46023"/>
      <c r="C46023"/>
      <c r="E46023"/>
      <c r="F46023"/>
    </row>
    <row r="46024" spans="1:6" x14ac:dyDescent="0.25">
      <c r="A46024"/>
      <c r="B46024"/>
      <c r="C46024"/>
      <c r="E46024"/>
      <c r="F46024"/>
    </row>
    <row r="46025" spans="1:6" x14ac:dyDescent="0.25">
      <c r="A46025"/>
      <c r="B46025"/>
      <c r="C46025"/>
      <c r="E46025"/>
      <c r="F46025"/>
    </row>
    <row r="46026" spans="1:6" x14ac:dyDescent="0.25">
      <c r="A46026"/>
      <c r="B46026"/>
      <c r="C46026"/>
      <c r="E46026"/>
      <c r="F46026"/>
    </row>
    <row r="46027" spans="1:6" x14ac:dyDescent="0.25">
      <c r="A46027"/>
      <c r="B46027"/>
      <c r="C46027"/>
      <c r="E46027"/>
      <c r="F46027"/>
    </row>
    <row r="46028" spans="1:6" x14ac:dyDescent="0.25">
      <c r="A46028"/>
      <c r="B46028"/>
      <c r="C46028"/>
      <c r="E46028"/>
      <c r="F46028"/>
    </row>
    <row r="46029" spans="1:6" x14ac:dyDescent="0.25">
      <c r="A46029"/>
      <c r="B46029"/>
      <c r="C46029"/>
      <c r="E46029"/>
      <c r="F46029"/>
    </row>
    <row r="46030" spans="1:6" x14ac:dyDescent="0.25">
      <c r="A46030"/>
      <c r="B46030"/>
      <c r="C46030"/>
      <c r="E46030"/>
      <c r="F46030"/>
    </row>
    <row r="46031" spans="1:6" x14ac:dyDescent="0.25">
      <c r="A46031"/>
      <c r="B46031"/>
      <c r="C46031"/>
      <c r="E46031"/>
      <c r="F46031"/>
    </row>
    <row r="46032" spans="1:6" x14ac:dyDescent="0.25">
      <c r="A46032"/>
      <c r="B46032"/>
      <c r="C46032"/>
      <c r="E46032"/>
      <c r="F46032"/>
    </row>
    <row r="46033" spans="1:6" x14ac:dyDescent="0.25">
      <c r="A46033"/>
      <c r="B46033"/>
      <c r="C46033"/>
      <c r="E46033"/>
      <c r="F46033"/>
    </row>
    <row r="46034" spans="1:6" x14ac:dyDescent="0.25">
      <c r="A46034"/>
      <c r="B46034"/>
      <c r="C46034"/>
      <c r="E46034"/>
      <c r="F46034"/>
    </row>
    <row r="46035" spans="1:6" x14ac:dyDescent="0.25">
      <c r="A46035"/>
      <c r="B46035"/>
      <c r="C46035"/>
      <c r="E46035"/>
      <c r="F46035"/>
    </row>
    <row r="46036" spans="1:6" x14ac:dyDescent="0.25">
      <c r="A46036"/>
      <c r="B46036"/>
      <c r="C46036"/>
      <c r="E46036"/>
      <c r="F46036"/>
    </row>
    <row r="46037" spans="1:6" x14ac:dyDescent="0.25">
      <c r="A46037"/>
      <c r="B46037"/>
      <c r="C46037"/>
      <c r="E46037"/>
      <c r="F46037"/>
    </row>
    <row r="46038" spans="1:6" x14ac:dyDescent="0.25">
      <c r="A46038"/>
      <c r="B46038"/>
      <c r="C46038"/>
      <c r="E46038"/>
      <c r="F46038"/>
    </row>
    <row r="46039" spans="1:6" x14ac:dyDescent="0.25">
      <c r="A46039"/>
      <c r="B46039"/>
      <c r="C46039"/>
      <c r="E46039"/>
      <c r="F46039"/>
    </row>
    <row r="46040" spans="1:6" x14ac:dyDescent="0.25">
      <c r="A46040"/>
      <c r="B46040"/>
      <c r="C46040"/>
      <c r="E46040"/>
      <c r="F46040"/>
    </row>
    <row r="46041" spans="1:6" x14ac:dyDescent="0.25">
      <c r="A46041"/>
      <c r="B46041"/>
      <c r="C46041"/>
      <c r="E46041"/>
      <c r="F46041"/>
    </row>
    <row r="46042" spans="1:6" x14ac:dyDescent="0.25">
      <c r="A46042"/>
      <c r="B46042"/>
      <c r="C46042"/>
      <c r="E46042"/>
      <c r="F46042"/>
    </row>
    <row r="46043" spans="1:6" x14ac:dyDescent="0.25">
      <c r="A46043"/>
      <c r="B46043"/>
      <c r="C46043"/>
      <c r="E46043"/>
      <c r="F46043"/>
    </row>
    <row r="46044" spans="1:6" x14ac:dyDescent="0.25">
      <c r="A46044"/>
      <c r="B46044"/>
      <c r="C46044"/>
      <c r="E46044"/>
      <c r="F46044"/>
    </row>
    <row r="46045" spans="1:6" x14ac:dyDescent="0.25">
      <c r="A46045"/>
      <c r="B46045"/>
      <c r="C46045"/>
      <c r="E46045"/>
      <c r="F46045"/>
    </row>
    <row r="46046" spans="1:6" x14ac:dyDescent="0.25">
      <c r="A46046"/>
      <c r="B46046"/>
      <c r="C46046"/>
      <c r="E46046"/>
      <c r="F46046"/>
    </row>
    <row r="46047" spans="1:6" x14ac:dyDescent="0.25">
      <c r="A46047"/>
      <c r="B46047"/>
      <c r="C46047"/>
      <c r="E46047"/>
      <c r="F46047"/>
    </row>
    <row r="46048" spans="1:6" x14ac:dyDescent="0.25">
      <c r="A46048"/>
      <c r="B46048"/>
      <c r="C46048"/>
      <c r="E46048"/>
      <c r="F46048"/>
    </row>
    <row r="46049" spans="1:6" x14ac:dyDescent="0.25">
      <c r="A46049"/>
      <c r="B46049"/>
      <c r="C46049"/>
      <c r="E46049"/>
      <c r="F46049"/>
    </row>
    <row r="46050" spans="1:6" x14ac:dyDescent="0.25">
      <c r="A46050"/>
      <c r="B46050"/>
      <c r="C46050"/>
      <c r="E46050"/>
      <c r="F46050"/>
    </row>
    <row r="46051" spans="1:6" x14ac:dyDescent="0.25">
      <c r="A46051"/>
      <c r="B46051"/>
      <c r="C46051"/>
      <c r="E46051"/>
      <c r="F46051"/>
    </row>
    <row r="46052" spans="1:6" x14ac:dyDescent="0.25">
      <c r="A46052"/>
      <c r="B46052"/>
      <c r="C46052"/>
      <c r="E46052"/>
      <c r="F46052"/>
    </row>
    <row r="46053" spans="1:6" x14ac:dyDescent="0.25">
      <c r="A46053"/>
      <c r="B46053"/>
      <c r="C46053"/>
      <c r="E46053"/>
      <c r="F46053"/>
    </row>
    <row r="46054" spans="1:6" x14ac:dyDescent="0.25">
      <c r="A46054"/>
      <c r="B46054"/>
      <c r="C46054"/>
      <c r="E46054"/>
      <c r="F46054"/>
    </row>
    <row r="46055" spans="1:6" x14ac:dyDescent="0.25">
      <c r="A46055"/>
      <c r="B46055"/>
      <c r="C46055"/>
      <c r="E46055"/>
      <c r="F46055"/>
    </row>
    <row r="46056" spans="1:6" x14ac:dyDescent="0.25">
      <c r="A46056"/>
      <c r="B46056"/>
      <c r="C46056"/>
      <c r="E46056"/>
      <c r="F46056"/>
    </row>
    <row r="46057" spans="1:6" x14ac:dyDescent="0.25">
      <c r="A46057"/>
      <c r="B46057"/>
      <c r="C46057"/>
      <c r="E46057"/>
      <c r="F46057"/>
    </row>
    <row r="46058" spans="1:6" x14ac:dyDescent="0.25">
      <c r="A46058"/>
      <c r="B46058"/>
      <c r="C46058"/>
      <c r="E46058"/>
      <c r="F46058"/>
    </row>
    <row r="46059" spans="1:6" x14ac:dyDescent="0.25">
      <c r="A46059"/>
      <c r="B46059"/>
      <c r="C46059"/>
      <c r="E46059"/>
      <c r="F46059"/>
    </row>
    <row r="46060" spans="1:6" x14ac:dyDescent="0.25">
      <c r="A46060"/>
      <c r="B46060"/>
      <c r="C46060"/>
      <c r="E46060"/>
      <c r="F46060"/>
    </row>
    <row r="46061" spans="1:6" x14ac:dyDescent="0.25">
      <c r="A46061"/>
      <c r="B46061"/>
      <c r="C46061"/>
      <c r="E46061"/>
      <c r="F46061"/>
    </row>
    <row r="46062" spans="1:6" x14ac:dyDescent="0.25">
      <c r="A46062"/>
      <c r="B46062"/>
      <c r="C46062"/>
      <c r="E46062"/>
      <c r="F46062"/>
    </row>
    <row r="46063" spans="1:6" x14ac:dyDescent="0.25">
      <c r="A46063"/>
      <c r="B46063"/>
      <c r="C46063"/>
      <c r="E46063"/>
      <c r="F46063"/>
    </row>
    <row r="46064" spans="1:6" x14ac:dyDescent="0.25">
      <c r="A46064"/>
      <c r="B46064"/>
      <c r="C46064"/>
      <c r="E46064"/>
      <c r="F46064"/>
    </row>
    <row r="46065" spans="1:6" x14ac:dyDescent="0.25">
      <c r="A46065"/>
      <c r="B46065"/>
      <c r="C46065"/>
      <c r="E46065"/>
      <c r="F46065"/>
    </row>
    <row r="46066" spans="1:6" x14ac:dyDescent="0.25">
      <c r="A46066"/>
      <c r="B46066"/>
      <c r="C46066"/>
      <c r="E46066"/>
      <c r="F46066"/>
    </row>
    <row r="46067" spans="1:6" x14ac:dyDescent="0.25">
      <c r="A46067"/>
      <c r="B46067"/>
      <c r="C46067"/>
      <c r="E46067"/>
      <c r="F46067"/>
    </row>
    <row r="46068" spans="1:6" x14ac:dyDescent="0.25">
      <c r="A46068"/>
      <c r="B46068"/>
      <c r="C46068"/>
      <c r="E46068"/>
      <c r="F46068"/>
    </row>
    <row r="46069" spans="1:6" x14ac:dyDescent="0.25">
      <c r="A46069"/>
      <c r="B46069"/>
      <c r="C46069"/>
      <c r="E46069"/>
      <c r="F46069"/>
    </row>
    <row r="46070" spans="1:6" x14ac:dyDescent="0.25">
      <c r="A46070"/>
      <c r="B46070"/>
      <c r="C46070"/>
      <c r="E46070"/>
      <c r="F46070"/>
    </row>
    <row r="46071" spans="1:6" x14ac:dyDescent="0.25">
      <c r="A46071"/>
      <c r="B46071"/>
      <c r="C46071"/>
      <c r="E46071"/>
      <c r="F46071"/>
    </row>
    <row r="46072" spans="1:6" x14ac:dyDescent="0.25">
      <c r="A46072"/>
      <c r="B46072"/>
      <c r="C46072"/>
      <c r="E46072"/>
      <c r="F46072"/>
    </row>
    <row r="46073" spans="1:6" x14ac:dyDescent="0.25">
      <c r="A46073"/>
      <c r="B46073"/>
      <c r="C46073"/>
      <c r="E46073"/>
      <c r="F46073"/>
    </row>
    <row r="46074" spans="1:6" x14ac:dyDescent="0.25">
      <c r="A46074"/>
      <c r="B46074"/>
      <c r="C46074"/>
      <c r="E46074"/>
      <c r="F46074"/>
    </row>
    <row r="46075" spans="1:6" x14ac:dyDescent="0.25">
      <c r="A46075"/>
      <c r="B46075"/>
      <c r="C46075"/>
      <c r="E46075"/>
      <c r="F46075"/>
    </row>
    <row r="46076" spans="1:6" x14ac:dyDescent="0.25">
      <c r="A46076"/>
      <c r="B46076"/>
      <c r="C46076"/>
      <c r="E46076"/>
      <c r="F46076"/>
    </row>
    <row r="46077" spans="1:6" x14ac:dyDescent="0.25">
      <c r="A46077"/>
      <c r="B46077"/>
      <c r="C46077"/>
      <c r="E46077"/>
      <c r="F46077"/>
    </row>
    <row r="46078" spans="1:6" x14ac:dyDescent="0.25">
      <c r="A46078"/>
      <c r="B46078"/>
      <c r="C46078"/>
      <c r="E46078"/>
      <c r="F46078"/>
    </row>
    <row r="46079" spans="1:6" x14ac:dyDescent="0.25">
      <c r="A46079"/>
      <c r="B46079"/>
      <c r="C46079"/>
      <c r="E46079"/>
      <c r="F46079"/>
    </row>
    <row r="46080" spans="1:6" x14ac:dyDescent="0.25">
      <c r="A46080"/>
      <c r="B46080"/>
      <c r="C46080"/>
      <c r="E46080"/>
      <c r="F46080"/>
    </row>
    <row r="46081" spans="1:6" x14ac:dyDescent="0.25">
      <c r="A46081"/>
      <c r="B46081"/>
      <c r="C46081"/>
      <c r="E46081"/>
      <c r="F46081"/>
    </row>
    <row r="46082" spans="1:6" x14ac:dyDescent="0.25">
      <c r="A46082"/>
      <c r="B46082"/>
      <c r="C46082"/>
      <c r="E46082"/>
      <c r="F46082"/>
    </row>
    <row r="46083" spans="1:6" x14ac:dyDescent="0.25">
      <c r="A46083"/>
      <c r="B46083"/>
      <c r="C46083"/>
      <c r="E46083"/>
      <c r="F46083"/>
    </row>
    <row r="46084" spans="1:6" x14ac:dyDescent="0.25">
      <c r="A46084"/>
      <c r="B46084"/>
      <c r="C46084"/>
      <c r="E46084"/>
      <c r="F46084"/>
    </row>
    <row r="46085" spans="1:6" x14ac:dyDescent="0.25">
      <c r="A46085"/>
      <c r="B46085"/>
      <c r="C46085"/>
      <c r="E46085"/>
      <c r="F46085"/>
    </row>
    <row r="46086" spans="1:6" x14ac:dyDescent="0.25">
      <c r="A46086"/>
      <c r="B46086"/>
      <c r="C46086"/>
      <c r="E46086"/>
      <c r="F46086"/>
    </row>
    <row r="46087" spans="1:6" x14ac:dyDescent="0.25">
      <c r="A46087"/>
      <c r="B46087"/>
      <c r="C46087"/>
      <c r="E46087"/>
      <c r="F46087"/>
    </row>
    <row r="46088" spans="1:6" x14ac:dyDescent="0.25">
      <c r="A46088"/>
      <c r="B46088"/>
      <c r="C46088"/>
      <c r="E46088"/>
      <c r="F46088"/>
    </row>
    <row r="46089" spans="1:6" x14ac:dyDescent="0.25">
      <c r="A46089"/>
      <c r="B46089"/>
      <c r="C46089"/>
      <c r="E46089"/>
      <c r="F46089"/>
    </row>
    <row r="46090" spans="1:6" x14ac:dyDescent="0.25">
      <c r="A46090"/>
      <c r="B46090"/>
      <c r="C46090"/>
      <c r="E46090"/>
      <c r="F46090"/>
    </row>
    <row r="46091" spans="1:6" x14ac:dyDescent="0.25">
      <c r="A46091"/>
      <c r="B46091"/>
      <c r="C46091"/>
      <c r="E46091"/>
      <c r="F46091"/>
    </row>
    <row r="46092" spans="1:6" x14ac:dyDescent="0.25">
      <c r="A46092"/>
      <c r="B46092"/>
      <c r="C46092"/>
      <c r="E46092"/>
      <c r="F46092"/>
    </row>
    <row r="46093" spans="1:6" x14ac:dyDescent="0.25">
      <c r="A46093"/>
      <c r="B46093"/>
      <c r="C46093"/>
      <c r="E46093"/>
      <c r="F46093"/>
    </row>
    <row r="46094" spans="1:6" x14ac:dyDescent="0.25">
      <c r="A46094"/>
      <c r="B46094"/>
      <c r="C46094"/>
      <c r="E46094"/>
      <c r="F46094"/>
    </row>
    <row r="46095" spans="1:6" x14ac:dyDescent="0.25">
      <c r="A46095"/>
      <c r="B46095"/>
      <c r="C46095"/>
      <c r="E46095"/>
      <c r="F46095"/>
    </row>
    <row r="46096" spans="1:6" x14ac:dyDescent="0.25">
      <c r="A46096"/>
      <c r="B46096"/>
      <c r="C46096"/>
      <c r="E46096"/>
      <c r="F46096"/>
    </row>
    <row r="46097" spans="1:6" x14ac:dyDescent="0.25">
      <c r="A46097"/>
      <c r="B46097"/>
      <c r="C46097"/>
      <c r="E46097"/>
      <c r="F46097"/>
    </row>
    <row r="46098" spans="1:6" x14ac:dyDescent="0.25">
      <c r="A46098"/>
      <c r="B46098"/>
      <c r="C46098"/>
      <c r="E46098"/>
      <c r="F46098"/>
    </row>
    <row r="46099" spans="1:6" x14ac:dyDescent="0.25">
      <c r="A46099"/>
      <c r="B46099"/>
      <c r="C46099"/>
      <c r="E46099"/>
      <c r="F46099"/>
    </row>
    <row r="46100" spans="1:6" x14ac:dyDescent="0.25">
      <c r="A46100"/>
      <c r="B46100"/>
      <c r="C46100"/>
      <c r="E46100"/>
      <c r="F46100"/>
    </row>
    <row r="46101" spans="1:6" x14ac:dyDescent="0.25">
      <c r="A46101"/>
      <c r="B46101"/>
      <c r="C46101"/>
      <c r="E46101"/>
      <c r="F46101"/>
    </row>
    <row r="46102" spans="1:6" x14ac:dyDescent="0.25">
      <c r="A46102"/>
      <c r="B46102"/>
      <c r="C46102"/>
      <c r="E46102"/>
      <c r="F46102"/>
    </row>
    <row r="46103" spans="1:6" x14ac:dyDescent="0.25">
      <c r="A46103"/>
      <c r="B46103"/>
      <c r="C46103"/>
      <c r="E46103"/>
      <c r="F46103"/>
    </row>
    <row r="46104" spans="1:6" x14ac:dyDescent="0.25">
      <c r="A46104"/>
      <c r="B46104"/>
      <c r="C46104"/>
      <c r="E46104"/>
      <c r="F46104"/>
    </row>
    <row r="46105" spans="1:6" x14ac:dyDescent="0.25">
      <c r="A46105"/>
      <c r="B46105"/>
      <c r="C46105"/>
      <c r="E46105"/>
      <c r="F46105"/>
    </row>
    <row r="46106" spans="1:6" x14ac:dyDescent="0.25">
      <c r="A46106"/>
      <c r="B46106"/>
      <c r="C46106"/>
      <c r="E46106"/>
      <c r="F46106"/>
    </row>
    <row r="46107" spans="1:6" x14ac:dyDescent="0.25">
      <c r="A46107"/>
      <c r="B46107"/>
      <c r="C46107"/>
      <c r="E46107"/>
      <c r="F46107"/>
    </row>
    <row r="46108" spans="1:6" x14ac:dyDescent="0.25">
      <c r="A46108"/>
      <c r="B46108"/>
      <c r="C46108"/>
      <c r="E46108"/>
      <c r="F46108"/>
    </row>
    <row r="46109" spans="1:6" x14ac:dyDescent="0.25">
      <c r="A46109"/>
      <c r="B46109"/>
      <c r="C46109"/>
      <c r="E46109"/>
      <c r="F46109"/>
    </row>
    <row r="46110" spans="1:6" x14ac:dyDescent="0.25">
      <c r="A46110"/>
      <c r="B46110"/>
      <c r="C46110"/>
      <c r="E46110"/>
      <c r="F46110"/>
    </row>
    <row r="46111" spans="1:6" x14ac:dyDescent="0.25">
      <c r="A46111"/>
      <c r="B46111"/>
      <c r="C46111"/>
      <c r="E46111"/>
      <c r="F46111"/>
    </row>
    <row r="46112" spans="1:6" x14ac:dyDescent="0.25">
      <c r="A46112"/>
      <c r="B46112"/>
      <c r="C46112"/>
      <c r="E46112"/>
      <c r="F46112"/>
    </row>
    <row r="46113" spans="1:6" x14ac:dyDescent="0.25">
      <c r="A46113"/>
      <c r="B46113"/>
      <c r="C46113"/>
      <c r="E46113"/>
      <c r="F46113"/>
    </row>
    <row r="46114" spans="1:6" x14ac:dyDescent="0.25">
      <c r="A46114"/>
      <c r="B46114"/>
      <c r="C46114"/>
      <c r="E46114"/>
      <c r="F46114"/>
    </row>
    <row r="46115" spans="1:6" x14ac:dyDescent="0.25">
      <c r="A46115"/>
      <c r="B46115"/>
      <c r="C46115"/>
      <c r="E46115"/>
      <c r="F46115"/>
    </row>
    <row r="46116" spans="1:6" x14ac:dyDescent="0.25">
      <c r="A46116"/>
      <c r="B46116"/>
      <c r="C46116"/>
      <c r="E46116"/>
      <c r="F46116"/>
    </row>
    <row r="46117" spans="1:6" x14ac:dyDescent="0.25">
      <c r="A46117"/>
      <c r="B46117"/>
      <c r="C46117"/>
      <c r="E46117"/>
      <c r="F46117"/>
    </row>
    <row r="46118" spans="1:6" x14ac:dyDescent="0.25">
      <c r="A46118"/>
      <c r="B46118"/>
      <c r="C46118"/>
      <c r="E46118"/>
      <c r="F46118"/>
    </row>
    <row r="46119" spans="1:6" x14ac:dyDescent="0.25">
      <c r="A46119"/>
      <c r="B46119"/>
      <c r="C46119"/>
      <c r="E46119"/>
      <c r="F46119"/>
    </row>
    <row r="46120" spans="1:6" x14ac:dyDescent="0.25">
      <c r="A46120"/>
      <c r="B46120"/>
      <c r="C46120"/>
      <c r="E46120"/>
      <c r="F46120"/>
    </row>
    <row r="46121" spans="1:6" x14ac:dyDescent="0.25">
      <c r="A46121"/>
      <c r="B46121"/>
      <c r="C46121"/>
      <c r="E46121"/>
      <c r="F46121"/>
    </row>
    <row r="46122" spans="1:6" x14ac:dyDescent="0.25">
      <c r="A46122"/>
      <c r="B46122"/>
      <c r="C46122"/>
      <c r="E46122"/>
      <c r="F46122"/>
    </row>
    <row r="46123" spans="1:6" x14ac:dyDescent="0.25">
      <c r="A46123"/>
      <c r="B46123"/>
      <c r="C46123"/>
      <c r="E46123"/>
      <c r="F46123"/>
    </row>
    <row r="46124" spans="1:6" x14ac:dyDescent="0.25">
      <c r="A46124"/>
      <c r="B46124"/>
      <c r="C46124"/>
      <c r="E46124"/>
      <c r="F46124"/>
    </row>
    <row r="46125" spans="1:6" x14ac:dyDescent="0.25">
      <c r="A46125"/>
      <c r="B46125"/>
      <c r="C46125"/>
      <c r="E46125"/>
      <c r="F46125"/>
    </row>
    <row r="46126" spans="1:6" x14ac:dyDescent="0.25">
      <c r="A46126"/>
      <c r="B46126"/>
      <c r="C46126"/>
      <c r="E46126"/>
      <c r="F46126"/>
    </row>
    <row r="46127" spans="1:6" x14ac:dyDescent="0.25">
      <c r="A46127"/>
      <c r="B46127"/>
      <c r="C46127"/>
      <c r="E46127"/>
      <c r="F46127"/>
    </row>
    <row r="46128" spans="1:6" x14ac:dyDescent="0.25">
      <c r="A46128"/>
      <c r="B46128"/>
      <c r="C46128"/>
      <c r="E46128"/>
      <c r="F46128"/>
    </row>
    <row r="46129" spans="1:6" x14ac:dyDescent="0.25">
      <c r="A46129"/>
      <c r="B46129"/>
      <c r="C46129"/>
      <c r="E46129"/>
      <c r="F46129"/>
    </row>
    <row r="46130" spans="1:6" x14ac:dyDescent="0.25">
      <c r="A46130"/>
      <c r="B46130"/>
      <c r="C46130"/>
      <c r="E46130"/>
      <c r="F46130"/>
    </row>
    <row r="46131" spans="1:6" x14ac:dyDescent="0.25">
      <c r="A46131"/>
      <c r="B46131"/>
      <c r="C46131"/>
      <c r="E46131"/>
      <c r="F46131"/>
    </row>
    <row r="46132" spans="1:6" x14ac:dyDescent="0.25">
      <c r="A46132"/>
      <c r="B46132"/>
      <c r="C46132"/>
      <c r="E46132"/>
      <c r="F46132"/>
    </row>
    <row r="46133" spans="1:6" x14ac:dyDescent="0.25">
      <c r="A46133"/>
      <c r="B46133"/>
      <c r="C46133"/>
      <c r="E46133"/>
      <c r="F46133"/>
    </row>
    <row r="46134" spans="1:6" x14ac:dyDescent="0.25">
      <c r="A46134"/>
      <c r="B46134"/>
      <c r="C46134"/>
      <c r="E46134"/>
      <c r="F46134"/>
    </row>
    <row r="46135" spans="1:6" x14ac:dyDescent="0.25">
      <c r="A46135"/>
      <c r="B46135"/>
      <c r="C46135"/>
      <c r="E46135"/>
      <c r="F46135"/>
    </row>
    <row r="46136" spans="1:6" x14ac:dyDescent="0.25">
      <c r="A46136"/>
      <c r="B46136"/>
      <c r="C46136"/>
      <c r="E46136"/>
      <c r="F46136"/>
    </row>
    <row r="46137" spans="1:6" x14ac:dyDescent="0.25">
      <c r="A46137"/>
      <c r="B46137"/>
      <c r="C46137"/>
      <c r="E46137"/>
      <c r="F46137"/>
    </row>
    <row r="46138" spans="1:6" x14ac:dyDescent="0.25">
      <c r="A46138"/>
      <c r="B46138"/>
      <c r="C46138"/>
      <c r="E46138"/>
      <c r="F46138"/>
    </row>
    <row r="46139" spans="1:6" x14ac:dyDescent="0.25">
      <c r="A46139"/>
      <c r="B46139"/>
      <c r="C46139"/>
      <c r="E46139"/>
      <c r="F46139"/>
    </row>
    <row r="46140" spans="1:6" x14ac:dyDescent="0.25">
      <c r="A46140"/>
      <c r="B46140"/>
      <c r="C46140"/>
      <c r="E46140"/>
      <c r="F46140"/>
    </row>
    <row r="46141" spans="1:6" x14ac:dyDescent="0.25">
      <c r="A46141"/>
      <c r="B46141"/>
      <c r="C46141"/>
      <c r="E46141"/>
      <c r="F46141"/>
    </row>
    <row r="46142" spans="1:6" x14ac:dyDescent="0.25">
      <c r="A46142"/>
      <c r="B46142"/>
      <c r="C46142"/>
      <c r="E46142"/>
      <c r="F46142"/>
    </row>
    <row r="46143" spans="1:6" x14ac:dyDescent="0.25">
      <c r="A46143"/>
      <c r="B46143"/>
      <c r="C46143"/>
      <c r="E46143"/>
      <c r="F46143"/>
    </row>
    <row r="46144" spans="1:6" x14ac:dyDescent="0.25">
      <c r="A46144"/>
      <c r="B46144"/>
      <c r="C46144"/>
      <c r="E46144"/>
      <c r="F46144"/>
    </row>
    <row r="46145" spans="1:6" x14ac:dyDescent="0.25">
      <c r="A46145"/>
      <c r="B46145"/>
      <c r="C46145"/>
      <c r="E46145"/>
      <c r="F46145"/>
    </row>
    <row r="46146" spans="1:6" x14ac:dyDescent="0.25">
      <c r="A46146"/>
      <c r="B46146"/>
      <c r="C46146"/>
      <c r="E46146"/>
      <c r="F46146"/>
    </row>
    <row r="46147" spans="1:6" x14ac:dyDescent="0.25">
      <c r="A46147"/>
      <c r="B46147"/>
      <c r="C46147"/>
      <c r="E46147"/>
      <c r="F46147"/>
    </row>
    <row r="46148" spans="1:6" x14ac:dyDescent="0.25">
      <c r="A46148"/>
      <c r="B46148"/>
      <c r="C46148"/>
      <c r="E46148"/>
      <c r="F46148"/>
    </row>
    <row r="46149" spans="1:6" x14ac:dyDescent="0.25">
      <c r="A46149"/>
      <c r="B46149"/>
      <c r="C46149"/>
      <c r="E46149"/>
      <c r="F46149"/>
    </row>
    <row r="46150" spans="1:6" x14ac:dyDescent="0.25">
      <c r="A46150"/>
      <c r="B46150"/>
      <c r="C46150"/>
      <c r="E46150"/>
      <c r="F46150"/>
    </row>
    <row r="46151" spans="1:6" x14ac:dyDescent="0.25">
      <c r="A46151"/>
      <c r="B46151"/>
      <c r="C46151"/>
      <c r="E46151"/>
      <c r="F46151"/>
    </row>
    <row r="46152" spans="1:6" x14ac:dyDescent="0.25">
      <c r="A46152"/>
      <c r="B46152"/>
      <c r="C46152"/>
      <c r="E46152"/>
      <c r="F46152"/>
    </row>
    <row r="46153" spans="1:6" x14ac:dyDescent="0.25">
      <c r="A46153"/>
      <c r="B46153"/>
      <c r="C46153"/>
      <c r="E46153"/>
      <c r="F46153"/>
    </row>
    <row r="46154" spans="1:6" x14ac:dyDescent="0.25">
      <c r="A46154"/>
      <c r="B46154"/>
      <c r="C46154"/>
      <c r="E46154"/>
      <c r="F46154"/>
    </row>
    <row r="46155" spans="1:6" x14ac:dyDescent="0.25">
      <c r="A46155"/>
      <c r="B46155"/>
      <c r="C46155"/>
      <c r="E46155"/>
      <c r="F46155"/>
    </row>
    <row r="46156" spans="1:6" x14ac:dyDescent="0.25">
      <c r="A46156"/>
      <c r="B46156"/>
      <c r="C46156"/>
      <c r="E46156"/>
      <c r="F46156"/>
    </row>
    <row r="46157" spans="1:6" x14ac:dyDescent="0.25">
      <c r="A46157"/>
      <c r="B46157"/>
      <c r="C46157"/>
      <c r="E46157"/>
      <c r="F46157"/>
    </row>
    <row r="46158" spans="1:6" x14ac:dyDescent="0.25">
      <c r="A46158"/>
      <c r="B46158"/>
      <c r="C46158"/>
      <c r="E46158"/>
      <c r="F46158"/>
    </row>
    <row r="46159" spans="1:6" x14ac:dyDescent="0.25">
      <c r="A46159"/>
      <c r="B46159"/>
      <c r="C46159"/>
      <c r="E46159"/>
      <c r="F46159"/>
    </row>
    <row r="46160" spans="1:6" x14ac:dyDescent="0.25">
      <c r="A46160"/>
      <c r="B46160"/>
      <c r="C46160"/>
      <c r="E46160"/>
      <c r="F46160"/>
    </row>
    <row r="46161" spans="1:6" x14ac:dyDescent="0.25">
      <c r="A46161"/>
      <c r="B46161"/>
      <c r="C46161"/>
      <c r="E46161"/>
      <c r="F46161"/>
    </row>
    <row r="46162" spans="1:6" x14ac:dyDescent="0.25">
      <c r="A46162"/>
      <c r="B46162"/>
      <c r="C46162"/>
      <c r="E46162"/>
      <c r="F46162"/>
    </row>
    <row r="46163" spans="1:6" x14ac:dyDescent="0.25">
      <c r="A46163"/>
      <c r="B46163"/>
      <c r="C46163"/>
      <c r="E46163"/>
      <c r="F46163"/>
    </row>
    <row r="46164" spans="1:6" x14ac:dyDescent="0.25">
      <c r="A46164"/>
      <c r="B46164"/>
      <c r="C46164"/>
      <c r="E46164"/>
      <c r="F46164"/>
    </row>
    <row r="46165" spans="1:6" x14ac:dyDescent="0.25">
      <c r="A46165"/>
      <c r="B46165"/>
      <c r="C46165"/>
      <c r="E46165"/>
      <c r="F46165"/>
    </row>
    <row r="46166" spans="1:6" x14ac:dyDescent="0.25">
      <c r="A46166"/>
      <c r="B46166"/>
      <c r="C46166"/>
      <c r="E46166"/>
      <c r="F46166"/>
    </row>
    <row r="46167" spans="1:6" x14ac:dyDescent="0.25">
      <c r="A46167"/>
      <c r="B46167"/>
      <c r="C46167"/>
      <c r="E46167"/>
      <c r="F46167"/>
    </row>
    <row r="46168" spans="1:6" x14ac:dyDescent="0.25">
      <c r="A46168"/>
      <c r="B46168"/>
      <c r="C46168"/>
      <c r="E46168"/>
      <c r="F46168"/>
    </row>
    <row r="46169" spans="1:6" x14ac:dyDescent="0.25">
      <c r="A46169"/>
      <c r="B46169"/>
      <c r="C46169"/>
      <c r="E46169"/>
      <c r="F46169"/>
    </row>
    <row r="46170" spans="1:6" x14ac:dyDescent="0.25">
      <c r="A46170"/>
      <c r="B46170"/>
      <c r="C46170"/>
      <c r="E46170"/>
      <c r="F46170"/>
    </row>
    <row r="46171" spans="1:6" x14ac:dyDescent="0.25">
      <c r="A46171"/>
      <c r="B46171"/>
      <c r="C46171"/>
      <c r="E46171"/>
      <c r="F46171"/>
    </row>
    <row r="46172" spans="1:6" x14ac:dyDescent="0.25">
      <c r="A46172"/>
      <c r="B46172"/>
      <c r="C46172"/>
      <c r="E46172"/>
      <c r="F46172"/>
    </row>
    <row r="46173" spans="1:6" x14ac:dyDescent="0.25">
      <c r="A46173"/>
      <c r="B46173"/>
      <c r="C46173"/>
      <c r="E46173"/>
      <c r="F46173"/>
    </row>
    <row r="46174" spans="1:6" x14ac:dyDescent="0.25">
      <c r="A46174"/>
      <c r="B46174"/>
      <c r="C46174"/>
      <c r="E46174"/>
      <c r="F46174"/>
    </row>
    <row r="46175" spans="1:6" x14ac:dyDescent="0.25">
      <c r="A46175"/>
      <c r="B46175"/>
      <c r="C46175"/>
      <c r="E46175"/>
      <c r="F46175"/>
    </row>
    <row r="46176" spans="1:6" x14ac:dyDescent="0.25">
      <c r="A46176"/>
      <c r="B46176"/>
      <c r="C46176"/>
      <c r="E46176"/>
      <c r="F46176"/>
    </row>
    <row r="46177" spans="1:6" x14ac:dyDescent="0.25">
      <c r="A46177"/>
      <c r="B46177"/>
      <c r="C46177"/>
      <c r="E46177"/>
      <c r="F46177"/>
    </row>
    <row r="46178" spans="1:6" x14ac:dyDescent="0.25">
      <c r="A46178"/>
      <c r="B46178"/>
      <c r="C46178"/>
      <c r="E46178"/>
      <c r="F46178"/>
    </row>
    <row r="46179" spans="1:6" x14ac:dyDescent="0.25">
      <c r="A46179"/>
      <c r="B46179"/>
      <c r="C46179"/>
      <c r="E46179"/>
      <c r="F46179"/>
    </row>
    <row r="46180" spans="1:6" x14ac:dyDescent="0.25">
      <c r="A46180"/>
      <c r="B46180"/>
      <c r="C46180"/>
      <c r="E46180"/>
      <c r="F46180"/>
    </row>
    <row r="46181" spans="1:6" x14ac:dyDescent="0.25">
      <c r="A46181"/>
      <c r="B46181"/>
      <c r="C46181"/>
      <c r="E46181"/>
      <c r="F46181"/>
    </row>
    <row r="46182" spans="1:6" x14ac:dyDescent="0.25">
      <c r="A46182"/>
      <c r="B46182"/>
      <c r="C46182"/>
      <c r="E46182"/>
      <c r="F46182"/>
    </row>
    <row r="46183" spans="1:6" x14ac:dyDescent="0.25">
      <c r="A46183"/>
      <c r="B46183"/>
      <c r="C46183"/>
      <c r="E46183"/>
      <c r="F46183"/>
    </row>
    <row r="46184" spans="1:6" x14ac:dyDescent="0.25">
      <c r="A46184"/>
      <c r="B46184"/>
      <c r="C46184"/>
      <c r="E46184"/>
      <c r="F46184"/>
    </row>
    <row r="46185" spans="1:6" x14ac:dyDescent="0.25">
      <c r="A46185"/>
      <c r="B46185"/>
      <c r="C46185"/>
      <c r="E46185"/>
      <c r="F46185"/>
    </row>
    <row r="46186" spans="1:6" x14ac:dyDescent="0.25">
      <c r="A46186"/>
      <c r="B46186"/>
      <c r="C46186"/>
      <c r="E46186"/>
      <c r="F46186"/>
    </row>
    <row r="46187" spans="1:6" x14ac:dyDescent="0.25">
      <c r="A46187"/>
      <c r="B46187"/>
      <c r="C46187"/>
      <c r="E46187"/>
      <c r="F46187"/>
    </row>
    <row r="46188" spans="1:6" x14ac:dyDescent="0.25">
      <c r="A46188"/>
      <c r="B46188"/>
      <c r="C46188"/>
      <c r="E46188"/>
      <c r="F46188"/>
    </row>
    <row r="46189" spans="1:6" x14ac:dyDescent="0.25">
      <c r="A46189"/>
      <c r="B46189"/>
      <c r="C46189"/>
      <c r="E46189"/>
      <c r="F46189"/>
    </row>
    <row r="46190" spans="1:6" x14ac:dyDescent="0.25">
      <c r="A46190"/>
      <c r="B46190"/>
      <c r="C46190"/>
      <c r="E46190"/>
      <c r="F46190"/>
    </row>
    <row r="46191" spans="1:6" x14ac:dyDescent="0.25">
      <c r="A46191"/>
      <c r="B46191"/>
      <c r="C46191"/>
      <c r="E46191"/>
      <c r="F46191"/>
    </row>
    <row r="46192" spans="1:6" x14ac:dyDescent="0.25">
      <c r="A46192"/>
      <c r="B46192"/>
      <c r="C46192"/>
      <c r="E46192"/>
      <c r="F46192"/>
    </row>
    <row r="46193" spans="1:6" x14ac:dyDescent="0.25">
      <c r="A46193"/>
      <c r="B46193"/>
      <c r="C46193"/>
      <c r="E46193"/>
      <c r="F46193"/>
    </row>
    <row r="46194" spans="1:6" x14ac:dyDescent="0.25">
      <c r="A46194"/>
      <c r="B46194"/>
      <c r="C46194"/>
      <c r="E46194"/>
      <c r="F46194"/>
    </row>
    <row r="46195" spans="1:6" x14ac:dyDescent="0.25">
      <c r="A46195"/>
      <c r="B46195"/>
      <c r="C46195"/>
      <c r="E46195"/>
      <c r="F46195"/>
    </row>
    <row r="46196" spans="1:6" x14ac:dyDescent="0.25">
      <c r="A46196"/>
      <c r="B46196"/>
      <c r="C46196"/>
      <c r="E46196"/>
      <c r="F46196"/>
    </row>
    <row r="46197" spans="1:6" x14ac:dyDescent="0.25">
      <c r="A46197"/>
      <c r="B46197"/>
      <c r="C46197"/>
      <c r="E46197"/>
      <c r="F46197"/>
    </row>
    <row r="46198" spans="1:6" x14ac:dyDescent="0.25">
      <c r="A46198"/>
      <c r="B46198"/>
      <c r="C46198"/>
      <c r="E46198"/>
      <c r="F46198"/>
    </row>
    <row r="46199" spans="1:6" x14ac:dyDescent="0.25">
      <c r="A46199"/>
      <c r="B46199"/>
      <c r="C46199"/>
      <c r="E46199"/>
      <c r="F46199"/>
    </row>
    <row r="46200" spans="1:6" x14ac:dyDescent="0.25">
      <c r="A46200"/>
      <c r="B46200"/>
      <c r="C46200"/>
      <c r="E46200"/>
      <c r="F46200"/>
    </row>
    <row r="46201" spans="1:6" x14ac:dyDescent="0.25">
      <c r="A46201"/>
      <c r="B46201"/>
      <c r="C46201"/>
      <c r="E46201"/>
      <c r="F46201"/>
    </row>
    <row r="46202" spans="1:6" x14ac:dyDescent="0.25">
      <c r="A46202"/>
      <c r="B46202"/>
      <c r="C46202"/>
      <c r="E46202"/>
      <c r="F46202"/>
    </row>
    <row r="46203" spans="1:6" x14ac:dyDescent="0.25">
      <c r="A46203"/>
      <c r="B46203"/>
      <c r="C46203"/>
      <c r="E46203"/>
      <c r="F46203"/>
    </row>
    <row r="46204" spans="1:6" x14ac:dyDescent="0.25">
      <c r="A46204"/>
      <c r="B46204"/>
      <c r="C46204"/>
      <c r="E46204"/>
      <c r="F46204"/>
    </row>
    <row r="46205" spans="1:6" x14ac:dyDescent="0.25">
      <c r="A46205"/>
      <c r="B46205"/>
      <c r="C46205"/>
      <c r="E46205"/>
      <c r="F46205"/>
    </row>
    <row r="46206" spans="1:6" x14ac:dyDescent="0.25">
      <c r="A46206"/>
      <c r="B46206"/>
      <c r="C46206"/>
      <c r="E46206"/>
      <c r="F46206"/>
    </row>
    <row r="46207" spans="1:6" x14ac:dyDescent="0.25">
      <c r="A46207"/>
      <c r="B46207"/>
      <c r="C46207"/>
      <c r="E46207"/>
      <c r="F46207"/>
    </row>
    <row r="46208" spans="1:6" x14ac:dyDescent="0.25">
      <c r="A46208"/>
      <c r="B46208"/>
      <c r="C46208"/>
      <c r="E46208"/>
      <c r="F46208"/>
    </row>
    <row r="46209" spans="1:6" x14ac:dyDescent="0.25">
      <c r="A46209"/>
      <c r="B46209"/>
      <c r="C46209"/>
      <c r="E46209"/>
      <c r="F46209"/>
    </row>
    <row r="46210" spans="1:6" x14ac:dyDescent="0.25">
      <c r="A46210"/>
      <c r="B46210"/>
      <c r="C46210"/>
      <c r="E46210"/>
      <c r="F46210"/>
    </row>
    <row r="46211" spans="1:6" x14ac:dyDescent="0.25">
      <c r="A46211"/>
      <c r="B46211"/>
      <c r="C46211"/>
      <c r="E46211"/>
      <c r="F46211"/>
    </row>
    <row r="46212" spans="1:6" x14ac:dyDescent="0.25">
      <c r="A46212"/>
      <c r="B46212"/>
      <c r="C46212"/>
      <c r="E46212"/>
      <c r="F46212"/>
    </row>
    <row r="46213" spans="1:6" x14ac:dyDescent="0.25">
      <c r="A46213"/>
      <c r="B46213"/>
      <c r="C46213"/>
      <c r="E46213"/>
      <c r="F46213"/>
    </row>
    <row r="46214" spans="1:6" x14ac:dyDescent="0.25">
      <c r="A46214"/>
      <c r="B46214"/>
      <c r="C46214"/>
      <c r="E46214"/>
      <c r="F46214"/>
    </row>
    <row r="46215" spans="1:6" x14ac:dyDescent="0.25">
      <c r="A46215"/>
      <c r="B46215"/>
      <c r="C46215"/>
      <c r="E46215"/>
      <c r="F46215"/>
    </row>
    <row r="46216" spans="1:6" x14ac:dyDescent="0.25">
      <c r="A46216"/>
      <c r="B46216"/>
      <c r="C46216"/>
      <c r="E46216"/>
      <c r="F46216"/>
    </row>
    <row r="46217" spans="1:6" x14ac:dyDescent="0.25">
      <c r="A46217"/>
      <c r="B46217"/>
      <c r="C46217"/>
      <c r="E46217"/>
      <c r="F46217"/>
    </row>
    <row r="46218" spans="1:6" x14ac:dyDescent="0.25">
      <c r="A46218"/>
      <c r="B46218"/>
      <c r="C46218"/>
      <c r="E46218"/>
      <c r="F46218"/>
    </row>
    <row r="46219" spans="1:6" x14ac:dyDescent="0.25">
      <c r="A46219"/>
      <c r="B46219"/>
      <c r="C46219"/>
      <c r="E46219"/>
      <c r="F46219"/>
    </row>
    <row r="46220" spans="1:6" x14ac:dyDescent="0.25">
      <c r="A46220"/>
      <c r="B46220"/>
      <c r="C46220"/>
      <c r="E46220"/>
      <c r="F46220"/>
    </row>
    <row r="46221" spans="1:6" x14ac:dyDescent="0.25">
      <c r="A46221"/>
      <c r="B46221"/>
      <c r="C46221"/>
      <c r="E46221"/>
      <c r="F46221"/>
    </row>
    <row r="46222" spans="1:6" x14ac:dyDescent="0.25">
      <c r="A46222"/>
      <c r="B46222"/>
      <c r="C46222"/>
      <c r="E46222"/>
      <c r="F46222"/>
    </row>
    <row r="46223" spans="1:6" x14ac:dyDescent="0.25">
      <c r="A46223"/>
      <c r="B46223"/>
      <c r="C46223"/>
      <c r="E46223"/>
      <c r="F46223"/>
    </row>
    <row r="46224" spans="1:6" x14ac:dyDescent="0.25">
      <c r="A46224"/>
      <c r="B46224"/>
      <c r="C46224"/>
      <c r="E46224"/>
      <c r="F46224"/>
    </row>
    <row r="46225" spans="1:6" x14ac:dyDescent="0.25">
      <c r="A46225"/>
      <c r="B46225"/>
      <c r="C46225"/>
      <c r="E46225"/>
      <c r="F46225"/>
    </row>
    <row r="46226" spans="1:6" x14ac:dyDescent="0.25">
      <c r="A46226"/>
      <c r="B46226"/>
      <c r="C46226"/>
      <c r="E46226"/>
      <c r="F46226"/>
    </row>
    <row r="46227" spans="1:6" x14ac:dyDescent="0.25">
      <c r="A46227"/>
      <c r="B46227"/>
      <c r="C46227"/>
      <c r="E46227"/>
      <c r="F46227"/>
    </row>
    <row r="46228" spans="1:6" x14ac:dyDescent="0.25">
      <c r="A46228"/>
      <c r="B46228"/>
      <c r="C46228"/>
      <c r="E46228"/>
      <c r="F46228"/>
    </row>
    <row r="46229" spans="1:6" x14ac:dyDescent="0.25">
      <c r="A46229"/>
      <c r="B46229"/>
      <c r="C46229"/>
      <c r="E46229"/>
      <c r="F46229"/>
    </row>
    <row r="46230" spans="1:6" x14ac:dyDescent="0.25">
      <c r="A46230"/>
      <c r="B46230"/>
      <c r="C46230"/>
      <c r="E46230"/>
      <c r="F46230"/>
    </row>
    <row r="46231" spans="1:6" x14ac:dyDescent="0.25">
      <c r="A46231"/>
      <c r="B46231"/>
      <c r="C46231"/>
      <c r="E46231"/>
      <c r="F46231"/>
    </row>
    <row r="46232" spans="1:6" x14ac:dyDescent="0.25">
      <c r="A46232"/>
      <c r="B46232"/>
      <c r="C46232"/>
      <c r="E46232"/>
      <c r="F46232"/>
    </row>
    <row r="46233" spans="1:6" x14ac:dyDescent="0.25">
      <c r="A46233"/>
      <c r="B46233"/>
      <c r="C46233"/>
      <c r="E46233"/>
      <c r="F46233"/>
    </row>
    <row r="46234" spans="1:6" x14ac:dyDescent="0.25">
      <c r="A46234"/>
      <c r="B46234"/>
      <c r="C46234"/>
      <c r="E46234"/>
      <c r="F46234"/>
    </row>
    <row r="46235" spans="1:6" x14ac:dyDescent="0.25">
      <c r="A46235"/>
      <c r="B46235"/>
      <c r="C46235"/>
      <c r="E46235"/>
      <c r="F46235"/>
    </row>
    <row r="46236" spans="1:6" x14ac:dyDescent="0.25">
      <c r="A46236"/>
      <c r="B46236"/>
      <c r="C46236"/>
      <c r="E46236"/>
      <c r="F46236"/>
    </row>
    <row r="46237" spans="1:6" x14ac:dyDescent="0.25">
      <c r="A46237"/>
      <c r="B46237"/>
      <c r="C46237"/>
      <c r="E46237"/>
      <c r="F46237"/>
    </row>
    <row r="46238" spans="1:6" x14ac:dyDescent="0.25">
      <c r="A46238"/>
      <c r="B46238"/>
      <c r="C46238"/>
      <c r="E46238"/>
      <c r="F46238"/>
    </row>
    <row r="46239" spans="1:6" x14ac:dyDescent="0.25">
      <c r="A46239"/>
      <c r="B46239"/>
      <c r="C46239"/>
      <c r="E46239"/>
      <c r="F46239"/>
    </row>
    <row r="46240" spans="1:6" x14ac:dyDescent="0.25">
      <c r="A46240"/>
      <c r="B46240"/>
      <c r="C46240"/>
      <c r="E46240"/>
      <c r="F46240"/>
    </row>
    <row r="46241" spans="1:6" x14ac:dyDescent="0.25">
      <c r="A46241"/>
      <c r="B46241"/>
      <c r="C46241"/>
      <c r="E46241"/>
      <c r="F46241"/>
    </row>
    <row r="46242" spans="1:6" x14ac:dyDescent="0.25">
      <c r="A46242"/>
      <c r="B46242"/>
      <c r="C46242"/>
      <c r="E46242"/>
      <c r="F46242"/>
    </row>
    <row r="46243" spans="1:6" x14ac:dyDescent="0.25">
      <c r="A46243"/>
      <c r="B46243"/>
      <c r="C46243"/>
      <c r="E46243"/>
      <c r="F46243"/>
    </row>
    <row r="46244" spans="1:6" x14ac:dyDescent="0.25">
      <c r="A46244"/>
      <c r="B46244"/>
      <c r="C46244"/>
      <c r="E46244"/>
      <c r="F46244"/>
    </row>
    <row r="46245" spans="1:6" x14ac:dyDescent="0.25">
      <c r="A46245"/>
      <c r="B46245"/>
      <c r="C46245"/>
      <c r="E46245"/>
      <c r="F46245"/>
    </row>
    <row r="46246" spans="1:6" x14ac:dyDescent="0.25">
      <c r="A46246"/>
      <c r="B46246"/>
      <c r="C46246"/>
      <c r="E46246"/>
      <c r="F46246"/>
    </row>
    <row r="46247" spans="1:6" x14ac:dyDescent="0.25">
      <c r="A46247"/>
      <c r="B46247"/>
      <c r="C46247"/>
      <c r="E46247"/>
      <c r="F46247"/>
    </row>
    <row r="46248" spans="1:6" x14ac:dyDescent="0.25">
      <c r="A46248"/>
      <c r="B46248"/>
      <c r="C46248"/>
      <c r="E46248"/>
      <c r="F46248"/>
    </row>
    <row r="46249" spans="1:6" x14ac:dyDescent="0.25">
      <c r="A46249"/>
      <c r="B46249"/>
      <c r="C46249"/>
      <c r="E46249"/>
      <c r="F46249"/>
    </row>
    <row r="46250" spans="1:6" x14ac:dyDescent="0.25">
      <c r="A46250"/>
      <c r="B46250"/>
      <c r="C46250"/>
      <c r="E46250"/>
      <c r="F46250"/>
    </row>
    <row r="46251" spans="1:6" x14ac:dyDescent="0.25">
      <c r="A46251"/>
      <c r="B46251"/>
      <c r="C46251"/>
      <c r="E46251"/>
      <c r="F46251"/>
    </row>
    <row r="46252" spans="1:6" x14ac:dyDescent="0.25">
      <c r="A46252"/>
      <c r="B46252"/>
      <c r="C46252"/>
      <c r="E46252"/>
      <c r="F46252"/>
    </row>
    <row r="46253" spans="1:6" x14ac:dyDescent="0.25">
      <c r="A46253"/>
      <c r="B46253"/>
      <c r="C46253"/>
      <c r="E46253"/>
      <c r="F46253"/>
    </row>
    <row r="46254" spans="1:6" x14ac:dyDescent="0.25">
      <c r="A46254"/>
      <c r="B46254"/>
      <c r="C46254"/>
      <c r="E46254"/>
      <c r="F46254"/>
    </row>
    <row r="46255" spans="1:6" x14ac:dyDescent="0.25">
      <c r="A46255"/>
      <c r="B46255"/>
      <c r="C46255"/>
      <c r="E46255"/>
      <c r="F46255"/>
    </row>
    <row r="46256" spans="1:6" x14ac:dyDescent="0.25">
      <c r="A46256"/>
      <c r="B46256"/>
      <c r="C46256"/>
      <c r="E46256"/>
      <c r="F46256"/>
    </row>
    <row r="46257" spans="1:6" x14ac:dyDescent="0.25">
      <c r="A46257"/>
      <c r="B46257"/>
      <c r="C46257"/>
      <c r="E46257"/>
      <c r="F46257"/>
    </row>
    <row r="46258" spans="1:6" x14ac:dyDescent="0.25">
      <c r="A46258"/>
      <c r="B46258"/>
      <c r="C46258"/>
      <c r="E46258"/>
      <c r="F46258"/>
    </row>
    <row r="46259" spans="1:6" x14ac:dyDescent="0.25">
      <c r="A46259"/>
      <c r="B46259"/>
      <c r="C46259"/>
      <c r="E46259"/>
      <c r="F46259"/>
    </row>
    <row r="46260" spans="1:6" x14ac:dyDescent="0.25">
      <c r="A46260"/>
      <c r="B46260"/>
      <c r="C46260"/>
      <c r="E46260"/>
      <c r="F46260"/>
    </row>
    <row r="46261" spans="1:6" x14ac:dyDescent="0.25">
      <c r="A46261"/>
      <c r="B46261"/>
      <c r="C46261"/>
      <c r="E46261"/>
      <c r="F46261"/>
    </row>
    <row r="46262" spans="1:6" x14ac:dyDescent="0.25">
      <c r="A46262"/>
      <c r="B46262"/>
      <c r="C46262"/>
      <c r="E46262"/>
      <c r="F46262"/>
    </row>
    <row r="46263" spans="1:6" x14ac:dyDescent="0.25">
      <c r="A46263"/>
      <c r="B46263"/>
      <c r="C46263"/>
      <c r="E46263"/>
      <c r="F46263"/>
    </row>
    <row r="46264" spans="1:6" x14ac:dyDescent="0.25">
      <c r="A46264"/>
      <c r="B46264"/>
      <c r="C46264"/>
      <c r="E46264"/>
      <c r="F46264"/>
    </row>
    <row r="46265" spans="1:6" x14ac:dyDescent="0.25">
      <c r="A46265"/>
      <c r="B46265"/>
      <c r="C46265"/>
      <c r="E46265"/>
      <c r="F46265"/>
    </row>
    <row r="46266" spans="1:6" x14ac:dyDescent="0.25">
      <c r="A46266"/>
      <c r="B46266"/>
      <c r="C46266"/>
      <c r="E46266"/>
      <c r="F46266"/>
    </row>
    <row r="46267" spans="1:6" x14ac:dyDescent="0.25">
      <c r="A46267"/>
      <c r="B46267"/>
      <c r="C46267"/>
      <c r="E46267"/>
      <c r="F46267"/>
    </row>
    <row r="46268" spans="1:6" x14ac:dyDescent="0.25">
      <c r="A46268"/>
      <c r="B46268"/>
      <c r="C46268"/>
      <c r="E46268"/>
      <c r="F46268"/>
    </row>
    <row r="46269" spans="1:6" x14ac:dyDescent="0.25">
      <c r="A46269"/>
      <c r="B46269"/>
      <c r="C46269"/>
      <c r="E46269"/>
      <c r="F46269"/>
    </row>
    <row r="46270" spans="1:6" x14ac:dyDescent="0.25">
      <c r="A46270"/>
      <c r="B46270"/>
      <c r="C46270"/>
      <c r="E46270"/>
      <c r="F46270"/>
    </row>
    <row r="46271" spans="1:6" x14ac:dyDescent="0.25">
      <c r="A46271"/>
      <c r="B46271"/>
      <c r="C46271"/>
      <c r="E46271"/>
      <c r="F46271"/>
    </row>
    <row r="46272" spans="1:6" x14ac:dyDescent="0.25">
      <c r="A46272"/>
      <c r="B46272"/>
      <c r="C46272"/>
      <c r="E46272"/>
      <c r="F46272"/>
    </row>
    <row r="46273" spans="1:6" x14ac:dyDescent="0.25">
      <c r="A46273"/>
      <c r="B46273"/>
      <c r="C46273"/>
      <c r="E46273"/>
      <c r="F46273"/>
    </row>
    <row r="46274" spans="1:6" x14ac:dyDescent="0.25">
      <c r="A46274"/>
      <c r="B46274"/>
      <c r="C46274"/>
      <c r="E46274"/>
      <c r="F46274"/>
    </row>
    <row r="46275" spans="1:6" x14ac:dyDescent="0.25">
      <c r="A46275"/>
      <c r="B46275"/>
      <c r="C46275"/>
      <c r="E46275"/>
      <c r="F46275"/>
    </row>
    <row r="46276" spans="1:6" x14ac:dyDescent="0.25">
      <c r="A46276"/>
      <c r="B46276"/>
      <c r="C46276"/>
      <c r="E46276"/>
      <c r="F46276"/>
    </row>
    <row r="46277" spans="1:6" x14ac:dyDescent="0.25">
      <c r="A46277"/>
      <c r="B46277"/>
      <c r="C46277"/>
      <c r="E46277"/>
      <c r="F46277"/>
    </row>
    <row r="46278" spans="1:6" x14ac:dyDescent="0.25">
      <c r="A46278"/>
      <c r="B46278"/>
      <c r="C46278"/>
      <c r="E46278"/>
      <c r="F46278"/>
    </row>
    <row r="46279" spans="1:6" x14ac:dyDescent="0.25">
      <c r="A46279"/>
      <c r="B46279"/>
      <c r="C46279"/>
      <c r="E46279"/>
      <c r="F46279"/>
    </row>
    <row r="46280" spans="1:6" x14ac:dyDescent="0.25">
      <c r="A46280"/>
      <c r="B46280"/>
      <c r="C46280"/>
      <c r="E46280"/>
      <c r="F46280"/>
    </row>
    <row r="46281" spans="1:6" x14ac:dyDescent="0.25">
      <c r="A46281"/>
      <c r="B46281"/>
      <c r="C46281"/>
      <c r="E46281"/>
      <c r="F46281"/>
    </row>
    <row r="46282" spans="1:6" x14ac:dyDescent="0.25">
      <c r="A46282"/>
      <c r="B46282"/>
      <c r="C46282"/>
      <c r="E46282"/>
      <c r="F46282"/>
    </row>
    <row r="46283" spans="1:6" x14ac:dyDescent="0.25">
      <c r="A46283"/>
      <c r="B46283"/>
      <c r="C46283"/>
      <c r="E46283"/>
      <c r="F46283"/>
    </row>
    <row r="46284" spans="1:6" x14ac:dyDescent="0.25">
      <c r="A46284"/>
      <c r="B46284"/>
      <c r="C46284"/>
      <c r="E46284"/>
      <c r="F46284"/>
    </row>
    <row r="46285" spans="1:6" x14ac:dyDescent="0.25">
      <c r="A46285"/>
      <c r="B46285"/>
      <c r="C46285"/>
      <c r="E46285"/>
      <c r="F46285"/>
    </row>
    <row r="46286" spans="1:6" x14ac:dyDescent="0.25">
      <c r="A46286"/>
      <c r="B46286"/>
      <c r="C46286"/>
      <c r="E46286"/>
      <c r="F46286"/>
    </row>
    <row r="46287" spans="1:6" x14ac:dyDescent="0.25">
      <c r="A46287"/>
      <c r="B46287"/>
      <c r="C46287"/>
      <c r="E46287"/>
      <c r="F46287"/>
    </row>
    <row r="46288" spans="1:6" x14ac:dyDescent="0.25">
      <c r="A46288"/>
      <c r="B46288"/>
      <c r="C46288"/>
      <c r="E46288"/>
      <c r="F46288"/>
    </row>
    <row r="46289" spans="1:6" x14ac:dyDescent="0.25">
      <c r="A46289"/>
      <c r="B46289"/>
      <c r="C46289"/>
      <c r="E46289"/>
      <c r="F46289"/>
    </row>
    <row r="46290" spans="1:6" x14ac:dyDescent="0.25">
      <c r="A46290"/>
      <c r="B46290"/>
      <c r="C46290"/>
      <c r="E46290"/>
      <c r="F46290"/>
    </row>
    <row r="46291" spans="1:6" x14ac:dyDescent="0.25">
      <c r="A46291"/>
      <c r="B46291"/>
      <c r="C46291"/>
      <c r="E46291"/>
      <c r="F46291"/>
    </row>
    <row r="46292" spans="1:6" x14ac:dyDescent="0.25">
      <c r="A46292"/>
      <c r="B46292"/>
      <c r="C46292"/>
      <c r="E46292"/>
      <c r="F46292"/>
    </row>
    <row r="46293" spans="1:6" x14ac:dyDescent="0.25">
      <c r="A46293"/>
      <c r="B46293"/>
      <c r="C46293"/>
      <c r="E46293"/>
      <c r="F46293"/>
    </row>
    <row r="46294" spans="1:6" x14ac:dyDescent="0.25">
      <c r="A46294"/>
      <c r="B46294"/>
      <c r="C46294"/>
      <c r="E46294"/>
      <c r="F46294"/>
    </row>
    <row r="46295" spans="1:6" x14ac:dyDescent="0.25">
      <c r="A46295"/>
      <c r="B46295"/>
      <c r="C46295"/>
      <c r="E46295"/>
      <c r="F46295"/>
    </row>
    <row r="46296" spans="1:6" x14ac:dyDescent="0.25">
      <c r="A46296"/>
      <c r="B46296"/>
      <c r="C46296"/>
      <c r="E46296"/>
      <c r="F46296"/>
    </row>
    <row r="46297" spans="1:6" x14ac:dyDescent="0.25">
      <c r="A46297"/>
      <c r="B46297"/>
      <c r="C46297"/>
      <c r="E46297"/>
      <c r="F46297"/>
    </row>
    <row r="46298" spans="1:6" x14ac:dyDescent="0.25">
      <c r="A46298"/>
      <c r="B46298"/>
      <c r="C46298"/>
      <c r="E46298"/>
      <c r="F46298"/>
    </row>
    <row r="46299" spans="1:6" x14ac:dyDescent="0.25">
      <c r="A46299"/>
      <c r="B46299"/>
      <c r="C46299"/>
      <c r="E46299"/>
      <c r="F46299"/>
    </row>
    <row r="46300" spans="1:6" x14ac:dyDescent="0.25">
      <c r="A46300"/>
      <c r="B46300"/>
      <c r="C46300"/>
      <c r="E46300"/>
      <c r="F46300"/>
    </row>
    <row r="46301" spans="1:6" x14ac:dyDescent="0.25">
      <c r="A46301"/>
      <c r="B46301"/>
      <c r="C46301"/>
      <c r="E46301"/>
      <c r="F46301"/>
    </row>
    <row r="46302" spans="1:6" x14ac:dyDescent="0.25">
      <c r="A46302"/>
      <c r="B46302"/>
      <c r="C46302"/>
      <c r="E46302"/>
      <c r="F46302"/>
    </row>
    <row r="46303" spans="1:6" x14ac:dyDescent="0.25">
      <c r="A46303"/>
      <c r="B46303"/>
      <c r="C46303"/>
      <c r="E46303"/>
      <c r="F46303"/>
    </row>
    <row r="46304" spans="1:6" x14ac:dyDescent="0.25">
      <c r="A46304"/>
      <c r="B46304"/>
      <c r="C46304"/>
      <c r="E46304"/>
      <c r="F46304"/>
    </row>
    <row r="46305" spans="1:6" x14ac:dyDescent="0.25">
      <c r="A46305"/>
      <c r="B46305"/>
      <c r="C46305"/>
      <c r="E46305"/>
      <c r="F46305"/>
    </row>
    <row r="46306" spans="1:6" x14ac:dyDescent="0.25">
      <c r="A46306"/>
      <c r="B46306"/>
      <c r="C46306"/>
      <c r="E46306"/>
      <c r="F46306"/>
    </row>
    <row r="46307" spans="1:6" x14ac:dyDescent="0.25">
      <c r="A46307"/>
      <c r="B46307"/>
      <c r="C46307"/>
      <c r="E46307"/>
      <c r="F46307"/>
    </row>
    <row r="46308" spans="1:6" x14ac:dyDescent="0.25">
      <c r="A46308"/>
      <c r="B46308"/>
      <c r="C46308"/>
      <c r="E46308"/>
      <c r="F46308"/>
    </row>
    <row r="46309" spans="1:6" x14ac:dyDescent="0.25">
      <c r="A46309"/>
      <c r="B46309"/>
      <c r="C46309"/>
      <c r="E46309"/>
      <c r="F46309"/>
    </row>
    <row r="46310" spans="1:6" x14ac:dyDescent="0.25">
      <c r="A46310"/>
      <c r="B46310"/>
      <c r="C46310"/>
      <c r="E46310"/>
      <c r="F46310"/>
    </row>
    <row r="46311" spans="1:6" x14ac:dyDescent="0.25">
      <c r="A46311"/>
      <c r="B46311"/>
      <c r="C46311"/>
      <c r="E46311"/>
      <c r="F46311"/>
    </row>
    <row r="46312" spans="1:6" x14ac:dyDescent="0.25">
      <c r="A46312"/>
      <c r="B46312"/>
      <c r="C46312"/>
      <c r="E46312"/>
      <c r="F46312"/>
    </row>
    <row r="46313" spans="1:6" x14ac:dyDescent="0.25">
      <c r="A46313"/>
      <c r="B46313"/>
      <c r="C46313"/>
      <c r="E46313"/>
      <c r="F46313"/>
    </row>
    <row r="46314" spans="1:6" x14ac:dyDescent="0.25">
      <c r="A46314"/>
      <c r="B46314"/>
      <c r="C46314"/>
      <c r="E46314"/>
      <c r="F46314"/>
    </row>
    <row r="46315" spans="1:6" x14ac:dyDescent="0.25">
      <c r="A46315"/>
      <c r="B46315"/>
      <c r="C46315"/>
      <c r="E46315"/>
      <c r="F46315"/>
    </row>
    <row r="46316" spans="1:6" x14ac:dyDescent="0.25">
      <c r="A46316"/>
      <c r="B46316"/>
      <c r="C46316"/>
      <c r="E46316"/>
      <c r="F46316"/>
    </row>
    <row r="46317" spans="1:6" x14ac:dyDescent="0.25">
      <c r="A46317"/>
      <c r="B46317"/>
      <c r="C46317"/>
      <c r="E46317"/>
      <c r="F46317"/>
    </row>
    <row r="46318" spans="1:6" x14ac:dyDescent="0.25">
      <c r="A46318"/>
      <c r="B46318"/>
      <c r="C46318"/>
      <c r="E46318"/>
      <c r="F46318"/>
    </row>
    <row r="46319" spans="1:6" x14ac:dyDescent="0.25">
      <c r="A46319"/>
      <c r="B46319"/>
      <c r="C46319"/>
      <c r="E46319"/>
      <c r="F46319"/>
    </row>
    <row r="46320" spans="1:6" x14ac:dyDescent="0.25">
      <c r="A46320"/>
      <c r="B46320"/>
      <c r="C46320"/>
      <c r="E46320"/>
      <c r="F46320"/>
    </row>
    <row r="46321" spans="1:6" x14ac:dyDescent="0.25">
      <c r="A46321"/>
      <c r="B46321"/>
      <c r="C46321"/>
      <c r="E46321"/>
      <c r="F46321"/>
    </row>
    <row r="46322" spans="1:6" x14ac:dyDescent="0.25">
      <c r="A46322"/>
      <c r="B46322"/>
      <c r="C46322"/>
      <c r="E46322"/>
      <c r="F46322"/>
    </row>
    <row r="46323" spans="1:6" x14ac:dyDescent="0.25">
      <c r="A46323"/>
      <c r="B46323"/>
      <c r="C46323"/>
      <c r="E46323"/>
      <c r="F46323"/>
    </row>
    <row r="46324" spans="1:6" x14ac:dyDescent="0.25">
      <c r="A46324"/>
      <c r="B46324"/>
      <c r="C46324"/>
      <c r="E46324"/>
      <c r="F46324"/>
    </row>
    <row r="46325" spans="1:6" x14ac:dyDescent="0.25">
      <c r="A46325"/>
      <c r="B46325"/>
      <c r="C46325"/>
      <c r="E46325"/>
      <c r="F46325"/>
    </row>
    <row r="46326" spans="1:6" x14ac:dyDescent="0.25">
      <c r="A46326"/>
      <c r="B46326"/>
      <c r="C46326"/>
      <c r="E46326"/>
      <c r="F46326"/>
    </row>
    <row r="46327" spans="1:6" x14ac:dyDescent="0.25">
      <c r="A46327"/>
      <c r="B46327"/>
      <c r="C46327"/>
      <c r="E46327"/>
      <c r="F46327"/>
    </row>
    <row r="46328" spans="1:6" x14ac:dyDescent="0.25">
      <c r="A46328"/>
      <c r="B46328"/>
      <c r="C46328"/>
      <c r="E46328"/>
      <c r="F46328"/>
    </row>
    <row r="46329" spans="1:6" x14ac:dyDescent="0.25">
      <c r="A46329"/>
      <c r="B46329"/>
      <c r="C46329"/>
      <c r="E46329"/>
      <c r="F46329"/>
    </row>
    <row r="46330" spans="1:6" x14ac:dyDescent="0.25">
      <c r="A46330"/>
      <c r="B46330"/>
      <c r="C46330"/>
      <c r="E46330"/>
      <c r="F46330"/>
    </row>
    <row r="46331" spans="1:6" x14ac:dyDescent="0.25">
      <c r="A46331"/>
      <c r="B46331"/>
      <c r="C46331"/>
      <c r="E46331"/>
      <c r="F46331"/>
    </row>
    <row r="46332" spans="1:6" x14ac:dyDescent="0.25">
      <c r="A46332"/>
      <c r="B46332"/>
      <c r="C46332"/>
      <c r="E46332"/>
      <c r="F46332"/>
    </row>
    <row r="46333" spans="1:6" x14ac:dyDescent="0.25">
      <c r="A46333"/>
      <c r="B46333"/>
      <c r="C46333"/>
      <c r="E46333"/>
      <c r="F46333"/>
    </row>
    <row r="46334" spans="1:6" x14ac:dyDescent="0.25">
      <c r="A46334"/>
      <c r="B46334"/>
      <c r="C46334"/>
      <c r="E46334"/>
      <c r="F46334"/>
    </row>
    <row r="46335" spans="1:6" x14ac:dyDescent="0.25">
      <c r="A46335"/>
      <c r="B46335"/>
      <c r="C46335"/>
      <c r="E46335"/>
      <c r="F46335"/>
    </row>
    <row r="46336" spans="1:6" x14ac:dyDescent="0.25">
      <c r="A46336"/>
      <c r="B46336"/>
      <c r="C46336"/>
      <c r="E46336"/>
      <c r="F46336"/>
    </row>
    <row r="46337" spans="1:6" x14ac:dyDescent="0.25">
      <c r="A46337"/>
      <c r="B46337"/>
      <c r="C46337"/>
      <c r="E46337"/>
      <c r="F46337"/>
    </row>
    <row r="46338" spans="1:6" x14ac:dyDescent="0.25">
      <c r="A46338"/>
      <c r="B46338"/>
      <c r="C46338"/>
      <c r="E46338"/>
      <c r="F46338"/>
    </row>
    <row r="46339" spans="1:6" x14ac:dyDescent="0.25">
      <c r="A46339"/>
      <c r="B46339"/>
      <c r="C46339"/>
      <c r="E46339"/>
      <c r="F46339"/>
    </row>
    <row r="46340" spans="1:6" x14ac:dyDescent="0.25">
      <c r="A46340"/>
      <c r="B46340"/>
      <c r="C46340"/>
      <c r="E46340"/>
      <c r="F46340"/>
    </row>
    <row r="46341" spans="1:6" x14ac:dyDescent="0.25">
      <c r="A46341"/>
      <c r="B46341"/>
      <c r="C46341"/>
      <c r="E46341"/>
      <c r="F46341"/>
    </row>
    <row r="46342" spans="1:6" x14ac:dyDescent="0.25">
      <c r="A46342"/>
      <c r="B46342"/>
      <c r="C46342"/>
      <c r="E46342"/>
      <c r="F46342"/>
    </row>
    <row r="46343" spans="1:6" x14ac:dyDescent="0.25">
      <c r="A46343"/>
      <c r="B46343"/>
      <c r="C46343"/>
      <c r="E46343"/>
      <c r="F46343"/>
    </row>
    <row r="46344" spans="1:6" x14ac:dyDescent="0.25">
      <c r="A46344"/>
      <c r="B46344"/>
      <c r="C46344"/>
      <c r="E46344"/>
      <c r="F46344"/>
    </row>
    <row r="46345" spans="1:6" x14ac:dyDescent="0.25">
      <c r="A46345"/>
      <c r="B46345"/>
      <c r="C46345"/>
      <c r="E46345"/>
      <c r="F46345"/>
    </row>
    <row r="46346" spans="1:6" x14ac:dyDescent="0.25">
      <c r="A46346"/>
      <c r="B46346"/>
      <c r="C46346"/>
      <c r="E46346"/>
      <c r="F46346"/>
    </row>
    <row r="46347" spans="1:6" x14ac:dyDescent="0.25">
      <c r="A46347"/>
      <c r="B46347"/>
      <c r="C46347"/>
      <c r="E46347"/>
      <c r="F46347"/>
    </row>
    <row r="46348" spans="1:6" x14ac:dyDescent="0.25">
      <c r="A46348"/>
      <c r="B46348"/>
      <c r="C46348"/>
      <c r="E46348"/>
      <c r="F46348"/>
    </row>
    <row r="46349" spans="1:6" x14ac:dyDescent="0.25">
      <c r="A46349"/>
      <c r="B46349"/>
      <c r="C46349"/>
      <c r="E46349"/>
      <c r="F46349"/>
    </row>
    <row r="46350" spans="1:6" x14ac:dyDescent="0.25">
      <c r="A46350"/>
      <c r="B46350"/>
      <c r="C46350"/>
      <c r="E46350"/>
      <c r="F46350"/>
    </row>
    <row r="46351" spans="1:6" x14ac:dyDescent="0.25">
      <c r="A46351"/>
      <c r="B46351"/>
      <c r="C46351"/>
      <c r="E46351"/>
      <c r="F46351"/>
    </row>
    <row r="46352" spans="1:6" x14ac:dyDescent="0.25">
      <c r="A46352"/>
      <c r="B46352"/>
      <c r="C46352"/>
      <c r="E46352"/>
      <c r="F46352"/>
    </row>
    <row r="46353" spans="1:6" x14ac:dyDescent="0.25">
      <c r="A46353"/>
      <c r="B46353"/>
      <c r="C46353"/>
      <c r="E46353"/>
      <c r="F46353"/>
    </row>
    <row r="46354" spans="1:6" x14ac:dyDescent="0.25">
      <c r="A46354"/>
      <c r="B46354"/>
      <c r="C46354"/>
      <c r="E46354"/>
      <c r="F46354"/>
    </row>
    <row r="46355" spans="1:6" x14ac:dyDescent="0.25">
      <c r="A46355"/>
      <c r="B46355"/>
      <c r="C46355"/>
      <c r="E46355"/>
      <c r="F46355"/>
    </row>
    <row r="46356" spans="1:6" x14ac:dyDescent="0.25">
      <c r="A46356"/>
      <c r="B46356"/>
      <c r="C46356"/>
      <c r="E46356"/>
      <c r="F46356"/>
    </row>
    <row r="46357" spans="1:6" x14ac:dyDescent="0.25">
      <c r="A46357"/>
      <c r="B46357"/>
      <c r="C46357"/>
      <c r="E46357"/>
      <c r="F46357"/>
    </row>
    <row r="46358" spans="1:6" x14ac:dyDescent="0.25">
      <c r="A46358"/>
      <c r="B46358"/>
      <c r="C46358"/>
      <c r="E46358"/>
      <c r="F46358"/>
    </row>
    <row r="46359" spans="1:6" x14ac:dyDescent="0.25">
      <c r="A46359"/>
      <c r="B46359"/>
      <c r="C46359"/>
      <c r="E46359"/>
      <c r="F46359"/>
    </row>
    <row r="46360" spans="1:6" x14ac:dyDescent="0.25">
      <c r="A46360"/>
      <c r="B46360"/>
      <c r="C46360"/>
      <c r="E46360"/>
      <c r="F46360"/>
    </row>
    <row r="46361" spans="1:6" x14ac:dyDescent="0.25">
      <c r="A46361"/>
      <c r="B46361"/>
      <c r="C46361"/>
      <c r="E46361"/>
      <c r="F46361"/>
    </row>
    <row r="46362" spans="1:6" x14ac:dyDescent="0.25">
      <c r="A46362"/>
      <c r="B46362"/>
      <c r="C46362"/>
      <c r="E46362"/>
      <c r="F46362"/>
    </row>
    <row r="46363" spans="1:6" x14ac:dyDescent="0.25">
      <c r="A46363"/>
      <c r="B46363"/>
      <c r="C46363"/>
      <c r="E46363"/>
      <c r="F46363"/>
    </row>
    <row r="46364" spans="1:6" x14ac:dyDescent="0.25">
      <c r="A46364"/>
      <c r="B46364"/>
      <c r="C46364"/>
      <c r="E46364"/>
      <c r="F46364"/>
    </row>
    <row r="46365" spans="1:6" x14ac:dyDescent="0.25">
      <c r="A46365"/>
      <c r="B46365"/>
      <c r="C46365"/>
      <c r="E46365"/>
      <c r="F46365"/>
    </row>
    <row r="46366" spans="1:6" x14ac:dyDescent="0.25">
      <c r="A46366"/>
      <c r="B46366"/>
      <c r="C46366"/>
      <c r="E46366"/>
      <c r="F46366"/>
    </row>
    <row r="46367" spans="1:6" x14ac:dyDescent="0.25">
      <c r="A46367"/>
      <c r="B46367"/>
      <c r="C46367"/>
      <c r="E46367"/>
      <c r="F46367"/>
    </row>
    <row r="46368" spans="1:6" x14ac:dyDescent="0.25">
      <c r="A46368"/>
      <c r="B46368"/>
      <c r="C46368"/>
      <c r="E46368"/>
      <c r="F46368"/>
    </row>
    <row r="46369" spans="1:6" x14ac:dyDescent="0.25">
      <c r="A46369"/>
      <c r="B46369"/>
      <c r="C46369"/>
      <c r="E46369"/>
      <c r="F46369"/>
    </row>
    <row r="46370" spans="1:6" x14ac:dyDescent="0.25">
      <c r="A46370"/>
      <c r="B46370"/>
      <c r="C46370"/>
      <c r="E46370"/>
      <c r="F46370"/>
    </row>
    <row r="46371" spans="1:6" x14ac:dyDescent="0.25">
      <c r="A46371"/>
      <c r="B46371"/>
      <c r="C46371"/>
      <c r="E46371"/>
      <c r="F46371"/>
    </row>
    <row r="46372" spans="1:6" x14ac:dyDescent="0.25">
      <c r="A46372"/>
      <c r="B46372"/>
      <c r="C46372"/>
      <c r="E46372"/>
      <c r="F46372"/>
    </row>
    <row r="46373" spans="1:6" x14ac:dyDescent="0.25">
      <c r="A46373"/>
      <c r="B46373"/>
      <c r="C46373"/>
      <c r="E46373"/>
      <c r="F46373"/>
    </row>
    <row r="46374" spans="1:6" x14ac:dyDescent="0.25">
      <c r="A46374"/>
      <c r="B46374"/>
      <c r="C46374"/>
      <c r="E46374"/>
      <c r="F46374"/>
    </row>
    <row r="46375" spans="1:6" x14ac:dyDescent="0.25">
      <c r="A46375"/>
      <c r="B46375"/>
      <c r="C46375"/>
      <c r="E46375"/>
      <c r="F46375"/>
    </row>
    <row r="46376" spans="1:6" x14ac:dyDescent="0.25">
      <c r="A46376"/>
      <c r="B46376"/>
      <c r="C46376"/>
      <c r="E46376"/>
      <c r="F46376"/>
    </row>
    <row r="46377" spans="1:6" x14ac:dyDescent="0.25">
      <c r="A46377"/>
      <c r="B46377"/>
      <c r="C46377"/>
      <c r="E46377"/>
      <c r="F46377"/>
    </row>
    <row r="46378" spans="1:6" x14ac:dyDescent="0.25">
      <c r="A46378"/>
      <c r="B46378"/>
      <c r="C46378"/>
      <c r="E46378"/>
      <c r="F46378"/>
    </row>
    <row r="46379" spans="1:6" x14ac:dyDescent="0.25">
      <c r="A46379"/>
      <c r="B46379"/>
      <c r="C46379"/>
      <c r="E46379"/>
      <c r="F46379"/>
    </row>
    <row r="46380" spans="1:6" x14ac:dyDescent="0.25">
      <c r="A46380"/>
      <c r="B46380"/>
      <c r="C46380"/>
      <c r="E46380"/>
      <c r="F46380"/>
    </row>
    <row r="46381" spans="1:6" x14ac:dyDescent="0.25">
      <c r="A46381"/>
      <c r="B46381"/>
      <c r="C46381"/>
      <c r="E46381"/>
      <c r="F46381"/>
    </row>
    <row r="46382" spans="1:6" x14ac:dyDescent="0.25">
      <c r="A46382"/>
      <c r="B46382"/>
      <c r="C46382"/>
      <c r="E46382"/>
      <c r="F46382"/>
    </row>
    <row r="46383" spans="1:6" x14ac:dyDescent="0.25">
      <c r="A46383"/>
      <c r="B46383"/>
      <c r="C46383"/>
      <c r="E46383"/>
      <c r="F46383"/>
    </row>
    <row r="46384" spans="1:6" x14ac:dyDescent="0.25">
      <c r="A46384"/>
      <c r="B46384"/>
      <c r="C46384"/>
      <c r="E46384"/>
      <c r="F46384"/>
    </row>
    <row r="46385" spans="1:6" x14ac:dyDescent="0.25">
      <c r="A46385"/>
      <c r="B46385"/>
      <c r="C46385"/>
      <c r="E46385"/>
      <c r="F46385"/>
    </row>
    <row r="46386" spans="1:6" x14ac:dyDescent="0.25">
      <c r="A46386"/>
      <c r="B46386"/>
      <c r="C46386"/>
      <c r="E46386"/>
      <c r="F46386"/>
    </row>
    <row r="46387" spans="1:6" x14ac:dyDescent="0.25">
      <c r="A46387"/>
      <c r="B46387"/>
      <c r="C46387"/>
      <c r="E46387"/>
      <c r="F46387"/>
    </row>
    <row r="46388" spans="1:6" x14ac:dyDescent="0.25">
      <c r="A46388"/>
      <c r="B46388"/>
      <c r="C46388"/>
      <c r="E46388"/>
      <c r="F46388"/>
    </row>
    <row r="46389" spans="1:6" x14ac:dyDescent="0.25">
      <c r="A46389"/>
      <c r="B46389"/>
      <c r="C46389"/>
      <c r="E46389"/>
      <c r="F46389"/>
    </row>
    <row r="46390" spans="1:6" x14ac:dyDescent="0.25">
      <c r="A46390"/>
      <c r="B46390"/>
      <c r="C46390"/>
      <c r="E46390"/>
      <c r="F46390"/>
    </row>
    <row r="46391" spans="1:6" x14ac:dyDescent="0.25">
      <c r="A46391"/>
      <c r="B46391"/>
      <c r="C46391"/>
      <c r="E46391"/>
      <c r="F46391"/>
    </row>
    <row r="46392" spans="1:6" x14ac:dyDescent="0.25">
      <c r="A46392"/>
      <c r="B46392"/>
      <c r="C46392"/>
      <c r="E46392"/>
      <c r="F46392"/>
    </row>
    <row r="46393" spans="1:6" x14ac:dyDescent="0.25">
      <c r="A46393"/>
      <c r="B46393"/>
      <c r="C46393"/>
      <c r="E46393"/>
      <c r="F46393"/>
    </row>
    <row r="46394" spans="1:6" x14ac:dyDescent="0.25">
      <c r="A46394"/>
      <c r="B46394"/>
      <c r="C46394"/>
      <c r="E46394"/>
      <c r="F46394"/>
    </row>
    <row r="46395" spans="1:6" x14ac:dyDescent="0.25">
      <c r="A46395"/>
      <c r="B46395"/>
      <c r="C46395"/>
      <c r="E46395"/>
      <c r="F46395"/>
    </row>
    <row r="46396" spans="1:6" x14ac:dyDescent="0.25">
      <c r="A46396"/>
      <c r="B46396"/>
      <c r="C46396"/>
      <c r="E46396"/>
      <c r="F46396"/>
    </row>
    <row r="46397" spans="1:6" x14ac:dyDescent="0.25">
      <c r="A46397"/>
      <c r="B46397"/>
      <c r="C46397"/>
      <c r="E46397"/>
      <c r="F46397"/>
    </row>
    <row r="46398" spans="1:6" x14ac:dyDescent="0.25">
      <c r="A46398"/>
      <c r="B46398"/>
      <c r="C46398"/>
      <c r="E46398"/>
      <c r="F46398"/>
    </row>
    <row r="46399" spans="1:6" x14ac:dyDescent="0.25">
      <c r="A46399"/>
      <c r="B46399"/>
      <c r="C46399"/>
      <c r="E46399"/>
      <c r="F46399"/>
    </row>
    <row r="46400" spans="1:6" x14ac:dyDescent="0.25">
      <c r="A46400"/>
      <c r="B46400"/>
      <c r="C46400"/>
      <c r="E46400"/>
      <c r="F46400"/>
    </row>
    <row r="46401" spans="1:6" x14ac:dyDescent="0.25">
      <c r="A46401"/>
      <c r="B46401"/>
      <c r="C46401"/>
      <c r="E46401"/>
      <c r="F46401"/>
    </row>
    <row r="46402" spans="1:6" x14ac:dyDescent="0.25">
      <c r="A46402"/>
      <c r="B46402"/>
      <c r="C46402"/>
      <c r="E46402"/>
      <c r="F46402"/>
    </row>
    <row r="46403" spans="1:6" x14ac:dyDescent="0.25">
      <c r="A46403"/>
      <c r="B46403"/>
      <c r="C46403"/>
      <c r="E46403"/>
      <c r="F46403"/>
    </row>
    <row r="46404" spans="1:6" x14ac:dyDescent="0.25">
      <c r="A46404"/>
      <c r="B46404"/>
      <c r="C46404"/>
      <c r="E46404"/>
      <c r="F46404"/>
    </row>
    <row r="46405" spans="1:6" x14ac:dyDescent="0.25">
      <c r="A46405"/>
      <c r="B46405"/>
      <c r="C46405"/>
      <c r="E46405"/>
      <c r="F46405"/>
    </row>
    <row r="46406" spans="1:6" x14ac:dyDescent="0.25">
      <c r="A46406"/>
      <c r="B46406"/>
      <c r="C46406"/>
      <c r="E46406"/>
      <c r="F46406"/>
    </row>
    <row r="46407" spans="1:6" x14ac:dyDescent="0.25">
      <c r="A46407"/>
      <c r="B46407"/>
      <c r="C46407"/>
      <c r="E46407"/>
      <c r="F46407"/>
    </row>
    <row r="46408" spans="1:6" x14ac:dyDescent="0.25">
      <c r="A46408"/>
      <c r="B46408"/>
      <c r="C46408"/>
      <c r="E46408"/>
      <c r="F46408"/>
    </row>
    <row r="46409" spans="1:6" x14ac:dyDescent="0.25">
      <c r="A46409"/>
      <c r="B46409"/>
      <c r="C46409"/>
      <c r="E46409"/>
      <c r="F46409"/>
    </row>
    <row r="46410" spans="1:6" x14ac:dyDescent="0.25">
      <c r="A46410"/>
      <c r="B46410"/>
      <c r="C46410"/>
      <c r="E46410"/>
      <c r="F46410"/>
    </row>
    <row r="46411" spans="1:6" x14ac:dyDescent="0.25">
      <c r="A46411"/>
      <c r="B46411"/>
      <c r="C46411"/>
      <c r="E46411"/>
      <c r="F46411"/>
    </row>
    <row r="46412" spans="1:6" x14ac:dyDescent="0.25">
      <c r="A46412"/>
      <c r="B46412"/>
      <c r="C46412"/>
      <c r="E46412"/>
      <c r="F46412"/>
    </row>
    <row r="46413" spans="1:6" x14ac:dyDescent="0.25">
      <c r="A46413"/>
      <c r="B46413"/>
      <c r="C46413"/>
      <c r="E46413"/>
      <c r="F46413"/>
    </row>
    <row r="46414" spans="1:6" x14ac:dyDescent="0.25">
      <c r="A46414"/>
      <c r="B46414"/>
      <c r="C46414"/>
      <c r="E46414"/>
      <c r="F46414"/>
    </row>
    <row r="46415" spans="1:6" x14ac:dyDescent="0.25">
      <c r="A46415"/>
      <c r="B46415"/>
      <c r="C46415"/>
      <c r="E46415"/>
      <c r="F46415"/>
    </row>
    <row r="46416" spans="1:6" x14ac:dyDescent="0.25">
      <c r="A46416"/>
      <c r="B46416"/>
      <c r="C46416"/>
      <c r="E46416"/>
      <c r="F46416"/>
    </row>
    <row r="46417" spans="1:6" x14ac:dyDescent="0.25">
      <c r="A46417"/>
      <c r="B46417"/>
      <c r="C46417"/>
      <c r="E46417"/>
      <c r="F46417"/>
    </row>
    <row r="46418" spans="1:6" x14ac:dyDescent="0.25">
      <c r="A46418"/>
      <c r="B46418"/>
      <c r="C46418"/>
      <c r="E46418"/>
      <c r="F46418"/>
    </row>
    <row r="46419" spans="1:6" x14ac:dyDescent="0.25">
      <c r="A46419"/>
      <c r="B46419"/>
      <c r="C46419"/>
      <c r="E46419"/>
      <c r="F46419"/>
    </row>
    <row r="46420" spans="1:6" x14ac:dyDescent="0.25">
      <c r="A46420"/>
      <c r="B46420"/>
      <c r="C46420"/>
      <c r="E46420"/>
      <c r="F46420"/>
    </row>
    <row r="46421" spans="1:6" x14ac:dyDescent="0.25">
      <c r="A46421"/>
      <c r="B46421"/>
      <c r="C46421"/>
      <c r="E46421"/>
      <c r="F46421"/>
    </row>
    <row r="46422" spans="1:6" x14ac:dyDescent="0.25">
      <c r="A46422"/>
      <c r="B46422"/>
      <c r="C46422"/>
      <c r="E46422"/>
      <c r="F46422"/>
    </row>
    <row r="46423" spans="1:6" x14ac:dyDescent="0.25">
      <c r="A46423"/>
      <c r="B46423"/>
      <c r="C46423"/>
      <c r="E46423"/>
      <c r="F46423"/>
    </row>
    <row r="46424" spans="1:6" x14ac:dyDescent="0.25">
      <c r="A46424"/>
      <c r="B46424"/>
      <c r="C46424"/>
      <c r="E46424"/>
      <c r="F46424"/>
    </row>
    <row r="46425" spans="1:6" x14ac:dyDescent="0.25">
      <c r="A46425"/>
      <c r="B46425"/>
      <c r="C46425"/>
      <c r="E46425"/>
      <c r="F46425"/>
    </row>
    <row r="46426" spans="1:6" x14ac:dyDescent="0.25">
      <c r="A46426"/>
      <c r="B46426"/>
      <c r="C46426"/>
      <c r="E46426"/>
      <c r="F46426"/>
    </row>
    <row r="46427" spans="1:6" x14ac:dyDescent="0.25">
      <c r="A46427"/>
      <c r="B46427"/>
      <c r="C46427"/>
      <c r="E46427"/>
      <c r="F46427"/>
    </row>
    <row r="46428" spans="1:6" x14ac:dyDescent="0.25">
      <c r="A46428"/>
      <c r="B46428"/>
      <c r="C46428"/>
      <c r="E46428"/>
      <c r="F46428"/>
    </row>
    <row r="46429" spans="1:6" x14ac:dyDescent="0.25">
      <c r="A46429"/>
      <c r="B46429"/>
      <c r="C46429"/>
      <c r="E46429"/>
      <c r="F46429"/>
    </row>
    <row r="46430" spans="1:6" x14ac:dyDescent="0.25">
      <c r="A46430"/>
      <c r="B46430"/>
      <c r="C46430"/>
      <c r="E46430"/>
      <c r="F46430"/>
    </row>
    <row r="46431" spans="1:6" x14ac:dyDescent="0.25">
      <c r="A46431"/>
      <c r="B46431"/>
      <c r="C46431"/>
      <c r="E46431"/>
      <c r="F46431"/>
    </row>
    <row r="46432" spans="1:6" x14ac:dyDescent="0.25">
      <c r="A46432"/>
      <c r="B46432"/>
      <c r="C46432"/>
      <c r="E46432"/>
      <c r="F46432"/>
    </row>
    <row r="46433" spans="1:6" x14ac:dyDescent="0.25">
      <c r="A46433"/>
      <c r="B46433"/>
      <c r="C46433"/>
      <c r="E46433"/>
      <c r="F46433"/>
    </row>
    <row r="46434" spans="1:6" x14ac:dyDescent="0.25">
      <c r="A46434"/>
      <c r="B46434"/>
      <c r="C46434"/>
      <c r="E46434"/>
      <c r="F46434"/>
    </row>
    <row r="46435" spans="1:6" x14ac:dyDescent="0.25">
      <c r="A46435"/>
      <c r="B46435"/>
      <c r="C46435"/>
      <c r="E46435"/>
      <c r="F46435"/>
    </row>
    <row r="46436" spans="1:6" x14ac:dyDescent="0.25">
      <c r="A46436"/>
      <c r="B46436"/>
      <c r="C46436"/>
      <c r="E46436"/>
      <c r="F46436"/>
    </row>
    <row r="46437" spans="1:6" x14ac:dyDescent="0.25">
      <c r="A46437"/>
      <c r="B46437"/>
      <c r="C46437"/>
      <c r="E46437"/>
      <c r="F46437"/>
    </row>
    <row r="46438" spans="1:6" x14ac:dyDescent="0.25">
      <c r="A46438"/>
      <c r="B46438"/>
      <c r="C46438"/>
      <c r="E46438"/>
      <c r="F46438"/>
    </row>
    <row r="46439" spans="1:6" x14ac:dyDescent="0.25">
      <c r="A46439"/>
      <c r="B46439"/>
      <c r="C46439"/>
      <c r="E46439"/>
      <c r="F46439"/>
    </row>
    <row r="46440" spans="1:6" x14ac:dyDescent="0.25">
      <c r="A46440"/>
      <c r="B46440"/>
      <c r="C46440"/>
      <c r="E46440"/>
      <c r="F46440"/>
    </row>
    <row r="46441" spans="1:6" x14ac:dyDescent="0.25">
      <c r="A46441"/>
      <c r="B46441"/>
      <c r="C46441"/>
      <c r="E46441"/>
      <c r="F46441"/>
    </row>
    <row r="46442" spans="1:6" x14ac:dyDescent="0.25">
      <c r="A46442"/>
      <c r="B46442"/>
      <c r="C46442"/>
      <c r="E46442"/>
      <c r="F46442"/>
    </row>
    <row r="46443" spans="1:6" x14ac:dyDescent="0.25">
      <c r="A46443"/>
      <c r="B46443"/>
      <c r="C46443"/>
      <c r="E46443"/>
      <c r="F46443"/>
    </row>
    <row r="46444" spans="1:6" x14ac:dyDescent="0.25">
      <c r="A46444"/>
      <c r="B46444"/>
      <c r="C46444"/>
      <c r="E46444"/>
      <c r="F46444"/>
    </row>
    <row r="46445" spans="1:6" x14ac:dyDescent="0.25">
      <c r="A46445"/>
      <c r="B46445"/>
      <c r="C46445"/>
      <c r="E46445"/>
      <c r="F46445"/>
    </row>
    <row r="46446" spans="1:6" x14ac:dyDescent="0.25">
      <c r="A46446"/>
      <c r="B46446"/>
      <c r="C46446"/>
      <c r="E46446"/>
      <c r="F46446"/>
    </row>
    <row r="46447" spans="1:6" x14ac:dyDescent="0.25">
      <c r="A46447"/>
      <c r="B46447"/>
      <c r="C46447"/>
      <c r="E46447"/>
      <c r="F46447"/>
    </row>
    <row r="46448" spans="1:6" x14ac:dyDescent="0.25">
      <c r="A46448"/>
      <c r="B46448"/>
      <c r="C46448"/>
      <c r="E46448"/>
      <c r="F46448"/>
    </row>
    <row r="46449" spans="1:6" x14ac:dyDescent="0.25">
      <c r="A46449"/>
      <c r="B46449"/>
      <c r="C46449"/>
      <c r="E46449"/>
      <c r="F46449"/>
    </row>
    <row r="46450" spans="1:6" x14ac:dyDescent="0.25">
      <c r="A46450"/>
      <c r="B46450"/>
      <c r="C46450"/>
      <c r="E46450"/>
      <c r="F46450"/>
    </row>
    <row r="46451" spans="1:6" x14ac:dyDescent="0.25">
      <c r="A46451"/>
      <c r="B46451"/>
      <c r="C46451"/>
      <c r="E46451"/>
      <c r="F46451"/>
    </row>
    <row r="46452" spans="1:6" x14ac:dyDescent="0.25">
      <c r="A46452"/>
      <c r="B46452"/>
      <c r="C46452"/>
      <c r="E46452"/>
      <c r="F46452"/>
    </row>
    <row r="46453" spans="1:6" x14ac:dyDescent="0.25">
      <c r="A46453"/>
      <c r="B46453"/>
      <c r="C46453"/>
      <c r="E46453"/>
      <c r="F46453"/>
    </row>
    <row r="46454" spans="1:6" x14ac:dyDescent="0.25">
      <c r="A46454"/>
      <c r="B46454"/>
      <c r="C46454"/>
      <c r="E46454"/>
      <c r="F46454"/>
    </row>
    <row r="46455" spans="1:6" x14ac:dyDescent="0.25">
      <c r="A46455"/>
      <c r="B46455"/>
      <c r="C46455"/>
      <c r="E46455"/>
      <c r="F46455"/>
    </row>
    <row r="46456" spans="1:6" x14ac:dyDescent="0.25">
      <c r="A46456"/>
      <c r="B46456"/>
      <c r="C46456"/>
      <c r="E46456"/>
      <c r="F46456"/>
    </row>
    <row r="46457" spans="1:6" x14ac:dyDescent="0.25">
      <c r="A46457"/>
      <c r="B46457"/>
      <c r="C46457"/>
      <c r="E46457"/>
      <c r="F46457"/>
    </row>
    <row r="46458" spans="1:6" x14ac:dyDescent="0.25">
      <c r="A46458"/>
      <c r="B46458"/>
      <c r="C46458"/>
      <c r="E46458"/>
      <c r="F46458"/>
    </row>
    <row r="46459" spans="1:6" x14ac:dyDescent="0.25">
      <c r="A46459"/>
      <c r="B46459"/>
      <c r="C46459"/>
      <c r="E46459"/>
      <c r="F46459"/>
    </row>
    <row r="46460" spans="1:6" x14ac:dyDescent="0.25">
      <c r="A46460"/>
      <c r="B46460"/>
      <c r="C46460"/>
      <c r="E46460"/>
      <c r="F46460"/>
    </row>
    <row r="46461" spans="1:6" x14ac:dyDescent="0.25">
      <c r="A46461"/>
      <c r="B46461"/>
      <c r="C46461"/>
      <c r="E46461"/>
      <c r="F46461"/>
    </row>
    <row r="46462" spans="1:6" x14ac:dyDescent="0.25">
      <c r="A46462"/>
      <c r="B46462"/>
      <c r="C46462"/>
      <c r="E46462"/>
      <c r="F46462"/>
    </row>
    <row r="46463" spans="1:6" x14ac:dyDescent="0.25">
      <c r="A46463"/>
      <c r="B46463"/>
      <c r="C46463"/>
      <c r="E46463"/>
      <c r="F46463"/>
    </row>
    <row r="46464" spans="1:6" x14ac:dyDescent="0.25">
      <c r="A46464"/>
      <c r="B46464"/>
      <c r="C46464"/>
      <c r="E46464"/>
      <c r="F46464"/>
    </row>
    <row r="46465" spans="1:6" x14ac:dyDescent="0.25">
      <c r="A46465"/>
      <c r="B46465"/>
      <c r="C46465"/>
      <c r="E46465"/>
      <c r="F46465"/>
    </row>
    <row r="46466" spans="1:6" x14ac:dyDescent="0.25">
      <c r="A46466"/>
      <c r="B46466"/>
      <c r="C46466"/>
      <c r="E46466"/>
      <c r="F46466"/>
    </row>
    <row r="46467" spans="1:6" x14ac:dyDescent="0.25">
      <c r="A46467"/>
      <c r="B46467"/>
      <c r="C46467"/>
      <c r="E46467"/>
      <c r="F46467"/>
    </row>
    <row r="46468" spans="1:6" x14ac:dyDescent="0.25">
      <c r="A46468"/>
      <c r="B46468"/>
      <c r="C46468"/>
      <c r="E46468"/>
      <c r="F46468"/>
    </row>
    <row r="46469" spans="1:6" x14ac:dyDescent="0.25">
      <c r="A46469"/>
      <c r="B46469"/>
      <c r="C46469"/>
      <c r="E46469"/>
      <c r="F46469"/>
    </row>
    <row r="46470" spans="1:6" x14ac:dyDescent="0.25">
      <c r="A46470"/>
      <c r="B46470"/>
      <c r="C46470"/>
      <c r="E46470"/>
      <c r="F46470"/>
    </row>
    <row r="46471" spans="1:6" x14ac:dyDescent="0.25">
      <c r="A46471"/>
      <c r="B46471"/>
      <c r="C46471"/>
      <c r="E46471"/>
      <c r="F46471"/>
    </row>
    <row r="46472" spans="1:6" x14ac:dyDescent="0.25">
      <c r="A46472"/>
      <c r="B46472"/>
      <c r="C46472"/>
      <c r="E46472"/>
      <c r="F46472"/>
    </row>
    <row r="46473" spans="1:6" x14ac:dyDescent="0.25">
      <c r="A46473"/>
      <c r="B46473"/>
      <c r="C46473"/>
      <c r="E46473"/>
      <c r="F46473"/>
    </row>
    <row r="46474" spans="1:6" x14ac:dyDescent="0.25">
      <c r="A46474"/>
      <c r="B46474"/>
      <c r="C46474"/>
      <c r="E46474"/>
      <c r="F46474"/>
    </row>
    <row r="46475" spans="1:6" x14ac:dyDescent="0.25">
      <c r="A46475"/>
      <c r="B46475"/>
      <c r="C46475"/>
      <c r="E46475"/>
      <c r="F46475"/>
    </row>
    <row r="46476" spans="1:6" x14ac:dyDescent="0.25">
      <c r="A46476"/>
      <c r="B46476"/>
      <c r="C46476"/>
      <c r="E46476"/>
      <c r="F46476"/>
    </row>
    <row r="46477" spans="1:6" x14ac:dyDescent="0.25">
      <c r="A46477"/>
      <c r="B46477"/>
      <c r="C46477"/>
      <c r="E46477"/>
      <c r="F46477"/>
    </row>
    <row r="46478" spans="1:6" x14ac:dyDescent="0.25">
      <c r="A46478"/>
      <c r="B46478"/>
      <c r="C46478"/>
      <c r="E46478"/>
      <c r="F46478"/>
    </row>
    <row r="46479" spans="1:6" x14ac:dyDescent="0.25">
      <c r="A46479"/>
      <c r="B46479"/>
      <c r="C46479"/>
      <c r="E46479"/>
      <c r="F46479"/>
    </row>
    <row r="46480" spans="1:6" x14ac:dyDescent="0.25">
      <c r="A46480"/>
      <c r="B46480"/>
      <c r="C46480"/>
      <c r="E46480"/>
      <c r="F46480"/>
    </row>
    <row r="46481" spans="1:6" x14ac:dyDescent="0.25">
      <c r="A46481"/>
      <c r="B46481"/>
      <c r="C46481"/>
      <c r="E46481"/>
      <c r="F46481"/>
    </row>
    <row r="46482" spans="1:6" x14ac:dyDescent="0.25">
      <c r="A46482"/>
      <c r="B46482"/>
      <c r="C46482"/>
      <c r="E46482"/>
      <c r="F46482"/>
    </row>
    <row r="46483" spans="1:6" x14ac:dyDescent="0.25">
      <c r="A46483"/>
      <c r="B46483"/>
      <c r="C46483"/>
      <c r="E46483"/>
      <c r="F46483"/>
    </row>
    <row r="46484" spans="1:6" x14ac:dyDescent="0.25">
      <c r="A46484"/>
      <c r="B46484"/>
      <c r="C46484"/>
      <c r="E46484"/>
      <c r="F46484"/>
    </row>
    <row r="46485" spans="1:6" x14ac:dyDescent="0.25">
      <c r="A46485"/>
      <c r="B46485"/>
      <c r="C46485"/>
      <c r="E46485"/>
      <c r="F46485"/>
    </row>
    <row r="46486" spans="1:6" x14ac:dyDescent="0.25">
      <c r="A46486"/>
      <c r="B46486"/>
      <c r="C46486"/>
      <c r="E46486"/>
      <c r="F46486"/>
    </row>
    <row r="46487" spans="1:6" x14ac:dyDescent="0.25">
      <c r="A46487"/>
      <c r="B46487"/>
      <c r="C46487"/>
      <c r="E46487"/>
      <c r="F46487"/>
    </row>
    <row r="46488" spans="1:6" x14ac:dyDescent="0.25">
      <c r="A46488"/>
      <c r="B46488"/>
      <c r="C46488"/>
      <c r="E46488"/>
      <c r="F46488"/>
    </row>
    <row r="46489" spans="1:6" x14ac:dyDescent="0.25">
      <c r="A46489"/>
      <c r="B46489"/>
      <c r="C46489"/>
      <c r="E46489"/>
      <c r="F46489"/>
    </row>
    <row r="46490" spans="1:6" x14ac:dyDescent="0.25">
      <c r="A46490"/>
      <c r="B46490"/>
      <c r="C46490"/>
      <c r="E46490"/>
      <c r="F46490"/>
    </row>
    <row r="46491" spans="1:6" x14ac:dyDescent="0.25">
      <c r="A46491"/>
      <c r="B46491"/>
      <c r="C46491"/>
      <c r="E46491"/>
      <c r="F46491"/>
    </row>
    <row r="46492" spans="1:6" x14ac:dyDescent="0.25">
      <c r="A46492"/>
      <c r="B46492"/>
      <c r="C46492"/>
      <c r="E46492"/>
      <c r="F46492"/>
    </row>
    <row r="46493" spans="1:6" x14ac:dyDescent="0.25">
      <c r="A46493"/>
      <c r="B46493"/>
      <c r="C46493"/>
      <c r="E46493"/>
      <c r="F46493"/>
    </row>
    <row r="46494" spans="1:6" x14ac:dyDescent="0.25">
      <c r="A46494"/>
      <c r="B46494"/>
      <c r="C46494"/>
      <c r="E46494"/>
      <c r="F46494"/>
    </row>
    <row r="46495" spans="1:6" x14ac:dyDescent="0.25">
      <c r="A46495"/>
      <c r="B46495"/>
      <c r="C46495"/>
      <c r="E46495"/>
      <c r="F46495"/>
    </row>
    <row r="46496" spans="1:6" x14ac:dyDescent="0.25">
      <c r="A46496"/>
      <c r="B46496"/>
      <c r="C46496"/>
      <c r="E46496"/>
      <c r="F46496"/>
    </row>
    <row r="46497" spans="1:6" x14ac:dyDescent="0.25">
      <c r="A46497"/>
      <c r="B46497"/>
      <c r="C46497"/>
      <c r="E46497"/>
      <c r="F46497"/>
    </row>
    <row r="46498" spans="1:6" x14ac:dyDescent="0.25">
      <c r="A46498"/>
      <c r="B46498"/>
      <c r="C46498"/>
      <c r="E46498"/>
      <c r="F46498"/>
    </row>
    <row r="46499" spans="1:6" x14ac:dyDescent="0.25">
      <c r="A46499"/>
      <c r="B46499"/>
      <c r="C46499"/>
      <c r="E46499"/>
      <c r="F46499"/>
    </row>
    <row r="46500" spans="1:6" x14ac:dyDescent="0.25">
      <c r="A46500"/>
      <c r="B46500"/>
      <c r="C46500"/>
      <c r="E46500"/>
      <c r="F46500"/>
    </row>
    <row r="46501" spans="1:6" x14ac:dyDescent="0.25">
      <c r="A46501"/>
      <c r="B46501"/>
      <c r="C46501"/>
      <c r="E46501"/>
      <c r="F46501"/>
    </row>
    <row r="46502" spans="1:6" x14ac:dyDescent="0.25">
      <c r="A46502"/>
      <c r="B46502"/>
      <c r="C46502"/>
      <c r="E46502"/>
      <c r="F46502"/>
    </row>
    <row r="46503" spans="1:6" x14ac:dyDescent="0.25">
      <c r="A46503"/>
      <c r="B46503"/>
      <c r="C46503"/>
      <c r="E46503"/>
      <c r="F46503"/>
    </row>
    <row r="46504" spans="1:6" x14ac:dyDescent="0.25">
      <c r="A46504"/>
      <c r="B46504"/>
      <c r="C46504"/>
      <c r="E46504"/>
      <c r="F46504"/>
    </row>
    <row r="46505" spans="1:6" x14ac:dyDescent="0.25">
      <c r="A46505"/>
      <c r="B46505"/>
      <c r="C46505"/>
      <c r="E46505"/>
      <c r="F46505"/>
    </row>
    <row r="46506" spans="1:6" x14ac:dyDescent="0.25">
      <c r="A46506"/>
      <c r="B46506"/>
      <c r="C46506"/>
      <c r="E46506"/>
      <c r="F46506"/>
    </row>
    <row r="46507" spans="1:6" x14ac:dyDescent="0.25">
      <c r="A46507"/>
      <c r="B46507"/>
      <c r="C46507"/>
      <c r="E46507"/>
      <c r="F46507"/>
    </row>
    <row r="46508" spans="1:6" x14ac:dyDescent="0.25">
      <c r="A46508"/>
      <c r="B46508"/>
      <c r="C46508"/>
      <c r="E46508"/>
      <c r="F46508"/>
    </row>
    <row r="46509" spans="1:6" x14ac:dyDescent="0.25">
      <c r="A46509"/>
      <c r="B46509"/>
      <c r="C46509"/>
      <c r="E46509"/>
      <c r="F46509"/>
    </row>
    <row r="46510" spans="1:6" x14ac:dyDescent="0.25">
      <c r="A46510"/>
      <c r="B46510"/>
      <c r="C46510"/>
      <c r="E46510"/>
      <c r="F46510"/>
    </row>
    <row r="46511" spans="1:6" x14ac:dyDescent="0.25">
      <c r="A46511"/>
      <c r="B46511"/>
      <c r="C46511"/>
      <c r="E46511"/>
      <c r="F46511"/>
    </row>
    <row r="46512" spans="1:6" x14ac:dyDescent="0.25">
      <c r="A46512"/>
      <c r="B46512"/>
      <c r="C46512"/>
      <c r="E46512"/>
      <c r="F46512"/>
    </row>
    <row r="46513" spans="1:6" x14ac:dyDescent="0.25">
      <c r="A46513"/>
      <c r="B46513"/>
      <c r="C46513"/>
      <c r="E46513"/>
      <c r="F46513"/>
    </row>
    <row r="46514" spans="1:6" x14ac:dyDescent="0.25">
      <c r="A46514"/>
      <c r="B46514"/>
      <c r="C46514"/>
      <c r="E46514"/>
      <c r="F46514"/>
    </row>
    <row r="46515" spans="1:6" x14ac:dyDescent="0.25">
      <c r="A46515"/>
      <c r="B46515"/>
      <c r="C46515"/>
      <c r="E46515"/>
      <c r="F46515"/>
    </row>
    <row r="46516" spans="1:6" x14ac:dyDescent="0.25">
      <c r="A46516"/>
      <c r="B46516"/>
      <c r="C46516"/>
      <c r="E46516"/>
      <c r="F46516"/>
    </row>
    <row r="46517" spans="1:6" x14ac:dyDescent="0.25">
      <c r="A46517"/>
      <c r="B46517"/>
      <c r="C46517"/>
      <c r="E46517"/>
      <c r="F46517"/>
    </row>
    <row r="46518" spans="1:6" x14ac:dyDescent="0.25">
      <c r="A46518"/>
      <c r="B46518"/>
      <c r="C46518"/>
      <c r="E46518"/>
      <c r="F46518"/>
    </row>
    <row r="46519" spans="1:6" x14ac:dyDescent="0.25">
      <c r="A46519"/>
      <c r="B46519"/>
      <c r="C46519"/>
      <c r="E46519"/>
      <c r="F46519"/>
    </row>
    <row r="46520" spans="1:6" x14ac:dyDescent="0.25">
      <c r="A46520"/>
      <c r="B46520"/>
      <c r="C46520"/>
      <c r="E46520"/>
      <c r="F46520"/>
    </row>
    <row r="46521" spans="1:6" x14ac:dyDescent="0.25">
      <c r="A46521"/>
      <c r="B46521"/>
      <c r="C46521"/>
      <c r="E46521"/>
      <c r="F46521"/>
    </row>
    <row r="46522" spans="1:6" x14ac:dyDescent="0.25">
      <c r="A46522"/>
      <c r="B46522"/>
      <c r="C46522"/>
      <c r="E46522"/>
      <c r="F46522"/>
    </row>
    <row r="46523" spans="1:6" x14ac:dyDescent="0.25">
      <c r="A46523"/>
      <c r="B46523"/>
      <c r="C46523"/>
      <c r="E46523"/>
      <c r="F46523"/>
    </row>
    <row r="46524" spans="1:6" x14ac:dyDescent="0.25">
      <c r="A46524"/>
      <c r="B46524"/>
      <c r="C46524"/>
      <c r="E46524"/>
      <c r="F46524"/>
    </row>
    <row r="46525" spans="1:6" x14ac:dyDescent="0.25">
      <c r="A46525"/>
      <c r="B46525"/>
      <c r="C46525"/>
      <c r="E46525"/>
      <c r="F46525"/>
    </row>
    <row r="46526" spans="1:6" x14ac:dyDescent="0.25">
      <c r="A46526"/>
      <c r="B46526"/>
      <c r="C46526"/>
      <c r="E46526"/>
      <c r="F46526"/>
    </row>
    <row r="46527" spans="1:6" x14ac:dyDescent="0.25">
      <c r="A46527"/>
      <c r="B46527"/>
      <c r="C46527"/>
      <c r="E46527"/>
      <c r="F46527"/>
    </row>
    <row r="46528" spans="1:6" x14ac:dyDescent="0.25">
      <c r="A46528"/>
      <c r="B46528"/>
      <c r="C46528"/>
      <c r="E46528"/>
      <c r="F46528"/>
    </row>
    <row r="46529" spans="1:6" x14ac:dyDescent="0.25">
      <c r="A46529"/>
      <c r="B46529"/>
      <c r="C46529"/>
      <c r="E46529"/>
      <c r="F46529"/>
    </row>
    <row r="46530" spans="1:6" x14ac:dyDescent="0.25">
      <c r="A46530"/>
      <c r="B46530"/>
      <c r="C46530"/>
      <c r="E46530"/>
      <c r="F46530"/>
    </row>
    <row r="46531" spans="1:6" x14ac:dyDescent="0.25">
      <c r="A46531"/>
      <c r="B46531"/>
      <c r="C46531"/>
      <c r="E46531"/>
      <c r="F46531"/>
    </row>
    <row r="46532" spans="1:6" x14ac:dyDescent="0.25">
      <c r="A46532"/>
      <c r="B46532"/>
      <c r="C46532"/>
      <c r="E46532"/>
      <c r="F46532"/>
    </row>
    <row r="46533" spans="1:6" x14ac:dyDescent="0.25">
      <c r="A46533"/>
      <c r="B46533"/>
      <c r="C46533"/>
      <c r="E46533"/>
      <c r="F46533"/>
    </row>
    <row r="46534" spans="1:6" x14ac:dyDescent="0.25">
      <c r="A46534"/>
      <c r="B46534"/>
      <c r="C46534"/>
      <c r="E46534"/>
      <c r="F46534"/>
    </row>
    <row r="46535" spans="1:6" x14ac:dyDescent="0.25">
      <c r="A46535"/>
      <c r="B46535"/>
      <c r="C46535"/>
      <c r="E46535"/>
      <c r="F46535"/>
    </row>
    <row r="46536" spans="1:6" x14ac:dyDescent="0.25">
      <c r="A46536"/>
      <c r="B46536"/>
      <c r="C46536"/>
      <c r="E46536"/>
      <c r="F46536"/>
    </row>
    <row r="46537" spans="1:6" x14ac:dyDescent="0.25">
      <c r="A46537"/>
      <c r="B46537"/>
      <c r="C46537"/>
      <c r="E46537"/>
      <c r="F46537"/>
    </row>
    <row r="46538" spans="1:6" x14ac:dyDescent="0.25">
      <c r="A46538"/>
      <c r="B46538"/>
      <c r="C46538"/>
      <c r="E46538"/>
      <c r="F46538"/>
    </row>
    <row r="46539" spans="1:6" x14ac:dyDescent="0.25">
      <c r="A46539"/>
      <c r="B46539"/>
      <c r="C46539"/>
      <c r="E46539"/>
      <c r="F46539"/>
    </row>
    <row r="46540" spans="1:6" x14ac:dyDescent="0.25">
      <c r="A46540"/>
      <c r="B46540"/>
      <c r="C46540"/>
      <c r="E46540"/>
      <c r="F46540"/>
    </row>
    <row r="46541" spans="1:6" x14ac:dyDescent="0.25">
      <c r="A46541"/>
      <c r="B46541"/>
      <c r="C46541"/>
      <c r="E46541"/>
      <c r="F46541"/>
    </row>
    <row r="46542" spans="1:6" x14ac:dyDescent="0.25">
      <c r="A46542"/>
      <c r="B46542"/>
      <c r="C46542"/>
      <c r="E46542"/>
      <c r="F46542"/>
    </row>
    <row r="46543" spans="1:6" x14ac:dyDescent="0.25">
      <c r="A46543"/>
      <c r="B46543"/>
      <c r="C46543"/>
      <c r="E46543"/>
      <c r="F46543"/>
    </row>
    <row r="46544" spans="1:6" x14ac:dyDescent="0.25">
      <c r="A46544"/>
      <c r="B46544"/>
      <c r="C46544"/>
      <c r="E46544"/>
      <c r="F46544"/>
    </row>
    <row r="46545" spans="1:6" x14ac:dyDescent="0.25">
      <c r="A46545"/>
      <c r="B46545"/>
      <c r="C46545"/>
      <c r="E46545"/>
      <c r="F46545"/>
    </row>
    <row r="46546" spans="1:6" x14ac:dyDescent="0.25">
      <c r="A46546"/>
      <c r="B46546"/>
      <c r="C46546"/>
      <c r="E46546"/>
      <c r="F46546"/>
    </row>
    <row r="46547" spans="1:6" x14ac:dyDescent="0.25">
      <c r="A46547"/>
      <c r="B46547"/>
      <c r="C46547"/>
      <c r="E46547"/>
      <c r="F46547"/>
    </row>
    <row r="46548" spans="1:6" x14ac:dyDescent="0.25">
      <c r="A46548"/>
      <c r="B46548"/>
      <c r="C46548"/>
      <c r="E46548"/>
      <c r="F46548"/>
    </row>
    <row r="46549" spans="1:6" x14ac:dyDescent="0.25">
      <c r="A46549"/>
      <c r="B46549"/>
      <c r="C46549"/>
      <c r="E46549"/>
      <c r="F46549"/>
    </row>
    <row r="46550" spans="1:6" x14ac:dyDescent="0.25">
      <c r="A46550"/>
      <c r="B46550"/>
      <c r="C46550"/>
      <c r="E46550"/>
      <c r="F46550"/>
    </row>
    <row r="46551" spans="1:6" x14ac:dyDescent="0.25">
      <c r="A46551"/>
      <c r="B46551"/>
      <c r="C46551"/>
      <c r="E46551"/>
      <c r="F46551"/>
    </row>
    <row r="46552" spans="1:6" x14ac:dyDescent="0.25">
      <c r="A46552"/>
      <c r="B46552"/>
      <c r="C46552"/>
      <c r="E46552"/>
      <c r="F46552"/>
    </row>
    <row r="46553" spans="1:6" x14ac:dyDescent="0.25">
      <c r="A46553"/>
      <c r="B46553"/>
      <c r="C46553"/>
      <c r="E46553"/>
      <c r="F46553"/>
    </row>
    <row r="46554" spans="1:6" x14ac:dyDescent="0.25">
      <c r="A46554"/>
      <c r="B46554"/>
      <c r="C46554"/>
      <c r="E46554"/>
      <c r="F46554"/>
    </row>
    <row r="46555" spans="1:6" x14ac:dyDescent="0.25">
      <c r="A46555"/>
      <c r="B46555"/>
      <c r="C46555"/>
      <c r="E46555"/>
      <c r="F46555"/>
    </row>
    <row r="46556" spans="1:6" x14ac:dyDescent="0.25">
      <c r="A46556"/>
      <c r="B46556"/>
      <c r="C46556"/>
      <c r="E46556"/>
      <c r="F46556"/>
    </row>
    <row r="46557" spans="1:6" x14ac:dyDescent="0.25">
      <c r="A46557"/>
      <c r="B46557"/>
      <c r="C46557"/>
      <c r="E46557"/>
      <c r="F46557"/>
    </row>
    <row r="46558" spans="1:6" x14ac:dyDescent="0.25">
      <c r="A46558"/>
      <c r="B46558"/>
      <c r="C46558"/>
      <c r="E46558"/>
      <c r="F46558"/>
    </row>
    <row r="46559" spans="1:6" x14ac:dyDescent="0.25">
      <c r="A46559"/>
      <c r="B46559"/>
      <c r="C46559"/>
      <c r="E46559"/>
      <c r="F46559"/>
    </row>
    <row r="46560" spans="1:6" x14ac:dyDescent="0.25">
      <c r="A46560"/>
      <c r="B46560"/>
      <c r="C46560"/>
      <c r="E46560"/>
      <c r="F46560"/>
    </row>
    <row r="46561" spans="1:6" x14ac:dyDescent="0.25">
      <c r="A46561"/>
      <c r="B46561"/>
      <c r="C46561"/>
      <c r="E46561"/>
      <c r="F46561"/>
    </row>
    <row r="46562" spans="1:6" x14ac:dyDescent="0.25">
      <c r="A46562"/>
      <c r="B46562"/>
      <c r="C46562"/>
      <c r="E46562"/>
      <c r="F46562"/>
    </row>
    <row r="46563" spans="1:6" x14ac:dyDescent="0.25">
      <c r="A46563"/>
      <c r="B46563"/>
      <c r="C46563"/>
      <c r="E46563"/>
      <c r="F46563"/>
    </row>
    <row r="46564" spans="1:6" x14ac:dyDescent="0.25">
      <c r="A46564"/>
      <c r="B46564"/>
      <c r="C46564"/>
      <c r="E46564"/>
      <c r="F46564"/>
    </row>
    <row r="46565" spans="1:6" x14ac:dyDescent="0.25">
      <c r="A46565"/>
      <c r="B46565"/>
      <c r="C46565"/>
      <c r="E46565"/>
      <c r="F46565"/>
    </row>
    <row r="46566" spans="1:6" x14ac:dyDescent="0.25">
      <c r="A46566"/>
      <c r="B46566"/>
      <c r="C46566"/>
      <c r="E46566"/>
      <c r="F46566"/>
    </row>
    <row r="46567" spans="1:6" x14ac:dyDescent="0.25">
      <c r="A46567"/>
      <c r="B46567"/>
      <c r="C46567"/>
      <c r="E46567"/>
      <c r="F46567"/>
    </row>
    <row r="46568" spans="1:6" x14ac:dyDescent="0.25">
      <c r="A46568"/>
      <c r="B46568"/>
      <c r="C46568"/>
      <c r="E46568"/>
      <c r="F46568"/>
    </row>
    <row r="46569" spans="1:6" x14ac:dyDescent="0.25">
      <c r="A46569"/>
      <c r="B46569"/>
      <c r="C46569"/>
      <c r="E46569"/>
      <c r="F46569"/>
    </row>
    <row r="46570" spans="1:6" x14ac:dyDescent="0.25">
      <c r="A46570"/>
      <c r="B46570"/>
      <c r="C46570"/>
      <c r="E46570"/>
      <c r="F46570"/>
    </row>
    <row r="46571" spans="1:6" x14ac:dyDescent="0.25">
      <c r="A46571"/>
      <c r="B46571"/>
      <c r="C46571"/>
      <c r="E46571"/>
      <c r="F46571"/>
    </row>
    <row r="46572" spans="1:6" x14ac:dyDescent="0.25">
      <c r="A46572"/>
      <c r="B46572"/>
      <c r="C46572"/>
      <c r="E46572"/>
      <c r="F46572"/>
    </row>
    <row r="46573" spans="1:6" x14ac:dyDescent="0.25">
      <c r="A46573"/>
      <c r="B46573"/>
      <c r="C46573"/>
      <c r="E46573"/>
      <c r="F46573"/>
    </row>
    <row r="46574" spans="1:6" x14ac:dyDescent="0.25">
      <c r="A46574"/>
      <c r="B46574"/>
      <c r="C46574"/>
      <c r="E46574"/>
      <c r="F46574"/>
    </row>
    <row r="46575" spans="1:6" x14ac:dyDescent="0.25">
      <c r="A46575"/>
      <c r="B46575"/>
      <c r="C46575"/>
      <c r="E46575"/>
      <c r="F46575"/>
    </row>
    <row r="46576" spans="1:6" x14ac:dyDescent="0.25">
      <c r="A46576"/>
      <c r="B46576"/>
      <c r="C46576"/>
      <c r="E46576"/>
      <c r="F46576"/>
    </row>
    <row r="46577" spans="1:6" x14ac:dyDescent="0.25">
      <c r="A46577"/>
      <c r="B46577"/>
      <c r="C46577"/>
      <c r="E46577"/>
      <c r="F46577"/>
    </row>
    <row r="46578" spans="1:6" x14ac:dyDescent="0.25">
      <c r="A46578"/>
      <c r="B46578"/>
      <c r="C46578"/>
      <c r="E46578"/>
      <c r="F46578"/>
    </row>
    <row r="46579" spans="1:6" x14ac:dyDescent="0.25">
      <c r="A46579"/>
      <c r="B46579"/>
      <c r="C46579"/>
      <c r="E46579"/>
      <c r="F46579"/>
    </row>
    <row r="46580" spans="1:6" x14ac:dyDescent="0.25">
      <c r="A46580"/>
      <c r="B46580"/>
      <c r="C46580"/>
      <c r="E46580"/>
      <c r="F46580"/>
    </row>
    <row r="46581" spans="1:6" x14ac:dyDescent="0.25">
      <c r="A46581"/>
      <c r="B46581"/>
      <c r="C46581"/>
      <c r="E46581"/>
      <c r="F46581"/>
    </row>
    <row r="46582" spans="1:6" x14ac:dyDescent="0.25">
      <c r="A46582"/>
      <c r="B46582"/>
      <c r="C46582"/>
      <c r="E46582"/>
      <c r="F46582"/>
    </row>
    <row r="46583" spans="1:6" x14ac:dyDescent="0.25">
      <c r="A46583"/>
      <c r="B46583"/>
      <c r="C46583"/>
      <c r="E46583"/>
      <c r="F46583"/>
    </row>
    <row r="46584" spans="1:6" x14ac:dyDescent="0.25">
      <c r="A46584"/>
      <c r="B46584"/>
      <c r="C46584"/>
      <c r="E46584"/>
      <c r="F46584"/>
    </row>
    <row r="46585" spans="1:6" x14ac:dyDescent="0.25">
      <c r="A46585"/>
      <c r="B46585"/>
      <c r="C46585"/>
      <c r="E46585"/>
      <c r="F46585"/>
    </row>
    <row r="46586" spans="1:6" x14ac:dyDescent="0.25">
      <c r="A46586"/>
      <c r="B46586"/>
      <c r="C46586"/>
      <c r="E46586"/>
      <c r="F46586"/>
    </row>
    <row r="46587" spans="1:6" x14ac:dyDescent="0.25">
      <c r="A46587"/>
      <c r="B46587"/>
      <c r="C46587"/>
      <c r="E46587"/>
      <c r="F46587"/>
    </row>
    <row r="46588" spans="1:6" x14ac:dyDescent="0.25">
      <c r="A46588"/>
      <c r="B46588"/>
      <c r="C46588"/>
      <c r="E46588"/>
      <c r="F46588"/>
    </row>
    <row r="46589" spans="1:6" x14ac:dyDescent="0.25">
      <c r="A46589"/>
      <c r="B46589"/>
      <c r="C46589"/>
      <c r="E46589"/>
      <c r="F46589"/>
    </row>
    <row r="46590" spans="1:6" x14ac:dyDescent="0.25">
      <c r="A46590"/>
      <c r="B46590"/>
      <c r="C46590"/>
      <c r="E46590"/>
      <c r="F46590"/>
    </row>
    <row r="46591" spans="1:6" x14ac:dyDescent="0.25">
      <c r="A46591"/>
      <c r="B46591"/>
      <c r="C46591"/>
      <c r="E46591"/>
      <c r="F46591"/>
    </row>
    <row r="46592" spans="1:6" x14ac:dyDescent="0.25">
      <c r="A46592"/>
      <c r="B46592"/>
      <c r="C46592"/>
      <c r="E46592"/>
      <c r="F46592"/>
    </row>
    <row r="46593" spans="1:6" x14ac:dyDescent="0.25">
      <c r="A46593"/>
      <c r="B46593"/>
      <c r="C46593"/>
      <c r="E46593"/>
      <c r="F46593"/>
    </row>
    <row r="46594" spans="1:6" x14ac:dyDescent="0.25">
      <c r="A46594"/>
      <c r="B46594"/>
      <c r="C46594"/>
      <c r="E46594"/>
      <c r="F46594"/>
    </row>
    <row r="46595" spans="1:6" x14ac:dyDescent="0.25">
      <c r="A46595"/>
      <c r="B46595"/>
      <c r="C46595"/>
      <c r="E46595"/>
      <c r="F46595"/>
    </row>
    <row r="46596" spans="1:6" x14ac:dyDescent="0.25">
      <c r="A46596"/>
      <c r="B46596"/>
      <c r="C46596"/>
      <c r="E46596"/>
      <c r="F46596"/>
    </row>
    <row r="46597" spans="1:6" x14ac:dyDescent="0.25">
      <c r="A46597"/>
      <c r="B46597"/>
      <c r="C46597"/>
      <c r="E46597"/>
      <c r="F46597"/>
    </row>
    <row r="46598" spans="1:6" x14ac:dyDescent="0.25">
      <c r="A46598"/>
      <c r="B46598"/>
      <c r="C46598"/>
      <c r="E46598"/>
      <c r="F46598"/>
    </row>
    <row r="46599" spans="1:6" x14ac:dyDescent="0.25">
      <c r="A46599"/>
      <c r="B46599"/>
      <c r="C46599"/>
      <c r="E46599"/>
      <c r="F46599"/>
    </row>
    <row r="46600" spans="1:6" x14ac:dyDescent="0.25">
      <c r="A46600"/>
      <c r="B46600"/>
      <c r="C46600"/>
      <c r="E46600"/>
      <c r="F46600"/>
    </row>
    <row r="46601" spans="1:6" x14ac:dyDescent="0.25">
      <c r="A46601"/>
      <c r="B46601"/>
      <c r="C46601"/>
      <c r="E46601"/>
      <c r="F46601"/>
    </row>
    <row r="46602" spans="1:6" x14ac:dyDescent="0.25">
      <c r="A46602"/>
      <c r="B46602"/>
      <c r="C46602"/>
      <c r="E46602"/>
      <c r="F46602"/>
    </row>
    <row r="46603" spans="1:6" x14ac:dyDescent="0.25">
      <c r="A46603"/>
      <c r="B46603"/>
      <c r="C46603"/>
      <c r="E46603"/>
      <c r="F46603"/>
    </row>
    <row r="46604" spans="1:6" x14ac:dyDescent="0.25">
      <c r="A46604"/>
      <c r="B46604"/>
      <c r="C46604"/>
      <c r="E46604"/>
      <c r="F46604"/>
    </row>
    <row r="46605" spans="1:6" x14ac:dyDescent="0.25">
      <c r="A46605"/>
      <c r="B46605"/>
      <c r="C46605"/>
      <c r="E46605"/>
      <c r="F46605"/>
    </row>
    <row r="46606" spans="1:6" x14ac:dyDescent="0.25">
      <c r="A46606"/>
      <c r="B46606"/>
      <c r="C46606"/>
      <c r="E46606"/>
      <c r="F46606"/>
    </row>
    <row r="46607" spans="1:6" x14ac:dyDescent="0.25">
      <c r="A46607"/>
      <c r="B46607"/>
      <c r="C46607"/>
      <c r="E46607"/>
      <c r="F46607"/>
    </row>
    <row r="46608" spans="1:6" x14ac:dyDescent="0.25">
      <c r="A46608"/>
      <c r="B46608"/>
      <c r="C46608"/>
      <c r="E46608"/>
      <c r="F46608"/>
    </row>
    <row r="46609" spans="1:6" x14ac:dyDescent="0.25">
      <c r="A46609"/>
      <c r="B46609"/>
      <c r="C46609"/>
      <c r="E46609"/>
      <c r="F46609"/>
    </row>
    <row r="46610" spans="1:6" x14ac:dyDescent="0.25">
      <c r="A46610"/>
      <c r="B46610"/>
      <c r="C46610"/>
      <c r="E46610"/>
      <c r="F46610"/>
    </row>
    <row r="46611" spans="1:6" x14ac:dyDescent="0.25">
      <c r="A46611"/>
      <c r="B46611"/>
      <c r="C46611"/>
      <c r="E46611"/>
      <c r="F46611"/>
    </row>
    <row r="46612" spans="1:6" x14ac:dyDescent="0.25">
      <c r="A46612"/>
      <c r="B46612"/>
      <c r="C46612"/>
      <c r="E46612"/>
      <c r="F46612"/>
    </row>
    <row r="46613" spans="1:6" x14ac:dyDescent="0.25">
      <c r="A46613"/>
      <c r="B46613"/>
      <c r="C46613"/>
      <c r="E46613"/>
      <c r="F46613"/>
    </row>
    <row r="46614" spans="1:6" x14ac:dyDescent="0.25">
      <c r="A46614"/>
      <c r="B46614"/>
      <c r="C46614"/>
      <c r="E46614"/>
      <c r="F46614"/>
    </row>
    <row r="46615" spans="1:6" x14ac:dyDescent="0.25">
      <c r="A46615"/>
      <c r="B46615"/>
      <c r="C46615"/>
      <c r="E46615"/>
      <c r="F46615"/>
    </row>
    <row r="46616" spans="1:6" x14ac:dyDescent="0.25">
      <c r="A46616"/>
      <c r="B46616"/>
      <c r="C46616"/>
      <c r="E46616"/>
      <c r="F46616"/>
    </row>
    <row r="46617" spans="1:6" x14ac:dyDescent="0.25">
      <c r="A46617"/>
      <c r="B46617"/>
      <c r="C46617"/>
      <c r="E46617"/>
      <c r="F46617"/>
    </row>
    <row r="46618" spans="1:6" x14ac:dyDescent="0.25">
      <c r="A46618"/>
      <c r="B46618"/>
      <c r="C46618"/>
      <c r="E46618"/>
      <c r="F46618"/>
    </row>
    <row r="46619" spans="1:6" x14ac:dyDescent="0.25">
      <c r="A46619"/>
      <c r="B46619"/>
      <c r="C46619"/>
      <c r="E46619"/>
      <c r="F46619"/>
    </row>
    <row r="46620" spans="1:6" x14ac:dyDescent="0.25">
      <c r="A46620"/>
      <c r="B46620"/>
      <c r="C46620"/>
      <c r="E46620"/>
      <c r="F46620"/>
    </row>
    <row r="46621" spans="1:6" x14ac:dyDescent="0.25">
      <c r="A46621"/>
      <c r="B46621"/>
      <c r="C46621"/>
      <c r="E46621"/>
      <c r="F46621"/>
    </row>
    <row r="46622" spans="1:6" x14ac:dyDescent="0.25">
      <c r="A46622"/>
      <c r="B46622"/>
      <c r="C46622"/>
      <c r="E46622"/>
      <c r="F46622"/>
    </row>
    <row r="46623" spans="1:6" x14ac:dyDescent="0.25">
      <c r="A46623"/>
      <c r="B46623"/>
      <c r="C46623"/>
      <c r="E46623"/>
      <c r="F46623"/>
    </row>
    <row r="46624" spans="1:6" x14ac:dyDescent="0.25">
      <c r="A46624"/>
      <c r="B46624"/>
      <c r="C46624"/>
      <c r="E46624"/>
      <c r="F46624"/>
    </row>
    <row r="46625" spans="1:6" x14ac:dyDescent="0.25">
      <c r="A46625"/>
      <c r="B46625"/>
      <c r="C46625"/>
      <c r="E46625"/>
      <c r="F46625"/>
    </row>
    <row r="46626" spans="1:6" x14ac:dyDescent="0.25">
      <c r="A46626"/>
      <c r="B46626"/>
      <c r="C46626"/>
      <c r="E46626"/>
      <c r="F46626"/>
    </row>
    <row r="46627" spans="1:6" x14ac:dyDescent="0.25">
      <c r="A46627"/>
      <c r="B46627"/>
      <c r="C46627"/>
      <c r="E46627"/>
      <c r="F46627"/>
    </row>
    <row r="46628" spans="1:6" x14ac:dyDescent="0.25">
      <c r="A46628"/>
      <c r="B46628"/>
      <c r="C46628"/>
      <c r="E46628"/>
      <c r="F46628"/>
    </row>
    <row r="46629" spans="1:6" x14ac:dyDescent="0.25">
      <c r="A46629"/>
      <c r="B46629"/>
      <c r="C46629"/>
      <c r="E46629"/>
      <c r="F46629"/>
    </row>
    <row r="46630" spans="1:6" x14ac:dyDescent="0.25">
      <c r="A46630"/>
      <c r="B46630"/>
      <c r="C46630"/>
      <c r="E46630"/>
      <c r="F46630"/>
    </row>
    <row r="46631" spans="1:6" x14ac:dyDescent="0.25">
      <c r="A46631"/>
      <c r="B46631"/>
      <c r="C46631"/>
      <c r="E46631"/>
      <c r="F46631"/>
    </row>
    <row r="46632" spans="1:6" x14ac:dyDescent="0.25">
      <c r="A46632"/>
      <c r="B46632"/>
      <c r="C46632"/>
      <c r="E46632"/>
      <c r="F46632"/>
    </row>
    <row r="46633" spans="1:6" x14ac:dyDescent="0.25">
      <c r="A46633"/>
      <c r="B46633"/>
      <c r="C46633"/>
      <c r="E46633"/>
      <c r="F46633"/>
    </row>
    <row r="46634" spans="1:6" x14ac:dyDescent="0.25">
      <c r="A46634"/>
      <c r="B46634"/>
      <c r="C46634"/>
      <c r="E46634"/>
      <c r="F46634"/>
    </row>
    <row r="46635" spans="1:6" x14ac:dyDescent="0.25">
      <c r="A46635"/>
      <c r="B46635"/>
      <c r="C46635"/>
      <c r="E46635"/>
      <c r="F46635"/>
    </row>
    <row r="46636" spans="1:6" x14ac:dyDescent="0.25">
      <c r="A46636"/>
      <c r="B46636"/>
      <c r="C46636"/>
      <c r="E46636"/>
      <c r="F46636"/>
    </row>
    <row r="46637" spans="1:6" x14ac:dyDescent="0.25">
      <c r="A46637"/>
      <c r="B46637"/>
      <c r="C46637"/>
      <c r="E46637"/>
      <c r="F46637"/>
    </row>
    <row r="46638" spans="1:6" x14ac:dyDescent="0.25">
      <c r="A46638"/>
      <c r="B46638"/>
      <c r="C46638"/>
      <c r="E46638"/>
      <c r="F46638"/>
    </row>
    <row r="46639" spans="1:6" x14ac:dyDescent="0.25">
      <c r="A46639"/>
      <c r="B46639"/>
      <c r="C46639"/>
      <c r="E46639"/>
      <c r="F46639"/>
    </row>
    <row r="46640" spans="1:6" x14ac:dyDescent="0.25">
      <c r="A46640"/>
      <c r="B46640"/>
      <c r="C46640"/>
      <c r="E46640"/>
      <c r="F46640"/>
    </row>
    <row r="46641" spans="1:6" x14ac:dyDescent="0.25">
      <c r="A46641"/>
      <c r="B46641"/>
      <c r="C46641"/>
      <c r="E46641"/>
      <c r="F46641"/>
    </row>
    <row r="46642" spans="1:6" x14ac:dyDescent="0.25">
      <c r="A46642"/>
      <c r="B46642"/>
      <c r="C46642"/>
      <c r="E46642"/>
      <c r="F46642"/>
    </row>
    <row r="46643" spans="1:6" x14ac:dyDescent="0.25">
      <c r="A46643"/>
      <c r="B46643"/>
      <c r="C46643"/>
      <c r="E46643"/>
      <c r="F46643"/>
    </row>
    <row r="46644" spans="1:6" x14ac:dyDescent="0.25">
      <c r="A46644"/>
      <c r="B46644"/>
      <c r="C46644"/>
      <c r="E46644"/>
      <c r="F46644"/>
    </row>
    <row r="46645" spans="1:6" x14ac:dyDescent="0.25">
      <c r="A46645"/>
      <c r="B46645"/>
      <c r="C46645"/>
      <c r="E46645"/>
      <c r="F46645"/>
    </row>
    <row r="46646" spans="1:6" x14ac:dyDescent="0.25">
      <c r="A46646"/>
      <c r="B46646"/>
      <c r="C46646"/>
      <c r="E46646"/>
      <c r="F46646"/>
    </row>
    <row r="46647" spans="1:6" x14ac:dyDescent="0.25">
      <c r="A46647"/>
      <c r="B46647"/>
      <c r="C46647"/>
      <c r="E46647"/>
      <c r="F46647"/>
    </row>
    <row r="46648" spans="1:6" x14ac:dyDescent="0.25">
      <c r="A46648"/>
      <c r="B46648"/>
      <c r="C46648"/>
      <c r="E46648"/>
      <c r="F46648"/>
    </row>
    <row r="46649" spans="1:6" x14ac:dyDescent="0.25">
      <c r="A46649"/>
      <c r="B46649"/>
      <c r="C46649"/>
      <c r="E46649"/>
      <c r="F46649"/>
    </row>
    <row r="46650" spans="1:6" x14ac:dyDescent="0.25">
      <c r="A46650"/>
      <c r="B46650"/>
      <c r="C46650"/>
      <c r="E46650"/>
      <c r="F46650"/>
    </row>
    <row r="46651" spans="1:6" x14ac:dyDescent="0.25">
      <c r="A46651"/>
      <c r="B46651"/>
      <c r="C46651"/>
      <c r="E46651"/>
      <c r="F46651"/>
    </row>
    <row r="46652" spans="1:6" x14ac:dyDescent="0.25">
      <c r="A46652"/>
      <c r="B46652"/>
      <c r="C46652"/>
      <c r="E46652"/>
      <c r="F46652"/>
    </row>
    <row r="46653" spans="1:6" x14ac:dyDescent="0.25">
      <c r="A46653"/>
      <c r="B46653"/>
      <c r="C46653"/>
      <c r="E46653"/>
      <c r="F46653"/>
    </row>
    <row r="46654" spans="1:6" x14ac:dyDescent="0.25">
      <c r="A46654"/>
      <c r="B46654"/>
      <c r="C46654"/>
      <c r="E46654"/>
      <c r="F46654"/>
    </row>
    <row r="46655" spans="1:6" x14ac:dyDescent="0.25">
      <c r="A46655"/>
      <c r="B46655"/>
      <c r="C46655"/>
      <c r="E46655"/>
      <c r="F46655"/>
    </row>
    <row r="46656" spans="1:6" x14ac:dyDescent="0.25">
      <c r="A46656"/>
      <c r="B46656"/>
      <c r="C46656"/>
      <c r="E46656"/>
      <c r="F46656"/>
    </row>
    <row r="46657" spans="1:6" x14ac:dyDescent="0.25">
      <c r="A46657"/>
      <c r="B46657"/>
      <c r="C46657"/>
      <c r="E46657"/>
      <c r="F46657"/>
    </row>
    <row r="46658" spans="1:6" x14ac:dyDescent="0.25">
      <c r="A46658"/>
      <c r="B46658"/>
      <c r="C46658"/>
      <c r="E46658"/>
      <c r="F46658"/>
    </row>
    <row r="46659" spans="1:6" x14ac:dyDescent="0.25">
      <c r="A46659"/>
      <c r="B46659"/>
      <c r="C46659"/>
      <c r="E46659"/>
      <c r="F46659"/>
    </row>
    <row r="46660" spans="1:6" x14ac:dyDescent="0.25">
      <c r="A46660"/>
      <c r="B46660"/>
      <c r="C46660"/>
      <c r="E46660"/>
      <c r="F46660"/>
    </row>
    <row r="46661" spans="1:6" x14ac:dyDescent="0.25">
      <c r="A46661"/>
      <c r="B46661"/>
      <c r="C46661"/>
      <c r="E46661"/>
      <c r="F46661"/>
    </row>
    <row r="46662" spans="1:6" x14ac:dyDescent="0.25">
      <c r="A46662"/>
      <c r="B46662"/>
      <c r="C46662"/>
      <c r="E46662"/>
      <c r="F46662"/>
    </row>
    <row r="46663" spans="1:6" x14ac:dyDescent="0.25">
      <c r="A46663"/>
      <c r="B46663"/>
      <c r="C46663"/>
      <c r="E46663"/>
      <c r="F46663"/>
    </row>
    <row r="46664" spans="1:6" x14ac:dyDescent="0.25">
      <c r="A46664"/>
      <c r="B46664"/>
      <c r="C46664"/>
      <c r="E46664"/>
      <c r="F46664"/>
    </row>
    <row r="46665" spans="1:6" x14ac:dyDescent="0.25">
      <c r="A46665"/>
      <c r="B46665"/>
      <c r="C46665"/>
      <c r="E46665"/>
      <c r="F46665"/>
    </row>
    <row r="46666" spans="1:6" x14ac:dyDescent="0.25">
      <c r="A46666"/>
      <c r="B46666"/>
      <c r="C46666"/>
      <c r="E46666"/>
      <c r="F46666"/>
    </row>
    <row r="46667" spans="1:6" x14ac:dyDescent="0.25">
      <c r="A46667"/>
      <c r="B46667"/>
      <c r="C46667"/>
      <c r="E46667"/>
      <c r="F46667"/>
    </row>
    <row r="46668" spans="1:6" x14ac:dyDescent="0.25">
      <c r="A46668"/>
      <c r="B46668"/>
      <c r="C46668"/>
      <c r="E46668"/>
      <c r="F46668"/>
    </row>
    <row r="46669" spans="1:6" x14ac:dyDescent="0.25">
      <c r="A46669"/>
      <c r="B46669"/>
      <c r="C46669"/>
      <c r="E46669"/>
      <c r="F46669"/>
    </row>
    <row r="46670" spans="1:6" x14ac:dyDescent="0.25">
      <c r="A46670"/>
      <c r="B46670"/>
      <c r="C46670"/>
      <c r="E46670"/>
      <c r="F46670"/>
    </row>
    <row r="46671" spans="1:6" x14ac:dyDescent="0.25">
      <c r="A46671"/>
      <c r="B46671"/>
      <c r="C46671"/>
      <c r="E46671"/>
      <c r="F46671"/>
    </row>
    <row r="46672" spans="1:6" x14ac:dyDescent="0.25">
      <c r="A46672"/>
      <c r="B46672"/>
      <c r="C46672"/>
      <c r="E46672"/>
      <c r="F46672"/>
    </row>
    <row r="46673" spans="1:6" x14ac:dyDescent="0.25">
      <c r="A46673"/>
      <c r="B46673"/>
      <c r="C46673"/>
      <c r="E46673"/>
      <c r="F46673"/>
    </row>
    <row r="46674" spans="1:6" x14ac:dyDescent="0.25">
      <c r="A46674"/>
      <c r="B46674"/>
      <c r="C46674"/>
      <c r="E46674"/>
      <c r="F46674"/>
    </row>
    <row r="46675" spans="1:6" x14ac:dyDescent="0.25">
      <c r="A46675"/>
      <c r="B46675"/>
      <c r="C46675"/>
      <c r="E46675"/>
      <c r="F46675"/>
    </row>
    <row r="46676" spans="1:6" x14ac:dyDescent="0.25">
      <c r="A46676"/>
      <c r="B46676"/>
      <c r="C46676"/>
      <c r="E46676"/>
      <c r="F46676"/>
    </row>
    <row r="46677" spans="1:6" x14ac:dyDescent="0.25">
      <c r="A46677"/>
      <c r="B46677"/>
      <c r="C46677"/>
      <c r="E46677"/>
      <c r="F46677"/>
    </row>
    <row r="46678" spans="1:6" x14ac:dyDescent="0.25">
      <c r="A46678"/>
      <c r="B46678"/>
      <c r="C46678"/>
      <c r="E46678"/>
      <c r="F46678"/>
    </row>
    <row r="46679" spans="1:6" x14ac:dyDescent="0.25">
      <c r="A46679"/>
      <c r="B46679"/>
      <c r="C46679"/>
      <c r="E46679"/>
      <c r="F46679"/>
    </row>
    <row r="46680" spans="1:6" x14ac:dyDescent="0.25">
      <c r="A46680"/>
      <c r="B46680"/>
      <c r="C46680"/>
      <c r="E46680"/>
      <c r="F46680"/>
    </row>
    <row r="46681" spans="1:6" x14ac:dyDescent="0.25">
      <c r="A46681"/>
      <c r="B46681"/>
      <c r="C46681"/>
      <c r="E46681"/>
      <c r="F46681"/>
    </row>
    <row r="46682" spans="1:6" x14ac:dyDescent="0.25">
      <c r="A46682"/>
      <c r="B46682"/>
      <c r="C46682"/>
      <c r="E46682"/>
      <c r="F46682"/>
    </row>
    <row r="46683" spans="1:6" x14ac:dyDescent="0.25">
      <c r="A46683"/>
      <c r="B46683"/>
      <c r="C46683"/>
      <c r="E46683"/>
      <c r="F46683"/>
    </row>
    <row r="46684" spans="1:6" x14ac:dyDescent="0.25">
      <c r="A46684"/>
      <c r="B46684"/>
      <c r="C46684"/>
      <c r="E46684"/>
      <c r="F46684"/>
    </row>
    <row r="46685" spans="1:6" x14ac:dyDescent="0.25">
      <c r="A46685"/>
      <c r="B46685"/>
      <c r="C46685"/>
      <c r="E46685"/>
      <c r="F46685"/>
    </row>
    <row r="46686" spans="1:6" x14ac:dyDescent="0.25">
      <c r="A46686"/>
      <c r="B46686"/>
      <c r="C46686"/>
      <c r="E46686"/>
      <c r="F46686"/>
    </row>
    <row r="46687" spans="1:6" x14ac:dyDescent="0.25">
      <c r="A46687"/>
      <c r="B46687"/>
      <c r="C46687"/>
      <c r="E46687"/>
      <c r="F46687"/>
    </row>
    <row r="46688" spans="1:6" x14ac:dyDescent="0.25">
      <c r="A46688"/>
      <c r="B46688"/>
      <c r="C46688"/>
      <c r="E46688"/>
      <c r="F46688"/>
    </row>
    <row r="46689" spans="1:6" x14ac:dyDescent="0.25">
      <c r="A46689"/>
      <c r="B46689"/>
      <c r="C46689"/>
      <c r="E46689"/>
      <c r="F46689"/>
    </row>
    <row r="46690" spans="1:6" x14ac:dyDescent="0.25">
      <c r="A46690"/>
      <c r="B46690"/>
      <c r="C46690"/>
      <c r="E46690"/>
      <c r="F46690"/>
    </row>
    <row r="46691" spans="1:6" x14ac:dyDescent="0.25">
      <c r="A46691"/>
      <c r="B46691"/>
      <c r="C46691"/>
      <c r="E46691"/>
      <c r="F46691"/>
    </row>
    <row r="46692" spans="1:6" x14ac:dyDescent="0.25">
      <c r="A46692"/>
      <c r="B46692"/>
      <c r="C46692"/>
      <c r="E46692"/>
      <c r="F46692"/>
    </row>
    <row r="46693" spans="1:6" x14ac:dyDescent="0.25">
      <c r="A46693"/>
      <c r="B46693"/>
      <c r="C46693"/>
      <c r="E46693"/>
      <c r="F46693"/>
    </row>
    <row r="46694" spans="1:6" x14ac:dyDescent="0.25">
      <c r="A46694"/>
      <c r="B46694"/>
      <c r="C46694"/>
      <c r="E46694"/>
      <c r="F46694"/>
    </row>
    <row r="46695" spans="1:6" x14ac:dyDescent="0.25">
      <c r="A46695"/>
      <c r="B46695"/>
      <c r="C46695"/>
      <c r="E46695"/>
      <c r="F46695"/>
    </row>
    <row r="46696" spans="1:6" x14ac:dyDescent="0.25">
      <c r="A46696"/>
      <c r="B46696"/>
      <c r="C46696"/>
      <c r="E46696"/>
      <c r="F46696"/>
    </row>
    <row r="46697" spans="1:6" x14ac:dyDescent="0.25">
      <c r="A46697"/>
      <c r="B46697"/>
      <c r="C46697"/>
      <c r="E46697"/>
      <c r="F46697"/>
    </row>
    <row r="46698" spans="1:6" x14ac:dyDescent="0.25">
      <c r="A46698"/>
      <c r="B46698"/>
      <c r="C46698"/>
      <c r="E46698"/>
      <c r="F46698"/>
    </row>
    <row r="46699" spans="1:6" x14ac:dyDescent="0.25">
      <c r="A46699"/>
      <c r="B46699"/>
      <c r="C46699"/>
      <c r="E46699"/>
      <c r="F46699"/>
    </row>
    <row r="46700" spans="1:6" x14ac:dyDescent="0.25">
      <c r="A46700"/>
      <c r="B46700"/>
      <c r="C46700"/>
      <c r="E46700"/>
      <c r="F46700"/>
    </row>
    <row r="46701" spans="1:6" x14ac:dyDescent="0.25">
      <c r="A46701"/>
      <c r="B46701"/>
      <c r="C46701"/>
      <c r="E46701"/>
      <c r="F46701"/>
    </row>
    <row r="46702" spans="1:6" x14ac:dyDescent="0.25">
      <c r="A46702"/>
      <c r="B46702"/>
      <c r="C46702"/>
      <c r="E46702"/>
      <c r="F46702"/>
    </row>
    <row r="46703" spans="1:6" x14ac:dyDescent="0.25">
      <c r="A46703"/>
      <c r="B46703"/>
      <c r="C46703"/>
      <c r="E46703"/>
      <c r="F46703"/>
    </row>
    <row r="46704" spans="1:6" x14ac:dyDescent="0.25">
      <c r="A46704"/>
      <c r="B46704"/>
      <c r="C46704"/>
      <c r="E46704"/>
      <c r="F46704"/>
    </row>
    <row r="46705" spans="1:6" x14ac:dyDescent="0.25">
      <c r="A46705"/>
      <c r="B46705"/>
      <c r="C46705"/>
      <c r="E46705"/>
      <c r="F46705"/>
    </row>
    <row r="46706" spans="1:6" x14ac:dyDescent="0.25">
      <c r="A46706"/>
      <c r="B46706"/>
      <c r="C46706"/>
      <c r="E46706"/>
      <c r="F46706"/>
    </row>
    <row r="46707" spans="1:6" x14ac:dyDescent="0.25">
      <c r="A46707"/>
      <c r="B46707"/>
      <c r="C46707"/>
      <c r="E46707"/>
      <c r="F46707"/>
    </row>
    <row r="46708" spans="1:6" x14ac:dyDescent="0.25">
      <c r="A46708"/>
      <c r="B46708"/>
      <c r="C46708"/>
      <c r="E46708"/>
      <c r="F46708"/>
    </row>
    <row r="46709" spans="1:6" x14ac:dyDescent="0.25">
      <c r="A46709"/>
      <c r="B46709"/>
      <c r="C46709"/>
      <c r="E46709"/>
      <c r="F46709"/>
    </row>
    <row r="46710" spans="1:6" x14ac:dyDescent="0.25">
      <c r="A46710"/>
      <c r="B46710"/>
      <c r="C46710"/>
      <c r="E46710"/>
      <c r="F46710"/>
    </row>
    <row r="46711" spans="1:6" x14ac:dyDescent="0.25">
      <c r="A46711"/>
      <c r="B46711"/>
      <c r="C46711"/>
      <c r="E46711"/>
      <c r="F46711"/>
    </row>
    <row r="46712" spans="1:6" x14ac:dyDescent="0.25">
      <c r="A46712"/>
      <c r="B46712"/>
      <c r="C46712"/>
      <c r="E46712"/>
      <c r="F46712"/>
    </row>
    <row r="46713" spans="1:6" x14ac:dyDescent="0.25">
      <c r="A46713"/>
      <c r="B46713"/>
      <c r="C46713"/>
      <c r="E46713"/>
      <c r="F46713"/>
    </row>
    <row r="46714" spans="1:6" x14ac:dyDescent="0.25">
      <c r="A46714"/>
      <c r="B46714"/>
      <c r="C46714"/>
      <c r="E46714"/>
      <c r="F46714"/>
    </row>
    <row r="46715" spans="1:6" x14ac:dyDescent="0.25">
      <c r="A46715"/>
      <c r="B46715"/>
      <c r="C46715"/>
      <c r="E46715"/>
      <c r="F46715"/>
    </row>
    <row r="46716" spans="1:6" x14ac:dyDescent="0.25">
      <c r="A46716"/>
      <c r="B46716"/>
      <c r="C46716"/>
      <c r="E46716"/>
      <c r="F46716"/>
    </row>
    <row r="46717" spans="1:6" x14ac:dyDescent="0.25">
      <c r="A46717"/>
      <c r="B46717"/>
      <c r="C46717"/>
      <c r="E46717"/>
      <c r="F46717"/>
    </row>
    <row r="46718" spans="1:6" x14ac:dyDescent="0.25">
      <c r="A46718"/>
      <c r="B46718"/>
      <c r="C46718"/>
      <c r="E46718"/>
      <c r="F46718"/>
    </row>
    <row r="46719" spans="1:6" x14ac:dyDescent="0.25">
      <c r="A46719"/>
      <c r="B46719"/>
      <c r="C46719"/>
      <c r="E46719"/>
      <c r="F46719"/>
    </row>
    <row r="46720" spans="1:6" x14ac:dyDescent="0.25">
      <c r="A46720"/>
      <c r="B46720"/>
      <c r="C46720"/>
      <c r="E46720"/>
      <c r="F46720"/>
    </row>
    <row r="46721" spans="1:6" x14ac:dyDescent="0.25">
      <c r="A46721"/>
      <c r="B46721"/>
      <c r="C46721"/>
      <c r="E46721"/>
      <c r="F46721"/>
    </row>
    <row r="46722" spans="1:6" x14ac:dyDescent="0.25">
      <c r="A46722"/>
      <c r="B46722"/>
      <c r="C46722"/>
      <c r="E46722"/>
      <c r="F46722"/>
    </row>
    <row r="46723" spans="1:6" x14ac:dyDescent="0.25">
      <c r="A46723"/>
      <c r="B46723"/>
      <c r="C46723"/>
      <c r="E46723"/>
      <c r="F46723"/>
    </row>
    <row r="46724" spans="1:6" x14ac:dyDescent="0.25">
      <c r="A46724"/>
      <c r="B46724"/>
      <c r="C46724"/>
      <c r="E46724"/>
      <c r="F46724"/>
    </row>
    <row r="46725" spans="1:6" x14ac:dyDescent="0.25">
      <c r="A46725"/>
      <c r="B46725"/>
      <c r="C46725"/>
      <c r="E46725"/>
      <c r="F46725"/>
    </row>
    <row r="46726" spans="1:6" x14ac:dyDescent="0.25">
      <c r="A46726"/>
      <c r="B46726"/>
      <c r="C46726"/>
      <c r="E46726"/>
      <c r="F46726"/>
    </row>
    <row r="46727" spans="1:6" x14ac:dyDescent="0.25">
      <c r="A46727"/>
      <c r="B46727"/>
      <c r="C46727"/>
      <c r="E46727"/>
      <c r="F46727"/>
    </row>
    <row r="46728" spans="1:6" x14ac:dyDescent="0.25">
      <c r="A46728"/>
      <c r="B46728"/>
      <c r="C46728"/>
      <c r="E46728"/>
      <c r="F46728"/>
    </row>
    <row r="46729" spans="1:6" x14ac:dyDescent="0.25">
      <c r="A46729"/>
      <c r="B46729"/>
      <c r="C46729"/>
      <c r="E46729"/>
      <c r="F46729"/>
    </row>
    <row r="46730" spans="1:6" x14ac:dyDescent="0.25">
      <c r="A46730"/>
      <c r="B46730"/>
      <c r="C46730"/>
      <c r="E46730"/>
      <c r="F46730"/>
    </row>
    <row r="46731" spans="1:6" x14ac:dyDescent="0.25">
      <c r="A46731"/>
      <c r="B46731"/>
      <c r="C46731"/>
      <c r="E46731"/>
      <c r="F46731"/>
    </row>
    <row r="46732" spans="1:6" x14ac:dyDescent="0.25">
      <c r="A46732"/>
      <c r="B46732"/>
      <c r="C46732"/>
      <c r="E46732"/>
      <c r="F46732"/>
    </row>
    <row r="46733" spans="1:6" x14ac:dyDescent="0.25">
      <c r="A46733"/>
      <c r="B46733"/>
      <c r="C46733"/>
      <c r="E46733"/>
      <c r="F46733"/>
    </row>
    <row r="46734" spans="1:6" x14ac:dyDescent="0.25">
      <c r="A46734"/>
      <c r="B46734"/>
      <c r="C46734"/>
      <c r="E46734"/>
      <c r="F46734"/>
    </row>
    <row r="46735" spans="1:6" x14ac:dyDescent="0.25">
      <c r="A46735"/>
      <c r="B46735"/>
      <c r="C46735"/>
      <c r="E46735"/>
      <c r="F46735"/>
    </row>
    <row r="46736" spans="1:6" x14ac:dyDescent="0.25">
      <c r="A46736"/>
      <c r="B46736"/>
      <c r="C46736"/>
      <c r="E46736"/>
      <c r="F46736"/>
    </row>
    <row r="46737" spans="1:6" x14ac:dyDescent="0.25">
      <c r="A46737"/>
      <c r="B46737"/>
      <c r="C46737"/>
      <c r="E46737"/>
      <c r="F46737"/>
    </row>
    <row r="46738" spans="1:6" x14ac:dyDescent="0.25">
      <c r="A46738"/>
      <c r="B46738"/>
      <c r="C46738"/>
      <c r="E46738"/>
      <c r="F46738"/>
    </row>
    <row r="46739" spans="1:6" x14ac:dyDescent="0.25">
      <c r="A46739"/>
      <c r="B46739"/>
      <c r="C46739"/>
      <c r="E46739"/>
      <c r="F46739"/>
    </row>
    <row r="46740" spans="1:6" x14ac:dyDescent="0.25">
      <c r="A46740"/>
      <c r="B46740"/>
      <c r="C46740"/>
      <c r="E46740"/>
      <c r="F46740"/>
    </row>
    <row r="46741" spans="1:6" x14ac:dyDescent="0.25">
      <c r="A46741"/>
      <c r="B46741"/>
      <c r="C46741"/>
      <c r="E46741"/>
      <c r="F46741"/>
    </row>
    <row r="46742" spans="1:6" x14ac:dyDescent="0.25">
      <c r="A46742"/>
      <c r="B46742"/>
      <c r="C46742"/>
      <c r="E46742"/>
      <c r="F46742"/>
    </row>
    <row r="46743" spans="1:6" x14ac:dyDescent="0.25">
      <c r="A46743"/>
      <c r="B46743"/>
      <c r="C46743"/>
      <c r="E46743"/>
      <c r="F46743"/>
    </row>
    <row r="46744" spans="1:6" x14ac:dyDescent="0.25">
      <c r="A46744"/>
      <c r="B46744"/>
      <c r="C46744"/>
      <c r="E46744"/>
      <c r="F46744"/>
    </row>
    <row r="46745" spans="1:6" x14ac:dyDescent="0.25">
      <c r="A46745"/>
      <c r="B46745"/>
      <c r="C46745"/>
      <c r="E46745"/>
      <c r="F46745"/>
    </row>
    <row r="46746" spans="1:6" x14ac:dyDescent="0.25">
      <c r="A46746"/>
      <c r="B46746"/>
      <c r="C46746"/>
      <c r="E46746"/>
      <c r="F46746"/>
    </row>
    <row r="46747" spans="1:6" x14ac:dyDescent="0.25">
      <c r="A46747"/>
      <c r="B46747"/>
      <c r="C46747"/>
      <c r="E46747"/>
      <c r="F46747"/>
    </row>
    <row r="46748" spans="1:6" x14ac:dyDescent="0.25">
      <c r="A46748"/>
      <c r="B46748"/>
      <c r="C46748"/>
      <c r="E46748"/>
      <c r="F46748"/>
    </row>
    <row r="46749" spans="1:6" x14ac:dyDescent="0.25">
      <c r="A46749"/>
      <c r="B46749"/>
      <c r="C46749"/>
      <c r="E46749"/>
      <c r="F46749"/>
    </row>
    <row r="46750" spans="1:6" x14ac:dyDescent="0.25">
      <c r="A46750"/>
      <c r="B46750"/>
      <c r="C46750"/>
      <c r="E46750"/>
      <c r="F46750"/>
    </row>
    <row r="46751" spans="1:6" x14ac:dyDescent="0.25">
      <c r="A46751"/>
      <c r="B46751"/>
      <c r="C46751"/>
      <c r="E46751"/>
      <c r="F46751"/>
    </row>
    <row r="46752" spans="1:6" x14ac:dyDescent="0.25">
      <c r="A46752"/>
      <c r="B46752"/>
      <c r="C46752"/>
      <c r="E46752"/>
      <c r="F46752"/>
    </row>
    <row r="46753" spans="1:6" x14ac:dyDescent="0.25">
      <c r="A46753"/>
      <c r="B46753"/>
      <c r="C46753"/>
      <c r="E46753"/>
      <c r="F46753"/>
    </row>
    <row r="46754" spans="1:6" x14ac:dyDescent="0.25">
      <c r="A46754"/>
      <c r="B46754"/>
      <c r="C46754"/>
      <c r="E46754"/>
      <c r="F46754"/>
    </row>
    <row r="46755" spans="1:6" x14ac:dyDescent="0.25">
      <c r="A46755"/>
      <c r="B46755"/>
      <c r="C46755"/>
      <c r="E46755"/>
      <c r="F46755"/>
    </row>
    <row r="46756" spans="1:6" x14ac:dyDescent="0.25">
      <c r="A46756"/>
      <c r="B46756"/>
      <c r="C46756"/>
      <c r="E46756"/>
      <c r="F46756"/>
    </row>
    <row r="46757" spans="1:6" x14ac:dyDescent="0.25">
      <c r="A46757"/>
      <c r="B46757"/>
      <c r="C46757"/>
      <c r="E46757"/>
      <c r="F46757"/>
    </row>
    <row r="46758" spans="1:6" x14ac:dyDescent="0.25">
      <c r="A46758"/>
      <c r="B46758"/>
      <c r="C46758"/>
      <c r="E46758"/>
      <c r="F46758"/>
    </row>
    <row r="46759" spans="1:6" x14ac:dyDescent="0.25">
      <c r="A46759"/>
      <c r="B46759"/>
      <c r="C46759"/>
      <c r="E46759"/>
      <c r="F46759"/>
    </row>
    <row r="46760" spans="1:6" x14ac:dyDescent="0.25">
      <c r="A46760"/>
      <c r="B46760"/>
      <c r="C46760"/>
      <c r="E46760"/>
      <c r="F46760"/>
    </row>
    <row r="46761" spans="1:6" x14ac:dyDescent="0.25">
      <c r="A46761"/>
      <c r="B46761"/>
      <c r="C46761"/>
      <c r="E46761"/>
      <c r="F46761"/>
    </row>
    <row r="46762" spans="1:6" x14ac:dyDescent="0.25">
      <c r="A46762"/>
      <c r="B46762"/>
      <c r="C46762"/>
      <c r="E46762"/>
      <c r="F46762"/>
    </row>
    <row r="46763" spans="1:6" x14ac:dyDescent="0.25">
      <c r="A46763"/>
      <c r="B46763"/>
      <c r="C46763"/>
      <c r="E46763"/>
      <c r="F46763"/>
    </row>
    <row r="46764" spans="1:6" x14ac:dyDescent="0.25">
      <c r="A46764"/>
      <c r="B46764"/>
      <c r="C46764"/>
      <c r="E46764"/>
      <c r="F46764"/>
    </row>
    <row r="46765" spans="1:6" x14ac:dyDescent="0.25">
      <c r="A46765"/>
      <c r="B46765"/>
      <c r="C46765"/>
      <c r="E46765"/>
      <c r="F46765"/>
    </row>
    <row r="46766" spans="1:6" x14ac:dyDescent="0.25">
      <c r="A46766"/>
      <c r="B46766"/>
      <c r="C46766"/>
      <c r="E46766"/>
      <c r="F46766"/>
    </row>
    <row r="46767" spans="1:6" x14ac:dyDescent="0.25">
      <c r="A46767"/>
      <c r="B46767"/>
      <c r="C46767"/>
      <c r="E46767"/>
      <c r="F46767"/>
    </row>
    <row r="46768" spans="1:6" x14ac:dyDescent="0.25">
      <c r="A46768"/>
      <c r="B46768"/>
      <c r="C46768"/>
      <c r="E46768"/>
      <c r="F46768"/>
    </row>
    <row r="46769" spans="1:6" x14ac:dyDescent="0.25">
      <c r="A46769"/>
      <c r="B46769"/>
      <c r="C46769"/>
      <c r="E46769"/>
      <c r="F46769"/>
    </row>
    <row r="46770" spans="1:6" x14ac:dyDescent="0.25">
      <c r="A46770"/>
      <c r="B46770"/>
      <c r="C46770"/>
      <c r="E46770"/>
      <c r="F46770"/>
    </row>
    <row r="46771" spans="1:6" x14ac:dyDescent="0.25">
      <c r="A46771"/>
      <c r="B46771"/>
      <c r="C46771"/>
      <c r="E46771"/>
      <c r="F46771"/>
    </row>
    <row r="46772" spans="1:6" x14ac:dyDescent="0.25">
      <c r="A46772"/>
      <c r="B46772"/>
      <c r="C46772"/>
      <c r="E46772"/>
      <c r="F46772"/>
    </row>
    <row r="46773" spans="1:6" x14ac:dyDescent="0.25">
      <c r="A46773"/>
      <c r="B46773"/>
      <c r="C46773"/>
      <c r="E46773"/>
      <c r="F46773"/>
    </row>
    <row r="46774" spans="1:6" x14ac:dyDescent="0.25">
      <c r="A46774"/>
      <c r="B46774"/>
      <c r="C46774"/>
      <c r="E46774"/>
      <c r="F46774"/>
    </row>
    <row r="46775" spans="1:6" x14ac:dyDescent="0.25">
      <c r="A46775"/>
      <c r="B46775"/>
      <c r="C46775"/>
      <c r="E46775"/>
      <c r="F46775"/>
    </row>
    <row r="46776" spans="1:6" x14ac:dyDescent="0.25">
      <c r="A46776"/>
      <c r="B46776"/>
      <c r="C46776"/>
      <c r="E46776"/>
      <c r="F46776"/>
    </row>
    <row r="46777" spans="1:6" x14ac:dyDescent="0.25">
      <c r="A46777"/>
      <c r="B46777"/>
      <c r="C46777"/>
      <c r="E46777"/>
      <c r="F46777"/>
    </row>
    <row r="46778" spans="1:6" x14ac:dyDescent="0.25">
      <c r="A46778"/>
      <c r="B46778"/>
      <c r="C46778"/>
      <c r="E46778"/>
      <c r="F46778"/>
    </row>
    <row r="46779" spans="1:6" x14ac:dyDescent="0.25">
      <c r="A46779"/>
      <c r="B46779"/>
      <c r="C46779"/>
      <c r="E46779"/>
      <c r="F46779"/>
    </row>
    <row r="46780" spans="1:6" x14ac:dyDescent="0.25">
      <c r="A46780"/>
      <c r="B46780"/>
      <c r="C46780"/>
      <c r="E46780"/>
      <c r="F46780"/>
    </row>
    <row r="46781" spans="1:6" x14ac:dyDescent="0.25">
      <c r="A46781"/>
      <c r="B46781"/>
      <c r="C46781"/>
      <c r="E46781"/>
      <c r="F46781"/>
    </row>
    <row r="46782" spans="1:6" x14ac:dyDescent="0.25">
      <c r="A46782"/>
      <c r="B46782"/>
      <c r="C46782"/>
      <c r="E46782"/>
      <c r="F46782"/>
    </row>
    <row r="46783" spans="1:6" x14ac:dyDescent="0.25">
      <c r="A46783"/>
      <c r="B46783"/>
      <c r="C46783"/>
      <c r="E46783"/>
      <c r="F46783"/>
    </row>
    <row r="46784" spans="1:6" x14ac:dyDescent="0.25">
      <c r="A46784"/>
      <c r="B46784"/>
      <c r="C46784"/>
      <c r="E46784"/>
      <c r="F46784"/>
    </row>
    <row r="46785" spans="1:6" x14ac:dyDescent="0.25">
      <c r="A46785"/>
      <c r="B46785"/>
      <c r="C46785"/>
      <c r="E46785"/>
      <c r="F46785"/>
    </row>
    <row r="46786" spans="1:6" x14ac:dyDescent="0.25">
      <c r="A46786"/>
      <c r="B46786"/>
      <c r="C46786"/>
      <c r="E46786"/>
      <c r="F46786"/>
    </row>
    <row r="46787" spans="1:6" x14ac:dyDescent="0.25">
      <c r="A46787"/>
      <c r="B46787"/>
      <c r="C46787"/>
      <c r="E46787"/>
      <c r="F46787"/>
    </row>
    <row r="46788" spans="1:6" x14ac:dyDescent="0.25">
      <c r="A46788"/>
      <c r="B46788"/>
      <c r="C46788"/>
      <c r="E46788"/>
      <c r="F46788"/>
    </row>
    <row r="46789" spans="1:6" x14ac:dyDescent="0.25">
      <c r="A46789"/>
      <c r="B46789"/>
      <c r="C46789"/>
      <c r="E46789"/>
      <c r="F46789"/>
    </row>
    <row r="46790" spans="1:6" x14ac:dyDescent="0.25">
      <c r="A46790"/>
      <c r="B46790"/>
      <c r="C46790"/>
      <c r="E46790"/>
      <c r="F46790"/>
    </row>
    <row r="46791" spans="1:6" x14ac:dyDescent="0.25">
      <c r="A46791"/>
      <c r="B46791"/>
      <c r="C46791"/>
      <c r="E46791"/>
      <c r="F46791"/>
    </row>
    <row r="46792" spans="1:6" x14ac:dyDescent="0.25">
      <c r="A46792"/>
      <c r="B46792"/>
      <c r="C46792"/>
      <c r="E46792"/>
      <c r="F46792"/>
    </row>
    <row r="46793" spans="1:6" x14ac:dyDescent="0.25">
      <c r="A46793"/>
      <c r="B46793"/>
      <c r="C46793"/>
      <c r="E46793"/>
      <c r="F46793"/>
    </row>
    <row r="46794" spans="1:6" x14ac:dyDescent="0.25">
      <c r="A46794"/>
      <c r="B46794"/>
      <c r="C46794"/>
      <c r="E46794"/>
      <c r="F46794"/>
    </row>
    <row r="46795" spans="1:6" x14ac:dyDescent="0.25">
      <c r="A46795"/>
      <c r="B46795"/>
      <c r="C46795"/>
      <c r="E46795"/>
      <c r="F46795"/>
    </row>
    <row r="46796" spans="1:6" x14ac:dyDescent="0.25">
      <c r="A46796"/>
      <c r="B46796"/>
      <c r="C46796"/>
      <c r="E46796"/>
      <c r="F46796"/>
    </row>
    <row r="46797" spans="1:6" x14ac:dyDescent="0.25">
      <c r="A46797"/>
      <c r="B46797"/>
      <c r="C46797"/>
      <c r="E46797"/>
      <c r="F46797"/>
    </row>
    <row r="46798" spans="1:6" x14ac:dyDescent="0.25">
      <c r="A46798"/>
      <c r="B46798"/>
      <c r="C46798"/>
      <c r="E46798"/>
      <c r="F46798"/>
    </row>
    <row r="46799" spans="1:6" x14ac:dyDescent="0.25">
      <c r="A46799"/>
      <c r="B46799"/>
      <c r="C46799"/>
      <c r="E46799"/>
      <c r="F46799"/>
    </row>
    <row r="46800" spans="1:6" x14ac:dyDescent="0.25">
      <c r="A46800"/>
      <c r="B46800"/>
      <c r="C46800"/>
      <c r="E46800"/>
      <c r="F46800"/>
    </row>
    <row r="46801" spans="1:6" x14ac:dyDescent="0.25">
      <c r="A46801"/>
      <c r="B46801"/>
      <c r="C46801"/>
      <c r="E46801"/>
      <c r="F46801"/>
    </row>
    <row r="46802" spans="1:6" x14ac:dyDescent="0.25">
      <c r="A46802"/>
      <c r="B46802"/>
      <c r="C46802"/>
      <c r="E46802"/>
      <c r="F46802"/>
    </row>
    <row r="46803" spans="1:6" x14ac:dyDescent="0.25">
      <c r="A46803"/>
      <c r="B46803"/>
      <c r="C46803"/>
      <c r="E46803"/>
      <c r="F46803"/>
    </row>
    <row r="46804" spans="1:6" x14ac:dyDescent="0.25">
      <c r="A46804"/>
      <c r="B46804"/>
      <c r="C46804"/>
      <c r="E46804"/>
      <c r="F46804"/>
    </row>
    <row r="46805" spans="1:6" x14ac:dyDescent="0.25">
      <c r="A46805"/>
      <c r="B46805"/>
      <c r="C46805"/>
      <c r="E46805"/>
      <c r="F46805"/>
    </row>
    <row r="46806" spans="1:6" x14ac:dyDescent="0.25">
      <c r="A46806"/>
      <c r="B46806"/>
      <c r="C46806"/>
      <c r="E46806"/>
      <c r="F46806"/>
    </row>
    <row r="46807" spans="1:6" x14ac:dyDescent="0.25">
      <c r="A46807"/>
      <c r="B46807"/>
      <c r="C46807"/>
      <c r="E46807"/>
      <c r="F46807"/>
    </row>
    <row r="46808" spans="1:6" x14ac:dyDescent="0.25">
      <c r="A46808"/>
      <c r="B46808"/>
      <c r="C46808"/>
      <c r="E46808"/>
      <c r="F46808"/>
    </row>
    <row r="46809" spans="1:6" x14ac:dyDescent="0.25">
      <c r="A46809"/>
      <c r="B46809"/>
      <c r="C46809"/>
      <c r="E46809"/>
      <c r="F46809"/>
    </row>
    <row r="46810" spans="1:6" x14ac:dyDescent="0.25">
      <c r="A46810"/>
      <c r="B46810"/>
      <c r="C46810"/>
      <c r="E46810"/>
      <c r="F46810"/>
    </row>
    <row r="46811" spans="1:6" x14ac:dyDescent="0.25">
      <c r="A46811"/>
      <c r="B46811"/>
      <c r="C46811"/>
      <c r="E46811"/>
      <c r="F46811"/>
    </row>
    <row r="46812" spans="1:6" x14ac:dyDescent="0.25">
      <c r="A46812"/>
      <c r="B46812"/>
      <c r="C46812"/>
      <c r="E46812"/>
      <c r="F46812"/>
    </row>
    <row r="46813" spans="1:6" x14ac:dyDescent="0.25">
      <c r="A46813"/>
      <c r="B46813"/>
      <c r="C46813"/>
      <c r="E46813"/>
      <c r="F46813"/>
    </row>
    <row r="46814" spans="1:6" x14ac:dyDescent="0.25">
      <c r="A46814"/>
      <c r="B46814"/>
      <c r="C46814"/>
      <c r="E46814"/>
      <c r="F46814"/>
    </row>
    <row r="46815" spans="1:6" x14ac:dyDescent="0.25">
      <c r="A46815"/>
      <c r="B46815"/>
      <c r="C46815"/>
      <c r="E46815"/>
      <c r="F46815"/>
    </row>
    <row r="46816" spans="1:6" x14ac:dyDescent="0.25">
      <c r="A46816"/>
      <c r="B46816"/>
      <c r="C46816"/>
      <c r="E46816"/>
      <c r="F46816"/>
    </row>
    <row r="46817" spans="1:6" x14ac:dyDescent="0.25">
      <c r="A46817"/>
      <c r="B46817"/>
      <c r="C46817"/>
      <c r="E46817"/>
      <c r="F46817"/>
    </row>
    <row r="46818" spans="1:6" x14ac:dyDescent="0.25">
      <c r="A46818"/>
      <c r="B46818"/>
      <c r="C46818"/>
      <c r="E46818"/>
      <c r="F46818"/>
    </row>
    <row r="46819" spans="1:6" x14ac:dyDescent="0.25">
      <c r="A46819"/>
      <c r="B46819"/>
      <c r="C46819"/>
      <c r="E46819"/>
      <c r="F46819"/>
    </row>
    <row r="46820" spans="1:6" x14ac:dyDescent="0.25">
      <c r="A46820"/>
      <c r="B46820"/>
      <c r="C46820"/>
      <c r="E46820"/>
      <c r="F46820"/>
    </row>
    <row r="46821" spans="1:6" x14ac:dyDescent="0.25">
      <c r="A46821"/>
      <c r="B46821"/>
      <c r="C46821"/>
      <c r="E46821"/>
      <c r="F46821"/>
    </row>
    <row r="46822" spans="1:6" x14ac:dyDescent="0.25">
      <c r="A46822"/>
      <c r="B46822"/>
      <c r="C46822"/>
      <c r="E46822"/>
      <c r="F46822"/>
    </row>
    <row r="46823" spans="1:6" x14ac:dyDescent="0.25">
      <c r="A46823"/>
      <c r="B46823"/>
      <c r="C46823"/>
      <c r="E46823"/>
      <c r="F46823"/>
    </row>
    <row r="46824" spans="1:6" x14ac:dyDescent="0.25">
      <c r="A46824"/>
      <c r="B46824"/>
      <c r="C46824"/>
      <c r="E46824"/>
      <c r="F46824"/>
    </row>
    <row r="46825" spans="1:6" x14ac:dyDescent="0.25">
      <c r="A46825"/>
      <c r="B46825"/>
      <c r="C46825"/>
      <c r="E46825"/>
      <c r="F46825"/>
    </row>
    <row r="46826" spans="1:6" x14ac:dyDescent="0.25">
      <c r="A46826"/>
      <c r="B46826"/>
      <c r="C46826"/>
      <c r="E46826"/>
      <c r="F46826"/>
    </row>
    <row r="46827" spans="1:6" x14ac:dyDescent="0.25">
      <c r="A46827"/>
      <c r="B46827"/>
      <c r="C46827"/>
      <c r="E46827"/>
      <c r="F46827"/>
    </row>
    <row r="46828" spans="1:6" x14ac:dyDescent="0.25">
      <c r="A46828"/>
      <c r="B46828"/>
      <c r="C46828"/>
      <c r="E46828"/>
      <c r="F46828"/>
    </row>
    <row r="46829" spans="1:6" x14ac:dyDescent="0.25">
      <c r="A46829"/>
      <c r="B46829"/>
      <c r="C46829"/>
      <c r="E46829"/>
      <c r="F46829"/>
    </row>
    <row r="46830" spans="1:6" x14ac:dyDescent="0.25">
      <c r="A46830"/>
      <c r="B46830"/>
      <c r="C46830"/>
      <c r="E46830"/>
      <c r="F46830"/>
    </row>
    <row r="46831" spans="1:6" x14ac:dyDescent="0.25">
      <c r="A46831"/>
      <c r="B46831"/>
      <c r="C46831"/>
      <c r="E46831"/>
      <c r="F46831"/>
    </row>
    <row r="46832" spans="1:6" x14ac:dyDescent="0.25">
      <c r="A46832"/>
      <c r="B46832"/>
      <c r="C46832"/>
      <c r="E46832"/>
      <c r="F46832"/>
    </row>
    <row r="46833" spans="1:6" x14ac:dyDescent="0.25">
      <c r="A46833"/>
      <c r="B46833"/>
      <c r="C46833"/>
      <c r="E46833"/>
      <c r="F46833"/>
    </row>
    <row r="46834" spans="1:6" x14ac:dyDescent="0.25">
      <c r="A46834"/>
      <c r="B46834"/>
      <c r="C46834"/>
      <c r="E46834"/>
      <c r="F46834"/>
    </row>
    <row r="46835" spans="1:6" x14ac:dyDescent="0.25">
      <c r="A46835"/>
      <c r="B46835"/>
      <c r="C46835"/>
      <c r="E46835"/>
      <c r="F46835"/>
    </row>
    <row r="46836" spans="1:6" x14ac:dyDescent="0.25">
      <c r="A46836"/>
      <c r="B46836"/>
      <c r="C46836"/>
      <c r="E46836"/>
      <c r="F46836"/>
    </row>
    <row r="46837" spans="1:6" x14ac:dyDescent="0.25">
      <c r="A46837"/>
      <c r="B46837"/>
      <c r="C46837"/>
      <c r="E46837"/>
      <c r="F46837"/>
    </row>
    <row r="46838" spans="1:6" x14ac:dyDescent="0.25">
      <c r="A46838"/>
      <c r="B46838"/>
      <c r="C46838"/>
      <c r="E46838"/>
      <c r="F46838"/>
    </row>
    <row r="46839" spans="1:6" x14ac:dyDescent="0.25">
      <c r="A46839"/>
      <c r="B46839"/>
      <c r="C46839"/>
      <c r="E46839"/>
      <c r="F46839"/>
    </row>
    <row r="46840" spans="1:6" x14ac:dyDescent="0.25">
      <c r="A46840"/>
      <c r="B46840"/>
      <c r="C46840"/>
      <c r="E46840"/>
      <c r="F46840"/>
    </row>
    <row r="46841" spans="1:6" x14ac:dyDescent="0.25">
      <c r="A46841"/>
      <c r="B46841"/>
      <c r="C46841"/>
      <c r="E46841"/>
      <c r="F46841"/>
    </row>
    <row r="46842" spans="1:6" x14ac:dyDescent="0.25">
      <c r="A46842"/>
      <c r="B46842"/>
      <c r="C46842"/>
      <c r="E46842"/>
      <c r="F46842"/>
    </row>
    <row r="46843" spans="1:6" x14ac:dyDescent="0.25">
      <c r="A46843"/>
      <c r="B46843"/>
      <c r="C46843"/>
      <c r="E46843"/>
      <c r="F46843"/>
    </row>
    <row r="46844" spans="1:6" x14ac:dyDescent="0.25">
      <c r="A46844"/>
      <c r="B46844"/>
      <c r="C46844"/>
      <c r="E46844"/>
      <c r="F46844"/>
    </row>
    <row r="46845" spans="1:6" x14ac:dyDescent="0.25">
      <c r="A46845"/>
      <c r="B46845"/>
      <c r="C46845"/>
      <c r="E46845"/>
      <c r="F46845"/>
    </row>
    <row r="46846" spans="1:6" x14ac:dyDescent="0.25">
      <c r="A46846"/>
      <c r="B46846"/>
      <c r="C46846"/>
      <c r="E46846"/>
      <c r="F46846"/>
    </row>
    <row r="46847" spans="1:6" x14ac:dyDescent="0.25">
      <c r="A46847"/>
      <c r="B46847"/>
      <c r="C46847"/>
      <c r="E46847"/>
      <c r="F46847"/>
    </row>
    <row r="46848" spans="1:6" x14ac:dyDescent="0.25">
      <c r="A46848"/>
      <c r="B46848"/>
      <c r="C46848"/>
      <c r="E46848"/>
      <c r="F46848"/>
    </row>
    <row r="46849" spans="1:6" x14ac:dyDescent="0.25">
      <c r="A46849"/>
      <c r="B46849"/>
      <c r="C46849"/>
      <c r="E46849"/>
      <c r="F46849"/>
    </row>
    <row r="46850" spans="1:6" x14ac:dyDescent="0.25">
      <c r="A46850"/>
      <c r="B46850"/>
      <c r="C46850"/>
      <c r="E46850"/>
      <c r="F46850"/>
    </row>
    <row r="46851" spans="1:6" x14ac:dyDescent="0.25">
      <c r="A46851"/>
      <c r="B46851"/>
      <c r="C46851"/>
      <c r="E46851"/>
      <c r="F46851"/>
    </row>
    <row r="46852" spans="1:6" x14ac:dyDescent="0.25">
      <c r="A46852"/>
      <c r="B46852"/>
      <c r="C46852"/>
      <c r="E46852"/>
      <c r="F46852"/>
    </row>
    <row r="46853" spans="1:6" x14ac:dyDescent="0.25">
      <c r="A46853"/>
      <c r="B46853"/>
      <c r="C46853"/>
      <c r="E46853"/>
      <c r="F46853"/>
    </row>
    <row r="46854" spans="1:6" x14ac:dyDescent="0.25">
      <c r="A46854"/>
      <c r="B46854"/>
      <c r="C46854"/>
      <c r="E46854"/>
      <c r="F46854"/>
    </row>
    <row r="46855" spans="1:6" x14ac:dyDescent="0.25">
      <c r="A46855"/>
      <c r="B46855"/>
      <c r="C46855"/>
      <c r="E46855"/>
      <c r="F46855"/>
    </row>
    <row r="46856" spans="1:6" x14ac:dyDescent="0.25">
      <c r="A46856"/>
      <c r="B46856"/>
      <c r="C46856"/>
      <c r="E46856"/>
      <c r="F46856"/>
    </row>
    <row r="46857" spans="1:6" x14ac:dyDescent="0.25">
      <c r="A46857"/>
      <c r="B46857"/>
      <c r="C46857"/>
      <c r="E46857"/>
      <c r="F46857"/>
    </row>
    <row r="46858" spans="1:6" x14ac:dyDescent="0.25">
      <c r="A46858"/>
      <c r="B46858"/>
      <c r="C46858"/>
      <c r="E46858"/>
      <c r="F46858"/>
    </row>
    <row r="46859" spans="1:6" x14ac:dyDescent="0.25">
      <c r="A46859"/>
      <c r="B46859"/>
      <c r="C46859"/>
      <c r="E46859"/>
      <c r="F46859"/>
    </row>
    <row r="46860" spans="1:6" x14ac:dyDescent="0.25">
      <c r="A46860"/>
      <c r="B46860"/>
      <c r="C46860"/>
      <c r="E46860"/>
      <c r="F46860"/>
    </row>
    <row r="46861" spans="1:6" x14ac:dyDescent="0.25">
      <c r="A46861"/>
      <c r="B46861"/>
      <c r="C46861"/>
      <c r="E46861"/>
      <c r="F46861"/>
    </row>
    <row r="46862" spans="1:6" x14ac:dyDescent="0.25">
      <c r="A46862"/>
      <c r="B46862"/>
      <c r="C46862"/>
      <c r="E46862"/>
      <c r="F46862"/>
    </row>
    <row r="46863" spans="1:6" x14ac:dyDescent="0.25">
      <c r="A46863"/>
      <c r="B46863"/>
      <c r="C46863"/>
      <c r="E46863"/>
      <c r="F46863"/>
    </row>
    <row r="46864" spans="1:6" x14ac:dyDescent="0.25">
      <c r="A46864"/>
      <c r="B46864"/>
      <c r="C46864"/>
      <c r="E46864"/>
      <c r="F46864"/>
    </row>
    <row r="46865" spans="1:6" x14ac:dyDescent="0.25">
      <c r="A46865"/>
      <c r="B46865"/>
      <c r="C46865"/>
      <c r="E46865"/>
      <c r="F46865"/>
    </row>
    <row r="46866" spans="1:6" x14ac:dyDescent="0.25">
      <c r="A46866"/>
      <c r="B46866"/>
      <c r="C46866"/>
      <c r="E46866"/>
      <c r="F46866"/>
    </row>
    <row r="46867" spans="1:6" x14ac:dyDescent="0.25">
      <c r="A46867"/>
      <c r="B46867"/>
      <c r="C46867"/>
      <c r="E46867"/>
      <c r="F46867"/>
    </row>
    <row r="46868" spans="1:6" x14ac:dyDescent="0.25">
      <c r="A46868"/>
      <c r="B46868"/>
      <c r="C46868"/>
      <c r="E46868"/>
      <c r="F46868"/>
    </row>
    <row r="46869" spans="1:6" x14ac:dyDescent="0.25">
      <c r="A46869"/>
      <c r="B46869"/>
      <c r="C46869"/>
      <c r="E46869"/>
      <c r="F46869"/>
    </row>
    <row r="46870" spans="1:6" x14ac:dyDescent="0.25">
      <c r="A46870"/>
      <c r="B46870"/>
      <c r="C46870"/>
      <c r="E46870"/>
      <c r="F46870"/>
    </row>
    <row r="46871" spans="1:6" x14ac:dyDescent="0.25">
      <c r="A46871"/>
      <c r="B46871"/>
      <c r="C46871"/>
      <c r="E46871"/>
      <c r="F46871"/>
    </row>
    <row r="46872" spans="1:6" x14ac:dyDescent="0.25">
      <c r="A46872"/>
      <c r="B46872"/>
      <c r="C46872"/>
      <c r="E46872"/>
      <c r="F46872"/>
    </row>
    <row r="46873" spans="1:6" x14ac:dyDescent="0.25">
      <c r="A46873"/>
      <c r="B46873"/>
      <c r="C46873"/>
      <c r="E46873"/>
      <c r="F46873"/>
    </row>
    <row r="46874" spans="1:6" x14ac:dyDescent="0.25">
      <c r="A46874"/>
      <c r="B46874"/>
      <c r="C46874"/>
      <c r="E46874"/>
      <c r="F46874"/>
    </row>
    <row r="46875" spans="1:6" x14ac:dyDescent="0.25">
      <c r="A46875"/>
      <c r="B46875"/>
      <c r="C46875"/>
      <c r="E46875"/>
      <c r="F46875"/>
    </row>
    <row r="46876" spans="1:6" x14ac:dyDescent="0.25">
      <c r="A46876"/>
      <c r="B46876"/>
      <c r="C46876"/>
      <c r="E46876"/>
      <c r="F46876"/>
    </row>
    <row r="46877" spans="1:6" x14ac:dyDescent="0.25">
      <c r="A46877"/>
      <c r="B46877"/>
      <c r="C46877"/>
      <c r="E46877"/>
      <c r="F46877"/>
    </row>
    <row r="46878" spans="1:6" x14ac:dyDescent="0.25">
      <c r="A46878"/>
      <c r="B46878"/>
      <c r="C46878"/>
      <c r="E46878"/>
      <c r="F46878"/>
    </row>
    <row r="46879" spans="1:6" x14ac:dyDescent="0.25">
      <c r="A46879"/>
      <c r="B46879"/>
      <c r="C46879"/>
      <c r="E46879"/>
      <c r="F46879"/>
    </row>
    <row r="46880" spans="1:6" x14ac:dyDescent="0.25">
      <c r="A46880"/>
      <c r="B46880"/>
      <c r="C46880"/>
      <c r="E46880"/>
      <c r="F46880"/>
    </row>
    <row r="46881" spans="1:6" x14ac:dyDescent="0.25">
      <c r="A46881"/>
      <c r="B46881"/>
      <c r="C46881"/>
      <c r="E46881"/>
      <c r="F46881"/>
    </row>
    <row r="46882" spans="1:6" x14ac:dyDescent="0.25">
      <c r="A46882"/>
      <c r="B46882"/>
      <c r="C46882"/>
      <c r="E46882"/>
      <c r="F46882"/>
    </row>
    <row r="46883" spans="1:6" x14ac:dyDescent="0.25">
      <c r="A46883"/>
      <c r="B46883"/>
      <c r="C46883"/>
      <c r="E46883"/>
      <c r="F46883"/>
    </row>
    <row r="46884" spans="1:6" x14ac:dyDescent="0.25">
      <c r="A46884"/>
      <c r="B46884"/>
      <c r="C46884"/>
      <c r="E46884"/>
      <c r="F46884"/>
    </row>
    <row r="46885" spans="1:6" x14ac:dyDescent="0.25">
      <c r="A46885"/>
      <c r="B46885"/>
      <c r="C46885"/>
      <c r="E46885"/>
      <c r="F46885"/>
    </row>
    <row r="46886" spans="1:6" x14ac:dyDescent="0.25">
      <c r="A46886"/>
      <c r="B46886"/>
      <c r="C46886"/>
      <c r="E46886"/>
      <c r="F46886"/>
    </row>
    <row r="46887" spans="1:6" x14ac:dyDescent="0.25">
      <c r="A46887"/>
      <c r="B46887"/>
      <c r="C46887"/>
      <c r="E46887"/>
      <c r="F46887"/>
    </row>
    <row r="46888" spans="1:6" x14ac:dyDescent="0.25">
      <c r="A46888"/>
      <c r="B46888"/>
      <c r="C46888"/>
      <c r="E46888"/>
      <c r="F46888"/>
    </row>
    <row r="46889" spans="1:6" x14ac:dyDescent="0.25">
      <c r="A46889"/>
      <c r="B46889"/>
      <c r="C46889"/>
      <c r="E46889"/>
      <c r="F46889"/>
    </row>
    <row r="46890" spans="1:6" x14ac:dyDescent="0.25">
      <c r="A46890"/>
      <c r="B46890"/>
      <c r="C46890"/>
      <c r="E46890"/>
      <c r="F46890"/>
    </row>
    <row r="46891" spans="1:6" x14ac:dyDescent="0.25">
      <c r="A46891"/>
      <c r="B46891"/>
      <c r="C46891"/>
      <c r="E46891"/>
      <c r="F46891"/>
    </row>
    <row r="46892" spans="1:6" x14ac:dyDescent="0.25">
      <c r="A46892"/>
      <c r="B46892"/>
      <c r="C46892"/>
      <c r="E46892"/>
      <c r="F46892"/>
    </row>
    <row r="46893" spans="1:6" x14ac:dyDescent="0.25">
      <c r="A46893"/>
      <c r="B46893"/>
      <c r="C46893"/>
      <c r="E46893"/>
      <c r="F46893"/>
    </row>
    <row r="46894" spans="1:6" x14ac:dyDescent="0.25">
      <c r="A46894"/>
      <c r="B46894"/>
      <c r="C46894"/>
      <c r="E46894"/>
      <c r="F46894"/>
    </row>
    <row r="46895" spans="1:6" x14ac:dyDescent="0.25">
      <c r="A46895"/>
      <c r="B46895"/>
      <c r="C46895"/>
      <c r="E46895"/>
      <c r="F46895"/>
    </row>
    <row r="46896" spans="1:6" x14ac:dyDescent="0.25">
      <c r="A46896"/>
      <c r="B46896"/>
      <c r="C46896"/>
      <c r="E46896"/>
      <c r="F46896"/>
    </row>
    <row r="46897" spans="1:6" x14ac:dyDescent="0.25">
      <c r="A46897"/>
      <c r="B46897"/>
      <c r="C46897"/>
      <c r="E46897"/>
      <c r="F46897"/>
    </row>
    <row r="46898" spans="1:6" x14ac:dyDescent="0.25">
      <c r="A46898"/>
      <c r="B46898"/>
      <c r="C46898"/>
      <c r="E46898"/>
      <c r="F46898"/>
    </row>
    <row r="46899" spans="1:6" x14ac:dyDescent="0.25">
      <c r="A46899"/>
      <c r="B46899"/>
      <c r="C46899"/>
      <c r="E46899"/>
      <c r="F46899"/>
    </row>
    <row r="46900" spans="1:6" x14ac:dyDescent="0.25">
      <c r="A46900"/>
      <c r="B46900"/>
      <c r="C46900"/>
      <c r="E46900"/>
      <c r="F46900"/>
    </row>
    <row r="46901" spans="1:6" x14ac:dyDescent="0.25">
      <c r="A46901"/>
      <c r="B46901"/>
      <c r="C46901"/>
      <c r="E46901"/>
      <c r="F46901"/>
    </row>
    <row r="46902" spans="1:6" x14ac:dyDescent="0.25">
      <c r="A46902"/>
      <c r="B46902"/>
      <c r="C46902"/>
      <c r="E46902"/>
      <c r="F46902"/>
    </row>
    <row r="46903" spans="1:6" x14ac:dyDescent="0.25">
      <c r="A46903"/>
      <c r="B46903"/>
      <c r="C46903"/>
      <c r="E46903"/>
      <c r="F46903"/>
    </row>
    <row r="46904" spans="1:6" x14ac:dyDescent="0.25">
      <c r="A46904"/>
      <c r="B46904"/>
      <c r="C46904"/>
      <c r="E46904"/>
      <c r="F46904"/>
    </row>
    <row r="46905" spans="1:6" x14ac:dyDescent="0.25">
      <c r="A46905"/>
      <c r="B46905"/>
      <c r="C46905"/>
      <c r="E46905"/>
      <c r="F46905"/>
    </row>
    <row r="46906" spans="1:6" x14ac:dyDescent="0.25">
      <c r="A46906"/>
      <c r="B46906"/>
      <c r="C46906"/>
      <c r="E46906"/>
      <c r="F46906"/>
    </row>
    <row r="46907" spans="1:6" x14ac:dyDescent="0.25">
      <c r="A46907"/>
      <c r="B46907"/>
      <c r="C46907"/>
      <c r="E46907"/>
      <c r="F46907"/>
    </row>
    <row r="46908" spans="1:6" x14ac:dyDescent="0.25">
      <c r="A46908"/>
      <c r="B46908"/>
      <c r="C46908"/>
      <c r="E46908"/>
      <c r="F46908"/>
    </row>
    <row r="46909" spans="1:6" x14ac:dyDescent="0.25">
      <c r="A46909"/>
      <c r="B46909"/>
      <c r="C46909"/>
      <c r="E46909"/>
      <c r="F46909"/>
    </row>
    <row r="46910" spans="1:6" x14ac:dyDescent="0.25">
      <c r="A46910"/>
      <c r="B46910"/>
      <c r="C46910"/>
      <c r="E46910"/>
      <c r="F46910"/>
    </row>
    <row r="46911" spans="1:6" x14ac:dyDescent="0.25">
      <c r="A46911"/>
      <c r="B46911"/>
      <c r="C46911"/>
      <c r="E46911"/>
      <c r="F46911"/>
    </row>
    <row r="46912" spans="1:6" x14ac:dyDescent="0.25">
      <c r="A46912"/>
      <c r="B46912"/>
      <c r="C46912"/>
      <c r="E46912"/>
      <c r="F46912"/>
    </row>
    <row r="46913" spans="1:6" x14ac:dyDescent="0.25">
      <c r="A46913"/>
      <c r="B46913"/>
      <c r="C46913"/>
      <c r="E46913"/>
      <c r="F46913"/>
    </row>
    <row r="46914" spans="1:6" x14ac:dyDescent="0.25">
      <c r="A46914"/>
      <c r="B46914"/>
      <c r="C46914"/>
      <c r="E46914"/>
      <c r="F46914"/>
    </row>
    <row r="46915" spans="1:6" x14ac:dyDescent="0.25">
      <c r="A46915"/>
      <c r="B46915"/>
      <c r="C46915"/>
      <c r="E46915"/>
      <c r="F46915"/>
    </row>
    <row r="46916" spans="1:6" x14ac:dyDescent="0.25">
      <c r="A46916"/>
      <c r="B46916"/>
      <c r="C46916"/>
      <c r="E46916"/>
      <c r="F46916"/>
    </row>
    <row r="46917" spans="1:6" x14ac:dyDescent="0.25">
      <c r="A46917"/>
      <c r="B46917"/>
      <c r="C46917"/>
      <c r="E46917"/>
      <c r="F46917"/>
    </row>
    <row r="46918" spans="1:6" x14ac:dyDescent="0.25">
      <c r="A46918"/>
      <c r="B46918"/>
      <c r="C46918"/>
      <c r="E46918"/>
      <c r="F46918"/>
    </row>
    <row r="46919" spans="1:6" x14ac:dyDescent="0.25">
      <c r="A46919"/>
      <c r="B46919"/>
      <c r="C46919"/>
      <c r="E46919"/>
      <c r="F46919"/>
    </row>
    <row r="46920" spans="1:6" x14ac:dyDescent="0.25">
      <c r="A46920"/>
      <c r="B46920"/>
      <c r="C46920"/>
      <c r="E46920"/>
      <c r="F46920"/>
    </row>
    <row r="46921" spans="1:6" x14ac:dyDescent="0.25">
      <c r="A46921"/>
      <c r="B46921"/>
      <c r="C46921"/>
      <c r="E46921"/>
      <c r="F46921"/>
    </row>
    <row r="46922" spans="1:6" x14ac:dyDescent="0.25">
      <c r="A46922"/>
      <c r="B46922"/>
      <c r="C46922"/>
      <c r="E46922"/>
      <c r="F46922"/>
    </row>
    <row r="46923" spans="1:6" x14ac:dyDescent="0.25">
      <c r="A46923"/>
      <c r="B46923"/>
      <c r="C46923"/>
      <c r="E46923"/>
      <c r="F46923"/>
    </row>
    <row r="46924" spans="1:6" x14ac:dyDescent="0.25">
      <c r="A46924"/>
      <c r="B46924"/>
      <c r="C46924"/>
      <c r="E46924"/>
      <c r="F46924"/>
    </row>
    <row r="46925" spans="1:6" x14ac:dyDescent="0.25">
      <c r="A46925"/>
      <c r="B46925"/>
      <c r="C46925"/>
      <c r="E46925"/>
      <c r="F46925"/>
    </row>
    <row r="46926" spans="1:6" x14ac:dyDescent="0.25">
      <c r="A46926"/>
      <c r="B46926"/>
      <c r="C46926"/>
      <c r="E46926"/>
      <c r="F46926"/>
    </row>
    <row r="46927" spans="1:6" x14ac:dyDescent="0.25">
      <c r="A46927"/>
      <c r="B46927"/>
      <c r="C46927"/>
      <c r="E46927"/>
      <c r="F46927"/>
    </row>
    <row r="46928" spans="1:6" x14ac:dyDescent="0.25">
      <c r="A46928"/>
      <c r="B46928"/>
      <c r="C46928"/>
      <c r="E46928"/>
      <c r="F46928"/>
    </row>
    <row r="46929" spans="1:6" x14ac:dyDescent="0.25">
      <c r="A46929"/>
      <c r="B46929"/>
      <c r="C46929"/>
      <c r="E46929"/>
      <c r="F46929"/>
    </row>
    <row r="46930" spans="1:6" x14ac:dyDescent="0.25">
      <c r="A46930"/>
      <c r="B46930"/>
      <c r="C46930"/>
      <c r="E46930"/>
      <c r="F46930"/>
    </row>
    <row r="46931" spans="1:6" x14ac:dyDescent="0.25">
      <c r="A46931"/>
      <c r="B46931"/>
      <c r="C46931"/>
      <c r="E46931"/>
      <c r="F46931"/>
    </row>
    <row r="46932" spans="1:6" x14ac:dyDescent="0.25">
      <c r="A46932"/>
      <c r="B46932"/>
      <c r="C46932"/>
      <c r="E46932"/>
      <c r="F46932"/>
    </row>
    <row r="46933" spans="1:6" x14ac:dyDescent="0.25">
      <c r="A46933"/>
      <c r="B46933"/>
      <c r="C46933"/>
      <c r="E46933"/>
      <c r="F46933"/>
    </row>
    <row r="46934" spans="1:6" x14ac:dyDescent="0.25">
      <c r="A46934"/>
      <c r="B46934"/>
      <c r="C46934"/>
      <c r="E46934"/>
      <c r="F46934"/>
    </row>
    <row r="46935" spans="1:6" x14ac:dyDescent="0.25">
      <c r="A46935"/>
      <c r="B46935"/>
      <c r="C46935"/>
      <c r="E46935"/>
      <c r="F46935"/>
    </row>
    <row r="46936" spans="1:6" x14ac:dyDescent="0.25">
      <c r="A46936"/>
      <c r="B46936"/>
      <c r="C46936"/>
      <c r="E46936"/>
      <c r="F46936"/>
    </row>
    <row r="46937" spans="1:6" x14ac:dyDescent="0.25">
      <c r="A46937"/>
      <c r="B46937"/>
      <c r="C46937"/>
      <c r="E46937"/>
      <c r="F46937"/>
    </row>
    <row r="46938" spans="1:6" x14ac:dyDescent="0.25">
      <c r="A46938"/>
      <c r="B46938"/>
      <c r="C46938"/>
      <c r="E46938"/>
      <c r="F46938"/>
    </row>
    <row r="46939" spans="1:6" x14ac:dyDescent="0.25">
      <c r="A46939"/>
      <c r="B46939"/>
      <c r="C46939"/>
      <c r="E46939"/>
      <c r="F46939"/>
    </row>
    <row r="46940" spans="1:6" x14ac:dyDescent="0.25">
      <c r="A46940"/>
      <c r="B46940"/>
      <c r="C46940"/>
      <c r="E46940"/>
      <c r="F46940"/>
    </row>
    <row r="46941" spans="1:6" x14ac:dyDescent="0.25">
      <c r="A46941"/>
      <c r="B46941"/>
      <c r="C46941"/>
      <c r="E46941"/>
      <c r="F46941"/>
    </row>
    <row r="46942" spans="1:6" x14ac:dyDescent="0.25">
      <c r="A46942"/>
      <c r="B46942"/>
      <c r="C46942"/>
      <c r="E46942"/>
      <c r="F46942"/>
    </row>
    <row r="46943" spans="1:6" x14ac:dyDescent="0.25">
      <c r="A46943"/>
      <c r="B46943"/>
      <c r="C46943"/>
      <c r="E46943"/>
      <c r="F46943"/>
    </row>
    <row r="46944" spans="1:6" x14ac:dyDescent="0.25">
      <c r="A46944"/>
      <c r="B46944"/>
      <c r="C46944"/>
      <c r="E46944"/>
      <c r="F46944"/>
    </row>
    <row r="46945" spans="1:6" x14ac:dyDescent="0.25">
      <c r="A46945"/>
      <c r="B46945"/>
      <c r="C46945"/>
      <c r="E46945"/>
      <c r="F46945"/>
    </row>
    <row r="46946" spans="1:6" x14ac:dyDescent="0.25">
      <c r="A46946"/>
      <c r="B46946"/>
      <c r="C46946"/>
      <c r="E46946"/>
      <c r="F46946"/>
    </row>
    <row r="46947" spans="1:6" x14ac:dyDescent="0.25">
      <c r="A46947"/>
      <c r="B46947"/>
      <c r="C46947"/>
      <c r="E46947"/>
      <c r="F46947"/>
    </row>
    <row r="46948" spans="1:6" x14ac:dyDescent="0.25">
      <c r="A46948"/>
      <c r="B46948"/>
      <c r="C46948"/>
      <c r="E46948"/>
      <c r="F46948"/>
    </row>
    <row r="46949" spans="1:6" x14ac:dyDescent="0.25">
      <c r="A46949"/>
      <c r="B46949"/>
      <c r="C46949"/>
      <c r="E46949"/>
      <c r="F46949"/>
    </row>
    <row r="46950" spans="1:6" x14ac:dyDescent="0.25">
      <c r="A46950"/>
      <c r="B46950"/>
      <c r="C46950"/>
      <c r="E46950"/>
      <c r="F46950"/>
    </row>
    <row r="46951" spans="1:6" x14ac:dyDescent="0.25">
      <c r="A46951"/>
      <c r="B46951"/>
      <c r="C46951"/>
      <c r="E46951"/>
      <c r="F46951"/>
    </row>
    <row r="46952" spans="1:6" x14ac:dyDescent="0.25">
      <c r="A46952"/>
      <c r="B46952"/>
      <c r="C46952"/>
      <c r="E46952"/>
      <c r="F46952"/>
    </row>
    <row r="46953" spans="1:6" x14ac:dyDescent="0.25">
      <c r="A46953"/>
      <c r="B46953"/>
      <c r="C46953"/>
      <c r="E46953"/>
      <c r="F46953"/>
    </row>
    <row r="46954" spans="1:6" x14ac:dyDescent="0.25">
      <c r="A46954"/>
      <c r="B46954"/>
      <c r="C46954"/>
      <c r="E46954"/>
      <c r="F46954"/>
    </row>
    <row r="46955" spans="1:6" x14ac:dyDescent="0.25">
      <c r="A46955"/>
      <c r="B46955"/>
      <c r="C46955"/>
      <c r="E46955"/>
      <c r="F46955"/>
    </row>
    <row r="46956" spans="1:6" x14ac:dyDescent="0.25">
      <c r="A46956"/>
      <c r="B46956"/>
      <c r="C46956"/>
      <c r="E46956"/>
      <c r="F46956"/>
    </row>
    <row r="46957" spans="1:6" x14ac:dyDescent="0.25">
      <c r="A46957"/>
      <c r="B46957"/>
      <c r="C46957"/>
      <c r="E46957"/>
      <c r="F46957"/>
    </row>
    <row r="46958" spans="1:6" x14ac:dyDescent="0.25">
      <c r="A46958"/>
      <c r="B46958"/>
      <c r="C46958"/>
      <c r="E46958"/>
      <c r="F46958"/>
    </row>
    <row r="46959" spans="1:6" x14ac:dyDescent="0.25">
      <c r="A46959"/>
      <c r="B46959"/>
      <c r="C46959"/>
      <c r="E46959"/>
      <c r="F46959"/>
    </row>
    <row r="46960" spans="1:6" x14ac:dyDescent="0.25">
      <c r="A46960"/>
      <c r="B46960"/>
      <c r="C46960"/>
      <c r="E46960"/>
      <c r="F46960"/>
    </row>
    <row r="46961" spans="1:6" x14ac:dyDescent="0.25">
      <c r="A46961"/>
      <c r="B46961"/>
      <c r="C46961"/>
      <c r="E46961"/>
      <c r="F46961"/>
    </row>
    <row r="46962" spans="1:6" x14ac:dyDescent="0.25">
      <c r="A46962"/>
      <c r="B46962"/>
      <c r="C46962"/>
      <c r="E46962"/>
      <c r="F46962"/>
    </row>
    <row r="46963" spans="1:6" x14ac:dyDescent="0.25">
      <c r="A46963"/>
      <c r="B46963"/>
      <c r="C46963"/>
      <c r="E46963"/>
      <c r="F46963"/>
    </row>
    <row r="46964" spans="1:6" x14ac:dyDescent="0.25">
      <c r="A46964"/>
      <c r="B46964"/>
      <c r="C46964"/>
      <c r="E46964"/>
      <c r="F46964"/>
    </row>
    <row r="46965" spans="1:6" x14ac:dyDescent="0.25">
      <c r="A46965"/>
      <c r="B46965"/>
      <c r="C46965"/>
      <c r="E46965"/>
      <c r="F46965"/>
    </row>
    <row r="46966" spans="1:6" x14ac:dyDescent="0.25">
      <c r="A46966"/>
      <c r="B46966"/>
      <c r="C46966"/>
      <c r="E46966"/>
      <c r="F46966"/>
    </row>
    <row r="46967" spans="1:6" x14ac:dyDescent="0.25">
      <c r="A46967"/>
      <c r="B46967"/>
      <c r="C46967"/>
      <c r="E46967"/>
      <c r="F46967"/>
    </row>
    <row r="46968" spans="1:6" x14ac:dyDescent="0.25">
      <c r="A46968"/>
      <c r="B46968"/>
      <c r="C46968"/>
      <c r="E46968"/>
      <c r="F46968"/>
    </row>
    <row r="46969" spans="1:6" x14ac:dyDescent="0.25">
      <c r="A46969"/>
      <c r="B46969"/>
      <c r="C46969"/>
      <c r="E46969"/>
      <c r="F46969"/>
    </row>
    <row r="46970" spans="1:6" x14ac:dyDescent="0.25">
      <c r="A46970"/>
      <c r="B46970"/>
      <c r="C46970"/>
      <c r="E46970"/>
      <c r="F46970"/>
    </row>
    <row r="46971" spans="1:6" x14ac:dyDescent="0.25">
      <c r="A46971"/>
      <c r="B46971"/>
      <c r="C46971"/>
      <c r="E46971"/>
      <c r="F46971"/>
    </row>
    <row r="46972" spans="1:6" x14ac:dyDescent="0.25">
      <c r="A46972"/>
      <c r="B46972"/>
      <c r="C46972"/>
      <c r="E46972"/>
      <c r="F46972"/>
    </row>
    <row r="46973" spans="1:6" x14ac:dyDescent="0.25">
      <c r="A46973"/>
      <c r="B46973"/>
      <c r="C46973"/>
      <c r="E46973"/>
      <c r="F46973"/>
    </row>
    <row r="46974" spans="1:6" x14ac:dyDescent="0.25">
      <c r="A46974"/>
      <c r="B46974"/>
      <c r="C46974"/>
      <c r="E46974"/>
      <c r="F46974"/>
    </row>
    <row r="46975" spans="1:6" x14ac:dyDescent="0.25">
      <c r="A46975"/>
      <c r="B46975"/>
      <c r="C46975"/>
      <c r="E46975"/>
      <c r="F46975"/>
    </row>
    <row r="46976" spans="1:6" x14ac:dyDescent="0.25">
      <c r="A46976"/>
      <c r="B46976"/>
      <c r="C46976"/>
      <c r="E46976"/>
      <c r="F46976"/>
    </row>
    <row r="46977" spans="1:6" x14ac:dyDescent="0.25">
      <c r="A46977"/>
      <c r="B46977"/>
      <c r="C46977"/>
      <c r="E46977"/>
      <c r="F46977"/>
    </row>
    <row r="46978" spans="1:6" x14ac:dyDescent="0.25">
      <c r="A46978"/>
      <c r="B46978"/>
      <c r="C46978"/>
      <c r="E46978"/>
      <c r="F46978"/>
    </row>
    <row r="46979" spans="1:6" x14ac:dyDescent="0.25">
      <c r="A46979"/>
      <c r="B46979"/>
      <c r="C46979"/>
      <c r="E46979"/>
      <c r="F46979"/>
    </row>
    <row r="46980" spans="1:6" x14ac:dyDescent="0.25">
      <c r="A46980"/>
      <c r="B46980"/>
      <c r="C46980"/>
      <c r="E46980"/>
      <c r="F46980"/>
    </row>
    <row r="46981" spans="1:6" x14ac:dyDescent="0.25">
      <c r="A46981"/>
      <c r="B46981"/>
      <c r="C46981"/>
      <c r="E46981"/>
      <c r="F46981"/>
    </row>
    <row r="46982" spans="1:6" x14ac:dyDescent="0.25">
      <c r="A46982"/>
      <c r="B46982"/>
      <c r="C46982"/>
      <c r="E46982"/>
      <c r="F46982"/>
    </row>
    <row r="46983" spans="1:6" x14ac:dyDescent="0.25">
      <c r="A46983"/>
      <c r="B46983"/>
      <c r="C46983"/>
      <c r="E46983"/>
      <c r="F46983"/>
    </row>
    <row r="46984" spans="1:6" x14ac:dyDescent="0.25">
      <c r="A46984"/>
      <c r="B46984"/>
      <c r="C46984"/>
      <c r="E46984"/>
      <c r="F46984"/>
    </row>
    <row r="46985" spans="1:6" x14ac:dyDescent="0.25">
      <c r="A46985"/>
      <c r="B46985"/>
      <c r="C46985"/>
      <c r="E46985"/>
      <c r="F46985"/>
    </row>
    <row r="46986" spans="1:6" x14ac:dyDescent="0.25">
      <c r="A46986"/>
      <c r="B46986"/>
      <c r="C46986"/>
      <c r="E46986"/>
      <c r="F46986"/>
    </row>
    <row r="46987" spans="1:6" x14ac:dyDescent="0.25">
      <c r="A46987"/>
      <c r="B46987"/>
      <c r="C46987"/>
      <c r="E46987"/>
      <c r="F46987"/>
    </row>
    <row r="46988" spans="1:6" x14ac:dyDescent="0.25">
      <c r="A46988"/>
      <c r="B46988"/>
      <c r="C46988"/>
      <c r="E46988"/>
      <c r="F46988"/>
    </row>
    <row r="46989" spans="1:6" x14ac:dyDescent="0.25">
      <c r="A46989"/>
      <c r="B46989"/>
      <c r="C46989"/>
      <c r="E46989"/>
      <c r="F46989"/>
    </row>
    <row r="46990" spans="1:6" x14ac:dyDescent="0.25">
      <c r="A46990"/>
      <c r="B46990"/>
      <c r="C46990"/>
      <c r="E46990"/>
      <c r="F46990"/>
    </row>
    <row r="46991" spans="1:6" x14ac:dyDescent="0.25">
      <c r="A46991"/>
      <c r="B46991"/>
      <c r="C46991"/>
      <c r="E46991"/>
      <c r="F46991"/>
    </row>
    <row r="46992" spans="1:6" x14ac:dyDescent="0.25">
      <c r="A46992"/>
      <c r="B46992"/>
      <c r="C46992"/>
      <c r="E46992"/>
      <c r="F46992"/>
    </row>
    <row r="46993" spans="1:6" x14ac:dyDescent="0.25">
      <c r="A46993"/>
      <c r="B46993"/>
      <c r="C46993"/>
      <c r="E46993"/>
      <c r="F46993"/>
    </row>
    <row r="46994" spans="1:6" x14ac:dyDescent="0.25">
      <c r="A46994"/>
      <c r="B46994"/>
      <c r="C46994"/>
      <c r="E46994"/>
      <c r="F46994"/>
    </row>
    <row r="46995" spans="1:6" x14ac:dyDescent="0.25">
      <c r="A46995"/>
      <c r="B46995"/>
      <c r="C46995"/>
      <c r="E46995"/>
      <c r="F46995"/>
    </row>
    <row r="46996" spans="1:6" x14ac:dyDescent="0.25">
      <c r="A46996"/>
      <c r="B46996"/>
      <c r="C46996"/>
      <c r="E46996"/>
      <c r="F46996"/>
    </row>
    <row r="46997" spans="1:6" x14ac:dyDescent="0.25">
      <c r="A46997"/>
      <c r="B46997"/>
      <c r="C46997"/>
      <c r="E46997"/>
      <c r="F46997"/>
    </row>
    <row r="46998" spans="1:6" x14ac:dyDescent="0.25">
      <c r="A46998"/>
      <c r="B46998"/>
      <c r="C46998"/>
      <c r="E46998"/>
      <c r="F46998"/>
    </row>
    <row r="46999" spans="1:6" x14ac:dyDescent="0.25">
      <c r="A46999"/>
      <c r="B46999"/>
      <c r="C46999"/>
      <c r="E46999"/>
      <c r="F46999"/>
    </row>
    <row r="47000" spans="1:6" x14ac:dyDescent="0.25">
      <c r="A47000"/>
      <c r="B47000"/>
      <c r="C47000"/>
      <c r="E47000"/>
      <c r="F47000"/>
    </row>
    <row r="47001" spans="1:6" x14ac:dyDescent="0.25">
      <c r="A47001"/>
      <c r="B47001"/>
      <c r="C47001"/>
      <c r="E47001"/>
      <c r="F47001"/>
    </row>
    <row r="47002" spans="1:6" x14ac:dyDescent="0.25">
      <c r="A47002"/>
      <c r="B47002"/>
      <c r="C47002"/>
      <c r="E47002"/>
      <c r="F47002"/>
    </row>
    <row r="47003" spans="1:6" x14ac:dyDescent="0.25">
      <c r="A47003"/>
      <c r="B47003"/>
      <c r="C47003"/>
      <c r="E47003"/>
      <c r="F47003"/>
    </row>
    <row r="47004" spans="1:6" x14ac:dyDescent="0.25">
      <c r="A47004"/>
      <c r="B47004"/>
      <c r="C47004"/>
      <c r="E47004"/>
      <c r="F47004"/>
    </row>
    <row r="47005" spans="1:6" x14ac:dyDescent="0.25">
      <c r="A47005"/>
      <c r="B47005"/>
      <c r="C47005"/>
      <c r="E47005"/>
      <c r="F47005"/>
    </row>
    <row r="47006" spans="1:6" x14ac:dyDescent="0.25">
      <c r="A47006"/>
      <c r="B47006"/>
      <c r="C47006"/>
      <c r="E47006"/>
      <c r="F47006"/>
    </row>
    <row r="47007" spans="1:6" x14ac:dyDescent="0.25">
      <c r="A47007"/>
      <c r="B47007"/>
      <c r="C47007"/>
      <c r="E47007"/>
      <c r="F47007"/>
    </row>
    <row r="47008" spans="1:6" x14ac:dyDescent="0.25">
      <c r="A47008"/>
      <c r="B47008"/>
      <c r="C47008"/>
      <c r="E47008"/>
      <c r="F47008"/>
    </row>
    <row r="47009" spans="1:6" x14ac:dyDescent="0.25">
      <c r="A47009"/>
      <c r="B47009"/>
      <c r="C47009"/>
      <c r="E47009"/>
      <c r="F47009"/>
    </row>
    <row r="47010" spans="1:6" x14ac:dyDescent="0.25">
      <c r="A47010"/>
      <c r="B47010"/>
      <c r="C47010"/>
      <c r="E47010"/>
      <c r="F47010"/>
    </row>
    <row r="47011" spans="1:6" x14ac:dyDescent="0.25">
      <c r="A47011"/>
      <c r="B47011"/>
      <c r="C47011"/>
      <c r="E47011"/>
      <c r="F47011"/>
    </row>
    <row r="47012" spans="1:6" x14ac:dyDescent="0.25">
      <c r="A47012"/>
      <c r="B47012"/>
      <c r="C47012"/>
      <c r="E47012"/>
      <c r="F47012"/>
    </row>
    <row r="47013" spans="1:6" x14ac:dyDescent="0.25">
      <c r="A47013"/>
      <c r="B47013"/>
      <c r="C47013"/>
      <c r="E47013"/>
      <c r="F47013"/>
    </row>
    <row r="47014" spans="1:6" x14ac:dyDescent="0.25">
      <c r="A47014"/>
      <c r="B47014"/>
      <c r="C47014"/>
      <c r="E47014"/>
      <c r="F47014"/>
    </row>
    <row r="47015" spans="1:6" x14ac:dyDescent="0.25">
      <c r="A47015"/>
      <c r="B47015"/>
      <c r="C47015"/>
      <c r="E47015"/>
      <c r="F47015"/>
    </row>
    <row r="47016" spans="1:6" x14ac:dyDescent="0.25">
      <c r="A47016"/>
      <c r="B47016"/>
      <c r="C47016"/>
      <c r="E47016"/>
      <c r="F47016"/>
    </row>
    <row r="47017" spans="1:6" x14ac:dyDescent="0.25">
      <c r="A47017"/>
      <c r="B47017"/>
      <c r="C47017"/>
      <c r="E47017"/>
      <c r="F47017"/>
    </row>
    <row r="47018" spans="1:6" x14ac:dyDescent="0.25">
      <c r="A47018"/>
      <c r="B47018"/>
      <c r="C47018"/>
      <c r="E47018"/>
      <c r="F47018"/>
    </row>
    <row r="47019" spans="1:6" x14ac:dyDescent="0.25">
      <c r="A47019"/>
      <c r="B47019"/>
      <c r="C47019"/>
      <c r="E47019"/>
      <c r="F47019"/>
    </row>
    <row r="47020" spans="1:6" x14ac:dyDescent="0.25">
      <c r="A47020"/>
      <c r="B47020"/>
      <c r="C47020"/>
      <c r="E47020"/>
      <c r="F47020"/>
    </row>
    <row r="47021" spans="1:6" x14ac:dyDescent="0.25">
      <c r="A47021"/>
      <c r="B47021"/>
      <c r="C47021"/>
      <c r="E47021"/>
      <c r="F47021"/>
    </row>
    <row r="47022" spans="1:6" x14ac:dyDescent="0.25">
      <c r="A47022"/>
      <c r="B47022"/>
      <c r="C47022"/>
      <c r="E47022"/>
      <c r="F47022"/>
    </row>
    <row r="47023" spans="1:6" x14ac:dyDescent="0.25">
      <c r="A47023"/>
      <c r="B47023"/>
      <c r="C47023"/>
      <c r="E47023"/>
      <c r="F47023"/>
    </row>
    <row r="47024" spans="1:6" x14ac:dyDescent="0.25">
      <c r="A47024"/>
      <c r="B47024"/>
      <c r="C47024"/>
      <c r="E47024"/>
      <c r="F47024"/>
    </row>
    <row r="47025" spans="1:6" x14ac:dyDescent="0.25">
      <c r="A47025"/>
      <c r="B47025"/>
      <c r="C47025"/>
      <c r="E47025"/>
      <c r="F47025"/>
    </row>
    <row r="47026" spans="1:6" x14ac:dyDescent="0.25">
      <c r="A47026"/>
      <c r="B47026"/>
      <c r="C47026"/>
      <c r="E47026"/>
      <c r="F47026"/>
    </row>
    <row r="47027" spans="1:6" x14ac:dyDescent="0.25">
      <c r="A47027"/>
      <c r="B47027"/>
      <c r="C47027"/>
      <c r="E47027"/>
      <c r="F47027"/>
    </row>
    <row r="47028" spans="1:6" x14ac:dyDescent="0.25">
      <c r="A47028"/>
      <c r="B47028"/>
      <c r="C47028"/>
      <c r="E47028"/>
      <c r="F47028"/>
    </row>
    <row r="47029" spans="1:6" x14ac:dyDescent="0.25">
      <c r="A47029"/>
      <c r="B47029"/>
      <c r="C47029"/>
      <c r="E47029"/>
      <c r="F47029"/>
    </row>
    <row r="47030" spans="1:6" x14ac:dyDescent="0.25">
      <c r="A47030"/>
      <c r="B47030"/>
      <c r="C47030"/>
      <c r="E47030"/>
      <c r="F47030"/>
    </row>
    <row r="47031" spans="1:6" x14ac:dyDescent="0.25">
      <c r="A47031"/>
      <c r="B47031"/>
      <c r="C47031"/>
      <c r="E47031"/>
      <c r="F47031"/>
    </row>
    <row r="47032" spans="1:6" x14ac:dyDescent="0.25">
      <c r="A47032"/>
      <c r="B47032"/>
      <c r="C47032"/>
      <c r="E47032"/>
      <c r="F47032"/>
    </row>
    <row r="47033" spans="1:6" x14ac:dyDescent="0.25">
      <c r="A47033"/>
      <c r="B47033"/>
      <c r="C47033"/>
      <c r="E47033"/>
      <c r="F47033"/>
    </row>
    <row r="47034" spans="1:6" x14ac:dyDescent="0.25">
      <c r="A47034"/>
      <c r="B47034"/>
      <c r="C47034"/>
      <c r="E47034"/>
      <c r="F47034"/>
    </row>
    <row r="47035" spans="1:6" x14ac:dyDescent="0.25">
      <c r="A47035"/>
      <c r="B47035"/>
      <c r="C47035"/>
      <c r="E47035"/>
      <c r="F47035"/>
    </row>
    <row r="47036" spans="1:6" x14ac:dyDescent="0.25">
      <c r="A47036"/>
      <c r="B47036"/>
      <c r="C47036"/>
      <c r="E47036"/>
      <c r="F47036"/>
    </row>
    <row r="47037" spans="1:6" x14ac:dyDescent="0.25">
      <c r="A47037"/>
      <c r="B47037"/>
      <c r="C47037"/>
      <c r="E47037"/>
      <c r="F47037"/>
    </row>
    <row r="47038" spans="1:6" x14ac:dyDescent="0.25">
      <c r="A47038"/>
      <c r="B47038"/>
      <c r="C47038"/>
      <c r="E47038"/>
      <c r="F47038"/>
    </row>
    <row r="47039" spans="1:6" x14ac:dyDescent="0.25">
      <c r="A47039"/>
      <c r="B47039"/>
      <c r="C47039"/>
      <c r="E47039"/>
      <c r="F47039"/>
    </row>
    <row r="47040" spans="1:6" x14ac:dyDescent="0.25">
      <c r="A47040"/>
      <c r="B47040"/>
      <c r="C47040"/>
      <c r="E47040"/>
      <c r="F47040"/>
    </row>
    <row r="47041" spans="1:6" x14ac:dyDescent="0.25">
      <c r="A47041"/>
      <c r="B47041"/>
      <c r="C47041"/>
      <c r="E47041"/>
      <c r="F47041"/>
    </row>
    <row r="47042" spans="1:6" x14ac:dyDescent="0.25">
      <c r="A47042"/>
      <c r="B47042"/>
      <c r="C47042"/>
      <c r="E47042"/>
      <c r="F47042"/>
    </row>
    <row r="47043" spans="1:6" x14ac:dyDescent="0.25">
      <c r="A47043"/>
      <c r="B47043"/>
      <c r="C47043"/>
      <c r="E47043"/>
      <c r="F47043"/>
    </row>
    <row r="47044" spans="1:6" x14ac:dyDescent="0.25">
      <c r="A47044"/>
      <c r="B47044"/>
      <c r="C47044"/>
      <c r="E47044"/>
      <c r="F47044"/>
    </row>
    <row r="47045" spans="1:6" x14ac:dyDescent="0.25">
      <c r="A47045"/>
      <c r="B47045"/>
      <c r="C47045"/>
      <c r="E47045"/>
      <c r="F47045"/>
    </row>
    <row r="47046" spans="1:6" x14ac:dyDescent="0.25">
      <c r="A47046"/>
      <c r="B47046"/>
      <c r="C47046"/>
      <c r="E47046"/>
      <c r="F47046"/>
    </row>
    <row r="47047" spans="1:6" x14ac:dyDescent="0.25">
      <c r="A47047"/>
      <c r="B47047"/>
      <c r="C47047"/>
      <c r="E47047"/>
      <c r="F47047"/>
    </row>
    <row r="47048" spans="1:6" x14ac:dyDescent="0.25">
      <c r="A47048"/>
      <c r="B47048"/>
      <c r="C47048"/>
      <c r="E47048"/>
      <c r="F47048"/>
    </row>
    <row r="47049" spans="1:6" x14ac:dyDescent="0.25">
      <c r="A47049"/>
      <c r="B47049"/>
      <c r="C47049"/>
      <c r="E47049"/>
      <c r="F47049"/>
    </row>
    <row r="47050" spans="1:6" x14ac:dyDescent="0.25">
      <c r="A47050"/>
      <c r="B47050"/>
      <c r="C47050"/>
      <c r="E47050"/>
      <c r="F47050"/>
    </row>
    <row r="47051" spans="1:6" x14ac:dyDescent="0.25">
      <c r="A47051"/>
      <c r="B47051"/>
      <c r="C47051"/>
      <c r="E47051"/>
      <c r="F47051"/>
    </row>
    <row r="47052" spans="1:6" x14ac:dyDescent="0.25">
      <c r="A47052"/>
      <c r="B47052"/>
      <c r="C47052"/>
      <c r="E47052"/>
      <c r="F47052"/>
    </row>
    <row r="47053" spans="1:6" x14ac:dyDescent="0.25">
      <c r="A47053"/>
      <c r="B47053"/>
      <c r="C47053"/>
      <c r="E47053"/>
      <c r="F47053"/>
    </row>
    <row r="47054" spans="1:6" x14ac:dyDescent="0.25">
      <c r="A47054"/>
      <c r="B47054"/>
      <c r="C47054"/>
      <c r="E47054"/>
      <c r="F47054"/>
    </row>
    <row r="47055" spans="1:6" x14ac:dyDescent="0.25">
      <c r="A47055"/>
      <c r="B47055"/>
      <c r="C47055"/>
      <c r="E47055"/>
      <c r="F47055"/>
    </row>
    <row r="47056" spans="1:6" x14ac:dyDescent="0.25">
      <c r="A47056"/>
      <c r="B47056"/>
      <c r="C47056"/>
      <c r="E47056"/>
      <c r="F47056"/>
    </row>
    <row r="47057" spans="1:6" x14ac:dyDescent="0.25">
      <c r="A47057"/>
      <c r="B47057"/>
      <c r="C47057"/>
      <c r="E47057"/>
      <c r="F47057"/>
    </row>
    <row r="47058" spans="1:6" x14ac:dyDescent="0.25">
      <c r="A47058"/>
      <c r="B47058"/>
      <c r="C47058"/>
      <c r="E47058"/>
      <c r="F47058"/>
    </row>
    <row r="47059" spans="1:6" x14ac:dyDescent="0.25">
      <c r="A47059"/>
      <c r="B47059"/>
      <c r="C47059"/>
      <c r="E47059"/>
      <c r="F47059"/>
    </row>
    <row r="47060" spans="1:6" x14ac:dyDescent="0.25">
      <c r="A47060"/>
      <c r="B47060"/>
      <c r="C47060"/>
      <c r="E47060"/>
      <c r="F47060"/>
    </row>
    <row r="47061" spans="1:6" x14ac:dyDescent="0.25">
      <c r="A47061"/>
      <c r="B47061"/>
      <c r="C47061"/>
      <c r="E47061"/>
      <c r="F47061"/>
    </row>
    <row r="47062" spans="1:6" x14ac:dyDescent="0.25">
      <c r="A47062"/>
      <c r="B47062"/>
      <c r="C47062"/>
      <c r="E47062"/>
      <c r="F47062"/>
    </row>
    <row r="47063" spans="1:6" x14ac:dyDescent="0.25">
      <c r="A47063"/>
      <c r="B47063"/>
      <c r="C47063"/>
      <c r="E47063"/>
      <c r="F47063"/>
    </row>
    <row r="47064" spans="1:6" x14ac:dyDescent="0.25">
      <c r="A47064"/>
      <c r="B47064"/>
      <c r="C47064"/>
      <c r="E47064"/>
      <c r="F47064"/>
    </row>
    <row r="47065" spans="1:6" x14ac:dyDescent="0.25">
      <c r="A47065"/>
      <c r="B47065"/>
      <c r="C47065"/>
      <c r="E47065"/>
      <c r="F47065"/>
    </row>
    <row r="47066" spans="1:6" x14ac:dyDescent="0.25">
      <c r="A47066"/>
      <c r="B47066"/>
      <c r="C47066"/>
      <c r="E47066"/>
      <c r="F47066"/>
    </row>
    <row r="47067" spans="1:6" x14ac:dyDescent="0.25">
      <c r="A47067"/>
      <c r="B47067"/>
      <c r="C47067"/>
      <c r="E47067"/>
      <c r="F47067"/>
    </row>
    <row r="47068" spans="1:6" x14ac:dyDescent="0.25">
      <c r="A47068"/>
      <c r="B47068"/>
      <c r="C47068"/>
      <c r="E47068"/>
      <c r="F47068"/>
    </row>
    <row r="47069" spans="1:6" x14ac:dyDescent="0.25">
      <c r="A47069"/>
      <c r="B47069"/>
      <c r="C47069"/>
      <c r="E47069"/>
      <c r="F47069"/>
    </row>
    <row r="47070" spans="1:6" x14ac:dyDescent="0.25">
      <c r="A47070"/>
      <c r="B47070"/>
      <c r="C47070"/>
      <c r="E47070"/>
      <c r="F47070"/>
    </row>
    <row r="47071" spans="1:6" x14ac:dyDescent="0.25">
      <c r="A47071"/>
      <c r="B47071"/>
      <c r="C47071"/>
      <c r="E47071"/>
      <c r="F47071"/>
    </row>
    <row r="47072" spans="1:6" x14ac:dyDescent="0.25">
      <c r="A47072"/>
      <c r="B47072"/>
      <c r="C47072"/>
      <c r="E47072"/>
      <c r="F47072"/>
    </row>
    <row r="47073" spans="1:6" x14ac:dyDescent="0.25">
      <c r="A47073"/>
      <c r="B47073"/>
      <c r="C47073"/>
      <c r="E47073"/>
      <c r="F47073"/>
    </row>
    <row r="47074" spans="1:6" x14ac:dyDescent="0.25">
      <c r="A47074"/>
      <c r="B47074"/>
      <c r="C47074"/>
      <c r="E47074"/>
      <c r="F47074"/>
    </row>
    <row r="47075" spans="1:6" x14ac:dyDescent="0.25">
      <c r="A47075"/>
      <c r="B47075"/>
      <c r="C47075"/>
      <c r="E47075"/>
      <c r="F47075"/>
    </row>
    <row r="47076" spans="1:6" x14ac:dyDescent="0.25">
      <c r="A47076"/>
      <c r="B47076"/>
      <c r="C47076"/>
      <c r="E47076"/>
      <c r="F47076"/>
    </row>
    <row r="47077" spans="1:6" x14ac:dyDescent="0.25">
      <c r="A47077"/>
      <c r="B47077"/>
      <c r="C47077"/>
      <c r="E47077"/>
      <c r="F47077"/>
    </row>
    <row r="47078" spans="1:6" x14ac:dyDescent="0.25">
      <c r="A47078"/>
      <c r="B47078"/>
      <c r="C47078"/>
      <c r="E47078"/>
      <c r="F47078"/>
    </row>
    <row r="47079" spans="1:6" x14ac:dyDescent="0.25">
      <c r="A47079"/>
      <c r="B47079"/>
      <c r="C47079"/>
      <c r="E47079"/>
      <c r="F47079"/>
    </row>
    <row r="47080" spans="1:6" x14ac:dyDescent="0.25">
      <c r="A47080"/>
      <c r="B47080"/>
      <c r="C47080"/>
      <c r="E47080"/>
      <c r="F47080"/>
    </row>
    <row r="47081" spans="1:6" x14ac:dyDescent="0.25">
      <c r="A47081"/>
      <c r="B47081"/>
      <c r="C47081"/>
      <c r="E47081"/>
      <c r="F47081"/>
    </row>
    <row r="47082" spans="1:6" x14ac:dyDescent="0.25">
      <c r="A47082"/>
      <c r="B47082"/>
      <c r="C47082"/>
      <c r="E47082"/>
      <c r="F47082"/>
    </row>
    <row r="47083" spans="1:6" x14ac:dyDescent="0.25">
      <c r="A47083"/>
      <c r="B47083"/>
      <c r="C47083"/>
      <c r="E47083"/>
      <c r="F47083"/>
    </row>
    <row r="47084" spans="1:6" x14ac:dyDescent="0.25">
      <c r="A47084"/>
      <c r="B47084"/>
      <c r="C47084"/>
      <c r="E47084"/>
      <c r="F47084"/>
    </row>
    <row r="47085" spans="1:6" x14ac:dyDescent="0.25">
      <c r="A47085"/>
      <c r="B47085"/>
      <c r="C47085"/>
      <c r="E47085"/>
      <c r="F47085"/>
    </row>
    <row r="47086" spans="1:6" x14ac:dyDescent="0.25">
      <c r="A47086"/>
      <c r="B47086"/>
      <c r="C47086"/>
      <c r="E47086"/>
      <c r="F47086"/>
    </row>
    <row r="47087" spans="1:6" x14ac:dyDescent="0.25">
      <c r="A47087"/>
      <c r="B47087"/>
      <c r="C47087"/>
      <c r="E47087"/>
      <c r="F47087"/>
    </row>
    <row r="47088" spans="1:6" x14ac:dyDescent="0.25">
      <c r="A47088"/>
      <c r="B47088"/>
      <c r="C47088"/>
      <c r="E47088"/>
      <c r="F47088"/>
    </row>
    <row r="47089" spans="1:6" x14ac:dyDescent="0.25">
      <c r="A47089"/>
      <c r="B47089"/>
      <c r="C47089"/>
      <c r="E47089"/>
      <c r="F47089"/>
    </row>
    <row r="47090" spans="1:6" x14ac:dyDescent="0.25">
      <c r="A47090"/>
      <c r="B47090"/>
      <c r="C47090"/>
      <c r="E47090"/>
      <c r="F47090"/>
    </row>
    <row r="47091" spans="1:6" x14ac:dyDescent="0.25">
      <c r="A47091"/>
      <c r="B47091"/>
      <c r="C47091"/>
      <c r="E47091"/>
      <c r="F47091"/>
    </row>
    <row r="47092" spans="1:6" x14ac:dyDescent="0.25">
      <c r="A47092"/>
      <c r="B47092"/>
      <c r="C47092"/>
      <c r="E47092"/>
      <c r="F47092"/>
    </row>
    <row r="47093" spans="1:6" x14ac:dyDescent="0.25">
      <c r="A47093"/>
      <c r="B47093"/>
      <c r="C47093"/>
      <c r="E47093"/>
      <c r="F47093"/>
    </row>
    <row r="47094" spans="1:6" x14ac:dyDescent="0.25">
      <c r="A47094"/>
      <c r="B47094"/>
      <c r="C47094"/>
      <c r="E47094"/>
      <c r="F47094"/>
    </row>
    <row r="47095" spans="1:6" x14ac:dyDescent="0.25">
      <c r="A47095"/>
      <c r="B47095"/>
      <c r="C47095"/>
      <c r="E47095"/>
      <c r="F47095"/>
    </row>
    <row r="47096" spans="1:6" x14ac:dyDescent="0.25">
      <c r="A47096"/>
      <c r="B47096"/>
      <c r="C47096"/>
      <c r="E47096"/>
      <c r="F47096"/>
    </row>
    <row r="47097" spans="1:6" x14ac:dyDescent="0.25">
      <c r="A47097"/>
      <c r="B47097"/>
      <c r="C47097"/>
      <c r="E47097"/>
      <c r="F47097"/>
    </row>
    <row r="47098" spans="1:6" x14ac:dyDescent="0.25">
      <c r="A47098"/>
      <c r="B47098"/>
      <c r="C47098"/>
      <c r="E47098"/>
      <c r="F47098"/>
    </row>
    <row r="47099" spans="1:6" x14ac:dyDescent="0.25">
      <c r="A47099"/>
      <c r="B47099"/>
      <c r="C47099"/>
      <c r="E47099"/>
      <c r="F47099"/>
    </row>
    <row r="47100" spans="1:6" x14ac:dyDescent="0.25">
      <c r="A47100"/>
      <c r="B47100"/>
      <c r="C47100"/>
      <c r="E47100"/>
      <c r="F47100"/>
    </row>
    <row r="47101" spans="1:6" x14ac:dyDescent="0.25">
      <c r="A47101"/>
      <c r="B47101"/>
      <c r="C47101"/>
      <c r="E47101"/>
      <c r="F47101"/>
    </row>
    <row r="47102" spans="1:6" x14ac:dyDescent="0.25">
      <c r="A47102"/>
      <c r="B47102"/>
      <c r="C47102"/>
      <c r="E47102"/>
      <c r="F47102"/>
    </row>
    <row r="47103" spans="1:6" x14ac:dyDescent="0.25">
      <c r="A47103"/>
      <c r="B47103"/>
      <c r="C47103"/>
      <c r="E47103"/>
      <c r="F47103"/>
    </row>
    <row r="47104" spans="1:6" x14ac:dyDescent="0.25">
      <c r="A47104"/>
      <c r="B47104"/>
      <c r="C47104"/>
      <c r="E47104"/>
      <c r="F47104"/>
    </row>
    <row r="47105" spans="1:6" x14ac:dyDescent="0.25">
      <c r="A47105"/>
      <c r="B47105"/>
      <c r="C47105"/>
      <c r="E47105"/>
      <c r="F47105"/>
    </row>
    <row r="47106" spans="1:6" x14ac:dyDescent="0.25">
      <c r="A47106"/>
      <c r="B47106"/>
      <c r="C47106"/>
      <c r="E47106"/>
      <c r="F47106"/>
    </row>
    <row r="47107" spans="1:6" x14ac:dyDescent="0.25">
      <c r="A47107"/>
      <c r="B47107"/>
      <c r="C47107"/>
      <c r="E47107"/>
      <c r="F47107"/>
    </row>
    <row r="47108" spans="1:6" x14ac:dyDescent="0.25">
      <c r="A47108"/>
      <c r="B47108"/>
      <c r="C47108"/>
      <c r="E47108"/>
      <c r="F47108"/>
    </row>
    <row r="47109" spans="1:6" x14ac:dyDescent="0.25">
      <c r="A47109"/>
      <c r="B47109"/>
      <c r="C47109"/>
      <c r="E47109"/>
      <c r="F47109"/>
    </row>
    <row r="47110" spans="1:6" x14ac:dyDescent="0.25">
      <c r="A47110"/>
      <c r="B47110"/>
      <c r="C47110"/>
      <c r="E47110"/>
      <c r="F47110"/>
    </row>
    <row r="47111" spans="1:6" x14ac:dyDescent="0.25">
      <c r="A47111"/>
      <c r="B47111"/>
      <c r="C47111"/>
      <c r="E47111"/>
      <c r="F47111"/>
    </row>
    <row r="47112" spans="1:6" x14ac:dyDescent="0.25">
      <c r="A47112"/>
      <c r="B47112"/>
      <c r="C47112"/>
      <c r="E47112"/>
      <c r="F47112"/>
    </row>
    <row r="47113" spans="1:6" x14ac:dyDescent="0.25">
      <c r="A47113"/>
      <c r="B47113"/>
      <c r="C47113"/>
      <c r="E47113"/>
      <c r="F47113"/>
    </row>
    <row r="47114" spans="1:6" x14ac:dyDescent="0.25">
      <c r="A47114"/>
      <c r="B47114"/>
      <c r="C47114"/>
      <c r="E47114"/>
      <c r="F47114"/>
    </row>
    <row r="47115" spans="1:6" x14ac:dyDescent="0.25">
      <c r="A47115"/>
      <c r="B47115"/>
      <c r="C47115"/>
      <c r="E47115"/>
      <c r="F47115"/>
    </row>
    <row r="47116" spans="1:6" x14ac:dyDescent="0.25">
      <c r="A47116"/>
      <c r="B47116"/>
      <c r="C47116"/>
      <c r="E47116"/>
      <c r="F47116"/>
    </row>
    <row r="47117" spans="1:6" x14ac:dyDescent="0.25">
      <c r="A47117"/>
      <c r="B47117"/>
      <c r="C47117"/>
      <c r="E47117"/>
      <c r="F47117"/>
    </row>
    <row r="47118" spans="1:6" x14ac:dyDescent="0.25">
      <c r="A47118"/>
      <c r="B47118"/>
      <c r="C47118"/>
      <c r="E47118"/>
      <c r="F47118"/>
    </row>
    <row r="47119" spans="1:6" x14ac:dyDescent="0.25">
      <c r="A47119"/>
      <c r="B47119"/>
      <c r="C47119"/>
      <c r="E47119"/>
      <c r="F47119"/>
    </row>
    <row r="47120" spans="1:6" x14ac:dyDescent="0.25">
      <c r="A47120"/>
      <c r="B47120"/>
      <c r="C47120"/>
      <c r="E47120"/>
      <c r="F47120"/>
    </row>
    <row r="47121" spans="1:6" x14ac:dyDescent="0.25">
      <c r="A47121"/>
      <c r="B47121"/>
      <c r="C47121"/>
      <c r="E47121"/>
      <c r="F47121"/>
    </row>
    <row r="47122" spans="1:6" x14ac:dyDescent="0.25">
      <c r="A47122"/>
      <c r="B47122"/>
      <c r="C47122"/>
      <c r="E47122"/>
      <c r="F47122"/>
    </row>
    <row r="47123" spans="1:6" x14ac:dyDescent="0.25">
      <c r="A47123"/>
      <c r="B47123"/>
      <c r="C47123"/>
      <c r="E47123"/>
      <c r="F47123"/>
    </row>
    <row r="47124" spans="1:6" x14ac:dyDescent="0.25">
      <c r="A47124"/>
      <c r="B47124"/>
      <c r="C47124"/>
      <c r="E47124"/>
      <c r="F47124"/>
    </row>
    <row r="47125" spans="1:6" x14ac:dyDescent="0.25">
      <c r="A47125"/>
      <c r="B47125"/>
      <c r="C47125"/>
      <c r="E47125"/>
      <c r="F47125"/>
    </row>
    <row r="47126" spans="1:6" x14ac:dyDescent="0.25">
      <c r="A47126"/>
      <c r="B47126"/>
      <c r="C47126"/>
      <c r="E47126"/>
      <c r="F47126"/>
    </row>
    <row r="47127" spans="1:6" x14ac:dyDescent="0.25">
      <c r="A47127"/>
      <c r="B47127"/>
      <c r="C47127"/>
      <c r="E47127"/>
      <c r="F47127"/>
    </row>
    <row r="47128" spans="1:6" x14ac:dyDescent="0.25">
      <c r="A47128"/>
      <c r="B47128"/>
      <c r="C47128"/>
      <c r="E47128"/>
      <c r="F47128"/>
    </row>
    <row r="47129" spans="1:6" x14ac:dyDescent="0.25">
      <c r="A47129"/>
      <c r="B47129"/>
      <c r="C47129"/>
      <c r="E47129"/>
      <c r="F47129"/>
    </row>
    <row r="47130" spans="1:6" x14ac:dyDescent="0.25">
      <c r="A47130"/>
      <c r="B47130"/>
      <c r="C47130"/>
      <c r="E47130"/>
      <c r="F47130"/>
    </row>
    <row r="47131" spans="1:6" x14ac:dyDescent="0.25">
      <c r="A47131"/>
      <c r="B47131"/>
      <c r="C47131"/>
      <c r="E47131"/>
      <c r="F47131"/>
    </row>
    <row r="47132" spans="1:6" x14ac:dyDescent="0.25">
      <c r="A47132"/>
      <c r="B47132"/>
      <c r="C47132"/>
      <c r="E47132"/>
      <c r="F47132"/>
    </row>
    <row r="47133" spans="1:6" x14ac:dyDescent="0.25">
      <c r="A47133"/>
      <c r="B47133"/>
      <c r="C47133"/>
      <c r="E47133"/>
      <c r="F47133"/>
    </row>
    <row r="47134" spans="1:6" x14ac:dyDescent="0.25">
      <c r="A47134"/>
      <c r="B47134"/>
      <c r="C47134"/>
      <c r="E47134"/>
      <c r="F47134"/>
    </row>
    <row r="47135" spans="1:6" x14ac:dyDescent="0.25">
      <c r="A47135"/>
      <c r="B47135"/>
      <c r="C47135"/>
      <c r="E47135"/>
      <c r="F47135"/>
    </row>
    <row r="47136" spans="1:6" x14ac:dyDescent="0.25">
      <c r="A47136"/>
      <c r="B47136"/>
      <c r="C47136"/>
      <c r="E47136"/>
      <c r="F47136"/>
    </row>
    <row r="47137" spans="1:6" x14ac:dyDescent="0.25">
      <c r="A47137"/>
      <c r="B47137"/>
      <c r="C47137"/>
      <c r="E47137"/>
      <c r="F47137"/>
    </row>
    <row r="47138" spans="1:6" x14ac:dyDescent="0.25">
      <c r="A47138"/>
      <c r="B47138"/>
      <c r="C47138"/>
      <c r="E47138"/>
      <c r="F47138"/>
    </row>
    <row r="47139" spans="1:6" x14ac:dyDescent="0.25">
      <c r="A47139"/>
      <c r="B47139"/>
      <c r="C47139"/>
      <c r="E47139"/>
      <c r="F47139"/>
    </row>
    <row r="47140" spans="1:6" x14ac:dyDescent="0.25">
      <c r="A47140"/>
      <c r="B47140"/>
      <c r="C47140"/>
      <c r="E47140"/>
      <c r="F47140"/>
    </row>
    <row r="47141" spans="1:6" x14ac:dyDescent="0.25">
      <c r="A47141"/>
      <c r="B47141"/>
      <c r="C47141"/>
      <c r="E47141"/>
      <c r="F47141"/>
    </row>
    <row r="47142" spans="1:6" x14ac:dyDescent="0.25">
      <c r="A47142"/>
      <c r="B47142"/>
      <c r="C47142"/>
      <c r="E47142"/>
      <c r="F47142"/>
    </row>
    <row r="47143" spans="1:6" x14ac:dyDescent="0.25">
      <c r="A47143"/>
      <c r="B47143"/>
      <c r="C47143"/>
      <c r="E47143"/>
      <c r="F47143"/>
    </row>
    <row r="47144" spans="1:6" x14ac:dyDescent="0.25">
      <c r="A47144"/>
      <c r="B47144"/>
      <c r="C47144"/>
      <c r="E47144"/>
      <c r="F47144"/>
    </row>
    <row r="47145" spans="1:6" x14ac:dyDescent="0.25">
      <c r="A47145"/>
      <c r="B47145"/>
      <c r="C47145"/>
      <c r="E47145"/>
      <c r="F47145"/>
    </row>
    <row r="47146" spans="1:6" x14ac:dyDescent="0.25">
      <c r="A47146"/>
      <c r="B47146"/>
      <c r="C47146"/>
      <c r="E47146"/>
      <c r="F47146"/>
    </row>
    <row r="47147" spans="1:6" x14ac:dyDescent="0.25">
      <c r="A47147"/>
      <c r="B47147"/>
      <c r="C47147"/>
      <c r="E47147"/>
      <c r="F47147"/>
    </row>
    <row r="47148" spans="1:6" x14ac:dyDescent="0.25">
      <c r="A47148"/>
      <c r="B47148"/>
      <c r="C47148"/>
      <c r="E47148"/>
      <c r="F47148"/>
    </row>
    <row r="47149" spans="1:6" x14ac:dyDescent="0.25">
      <c r="A47149"/>
      <c r="B47149"/>
      <c r="C47149"/>
      <c r="E47149"/>
      <c r="F47149"/>
    </row>
    <row r="47150" spans="1:6" x14ac:dyDescent="0.25">
      <c r="A47150"/>
      <c r="B47150"/>
      <c r="C47150"/>
      <c r="E47150"/>
      <c r="F47150"/>
    </row>
    <row r="47151" spans="1:6" x14ac:dyDescent="0.25">
      <c r="A47151"/>
      <c r="B47151"/>
      <c r="C47151"/>
      <c r="E47151"/>
      <c r="F47151"/>
    </row>
    <row r="47152" spans="1:6" x14ac:dyDescent="0.25">
      <c r="A47152"/>
      <c r="B47152"/>
      <c r="C47152"/>
      <c r="E47152"/>
      <c r="F47152"/>
    </row>
    <row r="47153" spans="1:6" x14ac:dyDescent="0.25">
      <c r="A47153"/>
      <c r="B47153"/>
      <c r="C47153"/>
      <c r="E47153"/>
      <c r="F47153"/>
    </row>
    <row r="47154" spans="1:6" x14ac:dyDescent="0.25">
      <c r="A47154"/>
      <c r="B47154"/>
      <c r="C47154"/>
      <c r="E47154"/>
      <c r="F47154"/>
    </row>
    <row r="47155" spans="1:6" x14ac:dyDescent="0.25">
      <c r="A47155"/>
      <c r="B47155"/>
      <c r="C47155"/>
      <c r="E47155"/>
      <c r="F47155"/>
    </row>
    <row r="47156" spans="1:6" x14ac:dyDescent="0.25">
      <c r="A47156"/>
      <c r="B47156"/>
      <c r="C47156"/>
      <c r="E47156"/>
      <c r="F47156"/>
    </row>
    <row r="47157" spans="1:6" x14ac:dyDescent="0.25">
      <c r="A47157"/>
      <c r="B47157"/>
      <c r="C47157"/>
      <c r="E47157"/>
      <c r="F47157"/>
    </row>
    <row r="47158" spans="1:6" x14ac:dyDescent="0.25">
      <c r="A47158"/>
      <c r="B47158"/>
      <c r="C47158"/>
      <c r="E47158"/>
      <c r="F47158"/>
    </row>
    <row r="47159" spans="1:6" x14ac:dyDescent="0.25">
      <c r="A47159"/>
      <c r="B47159"/>
      <c r="C47159"/>
      <c r="E47159"/>
      <c r="F47159"/>
    </row>
    <row r="47160" spans="1:6" x14ac:dyDescent="0.25">
      <c r="A47160"/>
      <c r="B47160"/>
      <c r="C47160"/>
      <c r="E47160"/>
      <c r="F47160"/>
    </row>
    <row r="47161" spans="1:6" x14ac:dyDescent="0.25">
      <c r="A47161"/>
      <c r="B47161"/>
      <c r="C47161"/>
      <c r="E47161"/>
      <c r="F47161"/>
    </row>
    <row r="47162" spans="1:6" x14ac:dyDescent="0.25">
      <c r="A47162"/>
      <c r="B47162"/>
      <c r="C47162"/>
      <c r="E47162"/>
      <c r="F47162"/>
    </row>
    <row r="47163" spans="1:6" x14ac:dyDescent="0.25">
      <c r="A47163"/>
      <c r="B47163"/>
      <c r="C47163"/>
      <c r="E47163"/>
      <c r="F47163"/>
    </row>
    <row r="47164" spans="1:6" x14ac:dyDescent="0.25">
      <c r="A47164"/>
      <c r="B47164"/>
      <c r="C47164"/>
      <c r="E47164"/>
      <c r="F47164"/>
    </row>
    <row r="47165" spans="1:6" x14ac:dyDescent="0.25">
      <c r="A47165"/>
      <c r="B47165"/>
      <c r="C47165"/>
      <c r="E47165"/>
      <c r="F47165"/>
    </row>
    <row r="47166" spans="1:6" x14ac:dyDescent="0.25">
      <c r="A47166"/>
      <c r="B47166"/>
      <c r="C47166"/>
      <c r="E47166"/>
      <c r="F47166"/>
    </row>
    <row r="47167" spans="1:6" x14ac:dyDescent="0.25">
      <c r="A47167"/>
      <c r="B47167"/>
      <c r="C47167"/>
      <c r="E47167"/>
      <c r="F47167"/>
    </row>
    <row r="47168" spans="1:6" x14ac:dyDescent="0.25">
      <c r="A47168"/>
      <c r="B47168"/>
      <c r="C47168"/>
      <c r="E47168"/>
      <c r="F47168"/>
    </row>
    <row r="47169" spans="1:6" x14ac:dyDescent="0.25">
      <c r="A47169"/>
      <c r="B47169"/>
      <c r="C47169"/>
      <c r="E47169"/>
      <c r="F47169"/>
    </row>
    <row r="47170" spans="1:6" x14ac:dyDescent="0.25">
      <c r="A47170"/>
      <c r="B47170"/>
      <c r="C47170"/>
      <c r="E47170"/>
      <c r="F47170"/>
    </row>
    <row r="47171" spans="1:6" x14ac:dyDescent="0.25">
      <c r="A47171"/>
      <c r="B47171"/>
      <c r="C47171"/>
      <c r="E47171"/>
      <c r="F47171"/>
    </row>
    <row r="47172" spans="1:6" x14ac:dyDescent="0.25">
      <c r="A47172"/>
      <c r="B47172"/>
      <c r="C47172"/>
      <c r="E47172"/>
      <c r="F47172"/>
    </row>
    <row r="47173" spans="1:6" x14ac:dyDescent="0.25">
      <c r="A47173"/>
      <c r="B47173"/>
      <c r="C47173"/>
      <c r="E47173"/>
      <c r="F47173"/>
    </row>
    <row r="47174" spans="1:6" x14ac:dyDescent="0.25">
      <c r="A47174"/>
      <c r="B47174"/>
      <c r="C47174"/>
      <c r="E47174"/>
      <c r="F47174"/>
    </row>
    <row r="47175" spans="1:6" x14ac:dyDescent="0.25">
      <c r="A47175"/>
      <c r="B47175"/>
      <c r="C47175"/>
      <c r="E47175"/>
      <c r="F47175"/>
    </row>
    <row r="47176" spans="1:6" x14ac:dyDescent="0.25">
      <c r="A47176"/>
      <c r="B47176"/>
      <c r="C47176"/>
      <c r="E47176"/>
      <c r="F47176"/>
    </row>
    <row r="47177" spans="1:6" x14ac:dyDescent="0.25">
      <c r="A47177"/>
      <c r="B47177"/>
      <c r="C47177"/>
      <c r="E47177"/>
      <c r="F47177"/>
    </row>
    <row r="47178" spans="1:6" x14ac:dyDescent="0.25">
      <c r="A47178"/>
      <c r="B47178"/>
      <c r="C47178"/>
      <c r="E47178"/>
      <c r="F47178"/>
    </row>
    <row r="47179" spans="1:6" x14ac:dyDescent="0.25">
      <c r="A47179"/>
      <c r="B47179"/>
      <c r="C47179"/>
      <c r="E47179"/>
      <c r="F47179"/>
    </row>
    <row r="47180" spans="1:6" x14ac:dyDescent="0.25">
      <c r="A47180"/>
      <c r="B47180"/>
      <c r="C47180"/>
      <c r="E47180"/>
      <c r="F47180"/>
    </row>
    <row r="47181" spans="1:6" x14ac:dyDescent="0.25">
      <c r="A47181"/>
      <c r="B47181"/>
      <c r="C47181"/>
      <c r="E47181"/>
      <c r="F47181"/>
    </row>
    <row r="47182" spans="1:6" x14ac:dyDescent="0.25">
      <c r="A47182"/>
      <c r="B47182"/>
      <c r="C47182"/>
      <c r="E47182"/>
      <c r="F47182"/>
    </row>
    <row r="47183" spans="1:6" x14ac:dyDescent="0.25">
      <c r="A47183"/>
      <c r="B47183"/>
      <c r="C47183"/>
      <c r="E47183"/>
      <c r="F47183"/>
    </row>
    <row r="47184" spans="1:6" x14ac:dyDescent="0.25">
      <c r="A47184"/>
      <c r="B47184"/>
      <c r="C47184"/>
      <c r="E47184"/>
      <c r="F47184"/>
    </row>
    <row r="47185" spans="1:6" x14ac:dyDescent="0.25">
      <c r="A47185"/>
      <c r="B47185"/>
      <c r="C47185"/>
      <c r="E47185"/>
      <c r="F47185"/>
    </row>
    <row r="47186" spans="1:6" x14ac:dyDescent="0.25">
      <c r="A47186"/>
      <c r="B47186"/>
      <c r="C47186"/>
      <c r="E47186"/>
      <c r="F47186"/>
    </row>
    <row r="47187" spans="1:6" x14ac:dyDescent="0.25">
      <c r="A47187"/>
      <c r="B47187"/>
      <c r="C47187"/>
      <c r="E47187"/>
      <c r="F47187"/>
    </row>
    <row r="47188" spans="1:6" x14ac:dyDescent="0.25">
      <c r="A47188"/>
      <c r="B47188"/>
      <c r="C47188"/>
      <c r="E47188"/>
      <c r="F47188"/>
    </row>
    <row r="47189" spans="1:6" x14ac:dyDescent="0.25">
      <c r="A47189"/>
      <c r="B47189"/>
      <c r="C47189"/>
      <c r="E47189"/>
      <c r="F47189"/>
    </row>
    <row r="47190" spans="1:6" x14ac:dyDescent="0.25">
      <c r="A47190"/>
      <c r="B47190"/>
      <c r="C47190"/>
      <c r="E47190"/>
      <c r="F47190"/>
    </row>
    <row r="47191" spans="1:6" x14ac:dyDescent="0.25">
      <c r="A47191"/>
      <c r="B47191"/>
      <c r="C47191"/>
      <c r="E47191"/>
      <c r="F47191"/>
    </row>
    <row r="47192" spans="1:6" x14ac:dyDescent="0.25">
      <c r="A47192"/>
      <c r="B47192"/>
      <c r="C47192"/>
      <c r="E47192"/>
      <c r="F47192"/>
    </row>
    <row r="47193" spans="1:6" x14ac:dyDescent="0.25">
      <c r="A47193"/>
      <c r="B47193"/>
      <c r="C47193"/>
      <c r="E47193"/>
      <c r="F47193"/>
    </row>
    <row r="47194" spans="1:6" x14ac:dyDescent="0.25">
      <c r="A47194"/>
      <c r="B47194"/>
      <c r="C47194"/>
      <c r="E47194"/>
      <c r="F47194"/>
    </row>
    <row r="47195" spans="1:6" x14ac:dyDescent="0.25">
      <c r="A47195"/>
      <c r="B47195"/>
      <c r="C47195"/>
      <c r="E47195"/>
      <c r="F47195"/>
    </row>
    <row r="47196" spans="1:6" x14ac:dyDescent="0.25">
      <c r="A47196"/>
      <c r="B47196"/>
      <c r="C47196"/>
      <c r="E47196"/>
      <c r="F47196"/>
    </row>
    <row r="47197" spans="1:6" x14ac:dyDescent="0.25">
      <c r="A47197"/>
      <c r="B47197"/>
      <c r="C47197"/>
      <c r="E47197"/>
      <c r="F47197"/>
    </row>
    <row r="47198" spans="1:6" x14ac:dyDescent="0.25">
      <c r="A47198"/>
      <c r="B47198"/>
      <c r="C47198"/>
      <c r="E47198"/>
      <c r="F47198"/>
    </row>
    <row r="47199" spans="1:6" x14ac:dyDescent="0.25">
      <c r="A47199"/>
      <c r="B47199"/>
      <c r="C47199"/>
      <c r="E47199"/>
      <c r="F47199"/>
    </row>
    <row r="47200" spans="1:6" x14ac:dyDescent="0.25">
      <c r="A47200"/>
      <c r="B47200"/>
      <c r="C47200"/>
      <c r="E47200"/>
      <c r="F47200"/>
    </row>
    <row r="47201" spans="1:6" x14ac:dyDescent="0.25">
      <c r="A47201"/>
      <c r="B47201"/>
      <c r="C47201"/>
      <c r="E47201"/>
      <c r="F47201"/>
    </row>
    <row r="47202" spans="1:6" x14ac:dyDescent="0.25">
      <c r="A47202"/>
      <c r="B47202"/>
      <c r="C47202"/>
      <c r="E47202"/>
      <c r="F47202"/>
    </row>
    <row r="47203" spans="1:6" x14ac:dyDescent="0.25">
      <c r="A47203"/>
      <c r="B47203"/>
      <c r="C47203"/>
      <c r="E47203"/>
      <c r="F47203"/>
    </row>
    <row r="47204" spans="1:6" x14ac:dyDescent="0.25">
      <c r="A47204"/>
      <c r="B47204"/>
      <c r="C47204"/>
      <c r="E47204"/>
      <c r="F47204"/>
    </row>
    <row r="47205" spans="1:6" x14ac:dyDescent="0.25">
      <c r="A47205"/>
      <c r="B47205"/>
      <c r="C47205"/>
      <c r="E47205"/>
      <c r="F47205"/>
    </row>
    <row r="47206" spans="1:6" x14ac:dyDescent="0.25">
      <c r="A47206"/>
      <c r="B47206"/>
      <c r="C47206"/>
      <c r="E47206"/>
      <c r="F47206"/>
    </row>
    <row r="47207" spans="1:6" x14ac:dyDescent="0.25">
      <c r="A47207"/>
      <c r="B47207"/>
      <c r="C47207"/>
      <c r="E47207"/>
      <c r="F47207"/>
    </row>
    <row r="47208" spans="1:6" x14ac:dyDescent="0.25">
      <c r="A47208"/>
      <c r="B47208"/>
      <c r="C47208"/>
      <c r="E47208"/>
      <c r="F47208"/>
    </row>
    <row r="47209" spans="1:6" x14ac:dyDescent="0.25">
      <c r="A47209"/>
      <c r="B47209"/>
      <c r="C47209"/>
      <c r="E47209"/>
      <c r="F47209"/>
    </row>
    <row r="47210" spans="1:6" x14ac:dyDescent="0.25">
      <c r="A47210"/>
      <c r="B47210"/>
      <c r="C47210"/>
      <c r="E47210"/>
      <c r="F47210"/>
    </row>
    <row r="47211" spans="1:6" x14ac:dyDescent="0.25">
      <c r="A47211"/>
      <c r="B47211"/>
      <c r="C47211"/>
      <c r="E47211"/>
      <c r="F47211"/>
    </row>
    <row r="47212" spans="1:6" x14ac:dyDescent="0.25">
      <c r="A47212"/>
      <c r="B47212"/>
      <c r="C47212"/>
      <c r="E47212"/>
      <c r="F47212"/>
    </row>
    <row r="47213" spans="1:6" x14ac:dyDescent="0.25">
      <c r="A47213"/>
      <c r="B47213"/>
      <c r="C47213"/>
      <c r="E47213"/>
      <c r="F47213"/>
    </row>
    <row r="47214" spans="1:6" x14ac:dyDescent="0.25">
      <c r="A47214"/>
      <c r="B47214"/>
      <c r="C47214"/>
      <c r="E47214"/>
      <c r="F47214"/>
    </row>
    <row r="47215" spans="1:6" x14ac:dyDescent="0.25">
      <c r="A47215"/>
      <c r="B47215"/>
      <c r="C47215"/>
      <c r="E47215"/>
      <c r="F47215"/>
    </row>
    <row r="47216" spans="1:6" x14ac:dyDescent="0.25">
      <c r="A47216"/>
      <c r="B47216"/>
      <c r="C47216"/>
      <c r="E47216"/>
      <c r="F47216"/>
    </row>
    <row r="47217" spans="1:6" x14ac:dyDescent="0.25">
      <c r="A47217"/>
      <c r="B47217"/>
      <c r="C47217"/>
      <c r="E47217"/>
      <c r="F47217"/>
    </row>
    <row r="47218" spans="1:6" x14ac:dyDescent="0.25">
      <c r="A47218"/>
      <c r="B47218"/>
      <c r="C47218"/>
      <c r="E47218"/>
      <c r="F47218"/>
    </row>
    <row r="47219" spans="1:6" x14ac:dyDescent="0.25">
      <c r="A47219"/>
      <c r="B47219"/>
      <c r="C47219"/>
      <c r="E47219"/>
      <c r="F47219"/>
    </row>
    <row r="47220" spans="1:6" x14ac:dyDescent="0.25">
      <c r="A47220"/>
      <c r="B47220"/>
      <c r="C47220"/>
      <c r="E47220"/>
      <c r="F47220"/>
    </row>
    <row r="47221" spans="1:6" x14ac:dyDescent="0.25">
      <c r="A47221"/>
      <c r="B47221"/>
      <c r="C47221"/>
      <c r="E47221"/>
      <c r="F47221"/>
    </row>
    <row r="47222" spans="1:6" x14ac:dyDescent="0.25">
      <c r="A47222"/>
      <c r="B47222"/>
      <c r="C47222"/>
      <c r="E47222"/>
      <c r="F47222"/>
    </row>
    <row r="47223" spans="1:6" x14ac:dyDescent="0.25">
      <c r="A47223"/>
      <c r="B47223"/>
      <c r="C47223"/>
      <c r="E47223"/>
      <c r="F47223"/>
    </row>
    <row r="47224" spans="1:6" x14ac:dyDescent="0.25">
      <c r="A47224"/>
      <c r="B47224"/>
      <c r="C47224"/>
      <c r="E47224"/>
      <c r="F47224"/>
    </row>
    <row r="47225" spans="1:6" x14ac:dyDescent="0.25">
      <c r="A47225"/>
      <c r="B47225"/>
      <c r="C47225"/>
      <c r="E47225"/>
      <c r="F47225"/>
    </row>
    <row r="47226" spans="1:6" x14ac:dyDescent="0.25">
      <c r="A47226"/>
      <c r="B47226"/>
      <c r="C47226"/>
      <c r="E47226"/>
      <c r="F47226"/>
    </row>
    <row r="47227" spans="1:6" x14ac:dyDescent="0.25">
      <c r="A47227"/>
      <c r="B47227"/>
      <c r="C47227"/>
      <c r="E47227"/>
      <c r="F47227"/>
    </row>
    <row r="47228" spans="1:6" x14ac:dyDescent="0.25">
      <c r="A47228"/>
      <c r="B47228"/>
      <c r="C47228"/>
      <c r="E47228"/>
      <c r="F47228"/>
    </row>
    <row r="47229" spans="1:6" x14ac:dyDescent="0.25">
      <c r="A47229"/>
      <c r="B47229"/>
      <c r="C47229"/>
      <c r="E47229"/>
      <c r="F47229"/>
    </row>
    <row r="47230" spans="1:6" x14ac:dyDescent="0.25">
      <c r="A47230"/>
      <c r="B47230"/>
      <c r="C47230"/>
      <c r="E47230"/>
      <c r="F47230"/>
    </row>
    <row r="47231" spans="1:6" x14ac:dyDescent="0.25">
      <c r="A47231"/>
      <c r="B47231"/>
      <c r="C47231"/>
      <c r="E47231"/>
      <c r="F47231"/>
    </row>
    <row r="47232" spans="1:6" x14ac:dyDescent="0.25">
      <c r="A47232"/>
      <c r="B47232"/>
      <c r="C47232"/>
      <c r="E47232"/>
      <c r="F47232"/>
    </row>
    <row r="47233" spans="1:6" x14ac:dyDescent="0.25">
      <c r="A47233"/>
      <c r="B47233"/>
      <c r="C47233"/>
      <c r="E47233"/>
      <c r="F47233"/>
    </row>
    <row r="47234" spans="1:6" x14ac:dyDescent="0.25">
      <c r="A47234"/>
      <c r="B47234"/>
      <c r="C47234"/>
      <c r="E47234"/>
      <c r="F47234"/>
    </row>
    <row r="47235" spans="1:6" x14ac:dyDescent="0.25">
      <c r="A47235"/>
      <c r="B47235"/>
      <c r="C47235"/>
      <c r="E47235"/>
      <c r="F47235"/>
    </row>
    <row r="47236" spans="1:6" x14ac:dyDescent="0.25">
      <c r="A47236"/>
      <c r="B47236"/>
      <c r="C47236"/>
      <c r="E47236"/>
      <c r="F47236"/>
    </row>
    <row r="47237" spans="1:6" x14ac:dyDescent="0.25">
      <c r="A47237"/>
      <c r="B47237"/>
      <c r="C47237"/>
      <c r="E47237"/>
      <c r="F47237"/>
    </row>
    <row r="47238" spans="1:6" x14ac:dyDescent="0.25">
      <c r="A47238"/>
      <c r="B47238"/>
      <c r="C47238"/>
      <c r="E47238"/>
      <c r="F47238"/>
    </row>
    <row r="47239" spans="1:6" x14ac:dyDescent="0.25">
      <c r="A47239"/>
      <c r="B47239"/>
      <c r="C47239"/>
      <c r="E47239"/>
      <c r="F47239"/>
    </row>
    <row r="47240" spans="1:6" x14ac:dyDescent="0.25">
      <c r="A47240"/>
      <c r="B47240"/>
      <c r="C47240"/>
      <c r="E47240"/>
      <c r="F47240"/>
    </row>
    <row r="47241" spans="1:6" x14ac:dyDescent="0.25">
      <c r="A47241"/>
      <c r="B47241"/>
      <c r="C47241"/>
      <c r="E47241"/>
      <c r="F47241"/>
    </row>
    <row r="47242" spans="1:6" x14ac:dyDescent="0.25">
      <c r="A47242"/>
      <c r="B47242"/>
      <c r="C47242"/>
      <c r="E47242"/>
      <c r="F47242"/>
    </row>
    <row r="47243" spans="1:6" x14ac:dyDescent="0.25">
      <c r="A47243"/>
      <c r="B47243"/>
      <c r="C47243"/>
      <c r="E47243"/>
      <c r="F47243"/>
    </row>
    <row r="47244" spans="1:6" x14ac:dyDescent="0.25">
      <c r="A47244"/>
      <c r="B47244"/>
      <c r="C47244"/>
      <c r="E47244"/>
      <c r="F47244"/>
    </row>
    <row r="47245" spans="1:6" x14ac:dyDescent="0.25">
      <c r="A47245"/>
      <c r="B47245"/>
      <c r="C47245"/>
      <c r="E47245"/>
      <c r="F47245"/>
    </row>
    <row r="47246" spans="1:6" x14ac:dyDescent="0.25">
      <c r="A47246"/>
      <c r="B47246"/>
      <c r="C47246"/>
      <c r="E47246"/>
      <c r="F47246"/>
    </row>
    <row r="47247" spans="1:6" x14ac:dyDescent="0.25">
      <c r="A47247"/>
      <c r="B47247"/>
      <c r="C47247"/>
      <c r="E47247"/>
      <c r="F47247"/>
    </row>
    <row r="47248" spans="1:6" x14ac:dyDescent="0.25">
      <c r="A47248"/>
      <c r="B47248"/>
      <c r="C47248"/>
      <c r="E47248"/>
      <c r="F47248"/>
    </row>
    <row r="47249" spans="1:6" x14ac:dyDescent="0.25">
      <c r="A47249"/>
      <c r="B47249"/>
      <c r="C47249"/>
      <c r="E47249"/>
      <c r="F47249"/>
    </row>
    <row r="47250" spans="1:6" x14ac:dyDescent="0.25">
      <c r="A47250"/>
      <c r="B47250"/>
      <c r="C47250"/>
      <c r="E47250"/>
      <c r="F47250"/>
    </row>
    <row r="47251" spans="1:6" x14ac:dyDescent="0.25">
      <c r="A47251"/>
      <c r="B47251"/>
      <c r="C47251"/>
      <c r="E47251"/>
      <c r="F47251"/>
    </row>
    <row r="47252" spans="1:6" x14ac:dyDescent="0.25">
      <c r="A47252"/>
      <c r="B47252"/>
      <c r="C47252"/>
      <c r="E47252"/>
      <c r="F47252"/>
    </row>
    <row r="47253" spans="1:6" x14ac:dyDescent="0.25">
      <c r="A47253"/>
      <c r="B47253"/>
      <c r="C47253"/>
      <c r="E47253"/>
      <c r="F47253"/>
    </row>
    <row r="47254" spans="1:6" x14ac:dyDescent="0.25">
      <c r="A47254"/>
      <c r="B47254"/>
      <c r="C47254"/>
      <c r="E47254"/>
      <c r="F47254"/>
    </row>
    <row r="47255" spans="1:6" x14ac:dyDescent="0.25">
      <c r="A47255"/>
      <c r="B47255"/>
      <c r="C47255"/>
      <c r="E47255"/>
      <c r="F47255"/>
    </row>
    <row r="47256" spans="1:6" x14ac:dyDescent="0.25">
      <c r="A47256"/>
      <c r="B47256"/>
      <c r="C47256"/>
      <c r="E47256"/>
      <c r="F47256"/>
    </row>
    <row r="47257" spans="1:6" x14ac:dyDescent="0.25">
      <c r="A47257"/>
      <c r="B47257"/>
      <c r="C47257"/>
      <c r="E47257"/>
      <c r="F47257"/>
    </row>
    <row r="47258" spans="1:6" x14ac:dyDescent="0.25">
      <c r="A47258"/>
      <c r="B47258"/>
      <c r="C47258"/>
      <c r="E47258"/>
      <c r="F47258"/>
    </row>
    <row r="47259" spans="1:6" x14ac:dyDescent="0.25">
      <c r="A47259"/>
      <c r="B47259"/>
      <c r="C47259"/>
      <c r="E47259"/>
      <c r="F47259"/>
    </row>
    <row r="47260" spans="1:6" x14ac:dyDescent="0.25">
      <c r="A47260"/>
      <c r="B47260"/>
      <c r="C47260"/>
      <c r="E47260"/>
      <c r="F47260"/>
    </row>
    <row r="47261" spans="1:6" x14ac:dyDescent="0.25">
      <c r="A47261"/>
      <c r="B47261"/>
      <c r="C47261"/>
      <c r="E47261"/>
      <c r="F47261"/>
    </row>
    <row r="47262" spans="1:6" x14ac:dyDescent="0.25">
      <c r="A47262"/>
      <c r="B47262"/>
      <c r="C47262"/>
      <c r="E47262"/>
      <c r="F47262"/>
    </row>
    <row r="47263" spans="1:6" x14ac:dyDescent="0.25">
      <c r="A47263"/>
      <c r="B47263"/>
      <c r="C47263"/>
      <c r="E47263"/>
      <c r="F47263"/>
    </row>
    <row r="47264" spans="1:6" x14ac:dyDescent="0.25">
      <c r="A47264"/>
      <c r="B47264"/>
      <c r="C47264"/>
      <c r="E47264"/>
      <c r="F47264"/>
    </row>
    <row r="47265" spans="1:6" x14ac:dyDescent="0.25">
      <c r="A47265"/>
      <c r="B47265"/>
      <c r="C47265"/>
      <c r="E47265"/>
      <c r="F47265"/>
    </row>
    <row r="47266" spans="1:6" x14ac:dyDescent="0.25">
      <c r="A47266"/>
      <c r="B47266"/>
      <c r="C47266"/>
      <c r="E47266"/>
      <c r="F47266"/>
    </row>
    <row r="47267" spans="1:6" x14ac:dyDescent="0.25">
      <c r="A47267"/>
      <c r="B47267"/>
      <c r="C47267"/>
      <c r="E47267"/>
      <c r="F47267"/>
    </row>
    <row r="47268" spans="1:6" x14ac:dyDescent="0.25">
      <c r="A47268"/>
      <c r="B47268"/>
      <c r="C47268"/>
      <c r="E47268"/>
      <c r="F47268"/>
    </row>
    <row r="47269" spans="1:6" x14ac:dyDescent="0.25">
      <c r="A47269"/>
      <c r="B47269"/>
      <c r="C47269"/>
      <c r="E47269"/>
      <c r="F47269"/>
    </row>
    <row r="47270" spans="1:6" x14ac:dyDescent="0.25">
      <c r="A47270"/>
      <c r="B47270"/>
      <c r="C47270"/>
      <c r="E47270"/>
      <c r="F47270"/>
    </row>
    <row r="47271" spans="1:6" x14ac:dyDescent="0.25">
      <c r="A47271"/>
      <c r="B47271"/>
      <c r="C47271"/>
      <c r="E47271"/>
      <c r="F47271"/>
    </row>
    <row r="47272" spans="1:6" x14ac:dyDescent="0.25">
      <c r="A47272"/>
      <c r="B47272"/>
      <c r="C47272"/>
      <c r="E47272"/>
      <c r="F47272"/>
    </row>
    <row r="47273" spans="1:6" x14ac:dyDescent="0.25">
      <c r="A47273"/>
      <c r="B47273"/>
      <c r="C47273"/>
      <c r="E47273"/>
      <c r="F47273"/>
    </row>
    <row r="47274" spans="1:6" x14ac:dyDescent="0.25">
      <c r="A47274"/>
      <c r="B47274"/>
      <c r="C47274"/>
      <c r="E47274"/>
      <c r="F47274"/>
    </row>
    <row r="47275" spans="1:6" x14ac:dyDescent="0.25">
      <c r="A47275"/>
      <c r="B47275"/>
      <c r="C47275"/>
      <c r="E47275"/>
      <c r="F47275"/>
    </row>
    <row r="47276" spans="1:6" x14ac:dyDescent="0.25">
      <c r="A47276"/>
      <c r="B47276"/>
      <c r="C47276"/>
      <c r="E47276"/>
      <c r="F47276"/>
    </row>
    <row r="47277" spans="1:6" x14ac:dyDescent="0.25">
      <c r="A47277"/>
      <c r="B47277"/>
      <c r="C47277"/>
      <c r="E47277"/>
      <c r="F47277"/>
    </row>
    <row r="47278" spans="1:6" x14ac:dyDescent="0.25">
      <c r="A47278"/>
      <c r="B47278"/>
      <c r="C47278"/>
      <c r="E47278"/>
      <c r="F47278"/>
    </row>
    <row r="47279" spans="1:6" x14ac:dyDescent="0.25">
      <c r="A47279"/>
      <c r="B47279"/>
      <c r="C47279"/>
      <c r="E47279"/>
      <c r="F47279"/>
    </row>
    <row r="47280" spans="1:6" x14ac:dyDescent="0.25">
      <c r="A47280"/>
      <c r="B47280"/>
      <c r="C47280"/>
      <c r="E47280"/>
      <c r="F47280"/>
    </row>
    <row r="47281" spans="1:6" x14ac:dyDescent="0.25">
      <c r="A47281"/>
      <c r="B47281"/>
      <c r="C47281"/>
      <c r="E47281"/>
      <c r="F47281"/>
    </row>
    <row r="47282" spans="1:6" x14ac:dyDescent="0.25">
      <c r="A47282"/>
      <c r="B47282"/>
      <c r="C47282"/>
      <c r="E47282"/>
      <c r="F47282"/>
    </row>
    <row r="47283" spans="1:6" x14ac:dyDescent="0.25">
      <c r="A47283"/>
      <c r="B47283"/>
      <c r="C47283"/>
      <c r="E47283"/>
      <c r="F47283"/>
    </row>
    <row r="47284" spans="1:6" x14ac:dyDescent="0.25">
      <c r="A47284"/>
      <c r="B47284"/>
      <c r="C47284"/>
      <c r="E47284"/>
      <c r="F47284"/>
    </row>
    <row r="47285" spans="1:6" x14ac:dyDescent="0.25">
      <c r="A47285"/>
      <c r="B47285"/>
      <c r="C47285"/>
      <c r="E47285"/>
      <c r="F47285"/>
    </row>
    <row r="47286" spans="1:6" x14ac:dyDescent="0.25">
      <c r="A47286"/>
      <c r="B47286"/>
      <c r="C47286"/>
      <c r="E47286"/>
      <c r="F47286"/>
    </row>
    <row r="47287" spans="1:6" x14ac:dyDescent="0.25">
      <c r="A47287"/>
      <c r="B47287"/>
      <c r="C47287"/>
      <c r="E47287"/>
      <c r="F47287"/>
    </row>
    <row r="47288" spans="1:6" x14ac:dyDescent="0.25">
      <c r="A47288"/>
      <c r="B47288"/>
      <c r="C47288"/>
      <c r="E47288"/>
      <c r="F47288"/>
    </row>
    <row r="47289" spans="1:6" x14ac:dyDescent="0.25">
      <c r="A47289"/>
      <c r="B47289"/>
      <c r="C47289"/>
      <c r="E47289"/>
      <c r="F47289"/>
    </row>
    <row r="47290" spans="1:6" x14ac:dyDescent="0.25">
      <c r="A47290"/>
      <c r="B47290"/>
      <c r="C47290"/>
      <c r="E47290"/>
      <c r="F47290"/>
    </row>
    <row r="47291" spans="1:6" x14ac:dyDescent="0.25">
      <c r="A47291"/>
      <c r="B47291"/>
      <c r="C47291"/>
      <c r="E47291"/>
      <c r="F47291"/>
    </row>
    <row r="47292" spans="1:6" x14ac:dyDescent="0.25">
      <c r="A47292"/>
      <c r="B47292"/>
      <c r="C47292"/>
      <c r="E47292"/>
      <c r="F47292"/>
    </row>
    <row r="47293" spans="1:6" x14ac:dyDescent="0.25">
      <c r="A47293"/>
      <c r="B47293"/>
      <c r="C47293"/>
      <c r="E47293"/>
      <c r="F47293"/>
    </row>
    <row r="47294" spans="1:6" x14ac:dyDescent="0.25">
      <c r="A47294"/>
      <c r="B47294"/>
      <c r="C47294"/>
      <c r="E47294"/>
      <c r="F47294"/>
    </row>
    <row r="47295" spans="1:6" x14ac:dyDescent="0.25">
      <c r="A47295"/>
      <c r="B47295"/>
      <c r="C47295"/>
      <c r="E47295"/>
      <c r="F47295"/>
    </row>
    <row r="47296" spans="1:6" x14ac:dyDescent="0.25">
      <c r="A47296"/>
      <c r="B47296"/>
      <c r="C47296"/>
      <c r="E47296"/>
      <c r="F47296"/>
    </row>
    <row r="47297" spans="1:6" x14ac:dyDescent="0.25">
      <c r="A47297"/>
      <c r="B47297"/>
      <c r="C47297"/>
      <c r="E47297"/>
      <c r="F47297"/>
    </row>
    <row r="47298" spans="1:6" x14ac:dyDescent="0.25">
      <c r="A47298"/>
      <c r="B47298"/>
      <c r="C47298"/>
      <c r="E47298"/>
      <c r="F47298"/>
    </row>
    <row r="47299" spans="1:6" x14ac:dyDescent="0.25">
      <c r="A47299"/>
      <c r="B47299"/>
      <c r="C47299"/>
      <c r="E47299"/>
      <c r="F47299"/>
    </row>
    <row r="47300" spans="1:6" x14ac:dyDescent="0.25">
      <c r="A47300"/>
      <c r="B47300"/>
      <c r="C47300"/>
      <c r="E47300"/>
      <c r="F47300"/>
    </row>
    <row r="47301" spans="1:6" x14ac:dyDescent="0.25">
      <c r="A47301"/>
      <c r="B47301"/>
      <c r="C47301"/>
      <c r="E47301"/>
      <c r="F47301"/>
    </row>
    <row r="47302" spans="1:6" x14ac:dyDescent="0.25">
      <c r="A47302"/>
      <c r="B47302"/>
      <c r="C47302"/>
      <c r="E47302"/>
      <c r="F47302"/>
    </row>
    <row r="47303" spans="1:6" x14ac:dyDescent="0.25">
      <c r="A47303"/>
      <c r="B47303"/>
      <c r="C47303"/>
      <c r="E47303"/>
      <c r="F47303"/>
    </row>
    <row r="47304" spans="1:6" x14ac:dyDescent="0.25">
      <c r="A47304"/>
      <c r="B47304"/>
      <c r="C47304"/>
      <c r="E47304"/>
      <c r="F47304"/>
    </row>
    <row r="47305" spans="1:6" x14ac:dyDescent="0.25">
      <c r="A47305"/>
      <c r="B47305"/>
      <c r="C47305"/>
      <c r="E47305"/>
      <c r="F47305"/>
    </row>
    <row r="47306" spans="1:6" x14ac:dyDescent="0.25">
      <c r="A47306"/>
      <c r="B47306"/>
      <c r="C47306"/>
      <c r="E47306"/>
      <c r="F47306"/>
    </row>
    <row r="47307" spans="1:6" x14ac:dyDescent="0.25">
      <c r="A47307"/>
      <c r="B47307"/>
      <c r="C47307"/>
      <c r="E47307"/>
      <c r="F47307"/>
    </row>
    <row r="47308" spans="1:6" x14ac:dyDescent="0.25">
      <c r="A47308"/>
      <c r="B47308"/>
      <c r="C47308"/>
      <c r="E47308"/>
      <c r="F47308"/>
    </row>
    <row r="47309" spans="1:6" x14ac:dyDescent="0.25">
      <c r="A47309"/>
      <c r="B47309"/>
      <c r="C47309"/>
      <c r="E47309"/>
      <c r="F47309"/>
    </row>
    <row r="47310" spans="1:6" x14ac:dyDescent="0.25">
      <c r="A47310"/>
      <c r="B47310"/>
      <c r="C47310"/>
      <c r="E47310"/>
      <c r="F47310"/>
    </row>
    <row r="47311" spans="1:6" x14ac:dyDescent="0.25">
      <c r="A47311"/>
      <c r="B47311"/>
      <c r="C47311"/>
      <c r="E47311"/>
      <c r="F47311"/>
    </row>
    <row r="47312" spans="1:6" x14ac:dyDescent="0.25">
      <c r="A47312"/>
      <c r="B47312"/>
      <c r="C47312"/>
      <c r="E47312"/>
      <c r="F47312"/>
    </row>
    <row r="47313" spans="1:6" x14ac:dyDescent="0.25">
      <c r="A47313"/>
      <c r="B47313"/>
      <c r="C47313"/>
      <c r="E47313"/>
      <c r="F47313"/>
    </row>
    <row r="47314" spans="1:6" x14ac:dyDescent="0.25">
      <c r="A47314"/>
      <c r="B47314"/>
      <c r="C47314"/>
      <c r="E47314"/>
      <c r="F47314"/>
    </row>
    <row r="47315" spans="1:6" x14ac:dyDescent="0.25">
      <c r="A47315"/>
      <c r="B47315"/>
      <c r="C47315"/>
      <c r="E47315"/>
      <c r="F47315"/>
    </row>
    <row r="47316" spans="1:6" x14ac:dyDescent="0.25">
      <c r="A47316"/>
      <c r="B47316"/>
      <c r="C47316"/>
      <c r="E47316"/>
      <c r="F47316"/>
    </row>
    <row r="47317" spans="1:6" x14ac:dyDescent="0.25">
      <c r="A47317"/>
      <c r="B47317"/>
      <c r="C47317"/>
      <c r="E47317"/>
      <c r="F47317"/>
    </row>
    <row r="47318" spans="1:6" x14ac:dyDescent="0.25">
      <c r="A47318"/>
      <c r="B47318"/>
      <c r="C47318"/>
      <c r="E47318"/>
      <c r="F47318"/>
    </row>
    <row r="47319" spans="1:6" x14ac:dyDescent="0.25">
      <c r="A47319"/>
      <c r="B47319"/>
      <c r="C47319"/>
      <c r="E47319"/>
      <c r="F47319"/>
    </row>
    <row r="47320" spans="1:6" x14ac:dyDescent="0.25">
      <c r="A47320"/>
      <c r="B47320"/>
      <c r="C47320"/>
      <c r="E47320"/>
      <c r="F47320"/>
    </row>
    <row r="47321" spans="1:6" x14ac:dyDescent="0.25">
      <c r="A47321"/>
      <c r="B47321"/>
      <c r="C47321"/>
      <c r="E47321"/>
      <c r="F47321"/>
    </row>
    <row r="47322" spans="1:6" x14ac:dyDescent="0.25">
      <c r="A47322"/>
      <c r="B47322"/>
      <c r="C47322"/>
      <c r="E47322"/>
      <c r="F47322"/>
    </row>
    <row r="47323" spans="1:6" x14ac:dyDescent="0.25">
      <c r="A47323"/>
      <c r="B47323"/>
      <c r="C47323"/>
      <c r="E47323"/>
      <c r="F47323"/>
    </row>
    <row r="47324" spans="1:6" x14ac:dyDescent="0.25">
      <c r="A47324"/>
      <c r="B47324"/>
      <c r="C47324"/>
      <c r="E47324"/>
      <c r="F47324"/>
    </row>
    <row r="47325" spans="1:6" x14ac:dyDescent="0.25">
      <c r="A47325"/>
      <c r="B47325"/>
      <c r="C47325"/>
      <c r="E47325"/>
      <c r="F47325"/>
    </row>
    <row r="47326" spans="1:6" x14ac:dyDescent="0.25">
      <c r="A47326"/>
      <c r="B47326"/>
      <c r="C47326"/>
      <c r="E47326"/>
      <c r="F47326"/>
    </row>
    <row r="47327" spans="1:6" x14ac:dyDescent="0.25">
      <c r="A47327"/>
      <c r="B47327"/>
      <c r="C47327"/>
      <c r="E47327"/>
      <c r="F47327"/>
    </row>
    <row r="47328" spans="1:6" x14ac:dyDescent="0.25">
      <c r="A47328"/>
      <c r="B47328"/>
      <c r="C47328"/>
      <c r="E47328"/>
      <c r="F47328"/>
    </row>
    <row r="47329" spans="1:6" x14ac:dyDescent="0.25">
      <c r="A47329"/>
      <c r="B47329"/>
      <c r="C47329"/>
      <c r="E47329"/>
      <c r="F47329"/>
    </row>
    <row r="47330" spans="1:6" x14ac:dyDescent="0.25">
      <c r="A47330"/>
      <c r="B47330"/>
      <c r="C47330"/>
      <c r="E47330"/>
      <c r="F47330"/>
    </row>
    <row r="47331" spans="1:6" x14ac:dyDescent="0.25">
      <c r="A47331"/>
      <c r="B47331"/>
      <c r="C47331"/>
      <c r="E47331"/>
      <c r="F47331"/>
    </row>
    <row r="47332" spans="1:6" x14ac:dyDescent="0.25">
      <c r="A47332"/>
      <c r="B47332"/>
      <c r="C47332"/>
      <c r="E47332"/>
      <c r="F47332"/>
    </row>
    <row r="47333" spans="1:6" x14ac:dyDescent="0.25">
      <c r="A47333"/>
      <c r="B47333"/>
      <c r="C47333"/>
      <c r="E47333"/>
      <c r="F47333"/>
    </row>
    <row r="47334" spans="1:6" x14ac:dyDescent="0.25">
      <c r="A47334"/>
      <c r="B47334"/>
      <c r="C47334"/>
      <c r="E47334"/>
      <c r="F47334"/>
    </row>
    <row r="47335" spans="1:6" x14ac:dyDescent="0.25">
      <c r="A47335"/>
      <c r="B47335"/>
      <c r="C47335"/>
      <c r="E47335"/>
      <c r="F47335"/>
    </row>
    <row r="47336" spans="1:6" x14ac:dyDescent="0.25">
      <c r="A47336"/>
      <c r="B47336"/>
      <c r="C47336"/>
      <c r="E47336"/>
      <c r="F47336"/>
    </row>
    <row r="47337" spans="1:6" x14ac:dyDescent="0.25">
      <c r="A47337"/>
      <c r="B47337"/>
      <c r="C47337"/>
      <c r="E47337"/>
      <c r="F47337"/>
    </row>
    <row r="47338" spans="1:6" x14ac:dyDescent="0.25">
      <c r="A47338"/>
      <c r="B47338"/>
      <c r="C47338"/>
      <c r="E47338"/>
      <c r="F47338"/>
    </row>
    <row r="47339" spans="1:6" x14ac:dyDescent="0.25">
      <c r="A47339"/>
      <c r="B47339"/>
      <c r="C47339"/>
      <c r="E47339"/>
      <c r="F47339"/>
    </row>
    <row r="47340" spans="1:6" x14ac:dyDescent="0.25">
      <c r="A47340"/>
      <c r="B47340"/>
      <c r="C47340"/>
      <c r="E47340"/>
      <c r="F47340"/>
    </row>
    <row r="47341" spans="1:6" x14ac:dyDescent="0.25">
      <c r="A47341"/>
      <c r="B47341"/>
      <c r="C47341"/>
      <c r="E47341"/>
      <c r="F47341"/>
    </row>
    <row r="47342" spans="1:6" x14ac:dyDescent="0.25">
      <c r="A47342"/>
      <c r="B47342"/>
      <c r="C47342"/>
      <c r="E47342"/>
      <c r="F47342"/>
    </row>
    <row r="47343" spans="1:6" x14ac:dyDescent="0.25">
      <c r="A47343"/>
      <c r="B47343"/>
      <c r="C47343"/>
      <c r="E47343"/>
      <c r="F47343"/>
    </row>
    <row r="47344" spans="1:6" x14ac:dyDescent="0.25">
      <c r="A47344"/>
      <c r="B47344"/>
      <c r="C47344"/>
      <c r="E47344"/>
      <c r="F47344"/>
    </row>
    <row r="47345" spans="1:6" x14ac:dyDescent="0.25">
      <c r="A47345"/>
      <c r="B47345"/>
      <c r="C47345"/>
      <c r="E47345"/>
      <c r="F47345"/>
    </row>
    <row r="47346" spans="1:6" x14ac:dyDescent="0.25">
      <c r="A47346"/>
      <c r="B47346"/>
      <c r="C47346"/>
      <c r="E47346"/>
      <c r="F47346"/>
    </row>
    <row r="47347" spans="1:6" x14ac:dyDescent="0.25">
      <c r="A47347"/>
      <c r="B47347"/>
      <c r="C47347"/>
      <c r="E47347"/>
      <c r="F47347"/>
    </row>
    <row r="47348" spans="1:6" x14ac:dyDescent="0.25">
      <c r="A47348"/>
      <c r="B47348"/>
      <c r="C47348"/>
      <c r="E47348"/>
      <c r="F47348"/>
    </row>
    <row r="47349" spans="1:6" x14ac:dyDescent="0.25">
      <c r="A47349"/>
      <c r="B47349"/>
      <c r="C47349"/>
      <c r="E47349"/>
      <c r="F47349"/>
    </row>
    <row r="47350" spans="1:6" x14ac:dyDescent="0.25">
      <c r="A47350"/>
      <c r="B47350"/>
      <c r="C47350"/>
      <c r="E47350"/>
      <c r="F47350"/>
    </row>
    <row r="47351" spans="1:6" x14ac:dyDescent="0.25">
      <c r="A47351"/>
      <c r="B47351"/>
      <c r="C47351"/>
      <c r="E47351"/>
      <c r="F47351"/>
    </row>
    <row r="47352" spans="1:6" x14ac:dyDescent="0.25">
      <c r="A47352"/>
      <c r="B47352"/>
      <c r="C47352"/>
      <c r="E47352"/>
      <c r="F47352"/>
    </row>
    <row r="47353" spans="1:6" x14ac:dyDescent="0.25">
      <c r="A47353"/>
      <c r="B47353"/>
      <c r="C47353"/>
      <c r="E47353"/>
      <c r="F47353"/>
    </row>
    <row r="47354" spans="1:6" x14ac:dyDescent="0.25">
      <c r="A47354"/>
      <c r="B47354"/>
      <c r="C47354"/>
      <c r="E47354"/>
      <c r="F47354"/>
    </row>
    <row r="47355" spans="1:6" x14ac:dyDescent="0.25">
      <c r="A47355"/>
      <c r="B47355"/>
      <c r="C47355"/>
      <c r="E47355"/>
      <c r="F47355"/>
    </row>
    <row r="47356" spans="1:6" x14ac:dyDescent="0.25">
      <c r="A47356"/>
      <c r="B47356"/>
      <c r="C47356"/>
      <c r="E47356"/>
      <c r="F47356"/>
    </row>
    <row r="47357" spans="1:6" x14ac:dyDescent="0.25">
      <c r="A47357"/>
      <c r="B47357"/>
      <c r="C47357"/>
      <c r="E47357"/>
      <c r="F47357"/>
    </row>
    <row r="47358" spans="1:6" x14ac:dyDescent="0.25">
      <c r="A47358"/>
      <c r="B47358"/>
      <c r="C47358"/>
      <c r="E47358"/>
      <c r="F47358"/>
    </row>
    <row r="47359" spans="1:6" x14ac:dyDescent="0.25">
      <c r="A47359"/>
      <c r="B47359"/>
      <c r="C47359"/>
      <c r="E47359"/>
      <c r="F47359"/>
    </row>
    <row r="47360" spans="1:6" x14ac:dyDescent="0.25">
      <c r="A47360"/>
      <c r="B47360"/>
      <c r="C47360"/>
      <c r="E47360"/>
      <c r="F47360"/>
    </row>
    <row r="47361" spans="1:6" x14ac:dyDescent="0.25">
      <c r="A47361"/>
      <c r="B47361"/>
      <c r="C47361"/>
      <c r="E47361"/>
      <c r="F47361"/>
    </row>
    <row r="47362" spans="1:6" x14ac:dyDescent="0.25">
      <c r="A47362"/>
      <c r="B47362"/>
      <c r="C47362"/>
      <c r="E47362"/>
      <c r="F47362"/>
    </row>
    <row r="47363" spans="1:6" x14ac:dyDescent="0.25">
      <c r="A47363"/>
      <c r="B47363"/>
      <c r="C47363"/>
      <c r="E47363"/>
      <c r="F47363"/>
    </row>
    <row r="47364" spans="1:6" x14ac:dyDescent="0.25">
      <c r="A47364"/>
      <c r="B47364"/>
      <c r="C47364"/>
      <c r="E47364"/>
      <c r="F47364"/>
    </row>
    <row r="47365" spans="1:6" x14ac:dyDescent="0.25">
      <c r="A47365"/>
      <c r="B47365"/>
      <c r="C47365"/>
      <c r="E47365"/>
      <c r="F47365"/>
    </row>
    <row r="47366" spans="1:6" x14ac:dyDescent="0.25">
      <c r="A47366"/>
      <c r="B47366"/>
      <c r="C47366"/>
      <c r="E47366"/>
      <c r="F47366"/>
    </row>
    <row r="47367" spans="1:6" x14ac:dyDescent="0.25">
      <c r="A47367"/>
      <c r="B47367"/>
      <c r="C47367"/>
      <c r="E47367"/>
      <c r="F47367"/>
    </row>
    <row r="47368" spans="1:6" x14ac:dyDescent="0.25">
      <c r="A47368"/>
      <c r="B47368"/>
      <c r="C47368"/>
      <c r="E47368"/>
      <c r="F47368"/>
    </row>
    <row r="47369" spans="1:6" x14ac:dyDescent="0.25">
      <c r="A47369"/>
      <c r="B47369"/>
      <c r="C47369"/>
      <c r="E47369"/>
      <c r="F47369"/>
    </row>
    <row r="47370" spans="1:6" x14ac:dyDescent="0.25">
      <c r="A47370"/>
      <c r="B47370"/>
      <c r="C47370"/>
      <c r="E47370"/>
      <c r="F47370"/>
    </row>
    <row r="47371" spans="1:6" x14ac:dyDescent="0.25">
      <c r="A47371"/>
      <c r="B47371"/>
      <c r="C47371"/>
      <c r="E47371"/>
      <c r="F47371"/>
    </row>
    <row r="47372" spans="1:6" x14ac:dyDescent="0.25">
      <c r="A47372"/>
      <c r="B47372"/>
      <c r="C47372"/>
      <c r="E47372"/>
      <c r="F47372"/>
    </row>
    <row r="47373" spans="1:6" x14ac:dyDescent="0.25">
      <c r="A47373"/>
      <c r="B47373"/>
      <c r="C47373"/>
      <c r="E47373"/>
      <c r="F47373"/>
    </row>
    <row r="47374" spans="1:6" x14ac:dyDescent="0.25">
      <c r="A47374"/>
      <c r="B47374"/>
      <c r="C47374"/>
      <c r="E47374"/>
      <c r="F47374"/>
    </row>
    <row r="47375" spans="1:6" x14ac:dyDescent="0.25">
      <c r="A47375"/>
      <c r="B47375"/>
      <c r="C47375"/>
      <c r="E47375"/>
      <c r="F47375"/>
    </row>
    <row r="47376" spans="1:6" x14ac:dyDescent="0.25">
      <c r="A47376"/>
      <c r="B47376"/>
      <c r="C47376"/>
      <c r="E47376"/>
      <c r="F47376"/>
    </row>
    <row r="47377" spans="1:6" x14ac:dyDescent="0.25">
      <c r="A47377"/>
      <c r="B47377"/>
      <c r="C47377"/>
      <c r="E47377"/>
      <c r="F47377"/>
    </row>
    <row r="47378" spans="1:6" x14ac:dyDescent="0.25">
      <c r="A47378"/>
      <c r="B47378"/>
      <c r="C47378"/>
      <c r="E47378"/>
      <c r="F47378"/>
    </row>
    <row r="47379" spans="1:6" x14ac:dyDescent="0.25">
      <c r="A47379"/>
      <c r="B47379"/>
      <c r="C47379"/>
      <c r="E47379"/>
      <c r="F47379"/>
    </row>
    <row r="47380" spans="1:6" x14ac:dyDescent="0.25">
      <c r="A47380"/>
      <c r="B47380"/>
      <c r="C47380"/>
      <c r="E47380"/>
      <c r="F47380"/>
    </row>
    <row r="47381" spans="1:6" x14ac:dyDescent="0.25">
      <c r="A47381"/>
      <c r="B47381"/>
      <c r="C47381"/>
      <c r="E47381"/>
      <c r="F47381"/>
    </row>
    <row r="47382" spans="1:6" x14ac:dyDescent="0.25">
      <c r="A47382"/>
      <c r="B47382"/>
      <c r="C47382"/>
      <c r="E47382"/>
      <c r="F47382"/>
    </row>
    <row r="47383" spans="1:6" x14ac:dyDescent="0.25">
      <c r="A47383"/>
      <c r="B47383"/>
      <c r="C47383"/>
      <c r="E47383"/>
      <c r="F47383"/>
    </row>
    <row r="47384" spans="1:6" x14ac:dyDescent="0.25">
      <c r="A47384"/>
      <c r="B47384"/>
      <c r="C47384"/>
      <c r="E47384"/>
      <c r="F47384"/>
    </row>
    <row r="47385" spans="1:6" x14ac:dyDescent="0.25">
      <c r="A47385"/>
      <c r="B47385"/>
      <c r="C47385"/>
      <c r="E47385"/>
      <c r="F47385"/>
    </row>
    <row r="47386" spans="1:6" x14ac:dyDescent="0.25">
      <c r="A47386"/>
      <c r="B47386"/>
      <c r="C47386"/>
      <c r="E47386"/>
      <c r="F47386"/>
    </row>
    <row r="47387" spans="1:6" x14ac:dyDescent="0.25">
      <c r="A47387"/>
      <c r="B47387"/>
      <c r="C47387"/>
      <c r="E47387"/>
      <c r="F47387"/>
    </row>
    <row r="47388" spans="1:6" x14ac:dyDescent="0.25">
      <c r="A47388"/>
      <c r="B47388"/>
      <c r="C47388"/>
      <c r="E47388"/>
      <c r="F47388"/>
    </row>
    <row r="47389" spans="1:6" x14ac:dyDescent="0.25">
      <c r="A47389"/>
      <c r="B47389"/>
      <c r="C47389"/>
      <c r="E47389"/>
      <c r="F47389"/>
    </row>
    <row r="47390" spans="1:6" x14ac:dyDescent="0.25">
      <c r="A47390"/>
      <c r="B47390"/>
      <c r="C47390"/>
      <c r="E47390"/>
      <c r="F47390"/>
    </row>
    <row r="47391" spans="1:6" x14ac:dyDescent="0.25">
      <c r="A47391"/>
      <c r="B47391"/>
      <c r="C47391"/>
      <c r="E47391"/>
      <c r="F47391"/>
    </row>
    <row r="47392" spans="1:6" x14ac:dyDescent="0.25">
      <c r="A47392"/>
      <c r="B47392"/>
      <c r="C47392"/>
      <c r="E47392"/>
      <c r="F47392"/>
    </row>
    <row r="47393" spans="1:6" x14ac:dyDescent="0.25">
      <c r="A47393"/>
      <c r="B47393"/>
      <c r="C47393"/>
      <c r="E47393"/>
      <c r="F47393"/>
    </row>
    <row r="47394" spans="1:6" x14ac:dyDescent="0.25">
      <c r="A47394"/>
      <c r="B47394"/>
      <c r="C47394"/>
      <c r="E47394"/>
      <c r="F47394"/>
    </row>
    <row r="47395" spans="1:6" x14ac:dyDescent="0.25">
      <c r="A47395"/>
      <c r="B47395"/>
      <c r="C47395"/>
      <c r="E47395"/>
      <c r="F47395"/>
    </row>
    <row r="47396" spans="1:6" x14ac:dyDescent="0.25">
      <c r="A47396"/>
      <c r="B47396"/>
      <c r="C47396"/>
      <c r="E47396"/>
      <c r="F47396"/>
    </row>
    <row r="47397" spans="1:6" x14ac:dyDescent="0.25">
      <c r="A47397"/>
      <c r="B47397"/>
      <c r="C47397"/>
      <c r="E47397"/>
      <c r="F47397"/>
    </row>
    <row r="47398" spans="1:6" x14ac:dyDescent="0.25">
      <c r="A47398"/>
      <c r="B47398"/>
      <c r="C47398"/>
      <c r="E47398"/>
      <c r="F47398"/>
    </row>
    <row r="47399" spans="1:6" x14ac:dyDescent="0.25">
      <c r="A47399"/>
      <c r="B47399"/>
      <c r="C47399"/>
      <c r="E47399"/>
      <c r="F47399"/>
    </row>
    <row r="47400" spans="1:6" x14ac:dyDescent="0.25">
      <c r="A47400"/>
      <c r="B47400"/>
      <c r="C47400"/>
      <c r="E47400"/>
      <c r="F47400"/>
    </row>
    <row r="47401" spans="1:6" x14ac:dyDescent="0.25">
      <c r="A47401"/>
      <c r="B47401"/>
      <c r="C47401"/>
      <c r="E47401"/>
      <c r="F47401"/>
    </row>
    <row r="47402" spans="1:6" x14ac:dyDescent="0.25">
      <c r="A47402"/>
      <c r="B47402"/>
      <c r="C47402"/>
      <c r="E47402"/>
      <c r="F47402"/>
    </row>
    <row r="47403" spans="1:6" x14ac:dyDescent="0.25">
      <c r="A47403"/>
      <c r="B47403"/>
      <c r="C47403"/>
      <c r="E47403"/>
      <c r="F47403"/>
    </row>
    <row r="47404" spans="1:6" x14ac:dyDescent="0.25">
      <c r="A47404"/>
      <c r="B47404"/>
      <c r="C47404"/>
      <c r="E47404"/>
      <c r="F47404"/>
    </row>
    <row r="47405" spans="1:6" x14ac:dyDescent="0.25">
      <c r="A47405"/>
      <c r="B47405"/>
      <c r="C47405"/>
      <c r="E47405"/>
      <c r="F47405"/>
    </row>
    <row r="47406" spans="1:6" x14ac:dyDescent="0.25">
      <c r="A47406"/>
      <c r="B47406"/>
      <c r="C47406"/>
      <c r="E47406"/>
      <c r="F47406"/>
    </row>
    <row r="47407" spans="1:6" x14ac:dyDescent="0.25">
      <c r="A47407"/>
      <c r="B47407"/>
      <c r="C47407"/>
      <c r="E47407"/>
      <c r="F47407"/>
    </row>
    <row r="47408" spans="1:6" x14ac:dyDescent="0.25">
      <c r="A47408"/>
      <c r="B47408"/>
      <c r="C47408"/>
      <c r="E47408"/>
      <c r="F47408"/>
    </row>
    <row r="47409" spans="1:6" x14ac:dyDescent="0.25">
      <c r="A47409"/>
      <c r="B47409"/>
      <c r="C47409"/>
      <c r="E47409"/>
      <c r="F47409"/>
    </row>
    <row r="47410" spans="1:6" x14ac:dyDescent="0.25">
      <c r="A47410"/>
      <c r="B47410"/>
      <c r="C47410"/>
      <c r="E47410"/>
      <c r="F47410"/>
    </row>
    <row r="47411" spans="1:6" x14ac:dyDescent="0.25">
      <c r="A47411"/>
      <c r="B47411"/>
      <c r="C47411"/>
      <c r="E47411"/>
      <c r="F47411"/>
    </row>
    <row r="47412" spans="1:6" x14ac:dyDescent="0.25">
      <c r="A47412"/>
      <c r="B47412"/>
      <c r="C47412"/>
      <c r="E47412"/>
      <c r="F47412"/>
    </row>
    <row r="47413" spans="1:6" x14ac:dyDescent="0.25">
      <c r="A47413"/>
      <c r="B47413"/>
      <c r="C47413"/>
      <c r="E47413"/>
      <c r="F47413"/>
    </row>
    <row r="47414" spans="1:6" x14ac:dyDescent="0.25">
      <c r="A47414"/>
      <c r="B47414"/>
      <c r="C47414"/>
      <c r="E47414"/>
      <c r="F47414"/>
    </row>
    <row r="47415" spans="1:6" x14ac:dyDescent="0.25">
      <c r="A47415"/>
      <c r="B47415"/>
      <c r="C47415"/>
      <c r="E47415"/>
      <c r="F47415"/>
    </row>
    <row r="47416" spans="1:6" x14ac:dyDescent="0.25">
      <c r="A47416"/>
      <c r="B47416"/>
      <c r="C47416"/>
      <c r="E47416"/>
      <c r="F47416"/>
    </row>
    <row r="47417" spans="1:6" x14ac:dyDescent="0.25">
      <c r="A47417"/>
      <c r="B47417"/>
      <c r="C47417"/>
      <c r="E47417"/>
      <c r="F47417"/>
    </row>
    <row r="47418" spans="1:6" x14ac:dyDescent="0.25">
      <c r="A47418"/>
      <c r="B47418"/>
      <c r="C47418"/>
      <c r="E47418"/>
      <c r="F47418"/>
    </row>
    <row r="47419" spans="1:6" x14ac:dyDescent="0.25">
      <c r="A47419"/>
      <c r="B47419"/>
      <c r="C47419"/>
      <c r="E47419"/>
      <c r="F47419"/>
    </row>
    <row r="47420" spans="1:6" x14ac:dyDescent="0.25">
      <c r="A47420"/>
      <c r="B47420"/>
      <c r="C47420"/>
      <c r="E47420"/>
      <c r="F47420"/>
    </row>
    <row r="47421" spans="1:6" x14ac:dyDescent="0.25">
      <c r="A47421"/>
      <c r="B47421"/>
      <c r="C47421"/>
      <c r="E47421"/>
      <c r="F47421"/>
    </row>
    <row r="47422" spans="1:6" x14ac:dyDescent="0.25">
      <c r="A47422"/>
      <c r="B47422"/>
      <c r="C47422"/>
      <c r="E47422"/>
      <c r="F47422"/>
    </row>
    <row r="47423" spans="1:6" x14ac:dyDescent="0.25">
      <c r="A47423"/>
      <c r="B47423"/>
      <c r="C47423"/>
      <c r="E47423"/>
      <c r="F47423"/>
    </row>
    <row r="47424" spans="1:6" x14ac:dyDescent="0.25">
      <c r="A47424"/>
      <c r="B47424"/>
      <c r="C47424"/>
      <c r="E47424"/>
      <c r="F47424"/>
    </row>
    <row r="47425" spans="1:6" x14ac:dyDescent="0.25">
      <c r="A47425"/>
      <c r="B47425"/>
      <c r="C47425"/>
      <c r="E47425"/>
      <c r="F47425"/>
    </row>
    <row r="47426" spans="1:6" x14ac:dyDescent="0.25">
      <c r="A47426"/>
      <c r="B47426"/>
      <c r="C47426"/>
      <c r="E47426"/>
      <c r="F47426"/>
    </row>
    <row r="47427" spans="1:6" x14ac:dyDescent="0.25">
      <c r="A47427"/>
      <c r="B47427"/>
      <c r="C47427"/>
      <c r="E47427"/>
      <c r="F47427"/>
    </row>
    <row r="47428" spans="1:6" x14ac:dyDescent="0.25">
      <c r="A47428"/>
      <c r="B47428"/>
      <c r="C47428"/>
      <c r="E47428"/>
      <c r="F47428"/>
    </row>
    <row r="47429" spans="1:6" x14ac:dyDescent="0.25">
      <c r="A47429"/>
      <c r="B47429"/>
      <c r="C47429"/>
      <c r="E47429"/>
      <c r="F47429"/>
    </row>
    <row r="47430" spans="1:6" x14ac:dyDescent="0.25">
      <c r="A47430"/>
      <c r="B47430"/>
      <c r="C47430"/>
      <c r="E47430"/>
      <c r="F47430"/>
    </row>
    <row r="47431" spans="1:6" x14ac:dyDescent="0.25">
      <c r="A47431"/>
      <c r="B47431"/>
      <c r="C47431"/>
      <c r="E47431"/>
      <c r="F47431"/>
    </row>
    <row r="47432" spans="1:6" x14ac:dyDescent="0.25">
      <c r="A47432"/>
      <c r="B47432"/>
      <c r="C47432"/>
      <c r="E47432"/>
      <c r="F47432"/>
    </row>
    <row r="47433" spans="1:6" x14ac:dyDescent="0.25">
      <c r="A47433"/>
      <c r="B47433"/>
      <c r="C47433"/>
      <c r="E47433"/>
      <c r="F47433"/>
    </row>
    <row r="47434" spans="1:6" x14ac:dyDescent="0.25">
      <c r="A47434"/>
      <c r="B47434"/>
      <c r="C47434"/>
      <c r="E47434"/>
      <c r="F47434"/>
    </row>
    <row r="47435" spans="1:6" x14ac:dyDescent="0.25">
      <c r="A47435"/>
      <c r="B47435"/>
      <c r="C47435"/>
      <c r="E47435"/>
      <c r="F47435"/>
    </row>
    <row r="47436" spans="1:6" x14ac:dyDescent="0.25">
      <c r="A47436"/>
      <c r="B47436"/>
      <c r="C47436"/>
      <c r="E47436"/>
      <c r="F47436"/>
    </row>
    <row r="47437" spans="1:6" x14ac:dyDescent="0.25">
      <c r="A47437"/>
      <c r="B47437"/>
      <c r="C47437"/>
      <c r="E47437"/>
      <c r="F47437"/>
    </row>
    <row r="47438" spans="1:6" x14ac:dyDescent="0.25">
      <c r="A47438"/>
      <c r="B47438"/>
      <c r="C47438"/>
      <c r="E47438"/>
      <c r="F47438"/>
    </row>
    <row r="47439" spans="1:6" x14ac:dyDescent="0.25">
      <c r="A47439"/>
      <c r="B47439"/>
      <c r="C47439"/>
      <c r="E47439"/>
      <c r="F47439"/>
    </row>
    <row r="47440" spans="1:6" x14ac:dyDescent="0.25">
      <c r="A47440"/>
      <c r="B47440"/>
      <c r="C47440"/>
      <c r="E47440"/>
      <c r="F47440"/>
    </row>
    <row r="47441" spans="1:6" x14ac:dyDescent="0.25">
      <c r="A47441"/>
      <c r="B47441"/>
      <c r="C47441"/>
      <c r="E47441"/>
      <c r="F47441"/>
    </row>
    <row r="47442" spans="1:6" x14ac:dyDescent="0.25">
      <c r="A47442"/>
      <c r="B47442"/>
      <c r="C47442"/>
      <c r="E47442"/>
      <c r="F47442"/>
    </row>
    <row r="47443" spans="1:6" x14ac:dyDescent="0.25">
      <c r="A47443"/>
      <c r="B47443"/>
      <c r="C47443"/>
      <c r="E47443"/>
      <c r="F47443"/>
    </row>
    <row r="47444" spans="1:6" x14ac:dyDescent="0.25">
      <c r="A47444"/>
      <c r="B47444"/>
      <c r="C47444"/>
      <c r="E47444"/>
      <c r="F47444"/>
    </row>
    <row r="47445" spans="1:6" x14ac:dyDescent="0.25">
      <c r="A47445"/>
      <c r="B47445"/>
      <c r="C47445"/>
      <c r="E47445"/>
      <c r="F47445"/>
    </row>
    <row r="47446" spans="1:6" x14ac:dyDescent="0.25">
      <c r="A47446"/>
      <c r="B47446"/>
      <c r="C47446"/>
      <c r="E47446"/>
      <c r="F47446"/>
    </row>
    <row r="47447" spans="1:6" x14ac:dyDescent="0.25">
      <c r="A47447"/>
      <c r="B47447"/>
      <c r="C47447"/>
      <c r="E47447"/>
      <c r="F47447"/>
    </row>
    <row r="47448" spans="1:6" x14ac:dyDescent="0.25">
      <c r="A47448"/>
      <c r="B47448"/>
      <c r="C47448"/>
      <c r="E47448"/>
      <c r="F47448"/>
    </row>
    <row r="47449" spans="1:6" x14ac:dyDescent="0.25">
      <c r="A47449"/>
      <c r="B47449"/>
      <c r="C47449"/>
      <c r="E47449"/>
      <c r="F47449"/>
    </row>
    <row r="47450" spans="1:6" x14ac:dyDescent="0.25">
      <c r="A47450"/>
      <c r="B47450"/>
      <c r="C47450"/>
      <c r="E47450"/>
      <c r="F47450"/>
    </row>
    <row r="47451" spans="1:6" x14ac:dyDescent="0.25">
      <c r="A47451"/>
      <c r="B47451"/>
      <c r="C47451"/>
      <c r="E47451"/>
      <c r="F47451"/>
    </row>
    <row r="47452" spans="1:6" x14ac:dyDescent="0.25">
      <c r="A47452"/>
      <c r="B47452"/>
      <c r="C47452"/>
      <c r="E47452"/>
      <c r="F47452"/>
    </row>
    <row r="47453" spans="1:6" x14ac:dyDescent="0.25">
      <c r="A47453"/>
      <c r="B47453"/>
      <c r="C47453"/>
      <c r="E47453"/>
      <c r="F47453"/>
    </row>
    <row r="47454" spans="1:6" x14ac:dyDescent="0.25">
      <c r="A47454"/>
      <c r="B47454"/>
      <c r="C47454"/>
      <c r="E47454"/>
      <c r="F47454"/>
    </row>
    <row r="47455" spans="1:6" x14ac:dyDescent="0.25">
      <c r="A47455"/>
      <c r="B47455"/>
      <c r="C47455"/>
      <c r="E47455"/>
      <c r="F47455"/>
    </row>
    <row r="47456" spans="1:6" x14ac:dyDescent="0.25">
      <c r="A47456"/>
      <c r="B47456"/>
      <c r="C47456"/>
      <c r="E47456"/>
      <c r="F47456"/>
    </row>
    <row r="47457" spans="1:6" x14ac:dyDescent="0.25">
      <c r="A47457"/>
      <c r="B47457"/>
      <c r="C47457"/>
      <c r="E47457"/>
      <c r="F47457"/>
    </row>
    <row r="47458" spans="1:6" x14ac:dyDescent="0.25">
      <c r="A47458"/>
      <c r="B47458"/>
      <c r="C47458"/>
      <c r="E47458"/>
      <c r="F47458"/>
    </row>
    <row r="47459" spans="1:6" x14ac:dyDescent="0.25">
      <c r="A47459"/>
      <c r="B47459"/>
      <c r="C47459"/>
      <c r="E47459"/>
      <c r="F47459"/>
    </row>
    <row r="47460" spans="1:6" x14ac:dyDescent="0.25">
      <c r="A47460"/>
      <c r="B47460"/>
      <c r="C47460"/>
      <c r="E47460"/>
      <c r="F47460"/>
    </row>
    <row r="47461" spans="1:6" x14ac:dyDescent="0.25">
      <c r="A47461"/>
      <c r="B47461"/>
      <c r="C47461"/>
      <c r="E47461"/>
      <c r="F47461"/>
    </row>
    <row r="47462" spans="1:6" x14ac:dyDescent="0.25">
      <c r="A47462"/>
      <c r="B47462"/>
      <c r="C47462"/>
      <c r="E47462"/>
      <c r="F47462"/>
    </row>
    <row r="47463" spans="1:6" x14ac:dyDescent="0.25">
      <c r="A47463"/>
      <c r="B47463"/>
      <c r="C47463"/>
      <c r="E47463"/>
      <c r="F47463"/>
    </row>
    <row r="47464" spans="1:6" x14ac:dyDescent="0.25">
      <c r="A47464"/>
      <c r="B47464"/>
      <c r="C47464"/>
      <c r="E47464"/>
      <c r="F47464"/>
    </row>
    <row r="47465" spans="1:6" x14ac:dyDescent="0.25">
      <c r="A47465"/>
      <c r="B47465"/>
      <c r="C47465"/>
      <c r="E47465"/>
      <c r="F47465"/>
    </row>
    <row r="47466" spans="1:6" x14ac:dyDescent="0.25">
      <c r="A47466"/>
      <c r="B47466"/>
      <c r="C47466"/>
      <c r="E47466"/>
      <c r="F47466"/>
    </row>
    <row r="47467" spans="1:6" x14ac:dyDescent="0.25">
      <c r="A47467"/>
      <c r="B47467"/>
      <c r="C47467"/>
      <c r="E47467"/>
      <c r="F47467"/>
    </row>
    <row r="47468" spans="1:6" x14ac:dyDescent="0.25">
      <c r="A47468"/>
      <c r="B47468"/>
      <c r="C47468"/>
      <c r="E47468"/>
      <c r="F47468"/>
    </row>
    <row r="47469" spans="1:6" x14ac:dyDescent="0.25">
      <c r="A47469"/>
      <c r="B47469"/>
      <c r="C47469"/>
      <c r="E47469"/>
      <c r="F47469"/>
    </row>
    <row r="47470" spans="1:6" x14ac:dyDescent="0.25">
      <c r="A47470"/>
      <c r="B47470"/>
      <c r="C47470"/>
      <c r="E47470"/>
      <c r="F47470"/>
    </row>
    <row r="47471" spans="1:6" x14ac:dyDescent="0.25">
      <c r="A47471"/>
      <c r="B47471"/>
      <c r="C47471"/>
      <c r="E47471"/>
      <c r="F47471"/>
    </row>
    <row r="47472" spans="1:6" x14ac:dyDescent="0.25">
      <c r="A47472"/>
      <c r="B47472"/>
      <c r="C47472"/>
      <c r="E47472"/>
      <c r="F47472"/>
    </row>
    <row r="47473" spans="1:6" x14ac:dyDescent="0.25">
      <c r="A47473"/>
      <c r="B47473"/>
      <c r="C47473"/>
      <c r="E47473"/>
      <c r="F47473"/>
    </row>
    <row r="47474" spans="1:6" x14ac:dyDescent="0.25">
      <c r="A47474"/>
      <c r="B47474"/>
      <c r="C47474"/>
      <c r="E47474"/>
      <c r="F47474"/>
    </row>
    <row r="47475" spans="1:6" x14ac:dyDescent="0.25">
      <c r="A47475"/>
      <c r="B47475"/>
      <c r="C47475"/>
      <c r="E47475"/>
      <c r="F47475"/>
    </row>
    <row r="47476" spans="1:6" x14ac:dyDescent="0.25">
      <c r="A47476"/>
      <c r="B47476"/>
      <c r="C47476"/>
      <c r="E47476"/>
      <c r="F47476"/>
    </row>
    <row r="47477" spans="1:6" x14ac:dyDescent="0.25">
      <c r="A47477"/>
      <c r="B47477"/>
      <c r="C47477"/>
      <c r="E47477"/>
      <c r="F47477"/>
    </row>
    <row r="47478" spans="1:6" x14ac:dyDescent="0.25">
      <c r="A47478"/>
      <c r="B47478"/>
      <c r="C47478"/>
      <c r="E47478"/>
      <c r="F47478"/>
    </row>
    <row r="47479" spans="1:6" x14ac:dyDescent="0.25">
      <c r="A47479"/>
      <c r="B47479"/>
      <c r="C47479"/>
      <c r="E47479"/>
      <c r="F47479"/>
    </row>
    <row r="47480" spans="1:6" x14ac:dyDescent="0.25">
      <c r="A47480"/>
      <c r="B47480"/>
      <c r="C47480"/>
      <c r="E47480"/>
      <c r="F47480"/>
    </row>
    <row r="47481" spans="1:6" x14ac:dyDescent="0.25">
      <c r="A47481"/>
      <c r="B47481"/>
      <c r="C47481"/>
      <c r="E47481"/>
      <c r="F47481"/>
    </row>
    <row r="47482" spans="1:6" x14ac:dyDescent="0.25">
      <c r="A47482"/>
      <c r="B47482"/>
      <c r="C47482"/>
      <c r="E47482"/>
      <c r="F47482"/>
    </row>
    <row r="47483" spans="1:6" x14ac:dyDescent="0.25">
      <c r="A47483"/>
      <c r="B47483"/>
      <c r="C47483"/>
      <c r="E47483"/>
      <c r="F47483"/>
    </row>
    <row r="47484" spans="1:6" x14ac:dyDescent="0.25">
      <c r="A47484"/>
      <c r="B47484"/>
      <c r="C47484"/>
      <c r="E47484"/>
      <c r="F47484"/>
    </row>
    <row r="47485" spans="1:6" x14ac:dyDescent="0.25">
      <c r="A47485"/>
      <c r="B47485"/>
      <c r="C47485"/>
      <c r="E47485"/>
      <c r="F47485"/>
    </row>
    <row r="47486" spans="1:6" x14ac:dyDescent="0.25">
      <c r="A47486"/>
      <c r="B47486"/>
      <c r="C47486"/>
      <c r="E47486"/>
      <c r="F47486"/>
    </row>
    <row r="47487" spans="1:6" x14ac:dyDescent="0.25">
      <c r="A47487"/>
      <c r="B47487"/>
      <c r="C47487"/>
      <c r="E47487"/>
      <c r="F47487"/>
    </row>
    <row r="47488" spans="1:6" x14ac:dyDescent="0.25">
      <c r="A47488"/>
      <c r="B47488"/>
      <c r="C47488"/>
      <c r="E47488"/>
      <c r="F47488"/>
    </row>
    <row r="47489" spans="1:6" x14ac:dyDescent="0.25">
      <c r="A47489"/>
      <c r="B47489"/>
      <c r="C47489"/>
      <c r="E47489"/>
      <c r="F47489"/>
    </row>
    <row r="47490" spans="1:6" x14ac:dyDescent="0.25">
      <c r="A47490"/>
      <c r="B47490"/>
      <c r="C47490"/>
      <c r="E47490"/>
      <c r="F47490"/>
    </row>
    <row r="47491" spans="1:6" x14ac:dyDescent="0.25">
      <c r="A47491"/>
      <c r="B47491"/>
      <c r="C47491"/>
      <c r="E47491"/>
      <c r="F47491"/>
    </row>
    <row r="47492" spans="1:6" x14ac:dyDescent="0.25">
      <c r="A47492"/>
      <c r="B47492"/>
      <c r="C47492"/>
      <c r="E47492"/>
      <c r="F47492"/>
    </row>
    <row r="47493" spans="1:6" x14ac:dyDescent="0.25">
      <c r="A47493"/>
      <c r="B47493"/>
      <c r="C47493"/>
      <c r="E47493"/>
      <c r="F47493"/>
    </row>
    <row r="47494" spans="1:6" x14ac:dyDescent="0.25">
      <c r="A47494"/>
      <c r="B47494"/>
      <c r="C47494"/>
      <c r="E47494"/>
      <c r="F47494"/>
    </row>
    <row r="47495" spans="1:6" x14ac:dyDescent="0.25">
      <c r="A47495"/>
      <c r="B47495"/>
      <c r="C47495"/>
      <c r="E47495"/>
      <c r="F47495"/>
    </row>
    <row r="47496" spans="1:6" x14ac:dyDescent="0.25">
      <c r="A47496"/>
      <c r="B47496"/>
      <c r="C47496"/>
      <c r="E47496"/>
      <c r="F47496"/>
    </row>
    <row r="47497" spans="1:6" x14ac:dyDescent="0.25">
      <c r="A47497"/>
      <c r="B47497"/>
      <c r="C47497"/>
      <c r="E47497"/>
      <c r="F47497"/>
    </row>
    <row r="47498" spans="1:6" x14ac:dyDescent="0.25">
      <c r="A47498"/>
      <c r="B47498"/>
      <c r="C47498"/>
      <c r="E47498"/>
      <c r="F47498"/>
    </row>
    <row r="47499" spans="1:6" x14ac:dyDescent="0.25">
      <c r="A47499"/>
      <c r="B47499"/>
      <c r="C47499"/>
      <c r="E47499"/>
      <c r="F47499"/>
    </row>
    <row r="47500" spans="1:6" x14ac:dyDescent="0.25">
      <c r="A47500"/>
      <c r="B47500"/>
      <c r="C47500"/>
      <c r="E47500"/>
      <c r="F47500"/>
    </row>
    <row r="47501" spans="1:6" x14ac:dyDescent="0.25">
      <c r="A47501"/>
      <c r="B47501"/>
      <c r="C47501"/>
      <c r="E47501"/>
      <c r="F47501"/>
    </row>
    <row r="47502" spans="1:6" x14ac:dyDescent="0.25">
      <c r="A47502"/>
      <c r="B47502"/>
      <c r="C47502"/>
      <c r="E47502"/>
      <c r="F47502"/>
    </row>
    <row r="47503" spans="1:6" x14ac:dyDescent="0.25">
      <c r="A47503"/>
      <c r="B47503"/>
      <c r="C47503"/>
      <c r="E47503"/>
      <c r="F47503"/>
    </row>
    <row r="47504" spans="1:6" x14ac:dyDescent="0.25">
      <c r="A47504"/>
      <c r="B47504"/>
      <c r="C47504"/>
      <c r="E47504"/>
      <c r="F47504"/>
    </row>
    <row r="47505" spans="1:6" x14ac:dyDescent="0.25">
      <c r="A47505"/>
      <c r="B47505"/>
      <c r="C47505"/>
      <c r="E47505"/>
      <c r="F47505"/>
    </row>
    <row r="47506" spans="1:6" x14ac:dyDescent="0.25">
      <c r="A47506"/>
      <c r="B47506"/>
      <c r="C47506"/>
      <c r="E47506"/>
      <c r="F47506"/>
    </row>
    <row r="47507" spans="1:6" x14ac:dyDescent="0.25">
      <c r="A47507"/>
      <c r="B47507"/>
      <c r="C47507"/>
      <c r="E47507"/>
      <c r="F47507"/>
    </row>
    <row r="47508" spans="1:6" x14ac:dyDescent="0.25">
      <c r="A47508"/>
      <c r="B47508"/>
      <c r="C47508"/>
      <c r="E47508"/>
      <c r="F47508"/>
    </row>
    <row r="47509" spans="1:6" x14ac:dyDescent="0.25">
      <c r="A47509"/>
      <c r="B47509"/>
      <c r="C47509"/>
      <c r="E47509"/>
      <c r="F47509"/>
    </row>
    <row r="47510" spans="1:6" x14ac:dyDescent="0.25">
      <c r="A47510"/>
      <c r="B47510"/>
      <c r="C47510"/>
      <c r="E47510"/>
      <c r="F47510"/>
    </row>
    <row r="47511" spans="1:6" x14ac:dyDescent="0.25">
      <c r="A47511"/>
      <c r="B47511"/>
      <c r="C47511"/>
      <c r="E47511"/>
      <c r="F47511"/>
    </row>
    <row r="47512" spans="1:6" x14ac:dyDescent="0.25">
      <c r="A47512"/>
      <c r="B47512"/>
      <c r="C47512"/>
      <c r="E47512"/>
      <c r="F47512"/>
    </row>
    <row r="47513" spans="1:6" x14ac:dyDescent="0.25">
      <c r="A47513"/>
      <c r="B47513"/>
      <c r="C47513"/>
      <c r="E47513"/>
      <c r="F47513"/>
    </row>
    <row r="47514" spans="1:6" x14ac:dyDescent="0.25">
      <c r="A47514"/>
      <c r="B47514"/>
      <c r="C47514"/>
      <c r="E47514"/>
      <c r="F47514"/>
    </row>
    <row r="47515" spans="1:6" x14ac:dyDescent="0.25">
      <c r="A47515"/>
      <c r="B47515"/>
      <c r="C47515"/>
      <c r="E47515"/>
      <c r="F47515"/>
    </row>
    <row r="47516" spans="1:6" x14ac:dyDescent="0.25">
      <c r="A47516"/>
      <c r="B47516"/>
      <c r="C47516"/>
      <c r="E47516"/>
      <c r="F47516"/>
    </row>
    <row r="47517" spans="1:6" x14ac:dyDescent="0.25">
      <c r="A47517"/>
      <c r="B47517"/>
      <c r="C47517"/>
      <c r="E47517"/>
      <c r="F47517"/>
    </row>
    <row r="47518" spans="1:6" x14ac:dyDescent="0.25">
      <c r="A47518"/>
      <c r="B47518"/>
      <c r="C47518"/>
      <c r="E47518"/>
      <c r="F47518"/>
    </row>
    <row r="47519" spans="1:6" x14ac:dyDescent="0.25">
      <c r="A47519"/>
      <c r="B47519"/>
      <c r="C47519"/>
      <c r="E47519"/>
      <c r="F47519"/>
    </row>
    <row r="47520" spans="1:6" x14ac:dyDescent="0.25">
      <c r="A47520"/>
      <c r="B47520"/>
      <c r="C47520"/>
      <c r="E47520"/>
      <c r="F47520"/>
    </row>
    <row r="47521" spans="1:6" x14ac:dyDescent="0.25">
      <c r="A47521"/>
      <c r="B47521"/>
      <c r="C47521"/>
      <c r="E47521"/>
      <c r="F47521"/>
    </row>
    <row r="47522" spans="1:6" x14ac:dyDescent="0.25">
      <c r="A47522"/>
      <c r="B47522"/>
      <c r="C47522"/>
      <c r="E47522"/>
      <c r="F47522"/>
    </row>
    <row r="47523" spans="1:6" x14ac:dyDescent="0.25">
      <c r="A47523"/>
      <c r="B47523"/>
      <c r="C47523"/>
      <c r="E47523"/>
      <c r="F47523"/>
    </row>
    <row r="47524" spans="1:6" x14ac:dyDescent="0.25">
      <c r="A47524"/>
      <c r="B47524"/>
      <c r="C47524"/>
      <c r="E47524"/>
      <c r="F47524"/>
    </row>
    <row r="47525" spans="1:6" x14ac:dyDescent="0.25">
      <c r="A47525"/>
      <c r="B47525"/>
      <c r="C47525"/>
      <c r="E47525"/>
      <c r="F47525"/>
    </row>
    <row r="47526" spans="1:6" x14ac:dyDescent="0.25">
      <c r="A47526"/>
      <c r="B47526"/>
      <c r="C47526"/>
      <c r="E47526"/>
      <c r="F47526"/>
    </row>
    <row r="47527" spans="1:6" x14ac:dyDescent="0.25">
      <c r="A47527"/>
      <c r="B47527"/>
      <c r="C47527"/>
      <c r="E47527"/>
      <c r="F47527"/>
    </row>
    <row r="47528" spans="1:6" x14ac:dyDescent="0.25">
      <c r="A47528"/>
      <c r="B47528"/>
      <c r="C47528"/>
      <c r="E47528"/>
      <c r="F47528"/>
    </row>
    <row r="47529" spans="1:6" x14ac:dyDescent="0.25">
      <c r="A47529"/>
      <c r="B47529"/>
      <c r="C47529"/>
      <c r="E47529"/>
      <c r="F47529"/>
    </row>
    <row r="47530" spans="1:6" x14ac:dyDescent="0.25">
      <c r="A47530"/>
      <c r="B47530"/>
      <c r="C47530"/>
      <c r="E47530"/>
      <c r="F47530"/>
    </row>
    <row r="47531" spans="1:6" x14ac:dyDescent="0.25">
      <c r="A47531"/>
      <c r="B47531"/>
      <c r="C47531"/>
      <c r="E47531"/>
      <c r="F47531"/>
    </row>
    <row r="47532" spans="1:6" x14ac:dyDescent="0.25">
      <c r="A47532"/>
      <c r="B47532"/>
      <c r="C47532"/>
      <c r="E47532"/>
      <c r="F47532"/>
    </row>
    <row r="47533" spans="1:6" x14ac:dyDescent="0.25">
      <c r="A47533"/>
      <c r="B47533"/>
      <c r="C47533"/>
      <c r="E47533"/>
      <c r="F47533"/>
    </row>
    <row r="47534" spans="1:6" x14ac:dyDescent="0.25">
      <c r="A47534"/>
      <c r="B47534"/>
      <c r="C47534"/>
      <c r="E47534"/>
      <c r="F47534"/>
    </row>
    <row r="47535" spans="1:6" x14ac:dyDescent="0.25">
      <c r="A47535"/>
      <c r="B47535"/>
      <c r="C47535"/>
      <c r="E47535"/>
      <c r="F47535"/>
    </row>
    <row r="47536" spans="1:6" x14ac:dyDescent="0.25">
      <c r="A47536"/>
      <c r="B47536"/>
      <c r="C47536"/>
      <c r="E47536"/>
      <c r="F47536"/>
    </row>
    <row r="47537" spans="1:6" x14ac:dyDescent="0.25">
      <c r="A47537"/>
      <c r="B47537"/>
      <c r="C47537"/>
      <c r="E47537"/>
      <c r="F47537"/>
    </row>
    <row r="47538" spans="1:6" x14ac:dyDescent="0.25">
      <c r="A47538"/>
      <c r="B47538"/>
      <c r="C47538"/>
      <c r="E47538"/>
      <c r="F47538"/>
    </row>
    <row r="47539" spans="1:6" x14ac:dyDescent="0.25">
      <c r="A47539"/>
      <c r="B47539"/>
      <c r="C47539"/>
      <c r="E47539"/>
      <c r="F47539"/>
    </row>
    <row r="47540" spans="1:6" x14ac:dyDescent="0.25">
      <c r="A47540"/>
      <c r="B47540"/>
      <c r="C47540"/>
      <c r="E47540"/>
      <c r="F47540"/>
    </row>
    <row r="47541" spans="1:6" x14ac:dyDescent="0.25">
      <c r="A47541"/>
      <c r="B47541"/>
      <c r="C47541"/>
      <c r="E47541"/>
      <c r="F47541"/>
    </row>
    <row r="47542" spans="1:6" x14ac:dyDescent="0.25">
      <c r="A47542"/>
      <c r="B47542"/>
      <c r="C47542"/>
      <c r="E47542"/>
      <c r="F47542"/>
    </row>
    <row r="47543" spans="1:6" x14ac:dyDescent="0.25">
      <c r="A47543"/>
      <c r="B47543"/>
      <c r="C47543"/>
      <c r="E47543"/>
      <c r="F47543"/>
    </row>
    <row r="47544" spans="1:6" x14ac:dyDescent="0.25">
      <c r="A47544"/>
      <c r="B47544"/>
      <c r="C47544"/>
      <c r="E47544"/>
      <c r="F47544"/>
    </row>
    <row r="47545" spans="1:6" x14ac:dyDescent="0.25">
      <c r="A47545"/>
      <c r="B47545"/>
      <c r="C47545"/>
      <c r="E47545"/>
      <c r="F47545"/>
    </row>
    <row r="47546" spans="1:6" x14ac:dyDescent="0.25">
      <c r="A47546"/>
      <c r="B47546"/>
      <c r="C47546"/>
      <c r="E47546"/>
      <c r="F47546"/>
    </row>
    <row r="47547" spans="1:6" x14ac:dyDescent="0.25">
      <c r="A47547"/>
      <c r="B47547"/>
      <c r="C47547"/>
      <c r="E47547"/>
      <c r="F47547"/>
    </row>
    <row r="47548" spans="1:6" x14ac:dyDescent="0.25">
      <c r="A47548"/>
      <c r="B47548"/>
      <c r="C47548"/>
      <c r="E47548"/>
      <c r="F47548"/>
    </row>
    <row r="47549" spans="1:6" x14ac:dyDescent="0.25">
      <c r="A47549"/>
      <c r="B47549"/>
      <c r="C47549"/>
      <c r="E47549"/>
      <c r="F47549"/>
    </row>
    <row r="47550" spans="1:6" x14ac:dyDescent="0.25">
      <c r="A47550"/>
      <c r="B47550"/>
      <c r="C47550"/>
      <c r="E47550"/>
      <c r="F47550"/>
    </row>
    <row r="47551" spans="1:6" x14ac:dyDescent="0.25">
      <c r="A47551"/>
      <c r="B47551"/>
      <c r="C47551"/>
      <c r="E47551"/>
      <c r="F47551"/>
    </row>
    <row r="47552" spans="1:6" x14ac:dyDescent="0.25">
      <c r="A47552"/>
      <c r="B47552"/>
      <c r="C47552"/>
      <c r="E47552"/>
      <c r="F47552"/>
    </row>
    <row r="47553" spans="1:6" x14ac:dyDescent="0.25">
      <c r="A47553"/>
      <c r="B47553"/>
      <c r="C47553"/>
      <c r="E47553"/>
      <c r="F47553"/>
    </row>
    <row r="47554" spans="1:6" x14ac:dyDescent="0.25">
      <c r="A47554"/>
      <c r="B47554"/>
      <c r="C47554"/>
      <c r="E47554"/>
      <c r="F47554"/>
    </row>
    <row r="47555" spans="1:6" x14ac:dyDescent="0.25">
      <c r="A47555"/>
      <c r="B47555"/>
      <c r="C47555"/>
      <c r="E47555"/>
      <c r="F47555"/>
    </row>
    <row r="47556" spans="1:6" x14ac:dyDescent="0.25">
      <c r="A47556"/>
      <c r="B47556"/>
      <c r="C47556"/>
      <c r="E47556"/>
      <c r="F47556"/>
    </row>
    <row r="47557" spans="1:6" x14ac:dyDescent="0.25">
      <c r="A47557"/>
      <c r="B47557"/>
      <c r="C47557"/>
      <c r="E47557"/>
      <c r="F47557"/>
    </row>
    <row r="47558" spans="1:6" x14ac:dyDescent="0.25">
      <c r="A47558"/>
      <c r="B47558"/>
      <c r="C47558"/>
      <c r="E47558"/>
      <c r="F47558"/>
    </row>
    <row r="47559" spans="1:6" x14ac:dyDescent="0.25">
      <c r="A47559"/>
      <c r="B47559"/>
      <c r="C47559"/>
      <c r="E47559"/>
      <c r="F47559"/>
    </row>
    <row r="47560" spans="1:6" x14ac:dyDescent="0.25">
      <c r="A47560"/>
      <c r="B47560"/>
      <c r="C47560"/>
      <c r="E47560"/>
      <c r="F47560"/>
    </row>
    <row r="47561" spans="1:6" x14ac:dyDescent="0.25">
      <c r="A47561"/>
      <c r="B47561"/>
      <c r="C47561"/>
      <c r="E47561"/>
      <c r="F47561"/>
    </row>
    <row r="47562" spans="1:6" x14ac:dyDescent="0.25">
      <c r="A47562"/>
      <c r="B47562"/>
      <c r="C47562"/>
      <c r="E47562"/>
      <c r="F47562"/>
    </row>
    <row r="47563" spans="1:6" x14ac:dyDescent="0.25">
      <c r="A47563"/>
      <c r="B47563"/>
      <c r="C47563"/>
      <c r="E47563"/>
      <c r="F47563"/>
    </row>
    <row r="47564" spans="1:6" x14ac:dyDescent="0.25">
      <c r="A47564"/>
      <c r="B47564"/>
      <c r="C47564"/>
      <c r="E47564"/>
      <c r="F47564"/>
    </row>
    <row r="47565" spans="1:6" x14ac:dyDescent="0.25">
      <c r="A47565"/>
      <c r="B47565"/>
      <c r="C47565"/>
      <c r="E47565"/>
      <c r="F47565"/>
    </row>
    <row r="47566" spans="1:6" x14ac:dyDescent="0.25">
      <c r="A47566"/>
      <c r="B47566"/>
      <c r="C47566"/>
      <c r="E47566"/>
      <c r="F47566"/>
    </row>
    <row r="47567" spans="1:6" x14ac:dyDescent="0.25">
      <c r="A47567"/>
      <c r="B47567"/>
      <c r="C47567"/>
      <c r="E47567"/>
      <c r="F47567"/>
    </row>
    <row r="47568" spans="1:6" x14ac:dyDescent="0.25">
      <c r="A47568"/>
      <c r="B47568"/>
      <c r="C47568"/>
      <c r="E47568"/>
      <c r="F47568"/>
    </row>
    <row r="47569" spans="1:6" x14ac:dyDescent="0.25">
      <c r="A47569"/>
      <c r="B47569"/>
      <c r="C47569"/>
      <c r="E47569"/>
      <c r="F47569"/>
    </row>
    <row r="47570" spans="1:6" x14ac:dyDescent="0.25">
      <c r="A47570"/>
      <c r="B47570"/>
      <c r="C47570"/>
      <c r="E47570"/>
      <c r="F47570"/>
    </row>
    <row r="47571" spans="1:6" x14ac:dyDescent="0.25">
      <c r="A47571"/>
      <c r="B47571"/>
      <c r="C47571"/>
      <c r="E47571"/>
      <c r="F47571"/>
    </row>
    <row r="47572" spans="1:6" x14ac:dyDescent="0.25">
      <c r="A47572"/>
      <c r="B47572"/>
      <c r="C47572"/>
      <c r="E47572"/>
      <c r="F47572"/>
    </row>
    <row r="47573" spans="1:6" x14ac:dyDescent="0.25">
      <c r="A47573"/>
      <c r="B47573"/>
      <c r="C47573"/>
      <c r="E47573"/>
      <c r="F47573"/>
    </row>
    <row r="47574" spans="1:6" x14ac:dyDescent="0.25">
      <c r="A47574"/>
      <c r="B47574"/>
      <c r="C47574"/>
      <c r="E47574"/>
      <c r="F47574"/>
    </row>
    <row r="47575" spans="1:6" x14ac:dyDescent="0.25">
      <c r="A47575"/>
      <c r="B47575"/>
      <c r="C47575"/>
      <c r="E47575"/>
      <c r="F47575"/>
    </row>
    <row r="47576" spans="1:6" x14ac:dyDescent="0.25">
      <c r="A47576"/>
      <c r="B47576"/>
      <c r="C47576"/>
      <c r="E47576"/>
      <c r="F47576"/>
    </row>
    <row r="47577" spans="1:6" x14ac:dyDescent="0.25">
      <c r="A47577"/>
      <c r="B47577"/>
      <c r="C47577"/>
      <c r="E47577"/>
      <c r="F47577"/>
    </row>
    <row r="47578" spans="1:6" x14ac:dyDescent="0.25">
      <c r="A47578"/>
      <c r="B47578"/>
      <c r="C47578"/>
      <c r="E47578"/>
      <c r="F47578"/>
    </row>
    <row r="47579" spans="1:6" x14ac:dyDescent="0.25">
      <c r="A47579"/>
      <c r="B47579"/>
      <c r="C47579"/>
      <c r="E47579"/>
      <c r="F47579"/>
    </row>
    <row r="47580" spans="1:6" x14ac:dyDescent="0.25">
      <c r="A47580"/>
      <c r="B47580"/>
      <c r="C47580"/>
      <c r="E47580"/>
      <c r="F47580"/>
    </row>
    <row r="47581" spans="1:6" x14ac:dyDescent="0.25">
      <c r="A47581"/>
      <c r="B47581"/>
      <c r="C47581"/>
      <c r="E47581"/>
      <c r="F47581"/>
    </row>
    <row r="47582" spans="1:6" x14ac:dyDescent="0.25">
      <c r="A47582"/>
      <c r="B47582"/>
      <c r="C47582"/>
      <c r="E47582"/>
      <c r="F47582"/>
    </row>
    <row r="47583" spans="1:6" x14ac:dyDescent="0.25">
      <c r="A47583"/>
      <c r="B47583"/>
      <c r="C47583"/>
      <c r="E47583"/>
      <c r="F47583"/>
    </row>
    <row r="47584" spans="1:6" x14ac:dyDescent="0.25">
      <c r="A47584"/>
      <c r="B47584"/>
      <c r="C47584"/>
      <c r="E47584"/>
      <c r="F47584"/>
    </row>
    <row r="47585" spans="1:6" x14ac:dyDescent="0.25">
      <c r="A47585"/>
      <c r="B47585"/>
      <c r="C47585"/>
      <c r="E47585"/>
      <c r="F47585"/>
    </row>
    <row r="47586" spans="1:6" x14ac:dyDescent="0.25">
      <c r="A47586"/>
      <c r="B47586"/>
      <c r="C47586"/>
      <c r="E47586"/>
      <c r="F47586"/>
    </row>
    <row r="47587" spans="1:6" x14ac:dyDescent="0.25">
      <c r="A47587"/>
      <c r="B47587"/>
      <c r="C47587"/>
      <c r="E47587"/>
      <c r="F47587"/>
    </row>
    <row r="47588" spans="1:6" x14ac:dyDescent="0.25">
      <c r="A47588"/>
      <c r="B47588"/>
      <c r="C47588"/>
      <c r="E47588"/>
      <c r="F47588"/>
    </row>
    <row r="47589" spans="1:6" x14ac:dyDescent="0.25">
      <c r="A47589"/>
      <c r="B47589"/>
      <c r="C47589"/>
      <c r="E47589"/>
      <c r="F47589"/>
    </row>
    <row r="47590" spans="1:6" x14ac:dyDescent="0.25">
      <c r="A47590"/>
      <c r="B47590"/>
      <c r="C47590"/>
      <c r="E47590"/>
      <c r="F47590"/>
    </row>
    <row r="47591" spans="1:6" x14ac:dyDescent="0.25">
      <c r="A47591"/>
      <c r="B47591"/>
      <c r="C47591"/>
      <c r="E47591"/>
      <c r="F47591"/>
    </row>
    <row r="47592" spans="1:6" x14ac:dyDescent="0.25">
      <c r="A47592"/>
      <c r="B47592"/>
      <c r="C47592"/>
      <c r="E47592"/>
      <c r="F47592"/>
    </row>
    <row r="47593" spans="1:6" x14ac:dyDescent="0.25">
      <c r="A47593"/>
      <c r="B47593"/>
      <c r="C47593"/>
      <c r="E47593"/>
      <c r="F47593"/>
    </row>
    <row r="47594" spans="1:6" x14ac:dyDescent="0.25">
      <c r="A47594"/>
      <c r="B47594"/>
      <c r="C47594"/>
      <c r="E47594"/>
      <c r="F47594"/>
    </row>
    <row r="47595" spans="1:6" x14ac:dyDescent="0.25">
      <c r="A47595"/>
      <c r="B47595"/>
      <c r="C47595"/>
      <c r="E47595"/>
      <c r="F47595"/>
    </row>
    <row r="47596" spans="1:6" x14ac:dyDescent="0.25">
      <c r="A47596"/>
      <c r="B47596"/>
      <c r="C47596"/>
      <c r="E47596"/>
      <c r="F47596"/>
    </row>
    <row r="47597" spans="1:6" x14ac:dyDescent="0.25">
      <c r="A47597"/>
      <c r="B47597"/>
      <c r="C47597"/>
      <c r="E47597"/>
      <c r="F47597"/>
    </row>
    <row r="47598" spans="1:6" x14ac:dyDescent="0.25">
      <c r="A47598"/>
      <c r="B47598"/>
      <c r="C47598"/>
      <c r="E47598"/>
      <c r="F47598"/>
    </row>
    <row r="47599" spans="1:6" x14ac:dyDescent="0.25">
      <c r="A47599"/>
      <c r="B47599"/>
      <c r="C47599"/>
      <c r="E47599"/>
      <c r="F47599"/>
    </row>
    <row r="47600" spans="1:6" x14ac:dyDescent="0.25">
      <c r="A47600"/>
      <c r="B47600"/>
      <c r="C47600"/>
      <c r="E47600"/>
      <c r="F47600"/>
    </row>
    <row r="47601" spans="1:6" x14ac:dyDescent="0.25">
      <c r="A47601"/>
      <c r="B47601"/>
      <c r="C47601"/>
      <c r="E47601"/>
      <c r="F47601"/>
    </row>
    <row r="47602" spans="1:6" x14ac:dyDescent="0.25">
      <c r="A47602"/>
      <c r="B47602"/>
      <c r="C47602"/>
      <c r="E47602"/>
      <c r="F47602"/>
    </row>
    <row r="47603" spans="1:6" x14ac:dyDescent="0.25">
      <c r="A47603"/>
      <c r="B47603"/>
      <c r="C47603"/>
      <c r="E47603"/>
      <c r="F47603"/>
    </row>
    <row r="47604" spans="1:6" x14ac:dyDescent="0.25">
      <c r="A47604"/>
      <c r="B47604"/>
      <c r="C47604"/>
      <c r="E47604"/>
      <c r="F47604"/>
    </row>
    <row r="47605" spans="1:6" x14ac:dyDescent="0.25">
      <c r="A47605"/>
      <c r="B47605"/>
      <c r="C47605"/>
      <c r="E47605"/>
      <c r="F47605"/>
    </row>
    <row r="47606" spans="1:6" x14ac:dyDescent="0.25">
      <c r="A47606"/>
      <c r="B47606"/>
      <c r="C47606"/>
      <c r="E47606"/>
      <c r="F47606"/>
    </row>
    <row r="47607" spans="1:6" x14ac:dyDescent="0.25">
      <c r="A47607"/>
      <c r="B47607"/>
      <c r="C47607"/>
      <c r="E47607"/>
      <c r="F47607"/>
    </row>
    <row r="47608" spans="1:6" x14ac:dyDescent="0.25">
      <c r="A47608"/>
      <c r="B47608"/>
      <c r="C47608"/>
      <c r="E47608"/>
      <c r="F47608"/>
    </row>
    <row r="47609" spans="1:6" x14ac:dyDescent="0.25">
      <c r="A47609"/>
      <c r="B47609"/>
      <c r="C47609"/>
      <c r="E47609"/>
      <c r="F47609"/>
    </row>
    <row r="47610" spans="1:6" x14ac:dyDescent="0.25">
      <c r="A47610"/>
      <c r="B47610"/>
      <c r="C47610"/>
      <c r="E47610"/>
      <c r="F47610"/>
    </row>
    <row r="47611" spans="1:6" x14ac:dyDescent="0.25">
      <c r="A47611"/>
      <c r="B47611"/>
      <c r="C47611"/>
      <c r="E47611"/>
      <c r="F47611"/>
    </row>
    <row r="47612" spans="1:6" x14ac:dyDescent="0.25">
      <c r="A47612"/>
      <c r="B47612"/>
      <c r="C47612"/>
      <c r="E47612"/>
      <c r="F47612"/>
    </row>
    <row r="47613" spans="1:6" x14ac:dyDescent="0.25">
      <c r="A47613"/>
      <c r="B47613"/>
      <c r="C47613"/>
      <c r="E47613"/>
      <c r="F47613"/>
    </row>
    <row r="47614" spans="1:6" x14ac:dyDescent="0.25">
      <c r="A47614"/>
      <c r="B47614"/>
      <c r="C47614"/>
      <c r="E47614"/>
      <c r="F47614"/>
    </row>
    <row r="47615" spans="1:6" x14ac:dyDescent="0.25">
      <c r="A47615"/>
      <c r="B47615"/>
      <c r="C47615"/>
      <c r="E47615"/>
      <c r="F47615"/>
    </row>
    <row r="47616" spans="1:6" x14ac:dyDescent="0.25">
      <c r="A47616"/>
      <c r="B47616"/>
      <c r="C47616"/>
      <c r="E47616"/>
      <c r="F47616"/>
    </row>
    <row r="47617" spans="1:6" x14ac:dyDescent="0.25">
      <c r="A47617"/>
      <c r="B47617"/>
      <c r="C47617"/>
      <c r="E47617"/>
      <c r="F47617"/>
    </row>
    <row r="47618" spans="1:6" x14ac:dyDescent="0.25">
      <c r="A47618"/>
      <c r="B47618"/>
      <c r="C47618"/>
      <c r="E47618"/>
      <c r="F47618"/>
    </row>
    <row r="47619" spans="1:6" x14ac:dyDescent="0.25">
      <c r="A47619"/>
      <c r="B47619"/>
      <c r="C47619"/>
      <c r="E47619"/>
      <c r="F47619"/>
    </row>
    <row r="47620" spans="1:6" x14ac:dyDescent="0.25">
      <c r="A47620"/>
      <c r="B47620"/>
      <c r="C47620"/>
      <c r="E47620"/>
      <c r="F47620"/>
    </row>
    <row r="47621" spans="1:6" x14ac:dyDescent="0.25">
      <c r="A47621"/>
      <c r="B47621"/>
      <c r="C47621"/>
      <c r="E47621"/>
      <c r="F47621"/>
    </row>
    <row r="47622" spans="1:6" x14ac:dyDescent="0.25">
      <c r="A47622"/>
      <c r="B47622"/>
      <c r="C47622"/>
      <c r="E47622"/>
      <c r="F47622"/>
    </row>
    <row r="47623" spans="1:6" x14ac:dyDescent="0.25">
      <c r="A47623"/>
      <c r="B47623"/>
      <c r="C47623"/>
      <c r="E47623"/>
      <c r="F47623"/>
    </row>
    <row r="47624" spans="1:6" x14ac:dyDescent="0.25">
      <c r="A47624"/>
      <c r="B47624"/>
      <c r="C47624"/>
      <c r="E47624"/>
      <c r="F47624"/>
    </row>
    <row r="47625" spans="1:6" x14ac:dyDescent="0.25">
      <c r="A47625"/>
      <c r="B47625"/>
      <c r="C47625"/>
      <c r="E47625"/>
      <c r="F47625"/>
    </row>
    <row r="47626" spans="1:6" x14ac:dyDescent="0.25">
      <c r="A47626"/>
      <c r="B47626"/>
      <c r="C47626"/>
      <c r="E47626"/>
      <c r="F47626"/>
    </row>
    <row r="47627" spans="1:6" x14ac:dyDescent="0.25">
      <c r="A47627"/>
      <c r="B47627"/>
      <c r="C47627"/>
      <c r="E47627"/>
      <c r="F47627"/>
    </row>
    <row r="47628" spans="1:6" x14ac:dyDescent="0.25">
      <c r="A47628"/>
      <c r="B47628"/>
      <c r="C47628"/>
      <c r="E47628"/>
      <c r="F47628"/>
    </row>
    <row r="47629" spans="1:6" x14ac:dyDescent="0.25">
      <c r="A47629"/>
      <c r="B47629"/>
      <c r="C47629"/>
      <c r="E47629"/>
      <c r="F47629"/>
    </row>
    <row r="47630" spans="1:6" x14ac:dyDescent="0.25">
      <c r="A47630"/>
      <c r="B47630"/>
      <c r="C47630"/>
      <c r="E47630"/>
      <c r="F47630"/>
    </row>
    <row r="47631" spans="1:6" x14ac:dyDescent="0.25">
      <c r="A47631"/>
      <c r="B47631"/>
      <c r="C47631"/>
      <c r="E47631"/>
      <c r="F47631"/>
    </row>
    <row r="47632" spans="1:6" x14ac:dyDescent="0.25">
      <c r="A47632"/>
      <c r="B47632"/>
      <c r="C47632"/>
      <c r="E47632"/>
      <c r="F47632"/>
    </row>
    <row r="47633" spans="1:6" x14ac:dyDescent="0.25">
      <c r="A47633"/>
      <c r="B47633"/>
      <c r="C47633"/>
      <c r="E47633"/>
      <c r="F47633"/>
    </row>
    <row r="47634" spans="1:6" x14ac:dyDescent="0.25">
      <c r="A47634"/>
      <c r="B47634"/>
      <c r="C47634"/>
      <c r="E47634"/>
      <c r="F47634"/>
    </row>
    <row r="47635" spans="1:6" x14ac:dyDescent="0.25">
      <c r="A47635"/>
      <c r="B47635"/>
      <c r="C47635"/>
      <c r="E47635"/>
      <c r="F47635"/>
    </row>
    <row r="47636" spans="1:6" x14ac:dyDescent="0.25">
      <c r="A47636"/>
      <c r="B47636"/>
      <c r="C47636"/>
      <c r="E47636"/>
      <c r="F47636"/>
    </row>
    <row r="47637" spans="1:6" x14ac:dyDescent="0.25">
      <c r="A47637"/>
      <c r="B47637"/>
      <c r="C47637"/>
      <c r="E47637"/>
      <c r="F47637"/>
    </row>
    <row r="47638" spans="1:6" x14ac:dyDescent="0.25">
      <c r="A47638"/>
      <c r="B47638"/>
      <c r="C47638"/>
      <c r="E47638"/>
      <c r="F47638"/>
    </row>
    <row r="47639" spans="1:6" x14ac:dyDescent="0.25">
      <c r="A47639"/>
      <c r="B47639"/>
      <c r="C47639"/>
      <c r="E47639"/>
      <c r="F47639"/>
    </row>
    <row r="47640" spans="1:6" x14ac:dyDescent="0.25">
      <c r="A47640"/>
      <c r="B47640"/>
      <c r="C47640"/>
      <c r="E47640"/>
      <c r="F47640"/>
    </row>
    <row r="47641" spans="1:6" x14ac:dyDescent="0.25">
      <c r="A47641"/>
      <c r="B47641"/>
      <c r="C47641"/>
      <c r="E47641"/>
      <c r="F47641"/>
    </row>
    <row r="47642" spans="1:6" x14ac:dyDescent="0.25">
      <c r="A47642"/>
      <c r="B47642"/>
      <c r="C47642"/>
      <c r="E47642"/>
      <c r="F47642"/>
    </row>
    <row r="47643" spans="1:6" x14ac:dyDescent="0.25">
      <c r="A47643"/>
      <c r="B47643"/>
      <c r="C47643"/>
      <c r="E47643"/>
      <c r="F47643"/>
    </row>
    <row r="47644" spans="1:6" x14ac:dyDescent="0.25">
      <c r="A47644"/>
      <c r="B47644"/>
      <c r="C47644"/>
      <c r="E47644"/>
      <c r="F47644"/>
    </row>
    <row r="47645" spans="1:6" x14ac:dyDescent="0.25">
      <c r="A47645"/>
      <c r="B47645"/>
      <c r="C47645"/>
      <c r="E47645"/>
      <c r="F47645"/>
    </row>
    <row r="47646" spans="1:6" x14ac:dyDescent="0.25">
      <c r="A47646"/>
      <c r="B47646"/>
      <c r="C47646"/>
      <c r="E47646"/>
      <c r="F47646"/>
    </row>
    <row r="47647" spans="1:6" x14ac:dyDescent="0.25">
      <c r="A47647"/>
      <c r="B47647"/>
      <c r="C47647"/>
      <c r="E47647"/>
      <c r="F47647"/>
    </row>
    <row r="47648" spans="1:6" x14ac:dyDescent="0.25">
      <c r="A47648"/>
      <c r="B47648"/>
      <c r="C47648"/>
      <c r="E47648"/>
      <c r="F47648"/>
    </row>
    <row r="47649" spans="1:6" x14ac:dyDescent="0.25">
      <c r="A47649"/>
      <c r="B47649"/>
      <c r="C47649"/>
      <c r="E47649"/>
      <c r="F47649"/>
    </row>
    <row r="47650" spans="1:6" x14ac:dyDescent="0.25">
      <c r="A47650"/>
      <c r="B47650"/>
      <c r="C47650"/>
      <c r="E47650"/>
      <c r="F47650"/>
    </row>
    <row r="47651" spans="1:6" x14ac:dyDescent="0.25">
      <c r="A47651"/>
      <c r="B47651"/>
      <c r="C47651"/>
      <c r="E47651"/>
      <c r="F47651"/>
    </row>
    <row r="47652" spans="1:6" x14ac:dyDescent="0.25">
      <c r="A47652"/>
      <c r="B47652"/>
      <c r="C47652"/>
      <c r="E47652"/>
      <c r="F47652"/>
    </row>
    <row r="47653" spans="1:6" x14ac:dyDescent="0.25">
      <c r="A47653"/>
      <c r="B47653"/>
      <c r="C47653"/>
      <c r="E47653"/>
      <c r="F47653"/>
    </row>
    <row r="47654" spans="1:6" x14ac:dyDescent="0.25">
      <c r="A47654"/>
      <c r="B47654"/>
      <c r="C47654"/>
      <c r="E47654"/>
      <c r="F47654"/>
    </row>
    <row r="47655" spans="1:6" x14ac:dyDescent="0.25">
      <c r="A47655"/>
      <c r="B47655"/>
      <c r="C47655"/>
      <c r="E47655"/>
      <c r="F47655"/>
    </row>
    <row r="47656" spans="1:6" x14ac:dyDescent="0.25">
      <c r="A47656"/>
      <c r="B47656"/>
      <c r="C47656"/>
      <c r="E47656"/>
      <c r="F47656"/>
    </row>
    <row r="47657" spans="1:6" x14ac:dyDescent="0.25">
      <c r="A47657"/>
      <c r="B47657"/>
      <c r="C47657"/>
      <c r="E47657"/>
      <c r="F47657"/>
    </row>
    <row r="47658" spans="1:6" x14ac:dyDescent="0.25">
      <c r="A47658"/>
      <c r="B47658"/>
      <c r="C47658"/>
      <c r="E47658"/>
      <c r="F47658"/>
    </row>
    <row r="47659" spans="1:6" x14ac:dyDescent="0.25">
      <c r="A47659"/>
      <c r="B47659"/>
      <c r="C47659"/>
      <c r="E47659"/>
      <c r="F47659"/>
    </row>
    <row r="47660" spans="1:6" x14ac:dyDescent="0.25">
      <c r="A47660"/>
      <c r="B47660"/>
      <c r="C47660"/>
      <c r="E47660"/>
      <c r="F47660"/>
    </row>
    <row r="47661" spans="1:6" x14ac:dyDescent="0.25">
      <c r="A47661"/>
      <c r="B47661"/>
      <c r="C47661"/>
      <c r="E47661"/>
      <c r="F47661"/>
    </row>
    <row r="47662" spans="1:6" x14ac:dyDescent="0.25">
      <c r="A47662"/>
      <c r="B47662"/>
      <c r="C47662"/>
      <c r="E47662"/>
      <c r="F47662"/>
    </row>
    <row r="47663" spans="1:6" x14ac:dyDescent="0.25">
      <c r="A47663"/>
      <c r="B47663"/>
      <c r="C47663"/>
      <c r="E47663"/>
      <c r="F47663"/>
    </row>
    <row r="47664" spans="1:6" x14ac:dyDescent="0.25">
      <c r="A47664"/>
      <c r="B47664"/>
      <c r="C47664"/>
      <c r="E47664"/>
      <c r="F47664"/>
    </row>
    <row r="47665" spans="1:6" x14ac:dyDescent="0.25">
      <c r="A47665"/>
      <c r="B47665"/>
      <c r="C47665"/>
      <c r="E47665"/>
      <c r="F47665"/>
    </row>
    <row r="47666" spans="1:6" x14ac:dyDescent="0.25">
      <c r="A47666"/>
      <c r="B47666"/>
      <c r="C47666"/>
      <c r="E47666"/>
      <c r="F47666"/>
    </row>
    <row r="47667" spans="1:6" x14ac:dyDescent="0.25">
      <c r="A47667"/>
      <c r="B47667"/>
      <c r="C47667"/>
      <c r="E47667"/>
      <c r="F47667"/>
    </row>
    <row r="47668" spans="1:6" x14ac:dyDescent="0.25">
      <c r="A47668"/>
      <c r="B47668"/>
      <c r="C47668"/>
      <c r="E47668"/>
      <c r="F47668"/>
    </row>
    <row r="47669" spans="1:6" x14ac:dyDescent="0.25">
      <c r="A47669"/>
      <c r="B47669"/>
      <c r="C47669"/>
      <c r="E47669"/>
      <c r="F47669"/>
    </row>
    <row r="47670" spans="1:6" x14ac:dyDescent="0.25">
      <c r="A47670"/>
      <c r="B47670"/>
      <c r="C47670"/>
      <c r="E47670"/>
      <c r="F47670"/>
    </row>
    <row r="47671" spans="1:6" x14ac:dyDescent="0.25">
      <c r="A47671"/>
      <c r="B47671"/>
      <c r="C47671"/>
      <c r="E47671"/>
      <c r="F47671"/>
    </row>
    <row r="47672" spans="1:6" x14ac:dyDescent="0.25">
      <c r="A47672"/>
      <c r="B47672"/>
      <c r="C47672"/>
      <c r="E47672"/>
      <c r="F47672"/>
    </row>
    <row r="47673" spans="1:6" x14ac:dyDescent="0.25">
      <c r="A47673"/>
      <c r="B47673"/>
      <c r="C47673"/>
      <c r="E47673"/>
      <c r="F47673"/>
    </row>
    <row r="47674" spans="1:6" x14ac:dyDescent="0.25">
      <c r="A47674"/>
      <c r="B47674"/>
      <c r="C47674"/>
      <c r="E47674"/>
      <c r="F47674"/>
    </row>
    <row r="47675" spans="1:6" x14ac:dyDescent="0.25">
      <c r="A47675"/>
      <c r="B47675"/>
      <c r="C47675"/>
      <c r="E47675"/>
      <c r="F47675"/>
    </row>
    <row r="47676" spans="1:6" x14ac:dyDescent="0.25">
      <c r="A47676"/>
      <c r="B47676"/>
      <c r="C47676"/>
      <c r="E47676"/>
      <c r="F47676"/>
    </row>
    <row r="47677" spans="1:6" x14ac:dyDescent="0.25">
      <c r="A47677"/>
      <c r="B47677"/>
      <c r="C47677"/>
      <c r="E47677"/>
      <c r="F47677"/>
    </row>
    <row r="47678" spans="1:6" x14ac:dyDescent="0.25">
      <c r="A47678"/>
      <c r="B47678"/>
      <c r="C47678"/>
      <c r="E47678"/>
      <c r="F47678"/>
    </row>
    <row r="47679" spans="1:6" x14ac:dyDescent="0.25">
      <c r="A47679"/>
      <c r="B47679"/>
      <c r="C47679"/>
      <c r="E47679"/>
      <c r="F47679"/>
    </row>
    <row r="47680" spans="1:6" x14ac:dyDescent="0.25">
      <c r="A47680"/>
      <c r="B47680"/>
      <c r="C47680"/>
      <c r="E47680"/>
      <c r="F47680"/>
    </row>
    <row r="47681" spans="1:6" x14ac:dyDescent="0.25">
      <c r="A47681"/>
      <c r="B47681"/>
      <c r="C47681"/>
      <c r="E47681"/>
      <c r="F47681"/>
    </row>
    <row r="47682" spans="1:6" x14ac:dyDescent="0.25">
      <c r="A47682"/>
      <c r="B47682"/>
      <c r="C47682"/>
      <c r="E47682"/>
      <c r="F47682"/>
    </row>
    <row r="47683" spans="1:6" x14ac:dyDescent="0.25">
      <c r="A47683"/>
      <c r="B47683"/>
      <c r="C47683"/>
      <c r="E47683"/>
      <c r="F47683"/>
    </row>
    <row r="47684" spans="1:6" x14ac:dyDescent="0.25">
      <c r="A47684"/>
      <c r="B47684"/>
      <c r="C47684"/>
      <c r="E47684"/>
      <c r="F47684"/>
    </row>
    <row r="47685" spans="1:6" x14ac:dyDescent="0.25">
      <c r="A47685"/>
      <c r="B47685"/>
      <c r="C47685"/>
      <c r="E47685"/>
      <c r="F47685"/>
    </row>
    <row r="47686" spans="1:6" x14ac:dyDescent="0.25">
      <c r="A47686"/>
      <c r="B47686"/>
      <c r="C47686"/>
      <c r="E47686"/>
      <c r="F47686"/>
    </row>
    <row r="47687" spans="1:6" x14ac:dyDescent="0.25">
      <c r="A47687"/>
      <c r="B47687"/>
      <c r="C47687"/>
      <c r="E47687"/>
      <c r="F47687"/>
    </row>
    <row r="47688" spans="1:6" x14ac:dyDescent="0.25">
      <c r="A47688"/>
      <c r="B47688"/>
      <c r="C47688"/>
      <c r="E47688"/>
      <c r="F47688"/>
    </row>
    <row r="47689" spans="1:6" x14ac:dyDescent="0.25">
      <c r="A47689"/>
      <c r="B47689"/>
      <c r="C47689"/>
      <c r="E47689"/>
      <c r="F47689"/>
    </row>
    <row r="47690" spans="1:6" x14ac:dyDescent="0.25">
      <c r="A47690"/>
      <c r="B47690"/>
      <c r="C47690"/>
      <c r="E47690"/>
      <c r="F47690"/>
    </row>
    <row r="47691" spans="1:6" x14ac:dyDescent="0.25">
      <c r="A47691"/>
      <c r="B47691"/>
      <c r="C47691"/>
      <c r="E47691"/>
      <c r="F47691"/>
    </row>
    <row r="47692" spans="1:6" x14ac:dyDescent="0.25">
      <c r="A47692"/>
      <c r="B47692"/>
      <c r="C47692"/>
      <c r="E47692"/>
      <c r="F47692"/>
    </row>
    <row r="47693" spans="1:6" x14ac:dyDescent="0.25">
      <c r="A47693"/>
      <c r="B47693"/>
      <c r="C47693"/>
      <c r="E47693"/>
      <c r="F47693"/>
    </row>
    <row r="47694" spans="1:6" x14ac:dyDescent="0.25">
      <c r="A47694"/>
      <c r="B47694"/>
      <c r="C47694"/>
      <c r="E47694"/>
      <c r="F47694"/>
    </row>
    <row r="47695" spans="1:6" x14ac:dyDescent="0.25">
      <c r="A47695"/>
      <c r="B47695"/>
      <c r="C47695"/>
      <c r="E47695"/>
      <c r="F47695"/>
    </row>
    <row r="47696" spans="1:6" x14ac:dyDescent="0.25">
      <c r="A47696"/>
      <c r="B47696"/>
      <c r="C47696"/>
      <c r="E47696"/>
      <c r="F47696"/>
    </row>
    <row r="47697" spans="1:6" x14ac:dyDescent="0.25">
      <c r="A47697"/>
      <c r="B47697"/>
      <c r="C47697"/>
      <c r="E47697"/>
      <c r="F47697"/>
    </row>
    <row r="47698" spans="1:6" x14ac:dyDescent="0.25">
      <c r="A47698"/>
      <c r="B47698"/>
      <c r="C47698"/>
      <c r="E47698"/>
      <c r="F47698"/>
    </row>
    <row r="47699" spans="1:6" x14ac:dyDescent="0.25">
      <c r="A47699"/>
      <c r="B47699"/>
      <c r="C47699"/>
      <c r="E47699"/>
      <c r="F47699"/>
    </row>
    <row r="47700" spans="1:6" x14ac:dyDescent="0.25">
      <c r="A47700"/>
      <c r="B47700"/>
      <c r="C47700"/>
      <c r="E47700"/>
      <c r="F47700"/>
    </row>
    <row r="47701" spans="1:6" x14ac:dyDescent="0.25">
      <c r="A47701"/>
      <c r="B47701"/>
      <c r="C47701"/>
      <c r="E47701"/>
      <c r="F47701"/>
    </row>
    <row r="47702" spans="1:6" x14ac:dyDescent="0.25">
      <c r="A47702"/>
      <c r="B47702"/>
      <c r="C47702"/>
      <c r="E47702"/>
      <c r="F47702"/>
    </row>
    <row r="47703" spans="1:6" x14ac:dyDescent="0.25">
      <c r="A47703"/>
      <c r="B47703"/>
      <c r="C47703"/>
      <c r="E47703"/>
      <c r="F47703"/>
    </row>
    <row r="47704" spans="1:6" x14ac:dyDescent="0.25">
      <c r="A47704"/>
      <c r="B47704"/>
      <c r="C47704"/>
      <c r="E47704"/>
      <c r="F47704"/>
    </row>
    <row r="47705" spans="1:6" x14ac:dyDescent="0.25">
      <c r="A47705"/>
      <c r="B47705"/>
      <c r="C47705"/>
      <c r="E47705"/>
      <c r="F47705"/>
    </row>
    <row r="47706" spans="1:6" x14ac:dyDescent="0.25">
      <c r="A47706"/>
      <c r="B47706"/>
      <c r="C47706"/>
      <c r="E47706"/>
      <c r="F47706"/>
    </row>
    <row r="47707" spans="1:6" x14ac:dyDescent="0.25">
      <c r="A47707"/>
      <c r="B47707"/>
      <c r="C47707"/>
      <c r="E47707"/>
      <c r="F47707"/>
    </row>
    <row r="47708" spans="1:6" x14ac:dyDescent="0.25">
      <c r="A47708"/>
      <c r="B47708"/>
      <c r="C47708"/>
      <c r="E47708"/>
      <c r="F47708"/>
    </row>
    <row r="47709" spans="1:6" x14ac:dyDescent="0.25">
      <c r="A47709"/>
      <c r="B47709"/>
      <c r="C47709"/>
      <c r="E47709"/>
      <c r="F47709"/>
    </row>
    <row r="47710" spans="1:6" x14ac:dyDescent="0.25">
      <c r="A47710"/>
      <c r="B47710"/>
      <c r="C47710"/>
      <c r="E47710"/>
      <c r="F47710"/>
    </row>
    <row r="47711" spans="1:6" x14ac:dyDescent="0.25">
      <c r="A47711"/>
      <c r="B47711"/>
      <c r="C47711"/>
      <c r="E47711"/>
      <c r="F47711"/>
    </row>
    <row r="47712" spans="1:6" x14ac:dyDescent="0.25">
      <c r="A47712"/>
      <c r="B47712"/>
      <c r="C47712"/>
      <c r="E47712"/>
      <c r="F47712"/>
    </row>
    <row r="47713" spans="1:6" x14ac:dyDescent="0.25">
      <c r="A47713"/>
      <c r="B47713"/>
      <c r="C47713"/>
      <c r="E47713"/>
      <c r="F47713"/>
    </row>
    <row r="47714" spans="1:6" x14ac:dyDescent="0.25">
      <c r="A47714"/>
      <c r="B47714"/>
      <c r="C47714"/>
      <c r="E47714"/>
      <c r="F47714"/>
    </row>
    <row r="47715" spans="1:6" x14ac:dyDescent="0.25">
      <c r="A47715"/>
      <c r="B47715"/>
      <c r="C47715"/>
      <c r="E47715"/>
      <c r="F47715"/>
    </row>
    <row r="47716" spans="1:6" x14ac:dyDescent="0.25">
      <c r="A47716"/>
      <c r="B47716"/>
      <c r="C47716"/>
      <c r="E47716"/>
      <c r="F47716"/>
    </row>
    <row r="47717" spans="1:6" x14ac:dyDescent="0.25">
      <c r="A47717"/>
      <c r="B47717"/>
      <c r="C47717"/>
      <c r="E47717"/>
      <c r="F47717"/>
    </row>
    <row r="47718" spans="1:6" x14ac:dyDescent="0.25">
      <c r="A47718"/>
      <c r="B47718"/>
      <c r="C47718"/>
      <c r="E47718"/>
      <c r="F47718"/>
    </row>
    <row r="47719" spans="1:6" x14ac:dyDescent="0.25">
      <c r="A47719"/>
      <c r="B47719"/>
      <c r="C47719"/>
      <c r="E47719"/>
      <c r="F47719"/>
    </row>
    <row r="47720" spans="1:6" x14ac:dyDescent="0.25">
      <c r="A47720"/>
      <c r="B47720"/>
      <c r="C47720"/>
      <c r="E47720"/>
      <c r="F47720"/>
    </row>
    <row r="47721" spans="1:6" x14ac:dyDescent="0.25">
      <c r="A47721"/>
      <c r="B47721"/>
      <c r="C47721"/>
      <c r="E47721"/>
      <c r="F47721"/>
    </row>
    <row r="47722" spans="1:6" x14ac:dyDescent="0.25">
      <c r="A47722"/>
      <c r="B47722"/>
      <c r="C47722"/>
      <c r="E47722"/>
      <c r="F47722"/>
    </row>
    <row r="47723" spans="1:6" x14ac:dyDescent="0.25">
      <c r="A47723"/>
      <c r="B47723"/>
      <c r="C47723"/>
      <c r="E47723"/>
      <c r="F47723"/>
    </row>
    <row r="47724" spans="1:6" x14ac:dyDescent="0.25">
      <c r="A47724"/>
      <c r="B47724"/>
      <c r="C47724"/>
      <c r="E47724"/>
      <c r="F47724"/>
    </row>
    <row r="47725" spans="1:6" x14ac:dyDescent="0.25">
      <c r="A47725"/>
      <c r="B47725"/>
      <c r="C47725"/>
      <c r="E47725"/>
      <c r="F47725"/>
    </row>
    <row r="47726" spans="1:6" x14ac:dyDescent="0.25">
      <c r="A47726"/>
      <c r="B47726"/>
      <c r="C47726"/>
      <c r="E47726"/>
      <c r="F47726"/>
    </row>
    <row r="47727" spans="1:6" x14ac:dyDescent="0.25">
      <c r="A47727"/>
      <c r="B47727"/>
      <c r="C47727"/>
      <c r="E47727"/>
      <c r="F47727"/>
    </row>
    <row r="47728" spans="1:6" x14ac:dyDescent="0.25">
      <c r="A47728"/>
      <c r="B47728"/>
      <c r="C47728"/>
      <c r="E47728"/>
      <c r="F47728"/>
    </row>
    <row r="47729" spans="1:6" x14ac:dyDescent="0.25">
      <c r="A47729"/>
      <c r="B47729"/>
      <c r="C47729"/>
      <c r="E47729"/>
      <c r="F47729"/>
    </row>
    <row r="47730" spans="1:6" x14ac:dyDescent="0.25">
      <c r="A47730"/>
      <c r="B47730"/>
      <c r="C47730"/>
      <c r="E47730"/>
      <c r="F47730"/>
    </row>
    <row r="47731" spans="1:6" x14ac:dyDescent="0.25">
      <c r="A47731"/>
      <c r="B47731"/>
      <c r="C47731"/>
      <c r="E47731"/>
      <c r="F47731"/>
    </row>
    <row r="47732" spans="1:6" x14ac:dyDescent="0.25">
      <c r="A47732"/>
      <c r="B47732"/>
      <c r="C47732"/>
      <c r="E47732"/>
      <c r="F47732"/>
    </row>
    <row r="47733" spans="1:6" x14ac:dyDescent="0.25">
      <c r="A47733"/>
      <c r="B47733"/>
      <c r="C47733"/>
      <c r="E47733"/>
      <c r="F47733"/>
    </row>
    <row r="47734" spans="1:6" x14ac:dyDescent="0.25">
      <c r="A47734"/>
      <c r="B47734"/>
      <c r="C47734"/>
      <c r="E47734"/>
      <c r="F47734"/>
    </row>
    <row r="47735" spans="1:6" x14ac:dyDescent="0.25">
      <c r="A47735"/>
      <c r="B47735"/>
      <c r="C47735"/>
      <c r="E47735"/>
      <c r="F47735"/>
    </row>
    <row r="47736" spans="1:6" x14ac:dyDescent="0.25">
      <c r="A47736"/>
      <c r="B47736"/>
      <c r="C47736"/>
      <c r="E47736"/>
      <c r="F47736"/>
    </row>
    <row r="47737" spans="1:6" x14ac:dyDescent="0.25">
      <c r="A47737"/>
      <c r="B47737"/>
      <c r="C47737"/>
      <c r="E47737"/>
      <c r="F47737"/>
    </row>
    <row r="47738" spans="1:6" x14ac:dyDescent="0.25">
      <c r="A47738"/>
      <c r="B47738"/>
      <c r="C47738"/>
      <c r="E47738"/>
      <c r="F47738"/>
    </row>
    <row r="47739" spans="1:6" x14ac:dyDescent="0.25">
      <c r="A47739"/>
      <c r="B47739"/>
      <c r="C47739"/>
      <c r="E47739"/>
      <c r="F47739"/>
    </row>
    <row r="47740" spans="1:6" x14ac:dyDescent="0.25">
      <c r="A47740"/>
      <c r="B47740"/>
      <c r="C47740"/>
      <c r="E47740"/>
      <c r="F47740"/>
    </row>
    <row r="47741" spans="1:6" x14ac:dyDescent="0.25">
      <c r="A47741"/>
      <c r="B47741"/>
      <c r="C47741"/>
      <c r="E47741"/>
      <c r="F47741"/>
    </row>
    <row r="47742" spans="1:6" x14ac:dyDescent="0.25">
      <c r="A47742"/>
      <c r="B47742"/>
      <c r="C47742"/>
      <c r="E47742"/>
      <c r="F47742"/>
    </row>
    <row r="47743" spans="1:6" x14ac:dyDescent="0.25">
      <c r="A47743"/>
      <c r="B47743"/>
      <c r="C47743"/>
      <c r="E47743"/>
      <c r="F47743"/>
    </row>
    <row r="47744" spans="1:6" x14ac:dyDescent="0.25">
      <c r="A47744"/>
      <c r="B47744"/>
      <c r="C47744"/>
      <c r="E47744"/>
      <c r="F47744"/>
    </row>
    <row r="47745" spans="1:6" x14ac:dyDescent="0.25">
      <c r="A47745"/>
      <c r="B47745"/>
      <c r="C47745"/>
      <c r="E47745"/>
      <c r="F47745"/>
    </row>
    <row r="47746" spans="1:6" x14ac:dyDescent="0.25">
      <c r="A47746"/>
      <c r="B47746"/>
      <c r="C47746"/>
      <c r="E47746"/>
      <c r="F47746"/>
    </row>
    <row r="47747" spans="1:6" x14ac:dyDescent="0.25">
      <c r="A47747"/>
      <c r="B47747"/>
      <c r="C47747"/>
      <c r="E47747"/>
      <c r="F47747"/>
    </row>
    <row r="47748" spans="1:6" x14ac:dyDescent="0.25">
      <c r="A47748"/>
      <c r="B47748"/>
      <c r="C47748"/>
      <c r="E47748"/>
      <c r="F47748"/>
    </row>
    <row r="47749" spans="1:6" x14ac:dyDescent="0.25">
      <c r="A47749"/>
      <c r="B47749"/>
      <c r="C47749"/>
      <c r="E47749"/>
      <c r="F47749"/>
    </row>
    <row r="47750" spans="1:6" x14ac:dyDescent="0.25">
      <c r="A47750"/>
      <c r="B47750"/>
      <c r="C47750"/>
      <c r="E47750"/>
      <c r="F47750"/>
    </row>
    <row r="47751" spans="1:6" x14ac:dyDescent="0.25">
      <c r="A47751"/>
      <c r="B47751"/>
      <c r="C47751"/>
      <c r="E47751"/>
      <c r="F47751"/>
    </row>
    <row r="47752" spans="1:6" x14ac:dyDescent="0.25">
      <c r="A47752"/>
      <c r="B47752"/>
      <c r="C47752"/>
      <c r="E47752"/>
      <c r="F47752"/>
    </row>
    <row r="47753" spans="1:6" x14ac:dyDescent="0.25">
      <c r="A47753"/>
      <c r="B47753"/>
      <c r="C47753"/>
      <c r="E47753"/>
      <c r="F47753"/>
    </row>
    <row r="47754" spans="1:6" x14ac:dyDescent="0.25">
      <c r="A47754"/>
      <c r="B47754"/>
      <c r="C47754"/>
      <c r="E47754"/>
      <c r="F47754"/>
    </row>
    <row r="47755" spans="1:6" x14ac:dyDescent="0.25">
      <c r="A47755"/>
      <c r="B47755"/>
      <c r="C47755"/>
      <c r="E47755"/>
      <c r="F47755"/>
    </row>
    <row r="47756" spans="1:6" x14ac:dyDescent="0.25">
      <c r="A47756"/>
      <c r="B47756"/>
      <c r="C47756"/>
      <c r="E47756"/>
      <c r="F47756"/>
    </row>
    <row r="47757" spans="1:6" x14ac:dyDescent="0.25">
      <c r="A47757"/>
      <c r="B47757"/>
      <c r="C47757"/>
      <c r="E47757"/>
      <c r="F47757"/>
    </row>
    <row r="47758" spans="1:6" x14ac:dyDescent="0.25">
      <c r="A47758"/>
      <c r="B47758"/>
      <c r="C47758"/>
      <c r="E47758"/>
      <c r="F47758"/>
    </row>
    <row r="47759" spans="1:6" x14ac:dyDescent="0.25">
      <c r="A47759"/>
      <c r="B47759"/>
      <c r="C47759"/>
      <c r="E47759"/>
      <c r="F47759"/>
    </row>
    <row r="47760" spans="1:6" x14ac:dyDescent="0.25">
      <c r="A47760"/>
      <c r="B47760"/>
      <c r="C47760"/>
      <c r="E47760"/>
      <c r="F47760"/>
    </row>
    <row r="47761" spans="1:6" x14ac:dyDescent="0.25">
      <c r="A47761"/>
      <c r="B47761"/>
      <c r="C47761"/>
      <c r="E47761"/>
      <c r="F47761"/>
    </row>
    <row r="47762" spans="1:6" x14ac:dyDescent="0.25">
      <c r="A47762"/>
      <c r="B47762"/>
      <c r="C47762"/>
      <c r="E47762"/>
      <c r="F47762"/>
    </row>
    <row r="47763" spans="1:6" x14ac:dyDescent="0.25">
      <c r="A47763"/>
      <c r="B47763"/>
      <c r="C47763"/>
      <c r="E47763"/>
      <c r="F47763"/>
    </row>
    <row r="47764" spans="1:6" x14ac:dyDescent="0.25">
      <c r="A47764"/>
      <c r="B47764"/>
      <c r="C47764"/>
      <c r="E47764"/>
      <c r="F47764"/>
    </row>
    <row r="47765" spans="1:6" x14ac:dyDescent="0.25">
      <c r="A47765"/>
      <c r="B47765"/>
      <c r="C47765"/>
      <c r="E47765"/>
      <c r="F47765"/>
    </row>
    <row r="47766" spans="1:6" x14ac:dyDescent="0.25">
      <c r="A47766"/>
      <c r="B47766"/>
      <c r="C47766"/>
      <c r="E47766"/>
      <c r="F47766"/>
    </row>
    <row r="47767" spans="1:6" x14ac:dyDescent="0.25">
      <c r="A47767"/>
      <c r="B47767"/>
      <c r="C47767"/>
      <c r="E47767"/>
      <c r="F47767"/>
    </row>
    <row r="47768" spans="1:6" x14ac:dyDescent="0.25">
      <c r="A47768"/>
      <c r="B47768"/>
      <c r="C47768"/>
      <c r="E47768"/>
      <c r="F47768"/>
    </row>
    <row r="47769" spans="1:6" x14ac:dyDescent="0.25">
      <c r="A47769"/>
      <c r="B47769"/>
      <c r="C47769"/>
      <c r="E47769"/>
      <c r="F47769"/>
    </row>
    <row r="47770" spans="1:6" x14ac:dyDescent="0.25">
      <c r="A47770"/>
      <c r="B47770"/>
      <c r="C47770"/>
      <c r="E47770"/>
      <c r="F47770"/>
    </row>
    <row r="47771" spans="1:6" x14ac:dyDescent="0.25">
      <c r="A47771"/>
      <c r="B47771"/>
      <c r="C47771"/>
      <c r="E47771"/>
      <c r="F47771"/>
    </row>
    <row r="47772" spans="1:6" x14ac:dyDescent="0.25">
      <c r="A47772"/>
      <c r="B47772"/>
      <c r="C47772"/>
      <c r="E47772"/>
      <c r="F47772"/>
    </row>
    <row r="47773" spans="1:6" x14ac:dyDescent="0.25">
      <c r="A47773"/>
      <c r="B47773"/>
      <c r="C47773"/>
      <c r="E47773"/>
      <c r="F47773"/>
    </row>
    <row r="47774" spans="1:6" x14ac:dyDescent="0.25">
      <c r="A47774"/>
      <c r="B47774"/>
      <c r="C47774"/>
      <c r="E47774"/>
      <c r="F47774"/>
    </row>
    <row r="47775" spans="1:6" x14ac:dyDescent="0.25">
      <c r="A47775"/>
      <c r="B47775"/>
      <c r="C47775"/>
      <c r="E47775"/>
      <c r="F47775"/>
    </row>
    <row r="47776" spans="1:6" x14ac:dyDescent="0.25">
      <c r="A47776"/>
      <c r="B47776"/>
      <c r="C47776"/>
      <c r="E47776"/>
      <c r="F47776"/>
    </row>
    <row r="47777" spans="1:6" x14ac:dyDescent="0.25">
      <c r="A47777"/>
      <c r="B47777"/>
      <c r="C47777"/>
      <c r="E47777"/>
      <c r="F47777"/>
    </row>
    <row r="47778" spans="1:6" x14ac:dyDescent="0.25">
      <c r="A47778"/>
      <c r="B47778"/>
      <c r="C47778"/>
      <c r="E47778"/>
      <c r="F47778"/>
    </row>
    <row r="47779" spans="1:6" x14ac:dyDescent="0.25">
      <c r="A47779"/>
      <c r="B47779"/>
      <c r="C47779"/>
      <c r="E47779"/>
      <c r="F47779"/>
    </row>
    <row r="47780" spans="1:6" x14ac:dyDescent="0.25">
      <c r="A47780"/>
      <c r="B47780"/>
      <c r="C47780"/>
      <c r="E47780"/>
      <c r="F47780"/>
    </row>
    <row r="47781" spans="1:6" x14ac:dyDescent="0.25">
      <c r="A47781"/>
      <c r="B47781"/>
      <c r="C47781"/>
      <c r="E47781"/>
      <c r="F47781"/>
    </row>
    <row r="47782" spans="1:6" x14ac:dyDescent="0.25">
      <c r="A47782"/>
      <c r="B47782"/>
      <c r="C47782"/>
      <c r="E47782"/>
      <c r="F47782"/>
    </row>
    <row r="47783" spans="1:6" x14ac:dyDescent="0.25">
      <c r="A47783"/>
      <c r="B47783"/>
      <c r="C47783"/>
      <c r="E47783"/>
      <c r="F47783"/>
    </row>
    <row r="47784" spans="1:6" x14ac:dyDescent="0.25">
      <c r="A47784"/>
      <c r="B47784"/>
      <c r="C47784"/>
      <c r="E47784"/>
      <c r="F47784"/>
    </row>
    <row r="47785" spans="1:6" x14ac:dyDescent="0.25">
      <c r="A47785"/>
      <c r="B47785"/>
      <c r="C47785"/>
      <c r="E47785"/>
      <c r="F47785"/>
    </row>
    <row r="47786" spans="1:6" x14ac:dyDescent="0.25">
      <c r="A47786"/>
      <c r="B47786"/>
      <c r="C47786"/>
      <c r="E47786"/>
      <c r="F47786"/>
    </row>
    <row r="47787" spans="1:6" x14ac:dyDescent="0.25">
      <c r="A47787"/>
      <c r="B47787"/>
      <c r="C47787"/>
      <c r="E47787"/>
      <c r="F47787"/>
    </row>
    <row r="47788" spans="1:6" x14ac:dyDescent="0.25">
      <c r="A47788"/>
      <c r="B47788"/>
      <c r="C47788"/>
      <c r="E47788"/>
      <c r="F47788"/>
    </row>
    <row r="47789" spans="1:6" x14ac:dyDescent="0.25">
      <c r="A47789"/>
      <c r="B47789"/>
      <c r="C47789"/>
      <c r="E47789"/>
      <c r="F47789"/>
    </row>
    <row r="47790" spans="1:6" x14ac:dyDescent="0.25">
      <c r="A47790"/>
      <c r="B47790"/>
      <c r="C47790"/>
      <c r="E47790"/>
      <c r="F47790"/>
    </row>
    <row r="47791" spans="1:6" x14ac:dyDescent="0.25">
      <c r="A47791"/>
      <c r="B47791"/>
      <c r="C47791"/>
      <c r="E47791"/>
      <c r="F47791"/>
    </row>
    <row r="47792" spans="1:6" x14ac:dyDescent="0.25">
      <c r="A47792"/>
      <c r="B47792"/>
      <c r="C47792"/>
      <c r="E47792"/>
      <c r="F47792"/>
    </row>
    <row r="47793" spans="1:6" x14ac:dyDescent="0.25">
      <c r="A47793"/>
      <c r="B47793"/>
      <c r="C47793"/>
      <c r="E47793"/>
      <c r="F47793"/>
    </row>
    <row r="47794" spans="1:6" x14ac:dyDescent="0.25">
      <c r="A47794"/>
      <c r="B47794"/>
      <c r="C47794"/>
      <c r="E47794"/>
      <c r="F47794"/>
    </row>
    <row r="47795" spans="1:6" x14ac:dyDescent="0.25">
      <c r="A47795"/>
      <c r="B47795"/>
      <c r="C47795"/>
      <c r="E47795"/>
      <c r="F47795"/>
    </row>
    <row r="47796" spans="1:6" x14ac:dyDescent="0.25">
      <c r="A47796"/>
      <c r="B47796"/>
      <c r="C47796"/>
      <c r="E47796"/>
      <c r="F47796"/>
    </row>
    <row r="47797" spans="1:6" x14ac:dyDescent="0.25">
      <c r="A47797"/>
      <c r="B47797"/>
      <c r="C47797"/>
      <c r="E47797"/>
      <c r="F47797"/>
    </row>
    <row r="47798" spans="1:6" x14ac:dyDescent="0.25">
      <c r="A47798"/>
      <c r="B47798"/>
      <c r="C47798"/>
      <c r="E47798"/>
      <c r="F47798"/>
    </row>
    <row r="47799" spans="1:6" x14ac:dyDescent="0.25">
      <c r="A47799"/>
      <c r="B47799"/>
      <c r="C47799"/>
      <c r="E47799"/>
      <c r="F47799"/>
    </row>
    <row r="47800" spans="1:6" x14ac:dyDescent="0.25">
      <c r="A47800"/>
      <c r="B47800"/>
      <c r="C47800"/>
      <c r="E47800"/>
      <c r="F47800"/>
    </row>
    <row r="47801" spans="1:6" x14ac:dyDescent="0.25">
      <c r="A47801"/>
      <c r="B47801"/>
      <c r="C47801"/>
      <c r="E47801"/>
      <c r="F47801"/>
    </row>
    <row r="47802" spans="1:6" x14ac:dyDescent="0.25">
      <c r="A47802"/>
      <c r="B47802"/>
      <c r="C47802"/>
      <c r="E47802"/>
      <c r="F47802"/>
    </row>
    <row r="47803" spans="1:6" x14ac:dyDescent="0.25">
      <c r="A47803"/>
      <c r="B47803"/>
      <c r="C47803"/>
      <c r="E47803"/>
      <c r="F47803"/>
    </row>
    <row r="47804" spans="1:6" x14ac:dyDescent="0.25">
      <c r="A47804"/>
      <c r="B47804"/>
      <c r="C47804"/>
      <c r="E47804"/>
      <c r="F47804"/>
    </row>
    <row r="47805" spans="1:6" x14ac:dyDescent="0.25">
      <c r="A47805"/>
      <c r="B47805"/>
      <c r="C47805"/>
      <c r="E47805"/>
      <c r="F47805"/>
    </row>
    <row r="47806" spans="1:6" x14ac:dyDescent="0.25">
      <c r="A47806"/>
      <c r="B47806"/>
      <c r="C47806"/>
      <c r="E47806"/>
      <c r="F47806"/>
    </row>
    <row r="47807" spans="1:6" x14ac:dyDescent="0.25">
      <c r="A47807"/>
      <c r="B47807"/>
      <c r="C47807"/>
      <c r="E47807"/>
      <c r="F47807"/>
    </row>
    <row r="47808" spans="1:6" x14ac:dyDescent="0.25">
      <c r="A47808"/>
      <c r="B47808"/>
      <c r="C47808"/>
      <c r="E47808"/>
      <c r="F47808"/>
    </row>
    <row r="47809" spans="1:6" x14ac:dyDescent="0.25">
      <c r="A47809"/>
      <c r="B47809"/>
      <c r="C47809"/>
      <c r="E47809"/>
      <c r="F47809"/>
    </row>
    <row r="47810" spans="1:6" x14ac:dyDescent="0.25">
      <c r="A47810"/>
      <c r="B47810"/>
      <c r="C47810"/>
      <c r="E47810"/>
      <c r="F47810"/>
    </row>
    <row r="47811" spans="1:6" x14ac:dyDescent="0.25">
      <c r="A47811"/>
      <c r="B47811"/>
      <c r="C47811"/>
      <c r="E47811"/>
      <c r="F47811"/>
    </row>
    <row r="47812" spans="1:6" x14ac:dyDescent="0.25">
      <c r="A47812"/>
      <c r="B47812"/>
      <c r="C47812"/>
      <c r="E47812"/>
      <c r="F47812"/>
    </row>
    <row r="47813" spans="1:6" x14ac:dyDescent="0.25">
      <c r="A47813"/>
      <c r="B47813"/>
      <c r="C47813"/>
      <c r="E47813"/>
      <c r="F47813"/>
    </row>
    <row r="47814" spans="1:6" x14ac:dyDescent="0.25">
      <c r="A47814"/>
      <c r="B47814"/>
      <c r="C47814"/>
      <c r="E47814"/>
      <c r="F47814"/>
    </row>
    <row r="47815" spans="1:6" x14ac:dyDescent="0.25">
      <c r="A47815"/>
      <c r="B47815"/>
      <c r="C47815"/>
      <c r="E47815"/>
      <c r="F47815"/>
    </row>
    <row r="47816" spans="1:6" x14ac:dyDescent="0.25">
      <c r="A47816"/>
      <c r="B47816"/>
      <c r="C47816"/>
      <c r="E47816"/>
      <c r="F47816"/>
    </row>
    <row r="47817" spans="1:6" x14ac:dyDescent="0.25">
      <c r="A47817"/>
      <c r="B47817"/>
      <c r="C47817"/>
      <c r="E47817"/>
      <c r="F47817"/>
    </row>
    <row r="47818" spans="1:6" x14ac:dyDescent="0.25">
      <c r="A47818"/>
      <c r="B47818"/>
      <c r="C47818"/>
      <c r="E47818"/>
      <c r="F47818"/>
    </row>
    <row r="47819" spans="1:6" x14ac:dyDescent="0.25">
      <c r="A47819"/>
      <c r="B47819"/>
      <c r="C47819"/>
      <c r="E47819"/>
      <c r="F47819"/>
    </row>
    <row r="47820" spans="1:6" x14ac:dyDescent="0.25">
      <c r="A47820"/>
      <c r="B47820"/>
      <c r="C47820"/>
      <c r="E47820"/>
      <c r="F47820"/>
    </row>
    <row r="47821" spans="1:6" x14ac:dyDescent="0.25">
      <c r="A47821"/>
      <c r="B47821"/>
      <c r="C47821"/>
      <c r="E47821"/>
      <c r="F47821"/>
    </row>
    <row r="47822" spans="1:6" x14ac:dyDescent="0.25">
      <c r="A47822"/>
      <c r="B47822"/>
      <c r="C47822"/>
      <c r="E47822"/>
      <c r="F47822"/>
    </row>
    <row r="47823" spans="1:6" x14ac:dyDescent="0.25">
      <c r="A47823"/>
      <c r="B47823"/>
      <c r="C47823"/>
      <c r="E47823"/>
      <c r="F47823"/>
    </row>
    <row r="47824" spans="1:6" x14ac:dyDescent="0.25">
      <c r="A47824"/>
      <c r="B47824"/>
      <c r="C47824"/>
      <c r="E47824"/>
      <c r="F47824"/>
    </row>
    <row r="47825" spans="1:6" x14ac:dyDescent="0.25">
      <c r="A47825"/>
      <c r="B47825"/>
      <c r="C47825"/>
      <c r="E47825"/>
      <c r="F47825"/>
    </row>
    <row r="47826" spans="1:6" x14ac:dyDescent="0.25">
      <c r="A47826"/>
      <c r="B47826"/>
      <c r="C47826"/>
      <c r="E47826"/>
      <c r="F47826"/>
    </row>
    <row r="47827" spans="1:6" x14ac:dyDescent="0.25">
      <c r="A47827"/>
      <c r="B47827"/>
      <c r="C47827"/>
      <c r="E47827"/>
      <c r="F47827"/>
    </row>
    <row r="47828" spans="1:6" x14ac:dyDescent="0.25">
      <c r="A47828"/>
      <c r="B47828"/>
      <c r="C47828"/>
      <c r="E47828"/>
      <c r="F47828"/>
    </row>
    <row r="47829" spans="1:6" x14ac:dyDescent="0.25">
      <c r="A47829"/>
      <c r="B47829"/>
      <c r="C47829"/>
      <c r="E47829"/>
      <c r="F47829"/>
    </row>
    <row r="47830" spans="1:6" x14ac:dyDescent="0.25">
      <c r="A47830"/>
      <c r="B47830"/>
      <c r="C47830"/>
      <c r="E47830"/>
      <c r="F47830"/>
    </row>
    <row r="47831" spans="1:6" x14ac:dyDescent="0.25">
      <c r="A47831"/>
      <c r="B47831"/>
      <c r="C47831"/>
      <c r="E47831"/>
      <c r="F47831"/>
    </row>
    <row r="47832" spans="1:6" x14ac:dyDescent="0.25">
      <c r="A47832"/>
      <c r="B47832"/>
      <c r="C47832"/>
      <c r="E47832"/>
      <c r="F47832"/>
    </row>
    <row r="47833" spans="1:6" x14ac:dyDescent="0.25">
      <c r="A47833"/>
      <c r="B47833"/>
      <c r="C47833"/>
      <c r="E47833"/>
      <c r="F47833"/>
    </row>
    <row r="47834" spans="1:6" x14ac:dyDescent="0.25">
      <c r="A47834"/>
      <c r="B47834"/>
      <c r="C47834"/>
      <c r="E47834"/>
      <c r="F47834"/>
    </row>
    <row r="47835" spans="1:6" x14ac:dyDescent="0.25">
      <c r="A47835"/>
      <c r="B47835"/>
      <c r="C47835"/>
      <c r="E47835"/>
      <c r="F47835"/>
    </row>
    <row r="47836" spans="1:6" x14ac:dyDescent="0.25">
      <c r="A47836"/>
      <c r="B47836"/>
      <c r="C47836"/>
      <c r="E47836"/>
      <c r="F47836"/>
    </row>
    <row r="47837" spans="1:6" x14ac:dyDescent="0.25">
      <c r="A47837"/>
      <c r="B47837"/>
      <c r="C47837"/>
      <c r="E47837"/>
      <c r="F47837"/>
    </row>
    <row r="47838" spans="1:6" x14ac:dyDescent="0.25">
      <c r="A47838"/>
      <c r="B47838"/>
      <c r="C47838"/>
      <c r="E47838"/>
      <c r="F47838"/>
    </row>
    <row r="47839" spans="1:6" x14ac:dyDescent="0.25">
      <c r="A47839"/>
      <c r="B47839"/>
      <c r="C47839"/>
      <c r="E47839"/>
      <c r="F47839"/>
    </row>
    <row r="47840" spans="1:6" x14ac:dyDescent="0.25">
      <c r="A47840"/>
      <c r="B47840"/>
      <c r="C47840"/>
      <c r="E47840"/>
      <c r="F47840"/>
    </row>
    <row r="47841" spans="1:6" x14ac:dyDescent="0.25">
      <c r="A47841"/>
      <c r="B47841"/>
      <c r="C47841"/>
      <c r="E47841"/>
      <c r="F47841"/>
    </row>
    <row r="47842" spans="1:6" x14ac:dyDescent="0.25">
      <c r="A47842"/>
      <c r="B47842"/>
      <c r="C47842"/>
      <c r="E47842"/>
      <c r="F47842"/>
    </row>
    <row r="47843" spans="1:6" x14ac:dyDescent="0.25">
      <c r="A47843"/>
      <c r="B47843"/>
      <c r="C47843"/>
      <c r="E47843"/>
      <c r="F47843"/>
    </row>
    <row r="47844" spans="1:6" x14ac:dyDescent="0.25">
      <c r="A47844"/>
      <c r="B47844"/>
      <c r="C47844"/>
      <c r="E47844"/>
      <c r="F47844"/>
    </row>
    <row r="47845" spans="1:6" x14ac:dyDescent="0.25">
      <c r="A47845"/>
      <c r="B47845"/>
      <c r="C47845"/>
      <c r="E47845"/>
      <c r="F47845"/>
    </row>
    <row r="47846" spans="1:6" x14ac:dyDescent="0.25">
      <c r="A47846"/>
      <c r="B47846"/>
      <c r="C47846"/>
      <c r="E47846"/>
      <c r="F47846"/>
    </row>
    <row r="47847" spans="1:6" x14ac:dyDescent="0.25">
      <c r="A47847"/>
      <c r="B47847"/>
      <c r="C47847"/>
      <c r="E47847"/>
      <c r="F47847"/>
    </row>
    <row r="47848" spans="1:6" x14ac:dyDescent="0.25">
      <c r="A47848"/>
      <c r="B47848"/>
      <c r="C47848"/>
      <c r="E47848"/>
      <c r="F47848"/>
    </row>
    <row r="47849" spans="1:6" x14ac:dyDescent="0.25">
      <c r="A47849"/>
      <c r="B47849"/>
      <c r="C47849"/>
      <c r="E47849"/>
      <c r="F47849"/>
    </row>
    <row r="47850" spans="1:6" x14ac:dyDescent="0.25">
      <c r="A47850"/>
      <c r="B47850"/>
      <c r="C47850"/>
      <c r="E47850"/>
      <c r="F47850"/>
    </row>
    <row r="47851" spans="1:6" x14ac:dyDescent="0.25">
      <c r="A47851"/>
      <c r="B47851"/>
      <c r="C47851"/>
      <c r="E47851"/>
      <c r="F47851"/>
    </row>
    <row r="47852" spans="1:6" x14ac:dyDescent="0.25">
      <c r="A47852"/>
      <c r="B47852"/>
      <c r="C47852"/>
      <c r="E47852"/>
      <c r="F47852"/>
    </row>
    <row r="47853" spans="1:6" x14ac:dyDescent="0.25">
      <c r="A47853"/>
      <c r="B47853"/>
      <c r="C47853"/>
      <c r="E47853"/>
      <c r="F47853"/>
    </row>
    <row r="47854" spans="1:6" x14ac:dyDescent="0.25">
      <c r="A47854"/>
      <c r="B47854"/>
      <c r="C47854"/>
      <c r="E47854"/>
      <c r="F47854"/>
    </row>
    <row r="47855" spans="1:6" x14ac:dyDescent="0.25">
      <c r="A47855"/>
      <c r="B47855"/>
      <c r="C47855"/>
      <c r="E47855"/>
      <c r="F47855"/>
    </row>
    <row r="47856" spans="1:6" x14ac:dyDescent="0.25">
      <c r="A47856"/>
      <c r="B47856"/>
      <c r="C47856"/>
      <c r="E47856"/>
      <c r="F47856"/>
    </row>
    <row r="47857" spans="1:6" x14ac:dyDescent="0.25">
      <c r="A47857"/>
      <c r="B47857"/>
      <c r="C47857"/>
      <c r="E47857"/>
      <c r="F47857"/>
    </row>
    <row r="47858" spans="1:6" x14ac:dyDescent="0.25">
      <c r="A47858"/>
      <c r="B47858"/>
      <c r="C47858"/>
      <c r="E47858"/>
      <c r="F47858"/>
    </row>
    <row r="47859" spans="1:6" x14ac:dyDescent="0.25">
      <c r="A47859"/>
      <c r="B47859"/>
      <c r="C47859"/>
      <c r="E47859"/>
      <c r="F47859"/>
    </row>
    <row r="47860" spans="1:6" x14ac:dyDescent="0.25">
      <c r="A47860"/>
      <c r="B47860"/>
      <c r="C47860"/>
      <c r="E47860"/>
      <c r="F47860"/>
    </row>
    <row r="47861" spans="1:6" x14ac:dyDescent="0.25">
      <c r="A47861"/>
      <c r="B47861"/>
      <c r="C47861"/>
      <c r="E47861"/>
      <c r="F47861"/>
    </row>
    <row r="47862" spans="1:6" x14ac:dyDescent="0.25">
      <c r="A47862"/>
      <c r="B47862"/>
      <c r="C47862"/>
      <c r="E47862"/>
      <c r="F47862"/>
    </row>
    <row r="47863" spans="1:6" x14ac:dyDescent="0.25">
      <c r="A47863"/>
      <c r="B47863"/>
      <c r="C47863"/>
      <c r="E47863"/>
      <c r="F47863"/>
    </row>
    <row r="47864" spans="1:6" x14ac:dyDescent="0.25">
      <c r="A47864"/>
      <c r="B47864"/>
      <c r="C47864"/>
      <c r="E47864"/>
      <c r="F47864"/>
    </row>
    <row r="47865" spans="1:6" x14ac:dyDescent="0.25">
      <c r="A47865"/>
      <c r="B47865"/>
      <c r="C47865"/>
      <c r="E47865"/>
      <c r="F47865"/>
    </row>
    <row r="47866" spans="1:6" x14ac:dyDescent="0.25">
      <c r="A47866"/>
      <c r="B47866"/>
      <c r="C47866"/>
      <c r="E47866"/>
      <c r="F47866"/>
    </row>
    <row r="47867" spans="1:6" x14ac:dyDescent="0.25">
      <c r="A47867"/>
      <c r="B47867"/>
      <c r="C47867"/>
      <c r="E47867"/>
      <c r="F47867"/>
    </row>
    <row r="47868" spans="1:6" x14ac:dyDescent="0.25">
      <c r="A47868"/>
      <c r="B47868"/>
      <c r="C47868"/>
      <c r="E47868"/>
      <c r="F47868"/>
    </row>
    <row r="47869" spans="1:6" x14ac:dyDescent="0.25">
      <c r="A47869"/>
      <c r="B47869"/>
      <c r="C47869"/>
      <c r="E47869"/>
      <c r="F47869"/>
    </row>
    <row r="47870" spans="1:6" x14ac:dyDescent="0.25">
      <c r="A47870"/>
      <c r="B47870"/>
      <c r="C47870"/>
      <c r="E47870"/>
      <c r="F47870"/>
    </row>
    <row r="47871" spans="1:6" x14ac:dyDescent="0.25">
      <c r="A47871"/>
      <c r="B47871"/>
      <c r="C47871"/>
      <c r="E47871"/>
      <c r="F47871"/>
    </row>
    <row r="47872" spans="1:6" x14ac:dyDescent="0.25">
      <c r="A47872"/>
      <c r="B47872"/>
      <c r="C47872"/>
      <c r="E47872"/>
      <c r="F47872"/>
    </row>
    <row r="47873" spans="1:6" x14ac:dyDescent="0.25">
      <c r="A47873"/>
      <c r="B47873"/>
      <c r="C47873"/>
      <c r="E47873"/>
      <c r="F47873"/>
    </row>
    <row r="47874" spans="1:6" x14ac:dyDescent="0.25">
      <c r="A47874"/>
      <c r="B47874"/>
      <c r="C47874"/>
      <c r="E47874"/>
      <c r="F47874"/>
    </row>
    <row r="47875" spans="1:6" x14ac:dyDescent="0.25">
      <c r="A47875"/>
      <c r="B47875"/>
      <c r="C47875"/>
      <c r="E47875"/>
      <c r="F47875"/>
    </row>
    <row r="47876" spans="1:6" x14ac:dyDescent="0.25">
      <c r="A47876"/>
      <c r="B47876"/>
      <c r="C47876"/>
      <c r="E47876"/>
      <c r="F47876"/>
    </row>
    <row r="47877" spans="1:6" x14ac:dyDescent="0.25">
      <c r="A47877"/>
      <c r="B47877"/>
      <c r="C47877"/>
      <c r="E47877"/>
      <c r="F47877"/>
    </row>
    <row r="47878" spans="1:6" x14ac:dyDescent="0.25">
      <c r="A47878"/>
      <c r="B47878"/>
      <c r="C47878"/>
      <c r="E47878"/>
      <c r="F47878"/>
    </row>
    <row r="47879" spans="1:6" x14ac:dyDescent="0.25">
      <c r="A47879"/>
      <c r="B47879"/>
      <c r="C47879"/>
      <c r="E47879"/>
      <c r="F47879"/>
    </row>
    <row r="47880" spans="1:6" x14ac:dyDescent="0.25">
      <c r="A47880"/>
      <c r="B47880"/>
      <c r="C47880"/>
      <c r="E47880"/>
      <c r="F47880"/>
    </row>
    <row r="47881" spans="1:6" x14ac:dyDescent="0.25">
      <c r="A47881"/>
      <c r="B47881"/>
      <c r="C47881"/>
      <c r="E47881"/>
      <c r="F47881"/>
    </row>
    <row r="47882" spans="1:6" x14ac:dyDescent="0.25">
      <c r="A47882"/>
      <c r="B47882"/>
      <c r="C47882"/>
      <c r="E47882"/>
      <c r="F47882"/>
    </row>
    <row r="47883" spans="1:6" x14ac:dyDescent="0.25">
      <c r="A47883"/>
      <c r="B47883"/>
      <c r="C47883"/>
      <c r="E47883"/>
      <c r="F47883"/>
    </row>
    <row r="47884" spans="1:6" x14ac:dyDescent="0.25">
      <c r="A47884"/>
      <c r="B47884"/>
      <c r="C47884"/>
      <c r="E47884"/>
      <c r="F47884"/>
    </row>
    <row r="47885" spans="1:6" x14ac:dyDescent="0.25">
      <c r="A47885"/>
      <c r="B47885"/>
      <c r="C47885"/>
      <c r="E47885"/>
      <c r="F47885"/>
    </row>
    <row r="47886" spans="1:6" x14ac:dyDescent="0.25">
      <c r="A47886"/>
      <c r="B47886"/>
      <c r="C47886"/>
      <c r="E47886"/>
      <c r="F47886"/>
    </row>
    <row r="47887" spans="1:6" x14ac:dyDescent="0.25">
      <c r="A47887"/>
      <c r="B47887"/>
      <c r="C47887"/>
      <c r="E47887"/>
      <c r="F47887"/>
    </row>
    <row r="47888" spans="1:6" x14ac:dyDescent="0.25">
      <c r="A47888"/>
      <c r="B47888"/>
      <c r="C47888"/>
      <c r="E47888"/>
      <c r="F47888"/>
    </row>
    <row r="47889" spans="1:6" x14ac:dyDescent="0.25">
      <c r="A47889"/>
      <c r="B47889"/>
      <c r="C47889"/>
      <c r="E47889"/>
      <c r="F47889"/>
    </row>
    <row r="47890" spans="1:6" x14ac:dyDescent="0.25">
      <c r="A47890"/>
      <c r="B47890"/>
      <c r="C47890"/>
      <c r="E47890"/>
      <c r="F47890"/>
    </row>
    <row r="47891" spans="1:6" x14ac:dyDescent="0.25">
      <c r="A47891"/>
      <c r="B47891"/>
      <c r="C47891"/>
      <c r="E47891"/>
      <c r="F47891"/>
    </row>
    <row r="47892" spans="1:6" x14ac:dyDescent="0.25">
      <c r="A47892"/>
      <c r="B47892"/>
      <c r="C47892"/>
      <c r="E47892"/>
      <c r="F47892"/>
    </row>
    <row r="47893" spans="1:6" x14ac:dyDescent="0.25">
      <c r="A47893"/>
      <c r="B47893"/>
      <c r="C47893"/>
      <c r="E47893"/>
      <c r="F47893"/>
    </row>
    <row r="47894" spans="1:6" x14ac:dyDescent="0.25">
      <c r="A47894"/>
      <c r="B47894"/>
      <c r="C47894"/>
      <c r="E47894"/>
      <c r="F47894"/>
    </row>
    <row r="47895" spans="1:6" x14ac:dyDescent="0.25">
      <c r="A47895"/>
      <c r="B47895"/>
      <c r="C47895"/>
      <c r="E47895"/>
      <c r="F47895"/>
    </row>
    <row r="47896" spans="1:6" x14ac:dyDescent="0.25">
      <c r="A47896"/>
      <c r="B47896"/>
      <c r="C47896"/>
      <c r="E47896"/>
      <c r="F47896"/>
    </row>
    <row r="47897" spans="1:6" x14ac:dyDescent="0.25">
      <c r="A47897"/>
      <c r="B47897"/>
      <c r="C47897"/>
      <c r="E47897"/>
      <c r="F47897"/>
    </row>
    <row r="47898" spans="1:6" x14ac:dyDescent="0.25">
      <c r="A47898"/>
      <c r="B47898"/>
      <c r="C47898"/>
      <c r="E47898"/>
      <c r="F47898"/>
    </row>
    <row r="47899" spans="1:6" x14ac:dyDescent="0.25">
      <c r="A47899"/>
      <c r="B47899"/>
      <c r="C47899"/>
      <c r="E47899"/>
      <c r="F47899"/>
    </row>
    <row r="47900" spans="1:6" x14ac:dyDescent="0.25">
      <c r="A47900"/>
      <c r="B47900"/>
      <c r="C47900"/>
      <c r="E47900"/>
      <c r="F47900"/>
    </row>
    <row r="47901" spans="1:6" x14ac:dyDescent="0.25">
      <c r="A47901"/>
      <c r="B47901"/>
      <c r="C47901"/>
      <c r="E47901"/>
      <c r="F47901"/>
    </row>
    <row r="47902" spans="1:6" x14ac:dyDescent="0.25">
      <c r="A47902"/>
      <c r="B47902"/>
      <c r="C47902"/>
      <c r="E47902"/>
      <c r="F47902"/>
    </row>
    <row r="47903" spans="1:6" x14ac:dyDescent="0.25">
      <c r="A47903"/>
      <c r="B47903"/>
      <c r="C47903"/>
      <c r="E47903"/>
      <c r="F47903"/>
    </row>
    <row r="47904" spans="1:6" x14ac:dyDescent="0.25">
      <c r="A47904"/>
      <c r="B47904"/>
      <c r="C47904"/>
      <c r="E47904"/>
      <c r="F47904"/>
    </row>
    <row r="47905" spans="1:6" x14ac:dyDescent="0.25">
      <c r="A47905"/>
      <c r="B47905"/>
      <c r="C47905"/>
      <c r="E47905"/>
      <c r="F47905"/>
    </row>
    <row r="47906" spans="1:6" x14ac:dyDescent="0.25">
      <c r="A47906"/>
      <c r="B47906"/>
      <c r="C47906"/>
      <c r="E47906"/>
      <c r="F47906"/>
    </row>
    <row r="47907" spans="1:6" x14ac:dyDescent="0.25">
      <c r="A47907"/>
      <c r="B47907"/>
      <c r="C47907"/>
      <c r="E47907"/>
      <c r="F47907"/>
    </row>
    <row r="47908" spans="1:6" x14ac:dyDescent="0.25">
      <c r="A47908"/>
      <c r="B47908"/>
      <c r="C47908"/>
      <c r="E47908"/>
      <c r="F47908"/>
    </row>
    <row r="47909" spans="1:6" x14ac:dyDescent="0.25">
      <c r="A47909"/>
      <c r="B47909"/>
      <c r="C47909"/>
      <c r="E47909"/>
      <c r="F47909"/>
    </row>
    <row r="47910" spans="1:6" x14ac:dyDescent="0.25">
      <c r="A47910"/>
      <c r="B47910"/>
      <c r="C47910"/>
      <c r="E47910"/>
      <c r="F47910"/>
    </row>
    <row r="47911" spans="1:6" x14ac:dyDescent="0.25">
      <c r="A47911"/>
      <c r="B47911"/>
      <c r="C47911"/>
      <c r="E47911"/>
      <c r="F47911"/>
    </row>
    <row r="47912" spans="1:6" x14ac:dyDescent="0.25">
      <c r="A47912"/>
      <c r="B47912"/>
      <c r="C47912"/>
      <c r="E47912"/>
      <c r="F47912"/>
    </row>
    <row r="47913" spans="1:6" x14ac:dyDescent="0.25">
      <c r="A47913"/>
      <c r="B47913"/>
      <c r="C47913"/>
      <c r="E47913"/>
      <c r="F47913"/>
    </row>
    <row r="47914" spans="1:6" x14ac:dyDescent="0.25">
      <c r="A47914"/>
      <c r="B47914"/>
      <c r="C47914"/>
      <c r="E47914"/>
      <c r="F47914"/>
    </row>
    <row r="47915" spans="1:6" x14ac:dyDescent="0.25">
      <c r="A47915"/>
      <c r="B47915"/>
      <c r="C47915"/>
      <c r="E47915"/>
      <c r="F47915"/>
    </row>
    <row r="47916" spans="1:6" x14ac:dyDescent="0.25">
      <c r="A47916"/>
      <c r="B47916"/>
      <c r="C47916"/>
      <c r="E47916"/>
      <c r="F47916"/>
    </row>
    <row r="47917" spans="1:6" x14ac:dyDescent="0.25">
      <c r="A47917"/>
      <c r="B47917"/>
      <c r="C47917"/>
      <c r="E47917"/>
      <c r="F47917"/>
    </row>
    <row r="47918" spans="1:6" x14ac:dyDescent="0.25">
      <c r="A47918"/>
      <c r="B47918"/>
      <c r="C47918"/>
      <c r="E47918"/>
      <c r="F47918"/>
    </row>
    <row r="47919" spans="1:6" x14ac:dyDescent="0.25">
      <c r="A47919"/>
      <c r="B47919"/>
      <c r="C47919"/>
      <c r="E47919"/>
      <c r="F47919"/>
    </row>
    <row r="47920" spans="1:6" x14ac:dyDescent="0.25">
      <c r="A47920"/>
      <c r="B47920"/>
      <c r="C47920"/>
      <c r="E47920"/>
      <c r="F47920"/>
    </row>
    <row r="47921" spans="1:6" x14ac:dyDescent="0.25">
      <c r="A47921"/>
      <c r="B47921"/>
      <c r="C47921"/>
      <c r="E47921"/>
      <c r="F47921"/>
    </row>
    <row r="47922" spans="1:6" x14ac:dyDescent="0.25">
      <c r="A47922"/>
      <c r="B47922"/>
      <c r="C47922"/>
      <c r="E47922"/>
      <c r="F47922"/>
    </row>
    <row r="47923" spans="1:6" x14ac:dyDescent="0.25">
      <c r="A47923"/>
      <c r="B47923"/>
      <c r="C47923"/>
      <c r="E47923"/>
      <c r="F47923"/>
    </row>
    <row r="47924" spans="1:6" x14ac:dyDescent="0.25">
      <c r="A47924"/>
      <c r="B47924"/>
      <c r="C47924"/>
      <c r="E47924"/>
      <c r="F47924"/>
    </row>
    <row r="47925" spans="1:6" x14ac:dyDescent="0.25">
      <c r="A47925"/>
      <c r="B47925"/>
      <c r="C47925"/>
      <c r="E47925"/>
      <c r="F47925"/>
    </row>
    <row r="47926" spans="1:6" x14ac:dyDescent="0.25">
      <c r="A47926"/>
      <c r="B47926"/>
      <c r="C47926"/>
      <c r="E47926"/>
      <c r="F47926"/>
    </row>
    <row r="47927" spans="1:6" x14ac:dyDescent="0.25">
      <c r="A47927"/>
      <c r="B47927"/>
      <c r="C47927"/>
      <c r="E47927"/>
      <c r="F47927"/>
    </row>
    <row r="47928" spans="1:6" x14ac:dyDescent="0.25">
      <c r="A47928"/>
      <c r="B47928"/>
      <c r="C47928"/>
      <c r="E47928"/>
      <c r="F47928"/>
    </row>
    <row r="47929" spans="1:6" x14ac:dyDescent="0.25">
      <c r="A47929"/>
      <c r="B47929"/>
      <c r="C47929"/>
      <c r="E47929"/>
      <c r="F47929"/>
    </row>
    <row r="47930" spans="1:6" x14ac:dyDescent="0.25">
      <c r="A47930"/>
      <c r="B47930"/>
      <c r="C47930"/>
      <c r="E47930"/>
      <c r="F47930"/>
    </row>
    <row r="47931" spans="1:6" x14ac:dyDescent="0.25">
      <c r="A47931"/>
      <c r="B47931"/>
      <c r="C47931"/>
      <c r="E47931"/>
      <c r="F47931"/>
    </row>
    <row r="47932" spans="1:6" x14ac:dyDescent="0.25">
      <c r="A47932"/>
      <c r="B47932"/>
      <c r="C47932"/>
      <c r="E47932"/>
      <c r="F47932"/>
    </row>
    <row r="47933" spans="1:6" x14ac:dyDescent="0.25">
      <c r="A47933"/>
      <c r="B47933"/>
      <c r="C47933"/>
      <c r="E47933"/>
      <c r="F47933"/>
    </row>
    <row r="47934" spans="1:6" x14ac:dyDescent="0.25">
      <c r="A47934"/>
      <c r="B47934"/>
      <c r="C47934"/>
      <c r="E47934"/>
      <c r="F47934"/>
    </row>
    <row r="47935" spans="1:6" x14ac:dyDescent="0.25">
      <c r="A47935"/>
      <c r="B47935"/>
      <c r="C47935"/>
      <c r="E47935"/>
      <c r="F47935"/>
    </row>
    <row r="47936" spans="1:6" x14ac:dyDescent="0.25">
      <c r="A47936"/>
      <c r="B47936"/>
      <c r="C47936"/>
      <c r="E47936"/>
      <c r="F47936"/>
    </row>
    <row r="47937" spans="1:6" x14ac:dyDescent="0.25">
      <c r="A47937"/>
      <c r="B47937"/>
      <c r="C47937"/>
      <c r="E47937"/>
      <c r="F47937"/>
    </row>
    <row r="47938" spans="1:6" x14ac:dyDescent="0.25">
      <c r="A47938"/>
      <c r="B47938"/>
      <c r="C47938"/>
      <c r="E47938"/>
      <c r="F47938"/>
    </row>
    <row r="47939" spans="1:6" x14ac:dyDescent="0.25">
      <c r="A47939"/>
      <c r="B47939"/>
      <c r="C47939"/>
      <c r="E47939"/>
      <c r="F47939"/>
    </row>
    <row r="47940" spans="1:6" x14ac:dyDescent="0.25">
      <c r="A47940"/>
      <c r="B47940"/>
      <c r="C47940"/>
      <c r="E47940"/>
      <c r="F47940"/>
    </row>
    <row r="47941" spans="1:6" x14ac:dyDescent="0.25">
      <c r="A47941"/>
      <c r="B47941"/>
      <c r="C47941"/>
      <c r="E47941"/>
      <c r="F47941"/>
    </row>
    <row r="47942" spans="1:6" x14ac:dyDescent="0.25">
      <c r="A47942"/>
      <c r="B47942"/>
      <c r="C47942"/>
      <c r="E47942"/>
      <c r="F47942"/>
    </row>
    <row r="47943" spans="1:6" x14ac:dyDescent="0.25">
      <c r="A47943"/>
      <c r="B47943"/>
      <c r="C47943"/>
      <c r="E47943"/>
      <c r="F47943"/>
    </row>
    <row r="47944" spans="1:6" x14ac:dyDescent="0.25">
      <c r="A47944"/>
      <c r="B47944"/>
      <c r="C47944"/>
      <c r="E47944"/>
      <c r="F47944"/>
    </row>
    <row r="47945" spans="1:6" x14ac:dyDescent="0.25">
      <c r="A47945"/>
      <c r="B47945"/>
      <c r="C47945"/>
      <c r="E47945"/>
      <c r="F47945"/>
    </row>
    <row r="47946" spans="1:6" x14ac:dyDescent="0.25">
      <c r="A47946"/>
      <c r="B47946"/>
      <c r="C47946"/>
      <c r="E47946"/>
      <c r="F47946"/>
    </row>
    <row r="47947" spans="1:6" x14ac:dyDescent="0.25">
      <c r="A47947"/>
      <c r="B47947"/>
      <c r="C47947"/>
      <c r="E47947"/>
      <c r="F47947"/>
    </row>
    <row r="47948" spans="1:6" x14ac:dyDescent="0.25">
      <c r="A47948"/>
      <c r="B47948"/>
      <c r="C47948"/>
      <c r="E47948"/>
      <c r="F47948"/>
    </row>
    <row r="47949" spans="1:6" x14ac:dyDescent="0.25">
      <c r="A47949"/>
      <c r="B47949"/>
      <c r="C47949"/>
      <c r="E47949"/>
      <c r="F47949"/>
    </row>
    <row r="47950" spans="1:6" x14ac:dyDescent="0.25">
      <c r="A47950"/>
      <c r="B47950"/>
      <c r="C47950"/>
      <c r="E47950"/>
      <c r="F47950"/>
    </row>
    <row r="47951" spans="1:6" x14ac:dyDescent="0.25">
      <c r="A47951"/>
      <c r="B47951"/>
      <c r="C47951"/>
      <c r="E47951"/>
      <c r="F47951"/>
    </row>
    <row r="47952" spans="1:6" x14ac:dyDescent="0.25">
      <c r="A47952"/>
      <c r="B47952"/>
      <c r="C47952"/>
      <c r="E47952"/>
      <c r="F47952"/>
    </row>
    <row r="47953" spans="1:6" x14ac:dyDescent="0.25">
      <c r="A47953"/>
      <c r="B47953"/>
      <c r="C47953"/>
      <c r="E47953"/>
      <c r="F47953"/>
    </row>
    <row r="47954" spans="1:6" x14ac:dyDescent="0.25">
      <c r="A47954"/>
      <c r="B47954"/>
      <c r="C47954"/>
      <c r="E47954"/>
      <c r="F47954"/>
    </row>
    <row r="47955" spans="1:6" x14ac:dyDescent="0.25">
      <c r="A47955"/>
      <c r="B47955"/>
      <c r="C47955"/>
      <c r="E47955"/>
      <c r="F47955"/>
    </row>
    <row r="47956" spans="1:6" x14ac:dyDescent="0.25">
      <c r="A47956"/>
      <c r="B47956"/>
      <c r="C47956"/>
      <c r="E47956"/>
      <c r="F47956"/>
    </row>
    <row r="47957" spans="1:6" x14ac:dyDescent="0.25">
      <c r="A47957"/>
      <c r="B47957"/>
      <c r="C47957"/>
      <c r="E47957"/>
      <c r="F47957"/>
    </row>
    <row r="47958" spans="1:6" x14ac:dyDescent="0.25">
      <c r="A47958"/>
      <c r="B47958"/>
      <c r="C47958"/>
      <c r="E47958"/>
      <c r="F47958"/>
    </row>
    <row r="47959" spans="1:6" x14ac:dyDescent="0.25">
      <c r="A47959"/>
      <c r="B47959"/>
      <c r="C47959"/>
      <c r="E47959"/>
      <c r="F47959"/>
    </row>
    <row r="47960" spans="1:6" x14ac:dyDescent="0.25">
      <c r="A47960"/>
      <c r="B47960"/>
      <c r="C47960"/>
      <c r="E47960"/>
      <c r="F47960"/>
    </row>
    <row r="47961" spans="1:6" x14ac:dyDescent="0.25">
      <c r="A47961"/>
      <c r="B47961"/>
      <c r="C47961"/>
      <c r="E47961"/>
      <c r="F47961"/>
    </row>
    <row r="47962" spans="1:6" x14ac:dyDescent="0.25">
      <c r="A47962"/>
      <c r="B47962"/>
      <c r="C47962"/>
      <c r="E47962"/>
      <c r="F47962"/>
    </row>
    <row r="47963" spans="1:6" x14ac:dyDescent="0.25">
      <c r="A47963"/>
      <c r="B47963"/>
      <c r="C47963"/>
      <c r="E47963"/>
      <c r="F47963"/>
    </row>
    <row r="47964" spans="1:6" x14ac:dyDescent="0.25">
      <c r="A47964"/>
      <c r="B47964"/>
      <c r="C47964"/>
      <c r="E47964"/>
      <c r="F47964"/>
    </row>
    <row r="47965" spans="1:6" x14ac:dyDescent="0.25">
      <c r="A47965"/>
      <c r="B47965"/>
      <c r="C47965"/>
      <c r="E47965"/>
      <c r="F47965"/>
    </row>
    <row r="47966" spans="1:6" x14ac:dyDescent="0.25">
      <c r="A47966"/>
      <c r="B47966"/>
      <c r="C47966"/>
      <c r="E47966"/>
      <c r="F47966"/>
    </row>
    <row r="47967" spans="1:6" x14ac:dyDescent="0.25">
      <c r="A47967"/>
      <c r="B47967"/>
      <c r="C47967"/>
      <c r="E47967"/>
      <c r="F47967"/>
    </row>
    <row r="47968" spans="1:6" x14ac:dyDescent="0.25">
      <c r="A47968"/>
      <c r="B47968"/>
      <c r="C47968"/>
      <c r="E47968"/>
      <c r="F47968"/>
    </row>
    <row r="47969" spans="1:6" x14ac:dyDescent="0.25">
      <c r="A47969"/>
      <c r="B47969"/>
      <c r="C47969"/>
      <c r="E47969"/>
      <c r="F47969"/>
    </row>
    <row r="47970" spans="1:6" x14ac:dyDescent="0.25">
      <c r="A47970"/>
      <c r="B47970"/>
      <c r="C47970"/>
      <c r="E47970"/>
      <c r="F47970"/>
    </row>
    <row r="47971" spans="1:6" x14ac:dyDescent="0.25">
      <c r="A47971"/>
      <c r="B47971"/>
      <c r="C47971"/>
      <c r="E47971"/>
      <c r="F47971"/>
    </row>
    <row r="47972" spans="1:6" x14ac:dyDescent="0.25">
      <c r="A47972"/>
      <c r="B47972"/>
      <c r="C47972"/>
      <c r="E47972"/>
      <c r="F47972"/>
    </row>
    <row r="47973" spans="1:6" x14ac:dyDescent="0.25">
      <c r="A47973"/>
      <c r="B47973"/>
      <c r="C47973"/>
      <c r="E47973"/>
      <c r="F47973"/>
    </row>
    <row r="47974" spans="1:6" x14ac:dyDescent="0.25">
      <c r="A47974"/>
      <c r="B47974"/>
      <c r="C47974"/>
      <c r="E47974"/>
      <c r="F47974"/>
    </row>
    <row r="47975" spans="1:6" x14ac:dyDescent="0.25">
      <c r="A47975"/>
      <c r="B47975"/>
      <c r="C47975"/>
      <c r="E47975"/>
      <c r="F47975"/>
    </row>
    <row r="47976" spans="1:6" x14ac:dyDescent="0.25">
      <c r="A47976"/>
      <c r="B47976"/>
      <c r="C47976"/>
      <c r="E47976"/>
      <c r="F47976"/>
    </row>
    <row r="47977" spans="1:6" x14ac:dyDescent="0.25">
      <c r="A47977"/>
      <c r="B47977"/>
      <c r="C47977"/>
      <c r="E47977"/>
      <c r="F47977"/>
    </row>
    <row r="47978" spans="1:6" x14ac:dyDescent="0.25">
      <c r="A47978"/>
      <c r="B47978"/>
      <c r="C47978"/>
      <c r="E47978"/>
      <c r="F47978"/>
    </row>
    <row r="47979" spans="1:6" x14ac:dyDescent="0.25">
      <c r="A47979"/>
      <c r="B47979"/>
      <c r="C47979"/>
      <c r="E47979"/>
      <c r="F47979"/>
    </row>
    <row r="47980" spans="1:6" x14ac:dyDescent="0.25">
      <c r="A47980"/>
      <c r="B47980"/>
      <c r="C47980"/>
      <c r="E47980"/>
      <c r="F47980"/>
    </row>
    <row r="47981" spans="1:6" x14ac:dyDescent="0.25">
      <c r="A47981"/>
      <c r="B47981"/>
      <c r="C47981"/>
      <c r="E47981"/>
      <c r="F47981"/>
    </row>
    <row r="47982" spans="1:6" x14ac:dyDescent="0.25">
      <c r="A47982"/>
      <c r="B47982"/>
      <c r="C47982"/>
      <c r="E47982"/>
      <c r="F47982"/>
    </row>
    <row r="47983" spans="1:6" x14ac:dyDescent="0.25">
      <c r="A47983"/>
      <c r="B47983"/>
      <c r="C47983"/>
      <c r="E47983"/>
      <c r="F47983"/>
    </row>
    <row r="47984" spans="1:6" x14ac:dyDescent="0.25">
      <c r="A47984"/>
      <c r="B47984"/>
      <c r="C47984"/>
      <c r="E47984"/>
      <c r="F47984"/>
    </row>
    <row r="47985" spans="1:6" x14ac:dyDescent="0.25">
      <c r="A47985"/>
      <c r="B47985"/>
      <c r="C47985"/>
      <c r="E47985"/>
      <c r="F47985"/>
    </row>
    <row r="47986" spans="1:6" x14ac:dyDescent="0.25">
      <c r="A47986"/>
      <c r="B47986"/>
      <c r="C47986"/>
      <c r="E47986"/>
      <c r="F47986"/>
    </row>
    <row r="47987" spans="1:6" x14ac:dyDescent="0.25">
      <c r="A47987"/>
      <c r="B47987"/>
      <c r="C47987"/>
      <c r="E47987"/>
      <c r="F47987"/>
    </row>
    <row r="47988" spans="1:6" x14ac:dyDescent="0.25">
      <c r="A47988"/>
      <c r="B47988"/>
      <c r="C47988"/>
      <c r="E47988"/>
      <c r="F47988"/>
    </row>
    <row r="47989" spans="1:6" x14ac:dyDescent="0.25">
      <c r="A47989"/>
      <c r="B47989"/>
      <c r="C47989"/>
      <c r="E47989"/>
      <c r="F47989"/>
    </row>
    <row r="47990" spans="1:6" x14ac:dyDescent="0.25">
      <c r="A47990"/>
      <c r="B47990"/>
      <c r="C47990"/>
      <c r="E47990"/>
      <c r="F47990"/>
    </row>
    <row r="47991" spans="1:6" x14ac:dyDescent="0.25">
      <c r="A47991"/>
      <c r="B47991"/>
      <c r="C47991"/>
      <c r="E47991"/>
      <c r="F47991"/>
    </row>
    <row r="47992" spans="1:6" x14ac:dyDescent="0.25">
      <c r="A47992"/>
      <c r="B47992"/>
      <c r="C47992"/>
      <c r="E47992"/>
      <c r="F47992"/>
    </row>
    <row r="47993" spans="1:6" x14ac:dyDescent="0.25">
      <c r="A47993"/>
      <c r="B47993"/>
      <c r="C47993"/>
      <c r="E47993"/>
      <c r="F47993"/>
    </row>
    <row r="47994" spans="1:6" x14ac:dyDescent="0.25">
      <c r="A47994"/>
      <c r="B47994"/>
      <c r="C47994"/>
      <c r="E47994"/>
      <c r="F47994"/>
    </row>
    <row r="47995" spans="1:6" x14ac:dyDescent="0.25">
      <c r="A47995"/>
      <c r="B47995"/>
      <c r="C47995"/>
      <c r="E47995"/>
      <c r="F47995"/>
    </row>
    <row r="47996" spans="1:6" x14ac:dyDescent="0.25">
      <c r="A47996"/>
      <c r="B47996"/>
      <c r="C47996"/>
      <c r="E47996"/>
      <c r="F47996"/>
    </row>
    <row r="47997" spans="1:6" x14ac:dyDescent="0.25">
      <c r="A47997"/>
      <c r="B47997"/>
      <c r="C47997"/>
      <c r="E47997"/>
      <c r="F47997"/>
    </row>
    <row r="47998" spans="1:6" x14ac:dyDescent="0.25">
      <c r="A47998"/>
      <c r="B47998"/>
      <c r="C47998"/>
      <c r="E47998"/>
      <c r="F47998"/>
    </row>
    <row r="47999" spans="1:6" x14ac:dyDescent="0.25">
      <c r="A47999"/>
      <c r="B47999"/>
      <c r="C47999"/>
      <c r="E47999"/>
      <c r="F47999"/>
    </row>
    <row r="48000" spans="1:6" x14ac:dyDescent="0.25">
      <c r="A48000"/>
      <c r="B48000"/>
      <c r="C48000"/>
      <c r="E48000"/>
      <c r="F48000"/>
    </row>
    <row r="48001" spans="1:6" x14ac:dyDescent="0.25">
      <c r="A48001"/>
      <c r="B48001"/>
      <c r="C48001"/>
      <c r="E48001"/>
      <c r="F48001"/>
    </row>
    <row r="48002" spans="1:6" x14ac:dyDescent="0.25">
      <c r="A48002"/>
      <c r="B48002"/>
      <c r="C48002"/>
      <c r="E48002"/>
      <c r="F48002"/>
    </row>
    <row r="48003" spans="1:6" x14ac:dyDescent="0.25">
      <c r="A48003"/>
      <c r="B48003"/>
      <c r="C48003"/>
      <c r="E48003"/>
      <c r="F48003"/>
    </row>
    <row r="48004" spans="1:6" x14ac:dyDescent="0.25">
      <c r="A48004"/>
      <c r="B48004"/>
      <c r="C48004"/>
      <c r="E48004"/>
      <c r="F48004"/>
    </row>
    <row r="48005" spans="1:6" x14ac:dyDescent="0.25">
      <c r="A48005"/>
      <c r="B48005"/>
      <c r="C48005"/>
      <c r="E48005"/>
      <c r="F48005"/>
    </row>
    <row r="48006" spans="1:6" x14ac:dyDescent="0.25">
      <c r="A48006"/>
      <c r="B48006"/>
      <c r="C48006"/>
      <c r="E48006"/>
      <c r="F48006"/>
    </row>
    <row r="48007" spans="1:6" x14ac:dyDescent="0.25">
      <c r="A48007"/>
      <c r="B48007"/>
      <c r="C48007"/>
      <c r="E48007"/>
      <c r="F48007"/>
    </row>
    <row r="48008" spans="1:6" x14ac:dyDescent="0.25">
      <c r="A48008"/>
      <c r="B48008"/>
      <c r="C48008"/>
      <c r="E48008"/>
      <c r="F48008"/>
    </row>
    <row r="48009" spans="1:6" x14ac:dyDescent="0.25">
      <c r="A48009"/>
      <c r="B48009"/>
      <c r="C48009"/>
      <c r="E48009"/>
      <c r="F48009"/>
    </row>
    <row r="48010" spans="1:6" x14ac:dyDescent="0.25">
      <c r="A48010"/>
      <c r="B48010"/>
      <c r="C48010"/>
      <c r="E48010"/>
      <c r="F48010"/>
    </row>
    <row r="48011" spans="1:6" x14ac:dyDescent="0.25">
      <c r="A48011"/>
      <c r="B48011"/>
      <c r="C48011"/>
      <c r="E48011"/>
      <c r="F48011"/>
    </row>
    <row r="48012" spans="1:6" x14ac:dyDescent="0.25">
      <c r="A48012"/>
      <c r="B48012"/>
      <c r="C48012"/>
      <c r="E48012"/>
      <c r="F48012"/>
    </row>
    <row r="48013" spans="1:6" x14ac:dyDescent="0.25">
      <c r="A48013"/>
      <c r="B48013"/>
      <c r="C48013"/>
      <c r="E48013"/>
      <c r="F48013"/>
    </row>
    <row r="48014" spans="1:6" x14ac:dyDescent="0.25">
      <c r="A48014"/>
      <c r="B48014"/>
      <c r="C48014"/>
      <c r="E48014"/>
      <c r="F48014"/>
    </row>
    <row r="48015" spans="1:6" x14ac:dyDescent="0.25">
      <c r="A48015"/>
      <c r="B48015"/>
      <c r="C48015"/>
      <c r="E48015"/>
      <c r="F48015"/>
    </row>
    <row r="48016" spans="1:6" x14ac:dyDescent="0.25">
      <c r="A48016"/>
      <c r="B48016"/>
      <c r="C48016"/>
      <c r="E48016"/>
      <c r="F48016"/>
    </row>
    <row r="48017" spans="1:6" x14ac:dyDescent="0.25">
      <c r="A48017"/>
      <c r="B48017"/>
      <c r="C48017"/>
      <c r="E48017"/>
      <c r="F48017"/>
    </row>
    <row r="48018" spans="1:6" x14ac:dyDescent="0.25">
      <c r="A48018"/>
      <c r="B48018"/>
      <c r="C48018"/>
      <c r="E48018"/>
      <c r="F48018"/>
    </row>
    <row r="48019" spans="1:6" x14ac:dyDescent="0.25">
      <c r="A48019"/>
      <c r="B48019"/>
      <c r="C48019"/>
      <c r="E48019"/>
      <c r="F48019"/>
    </row>
    <row r="48020" spans="1:6" x14ac:dyDescent="0.25">
      <c r="A48020"/>
      <c r="B48020"/>
      <c r="C48020"/>
      <c r="E48020"/>
      <c r="F48020"/>
    </row>
    <row r="48021" spans="1:6" x14ac:dyDescent="0.25">
      <c r="A48021"/>
      <c r="B48021"/>
      <c r="C48021"/>
      <c r="E48021"/>
      <c r="F48021"/>
    </row>
    <row r="48022" spans="1:6" x14ac:dyDescent="0.25">
      <c r="A48022"/>
      <c r="B48022"/>
      <c r="C48022"/>
      <c r="E48022"/>
      <c r="F48022"/>
    </row>
    <row r="48023" spans="1:6" x14ac:dyDescent="0.25">
      <c r="A48023"/>
      <c r="B48023"/>
      <c r="C48023"/>
      <c r="E48023"/>
      <c r="F48023"/>
    </row>
    <row r="48024" spans="1:6" x14ac:dyDescent="0.25">
      <c r="A48024"/>
      <c r="B48024"/>
      <c r="C48024"/>
      <c r="E48024"/>
      <c r="F48024"/>
    </row>
    <row r="48025" spans="1:6" x14ac:dyDescent="0.25">
      <c r="A48025"/>
      <c r="B48025"/>
      <c r="C48025"/>
      <c r="E48025"/>
      <c r="F48025"/>
    </row>
    <row r="48026" spans="1:6" x14ac:dyDescent="0.25">
      <c r="A48026"/>
      <c r="B48026"/>
      <c r="C48026"/>
      <c r="E48026"/>
      <c r="F48026"/>
    </row>
    <row r="48027" spans="1:6" x14ac:dyDescent="0.25">
      <c r="A48027"/>
      <c r="B48027"/>
      <c r="C48027"/>
      <c r="E48027"/>
      <c r="F48027"/>
    </row>
    <row r="48028" spans="1:6" x14ac:dyDescent="0.25">
      <c r="A48028"/>
      <c r="B48028"/>
      <c r="C48028"/>
      <c r="E48028"/>
      <c r="F48028"/>
    </row>
    <row r="48029" spans="1:6" x14ac:dyDescent="0.25">
      <c r="A48029"/>
      <c r="B48029"/>
      <c r="C48029"/>
      <c r="E48029"/>
      <c r="F48029"/>
    </row>
    <row r="48030" spans="1:6" x14ac:dyDescent="0.25">
      <c r="A48030"/>
      <c r="B48030"/>
      <c r="C48030"/>
      <c r="E48030"/>
      <c r="F48030"/>
    </row>
    <row r="48031" spans="1:6" x14ac:dyDescent="0.25">
      <c r="A48031"/>
      <c r="B48031"/>
      <c r="C48031"/>
      <c r="E48031"/>
      <c r="F48031"/>
    </row>
    <row r="48032" spans="1:6" x14ac:dyDescent="0.25">
      <c r="A48032"/>
      <c r="B48032"/>
      <c r="C48032"/>
      <c r="E48032"/>
      <c r="F48032"/>
    </row>
    <row r="48033" spans="1:6" x14ac:dyDescent="0.25">
      <c r="A48033"/>
      <c r="B48033"/>
      <c r="C48033"/>
      <c r="E48033"/>
      <c r="F48033"/>
    </row>
    <row r="48034" spans="1:6" x14ac:dyDescent="0.25">
      <c r="A48034"/>
      <c r="B48034"/>
      <c r="C48034"/>
      <c r="E48034"/>
      <c r="F48034"/>
    </row>
    <row r="48035" spans="1:6" x14ac:dyDescent="0.25">
      <c r="A48035"/>
      <c r="B48035"/>
      <c r="C48035"/>
      <c r="E48035"/>
      <c r="F48035"/>
    </row>
    <row r="48036" spans="1:6" x14ac:dyDescent="0.25">
      <c r="A48036"/>
      <c r="B48036"/>
      <c r="C48036"/>
      <c r="E48036"/>
      <c r="F48036"/>
    </row>
    <row r="48037" spans="1:6" x14ac:dyDescent="0.25">
      <c r="A48037"/>
      <c r="B48037"/>
      <c r="C48037"/>
      <c r="E48037"/>
      <c r="F48037"/>
    </row>
    <row r="48038" spans="1:6" x14ac:dyDescent="0.25">
      <c r="A48038"/>
      <c r="B48038"/>
      <c r="C48038"/>
      <c r="E48038"/>
      <c r="F48038"/>
    </row>
    <row r="48039" spans="1:6" x14ac:dyDescent="0.25">
      <c r="A48039"/>
      <c r="B48039"/>
      <c r="C48039"/>
      <c r="E48039"/>
      <c r="F48039"/>
    </row>
    <row r="48040" spans="1:6" x14ac:dyDescent="0.25">
      <c r="A48040"/>
      <c r="B48040"/>
      <c r="C48040"/>
      <c r="E48040"/>
      <c r="F48040"/>
    </row>
    <row r="48041" spans="1:6" x14ac:dyDescent="0.25">
      <c r="A48041"/>
      <c r="B48041"/>
      <c r="C48041"/>
      <c r="E48041"/>
      <c r="F48041"/>
    </row>
    <row r="48042" spans="1:6" x14ac:dyDescent="0.25">
      <c r="A48042"/>
      <c r="B48042"/>
      <c r="C48042"/>
      <c r="E48042"/>
      <c r="F48042"/>
    </row>
    <row r="48043" spans="1:6" x14ac:dyDescent="0.25">
      <c r="A48043"/>
      <c r="B48043"/>
      <c r="C48043"/>
      <c r="E48043"/>
      <c r="F48043"/>
    </row>
    <row r="48044" spans="1:6" x14ac:dyDescent="0.25">
      <c r="A48044"/>
      <c r="B48044"/>
      <c r="C48044"/>
      <c r="E48044"/>
      <c r="F48044"/>
    </row>
    <row r="48045" spans="1:6" x14ac:dyDescent="0.25">
      <c r="A48045"/>
      <c r="B48045"/>
      <c r="C48045"/>
      <c r="E48045"/>
      <c r="F48045"/>
    </row>
    <row r="48046" spans="1:6" x14ac:dyDescent="0.25">
      <c r="A48046"/>
      <c r="B48046"/>
      <c r="C48046"/>
      <c r="E48046"/>
      <c r="F48046"/>
    </row>
    <row r="48047" spans="1:6" x14ac:dyDescent="0.25">
      <c r="A48047"/>
      <c r="B48047"/>
      <c r="C48047"/>
      <c r="E48047"/>
      <c r="F48047"/>
    </row>
    <row r="48048" spans="1:6" x14ac:dyDescent="0.25">
      <c r="A48048"/>
      <c r="B48048"/>
      <c r="C48048"/>
      <c r="E48048"/>
      <c r="F48048"/>
    </row>
    <row r="48049" spans="1:6" x14ac:dyDescent="0.25">
      <c r="A48049"/>
      <c r="B48049"/>
      <c r="C48049"/>
      <c r="E48049"/>
      <c r="F48049"/>
    </row>
    <row r="48050" spans="1:6" x14ac:dyDescent="0.25">
      <c r="A48050"/>
      <c r="B48050"/>
      <c r="C48050"/>
      <c r="E48050"/>
      <c r="F48050"/>
    </row>
    <row r="48051" spans="1:6" x14ac:dyDescent="0.25">
      <c r="A48051"/>
      <c r="B48051"/>
      <c r="C48051"/>
      <c r="E48051"/>
      <c r="F48051"/>
    </row>
    <row r="48052" spans="1:6" x14ac:dyDescent="0.25">
      <c r="A48052"/>
      <c r="B48052"/>
      <c r="C48052"/>
      <c r="E48052"/>
      <c r="F48052"/>
    </row>
    <row r="48053" spans="1:6" x14ac:dyDescent="0.25">
      <c r="A48053"/>
      <c r="B48053"/>
      <c r="C48053"/>
      <c r="E48053"/>
      <c r="F48053"/>
    </row>
    <row r="48054" spans="1:6" x14ac:dyDescent="0.25">
      <c r="A48054"/>
      <c r="B48054"/>
      <c r="C48054"/>
      <c r="E48054"/>
      <c r="F48054"/>
    </row>
    <row r="48055" spans="1:6" x14ac:dyDescent="0.25">
      <c r="A48055"/>
      <c r="B48055"/>
      <c r="C48055"/>
      <c r="E48055"/>
      <c r="F48055"/>
    </row>
    <row r="48056" spans="1:6" x14ac:dyDescent="0.25">
      <c r="A48056"/>
      <c r="B48056"/>
      <c r="C48056"/>
      <c r="E48056"/>
      <c r="F48056"/>
    </row>
    <row r="48057" spans="1:6" x14ac:dyDescent="0.25">
      <c r="A48057"/>
      <c r="B48057"/>
      <c r="C48057"/>
      <c r="E48057"/>
      <c r="F48057"/>
    </row>
    <row r="48058" spans="1:6" x14ac:dyDescent="0.25">
      <c r="A48058"/>
      <c r="B48058"/>
      <c r="C48058"/>
      <c r="E48058"/>
      <c r="F48058"/>
    </row>
    <row r="48059" spans="1:6" x14ac:dyDescent="0.25">
      <c r="A48059"/>
      <c r="B48059"/>
      <c r="C48059"/>
      <c r="E48059"/>
      <c r="F48059"/>
    </row>
    <row r="48060" spans="1:6" x14ac:dyDescent="0.25">
      <c r="A48060"/>
      <c r="B48060"/>
      <c r="C48060"/>
      <c r="E48060"/>
      <c r="F48060"/>
    </row>
    <row r="48061" spans="1:6" x14ac:dyDescent="0.25">
      <c r="A48061"/>
      <c r="B48061"/>
      <c r="C48061"/>
      <c r="E48061"/>
      <c r="F48061"/>
    </row>
    <row r="48062" spans="1:6" x14ac:dyDescent="0.25">
      <c r="A48062"/>
      <c r="B48062"/>
      <c r="C48062"/>
      <c r="E48062"/>
      <c r="F48062"/>
    </row>
    <row r="48063" spans="1:6" x14ac:dyDescent="0.25">
      <c r="A48063"/>
      <c r="B48063"/>
      <c r="C48063"/>
      <c r="E48063"/>
      <c r="F48063"/>
    </row>
    <row r="48064" spans="1:6" x14ac:dyDescent="0.25">
      <c r="A48064"/>
      <c r="B48064"/>
      <c r="C48064"/>
      <c r="E48064"/>
      <c r="F48064"/>
    </row>
    <row r="48065" spans="1:6" x14ac:dyDescent="0.25">
      <c r="A48065"/>
      <c r="B48065"/>
      <c r="C48065"/>
      <c r="E48065"/>
      <c r="F48065"/>
    </row>
    <row r="48066" spans="1:6" x14ac:dyDescent="0.25">
      <c r="A48066"/>
      <c r="B48066"/>
      <c r="C48066"/>
      <c r="E48066"/>
      <c r="F48066"/>
    </row>
    <row r="48067" spans="1:6" x14ac:dyDescent="0.25">
      <c r="A48067"/>
      <c r="B48067"/>
      <c r="C48067"/>
      <c r="E48067"/>
      <c r="F48067"/>
    </row>
    <row r="48068" spans="1:6" x14ac:dyDescent="0.25">
      <c r="A48068"/>
      <c r="B48068"/>
      <c r="C48068"/>
      <c r="E48068"/>
      <c r="F48068"/>
    </row>
    <row r="48069" spans="1:6" x14ac:dyDescent="0.25">
      <c r="A48069"/>
      <c r="B48069"/>
      <c r="C48069"/>
      <c r="E48069"/>
      <c r="F48069"/>
    </row>
    <row r="48070" spans="1:6" x14ac:dyDescent="0.25">
      <c r="A48070"/>
      <c r="B48070"/>
      <c r="C48070"/>
      <c r="E48070"/>
      <c r="F48070"/>
    </row>
    <row r="48071" spans="1:6" x14ac:dyDescent="0.25">
      <c r="A48071"/>
      <c r="B48071"/>
      <c r="C48071"/>
      <c r="E48071"/>
      <c r="F48071"/>
    </row>
    <row r="48072" spans="1:6" x14ac:dyDescent="0.25">
      <c r="A48072"/>
      <c r="B48072"/>
      <c r="C48072"/>
      <c r="E48072"/>
      <c r="F48072"/>
    </row>
    <row r="48073" spans="1:6" x14ac:dyDescent="0.25">
      <c r="A48073"/>
      <c r="B48073"/>
      <c r="C48073"/>
      <c r="E48073"/>
      <c r="F48073"/>
    </row>
    <row r="48074" spans="1:6" x14ac:dyDescent="0.25">
      <c r="A48074"/>
      <c r="B48074"/>
      <c r="C48074"/>
      <c r="E48074"/>
      <c r="F48074"/>
    </row>
    <row r="48075" spans="1:6" x14ac:dyDescent="0.25">
      <c r="A48075"/>
      <c r="B48075"/>
      <c r="C48075"/>
      <c r="E48075"/>
      <c r="F48075"/>
    </row>
    <row r="48076" spans="1:6" x14ac:dyDescent="0.25">
      <c r="A48076"/>
      <c r="B48076"/>
      <c r="C48076"/>
      <c r="E48076"/>
      <c r="F48076"/>
    </row>
    <row r="48077" spans="1:6" x14ac:dyDescent="0.25">
      <c r="A48077"/>
      <c r="B48077"/>
      <c r="C48077"/>
      <c r="E48077"/>
      <c r="F48077"/>
    </row>
    <row r="48078" spans="1:6" x14ac:dyDescent="0.25">
      <c r="A48078"/>
      <c r="B48078"/>
      <c r="C48078"/>
      <c r="E48078"/>
      <c r="F48078"/>
    </row>
    <row r="48079" spans="1:6" x14ac:dyDescent="0.25">
      <c r="A48079"/>
      <c r="B48079"/>
      <c r="C48079"/>
      <c r="E48079"/>
      <c r="F48079"/>
    </row>
    <row r="48080" spans="1:6" x14ac:dyDescent="0.25">
      <c r="A48080"/>
      <c r="B48080"/>
      <c r="C48080"/>
      <c r="E48080"/>
      <c r="F48080"/>
    </row>
    <row r="48081" spans="1:6" x14ac:dyDescent="0.25">
      <c r="A48081"/>
      <c r="B48081"/>
      <c r="C48081"/>
      <c r="E48081"/>
      <c r="F48081"/>
    </row>
    <row r="48082" spans="1:6" x14ac:dyDescent="0.25">
      <c r="A48082"/>
      <c r="B48082"/>
      <c r="C48082"/>
      <c r="E48082"/>
      <c r="F48082"/>
    </row>
    <row r="48083" spans="1:6" x14ac:dyDescent="0.25">
      <c r="A48083"/>
      <c r="B48083"/>
      <c r="C48083"/>
      <c r="E48083"/>
      <c r="F48083"/>
    </row>
    <row r="48084" spans="1:6" x14ac:dyDescent="0.25">
      <c r="A48084"/>
      <c r="B48084"/>
      <c r="C48084"/>
      <c r="E48084"/>
      <c r="F48084"/>
    </row>
    <row r="48085" spans="1:6" x14ac:dyDescent="0.25">
      <c r="A48085"/>
      <c r="B48085"/>
      <c r="C48085"/>
      <c r="E48085"/>
      <c r="F48085"/>
    </row>
    <row r="48086" spans="1:6" x14ac:dyDescent="0.25">
      <c r="A48086"/>
      <c r="B48086"/>
      <c r="C48086"/>
      <c r="E48086"/>
      <c r="F48086"/>
    </row>
    <row r="48087" spans="1:6" x14ac:dyDescent="0.25">
      <c r="A48087"/>
      <c r="B48087"/>
      <c r="C48087"/>
      <c r="E48087"/>
      <c r="F48087"/>
    </row>
    <row r="48088" spans="1:6" x14ac:dyDescent="0.25">
      <c r="A48088"/>
      <c r="B48088"/>
      <c r="C48088"/>
      <c r="E48088"/>
      <c r="F48088"/>
    </row>
    <row r="48089" spans="1:6" x14ac:dyDescent="0.25">
      <c r="A48089"/>
      <c r="B48089"/>
      <c r="C48089"/>
      <c r="E48089"/>
      <c r="F48089"/>
    </row>
    <row r="48090" spans="1:6" x14ac:dyDescent="0.25">
      <c r="A48090"/>
      <c r="B48090"/>
      <c r="C48090"/>
      <c r="E48090"/>
      <c r="F48090"/>
    </row>
    <row r="48091" spans="1:6" x14ac:dyDescent="0.25">
      <c r="A48091"/>
      <c r="B48091"/>
      <c r="C48091"/>
      <c r="E48091"/>
      <c r="F48091"/>
    </row>
    <row r="48092" spans="1:6" x14ac:dyDescent="0.25">
      <c r="A48092"/>
      <c r="B48092"/>
      <c r="C48092"/>
      <c r="E48092"/>
      <c r="F48092"/>
    </row>
    <row r="48093" spans="1:6" x14ac:dyDescent="0.25">
      <c r="A48093"/>
      <c r="B48093"/>
      <c r="C48093"/>
      <c r="E48093"/>
      <c r="F48093"/>
    </row>
    <row r="48094" spans="1:6" x14ac:dyDescent="0.25">
      <c r="A48094"/>
      <c r="B48094"/>
      <c r="C48094"/>
      <c r="E48094"/>
      <c r="F48094"/>
    </row>
    <row r="48095" spans="1:6" x14ac:dyDescent="0.25">
      <c r="A48095"/>
      <c r="B48095"/>
      <c r="C48095"/>
      <c r="E48095"/>
      <c r="F48095"/>
    </row>
    <row r="48096" spans="1:6" x14ac:dyDescent="0.25">
      <c r="A48096"/>
      <c r="B48096"/>
      <c r="C48096"/>
      <c r="E48096"/>
      <c r="F48096"/>
    </row>
    <row r="48097" spans="1:6" x14ac:dyDescent="0.25">
      <c r="A48097"/>
      <c r="B48097"/>
      <c r="C48097"/>
      <c r="E48097"/>
      <c r="F48097"/>
    </row>
    <row r="48098" spans="1:6" x14ac:dyDescent="0.25">
      <c r="A48098"/>
      <c r="B48098"/>
      <c r="C48098"/>
      <c r="E48098"/>
      <c r="F48098"/>
    </row>
    <row r="48099" spans="1:6" x14ac:dyDescent="0.25">
      <c r="A48099"/>
      <c r="B48099"/>
      <c r="C48099"/>
      <c r="E48099"/>
      <c r="F48099"/>
    </row>
    <row r="48100" spans="1:6" x14ac:dyDescent="0.25">
      <c r="A48100"/>
      <c r="B48100"/>
      <c r="C48100"/>
      <c r="E48100"/>
      <c r="F48100"/>
    </row>
    <row r="48101" spans="1:6" x14ac:dyDescent="0.25">
      <c r="A48101"/>
      <c r="B48101"/>
      <c r="C48101"/>
      <c r="E48101"/>
      <c r="F48101"/>
    </row>
    <row r="48102" spans="1:6" x14ac:dyDescent="0.25">
      <c r="A48102"/>
      <c r="B48102"/>
      <c r="C48102"/>
      <c r="E48102"/>
      <c r="F48102"/>
    </row>
    <row r="48103" spans="1:6" x14ac:dyDescent="0.25">
      <c r="A48103"/>
      <c r="B48103"/>
      <c r="C48103"/>
      <c r="E48103"/>
      <c r="F48103"/>
    </row>
    <row r="48104" spans="1:6" x14ac:dyDescent="0.25">
      <c r="A48104"/>
      <c r="B48104"/>
      <c r="C48104"/>
      <c r="E48104"/>
      <c r="F48104"/>
    </row>
    <row r="48105" spans="1:6" x14ac:dyDescent="0.25">
      <c r="A48105"/>
      <c r="B48105"/>
      <c r="C48105"/>
      <c r="E48105"/>
      <c r="F48105"/>
    </row>
    <row r="48106" spans="1:6" x14ac:dyDescent="0.25">
      <c r="A48106"/>
      <c r="B48106"/>
      <c r="C48106"/>
      <c r="E48106"/>
      <c r="F48106"/>
    </row>
    <row r="48107" spans="1:6" x14ac:dyDescent="0.25">
      <c r="A48107"/>
      <c r="B48107"/>
      <c r="C48107"/>
      <c r="E48107"/>
      <c r="F48107"/>
    </row>
    <row r="48108" spans="1:6" x14ac:dyDescent="0.25">
      <c r="A48108"/>
      <c r="B48108"/>
      <c r="C48108"/>
      <c r="E48108"/>
      <c r="F48108"/>
    </row>
    <row r="48109" spans="1:6" x14ac:dyDescent="0.25">
      <c r="A48109"/>
      <c r="B48109"/>
      <c r="C48109"/>
      <c r="E48109"/>
      <c r="F48109"/>
    </row>
    <row r="48110" spans="1:6" x14ac:dyDescent="0.25">
      <c r="A48110"/>
      <c r="B48110"/>
      <c r="C48110"/>
      <c r="E48110"/>
      <c r="F48110"/>
    </row>
    <row r="48111" spans="1:6" x14ac:dyDescent="0.25">
      <c r="A48111"/>
      <c r="B48111"/>
      <c r="C48111"/>
      <c r="E48111"/>
      <c r="F48111"/>
    </row>
    <row r="48112" spans="1:6" x14ac:dyDescent="0.25">
      <c r="A48112"/>
      <c r="B48112"/>
      <c r="C48112"/>
      <c r="E48112"/>
      <c r="F48112"/>
    </row>
    <row r="48113" spans="1:6" x14ac:dyDescent="0.25">
      <c r="A48113"/>
      <c r="B48113"/>
      <c r="C48113"/>
      <c r="E48113"/>
      <c r="F48113"/>
    </row>
    <row r="48114" spans="1:6" x14ac:dyDescent="0.25">
      <c r="A48114"/>
      <c r="B48114"/>
      <c r="C48114"/>
      <c r="E48114"/>
      <c r="F48114"/>
    </row>
    <row r="48115" spans="1:6" x14ac:dyDescent="0.25">
      <c r="A48115"/>
      <c r="B48115"/>
      <c r="C48115"/>
      <c r="E48115"/>
      <c r="F48115"/>
    </row>
    <row r="48116" spans="1:6" x14ac:dyDescent="0.25">
      <c r="A48116"/>
      <c r="B48116"/>
      <c r="C48116"/>
      <c r="E48116"/>
      <c r="F48116"/>
    </row>
    <row r="48117" spans="1:6" x14ac:dyDescent="0.25">
      <c r="A48117"/>
      <c r="B48117"/>
      <c r="C48117"/>
      <c r="E48117"/>
      <c r="F48117"/>
    </row>
    <row r="48118" spans="1:6" x14ac:dyDescent="0.25">
      <c r="A48118"/>
      <c r="B48118"/>
      <c r="C48118"/>
      <c r="E48118"/>
      <c r="F48118"/>
    </row>
    <row r="48119" spans="1:6" x14ac:dyDescent="0.25">
      <c r="A48119"/>
      <c r="B48119"/>
      <c r="C48119"/>
      <c r="E48119"/>
      <c r="F48119"/>
    </row>
    <row r="48120" spans="1:6" x14ac:dyDescent="0.25">
      <c r="A48120"/>
      <c r="B48120"/>
      <c r="C48120"/>
      <c r="E48120"/>
      <c r="F48120"/>
    </row>
    <row r="48121" spans="1:6" x14ac:dyDescent="0.25">
      <c r="A48121"/>
      <c r="B48121"/>
      <c r="C48121"/>
      <c r="E48121"/>
      <c r="F48121"/>
    </row>
    <row r="48122" spans="1:6" x14ac:dyDescent="0.25">
      <c r="A48122"/>
      <c r="B48122"/>
      <c r="C48122"/>
      <c r="E48122"/>
      <c r="F48122"/>
    </row>
    <row r="48123" spans="1:6" x14ac:dyDescent="0.25">
      <c r="A48123"/>
      <c r="B48123"/>
      <c r="C48123"/>
      <c r="E48123"/>
      <c r="F48123"/>
    </row>
    <row r="48124" spans="1:6" x14ac:dyDescent="0.25">
      <c r="A48124"/>
      <c r="B48124"/>
      <c r="C48124"/>
      <c r="E48124"/>
      <c r="F48124"/>
    </row>
    <row r="48125" spans="1:6" x14ac:dyDescent="0.25">
      <c r="A48125"/>
      <c r="B48125"/>
      <c r="C48125"/>
      <c r="E48125"/>
      <c r="F48125"/>
    </row>
    <row r="48126" spans="1:6" x14ac:dyDescent="0.25">
      <c r="A48126"/>
      <c r="B48126"/>
      <c r="C48126"/>
      <c r="E48126"/>
      <c r="F48126"/>
    </row>
    <row r="48127" spans="1:6" x14ac:dyDescent="0.25">
      <c r="A48127"/>
      <c r="B48127"/>
      <c r="C48127"/>
      <c r="E48127"/>
      <c r="F48127"/>
    </row>
    <row r="48128" spans="1:6" x14ac:dyDescent="0.25">
      <c r="A48128"/>
      <c r="B48128"/>
      <c r="C48128"/>
      <c r="E48128"/>
      <c r="F48128"/>
    </row>
    <row r="48129" spans="1:6" x14ac:dyDescent="0.25">
      <c r="A48129"/>
      <c r="B48129"/>
      <c r="C48129"/>
      <c r="E48129"/>
      <c r="F48129"/>
    </row>
    <row r="48130" spans="1:6" x14ac:dyDescent="0.25">
      <c r="A48130"/>
      <c r="B48130"/>
      <c r="C48130"/>
      <c r="E48130"/>
      <c r="F48130"/>
    </row>
    <row r="48131" spans="1:6" x14ac:dyDescent="0.25">
      <c r="A48131"/>
      <c r="B48131"/>
      <c r="C48131"/>
      <c r="E48131"/>
      <c r="F48131"/>
    </row>
    <row r="48132" spans="1:6" x14ac:dyDescent="0.25">
      <c r="A48132"/>
      <c r="B48132"/>
      <c r="C48132"/>
      <c r="E48132"/>
      <c r="F48132"/>
    </row>
    <row r="48133" spans="1:6" x14ac:dyDescent="0.25">
      <c r="A48133"/>
      <c r="B48133"/>
      <c r="C48133"/>
      <c r="E48133"/>
      <c r="F48133"/>
    </row>
    <row r="48134" spans="1:6" x14ac:dyDescent="0.25">
      <c r="A48134"/>
      <c r="B48134"/>
      <c r="C48134"/>
      <c r="E48134"/>
      <c r="F48134"/>
    </row>
    <row r="48135" spans="1:6" x14ac:dyDescent="0.25">
      <c r="A48135"/>
      <c r="B48135"/>
      <c r="C48135"/>
      <c r="E48135"/>
      <c r="F48135"/>
    </row>
    <row r="48136" spans="1:6" x14ac:dyDescent="0.25">
      <c r="A48136"/>
      <c r="B48136"/>
      <c r="C48136"/>
      <c r="E48136"/>
      <c r="F48136"/>
    </row>
    <row r="48137" spans="1:6" x14ac:dyDescent="0.25">
      <c r="A48137"/>
      <c r="B48137"/>
      <c r="C48137"/>
      <c r="E48137"/>
      <c r="F48137"/>
    </row>
    <row r="48138" spans="1:6" x14ac:dyDescent="0.25">
      <c r="A48138"/>
      <c r="B48138"/>
      <c r="C48138"/>
      <c r="E48138"/>
      <c r="F48138"/>
    </row>
    <row r="48139" spans="1:6" x14ac:dyDescent="0.25">
      <c r="A48139"/>
      <c r="B48139"/>
      <c r="C48139"/>
      <c r="E48139"/>
      <c r="F48139"/>
    </row>
    <row r="48140" spans="1:6" x14ac:dyDescent="0.25">
      <c r="A48140"/>
      <c r="B48140"/>
      <c r="C48140"/>
      <c r="E48140"/>
      <c r="F48140"/>
    </row>
    <row r="48141" spans="1:6" x14ac:dyDescent="0.25">
      <c r="A48141"/>
      <c r="B48141"/>
      <c r="C48141"/>
      <c r="E48141"/>
      <c r="F48141"/>
    </row>
    <row r="48142" spans="1:6" x14ac:dyDescent="0.25">
      <c r="A48142"/>
      <c r="B48142"/>
      <c r="C48142"/>
      <c r="E48142"/>
      <c r="F48142"/>
    </row>
    <row r="48143" spans="1:6" x14ac:dyDescent="0.25">
      <c r="A48143"/>
      <c r="B48143"/>
      <c r="C48143"/>
      <c r="E48143"/>
      <c r="F48143"/>
    </row>
    <row r="48144" spans="1:6" x14ac:dyDescent="0.25">
      <c r="A48144"/>
      <c r="B48144"/>
      <c r="C48144"/>
      <c r="E48144"/>
      <c r="F48144"/>
    </row>
    <row r="48145" spans="1:6" x14ac:dyDescent="0.25">
      <c r="A48145"/>
      <c r="B48145"/>
      <c r="C48145"/>
      <c r="E48145"/>
      <c r="F48145"/>
    </row>
    <row r="48146" spans="1:6" x14ac:dyDescent="0.25">
      <c r="A48146"/>
      <c r="B48146"/>
      <c r="C48146"/>
      <c r="E48146"/>
      <c r="F48146"/>
    </row>
    <row r="48147" spans="1:6" x14ac:dyDescent="0.25">
      <c r="A48147"/>
      <c r="B48147"/>
      <c r="C48147"/>
      <c r="E48147"/>
      <c r="F48147"/>
    </row>
    <row r="48148" spans="1:6" x14ac:dyDescent="0.25">
      <c r="A48148"/>
      <c r="B48148"/>
      <c r="C48148"/>
      <c r="E48148"/>
      <c r="F48148"/>
    </row>
    <row r="48149" spans="1:6" x14ac:dyDescent="0.25">
      <c r="A48149"/>
      <c r="B48149"/>
      <c r="C48149"/>
      <c r="E48149"/>
      <c r="F48149"/>
    </row>
    <row r="48150" spans="1:6" x14ac:dyDescent="0.25">
      <c r="A48150"/>
      <c r="B48150"/>
      <c r="C48150"/>
      <c r="E48150"/>
      <c r="F48150"/>
    </row>
    <row r="48151" spans="1:6" x14ac:dyDescent="0.25">
      <c r="A48151"/>
      <c r="B48151"/>
      <c r="C48151"/>
      <c r="E48151"/>
      <c r="F48151"/>
    </row>
    <row r="48152" spans="1:6" x14ac:dyDescent="0.25">
      <c r="A48152"/>
      <c r="B48152"/>
      <c r="C48152"/>
      <c r="E48152"/>
      <c r="F48152"/>
    </row>
    <row r="48153" spans="1:6" x14ac:dyDescent="0.25">
      <c r="A48153"/>
      <c r="B48153"/>
      <c r="C48153"/>
      <c r="E48153"/>
      <c r="F48153"/>
    </row>
    <row r="48154" spans="1:6" x14ac:dyDescent="0.25">
      <c r="A48154"/>
      <c r="B48154"/>
      <c r="C48154"/>
      <c r="E48154"/>
      <c r="F48154"/>
    </row>
    <row r="48155" spans="1:6" x14ac:dyDescent="0.25">
      <c r="A48155"/>
      <c r="B48155"/>
      <c r="C48155"/>
      <c r="E48155"/>
      <c r="F48155"/>
    </row>
    <row r="48156" spans="1:6" x14ac:dyDescent="0.25">
      <c r="A48156"/>
      <c r="B48156"/>
      <c r="C48156"/>
      <c r="E48156"/>
      <c r="F48156"/>
    </row>
    <row r="48157" spans="1:6" x14ac:dyDescent="0.25">
      <c r="A48157"/>
      <c r="B48157"/>
      <c r="C48157"/>
      <c r="E48157"/>
      <c r="F48157"/>
    </row>
    <row r="48158" spans="1:6" x14ac:dyDescent="0.25">
      <c r="A48158"/>
      <c r="B48158"/>
      <c r="C48158"/>
      <c r="E48158"/>
      <c r="F48158"/>
    </row>
    <row r="48159" spans="1:6" x14ac:dyDescent="0.25">
      <c r="A48159"/>
      <c r="B48159"/>
      <c r="C48159"/>
      <c r="E48159"/>
      <c r="F48159"/>
    </row>
    <row r="48160" spans="1:6" x14ac:dyDescent="0.25">
      <c r="A48160"/>
      <c r="B48160"/>
      <c r="C48160"/>
      <c r="E48160"/>
      <c r="F48160"/>
    </row>
    <row r="48161" spans="1:6" x14ac:dyDescent="0.25">
      <c r="A48161"/>
      <c r="B48161"/>
      <c r="C48161"/>
      <c r="E48161"/>
      <c r="F48161"/>
    </row>
    <row r="48162" spans="1:6" x14ac:dyDescent="0.25">
      <c r="A48162"/>
      <c r="B48162"/>
      <c r="C48162"/>
      <c r="E48162"/>
      <c r="F48162"/>
    </row>
    <row r="48163" spans="1:6" x14ac:dyDescent="0.25">
      <c r="A48163"/>
      <c r="B48163"/>
      <c r="C48163"/>
      <c r="E48163"/>
      <c r="F48163"/>
    </row>
    <row r="48164" spans="1:6" x14ac:dyDescent="0.25">
      <c r="A48164"/>
      <c r="B48164"/>
      <c r="C48164"/>
      <c r="E48164"/>
      <c r="F48164"/>
    </row>
    <row r="48165" spans="1:6" x14ac:dyDescent="0.25">
      <c r="A48165"/>
      <c r="B48165"/>
      <c r="C48165"/>
      <c r="E48165"/>
      <c r="F48165"/>
    </row>
    <row r="48166" spans="1:6" x14ac:dyDescent="0.25">
      <c r="A48166"/>
      <c r="B48166"/>
      <c r="C48166"/>
      <c r="E48166"/>
      <c r="F48166"/>
    </row>
    <row r="48167" spans="1:6" x14ac:dyDescent="0.25">
      <c r="A48167"/>
      <c r="B48167"/>
      <c r="C48167"/>
      <c r="E48167"/>
      <c r="F48167"/>
    </row>
    <row r="48168" spans="1:6" x14ac:dyDescent="0.25">
      <c r="A48168"/>
      <c r="B48168"/>
      <c r="C48168"/>
      <c r="E48168"/>
      <c r="F48168"/>
    </row>
    <row r="48169" spans="1:6" x14ac:dyDescent="0.25">
      <c r="A48169"/>
      <c r="B48169"/>
      <c r="C48169"/>
      <c r="E48169"/>
      <c r="F48169"/>
    </row>
    <row r="48170" spans="1:6" x14ac:dyDescent="0.25">
      <c r="A48170"/>
      <c r="B48170"/>
      <c r="C48170"/>
      <c r="E48170"/>
      <c r="F48170"/>
    </row>
    <row r="48171" spans="1:6" x14ac:dyDescent="0.25">
      <c r="A48171"/>
      <c r="B48171"/>
      <c r="C48171"/>
      <c r="E48171"/>
      <c r="F48171"/>
    </row>
    <row r="48172" spans="1:6" x14ac:dyDescent="0.25">
      <c r="A48172"/>
      <c r="B48172"/>
      <c r="C48172"/>
      <c r="E48172"/>
      <c r="F48172"/>
    </row>
    <row r="48173" spans="1:6" x14ac:dyDescent="0.25">
      <c r="A48173"/>
      <c r="B48173"/>
      <c r="C48173"/>
      <c r="E48173"/>
      <c r="F48173"/>
    </row>
    <row r="48174" spans="1:6" x14ac:dyDescent="0.25">
      <c r="A48174"/>
      <c r="B48174"/>
      <c r="C48174"/>
      <c r="E48174"/>
      <c r="F48174"/>
    </row>
    <row r="48175" spans="1:6" x14ac:dyDescent="0.25">
      <c r="A48175"/>
      <c r="B48175"/>
      <c r="C48175"/>
      <c r="E48175"/>
      <c r="F48175"/>
    </row>
    <row r="48176" spans="1:6" x14ac:dyDescent="0.25">
      <c r="A48176"/>
      <c r="B48176"/>
      <c r="C48176"/>
      <c r="E48176"/>
      <c r="F48176"/>
    </row>
    <row r="48177" spans="1:6" x14ac:dyDescent="0.25">
      <c r="A48177"/>
      <c r="B48177"/>
      <c r="C48177"/>
      <c r="E48177"/>
      <c r="F48177"/>
    </row>
    <row r="48178" spans="1:6" x14ac:dyDescent="0.25">
      <c r="A48178"/>
      <c r="B48178"/>
      <c r="C48178"/>
      <c r="E48178"/>
      <c r="F48178"/>
    </row>
    <row r="48179" spans="1:6" x14ac:dyDescent="0.25">
      <c r="A48179"/>
      <c r="B48179"/>
      <c r="C48179"/>
      <c r="E48179"/>
      <c r="F48179"/>
    </row>
    <row r="48180" spans="1:6" x14ac:dyDescent="0.25">
      <c r="A48180"/>
      <c r="B48180"/>
      <c r="C48180"/>
      <c r="E48180"/>
      <c r="F48180"/>
    </row>
    <row r="48181" spans="1:6" x14ac:dyDescent="0.25">
      <c r="A48181"/>
      <c r="B48181"/>
      <c r="C48181"/>
      <c r="E48181"/>
      <c r="F48181"/>
    </row>
    <row r="48182" spans="1:6" x14ac:dyDescent="0.25">
      <c r="A48182"/>
      <c r="B48182"/>
      <c r="C48182"/>
      <c r="E48182"/>
      <c r="F48182"/>
    </row>
    <row r="48183" spans="1:6" x14ac:dyDescent="0.25">
      <c r="A48183"/>
      <c r="B48183"/>
      <c r="C48183"/>
      <c r="E48183"/>
      <c r="F48183"/>
    </row>
    <row r="48184" spans="1:6" x14ac:dyDescent="0.25">
      <c r="A48184"/>
      <c r="B48184"/>
      <c r="C48184"/>
      <c r="E48184"/>
      <c r="F48184"/>
    </row>
    <row r="48185" spans="1:6" x14ac:dyDescent="0.25">
      <c r="A48185"/>
      <c r="B48185"/>
      <c r="C48185"/>
      <c r="E48185"/>
      <c r="F48185"/>
    </row>
    <row r="48186" spans="1:6" x14ac:dyDescent="0.25">
      <c r="A48186"/>
      <c r="B48186"/>
      <c r="C48186"/>
      <c r="E48186"/>
      <c r="F48186"/>
    </row>
    <row r="48187" spans="1:6" x14ac:dyDescent="0.25">
      <c r="A48187"/>
      <c r="B48187"/>
      <c r="C48187"/>
      <c r="E48187"/>
      <c r="F48187"/>
    </row>
    <row r="48188" spans="1:6" x14ac:dyDescent="0.25">
      <c r="A48188"/>
      <c r="B48188"/>
      <c r="C48188"/>
      <c r="E48188"/>
      <c r="F48188"/>
    </row>
    <row r="48189" spans="1:6" x14ac:dyDescent="0.25">
      <c r="A48189"/>
      <c r="B48189"/>
      <c r="C48189"/>
      <c r="E48189"/>
      <c r="F48189"/>
    </row>
    <row r="48190" spans="1:6" x14ac:dyDescent="0.25">
      <c r="A48190"/>
      <c r="B48190"/>
      <c r="C48190"/>
      <c r="E48190"/>
      <c r="F48190"/>
    </row>
    <row r="48191" spans="1:6" x14ac:dyDescent="0.25">
      <c r="A48191"/>
      <c r="B48191"/>
      <c r="C48191"/>
      <c r="E48191"/>
      <c r="F48191"/>
    </row>
    <row r="48192" spans="1:6" x14ac:dyDescent="0.25">
      <c r="A48192"/>
      <c r="B48192"/>
      <c r="C48192"/>
      <c r="E48192"/>
      <c r="F48192"/>
    </row>
    <row r="48193" spans="1:6" x14ac:dyDescent="0.25">
      <c r="A48193"/>
      <c r="B48193"/>
      <c r="C48193"/>
      <c r="E48193"/>
      <c r="F48193"/>
    </row>
    <row r="48194" spans="1:6" x14ac:dyDescent="0.25">
      <c r="A48194"/>
      <c r="B48194"/>
      <c r="C48194"/>
      <c r="E48194"/>
      <c r="F48194"/>
    </row>
    <row r="48195" spans="1:6" x14ac:dyDescent="0.25">
      <c r="A48195"/>
      <c r="B48195"/>
      <c r="C48195"/>
      <c r="E48195"/>
      <c r="F48195"/>
    </row>
    <row r="48196" spans="1:6" x14ac:dyDescent="0.25">
      <c r="A48196"/>
      <c r="B48196"/>
      <c r="C48196"/>
      <c r="E48196"/>
      <c r="F48196"/>
    </row>
    <row r="48197" spans="1:6" x14ac:dyDescent="0.25">
      <c r="A48197"/>
      <c r="B48197"/>
      <c r="C48197"/>
      <c r="E48197"/>
      <c r="F48197"/>
    </row>
    <row r="48198" spans="1:6" x14ac:dyDescent="0.25">
      <c r="A48198"/>
      <c r="B48198"/>
      <c r="C48198"/>
      <c r="E48198"/>
      <c r="F48198"/>
    </row>
    <row r="48199" spans="1:6" x14ac:dyDescent="0.25">
      <c r="A48199"/>
      <c r="B48199"/>
      <c r="C48199"/>
      <c r="E48199"/>
      <c r="F48199"/>
    </row>
    <row r="48200" spans="1:6" x14ac:dyDescent="0.25">
      <c r="A48200"/>
      <c r="B48200"/>
      <c r="C48200"/>
      <c r="E48200"/>
      <c r="F48200"/>
    </row>
    <row r="48201" spans="1:6" x14ac:dyDescent="0.25">
      <c r="A48201"/>
      <c r="B48201"/>
      <c r="C48201"/>
      <c r="E48201"/>
      <c r="F48201"/>
    </row>
    <row r="48202" spans="1:6" x14ac:dyDescent="0.25">
      <c r="A48202"/>
      <c r="B48202"/>
      <c r="C48202"/>
      <c r="E48202"/>
      <c r="F48202"/>
    </row>
    <row r="48203" spans="1:6" x14ac:dyDescent="0.25">
      <c r="A48203"/>
      <c r="B48203"/>
      <c r="C48203"/>
      <c r="E48203"/>
      <c r="F48203"/>
    </row>
    <row r="48204" spans="1:6" x14ac:dyDescent="0.25">
      <c r="A48204"/>
      <c r="B48204"/>
      <c r="C48204"/>
      <c r="E48204"/>
      <c r="F48204"/>
    </row>
    <row r="48205" spans="1:6" x14ac:dyDescent="0.25">
      <c r="A48205"/>
      <c r="B48205"/>
      <c r="C48205"/>
      <c r="E48205"/>
      <c r="F48205"/>
    </row>
    <row r="48206" spans="1:6" x14ac:dyDescent="0.25">
      <c r="A48206"/>
      <c r="B48206"/>
      <c r="C48206"/>
      <c r="E48206"/>
      <c r="F48206"/>
    </row>
    <row r="48207" spans="1:6" x14ac:dyDescent="0.25">
      <c r="A48207"/>
      <c r="B48207"/>
      <c r="C48207"/>
      <c r="E48207"/>
      <c r="F48207"/>
    </row>
    <row r="48208" spans="1:6" x14ac:dyDescent="0.25">
      <c r="A48208"/>
      <c r="B48208"/>
      <c r="C48208"/>
      <c r="E48208"/>
      <c r="F48208"/>
    </row>
    <row r="48209" spans="1:6" x14ac:dyDescent="0.25">
      <c r="A48209"/>
      <c r="B48209"/>
      <c r="C48209"/>
      <c r="E48209"/>
      <c r="F48209"/>
    </row>
    <row r="48210" spans="1:6" x14ac:dyDescent="0.25">
      <c r="A48210"/>
      <c r="B48210"/>
      <c r="C48210"/>
      <c r="E48210"/>
      <c r="F48210"/>
    </row>
    <row r="48211" spans="1:6" x14ac:dyDescent="0.25">
      <c r="A48211"/>
      <c r="B48211"/>
      <c r="C48211"/>
      <c r="E48211"/>
      <c r="F48211"/>
    </row>
    <row r="48212" spans="1:6" x14ac:dyDescent="0.25">
      <c r="A48212"/>
      <c r="B48212"/>
      <c r="C48212"/>
      <c r="E48212"/>
      <c r="F48212"/>
    </row>
    <row r="48213" spans="1:6" x14ac:dyDescent="0.25">
      <c r="A48213"/>
      <c r="B48213"/>
      <c r="C48213"/>
      <c r="E48213"/>
      <c r="F48213"/>
    </row>
    <row r="48214" spans="1:6" x14ac:dyDescent="0.25">
      <c r="A48214"/>
      <c r="B48214"/>
      <c r="C48214"/>
      <c r="E48214"/>
      <c r="F48214"/>
    </row>
    <row r="48215" spans="1:6" x14ac:dyDescent="0.25">
      <c r="A48215"/>
      <c r="B48215"/>
      <c r="C48215"/>
      <c r="E48215"/>
      <c r="F48215"/>
    </row>
    <row r="48216" spans="1:6" x14ac:dyDescent="0.25">
      <c r="A48216"/>
      <c r="B48216"/>
      <c r="C48216"/>
      <c r="E48216"/>
      <c r="F48216"/>
    </row>
    <row r="48217" spans="1:6" x14ac:dyDescent="0.25">
      <c r="A48217"/>
      <c r="B48217"/>
      <c r="C48217"/>
      <c r="E48217"/>
      <c r="F48217"/>
    </row>
    <row r="48218" spans="1:6" x14ac:dyDescent="0.25">
      <c r="A48218"/>
      <c r="B48218"/>
      <c r="C48218"/>
      <c r="E48218"/>
      <c r="F48218"/>
    </row>
    <row r="48219" spans="1:6" x14ac:dyDescent="0.25">
      <c r="A48219"/>
      <c r="B48219"/>
      <c r="C48219"/>
      <c r="E48219"/>
      <c r="F48219"/>
    </row>
    <row r="48220" spans="1:6" x14ac:dyDescent="0.25">
      <c r="A48220"/>
      <c r="B48220"/>
      <c r="C48220"/>
      <c r="E48220"/>
      <c r="F48220"/>
    </row>
    <row r="48221" spans="1:6" x14ac:dyDescent="0.25">
      <c r="A48221"/>
      <c r="B48221"/>
      <c r="C48221"/>
      <c r="E48221"/>
      <c r="F48221"/>
    </row>
    <row r="48222" spans="1:6" x14ac:dyDescent="0.25">
      <c r="A48222"/>
      <c r="B48222"/>
      <c r="C48222"/>
      <c r="E48222"/>
      <c r="F48222"/>
    </row>
    <row r="48223" spans="1:6" x14ac:dyDescent="0.25">
      <c r="A48223"/>
      <c r="B48223"/>
      <c r="C48223"/>
      <c r="E48223"/>
      <c r="F48223"/>
    </row>
    <row r="48224" spans="1:6" x14ac:dyDescent="0.25">
      <c r="A48224"/>
      <c r="B48224"/>
      <c r="C48224"/>
      <c r="E48224"/>
      <c r="F48224"/>
    </row>
    <row r="48225" spans="1:6" x14ac:dyDescent="0.25">
      <c r="A48225"/>
      <c r="B48225"/>
      <c r="C48225"/>
      <c r="E48225"/>
      <c r="F48225"/>
    </row>
    <row r="48226" spans="1:6" x14ac:dyDescent="0.25">
      <c r="A48226"/>
      <c r="B48226"/>
      <c r="C48226"/>
      <c r="E48226"/>
      <c r="F48226"/>
    </row>
    <row r="48227" spans="1:6" x14ac:dyDescent="0.25">
      <c r="A48227"/>
      <c r="B48227"/>
      <c r="C48227"/>
      <c r="E48227"/>
      <c r="F48227"/>
    </row>
    <row r="48228" spans="1:6" x14ac:dyDescent="0.25">
      <c r="A48228"/>
      <c r="B48228"/>
      <c r="C48228"/>
      <c r="E48228"/>
      <c r="F48228"/>
    </row>
    <row r="48229" spans="1:6" x14ac:dyDescent="0.25">
      <c r="A48229"/>
      <c r="B48229"/>
      <c r="C48229"/>
      <c r="E48229"/>
      <c r="F48229"/>
    </row>
    <row r="48230" spans="1:6" x14ac:dyDescent="0.25">
      <c r="A48230"/>
      <c r="B48230"/>
      <c r="C48230"/>
      <c r="E48230"/>
      <c r="F48230"/>
    </row>
    <row r="48231" spans="1:6" x14ac:dyDescent="0.25">
      <c r="A48231"/>
      <c r="B48231"/>
      <c r="C48231"/>
      <c r="E48231"/>
      <c r="F48231"/>
    </row>
    <row r="48232" spans="1:6" x14ac:dyDescent="0.25">
      <c r="A48232"/>
      <c r="B48232"/>
      <c r="C48232"/>
      <c r="E48232"/>
      <c r="F48232"/>
    </row>
    <row r="48233" spans="1:6" x14ac:dyDescent="0.25">
      <c r="A48233"/>
      <c r="B48233"/>
      <c r="C48233"/>
      <c r="E48233"/>
      <c r="F48233"/>
    </row>
    <row r="48234" spans="1:6" x14ac:dyDescent="0.25">
      <c r="A48234"/>
      <c r="B48234"/>
      <c r="C48234"/>
      <c r="E48234"/>
      <c r="F48234"/>
    </row>
    <row r="48235" spans="1:6" x14ac:dyDescent="0.25">
      <c r="A48235"/>
      <c r="B48235"/>
      <c r="C48235"/>
      <c r="E48235"/>
      <c r="F48235"/>
    </row>
    <row r="48236" spans="1:6" x14ac:dyDescent="0.25">
      <c r="A48236"/>
      <c r="B48236"/>
      <c r="C48236"/>
      <c r="E48236"/>
      <c r="F48236"/>
    </row>
    <row r="48237" spans="1:6" x14ac:dyDescent="0.25">
      <c r="A48237"/>
      <c r="B48237"/>
      <c r="C48237"/>
      <c r="E48237"/>
      <c r="F48237"/>
    </row>
    <row r="48238" spans="1:6" x14ac:dyDescent="0.25">
      <c r="A48238"/>
      <c r="B48238"/>
      <c r="C48238"/>
      <c r="E48238"/>
      <c r="F48238"/>
    </row>
    <row r="48239" spans="1:6" x14ac:dyDescent="0.25">
      <c r="A48239"/>
      <c r="B48239"/>
      <c r="C48239"/>
      <c r="E48239"/>
      <c r="F48239"/>
    </row>
    <row r="48240" spans="1:6" x14ac:dyDescent="0.25">
      <c r="A48240"/>
      <c r="B48240"/>
      <c r="C48240"/>
      <c r="E48240"/>
      <c r="F48240"/>
    </row>
    <row r="48241" spans="1:6" x14ac:dyDescent="0.25">
      <c r="A48241"/>
      <c r="B48241"/>
      <c r="C48241"/>
      <c r="E48241"/>
      <c r="F48241"/>
    </row>
    <row r="48242" spans="1:6" x14ac:dyDescent="0.25">
      <c r="A48242"/>
      <c r="B48242"/>
      <c r="C48242"/>
      <c r="E48242"/>
      <c r="F48242"/>
    </row>
    <row r="48243" spans="1:6" x14ac:dyDescent="0.25">
      <c r="A48243"/>
      <c r="B48243"/>
      <c r="C48243"/>
      <c r="E48243"/>
      <c r="F48243"/>
    </row>
    <row r="48244" spans="1:6" x14ac:dyDescent="0.25">
      <c r="A48244"/>
      <c r="B48244"/>
      <c r="C48244"/>
      <c r="E48244"/>
      <c r="F48244"/>
    </row>
    <row r="48245" spans="1:6" x14ac:dyDescent="0.25">
      <c r="A48245"/>
      <c r="B48245"/>
      <c r="C48245"/>
      <c r="E48245"/>
      <c r="F48245"/>
    </row>
    <row r="48246" spans="1:6" x14ac:dyDescent="0.25">
      <c r="A48246"/>
      <c r="B48246"/>
      <c r="C48246"/>
      <c r="E48246"/>
      <c r="F48246"/>
    </row>
    <row r="48247" spans="1:6" x14ac:dyDescent="0.25">
      <c r="A48247"/>
      <c r="B48247"/>
      <c r="C48247"/>
      <c r="E48247"/>
      <c r="F48247"/>
    </row>
    <row r="48248" spans="1:6" x14ac:dyDescent="0.25">
      <c r="A48248"/>
      <c r="B48248"/>
      <c r="C48248"/>
      <c r="E48248"/>
      <c r="F48248"/>
    </row>
    <row r="48249" spans="1:6" x14ac:dyDescent="0.25">
      <c r="A48249"/>
      <c r="B48249"/>
      <c r="C48249"/>
      <c r="E48249"/>
      <c r="F48249"/>
    </row>
    <row r="48250" spans="1:6" x14ac:dyDescent="0.25">
      <c r="A48250"/>
      <c r="B48250"/>
      <c r="C48250"/>
      <c r="E48250"/>
      <c r="F48250"/>
    </row>
    <row r="48251" spans="1:6" x14ac:dyDescent="0.25">
      <c r="A48251"/>
      <c r="B48251"/>
      <c r="C48251"/>
      <c r="E48251"/>
      <c r="F48251"/>
    </row>
    <row r="48252" spans="1:6" x14ac:dyDescent="0.25">
      <c r="A48252"/>
      <c r="B48252"/>
      <c r="C48252"/>
      <c r="E48252"/>
      <c r="F48252"/>
    </row>
    <row r="48253" spans="1:6" x14ac:dyDescent="0.25">
      <c r="A48253"/>
      <c r="B48253"/>
      <c r="C48253"/>
      <c r="E48253"/>
      <c r="F48253"/>
    </row>
    <row r="48254" spans="1:6" x14ac:dyDescent="0.25">
      <c r="A48254"/>
      <c r="B48254"/>
      <c r="C48254"/>
      <c r="E48254"/>
      <c r="F48254"/>
    </row>
    <row r="48255" spans="1:6" x14ac:dyDescent="0.25">
      <c r="A48255"/>
      <c r="B48255"/>
      <c r="C48255"/>
      <c r="E48255"/>
      <c r="F48255"/>
    </row>
    <row r="48256" spans="1:6" x14ac:dyDescent="0.25">
      <c r="A48256"/>
      <c r="B48256"/>
      <c r="C48256"/>
      <c r="E48256"/>
      <c r="F48256"/>
    </row>
    <row r="48257" spans="1:6" x14ac:dyDescent="0.25">
      <c r="A48257"/>
      <c r="B48257"/>
      <c r="C48257"/>
      <c r="E48257"/>
      <c r="F48257"/>
    </row>
    <row r="48258" spans="1:6" x14ac:dyDescent="0.25">
      <c r="A48258"/>
      <c r="B48258"/>
      <c r="C48258"/>
      <c r="E48258"/>
      <c r="F48258"/>
    </row>
    <row r="48259" spans="1:6" x14ac:dyDescent="0.25">
      <c r="A48259"/>
      <c r="B48259"/>
      <c r="C48259"/>
      <c r="E48259"/>
      <c r="F48259"/>
    </row>
    <row r="48260" spans="1:6" x14ac:dyDescent="0.25">
      <c r="A48260"/>
      <c r="B48260"/>
      <c r="C48260"/>
      <c r="E48260"/>
      <c r="F48260"/>
    </row>
    <row r="48261" spans="1:6" x14ac:dyDescent="0.25">
      <c r="A48261"/>
      <c r="B48261"/>
      <c r="C48261"/>
      <c r="E48261"/>
      <c r="F48261"/>
    </row>
    <row r="48262" spans="1:6" x14ac:dyDescent="0.25">
      <c r="A48262"/>
      <c r="B48262"/>
      <c r="C48262"/>
      <c r="E48262"/>
      <c r="F48262"/>
    </row>
    <row r="48263" spans="1:6" x14ac:dyDescent="0.25">
      <c r="A48263"/>
      <c r="B48263"/>
      <c r="C48263"/>
      <c r="E48263"/>
      <c r="F48263"/>
    </row>
    <row r="48264" spans="1:6" x14ac:dyDescent="0.25">
      <c r="A48264"/>
      <c r="B48264"/>
      <c r="C48264"/>
      <c r="E48264"/>
      <c r="F48264"/>
    </row>
    <row r="48265" spans="1:6" x14ac:dyDescent="0.25">
      <c r="A48265"/>
      <c r="B48265"/>
      <c r="C48265"/>
      <c r="E48265"/>
      <c r="F48265"/>
    </row>
    <row r="48266" spans="1:6" x14ac:dyDescent="0.25">
      <c r="A48266"/>
      <c r="B48266"/>
      <c r="C48266"/>
      <c r="E48266"/>
      <c r="F48266"/>
    </row>
    <row r="48267" spans="1:6" x14ac:dyDescent="0.25">
      <c r="A48267"/>
      <c r="B48267"/>
      <c r="C48267"/>
      <c r="E48267"/>
      <c r="F48267"/>
    </row>
    <row r="48268" spans="1:6" x14ac:dyDescent="0.25">
      <c r="A48268"/>
      <c r="B48268"/>
      <c r="C48268"/>
      <c r="E48268"/>
      <c r="F48268"/>
    </row>
    <row r="48269" spans="1:6" x14ac:dyDescent="0.25">
      <c r="A48269"/>
      <c r="B48269"/>
      <c r="C48269"/>
      <c r="E48269"/>
      <c r="F48269"/>
    </row>
    <row r="48270" spans="1:6" x14ac:dyDescent="0.25">
      <c r="A48270"/>
      <c r="B48270"/>
      <c r="C48270"/>
      <c r="E48270"/>
      <c r="F48270"/>
    </row>
    <row r="48271" spans="1:6" x14ac:dyDescent="0.25">
      <c r="A48271"/>
      <c r="B48271"/>
      <c r="C48271"/>
      <c r="E48271"/>
      <c r="F48271"/>
    </row>
    <row r="48272" spans="1:6" x14ac:dyDescent="0.25">
      <c r="A48272"/>
      <c r="B48272"/>
      <c r="C48272"/>
      <c r="E48272"/>
      <c r="F48272"/>
    </row>
    <row r="48273" spans="1:6" x14ac:dyDescent="0.25">
      <c r="A48273"/>
      <c r="B48273"/>
      <c r="C48273"/>
      <c r="E48273"/>
      <c r="F48273"/>
    </row>
    <row r="48274" spans="1:6" x14ac:dyDescent="0.25">
      <c r="A48274"/>
      <c r="B48274"/>
      <c r="C48274"/>
      <c r="E48274"/>
      <c r="F48274"/>
    </row>
    <row r="48275" spans="1:6" x14ac:dyDescent="0.25">
      <c r="A48275"/>
      <c r="B48275"/>
      <c r="C48275"/>
      <c r="E48275"/>
      <c r="F48275"/>
    </row>
    <row r="48276" spans="1:6" x14ac:dyDescent="0.25">
      <c r="A48276"/>
      <c r="B48276"/>
      <c r="C48276"/>
      <c r="E48276"/>
      <c r="F48276"/>
    </row>
    <row r="48277" spans="1:6" x14ac:dyDescent="0.25">
      <c r="A48277"/>
      <c r="B48277"/>
      <c r="C48277"/>
      <c r="E48277"/>
      <c r="F48277"/>
    </row>
    <row r="48278" spans="1:6" x14ac:dyDescent="0.25">
      <c r="A48278"/>
      <c r="B48278"/>
      <c r="C48278"/>
      <c r="E48278"/>
      <c r="F48278"/>
    </row>
    <row r="48279" spans="1:6" x14ac:dyDescent="0.25">
      <c r="A48279"/>
      <c r="B48279"/>
      <c r="C48279"/>
      <c r="E48279"/>
      <c r="F48279"/>
    </row>
    <row r="48280" spans="1:6" x14ac:dyDescent="0.25">
      <c r="A48280"/>
      <c r="B48280"/>
      <c r="C48280"/>
      <c r="E48280"/>
      <c r="F48280"/>
    </row>
    <row r="48281" spans="1:6" x14ac:dyDescent="0.25">
      <c r="A48281"/>
      <c r="B48281"/>
      <c r="C48281"/>
      <c r="E48281"/>
      <c r="F48281"/>
    </row>
    <row r="48282" spans="1:6" x14ac:dyDescent="0.25">
      <c r="A48282"/>
      <c r="B48282"/>
      <c r="C48282"/>
      <c r="E48282"/>
      <c r="F48282"/>
    </row>
    <row r="48283" spans="1:6" x14ac:dyDescent="0.25">
      <c r="A48283"/>
      <c r="B48283"/>
      <c r="C48283"/>
      <c r="E48283"/>
      <c r="F48283"/>
    </row>
    <row r="48284" spans="1:6" x14ac:dyDescent="0.25">
      <c r="A48284"/>
      <c r="B48284"/>
      <c r="C48284"/>
      <c r="E48284"/>
      <c r="F48284"/>
    </row>
    <row r="48285" spans="1:6" x14ac:dyDescent="0.25">
      <c r="A48285"/>
      <c r="B48285"/>
      <c r="C48285"/>
      <c r="E48285"/>
      <c r="F48285"/>
    </row>
    <row r="48286" spans="1:6" x14ac:dyDescent="0.25">
      <c r="A48286"/>
      <c r="B48286"/>
      <c r="C48286"/>
      <c r="E48286"/>
      <c r="F48286"/>
    </row>
    <row r="48287" spans="1:6" x14ac:dyDescent="0.25">
      <c r="A48287"/>
      <c r="B48287"/>
      <c r="C48287"/>
      <c r="E48287"/>
      <c r="F48287"/>
    </row>
    <row r="48288" spans="1:6" x14ac:dyDescent="0.25">
      <c r="A48288"/>
      <c r="B48288"/>
      <c r="C48288"/>
      <c r="E48288"/>
      <c r="F48288"/>
    </row>
    <row r="48289" spans="1:6" x14ac:dyDescent="0.25">
      <c r="A48289"/>
      <c r="B48289"/>
      <c r="C48289"/>
      <c r="E48289"/>
      <c r="F48289"/>
    </row>
    <row r="48290" spans="1:6" x14ac:dyDescent="0.25">
      <c r="A48290"/>
      <c r="B48290"/>
      <c r="C48290"/>
      <c r="E48290"/>
      <c r="F48290"/>
    </row>
    <row r="48291" spans="1:6" x14ac:dyDescent="0.25">
      <c r="A48291"/>
      <c r="B48291"/>
      <c r="C48291"/>
      <c r="E48291"/>
      <c r="F48291"/>
    </row>
    <row r="48292" spans="1:6" x14ac:dyDescent="0.25">
      <c r="A48292"/>
      <c r="B48292"/>
      <c r="C48292"/>
      <c r="E48292"/>
      <c r="F48292"/>
    </row>
    <row r="48293" spans="1:6" x14ac:dyDescent="0.25">
      <c r="A48293"/>
      <c r="B48293"/>
      <c r="C48293"/>
      <c r="E48293"/>
      <c r="F48293"/>
    </row>
    <row r="48294" spans="1:6" x14ac:dyDescent="0.25">
      <c r="A48294"/>
      <c r="B48294"/>
      <c r="C48294"/>
      <c r="E48294"/>
      <c r="F48294"/>
    </row>
    <row r="48295" spans="1:6" x14ac:dyDescent="0.25">
      <c r="A48295"/>
      <c r="B48295"/>
      <c r="C48295"/>
      <c r="E48295"/>
      <c r="F48295"/>
    </row>
    <row r="48296" spans="1:6" x14ac:dyDescent="0.25">
      <c r="A48296"/>
      <c r="B48296"/>
      <c r="C48296"/>
      <c r="E48296"/>
      <c r="F48296"/>
    </row>
    <row r="48297" spans="1:6" x14ac:dyDescent="0.25">
      <c r="A48297"/>
      <c r="B48297"/>
      <c r="C48297"/>
      <c r="E48297"/>
      <c r="F48297"/>
    </row>
    <row r="48298" spans="1:6" x14ac:dyDescent="0.25">
      <c r="A48298"/>
      <c r="B48298"/>
      <c r="C48298"/>
      <c r="E48298"/>
      <c r="F48298"/>
    </row>
    <row r="48299" spans="1:6" x14ac:dyDescent="0.25">
      <c r="A48299"/>
      <c r="B48299"/>
      <c r="C48299"/>
      <c r="E48299"/>
      <c r="F48299"/>
    </row>
    <row r="48300" spans="1:6" x14ac:dyDescent="0.25">
      <c r="A48300"/>
      <c r="B48300"/>
      <c r="C48300"/>
      <c r="E48300"/>
      <c r="F48300"/>
    </row>
    <row r="48301" spans="1:6" x14ac:dyDescent="0.25">
      <c r="A48301"/>
      <c r="B48301"/>
      <c r="C48301"/>
      <c r="E48301"/>
      <c r="F48301"/>
    </row>
    <row r="48302" spans="1:6" x14ac:dyDescent="0.25">
      <c r="A48302"/>
      <c r="B48302"/>
      <c r="C48302"/>
      <c r="E48302"/>
      <c r="F48302"/>
    </row>
    <row r="48303" spans="1:6" x14ac:dyDescent="0.25">
      <c r="A48303"/>
      <c r="B48303"/>
      <c r="C48303"/>
      <c r="E48303"/>
      <c r="F48303"/>
    </row>
    <row r="48304" spans="1:6" x14ac:dyDescent="0.25">
      <c r="A48304"/>
      <c r="B48304"/>
      <c r="C48304"/>
      <c r="E48304"/>
      <c r="F48304"/>
    </row>
    <row r="48305" spans="1:6" x14ac:dyDescent="0.25">
      <c r="A48305"/>
      <c r="B48305"/>
      <c r="C48305"/>
      <c r="E48305"/>
      <c r="F48305"/>
    </row>
    <row r="48306" spans="1:6" x14ac:dyDescent="0.25">
      <c r="A48306"/>
      <c r="B48306"/>
      <c r="C48306"/>
      <c r="E48306"/>
      <c r="F48306"/>
    </row>
    <row r="48307" spans="1:6" x14ac:dyDescent="0.25">
      <c r="A48307"/>
      <c r="B48307"/>
      <c r="C48307"/>
      <c r="E48307"/>
      <c r="F48307"/>
    </row>
    <row r="48308" spans="1:6" x14ac:dyDescent="0.25">
      <c r="A48308"/>
      <c r="B48308"/>
      <c r="C48308"/>
      <c r="E48308"/>
      <c r="F48308"/>
    </row>
    <row r="48309" spans="1:6" x14ac:dyDescent="0.25">
      <c r="A48309"/>
      <c r="B48309"/>
      <c r="C48309"/>
      <c r="E48309"/>
      <c r="F48309"/>
    </row>
    <row r="48310" spans="1:6" x14ac:dyDescent="0.25">
      <c r="A48310"/>
      <c r="B48310"/>
      <c r="C48310"/>
      <c r="E48310"/>
      <c r="F48310"/>
    </row>
    <row r="48311" spans="1:6" x14ac:dyDescent="0.25">
      <c r="A48311"/>
      <c r="B48311"/>
      <c r="C48311"/>
      <c r="E48311"/>
      <c r="F48311"/>
    </row>
    <row r="48312" spans="1:6" x14ac:dyDescent="0.25">
      <c r="A48312"/>
      <c r="B48312"/>
      <c r="C48312"/>
      <c r="E48312"/>
      <c r="F48312"/>
    </row>
    <row r="48313" spans="1:6" x14ac:dyDescent="0.25">
      <c r="A48313"/>
      <c r="B48313"/>
      <c r="C48313"/>
      <c r="E48313"/>
      <c r="F48313"/>
    </row>
    <row r="48314" spans="1:6" x14ac:dyDescent="0.25">
      <c r="A48314"/>
      <c r="B48314"/>
      <c r="C48314"/>
      <c r="E48314"/>
      <c r="F48314"/>
    </row>
    <row r="48315" spans="1:6" x14ac:dyDescent="0.25">
      <c r="A48315"/>
      <c r="B48315"/>
      <c r="C48315"/>
      <c r="E48315"/>
      <c r="F48315"/>
    </row>
    <row r="48316" spans="1:6" x14ac:dyDescent="0.25">
      <c r="A48316"/>
      <c r="B48316"/>
      <c r="C48316"/>
      <c r="E48316"/>
      <c r="F48316"/>
    </row>
    <row r="48317" spans="1:6" x14ac:dyDescent="0.25">
      <c r="A48317"/>
      <c r="B48317"/>
      <c r="C48317"/>
      <c r="E48317"/>
      <c r="F48317"/>
    </row>
    <row r="48318" spans="1:6" x14ac:dyDescent="0.25">
      <c r="A48318"/>
      <c r="B48318"/>
      <c r="C48318"/>
      <c r="E48318"/>
      <c r="F48318"/>
    </row>
    <row r="48319" spans="1:6" x14ac:dyDescent="0.25">
      <c r="A48319"/>
      <c r="B48319"/>
      <c r="C48319"/>
      <c r="E48319"/>
      <c r="F48319"/>
    </row>
    <row r="48320" spans="1:6" x14ac:dyDescent="0.25">
      <c r="A48320"/>
      <c r="B48320"/>
      <c r="C48320"/>
      <c r="E48320"/>
      <c r="F48320"/>
    </row>
    <row r="48321" spans="1:6" x14ac:dyDescent="0.25">
      <c r="A48321"/>
      <c r="B48321"/>
      <c r="C48321"/>
      <c r="E48321"/>
      <c r="F48321"/>
    </row>
    <row r="48322" spans="1:6" x14ac:dyDescent="0.25">
      <c r="A48322"/>
      <c r="B48322"/>
      <c r="C48322"/>
      <c r="E48322"/>
      <c r="F48322"/>
    </row>
    <row r="48323" spans="1:6" x14ac:dyDescent="0.25">
      <c r="A48323"/>
      <c r="B48323"/>
      <c r="C48323"/>
      <c r="E48323"/>
      <c r="F48323"/>
    </row>
    <row r="48324" spans="1:6" x14ac:dyDescent="0.25">
      <c r="A48324"/>
      <c r="B48324"/>
      <c r="C48324"/>
      <c r="E48324"/>
      <c r="F48324"/>
    </row>
    <row r="48325" spans="1:6" x14ac:dyDescent="0.25">
      <c r="A48325"/>
      <c r="B48325"/>
      <c r="C48325"/>
      <c r="E48325"/>
      <c r="F48325"/>
    </row>
    <row r="48326" spans="1:6" x14ac:dyDescent="0.25">
      <c r="A48326"/>
      <c r="B48326"/>
      <c r="C48326"/>
      <c r="E48326"/>
      <c r="F48326"/>
    </row>
    <row r="48327" spans="1:6" x14ac:dyDescent="0.25">
      <c r="A48327"/>
      <c r="B48327"/>
      <c r="C48327"/>
      <c r="E48327"/>
      <c r="F48327"/>
    </row>
    <row r="48328" spans="1:6" x14ac:dyDescent="0.25">
      <c r="A48328"/>
      <c r="B48328"/>
      <c r="C48328"/>
      <c r="E48328"/>
      <c r="F48328"/>
    </row>
    <row r="48329" spans="1:6" x14ac:dyDescent="0.25">
      <c r="A48329"/>
      <c r="B48329"/>
      <c r="C48329"/>
      <c r="E48329"/>
      <c r="F48329"/>
    </row>
    <row r="48330" spans="1:6" x14ac:dyDescent="0.25">
      <c r="A48330"/>
      <c r="B48330"/>
      <c r="C48330"/>
      <c r="E48330"/>
      <c r="F48330"/>
    </row>
    <row r="48331" spans="1:6" x14ac:dyDescent="0.25">
      <c r="A48331"/>
      <c r="B48331"/>
      <c r="C48331"/>
      <c r="E48331"/>
      <c r="F48331"/>
    </row>
    <row r="48332" spans="1:6" x14ac:dyDescent="0.25">
      <c r="A48332"/>
      <c r="B48332"/>
      <c r="C48332"/>
      <c r="E48332"/>
      <c r="F48332"/>
    </row>
    <row r="48333" spans="1:6" x14ac:dyDescent="0.25">
      <c r="A48333"/>
      <c r="B48333"/>
      <c r="C48333"/>
      <c r="E48333"/>
      <c r="F48333"/>
    </row>
    <row r="48334" spans="1:6" x14ac:dyDescent="0.25">
      <c r="A48334"/>
      <c r="B48334"/>
      <c r="C48334"/>
      <c r="E48334"/>
      <c r="F48334"/>
    </row>
    <row r="48335" spans="1:6" x14ac:dyDescent="0.25">
      <c r="A48335"/>
      <c r="B48335"/>
      <c r="C48335"/>
      <c r="E48335"/>
      <c r="F48335"/>
    </row>
    <row r="48336" spans="1:6" x14ac:dyDescent="0.25">
      <c r="A48336"/>
      <c r="B48336"/>
      <c r="C48336"/>
      <c r="E48336"/>
      <c r="F48336"/>
    </row>
    <row r="48337" spans="1:6" x14ac:dyDescent="0.25">
      <c r="A48337"/>
      <c r="B48337"/>
      <c r="C48337"/>
      <c r="E48337"/>
      <c r="F48337"/>
    </row>
    <row r="48338" spans="1:6" x14ac:dyDescent="0.25">
      <c r="A48338"/>
      <c r="B48338"/>
      <c r="C48338"/>
      <c r="E48338"/>
      <c r="F48338"/>
    </row>
    <row r="48339" spans="1:6" x14ac:dyDescent="0.25">
      <c r="A48339"/>
      <c r="B48339"/>
      <c r="C48339"/>
      <c r="E48339"/>
      <c r="F48339"/>
    </row>
    <row r="48340" spans="1:6" x14ac:dyDescent="0.25">
      <c r="A48340"/>
      <c r="B48340"/>
      <c r="C48340"/>
      <c r="E48340"/>
      <c r="F48340"/>
    </row>
    <row r="48341" spans="1:6" x14ac:dyDescent="0.25">
      <c r="A48341"/>
      <c r="B48341"/>
      <c r="C48341"/>
      <c r="E48341"/>
      <c r="F48341"/>
    </row>
    <row r="48342" spans="1:6" x14ac:dyDescent="0.25">
      <c r="A48342"/>
      <c r="B48342"/>
      <c r="C48342"/>
      <c r="E48342"/>
      <c r="F48342"/>
    </row>
    <row r="48343" spans="1:6" x14ac:dyDescent="0.25">
      <c r="A48343"/>
      <c r="B48343"/>
      <c r="C48343"/>
      <c r="E48343"/>
      <c r="F48343"/>
    </row>
    <row r="48344" spans="1:6" x14ac:dyDescent="0.25">
      <c r="A48344"/>
      <c r="B48344"/>
      <c r="C48344"/>
      <c r="E48344"/>
      <c r="F48344"/>
    </row>
    <row r="48345" spans="1:6" x14ac:dyDescent="0.25">
      <c r="A48345"/>
      <c r="B48345"/>
      <c r="C48345"/>
      <c r="E48345"/>
      <c r="F48345"/>
    </row>
    <row r="48346" spans="1:6" x14ac:dyDescent="0.25">
      <c r="A48346"/>
      <c r="B48346"/>
      <c r="C48346"/>
      <c r="E48346"/>
      <c r="F48346"/>
    </row>
    <row r="48347" spans="1:6" x14ac:dyDescent="0.25">
      <c r="A48347"/>
      <c r="B48347"/>
      <c r="C48347"/>
      <c r="E48347"/>
      <c r="F48347"/>
    </row>
    <row r="48348" spans="1:6" x14ac:dyDescent="0.25">
      <c r="A48348"/>
      <c r="B48348"/>
      <c r="C48348"/>
      <c r="E48348"/>
      <c r="F48348"/>
    </row>
    <row r="48349" spans="1:6" x14ac:dyDescent="0.25">
      <c r="A48349"/>
      <c r="B48349"/>
      <c r="C48349"/>
      <c r="E48349"/>
      <c r="F48349"/>
    </row>
    <row r="48350" spans="1:6" x14ac:dyDescent="0.25">
      <c r="A48350"/>
      <c r="B48350"/>
      <c r="C48350"/>
      <c r="E48350"/>
      <c r="F48350"/>
    </row>
    <row r="48351" spans="1:6" x14ac:dyDescent="0.25">
      <c r="A48351"/>
      <c r="B48351"/>
      <c r="C48351"/>
      <c r="E48351"/>
      <c r="F48351"/>
    </row>
    <row r="48352" spans="1:6" x14ac:dyDescent="0.25">
      <c r="A48352"/>
      <c r="B48352"/>
      <c r="C48352"/>
      <c r="E48352"/>
      <c r="F48352"/>
    </row>
    <row r="48353" spans="1:6" x14ac:dyDescent="0.25">
      <c r="A48353"/>
      <c r="B48353"/>
      <c r="C48353"/>
      <c r="E48353"/>
      <c r="F48353"/>
    </row>
    <row r="48354" spans="1:6" x14ac:dyDescent="0.25">
      <c r="A48354"/>
      <c r="B48354"/>
      <c r="C48354"/>
      <c r="E48354"/>
      <c r="F48354"/>
    </row>
    <row r="48355" spans="1:6" x14ac:dyDescent="0.25">
      <c r="A48355"/>
      <c r="B48355"/>
      <c r="C48355"/>
      <c r="E48355"/>
      <c r="F48355"/>
    </row>
    <row r="48356" spans="1:6" x14ac:dyDescent="0.25">
      <c r="A48356"/>
      <c r="B48356"/>
      <c r="C48356"/>
      <c r="E48356"/>
      <c r="F48356"/>
    </row>
    <row r="48357" spans="1:6" x14ac:dyDescent="0.25">
      <c r="A48357"/>
      <c r="B48357"/>
      <c r="C48357"/>
      <c r="E48357"/>
      <c r="F48357"/>
    </row>
    <row r="48358" spans="1:6" x14ac:dyDescent="0.25">
      <c r="A48358"/>
      <c r="B48358"/>
      <c r="C48358"/>
      <c r="E48358"/>
      <c r="F48358"/>
    </row>
    <row r="48359" spans="1:6" x14ac:dyDescent="0.25">
      <c r="A48359"/>
      <c r="B48359"/>
      <c r="C48359"/>
      <c r="E48359"/>
      <c r="F48359"/>
    </row>
    <row r="48360" spans="1:6" x14ac:dyDescent="0.25">
      <c r="A48360"/>
      <c r="B48360"/>
      <c r="C48360"/>
      <c r="E48360"/>
      <c r="F48360"/>
    </row>
    <row r="48361" spans="1:6" x14ac:dyDescent="0.25">
      <c r="A48361"/>
      <c r="B48361"/>
      <c r="C48361"/>
      <c r="E48361"/>
      <c r="F48361"/>
    </row>
    <row r="48362" spans="1:6" x14ac:dyDescent="0.25">
      <c r="A48362"/>
      <c r="B48362"/>
      <c r="C48362"/>
      <c r="E48362"/>
      <c r="F48362"/>
    </row>
    <row r="48363" spans="1:6" x14ac:dyDescent="0.25">
      <c r="A48363"/>
      <c r="B48363"/>
      <c r="C48363"/>
      <c r="E48363"/>
      <c r="F48363"/>
    </row>
    <row r="48364" spans="1:6" x14ac:dyDescent="0.25">
      <c r="A48364"/>
      <c r="B48364"/>
      <c r="C48364"/>
      <c r="E48364"/>
      <c r="F48364"/>
    </row>
    <row r="48365" spans="1:6" x14ac:dyDescent="0.25">
      <c r="A48365"/>
      <c r="B48365"/>
      <c r="C48365"/>
      <c r="E48365"/>
      <c r="F48365"/>
    </row>
    <row r="48366" spans="1:6" x14ac:dyDescent="0.25">
      <c r="A48366"/>
      <c r="B48366"/>
      <c r="C48366"/>
      <c r="E48366"/>
      <c r="F48366"/>
    </row>
    <row r="48367" spans="1:6" x14ac:dyDescent="0.25">
      <c r="A48367"/>
      <c r="B48367"/>
      <c r="C48367"/>
      <c r="E48367"/>
      <c r="F48367"/>
    </row>
    <row r="48368" spans="1:6" x14ac:dyDescent="0.25">
      <c r="A48368"/>
      <c r="B48368"/>
      <c r="C48368"/>
      <c r="E48368"/>
      <c r="F48368"/>
    </row>
    <row r="48369" spans="1:6" x14ac:dyDescent="0.25">
      <c r="A48369"/>
      <c r="B48369"/>
      <c r="C48369"/>
      <c r="E48369"/>
      <c r="F48369"/>
    </row>
    <row r="48370" spans="1:6" x14ac:dyDescent="0.25">
      <c r="A48370"/>
      <c r="B48370"/>
      <c r="C48370"/>
      <c r="E48370"/>
      <c r="F48370"/>
    </row>
    <row r="48371" spans="1:6" x14ac:dyDescent="0.25">
      <c r="A48371"/>
      <c r="B48371"/>
      <c r="C48371"/>
      <c r="E48371"/>
      <c r="F48371"/>
    </row>
    <row r="48372" spans="1:6" x14ac:dyDescent="0.25">
      <c r="A48372"/>
      <c r="B48372"/>
      <c r="C48372"/>
      <c r="E48372"/>
      <c r="F48372"/>
    </row>
    <row r="48373" spans="1:6" x14ac:dyDescent="0.25">
      <c r="A48373"/>
      <c r="B48373"/>
      <c r="C48373"/>
      <c r="E48373"/>
      <c r="F48373"/>
    </row>
    <row r="48374" spans="1:6" x14ac:dyDescent="0.25">
      <c r="A48374"/>
      <c r="B48374"/>
      <c r="C48374"/>
      <c r="E48374"/>
      <c r="F48374"/>
    </row>
    <row r="48375" spans="1:6" x14ac:dyDescent="0.25">
      <c r="A48375"/>
      <c r="B48375"/>
      <c r="C48375"/>
      <c r="E48375"/>
      <c r="F48375"/>
    </row>
    <row r="48376" spans="1:6" x14ac:dyDescent="0.25">
      <c r="A48376"/>
      <c r="B48376"/>
      <c r="C48376"/>
      <c r="E48376"/>
      <c r="F48376"/>
    </row>
    <row r="48377" spans="1:6" x14ac:dyDescent="0.25">
      <c r="A48377"/>
      <c r="B48377"/>
      <c r="C48377"/>
      <c r="E48377"/>
      <c r="F48377"/>
    </row>
    <row r="48378" spans="1:6" x14ac:dyDescent="0.25">
      <c r="A48378"/>
      <c r="B48378"/>
      <c r="C48378"/>
      <c r="E48378"/>
      <c r="F48378"/>
    </row>
    <row r="48379" spans="1:6" x14ac:dyDescent="0.25">
      <c r="A48379"/>
      <c r="B48379"/>
      <c r="C48379"/>
      <c r="E48379"/>
      <c r="F48379"/>
    </row>
    <row r="48380" spans="1:6" x14ac:dyDescent="0.25">
      <c r="A48380"/>
      <c r="B48380"/>
      <c r="C48380"/>
      <c r="E48380"/>
      <c r="F48380"/>
    </row>
    <row r="48381" spans="1:6" x14ac:dyDescent="0.25">
      <c r="A48381"/>
      <c r="B48381"/>
      <c r="C48381"/>
      <c r="E48381"/>
      <c r="F48381"/>
    </row>
    <row r="48382" spans="1:6" x14ac:dyDescent="0.25">
      <c r="A48382"/>
      <c r="B48382"/>
      <c r="C48382"/>
      <c r="E48382"/>
      <c r="F48382"/>
    </row>
    <row r="48383" spans="1:6" x14ac:dyDescent="0.25">
      <c r="A48383"/>
      <c r="B48383"/>
      <c r="C48383"/>
      <c r="E48383"/>
      <c r="F48383"/>
    </row>
    <row r="48384" spans="1:6" x14ac:dyDescent="0.25">
      <c r="A48384"/>
      <c r="B48384"/>
      <c r="C48384"/>
      <c r="E48384"/>
      <c r="F48384"/>
    </row>
    <row r="48385" spans="1:6" x14ac:dyDescent="0.25">
      <c r="A48385"/>
      <c r="B48385"/>
      <c r="C48385"/>
      <c r="E48385"/>
      <c r="F48385"/>
    </row>
    <row r="48386" spans="1:6" x14ac:dyDescent="0.25">
      <c r="A48386"/>
      <c r="B48386"/>
      <c r="C48386"/>
      <c r="E48386"/>
      <c r="F48386"/>
    </row>
    <row r="48387" spans="1:6" x14ac:dyDescent="0.25">
      <c r="A48387"/>
      <c r="B48387"/>
      <c r="C48387"/>
      <c r="E48387"/>
      <c r="F48387"/>
    </row>
    <row r="48388" spans="1:6" x14ac:dyDescent="0.25">
      <c r="A48388"/>
      <c r="B48388"/>
      <c r="C48388"/>
      <c r="E48388"/>
      <c r="F48388"/>
    </row>
    <row r="48389" spans="1:6" x14ac:dyDescent="0.25">
      <c r="A48389"/>
      <c r="B48389"/>
      <c r="C48389"/>
      <c r="E48389"/>
      <c r="F48389"/>
    </row>
    <row r="48390" spans="1:6" x14ac:dyDescent="0.25">
      <c r="A48390"/>
      <c r="B48390"/>
      <c r="C48390"/>
      <c r="E48390"/>
      <c r="F48390"/>
    </row>
    <row r="48391" spans="1:6" x14ac:dyDescent="0.25">
      <c r="A48391"/>
      <c r="B48391"/>
      <c r="C48391"/>
      <c r="E48391"/>
      <c r="F48391"/>
    </row>
    <row r="48392" spans="1:6" x14ac:dyDescent="0.25">
      <c r="A48392"/>
      <c r="B48392"/>
      <c r="C48392"/>
      <c r="E48392"/>
      <c r="F48392"/>
    </row>
    <row r="48393" spans="1:6" x14ac:dyDescent="0.25">
      <c r="A48393"/>
      <c r="B48393"/>
      <c r="C48393"/>
      <c r="E48393"/>
      <c r="F48393"/>
    </row>
    <row r="48394" spans="1:6" x14ac:dyDescent="0.25">
      <c r="A48394"/>
      <c r="B48394"/>
      <c r="C48394"/>
      <c r="E48394"/>
      <c r="F48394"/>
    </row>
    <row r="48395" spans="1:6" x14ac:dyDescent="0.25">
      <c r="A48395"/>
      <c r="B48395"/>
      <c r="C48395"/>
      <c r="E48395"/>
      <c r="F48395"/>
    </row>
    <row r="48396" spans="1:6" x14ac:dyDescent="0.25">
      <c r="A48396"/>
      <c r="B48396"/>
      <c r="C48396"/>
      <c r="E48396"/>
      <c r="F48396"/>
    </row>
    <row r="48397" spans="1:6" x14ac:dyDescent="0.25">
      <c r="A48397"/>
      <c r="B48397"/>
      <c r="C48397"/>
      <c r="E48397"/>
      <c r="F48397"/>
    </row>
    <row r="48398" spans="1:6" x14ac:dyDescent="0.25">
      <c r="A48398"/>
      <c r="B48398"/>
      <c r="C48398"/>
      <c r="E48398"/>
      <c r="F48398"/>
    </row>
    <row r="48399" spans="1:6" x14ac:dyDescent="0.25">
      <c r="A48399"/>
      <c r="B48399"/>
      <c r="C48399"/>
      <c r="E48399"/>
      <c r="F48399"/>
    </row>
    <row r="48400" spans="1:6" x14ac:dyDescent="0.25">
      <c r="A48400"/>
      <c r="B48400"/>
      <c r="C48400"/>
      <c r="E48400"/>
      <c r="F48400"/>
    </row>
    <row r="48401" spans="1:6" x14ac:dyDescent="0.25">
      <c r="A48401"/>
      <c r="B48401"/>
      <c r="C48401"/>
      <c r="E48401"/>
      <c r="F48401"/>
    </row>
    <row r="48402" spans="1:6" x14ac:dyDescent="0.25">
      <c r="A48402"/>
      <c r="B48402"/>
      <c r="C48402"/>
      <c r="E48402"/>
      <c r="F48402"/>
    </row>
    <row r="48403" spans="1:6" x14ac:dyDescent="0.25">
      <c r="A48403"/>
      <c r="B48403"/>
      <c r="C48403"/>
      <c r="E48403"/>
      <c r="F48403"/>
    </row>
    <row r="48404" spans="1:6" x14ac:dyDescent="0.25">
      <c r="A48404"/>
      <c r="B48404"/>
      <c r="C48404"/>
      <c r="E48404"/>
      <c r="F48404"/>
    </row>
    <row r="48405" spans="1:6" x14ac:dyDescent="0.25">
      <c r="A48405"/>
      <c r="B48405"/>
      <c r="C48405"/>
      <c r="E48405"/>
      <c r="F48405"/>
    </row>
    <row r="48406" spans="1:6" x14ac:dyDescent="0.25">
      <c r="A48406"/>
      <c r="B48406"/>
      <c r="C48406"/>
      <c r="E48406"/>
      <c r="F48406"/>
    </row>
    <row r="48407" spans="1:6" x14ac:dyDescent="0.25">
      <c r="A48407"/>
      <c r="B48407"/>
      <c r="C48407"/>
      <c r="E48407"/>
      <c r="F48407"/>
    </row>
    <row r="48408" spans="1:6" x14ac:dyDescent="0.25">
      <c r="A48408"/>
      <c r="B48408"/>
      <c r="C48408"/>
      <c r="E48408"/>
      <c r="F48408"/>
    </row>
    <row r="48409" spans="1:6" x14ac:dyDescent="0.25">
      <c r="A48409"/>
      <c r="B48409"/>
      <c r="C48409"/>
      <c r="E48409"/>
      <c r="F48409"/>
    </row>
    <row r="48410" spans="1:6" x14ac:dyDescent="0.25">
      <c r="A48410"/>
      <c r="B48410"/>
      <c r="C48410"/>
      <c r="E48410"/>
      <c r="F48410"/>
    </row>
    <row r="48411" spans="1:6" x14ac:dyDescent="0.25">
      <c r="A48411"/>
      <c r="B48411"/>
      <c r="C48411"/>
      <c r="E48411"/>
      <c r="F48411"/>
    </row>
    <row r="48412" spans="1:6" x14ac:dyDescent="0.25">
      <c r="A48412"/>
      <c r="B48412"/>
      <c r="C48412"/>
      <c r="E48412"/>
      <c r="F48412"/>
    </row>
    <row r="48413" spans="1:6" x14ac:dyDescent="0.25">
      <c r="A48413"/>
      <c r="B48413"/>
      <c r="C48413"/>
      <c r="E48413"/>
      <c r="F48413"/>
    </row>
    <row r="48414" spans="1:6" x14ac:dyDescent="0.25">
      <c r="A48414"/>
      <c r="B48414"/>
      <c r="C48414"/>
      <c r="E48414"/>
      <c r="F48414"/>
    </row>
    <row r="48415" spans="1:6" x14ac:dyDescent="0.25">
      <c r="A48415"/>
      <c r="B48415"/>
      <c r="C48415"/>
      <c r="E48415"/>
      <c r="F48415"/>
    </row>
    <row r="48416" spans="1:6" x14ac:dyDescent="0.25">
      <c r="A48416"/>
      <c r="B48416"/>
      <c r="C48416"/>
      <c r="E48416"/>
      <c r="F48416"/>
    </row>
    <row r="48417" spans="1:6" x14ac:dyDescent="0.25">
      <c r="A48417"/>
      <c r="B48417"/>
      <c r="C48417"/>
      <c r="E48417"/>
      <c r="F48417"/>
    </row>
    <row r="48418" spans="1:6" x14ac:dyDescent="0.25">
      <c r="A48418"/>
      <c r="B48418"/>
      <c r="C48418"/>
      <c r="E48418"/>
      <c r="F48418"/>
    </row>
    <row r="48419" spans="1:6" x14ac:dyDescent="0.25">
      <c r="A48419"/>
      <c r="B48419"/>
      <c r="C48419"/>
      <c r="E48419"/>
      <c r="F48419"/>
    </row>
    <row r="48420" spans="1:6" x14ac:dyDescent="0.25">
      <c r="A48420"/>
      <c r="B48420"/>
      <c r="C48420"/>
      <c r="E48420"/>
      <c r="F48420"/>
    </row>
    <row r="48421" spans="1:6" x14ac:dyDescent="0.25">
      <c r="A48421"/>
      <c r="B48421"/>
      <c r="C48421"/>
      <c r="E48421"/>
      <c r="F48421"/>
    </row>
    <row r="48422" spans="1:6" x14ac:dyDescent="0.25">
      <c r="A48422"/>
      <c r="B48422"/>
      <c r="C48422"/>
      <c r="E48422"/>
      <c r="F48422"/>
    </row>
    <row r="48423" spans="1:6" x14ac:dyDescent="0.25">
      <c r="A48423"/>
      <c r="B48423"/>
      <c r="C48423"/>
      <c r="E48423"/>
      <c r="F48423"/>
    </row>
    <row r="48424" spans="1:6" x14ac:dyDescent="0.25">
      <c r="A48424"/>
      <c r="B48424"/>
      <c r="C48424"/>
      <c r="E48424"/>
      <c r="F48424"/>
    </row>
    <row r="48425" spans="1:6" x14ac:dyDescent="0.25">
      <c r="A48425"/>
      <c r="B48425"/>
      <c r="C48425"/>
      <c r="E48425"/>
      <c r="F48425"/>
    </row>
    <row r="48426" spans="1:6" x14ac:dyDescent="0.25">
      <c r="A48426"/>
      <c r="B48426"/>
      <c r="C48426"/>
      <c r="E48426"/>
      <c r="F48426"/>
    </row>
    <row r="48427" spans="1:6" x14ac:dyDescent="0.25">
      <c r="A48427"/>
      <c r="B48427"/>
      <c r="C48427"/>
      <c r="E48427"/>
      <c r="F48427"/>
    </row>
    <row r="48428" spans="1:6" x14ac:dyDescent="0.25">
      <c r="A48428"/>
      <c r="B48428"/>
      <c r="C48428"/>
      <c r="E48428"/>
      <c r="F48428"/>
    </row>
    <row r="48429" spans="1:6" x14ac:dyDescent="0.25">
      <c r="A48429"/>
      <c r="B48429"/>
      <c r="C48429"/>
      <c r="E48429"/>
      <c r="F48429"/>
    </row>
    <row r="48430" spans="1:6" x14ac:dyDescent="0.25">
      <c r="A48430"/>
      <c r="B48430"/>
      <c r="C48430"/>
      <c r="E48430"/>
      <c r="F48430"/>
    </row>
    <row r="48431" spans="1:6" x14ac:dyDescent="0.25">
      <c r="A48431"/>
      <c r="B48431"/>
      <c r="C48431"/>
      <c r="E48431"/>
      <c r="F48431"/>
    </row>
    <row r="48432" spans="1:6" x14ac:dyDescent="0.25">
      <c r="A48432"/>
      <c r="B48432"/>
      <c r="C48432"/>
      <c r="E48432"/>
      <c r="F48432"/>
    </row>
    <row r="48433" spans="1:6" x14ac:dyDescent="0.25">
      <c r="A48433"/>
      <c r="B48433"/>
      <c r="C48433"/>
      <c r="E48433"/>
      <c r="F48433"/>
    </row>
    <row r="48434" spans="1:6" x14ac:dyDescent="0.25">
      <c r="A48434"/>
      <c r="B48434"/>
      <c r="C48434"/>
      <c r="E48434"/>
      <c r="F48434"/>
    </row>
    <row r="48435" spans="1:6" x14ac:dyDescent="0.25">
      <c r="A48435"/>
      <c r="B48435"/>
      <c r="C48435"/>
      <c r="E48435"/>
      <c r="F48435"/>
    </row>
    <row r="48436" spans="1:6" x14ac:dyDescent="0.25">
      <c r="A48436"/>
      <c r="B48436"/>
      <c r="C48436"/>
      <c r="E48436"/>
      <c r="F48436"/>
    </row>
    <row r="48437" spans="1:6" x14ac:dyDescent="0.25">
      <c r="A48437"/>
      <c r="B48437"/>
      <c r="C48437"/>
      <c r="E48437"/>
      <c r="F48437"/>
    </row>
    <row r="48438" spans="1:6" x14ac:dyDescent="0.25">
      <c r="A48438"/>
      <c r="B48438"/>
      <c r="C48438"/>
      <c r="E48438"/>
      <c r="F48438"/>
    </row>
    <row r="48439" spans="1:6" x14ac:dyDescent="0.25">
      <c r="A48439"/>
      <c r="B48439"/>
      <c r="C48439"/>
      <c r="E48439"/>
      <c r="F48439"/>
    </row>
    <row r="48440" spans="1:6" x14ac:dyDescent="0.25">
      <c r="A48440"/>
      <c r="B48440"/>
      <c r="C48440"/>
      <c r="E48440"/>
      <c r="F48440"/>
    </row>
    <row r="48441" spans="1:6" x14ac:dyDescent="0.25">
      <c r="A48441"/>
      <c r="B48441"/>
      <c r="C48441"/>
      <c r="E48441"/>
      <c r="F48441"/>
    </row>
    <row r="48442" spans="1:6" x14ac:dyDescent="0.25">
      <c r="A48442"/>
      <c r="B48442"/>
      <c r="C48442"/>
      <c r="E48442"/>
      <c r="F48442"/>
    </row>
    <row r="48443" spans="1:6" x14ac:dyDescent="0.25">
      <c r="A48443"/>
      <c r="B48443"/>
      <c r="C48443"/>
      <c r="E48443"/>
      <c r="F48443"/>
    </row>
    <row r="48444" spans="1:6" x14ac:dyDescent="0.25">
      <c r="A48444"/>
      <c r="B48444"/>
      <c r="C48444"/>
      <c r="E48444"/>
      <c r="F48444"/>
    </row>
    <row r="48445" spans="1:6" x14ac:dyDescent="0.25">
      <c r="A48445"/>
      <c r="B48445"/>
      <c r="C48445"/>
      <c r="E48445"/>
      <c r="F48445"/>
    </row>
    <row r="48446" spans="1:6" x14ac:dyDescent="0.25">
      <c r="A48446"/>
      <c r="B48446"/>
      <c r="C48446"/>
      <c r="E48446"/>
      <c r="F48446"/>
    </row>
    <row r="48447" spans="1:6" x14ac:dyDescent="0.25">
      <c r="A48447"/>
      <c r="B48447"/>
      <c r="C48447"/>
      <c r="E48447"/>
      <c r="F48447"/>
    </row>
    <row r="48448" spans="1:6" x14ac:dyDescent="0.25">
      <c r="A48448"/>
      <c r="B48448"/>
      <c r="C48448"/>
      <c r="E48448"/>
      <c r="F48448"/>
    </row>
    <row r="48449" spans="1:6" x14ac:dyDescent="0.25">
      <c r="A48449"/>
      <c r="B48449"/>
      <c r="C48449"/>
      <c r="E48449"/>
      <c r="F48449"/>
    </row>
    <row r="48450" spans="1:6" x14ac:dyDescent="0.25">
      <c r="A48450"/>
      <c r="B48450"/>
      <c r="C48450"/>
      <c r="E48450"/>
      <c r="F48450"/>
    </row>
    <row r="48451" spans="1:6" x14ac:dyDescent="0.25">
      <c r="A48451"/>
      <c r="B48451"/>
      <c r="C48451"/>
      <c r="E48451"/>
      <c r="F48451"/>
    </row>
    <row r="48452" spans="1:6" x14ac:dyDescent="0.25">
      <c r="A48452"/>
      <c r="B48452"/>
      <c r="C48452"/>
      <c r="E48452"/>
      <c r="F48452"/>
    </row>
    <row r="48453" spans="1:6" x14ac:dyDescent="0.25">
      <c r="A48453"/>
      <c r="B48453"/>
      <c r="C48453"/>
      <c r="E48453"/>
      <c r="F48453"/>
    </row>
    <row r="48454" spans="1:6" x14ac:dyDescent="0.25">
      <c r="A48454"/>
      <c r="B48454"/>
      <c r="C48454"/>
      <c r="E48454"/>
      <c r="F48454"/>
    </row>
    <row r="48455" spans="1:6" x14ac:dyDescent="0.25">
      <c r="A48455"/>
      <c r="B48455"/>
      <c r="C48455"/>
      <c r="E48455"/>
      <c r="F48455"/>
    </row>
    <row r="48456" spans="1:6" x14ac:dyDescent="0.25">
      <c r="A48456"/>
      <c r="B48456"/>
      <c r="C48456"/>
      <c r="E48456"/>
      <c r="F48456"/>
    </row>
    <row r="48457" spans="1:6" x14ac:dyDescent="0.25">
      <c r="A48457"/>
      <c r="B48457"/>
      <c r="C48457"/>
      <c r="E48457"/>
      <c r="F48457"/>
    </row>
    <row r="48458" spans="1:6" x14ac:dyDescent="0.25">
      <c r="A48458"/>
      <c r="B48458"/>
      <c r="C48458"/>
      <c r="E48458"/>
      <c r="F48458"/>
    </row>
    <row r="48459" spans="1:6" x14ac:dyDescent="0.25">
      <c r="A48459"/>
      <c r="B48459"/>
      <c r="C48459"/>
      <c r="E48459"/>
      <c r="F48459"/>
    </row>
    <row r="48460" spans="1:6" x14ac:dyDescent="0.25">
      <c r="A48460"/>
      <c r="B48460"/>
      <c r="C48460"/>
      <c r="E48460"/>
      <c r="F48460"/>
    </row>
    <row r="48461" spans="1:6" x14ac:dyDescent="0.25">
      <c r="A48461"/>
      <c r="B48461"/>
      <c r="C48461"/>
      <c r="E48461"/>
      <c r="F48461"/>
    </row>
    <row r="48462" spans="1:6" x14ac:dyDescent="0.25">
      <c r="A48462"/>
      <c r="B48462"/>
      <c r="C48462"/>
      <c r="E48462"/>
      <c r="F48462"/>
    </row>
    <row r="48463" spans="1:6" x14ac:dyDescent="0.25">
      <c r="A48463"/>
      <c r="B48463"/>
      <c r="C48463"/>
      <c r="E48463"/>
      <c r="F48463"/>
    </row>
    <row r="48464" spans="1:6" x14ac:dyDescent="0.25">
      <c r="A48464"/>
      <c r="B48464"/>
      <c r="C48464"/>
      <c r="E48464"/>
      <c r="F48464"/>
    </row>
    <row r="48465" spans="1:6" x14ac:dyDescent="0.25">
      <c r="A48465"/>
      <c r="B48465"/>
      <c r="C48465"/>
      <c r="E48465"/>
      <c r="F48465"/>
    </row>
    <row r="48466" spans="1:6" x14ac:dyDescent="0.25">
      <c r="A48466"/>
      <c r="B48466"/>
      <c r="C48466"/>
      <c r="E48466"/>
      <c r="F48466"/>
    </row>
    <row r="48467" spans="1:6" x14ac:dyDescent="0.25">
      <c r="A48467"/>
      <c r="B48467"/>
      <c r="C48467"/>
      <c r="E48467"/>
      <c r="F48467"/>
    </row>
    <row r="48468" spans="1:6" x14ac:dyDescent="0.25">
      <c r="A48468"/>
      <c r="B48468"/>
      <c r="C48468"/>
      <c r="E48468"/>
      <c r="F48468"/>
    </row>
    <row r="48469" spans="1:6" x14ac:dyDescent="0.25">
      <c r="A48469"/>
      <c r="B48469"/>
      <c r="C48469"/>
      <c r="E48469"/>
      <c r="F48469"/>
    </row>
    <row r="48470" spans="1:6" x14ac:dyDescent="0.25">
      <c r="A48470"/>
      <c r="B48470"/>
      <c r="C48470"/>
      <c r="E48470"/>
      <c r="F48470"/>
    </row>
    <row r="48471" spans="1:6" x14ac:dyDescent="0.25">
      <c r="A48471"/>
      <c r="B48471"/>
      <c r="C48471"/>
      <c r="E48471"/>
      <c r="F48471"/>
    </row>
    <row r="48472" spans="1:6" x14ac:dyDescent="0.25">
      <c r="A48472"/>
      <c r="B48472"/>
      <c r="C48472"/>
      <c r="E48472"/>
      <c r="F48472"/>
    </row>
    <row r="48473" spans="1:6" x14ac:dyDescent="0.25">
      <c r="A48473"/>
      <c r="B48473"/>
      <c r="C48473"/>
      <c r="E48473"/>
      <c r="F48473"/>
    </row>
    <row r="48474" spans="1:6" x14ac:dyDescent="0.25">
      <c r="A48474"/>
      <c r="B48474"/>
      <c r="C48474"/>
      <c r="E48474"/>
      <c r="F48474"/>
    </row>
    <row r="48475" spans="1:6" x14ac:dyDescent="0.25">
      <c r="A48475"/>
      <c r="B48475"/>
      <c r="C48475"/>
      <c r="E48475"/>
      <c r="F48475"/>
    </row>
    <row r="48476" spans="1:6" x14ac:dyDescent="0.25">
      <c r="A48476"/>
      <c r="B48476"/>
      <c r="C48476"/>
      <c r="E48476"/>
      <c r="F48476"/>
    </row>
    <row r="48477" spans="1:6" x14ac:dyDescent="0.25">
      <c r="A48477"/>
      <c r="B48477"/>
      <c r="C48477"/>
      <c r="E48477"/>
      <c r="F48477"/>
    </row>
    <row r="48478" spans="1:6" x14ac:dyDescent="0.25">
      <c r="A48478"/>
      <c r="B48478"/>
      <c r="C48478"/>
      <c r="E48478"/>
      <c r="F48478"/>
    </row>
    <row r="48479" spans="1:6" x14ac:dyDescent="0.25">
      <c r="A48479"/>
      <c r="B48479"/>
      <c r="C48479"/>
      <c r="E48479"/>
      <c r="F48479"/>
    </row>
    <row r="48480" spans="1:6" x14ac:dyDescent="0.25">
      <c r="A48480"/>
      <c r="B48480"/>
      <c r="C48480"/>
      <c r="E48480"/>
      <c r="F48480"/>
    </row>
    <row r="48481" spans="1:6" x14ac:dyDescent="0.25">
      <c r="A48481"/>
      <c r="B48481"/>
      <c r="C48481"/>
      <c r="E48481"/>
      <c r="F48481"/>
    </row>
    <row r="48482" spans="1:6" x14ac:dyDescent="0.25">
      <c r="A48482"/>
      <c r="B48482"/>
      <c r="C48482"/>
      <c r="E48482"/>
      <c r="F48482"/>
    </row>
    <row r="48483" spans="1:6" x14ac:dyDescent="0.25">
      <c r="A48483"/>
      <c r="B48483"/>
      <c r="C48483"/>
      <c r="E48483"/>
      <c r="F48483"/>
    </row>
    <row r="48484" spans="1:6" x14ac:dyDescent="0.25">
      <c r="A48484"/>
      <c r="B48484"/>
      <c r="C48484"/>
      <c r="E48484"/>
      <c r="F48484"/>
    </row>
    <row r="48485" spans="1:6" x14ac:dyDescent="0.25">
      <c r="A48485"/>
      <c r="B48485"/>
      <c r="C48485"/>
      <c r="E48485"/>
      <c r="F48485"/>
    </row>
    <row r="48486" spans="1:6" x14ac:dyDescent="0.25">
      <c r="A48486"/>
      <c r="B48486"/>
      <c r="C48486"/>
      <c r="E48486"/>
      <c r="F48486"/>
    </row>
    <row r="48487" spans="1:6" x14ac:dyDescent="0.25">
      <c r="A48487"/>
      <c r="B48487"/>
      <c r="C48487"/>
      <c r="E48487"/>
      <c r="F48487"/>
    </row>
    <row r="48488" spans="1:6" x14ac:dyDescent="0.25">
      <c r="A48488"/>
      <c r="B48488"/>
      <c r="C48488"/>
      <c r="E48488"/>
      <c r="F48488"/>
    </row>
    <row r="48489" spans="1:6" x14ac:dyDescent="0.25">
      <c r="A48489"/>
      <c r="B48489"/>
      <c r="C48489"/>
      <c r="E48489"/>
      <c r="F48489"/>
    </row>
    <row r="48490" spans="1:6" x14ac:dyDescent="0.25">
      <c r="A48490"/>
      <c r="B48490"/>
      <c r="C48490"/>
      <c r="E48490"/>
      <c r="F48490"/>
    </row>
    <row r="48491" spans="1:6" x14ac:dyDescent="0.25">
      <c r="A48491"/>
      <c r="B48491"/>
      <c r="C48491"/>
      <c r="E48491"/>
      <c r="F48491"/>
    </row>
    <row r="48492" spans="1:6" x14ac:dyDescent="0.25">
      <c r="A48492"/>
      <c r="B48492"/>
      <c r="C48492"/>
      <c r="E48492"/>
      <c r="F48492"/>
    </row>
    <row r="48493" spans="1:6" x14ac:dyDescent="0.25">
      <c r="A48493"/>
      <c r="B48493"/>
      <c r="C48493"/>
      <c r="E48493"/>
      <c r="F48493"/>
    </row>
    <row r="48494" spans="1:6" x14ac:dyDescent="0.25">
      <c r="A48494"/>
      <c r="B48494"/>
      <c r="C48494"/>
      <c r="E48494"/>
      <c r="F48494"/>
    </row>
    <row r="48495" spans="1:6" x14ac:dyDescent="0.25">
      <c r="A48495"/>
      <c r="B48495"/>
      <c r="C48495"/>
      <c r="E48495"/>
      <c r="F48495"/>
    </row>
    <row r="48496" spans="1:6" x14ac:dyDescent="0.25">
      <c r="A48496"/>
      <c r="B48496"/>
      <c r="C48496"/>
      <c r="E48496"/>
      <c r="F48496"/>
    </row>
    <row r="48497" spans="1:6" x14ac:dyDescent="0.25">
      <c r="A48497"/>
      <c r="B48497"/>
      <c r="C48497"/>
      <c r="E48497"/>
      <c r="F48497"/>
    </row>
    <row r="48498" spans="1:6" x14ac:dyDescent="0.25">
      <c r="A48498"/>
      <c r="B48498"/>
      <c r="C48498"/>
      <c r="E48498"/>
      <c r="F48498"/>
    </row>
    <row r="48499" spans="1:6" x14ac:dyDescent="0.25">
      <c r="A48499"/>
      <c r="B48499"/>
      <c r="C48499"/>
      <c r="E48499"/>
      <c r="F48499"/>
    </row>
    <row r="48500" spans="1:6" x14ac:dyDescent="0.25">
      <c r="A48500"/>
      <c r="B48500"/>
      <c r="C48500"/>
      <c r="E48500"/>
      <c r="F48500"/>
    </row>
    <row r="48501" spans="1:6" x14ac:dyDescent="0.25">
      <c r="A48501"/>
      <c r="B48501"/>
      <c r="C48501"/>
      <c r="E48501"/>
      <c r="F48501"/>
    </row>
    <row r="48502" spans="1:6" x14ac:dyDescent="0.25">
      <c r="A48502"/>
      <c r="B48502"/>
      <c r="C48502"/>
      <c r="E48502"/>
      <c r="F48502"/>
    </row>
    <row r="48503" spans="1:6" x14ac:dyDescent="0.25">
      <c r="A48503"/>
      <c r="B48503"/>
      <c r="C48503"/>
      <c r="E48503"/>
      <c r="F48503"/>
    </row>
    <row r="48504" spans="1:6" x14ac:dyDescent="0.25">
      <c r="A48504"/>
      <c r="B48504"/>
      <c r="C48504"/>
      <c r="E48504"/>
      <c r="F48504"/>
    </row>
    <row r="48505" spans="1:6" x14ac:dyDescent="0.25">
      <c r="A48505"/>
      <c r="B48505"/>
      <c r="C48505"/>
      <c r="E48505"/>
      <c r="F48505"/>
    </row>
    <row r="48506" spans="1:6" x14ac:dyDescent="0.25">
      <c r="A48506"/>
      <c r="B48506"/>
      <c r="C48506"/>
      <c r="E48506"/>
      <c r="F48506"/>
    </row>
    <row r="48507" spans="1:6" x14ac:dyDescent="0.25">
      <c r="A48507"/>
      <c r="B48507"/>
      <c r="C48507"/>
      <c r="E48507"/>
      <c r="F48507"/>
    </row>
    <row r="48508" spans="1:6" x14ac:dyDescent="0.25">
      <c r="A48508"/>
      <c r="B48508"/>
      <c r="C48508"/>
      <c r="E48508"/>
      <c r="F48508"/>
    </row>
    <row r="48509" spans="1:6" x14ac:dyDescent="0.25">
      <c r="A48509"/>
      <c r="B48509"/>
      <c r="C48509"/>
      <c r="E48509"/>
      <c r="F48509"/>
    </row>
    <row r="48510" spans="1:6" x14ac:dyDescent="0.25">
      <c r="A48510"/>
      <c r="B48510"/>
      <c r="C48510"/>
      <c r="E48510"/>
      <c r="F48510"/>
    </row>
    <row r="48511" spans="1:6" x14ac:dyDescent="0.25">
      <c r="A48511"/>
      <c r="B48511"/>
      <c r="C48511"/>
      <c r="E48511"/>
      <c r="F48511"/>
    </row>
    <row r="48512" spans="1:6" x14ac:dyDescent="0.25">
      <c r="A48512"/>
      <c r="B48512"/>
      <c r="C48512"/>
      <c r="E48512"/>
      <c r="F48512"/>
    </row>
    <row r="48513" spans="1:6" x14ac:dyDescent="0.25">
      <c r="A48513"/>
      <c r="B48513"/>
      <c r="C48513"/>
      <c r="E48513"/>
      <c r="F48513"/>
    </row>
    <row r="48514" spans="1:6" x14ac:dyDescent="0.25">
      <c r="A48514"/>
      <c r="B48514"/>
      <c r="C48514"/>
      <c r="E48514"/>
      <c r="F48514"/>
    </row>
    <row r="48515" spans="1:6" x14ac:dyDescent="0.25">
      <c r="A48515"/>
      <c r="B48515"/>
      <c r="C48515"/>
      <c r="E48515"/>
      <c r="F48515"/>
    </row>
    <row r="48516" spans="1:6" x14ac:dyDescent="0.25">
      <c r="A48516"/>
      <c r="B48516"/>
      <c r="C48516"/>
      <c r="E48516"/>
      <c r="F48516"/>
    </row>
    <row r="48517" spans="1:6" x14ac:dyDescent="0.25">
      <c r="A48517"/>
      <c r="B48517"/>
      <c r="C48517"/>
      <c r="E48517"/>
      <c r="F48517"/>
    </row>
    <row r="48518" spans="1:6" x14ac:dyDescent="0.25">
      <c r="A48518"/>
      <c r="B48518"/>
      <c r="C48518"/>
      <c r="E48518"/>
      <c r="F48518"/>
    </row>
    <row r="48519" spans="1:6" x14ac:dyDescent="0.25">
      <c r="A48519"/>
      <c r="B48519"/>
      <c r="C48519"/>
      <c r="E48519"/>
      <c r="F48519"/>
    </row>
    <row r="48520" spans="1:6" x14ac:dyDescent="0.25">
      <c r="A48520"/>
      <c r="B48520"/>
      <c r="C48520"/>
      <c r="E48520"/>
      <c r="F48520"/>
    </row>
    <row r="48521" spans="1:6" x14ac:dyDescent="0.25">
      <c r="A48521"/>
      <c r="B48521"/>
      <c r="C48521"/>
      <c r="E48521"/>
      <c r="F48521"/>
    </row>
    <row r="48522" spans="1:6" x14ac:dyDescent="0.25">
      <c r="A48522"/>
      <c r="B48522"/>
      <c r="C48522"/>
      <c r="E48522"/>
      <c r="F48522"/>
    </row>
    <row r="48523" spans="1:6" x14ac:dyDescent="0.25">
      <c r="A48523"/>
      <c r="B48523"/>
      <c r="C48523"/>
      <c r="E48523"/>
      <c r="F48523"/>
    </row>
    <row r="48524" spans="1:6" x14ac:dyDescent="0.25">
      <c r="A48524"/>
      <c r="B48524"/>
      <c r="C48524"/>
      <c r="E48524"/>
      <c r="F48524"/>
    </row>
    <row r="48525" spans="1:6" x14ac:dyDescent="0.25">
      <c r="A48525"/>
      <c r="B48525"/>
      <c r="C48525"/>
      <c r="E48525"/>
      <c r="F48525"/>
    </row>
    <row r="48526" spans="1:6" x14ac:dyDescent="0.25">
      <c r="A48526"/>
      <c r="B48526"/>
      <c r="C48526"/>
      <c r="E48526"/>
      <c r="F48526"/>
    </row>
    <row r="48527" spans="1:6" x14ac:dyDescent="0.25">
      <c r="A48527"/>
      <c r="B48527"/>
      <c r="C48527"/>
      <c r="E48527"/>
      <c r="F48527"/>
    </row>
    <row r="48528" spans="1:6" x14ac:dyDescent="0.25">
      <c r="A48528"/>
      <c r="B48528"/>
      <c r="C48528"/>
      <c r="E48528"/>
      <c r="F48528"/>
    </row>
    <row r="48529" spans="1:6" x14ac:dyDescent="0.25">
      <c r="A48529"/>
      <c r="B48529"/>
      <c r="C48529"/>
      <c r="E48529"/>
      <c r="F48529"/>
    </row>
    <row r="48530" spans="1:6" x14ac:dyDescent="0.25">
      <c r="A48530"/>
      <c r="B48530"/>
      <c r="C48530"/>
      <c r="E48530"/>
      <c r="F48530"/>
    </row>
    <row r="48531" spans="1:6" x14ac:dyDescent="0.25">
      <c r="A48531"/>
      <c r="B48531"/>
      <c r="C48531"/>
      <c r="E48531"/>
      <c r="F48531"/>
    </row>
    <row r="48532" spans="1:6" x14ac:dyDescent="0.25">
      <c r="A48532"/>
      <c r="B48532"/>
      <c r="C48532"/>
      <c r="E48532"/>
      <c r="F48532"/>
    </row>
    <row r="48533" spans="1:6" x14ac:dyDescent="0.25">
      <c r="A48533"/>
      <c r="B48533"/>
      <c r="C48533"/>
      <c r="E48533"/>
      <c r="F48533"/>
    </row>
    <row r="48534" spans="1:6" x14ac:dyDescent="0.25">
      <c r="A48534"/>
      <c r="B48534"/>
      <c r="C48534"/>
      <c r="E48534"/>
      <c r="F48534"/>
    </row>
    <row r="48535" spans="1:6" x14ac:dyDescent="0.25">
      <c r="A48535"/>
      <c r="B48535"/>
      <c r="C48535"/>
      <c r="E48535"/>
      <c r="F48535"/>
    </row>
    <row r="48536" spans="1:6" x14ac:dyDescent="0.25">
      <c r="A48536"/>
      <c r="B48536"/>
      <c r="C48536"/>
      <c r="E48536"/>
      <c r="F48536"/>
    </row>
    <row r="48537" spans="1:6" x14ac:dyDescent="0.25">
      <c r="A48537"/>
      <c r="B48537"/>
      <c r="C48537"/>
      <c r="E48537"/>
      <c r="F48537"/>
    </row>
    <row r="48538" spans="1:6" x14ac:dyDescent="0.25">
      <c r="A48538"/>
      <c r="B48538"/>
      <c r="C48538"/>
      <c r="E48538"/>
      <c r="F48538"/>
    </row>
    <row r="48539" spans="1:6" x14ac:dyDescent="0.25">
      <c r="A48539"/>
      <c r="B48539"/>
      <c r="C48539"/>
      <c r="E48539"/>
      <c r="F48539"/>
    </row>
    <row r="48540" spans="1:6" x14ac:dyDescent="0.25">
      <c r="A48540"/>
      <c r="B48540"/>
      <c r="C48540"/>
      <c r="E48540"/>
      <c r="F48540"/>
    </row>
    <row r="48541" spans="1:6" x14ac:dyDescent="0.25">
      <c r="A48541"/>
      <c r="B48541"/>
      <c r="C48541"/>
      <c r="E48541"/>
      <c r="F48541"/>
    </row>
    <row r="48542" spans="1:6" x14ac:dyDescent="0.25">
      <c r="A48542"/>
      <c r="B48542"/>
      <c r="C48542"/>
      <c r="E48542"/>
      <c r="F48542"/>
    </row>
    <row r="48543" spans="1:6" x14ac:dyDescent="0.25">
      <c r="A48543"/>
      <c r="B48543"/>
      <c r="C48543"/>
      <c r="E48543"/>
      <c r="F48543"/>
    </row>
    <row r="48544" spans="1:6" x14ac:dyDescent="0.25">
      <c r="A48544"/>
      <c r="B48544"/>
      <c r="C48544"/>
      <c r="E48544"/>
      <c r="F48544"/>
    </row>
    <row r="48545" spans="1:6" x14ac:dyDescent="0.25">
      <c r="A48545"/>
      <c r="B48545"/>
      <c r="C48545"/>
      <c r="E48545"/>
      <c r="F48545"/>
    </row>
    <row r="48546" spans="1:6" x14ac:dyDescent="0.25">
      <c r="A48546"/>
      <c r="B48546"/>
      <c r="C48546"/>
      <c r="E48546"/>
      <c r="F48546"/>
    </row>
    <row r="48547" spans="1:6" x14ac:dyDescent="0.25">
      <c r="A48547"/>
      <c r="B48547"/>
      <c r="C48547"/>
      <c r="E48547"/>
      <c r="F48547"/>
    </row>
    <row r="48548" spans="1:6" x14ac:dyDescent="0.25">
      <c r="A48548"/>
      <c r="B48548"/>
      <c r="C48548"/>
      <c r="E48548"/>
      <c r="F48548"/>
    </row>
    <row r="48549" spans="1:6" x14ac:dyDescent="0.25">
      <c r="A48549"/>
      <c r="B48549"/>
      <c r="C48549"/>
      <c r="E48549"/>
      <c r="F48549"/>
    </row>
    <row r="48550" spans="1:6" x14ac:dyDescent="0.25">
      <c r="A48550"/>
      <c r="B48550"/>
      <c r="C48550"/>
      <c r="E48550"/>
      <c r="F48550"/>
    </row>
    <row r="48551" spans="1:6" x14ac:dyDescent="0.25">
      <c r="A48551"/>
      <c r="B48551"/>
      <c r="C48551"/>
      <c r="E48551"/>
      <c r="F48551"/>
    </row>
    <row r="48552" spans="1:6" x14ac:dyDescent="0.25">
      <c r="A48552"/>
      <c r="B48552"/>
      <c r="C48552"/>
      <c r="E48552"/>
      <c r="F48552"/>
    </row>
    <row r="48553" spans="1:6" x14ac:dyDescent="0.25">
      <c r="A48553"/>
      <c r="B48553"/>
      <c r="C48553"/>
      <c r="E48553"/>
      <c r="F48553"/>
    </row>
    <row r="48554" spans="1:6" x14ac:dyDescent="0.25">
      <c r="A48554"/>
      <c r="B48554"/>
      <c r="C48554"/>
      <c r="E48554"/>
      <c r="F48554"/>
    </row>
    <row r="48555" spans="1:6" x14ac:dyDescent="0.25">
      <c r="A48555"/>
      <c r="B48555"/>
      <c r="C48555"/>
      <c r="E48555"/>
      <c r="F48555"/>
    </row>
    <row r="48556" spans="1:6" x14ac:dyDescent="0.25">
      <c r="A48556"/>
      <c r="B48556"/>
      <c r="C48556"/>
      <c r="E48556"/>
      <c r="F48556"/>
    </row>
    <row r="48557" spans="1:6" x14ac:dyDescent="0.25">
      <c r="A48557"/>
      <c r="B48557"/>
      <c r="C48557"/>
      <c r="E48557"/>
      <c r="F48557"/>
    </row>
    <row r="48558" spans="1:6" x14ac:dyDescent="0.25">
      <c r="A48558"/>
      <c r="B48558"/>
      <c r="C48558"/>
      <c r="E48558"/>
      <c r="F48558"/>
    </row>
    <row r="48559" spans="1:6" x14ac:dyDescent="0.25">
      <c r="A48559"/>
      <c r="B48559"/>
      <c r="C48559"/>
      <c r="E48559"/>
      <c r="F48559"/>
    </row>
    <row r="48560" spans="1:6" x14ac:dyDescent="0.25">
      <c r="A48560"/>
      <c r="B48560"/>
      <c r="C48560"/>
      <c r="E48560"/>
      <c r="F48560"/>
    </row>
    <row r="48561" spans="1:6" x14ac:dyDescent="0.25">
      <c r="A48561"/>
      <c r="B48561"/>
      <c r="C48561"/>
      <c r="E48561"/>
      <c r="F48561"/>
    </row>
    <row r="48562" spans="1:6" x14ac:dyDescent="0.25">
      <c r="A48562"/>
      <c r="B48562"/>
      <c r="C48562"/>
      <c r="E48562"/>
      <c r="F48562"/>
    </row>
    <row r="48563" spans="1:6" x14ac:dyDescent="0.25">
      <c r="A48563"/>
      <c r="B48563"/>
      <c r="C48563"/>
      <c r="E48563"/>
      <c r="F48563"/>
    </row>
    <row r="48564" spans="1:6" x14ac:dyDescent="0.25">
      <c r="A48564"/>
      <c r="B48564"/>
      <c r="C48564"/>
      <c r="E48564"/>
      <c r="F48564"/>
    </row>
    <row r="48565" spans="1:6" x14ac:dyDescent="0.25">
      <c r="A48565"/>
      <c r="B48565"/>
      <c r="C48565"/>
      <c r="E48565"/>
      <c r="F48565"/>
    </row>
    <row r="48566" spans="1:6" x14ac:dyDescent="0.25">
      <c r="A48566"/>
      <c r="B48566"/>
      <c r="C48566"/>
      <c r="E48566"/>
      <c r="F48566"/>
    </row>
    <row r="48567" spans="1:6" x14ac:dyDescent="0.25">
      <c r="A48567"/>
      <c r="B48567"/>
      <c r="C48567"/>
      <c r="E48567"/>
      <c r="F48567"/>
    </row>
    <row r="48568" spans="1:6" x14ac:dyDescent="0.25">
      <c r="A48568"/>
      <c r="B48568"/>
      <c r="C48568"/>
      <c r="E48568"/>
      <c r="F48568"/>
    </row>
    <row r="48569" spans="1:6" x14ac:dyDescent="0.25">
      <c r="A48569"/>
      <c r="B48569"/>
      <c r="C48569"/>
      <c r="E48569"/>
      <c r="F48569"/>
    </row>
    <row r="48570" spans="1:6" x14ac:dyDescent="0.25">
      <c r="A48570"/>
      <c r="B48570"/>
      <c r="C48570"/>
      <c r="E48570"/>
      <c r="F48570"/>
    </row>
    <row r="48571" spans="1:6" x14ac:dyDescent="0.25">
      <c r="A48571"/>
      <c r="B48571"/>
      <c r="C48571"/>
      <c r="E48571"/>
      <c r="F48571"/>
    </row>
    <row r="48572" spans="1:6" x14ac:dyDescent="0.25">
      <c r="A48572"/>
      <c r="B48572"/>
      <c r="C48572"/>
      <c r="E48572"/>
      <c r="F48572"/>
    </row>
    <row r="48573" spans="1:6" x14ac:dyDescent="0.25">
      <c r="A48573"/>
      <c r="B48573"/>
      <c r="C48573"/>
      <c r="E48573"/>
      <c r="F48573"/>
    </row>
    <row r="48574" spans="1:6" x14ac:dyDescent="0.25">
      <c r="A48574"/>
      <c r="B48574"/>
      <c r="C48574"/>
      <c r="E48574"/>
      <c r="F48574"/>
    </row>
    <row r="48575" spans="1:6" x14ac:dyDescent="0.25">
      <c r="A48575"/>
      <c r="B48575"/>
      <c r="C48575"/>
      <c r="E48575"/>
      <c r="F48575"/>
    </row>
    <row r="48576" spans="1:6" x14ac:dyDescent="0.25">
      <c r="A48576"/>
      <c r="B48576"/>
      <c r="C48576"/>
      <c r="E48576"/>
      <c r="F48576"/>
    </row>
    <row r="48577" spans="1:6" x14ac:dyDescent="0.25">
      <c r="A48577"/>
      <c r="B48577"/>
      <c r="C48577"/>
      <c r="E48577"/>
      <c r="F48577"/>
    </row>
    <row r="48578" spans="1:6" x14ac:dyDescent="0.25">
      <c r="A48578"/>
      <c r="B48578"/>
      <c r="C48578"/>
      <c r="E48578"/>
      <c r="F48578"/>
    </row>
    <row r="48579" spans="1:6" x14ac:dyDescent="0.25">
      <c r="A48579"/>
      <c r="B48579"/>
      <c r="C48579"/>
      <c r="E48579"/>
      <c r="F48579"/>
    </row>
    <row r="48580" spans="1:6" x14ac:dyDescent="0.25">
      <c r="A48580"/>
      <c r="B48580"/>
      <c r="C48580"/>
      <c r="E48580"/>
      <c r="F48580"/>
    </row>
    <row r="48581" spans="1:6" x14ac:dyDescent="0.25">
      <c r="A48581"/>
      <c r="B48581"/>
      <c r="C48581"/>
      <c r="E48581"/>
      <c r="F48581"/>
    </row>
    <row r="48582" spans="1:6" x14ac:dyDescent="0.25">
      <c r="A48582"/>
      <c r="B48582"/>
      <c r="C48582"/>
      <c r="E48582"/>
      <c r="F48582"/>
    </row>
    <row r="48583" spans="1:6" x14ac:dyDescent="0.25">
      <c r="A48583"/>
      <c r="B48583"/>
      <c r="C48583"/>
      <c r="E48583"/>
      <c r="F48583"/>
    </row>
    <row r="48584" spans="1:6" x14ac:dyDescent="0.25">
      <c r="A48584"/>
      <c r="B48584"/>
      <c r="C48584"/>
      <c r="E48584"/>
      <c r="F48584"/>
    </row>
    <row r="48585" spans="1:6" x14ac:dyDescent="0.25">
      <c r="A48585"/>
      <c r="B48585"/>
      <c r="C48585"/>
      <c r="E48585"/>
      <c r="F48585"/>
    </row>
    <row r="48586" spans="1:6" x14ac:dyDescent="0.25">
      <c r="A48586"/>
      <c r="B48586"/>
      <c r="C48586"/>
      <c r="E48586"/>
      <c r="F48586"/>
    </row>
    <row r="48587" spans="1:6" x14ac:dyDescent="0.25">
      <c r="A48587"/>
      <c r="B48587"/>
      <c r="C48587"/>
      <c r="E48587"/>
      <c r="F48587"/>
    </row>
    <row r="48588" spans="1:6" x14ac:dyDescent="0.25">
      <c r="A48588"/>
      <c r="B48588"/>
      <c r="C48588"/>
      <c r="E48588"/>
      <c r="F48588"/>
    </row>
    <row r="48589" spans="1:6" x14ac:dyDescent="0.25">
      <c r="A48589"/>
      <c r="B48589"/>
      <c r="C48589"/>
      <c r="E48589"/>
      <c r="F48589"/>
    </row>
    <row r="48590" spans="1:6" x14ac:dyDescent="0.25">
      <c r="A48590"/>
      <c r="B48590"/>
      <c r="C48590"/>
      <c r="E48590"/>
      <c r="F48590"/>
    </row>
    <row r="48591" spans="1:6" x14ac:dyDescent="0.25">
      <c r="A48591"/>
      <c r="B48591"/>
      <c r="C48591"/>
      <c r="E48591"/>
      <c r="F48591"/>
    </row>
    <row r="48592" spans="1:6" x14ac:dyDescent="0.25">
      <c r="A48592"/>
      <c r="B48592"/>
      <c r="C48592"/>
      <c r="E48592"/>
      <c r="F48592"/>
    </row>
    <row r="48593" spans="1:6" x14ac:dyDescent="0.25">
      <c r="A48593"/>
      <c r="B48593"/>
      <c r="C48593"/>
      <c r="E48593"/>
      <c r="F48593"/>
    </row>
    <row r="48594" spans="1:6" x14ac:dyDescent="0.25">
      <c r="A48594"/>
      <c r="B48594"/>
      <c r="C48594"/>
      <c r="E48594"/>
      <c r="F48594"/>
    </row>
    <row r="48595" spans="1:6" x14ac:dyDescent="0.25">
      <c r="A48595"/>
      <c r="B48595"/>
      <c r="C48595"/>
      <c r="E48595"/>
      <c r="F48595"/>
    </row>
    <row r="48596" spans="1:6" x14ac:dyDescent="0.25">
      <c r="A48596"/>
      <c r="B48596"/>
      <c r="C48596"/>
      <c r="E48596"/>
      <c r="F48596"/>
    </row>
    <row r="48597" spans="1:6" x14ac:dyDescent="0.25">
      <c r="A48597"/>
      <c r="B48597"/>
      <c r="C48597"/>
      <c r="E48597"/>
      <c r="F48597"/>
    </row>
    <row r="48598" spans="1:6" x14ac:dyDescent="0.25">
      <c r="A48598"/>
      <c r="B48598"/>
      <c r="C48598"/>
      <c r="E48598"/>
      <c r="F48598"/>
    </row>
    <row r="48599" spans="1:6" x14ac:dyDescent="0.25">
      <c r="A48599"/>
      <c r="B48599"/>
      <c r="C48599"/>
      <c r="E48599"/>
      <c r="F48599"/>
    </row>
    <row r="48600" spans="1:6" x14ac:dyDescent="0.25">
      <c r="A48600"/>
      <c r="B48600"/>
      <c r="C48600"/>
      <c r="E48600"/>
      <c r="F48600"/>
    </row>
    <row r="48601" spans="1:6" x14ac:dyDescent="0.25">
      <c r="A48601"/>
      <c r="B48601"/>
      <c r="C48601"/>
      <c r="E48601"/>
      <c r="F48601"/>
    </row>
    <row r="48602" spans="1:6" x14ac:dyDescent="0.25">
      <c r="A48602"/>
      <c r="B48602"/>
      <c r="C48602"/>
      <c r="E48602"/>
      <c r="F48602"/>
    </row>
    <row r="48603" spans="1:6" x14ac:dyDescent="0.25">
      <c r="A48603"/>
      <c r="B48603"/>
      <c r="C48603"/>
      <c r="E48603"/>
      <c r="F48603"/>
    </row>
    <row r="48604" spans="1:6" x14ac:dyDescent="0.25">
      <c r="A48604"/>
      <c r="B48604"/>
      <c r="C48604"/>
      <c r="E48604"/>
      <c r="F48604"/>
    </row>
    <row r="48605" spans="1:6" x14ac:dyDescent="0.25">
      <c r="A48605"/>
      <c r="B48605"/>
      <c r="C48605"/>
      <c r="E48605"/>
      <c r="F48605"/>
    </row>
    <row r="48606" spans="1:6" x14ac:dyDescent="0.25">
      <c r="A48606"/>
      <c r="B48606"/>
      <c r="C48606"/>
      <c r="E48606"/>
      <c r="F48606"/>
    </row>
    <row r="48607" spans="1:6" x14ac:dyDescent="0.25">
      <c r="A48607"/>
      <c r="B48607"/>
      <c r="C48607"/>
      <c r="E48607"/>
      <c r="F48607"/>
    </row>
    <row r="48608" spans="1:6" x14ac:dyDescent="0.25">
      <c r="A48608"/>
      <c r="B48608"/>
      <c r="C48608"/>
      <c r="E48608"/>
      <c r="F48608"/>
    </row>
    <row r="48609" spans="1:6" x14ac:dyDescent="0.25">
      <c r="A48609"/>
      <c r="B48609"/>
      <c r="C48609"/>
      <c r="E48609"/>
      <c r="F48609"/>
    </row>
    <row r="48610" spans="1:6" x14ac:dyDescent="0.25">
      <c r="A48610"/>
      <c r="B48610"/>
      <c r="C48610"/>
      <c r="E48610"/>
      <c r="F48610"/>
    </row>
    <row r="48611" spans="1:6" x14ac:dyDescent="0.25">
      <c r="A48611"/>
      <c r="B48611"/>
      <c r="C48611"/>
      <c r="E48611"/>
      <c r="F48611"/>
    </row>
    <row r="48612" spans="1:6" x14ac:dyDescent="0.25">
      <c r="A48612"/>
      <c r="B48612"/>
      <c r="C48612"/>
      <c r="E48612"/>
      <c r="F48612"/>
    </row>
    <row r="48613" spans="1:6" x14ac:dyDescent="0.25">
      <c r="A48613"/>
      <c r="B48613"/>
      <c r="C48613"/>
      <c r="E48613"/>
      <c r="F48613"/>
    </row>
    <row r="48614" spans="1:6" x14ac:dyDescent="0.25">
      <c r="A48614"/>
      <c r="B48614"/>
      <c r="C48614"/>
      <c r="E48614"/>
      <c r="F48614"/>
    </row>
    <row r="48615" spans="1:6" x14ac:dyDescent="0.25">
      <c r="A48615"/>
      <c r="B48615"/>
      <c r="C48615"/>
      <c r="E48615"/>
      <c r="F48615"/>
    </row>
    <row r="48616" spans="1:6" x14ac:dyDescent="0.25">
      <c r="A48616"/>
      <c r="B48616"/>
      <c r="C48616"/>
      <c r="E48616"/>
      <c r="F48616"/>
    </row>
    <row r="48617" spans="1:6" x14ac:dyDescent="0.25">
      <c r="A48617"/>
      <c r="B48617"/>
      <c r="C48617"/>
      <c r="E48617"/>
      <c r="F48617"/>
    </row>
    <row r="48618" spans="1:6" x14ac:dyDescent="0.25">
      <c r="A48618"/>
      <c r="B48618"/>
      <c r="C48618"/>
      <c r="E48618"/>
      <c r="F48618"/>
    </row>
    <row r="48619" spans="1:6" x14ac:dyDescent="0.25">
      <c r="A48619"/>
      <c r="B48619"/>
      <c r="C48619"/>
      <c r="E48619"/>
      <c r="F48619"/>
    </row>
    <row r="48620" spans="1:6" x14ac:dyDescent="0.25">
      <c r="A48620"/>
      <c r="B48620"/>
      <c r="C48620"/>
      <c r="E48620"/>
      <c r="F48620"/>
    </row>
    <row r="48621" spans="1:6" x14ac:dyDescent="0.25">
      <c r="A48621"/>
      <c r="B48621"/>
      <c r="C48621"/>
      <c r="E48621"/>
      <c r="F48621"/>
    </row>
    <row r="48622" spans="1:6" x14ac:dyDescent="0.25">
      <c r="A48622"/>
      <c r="B48622"/>
      <c r="C48622"/>
      <c r="E48622"/>
      <c r="F48622"/>
    </row>
    <row r="48623" spans="1:6" x14ac:dyDescent="0.25">
      <c r="A48623"/>
      <c r="B48623"/>
      <c r="C48623"/>
      <c r="E48623"/>
      <c r="F48623"/>
    </row>
    <row r="48624" spans="1:6" x14ac:dyDescent="0.25">
      <c r="A48624"/>
      <c r="B48624"/>
      <c r="C48624"/>
      <c r="E48624"/>
      <c r="F48624"/>
    </row>
    <row r="48625" spans="1:6" x14ac:dyDescent="0.25">
      <c r="A48625"/>
      <c r="B48625"/>
      <c r="C48625"/>
      <c r="E48625"/>
      <c r="F48625"/>
    </row>
    <row r="48626" spans="1:6" x14ac:dyDescent="0.25">
      <c r="A48626"/>
      <c r="B48626"/>
      <c r="C48626"/>
      <c r="E48626"/>
      <c r="F48626"/>
    </row>
    <row r="48627" spans="1:6" x14ac:dyDescent="0.25">
      <c r="A48627"/>
      <c r="B48627"/>
      <c r="C48627"/>
      <c r="E48627"/>
      <c r="F48627"/>
    </row>
    <row r="48628" spans="1:6" x14ac:dyDescent="0.25">
      <c r="A48628"/>
      <c r="B48628"/>
      <c r="C48628"/>
      <c r="E48628"/>
      <c r="F48628"/>
    </row>
    <row r="48629" spans="1:6" x14ac:dyDescent="0.25">
      <c r="A48629"/>
      <c r="B48629"/>
      <c r="C48629"/>
      <c r="E48629"/>
      <c r="F48629"/>
    </row>
    <row r="48630" spans="1:6" x14ac:dyDescent="0.25">
      <c r="A48630"/>
      <c r="B48630"/>
      <c r="C48630"/>
      <c r="E48630"/>
      <c r="F48630"/>
    </row>
    <row r="48631" spans="1:6" x14ac:dyDescent="0.25">
      <c r="A48631"/>
      <c r="B48631"/>
      <c r="C48631"/>
      <c r="E48631"/>
      <c r="F48631"/>
    </row>
    <row r="48632" spans="1:6" x14ac:dyDescent="0.25">
      <c r="A48632"/>
      <c r="B48632"/>
      <c r="C48632"/>
      <c r="E48632"/>
      <c r="F48632"/>
    </row>
    <row r="48633" spans="1:6" x14ac:dyDescent="0.25">
      <c r="A48633"/>
      <c r="B48633"/>
      <c r="C48633"/>
      <c r="E48633"/>
      <c r="F48633"/>
    </row>
    <row r="48634" spans="1:6" x14ac:dyDescent="0.25">
      <c r="A48634"/>
      <c r="B48634"/>
      <c r="C48634"/>
      <c r="E48634"/>
      <c r="F48634"/>
    </row>
    <row r="48635" spans="1:6" x14ac:dyDescent="0.25">
      <c r="A48635"/>
      <c r="B48635"/>
      <c r="C48635"/>
      <c r="E48635"/>
      <c r="F48635"/>
    </row>
    <row r="48636" spans="1:6" x14ac:dyDescent="0.25">
      <c r="A48636"/>
      <c r="B48636"/>
      <c r="C48636"/>
      <c r="E48636"/>
      <c r="F48636"/>
    </row>
    <row r="48637" spans="1:6" x14ac:dyDescent="0.25">
      <c r="A48637"/>
      <c r="B48637"/>
      <c r="C48637"/>
      <c r="E48637"/>
      <c r="F48637"/>
    </row>
    <row r="48638" spans="1:6" x14ac:dyDescent="0.25">
      <c r="A48638"/>
      <c r="B48638"/>
      <c r="C48638"/>
      <c r="E48638"/>
      <c r="F48638"/>
    </row>
    <row r="48639" spans="1:6" x14ac:dyDescent="0.25">
      <c r="A48639"/>
      <c r="B48639"/>
      <c r="C48639"/>
      <c r="E48639"/>
      <c r="F48639"/>
    </row>
    <row r="48640" spans="1:6" x14ac:dyDescent="0.25">
      <c r="A48640"/>
      <c r="B48640"/>
      <c r="C48640"/>
      <c r="E48640"/>
      <c r="F48640"/>
    </row>
    <row r="48641" spans="1:6" x14ac:dyDescent="0.25">
      <c r="A48641"/>
      <c r="B48641"/>
      <c r="C48641"/>
      <c r="E48641"/>
      <c r="F48641"/>
    </row>
    <row r="48642" spans="1:6" x14ac:dyDescent="0.25">
      <c r="A48642"/>
      <c r="B48642"/>
      <c r="C48642"/>
      <c r="E48642"/>
      <c r="F48642"/>
    </row>
    <row r="48643" spans="1:6" x14ac:dyDescent="0.25">
      <c r="A48643"/>
      <c r="B48643"/>
      <c r="C48643"/>
      <c r="E48643"/>
      <c r="F48643"/>
    </row>
    <row r="48644" spans="1:6" x14ac:dyDescent="0.25">
      <c r="A48644"/>
      <c r="B48644"/>
      <c r="C48644"/>
      <c r="E48644"/>
      <c r="F48644"/>
    </row>
    <row r="48645" spans="1:6" x14ac:dyDescent="0.25">
      <c r="A48645"/>
      <c r="B48645"/>
      <c r="C48645"/>
      <c r="E48645"/>
      <c r="F48645"/>
    </row>
    <row r="48646" spans="1:6" x14ac:dyDescent="0.25">
      <c r="A48646"/>
      <c r="B48646"/>
      <c r="C48646"/>
      <c r="E48646"/>
      <c r="F48646"/>
    </row>
    <row r="48647" spans="1:6" x14ac:dyDescent="0.25">
      <c r="A48647"/>
      <c r="B48647"/>
      <c r="C48647"/>
      <c r="E48647"/>
      <c r="F48647"/>
    </row>
    <row r="48648" spans="1:6" x14ac:dyDescent="0.25">
      <c r="A48648"/>
      <c r="B48648"/>
      <c r="C48648"/>
      <c r="E48648"/>
      <c r="F48648"/>
    </row>
    <row r="48649" spans="1:6" x14ac:dyDescent="0.25">
      <c r="A48649"/>
      <c r="B48649"/>
      <c r="C48649"/>
      <c r="E48649"/>
      <c r="F48649"/>
    </row>
    <row r="48650" spans="1:6" x14ac:dyDescent="0.25">
      <c r="A48650"/>
      <c r="B48650"/>
      <c r="C48650"/>
      <c r="E48650"/>
      <c r="F48650"/>
    </row>
    <row r="48651" spans="1:6" x14ac:dyDescent="0.25">
      <c r="A48651"/>
      <c r="B48651"/>
      <c r="C48651"/>
      <c r="E48651"/>
      <c r="F48651"/>
    </row>
    <row r="48652" spans="1:6" x14ac:dyDescent="0.25">
      <c r="A48652"/>
      <c r="B48652"/>
      <c r="C48652"/>
      <c r="E48652"/>
      <c r="F48652"/>
    </row>
    <row r="48653" spans="1:6" x14ac:dyDescent="0.25">
      <c r="A48653"/>
      <c r="B48653"/>
      <c r="C48653"/>
      <c r="E48653"/>
      <c r="F48653"/>
    </row>
    <row r="48654" spans="1:6" x14ac:dyDescent="0.25">
      <c r="A48654"/>
      <c r="B48654"/>
      <c r="C48654"/>
      <c r="E48654"/>
      <c r="F48654"/>
    </row>
    <row r="48655" spans="1:6" x14ac:dyDescent="0.25">
      <c r="A48655"/>
      <c r="B48655"/>
      <c r="C48655"/>
      <c r="E48655"/>
      <c r="F48655"/>
    </row>
    <row r="48656" spans="1:6" x14ac:dyDescent="0.25">
      <c r="A48656"/>
      <c r="B48656"/>
      <c r="C48656"/>
      <c r="E48656"/>
      <c r="F48656"/>
    </row>
    <row r="48657" spans="1:6" x14ac:dyDescent="0.25">
      <c r="A48657"/>
      <c r="B48657"/>
      <c r="C48657"/>
      <c r="E48657"/>
      <c r="F48657"/>
    </row>
    <row r="48658" spans="1:6" x14ac:dyDescent="0.25">
      <c r="A48658"/>
      <c r="B48658"/>
      <c r="C48658"/>
      <c r="E48658"/>
      <c r="F48658"/>
    </row>
    <row r="48659" spans="1:6" x14ac:dyDescent="0.25">
      <c r="A48659"/>
      <c r="B48659"/>
      <c r="C48659"/>
      <c r="E48659"/>
      <c r="F48659"/>
    </row>
    <row r="48660" spans="1:6" x14ac:dyDescent="0.25">
      <c r="A48660"/>
      <c r="B48660"/>
      <c r="C48660"/>
      <c r="E48660"/>
      <c r="F48660"/>
    </row>
    <row r="48661" spans="1:6" x14ac:dyDescent="0.25">
      <c r="A48661"/>
      <c r="B48661"/>
      <c r="C48661"/>
      <c r="E48661"/>
      <c r="F48661"/>
    </row>
    <row r="48662" spans="1:6" x14ac:dyDescent="0.25">
      <c r="A48662"/>
      <c r="B48662"/>
      <c r="C48662"/>
      <c r="E48662"/>
      <c r="F48662"/>
    </row>
    <row r="48663" spans="1:6" x14ac:dyDescent="0.25">
      <c r="A48663"/>
      <c r="B48663"/>
      <c r="C48663"/>
      <c r="E48663"/>
      <c r="F48663"/>
    </row>
    <row r="48664" spans="1:6" x14ac:dyDescent="0.25">
      <c r="A48664"/>
      <c r="B48664"/>
      <c r="C48664"/>
      <c r="E48664"/>
      <c r="F48664"/>
    </row>
    <row r="48665" spans="1:6" x14ac:dyDescent="0.25">
      <c r="A48665"/>
      <c r="B48665"/>
      <c r="C48665"/>
      <c r="E48665"/>
      <c r="F48665"/>
    </row>
    <row r="48666" spans="1:6" x14ac:dyDescent="0.25">
      <c r="A48666"/>
      <c r="B48666"/>
      <c r="C48666"/>
      <c r="E48666"/>
      <c r="F48666"/>
    </row>
    <row r="48667" spans="1:6" x14ac:dyDescent="0.25">
      <c r="A48667"/>
      <c r="B48667"/>
      <c r="C48667"/>
      <c r="E48667"/>
      <c r="F48667"/>
    </row>
    <row r="48668" spans="1:6" x14ac:dyDescent="0.25">
      <c r="A48668"/>
      <c r="B48668"/>
      <c r="C48668"/>
      <c r="E48668"/>
      <c r="F48668"/>
    </row>
    <row r="48669" spans="1:6" x14ac:dyDescent="0.25">
      <c r="A48669"/>
      <c r="B48669"/>
      <c r="C48669"/>
      <c r="E48669"/>
      <c r="F48669"/>
    </row>
    <row r="48670" spans="1:6" x14ac:dyDescent="0.25">
      <c r="A48670"/>
      <c r="B48670"/>
      <c r="C48670"/>
      <c r="E48670"/>
      <c r="F48670"/>
    </row>
    <row r="48671" spans="1:6" x14ac:dyDescent="0.25">
      <c r="A48671"/>
      <c r="B48671"/>
      <c r="C48671"/>
      <c r="E48671"/>
      <c r="F48671"/>
    </row>
    <row r="48672" spans="1:6" x14ac:dyDescent="0.25">
      <c r="A48672"/>
      <c r="B48672"/>
      <c r="C48672"/>
      <c r="E48672"/>
      <c r="F48672"/>
    </row>
    <row r="48673" spans="1:6" x14ac:dyDescent="0.25">
      <c r="A48673"/>
      <c r="B48673"/>
      <c r="C48673"/>
      <c r="E48673"/>
      <c r="F48673"/>
    </row>
    <row r="48674" spans="1:6" x14ac:dyDescent="0.25">
      <c r="A48674"/>
      <c r="B48674"/>
      <c r="C48674"/>
      <c r="E48674"/>
      <c r="F48674"/>
    </row>
    <row r="48675" spans="1:6" x14ac:dyDescent="0.25">
      <c r="A48675"/>
      <c r="B48675"/>
      <c r="C48675"/>
      <c r="E48675"/>
      <c r="F48675"/>
    </row>
    <row r="48676" spans="1:6" x14ac:dyDescent="0.25">
      <c r="A48676"/>
      <c r="B48676"/>
      <c r="C48676"/>
      <c r="E48676"/>
      <c r="F48676"/>
    </row>
    <row r="48677" spans="1:6" x14ac:dyDescent="0.25">
      <c r="A48677"/>
      <c r="B48677"/>
      <c r="C48677"/>
      <c r="E48677"/>
      <c r="F48677"/>
    </row>
    <row r="48678" spans="1:6" x14ac:dyDescent="0.25">
      <c r="A48678"/>
      <c r="B48678"/>
      <c r="C48678"/>
      <c r="E48678"/>
      <c r="F48678"/>
    </row>
    <row r="48679" spans="1:6" x14ac:dyDescent="0.25">
      <c r="A48679"/>
      <c r="B48679"/>
      <c r="C48679"/>
      <c r="E48679"/>
      <c r="F48679"/>
    </row>
    <row r="48680" spans="1:6" x14ac:dyDescent="0.25">
      <c r="A48680"/>
      <c r="B48680"/>
      <c r="C48680"/>
      <c r="E48680"/>
      <c r="F48680"/>
    </row>
    <row r="48681" spans="1:6" x14ac:dyDescent="0.25">
      <c r="A48681"/>
      <c r="B48681"/>
      <c r="C48681"/>
      <c r="E48681"/>
      <c r="F48681"/>
    </row>
    <row r="48682" spans="1:6" x14ac:dyDescent="0.25">
      <c r="A48682"/>
      <c r="B48682"/>
      <c r="C48682"/>
      <c r="E48682"/>
      <c r="F48682"/>
    </row>
    <row r="48683" spans="1:6" x14ac:dyDescent="0.25">
      <c r="A48683"/>
      <c r="B48683"/>
      <c r="C48683"/>
      <c r="E48683"/>
      <c r="F48683"/>
    </row>
    <row r="48684" spans="1:6" x14ac:dyDescent="0.25">
      <c r="A48684"/>
      <c r="B48684"/>
      <c r="C48684"/>
      <c r="E48684"/>
      <c r="F48684"/>
    </row>
    <row r="48685" spans="1:6" x14ac:dyDescent="0.25">
      <c r="A48685"/>
      <c r="B48685"/>
      <c r="C48685"/>
      <c r="E48685"/>
      <c r="F48685"/>
    </row>
    <row r="48686" spans="1:6" x14ac:dyDescent="0.25">
      <c r="A48686"/>
      <c r="B48686"/>
      <c r="C48686"/>
      <c r="E48686"/>
      <c r="F48686"/>
    </row>
    <row r="48687" spans="1:6" x14ac:dyDescent="0.25">
      <c r="A48687"/>
      <c r="B48687"/>
      <c r="C48687"/>
      <c r="E48687"/>
      <c r="F48687"/>
    </row>
    <row r="48688" spans="1:6" x14ac:dyDescent="0.25">
      <c r="A48688"/>
      <c r="B48688"/>
      <c r="C48688"/>
      <c r="E48688"/>
      <c r="F48688"/>
    </row>
    <row r="48689" spans="1:6" x14ac:dyDescent="0.25">
      <c r="A48689"/>
      <c r="B48689"/>
      <c r="C48689"/>
      <c r="E48689"/>
      <c r="F48689"/>
    </row>
    <row r="48690" spans="1:6" x14ac:dyDescent="0.25">
      <c r="A48690"/>
      <c r="B48690"/>
      <c r="C48690"/>
      <c r="E48690"/>
      <c r="F48690"/>
    </row>
    <row r="48691" spans="1:6" x14ac:dyDescent="0.25">
      <c r="A48691"/>
      <c r="B48691"/>
      <c r="C48691"/>
      <c r="E48691"/>
      <c r="F48691"/>
    </row>
    <row r="48692" spans="1:6" x14ac:dyDescent="0.25">
      <c r="A48692"/>
      <c r="B48692"/>
      <c r="C48692"/>
      <c r="E48692"/>
      <c r="F48692"/>
    </row>
    <row r="48693" spans="1:6" x14ac:dyDescent="0.25">
      <c r="A48693"/>
      <c r="B48693"/>
      <c r="C48693"/>
      <c r="E48693"/>
      <c r="F48693"/>
    </row>
    <row r="48694" spans="1:6" x14ac:dyDescent="0.25">
      <c r="A48694"/>
      <c r="B48694"/>
      <c r="C48694"/>
      <c r="E48694"/>
      <c r="F48694"/>
    </row>
    <row r="48695" spans="1:6" x14ac:dyDescent="0.25">
      <c r="A48695"/>
      <c r="B48695"/>
      <c r="C48695"/>
      <c r="E48695"/>
      <c r="F48695"/>
    </row>
    <row r="48696" spans="1:6" x14ac:dyDescent="0.25">
      <c r="A48696"/>
      <c r="B48696"/>
      <c r="C48696"/>
      <c r="E48696"/>
      <c r="F48696"/>
    </row>
    <row r="48697" spans="1:6" x14ac:dyDescent="0.25">
      <c r="A48697"/>
      <c r="B48697"/>
      <c r="C48697"/>
      <c r="E48697"/>
      <c r="F48697"/>
    </row>
    <row r="48698" spans="1:6" x14ac:dyDescent="0.25">
      <c r="A48698"/>
      <c r="B48698"/>
      <c r="C48698"/>
      <c r="E48698"/>
      <c r="F48698"/>
    </row>
    <row r="48699" spans="1:6" x14ac:dyDescent="0.25">
      <c r="A48699"/>
      <c r="B48699"/>
      <c r="C48699"/>
      <c r="E48699"/>
      <c r="F48699"/>
    </row>
    <row r="48700" spans="1:6" x14ac:dyDescent="0.25">
      <c r="A48700"/>
      <c r="B48700"/>
      <c r="C48700"/>
      <c r="E48700"/>
      <c r="F48700"/>
    </row>
    <row r="48701" spans="1:6" x14ac:dyDescent="0.25">
      <c r="A48701"/>
      <c r="B48701"/>
      <c r="C48701"/>
      <c r="E48701"/>
      <c r="F48701"/>
    </row>
    <row r="48702" spans="1:6" x14ac:dyDescent="0.25">
      <c r="A48702"/>
      <c r="B48702"/>
      <c r="C48702"/>
      <c r="E48702"/>
      <c r="F48702"/>
    </row>
    <row r="48703" spans="1:6" x14ac:dyDescent="0.25">
      <c r="A48703"/>
      <c r="B48703"/>
      <c r="C48703"/>
      <c r="E48703"/>
      <c r="F48703"/>
    </row>
    <row r="48704" spans="1:6" x14ac:dyDescent="0.25">
      <c r="A48704"/>
      <c r="B48704"/>
      <c r="C48704"/>
      <c r="E48704"/>
      <c r="F48704"/>
    </row>
    <row r="48705" spans="1:6" x14ac:dyDescent="0.25">
      <c r="A48705"/>
      <c r="B48705"/>
      <c r="C48705"/>
      <c r="E48705"/>
      <c r="F48705"/>
    </row>
    <row r="48706" spans="1:6" x14ac:dyDescent="0.25">
      <c r="A48706"/>
      <c r="B48706"/>
      <c r="C48706"/>
      <c r="E48706"/>
      <c r="F48706"/>
    </row>
    <row r="48707" spans="1:6" x14ac:dyDescent="0.25">
      <c r="A48707"/>
      <c r="B48707"/>
      <c r="C48707"/>
      <c r="E48707"/>
      <c r="F48707"/>
    </row>
    <row r="48708" spans="1:6" x14ac:dyDescent="0.25">
      <c r="A48708"/>
      <c r="B48708"/>
      <c r="C48708"/>
      <c r="E48708"/>
      <c r="F48708"/>
    </row>
    <row r="48709" spans="1:6" x14ac:dyDescent="0.25">
      <c r="A48709"/>
      <c r="B48709"/>
      <c r="C48709"/>
      <c r="E48709"/>
      <c r="F48709"/>
    </row>
    <row r="48710" spans="1:6" x14ac:dyDescent="0.25">
      <c r="A48710"/>
      <c r="B48710"/>
      <c r="C48710"/>
      <c r="E48710"/>
      <c r="F48710"/>
    </row>
    <row r="48711" spans="1:6" x14ac:dyDescent="0.25">
      <c r="A48711"/>
      <c r="B48711"/>
      <c r="C48711"/>
      <c r="E48711"/>
      <c r="F48711"/>
    </row>
    <row r="48712" spans="1:6" x14ac:dyDescent="0.25">
      <c r="A48712"/>
      <c r="B48712"/>
      <c r="C48712"/>
      <c r="E48712"/>
      <c r="F48712"/>
    </row>
    <row r="48713" spans="1:6" x14ac:dyDescent="0.25">
      <c r="A48713"/>
      <c r="B48713"/>
      <c r="C48713"/>
      <c r="E48713"/>
      <c r="F48713"/>
    </row>
    <row r="48714" spans="1:6" x14ac:dyDescent="0.25">
      <c r="A48714"/>
      <c r="B48714"/>
      <c r="C48714"/>
      <c r="E48714"/>
      <c r="F48714"/>
    </row>
    <row r="48715" spans="1:6" x14ac:dyDescent="0.25">
      <c r="A48715"/>
      <c r="B48715"/>
      <c r="C48715"/>
      <c r="E48715"/>
      <c r="F48715"/>
    </row>
    <row r="48716" spans="1:6" x14ac:dyDescent="0.25">
      <c r="A48716"/>
      <c r="B48716"/>
      <c r="C48716"/>
      <c r="E48716"/>
      <c r="F48716"/>
    </row>
    <row r="48717" spans="1:6" x14ac:dyDescent="0.25">
      <c r="A48717"/>
      <c r="B48717"/>
      <c r="C48717"/>
      <c r="E48717"/>
      <c r="F48717"/>
    </row>
    <row r="48718" spans="1:6" x14ac:dyDescent="0.25">
      <c r="A48718"/>
      <c r="B48718"/>
      <c r="C48718"/>
      <c r="E48718"/>
      <c r="F48718"/>
    </row>
    <row r="48719" spans="1:6" x14ac:dyDescent="0.25">
      <c r="A48719"/>
      <c r="B48719"/>
      <c r="C48719"/>
      <c r="E48719"/>
      <c r="F48719"/>
    </row>
    <row r="48720" spans="1:6" x14ac:dyDescent="0.25">
      <c r="A48720"/>
      <c r="B48720"/>
      <c r="C48720"/>
      <c r="E48720"/>
      <c r="F48720"/>
    </row>
    <row r="48721" spans="1:6" x14ac:dyDescent="0.25">
      <c r="A48721"/>
      <c r="B48721"/>
      <c r="C48721"/>
      <c r="E48721"/>
      <c r="F48721"/>
    </row>
    <row r="48722" spans="1:6" x14ac:dyDescent="0.25">
      <c r="A48722"/>
      <c r="B48722"/>
      <c r="C48722"/>
      <c r="E48722"/>
      <c r="F48722"/>
    </row>
    <row r="48723" spans="1:6" x14ac:dyDescent="0.25">
      <c r="A48723"/>
      <c r="B48723"/>
      <c r="C48723"/>
      <c r="E48723"/>
      <c r="F48723"/>
    </row>
    <row r="48724" spans="1:6" x14ac:dyDescent="0.25">
      <c r="A48724"/>
      <c r="B48724"/>
      <c r="C48724"/>
      <c r="E48724"/>
      <c r="F48724"/>
    </row>
    <row r="48725" spans="1:6" x14ac:dyDescent="0.25">
      <c r="A48725"/>
      <c r="B48725"/>
      <c r="C48725"/>
      <c r="E48725"/>
      <c r="F48725"/>
    </row>
    <row r="48726" spans="1:6" x14ac:dyDescent="0.25">
      <c r="A48726"/>
      <c r="B48726"/>
      <c r="C48726"/>
      <c r="E48726"/>
      <c r="F48726"/>
    </row>
    <row r="48727" spans="1:6" x14ac:dyDescent="0.25">
      <c r="A48727"/>
      <c r="B48727"/>
      <c r="C48727"/>
      <c r="E48727"/>
      <c r="F48727"/>
    </row>
    <row r="48728" spans="1:6" x14ac:dyDescent="0.25">
      <c r="A48728"/>
      <c r="B48728"/>
      <c r="C48728"/>
      <c r="E48728"/>
      <c r="F48728"/>
    </row>
    <row r="48729" spans="1:6" x14ac:dyDescent="0.25">
      <c r="A48729"/>
      <c r="B48729"/>
      <c r="C48729"/>
      <c r="E48729"/>
      <c r="F48729"/>
    </row>
    <row r="48730" spans="1:6" x14ac:dyDescent="0.25">
      <c r="A48730"/>
      <c r="B48730"/>
      <c r="C48730"/>
      <c r="E48730"/>
      <c r="F48730"/>
    </row>
    <row r="48731" spans="1:6" x14ac:dyDescent="0.25">
      <c r="A48731"/>
      <c r="B48731"/>
      <c r="C48731"/>
      <c r="E48731"/>
      <c r="F48731"/>
    </row>
    <row r="48732" spans="1:6" x14ac:dyDescent="0.25">
      <c r="A48732"/>
      <c r="B48732"/>
      <c r="C48732"/>
      <c r="E48732"/>
      <c r="F48732"/>
    </row>
    <row r="48733" spans="1:6" x14ac:dyDescent="0.25">
      <c r="A48733"/>
      <c r="B48733"/>
      <c r="C48733"/>
      <c r="E48733"/>
      <c r="F48733"/>
    </row>
    <row r="48734" spans="1:6" x14ac:dyDescent="0.25">
      <c r="A48734"/>
      <c r="B48734"/>
      <c r="C48734"/>
      <c r="E48734"/>
      <c r="F48734"/>
    </row>
    <row r="48735" spans="1:6" x14ac:dyDescent="0.25">
      <c r="A48735"/>
      <c r="B48735"/>
      <c r="C48735"/>
      <c r="E48735"/>
      <c r="F48735"/>
    </row>
    <row r="48736" spans="1:6" x14ac:dyDescent="0.25">
      <c r="A48736"/>
      <c r="B48736"/>
      <c r="C48736"/>
      <c r="E48736"/>
      <c r="F48736"/>
    </row>
    <row r="48737" spans="1:6" x14ac:dyDescent="0.25">
      <c r="A48737"/>
      <c r="B48737"/>
      <c r="C48737"/>
      <c r="E48737"/>
      <c r="F48737"/>
    </row>
    <row r="48738" spans="1:6" x14ac:dyDescent="0.25">
      <c r="A48738"/>
      <c r="B48738"/>
      <c r="C48738"/>
      <c r="E48738"/>
      <c r="F48738"/>
    </row>
    <row r="48739" spans="1:6" x14ac:dyDescent="0.25">
      <c r="A48739"/>
      <c r="B48739"/>
      <c r="C48739"/>
      <c r="E48739"/>
      <c r="F48739"/>
    </row>
    <row r="48740" spans="1:6" x14ac:dyDescent="0.25">
      <c r="A48740"/>
      <c r="B48740"/>
      <c r="C48740"/>
      <c r="E48740"/>
      <c r="F48740"/>
    </row>
    <row r="48741" spans="1:6" x14ac:dyDescent="0.25">
      <c r="A48741"/>
      <c r="B48741"/>
      <c r="C48741"/>
      <c r="E48741"/>
      <c r="F48741"/>
    </row>
    <row r="48742" spans="1:6" x14ac:dyDescent="0.25">
      <c r="A48742"/>
      <c r="B48742"/>
      <c r="C48742"/>
      <c r="E48742"/>
      <c r="F48742"/>
    </row>
    <row r="48743" spans="1:6" x14ac:dyDescent="0.25">
      <c r="A48743"/>
      <c r="B48743"/>
      <c r="C48743"/>
      <c r="E48743"/>
      <c r="F48743"/>
    </row>
    <row r="48744" spans="1:6" x14ac:dyDescent="0.25">
      <c r="A48744"/>
      <c r="B48744"/>
      <c r="C48744"/>
      <c r="E48744"/>
      <c r="F48744"/>
    </row>
    <row r="48745" spans="1:6" x14ac:dyDescent="0.25">
      <c r="A48745"/>
      <c r="B48745"/>
      <c r="C48745"/>
      <c r="E48745"/>
      <c r="F48745"/>
    </row>
    <row r="48746" spans="1:6" x14ac:dyDescent="0.25">
      <c r="A48746"/>
      <c r="B48746"/>
      <c r="C48746"/>
      <c r="E48746"/>
      <c r="F48746"/>
    </row>
    <row r="48747" spans="1:6" x14ac:dyDescent="0.25">
      <c r="A48747"/>
      <c r="B48747"/>
      <c r="C48747"/>
      <c r="E48747"/>
      <c r="F48747"/>
    </row>
    <row r="48748" spans="1:6" x14ac:dyDescent="0.25">
      <c r="A48748"/>
      <c r="B48748"/>
      <c r="C48748"/>
      <c r="E48748"/>
      <c r="F48748"/>
    </row>
    <row r="48749" spans="1:6" x14ac:dyDescent="0.25">
      <c r="A48749"/>
      <c r="B48749"/>
      <c r="C48749"/>
      <c r="E48749"/>
      <c r="F48749"/>
    </row>
    <row r="48750" spans="1:6" x14ac:dyDescent="0.25">
      <c r="A48750"/>
      <c r="B48750"/>
      <c r="C48750"/>
      <c r="E48750"/>
      <c r="F48750"/>
    </row>
    <row r="48751" spans="1:6" x14ac:dyDescent="0.25">
      <c r="A48751"/>
      <c r="B48751"/>
      <c r="C48751"/>
      <c r="E48751"/>
      <c r="F48751"/>
    </row>
    <row r="48752" spans="1:6" x14ac:dyDescent="0.25">
      <c r="A48752"/>
      <c r="B48752"/>
      <c r="C48752"/>
      <c r="E48752"/>
      <c r="F48752"/>
    </row>
    <row r="48753" spans="1:6" x14ac:dyDescent="0.25">
      <c r="A48753"/>
      <c r="B48753"/>
      <c r="C48753"/>
      <c r="E48753"/>
      <c r="F48753"/>
    </row>
    <row r="48754" spans="1:6" x14ac:dyDescent="0.25">
      <c r="A48754"/>
      <c r="B48754"/>
      <c r="C48754"/>
      <c r="E48754"/>
      <c r="F48754"/>
    </row>
    <row r="48755" spans="1:6" x14ac:dyDescent="0.25">
      <c r="A48755"/>
      <c r="B48755"/>
      <c r="C48755"/>
      <c r="E48755"/>
      <c r="F48755"/>
    </row>
    <row r="48756" spans="1:6" x14ac:dyDescent="0.25">
      <c r="A48756"/>
      <c r="B48756"/>
      <c r="C48756"/>
      <c r="E48756"/>
      <c r="F48756"/>
    </row>
    <row r="48757" spans="1:6" x14ac:dyDescent="0.25">
      <c r="A48757"/>
      <c r="B48757"/>
      <c r="C48757"/>
      <c r="E48757"/>
      <c r="F48757"/>
    </row>
    <row r="48758" spans="1:6" x14ac:dyDescent="0.25">
      <c r="A48758"/>
      <c r="B48758"/>
      <c r="C48758"/>
      <c r="E48758"/>
      <c r="F48758"/>
    </row>
    <row r="48759" spans="1:6" x14ac:dyDescent="0.25">
      <c r="A48759"/>
      <c r="B48759"/>
      <c r="C48759"/>
      <c r="E48759"/>
      <c r="F48759"/>
    </row>
    <row r="48760" spans="1:6" x14ac:dyDescent="0.25">
      <c r="A48760"/>
      <c r="B48760"/>
      <c r="C48760"/>
      <c r="E48760"/>
      <c r="F48760"/>
    </row>
    <row r="48761" spans="1:6" x14ac:dyDescent="0.25">
      <c r="A48761"/>
      <c r="B48761"/>
      <c r="C48761"/>
      <c r="E48761"/>
      <c r="F48761"/>
    </row>
    <row r="48762" spans="1:6" x14ac:dyDescent="0.25">
      <c r="A48762"/>
      <c r="B48762"/>
      <c r="C48762"/>
      <c r="E48762"/>
      <c r="F48762"/>
    </row>
    <row r="48763" spans="1:6" x14ac:dyDescent="0.25">
      <c r="A48763"/>
      <c r="B48763"/>
      <c r="C48763"/>
      <c r="E48763"/>
      <c r="F48763"/>
    </row>
    <row r="48764" spans="1:6" x14ac:dyDescent="0.25">
      <c r="A48764"/>
      <c r="B48764"/>
      <c r="C48764"/>
      <c r="E48764"/>
      <c r="F48764"/>
    </row>
    <row r="48765" spans="1:6" x14ac:dyDescent="0.25">
      <c r="A48765"/>
      <c r="B48765"/>
      <c r="C48765"/>
      <c r="E48765"/>
      <c r="F48765"/>
    </row>
    <row r="48766" spans="1:6" x14ac:dyDescent="0.25">
      <c r="A48766"/>
      <c r="B48766"/>
      <c r="C48766"/>
      <c r="E48766"/>
      <c r="F48766"/>
    </row>
    <row r="48767" spans="1:6" x14ac:dyDescent="0.25">
      <c r="A48767"/>
      <c r="B48767"/>
      <c r="C48767"/>
      <c r="E48767"/>
      <c r="F48767"/>
    </row>
    <row r="48768" spans="1:6" x14ac:dyDescent="0.25">
      <c r="A48768"/>
      <c r="B48768"/>
      <c r="C48768"/>
      <c r="E48768"/>
      <c r="F48768"/>
    </row>
    <row r="48769" spans="1:6" x14ac:dyDescent="0.25">
      <c r="A48769"/>
      <c r="B48769"/>
      <c r="C48769"/>
      <c r="E48769"/>
      <c r="F48769"/>
    </row>
    <row r="48770" spans="1:6" x14ac:dyDescent="0.25">
      <c r="A48770"/>
      <c r="B48770"/>
      <c r="C48770"/>
      <c r="E48770"/>
      <c r="F48770"/>
    </row>
    <row r="48771" spans="1:6" x14ac:dyDescent="0.25">
      <c r="A48771"/>
      <c r="B48771"/>
      <c r="C48771"/>
      <c r="E48771"/>
      <c r="F48771"/>
    </row>
    <row r="48772" spans="1:6" x14ac:dyDescent="0.25">
      <c r="A48772"/>
      <c r="B48772"/>
      <c r="C48772"/>
      <c r="E48772"/>
      <c r="F48772"/>
    </row>
    <row r="48773" spans="1:6" x14ac:dyDescent="0.25">
      <c r="A48773"/>
      <c r="B48773"/>
      <c r="C48773"/>
      <c r="E48773"/>
      <c r="F48773"/>
    </row>
    <row r="48774" spans="1:6" x14ac:dyDescent="0.25">
      <c r="A48774"/>
      <c r="B48774"/>
      <c r="C48774"/>
      <c r="E48774"/>
      <c r="F48774"/>
    </row>
    <row r="48775" spans="1:6" x14ac:dyDescent="0.25">
      <c r="A48775"/>
      <c r="B48775"/>
      <c r="C48775"/>
      <c r="E48775"/>
      <c r="F48775"/>
    </row>
    <row r="48776" spans="1:6" x14ac:dyDescent="0.25">
      <c r="A48776"/>
      <c r="B48776"/>
      <c r="C48776"/>
      <c r="E48776"/>
      <c r="F48776"/>
    </row>
    <row r="48777" spans="1:6" x14ac:dyDescent="0.25">
      <c r="A48777"/>
      <c r="B48777"/>
      <c r="C48777"/>
      <c r="E48777"/>
      <c r="F48777"/>
    </row>
    <row r="48778" spans="1:6" x14ac:dyDescent="0.25">
      <c r="A48778"/>
      <c r="B48778"/>
      <c r="C48778"/>
      <c r="E48778"/>
      <c r="F48778"/>
    </row>
    <row r="48779" spans="1:6" x14ac:dyDescent="0.25">
      <c r="A48779"/>
      <c r="B48779"/>
      <c r="C48779"/>
      <c r="E48779"/>
      <c r="F48779"/>
    </row>
    <row r="48780" spans="1:6" x14ac:dyDescent="0.25">
      <c r="A48780"/>
      <c r="B48780"/>
      <c r="C48780"/>
      <c r="E48780"/>
      <c r="F48780"/>
    </row>
    <row r="48781" spans="1:6" x14ac:dyDescent="0.25">
      <c r="A48781"/>
      <c r="B48781"/>
      <c r="C48781"/>
      <c r="E48781"/>
      <c r="F48781"/>
    </row>
    <row r="48782" spans="1:6" x14ac:dyDescent="0.25">
      <c r="A48782"/>
      <c r="B48782"/>
      <c r="C48782"/>
      <c r="E48782"/>
      <c r="F48782"/>
    </row>
    <row r="48783" spans="1:6" x14ac:dyDescent="0.25">
      <c r="A48783"/>
      <c r="B48783"/>
      <c r="C48783"/>
      <c r="E48783"/>
      <c r="F48783"/>
    </row>
    <row r="48784" spans="1:6" x14ac:dyDescent="0.25">
      <c r="A48784"/>
      <c r="B48784"/>
      <c r="C48784"/>
      <c r="E48784"/>
      <c r="F48784"/>
    </row>
    <row r="48785" spans="1:6" x14ac:dyDescent="0.25">
      <c r="A48785"/>
      <c r="B48785"/>
      <c r="C48785"/>
      <c r="E48785"/>
      <c r="F48785"/>
    </row>
    <row r="48786" spans="1:6" x14ac:dyDescent="0.25">
      <c r="A48786"/>
      <c r="B48786"/>
      <c r="C48786"/>
      <c r="E48786"/>
      <c r="F48786"/>
    </row>
    <row r="48787" spans="1:6" x14ac:dyDescent="0.25">
      <c r="A48787"/>
      <c r="B48787"/>
      <c r="C48787"/>
      <c r="E48787"/>
      <c r="F48787"/>
    </row>
    <row r="48788" spans="1:6" x14ac:dyDescent="0.25">
      <c r="A48788"/>
      <c r="B48788"/>
      <c r="C48788"/>
      <c r="E48788"/>
      <c r="F48788"/>
    </row>
    <row r="48789" spans="1:6" x14ac:dyDescent="0.25">
      <c r="A48789"/>
      <c r="B48789"/>
      <c r="C48789"/>
      <c r="E48789"/>
      <c r="F48789"/>
    </row>
    <row r="48790" spans="1:6" x14ac:dyDescent="0.25">
      <c r="A48790"/>
      <c r="B48790"/>
      <c r="C48790"/>
      <c r="E48790"/>
      <c r="F48790"/>
    </row>
    <row r="48791" spans="1:6" x14ac:dyDescent="0.25">
      <c r="A48791"/>
      <c r="B48791"/>
      <c r="C48791"/>
      <c r="E48791"/>
      <c r="F48791"/>
    </row>
    <row r="48792" spans="1:6" x14ac:dyDescent="0.25">
      <c r="A48792"/>
      <c r="B48792"/>
      <c r="C48792"/>
      <c r="E48792"/>
      <c r="F48792"/>
    </row>
    <row r="48793" spans="1:6" x14ac:dyDescent="0.25">
      <c r="A48793"/>
      <c r="B48793"/>
      <c r="C48793"/>
      <c r="E48793"/>
      <c r="F48793"/>
    </row>
    <row r="48794" spans="1:6" x14ac:dyDescent="0.25">
      <c r="A48794"/>
      <c r="B48794"/>
      <c r="C48794"/>
      <c r="E48794"/>
      <c r="F48794"/>
    </row>
    <row r="48795" spans="1:6" x14ac:dyDescent="0.25">
      <c r="A48795"/>
      <c r="B48795"/>
      <c r="C48795"/>
      <c r="E48795"/>
      <c r="F48795"/>
    </row>
    <row r="48796" spans="1:6" x14ac:dyDescent="0.25">
      <c r="A48796"/>
      <c r="B48796"/>
      <c r="C48796"/>
      <c r="E48796"/>
      <c r="F48796"/>
    </row>
    <row r="48797" spans="1:6" x14ac:dyDescent="0.25">
      <c r="A48797"/>
      <c r="B48797"/>
      <c r="C48797"/>
      <c r="E48797"/>
      <c r="F48797"/>
    </row>
    <row r="48798" spans="1:6" x14ac:dyDescent="0.25">
      <c r="A48798"/>
      <c r="B48798"/>
      <c r="C48798"/>
      <c r="E48798"/>
      <c r="F48798"/>
    </row>
    <row r="48799" spans="1:6" x14ac:dyDescent="0.25">
      <c r="A48799"/>
      <c r="B48799"/>
      <c r="C48799"/>
      <c r="E48799"/>
      <c r="F48799"/>
    </row>
    <row r="48800" spans="1:6" x14ac:dyDescent="0.25">
      <c r="A48800"/>
      <c r="B48800"/>
      <c r="C48800"/>
      <c r="E48800"/>
      <c r="F48800"/>
    </row>
    <row r="48801" spans="1:6" x14ac:dyDescent="0.25">
      <c r="A48801"/>
      <c r="B48801"/>
      <c r="C48801"/>
      <c r="E48801"/>
      <c r="F48801"/>
    </row>
    <row r="48802" spans="1:6" x14ac:dyDescent="0.25">
      <c r="A48802"/>
      <c r="B48802"/>
      <c r="C48802"/>
      <c r="E48802"/>
      <c r="F48802"/>
    </row>
    <row r="48803" spans="1:6" x14ac:dyDescent="0.25">
      <c r="A48803"/>
      <c r="B48803"/>
      <c r="C48803"/>
      <c r="E48803"/>
      <c r="F48803"/>
    </row>
    <row r="48804" spans="1:6" x14ac:dyDescent="0.25">
      <c r="A48804"/>
      <c r="B48804"/>
      <c r="C48804"/>
      <c r="E48804"/>
      <c r="F48804"/>
    </row>
    <row r="48805" spans="1:6" x14ac:dyDescent="0.25">
      <c r="A48805"/>
      <c r="B48805"/>
      <c r="C48805"/>
      <c r="E48805"/>
      <c r="F48805"/>
    </row>
    <row r="48806" spans="1:6" x14ac:dyDescent="0.25">
      <c r="A48806"/>
      <c r="B48806"/>
      <c r="C48806"/>
      <c r="E48806"/>
      <c r="F48806"/>
    </row>
    <row r="48807" spans="1:6" x14ac:dyDescent="0.25">
      <c r="A48807"/>
      <c r="B48807"/>
      <c r="C48807"/>
      <c r="E48807"/>
      <c r="F48807"/>
    </row>
    <row r="48808" spans="1:6" x14ac:dyDescent="0.25">
      <c r="A48808"/>
      <c r="B48808"/>
      <c r="C48808"/>
      <c r="E48808"/>
      <c r="F48808"/>
    </row>
    <row r="48809" spans="1:6" x14ac:dyDescent="0.25">
      <c r="A48809"/>
      <c r="B48809"/>
      <c r="C48809"/>
      <c r="E48809"/>
      <c r="F48809"/>
    </row>
    <row r="48810" spans="1:6" x14ac:dyDescent="0.25">
      <c r="A48810"/>
      <c r="B48810"/>
      <c r="C48810"/>
      <c r="E48810"/>
      <c r="F48810"/>
    </row>
    <row r="48811" spans="1:6" x14ac:dyDescent="0.25">
      <c r="A48811"/>
      <c r="B48811"/>
      <c r="C48811"/>
      <c r="E48811"/>
      <c r="F48811"/>
    </row>
    <row r="48812" spans="1:6" x14ac:dyDescent="0.25">
      <c r="A48812"/>
      <c r="B48812"/>
      <c r="C48812"/>
      <c r="E48812"/>
      <c r="F48812"/>
    </row>
    <row r="48813" spans="1:6" x14ac:dyDescent="0.25">
      <c r="A48813"/>
      <c r="B48813"/>
      <c r="C48813"/>
      <c r="E48813"/>
      <c r="F48813"/>
    </row>
    <row r="48814" spans="1:6" x14ac:dyDescent="0.25">
      <c r="A48814"/>
      <c r="B48814"/>
      <c r="C48814"/>
      <c r="E48814"/>
      <c r="F48814"/>
    </row>
    <row r="48815" spans="1:6" x14ac:dyDescent="0.25">
      <c r="A48815"/>
      <c r="B48815"/>
      <c r="C48815"/>
      <c r="E48815"/>
      <c r="F48815"/>
    </row>
    <row r="48816" spans="1:6" x14ac:dyDescent="0.25">
      <c r="A48816"/>
      <c r="B48816"/>
      <c r="C48816"/>
      <c r="E48816"/>
      <c r="F48816"/>
    </row>
    <row r="48817" spans="1:6" x14ac:dyDescent="0.25">
      <c r="A48817"/>
      <c r="B48817"/>
      <c r="C48817"/>
      <c r="E48817"/>
      <c r="F48817"/>
    </row>
    <row r="48818" spans="1:6" x14ac:dyDescent="0.25">
      <c r="A48818"/>
      <c r="B48818"/>
      <c r="C48818"/>
      <c r="E48818"/>
      <c r="F48818"/>
    </row>
    <row r="48819" spans="1:6" x14ac:dyDescent="0.25">
      <c r="A48819"/>
      <c r="B48819"/>
      <c r="C48819"/>
      <c r="E48819"/>
      <c r="F48819"/>
    </row>
    <row r="48820" spans="1:6" x14ac:dyDescent="0.25">
      <c r="A48820"/>
      <c r="B48820"/>
      <c r="C48820"/>
      <c r="E48820"/>
      <c r="F48820"/>
    </row>
    <row r="48821" spans="1:6" x14ac:dyDescent="0.25">
      <c r="A48821"/>
      <c r="B48821"/>
      <c r="C48821"/>
      <c r="E48821"/>
      <c r="F48821"/>
    </row>
    <row r="48822" spans="1:6" x14ac:dyDescent="0.25">
      <c r="A48822"/>
      <c r="B48822"/>
      <c r="C48822"/>
      <c r="E48822"/>
      <c r="F48822"/>
    </row>
    <row r="48823" spans="1:6" x14ac:dyDescent="0.25">
      <c r="A48823"/>
      <c r="B48823"/>
      <c r="C48823"/>
      <c r="E48823"/>
      <c r="F48823"/>
    </row>
    <row r="48824" spans="1:6" x14ac:dyDescent="0.25">
      <c r="A48824"/>
      <c r="B48824"/>
      <c r="C48824"/>
      <c r="E48824"/>
      <c r="F48824"/>
    </row>
    <row r="48825" spans="1:6" x14ac:dyDescent="0.25">
      <c r="A48825"/>
      <c r="B48825"/>
      <c r="C48825"/>
      <c r="E48825"/>
      <c r="F48825"/>
    </row>
    <row r="48826" spans="1:6" x14ac:dyDescent="0.25">
      <c r="A48826"/>
      <c r="B48826"/>
      <c r="C48826"/>
      <c r="E48826"/>
      <c r="F48826"/>
    </row>
    <row r="48827" spans="1:6" x14ac:dyDescent="0.25">
      <c r="A48827"/>
      <c r="B48827"/>
      <c r="C48827"/>
      <c r="E48827"/>
      <c r="F48827"/>
    </row>
    <row r="48828" spans="1:6" x14ac:dyDescent="0.25">
      <c r="A48828"/>
      <c r="B48828"/>
      <c r="C48828"/>
      <c r="E48828"/>
      <c r="F48828"/>
    </row>
    <row r="48829" spans="1:6" x14ac:dyDescent="0.25">
      <c r="A48829"/>
      <c r="B48829"/>
      <c r="C48829"/>
      <c r="E48829"/>
      <c r="F48829"/>
    </row>
    <row r="48830" spans="1:6" x14ac:dyDescent="0.25">
      <c r="A48830"/>
      <c r="B48830"/>
      <c r="C48830"/>
      <c r="E48830"/>
      <c r="F48830"/>
    </row>
    <row r="48831" spans="1:6" x14ac:dyDescent="0.25">
      <c r="A48831"/>
      <c r="B48831"/>
      <c r="C48831"/>
      <c r="E48831"/>
      <c r="F48831"/>
    </row>
    <row r="48832" spans="1:6" x14ac:dyDescent="0.25">
      <c r="A48832"/>
      <c r="B48832"/>
      <c r="C48832"/>
      <c r="E48832"/>
      <c r="F48832"/>
    </row>
    <row r="48833" spans="1:6" x14ac:dyDescent="0.25">
      <c r="A48833"/>
      <c r="B48833"/>
      <c r="C48833"/>
      <c r="E48833"/>
      <c r="F48833"/>
    </row>
    <row r="48834" spans="1:6" x14ac:dyDescent="0.25">
      <c r="A48834"/>
      <c r="B48834"/>
      <c r="C48834"/>
      <c r="E48834"/>
      <c r="F48834"/>
    </row>
    <row r="48835" spans="1:6" x14ac:dyDescent="0.25">
      <c r="A48835"/>
      <c r="B48835"/>
      <c r="C48835"/>
      <c r="E48835"/>
      <c r="F48835"/>
    </row>
    <row r="48836" spans="1:6" x14ac:dyDescent="0.25">
      <c r="A48836"/>
      <c r="B48836"/>
      <c r="C48836"/>
      <c r="E48836"/>
      <c r="F48836"/>
    </row>
    <row r="48837" spans="1:6" x14ac:dyDescent="0.25">
      <c r="A48837"/>
      <c r="B48837"/>
      <c r="C48837"/>
      <c r="E48837"/>
      <c r="F48837"/>
    </row>
    <row r="48838" spans="1:6" x14ac:dyDescent="0.25">
      <c r="A48838"/>
      <c r="B48838"/>
      <c r="C48838"/>
      <c r="E48838"/>
      <c r="F48838"/>
    </row>
    <row r="48839" spans="1:6" x14ac:dyDescent="0.25">
      <c r="A48839"/>
      <c r="B48839"/>
      <c r="C48839"/>
      <c r="E48839"/>
      <c r="F48839"/>
    </row>
    <row r="48840" spans="1:6" x14ac:dyDescent="0.25">
      <c r="A48840"/>
      <c r="B48840"/>
      <c r="C48840"/>
      <c r="E48840"/>
      <c r="F48840"/>
    </row>
    <row r="48841" spans="1:6" x14ac:dyDescent="0.25">
      <c r="A48841"/>
      <c r="B48841"/>
      <c r="C48841"/>
      <c r="E48841"/>
      <c r="F48841"/>
    </row>
    <row r="48842" spans="1:6" x14ac:dyDescent="0.25">
      <c r="A48842"/>
      <c r="B48842"/>
      <c r="C48842"/>
      <c r="E48842"/>
      <c r="F48842"/>
    </row>
    <row r="48843" spans="1:6" x14ac:dyDescent="0.25">
      <c r="A48843"/>
      <c r="B48843"/>
      <c r="C48843"/>
      <c r="E48843"/>
      <c r="F48843"/>
    </row>
    <row r="48844" spans="1:6" x14ac:dyDescent="0.25">
      <c r="A48844"/>
      <c r="B48844"/>
      <c r="C48844"/>
      <c r="E48844"/>
      <c r="F48844"/>
    </row>
    <row r="48845" spans="1:6" x14ac:dyDescent="0.25">
      <c r="A48845"/>
      <c r="B48845"/>
      <c r="C48845"/>
      <c r="E48845"/>
      <c r="F48845"/>
    </row>
    <row r="48846" spans="1:6" x14ac:dyDescent="0.25">
      <c r="A48846"/>
      <c r="B48846"/>
      <c r="C48846"/>
      <c r="E48846"/>
      <c r="F48846"/>
    </row>
    <row r="48847" spans="1:6" x14ac:dyDescent="0.25">
      <c r="A48847"/>
      <c r="B48847"/>
      <c r="C48847"/>
      <c r="E48847"/>
      <c r="F48847"/>
    </row>
    <row r="48848" spans="1:6" x14ac:dyDescent="0.25">
      <c r="A48848"/>
      <c r="B48848"/>
      <c r="C48848"/>
      <c r="E48848"/>
      <c r="F48848"/>
    </row>
    <row r="48849" spans="1:6" x14ac:dyDescent="0.25">
      <c r="A48849"/>
      <c r="B48849"/>
      <c r="C48849"/>
      <c r="E48849"/>
      <c r="F48849"/>
    </row>
    <row r="48850" spans="1:6" x14ac:dyDescent="0.25">
      <c r="A48850"/>
      <c r="B48850"/>
      <c r="C48850"/>
      <c r="E48850"/>
      <c r="F48850"/>
    </row>
    <row r="48851" spans="1:6" x14ac:dyDescent="0.25">
      <c r="A48851"/>
      <c r="B48851"/>
      <c r="C48851"/>
      <c r="E48851"/>
      <c r="F48851"/>
    </row>
    <row r="48852" spans="1:6" x14ac:dyDescent="0.25">
      <c r="A48852"/>
      <c r="B48852"/>
      <c r="C48852"/>
      <c r="E48852"/>
      <c r="F48852"/>
    </row>
    <row r="48853" spans="1:6" x14ac:dyDescent="0.25">
      <c r="A48853"/>
      <c r="B48853"/>
      <c r="C48853"/>
      <c r="E48853"/>
      <c r="F48853"/>
    </row>
    <row r="48854" spans="1:6" x14ac:dyDescent="0.25">
      <c r="A48854"/>
      <c r="B48854"/>
      <c r="C48854"/>
      <c r="E48854"/>
      <c r="F48854"/>
    </row>
    <row r="48855" spans="1:6" x14ac:dyDescent="0.25">
      <c r="A48855"/>
      <c r="B48855"/>
      <c r="C48855"/>
      <c r="E48855"/>
      <c r="F48855"/>
    </row>
    <row r="48856" spans="1:6" x14ac:dyDescent="0.25">
      <c r="A48856"/>
      <c r="B48856"/>
      <c r="C48856"/>
      <c r="E48856"/>
      <c r="F48856"/>
    </row>
    <row r="48857" spans="1:6" x14ac:dyDescent="0.25">
      <c r="A48857"/>
      <c r="B48857"/>
      <c r="C48857"/>
      <c r="E48857"/>
      <c r="F48857"/>
    </row>
    <row r="48858" spans="1:6" x14ac:dyDescent="0.25">
      <c r="A48858"/>
      <c r="B48858"/>
      <c r="C48858"/>
      <c r="E48858"/>
      <c r="F48858"/>
    </row>
    <row r="48859" spans="1:6" x14ac:dyDescent="0.25">
      <c r="A48859"/>
      <c r="B48859"/>
      <c r="C48859"/>
      <c r="E48859"/>
      <c r="F48859"/>
    </row>
    <row r="48860" spans="1:6" x14ac:dyDescent="0.25">
      <c r="A48860"/>
      <c r="B48860"/>
      <c r="C48860"/>
      <c r="E48860"/>
      <c r="F48860"/>
    </row>
    <row r="48861" spans="1:6" x14ac:dyDescent="0.25">
      <c r="A48861"/>
      <c r="B48861"/>
      <c r="C48861"/>
      <c r="E48861"/>
      <c r="F48861"/>
    </row>
    <row r="48862" spans="1:6" x14ac:dyDescent="0.25">
      <c r="A48862"/>
      <c r="B48862"/>
      <c r="C48862"/>
      <c r="E48862"/>
      <c r="F48862"/>
    </row>
    <row r="48863" spans="1:6" x14ac:dyDescent="0.25">
      <c r="A48863"/>
      <c r="B48863"/>
      <c r="C48863"/>
      <c r="E48863"/>
      <c r="F48863"/>
    </row>
    <row r="48864" spans="1:6" x14ac:dyDescent="0.25">
      <c r="A48864"/>
      <c r="B48864"/>
      <c r="C48864"/>
      <c r="E48864"/>
      <c r="F48864"/>
    </row>
    <row r="48865" spans="1:6" x14ac:dyDescent="0.25">
      <c r="A48865"/>
      <c r="B48865"/>
      <c r="C48865"/>
      <c r="E48865"/>
      <c r="F48865"/>
    </row>
    <row r="48866" spans="1:6" x14ac:dyDescent="0.25">
      <c r="A48866"/>
      <c r="B48866"/>
      <c r="C48866"/>
      <c r="E48866"/>
      <c r="F48866"/>
    </row>
    <row r="48867" spans="1:6" x14ac:dyDescent="0.25">
      <c r="A48867"/>
      <c r="B48867"/>
      <c r="C48867"/>
      <c r="E48867"/>
      <c r="F48867"/>
    </row>
    <row r="48868" spans="1:6" x14ac:dyDescent="0.25">
      <c r="A48868"/>
      <c r="B48868"/>
      <c r="C48868"/>
      <c r="E48868"/>
      <c r="F48868"/>
    </row>
    <row r="48869" spans="1:6" x14ac:dyDescent="0.25">
      <c r="A48869"/>
      <c r="B48869"/>
      <c r="C48869"/>
      <c r="E48869"/>
      <c r="F48869"/>
    </row>
    <row r="48870" spans="1:6" x14ac:dyDescent="0.25">
      <c r="A48870"/>
      <c r="B48870"/>
      <c r="C48870"/>
      <c r="E48870"/>
      <c r="F48870"/>
    </row>
    <row r="48871" spans="1:6" x14ac:dyDescent="0.25">
      <c r="A48871"/>
      <c r="B48871"/>
      <c r="C48871"/>
      <c r="E48871"/>
      <c r="F48871"/>
    </row>
    <row r="48872" spans="1:6" x14ac:dyDescent="0.25">
      <c r="A48872"/>
      <c r="B48872"/>
      <c r="C48872"/>
      <c r="E48872"/>
      <c r="F48872"/>
    </row>
    <row r="48873" spans="1:6" x14ac:dyDescent="0.25">
      <c r="A48873"/>
      <c r="B48873"/>
      <c r="C48873"/>
      <c r="E48873"/>
      <c r="F48873"/>
    </row>
    <row r="48874" spans="1:6" x14ac:dyDescent="0.25">
      <c r="A48874"/>
      <c r="B48874"/>
      <c r="C48874"/>
      <c r="E48874"/>
      <c r="F48874"/>
    </row>
    <row r="48875" spans="1:6" x14ac:dyDescent="0.25">
      <c r="A48875"/>
      <c r="B48875"/>
      <c r="C48875"/>
      <c r="E48875"/>
      <c r="F48875"/>
    </row>
    <row r="48876" spans="1:6" x14ac:dyDescent="0.25">
      <c r="A48876"/>
      <c r="B48876"/>
      <c r="C48876"/>
      <c r="E48876"/>
      <c r="F48876"/>
    </row>
    <row r="48877" spans="1:6" x14ac:dyDescent="0.25">
      <c r="A48877"/>
      <c r="B48877"/>
      <c r="C48877"/>
      <c r="E48877"/>
      <c r="F48877"/>
    </row>
    <row r="48878" spans="1:6" x14ac:dyDescent="0.25">
      <c r="A48878"/>
      <c r="B48878"/>
      <c r="C48878"/>
      <c r="E48878"/>
      <c r="F48878"/>
    </row>
    <row r="48879" spans="1:6" x14ac:dyDescent="0.25">
      <c r="A48879"/>
      <c r="B48879"/>
      <c r="C48879"/>
      <c r="E48879"/>
      <c r="F48879"/>
    </row>
    <row r="48880" spans="1:6" x14ac:dyDescent="0.25">
      <c r="A48880"/>
      <c r="B48880"/>
      <c r="C48880"/>
      <c r="E48880"/>
      <c r="F48880"/>
    </row>
    <row r="48881" spans="1:6" x14ac:dyDescent="0.25">
      <c r="A48881"/>
      <c r="B48881"/>
      <c r="C48881"/>
      <c r="E48881"/>
      <c r="F48881"/>
    </row>
    <row r="48882" spans="1:6" x14ac:dyDescent="0.25">
      <c r="A48882"/>
      <c r="B48882"/>
      <c r="C48882"/>
      <c r="E48882"/>
      <c r="F48882"/>
    </row>
    <row r="48883" spans="1:6" x14ac:dyDescent="0.25">
      <c r="A48883"/>
      <c r="B48883"/>
      <c r="C48883"/>
      <c r="E48883"/>
      <c r="F48883"/>
    </row>
    <row r="48884" spans="1:6" x14ac:dyDescent="0.25">
      <c r="A48884"/>
      <c r="B48884"/>
      <c r="C48884"/>
      <c r="E48884"/>
      <c r="F48884"/>
    </row>
    <row r="48885" spans="1:6" x14ac:dyDescent="0.25">
      <c r="A48885"/>
      <c r="B48885"/>
      <c r="C48885"/>
      <c r="E48885"/>
      <c r="F48885"/>
    </row>
    <row r="48886" spans="1:6" x14ac:dyDescent="0.25">
      <c r="A48886"/>
      <c r="B48886"/>
      <c r="C48886"/>
      <c r="E48886"/>
      <c r="F48886"/>
    </row>
    <row r="48887" spans="1:6" x14ac:dyDescent="0.25">
      <c r="A48887"/>
      <c r="B48887"/>
      <c r="C48887"/>
      <c r="E48887"/>
      <c r="F48887"/>
    </row>
    <row r="48888" spans="1:6" x14ac:dyDescent="0.25">
      <c r="A48888"/>
      <c r="B48888"/>
      <c r="C48888"/>
      <c r="E48888"/>
      <c r="F48888"/>
    </row>
    <row r="48889" spans="1:6" x14ac:dyDescent="0.25">
      <c r="A48889"/>
      <c r="B48889"/>
      <c r="C48889"/>
      <c r="E48889"/>
      <c r="F48889"/>
    </row>
    <row r="48890" spans="1:6" x14ac:dyDescent="0.25">
      <c r="A48890"/>
      <c r="B48890"/>
      <c r="C48890"/>
      <c r="E48890"/>
      <c r="F48890"/>
    </row>
    <row r="48891" spans="1:6" x14ac:dyDescent="0.25">
      <c r="A48891"/>
      <c r="B48891"/>
      <c r="C48891"/>
      <c r="E48891"/>
      <c r="F48891"/>
    </row>
    <row r="48892" spans="1:6" x14ac:dyDescent="0.25">
      <c r="A48892"/>
      <c r="B48892"/>
      <c r="C48892"/>
      <c r="E48892"/>
      <c r="F48892"/>
    </row>
    <row r="48893" spans="1:6" x14ac:dyDescent="0.25">
      <c r="A48893"/>
      <c r="B48893"/>
      <c r="C48893"/>
      <c r="E48893"/>
      <c r="F48893"/>
    </row>
    <row r="48894" spans="1:6" x14ac:dyDescent="0.25">
      <c r="A48894"/>
      <c r="B48894"/>
      <c r="C48894"/>
      <c r="E48894"/>
      <c r="F48894"/>
    </row>
    <row r="48895" spans="1:6" x14ac:dyDescent="0.25">
      <c r="A48895"/>
      <c r="B48895"/>
      <c r="C48895"/>
      <c r="E48895"/>
      <c r="F48895"/>
    </row>
    <row r="48896" spans="1:6" x14ac:dyDescent="0.25">
      <c r="A48896"/>
      <c r="B48896"/>
      <c r="C48896"/>
      <c r="E48896"/>
      <c r="F48896"/>
    </row>
    <row r="48897" spans="1:6" x14ac:dyDescent="0.25">
      <c r="A48897"/>
      <c r="B48897"/>
      <c r="C48897"/>
      <c r="E48897"/>
      <c r="F48897"/>
    </row>
    <row r="48898" spans="1:6" x14ac:dyDescent="0.25">
      <c r="A48898"/>
      <c r="B48898"/>
      <c r="C48898"/>
      <c r="E48898"/>
      <c r="F48898"/>
    </row>
    <row r="48899" spans="1:6" x14ac:dyDescent="0.25">
      <c r="A48899"/>
      <c r="B48899"/>
      <c r="C48899"/>
      <c r="E48899"/>
      <c r="F48899"/>
    </row>
    <row r="48900" spans="1:6" x14ac:dyDescent="0.25">
      <c r="A48900"/>
      <c r="B48900"/>
      <c r="C48900"/>
      <c r="E48900"/>
      <c r="F48900"/>
    </row>
    <row r="48901" spans="1:6" x14ac:dyDescent="0.25">
      <c r="A48901"/>
      <c r="B48901"/>
      <c r="C48901"/>
      <c r="E48901"/>
      <c r="F48901"/>
    </row>
    <row r="48902" spans="1:6" x14ac:dyDescent="0.25">
      <c r="A48902"/>
      <c r="B48902"/>
      <c r="C48902"/>
      <c r="E48902"/>
      <c r="F48902"/>
    </row>
    <row r="48903" spans="1:6" x14ac:dyDescent="0.25">
      <c r="A48903"/>
      <c r="B48903"/>
      <c r="C48903"/>
      <c r="E48903"/>
      <c r="F48903"/>
    </row>
    <row r="48904" spans="1:6" x14ac:dyDescent="0.25">
      <c r="A48904"/>
      <c r="B48904"/>
      <c r="C48904"/>
      <c r="E48904"/>
      <c r="F48904"/>
    </row>
    <row r="48905" spans="1:6" x14ac:dyDescent="0.25">
      <c r="A48905"/>
      <c r="B48905"/>
      <c r="C48905"/>
      <c r="E48905"/>
      <c r="F48905"/>
    </row>
    <row r="48906" spans="1:6" x14ac:dyDescent="0.25">
      <c r="A48906"/>
      <c r="B48906"/>
      <c r="C48906"/>
      <c r="E48906"/>
      <c r="F48906"/>
    </row>
    <row r="48907" spans="1:6" x14ac:dyDescent="0.25">
      <c r="A48907"/>
      <c r="B48907"/>
      <c r="C48907"/>
      <c r="E48907"/>
      <c r="F48907"/>
    </row>
    <row r="48908" spans="1:6" x14ac:dyDescent="0.25">
      <c r="A48908"/>
      <c r="B48908"/>
      <c r="C48908"/>
      <c r="E48908"/>
      <c r="F48908"/>
    </row>
    <row r="48909" spans="1:6" x14ac:dyDescent="0.25">
      <c r="A48909"/>
      <c r="B48909"/>
      <c r="C48909"/>
      <c r="E48909"/>
      <c r="F48909"/>
    </row>
    <row r="48910" spans="1:6" x14ac:dyDescent="0.25">
      <c r="A48910"/>
      <c r="B48910"/>
      <c r="C48910"/>
      <c r="E48910"/>
      <c r="F48910"/>
    </row>
    <row r="48911" spans="1:6" x14ac:dyDescent="0.25">
      <c r="A48911"/>
      <c r="B48911"/>
      <c r="C48911"/>
      <c r="E48911"/>
      <c r="F48911"/>
    </row>
    <row r="48912" spans="1:6" x14ac:dyDescent="0.25">
      <c r="A48912"/>
      <c r="B48912"/>
      <c r="C48912"/>
      <c r="E48912"/>
      <c r="F48912"/>
    </row>
    <row r="48913" spans="1:6" x14ac:dyDescent="0.25">
      <c r="A48913"/>
      <c r="B48913"/>
      <c r="C48913"/>
      <c r="E48913"/>
      <c r="F48913"/>
    </row>
    <row r="48914" spans="1:6" x14ac:dyDescent="0.25">
      <c r="A48914"/>
      <c r="B48914"/>
      <c r="C48914"/>
      <c r="E48914"/>
      <c r="F48914"/>
    </row>
    <row r="48915" spans="1:6" x14ac:dyDescent="0.25">
      <c r="A48915"/>
      <c r="B48915"/>
      <c r="C48915"/>
      <c r="E48915"/>
      <c r="F48915"/>
    </row>
    <row r="48916" spans="1:6" x14ac:dyDescent="0.25">
      <c r="A48916"/>
      <c r="B48916"/>
      <c r="C48916"/>
      <c r="E48916"/>
      <c r="F48916"/>
    </row>
    <row r="48917" spans="1:6" x14ac:dyDescent="0.25">
      <c r="A48917"/>
      <c r="B48917"/>
      <c r="C48917"/>
      <c r="E48917"/>
      <c r="F48917"/>
    </row>
    <row r="48918" spans="1:6" x14ac:dyDescent="0.25">
      <c r="A48918"/>
      <c r="B48918"/>
      <c r="C48918"/>
      <c r="E48918"/>
      <c r="F48918"/>
    </row>
    <row r="48919" spans="1:6" x14ac:dyDescent="0.25">
      <c r="A48919"/>
      <c r="B48919"/>
      <c r="C48919"/>
      <c r="E48919"/>
      <c r="F48919"/>
    </row>
    <row r="48920" spans="1:6" x14ac:dyDescent="0.25">
      <c r="A48920"/>
      <c r="B48920"/>
      <c r="C48920"/>
      <c r="E48920"/>
      <c r="F48920"/>
    </row>
    <row r="48921" spans="1:6" x14ac:dyDescent="0.25">
      <c r="A48921"/>
      <c r="B48921"/>
      <c r="C48921"/>
      <c r="E48921"/>
      <c r="F48921"/>
    </row>
    <row r="48922" spans="1:6" x14ac:dyDescent="0.25">
      <c r="A48922"/>
      <c r="B48922"/>
      <c r="C48922"/>
      <c r="E48922"/>
      <c r="F48922"/>
    </row>
    <row r="48923" spans="1:6" x14ac:dyDescent="0.25">
      <c r="A48923"/>
      <c r="B48923"/>
      <c r="C48923"/>
      <c r="E48923"/>
      <c r="F48923"/>
    </row>
    <row r="48924" spans="1:6" x14ac:dyDescent="0.25">
      <c r="A48924"/>
      <c r="B48924"/>
      <c r="C48924"/>
      <c r="E48924"/>
      <c r="F48924"/>
    </row>
    <row r="48925" spans="1:6" x14ac:dyDescent="0.25">
      <c r="A48925"/>
      <c r="B48925"/>
      <c r="C48925"/>
      <c r="E48925"/>
      <c r="F48925"/>
    </row>
    <row r="48926" spans="1:6" x14ac:dyDescent="0.25">
      <c r="A48926"/>
      <c r="B48926"/>
      <c r="C48926"/>
      <c r="E48926"/>
      <c r="F48926"/>
    </row>
    <row r="48927" spans="1:6" x14ac:dyDescent="0.25">
      <c r="A48927"/>
      <c r="B48927"/>
      <c r="C48927"/>
      <c r="E48927"/>
      <c r="F48927"/>
    </row>
    <row r="48928" spans="1:6" x14ac:dyDescent="0.25">
      <c r="A48928"/>
      <c r="B48928"/>
      <c r="C48928"/>
      <c r="E48928"/>
      <c r="F48928"/>
    </row>
    <row r="48929" spans="1:6" x14ac:dyDescent="0.25">
      <c r="A48929"/>
      <c r="B48929"/>
      <c r="C48929"/>
      <c r="E48929"/>
      <c r="F48929"/>
    </row>
    <row r="48930" spans="1:6" x14ac:dyDescent="0.25">
      <c r="A48930"/>
      <c r="B48930"/>
      <c r="C48930"/>
      <c r="E48930"/>
      <c r="F48930"/>
    </row>
    <row r="48931" spans="1:6" x14ac:dyDescent="0.25">
      <c r="A48931"/>
      <c r="B48931"/>
      <c r="C48931"/>
      <c r="E48931"/>
      <c r="F48931"/>
    </row>
    <row r="48932" spans="1:6" x14ac:dyDescent="0.25">
      <c r="A48932"/>
      <c r="B48932"/>
      <c r="C48932"/>
      <c r="E48932"/>
      <c r="F48932"/>
    </row>
    <row r="48933" spans="1:6" x14ac:dyDescent="0.25">
      <c r="A48933"/>
      <c r="B48933"/>
      <c r="C48933"/>
      <c r="E48933"/>
      <c r="F48933"/>
    </row>
    <row r="48934" spans="1:6" x14ac:dyDescent="0.25">
      <c r="A48934"/>
      <c r="B48934"/>
      <c r="C48934"/>
      <c r="E48934"/>
      <c r="F48934"/>
    </row>
    <row r="48935" spans="1:6" x14ac:dyDescent="0.25">
      <c r="A48935"/>
      <c r="B48935"/>
      <c r="C48935"/>
      <c r="E48935"/>
      <c r="F48935"/>
    </row>
    <row r="48936" spans="1:6" x14ac:dyDescent="0.25">
      <c r="A48936"/>
      <c r="B48936"/>
      <c r="C48936"/>
      <c r="E48936"/>
      <c r="F48936"/>
    </row>
    <row r="48937" spans="1:6" x14ac:dyDescent="0.25">
      <c r="A48937"/>
      <c r="B48937"/>
      <c r="C48937"/>
      <c r="E48937"/>
      <c r="F48937"/>
    </row>
    <row r="48938" spans="1:6" x14ac:dyDescent="0.25">
      <c r="A48938"/>
      <c r="B48938"/>
      <c r="C48938"/>
      <c r="E48938"/>
      <c r="F48938"/>
    </row>
    <row r="48939" spans="1:6" x14ac:dyDescent="0.25">
      <c r="A48939"/>
      <c r="B48939"/>
      <c r="C48939"/>
      <c r="E48939"/>
      <c r="F48939"/>
    </row>
    <row r="48940" spans="1:6" x14ac:dyDescent="0.25">
      <c r="A48940"/>
      <c r="B48940"/>
      <c r="C48940"/>
      <c r="E48940"/>
      <c r="F48940"/>
    </row>
    <row r="48941" spans="1:6" x14ac:dyDescent="0.25">
      <c r="A48941"/>
      <c r="B48941"/>
      <c r="C48941"/>
      <c r="E48941"/>
      <c r="F48941"/>
    </row>
    <row r="48942" spans="1:6" x14ac:dyDescent="0.25">
      <c r="A48942"/>
      <c r="B48942"/>
      <c r="C48942"/>
      <c r="E48942"/>
      <c r="F48942"/>
    </row>
    <row r="48943" spans="1:6" x14ac:dyDescent="0.25">
      <c r="A48943"/>
      <c r="B48943"/>
      <c r="C48943"/>
      <c r="E48943"/>
      <c r="F48943"/>
    </row>
    <row r="48944" spans="1:6" x14ac:dyDescent="0.25">
      <c r="A48944"/>
      <c r="B48944"/>
      <c r="C48944"/>
      <c r="E48944"/>
      <c r="F48944"/>
    </row>
    <row r="48945" spans="1:6" x14ac:dyDescent="0.25">
      <c r="A48945"/>
      <c r="B48945"/>
      <c r="C48945"/>
      <c r="E48945"/>
      <c r="F48945"/>
    </row>
    <row r="48946" spans="1:6" x14ac:dyDescent="0.25">
      <c r="A48946"/>
      <c r="B48946"/>
      <c r="C48946"/>
      <c r="E48946"/>
      <c r="F48946"/>
    </row>
    <row r="48947" spans="1:6" x14ac:dyDescent="0.25">
      <c r="A48947"/>
      <c r="B48947"/>
      <c r="C48947"/>
      <c r="E48947"/>
      <c r="F48947"/>
    </row>
    <row r="48948" spans="1:6" x14ac:dyDescent="0.25">
      <c r="A48948"/>
      <c r="B48948"/>
      <c r="C48948"/>
      <c r="E48948"/>
      <c r="F48948"/>
    </row>
    <row r="48949" spans="1:6" x14ac:dyDescent="0.25">
      <c r="A48949"/>
      <c r="B48949"/>
      <c r="C48949"/>
      <c r="E48949"/>
      <c r="F48949"/>
    </row>
    <row r="48950" spans="1:6" x14ac:dyDescent="0.25">
      <c r="A48950"/>
      <c r="B48950"/>
      <c r="C48950"/>
      <c r="E48950"/>
      <c r="F48950"/>
    </row>
    <row r="48951" spans="1:6" x14ac:dyDescent="0.25">
      <c r="A48951"/>
      <c r="B48951"/>
      <c r="C48951"/>
      <c r="E48951"/>
      <c r="F48951"/>
    </row>
    <row r="48952" spans="1:6" x14ac:dyDescent="0.25">
      <c r="A48952"/>
      <c r="B48952"/>
      <c r="C48952"/>
      <c r="E48952"/>
      <c r="F48952"/>
    </row>
    <row r="48953" spans="1:6" x14ac:dyDescent="0.25">
      <c r="A48953"/>
      <c r="B48953"/>
      <c r="C48953"/>
      <c r="E48953"/>
      <c r="F48953"/>
    </row>
    <row r="48954" spans="1:6" x14ac:dyDescent="0.25">
      <c r="A48954"/>
      <c r="B48954"/>
      <c r="C48954"/>
      <c r="E48954"/>
      <c r="F48954"/>
    </row>
    <row r="48955" spans="1:6" x14ac:dyDescent="0.25">
      <c r="A48955"/>
      <c r="B48955"/>
      <c r="C48955"/>
      <c r="E48955"/>
      <c r="F48955"/>
    </row>
    <row r="48956" spans="1:6" x14ac:dyDescent="0.25">
      <c r="A48956"/>
      <c r="B48956"/>
      <c r="C48956"/>
      <c r="E48956"/>
      <c r="F48956"/>
    </row>
    <row r="48957" spans="1:6" x14ac:dyDescent="0.25">
      <c r="A48957"/>
      <c r="B48957"/>
      <c r="C48957"/>
      <c r="E48957"/>
      <c r="F48957"/>
    </row>
    <row r="48958" spans="1:6" x14ac:dyDescent="0.25">
      <c r="A48958"/>
      <c r="B48958"/>
      <c r="C48958"/>
      <c r="E48958"/>
      <c r="F48958"/>
    </row>
    <row r="48959" spans="1:6" x14ac:dyDescent="0.25">
      <c r="A48959"/>
      <c r="B48959"/>
      <c r="C48959"/>
      <c r="E48959"/>
      <c r="F48959"/>
    </row>
    <row r="48960" spans="1:6" x14ac:dyDescent="0.25">
      <c r="A48960"/>
      <c r="B48960"/>
      <c r="C48960"/>
      <c r="E48960"/>
      <c r="F48960"/>
    </row>
    <row r="48961" spans="1:6" x14ac:dyDescent="0.25">
      <c r="A48961"/>
      <c r="B48961"/>
      <c r="C48961"/>
      <c r="E48961"/>
      <c r="F48961"/>
    </row>
    <row r="48962" spans="1:6" x14ac:dyDescent="0.25">
      <c r="A48962"/>
      <c r="B48962"/>
      <c r="C48962"/>
      <c r="E48962"/>
      <c r="F48962"/>
    </row>
    <row r="48963" spans="1:6" x14ac:dyDescent="0.25">
      <c r="A48963"/>
      <c r="B48963"/>
      <c r="C48963"/>
      <c r="E48963"/>
      <c r="F48963"/>
    </row>
    <row r="48964" spans="1:6" x14ac:dyDescent="0.25">
      <c r="A48964"/>
      <c r="B48964"/>
      <c r="C48964"/>
      <c r="E48964"/>
      <c r="F48964"/>
    </row>
    <row r="48965" spans="1:6" x14ac:dyDescent="0.25">
      <c r="A48965"/>
      <c r="B48965"/>
      <c r="C48965"/>
      <c r="E48965"/>
      <c r="F48965"/>
    </row>
    <row r="48966" spans="1:6" x14ac:dyDescent="0.25">
      <c r="A48966"/>
      <c r="B48966"/>
      <c r="C48966"/>
      <c r="E48966"/>
      <c r="F48966"/>
    </row>
    <row r="48967" spans="1:6" x14ac:dyDescent="0.25">
      <c r="A48967"/>
      <c r="B48967"/>
      <c r="C48967"/>
      <c r="E48967"/>
      <c r="F48967"/>
    </row>
    <row r="48968" spans="1:6" x14ac:dyDescent="0.25">
      <c r="A48968"/>
      <c r="B48968"/>
      <c r="C48968"/>
      <c r="E48968"/>
      <c r="F48968"/>
    </row>
    <row r="48969" spans="1:6" x14ac:dyDescent="0.25">
      <c r="A48969"/>
      <c r="B48969"/>
      <c r="C48969"/>
      <c r="E48969"/>
      <c r="F48969"/>
    </row>
    <row r="48970" spans="1:6" x14ac:dyDescent="0.25">
      <c r="A48970"/>
      <c r="B48970"/>
      <c r="C48970"/>
      <c r="E48970"/>
      <c r="F48970"/>
    </row>
    <row r="48971" spans="1:6" x14ac:dyDescent="0.25">
      <c r="A48971"/>
      <c r="B48971"/>
      <c r="C48971"/>
      <c r="E48971"/>
      <c r="F48971"/>
    </row>
    <row r="48972" spans="1:6" x14ac:dyDescent="0.25">
      <c r="A48972"/>
      <c r="B48972"/>
      <c r="C48972"/>
      <c r="E48972"/>
      <c r="F48972"/>
    </row>
    <row r="48973" spans="1:6" x14ac:dyDescent="0.25">
      <c r="A48973"/>
      <c r="B48973"/>
      <c r="C48973"/>
      <c r="E48973"/>
      <c r="F48973"/>
    </row>
    <row r="48974" spans="1:6" x14ac:dyDescent="0.25">
      <c r="A48974"/>
      <c r="B48974"/>
      <c r="C48974"/>
      <c r="E48974"/>
      <c r="F48974"/>
    </row>
    <row r="48975" spans="1:6" x14ac:dyDescent="0.25">
      <c r="A48975"/>
      <c r="B48975"/>
      <c r="C48975"/>
      <c r="E48975"/>
      <c r="F48975"/>
    </row>
    <row r="48976" spans="1:6" x14ac:dyDescent="0.25">
      <c r="A48976"/>
      <c r="B48976"/>
      <c r="C48976"/>
      <c r="E48976"/>
      <c r="F48976"/>
    </row>
    <row r="48977" spans="1:6" x14ac:dyDescent="0.25">
      <c r="A48977"/>
      <c r="B48977"/>
      <c r="C48977"/>
      <c r="E48977"/>
      <c r="F48977"/>
    </row>
    <row r="48978" spans="1:6" x14ac:dyDescent="0.25">
      <c r="A48978"/>
      <c r="B48978"/>
      <c r="C48978"/>
      <c r="E48978"/>
      <c r="F48978"/>
    </row>
    <row r="48979" spans="1:6" x14ac:dyDescent="0.25">
      <c r="A48979"/>
      <c r="B48979"/>
      <c r="C48979"/>
      <c r="E48979"/>
      <c r="F48979"/>
    </row>
    <row r="48980" spans="1:6" x14ac:dyDescent="0.25">
      <c r="A48980"/>
      <c r="B48980"/>
      <c r="C48980"/>
      <c r="E48980"/>
      <c r="F48980"/>
    </row>
    <row r="48981" spans="1:6" x14ac:dyDescent="0.25">
      <c r="A48981"/>
      <c r="B48981"/>
      <c r="C48981"/>
      <c r="E48981"/>
      <c r="F48981"/>
    </row>
    <row r="48982" spans="1:6" x14ac:dyDescent="0.25">
      <c r="A48982"/>
      <c r="B48982"/>
      <c r="C48982"/>
      <c r="E48982"/>
      <c r="F48982"/>
    </row>
    <row r="48983" spans="1:6" x14ac:dyDescent="0.25">
      <c r="A48983"/>
      <c r="B48983"/>
      <c r="C48983"/>
      <c r="E48983"/>
      <c r="F48983"/>
    </row>
    <row r="48984" spans="1:6" x14ac:dyDescent="0.25">
      <c r="A48984"/>
      <c r="B48984"/>
      <c r="C48984"/>
      <c r="E48984"/>
      <c r="F48984"/>
    </row>
    <row r="48985" spans="1:6" x14ac:dyDescent="0.25">
      <c r="A48985"/>
      <c r="B48985"/>
      <c r="C48985"/>
      <c r="E48985"/>
      <c r="F48985"/>
    </row>
    <row r="48986" spans="1:6" x14ac:dyDescent="0.25">
      <c r="A48986"/>
      <c r="B48986"/>
      <c r="C48986"/>
      <c r="E48986"/>
      <c r="F48986"/>
    </row>
    <row r="48987" spans="1:6" x14ac:dyDescent="0.25">
      <c r="A48987"/>
      <c r="B48987"/>
      <c r="C48987"/>
      <c r="E48987"/>
      <c r="F48987"/>
    </row>
    <row r="48988" spans="1:6" x14ac:dyDescent="0.25">
      <c r="A48988"/>
      <c r="B48988"/>
      <c r="C48988"/>
      <c r="E48988"/>
      <c r="F48988"/>
    </row>
    <row r="48989" spans="1:6" x14ac:dyDescent="0.25">
      <c r="A48989"/>
      <c r="B48989"/>
      <c r="C48989"/>
      <c r="E48989"/>
      <c r="F48989"/>
    </row>
    <row r="48990" spans="1:6" x14ac:dyDescent="0.25">
      <c r="A48990"/>
      <c r="B48990"/>
      <c r="C48990"/>
      <c r="E48990"/>
      <c r="F48990"/>
    </row>
    <row r="48991" spans="1:6" x14ac:dyDescent="0.25">
      <c r="A48991"/>
      <c r="B48991"/>
      <c r="C48991"/>
      <c r="E48991"/>
      <c r="F48991"/>
    </row>
    <row r="48992" spans="1:6" x14ac:dyDescent="0.25">
      <c r="A48992"/>
      <c r="B48992"/>
      <c r="C48992"/>
      <c r="E48992"/>
      <c r="F48992"/>
    </row>
    <row r="48993" spans="1:6" x14ac:dyDescent="0.25">
      <c r="A48993"/>
      <c r="B48993"/>
      <c r="C48993"/>
      <c r="E48993"/>
      <c r="F48993"/>
    </row>
    <row r="48994" spans="1:6" x14ac:dyDescent="0.25">
      <c r="A48994"/>
      <c r="B48994"/>
      <c r="C48994"/>
      <c r="E48994"/>
      <c r="F48994"/>
    </row>
    <row r="48995" spans="1:6" x14ac:dyDescent="0.25">
      <c r="A48995"/>
      <c r="B48995"/>
      <c r="C48995"/>
      <c r="E48995"/>
      <c r="F48995"/>
    </row>
    <row r="48996" spans="1:6" x14ac:dyDescent="0.25">
      <c r="A48996"/>
      <c r="B48996"/>
      <c r="C48996"/>
      <c r="E48996"/>
      <c r="F48996"/>
    </row>
    <row r="48997" spans="1:6" x14ac:dyDescent="0.25">
      <c r="A48997"/>
      <c r="B48997"/>
      <c r="C48997"/>
      <c r="E48997"/>
      <c r="F48997"/>
    </row>
    <row r="48998" spans="1:6" x14ac:dyDescent="0.25">
      <c r="A48998"/>
      <c r="B48998"/>
      <c r="C48998"/>
      <c r="E48998"/>
      <c r="F48998"/>
    </row>
    <row r="48999" spans="1:6" x14ac:dyDescent="0.25">
      <c r="A48999"/>
      <c r="B48999"/>
      <c r="C48999"/>
      <c r="E48999"/>
      <c r="F48999"/>
    </row>
    <row r="49000" spans="1:6" x14ac:dyDescent="0.25">
      <c r="A49000"/>
      <c r="B49000"/>
      <c r="C49000"/>
      <c r="E49000"/>
      <c r="F49000"/>
    </row>
    <row r="49001" spans="1:6" x14ac:dyDescent="0.25">
      <c r="A49001"/>
      <c r="B49001"/>
      <c r="C49001"/>
      <c r="E49001"/>
      <c r="F49001"/>
    </row>
    <row r="49002" spans="1:6" x14ac:dyDescent="0.25">
      <c r="A49002"/>
      <c r="B49002"/>
      <c r="C49002"/>
      <c r="E49002"/>
      <c r="F49002"/>
    </row>
    <row r="49003" spans="1:6" x14ac:dyDescent="0.25">
      <c r="A49003"/>
      <c r="B49003"/>
      <c r="C49003"/>
      <c r="E49003"/>
      <c r="F49003"/>
    </row>
    <row r="49004" spans="1:6" x14ac:dyDescent="0.25">
      <c r="A49004"/>
      <c r="B49004"/>
      <c r="C49004"/>
      <c r="E49004"/>
      <c r="F49004"/>
    </row>
    <row r="49005" spans="1:6" x14ac:dyDescent="0.25">
      <c r="A49005"/>
      <c r="B49005"/>
      <c r="C49005"/>
      <c r="E49005"/>
      <c r="F49005"/>
    </row>
    <row r="49006" spans="1:6" x14ac:dyDescent="0.25">
      <c r="A49006"/>
      <c r="B49006"/>
      <c r="C49006"/>
      <c r="E49006"/>
      <c r="F49006"/>
    </row>
    <row r="49007" spans="1:6" x14ac:dyDescent="0.25">
      <c r="A49007"/>
      <c r="B49007"/>
      <c r="C49007"/>
      <c r="E49007"/>
      <c r="F49007"/>
    </row>
    <row r="49008" spans="1:6" x14ac:dyDescent="0.25">
      <c r="A49008"/>
      <c r="B49008"/>
      <c r="C49008"/>
      <c r="E49008"/>
      <c r="F49008"/>
    </row>
    <row r="49009" spans="1:6" x14ac:dyDescent="0.25">
      <c r="A49009"/>
      <c r="B49009"/>
      <c r="C49009"/>
      <c r="E49009"/>
      <c r="F49009"/>
    </row>
    <row r="49010" spans="1:6" x14ac:dyDescent="0.25">
      <c r="A49010"/>
      <c r="B49010"/>
      <c r="C49010"/>
      <c r="E49010"/>
      <c r="F49010"/>
    </row>
    <row r="49011" spans="1:6" x14ac:dyDescent="0.25">
      <c r="A49011"/>
      <c r="B49011"/>
      <c r="C49011"/>
      <c r="E49011"/>
      <c r="F49011"/>
    </row>
    <row r="49012" spans="1:6" x14ac:dyDescent="0.25">
      <c r="A49012"/>
      <c r="B49012"/>
      <c r="C49012"/>
      <c r="E49012"/>
      <c r="F49012"/>
    </row>
    <row r="49013" spans="1:6" x14ac:dyDescent="0.25">
      <c r="A49013"/>
      <c r="B49013"/>
      <c r="C49013"/>
      <c r="E49013"/>
      <c r="F49013"/>
    </row>
    <row r="49014" spans="1:6" x14ac:dyDescent="0.25">
      <c r="A49014"/>
      <c r="B49014"/>
      <c r="C49014"/>
      <c r="E49014"/>
      <c r="F49014"/>
    </row>
    <row r="49015" spans="1:6" x14ac:dyDescent="0.25">
      <c r="A49015"/>
      <c r="B49015"/>
      <c r="C49015"/>
      <c r="E49015"/>
      <c r="F49015"/>
    </row>
    <row r="49016" spans="1:6" x14ac:dyDescent="0.25">
      <c r="A49016"/>
      <c r="B49016"/>
      <c r="C49016"/>
      <c r="E49016"/>
      <c r="F49016"/>
    </row>
    <row r="49017" spans="1:6" x14ac:dyDescent="0.25">
      <c r="A49017"/>
      <c r="B49017"/>
      <c r="C49017"/>
      <c r="E49017"/>
      <c r="F49017"/>
    </row>
    <row r="49018" spans="1:6" x14ac:dyDescent="0.25">
      <c r="A49018"/>
      <c r="B49018"/>
      <c r="C49018"/>
      <c r="E49018"/>
      <c r="F49018"/>
    </row>
    <row r="49019" spans="1:6" x14ac:dyDescent="0.25">
      <c r="A49019"/>
      <c r="B49019"/>
      <c r="C49019"/>
      <c r="E49019"/>
      <c r="F49019"/>
    </row>
    <row r="49020" spans="1:6" x14ac:dyDescent="0.25">
      <c r="A49020"/>
      <c r="B49020"/>
      <c r="C49020"/>
      <c r="E49020"/>
      <c r="F49020"/>
    </row>
    <row r="49021" spans="1:6" x14ac:dyDescent="0.25">
      <c r="A49021"/>
      <c r="B49021"/>
      <c r="C49021"/>
      <c r="E49021"/>
      <c r="F49021"/>
    </row>
    <row r="49022" spans="1:6" x14ac:dyDescent="0.25">
      <c r="A49022"/>
      <c r="B49022"/>
      <c r="C49022"/>
      <c r="E49022"/>
      <c r="F49022"/>
    </row>
    <row r="49023" spans="1:6" x14ac:dyDescent="0.25">
      <c r="A49023"/>
      <c r="B49023"/>
      <c r="C49023"/>
      <c r="E49023"/>
      <c r="F49023"/>
    </row>
    <row r="49024" spans="1:6" x14ac:dyDescent="0.25">
      <c r="A49024"/>
      <c r="B49024"/>
      <c r="C49024"/>
      <c r="E49024"/>
      <c r="F49024"/>
    </row>
    <row r="49025" spans="1:6" x14ac:dyDescent="0.25">
      <c r="A49025"/>
      <c r="B49025"/>
      <c r="C49025"/>
      <c r="E49025"/>
      <c r="F49025"/>
    </row>
    <row r="49026" spans="1:6" x14ac:dyDescent="0.25">
      <c r="A49026"/>
      <c r="B49026"/>
      <c r="C49026"/>
      <c r="E49026"/>
      <c r="F49026"/>
    </row>
    <row r="49027" spans="1:6" x14ac:dyDescent="0.25">
      <c r="A49027"/>
      <c r="B49027"/>
      <c r="C49027"/>
      <c r="E49027"/>
      <c r="F49027"/>
    </row>
    <row r="49028" spans="1:6" x14ac:dyDescent="0.25">
      <c r="A49028"/>
      <c r="B49028"/>
      <c r="C49028"/>
      <c r="E49028"/>
      <c r="F49028"/>
    </row>
    <row r="49029" spans="1:6" x14ac:dyDescent="0.25">
      <c r="A49029"/>
      <c r="B49029"/>
      <c r="C49029"/>
      <c r="E49029"/>
      <c r="F49029"/>
    </row>
    <row r="49030" spans="1:6" x14ac:dyDescent="0.25">
      <c r="A49030"/>
      <c r="B49030"/>
      <c r="C49030"/>
      <c r="E49030"/>
      <c r="F49030"/>
    </row>
    <row r="49031" spans="1:6" x14ac:dyDescent="0.25">
      <c r="A49031"/>
      <c r="B49031"/>
      <c r="C49031"/>
      <c r="E49031"/>
      <c r="F49031"/>
    </row>
    <row r="49032" spans="1:6" x14ac:dyDescent="0.25">
      <c r="A49032"/>
      <c r="B49032"/>
      <c r="C49032"/>
      <c r="E49032"/>
      <c r="F49032"/>
    </row>
    <row r="49033" spans="1:6" x14ac:dyDescent="0.25">
      <c r="A49033"/>
      <c r="B49033"/>
      <c r="C49033"/>
      <c r="E49033"/>
      <c r="F49033"/>
    </row>
    <row r="49034" spans="1:6" x14ac:dyDescent="0.25">
      <c r="A49034"/>
      <c r="B49034"/>
      <c r="C49034"/>
      <c r="E49034"/>
      <c r="F49034"/>
    </row>
    <row r="49035" spans="1:6" x14ac:dyDescent="0.25">
      <c r="A49035"/>
      <c r="B49035"/>
      <c r="C49035"/>
      <c r="E49035"/>
      <c r="F49035"/>
    </row>
    <row r="49036" spans="1:6" x14ac:dyDescent="0.25">
      <c r="A49036"/>
      <c r="B49036"/>
      <c r="C49036"/>
      <c r="E49036"/>
      <c r="F49036"/>
    </row>
    <row r="49037" spans="1:6" x14ac:dyDescent="0.25">
      <c r="A49037"/>
      <c r="B49037"/>
      <c r="C49037"/>
      <c r="E49037"/>
      <c r="F49037"/>
    </row>
    <row r="49038" spans="1:6" x14ac:dyDescent="0.25">
      <c r="A49038"/>
      <c r="B49038"/>
      <c r="C49038"/>
      <c r="E49038"/>
      <c r="F49038"/>
    </row>
    <row r="49039" spans="1:6" x14ac:dyDescent="0.25">
      <c r="A49039"/>
      <c r="B49039"/>
      <c r="C49039"/>
      <c r="E49039"/>
      <c r="F49039"/>
    </row>
    <row r="49040" spans="1:6" x14ac:dyDescent="0.25">
      <c r="A49040"/>
      <c r="B49040"/>
      <c r="C49040"/>
      <c r="E49040"/>
      <c r="F49040"/>
    </row>
    <row r="49041" spans="1:6" x14ac:dyDescent="0.25">
      <c r="A49041"/>
      <c r="B49041"/>
      <c r="C49041"/>
      <c r="E49041"/>
      <c r="F49041"/>
    </row>
    <row r="49042" spans="1:6" x14ac:dyDescent="0.25">
      <c r="A49042"/>
      <c r="B49042"/>
      <c r="C49042"/>
      <c r="E49042"/>
      <c r="F49042"/>
    </row>
    <row r="49043" spans="1:6" x14ac:dyDescent="0.25">
      <c r="A49043"/>
      <c r="B49043"/>
      <c r="C49043"/>
      <c r="E49043"/>
      <c r="F49043"/>
    </row>
    <row r="49044" spans="1:6" x14ac:dyDescent="0.25">
      <c r="A49044"/>
      <c r="B49044"/>
      <c r="C49044"/>
      <c r="E49044"/>
      <c r="F49044"/>
    </row>
    <row r="49045" spans="1:6" x14ac:dyDescent="0.25">
      <c r="A49045"/>
      <c r="B49045"/>
      <c r="C49045"/>
      <c r="E49045"/>
      <c r="F49045"/>
    </row>
    <row r="49046" spans="1:6" x14ac:dyDescent="0.25">
      <c r="A49046"/>
      <c r="B49046"/>
      <c r="C49046"/>
      <c r="E49046"/>
      <c r="F49046"/>
    </row>
    <row r="49047" spans="1:6" x14ac:dyDescent="0.25">
      <c r="A49047"/>
      <c r="B49047"/>
      <c r="C49047"/>
      <c r="E49047"/>
      <c r="F49047"/>
    </row>
    <row r="49048" spans="1:6" x14ac:dyDescent="0.25">
      <c r="A49048"/>
      <c r="B49048"/>
      <c r="C49048"/>
      <c r="E49048"/>
      <c r="F49048"/>
    </row>
    <row r="49049" spans="1:6" x14ac:dyDescent="0.25">
      <c r="A49049"/>
      <c r="B49049"/>
      <c r="C49049"/>
      <c r="E49049"/>
      <c r="F49049"/>
    </row>
    <row r="49050" spans="1:6" x14ac:dyDescent="0.25">
      <c r="A49050"/>
      <c r="B49050"/>
      <c r="C49050"/>
      <c r="E49050"/>
      <c r="F49050"/>
    </row>
    <row r="49051" spans="1:6" x14ac:dyDescent="0.25">
      <c r="A49051"/>
      <c r="B49051"/>
      <c r="C49051"/>
      <c r="E49051"/>
      <c r="F49051"/>
    </row>
    <row r="49052" spans="1:6" x14ac:dyDescent="0.25">
      <c r="A49052"/>
      <c r="B49052"/>
      <c r="C49052"/>
      <c r="E49052"/>
      <c r="F49052"/>
    </row>
    <row r="49053" spans="1:6" x14ac:dyDescent="0.25">
      <c r="A49053"/>
      <c r="B49053"/>
      <c r="C49053"/>
      <c r="E49053"/>
      <c r="F49053"/>
    </row>
    <row r="49054" spans="1:6" x14ac:dyDescent="0.25">
      <c r="A49054"/>
      <c r="B49054"/>
      <c r="C49054"/>
      <c r="E49054"/>
      <c r="F49054"/>
    </row>
    <row r="49055" spans="1:6" x14ac:dyDescent="0.25">
      <c r="A49055"/>
      <c r="B49055"/>
      <c r="C49055"/>
      <c r="E49055"/>
      <c r="F49055"/>
    </row>
    <row r="49056" spans="1:6" x14ac:dyDescent="0.25">
      <c r="A49056"/>
      <c r="B49056"/>
      <c r="C49056"/>
      <c r="E49056"/>
      <c r="F49056"/>
    </row>
    <row r="49057" spans="1:6" x14ac:dyDescent="0.25">
      <c r="A49057"/>
      <c r="B49057"/>
      <c r="C49057"/>
      <c r="E49057"/>
      <c r="F49057"/>
    </row>
    <row r="49058" spans="1:6" x14ac:dyDescent="0.25">
      <c r="A49058"/>
      <c r="B49058"/>
      <c r="C49058"/>
      <c r="E49058"/>
      <c r="F49058"/>
    </row>
    <row r="49059" spans="1:6" x14ac:dyDescent="0.25">
      <c r="A49059"/>
      <c r="B49059"/>
      <c r="C49059"/>
      <c r="E49059"/>
      <c r="F49059"/>
    </row>
    <row r="49060" spans="1:6" x14ac:dyDescent="0.25">
      <c r="A49060"/>
      <c r="B49060"/>
      <c r="C49060"/>
      <c r="E49060"/>
      <c r="F49060"/>
    </row>
    <row r="49061" spans="1:6" x14ac:dyDescent="0.25">
      <c r="A49061"/>
      <c r="B49061"/>
      <c r="C49061"/>
      <c r="E49061"/>
      <c r="F49061"/>
    </row>
    <row r="49062" spans="1:6" x14ac:dyDescent="0.25">
      <c r="A49062"/>
      <c r="B49062"/>
      <c r="C49062"/>
      <c r="E49062"/>
      <c r="F49062"/>
    </row>
    <row r="49063" spans="1:6" x14ac:dyDescent="0.25">
      <c r="A49063"/>
      <c r="B49063"/>
      <c r="C49063"/>
      <c r="E49063"/>
      <c r="F49063"/>
    </row>
    <row r="49064" spans="1:6" x14ac:dyDescent="0.25">
      <c r="A49064"/>
      <c r="B49064"/>
      <c r="C49064"/>
      <c r="E49064"/>
      <c r="F49064"/>
    </row>
    <row r="49065" spans="1:6" x14ac:dyDescent="0.25">
      <c r="A49065"/>
      <c r="B49065"/>
      <c r="C49065"/>
      <c r="E49065"/>
      <c r="F49065"/>
    </row>
    <row r="49066" spans="1:6" x14ac:dyDescent="0.25">
      <c r="A49066"/>
      <c r="B49066"/>
      <c r="C49066"/>
      <c r="E49066"/>
      <c r="F49066"/>
    </row>
    <row r="49067" spans="1:6" x14ac:dyDescent="0.25">
      <c r="A49067"/>
      <c r="B49067"/>
      <c r="C49067"/>
      <c r="E49067"/>
      <c r="F49067"/>
    </row>
    <row r="49068" spans="1:6" x14ac:dyDescent="0.25">
      <c r="A49068"/>
      <c r="B49068"/>
      <c r="C49068"/>
      <c r="E49068"/>
      <c r="F49068"/>
    </row>
    <row r="49069" spans="1:6" x14ac:dyDescent="0.25">
      <c r="A49069"/>
      <c r="B49069"/>
      <c r="C49069"/>
      <c r="E49069"/>
      <c r="F49069"/>
    </row>
    <row r="49070" spans="1:6" x14ac:dyDescent="0.25">
      <c r="A49070"/>
      <c r="B49070"/>
      <c r="C49070"/>
      <c r="E49070"/>
      <c r="F49070"/>
    </row>
    <row r="49071" spans="1:6" x14ac:dyDescent="0.25">
      <c r="A49071"/>
      <c r="B49071"/>
      <c r="C49071"/>
      <c r="E49071"/>
      <c r="F49071"/>
    </row>
    <row r="49072" spans="1:6" x14ac:dyDescent="0.25">
      <c r="A49072"/>
      <c r="B49072"/>
      <c r="C49072"/>
      <c r="E49072"/>
      <c r="F49072"/>
    </row>
    <row r="49073" spans="1:6" x14ac:dyDescent="0.25">
      <c r="A49073"/>
      <c r="B49073"/>
      <c r="C49073"/>
      <c r="E49073"/>
      <c r="F49073"/>
    </row>
    <row r="49074" spans="1:6" x14ac:dyDescent="0.25">
      <c r="A49074"/>
      <c r="B49074"/>
      <c r="C49074"/>
      <c r="E49074"/>
      <c r="F49074"/>
    </row>
    <row r="49075" spans="1:6" x14ac:dyDescent="0.25">
      <c r="A49075"/>
      <c r="B49075"/>
      <c r="C49075"/>
      <c r="E49075"/>
      <c r="F49075"/>
    </row>
    <row r="49076" spans="1:6" x14ac:dyDescent="0.25">
      <c r="A49076"/>
      <c r="B49076"/>
      <c r="C49076"/>
      <c r="E49076"/>
      <c r="F49076"/>
    </row>
    <row r="49077" spans="1:6" x14ac:dyDescent="0.25">
      <c r="A49077"/>
      <c r="B49077"/>
      <c r="C49077"/>
      <c r="E49077"/>
      <c r="F49077"/>
    </row>
    <row r="49078" spans="1:6" x14ac:dyDescent="0.25">
      <c r="A49078"/>
      <c r="B49078"/>
      <c r="C49078"/>
      <c r="E49078"/>
      <c r="F49078"/>
    </row>
    <row r="49079" spans="1:6" x14ac:dyDescent="0.25">
      <c r="A49079"/>
      <c r="B49079"/>
      <c r="C49079"/>
      <c r="E49079"/>
      <c r="F49079"/>
    </row>
    <row r="49080" spans="1:6" x14ac:dyDescent="0.25">
      <c r="A49080"/>
      <c r="B49080"/>
      <c r="C49080"/>
      <c r="E49080"/>
      <c r="F49080"/>
    </row>
    <row r="49081" spans="1:6" x14ac:dyDescent="0.25">
      <c r="A49081"/>
      <c r="B49081"/>
      <c r="C49081"/>
      <c r="E49081"/>
      <c r="F49081"/>
    </row>
    <row r="49082" spans="1:6" x14ac:dyDescent="0.25">
      <c r="A49082"/>
      <c r="B49082"/>
      <c r="C49082"/>
      <c r="E49082"/>
      <c r="F49082"/>
    </row>
    <row r="49083" spans="1:6" x14ac:dyDescent="0.25">
      <c r="A49083"/>
      <c r="B49083"/>
      <c r="C49083"/>
      <c r="E49083"/>
      <c r="F49083"/>
    </row>
    <row r="49084" spans="1:6" x14ac:dyDescent="0.25">
      <c r="A49084"/>
      <c r="B49084"/>
      <c r="C49084"/>
      <c r="E49084"/>
      <c r="F49084"/>
    </row>
    <row r="49085" spans="1:6" x14ac:dyDescent="0.25">
      <c r="A49085"/>
      <c r="B49085"/>
      <c r="C49085"/>
      <c r="E49085"/>
      <c r="F49085"/>
    </row>
    <row r="49086" spans="1:6" x14ac:dyDescent="0.25">
      <c r="A49086"/>
      <c r="B49086"/>
      <c r="C49086"/>
      <c r="E49086"/>
      <c r="F49086"/>
    </row>
    <row r="49087" spans="1:6" x14ac:dyDescent="0.25">
      <c r="A49087"/>
      <c r="B49087"/>
      <c r="C49087"/>
      <c r="E49087"/>
      <c r="F49087"/>
    </row>
    <row r="49088" spans="1:6" x14ac:dyDescent="0.25">
      <c r="A49088"/>
      <c r="B49088"/>
      <c r="C49088"/>
      <c r="E49088"/>
      <c r="F49088"/>
    </row>
    <row r="49089" spans="1:6" x14ac:dyDescent="0.25">
      <c r="A49089"/>
      <c r="B49089"/>
      <c r="C49089"/>
      <c r="E49089"/>
      <c r="F49089"/>
    </row>
    <row r="49090" spans="1:6" x14ac:dyDescent="0.25">
      <c r="A49090"/>
      <c r="B49090"/>
      <c r="C49090"/>
      <c r="E49090"/>
      <c r="F49090"/>
    </row>
    <row r="49091" spans="1:6" x14ac:dyDescent="0.25">
      <c r="A49091"/>
      <c r="B49091"/>
      <c r="C49091"/>
      <c r="E49091"/>
      <c r="F49091"/>
    </row>
    <row r="49092" spans="1:6" x14ac:dyDescent="0.25">
      <c r="A49092"/>
      <c r="B49092"/>
      <c r="C49092"/>
      <c r="E49092"/>
      <c r="F49092"/>
    </row>
    <row r="49093" spans="1:6" x14ac:dyDescent="0.25">
      <c r="A49093"/>
      <c r="B49093"/>
      <c r="C49093"/>
      <c r="E49093"/>
      <c r="F49093"/>
    </row>
    <row r="49094" spans="1:6" x14ac:dyDescent="0.25">
      <c r="A49094"/>
      <c r="B49094"/>
      <c r="C49094"/>
      <c r="E49094"/>
      <c r="F49094"/>
    </row>
    <row r="49095" spans="1:6" x14ac:dyDescent="0.25">
      <c r="A49095"/>
      <c r="B49095"/>
      <c r="C49095"/>
      <c r="E49095"/>
      <c r="F49095"/>
    </row>
    <row r="49096" spans="1:6" x14ac:dyDescent="0.25">
      <c r="A49096"/>
      <c r="B49096"/>
      <c r="C49096"/>
      <c r="E49096"/>
      <c r="F49096"/>
    </row>
    <row r="49097" spans="1:6" x14ac:dyDescent="0.25">
      <c r="A49097"/>
      <c r="B49097"/>
      <c r="C49097"/>
      <c r="E49097"/>
      <c r="F49097"/>
    </row>
    <row r="49098" spans="1:6" x14ac:dyDescent="0.25">
      <c r="A49098"/>
      <c r="B49098"/>
      <c r="C49098"/>
      <c r="E49098"/>
      <c r="F49098"/>
    </row>
    <row r="49099" spans="1:6" x14ac:dyDescent="0.25">
      <c r="A49099"/>
      <c r="B49099"/>
      <c r="C49099"/>
      <c r="E49099"/>
      <c r="F49099"/>
    </row>
    <row r="49100" spans="1:6" x14ac:dyDescent="0.25">
      <c r="A49100"/>
      <c r="B49100"/>
      <c r="C49100"/>
      <c r="E49100"/>
      <c r="F49100"/>
    </row>
    <row r="49101" spans="1:6" x14ac:dyDescent="0.25">
      <c r="A49101"/>
      <c r="B49101"/>
      <c r="C49101"/>
      <c r="E49101"/>
      <c r="F49101"/>
    </row>
    <row r="49102" spans="1:6" x14ac:dyDescent="0.25">
      <c r="A49102"/>
      <c r="B49102"/>
      <c r="C49102"/>
      <c r="E49102"/>
      <c r="F49102"/>
    </row>
    <row r="49103" spans="1:6" x14ac:dyDescent="0.25">
      <c r="A49103"/>
      <c r="B49103"/>
      <c r="C49103"/>
      <c r="E49103"/>
      <c r="F49103"/>
    </row>
    <row r="49104" spans="1:6" x14ac:dyDescent="0.25">
      <c r="A49104"/>
      <c r="B49104"/>
      <c r="C49104"/>
      <c r="E49104"/>
      <c r="F49104"/>
    </row>
    <row r="49105" spans="1:6" x14ac:dyDescent="0.25">
      <c r="A49105"/>
      <c r="B49105"/>
      <c r="C49105"/>
      <c r="E49105"/>
      <c r="F49105"/>
    </row>
    <row r="49106" spans="1:6" x14ac:dyDescent="0.25">
      <c r="A49106"/>
      <c r="B49106"/>
      <c r="C49106"/>
      <c r="E49106"/>
      <c r="F49106"/>
    </row>
    <row r="49107" spans="1:6" x14ac:dyDescent="0.25">
      <c r="A49107"/>
      <c r="B49107"/>
      <c r="C49107"/>
      <c r="E49107"/>
      <c r="F49107"/>
    </row>
    <row r="49108" spans="1:6" x14ac:dyDescent="0.25">
      <c r="A49108"/>
      <c r="B49108"/>
      <c r="C49108"/>
      <c r="E49108"/>
      <c r="F49108"/>
    </row>
    <row r="49109" spans="1:6" x14ac:dyDescent="0.25">
      <c r="A49109"/>
      <c r="B49109"/>
      <c r="C49109"/>
      <c r="E49109"/>
      <c r="F49109"/>
    </row>
    <row r="49110" spans="1:6" x14ac:dyDescent="0.25">
      <c r="A49110"/>
      <c r="B49110"/>
      <c r="C49110"/>
      <c r="E49110"/>
      <c r="F49110"/>
    </row>
    <row r="49111" spans="1:6" x14ac:dyDescent="0.25">
      <c r="A49111"/>
      <c r="B49111"/>
      <c r="C49111"/>
      <c r="E49111"/>
      <c r="F49111"/>
    </row>
    <row r="49112" spans="1:6" x14ac:dyDescent="0.25">
      <c r="A49112"/>
      <c r="B49112"/>
      <c r="C49112"/>
      <c r="E49112"/>
      <c r="F49112"/>
    </row>
    <row r="49113" spans="1:6" x14ac:dyDescent="0.25">
      <c r="A49113"/>
      <c r="B49113"/>
      <c r="C49113"/>
      <c r="E49113"/>
      <c r="F49113"/>
    </row>
    <row r="49114" spans="1:6" x14ac:dyDescent="0.25">
      <c r="A49114"/>
      <c r="B49114"/>
      <c r="C49114"/>
      <c r="E49114"/>
      <c r="F49114"/>
    </row>
    <row r="49115" spans="1:6" x14ac:dyDescent="0.25">
      <c r="A49115"/>
      <c r="B49115"/>
      <c r="C49115"/>
      <c r="E49115"/>
      <c r="F49115"/>
    </row>
    <row r="49116" spans="1:6" x14ac:dyDescent="0.25">
      <c r="A49116"/>
      <c r="B49116"/>
      <c r="C49116"/>
      <c r="E49116"/>
      <c r="F49116"/>
    </row>
    <row r="49117" spans="1:6" x14ac:dyDescent="0.25">
      <c r="A49117"/>
      <c r="B49117"/>
      <c r="C49117"/>
      <c r="E49117"/>
      <c r="F49117"/>
    </row>
    <row r="49118" spans="1:6" x14ac:dyDescent="0.25">
      <c r="A49118"/>
      <c r="B49118"/>
      <c r="C49118"/>
      <c r="E49118"/>
      <c r="F49118"/>
    </row>
    <row r="49119" spans="1:6" x14ac:dyDescent="0.25">
      <c r="A49119"/>
      <c r="B49119"/>
      <c r="C49119"/>
      <c r="E49119"/>
      <c r="F49119"/>
    </row>
    <row r="49120" spans="1:6" x14ac:dyDescent="0.25">
      <c r="A49120"/>
      <c r="B49120"/>
      <c r="C49120"/>
      <c r="E49120"/>
      <c r="F49120"/>
    </row>
    <row r="49121" spans="1:6" x14ac:dyDescent="0.25">
      <c r="A49121"/>
      <c r="B49121"/>
      <c r="C49121"/>
      <c r="E49121"/>
      <c r="F49121"/>
    </row>
    <row r="49122" spans="1:6" x14ac:dyDescent="0.25">
      <c r="A49122"/>
      <c r="B49122"/>
      <c r="C49122"/>
      <c r="E49122"/>
      <c r="F49122"/>
    </row>
    <row r="49123" spans="1:6" x14ac:dyDescent="0.25">
      <c r="A49123"/>
      <c r="B49123"/>
      <c r="C49123"/>
      <c r="E49123"/>
      <c r="F49123"/>
    </row>
    <row r="49124" spans="1:6" x14ac:dyDescent="0.25">
      <c r="A49124"/>
      <c r="B49124"/>
      <c r="C49124"/>
      <c r="E49124"/>
      <c r="F49124"/>
    </row>
    <row r="49125" spans="1:6" x14ac:dyDescent="0.25">
      <c r="A49125"/>
      <c r="B49125"/>
      <c r="C49125"/>
      <c r="E49125"/>
      <c r="F49125"/>
    </row>
    <row r="49126" spans="1:6" x14ac:dyDescent="0.25">
      <c r="A49126"/>
      <c r="B49126"/>
      <c r="C49126"/>
      <c r="E49126"/>
      <c r="F49126"/>
    </row>
    <row r="49127" spans="1:6" x14ac:dyDescent="0.25">
      <c r="A49127"/>
      <c r="B49127"/>
      <c r="C49127"/>
      <c r="E49127"/>
      <c r="F49127"/>
    </row>
    <row r="49128" spans="1:6" x14ac:dyDescent="0.25">
      <c r="A49128"/>
      <c r="B49128"/>
      <c r="C49128"/>
      <c r="E49128"/>
      <c r="F49128"/>
    </row>
    <row r="49129" spans="1:6" x14ac:dyDescent="0.25">
      <c r="A49129"/>
      <c r="B49129"/>
      <c r="C49129"/>
      <c r="E49129"/>
      <c r="F49129"/>
    </row>
    <row r="49130" spans="1:6" x14ac:dyDescent="0.25">
      <c r="A49130"/>
      <c r="B49130"/>
      <c r="C49130"/>
      <c r="E49130"/>
      <c r="F49130"/>
    </row>
    <row r="49131" spans="1:6" x14ac:dyDescent="0.25">
      <c r="A49131"/>
      <c r="B49131"/>
      <c r="C49131"/>
      <c r="E49131"/>
      <c r="F49131"/>
    </row>
    <row r="49132" spans="1:6" x14ac:dyDescent="0.25">
      <c r="A49132"/>
      <c r="B49132"/>
      <c r="C49132"/>
      <c r="E49132"/>
      <c r="F49132"/>
    </row>
    <row r="49133" spans="1:6" x14ac:dyDescent="0.25">
      <c r="A49133"/>
      <c r="B49133"/>
      <c r="C49133"/>
      <c r="E49133"/>
      <c r="F49133"/>
    </row>
    <row r="49134" spans="1:6" x14ac:dyDescent="0.25">
      <c r="A49134"/>
      <c r="B49134"/>
      <c r="C49134"/>
      <c r="E49134"/>
      <c r="F49134"/>
    </row>
    <row r="49135" spans="1:6" x14ac:dyDescent="0.25">
      <c r="A49135"/>
      <c r="B49135"/>
      <c r="C49135"/>
      <c r="E49135"/>
      <c r="F49135"/>
    </row>
    <row r="49136" spans="1:6" x14ac:dyDescent="0.25">
      <c r="A49136"/>
      <c r="B49136"/>
      <c r="C49136"/>
      <c r="E49136"/>
      <c r="F49136"/>
    </row>
    <row r="49137" spans="1:6" x14ac:dyDescent="0.25">
      <c r="A49137"/>
      <c r="B49137"/>
      <c r="C49137"/>
      <c r="E49137"/>
      <c r="F49137"/>
    </row>
    <row r="49138" spans="1:6" x14ac:dyDescent="0.25">
      <c r="A49138"/>
      <c r="B49138"/>
      <c r="C49138"/>
      <c r="E49138"/>
      <c r="F49138"/>
    </row>
    <row r="49139" spans="1:6" x14ac:dyDescent="0.25">
      <c r="A49139"/>
      <c r="B49139"/>
      <c r="C49139"/>
      <c r="E49139"/>
      <c r="F49139"/>
    </row>
    <row r="49140" spans="1:6" x14ac:dyDescent="0.25">
      <c r="A49140"/>
      <c r="B49140"/>
      <c r="C49140"/>
      <c r="E49140"/>
      <c r="F49140"/>
    </row>
    <row r="49141" spans="1:6" x14ac:dyDescent="0.25">
      <c r="A49141"/>
      <c r="B49141"/>
      <c r="C49141"/>
      <c r="E49141"/>
      <c r="F49141"/>
    </row>
    <row r="49142" spans="1:6" x14ac:dyDescent="0.25">
      <c r="A49142"/>
      <c r="B49142"/>
      <c r="C49142"/>
      <c r="E49142"/>
      <c r="F49142"/>
    </row>
    <row r="49143" spans="1:6" x14ac:dyDescent="0.25">
      <c r="A49143"/>
      <c r="B49143"/>
      <c r="C49143"/>
      <c r="E49143"/>
      <c r="F49143"/>
    </row>
    <row r="49144" spans="1:6" x14ac:dyDescent="0.25">
      <c r="A49144"/>
      <c r="B49144"/>
      <c r="C49144"/>
      <c r="E49144"/>
      <c r="F49144"/>
    </row>
    <row r="49145" spans="1:6" x14ac:dyDescent="0.25">
      <c r="A49145"/>
      <c r="B49145"/>
      <c r="C49145"/>
      <c r="E49145"/>
      <c r="F49145"/>
    </row>
    <row r="49146" spans="1:6" x14ac:dyDescent="0.25">
      <c r="A49146"/>
      <c r="B49146"/>
      <c r="C49146"/>
      <c r="E49146"/>
      <c r="F49146"/>
    </row>
    <row r="49147" spans="1:6" x14ac:dyDescent="0.25">
      <c r="A49147"/>
      <c r="B49147"/>
      <c r="C49147"/>
      <c r="E49147"/>
      <c r="F49147"/>
    </row>
    <row r="49148" spans="1:6" x14ac:dyDescent="0.25">
      <c r="A49148"/>
      <c r="B49148"/>
      <c r="C49148"/>
      <c r="E49148"/>
      <c r="F49148"/>
    </row>
    <row r="49149" spans="1:6" x14ac:dyDescent="0.25">
      <c r="A49149"/>
      <c r="B49149"/>
      <c r="C49149"/>
      <c r="E49149"/>
      <c r="F49149"/>
    </row>
    <row r="49150" spans="1:6" x14ac:dyDescent="0.25">
      <c r="A49150"/>
      <c r="B49150"/>
      <c r="C49150"/>
      <c r="E49150"/>
      <c r="F49150"/>
    </row>
    <row r="49151" spans="1:6" x14ac:dyDescent="0.25">
      <c r="A49151"/>
      <c r="B49151"/>
      <c r="C49151"/>
      <c r="E49151"/>
      <c r="F49151"/>
    </row>
    <row r="49152" spans="1:6" x14ac:dyDescent="0.25">
      <c r="A49152"/>
      <c r="B49152"/>
      <c r="C49152"/>
      <c r="E49152"/>
      <c r="F49152"/>
    </row>
    <row r="49153" spans="1:6" x14ac:dyDescent="0.25">
      <c r="A49153"/>
      <c r="B49153"/>
      <c r="C49153"/>
      <c r="E49153"/>
      <c r="F49153"/>
    </row>
    <row r="49154" spans="1:6" x14ac:dyDescent="0.25">
      <c r="A49154"/>
      <c r="B49154"/>
      <c r="C49154"/>
      <c r="E49154"/>
      <c r="F49154"/>
    </row>
    <row r="49155" spans="1:6" x14ac:dyDescent="0.25">
      <c r="A49155"/>
      <c r="B49155"/>
      <c r="C49155"/>
      <c r="E49155"/>
      <c r="F49155"/>
    </row>
    <row r="49156" spans="1:6" x14ac:dyDescent="0.25">
      <c r="A49156"/>
      <c r="B49156"/>
      <c r="C49156"/>
      <c r="E49156"/>
      <c r="F49156"/>
    </row>
    <row r="49157" spans="1:6" x14ac:dyDescent="0.25">
      <c r="A49157"/>
      <c r="B49157"/>
      <c r="C49157"/>
      <c r="E49157"/>
      <c r="F49157"/>
    </row>
    <row r="49158" spans="1:6" x14ac:dyDescent="0.25">
      <c r="A49158"/>
      <c r="B49158"/>
      <c r="C49158"/>
      <c r="E49158"/>
      <c r="F49158"/>
    </row>
    <row r="49159" spans="1:6" x14ac:dyDescent="0.25">
      <c r="A49159"/>
      <c r="B49159"/>
      <c r="C49159"/>
      <c r="E49159"/>
      <c r="F49159"/>
    </row>
    <row r="49160" spans="1:6" x14ac:dyDescent="0.25">
      <c r="A49160"/>
      <c r="B49160"/>
      <c r="C49160"/>
      <c r="E49160"/>
      <c r="F49160"/>
    </row>
    <row r="49161" spans="1:6" x14ac:dyDescent="0.25">
      <c r="A49161"/>
      <c r="B49161"/>
      <c r="C49161"/>
      <c r="E49161"/>
      <c r="F49161"/>
    </row>
    <row r="49162" spans="1:6" x14ac:dyDescent="0.25">
      <c r="A49162"/>
      <c r="B49162"/>
      <c r="C49162"/>
      <c r="E49162"/>
      <c r="F49162"/>
    </row>
    <row r="49163" spans="1:6" x14ac:dyDescent="0.25">
      <c r="A49163"/>
      <c r="B49163"/>
      <c r="C49163"/>
      <c r="E49163"/>
      <c r="F49163"/>
    </row>
    <row r="49164" spans="1:6" x14ac:dyDescent="0.25">
      <c r="A49164"/>
      <c r="B49164"/>
      <c r="C49164"/>
      <c r="E49164"/>
      <c r="F49164"/>
    </row>
    <row r="49165" spans="1:6" x14ac:dyDescent="0.25">
      <c r="A49165"/>
      <c r="B49165"/>
      <c r="C49165"/>
      <c r="E49165"/>
      <c r="F49165"/>
    </row>
    <row r="49166" spans="1:6" x14ac:dyDescent="0.25">
      <c r="A49166"/>
      <c r="B49166"/>
      <c r="C49166"/>
      <c r="E49166"/>
      <c r="F49166"/>
    </row>
    <row r="49167" spans="1:6" x14ac:dyDescent="0.25">
      <c r="A49167"/>
      <c r="B49167"/>
      <c r="C49167"/>
      <c r="E49167"/>
      <c r="F49167"/>
    </row>
    <row r="49168" spans="1:6" x14ac:dyDescent="0.25">
      <c r="A49168"/>
      <c r="B49168"/>
      <c r="C49168"/>
      <c r="E49168"/>
      <c r="F49168"/>
    </row>
    <row r="49169" spans="1:6" x14ac:dyDescent="0.25">
      <c r="A49169"/>
      <c r="B49169"/>
      <c r="C49169"/>
      <c r="E49169"/>
      <c r="F49169"/>
    </row>
    <row r="49170" spans="1:6" x14ac:dyDescent="0.25">
      <c r="A49170"/>
      <c r="B49170"/>
      <c r="C49170"/>
      <c r="E49170"/>
      <c r="F49170"/>
    </row>
    <row r="49171" spans="1:6" x14ac:dyDescent="0.25">
      <c r="A49171"/>
      <c r="B49171"/>
      <c r="C49171"/>
      <c r="E49171"/>
      <c r="F49171"/>
    </row>
    <row r="49172" spans="1:6" x14ac:dyDescent="0.25">
      <c r="A49172"/>
      <c r="B49172"/>
      <c r="C49172"/>
      <c r="E49172"/>
      <c r="F49172"/>
    </row>
    <row r="49173" spans="1:6" x14ac:dyDescent="0.25">
      <c r="A49173"/>
      <c r="B49173"/>
      <c r="C49173"/>
      <c r="E49173"/>
      <c r="F49173"/>
    </row>
    <row r="49174" spans="1:6" x14ac:dyDescent="0.25">
      <c r="A49174"/>
      <c r="B49174"/>
      <c r="C49174"/>
      <c r="E49174"/>
      <c r="F49174"/>
    </row>
    <row r="49175" spans="1:6" x14ac:dyDescent="0.25">
      <c r="A49175"/>
      <c r="B49175"/>
      <c r="C49175"/>
      <c r="E49175"/>
      <c r="F49175"/>
    </row>
    <row r="49176" spans="1:6" x14ac:dyDescent="0.25">
      <c r="A49176"/>
      <c r="B49176"/>
      <c r="C49176"/>
      <c r="E49176"/>
      <c r="F49176"/>
    </row>
    <row r="49177" spans="1:6" x14ac:dyDescent="0.25">
      <c r="A49177"/>
      <c r="B49177"/>
      <c r="C49177"/>
      <c r="E49177"/>
      <c r="F49177"/>
    </row>
    <row r="49178" spans="1:6" x14ac:dyDescent="0.25">
      <c r="A49178"/>
      <c r="B49178"/>
      <c r="C49178"/>
      <c r="E49178"/>
      <c r="F49178"/>
    </row>
    <row r="49179" spans="1:6" x14ac:dyDescent="0.25">
      <c r="A49179"/>
      <c r="B49179"/>
      <c r="C49179"/>
      <c r="E49179"/>
      <c r="F49179"/>
    </row>
    <row r="49180" spans="1:6" x14ac:dyDescent="0.25">
      <c r="A49180"/>
      <c r="B49180"/>
      <c r="C49180"/>
      <c r="E49180"/>
      <c r="F49180"/>
    </row>
    <row r="49181" spans="1:6" x14ac:dyDescent="0.25">
      <c r="A49181"/>
      <c r="B49181"/>
      <c r="C49181"/>
      <c r="E49181"/>
      <c r="F49181"/>
    </row>
    <row r="49182" spans="1:6" x14ac:dyDescent="0.25">
      <c r="A49182"/>
      <c r="B49182"/>
      <c r="C49182"/>
      <c r="E49182"/>
      <c r="F49182"/>
    </row>
    <row r="49183" spans="1:6" x14ac:dyDescent="0.25">
      <c r="A49183"/>
      <c r="B49183"/>
      <c r="C49183"/>
      <c r="E49183"/>
      <c r="F49183"/>
    </row>
    <row r="49184" spans="1:6" x14ac:dyDescent="0.25">
      <c r="A49184"/>
      <c r="B49184"/>
      <c r="C49184"/>
      <c r="E49184"/>
      <c r="F49184"/>
    </row>
    <row r="49185" spans="1:6" x14ac:dyDescent="0.25">
      <c r="A49185"/>
      <c r="B49185"/>
      <c r="C49185"/>
      <c r="E49185"/>
      <c r="F49185"/>
    </row>
    <row r="49186" spans="1:6" x14ac:dyDescent="0.25">
      <c r="A49186"/>
      <c r="B49186"/>
      <c r="C49186"/>
      <c r="E49186"/>
      <c r="F49186"/>
    </row>
    <row r="49187" spans="1:6" x14ac:dyDescent="0.25">
      <c r="A49187"/>
      <c r="B49187"/>
      <c r="C49187"/>
      <c r="E49187"/>
      <c r="F49187"/>
    </row>
    <row r="49188" spans="1:6" x14ac:dyDescent="0.25">
      <c r="A49188"/>
      <c r="B49188"/>
      <c r="C49188"/>
      <c r="E49188"/>
      <c r="F49188"/>
    </row>
    <row r="49189" spans="1:6" x14ac:dyDescent="0.25">
      <c r="A49189"/>
      <c r="B49189"/>
      <c r="C49189"/>
      <c r="E49189"/>
      <c r="F49189"/>
    </row>
    <row r="49190" spans="1:6" x14ac:dyDescent="0.25">
      <c r="A49190"/>
      <c r="B49190"/>
      <c r="C49190"/>
      <c r="E49190"/>
      <c r="F49190"/>
    </row>
    <row r="49191" spans="1:6" x14ac:dyDescent="0.25">
      <c r="A49191"/>
      <c r="B49191"/>
      <c r="C49191"/>
      <c r="E49191"/>
      <c r="F49191"/>
    </row>
    <row r="49192" spans="1:6" x14ac:dyDescent="0.25">
      <c r="A49192"/>
      <c r="B49192"/>
      <c r="C49192"/>
      <c r="E49192"/>
      <c r="F49192"/>
    </row>
    <row r="49193" spans="1:6" x14ac:dyDescent="0.25">
      <c r="A49193"/>
      <c r="B49193"/>
      <c r="C49193"/>
      <c r="E49193"/>
      <c r="F49193"/>
    </row>
    <row r="49194" spans="1:6" x14ac:dyDescent="0.25">
      <c r="A49194"/>
      <c r="B49194"/>
      <c r="C49194"/>
      <c r="E49194"/>
      <c r="F49194"/>
    </row>
    <row r="49195" spans="1:6" x14ac:dyDescent="0.25">
      <c r="A49195"/>
      <c r="B49195"/>
      <c r="C49195"/>
      <c r="E49195"/>
      <c r="F49195"/>
    </row>
    <row r="49196" spans="1:6" x14ac:dyDescent="0.25">
      <c r="A49196"/>
      <c r="B49196"/>
      <c r="C49196"/>
      <c r="E49196"/>
      <c r="F49196"/>
    </row>
    <row r="49197" spans="1:6" x14ac:dyDescent="0.25">
      <c r="A49197"/>
      <c r="B49197"/>
      <c r="C49197"/>
      <c r="E49197"/>
      <c r="F49197"/>
    </row>
    <row r="49198" spans="1:6" x14ac:dyDescent="0.25">
      <c r="A49198"/>
      <c r="B49198"/>
      <c r="C49198"/>
      <c r="E49198"/>
      <c r="F49198"/>
    </row>
    <row r="49199" spans="1:6" x14ac:dyDescent="0.25">
      <c r="A49199"/>
      <c r="B49199"/>
      <c r="C49199"/>
      <c r="E49199"/>
      <c r="F49199"/>
    </row>
    <row r="49200" spans="1:6" x14ac:dyDescent="0.25">
      <c r="A49200"/>
      <c r="B49200"/>
      <c r="C49200"/>
      <c r="E49200"/>
      <c r="F49200"/>
    </row>
    <row r="49201" spans="1:6" x14ac:dyDescent="0.25">
      <c r="A49201"/>
      <c r="B49201"/>
      <c r="C49201"/>
      <c r="E49201"/>
      <c r="F49201"/>
    </row>
    <row r="49202" spans="1:6" x14ac:dyDescent="0.25">
      <c r="A49202"/>
      <c r="B49202"/>
      <c r="C49202"/>
      <c r="E49202"/>
      <c r="F49202"/>
    </row>
    <row r="49203" spans="1:6" x14ac:dyDescent="0.25">
      <c r="A49203"/>
      <c r="B49203"/>
      <c r="C49203"/>
      <c r="E49203"/>
      <c r="F49203"/>
    </row>
    <row r="49204" spans="1:6" x14ac:dyDescent="0.25">
      <c r="A49204"/>
      <c r="B49204"/>
      <c r="C49204"/>
      <c r="E49204"/>
      <c r="F49204"/>
    </row>
    <row r="49205" spans="1:6" x14ac:dyDescent="0.25">
      <c r="A49205"/>
      <c r="B49205"/>
      <c r="C49205"/>
      <c r="E49205"/>
      <c r="F49205"/>
    </row>
    <row r="49206" spans="1:6" x14ac:dyDescent="0.25">
      <c r="A49206"/>
      <c r="B49206"/>
      <c r="C49206"/>
      <c r="E49206"/>
      <c r="F49206"/>
    </row>
    <row r="49207" spans="1:6" x14ac:dyDescent="0.25">
      <c r="A49207"/>
      <c r="B49207"/>
      <c r="C49207"/>
      <c r="E49207"/>
      <c r="F49207"/>
    </row>
    <row r="49208" spans="1:6" x14ac:dyDescent="0.25">
      <c r="A49208"/>
      <c r="B49208"/>
      <c r="C49208"/>
      <c r="E49208"/>
      <c r="F49208"/>
    </row>
    <row r="49209" spans="1:6" x14ac:dyDescent="0.25">
      <c r="A49209"/>
      <c r="B49209"/>
      <c r="C49209"/>
      <c r="E49209"/>
      <c r="F49209"/>
    </row>
    <row r="49210" spans="1:6" x14ac:dyDescent="0.25">
      <c r="A49210"/>
      <c r="B49210"/>
      <c r="C49210"/>
      <c r="E49210"/>
      <c r="F49210"/>
    </row>
    <row r="49211" spans="1:6" x14ac:dyDescent="0.25">
      <c r="A49211"/>
      <c r="B49211"/>
      <c r="C49211"/>
      <c r="E49211"/>
      <c r="F49211"/>
    </row>
    <row r="49212" spans="1:6" x14ac:dyDescent="0.25">
      <c r="A49212"/>
      <c r="B49212"/>
      <c r="C49212"/>
      <c r="E49212"/>
      <c r="F49212"/>
    </row>
    <row r="49213" spans="1:6" x14ac:dyDescent="0.25">
      <c r="A49213"/>
      <c r="B49213"/>
      <c r="C49213"/>
      <c r="E49213"/>
      <c r="F49213"/>
    </row>
    <row r="49214" spans="1:6" x14ac:dyDescent="0.25">
      <c r="A49214"/>
      <c r="B49214"/>
      <c r="C49214"/>
      <c r="E49214"/>
      <c r="F49214"/>
    </row>
    <row r="49215" spans="1:6" x14ac:dyDescent="0.25">
      <c r="A49215"/>
      <c r="B49215"/>
      <c r="C49215"/>
      <c r="E49215"/>
      <c r="F49215"/>
    </row>
    <row r="49216" spans="1:6" x14ac:dyDescent="0.25">
      <c r="A49216"/>
      <c r="B49216"/>
      <c r="C49216"/>
      <c r="E49216"/>
      <c r="F49216"/>
    </row>
    <row r="49217" spans="1:6" x14ac:dyDescent="0.25">
      <c r="A49217"/>
      <c r="B49217"/>
      <c r="C49217"/>
      <c r="E49217"/>
      <c r="F49217"/>
    </row>
    <row r="49218" spans="1:6" x14ac:dyDescent="0.25">
      <c r="A49218"/>
      <c r="B49218"/>
      <c r="C49218"/>
      <c r="E49218"/>
      <c r="F49218"/>
    </row>
    <row r="49219" spans="1:6" x14ac:dyDescent="0.25">
      <c r="A49219"/>
      <c r="B49219"/>
      <c r="C49219"/>
      <c r="E49219"/>
      <c r="F49219"/>
    </row>
    <row r="49220" spans="1:6" x14ac:dyDescent="0.25">
      <c r="A49220"/>
      <c r="B49220"/>
      <c r="C49220"/>
      <c r="E49220"/>
      <c r="F49220"/>
    </row>
    <row r="49221" spans="1:6" x14ac:dyDescent="0.25">
      <c r="A49221"/>
      <c r="B49221"/>
      <c r="C49221"/>
      <c r="E49221"/>
      <c r="F49221"/>
    </row>
    <row r="49222" spans="1:6" x14ac:dyDescent="0.25">
      <c r="A49222"/>
      <c r="B49222"/>
      <c r="C49222"/>
      <c r="E49222"/>
      <c r="F49222"/>
    </row>
    <row r="49223" spans="1:6" x14ac:dyDescent="0.25">
      <c r="A49223"/>
      <c r="B49223"/>
      <c r="C49223"/>
      <c r="E49223"/>
      <c r="F49223"/>
    </row>
    <row r="49224" spans="1:6" x14ac:dyDescent="0.25">
      <c r="A49224"/>
      <c r="B49224"/>
      <c r="C49224"/>
      <c r="E49224"/>
      <c r="F49224"/>
    </row>
    <row r="49225" spans="1:6" x14ac:dyDescent="0.25">
      <c r="A49225"/>
      <c r="B49225"/>
      <c r="C49225"/>
      <c r="E49225"/>
      <c r="F49225"/>
    </row>
    <row r="49226" spans="1:6" x14ac:dyDescent="0.25">
      <c r="A49226"/>
      <c r="B49226"/>
      <c r="C49226"/>
      <c r="E49226"/>
      <c r="F49226"/>
    </row>
    <row r="49227" spans="1:6" x14ac:dyDescent="0.25">
      <c r="A49227"/>
      <c r="B49227"/>
      <c r="C49227"/>
      <c r="E49227"/>
      <c r="F49227"/>
    </row>
    <row r="49228" spans="1:6" x14ac:dyDescent="0.25">
      <c r="A49228"/>
      <c r="B49228"/>
      <c r="C49228"/>
      <c r="E49228"/>
      <c r="F49228"/>
    </row>
    <row r="49229" spans="1:6" x14ac:dyDescent="0.25">
      <c r="A49229"/>
      <c r="B49229"/>
      <c r="C49229"/>
      <c r="E49229"/>
      <c r="F49229"/>
    </row>
    <row r="49230" spans="1:6" x14ac:dyDescent="0.25">
      <c r="A49230"/>
      <c r="B49230"/>
      <c r="C49230"/>
      <c r="E49230"/>
      <c r="F49230"/>
    </row>
    <row r="49231" spans="1:6" x14ac:dyDescent="0.25">
      <c r="A49231"/>
      <c r="B49231"/>
      <c r="C49231"/>
      <c r="E49231"/>
      <c r="F49231"/>
    </row>
    <row r="49232" spans="1:6" x14ac:dyDescent="0.25">
      <c r="A49232"/>
      <c r="B49232"/>
      <c r="C49232"/>
      <c r="E49232"/>
      <c r="F49232"/>
    </row>
    <row r="49233" spans="1:6" x14ac:dyDescent="0.25">
      <c r="A49233"/>
      <c r="B49233"/>
      <c r="C49233"/>
      <c r="E49233"/>
      <c r="F49233"/>
    </row>
    <row r="49234" spans="1:6" x14ac:dyDescent="0.25">
      <c r="A49234"/>
      <c r="B49234"/>
      <c r="C49234"/>
      <c r="E49234"/>
      <c r="F49234"/>
    </row>
    <row r="49235" spans="1:6" x14ac:dyDescent="0.25">
      <c r="A49235"/>
      <c r="B49235"/>
      <c r="C49235"/>
      <c r="E49235"/>
      <c r="F49235"/>
    </row>
    <row r="49236" spans="1:6" x14ac:dyDescent="0.25">
      <c r="A49236"/>
      <c r="B49236"/>
      <c r="C49236"/>
      <c r="E49236"/>
      <c r="F49236"/>
    </row>
    <row r="49237" spans="1:6" x14ac:dyDescent="0.25">
      <c r="A49237"/>
      <c r="B49237"/>
      <c r="C49237"/>
      <c r="E49237"/>
      <c r="F49237"/>
    </row>
    <row r="49238" spans="1:6" x14ac:dyDescent="0.25">
      <c r="A49238"/>
      <c r="B49238"/>
      <c r="C49238"/>
      <c r="E49238"/>
      <c r="F49238"/>
    </row>
    <row r="49239" spans="1:6" x14ac:dyDescent="0.25">
      <c r="A49239"/>
      <c r="B49239"/>
      <c r="C49239"/>
      <c r="E49239"/>
      <c r="F49239"/>
    </row>
    <row r="49240" spans="1:6" x14ac:dyDescent="0.25">
      <c r="A49240"/>
      <c r="B49240"/>
      <c r="C49240"/>
      <c r="E49240"/>
      <c r="F49240"/>
    </row>
    <row r="49241" spans="1:6" x14ac:dyDescent="0.25">
      <c r="A49241"/>
      <c r="B49241"/>
      <c r="C49241"/>
      <c r="E49241"/>
      <c r="F49241"/>
    </row>
    <row r="49242" spans="1:6" x14ac:dyDescent="0.25">
      <c r="A49242"/>
      <c r="B49242"/>
      <c r="C49242"/>
      <c r="E49242"/>
      <c r="F49242"/>
    </row>
    <row r="49243" spans="1:6" x14ac:dyDescent="0.25">
      <c r="A49243"/>
      <c r="B49243"/>
      <c r="C49243"/>
      <c r="E49243"/>
      <c r="F49243"/>
    </row>
    <row r="49244" spans="1:6" x14ac:dyDescent="0.25">
      <c r="A49244"/>
      <c r="B49244"/>
      <c r="C49244"/>
      <c r="E49244"/>
      <c r="F49244"/>
    </row>
    <row r="49245" spans="1:6" x14ac:dyDescent="0.25">
      <c r="A49245"/>
      <c r="B49245"/>
      <c r="C49245"/>
      <c r="E49245"/>
      <c r="F49245"/>
    </row>
    <row r="49246" spans="1:6" x14ac:dyDescent="0.25">
      <c r="A49246"/>
      <c r="B49246"/>
      <c r="C49246"/>
      <c r="E49246"/>
      <c r="F49246"/>
    </row>
    <row r="49247" spans="1:6" x14ac:dyDescent="0.25">
      <c r="A49247"/>
      <c r="B49247"/>
      <c r="C49247"/>
      <c r="E49247"/>
      <c r="F49247"/>
    </row>
    <row r="49248" spans="1:6" x14ac:dyDescent="0.25">
      <c r="A49248"/>
      <c r="B49248"/>
      <c r="C49248"/>
      <c r="E49248"/>
      <c r="F49248"/>
    </row>
    <row r="49249" spans="1:6" x14ac:dyDescent="0.25">
      <c r="A49249"/>
      <c r="B49249"/>
      <c r="C49249"/>
      <c r="E49249"/>
      <c r="F49249"/>
    </row>
    <row r="49250" spans="1:6" x14ac:dyDescent="0.25">
      <c r="A49250"/>
      <c r="B49250"/>
      <c r="C49250"/>
      <c r="E49250"/>
      <c r="F49250"/>
    </row>
    <row r="49251" spans="1:6" x14ac:dyDescent="0.25">
      <c r="A49251"/>
      <c r="B49251"/>
      <c r="C49251"/>
      <c r="E49251"/>
      <c r="F49251"/>
    </row>
    <row r="49252" spans="1:6" x14ac:dyDescent="0.25">
      <c r="A49252"/>
      <c r="B49252"/>
      <c r="C49252"/>
      <c r="E49252"/>
      <c r="F49252"/>
    </row>
    <row r="49253" spans="1:6" x14ac:dyDescent="0.25">
      <c r="A49253"/>
      <c r="B49253"/>
      <c r="C49253"/>
      <c r="E49253"/>
      <c r="F49253"/>
    </row>
    <row r="49254" spans="1:6" x14ac:dyDescent="0.25">
      <c r="A49254"/>
      <c r="B49254"/>
      <c r="C49254"/>
      <c r="E49254"/>
      <c r="F49254"/>
    </row>
    <row r="49255" spans="1:6" x14ac:dyDescent="0.25">
      <c r="A49255"/>
      <c r="B49255"/>
      <c r="C49255"/>
      <c r="E49255"/>
      <c r="F49255"/>
    </row>
    <row r="49256" spans="1:6" x14ac:dyDescent="0.25">
      <c r="A49256"/>
      <c r="B49256"/>
      <c r="C49256"/>
      <c r="E49256"/>
      <c r="F49256"/>
    </row>
    <row r="49257" spans="1:6" x14ac:dyDescent="0.25">
      <c r="A49257"/>
      <c r="B49257"/>
      <c r="C49257"/>
      <c r="E49257"/>
      <c r="F49257"/>
    </row>
    <row r="49258" spans="1:6" x14ac:dyDescent="0.25">
      <c r="A49258"/>
      <c r="B49258"/>
      <c r="C49258"/>
      <c r="E49258"/>
      <c r="F49258"/>
    </row>
    <row r="49259" spans="1:6" x14ac:dyDescent="0.25">
      <c r="A49259"/>
      <c r="B49259"/>
      <c r="C49259"/>
      <c r="E49259"/>
      <c r="F49259"/>
    </row>
    <row r="49260" spans="1:6" x14ac:dyDescent="0.25">
      <c r="A49260"/>
      <c r="B49260"/>
      <c r="C49260"/>
      <c r="E49260"/>
      <c r="F49260"/>
    </row>
    <row r="49261" spans="1:6" x14ac:dyDescent="0.25">
      <c r="A49261"/>
      <c r="B49261"/>
      <c r="C49261"/>
      <c r="E49261"/>
      <c r="F49261"/>
    </row>
    <row r="49262" spans="1:6" x14ac:dyDescent="0.25">
      <c r="A49262"/>
      <c r="B49262"/>
      <c r="C49262"/>
      <c r="E49262"/>
      <c r="F49262"/>
    </row>
    <row r="49263" spans="1:6" x14ac:dyDescent="0.25">
      <c r="A49263"/>
      <c r="B49263"/>
      <c r="C49263"/>
      <c r="E49263"/>
      <c r="F49263"/>
    </row>
    <row r="49264" spans="1:6" x14ac:dyDescent="0.25">
      <c r="A49264"/>
      <c r="B49264"/>
      <c r="C49264"/>
      <c r="E49264"/>
      <c r="F49264"/>
    </row>
    <row r="49265" spans="1:6" x14ac:dyDescent="0.25">
      <c r="A49265"/>
      <c r="B49265"/>
      <c r="C49265"/>
      <c r="E49265"/>
      <c r="F49265"/>
    </row>
    <row r="49266" spans="1:6" x14ac:dyDescent="0.25">
      <c r="A49266"/>
      <c r="B49266"/>
      <c r="C49266"/>
      <c r="E49266"/>
      <c r="F49266"/>
    </row>
    <row r="49267" spans="1:6" x14ac:dyDescent="0.25">
      <c r="A49267"/>
      <c r="B49267"/>
      <c r="C49267"/>
      <c r="E49267"/>
      <c r="F49267"/>
    </row>
    <row r="49268" spans="1:6" x14ac:dyDescent="0.25">
      <c r="A49268"/>
      <c r="B49268"/>
      <c r="C49268"/>
      <c r="E49268"/>
      <c r="F49268"/>
    </row>
    <row r="49269" spans="1:6" x14ac:dyDescent="0.25">
      <c r="A49269"/>
      <c r="B49269"/>
      <c r="C49269"/>
      <c r="E49269"/>
      <c r="F49269"/>
    </row>
    <row r="49270" spans="1:6" x14ac:dyDescent="0.25">
      <c r="A49270"/>
      <c r="B49270"/>
      <c r="C49270"/>
      <c r="E49270"/>
      <c r="F49270"/>
    </row>
    <row r="49271" spans="1:6" x14ac:dyDescent="0.25">
      <c r="A49271"/>
      <c r="B49271"/>
      <c r="C49271"/>
      <c r="E49271"/>
      <c r="F49271"/>
    </row>
    <row r="49272" spans="1:6" x14ac:dyDescent="0.25">
      <c r="A49272"/>
      <c r="B49272"/>
      <c r="C49272"/>
      <c r="E49272"/>
      <c r="F49272"/>
    </row>
    <row r="49273" spans="1:6" x14ac:dyDescent="0.25">
      <c r="A49273"/>
      <c r="B49273"/>
      <c r="C49273"/>
      <c r="E49273"/>
      <c r="F49273"/>
    </row>
    <row r="49274" spans="1:6" x14ac:dyDescent="0.25">
      <c r="A49274"/>
      <c r="B49274"/>
      <c r="C49274"/>
      <c r="E49274"/>
      <c r="F49274"/>
    </row>
    <row r="49275" spans="1:6" x14ac:dyDescent="0.25">
      <c r="A49275"/>
      <c r="B49275"/>
      <c r="C49275"/>
      <c r="E49275"/>
      <c r="F49275"/>
    </row>
    <row r="49276" spans="1:6" x14ac:dyDescent="0.25">
      <c r="A49276"/>
      <c r="B49276"/>
      <c r="C49276"/>
      <c r="E49276"/>
      <c r="F49276"/>
    </row>
    <row r="49277" spans="1:6" x14ac:dyDescent="0.25">
      <c r="A49277"/>
      <c r="B49277"/>
      <c r="C49277"/>
      <c r="E49277"/>
      <c r="F49277"/>
    </row>
    <row r="49278" spans="1:6" x14ac:dyDescent="0.25">
      <c r="A49278"/>
      <c r="B49278"/>
      <c r="C49278"/>
      <c r="E49278"/>
      <c r="F49278"/>
    </row>
    <row r="49279" spans="1:6" x14ac:dyDescent="0.25">
      <c r="A49279"/>
      <c r="B49279"/>
      <c r="C49279"/>
      <c r="E49279"/>
      <c r="F49279"/>
    </row>
    <row r="49280" spans="1:6" x14ac:dyDescent="0.25">
      <c r="A49280"/>
      <c r="B49280"/>
      <c r="C49280"/>
      <c r="E49280"/>
      <c r="F49280"/>
    </row>
    <row r="49281" spans="1:6" x14ac:dyDescent="0.25">
      <c r="A49281"/>
      <c r="B49281"/>
      <c r="C49281"/>
      <c r="E49281"/>
      <c r="F49281"/>
    </row>
    <row r="49282" spans="1:6" x14ac:dyDescent="0.25">
      <c r="A49282"/>
      <c r="B49282"/>
      <c r="C49282"/>
      <c r="E49282"/>
      <c r="F49282"/>
    </row>
    <row r="49283" spans="1:6" x14ac:dyDescent="0.25">
      <c r="A49283"/>
      <c r="B49283"/>
      <c r="C49283"/>
      <c r="E49283"/>
      <c r="F49283"/>
    </row>
    <row r="49284" spans="1:6" x14ac:dyDescent="0.25">
      <c r="A49284"/>
      <c r="B49284"/>
      <c r="C49284"/>
      <c r="E49284"/>
      <c r="F49284"/>
    </row>
    <row r="49285" spans="1:6" x14ac:dyDescent="0.25">
      <c r="A49285"/>
      <c r="B49285"/>
      <c r="C49285"/>
      <c r="E49285"/>
      <c r="F49285"/>
    </row>
    <row r="49286" spans="1:6" x14ac:dyDescent="0.25">
      <c r="A49286"/>
      <c r="B49286"/>
      <c r="C49286"/>
      <c r="E49286"/>
      <c r="F49286"/>
    </row>
    <row r="49287" spans="1:6" x14ac:dyDescent="0.25">
      <c r="A49287"/>
      <c r="B49287"/>
      <c r="C49287"/>
      <c r="E49287"/>
      <c r="F49287"/>
    </row>
    <row r="49288" spans="1:6" x14ac:dyDescent="0.25">
      <c r="A49288"/>
      <c r="B49288"/>
      <c r="C49288"/>
      <c r="E49288"/>
      <c r="F49288"/>
    </row>
    <row r="49289" spans="1:6" x14ac:dyDescent="0.25">
      <c r="A49289"/>
      <c r="B49289"/>
      <c r="C49289"/>
      <c r="E49289"/>
      <c r="F49289"/>
    </row>
    <row r="49290" spans="1:6" x14ac:dyDescent="0.25">
      <c r="A49290"/>
      <c r="B49290"/>
      <c r="C49290"/>
      <c r="E49290"/>
      <c r="F49290"/>
    </row>
    <row r="49291" spans="1:6" x14ac:dyDescent="0.25">
      <c r="A49291"/>
      <c r="B49291"/>
      <c r="C49291"/>
      <c r="E49291"/>
      <c r="F49291"/>
    </row>
    <row r="49292" spans="1:6" x14ac:dyDescent="0.25">
      <c r="A49292"/>
      <c r="B49292"/>
      <c r="C49292"/>
      <c r="E49292"/>
      <c r="F49292"/>
    </row>
    <row r="49293" spans="1:6" x14ac:dyDescent="0.25">
      <c r="A49293"/>
      <c r="B49293"/>
      <c r="C49293"/>
      <c r="E49293"/>
      <c r="F49293"/>
    </row>
    <row r="49294" spans="1:6" x14ac:dyDescent="0.25">
      <c r="A49294"/>
      <c r="B49294"/>
      <c r="C49294"/>
      <c r="E49294"/>
      <c r="F49294"/>
    </row>
    <row r="49295" spans="1:6" x14ac:dyDescent="0.25">
      <c r="A49295"/>
      <c r="B49295"/>
      <c r="C49295"/>
      <c r="E49295"/>
      <c r="F49295"/>
    </row>
    <row r="49296" spans="1:6" x14ac:dyDescent="0.25">
      <c r="A49296"/>
      <c r="B49296"/>
      <c r="C49296"/>
      <c r="E49296"/>
      <c r="F49296"/>
    </row>
    <row r="49297" spans="1:6" x14ac:dyDescent="0.25">
      <c r="A49297"/>
      <c r="B49297"/>
      <c r="C49297"/>
      <c r="E49297"/>
      <c r="F49297"/>
    </row>
    <row r="49298" spans="1:6" x14ac:dyDescent="0.25">
      <c r="A49298"/>
      <c r="B49298"/>
      <c r="C49298"/>
      <c r="E49298"/>
      <c r="F49298"/>
    </row>
    <row r="49299" spans="1:6" x14ac:dyDescent="0.25">
      <c r="A49299"/>
      <c r="B49299"/>
      <c r="C49299"/>
      <c r="E49299"/>
      <c r="F49299"/>
    </row>
    <row r="49300" spans="1:6" x14ac:dyDescent="0.25">
      <c r="A49300"/>
      <c r="B49300"/>
      <c r="C49300"/>
      <c r="E49300"/>
      <c r="F49300"/>
    </row>
    <row r="49301" spans="1:6" x14ac:dyDescent="0.25">
      <c r="A49301"/>
      <c r="B49301"/>
      <c r="C49301"/>
      <c r="E49301"/>
      <c r="F49301"/>
    </row>
    <row r="49302" spans="1:6" x14ac:dyDescent="0.25">
      <c r="A49302"/>
      <c r="B49302"/>
      <c r="C49302"/>
      <c r="E49302"/>
      <c r="F49302"/>
    </row>
    <row r="49303" spans="1:6" x14ac:dyDescent="0.25">
      <c r="A49303"/>
      <c r="B49303"/>
      <c r="C49303"/>
      <c r="E49303"/>
      <c r="F49303"/>
    </row>
    <row r="49304" spans="1:6" x14ac:dyDescent="0.25">
      <c r="A49304"/>
      <c r="B49304"/>
      <c r="C49304"/>
      <c r="E49304"/>
      <c r="F49304"/>
    </row>
    <row r="49305" spans="1:6" x14ac:dyDescent="0.25">
      <c r="A49305"/>
      <c r="B49305"/>
      <c r="C49305"/>
      <c r="E49305"/>
      <c r="F49305"/>
    </row>
    <row r="49306" spans="1:6" x14ac:dyDescent="0.25">
      <c r="A49306"/>
      <c r="B49306"/>
      <c r="C49306"/>
      <c r="E49306"/>
      <c r="F49306"/>
    </row>
    <row r="49307" spans="1:6" x14ac:dyDescent="0.25">
      <c r="A49307"/>
      <c r="B49307"/>
      <c r="C49307"/>
      <c r="E49307"/>
      <c r="F49307"/>
    </row>
    <row r="49308" spans="1:6" x14ac:dyDescent="0.25">
      <c r="A49308"/>
      <c r="B49308"/>
      <c r="C49308"/>
      <c r="E49308"/>
      <c r="F49308"/>
    </row>
    <row r="49309" spans="1:6" x14ac:dyDescent="0.25">
      <c r="A49309"/>
      <c r="B49309"/>
      <c r="C49309"/>
      <c r="E49309"/>
      <c r="F49309"/>
    </row>
    <row r="49310" spans="1:6" x14ac:dyDescent="0.25">
      <c r="A49310"/>
      <c r="B49310"/>
      <c r="C49310"/>
      <c r="E49310"/>
      <c r="F49310"/>
    </row>
    <row r="49311" spans="1:6" x14ac:dyDescent="0.25">
      <c r="A49311"/>
      <c r="B49311"/>
      <c r="C49311"/>
      <c r="E49311"/>
      <c r="F49311"/>
    </row>
    <row r="49312" spans="1:6" x14ac:dyDescent="0.25">
      <c r="A49312"/>
      <c r="B49312"/>
      <c r="C49312"/>
      <c r="E49312"/>
      <c r="F49312"/>
    </row>
    <row r="49313" spans="1:6" x14ac:dyDescent="0.25">
      <c r="A49313"/>
      <c r="B49313"/>
      <c r="C49313"/>
      <c r="E49313"/>
      <c r="F49313"/>
    </row>
    <row r="49314" spans="1:6" x14ac:dyDescent="0.25">
      <c r="A49314"/>
      <c r="B49314"/>
      <c r="C49314"/>
      <c r="E49314"/>
      <c r="F49314"/>
    </row>
    <row r="49315" spans="1:6" x14ac:dyDescent="0.25">
      <c r="A49315"/>
      <c r="B49315"/>
      <c r="C49315"/>
      <c r="E49315"/>
      <c r="F49315"/>
    </row>
    <row r="49316" spans="1:6" x14ac:dyDescent="0.25">
      <c r="A49316"/>
      <c r="B49316"/>
      <c r="C49316"/>
      <c r="E49316"/>
      <c r="F49316"/>
    </row>
    <row r="49317" spans="1:6" x14ac:dyDescent="0.25">
      <c r="A49317"/>
      <c r="B49317"/>
      <c r="C49317"/>
      <c r="E49317"/>
      <c r="F49317"/>
    </row>
    <row r="49318" spans="1:6" x14ac:dyDescent="0.25">
      <c r="A49318"/>
      <c r="B49318"/>
      <c r="C49318"/>
      <c r="E49318"/>
      <c r="F49318"/>
    </row>
    <row r="49319" spans="1:6" x14ac:dyDescent="0.25">
      <c r="A49319"/>
      <c r="B49319"/>
      <c r="C49319"/>
      <c r="E49319"/>
      <c r="F49319"/>
    </row>
    <row r="49320" spans="1:6" x14ac:dyDescent="0.25">
      <c r="A49320"/>
      <c r="B49320"/>
      <c r="C49320"/>
      <c r="E49320"/>
      <c r="F49320"/>
    </row>
    <row r="49321" spans="1:6" x14ac:dyDescent="0.25">
      <c r="A49321"/>
      <c r="B49321"/>
      <c r="C49321"/>
      <c r="E49321"/>
      <c r="F49321"/>
    </row>
    <row r="49322" spans="1:6" x14ac:dyDescent="0.25">
      <c r="A49322"/>
      <c r="B49322"/>
      <c r="C49322"/>
      <c r="E49322"/>
      <c r="F49322"/>
    </row>
    <row r="49323" spans="1:6" x14ac:dyDescent="0.25">
      <c r="A49323"/>
      <c r="B49323"/>
      <c r="C49323"/>
      <c r="E49323"/>
      <c r="F49323"/>
    </row>
    <row r="49324" spans="1:6" x14ac:dyDescent="0.25">
      <c r="A49324"/>
      <c r="B49324"/>
      <c r="C49324"/>
      <c r="E49324"/>
      <c r="F49324"/>
    </row>
    <row r="49325" spans="1:6" x14ac:dyDescent="0.25">
      <c r="A49325"/>
      <c r="B49325"/>
      <c r="C49325"/>
      <c r="E49325"/>
      <c r="F49325"/>
    </row>
    <row r="49326" spans="1:6" x14ac:dyDescent="0.25">
      <c r="A49326"/>
      <c r="B49326"/>
      <c r="C49326"/>
      <c r="E49326"/>
      <c r="F49326"/>
    </row>
    <row r="49327" spans="1:6" x14ac:dyDescent="0.25">
      <c r="A49327"/>
      <c r="B49327"/>
      <c r="C49327"/>
      <c r="E49327"/>
      <c r="F49327"/>
    </row>
    <row r="49328" spans="1:6" x14ac:dyDescent="0.25">
      <c r="A49328"/>
      <c r="B49328"/>
      <c r="C49328"/>
      <c r="E49328"/>
      <c r="F49328"/>
    </row>
    <row r="49329" spans="1:6" x14ac:dyDescent="0.25">
      <c r="A49329"/>
      <c r="B49329"/>
      <c r="C49329"/>
      <c r="E49329"/>
      <c r="F49329"/>
    </row>
    <row r="49330" spans="1:6" x14ac:dyDescent="0.25">
      <c r="A49330"/>
      <c r="B49330"/>
      <c r="C49330"/>
      <c r="E49330"/>
      <c r="F49330"/>
    </row>
    <row r="49331" spans="1:6" x14ac:dyDescent="0.25">
      <c r="A49331"/>
      <c r="B49331"/>
      <c r="C49331"/>
      <c r="E49331"/>
      <c r="F49331"/>
    </row>
    <row r="49332" spans="1:6" x14ac:dyDescent="0.25">
      <c r="A49332"/>
      <c r="B49332"/>
      <c r="C49332"/>
      <c r="E49332"/>
      <c r="F49332"/>
    </row>
    <row r="49333" spans="1:6" x14ac:dyDescent="0.25">
      <c r="A49333"/>
      <c r="B49333"/>
      <c r="C49333"/>
      <c r="E49333"/>
      <c r="F49333"/>
    </row>
    <row r="49334" spans="1:6" x14ac:dyDescent="0.25">
      <c r="A49334"/>
      <c r="B49334"/>
      <c r="C49334"/>
      <c r="E49334"/>
      <c r="F49334"/>
    </row>
    <row r="49335" spans="1:6" x14ac:dyDescent="0.25">
      <c r="A49335"/>
      <c r="B49335"/>
      <c r="C49335"/>
      <c r="E49335"/>
      <c r="F49335"/>
    </row>
    <row r="49336" spans="1:6" x14ac:dyDescent="0.25">
      <c r="A49336"/>
      <c r="B49336"/>
      <c r="C49336"/>
      <c r="E49336"/>
      <c r="F49336"/>
    </row>
    <row r="49337" spans="1:6" x14ac:dyDescent="0.25">
      <c r="A49337"/>
      <c r="B49337"/>
      <c r="C49337"/>
      <c r="E49337"/>
      <c r="F49337"/>
    </row>
    <row r="49338" spans="1:6" x14ac:dyDescent="0.25">
      <c r="A49338"/>
      <c r="B49338"/>
      <c r="C49338"/>
      <c r="E49338"/>
      <c r="F49338"/>
    </row>
    <row r="49339" spans="1:6" x14ac:dyDescent="0.25">
      <c r="A49339"/>
      <c r="B49339"/>
      <c r="C49339"/>
      <c r="E49339"/>
      <c r="F49339"/>
    </row>
    <row r="49340" spans="1:6" x14ac:dyDescent="0.25">
      <c r="A49340"/>
      <c r="B49340"/>
      <c r="C49340"/>
      <c r="E49340"/>
      <c r="F49340"/>
    </row>
    <row r="49341" spans="1:6" x14ac:dyDescent="0.25">
      <c r="A49341"/>
      <c r="B49341"/>
      <c r="C49341"/>
      <c r="E49341"/>
      <c r="F49341"/>
    </row>
    <row r="49342" spans="1:6" x14ac:dyDescent="0.25">
      <c r="A49342"/>
      <c r="B49342"/>
      <c r="C49342"/>
      <c r="E49342"/>
      <c r="F49342"/>
    </row>
    <row r="49343" spans="1:6" x14ac:dyDescent="0.25">
      <c r="A49343"/>
      <c r="B49343"/>
      <c r="C49343"/>
      <c r="E49343"/>
      <c r="F49343"/>
    </row>
    <row r="49344" spans="1:6" x14ac:dyDescent="0.25">
      <c r="A49344"/>
      <c r="B49344"/>
      <c r="C49344"/>
      <c r="E49344"/>
      <c r="F49344"/>
    </row>
    <row r="49345" spans="1:6" x14ac:dyDescent="0.25">
      <c r="A49345"/>
      <c r="B49345"/>
      <c r="C49345"/>
      <c r="E49345"/>
      <c r="F49345"/>
    </row>
    <row r="49346" spans="1:6" x14ac:dyDescent="0.25">
      <c r="A49346"/>
      <c r="B49346"/>
      <c r="C49346"/>
      <c r="E49346"/>
      <c r="F49346"/>
    </row>
    <row r="49347" spans="1:6" x14ac:dyDescent="0.25">
      <c r="A49347"/>
      <c r="B49347"/>
      <c r="C49347"/>
      <c r="E49347"/>
      <c r="F49347"/>
    </row>
    <row r="49348" spans="1:6" x14ac:dyDescent="0.25">
      <c r="A49348"/>
      <c r="B49348"/>
      <c r="C49348"/>
      <c r="E49348"/>
      <c r="F49348"/>
    </row>
    <row r="49349" spans="1:6" x14ac:dyDescent="0.25">
      <c r="A49349"/>
      <c r="B49349"/>
      <c r="C49349"/>
      <c r="E49349"/>
      <c r="F49349"/>
    </row>
    <row r="49350" spans="1:6" x14ac:dyDescent="0.25">
      <c r="A49350"/>
      <c r="B49350"/>
      <c r="C49350"/>
      <c r="E49350"/>
      <c r="F49350"/>
    </row>
    <row r="49351" spans="1:6" x14ac:dyDescent="0.25">
      <c r="A49351"/>
      <c r="B49351"/>
      <c r="C49351"/>
      <c r="E49351"/>
      <c r="F49351"/>
    </row>
    <row r="49352" spans="1:6" x14ac:dyDescent="0.25">
      <c r="A49352"/>
      <c r="B49352"/>
      <c r="C49352"/>
      <c r="E49352"/>
      <c r="F49352"/>
    </row>
    <row r="49353" spans="1:6" x14ac:dyDescent="0.25">
      <c r="A49353"/>
      <c r="B49353"/>
      <c r="C49353"/>
      <c r="E49353"/>
      <c r="F49353"/>
    </row>
    <row r="49354" spans="1:6" x14ac:dyDescent="0.25">
      <c r="A49354"/>
      <c r="B49354"/>
      <c r="C49354"/>
      <c r="E49354"/>
      <c r="F49354"/>
    </row>
    <row r="49355" spans="1:6" x14ac:dyDescent="0.25">
      <c r="A49355"/>
      <c r="B49355"/>
      <c r="C49355"/>
      <c r="E49355"/>
      <c r="F49355"/>
    </row>
    <row r="49356" spans="1:6" x14ac:dyDescent="0.25">
      <c r="A49356"/>
      <c r="B49356"/>
      <c r="C49356"/>
      <c r="E49356"/>
      <c r="F49356"/>
    </row>
    <row r="49357" spans="1:6" x14ac:dyDescent="0.25">
      <c r="A49357"/>
      <c r="B49357"/>
      <c r="C49357"/>
      <c r="E49357"/>
      <c r="F49357"/>
    </row>
    <row r="49358" spans="1:6" x14ac:dyDescent="0.25">
      <c r="A49358"/>
      <c r="B49358"/>
      <c r="C49358"/>
      <c r="E49358"/>
      <c r="F49358"/>
    </row>
    <row r="49359" spans="1:6" x14ac:dyDescent="0.25">
      <c r="A49359"/>
      <c r="B49359"/>
      <c r="C49359"/>
      <c r="E49359"/>
      <c r="F49359"/>
    </row>
    <row r="49360" spans="1:6" x14ac:dyDescent="0.25">
      <c r="A49360"/>
      <c r="B49360"/>
      <c r="C49360"/>
      <c r="E49360"/>
      <c r="F49360"/>
    </row>
    <row r="49361" spans="1:6" x14ac:dyDescent="0.25">
      <c r="A49361"/>
      <c r="B49361"/>
      <c r="C49361"/>
      <c r="E49361"/>
      <c r="F49361"/>
    </row>
    <row r="49362" spans="1:6" x14ac:dyDescent="0.25">
      <c r="A49362"/>
      <c r="B49362"/>
      <c r="C49362"/>
      <c r="E49362"/>
      <c r="F49362"/>
    </row>
    <row r="49363" spans="1:6" x14ac:dyDescent="0.25">
      <c r="A49363"/>
      <c r="B49363"/>
      <c r="C49363"/>
      <c r="E49363"/>
      <c r="F49363"/>
    </row>
    <row r="49364" spans="1:6" x14ac:dyDescent="0.25">
      <c r="A49364"/>
      <c r="B49364"/>
      <c r="C49364"/>
      <c r="E49364"/>
      <c r="F49364"/>
    </row>
    <row r="49365" spans="1:6" x14ac:dyDescent="0.25">
      <c r="A49365"/>
      <c r="B49365"/>
      <c r="C49365"/>
      <c r="E49365"/>
      <c r="F49365"/>
    </row>
    <row r="49366" spans="1:6" x14ac:dyDescent="0.25">
      <c r="A49366"/>
      <c r="B49366"/>
      <c r="C49366"/>
      <c r="E49366"/>
      <c r="F49366"/>
    </row>
    <row r="49367" spans="1:6" x14ac:dyDescent="0.25">
      <c r="A49367"/>
      <c r="B49367"/>
      <c r="C49367"/>
      <c r="E49367"/>
      <c r="F49367"/>
    </row>
    <row r="49368" spans="1:6" x14ac:dyDescent="0.25">
      <c r="A49368"/>
      <c r="B49368"/>
      <c r="C49368"/>
      <c r="E49368"/>
      <c r="F49368"/>
    </row>
    <row r="49369" spans="1:6" x14ac:dyDescent="0.25">
      <c r="A49369"/>
      <c r="B49369"/>
      <c r="C49369"/>
      <c r="E49369"/>
      <c r="F49369"/>
    </row>
    <row r="49370" spans="1:6" x14ac:dyDescent="0.25">
      <c r="A49370"/>
      <c r="B49370"/>
      <c r="C49370"/>
      <c r="E49370"/>
      <c r="F49370"/>
    </row>
    <row r="49371" spans="1:6" x14ac:dyDescent="0.25">
      <c r="A49371"/>
      <c r="B49371"/>
      <c r="C49371"/>
      <c r="E49371"/>
      <c r="F49371"/>
    </row>
    <row r="49372" spans="1:6" x14ac:dyDescent="0.25">
      <c r="A49372"/>
      <c r="B49372"/>
      <c r="C49372"/>
      <c r="E49372"/>
      <c r="F49372"/>
    </row>
    <row r="49373" spans="1:6" x14ac:dyDescent="0.25">
      <c r="A49373"/>
      <c r="B49373"/>
      <c r="C49373"/>
      <c r="E49373"/>
      <c r="F49373"/>
    </row>
    <row r="49374" spans="1:6" x14ac:dyDescent="0.25">
      <c r="A49374"/>
      <c r="B49374"/>
      <c r="C49374"/>
      <c r="E49374"/>
      <c r="F49374"/>
    </row>
    <row r="49375" spans="1:6" x14ac:dyDescent="0.25">
      <c r="A49375"/>
      <c r="B49375"/>
      <c r="C49375"/>
      <c r="E49375"/>
      <c r="F49375"/>
    </row>
    <row r="49376" spans="1:6" x14ac:dyDescent="0.25">
      <c r="A49376"/>
      <c r="B49376"/>
      <c r="C49376"/>
      <c r="E49376"/>
      <c r="F49376"/>
    </row>
    <row r="49377" spans="1:6" x14ac:dyDescent="0.25">
      <c r="A49377"/>
      <c r="B49377"/>
      <c r="C49377"/>
      <c r="E49377"/>
      <c r="F49377"/>
    </row>
    <row r="49378" spans="1:6" x14ac:dyDescent="0.25">
      <c r="A49378"/>
      <c r="B49378"/>
      <c r="C49378"/>
      <c r="E49378"/>
      <c r="F49378"/>
    </row>
    <row r="49379" spans="1:6" x14ac:dyDescent="0.25">
      <c r="A49379"/>
      <c r="B49379"/>
      <c r="C49379"/>
      <c r="E49379"/>
      <c r="F49379"/>
    </row>
    <row r="49380" spans="1:6" x14ac:dyDescent="0.25">
      <c r="A49380"/>
      <c r="B49380"/>
      <c r="C49380"/>
      <c r="E49380"/>
      <c r="F49380"/>
    </row>
    <row r="49381" spans="1:6" x14ac:dyDescent="0.25">
      <c r="A49381"/>
      <c r="B49381"/>
      <c r="C49381"/>
      <c r="E49381"/>
      <c r="F49381"/>
    </row>
    <row r="49382" spans="1:6" x14ac:dyDescent="0.25">
      <c r="A49382"/>
      <c r="B49382"/>
      <c r="C49382"/>
      <c r="E49382"/>
      <c r="F49382"/>
    </row>
    <row r="49383" spans="1:6" x14ac:dyDescent="0.25">
      <c r="A49383"/>
      <c r="B49383"/>
      <c r="C49383"/>
      <c r="E49383"/>
      <c r="F49383"/>
    </row>
    <row r="49384" spans="1:6" x14ac:dyDescent="0.25">
      <c r="A49384"/>
      <c r="B49384"/>
      <c r="C49384"/>
      <c r="E49384"/>
      <c r="F49384"/>
    </row>
    <row r="49385" spans="1:6" x14ac:dyDescent="0.25">
      <c r="A49385"/>
      <c r="B49385"/>
      <c r="C49385"/>
      <c r="E49385"/>
      <c r="F49385"/>
    </row>
    <row r="49386" spans="1:6" x14ac:dyDescent="0.25">
      <c r="A49386"/>
      <c r="B49386"/>
      <c r="C49386"/>
      <c r="E49386"/>
      <c r="F49386"/>
    </row>
    <row r="49387" spans="1:6" x14ac:dyDescent="0.25">
      <c r="A49387"/>
      <c r="B49387"/>
      <c r="C49387"/>
      <c r="E49387"/>
      <c r="F49387"/>
    </row>
    <row r="49388" spans="1:6" x14ac:dyDescent="0.25">
      <c r="A49388"/>
      <c r="B49388"/>
      <c r="C49388"/>
      <c r="E49388"/>
      <c r="F49388"/>
    </row>
    <row r="49389" spans="1:6" x14ac:dyDescent="0.25">
      <c r="A49389"/>
      <c r="B49389"/>
      <c r="C49389"/>
      <c r="E49389"/>
      <c r="F49389"/>
    </row>
    <row r="49390" spans="1:6" x14ac:dyDescent="0.25">
      <c r="A49390"/>
      <c r="B49390"/>
      <c r="C49390"/>
      <c r="E49390"/>
      <c r="F49390"/>
    </row>
    <row r="49391" spans="1:6" x14ac:dyDescent="0.25">
      <c r="A49391"/>
      <c r="B49391"/>
      <c r="C49391"/>
      <c r="E49391"/>
      <c r="F49391"/>
    </row>
    <row r="49392" spans="1:6" x14ac:dyDescent="0.25">
      <c r="A49392"/>
      <c r="B49392"/>
      <c r="C49392"/>
      <c r="E49392"/>
      <c r="F49392"/>
    </row>
    <row r="49393" spans="1:6" x14ac:dyDescent="0.25">
      <c r="A49393"/>
      <c r="B49393"/>
      <c r="C49393"/>
      <c r="E49393"/>
      <c r="F49393"/>
    </row>
    <row r="49394" spans="1:6" x14ac:dyDescent="0.25">
      <c r="A49394"/>
      <c r="B49394"/>
      <c r="C49394"/>
      <c r="E49394"/>
      <c r="F49394"/>
    </row>
    <row r="49395" spans="1:6" x14ac:dyDescent="0.25">
      <c r="A49395"/>
      <c r="B49395"/>
      <c r="C49395"/>
      <c r="E49395"/>
      <c r="F49395"/>
    </row>
    <row r="49396" spans="1:6" x14ac:dyDescent="0.25">
      <c r="A49396"/>
      <c r="B49396"/>
      <c r="C49396"/>
      <c r="E49396"/>
      <c r="F49396"/>
    </row>
    <row r="49397" spans="1:6" x14ac:dyDescent="0.25">
      <c r="A49397"/>
      <c r="B49397"/>
      <c r="C49397"/>
      <c r="E49397"/>
      <c r="F49397"/>
    </row>
    <row r="49398" spans="1:6" x14ac:dyDescent="0.25">
      <c r="A49398"/>
      <c r="B49398"/>
      <c r="C49398"/>
      <c r="E49398"/>
      <c r="F49398"/>
    </row>
    <row r="49399" spans="1:6" x14ac:dyDescent="0.25">
      <c r="A49399"/>
      <c r="B49399"/>
      <c r="C49399"/>
      <c r="E49399"/>
      <c r="F49399"/>
    </row>
    <row r="49400" spans="1:6" x14ac:dyDescent="0.25">
      <c r="A49400"/>
      <c r="B49400"/>
      <c r="C49400"/>
      <c r="E49400"/>
      <c r="F49400"/>
    </row>
    <row r="49401" spans="1:6" x14ac:dyDescent="0.25">
      <c r="A49401"/>
      <c r="B49401"/>
      <c r="C49401"/>
      <c r="E49401"/>
      <c r="F49401"/>
    </row>
    <row r="49402" spans="1:6" x14ac:dyDescent="0.25">
      <c r="A49402"/>
      <c r="B49402"/>
      <c r="C49402"/>
      <c r="E49402"/>
      <c r="F49402"/>
    </row>
    <row r="49403" spans="1:6" x14ac:dyDescent="0.25">
      <c r="A49403"/>
      <c r="B49403"/>
      <c r="C49403"/>
      <c r="E49403"/>
      <c r="F49403"/>
    </row>
    <row r="49404" spans="1:6" x14ac:dyDescent="0.25">
      <c r="A49404"/>
      <c r="B49404"/>
      <c r="C49404"/>
      <c r="E49404"/>
      <c r="F49404"/>
    </row>
    <row r="49405" spans="1:6" x14ac:dyDescent="0.25">
      <c r="A49405"/>
      <c r="B49405"/>
      <c r="C49405"/>
      <c r="E49405"/>
      <c r="F49405"/>
    </row>
    <row r="49406" spans="1:6" x14ac:dyDescent="0.25">
      <c r="A49406"/>
      <c r="B49406"/>
      <c r="C49406"/>
      <c r="E49406"/>
      <c r="F49406"/>
    </row>
    <row r="49407" spans="1:6" x14ac:dyDescent="0.25">
      <c r="A49407"/>
      <c r="B49407"/>
      <c r="C49407"/>
      <c r="E49407"/>
      <c r="F49407"/>
    </row>
    <row r="49408" spans="1:6" x14ac:dyDescent="0.25">
      <c r="A49408"/>
      <c r="B49408"/>
      <c r="C49408"/>
      <c r="E49408"/>
      <c r="F49408"/>
    </row>
    <row r="49409" spans="1:6" x14ac:dyDescent="0.25">
      <c r="A49409"/>
      <c r="B49409"/>
      <c r="C49409"/>
      <c r="E49409"/>
      <c r="F49409"/>
    </row>
    <row r="49410" spans="1:6" x14ac:dyDescent="0.25">
      <c r="A49410"/>
      <c r="B49410"/>
      <c r="C49410"/>
      <c r="E49410"/>
      <c r="F49410"/>
    </row>
    <row r="49411" spans="1:6" x14ac:dyDescent="0.25">
      <c r="A49411"/>
      <c r="B49411"/>
      <c r="C49411"/>
      <c r="E49411"/>
      <c r="F49411"/>
    </row>
    <row r="49412" spans="1:6" x14ac:dyDescent="0.25">
      <c r="A49412"/>
      <c r="B49412"/>
      <c r="C49412"/>
      <c r="E49412"/>
      <c r="F49412"/>
    </row>
    <row r="49413" spans="1:6" x14ac:dyDescent="0.25">
      <c r="A49413"/>
      <c r="B49413"/>
      <c r="C49413"/>
      <c r="E49413"/>
      <c r="F49413"/>
    </row>
    <row r="49414" spans="1:6" x14ac:dyDescent="0.25">
      <c r="A49414"/>
      <c r="B49414"/>
      <c r="C49414"/>
      <c r="E49414"/>
      <c r="F49414"/>
    </row>
    <row r="49415" spans="1:6" x14ac:dyDescent="0.25">
      <c r="A49415"/>
      <c r="B49415"/>
      <c r="C49415"/>
      <c r="E49415"/>
      <c r="F49415"/>
    </row>
    <row r="49416" spans="1:6" x14ac:dyDescent="0.25">
      <c r="A49416"/>
      <c r="B49416"/>
      <c r="C49416"/>
      <c r="E49416"/>
      <c r="F49416"/>
    </row>
    <row r="49417" spans="1:6" x14ac:dyDescent="0.25">
      <c r="A49417"/>
      <c r="B49417"/>
      <c r="C49417"/>
      <c r="E49417"/>
      <c r="F49417"/>
    </row>
    <row r="49418" spans="1:6" x14ac:dyDescent="0.25">
      <c r="A49418"/>
      <c r="B49418"/>
      <c r="C49418"/>
      <c r="E49418"/>
      <c r="F49418"/>
    </row>
    <row r="49419" spans="1:6" x14ac:dyDescent="0.25">
      <c r="A49419"/>
      <c r="B49419"/>
      <c r="C49419"/>
      <c r="E49419"/>
      <c r="F49419"/>
    </row>
    <row r="49420" spans="1:6" x14ac:dyDescent="0.25">
      <c r="A49420"/>
      <c r="B49420"/>
      <c r="C49420"/>
      <c r="E49420"/>
      <c r="F49420"/>
    </row>
    <row r="49421" spans="1:6" x14ac:dyDescent="0.25">
      <c r="A49421"/>
      <c r="B49421"/>
      <c r="C49421"/>
      <c r="E49421"/>
      <c r="F49421"/>
    </row>
    <row r="49422" spans="1:6" x14ac:dyDescent="0.25">
      <c r="A49422"/>
      <c r="B49422"/>
      <c r="C49422"/>
      <c r="E49422"/>
      <c r="F49422"/>
    </row>
    <row r="49423" spans="1:6" x14ac:dyDescent="0.25">
      <c r="A49423"/>
      <c r="B49423"/>
      <c r="C49423"/>
      <c r="E49423"/>
      <c r="F49423"/>
    </row>
    <row r="49424" spans="1:6" x14ac:dyDescent="0.25">
      <c r="A49424"/>
      <c r="B49424"/>
      <c r="C49424"/>
      <c r="E49424"/>
      <c r="F49424"/>
    </row>
    <row r="49425" spans="1:6" x14ac:dyDescent="0.25">
      <c r="A49425"/>
      <c r="B49425"/>
      <c r="C49425"/>
      <c r="E49425"/>
      <c r="F49425"/>
    </row>
    <row r="49426" spans="1:6" x14ac:dyDescent="0.25">
      <c r="A49426"/>
      <c r="B49426"/>
      <c r="C49426"/>
      <c r="E49426"/>
      <c r="F49426"/>
    </row>
    <row r="49427" spans="1:6" x14ac:dyDescent="0.25">
      <c r="A49427"/>
      <c r="B49427"/>
      <c r="C49427"/>
      <c r="E49427"/>
      <c r="F49427"/>
    </row>
    <row r="49428" spans="1:6" x14ac:dyDescent="0.25">
      <c r="A49428"/>
      <c r="B49428"/>
      <c r="C49428"/>
      <c r="E49428"/>
      <c r="F49428"/>
    </row>
    <row r="49429" spans="1:6" x14ac:dyDescent="0.25">
      <c r="A49429"/>
      <c r="B49429"/>
      <c r="C49429"/>
      <c r="E49429"/>
      <c r="F49429"/>
    </row>
    <row r="49430" spans="1:6" x14ac:dyDescent="0.25">
      <c r="A49430"/>
      <c r="B49430"/>
      <c r="C49430"/>
      <c r="E49430"/>
      <c r="F49430"/>
    </row>
    <row r="49431" spans="1:6" x14ac:dyDescent="0.25">
      <c r="A49431"/>
      <c r="B49431"/>
      <c r="C49431"/>
      <c r="E49431"/>
      <c r="F49431"/>
    </row>
    <row r="49432" spans="1:6" x14ac:dyDescent="0.25">
      <c r="A49432"/>
      <c r="B49432"/>
      <c r="C49432"/>
      <c r="E49432"/>
      <c r="F49432"/>
    </row>
    <row r="49433" spans="1:6" x14ac:dyDescent="0.25">
      <c r="A49433"/>
      <c r="B49433"/>
      <c r="C49433"/>
      <c r="E49433"/>
      <c r="F49433"/>
    </row>
    <row r="49434" spans="1:6" x14ac:dyDescent="0.25">
      <c r="A49434"/>
      <c r="B49434"/>
      <c r="C49434"/>
      <c r="E49434"/>
      <c r="F49434"/>
    </row>
    <row r="49435" spans="1:6" x14ac:dyDescent="0.25">
      <c r="A49435"/>
      <c r="B49435"/>
      <c r="C49435"/>
      <c r="E49435"/>
      <c r="F49435"/>
    </row>
    <row r="49436" spans="1:6" x14ac:dyDescent="0.25">
      <c r="A49436"/>
      <c r="B49436"/>
      <c r="C49436"/>
      <c r="E49436"/>
      <c r="F49436"/>
    </row>
    <row r="49437" spans="1:6" x14ac:dyDescent="0.25">
      <c r="A49437"/>
      <c r="B49437"/>
      <c r="C49437"/>
      <c r="E49437"/>
      <c r="F49437"/>
    </row>
    <row r="49438" spans="1:6" x14ac:dyDescent="0.25">
      <c r="A49438"/>
      <c r="B49438"/>
      <c r="C49438"/>
      <c r="E49438"/>
      <c r="F49438"/>
    </row>
    <row r="49439" spans="1:6" x14ac:dyDescent="0.25">
      <c r="A49439"/>
      <c r="B49439"/>
      <c r="C49439"/>
      <c r="E49439"/>
      <c r="F49439"/>
    </row>
    <row r="49440" spans="1:6" x14ac:dyDescent="0.25">
      <c r="A49440"/>
      <c r="B49440"/>
      <c r="C49440"/>
      <c r="E49440"/>
      <c r="F49440"/>
    </row>
    <row r="49441" spans="1:6" x14ac:dyDescent="0.25">
      <c r="A49441"/>
      <c r="B49441"/>
      <c r="C49441"/>
      <c r="E49441"/>
      <c r="F49441"/>
    </row>
    <row r="49442" spans="1:6" x14ac:dyDescent="0.25">
      <c r="A49442"/>
      <c r="B49442"/>
      <c r="C49442"/>
      <c r="E49442"/>
      <c r="F49442"/>
    </row>
    <row r="49443" spans="1:6" x14ac:dyDescent="0.25">
      <c r="A49443"/>
      <c r="B49443"/>
      <c r="C49443"/>
      <c r="E49443"/>
      <c r="F49443"/>
    </row>
    <row r="49444" spans="1:6" x14ac:dyDescent="0.25">
      <c r="A49444"/>
      <c r="B49444"/>
      <c r="C49444"/>
      <c r="E49444"/>
      <c r="F49444"/>
    </row>
    <row r="49445" spans="1:6" x14ac:dyDescent="0.25">
      <c r="A49445"/>
      <c r="B49445"/>
      <c r="C49445"/>
      <c r="E49445"/>
      <c r="F49445"/>
    </row>
    <row r="49446" spans="1:6" x14ac:dyDescent="0.25">
      <c r="A49446"/>
      <c r="B49446"/>
      <c r="C49446"/>
      <c r="E49446"/>
      <c r="F49446"/>
    </row>
    <row r="49447" spans="1:6" x14ac:dyDescent="0.25">
      <c r="A49447"/>
      <c r="B49447"/>
      <c r="C49447"/>
      <c r="E49447"/>
      <c r="F49447"/>
    </row>
    <row r="49448" spans="1:6" x14ac:dyDescent="0.25">
      <c r="A49448"/>
      <c r="B49448"/>
      <c r="C49448"/>
      <c r="E49448"/>
      <c r="F49448"/>
    </row>
    <row r="49449" spans="1:6" x14ac:dyDescent="0.25">
      <c r="A49449"/>
      <c r="B49449"/>
      <c r="C49449"/>
      <c r="E49449"/>
      <c r="F49449"/>
    </row>
    <row r="49450" spans="1:6" x14ac:dyDescent="0.25">
      <c r="A49450"/>
      <c r="B49450"/>
      <c r="C49450"/>
      <c r="E49450"/>
      <c r="F49450"/>
    </row>
    <row r="49451" spans="1:6" x14ac:dyDescent="0.25">
      <c r="A49451"/>
      <c r="B49451"/>
      <c r="C49451"/>
      <c r="E49451"/>
      <c r="F49451"/>
    </row>
    <row r="49452" spans="1:6" x14ac:dyDescent="0.25">
      <c r="A49452"/>
      <c r="B49452"/>
      <c r="C49452"/>
      <c r="E49452"/>
      <c r="F49452"/>
    </row>
    <row r="49453" spans="1:6" x14ac:dyDescent="0.25">
      <c r="A49453"/>
      <c r="B49453"/>
      <c r="C49453"/>
      <c r="E49453"/>
      <c r="F49453"/>
    </row>
    <row r="49454" spans="1:6" x14ac:dyDescent="0.25">
      <c r="A49454"/>
      <c r="B49454"/>
      <c r="C49454"/>
      <c r="E49454"/>
      <c r="F49454"/>
    </row>
    <row r="49455" spans="1:6" x14ac:dyDescent="0.25">
      <c r="A49455"/>
      <c r="B49455"/>
      <c r="C49455"/>
      <c r="E49455"/>
      <c r="F49455"/>
    </row>
    <row r="49456" spans="1:6" x14ac:dyDescent="0.25">
      <c r="A49456"/>
      <c r="B49456"/>
      <c r="C49456"/>
      <c r="E49456"/>
      <c r="F49456"/>
    </row>
    <row r="49457" spans="1:6" x14ac:dyDescent="0.25">
      <c r="A49457"/>
      <c r="B49457"/>
      <c r="C49457"/>
      <c r="E49457"/>
      <c r="F49457"/>
    </row>
    <row r="49458" spans="1:6" x14ac:dyDescent="0.25">
      <c r="A49458"/>
      <c r="B49458"/>
      <c r="C49458"/>
      <c r="E49458"/>
      <c r="F49458"/>
    </row>
    <row r="49459" spans="1:6" x14ac:dyDescent="0.25">
      <c r="A49459"/>
      <c r="B49459"/>
      <c r="C49459"/>
      <c r="E49459"/>
      <c r="F49459"/>
    </row>
    <row r="49460" spans="1:6" x14ac:dyDescent="0.25">
      <c r="A49460"/>
      <c r="B49460"/>
      <c r="C49460"/>
      <c r="E49460"/>
      <c r="F49460"/>
    </row>
    <row r="49461" spans="1:6" x14ac:dyDescent="0.25">
      <c r="A49461"/>
      <c r="B49461"/>
      <c r="C49461"/>
      <c r="E49461"/>
      <c r="F49461"/>
    </row>
    <row r="49462" spans="1:6" x14ac:dyDescent="0.25">
      <c r="A49462"/>
      <c r="B49462"/>
      <c r="C49462"/>
      <c r="E49462"/>
      <c r="F49462"/>
    </row>
    <row r="49463" spans="1:6" x14ac:dyDescent="0.25">
      <c r="A49463"/>
      <c r="B49463"/>
      <c r="C49463"/>
      <c r="E49463"/>
      <c r="F49463"/>
    </row>
    <row r="49464" spans="1:6" x14ac:dyDescent="0.25">
      <c r="A49464"/>
      <c r="B49464"/>
      <c r="C49464"/>
      <c r="E49464"/>
      <c r="F49464"/>
    </row>
    <row r="49465" spans="1:6" x14ac:dyDescent="0.25">
      <c r="A49465"/>
      <c r="B49465"/>
      <c r="C49465"/>
      <c r="E49465"/>
      <c r="F49465"/>
    </row>
    <row r="49466" spans="1:6" x14ac:dyDescent="0.25">
      <c r="A49466"/>
      <c r="B49466"/>
      <c r="C49466"/>
      <c r="E49466"/>
      <c r="F49466"/>
    </row>
    <row r="49467" spans="1:6" x14ac:dyDescent="0.25">
      <c r="A49467"/>
      <c r="B49467"/>
      <c r="C49467"/>
      <c r="E49467"/>
      <c r="F49467"/>
    </row>
    <row r="49468" spans="1:6" x14ac:dyDescent="0.25">
      <c r="A49468"/>
      <c r="B49468"/>
      <c r="C49468"/>
      <c r="E49468"/>
      <c r="F49468"/>
    </row>
    <row r="49469" spans="1:6" x14ac:dyDescent="0.25">
      <c r="A49469"/>
      <c r="B49469"/>
      <c r="C49469"/>
      <c r="E49469"/>
      <c r="F49469"/>
    </row>
    <row r="49470" spans="1:6" x14ac:dyDescent="0.25">
      <c r="A49470"/>
      <c r="B49470"/>
      <c r="C49470"/>
      <c r="E49470"/>
      <c r="F49470"/>
    </row>
    <row r="49471" spans="1:6" x14ac:dyDescent="0.25">
      <c r="A49471"/>
      <c r="B49471"/>
      <c r="C49471"/>
      <c r="E49471"/>
      <c r="F49471"/>
    </row>
    <row r="49472" spans="1:6" x14ac:dyDescent="0.25">
      <c r="A49472"/>
      <c r="B49472"/>
      <c r="C49472"/>
      <c r="E49472"/>
      <c r="F49472"/>
    </row>
    <row r="49473" spans="1:6" x14ac:dyDescent="0.25">
      <c r="A49473"/>
      <c r="B49473"/>
      <c r="C49473"/>
      <c r="E49473"/>
      <c r="F49473"/>
    </row>
    <row r="49474" spans="1:6" x14ac:dyDescent="0.25">
      <c r="A49474"/>
      <c r="B49474"/>
      <c r="C49474"/>
      <c r="E49474"/>
      <c r="F49474"/>
    </row>
    <row r="49475" spans="1:6" x14ac:dyDescent="0.25">
      <c r="A49475"/>
      <c r="B49475"/>
      <c r="C49475"/>
      <c r="E49475"/>
      <c r="F49475"/>
    </row>
    <row r="49476" spans="1:6" x14ac:dyDescent="0.25">
      <c r="A49476"/>
      <c r="B49476"/>
      <c r="C49476"/>
      <c r="E49476"/>
      <c r="F49476"/>
    </row>
    <row r="49477" spans="1:6" x14ac:dyDescent="0.25">
      <c r="A49477"/>
      <c r="B49477"/>
      <c r="C49477"/>
      <c r="E49477"/>
      <c r="F49477"/>
    </row>
    <row r="49478" spans="1:6" x14ac:dyDescent="0.25">
      <c r="A49478"/>
      <c r="B49478"/>
      <c r="C49478"/>
      <c r="E49478"/>
      <c r="F49478"/>
    </row>
    <row r="49479" spans="1:6" x14ac:dyDescent="0.25">
      <c r="A49479"/>
      <c r="B49479"/>
      <c r="C49479"/>
      <c r="E49479"/>
      <c r="F49479"/>
    </row>
    <row r="49480" spans="1:6" x14ac:dyDescent="0.25">
      <c r="A49480"/>
      <c r="B49480"/>
      <c r="C49480"/>
      <c r="E49480"/>
      <c r="F49480"/>
    </row>
    <row r="49481" spans="1:6" x14ac:dyDescent="0.25">
      <c r="A49481"/>
      <c r="B49481"/>
      <c r="C49481"/>
      <c r="E49481"/>
      <c r="F49481"/>
    </row>
    <row r="49482" spans="1:6" x14ac:dyDescent="0.25">
      <c r="A49482"/>
      <c r="B49482"/>
      <c r="C49482"/>
      <c r="E49482"/>
      <c r="F49482"/>
    </row>
    <row r="49483" spans="1:6" x14ac:dyDescent="0.25">
      <c r="A49483"/>
      <c r="B49483"/>
      <c r="C49483"/>
      <c r="E49483"/>
      <c r="F49483"/>
    </row>
    <row r="49484" spans="1:6" x14ac:dyDescent="0.25">
      <c r="A49484"/>
      <c r="B49484"/>
      <c r="C49484"/>
      <c r="E49484"/>
      <c r="F49484"/>
    </row>
    <row r="49485" spans="1:6" x14ac:dyDescent="0.25">
      <c r="A49485"/>
      <c r="B49485"/>
      <c r="C49485"/>
      <c r="E49485"/>
      <c r="F49485"/>
    </row>
    <row r="49486" spans="1:6" x14ac:dyDescent="0.25">
      <c r="A49486"/>
      <c r="B49486"/>
      <c r="C49486"/>
      <c r="E49486"/>
      <c r="F49486"/>
    </row>
    <row r="49487" spans="1:6" x14ac:dyDescent="0.25">
      <c r="A49487"/>
      <c r="B49487"/>
      <c r="C49487"/>
      <c r="E49487"/>
      <c r="F49487"/>
    </row>
    <row r="49488" spans="1:6" x14ac:dyDescent="0.25">
      <c r="A49488"/>
      <c r="B49488"/>
      <c r="C49488"/>
      <c r="E49488"/>
      <c r="F49488"/>
    </row>
    <row r="49489" spans="1:6" x14ac:dyDescent="0.25">
      <c r="A49489"/>
      <c r="B49489"/>
      <c r="C49489"/>
      <c r="E49489"/>
      <c r="F49489"/>
    </row>
    <row r="49490" spans="1:6" x14ac:dyDescent="0.25">
      <c r="A49490"/>
      <c r="B49490"/>
      <c r="C49490"/>
      <c r="E49490"/>
      <c r="F49490"/>
    </row>
    <row r="49491" spans="1:6" x14ac:dyDescent="0.25">
      <c r="A49491"/>
      <c r="B49491"/>
      <c r="C49491"/>
      <c r="E49491"/>
      <c r="F49491"/>
    </row>
    <row r="49492" spans="1:6" x14ac:dyDescent="0.25">
      <c r="A49492"/>
      <c r="B49492"/>
      <c r="C49492"/>
      <c r="E49492"/>
      <c r="F49492"/>
    </row>
    <row r="49493" spans="1:6" x14ac:dyDescent="0.25">
      <c r="A49493"/>
      <c r="B49493"/>
      <c r="C49493"/>
      <c r="E49493"/>
      <c r="F49493"/>
    </row>
    <row r="49494" spans="1:6" x14ac:dyDescent="0.25">
      <c r="A49494"/>
      <c r="B49494"/>
      <c r="C49494"/>
      <c r="E49494"/>
      <c r="F49494"/>
    </row>
    <row r="49495" spans="1:6" x14ac:dyDescent="0.25">
      <c r="A49495"/>
      <c r="B49495"/>
      <c r="C49495"/>
      <c r="E49495"/>
      <c r="F49495"/>
    </row>
    <row r="49496" spans="1:6" x14ac:dyDescent="0.25">
      <c r="A49496"/>
      <c r="B49496"/>
      <c r="C49496"/>
      <c r="E49496"/>
      <c r="F49496"/>
    </row>
    <row r="49497" spans="1:6" x14ac:dyDescent="0.25">
      <c r="A49497"/>
      <c r="B49497"/>
      <c r="C49497"/>
      <c r="E49497"/>
      <c r="F49497"/>
    </row>
    <row r="49498" spans="1:6" x14ac:dyDescent="0.25">
      <c r="A49498"/>
      <c r="B49498"/>
      <c r="C49498"/>
      <c r="E49498"/>
      <c r="F49498"/>
    </row>
    <row r="49499" spans="1:6" x14ac:dyDescent="0.25">
      <c r="A49499"/>
      <c r="B49499"/>
      <c r="C49499"/>
      <c r="E49499"/>
      <c r="F49499"/>
    </row>
    <row r="49500" spans="1:6" x14ac:dyDescent="0.25">
      <c r="A49500"/>
      <c r="B49500"/>
      <c r="C49500"/>
      <c r="E49500"/>
      <c r="F49500"/>
    </row>
    <row r="49501" spans="1:6" x14ac:dyDescent="0.25">
      <c r="A49501"/>
      <c r="B49501"/>
      <c r="C49501"/>
      <c r="E49501"/>
      <c r="F49501"/>
    </row>
    <row r="49502" spans="1:6" x14ac:dyDescent="0.25">
      <c r="A49502"/>
      <c r="B49502"/>
      <c r="C49502"/>
      <c r="E49502"/>
      <c r="F49502"/>
    </row>
    <row r="49503" spans="1:6" x14ac:dyDescent="0.25">
      <c r="A49503"/>
      <c r="B49503"/>
      <c r="C49503"/>
      <c r="E49503"/>
      <c r="F49503"/>
    </row>
    <row r="49504" spans="1:6" x14ac:dyDescent="0.25">
      <c r="A49504"/>
      <c r="B49504"/>
      <c r="C49504"/>
      <c r="E49504"/>
      <c r="F49504"/>
    </row>
    <row r="49505" spans="1:6" x14ac:dyDescent="0.25">
      <c r="A49505"/>
      <c r="B49505"/>
      <c r="C49505"/>
      <c r="E49505"/>
      <c r="F49505"/>
    </row>
    <row r="49506" spans="1:6" x14ac:dyDescent="0.25">
      <c r="A49506"/>
      <c r="B49506"/>
      <c r="C49506"/>
      <c r="E49506"/>
      <c r="F49506"/>
    </row>
    <row r="49507" spans="1:6" x14ac:dyDescent="0.25">
      <c r="A49507"/>
      <c r="B49507"/>
      <c r="C49507"/>
      <c r="E49507"/>
      <c r="F49507"/>
    </row>
    <row r="49508" spans="1:6" x14ac:dyDescent="0.25">
      <c r="A49508"/>
      <c r="B49508"/>
      <c r="C49508"/>
      <c r="E49508"/>
      <c r="F49508"/>
    </row>
    <row r="49509" spans="1:6" x14ac:dyDescent="0.25">
      <c r="A49509"/>
      <c r="B49509"/>
      <c r="C49509"/>
      <c r="E49509"/>
      <c r="F49509"/>
    </row>
    <row r="49510" spans="1:6" x14ac:dyDescent="0.25">
      <c r="A49510"/>
      <c r="B49510"/>
      <c r="C49510"/>
      <c r="E49510"/>
      <c r="F49510"/>
    </row>
    <row r="49511" spans="1:6" x14ac:dyDescent="0.25">
      <c r="A49511"/>
      <c r="B49511"/>
      <c r="C49511"/>
      <c r="E49511"/>
      <c r="F49511"/>
    </row>
    <row r="49512" spans="1:6" x14ac:dyDescent="0.25">
      <c r="A49512"/>
      <c r="B49512"/>
      <c r="C49512"/>
      <c r="E49512"/>
      <c r="F49512"/>
    </row>
    <row r="49513" spans="1:6" x14ac:dyDescent="0.25">
      <c r="A49513"/>
      <c r="B49513"/>
      <c r="C49513"/>
      <c r="E49513"/>
      <c r="F49513"/>
    </row>
    <row r="49514" spans="1:6" x14ac:dyDescent="0.25">
      <c r="A49514"/>
      <c r="B49514"/>
      <c r="C49514"/>
      <c r="E49514"/>
      <c r="F49514"/>
    </row>
    <row r="49515" spans="1:6" x14ac:dyDescent="0.25">
      <c r="A49515"/>
      <c r="B49515"/>
      <c r="C49515"/>
      <c r="E49515"/>
      <c r="F49515"/>
    </row>
    <row r="49516" spans="1:6" x14ac:dyDescent="0.25">
      <c r="A49516"/>
      <c r="B49516"/>
      <c r="C49516"/>
      <c r="E49516"/>
      <c r="F49516"/>
    </row>
    <row r="49517" spans="1:6" x14ac:dyDescent="0.25">
      <c r="A49517"/>
      <c r="B49517"/>
      <c r="C49517"/>
      <c r="E49517"/>
      <c r="F49517"/>
    </row>
    <row r="49518" spans="1:6" x14ac:dyDescent="0.25">
      <c r="A49518"/>
      <c r="B49518"/>
      <c r="C49518"/>
      <c r="E49518"/>
      <c r="F49518"/>
    </row>
    <row r="49519" spans="1:6" x14ac:dyDescent="0.25">
      <c r="A49519"/>
      <c r="B49519"/>
      <c r="C49519"/>
      <c r="E49519"/>
      <c r="F49519"/>
    </row>
    <row r="49520" spans="1:6" x14ac:dyDescent="0.25">
      <c r="A49520"/>
      <c r="B49520"/>
      <c r="C49520"/>
      <c r="E49520"/>
      <c r="F49520"/>
    </row>
    <row r="49521" spans="1:6" x14ac:dyDescent="0.25">
      <c r="A49521"/>
      <c r="B49521"/>
      <c r="C49521"/>
      <c r="E49521"/>
      <c r="F49521"/>
    </row>
    <row r="49522" spans="1:6" x14ac:dyDescent="0.25">
      <c r="A49522"/>
      <c r="B49522"/>
      <c r="C49522"/>
      <c r="E49522"/>
      <c r="F49522"/>
    </row>
    <row r="49523" spans="1:6" x14ac:dyDescent="0.25">
      <c r="A49523"/>
      <c r="B49523"/>
      <c r="C49523"/>
      <c r="E49523"/>
      <c r="F49523"/>
    </row>
    <row r="49524" spans="1:6" x14ac:dyDescent="0.25">
      <c r="A49524"/>
      <c r="B49524"/>
      <c r="C49524"/>
      <c r="E49524"/>
      <c r="F49524"/>
    </row>
    <row r="49525" spans="1:6" x14ac:dyDescent="0.25">
      <c r="A49525"/>
      <c r="B49525"/>
      <c r="C49525"/>
      <c r="E49525"/>
      <c r="F49525"/>
    </row>
    <row r="49526" spans="1:6" x14ac:dyDescent="0.25">
      <c r="A49526"/>
      <c r="B49526"/>
      <c r="C49526"/>
      <c r="E49526"/>
      <c r="F49526"/>
    </row>
    <row r="49527" spans="1:6" x14ac:dyDescent="0.25">
      <c r="A49527"/>
      <c r="B49527"/>
      <c r="C49527"/>
      <c r="E49527"/>
      <c r="F49527"/>
    </row>
    <row r="49528" spans="1:6" x14ac:dyDescent="0.25">
      <c r="A49528"/>
      <c r="B49528"/>
      <c r="C49528"/>
      <c r="E49528"/>
      <c r="F49528"/>
    </row>
    <row r="49529" spans="1:6" x14ac:dyDescent="0.25">
      <c r="A49529"/>
      <c r="B49529"/>
      <c r="C49529"/>
      <c r="E49529"/>
      <c r="F49529"/>
    </row>
    <row r="49530" spans="1:6" x14ac:dyDescent="0.25">
      <c r="A49530"/>
      <c r="B49530"/>
      <c r="C49530"/>
      <c r="E49530"/>
      <c r="F49530"/>
    </row>
    <row r="49531" spans="1:6" x14ac:dyDescent="0.25">
      <c r="A49531"/>
      <c r="B49531"/>
      <c r="C49531"/>
      <c r="E49531"/>
      <c r="F49531"/>
    </row>
    <row r="49532" spans="1:6" x14ac:dyDescent="0.25">
      <c r="A49532"/>
      <c r="B49532"/>
      <c r="C49532"/>
      <c r="E49532"/>
      <c r="F49532"/>
    </row>
    <row r="49533" spans="1:6" x14ac:dyDescent="0.25">
      <c r="A49533"/>
      <c r="B49533"/>
      <c r="C49533"/>
      <c r="E49533"/>
      <c r="F49533"/>
    </row>
    <row r="49534" spans="1:6" x14ac:dyDescent="0.25">
      <c r="A49534"/>
      <c r="B49534"/>
      <c r="C49534"/>
      <c r="E49534"/>
      <c r="F49534"/>
    </row>
    <row r="49535" spans="1:6" x14ac:dyDescent="0.25">
      <c r="A49535"/>
      <c r="B49535"/>
      <c r="C49535"/>
      <c r="E49535"/>
      <c r="F49535"/>
    </row>
    <row r="49536" spans="1:6" x14ac:dyDescent="0.25">
      <c r="A49536"/>
      <c r="B49536"/>
      <c r="C49536"/>
      <c r="E49536"/>
      <c r="F49536"/>
    </row>
    <row r="49537" spans="1:6" x14ac:dyDescent="0.25">
      <c r="A49537"/>
      <c r="B49537"/>
      <c r="C49537"/>
      <c r="E49537"/>
      <c r="F49537"/>
    </row>
    <row r="49538" spans="1:6" x14ac:dyDescent="0.25">
      <c r="A49538"/>
      <c r="B49538"/>
      <c r="C49538"/>
      <c r="E49538"/>
      <c r="F49538"/>
    </row>
    <row r="49539" spans="1:6" x14ac:dyDescent="0.25">
      <c r="A49539"/>
      <c r="B49539"/>
      <c r="C49539"/>
      <c r="E49539"/>
      <c r="F49539"/>
    </row>
    <row r="49540" spans="1:6" x14ac:dyDescent="0.25">
      <c r="A49540"/>
      <c r="B49540"/>
      <c r="C49540"/>
      <c r="E49540"/>
      <c r="F49540"/>
    </row>
    <row r="49541" spans="1:6" x14ac:dyDescent="0.25">
      <c r="A49541"/>
      <c r="B49541"/>
      <c r="C49541"/>
      <c r="E49541"/>
      <c r="F49541"/>
    </row>
    <row r="49542" spans="1:6" x14ac:dyDescent="0.25">
      <c r="A49542"/>
      <c r="B49542"/>
      <c r="C49542"/>
      <c r="E49542"/>
      <c r="F49542"/>
    </row>
    <row r="49543" spans="1:6" x14ac:dyDescent="0.25">
      <c r="A49543"/>
      <c r="B49543"/>
      <c r="C49543"/>
      <c r="E49543"/>
      <c r="F49543"/>
    </row>
    <row r="49544" spans="1:6" x14ac:dyDescent="0.25">
      <c r="A49544"/>
      <c r="B49544"/>
      <c r="C49544"/>
      <c r="E49544"/>
      <c r="F49544"/>
    </row>
    <row r="49545" spans="1:6" x14ac:dyDescent="0.25">
      <c r="A49545"/>
      <c r="B49545"/>
      <c r="C49545"/>
      <c r="E49545"/>
      <c r="F49545"/>
    </row>
    <row r="49546" spans="1:6" x14ac:dyDescent="0.25">
      <c r="A49546"/>
      <c r="B49546"/>
      <c r="C49546"/>
      <c r="E49546"/>
      <c r="F49546"/>
    </row>
    <row r="49547" spans="1:6" x14ac:dyDescent="0.25">
      <c r="A49547"/>
      <c r="B49547"/>
      <c r="C49547"/>
      <c r="E49547"/>
      <c r="F49547"/>
    </row>
    <row r="49548" spans="1:6" x14ac:dyDescent="0.25">
      <c r="A49548"/>
      <c r="B49548"/>
      <c r="C49548"/>
      <c r="E49548"/>
      <c r="F49548"/>
    </row>
    <row r="49549" spans="1:6" x14ac:dyDescent="0.25">
      <c r="A49549"/>
      <c r="B49549"/>
      <c r="C49549"/>
      <c r="E49549"/>
      <c r="F49549"/>
    </row>
    <row r="49550" spans="1:6" x14ac:dyDescent="0.25">
      <c r="A49550"/>
      <c r="B49550"/>
      <c r="C49550"/>
      <c r="E49550"/>
      <c r="F49550"/>
    </row>
    <row r="49551" spans="1:6" x14ac:dyDescent="0.25">
      <c r="A49551"/>
      <c r="B49551"/>
      <c r="C49551"/>
      <c r="E49551"/>
      <c r="F49551"/>
    </row>
    <row r="49552" spans="1:6" x14ac:dyDescent="0.25">
      <c r="A49552"/>
      <c r="B49552"/>
      <c r="C49552"/>
      <c r="E49552"/>
      <c r="F49552"/>
    </row>
    <row r="49553" spans="1:6" x14ac:dyDescent="0.25">
      <c r="A49553"/>
      <c r="B49553"/>
      <c r="C49553"/>
      <c r="E49553"/>
      <c r="F49553"/>
    </row>
    <row r="49554" spans="1:6" x14ac:dyDescent="0.25">
      <c r="A49554"/>
      <c r="B49554"/>
      <c r="C49554"/>
      <c r="E49554"/>
      <c r="F49554"/>
    </row>
    <row r="49555" spans="1:6" x14ac:dyDescent="0.25">
      <c r="A49555"/>
      <c r="B49555"/>
      <c r="C49555"/>
      <c r="E49555"/>
      <c r="F49555"/>
    </row>
    <row r="49556" spans="1:6" x14ac:dyDescent="0.25">
      <c r="A49556"/>
      <c r="B49556"/>
      <c r="C49556"/>
      <c r="E49556"/>
      <c r="F49556"/>
    </row>
    <row r="49557" spans="1:6" x14ac:dyDescent="0.25">
      <c r="A49557"/>
      <c r="B49557"/>
      <c r="C49557"/>
      <c r="E49557"/>
      <c r="F49557"/>
    </row>
    <row r="49558" spans="1:6" x14ac:dyDescent="0.25">
      <c r="A49558"/>
      <c r="B49558"/>
      <c r="C49558"/>
      <c r="E49558"/>
      <c r="F49558"/>
    </row>
    <row r="49559" spans="1:6" x14ac:dyDescent="0.25">
      <c r="A49559"/>
      <c r="B49559"/>
      <c r="C49559"/>
      <c r="E49559"/>
      <c r="F49559"/>
    </row>
    <row r="49560" spans="1:6" x14ac:dyDescent="0.25">
      <c r="A49560"/>
      <c r="B49560"/>
      <c r="C49560"/>
      <c r="E49560"/>
      <c r="F49560"/>
    </row>
    <row r="49561" spans="1:6" x14ac:dyDescent="0.25">
      <c r="A49561"/>
      <c r="B49561"/>
      <c r="C49561"/>
      <c r="E49561"/>
      <c r="F49561"/>
    </row>
    <row r="49562" spans="1:6" x14ac:dyDescent="0.25">
      <c r="A49562"/>
      <c r="B49562"/>
      <c r="C49562"/>
      <c r="E49562"/>
      <c r="F49562"/>
    </row>
    <row r="49563" spans="1:6" x14ac:dyDescent="0.25">
      <c r="A49563"/>
      <c r="B49563"/>
      <c r="C49563"/>
      <c r="E49563"/>
      <c r="F49563"/>
    </row>
    <row r="49564" spans="1:6" x14ac:dyDescent="0.25">
      <c r="A49564"/>
      <c r="B49564"/>
      <c r="C49564"/>
      <c r="E49564"/>
      <c r="F49564"/>
    </row>
    <row r="49565" spans="1:6" x14ac:dyDescent="0.25">
      <c r="A49565"/>
      <c r="B49565"/>
      <c r="C49565"/>
      <c r="E49565"/>
      <c r="F49565"/>
    </row>
    <row r="49566" spans="1:6" x14ac:dyDescent="0.25">
      <c r="A49566"/>
      <c r="B49566"/>
      <c r="C49566"/>
      <c r="E49566"/>
      <c r="F49566"/>
    </row>
    <row r="49567" spans="1:6" x14ac:dyDescent="0.25">
      <c r="A49567"/>
      <c r="B49567"/>
      <c r="C49567"/>
      <c r="E49567"/>
      <c r="F49567"/>
    </row>
    <row r="49568" spans="1:6" x14ac:dyDescent="0.25">
      <c r="A49568"/>
      <c r="B49568"/>
      <c r="C49568"/>
      <c r="E49568"/>
      <c r="F49568"/>
    </row>
    <row r="49569" spans="1:6" x14ac:dyDescent="0.25">
      <c r="A49569"/>
      <c r="B49569"/>
      <c r="C49569"/>
      <c r="E49569"/>
      <c r="F49569"/>
    </row>
    <row r="49570" spans="1:6" x14ac:dyDescent="0.25">
      <c r="A49570"/>
      <c r="B49570"/>
      <c r="C49570"/>
      <c r="E49570"/>
      <c r="F49570"/>
    </row>
    <row r="49571" spans="1:6" x14ac:dyDescent="0.25">
      <c r="A49571"/>
      <c r="B49571"/>
      <c r="C49571"/>
      <c r="E49571"/>
      <c r="F49571"/>
    </row>
    <row r="49572" spans="1:6" x14ac:dyDescent="0.25">
      <c r="A49572"/>
      <c r="B49572"/>
      <c r="C49572"/>
      <c r="E49572"/>
      <c r="F49572"/>
    </row>
    <row r="49573" spans="1:6" x14ac:dyDescent="0.25">
      <c r="A49573"/>
      <c r="B49573"/>
      <c r="C49573"/>
      <c r="E49573"/>
      <c r="F49573"/>
    </row>
    <row r="49574" spans="1:6" x14ac:dyDescent="0.25">
      <c r="A49574"/>
      <c r="B49574"/>
      <c r="C49574"/>
      <c r="E49574"/>
      <c r="F49574"/>
    </row>
    <row r="49575" spans="1:6" x14ac:dyDescent="0.25">
      <c r="A49575"/>
      <c r="B49575"/>
      <c r="C49575"/>
      <c r="E49575"/>
      <c r="F49575"/>
    </row>
    <row r="49576" spans="1:6" x14ac:dyDescent="0.25">
      <c r="A49576"/>
      <c r="B49576"/>
      <c r="C49576"/>
      <c r="E49576"/>
      <c r="F49576"/>
    </row>
    <row r="49577" spans="1:6" x14ac:dyDescent="0.25">
      <c r="A49577"/>
      <c r="B49577"/>
      <c r="C49577"/>
      <c r="E49577"/>
      <c r="F49577"/>
    </row>
    <row r="49578" spans="1:6" x14ac:dyDescent="0.25">
      <c r="A49578"/>
      <c r="B49578"/>
      <c r="C49578"/>
      <c r="E49578"/>
      <c r="F49578"/>
    </row>
    <row r="49579" spans="1:6" x14ac:dyDescent="0.25">
      <c r="A49579"/>
      <c r="B49579"/>
      <c r="C49579"/>
      <c r="E49579"/>
      <c r="F49579"/>
    </row>
    <row r="49580" spans="1:6" x14ac:dyDescent="0.25">
      <c r="A49580"/>
      <c r="B49580"/>
      <c r="C49580"/>
      <c r="E49580"/>
      <c r="F49580"/>
    </row>
    <row r="49581" spans="1:6" x14ac:dyDescent="0.25">
      <c r="A49581"/>
      <c r="B49581"/>
      <c r="C49581"/>
      <c r="E49581"/>
      <c r="F49581"/>
    </row>
    <row r="49582" spans="1:6" x14ac:dyDescent="0.25">
      <c r="A49582"/>
      <c r="B49582"/>
      <c r="C49582"/>
      <c r="E49582"/>
      <c r="F49582"/>
    </row>
    <row r="49583" spans="1:6" x14ac:dyDescent="0.25">
      <c r="A49583"/>
      <c r="B49583"/>
      <c r="C49583"/>
      <c r="E49583"/>
      <c r="F49583"/>
    </row>
    <row r="49584" spans="1:6" x14ac:dyDescent="0.25">
      <c r="A49584"/>
      <c r="B49584"/>
      <c r="C49584"/>
      <c r="E49584"/>
      <c r="F49584"/>
    </row>
    <row r="49585" spans="1:6" x14ac:dyDescent="0.25">
      <c r="A49585"/>
      <c r="B49585"/>
      <c r="C49585"/>
      <c r="E49585"/>
      <c r="F49585"/>
    </row>
    <row r="49586" spans="1:6" x14ac:dyDescent="0.25">
      <c r="A49586"/>
      <c r="B49586"/>
      <c r="C49586"/>
      <c r="E49586"/>
      <c r="F49586"/>
    </row>
    <row r="49587" spans="1:6" x14ac:dyDescent="0.25">
      <c r="A49587"/>
      <c r="B49587"/>
      <c r="C49587"/>
      <c r="E49587"/>
      <c r="F49587"/>
    </row>
    <row r="49588" spans="1:6" x14ac:dyDescent="0.25">
      <c r="A49588"/>
      <c r="B49588"/>
      <c r="C49588"/>
      <c r="E49588"/>
      <c r="F49588"/>
    </row>
    <row r="49589" spans="1:6" x14ac:dyDescent="0.25">
      <c r="A49589"/>
      <c r="B49589"/>
      <c r="C49589"/>
      <c r="E49589"/>
      <c r="F49589"/>
    </row>
    <row r="49590" spans="1:6" x14ac:dyDescent="0.25">
      <c r="A49590"/>
      <c r="B49590"/>
      <c r="C49590"/>
      <c r="E49590"/>
      <c r="F49590"/>
    </row>
    <row r="49591" spans="1:6" x14ac:dyDescent="0.25">
      <c r="A49591"/>
      <c r="B49591"/>
      <c r="C49591"/>
      <c r="E49591"/>
      <c r="F49591"/>
    </row>
    <row r="49592" spans="1:6" x14ac:dyDescent="0.25">
      <c r="A49592"/>
      <c r="B49592"/>
      <c r="C49592"/>
      <c r="E49592"/>
      <c r="F49592"/>
    </row>
    <row r="49593" spans="1:6" x14ac:dyDescent="0.25">
      <c r="A49593"/>
      <c r="B49593"/>
      <c r="C49593"/>
      <c r="E49593"/>
      <c r="F49593"/>
    </row>
    <row r="49594" spans="1:6" x14ac:dyDescent="0.25">
      <c r="A49594"/>
      <c r="B49594"/>
      <c r="C49594"/>
      <c r="E49594"/>
      <c r="F49594"/>
    </row>
    <row r="49595" spans="1:6" x14ac:dyDescent="0.25">
      <c r="A49595"/>
      <c r="B49595"/>
      <c r="C49595"/>
      <c r="E49595"/>
      <c r="F49595"/>
    </row>
    <row r="49596" spans="1:6" x14ac:dyDescent="0.25">
      <c r="A49596"/>
      <c r="B49596"/>
      <c r="C49596"/>
      <c r="E49596"/>
      <c r="F49596"/>
    </row>
    <row r="49597" spans="1:6" x14ac:dyDescent="0.25">
      <c r="A49597"/>
      <c r="B49597"/>
      <c r="C49597"/>
      <c r="E49597"/>
      <c r="F49597"/>
    </row>
    <row r="49598" spans="1:6" x14ac:dyDescent="0.25">
      <c r="A49598"/>
      <c r="B49598"/>
      <c r="C49598"/>
      <c r="E49598"/>
      <c r="F49598"/>
    </row>
    <row r="49599" spans="1:6" x14ac:dyDescent="0.25">
      <c r="A49599"/>
      <c r="B49599"/>
      <c r="C49599"/>
      <c r="E49599"/>
      <c r="F49599"/>
    </row>
    <row r="49600" spans="1:6" x14ac:dyDescent="0.25">
      <c r="A49600"/>
      <c r="B49600"/>
      <c r="C49600"/>
      <c r="E49600"/>
      <c r="F49600"/>
    </row>
    <row r="49601" spans="1:6" x14ac:dyDescent="0.25">
      <c r="A49601"/>
      <c r="B49601"/>
      <c r="C49601"/>
      <c r="E49601"/>
      <c r="F49601"/>
    </row>
    <row r="49602" spans="1:6" x14ac:dyDescent="0.25">
      <c r="A49602"/>
      <c r="B49602"/>
      <c r="C49602"/>
      <c r="E49602"/>
      <c r="F49602"/>
    </row>
    <row r="49603" spans="1:6" x14ac:dyDescent="0.25">
      <c r="A49603"/>
      <c r="B49603"/>
      <c r="C49603"/>
      <c r="E49603"/>
      <c r="F49603"/>
    </row>
    <row r="49604" spans="1:6" x14ac:dyDescent="0.25">
      <c r="A49604"/>
      <c r="B49604"/>
      <c r="C49604"/>
      <c r="E49604"/>
      <c r="F49604"/>
    </row>
    <row r="49605" spans="1:6" x14ac:dyDescent="0.25">
      <c r="A49605"/>
      <c r="B49605"/>
      <c r="C49605"/>
      <c r="E49605"/>
      <c r="F49605"/>
    </row>
    <row r="49606" spans="1:6" x14ac:dyDescent="0.25">
      <c r="A49606"/>
      <c r="B49606"/>
      <c r="C49606"/>
      <c r="E49606"/>
      <c r="F49606"/>
    </row>
    <row r="49607" spans="1:6" x14ac:dyDescent="0.25">
      <c r="A49607"/>
      <c r="B49607"/>
      <c r="C49607"/>
      <c r="E49607"/>
      <c r="F49607"/>
    </row>
    <row r="49608" spans="1:6" x14ac:dyDescent="0.25">
      <c r="A49608"/>
      <c r="B49608"/>
      <c r="C49608"/>
      <c r="E49608"/>
      <c r="F49608"/>
    </row>
    <row r="49609" spans="1:6" x14ac:dyDescent="0.25">
      <c r="A49609"/>
      <c r="B49609"/>
      <c r="C49609"/>
      <c r="E49609"/>
      <c r="F49609"/>
    </row>
    <row r="49610" spans="1:6" x14ac:dyDescent="0.25">
      <c r="A49610"/>
      <c r="B49610"/>
      <c r="C49610"/>
      <c r="E49610"/>
      <c r="F49610"/>
    </row>
    <row r="49611" spans="1:6" x14ac:dyDescent="0.25">
      <c r="A49611"/>
      <c r="B49611"/>
      <c r="C49611"/>
      <c r="E49611"/>
      <c r="F49611"/>
    </row>
    <row r="49612" spans="1:6" x14ac:dyDescent="0.25">
      <c r="A49612"/>
      <c r="B49612"/>
      <c r="C49612"/>
      <c r="E49612"/>
      <c r="F49612"/>
    </row>
    <row r="49613" spans="1:6" x14ac:dyDescent="0.25">
      <c r="A49613"/>
      <c r="B49613"/>
      <c r="C49613"/>
      <c r="E49613"/>
      <c r="F49613"/>
    </row>
    <row r="49614" spans="1:6" x14ac:dyDescent="0.25">
      <c r="A49614"/>
      <c r="B49614"/>
      <c r="C49614"/>
      <c r="E49614"/>
      <c r="F49614"/>
    </row>
    <row r="49615" spans="1:6" x14ac:dyDescent="0.25">
      <c r="A49615"/>
      <c r="B49615"/>
      <c r="C49615"/>
      <c r="E49615"/>
      <c r="F49615"/>
    </row>
    <row r="49616" spans="1:6" x14ac:dyDescent="0.25">
      <c r="A49616"/>
      <c r="B49616"/>
      <c r="C49616"/>
      <c r="E49616"/>
      <c r="F49616"/>
    </row>
    <row r="49617" spans="1:6" x14ac:dyDescent="0.25">
      <c r="A49617"/>
      <c r="B49617"/>
      <c r="C49617"/>
      <c r="E49617"/>
      <c r="F49617"/>
    </row>
    <row r="49618" spans="1:6" x14ac:dyDescent="0.25">
      <c r="A49618"/>
      <c r="B49618"/>
      <c r="C49618"/>
      <c r="E49618"/>
      <c r="F49618"/>
    </row>
    <row r="49619" spans="1:6" x14ac:dyDescent="0.25">
      <c r="A49619"/>
      <c r="B49619"/>
      <c r="C49619"/>
      <c r="E49619"/>
      <c r="F49619"/>
    </row>
    <row r="49620" spans="1:6" x14ac:dyDescent="0.25">
      <c r="A49620"/>
      <c r="B49620"/>
      <c r="C49620"/>
      <c r="E49620"/>
      <c r="F49620"/>
    </row>
    <row r="49621" spans="1:6" x14ac:dyDescent="0.25">
      <c r="A49621"/>
      <c r="B49621"/>
      <c r="C49621"/>
      <c r="E49621"/>
      <c r="F49621"/>
    </row>
    <row r="49622" spans="1:6" x14ac:dyDescent="0.25">
      <c r="A49622"/>
      <c r="B49622"/>
      <c r="C49622"/>
      <c r="E49622"/>
      <c r="F49622"/>
    </row>
    <row r="49623" spans="1:6" x14ac:dyDescent="0.25">
      <c r="A49623"/>
      <c r="B49623"/>
      <c r="C49623"/>
      <c r="E49623"/>
      <c r="F49623"/>
    </row>
    <row r="49624" spans="1:6" x14ac:dyDescent="0.25">
      <c r="A49624"/>
      <c r="B49624"/>
      <c r="C49624"/>
      <c r="E49624"/>
      <c r="F49624"/>
    </row>
    <row r="49625" spans="1:6" x14ac:dyDescent="0.25">
      <c r="A49625"/>
      <c r="B49625"/>
      <c r="C49625"/>
      <c r="E49625"/>
      <c r="F49625"/>
    </row>
    <row r="49626" spans="1:6" x14ac:dyDescent="0.25">
      <c r="A49626"/>
      <c r="B49626"/>
      <c r="C49626"/>
      <c r="E49626"/>
      <c r="F49626"/>
    </row>
    <row r="49627" spans="1:6" x14ac:dyDescent="0.25">
      <c r="A49627"/>
      <c r="B49627"/>
      <c r="C49627"/>
      <c r="E49627"/>
      <c r="F49627"/>
    </row>
    <row r="49628" spans="1:6" x14ac:dyDescent="0.25">
      <c r="A49628"/>
      <c r="B49628"/>
      <c r="C49628"/>
      <c r="E49628"/>
      <c r="F49628"/>
    </row>
    <row r="49629" spans="1:6" x14ac:dyDescent="0.25">
      <c r="A49629"/>
      <c r="B49629"/>
      <c r="C49629"/>
      <c r="E49629"/>
      <c r="F49629"/>
    </row>
    <row r="49630" spans="1:6" x14ac:dyDescent="0.25">
      <c r="A49630"/>
      <c r="B49630"/>
      <c r="C49630"/>
      <c r="E49630"/>
      <c r="F49630"/>
    </row>
    <row r="49631" spans="1:6" x14ac:dyDescent="0.25">
      <c r="A49631"/>
      <c r="B49631"/>
      <c r="C49631"/>
      <c r="E49631"/>
      <c r="F49631"/>
    </row>
    <row r="49632" spans="1:6" x14ac:dyDescent="0.25">
      <c r="A49632"/>
      <c r="B49632"/>
      <c r="C49632"/>
      <c r="E49632"/>
      <c r="F49632"/>
    </row>
    <row r="49633" spans="1:6" x14ac:dyDescent="0.25">
      <c r="A49633"/>
      <c r="B49633"/>
      <c r="C49633"/>
      <c r="E49633"/>
      <c r="F49633"/>
    </row>
    <row r="49634" spans="1:6" x14ac:dyDescent="0.25">
      <c r="A49634"/>
      <c r="B49634"/>
      <c r="C49634"/>
      <c r="E49634"/>
      <c r="F49634"/>
    </row>
    <row r="49635" spans="1:6" x14ac:dyDescent="0.25">
      <c r="A49635"/>
      <c r="B49635"/>
      <c r="C49635"/>
      <c r="E49635"/>
      <c r="F49635"/>
    </row>
    <row r="49636" spans="1:6" x14ac:dyDescent="0.25">
      <c r="A49636"/>
      <c r="B49636"/>
      <c r="C49636"/>
      <c r="E49636"/>
      <c r="F49636"/>
    </row>
    <row r="49637" spans="1:6" x14ac:dyDescent="0.25">
      <c r="A49637"/>
      <c r="B49637"/>
      <c r="C49637"/>
      <c r="E49637"/>
      <c r="F49637"/>
    </row>
    <row r="49638" spans="1:6" x14ac:dyDescent="0.25">
      <c r="A49638"/>
      <c r="B49638"/>
      <c r="C49638"/>
      <c r="E49638"/>
      <c r="F49638"/>
    </row>
    <row r="49639" spans="1:6" x14ac:dyDescent="0.25">
      <c r="A49639"/>
      <c r="B49639"/>
      <c r="C49639"/>
      <c r="E49639"/>
      <c r="F49639"/>
    </row>
    <row r="49640" spans="1:6" x14ac:dyDescent="0.25">
      <c r="A49640"/>
      <c r="B49640"/>
      <c r="C49640"/>
      <c r="E49640"/>
      <c r="F49640"/>
    </row>
    <row r="49641" spans="1:6" x14ac:dyDescent="0.25">
      <c r="A49641"/>
      <c r="B49641"/>
      <c r="C49641"/>
      <c r="E49641"/>
      <c r="F49641"/>
    </row>
    <row r="49642" spans="1:6" x14ac:dyDescent="0.25">
      <c r="A49642"/>
      <c r="B49642"/>
      <c r="C49642"/>
      <c r="E49642"/>
      <c r="F49642"/>
    </row>
    <row r="49643" spans="1:6" x14ac:dyDescent="0.25">
      <c r="A49643"/>
      <c r="B49643"/>
      <c r="C49643"/>
      <c r="E49643"/>
      <c r="F49643"/>
    </row>
    <row r="49644" spans="1:6" x14ac:dyDescent="0.25">
      <c r="A49644"/>
      <c r="B49644"/>
      <c r="C49644"/>
      <c r="E49644"/>
      <c r="F49644"/>
    </row>
    <row r="49645" spans="1:6" x14ac:dyDescent="0.25">
      <c r="A49645"/>
      <c r="B49645"/>
      <c r="C49645"/>
      <c r="E49645"/>
      <c r="F49645"/>
    </row>
    <row r="49646" spans="1:6" x14ac:dyDescent="0.25">
      <c r="A49646"/>
      <c r="B49646"/>
      <c r="C49646"/>
      <c r="E49646"/>
      <c r="F49646"/>
    </row>
    <row r="49647" spans="1:6" x14ac:dyDescent="0.25">
      <c r="A49647"/>
      <c r="B49647"/>
      <c r="C49647"/>
      <c r="E49647"/>
      <c r="F49647"/>
    </row>
    <row r="49648" spans="1:6" x14ac:dyDescent="0.25">
      <c r="A49648"/>
      <c r="B49648"/>
      <c r="C49648"/>
      <c r="E49648"/>
      <c r="F49648"/>
    </row>
    <row r="49649" spans="1:6" x14ac:dyDescent="0.25">
      <c r="A49649"/>
      <c r="B49649"/>
      <c r="C49649"/>
      <c r="E49649"/>
      <c r="F49649"/>
    </row>
    <row r="49650" spans="1:6" x14ac:dyDescent="0.25">
      <c r="A49650"/>
      <c r="B49650"/>
      <c r="C49650"/>
      <c r="E49650"/>
      <c r="F49650"/>
    </row>
    <row r="49651" spans="1:6" x14ac:dyDescent="0.25">
      <c r="A49651"/>
      <c r="B49651"/>
      <c r="C49651"/>
      <c r="E49651"/>
      <c r="F49651"/>
    </row>
    <row r="49652" spans="1:6" x14ac:dyDescent="0.25">
      <c r="A49652"/>
      <c r="B49652"/>
      <c r="C49652"/>
      <c r="E49652"/>
      <c r="F49652"/>
    </row>
    <row r="49653" spans="1:6" x14ac:dyDescent="0.25">
      <c r="A49653"/>
      <c r="B49653"/>
      <c r="C49653"/>
      <c r="E49653"/>
      <c r="F49653"/>
    </row>
    <row r="49654" spans="1:6" x14ac:dyDescent="0.25">
      <c r="A49654"/>
      <c r="B49654"/>
      <c r="C49654"/>
      <c r="E49654"/>
      <c r="F49654"/>
    </row>
    <row r="49655" spans="1:6" x14ac:dyDescent="0.25">
      <c r="A49655"/>
      <c r="B49655"/>
      <c r="C49655"/>
      <c r="E49655"/>
      <c r="F49655"/>
    </row>
    <row r="49656" spans="1:6" x14ac:dyDescent="0.25">
      <c r="A49656"/>
      <c r="B49656"/>
      <c r="C49656"/>
      <c r="E49656"/>
      <c r="F49656"/>
    </row>
    <row r="49657" spans="1:6" x14ac:dyDescent="0.25">
      <c r="A49657"/>
      <c r="B49657"/>
      <c r="C49657"/>
      <c r="E49657"/>
      <c r="F49657"/>
    </row>
    <row r="49658" spans="1:6" x14ac:dyDescent="0.25">
      <c r="A49658"/>
      <c r="B49658"/>
      <c r="C49658"/>
      <c r="E49658"/>
      <c r="F49658"/>
    </row>
    <row r="49659" spans="1:6" x14ac:dyDescent="0.25">
      <c r="A49659"/>
      <c r="B49659"/>
      <c r="C49659"/>
      <c r="E49659"/>
      <c r="F49659"/>
    </row>
    <row r="49660" spans="1:6" x14ac:dyDescent="0.25">
      <c r="A49660"/>
      <c r="B49660"/>
      <c r="C49660"/>
      <c r="E49660"/>
      <c r="F49660"/>
    </row>
    <row r="49661" spans="1:6" x14ac:dyDescent="0.25">
      <c r="A49661"/>
      <c r="B49661"/>
      <c r="C49661"/>
      <c r="E49661"/>
      <c r="F49661"/>
    </row>
    <row r="49662" spans="1:6" x14ac:dyDescent="0.25">
      <c r="A49662"/>
      <c r="B49662"/>
      <c r="C49662"/>
      <c r="E49662"/>
      <c r="F49662"/>
    </row>
    <row r="49663" spans="1:6" x14ac:dyDescent="0.25">
      <c r="A49663"/>
      <c r="B49663"/>
      <c r="C49663"/>
      <c r="E49663"/>
      <c r="F49663"/>
    </row>
    <row r="49664" spans="1:6" x14ac:dyDescent="0.25">
      <c r="A49664"/>
      <c r="B49664"/>
      <c r="C49664"/>
      <c r="E49664"/>
      <c r="F49664"/>
    </row>
    <row r="49665" spans="1:6" x14ac:dyDescent="0.25">
      <c r="A49665"/>
      <c r="B49665"/>
      <c r="C49665"/>
      <c r="E49665"/>
      <c r="F49665"/>
    </row>
    <row r="49666" spans="1:6" x14ac:dyDescent="0.25">
      <c r="A49666"/>
      <c r="B49666"/>
      <c r="C49666"/>
      <c r="E49666"/>
      <c r="F49666"/>
    </row>
    <row r="49667" spans="1:6" x14ac:dyDescent="0.25">
      <c r="A49667"/>
      <c r="B49667"/>
      <c r="C49667"/>
      <c r="E49667"/>
      <c r="F49667"/>
    </row>
    <row r="49668" spans="1:6" x14ac:dyDescent="0.25">
      <c r="A49668"/>
      <c r="B49668"/>
      <c r="C49668"/>
      <c r="E49668"/>
      <c r="F49668"/>
    </row>
    <row r="49669" spans="1:6" x14ac:dyDescent="0.25">
      <c r="A49669"/>
      <c r="B49669"/>
      <c r="C49669"/>
      <c r="E49669"/>
      <c r="F49669"/>
    </row>
    <row r="49670" spans="1:6" x14ac:dyDescent="0.25">
      <c r="A49670"/>
      <c r="B49670"/>
      <c r="C49670"/>
      <c r="E49670"/>
      <c r="F49670"/>
    </row>
    <row r="49671" spans="1:6" x14ac:dyDescent="0.25">
      <c r="A49671"/>
      <c r="B49671"/>
      <c r="C49671"/>
      <c r="E49671"/>
      <c r="F49671"/>
    </row>
    <row r="49672" spans="1:6" x14ac:dyDescent="0.25">
      <c r="A49672"/>
      <c r="B49672"/>
      <c r="C49672"/>
      <c r="E49672"/>
      <c r="F49672"/>
    </row>
    <row r="49673" spans="1:6" x14ac:dyDescent="0.25">
      <c r="A49673"/>
      <c r="B49673"/>
      <c r="C49673"/>
      <c r="E49673"/>
      <c r="F49673"/>
    </row>
    <row r="49674" spans="1:6" x14ac:dyDescent="0.25">
      <c r="A49674"/>
      <c r="B49674"/>
      <c r="C49674"/>
      <c r="E49674"/>
      <c r="F49674"/>
    </row>
    <row r="49675" spans="1:6" x14ac:dyDescent="0.25">
      <c r="A49675"/>
      <c r="B49675"/>
      <c r="C49675"/>
      <c r="E49675"/>
      <c r="F49675"/>
    </row>
    <row r="49676" spans="1:6" x14ac:dyDescent="0.25">
      <c r="A49676"/>
      <c r="B49676"/>
      <c r="C49676"/>
      <c r="E49676"/>
      <c r="F49676"/>
    </row>
    <row r="49677" spans="1:6" x14ac:dyDescent="0.25">
      <c r="A49677"/>
      <c r="B49677"/>
      <c r="C49677"/>
      <c r="E49677"/>
      <c r="F49677"/>
    </row>
    <row r="49678" spans="1:6" x14ac:dyDescent="0.25">
      <c r="A49678"/>
      <c r="B49678"/>
      <c r="C49678"/>
      <c r="E49678"/>
      <c r="F49678"/>
    </row>
    <row r="49679" spans="1:6" x14ac:dyDescent="0.25">
      <c r="A49679"/>
      <c r="B49679"/>
      <c r="C49679"/>
      <c r="E49679"/>
      <c r="F49679"/>
    </row>
    <row r="49680" spans="1:6" x14ac:dyDescent="0.25">
      <c r="A49680"/>
      <c r="B49680"/>
      <c r="C49680"/>
      <c r="E49680"/>
      <c r="F49680"/>
    </row>
    <row r="49681" spans="1:6" x14ac:dyDescent="0.25">
      <c r="A49681"/>
      <c r="B49681"/>
      <c r="C49681"/>
      <c r="E49681"/>
      <c r="F49681"/>
    </row>
    <row r="49682" spans="1:6" x14ac:dyDescent="0.25">
      <c r="A49682"/>
      <c r="B49682"/>
      <c r="C49682"/>
      <c r="E49682"/>
      <c r="F49682"/>
    </row>
    <row r="49683" spans="1:6" x14ac:dyDescent="0.25">
      <c r="A49683"/>
      <c r="B49683"/>
      <c r="C49683"/>
      <c r="E49683"/>
      <c r="F49683"/>
    </row>
    <row r="49684" spans="1:6" x14ac:dyDescent="0.25">
      <c r="A49684"/>
      <c r="B49684"/>
      <c r="C49684"/>
      <c r="E49684"/>
      <c r="F49684"/>
    </row>
    <row r="49685" spans="1:6" x14ac:dyDescent="0.25">
      <c r="A49685"/>
      <c r="B49685"/>
      <c r="C49685"/>
      <c r="E49685"/>
      <c r="F49685"/>
    </row>
    <row r="49686" spans="1:6" x14ac:dyDescent="0.25">
      <c r="A49686"/>
      <c r="B49686"/>
      <c r="C49686"/>
      <c r="E49686"/>
      <c r="F49686"/>
    </row>
    <row r="49687" spans="1:6" x14ac:dyDescent="0.25">
      <c r="A49687"/>
      <c r="B49687"/>
      <c r="C49687"/>
      <c r="E49687"/>
      <c r="F49687"/>
    </row>
    <row r="49688" spans="1:6" x14ac:dyDescent="0.25">
      <c r="A49688"/>
      <c r="B49688"/>
      <c r="C49688"/>
      <c r="E49688"/>
      <c r="F49688"/>
    </row>
    <row r="49689" spans="1:6" x14ac:dyDescent="0.25">
      <c r="A49689"/>
      <c r="B49689"/>
      <c r="C49689"/>
      <c r="E49689"/>
      <c r="F49689"/>
    </row>
    <row r="49690" spans="1:6" x14ac:dyDescent="0.25">
      <c r="A49690"/>
      <c r="B49690"/>
      <c r="C49690"/>
      <c r="E49690"/>
      <c r="F49690"/>
    </row>
    <row r="49691" spans="1:6" x14ac:dyDescent="0.25">
      <c r="A49691"/>
      <c r="B49691"/>
      <c r="C49691"/>
      <c r="E49691"/>
      <c r="F49691"/>
    </row>
    <row r="49692" spans="1:6" x14ac:dyDescent="0.25">
      <c r="A49692"/>
      <c r="B49692"/>
      <c r="C49692"/>
      <c r="E49692"/>
      <c r="F49692"/>
    </row>
    <row r="49693" spans="1:6" x14ac:dyDescent="0.25">
      <c r="A49693"/>
      <c r="B49693"/>
      <c r="C49693"/>
      <c r="E49693"/>
      <c r="F49693"/>
    </row>
    <row r="49694" spans="1:6" x14ac:dyDescent="0.25">
      <c r="A49694"/>
      <c r="B49694"/>
      <c r="C49694"/>
      <c r="E49694"/>
      <c r="F49694"/>
    </row>
    <row r="49695" spans="1:6" x14ac:dyDescent="0.25">
      <c r="A49695"/>
      <c r="B49695"/>
      <c r="C49695"/>
      <c r="E49695"/>
      <c r="F49695"/>
    </row>
    <row r="49696" spans="1:6" x14ac:dyDescent="0.25">
      <c r="A49696"/>
      <c r="B49696"/>
      <c r="C49696"/>
      <c r="E49696"/>
      <c r="F49696"/>
    </row>
    <row r="49697" spans="1:6" x14ac:dyDescent="0.25">
      <c r="A49697"/>
      <c r="B49697"/>
      <c r="C49697"/>
      <c r="E49697"/>
      <c r="F49697"/>
    </row>
    <row r="49698" spans="1:6" x14ac:dyDescent="0.25">
      <c r="A49698"/>
      <c r="B49698"/>
      <c r="C49698"/>
      <c r="E49698"/>
      <c r="F49698"/>
    </row>
    <row r="49699" spans="1:6" x14ac:dyDescent="0.25">
      <c r="A49699"/>
      <c r="B49699"/>
      <c r="C49699"/>
      <c r="E49699"/>
      <c r="F49699"/>
    </row>
    <row r="49700" spans="1:6" x14ac:dyDescent="0.25">
      <c r="A49700"/>
      <c r="B49700"/>
      <c r="C49700"/>
      <c r="E49700"/>
      <c r="F49700"/>
    </row>
    <row r="49701" spans="1:6" x14ac:dyDescent="0.25">
      <c r="A49701"/>
      <c r="B49701"/>
      <c r="C49701"/>
      <c r="E49701"/>
      <c r="F49701"/>
    </row>
    <row r="49702" spans="1:6" x14ac:dyDescent="0.25">
      <c r="A49702"/>
      <c r="B49702"/>
      <c r="C49702"/>
      <c r="E49702"/>
      <c r="F49702"/>
    </row>
    <row r="49703" spans="1:6" x14ac:dyDescent="0.25">
      <c r="A49703"/>
      <c r="B49703"/>
      <c r="C49703"/>
      <c r="E49703"/>
      <c r="F49703"/>
    </row>
    <row r="49704" spans="1:6" x14ac:dyDescent="0.25">
      <c r="A49704"/>
      <c r="B49704"/>
      <c r="C49704"/>
      <c r="E49704"/>
      <c r="F49704"/>
    </row>
    <row r="49705" spans="1:6" x14ac:dyDescent="0.25">
      <c r="A49705"/>
      <c r="B49705"/>
      <c r="C49705"/>
      <c r="E49705"/>
      <c r="F49705"/>
    </row>
    <row r="49706" spans="1:6" x14ac:dyDescent="0.25">
      <c r="A49706"/>
      <c r="B49706"/>
      <c r="C49706"/>
      <c r="E49706"/>
      <c r="F49706"/>
    </row>
    <row r="49707" spans="1:6" x14ac:dyDescent="0.25">
      <c r="A49707"/>
      <c r="B49707"/>
      <c r="C49707"/>
      <c r="E49707"/>
      <c r="F49707"/>
    </row>
    <row r="49708" spans="1:6" x14ac:dyDescent="0.25">
      <c r="A49708"/>
      <c r="B49708"/>
      <c r="C49708"/>
      <c r="E49708"/>
      <c r="F49708"/>
    </row>
    <row r="49709" spans="1:6" x14ac:dyDescent="0.25">
      <c r="A49709"/>
      <c r="B49709"/>
      <c r="C49709"/>
      <c r="E49709"/>
      <c r="F49709"/>
    </row>
    <row r="49710" spans="1:6" x14ac:dyDescent="0.25">
      <c r="A49710"/>
      <c r="B49710"/>
      <c r="C49710"/>
      <c r="E49710"/>
      <c r="F49710"/>
    </row>
    <row r="49711" spans="1:6" x14ac:dyDescent="0.25">
      <c r="A49711"/>
      <c r="B49711"/>
      <c r="C49711"/>
      <c r="E49711"/>
      <c r="F49711"/>
    </row>
    <row r="49712" spans="1:6" x14ac:dyDescent="0.25">
      <c r="A49712"/>
      <c r="B49712"/>
      <c r="C49712"/>
      <c r="E49712"/>
      <c r="F49712"/>
    </row>
    <row r="49713" spans="1:6" x14ac:dyDescent="0.25">
      <c r="A49713"/>
      <c r="B49713"/>
      <c r="C49713"/>
      <c r="E49713"/>
      <c r="F49713"/>
    </row>
    <row r="49714" spans="1:6" x14ac:dyDescent="0.25">
      <c r="A49714"/>
      <c r="B49714"/>
      <c r="C49714"/>
      <c r="E49714"/>
      <c r="F49714"/>
    </row>
    <row r="49715" spans="1:6" x14ac:dyDescent="0.25">
      <c r="A49715"/>
      <c r="B49715"/>
      <c r="C49715"/>
      <c r="E49715"/>
      <c r="F49715"/>
    </row>
    <row r="49716" spans="1:6" x14ac:dyDescent="0.25">
      <c r="A49716"/>
      <c r="B49716"/>
      <c r="C49716"/>
      <c r="E49716"/>
      <c r="F49716"/>
    </row>
    <row r="49717" spans="1:6" x14ac:dyDescent="0.25">
      <c r="A49717"/>
      <c r="B49717"/>
      <c r="C49717"/>
      <c r="E49717"/>
      <c r="F49717"/>
    </row>
    <row r="49718" spans="1:6" x14ac:dyDescent="0.25">
      <c r="A49718"/>
      <c r="B49718"/>
      <c r="C49718"/>
      <c r="E49718"/>
      <c r="F49718"/>
    </row>
    <row r="49719" spans="1:6" x14ac:dyDescent="0.25">
      <c r="A49719"/>
      <c r="B49719"/>
      <c r="C49719"/>
      <c r="E49719"/>
      <c r="F49719"/>
    </row>
    <row r="49720" spans="1:6" x14ac:dyDescent="0.25">
      <c r="A49720"/>
      <c r="B49720"/>
      <c r="C49720"/>
      <c r="E49720"/>
      <c r="F49720"/>
    </row>
    <row r="49721" spans="1:6" x14ac:dyDescent="0.25">
      <c r="A49721"/>
      <c r="B49721"/>
      <c r="C49721"/>
      <c r="E49721"/>
      <c r="F49721"/>
    </row>
    <row r="49722" spans="1:6" x14ac:dyDescent="0.25">
      <c r="A49722"/>
      <c r="B49722"/>
      <c r="C49722"/>
      <c r="E49722"/>
      <c r="F49722"/>
    </row>
    <row r="49723" spans="1:6" x14ac:dyDescent="0.25">
      <c r="A49723"/>
      <c r="B49723"/>
      <c r="C49723"/>
      <c r="E49723"/>
      <c r="F49723"/>
    </row>
    <row r="49724" spans="1:6" x14ac:dyDescent="0.25">
      <c r="A49724"/>
      <c r="B49724"/>
      <c r="C49724"/>
      <c r="E49724"/>
      <c r="F49724"/>
    </row>
    <row r="49725" spans="1:6" x14ac:dyDescent="0.25">
      <c r="A49725"/>
      <c r="B49725"/>
      <c r="C49725"/>
      <c r="E49725"/>
      <c r="F49725"/>
    </row>
    <row r="49726" spans="1:6" x14ac:dyDescent="0.25">
      <c r="A49726"/>
      <c r="B49726"/>
      <c r="C49726"/>
      <c r="E49726"/>
      <c r="F49726"/>
    </row>
    <row r="49727" spans="1:6" x14ac:dyDescent="0.25">
      <c r="A49727"/>
      <c r="B49727"/>
      <c r="C49727"/>
      <c r="E49727"/>
      <c r="F49727"/>
    </row>
    <row r="49728" spans="1:6" x14ac:dyDescent="0.25">
      <c r="A49728"/>
      <c r="B49728"/>
      <c r="C49728"/>
      <c r="E49728"/>
      <c r="F49728"/>
    </row>
    <row r="49729" spans="1:6" x14ac:dyDescent="0.25">
      <c r="A49729"/>
      <c r="B49729"/>
      <c r="C49729"/>
      <c r="E49729"/>
      <c r="F49729"/>
    </row>
    <row r="49730" spans="1:6" x14ac:dyDescent="0.25">
      <c r="A49730"/>
      <c r="B49730"/>
      <c r="C49730"/>
      <c r="E49730"/>
      <c r="F49730"/>
    </row>
    <row r="49731" spans="1:6" x14ac:dyDescent="0.25">
      <c r="A49731"/>
      <c r="B49731"/>
      <c r="C49731"/>
      <c r="E49731"/>
      <c r="F49731"/>
    </row>
    <row r="49732" spans="1:6" x14ac:dyDescent="0.25">
      <c r="A49732"/>
      <c r="B49732"/>
      <c r="C49732"/>
      <c r="E49732"/>
      <c r="F49732"/>
    </row>
    <row r="49733" spans="1:6" x14ac:dyDescent="0.25">
      <c r="A49733"/>
      <c r="B49733"/>
      <c r="C49733"/>
      <c r="E49733"/>
      <c r="F49733"/>
    </row>
    <row r="49734" spans="1:6" x14ac:dyDescent="0.25">
      <c r="A49734"/>
      <c r="B49734"/>
      <c r="C49734"/>
      <c r="E49734"/>
      <c r="F49734"/>
    </row>
    <row r="49735" spans="1:6" x14ac:dyDescent="0.25">
      <c r="A49735"/>
      <c r="B49735"/>
      <c r="C49735"/>
      <c r="E49735"/>
      <c r="F49735"/>
    </row>
    <row r="49736" spans="1:6" x14ac:dyDescent="0.25">
      <c r="A49736"/>
      <c r="B49736"/>
      <c r="C49736"/>
      <c r="E49736"/>
      <c r="F49736"/>
    </row>
    <row r="49737" spans="1:6" x14ac:dyDescent="0.25">
      <c r="A49737"/>
      <c r="B49737"/>
      <c r="C49737"/>
      <c r="E49737"/>
      <c r="F49737"/>
    </row>
    <row r="49738" spans="1:6" x14ac:dyDescent="0.25">
      <c r="A49738"/>
      <c r="B49738"/>
      <c r="C49738"/>
      <c r="E49738"/>
      <c r="F49738"/>
    </row>
    <row r="49739" spans="1:6" x14ac:dyDescent="0.25">
      <c r="A49739"/>
      <c r="B49739"/>
      <c r="C49739"/>
      <c r="E49739"/>
      <c r="F49739"/>
    </row>
    <row r="49740" spans="1:6" x14ac:dyDescent="0.25">
      <c r="A49740"/>
      <c r="B49740"/>
      <c r="C49740"/>
      <c r="E49740"/>
      <c r="F49740"/>
    </row>
    <row r="49741" spans="1:6" x14ac:dyDescent="0.25">
      <c r="A49741"/>
      <c r="B49741"/>
      <c r="C49741"/>
      <c r="E49741"/>
      <c r="F49741"/>
    </row>
    <row r="49742" spans="1:6" x14ac:dyDescent="0.25">
      <c r="A49742"/>
      <c r="B49742"/>
      <c r="C49742"/>
      <c r="E49742"/>
      <c r="F49742"/>
    </row>
    <row r="49743" spans="1:6" x14ac:dyDescent="0.25">
      <c r="A49743"/>
      <c r="B49743"/>
      <c r="C49743"/>
      <c r="E49743"/>
      <c r="F49743"/>
    </row>
    <row r="49744" spans="1:6" x14ac:dyDescent="0.25">
      <c r="A49744"/>
      <c r="B49744"/>
      <c r="C49744"/>
      <c r="E49744"/>
      <c r="F49744"/>
    </row>
    <row r="49745" spans="1:6" x14ac:dyDescent="0.25">
      <c r="A49745"/>
      <c r="B49745"/>
      <c r="C49745"/>
      <c r="E49745"/>
      <c r="F49745"/>
    </row>
    <row r="49746" spans="1:6" x14ac:dyDescent="0.25">
      <c r="A49746"/>
      <c r="B49746"/>
      <c r="C49746"/>
      <c r="E49746"/>
      <c r="F49746"/>
    </row>
    <row r="49747" spans="1:6" x14ac:dyDescent="0.25">
      <c r="A49747"/>
      <c r="B49747"/>
      <c r="C49747"/>
      <c r="E49747"/>
      <c r="F49747"/>
    </row>
    <row r="49748" spans="1:6" x14ac:dyDescent="0.25">
      <c r="A49748"/>
      <c r="B49748"/>
      <c r="C49748"/>
      <c r="E49748"/>
      <c r="F49748"/>
    </row>
    <row r="49749" spans="1:6" x14ac:dyDescent="0.25">
      <c r="A49749"/>
      <c r="B49749"/>
      <c r="C49749"/>
      <c r="E49749"/>
      <c r="F49749"/>
    </row>
    <row r="49750" spans="1:6" x14ac:dyDescent="0.25">
      <c r="A49750"/>
      <c r="B49750"/>
      <c r="C49750"/>
      <c r="E49750"/>
      <c r="F49750"/>
    </row>
    <row r="49751" spans="1:6" x14ac:dyDescent="0.25">
      <c r="A49751"/>
      <c r="B49751"/>
      <c r="C49751"/>
      <c r="E49751"/>
      <c r="F49751"/>
    </row>
    <row r="49752" spans="1:6" x14ac:dyDescent="0.25">
      <c r="A49752"/>
      <c r="B49752"/>
      <c r="C49752"/>
      <c r="E49752"/>
      <c r="F49752"/>
    </row>
    <row r="49753" spans="1:6" x14ac:dyDescent="0.25">
      <c r="A49753"/>
      <c r="B49753"/>
      <c r="C49753"/>
      <c r="E49753"/>
      <c r="F49753"/>
    </row>
    <row r="49754" spans="1:6" x14ac:dyDescent="0.25">
      <c r="A49754"/>
      <c r="B49754"/>
      <c r="C49754"/>
      <c r="E49754"/>
      <c r="F49754"/>
    </row>
    <row r="49755" spans="1:6" x14ac:dyDescent="0.25">
      <c r="A49755"/>
      <c r="B49755"/>
      <c r="C49755"/>
      <c r="E49755"/>
      <c r="F49755"/>
    </row>
    <row r="49756" spans="1:6" x14ac:dyDescent="0.25">
      <c r="A49756"/>
      <c r="B49756"/>
      <c r="C49756"/>
      <c r="E49756"/>
      <c r="F49756"/>
    </row>
    <row r="49757" spans="1:6" x14ac:dyDescent="0.25">
      <c r="A49757"/>
      <c r="B49757"/>
      <c r="C49757"/>
      <c r="E49757"/>
      <c r="F49757"/>
    </row>
    <row r="49758" spans="1:6" x14ac:dyDescent="0.25">
      <c r="A49758"/>
      <c r="B49758"/>
      <c r="C49758"/>
      <c r="E49758"/>
      <c r="F49758"/>
    </row>
    <row r="49759" spans="1:6" x14ac:dyDescent="0.25">
      <c r="A49759"/>
      <c r="B49759"/>
      <c r="C49759"/>
      <c r="E49759"/>
      <c r="F49759"/>
    </row>
    <row r="49760" spans="1:6" x14ac:dyDescent="0.25">
      <c r="A49760"/>
      <c r="B49760"/>
      <c r="C49760"/>
      <c r="E49760"/>
      <c r="F49760"/>
    </row>
    <row r="49761" spans="1:6" x14ac:dyDescent="0.25">
      <c r="A49761"/>
      <c r="B49761"/>
      <c r="C49761"/>
      <c r="E49761"/>
      <c r="F49761"/>
    </row>
    <row r="49762" spans="1:6" x14ac:dyDescent="0.25">
      <c r="A49762"/>
      <c r="B49762"/>
      <c r="C49762"/>
      <c r="E49762"/>
      <c r="F49762"/>
    </row>
    <row r="49763" spans="1:6" x14ac:dyDescent="0.25">
      <c r="A49763"/>
      <c r="B49763"/>
      <c r="C49763"/>
      <c r="E49763"/>
      <c r="F49763"/>
    </row>
    <row r="49764" spans="1:6" x14ac:dyDescent="0.25">
      <c r="A49764"/>
      <c r="B49764"/>
      <c r="C49764"/>
      <c r="E49764"/>
      <c r="F49764"/>
    </row>
    <row r="49765" spans="1:6" x14ac:dyDescent="0.25">
      <c r="A49765"/>
      <c r="B49765"/>
      <c r="C49765"/>
      <c r="E49765"/>
      <c r="F49765"/>
    </row>
    <row r="49766" spans="1:6" x14ac:dyDescent="0.25">
      <c r="A49766"/>
      <c r="B49766"/>
      <c r="C49766"/>
      <c r="E49766"/>
      <c r="F49766"/>
    </row>
    <row r="49767" spans="1:6" x14ac:dyDescent="0.25">
      <c r="A49767"/>
      <c r="B49767"/>
      <c r="C49767"/>
      <c r="E49767"/>
      <c r="F49767"/>
    </row>
    <row r="49768" spans="1:6" x14ac:dyDescent="0.25">
      <c r="A49768"/>
      <c r="B49768"/>
      <c r="C49768"/>
      <c r="E49768"/>
      <c r="F49768"/>
    </row>
    <row r="49769" spans="1:6" x14ac:dyDescent="0.25">
      <c r="A49769"/>
      <c r="B49769"/>
      <c r="C49769"/>
      <c r="E49769"/>
      <c r="F49769"/>
    </row>
    <row r="49770" spans="1:6" x14ac:dyDescent="0.25">
      <c r="A49770"/>
      <c r="B49770"/>
      <c r="C49770"/>
      <c r="E49770"/>
      <c r="F49770"/>
    </row>
    <row r="49771" spans="1:6" x14ac:dyDescent="0.25">
      <c r="A49771"/>
      <c r="B49771"/>
      <c r="C49771"/>
      <c r="E49771"/>
      <c r="F49771"/>
    </row>
    <row r="49772" spans="1:6" x14ac:dyDescent="0.25">
      <c r="A49772"/>
      <c r="B49772"/>
      <c r="C49772"/>
      <c r="E49772"/>
      <c r="F49772"/>
    </row>
    <row r="49773" spans="1:6" x14ac:dyDescent="0.25">
      <c r="A49773"/>
      <c r="B49773"/>
      <c r="C49773"/>
      <c r="E49773"/>
      <c r="F49773"/>
    </row>
    <row r="49774" spans="1:6" x14ac:dyDescent="0.25">
      <c r="A49774"/>
      <c r="B49774"/>
      <c r="C49774"/>
      <c r="E49774"/>
      <c r="F49774"/>
    </row>
    <row r="49775" spans="1:6" x14ac:dyDescent="0.25">
      <c r="A49775"/>
      <c r="B49775"/>
      <c r="C49775"/>
      <c r="E49775"/>
      <c r="F49775"/>
    </row>
    <row r="49776" spans="1:6" x14ac:dyDescent="0.25">
      <c r="A49776"/>
      <c r="B49776"/>
      <c r="C49776"/>
      <c r="E49776"/>
      <c r="F49776"/>
    </row>
    <row r="49777" spans="1:6" x14ac:dyDescent="0.25">
      <c r="A49777"/>
      <c r="B49777"/>
      <c r="C49777"/>
      <c r="E49777"/>
      <c r="F49777"/>
    </row>
    <row r="49778" spans="1:6" x14ac:dyDescent="0.25">
      <c r="A49778"/>
      <c r="B49778"/>
      <c r="C49778"/>
      <c r="E49778"/>
      <c r="F49778"/>
    </row>
    <row r="49779" spans="1:6" x14ac:dyDescent="0.25">
      <c r="A49779"/>
      <c r="B49779"/>
      <c r="C49779"/>
      <c r="E49779"/>
      <c r="F49779"/>
    </row>
    <row r="49780" spans="1:6" x14ac:dyDescent="0.25">
      <c r="A49780"/>
      <c r="B49780"/>
      <c r="C49780"/>
      <c r="E49780"/>
      <c r="F49780"/>
    </row>
    <row r="49781" spans="1:6" x14ac:dyDescent="0.25">
      <c r="A49781"/>
      <c r="B49781"/>
      <c r="C49781"/>
      <c r="E49781"/>
      <c r="F49781"/>
    </row>
    <row r="49782" spans="1:6" x14ac:dyDescent="0.25">
      <c r="A49782"/>
      <c r="B49782"/>
      <c r="C49782"/>
      <c r="E49782"/>
      <c r="F49782"/>
    </row>
    <row r="49783" spans="1:6" x14ac:dyDescent="0.25">
      <c r="A49783"/>
      <c r="B49783"/>
      <c r="C49783"/>
      <c r="E49783"/>
      <c r="F49783"/>
    </row>
    <row r="49784" spans="1:6" x14ac:dyDescent="0.25">
      <c r="A49784"/>
      <c r="B49784"/>
      <c r="C49784"/>
      <c r="E49784"/>
      <c r="F49784"/>
    </row>
    <row r="49785" spans="1:6" x14ac:dyDescent="0.25">
      <c r="A49785"/>
      <c r="B49785"/>
      <c r="C49785"/>
      <c r="E49785"/>
      <c r="F49785"/>
    </row>
    <row r="49786" spans="1:6" x14ac:dyDescent="0.25">
      <c r="A49786"/>
      <c r="B49786"/>
      <c r="C49786"/>
      <c r="E49786"/>
      <c r="F49786"/>
    </row>
    <row r="49787" spans="1:6" x14ac:dyDescent="0.25">
      <c r="A49787"/>
      <c r="B49787"/>
      <c r="C49787"/>
      <c r="E49787"/>
      <c r="F49787"/>
    </row>
    <row r="49788" spans="1:6" x14ac:dyDescent="0.25">
      <c r="A49788"/>
      <c r="B49788"/>
      <c r="C49788"/>
      <c r="E49788"/>
      <c r="F49788"/>
    </row>
    <row r="49789" spans="1:6" x14ac:dyDescent="0.25">
      <c r="A49789"/>
      <c r="B49789"/>
      <c r="C49789"/>
      <c r="E49789"/>
      <c r="F49789"/>
    </row>
    <row r="49790" spans="1:6" x14ac:dyDescent="0.25">
      <c r="A49790"/>
      <c r="B49790"/>
      <c r="C49790"/>
      <c r="E49790"/>
      <c r="F49790"/>
    </row>
    <row r="49791" spans="1:6" x14ac:dyDescent="0.25">
      <c r="A49791"/>
      <c r="B49791"/>
      <c r="C49791"/>
      <c r="E49791"/>
      <c r="F49791"/>
    </row>
    <row r="49792" spans="1:6" x14ac:dyDescent="0.25">
      <c r="A49792"/>
      <c r="B49792"/>
      <c r="C49792"/>
      <c r="E49792"/>
      <c r="F49792"/>
    </row>
    <row r="49793" spans="1:6" x14ac:dyDescent="0.25">
      <c r="A49793"/>
      <c r="B49793"/>
      <c r="C49793"/>
      <c r="E49793"/>
      <c r="F49793"/>
    </row>
    <row r="49794" spans="1:6" x14ac:dyDescent="0.25">
      <c r="A49794"/>
      <c r="B49794"/>
      <c r="C49794"/>
      <c r="E49794"/>
      <c r="F49794"/>
    </row>
    <row r="49795" spans="1:6" x14ac:dyDescent="0.25">
      <c r="A49795"/>
      <c r="B49795"/>
      <c r="C49795"/>
      <c r="E49795"/>
      <c r="F49795"/>
    </row>
    <row r="49796" spans="1:6" x14ac:dyDescent="0.25">
      <c r="A49796"/>
      <c r="B49796"/>
      <c r="C49796"/>
      <c r="E49796"/>
      <c r="F49796"/>
    </row>
    <row r="49797" spans="1:6" x14ac:dyDescent="0.25">
      <c r="A49797"/>
      <c r="B49797"/>
      <c r="C49797"/>
      <c r="E49797"/>
      <c r="F49797"/>
    </row>
    <row r="49798" spans="1:6" x14ac:dyDescent="0.25">
      <c r="A49798"/>
      <c r="B49798"/>
      <c r="C49798"/>
      <c r="E49798"/>
      <c r="F49798"/>
    </row>
    <row r="49799" spans="1:6" x14ac:dyDescent="0.25">
      <c r="A49799"/>
      <c r="B49799"/>
      <c r="C49799"/>
      <c r="E49799"/>
      <c r="F49799"/>
    </row>
    <row r="49800" spans="1:6" x14ac:dyDescent="0.25">
      <c r="A49800"/>
      <c r="B49800"/>
      <c r="C49800"/>
      <c r="E49800"/>
      <c r="F49800"/>
    </row>
    <row r="49801" spans="1:6" x14ac:dyDescent="0.25">
      <c r="A49801"/>
      <c r="B49801"/>
      <c r="C49801"/>
      <c r="E49801"/>
      <c r="F49801"/>
    </row>
    <row r="49802" spans="1:6" x14ac:dyDescent="0.25">
      <c r="A49802"/>
      <c r="B49802"/>
      <c r="C49802"/>
      <c r="E49802"/>
      <c r="F49802"/>
    </row>
    <row r="49803" spans="1:6" x14ac:dyDescent="0.25">
      <c r="A49803"/>
      <c r="B49803"/>
      <c r="C49803"/>
      <c r="E49803"/>
      <c r="F49803"/>
    </row>
    <row r="49804" spans="1:6" x14ac:dyDescent="0.25">
      <c r="A49804"/>
      <c r="B49804"/>
      <c r="C49804"/>
      <c r="E49804"/>
      <c r="F49804"/>
    </row>
    <row r="49805" spans="1:6" x14ac:dyDescent="0.25">
      <c r="A49805"/>
      <c r="B49805"/>
      <c r="C49805"/>
      <c r="E49805"/>
      <c r="F49805"/>
    </row>
    <row r="49806" spans="1:6" x14ac:dyDescent="0.25">
      <c r="A49806"/>
      <c r="B49806"/>
      <c r="C49806"/>
      <c r="E49806"/>
      <c r="F49806"/>
    </row>
    <row r="49807" spans="1:6" x14ac:dyDescent="0.25">
      <c r="A49807"/>
      <c r="B49807"/>
      <c r="C49807"/>
      <c r="E49807"/>
      <c r="F49807"/>
    </row>
    <row r="49808" spans="1:6" x14ac:dyDescent="0.25">
      <c r="A49808"/>
      <c r="B49808"/>
      <c r="C49808"/>
      <c r="E49808"/>
      <c r="F49808"/>
    </row>
    <row r="49809" spans="1:6" x14ac:dyDescent="0.25">
      <c r="A49809"/>
      <c r="B49809"/>
      <c r="C49809"/>
      <c r="E49809"/>
      <c r="F49809"/>
    </row>
    <row r="49810" spans="1:6" x14ac:dyDescent="0.25">
      <c r="A49810"/>
      <c r="B49810"/>
      <c r="C49810"/>
      <c r="E49810"/>
      <c r="F49810"/>
    </row>
    <row r="49811" spans="1:6" x14ac:dyDescent="0.25">
      <c r="A49811"/>
      <c r="B49811"/>
      <c r="C49811"/>
      <c r="E49811"/>
      <c r="F49811"/>
    </row>
    <row r="49812" spans="1:6" x14ac:dyDescent="0.25">
      <c r="A49812"/>
      <c r="B49812"/>
      <c r="C49812"/>
      <c r="E49812"/>
      <c r="F49812"/>
    </row>
    <row r="49813" spans="1:6" x14ac:dyDescent="0.25">
      <c r="A49813"/>
      <c r="B49813"/>
      <c r="C49813"/>
      <c r="E49813"/>
      <c r="F49813"/>
    </row>
    <row r="49814" spans="1:6" x14ac:dyDescent="0.25">
      <c r="A49814"/>
      <c r="B49814"/>
      <c r="C49814"/>
      <c r="E49814"/>
      <c r="F49814"/>
    </row>
    <row r="49815" spans="1:6" x14ac:dyDescent="0.25">
      <c r="A49815"/>
      <c r="B49815"/>
      <c r="C49815"/>
      <c r="E49815"/>
      <c r="F49815"/>
    </row>
    <row r="49816" spans="1:6" x14ac:dyDescent="0.25">
      <c r="A49816"/>
      <c r="B49816"/>
      <c r="C49816"/>
      <c r="E49816"/>
      <c r="F49816"/>
    </row>
    <row r="49817" spans="1:6" x14ac:dyDescent="0.25">
      <c r="A49817"/>
      <c r="B49817"/>
      <c r="C49817"/>
      <c r="E49817"/>
      <c r="F49817"/>
    </row>
    <row r="49818" spans="1:6" x14ac:dyDescent="0.25">
      <c r="A49818"/>
      <c r="B49818"/>
      <c r="C49818"/>
      <c r="E49818"/>
      <c r="F49818"/>
    </row>
    <row r="49819" spans="1:6" x14ac:dyDescent="0.25">
      <c r="A49819"/>
      <c r="B49819"/>
      <c r="C49819"/>
      <c r="E49819"/>
      <c r="F49819"/>
    </row>
    <row r="49820" spans="1:6" x14ac:dyDescent="0.25">
      <c r="A49820"/>
      <c r="B49820"/>
      <c r="C49820"/>
      <c r="E49820"/>
      <c r="F49820"/>
    </row>
    <row r="49821" spans="1:6" x14ac:dyDescent="0.25">
      <c r="A49821"/>
      <c r="B49821"/>
      <c r="C49821"/>
      <c r="E49821"/>
      <c r="F49821"/>
    </row>
    <row r="49822" spans="1:6" x14ac:dyDescent="0.25">
      <c r="A49822"/>
      <c r="B49822"/>
      <c r="C49822"/>
      <c r="E49822"/>
      <c r="F49822"/>
    </row>
    <row r="49823" spans="1:6" x14ac:dyDescent="0.25">
      <c r="A49823"/>
      <c r="B49823"/>
      <c r="C49823"/>
      <c r="E49823"/>
      <c r="F49823"/>
    </row>
    <row r="49824" spans="1:6" x14ac:dyDescent="0.25">
      <c r="A49824"/>
      <c r="B49824"/>
      <c r="C49824"/>
      <c r="E49824"/>
      <c r="F49824"/>
    </row>
    <row r="49825" spans="1:6" x14ac:dyDescent="0.25">
      <c r="A49825"/>
      <c r="B49825"/>
      <c r="C49825"/>
      <c r="E49825"/>
      <c r="F49825"/>
    </row>
    <row r="49826" spans="1:6" x14ac:dyDescent="0.25">
      <c r="A49826"/>
      <c r="B49826"/>
      <c r="C49826"/>
      <c r="E49826"/>
      <c r="F49826"/>
    </row>
    <row r="49827" spans="1:6" x14ac:dyDescent="0.25">
      <c r="A49827"/>
      <c r="B49827"/>
      <c r="C49827"/>
      <c r="E49827"/>
      <c r="F49827"/>
    </row>
    <row r="49828" spans="1:6" x14ac:dyDescent="0.25">
      <c r="A49828"/>
      <c r="B49828"/>
      <c r="C49828"/>
      <c r="E49828"/>
      <c r="F49828"/>
    </row>
    <row r="49829" spans="1:6" x14ac:dyDescent="0.25">
      <c r="A49829"/>
      <c r="B49829"/>
      <c r="C49829"/>
      <c r="E49829"/>
      <c r="F49829"/>
    </row>
    <row r="49830" spans="1:6" x14ac:dyDescent="0.25">
      <c r="A49830"/>
      <c r="B49830"/>
      <c r="C49830"/>
      <c r="E49830"/>
      <c r="F49830"/>
    </row>
    <row r="49831" spans="1:6" x14ac:dyDescent="0.25">
      <c r="A49831"/>
      <c r="B49831"/>
      <c r="C49831"/>
      <c r="E49831"/>
      <c r="F49831"/>
    </row>
    <row r="49832" spans="1:6" x14ac:dyDescent="0.25">
      <c r="A49832"/>
      <c r="B49832"/>
      <c r="C49832"/>
      <c r="E49832"/>
      <c r="F49832"/>
    </row>
    <row r="49833" spans="1:6" x14ac:dyDescent="0.25">
      <c r="A49833"/>
      <c r="B49833"/>
      <c r="C49833"/>
      <c r="E49833"/>
      <c r="F49833"/>
    </row>
    <row r="49834" spans="1:6" x14ac:dyDescent="0.25">
      <c r="A49834"/>
      <c r="B49834"/>
      <c r="C49834"/>
      <c r="E49834"/>
      <c r="F49834"/>
    </row>
    <row r="49835" spans="1:6" x14ac:dyDescent="0.25">
      <c r="A49835"/>
      <c r="B49835"/>
      <c r="C49835"/>
      <c r="E49835"/>
      <c r="F49835"/>
    </row>
    <row r="49836" spans="1:6" x14ac:dyDescent="0.25">
      <c r="A49836"/>
      <c r="B49836"/>
      <c r="C49836"/>
      <c r="E49836"/>
      <c r="F49836"/>
    </row>
    <row r="49837" spans="1:6" x14ac:dyDescent="0.25">
      <c r="A49837"/>
      <c r="B49837"/>
      <c r="C49837"/>
      <c r="E49837"/>
      <c r="F49837"/>
    </row>
    <row r="49838" spans="1:6" x14ac:dyDescent="0.25">
      <c r="A49838"/>
      <c r="B49838"/>
      <c r="C49838"/>
      <c r="E49838"/>
      <c r="F49838"/>
    </row>
    <row r="49839" spans="1:6" x14ac:dyDescent="0.25">
      <c r="A49839"/>
      <c r="B49839"/>
      <c r="C49839"/>
      <c r="E49839"/>
      <c r="F49839"/>
    </row>
    <row r="49840" spans="1:6" x14ac:dyDescent="0.25">
      <c r="A49840"/>
      <c r="B49840"/>
      <c r="C49840"/>
      <c r="E49840"/>
      <c r="F49840"/>
    </row>
    <row r="49841" spans="1:6" x14ac:dyDescent="0.25">
      <c r="A49841"/>
      <c r="B49841"/>
      <c r="C49841"/>
      <c r="E49841"/>
      <c r="F49841"/>
    </row>
    <row r="49842" spans="1:6" x14ac:dyDescent="0.25">
      <c r="A49842"/>
      <c r="B49842"/>
      <c r="C49842"/>
      <c r="E49842"/>
      <c r="F49842"/>
    </row>
    <row r="49843" spans="1:6" x14ac:dyDescent="0.25">
      <c r="A49843"/>
      <c r="B49843"/>
      <c r="C49843"/>
      <c r="E49843"/>
      <c r="F49843"/>
    </row>
    <row r="49844" spans="1:6" x14ac:dyDescent="0.25">
      <c r="A49844"/>
      <c r="B49844"/>
      <c r="C49844"/>
      <c r="E49844"/>
      <c r="F49844"/>
    </row>
    <row r="49845" spans="1:6" x14ac:dyDescent="0.25">
      <c r="A49845"/>
      <c r="B49845"/>
      <c r="C49845"/>
      <c r="E49845"/>
      <c r="F49845"/>
    </row>
    <row r="49846" spans="1:6" x14ac:dyDescent="0.25">
      <c r="A49846"/>
      <c r="B49846"/>
      <c r="C49846"/>
      <c r="E49846"/>
      <c r="F49846"/>
    </row>
    <row r="49847" spans="1:6" x14ac:dyDescent="0.25">
      <c r="A49847"/>
      <c r="B49847"/>
      <c r="C49847"/>
      <c r="E49847"/>
      <c r="F49847"/>
    </row>
    <row r="49848" spans="1:6" x14ac:dyDescent="0.25">
      <c r="A49848"/>
      <c r="B49848"/>
      <c r="C49848"/>
      <c r="E49848"/>
      <c r="F49848"/>
    </row>
    <row r="49849" spans="1:6" x14ac:dyDescent="0.25">
      <c r="A49849"/>
      <c r="B49849"/>
      <c r="C49849"/>
      <c r="E49849"/>
      <c r="F49849"/>
    </row>
    <row r="49850" spans="1:6" x14ac:dyDescent="0.25">
      <c r="A49850"/>
      <c r="B49850"/>
      <c r="C49850"/>
      <c r="E49850"/>
      <c r="F49850"/>
    </row>
    <row r="49851" spans="1:6" x14ac:dyDescent="0.25">
      <c r="A49851"/>
      <c r="B49851"/>
      <c r="C49851"/>
      <c r="E49851"/>
      <c r="F49851"/>
    </row>
    <row r="49852" spans="1:6" x14ac:dyDescent="0.25">
      <c r="A49852"/>
      <c r="B49852"/>
      <c r="C49852"/>
      <c r="E49852"/>
      <c r="F49852"/>
    </row>
    <row r="49853" spans="1:6" x14ac:dyDescent="0.25">
      <c r="A49853"/>
      <c r="B49853"/>
      <c r="C49853"/>
      <c r="E49853"/>
      <c r="F49853"/>
    </row>
    <row r="49854" spans="1:6" x14ac:dyDescent="0.25">
      <c r="A49854"/>
      <c r="B49854"/>
      <c r="C49854"/>
      <c r="E49854"/>
      <c r="F49854"/>
    </row>
    <row r="49855" spans="1:6" x14ac:dyDescent="0.25">
      <c r="A49855"/>
      <c r="B49855"/>
      <c r="C49855"/>
      <c r="E49855"/>
      <c r="F49855"/>
    </row>
    <row r="49856" spans="1:6" x14ac:dyDescent="0.25">
      <c r="A49856"/>
      <c r="B49856"/>
      <c r="C49856"/>
      <c r="E49856"/>
      <c r="F49856"/>
    </row>
    <row r="49857" spans="1:6" x14ac:dyDescent="0.25">
      <c r="A49857"/>
      <c r="B49857"/>
      <c r="C49857"/>
      <c r="E49857"/>
      <c r="F49857"/>
    </row>
    <row r="49858" spans="1:6" x14ac:dyDescent="0.25">
      <c r="A49858"/>
      <c r="B49858"/>
      <c r="C49858"/>
      <c r="E49858"/>
      <c r="F49858"/>
    </row>
    <row r="49859" spans="1:6" x14ac:dyDescent="0.25">
      <c r="A49859"/>
      <c r="B49859"/>
      <c r="C49859"/>
      <c r="E49859"/>
      <c r="F49859"/>
    </row>
    <row r="49860" spans="1:6" x14ac:dyDescent="0.25">
      <c r="A49860"/>
      <c r="B49860"/>
      <c r="C49860"/>
      <c r="E49860"/>
      <c r="F49860"/>
    </row>
    <row r="49861" spans="1:6" x14ac:dyDescent="0.25">
      <c r="A49861"/>
      <c r="B49861"/>
      <c r="C49861"/>
      <c r="E49861"/>
      <c r="F49861"/>
    </row>
    <row r="49862" spans="1:6" x14ac:dyDescent="0.25">
      <c r="A49862"/>
      <c r="B49862"/>
      <c r="C49862"/>
      <c r="E49862"/>
      <c r="F49862"/>
    </row>
    <row r="49863" spans="1:6" x14ac:dyDescent="0.25">
      <c r="A49863"/>
      <c r="B49863"/>
      <c r="C49863"/>
      <c r="E49863"/>
      <c r="F49863"/>
    </row>
    <row r="49864" spans="1:6" x14ac:dyDescent="0.25">
      <c r="A49864"/>
      <c r="B49864"/>
      <c r="C49864"/>
      <c r="E49864"/>
      <c r="F49864"/>
    </row>
    <row r="49865" spans="1:6" x14ac:dyDescent="0.25">
      <c r="A49865"/>
      <c r="B49865"/>
      <c r="C49865"/>
      <c r="E49865"/>
      <c r="F49865"/>
    </row>
    <row r="49866" spans="1:6" x14ac:dyDescent="0.25">
      <c r="A49866"/>
      <c r="B49866"/>
      <c r="C49866"/>
      <c r="E49866"/>
      <c r="F49866"/>
    </row>
    <row r="49867" spans="1:6" x14ac:dyDescent="0.25">
      <c r="A49867"/>
      <c r="B49867"/>
      <c r="C49867"/>
      <c r="E49867"/>
      <c r="F49867"/>
    </row>
    <row r="49868" spans="1:6" x14ac:dyDescent="0.25">
      <c r="A49868"/>
      <c r="B49868"/>
      <c r="C49868"/>
      <c r="E49868"/>
      <c r="F49868"/>
    </row>
    <row r="49869" spans="1:6" x14ac:dyDescent="0.25">
      <c r="A49869"/>
      <c r="B49869"/>
      <c r="C49869"/>
      <c r="E49869"/>
      <c r="F49869"/>
    </row>
    <row r="49870" spans="1:6" x14ac:dyDescent="0.25">
      <c r="A49870"/>
      <c r="B49870"/>
      <c r="C49870"/>
      <c r="E49870"/>
      <c r="F49870"/>
    </row>
    <row r="49871" spans="1:6" x14ac:dyDescent="0.25">
      <c r="A49871"/>
      <c r="B49871"/>
      <c r="C49871"/>
      <c r="E49871"/>
      <c r="F49871"/>
    </row>
    <row r="49872" spans="1:6" x14ac:dyDescent="0.25">
      <c r="A49872"/>
      <c r="B49872"/>
      <c r="C49872"/>
      <c r="E49872"/>
      <c r="F49872"/>
    </row>
    <row r="49873" spans="1:6" x14ac:dyDescent="0.25">
      <c r="A49873"/>
      <c r="B49873"/>
      <c r="C49873"/>
      <c r="E49873"/>
      <c r="F49873"/>
    </row>
    <row r="49874" spans="1:6" x14ac:dyDescent="0.25">
      <c r="A49874"/>
      <c r="B49874"/>
      <c r="C49874"/>
      <c r="E49874"/>
      <c r="F49874"/>
    </row>
    <row r="49875" spans="1:6" x14ac:dyDescent="0.25">
      <c r="A49875"/>
      <c r="B49875"/>
      <c r="C49875"/>
      <c r="E49875"/>
      <c r="F49875"/>
    </row>
    <row r="49876" spans="1:6" x14ac:dyDescent="0.25">
      <c r="A49876"/>
      <c r="B49876"/>
      <c r="C49876"/>
      <c r="E49876"/>
      <c r="F49876"/>
    </row>
    <row r="49877" spans="1:6" x14ac:dyDescent="0.25">
      <c r="A49877"/>
      <c r="B49877"/>
      <c r="C49877"/>
      <c r="E49877"/>
      <c r="F49877"/>
    </row>
    <row r="49878" spans="1:6" x14ac:dyDescent="0.25">
      <c r="A49878"/>
      <c r="B49878"/>
      <c r="C49878"/>
      <c r="E49878"/>
      <c r="F49878"/>
    </row>
    <row r="49879" spans="1:6" x14ac:dyDescent="0.25">
      <c r="A49879"/>
      <c r="B49879"/>
      <c r="C49879"/>
      <c r="E49879"/>
      <c r="F49879"/>
    </row>
    <row r="49880" spans="1:6" x14ac:dyDescent="0.25">
      <c r="A49880"/>
      <c r="B49880"/>
      <c r="C49880"/>
      <c r="E49880"/>
      <c r="F49880"/>
    </row>
    <row r="49881" spans="1:6" x14ac:dyDescent="0.25">
      <c r="A49881"/>
      <c r="B49881"/>
      <c r="C49881"/>
      <c r="E49881"/>
      <c r="F49881"/>
    </row>
    <row r="49882" spans="1:6" x14ac:dyDescent="0.25">
      <c r="A49882"/>
      <c r="B49882"/>
      <c r="C49882"/>
      <c r="E49882"/>
      <c r="F49882"/>
    </row>
    <row r="49883" spans="1:6" x14ac:dyDescent="0.25">
      <c r="A49883"/>
      <c r="B49883"/>
      <c r="C49883"/>
      <c r="E49883"/>
      <c r="F49883"/>
    </row>
    <row r="49884" spans="1:6" x14ac:dyDescent="0.25">
      <c r="A49884"/>
      <c r="B49884"/>
      <c r="C49884"/>
      <c r="E49884"/>
      <c r="F49884"/>
    </row>
    <row r="49885" spans="1:6" x14ac:dyDescent="0.25">
      <c r="A49885"/>
      <c r="B49885"/>
      <c r="C49885"/>
      <c r="E49885"/>
      <c r="F49885"/>
    </row>
    <row r="49886" spans="1:6" x14ac:dyDescent="0.25">
      <c r="A49886"/>
      <c r="B49886"/>
      <c r="C49886"/>
      <c r="E49886"/>
      <c r="F49886"/>
    </row>
    <row r="49887" spans="1:6" x14ac:dyDescent="0.25">
      <c r="A49887"/>
      <c r="B49887"/>
      <c r="C49887"/>
      <c r="E49887"/>
      <c r="F49887"/>
    </row>
    <row r="49888" spans="1:6" x14ac:dyDescent="0.25">
      <c r="A49888"/>
      <c r="B49888"/>
      <c r="C49888"/>
      <c r="E49888"/>
      <c r="F49888"/>
    </row>
    <row r="49889" spans="1:6" x14ac:dyDescent="0.25">
      <c r="A49889"/>
      <c r="B49889"/>
      <c r="C49889"/>
      <c r="E49889"/>
      <c r="F49889"/>
    </row>
    <row r="49890" spans="1:6" x14ac:dyDescent="0.25">
      <c r="A49890"/>
      <c r="B49890"/>
      <c r="C49890"/>
      <c r="E49890"/>
      <c r="F49890"/>
    </row>
    <row r="49891" spans="1:6" x14ac:dyDescent="0.25">
      <c r="A49891"/>
      <c r="B49891"/>
      <c r="C49891"/>
      <c r="E49891"/>
      <c r="F49891"/>
    </row>
    <row r="49892" spans="1:6" x14ac:dyDescent="0.25">
      <c r="A49892"/>
      <c r="B49892"/>
      <c r="C49892"/>
      <c r="E49892"/>
      <c r="F49892"/>
    </row>
    <row r="49893" spans="1:6" x14ac:dyDescent="0.25">
      <c r="A49893"/>
      <c r="B49893"/>
      <c r="C49893"/>
      <c r="E49893"/>
      <c r="F49893"/>
    </row>
    <row r="49894" spans="1:6" x14ac:dyDescent="0.25">
      <c r="A49894"/>
      <c r="B49894"/>
      <c r="C49894"/>
      <c r="E49894"/>
      <c r="F49894"/>
    </row>
    <row r="49895" spans="1:6" x14ac:dyDescent="0.25">
      <c r="A49895"/>
      <c r="B49895"/>
      <c r="C49895"/>
      <c r="E49895"/>
      <c r="F49895"/>
    </row>
    <row r="49896" spans="1:6" x14ac:dyDescent="0.25">
      <c r="A49896"/>
      <c r="B49896"/>
      <c r="C49896"/>
      <c r="E49896"/>
      <c r="F49896"/>
    </row>
    <row r="49897" spans="1:6" x14ac:dyDescent="0.25">
      <c r="A49897"/>
      <c r="B49897"/>
      <c r="C49897"/>
      <c r="E49897"/>
      <c r="F49897"/>
    </row>
    <row r="49898" spans="1:6" x14ac:dyDescent="0.25">
      <c r="A49898"/>
      <c r="B49898"/>
      <c r="C49898"/>
      <c r="E49898"/>
      <c r="F49898"/>
    </row>
    <row r="49899" spans="1:6" x14ac:dyDescent="0.25">
      <c r="A49899"/>
      <c r="B49899"/>
      <c r="C49899"/>
      <c r="E49899"/>
      <c r="F49899"/>
    </row>
    <row r="49900" spans="1:6" x14ac:dyDescent="0.25">
      <c r="A49900"/>
      <c r="B49900"/>
      <c r="C49900"/>
      <c r="E49900"/>
      <c r="F49900"/>
    </row>
    <row r="49901" spans="1:6" x14ac:dyDescent="0.25">
      <c r="A49901"/>
      <c r="B49901"/>
      <c r="C49901"/>
      <c r="E49901"/>
      <c r="F49901"/>
    </row>
    <row r="49902" spans="1:6" x14ac:dyDescent="0.25">
      <c r="A49902"/>
      <c r="B49902"/>
      <c r="C49902"/>
      <c r="E49902"/>
      <c r="F49902"/>
    </row>
    <row r="49903" spans="1:6" x14ac:dyDescent="0.25">
      <c r="A49903"/>
      <c r="B49903"/>
      <c r="C49903"/>
      <c r="E49903"/>
      <c r="F49903"/>
    </row>
    <row r="49904" spans="1:6" x14ac:dyDescent="0.25">
      <c r="A49904"/>
      <c r="B49904"/>
      <c r="C49904"/>
      <c r="E49904"/>
      <c r="F49904"/>
    </row>
    <row r="49905" spans="1:6" x14ac:dyDescent="0.25">
      <c r="A49905"/>
      <c r="B49905"/>
      <c r="C49905"/>
      <c r="E49905"/>
      <c r="F49905"/>
    </row>
    <row r="49906" spans="1:6" x14ac:dyDescent="0.25">
      <c r="A49906"/>
      <c r="B49906"/>
      <c r="C49906"/>
      <c r="E49906"/>
      <c r="F49906"/>
    </row>
    <row r="49907" spans="1:6" x14ac:dyDescent="0.25">
      <c r="A49907"/>
      <c r="B49907"/>
      <c r="C49907"/>
      <c r="E49907"/>
      <c r="F49907"/>
    </row>
    <row r="49908" spans="1:6" x14ac:dyDescent="0.25">
      <c r="A49908"/>
      <c r="B49908"/>
      <c r="C49908"/>
      <c r="E49908"/>
      <c r="F49908"/>
    </row>
    <row r="49909" spans="1:6" x14ac:dyDescent="0.25">
      <c r="A49909"/>
      <c r="B49909"/>
      <c r="C49909"/>
      <c r="E49909"/>
      <c r="F49909"/>
    </row>
    <row r="49910" spans="1:6" x14ac:dyDescent="0.25">
      <c r="A49910"/>
      <c r="B49910"/>
      <c r="C49910"/>
      <c r="E49910"/>
      <c r="F49910"/>
    </row>
    <row r="49911" spans="1:6" x14ac:dyDescent="0.25">
      <c r="A49911"/>
      <c r="B49911"/>
      <c r="C49911"/>
      <c r="E49911"/>
      <c r="F49911"/>
    </row>
    <row r="49912" spans="1:6" x14ac:dyDescent="0.25">
      <c r="A49912"/>
      <c r="B49912"/>
      <c r="C49912"/>
      <c r="E49912"/>
      <c r="F49912"/>
    </row>
    <row r="49913" spans="1:6" x14ac:dyDescent="0.25">
      <c r="A49913"/>
      <c r="B49913"/>
      <c r="C49913"/>
      <c r="E49913"/>
      <c r="F49913"/>
    </row>
    <row r="49914" spans="1:6" x14ac:dyDescent="0.25">
      <c r="A49914"/>
      <c r="B49914"/>
      <c r="C49914"/>
      <c r="E49914"/>
      <c r="F49914"/>
    </row>
    <row r="49915" spans="1:6" x14ac:dyDescent="0.25">
      <c r="A49915"/>
      <c r="B49915"/>
      <c r="C49915"/>
      <c r="E49915"/>
      <c r="F49915"/>
    </row>
    <row r="49916" spans="1:6" x14ac:dyDescent="0.25">
      <c r="A49916"/>
      <c r="B49916"/>
      <c r="C49916"/>
      <c r="E49916"/>
      <c r="F49916"/>
    </row>
    <row r="49917" spans="1:6" x14ac:dyDescent="0.25">
      <c r="A49917"/>
      <c r="B49917"/>
      <c r="C49917"/>
      <c r="E49917"/>
      <c r="F49917"/>
    </row>
    <row r="49918" spans="1:6" x14ac:dyDescent="0.25">
      <c r="A49918"/>
      <c r="B49918"/>
      <c r="C49918"/>
      <c r="E49918"/>
      <c r="F49918"/>
    </row>
    <row r="49919" spans="1:6" x14ac:dyDescent="0.25">
      <c r="A49919"/>
      <c r="B49919"/>
      <c r="C49919"/>
      <c r="E49919"/>
      <c r="F49919"/>
    </row>
    <row r="49920" spans="1:6" x14ac:dyDescent="0.25">
      <c r="A49920"/>
      <c r="B49920"/>
      <c r="C49920"/>
      <c r="E49920"/>
      <c r="F49920"/>
    </row>
    <row r="49921" spans="1:6" x14ac:dyDescent="0.25">
      <c r="A49921"/>
      <c r="B49921"/>
      <c r="C49921"/>
      <c r="E49921"/>
      <c r="F49921"/>
    </row>
    <row r="49922" spans="1:6" x14ac:dyDescent="0.25">
      <c r="A49922"/>
      <c r="B49922"/>
      <c r="C49922"/>
      <c r="E49922"/>
      <c r="F49922"/>
    </row>
    <row r="49923" spans="1:6" x14ac:dyDescent="0.25">
      <c r="A49923"/>
      <c r="B49923"/>
      <c r="C49923"/>
      <c r="E49923"/>
      <c r="F49923"/>
    </row>
    <row r="49924" spans="1:6" x14ac:dyDescent="0.25">
      <c r="A49924"/>
      <c r="B49924"/>
      <c r="C49924"/>
      <c r="E49924"/>
      <c r="F49924"/>
    </row>
    <row r="49925" spans="1:6" x14ac:dyDescent="0.25">
      <c r="A49925"/>
      <c r="B49925"/>
      <c r="C49925"/>
      <c r="E49925"/>
      <c r="F49925"/>
    </row>
    <row r="49926" spans="1:6" x14ac:dyDescent="0.25">
      <c r="A49926"/>
      <c r="B49926"/>
      <c r="C49926"/>
      <c r="E49926"/>
      <c r="F49926"/>
    </row>
    <row r="49927" spans="1:6" x14ac:dyDescent="0.25">
      <c r="A49927"/>
      <c r="B49927"/>
      <c r="C49927"/>
      <c r="E49927"/>
      <c r="F49927"/>
    </row>
    <row r="49928" spans="1:6" x14ac:dyDescent="0.25">
      <c r="A49928"/>
      <c r="B49928"/>
      <c r="C49928"/>
      <c r="E49928"/>
      <c r="F49928"/>
    </row>
    <row r="49929" spans="1:6" x14ac:dyDescent="0.25">
      <c r="A49929"/>
      <c r="B49929"/>
      <c r="C49929"/>
      <c r="E49929"/>
      <c r="F49929"/>
    </row>
    <row r="49930" spans="1:6" x14ac:dyDescent="0.25">
      <c r="A49930"/>
      <c r="B49930"/>
      <c r="C49930"/>
      <c r="E49930"/>
      <c r="F49930"/>
    </row>
    <row r="49931" spans="1:6" x14ac:dyDescent="0.25">
      <c r="A49931"/>
      <c r="B49931"/>
      <c r="C49931"/>
      <c r="E49931"/>
      <c r="F49931"/>
    </row>
    <row r="49932" spans="1:6" x14ac:dyDescent="0.25">
      <c r="A49932"/>
      <c r="B49932"/>
      <c r="C49932"/>
      <c r="E49932"/>
      <c r="F49932"/>
    </row>
    <row r="49933" spans="1:6" x14ac:dyDescent="0.25">
      <c r="A49933"/>
      <c r="B49933"/>
      <c r="C49933"/>
      <c r="E49933"/>
      <c r="F49933"/>
    </row>
    <row r="49934" spans="1:6" x14ac:dyDescent="0.25">
      <c r="A49934"/>
      <c r="B49934"/>
      <c r="C49934"/>
      <c r="E49934"/>
      <c r="F49934"/>
    </row>
    <row r="49935" spans="1:6" x14ac:dyDescent="0.25">
      <c r="A49935"/>
      <c r="B49935"/>
      <c r="C49935"/>
      <c r="E49935"/>
      <c r="F49935"/>
    </row>
    <row r="49936" spans="1:6" x14ac:dyDescent="0.25">
      <c r="A49936"/>
      <c r="B49936"/>
      <c r="C49936"/>
      <c r="E49936"/>
      <c r="F49936"/>
    </row>
    <row r="49937" spans="1:6" x14ac:dyDescent="0.25">
      <c r="A49937"/>
      <c r="B49937"/>
      <c r="C49937"/>
      <c r="E49937"/>
      <c r="F49937"/>
    </row>
    <row r="49938" spans="1:6" x14ac:dyDescent="0.25">
      <c r="A49938"/>
      <c r="B49938"/>
      <c r="C49938"/>
      <c r="E49938"/>
      <c r="F49938"/>
    </row>
    <row r="49939" spans="1:6" x14ac:dyDescent="0.25">
      <c r="A49939"/>
      <c r="B49939"/>
      <c r="C49939"/>
      <c r="E49939"/>
      <c r="F49939"/>
    </row>
    <row r="49940" spans="1:6" x14ac:dyDescent="0.25">
      <c r="A49940"/>
      <c r="B49940"/>
      <c r="C49940"/>
      <c r="E49940"/>
      <c r="F49940"/>
    </row>
    <row r="49941" spans="1:6" x14ac:dyDescent="0.25">
      <c r="A49941"/>
      <c r="B49941"/>
      <c r="C49941"/>
      <c r="E49941"/>
      <c r="F49941"/>
    </row>
    <row r="49942" spans="1:6" x14ac:dyDescent="0.25">
      <c r="A49942"/>
      <c r="B49942"/>
      <c r="C49942"/>
      <c r="E49942"/>
      <c r="F49942"/>
    </row>
    <row r="49943" spans="1:6" x14ac:dyDescent="0.25">
      <c r="A49943"/>
      <c r="B49943"/>
      <c r="C49943"/>
      <c r="E49943"/>
      <c r="F49943"/>
    </row>
    <row r="49944" spans="1:6" x14ac:dyDescent="0.25">
      <c r="A49944"/>
      <c r="B49944"/>
      <c r="C49944"/>
      <c r="E49944"/>
      <c r="F49944"/>
    </row>
    <row r="49945" spans="1:6" x14ac:dyDescent="0.25">
      <c r="A49945"/>
      <c r="B49945"/>
      <c r="C49945"/>
      <c r="E49945"/>
      <c r="F49945"/>
    </row>
    <row r="49946" spans="1:6" x14ac:dyDescent="0.25">
      <c r="A49946"/>
      <c r="B49946"/>
      <c r="C49946"/>
      <c r="E49946"/>
      <c r="F49946"/>
    </row>
    <row r="49947" spans="1:6" x14ac:dyDescent="0.25">
      <c r="A49947"/>
      <c r="B49947"/>
      <c r="C49947"/>
      <c r="E49947"/>
      <c r="F49947"/>
    </row>
    <row r="49948" spans="1:6" x14ac:dyDescent="0.25">
      <c r="A49948"/>
      <c r="B49948"/>
      <c r="C49948"/>
      <c r="E49948"/>
      <c r="F49948"/>
    </row>
    <row r="49949" spans="1:6" x14ac:dyDescent="0.25">
      <c r="A49949"/>
      <c r="B49949"/>
      <c r="C49949"/>
      <c r="E49949"/>
      <c r="F49949"/>
    </row>
    <row r="49950" spans="1:6" x14ac:dyDescent="0.25">
      <c r="A49950"/>
      <c r="B49950"/>
      <c r="C49950"/>
      <c r="E49950"/>
      <c r="F49950"/>
    </row>
    <row r="49951" spans="1:6" x14ac:dyDescent="0.25">
      <c r="A49951"/>
      <c r="B49951"/>
      <c r="C49951"/>
      <c r="E49951"/>
      <c r="F49951"/>
    </row>
    <row r="49952" spans="1:6" x14ac:dyDescent="0.25">
      <c r="A49952"/>
      <c r="B49952"/>
      <c r="C49952"/>
      <c r="E49952"/>
      <c r="F49952"/>
    </row>
    <row r="49953" spans="1:6" x14ac:dyDescent="0.25">
      <c r="A49953"/>
      <c r="B49953"/>
      <c r="C49953"/>
      <c r="E49953"/>
      <c r="F49953"/>
    </row>
    <row r="49954" spans="1:6" x14ac:dyDescent="0.25">
      <c r="A49954"/>
      <c r="B49954"/>
      <c r="C49954"/>
      <c r="E49954"/>
      <c r="F49954"/>
    </row>
    <row r="49955" spans="1:6" x14ac:dyDescent="0.25">
      <c r="A49955"/>
      <c r="B49955"/>
      <c r="C49955"/>
      <c r="E49955"/>
      <c r="F49955"/>
    </row>
    <row r="49956" spans="1:6" x14ac:dyDescent="0.25">
      <c r="A49956"/>
      <c r="B49956"/>
      <c r="C49956"/>
      <c r="E49956"/>
      <c r="F49956"/>
    </row>
    <row r="49957" spans="1:6" x14ac:dyDescent="0.25">
      <c r="A49957"/>
      <c r="B49957"/>
      <c r="C49957"/>
      <c r="E49957"/>
      <c r="F49957"/>
    </row>
    <row r="49958" spans="1:6" x14ac:dyDescent="0.25">
      <c r="A49958"/>
      <c r="B49958"/>
      <c r="C49958"/>
      <c r="E49958"/>
      <c r="F49958"/>
    </row>
    <row r="49959" spans="1:6" x14ac:dyDescent="0.25">
      <c r="A49959"/>
      <c r="B49959"/>
      <c r="C49959"/>
      <c r="E49959"/>
      <c r="F49959"/>
    </row>
    <row r="49960" spans="1:6" x14ac:dyDescent="0.25">
      <c r="A49960"/>
      <c r="B49960"/>
      <c r="C49960"/>
      <c r="E49960"/>
      <c r="F49960"/>
    </row>
    <row r="49961" spans="1:6" x14ac:dyDescent="0.25">
      <c r="A49961"/>
      <c r="B49961"/>
      <c r="C49961"/>
      <c r="E49961"/>
      <c r="F49961"/>
    </row>
    <row r="49962" spans="1:6" x14ac:dyDescent="0.25">
      <c r="A49962"/>
      <c r="B49962"/>
      <c r="C49962"/>
      <c r="E49962"/>
      <c r="F49962"/>
    </row>
    <row r="49963" spans="1:6" x14ac:dyDescent="0.25">
      <c r="A49963"/>
      <c r="B49963"/>
      <c r="C49963"/>
      <c r="E49963"/>
      <c r="F49963"/>
    </row>
    <row r="49964" spans="1:6" x14ac:dyDescent="0.25">
      <c r="A49964"/>
      <c r="B49964"/>
      <c r="C49964"/>
      <c r="E49964"/>
      <c r="F49964"/>
    </row>
    <row r="49965" spans="1:6" x14ac:dyDescent="0.25">
      <c r="A49965"/>
      <c r="B49965"/>
      <c r="C49965"/>
      <c r="E49965"/>
      <c r="F49965"/>
    </row>
    <row r="49966" spans="1:6" x14ac:dyDescent="0.25">
      <c r="A49966"/>
      <c r="B49966"/>
      <c r="C49966"/>
      <c r="E49966"/>
      <c r="F49966"/>
    </row>
    <row r="49967" spans="1:6" x14ac:dyDescent="0.25">
      <c r="A49967"/>
      <c r="B49967"/>
      <c r="C49967"/>
      <c r="E49967"/>
      <c r="F49967"/>
    </row>
    <row r="49968" spans="1:6" x14ac:dyDescent="0.25">
      <c r="A49968"/>
      <c r="B49968"/>
      <c r="C49968"/>
      <c r="E49968"/>
      <c r="F49968"/>
    </row>
    <row r="49969" spans="1:6" x14ac:dyDescent="0.25">
      <c r="A49969"/>
      <c r="B49969"/>
      <c r="C49969"/>
      <c r="E49969"/>
      <c r="F49969"/>
    </row>
    <row r="49970" spans="1:6" x14ac:dyDescent="0.25">
      <c r="A49970"/>
      <c r="B49970"/>
      <c r="C49970"/>
      <c r="E49970"/>
      <c r="F49970"/>
    </row>
    <row r="49971" spans="1:6" x14ac:dyDescent="0.25">
      <c r="A49971"/>
      <c r="B49971"/>
      <c r="C49971"/>
      <c r="E49971"/>
      <c r="F49971"/>
    </row>
    <row r="49972" spans="1:6" x14ac:dyDescent="0.25">
      <c r="A49972"/>
      <c r="B49972"/>
      <c r="C49972"/>
      <c r="E49972"/>
      <c r="F49972"/>
    </row>
    <row r="49973" spans="1:6" x14ac:dyDescent="0.25">
      <c r="A49973"/>
      <c r="B49973"/>
      <c r="C49973"/>
      <c r="E49973"/>
      <c r="F49973"/>
    </row>
    <row r="49974" spans="1:6" x14ac:dyDescent="0.25">
      <c r="A49974"/>
      <c r="B49974"/>
      <c r="C49974"/>
      <c r="E49974"/>
      <c r="F49974"/>
    </row>
    <row r="49975" spans="1:6" x14ac:dyDescent="0.25">
      <c r="A49975"/>
      <c r="B49975"/>
      <c r="C49975"/>
      <c r="E49975"/>
      <c r="F49975"/>
    </row>
    <row r="49976" spans="1:6" x14ac:dyDescent="0.25">
      <c r="A49976"/>
      <c r="B49976"/>
      <c r="C49976"/>
      <c r="E49976"/>
      <c r="F49976"/>
    </row>
    <row r="49977" spans="1:6" x14ac:dyDescent="0.25">
      <c r="A49977"/>
      <c r="B49977"/>
      <c r="C49977"/>
      <c r="E49977"/>
      <c r="F49977"/>
    </row>
    <row r="49978" spans="1:6" x14ac:dyDescent="0.25">
      <c r="A49978"/>
      <c r="B49978"/>
      <c r="C49978"/>
      <c r="E49978"/>
      <c r="F49978"/>
    </row>
    <row r="49979" spans="1:6" x14ac:dyDescent="0.25">
      <c r="A49979"/>
      <c r="B49979"/>
      <c r="C49979"/>
      <c r="E49979"/>
      <c r="F49979"/>
    </row>
    <row r="49980" spans="1:6" x14ac:dyDescent="0.25">
      <c r="A49980"/>
      <c r="B49980"/>
      <c r="C49980"/>
      <c r="E49980"/>
      <c r="F49980"/>
    </row>
    <row r="49981" spans="1:6" x14ac:dyDescent="0.25">
      <c r="A49981"/>
      <c r="B49981"/>
      <c r="C49981"/>
      <c r="E49981"/>
      <c r="F49981"/>
    </row>
    <row r="49982" spans="1:6" x14ac:dyDescent="0.25">
      <c r="A49982"/>
      <c r="B49982"/>
      <c r="C49982"/>
      <c r="E49982"/>
      <c r="F49982"/>
    </row>
    <row r="49983" spans="1:6" x14ac:dyDescent="0.25">
      <c r="A49983"/>
      <c r="B49983"/>
      <c r="C49983"/>
      <c r="E49983"/>
      <c r="F49983"/>
    </row>
    <row r="49984" spans="1:6" x14ac:dyDescent="0.25">
      <c r="A49984"/>
      <c r="B49984"/>
      <c r="C49984"/>
      <c r="E49984"/>
      <c r="F49984"/>
    </row>
    <row r="49985" spans="1:6" x14ac:dyDescent="0.25">
      <c r="A49985"/>
      <c r="B49985"/>
      <c r="C49985"/>
      <c r="E49985"/>
      <c r="F49985"/>
    </row>
    <row r="49986" spans="1:6" x14ac:dyDescent="0.25">
      <c r="A49986"/>
      <c r="B49986"/>
      <c r="C49986"/>
      <c r="E49986"/>
      <c r="F49986"/>
    </row>
    <row r="49987" spans="1:6" x14ac:dyDescent="0.25">
      <c r="A49987"/>
      <c r="B49987"/>
      <c r="C49987"/>
      <c r="E49987"/>
      <c r="F49987"/>
    </row>
    <row r="49988" spans="1:6" x14ac:dyDescent="0.25">
      <c r="A49988"/>
      <c r="B49988"/>
      <c r="C49988"/>
      <c r="E49988"/>
      <c r="F49988"/>
    </row>
    <row r="49989" spans="1:6" x14ac:dyDescent="0.25">
      <c r="A49989"/>
      <c r="B49989"/>
      <c r="C49989"/>
      <c r="E49989"/>
      <c r="F49989"/>
    </row>
    <row r="49990" spans="1:6" x14ac:dyDescent="0.25">
      <c r="A49990"/>
      <c r="B49990"/>
      <c r="C49990"/>
      <c r="E49990"/>
      <c r="F49990"/>
    </row>
    <row r="49991" spans="1:6" x14ac:dyDescent="0.25">
      <c r="A49991"/>
      <c r="B49991"/>
      <c r="C49991"/>
      <c r="E49991"/>
      <c r="F49991"/>
    </row>
    <row r="49992" spans="1:6" x14ac:dyDescent="0.25">
      <c r="A49992"/>
      <c r="B49992"/>
      <c r="C49992"/>
      <c r="E49992"/>
      <c r="F49992"/>
    </row>
    <row r="49993" spans="1:6" x14ac:dyDescent="0.25">
      <c r="A49993"/>
      <c r="B49993"/>
      <c r="C49993"/>
      <c r="E49993"/>
      <c r="F49993"/>
    </row>
    <row r="49994" spans="1:6" x14ac:dyDescent="0.25">
      <c r="A49994"/>
      <c r="B49994"/>
      <c r="C49994"/>
      <c r="E49994"/>
      <c r="F49994"/>
    </row>
    <row r="49995" spans="1:6" x14ac:dyDescent="0.25">
      <c r="A49995"/>
      <c r="B49995"/>
      <c r="C49995"/>
      <c r="E49995"/>
      <c r="F49995"/>
    </row>
    <row r="49996" spans="1:6" x14ac:dyDescent="0.25">
      <c r="A49996"/>
      <c r="B49996"/>
      <c r="C49996"/>
      <c r="E49996"/>
      <c r="F49996"/>
    </row>
    <row r="49997" spans="1:6" x14ac:dyDescent="0.25">
      <c r="A49997"/>
      <c r="B49997"/>
      <c r="C49997"/>
      <c r="E49997"/>
      <c r="F49997"/>
    </row>
    <row r="49998" spans="1:6" x14ac:dyDescent="0.25">
      <c r="A49998"/>
      <c r="B49998"/>
      <c r="C49998"/>
      <c r="E49998"/>
      <c r="F49998"/>
    </row>
    <row r="49999" spans="1:6" x14ac:dyDescent="0.25">
      <c r="A49999"/>
      <c r="B49999"/>
      <c r="C49999"/>
      <c r="E49999"/>
      <c r="F49999"/>
    </row>
    <row r="50000" spans="1:6" x14ac:dyDescent="0.25">
      <c r="A50000"/>
      <c r="B50000"/>
      <c r="C50000"/>
      <c r="E50000"/>
      <c r="F50000"/>
    </row>
    <row r="50001" spans="1:6" x14ac:dyDescent="0.25">
      <c r="A50001"/>
      <c r="B50001"/>
      <c r="C50001"/>
      <c r="E50001"/>
      <c r="F50001"/>
    </row>
    <row r="50002" spans="1:6" x14ac:dyDescent="0.25">
      <c r="A50002"/>
      <c r="B50002"/>
      <c r="C50002"/>
      <c r="E50002"/>
      <c r="F50002"/>
    </row>
    <row r="50003" spans="1:6" x14ac:dyDescent="0.25">
      <c r="A50003"/>
      <c r="B50003"/>
      <c r="C50003"/>
      <c r="E50003"/>
      <c r="F50003"/>
    </row>
    <row r="50004" spans="1:6" x14ac:dyDescent="0.25">
      <c r="A50004"/>
      <c r="B50004"/>
      <c r="C50004"/>
      <c r="E50004"/>
      <c r="F50004"/>
    </row>
    <row r="50005" spans="1:6" x14ac:dyDescent="0.25">
      <c r="A50005"/>
      <c r="B50005"/>
      <c r="C50005"/>
      <c r="E50005"/>
      <c r="F50005"/>
    </row>
    <row r="50006" spans="1:6" x14ac:dyDescent="0.25">
      <c r="A50006"/>
      <c r="B50006"/>
      <c r="C50006"/>
      <c r="E50006"/>
      <c r="F50006"/>
    </row>
    <row r="50007" spans="1:6" x14ac:dyDescent="0.25">
      <c r="A50007"/>
      <c r="B50007"/>
      <c r="C50007"/>
      <c r="E50007"/>
      <c r="F50007"/>
    </row>
    <row r="50008" spans="1:6" x14ac:dyDescent="0.25">
      <c r="A50008"/>
      <c r="B50008"/>
      <c r="C50008"/>
      <c r="E50008"/>
      <c r="F50008"/>
    </row>
    <row r="50009" spans="1:6" x14ac:dyDescent="0.25">
      <c r="A50009"/>
      <c r="B50009"/>
      <c r="C50009"/>
      <c r="E50009"/>
      <c r="F50009"/>
    </row>
    <row r="50010" spans="1:6" x14ac:dyDescent="0.25">
      <c r="A50010"/>
      <c r="B50010"/>
      <c r="C50010"/>
      <c r="E50010"/>
      <c r="F50010"/>
    </row>
    <row r="50011" spans="1:6" x14ac:dyDescent="0.25">
      <c r="A50011"/>
      <c r="B50011"/>
      <c r="C50011"/>
      <c r="E50011"/>
      <c r="F50011"/>
    </row>
    <row r="50012" spans="1:6" x14ac:dyDescent="0.25">
      <c r="A50012"/>
      <c r="B50012"/>
      <c r="C50012"/>
      <c r="E50012"/>
      <c r="F50012"/>
    </row>
    <row r="50013" spans="1:6" x14ac:dyDescent="0.25">
      <c r="A50013"/>
      <c r="B50013"/>
      <c r="C50013"/>
      <c r="E50013"/>
      <c r="F50013"/>
    </row>
    <row r="50014" spans="1:6" x14ac:dyDescent="0.25">
      <c r="A50014"/>
      <c r="B50014"/>
      <c r="C50014"/>
      <c r="E50014"/>
      <c r="F50014"/>
    </row>
    <row r="50015" spans="1:6" x14ac:dyDescent="0.25">
      <c r="A50015"/>
      <c r="B50015"/>
      <c r="C50015"/>
      <c r="E50015"/>
      <c r="F50015"/>
    </row>
    <row r="50016" spans="1:6" x14ac:dyDescent="0.25">
      <c r="A50016"/>
      <c r="B50016"/>
      <c r="C50016"/>
      <c r="E50016"/>
      <c r="F50016"/>
    </row>
    <row r="50017" spans="1:6" x14ac:dyDescent="0.25">
      <c r="A50017"/>
      <c r="B50017"/>
      <c r="C50017"/>
      <c r="E50017"/>
      <c r="F50017"/>
    </row>
    <row r="50018" spans="1:6" x14ac:dyDescent="0.25">
      <c r="A50018"/>
      <c r="B50018"/>
      <c r="C50018"/>
      <c r="E50018"/>
      <c r="F50018"/>
    </row>
    <row r="50019" spans="1:6" x14ac:dyDescent="0.25">
      <c r="A50019"/>
      <c r="B50019"/>
      <c r="C50019"/>
      <c r="E50019"/>
      <c r="F50019"/>
    </row>
    <row r="50020" spans="1:6" x14ac:dyDescent="0.25">
      <c r="A50020"/>
      <c r="B50020"/>
      <c r="C50020"/>
      <c r="E50020"/>
      <c r="F50020"/>
    </row>
    <row r="50021" spans="1:6" x14ac:dyDescent="0.25">
      <c r="A50021"/>
      <c r="B50021"/>
      <c r="C50021"/>
      <c r="E50021"/>
      <c r="F50021"/>
    </row>
    <row r="50022" spans="1:6" x14ac:dyDescent="0.25">
      <c r="A50022"/>
      <c r="B50022"/>
      <c r="C50022"/>
      <c r="E50022"/>
      <c r="F50022"/>
    </row>
    <row r="50023" spans="1:6" x14ac:dyDescent="0.25">
      <c r="A50023"/>
      <c r="B50023"/>
      <c r="C50023"/>
      <c r="E50023"/>
      <c r="F50023"/>
    </row>
    <row r="50024" spans="1:6" x14ac:dyDescent="0.25">
      <c r="A50024"/>
      <c r="B50024"/>
      <c r="C50024"/>
      <c r="E50024"/>
      <c r="F50024"/>
    </row>
    <row r="50025" spans="1:6" x14ac:dyDescent="0.25">
      <c r="A50025"/>
      <c r="B50025"/>
      <c r="C50025"/>
      <c r="E50025"/>
      <c r="F50025"/>
    </row>
    <row r="50026" spans="1:6" x14ac:dyDescent="0.25">
      <c r="A50026"/>
      <c r="B50026"/>
      <c r="C50026"/>
      <c r="E50026"/>
      <c r="F50026"/>
    </row>
    <row r="50027" spans="1:6" x14ac:dyDescent="0.25">
      <c r="A50027"/>
      <c r="B50027"/>
      <c r="C50027"/>
      <c r="E50027"/>
      <c r="F50027"/>
    </row>
    <row r="50028" spans="1:6" x14ac:dyDescent="0.25">
      <c r="A50028"/>
      <c r="B50028"/>
      <c r="C50028"/>
      <c r="E50028"/>
      <c r="F50028"/>
    </row>
    <row r="50029" spans="1:6" x14ac:dyDescent="0.25">
      <c r="A50029"/>
      <c r="B50029"/>
      <c r="C50029"/>
      <c r="E50029"/>
      <c r="F50029"/>
    </row>
    <row r="50030" spans="1:6" x14ac:dyDescent="0.25">
      <c r="A50030"/>
      <c r="B50030"/>
      <c r="C50030"/>
      <c r="E50030"/>
      <c r="F50030"/>
    </row>
    <row r="50031" spans="1:6" x14ac:dyDescent="0.25">
      <c r="A50031"/>
      <c r="B50031"/>
      <c r="C50031"/>
      <c r="E50031"/>
      <c r="F50031"/>
    </row>
    <row r="50032" spans="1:6" x14ac:dyDescent="0.25">
      <c r="A50032"/>
      <c r="B50032"/>
      <c r="C50032"/>
      <c r="E50032"/>
      <c r="F50032"/>
    </row>
    <row r="50033" spans="1:6" x14ac:dyDescent="0.25">
      <c r="A50033"/>
      <c r="B50033"/>
      <c r="C50033"/>
      <c r="E50033"/>
      <c r="F50033"/>
    </row>
    <row r="50034" spans="1:6" x14ac:dyDescent="0.25">
      <c r="A50034"/>
      <c r="B50034"/>
      <c r="C50034"/>
      <c r="E50034"/>
      <c r="F50034"/>
    </row>
    <row r="50035" spans="1:6" x14ac:dyDescent="0.25">
      <c r="A50035"/>
      <c r="B50035"/>
      <c r="C50035"/>
      <c r="E50035"/>
      <c r="F50035"/>
    </row>
    <row r="50036" spans="1:6" x14ac:dyDescent="0.25">
      <c r="A50036"/>
      <c r="B50036"/>
      <c r="C50036"/>
      <c r="E50036"/>
      <c r="F50036"/>
    </row>
    <row r="50037" spans="1:6" x14ac:dyDescent="0.25">
      <c r="A50037"/>
      <c r="B50037"/>
      <c r="C50037"/>
      <c r="E50037"/>
      <c r="F50037"/>
    </row>
    <row r="50038" spans="1:6" x14ac:dyDescent="0.25">
      <c r="A50038"/>
      <c r="B50038"/>
      <c r="C50038"/>
      <c r="E50038"/>
      <c r="F50038"/>
    </row>
    <row r="50039" spans="1:6" x14ac:dyDescent="0.25">
      <c r="A50039"/>
      <c r="B50039"/>
      <c r="C50039"/>
      <c r="E50039"/>
      <c r="F50039"/>
    </row>
    <row r="50040" spans="1:6" x14ac:dyDescent="0.25">
      <c r="A50040"/>
      <c r="B50040"/>
      <c r="C50040"/>
      <c r="E50040"/>
      <c r="F50040"/>
    </row>
    <row r="50041" spans="1:6" x14ac:dyDescent="0.25">
      <c r="A50041"/>
      <c r="B50041"/>
      <c r="C50041"/>
      <c r="E50041"/>
      <c r="F50041"/>
    </row>
    <row r="50042" spans="1:6" x14ac:dyDescent="0.25">
      <c r="A50042"/>
      <c r="B50042"/>
      <c r="C50042"/>
      <c r="E50042"/>
      <c r="F50042"/>
    </row>
    <row r="50043" spans="1:6" x14ac:dyDescent="0.25">
      <c r="A50043"/>
      <c r="B50043"/>
      <c r="C50043"/>
      <c r="E50043"/>
      <c r="F50043"/>
    </row>
    <row r="50044" spans="1:6" x14ac:dyDescent="0.25">
      <c r="A50044"/>
      <c r="B50044"/>
      <c r="C50044"/>
      <c r="E50044"/>
      <c r="F50044"/>
    </row>
    <row r="50045" spans="1:6" x14ac:dyDescent="0.25">
      <c r="A50045"/>
      <c r="B50045"/>
      <c r="C50045"/>
      <c r="E50045"/>
      <c r="F50045"/>
    </row>
    <row r="50046" spans="1:6" x14ac:dyDescent="0.25">
      <c r="A50046"/>
      <c r="B50046"/>
      <c r="C50046"/>
      <c r="E50046"/>
      <c r="F50046"/>
    </row>
    <row r="50047" spans="1:6" x14ac:dyDescent="0.25">
      <c r="A50047"/>
      <c r="B50047"/>
      <c r="C50047"/>
      <c r="E50047"/>
      <c r="F50047"/>
    </row>
    <row r="50048" spans="1:6" x14ac:dyDescent="0.25">
      <c r="A50048"/>
      <c r="B50048"/>
      <c r="C50048"/>
      <c r="E50048"/>
      <c r="F50048"/>
    </row>
    <row r="50049" spans="1:6" x14ac:dyDescent="0.25">
      <c r="A50049"/>
      <c r="B50049"/>
      <c r="C50049"/>
      <c r="E50049"/>
      <c r="F50049"/>
    </row>
    <row r="50050" spans="1:6" x14ac:dyDescent="0.25">
      <c r="A50050"/>
      <c r="B50050"/>
      <c r="C50050"/>
      <c r="E50050"/>
      <c r="F50050"/>
    </row>
    <row r="50051" spans="1:6" x14ac:dyDescent="0.25">
      <c r="A50051"/>
      <c r="B50051"/>
      <c r="C50051"/>
      <c r="E50051"/>
      <c r="F50051"/>
    </row>
    <row r="50052" spans="1:6" x14ac:dyDescent="0.25">
      <c r="A50052"/>
      <c r="B50052"/>
      <c r="C50052"/>
      <c r="E50052"/>
      <c r="F50052"/>
    </row>
    <row r="50053" spans="1:6" x14ac:dyDescent="0.25">
      <c r="A50053"/>
      <c r="B50053"/>
      <c r="C50053"/>
      <c r="E50053"/>
      <c r="F50053"/>
    </row>
    <row r="50054" spans="1:6" x14ac:dyDescent="0.25">
      <c r="A50054"/>
      <c r="B50054"/>
      <c r="C50054"/>
      <c r="E50054"/>
      <c r="F50054"/>
    </row>
    <row r="50055" spans="1:6" x14ac:dyDescent="0.25">
      <c r="A50055"/>
      <c r="B50055"/>
      <c r="C50055"/>
      <c r="E50055"/>
      <c r="F50055"/>
    </row>
    <row r="50056" spans="1:6" x14ac:dyDescent="0.25">
      <c r="A50056"/>
      <c r="B50056"/>
      <c r="C50056"/>
      <c r="E50056"/>
      <c r="F50056"/>
    </row>
    <row r="50057" spans="1:6" x14ac:dyDescent="0.25">
      <c r="A50057"/>
      <c r="B50057"/>
      <c r="C50057"/>
      <c r="E50057"/>
      <c r="F50057"/>
    </row>
    <row r="50058" spans="1:6" x14ac:dyDescent="0.25">
      <c r="A50058"/>
      <c r="B50058"/>
      <c r="C50058"/>
      <c r="E50058"/>
      <c r="F50058"/>
    </row>
    <row r="50059" spans="1:6" x14ac:dyDescent="0.25">
      <c r="A50059"/>
      <c r="B50059"/>
      <c r="C50059"/>
      <c r="E50059"/>
      <c r="F50059"/>
    </row>
    <row r="50060" spans="1:6" x14ac:dyDescent="0.25">
      <c r="A50060"/>
      <c r="B50060"/>
      <c r="C50060"/>
      <c r="E50060"/>
      <c r="F50060"/>
    </row>
    <row r="50061" spans="1:6" x14ac:dyDescent="0.25">
      <c r="A50061"/>
      <c r="B50061"/>
      <c r="C50061"/>
      <c r="E50061"/>
      <c r="F50061"/>
    </row>
    <row r="50062" spans="1:6" x14ac:dyDescent="0.25">
      <c r="A50062"/>
      <c r="B50062"/>
      <c r="C50062"/>
      <c r="E50062"/>
      <c r="F50062"/>
    </row>
    <row r="50063" spans="1:6" x14ac:dyDescent="0.25">
      <c r="A50063"/>
      <c r="B50063"/>
      <c r="C50063"/>
      <c r="E50063"/>
      <c r="F50063"/>
    </row>
    <row r="50064" spans="1:6" x14ac:dyDescent="0.25">
      <c r="A50064"/>
      <c r="B50064"/>
      <c r="C50064"/>
      <c r="E50064"/>
      <c r="F50064"/>
    </row>
    <row r="50065" spans="1:6" x14ac:dyDescent="0.25">
      <c r="A50065"/>
      <c r="B50065"/>
      <c r="C50065"/>
      <c r="E50065"/>
      <c r="F50065"/>
    </row>
    <row r="50066" spans="1:6" x14ac:dyDescent="0.25">
      <c r="A50066"/>
      <c r="B50066"/>
      <c r="C50066"/>
      <c r="E50066"/>
      <c r="F50066"/>
    </row>
    <row r="50067" spans="1:6" x14ac:dyDescent="0.25">
      <c r="A50067"/>
      <c r="B50067"/>
      <c r="C50067"/>
      <c r="E50067"/>
      <c r="F50067"/>
    </row>
    <row r="50068" spans="1:6" x14ac:dyDescent="0.25">
      <c r="A50068"/>
      <c r="B50068"/>
      <c r="C50068"/>
      <c r="E50068"/>
      <c r="F50068"/>
    </row>
    <row r="50069" spans="1:6" x14ac:dyDescent="0.25">
      <c r="A50069"/>
      <c r="B50069"/>
      <c r="C50069"/>
      <c r="E50069"/>
      <c r="F50069"/>
    </row>
    <row r="50070" spans="1:6" x14ac:dyDescent="0.25">
      <c r="A50070"/>
      <c r="B50070"/>
      <c r="C50070"/>
      <c r="E50070"/>
      <c r="F50070"/>
    </row>
    <row r="50071" spans="1:6" x14ac:dyDescent="0.25">
      <c r="A50071"/>
      <c r="B50071"/>
      <c r="C50071"/>
      <c r="E50071"/>
      <c r="F50071"/>
    </row>
    <row r="50072" spans="1:6" x14ac:dyDescent="0.25">
      <c r="A50072"/>
      <c r="B50072"/>
      <c r="C50072"/>
      <c r="E50072"/>
      <c r="F50072"/>
    </row>
    <row r="50073" spans="1:6" x14ac:dyDescent="0.25">
      <c r="A50073"/>
      <c r="B50073"/>
      <c r="C50073"/>
      <c r="E50073"/>
      <c r="F50073"/>
    </row>
    <row r="50074" spans="1:6" x14ac:dyDescent="0.25">
      <c r="A50074"/>
      <c r="B50074"/>
      <c r="C50074"/>
      <c r="E50074"/>
      <c r="F50074"/>
    </row>
    <row r="50075" spans="1:6" x14ac:dyDescent="0.25">
      <c r="A50075"/>
      <c r="B50075"/>
      <c r="C50075"/>
      <c r="E50075"/>
      <c r="F50075"/>
    </row>
    <row r="50076" spans="1:6" x14ac:dyDescent="0.25">
      <c r="A50076"/>
      <c r="B50076"/>
      <c r="C50076"/>
      <c r="E50076"/>
      <c r="F50076"/>
    </row>
    <row r="50077" spans="1:6" x14ac:dyDescent="0.25">
      <c r="A50077"/>
      <c r="B50077"/>
      <c r="C50077"/>
      <c r="E50077"/>
      <c r="F50077"/>
    </row>
    <row r="50078" spans="1:6" x14ac:dyDescent="0.25">
      <c r="A50078"/>
      <c r="B50078"/>
      <c r="C50078"/>
      <c r="E50078"/>
      <c r="F50078"/>
    </row>
    <row r="50079" spans="1:6" x14ac:dyDescent="0.25">
      <c r="A50079"/>
      <c r="B50079"/>
      <c r="C50079"/>
      <c r="E50079"/>
      <c r="F50079"/>
    </row>
    <row r="50080" spans="1:6" x14ac:dyDescent="0.25">
      <c r="A50080"/>
      <c r="B50080"/>
      <c r="C50080"/>
      <c r="E50080"/>
      <c r="F50080"/>
    </row>
    <row r="50081" spans="1:6" x14ac:dyDescent="0.25">
      <c r="A50081"/>
      <c r="B50081"/>
      <c r="C50081"/>
      <c r="E50081"/>
      <c r="F50081"/>
    </row>
    <row r="50082" spans="1:6" x14ac:dyDescent="0.25">
      <c r="A50082"/>
      <c r="B50082"/>
      <c r="C50082"/>
      <c r="E50082"/>
      <c r="F50082"/>
    </row>
    <row r="50083" spans="1:6" x14ac:dyDescent="0.25">
      <c r="A50083"/>
      <c r="B50083"/>
      <c r="C50083"/>
      <c r="E50083"/>
      <c r="F50083"/>
    </row>
    <row r="50084" spans="1:6" x14ac:dyDescent="0.25">
      <c r="A50084"/>
      <c r="B50084"/>
      <c r="C50084"/>
      <c r="E50084"/>
      <c r="F50084"/>
    </row>
    <row r="50085" spans="1:6" x14ac:dyDescent="0.25">
      <c r="A50085"/>
      <c r="B50085"/>
      <c r="C50085"/>
      <c r="E50085"/>
      <c r="F50085"/>
    </row>
    <row r="50086" spans="1:6" x14ac:dyDescent="0.25">
      <c r="A50086"/>
      <c r="B50086"/>
      <c r="C50086"/>
      <c r="E50086"/>
      <c r="F50086"/>
    </row>
    <row r="50087" spans="1:6" x14ac:dyDescent="0.25">
      <c r="A50087"/>
      <c r="B50087"/>
      <c r="C50087"/>
      <c r="E50087"/>
      <c r="F50087"/>
    </row>
    <row r="50088" spans="1:6" x14ac:dyDescent="0.25">
      <c r="A50088"/>
      <c r="B50088"/>
      <c r="C50088"/>
      <c r="E50088"/>
      <c r="F50088"/>
    </row>
    <row r="50089" spans="1:6" x14ac:dyDescent="0.25">
      <c r="A50089"/>
      <c r="B50089"/>
      <c r="C50089"/>
      <c r="E50089"/>
      <c r="F50089"/>
    </row>
    <row r="50090" spans="1:6" x14ac:dyDescent="0.25">
      <c r="A50090"/>
      <c r="B50090"/>
      <c r="C50090"/>
      <c r="E50090"/>
      <c r="F50090"/>
    </row>
    <row r="50091" spans="1:6" x14ac:dyDescent="0.25">
      <c r="A50091"/>
      <c r="B50091"/>
      <c r="C50091"/>
      <c r="E50091"/>
      <c r="F50091"/>
    </row>
    <row r="50092" spans="1:6" x14ac:dyDescent="0.25">
      <c r="A50092"/>
      <c r="B50092"/>
      <c r="C50092"/>
      <c r="E50092"/>
      <c r="F50092"/>
    </row>
    <row r="50093" spans="1:6" x14ac:dyDescent="0.25">
      <c r="A50093"/>
      <c r="B50093"/>
      <c r="C50093"/>
      <c r="E50093"/>
      <c r="F50093"/>
    </row>
    <row r="50094" spans="1:6" x14ac:dyDescent="0.25">
      <c r="A50094"/>
      <c r="B50094"/>
      <c r="C50094"/>
      <c r="E50094"/>
      <c r="F50094"/>
    </row>
    <row r="50095" spans="1:6" x14ac:dyDescent="0.25">
      <c r="A50095"/>
      <c r="B50095"/>
      <c r="C50095"/>
      <c r="E50095"/>
      <c r="F50095"/>
    </row>
    <row r="50096" spans="1:6" x14ac:dyDescent="0.25">
      <c r="A50096"/>
      <c r="B50096"/>
      <c r="C50096"/>
      <c r="E50096"/>
      <c r="F50096"/>
    </row>
    <row r="50097" spans="1:6" x14ac:dyDescent="0.25">
      <c r="A50097"/>
      <c r="B50097"/>
      <c r="C50097"/>
      <c r="E50097"/>
      <c r="F50097"/>
    </row>
    <row r="50098" spans="1:6" x14ac:dyDescent="0.25">
      <c r="A50098"/>
      <c r="B50098"/>
      <c r="C50098"/>
      <c r="E50098"/>
      <c r="F50098"/>
    </row>
    <row r="50099" spans="1:6" x14ac:dyDescent="0.25">
      <c r="A50099"/>
      <c r="B50099"/>
      <c r="C50099"/>
      <c r="E50099"/>
      <c r="F50099"/>
    </row>
    <row r="50100" spans="1:6" x14ac:dyDescent="0.25">
      <c r="A50100"/>
      <c r="B50100"/>
      <c r="C50100"/>
      <c r="E50100"/>
      <c r="F50100"/>
    </row>
    <row r="50101" spans="1:6" x14ac:dyDescent="0.25">
      <c r="A50101"/>
      <c r="B50101"/>
      <c r="C50101"/>
      <c r="E50101"/>
      <c r="F50101"/>
    </row>
    <row r="50102" spans="1:6" x14ac:dyDescent="0.25">
      <c r="A50102"/>
      <c r="B50102"/>
      <c r="C50102"/>
      <c r="E50102"/>
      <c r="F50102"/>
    </row>
    <row r="50103" spans="1:6" x14ac:dyDescent="0.25">
      <c r="A50103"/>
      <c r="B50103"/>
      <c r="C50103"/>
      <c r="E50103"/>
      <c r="F50103"/>
    </row>
    <row r="50104" spans="1:6" x14ac:dyDescent="0.25">
      <c r="A50104"/>
      <c r="B50104"/>
      <c r="C50104"/>
      <c r="E50104"/>
      <c r="F50104"/>
    </row>
    <row r="50105" spans="1:6" x14ac:dyDescent="0.25">
      <c r="A50105"/>
      <c r="B50105"/>
      <c r="C50105"/>
      <c r="E50105"/>
      <c r="F50105"/>
    </row>
    <row r="50106" spans="1:6" x14ac:dyDescent="0.25">
      <c r="A50106"/>
      <c r="B50106"/>
      <c r="C50106"/>
      <c r="E50106"/>
      <c r="F50106"/>
    </row>
    <row r="50107" spans="1:6" x14ac:dyDescent="0.25">
      <c r="A50107"/>
      <c r="B50107"/>
      <c r="C50107"/>
      <c r="E50107"/>
      <c r="F50107"/>
    </row>
    <row r="50108" spans="1:6" x14ac:dyDescent="0.25">
      <c r="A50108"/>
      <c r="B50108"/>
      <c r="C50108"/>
      <c r="E50108"/>
      <c r="F50108"/>
    </row>
    <row r="50109" spans="1:6" x14ac:dyDescent="0.25">
      <c r="A50109"/>
      <c r="B50109"/>
      <c r="C50109"/>
      <c r="E50109"/>
      <c r="F50109"/>
    </row>
    <row r="50110" spans="1:6" x14ac:dyDescent="0.25">
      <c r="A50110"/>
      <c r="B50110"/>
      <c r="C50110"/>
      <c r="E50110"/>
      <c r="F50110"/>
    </row>
    <row r="50111" spans="1:6" x14ac:dyDescent="0.25">
      <c r="A50111"/>
      <c r="B50111"/>
      <c r="C50111"/>
      <c r="E50111"/>
      <c r="F50111"/>
    </row>
    <row r="50112" spans="1:6" x14ac:dyDescent="0.25">
      <c r="A50112"/>
      <c r="B50112"/>
      <c r="C50112"/>
      <c r="E50112"/>
      <c r="F50112"/>
    </row>
    <row r="50113" spans="1:6" x14ac:dyDescent="0.25">
      <c r="A50113"/>
      <c r="B50113"/>
      <c r="C50113"/>
      <c r="E50113"/>
      <c r="F50113"/>
    </row>
    <row r="50114" spans="1:6" x14ac:dyDescent="0.25">
      <c r="A50114"/>
      <c r="B50114"/>
      <c r="C50114"/>
      <c r="E50114"/>
      <c r="F50114"/>
    </row>
    <row r="50115" spans="1:6" x14ac:dyDescent="0.25">
      <c r="A50115"/>
      <c r="B50115"/>
      <c r="C50115"/>
      <c r="E50115"/>
      <c r="F50115"/>
    </row>
    <row r="50116" spans="1:6" x14ac:dyDescent="0.25">
      <c r="A50116"/>
      <c r="B50116"/>
      <c r="C50116"/>
      <c r="E50116"/>
      <c r="F50116"/>
    </row>
    <row r="50117" spans="1:6" x14ac:dyDescent="0.25">
      <c r="A50117"/>
      <c r="B50117"/>
      <c r="C50117"/>
      <c r="E50117"/>
      <c r="F50117"/>
    </row>
    <row r="50118" spans="1:6" x14ac:dyDescent="0.25">
      <c r="A50118"/>
      <c r="B50118"/>
      <c r="C50118"/>
      <c r="E50118"/>
      <c r="F50118"/>
    </row>
    <row r="50119" spans="1:6" x14ac:dyDescent="0.25">
      <c r="A50119"/>
      <c r="B50119"/>
      <c r="C50119"/>
      <c r="E50119"/>
      <c r="F50119"/>
    </row>
    <row r="50120" spans="1:6" x14ac:dyDescent="0.25">
      <c r="A50120"/>
      <c r="B50120"/>
      <c r="C50120"/>
      <c r="E50120"/>
      <c r="F50120"/>
    </row>
    <row r="50121" spans="1:6" x14ac:dyDescent="0.25">
      <c r="A50121"/>
      <c r="B50121"/>
      <c r="C50121"/>
      <c r="E50121"/>
      <c r="F50121"/>
    </row>
    <row r="50122" spans="1:6" x14ac:dyDescent="0.25">
      <c r="A50122"/>
      <c r="B50122"/>
      <c r="C50122"/>
      <c r="E50122"/>
      <c r="F50122"/>
    </row>
    <row r="50123" spans="1:6" x14ac:dyDescent="0.25">
      <c r="A50123"/>
      <c r="B50123"/>
      <c r="C50123"/>
      <c r="E50123"/>
      <c r="F50123"/>
    </row>
    <row r="50124" spans="1:6" x14ac:dyDescent="0.25">
      <c r="A50124"/>
      <c r="B50124"/>
      <c r="C50124"/>
      <c r="E50124"/>
      <c r="F50124"/>
    </row>
    <row r="50125" spans="1:6" x14ac:dyDescent="0.25">
      <c r="A50125"/>
      <c r="B50125"/>
      <c r="C50125"/>
      <c r="E50125"/>
      <c r="F50125"/>
    </row>
    <row r="50126" spans="1:6" x14ac:dyDescent="0.25">
      <c r="A50126"/>
      <c r="B50126"/>
      <c r="C50126"/>
      <c r="E50126"/>
      <c r="F50126"/>
    </row>
    <row r="50127" spans="1:6" x14ac:dyDescent="0.25">
      <c r="A50127"/>
      <c r="B50127"/>
      <c r="C50127"/>
      <c r="E50127"/>
      <c r="F50127"/>
    </row>
    <row r="50128" spans="1:6" x14ac:dyDescent="0.25">
      <c r="A50128"/>
      <c r="B50128"/>
      <c r="C50128"/>
      <c r="E50128"/>
      <c r="F50128"/>
    </row>
    <row r="50129" spans="1:6" x14ac:dyDescent="0.25">
      <c r="A50129"/>
      <c r="B50129"/>
      <c r="C50129"/>
      <c r="E50129"/>
      <c r="F50129"/>
    </row>
    <row r="50130" spans="1:6" x14ac:dyDescent="0.25">
      <c r="A50130"/>
      <c r="B50130"/>
      <c r="C50130"/>
      <c r="E50130"/>
      <c r="F50130"/>
    </row>
    <row r="50131" spans="1:6" x14ac:dyDescent="0.25">
      <c r="A50131"/>
      <c r="B50131"/>
      <c r="C50131"/>
      <c r="E50131"/>
      <c r="F50131"/>
    </row>
    <row r="50132" spans="1:6" x14ac:dyDescent="0.25">
      <c r="A50132"/>
      <c r="B50132"/>
      <c r="C50132"/>
      <c r="E50132"/>
      <c r="F50132"/>
    </row>
    <row r="50133" spans="1:6" x14ac:dyDescent="0.25">
      <c r="A50133"/>
      <c r="B50133"/>
      <c r="C50133"/>
      <c r="E50133"/>
      <c r="F50133"/>
    </row>
    <row r="50134" spans="1:6" x14ac:dyDescent="0.25">
      <c r="A50134"/>
      <c r="B50134"/>
      <c r="C50134"/>
      <c r="E50134"/>
      <c r="F50134"/>
    </row>
    <row r="50135" spans="1:6" x14ac:dyDescent="0.25">
      <c r="A50135"/>
      <c r="B50135"/>
      <c r="C50135"/>
      <c r="E50135"/>
      <c r="F50135"/>
    </row>
    <row r="50136" spans="1:6" x14ac:dyDescent="0.25">
      <c r="A50136"/>
      <c r="B50136"/>
      <c r="C50136"/>
      <c r="E50136"/>
      <c r="F50136"/>
    </row>
    <row r="50137" spans="1:6" x14ac:dyDescent="0.25">
      <c r="A50137"/>
      <c r="B50137"/>
      <c r="C50137"/>
      <c r="E50137"/>
      <c r="F50137"/>
    </row>
    <row r="50138" spans="1:6" x14ac:dyDescent="0.25">
      <c r="A50138"/>
      <c r="B50138"/>
      <c r="C50138"/>
      <c r="E50138"/>
      <c r="F50138"/>
    </row>
    <row r="50139" spans="1:6" x14ac:dyDescent="0.25">
      <c r="A50139"/>
      <c r="B50139"/>
      <c r="C50139"/>
      <c r="E50139"/>
      <c r="F50139"/>
    </row>
    <row r="50140" spans="1:6" x14ac:dyDescent="0.25">
      <c r="A50140"/>
      <c r="B50140"/>
      <c r="C50140"/>
      <c r="E50140"/>
      <c r="F50140"/>
    </row>
    <row r="50141" spans="1:6" x14ac:dyDescent="0.25">
      <c r="A50141"/>
      <c r="B50141"/>
      <c r="C50141"/>
      <c r="E50141"/>
      <c r="F50141"/>
    </row>
    <row r="50142" spans="1:6" x14ac:dyDescent="0.25">
      <c r="A50142"/>
      <c r="B50142"/>
      <c r="C50142"/>
      <c r="E50142"/>
      <c r="F50142"/>
    </row>
    <row r="50143" spans="1:6" x14ac:dyDescent="0.25">
      <c r="A50143"/>
      <c r="B50143"/>
      <c r="C50143"/>
      <c r="E50143"/>
      <c r="F50143"/>
    </row>
    <row r="50144" spans="1:6" x14ac:dyDescent="0.25">
      <c r="A50144"/>
      <c r="B50144"/>
      <c r="C50144"/>
      <c r="E50144"/>
      <c r="F50144"/>
    </row>
    <row r="50145" spans="1:6" x14ac:dyDescent="0.25">
      <c r="A50145"/>
      <c r="B50145"/>
      <c r="C50145"/>
      <c r="E50145"/>
      <c r="F50145"/>
    </row>
    <row r="50146" spans="1:6" x14ac:dyDescent="0.25">
      <c r="A50146"/>
      <c r="B50146"/>
      <c r="C50146"/>
      <c r="E50146"/>
      <c r="F50146"/>
    </row>
    <row r="50147" spans="1:6" x14ac:dyDescent="0.25">
      <c r="A50147"/>
      <c r="B50147"/>
      <c r="C50147"/>
      <c r="E50147"/>
      <c r="F50147"/>
    </row>
    <row r="50148" spans="1:6" x14ac:dyDescent="0.25">
      <c r="A50148"/>
      <c r="B50148"/>
      <c r="C50148"/>
      <c r="E50148"/>
      <c r="F50148"/>
    </row>
    <row r="50149" spans="1:6" x14ac:dyDescent="0.25">
      <c r="A50149"/>
      <c r="B50149"/>
      <c r="C50149"/>
      <c r="E50149"/>
      <c r="F50149"/>
    </row>
    <row r="50150" spans="1:6" x14ac:dyDescent="0.25">
      <c r="A50150"/>
      <c r="B50150"/>
      <c r="C50150"/>
      <c r="E50150"/>
      <c r="F50150"/>
    </row>
    <row r="50151" spans="1:6" x14ac:dyDescent="0.25">
      <c r="A50151"/>
      <c r="B50151"/>
      <c r="C50151"/>
      <c r="E50151"/>
      <c r="F50151"/>
    </row>
    <row r="50152" spans="1:6" x14ac:dyDescent="0.25">
      <c r="A50152"/>
      <c r="B50152"/>
      <c r="C50152"/>
      <c r="E50152"/>
      <c r="F50152"/>
    </row>
    <row r="50153" spans="1:6" x14ac:dyDescent="0.25">
      <c r="A50153"/>
      <c r="B50153"/>
      <c r="C50153"/>
      <c r="E50153"/>
      <c r="F50153"/>
    </row>
    <row r="50154" spans="1:6" x14ac:dyDescent="0.25">
      <c r="A50154"/>
      <c r="B50154"/>
      <c r="C50154"/>
      <c r="E50154"/>
      <c r="F50154"/>
    </row>
    <row r="50155" spans="1:6" x14ac:dyDescent="0.25">
      <c r="A50155"/>
      <c r="B50155"/>
      <c r="C50155"/>
      <c r="E50155"/>
      <c r="F50155"/>
    </row>
    <row r="50156" spans="1:6" x14ac:dyDescent="0.25">
      <c r="A50156"/>
      <c r="B50156"/>
      <c r="C50156"/>
      <c r="E50156"/>
      <c r="F50156"/>
    </row>
    <row r="50157" spans="1:6" x14ac:dyDescent="0.25">
      <c r="A50157"/>
      <c r="B50157"/>
      <c r="C50157"/>
      <c r="E50157"/>
      <c r="F50157"/>
    </row>
    <row r="50158" spans="1:6" x14ac:dyDescent="0.25">
      <c r="A50158"/>
      <c r="B50158"/>
      <c r="C50158"/>
      <c r="E50158"/>
      <c r="F50158"/>
    </row>
    <row r="50159" spans="1:6" x14ac:dyDescent="0.25">
      <c r="A50159"/>
      <c r="B50159"/>
      <c r="C50159"/>
      <c r="E50159"/>
      <c r="F50159"/>
    </row>
    <row r="50160" spans="1:6" x14ac:dyDescent="0.25">
      <c r="A50160"/>
      <c r="B50160"/>
      <c r="C50160"/>
      <c r="E50160"/>
      <c r="F50160"/>
    </row>
    <row r="50161" spans="1:6" x14ac:dyDescent="0.25">
      <c r="A50161"/>
      <c r="B50161"/>
      <c r="C50161"/>
      <c r="E50161"/>
      <c r="F50161"/>
    </row>
    <row r="50162" spans="1:6" x14ac:dyDescent="0.25">
      <c r="A50162"/>
      <c r="B50162"/>
      <c r="C50162"/>
      <c r="E50162"/>
      <c r="F50162"/>
    </row>
    <row r="50163" spans="1:6" x14ac:dyDescent="0.25">
      <c r="A50163"/>
      <c r="B50163"/>
      <c r="C50163"/>
      <c r="E50163"/>
      <c r="F50163"/>
    </row>
    <row r="50164" spans="1:6" x14ac:dyDescent="0.25">
      <c r="A50164"/>
      <c r="B50164"/>
      <c r="C50164"/>
      <c r="E50164"/>
      <c r="F50164"/>
    </row>
    <row r="50165" spans="1:6" x14ac:dyDescent="0.25">
      <c r="A50165"/>
      <c r="B50165"/>
      <c r="C50165"/>
      <c r="E50165"/>
      <c r="F50165"/>
    </row>
    <row r="50166" spans="1:6" x14ac:dyDescent="0.25">
      <c r="A50166"/>
      <c r="B50166"/>
      <c r="C50166"/>
      <c r="E50166"/>
      <c r="F50166"/>
    </row>
    <row r="50167" spans="1:6" x14ac:dyDescent="0.25">
      <c r="A50167"/>
      <c r="B50167"/>
      <c r="C50167"/>
      <c r="E50167"/>
      <c r="F50167"/>
    </row>
    <row r="50168" spans="1:6" x14ac:dyDescent="0.25">
      <c r="A50168"/>
      <c r="B50168"/>
      <c r="C50168"/>
      <c r="E50168"/>
      <c r="F50168"/>
    </row>
    <row r="50169" spans="1:6" x14ac:dyDescent="0.25">
      <c r="A50169"/>
      <c r="B50169"/>
      <c r="C50169"/>
      <c r="E50169"/>
      <c r="F50169"/>
    </row>
    <row r="50170" spans="1:6" x14ac:dyDescent="0.25">
      <c r="A50170"/>
      <c r="B50170"/>
      <c r="C50170"/>
      <c r="E50170"/>
      <c r="F50170"/>
    </row>
    <row r="50171" spans="1:6" x14ac:dyDescent="0.25">
      <c r="A50171"/>
      <c r="B50171"/>
      <c r="C50171"/>
      <c r="E50171"/>
      <c r="F50171"/>
    </row>
    <row r="50172" spans="1:6" x14ac:dyDescent="0.25">
      <c r="A50172"/>
      <c r="B50172"/>
      <c r="C50172"/>
      <c r="E50172"/>
      <c r="F50172"/>
    </row>
    <row r="50173" spans="1:6" x14ac:dyDescent="0.25">
      <c r="A50173"/>
      <c r="B50173"/>
      <c r="C50173"/>
      <c r="E50173"/>
      <c r="F50173"/>
    </row>
    <row r="50174" spans="1:6" x14ac:dyDescent="0.25">
      <c r="A50174"/>
      <c r="B50174"/>
      <c r="C50174"/>
      <c r="E50174"/>
      <c r="F50174"/>
    </row>
    <row r="50175" spans="1:6" x14ac:dyDescent="0.25">
      <c r="A50175"/>
      <c r="B50175"/>
      <c r="C50175"/>
      <c r="E50175"/>
      <c r="F50175"/>
    </row>
    <row r="50176" spans="1:6" x14ac:dyDescent="0.25">
      <c r="A50176"/>
      <c r="B50176"/>
      <c r="C50176"/>
      <c r="E50176"/>
      <c r="F50176"/>
    </row>
    <row r="50177" spans="1:6" x14ac:dyDescent="0.25">
      <c r="A50177"/>
      <c r="B50177"/>
      <c r="C50177"/>
      <c r="E50177"/>
      <c r="F50177"/>
    </row>
    <row r="50178" spans="1:6" x14ac:dyDescent="0.25">
      <c r="A50178"/>
      <c r="B50178"/>
      <c r="C50178"/>
      <c r="E50178"/>
      <c r="F50178"/>
    </row>
    <row r="50179" spans="1:6" x14ac:dyDescent="0.25">
      <c r="A50179"/>
      <c r="B50179"/>
      <c r="C50179"/>
      <c r="E50179"/>
      <c r="F50179"/>
    </row>
    <row r="50180" spans="1:6" x14ac:dyDescent="0.25">
      <c r="A50180"/>
      <c r="B50180"/>
      <c r="C50180"/>
      <c r="E50180"/>
      <c r="F50180"/>
    </row>
    <row r="50181" spans="1:6" x14ac:dyDescent="0.25">
      <c r="A50181"/>
      <c r="B50181"/>
      <c r="C50181"/>
      <c r="E50181"/>
      <c r="F50181"/>
    </row>
    <row r="50182" spans="1:6" x14ac:dyDescent="0.25">
      <c r="A50182"/>
      <c r="B50182"/>
      <c r="C50182"/>
      <c r="E50182"/>
      <c r="F50182"/>
    </row>
    <row r="50183" spans="1:6" x14ac:dyDescent="0.25">
      <c r="A50183"/>
      <c r="B50183"/>
      <c r="C50183"/>
      <c r="E50183"/>
      <c r="F50183"/>
    </row>
    <row r="50184" spans="1:6" x14ac:dyDescent="0.25">
      <c r="A50184"/>
      <c r="B50184"/>
      <c r="C50184"/>
      <c r="E50184"/>
      <c r="F50184"/>
    </row>
    <row r="50185" spans="1:6" x14ac:dyDescent="0.25">
      <c r="A50185"/>
      <c r="B50185"/>
      <c r="C50185"/>
      <c r="E50185"/>
      <c r="F50185"/>
    </row>
    <row r="50186" spans="1:6" x14ac:dyDescent="0.25">
      <c r="A50186"/>
      <c r="B50186"/>
      <c r="C50186"/>
      <c r="E50186"/>
      <c r="F50186"/>
    </row>
    <row r="50187" spans="1:6" x14ac:dyDescent="0.25">
      <c r="A50187"/>
      <c r="B50187"/>
      <c r="C50187"/>
      <c r="E50187"/>
      <c r="F50187"/>
    </row>
    <row r="50188" spans="1:6" x14ac:dyDescent="0.25">
      <c r="A50188"/>
      <c r="B50188"/>
      <c r="C50188"/>
      <c r="E50188"/>
      <c r="F50188"/>
    </row>
    <row r="50189" spans="1:6" x14ac:dyDescent="0.25">
      <c r="A50189"/>
      <c r="B50189"/>
      <c r="C50189"/>
      <c r="E50189"/>
      <c r="F50189"/>
    </row>
    <row r="50190" spans="1:6" x14ac:dyDescent="0.25">
      <c r="A50190"/>
      <c r="B50190"/>
      <c r="C50190"/>
      <c r="E50190"/>
      <c r="F50190"/>
    </row>
    <row r="50191" spans="1:6" x14ac:dyDescent="0.25">
      <c r="A50191"/>
      <c r="B50191"/>
      <c r="C50191"/>
      <c r="E50191"/>
      <c r="F50191"/>
    </row>
    <row r="50192" spans="1:6" x14ac:dyDescent="0.25">
      <c r="A50192"/>
      <c r="B50192"/>
      <c r="C50192"/>
      <c r="E50192"/>
      <c r="F50192"/>
    </row>
    <row r="50193" spans="1:6" x14ac:dyDescent="0.25">
      <c r="A50193"/>
      <c r="B50193"/>
      <c r="C50193"/>
      <c r="E50193"/>
      <c r="F50193"/>
    </row>
    <row r="50194" spans="1:6" x14ac:dyDescent="0.25">
      <c r="A50194"/>
      <c r="B50194"/>
      <c r="C50194"/>
      <c r="E50194"/>
      <c r="F50194"/>
    </row>
    <row r="50195" spans="1:6" x14ac:dyDescent="0.25">
      <c r="A50195"/>
      <c r="B50195"/>
      <c r="C50195"/>
      <c r="E50195"/>
      <c r="F50195"/>
    </row>
    <row r="50196" spans="1:6" x14ac:dyDescent="0.25">
      <c r="A50196"/>
      <c r="B50196"/>
      <c r="C50196"/>
      <c r="E50196"/>
      <c r="F50196"/>
    </row>
    <row r="50197" spans="1:6" x14ac:dyDescent="0.25">
      <c r="A50197"/>
      <c r="B50197"/>
      <c r="C50197"/>
      <c r="E50197"/>
      <c r="F50197"/>
    </row>
    <row r="50198" spans="1:6" x14ac:dyDescent="0.25">
      <c r="A50198"/>
      <c r="B50198"/>
      <c r="C50198"/>
      <c r="E50198"/>
      <c r="F50198"/>
    </row>
    <row r="50199" spans="1:6" x14ac:dyDescent="0.25">
      <c r="A50199"/>
      <c r="B50199"/>
      <c r="C50199"/>
      <c r="E50199"/>
      <c r="F50199"/>
    </row>
    <row r="50200" spans="1:6" x14ac:dyDescent="0.25">
      <c r="A50200"/>
      <c r="B50200"/>
      <c r="C50200"/>
      <c r="E50200"/>
      <c r="F50200"/>
    </row>
    <row r="50201" spans="1:6" x14ac:dyDescent="0.25">
      <c r="A50201"/>
      <c r="B50201"/>
      <c r="C50201"/>
      <c r="E50201"/>
      <c r="F50201"/>
    </row>
    <row r="50202" spans="1:6" x14ac:dyDescent="0.25">
      <c r="A50202"/>
      <c r="B50202"/>
      <c r="C50202"/>
      <c r="E50202"/>
      <c r="F50202"/>
    </row>
    <row r="50203" spans="1:6" x14ac:dyDescent="0.25">
      <c r="A50203"/>
      <c r="B50203"/>
      <c r="C50203"/>
      <c r="E50203"/>
      <c r="F50203"/>
    </row>
    <row r="50204" spans="1:6" x14ac:dyDescent="0.25">
      <c r="A50204"/>
      <c r="B50204"/>
      <c r="C50204"/>
      <c r="E50204"/>
      <c r="F50204"/>
    </row>
    <row r="50205" spans="1:6" x14ac:dyDescent="0.25">
      <c r="A50205"/>
      <c r="B50205"/>
      <c r="C50205"/>
      <c r="E50205"/>
      <c r="F50205"/>
    </row>
    <row r="50206" spans="1:6" x14ac:dyDescent="0.25">
      <c r="A50206"/>
      <c r="B50206"/>
      <c r="C50206"/>
      <c r="E50206"/>
      <c r="F50206"/>
    </row>
    <row r="50207" spans="1:6" x14ac:dyDescent="0.25">
      <c r="A50207"/>
      <c r="B50207"/>
      <c r="C50207"/>
      <c r="E50207"/>
      <c r="F50207"/>
    </row>
    <row r="50208" spans="1:6" x14ac:dyDescent="0.25">
      <c r="A50208"/>
      <c r="B50208"/>
      <c r="C50208"/>
      <c r="E50208"/>
      <c r="F50208"/>
    </row>
    <row r="50209" spans="1:6" x14ac:dyDescent="0.25">
      <c r="A50209"/>
      <c r="B50209"/>
      <c r="C50209"/>
      <c r="E50209"/>
      <c r="F50209"/>
    </row>
    <row r="50210" spans="1:6" x14ac:dyDescent="0.25">
      <c r="A50210"/>
      <c r="B50210"/>
      <c r="C50210"/>
      <c r="E50210"/>
      <c r="F50210"/>
    </row>
    <row r="50211" spans="1:6" x14ac:dyDescent="0.25">
      <c r="A50211"/>
      <c r="B50211"/>
      <c r="C50211"/>
      <c r="E50211"/>
      <c r="F50211"/>
    </row>
    <row r="50212" spans="1:6" x14ac:dyDescent="0.25">
      <c r="A50212"/>
      <c r="B50212"/>
      <c r="C50212"/>
      <c r="E50212"/>
      <c r="F50212"/>
    </row>
    <row r="50213" spans="1:6" x14ac:dyDescent="0.25">
      <c r="A50213"/>
      <c r="B50213"/>
      <c r="C50213"/>
      <c r="E50213"/>
      <c r="F50213"/>
    </row>
    <row r="50214" spans="1:6" x14ac:dyDescent="0.25">
      <c r="A50214"/>
      <c r="B50214"/>
      <c r="C50214"/>
      <c r="E50214"/>
      <c r="F50214"/>
    </row>
    <row r="50215" spans="1:6" x14ac:dyDescent="0.25">
      <c r="A50215"/>
      <c r="B50215"/>
      <c r="C50215"/>
      <c r="E50215"/>
      <c r="F50215"/>
    </row>
    <row r="50216" spans="1:6" x14ac:dyDescent="0.25">
      <c r="A50216"/>
      <c r="B50216"/>
      <c r="C50216"/>
      <c r="E50216"/>
      <c r="F50216"/>
    </row>
    <row r="50217" spans="1:6" x14ac:dyDescent="0.25">
      <c r="A50217"/>
      <c r="B50217"/>
      <c r="C50217"/>
      <c r="E50217"/>
      <c r="F50217"/>
    </row>
    <row r="50218" spans="1:6" x14ac:dyDescent="0.25">
      <c r="A50218"/>
      <c r="B50218"/>
      <c r="C50218"/>
      <c r="E50218"/>
      <c r="F50218"/>
    </row>
    <row r="50219" spans="1:6" x14ac:dyDescent="0.25">
      <c r="A50219"/>
      <c r="B50219"/>
      <c r="C50219"/>
      <c r="E50219"/>
      <c r="F50219"/>
    </row>
    <row r="50220" spans="1:6" x14ac:dyDescent="0.25">
      <c r="A50220"/>
      <c r="B50220"/>
      <c r="C50220"/>
      <c r="E50220"/>
      <c r="F50220"/>
    </row>
    <row r="50221" spans="1:6" x14ac:dyDescent="0.25">
      <c r="A50221"/>
      <c r="B50221"/>
      <c r="C50221"/>
      <c r="E50221"/>
      <c r="F50221"/>
    </row>
    <row r="50222" spans="1:6" x14ac:dyDescent="0.25">
      <c r="A50222"/>
      <c r="B50222"/>
      <c r="C50222"/>
      <c r="E50222"/>
      <c r="F50222"/>
    </row>
    <row r="50223" spans="1:6" x14ac:dyDescent="0.25">
      <c r="A50223"/>
      <c r="B50223"/>
      <c r="C50223"/>
      <c r="E50223"/>
      <c r="F50223"/>
    </row>
    <row r="50224" spans="1:6" x14ac:dyDescent="0.25">
      <c r="A50224"/>
      <c r="B50224"/>
      <c r="C50224"/>
      <c r="E50224"/>
      <c r="F50224"/>
    </row>
    <row r="50225" spans="1:6" x14ac:dyDescent="0.25">
      <c r="A50225"/>
      <c r="B50225"/>
      <c r="C50225"/>
      <c r="E50225"/>
      <c r="F50225"/>
    </row>
    <row r="50226" spans="1:6" x14ac:dyDescent="0.25">
      <c r="A50226"/>
      <c r="B50226"/>
      <c r="C50226"/>
      <c r="E50226"/>
      <c r="F50226"/>
    </row>
    <row r="50227" spans="1:6" x14ac:dyDescent="0.25">
      <c r="A50227"/>
      <c r="B50227"/>
      <c r="C50227"/>
      <c r="E50227"/>
      <c r="F50227"/>
    </row>
    <row r="50228" spans="1:6" x14ac:dyDescent="0.25">
      <c r="A50228"/>
      <c r="B50228"/>
      <c r="C50228"/>
      <c r="E50228"/>
      <c r="F50228"/>
    </row>
    <row r="50229" spans="1:6" x14ac:dyDescent="0.25">
      <c r="A50229"/>
      <c r="B50229"/>
      <c r="C50229"/>
      <c r="E50229"/>
      <c r="F50229"/>
    </row>
    <row r="50230" spans="1:6" x14ac:dyDescent="0.25">
      <c r="A50230"/>
      <c r="B50230"/>
      <c r="C50230"/>
      <c r="E50230"/>
      <c r="F50230"/>
    </row>
    <row r="50231" spans="1:6" x14ac:dyDescent="0.25">
      <c r="A50231"/>
      <c r="B50231"/>
      <c r="C50231"/>
      <c r="E50231"/>
      <c r="F50231"/>
    </row>
    <row r="50232" spans="1:6" x14ac:dyDescent="0.25">
      <c r="A50232"/>
      <c r="B50232"/>
      <c r="C50232"/>
      <c r="E50232"/>
      <c r="F50232"/>
    </row>
    <row r="50233" spans="1:6" x14ac:dyDescent="0.25">
      <c r="A50233"/>
      <c r="B50233"/>
      <c r="C50233"/>
      <c r="E50233"/>
      <c r="F50233"/>
    </row>
    <row r="50234" spans="1:6" x14ac:dyDescent="0.25">
      <c r="A50234"/>
      <c r="B50234"/>
      <c r="C50234"/>
      <c r="E50234"/>
      <c r="F50234"/>
    </row>
    <row r="50235" spans="1:6" x14ac:dyDescent="0.25">
      <c r="A50235"/>
      <c r="B50235"/>
      <c r="C50235"/>
      <c r="E50235"/>
      <c r="F50235"/>
    </row>
    <row r="50236" spans="1:6" x14ac:dyDescent="0.25">
      <c r="A50236"/>
      <c r="B50236"/>
      <c r="C50236"/>
      <c r="E50236"/>
      <c r="F50236"/>
    </row>
    <row r="50237" spans="1:6" x14ac:dyDescent="0.25">
      <c r="A50237"/>
      <c r="B50237"/>
      <c r="C50237"/>
      <c r="E50237"/>
      <c r="F50237"/>
    </row>
    <row r="50238" spans="1:6" x14ac:dyDescent="0.25">
      <c r="A50238"/>
      <c r="B50238"/>
      <c r="C50238"/>
      <c r="E50238"/>
      <c r="F50238"/>
    </row>
    <row r="50239" spans="1:6" x14ac:dyDescent="0.25">
      <c r="A50239"/>
      <c r="B50239"/>
      <c r="C50239"/>
      <c r="E50239"/>
      <c r="F50239"/>
    </row>
    <row r="50240" spans="1:6" x14ac:dyDescent="0.25">
      <c r="A50240"/>
      <c r="B50240"/>
      <c r="C50240"/>
      <c r="E50240"/>
      <c r="F50240"/>
    </row>
    <row r="50241" spans="1:6" x14ac:dyDescent="0.25">
      <c r="A50241"/>
      <c r="B50241"/>
      <c r="C50241"/>
      <c r="E50241"/>
      <c r="F50241"/>
    </row>
    <row r="50242" spans="1:6" x14ac:dyDescent="0.25">
      <c r="A50242"/>
      <c r="B50242"/>
      <c r="C50242"/>
      <c r="E50242"/>
      <c r="F50242"/>
    </row>
    <row r="50243" spans="1:6" x14ac:dyDescent="0.25">
      <c r="A50243"/>
      <c r="B50243"/>
      <c r="C50243"/>
      <c r="E50243"/>
      <c r="F50243"/>
    </row>
    <row r="50244" spans="1:6" x14ac:dyDescent="0.25">
      <c r="A50244"/>
      <c r="B50244"/>
      <c r="C50244"/>
      <c r="E50244"/>
      <c r="F50244"/>
    </row>
    <row r="50245" spans="1:6" x14ac:dyDescent="0.25">
      <c r="A50245"/>
      <c r="B50245"/>
      <c r="C50245"/>
      <c r="E50245"/>
      <c r="F50245"/>
    </row>
    <row r="50246" spans="1:6" x14ac:dyDescent="0.25">
      <c r="A50246"/>
      <c r="B50246"/>
      <c r="C50246"/>
      <c r="E50246"/>
      <c r="F50246"/>
    </row>
    <row r="50247" spans="1:6" x14ac:dyDescent="0.25">
      <c r="A50247"/>
      <c r="B50247"/>
      <c r="C50247"/>
      <c r="E50247"/>
      <c r="F50247"/>
    </row>
    <row r="50248" spans="1:6" x14ac:dyDescent="0.25">
      <c r="A50248"/>
      <c r="B50248"/>
      <c r="C50248"/>
      <c r="E50248"/>
      <c r="F50248"/>
    </row>
    <row r="50249" spans="1:6" x14ac:dyDescent="0.25">
      <c r="A50249"/>
      <c r="B50249"/>
      <c r="C50249"/>
      <c r="E50249"/>
      <c r="F50249"/>
    </row>
    <row r="50250" spans="1:6" x14ac:dyDescent="0.25">
      <c r="A50250"/>
      <c r="B50250"/>
      <c r="C50250"/>
      <c r="E50250"/>
      <c r="F50250"/>
    </row>
    <row r="50251" spans="1:6" x14ac:dyDescent="0.25">
      <c r="A50251"/>
      <c r="B50251"/>
      <c r="C50251"/>
      <c r="E50251"/>
      <c r="F50251"/>
    </row>
    <row r="50252" spans="1:6" x14ac:dyDescent="0.25">
      <c r="A50252"/>
      <c r="B50252"/>
      <c r="C50252"/>
      <c r="E50252"/>
      <c r="F50252"/>
    </row>
    <row r="50253" spans="1:6" x14ac:dyDescent="0.25">
      <c r="A50253"/>
      <c r="B50253"/>
      <c r="C50253"/>
      <c r="E50253"/>
      <c r="F50253"/>
    </row>
    <row r="50254" spans="1:6" x14ac:dyDescent="0.25">
      <c r="A50254"/>
      <c r="B50254"/>
      <c r="C50254"/>
      <c r="E50254"/>
      <c r="F50254"/>
    </row>
    <row r="50255" spans="1:6" x14ac:dyDescent="0.25">
      <c r="A50255"/>
      <c r="B50255"/>
      <c r="C50255"/>
      <c r="E50255"/>
      <c r="F50255"/>
    </row>
    <row r="50256" spans="1:6" x14ac:dyDescent="0.25">
      <c r="A50256"/>
      <c r="B50256"/>
      <c r="C50256"/>
      <c r="E50256"/>
      <c r="F50256"/>
    </row>
    <row r="50257" spans="1:6" x14ac:dyDescent="0.25">
      <c r="A50257"/>
      <c r="B50257"/>
      <c r="C50257"/>
      <c r="E50257"/>
      <c r="F50257"/>
    </row>
    <row r="50258" spans="1:6" x14ac:dyDescent="0.25">
      <c r="A50258"/>
      <c r="B50258"/>
      <c r="C50258"/>
      <c r="E50258"/>
      <c r="F50258"/>
    </row>
    <row r="50259" spans="1:6" x14ac:dyDescent="0.25">
      <c r="A50259"/>
      <c r="B50259"/>
      <c r="C50259"/>
      <c r="E50259"/>
      <c r="F50259"/>
    </row>
    <row r="50260" spans="1:6" x14ac:dyDescent="0.25">
      <c r="A50260"/>
      <c r="B50260"/>
      <c r="C50260"/>
      <c r="E50260"/>
      <c r="F50260"/>
    </row>
    <row r="50261" spans="1:6" x14ac:dyDescent="0.25">
      <c r="A50261"/>
      <c r="B50261"/>
      <c r="C50261"/>
      <c r="E50261"/>
      <c r="F50261"/>
    </row>
    <row r="50262" spans="1:6" x14ac:dyDescent="0.25">
      <c r="A50262"/>
      <c r="B50262"/>
      <c r="C50262"/>
      <c r="E50262"/>
      <c r="F50262"/>
    </row>
    <row r="50263" spans="1:6" x14ac:dyDescent="0.25">
      <c r="A50263"/>
      <c r="B50263"/>
      <c r="C50263"/>
      <c r="E50263"/>
      <c r="F50263"/>
    </row>
    <row r="50264" spans="1:6" x14ac:dyDescent="0.25">
      <c r="A50264"/>
      <c r="B50264"/>
      <c r="C50264"/>
      <c r="E50264"/>
      <c r="F50264"/>
    </row>
    <row r="50265" spans="1:6" x14ac:dyDescent="0.25">
      <c r="A50265"/>
      <c r="B50265"/>
      <c r="C50265"/>
      <c r="E50265"/>
      <c r="F50265"/>
    </row>
    <row r="50266" spans="1:6" x14ac:dyDescent="0.25">
      <c r="A50266"/>
      <c r="B50266"/>
      <c r="C50266"/>
      <c r="E50266"/>
      <c r="F50266"/>
    </row>
    <row r="50267" spans="1:6" x14ac:dyDescent="0.25">
      <c r="A50267"/>
      <c r="B50267"/>
      <c r="C50267"/>
      <c r="E50267"/>
      <c r="F50267"/>
    </row>
    <row r="50268" spans="1:6" x14ac:dyDescent="0.25">
      <c r="A50268"/>
      <c r="B50268"/>
      <c r="C50268"/>
      <c r="E50268"/>
      <c r="F50268"/>
    </row>
    <row r="50269" spans="1:6" x14ac:dyDescent="0.25">
      <c r="A50269"/>
      <c r="B50269"/>
      <c r="C50269"/>
      <c r="E50269"/>
      <c r="F50269"/>
    </row>
    <row r="50270" spans="1:6" x14ac:dyDescent="0.25">
      <c r="A50270"/>
      <c r="B50270"/>
      <c r="C50270"/>
      <c r="E50270"/>
      <c r="F50270"/>
    </row>
    <row r="50271" spans="1:6" x14ac:dyDescent="0.25">
      <c r="A50271"/>
      <c r="B50271"/>
      <c r="C50271"/>
      <c r="E50271"/>
      <c r="F50271"/>
    </row>
    <row r="50272" spans="1:6" x14ac:dyDescent="0.25">
      <c r="A50272"/>
      <c r="B50272"/>
      <c r="C50272"/>
      <c r="E50272"/>
      <c r="F50272"/>
    </row>
    <row r="50273" spans="1:6" x14ac:dyDescent="0.25">
      <c r="A50273"/>
      <c r="B50273"/>
      <c r="C50273"/>
      <c r="E50273"/>
      <c r="F50273"/>
    </row>
    <row r="50274" spans="1:6" x14ac:dyDescent="0.25">
      <c r="A50274"/>
      <c r="B50274"/>
      <c r="C50274"/>
      <c r="E50274"/>
      <c r="F50274"/>
    </row>
    <row r="50275" spans="1:6" x14ac:dyDescent="0.25">
      <c r="A50275"/>
      <c r="B50275"/>
      <c r="C50275"/>
      <c r="E50275"/>
      <c r="F50275"/>
    </row>
    <row r="50276" spans="1:6" x14ac:dyDescent="0.25">
      <c r="A50276"/>
      <c r="B50276"/>
      <c r="C50276"/>
      <c r="E50276"/>
      <c r="F50276"/>
    </row>
    <row r="50277" spans="1:6" x14ac:dyDescent="0.25">
      <c r="A50277"/>
      <c r="B50277"/>
      <c r="C50277"/>
      <c r="E50277"/>
      <c r="F50277"/>
    </row>
    <row r="50278" spans="1:6" x14ac:dyDescent="0.25">
      <c r="A50278"/>
      <c r="B50278"/>
      <c r="C50278"/>
      <c r="E50278"/>
      <c r="F50278"/>
    </row>
    <row r="50279" spans="1:6" x14ac:dyDescent="0.25">
      <c r="A50279"/>
      <c r="B50279"/>
      <c r="C50279"/>
      <c r="E50279"/>
      <c r="F50279"/>
    </row>
    <row r="50280" spans="1:6" x14ac:dyDescent="0.25">
      <c r="A50280"/>
      <c r="B50280"/>
      <c r="C50280"/>
      <c r="E50280"/>
      <c r="F50280"/>
    </row>
    <row r="50281" spans="1:6" x14ac:dyDescent="0.25">
      <c r="A50281"/>
      <c r="B50281"/>
      <c r="C50281"/>
      <c r="E50281"/>
      <c r="F50281"/>
    </row>
    <row r="50282" spans="1:6" x14ac:dyDescent="0.25">
      <c r="A50282"/>
      <c r="B50282"/>
      <c r="C50282"/>
      <c r="E50282"/>
      <c r="F50282"/>
    </row>
    <row r="50283" spans="1:6" x14ac:dyDescent="0.25">
      <c r="A50283"/>
      <c r="B50283"/>
      <c r="C50283"/>
      <c r="E50283"/>
      <c r="F50283"/>
    </row>
    <row r="50284" spans="1:6" x14ac:dyDescent="0.25">
      <c r="A50284"/>
      <c r="B50284"/>
      <c r="C50284"/>
      <c r="E50284"/>
      <c r="F50284"/>
    </row>
    <row r="50285" spans="1:6" x14ac:dyDescent="0.25">
      <c r="A50285"/>
      <c r="B50285"/>
      <c r="C50285"/>
      <c r="E50285"/>
      <c r="F50285"/>
    </row>
    <row r="50286" spans="1:6" x14ac:dyDescent="0.25">
      <c r="A50286"/>
      <c r="B50286"/>
      <c r="C50286"/>
      <c r="E50286"/>
      <c r="F50286"/>
    </row>
    <row r="50287" spans="1:6" x14ac:dyDescent="0.25">
      <c r="A50287"/>
      <c r="B50287"/>
      <c r="C50287"/>
      <c r="E50287"/>
      <c r="F50287"/>
    </row>
    <row r="50288" spans="1:6" x14ac:dyDescent="0.25">
      <c r="A50288"/>
      <c r="B50288"/>
      <c r="C50288"/>
      <c r="E50288"/>
      <c r="F50288"/>
    </row>
    <row r="50289" spans="1:6" x14ac:dyDescent="0.25">
      <c r="A50289"/>
      <c r="B50289"/>
      <c r="C50289"/>
      <c r="E50289"/>
      <c r="F50289"/>
    </row>
    <row r="50290" spans="1:6" x14ac:dyDescent="0.25">
      <c r="A50290"/>
      <c r="B50290"/>
      <c r="C50290"/>
      <c r="E50290"/>
      <c r="F50290"/>
    </row>
    <row r="50291" spans="1:6" x14ac:dyDescent="0.25">
      <c r="A50291"/>
      <c r="B50291"/>
      <c r="C50291"/>
      <c r="E50291"/>
      <c r="F50291"/>
    </row>
    <row r="50292" spans="1:6" x14ac:dyDescent="0.25">
      <c r="A50292"/>
      <c r="B50292"/>
      <c r="C50292"/>
      <c r="E50292"/>
      <c r="F50292"/>
    </row>
    <row r="50293" spans="1:6" x14ac:dyDescent="0.25">
      <c r="A50293"/>
      <c r="B50293"/>
      <c r="C50293"/>
      <c r="E50293"/>
      <c r="F50293"/>
    </row>
    <row r="50294" spans="1:6" x14ac:dyDescent="0.25">
      <c r="A50294"/>
      <c r="B50294"/>
      <c r="C50294"/>
      <c r="E50294"/>
      <c r="F50294"/>
    </row>
    <row r="50295" spans="1:6" x14ac:dyDescent="0.25">
      <c r="A50295"/>
      <c r="B50295"/>
      <c r="C50295"/>
      <c r="E50295"/>
      <c r="F50295"/>
    </row>
    <row r="50296" spans="1:6" x14ac:dyDescent="0.25">
      <c r="A50296"/>
      <c r="B50296"/>
      <c r="C50296"/>
      <c r="E50296"/>
      <c r="F50296"/>
    </row>
    <row r="50297" spans="1:6" x14ac:dyDescent="0.25">
      <c r="A50297"/>
      <c r="B50297"/>
      <c r="C50297"/>
      <c r="E50297"/>
      <c r="F50297"/>
    </row>
    <row r="50298" spans="1:6" x14ac:dyDescent="0.25">
      <c r="A50298"/>
      <c r="B50298"/>
      <c r="C50298"/>
      <c r="E50298"/>
      <c r="F50298"/>
    </row>
    <row r="50299" spans="1:6" x14ac:dyDescent="0.25">
      <c r="A50299"/>
      <c r="B50299"/>
      <c r="C50299"/>
      <c r="E50299"/>
      <c r="F50299"/>
    </row>
    <row r="50300" spans="1:6" x14ac:dyDescent="0.25">
      <c r="A50300"/>
      <c r="B50300"/>
      <c r="C50300"/>
      <c r="E50300"/>
      <c r="F50300"/>
    </row>
    <row r="50301" spans="1:6" x14ac:dyDescent="0.25">
      <c r="A50301"/>
      <c r="B50301"/>
      <c r="C50301"/>
      <c r="E50301"/>
      <c r="F50301"/>
    </row>
    <row r="50302" spans="1:6" x14ac:dyDescent="0.25">
      <c r="A50302"/>
      <c r="B50302"/>
      <c r="C50302"/>
      <c r="E50302"/>
      <c r="F50302"/>
    </row>
    <row r="50303" spans="1:6" x14ac:dyDescent="0.25">
      <c r="A50303"/>
      <c r="B50303"/>
      <c r="C50303"/>
      <c r="E50303"/>
      <c r="F50303"/>
    </row>
    <row r="50304" spans="1:6" x14ac:dyDescent="0.25">
      <c r="A50304"/>
      <c r="B50304"/>
      <c r="C50304"/>
      <c r="E50304"/>
      <c r="F50304"/>
    </row>
    <row r="50305" spans="1:6" x14ac:dyDescent="0.25">
      <c r="A50305"/>
      <c r="B50305"/>
      <c r="C50305"/>
      <c r="E50305"/>
      <c r="F50305"/>
    </row>
    <row r="50306" spans="1:6" x14ac:dyDescent="0.25">
      <c r="A50306"/>
      <c r="B50306"/>
      <c r="C50306"/>
      <c r="E50306"/>
      <c r="F50306"/>
    </row>
    <row r="50307" spans="1:6" x14ac:dyDescent="0.25">
      <c r="A50307"/>
      <c r="B50307"/>
      <c r="C50307"/>
      <c r="E50307"/>
      <c r="F50307"/>
    </row>
    <row r="50308" spans="1:6" x14ac:dyDescent="0.25">
      <c r="A50308"/>
      <c r="B50308"/>
      <c r="C50308"/>
      <c r="E50308"/>
      <c r="F50308"/>
    </row>
    <row r="50309" spans="1:6" x14ac:dyDescent="0.25">
      <c r="A50309"/>
      <c r="B50309"/>
      <c r="C50309"/>
      <c r="E50309"/>
      <c r="F50309"/>
    </row>
    <row r="50310" spans="1:6" x14ac:dyDescent="0.25">
      <c r="A50310"/>
      <c r="B50310"/>
      <c r="C50310"/>
      <c r="E50310"/>
      <c r="F50310"/>
    </row>
    <row r="50311" spans="1:6" x14ac:dyDescent="0.25">
      <c r="A50311"/>
      <c r="B50311"/>
      <c r="C50311"/>
      <c r="E50311"/>
      <c r="F50311"/>
    </row>
    <row r="50312" spans="1:6" x14ac:dyDescent="0.25">
      <c r="A50312"/>
      <c r="B50312"/>
      <c r="C50312"/>
      <c r="E50312"/>
      <c r="F50312"/>
    </row>
    <row r="50313" spans="1:6" x14ac:dyDescent="0.25">
      <c r="A50313"/>
      <c r="B50313"/>
      <c r="C50313"/>
      <c r="E50313"/>
      <c r="F50313"/>
    </row>
    <row r="50314" spans="1:6" x14ac:dyDescent="0.25">
      <c r="A50314"/>
      <c r="B50314"/>
      <c r="C50314"/>
      <c r="E50314"/>
      <c r="F50314"/>
    </row>
    <row r="50315" spans="1:6" x14ac:dyDescent="0.25">
      <c r="A50315"/>
      <c r="B50315"/>
      <c r="C50315"/>
      <c r="E50315"/>
      <c r="F50315"/>
    </row>
    <row r="50316" spans="1:6" x14ac:dyDescent="0.25">
      <c r="A50316"/>
      <c r="B50316"/>
      <c r="C50316"/>
      <c r="E50316"/>
      <c r="F50316"/>
    </row>
    <row r="50317" spans="1:6" x14ac:dyDescent="0.25">
      <c r="A50317"/>
      <c r="B50317"/>
      <c r="C50317"/>
      <c r="E50317"/>
      <c r="F50317"/>
    </row>
    <row r="50318" spans="1:6" x14ac:dyDescent="0.25">
      <c r="A50318"/>
      <c r="B50318"/>
      <c r="C50318"/>
      <c r="E50318"/>
      <c r="F50318"/>
    </row>
    <row r="50319" spans="1:6" x14ac:dyDescent="0.25">
      <c r="A50319"/>
      <c r="B50319"/>
      <c r="C50319"/>
      <c r="E50319"/>
      <c r="F50319"/>
    </row>
    <row r="50320" spans="1:6" x14ac:dyDescent="0.25">
      <c r="A50320"/>
      <c r="B50320"/>
      <c r="C50320"/>
      <c r="E50320"/>
      <c r="F50320"/>
    </row>
    <row r="50321" spans="1:6" x14ac:dyDescent="0.25">
      <c r="A50321"/>
      <c r="B50321"/>
      <c r="C50321"/>
      <c r="E50321"/>
      <c r="F50321"/>
    </row>
    <row r="50322" spans="1:6" x14ac:dyDescent="0.25">
      <c r="A50322"/>
      <c r="B50322"/>
      <c r="C50322"/>
      <c r="E50322"/>
      <c r="F50322"/>
    </row>
    <row r="50323" spans="1:6" x14ac:dyDescent="0.25">
      <c r="A50323"/>
      <c r="B50323"/>
      <c r="C50323"/>
      <c r="E50323"/>
      <c r="F50323"/>
    </row>
    <row r="50324" spans="1:6" x14ac:dyDescent="0.25">
      <c r="A50324"/>
      <c r="B50324"/>
      <c r="C50324"/>
      <c r="E50324"/>
      <c r="F50324"/>
    </row>
    <row r="50325" spans="1:6" x14ac:dyDescent="0.25">
      <c r="A50325"/>
      <c r="B50325"/>
      <c r="C50325"/>
      <c r="E50325"/>
      <c r="F50325"/>
    </row>
    <row r="50326" spans="1:6" x14ac:dyDescent="0.25">
      <c r="A50326"/>
      <c r="B50326"/>
      <c r="C50326"/>
      <c r="E50326"/>
      <c r="F50326"/>
    </row>
    <row r="50327" spans="1:6" x14ac:dyDescent="0.25">
      <c r="A50327"/>
      <c r="B50327"/>
      <c r="C50327"/>
      <c r="E50327"/>
      <c r="F50327"/>
    </row>
    <row r="50328" spans="1:6" x14ac:dyDescent="0.25">
      <c r="A50328"/>
      <c r="B50328"/>
      <c r="C50328"/>
      <c r="E50328"/>
      <c r="F50328"/>
    </row>
    <row r="50329" spans="1:6" x14ac:dyDescent="0.25">
      <c r="A50329"/>
      <c r="B50329"/>
      <c r="C50329"/>
      <c r="E50329"/>
      <c r="F50329"/>
    </row>
    <row r="50330" spans="1:6" x14ac:dyDescent="0.25">
      <c r="A50330"/>
      <c r="B50330"/>
      <c r="C50330"/>
      <c r="E50330"/>
      <c r="F50330"/>
    </row>
    <row r="50331" spans="1:6" x14ac:dyDescent="0.25">
      <c r="A50331"/>
      <c r="B50331"/>
      <c r="C50331"/>
      <c r="E50331"/>
      <c r="F50331"/>
    </row>
    <row r="50332" spans="1:6" x14ac:dyDescent="0.25">
      <c r="A50332"/>
      <c r="B50332"/>
      <c r="C50332"/>
      <c r="E50332"/>
      <c r="F50332"/>
    </row>
    <row r="50333" spans="1:6" x14ac:dyDescent="0.25">
      <c r="A50333"/>
      <c r="B50333"/>
      <c r="C50333"/>
      <c r="E50333"/>
      <c r="F50333"/>
    </row>
    <row r="50334" spans="1:6" x14ac:dyDescent="0.25">
      <c r="A50334"/>
      <c r="B50334"/>
      <c r="C50334"/>
      <c r="E50334"/>
      <c r="F50334"/>
    </row>
    <row r="50335" spans="1:6" x14ac:dyDescent="0.25">
      <c r="A50335"/>
      <c r="B50335"/>
      <c r="C50335"/>
      <c r="E50335"/>
      <c r="F50335"/>
    </row>
    <row r="50336" spans="1:6" x14ac:dyDescent="0.25">
      <c r="A50336"/>
      <c r="B50336"/>
      <c r="C50336"/>
      <c r="E50336"/>
      <c r="F50336"/>
    </row>
    <row r="50337" spans="1:6" x14ac:dyDescent="0.25">
      <c r="A50337"/>
      <c r="B50337"/>
      <c r="C50337"/>
      <c r="E50337"/>
      <c r="F50337"/>
    </row>
    <row r="50338" spans="1:6" x14ac:dyDescent="0.25">
      <c r="A50338"/>
      <c r="B50338"/>
      <c r="C50338"/>
      <c r="E50338"/>
      <c r="F50338"/>
    </row>
    <row r="50339" spans="1:6" x14ac:dyDescent="0.25">
      <c r="A50339"/>
      <c r="B50339"/>
      <c r="C50339"/>
      <c r="E50339"/>
      <c r="F50339"/>
    </row>
    <row r="50340" spans="1:6" x14ac:dyDescent="0.25">
      <c r="A50340"/>
      <c r="B50340"/>
      <c r="C50340"/>
      <c r="E50340"/>
      <c r="F50340"/>
    </row>
    <row r="50341" spans="1:6" x14ac:dyDescent="0.25">
      <c r="A50341"/>
      <c r="B50341"/>
      <c r="C50341"/>
      <c r="E50341"/>
      <c r="F50341"/>
    </row>
    <row r="50342" spans="1:6" x14ac:dyDescent="0.25">
      <c r="A50342"/>
      <c r="B50342"/>
      <c r="C50342"/>
      <c r="E50342"/>
      <c r="F50342"/>
    </row>
    <row r="50343" spans="1:6" x14ac:dyDescent="0.25">
      <c r="A50343"/>
      <c r="B50343"/>
      <c r="C50343"/>
      <c r="E50343"/>
      <c r="F50343"/>
    </row>
    <row r="50344" spans="1:6" x14ac:dyDescent="0.25">
      <c r="A50344"/>
      <c r="B50344"/>
      <c r="C50344"/>
      <c r="E50344"/>
      <c r="F50344"/>
    </row>
    <row r="50345" spans="1:6" x14ac:dyDescent="0.25">
      <c r="A50345"/>
      <c r="B50345"/>
      <c r="C50345"/>
      <c r="E50345"/>
      <c r="F50345"/>
    </row>
    <row r="50346" spans="1:6" x14ac:dyDescent="0.25">
      <c r="A50346"/>
      <c r="B50346"/>
      <c r="C50346"/>
      <c r="E50346"/>
      <c r="F50346"/>
    </row>
    <row r="50347" spans="1:6" x14ac:dyDescent="0.25">
      <c r="A50347"/>
      <c r="B50347"/>
      <c r="C50347"/>
      <c r="E50347"/>
      <c r="F50347"/>
    </row>
    <row r="50348" spans="1:6" x14ac:dyDescent="0.25">
      <c r="A50348"/>
      <c r="B50348"/>
      <c r="C50348"/>
      <c r="E50348"/>
      <c r="F50348"/>
    </row>
    <row r="50349" spans="1:6" x14ac:dyDescent="0.25">
      <c r="A50349"/>
      <c r="B50349"/>
      <c r="C50349"/>
      <c r="E50349"/>
      <c r="F50349"/>
    </row>
    <row r="50350" spans="1:6" x14ac:dyDescent="0.25">
      <c r="A50350"/>
      <c r="B50350"/>
      <c r="C50350"/>
      <c r="E50350"/>
      <c r="F50350"/>
    </row>
    <row r="50351" spans="1:6" x14ac:dyDescent="0.25">
      <c r="A50351"/>
      <c r="B50351"/>
      <c r="C50351"/>
      <c r="E50351"/>
      <c r="F50351"/>
    </row>
    <row r="50352" spans="1:6" x14ac:dyDescent="0.25">
      <c r="A50352"/>
      <c r="B50352"/>
      <c r="C50352"/>
      <c r="E50352"/>
      <c r="F50352"/>
    </row>
    <row r="50353" spans="1:6" x14ac:dyDescent="0.25">
      <c r="A50353"/>
      <c r="B50353"/>
      <c r="C50353"/>
      <c r="E50353"/>
      <c r="F50353"/>
    </row>
    <row r="50354" spans="1:6" x14ac:dyDescent="0.25">
      <c r="A50354"/>
      <c r="B50354"/>
      <c r="C50354"/>
      <c r="E50354"/>
      <c r="F50354"/>
    </row>
    <row r="50355" spans="1:6" x14ac:dyDescent="0.25">
      <c r="A50355"/>
      <c r="B50355"/>
      <c r="C50355"/>
      <c r="E50355"/>
      <c r="F50355"/>
    </row>
    <row r="50356" spans="1:6" x14ac:dyDescent="0.25">
      <c r="A50356"/>
      <c r="B50356"/>
      <c r="C50356"/>
      <c r="E50356"/>
      <c r="F50356"/>
    </row>
    <row r="50357" spans="1:6" x14ac:dyDescent="0.25">
      <c r="A50357"/>
      <c r="B50357"/>
      <c r="C50357"/>
      <c r="E50357"/>
      <c r="F50357"/>
    </row>
    <row r="50358" spans="1:6" x14ac:dyDescent="0.25">
      <c r="A50358"/>
      <c r="B50358"/>
      <c r="C50358"/>
      <c r="E50358"/>
      <c r="F50358"/>
    </row>
    <row r="50359" spans="1:6" x14ac:dyDescent="0.25">
      <c r="A50359"/>
      <c r="B50359"/>
      <c r="C50359"/>
      <c r="E50359"/>
      <c r="F50359"/>
    </row>
    <row r="50360" spans="1:6" x14ac:dyDescent="0.25">
      <c r="A50360"/>
      <c r="B50360"/>
      <c r="C50360"/>
      <c r="E50360"/>
      <c r="F50360"/>
    </row>
    <row r="50361" spans="1:6" x14ac:dyDescent="0.25">
      <c r="A50361"/>
      <c r="B50361"/>
      <c r="C50361"/>
      <c r="E50361"/>
      <c r="F50361"/>
    </row>
    <row r="50362" spans="1:6" x14ac:dyDescent="0.25">
      <c r="A50362"/>
      <c r="B50362"/>
      <c r="C50362"/>
      <c r="E50362"/>
      <c r="F50362"/>
    </row>
    <row r="50363" spans="1:6" x14ac:dyDescent="0.25">
      <c r="A50363"/>
      <c r="B50363"/>
      <c r="C50363"/>
      <c r="E50363"/>
      <c r="F50363"/>
    </row>
    <row r="50364" spans="1:6" x14ac:dyDescent="0.25">
      <c r="A50364"/>
      <c r="B50364"/>
      <c r="C50364"/>
      <c r="E50364"/>
      <c r="F50364"/>
    </row>
    <row r="50365" spans="1:6" x14ac:dyDescent="0.25">
      <c r="A50365"/>
      <c r="B50365"/>
      <c r="C50365"/>
      <c r="E50365"/>
      <c r="F50365"/>
    </row>
    <row r="50366" spans="1:6" x14ac:dyDescent="0.25">
      <c r="A50366"/>
      <c r="B50366"/>
      <c r="C50366"/>
      <c r="E50366"/>
      <c r="F50366"/>
    </row>
    <row r="50367" spans="1:6" x14ac:dyDescent="0.25">
      <c r="A50367"/>
      <c r="B50367"/>
      <c r="C50367"/>
      <c r="E50367"/>
      <c r="F50367"/>
    </row>
    <row r="50368" spans="1:6" x14ac:dyDescent="0.25">
      <c r="A50368"/>
      <c r="B50368"/>
      <c r="C50368"/>
      <c r="E50368"/>
      <c r="F50368"/>
    </row>
    <row r="50369" spans="1:6" x14ac:dyDescent="0.25">
      <c r="A50369"/>
      <c r="B50369"/>
      <c r="C50369"/>
      <c r="E50369"/>
      <c r="F50369"/>
    </row>
    <row r="50370" spans="1:6" x14ac:dyDescent="0.25">
      <c r="A50370"/>
      <c r="B50370"/>
      <c r="C50370"/>
      <c r="E50370"/>
      <c r="F50370"/>
    </row>
    <row r="50371" spans="1:6" x14ac:dyDescent="0.25">
      <c r="A50371"/>
      <c r="B50371"/>
      <c r="C50371"/>
      <c r="E50371"/>
      <c r="F50371"/>
    </row>
    <row r="50372" spans="1:6" x14ac:dyDescent="0.25">
      <c r="A50372"/>
      <c r="B50372"/>
      <c r="C50372"/>
      <c r="E50372"/>
      <c r="F50372"/>
    </row>
    <row r="50373" spans="1:6" x14ac:dyDescent="0.25">
      <c r="A50373"/>
      <c r="B50373"/>
      <c r="C50373"/>
      <c r="E50373"/>
      <c r="F50373"/>
    </row>
    <row r="50374" spans="1:6" x14ac:dyDescent="0.25">
      <c r="A50374"/>
      <c r="B50374"/>
      <c r="C50374"/>
      <c r="E50374"/>
      <c r="F50374"/>
    </row>
    <row r="50375" spans="1:6" x14ac:dyDescent="0.25">
      <c r="A50375"/>
      <c r="B50375"/>
      <c r="C50375"/>
      <c r="E50375"/>
      <c r="F50375"/>
    </row>
    <row r="50376" spans="1:6" x14ac:dyDescent="0.25">
      <c r="A50376"/>
      <c r="B50376"/>
      <c r="C50376"/>
      <c r="E50376"/>
      <c r="F50376"/>
    </row>
    <row r="50377" spans="1:6" x14ac:dyDescent="0.25">
      <c r="A50377"/>
      <c r="B50377"/>
      <c r="C50377"/>
      <c r="E50377"/>
      <c r="F50377"/>
    </row>
    <row r="50378" spans="1:6" x14ac:dyDescent="0.25">
      <c r="A50378"/>
      <c r="B50378"/>
      <c r="C50378"/>
      <c r="E50378"/>
      <c r="F50378"/>
    </row>
    <row r="50379" spans="1:6" x14ac:dyDescent="0.25">
      <c r="A50379"/>
      <c r="B50379"/>
      <c r="C50379"/>
      <c r="E50379"/>
      <c r="F50379"/>
    </row>
    <row r="50380" spans="1:6" x14ac:dyDescent="0.25">
      <c r="A50380"/>
      <c r="B50380"/>
      <c r="C50380"/>
      <c r="E50380"/>
      <c r="F50380"/>
    </row>
    <row r="50381" spans="1:6" x14ac:dyDescent="0.25">
      <c r="A50381"/>
      <c r="B50381"/>
      <c r="C50381"/>
      <c r="E50381"/>
      <c r="F50381"/>
    </row>
    <row r="50382" spans="1:6" x14ac:dyDescent="0.25">
      <c r="A50382"/>
      <c r="B50382"/>
      <c r="C50382"/>
      <c r="E50382"/>
      <c r="F50382"/>
    </row>
    <row r="50383" spans="1:6" x14ac:dyDescent="0.25">
      <c r="A50383"/>
      <c r="B50383"/>
      <c r="C50383"/>
      <c r="E50383"/>
      <c r="F50383"/>
    </row>
    <row r="50384" spans="1:6" x14ac:dyDescent="0.25">
      <c r="A50384"/>
      <c r="B50384"/>
      <c r="C50384"/>
      <c r="E50384"/>
      <c r="F50384"/>
    </row>
    <row r="50385" spans="1:6" x14ac:dyDescent="0.25">
      <c r="A50385"/>
      <c r="B50385"/>
      <c r="C50385"/>
      <c r="E50385"/>
      <c r="F50385"/>
    </row>
    <row r="50386" spans="1:6" x14ac:dyDescent="0.25">
      <c r="A50386"/>
      <c r="B50386"/>
      <c r="C50386"/>
      <c r="E50386"/>
      <c r="F50386"/>
    </row>
    <row r="50387" spans="1:6" x14ac:dyDescent="0.25">
      <c r="A50387"/>
      <c r="B50387"/>
      <c r="C50387"/>
      <c r="E50387"/>
      <c r="F50387"/>
    </row>
    <row r="50388" spans="1:6" x14ac:dyDescent="0.25">
      <c r="A50388"/>
      <c r="B50388"/>
      <c r="C50388"/>
      <c r="E50388"/>
      <c r="F50388"/>
    </row>
    <row r="50389" spans="1:6" x14ac:dyDescent="0.25">
      <c r="A50389"/>
      <c r="B50389"/>
      <c r="C50389"/>
      <c r="E50389"/>
      <c r="F50389"/>
    </row>
    <row r="50390" spans="1:6" x14ac:dyDescent="0.25">
      <c r="A50390"/>
      <c r="B50390"/>
      <c r="C50390"/>
      <c r="E50390"/>
      <c r="F50390"/>
    </row>
    <row r="50391" spans="1:6" x14ac:dyDescent="0.25">
      <c r="A50391"/>
      <c r="B50391"/>
      <c r="C50391"/>
      <c r="E50391"/>
      <c r="F50391"/>
    </row>
    <row r="50392" spans="1:6" x14ac:dyDescent="0.25">
      <c r="A50392"/>
      <c r="B50392"/>
      <c r="C50392"/>
      <c r="E50392"/>
      <c r="F50392"/>
    </row>
    <row r="50393" spans="1:6" x14ac:dyDescent="0.25">
      <c r="A50393"/>
      <c r="B50393"/>
      <c r="C50393"/>
      <c r="E50393"/>
      <c r="F50393"/>
    </row>
    <row r="50394" spans="1:6" x14ac:dyDescent="0.25">
      <c r="A50394"/>
      <c r="B50394"/>
      <c r="C50394"/>
      <c r="E50394"/>
      <c r="F50394"/>
    </row>
    <row r="50395" spans="1:6" x14ac:dyDescent="0.25">
      <c r="A50395"/>
      <c r="B50395"/>
      <c r="C50395"/>
      <c r="E50395"/>
      <c r="F50395"/>
    </row>
    <row r="50396" spans="1:6" x14ac:dyDescent="0.25">
      <c r="A50396"/>
      <c r="B50396"/>
      <c r="C50396"/>
      <c r="E50396"/>
      <c r="F50396"/>
    </row>
    <row r="50397" spans="1:6" x14ac:dyDescent="0.25">
      <c r="A50397"/>
      <c r="B50397"/>
      <c r="C50397"/>
      <c r="E50397"/>
      <c r="F50397"/>
    </row>
    <row r="50398" spans="1:6" x14ac:dyDescent="0.25">
      <c r="A50398"/>
      <c r="B50398"/>
      <c r="C50398"/>
      <c r="E50398"/>
      <c r="F50398"/>
    </row>
    <row r="50399" spans="1:6" x14ac:dyDescent="0.25">
      <c r="A50399"/>
      <c r="B50399"/>
      <c r="C50399"/>
      <c r="E50399"/>
      <c r="F50399"/>
    </row>
    <row r="50400" spans="1:6" x14ac:dyDescent="0.25">
      <c r="A50400"/>
      <c r="B50400"/>
      <c r="C50400"/>
      <c r="E50400"/>
      <c r="F50400"/>
    </row>
    <row r="50401" spans="1:6" x14ac:dyDescent="0.25">
      <c r="A50401"/>
      <c r="B50401"/>
      <c r="C50401"/>
      <c r="E50401"/>
      <c r="F50401"/>
    </row>
    <row r="50402" spans="1:6" x14ac:dyDescent="0.25">
      <c r="A50402"/>
      <c r="B50402"/>
      <c r="C50402"/>
      <c r="E50402"/>
      <c r="F50402"/>
    </row>
    <row r="50403" spans="1:6" x14ac:dyDescent="0.25">
      <c r="A50403"/>
      <c r="B50403"/>
      <c r="C50403"/>
      <c r="E50403"/>
      <c r="F50403"/>
    </row>
    <row r="50404" spans="1:6" x14ac:dyDescent="0.25">
      <c r="A50404"/>
      <c r="B50404"/>
      <c r="C50404"/>
      <c r="E50404"/>
      <c r="F50404"/>
    </row>
    <row r="50405" spans="1:6" x14ac:dyDescent="0.25">
      <c r="A50405"/>
      <c r="B50405"/>
      <c r="C50405"/>
      <c r="E50405"/>
      <c r="F50405"/>
    </row>
    <row r="50406" spans="1:6" x14ac:dyDescent="0.25">
      <c r="A50406"/>
      <c r="B50406"/>
      <c r="C50406"/>
      <c r="E50406"/>
      <c r="F50406"/>
    </row>
    <row r="50407" spans="1:6" x14ac:dyDescent="0.25">
      <c r="A50407"/>
      <c r="B50407"/>
      <c r="C50407"/>
      <c r="E50407"/>
      <c r="F50407"/>
    </row>
    <row r="50408" spans="1:6" x14ac:dyDescent="0.25">
      <c r="A50408"/>
      <c r="B50408"/>
      <c r="C50408"/>
      <c r="E50408"/>
      <c r="F50408"/>
    </row>
    <row r="50409" spans="1:6" x14ac:dyDescent="0.25">
      <c r="A50409"/>
      <c r="B50409"/>
      <c r="C50409"/>
      <c r="E50409"/>
      <c r="F50409"/>
    </row>
    <row r="50410" spans="1:6" x14ac:dyDescent="0.25">
      <c r="A50410"/>
      <c r="B50410"/>
      <c r="C50410"/>
      <c r="E50410"/>
      <c r="F50410"/>
    </row>
    <row r="50411" spans="1:6" x14ac:dyDescent="0.25">
      <c r="A50411"/>
      <c r="B50411"/>
      <c r="C50411"/>
      <c r="E50411"/>
      <c r="F50411"/>
    </row>
    <row r="50412" spans="1:6" x14ac:dyDescent="0.25">
      <c r="A50412"/>
      <c r="B50412"/>
      <c r="C50412"/>
      <c r="E50412"/>
      <c r="F50412"/>
    </row>
    <row r="50413" spans="1:6" x14ac:dyDescent="0.25">
      <c r="A50413"/>
      <c r="B50413"/>
      <c r="C50413"/>
      <c r="E50413"/>
      <c r="F50413"/>
    </row>
    <row r="50414" spans="1:6" x14ac:dyDescent="0.25">
      <c r="A50414"/>
      <c r="B50414"/>
      <c r="C50414"/>
      <c r="E50414"/>
      <c r="F50414"/>
    </row>
    <row r="50415" spans="1:6" x14ac:dyDescent="0.25">
      <c r="A50415"/>
      <c r="B50415"/>
      <c r="C50415"/>
      <c r="E50415"/>
      <c r="F50415"/>
    </row>
    <row r="50416" spans="1:6" x14ac:dyDescent="0.25">
      <c r="A50416"/>
      <c r="B50416"/>
      <c r="C50416"/>
      <c r="E50416"/>
      <c r="F50416"/>
    </row>
    <row r="50417" spans="1:6" x14ac:dyDescent="0.25">
      <c r="A50417"/>
      <c r="B50417"/>
      <c r="C50417"/>
      <c r="E50417"/>
      <c r="F50417"/>
    </row>
    <row r="50418" spans="1:6" x14ac:dyDescent="0.25">
      <c r="A50418"/>
      <c r="B50418"/>
      <c r="C50418"/>
      <c r="E50418"/>
      <c r="F50418"/>
    </row>
    <row r="50419" spans="1:6" x14ac:dyDescent="0.25">
      <c r="A50419"/>
      <c r="B50419"/>
      <c r="C50419"/>
      <c r="E50419"/>
      <c r="F50419"/>
    </row>
    <row r="50420" spans="1:6" x14ac:dyDescent="0.25">
      <c r="A50420"/>
      <c r="B50420"/>
      <c r="C50420"/>
      <c r="E50420"/>
      <c r="F50420"/>
    </row>
    <row r="50421" spans="1:6" x14ac:dyDescent="0.25">
      <c r="A50421"/>
      <c r="B50421"/>
      <c r="C50421"/>
      <c r="E50421"/>
      <c r="F50421"/>
    </row>
    <row r="50422" spans="1:6" x14ac:dyDescent="0.25">
      <c r="A50422"/>
      <c r="B50422"/>
      <c r="C50422"/>
      <c r="E50422"/>
      <c r="F50422"/>
    </row>
    <row r="50423" spans="1:6" x14ac:dyDescent="0.25">
      <c r="A50423"/>
      <c r="B50423"/>
      <c r="C50423"/>
      <c r="E50423"/>
      <c r="F50423"/>
    </row>
    <row r="50424" spans="1:6" x14ac:dyDescent="0.25">
      <c r="A50424"/>
      <c r="B50424"/>
      <c r="C50424"/>
      <c r="E50424"/>
      <c r="F50424"/>
    </row>
    <row r="50425" spans="1:6" x14ac:dyDescent="0.25">
      <c r="A50425"/>
      <c r="B50425"/>
      <c r="C50425"/>
      <c r="E50425"/>
      <c r="F50425"/>
    </row>
    <row r="50426" spans="1:6" x14ac:dyDescent="0.25">
      <c r="A50426"/>
      <c r="B50426"/>
      <c r="C50426"/>
      <c r="E50426"/>
      <c r="F50426"/>
    </row>
    <row r="50427" spans="1:6" x14ac:dyDescent="0.25">
      <c r="A50427"/>
      <c r="B50427"/>
      <c r="C50427"/>
      <c r="E50427"/>
      <c r="F50427"/>
    </row>
    <row r="50428" spans="1:6" x14ac:dyDescent="0.25">
      <c r="A50428"/>
      <c r="B50428"/>
      <c r="C50428"/>
      <c r="E50428"/>
      <c r="F50428"/>
    </row>
    <row r="50429" spans="1:6" x14ac:dyDescent="0.25">
      <c r="A50429"/>
      <c r="B50429"/>
      <c r="C50429"/>
      <c r="E50429"/>
      <c r="F50429"/>
    </row>
    <row r="50430" spans="1:6" x14ac:dyDescent="0.25">
      <c r="A50430"/>
      <c r="B50430"/>
      <c r="C50430"/>
      <c r="E50430"/>
      <c r="F50430"/>
    </row>
    <row r="50431" spans="1:6" x14ac:dyDescent="0.25">
      <c r="A50431"/>
      <c r="B50431"/>
      <c r="C50431"/>
      <c r="E50431"/>
      <c r="F50431"/>
    </row>
    <row r="50432" spans="1:6" x14ac:dyDescent="0.25">
      <c r="A50432"/>
      <c r="B50432"/>
      <c r="C50432"/>
      <c r="E50432"/>
      <c r="F50432"/>
    </row>
    <row r="50433" spans="1:6" x14ac:dyDescent="0.25">
      <c r="A50433"/>
      <c r="B50433"/>
      <c r="C50433"/>
      <c r="E50433"/>
      <c r="F50433"/>
    </row>
    <row r="50434" spans="1:6" x14ac:dyDescent="0.25">
      <c r="A50434"/>
      <c r="B50434"/>
      <c r="C50434"/>
      <c r="E50434"/>
      <c r="F50434"/>
    </row>
    <row r="50435" spans="1:6" x14ac:dyDescent="0.25">
      <c r="A50435"/>
      <c r="B50435"/>
      <c r="C50435"/>
      <c r="E50435"/>
      <c r="F50435"/>
    </row>
    <row r="50436" spans="1:6" x14ac:dyDescent="0.25">
      <c r="A50436"/>
      <c r="B50436"/>
      <c r="C50436"/>
      <c r="E50436"/>
      <c r="F50436"/>
    </row>
    <row r="50437" spans="1:6" x14ac:dyDescent="0.25">
      <c r="A50437"/>
      <c r="B50437"/>
      <c r="C50437"/>
      <c r="E50437"/>
      <c r="F50437"/>
    </row>
    <row r="50438" spans="1:6" x14ac:dyDescent="0.25">
      <c r="A50438"/>
      <c r="B50438"/>
      <c r="C50438"/>
      <c r="E50438"/>
      <c r="F50438"/>
    </row>
    <row r="50439" spans="1:6" x14ac:dyDescent="0.25">
      <c r="A50439"/>
      <c r="B50439"/>
      <c r="C50439"/>
      <c r="E50439"/>
      <c r="F50439"/>
    </row>
    <row r="50440" spans="1:6" x14ac:dyDescent="0.25">
      <c r="A50440"/>
      <c r="B50440"/>
      <c r="C50440"/>
      <c r="E50440"/>
      <c r="F50440"/>
    </row>
    <row r="50441" spans="1:6" x14ac:dyDescent="0.25">
      <c r="A50441"/>
      <c r="B50441"/>
      <c r="C50441"/>
      <c r="E50441"/>
      <c r="F50441"/>
    </row>
    <row r="50442" spans="1:6" x14ac:dyDescent="0.25">
      <c r="A50442"/>
      <c r="B50442"/>
      <c r="C50442"/>
      <c r="E50442"/>
      <c r="F50442"/>
    </row>
    <row r="50443" spans="1:6" x14ac:dyDescent="0.25">
      <c r="A50443"/>
      <c r="B50443"/>
      <c r="C50443"/>
      <c r="E50443"/>
      <c r="F50443"/>
    </row>
    <row r="50444" spans="1:6" x14ac:dyDescent="0.25">
      <c r="A50444"/>
      <c r="B50444"/>
      <c r="C50444"/>
      <c r="E50444"/>
      <c r="F50444"/>
    </row>
    <row r="50445" spans="1:6" x14ac:dyDescent="0.25">
      <c r="A50445"/>
      <c r="B50445"/>
      <c r="C50445"/>
      <c r="E50445"/>
      <c r="F50445"/>
    </row>
    <row r="50446" spans="1:6" x14ac:dyDescent="0.25">
      <c r="A50446"/>
      <c r="B50446"/>
      <c r="C50446"/>
      <c r="E50446"/>
      <c r="F50446"/>
    </row>
    <row r="50447" spans="1:6" x14ac:dyDescent="0.25">
      <c r="A50447"/>
      <c r="B50447"/>
      <c r="C50447"/>
      <c r="E50447"/>
      <c r="F50447"/>
    </row>
    <row r="50448" spans="1:6" x14ac:dyDescent="0.25">
      <c r="A50448"/>
      <c r="B50448"/>
      <c r="C50448"/>
      <c r="E50448"/>
      <c r="F50448"/>
    </row>
    <row r="50449" spans="1:6" x14ac:dyDescent="0.25">
      <c r="A50449"/>
      <c r="B50449"/>
      <c r="C50449"/>
      <c r="E50449"/>
      <c r="F50449"/>
    </row>
    <row r="50450" spans="1:6" x14ac:dyDescent="0.25">
      <c r="A50450"/>
      <c r="B50450"/>
      <c r="C50450"/>
      <c r="E50450"/>
      <c r="F50450"/>
    </row>
    <row r="50451" spans="1:6" x14ac:dyDescent="0.25">
      <c r="A50451"/>
      <c r="B50451"/>
      <c r="C50451"/>
      <c r="E50451"/>
      <c r="F50451"/>
    </row>
    <row r="50452" spans="1:6" x14ac:dyDescent="0.25">
      <c r="A50452"/>
      <c r="B50452"/>
      <c r="C50452"/>
      <c r="E50452"/>
      <c r="F50452"/>
    </row>
    <row r="50453" spans="1:6" x14ac:dyDescent="0.25">
      <c r="A50453"/>
      <c r="B50453"/>
      <c r="C50453"/>
      <c r="E50453"/>
      <c r="F50453"/>
    </row>
    <row r="50454" spans="1:6" x14ac:dyDescent="0.25">
      <c r="A50454"/>
      <c r="B50454"/>
      <c r="C50454"/>
      <c r="E50454"/>
      <c r="F50454"/>
    </row>
    <row r="50455" spans="1:6" x14ac:dyDescent="0.25">
      <c r="A50455"/>
      <c r="B50455"/>
      <c r="C50455"/>
      <c r="E50455"/>
      <c r="F50455"/>
    </row>
    <row r="50456" spans="1:6" x14ac:dyDescent="0.25">
      <c r="A50456"/>
      <c r="B50456"/>
      <c r="C50456"/>
      <c r="E50456"/>
      <c r="F50456"/>
    </row>
    <row r="50457" spans="1:6" x14ac:dyDescent="0.25">
      <c r="A50457"/>
      <c r="B50457"/>
      <c r="C50457"/>
      <c r="E50457"/>
      <c r="F50457"/>
    </row>
    <row r="50458" spans="1:6" x14ac:dyDescent="0.25">
      <c r="A50458"/>
      <c r="B50458"/>
      <c r="C50458"/>
      <c r="E50458"/>
      <c r="F50458"/>
    </row>
    <row r="50459" spans="1:6" x14ac:dyDescent="0.25">
      <c r="A50459"/>
      <c r="B50459"/>
      <c r="C50459"/>
      <c r="E50459"/>
      <c r="F50459"/>
    </row>
    <row r="50460" spans="1:6" x14ac:dyDescent="0.25">
      <c r="A50460"/>
      <c r="B50460"/>
      <c r="C50460"/>
      <c r="E50460"/>
      <c r="F50460"/>
    </row>
    <row r="50461" spans="1:6" x14ac:dyDescent="0.25">
      <c r="A50461"/>
      <c r="B50461"/>
      <c r="C50461"/>
      <c r="E50461"/>
      <c r="F50461"/>
    </row>
    <row r="50462" spans="1:6" x14ac:dyDescent="0.25">
      <c r="A50462"/>
      <c r="B50462"/>
      <c r="C50462"/>
      <c r="E50462"/>
      <c r="F50462"/>
    </row>
    <row r="50463" spans="1:6" x14ac:dyDescent="0.25">
      <c r="A50463"/>
      <c r="B50463"/>
      <c r="C50463"/>
      <c r="E50463"/>
      <c r="F50463"/>
    </row>
    <row r="50464" spans="1:6" x14ac:dyDescent="0.25">
      <c r="A50464"/>
      <c r="B50464"/>
      <c r="C50464"/>
      <c r="E50464"/>
      <c r="F50464"/>
    </row>
    <row r="50465" spans="1:6" x14ac:dyDescent="0.25">
      <c r="A50465"/>
      <c r="B50465"/>
      <c r="C50465"/>
      <c r="E50465"/>
      <c r="F50465"/>
    </row>
    <row r="50466" spans="1:6" x14ac:dyDescent="0.25">
      <c r="A50466"/>
      <c r="B50466"/>
      <c r="C50466"/>
      <c r="E50466"/>
      <c r="F50466"/>
    </row>
    <row r="50467" spans="1:6" x14ac:dyDescent="0.25">
      <c r="A50467"/>
      <c r="B50467"/>
      <c r="C50467"/>
      <c r="E50467"/>
      <c r="F50467"/>
    </row>
    <row r="50468" spans="1:6" x14ac:dyDescent="0.25">
      <c r="A50468"/>
      <c r="B50468"/>
      <c r="C50468"/>
      <c r="E50468"/>
      <c r="F50468"/>
    </row>
    <row r="50469" spans="1:6" x14ac:dyDescent="0.25">
      <c r="A50469"/>
      <c r="B50469"/>
      <c r="C50469"/>
      <c r="E50469"/>
      <c r="F50469"/>
    </row>
    <row r="50470" spans="1:6" x14ac:dyDescent="0.25">
      <c r="A50470"/>
      <c r="B50470"/>
      <c r="C50470"/>
      <c r="E50470"/>
      <c r="F50470"/>
    </row>
    <row r="50471" spans="1:6" x14ac:dyDescent="0.25">
      <c r="A50471"/>
      <c r="B50471"/>
      <c r="C50471"/>
      <c r="E50471"/>
      <c r="F50471"/>
    </row>
    <row r="50472" spans="1:6" x14ac:dyDescent="0.25">
      <c r="A50472"/>
      <c r="B50472"/>
      <c r="C50472"/>
      <c r="E50472"/>
      <c r="F50472"/>
    </row>
    <row r="50473" spans="1:6" x14ac:dyDescent="0.25">
      <c r="A50473"/>
      <c r="B50473"/>
      <c r="C50473"/>
      <c r="E50473"/>
      <c r="F50473"/>
    </row>
    <row r="50474" spans="1:6" x14ac:dyDescent="0.25">
      <c r="A50474"/>
      <c r="B50474"/>
      <c r="C50474"/>
      <c r="E50474"/>
      <c r="F50474"/>
    </row>
    <row r="50475" spans="1:6" x14ac:dyDescent="0.25">
      <c r="A50475"/>
      <c r="B50475"/>
      <c r="C50475"/>
      <c r="E50475"/>
      <c r="F50475"/>
    </row>
    <row r="50476" spans="1:6" x14ac:dyDescent="0.25">
      <c r="A50476"/>
      <c r="B50476"/>
      <c r="C50476"/>
      <c r="E50476"/>
      <c r="F50476"/>
    </row>
    <row r="50477" spans="1:6" x14ac:dyDescent="0.25">
      <c r="A50477"/>
      <c r="B50477"/>
      <c r="C50477"/>
      <c r="E50477"/>
      <c r="F50477"/>
    </row>
    <row r="50478" spans="1:6" x14ac:dyDescent="0.25">
      <c r="A50478"/>
      <c r="B50478"/>
      <c r="C50478"/>
      <c r="E50478"/>
      <c r="F50478"/>
    </row>
    <row r="50479" spans="1:6" x14ac:dyDescent="0.25">
      <c r="A50479"/>
      <c r="B50479"/>
      <c r="C50479"/>
      <c r="E50479"/>
      <c r="F50479"/>
    </row>
    <row r="50480" spans="1:6" x14ac:dyDescent="0.25">
      <c r="A50480"/>
      <c r="B50480"/>
      <c r="C50480"/>
      <c r="E50480"/>
      <c r="F50480"/>
    </row>
    <row r="50481" spans="1:6" x14ac:dyDescent="0.25">
      <c r="A50481"/>
      <c r="B50481"/>
      <c r="C50481"/>
      <c r="E50481"/>
      <c r="F50481"/>
    </row>
    <row r="50482" spans="1:6" x14ac:dyDescent="0.25">
      <c r="A50482"/>
      <c r="B50482"/>
      <c r="C50482"/>
      <c r="E50482"/>
      <c r="F50482"/>
    </row>
    <row r="50483" spans="1:6" x14ac:dyDescent="0.25">
      <c r="A50483"/>
      <c r="B50483"/>
      <c r="C50483"/>
      <c r="E50483"/>
      <c r="F50483"/>
    </row>
    <row r="50484" spans="1:6" x14ac:dyDescent="0.25">
      <c r="A50484"/>
      <c r="B50484"/>
      <c r="C50484"/>
      <c r="E50484"/>
      <c r="F50484"/>
    </row>
    <row r="50485" spans="1:6" x14ac:dyDescent="0.25">
      <c r="A50485"/>
      <c r="B50485"/>
      <c r="C50485"/>
      <c r="E50485"/>
      <c r="F50485"/>
    </row>
    <row r="50486" spans="1:6" x14ac:dyDescent="0.25">
      <c r="A50486"/>
      <c r="B50486"/>
      <c r="C50486"/>
      <c r="E50486"/>
      <c r="F50486"/>
    </row>
    <row r="50487" spans="1:6" x14ac:dyDescent="0.25">
      <c r="A50487"/>
      <c r="B50487"/>
      <c r="C50487"/>
      <c r="E50487"/>
      <c r="F50487"/>
    </row>
    <row r="50488" spans="1:6" x14ac:dyDescent="0.25">
      <c r="A50488"/>
      <c r="B50488"/>
      <c r="C50488"/>
      <c r="E50488"/>
      <c r="F50488"/>
    </row>
    <row r="50489" spans="1:6" x14ac:dyDescent="0.25">
      <c r="A50489"/>
      <c r="B50489"/>
      <c r="C50489"/>
      <c r="E50489"/>
      <c r="F50489"/>
    </row>
    <row r="50490" spans="1:6" x14ac:dyDescent="0.25">
      <c r="A50490"/>
      <c r="B50490"/>
      <c r="C50490"/>
      <c r="E50490"/>
      <c r="F50490"/>
    </row>
    <row r="50491" spans="1:6" x14ac:dyDescent="0.25">
      <c r="A50491"/>
      <c r="B50491"/>
      <c r="C50491"/>
      <c r="E50491"/>
      <c r="F50491"/>
    </row>
    <row r="50492" spans="1:6" x14ac:dyDescent="0.25">
      <c r="A50492"/>
      <c r="B50492"/>
      <c r="C50492"/>
      <c r="E50492"/>
      <c r="F50492"/>
    </row>
    <row r="50493" spans="1:6" x14ac:dyDescent="0.25">
      <c r="A50493"/>
      <c r="B50493"/>
      <c r="C50493"/>
      <c r="E50493"/>
      <c r="F50493"/>
    </row>
    <row r="50494" spans="1:6" x14ac:dyDescent="0.25">
      <c r="A50494"/>
      <c r="B50494"/>
      <c r="C50494"/>
      <c r="E50494"/>
      <c r="F50494"/>
    </row>
    <row r="50495" spans="1:6" x14ac:dyDescent="0.25">
      <c r="A50495"/>
      <c r="B50495"/>
      <c r="C50495"/>
      <c r="E50495"/>
      <c r="F50495"/>
    </row>
    <row r="50496" spans="1:6" x14ac:dyDescent="0.25">
      <c r="A50496"/>
      <c r="B50496"/>
      <c r="C50496"/>
      <c r="E50496"/>
      <c r="F50496"/>
    </row>
    <row r="50497" spans="1:6" x14ac:dyDescent="0.25">
      <c r="A50497"/>
      <c r="B50497"/>
      <c r="C50497"/>
      <c r="E50497"/>
      <c r="F50497"/>
    </row>
    <row r="50498" spans="1:6" x14ac:dyDescent="0.25">
      <c r="A50498"/>
      <c r="B50498"/>
      <c r="C50498"/>
      <c r="E50498"/>
      <c r="F50498"/>
    </row>
    <row r="50499" spans="1:6" x14ac:dyDescent="0.25">
      <c r="A50499"/>
      <c r="B50499"/>
      <c r="C50499"/>
      <c r="E50499"/>
      <c r="F50499"/>
    </row>
    <row r="50500" spans="1:6" x14ac:dyDescent="0.25">
      <c r="A50500"/>
      <c r="B50500"/>
      <c r="C50500"/>
      <c r="E50500"/>
      <c r="F50500"/>
    </row>
    <row r="50501" spans="1:6" x14ac:dyDescent="0.25">
      <c r="A50501"/>
      <c r="B50501"/>
      <c r="C50501"/>
      <c r="E50501"/>
      <c r="F50501"/>
    </row>
    <row r="50502" spans="1:6" x14ac:dyDescent="0.25">
      <c r="A50502"/>
      <c r="B50502"/>
      <c r="C50502"/>
      <c r="E50502"/>
      <c r="F50502"/>
    </row>
    <row r="50503" spans="1:6" x14ac:dyDescent="0.25">
      <c r="A50503"/>
      <c r="B50503"/>
      <c r="C50503"/>
      <c r="E50503"/>
      <c r="F50503"/>
    </row>
    <row r="50504" spans="1:6" x14ac:dyDescent="0.25">
      <c r="A50504"/>
      <c r="B50504"/>
      <c r="C50504"/>
      <c r="E50504"/>
      <c r="F50504"/>
    </row>
    <row r="50505" spans="1:6" x14ac:dyDescent="0.25">
      <c r="A50505"/>
      <c r="B50505"/>
      <c r="C50505"/>
      <c r="E50505"/>
      <c r="F50505"/>
    </row>
    <row r="50506" spans="1:6" x14ac:dyDescent="0.25">
      <c r="A50506"/>
      <c r="B50506"/>
      <c r="C50506"/>
      <c r="E50506"/>
      <c r="F50506"/>
    </row>
    <row r="50507" spans="1:6" x14ac:dyDescent="0.25">
      <c r="A50507"/>
      <c r="B50507"/>
      <c r="C50507"/>
      <c r="E50507"/>
      <c r="F50507"/>
    </row>
    <row r="50508" spans="1:6" x14ac:dyDescent="0.25">
      <c r="A50508"/>
      <c r="B50508"/>
      <c r="C50508"/>
      <c r="E50508"/>
      <c r="F50508"/>
    </row>
    <row r="50509" spans="1:6" x14ac:dyDescent="0.25">
      <c r="A50509"/>
      <c r="B50509"/>
      <c r="C50509"/>
      <c r="E50509"/>
      <c r="F50509"/>
    </row>
    <row r="50510" spans="1:6" x14ac:dyDescent="0.25">
      <c r="A50510"/>
      <c r="B50510"/>
      <c r="C50510"/>
      <c r="E50510"/>
      <c r="F50510"/>
    </row>
    <row r="50511" spans="1:6" x14ac:dyDescent="0.25">
      <c r="A50511"/>
      <c r="B50511"/>
      <c r="C50511"/>
      <c r="E50511"/>
      <c r="F50511"/>
    </row>
    <row r="50512" spans="1:6" x14ac:dyDescent="0.25">
      <c r="A50512"/>
      <c r="B50512"/>
      <c r="C50512"/>
      <c r="E50512"/>
      <c r="F50512"/>
    </row>
    <row r="50513" spans="1:6" x14ac:dyDescent="0.25">
      <c r="A50513"/>
      <c r="B50513"/>
      <c r="C50513"/>
      <c r="E50513"/>
      <c r="F50513"/>
    </row>
    <row r="50514" spans="1:6" x14ac:dyDescent="0.25">
      <c r="A50514"/>
      <c r="B50514"/>
      <c r="C50514"/>
      <c r="E50514"/>
      <c r="F50514"/>
    </row>
    <row r="50515" spans="1:6" x14ac:dyDescent="0.25">
      <c r="A50515"/>
      <c r="B50515"/>
      <c r="C50515"/>
      <c r="E50515"/>
      <c r="F50515"/>
    </row>
    <row r="50516" spans="1:6" x14ac:dyDescent="0.25">
      <c r="A50516"/>
      <c r="B50516"/>
      <c r="C50516"/>
      <c r="E50516"/>
      <c r="F50516"/>
    </row>
    <row r="50517" spans="1:6" x14ac:dyDescent="0.25">
      <c r="A50517"/>
      <c r="B50517"/>
      <c r="C50517"/>
      <c r="E50517"/>
      <c r="F50517"/>
    </row>
    <row r="50518" spans="1:6" x14ac:dyDescent="0.25">
      <c r="A50518"/>
      <c r="B50518"/>
      <c r="C50518"/>
      <c r="E50518"/>
      <c r="F50518"/>
    </row>
    <row r="50519" spans="1:6" x14ac:dyDescent="0.25">
      <c r="A50519"/>
      <c r="B50519"/>
      <c r="C50519"/>
      <c r="E50519"/>
      <c r="F50519"/>
    </row>
    <row r="50520" spans="1:6" x14ac:dyDescent="0.25">
      <c r="A50520"/>
      <c r="B50520"/>
      <c r="C50520"/>
      <c r="E50520"/>
      <c r="F50520"/>
    </row>
    <row r="50521" spans="1:6" x14ac:dyDescent="0.25">
      <c r="A50521"/>
      <c r="B50521"/>
      <c r="C50521"/>
      <c r="E50521"/>
      <c r="F50521"/>
    </row>
    <row r="50522" spans="1:6" x14ac:dyDescent="0.25">
      <c r="A50522"/>
      <c r="B50522"/>
      <c r="C50522"/>
      <c r="E50522"/>
      <c r="F50522"/>
    </row>
    <row r="50523" spans="1:6" x14ac:dyDescent="0.25">
      <c r="A50523"/>
      <c r="B50523"/>
      <c r="C50523"/>
      <c r="E50523"/>
      <c r="F50523"/>
    </row>
    <row r="50524" spans="1:6" x14ac:dyDescent="0.25">
      <c r="A50524"/>
      <c r="B50524"/>
      <c r="C50524"/>
      <c r="E50524"/>
      <c r="F50524"/>
    </row>
    <row r="50525" spans="1:6" x14ac:dyDescent="0.25">
      <c r="A50525"/>
      <c r="B50525"/>
      <c r="C50525"/>
      <c r="E50525"/>
      <c r="F50525"/>
    </row>
    <row r="50526" spans="1:6" x14ac:dyDescent="0.25">
      <c r="A50526"/>
      <c r="B50526"/>
      <c r="C50526"/>
      <c r="E50526"/>
      <c r="F50526"/>
    </row>
    <row r="50527" spans="1:6" x14ac:dyDescent="0.25">
      <c r="A50527"/>
      <c r="B50527"/>
      <c r="C50527"/>
      <c r="E50527"/>
      <c r="F50527"/>
    </row>
    <row r="50528" spans="1:6" x14ac:dyDescent="0.25">
      <c r="A50528"/>
      <c r="B50528"/>
      <c r="C50528"/>
      <c r="E50528"/>
      <c r="F50528"/>
    </row>
    <row r="50529" spans="1:6" x14ac:dyDescent="0.25">
      <c r="A50529"/>
      <c r="B50529"/>
      <c r="C50529"/>
      <c r="E50529"/>
      <c r="F50529"/>
    </row>
    <row r="50530" spans="1:6" x14ac:dyDescent="0.25">
      <c r="A50530"/>
      <c r="B50530"/>
      <c r="C50530"/>
      <c r="E50530"/>
      <c r="F50530"/>
    </row>
    <row r="50531" spans="1:6" x14ac:dyDescent="0.25">
      <c r="A50531"/>
      <c r="B50531"/>
      <c r="C50531"/>
      <c r="E50531"/>
      <c r="F50531"/>
    </row>
    <row r="50532" spans="1:6" x14ac:dyDescent="0.25">
      <c r="A50532"/>
      <c r="B50532"/>
      <c r="C50532"/>
      <c r="E50532"/>
      <c r="F50532"/>
    </row>
    <row r="50533" spans="1:6" x14ac:dyDescent="0.25">
      <c r="A50533"/>
      <c r="B50533"/>
      <c r="C50533"/>
      <c r="E50533"/>
      <c r="F50533"/>
    </row>
    <row r="50534" spans="1:6" x14ac:dyDescent="0.25">
      <c r="A50534"/>
      <c r="B50534"/>
      <c r="C50534"/>
      <c r="E50534"/>
      <c r="F50534"/>
    </row>
    <row r="50535" spans="1:6" x14ac:dyDescent="0.25">
      <c r="A50535"/>
      <c r="B50535"/>
      <c r="C50535"/>
      <c r="E50535"/>
      <c r="F50535"/>
    </row>
    <row r="50536" spans="1:6" x14ac:dyDescent="0.25">
      <c r="A50536"/>
      <c r="B50536"/>
      <c r="C50536"/>
      <c r="E50536"/>
      <c r="F50536"/>
    </row>
    <row r="50537" spans="1:6" x14ac:dyDescent="0.25">
      <c r="A50537"/>
      <c r="B50537"/>
      <c r="C50537"/>
      <c r="E50537"/>
      <c r="F50537"/>
    </row>
    <row r="50538" spans="1:6" x14ac:dyDescent="0.25">
      <c r="A50538"/>
      <c r="B50538"/>
      <c r="C50538"/>
      <c r="E50538"/>
      <c r="F50538"/>
    </row>
    <row r="50539" spans="1:6" x14ac:dyDescent="0.25">
      <c r="A50539"/>
      <c r="B50539"/>
      <c r="C50539"/>
      <c r="E50539"/>
      <c r="F50539"/>
    </row>
    <row r="50540" spans="1:6" x14ac:dyDescent="0.25">
      <c r="A50540"/>
      <c r="B50540"/>
      <c r="C50540"/>
      <c r="E50540"/>
      <c r="F50540"/>
    </row>
    <row r="50541" spans="1:6" x14ac:dyDescent="0.25">
      <c r="A50541"/>
      <c r="B50541"/>
      <c r="C50541"/>
      <c r="E50541"/>
      <c r="F50541"/>
    </row>
    <row r="50542" spans="1:6" x14ac:dyDescent="0.25">
      <c r="A50542"/>
      <c r="B50542"/>
      <c r="C50542"/>
      <c r="E50542"/>
      <c r="F50542"/>
    </row>
    <row r="50543" spans="1:6" x14ac:dyDescent="0.25">
      <c r="A50543"/>
      <c r="B50543"/>
      <c r="C50543"/>
      <c r="E50543"/>
      <c r="F50543"/>
    </row>
    <row r="50544" spans="1:6" x14ac:dyDescent="0.25">
      <c r="A50544"/>
      <c r="B50544"/>
      <c r="C50544"/>
      <c r="E50544"/>
      <c r="F50544"/>
    </row>
    <row r="50545" spans="1:6" x14ac:dyDescent="0.25">
      <c r="A50545"/>
      <c r="B50545"/>
      <c r="C50545"/>
      <c r="E50545"/>
      <c r="F50545"/>
    </row>
    <row r="50546" spans="1:6" x14ac:dyDescent="0.25">
      <c r="A50546"/>
      <c r="B50546"/>
      <c r="C50546"/>
      <c r="E50546"/>
      <c r="F50546"/>
    </row>
    <row r="50547" spans="1:6" x14ac:dyDescent="0.25">
      <c r="A50547"/>
      <c r="B50547"/>
      <c r="C50547"/>
      <c r="E50547"/>
      <c r="F50547"/>
    </row>
    <row r="50548" spans="1:6" x14ac:dyDescent="0.25">
      <c r="A50548"/>
      <c r="B50548"/>
      <c r="C50548"/>
      <c r="E50548"/>
      <c r="F50548"/>
    </row>
    <row r="50549" spans="1:6" x14ac:dyDescent="0.25">
      <c r="A50549"/>
      <c r="B50549"/>
      <c r="C50549"/>
      <c r="E50549"/>
      <c r="F50549"/>
    </row>
    <row r="50550" spans="1:6" x14ac:dyDescent="0.25">
      <c r="A50550"/>
      <c r="B50550"/>
      <c r="C50550"/>
      <c r="E50550"/>
      <c r="F50550"/>
    </row>
    <row r="50551" spans="1:6" x14ac:dyDescent="0.25">
      <c r="A50551"/>
      <c r="B50551"/>
      <c r="C50551"/>
      <c r="E50551"/>
      <c r="F50551"/>
    </row>
    <row r="50552" spans="1:6" x14ac:dyDescent="0.25">
      <c r="A50552"/>
      <c r="B50552"/>
      <c r="C50552"/>
      <c r="E50552"/>
      <c r="F50552"/>
    </row>
    <row r="50553" spans="1:6" x14ac:dyDescent="0.25">
      <c r="A50553"/>
      <c r="B50553"/>
      <c r="C50553"/>
      <c r="E50553"/>
      <c r="F50553"/>
    </row>
    <row r="50554" spans="1:6" x14ac:dyDescent="0.25">
      <c r="A50554"/>
      <c r="B50554"/>
      <c r="C50554"/>
      <c r="E50554"/>
      <c r="F50554"/>
    </row>
    <row r="50555" spans="1:6" x14ac:dyDescent="0.25">
      <c r="A50555"/>
      <c r="B50555"/>
      <c r="C50555"/>
      <c r="E50555"/>
      <c r="F50555"/>
    </row>
    <row r="50556" spans="1:6" x14ac:dyDescent="0.25">
      <c r="A50556"/>
      <c r="B50556"/>
      <c r="C50556"/>
      <c r="E50556"/>
      <c r="F50556"/>
    </row>
    <row r="50557" spans="1:6" x14ac:dyDescent="0.25">
      <c r="A50557"/>
      <c r="B50557"/>
      <c r="C50557"/>
      <c r="E50557"/>
      <c r="F50557"/>
    </row>
    <row r="50558" spans="1:6" x14ac:dyDescent="0.25">
      <c r="A50558"/>
      <c r="B50558"/>
      <c r="C50558"/>
      <c r="E50558"/>
      <c r="F50558"/>
    </row>
    <row r="50559" spans="1:6" x14ac:dyDescent="0.25">
      <c r="A50559"/>
      <c r="B50559"/>
      <c r="C50559"/>
      <c r="E50559"/>
      <c r="F50559"/>
    </row>
    <row r="50560" spans="1:6" x14ac:dyDescent="0.25">
      <c r="A50560"/>
      <c r="B50560"/>
      <c r="C50560"/>
      <c r="E50560"/>
      <c r="F50560"/>
    </row>
    <row r="50561" spans="1:6" x14ac:dyDescent="0.25">
      <c r="A50561"/>
      <c r="B50561"/>
      <c r="C50561"/>
      <c r="E50561"/>
      <c r="F50561"/>
    </row>
    <row r="50562" spans="1:6" x14ac:dyDescent="0.25">
      <c r="A50562"/>
      <c r="B50562"/>
      <c r="C50562"/>
      <c r="E50562"/>
      <c r="F50562"/>
    </row>
    <row r="50563" spans="1:6" x14ac:dyDescent="0.25">
      <c r="A50563"/>
      <c r="B50563"/>
      <c r="C50563"/>
      <c r="E50563"/>
      <c r="F50563"/>
    </row>
    <row r="50564" spans="1:6" x14ac:dyDescent="0.25">
      <c r="A50564"/>
      <c r="B50564"/>
      <c r="C50564"/>
      <c r="E50564"/>
      <c r="F50564"/>
    </row>
    <row r="50565" spans="1:6" x14ac:dyDescent="0.25">
      <c r="A50565"/>
      <c r="B50565"/>
      <c r="C50565"/>
      <c r="E50565"/>
      <c r="F50565"/>
    </row>
    <row r="50566" spans="1:6" x14ac:dyDescent="0.25">
      <c r="A50566"/>
      <c r="B50566"/>
      <c r="C50566"/>
      <c r="E50566"/>
      <c r="F50566"/>
    </row>
    <row r="50567" spans="1:6" x14ac:dyDescent="0.25">
      <c r="A50567"/>
      <c r="B50567"/>
      <c r="C50567"/>
      <c r="E50567"/>
      <c r="F50567"/>
    </row>
    <row r="50568" spans="1:6" x14ac:dyDescent="0.25">
      <c r="A50568"/>
      <c r="B50568"/>
      <c r="C50568"/>
      <c r="E50568"/>
      <c r="F50568"/>
    </row>
    <row r="50569" spans="1:6" x14ac:dyDescent="0.25">
      <c r="A50569"/>
      <c r="B50569"/>
      <c r="C50569"/>
      <c r="E50569"/>
      <c r="F50569"/>
    </row>
    <row r="50570" spans="1:6" x14ac:dyDescent="0.25">
      <c r="A50570"/>
      <c r="B50570"/>
      <c r="C50570"/>
      <c r="E50570"/>
      <c r="F50570"/>
    </row>
    <row r="50571" spans="1:6" x14ac:dyDescent="0.25">
      <c r="A50571"/>
      <c r="B50571"/>
      <c r="C50571"/>
      <c r="E50571"/>
      <c r="F50571"/>
    </row>
    <row r="50572" spans="1:6" x14ac:dyDescent="0.25">
      <c r="A50572"/>
      <c r="B50572"/>
      <c r="C50572"/>
      <c r="E50572"/>
      <c r="F50572"/>
    </row>
    <row r="50573" spans="1:6" x14ac:dyDescent="0.25">
      <c r="A50573"/>
      <c r="B50573"/>
      <c r="C50573"/>
      <c r="E50573"/>
      <c r="F50573"/>
    </row>
    <row r="50574" spans="1:6" x14ac:dyDescent="0.25">
      <c r="A50574"/>
      <c r="B50574"/>
      <c r="C50574"/>
      <c r="E50574"/>
      <c r="F50574"/>
    </row>
    <row r="50575" spans="1:6" x14ac:dyDescent="0.25">
      <c r="A50575"/>
      <c r="B50575"/>
      <c r="C50575"/>
      <c r="E50575"/>
      <c r="F50575"/>
    </row>
    <row r="50576" spans="1:6" x14ac:dyDescent="0.25">
      <c r="A50576"/>
      <c r="B50576"/>
      <c r="C50576"/>
      <c r="E50576"/>
      <c r="F50576"/>
    </row>
    <row r="50577" spans="1:6" x14ac:dyDescent="0.25">
      <c r="A50577"/>
      <c r="B50577"/>
      <c r="C50577"/>
      <c r="E50577"/>
      <c r="F50577"/>
    </row>
    <row r="50578" spans="1:6" x14ac:dyDescent="0.25">
      <c r="A50578"/>
      <c r="B50578"/>
      <c r="C50578"/>
      <c r="E50578"/>
      <c r="F50578"/>
    </row>
    <row r="50579" spans="1:6" x14ac:dyDescent="0.25">
      <c r="A50579"/>
      <c r="B50579"/>
      <c r="C50579"/>
      <c r="E50579"/>
      <c r="F50579"/>
    </row>
    <row r="50580" spans="1:6" x14ac:dyDescent="0.25">
      <c r="A50580"/>
      <c r="B50580"/>
      <c r="C50580"/>
      <c r="E50580"/>
      <c r="F50580"/>
    </row>
    <row r="50581" spans="1:6" x14ac:dyDescent="0.25">
      <c r="A50581"/>
      <c r="B50581"/>
      <c r="C50581"/>
      <c r="E50581"/>
      <c r="F50581"/>
    </row>
    <row r="50582" spans="1:6" x14ac:dyDescent="0.25">
      <c r="A50582"/>
      <c r="B50582"/>
      <c r="C50582"/>
      <c r="E50582"/>
      <c r="F50582"/>
    </row>
    <row r="50583" spans="1:6" x14ac:dyDescent="0.25">
      <c r="A50583"/>
      <c r="B50583"/>
      <c r="C50583"/>
      <c r="E50583"/>
      <c r="F50583"/>
    </row>
    <row r="50584" spans="1:6" x14ac:dyDescent="0.25">
      <c r="A50584"/>
      <c r="B50584"/>
      <c r="C50584"/>
      <c r="E50584"/>
      <c r="F50584"/>
    </row>
    <row r="50585" spans="1:6" x14ac:dyDescent="0.25">
      <c r="A50585"/>
      <c r="B50585"/>
      <c r="C50585"/>
      <c r="E50585"/>
      <c r="F50585"/>
    </row>
    <row r="50586" spans="1:6" x14ac:dyDescent="0.25">
      <c r="A50586"/>
      <c r="B50586"/>
      <c r="C50586"/>
      <c r="E50586"/>
      <c r="F50586"/>
    </row>
    <row r="50587" spans="1:6" x14ac:dyDescent="0.25">
      <c r="A50587"/>
      <c r="B50587"/>
      <c r="C50587"/>
      <c r="E50587"/>
      <c r="F50587"/>
    </row>
    <row r="50588" spans="1:6" x14ac:dyDescent="0.25">
      <c r="A50588"/>
      <c r="B50588"/>
      <c r="C50588"/>
      <c r="E50588"/>
      <c r="F50588"/>
    </row>
    <row r="50589" spans="1:6" x14ac:dyDescent="0.25">
      <c r="A50589"/>
      <c r="B50589"/>
      <c r="C50589"/>
      <c r="E50589"/>
      <c r="F50589"/>
    </row>
    <row r="50590" spans="1:6" x14ac:dyDescent="0.25">
      <c r="A50590"/>
      <c r="B50590"/>
      <c r="C50590"/>
      <c r="E50590"/>
      <c r="F50590"/>
    </row>
    <row r="50591" spans="1:6" x14ac:dyDescent="0.25">
      <c r="A50591"/>
      <c r="B50591"/>
      <c r="C50591"/>
      <c r="E50591"/>
      <c r="F50591"/>
    </row>
    <row r="50592" spans="1:6" x14ac:dyDescent="0.25">
      <c r="A50592"/>
      <c r="B50592"/>
      <c r="C50592"/>
      <c r="E50592"/>
      <c r="F50592"/>
    </row>
    <row r="50593" spans="1:6" x14ac:dyDescent="0.25">
      <c r="A50593"/>
      <c r="B50593"/>
      <c r="C50593"/>
      <c r="E50593"/>
      <c r="F50593"/>
    </row>
    <row r="50594" spans="1:6" x14ac:dyDescent="0.25">
      <c r="A50594"/>
      <c r="B50594"/>
      <c r="C50594"/>
      <c r="E50594"/>
      <c r="F50594"/>
    </row>
    <row r="50595" spans="1:6" x14ac:dyDescent="0.25">
      <c r="A50595"/>
      <c r="B50595"/>
      <c r="C50595"/>
      <c r="E50595"/>
      <c r="F50595"/>
    </row>
    <row r="50596" spans="1:6" x14ac:dyDescent="0.25">
      <c r="A50596"/>
      <c r="B50596"/>
      <c r="C50596"/>
      <c r="E50596"/>
      <c r="F50596"/>
    </row>
    <row r="50597" spans="1:6" x14ac:dyDescent="0.25">
      <c r="A50597"/>
      <c r="B50597"/>
      <c r="C50597"/>
      <c r="E50597"/>
      <c r="F50597"/>
    </row>
    <row r="50598" spans="1:6" x14ac:dyDescent="0.25">
      <c r="A50598"/>
      <c r="B50598"/>
      <c r="C50598"/>
      <c r="E50598"/>
      <c r="F50598"/>
    </row>
    <row r="50599" spans="1:6" x14ac:dyDescent="0.25">
      <c r="A50599"/>
      <c r="B50599"/>
      <c r="C50599"/>
      <c r="E50599"/>
      <c r="F50599"/>
    </row>
    <row r="50600" spans="1:6" x14ac:dyDescent="0.25">
      <c r="A50600"/>
      <c r="B50600"/>
      <c r="C50600"/>
      <c r="E50600"/>
      <c r="F50600"/>
    </row>
    <row r="50601" spans="1:6" x14ac:dyDescent="0.25">
      <c r="A50601"/>
      <c r="B50601"/>
      <c r="C50601"/>
      <c r="E50601"/>
      <c r="F50601"/>
    </row>
    <row r="50602" spans="1:6" x14ac:dyDescent="0.25">
      <c r="A50602"/>
      <c r="B50602"/>
      <c r="C50602"/>
      <c r="E50602"/>
      <c r="F50602"/>
    </row>
    <row r="50603" spans="1:6" x14ac:dyDescent="0.25">
      <c r="A50603"/>
      <c r="B50603"/>
      <c r="C50603"/>
      <c r="E50603"/>
      <c r="F50603"/>
    </row>
    <row r="50604" spans="1:6" x14ac:dyDescent="0.25">
      <c r="A50604"/>
      <c r="B50604"/>
      <c r="C50604"/>
      <c r="E50604"/>
      <c r="F50604"/>
    </row>
    <row r="50605" spans="1:6" x14ac:dyDescent="0.25">
      <c r="A50605"/>
      <c r="B50605"/>
      <c r="C50605"/>
      <c r="E50605"/>
      <c r="F50605"/>
    </row>
    <row r="50606" spans="1:6" x14ac:dyDescent="0.25">
      <c r="A50606"/>
      <c r="B50606"/>
      <c r="C50606"/>
      <c r="E50606"/>
      <c r="F50606"/>
    </row>
    <row r="50607" spans="1:6" x14ac:dyDescent="0.25">
      <c r="A50607"/>
      <c r="B50607"/>
      <c r="C50607"/>
      <c r="E50607"/>
      <c r="F50607"/>
    </row>
    <row r="50608" spans="1:6" x14ac:dyDescent="0.25">
      <c r="A50608"/>
      <c r="B50608"/>
      <c r="C50608"/>
      <c r="E50608"/>
      <c r="F50608"/>
    </row>
    <row r="50609" spans="1:6" x14ac:dyDescent="0.25">
      <c r="A50609"/>
      <c r="B50609"/>
      <c r="C50609"/>
      <c r="E50609"/>
      <c r="F50609"/>
    </row>
    <row r="50610" spans="1:6" x14ac:dyDescent="0.25">
      <c r="A50610"/>
      <c r="B50610"/>
      <c r="C50610"/>
      <c r="E50610"/>
      <c r="F50610"/>
    </row>
    <row r="50611" spans="1:6" x14ac:dyDescent="0.25">
      <c r="A50611"/>
      <c r="B50611"/>
      <c r="C50611"/>
      <c r="E50611"/>
      <c r="F50611"/>
    </row>
    <row r="50612" spans="1:6" x14ac:dyDescent="0.25">
      <c r="A50612"/>
      <c r="B50612"/>
      <c r="C50612"/>
      <c r="E50612"/>
      <c r="F50612"/>
    </row>
    <row r="50613" spans="1:6" x14ac:dyDescent="0.25">
      <c r="A50613"/>
      <c r="B50613"/>
      <c r="C50613"/>
      <c r="E50613"/>
      <c r="F50613"/>
    </row>
    <row r="50614" spans="1:6" x14ac:dyDescent="0.25">
      <c r="A50614"/>
      <c r="B50614"/>
      <c r="C50614"/>
      <c r="E50614"/>
      <c r="F50614"/>
    </row>
    <row r="50615" spans="1:6" x14ac:dyDescent="0.25">
      <c r="A50615"/>
      <c r="B50615"/>
      <c r="C50615"/>
      <c r="E50615"/>
      <c r="F50615"/>
    </row>
    <row r="50616" spans="1:6" x14ac:dyDescent="0.25">
      <c r="A50616"/>
      <c r="B50616"/>
      <c r="C50616"/>
      <c r="E50616"/>
      <c r="F50616"/>
    </row>
    <row r="50617" spans="1:6" x14ac:dyDescent="0.25">
      <c r="A50617"/>
      <c r="B50617"/>
      <c r="C50617"/>
      <c r="E50617"/>
      <c r="F50617"/>
    </row>
    <row r="50618" spans="1:6" x14ac:dyDescent="0.25">
      <c r="A50618"/>
      <c r="B50618"/>
      <c r="C50618"/>
      <c r="E50618"/>
      <c r="F50618"/>
    </row>
    <row r="50619" spans="1:6" x14ac:dyDescent="0.25">
      <c r="A50619"/>
      <c r="B50619"/>
      <c r="C50619"/>
      <c r="E50619"/>
      <c r="F50619"/>
    </row>
    <row r="50620" spans="1:6" x14ac:dyDescent="0.25">
      <c r="A50620"/>
      <c r="B50620"/>
      <c r="C50620"/>
      <c r="E50620"/>
      <c r="F50620"/>
    </row>
    <row r="50621" spans="1:6" x14ac:dyDescent="0.25">
      <c r="A50621"/>
      <c r="B50621"/>
      <c r="C50621"/>
      <c r="E50621"/>
      <c r="F50621"/>
    </row>
    <row r="50622" spans="1:6" x14ac:dyDescent="0.25">
      <c r="A50622"/>
      <c r="B50622"/>
      <c r="C50622"/>
      <c r="E50622"/>
      <c r="F50622"/>
    </row>
    <row r="50623" spans="1:6" x14ac:dyDescent="0.25">
      <c r="A50623"/>
      <c r="B50623"/>
      <c r="C50623"/>
      <c r="E50623"/>
      <c r="F50623"/>
    </row>
    <row r="50624" spans="1:6" x14ac:dyDescent="0.25">
      <c r="A50624"/>
      <c r="B50624"/>
      <c r="C50624"/>
      <c r="E50624"/>
      <c r="F50624"/>
    </row>
    <row r="50625" spans="1:6" x14ac:dyDescent="0.25">
      <c r="A50625"/>
      <c r="B50625"/>
      <c r="C50625"/>
      <c r="E50625"/>
      <c r="F50625"/>
    </row>
    <row r="50626" spans="1:6" x14ac:dyDescent="0.25">
      <c r="A50626"/>
      <c r="B50626"/>
      <c r="C50626"/>
      <c r="E50626"/>
      <c r="F50626"/>
    </row>
    <row r="50627" spans="1:6" x14ac:dyDescent="0.25">
      <c r="A50627"/>
      <c r="B50627"/>
      <c r="C50627"/>
      <c r="E50627"/>
      <c r="F50627"/>
    </row>
    <row r="50628" spans="1:6" x14ac:dyDescent="0.25">
      <c r="A50628"/>
      <c r="B50628"/>
      <c r="C50628"/>
      <c r="E50628"/>
      <c r="F50628"/>
    </row>
    <row r="50629" spans="1:6" x14ac:dyDescent="0.25">
      <c r="A50629"/>
      <c r="B50629"/>
      <c r="C50629"/>
      <c r="E50629"/>
      <c r="F50629"/>
    </row>
    <row r="50630" spans="1:6" x14ac:dyDescent="0.25">
      <c r="A50630"/>
      <c r="B50630"/>
      <c r="C50630"/>
      <c r="E50630"/>
      <c r="F50630"/>
    </row>
    <row r="50631" spans="1:6" x14ac:dyDescent="0.25">
      <c r="A50631"/>
      <c r="B50631"/>
      <c r="C50631"/>
      <c r="E50631"/>
      <c r="F50631"/>
    </row>
    <row r="50632" spans="1:6" x14ac:dyDescent="0.25">
      <c r="A50632"/>
      <c r="B50632"/>
      <c r="C50632"/>
      <c r="E50632"/>
      <c r="F50632"/>
    </row>
    <row r="50633" spans="1:6" x14ac:dyDescent="0.25">
      <c r="A50633"/>
      <c r="B50633"/>
      <c r="C50633"/>
      <c r="E50633"/>
      <c r="F50633"/>
    </row>
    <row r="50634" spans="1:6" x14ac:dyDescent="0.25">
      <c r="A50634"/>
      <c r="B50634"/>
      <c r="C50634"/>
      <c r="E50634"/>
      <c r="F50634"/>
    </row>
    <row r="50635" spans="1:6" x14ac:dyDescent="0.25">
      <c r="A50635"/>
      <c r="B50635"/>
      <c r="C50635"/>
      <c r="E50635"/>
      <c r="F50635"/>
    </row>
    <row r="50636" spans="1:6" x14ac:dyDescent="0.25">
      <c r="A50636"/>
      <c r="B50636"/>
      <c r="C50636"/>
      <c r="E50636"/>
      <c r="F50636"/>
    </row>
    <row r="50637" spans="1:6" x14ac:dyDescent="0.25">
      <c r="A50637"/>
      <c r="B50637"/>
      <c r="C50637"/>
      <c r="E50637"/>
      <c r="F50637"/>
    </row>
    <row r="50638" spans="1:6" x14ac:dyDescent="0.25">
      <c r="A50638"/>
      <c r="B50638"/>
      <c r="C50638"/>
      <c r="E50638"/>
      <c r="F50638"/>
    </row>
    <row r="50639" spans="1:6" x14ac:dyDescent="0.25">
      <c r="A50639"/>
      <c r="B50639"/>
      <c r="C50639"/>
      <c r="E50639"/>
      <c r="F50639"/>
    </row>
    <row r="50640" spans="1:6" x14ac:dyDescent="0.25">
      <c r="A50640"/>
      <c r="B50640"/>
      <c r="C50640"/>
      <c r="E50640"/>
      <c r="F50640"/>
    </row>
    <row r="50641" spans="1:6" x14ac:dyDescent="0.25">
      <c r="A50641"/>
      <c r="B50641"/>
      <c r="C50641"/>
      <c r="E50641"/>
      <c r="F50641"/>
    </row>
    <row r="50642" spans="1:6" x14ac:dyDescent="0.25">
      <c r="A50642"/>
      <c r="B50642"/>
      <c r="C50642"/>
      <c r="E50642"/>
      <c r="F50642"/>
    </row>
    <row r="50643" spans="1:6" x14ac:dyDescent="0.25">
      <c r="A50643"/>
      <c r="B50643"/>
      <c r="C50643"/>
      <c r="E50643"/>
      <c r="F50643"/>
    </row>
    <row r="50644" spans="1:6" x14ac:dyDescent="0.25">
      <c r="A50644"/>
      <c r="B50644"/>
      <c r="C50644"/>
      <c r="E50644"/>
      <c r="F50644"/>
    </row>
    <row r="50645" spans="1:6" x14ac:dyDescent="0.25">
      <c r="A50645"/>
      <c r="B50645"/>
      <c r="C50645"/>
      <c r="E50645"/>
      <c r="F50645"/>
    </row>
    <row r="50646" spans="1:6" x14ac:dyDescent="0.25">
      <c r="A50646"/>
      <c r="B50646"/>
      <c r="C50646"/>
      <c r="E50646"/>
      <c r="F50646"/>
    </row>
    <row r="50647" spans="1:6" x14ac:dyDescent="0.25">
      <c r="A50647"/>
      <c r="B50647"/>
      <c r="C50647"/>
      <c r="E50647"/>
      <c r="F50647"/>
    </row>
    <row r="50648" spans="1:6" x14ac:dyDescent="0.25">
      <c r="A50648"/>
      <c r="B50648"/>
      <c r="C50648"/>
      <c r="E50648"/>
      <c r="F50648"/>
    </row>
    <row r="50649" spans="1:6" x14ac:dyDescent="0.25">
      <c r="A50649"/>
      <c r="B50649"/>
      <c r="C50649"/>
      <c r="E50649"/>
      <c r="F50649"/>
    </row>
    <row r="50650" spans="1:6" x14ac:dyDescent="0.25">
      <c r="A50650"/>
      <c r="B50650"/>
      <c r="C50650"/>
      <c r="E50650"/>
      <c r="F50650"/>
    </row>
    <row r="50651" spans="1:6" x14ac:dyDescent="0.25">
      <c r="A50651"/>
      <c r="B50651"/>
      <c r="C50651"/>
      <c r="E50651"/>
      <c r="F50651"/>
    </row>
    <row r="50652" spans="1:6" x14ac:dyDescent="0.25">
      <c r="A50652"/>
      <c r="B50652"/>
      <c r="C50652"/>
      <c r="E50652"/>
      <c r="F50652"/>
    </row>
    <row r="50653" spans="1:6" x14ac:dyDescent="0.25">
      <c r="A50653"/>
      <c r="B50653"/>
      <c r="C50653"/>
      <c r="E50653"/>
      <c r="F50653"/>
    </row>
    <row r="50654" spans="1:6" x14ac:dyDescent="0.25">
      <c r="A50654"/>
      <c r="B50654"/>
      <c r="C50654"/>
      <c r="E50654"/>
      <c r="F50654"/>
    </row>
    <row r="50655" spans="1:6" x14ac:dyDescent="0.25">
      <c r="A50655"/>
      <c r="B50655"/>
      <c r="C50655"/>
      <c r="E50655"/>
      <c r="F50655"/>
    </row>
    <row r="50656" spans="1:6" x14ac:dyDescent="0.25">
      <c r="A50656"/>
      <c r="B50656"/>
      <c r="C50656"/>
      <c r="E50656"/>
      <c r="F50656"/>
    </row>
    <row r="50657" spans="1:6" x14ac:dyDescent="0.25">
      <c r="A50657"/>
      <c r="B50657"/>
      <c r="C50657"/>
      <c r="E50657"/>
      <c r="F50657"/>
    </row>
    <row r="50658" spans="1:6" x14ac:dyDescent="0.25">
      <c r="A50658"/>
      <c r="B50658"/>
      <c r="C50658"/>
      <c r="E50658"/>
      <c r="F50658"/>
    </row>
    <row r="50659" spans="1:6" x14ac:dyDescent="0.25">
      <c r="A50659"/>
      <c r="B50659"/>
      <c r="C50659"/>
      <c r="E50659"/>
      <c r="F50659"/>
    </row>
    <row r="50660" spans="1:6" x14ac:dyDescent="0.25">
      <c r="A50660"/>
      <c r="B50660"/>
      <c r="C50660"/>
      <c r="E50660"/>
      <c r="F50660"/>
    </row>
    <row r="50661" spans="1:6" x14ac:dyDescent="0.25">
      <c r="A50661"/>
      <c r="B50661"/>
      <c r="C50661"/>
      <c r="E50661"/>
      <c r="F50661"/>
    </row>
    <row r="50662" spans="1:6" x14ac:dyDescent="0.25">
      <c r="A50662"/>
      <c r="B50662"/>
      <c r="C50662"/>
      <c r="E50662"/>
      <c r="F50662"/>
    </row>
    <row r="50663" spans="1:6" x14ac:dyDescent="0.25">
      <c r="A50663"/>
      <c r="B50663"/>
      <c r="C50663"/>
      <c r="E50663"/>
      <c r="F50663"/>
    </row>
    <row r="50664" spans="1:6" x14ac:dyDescent="0.25">
      <c r="A50664"/>
      <c r="B50664"/>
      <c r="C50664"/>
      <c r="E50664"/>
      <c r="F50664"/>
    </row>
    <row r="50665" spans="1:6" x14ac:dyDescent="0.25">
      <c r="A50665"/>
      <c r="B50665"/>
      <c r="C50665"/>
      <c r="E50665"/>
      <c r="F50665"/>
    </row>
    <row r="50666" spans="1:6" x14ac:dyDescent="0.25">
      <c r="A50666"/>
      <c r="B50666"/>
      <c r="C50666"/>
      <c r="E50666"/>
      <c r="F50666"/>
    </row>
    <row r="50667" spans="1:6" x14ac:dyDescent="0.25">
      <c r="A50667"/>
      <c r="B50667"/>
      <c r="C50667"/>
      <c r="E50667"/>
      <c r="F50667"/>
    </row>
    <row r="50668" spans="1:6" x14ac:dyDescent="0.25">
      <c r="A50668"/>
      <c r="B50668"/>
      <c r="C50668"/>
      <c r="E50668"/>
      <c r="F50668"/>
    </row>
    <row r="50669" spans="1:6" x14ac:dyDescent="0.25">
      <c r="A50669"/>
      <c r="B50669"/>
      <c r="C50669"/>
      <c r="E50669"/>
      <c r="F50669"/>
    </row>
    <row r="50670" spans="1:6" x14ac:dyDescent="0.25">
      <c r="A50670"/>
      <c r="B50670"/>
      <c r="C50670"/>
      <c r="E50670"/>
      <c r="F50670"/>
    </row>
    <row r="50671" spans="1:6" x14ac:dyDescent="0.25">
      <c r="A50671"/>
      <c r="B50671"/>
      <c r="C50671"/>
      <c r="E50671"/>
      <c r="F50671"/>
    </row>
    <row r="50672" spans="1:6" x14ac:dyDescent="0.25">
      <c r="A50672"/>
      <c r="B50672"/>
      <c r="C50672"/>
      <c r="E50672"/>
      <c r="F50672"/>
    </row>
    <row r="50673" spans="1:6" x14ac:dyDescent="0.25">
      <c r="A50673"/>
      <c r="B50673"/>
      <c r="C50673"/>
      <c r="E50673"/>
      <c r="F50673"/>
    </row>
    <row r="50674" spans="1:6" x14ac:dyDescent="0.25">
      <c r="A50674"/>
      <c r="B50674"/>
      <c r="C50674"/>
      <c r="E50674"/>
      <c r="F50674"/>
    </row>
    <row r="50675" spans="1:6" x14ac:dyDescent="0.25">
      <c r="A50675"/>
      <c r="B50675"/>
      <c r="C50675"/>
      <c r="E50675"/>
      <c r="F50675"/>
    </row>
    <row r="50676" spans="1:6" x14ac:dyDescent="0.25">
      <c r="A50676"/>
      <c r="B50676"/>
      <c r="C50676"/>
      <c r="E50676"/>
      <c r="F50676"/>
    </row>
    <row r="50677" spans="1:6" x14ac:dyDescent="0.25">
      <c r="A50677"/>
      <c r="B50677"/>
      <c r="C50677"/>
      <c r="E50677"/>
      <c r="F50677"/>
    </row>
    <row r="50678" spans="1:6" x14ac:dyDescent="0.25">
      <c r="A50678"/>
      <c r="B50678"/>
      <c r="C50678"/>
      <c r="E50678"/>
      <c r="F50678"/>
    </row>
    <row r="50679" spans="1:6" x14ac:dyDescent="0.25">
      <c r="A50679"/>
      <c r="B50679"/>
      <c r="C50679"/>
      <c r="E50679"/>
      <c r="F50679"/>
    </row>
    <row r="50680" spans="1:6" x14ac:dyDescent="0.25">
      <c r="A50680"/>
      <c r="B50680"/>
      <c r="C50680"/>
      <c r="E50680"/>
      <c r="F50680"/>
    </row>
    <row r="50681" spans="1:6" x14ac:dyDescent="0.25">
      <c r="A50681"/>
      <c r="B50681"/>
      <c r="C50681"/>
      <c r="E50681"/>
      <c r="F50681"/>
    </row>
    <row r="50682" spans="1:6" x14ac:dyDescent="0.25">
      <c r="A50682"/>
      <c r="B50682"/>
      <c r="C50682"/>
      <c r="E50682"/>
      <c r="F50682"/>
    </row>
    <row r="50683" spans="1:6" x14ac:dyDescent="0.25">
      <c r="A50683"/>
      <c r="B50683"/>
      <c r="C50683"/>
      <c r="E50683"/>
      <c r="F50683"/>
    </row>
    <row r="50684" spans="1:6" x14ac:dyDescent="0.25">
      <c r="A50684"/>
      <c r="B50684"/>
      <c r="C50684"/>
      <c r="E50684"/>
      <c r="F50684"/>
    </row>
    <row r="50685" spans="1:6" x14ac:dyDescent="0.25">
      <c r="A50685"/>
      <c r="B50685"/>
      <c r="C50685"/>
      <c r="E50685"/>
      <c r="F50685"/>
    </row>
    <row r="50686" spans="1:6" x14ac:dyDescent="0.25">
      <c r="A50686"/>
      <c r="B50686"/>
      <c r="C50686"/>
      <c r="E50686"/>
      <c r="F50686"/>
    </row>
    <row r="50687" spans="1:6" x14ac:dyDescent="0.25">
      <c r="A50687"/>
      <c r="B50687"/>
      <c r="C50687"/>
      <c r="E50687"/>
      <c r="F50687"/>
    </row>
    <row r="50688" spans="1:6" x14ac:dyDescent="0.25">
      <c r="A50688"/>
      <c r="B50688"/>
      <c r="C50688"/>
      <c r="E50688"/>
      <c r="F50688"/>
    </row>
    <row r="50689" spans="1:6" x14ac:dyDescent="0.25">
      <c r="A50689"/>
      <c r="B50689"/>
      <c r="C50689"/>
      <c r="E50689"/>
      <c r="F50689"/>
    </row>
    <row r="50690" spans="1:6" x14ac:dyDescent="0.25">
      <c r="A50690"/>
      <c r="B50690"/>
      <c r="C50690"/>
      <c r="E50690"/>
      <c r="F50690"/>
    </row>
    <row r="50691" spans="1:6" x14ac:dyDescent="0.25">
      <c r="A50691"/>
      <c r="B50691"/>
      <c r="C50691"/>
      <c r="E50691"/>
      <c r="F50691"/>
    </row>
    <row r="50692" spans="1:6" x14ac:dyDescent="0.25">
      <c r="A50692"/>
      <c r="B50692"/>
      <c r="C50692"/>
      <c r="E50692"/>
      <c r="F50692"/>
    </row>
    <row r="50693" spans="1:6" x14ac:dyDescent="0.25">
      <c r="A50693"/>
      <c r="B50693"/>
      <c r="C50693"/>
      <c r="E50693"/>
      <c r="F50693"/>
    </row>
    <row r="50694" spans="1:6" x14ac:dyDescent="0.25">
      <c r="A50694"/>
      <c r="B50694"/>
      <c r="C50694"/>
      <c r="E50694"/>
      <c r="F50694"/>
    </row>
    <row r="50695" spans="1:6" x14ac:dyDescent="0.25">
      <c r="A50695"/>
      <c r="B50695"/>
      <c r="C50695"/>
      <c r="E50695"/>
      <c r="F50695"/>
    </row>
    <row r="50696" spans="1:6" x14ac:dyDescent="0.25">
      <c r="A50696"/>
      <c r="B50696"/>
      <c r="C50696"/>
      <c r="E50696"/>
      <c r="F50696"/>
    </row>
    <row r="50697" spans="1:6" x14ac:dyDescent="0.25">
      <c r="A50697"/>
      <c r="B50697"/>
      <c r="C50697"/>
      <c r="E50697"/>
      <c r="F50697"/>
    </row>
    <row r="50698" spans="1:6" x14ac:dyDescent="0.25">
      <c r="A50698"/>
      <c r="B50698"/>
      <c r="C50698"/>
      <c r="E50698"/>
      <c r="F50698"/>
    </row>
    <row r="50699" spans="1:6" x14ac:dyDescent="0.25">
      <c r="A50699"/>
      <c r="B50699"/>
      <c r="C50699"/>
      <c r="E50699"/>
      <c r="F50699"/>
    </row>
    <row r="50700" spans="1:6" x14ac:dyDescent="0.25">
      <c r="A50700"/>
      <c r="B50700"/>
      <c r="C50700"/>
      <c r="E50700"/>
      <c r="F50700"/>
    </row>
    <row r="50701" spans="1:6" x14ac:dyDescent="0.25">
      <c r="A50701"/>
      <c r="B50701"/>
      <c r="C50701"/>
      <c r="E50701"/>
      <c r="F50701"/>
    </row>
    <row r="50702" spans="1:6" x14ac:dyDescent="0.25">
      <c r="A50702"/>
      <c r="B50702"/>
      <c r="C50702"/>
      <c r="E50702"/>
      <c r="F50702"/>
    </row>
    <row r="50703" spans="1:6" x14ac:dyDescent="0.25">
      <c r="A50703"/>
      <c r="B50703"/>
      <c r="C50703"/>
      <c r="E50703"/>
      <c r="F50703"/>
    </row>
    <row r="50704" spans="1:6" x14ac:dyDescent="0.25">
      <c r="A50704"/>
      <c r="B50704"/>
      <c r="C50704"/>
      <c r="E50704"/>
      <c r="F50704"/>
    </row>
    <row r="50705" spans="1:6" x14ac:dyDescent="0.25">
      <c r="A50705"/>
      <c r="B50705"/>
      <c r="C50705"/>
      <c r="E50705"/>
      <c r="F50705"/>
    </row>
    <row r="50706" spans="1:6" x14ac:dyDescent="0.25">
      <c r="A50706"/>
      <c r="B50706"/>
      <c r="C50706"/>
      <c r="E50706"/>
      <c r="F50706"/>
    </row>
    <row r="50707" spans="1:6" x14ac:dyDescent="0.25">
      <c r="A50707"/>
      <c r="B50707"/>
      <c r="C50707"/>
      <c r="E50707"/>
      <c r="F50707"/>
    </row>
    <row r="50708" spans="1:6" x14ac:dyDescent="0.25">
      <c r="A50708"/>
      <c r="B50708"/>
      <c r="C50708"/>
      <c r="E50708"/>
      <c r="F50708"/>
    </row>
    <row r="50709" spans="1:6" x14ac:dyDescent="0.25">
      <c r="A50709"/>
      <c r="B50709"/>
      <c r="C50709"/>
      <c r="E50709"/>
      <c r="F50709"/>
    </row>
    <row r="50710" spans="1:6" x14ac:dyDescent="0.25">
      <c r="A50710"/>
      <c r="B50710"/>
      <c r="C50710"/>
      <c r="E50710"/>
      <c r="F50710"/>
    </row>
    <row r="50711" spans="1:6" x14ac:dyDescent="0.25">
      <c r="A50711"/>
      <c r="B50711"/>
      <c r="C50711"/>
      <c r="E50711"/>
      <c r="F50711"/>
    </row>
    <row r="50712" spans="1:6" x14ac:dyDescent="0.25">
      <c r="A50712"/>
      <c r="B50712"/>
      <c r="C50712"/>
      <c r="E50712"/>
      <c r="F50712"/>
    </row>
    <row r="50713" spans="1:6" x14ac:dyDescent="0.25">
      <c r="A50713"/>
      <c r="B50713"/>
      <c r="C50713"/>
      <c r="E50713"/>
      <c r="F50713"/>
    </row>
    <row r="50714" spans="1:6" x14ac:dyDescent="0.25">
      <c r="A50714"/>
      <c r="B50714"/>
      <c r="C50714"/>
      <c r="E50714"/>
      <c r="F50714"/>
    </row>
    <row r="50715" spans="1:6" x14ac:dyDescent="0.25">
      <c r="A50715"/>
      <c r="B50715"/>
      <c r="C50715"/>
      <c r="E50715"/>
      <c r="F50715"/>
    </row>
    <row r="50716" spans="1:6" x14ac:dyDescent="0.25">
      <c r="A50716"/>
      <c r="B50716"/>
      <c r="C50716"/>
      <c r="E50716"/>
      <c r="F50716"/>
    </row>
    <row r="50717" spans="1:6" x14ac:dyDescent="0.25">
      <c r="A50717"/>
      <c r="B50717"/>
      <c r="C50717"/>
      <c r="E50717"/>
      <c r="F50717"/>
    </row>
    <row r="50718" spans="1:6" x14ac:dyDescent="0.25">
      <c r="A50718"/>
      <c r="B50718"/>
      <c r="C50718"/>
      <c r="E50718"/>
      <c r="F50718"/>
    </row>
    <row r="50719" spans="1:6" x14ac:dyDescent="0.25">
      <c r="A50719"/>
      <c r="B50719"/>
      <c r="C50719"/>
      <c r="E50719"/>
      <c r="F50719"/>
    </row>
    <row r="50720" spans="1:6" x14ac:dyDescent="0.25">
      <c r="A50720"/>
      <c r="B50720"/>
      <c r="C50720"/>
      <c r="E50720"/>
      <c r="F50720"/>
    </row>
    <row r="50721" spans="1:6" x14ac:dyDescent="0.25">
      <c r="A50721"/>
      <c r="B50721"/>
      <c r="C50721"/>
      <c r="E50721"/>
      <c r="F50721"/>
    </row>
    <row r="50722" spans="1:6" x14ac:dyDescent="0.25">
      <c r="A50722"/>
      <c r="B50722"/>
      <c r="C50722"/>
      <c r="E50722"/>
      <c r="F50722"/>
    </row>
    <row r="50723" spans="1:6" x14ac:dyDescent="0.25">
      <c r="A50723"/>
      <c r="B50723"/>
      <c r="C50723"/>
      <c r="E50723"/>
      <c r="F50723"/>
    </row>
    <row r="50724" spans="1:6" x14ac:dyDescent="0.25">
      <c r="A50724"/>
      <c r="B50724"/>
      <c r="C50724"/>
      <c r="E50724"/>
      <c r="F50724"/>
    </row>
    <row r="50725" spans="1:6" x14ac:dyDescent="0.25">
      <c r="A50725"/>
      <c r="B50725"/>
      <c r="C50725"/>
      <c r="E50725"/>
      <c r="F50725"/>
    </row>
    <row r="50726" spans="1:6" x14ac:dyDescent="0.25">
      <c r="A50726"/>
      <c r="B50726"/>
      <c r="C50726"/>
      <c r="E50726"/>
      <c r="F50726"/>
    </row>
    <row r="50727" spans="1:6" x14ac:dyDescent="0.25">
      <c r="A50727"/>
      <c r="B50727"/>
      <c r="C50727"/>
      <c r="E50727"/>
      <c r="F50727"/>
    </row>
    <row r="50728" spans="1:6" x14ac:dyDescent="0.25">
      <c r="A50728"/>
      <c r="B50728"/>
      <c r="C50728"/>
      <c r="E50728"/>
      <c r="F50728"/>
    </row>
    <row r="50729" spans="1:6" x14ac:dyDescent="0.25">
      <c r="A50729"/>
      <c r="B50729"/>
      <c r="C50729"/>
      <c r="E50729"/>
      <c r="F50729"/>
    </row>
    <row r="50730" spans="1:6" x14ac:dyDescent="0.25">
      <c r="A50730"/>
      <c r="B50730"/>
      <c r="C50730"/>
      <c r="E50730"/>
      <c r="F50730"/>
    </row>
    <row r="50731" spans="1:6" x14ac:dyDescent="0.25">
      <c r="A50731"/>
      <c r="B50731"/>
      <c r="C50731"/>
      <c r="E50731"/>
      <c r="F50731"/>
    </row>
    <row r="50732" spans="1:6" x14ac:dyDescent="0.25">
      <c r="A50732"/>
      <c r="B50732"/>
      <c r="C50732"/>
      <c r="E50732"/>
      <c r="F50732"/>
    </row>
    <row r="50733" spans="1:6" x14ac:dyDescent="0.25">
      <c r="A50733"/>
      <c r="B50733"/>
      <c r="C50733"/>
      <c r="E50733"/>
      <c r="F50733"/>
    </row>
    <row r="50734" spans="1:6" x14ac:dyDescent="0.25">
      <c r="A50734"/>
      <c r="B50734"/>
      <c r="C50734"/>
      <c r="E50734"/>
      <c r="F50734"/>
    </row>
    <row r="50735" spans="1:6" x14ac:dyDescent="0.25">
      <c r="A50735"/>
      <c r="B50735"/>
      <c r="C50735"/>
      <c r="E50735"/>
      <c r="F50735"/>
    </row>
    <row r="50736" spans="1:6" x14ac:dyDescent="0.25">
      <c r="A50736"/>
      <c r="B50736"/>
      <c r="C50736"/>
      <c r="E50736"/>
      <c r="F50736"/>
    </row>
    <row r="50737" spans="1:6" x14ac:dyDescent="0.25">
      <c r="A50737"/>
      <c r="B50737"/>
      <c r="C50737"/>
      <c r="E50737"/>
      <c r="F50737"/>
    </row>
    <row r="50738" spans="1:6" x14ac:dyDescent="0.25">
      <c r="A50738"/>
      <c r="B50738"/>
      <c r="C50738"/>
      <c r="E50738"/>
      <c r="F50738"/>
    </row>
    <row r="50739" spans="1:6" x14ac:dyDescent="0.25">
      <c r="A50739"/>
      <c r="B50739"/>
      <c r="C50739"/>
      <c r="E50739"/>
      <c r="F50739"/>
    </row>
    <row r="50740" spans="1:6" x14ac:dyDescent="0.25">
      <c r="A50740"/>
      <c r="B50740"/>
      <c r="C50740"/>
      <c r="E50740"/>
      <c r="F50740"/>
    </row>
    <row r="50741" spans="1:6" x14ac:dyDescent="0.25">
      <c r="A50741"/>
      <c r="B50741"/>
      <c r="C50741"/>
      <c r="E50741"/>
      <c r="F50741"/>
    </row>
    <row r="50742" spans="1:6" x14ac:dyDescent="0.25">
      <c r="A50742"/>
      <c r="B50742"/>
      <c r="C50742"/>
      <c r="E50742"/>
      <c r="F50742"/>
    </row>
    <row r="50743" spans="1:6" x14ac:dyDescent="0.25">
      <c r="A50743"/>
      <c r="B50743"/>
      <c r="C50743"/>
      <c r="E50743"/>
      <c r="F50743"/>
    </row>
    <row r="50744" spans="1:6" x14ac:dyDescent="0.25">
      <c r="A50744"/>
      <c r="B50744"/>
      <c r="C50744"/>
      <c r="E50744"/>
      <c r="F50744"/>
    </row>
    <row r="50745" spans="1:6" x14ac:dyDescent="0.25">
      <c r="A50745"/>
      <c r="B50745"/>
      <c r="C50745"/>
      <c r="E50745"/>
      <c r="F50745"/>
    </row>
    <row r="50746" spans="1:6" x14ac:dyDescent="0.25">
      <c r="A50746"/>
      <c r="B50746"/>
      <c r="C50746"/>
      <c r="E50746"/>
      <c r="F50746"/>
    </row>
    <row r="50747" spans="1:6" x14ac:dyDescent="0.25">
      <c r="A50747"/>
      <c r="B50747"/>
      <c r="C50747"/>
      <c r="E50747"/>
      <c r="F50747"/>
    </row>
    <row r="50748" spans="1:6" x14ac:dyDescent="0.25">
      <c r="A50748"/>
      <c r="B50748"/>
      <c r="C50748"/>
      <c r="E50748"/>
      <c r="F50748"/>
    </row>
    <row r="50749" spans="1:6" x14ac:dyDescent="0.25">
      <c r="A50749"/>
      <c r="B50749"/>
      <c r="C50749"/>
      <c r="E50749"/>
      <c r="F50749"/>
    </row>
    <row r="50750" spans="1:6" x14ac:dyDescent="0.25">
      <c r="A50750"/>
      <c r="B50750"/>
      <c r="C50750"/>
      <c r="E50750"/>
      <c r="F50750"/>
    </row>
    <row r="50751" spans="1:6" x14ac:dyDescent="0.25">
      <c r="A50751"/>
      <c r="B50751"/>
      <c r="C50751"/>
      <c r="E50751"/>
      <c r="F50751"/>
    </row>
    <row r="50752" spans="1:6" x14ac:dyDescent="0.25">
      <c r="A50752"/>
      <c r="B50752"/>
      <c r="C50752"/>
      <c r="E50752"/>
      <c r="F50752"/>
    </row>
    <row r="50753" spans="1:6" x14ac:dyDescent="0.25">
      <c r="A50753"/>
      <c r="B50753"/>
      <c r="C50753"/>
      <c r="E50753"/>
      <c r="F50753"/>
    </row>
    <row r="50754" spans="1:6" x14ac:dyDescent="0.25">
      <c r="A50754"/>
      <c r="B50754"/>
      <c r="C50754"/>
      <c r="E50754"/>
      <c r="F50754"/>
    </row>
    <row r="50755" spans="1:6" x14ac:dyDescent="0.25">
      <c r="A50755"/>
      <c r="B50755"/>
      <c r="C50755"/>
      <c r="E50755"/>
      <c r="F50755"/>
    </row>
    <row r="50756" spans="1:6" x14ac:dyDescent="0.25">
      <c r="A50756"/>
      <c r="B50756"/>
      <c r="C50756"/>
      <c r="E50756"/>
      <c r="F50756"/>
    </row>
    <row r="50757" spans="1:6" x14ac:dyDescent="0.25">
      <c r="A50757"/>
      <c r="B50757"/>
      <c r="C50757"/>
      <c r="E50757"/>
      <c r="F50757"/>
    </row>
    <row r="50758" spans="1:6" x14ac:dyDescent="0.25">
      <c r="A50758"/>
      <c r="B50758"/>
      <c r="C50758"/>
      <c r="E50758"/>
      <c r="F50758"/>
    </row>
    <row r="50759" spans="1:6" x14ac:dyDescent="0.25">
      <c r="A50759"/>
      <c r="B50759"/>
      <c r="C50759"/>
      <c r="E50759"/>
      <c r="F50759"/>
    </row>
    <row r="50760" spans="1:6" x14ac:dyDescent="0.25">
      <c r="A50760"/>
      <c r="B50760"/>
      <c r="C50760"/>
      <c r="E50760"/>
      <c r="F50760"/>
    </row>
    <row r="50761" spans="1:6" x14ac:dyDescent="0.25">
      <c r="A50761"/>
      <c r="B50761"/>
      <c r="C50761"/>
      <c r="E50761"/>
      <c r="F50761"/>
    </row>
    <row r="50762" spans="1:6" x14ac:dyDescent="0.25">
      <c r="A50762"/>
      <c r="B50762"/>
      <c r="C50762"/>
      <c r="E50762"/>
      <c r="F50762"/>
    </row>
    <row r="50763" spans="1:6" x14ac:dyDescent="0.25">
      <c r="A50763"/>
      <c r="B50763"/>
      <c r="C50763"/>
      <c r="E50763"/>
      <c r="F50763"/>
    </row>
    <row r="50764" spans="1:6" x14ac:dyDescent="0.25">
      <c r="A50764"/>
      <c r="B50764"/>
      <c r="C50764"/>
      <c r="E50764"/>
      <c r="F50764"/>
    </row>
    <row r="50765" spans="1:6" x14ac:dyDescent="0.25">
      <c r="A50765"/>
      <c r="B50765"/>
      <c r="C50765"/>
      <c r="E50765"/>
      <c r="F50765"/>
    </row>
    <row r="50766" spans="1:6" x14ac:dyDescent="0.25">
      <c r="A50766"/>
      <c r="B50766"/>
      <c r="C50766"/>
      <c r="E50766"/>
      <c r="F50766"/>
    </row>
    <row r="50767" spans="1:6" x14ac:dyDescent="0.25">
      <c r="A50767"/>
      <c r="B50767"/>
      <c r="C50767"/>
      <c r="E50767"/>
      <c r="F50767"/>
    </row>
    <row r="50768" spans="1:6" x14ac:dyDescent="0.25">
      <c r="A50768"/>
      <c r="B50768"/>
      <c r="C50768"/>
      <c r="E50768"/>
      <c r="F50768"/>
    </row>
    <row r="50769" spans="1:6" x14ac:dyDescent="0.25">
      <c r="A50769"/>
      <c r="B50769"/>
      <c r="C50769"/>
      <c r="E50769"/>
      <c r="F50769"/>
    </row>
    <row r="50770" spans="1:6" x14ac:dyDescent="0.25">
      <c r="A50770"/>
      <c r="B50770"/>
      <c r="C50770"/>
      <c r="E50770"/>
      <c r="F50770"/>
    </row>
    <row r="50771" spans="1:6" x14ac:dyDescent="0.25">
      <c r="A50771"/>
      <c r="B50771"/>
      <c r="C50771"/>
      <c r="E50771"/>
      <c r="F50771"/>
    </row>
    <row r="50772" spans="1:6" x14ac:dyDescent="0.25">
      <c r="A50772"/>
      <c r="B50772"/>
      <c r="C50772"/>
      <c r="E50772"/>
      <c r="F50772"/>
    </row>
    <row r="50773" spans="1:6" x14ac:dyDescent="0.25">
      <c r="A50773"/>
      <c r="B50773"/>
      <c r="C50773"/>
      <c r="E50773"/>
      <c r="F50773"/>
    </row>
    <row r="50774" spans="1:6" x14ac:dyDescent="0.25">
      <c r="A50774"/>
      <c r="B50774"/>
      <c r="C50774"/>
      <c r="E50774"/>
      <c r="F50774"/>
    </row>
    <row r="50775" spans="1:6" x14ac:dyDescent="0.25">
      <c r="A50775"/>
      <c r="B50775"/>
      <c r="C50775"/>
      <c r="E50775"/>
      <c r="F50775"/>
    </row>
    <row r="50776" spans="1:6" x14ac:dyDescent="0.25">
      <c r="A50776"/>
      <c r="B50776"/>
      <c r="C50776"/>
      <c r="E50776"/>
      <c r="F50776"/>
    </row>
    <row r="50777" spans="1:6" x14ac:dyDescent="0.25">
      <c r="A50777"/>
      <c r="B50777"/>
      <c r="C50777"/>
      <c r="E50777"/>
      <c r="F50777"/>
    </row>
    <row r="50778" spans="1:6" x14ac:dyDescent="0.25">
      <c r="A50778"/>
      <c r="B50778"/>
      <c r="C50778"/>
      <c r="E50778"/>
      <c r="F50778"/>
    </row>
    <row r="50779" spans="1:6" x14ac:dyDescent="0.25">
      <c r="A50779"/>
      <c r="B50779"/>
      <c r="C50779"/>
      <c r="E50779"/>
      <c r="F50779"/>
    </row>
    <row r="50780" spans="1:6" x14ac:dyDescent="0.25">
      <c r="A50780"/>
      <c r="B50780"/>
      <c r="C50780"/>
      <c r="E50780"/>
      <c r="F50780"/>
    </row>
    <row r="50781" spans="1:6" x14ac:dyDescent="0.25">
      <c r="A50781"/>
      <c r="B50781"/>
      <c r="C50781"/>
      <c r="E50781"/>
      <c r="F50781"/>
    </row>
    <row r="50782" spans="1:6" x14ac:dyDescent="0.25">
      <c r="A50782"/>
      <c r="B50782"/>
      <c r="C50782"/>
      <c r="E50782"/>
      <c r="F50782"/>
    </row>
    <row r="50783" spans="1:6" x14ac:dyDescent="0.25">
      <c r="A50783"/>
      <c r="B50783"/>
      <c r="C50783"/>
      <c r="E50783"/>
      <c r="F50783"/>
    </row>
    <row r="50784" spans="1:6" x14ac:dyDescent="0.25">
      <c r="A50784"/>
      <c r="B50784"/>
      <c r="C50784"/>
      <c r="E50784"/>
      <c r="F50784"/>
    </row>
    <row r="50785" spans="1:6" x14ac:dyDescent="0.25">
      <c r="A50785"/>
      <c r="B50785"/>
      <c r="C50785"/>
      <c r="E50785"/>
      <c r="F50785"/>
    </row>
    <row r="50786" spans="1:6" x14ac:dyDescent="0.25">
      <c r="A50786"/>
      <c r="B50786"/>
      <c r="C50786"/>
      <c r="E50786"/>
      <c r="F50786"/>
    </row>
    <row r="50787" spans="1:6" x14ac:dyDescent="0.25">
      <c r="A50787"/>
      <c r="B50787"/>
      <c r="C50787"/>
      <c r="E50787"/>
      <c r="F50787"/>
    </row>
    <row r="50788" spans="1:6" x14ac:dyDescent="0.25">
      <c r="A50788"/>
      <c r="B50788"/>
      <c r="C50788"/>
      <c r="E50788"/>
      <c r="F50788"/>
    </row>
    <row r="50789" spans="1:6" x14ac:dyDescent="0.25">
      <c r="A50789"/>
      <c r="B50789"/>
      <c r="C50789"/>
      <c r="E50789"/>
      <c r="F50789"/>
    </row>
    <row r="50790" spans="1:6" x14ac:dyDescent="0.25">
      <c r="A50790"/>
      <c r="B50790"/>
      <c r="C50790"/>
      <c r="E50790"/>
      <c r="F50790"/>
    </row>
    <row r="50791" spans="1:6" x14ac:dyDescent="0.25">
      <c r="A50791"/>
      <c r="B50791"/>
      <c r="C50791"/>
      <c r="E50791"/>
      <c r="F50791"/>
    </row>
    <row r="50792" spans="1:6" x14ac:dyDescent="0.25">
      <c r="A50792"/>
      <c r="B50792"/>
      <c r="C50792"/>
      <c r="E50792"/>
      <c r="F50792"/>
    </row>
    <row r="50793" spans="1:6" x14ac:dyDescent="0.25">
      <c r="A50793"/>
      <c r="B50793"/>
      <c r="C50793"/>
      <c r="E50793"/>
      <c r="F50793"/>
    </row>
    <row r="50794" spans="1:6" x14ac:dyDescent="0.25">
      <c r="A50794"/>
      <c r="B50794"/>
      <c r="C50794"/>
      <c r="E50794"/>
      <c r="F50794"/>
    </row>
    <row r="50795" spans="1:6" x14ac:dyDescent="0.25">
      <c r="A50795"/>
      <c r="B50795"/>
      <c r="C50795"/>
      <c r="E50795"/>
      <c r="F50795"/>
    </row>
    <row r="50796" spans="1:6" x14ac:dyDescent="0.25">
      <c r="A50796"/>
      <c r="B50796"/>
      <c r="C50796"/>
      <c r="E50796"/>
      <c r="F50796"/>
    </row>
    <row r="50797" spans="1:6" x14ac:dyDescent="0.25">
      <c r="A50797"/>
      <c r="B50797"/>
      <c r="C50797"/>
      <c r="E50797"/>
      <c r="F50797"/>
    </row>
    <row r="50798" spans="1:6" x14ac:dyDescent="0.25">
      <c r="A50798"/>
      <c r="B50798"/>
      <c r="C50798"/>
      <c r="E50798"/>
      <c r="F50798"/>
    </row>
    <row r="50799" spans="1:6" x14ac:dyDescent="0.25">
      <c r="A50799"/>
      <c r="B50799"/>
      <c r="C50799"/>
      <c r="E50799"/>
      <c r="F50799"/>
    </row>
    <row r="50800" spans="1:6" x14ac:dyDescent="0.25">
      <c r="A50800"/>
      <c r="B50800"/>
      <c r="C50800"/>
      <c r="E50800"/>
      <c r="F50800"/>
    </row>
    <row r="50801" spans="1:6" x14ac:dyDescent="0.25">
      <c r="A50801"/>
      <c r="B50801"/>
      <c r="C50801"/>
      <c r="E50801"/>
      <c r="F50801"/>
    </row>
    <row r="50802" spans="1:6" x14ac:dyDescent="0.25">
      <c r="A50802"/>
      <c r="B50802"/>
      <c r="C50802"/>
      <c r="E50802"/>
      <c r="F50802"/>
    </row>
    <row r="50803" spans="1:6" x14ac:dyDescent="0.25">
      <c r="A50803"/>
      <c r="B50803"/>
      <c r="C50803"/>
      <c r="E50803"/>
      <c r="F50803"/>
    </row>
    <row r="50804" spans="1:6" x14ac:dyDescent="0.25">
      <c r="A50804"/>
      <c r="B50804"/>
      <c r="C50804"/>
      <c r="E50804"/>
      <c r="F50804"/>
    </row>
    <row r="50805" spans="1:6" x14ac:dyDescent="0.25">
      <c r="A50805"/>
      <c r="B50805"/>
      <c r="C50805"/>
      <c r="E50805"/>
      <c r="F50805"/>
    </row>
    <row r="50806" spans="1:6" x14ac:dyDescent="0.25">
      <c r="A50806"/>
      <c r="B50806"/>
      <c r="C50806"/>
      <c r="E50806"/>
      <c r="F50806"/>
    </row>
    <row r="50807" spans="1:6" x14ac:dyDescent="0.25">
      <c r="A50807"/>
      <c r="B50807"/>
      <c r="C50807"/>
      <c r="E50807"/>
      <c r="F50807"/>
    </row>
    <row r="50808" spans="1:6" x14ac:dyDescent="0.25">
      <c r="A50808"/>
      <c r="B50808"/>
      <c r="C50808"/>
      <c r="E50808"/>
      <c r="F50808"/>
    </row>
    <row r="50809" spans="1:6" x14ac:dyDescent="0.25">
      <c r="A50809"/>
      <c r="B50809"/>
      <c r="C50809"/>
      <c r="E50809"/>
      <c r="F50809"/>
    </row>
    <row r="50810" spans="1:6" x14ac:dyDescent="0.25">
      <c r="A50810"/>
      <c r="B50810"/>
      <c r="C50810"/>
      <c r="E50810"/>
      <c r="F50810"/>
    </row>
    <row r="50811" spans="1:6" x14ac:dyDescent="0.25">
      <c r="A50811"/>
      <c r="B50811"/>
      <c r="C50811"/>
      <c r="E50811"/>
      <c r="F50811"/>
    </row>
    <row r="50812" spans="1:6" x14ac:dyDescent="0.25">
      <c r="A50812"/>
      <c r="B50812"/>
      <c r="C50812"/>
      <c r="E50812"/>
      <c r="F50812"/>
    </row>
    <row r="50813" spans="1:6" x14ac:dyDescent="0.25">
      <c r="A50813"/>
      <c r="B50813"/>
      <c r="C50813"/>
      <c r="E50813"/>
      <c r="F50813"/>
    </row>
    <row r="50814" spans="1:6" x14ac:dyDescent="0.25">
      <c r="A50814"/>
      <c r="B50814"/>
      <c r="C50814"/>
      <c r="E50814"/>
      <c r="F50814"/>
    </row>
    <row r="50815" spans="1:6" x14ac:dyDescent="0.25">
      <c r="A50815"/>
      <c r="B50815"/>
      <c r="C50815"/>
      <c r="E50815"/>
      <c r="F50815"/>
    </row>
    <row r="50816" spans="1:6" x14ac:dyDescent="0.25">
      <c r="A50816"/>
      <c r="B50816"/>
      <c r="C50816"/>
      <c r="E50816"/>
      <c r="F50816"/>
    </row>
    <row r="50817" spans="1:6" x14ac:dyDescent="0.25">
      <c r="A50817"/>
      <c r="B50817"/>
      <c r="C50817"/>
      <c r="E50817"/>
      <c r="F50817"/>
    </row>
    <row r="50818" spans="1:6" x14ac:dyDescent="0.25">
      <c r="A50818"/>
      <c r="B50818"/>
      <c r="C50818"/>
      <c r="E50818"/>
      <c r="F50818"/>
    </row>
    <row r="50819" spans="1:6" x14ac:dyDescent="0.25">
      <c r="A50819"/>
      <c r="B50819"/>
      <c r="C50819"/>
      <c r="E50819"/>
      <c r="F50819"/>
    </row>
    <row r="50820" spans="1:6" x14ac:dyDescent="0.25">
      <c r="A50820"/>
      <c r="B50820"/>
      <c r="C50820"/>
      <c r="E50820"/>
      <c r="F50820"/>
    </row>
    <row r="50821" spans="1:6" x14ac:dyDescent="0.25">
      <c r="A50821"/>
      <c r="B50821"/>
      <c r="C50821"/>
      <c r="E50821"/>
      <c r="F50821"/>
    </row>
    <row r="50822" spans="1:6" x14ac:dyDescent="0.25">
      <c r="A50822"/>
      <c r="B50822"/>
      <c r="C50822"/>
      <c r="E50822"/>
      <c r="F50822"/>
    </row>
    <row r="50823" spans="1:6" x14ac:dyDescent="0.25">
      <c r="A50823"/>
      <c r="B50823"/>
      <c r="C50823"/>
      <c r="E50823"/>
      <c r="F50823"/>
    </row>
    <row r="50824" spans="1:6" x14ac:dyDescent="0.25">
      <c r="A50824"/>
      <c r="B50824"/>
      <c r="C50824"/>
      <c r="E50824"/>
      <c r="F50824"/>
    </row>
    <row r="50825" spans="1:6" x14ac:dyDescent="0.25">
      <c r="A50825"/>
      <c r="B50825"/>
      <c r="C50825"/>
      <c r="E50825"/>
      <c r="F50825"/>
    </row>
    <row r="50826" spans="1:6" x14ac:dyDescent="0.25">
      <c r="A50826"/>
      <c r="B50826"/>
      <c r="C50826"/>
      <c r="E50826"/>
      <c r="F50826"/>
    </row>
    <row r="50827" spans="1:6" x14ac:dyDescent="0.25">
      <c r="A50827"/>
      <c r="B50827"/>
      <c r="C50827"/>
      <c r="E50827"/>
      <c r="F50827"/>
    </row>
    <row r="50828" spans="1:6" x14ac:dyDescent="0.25">
      <c r="A50828"/>
      <c r="B50828"/>
      <c r="C50828"/>
      <c r="E50828"/>
      <c r="F50828"/>
    </row>
    <row r="50829" spans="1:6" x14ac:dyDescent="0.25">
      <c r="A50829"/>
      <c r="B50829"/>
      <c r="C50829"/>
      <c r="E50829"/>
      <c r="F50829"/>
    </row>
    <row r="50830" spans="1:6" x14ac:dyDescent="0.25">
      <c r="A50830"/>
      <c r="B50830"/>
      <c r="C50830"/>
      <c r="E50830"/>
      <c r="F50830"/>
    </row>
    <row r="50831" spans="1:6" x14ac:dyDescent="0.25">
      <c r="A50831"/>
      <c r="B50831"/>
      <c r="C50831"/>
      <c r="E50831"/>
      <c r="F50831"/>
    </row>
    <row r="50832" spans="1:6" x14ac:dyDescent="0.25">
      <c r="A50832"/>
      <c r="B50832"/>
      <c r="C50832"/>
      <c r="E50832"/>
      <c r="F50832"/>
    </row>
    <row r="50833" spans="1:6" x14ac:dyDescent="0.25">
      <c r="A50833"/>
      <c r="B50833"/>
      <c r="C50833"/>
      <c r="E50833"/>
      <c r="F50833"/>
    </row>
    <row r="50834" spans="1:6" x14ac:dyDescent="0.25">
      <c r="A50834"/>
      <c r="B50834"/>
      <c r="C50834"/>
      <c r="E50834"/>
      <c r="F50834"/>
    </row>
    <row r="50835" spans="1:6" x14ac:dyDescent="0.25">
      <c r="A50835"/>
      <c r="B50835"/>
      <c r="C50835"/>
      <c r="E50835"/>
      <c r="F50835"/>
    </row>
    <row r="50836" spans="1:6" x14ac:dyDescent="0.25">
      <c r="A50836"/>
      <c r="B50836"/>
      <c r="C50836"/>
      <c r="E50836"/>
      <c r="F50836"/>
    </row>
    <row r="50837" spans="1:6" x14ac:dyDescent="0.25">
      <c r="A50837"/>
      <c r="B50837"/>
      <c r="C50837"/>
      <c r="E50837"/>
      <c r="F50837"/>
    </row>
    <row r="50838" spans="1:6" x14ac:dyDescent="0.25">
      <c r="A50838"/>
      <c r="B50838"/>
      <c r="C50838"/>
      <c r="E50838"/>
      <c r="F50838"/>
    </row>
    <row r="50839" spans="1:6" x14ac:dyDescent="0.25">
      <c r="A50839"/>
      <c r="B50839"/>
      <c r="C50839"/>
      <c r="E50839"/>
      <c r="F50839"/>
    </row>
    <row r="50840" spans="1:6" x14ac:dyDescent="0.25">
      <c r="A50840"/>
      <c r="B50840"/>
      <c r="C50840"/>
      <c r="E50840"/>
      <c r="F50840"/>
    </row>
    <row r="50841" spans="1:6" x14ac:dyDescent="0.25">
      <c r="A50841"/>
      <c r="B50841"/>
      <c r="C50841"/>
      <c r="E50841"/>
      <c r="F50841"/>
    </row>
    <row r="50842" spans="1:6" x14ac:dyDescent="0.25">
      <c r="A50842"/>
      <c r="B50842"/>
      <c r="C50842"/>
      <c r="E50842"/>
      <c r="F50842"/>
    </row>
    <row r="50843" spans="1:6" x14ac:dyDescent="0.25">
      <c r="A50843"/>
      <c r="B50843"/>
      <c r="C50843"/>
      <c r="E50843"/>
      <c r="F50843"/>
    </row>
    <row r="50844" spans="1:6" x14ac:dyDescent="0.25">
      <c r="A50844"/>
      <c r="B50844"/>
      <c r="C50844"/>
      <c r="E50844"/>
      <c r="F50844"/>
    </row>
    <row r="50845" spans="1:6" x14ac:dyDescent="0.25">
      <c r="A50845"/>
      <c r="B50845"/>
      <c r="C50845"/>
      <c r="E50845"/>
      <c r="F50845"/>
    </row>
    <row r="50846" spans="1:6" x14ac:dyDescent="0.25">
      <c r="A50846"/>
      <c r="B50846"/>
      <c r="C50846"/>
      <c r="E50846"/>
      <c r="F50846"/>
    </row>
    <row r="50847" spans="1:6" x14ac:dyDescent="0.25">
      <c r="A50847"/>
      <c r="B50847"/>
      <c r="C50847"/>
      <c r="E50847"/>
      <c r="F50847"/>
    </row>
    <row r="50848" spans="1:6" x14ac:dyDescent="0.25">
      <c r="A50848"/>
      <c r="B50848"/>
      <c r="C50848"/>
      <c r="E50848"/>
      <c r="F50848"/>
    </row>
    <row r="50849" spans="1:6" x14ac:dyDescent="0.25">
      <c r="A50849"/>
      <c r="B50849"/>
      <c r="C50849"/>
      <c r="E50849"/>
      <c r="F50849"/>
    </row>
    <row r="50850" spans="1:6" x14ac:dyDescent="0.25">
      <c r="A50850"/>
      <c r="B50850"/>
      <c r="C50850"/>
      <c r="E50850"/>
      <c r="F50850"/>
    </row>
    <row r="50851" spans="1:6" x14ac:dyDescent="0.25">
      <c r="A50851"/>
      <c r="B50851"/>
      <c r="C50851"/>
      <c r="E50851"/>
      <c r="F50851"/>
    </row>
    <row r="50852" spans="1:6" x14ac:dyDescent="0.25">
      <c r="A50852"/>
      <c r="B50852"/>
      <c r="C50852"/>
      <c r="E50852"/>
      <c r="F50852"/>
    </row>
    <row r="50853" spans="1:6" x14ac:dyDescent="0.25">
      <c r="A50853"/>
      <c r="B50853"/>
      <c r="C50853"/>
      <c r="E50853"/>
      <c r="F50853"/>
    </row>
    <row r="50854" spans="1:6" x14ac:dyDescent="0.25">
      <c r="A50854"/>
      <c r="B50854"/>
      <c r="C50854"/>
      <c r="E50854"/>
      <c r="F50854"/>
    </row>
    <row r="50855" spans="1:6" x14ac:dyDescent="0.25">
      <c r="A50855"/>
      <c r="B50855"/>
      <c r="C50855"/>
      <c r="E50855"/>
      <c r="F50855"/>
    </row>
    <row r="50856" spans="1:6" x14ac:dyDescent="0.25">
      <c r="A50856"/>
      <c r="B50856"/>
      <c r="C50856"/>
      <c r="E50856"/>
      <c r="F50856"/>
    </row>
    <row r="50857" spans="1:6" x14ac:dyDescent="0.25">
      <c r="A50857"/>
      <c r="B50857"/>
      <c r="C50857"/>
      <c r="E50857"/>
      <c r="F50857"/>
    </row>
    <row r="50858" spans="1:6" x14ac:dyDescent="0.25">
      <c r="A50858"/>
      <c r="B50858"/>
      <c r="C50858"/>
      <c r="E50858"/>
      <c r="F50858"/>
    </row>
    <row r="50859" spans="1:6" x14ac:dyDescent="0.25">
      <c r="A50859"/>
      <c r="B50859"/>
      <c r="C50859"/>
      <c r="E50859"/>
      <c r="F50859"/>
    </row>
    <row r="50860" spans="1:6" x14ac:dyDescent="0.25">
      <c r="A50860"/>
      <c r="B50860"/>
      <c r="C50860"/>
      <c r="E50860"/>
      <c r="F50860"/>
    </row>
    <row r="50861" spans="1:6" x14ac:dyDescent="0.25">
      <c r="A50861"/>
      <c r="B50861"/>
      <c r="C50861"/>
      <c r="E50861"/>
      <c r="F50861"/>
    </row>
    <row r="50862" spans="1:6" x14ac:dyDescent="0.25">
      <c r="A50862"/>
      <c r="B50862"/>
      <c r="C50862"/>
      <c r="E50862"/>
      <c r="F50862"/>
    </row>
    <row r="50863" spans="1:6" x14ac:dyDescent="0.25">
      <c r="A50863"/>
      <c r="B50863"/>
      <c r="C50863"/>
      <c r="E50863"/>
      <c r="F50863"/>
    </row>
    <row r="50864" spans="1:6" x14ac:dyDescent="0.25">
      <c r="A50864"/>
      <c r="B50864"/>
      <c r="C50864"/>
      <c r="E50864"/>
      <c r="F50864"/>
    </row>
    <row r="50865" spans="1:6" x14ac:dyDescent="0.25">
      <c r="A50865"/>
      <c r="B50865"/>
      <c r="C50865"/>
      <c r="E50865"/>
      <c r="F50865"/>
    </row>
    <row r="50866" spans="1:6" x14ac:dyDescent="0.25">
      <c r="A50866"/>
      <c r="B50866"/>
      <c r="C50866"/>
      <c r="E50866"/>
      <c r="F50866"/>
    </row>
    <row r="50867" spans="1:6" x14ac:dyDescent="0.25">
      <c r="A50867"/>
      <c r="B50867"/>
      <c r="C50867"/>
      <c r="E50867"/>
      <c r="F50867"/>
    </row>
    <row r="50868" spans="1:6" x14ac:dyDescent="0.25">
      <c r="A50868"/>
      <c r="B50868"/>
      <c r="C50868"/>
      <c r="E50868"/>
      <c r="F50868"/>
    </row>
    <row r="50869" spans="1:6" x14ac:dyDescent="0.25">
      <c r="A50869"/>
      <c r="B50869"/>
      <c r="C50869"/>
      <c r="E50869"/>
      <c r="F50869"/>
    </row>
    <row r="50870" spans="1:6" x14ac:dyDescent="0.25">
      <c r="A50870"/>
      <c r="B50870"/>
      <c r="C50870"/>
      <c r="E50870"/>
      <c r="F50870"/>
    </row>
    <row r="50871" spans="1:6" x14ac:dyDescent="0.25">
      <c r="A50871"/>
      <c r="B50871"/>
      <c r="C50871"/>
      <c r="E50871"/>
      <c r="F50871"/>
    </row>
    <row r="50872" spans="1:6" x14ac:dyDescent="0.25">
      <c r="A50872"/>
      <c r="B50872"/>
      <c r="C50872"/>
      <c r="E50872"/>
      <c r="F50872"/>
    </row>
    <row r="50873" spans="1:6" x14ac:dyDescent="0.25">
      <c r="A50873"/>
      <c r="B50873"/>
      <c r="C50873"/>
      <c r="E50873"/>
      <c r="F50873"/>
    </row>
    <row r="50874" spans="1:6" x14ac:dyDescent="0.25">
      <c r="A50874"/>
      <c r="B50874"/>
      <c r="C50874"/>
      <c r="E50874"/>
      <c r="F50874"/>
    </row>
    <row r="50875" spans="1:6" x14ac:dyDescent="0.25">
      <c r="A50875"/>
      <c r="B50875"/>
      <c r="C50875"/>
      <c r="E50875"/>
      <c r="F50875"/>
    </row>
    <row r="50876" spans="1:6" x14ac:dyDescent="0.25">
      <c r="A50876"/>
      <c r="B50876"/>
      <c r="C50876"/>
      <c r="E50876"/>
      <c r="F50876"/>
    </row>
    <row r="50877" spans="1:6" x14ac:dyDescent="0.25">
      <c r="A50877"/>
      <c r="B50877"/>
      <c r="C50877"/>
      <c r="E50877"/>
      <c r="F50877"/>
    </row>
    <row r="50878" spans="1:6" x14ac:dyDescent="0.25">
      <c r="A50878"/>
      <c r="B50878"/>
      <c r="C50878"/>
      <c r="E50878"/>
      <c r="F50878"/>
    </row>
    <row r="50879" spans="1:6" x14ac:dyDescent="0.25">
      <c r="A50879"/>
      <c r="B50879"/>
      <c r="C50879"/>
      <c r="E50879"/>
      <c r="F50879"/>
    </row>
    <row r="50880" spans="1:6" x14ac:dyDescent="0.25">
      <c r="A50880"/>
      <c r="B50880"/>
      <c r="C50880"/>
      <c r="E50880"/>
      <c r="F50880"/>
    </row>
    <row r="50881" spans="1:6" x14ac:dyDescent="0.25">
      <c r="A50881"/>
      <c r="B50881"/>
      <c r="C50881"/>
      <c r="E50881"/>
      <c r="F50881"/>
    </row>
    <row r="50882" spans="1:6" x14ac:dyDescent="0.25">
      <c r="A50882"/>
      <c r="B50882"/>
      <c r="C50882"/>
      <c r="E50882"/>
      <c r="F50882"/>
    </row>
    <row r="50883" spans="1:6" x14ac:dyDescent="0.25">
      <c r="A50883"/>
      <c r="B50883"/>
      <c r="C50883"/>
      <c r="E50883"/>
      <c r="F50883"/>
    </row>
    <row r="50884" spans="1:6" x14ac:dyDescent="0.25">
      <c r="A50884"/>
      <c r="B50884"/>
      <c r="C50884"/>
      <c r="E50884"/>
      <c r="F50884"/>
    </row>
    <row r="50885" spans="1:6" x14ac:dyDescent="0.25">
      <c r="A50885"/>
      <c r="B50885"/>
      <c r="C50885"/>
      <c r="E50885"/>
      <c r="F50885"/>
    </row>
    <row r="50886" spans="1:6" x14ac:dyDescent="0.25">
      <c r="A50886"/>
      <c r="B50886"/>
      <c r="C50886"/>
      <c r="E50886"/>
      <c r="F50886"/>
    </row>
    <row r="50887" spans="1:6" x14ac:dyDescent="0.25">
      <c r="A50887"/>
      <c r="B50887"/>
      <c r="C50887"/>
      <c r="E50887"/>
      <c r="F50887"/>
    </row>
    <row r="50888" spans="1:6" x14ac:dyDescent="0.25">
      <c r="A50888"/>
      <c r="B50888"/>
      <c r="C50888"/>
      <c r="E50888"/>
      <c r="F50888"/>
    </row>
    <row r="50889" spans="1:6" x14ac:dyDescent="0.25">
      <c r="A50889"/>
      <c r="B50889"/>
      <c r="C50889"/>
      <c r="E50889"/>
      <c r="F50889"/>
    </row>
    <row r="50890" spans="1:6" x14ac:dyDescent="0.25">
      <c r="A50890"/>
      <c r="B50890"/>
      <c r="C50890"/>
      <c r="E50890"/>
      <c r="F50890"/>
    </row>
    <row r="50891" spans="1:6" x14ac:dyDescent="0.25">
      <c r="A50891"/>
      <c r="B50891"/>
      <c r="C50891"/>
      <c r="E50891"/>
      <c r="F50891"/>
    </row>
    <row r="50892" spans="1:6" x14ac:dyDescent="0.25">
      <c r="A50892"/>
      <c r="B50892"/>
      <c r="C50892"/>
      <c r="E50892"/>
      <c r="F50892"/>
    </row>
    <row r="50893" spans="1:6" x14ac:dyDescent="0.25">
      <c r="A50893"/>
      <c r="B50893"/>
      <c r="C50893"/>
      <c r="E50893"/>
      <c r="F50893"/>
    </row>
    <row r="50894" spans="1:6" x14ac:dyDescent="0.25">
      <c r="A50894"/>
      <c r="B50894"/>
      <c r="C50894"/>
      <c r="E50894"/>
      <c r="F50894"/>
    </row>
    <row r="50895" spans="1:6" x14ac:dyDescent="0.25">
      <c r="A50895"/>
      <c r="B50895"/>
      <c r="C50895"/>
      <c r="E50895"/>
      <c r="F50895"/>
    </row>
    <row r="50896" spans="1:6" x14ac:dyDescent="0.25">
      <c r="A50896"/>
      <c r="B50896"/>
      <c r="C50896"/>
      <c r="E50896"/>
      <c r="F50896"/>
    </row>
    <row r="50897" spans="1:6" x14ac:dyDescent="0.25">
      <c r="A50897"/>
      <c r="B50897"/>
      <c r="C50897"/>
      <c r="E50897"/>
      <c r="F50897"/>
    </row>
    <row r="50898" spans="1:6" x14ac:dyDescent="0.25">
      <c r="A50898"/>
      <c r="B50898"/>
      <c r="C50898"/>
      <c r="E50898"/>
      <c r="F50898"/>
    </row>
    <row r="50899" spans="1:6" x14ac:dyDescent="0.25">
      <c r="A50899"/>
      <c r="B50899"/>
      <c r="C50899"/>
      <c r="E50899"/>
      <c r="F50899"/>
    </row>
    <row r="50900" spans="1:6" x14ac:dyDescent="0.25">
      <c r="A50900"/>
      <c r="B50900"/>
      <c r="C50900"/>
      <c r="E50900"/>
      <c r="F50900"/>
    </row>
    <row r="50901" spans="1:6" x14ac:dyDescent="0.25">
      <c r="A50901"/>
      <c r="B50901"/>
      <c r="C50901"/>
      <c r="E50901"/>
      <c r="F50901"/>
    </row>
    <row r="50902" spans="1:6" x14ac:dyDescent="0.25">
      <c r="A50902"/>
      <c r="B50902"/>
      <c r="C50902"/>
      <c r="E50902"/>
      <c r="F50902"/>
    </row>
    <row r="50903" spans="1:6" x14ac:dyDescent="0.25">
      <c r="A50903"/>
      <c r="B50903"/>
      <c r="C50903"/>
      <c r="E50903"/>
      <c r="F50903"/>
    </row>
    <row r="50904" spans="1:6" x14ac:dyDescent="0.25">
      <c r="A50904"/>
      <c r="B50904"/>
      <c r="C50904"/>
      <c r="E50904"/>
      <c r="F50904"/>
    </row>
    <row r="50905" spans="1:6" x14ac:dyDescent="0.25">
      <c r="A50905"/>
      <c r="B50905"/>
      <c r="C50905"/>
      <c r="E50905"/>
      <c r="F50905"/>
    </row>
    <row r="50906" spans="1:6" x14ac:dyDescent="0.25">
      <c r="A50906"/>
      <c r="B50906"/>
      <c r="C50906"/>
      <c r="E50906"/>
      <c r="F50906"/>
    </row>
    <row r="50907" spans="1:6" x14ac:dyDescent="0.25">
      <c r="A50907"/>
      <c r="B50907"/>
      <c r="C50907"/>
      <c r="E50907"/>
      <c r="F50907"/>
    </row>
    <row r="50908" spans="1:6" x14ac:dyDescent="0.25">
      <c r="A50908"/>
      <c r="B50908"/>
      <c r="C50908"/>
      <c r="E50908"/>
      <c r="F50908"/>
    </row>
    <row r="50909" spans="1:6" x14ac:dyDescent="0.25">
      <c r="A50909"/>
      <c r="B50909"/>
      <c r="C50909"/>
      <c r="E50909"/>
      <c r="F50909"/>
    </row>
    <row r="50910" spans="1:6" x14ac:dyDescent="0.25">
      <c r="A50910"/>
      <c r="B50910"/>
      <c r="C50910"/>
      <c r="E50910"/>
      <c r="F50910"/>
    </row>
    <row r="50911" spans="1:6" x14ac:dyDescent="0.25">
      <c r="A50911"/>
      <c r="B50911"/>
      <c r="C50911"/>
      <c r="E50911"/>
      <c r="F50911"/>
    </row>
    <row r="50912" spans="1:6" x14ac:dyDescent="0.25">
      <c r="A50912"/>
      <c r="B50912"/>
      <c r="C50912"/>
      <c r="E50912"/>
      <c r="F50912"/>
    </row>
    <row r="50913" spans="1:6" x14ac:dyDescent="0.25">
      <c r="A50913"/>
      <c r="B50913"/>
      <c r="C50913"/>
      <c r="E50913"/>
      <c r="F50913"/>
    </row>
    <row r="50914" spans="1:6" x14ac:dyDescent="0.25">
      <c r="A50914"/>
      <c r="B50914"/>
      <c r="C50914"/>
      <c r="E50914"/>
      <c r="F50914"/>
    </row>
    <row r="50915" spans="1:6" x14ac:dyDescent="0.25">
      <c r="A50915"/>
      <c r="B50915"/>
      <c r="C50915"/>
      <c r="E50915"/>
      <c r="F50915"/>
    </row>
    <row r="50916" spans="1:6" x14ac:dyDescent="0.25">
      <c r="A50916"/>
      <c r="B50916"/>
      <c r="C50916"/>
      <c r="E50916"/>
      <c r="F50916"/>
    </row>
    <row r="50917" spans="1:6" x14ac:dyDescent="0.25">
      <c r="A50917"/>
      <c r="B50917"/>
      <c r="C50917"/>
      <c r="E50917"/>
      <c r="F50917"/>
    </row>
    <row r="50918" spans="1:6" x14ac:dyDescent="0.25">
      <c r="A50918"/>
      <c r="B50918"/>
      <c r="C50918"/>
      <c r="E50918"/>
      <c r="F50918"/>
    </row>
    <row r="50919" spans="1:6" x14ac:dyDescent="0.25">
      <c r="A50919"/>
      <c r="B50919"/>
      <c r="C50919"/>
      <c r="E50919"/>
      <c r="F50919"/>
    </row>
    <row r="50920" spans="1:6" x14ac:dyDescent="0.25">
      <c r="A50920"/>
      <c r="B50920"/>
      <c r="C50920"/>
      <c r="E50920"/>
      <c r="F50920"/>
    </row>
    <row r="50921" spans="1:6" x14ac:dyDescent="0.25">
      <c r="A50921"/>
      <c r="B50921"/>
      <c r="C50921"/>
      <c r="E50921"/>
      <c r="F50921"/>
    </row>
    <row r="50922" spans="1:6" x14ac:dyDescent="0.25">
      <c r="A50922"/>
      <c r="B50922"/>
      <c r="C50922"/>
      <c r="E50922"/>
      <c r="F50922"/>
    </row>
    <row r="50923" spans="1:6" x14ac:dyDescent="0.25">
      <c r="A50923"/>
      <c r="B50923"/>
      <c r="C50923"/>
      <c r="E50923"/>
      <c r="F50923"/>
    </row>
    <row r="50924" spans="1:6" x14ac:dyDescent="0.25">
      <c r="A50924"/>
      <c r="B50924"/>
      <c r="C50924"/>
      <c r="E50924"/>
      <c r="F50924"/>
    </row>
    <row r="50925" spans="1:6" x14ac:dyDescent="0.25">
      <c r="A50925"/>
      <c r="B50925"/>
      <c r="C50925"/>
      <c r="E50925"/>
      <c r="F50925"/>
    </row>
    <row r="50926" spans="1:6" x14ac:dyDescent="0.25">
      <c r="A50926"/>
      <c r="B50926"/>
      <c r="C50926"/>
      <c r="E50926"/>
      <c r="F50926"/>
    </row>
    <row r="50927" spans="1:6" x14ac:dyDescent="0.25">
      <c r="A50927"/>
      <c r="B50927"/>
      <c r="C50927"/>
      <c r="E50927"/>
      <c r="F50927"/>
    </row>
    <row r="50928" spans="1:6" x14ac:dyDescent="0.25">
      <c r="A50928"/>
      <c r="B50928"/>
      <c r="C50928"/>
      <c r="E50928"/>
      <c r="F50928"/>
    </row>
    <row r="50929" spans="1:6" x14ac:dyDescent="0.25">
      <c r="A50929"/>
      <c r="B50929"/>
      <c r="C50929"/>
      <c r="E50929"/>
      <c r="F50929"/>
    </row>
    <row r="50930" spans="1:6" x14ac:dyDescent="0.25">
      <c r="A50930"/>
      <c r="B50930"/>
      <c r="C50930"/>
      <c r="E50930"/>
      <c r="F50930"/>
    </row>
    <row r="50931" spans="1:6" x14ac:dyDescent="0.25">
      <c r="A50931"/>
      <c r="B50931"/>
      <c r="C50931"/>
      <c r="E50931"/>
      <c r="F50931"/>
    </row>
    <row r="50932" spans="1:6" x14ac:dyDescent="0.25">
      <c r="A50932"/>
      <c r="B50932"/>
      <c r="C50932"/>
      <c r="E50932"/>
      <c r="F50932"/>
    </row>
    <row r="50933" spans="1:6" x14ac:dyDescent="0.25">
      <c r="A50933"/>
      <c r="B50933"/>
      <c r="C50933"/>
      <c r="E50933"/>
      <c r="F50933"/>
    </row>
    <row r="50934" spans="1:6" x14ac:dyDescent="0.25">
      <c r="A50934"/>
      <c r="B50934"/>
      <c r="C50934"/>
      <c r="E50934"/>
      <c r="F50934"/>
    </row>
    <row r="50935" spans="1:6" x14ac:dyDescent="0.25">
      <c r="A50935"/>
      <c r="B50935"/>
      <c r="C50935"/>
      <c r="E50935"/>
      <c r="F50935"/>
    </row>
    <row r="50936" spans="1:6" x14ac:dyDescent="0.25">
      <c r="A50936"/>
      <c r="B50936"/>
      <c r="C50936"/>
      <c r="E50936"/>
      <c r="F50936"/>
    </row>
    <row r="50937" spans="1:6" x14ac:dyDescent="0.25">
      <c r="A50937"/>
      <c r="B50937"/>
      <c r="C50937"/>
      <c r="E50937"/>
      <c r="F50937"/>
    </row>
    <row r="50938" spans="1:6" x14ac:dyDescent="0.25">
      <c r="A50938"/>
      <c r="B50938"/>
      <c r="C50938"/>
      <c r="E50938"/>
      <c r="F50938"/>
    </row>
    <row r="50939" spans="1:6" x14ac:dyDescent="0.25">
      <c r="A50939"/>
      <c r="B50939"/>
      <c r="C50939"/>
      <c r="E50939"/>
      <c r="F50939"/>
    </row>
    <row r="50940" spans="1:6" x14ac:dyDescent="0.25">
      <c r="A50940"/>
      <c r="B50940"/>
      <c r="C50940"/>
      <c r="E50940"/>
      <c r="F50940"/>
    </row>
    <row r="50941" spans="1:6" x14ac:dyDescent="0.25">
      <c r="A50941"/>
      <c r="B50941"/>
      <c r="C50941"/>
      <c r="E50941"/>
      <c r="F50941"/>
    </row>
    <row r="50942" spans="1:6" x14ac:dyDescent="0.25">
      <c r="A50942"/>
      <c r="B50942"/>
      <c r="C50942"/>
      <c r="E50942"/>
      <c r="F50942"/>
    </row>
    <row r="50943" spans="1:6" x14ac:dyDescent="0.25">
      <c r="A50943"/>
      <c r="B50943"/>
      <c r="C50943"/>
      <c r="E50943"/>
      <c r="F50943"/>
    </row>
    <row r="50944" spans="1:6" x14ac:dyDescent="0.25">
      <c r="A50944"/>
      <c r="B50944"/>
      <c r="C50944"/>
      <c r="E50944"/>
      <c r="F50944"/>
    </row>
    <row r="50945" spans="1:6" x14ac:dyDescent="0.25">
      <c r="A50945"/>
      <c r="B50945"/>
      <c r="C50945"/>
      <c r="E50945"/>
      <c r="F50945"/>
    </row>
    <row r="50946" spans="1:6" x14ac:dyDescent="0.25">
      <c r="A50946"/>
      <c r="B50946"/>
      <c r="C50946"/>
      <c r="E50946"/>
      <c r="F50946"/>
    </row>
    <row r="50947" spans="1:6" x14ac:dyDescent="0.25">
      <c r="A50947"/>
      <c r="B50947"/>
      <c r="C50947"/>
      <c r="E50947"/>
      <c r="F50947"/>
    </row>
    <row r="50948" spans="1:6" x14ac:dyDescent="0.25">
      <c r="A50948"/>
      <c r="B50948"/>
      <c r="C50948"/>
      <c r="E50948"/>
      <c r="F50948"/>
    </row>
    <row r="50949" spans="1:6" x14ac:dyDescent="0.25">
      <c r="A50949"/>
      <c r="B50949"/>
      <c r="C50949"/>
      <c r="E50949"/>
      <c r="F50949"/>
    </row>
    <row r="50950" spans="1:6" x14ac:dyDescent="0.25">
      <c r="A50950"/>
      <c r="B50950"/>
      <c r="C50950"/>
      <c r="E50950"/>
      <c r="F50950"/>
    </row>
    <row r="50951" spans="1:6" x14ac:dyDescent="0.25">
      <c r="A50951"/>
      <c r="B50951"/>
      <c r="C50951"/>
      <c r="E50951"/>
      <c r="F50951"/>
    </row>
    <row r="50952" spans="1:6" x14ac:dyDescent="0.25">
      <c r="A50952"/>
      <c r="B50952"/>
      <c r="C50952"/>
      <c r="E50952"/>
      <c r="F50952"/>
    </row>
    <row r="50953" spans="1:6" x14ac:dyDescent="0.25">
      <c r="A50953"/>
      <c r="B50953"/>
      <c r="C50953"/>
      <c r="E50953"/>
      <c r="F50953"/>
    </row>
    <row r="50954" spans="1:6" x14ac:dyDescent="0.25">
      <c r="A50954"/>
      <c r="B50954"/>
      <c r="C50954"/>
      <c r="E50954"/>
      <c r="F50954"/>
    </row>
    <row r="50955" spans="1:6" x14ac:dyDescent="0.25">
      <c r="A50955"/>
      <c r="B50955"/>
      <c r="C50955"/>
      <c r="E50955"/>
      <c r="F50955"/>
    </row>
    <row r="50956" spans="1:6" x14ac:dyDescent="0.25">
      <c r="A50956"/>
      <c r="B50956"/>
      <c r="C50956"/>
      <c r="E50956"/>
      <c r="F50956"/>
    </row>
    <row r="50957" spans="1:6" x14ac:dyDescent="0.25">
      <c r="A50957"/>
      <c r="B50957"/>
      <c r="C50957"/>
      <c r="E50957"/>
      <c r="F50957"/>
    </row>
    <row r="50958" spans="1:6" x14ac:dyDescent="0.25">
      <c r="A50958"/>
      <c r="B50958"/>
      <c r="C50958"/>
      <c r="E50958"/>
      <c r="F50958"/>
    </row>
    <row r="50959" spans="1:6" x14ac:dyDescent="0.25">
      <c r="A50959"/>
      <c r="B50959"/>
      <c r="C50959"/>
      <c r="E50959"/>
      <c r="F50959"/>
    </row>
    <row r="50960" spans="1:6" x14ac:dyDescent="0.25">
      <c r="A50960"/>
      <c r="B50960"/>
      <c r="C50960"/>
      <c r="E50960"/>
      <c r="F50960"/>
    </row>
    <row r="50961" spans="1:6" x14ac:dyDescent="0.25">
      <c r="A50961"/>
      <c r="B50961"/>
      <c r="C50961"/>
      <c r="E50961"/>
      <c r="F50961"/>
    </row>
    <row r="50962" spans="1:6" x14ac:dyDescent="0.25">
      <c r="A50962"/>
      <c r="B50962"/>
      <c r="C50962"/>
      <c r="E50962"/>
      <c r="F50962"/>
    </row>
    <row r="50963" spans="1:6" x14ac:dyDescent="0.25">
      <c r="A50963"/>
      <c r="B50963"/>
      <c r="C50963"/>
      <c r="E50963"/>
      <c r="F50963"/>
    </row>
    <row r="50964" spans="1:6" x14ac:dyDescent="0.25">
      <c r="A50964"/>
      <c r="B50964"/>
      <c r="C50964"/>
      <c r="E50964"/>
      <c r="F50964"/>
    </row>
    <row r="50965" spans="1:6" x14ac:dyDescent="0.25">
      <c r="A50965"/>
      <c r="B50965"/>
      <c r="C50965"/>
      <c r="E50965"/>
      <c r="F50965"/>
    </row>
    <row r="50966" spans="1:6" x14ac:dyDescent="0.25">
      <c r="A50966"/>
      <c r="B50966"/>
      <c r="C50966"/>
      <c r="E50966"/>
      <c r="F50966"/>
    </row>
    <row r="50967" spans="1:6" x14ac:dyDescent="0.25">
      <c r="A50967"/>
      <c r="B50967"/>
      <c r="C50967"/>
      <c r="E50967"/>
      <c r="F50967"/>
    </row>
    <row r="50968" spans="1:6" x14ac:dyDescent="0.25">
      <c r="A50968"/>
      <c r="B50968"/>
      <c r="C50968"/>
      <c r="E50968"/>
      <c r="F50968"/>
    </row>
    <row r="50969" spans="1:6" x14ac:dyDescent="0.25">
      <c r="A50969"/>
      <c r="B50969"/>
      <c r="C50969"/>
      <c r="E50969"/>
      <c r="F50969"/>
    </row>
    <row r="50970" spans="1:6" x14ac:dyDescent="0.25">
      <c r="A50970"/>
      <c r="B50970"/>
      <c r="C50970"/>
      <c r="E50970"/>
      <c r="F50970"/>
    </row>
    <row r="50971" spans="1:6" x14ac:dyDescent="0.25">
      <c r="A50971"/>
      <c r="B50971"/>
      <c r="C50971"/>
      <c r="E50971"/>
      <c r="F50971"/>
    </row>
    <row r="50972" spans="1:6" x14ac:dyDescent="0.25">
      <c r="A50972"/>
      <c r="B50972"/>
      <c r="C50972"/>
      <c r="E50972"/>
      <c r="F50972"/>
    </row>
    <row r="50973" spans="1:6" x14ac:dyDescent="0.25">
      <c r="A50973"/>
      <c r="B50973"/>
      <c r="C50973"/>
      <c r="E50973"/>
      <c r="F50973"/>
    </row>
    <row r="50974" spans="1:6" x14ac:dyDescent="0.25">
      <c r="A50974"/>
      <c r="B50974"/>
      <c r="C50974"/>
      <c r="E50974"/>
      <c r="F50974"/>
    </row>
    <row r="50975" spans="1:6" x14ac:dyDescent="0.25">
      <c r="A50975"/>
      <c r="B50975"/>
      <c r="C50975"/>
      <c r="E50975"/>
      <c r="F50975"/>
    </row>
    <row r="50976" spans="1:6" x14ac:dyDescent="0.25">
      <c r="A50976"/>
      <c r="B50976"/>
      <c r="C50976"/>
      <c r="E50976"/>
      <c r="F50976"/>
    </row>
    <row r="50977" spans="1:6" x14ac:dyDescent="0.25">
      <c r="A50977"/>
      <c r="B50977"/>
      <c r="C50977"/>
      <c r="E50977"/>
      <c r="F50977"/>
    </row>
    <row r="50978" spans="1:6" x14ac:dyDescent="0.25">
      <c r="A50978"/>
      <c r="B50978"/>
      <c r="C50978"/>
      <c r="E50978"/>
      <c r="F50978"/>
    </row>
    <row r="50979" spans="1:6" x14ac:dyDescent="0.25">
      <c r="A50979"/>
      <c r="B50979"/>
      <c r="C50979"/>
      <c r="E50979"/>
      <c r="F50979"/>
    </row>
    <row r="50980" spans="1:6" x14ac:dyDescent="0.25">
      <c r="A50980"/>
      <c r="B50980"/>
      <c r="C50980"/>
      <c r="E50980"/>
      <c r="F50980"/>
    </row>
    <row r="50981" spans="1:6" x14ac:dyDescent="0.25">
      <c r="A50981"/>
      <c r="B50981"/>
      <c r="C50981"/>
      <c r="E50981"/>
      <c r="F50981"/>
    </row>
    <row r="50982" spans="1:6" x14ac:dyDescent="0.25">
      <c r="A50982"/>
      <c r="B50982"/>
      <c r="C50982"/>
      <c r="E50982"/>
      <c r="F50982"/>
    </row>
    <row r="50983" spans="1:6" x14ac:dyDescent="0.25">
      <c r="A50983"/>
      <c r="B50983"/>
      <c r="C50983"/>
      <c r="E50983"/>
      <c r="F50983"/>
    </row>
    <row r="50984" spans="1:6" x14ac:dyDescent="0.25">
      <c r="A50984"/>
      <c r="B50984"/>
      <c r="C50984"/>
      <c r="E50984"/>
      <c r="F50984"/>
    </row>
    <row r="50985" spans="1:6" x14ac:dyDescent="0.25">
      <c r="A50985"/>
      <c r="B50985"/>
      <c r="C50985"/>
      <c r="E50985"/>
      <c r="F50985"/>
    </row>
    <row r="50986" spans="1:6" x14ac:dyDescent="0.25">
      <c r="A50986"/>
      <c r="B50986"/>
      <c r="C50986"/>
      <c r="E50986"/>
      <c r="F50986"/>
    </row>
    <row r="50987" spans="1:6" x14ac:dyDescent="0.25">
      <c r="A50987"/>
      <c r="B50987"/>
      <c r="C50987"/>
      <c r="E50987"/>
      <c r="F50987"/>
    </row>
    <row r="50988" spans="1:6" x14ac:dyDescent="0.25">
      <c r="A50988"/>
      <c r="B50988"/>
      <c r="C50988"/>
      <c r="E50988"/>
      <c r="F50988"/>
    </row>
    <row r="50989" spans="1:6" x14ac:dyDescent="0.25">
      <c r="A50989"/>
      <c r="B50989"/>
      <c r="C50989"/>
      <c r="E50989"/>
      <c r="F50989"/>
    </row>
    <row r="50990" spans="1:6" x14ac:dyDescent="0.25">
      <c r="A50990"/>
      <c r="B50990"/>
      <c r="C50990"/>
      <c r="E50990"/>
      <c r="F50990"/>
    </row>
    <row r="50991" spans="1:6" x14ac:dyDescent="0.25">
      <c r="A50991"/>
      <c r="B50991"/>
      <c r="C50991"/>
      <c r="E50991"/>
      <c r="F50991"/>
    </row>
    <row r="50992" spans="1:6" x14ac:dyDescent="0.25">
      <c r="A50992"/>
      <c r="B50992"/>
      <c r="C50992"/>
      <c r="E50992"/>
      <c r="F50992"/>
    </row>
    <row r="50993" spans="1:6" x14ac:dyDescent="0.25">
      <c r="A50993"/>
      <c r="B50993"/>
      <c r="C50993"/>
      <c r="E50993"/>
      <c r="F50993"/>
    </row>
    <row r="50994" spans="1:6" x14ac:dyDescent="0.25">
      <c r="A50994"/>
      <c r="B50994"/>
      <c r="C50994"/>
      <c r="E50994"/>
      <c r="F50994"/>
    </row>
    <row r="50995" spans="1:6" x14ac:dyDescent="0.25">
      <c r="A50995"/>
      <c r="B50995"/>
      <c r="C50995"/>
      <c r="E50995"/>
      <c r="F50995"/>
    </row>
    <row r="50996" spans="1:6" x14ac:dyDescent="0.25">
      <c r="A50996"/>
      <c r="B50996"/>
      <c r="C50996"/>
      <c r="E50996"/>
      <c r="F50996"/>
    </row>
    <row r="50997" spans="1:6" x14ac:dyDescent="0.25">
      <c r="A50997"/>
      <c r="B50997"/>
      <c r="C50997"/>
      <c r="E50997"/>
      <c r="F50997"/>
    </row>
    <row r="50998" spans="1:6" x14ac:dyDescent="0.25">
      <c r="A50998"/>
      <c r="B50998"/>
      <c r="C50998"/>
      <c r="E50998"/>
      <c r="F50998"/>
    </row>
    <row r="50999" spans="1:6" x14ac:dyDescent="0.25">
      <c r="A50999"/>
      <c r="B50999"/>
      <c r="C50999"/>
      <c r="E50999"/>
      <c r="F50999"/>
    </row>
    <row r="51000" spans="1:6" x14ac:dyDescent="0.25">
      <c r="A51000"/>
      <c r="B51000"/>
      <c r="C51000"/>
      <c r="E51000"/>
      <c r="F51000"/>
    </row>
    <row r="51001" spans="1:6" x14ac:dyDescent="0.25">
      <c r="A51001"/>
      <c r="B51001"/>
      <c r="C51001"/>
      <c r="E51001"/>
      <c r="F51001"/>
    </row>
    <row r="51002" spans="1:6" x14ac:dyDescent="0.25">
      <c r="A51002"/>
      <c r="B51002"/>
      <c r="C51002"/>
      <c r="E51002"/>
      <c r="F51002"/>
    </row>
    <row r="51003" spans="1:6" x14ac:dyDescent="0.25">
      <c r="A51003"/>
      <c r="B51003"/>
      <c r="C51003"/>
      <c r="E51003"/>
      <c r="F51003"/>
    </row>
    <row r="51004" spans="1:6" x14ac:dyDescent="0.25">
      <c r="A51004"/>
      <c r="B51004"/>
      <c r="C51004"/>
      <c r="E51004"/>
      <c r="F51004"/>
    </row>
    <row r="51005" spans="1:6" x14ac:dyDescent="0.25">
      <c r="A51005"/>
      <c r="B51005"/>
      <c r="C51005"/>
      <c r="E51005"/>
      <c r="F51005"/>
    </row>
    <row r="51006" spans="1:6" x14ac:dyDescent="0.25">
      <c r="A51006"/>
      <c r="B51006"/>
      <c r="C51006"/>
      <c r="E51006"/>
      <c r="F51006"/>
    </row>
    <row r="51007" spans="1:6" x14ac:dyDescent="0.25">
      <c r="A51007"/>
      <c r="B51007"/>
      <c r="C51007"/>
      <c r="E51007"/>
      <c r="F51007"/>
    </row>
    <row r="51008" spans="1:6" x14ac:dyDescent="0.25">
      <c r="A51008"/>
      <c r="B51008"/>
      <c r="C51008"/>
      <c r="E51008"/>
      <c r="F51008"/>
    </row>
    <row r="51009" spans="1:6" x14ac:dyDescent="0.25">
      <c r="A51009"/>
      <c r="B51009"/>
      <c r="C51009"/>
      <c r="E51009"/>
      <c r="F51009"/>
    </row>
    <row r="51010" spans="1:6" x14ac:dyDescent="0.25">
      <c r="A51010"/>
      <c r="B51010"/>
      <c r="C51010"/>
      <c r="E51010"/>
      <c r="F51010"/>
    </row>
    <row r="51011" spans="1:6" x14ac:dyDescent="0.25">
      <c r="A51011"/>
      <c r="B51011"/>
      <c r="C51011"/>
      <c r="E51011"/>
      <c r="F51011"/>
    </row>
    <row r="51012" spans="1:6" x14ac:dyDescent="0.25">
      <c r="A51012"/>
      <c r="B51012"/>
      <c r="C51012"/>
      <c r="E51012"/>
      <c r="F51012"/>
    </row>
    <row r="51013" spans="1:6" x14ac:dyDescent="0.25">
      <c r="A51013"/>
      <c r="B51013"/>
      <c r="C51013"/>
      <c r="E51013"/>
      <c r="F51013"/>
    </row>
    <row r="51014" spans="1:6" x14ac:dyDescent="0.25">
      <c r="A51014"/>
      <c r="B51014"/>
      <c r="C51014"/>
      <c r="E51014"/>
      <c r="F51014"/>
    </row>
    <row r="51015" spans="1:6" x14ac:dyDescent="0.25">
      <c r="A51015"/>
      <c r="B51015"/>
      <c r="C51015"/>
      <c r="E51015"/>
      <c r="F51015"/>
    </row>
    <row r="51016" spans="1:6" x14ac:dyDescent="0.25">
      <c r="A51016"/>
      <c r="B51016"/>
      <c r="C51016"/>
      <c r="E51016"/>
      <c r="F51016"/>
    </row>
    <row r="51017" spans="1:6" x14ac:dyDescent="0.25">
      <c r="A51017"/>
      <c r="B51017"/>
      <c r="C51017"/>
      <c r="E51017"/>
      <c r="F51017"/>
    </row>
    <row r="51018" spans="1:6" x14ac:dyDescent="0.25">
      <c r="A51018"/>
      <c r="B51018"/>
      <c r="C51018"/>
      <c r="E51018"/>
      <c r="F51018"/>
    </row>
    <row r="51019" spans="1:6" x14ac:dyDescent="0.25">
      <c r="A51019"/>
      <c r="B51019"/>
      <c r="C51019"/>
      <c r="E51019"/>
      <c r="F51019"/>
    </row>
    <row r="51020" spans="1:6" x14ac:dyDescent="0.25">
      <c r="A51020"/>
      <c r="B51020"/>
      <c r="C51020"/>
      <c r="E51020"/>
      <c r="F51020"/>
    </row>
    <row r="51021" spans="1:6" x14ac:dyDescent="0.25">
      <c r="A51021"/>
      <c r="B51021"/>
      <c r="C51021"/>
      <c r="E51021"/>
      <c r="F51021"/>
    </row>
    <row r="51022" spans="1:6" x14ac:dyDescent="0.25">
      <c r="A51022"/>
      <c r="B51022"/>
      <c r="C51022"/>
      <c r="E51022"/>
      <c r="F51022"/>
    </row>
    <row r="51023" spans="1:6" x14ac:dyDescent="0.25">
      <c r="A51023"/>
      <c r="B51023"/>
      <c r="C51023"/>
      <c r="E51023"/>
      <c r="F51023"/>
    </row>
    <row r="51024" spans="1:6" x14ac:dyDescent="0.25">
      <c r="A51024"/>
      <c r="B51024"/>
      <c r="C51024"/>
      <c r="E51024"/>
      <c r="F51024"/>
    </row>
    <row r="51025" spans="1:6" x14ac:dyDescent="0.25">
      <c r="A51025"/>
      <c r="B51025"/>
      <c r="C51025"/>
      <c r="E51025"/>
      <c r="F51025"/>
    </row>
    <row r="51026" spans="1:6" x14ac:dyDescent="0.25">
      <c r="A51026"/>
      <c r="B51026"/>
      <c r="C51026"/>
      <c r="E51026"/>
      <c r="F51026"/>
    </row>
    <row r="51027" spans="1:6" x14ac:dyDescent="0.25">
      <c r="A51027"/>
      <c r="B51027"/>
      <c r="C51027"/>
      <c r="E51027"/>
      <c r="F51027"/>
    </row>
    <row r="51028" spans="1:6" x14ac:dyDescent="0.25">
      <c r="A51028"/>
      <c r="B51028"/>
      <c r="C51028"/>
      <c r="E51028"/>
      <c r="F51028"/>
    </row>
    <row r="51029" spans="1:6" x14ac:dyDescent="0.25">
      <c r="A51029"/>
      <c r="B51029"/>
      <c r="C51029"/>
      <c r="E51029"/>
      <c r="F51029"/>
    </row>
    <row r="51030" spans="1:6" x14ac:dyDescent="0.25">
      <c r="A51030"/>
      <c r="B51030"/>
      <c r="C51030"/>
      <c r="E51030"/>
      <c r="F51030"/>
    </row>
    <row r="51031" spans="1:6" x14ac:dyDescent="0.25">
      <c r="A51031"/>
      <c r="B51031"/>
      <c r="C51031"/>
      <c r="E51031"/>
      <c r="F51031"/>
    </row>
    <row r="51032" spans="1:6" x14ac:dyDescent="0.25">
      <c r="A51032"/>
      <c r="B51032"/>
      <c r="C51032"/>
      <c r="E51032"/>
      <c r="F51032"/>
    </row>
    <row r="51033" spans="1:6" x14ac:dyDescent="0.25">
      <c r="A51033"/>
      <c r="B51033"/>
      <c r="C51033"/>
      <c r="E51033"/>
      <c r="F51033"/>
    </row>
    <row r="51034" spans="1:6" x14ac:dyDescent="0.25">
      <c r="A51034"/>
      <c r="B51034"/>
      <c r="C51034"/>
      <c r="E51034"/>
      <c r="F51034"/>
    </row>
    <row r="51035" spans="1:6" x14ac:dyDescent="0.25">
      <c r="A51035"/>
      <c r="B51035"/>
      <c r="C51035"/>
      <c r="E51035"/>
      <c r="F51035"/>
    </row>
    <row r="51036" spans="1:6" x14ac:dyDescent="0.25">
      <c r="A51036"/>
      <c r="B51036"/>
      <c r="C51036"/>
      <c r="E51036"/>
      <c r="F51036"/>
    </row>
    <row r="51037" spans="1:6" x14ac:dyDescent="0.25">
      <c r="A51037"/>
      <c r="B51037"/>
      <c r="C51037"/>
      <c r="E51037"/>
      <c r="F51037"/>
    </row>
    <row r="51038" spans="1:6" x14ac:dyDescent="0.25">
      <c r="A51038"/>
      <c r="B51038"/>
      <c r="C51038"/>
      <c r="E51038"/>
      <c r="F51038"/>
    </row>
    <row r="51039" spans="1:6" x14ac:dyDescent="0.25">
      <c r="A51039"/>
      <c r="B51039"/>
      <c r="C51039"/>
      <c r="E51039"/>
      <c r="F51039"/>
    </row>
    <row r="51040" spans="1:6" x14ac:dyDescent="0.25">
      <c r="A51040"/>
      <c r="B51040"/>
      <c r="C51040"/>
      <c r="E51040"/>
      <c r="F51040"/>
    </row>
    <row r="51041" spans="1:6" x14ac:dyDescent="0.25">
      <c r="A51041"/>
      <c r="B51041"/>
      <c r="C51041"/>
      <c r="E51041"/>
      <c r="F51041"/>
    </row>
    <row r="51042" spans="1:6" x14ac:dyDescent="0.25">
      <c r="A51042"/>
      <c r="B51042"/>
      <c r="C51042"/>
      <c r="E51042"/>
      <c r="F51042"/>
    </row>
    <row r="51043" spans="1:6" x14ac:dyDescent="0.25">
      <c r="A51043"/>
      <c r="B51043"/>
      <c r="C51043"/>
      <c r="E51043"/>
      <c r="F51043"/>
    </row>
    <row r="51044" spans="1:6" x14ac:dyDescent="0.25">
      <c r="A51044"/>
      <c r="B51044"/>
      <c r="C51044"/>
      <c r="E51044"/>
      <c r="F51044"/>
    </row>
    <row r="51045" spans="1:6" x14ac:dyDescent="0.25">
      <c r="A51045"/>
      <c r="B51045"/>
      <c r="C51045"/>
      <c r="E51045"/>
      <c r="F51045"/>
    </row>
    <row r="51046" spans="1:6" x14ac:dyDescent="0.25">
      <c r="A51046"/>
      <c r="B51046"/>
      <c r="C51046"/>
      <c r="E51046"/>
      <c r="F51046"/>
    </row>
    <row r="51047" spans="1:6" x14ac:dyDescent="0.25">
      <c r="A51047"/>
      <c r="B51047"/>
      <c r="C51047"/>
      <c r="E51047"/>
      <c r="F51047"/>
    </row>
    <row r="51048" spans="1:6" x14ac:dyDescent="0.25">
      <c r="A51048"/>
      <c r="B51048"/>
      <c r="C51048"/>
      <c r="E51048"/>
      <c r="F51048"/>
    </row>
    <row r="51049" spans="1:6" x14ac:dyDescent="0.25">
      <c r="A51049"/>
      <c r="B51049"/>
      <c r="C51049"/>
      <c r="E51049"/>
      <c r="F51049"/>
    </row>
    <row r="51050" spans="1:6" x14ac:dyDescent="0.25">
      <c r="A51050"/>
      <c r="B51050"/>
      <c r="C51050"/>
      <c r="E51050"/>
      <c r="F51050"/>
    </row>
    <row r="51051" spans="1:6" x14ac:dyDescent="0.25">
      <c r="A51051"/>
      <c r="B51051"/>
      <c r="C51051"/>
      <c r="E51051"/>
      <c r="F51051"/>
    </row>
    <row r="51052" spans="1:6" x14ac:dyDescent="0.25">
      <c r="A51052"/>
      <c r="B51052"/>
      <c r="C51052"/>
      <c r="E51052"/>
      <c r="F51052"/>
    </row>
    <row r="51053" spans="1:6" x14ac:dyDescent="0.25">
      <c r="A51053"/>
      <c r="B51053"/>
      <c r="C51053"/>
      <c r="E51053"/>
      <c r="F51053"/>
    </row>
    <row r="51054" spans="1:6" x14ac:dyDescent="0.25">
      <c r="A51054"/>
      <c r="B51054"/>
      <c r="C51054"/>
      <c r="E51054"/>
      <c r="F51054"/>
    </row>
    <row r="51055" spans="1:6" x14ac:dyDescent="0.25">
      <c r="A51055"/>
      <c r="B51055"/>
      <c r="C51055"/>
      <c r="E51055"/>
      <c r="F51055"/>
    </row>
    <row r="51056" spans="1:6" x14ac:dyDescent="0.25">
      <c r="A51056"/>
      <c r="B51056"/>
      <c r="C51056"/>
      <c r="E51056"/>
      <c r="F51056"/>
    </row>
    <row r="51057" spans="1:6" x14ac:dyDescent="0.25">
      <c r="A51057"/>
      <c r="B51057"/>
      <c r="C51057"/>
      <c r="E51057"/>
      <c r="F51057"/>
    </row>
    <row r="51058" spans="1:6" x14ac:dyDescent="0.25">
      <c r="A51058"/>
      <c r="B51058"/>
      <c r="C51058"/>
      <c r="E51058"/>
      <c r="F51058"/>
    </row>
    <row r="51059" spans="1:6" x14ac:dyDescent="0.25">
      <c r="A51059"/>
      <c r="B51059"/>
      <c r="C51059"/>
      <c r="E51059"/>
      <c r="F51059"/>
    </row>
    <row r="51060" spans="1:6" x14ac:dyDescent="0.25">
      <c r="A51060"/>
      <c r="B51060"/>
      <c r="C51060"/>
      <c r="E51060"/>
      <c r="F51060"/>
    </row>
    <row r="51061" spans="1:6" x14ac:dyDescent="0.25">
      <c r="A51061"/>
      <c r="B51061"/>
      <c r="C51061"/>
      <c r="E51061"/>
      <c r="F51061"/>
    </row>
    <row r="51062" spans="1:6" x14ac:dyDescent="0.25">
      <c r="A51062"/>
      <c r="B51062"/>
      <c r="C51062"/>
      <c r="E51062"/>
      <c r="F51062"/>
    </row>
    <row r="51063" spans="1:6" x14ac:dyDescent="0.25">
      <c r="A51063"/>
      <c r="B51063"/>
      <c r="C51063"/>
      <c r="E51063"/>
      <c r="F51063"/>
    </row>
    <row r="51064" spans="1:6" x14ac:dyDescent="0.25">
      <c r="A51064"/>
      <c r="B51064"/>
      <c r="C51064"/>
      <c r="E51064"/>
      <c r="F51064"/>
    </row>
    <row r="51065" spans="1:6" x14ac:dyDescent="0.25">
      <c r="A51065"/>
      <c r="B51065"/>
      <c r="C51065"/>
      <c r="E51065"/>
      <c r="F51065"/>
    </row>
    <row r="51066" spans="1:6" x14ac:dyDescent="0.25">
      <c r="A51066"/>
      <c r="B51066"/>
      <c r="C51066"/>
      <c r="E51066"/>
      <c r="F51066"/>
    </row>
    <row r="51067" spans="1:6" x14ac:dyDescent="0.25">
      <c r="A51067"/>
      <c r="B51067"/>
      <c r="C51067"/>
      <c r="E51067"/>
      <c r="F51067"/>
    </row>
    <row r="51068" spans="1:6" x14ac:dyDescent="0.25">
      <c r="A51068"/>
      <c r="B51068"/>
      <c r="C51068"/>
      <c r="E51068"/>
      <c r="F51068"/>
    </row>
    <row r="51069" spans="1:6" x14ac:dyDescent="0.25">
      <c r="A51069"/>
      <c r="B51069"/>
      <c r="C51069"/>
      <c r="E51069"/>
      <c r="F51069"/>
    </row>
    <row r="51070" spans="1:6" x14ac:dyDescent="0.25">
      <c r="A51070"/>
      <c r="B51070"/>
      <c r="C51070"/>
      <c r="E51070"/>
      <c r="F51070"/>
    </row>
    <row r="51071" spans="1:6" x14ac:dyDescent="0.25">
      <c r="A51071"/>
      <c r="B51071"/>
      <c r="C51071"/>
      <c r="E51071"/>
      <c r="F51071"/>
    </row>
    <row r="51072" spans="1:6" x14ac:dyDescent="0.25">
      <c r="A51072"/>
      <c r="B51072"/>
      <c r="C51072"/>
      <c r="E51072"/>
      <c r="F51072"/>
    </row>
    <row r="51073" spans="1:6" x14ac:dyDescent="0.25">
      <c r="A51073"/>
      <c r="B51073"/>
      <c r="C51073"/>
      <c r="E51073"/>
      <c r="F51073"/>
    </row>
    <row r="51074" spans="1:6" x14ac:dyDescent="0.25">
      <c r="A51074"/>
      <c r="B51074"/>
      <c r="C51074"/>
      <c r="E51074"/>
      <c r="F51074"/>
    </row>
    <row r="51075" spans="1:6" x14ac:dyDescent="0.25">
      <c r="A51075"/>
      <c r="B51075"/>
      <c r="C51075"/>
      <c r="E51075"/>
      <c r="F51075"/>
    </row>
    <row r="51076" spans="1:6" x14ac:dyDescent="0.25">
      <c r="A51076"/>
      <c r="B51076"/>
      <c r="C51076"/>
      <c r="E51076"/>
      <c r="F51076"/>
    </row>
    <row r="51077" spans="1:6" x14ac:dyDescent="0.25">
      <c r="A51077"/>
      <c r="B51077"/>
      <c r="C51077"/>
      <c r="E51077"/>
      <c r="F51077"/>
    </row>
    <row r="51078" spans="1:6" x14ac:dyDescent="0.25">
      <c r="A51078"/>
      <c r="B51078"/>
      <c r="C51078"/>
      <c r="E51078"/>
      <c r="F51078"/>
    </row>
    <row r="51079" spans="1:6" x14ac:dyDescent="0.25">
      <c r="A51079"/>
      <c r="B51079"/>
      <c r="C51079"/>
      <c r="E51079"/>
      <c r="F51079"/>
    </row>
    <row r="51080" spans="1:6" x14ac:dyDescent="0.25">
      <c r="A51080"/>
      <c r="B51080"/>
      <c r="C51080"/>
      <c r="E51080"/>
      <c r="F51080"/>
    </row>
    <row r="51081" spans="1:6" x14ac:dyDescent="0.25">
      <c r="A51081"/>
      <c r="B51081"/>
      <c r="C51081"/>
      <c r="E51081"/>
      <c r="F51081"/>
    </row>
    <row r="51082" spans="1:6" x14ac:dyDescent="0.25">
      <c r="A51082"/>
      <c r="B51082"/>
      <c r="C51082"/>
      <c r="E51082"/>
      <c r="F51082"/>
    </row>
    <row r="51083" spans="1:6" x14ac:dyDescent="0.25">
      <c r="A51083"/>
      <c r="B51083"/>
      <c r="C51083"/>
      <c r="E51083"/>
      <c r="F51083"/>
    </row>
    <row r="51084" spans="1:6" x14ac:dyDescent="0.25">
      <c r="A51084"/>
      <c r="B51084"/>
      <c r="C51084"/>
      <c r="E51084"/>
      <c r="F51084"/>
    </row>
    <row r="51085" spans="1:6" x14ac:dyDescent="0.25">
      <c r="A51085"/>
      <c r="B51085"/>
      <c r="C51085"/>
      <c r="E51085"/>
      <c r="F51085"/>
    </row>
    <row r="51086" spans="1:6" x14ac:dyDescent="0.25">
      <c r="A51086"/>
      <c r="B51086"/>
      <c r="C51086"/>
      <c r="E51086"/>
      <c r="F51086"/>
    </row>
    <row r="51087" spans="1:6" x14ac:dyDescent="0.25">
      <c r="A51087"/>
      <c r="B51087"/>
      <c r="C51087"/>
      <c r="E51087"/>
      <c r="F51087"/>
    </row>
    <row r="51088" spans="1:6" x14ac:dyDescent="0.25">
      <c r="A51088"/>
      <c r="B51088"/>
      <c r="C51088"/>
      <c r="E51088"/>
      <c r="F51088"/>
    </row>
    <row r="51089" spans="1:6" x14ac:dyDescent="0.25">
      <c r="A51089"/>
      <c r="B51089"/>
      <c r="C51089"/>
      <c r="E51089"/>
      <c r="F51089"/>
    </row>
    <row r="51090" spans="1:6" x14ac:dyDescent="0.25">
      <c r="A51090"/>
      <c r="B51090"/>
      <c r="C51090"/>
      <c r="E51090"/>
      <c r="F51090"/>
    </row>
    <row r="51091" spans="1:6" x14ac:dyDescent="0.25">
      <c r="A51091"/>
      <c r="B51091"/>
      <c r="C51091"/>
      <c r="E51091"/>
      <c r="F51091"/>
    </row>
    <row r="51092" spans="1:6" x14ac:dyDescent="0.25">
      <c r="A51092"/>
      <c r="B51092"/>
      <c r="C51092"/>
      <c r="E51092"/>
      <c r="F51092"/>
    </row>
    <row r="51093" spans="1:6" x14ac:dyDescent="0.25">
      <c r="A51093"/>
      <c r="B51093"/>
      <c r="C51093"/>
      <c r="E51093"/>
      <c r="F51093"/>
    </row>
    <row r="51094" spans="1:6" x14ac:dyDescent="0.25">
      <c r="A51094"/>
      <c r="B51094"/>
      <c r="C51094"/>
      <c r="E51094"/>
      <c r="F51094"/>
    </row>
    <row r="51095" spans="1:6" x14ac:dyDescent="0.25">
      <c r="A51095"/>
      <c r="B51095"/>
      <c r="C51095"/>
      <c r="E51095"/>
      <c r="F51095"/>
    </row>
    <row r="51096" spans="1:6" x14ac:dyDescent="0.25">
      <c r="A51096"/>
      <c r="B51096"/>
      <c r="C51096"/>
      <c r="E51096"/>
      <c r="F51096"/>
    </row>
    <row r="51097" spans="1:6" x14ac:dyDescent="0.25">
      <c r="A51097"/>
      <c r="B51097"/>
      <c r="C51097"/>
      <c r="E51097"/>
      <c r="F51097"/>
    </row>
    <row r="51098" spans="1:6" x14ac:dyDescent="0.25">
      <c r="A51098"/>
      <c r="B51098"/>
      <c r="C51098"/>
      <c r="E51098"/>
      <c r="F51098"/>
    </row>
    <row r="51099" spans="1:6" x14ac:dyDescent="0.25">
      <c r="A51099"/>
      <c r="B51099"/>
      <c r="C51099"/>
      <c r="E51099"/>
      <c r="F51099"/>
    </row>
    <row r="51100" spans="1:6" x14ac:dyDescent="0.25">
      <c r="A51100"/>
      <c r="B51100"/>
      <c r="C51100"/>
      <c r="E51100"/>
      <c r="F51100"/>
    </row>
    <row r="51101" spans="1:6" x14ac:dyDescent="0.25">
      <c r="A51101"/>
      <c r="B51101"/>
      <c r="C51101"/>
      <c r="E51101"/>
      <c r="F51101"/>
    </row>
    <row r="51102" spans="1:6" x14ac:dyDescent="0.25">
      <c r="A51102"/>
      <c r="B51102"/>
      <c r="C51102"/>
      <c r="E51102"/>
      <c r="F51102"/>
    </row>
    <row r="51103" spans="1:6" x14ac:dyDescent="0.25">
      <c r="A51103"/>
      <c r="B51103"/>
      <c r="C51103"/>
      <c r="E51103"/>
      <c r="F51103"/>
    </row>
    <row r="51104" spans="1:6" x14ac:dyDescent="0.25">
      <c r="A51104"/>
      <c r="B51104"/>
      <c r="C51104"/>
      <c r="E51104"/>
      <c r="F51104"/>
    </row>
    <row r="51105" spans="1:6" x14ac:dyDescent="0.25">
      <c r="A51105"/>
      <c r="B51105"/>
      <c r="C51105"/>
      <c r="E51105"/>
      <c r="F51105"/>
    </row>
    <row r="51106" spans="1:6" x14ac:dyDescent="0.25">
      <c r="A51106"/>
      <c r="B51106"/>
      <c r="C51106"/>
      <c r="E51106"/>
      <c r="F51106"/>
    </row>
    <row r="51107" spans="1:6" x14ac:dyDescent="0.25">
      <c r="A51107"/>
      <c r="B51107"/>
      <c r="C51107"/>
      <c r="E51107"/>
      <c r="F51107"/>
    </row>
    <row r="51108" spans="1:6" x14ac:dyDescent="0.25">
      <c r="A51108"/>
      <c r="B51108"/>
      <c r="C51108"/>
      <c r="E51108"/>
      <c r="F51108"/>
    </row>
    <row r="51109" spans="1:6" x14ac:dyDescent="0.25">
      <c r="A51109"/>
      <c r="B51109"/>
      <c r="C51109"/>
      <c r="E51109"/>
      <c r="F51109"/>
    </row>
    <row r="51110" spans="1:6" x14ac:dyDescent="0.25">
      <c r="A51110"/>
      <c r="B51110"/>
      <c r="C51110"/>
      <c r="E51110"/>
      <c r="F51110"/>
    </row>
    <row r="51111" spans="1:6" x14ac:dyDescent="0.25">
      <c r="A51111"/>
      <c r="B51111"/>
      <c r="C51111"/>
      <c r="E51111"/>
      <c r="F51111"/>
    </row>
    <row r="51112" spans="1:6" x14ac:dyDescent="0.25">
      <c r="A51112"/>
      <c r="B51112"/>
      <c r="C51112"/>
      <c r="E51112"/>
      <c r="F51112"/>
    </row>
    <row r="51113" spans="1:6" x14ac:dyDescent="0.25">
      <c r="A51113"/>
      <c r="B51113"/>
      <c r="C51113"/>
      <c r="E51113"/>
      <c r="F51113"/>
    </row>
    <row r="51114" spans="1:6" x14ac:dyDescent="0.25">
      <c r="A51114"/>
      <c r="B51114"/>
      <c r="C51114"/>
      <c r="E51114"/>
      <c r="F51114"/>
    </row>
    <row r="51115" spans="1:6" x14ac:dyDescent="0.25">
      <c r="A51115"/>
      <c r="B51115"/>
      <c r="C51115"/>
      <c r="E51115"/>
      <c r="F51115"/>
    </row>
    <row r="51116" spans="1:6" x14ac:dyDescent="0.25">
      <c r="A51116"/>
      <c r="B51116"/>
      <c r="C51116"/>
      <c r="E51116"/>
      <c r="F51116"/>
    </row>
    <row r="51117" spans="1:6" x14ac:dyDescent="0.25">
      <c r="A51117"/>
      <c r="B51117"/>
      <c r="C51117"/>
      <c r="E51117"/>
      <c r="F51117"/>
    </row>
    <row r="51118" spans="1:6" x14ac:dyDescent="0.25">
      <c r="A51118"/>
      <c r="B51118"/>
      <c r="C51118"/>
      <c r="E51118"/>
      <c r="F51118"/>
    </row>
    <row r="51119" spans="1:6" x14ac:dyDescent="0.25">
      <c r="A51119"/>
      <c r="B51119"/>
      <c r="C51119"/>
      <c r="E51119"/>
      <c r="F51119"/>
    </row>
    <row r="51120" spans="1:6" x14ac:dyDescent="0.25">
      <c r="A51120"/>
      <c r="B51120"/>
      <c r="C51120"/>
      <c r="E51120"/>
      <c r="F51120"/>
    </row>
    <row r="51121" spans="1:6" x14ac:dyDescent="0.25">
      <c r="A51121"/>
      <c r="B51121"/>
      <c r="C51121"/>
      <c r="E51121"/>
      <c r="F51121"/>
    </row>
    <row r="51122" spans="1:6" x14ac:dyDescent="0.25">
      <c r="A51122"/>
      <c r="B51122"/>
      <c r="C51122"/>
      <c r="E51122"/>
      <c r="F51122"/>
    </row>
    <row r="51123" spans="1:6" x14ac:dyDescent="0.25">
      <c r="A51123"/>
      <c r="B51123"/>
      <c r="C51123"/>
      <c r="E51123"/>
      <c r="F51123"/>
    </row>
    <row r="51124" spans="1:6" x14ac:dyDescent="0.25">
      <c r="A51124"/>
      <c r="B51124"/>
      <c r="C51124"/>
      <c r="E51124"/>
      <c r="F51124"/>
    </row>
    <row r="51125" spans="1:6" x14ac:dyDescent="0.25">
      <c r="A51125"/>
      <c r="B51125"/>
      <c r="C51125"/>
      <c r="E51125"/>
      <c r="F51125"/>
    </row>
    <row r="51126" spans="1:6" x14ac:dyDescent="0.25">
      <c r="A51126"/>
      <c r="B51126"/>
      <c r="C51126"/>
      <c r="E51126"/>
      <c r="F51126"/>
    </row>
    <row r="51127" spans="1:6" x14ac:dyDescent="0.25">
      <c r="A51127"/>
      <c r="B51127"/>
      <c r="C51127"/>
      <c r="E51127"/>
      <c r="F51127"/>
    </row>
    <row r="51128" spans="1:6" x14ac:dyDescent="0.25">
      <c r="A51128"/>
      <c r="B51128"/>
      <c r="C51128"/>
      <c r="E51128"/>
      <c r="F51128"/>
    </row>
    <row r="51129" spans="1:6" x14ac:dyDescent="0.25">
      <c r="A51129"/>
      <c r="B51129"/>
      <c r="C51129"/>
      <c r="E51129"/>
      <c r="F51129"/>
    </row>
    <row r="51130" spans="1:6" x14ac:dyDescent="0.25">
      <c r="A51130"/>
      <c r="B51130"/>
      <c r="C51130"/>
      <c r="E51130"/>
      <c r="F51130"/>
    </row>
    <row r="51131" spans="1:6" x14ac:dyDescent="0.25">
      <c r="A51131"/>
      <c r="B51131"/>
      <c r="C51131"/>
      <c r="E51131"/>
      <c r="F51131"/>
    </row>
    <row r="51132" spans="1:6" x14ac:dyDescent="0.25">
      <c r="A51132"/>
      <c r="B51132"/>
      <c r="C51132"/>
      <c r="E51132"/>
      <c r="F51132"/>
    </row>
    <row r="51133" spans="1:6" x14ac:dyDescent="0.25">
      <c r="A51133"/>
      <c r="B51133"/>
      <c r="C51133"/>
      <c r="E51133"/>
      <c r="F51133"/>
    </row>
    <row r="51134" spans="1:6" x14ac:dyDescent="0.25">
      <c r="A51134"/>
      <c r="B51134"/>
      <c r="C51134"/>
      <c r="E51134"/>
      <c r="F51134"/>
    </row>
    <row r="51135" spans="1:6" x14ac:dyDescent="0.25">
      <c r="A51135"/>
      <c r="B51135"/>
      <c r="C51135"/>
      <c r="E51135"/>
      <c r="F51135"/>
    </row>
    <row r="51136" spans="1:6" x14ac:dyDescent="0.25">
      <c r="A51136"/>
      <c r="B51136"/>
      <c r="C51136"/>
      <c r="E51136"/>
      <c r="F51136"/>
    </row>
    <row r="51137" spans="1:6" x14ac:dyDescent="0.25">
      <c r="A51137"/>
      <c r="B51137"/>
      <c r="C51137"/>
      <c r="E51137"/>
      <c r="F51137"/>
    </row>
    <row r="51138" spans="1:6" x14ac:dyDescent="0.25">
      <c r="A51138"/>
      <c r="B51138"/>
      <c r="C51138"/>
      <c r="E51138"/>
      <c r="F51138"/>
    </row>
    <row r="51139" spans="1:6" x14ac:dyDescent="0.25">
      <c r="A51139"/>
      <c r="B51139"/>
      <c r="C51139"/>
      <c r="E51139"/>
      <c r="F51139"/>
    </row>
    <row r="51140" spans="1:6" x14ac:dyDescent="0.25">
      <c r="A51140"/>
      <c r="B51140"/>
      <c r="C51140"/>
      <c r="E51140"/>
      <c r="F51140"/>
    </row>
    <row r="51141" spans="1:6" x14ac:dyDescent="0.25">
      <c r="A51141"/>
      <c r="B51141"/>
      <c r="C51141"/>
      <c r="E51141"/>
      <c r="F51141"/>
    </row>
    <row r="51142" spans="1:6" x14ac:dyDescent="0.25">
      <c r="A51142"/>
      <c r="B51142"/>
      <c r="C51142"/>
      <c r="E51142"/>
      <c r="F51142"/>
    </row>
    <row r="51143" spans="1:6" x14ac:dyDescent="0.25">
      <c r="A51143"/>
      <c r="B51143"/>
      <c r="C51143"/>
      <c r="E51143"/>
      <c r="F51143"/>
    </row>
    <row r="51144" spans="1:6" x14ac:dyDescent="0.25">
      <c r="A51144"/>
      <c r="B51144"/>
      <c r="C51144"/>
      <c r="E51144"/>
      <c r="F51144"/>
    </row>
    <row r="51145" spans="1:6" x14ac:dyDescent="0.25">
      <c r="A51145"/>
      <c r="B51145"/>
      <c r="C51145"/>
      <c r="E51145"/>
      <c r="F51145"/>
    </row>
    <row r="51146" spans="1:6" x14ac:dyDescent="0.25">
      <c r="A51146"/>
      <c r="B51146"/>
      <c r="C51146"/>
      <c r="E51146"/>
      <c r="F51146"/>
    </row>
    <row r="51147" spans="1:6" x14ac:dyDescent="0.25">
      <c r="A51147"/>
      <c r="B51147"/>
      <c r="C51147"/>
      <c r="E51147"/>
      <c r="F51147"/>
    </row>
    <row r="51148" spans="1:6" x14ac:dyDescent="0.25">
      <c r="A51148"/>
      <c r="B51148"/>
      <c r="C51148"/>
      <c r="E51148"/>
      <c r="F51148"/>
    </row>
    <row r="51149" spans="1:6" x14ac:dyDescent="0.25">
      <c r="A51149"/>
      <c r="B51149"/>
      <c r="C51149"/>
      <c r="E51149"/>
      <c r="F51149"/>
    </row>
    <row r="51150" spans="1:6" x14ac:dyDescent="0.25">
      <c r="A51150"/>
      <c r="B51150"/>
      <c r="C51150"/>
      <c r="E51150"/>
      <c r="F51150"/>
    </row>
    <row r="51151" spans="1:6" x14ac:dyDescent="0.25">
      <c r="A51151"/>
      <c r="B51151"/>
      <c r="C51151"/>
      <c r="E51151"/>
      <c r="F51151"/>
    </row>
    <row r="51152" spans="1:6" x14ac:dyDescent="0.25">
      <c r="A51152"/>
      <c r="B51152"/>
      <c r="C51152"/>
      <c r="E51152"/>
      <c r="F51152"/>
    </row>
    <row r="51153" spans="1:6" x14ac:dyDescent="0.25">
      <c r="A51153"/>
      <c r="B51153"/>
      <c r="C51153"/>
      <c r="E51153"/>
      <c r="F51153"/>
    </row>
    <row r="51154" spans="1:6" x14ac:dyDescent="0.25">
      <c r="A51154"/>
      <c r="B51154"/>
      <c r="C51154"/>
      <c r="E51154"/>
      <c r="F51154"/>
    </row>
    <row r="51155" spans="1:6" x14ac:dyDescent="0.25">
      <c r="A51155"/>
      <c r="B51155"/>
      <c r="C51155"/>
      <c r="E51155"/>
      <c r="F51155"/>
    </row>
    <row r="51156" spans="1:6" x14ac:dyDescent="0.25">
      <c r="A51156"/>
      <c r="B51156"/>
      <c r="C51156"/>
      <c r="E51156"/>
      <c r="F51156"/>
    </row>
    <row r="51157" spans="1:6" x14ac:dyDescent="0.25">
      <c r="A51157"/>
      <c r="B51157"/>
      <c r="C51157"/>
      <c r="E51157"/>
      <c r="F51157"/>
    </row>
    <row r="51158" spans="1:6" x14ac:dyDescent="0.25">
      <c r="A51158"/>
      <c r="B51158"/>
      <c r="C51158"/>
      <c r="E51158"/>
      <c r="F51158"/>
    </row>
    <row r="51159" spans="1:6" x14ac:dyDescent="0.25">
      <c r="A51159"/>
      <c r="B51159"/>
      <c r="C51159"/>
      <c r="E51159"/>
      <c r="F51159"/>
    </row>
    <row r="51160" spans="1:6" x14ac:dyDescent="0.25">
      <c r="A51160"/>
      <c r="B51160"/>
      <c r="C51160"/>
      <c r="E51160"/>
      <c r="F51160"/>
    </row>
    <row r="51161" spans="1:6" x14ac:dyDescent="0.25">
      <c r="A51161"/>
      <c r="B51161"/>
      <c r="C51161"/>
      <c r="E51161"/>
      <c r="F51161"/>
    </row>
    <row r="51162" spans="1:6" x14ac:dyDescent="0.25">
      <c r="A51162"/>
      <c r="B51162"/>
      <c r="C51162"/>
      <c r="E51162"/>
      <c r="F51162"/>
    </row>
    <row r="51163" spans="1:6" x14ac:dyDescent="0.25">
      <c r="A51163"/>
      <c r="B51163"/>
      <c r="C51163"/>
      <c r="E51163"/>
      <c r="F51163"/>
    </row>
    <row r="51164" spans="1:6" x14ac:dyDescent="0.25">
      <c r="A51164"/>
      <c r="B51164"/>
      <c r="C51164"/>
      <c r="E51164"/>
      <c r="F51164"/>
    </row>
    <row r="51165" spans="1:6" x14ac:dyDescent="0.25">
      <c r="A51165"/>
      <c r="B51165"/>
      <c r="C51165"/>
      <c r="E51165"/>
      <c r="F51165"/>
    </row>
    <row r="51166" spans="1:6" x14ac:dyDescent="0.25">
      <c r="A51166"/>
      <c r="B51166"/>
      <c r="C51166"/>
      <c r="E51166"/>
      <c r="F51166"/>
    </row>
    <row r="51167" spans="1:6" x14ac:dyDescent="0.25">
      <c r="A51167"/>
      <c r="B51167"/>
      <c r="C51167"/>
      <c r="E51167"/>
      <c r="F51167"/>
    </row>
    <row r="51168" spans="1:6" x14ac:dyDescent="0.25">
      <c r="A51168"/>
      <c r="B51168"/>
      <c r="C51168"/>
      <c r="E51168"/>
      <c r="F51168"/>
    </row>
    <row r="51169" spans="1:6" x14ac:dyDescent="0.25">
      <c r="A51169"/>
      <c r="B51169"/>
      <c r="C51169"/>
      <c r="E51169"/>
      <c r="F51169"/>
    </row>
    <row r="51170" spans="1:6" x14ac:dyDescent="0.25">
      <c r="A51170"/>
      <c r="B51170"/>
      <c r="C51170"/>
      <c r="E51170"/>
      <c r="F51170"/>
    </row>
    <row r="51171" spans="1:6" x14ac:dyDescent="0.25">
      <c r="A51171"/>
      <c r="B51171"/>
      <c r="C51171"/>
      <c r="E51171"/>
      <c r="F51171"/>
    </row>
    <row r="51172" spans="1:6" x14ac:dyDescent="0.25">
      <c r="A51172"/>
      <c r="B51172"/>
      <c r="C51172"/>
      <c r="E51172"/>
      <c r="F51172"/>
    </row>
    <row r="51173" spans="1:6" x14ac:dyDescent="0.25">
      <c r="A51173"/>
      <c r="B51173"/>
      <c r="C51173"/>
      <c r="E51173"/>
      <c r="F51173"/>
    </row>
    <row r="51174" spans="1:6" x14ac:dyDescent="0.25">
      <c r="A51174"/>
      <c r="B51174"/>
      <c r="C51174"/>
      <c r="E51174"/>
      <c r="F51174"/>
    </row>
    <row r="51175" spans="1:6" x14ac:dyDescent="0.25">
      <c r="A51175"/>
      <c r="B51175"/>
      <c r="C51175"/>
      <c r="E51175"/>
      <c r="F51175"/>
    </row>
    <row r="51176" spans="1:6" x14ac:dyDescent="0.25">
      <c r="A51176"/>
      <c r="B51176"/>
      <c r="C51176"/>
      <c r="E51176"/>
      <c r="F51176"/>
    </row>
    <row r="51177" spans="1:6" x14ac:dyDescent="0.25">
      <c r="A51177"/>
      <c r="B51177"/>
      <c r="C51177"/>
      <c r="E51177"/>
      <c r="F51177"/>
    </row>
    <row r="51178" spans="1:6" x14ac:dyDescent="0.25">
      <c r="A51178"/>
      <c r="B51178"/>
      <c r="C51178"/>
      <c r="E51178"/>
      <c r="F51178"/>
    </row>
    <row r="51179" spans="1:6" x14ac:dyDescent="0.25">
      <c r="A51179"/>
      <c r="B51179"/>
      <c r="C51179"/>
      <c r="E51179"/>
      <c r="F51179"/>
    </row>
    <row r="51180" spans="1:6" x14ac:dyDescent="0.25">
      <c r="A51180"/>
      <c r="B51180"/>
      <c r="C51180"/>
      <c r="E51180"/>
      <c r="F51180"/>
    </row>
    <row r="51181" spans="1:6" x14ac:dyDescent="0.25">
      <c r="A51181"/>
      <c r="B51181"/>
      <c r="C51181"/>
      <c r="E51181"/>
      <c r="F51181"/>
    </row>
    <row r="51182" spans="1:6" x14ac:dyDescent="0.25">
      <c r="A51182"/>
      <c r="B51182"/>
      <c r="C51182"/>
      <c r="E51182"/>
      <c r="F51182"/>
    </row>
    <row r="51183" spans="1:6" x14ac:dyDescent="0.25">
      <c r="A51183"/>
      <c r="B51183"/>
      <c r="C51183"/>
      <c r="E51183"/>
      <c r="F51183"/>
    </row>
    <row r="51184" spans="1:6" x14ac:dyDescent="0.25">
      <c r="A51184"/>
      <c r="B51184"/>
      <c r="C51184"/>
      <c r="E51184"/>
      <c r="F51184"/>
    </row>
    <row r="51185" spans="1:6" x14ac:dyDescent="0.25">
      <c r="A51185"/>
      <c r="B51185"/>
      <c r="C51185"/>
      <c r="E51185"/>
      <c r="F51185"/>
    </row>
    <row r="51186" spans="1:6" x14ac:dyDescent="0.25">
      <c r="A51186"/>
      <c r="B51186"/>
      <c r="C51186"/>
      <c r="E51186"/>
      <c r="F51186"/>
    </row>
    <row r="51187" spans="1:6" x14ac:dyDescent="0.25">
      <c r="A51187"/>
      <c r="B51187"/>
      <c r="C51187"/>
      <c r="E51187"/>
      <c r="F51187"/>
    </row>
    <row r="51188" spans="1:6" x14ac:dyDescent="0.25">
      <c r="A51188"/>
      <c r="B51188"/>
      <c r="C51188"/>
      <c r="E51188"/>
      <c r="F51188"/>
    </row>
    <row r="51189" spans="1:6" x14ac:dyDescent="0.25">
      <c r="A51189"/>
      <c r="B51189"/>
      <c r="C51189"/>
      <c r="E51189"/>
      <c r="F51189"/>
    </row>
    <row r="51190" spans="1:6" x14ac:dyDescent="0.25">
      <c r="A51190"/>
      <c r="B51190"/>
      <c r="C51190"/>
      <c r="E51190"/>
      <c r="F51190"/>
    </row>
    <row r="51191" spans="1:6" x14ac:dyDescent="0.25">
      <c r="A51191"/>
      <c r="B51191"/>
      <c r="C51191"/>
      <c r="E51191"/>
      <c r="F51191"/>
    </row>
    <row r="51192" spans="1:6" x14ac:dyDescent="0.25">
      <c r="A51192"/>
      <c r="B51192"/>
      <c r="C51192"/>
      <c r="E51192"/>
      <c r="F51192"/>
    </row>
    <row r="51193" spans="1:6" x14ac:dyDescent="0.25">
      <c r="A51193"/>
      <c r="B51193"/>
      <c r="C51193"/>
      <c r="E51193"/>
      <c r="F51193"/>
    </row>
    <row r="51194" spans="1:6" x14ac:dyDescent="0.25">
      <c r="A51194"/>
      <c r="B51194"/>
      <c r="C51194"/>
      <c r="E51194"/>
      <c r="F51194"/>
    </row>
    <row r="51195" spans="1:6" x14ac:dyDescent="0.25">
      <c r="A51195"/>
      <c r="B51195"/>
      <c r="C51195"/>
      <c r="E51195"/>
      <c r="F51195"/>
    </row>
    <row r="51196" spans="1:6" x14ac:dyDescent="0.25">
      <c r="A51196"/>
      <c r="B51196"/>
      <c r="C51196"/>
      <c r="E51196"/>
      <c r="F51196"/>
    </row>
    <row r="51197" spans="1:6" x14ac:dyDescent="0.25">
      <c r="A51197"/>
      <c r="B51197"/>
      <c r="C51197"/>
      <c r="E51197"/>
      <c r="F51197"/>
    </row>
    <row r="51198" spans="1:6" x14ac:dyDescent="0.25">
      <c r="A51198"/>
      <c r="B51198"/>
      <c r="C51198"/>
      <c r="E51198"/>
      <c r="F51198"/>
    </row>
    <row r="51199" spans="1:6" x14ac:dyDescent="0.25">
      <c r="A51199"/>
      <c r="B51199"/>
      <c r="C51199"/>
      <c r="E51199"/>
      <c r="F51199"/>
    </row>
    <row r="51200" spans="1:6" x14ac:dyDescent="0.25">
      <c r="A51200"/>
      <c r="B51200"/>
      <c r="C51200"/>
      <c r="E51200"/>
      <c r="F51200"/>
    </row>
    <row r="51201" spans="1:6" x14ac:dyDescent="0.25">
      <c r="A51201"/>
      <c r="B51201"/>
      <c r="C51201"/>
      <c r="E51201"/>
      <c r="F51201"/>
    </row>
    <row r="51202" spans="1:6" x14ac:dyDescent="0.25">
      <c r="A51202"/>
      <c r="B51202"/>
      <c r="C51202"/>
      <c r="E51202"/>
      <c r="F51202"/>
    </row>
    <row r="51203" spans="1:6" x14ac:dyDescent="0.25">
      <c r="A51203"/>
      <c r="B51203"/>
      <c r="C51203"/>
      <c r="E51203"/>
      <c r="F51203"/>
    </row>
    <row r="51204" spans="1:6" x14ac:dyDescent="0.25">
      <c r="A51204"/>
      <c r="B51204"/>
      <c r="C51204"/>
      <c r="E51204"/>
      <c r="F51204"/>
    </row>
    <row r="51205" spans="1:6" x14ac:dyDescent="0.25">
      <c r="A51205"/>
      <c r="B51205"/>
      <c r="C51205"/>
      <c r="E51205"/>
      <c r="F51205"/>
    </row>
    <row r="51206" spans="1:6" x14ac:dyDescent="0.25">
      <c r="A51206"/>
      <c r="B51206"/>
      <c r="C51206"/>
      <c r="E51206"/>
      <c r="F51206"/>
    </row>
    <row r="51207" spans="1:6" x14ac:dyDescent="0.25">
      <c r="A51207"/>
      <c r="B51207"/>
      <c r="C51207"/>
      <c r="E51207"/>
      <c r="F51207"/>
    </row>
    <row r="51208" spans="1:6" x14ac:dyDescent="0.25">
      <c r="A51208"/>
      <c r="B51208"/>
      <c r="C51208"/>
      <c r="E51208"/>
      <c r="F51208"/>
    </row>
    <row r="51209" spans="1:6" x14ac:dyDescent="0.25">
      <c r="A51209"/>
      <c r="B51209"/>
      <c r="C51209"/>
      <c r="E51209"/>
      <c r="F51209"/>
    </row>
    <row r="51210" spans="1:6" x14ac:dyDescent="0.25">
      <c r="A51210"/>
      <c r="B51210"/>
      <c r="C51210"/>
      <c r="E51210"/>
      <c r="F51210"/>
    </row>
    <row r="51211" spans="1:6" x14ac:dyDescent="0.25">
      <c r="A51211"/>
      <c r="B51211"/>
      <c r="C51211"/>
      <c r="E51211"/>
      <c r="F51211"/>
    </row>
    <row r="51212" spans="1:6" x14ac:dyDescent="0.25">
      <c r="A51212"/>
      <c r="B51212"/>
      <c r="C51212"/>
      <c r="E51212"/>
      <c r="F51212"/>
    </row>
    <row r="51213" spans="1:6" x14ac:dyDescent="0.25">
      <c r="A51213"/>
      <c r="B51213"/>
      <c r="C51213"/>
      <c r="E51213"/>
      <c r="F51213"/>
    </row>
    <row r="51214" spans="1:6" x14ac:dyDescent="0.25">
      <c r="A51214"/>
      <c r="B51214"/>
      <c r="C51214"/>
      <c r="E51214"/>
      <c r="F51214"/>
    </row>
    <row r="51215" spans="1:6" x14ac:dyDescent="0.25">
      <c r="A51215"/>
      <c r="B51215"/>
      <c r="C51215"/>
      <c r="E51215"/>
      <c r="F51215"/>
    </row>
    <row r="51216" spans="1:6" x14ac:dyDescent="0.25">
      <c r="A51216"/>
      <c r="B51216"/>
      <c r="C51216"/>
      <c r="E51216"/>
      <c r="F51216"/>
    </row>
    <row r="51217" spans="1:6" x14ac:dyDescent="0.25">
      <c r="A51217"/>
      <c r="B51217"/>
      <c r="C51217"/>
      <c r="E51217"/>
      <c r="F51217"/>
    </row>
    <row r="51218" spans="1:6" x14ac:dyDescent="0.25">
      <c r="A51218"/>
      <c r="B51218"/>
      <c r="C51218"/>
      <c r="E51218"/>
      <c r="F51218"/>
    </row>
    <row r="51219" spans="1:6" x14ac:dyDescent="0.25">
      <c r="A51219"/>
      <c r="B51219"/>
      <c r="C51219"/>
      <c r="E51219"/>
      <c r="F51219"/>
    </row>
    <row r="51220" spans="1:6" x14ac:dyDescent="0.25">
      <c r="A51220"/>
      <c r="B51220"/>
      <c r="C51220"/>
      <c r="E51220"/>
      <c r="F51220"/>
    </row>
    <row r="51221" spans="1:6" x14ac:dyDescent="0.25">
      <c r="A51221"/>
      <c r="B51221"/>
      <c r="C51221"/>
      <c r="E51221"/>
      <c r="F51221"/>
    </row>
    <row r="51222" spans="1:6" x14ac:dyDescent="0.25">
      <c r="A51222"/>
      <c r="B51222"/>
      <c r="C51222"/>
      <c r="E51222"/>
      <c r="F51222"/>
    </row>
    <row r="51223" spans="1:6" x14ac:dyDescent="0.25">
      <c r="A51223"/>
      <c r="B51223"/>
      <c r="C51223"/>
      <c r="E51223"/>
      <c r="F51223"/>
    </row>
    <row r="51224" spans="1:6" x14ac:dyDescent="0.25">
      <c r="A51224"/>
      <c r="B51224"/>
      <c r="C51224"/>
      <c r="E51224"/>
      <c r="F51224"/>
    </row>
    <row r="51225" spans="1:6" x14ac:dyDescent="0.25">
      <c r="A51225"/>
      <c r="B51225"/>
      <c r="C51225"/>
      <c r="E51225"/>
      <c r="F51225"/>
    </row>
    <row r="51226" spans="1:6" x14ac:dyDescent="0.25">
      <c r="A51226"/>
      <c r="B51226"/>
      <c r="C51226"/>
      <c r="E51226"/>
      <c r="F51226"/>
    </row>
    <row r="51227" spans="1:6" x14ac:dyDescent="0.25">
      <c r="A51227"/>
      <c r="B51227"/>
      <c r="C51227"/>
      <c r="E51227"/>
      <c r="F51227"/>
    </row>
    <row r="51228" spans="1:6" x14ac:dyDescent="0.25">
      <c r="A51228"/>
      <c r="B51228"/>
      <c r="C51228"/>
      <c r="E51228"/>
      <c r="F51228"/>
    </row>
    <row r="51229" spans="1:6" x14ac:dyDescent="0.25">
      <c r="A51229"/>
      <c r="B51229"/>
      <c r="C51229"/>
      <c r="E51229"/>
      <c r="F51229"/>
    </row>
    <row r="51230" spans="1:6" x14ac:dyDescent="0.25">
      <c r="A51230"/>
      <c r="B51230"/>
      <c r="C51230"/>
      <c r="E51230"/>
      <c r="F51230"/>
    </row>
    <row r="51231" spans="1:6" x14ac:dyDescent="0.25">
      <c r="A51231"/>
      <c r="B51231"/>
      <c r="C51231"/>
      <c r="E51231"/>
      <c r="F51231"/>
    </row>
    <row r="51232" spans="1:6" x14ac:dyDescent="0.25">
      <c r="A51232"/>
      <c r="B51232"/>
      <c r="C51232"/>
      <c r="E51232"/>
      <c r="F51232"/>
    </row>
    <row r="51233" spans="1:6" x14ac:dyDescent="0.25">
      <c r="A51233"/>
      <c r="B51233"/>
      <c r="C51233"/>
      <c r="E51233"/>
      <c r="F51233"/>
    </row>
    <row r="51234" spans="1:6" x14ac:dyDescent="0.25">
      <c r="A51234"/>
      <c r="B51234"/>
      <c r="C51234"/>
      <c r="E51234"/>
      <c r="F51234"/>
    </row>
    <row r="51235" spans="1:6" x14ac:dyDescent="0.25">
      <c r="A51235"/>
      <c r="B51235"/>
      <c r="C51235"/>
      <c r="E51235"/>
      <c r="F51235"/>
    </row>
    <row r="51236" spans="1:6" x14ac:dyDescent="0.25">
      <c r="A51236"/>
      <c r="B51236"/>
      <c r="C51236"/>
      <c r="E51236"/>
      <c r="F51236"/>
    </row>
    <row r="51237" spans="1:6" x14ac:dyDescent="0.25">
      <c r="A51237"/>
      <c r="B51237"/>
      <c r="C51237"/>
      <c r="E51237"/>
      <c r="F51237"/>
    </row>
    <row r="51238" spans="1:6" x14ac:dyDescent="0.25">
      <c r="A51238"/>
      <c r="B51238"/>
      <c r="C51238"/>
      <c r="E51238"/>
      <c r="F51238"/>
    </row>
    <row r="51239" spans="1:6" x14ac:dyDescent="0.25">
      <c r="A51239"/>
      <c r="B51239"/>
      <c r="C51239"/>
      <c r="E51239"/>
      <c r="F51239"/>
    </row>
    <row r="51240" spans="1:6" x14ac:dyDescent="0.25">
      <c r="A51240"/>
      <c r="B51240"/>
      <c r="C51240"/>
      <c r="E51240"/>
      <c r="F51240"/>
    </row>
    <row r="51241" spans="1:6" x14ac:dyDescent="0.25">
      <c r="A51241"/>
      <c r="B51241"/>
      <c r="C51241"/>
      <c r="E51241"/>
      <c r="F51241"/>
    </row>
    <row r="51242" spans="1:6" x14ac:dyDescent="0.25">
      <c r="A51242"/>
      <c r="B51242"/>
      <c r="C51242"/>
      <c r="E51242"/>
      <c r="F51242"/>
    </row>
    <row r="51243" spans="1:6" x14ac:dyDescent="0.25">
      <c r="A51243"/>
      <c r="B51243"/>
      <c r="C51243"/>
      <c r="E51243"/>
      <c r="F51243"/>
    </row>
    <row r="51244" spans="1:6" x14ac:dyDescent="0.25">
      <c r="A51244"/>
      <c r="B51244"/>
      <c r="C51244"/>
      <c r="E51244"/>
      <c r="F51244"/>
    </row>
    <row r="51245" spans="1:6" x14ac:dyDescent="0.25">
      <c r="A51245"/>
      <c r="B51245"/>
      <c r="C51245"/>
      <c r="E51245"/>
      <c r="F51245"/>
    </row>
    <row r="51246" spans="1:6" x14ac:dyDescent="0.25">
      <c r="A51246"/>
      <c r="B51246"/>
      <c r="C51246"/>
      <c r="E51246"/>
      <c r="F51246"/>
    </row>
    <row r="51247" spans="1:6" x14ac:dyDescent="0.25">
      <c r="A51247"/>
      <c r="B51247"/>
      <c r="C51247"/>
      <c r="E51247"/>
      <c r="F51247"/>
    </row>
    <row r="51248" spans="1:6" x14ac:dyDescent="0.25">
      <c r="A51248"/>
      <c r="B51248"/>
      <c r="C51248"/>
      <c r="E51248"/>
      <c r="F51248"/>
    </row>
    <row r="51249" spans="1:6" x14ac:dyDescent="0.25">
      <c r="A51249"/>
      <c r="B51249"/>
      <c r="C51249"/>
      <c r="E51249"/>
      <c r="F51249"/>
    </row>
    <row r="51250" spans="1:6" x14ac:dyDescent="0.25">
      <c r="A51250"/>
      <c r="B51250"/>
      <c r="C51250"/>
      <c r="E51250"/>
      <c r="F51250"/>
    </row>
    <row r="51251" spans="1:6" x14ac:dyDescent="0.25">
      <c r="A51251"/>
      <c r="B51251"/>
      <c r="C51251"/>
      <c r="E51251"/>
      <c r="F51251"/>
    </row>
    <row r="51252" spans="1:6" x14ac:dyDescent="0.25">
      <c r="A51252"/>
      <c r="B51252"/>
      <c r="C51252"/>
      <c r="E51252"/>
      <c r="F51252"/>
    </row>
    <row r="51253" spans="1:6" x14ac:dyDescent="0.25">
      <c r="A51253"/>
      <c r="B51253"/>
      <c r="C51253"/>
      <c r="E51253"/>
      <c r="F51253"/>
    </row>
    <row r="51254" spans="1:6" x14ac:dyDescent="0.25">
      <c r="A51254"/>
      <c r="B51254"/>
      <c r="C51254"/>
      <c r="E51254"/>
      <c r="F51254"/>
    </row>
    <row r="51255" spans="1:6" x14ac:dyDescent="0.25">
      <c r="A51255"/>
      <c r="B51255"/>
      <c r="C51255"/>
      <c r="E51255"/>
      <c r="F51255"/>
    </row>
    <row r="51256" spans="1:6" x14ac:dyDescent="0.25">
      <c r="A51256"/>
      <c r="B51256"/>
      <c r="C51256"/>
      <c r="E51256"/>
      <c r="F51256"/>
    </row>
    <row r="51257" spans="1:6" x14ac:dyDescent="0.25">
      <c r="A51257"/>
      <c r="B51257"/>
      <c r="C51257"/>
      <c r="E51257"/>
      <c r="F51257"/>
    </row>
    <row r="51258" spans="1:6" x14ac:dyDescent="0.25">
      <c r="A51258"/>
      <c r="B51258"/>
      <c r="C51258"/>
      <c r="E51258"/>
      <c r="F51258"/>
    </row>
    <row r="51259" spans="1:6" x14ac:dyDescent="0.25">
      <c r="A51259"/>
      <c r="B51259"/>
      <c r="C51259"/>
      <c r="E51259"/>
      <c r="F51259"/>
    </row>
    <row r="51260" spans="1:6" x14ac:dyDescent="0.25">
      <c r="A51260"/>
      <c r="B51260"/>
      <c r="C51260"/>
      <c r="E51260"/>
      <c r="F51260"/>
    </row>
    <row r="51261" spans="1:6" x14ac:dyDescent="0.25">
      <c r="A51261"/>
      <c r="B51261"/>
      <c r="C51261"/>
      <c r="E51261"/>
      <c r="F51261"/>
    </row>
    <row r="51262" spans="1:6" x14ac:dyDescent="0.25">
      <c r="A51262"/>
      <c r="B51262"/>
      <c r="C51262"/>
      <c r="E51262"/>
      <c r="F51262"/>
    </row>
    <row r="51263" spans="1:6" x14ac:dyDescent="0.25">
      <c r="A51263"/>
      <c r="B51263"/>
      <c r="C51263"/>
      <c r="E51263"/>
      <c r="F51263"/>
    </row>
    <row r="51264" spans="1:6" x14ac:dyDescent="0.25">
      <c r="A51264"/>
      <c r="B51264"/>
      <c r="C51264"/>
      <c r="E51264"/>
      <c r="F51264"/>
    </row>
    <row r="51265" spans="1:6" x14ac:dyDescent="0.25">
      <c r="A51265"/>
      <c r="B51265"/>
      <c r="C51265"/>
      <c r="E51265"/>
      <c r="F51265"/>
    </row>
    <row r="51266" spans="1:6" x14ac:dyDescent="0.25">
      <c r="A51266"/>
      <c r="B51266"/>
      <c r="C51266"/>
      <c r="E51266"/>
      <c r="F51266"/>
    </row>
    <row r="51267" spans="1:6" x14ac:dyDescent="0.25">
      <c r="A51267"/>
      <c r="B51267"/>
      <c r="C51267"/>
      <c r="E51267"/>
      <c r="F51267"/>
    </row>
    <row r="51268" spans="1:6" x14ac:dyDescent="0.25">
      <c r="A51268"/>
      <c r="B51268"/>
      <c r="C51268"/>
      <c r="E51268"/>
      <c r="F51268"/>
    </row>
    <row r="51269" spans="1:6" x14ac:dyDescent="0.25">
      <c r="A51269"/>
      <c r="B51269"/>
      <c r="C51269"/>
      <c r="E51269"/>
      <c r="F51269"/>
    </row>
    <row r="51270" spans="1:6" x14ac:dyDescent="0.25">
      <c r="A51270"/>
      <c r="B51270"/>
      <c r="C51270"/>
      <c r="E51270"/>
      <c r="F51270"/>
    </row>
    <row r="51271" spans="1:6" x14ac:dyDescent="0.25">
      <c r="A51271"/>
      <c r="B51271"/>
      <c r="C51271"/>
      <c r="E51271"/>
      <c r="F51271"/>
    </row>
    <row r="51272" spans="1:6" x14ac:dyDescent="0.25">
      <c r="A51272"/>
      <c r="B51272"/>
      <c r="C51272"/>
      <c r="E51272"/>
      <c r="F51272"/>
    </row>
    <row r="51273" spans="1:6" x14ac:dyDescent="0.25">
      <c r="A51273"/>
      <c r="B51273"/>
      <c r="C51273"/>
      <c r="E51273"/>
      <c r="F51273"/>
    </row>
    <row r="51274" spans="1:6" x14ac:dyDescent="0.25">
      <c r="A51274"/>
      <c r="B51274"/>
      <c r="C51274"/>
      <c r="E51274"/>
      <c r="F51274"/>
    </row>
    <row r="51275" spans="1:6" x14ac:dyDescent="0.25">
      <c r="A51275"/>
      <c r="B51275"/>
      <c r="C51275"/>
      <c r="E51275"/>
      <c r="F51275"/>
    </row>
    <row r="51276" spans="1:6" x14ac:dyDescent="0.25">
      <c r="A51276"/>
      <c r="B51276"/>
      <c r="C51276"/>
      <c r="E51276"/>
      <c r="F51276"/>
    </row>
    <row r="51277" spans="1:6" x14ac:dyDescent="0.25">
      <c r="A51277"/>
      <c r="B51277"/>
      <c r="C51277"/>
      <c r="E51277"/>
      <c r="F51277"/>
    </row>
    <row r="51278" spans="1:6" x14ac:dyDescent="0.25">
      <c r="A51278"/>
      <c r="B51278"/>
      <c r="C51278"/>
      <c r="E51278"/>
      <c r="F51278"/>
    </row>
    <row r="51279" spans="1:6" x14ac:dyDescent="0.25">
      <c r="A51279"/>
      <c r="B51279"/>
      <c r="C51279"/>
      <c r="E51279"/>
      <c r="F51279"/>
    </row>
    <row r="51280" spans="1:6" x14ac:dyDescent="0.25">
      <c r="A51280"/>
      <c r="B51280"/>
      <c r="C51280"/>
      <c r="E51280"/>
      <c r="F51280"/>
    </row>
    <row r="51281" spans="1:6" x14ac:dyDescent="0.25">
      <c r="A51281"/>
      <c r="B51281"/>
      <c r="C51281"/>
      <c r="E51281"/>
      <c r="F51281"/>
    </row>
    <row r="51282" spans="1:6" x14ac:dyDescent="0.25">
      <c r="A51282"/>
      <c r="B51282"/>
      <c r="C51282"/>
      <c r="E51282"/>
      <c r="F51282"/>
    </row>
    <row r="51283" spans="1:6" x14ac:dyDescent="0.25">
      <c r="A51283"/>
      <c r="B51283"/>
      <c r="C51283"/>
      <c r="E51283"/>
      <c r="F51283"/>
    </row>
    <row r="51284" spans="1:6" x14ac:dyDescent="0.25">
      <c r="A51284"/>
      <c r="B51284"/>
      <c r="C51284"/>
      <c r="E51284"/>
      <c r="F51284"/>
    </row>
    <row r="51285" spans="1:6" x14ac:dyDescent="0.25">
      <c r="A51285"/>
      <c r="B51285"/>
      <c r="C51285"/>
      <c r="E51285"/>
      <c r="F51285"/>
    </row>
    <row r="51286" spans="1:6" x14ac:dyDescent="0.25">
      <c r="A51286"/>
      <c r="B51286"/>
      <c r="C51286"/>
      <c r="E51286"/>
      <c r="F51286"/>
    </row>
    <row r="51287" spans="1:6" x14ac:dyDescent="0.25">
      <c r="A51287"/>
      <c r="B51287"/>
      <c r="C51287"/>
      <c r="E51287"/>
      <c r="F51287"/>
    </row>
    <row r="51288" spans="1:6" x14ac:dyDescent="0.25">
      <c r="A51288"/>
      <c r="B51288"/>
      <c r="C51288"/>
      <c r="E51288"/>
      <c r="F51288"/>
    </row>
    <row r="51289" spans="1:6" x14ac:dyDescent="0.25">
      <c r="A51289"/>
      <c r="B51289"/>
      <c r="C51289"/>
      <c r="E51289"/>
      <c r="F51289"/>
    </row>
    <row r="51290" spans="1:6" x14ac:dyDescent="0.25">
      <c r="A51290"/>
      <c r="B51290"/>
      <c r="C51290"/>
      <c r="E51290"/>
      <c r="F51290"/>
    </row>
    <row r="51291" spans="1:6" x14ac:dyDescent="0.25">
      <c r="A51291"/>
      <c r="B51291"/>
      <c r="C51291"/>
      <c r="E51291"/>
      <c r="F51291"/>
    </row>
    <row r="51292" spans="1:6" x14ac:dyDescent="0.25">
      <c r="A51292"/>
      <c r="B51292"/>
      <c r="C51292"/>
      <c r="E51292"/>
      <c r="F51292"/>
    </row>
    <row r="51293" spans="1:6" x14ac:dyDescent="0.25">
      <c r="A51293"/>
      <c r="B51293"/>
      <c r="C51293"/>
      <c r="E51293"/>
      <c r="F51293"/>
    </row>
    <row r="51294" spans="1:6" x14ac:dyDescent="0.25">
      <c r="A51294"/>
      <c r="B51294"/>
      <c r="C51294"/>
      <c r="E51294"/>
      <c r="F51294"/>
    </row>
    <row r="51295" spans="1:6" x14ac:dyDescent="0.25">
      <c r="A51295"/>
      <c r="B51295"/>
      <c r="C51295"/>
      <c r="E51295"/>
      <c r="F51295"/>
    </row>
    <row r="51296" spans="1:6" x14ac:dyDescent="0.25">
      <c r="A51296"/>
      <c r="B51296"/>
      <c r="C51296"/>
      <c r="E51296"/>
      <c r="F51296"/>
    </row>
    <row r="51297" spans="1:6" x14ac:dyDescent="0.25">
      <c r="A51297"/>
      <c r="B51297"/>
      <c r="C51297"/>
      <c r="E51297"/>
      <c r="F51297"/>
    </row>
    <row r="51298" spans="1:6" x14ac:dyDescent="0.25">
      <c r="A51298"/>
      <c r="B51298"/>
      <c r="C51298"/>
      <c r="E51298"/>
      <c r="F51298"/>
    </row>
    <row r="51299" spans="1:6" x14ac:dyDescent="0.25">
      <c r="A51299"/>
      <c r="B51299"/>
      <c r="C51299"/>
      <c r="E51299"/>
      <c r="F51299"/>
    </row>
    <row r="51300" spans="1:6" x14ac:dyDescent="0.25">
      <c r="A51300"/>
      <c r="B51300"/>
      <c r="C51300"/>
      <c r="E51300"/>
      <c r="F51300"/>
    </row>
    <row r="51301" spans="1:6" x14ac:dyDescent="0.25">
      <c r="A51301"/>
      <c r="B51301"/>
      <c r="C51301"/>
      <c r="E51301"/>
      <c r="F51301"/>
    </row>
    <row r="51302" spans="1:6" x14ac:dyDescent="0.25">
      <c r="A51302"/>
      <c r="B51302"/>
      <c r="C51302"/>
      <c r="E51302"/>
      <c r="F51302"/>
    </row>
    <row r="51303" spans="1:6" x14ac:dyDescent="0.25">
      <c r="A51303"/>
      <c r="B51303"/>
      <c r="C51303"/>
      <c r="E51303"/>
      <c r="F51303"/>
    </row>
    <row r="51304" spans="1:6" x14ac:dyDescent="0.25">
      <c r="A51304"/>
      <c r="B51304"/>
      <c r="C51304"/>
      <c r="E51304"/>
      <c r="F51304"/>
    </row>
    <row r="51305" spans="1:6" x14ac:dyDescent="0.25">
      <c r="A51305"/>
      <c r="B51305"/>
      <c r="C51305"/>
      <c r="E51305"/>
      <c r="F51305"/>
    </row>
    <row r="51306" spans="1:6" x14ac:dyDescent="0.25">
      <c r="A51306"/>
      <c r="B51306"/>
      <c r="C51306"/>
      <c r="E51306"/>
      <c r="F51306"/>
    </row>
    <row r="51307" spans="1:6" x14ac:dyDescent="0.25">
      <c r="A51307"/>
      <c r="B51307"/>
      <c r="C51307"/>
      <c r="E51307"/>
      <c r="F51307"/>
    </row>
    <row r="51308" spans="1:6" x14ac:dyDescent="0.25">
      <c r="A51308"/>
      <c r="B51308"/>
      <c r="C51308"/>
      <c r="E51308"/>
      <c r="F51308"/>
    </row>
    <row r="51309" spans="1:6" x14ac:dyDescent="0.25">
      <c r="A51309"/>
      <c r="B51309"/>
      <c r="C51309"/>
      <c r="E51309"/>
      <c r="F51309"/>
    </row>
    <row r="51310" spans="1:6" x14ac:dyDescent="0.25">
      <c r="A51310"/>
      <c r="B51310"/>
      <c r="C51310"/>
      <c r="E51310"/>
      <c r="F51310"/>
    </row>
    <row r="51311" spans="1:6" x14ac:dyDescent="0.25">
      <c r="A51311"/>
      <c r="B51311"/>
      <c r="C51311"/>
      <c r="E51311"/>
      <c r="F51311"/>
    </row>
    <row r="51312" spans="1:6" x14ac:dyDescent="0.25">
      <c r="A51312"/>
      <c r="B51312"/>
      <c r="C51312"/>
      <c r="E51312"/>
      <c r="F51312"/>
    </row>
    <row r="51313" spans="1:6" x14ac:dyDescent="0.25">
      <c r="A51313"/>
      <c r="B51313"/>
      <c r="C51313"/>
      <c r="E51313"/>
      <c r="F51313"/>
    </row>
    <row r="51314" spans="1:6" x14ac:dyDescent="0.25">
      <c r="A51314"/>
      <c r="B51314"/>
      <c r="C51314"/>
      <c r="E51314"/>
      <c r="F51314"/>
    </row>
    <row r="51315" spans="1:6" x14ac:dyDescent="0.25">
      <c r="A51315"/>
      <c r="B51315"/>
      <c r="C51315"/>
      <c r="E51315"/>
      <c r="F51315"/>
    </row>
    <row r="51316" spans="1:6" x14ac:dyDescent="0.25">
      <c r="A51316"/>
      <c r="B51316"/>
      <c r="C51316"/>
      <c r="E51316"/>
      <c r="F51316"/>
    </row>
    <row r="51317" spans="1:6" x14ac:dyDescent="0.25">
      <c r="A51317"/>
      <c r="B51317"/>
      <c r="C51317"/>
      <c r="E51317"/>
      <c r="F51317"/>
    </row>
    <row r="51318" spans="1:6" x14ac:dyDescent="0.25">
      <c r="A51318"/>
      <c r="B51318"/>
      <c r="C51318"/>
      <c r="E51318"/>
      <c r="F51318"/>
    </row>
    <row r="51319" spans="1:6" x14ac:dyDescent="0.25">
      <c r="A51319"/>
      <c r="B51319"/>
      <c r="C51319"/>
      <c r="E51319"/>
      <c r="F51319"/>
    </row>
    <row r="51320" spans="1:6" x14ac:dyDescent="0.25">
      <c r="A51320"/>
      <c r="B51320"/>
      <c r="C51320"/>
      <c r="E51320"/>
      <c r="F51320"/>
    </row>
    <row r="51321" spans="1:6" x14ac:dyDescent="0.25">
      <c r="A51321"/>
      <c r="B51321"/>
      <c r="C51321"/>
      <c r="E51321"/>
      <c r="F51321"/>
    </row>
    <row r="51322" spans="1:6" x14ac:dyDescent="0.25">
      <c r="A51322"/>
      <c r="B51322"/>
      <c r="C51322"/>
      <c r="E51322"/>
      <c r="F51322"/>
    </row>
    <row r="51323" spans="1:6" x14ac:dyDescent="0.25">
      <c r="A51323"/>
      <c r="B51323"/>
      <c r="C51323"/>
      <c r="E51323"/>
      <c r="F51323"/>
    </row>
    <row r="51324" spans="1:6" x14ac:dyDescent="0.25">
      <c r="A51324"/>
      <c r="B51324"/>
      <c r="C51324"/>
      <c r="E51324"/>
      <c r="F51324"/>
    </row>
    <row r="51325" spans="1:6" x14ac:dyDescent="0.25">
      <c r="A51325"/>
      <c r="B51325"/>
      <c r="C51325"/>
      <c r="E51325"/>
      <c r="F51325"/>
    </row>
    <row r="51326" spans="1:6" x14ac:dyDescent="0.25">
      <c r="A51326"/>
      <c r="B51326"/>
      <c r="C51326"/>
      <c r="E51326"/>
      <c r="F51326"/>
    </row>
    <row r="51327" spans="1:6" x14ac:dyDescent="0.25">
      <c r="A51327"/>
      <c r="B51327"/>
      <c r="C51327"/>
      <c r="E51327"/>
      <c r="F51327"/>
    </row>
    <row r="51328" spans="1:6" x14ac:dyDescent="0.25">
      <c r="A51328"/>
      <c r="B51328"/>
      <c r="C51328"/>
      <c r="E51328"/>
      <c r="F51328"/>
    </row>
    <row r="51329" spans="1:6" x14ac:dyDescent="0.25">
      <c r="A51329"/>
      <c r="B51329"/>
      <c r="C51329"/>
      <c r="E51329"/>
      <c r="F51329"/>
    </row>
    <row r="51330" spans="1:6" x14ac:dyDescent="0.25">
      <c r="A51330"/>
      <c r="B51330"/>
      <c r="C51330"/>
      <c r="E51330"/>
      <c r="F51330"/>
    </row>
    <row r="51331" spans="1:6" x14ac:dyDescent="0.25">
      <c r="A51331"/>
      <c r="B51331"/>
      <c r="C51331"/>
      <c r="E51331"/>
      <c r="F51331"/>
    </row>
    <row r="51332" spans="1:6" x14ac:dyDescent="0.25">
      <c r="A51332"/>
      <c r="B51332"/>
      <c r="C51332"/>
      <c r="E51332"/>
      <c r="F51332"/>
    </row>
    <row r="51333" spans="1:6" x14ac:dyDescent="0.25">
      <c r="A51333"/>
      <c r="B51333"/>
      <c r="C51333"/>
      <c r="E51333"/>
      <c r="F51333"/>
    </row>
    <row r="51334" spans="1:6" x14ac:dyDescent="0.25">
      <c r="A51334"/>
      <c r="B51334"/>
      <c r="C51334"/>
      <c r="E51334"/>
      <c r="F51334"/>
    </row>
    <row r="51335" spans="1:6" x14ac:dyDescent="0.25">
      <c r="A51335"/>
      <c r="B51335"/>
      <c r="C51335"/>
      <c r="E51335"/>
      <c r="F51335"/>
    </row>
    <row r="51336" spans="1:6" x14ac:dyDescent="0.25">
      <c r="A51336"/>
      <c r="B51336"/>
      <c r="C51336"/>
      <c r="E51336"/>
      <c r="F51336"/>
    </row>
    <row r="51337" spans="1:6" x14ac:dyDescent="0.25">
      <c r="A51337"/>
      <c r="B51337"/>
      <c r="C51337"/>
      <c r="E51337"/>
      <c r="F51337"/>
    </row>
    <row r="51338" spans="1:6" x14ac:dyDescent="0.25">
      <c r="A51338"/>
      <c r="B51338"/>
      <c r="C51338"/>
      <c r="E51338"/>
      <c r="F51338"/>
    </row>
    <row r="51339" spans="1:6" x14ac:dyDescent="0.25">
      <c r="A51339"/>
      <c r="B51339"/>
      <c r="C51339"/>
      <c r="E51339"/>
      <c r="F51339"/>
    </row>
    <row r="51340" spans="1:6" x14ac:dyDescent="0.25">
      <c r="A51340"/>
      <c r="B51340"/>
      <c r="C51340"/>
      <c r="E51340"/>
      <c r="F51340"/>
    </row>
    <row r="51341" spans="1:6" x14ac:dyDescent="0.25">
      <c r="A51341"/>
      <c r="B51341"/>
      <c r="C51341"/>
      <c r="E51341"/>
      <c r="F51341"/>
    </row>
    <row r="51342" spans="1:6" x14ac:dyDescent="0.25">
      <c r="A51342"/>
      <c r="B51342"/>
      <c r="C51342"/>
      <c r="E51342"/>
      <c r="F51342"/>
    </row>
    <row r="51343" spans="1:6" x14ac:dyDescent="0.25">
      <c r="A51343"/>
      <c r="B51343"/>
      <c r="C51343"/>
      <c r="E51343"/>
      <c r="F51343"/>
    </row>
    <row r="51344" spans="1:6" x14ac:dyDescent="0.25">
      <c r="A51344"/>
      <c r="B51344"/>
      <c r="C51344"/>
      <c r="E51344"/>
      <c r="F51344"/>
    </row>
    <row r="51345" spans="1:6" x14ac:dyDescent="0.25">
      <c r="A51345"/>
      <c r="B51345"/>
      <c r="C51345"/>
      <c r="E51345"/>
      <c r="F51345"/>
    </row>
    <row r="51346" spans="1:6" x14ac:dyDescent="0.25">
      <c r="A51346"/>
      <c r="B51346"/>
      <c r="C51346"/>
      <c r="E51346"/>
      <c r="F51346"/>
    </row>
    <row r="51347" spans="1:6" x14ac:dyDescent="0.25">
      <c r="A51347"/>
      <c r="B51347"/>
      <c r="C51347"/>
      <c r="E51347"/>
      <c r="F51347"/>
    </row>
    <row r="51348" spans="1:6" x14ac:dyDescent="0.25">
      <c r="A51348"/>
      <c r="B51348"/>
      <c r="C51348"/>
      <c r="E51348"/>
      <c r="F51348"/>
    </row>
    <row r="51349" spans="1:6" x14ac:dyDescent="0.25">
      <c r="A51349"/>
      <c r="B51349"/>
      <c r="C51349"/>
      <c r="E51349"/>
      <c r="F51349"/>
    </row>
    <row r="51350" spans="1:6" x14ac:dyDescent="0.25">
      <c r="A51350"/>
      <c r="B51350"/>
      <c r="C51350"/>
      <c r="E51350"/>
      <c r="F51350"/>
    </row>
    <row r="51351" spans="1:6" x14ac:dyDescent="0.25">
      <c r="A51351"/>
      <c r="B51351"/>
      <c r="C51351"/>
      <c r="E51351"/>
      <c r="F51351"/>
    </row>
    <row r="51352" spans="1:6" x14ac:dyDescent="0.25">
      <c r="A51352"/>
      <c r="B51352"/>
      <c r="C51352"/>
      <c r="E51352"/>
      <c r="F51352"/>
    </row>
    <row r="51353" spans="1:6" x14ac:dyDescent="0.25">
      <c r="A51353"/>
      <c r="B51353"/>
      <c r="C51353"/>
      <c r="E51353"/>
      <c r="F51353"/>
    </row>
    <row r="51354" spans="1:6" x14ac:dyDescent="0.25">
      <c r="A51354"/>
      <c r="B51354"/>
      <c r="C51354"/>
      <c r="E51354"/>
      <c r="F51354"/>
    </row>
    <row r="51355" spans="1:6" x14ac:dyDescent="0.25">
      <c r="A51355"/>
      <c r="B51355"/>
      <c r="C51355"/>
      <c r="E51355"/>
      <c r="F51355"/>
    </row>
    <row r="51356" spans="1:6" x14ac:dyDescent="0.25">
      <c r="A51356"/>
      <c r="B51356"/>
      <c r="C51356"/>
      <c r="E51356"/>
      <c r="F51356"/>
    </row>
    <row r="51357" spans="1:6" x14ac:dyDescent="0.25">
      <c r="A51357"/>
      <c r="B51357"/>
      <c r="C51357"/>
      <c r="E51357"/>
      <c r="F51357"/>
    </row>
    <row r="51358" spans="1:6" x14ac:dyDescent="0.25">
      <c r="A51358"/>
      <c r="B51358"/>
      <c r="C51358"/>
      <c r="E51358"/>
      <c r="F51358"/>
    </row>
    <row r="51359" spans="1:6" x14ac:dyDescent="0.25">
      <c r="A51359"/>
      <c r="B51359"/>
      <c r="C51359"/>
      <c r="E51359"/>
      <c r="F51359"/>
    </row>
    <row r="51360" spans="1:6" x14ac:dyDescent="0.25">
      <c r="A51360"/>
      <c r="B51360"/>
      <c r="C51360"/>
      <c r="E51360"/>
      <c r="F51360"/>
    </row>
    <row r="51361" spans="1:6" x14ac:dyDescent="0.25">
      <c r="A51361"/>
      <c r="B51361"/>
      <c r="C51361"/>
      <c r="E51361"/>
      <c r="F51361"/>
    </row>
    <row r="51362" spans="1:6" x14ac:dyDescent="0.25">
      <c r="A51362"/>
      <c r="B51362"/>
      <c r="C51362"/>
      <c r="E51362"/>
      <c r="F51362"/>
    </row>
    <row r="51363" spans="1:6" x14ac:dyDescent="0.25">
      <c r="A51363"/>
      <c r="B51363"/>
      <c r="C51363"/>
      <c r="E51363"/>
      <c r="F51363"/>
    </row>
    <row r="51364" spans="1:6" x14ac:dyDescent="0.25">
      <c r="A51364"/>
      <c r="B51364"/>
      <c r="C51364"/>
      <c r="E51364"/>
      <c r="F51364"/>
    </row>
    <row r="51365" spans="1:6" x14ac:dyDescent="0.25">
      <c r="A51365"/>
      <c r="B51365"/>
      <c r="C51365"/>
      <c r="E51365"/>
      <c r="F51365"/>
    </row>
    <row r="51366" spans="1:6" x14ac:dyDescent="0.25">
      <c r="A51366"/>
      <c r="B51366"/>
      <c r="C51366"/>
      <c r="E51366"/>
      <c r="F51366"/>
    </row>
    <row r="51367" spans="1:6" x14ac:dyDescent="0.25">
      <c r="A51367"/>
      <c r="B51367"/>
      <c r="C51367"/>
      <c r="E51367"/>
      <c r="F51367"/>
    </row>
    <row r="51368" spans="1:6" x14ac:dyDescent="0.25">
      <c r="A51368"/>
      <c r="B51368"/>
      <c r="C51368"/>
      <c r="E51368"/>
      <c r="F51368"/>
    </row>
    <row r="51369" spans="1:6" x14ac:dyDescent="0.25">
      <c r="A51369"/>
      <c r="B51369"/>
      <c r="C51369"/>
      <c r="E51369"/>
      <c r="F51369"/>
    </row>
    <row r="51370" spans="1:6" x14ac:dyDescent="0.25">
      <c r="A51370"/>
      <c r="B51370"/>
      <c r="C51370"/>
      <c r="E51370"/>
      <c r="F51370"/>
    </row>
    <row r="51371" spans="1:6" x14ac:dyDescent="0.25">
      <c r="A51371"/>
      <c r="B51371"/>
      <c r="C51371"/>
      <c r="E51371"/>
      <c r="F51371"/>
    </row>
    <row r="51372" spans="1:6" x14ac:dyDescent="0.25">
      <c r="A51372"/>
      <c r="B51372"/>
      <c r="C51372"/>
      <c r="E51372"/>
      <c r="F51372"/>
    </row>
    <row r="51373" spans="1:6" x14ac:dyDescent="0.25">
      <c r="A51373"/>
      <c r="B51373"/>
      <c r="C51373"/>
      <c r="E51373"/>
      <c r="F51373"/>
    </row>
    <row r="51374" spans="1:6" x14ac:dyDescent="0.25">
      <c r="A51374"/>
      <c r="B51374"/>
      <c r="C51374"/>
      <c r="E51374"/>
      <c r="F51374"/>
    </row>
    <row r="51375" spans="1:6" x14ac:dyDescent="0.25">
      <c r="A51375"/>
      <c r="B51375"/>
      <c r="C51375"/>
      <c r="E51375"/>
      <c r="F51375"/>
    </row>
    <row r="51376" spans="1:6" x14ac:dyDescent="0.25">
      <c r="A51376"/>
      <c r="B51376"/>
      <c r="C51376"/>
      <c r="E51376"/>
      <c r="F51376"/>
    </row>
    <row r="51377" spans="1:6" x14ac:dyDescent="0.25">
      <c r="A51377"/>
      <c r="B51377"/>
      <c r="C51377"/>
      <c r="E51377"/>
      <c r="F51377"/>
    </row>
    <row r="51378" spans="1:6" x14ac:dyDescent="0.25">
      <c r="A51378"/>
      <c r="B51378"/>
      <c r="C51378"/>
      <c r="E51378"/>
      <c r="F51378"/>
    </row>
    <row r="51379" spans="1:6" x14ac:dyDescent="0.25">
      <c r="A51379"/>
      <c r="B51379"/>
      <c r="C51379"/>
      <c r="E51379"/>
      <c r="F51379"/>
    </row>
    <row r="51380" spans="1:6" x14ac:dyDescent="0.25">
      <c r="A51380"/>
      <c r="B51380"/>
      <c r="C51380"/>
      <c r="E51380"/>
      <c r="F51380"/>
    </row>
    <row r="51381" spans="1:6" x14ac:dyDescent="0.25">
      <c r="A51381"/>
      <c r="B51381"/>
      <c r="C51381"/>
      <c r="E51381"/>
      <c r="F51381"/>
    </row>
    <row r="51382" spans="1:6" x14ac:dyDescent="0.25">
      <c r="A51382"/>
      <c r="B51382"/>
      <c r="C51382"/>
      <c r="E51382"/>
      <c r="F51382"/>
    </row>
    <row r="51383" spans="1:6" x14ac:dyDescent="0.25">
      <c r="A51383"/>
      <c r="B51383"/>
      <c r="C51383"/>
      <c r="E51383"/>
      <c r="F51383"/>
    </row>
    <row r="51384" spans="1:6" x14ac:dyDescent="0.25">
      <c r="A51384"/>
      <c r="B51384"/>
      <c r="C51384"/>
      <c r="E51384"/>
      <c r="F51384"/>
    </row>
    <row r="51385" spans="1:6" x14ac:dyDescent="0.25">
      <c r="A51385"/>
      <c r="B51385"/>
      <c r="C51385"/>
      <c r="E51385"/>
      <c r="F51385"/>
    </row>
    <row r="51386" spans="1:6" x14ac:dyDescent="0.25">
      <c r="A51386"/>
      <c r="B51386"/>
      <c r="C51386"/>
      <c r="E51386"/>
      <c r="F51386"/>
    </row>
    <row r="51387" spans="1:6" x14ac:dyDescent="0.25">
      <c r="A51387"/>
      <c r="B51387"/>
      <c r="C51387"/>
      <c r="E51387"/>
      <c r="F51387"/>
    </row>
    <row r="51388" spans="1:6" x14ac:dyDescent="0.25">
      <c r="A51388"/>
      <c r="B51388"/>
      <c r="C51388"/>
      <c r="E51388"/>
      <c r="F51388"/>
    </row>
    <row r="51389" spans="1:6" x14ac:dyDescent="0.25">
      <c r="A51389"/>
      <c r="B51389"/>
      <c r="C51389"/>
      <c r="E51389"/>
      <c r="F51389"/>
    </row>
    <row r="51390" spans="1:6" x14ac:dyDescent="0.25">
      <c r="A51390"/>
      <c r="B51390"/>
      <c r="C51390"/>
      <c r="E51390"/>
      <c r="F51390"/>
    </row>
    <row r="51391" spans="1:6" x14ac:dyDescent="0.25">
      <c r="A51391"/>
      <c r="B51391"/>
      <c r="C51391"/>
      <c r="E51391"/>
      <c r="F51391"/>
    </row>
    <row r="51392" spans="1:6" x14ac:dyDescent="0.25">
      <c r="A51392"/>
      <c r="B51392"/>
      <c r="C51392"/>
      <c r="E51392"/>
      <c r="F51392"/>
    </row>
    <row r="51393" spans="1:6" x14ac:dyDescent="0.25">
      <c r="A51393"/>
      <c r="B51393"/>
      <c r="C51393"/>
      <c r="E51393"/>
      <c r="F51393"/>
    </row>
    <row r="51394" spans="1:6" x14ac:dyDescent="0.25">
      <c r="A51394"/>
      <c r="B51394"/>
      <c r="C51394"/>
      <c r="E51394"/>
      <c r="F51394"/>
    </row>
    <row r="51395" spans="1:6" x14ac:dyDescent="0.25">
      <c r="A51395"/>
      <c r="B51395"/>
      <c r="C51395"/>
      <c r="E51395"/>
      <c r="F51395"/>
    </row>
    <row r="51396" spans="1:6" x14ac:dyDescent="0.25">
      <c r="A51396"/>
      <c r="B51396"/>
      <c r="C51396"/>
      <c r="E51396"/>
      <c r="F51396"/>
    </row>
    <row r="51397" spans="1:6" x14ac:dyDescent="0.25">
      <c r="A51397"/>
      <c r="B51397"/>
      <c r="C51397"/>
      <c r="E51397"/>
      <c r="F51397"/>
    </row>
    <row r="51398" spans="1:6" x14ac:dyDescent="0.25">
      <c r="A51398"/>
      <c r="B51398"/>
      <c r="C51398"/>
      <c r="E51398"/>
      <c r="F51398"/>
    </row>
    <row r="51399" spans="1:6" x14ac:dyDescent="0.25">
      <c r="A51399"/>
      <c r="B51399"/>
      <c r="C51399"/>
      <c r="E51399"/>
      <c r="F51399"/>
    </row>
    <row r="51400" spans="1:6" x14ac:dyDescent="0.25">
      <c r="A51400"/>
      <c r="B51400"/>
      <c r="C51400"/>
      <c r="E51400"/>
      <c r="F51400"/>
    </row>
    <row r="51401" spans="1:6" x14ac:dyDescent="0.25">
      <c r="A51401"/>
      <c r="B51401"/>
      <c r="C51401"/>
      <c r="E51401"/>
      <c r="F51401"/>
    </row>
    <row r="51402" spans="1:6" x14ac:dyDescent="0.25">
      <c r="A51402"/>
      <c r="B51402"/>
      <c r="C51402"/>
      <c r="E51402"/>
      <c r="F51402"/>
    </row>
    <row r="51403" spans="1:6" x14ac:dyDescent="0.25">
      <c r="A51403"/>
      <c r="B51403"/>
      <c r="C51403"/>
      <c r="E51403"/>
      <c r="F51403"/>
    </row>
    <row r="51404" spans="1:6" x14ac:dyDescent="0.25">
      <c r="A51404"/>
      <c r="B51404"/>
      <c r="C51404"/>
      <c r="E51404"/>
      <c r="F51404"/>
    </row>
    <row r="51405" spans="1:6" x14ac:dyDescent="0.25">
      <c r="A51405"/>
      <c r="B51405"/>
      <c r="C51405"/>
      <c r="E51405"/>
      <c r="F51405"/>
    </row>
    <row r="51406" spans="1:6" x14ac:dyDescent="0.25">
      <c r="A51406"/>
      <c r="B51406"/>
      <c r="C51406"/>
      <c r="E51406"/>
      <c r="F51406"/>
    </row>
    <row r="51407" spans="1:6" x14ac:dyDescent="0.25">
      <c r="A51407"/>
      <c r="B51407"/>
      <c r="C51407"/>
      <c r="E51407"/>
      <c r="F51407"/>
    </row>
    <row r="51408" spans="1:6" x14ac:dyDescent="0.25">
      <c r="A51408"/>
      <c r="B51408"/>
      <c r="C51408"/>
      <c r="E51408"/>
      <c r="F51408"/>
    </row>
    <row r="51409" spans="1:6" x14ac:dyDescent="0.25">
      <c r="A51409"/>
      <c r="B51409"/>
      <c r="C51409"/>
      <c r="E51409"/>
      <c r="F51409"/>
    </row>
    <row r="51410" spans="1:6" x14ac:dyDescent="0.25">
      <c r="A51410"/>
      <c r="B51410"/>
      <c r="C51410"/>
      <c r="E51410"/>
      <c r="F51410"/>
    </row>
    <row r="51411" spans="1:6" x14ac:dyDescent="0.25">
      <c r="A51411"/>
      <c r="B51411"/>
      <c r="C51411"/>
      <c r="E51411"/>
      <c r="F51411"/>
    </row>
    <row r="51412" spans="1:6" x14ac:dyDescent="0.25">
      <c r="A51412"/>
      <c r="B51412"/>
      <c r="C51412"/>
      <c r="E51412"/>
      <c r="F51412"/>
    </row>
    <row r="51413" spans="1:6" x14ac:dyDescent="0.25">
      <c r="A51413"/>
      <c r="B51413"/>
      <c r="C51413"/>
      <c r="E51413"/>
      <c r="F51413"/>
    </row>
    <row r="51414" spans="1:6" x14ac:dyDescent="0.25">
      <c r="A51414"/>
      <c r="B51414"/>
      <c r="C51414"/>
      <c r="E51414"/>
      <c r="F51414"/>
    </row>
    <row r="51415" spans="1:6" x14ac:dyDescent="0.25">
      <c r="A51415"/>
      <c r="B51415"/>
      <c r="C51415"/>
      <c r="E51415"/>
      <c r="F51415"/>
    </row>
    <row r="51416" spans="1:6" x14ac:dyDescent="0.25">
      <c r="A51416"/>
      <c r="B51416"/>
      <c r="C51416"/>
      <c r="E51416"/>
      <c r="F51416"/>
    </row>
    <row r="51417" spans="1:6" x14ac:dyDescent="0.25">
      <c r="A51417"/>
      <c r="B51417"/>
      <c r="C51417"/>
      <c r="E51417"/>
      <c r="F51417"/>
    </row>
    <row r="51418" spans="1:6" x14ac:dyDescent="0.25">
      <c r="A51418"/>
      <c r="B51418"/>
      <c r="C51418"/>
      <c r="E51418"/>
      <c r="F51418"/>
    </row>
    <row r="51419" spans="1:6" x14ac:dyDescent="0.25">
      <c r="A51419"/>
      <c r="B51419"/>
      <c r="C51419"/>
      <c r="E51419"/>
      <c r="F51419"/>
    </row>
    <row r="51420" spans="1:6" x14ac:dyDescent="0.25">
      <c r="A51420"/>
      <c r="B51420"/>
      <c r="C51420"/>
      <c r="E51420"/>
      <c r="F51420"/>
    </row>
    <row r="51421" spans="1:6" x14ac:dyDescent="0.25">
      <c r="A51421"/>
      <c r="B51421"/>
      <c r="C51421"/>
      <c r="E51421"/>
      <c r="F51421"/>
    </row>
    <row r="51422" spans="1:6" x14ac:dyDescent="0.25">
      <c r="A51422"/>
      <c r="B51422"/>
      <c r="C51422"/>
      <c r="E51422"/>
      <c r="F51422"/>
    </row>
    <row r="51423" spans="1:6" x14ac:dyDescent="0.25">
      <c r="A51423"/>
      <c r="B51423"/>
      <c r="C51423"/>
      <c r="E51423"/>
      <c r="F51423"/>
    </row>
    <row r="51424" spans="1:6" x14ac:dyDescent="0.25">
      <c r="A51424"/>
      <c r="B51424"/>
      <c r="C51424"/>
      <c r="E51424"/>
      <c r="F51424"/>
    </row>
    <row r="51425" spans="1:6" x14ac:dyDescent="0.25">
      <c r="A51425"/>
      <c r="B51425"/>
      <c r="C51425"/>
      <c r="E51425"/>
      <c r="F51425"/>
    </row>
    <row r="51426" spans="1:6" x14ac:dyDescent="0.25">
      <c r="A51426"/>
      <c r="B51426"/>
      <c r="C51426"/>
      <c r="E51426"/>
      <c r="F51426"/>
    </row>
    <row r="51427" spans="1:6" x14ac:dyDescent="0.25">
      <c r="A51427"/>
      <c r="B51427"/>
      <c r="C51427"/>
      <c r="E51427"/>
      <c r="F51427"/>
    </row>
    <row r="51428" spans="1:6" x14ac:dyDescent="0.25">
      <c r="A51428"/>
      <c r="B51428"/>
      <c r="C51428"/>
      <c r="E51428"/>
      <c r="F51428"/>
    </row>
    <row r="51429" spans="1:6" x14ac:dyDescent="0.25">
      <c r="A51429"/>
      <c r="B51429"/>
      <c r="C51429"/>
      <c r="E51429"/>
      <c r="F51429"/>
    </row>
    <row r="51430" spans="1:6" x14ac:dyDescent="0.25">
      <c r="A51430"/>
      <c r="B51430"/>
      <c r="C51430"/>
      <c r="E51430"/>
      <c r="F51430"/>
    </row>
    <row r="51431" spans="1:6" x14ac:dyDescent="0.25">
      <c r="A51431"/>
      <c r="B51431"/>
      <c r="C51431"/>
      <c r="E51431"/>
      <c r="F51431"/>
    </row>
    <row r="51432" spans="1:6" x14ac:dyDescent="0.25">
      <c r="A51432"/>
      <c r="B51432"/>
      <c r="C51432"/>
      <c r="E51432"/>
      <c r="F51432"/>
    </row>
    <row r="51433" spans="1:6" x14ac:dyDescent="0.25">
      <c r="A51433"/>
      <c r="B51433"/>
      <c r="C51433"/>
      <c r="E51433"/>
      <c r="F51433"/>
    </row>
    <row r="51434" spans="1:6" x14ac:dyDescent="0.25">
      <c r="A51434"/>
      <c r="B51434"/>
      <c r="C51434"/>
      <c r="E51434"/>
      <c r="F51434"/>
    </row>
    <row r="51435" spans="1:6" x14ac:dyDescent="0.25">
      <c r="A51435"/>
      <c r="B51435"/>
      <c r="C51435"/>
      <c r="E51435"/>
      <c r="F51435"/>
    </row>
    <row r="51436" spans="1:6" x14ac:dyDescent="0.25">
      <c r="A51436"/>
      <c r="B51436"/>
      <c r="C51436"/>
      <c r="E51436"/>
      <c r="F51436"/>
    </row>
    <row r="51437" spans="1:6" x14ac:dyDescent="0.25">
      <c r="A51437"/>
      <c r="B51437"/>
      <c r="C51437"/>
      <c r="E51437"/>
      <c r="F51437"/>
    </row>
    <row r="51438" spans="1:6" x14ac:dyDescent="0.25">
      <c r="A51438"/>
      <c r="B51438"/>
      <c r="C51438"/>
      <c r="E51438"/>
      <c r="F51438"/>
    </row>
    <row r="51439" spans="1:6" x14ac:dyDescent="0.25">
      <c r="A51439"/>
      <c r="B51439"/>
      <c r="C51439"/>
      <c r="E51439"/>
      <c r="F51439"/>
    </row>
    <row r="51440" spans="1:6" x14ac:dyDescent="0.25">
      <c r="A51440"/>
      <c r="B51440"/>
      <c r="C51440"/>
      <c r="E51440"/>
      <c r="F51440"/>
    </row>
    <row r="51441" spans="1:6" x14ac:dyDescent="0.25">
      <c r="A51441"/>
      <c r="B51441"/>
      <c r="C51441"/>
      <c r="E51441"/>
      <c r="F51441"/>
    </row>
    <row r="51442" spans="1:6" x14ac:dyDescent="0.25">
      <c r="A51442"/>
      <c r="B51442"/>
      <c r="C51442"/>
      <c r="E51442"/>
      <c r="F51442"/>
    </row>
    <row r="51443" spans="1:6" x14ac:dyDescent="0.25">
      <c r="A51443"/>
      <c r="B51443"/>
      <c r="C51443"/>
      <c r="E51443"/>
      <c r="F51443"/>
    </row>
    <row r="51444" spans="1:6" x14ac:dyDescent="0.25">
      <c r="A51444"/>
      <c r="B51444"/>
      <c r="C51444"/>
      <c r="E51444"/>
      <c r="F51444"/>
    </row>
    <row r="51445" spans="1:6" x14ac:dyDescent="0.25">
      <c r="A51445"/>
      <c r="B51445"/>
      <c r="C51445"/>
      <c r="E51445"/>
      <c r="F51445"/>
    </row>
    <row r="51446" spans="1:6" x14ac:dyDescent="0.25">
      <c r="A51446"/>
      <c r="B51446"/>
      <c r="C51446"/>
      <c r="E51446"/>
      <c r="F51446"/>
    </row>
    <row r="51447" spans="1:6" x14ac:dyDescent="0.25">
      <c r="A51447"/>
      <c r="B51447"/>
      <c r="C51447"/>
      <c r="E51447"/>
      <c r="F51447"/>
    </row>
    <row r="51448" spans="1:6" x14ac:dyDescent="0.25">
      <c r="A51448"/>
      <c r="B51448"/>
      <c r="C51448"/>
      <c r="E51448"/>
      <c r="F51448"/>
    </row>
    <row r="51449" spans="1:6" x14ac:dyDescent="0.25">
      <c r="A51449"/>
      <c r="B51449"/>
      <c r="C51449"/>
      <c r="E51449"/>
      <c r="F51449"/>
    </row>
    <row r="51450" spans="1:6" x14ac:dyDescent="0.25">
      <c r="A51450"/>
      <c r="B51450"/>
      <c r="C51450"/>
      <c r="E51450"/>
      <c r="F51450"/>
    </row>
    <row r="51451" spans="1:6" x14ac:dyDescent="0.25">
      <c r="A51451"/>
      <c r="B51451"/>
      <c r="C51451"/>
      <c r="E51451"/>
      <c r="F51451"/>
    </row>
    <row r="51452" spans="1:6" x14ac:dyDescent="0.25">
      <c r="A51452"/>
      <c r="B51452"/>
      <c r="C51452"/>
      <c r="E51452"/>
      <c r="F51452"/>
    </row>
    <row r="51453" spans="1:6" x14ac:dyDescent="0.25">
      <c r="A51453"/>
      <c r="B51453"/>
      <c r="C51453"/>
      <c r="E51453"/>
      <c r="F51453"/>
    </row>
    <row r="51454" spans="1:6" x14ac:dyDescent="0.25">
      <c r="A51454"/>
      <c r="B51454"/>
      <c r="C51454"/>
      <c r="E51454"/>
      <c r="F51454"/>
    </row>
    <row r="51455" spans="1:6" x14ac:dyDescent="0.25">
      <c r="A51455"/>
      <c r="B51455"/>
      <c r="C51455"/>
      <c r="E51455"/>
      <c r="F51455"/>
    </row>
    <row r="51456" spans="1:6" x14ac:dyDescent="0.25">
      <c r="A51456"/>
      <c r="B51456"/>
      <c r="C51456"/>
      <c r="E51456"/>
      <c r="F51456"/>
    </row>
    <row r="51457" spans="1:6" x14ac:dyDescent="0.25">
      <c r="A51457"/>
      <c r="B51457"/>
      <c r="C51457"/>
      <c r="E51457"/>
      <c r="F51457"/>
    </row>
    <row r="51458" spans="1:6" x14ac:dyDescent="0.25">
      <c r="A51458"/>
      <c r="B51458"/>
      <c r="C51458"/>
      <c r="E51458"/>
      <c r="F51458"/>
    </row>
    <row r="51459" spans="1:6" x14ac:dyDescent="0.25">
      <c r="A51459"/>
      <c r="B51459"/>
      <c r="C51459"/>
      <c r="E51459"/>
      <c r="F51459"/>
    </row>
    <row r="51460" spans="1:6" x14ac:dyDescent="0.25">
      <c r="A51460"/>
      <c r="B51460"/>
      <c r="C51460"/>
      <c r="E51460"/>
      <c r="F51460"/>
    </row>
    <row r="51461" spans="1:6" x14ac:dyDescent="0.25">
      <c r="A51461"/>
      <c r="B51461"/>
      <c r="C51461"/>
      <c r="E51461"/>
      <c r="F51461"/>
    </row>
    <row r="51462" spans="1:6" x14ac:dyDescent="0.25">
      <c r="A51462"/>
      <c r="B51462"/>
      <c r="C51462"/>
      <c r="E51462"/>
      <c r="F51462"/>
    </row>
    <row r="51463" spans="1:6" x14ac:dyDescent="0.25">
      <c r="A51463"/>
      <c r="B51463"/>
      <c r="C51463"/>
      <c r="E51463"/>
      <c r="F51463"/>
    </row>
    <row r="51464" spans="1:6" x14ac:dyDescent="0.25">
      <c r="A51464"/>
      <c r="B51464"/>
      <c r="C51464"/>
      <c r="E51464"/>
      <c r="F51464"/>
    </row>
    <row r="51465" spans="1:6" x14ac:dyDescent="0.25">
      <c r="A51465"/>
      <c r="B51465"/>
      <c r="C51465"/>
      <c r="E51465"/>
      <c r="F51465"/>
    </row>
    <row r="51466" spans="1:6" x14ac:dyDescent="0.25">
      <c r="A51466"/>
      <c r="B51466"/>
      <c r="C51466"/>
      <c r="E51466"/>
      <c r="F51466"/>
    </row>
    <row r="51467" spans="1:6" x14ac:dyDescent="0.25">
      <c r="A51467"/>
      <c r="B51467"/>
      <c r="C51467"/>
      <c r="E51467"/>
      <c r="F51467"/>
    </row>
    <row r="51468" spans="1:6" x14ac:dyDescent="0.25">
      <c r="A51468"/>
      <c r="B51468"/>
      <c r="C51468"/>
      <c r="E51468"/>
      <c r="F51468"/>
    </row>
    <row r="51469" spans="1:6" x14ac:dyDescent="0.25">
      <c r="A51469"/>
      <c r="B51469"/>
      <c r="C51469"/>
      <c r="E51469"/>
      <c r="F51469"/>
    </row>
    <row r="51470" spans="1:6" x14ac:dyDescent="0.25">
      <c r="A51470"/>
      <c r="B51470"/>
      <c r="C51470"/>
      <c r="E51470"/>
      <c r="F51470"/>
    </row>
    <row r="51471" spans="1:6" x14ac:dyDescent="0.25">
      <c r="A51471"/>
      <c r="B51471"/>
      <c r="C51471"/>
      <c r="E51471"/>
      <c r="F51471"/>
    </row>
    <row r="51472" spans="1:6" x14ac:dyDescent="0.25">
      <c r="A51472"/>
      <c r="B51472"/>
      <c r="C51472"/>
      <c r="E51472"/>
      <c r="F51472"/>
    </row>
    <row r="51473" spans="1:6" x14ac:dyDescent="0.25">
      <c r="A51473"/>
      <c r="B51473"/>
      <c r="C51473"/>
      <c r="E51473"/>
      <c r="F51473"/>
    </row>
    <row r="51474" spans="1:6" x14ac:dyDescent="0.25">
      <c r="A51474"/>
      <c r="B51474"/>
      <c r="C51474"/>
      <c r="E51474"/>
      <c r="F51474"/>
    </row>
    <row r="51475" spans="1:6" x14ac:dyDescent="0.25">
      <c r="A51475"/>
      <c r="B51475"/>
      <c r="C51475"/>
      <c r="E51475"/>
      <c r="F51475"/>
    </row>
    <row r="51476" spans="1:6" x14ac:dyDescent="0.25">
      <c r="A51476"/>
      <c r="B51476"/>
      <c r="C51476"/>
      <c r="E51476"/>
      <c r="F51476"/>
    </row>
    <row r="51477" spans="1:6" x14ac:dyDescent="0.25">
      <c r="A51477"/>
      <c r="B51477"/>
      <c r="C51477"/>
      <c r="E51477"/>
      <c r="F51477"/>
    </row>
    <row r="51478" spans="1:6" x14ac:dyDescent="0.25">
      <c r="A51478"/>
      <c r="B51478"/>
      <c r="C51478"/>
      <c r="E51478"/>
      <c r="F51478"/>
    </row>
    <row r="51479" spans="1:6" x14ac:dyDescent="0.25">
      <c r="A51479"/>
      <c r="B51479"/>
      <c r="C51479"/>
      <c r="E51479"/>
      <c r="F51479"/>
    </row>
    <row r="51480" spans="1:6" x14ac:dyDescent="0.25">
      <c r="A51480"/>
      <c r="B51480"/>
      <c r="C51480"/>
      <c r="E51480"/>
      <c r="F51480"/>
    </row>
    <row r="51481" spans="1:6" x14ac:dyDescent="0.25">
      <c r="A51481"/>
      <c r="B51481"/>
      <c r="C51481"/>
      <c r="E51481"/>
      <c r="F51481"/>
    </row>
    <row r="51482" spans="1:6" x14ac:dyDescent="0.25">
      <c r="A51482"/>
      <c r="B51482"/>
      <c r="C51482"/>
      <c r="E51482"/>
      <c r="F51482"/>
    </row>
    <row r="51483" spans="1:6" x14ac:dyDescent="0.25">
      <c r="A51483"/>
      <c r="B51483"/>
      <c r="C51483"/>
      <c r="E51483"/>
      <c r="F51483"/>
    </row>
    <row r="51484" spans="1:6" x14ac:dyDescent="0.25">
      <c r="A51484"/>
      <c r="B51484"/>
      <c r="C51484"/>
      <c r="E51484"/>
      <c r="F51484"/>
    </row>
    <row r="51485" spans="1:6" x14ac:dyDescent="0.25">
      <c r="A51485"/>
      <c r="B51485"/>
      <c r="C51485"/>
      <c r="E51485"/>
      <c r="F51485"/>
    </row>
    <row r="51486" spans="1:6" x14ac:dyDescent="0.25">
      <c r="A51486"/>
      <c r="B51486"/>
      <c r="C51486"/>
      <c r="E51486"/>
      <c r="F51486"/>
    </row>
    <row r="51487" spans="1:6" x14ac:dyDescent="0.25">
      <c r="A51487"/>
      <c r="B51487"/>
      <c r="C51487"/>
      <c r="E51487"/>
      <c r="F51487"/>
    </row>
    <row r="51488" spans="1:6" x14ac:dyDescent="0.25">
      <c r="A51488"/>
      <c r="B51488"/>
      <c r="C51488"/>
      <c r="E51488"/>
      <c r="F51488"/>
    </row>
    <row r="51489" spans="1:6" x14ac:dyDescent="0.25">
      <c r="A51489"/>
      <c r="B51489"/>
      <c r="C51489"/>
      <c r="E51489"/>
      <c r="F51489"/>
    </row>
    <row r="51490" spans="1:6" x14ac:dyDescent="0.25">
      <c r="A51490"/>
      <c r="B51490"/>
      <c r="C51490"/>
      <c r="E51490"/>
      <c r="F51490"/>
    </row>
    <row r="51491" spans="1:6" x14ac:dyDescent="0.25">
      <c r="A51491"/>
      <c r="B51491"/>
      <c r="C51491"/>
      <c r="E51491"/>
      <c r="F51491"/>
    </row>
    <row r="51492" spans="1:6" x14ac:dyDescent="0.25">
      <c r="A51492"/>
      <c r="B51492"/>
      <c r="C51492"/>
      <c r="E51492"/>
      <c r="F51492"/>
    </row>
    <row r="51493" spans="1:6" x14ac:dyDescent="0.25">
      <c r="A51493"/>
      <c r="B51493"/>
      <c r="C51493"/>
      <c r="E51493"/>
      <c r="F51493"/>
    </row>
    <row r="51494" spans="1:6" x14ac:dyDescent="0.25">
      <c r="A51494"/>
      <c r="B51494"/>
      <c r="C51494"/>
      <c r="E51494"/>
      <c r="F51494"/>
    </row>
    <row r="51495" spans="1:6" x14ac:dyDescent="0.25">
      <c r="A51495"/>
      <c r="B51495"/>
      <c r="C51495"/>
      <c r="E51495"/>
      <c r="F51495"/>
    </row>
    <row r="51496" spans="1:6" x14ac:dyDescent="0.25">
      <c r="A51496"/>
      <c r="B51496"/>
      <c r="C51496"/>
      <c r="E51496"/>
      <c r="F51496"/>
    </row>
    <row r="51497" spans="1:6" x14ac:dyDescent="0.25">
      <c r="A51497"/>
      <c r="B51497"/>
      <c r="C51497"/>
      <c r="E51497"/>
      <c r="F51497"/>
    </row>
    <row r="51498" spans="1:6" x14ac:dyDescent="0.25">
      <c r="A51498"/>
      <c r="B51498"/>
      <c r="C51498"/>
      <c r="E51498"/>
      <c r="F51498"/>
    </row>
    <row r="51499" spans="1:6" x14ac:dyDescent="0.25">
      <c r="A51499"/>
      <c r="B51499"/>
      <c r="C51499"/>
      <c r="E51499"/>
      <c r="F51499"/>
    </row>
    <row r="51500" spans="1:6" x14ac:dyDescent="0.25">
      <c r="A51500"/>
      <c r="B51500"/>
      <c r="C51500"/>
      <c r="E51500"/>
      <c r="F51500"/>
    </row>
    <row r="51501" spans="1:6" x14ac:dyDescent="0.25">
      <c r="A51501"/>
      <c r="B51501"/>
      <c r="C51501"/>
      <c r="E51501"/>
      <c r="F51501"/>
    </row>
    <row r="51502" spans="1:6" x14ac:dyDescent="0.25">
      <c r="A51502"/>
      <c r="B51502"/>
      <c r="C51502"/>
      <c r="E51502"/>
      <c r="F51502"/>
    </row>
    <row r="51503" spans="1:6" x14ac:dyDescent="0.25">
      <c r="A51503"/>
      <c r="B51503"/>
      <c r="C51503"/>
      <c r="E51503"/>
      <c r="F51503"/>
    </row>
    <row r="51504" spans="1:6" x14ac:dyDescent="0.25">
      <c r="A51504"/>
      <c r="B51504"/>
      <c r="C51504"/>
      <c r="E51504"/>
      <c r="F51504"/>
    </row>
    <row r="51505" spans="1:6" x14ac:dyDescent="0.25">
      <c r="A51505"/>
      <c r="B51505"/>
      <c r="C51505"/>
      <c r="E51505"/>
      <c r="F51505"/>
    </row>
    <row r="51506" spans="1:6" x14ac:dyDescent="0.25">
      <c r="A51506"/>
      <c r="B51506"/>
      <c r="C51506"/>
      <c r="E51506"/>
      <c r="F51506"/>
    </row>
    <row r="51507" spans="1:6" x14ac:dyDescent="0.25">
      <c r="A51507"/>
      <c r="B51507"/>
      <c r="C51507"/>
      <c r="E51507"/>
      <c r="F51507"/>
    </row>
    <row r="51508" spans="1:6" x14ac:dyDescent="0.25">
      <c r="A51508"/>
      <c r="B51508"/>
      <c r="C51508"/>
      <c r="E51508"/>
      <c r="F51508"/>
    </row>
    <row r="51509" spans="1:6" x14ac:dyDescent="0.25">
      <c r="A51509"/>
      <c r="B51509"/>
      <c r="C51509"/>
      <c r="E51509"/>
      <c r="F51509"/>
    </row>
    <row r="51510" spans="1:6" x14ac:dyDescent="0.25">
      <c r="A51510"/>
      <c r="B51510"/>
      <c r="C51510"/>
      <c r="E51510"/>
      <c r="F51510"/>
    </row>
    <row r="51511" spans="1:6" x14ac:dyDescent="0.25">
      <c r="A51511"/>
      <c r="B51511"/>
      <c r="C51511"/>
      <c r="E51511"/>
      <c r="F51511"/>
    </row>
    <row r="51512" spans="1:6" x14ac:dyDescent="0.25">
      <c r="A51512"/>
      <c r="B51512"/>
      <c r="C51512"/>
      <c r="E51512"/>
      <c r="F51512"/>
    </row>
    <row r="51513" spans="1:6" x14ac:dyDescent="0.25">
      <c r="A51513"/>
      <c r="B51513"/>
      <c r="C51513"/>
      <c r="E51513"/>
      <c r="F51513"/>
    </row>
    <row r="51514" spans="1:6" x14ac:dyDescent="0.25">
      <c r="A51514"/>
      <c r="B51514"/>
      <c r="C51514"/>
      <c r="E51514"/>
      <c r="F51514"/>
    </row>
    <row r="51515" spans="1:6" x14ac:dyDescent="0.25">
      <c r="A51515"/>
      <c r="B51515"/>
      <c r="C51515"/>
      <c r="E51515"/>
      <c r="F51515"/>
    </row>
    <row r="51516" spans="1:6" x14ac:dyDescent="0.25">
      <c r="A51516"/>
      <c r="B51516"/>
      <c r="C51516"/>
      <c r="E51516"/>
      <c r="F51516"/>
    </row>
    <row r="51517" spans="1:6" x14ac:dyDescent="0.25">
      <c r="A51517"/>
      <c r="B51517"/>
      <c r="C51517"/>
      <c r="E51517"/>
      <c r="F51517"/>
    </row>
    <row r="51518" spans="1:6" x14ac:dyDescent="0.25">
      <c r="A51518"/>
      <c r="B51518"/>
      <c r="C51518"/>
      <c r="E51518"/>
      <c r="F51518"/>
    </row>
    <row r="51519" spans="1:6" x14ac:dyDescent="0.25">
      <c r="A51519"/>
      <c r="B51519"/>
      <c r="C51519"/>
      <c r="E51519"/>
      <c r="F51519"/>
    </row>
    <row r="51520" spans="1:6" x14ac:dyDescent="0.25">
      <c r="A51520"/>
      <c r="B51520"/>
      <c r="C51520"/>
      <c r="E51520"/>
      <c r="F51520"/>
    </row>
    <row r="51521" spans="1:6" x14ac:dyDescent="0.25">
      <c r="A51521"/>
      <c r="B51521"/>
      <c r="C51521"/>
      <c r="E51521"/>
      <c r="F51521"/>
    </row>
    <row r="51522" spans="1:6" x14ac:dyDescent="0.25">
      <c r="A51522"/>
      <c r="B51522"/>
      <c r="C51522"/>
      <c r="E51522"/>
      <c r="F51522"/>
    </row>
    <row r="51523" spans="1:6" x14ac:dyDescent="0.25">
      <c r="A51523"/>
      <c r="B51523"/>
      <c r="C51523"/>
      <c r="E51523"/>
      <c r="F51523"/>
    </row>
    <row r="51524" spans="1:6" x14ac:dyDescent="0.25">
      <c r="A51524"/>
      <c r="B51524"/>
      <c r="C51524"/>
      <c r="E51524"/>
      <c r="F51524"/>
    </row>
    <row r="51525" spans="1:6" x14ac:dyDescent="0.25">
      <c r="A51525"/>
      <c r="B51525"/>
      <c r="C51525"/>
      <c r="E51525"/>
      <c r="F51525"/>
    </row>
    <row r="51526" spans="1:6" x14ac:dyDescent="0.25">
      <c r="A51526"/>
      <c r="B51526"/>
      <c r="C51526"/>
      <c r="E51526"/>
      <c r="F51526"/>
    </row>
    <row r="51527" spans="1:6" x14ac:dyDescent="0.25">
      <c r="A51527"/>
      <c r="B51527"/>
      <c r="C51527"/>
      <c r="E51527"/>
      <c r="F51527"/>
    </row>
    <row r="51528" spans="1:6" x14ac:dyDescent="0.25">
      <c r="A51528"/>
      <c r="B51528"/>
      <c r="C51528"/>
      <c r="E51528"/>
      <c r="F51528"/>
    </row>
    <row r="51529" spans="1:6" x14ac:dyDescent="0.25">
      <c r="A51529"/>
      <c r="B51529"/>
      <c r="C51529"/>
      <c r="E51529"/>
      <c r="F51529"/>
    </row>
    <row r="51530" spans="1:6" x14ac:dyDescent="0.25">
      <c r="A51530"/>
      <c r="B51530"/>
      <c r="C51530"/>
      <c r="E51530"/>
      <c r="F51530"/>
    </row>
    <row r="51531" spans="1:6" x14ac:dyDescent="0.25">
      <c r="A51531"/>
      <c r="B51531"/>
      <c r="C51531"/>
      <c r="E51531"/>
      <c r="F51531"/>
    </row>
    <row r="51532" spans="1:6" x14ac:dyDescent="0.25">
      <c r="A51532"/>
      <c r="B51532"/>
      <c r="C51532"/>
      <c r="E51532"/>
      <c r="F51532"/>
    </row>
    <row r="51533" spans="1:6" x14ac:dyDescent="0.25">
      <c r="A51533"/>
      <c r="B51533"/>
      <c r="C51533"/>
      <c r="E51533"/>
      <c r="F51533"/>
    </row>
    <row r="51534" spans="1:6" x14ac:dyDescent="0.25">
      <c r="A51534"/>
      <c r="B51534"/>
      <c r="C51534"/>
      <c r="E51534"/>
      <c r="F51534"/>
    </row>
    <row r="51535" spans="1:6" x14ac:dyDescent="0.25">
      <c r="A51535"/>
      <c r="B51535"/>
      <c r="C51535"/>
      <c r="E51535"/>
      <c r="F51535"/>
    </row>
    <row r="51536" spans="1:6" x14ac:dyDescent="0.25">
      <c r="A51536"/>
      <c r="B51536"/>
      <c r="C51536"/>
      <c r="E51536"/>
      <c r="F51536"/>
    </row>
    <row r="51537" spans="1:6" x14ac:dyDescent="0.25">
      <c r="A51537"/>
      <c r="B51537"/>
      <c r="C51537"/>
      <c r="E51537"/>
      <c r="F51537"/>
    </row>
    <row r="51538" spans="1:6" x14ac:dyDescent="0.25">
      <c r="A51538"/>
      <c r="B51538"/>
      <c r="C51538"/>
      <c r="E51538"/>
      <c r="F51538"/>
    </row>
    <row r="51539" spans="1:6" x14ac:dyDescent="0.25">
      <c r="A51539"/>
      <c r="B51539"/>
      <c r="C51539"/>
      <c r="E51539"/>
      <c r="F51539"/>
    </row>
    <row r="51540" spans="1:6" x14ac:dyDescent="0.25">
      <c r="A51540"/>
      <c r="B51540"/>
      <c r="C51540"/>
      <c r="E51540"/>
      <c r="F51540"/>
    </row>
    <row r="51541" spans="1:6" x14ac:dyDescent="0.25">
      <c r="A51541"/>
      <c r="B51541"/>
      <c r="C51541"/>
      <c r="E51541"/>
      <c r="F51541"/>
    </row>
    <row r="51542" spans="1:6" x14ac:dyDescent="0.25">
      <c r="A51542"/>
      <c r="B51542"/>
      <c r="C51542"/>
      <c r="E51542"/>
      <c r="F51542"/>
    </row>
    <row r="51543" spans="1:6" x14ac:dyDescent="0.25">
      <c r="A51543"/>
      <c r="B51543"/>
      <c r="C51543"/>
      <c r="E51543"/>
      <c r="F51543"/>
    </row>
    <row r="51544" spans="1:6" x14ac:dyDescent="0.25">
      <c r="A51544"/>
      <c r="B51544"/>
      <c r="C51544"/>
      <c r="E51544"/>
      <c r="F51544"/>
    </row>
    <row r="51545" spans="1:6" x14ac:dyDescent="0.25">
      <c r="A51545"/>
      <c r="B51545"/>
      <c r="C51545"/>
      <c r="E51545"/>
      <c r="F51545"/>
    </row>
    <row r="51546" spans="1:6" x14ac:dyDescent="0.25">
      <c r="A51546"/>
      <c r="B51546"/>
      <c r="C51546"/>
      <c r="E51546"/>
      <c r="F51546"/>
    </row>
    <row r="51547" spans="1:6" x14ac:dyDescent="0.25">
      <c r="A51547"/>
      <c r="B51547"/>
      <c r="C51547"/>
      <c r="E51547"/>
      <c r="F51547"/>
    </row>
    <row r="51548" spans="1:6" x14ac:dyDescent="0.25">
      <c r="A51548"/>
      <c r="B51548"/>
      <c r="C51548"/>
      <c r="E51548"/>
      <c r="F51548"/>
    </row>
    <row r="51549" spans="1:6" x14ac:dyDescent="0.25">
      <c r="A51549"/>
      <c r="B51549"/>
      <c r="C51549"/>
      <c r="E51549"/>
      <c r="F51549"/>
    </row>
    <row r="51550" spans="1:6" x14ac:dyDescent="0.25">
      <c r="A51550"/>
      <c r="B51550"/>
      <c r="C51550"/>
      <c r="E51550"/>
      <c r="F51550"/>
    </row>
    <row r="51551" spans="1:6" x14ac:dyDescent="0.25">
      <c r="A51551"/>
      <c r="B51551"/>
      <c r="C51551"/>
      <c r="E51551"/>
      <c r="F51551"/>
    </row>
    <row r="51552" spans="1:6" x14ac:dyDescent="0.25">
      <c r="A51552"/>
      <c r="B51552"/>
      <c r="C51552"/>
      <c r="E51552"/>
      <c r="F51552"/>
    </row>
    <row r="51553" spans="1:6" x14ac:dyDescent="0.25">
      <c r="A51553"/>
      <c r="B51553"/>
      <c r="C51553"/>
      <c r="E51553"/>
      <c r="F51553"/>
    </row>
    <row r="51554" spans="1:6" x14ac:dyDescent="0.25">
      <c r="A51554"/>
      <c r="B51554"/>
      <c r="C51554"/>
      <c r="E51554"/>
      <c r="F51554"/>
    </row>
    <row r="51555" spans="1:6" x14ac:dyDescent="0.25">
      <c r="A51555"/>
      <c r="B51555"/>
      <c r="C51555"/>
      <c r="E51555"/>
      <c r="F51555"/>
    </row>
    <row r="51556" spans="1:6" x14ac:dyDescent="0.25">
      <c r="A51556"/>
      <c r="B51556"/>
      <c r="C51556"/>
      <c r="E51556"/>
      <c r="F51556"/>
    </row>
    <row r="51557" spans="1:6" x14ac:dyDescent="0.25">
      <c r="A51557"/>
      <c r="B51557"/>
      <c r="C51557"/>
      <c r="E51557"/>
      <c r="F51557"/>
    </row>
    <row r="51558" spans="1:6" x14ac:dyDescent="0.25">
      <c r="A51558"/>
      <c r="B51558"/>
      <c r="C51558"/>
      <c r="E51558"/>
      <c r="F51558"/>
    </row>
    <row r="51559" spans="1:6" x14ac:dyDescent="0.25">
      <c r="A51559"/>
      <c r="B51559"/>
      <c r="C51559"/>
      <c r="E51559"/>
      <c r="F51559"/>
    </row>
    <row r="51560" spans="1:6" x14ac:dyDescent="0.25">
      <c r="A51560"/>
      <c r="B51560"/>
      <c r="C51560"/>
      <c r="E51560"/>
      <c r="F51560"/>
    </row>
    <row r="51561" spans="1:6" x14ac:dyDescent="0.25">
      <c r="A51561"/>
      <c r="B51561"/>
      <c r="C51561"/>
      <c r="E51561"/>
      <c r="F51561"/>
    </row>
    <row r="51562" spans="1:6" x14ac:dyDescent="0.25">
      <c r="A51562"/>
      <c r="B51562"/>
      <c r="C51562"/>
      <c r="E51562"/>
      <c r="F51562"/>
    </row>
    <row r="51563" spans="1:6" x14ac:dyDescent="0.25">
      <c r="A51563"/>
      <c r="B51563"/>
      <c r="C51563"/>
      <c r="E51563"/>
      <c r="F51563"/>
    </row>
    <row r="51564" spans="1:6" x14ac:dyDescent="0.25">
      <c r="A51564"/>
      <c r="B51564"/>
      <c r="C51564"/>
      <c r="E51564"/>
      <c r="F51564"/>
    </row>
    <row r="51565" spans="1:6" x14ac:dyDescent="0.25">
      <c r="A51565"/>
      <c r="B51565"/>
      <c r="C51565"/>
      <c r="E51565"/>
      <c r="F51565"/>
    </row>
    <row r="51566" spans="1:6" x14ac:dyDescent="0.25">
      <c r="A51566"/>
      <c r="B51566"/>
      <c r="C51566"/>
      <c r="E51566"/>
      <c r="F51566"/>
    </row>
    <row r="51567" spans="1:6" x14ac:dyDescent="0.25">
      <c r="A51567"/>
      <c r="B51567"/>
      <c r="C51567"/>
      <c r="E51567"/>
      <c r="F51567"/>
    </row>
    <row r="51568" spans="1:6" x14ac:dyDescent="0.25">
      <c r="A51568"/>
      <c r="B51568"/>
      <c r="C51568"/>
      <c r="E51568"/>
      <c r="F51568"/>
    </row>
    <row r="51569" spans="1:6" x14ac:dyDescent="0.25">
      <c r="A51569"/>
      <c r="B51569"/>
      <c r="C51569"/>
      <c r="E51569"/>
      <c r="F51569"/>
    </row>
    <row r="51570" spans="1:6" x14ac:dyDescent="0.25">
      <c r="A51570"/>
      <c r="B51570"/>
      <c r="C51570"/>
      <c r="E51570"/>
      <c r="F51570"/>
    </row>
    <row r="51571" spans="1:6" x14ac:dyDescent="0.25">
      <c r="A51571"/>
      <c r="B51571"/>
      <c r="C51571"/>
      <c r="E51571"/>
      <c r="F51571"/>
    </row>
    <row r="51572" spans="1:6" x14ac:dyDescent="0.25">
      <c r="A51572"/>
      <c r="B51572"/>
      <c r="C51572"/>
      <c r="E51572"/>
      <c r="F51572"/>
    </row>
    <row r="51573" spans="1:6" x14ac:dyDescent="0.25">
      <c r="A51573"/>
      <c r="B51573"/>
      <c r="C51573"/>
      <c r="E51573"/>
      <c r="F51573"/>
    </row>
    <row r="51574" spans="1:6" x14ac:dyDescent="0.25">
      <c r="A51574"/>
      <c r="B51574"/>
      <c r="C51574"/>
      <c r="E51574"/>
      <c r="F51574"/>
    </row>
    <row r="51575" spans="1:6" x14ac:dyDescent="0.25">
      <c r="A51575"/>
      <c r="B51575"/>
      <c r="C51575"/>
      <c r="E51575"/>
      <c r="F51575"/>
    </row>
    <row r="51576" spans="1:6" x14ac:dyDescent="0.25">
      <c r="A51576"/>
      <c r="B51576"/>
      <c r="C51576"/>
      <c r="E51576"/>
      <c r="F51576"/>
    </row>
    <row r="51577" spans="1:6" x14ac:dyDescent="0.25">
      <c r="A51577"/>
      <c r="B51577"/>
      <c r="C51577"/>
      <c r="E51577"/>
      <c r="F51577"/>
    </row>
    <row r="51578" spans="1:6" x14ac:dyDescent="0.25">
      <c r="A51578"/>
      <c r="B51578"/>
      <c r="C51578"/>
      <c r="E51578"/>
      <c r="F51578"/>
    </row>
    <row r="51579" spans="1:6" x14ac:dyDescent="0.25">
      <c r="A51579"/>
      <c r="B51579"/>
      <c r="C51579"/>
      <c r="E51579"/>
      <c r="F51579"/>
    </row>
    <row r="51580" spans="1:6" x14ac:dyDescent="0.25">
      <c r="A51580"/>
      <c r="B51580"/>
      <c r="C51580"/>
      <c r="E51580"/>
      <c r="F51580"/>
    </row>
    <row r="51581" spans="1:6" x14ac:dyDescent="0.25">
      <c r="A51581"/>
      <c r="B51581"/>
      <c r="C51581"/>
      <c r="E51581"/>
      <c r="F51581"/>
    </row>
    <row r="51582" spans="1:6" x14ac:dyDescent="0.25">
      <c r="A51582"/>
      <c r="B51582"/>
      <c r="C51582"/>
      <c r="E51582"/>
      <c r="F51582"/>
    </row>
    <row r="51583" spans="1:6" x14ac:dyDescent="0.25">
      <c r="A51583"/>
      <c r="B51583"/>
      <c r="C51583"/>
      <c r="E51583"/>
      <c r="F51583"/>
    </row>
    <row r="51584" spans="1:6" x14ac:dyDescent="0.25">
      <c r="A51584"/>
      <c r="B51584"/>
      <c r="C51584"/>
      <c r="E51584"/>
      <c r="F51584"/>
    </row>
    <row r="51585" spans="1:6" x14ac:dyDescent="0.25">
      <c r="A51585"/>
      <c r="B51585"/>
      <c r="C51585"/>
      <c r="E51585"/>
      <c r="F51585"/>
    </row>
    <row r="51586" spans="1:6" x14ac:dyDescent="0.25">
      <c r="A51586"/>
      <c r="B51586"/>
      <c r="C51586"/>
      <c r="E51586"/>
      <c r="F51586"/>
    </row>
    <row r="51587" spans="1:6" x14ac:dyDescent="0.25">
      <c r="A51587"/>
      <c r="B51587"/>
      <c r="C51587"/>
      <c r="E51587"/>
      <c r="F51587"/>
    </row>
    <row r="51588" spans="1:6" x14ac:dyDescent="0.25">
      <c r="A51588"/>
      <c r="B51588"/>
      <c r="C51588"/>
      <c r="E51588"/>
      <c r="F51588"/>
    </row>
    <row r="51589" spans="1:6" x14ac:dyDescent="0.25">
      <c r="A51589"/>
      <c r="B51589"/>
      <c r="C51589"/>
      <c r="E51589"/>
      <c r="F51589"/>
    </row>
    <row r="51590" spans="1:6" x14ac:dyDescent="0.25">
      <c r="A51590"/>
      <c r="B51590"/>
      <c r="C51590"/>
      <c r="E51590"/>
      <c r="F51590"/>
    </row>
    <row r="51591" spans="1:6" x14ac:dyDescent="0.25">
      <c r="A51591"/>
      <c r="B51591"/>
      <c r="C51591"/>
      <c r="E51591"/>
      <c r="F51591"/>
    </row>
    <row r="51592" spans="1:6" x14ac:dyDescent="0.25">
      <c r="A51592"/>
      <c r="B51592"/>
      <c r="C51592"/>
      <c r="E51592"/>
      <c r="F51592"/>
    </row>
    <row r="51593" spans="1:6" x14ac:dyDescent="0.25">
      <c r="A51593"/>
      <c r="B51593"/>
      <c r="C51593"/>
      <c r="E51593"/>
      <c r="F51593"/>
    </row>
    <row r="51594" spans="1:6" x14ac:dyDescent="0.25">
      <c r="A51594"/>
      <c r="B51594"/>
      <c r="C51594"/>
      <c r="E51594"/>
      <c r="F51594"/>
    </row>
    <row r="51595" spans="1:6" x14ac:dyDescent="0.25">
      <c r="A51595"/>
      <c r="B51595"/>
      <c r="C51595"/>
      <c r="E51595"/>
      <c r="F51595"/>
    </row>
    <row r="51596" spans="1:6" x14ac:dyDescent="0.25">
      <c r="A51596"/>
      <c r="B51596"/>
      <c r="C51596"/>
      <c r="E51596"/>
      <c r="F51596"/>
    </row>
    <row r="51597" spans="1:6" x14ac:dyDescent="0.25">
      <c r="A51597"/>
      <c r="B51597"/>
      <c r="C51597"/>
      <c r="E51597"/>
      <c r="F51597"/>
    </row>
    <row r="51598" spans="1:6" x14ac:dyDescent="0.25">
      <c r="A51598"/>
      <c r="B51598"/>
      <c r="C51598"/>
      <c r="E51598"/>
      <c r="F51598"/>
    </row>
    <row r="51599" spans="1:6" x14ac:dyDescent="0.25">
      <c r="A51599"/>
      <c r="B51599"/>
      <c r="C51599"/>
      <c r="E51599"/>
      <c r="F51599"/>
    </row>
    <row r="51600" spans="1:6" x14ac:dyDescent="0.25">
      <c r="A51600"/>
      <c r="B51600"/>
      <c r="C51600"/>
      <c r="E51600"/>
      <c r="F51600"/>
    </row>
    <row r="51601" spans="1:6" x14ac:dyDescent="0.25">
      <c r="A51601"/>
      <c r="B51601"/>
      <c r="C51601"/>
      <c r="E51601"/>
      <c r="F51601"/>
    </row>
    <row r="51602" spans="1:6" x14ac:dyDescent="0.25">
      <c r="A51602"/>
      <c r="B51602"/>
      <c r="C51602"/>
      <c r="E51602"/>
      <c r="F51602"/>
    </row>
    <row r="51603" spans="1:6" x14ac:dyDescent="0.25">
      <c r="A51603"/>
      <c r="B51603"/>
      <c r="C51603"/>
      <c r="E51603"/>
      <c r="F51603"/>
    </row>
    <row r="51604" spans="1:6" x14ac:dyDescent="0.25">
      <c r="A51604"/>
      <c r="B51604"/>
      <c r="C51604"/>
      <c r="E51604"/>
      <c r="F51604"/>
    </row>
    <row r="51605" spans="1:6" x14ac:dyDescent="0.25">
      <c r="A51605"/>
      <c r="B51605"/>
      <c r="C51605"/>
      <c r="E51605"/>
      <c r="F51605"/>
    </row>
    <row r="51606" spans="1:6" x14ac:dyDescent="0.25">
      <c r="A51606"/>
      <c r="B51606"/>
      <c r="C51606"/>
      <c r="E51606"/>
      <c r="F51606"/>
    </row>
    <row r="51607" spans="1:6" x14ac:dyDescent="0.25">
      <c r="A51607"/>
      <c r="B51607"/>
      <c r="C51607"/>
      <c r="E51607"/>
      <c r="F51607"/>
    </row>
    <row r="51608" spans="1:6" x14ac:dyDescent="0.25">
      <c r="A51608"/>
      <c r="B51608"/>
      <c r="C51608"/>
      <c r="E51608"/>
      <c r="F51608"/>
    </row>
    <row r="51609" spans="1:6" x14ac:dyDescent="0.25">
      <c r="A51609"/>
      <c r="B51609"/>
      <c r="C51609"/>
      <c r="E51609"/>
      <c r="F51609"/>
    </row>
    <row r="51610" spans="1:6" x14ac:dyDescent="0.25">
      <c r="A51610"/>
      <c r="B51610"/>
      <c r="C51610"/>
      <c r="E51610"/>
      <c r="F51610"/>
    </row>
    <row r="51611" spans="1:6" x14ac:dyDescent="0.25">
      <c r="A51611"/>
      <c r="B51611"/>
      <c r="C51611"/>
      <c r="E51611"/>
      <c r="F51611"/>
    </row>
    <row r="51612" spans="1:6" x14ac:dyDescent="0.25">
      <c r="A51612"/>
      <c r="B51612"/>
      <c r="C51612"/>
      <c r="E51612"/>
      <c r="F51612"/>
    </row>
    <row r="51613" spans="1:6" x14ac:dyDescent="0.25">
      <c r="A51613"/>
      <c r="B51613"/>
      <c r="C51613"/>
      <c r="E51613"/>
      <c r="F51613"/>
    </row>
    <row r="51614" spans="1:6" x14ac:dyDescent="0.25">
      <c r="A51614"/>
      <c r="B51614"/>
      <c r="C51614"/>
      <c r="E51614"/>
      <c r="F51614"/>
    </row>
    <row r="51615" spans="1:6" x14ac:dyDescent="0.25">
      <c r="A51615"/>
      <c r="B51615"/>
      <c r="C51615"/>
      <c r="E51615"/>
      <c r="F51615"/>
    </row>
    <row r="51616" spans="1:6" x14ac:dyDescent="0.25">
      <c r="A51616"/>
      <c r="B51616"/>
      <c r="C51616"/>
      <c r="E51616"/>
      <c r="F51616"/>
    </row>
    <row r="51617" spans="1:6" x14ac:dyDescent="0.25">
      <c r="A51617"/>
      <c r="B51617"/>
      <c r="C51617"/>
      <c r="E51617"/>
      <c r="F51617"/>
    </row>
    <row r="51618" spans="1:6" x14ac:dyDescent="0.25">
      <c r="A51618"/>
      <c r="B51618"/>
      <c r="C51618"/>
      <c r="E51618"/>
      <c r="F51618"/>
    </row>
    <row r="51619" spans="1:6" x14ac:dyDescent="0.25">
      <c r="A51619"/>
      <c r="B51619"/>
      <c r="C51619"/>
      <c r="E51619"/>
      <c r="F51619"/>
    </row>
    <row r="51620" spans="1:6" x14ac:dyDescent="0.25">
      <c r="A51620"/>
      <c r="B51620"/>
      <c r="C51620"/>
      <c r="E51620"/>
      <c r="F51620"/>
    </row>
    <row r="51621" spans="1:6" x14ac:dyDescent="0.25">
      <c r="A51621"/>
      <c r="B51621"/>
      <c r="C51621"/>
      <c r="E51621"/>
      <c r="F51621"/>
    </row>
    <row r="51622" spans="1:6" x14ac:dyDescent="0.25">
      <c r="A51622"/>
      <c r="B51622"/>
      <c r="C51622"/>
      <c r="E51622"/>
      <c r="F51622"/>
    </row>
    <row r="51623" spans="1:6" x14ac:dyDescent="0.25">
      <c r="A51623"/>
      <c r="B51623"/>
      <c r="C51623"/>
      <c r="E51623"/>
      <c r="F51623"/>
    </row>
    <row r="51624" spans="1:6" x14ac:dyDescent="0.25">
      <c r="A51624"/>
      <c r="B51624"/>
      <c r="C51624"/>
      <c r="E51624"/>
      <c r="F51624"/>
    </row>
    <row r="51625" spans="1:6" x14ac:dyDescent="0.25">
      <c r="A51625"/>
      <c r="B51625"/>
      <c r="C51625"/>
      <c r="E51625"/>
      <c r="F51625"/>
    </row>
    <row r="51626" spans="1:6" x14ac:dyDescent="0.25">
      <c r="A51626"/>
      <c r="B51626"/>
      <c r="C51626"/>
      <c r="E51626"/>
      <c r="F51626"/>
    </row>
    <row r="51627" spans="1:6" x14ac:dyDescent="0.25">
      <c r="A51627"/>
      <c r="B51627"/>
      <c r="C51627"/>
      <c r="E51627"/>
      <c r="F51627"/>
    </row>
    <row r="51628" spans="1:6" x14ac:dyDescent="0.25">
      <c r="A51628"/>
      <c r="B51628"/>
      <c r="C51628"/>
      <c r="E51628"/>
      <c r="F51628"/>
    </row>
    <row r="51629" spans="1:6" x14ac:dyDescent="0.25">
      <c r="A51629"/>
      <c r="B51629"/>
      <c r="C51629"/>
      <c r="E51629"/>
      <c r="F51629"/>
    </row>
    <row r="51630" spans="1:6" x14ac:dyDescent="0.25">
      <c r="A51630"/>
      <c r="B51630"/>
      <c r="C51630"/>
      <c r="E51630"/>
      <c r="F51630"/>
    </row>
    <row r="51631" spans="1:6" x14ac:dyDescent="0.25">
      <c r="A51631"/>
      <c r="B51631"/>
      <c r="C51631"/>
      <c r="E51631"/>
      <c r="F51631"/>
    </row>
    <row r="51632" spans="1:6" x14ac:dyDescent="0.25">
      <c r="A51632"/>
      <c r="B51632"/>
      <c r="C51632"/>
      <c r="E51632"/>
      <c r="F51632"/>
    </row>
    <row r="51633" spans="1:6" x14ac:dyDescent="0.25">
      <c r="A51633"/>
      <c r="B51633"/>
      <c r="C51633"/>
      <c r="E51633"/>
      <c r="F51633"/>
    </row>
    <row r="51634" spans="1:6" x14ac:dyDescent="0.25">
      <c r="A51634"/>
      <c r="B51634"/>
      <c r="C51634"/>
      <c r="E51634"/>
      <c r="F51634"/>
    </row>
    <row r="51635" spans="1:6" x14ac:dyDescent="0.25">
      <c r="A51635"/>
      <c r="B51635"/>
      <c r="C51635"/>
      <c r="E51635"/>
      <c r="F51635"/>
    </row>
    <row r="51636" spans="1:6" x14ac:dyDescent="0.25">
      <c r="A51636"/>
      <c r="B51636"/>
      <c r="C51636"/>
      <c r="E51636"/>
      <c r="F51636"/>
    </row>
    <row r="51637" spans="1:6" x14ac:dyDescent="0.25">
      <c r="A51637"/>
      <c r="B51637"/>
      <c r="C51637"/>
      <c r="E51637"/>
      <c r="F51637"/>
    </row>
    <row r="51638" spans="1:6" x14ac:dyDescent="0.25">
      <c r="A51638"/>
      <c r="B51638"/>
      <c r="C51638"/>
      <c r="E51638"/>
      <c r="F51638"/>
    </row>
    <row r="51639" spans="1:6" x14ac:dyDescent="0.25">
      <c r="A51639"/>
      <c r="B51639"/>
      <c r="C51639"/>
      <c r="E51639"/>
      <c r="F51639"/>
    </row>
    <row r="51640" spans="1:6" x14ac:dyDescent="0.25">
      <c r="A51640"/>
      <c r="B51640"/>
      <c r="C51640"/>
      <c r="E51640"/>
      <c r="F51640"/>
    </row>
    <row r="51641" spans="1:6" x14ac:dyDescent="0.25">
      <c r="A51641"/>
      <c r="B51641"/>
      <c r="C51641"/>
      <c r="E51641"/>
      <c r="F51641"/>
    </row>
    <row r="51642" spans="1:6" x14ac:dyDescent="0.25">
      <c r="A51642"/>
      <c r="B51642"/>
      <c r="C51642"/>
      <c r="E51642"/>
      <c r="F51642"/>
    </row>
    <row r="51643" spans="1:6" x14ac:dyDescent="0.25">
      <c r="A51643"/>
      <c r="B51643"/>
      <c r="C51643"/>
      <c r="E51643"/>
      <c r="F51643"/>
    </row>
    <row r="51644" spans="1:6" x14ac:dyDescent="0.25">
      <c r="A51644"/>
      <c r="B51644"/>
      <c r="C51644"/>
      <c r="E51644"/>
      <c r="F51644"/>
    </row>
    <row r="51645" spans="1:6" x14ac:dyDescent="0.25">
      <c r="A51645"/>
      <c r="B51645"/>
      <c r="C51645"/>
      <c r="E51645"/>
      <c r="F51645"/>
    </row>
    <row r="51646" spans="1:6" x14ac:dyDescent="0.25">
      <c r="A51646"/>
      <c r="B51646"/>
      <c r="C51646"/>
      <c r="E51646"/>
      <c r="F51646"/>
    </row>
    <row r="51647" spans="1:6" x14ac:dyDescent="0.25">
      <c r="A51647"/>
      <c r="B51647"/>
      <c r="C51647"/>
      <c r="E51647"/>
      <c r="F51647"/>
    </row>
    <row r="51648" spans="1:6" x14ac:dyDescent="0.25">
      <c r="A51648"/>
      <c r="B51648"/>
      <c r="C51648"/>
      <c r="E51648"/>
      <c r="F51648"/>
    </row>
    <row r="51649" spans="1:6" x14ac:dyDescent="0.25">
      <c r="A51649"/>
      <c r="B51649"/>
      <c r="C51649"/>
      <c r="E51649"/>
      <c r="F51649"/>
    </row>
    <row r="51650" spans="1:6" x14ac:dyDescent="0.25">
      <c r="A51650"/>
      <c r="B51650"/>
      <c r="C51650"/>
      <c r="E51650"/>
      <c r="F51650"/>
    </row>
    <row r="51651" spans="1:6" x14ac:dyDescent="0.25">
      <c r="A51651"/>
      <c r="B51651"/>
      <c r="C51651"/>
      <c r="E51651"/>
      <c r="F51651"/>
    </row>
    <row r="51652" spans="1:6" x14ac:dyDescent="0.25">
      <c r="A51652"/>
      <c r="B51652"/>
      <c r="C51652"/>
      <c r="E51652"/>
      <c r="F51652"/>
    </row>
    <row r="51653" spans="1:6" x14ac:dyDescent="0.25">
      <c r="A51653"/>
      <c r="B51653"/>
      <c r="C51653"/>
      <c r="E51653"/>
      <c r="F51653"/>
    </row>
    <row r="51654" spans="1:6" x14ac:dyDescent="0.25">
      <c r="A51654"/>
      <c r="B51654"/>
      <c r="C51654"/>
      <c r="E51654"/>
      <c r="F51654"/>
    </row>
    <row r="51655" spans="1:6" x14ac:dyDescent="0.25">
      <c r="A51655"/>
      <c r="B51655"/>
      <c r="C51655"/>
      <c r="E51655"/>
      <c r="F51655"/>
    </row>
    <row r="51656" spans="1:6" x14ac:dyDescent="0.25">
      <c r="A51656"/>
      <c r="B51656"/>
      <c r="C51656"/>
      <c r="E51656"/>
      <c r="F51656"/>
    </row>
    <row r="51657" spans="1:6" x14ac:dyDescent="0.25">
      <c r="A51657"/>
      <c r="B51657"/>
      <c r="C51657"/>
      <c r="E51657"/>
      <c r="F51657"/>
    </row>
    <row r="51658" spans="1:6" x14ac:dyDescent="0.25">
      <c r="A51658"/>
      <c r="B51658"/>
      <c r="C51658"/>
      <c r="E51658"/>
      <c r="F51658"/>
    </row>
    <row r="51659" spans="1:6" x14ac:dyDescent="0.25">
      <c r="A51659"/>
      <c r="B51659"/>
      <c r="C51659"/>
      <c r="E51659"/>
      <c r="F51659"/>
    </row>
    <row r="51660" spans="1:6" x14ac:dyDescent="0.25">
      <c r="A51660"/>
      <c r="B51660"/>
      <c r="C51660"/>
      <c r="E51660"/>
      <c r="F51660"/>
    </row>
    <row r="51661" spans="1:6" x14ac:dyDescent="0.25">
      <c r="A51661"/>
      <c r="B51661"/>
      <c r="C51661"/>
      <c r="E51661"/>
      <c r="F51661"/>
    </row>
    <row r="51662" spans="1:6" x14ac:dyDescent="0.25">
      <c r="A51662"/>
      <c r="B51662"/>
      <c r="C51662"/>
      <c r="E51662"/>
      <c r="F51662"/>
    </row>
    <row r="51663" spans="1:6" x14ac:dyDescent="0.25">
      <c r="A51663"/>
      <c r="B51663"/>
      <c r="C51663"/>
      <c r="E51663"/>
      <c r="F51663"/>
    </row>
    <row r="51664" spans="1:6" x14ac:dyDescent="0.25">
      <c r="A51664"/>
      <c r="B51664"/>
      <c r="C51664"/>
      <c r="E51664"/>
      <c r="F51664"/>
    </row>
    <row r="51665" spans="1:6" x14ac:dyDescent="0.25">
      <c r="A51665"/>
      <c r="B51665"/>
      <c r="C51665"/>
      <c r="E51665"/>
      <c r="F51665"/>
    </row>
    <row r="51666" spans="1:6" x14ac:dyDescent="0.25">
      <c r="A51666"/>
      <c r="B51666"/>
      <c r="C51666"/>
      <c r="E51666"/>
      <c r="F51666"/>
    </row>
    <row r="51667" spans="1:6" x14ac:dyDescent="0.25">
      <c r="A51667"/>
      <c r="B51667"/>
      <c r="C51667"/>
      <c r="E51667"/>
      <c r="F51667"/>
    </row>
    <row r="51668" spans="1:6" x14ac:dyDescent="0.25">
      <c r="A51668"/>
      <c r="B51668"/>
      <c r="C51668"/>
      <c r="E51668"/>
      <c r="F51668"/>
    </row>
    <row r="51669" spans="1:6" x14ac:dyDescent="0.25">
      <c r="A51669"/>
      <c r="B51669"/>
      <c r="C51669"/>
      <c r="E51669"/>
      <c r="F51669"/>
    </row>
    <row r="51670" spans="1:6" x14ac:dyDescent="0.25">
      <c r="A51670"/>
      <c r="B51670"/>
      <c r="C51670"/>
      <c r="E51670"/>
      <c r="F51670"/>
    </row>
    <row r="51671" spans="1:6" x14ac:dyDescent="0.25">
      <c r="A51671"/>
      <c r="B51671"/>
      <c r="C51671"/>
      <c r="E51671"/>
      <c r="F51671"/>
    </row>
    <row r="51672" spans="1:6" x14ac:dyDescent="0.25">
      <c r="A51672"/>
      <c r="B51672"/>
      <c r="C51672"/>
      <c r="E51672"/>
      <c r="F51672"/>
    </row>
    <row r="51673" spans="1:6" x14ac:dyDescent="0.25">
      <c r="A51673"/>
      <c r="B51673"/>
      <c r="C51673"/>
      <c r="E51673"/>
      <c r="F51673"/>
    </row>
    <row r="51674" spans="1:6" x14ac:dyDescent="0.25">
      <c r="A51674"/>
      <c r="B51674"/>
      <c r="C51674"/>
      <c r="E51674"/>
      <c r="F51674"/>
    </row>
    <row r="51675" spans="1:6" x14ac:dyDescent="0.25">
      <c r="A51675"/>
      <c r="B51675"/>
      <c r="C51675"/>
      <c r="E51675"/>
      <c r="F51675"/>
    </row>
    <row r="51676" spans="1:6" x14ac:dyDescent="0.25">
      <c r="A51676"/>
      <c r="B51676"/>
      <c r="C51676"/>
      <c r="E51676"/>
      <c r="F51676"/>
    </row>
    <row r="51677" spans="1:6" x14ac:dyDescent="0.25">
      <c r="A51677"/>
      <c r="B51677"/>
      <c r="C51677"/>
      <c r="E51677"/>
      <c r="F51677"/>
    </row>
    <row r="51678" spans="1:6" x14ac:dyDescent="0.25">
      <c r="A51678"/>
      <c r="B51678"/>
      <c r="C51678"/>
      <c r="E51678"/>
      <c r="F51678"/>
    </row>
    <row r="51679" spans="1:6" x14ac:dyDescent="0.25">
      <c r="A51679"/>
      <c r="B51679"/>
      <c r="C51679"/>
      <c r="E51679"/>
      <c r="F51679"/>
    </row>
    <row r="51680" spans="1:6" x14ac:dyDescent="0.25">
      <c r="A51680"/>
      <c r="B51680"/>
      <c r="C51680"/>
      <c r="E51680"/>
      <c r="F51680"/>
    </row>
    <row r="51681" spans="1:6" x14ac:dyDescent="0.25">
      <c r="A51681"/>
      <c r="B51681"/>
      <c r="C51681"/>
      <c r="E51681"/>
      <c r="F51681"/>
    </row>
    <row r="51682" spans="1:6" x14ac:dyDescent="0.25">
      <c r="A51682"/>
      <c r="B51682"/>
      <c r="C51682"/>
      <c r="E51682"/>
      <c r="F51682"/>
    </row>
    <row r="51683" spans="1:6" x14ac:dyDescent="0.25">
      <c r="A51683"/>
      <c r="B51683"/>
      <c r="C51683"/>
      <c r="E51683"/>
      <c r="F51683"/>
    </row>
    <row r="51684" spans="1:6" x14ac:dyDescent="0.25">
      <c r="A51684"/>
      <c r="B51684"/>
      <c r="C51684"/>
      <c r="E51684"/>
      <c r="F51684"/>
    </row>
    <row r="51685" spans="1:6" x14ac:dyDescent="0.25">
      <c r="A51685"/>
      <c r="B51685"/>
      <c r="C51685"/>
      <c r="E51685"/>
      <c r="F51685"/>
    </row>
    <row r="51686" spans="1:6" x14ac:dyDescent="0.25">
      <c r="A51686"/>
      <c r="B51686"/>
      <c r="C51686"/>
      <c r="E51686"/>
      <c r="F51686"/>
    </row>
    <row r="51687" spans="1:6" x14ac:dyDescent="0.25">
      <c r="A51687"/>
      <c r="B51687"/>
      <c r="C51687"/>
      <c r="E51687"/>
      <c r="F51687"/>
    </row>
    <row r="51688" spans="1:6" x14ac:dyDescent="0.25">
      <c r="A51688"/>
      <c r="B51688"/>
      <c r="C51688"/>
      <c r="E51688"/>
      <c r="F51688"/>
    </row>
    <row r="51689" spans="1:6" x14ac:dyDescent="0.25">
      <c r="A51689"/>
      <c r="B51689"/>
      <c r="C51689"/>
      <c r="E51689"/>
      <c r="F51689"/>
    </row>
    <row r="51690" spans="1:6" x14ac:dyDescent="0.25">
      <c r="A51690"/>
      <c r="B51690"/>
      <c r="C51690"/>
      <c r="E51690"/>
      <c r="F51690"/>
    </row>
    <row r="51691" spans="1:6" x14ac:dyDescent="0.25">
      <c r="A51691"/>
      <c r="B51691"/>
      <c r="C51691"/>
      <c r="E51691"/>
      <c r="F51691"/>
    </row>
    <row r="51692" spans="1:6" x14ac:dyDescent="0.25">
      <c r="A51692"/>
      <c r="B51692"/>
      <c r="C51692"/>
      <c r="E51692"/>
      <c r="F51692"/>
    </row>
    <row r="51693" spans="1:6" x14ac:dyDescent="0.25">
      <c r="A51693"/>
      <c r="B51693"/>
      <c r="C51693"/>
      <c r="E51693"/>
      <c r="F51693"/>
    </row>
    <row r="51694" spans="1:6" x14ac:dyDescent="0.25">
      <c r="A51694"/>
      <c r="B51694"/>
      <c r="C51694"/>
      <c r="E51694"/>
      <c r="F51694"/>
    </row>
    <row r="51695" spans="1:6" x14ac:dyDescent="0.25">
      <c r="A51695"/>
      <c r="B51695"/>
      <c r="C51695"/>
      <c r="E51695"/>
      <c r="F51695"/>
    </row>
    <row r="51696" spans="1:6" x14ac:dyDescent="0.25">
      <c r="A51696"/>
      <c r="B51696"/>
      <c r="C51696"/>
      <c r="E51696"/>
      <c r="F51696"/>
    </row>
    <row r="51697" spans="1:6" x14ac:dyDescent="0.25">
      <c r="A51697"/>
      <c r="B51697"/>
      <c r="C51697"/>
      <c r="E51697"/>
      <c r="F51697"/>
    </row>
    <row r="51698" spans="1:6" x14ac:dyDescent="0.25">
      <c r="A51698"/>
      <c r="B51698"/>
      <c r="C51698"/>
      <c r="E51698"/>
      <c r="F51698"/>
    </row>
    <row r="51699" spans="1:6" x14ac:dyDescent="0.25">
      <c r="A51699"/>
      <c r="B51699"/>
      <c r="C51699"/>
      <c r="E51699"/>
      <c r="F51699"/>
    </row>
    <row r="51700" spans="1:6" x14ac:dyDescent="0.25">
      <c r="A51700"/>
      <c r="B51700"/>
      <c r="C51700"/>
      <c r="E51700"/>
      <c r="F51700"/>
    </row>
    <row r="51701" spans="1:6" x14ac:dyDescent="0.25">
      <c r="A51701"/>
      <c r="B51701"/>
      <c r="C51701"/>
      <c r="E51701"/>
      <c r="F51701"/>
    </row>
    <row r="51702" spans="1:6" x14ac:dyDescent="0.25">
      <c r="A51702"/>
      <c r="B51702"/>
      <c r="C51702"/>
      <c r="E51702"/>
      <c r="F51702"/>
    </row>
    <row r="51703" spans="1:6" x14ac:dyDescent="0.25">
      <c r="A51703"/>
      <c r="B51703"/>
      <c r="C51703"/>
      <c r="E51703"/>
      <c r="F51703"/>
    </row>
    <row r="51704" spans="1:6" x14ac:dyDescent="0.25">
      <c r="A51704"/>
      <c r="B51704"/>
      <c r="C51704"/>
      <c r="E51704"/>
      <c r="F51704"/>
    </row>
    <row r="51705" spans="1:6" x14ac:dyDescent="0.25">
      <c r="A51705"/>
      <c r="B51705"/>
      <c r="C51705"/>
      <c r="E51705"/>
      <c r="F51705"/>
    </row>
    <row r="51706" spans="1:6" x14ac:dyDescent="0.25">
      <c r="A51706"/>
      <c r="B51706"/>
      <c r="C51706"/>
      <c r="E51706"/>
      <c r="F51706"/>
    </row>
    <row r="51707" spans="1:6" x14ac:dyDescent="0.25">
      <c r="A51707"/>
      <c r="B51707"/>
      <c r="C51707"/>
      <c r="E51707"/>
      <c r="F51707"/>
    </row>
    <row r="51708" spans="1:6" x14ac:dyDescent="0.25">
      <c r="A51708"/>
      <c r="B51708"/>
      <c r="C51708"/>
      <c r="E51708"/>
      <c r="F51708"/>
    </row>
    <row r="51709" spans="1:6" x14ac:dyDescent="0.25">
      <c r="A51709"/>
      <c r="B51709"/>
      <c r="C51709"/>
      <c r="E51709"/>
      <c r="F51709"/>
    </row>
    <row r="51710" spans="1:6" x14ac:dyDescent="0.25">
      <c r="A51710"/>
      <c r="B51710"/>
      <c r="C51710"/>
      <c r="E51710"/>
      <c r="F51710"/>
    </row>
    <row r="51711" spans="1:6" x14ac:dyDescent="0.25">
      <c r="A51711"/>
      <c r="B51711"/>
      <c r="C51711"/>
      <c r="E51711"/>
      <c r="F51711"/>
    </row>
    <row r="51712" spans="1:6" x14ac:dyDescent="0.25">
      <c r="A51712"/>
      <c r="B51712"/>
      <c r="C51712"/>
      <c r="E51712"/>
      <c r="F51712"/>
    </row>
    <row r="51713" spans="1:6" x14ac:dyDescent="0.25">
      <c r="A51713"/>
      <c r="B51713"/>
      <c r="C51713"/>
      <c r="E51713"/>
      <c r="F51713"/>
    </row>
    <row r="51714" spans="1:6" x14ac:dyDescent="0.25">
      <c r="A51714"/>
      <c r="B51714"/>
      <c r="C51714"/>
      <c r="E51714"/>
      <c r="F51714"/>
    </row>
    <row r="51715" spans="1:6" x14ac:dyDescent="0.25">
      <c r="A51715"/>
      <c r="B51715"/>
      <c r="C51715"/>
      <c r="E51715"/>
      <c r="F51715"/>
    </row>
    <row r="51716" spans="1:6" x14ac:dyDescent="0.25">
      <c r="A51716"/>
      <c r="B51716"/>
      <c r="C51716"/>
      <c r="E51716"/>
      <c r="F51716"/>
    </row>
    <row r="51717" spans="1:6" x14ac:dyDescent="0.25">
      <c r="A51717"/>
      <c r="B51717"/>
      <c r="C51717"/>
      <c r="E51717"/>
      <c r="F51717"/>
    </row>
    <row r="51718" spans="1:6" x14ac:dyDescent="0.25">
      <c r="A51718"/>
      <c r="B51718"/>
      <c r="C51718"/>
      <c r="E51718"/>
      <c r="F51718"/>
    </row>
    <row r="51719" spans="1:6" x14ac:dyDescent="0.25">
      <c r="A51719"/>
      <c r="B51719"/>
      <c r="C51719"/>
      <c r="E51719"/>
      <c r="F51719"/>
    </row>
    <row r="51720" spans="1:6" x14ac:dyDescent="0.25">
      <c r="A51720"/>
      <c r="B51720"/>
      <c r="C51720"/>
      <c r="E51720"/>
      <c r="F51720"/>
    </row>
    <row r="51721" spans="1:6" x14ac:dyDescent="0.25">
      <c r="A51721"/>
      <c r="B51721"/>
      <c r="C51721"/>
      <c r="E51721"/>
      <c r="F51721"/>
    </row>
    <row r="51722" spans="1:6" x14ac:dyDescent="0.25">
      <c r="A51722"/>
      <c r="B51722"/>
      <c r="C51722"/>
      <c r="E51722"/>
      <c r="F51722"/>
    </row>
    <row r="51723" spans="1:6" x14ac:dyDescent="0.25">
      <c r="A51723"/>
      <c r="B51723"/>
      <c r="C51723"/>
      <c r="E51723"/>
      <c r="F51723"/>
    </row>
    <row r="51724" spans="1:6" x14ac:dyDescent="0.25">
      <c r="A51724"/>
      <c r="B51724"/>
      <c r="C51724"/>
      <c r="E51724"/>
      <c r="F51724"/>
    </row>
    <row r="51725" spans="1:6" x14ac:dyDescent="0.25">
      <c r="A51725"/>
      <c r="B51725"/>
      <c r="C51725"/>
      <c r="E51725"/>
      <c r="F51725"/>
    </row>
    <row r="51726" spans="1:6" x14ac:dyDescent="0.25">
      <c r="A51726"/>
      <c r="B51726"/>
      <c r="C51726"/>
      <c r="E51726"/>
      <c r="F51726"/>
    </row>
    <row r="51727" spans="1:6" x14ac:dyDescent="0.25">
      <c r="A51727"/>
      <c r="B51727"/>
      <c r="C51727"/>
      <c r="E51727"/>
      <c r="F51727"/>
    </row>
    <row r="51728" spans="1:6" x14ac:dyDescent="0.25">
      <c r="A51728"/>
      <c r="B51728"/>
      <c r="C51728"/>
      <c r="E51728"/>
      <c r="F51728"/>
    </row>
    <row r="51729" spans="1:6" x14ac:dyDescent="0.25">
      <c r="A51729"/>
      <c r="B51729"/>
      <c r="C51729"/>
      <c r="E51729"/>
      <c r="F51729"/>
    </row>
    <row r="51730" spans="1:6" x14ac:dyDescent="0.25">
      <c r="A51730"/>
      <c r="B51730"/>
      <c r="C51730"/>
      <c r="E51730"/>
      <c r="F51730"/>
    </row>
    <row r="51731" spans="1:6" x14ac:dyDescent="0.25">
      <c r="A51731"/>
      <c r="B51731"/>
      <c r="C51731"/>
      <c r="E51731"/>
      <c r="F51731"/>
    </row>
    <row r="51732" spans="1:6" x14ac:dyDescent="0.25">
      <c r="A51732"/>
      <c r="B51732"/>
      <c r="C51732"/>
      <c r="E51732"/>
      <c r="F51732"/>
    </row>
    <row r="51733" spans="1:6" x14ac:dyDescent="0.25">
      <c r="A51733"/>
      <c r="B51733"/>
      <c r="C51733"/>
      <c r="E51733"/>
      <c r="F51733"/>
    </row>
    <row r="51734" spans="1:6" x14ac:dyDescent="0.25">
      <c r="A51734"/>
      <c r="B51734"/>
      <c r="C51734"/>
      <c r="E51734"/>
      <c r="F51734"/>
    </row>
    <row r="51735" spans="1:6" x14ac:dyDescent="0.25">
      <c r="A51735"/>
      <c r="B51735"/>
      <c r="C51735"/>
      <c r="E51735"/>
      <c r="F51735"/>
    </row>
    <row r="51736" spans="1:6" x14ac:dyDescent="0.25">
      <c r="A51736"/>
      <c r="B51736"/>
      <c r="C51736"/>
      <c r="E51736"/>
      <c r="F51736"/>
    </row>
    <row r="51737" spans="1:6" x14ac:dyDescent="0.25">
      <c r="A51737"/>
      <c r="B51737"/>
      <c r="C51737"/>
      <c r="E51737"/>
      <c r="F51737"/>
    </row>
    <row r="51738" spans="1:6" x14ac:dyDescent="0.25">
      <c r="A51738"/>
      <c r="B51738"/>
      <c r="C51738"/>
      <c r="E51738"/>
      <c r="F51738"/>
    </row>
    <row r="51739" spans="1:6" x14ac:dyDescent="0.25">
      <c r="A51739"/>
      <c r="B51739"/>
      <c r="C51739"/>
      <c r="E51739"/>
      <c r="F51739"/>
    </row>
    <row r="51740" spans="1:6" x14ac:dyDescent="0.25">
      <c r="A51740"/>
      <c r="B51740"/>
      <c r="C51740"/>
      <c r="E51740"/>
      <c r="F51740"/>
    </row>
    <row r="51741" spans="1:6" x14ac:dyDescent="0.25">
      <c r="A51741"/>
      <c r="B51741"/>
      <c r="C51741"/>
      <c r="E51741"/>
      <c r="F51741"/>
    </row>
    <row r="51742" spans="1:6" x14ac:dyDescent="0.25">
      <c r="A51742"/>
      <c r="B51742"/>
      <c r="C51742"/>
      <c r="E51742"/>
      <c r="F51742"/>
    </row>
    <row r="51743" spans="1:6" x14ac:dyDescent="0.25">
      <c r="A51743"/>
      <c r="B51743"/>
      <c r="C51743"/>
      <c r="E51743"/>
      <c r="F51743"/>
    </row>
    <row r="51744" spans="1:6" x14ac:dyDescent="0.25">
      <c r="A51744"/>
      <c r="B51744"/>
      <c r="C51744"/>
      <c r="E51744"/>
      <c r="F51744"/>
    </row>
    <row r="51745" spans="1:6" x14ac:dyDescent="0.25">
      <c r="A51745"/>
      <c r="B51745"/>
      <c r="C51745"/>
      <c r="E51745"/>
      <c r="F51745"/>
    </row>
    <row r="51746" spans="1:6" x14ac:dyDescent="0.25">
      <c r="A51746"/>
      <c r="B51746"/>
      <c r="C51746"/>
      <c r="E51746"/>
      <c r="F51746"/>
    </row>
    <row r="51747" spans="1:6" x14ac:dyDescent="0.25">
      <c r="A51747"/>
      <c r="B51747"/>
      <c r="C51747"/>
      <c r="E51747"/>
      <c r="F51747"/>
    </row>
    <row r="51748" spans="1:6" x14ac:dyDescent="0.25">
      <c r="A51748"/>
      <c r="B51748"/>
      <c r="C51748"/>
      <c r="E51748"/>
      <c r="F51748"/>
    </row>
    <row r="51749" spans="1:6" x14ac:dyDescent="0.25">
      <c r="A51749"/>
      <c r="B51749"/>
      <c r="C51749"/>
      <c r="E51749"/>
      <c r="F51749"/>
    </row>
    <row r="51750" spans="1:6" x14ac:dyDescent="0.25">
      <c r="A51750"/>
      <c r="B51750"/>
      <c r="C51750"/>
      <c r="E51750"/>
      <c r="F51750"/>
    </row>
    <row r="51751" spans="1:6" x14ac:dyDescent="0.25">
      <c r="A51751"/>
      <c r="B51751"/>
      <c r="C51751"/>
      <c r="E51751"/>
      <c r="F51751"/>
    </row>
    <row r="51752" spans="1:6" x14ac:dyDescent="0.25">
      <c r="A51752"/>
      <c r="B51752"/>
      <c r="C51752"/>
      <c r="E51752"/>
      <c r="F51752"/>
    </row>
    <row r="51753" spans="1:6" x14ac:dyDescent="0.25">
      <c r="A51753"/>
      <c r="B51753"/>
      <c r="C51753"/>
      <c r="E51753"/>
      <c r="F51753"/>
    </row>
    <row r="51754" spans="1:6" x14ac:dyDescent="0.25">
      <c r="A51754"/>
      <c r="B51754"/>
      <c r="C51754"/>
      <c r="E51754"/>
      <c r="F51754"/>
    </row>
    <row r="51755" spans="1:6" x14ac:dyDescent="0.25">
      <c r="A51755"/>
      <c r="B51755"/>
      <c r="C51755"/>
      <c r="E51755"/>
      <c r="F51755"/>
    </row>
    <row r="51756" spans="1:6" x14ac:dyDescent="0.25">
      <c r="A51756"/>
      <c r="B51756"/>
      <c r="C51756"/>
      <c r="E51756"/>
      <c r="F51756"/>
    </row>
    <row r="51757" spans="1:6" x14ac:dyDescent="0.25">
      <c r="A51757"/>
      <c r="B51757"/>
      <c r="C51757"/>
      <c r="E51757"/>
      <c r="F51757"/>
    </row>
    <row r="51758" spans="1:6" x14ac:dyDescent="0.25">
      <c r="A51758"/>
      <c r="B51758"/>
      <c r="C51758"/>
      <c r="E51758"/>
      <c r="F51758"/>
    </row>
    <row r="51759" spans="1:6" x14ac:dyDescent="0.25">
      <c r="A51759"/>
      <c r="B51759"/>
      <c r="C51759"/>
      <c r="E51759"/>
      <c r="F51759"/>
    </row>
    <row r="51760" spans="1:6" x14ac:dyDescent="0.25">
      <c r="A51760"/>
      <c r="B51760"/>
      <c r="C51760"/>
      <c r="E51760"/>
      <c r="F51760"/>
    </row>
    <row r="51761" spans="1:6" x14ac:dyDescent="0.25">
      <c r="A51761"/>
      <c r="B51761"/>
      <c r="C51761"/>
      <c r="E51761"/>
      <c r="F51761"/>
    </row>
    <row r="51762" spans="1:6" x14ac:dyDescent="0.25">
      <c r="A51762"/>
      <c r="B51762"/>
      <c r="C51762"/>
      <c r="E51762"/>
      <c r="F51762"/>
    </row>
    <row r="51763" spans="1:6" x14ac:dyDescent="0.25">
      <c r="A51763"/>
      <c r="B51763"/>
      <c r="C51763"/>
      <c r="E51763"/>
      <c r="F51763"/>
    </row>
    <row r="51764" spans="1:6" x14ac:dyDescent="0.25">
      <c r="A51764"/>
      <c r="B51764"/>
      <c r="C51764"/>
      <c r="E51764"/>
      <c r="F51764"/>
    </row>
    <row r="51765" spans="1:6" x14ac:dyDescent="0.25">
      <c r="A51765"/>
      <c r="B51765"/>
      <c r="C51765"/>
      <c r="E51765"/>
      <c r="F51765"/>
    </row>
    <row r="51766" spans="1:6" x14ac:dyDescent="0.25">
      <c r="A51766"/>
      <c r="B51766"/>
      <c r="C51766"/>
      <c r="E51766"/>
      <c r="F51766"/>
    </row>
    <row r="51767" spans="1:6" x14ac:dyDescent="0.25">
      <c r="A51767"/>
      <c r="B51767"/>
      <c r="C51767"/>
      <c r="E51767"/>
      <c r="F51767"/>
    </row>
    <row r="51768" spans="1:6" x14ac:dyDescent="0.25">
      <c r="A51768"/>
      <c r="B51768"/>
      <c r="C51768"/>
      <c r="E51768"/>
      <c r="F51768"/>
    </row>
    <row r="51769" spans="1:6" x14ac:dyDescent="0.25">
      <c r="A51769"/>
      <c r="B51769"/>
      <c r="C51769"/>
      <c r="E51769"/>
      <c r="F51769"/>
    </row>
    <row r="51770" spans="1:6" x14ac:dyDescent="0.25">
      <c r="A51770"/>
      <c r="B51770"/>
      <c r="C51770"/>
      <c r="E51770"/>
      <c r="F51770"/>
    </row>
    <row r="51771" spans="1:6" x14ac:dyDescent="0.25">
      <c r="A51771"/>
      <c r="B51771"/>
      <c r="C51771"/>
      <c r="E51771"/>
      <c r="F51771"/>
    </row>
    <row r="51772" spans="1:6" x14ac:dyDescent="0.25">
      <c r="A51772"/>
      <c r="B51772"/>
      <c r="C51772"/>
      <c r="E51772"/>
      <c r="F51772"/>
    </row>
    <row r="51773" spans="1:6" x14ac:dyDescent="0.25">
      <c r="A51773"/>
      <c r="B51773"/>
      <c r="C51773"/>
      <c r="E51773"/>
      <c r="F51773"/>
    </row>
    <row r="51774" spans="1:6" x14ac:dyDescent="0.25">
      <c r="A51774"/>
      <c r="B51774"/>
      <c r="C51774"/>
      <c r="E51774"/>
      <c r="F51774"/>
    </row>
    <row r="51775" spans="1:6" x14ac:dyDescent="0.25">
      <c r="A51775"/>
      <c r="B51775"/>
      <c r="C51775"/>
      <c r="E51775"/>
      <c r="F51775"/>
    </row>
    <row r="51776" spans="1:6" x14ac:dyDescent="0.25">
      <c r="A51776"/>
      <c r="B51776"/>
      <c r="C51776"/>
      <c r="E51776"/>
      <c r="F51776"/>
    </row>
    <row r="51777" spans="1:6" x14ac:dyDescent="0.25">
      <c r="A51777"/>
      <c r="B51777"/>
      <c r="C51777"/>
      <c r="E51777"/>
      <c r="F51777"/>
    </row>
    <row r="51778" spans="1:6" x14ac:dyDescent="0.25">
      <c r="A51778"/>
      <c r="B51778"/>
      <c r="C51778"/>
      <c r="E51778"/>
      <c r="F51778"/>
    </row>
    <row r="51779" spans="1:6" x14ac:dyDescent="0.25">
      <c r="A51779"/>
      <c r="B51779"/>
      <c r="C51779"/>
      <c r="E51779"/>
      <c r="F51779"/>
    </row>
    <row r="51780" spans="1:6" x14ac:dyDescent="0.25">
      <c r="A51780"/>
      <c r="B51780"/>
      <c r="C51780"/>
      <c r="E51780"/>
      <c r="F51780"/>
    </row>
    <row r="51781" spans="1:6" x14ac:dyDescent="0.25">
      <c r="A51781"/>
      <c r="B51781"/>
      <c r="C51781"/>
      <c r="E51781"/>
      <c r="F51781"/>
    </row>
    <row r="51782" spans="1:6" x14ac:dyDescent="0.25">
      <c r="A51782"/>
      <c r="B51782"/>
      <c r="C51782"/>
      <c r="E51782"/>
      <c r="F51782"/>
    </row>
    <row r="51783" spans="1:6" x14ac:dyDescent="0.25">
      <c r="A51783"/>
      <c r="B51783"/>
      <c r="C51783"/>
      <c r="E51783"/>
      <c r="F51783"/>
    </row>
    <row r="51784" spans="1:6" x14ac:dyDescent="0.25">
      <c r="A51784"/>
      <c r="B51784"/>
      <c r="C51784"/>
      <c r="E51784"/>
      <c r="F51784"/>
    </row>
    <row r="51785" spans="1:6" x14ac:dyDescent="0.25">
      <c r="A51785"/>
      <c r="B51785"/>
      <c r="C51785"/>
      <c r="E51785"/>
      <c r="F51785"/>
    </row>
    <row r="51786" spans="1:6" x14ac:dyDescent="0.25">
      <c r="A51786"/>
      <c r="B51786"/>
      <c r="C51786"/>
      <c r="E51786"/>
      <c r="F51786"/>
    </row>
    <row r="51787" spans="1:6" x14ac:dyDescent="0.25">
      <c r="A51787"/>
      <c r="B51787"/>
      <c r="C51787"/>
      <c r="E51787"/>
      <c r="F51787"/>
    </row>
    <row r="51788" spans="1:6" x14ac:dyDescent="0.25">
      <c r="A51788"/>
      <c r="B51788"/>
      <c r="C51788"/>
      <c r="E51788"/>
      <c r="F51788"/>
    </row>
    <row r="51789" spans="1:6" x14ac:dyDescent="0.25">
      <c r="A51789"/>
      <c r="B51789"/>
      <c r="C51789"/>
      <c r="E51789"/>
      <c r="F51789"/>
    </row>
    <row r="51790" spans="1:6" x14ac:dyDescent="0.25">
      <c r="A51790"/>
      <c r="B51790"/>
      <c r="C51790"/>
      <c r="E51790"/>
      <c r="F51790"/>
    </row>
    <row r="51791" spans="1:6" x14ac:dyDescent="0.25">
      <c r="A51791"/>
      <c r="B51791"/>
      <c r="C51791"/>
      <c r="E51791"/>
      <c r="F51791"/>
    </row>
    <row r="51792" spans="1:6" x14ac:dyDescent="0.25">
      <c r="A51792"/>
      <c r="B51792"/>
      <c r="C51792"/>
      <c r="E51792"/>
      <c r="F51792"/>
    </row>
    <row r="51793" spans="1:6" x14ac:dyDescent="0.25">
      <c r="A51793"/>
      <c r="B51793"/>
      <c r="C51793"/>
      <c r="E51793"/>
      <c r="F51793"/>
    </row>
    <row r="51794" spans="1:6" x14ac:dyDescent="0.25">
      <c r="A51794"/>
      <c r="B51794"/>
      <c r="C51794"/>
      <c r="E51794"/>
      <c r="F51794"/>
    </row>
    <row r="51795" spans="1:6" x14ac:dyDescent="0.25">
      <c r="A51795"/>
      <c r="B51795"/>
      <c r="C51795"/>
      <c r="E51795"/>
      <c r="F51795"/>
    </row>
    <row r="51796" spans="1:6" x14ac:dyDescent="0.25">
      <c r="A51796"/>
      <c r="B51796"/>
      <c r="C51796"/>
      <c r="E51796"/>
      <c r="F51796"/>
    </row>
    <row r="51797" spans="1:6" x14ac:dyDescent="0.25">
      <c r="A51797"/>
      <c r="B51797"/>
      <c r="C51797"/>
      <c r="E51797"/>
      <c r="F51797"/>
    </row>
    <row r="51798" spans="1:6" x14ac:dyDescent="0.25">
      <c r="A51798"/>
      <c r="B51798"/>
      <c r="C51798"/>
      <c r="E51798"/>
      <c r="F51798"/>
    </row>
    <row r="51799" spans="1:6" x14ac:dyDescent="0.25">
      <c r="A51799"/>
      <c r="B51799"/>
      <c r="C51799"/>
      <c r="E51799"/>
      <c r="F51799"/>
    </row>
    <row r="51800" spans="1:6" x14ac:dyDescent="0.25">
      <c r="A51800"/>
      <c r="B51800"/>
      <c r="C51800"/>
      <c r="E51800"/>
      <c r="F51800"/>
    </row>
    <row r="51801" spans="1:6" x14ac:dyDescent="0.25">
      <c r="A51801"/>
      <c r="B51801"/>
      <c r="C51801"/>
      <c r="E51801"/>
      <c r="F51801"/>
    </row>
    <row r="51802" spans="1:6" x14ac:dyDescent="0.25">
      <c r="A51802"/>
      <c r="B51802"/>
      <c r="C51802"/>
      <c r="E51802"/>
      <c r="F51802"/>
    </row>
    <row r="51803" spans="1:6" x14ac:dyDescent="0.25">
      <c r="A51803"/>
      <c r="B51803"/>
      <c r="C51803"/>
      <c r="E51803"/>
      <c r="F51803"/>
    </row>
    <row r="51804" spans="1:6" x14ac:dyDescent="0.25">
      <c r="A51804"/>
      <c r="B51804"/>
      <c r="C51804"/>
      <c r="E51804"/>
      <c r="F51804"/>
    </row>
    <row r="51805" spans="1:6" x14ac:dyDescent="0.25">
      <c r="A51805"/>
      <c r="B51805"/>
      <c r="C51805"/>
      <c r="E51805"/>
      <c r="F51805"/>
    </row>
    <row r="51806" spans="1:6" x14ac:dyDescent="0.25">
      <c r="A51806"/>
      <c r="B51806"/>
      <c r="C51806"/>
      <c r="E51806"/>
      <c r="F51806"/>
    </row>
    <row r="51807" spans="1:6" x14ac:dyDescent="0.25">
      <c r="A51807"/>
      <c r="B51807"/>
      <c r="C51807"/>
      <c r="E51807"/>
      <c r="F51807"/>
    </row>
    <row r="51808" spans="1:6" x14ac:dyDescent="0.25">
      <c r="A51808"/>
      <c r="B51808"/>
      <c r="C51808"/>
      <c r="E51808"/>
      <c r="F51808"/>
    </row>
    <row r="51809" spans="1:6" x14ac:dyDescent="0.25">
      <c r="A51809"/>
      <c r="B51809"/>
      <c r="C51809"/>
      <c r="E51809"/>
      <c r="F51809"/>
    </row>
    <row r="51810" spans="1:6" x14ac:dyDescent="0.25">
      <c r="A51810"/>
      <c r="B51810"/>
      <c r="C51810"/>
      <c r="E51810"/>
      <c r="F51810"/>
    </row>
    <row r="51811" spans="1:6" x14ac:dyDescent="0.25">
      <c r="A51811"/>
      <c r="B51811"/>
      <c r="C51811"/>
      <c r="E51811"/>
      <c r="F51811"/>
    </row>
    <row r="51812" spans="1:6" x14ac:dyDescent="0.25">
      <c r="A51812"/>
      <c r="B51812"/>
      <c r="C51812"/>
      <c r="E51812"/>
      <c r="F51812"/>
    </row>
    <row r="51813" spans="1:6" x14ac:dyDescent="0.25">
      <c r="A51813"/>
      <c r="B51813"/>
      <c r="C51813"/>
      <c r="E51813"/>
      <c r="F51813"/>
    </row>
    <row r="51814" spans="1:6" x14ac:dyDescent="0.25">
      <c r="A51814"/>
      <c r="B51814"/>
      <c r="C51814"/>
      <c r="E51814"/>
      <c r="F51814"/>
    </row>
    <row r="51815" spans="1:6" x14ac:dyDescent="0.25">
      <c r="A51815"/>
      <c r="B51815"/>
      <c r="C51815"/>
      <c r="E51815"/>
      <c r="F51815"/>
    </row>
    <row r="51816" spans="1:6" x14ac:dyDescent="0.25">
      <c r="A51816"/>
      <c r="B51816"/>
      <c r="C51816"/>
      <c r="E51816"/>
      <c r="F51816"/>
    </row>
    <row r="51817" spans="1:6" x14ac:dyDescent="0.25">
      <c r="A51817"/>
      <c r="B51817"/>
      <c r="C51817"/>
      <c r="E51817"/>
      <c r="F51817"/>
    </row>
    <row r="51818" spans="1:6" x14ac:dyDescent="0.25">
      <c r="A51818"/>
      <c r="B51818"/>
      <c r="C51818"/>
      <c r="E51818"/>
      <c r="F51818"/>
    </row>
    <row r="51819" spans="1:6" x14ac:dyDescent="0.25">
      <c r="A51819"/>
      <c r="B51819"/>
      <c r="C51819"/>
      <c r="E51819"/>
      <c r="F51819"/>
    </row>
    <row r="51820" spans="1:6" x14ac:dyDescent="0.25">
      <c r="A51820"/>
      <c r="B51820"/>
      <c r="C51820"/>
      <c r="E51820"/>
      <c r="F51820"/>
    </row>
    <row r="51821" spans="1:6" x14ac:dyDescent="0.25">
      <c r="A51821"/>
      <c r="B51821"/>
      <c r="C51821"/>
      <c r="E51821"/>
      <c r="F51821"/>
    </row>
    <row r="51822" spans="1:6" x14ac:dyDescent="0.25">
      <c r="A51822"/>
      <c r="B51822"/>
      <c r="C51822"/>
      <c r="E51822"/>
      <c r="F51822"/>
    </row>
    <row r="51823" spans="1:6" x14ac:dyDescent="0.25">
      <c r="A51823"/>
      <c r="B51823"/>
      <c r="C51823"/>
      <c r="E51823"/>
      <c r="F51823"/>
    </row>
    <row r="51824" spans="1:6" x14ac:dyDescent="0.25">
      <c r="A51824"/>
      <c r="B51824"/>
      <c r="C51824"/>
      <c r="E51824"/>
      <c r="F51824"/>
    </row>
    <row r="51825" spans="1:6" x14ac:dyDescent="0.25">
      <c r="A51825"/>
      <c r="B51825"/>
      <c r="C51825"/>
      <c r="E51825"/>
      <c r="F51825"/>
    </row>
    <row r="51826" spans="1:6" x14ac:dyDescent="0.25">
      <c r="A51826"/>
      <c r="B51826"/>
      <c r="C51826"/>
      <c r="E51826"/>
      <c r="F51826"/>
    </row>
    <row r="51827" spans="1:6" x14ac:dyDescent="0.25">
      <c r="A51827"/>
      <c r="B51827"/>
      <c r="C51827"/>
      <c r="E51827"/>
      <c r="F51827"/>
    </row>
    <row r="51828" spans="1:6" x14ac:dyDescent="0.25">
      <c r="A51828"/>
      <c r="B51828"/>
      <c r="C51828"/>
      <c r="E51828"/>
      <c r="F51828"/>
    </row>
    <row r="51829" spans="1:6" x14ac:dyDescent="0.25">
      <c r="A51829"/>
      <c r="B51829"/>
      <c r="C51829"/>
      <c r="E51829"/>
      <c r="F51829"/>
    </row>
    <row r="51830" spans="1:6" x14ac:dyDescent="0.25">
      <c r="A51830"/>
      <c r="B51830"/>
      <c r="C51830"/>
      <c r="E51830"/>
      <c r="F51830"/>
    </row>
    <row r="51831" spans="1:6" x14ac:dyDescent="0.25">
      <c r="A51831"/>
      <c r="B51831"/>
      <c r="C51831"/>
      <c r="E51831"/>
      <c r="F51831"/>
    </row>
    <row r="51832" spans="1:6" x14ac:dyDescent="0.25">
      <c r="A51832"/>
      <c r="B51832"/>
      <c r="C51832"/>
      <c r="E51832"/>
      <c r="F51832"/>
    </row>
    <row r="51833" spans="1:6" x14ac:dyDescent="0.25">
      <c r="A51833"/>
      <c r="B51833"/>
      <c r="C51833"/>
      <c r="E51833"/>
      <c r="F51833"/>
    </row>
    <row r="51834" spans="1:6" x14ac:dyDescent="0.25">
      <c r="A51834"/>
      <c r="B51834"/>
      <c r="C51834"/>
      <c r="E51834"/>
      <c r="F51834"/>
    </row>
    <row r="51835" spans="1:6" x14ac:dyDescent="0.25">
      <c r="A51835"/>
      <c r="B51835"/>
      <c r="C51835"/>
      <c r="E51835"/>
      <c r="F51835"/>
    </row>
    <row r="51836" spans="1:6" x14ac:dyDescent="0.25">
      <c r="A51836"/>
      <c r="B51836"/>
      <c r="C51836"/>
      <c r="E51836"/>
      <c r="F51836"/>
    </row>
    <row r="51837" spans="1:6" x14ac:dyDescent="0.25">
      <c r="A51837"/>
      <c r="B51837"/>
      <c r="C51837"/>
      <c r="E51837"/>
      <c r="F51837"/>
    </row>
    <row r="51838" spans="1:6" x14ac:dyDescent="0.25">
      <c r="A51838"/>
      <c r="B51838"/>
      <c r="C51838"/>
      <c r="E51838"/>
      <c r="F51838"/>
    </row>
    <row r="51839" spans="1:6" x14ac:dyDescent="0.25">
      <c r="A51839"/>
      <c r="B51839"/>
      <c r="C51839"/>
      <c r="E51839"/>
      <c r="F51839"/>
    </row>
    <row r="51840" spans="1:6" x14ac:dyDescent="0.25">
      <c r="A51840"/>
      <c r="B51840"/>
      <c r="C51840"/>
      <c r="E51840"/>
      <c r="F51840"/>
    </row>
    <row r="51841" spans="1:6" x14ac:dyDescent="0.25">
      <c r="A51841"/>
      <c r="B51841"/>
      <c r="C51841"/>
      <c r="E51841"/>
      <c r="F51841"/>
    </row>
    <row r="51842" spans="1:6" x14ac:dyDescent="0.25">
      <c r="A51842"/>
      <c r="B51842"/>
      <c r="C51842"/>
      <c r="E51842"/>
      <c r="F51842"/>
    </row>
    <row r="51843" spans="1:6" x14ac:dyDescent="0.25">
      <c r="A51843"/>
      <c r="B51843"/>
      <c r="C51843"/>
      <c r="E51843"/>
      <c r="F51843"/>
    </row>
    <row r="51844" spans="1:6" x14ac:dyDescent="0.25">
      <c r="A51844"/>
      <c r="B51844"/>
      <c r="C51844"/>
      <c r="E51844"/>
      <c r="F51844"/>
    </row>
    <row r="51845" spans="1:6" x14ac:dyDescent="0.25">
      <c r="A51845"/>
      <c r="B51845"/>
      <c r="C51845"/>
      <c r="E51845"/>
      <c r="F51845"/>
    </row>
    <row r="51846" spans="1:6" x14ac:dyDescent="0.25">
      <c r="A51846"/>
      <c r="B51846"/>
      <c r="C51846"/>
      <c r="E51846"/>
      <c r="F51846"/>
    </row>
    <row r="51847" spans="1:6" x14ac:dyDescent="0.25">
      <c r="A51847"/>
      <c r="B51847"/>
      <c r="C51847"/>
      <c r="E51847"/>
      <c r="F51847"/>
    </row>
    <row r="51848" spans="1:6" x14ac:dyDescent="0.25">
      <c r="A51848"/>
      <c r="B51848"/>
      <c r="C51848"/>
      <c r="E51848"/>
      <c r="F51848"/>
    </row>
    <row r="51849" spans="1:6" x14ac:dyDescent="0.25">
      <c r="A51849"/>
      <c r="B51849"/>
      <c r="C51849"/>
      <c r="E51849"/>
      <c r="F51849"/>
    </row>
    <row r="51850" spans="1:6" x14ac:dyDescent="0.25">
      <c r="A51850"/>
      <c r="B51850"/>
      <c r="C51850"/>
      <c r="E51850"/>
      <c r="F51850"/>
    </row>
    <row r="51851" spans="1:6" x14ac:dyDescent="0.25">
      <c r="A51851"/>
      <c r="B51851"/>
      <c r="C51851"/>
      <c r="E51851"/>
      <c r="F51851"/>
    </row>
    <row r="51852" spans="1:6" x14ac:dyDescent="0.25">
      <c r="A51852"/>
      <c r="B51852"/>
      <c r="C51852"/>
      <c r="E51852"/>
      <c r="F51852"/>
    </row>
    <row r="51853" spans="1:6" x14ac:dyDescent="0.25">
      <c r="A51853"/>
      <c r="B51853"/>
      <c r="C51853"/>
      <c r="E51853"/>
      <c r="F51853"/>
    </row>
    <row r="51854" spans="1:6" x14ac:dyDescent="0.25">
      <c r="A51854"/>
      <c r="B51854"/>
      <c r="C51854"/>
      <c r="E51854"/>
      <c r="F51854"/>
    </row>
    <row r="51855" spans="1:6" x14ac:dyDescent="0.25">
      <c r="A51855"/>
      <c r="B51855"/>
      <c r="C51855"/>
      <c r="E51855"/>
      <c r="F51855"/>
    </row>
    <row r="51856" spans="1:6" x14ac:dyDescent="0.25">
      <c r="A51856"/>
      <c r="B51856"/>
      <c r="C51856"/>
      <c r="E51856"/>
      <c r="F51856"/>
    </row>
    <row r="51857" spans="1:6" x14ac:dyDescent="0.25">
      <c r="A51857"/>
      <c r="B51857"/>
      <c r="C51857"/>
      <c r="E51857"/>
      <c r="F51857"/>
    </row>
    <row r="51858" spans="1:6" x14ac:dyDescent="0.25">
      <c r="A51858"/>
      <c r="B51858"/>
      <c r="C51858"/>
      <c r="E51858"/>
      <c r="F51858"/>
    </row>
    <row r="51859" spans="1:6" x14ac:dyDescent="0.25">
      <c r="A51859"/>
      <c r="B51859"/>
      <c r="C51859"/>
      <c r="E51859"/>
      <c r="F51859"/>
    </row>
    <row r="51860" spans="1:6" x14ac:dyDescent="0.25">
      <c r="A51860"/>
      <c r="B51860"/>
      <c r="C51860"/>
      <c r="E51860"/>
      <c r="F51860"/>
    </row>
    <row r="51861" spans="1:6" x14ac:dyDescent="0.25">
      <c r="A51861"/>
      <c r="B51861"/>
      <c r="C51861"/>
      <c r="E51861"/>
      <c r="F51861"/>
    </row>
    <row r="51862" spans="1:6" x14ac:dyDescent="0.25">
      <c r="A51862"/>
      <c r="B51862"/>
      <c r="C51862"/>
      <c r="E51862"/>
      <c r="F51862"/>
    </row>
    <row r="51863" spans="1:6" x14ac:dyDescent="0.25">
      <c r="A51863"/>
      <c r="B51863"/>
      <c r="C51863"/>
      <c r="E51863"/>
      <c r="F51863"/>
    </row>
    <row r="51864" spans="1:6" x14ac:dyDescent="0.25">
      <c r="A51864"/>
      <c r="B51864"/>
      <c r="C51864"/>
      <c r="E51864"/>
      <c r="F51864"/>
    </row>
    <row r="51865" spans="1:6" x14ac:dyDescent="0.25">
      <c r="A51865"/>
      <c r="B51865"/>
      <c r="C51865"/>
      <c r="E51865"/>
      <c r="F51865"/>
    </row>
    <row r="51866" spans="1:6" x14ac:dyDescent="0.25">
      <c r="A51866"/>
      <c r="B51866"/>
      <c r="C51866"/>
      <c r="E51866"/>
      <c r="F51866"/>
    </row>
    <row r="51867" spans="1:6" x14ac:dyDescent="0.25">
      <c r="A51867"/>
      <c r="B51867"/>
      <c r="C51867"/>
      <c r="E51867"/>
      <c r="F51867"/>
    </row>
    <row r="51868" spans="1:6" x14ac:dyDescent="0.25">
      <c r="A51868"/>
      <c r="B51868"/>
      <c r="C51868"/>
      <c r="E51868"/>
      <c r="F51868"/>
    </row>
    <row r="51869" spans="1:6" x14ac:dyDescent="0.25">
      <c r="A51869"/>
      <c r="B51869"/>
      <c r="C51869"/>
      <c r="E51869"/>
      <c r="F51869"/>
    </row>
    <row r="51870" spans="1:6" x14ac:dyDescent="0.25">
      <c r="A51870"/>
      <c r="B51870"/>
      <c r="C51870"/>
      <c r="E51870"/>
      <c r="F51870"/>
    </row>
    <row r="51871" spans="1:6" x14ac:dyDescent="0.25">
      <c r="A51871"/>
      <c r="B51871"/>
      <c r="C51871"/>
      <c r="E51871"/>
      <c r="F51871"/>
    </row>
    <row r="51872" spans="1:6" x14ac:dyDescent="0.25">
      <c r="A51872"/>
      <c r="B51872"/>
      <c r="C51872"/>
      <c r="E51872"/>
      <c r="F51872"/>
    </row>
    <row r="51873" spans="1:6" x14ac:dyDescent="0.25">
      <c r="A51873"/>
      <c r="B51873"/>
      <c r="C51873"/>
      <c r="E51873"/>
      <c r="F51873"/>
    </row>
    <row r="51874" spans="1:6" x14ac:dyDescent="0.25">
      <c r="A51874"/>
      <c r="B51874"/>
      <c r="C51874"/>
      <c r="E51874"/>
      <c r="F51874"/>
    </row>
    <row r="51875" spans="1:6" x14ac:dyDescent="0.25">
      <c r="A51875"/>
      <c r="B51875"/>
      <c r="C51875"/>
      <c r="E51875"/>
      <c r="F51875"/>
    </row>
    <row r="51876" spans="1:6" x14ac:dyDescent="0.25">
      <c r="A51876"/>
      <c r="B51876"/>
      <c r="C51876"/>
      <c r="E51876"/>
      <c r="F51876"/>
    </row>
    <row r="51877" spans="1:6" x14ac:dyDescent="0.25">
      <c r="A51877"/>
      <c r="B51877"/>
      <c r="C51877"/>
      <c r="E51877"/>
      <c r="F51877"/>
    </row>
    <row r="51878" spans="1:6" x14ac:dyDescent="0.25">
      <c r="A51878"/>
      <c r="B51878"/>
      <c r="C51878"/>
      <c r="E51878"/>
      <c r="F51878"/>
    </row>
    <row r="51879" spans="1:6" x14ac:dyDescent="0.25">
      <c r="A51879"/>
      <c r="B51879"/>
      <c r="C51879"/>
      <c r="E51879"/>
      <c r="F51879"/>
    </row>
    <row r="51880" spans="1:6" x14ac:dyDescent="0.25">
      <c r="A51880"/>
      <c r="B51880"/>
      <c r="C51880"/>
      <c r="E51880"/>
      <c r="F51880"/>
    </row>
    <row r="51881" spans="1:6" x14ac:dyDescent="0.25">
      <c r="A51881"/>
      <c r="B51881"/>
      <c r="C51881"/>
      <c r="E51881"/>
      <c r="F51881"/>
    </row>
    <row r="51882" spans="1:6" x14ac:dyDescent="0.25">
      <c r="A51882"/>
      <c r="B51882"/>
      <c r="C51882"/>
      <c r="E51882"/>
      <c r="F51882"/>
    </row>
    <row r="51883" spans="1:6" x14ac:dyDescent="0.25">
      <c r="A51883"/>
      <c r="B51883"/>
      <c r="C51883"/>
      <c r="E51883"/>
      <c r="F51883"/>
    </row>
    <row r="51884" spans="1:6" x14ac:dyDescent="0.25">
      <c r="A51884"/>
      <c r="B51884"/>
      <c r="C51884"/>
      <c r="E51884"/>
      <c r="F51884"/>
    </row>
    <row r="51885" spans="1:6" x14ac:dyDescent="0.25">
      <c r="A51885"/>
      <c r="B51885"/>
      <c r="C51885"/>
      <c r="E51885"/>
      <c r="F51885"/>
    </row>
    <row r="51886" spans="1:6" x14ac:dyDescent="0.25">
      <c r="A51886"/>
      <c r="B51886"/>
      <c r="C51886"/>
      <c r="E51886"/>
      <c r="F51886"/>
    </row>
    <row r="51887" spans="1:6" x14ac:dyDescent="0.25">
      <c r="A51887"/>
      <c r="B51887"/>
      <c r="C51887"/>
      <c r="E51887"/>
      <c r="F51887"/>
    </row>
    <row r="51888" spans="1:6" x14ac:dyDescent="0.25">
      <c r="A51888"/>
      <c r="B51888"/>
      <c r="C51888"/>
      <c r="E51888"/>
      <c r="F51888"/>
    </row>
    <row r="51889" spans="1:6" x14ac:dyDescent="0.25">
      <c r="A51889"/>
      <c r="B51889"/>
      <c r="C51889"/>
      <c r="E51889"/>
      <c r="F51889"/>
    </row>
    <row r="51890" spans="1:6" x14ac:dyDescent="0.25">
      <c r="A51890"/>
      <c r="B51890"/>
      <c r="C51890"/>
      <c r="E51890"/>
      <c r="F51890"/>
    </row>
    <row r="51891" spans="1:6" x14ac:dyDescent="0.25">
      <c r="A51891"/>
      <c r="B51891"/>
      <c r="C51891"/>
      <c r="E51891"/>
      <c r="F51891"/>
    </row>
    <row r="51892" spans="1:6" x14ac:dyDescent="0.25">
      <c r="A51892"/>
      <c r="B51892"/>
      <c r="C51892"/>
      <c r="E51892"/>
      <c r="F51892"/>
    </row>
    <row r="51893" spans="1:6" x14ac:dyDescent="0.25">
      <c r="A51893"/>
      <c r="B51893"/>
      <c r="C51893"/>
      <c r="E51893"/>
      <c r="F51893"/>
    </row>
    <row r="51894" spans="1:6" x14ac:dyDescent="0.25">
      <c r="A51894"/>
      <c r="B51894"/>
      <c r="C51894"/>
      <c r="E51894"/>
      <c r="F51894"/>
    </row>
    <row r="51895" spans="1:6" x14ac:dyDescent="0.25">
      <c r="A51895"/>
      <c r="B51895"/>
      <c r="C51895"/>
      <c r="E51895"/>
      <c r="F51895"/>
    </row>
    <row r="51896" spans="1:6" x14ac:dyDescent="0.25">
      <c r="A51896"/>
      <c r="B51896"/>
      <c r="C51896"/>
      <c r="E51896"/>
      <c r="F51896"/>
    </row>
    <row r="51897" spans="1:6" x14ac:dyDescent="0.25">
      <c r="A51897"/>
      <c r="B51897"/>
      <c r="C51897"/>
      <c r="E51897"/>
      <c r="F51897"/>
    </row>
    <row r="51898" spans="1:6" x14ac:dyDescent="0.25">
      <c r="A51898"/>
      <c r="B51898"/>
      <c r="C51898"/>
      <c r="E51898"/>
      <c r="F51898"/>
    </row>
    <row r="51899" spans="1:6" x14ac:dyDescent="0.25">
      <c r="A51899"/>
      <c r="B51899"/>
      <c r="C51899"/>
      <c r="E51899"/>
      <c r="F51899"/>
    </row>
    <row r="51900" spans="1:6" x14ac:dyDescent="0.25">
      <c r="A51900"/>
      <c r="B51900"/>
      <c r="C51900"/>
      <c r="E51900"/>
      <c r="F51900"/>
    </row>
    <row r="51901" spans="1:6" x14ac:dyDescent="0.25">
      <c r="A51901"/>
      <c r="B51901"/>
      <c r="C51901"/>
      <c r="E51901"/>
      <c r="F51901"/>
    </row>
    <row r="51902" spans="1:6" x14ac:dyDescent="0.25">
      <c r="A51902"/>
      <c r="B51902"/>
      <c r="C51902"/>
      <c r="E51902"/>
      <c r="F51902"/>
    </row>
    <row r="51903" spans="1:6" x14ac:dyDescent="0.25">
      <c r="A51903"/>
      <c r="B51903"/>
      <c r="C51903"/>
      <c r="E51903"/>
      <c r="F51903"/>
    </row>
    <row r="51904" spans="1:6" x14ac:dyDescent="0.25">
      <c r="A51904"/>
      <c r="B51904"/>
      <c r="C51904"/>
      <c r="E51904"/>
      <c r="F51904"/>
    </row>
    <row r="51905" spans="1:6" x14ac:dyDescent="0.25">
      <c r="A51905"/>
      <c r="B51905"/>
      <c r="C51905"/>
      <c r="E51905"/>
      <c r="F51905"/>
    </row>
    <row r="51906" spans="1:6" x14ac:dyDescent="0.25">
      <c r="A51906"/>
      <c r="B51906"/>
      <c r="C51906"/>
      <c r="E51906"/>
      <c r="F51906"/>
    </row>
    <row r="51907" spans="1:6" x14ac:dyDescent="0.25">
      <c r="A51907"/>
      <c r="B51907"/>
      <c r="C51907"/>
      <c r="E51907"/>
      <c r="F51907"/>
    </row>
    <row r="51908" spans="1:6" x14ac:dyDescent="0.25">
      <c r="A51908"/>
      <c r="B51908"/>
      <c r="C51908"/>
      <c r="E51908"/>
      <c r="F51908"/>
    </row>
    <row r="51909" spans="1:6" x14ac:dyDescent="0.25">
      <c r="A51909"/>
      <c r="B51909"/>
      <c r="C51909"/>
      <c r="E51909"/>
      <c r="F51909"/>
    </row>
    <row r="51910" spans="1:6" x14ac:dyDescent="0.25">
      <c r="A51910"/>
      <c r="B51910"/>
      <c r="C51910"/>
      <c r="E51910"/>
      <c r="F51910"/>
    </row>
    <row r="51911" spans="1:6" x14ac:dyDescent="0.25">
      <c r="A51911"/>
      <c r="B51911"/>
      <c r="C51911"/>
      <c r="E51911"/>
      <c r="F51911"/>
    </row>
    <row r="51912" spans="1:6" x14ac:dyDescent="0.25">
      <c r="A51912"/>
      <c r="B51912"/>
      <c r="C51912"/>
      <c r="E51912"/>
      <c r="F51912"/>
    </row>
    <row r="51913" spans="1:6" x14ac:dyDescent="0.25">
      <c r="A51913"/>
      <c r="B51913"/>
      <c r="C51913"/>
      <c r="E51913"/>
      <c r="F51913"/>
    </row>
    <row r="51914" spans="1:6" x14ac:dyDescent="0.25">
      <c r="A51914"/>
      <c r="B51914"/>
      <c r="C51914"/>
      <c r="E51914"/>
      <c r="F51914"/>
    </row>
    <row r="51915" spans="1:6" x14ac:dyDescent="0.25">
      <c r="A51915"/>
      <c r="B51915"/>
      <c r="C51915"/>
      <c r="E51915"/>
      <c r="F51915"/>
    </row>
    <row r="51916" spans="1:6" x14ac:dyDescent="0.25">
      <c r="A51916"/>
      <c r="B51916"/>
      <c r="C51916"/>
      <c r="E51916"/>
      <c r="F51916"/>
    </row>
    <row r="51917" spans="1:6" x14ac:dyDescent="0.25">
      <c r="A51917"/>
      <c r="B51917"/>
      <c r="C51917"/>
      <c r="E51917"/>
      <c r="F51917"/>
    </row>
    <row r="51918" spans="1:6" x14ac:dyDescent="0.25">
      <c r="A51918"/>
      <c r="B51918"/>
      <c r="C51918"/>
      <c r="E51918"/>
      <c r="F51918"/>
    </row>
    <row r="51919" spans="1:6" x14ac:dyDescent="0.25">
      <c r="A51919"/>
      <c r="B51919"/>
      <c r="C51919"/>
      <c r="E51919"/>
      <c r="F51919"/>
    </row>
    <row r="51920" spans="1:6" x14ac:dyDescent="0.25">
      <c r="A51920"/>
      <c r="B51920"/>
      <c r="C51920"/>
      <c r="E51920"/>
      <c r="F51920"/>
    </row>
    <row r="51921" spans="1:6" x14ac:dyDescent="0.25">
      <c r="A51921"/>
      <c r="B51921"/>
      <c r="C51921"/>
      <c r="E51921"/>
      <c r="F51921"/>
    </row>
    <row r="51922" spans="1:6" x14ac:dyDescent="0.25">
      <c r="A51922"/>
      <c r="B51922"/>
      <c r="C51922"/>
      <c r="E51922"/>
      <c r="F51922"/>
    </row>
    <row r="51923" spans="1:6" x14ac:dyDescent="0.25">
      <c r="A51923"/>
      <c r="B51923"/>
      <c r="C51923"/>
      <c r="E51923"/>
      <c r="F51923"/>
    </row>
    <row r="51924" spans="1:6" x14ac:dyDescent="0.25">
      <c r="A51924"/>
      <c r="B51924"/>
      <c r="C51924"/>
      <c r="E51924"/>
      <c r="F51924"/>
    </row>
    <row r="51925" spans="1:6" x14ac:dyDescent="0.25">
      <c r="A51925"/>
      <c r="B51925"/>
      <c r="C51925"/>
      <c r="E51925"/>
      <c r="F51925"/>
    </row>
    <row r="51926" spans="1:6" x14ac:dyDescent="0.25">
      <c r="A51926"/>
      <c r="B51926"/>
      <c r="C51926"/>
      <c r="E51926"/>
      <c r="F51926"/>
    </row>
    <row r="51927" spans="1:6" x14ac:dyDescent="0.25">
      <c r="A51927"/>
      <c r="B51927"/>
      <c r="C51927"/>
      <c r="E51927"/>
      <c r="F51927"/>
    </row>
    <row r="51928" spans="1:6" x14ac:dyDescent="0.25">
      <c r="A51928"/>
      <c r="B51928"/>
      <c r="C51928"/>
      <c r="E51928"/>
      <c r="F51928"/>
    </row>
    <row r="51929" spans="1:6" x14ac:dyDescent="0.25">
      <c r="A51929"/>
      <c r="B51929"/>
      <c r="C51929"/>
      <c r="E51929"/>
      <c r="F51929"/>
    </row>
    <row r="51930" spans="1:6" x14ac:dyDescent="0.25">
      <c r="A51930"/>
      <c r="B51930"/>
      <c r="C51930"/>
      <c r="E51930"/>
      <c r="F51930"/>
    </row>
    <row r="51931" spans="1:6" x14ac:dyDescent="0.25">
      <c r="A51931"/>
      <c r="B51931"/>
      <c r="C51931"/>
      <c r="E51931"/>
      <c r="F51931"/>
    </row>
    <row r="51932" spans="1:6" x14ac:dyDescent="0.25">
      <c r="A51932"/>
      <c r="B51932"/>
      <c r="C51932"/>
      <c r="E51932"/>
      <c r="F51932"/>
    </row>
    <row r="51933" spans="1:6" x14ac:dyDescent="0.25">
      <c r="A51933"/>
      <c r="B51933"/>
      <c r="C51933"/>
      <c r="E51933"/>
      <c r="F51933"/>
    </row>
    <row r="51934" spans="1:6" x14ac:dyDescent="0.25">
      <c r="A51934"/>
      <c r="B51934"/>
      <c r="C51934"/>
      <c r="E51934"/>
      <c r="F51934"/>
    </row>
    <row r="51935" spans="1:6" x14ac:dyDescent="0.25">
      <c r="A51935"/>
      <c r="B51935"/>
      <c r="C51935"/>
      <c r="E51935"/>
      <c r="F51935"/>
    </row>
    <row r="51936" spans="1:6" x14ac:dyDescent="0.25">
      <c r="A51936"/>
      <c r="B51936"/>
      <c r="C51936"/>
      <c r="E51936"/>
      <c r="F51936"/>
    </row>
    <row r="51937" spans="1:6" x14ac:dyDescent="0.25">
      <c r="A51937"/>
      <c r="B51937"/>
      <c r="C51937"/>
      <c r="E51937"/>
      <c r="F51937"/>
    </row>
    <row r="51938" spans="1:6" x14ac:dyDescent="0.25">
      <c r="A51938"/>
      <c r="B51938"/>
      <c r="C51938"/>
      <c r="E51938"/>
      <c r="F51938"/>
    </row>
    <row r="51939" spans="1:6" x14ac:dyDescent="0.25">
      <c r="A51939"/>
      <c r="B51939"/>
      <c r="C51939"/>
      <c r="E51939"/>
      <c r="F51939"/>
    </row>
    <row r="51940" spans="1:6" x14ac:dyDescent="0.25">
      <c r="A51940"/>
      <c r="B51940"/>
      <c r="C51940"/>
      <c r="E51940"/>
      <c r="F51940"/>
    </row>
    <row r="51941" spans="1:6" x14ac:dyDescent="0.25">
      <c r="A51941"/>
      <c r="B51941"/>
      <c r="C51941"/>
      <c r="E51941"/>
      <c r="F51941"/>
    </row>
    <row r="51942" spans="1:6" x14ac:dyDescent="0.25">
      <c r="A51942"/>
      <c r="B51942"/>
      <c r="C51942"/>
      <c r="E51942"/>
      <c r="F51942"/>
    </row>
    <row r="51943" spans="1:6" x14ac:dyDescent="0.25">
      <c r="A51943"/>
      <c r="B51943"/>
      <c r="C51943"/>
      <c r="E51943"/>
      <c r="F51943"/>
    </row>
    <row r="51944" spans="1:6" x14ac:dyDescent="0.25">
      <c r="A51944"/>
      <c r="B51944"/>
      <c r="C51944"/>
      <c r="E51944"/>
      <c r="F51944"/>
    </row>
    <row r="51945" spans="1:6" x14ac:dyDescent="0.25">
      <c r="A51945"/>
      <c r="B51945"/>
      <c r="C51945"/>
      <c r="E51945"/>
      <c r="F51945"/>
    </row>
    <row r="51946" spans="1:6" x14ac:dyDescent="0.25">
      <c r="A51946"/>
      <c r="B51946"/>
      <c r="C51946"/>
      <c r="E51946"/>
      <c r="F51946"/>
    </row>
    <row r="51947" spans="1:6" x14ac:dyDescent="0.25">
      <c r="A51947"/>
      <c r="B51947"/>
      <c r="C51947"/>
      <c r="E51947"/>
      <c r="F51947"/>
    </row>
    <row r="51948" spans="1:6" x14ac:dyDescent="0.25">
      <c r="A51948"/>
      <c r="B51948"/>
      <c r="C51948"/>
      <c r="E51948"/>
      <c r="F51948"/>
    </row>
    <row r="51949" spans="1:6" x14ac:dyDescent="0.25">
      <c r="A51949"/>
      <c r="B51949"/>
      <c r="C51949"/>
      <c r="E51949"/>
      <c r="F51949"/>
    </row>
    <row r="51950" spans="1:6" x14ac:dyDescent="0.25">
      <c r="A51950"/>
      <c r="B51950"/>
      <c r="C51950"/>
      <c r="E51950"/>
      <c r="F51950"/>
    </row>
    <row r="51951" spans="1:6" x14ac:dyDescent="0.25">
      <c r="A51951"/>
      <c r="B51951"/>
      <c r="C51951"/>
      <c r="E51951"/>
      <c r="F51951"/>
    </row>
    <row r="51952" spans="1:6" x14ac:dyDescent="0.25">
      <c r="A51952"/>
      <c r="B51952"/>
      <c r="C51952"/>
      <c r="E51952"/>
      <c r="F51952"/>
    </row>
    <row r="51953" spans="1:6" x14ac:dyDescent="0.25">
      <c r="A51953"/>
      <c r="B51953"/>
      <c r="C51953"/>
      <c r="E51953"/>
      <c r="F51953"/>
    </row>
    <row r="51954" spans="1:6" x14ac:dyDescent="0.25">
      <c r="A51954"/>
      <c r="B51954"/>
      <c r="C51954"/>
      <c r="E51954"/>
      <c r="F51954"/>
    </row>
    <row r="51955" spans="1:6" x14ac:dyDescent="0.25">
      <c r="A51955"/>
      <c r="B51955"/>
      <c r="C51955"/>
      <c r="E51955"/>
      <c r="F51955"/>
    </row>
    <row r="51956" spans="1:6" x14ac:dyDescent="0.25">
      <c r="A51956"/>
      <c r="B51956"/>
      <c r="C51956"/>
      <c r="E51956"/>
      <c r="F51956"/>
    </row>
    <row r="51957" spans="1:6" x14ac:dyDescent="0.25">
      <c r="A51957"/>
      <c r="B51957"/>
      <c r="C51957"/>
      <c r="E51957"/>
      <c r="F51957"/>
    </row>
    <row r="51958" spans="1:6" x14ac:dyDescent="0.25">
      <c r="A51958"/>
      <c r="B51958"/>
      <c r="C51958"/>
      <c r="E51958"/>
      <c r="F51958"/>
    </row>
    <row r="51959" spans="1:6" x14ac:dyDescent="0.25">
      <c r="A51959"/>
      <c r="B51959"/>
      <c r="C51959"/>
      <c r="E51959"/>
      <c r="F51959"/>
    </row>
    <row r="51960" spans="1:6" x14ac:dyDescent="0.25">
      <c r="A51960"/>
      <c r="B51960"/>
      <c r="C51960"/>
      <c r="E51960"/>
      <c r="F51960"/>
    </row>
    <row r="51961" spans="1:6" x14ac:dyDescent="0.25">
      <c r="A51961"/>
      <c r="B51961"/>
      <c r="C51961"/>
      <c r="E51961"/>
      <c r="F51961"/>
    </row>
    <row r="51962" spans="1:6" x14ac:dyDescent="0.25">
      <c r="A51962"/>
      <c r="B51962"/>
      <c r="C51962"/>
      <c r="E51962"/>
      <c r="F51962"/>
    </row>
    <row r="51963" spans="1:6" x14ac:dyDescent="0.25">
      <c r="A51963"/>
      <c r="B51963"/>
      <c r="C51963"/>
      <c r="E51963"/>
      <c r="F51963"/>
    </row>
    <row r="51964" spans="1:6" x14ac:dyDescent="0.25">
      <c r="A51964"/>
      <c r="B51964"/>
      <c r="C51964"/>
      <c r="E51964"/>
      <c r="F51964"/>
    </row>
    <row r="51965" spans="1:6" x14ac:dyDescent="0.25">
      <c r="A51965"/>
      <c r="B51965"/>
      <c r="C51965"/>
      <c r="E51965"/>
      <c r="F51965"/>
    </row>
    <row r="51966" spans="1:6" x14ac:dyDescent="0.25">
      <c r="A51966"/>
      <c r="B51966"/>
      <c r="C51966"/>
      <c r="E51966"/>
      <c r="F51966"/>
    </row>
    <row r="51967" spans="1:6" x14ac:dyDescent="0.25">
      <c r="A51967"/>
      <c r="B51967"/>
      <c r="C51967"/>
      <c r="E51967"/>
      <c r="F51967"/>
    </row>
    <row r="51968" spans="1:6" x14ac:dyDescent="0.25">
      <c r="A51968"/>
      <c r="B51968"/>
      <c r="C51968"/>
      <c r="E51968"/>
      <c r="F51968"/>
    </row>
    <row r="51969" spans="1:6" x14ac:dyDescent="0.25">
      <c r="A51969"/>
      <c r="B51969"/>
      <c r="C51969"/>
      <c r="E51969"/>
      <c r="F51969"/>
    </row>
    <row r="51970" spans="1:6" x14ac:dyDescent="0.25">
      <c r="A51970"/>
      <c r="B51970"/>
      <c r="C51970"/>
      <c r="E51970"/>
      <c r="F51970"/>
    </row>
    <row r="51971" spans="1:6" x14ac:dyDescent="0.25">
      <c r="A51971"/>
      <c r="B51971"/>
      <c r="C51971"/>
      <c r="E51971"/>
      <c r="F51971"/>
    </row>
    <row r="51972" spans="1:6" x14ac:dyDescent="0.25">
      <c r="A51972"/>
      <c r="B51972"/>
      <c r="C51972"/>
      <c r="E51972"/>
      <c r="F51972"/>
    </row>
    <row r="51973" spans="1:6" x14ac:dyDescent="0.25">
      <c r="A51973"/>
      <c r="B51973"/>
      <c r="C51973"/>
      <c r="E51973"/>
      <c r="F51973"/>
    </row>
    <row r="51974" spans="1:6" x14ac:dyDescent="0.25">
      <c r="A51974"/>
      <c r="B51974"/>
      <c r="C51974"/>
      <c r="E51974"/>
      <c r="F51974"/>
    </row>
    <row r="51975" spans="1:6" x14ac:dyDescent="0.25">
      <c r="A51975"/>
      <c r="B51975"/>
      <c r="C51975"/>
      <c r="E51975"/>
      <c r="F51975"/>
    </row>
    <row r="51976" spans="1:6" x14ac:dyDescent="0.25">
      <c r="A51976"/>
      <c r="B51976"/>
      <c r="C51976"/>
      <c r="E51976"/>
      <c r="F51976"/>
    </row>
    <row r="51977" spans="1:6" x14ac:dyDescent="0.25">
      <c r="A51977"/>
      <c r="B51977"/>
      <c r="C51977"/>
      <c r="E51977"/>
      <c r="F51977"/>
    </row>
    <row r="51978" spans="1:6" x14ac:dyDescent="0.25">
      <c r="A51978"/>
      <c r="B51978"/>
      <c r="C51978"/>
      <c r="E51978"/>
      <c r="F51978"/>
    </row>
    <row r="51979" spans="1:6" x14ac:dyDescent="0.25">
      <c r="A51979"/>
      <c r="B51979"/>
      <c r="C51979"/>
      <c r="E51979"/>
      <c r="F51979"/>
    </row>
    <row r="51980" spans="1:6" x14ac:dyDescent="0.25">
      <c r="A51980"/>
      <c r="B51980"/>
      <c r="C51980"/>
      <c r="E51980"/>
      <c r="F51980"/>
    </row>
    <row r="51981" spans="1:6" x14ac:dyDescent="0.25">
      <c r="A51981"/>
      <c r="B51981"/>
      <c r="C51981"/>
      <c r="E51981"/>
      <c r="F51981"/>
    </row>
    <row r="51982" spans="1:6" x14ac:dyDescent="0.25">
      <c r="A51982"/>
      <c r="B51982"/>
      <c r="C51982"/>
      <c r="E51982"/>
      <c r="F51982"/>
    </row>
    <row r="51983" spans="1:6" x14ac:dyDescent="0.25">
      <c r="A51983"/>
      <c r="B51983"/>
      <c r="C51983"/>
      <c r="E51983"/>
      <c r="F51983"/>
    </row>
    <row r="51984" spans="1:6" x14ac:dyDescent="0.25">
      <c r="A51984"/>
      <c r="B51984"/>
      <c r="C51984"/>
      <c r="E51984"/>
      <c r="F51984"/>
    </row>
    <row r="51985" spans="1:6" x14ac:dyDescent="0.25">
      <c r="A51985"/>
      <c r="B51985"/>
      <c r="C51985"/>
      <c r="E51985"/>
      <c r="F51985"/>
    </row>
    <row r="51986" spans="1:6" x14ac:dyDescent="0.25">
      <c r="A51986"/>
      <c r="B51986"/>
      <c r="C51986"/>
      <c r="E51986"/>
      <c r="F51986"/>
    </row>
    <row r="51987" spans="1:6" x14ac:dyDescent="0.25">
      <c r="A51987"/>
      <c r="B51987"/>
      <c r="C51987"/>
      <c r="E51987"/>
      <c r="F51987"/>
    </row>
    <row r="51988" spans="1:6" x14ac:dyDescent="0.25">
      <c r="A51988"/>
      <c r="B51988"/>
      <c r="C51988"/>
      <c r="E51988"/>
      <c r="F51988"/>
    </row>
    <row r="51989" spans="1:6" x14ac:dyDescent="0.25">
      <c r="A51989"/>
      <c r="B51989"/>
      <c r="C51989"/>
      <c r="E51989"/>
      <c r="F51989"/>
    </row>
    <row r="51990" spans="1:6" x14ac:dyDescent="0.25">
      <c r="A51990"/>
      <c r="B51990"/>
      <c r="C51990"/>
      <c r="E51990"/>
      <c r="F51990"/>
    </row>
    <row r="51991" spans="1:6" x14ac:dyDescent="0.25">
      <c r="A51991"/>
      <c r="B51991"/>
      <c r="C51991"/>
      <c r="E51991"/>
      <c r="F51991"/>
    </row>
    <row r="51992" spans="1:6" x14ac:dyDescent="0.25">
      <c r="A51992"/>
      <c r="B51992"/>
      <c r="C51992"/>
      <c r="E51992"/>
      <c r="F51992"/>
    </row>
    <row r="51993" spans="1:6" x14ac:dyDescent="0.25">
      <c r="A51993"/>
      <c r="B51993"/>
      <c r="C51993"/>
      <c r="E51993"/>
      <c r="F51993"/>
    </row>
    <row r="51994" spans="1:6" x14ac:dyDescent="0.25">
      <c r="A51994"/>
      <c r="B51994"/>
      <c r="C51994"/>
      <c r="E51994"/>
      <c r="F51994"/>
    </row>
    <row r="51995" spans="1:6" x14ac:dyDescent="0.25">
      <c r="A51995"/>
      <c r="B51995"/>
      <c r="C51995"/>
      <c r="E51995"/>
      <c r="F51995"/>
    </row>
    <row r="51996" spans="1:6" x14ac:dyDescent="0.25">
      <c r="A51996"/>
      <c r="B51996"/>
      <c r="C51996"/>
      <c r="E51996"/>
      <c r="F51996"/>
    </row>
    <row r="51997" spans="1:6" x14ac:dyDescent="0.25">
      <c r="A51997"/>
      <c r="B51997"/>
      <c r="C51997"/>
      <c r="E51997"/>
      <c r="F51997"/>
    </row>
    <row r="51998" spans="1:6" x14ac:dyDescent="0.25">
      <c r="A51998"/>
      <c r="B51998"/>
      <c r="C51998"/>
      <c r="E51998"/>
      <c r="F51998"/>
    </row>
    <row r="51999" spans="1:6" x14ac:dyDescent="0.25">
      <c r="A51999"/>
      <c r="B51999"/>
      <c r="C51999"/>
      <c r="E51999"/>
      <c r="F51999"/>
    </row>
    <row r="52000" spans="1:6" x14ac:dyDescent="0.25">
      <c r="A52000"/>
      <c r="B52000"/>
      <c r="C52000"/>
      <c r="E52000"/>
      <c r="F52000"/>
    </row>
    <row r="52001" spans="1:6" x14ac:dyDescent="0.25">
      <c r="A52001"/>
      <c r="B52001"/>
      <c r="C52001"/>
      <c r="E52001"/>
      <c r="F52001"/>
    </row>
    <row r="52002" spans="1:6" x14ac:dyDescent="0.25">
      <c r="A52002"/>
      <c r="B52002"/>
      <c r="C52002"/>
      <c r="E52002"/>
      <c r="F52002"/>
    </row>
    <row r="52003" spans="1:6" x14ac:dyDescent="0.25">
      <c r="A52003"/>
      <c r="B52003"/>
      <c r="C52003"/>
      <c r="E52003"/>
      <c r="F52003"/>
    </row>
    <row r="52004" spans="1:6" x14ac:dyDescent="0.25">
      <c r="A52004"/>
      <c r="B52004"/>
      <c r="C52004"/>
      <c r="E52004"/>
      <c r="F52004"/>
    </row>
    <row r="52005" spans="1:6" x14ac:dyDescent="0.25">
      <c r="A52005"/>
      <c r="B52005"/>
      <c r="C52005"/>
      <c r="E52005"/>
      <c r="F52005"/>
    </row>
    <row r="52006" spans="1:6" x14ac:dyDescent="0.25">
      <c r="A52006"/>
      <c r="B52006"/>
      <c r="C52006"/>
      <c r="E52006"/>
      <c r="F52006"/>
    </row>
    <row r="52007" spans="1:6" x14ac:dyDescent="0.25">
      <c r="A52007"/>
      <c r="B52007"/>
      <c r="C52007"/>
      <c r="E52007"/>
      <c r="F52007"/>
    </row>
    <row r="52008" spans="1:6" x14ac:dyDescent="0.25">
      <c r="A52008"/>
      <c r="B52008"/>
      <c r="C52008"/>
      <c r="E52008"/>
      <c r="F52008"/>
    </row>
    <row r="52009" spans="1:6" x14ac:dyDescent="0.25">
      <c r="A52009"/>
      <c r="B52009"/>
      <c r="C52009"/>
      <c r="E52009"/>
      <c r="F52009"/>
    </row>
    <row r="52010" spans="1:6" x14ac:dyDescent="0.25">
      <c r="A52010"/>
      <c r="B52010"/>
      <c r="C52010"/>
      <c r="E52010"/>
      <c r="F52010"/>
    </row>
    <row r="52011" spans="1:6" x14ac:dyDescent="0.25">
      <c r="A52011"/>
      <c r="B52011"/>
      <c r="C52011"/>
      <c r="E52011"/>
      <c r="F52011"/>
    </row>
    <row r="52012" spans="1:6" x14ac:dyDescent="0.25">
      <c r="A52012"/>
      <c r="B52012"/>
      <c r="C52012"/>
      <c r="E52012"/>
      <c r="F52012"/>
    </row>
    <row r="52013" spans="1:6" x14ac:dyDescent="0.25">
      <c r="A52013"/>
      <c r="B52013"/>
      <c r="C52013"/>
      <c r="E52013"/>
      <c r="F52013"/>
    </row>
    <row r="52014" spans="1:6" x14ac:dyDescent="0.25">
      <c r="A52014"/>
      <c r="B52014"/>
      <c r="C52014"/>
      <c r="E52014"/>
      <c r="F52014"/>
    </row>
    <row r="52015" spans="1:6" x14ac:dyDescent="0.25">
      <c r="A52015"/>
      <c r="B52015"/>
      <c r="C52015"/>
      <c r="E52015"/>
      <c r="F52015"/>
    </row>
    <row r="52016" spans="1:6" x14ac:dyDescent="0.25">
      <c r="A52016"/>
      <c r="B52016"/>
      <c r="C52016"/>
      <c r="E52016"/>
      <c r="F52016"/>
    </row>
    <row r="52017" spans="1:6" x14ac:dyDescent="0.25">
      <c r="A52017"/>
      <c r="B52017"/>
      <c r="C52017"/>
      <c r="E52017"/>
      <c r="F52017"/>
    </row>
    <row r="52018" spans="1:6" x14ac:dyDescent="0.25">
      <c r="A52018"/>
      <c r="B52018"/>
      <c r="C52018"/>
      <c r="E52018"/>
      <c r="F52018"/>
    </row>
    <row r="52019" spans="1:6" x14ac:dyDescent="0.25">
      <c r="A52019"/>
      <c r="B52019"/>
      <c r="C52019"/>
      <c r="E52019"/>
      <c r="F52019"/>
    </row>
    <row r="52020" spans="1:6" x14ac:dyDescent="0.25">
      <c r="A52020"/>
      <c r="B52020"/>
      <c r="C52020"/>
      <c r="E52020"/>
      <c r="F52020"/>
    </row>
    <row r="52021" spans="1:6" x14ac:dyDescent="0.25">
      <c r="A52021"/>
      <c r="B52021"/>
      <c r="C52021"/>
      <c r="E52021"/>
      <c r="F52021"/>
    </row>
    <row r="52022" spans="1:6" x14ac:dyDescent="0.25">
      <c r="A52022"/>
      <c r="B52022"/>
      <c r="C52022"/>
      <c r="E52022"/>
      <c r="F52022"/>
    </row>
    <row r="52023" spans="1:6" x14ac:dyDescent="0.25">
      <c r="A52023"/>
      <c r="B52023"/>
      <c r="C52023"/>
      <c r="E52023"/>
      <c r="F52023"/>
    </row>
    <row r="52024" spans="1:6" x14ac:dyDescent="0.25">
      <c r="A52024"/>
      <c r="B52024"/>
      <c r="C52024"/>
      <c r="E52024"/>
      <c r="F52024"/>
    </row>
    <row r="52025" spans="1:6" x14ac:dyDescent="0.25">
      <c r="A52025"/>
      <c r="B52025"/>
      <c r="C52025"/>
      <c r="E52025"/>
      <c r="F52025"/>
    </row>
    <row r="52026" spans="1:6" x14ac:dyDescent="0.25">
      <c r="A52026"/>
      <c r="B52026"/>
      <c r="C52026"/>
      <c r="E52026"/>
      <c r="F52026"/>
    </row>
    <row r="52027" spans="1:6" x14ac:dyDescent="0.25">
      <c r="A52027"/>
      <c r="B52027"/>
      <c r="C52027"/>
      <c r="E52027"/>
      <c r="F52027"/>
    </row>
    <row r="52028" spans="1:6" x14ac:dyDescent="0.25">
      <c r="A52028"/>
      <c r="B52028"/>
      <c r="C52028"/>
      <c r="E52028"/>
      <c r="F52028"/>
    </row>
    <row r="52029" spans="1:6" x14ac:dyDescent="0.25">
      <c r="A52029"/>
      <c r="B52029"/>
      <c r="C52029"/>
      <c r="E52029"/>
      <c r="F52029"/>
    </row>
    <row r="52030" spans="1:6" x14ac:dyDescent="0.25">
      <c r="A52030"/>
      <c r="B52030"/>
      <c r="C52030"/>
      <c r="E52030"/>
      <c r="F52030"/>
    </row>
    <row r="52031" spans="1:6" x14ac:dyDescent="0.25">
      <c r="A52031"/>
      <c r="B52031"/>
      <c r="C52031"/>
      <c r="E52031"/>
      <c r="F52031"/>
    </row>
    <row r="52032" spans="1:6" x14ac:dyDescent="0.25">
      <c r="A52032"/>
      <c r="B52032"/>
      <c r="C52032"/>
      <c r="E52032"/>
      <c r="F52032"/>
    </row>
    <row r="52033" spans="1:6" x14ac:dyDescent="0.25">
      <c r="A52033"/>
      <c r="B52033"/>
      <c r="C52033"/>
      <c r="E52033"/>
      <c r="F52033"/>
    </row>
    <row r="52034" spans="1:6" x14ac:dyDescent="0.25">
      <c r="A52034"/>
      <c r="B52034"/>
      <c r="C52034"/>
      <c r="E52034"/>
      <c r="F52034"/>
    </row>
    <row r="52035" spans="1:6" x14ac:dyDescent="0.25">
      <c r="A52035"/>
      <c r="B52035"/>
      <c r="C52035"/>
      <c r="E52035"/>
      <c r="F52035"/>
    </row>
    <row r="52036" spans="1:6" x14ac:dyDescent="0.25">
      <c r="A52036"/>
      <c r="B52036"/>
      <c r="C52036"/>
      <c r="E52036"/>
      <c r="F52036"/>
    </row>
    <row r="52037" spans="1:6" x14ac:dyDescent="0.25">
      <c r="A52037"/>
      <c r="B52037"/>
      <c r="C52037"/>
      <c r="E52037"/>
      <c r="F52037"/>
    </row>
    <row r="52038" spans="1:6" x14ac:dyDescent="0.25">
      <c r="A52038"/>
      <c r="B52038"/>
      <c r="C52038"/>
      <c r="E52038"/>
      <c r="F52038"/>
    </row>
    <row r="52039" spans="1:6" x14ac:dyDescent="0.25">
      <c r="A52039"/>
      <c r="B52039"/>
      <c r="C52039"/>
      <c r="E52039"/>
      <c r="F52039"/>
    </row>
    <row r="52040" spans="1:6" x14ac:dyDescent="0.25">
      <c r="A52040"/>
      <c r="B52040"/>
      <c r="C52040"/>
      <c r="E52040"/>
      <c r="F52040"/>
    </row>
    <row r="52041" spans="1:6" x14ac:dyDescent="0.25">
      <c r="A52041"/>
      <c r="B52041"/>
      <c r="C52041"/>
      <c r="E52041"/>
      <c r="F52041"/>
    </row>
    <row r="52042" spans="1:6" x14ac:dyDescent="0.25">
      <c r="A52042"/>
      <c r="B52042"/>
      <c r="C52042"/>
      <c r="E52042"/>
      <c r="F52042"/>
    </row>
    <row r="52043" spans="1:6" x14ac:dyDescent="0.25">
      <c r="A52043"/>
      <c r="B52043"/>
      <c r="C52043"/>
      <c r="E52043"/>
      <c r="F52043"/>
    </row>
    <row r="52044" spans="1:6" x14ac:dyDescent="0.25">
      <c r="A52044"/>
      <c r="B52044"/>
      <c r="C52044"/>
      <c r="E52044"/>
      <c r="F52044"/>
    </row>
    <row r="52045" spans="1:6" x14ac:dyDescent="0.25">
      <c r="A52045"/>
      <c r="B52045"/>
      <c r="C52045"/>
      <c r="E52045"/>
      <c r="F52045"/>
    </row>
    <row r="52046" spans="1:6" x14ac:dyDescent="0.25">
      <c r="A52046"/>
      <c r="B52046"/>
      <c r="C52046"/>
      <c r="E52046"/>
      <c r="F52046"/>
    </row>
    <row r="52047" spans="1:6" x14ac:dyDescent="0.25">
      <c r="A52047"/>
      <c r="B52047"/>
      <c r="C52047"/>
      <c r="E52047"/>
      <c r="F52047"/>
    </row>
    <row r="52048" spans="1:6" x14ac:dyDescent="0.25">
      <c r="A52048"/>
      <c r="B52048"/>
      <c r="C52048"/>
      <c r="E52048"/>
      <c r="F52048"/>
    </row>
    <row r="52049" spans="1:6" x14ac:dyDescent="0.25">
      <c r="A52049"/>
      <c r="B52049"/>
      <c r="C52049"/>
      <c r="E52049"/>
      <c r="F52049"/>
    </row>
    <row r="52050" spans="1:6" x14ac:dyDescent="0.25">
      <c r="A52050"/>
      <c r="B52050"/>
      <c r="C52050"/>
      <c r="E52050"/>
      <c r="F52050"/>
    </row>
    <row r="52051" spans="1:6" x14ac:dyDescent="0.25">
      <c r="A52051"/>
      <c r="B52051"/>
      <c r="C52051"/>
      <c r="E52051"/>
      <c r="F52051"/>
    </row>
    <row r="52052" spans="1:6" x14ac:dyDescent="0.25">
      <c r="A52052"/>
      <c r="B52052"/>
      <c r="C52052"/>
      <c r="E52052"/>
      <c r="F52052"/>
    </row>
    <row r="52053" spans="1:6" x14ac:dyDescent="0.25">
      <c r="A52053"/>
      <c r="B52053"/>
      <c r="C52053"/>
      <c r="E52053"/>
      <c r="F52053"/>
    </row>
    <row r="52054" spans="1:6" x14ac:dyDescent="0.25">
      <c r="A52054"/>
      <c r="B52054"/>
      <c r="C52054"/>
      <c r="E52054"/>
      <c r="F52054"/>
    </row>
    <row r="52055" spans="1:6" x14ac:dyDescent="0.25">
      <c r="A52055"/>
      <c r="B52055"/>
      <c r="C52055"/>
      <c r="E52055"/>
      <c r="F52055"/>
    </row>
    <row r="52056" spans="1:6" x14ac:dyDescent="0.25">
      <c r="A52056"/>
      <c r="B52056"/>
      <c r="C52056"/>
      <c r="E52056"/>
      <c r="F52056"/>
    </row>
    <row r="52057" spans="1:6" x14ac:dyDescent="0.25">
      <c r="A52057"/>
      <c r="B52057"/>
      <c r="C52057"/>
      <c r="E52057"/>
      <c r="F52057"/>
    </row>
    <row r="52058" spans="1:6" x14ac:dyDescent="0.25">
      <c r="A52058"/>
      <c r="B52058"/>
      <c r="C52058"/>
      <c r="E52058"/>
      <c r="F52058"/>
    </row>
    <row r="52059" spans="1:6" x14ac:dyDescent="0.25">
      <c r="A52059"/>
      <c r="B52059"/>
      <c r="C52059"/>
      <c r="E52059"/>
      <c r="F52059"/>
    </row>
    <row r="52060" spans="1:6" x14ac:dyDescent="0.25">
      <c r="A52060"/>
      <c r="B52060"/>
      <c r="C52060"/>
      <c r="E52060"/>
      <c r="F52060"/>
    </row>
    <row r="52061" spans="1:6" x14ac:dyDescent="0.25">
      <c r="A52061"/>
      <c r="B52061"/>
      <c r="C52061"/>
      <c r="E52061"/>
      <c r="F52061"/>
    </row>
    <row r="52062" spans="1:6" x14ac:dyDescent="0.25">
      <c r="A52062"/>
      <c r="B52062"/>
      <c r="C52062"/>
      <c r="E52062"/>
      <c r="F52062"/>
    </row>
    <row r="52063" spans="1:6" x14ac:dyDescent="0.25">
      <c r="A52063"/>
      <c r="B52063"/>
      <c r="C52063"/>
      <c r="E52063"/>
      <c r="F52063"/>
    </row>
    <row r="52064" spans="1:6" x14ac:dyDescent="0.25">
      <c r="A52064"/>
      <c r="B52064"/>
      <c r="C52064"/>
      <c r="E52064"/>
      <c r="F52064"/>
    </row>
    <row r="52065" spans="1:6" x14ac:dyDescent="0.25">
      <c r="A52065"/>
      <c r="B52065"/>
      <c r="C52065"/>
      <c r="E52065"/>
      <c r="F52065"/>
    </row>
    <row r="52066" spans="1:6" x14ac:dyDescent="0.25">
      <c r="A52066"/>
      <c r="B52066"/>
      <c r="C52066"/>
      <c r="E52066"/>
      <c r="F52066"/>
    </row>
    <row r="52067" spans="1:6" x14ac:dyDescent="0.25">
      <c r="A52067"/>
      <c r="B52067"/>
      <c r="C52067"/>
      <c r="E52067"/>
      <c r="F52067"/>
    </row>
    <row r="52068" spans="1:6" x14ac:dyDescent="0.25">
      <c r="A52068"/>
      <c r="B52068"/>
      <c r="C52068"/>
      <c r="E52068"/>
      <c r="F52068"/>
    </row>
    <row r="52069" spans="1:6" x14ac:dyDescent="0.25">
      <c r="A52069"/>
      <c r="B52069"/>
      <c r="C52069"/>
      <c r="E52069"/>
      <c r="F52069"/>
    </row>
    <row r="52070" spans="1:6" x14ac:dyDescent="0.25">
      <c r="A52070"/>
      <c r="B52070"/>
      <c r="C52070"/>
      <c r="E52070"/>
      <c r="F52070"/>
    </row>
    <row r="52071" spans="1:6" x14ac:dyDescent="0.25">
      <c r="A52071"/>
      <c r="B52071"/>
      <c r="C52071"/>
      <c r="E52071"/>
      <c r="F52071"/>
    </row>
    <row r="52072" spans="1:6" x14ac:dyDescent="0.25">
      <c r="A52072"/>
      <c r="B52072"/>
      <c r="C52072"/>
      <c r="E52072"/>
      <c r="F52072"/>
    </row>
    <row r="52073" spans="1:6" x14ac:dyDescent="0.25">
      <c r="A52073"/>
      <c r="B52073"/>
      <c r="C52073"/>
      <c r="E52073"/>
      <c r="F52073"/>
    </row>
    <row r="52074" spans="1:6" x14ac:dyDescent="0.25">
      <c r="A52074"/>
      <c r="B52074"/>
      <c r="C52074"/>
      <c r="E52074"/>
      <c r="F52074"/>
    </row>
    <row r="52075" spans="1:6" x14ac:dyDescent="0.25">
      <c r="A52075"/>
      <c r="B52075"/>
      <c r="C52075"/>
      <c r="E52075"/>
      <c r="F52075"/>
    </row>
    <row r="52076" spans="1:6" x14ac:dyDescent="0.25">
      <c r="A52076"/>
      <c r="B52076"/>
      <c r="C52076"/>
      <c r="E52076"/>
      <c r="F52076"/>
    </row>
    <row r="52077" spans="1:6" x14ac:dyDescent="0.25">
      <c r="A52077"/>
      <c r="B52077"/>
      <c r="C52077"/>
      <c r="E52077"/>
      <c r="F52077"/>
    </row>
    <row r="52078" spans="1:6" x14ac:dyDescent="0.25">
      <c r="A52078"/>
      <c r="B52078"/>
      <c r="C52078"/>
      <c r="E52078"/>
      <c r="F52078"/>
    </row>
    <row r="52079" spans="1:6" x14ac:dyDescent="0.25">
      <c r="A52079"/>
      <c r="B52079"/>
      <c r="C52079"/>
      <c r="E52079"/>
      <c r="F52079"/>
    </row>
    <row r="52080" spans="1:6" x14ac:dyDescent="0.25">
      <c r="A52080"/>
      <c r="B52080"/>
      <c r="C52080"/>
      <c r="E52080"/>
      <c r="F52080"/>
    </row>
    <row r="52081" spans="1:6" x14ac:dyDescent="0.25">
      <c r="A52081"/>
      <c r="B52081"/>
      <c r="C52081"/>
      <c r="E52081"/>
      <c r="F52081"/>
    </row>
    <row r="52082" spans="1:6" x14ac:dyDescent="0.25">
      <c r="A52082"/>
      <c r="B52082"/>
      <c r="C52082"/>
      <c r="E52082"/>
      <c r="F52082"/>
    </row>
    <row r="52083" spans="1:6" x14ac:dyDescent="0.25">
      <c r="A52083"/>
      <c r="B52083"/>
      <c r="C52083"/>
      <c r="E52083"/>
      <c r="F52083"/>
    </row>
    <row r="52084" spans="1:6" x14ac:dyDescent="0.25">
      <c r="A52084"/>
      <c r="B52084"/>
      <c r="C52084"/>
      <c r="E52084"/>
      <c r="F52084"/>
    </row>
    <row r="52085" spans="1:6" x14ac:dyDescent="0.25">
      <c r="A52085"/>
      <c r="B52085"/>
      <c r="C52085"/>
      <c r="E52085"/>
      <c r="F52085"/>
    </row>
    <row r="52086" spans="1:6" x14ac:dyDescent="0.25">
      <c r="A52086"/>
      <c r="B52086"/>
      <c r="C52086"/>
      <c r="E52086"/>
      <c r="F52086"/>
    </row>
    <row r="52087" spans="1:6" x14ac:dyDescent="0.25">
      <c r="A52087"/>
      <c r="B52087"/>
      <c r="C52087"/>
      <c r="E52087"/>
      <c r="F52087"/>
    </row>
    <row r="52088" spans="1:6" x14ac:dyDescent="0.25">
      <c r="A52088"/>
      <c r="B52088"/>
      <c r="C52088"/>
      <c r="E52088"/>
      <c r="F52088"/>
    </row>
    <row r="52089" spans="1:6" x14ac:dyDescent="0.25">
      <c r="A52089"/>
      <c r="B52089"/>
      <c r="C52089"/>
      <c r="E52089"/>
      <c r="F52089"/>
    </row>
    <row r="52090" spans="1:6" x14ac:dyDescent="0.25">
      <c r="A52090"/>
      <c r="B52090"/>
      <c r="C52090"/>
      <c r="E52090"/>
      <c r="F52090"/>
    </row>
    <row r="52091" spans="1:6" x14ac:dyDescent="0.25">
      <c r="A52091"/>
      <c r="B52091"/>
      <c r="C52091"/>
      <c r="E52091"/>
      <c r="F52091"/>
    </row>
    <row r="52092" spans="1:6" x14ac:dyDescent="0.25">
      <c r="A52092"/>
      <c r="B52092"/>
      <c r="C52092"/>
      <c r="E52092"/>
      <c r="F52092"/>
    </row>
    <row r="52093" spans="1:6" x14ac:dyDescent="0.25">
      <c r="A52093"/>
      <c r="B52093"/>
      <c r="C52093"/>
      <c r="E52093"/>
      <c r="F52093"/>
    </row>
    <row r="52094" spans="1:6" x14ac:dyDescent="0.25">
      <c r="A52094"/>
      <c r="B52094"/>
      <c r="C52094"/>
      <c r="E52094"/>
      <c r="F52094"/>
    </row>
    <row r="52095" spans="1:6" x14ac:dyDescent="0.25">
      <c r="A52095"/>
      <c r="B52095"/>
      <c r="C52095"/>
      <c r="E52095"/>
      <c r="F52095"/>
    </row>
    <row r="52096" spans="1:6" x14ac:dyDescent="0.25">
      <c r="A52096"/>
      <c r="B52096"/>
      <c r="C52096"/>
      <c r="E52096"/>
      <c r="F52096"/>
    </row>
    <row r="52097" spans="1:6" x14ac:dyDescent="0.25">
      <c r="A52097"/>
      <c r="B52097"/>
      <c r="C52097"/>
      <c r="E52097"/>
      <c r="F52097"/>
    </row>
    <row r="52098" spans="1:6" x14ac:dyDescent="0.25">
      <c r="A52098"/>
      <c r="B52098"/>
      <c r="C52098"/>
      <c r="E52098"/>
      <c r="F52098"/>
    </row>
    <row r="52099" spans="1:6" x14ac:dyDescent="0.25">
      <c r="A52099"/>
      <c r="B52099"/>
      <c r="C52099"/>
      <c r="E52099"/>
      <c r="F52099"/>
    </row>
    <row r="52100" spans="1:6" x14ac:dyDescent="0.25">
      <c r="A52100"/>
      <c r="B52100"/>
      <c r="C52100"/>
      <c r="E52100"/>
      <c r="F52100"/>
    </row>
    <row r="52101" spans="1:6" x14ac:dyDescent="0.25">
      <c r="A52101"/>
      <c r="B52101"/>
      <c r="C52101"/>
      <c r="E52101"/>
      <c r="F52101"/>
    </row>
    <row r="52102" spans="1:6" x14ac:dyDescent="0.25">
      <c r="A52102"/>
      <c r="B52102"/>
      <c r="C52102"/>
      <c r="E52102"/>
      <c r="F52102"/>
    </row>
    <row r="52103" spans="1:6" x14ac:dyDescent="0.25">
      <c r="A52103"/>
      <c r="B52103"/>
      <c r="C52103"/>
      <c r="E52103"/>
      <c r="F52103"/>
    </row>
    <row r="52104" spans="1:6" x14ac:dyDescent="0.25">
      <c r="A52104"/>
      <c r="B52104"/>
      <c r="C52104"/>
      <c r="E52104"/>
      <c r="F52104"/>
    </row>
    <row r="52105" spans="1:6" x14ac:dyDescent="0.25">
      <c r="A52105"/>
      <c r="B52105"/>
      <c r="C52105"/>
      <c r="E52105"/>
      <c r="F52105"/>
    </row>
    <row r="52106" spans="1:6" x14ac:dyDescent="0.25">
      <c r="A52106"/>
      <c r="B52106"/>
      <c r="C52106"/>
      <c r="E52106"/>
      <c r="F52106"/>
    </row>
    <row r="52107" spans="1:6" x14ac:dyDescent="0.25">
      <c r="A52107"/>
      <c r="B52107"/>
      <c r="C52107"/>
      <c r="E52107"/>
      <c r="F52107"/>
    </row>
    <row r="52108" spans="1:6" x14ac:dyDescent="0.25">
      <c r="A52108"/>
      <c r="B52108"/>
      <c r="C52108"/>
      <c r="E52108"/>
      <c r="F52108"/>
    </row>
    <row r="52109" spans="1:6" x14ac:dyDescent="0.25">
      <c r="A52109"/>
      <c r="B52109"/>
      <c r="C52109"/>
      <c r="E52109"/>
      <c r="F52109"/>
    </row>
    <row r="52110" spans="1:6" x14ac:dyDescent="0.25">
      <c r="A52110"/>
      <c r="B52110"/>
      <c r="C52110"/>
      <c r="E52110"/>
      <c r="F52110"/>
    </row>
    <row r="52111" spans="1:6" x14ac:dyDescent="0.25">
      <c r="A52111"/>
      <c r="B52111"/>
      <c r="C52111"/>
      <c r="E52111"/>
      <c r="F52111"/>
    </row>
    <row r="52112" spans="1:6" x14ac:dyDescent="0.25">
      <c r="A52112"/>
      <c r="B52112"/>
      <c r="C52112"/>
      <c r="E52112"/>
      <c r="F52112"/>
    </row>
    <row r="52113" spans="1:6" x14ac:dyDescent="0.25">
      <c r="A52113"/>
      <c r="B52113"/>
      <c r="C52113"/>
      <c r="E52113"/>
      <c r="F52113"/>
    </row>
    <row r="52114" spans="1:6" x14ac:dyDescent="0.25">
      <c r="A52114"/>
      <c r="B52114"/>
      <c r="C52114"/>
      <c r="E52114"/>
      <c r="F52114"/>
    </row>
    <row r="52115" spans="1:6" x14ac:dyDescent="0.25">
      <c r="A52115"/>
      <c r="B52115"/>
      <c r="C52115"/>
      <c r="E52115"/>
      <c r="F52115"/>
    </row>
    <row r="52116" spans="1:6" x14ac:dyDescent="0.25">
      <c r="A52116"/>
      <c r="B52116"/>
      <c r="C52116"/>
      <c r="E52116"/>
      <c r="F52116"/>
    </row>
    <row r="52117" spans="1:6" x14ac:dyDescent="0.25">
      <c r="A52117"/>
      <c r="B52117"/>
      <c r="C52117"/>
      <c r="E52117"/>
      <c r="F52117"/>
    </row>
    <row r="52118" spans="1:6" x14ac:dyDescent="0.25">
      <c r="A52118"/>
      <c r="B52118"/>
      <c r="C52118"/>
      <c r="E52118"/>
      <c r="F52118"/>
    </row>
    <row r="52119" spans="1:6" x14ac:dyDescent="0.25">
      <c r="A52119"/>
      <c r="B52119"/>
      <c r="C52119"/>
      <c r="E52119"/>
      <c r="F52119"/>
    </row>
    <row r="52120" spans="1:6" x14ac:dyDescent="0.25">
      <c r="A52120"/>
      <c r="B52120"/>
      <c r="C52120"/>
      <c r="E52120"/>
      <c r="F52120"/>
    </row>
    <row r="52121" spans="1:6" x14ac:dyDescent="0.25">
      <c r="A52121"/>
      <c r="B52121"/>
      <c r="C52121"/>
      <c r="E52121"/>
      <c r="F52121"/>
    </row>
    <row r="52122" spans="1:6" x14ac:dyDescent="0.25">
      <c r="A52122"/>
      <c r="B52122"/>
      <c r="C52122"/>
      <c r="E52122"/>
      <c r="F52122"/>
    </row>
    <row r="52123" spans="1:6" x14ac:dyDescent="0.25">
      <c r="A52123"/>
      <c r="B52123"/>
      <c r="C52123"/>
      <c r="E52123"/>
      <c r="F52123"/>
    </row>
    <row r="52124" spans="1:6" x14ac:dyDescent="0.25">
      <c r="A52124"/>
      <c r="B52124"/>
      <c r="C52124"/>
      <c r="E52124"/>
      <c r="F52124"/>
    </row>
    <row r="52125" spans="1:6" x14ac:dyDescent="0.25">
      <c r="A52125"/>
      <c r="B52125"/>
      <c r="C52125"/>
      <c r="E52125"/>
      <c r="F52125"/>
    </row>
    <row r="52126" spans="1:6" x14ac:dyDescent="0.25">
      <c r="A52126"/>
      <c r="B52126"/>
      <c r="C52126"/>
      <c r="E52126"/>
      <c r="F52126"/>
    </row>
    <row r="52127" spans="1:6" x14ac:dyDescent="0.25">
      <c r="A52127"/>
      <c r="B52127"/>
      <c r="C52127"/>
      <c r="E52127"/>
      <c r="F52127"/>
    </row>
    <row r="52128" spans="1:6" x14ac:dyDescent="0.25">
      <c r="A52128"/>
      <c r="B52128"/>
      <c r="C52128"/>
      <c r="E52128"/>
      <c r="F52128"/>
    </row>
    <row r="52129" spans="1:6" x14ac:dyDescent="0.25">
      <c r="A52129"/>
      <c r="B52129"/>
      <c r="C52129"/>
      <c r="E52129"/>
      <c r="F52129"/>
    </row>
    <row r="52130" spans="1:6" x14ac:dyDescent="0.25">
      <c r="A52130"/>
      <c r="B52130"/>
      <c r="C52130"/>
      <c r="E52130"/>
      <c r="F52130"/>
    </row>
    <row r="52131" spans="1:6" x14ac:dyDescent="0.25">
      <c r="A52131"/>
      <c r="B52131"/>
      <c r="C52131"/>
      <c r="E52131"/>
      <c r="F52131"/>
    </row>
    <row r="52132" spans="1:6" x14ac:dyDescent="0.25">
      <c r="A52132"/>
      <c r="B52132"/>
      <c r="C52132"/>
      <c r="E52132"/>
      <c r="F52132"/>
    </row>
    <row r="52133" spans="1:6" x14ac:dyDescent="0.25">
      <c r="A52133"/>
      <c r="B52133"/>
      <c r="C52133"/>
      <c r="E52133"/>
      <c r="F52133"/>
    </row>
    <row r="52134" spans="1:6" x14ac:dyDescent="0.25">
      <c r="A52134"/>
      <c r="B52134"/>
      <c r="C52134"/>
      <c r="E52134"/>
      <c r="F52134"/>
    </row>
    <row r="52135" spans="1:6" x14ac:dyDescent="0.25">
      <c r="A52135"/>
      <c r="B52135"/>
      <c r="C52135"/>
      <c r="E52135"/>
      <c r="F52135"/>
    </row>
    <row r="52136" spans="1:6" x14ac:dyDescent="0.25">
      <c r="A52136"/>
      <c r="B52136"/>
      <c r="C52136"/>
      <c r="E52136"/>
      <c r="F52136"/>
    </row>
    <row r="52137" spans="1:6" x14ac:dyDescent="0.25">
      <c r="A52137"/>
      <c r="B52137"/>
      <c r="C52137"/>
      <c r="E52137"/>
      <c r="F52137"/>
    </row>
    <row r="52138" spans="1:6" x14ac:dyDescent="0.25">
      <c r="A52138"/>
      <c r="B52138"/>
      <c r="C52138"/>
      <c r="E52138"/>
      <c r="F52138"/>
    </row>
    <row r="52139" spans="1:6" x14ac:dyDescent="0.25">
      <c r="A52139"/>
      <c r="B52139"/>
      <c r="C52139"/>
      <c r="E52139"/>
      <c r="F52139"/>
    </row>
    <row r="52140" spans="1:6" x14ac:dyDescent="0.25">
      <c r="A52140"/>
      <c r="B52140"/>
      <c r="C52140"/>
      <c r="E52140"/>
      <c r="F52140"/>
    </row>
    <row r="52141" spans="1:6" x14ac:dyDescent="0.25">
      <c r="A52141"/>
      <c r="B52141"/>
      <c r="C52141"/>
      <c r="E52141"/>
      <c r="F52141"/>
    </row>
    <row r="52142" spans="1:6" x14ac:dyDescent="0.25">
      <c r="A52142"/>
      <c r="B52142"/>
      <c r="C52142"/>
      <c r="E52142"/>
      <c r="F52142"/>
    </row>
    <row r="52143" spans="1:6" x14ac:dyDescent="0.25">
      <c r="A52143"/>
      <c r="B52143"/>
      <c r="C52143"/>
      <c r="E52143"/>
      <c r="F52143"/>
    </row>
    <row r="52144" spans="1:6" x14ac:dyDescent="0.25">
      <c r="A52144"/>
      <c r="B52144"/>
      <c r="C52144"/>
      <c r="E52144"/>
      <c r="F52144"/>
    </row>
    <row r="52145" spans="1:6" x14ac:dyDescent="0.25">
      <c r="A52145"/>
      <c r="B52145"/>
      <c r="C52145"/>
      <c r="E52145"/>
      <c r="F52145"/>
    </row>
    <row r="52146" spans="1:6" x14ac:dyDescent="0.25">
      <c r="A52146"/>
      <c r="B52146"/>
      <c r="C52146"/>
      <c r="E52146"/>
      <c r="F52146"/>
    </row>
    <row r="52147" spans="1:6" x14ac:dyDescent="0.25">
      <c r="A52147"/>
      <c r="B52147"/>
      <c r="C52147"/>
      <c r="E52147"/>
      <c r="F52147"/>
    </row>
    <row r="52148" spans="1:6" x14ac:dyDescent="0.25">
      <c r="A52148"/>
      <c r="B52148"/>
      <c r="C52148"/>
      <c r="E52148"/>
      <c r="F52148"/>
    </row>
    <row r="52149" spans="1:6" x14ac:dyDescent="0.25">
      <c r="A52149"/>
      <c r="B52149"/>
      <c r="C52149"/>
      <c r="E52149"/>
      <c r="F52149"/>
    </row>
    <row r="52150" spans="1:6" x14ac:dyDescent="0.25">
      <c r="A52150"/>
      <c r="B52150"/>
      <c r="C52150"/>
      <c r="E52150"/>
      <c r="F52150"/>
    </row>
    <row r="52151" spans="1:6" x14ac:dyDescent="0.25">
      <c r="A52151"/>
      <c r="B52151"/>
      <c r="C52151"/>
      <c r="E52151"/>
      <c r="F52151"/>
    </row>
    <row r="52152" spans="1:6" x14ac:dyDescent="0.25">
      <c r="A52152"/>
      <c r="B52152"/>
      <c r="C52152"/>
      <c r="E52152"/>
      <c r="F52152"/>
    </row>
    <row r="52153" spans="1:6" x14ac:dyDescent="0.25">
      <c r="A52153"/>
      <c r="B52153"/>
      <c r="C52153"/>
      <c r="E52153"/>
      <c r="F52153"/>
    </row>
    <row r="52154" spans="1:6" x14ac:dyDescent="0.25">
      <c r="A52154"/>
      <c r="B52154"/>
      <c r="C52154"/>
      <c r="E52154"/>
      <c r="F52154"/>
    </row>
    <row r="52155" spans="1:6" x14ac:dyDescent="0.25">
      <c r="A52155"/>
      <c r="B52155"/>
      <c r="C52155"/>
      <c r="E52155"/>
      <c r="F52155"/>
    </row>
    <row r="52156" spans="1:6" x14ac:dyDescent="0.25">
      <c r="A52156"/>
      <c r="B52156"/>
      <c r="C52156"/>
      <c r="E52156"/>
      <c r="F52156"/>
    </row>
    <row r="52157" spans="1:6" x14ac:dyDescent="0.25">
      <c r="A52157"/>
      <c r="B52157"/>
      <c r="C52157"/>
      <c r="E52157"/>
      <c r="F52157"/>
    </row>
    <row r="52158" spans="1:6" x14ac:dyDescent="0.25">
      <c r="A52158"/>
      <c r="B52158"/>
      <c r="C52158"/>
      <c r="E52158"/>
      <c r="F52158"/>
    </row>
    <row r="52159" spans="1:6" x14ac:dyDescent="0.25">
      <c r="A52159"/>
      <c r="B52159"/>
      <c r="C52159"/>
      <c r="E52159"/>
      <c r="F52159"/>
    </row>
    <row r="52160" spans="1:6" x14ac:dyDescent="0.25">
      <c r="A52160"/>
      <c r="B52160"/>
      <c r="C52160"/>
      <c r="E52160"/>
      <c r="F52160"/>
    </row>
    <row r="52161" spans="1:6" x14ac:dyDescent="0.25">
      <c r="A52161"/>
      <c r="B52161"/>
      <c r="C52161"/>
      <c r="E52161"/>
      <c r="F52161"/>
    </row>
    <row r="52162" spans="1:6" x14ac:dyDescent="0.25">
      <c r="A52162"/>
      <c r="B52162"/>
      <c r="C52162"/>
      <c r="E52162"/>
      <c r="F52162"/>
    </row>
    <row r="52163" spans="1:6" x14ac:dyDescent="0.25">
      <c r="A52163"/>
      <c r="B52163"/>
      <c r="C52163"/>
      <c r="E52163"/>
      <c r="F52163"/>
    </row>
    <row r="52164" spans="1:6" x14ac:dyDescent="0.25">
      <c r="A52164"/>
      <c r="B52164"/>
      <c r="C52164"/>
      <c r="E52164"/>
      <c r="F52164"/>
    </row>
    <row r="52165" spans="1:6" x14ac:dyDescent="0.25">
      <c r="A52165"/>
      <c r="B52165"/>
      <c r="C52165"/>
      <c r="E52165"/>
      <c r="F52165"/>
    </row>
    <row r="52166" spans="1:6" x14ac:dyDescent="0.25">
      <c r="A52166"/>
      <c r="B52166"/>
      <c r="C52166"/>
      <c r="E52166"/>
      <c r="F52166"/>
    </row>
    <row r="52167" spans="1:6" x14ac:dyDescent="0.25">
      <c r="A52167"/>
      <c r="B52167"/>
      <c r="C52167"/>
      <c r="E52167"/>
      <c r="F52167"/>
    </row>
    <row r="52168" spans="1:6" x14ac:dyDescent="0.25">
      <c r="A52168"/>
      <c r="B52168"/>
      <c r="C52168"/>
      <c r="E52168"/>
      <c r="F52168"/>
    </row>
    <row r="52169" spans="1:6" x14ac:dyDescent="0.25">
      <c r="A52169"/>
      <c r="B52169"/>
      <c r="C52169"/>
      <c r="E52169"/>
      <c r="F52169"/>
    </row>
    <row r="52170" spans="1:6" x14ac:dyDescent="0.25">
      <c r="A52170"/>
      <c r="B52170"/>
      <c r="C52170"/>
      <c r="E52170"/>
      <c r="F52170"/>
    </row>
    <row r="52171" spans="1:6" x14ac:dyDescent="0.25">
      <c r="A52171"/>
      <c r="B52171"/>
      <c r="C52171"/>
      <c r="E52171"/>
      <c r="F52171"/>
    </row>
    <row r="52172" spans="1:6" x14ac:dyDescent="0.25">
      <c r="A52172"/>
      <c r="B52172"/>
      <c r="C52172"/>
      <c r="E52172"/>
      <c r="F52172"/>
    </row>
    <row r="52173" spans="1:6" x14ac:dyDescent="0.25">
      <c r="A52173"/>
      <c r="B52173"/>
      <c r="C52173"/>
      <c r="E52173"/>
      <c r="F52173"/>
    </row>
    <row r="52174" spans="1:6" x14ac:dyDescent="0.25">
      <c r="A52174"/>
      <c r="B52174"/>
      <c r="C52174"/>
      <c r="E52174"/>
      <c r="F52174"/>
    </row>
    <row r="52175" spans="1:6" x14ac:dyDescent="0.25">
      <c r="A52175"/>
      <c r="B52175"/>
      <c r="C52175"/>
      <c r="E52175"/>
      <c r="F52175"/>
    </row>
    <row r="52176" spans="1:6" x14ac:dyDescent="0.25">
      <c r="A52176"/>
      <c r="B52176"/>
      <c r="C52176"/>
      <c r="E52176"/>
      <c r="F52176"/>
    </row>
    <row r="52177" spans="1:6" x14ac:dyDescent="0.25">
      <c r="A52177"/>
      <c r="B52177"/>
      <c r="C52177"/>
      <c r="E52177"/>
      <c r="F52177"/>
    </row>
    <row r="52178" spans="1:6" x14ac:dyDescent="0.25">
      <c r="A52178"/>
      <c r="B52178"/>
      <c r="C52178"/>
      <c r="E52178"/>
      <c r="F52178"/>
    </row>
    <row r="52179" spans="1:6" x14ac:dyDescent="0.25">
      <c r="A52179"/>
      <c r="B52179"/>
      <c r="C52179"/>
      <c r="E52179"/>
      <c r="F52179"/>
    </row>
    <row r="52180" spans="1:6" x14ac:dyDescent="0.25">
      <c r="A52180"/>
      <c r="B52180"/>
      <c r="C52180"/>
      <c r="E52180"/>
      <c r="F52180"/>
    </row>
    <row r="52181" spans="1:6" x14ac:dyDescent="0.25">
      <c r="A52181"/>
      <c r="B52181"/>
      <c r="C52181"/>
      <c r="E52181"/>
      <c r="F52181"/>
    </row>
    <row r="52182" spans="1:6" x14ac:dyDescent="0.25">
      <c r="A52182"/>
      <c r="B52182"/>
      <c r="C52182"/>
      <c r="E52182"/>
      <c r="F52182"/>
    </row>
    <row r="52183" spans="1:6" x14ac:dyDescent="0.25">
      <c r="A52183"/>
      <c r="B52183"/>
      <c r="C52183"/>
      <c r="E52183"/>
      <c r="F52183"/>
    </row>
    <row r="52184" spans="1:6" x14ac:dyDescent="0.25">
      <c r="A52184"/>
      <c r="B52184"/>
      <c r="C52184"/>
      <c r="E52184"/>
      <c r="F52184"/>
    </row>
    <row r="52185" spans="1:6" x14ac:dyDescent="0.25">
      <c r="A52185"/>
      <c r="B52185"/>
      <c r="C52185"/>
      <c r="E52185"/>
      <c r="F52185"/>
    </row>
    <row r="52186" spans="1:6" x14ac:dyDescent="0.25">
      <c r="A52186"/>
      <c r="B52186"/>
      <c r="C52186"/>
      <c r="E52186"/>
      <c r="F52186"/>
    </row>
    <row r="52187" spans="1:6" x14ac:dyDescent="0.25">
      <c r="A52187"/>
      <c r="B52187"/>
      <c r="C52187"/>
      <c r="E52187"/>
      <c r="F52187"/>
    </row>
    <row r="52188" spans="1:6" x14ac:dyDescent="0.25">
      <c r="A52188"/>
      <c r="B52188"/>
      <c r="C52188"/>
      <c r="E52188"/>
      <c r="F52188"/>
    </row>
    <row r="52189" spans="1:6" x14ac:dyDescent="0.25">
      <c r="A52189"/>
      <c r="B52189"/>
      <c r="C52189"/>
      <c r="E52189"/>
      <c r="F52189"/>
    </row>
    <row r="52190" spans="1:6" x14ac:dyDescent="0.25">
      <c r="A52190"/>
      <c r="B52190"/>
      <c r="C52190"/>
      <c r="E52190"/>
      <c r="F52190"/>
    </row>
    <row r="52191" spans="1:6" x14ac:dyDescent="0.25">
      <c r="A52191"/>
      <c r="B52191"/>
      <c r="C52191"/>
      <c r="E52191"/>
      <c r="F52191"/>
    </row>
    <row r="52192" spans="1:6" x14ac:dyDescent="0.25">
      <c r="A52192"/>
      <c r="B52192"/>
      <c r="C52192"/>
      <c r="E52192"/>
      <c r="F52192"/>
    </row>
    <row r="52193" spans="1:6" x14ac:dyDescent="0.25">
      <c r="A52193"/>
      <c r="B52193"/>
      <c r="C52193"/>
      <c r="E52193"/>
      <c r="F52193"/>
    </row>
    <row r="52194" spans="1:6" x14ac:dyDescent="0.25">
      <c r="A52194"/>
      <c r="B52194"/>
      <c r="C52194"/>
      <c r="E52194"/>
      <c r="F52194"/>
    </row>
    <row r="52195" spans="1:6" x14ac:dyDescent="0.25">
      <c r="A52195"/>
      <c r="B52195"/>
      <c r="C52195"/>
      <c r="E52195"/>
      <c r="F52195"/>
    </row>
    <row r="52196" spans="1:6" x14ac:dyDescent="0.25">
      <c r="A52196"/>
      <c r="B52196"/>
      <c r="C52196"/>
      <c r="E52196"/>
      <c r="F52196"/>
    </row>
    <row r="52197" spans="1:6" x14ac:dyDescent="0.25">
      <c r="A52197"/>
      <c r="B52197"/>
      <c r="C52197"/>
      <c r="E52197"/>
      <c r="F52197"/>
    </row>
    <row r="52198" spans="1:6" x14ac:dyDescent="0.25">
      <c r="A52198"/>
      <c r="B52198"/>
      <c r="C52198"/>
      <c r="E52198"/>
      <c r="F52198"/>
    </row>
    <row r="52199" spans="1:6" x14ac:dyDescent="0.25">
      <c r="A52199"/>
      <c r="B52199"/>
      <c r="C52199"/>
      <c r="E52199"/>
      <c r="F52199"/>
    </row>
    <row r="52200" spans="1:6" x14ac:dyDescent="0.25">
      <c r="A52200"/>
      <c r="B52200"/>
      <c r="C52200"/>
      <c r="E52200"/>
      <c r="F52200"/>
    </row>
    <row r="52201" spans="1:6" x14ac:dyDescent="0.25">
      <c r="A52201"/>
      <c r="B52201"/>
      <c r="C52201"/>
      <c r="E52201"/>
      <c r="F52201"/>
    </row>
    <row r="52202" spans="1:6" x14ac:dyDescent="0.25">
      <c r="A52202"/>
      <c r="B52202"/>
      <c r="C52202"/>
      <c r="E52202"/>
      <c r="F52202"/>
    </row>
    <row r="52203" spans="1:6" x14ac:dyDescent="0.25">
      <c r="A52203"/>
      <c r="B52203"/>
      <c r="C52203"/>
      <c r="E52203"/>
      <c r="F52203"/>
    </row>
    <row r="52204" spans="1:6" x14ac:dyDescent="0.25">
      <c r="A52204"/>
      <c r="B52204"/>
      <c r="C52204"/>
      <c r="E52204"/>
      <c r="F52204"/>
    </row>
    <row r="52205" spans="1:6" x14ac:dyDescent="0.25">
      <c r="A52205"/>
      <c r="B52205"/>
      <c r="C52205"/>
      <c r="E52205"/>
      <c r="F52205"/>
    </row>
    <row r="52206" spans="1:6" x14ac:dyDescent="0.25">
      <c r="A52206"/>
      <c r="B52206"/>
      <c r="C52206"/>
      <c r="E52206"/>
      <c r="F52206"/>
    </row>
    <row r="52207" spans="1:6" x14ac:dyDescent="0.25">
      <c r="A52207"/>
      <c r="B52207"/>
      <c r="C52207"/>
      <c r="E52207"/>
      <c r="F52207"/>
    </row>
    <row r="52208" spans="1:6" x14ac:dyDescent="0.25">
      <c r="A52208"/>
      <c r="B52208"/>
      <c r="C52208"/>
      <c r="E52208"/>
      <c r="F52208"/>
    </row>
    <row r="52209" spans="1:6" x14ac:dyDescent="0.25">
      <c r="A52209"/>
      <c r="B52209"/>
      <c r="C52209"/>
      <c r="E52209"/>
      <c r="F52209"/>
    </row>
    <row r="52210" spans="1:6" x14ac:dyDescent="0.25">
      <c r="A52210"/>
      <c r="B52210"/>
      <c r="C52210"/>
      <c r="E52210"/>
      <c r="F52210"/>
    </row>
    <row r="52211" spans="1:6" x14ac:dyDescent="0.25">
      <c r="A52211"/>
      <c r="B52211"/>
      <c r="C52211"/>
      <c r="E52211"/>
      <c r="F52211"/>
    </row>
    <row r="52212" spans="1:6" x14ac:dyDescent="0.25">
      <c r="A52212"/>
      <c r="B52212"/>
      <c r="C52212"/>
      <c r="E52212"/>
      <c r="F52212"/>
    </row>
    <row r="52213" spans="1:6" x14ac:dyDescent="0.25">
      <c r="A52213"/>
      <c r="B52213"/>
      <c r="C52213"/>
      <c r="E52213"/>
      <c r="F52213"/>
    </row>
    <row r="52214" spans="1:6" x14ac:dyDescent="0.25">
      <c r="A52214"/>
      <c r="B52214"/>
      <c r="C52214"/>
      <c r="E52214"/>
      <c r="F52214"/>
    </row>
    <row r="52215" spans="1:6" x14ac:dyDescent="0.25">
      <c r="A52215"/>
      <c r="B52215"/>
      <c r="C52215"/>
      <c r="E52215"/>
      <c r="F52215"/>
    </row>
    <row r="52216" spans="1:6" x14ac:dyDescent="0.25">
      <c r="A52216"/>
      <c r="B52216"/>
      <c r="C52216"/>
      <c r="E52216"/>
      <c r="F52216"/>
    </row>
    <row r="52217" spans="1:6" x14ac:dyDescent="0.25">
      <c r="A52217"/>
      <c r="B52217"/>
      <c r="C52217"/>
      <c r="E52217"/>
      <c r="F52217"/>
    </row>
    <row r="52218" spans="1:6" x14ac:dyDescent="0.25">
      <c r="A52218"/>
      <c r="B52218"/>
      <c r="C52218"/>
      <c r="E52218"/>
      <c r="F52218"/>
    </row>
    <row r="52219" spans="1:6" x14ac:dyDescent="0.25">
      <c r="A52219"/>
      <c r="B52219"/>
      <c r="C52219"/>
      <c r="E52219"/>
      <c r="F52219"/>
    </row>
    <row r="52220" spans="1:6" x14ac:dyDescent="0.25">
      <c r="A52220"/>
      <c r="B52220"/>
      <c r="C52220"/>
      <c r="E52220"/>
      <c r="F52220"/>
    </row>
    <row r="52221" spans="1:6" x14ac:dyDescent="0.25">
      <c r="A52221"/>
      <c r="B52221"/>
      <c r="C52221"/>
      <c r="E52221"/>
      <c r="F52221"/>
    </row>
    <row r="52222" spans="1:6" x14ac:dyDescent="0.25">
      <c r="A52222"/>
      <c r="B52222"/>
      <c r="C52222"/>
      <c r="E52222"/>
      <c r="F52222"/>
    </row>
    <row r="52223" spans="1:6" x14ac:dyDescent="0.25">
      <c r="A52223"/>
      <c r="B52223"/>
      <c r="C52223"/>
      <c r="E52223"/>
      <c r="F52223"/>
    </row>
    <row r="52224" spans="1:6" x14ac:dyDescent="0.25">
      <c r="A52224"/>
      <c r="B52224"/>
      <c r="C52224"/>
      <c r="E52224"/>
      <c r="F52224"/>
    </row>
    <row r="52225" spans="1:6" x14ac:dyDescent="0.25">
      <c r="A52225"/>
      <c r="B52225"/>
      <c r="C52225"/>
      <c r="E52225"/>
      <c r="F52225"/>
    </row>
    <row r="52226" spans="1:6" x14ac:dyDescent="0.25">
      <c r="A52226"/>
      <c r="B52226"/>
      <c r="C52226"/>
      <c r="E52226"/>
      <c r="F52226"/>
    </row>
    <row r="52227" spans="1:6" x14ac:dyDescent="0.25">
      <c r="A52227"/>
      <c r="B52227"/>
      <c r="C52227"/>
      <c r="E52227"/>
      <c r="F52227"/>
    </row>
    <row r="52228" spans="1:6" x14ac:dyDescent="0.25">
      <c r="A52228"/>
      <c r="B52228"/>
      <c r="C52228"/>
      <c r="E52228"/>
      <c r="F52228"/>
    </row>
    <row r="52229" spans="1:6" x14ac:dyDescent="0.25">
      <c r="A52229"/>
      <c r="B52229"/>
      <c r="C52229"/>
      <c r="E52229"/>
      <c r="F52229"/>
    </row>
    <row r="52230" spans="1:6" x14ac:dyDescent="0.25">
      <c r="A52230"/>
      <c r="B52230"/>
      <c r="C52230"/>
      <c r="E52230"/>
      <c r="F52230"/>
    </row>
    <row r="52231" spans="1:6" x14ac:dyDescent="0.25">
      <c r="A52231"/>
      <c r="B52231"/>
      <c r="C52231"/>
      <c r="E52231"/>
      <c r="F52231"/>
    </row>
    <row r="52232" spans="1:6" x14ac:dyDescent="0.25">
      <c r="A52232"/>
      <c r="B52232"/>
      <c r="C52232"/>
      <c r="E52232"/>
      <c r="F52232"/>
    </row>
    <row r="52233" spans="1:6" x14ac:dyDescent="0.25">
      <c r="A52233"/>
      <c r="B52233"/>
      <c r="C52233"/>
      <c r="E52233"/>
      <c r="F52233"/>
    </row>
    <row r="52234" spans="1:6" x14ac:dyDescent="0.25">
      <c r="A52234"/>
      <c r="B52234"/>
      <c r="C52234"/>
      <c r="E52234"/>
      <c r="F52234"/>
    </row>
    <row r="52235" spans="1:6" x14ac:dyDescent="0.25">
      <c r="A52235"/>
      <c r="B52235"/>
      <c r="C52235"/>
      <c r="E52235"/>
      <c r="F52235"/>
    </row>
    <row r="52236" spans="1:6" x14ac:dyDescent="0.25">
      <c r="A52236"/>
      <c r="B52236"/>
      <c r="C52236"/>
      <c r="E52236"/>
      <c r="F52236"/>
    </row>
    <row r="52237" spans="1:6" x14ac:dyDescent="0.25">
      <c r="A52237"/>
      <c r="B52237"/>
      <c r="C52237"/>
      <c r="E52237"/>
      <c r="F52237"/>
    </row>
    <row r="52238" spans="1:6" x14ac:dyDescent="0.25">
      <c r="A52238"/>
      <c r="B52238"/>
      <c r="C52238"/>
      <c r="E52238"/>
      <c r="F52238"/>
    </row>
    <row r="52239" spans="1:6" x14ac:dyDescent="0.25">
      <c r="A52239"/>
      <c r="B52239"/>
      <c r="C52239"/>
      <c r="E52239"/>
      <c r="F52239"/>
    </row>
    <row r="52240" spans="1:6" x14ac:dyDescent="0.25">
      <c r="A52240"/>
      <c r="B52240"/>
      <c r="C52240"/>
      <c r="E52240"/>
      <c r="F52240"/>
    </row>
    <row r="52241" spans="1:6" x14ac:dyDescent="0.25">
      <c r="A52241"/>
      <c r="B52241"/>
      <c r="C52241"/>
      <c r="E52241"/>
      <c r="F52241"/>
    </row>
    <row r="52242" spans="1:6" x14ac:dyDescent="0.25">
      <c r="A52242"/>
      <c r="B52242"/>
      <c r="C52242"/>
      <c r="E52242"/>
      <c r="F52242"/>
    </row>
    <row r="52243" spans="1:6" x14ac:dyDescent="0.25">
      <c r="A52243"/>
      <c r="B52243"/>
      <c r="C52243"/>
      <c r="E52243"/>
      <c r="F52243"/>
    </row>
    <row r="52244" spans="1:6" x14ac:dyDescent="0.25">
      <c r="A52244"/>
      <c r="B52244"/>
      <c r="C52244"/>
      <c r="E52244"/>
      <c r="F52244"/>
    </row>
    <row r="52245" spans="1:6" x14ac:dyDescent="0.25">
      <c r="A52245"/>
      <c r="B52245"/>
      <c r="C52245"/>
      <c r="E52245"/>
      <c r="F52245"/>
    </row>
    <row r="52246" spans="1:6" x14ac:dyDescent="0.25">
      <c r="A52246"/>
      <c r="B52246"/>
      <c r="C52246"/>
      <c r="E52246"/>
      <c r="F52246"/>
    </row>
    <row r="52247" spans="1:6" x14ac:dyDescent="0.25">
      <c r="A52247"/>
      <c r="B52247"/>
      <c r="C52247"/>
      <c r="E52247"/>
      <c r="F52247"/>
    </row>
    <row r="52248" spans="1:6" x14ac:dyDescent="0.25">
      <c r="A52248"/>
      <c r="B52248"/>
      <c r="C52248"/>
      <c r="E52248"/>
      <c r="F52248"/>
    </row>
    <row r="52249" spans="1:6" x14ac:dyDescent="0.25">
      <c r="A52249"/>
      <c r="B52249"/>
      <c r="C52249"/>
      <c r="E52249"/>
      <c r="F52249"/>
    </row>
    <row r="52250" spans="1:6" x14ac:dyDescent="0.25">
      <c r="A52250"/>
      <c r="B52250"/>
      <c r="C52250"/>
      <c r="E52250"/>
      <c r="F52250"/>
    </row>
    <row r="52251" spans="1:6" x14ac:dyDescent="0.25">
      <c r="A52251"/>
      <c r="B52251"/>
      <c r="C52251"/>
      <c r="E52251"/>
      <c r="F52251"/>
    </row>
    <row r="52252" spans="1:6" x14ac:dyDescent="0.25">
      <c r="A52252"/>
      <c r="B52252"/>
      <c r="C52252"/>
      <c r="E52252"/>
      <c r="F52252"/>
    </row>
    <row r="52253" spans="1:6" x14ac:dyDescent="0.25">
      <c r="A52253"/>
      <c r="B52253"/>
      <c r="C52253"/>
      <c r="E52253"/>
      <c r="F52253"/>
    </row>
    <row r="52254" spans="1:6" x14ac:dyDescent="0.25">
      <c r="A52254"/>
      <c r="B52254"/>
      <c r="C52254"/>
      <c r="E52254"/>
      <c r="F52254"/>
    </row>
    <row r="52255" spans="1:6" x14ac:dyDescent="0.25">
      <c r="A52255"/>
      <c r="B52255"/>
      <c r="C52255"/>
      <c r="E52255"/>
      <c r="F52255"/>
    </row>
    <row r="52256" spans="1:6" x14ac:dyDescent="0.25">
      <c r="A52256"/>
      <c r="B52256"/>
      <c r="C52256"/>
      <c r="E52256"/>
      <c r="F52256"/>
    </row>
    <row r="52257" spans="1:6" x14ac:dyDescent="0.25">
      <c r="A52257"/>
      <c r="B52257"/>
      <c r="C52257"/>
      <c r="E52257"/>
      <c r="F52257"/>
    </row>
    <row r="52258" spans="1:6" x14ac:dyDescent="0.25">
      <c r="A52258"/>
      <c r="B52258"/>
      <c r="C52258"/>
      <c r="E52258"/>
      <c r="F52258"/>
    </row>
    <row r="52259" spans="1:6" x14ac:dyDescent="0.25">
      <c r="A52259"/>
      <c r="B52259"/>
      <c r="C52259"/>
      <c r="E52259"/>
      <c r="F52259"/>
    </row>
    <row r="52260" spans="1:6" x14ac:dyDescent="0.25">
      <c r="A52260"/>
      <c r="B52260"/>
      <c r="C52260"/>
      <c r="E52260"/>
      <c r="F52260"/>
    </row>
    <row r="52261" spans="1:6" x14ac:dyDescent="0.25">
      <c r="A52261"/>
      <c r="B52261"/>
      <c r="C52261"/>
      <c r="E52261"/>
      <c r="F52261"/>
    </row>
    <row r="52262" spans="1:6" x14ac:dyDescent="0.25">
      <c r="A52262"/>
      <c r="B52262"/>
      <c r="C52262"/>
      <c r="E52262"/>
      <c r="F52262"/>
    </row>
    <row r="52263" spans="1:6" x14ac:dyDescent="0.25">
      <c r="A52263"/>
      <c r="B52263"/>
      <c r="C52263"/>
      <c r="E52263"/>
      <c r="F52263"/>
    </row>
    <row r="52264" spans="1:6" x14ac:dyDescent="0.25">
      <c r="A52264"/>
      <c r="B52264"/>
      <c r="C52264"/>
      <c r="E52264"/>
      <c r="F52264"/>
    </row>
    <row r="52265" spans="1:6" x14ac:dyDescent="0.25">
      <c r="A52265"/>
      <c r="B52265"/>
      <c r="C52265"/>
      <c r="E52265"/>
      <c r="F52265"/>
    </row>
    <row r="52266" spans="1:6" x14ac:dyDescent="0.25">
      <c r="A52266"/>
      <c r="B52266"/>
      <c r="C52266"/>
      <c r="E52266"/>
      <c r="F52266"/>
    </row>
    <row r="52267" spans="1:6" x14ac:dyDescent="0.25">
      <c r="A52267"/>
      <c r="B52267"/>
      <c r="C52267"/>
      <c r="E52267"/>
      <c r="F52267"/>
    </row>
    <row r="52268" spans="1:6" x14ac:dyDescent="0.25">
      <c r="A52268"/>
      <c r="B52268"/>
      <c r="C52268"/>
      <c r="E52268"/>
      <c r="F52268"/>
    </row>
    <row r="52269" spans="1:6" x14ac:dyDescent="0.25">
      <c r="A52269"/>
      <c r="B52269"/>
      <c r="C52269"/>
      <c r="E52269"/>
      <c r="F52269"/>
    </row>
    <row r="52270" spans="1:6" x14ac:dyDescent="0.25">
      <c r="A52270"/>
      <c r="B52270"/>
      <c r="C52270"/>
      <c r="E52270"/>
      <c r="F52270"/>
    </row>
    <row r="52271" spans="1:6" x14ac:dyDescent="0.25">
      <c r="A52271"/>
      <c r="B52271"/>
      <c r="C52271"/>
      <c r="E52271"/>
      <c r="F52271"/>
    </row>
    <row r="52272" spans="1:6" x14ac:dyDescent="0.25">
      <c r="A52272"/>
      <c r="B52272"/>
      <c r="C52272"/>
      <c r="E52272"/>
      <c r="F52272"/>
    </row>
    <row r="52273" spans="1:6" x14ac:dyDescent="0.25">
      <c r="A52273"/>
      <c r="B52273"/>
      <c r="C52273"/>
      <c r="E52273"/>
      <c r="F52273"/>
    </row>
    <row r="52274" spans="1:6" x14ac:dyDescent="0.25">
      <c r="A52274"/>
      <c r="B52274"/>
      <c r="C52274"/>
      <c r="E52274"/>
      <c r="F52274"/>
    </row>
    <row r="52275" spans="1:6" x14ac:dyDescent="0.25">
      <c r="A52275"/>
      <c r="B52275"/>
      <c r="C52275"/>
      <c r="E52275"/>
      <c r="F52275"/>
    </row>
    <row r="52276" spans="1:6" x14ac:dyDescent="0.25">
      <c r="A52276"/>
      <c r="B52276"/>
      <c r="C52276"/>
      <c r="E52276"/>
      <c r="F52276"/>
    </row>
    <row r="52277" spans="1:6" x14ac:dyDescent="0.25">
      <c r="A52277"/>
      <c r="B52277"/>
      <c r="C52277"/>
      <c r="E52277"/>
      <c r="F52277"/>
    </row>
    <row r="52278" spans="1:6" x14ac:dyDescent="0.25">
      <c r="A52278"/>
      <c r="B52278"/>
      <c r="C52278"/>
      <c r="E52278"/>
      <c r="F52278"/>
    </row>
    <row r="52279" spans="1:6" x14ac:dyDescent="0.25">
      <c r="A52279"/>
      <c r="B52279"/>
      <c r="C52279"/>
      <c r="E52279"/>
      <c r="F52279"/>
    </row>
    <row r="52280" spans="1:6" x14ac:dyDescent="0.25">
      <c r="A52280"/>
      <c r="B52280"/>
      <c r="C52280"/>
      <c r="E52280"/>
      <c r="F52280"/>
    </row>
    <row r="52281" spans="1:6" x14ac:dyDescent="0.25">
      <c r="A52281"/>
      <c r="B52281"/>
      <c r="C52281"/>
      <c r="E52281"/>
      <c r="F52281"/>
    </row>
    <row r="52282" spans="1:6" x14ac:dyDescent="0.25">
      <c r="A52282"/>
      <c r="B52282"/>
      <c r="C52282"/>
      <c r="E52282"/>
      <c r="F52282"/>
    </row>
    <row r="52283" spans="1:6" x14ac:dyDescent="0.25">
      <c r="A52283"/>
      <c r="B52283"/>
      <c r="C52283"/>
      <c r="E52283"/>
      <c r="F52283"/>
    </row>
    <row r="52284" spans="1:6" x14ac:dyDescent="0.25">
      <c r="A52284"/>
      <c r="B52284"/>
      <c r="C52284"/>
      <c r="E52284"/>
      <c r="F52284"/>
    </row>
    <row r="52285" spans="1:6" x14ac:dyDescent="0.25">
      <c r="A52285"/>
      <c r="B52285"/>
      <c r="C52285"/>
      <c r="E52285"/>
      <c r="F52285"/>
    </row>
    <row r="52286" spans="1:6" x14ac:dyDescent="0.25">
      <c r="A52286"/>
      <c r="B52286"/>
      <c r="C52286"/>
      <c r="E52286"/>
      <c r="F52286"/>
    </row>
    <row r="52287" spans="1:6" x14ac:dyDescent="0.25">
      <c r="A52287"/>
      <c r="B52287"/>
      <c r="C52287"/>
      <c r="E52287"/>
      <c r="F52287"/>
    </row>
    <row r="52288" spans="1:6" x14ac:dyDescent="0.25">
      <c r="A52288"/>
      <c r="B52288"/>
      <c r="C52288"/>
      <c r="E52288"/>
      <c r="F52288"/>
    </row>
    <row r="52289" spans="1:6" x14ac:dyDescent="0.25">
      <c r="A52289"/>
      <c r="B52289"/>
      <c r="C52289"/>
      <c r="E52289"/>
      <c r="F52289"/>
    </row>
    <row r="52290" spans="1:6" x14ac:dyDescent="0.25">
      <c r="A52290"/>
      <c r="B52290"/>
      <c r="C52290"/>
      <c r="E52290"/>
      <c r="F52290"/>
    </row>
    <row r="52291" spans="1:6" x14ac:dyDescent="0.25">
      <c r="A52291"/>
      <c r="B52291"/>
      <c r="C52291"/>
      <c r="E52291"/>
      <c r="F52291"/>
    </row>
    <row r="52292" spans="1:6" x14ac:dyDescent="0.25">
      <c r="A52292"/>
      <c r="B52292"/>
      <c r="C52292"/>
      <c r="E52292"/>
      <c r="F52292"/>
    </row>
    <row r="52293" spans="1:6" x14ac:dyDescent="0.25">
      <c r="A52293"/>
      <c r="B52293"/>
      <c r="C52293"/>
      <c r="E52293"/>
      <c r="F52293"/>
    </row>
    <row r="52294" spans="1:6" x14ac:dyDescent="0.25">
      <c r="A52294"/>
      <c r="B52294"/>
      <c r="C52294"/>
      <c r="E52294"/>
      <c r="F52294"/>
    </row>
    <row r="52295" spans="1:6" x14ac:dyDescent="0.25">
      <c r="A52295"/>
      <c r="B52295"/>
      <c r="C52295"/>
      <c r="E52295"/>
      <c r="F52295"/>
    </row>
    <row r="52296" spans="1:6" x14ac:dyDescent="0.25">
      <c r="A52296"/>
      <c r="B52296"/>
      <c r="C52296"/>
      <c r="E52296"/>
      <c r="F52296"/>
    </row>
    <row r="52297" spans="1:6" x14ac:dyDescent="0.25">
      <c r="A52297"/>
      <c r="B52297"/>
      <c r="C52297"/>
      <c r="E52297"/>
      <c r="F52297"/>
    </row>
    <row r="52298" spans="1:6" x14ac:dyDescent="0.25">
      <c r="A52298"/>
      <c r="B52298"/>
      <c r="C52298"/>
      <c r="E52298"/>
      <c r="F52298"/>
    </row>
    <row r="52299" spans="1:6" x14ac:dyDescent="0.25">
      <c r="A52299"/>
      <c r="B52299"/>
      <c r="C52299"/>
      <c r="E52299"/>
      <c r="F52299"/>
    </row>
    <row r="52300" spans="1:6" x14ac:dyDescent="0.25">
      <c r="A52300"/>
      <c r="B52300"/>
      <c r="C52300"/>
      <c r="E52300"/>
      <c r="F52300"/>
    </row>
    <row r="52301" spans="1:6" x14ac:dyDescent="0.25">
      <c r="A52301"/>
      <c r="B52301"/>
      <c r="C52301"/>
      <c r="E52301"/>
      <c r="F52301"/>
    </row>
    <row r="52302" spans="1:6" x14ac:dyDescent="0.25">
      <c r="A52302"/>
      <c r="B52302"/>
      <c r="C52302"/>
      <c r="E52302"/>
      <c r="F52302"/>
    </row>
    <row r="52303" spans="1:6" x14ac:dyDescent="0.25">
      <c r="A52303"/>
      <c r="B52303"/>
      <c r="C52303"/>
      <c r="E52303"/>
      <c r="F52303"/>
    </row>
    <row r="52304" spans="1:6" x14ac:dyDescent="0.25">
      <c r="A52304"/>
      <c r="B52304"/>
      <c r="C52304"/>
      <c r="E52304"/>
      <c r="F52304"/>
    </row>
    <row r="52305" spans="1:6" x14ac:dyDescent="0.25">
      <c r="A52305"/>
      <c r="B52305"/>
      <c r="C52305"/>
      <c r="E52305"/>
      <c r="F52305"/>
    </row>
    <row r="52306" spans="1:6" x14ac:dyDescent="0.25">
      <c r="A52306"/>
      <c r="B52306"/>
      <c r="C52306"/>
      <c r="E52306"/>
      <c r="F52306"/>
    </row>
    <row r="52307" spans="1:6" x14ac:dyDescent="0.25">
      <c r="A52307"/>
      <c r="B52307"/>
      <c r="C52307"/>
      <c r="E52307"/>
      <c r="F52307"/>
    </row>
    <row r="52308" spans="1:6" x14ac:dyDescent="0.25">
      <c r="A52308"/>
      <c r="B52308"/>
      <c r="C52308"/>
      <c r="E52308"/>
      <c r="F52308"/>
    </row>
    <row r="52309" spans="1:6" x14ac:dyDescent="0.25">
      <c r="A52309"/>
      <c r="B52309"/>
      <c r="C52309"/>
      <c r="E52309"/>
      <c r="F52309"/>
    </row>
    <row r="52310" spans="1:6" x14ac:dyDescent="0.25">
      <c r="A52310"/>
      <c r="B52310"/>
      <c r="C52310"/>
      <c r="E52310"/>
      <c r="F52310"/>
    </row>
    <row r="52311" spans="1:6" x14ac:dyDescent="0.25">
      <c r="A52311"/>
      <c r="B52311"/>
      <c r="C52311"/>
      <c r="E52311"/>
      <c r="F52311"/>
    </row>
    <row r="52312" spans="1:6" x14ac:dyDescent="0.25">
      <c r="A52312"/>
      <c r="B52312"/>
      <c r="C52312"/>
      <c r="E52312"/>
      <c r="F52312"/>
    </row>
    <row r="52313" spans="1:6" x14ac:dyDescent="0.25">
      <c r="A52313"/>
      <c r="B52313"/>
      <c r="C52313"/>
      <c r="E52313"/>
      <c r="F52313"/>
    </row>
    <row r="52314" spans="1:6" x14ac:dyDescent="0.25">
      <c r="A52314"/>
      <c r="B52314"/>
      <c r="C52314"/>
      <c r="E52314"/>
      <c r="F52314"/>
    </row>
    <row r="52315" spans="1:6" x14ac:dyDescent="0.25">
      <c r="A52315"/>
      <c r="B52315"/>
      <c r="C52315"/>
      <c r="E52315"/>
      <c r="F52315"/>
    </row>
    <row r="52316" spans="1:6" x14ac:dyDescent="0.25">
      <c r="A52316"/>
      <c r="B52316"/>
      <c r="C52316"/>
      <c r="E52316"/>
      <c r="F52316"/>
    </row>
    <row r="52317" spans="1:6" x14ac:dyDescent="0.25">
      <c r="A52317"/>
      <c r="B52317"/>
      <c r="C52317"/>
      <c r="E52317"/>
      <c r="F52317"/>
    </row>
    <row r="52318" spans="1:6" x14ac:dyDescent="0.25">
      <c r="A52318"/>
      <c r="B52318"/>
      <c r="C52318"/>
      <c r="E52318"/>
      <c r="F52318"/>
    </row>
    <row r="52319" spans="1:6" x14ac:dyDescent="0.25">
      <c r="A52319"/>
      <c r="B52319"/>
      <c r="C52319"/>
      <c r="E52319"/>
      <c r="F52319"/>
    </row>
    <row r="52320" spans="1:6" x14ac:dyDescent="0.25">
      <c r="A52320"/>
      <c r="B52320"/>
      <c r="C52320"/>
      <c r="E52320"/>
      <c r="F52320"/>
    </row>
    <row r="52321" spans="1:6" x14ac:dyDescent="0.25">
      <c r="A52321"/>
      <c r="B52321"/>
      <c r="C52321"/>
      <c r="E52321"/>
      <c r="F52321"/>
    </row>
    <row r="52322" spans="1:6" x14ac:dyDescent="0.25">
      <c r="A52322"/>
      <c r="B52322"/>
      <c r="C52322"/>
      <c r="E52322"/>
      <c r="F52322"/>
    </row>
    <row r="52323" spans="1:6" x14ac:dyDescent="0.25">
      <c r="A52323"/>
      <c r="B52323"/>
      <c r="C52323"/>
      <c r="E52323"/>
      <c r="F52323"/>
    </row>
    <row r="52324" spans="1:6" x14ac:dyDescent="0.25">
      <c r="A52324"/>
      <c r="B52324"/>
      <c r="C52324"/>
      <c r="E52324"/>
      <c r="F52324"/>
    </row>
    <row r="52325" spans="1:6" x14ac:dyDescent="0.25">
      <c r="A52325"/>
      <c r="B52325"/>
      <c r="C52325"/>
      <c r="E52325"/>
      <c r="F52325"/>
    </row>
    <row r="52326" spans="1:6" x14ac:dyDescent="0.25">
      <c r="A52326"/>
      <c r="B52326"/>
      <c r="C52326"/>
      <c r="E52326"/>
      <c r="F52326"/>
    </row>
    <row r="52327" spans="1:6" x14ac:dyDescent="0.25">
      <c r="A52327"/>
      <c r="B52327"/>
      <c r="C52327"/>
      <c r="E52327"/>
      <c r="F52327"/>
    </row>
    <row r="52328" spans="1:6" x14ac:dyDescent="0.25">
      <c r="A52328"/>
      <c r="B52328"/>
      <c r="C52328"/>
      <c r="E52328"/>
      <c r="F52328"/>
    </row>
    <row r="52329" spans="1:6" x14ac:dyDescent="0.25">
      <c r="A52329"/>
      <c r="B52329"/>
      <c r="C52329"/>
      <c r="E52329"/>
      <c r="F52329"/>
    </row>
    <row r="52330" spans="1:6" x14ac:dyDescent="0.25">
      <c r="A52330"/>
      <c r="B52330"/>
      <c r="C52330"/>
      <c r="E52330"/>
      <c r="F52330"/>
    </row>
    <row r="52331" spans="1:6" x14ac:dyDescent="0.25">
      <c r="A52331"/>
      <c r="B52331"/>
      <c r="C52331"/>
      <c r="E52331"/>
      <c r="F52331"/>
    </row>
    <row r="52332" spans="1:6" x14ac:dyDescent="0.25">
      <c r="A52332"/>
      <c r="B52332"/>
      <c r="C52332"/>
      <c r="E52332"/>
      <c r="F52332"/>
    </row>
    <row r="52333" spans="1:6" x14ac:dyDescent="0.25">
      <c r="A52333"/>
      <c r="B52333"/>
      <c r="C52333"/>
      <c r="E52333"/>
      <c r="F52333"/>
    </row>
    <row r="52334" spans="1:6" x14ac:dyDescent="0.25">
      <c r="A52334"/>
      <c r="B52334"/>
      <c r="C52334"/>
      <c r="E52334"/>
      <c r="F52334"/>
    </row>
    <row r="52335" spans="1:6" x14ac:dyDescent="0.25">
      <c r="A52335"/>
      <c r="B52335"/>
      <c r="C52335"/>
      <c r="E52335"/>
      <c r="F52335"/>
    </row>
    <row r="52336" spans="1:6" x14ac:dyDescent="0.25">
      <c r="A52336"/>
      <c r="B52336"/>
      <c r="C52336"/>
      <c r="E52336"/>
      <c r="F52336"/>
    </row>
    <row r="52337" spans="1:6" x14ac:dyDescent="0.25">
      <c r="A52337"/>
      <c r="B52337"/>
      <c r="C52337"/>
      <c r="E52337"/>
      <c r="F52337"/>
    </row>
    <row r="52338" spans="1:6" x14ac:dyDescent="0.25">
      <c r="A52338"/>
      <c r="B52338"/>
      <c r="C52338"/>
      <c r="E52338"/>
      <c r="F52338"/>
    </row>
    <row r="52339" spans="1:6" x14ac:dyDescent="0.25">
      <c r="A52339"/>
      <c r="B52339"/>
      <c r="C52339"/>
      <c r="E52339"/>
      <c r="F52339"/>
    </row>
    <row r="52340" spans="1:6" x14ac:dyDescent="0.25">
      <c r="A52340"/>
      <c r="B52340"/>
      <c r="C52340"/>
      <c r="E52340"/>
      <c r="F52340"/>
    </row>
    <row r="52341" spans="1:6" x14ac:dyDescent="0.25">
      <c r="A52341"/>
      <c r="B52341"/>
      <c r="C52341"/>
      <c r="E52341"/>
      <c r="F52341"/>
    </row>
    <row r="52342" spans="1:6" x14ac:dyDescent="0.25">
      <c r="A52342"/>
      <c r="B52342"/>
      <c r="C52342"/>
      <c r="E52342"/>
      <c r="F52342"/>
    </row>
    <row r="52343" spans="1:6" x14ac:dyDescent="0.25">
      <c r="A52343"/>
      <c r="B52343"/>
      <c r="C52343"/>
      <c r="E52343"/>
      <c r="F52343"/>
    </row>
    <row r="52344" spans="1:6" x14ac:dyDescent="0.25">
      <c r="A52344"/>
      <c r="B52344"/>
      <c r="C52344"/>
      <c r="E52344"/>
      <c r="F52344"/>
    </row>
    <row r="52345" spans="1:6" x14ac:dyDescent="0.25">
      <c r="A52345"/>
      <c r="B52345"/>
      <c r="C52345"/>
      <c r="E52345"/>
      <c r="F52345"/>
    </row>
    <row r="52346" spans="1:6" x14ac:dyDescent="0.25">
      <c r="A52346"/>
      <c r="B52346"/>
      <c r="C52346"/>
      <c r="E52346"/>
      <c r="F52346"/>
    </row>
    <row r="52347" spans="1:6" x14ac:dyDescent="0.25">
      <c r="A52347"/>
      <c r="B52347"/>
      <c r="C52347"/>
      <c r="E52347"/>
      <c r="F52347"/>
    </row>
    <row r="52348" spans="1:6" x14ac:dyDescent="0.25">
      <c r="A52348"/>
      <c r="B52348"/>
      <c r="C52348"/>
      <c r="E52348"/>
      <c r="F52348"/>
    </row>
    <row r="52349" spans="1:6" x14ac:dyDescent="0.25">
      <c r="A52349"/>
      <c r="B52349"/>
      <c r="C52349"/>
      <c r="E52349"/>
      <c r="F52349"/>
    </row>
    <row r="52350" spans="1:6" x14ac:dyDescent="0.25">
      <c r="A52350"/>
      <c r="B52350"/>
      <c r="C52350"/>
      <c r="E52350"/>
      <c r="F52350"/>
    </row>
    <row r="52351" spans="1:6" x14ac:dyDescent="0.25">
      <c r="A52351"/>
      <c r="B52351"/>
      <c r="C52351"/>
      <c r="E52351"/>
      <c r="F52351"/>
    </row>
    <row r="52352" spans="1:6" x14ac:dyDescent="0.25">
      <c r="A52352"/>
      <c r="B52352"/>
      <c r="C52352"/>
      <c r="E52352"/>
      <c r="F52352"/>
    </row>
    <row r="52353" spans="1:6" x14ac:dyDescent="0.25">
      <c r="A52353"/>
      <c r="B52353"/>
      <c r="C52353"/>
      <c r="E52353"/>
      <c r="F52353"/>
    </row>
    <row r="52354" spans="1:6" x14ac:dyDescent="0.25">
      <c r="A52354"/>
      <c r="B52354"/>
      <c r="C52354"/>
      <c r="E52354"/>
      <c r="F52354"/>
    </row>
    <row r="52355" spans="1:6" x14ac:dyDescent="0.25">
      <c r="A52355"/>
      <c r="B52355"/>
      <c r="C52355"/>
      <c r="E52355"/>
      <c r="F52355"/>
    </row>
    <row r="52356" spans="1:6" x14ac:dyDescent="0.25">
      <c r="A52356"/>
      <c r="B52356"/>
      <c r="C52356"/>
      <c r="E52356"/>
      <c r="F52356"/>
    </row>
    <row r="52357" spans="1:6" x14ac:dyDescent="0.25">
      <c r="A52357"/>
      <c r="B52357"/>
      <c r="C52357"/>
      <c r="E52357"/>
      <c r="F52357"/>
    </row>
    <row r="52358" spans="1:6" x14ac:dyDescent="0.25">
      <c r="A52358"/>
      <c r="B52358"/>
      <c r="C52358"/>
      <c r="E52358"/>
      <c r="F52358"/>
    </row>
    <row r="52359" spans="1:6" x14ac:dyDescent="0.25">
      <c r="A52359"/>
      <c r="B52359"/>
      <c r="C52359"/>
      <c r="E52359"/>
      <c r="F52359"/>
    </row>
    <row r="52360" spans="1:6" x14ac:dyDescent="0.25">
      <c r="A52360"/>
      <c r="B52360"/>
      <c r="C52360"/>
      <c r="E52360"/>
      <c r="F52360"/>
    </row>
    <row r="52361" spans="1:6" x14ac:dyDescent="0.25">
      <c r="A52361"/>
      <c r="B52361"/>
      <c r="C52361"/>
      <c r="E52361"/>
      <c r="F52361"/>
    </row>
    <row r="52362" spans="1:6" x14ac:dyDescent="0.25">
      <c r="A52362"/>
      <c r="B52362"/>
      <c r="C52362"/>
      <c r="E52362"/>
      <c r="F52362"/>
    </row>
    <row r="52363" spans="1:6" x14ac:dyDescent="0.25">
      <c r="A52363"/>
      <c r="B52363"/>
      <c r="C52363"/>
      <c r="E52363"/>
      <c r="F52363"/>
    </row>
    <row r="52364" spans="1:6" x14ac:dyDescent="0.25">
      <c r="A52364"/>
      <c r="B52364"/>
      <c r="C52364"/>
      <c r="E52364"/>
      <c r="F52364"/>
    </row>
    <row r="52365" spans="1:6" x14ac:dyDescent="0.25">
      <c r="A52365"/>
      <c r="B52365"/>
      <c r="C52365"/>
      <c r="E52365"/>
      <c r="F52365"/>
    </row>
    <row r="52366" spans="1:6" x14ac:dyDescent="0.25">
      <c r="A52366"/>
      <c r="B52366"/>
      <c r="C52366"/>
      <c r="E52366"/>
      <c r="F52366"/>
    </row>
    <row r="52367" spans="1:6" x14ac:dyDescent="0.25">
      <c r="A52367"/>
      <c r="B52367"/>
      <c r="C52367"/>
      <c r="E52367"/>
      <c r="F52367"/>
    </row>
    <row r="52368" spans="1:6" x14ac:dyDescent="0.25">
      <c r="A52368"/>
      <c r="B52368"/>
      <c r="C52368"/>
      <c r="E52368"/>
      <c r="F52368"/>
    </row>
    <row r="52369" spans="1:6" x14ac:dyDescent="0.25">
      <c r="A52369"/>
      <c r="B52369"/>
      <c r="C52369"/>
      <c r="E52369"/>
      <c r="F52369"/>
    </row>
    <row r="52370" spans="1:6" x14ac:dyDescent="0.25">
      <c r="A52370"/>
      <c r="B52370"/>
      <c r="C52370"/>
      <c r="E52370"/>
      <c r="F52370"/>
    </row>
    <row r="52371" spans="1:6" x14ac:dyDescent="0.25">
      <c r="A52371"/>
      <c r="B52371"/>
      <c r="C52371"/>
      <c r="E52371"/>
      <c r="F52371"/>
    </row>
    <row r="52372" spans="1:6" x14ac:dyDescent="0.25">
      <c r="A52372"/>
      <c r="B52372"/>
      <c r="C52372"/>
      <c r="E52372"/>
      <c r="F52372"/>
    </row>
    <row r="52373" spans="1:6" x14ac:dyDescent="0.25">
      <c r="A52373"/>
      <c r="B52373"/>
      <c r="C52373"/>
      <c r="E52373"/>
      <c r="F52373"/>
    </row>
    <row r="52374" spans="1:6" x14ac:dyDescent="0.25">
      <c r="A52374"/>
      <c r="B52374"/>
      <c r="C52374"/>
      <c r="E52374"/>
      <c r="F52374"/>
    </row>
    <row r="52375" spans="1:6" x14ac:dyDescent="0.25">
      <c r="A52375"/>
      <c r="B52375"/>
      <c r="C52375"/>
      <c r="E52375"/>
      <c r="F52375"/>
    </row>
    <row r="52376" spans="1:6" x14ac:dyDescent="0.25">
      <c r="A52376"/>
      <c r="B52376"/>
      <c r="C52376"/>
      <c r="E52376"/>
      <c r="F52376"/>
    </row>
    <row r="52377" spans="1:6" x14ac:dyDescent="0.25">
      <c r="A52377"/>
      <c r="B52377"/>
      <c r="C52377"/>
      <c r="E52377"/>
      <c r="F52377"/>
    </row>
    <row r="52378" spans="1:6" x14ac:dyDescent="0.25">
      <c r="A52378"/>
      <c r="B52378"/>
      <c r="C52378"/>
      <c r="E52378"/>
      <c r="F52378"/>
    </row>
    <row r="52379" spans="1:6" x14ac:dyDescent="0.25">
      <c r="A52379"/>
      <c r="B52379"/>
      <c r="C52379"/>
      <c r="E52379"/>
      <c r="F52379"/>
    </row>
    <row r="52380" spans="1:6" x14ac:dyDescent="0.25">
      <c r="A52380"/>
      <c r="B52380"/>
      <c r="C52380"/>
      <c r="E52380"/>
      <c r="F52380"/>
    </row>
    <row r="52381" spans="1:6" x14ac:dyDescent="0.25">
      <c r="A52381"/>
      <c r="B52381"/>
      <c r="C52381"/>
      <c r="E52381"/>
      <c r="F52381"/>
    </row>
    <row r="52382" spans="1:6" x14ac:dyDescent="0.25">
      <c r="A52382"/>
      <c r="B52382"/>
      <c r="C52382"/>
      <c r="E52382"/>
      <c r="F52382"/>
    </row>
    <row r="52383" spans="1:6" x14ac:dyDescent="0.25">
      <c r="A52383"/>
      <c r="B52383"/>
      <c r="C52383"/>
      <c r="E52383"/>
      <c r="F52383"/>
    </row>
    <row r="52384" spans="1:6" x14ac:dyDescent="0.25">
      <c r="A52384"/>
      <c r="B52384"/>
      <c r="C52384"/>
      <c r="E52384"/>
      <c r="F52384"/>
    </row>
    <row r="52385" spans="1:6" x14ac:dyDescent="0.25">
      <c r="A52385"/>
      <c r="B52385"/>
      <c r="C52385"/>
      <c r="E52385"/>
      <c r="F52385"/>
    </row>
    <row r="52386" spans="1:6" x14ac:dyDescent="0.25">
      <c r="A52386"/>
      <c r="B52386"/>
      <c r="C52386"/>
      <c r="E52386"/>
      <c r="F52386"/>
    </row>
    <row r="52387" spans="1:6" x14ac:dyDescent="0.25">
      <c r="A52387"/>
      <c r="B52387"/>
      <c r="C52387"/>
      <c r="E52387"/>
      <c r="F52387"/>
    </row>
    <row r="52388" spans="1:6" x14ac:dyDescent="0.25">
      <c r="A52388"/>
      <c r="B52388"/>
      <c r="C52388"/>
      <c r="E52388"/>
      <c r="F52388"/>
    </row>
    <row r="52389" spans="1:6" x14ac:dyDescent="0.25">
      <c r="A52389"/>
      <c r="B52389"/>
      <c r="C52389"/>
      <c r="E52389"/>
      <c r="F52389"/>
    </row>
    <row r="52390" spans="1:6" x14ac:dyDescent="0.25">
      <c r="A52390"/>
      <c r="B52390"/>
      <c r="C52390"/>
      <c r="E52390"/>
      <c r="F52390"/>
    </row>
    <row r="52391" spans="1:6" x14ac:dyDescent="0.25">
      <c r="A52391"/>
      <c r="B52391"/>
      <c r="C52391"/>
      <c r="E52391"/>
      <c r="F52391"/>
    </row>
    <row r="52392" spans="1:6" x14ac:dyDescent="0.25">
      <c r="A52392"/>
      <c r="B52392"/>
      <c r="C52392"/>
      <c r="E52392"/>
      <c r="F52392"/>
    </row>
    <row r="52393" spans="1:6" x14ac:dyDescent="0.25">
      <c r="A52393"/>
      <c r="B52393"/>
      <c r="C52393"/>
      <c r="E52393"/>
      <c r="F52393"/>
    </row>
    <row r="52394" spans="1:6" x14ac:dyDescent="0.25">
      <c r="A52394"/>
      <c r="B52394"/>
      <c r="C52394"/>
      <c r="E52394"/>
      <c r="F52394"/>
    </row>
    <row r="52395" spans="1:6" x14ac:dyDescent="0.25">
      <c r="A52395"/>
      <c r="B52395"/>
      <c r="C52395"/>
      <c r="E52395"/>
      <c r="F52395"/>
    </row>
    <row r="52396" spans="1:6" x14ac:dyDescent="0.25">
      <c r="A52396"/>
      <c r="B52396"/>
      <c r="C52396"/>
      <c r="E52396"/>
      <c r="F52396"/>
    </row>
    <row r="52397" spans="1:6" x14ac:dyDescent="0.25">
      <c r="A52397"/>
      <c r="B52397"/>
      <c r="C52397"/>
      <c r="E52397"/>
      <c r="F52397"/>
    </row>
    <row r="52398" spans="1:6" x14ac:dyDescent="0.25">
      <c r="A52398"/>
      <c r="B52398"/>
      <c r="C52398"/>
      <c r="E52398"/>
      <c r="F52398"/>
    </row>
    <row r="52399" spans="1:6" x14ac:dyDescent="0.25">
      <c r="A52399"/>
      <c r="B52399"/>
      <c r="C52399"/>
      <c r="E52399"/>
      <c r="F52399"/>
    </row>
    <row r="52400" spans="1:6" x14ac:dyDescent="0.25">
      <c r="A52400"/>
      <c r="B52400"/>
      <c r="C52400"/>
      <c r="E52400"/>
      <c r="F52400"/>
    </row>
    <row r="52401" spans="1:6" x14ac:dyDescent="0.25">
      <c r="A52401"/>
      <c r="B52401"/>
      <c r="C52401"/>
      <c r="E52401"/>
      <c r="F52401"/>
    </row>
    <row r="52402" spans="1:6" x14ac:dyDescent="0.25">
      <c r="A52402"/>
      <c r="B52402"/>
      <c r="C52402"/>
      <c r="E52402"/>
      <c r="F52402"/>
    </row>
    <row r="52403" spans="1:6" x14ac:dyDescent="0.25">
      <c r="A52403"/>
      <c r="B52403"/>
      <c r="C52403"/>
      <c r="E52403"/>
      <c r="F52403"/>
    </row>
    <row r="52404" spans="1:6" x14ac:dyDescent="0.25">
      <c r="A52404"/>
      <c r="B52404"/>
      <c r="C52404"/>
      <c r="E52404"/>
      <c r="F52404"/>
    </row>
    <row r="52405" spans="1:6" x14ac:dyDescent="0.25">
      <c r="A52405"/>
      <c r="B52405"/>
      <c r="C52405"/>
      <c r="E52405"/>
      <c r="F52405"/>
    </row>
    <row r="52406" spans="1:6" x14ac:dyDescent="0.25">
      <c r="A52406"/>
      <c r="B52406"/>
      <c r="C52406"/>
      <c r="E52406"/>
      <c r="F52406"/>
    </row>
    <row r="52407" spans="1:6" x14ac:dyDescent="0.25">
      <c r="A52407"/>
      <c r="B52407"/>
      <c r="C52407"/>
      <c r="E52407"/>
      <c r="F52407"/>
    </row>
    <row r="52408" spans="1:6" x14ac:dyDescent="0.25">
      <c r="A52408"/>
      <c r="B52408"/>
      <c r="C52408"/>
      <c r="E52408"/>
      <c r="F52408"/>
    </row>
    <row r="52409" spans="1:6" x14ac:dyDescent="0.25">
      <c r="A52409"/>
      <c r="B52409"/>
      <c r="C52409"/>
      <c r="E52409"/>
      <c r="F52409"/>
    </row>
    <row r="52410" spans="1:6" x14ac:dyDescent="0.25">
      <c r="A52410"/>
      <c r="B52410"/>
      <c r="C52410"/>
      <c r="E52410"/>
      <c r="F52410"/>
    </row>
    <row r="52411" spans="1:6" x14ac:dyDescent="0.25">
      <c r="A52411"/>
      <c r="B52411"/>
      <c r="C52411"/>
      <c r="E52411"/>
      <c r="F52411"/>
    </row>
    <row r="52412" spans="1:6" x14ac:dyDescent="0.25">
      <c r="A52412"/>
      <c r="B52412"/>
      <c r="C52412"/>
      <c r="E52412"/>
      <c r="F52412"/>
    </row>
    <row r="52413" spans="1:6" x14ac:dyDescent="0.25">
      <c r="A52413"/>
      <c r="B52413"/>
      <c r="C52413"/>
      <c r="E52413"/>
      <c r="F52413"/>
    </row>
    <row r="52414" spans="1:6" x14ac:dyDescent="0.25">
      <c r="A52414"/>
      <c r="B52414"/>
      <c r="C52414"/>
      <c r="E52414"/>
      <c r="F52414"/>
    </row>
    <row r="52415" spans="1:6" x14ac:dyDescent="0.25">
      <c r="A52415"/>
      <c r="B52415"/>
      <c r="C52415"/>
      <c r="E52415"/>
      <c r="F52415"/>
    </row>
    <row r="52416" spans="1:6" x14ac:dyDescent="0.25">
      <c r="A52416"/>
      <c r="B52416"/>
      <c r="C52416"/>
      <c r="E52416"/>
      <c r="F52416"/>
    </row>
    <row r="52417" spans="1:6" x14ac:dyDescent="0.25">
      <c r="A52417"/>
      <c r="B52417"/>
      <c r="C52417"/>
      <c r="E52417"/>
      <c r="F52417"/>
    </row>
    <row r="52418" spans="1:6" x14ac:dyDescent="0.25">
      <c r="A52418"/>
      <c r="B52418"/>
      <c r="C52418"/>
      <c r="E52418"/>
      <c r="F52418"/>
    </row>
    <row r="52419" spans="1:6" x14ac:dyDescent="0.25">
      <c r="A52419"/>
      <c r="B52419"/>
      <c r="C52419"/>
      <c r="E52419"/>
      <c r="F52419"/>
    </row>
    <row r="52420" spans="1:6" x14ac:dyDescent="0.25">
      <c r="A52420"/>
      <c r="B52420"/>
      <c r="C52420"/>
      <c r="E52420"/>
      <c r="F52420"/>
    </row>
    <row r="52421" spans="1:6" x14ac:dyDescent="0.25">
      <c r="A52421"/>
      <c r="B52421"/>
      <c r="C52421"/>
      <c r="E52421"/>
      <c r="F52421"/>
    </row>
    <row r="52422" spans="1:6" x14ac:dyDescent="0.25">
      <c r="A52422"/>
      <c r="B52422"/>
      <c r="C52422"/>
      <c r="E52422"/>
      <c r="F52422"/>
    </row>
    <row r="52423" spans="1:6" x14ac:dyDescent="0.25">
      <c r="A52423"/>
      <c r="B52423"/>
      <c r="C52423"/>
      <c r="E52423"/>
      <c r="F52423"/>
    </row>
    <row r="52424" spans="1:6" x14ac:dyDescent="0.25">
      <c r="A52424"/>
      <c r="B52424"/>
      <c r="C52424"/>
      <c r="E52424"/>
      <c r="F52424"/>
    </row>
    <row r="52425" spans="1:6" x14ac:dyDescent="0.25">
      <c r="A52425"/>
      <c r="B52425"/>
      <c r="C52425"/>
      <c r="E52425"/>
      <c r="F52425"/>
    </row>
    <row r="52426" spans="1:6" x14ac:dyDescent="0.25">
      <c r="A52426"/>
      <c r="B52426"/>
      <c r="C52426"/>
      <c r="E52426"/>
      <c r="F52426"/>
    </row>
    <row r="52427" spans="1:6" x14ac:dyDescent="0.25">
      <c r="A52427"/>
      <c r="B52427"/>
      <c r="C52427"/>
      <c r="E52427"/>
      <c r="F52427"/>
    </row>
    <row r="52428" spans="1:6" x14ac:dyDescent="0.25">
      <c r="A52428"/>
      <c r="B52428"/>
      <c r="C52428"/>
      <c r="E52428"/>
      <c r="F52428"/>
    </row>
    <row r="52429" spans="1:6" x14ac:dyDescent="0.25">
      <c r="A52429"/>
      <c r="B52429"/>
      <c r="C52429"/>
      <c r="E52429"/>
      <c r="F52429"/>
    </row>
    <row r="52430" spans="1:6" x14ac:dyDescent="0.25">
      <c r="A52430"/>
      <c r="B52430"/>
      <c r="C52430"/>
      <c r="E52430"/>
      <c r="F52430"/>
    </row>
    <row r="52431" spans="1:6" x14ac:dyDescent="0.25">
      <c r="A52431"/>
      <c r="B52431"/>
      <c r="C52431"/>
      <c r="E52431"/>
      <c r="F52431"/>
    </row>
    <row r="52432" spans="1:6" x14ac:dyDescent="0.25">
      <c r="A52432"/>
      <c r="B52432"/>
      <c r="C52432"/>
      <c r="E52432"/>
      <c r="F52432"/>
    </row>
    <row r="52433" spans="1:6" x14ac:dyDescent="0.25">
      <c r="A52433"/>
      <c r="B52433"/>
      <c r="C52433"/>
      <c r="E52433"/>
      <c r="F52433"/>
    </row>
    <row r="52434" spans="1:6" x14ac:dyDescent="0.25">
      <c r="A52434"/>
      <c r="B52434"/>
      <c r="C52434"/>
      <c r="E52434"/>
      <c r="F52434"/>
    </row>
    <row r="52435" spans="1:6" x14ac:dyDescent="0.25">
      <c r="A52435"/>
      <c r="B52435"/>
      <c r="C52435"/>
      <c r="E52435"/>
      <c r="F52435"/>
    </row>
    <row r="52436" spans="1:6" x14ac:dyDescent="0.25">
      <c r="A52436"/>
      <c r="B52436"/>
      <c r="C52436"/>
      <c r="E52436"/>
      <c r="F52436"/>
    </row>
    <row r="52437" spans="1:6" x14ac:dyDescent="0.25">
      <c r="A52437"/>
      <c r="B52437"/>
      <c r="C52437"/>
      <c r="E52437"/>
      <c r="F52437"/>
    </row>
    <row r="52438" spans="1:6" x14ac:dyDescent="0.25">
      <c r="A52438"/>
      <c r="B52438"/>
      <c r="C52438"/>
      <c r="E52438"/>
      <c r="F52438"/>
    </row>
    <row r="52439" spans="1:6" x14ac:dyDescent="0.25">
      <c r="A52439"/>
      <c r="B52439"/>
      <c r="C52439"/>
      <c r="E52439"/>
      <c r="F52439"/>
    </row>
    <row r="52440" spans="1:6" x14ac:dyDescent="0.25">
      <c r="A52440"/>
      <c r="B52440"/>
      <c r="C52440"/>
      <c r="E52440"/>
      <c r="F52440"/>
    </row>
    <row r="52441" spans="1:6" x14ac:dyDescent="0.25">
      <c r="A52441"/>
      <c r="B52441"/>
      <c r="C52441"/>
      <c r="E52441"/>
      <c r="F52441"/>
    </row>
    <row r="52442" spans="1:6" x14ac:dyDescent="0.25">
      <c r="A52442"/>
      <c r="B52442"/>
      <c r="C52442"/>
      <c r="E52442"/>
      <c r="F52442"/>
    </row>
    <row r="52443" spans="1:6" x14ac:dyDescent="0.25">
      <c r="A52443"/>
      <c r="B52443"/>
      <c r="C52443"/>
      <c r="E52443"/>
      <c r="F52443"/>
    </row>
    <row r="52444" spans="1:6" x14ac:dyDescent="0.25">
      <c r="A52444"/>
      <c r="B52444"/>
      <c r="C52444"/>
      <c r="E52444"/>
      <c r="F52444"/>
    </row>
    <row r="52445" spans="1:6" x14ac:dyDescent="0.25">
      <c r="A52445"/>
      <c r="B52445"/>
      <c r="C52445"/>
      <c r="E52445"/>
      <c r="F52445"/>
    </row>
    <row r="52446" spans="1:6" x14ac:dyDescent="0.25">
      <c r="A52446"/>
      <c r="B52446"/>
      <c r="C52446"/>
      <c r="E52446"/>
      <c r="F52446"/>
    </row>
    <row r="52447" spans="1:6" x14ac:dyDescent="0.25">
      <c r="A52447"/>
      <c r="B52447"/>
      <c r="C52447"/>
      <c r="E52447"/>
      <c r="F52447"/>
    </row>
    <row r="52448" spans="1:6" x14ac:dyDescent="0.25">
      <c r="A52448"/>
      <c r="B52448"/>
      <c r="C52448"/>
      <c r="E52448"/>
      <c r="F52448"/>
    </row>
    <row r="52449" spans="1:6" x14ac:dyDescent="0.25">
      <c r="A52449"/>
      <c r="B52449"/>
      <c r="C52449"/>
      <c r="E52449"/>
      <c r="F52449"/>
    </row>
    <row r="52450" spans="1:6" x14ac:dyDescent="0.25">
      <c r="A52450"/>
      <c r="B52450"/>
      <c r="C52450"/>
      <c r="E52450"/>
      <c r="F52450"/>
    </row>
    <row r="52451" spans="1:6" x14ac:dyDescent="0.25">
      <c r="A52451"/>
      <c r="B52451"/>
      <c r="C52451"/>
      <c r="E52451"/>
      <c r="F52451"/>
    </row>
    <row r="52452" spans="1:6" x14ac:dyDescent="0.25">
      <c r="A52452"/>
      <c r="B52452"/>
      <c r="C52452"/>
      <c r="E52452"/>
      <c r="F52452"/>
    </row>
    <row r="52453" spans="1:6" x14ac:dyDescent="0.25">
      <c r="A52453"/>
      <c r="B52453"/>
      <c r="C52453"/>
      <c r="E52453"/>
      <c r="F52453"/>
    </row>
    <row r="52454" spans="1:6" x14ac:dyDescent="0.25">
      <c r="A52454"/>
      <c r="B52454"/>
      <c r="C52454"/>
      <c r="E52454"/>
      <c r="F52454"/>
    </row>
    <row r="52455" spans="1:6" x14ac:dyDescent="0.25">
      <c r="A52455"/>
      <c r="B52455"/>
      <c r="C52455"/>
      <c r="E52455"/>
      <c r="F52455"/>
    </row>
    <row r="52456" spans="1:6" x14ac:dyDescent="0.25">
      <c r="A52456"/>
      <c r="B52456"/>
      <c r="C52456"/>
      <c r="E52456"/>
      <c r="F52456"/>
    </row>
    <row r="52457" spans="1:6" x14ac:dyDescent="0.25">
      <c r="A52457"/>
      <c r="B52457"/>
      <c r="C52457"/>
      <c r="E52457"/>
      <c r="F52457"/>
    </row>
    <row r="52458" spans="1:6" x14ac:dyDescent="0.25">
      <c r="A52458"/>
      <c r="B52458"/>
      <c r="C52458"/>
      <c r="E52458"/>
      <c r="F52458"/>
    </row>
    <row r="52459" spans="1:6" x14ac:dyDescent="0.25">
      <c r="A52459"/>
      <c r="B52459"/>
      <c r="C52459"/>
      <c r="E52459"/>
      <c r="F52459"/>
    </row>
    <row r="52460" spans="1:6" x14ac:dyDescent="0.25">
      <c r="A52460"/>
      <c r="B52460"/>
      <c r="C52460"/>
      <c r="E52460"/>
      <c r="F52460"/>
    </row>
    <row r="52461" spans="1:6" x14ac:dyDescent="0.25">
      <c r="A52461"/>
      <c r="B52461"/>
      <c r="C52461"/>
      <c r="E52461"/>
      <c r="F52461"/>
    </row>
    <row r="52462" spans="1:6" x14ac:dyDescent="0.25">
      <c r="A52462"/>
      <c r="B52462"/>
      <c r="C52462"/>
      <c r="E52462"/>
      <c r="F52462"/>
    </row>
    <row r="52463" spans="1:6" x14ac:dyDescent="0.25">
      <c r="A52463"/>
      <c r="B52463"/>
      <c r="C52463"/>
      <c r="E52463"/>
      <c r="F52463"/>
    </row>
    <row r="52464" spans="1:6" x14ac:dyDescent="0.25">
      <c r="A52464"/>
      <c r="B52464"/>
      <c r="C52464"/>
      <c r="E52464"/>
      <c r="F52464"/>
    </row>
    <row r="52465" spans="1:6" x14ac:dyDescent="0.25">
      <c r="A52465"/>
      <c r="B52465"/>
      <c r="C52465"/>
      <c r="E52465"/>
      <c r="F52465"/>
    </row>
    <row r="52466" spans="1:6" x14ac:dyDescent="0.25">
      <c r="A52466"/>
      <c r="B52466"/>
      <c r="C52466"/>
      <c r="E52466"/>
      <c r="F52466"/>
    </row>
    <row r="52467" spans="1:6" x14ac:dyDescent="0.25">
      <c r="A52467"/>
      <c r="B52467"/>
      <c r="C52467"/>
      <c r="E52467"/>
      <c r="F52467"/>
    </row>
    <row r="52468" spans="1:6" x14ac:dyDescent="0.25">
      <c r="A52468"/>
      <c r="B52468"/>
      <c r="C52468"/>
      <c r="E52468"/>
      <c r="F52468"/>
    </row>
    <row r="52469" spans="1:6" x14ac:dyDescent="0.25">
      <c r="A52469"/>
      <c r="B52469"/>
      <c r="C52469"/>
      <c r="E52469"/>
      <c r="F52469"/>
    </row>
    <row r="52470" spans="1:6" x14ac:dyDescent="0.25">
      <c r="A52470"/>
      <c r="B52470"/>
      <c r="C52470"/>
      <c r="E52470"/>
      <c r="F52470"/>
    </row>
    <row r="52471" spans="1:6" x14ac:dyDescent="0.25">
      <c r="A52471"/>
      <c r="B52471"/>
      <c r="C52471"/>
      <c r="E52471"/>
      <c r="F52471"/>
    </row>
    <row r="52472" spans="1:6" x14ac:dyDescent="0.25">
      <c r="A52472"/>
      <c r="B52472"/>
      <c r="C52472"/>
      <c r="E52472"/>
      <c r="F52472"/>
    </row>
    <row r="52473" spans="1:6" x14ac:dyDescent="0.25">
      <c r="A52473"/>
      <c r="B52473"/>
      <c r="C52473"/>
      <c r="E52473"/>
      <c r="F52473"/>
    </row>
    <row r="52474" spans="1:6" x14ac:dyDescent="0.25">
      <c r="A52474"/>
      <c r="B52474"/>
      <c r="C52474"/>
      <c r="E52474"/>
      <c r="F52474"/>
    </row>
    <row r="52475" spans="1:6" x14ac:dyDescent="0.25">
      <c r="A52475"/>
      <c r="B52475"/>
      <c r="C52475"/>
      <c r="E52475"/>
      <c r="F52475"/>
    </row>
    <row r="52476" spans="1:6" x14ac:dyDescent="0.25">
      <c r="A52476"/>
      <c r="B52476"/>
      <c r="C52476"/>
      <c r="E52476"/>
      <c r="F52476"/>
    </row>
    <row r="52477" spans="1:6" x14ac:dyDescent="0.25">
      <c r="A52477"/>
      <c r="B52477"/>
      <c r="C52477"/>
      <c r="E52477"/>
      <c r="F52477"/>
    </row>
    <row r="52478" spans="1:6" x14ac:dyDescent="0.25">
      <c r="A52478"/>
      <c r="B52478"/>
      <c r="C52478"/>
      <c r="E52478"/>
      <c r="F52478"/>
    </row>
    <row r="52479" spans="1:6" x14ac:dyDescent="0.25">
      <c r="A52479"/>
      <c r="B52479"/>
      <c r="C52479"/>
      <c r="E52479"/>
      <c r="F52479"/>
    </row>
    <row r="52480" spans="1:6" x14ac:dyDescent="0.25">
      <c r="A52480"/>
      <c r="B52480"/>
      <c r="C52480"/>
      <c r="E52480"/>
      <c r="F52480"/>
    </row>
    <row r="52481" spans="1:6" x14ac:dyDescent="0.25">
      <c r="A52481"/>
      <c r="B52481"/>
      <c r="C52481"/>
      <c r="E52481"/>
      <c r="F52481"/>
    </row>
    <row r="52482" spans="1:6" x14ac:dyDescent="0.25">
      <c r="A52482"/>
      <c r="B52482"/>
      <c r="C52482"/>
      <c r="E52482"/>
      <c r="F52482"/>
    </row>
    <row r="52483" spans="1:6" x14ac:dyDescent="0.25">
      <c r="A52483"/>
      <c r="B52483"/>
      <c r="C52483"/>
      <c r="E52483"/>
      <c r="F52483"/>
    </row>
    <row r="52484" spans="1:6" x14ac:dyDescent="0.25">
      <c r="A52484"/>
      <c r="B52484"/>
      <c r="C52484"/>
      <c r="E52484"/>
      <c r="F52484"/>
    </row>
    <row r="52485" spans="1:6" x14ac:dyDescent="0.25">
      <c r="A52485"/>
      <c r="B52485"/>
      <c r="C52485"/>
      <c r="E52485"/>
      <c r="F52485"/>
    </row>
    <row r="52486" spans="1:6" x14ac:dyDescent="0.25">
      <c r="A52486"/>
      <c r="B52486"/>
      <c r="C52486"/>
      <c r="E52486"/>
      <c r="F52486"/>
    </row>
    <row r="52487" spans="1:6" x14ac:dyDescent="0.25">
      <c r="A52487"/>
      <c r="B52487"/>
      <c r="C52487"/>
      <c r="E52487"/>
      <c r="F52487"/>
    </row>
    <row r="52488" spans="1:6" x14ac:dyDescent="0.25">
      <c r="A52488"/>
      <c r="B52488"/>
      <c r="C52488"/>
      <c r="E52488"/>
      <c r="F52488"/>
    </row>
    <row r="52489" spans="1:6" x14ac:dyDescent="0.25">
      <c r="A52489"/>
      <c r="B52489"/>
      <c r="C52489"/>
      <c r="E52489"/>
      <c r="F52489"/>
    </row>
    <row r="52490" spans="1:6" x14ac:dyDescent="0.25">
      <c r="A52490"/>
      <c r="B52490"/>
      <c r="C52490"/>
      <c r="E52490"/>
      <c r="F52490"/>
    </row>
    <row r="52491" spans="1:6" x14ac:dyDescent="0.25">
      <c r="A52491"/>
      <c r="B52491"/>
      <c r="C52491"/>
      <c r="E52491"/>
      <c r="F52491"/>
    </row>
    <row r="52492" spans="1:6" x14ac:dyDescent="0.25">
      <c r="A52492"/>
      <c r="B52492"/>
      <c r="C52492"/>
      <c r="E52492"/>
      <c r="F52492"/>
    </row>
    <row r="52493" spans="1:6" x14ac:dyDescent="0.25">
      <c r="A52493"/>
      <c r="B52493"/>
      <c r="C52493"/>
      <c r="E52493"/>
      <c r="F52493"/>
    </row>
    <row r="52494" spans="1:6" x14ac:dyDescent="0.25">
      <c r="A52494"/>
      <c r="B52494"/>
      <c r="C52494"/>
      <c r="E52494"/>
      <c r="F52494"/>
    </row>
    <row r="52495" spans="1:6" x14ac:dyDescent="0.25">
      <c r="A52495"/>
      <c r="B52495"/>
      <c r="C52495"/>
      <c r="E52495"/>
      <c r="F52495"/>
    </row>
    <row r="52496" spans="1:6" x14ac:dyDescent="0.25">
      <c r="A52496"/>
      <c r="B52496"/>
      <c r="C52496"/>
      <c r="E52496"/>
      <c r="F52496"/>
    </row>
    <row r="52497" spans="1:6" x14ac:dyDescent="0.25">
      <c r="A52497"/>
      <c r="B52497"/>
      <c r="C52497"/>
      <c r="E52497"/>
      <c r="F52497"/>
    </row>
    <row r="52498" spans="1:6" x14ac:dyDescent="0.25">
      <c r="A52498"/>
      <c r="B52498"/>
      <c r="C52498"/>
      <c r="E52498"/>
      <c r="F52498"/>
    </row>
    <row r="52499" spans="1:6" x14ac:dyDescent="0.25">
      <c r="A52499"/>
      <c r="B52499"/>
      <c r="C52499"/>
      <c r="E52499"/>
      <c r="F52499"/>
    </row>
    <row r="52500" spans="1:6" x14ac:dyDescent="0.25">
      <c r="A52500"/>
      <c r="B52500"/>
      <c r="C52500"/>
      <c r="E52500"/>
      <c r="F52500"/>
    </row>
    <row r="52501" spans="1:6" x14ac:dyDescent="0.25">
      <c r="A52501"/>
      <c r="B52501"/>
      <c r="C52501"/>
      <c r="E52501"/>
      <c r="F52501"/>
    </row>
    <row r="52502" spans="1:6" x14ac:dyDescent="0.25">
      <c r="A52502"/>
      <c r="B52502"/>
      <c r="C52502"/>
      <c r="E52502"/>
      <c r="F52502"/>
    </row>
    <row r="52503" spans="1:6" x14ac:dyDescent="0.25">
      <c r="A52503"/>
      <c r="B52503"/>
      <c r="C52503"/>
      <c r="E52503"/>
      <c r="F52503"/>
    </row>
    <row r="52504" spans="1:6" x14ac:dyDescent="0.25">
      <c r="A52504"/>
      <c r="B52504"/>
      <c r="C52504"/>
      <c r="E52504"/>
      <c r="F52504"/>
    </row>
    <row r="52505" spans="1:6" x14ac:dyDescent="0.25">
      <c r="A52505"/>
      <c r="B52505"/>
      <c r="C52505"/>
      <c r="E52505"/>
      <c r="F52505"/>
    </row>
    <row r="52506" spans="1:6" x14ac:dyDescent="0.25">
      <c r="A52506"/>
      <c r="B52506"/>
      <c r="C52506"/>
      <c r="E52506"/>
      <c r="F52506"/>
    </row>
    <row r="52507" spans="1:6" x14ac:dyDescent="0.25">
      <c r="A52507"/>
      <c r="B52507"/>
      <c r="C52507"/>
      <c r="E52507"/>
      <c r="F52507"/>
    </row>
    <row r="52508" spans="1:6" x14ac:dyDescent="0.25">
      <c r="A52508"/>
      <c r="B52508"/>
      <c r="C52508"/>
      <c r="E52508"/>
      <c r="F52508"/>
    </row>
    <row r="52509" spans="1:6" x14ac:dyDescent="0.25">
      <c r="A52509"/>
      <c r="B52509"/>
      <c r="C52509"/>
      <c r="E52509"/>
      <c r="F52509"/>
    </row>
    <row r="52510" spans="1:6" x14ac:dyDescent="0.25">
      <c r="A52510"/>
      <c r="B52510"/>
      <c r="C52510"/>
      <c r="E52510"/>
      <c r="F52510"/>
    </row>
    <row r="52511" spans="1:6" x14ac:dyDescent="0.25">
      <c r="A52511"/>
      <c r="B52511"/>
      <c r="C52511"/>
      <c r="E52511"/>
      <c r="F52511"/>
    </row>
    <row r="52512" spans="1:6" x14ac:dyDescent="0.25">
      <c r="A52512"/>
      <c r="B52512"/>
      <c r="C52512"/>
      <c r="E52512"/>
      <c r="F52512"/>
    </row>
    <row r="52513" spans="1:6" x14ac:dyDescent="0.25">
      <c r="A52513"/>
      <c r="B52513"/>
      <c r="C52513"/>
      <c r="E52513"/>
      <c r="F52513"/>
    </row>
    <row r="52514" spans="1:6" x14ac:dyDescent="0.25">
      <c r="A52514"/>
      <c r="B52514"/>
      <c r="C52514"/>
      <c r="E52514"/>
      <c r="F52514"/>
    </row>
    <row r="52515" spans="1:6" x14ac:dyDescent="0.25">
      <c r="A52515"/>
      <c r="B52515"/>
      <c r="C52515"/>
      <c r="E52515"/>
      <c r="F52515"/>
    </row>
    <row r="52516" spans="1:6" x14ac:dyDescent="0.25">
      <c r="A52516"/>
      <c r="B52516"/>
      <c r="C52516"/>
      <c r="E52516"/>
      <c r="F52516"/>
    </row>
    <row r="52517" spans="1:6" x14ac:dyDescent="0.25">
      <c r="A52517"/>
      <c r="B52517"/>
      <c r="C52517"/>
      <c r="E52517"/>
      <c r="F52517"/>
    </row>
    <row r="52518" spans="1:6" x14ac:dyDescent="0.25">
      <c r="A52518"/>
      <c r="B52518"/>
      <c r="C52518"/>
      <c r="E52518"/>
      <c r="F52518"/>
    </row>
    <row r="52519" spans="1:6" x14ac:dyDescent="0.25">
      <c r="A52519"/>
      <c r="B52519"/>
      <c r="C52519"/>
      <c r="E52519"/>
      <c r="F52519"/>
    </row>
    <row r="52520" spans="1:6" x14ac:dyDescent="0.25">
      <c r="A52520"/>
      <c r="B52520"/>
      <c r="C52520"/>
      <c r="E52520"/>
      <c r="F52520"/>
    </row>
    <row r="52521" spans="1:6" x14ac:dyDescent="0.25">
      <c r="A52521"/>
      <c r="B52521"/>
      <c r="C52521"/>
      <c r="E52521"/>
      <c r="F52521"/>
    </row>
    <row r="52522" spans="1:6" x14ac:dyDescent="0.25">
      <c r="A52522"/>
      <c r="B52522"/>
      <c r="C52522"/>
      <c r="E52522"/>
      <c r="F52522"/>
    </row>
    <row r="52523" spans="1:6" x14ac:dyDescent="0.25">
      <c r="A52523"/>
      <c r="B52523"/>
      <c r="C52523"/>
      <c r="E52523"/>
      <c r="F52523"/>
    </row>
    <row r="52524" spans="1:6" x14ac:dyDescent="0.25">
      <c r="A52524"/>
      <c r="B52524"/>
      <c r="C52524"/>
      <c r="E52524"/>
      <c r="F52524"/>
    </row>
    <row r="52525" spans="1:6" x14ac:dyDescent="0.25">
      <c r="A52525"/>
      <c r="B52525"/>
      <c r="C52525"/>
      <c r="E52525"/>
      <c r="F52525"/>
    </row>
    <row r="52526" spans="1:6" x14ac:dyDescent="0.25">
      <c r="A52526"/>
      <c r="B52526"/>
      <c r="C52526"/>
      <c r="E52526"/>
      <c r="F52526"/>
    </row>
    <row r="52527" spans="1:6" x14ac:dyDescent="0.25">
      <c r="A52527"/>
      <c r="B52527"/>
      <c r="C52527"/>
      <c r="E52527"/>
      <c r="F52527"/>
    </row>
    <row r="52528" spans="1:6" x14ac:dyDescent="0.25">
      <c r="A52528"/>
      <c r="B52528"/>
      <c r="C52528"/>
      <c r="E52528"/>
      <c r="F52528"/>
    </row>
    <row r="52529" spans="1:6" x14ac:dyDescent="0.25">
      <c r="A52529"/>
      <c r="B52529"/>
      <c r="C52529"/>
      <c r="E52529"/>
      <c r="F52529"/>
    </row>
    <row r="52530" spans="1:6" x14ac:dyDescent="0.25">
      <c r="A52530"/>
      <c r="B52530"/>
      <c r="C52530"/>
      <c r="E52530"/>
      <c r="F52530"/>
    </row>
    <row r="52531" spans="1:6" x14ac:dyDescent="0.25">
      <c r="A52531"/>
      <c r="B52531"/>
      <c r="C52531"/>
      <c r="E52531"/>
      <c r="F52531"/>
    </row>
    <row r="52532" spans="1:6" x14ac:dyDescent="0.25">
      <c r="A52532"/>
      <c r="B52532"/>
      <c r="C52532"/>
      <c r="E52532"/>
      <c r="F52532"/>
    </row>
    <row r="52533" spans="1:6" x14ac:dyDescent="0.25">
      <c r="A52533"/>
      <c r="B52533"/>
      <c r="C52533"/>
      <c r="E52533"/>
      <c r="F52533"/>
    </row>
    <row r="52534" spans="1:6" x14ac:dyDescent="0.25">
      <c r="A52534"/>
      <c r="B52534"/>
      <c r="C52534"/>
      <c r="E52534"/>
      <c r="F52534"/>
    </row>
    <row r="52535" spans="1:6" x14ac:dyDescent="0.25">
      <c r="A52535"/>
      <c r="B52535"/>
      <c r="C52535"/>
      <c r="E52535"/>
      <c r="F52535"/>
    </row>
    <row r="52536" spans="1:6" x14ac:dyDescent="0.25">
      <c r="A52536"/>
      <c r="B52536"/>
      <c r="C52536"/>
      <c r="E52536"/>
      <c r="F52536"/>
    </row>
    <row r="52537" spans="1:6" x14ac:dyDescent="0.25">
      <c r="A52537"/>
      <c r="B52537"/>
      <c r="C52537"/>
      <c r="E52537"/>
      <c r="F52537"/>
    </row>
    <row r="52538" spans="1:6" x14ac:dyDescent="0.25">
      <c r="A52538"/>
      <c r="B52538"/>
      <c r="C52538"/>
      <c r="E52538"/>
      <c r="F52538"/>
    </row>
    <row r="52539" spans="1:6" x14ac:dyDescent="0.25">
      <c r="A52539"/>
      <c r="B52539"/>
      <c r="C52539"/>
      <c r="E52539"/>
      <c r="F52539"/>
    </row>
    <row r="52540" spans="1:6" x14ac:dyDescent="0.25">
      <c r="A52540"/>
      <c r="B52540"/>
      <c r="C52540"/>
      <c r="E52540"/>
      <c r="F52540"/>
    </row>
    <row r="52541" spans="1:6" x14ac:dyDescent="0.25">
      <c r="A52541"/>
      <c r="B52541"/>
      <c r="C52541"/>
      <c r="E52541"/>
      <c r="F52541"/>
    </row>
    <row r="52542" spans="1:6" x14ac:dyDescent="0.25">
      <c r="A52542"/>
      <c r="B52542"/>
      <c r="C52542"/>
      <c r="E52542"/>
      <c r="F52542"/>
    </row>
    <row r="52543" spans="1:6" x14ac:dyDescent="0.25">
      <c r="A52543"/>
      <c r="B52543"/>
      <c r="C52543"/>
      <c r="E52543"/>
      <c r="F52543"/>
    </row>
    <row r="52544" spans="1:6" x14ac:dyDescent="0.25">
      <c r="A52544"/>
      <c r="B52544"/>
      <c r="C52544"/>
      <c r="E52544"/>
      <c r="F52544"/>
    </row>
    <row r="52545" spans="1:6" x14ac:dyDescent="0.25">
      <c r="A52545"/>
      <c r="B52545"/>
      <c r="C52545"/>
      <c r="E52545"/>
      <c r="F52545"/>
    </row>
    <row r="52546" spans="1:6" x14ac:dyDescent="0.25">
      <c r="A52546"/>
      <c r="B52546"/>
      <c r="C52546"/>
      <c r="E52546"/>
      <c r="F52546"/>
    </row>
    <row r="52547" spans="1:6" x14ac:dyDescent="0.25">
      <c r="A52547"/>
      <c r="B52547"/>
      <c r="C52547"/>
      <c r="E52547"/>
      <c r="F52547"/>
    </row>
    <row r="52548" spans="1:6" x14ac:dyDescent="0.25">
      <c r="A52548"/>
      <c r="B52548"/>
      <c r="C52548"/>
      <c r="E52548"/>
      <c r="F52548"/>
    </row>
    <row r="52549" spans="1:6" x14ac:dyDescent="0.25">
      <c r="A52549"/>
      <c r="B52549"/>
      <c r="C52549"/>
      <c r="E52549"/>
      <c r="F52549"/>
    </row>
    <row r="52550" spans="1:6" x14ac:dyDescent="0.25">
      <c r="A52550"/>
      <c r="B52550"/>
      <c r="C52550"/>
      <c r="E52550"/>
      <c r="F52550"/>
    </row>
    <row r="52551" spans="1:6" x14ac:dyDescent="0.25">
      <c r="A52551"/>
      <c r="B52551"/>
      <c r="C52551"/>
      <c r="E52551"/>
      <c r="F52551"/>
    </row>
    <row r="52552" spans="1:6" x14ac:dyDescent="0.25">
      <c r="A52552"/>
      <c r="B52552"/>
      <c r="C52552"/>
      <c r="E52552"/>
      <c r="F52552"/>
    </row>
    <row r="52553" spans="1:6" x14ac:dyDescent="0.25">
      <c r="A52553"/>
      <c r="B52553"/>
      <c r="C52553"/>
      <c r="E52553"/>
      <c r="F52553"/>
    </row>
    <row r="52554" spans="1:6" x14ac:dyDescent="0.25">
      <c r="A52554"/>
      <c r="B52554"/>
      <c r="C52554"/>
      <c r="E52554"/>
      <c r="F52554"/>
    </row>
    <row r="52555" spans="1:6" x14ac:dyDescent="0.25">
      <c r="A52555"/>
      <c r="B52555"/>
      <c r="C52555"/>
      <c r="E52555"/>
      <c r="F52555"/>
    </row>
    <row r="52556" spans="1:6" x14ac:dyDescent="0.25">
      <c r="A52556"/>
      <c r="B52556"/>
      <c r="C52556"/>
      <c r="E52556"/>
      <c r="F52556"/>
    </row>
    <row r="52557" spans="1:6" x14ac:dyDescent="0.25">
      <c r="A52557"/>
      <c r="B52557"/>
      <c r="C52557"/>
      <c r="E52557"/>
      <c r="F52557"/>
    </row>
    <row r="52558" spans="1:6" x14ac:dyDescent="0.25">
      <c r="A52558"/>
      <c r="B52558"/>
      <c r="C52558"/>
      <c r="E52558"/>
      <c r="F52558"/>
    </row>
    <row r="52559" spans="1:6" x14ac:dyDescent="0.25">
      <c r="A52559"/>
      <c r="B52559"/>
      <c r="C52559"/>
      <c r="E52559"/>
      <c r="F52559"/>
    </row>
    <row r="52560" spans="1:6" x14ac:dyDescent="0.25">
      <c r="A52560"/>
      <c r="B52560"/>
      <c r="C52560"/>
      <c r="E52560"/>
      <c r="F52560"/>
    </row>
    <row r="52561" spans="1:6" x14ac:dyDescent="0.25">
      <c r="A52561"/>
      <c r="B52561"/>
      <c r="C52561"/>
      <c r="E52561"/>
      <c r="F52561"/>
    </row>
    <row r="52562" spans="1:6" x14ac:dyDescent="0.25">
      <c r="A52562"/>
      <c r="B52562"/>
      <c r="C52562"/>
      <c r="E52562"/>
      <c r="F52562"/>
    </row>
    <row r="52563" spans="1:6" x14ac:dyDescent="0.25">
      <c r="A52563"/>
      <c r="B52563"/>
      <c r="C52563"/>
      <c r="E52563"/>
      <c r="F52563"/>
    </row>
    <row r="52564" spans="1:6" x14ac:dyDescent="0.25">
      <c r="A52564"/>
      <c r="B52564"/>
      <c r="C52564"/>
      <c r="E52564"/>
      <c r="F52564"/>
    </row>
    <row r="52565" spans="1:6" x14ac:dyDescent="0.25">
      <c r="A52565"/>
      <c r="B52565"/>
      <c r="C52565"/>
      <c r="E52565"/>
      <c r="F52565"/>
    </row>
    <row r="52566" spans="1:6" x14ac:dyDescent="0.25">
      <c r="A52566"/>
      <c r="B52566"/>
      <c r="C52566"/>
      <c r="E52566"/>
      <c r="F52566"/>
    </row>
    <row r="52567" spans="1:6" x14ac:dyDescent="0.25">
      <c r="A52567"/>
      <c r="B52567"/>
      <c r="C52567"/>
      <c r="E52567"/>
      <c r="F52567"/>
    </row>
    <row r="52568" spans="1:6" x14ac:dyDescent="0.25">
      <c r="A52568"/>
      <c r="B52568"/>
      <c r="C52568"/>
      <c r="E52568"/>
      <c r="F52568"/>
    </row>
    <row r="52569" spans="1:6" x14ac:dyDescent="0.25">
      <c r="A52569"/>
      <c r="B52569"/>
      <c r="C52569"/>
      <c r="E52569"/>
      <c r="F52569"/>
    </row>
    <row r="52570" spans="1:6" x14ac:dyDescent="0.25">
      <c r="A52570"/>
      <c r="B52570"/>
      <c r="C52570"/>
      <c r="E52570"/>
      <c r="F52570"/>
    </row>
    <row r="52571" spans="1:6" x14ac:dyDescent="0.25">
      <c r="A52571"/>
      <c r="B52571"/>
      <c r="C52571"/>
      <c r="E52571"/>
      <c r="F52571"/>
    </row>
    <row r="52572" spans="1:6" x14ac:dyDescent="0.25">
      <c r="A52572"/>
      <c r="B52572"/>
      <c r="C52572"/>
      <c r="E52572"/>
      <c r="F52572"/>
    </row>
    <row r="52573" spans="1:6" x14ac:dyDescent="0.25">
      <c r="A52573"/>
      <c r="B52573"/>
      <c r="C52573"/>
      <c r="E52573"/>
      <c r="F52573"/>
    </row>
    <row r="52574" spans="1:6" x14ac:dyDescent="0.25">
      <c r="A52574"/>
      <c r="B52574"/>
      <c r="C52574"/>
      <c r="E52574"/>
      <c r="F52574"/>
    </row>
    <row r="52575" spans="1:6" x14ac:dyDescent="0.25">
      <c r="A52575"/>
      <c r="B52575"/>
      <c r="C52575"/>
      <c r="E52575"/>
      <c r="F52575"/>
    </row>
    <row r="52576" spans="1:6" x14ac:dyDescent="0.25">
      <c r="A52576"/>
      <c r="B52576"/>
      <c r="C52576"/>
      <c r="E52576"/>
      <c r="F52576"/>
    </row>
    <row r="52577" spans="1:6" x14ac:dyDescent="0.25">
      <c r="A52577"/>
      <c r="B52577"/>
      <c r="C52577"/>
      <c r="E52577"/>
      <c r="F52577"/>
    </row>
    <row r="52578" spans="1:6" x14ac:dyDescent="0.25">
      <c r="A52578"/>
      <c r="B52578"/>
      <c r="C52578"/>
      <c r="E52578"/>
      <c r="F52578"/>
    </row>
    <row r="52579" spans="1:6" x14ac:dyDescent="0.25">
      <c r="A52579"/>
      <c r="B52579"/>
      <c r="C52579"/>
      <c r="E52579"/>
      <c r="F52579"/>
    </row>
    <row r="52580" spans="1:6" x14ac:dyDescent="0.25">
      <c r="A52580"/>
      <c r="B52580"/>
      <c r="C52580"/>
      <c r="E52580"/>
      <c r="F52580"/>
    </row>
    <row r="52581" spans="1:6" x14ac:dyDescent="0.25">
      <c r="A52581"/>
      <c r="B52581"/>
      <c r="C52581"/>
      <c r="E52581"/>
      <c r="F52581"/>
    </row>
    <row r="52582" spans="1:6" x14ac:dyDescent="0.25">
      <c r="A52582"/>
      <c r="B52582"/>
      <c r="C52582"/>
      <c r="E52582"/>
      <c r="F52582"/>
    </row>
    <row r="52583" spans="1:6" x14ac:dyDescent="0.25">
      <c r="A52583"/>
      <c r="B52583"/>
      <c r="C52583"/>
      <c r="E52583"/>
      <c r="F52583"/>
    </row>
    <row r="52584" spans="1:6" x14ac:dyDescent="0.25">
      <c r="A52584"/>
      <c r="B52584"/>
      <c r="C52584"/>
      <c r="E52584"/>
      <c r="F52584"/>
    </row>
    <row r="52585" spans="1:6" x14ac:dyDescent="0.25">
      <c r="A52585"/>
      <c r="B52585"/>
      <c r="C52585"/>
      <c r="E52585"/>
      <c r="F52585"/>
    </row>
    <row r="52586" spans="1:6" x14ac:dyDescent="0.25">
      <c r="A52586"/>
      <c r="B52586"/>
      <c r="C52586"/>
      <c r="E52586"/>
      <c r="F52586"/>
    </row>
    <row r="52587" spans="1:6" x14ac:dyDescent="0.25">
      <c r="A52587"/>
      <c r="B52587"/>
      <c r="C52587"/>
      <c r="E52587"/>
      <c r="F52587"/>
    </row>
    <row r="52588" spans="1:6" x14ac:dyDescent="0.25">
      <c r="A52588"/>
      <c r="B52588"/>
      <c r="C52588"/>
      <c r="E52588"/>
      <c r="F52588"/>
    </row>
    <row r="52589" spans="1:6" x14ac:dyDescent="0.25">
      <c r="A52589"/>
      <c r="B52589"/>
      <c r="C52589"/>
      <c r="E52589"/>
      <c r="F52589"/>
    </row>
    <row r="52590" spans="1:6" x14ac:dyDescent="0.25">
      <c r="A52590"/>
      <c r="B52590"/>
      <c r="C52590"/>
      <c r="E52590"/>
      <c r="F52590"/>
    </row>
    <row r="52591" spans="1:6" x14ac:dyDescent="0.25">
      <c r="A52591"/>
      <c r="B52591"/>
      <c r="C52591"/>
      <c r="E52591"/>
      <c r="F52591"/>
    </row>
    <row r="52592" spans="1:6" x14ac:dyDescent="0.25">
      <c r="A52592"/>
      <c r="B52592"/>
      <c r="C52592"/>
      <c r="E52592"/>
      <c r="F52592"/>
    </row>
    <row r="52593" spans="1:6" x14ac:dyDescent="0.25">
      <c r="A52593"/>
      <c r="B52593"/>
      <c r="C52593"/>
      <c r="E52593"/>
      <c r="F52593"/>
    </row>
    <row r="52594" spans="1:6" x14ac:dyDescent="0.25">
      <c r="A52594"/>
      <c r="B52594"/>
      <c r="C52594"/>
      <c r="E52594"/>
      <c r="F52594"/>
    </row>
    <row r="52595" spans="1:6" x14ac:dyDescent="0.25">
      <c r="A52595"/>
      <c r="B52595"/>
      <c r="C52595"/>
      <c r="E52595"/>
      <c r="F52595"/>
    </row>
    <row r="52596" spans="1:6" x14ac:dyDescent="0.25">
      <c r="A52596"/>
      <c r="B52596"/>
      <c r="C52596"/>
      <c r="E52596"/>
      <c r="F52596"/>
    </row>
    <row r="52597" spans="1:6" x14ac:dyDescent="0.25">
      <c r="A52597"/>
      <c r="B52597"/>
      <c r="C52597"/>
      <c r="E52597"/>
      <c r="F52597"/>
    </row>
    <row r="52598" spans="1:6" x14ac:dyDescent="0.25">
      <c r="A52598"/>
      <c r="B52598"/>
      <c r="C52598"/>
      <c r="E52598"/>
      <c r="F52598"/>
    </row>
    <row r="52599" spans="1:6" x14ac:dyDescent="0.25">
      <c r="A52599"/>
      <c r="B52599"/>
      <c r="C52599"/>
      <c r="E52599"/>
      <c r="F52599"/>
    </row>
    <row r="52600" spans="1:6" x14ac:dyDescent="0.25">
      <c r="A52600"/>
      <c r="B52600"/>
      <c r="C52600"/>
      <c r="E52600"/>
      <c r="F52600"/>
    </row>
    <row r="52601" spans="1:6" x14ac:dyDescent="0.25">
      <c r="A52601"/>
      <c r="B52601"/>
      <c r="C52601"/>
      <c r="E52601"/>
      <c r="F52601"/>
    </row>
    <row r="52602" spans="1:6" x14ac:dyDescent="0.25">
      <c r="A52602"/>
      <c r="B52602"/>
      <c r="C52602"/>
      <c r="E52602"/>
      <c r="F52602"/>
    </row>
    <row r="52603" spans="1:6" x14ac:dyDescent="0.25">
      <c r="A52603"/>
      <c r="B52603"/>
      <c r="C52603"/>
      <c r="E52603"/>
      <c r="F52603"/>
    </row>
    <row r="52604" spans="1:6" x14ac:dyDescent="0.25">
      <c r="A52604"/>
      <c r="B52604"/>
      <c r="C52604"/>
      <c r="E52604"/>
      <c r="F52604"/>
    </row>
    <row r="52605" spans="1:6" x14ac:dyDescent="0.25">
      <c r="A52605"/>
      <c r="B52605"/>
      <c r="C52605"/>
      <c r="E52605"/>
      <c r="F52605"/>
    </row>
    <row r="52606" spans="1:6" x14ac:dyDescent="0.25">
      <c r="A52606"/>
      <c r="B52606"/>
      <c r="C52606"/>
      <c r="E52606"/>
      <c r="F52606"/>
    </row>
    <row r="52607" spans="1:6" x14ac:dyDescent="0.25">
      <c r="A52607"/>
      <c r="B52607"/>
      <c r="C52607"/>
      <c r="E52607"/>
      <c r="F52607"/>
    </row>
    <row r="52608" spans="1:6" x14ac:dyDescent="0.25">
      <c r="A52608"/>
      <c r="B52608"/>
      <c r="C52608"/>
      <c r="E52608"/>
      <c r="F52608"/>
    </row>
    <row r="52609" spans="1:6" x14ac:dyDescent="0.25">
      <c r="A52609"/>
      <c r="B52609"/>
      <c r="C52609"/>
      <c r="E52609"/>
      <c r="F52609"/>
    </row>
    <row r="52610" spans="1:6" x14ac:dyDescent="0.25">
      <c r="A52610"/>
      <c r="B52610"/>
      <c r="C52610"/>
      <c r="E52610"/>
      <c r="F52610"/>
    </row>
    <row r="52611" spans="1:6" x14ac:dyDescent="0.25">
      <c r="A52611"/>
      <c r="B52611"/>
      <c r="C52611"/>
      <c r="E52611"/>
      <c r="F52611"/>
    </row>
    <row r="52612" spans="1:6" x14ac:dyDescent="0.25">
      <c r="A52612"/>
      <c r="B52612"/>
      <c r="C52612"/>
      <c r="E52612"/>
      <c r="F52612"/>
    </row>
    <row r="52613" spans="1:6" x14ac:dyDescent="0.25">
      <c r="A52613"/>
      <c r="B52613"/>
      <c r="C52613"/>
      <c r="E52613"/>
      <c r="F52613"/>
    </row>
    <row r="52614" spans="1:6" x14ac:dyDescent="0.25">
      <c r="A52614"/>
      <c r="B52614"/>
      <c r="C52614"/>
      <c r="E52614"/>
      <c r="F52614"/>
    </row>
    <row r="52615" spans="1:6" x14ac:dyDescent="0.25">
      <c r="A52615"/>
      <c r="B52615"/>
      <c r="C52615"/>
      <c r="E52615"/>
      <c r="F52615"/>
    </row>
    <row r="52616" spans="1:6" x14ac:dyDescent="0.25">
      <c r="A52616"/>
      <c r="B52616"/>
      <c r="C52616"/>
      <c r="E52616"/>
      <c r="F52616"/>
    </row>
    <row r="52617" spans="1:6" x14ac:dyDescent="0.25">
      <c r="A52617"/>
      <c r="B52617"/>
      <c r="C52617"/>
      <c r="E52617"/>
      <c r="F52617"/>
    </row>
    <row r="52618" spans="1:6" x14ac:dyDescent="0.25">
      <c r="A52618"/>
      <c r="B52618"/>
      <c r="C52618"/>
      <c r="E52618"/>
      <c r="F52618"/>
    </row>
    <row r="52619" spans="1:6" x14ac:dyDescent="0.25">
      <c r="A52619"/>
      <c r="B52619"/>
      <c r="C52619"/>
      <c r="E52619"/>
      <c r="F52619"/>
    </row>
    <row r="52620" spans="1:6" x14ac:dyDescent="0.25">
      <c r="A52620"/>
      <c r="B52620"/>
      <c r="C52620"/>
      <c r="E52620"/>
      <c r="F52620"/>
    </row>
    <row r="52621" spans="1:6" x14ac:dyDescent="0.25">
      <c r="A52621"/>
      <c r="B52621"/>
      <c r="C52621"/>
      <c r="E52621"/>
      <c r="F52621"/>
    </row>
    <row r="52622" spans="1:6" x14ac:dyDescent="0.25">
      <c r="A52622"/>
      <c r="B52622"/>
      <c r="C52622"/>
      <c r="E52622"/>
      <c r="F52622"/>
    </row>
    <row r="52623" spans="1:6" x14ac:dyDescent="0.25">
      <c r="A52623"/>
      <c r="B52623"/>
      <c r="C52623"/>
      <c r="E52623"/>
      <c r="F52623"/>
    </row>
    <row r="52624" spans="1:6" x14ac:dyDescent="0.25">
      <c r="A52624"/>
      <c r="B52624"/>
      <c r="C52624"/>
      <c r="E52624"/>
      <c r="F52624"/>
    </row>
    <row r="52625" spans="1:6" x14ac:dyDescent="0.25">
      <c r="A52625"/>
      <c r="B52625"/>
      <c r="C52625"/>
      <c r="E52625"/>
      <c r="F52625"/>
    </row>
    <row r="52626" spans="1:6" x14ac:dyDescent="0.25">
      <c r="A52626"/>
      <c r="B52626"/>
      <c r="C52626"/>
      <c r="E52626"/>
      <c r="F52626"/>
    </row>
    <row r="52627" spans="1:6" x14ac:dyDescent="0.25">
      <c r="A52627"/>
      <c r="B52627"/>
      <c r="C52627"/>
      <c r="E52627"/>
      <c r="F52627"/>
    </row>
    <row r="52628" spans="1:6" x14ac:dyDescent="0.25">
      <c r="A52628"/>
      <c r="B52628"/>
      <c r="C52628"/>
      <c r="E52628"/>
      <c r="F52628"/>
    </row>
    <row r="52629" spans="1:6" x14ac:dyDescent="0.25">
      <c r="A52629"/>
      <c r="B52629"/>
      <c r="C52629"/>
      <c r="E52629"/>
      <c r="F52629"/>
    </row>
    <row r="52630" spans="1:6" x14ac:dyDescent="0.25">
      <c r="A52630"/>
      <c r="B52630"/>
      <c r="C52630"/>
      <c r="E52630"/>
      <c r="F52630"/>
    </row>
    <row r="52631" spans="1:6" x14ac:dyDescent="0.25">
      <c r="A52631"/>
      <c r="B52631"/>
      <c r="C52631"/>
      <c r="E52631"/>
      <c r="F52631"/>
    </row>
    <row r="52632" spans="1:6" x14ac:dyDescent="0.25">
      <c r="A52632"/>
      <c r="B52632"/>
      <c r="C52632"/>
      <c r="E52632"/>
      <c r="F52632"/>
    </row>
    <row r="52633" spans="1:6" x14ac:dyDescent="0.25">
      <c r="A52633"/>
      <c r="B52633"/>
      <c r="C52633"/>
      <c r="E52633"/>
      <c r="F52633"/>
    </row>
    <row r="52634" spans="1:6" x14ac:dyDescent="0.25">
      <c r="A52634"/>
      <c r="B52634"/>
      <c r="C52634"/>
      <c r="E52634"/>
      <c r="F52634"/>
    </row>
    <row r="52635" spans="1:6" x14ac:dyDescent="0.25">
      <c r="A52635"/>
      <c r="B52635"/>
      <c r="C52635"/>
      <c r="E52635"/>
      <c r="F52635"/>
    </row>
    <row r="52636" spans="1:6" x14ac:dyDescent="0.25">
      <c r="A52636"/>
      <c r="B52636"/>
      <c r="C52636"/>
      <c r="E52636"/>
      <c r="F52636"/>
    </row>
    <row r="52637" spans="1:6" x14ac:dyDescent="0.25">
      <c r="A52637"/>
      <c r="B52637"/>
      <c r="C52637"/>
      <c r="E52637"/>
      <c r="F52637"/>
    </row>
    <row r="52638" spans="1:6" x14ac:dyDescent="0.25">
      <c r="A52638"/>
      <c r="B52638"/>
      <c r="C52638"/>
      <c r="E52638"/>
      <c r="F52638"/>
    </row>
    <row r="52639" spans="1:6" x14ac:dyDescent="0.25">
      <c r="A52639"/>
      <c r="B52639"/>
      <c r="C52639"/>
      <c r="E52639"/>
      <c r="F52639"/>
    </row>
    <row r="52640" spans="1:6" x14ac:dyDescent="0.25">
      <c r="A52640"/>
      <c r="B52640"/>
      <c r="C52640"/>
      <c r="E52640"/>
      <c r="F52640"/>
    </row>
    <row r="52641" spans="1:6" x14ac:dyDescent="0.25">
      <c r="A52641"/>
      <c r="B52641"/>
      <c r="C52641"/>
      <c r="E52641"/>
      <c r="F52641"/>
    </row>
    <row r="52642" spans="1:6" x14ac:dyDescent="0.25">
      <c r="A52642"/>
      <c r="B52642"/>
      <c r="C52642"/>
      <c r="E52642"/>
      <c r="F52642"/>
    </row>
    <row r="52643" spans="1:6" x14ac:dyDescent="0.25">
      <c r="A52643"/>
      <c r="B52643"/>
      <c r="C52643"/>
      <c r="E52643"/>
      <c r="F52643"/>
    </row>
    <row r="52644" spans="1:6" x14ac:dyDescent="0.25">
      <c r="A52644"/>
      <c r="B52644"/>
      <c r="C52644"/>
      <c r="E52644"/>
      <c r="F52644"/>
    </row>
    <row r="52645" spans="1:6" x14ac:dyDescent="0.25">
      <c r="A52645"/>
      <c r="B52645"/>
      <c r="C52645"/>
      <c r="E52645"/>
      <c r="F52645"/>
    </row>
    <row r="52646" spans="1:6" x14ac:dyDescent="0.25">
      <c r="A52646"/>
      <c r="B52646"/>
      <c r="C52646"/>
      <c r="E52646"/>
      <c r="F52646"/>
    </row>
    <row r="52647" spans="1:6" x14ac:dyDescent="0.25">
      <c r="A52647"/>
      <c r="B52647"/>
      <c r="C52647"/>
      <c r="E52647"/>
      <c r="F52647"/>
    </row>
    <row r="52648" spans="1:6" x14ac:dyDescent="0.25">
      <c r="A52648"/>
      <c r="B52648"/>
      <c r="C52648"/>
      <c r="E52648"/>
      <c r="F52648"/>
    </row>
    <row r="52649" spans="1:6" x14ac:dyDescent="0.25">
      <c r="A52649"/>
      <c r="B52649"/>
      <c r="C52649"/>
      <c r="E52649"/>
      <c r="F52649"/>
    </row>
    <row r="52650" spans="1:6" x14ac:dyDescent="0.25">
      <c r="A52650"/>
      <c r="B52650"/>
      <c r="C52650"/>
      <c r="E52650"/>
      <c r="F52650"/>
    </row>
    <row r="52651" spans="1:6" x14ac:dyDescent="0.25">
      <c r="A52651"/>
      <c r="B52651"/>
      <c r="C52651"/>
      <c r="E52651"/>
      <c r="F52651"/>
    </row>
    <row r="52652" spans="1:6" x14ac:dyDescent="0.25">
      <c r="A52652"/>
      <c r="B52652"/>
      <c r="C52652"/>
      <c r="E52652"/>
      <c r="F52652"/>
    </row>
    <row r="52653" spans="1:6" x14ac:dyDescent="0.25">
      <c r="A52653"/>
      <c r="B52653"/>
      <c r="C52653"/>
      <c r="E52653"/>
      <c r="F52653"/>
    </row>
    <row r="52654" spans="1:6" x14ac:dyDescent="0.25">
      <c r="A52654"/>
      <c r="B52654"/>
      <c r="C52654"/>
      <c r="E52654"/>
      <c r="F52654"/>
    </row>
    <row r="52655" spans="1:6" x14ac:dyDescent="0.25">
      <c r="A52655"/>
      <c r="B52655"/>
      <c r="C52655"/>
      <c r="E52655"/>
      <c r="F52655"/>
    </row>
    <row r="52656" spans="1:6" x14ac:dyDescent="0.25">
      <c r="A52656"/>
      <c r="B52656"/>
      <c r="C52656"/>
      <c r="E52656"/>
      <c r="F52656"/>
    </row>
    <row r="52657" spans="1:6" x14ac:dyDescent="0.25">
      <c r="A52657"/>
      <c r="B52657"/>
      <c r="C52657"/>
      <c r="E52657"/>
      <c r="F52657"/>
    </row>
    <row r="52658" spans="1:6" x14ac:dyDescent="0.25">
      <c r="A52658"/>
      <c r="B52658"/>
      <c r="C52658"/>
      <c r="E52658"/>
      <c r="F52658"/>
    </row>
    <row r="52659" spans="1:6" x14ac:dyDescent="0.25">
      <c r="A52659"/>
      <c r="B52659"/>
      <c r="C52659"/>
      <c r="E52659"/>
      <c r="F52659"/>
    </row>
    <row r="52660" spans="1:6" x14ac:dyDescent="0.25">
      <c r="A52660"/>
      <c r="B52660"/>
      <c r="C52660"/>
      <c r="E52660"/>
      <c r="F52660"/>
    </row>
    <row r="52661" spans="1:6" x14ac:dyDescent="0.25">
      <c r="A52661"/>
      <c r="B52661"/>
      <c r="C52661"/>
      <c r="E52661"/>
      <c r="F52661"/>
    </row>
    <row r="52662" spans="1:6" x14ac:dyDescent="0.25">
      <c r="A52662"/>
      <c r="B52662"/>
      <c r="C52662"/>
      <c r="E52662"/>
      <c r="F52662"/>
    </row>
    <row r="52663" spans="1:6" x14ac:dyDescent="0.25">
      <c r="A52663"/>
      <c r="B52663"/>
      <c r="C52663"/>
      <c r="E52663"/>
      <c r="F52663"/>
    </row>
    <row r="52664" spans="1:6" x14ac:dyDescent="0.25">
      <c r="A52664"/>
      <c r="B52664"/>
      <c r="C52664"/>
      <c r="E52664"/>
      <c r="F52664"/>
    </row>
    <row r="52665" spans="1:6" x14ac:dyDescent="0.25">
      <c r="A52665"/>
      <c r="B52665"/>
      <c r="C52665"/>
      <c r="E52665"/>
      <c r="F52665"/>
    </row>
    <row r="52666" spans="1:6" x14ac:dyDescent="0.25">
      <c r="A52666"/>
      <c r="B52666"/>
      <c r="C52666"/>
      <c r="E52666"/>
      <c r="F52666"/>
    </row>
    <row r="52667" spans="1:6" x14ac:dyDescent="0.25">
      <c r="A52667"/>
      <c r="B52667"/>
      <c r="C52667"/>
      <c r="E52667"/>
      <c r="F52667"/>
    </row>
    <row r="52668" spans="1:6" x14ac:dyDescent="0.25">
      <c r="A52668"/>
      <c r="B52668"/>
      <c r="C52668"/>
      <c r="E52668"/>
      <c r="F52668"/>
    </row>
    <row r="52669" spans="1:6" x14ac:dyDescent="0.25">
      <c r="A52669"/>
      <c r="B52669"/>
      <c r="C52669"/>
      <c r="E52669"/>
      <c r="F52669"/>
    </row>
    <row r="52670" spans="1:6" x14ac:dyDescent="0.25">
      <c r="A52670"/>
      <c r="B52670"/>
      <c r="C52670"/>
      <c r="E52670"/>
      <c r="F52670"/>
    </row>
    <row r="52671" spans="1:6" x14ac:dyDescent="0.25">
      <c r="A52671"/>
      <c r="B52671"/>
      <c r="C52671"/>
      <c r="E52671"/>
      <c r="F52671"/>
    </row>
    <row r="52672" spans="1:6" x14ac:dyDescent="0.25">
      <c r="A52672"/>
      <c r="B52672"/>
      <c r="C52672"/>
      <c r="E52672"/>
      <c r="F52672"/>
    </row>
    <row r="52673" spans="1:6" x14ac:dyDescent="0.25">
      <c r="A52673"/>
      <c r="B52673"/>
      <c r="C52673"/>
      <c r="E52673"/>
      <c r="F52673"/>
    </row>
    <row r="52674" spans="1:6" x14ac:dyDescent="0.25">
      <c r="A52674"/>
      <c r="B52674"/>
      <c r="C52674"/>
      <c r="E52674"/>
      <c r="F52674"/>
    </row>
    <row r="52675" spans="1:6" x14ac:dyDescent="0.25">
      <c r="A52675"/>
      <c r="B52675"/>
      <c r="C52675"/>
      <c r="E52675"/>
      <c r="F52675"/>
    </row>
    <row r="52676" spans="1:6" x14ac:dyDescent="0.25">
      <c r="A52676"/>
      <c r="B52676"/>
      <c r="C52676"/>
      <c r="E52676"/>
      <c r="F52676"/>
    </row>
    <row r="52677" spans="1:6" x14ac:dyDescent="0.25">
      <c r="A52677"/>
      <c r="B52677"/>
      <c r="C52677"/>
      <c r="E52677"/>
      <c r="F52677"/>
    </row>
    <row r="52678" spans="1:6" x14ac:dyDescent="0.25">
      <c r="A52678"/>
      <c r="B52678"/>
      <c r="C52678"/>
      <c r="E52678"/>
      <c r="F52678"/>
    </row>
    <row r="52679" spans="1:6" x14ac:dyDescent="0.25">
      <c r="A52679"/>
      <c r="B52679"/>
      <c r="C52679"/>
      <c r="E52679"/>
      <c r="F52679"/>
    </row>
    <row r="52680" spans="1:6" x14ac:dyDescent="0.25">
      <c r="A52680"/>
      <c r="B52680"/>
      <c r="C52680"/>
      <c r="E52680"/>
      <c r="F52680"/>
    </row>
    <row r="52681" spans="1:6" x14ac:dyDescent="0.25">
      <c r="A52681"/>
      <c r="B52681"/>
      <c r="C52681"/>
      <c r="E52681"/>
      <c r="F52681"/>
    </row>
    <row r="52682" spans="1:6" x14ac:dyDescent="0.25">
      <c r="A52682"/>
      <c r="B52682"/>
      <c r="C52682"/>
      <c r="E52682"/>
      <c r="F52682"/>
    </row>
    <row r="52683" spans="1:6" x14ac:dyDescent="0.25">
      <c r="A52683"/>
      <c r="B52683"/>
      <c r="C52683"/>
      <c r="E52683"/>
      <c r="F52683"/>
    </row>
    <row r="52684" spans="1:6" x14ac:dyDescent="0.25">
      <c r="A52684"/>
      <c r="B52684"/>
      <c r="C52684"/>
      <c r="E52684"/>
      <c r="F52684"/>
    </row>
    <row r="52685" spans="1:6" x14ac:dyDescent="0.25">
      <c r="A52685"/>
      <c r="B52685"/>
      <c r="C52685"/>
      <c r="E52685"/>
      <c r="F52685"/>
    </row>
    <row r="52686" spans="1:6" x14ac:dyDescent="0.25">
      <c r="A52686"/>
      <c r="B52686"/>
      <c r="C52686"/>
      <c r="E52686"/>
      <c r="F52686"/>
    </row>
    <row r="52687" spans="1:6" x14ac:dyDescent="0.25">
      <c r="A52687"/>
      <c r="B52687"/>
      <c r="C52687"/>
      <c r="E52687"/>
      <c r="F52687"/>
    </row>
    <row r="52688" spans="1:6" x14ac:dyDescent="0.25">
      <c r="A52688"/>
      <c r="B52688"/>
      <c r="C52688"/>
      <c r="E52688"/>
      <c r="F52688"/>
    </row>
    <row r="52689" spans="1:6" x14ac:dyDescent="0.25">
      <c r="A52689"/>
      <c r="B52689"/>
      <c r="C52689"/>
      <c r="E52689"/>
      <c r="F52689"/>
    </row>
    <row r="52690" spans="1:6" x14ac:dyDescent="0.25">
      <c r="A52690"/>
      <c r="B52690"/>
      <c r="C52690"/>
      <c r="E52690"/>
      <c r="F52690"/>
    </row>
    <row r="52691" spans="1:6" x14ac:dyDescent="0.25">
      <c r="A52691"/>
      <c r="B52691"/>
      <c r="C52691"/>
      <c r="E52691"/>
      <c r="F52691"/>
    </row>
    <row r="52692" spans="1:6" x14ac:dyDescent="0.25">
      <c r="A52692"/>
      <c r="B52692"/>
      <c r="C52692"/>
      <c r="E52692"/>
      <c r="F52692"/>
    </row>
    <row r="52693" spans="1:6" x14ac:dyDescent="0.25">
      <c r="A52693"/>
      <c r="B52693"/>
      <c r="C52693"/>
      <c r="E52693"/>
      <c r="F52693"/>
    </row>
    <row r="52694" spans="1:6" x14ac:dyDescent="0.25">
      <c r="A52694"/>
      <c r="B52694"/>
      <c r="C52694"/>
      <c r="E52694"/>
      <c r="F52694"/>
    </row>
    <row r="52695" spans="1:6" x14ac:dyDescent="0.25">
      <c r="A52695"/>
      <c r="B52695"/>
      <c r="C52695"/>
      <c r="E52695"/>
      <c r="F52695"/>
    </row>
    <row r="52696" spans="1:6" x14ac:dyDescent="0.25">
      <c r="A52696"/>
      <c r="B52696"/>
      <c r="C52696"/>
      <c r="E52696"/>
      <c r="F52696"/>
    </row>
    <row r="52697" spans="1:6" x14ac:dyDescent="0.25">
      <c r="A52697"/>
      <c r="B52697"/>
      <c r="C52697"/>
      <c r="E52697"/>
      <c r="F52697"/>
    </row>
    <row r="52698" spans="1:6" x14ac:dyDescent="0.25">
      <c r="A52698"/>
      <c r="B52698"/>
      <c r="C52698"/>
      <c r="E52698"/>
      <c r="F52698"/>
    </row>
    <row r="52699" spans="1:6" x14ac:dyDescent="0.25">
      <c r="A52699"/>
      <c r="B52699"/>
      <c r="C52699"/>
      <c r="E52699"/>
      <c r="F52699"/>
    </row>
    <row r="52700" spans="1:6" x14ac:dyDescent="0.25">
      <c r="A52700"/>
      <c r="B52700"/>
      <c r="C52700"/>
      <c r="E52700"/>
      <c r="F52700"/>
    </row>
    <row r="52701" spans="1:6" x14ac:dyDescent="0.25">
      <c r="A52701"/>
      <c r="B52701"/>
      <c r="C52701"/>
      <c r="E52701"/>
      <c r="F52701"/>
    </row>
    <row r="52702" spans="1:6" x14ac:dyDescent="0.25">
      <c r="A52702"/>
      <c r="B52702"/>
      <c r="C52702"/>
      <c r="E52702"/>
      <c r="F52702"/>
    </row>
    <row r="52703" spans="1:6" x14ac:dyDescent="0.25">
      <c r="A52703"/>
      <c r="B52703"/>
      <c r="C52703"/>
      <c r="E52703"/>
      <c r="F52703"/>
    </row>
    <row r="52704" spans="1:6" x14ac:dyDescent="0.25">
      <c r="A52704"/>
      <c r="B52704"/>
      <c r="C52704"/>
      <c r="E52704"/>
      <c r="F52704"/>
    </row>
    <row r="52705" spans="1:6" x14ac:dyDescent="0.25">
      <c r="A52705"/>
      <c r="B52705"/>
      <c r="C52705"/>
      <c r="E52705"/>
      <c r="F52705"/>
    </row>
    <row r="52706" spans="1:6" x14ac:dyDescent="0.25">
      <c r="A52706"/>
      <c r="B52706"/>
      <c r="C52706"/>
      <c r="E52706"/>
      <c r="F52706"/>
    </row>
    <row r="52707" spans="1:6" x14ac:dyDescent="0.25">
      <c r="A52707"/>
      <c r="B52707"/>
      <c r="C52707"/>
      <c r="E52707"/>
      <c r="F52707"/>
    </row>
    <row r="52708" spans="1:6" x14ac:dyDescent="0.25">
      <c r="A52708"/>
      <c r="B52708"/>
      <c r="C52708"/>
      <c r="E52708"/>
      <c r="F52708"/>
    </row>
    <row r="52709" spans="1:6" x14ac:dyDescent="0.25">
      <c r="A52709"/>
      <c r="B52709"/>
      <c r="C52709"/>
      <c r="E52709"/>
      <c r="F52709"/>
    </row>
    <row r="52710" spans="1:6" x14ac:dyDescent="0.25">
      <c r="A52710"/>
      <c r="B52710"/>
      <c r="C52710"/>
      <c r="E52710"/>
      <c r="F52710"/>
    </row>
    <row r="52711" spans="1:6" x14ac:dyDescent="0.25">
      <c r="A52711"/>
      <c r="B52711"/>
      <c r="C52711"/>
      <c r="E52711"/>
      <c r="F52711"/>
    </row>
    <row r="52712" spans="1:6" x14ac:dyDescent="0.25">
      <c r="A52712"/>
      <c r="B52712"/>
      <c r="C52712"/>
      <c r="E52712"/>
      <c r="F52712"/>
    </row>
    <row r="52713" spans="1:6" x14ac:dyDescent="0.25">
      <c r="A52713"/>
      <c r="B52713"/>
      <c r="C52713"/>
      <c r="E52713"/>
      <c r="F52713"/>
    </row>
    <row r="52714" spans="1:6" x14ac:dyDescent="0.25">
      <c r="A52714"/>
      <c r="B52714"/>
      <c r="C52714"/>
      <c r="E52714"/>
      <c r="F52714"/>
    </row>
    <row r="52715" spans="1:6" x14ac:dyDescent="0.25">
      <c r="A52715"/>
      <c r="B52715"/>
      <c r="C52715"/>
      <c r="E52715"/>
      <c r="F52715"/>
    </row>
    <row r="52716" spans="1:6" x14ac:dyDescent="0.25">
      <c r="A52716"/>
      <c r="B52716"/>
      <c r="C52716"/>
      <c r="E52716"/>
      <c r="F52716"/>
    </row>
    <row r="52717" spans="1:6" x14ac:dyDescent="0.25">
      <c r="A52717"/>
      <c r="B52717"/>
      <c r="C52717"/>
      <c r="E52717"/>
      <c r="F52717"/>
    </row>
    <row r="52718" spans="1:6" x14ac:dyDescent="0.25">
      <c r="A52718"/>
      <c r="B52718"/>
      <c r="C52718"/>
      <c r="E52718"/>
      <c r="F52718"/>
    </row>
    <row r="52719" spans="1:6" x14ac:dyDescent="0.25">
      <c r="A52719"/>
      <c r="B52719"/>
      <c r="C52719"/>
      <c r="E52719"/>
      <c r="F52719"/>
    </row>
    <row r="52720" spans="1:6" x14ac:dyDescent="0.25">
      <c r="A52720"/>
      <c r="B52720"/>
      <c r="C52720"/>
      <c r="E52720"/>
      <c r="F52720"/>
    </row>
    <row r="52721" spans="1:6" x14ac:dyDescent="0.25">
      <c r="A52721"/>
      <c r="B52721"/>
      <c r="C52721"/>
      <c r="E52721"/>
      <c r="F52721"/>
    </row>
    <row r="52722" spans="1:6" x14ac:dyDescent="0.25">
      <c r="A52722"/>
      <c r="B52722"/>
      <c r="C52722"/>
      <c r="E52722"/>
      <c r="F52722"/>
    </row>
    <row r="52723" spans="1:6" x14ac:dyDescent="0.25">
      <c r="A52723"/>
      <c r="B52723"/>
      <c r="C52723"/>
      <c r="E52723"/>
      <c r="F52723"/>
    </row>
    <row r="52724" spans="1:6" x14ac:dyDescent="0.25">
      <c r="A52724"/>
      <c r="B52724"/>
      <c r="C52724"/>
      <c r="E52724"/>
      <c r="F52724"/>
    </row>
    <row r="52725" spans="1:6" x14ac:dyDescent="0.25">
      <c r="A52725"/>
      <c r="B52725"/>
      <c r="C52725"/>
      <c r="E52725"/>
      <c r="F52725"/>
    </row>
    <row r="52726" spans="1:6" x14ac:dyDescent="0.25">
      <c r="A52726"/>
      <c r="B52726"/>
      <c r="C52726"/>
      <c r="E52726"/>
      <c r="F52726"/>
    </row>
    <row r="52727" spans="1:6" x14ac:dyDescent="0.25">
      <c r="A52727"/>
      <c r="B52727"/>
      <c r="C52727"/>
      <c r="E52727"/>
      <c r="F52727"/>
    </row>
    <row r="52728" spans="1:6" x14ac:dyDescent="0.25">
      <c r="A52728"/>
      <c r="B52728"/>
      <c r="C52728"/>
      <c r="E52728"/>
      <c r="F52728"/>
    </row>
    <row r="52729" spans="1:6" x14ac:dyDescent="0.25">
      <c r="A52729"/>
      <c r="B52729"/>
      <c r="C52729"/>
      <c r="E52729"/>
      <c r="F52729"/>
    </row>
    <row r="52730" spans="1:6" x14ac:dyDescent="0.25">
      <c r="A52730"/>
      <c r="B52730"/>
      <c r="C52730"/>
      <c r="E52730"/>
      <c r="F52730"/>
    </row>
    <row r="52731" spans="1:6" x14ac:dyDescent="0.25">
      <c r="A52731"/>
      <c r="B52731"/>
      <c r="C52731"/>
      <c r="E52731"/>
      <c r="F52731"/>
    </row>
    <row r="52732" spans="1:6" x14ac:dyDescent="0.25">
      <c r="A52732"/>
      <c r="B52732"/>
      <c r="C52732"/>
      <c r="E52732"/>
      <c r="F52732"/>
    </row>
    <row r="52733" spans="1:6" x14ac:dyDescent="0.25">
      <c r="A52733"/>
      <c r="B52733"/>
      <c r="C52733"/>
      <c r="E52733"/>
      <c r="F52733"/>
    </row>
    <row r="52734" spans="1:6" x14ac:dyDescent="0.25">
      <c r="A52734"/>
      <c r="B52734"/>
      <c r="C52734"/>
      <c r="E52734"/>
      <c r="F52734"/>
    </row>
    <row r="52735" spans="1:6" x14ac:dyDescent="0.25">
      <c r="A52735"/>
      <c r="B52735"/>
      <c r="C52735"/>
      <c r="E52735"/>
      <c r="F52735"/>
    </row>
    <row r="52736" spans="1:6" x14ac:dyDescent="0.25">
      <c r="A52736"/>
      <c r="B52736"/>
      <c r="C52736"/>
      <c r="E52736"/>
      <c r="F52736"/>
    </row>
    <row r="52737" spans="1:6" x14ac:dyDescent="0.25">
      <c r="A52737"/>
      <c r="B52737"/>
      <c r="C52737"/>
      <c r="E52737"/>
      <c r="F52737"/>
    </row>
    <row r="52738" spans="1:6" x14ac:dyDescent="0.25">
      <c r="A52738"/>
      <c r="B52738"/>
      <c r="C52738"/>
      <c r="E52738"/>
      <c r="F52738"/>
    </row>
    <row r="52739" spans="1:6" x14ac:dyDescent="0.25">
      <c r="A52739"/>
      <c r="B52739"/>
      <c r="C52739"/>
      <c r="E52739"/>
      <c r="F52739"/>
    </row>
    <row r="52740" spans="1:6" x14ac:dyDescent="0.25">
      <c r="A52740"/>
      <c r="B52740"/>
      <c r="C52740"/>
      <c r="E52740"/>
      <c r="F52740"/>
    </row>
    <row r="52741" spans="1:6" x14ac:dyDescent="0.25">
      <c r="A52741"/>
      <c r="B52741"/>
      <c r="C52741"/>
      <c r="E52741"/>
      <c r="F52741"/>
    </row>
    <row r="52742" spans="1:6" x14ac:dyDescent="0.25">
      <c r="A52742"/>
      <c r="B52742"/>
      <c r="C52742"/>
      <c r="E52742"/>
      <c r="F52742"/>
    </row>
    <row r="52743" spans="1:6" x14ac:dyDescent="0.25">
      <c r="A52743"/>
      <c r="B52743"/>
      <c r="C52743"/>
      <c r="E52743"/>
      <c r="F52743"/>
    </row>
    <row r="52744" spans="1:6" x14ac:dyDescent="0.25">
      <c r="A52744"/>
      <c r="B52744"/>
      <c r="C52744"/>
      <c r="E52744"/>
      <c r="F52744"/>
    </row>
    <row r="52745" spans="1:6" x14ac:dyDescent="0.25">
      <c r="A52745"/>
      <c r="B52745"/>
      <c r="C52745"/>
      <c r="E52745"/>
      <c r="F52745"/>
    </row>
    <row r="52746" spans="1:6" x14ac:dyDescent="0.25">
      <c r="A52746"/>
      <c r="B52746"/>
      <c r="C52746"/>
      <c r="E52746"/>
      <c r="F52746"/>
    </row>
    <row r="52747" spans="1:6" x14ac:dyDescent="0.25">
      <c r="A52747"/>
      <c r="B52747"/>
      <c r="C52747"/>
      <c r="E52747"/>
      <c r="F52747"/>
    </row>
    <row r="52748" spans="1:6" x14ac:dyDescent="0.25">
      <c r="A52748"/>
      <c r="B52748"/>
      <c r="C52748"/>
      <c r="E52748"/>
      <c r="F52748"/>
    </row>
    <row r="52749" spans="1:6" x14ac:dyDescent="0.25">
      <c r="A52749"/>
      <c r="B52749"/>
      <c r="C52749"/>
      <c r="E52749"/>
      <c r="F52749"/>
    </row>
    <row r="52750" spans="1:6" x14ac:dyDescent="0.25">
      <c r="A52750"/>
      <c r="B52750"/>
      <c r="C52750"/>
      <c r="E52750"/>
      <c r="F52750"/>
    </row>
    <row r="52751" spans="1:6" x14ac:dyDescent="0.25">
      <c r="A52751"/>
      <c r="B52751"/>
      <c r="C52751"/>
      <c r="E52751"/>
      <c r="F52751"/>
    </row>
    <row r="52752" spans="1:6" x14ac:dyDescent="0.25">
      <c r="A52752"/>
      <c r="B52752"/>
      <c r="C52752"/>
      <c r="E52752"/>
      <c r="F52752"/>
    </row>
    <row r="52753" spans="1:6" x14ac:dyDescent="0.25">
      <c r="A52753"/>
      <c r="B52753"/>
      <c r="C52753"/>
      <c r="E52753"/>
      <c r="F52753"/>
    </row>
    <row r="52754" spans="1:6" x14ac:dyDescent="0.25">
      <c r="A52754"/>
      <c r="B52754"/>
      <c r="C52754"/>
      <c r="E52754"/>
      <c r="F52754"/>
    </row>
    <row r="52755" spans="1:6" x14ac:dyDescent="0.25">
      <c r="A52755"/>
      <c r="B52755"/>
      <c r="C52755"/>
      <c r="E52755"/>
      <c r="F52755"/>
    </row>
    <row r="52756" spans="1:6" x14ac:dyDescent="0.25">
      <c r="A52756"/>
      <c r="B52756"/>
      <c r="C52756"/>
      <c r="E52756"/>
      <c r="F52756"/>
    </row>
    <row r="52757" spans="1:6" x14ac:dyDescent="0.25">
      <c r="A52757"/>
      <c r="B52757"/>
      <c r="C52757"/>
      <c r="E52757"/>
      <c r="F52757"/>
    </row>
    <row r="52758" spans="1:6" x14ac:dyDescent="0.25">
      <c r="A52758"/>
      <c r="B52758"/>
      <c r="C52758"/>
      <c r="E52758"/>
      <c r="F52758"/>
    </row>
    <row r="52759" spans="1:6" x14ac:dyDescent="0.25">
      <c r="A52759"/>
      <c r="B52759"/>
      <c r="C52759"/>
      <c r="E52759"/>
      <c r="F52759"/>
    </row>
    <row r="52760" spans="1:6" x14ac:dyDescent="0.25">
      <c r="A52760"/>
      <c r="B52760"/>
      <c r="C52760"/>
      <c r="E52760"/>
      <c r="F52760"/>
    </row>
    <row r="52761" spans="1:6" x14ac:dyDescent="0.25">
      <c r="A52761"/>
      <c r="B52761"/>
      <c r="C52761"/>
      <c r="E52761"/>
      <c r="F52761"/>
    </row>
    <row r="52762" spans="1:6" x14ac:dyDescent="0.25">
      <c r="A52762"/>
      <c r="B52762"/>
      <c r="C52762"/>
      <c r="E52762"/>
      <c r="F52762"/>
    </row>
    <row r="52763" spans="1:6" x14ac:dyDescent="0.25">
      <c r="A52763"/>
      <c r="B52763"/>
      <c r="C52763"/>
      <c r="E52763"/>
      <c r="F52763"/>
    </row>
    <row r="52764" spans="1:6" x14ac:dyDescent="0.25">
      <c r="A52764"/>
      <c r="B52764"/>
      <c r="C52764"/>
      <c r="E52764"/>
      <c r="F52764"/>
    </row>
    <row r="52765" spans="1:6" x14ac:dyDescent="0.25">
      <c r="A52765"/>
      <c r="B52765"/>
      <c r="C52765"/>
      <c r="E52765"/>
      <c r="F52765"/>
    </row>
    <row r="52766" spans="1:6" x14ac:dyDescent="0.25">
      <c r="A52766"/>
      <c r="B52766"/>
      <c r="C52766"/>
      <c r="E52766"/>
      <c r="F52766"/>
    </row>
    <row r="52767" spans="1:6" x14ac:dyDescent="0.25">
      <c r="A52767"/>
      <c r="B52767"/>
      <c r="C52767"/>
      <c r="E52767"/>
      <c r="F52767"/>
    </row>
    <row r="52768" spans="1:6" x14ac:dyDescent="0.25">
      <c r="A52768"/>
      <c r="B52768"/>
      <c r="C52768"/>
      <c r="E52768"/>
      <c r="F52768"/>
    </row>
    <row r="52769" spans="1:6" x14ac:dyDescent="0.25">
      <c r="A52769"/>
      <c r="B52769"/>
      <c r="C52769"/>
      <c r="E52769"/>
      <c r="F52769"/>
    </row>
    <row r="52770" spans="1:6" x14ac:dyDescent="0.25">
      <c r="A52770"/>
      <c r="B52770"/>
      <c r="C52770"/>
      <c r="E52770"/>
      <c r="F52770"/>
    </row>
    <row r="52771" spans="1:6" x14ac:dyDescent="0.25">
      <c r="A52771"/>
      <c r="B52771"/>
      <c r="C52771"/>
      <c r="E52771"/>
      <c r="F52771"/>
    </row>
    <row r="52772" spans="1:6" x14ac:dyDescent="0.25">
      <c r="A52772"/>
      <c r="B52772"/>
      <c r="C52772"/>
      <c r="E52772"/>
      <c r="F52772"/>
    </row>
    <row r="52773" spans="1:6" x14ac:dyDescent="0.25">
      <c r="A52773"/>
      <c r="B52773"/>
      <c r="C52773"/>
      <c r="E52773"/>
      <c r="F52773"/>
    </row>
    <row r="52774" spans="1:6" x14ac:dyDescent="0.25">
      <c r="A52774"/>
      <c r="B52774"/>
      <c r="C52774"/>
      <c r="E52774"/>
      <c r="F52774"/>
    </row>
    <row r="52775" spans="1:6" x14ac:dyDescent="0.25">
      <c r="A52775"/>
      <c r="B52775"/>
      <c r="C52775"/>
      <c r="E52775"/>
      <c r="F52775"/>
    </row>
    <row r="52776" spans="1:6" x14ac:dyDescent="0.25">
      <c r="A52776"/>
      <c r="B52776"/>
      <c r="C52776"/>
      <c r="E52776"/>
      <c r="F52776"/>
    </row>
    <row r="52777" spans="1:6" x14ac:dyDescent="0.25">
      <c r="A52777"/>
      <c r="B52777"/>
      <c r="C52777"/>
      <c r="E52777"/>
      <c r="F52777"/>
    </row>
    <row r="52778" spans="1:6" x14ac:dyDescent="0.25">
      <c r="A52778"/>
      <c r="B52778"/>
      <c r="C52778"/>
      <c r="E52778"/>
      <c r="F52778"/>
    </row>
    <row r="52779" spans="1:6" x14ac:dyDescent="0.25">
      <c r="A52779"/>
      <c r="B52779"/>
      <c r="C52779"/>
      <c r="E52779"/>
      <c r="F52779"/>
    </row>
    <row r="52780" spans="1:6" x14ac:dyDescent="0.25">
      <c r="A52780"/>
      <c r="B52780"/>
      <c r="C52780"/>
      <c r="E52780"/>
      <c r="F52780"/>
    </row>
    <row r="52781" spans="1:6" x14ac:dyDescent="0.25">
      <c r="A52781"/>
      <c r="B52781"/>
      <c r="C52781"/>
      <c r="E52781"/>
      <c r="F52781"/>
    </row>
    <row r="52782" spans="1:6" x14ac:dyDescent="0.25">
      <c r="A52782"/>
      <c r="B52782"/>
      <c r="C52782"/>
      <c r="E52782"/>
      <c r="F52782"/>
    </row>
    <row r="52783" spans="1:6" x14ac:dyDescent="0.25">
      <c r="A52783"/>
      <c r="B52783"/>
      <c r="C52783"/>
      <c r="E52783"/>
      <c r="F52783"/>
    </row>
    <row r="52784" spans="1:6" x14ac:dyDescent="0.25">
      <c r="A52784"/>
      <c r="B52784"/>
      <c r="C52784"/>
      <c r="E52784"/>
      <c r="F52784"/>
    </row>
    <row r="52785" spans="1:6" x14ac:dyDescent="0.25">
      <c r="A52785"/>
      <c r="B52785"/>
      <c r="C52785"/>
      <c r="E52785"/>
      <c r="F52785"/>
    </row>
    <row r="52786" spans="1:6" x14ac:dyDescent="0.25">
      <c r="A52786"/>
      <c r="B52786"/>
      <c r="C52786"/>
      <c r="E52786"/>
      <c r="F52786"/>
    </row>
    <row r="52787" spans="1:6" x14ac:dyDescent="0.25">
      <c r="A52787"/>
      <c r="B52787"/>
      <c r="C52787"/>
      <c r="E52787"/>
      <c r="F52787"/>
    </row>
    <row r="52788" spans="1:6" x14ac:dyDescent="0.25">
      <c r="A52788"/>
      <c r="B52788"/>
      <c r="C52788"/>
      <c r="E52788"/>
      <c r="F52788"/>
    </row>
    <row r="52789" spans="1:6" x14ac:dyDescent="0.25">
      <c r="A52789"/>
      <c r="B52789"/>
      <c r="C52789"/>
      <c r="E52789"/>
      <c r="F52789"/>
    </row>
    <row r="52790" spans="1:6" x14ac:dyDescent="0.25">
      <c r="A52790"/>
      <c r="B52790"/>
      <c r="C52790"/>
      <c r="E52790"/>
      <c r="F52790"/>
    </row>
    <row r="52791" spans="1:6" x14ac:dyDescent="0.25">
      <c r="A52791"/>
      <c r="B52791"/>
      <c r="C52791"/>
      <c r="E52791"/>
      <c r="F52791"/>
    </row>
    <row r="52792" spans="1:6" x14ac:dyDescent="0.25">
      <c r="A52792"/>
      <c r="B52792"/>
      <c r="C52792"/>
      <c r="E52792"/>
      <c r="F52792"/>
    </row>
    <row r="52793" spans="1:6" x14ac:dyDescent="0.25">
      <c r="A52793"/>
      <c r="B52793"/>
      <c r="C52793"/>
      <c r="E52793"/>
      <c r="F52793"/>
    </row>
    <row r="52794" spans="1:6" x14ac:dyDescent="0.25">
      <c r="A52794"/>
      <c r="B52794"/>
      <c r="C52794"/>
      <c r="E52794"/>
      <c r="F52794"/>
    </row>
    <row r="52795" spans="1:6" x14ac:dyDescent="0.25">
      <c r="A52795"/>
      <c r="B52795"/>
      <c r="C52795"/>
      <c r="E52795"/>
      <c r="F52795"/>
    </row>
    <row r="52796" spans="1:6" x14ac:dyDescent="0.25">
      <c r="A52796"/>
      <c r="B52796"/>
      <c r="C52796"/>
      <c r="E52796"/>
      <c r="F52796"/>
    </row>
    <row r="52797" spans="1:6" x14ac:dyDescent="0.25">
      <c r="A52797"/>
      <c r="B52797"/>
      <c r="C52797"/>
      <c r="E52797"/>
      <c r="F52797"/>
    </row>
    <row r="52798" spans="1:6" x14ac:dyDescent="0.25">
      <c r="A52798"/>
      <c r="B52798"/>
      <c r="C52798"/>
      <c r="E52798"/>
      <c r="F52798"/>
    </row>
    <row r="52799" spans="1:6" x14ac:dyDescent="0.25">
      <c r="A52799"/>
      <c r="B52799"/>
      <c r="C52799"/>
      <c r="E52799"/>
      <c r="F52799"/>
    </row>
    <row r="52800" spans="1:6" x14ac:dyDescent="0.25">
      <c r="A52800"/>
      <c r="B52800"/>
      <c r="C52800"/>
      <c r="E52800"/>
      <c r="F52800"/>
    </row>
    <row r="52801" spans="1:6" x14ac:dyDescent="0.25">
      <c r="A52801"/>
      <c r="B52801"/>
      <c r="C52801"/>
      <c r="E52801"/>
      <c r="F52801"/>
    </row>
    <row r="52802" spans="1:6" x14ac:dyDescent="0.25">
      <c r="A52802"/>
      <c r="B52802"/>
      <c r="C52802"/>
      <c r="E52802"/>
      <c r="F52802"/>
    </row>
    <row r="52803" spans="1:6" x14ac:dyDescent="0.25">
      <c r="A52803"/>
      <c r="B52803"/>
      <c r="C52803"/>
      <c r="E52803"/>
      <c r="F52803"/>
    </row>
    <row r="52804" spans="1:6" x14ac:dyDescent="0.25">
      <c r="A52804"/>
      <c r="B52804"/>
      <c r="C52804"/>
      <c r="E52804"/>
      <c r="F52804"/>
    </row>
    <row r="52805" spans="1:6" x14ac:dyDescent="0.25">
      <c r="A52805"/>
      <c r="B52805"/>
      <c r="C52805"/>
      <c r="E52805"/>
      <c r="F52805"/>
    </row>
    <row r="52806" spans="1:6" x14ac:dyDescent="0.25">
      <c r="A52806"/>
      <c r="B52806"/>
      <c r="C52806"/>
      <c r="E52806"/>
      <c r="F52806"/>
    </row>
    <row r="52807" spans="1:6" x14ac:dyDescent="0.25">
      <c r="A52807"/>
      <c r="B52807"/>
      <c r="C52807"/>
      <c r="E52807"/>
      <c r="F52807"/>
    </row>
    <row r="52808" spans="1:6" x14ac:dyDescent="0.25">
      <c r="A52808"/>
      <c r="B52808"/>
      <c r="C52808"/>
      <c r="E52808"/>
      <c r="F52808"/>
    </row>
    <row r="52809" spans="1:6" x14ac:dyDescent="0.25">
      <c r="A52809"/>
      <c r="B52809"/>
      <c r="C52809"/>
      <c r="E52809"/>
      <c r="F52809"/>
    </row>
    <row r="52810" spans="1:6" x14ac:dyDescent="0.25">
      <c r="A52810"/>
      <c r="B52810"/>
      <c r="C52810"/>
      <c r="E52810"/>
      <c r="F52810"/>
    </row>
    <row r="52811" spans="1:6" x14ac:dyDescent="0.25">
      <c r="A52811"/>
      <c r="B52811"/>
      <c r="C52811"/>
      <c r="E52811"/>
      <c r="F52811"/>
    </row>
    <row r="52812" spans="1:6" x14ac:dyDescent="0.25">
      <c r="A52812"/>
      <c r="B52812"/>
      <c r="C52812"/>
      <c r="E52812"/>
      <c r="F52812"/>
    </row>
    <row r="52813" spans="1:6" x14ac:dyDescent="0.25">
      <c r="A52813"/>
      <c r="B52813"/>
      <c r="C52813"/>
      <c r="E52813"/>
      <c r="F52813"/>
    </row>
    <row r="52814" spans="1:6" x14ac:dyDescent="0.25">
      <c r="A52814"/>
      <c r="B52814"/>
      <c r="C52814"/>
      <c r="E52814"/>
      <c r="F52814"/>
    </row>
    <row r="52815" spans="1:6" x14ac:dyDescent="0.25">
      <c r="A52815"/>
      <c r="B52815"/>
      <c r="C52815"/>
      <c r="E52815"/>
      <c r="F52815"/>
    </row>
    <row r="52816" spans="1:6" x14ac:dyDescent="0.25">
      <c r="A52816"/>
      <c r="B52816"/>
      <c r="C52816"/>
      <c r="E52816"/>
      <c r="F52816"/>
    </row>
    <row r="52817" spans="1:6" x14ac:dyDescent="0.25">
      <c r="A52817"/>
      <c r="B52817"/>
      <c r="C52817"/>
      <c r="E52817"/>
      <c r="F52817"/>
    </row>
    <row r="52818" spans="1:6" x14ac:dyDescent="0.25">
      <c r="A52818"/>
      <c r="B52818"/>
      <c r="C52818"/>
      <c r="E52818"/>
      <c r="F52818"/>
    </row>
    <row r="52819" spans="1:6" x14ac:dyDescent="0.25">
      <c r="A52819"/>
      <c r="B52819"/>
      <c r="C52819"/>
      <c r="E52819"/>
      <c r="F52819"/>
    </row>
    <row r="52820" spans="1:6" x14ac:dyDescent="0.25">
      <c r="A52820"/>
      <c r="B52820"/>
      <c r="C52820"/>
      <c r="E52820"/>
      <c r="F52820"/>
    </row>
    <row r="52821" spans="1:6" x14ac:dyDescent="0.25">
      <c r="A52821"/>
      <c r="B52821"/>
      <c r="C52821"/>
      <c r="E52821"/>
      <c r="F52821"/>
    </row>
    <row r="52822" spans="1:6" x14ac:dyDescent="0.25">
      <c r="A52822"/>
      <c r="B52822"/>
      <c r="C52822"/>
      <c r="E52822"/>
      <c r="F52822"/>
    </row>
    <row r="52823" spans="1:6" x14ac:dyDescent="0.25">
      <c r="A52823"/>
      <c r="B52823"/>
      <c r="C52823"/>
      <c r="E52823"/>
      <c r="F52823"/>
    </row>
    <row r="52824" spans="1:6" x14ac:dyDescent="0.25">
      <c r="A52824"/>
      <c r="B52824"/>
      <c r="C52824"/>
      <c r="E52824"/>
      <c r="F52824"/>
    </row>
    <row r="52825" spans="1:6" x14ac:dyDescent="0.25">
      <c r="A52825"/>
      <c r="B52825"/>
      <c r="C52825"/>
      <c r="E52825"/>
      <c r="F52825"/>
    </row>
    <row r="52826" spans="1:6" x14ac:dyDescent="0.25">
      <c r="A52826"/>
      <c r="B52826"/>
      <c r="C52826"/>
      <c r="E52826"/>
      <c r="F52826"/>
    </row>
    <row r="52827" spans="1:6" x14ac:dyDescent="0.25">
      <c r="A52827"/>
      <c r="B52827"/>
      <c r="C52827"/>
      <c r="E52827"/>
      <c r="F52827"/>
    </row>
    <row r="52828" spans="1:6" x14ac:dyDescent="0.25">
      <c r="A52828"/>
      <c r="B52828"/>
      <c r="C52828"/>
      <c r="E52828"/>
      <c r="F52828"/>
    </row>
    <row r="52829" spans="1:6" x14ac:dyDescent="0.25">
      <c r="A52829"/>
      <c r="B52829"/>
      <c r="C52829"/>
      <c r="E52829"/>
      <c r="F52829"/>
    </row>
    <row r="52830" spans="1:6" x14ac:dyDescent="0.25">
      <c r="A52830"/>
      <c r="B52830"/>
      <c r="C52830"/>
      <c r="E52830"/>
      <c r="F52830"/>
    </row>
    <row r="52831" spans="1:6" x14ac:dyDescent="0.25">
      <c r="A52831"/>
      <c r="B52831"/>
      <c r="C52831"/>
      <c r="E52831"/>
      <c r="F52831"/>
    </row>
    <row r="52832" spans="1:6" x14ac:dyDescent="0.25">
      <c r="A52832"/>
      <c r="B52832"/>
      <c r="C52832"/>
      <c r="E52832"/>
      <c r="F52832"/>
    </row>
    <row r="52833" spans="1:6" x14ac:dyDescent="0.25">
      <c r="A52833"/>
      <c r="B52833"/>
      <c r="C52833"/>
      <c r="E52833"/>
      <c r="F52833"/>
    </row>
    <row r="52834" spans="1:6" x14ac:dyDescent="0.25">
      <c r="A52834"/>
      <c r="B52834"/>
      <c r="C52834"/>
      <c r="E52834"/>
      <c r="F52834"/>
    </row>
    <row r="52835" spans="1:6" x14ac:dyDescent="0.25">
      <c r="A52835"/>
      <c r="B52835"/>
      <c r="C52835"/>
      <c r="E52835"/>
      <c r="F52835"/>
    </row>
    <row r="52836" spans="1:6" x14ac:dyDescent="0.25">
      <c r="A52836"/>
      <c r="B52836"/>
      <c r="C52836"/>
      <c r="E52836"/>
      <c r="F52836"/>
    </row>
    <row r="52837" spans="1:6" x14ac:dyDescent="0.25">
      <c r="A52837"/>
      <c r="B52837"/>
      <c r="C52837"/>
      <c r="E52837"/>
      <c r="F52837"/>
    </row>
    <row r="52838" spans="1:6" x14ac:dyDescent="0.25">
      <c r="A52838"/>
      <c r="B52838"/>
      <c r="C52838"/>
      <c r="E52838"/>
      <c r="F52838"/>
    </row>
    <row r="52839" spans="1:6" x14ac:dyDescent="0.25">
      <c r="A52839"/>
      <c r="B52839"/>
      <c r="C52839"/>
      <c r="E52839"/>
      <c r="F52839"/>
    </row>
    <row r="52840" spans="1:6" x14ac:dyDescent="0.25">
      <c r="A52840"/>
      <c r="B52840"/>
      <c r="C52840"/>
      <c r="E52840"/>
      <c r="F52840"/>
    </row>
    <row r="52841" spans="1:6" x14ac:dyDescent="0.25">
      <c r="A52841"/>
      <c r="B52841"/>
      <c r="C52841"/>
      <c r="E52841"/>
      <c r="F52841"/>
    </row>
    <row r="52842" spans="1:6" x14ac:dyDescent="0.25">
      <c r="A52842"/>
      <c r="B52842"/>
      <c r="C52842"/>
      <c r="E52842"/>
      <c r="F52842"/>
    </row>
    <row r="52843" spans="1:6" x14ac:dyDescent="0.25">
      <c r="A52843"/>
      <c r="B52843"/>
      <c r="C52843"/>
      <c r="E52843"/>
      <c r="F52843"/>
    </row>
    <row r="52844" spans="1:6" x14ac:dyDescent="0.25">
      <c r="A52844"/>
      <c r="B52844"/>
      <c r="C52844"/>
      <c r="E52844"/>
      <c r="F52844"/>
    </row>
    <row r="52845" spans="1:6" x14ac:dyDescent="0.25">
      <c r="A52845"/>
      <c r="B52845"/>
      <c r="C52845"/>
      <c r="E52845"/>
      <c r="F52845"/>
    </row>
    <row r="52846" spans="1:6" x14ac:dyDescent="0.25">
      <c r="A52846"/>
      <c r="B52846"/>
      <c r="C52846"/>
      <c r="E52846"/>
      <c r="F52846"/>
    </row>
    <row r="52847" spans="1:6" x14ac:dyDescent="0.25">
      <c r="A52847"/>
      <c r="B52847"/>
      <c r="C52847"/>
      <c r="E52847"/>
      <c r="F52847"/>
    </row>
    <row r="52848" spans="1:6" x14ac:dyDescent="0.25">
      <c r="A52848"/>
      <c r="B52848"/>
      <c r="C52848"/>
      <c r="E52848"/>
      <c r="F52848"/>
    </row>
    <row r="52849" spans="1:6" x14ac:dyDescent="0.25">
      <c r="A52849"/>
      <c r="B52849"/>
      <c r="C52849"/>
      <c r="E52849"/>
      <c r="F52849"/>
    </row>
    <row r="52850" spans="1:6" x14ac:dyDescent="0.25">
      <c r="A52850"/>
      <c r="B52850"/>
      <c r="C52850"/>
      <c r="E52850"/>
      <c r="F52850"/>
    </row>
    <row r="52851" spans="1:6" x14ac:dyDescent="0.25">
      <c r="A52851"/>
      <c r="B52851"/>
      <c r="C52851"/>
      <c r="E52851"/>
      <c r="F52851"/>
    </row>
    <row r="52852" spans="1:6" x14ac:dyDescent="0.25">
      <c r="A52852"/>
      <c r="B52852"/>
      <c r="C52852"/>
      <c r="E52852"/>
      <c r="F52852"/>
    </row>
    <row r="52853" spans="1:6" x14ac:dyDescent="0.25">
      <c r="A52853"/>
      <c r="B52853"/>
      <c r="C52853"/>
      <c r="E52853"/>
      <c r="F52853"/>
    </row>
    <row r="52854" spans="1:6" x14ac:dyDescent="0.25">
      <c r="A52854"/>
      <c r="B52854"/>
      <c r="C52854"/>
      <c r="E52854"/>
      <c r="F52854"/>
    </row>
    <row r="52855" spans="1:6" x14ac:dyDescent="0.25">
      <c r="A52855"/>
      <c r="B52855"/>
      <c r="C52855"/>
      <c r="E52855"/>
      <c r="F52855"/>
    </row>
    <row r="52856" spans="1:6" x14ac:dyDescent="0.25">
      <c r="A52856"/>
      <c r="B52856"/>
      <c r="C52856"/>
      <c r="E52856"/>
      <c r="F52856"/>
    </row>
    <row r="52857" spans="1:6" x14ac:dyDescent="0.25">
      <c r="A52857"/>
      <c r="B52857"/>
      <c r="C52857"/>
      <c r="E52857"/>
      <c r="F52857"/>
    </row>
    <row r="52858" spans="1:6" x14ac:dyDescent="0.25">
      <c r="A52858"/>
      <c r="B52858"/>
      <c r="C52858"/>
      <c r="E52858"/>
      <c r="F52858"/>
    </row>
    <row r="52859" spans="1:6" x14ac:dyDescent="0.25">
      <c r="A52859"/>
      <c r="B52859"/>
      <c r="C52859"/>
      <c r="E52859"/>
      <c r="F52859"/>
    </row>
    <row r="52860" spans="1:6" x14ac:dyDescent="0.25">
      <c r="A52860"/>
      <c r="B52860"/>
      <c r="C52860"/>
      <c r="E52860"/>
      <c r="F52860"/>
    </row>
    <row r="52861" spans="1:6" x14ac:dyDescent="0.25">
      <c r="A52861"/>
      <c r="B52861"/>
      <c r="C52861"/>
      <c r="E52861"/>
      <c r="F52861"/>
    </row>
    <row r="52862" spans="1:6" x14ac:dyDescent="0.25">
      <c r="A52862"/>
      <c r="B52862"/>
      <c r="C52862"/>
      <c r="E52862"/>
      <c r="F52862"/>
    </row>
    <row r="52863" spans="1:6" x14ac:dyDescent="0.25">
      <c r="A52863"/>
      <c r="B52863"/>
      <c r="C52863"/>
      <c r="E52863"/>
      <c r="F52863"/>
    </row>
    <row r="52864" spans="1:6" x14ac:dyDescent="0.25">
      <c r="A52864"/>
      <c r="B52864"/>
      <c r="C52864"/>
      <c r="E52864"/>
      <c r="F52864"/>
    </row>
    <row r="52865" spans="1:6" x14ac:dyDescent="0.25">
      <c r="A52865"/>
      <c r="B52865"/>
      <c r="C52865"/>
      <c r="E52865"/>
      <c r="F52865"/>
    </row>
    <row r="52866" spans="1:6" x14ac:dyDescent="0.25">
      <c r="A52866"/>
      <c r="B52866"/>
      <c r="C52866"/>
      <c r="E52866"/>
      <c r="F52866"/>
    </row>
    <row r="52867" spans="1:6" x14ac:dyDescent="0.25">
      <c r="A52867"/>
      <c r="B52867"/>
      <c r="C52867"/>
      <c r="E52867"/>
      <c r="F52867"/>
    </row>
    <row r="52868" spans="1:6" x14ac:dyDescent="0.25">
      <c r="A52868"/>
      <c r="B52868"/>
      <c r="C52868"/>
      <c r="E52868"/>
      <c r="F52868"/>
    </row>
    <row r="52869" spans="1:6" x14ac:dyDescent="0.25">
      <c r="A52869"/>
      <c r="B52869"/>
      <c r="C52869"/>
      <c r="E52869"/>
      <c r="F52869"/>
    </row>
    <row r="52870" spans="1:6" x14ac:dyDescent="0.25">
      <c r="A52870"/>
      <c r="B52870"/>
      <c r="C52870"/>
      <c r="E52870"/>
      <c r="F52870"/>
    </row>
    <row r="52871" spans="1:6" x14ac:dyDescent="0.25">
      <c r="A52871"/>
      <c r="B52871"/>
      <c r="C52871"/>
      <c r="E52871"/>
      <c r="F52871"/>
    </row>
    <row r="52872" spans="1:6" x14ac:dyDescent="0.25">
      <c r="A52872"/>
      <c r="B52872"/>
      <c r="C52872"/>
      <c r="E52872"/>
      <c r="F52872"/>
    </row>
    <row r="52873" spans="1:6" x14ac:dyDescent="0.25">
      <c r="A52873"/>
      <c r="B52873"/>
      <c r="C52873"/>
      <c r="E52873"/>
      <c r="F52873"/>
    </row>
    <row r="52874" spans="1:6" x14ac:dyDescent="0.25">
      <c r="A52874"/>
      <c r="B52874"/>
      <c r="C52874"/>
      <c r="E52874"/>
      <c r="F52874"/>
    </row>
    <row r="52875" spans="1:6" x14ac:dyDescent="0.25">
      <c r="A52875"/>
      <c r="B52875"/>
      <c r="C52875"/>
      <c r="E52875"/>
      <c r="F52875"/>
    </row>
    <row r="52876" spans="1:6" x14ac:dyDescent="0.25">
      <c r="A52876"/>
      <c r="B52876"/>
      <c r="C52876"/>
      <c r="E52876"/>
      <c r="F52876"/>
    </row>
    <row r="52877" spans="1:6" x14ac:dyDescent="0.25">
      <c r="A52877"/>
      <c r="B52877"/>
      <c r="C52877"/>
      <c r="E52877"/>
      <c r="F52877"/>
    </row>
    <row r="52878" spans="1:6" x14ac:dyDescent="0.25">
      <c r="A52878"/>
      <c r="B52878"/>
      <c r="C52878"/>
      <c r="E52878"/>
      <c r="F52878"/>
    </row>
    <row r="52879" spans="1:6" x14ac:dyDescent="0.25">
      <c r="A52879"/>
      <c r="B52879"/>
      <c r="C52879"/>
      <c r="E52879"/>
      <c r="F52879"/>
    </row>
    <row r="52880" spans="1:6" x14ac:dyDescent="0.25">
      <c r="A52880"/>
      <c r="B52880"/>
      <c r="C52880"/>
      <c r="E52880"/>
      <c r="F52880"/>
    </row>
    <row r="52881" spans="1:6" x14ac:dyDescent="0.25">
      <c r="A52881"/>
      <c r="B52881"/>
      <c r="C52881"/>
      <c r="E52881"/>
      <c r="F52881"/>
    </row>
    <row r="52882" spans="1:6" x14ac:dyDescent="0.25">
      <c r="A52882"/>
      <c r="B52882"/>
      <c r="C52882"/>
      <c r="E52882"/>
      <c r="F52882"/>
    </row>
    <row r="52883" spans="1:6" x14ac:dyDescent="0.25">
      <c r="A52883"/>
      <c r="B52883"/>
      <c r="C52883"/>
      <c r="E52883"/>
      <c r="F52883"/>
    </row>
    <row r="52884" spans="1:6" x14ac:dyDescent="0.25">
      <c r="A52884"/>
      <c r="B52884"/>
      <c r="C52884"/>
      <c r="E52884"/>
      <c r="F52884"/>
    </row>
    <row r="52885" spans="1:6" x14ac:dyDescent="0.25">
      <c r="A52885"/>
      <c r="B52885"/>
      <c r="C52885"/>
      <c r="E52885"/>
      <c r="F52885"/>
    </row>
    <row r="52886" spans="1:6" x14ac:dyDescent="0.25">
      <c r="A52886"/>
      <c r="B52886"/>
      <c r="C52886"/>
      <c r="E52886"/>
      <c r="F52886"/>
    </row>
    <row r="52887" spans="1:6" x14ac:dyDescent="0.25">
      <c r="A52887"/>
      <c r="B52887"/>
      <c r="C52887"/>
      <c r="E52887"/>
      <c r="F52887"/>
    </row>
    <row r="52888" spans="1:6" x14ac:dyDescent="0.25">
      <c r="A52888"/>
      <c r="B52888"/>
      <c r="C52888"/>
      <c r="E52888"/>
      <c r="F52888"/>
    </row>
    <row r="52889" spans="1:6" x14ac:dyDescent="0.25">
      <c r="A52889"/>
      <c r="B52889"/>
      <c r="C52889"/>
      <c r="E52889"/>
      <c r="F52889"/>
    </row>
    <row r="52890" spans="1:6" x14ac:dyDescent="0.25">
      <c r="A52890"/>
      <c r="B52890"/>
      <c r="C52890"/>
      <c r="E52890"/>
      <c r="F52890"/>
    </row>
    <row r="52891" spans="1:6" x14ac:dyDescent="0.25">
      <c r="A52891"/>
      <c r="B52891"/>
      <c r="C52891"/>
      <c r="E52891"/>
      <c r="F52891"/>
    </row>
    <row r="52892" spans="1:6" x14ac:dyDescent="0.25">
      <c r="A52892"/>
      <c r="B52892"/>
      <c r="C52892"/>
      <c r="E52892"/>
      <c r="F52892"/>
    </row>
    <row r="52893" spans="1:6" x14ac:dyDescent="0.25">
      <c r="A52893"/>
      <c r="B52893"/>
      <c r="C52893"/>
      <c r="E52893"/>
      <c r="F52893"/>
    </row>
    <row r="52894" spans="1:6" x14ac:dyDescent="0.25">
      <c r="A52894"/>
      <c r="B52894"/>
      <c r="C52894"/>
      <c r="E52894"/>
      <c r="F52894"/>
    </row>
    <row r="52895" spans="1:6" x14ac:dyDescent="0.25">
      <c r="A52895"/>
      <c r="B52895"/>
      <c r="C52895"/>
      <c r="E52895"/>
      <c r="F52895"/>
    </row>
    <row r="52896" spans="1:6" x14ac:dyDescent="0.25">
      <c r="A52896"/>
      <c r="B52896"/>
      <c r="C52896"/>
      <c r="E52896"/>
      <c r="F52896"/>
    </row>
    <row r="52897" spans="1:6" x14ac:dyDescent="0.25">
      <c r="A52897"/>
      <c r="B52897"/>
      <c r="C52897"/>
      <c r="E52897"/>
      <c r="F52897"/>
    </row>
    <row r="52898" spans="1:6" x14ac:dyDescent="0.25">
      <c r="A52898"/>
      <c r="B52898"/>
      <c r="C52898"/>
      <c r="E52898"/>
      <c r="F52898"/>
    </row>
    <row r="52899" spans="1:6" x14ac:dyDescent="0.25">
      <c r="A52899"/>
      <c r="B52899"/>
      <c r="C52899"/>
      <c r="E52899"/>
      <c r="F52899"/>
    </row>
    <row r="52900" spans="1:6" x14ac:dyDescent="0.25">
      <c r="A52900"/>
      <c r="B52900"/>
      <c r="C52900"/>
      <c r="E52900"/>
      <c r="F52900"/>
    </row>
    <row r="52901" spans="1:6" x14ac:dyDescent="0.25">
      <c r="A52901"/>
      <c r="B52901"/>
      <c r="C52901"/>
      <c r="E52901"/>
      <c r="F52901"/>
    </row>
    <row r="52902" spans="1:6" x14ac:dyDescent="0.25">
      <c r="A52902"/>
      <c r="B52902"/>
      <c r="C52902"/>
      <c r="E52902"/>
      <c r="F52902"/>
    </row>
    <row r="52903" spans="1:6" x14ac:dyDescent="0.25">
      <c r="A52903"/>
      <c r="B52903"/>
      <c r="C52903"/>
      <c r="E52903"/>
      <c r="F52903"/>
    </row>
    <row r="52904" spans="1:6" x14ac:dyDescent="0.25">
      <c r="A52904"/>
      <c r="B52904"/>
      <c r="C52904"/>
      <c r="E52904"/>
      <c r="F52904"/>
    </row>
    <row r="52905" spans="1:6" x14ac:dyDescent="0.25">
      <c r="A52905"/>
      <c r="B52905"/>
      <c r="C52905"/>
      <c r="E52905"/>
      <c r="F52905"/>
    </row>
    <row r="52906" spans="1:6" x14ac:dyDescent="0.25">
      <c r="A52906"/>
      <c r="B52906"/>
      <c r="C52906"/>
      <c r="E52906"/>
      <c r="F52906"/>
    </row>
    <row r="52907" spans="1:6" x14ac:dyDescent="0.25">
      <c r="A52907"/>
      <c r="B52907"/>
      <c r="C52907"/>
      <c r="E52907"/>
      <c r="F52907"/>
    </row>
    <row r="52908" spans="1:6" x14ac:dyDescent="0.25">
      <c r="A52908"/>
      <c r="B52908"/>
      <c r="C52908"/>
      <c r="E52908"/>
      <c r="F52908"/>
    </row>
    <row r="52909" spans="1:6" x14ac:dyDescent="0.25">
      <c r="A52909"/>
      <c r="B52909"/>
      <c r="C52909"/>
      <c r="E52909"/>
      <c r="F52909"/>
    </row>
    <row r="52910" spans="1:6" x14ac:dyDescent="0.25">
      <c r="A52910"/>
      <c r="B52910"/>
      <c r="C52910"/>
      <c r="E52910"/>
      <c r="F52910"/>
    </row>
    <row r="52911" spans="1:6" x14ac:dyDescent="0.25">
      <c r="A52911"/>
      <c r="B52911"/>
      <c r="C52911"/>
      <c r="E52911"/>
      <c r="F52911"/>
    </row>
    <row r="52912" spans="1:6" x14ac:dyDescent="0.25">
      <c r="A52912"/>
      <c r="B52912"/>
      <c r="C52912"/>
      <c r="E52912"/>
      <c r="F52912"/>
    </row>
    <row r="52913" spans="1:6" x14ac:dyDescent="0.25">
      <c r="A52913"/>
      <c r="B52913"/>
      <c r="C52913"/>
      <c r="E52913"/>
      <c r="F52913"/>
    </row>
    <row r="52914" spans="1:6" x14ac:dyDescent="0.25">
      <c r="A52914"/>
      <c r="B52914"/>
      <c r="C52914"/>
      <c r="E52914"/>
      <c r="F52914"/>
    </row>
    <row r="52915" spans="1:6" x14ac:dyDescent="0.25">
      <c r="A52915"/>
      <c r="B52915"/>
      <c r="C52915"/>
      <c r="E52915"/>
      <c r="F52915"/>
    </row>
    <row r="52916" spans="1:6" x14ac:dyDescent="0.25">
      <c r="A52916"/>
      <c r="B52916"/>
      <c r="C52916"/>
      <c r="E52916"/>
      <c r="F52916"/>
    </row>
    <row r="52917" spans="1:6" x14ac:dyDescent="0.25">
      <c r="A52917"/>
      <c r="B52917"/>
      <c r="C52917"/>
      <c r="E52917"/>
      <c r="F52917"/>
    </row>
    <row r="52918" spans="1:6" x14ac:dyDescent="0.25">
      <c r="A52918"/>
      <c r="B52918"/>
      <c r="C52918"/>
      <c r="E52918"/>
      <c r="F52918"/>
    </row>
    <row r="52919" spans="1:6" x14ac:dyDescent="0.25">
      <c r="A52919"/>
      <c r="B52919"/>
      <c r="C52919"/>
      <c r="E52919"/>
      <c r="F52919"/>
    </row>
    <row r="52920" spans="1:6" x14ac:dyDescent="0.25">
      <c r="A52920"/>
      <c r="B52920"/>
      <c r="C52920"/>
      <c r="E52920"/>
      <c r="F52920"/>
    </row>
    <row r="52921" spans="1:6" x14ac:dyDescent="0.25">
      <c r="A52921"/>
      <c r="B52921"/>
      <c r="C52921"/>
      <c r="E52921"/>
      <c r="F52921"/>
    </row>
    <row r="52922" spans="1:6" x14ac:dyDescent="0.25">
      <c r="A52922"/>
      <c r="B52922"/>
      <c r="C52922"/>
      <c r="E52922"/>
      <c r="F52922"/>
    </row>
    <row r="52923" spans="1:6" x14ac:dyDescent="0.25">
      <c r="A52923"/>
      <c r="B52923"/>
      <c r="C52923"/>
      <c r="E52923"/>
      <c r="F52923"/>
    </row>
    <row r="52924" spans="1:6" x14ac:dyDescent="0.25">
      <c r="A52924"/>
      <c r="B52924"/>
      <c r="C52924"/>
      <c r="E52924"/>
      <c r="F52924"/>
    </row>
    <row r="52925" spans="1:6" x14ac:dyDescent="0.25">
      <c r="A52925"/>
      <c r="B52925"/>
      <c r="C52925"/>
      <c r="E52925"/>
      <c r="F52925"/>
    </row>
    <row r="52926" spans="1:6" x14ac:dyDescent="0.25">
      <c r="A52926"/>
      <c r="B52926"/>
      <c r="C52926"/>
      <c r="E52926"/>
      <c r="F52926"/>
    </row>
    <row r="52927" spans="1:6" x14ac:dyDescent="0.25">
      <c r="A52927"/>
      <c r="B52927"/>
      <c r="C52927"/>
      <c r="E52927"/>
      <c r="F52927"/>
    </row>
    <row r="52928" spans="1:6" x14ac:dyDescent="0.25">
      <c r="A52928"/>
      <c r="B52928"/>
      <c r="C52928"/>
      <c r="E52928"/>
      <c r="F52928"/>
    </row>
    <row r="52929" spans="1:6" x14ac:dyDescent="0.25">
      <c r="A52929"/>
      <c r="B52929"/>
      <c r="C52929"/>
      <c r="E52929"/>
      <c r="F52929"/>
    </row>
    <row r="52930" spans="1:6" x14ac:dyDescent="0.25">
      <c r="A52930"/>
      <c r="B52930"/>
      <c r="C52930"/>
      <c r="E52930"/>
      <c r="F52930"/>
    </row>
    <row r="52931" spans="1:6" x14ac:dyDescent="0.25">
      <c r="A52931"/>
      <c r="B52931"/>
      <c r="C52931"/>
      <c r="E52931"/>
      <c r="F52931"/>
    </row>
    <row r="52932" spans="1:6" x14ac:dyDescent="0.25">
      <c r="A52932"/>
      <c r="B52932"/>
      <c r="C52932"/>
      <c r="E52932"/>
      <c r="F52932"/>
    </row>
    <row r="52933" spans="1:6" x14ac:dyDescent="0.25">
      <c r="A52933"/>
      <c r="B52933"/>
      <c r="C52933"/>
      <c r="E52933"/>
      <c r="F52933"/>
    </row>
    <row r="52934" spans="1:6" x14ac:dyDescent="0.25">
      <c r="A52934"/>
      <c r="B52934"/>
      <c r="C52934"/>
      <c r="E52934"/>
      <c r="F52934"/>
    </row>
    <row r="52935" spans="1:6" x14ac:dyDescent="0.25">
      <c r="A52935"/>
      <c r="B52935"/>
      <c r="C52935"/>
      <c r="E52935"/>
      <c r="F52935"/>
    </row>
    <row r="52936" spans="1:6" x14ac:dyDescent="0.25">
      <c r="A52936"/>
      <c r="B52936"/>
      <c r="C52936"/>
      <c r="E52936"/>
      <c r="F52936"/>
    </row>
    <row r="52937" spans="1:6" x14ac:dyDescent="0.25">
      <c r="A52937"/>
      <c r="B52937"/>
      <c r="C52937"/>
      <c r="E52937"/>
      <c r="F52937"/>
    </row>
    <row r="52938" spans="1:6" x14ac:dyDescent="0.25">
      <c r="A52938"/>
      <c r="B52938"/>
      <c r="C52938"/>
      <c r="E52938"/>
      <c r="F52938"/>
    </row>
    <row r="52939" spans="1:6" x14ac:dyDescent="0.25">
      <c r="A52939"/>
      <c r="B52939"/>
      <c r="C52939"/>
      <c r="E52939"/>
      <c r="F52939"/>
    </row>
    <row r="52940" spans="1:6" x14ac:dyDescent="0.25">
      <c r="A52940"/>
      <c r="B52940"/>
      <c r="C52940"/>
      <c r="E52940"/>
      <c r="F52940"/>
    </row>
    <row r="52941" spans="1:6" x14ac:dyDescent="0.25">
      <c r="A52941"/>
      <c r="B52941"/>
      <c r="C52941"/>
      <c r="E52941"/>
      <c r="F52941"/>
    </row>
    <row r="52942" spans="1:6" x14ac:dyDescent="0.25">
      <c r="A52942"/>
      <c r="B52942"/>
      <c r="C52942"/>
      <c r="E52942"/>
      <c r="F52942"/>
    </row>
    <row r="52943" spans="1:6" x14ac:dyDescent="0.25">
      <c r="A52943"/>
      <c r="B52943"/>
      <c r="C52943"/>
      <c r="E52943"/>
      <c r="F52943"/>
    </row>
    <row r="52944" spans="1:6" x14ac:dyDescent="0.25">
      <c r="A52944"/>
      <c r="B52944"/>
      <c r="C52944"/>
      <c r="E52944"/>
      <c r="F52944"/>
    </row>
    <row r="52945" spans="1:6" x14ac:dyDescent="0.25">
      <c r="A52945"/>
      <c r="B52945"/>
      <c r="C52945"/>
      <c r="E52945"/>
      <c r="F52945"/>
    </row>
    <row r="52946" spans="1:6" x14ac:dyDescent="0.25">
      <c r="A52946"/>
      <c r="B52946"/>
      <c r="C52946"/>
      <c r="E52946"/>
      <c r="F52946"/>
    </row>
    <row r="52947" spans="1:6" x14ac:dyDescent="0.25">
      <c r="A52947"/>
      <c r="B52947"/>
      <c r="C52947"/>
      <c r="E52947"/>
      <c r="F52947"/>
    </row>
    <row r="52948" spans="1:6" x14ac:dyDescent="0.25">
      <c r="A52948"/>
      <c r="B52948"/>
      <c r="C52948"/>
      <c r="E52948"/>
      <c r="F52948"/>
    </row>
    <row r="52949" spans="1:6" x14ac:dyDescent="0.25">
      <c r="A52949"/>
      <c r="B52949"/>
      <c r="C52949"/>
      <c r="E52949"/>
      <c r="F52949"/>
    </row>
    <row r="52950" spans="1:6" x14ac:dyDescent="0.25">
      <c r="A52950"/>
      <c r="B52950"/>
      <c r="C52950"/>
      <c r="E52950"/>
      <c r="F52950"/>
    </row>
    <row r="52951" spans="1:6" x14ac:dyDescent="0.25">
      <c r="A52951"/>
      <c r="B52951"/>
      <c r="C52951"/>
      <c r="E52951"/>
      <c r="F52951"/>
    </row>
    <row r="52952" spans="1:6" x14ac:dyDescent="0.25">
      <c r="A52952"/>
      <c r="B52952"/>
      <c r="C52952"/>
      <c r="E52952"/>
      <c r="F52952"/>
    </row>
    <row r="52953" spans="1:6" x14ac:dyDescent="0.25">
      <c r="A52953"/>
      <c r="B52953"/>
      <c r="C52953"/>
      <c r="E52953"/>
      <c r="F52953"/>
    </row>
    <row r="52954" spans="1:6" x14ac:dyDescent="0.25">
      <c r="A52954"/>
      <c r="B52954"/>
      <c r="C52954"/>
      <c r="E52954"/>
      <c r="F52954"/>
    </row>
    <row r="52955" spans="1:6" x14ac:dyDescent="0.25">
      <c r="A52955"/>
      <c r="B52955"/>
      <c r="C52955"/>
      <c r="E52955"/>
      <c r="F52955"/>
    </row>
    <row r="52956" spans="1:6" x14ac:dyDescent="0.25">
      <c r="A52956"/>
      <c r="B52956"/>
      <c r="C52956"/>
      <c r="E52956"/>
      <c r="F52956"/>
    </row>
    <row r="52957" spans="1:6" x14ac:dyDescent="0.25">
      <c r="A52957"/>
      <c r="B52957"/>
      <c r="C52957"/>
      <c r="E52957"/>
      <c r="F52957"/>
    </row>
    <row r="52958" spans="1:6" x14ac:dyDescent="0.25">
      <c r="A52958"/>
      <c r="B52958"/>
      <c r="C52958"/>
      <c r="E52958"/>
      <c r="F52958"/>
    </row>
    <row r="52959" spans="1:6" x14ac:dyDescent="0.25">
      <c r="A52959"/>
      <c r="B52959"/>
      <c r="C52959"/>
      <c r="E52959"/>
      <c r="F52959"/>
    </row>
    <row r="52960" spans="1:6" x14ac:dyDescent="0.25">
      <c r="A52960"/>
      <c r="B52960"/>
      <c r="C52960"/>
      <c r="E52960"/>
      <c r="F52960"/>
    </row>
    <row r="52961" spans="1:6" x14ac:dyDescent="0.25">
      <c r="A52961"/>
      <c r="B52961"/>
      <c r="C52961"/>
      <c r="E52961"/>
      <c r="F52961"/>
    </row>
    <row r="52962" spans="1:6" x14ac:dyDescent="0.25">
      <c r="A52962"/>
      <c r="B52962"/>
      <c r="C52962"/>
      <c r="E52962"/>
      <c r="F52962"/>
    </row>
    <row r="52963" spans="1:6" x14ac:dyDescent="0.25">
      <c r="A52963"/>
      <c r="B52963"/>
      <c r="C52963"/>
      <c r="E52963"/>
      <c r="F52963"/>
    </row>
    <row r="52964" spans="1:6" x14ac:dyDescent="0.25">
      <c r="A52964"/>
      <c r="B52964"/>
      <c r="C52964"/>
      <c r="E52964"/>
      <c r="F52964"/>
    </row>
    <row r="52965" spans="1:6" x14ac:dyDescent="0.25">
      <c r="A52965"/>
      <c r="B52965"/>
      <c r="C52965"/>
      <c r="E52965"/>
      <c r="F52965"/>
    </row>
    <row r="52966" spans="1:6" x14ac:dyDescent="0.25">
      <c r="A52966"/>
      <c r="B52966"/>
      <c r="C52966"/>
      <c r="E52966"/>
      <c r="F52966"/>
    </row>
    <row r="52967" spans="1:6" x14ac:dyDescent="0.25">
      <c r="A52967"/>
      <c r="B52967"/>
      <c r="C52967"/>
      <c r="E52967"/>
      <c r="F52967"/>
    </row>
    <row r="52968" spans="1:6" x14ac:dyDescent="0.25">
      <c r="A52968"/>
      <c r="B52968"/>
      <c r="C52968"/>
      <c r="E52968"/>
      <c r="F52968"/>
    </row>
    <row r="52969" spans="1:6" x14ac:dyDescent="0.25">
      <c r="A52969"/>
      <c r="B52969"/>
      <c r="C52969"/>
      <c r="E52969"/>
      <c r="F52969"/>
    </row>
    <row r="52970" spans="1:6" x14ac:dyDescent="0.25">
      <c r="A52970"/>
      <c r="B52970"/>
      <c r="C52970"/>
      <c r="E52970"/>
      <c r="F52970"/>
    </row>
    <row r="52971" spans="1:6" x14ac:dyDescent="0.25">
      <c r="A52971"/>
      <c r="B52971"/>
      <c r="C52971"/>
      <c r="E52971"/>
      <c r="F52971"/>
    </row>
    <row r="52972" spans="1:6" x14ac:dyDescent="0.25">
      <c r="A52972"/>
      <c r="B52972"/>
      <c r="C52972"/>
      <c r="E52972"/>
      <c r="F52972"/>
    </row>
    <row r="52973" spans="1:6" x14ac:dyDescent="0.25">
      <c r="A52973"/>
      <c r="B52973"/>
      <c r="C52973"/>
      <c r="E52973"/>
      <c r="F52973"/>
    </row>
    <row r="52974" spans="1:6" x14ac:dyDescent="0.25">
      <c r="A52974"/>
      <c r="B52974"/>
      <c r="C52974"/>
      <c r="E52974"/>
      <c r="F52974"/>
    </row>
    <row r="52975" spans="1:6" x14ac:dyDescent="0.25">
      <c r="A52975"/>
      <c r="B52975"/>
      <c r="C52975"/>
      <c r="E52975"/>
      <c r="F52975"/>
    </row>
    <row r="52976" spans="1:6" x14ac:dyDescent="0.25">
      <c r="A52976"/>
      <c r="B52976"/>
      <c r="C52976"/>
      <c r="E52976"/>
      <c r="F52976"/>
    </row>
    <row r="52977" spans="1:6" x14ac:dyDescent="0.25">
      <c r="A52977"/>
      <c r="B52977"/>
      <c r="C52977"/>
      <c r="E52977"/>
      <c r="F52977"/>
    </row>
    <row r="52978" spans="1:6" x14ac:dyDescent="0.25">
      <c r="A52978"/>
      <c r="B52978"/>
      <c r="C52978"/>
      <c r="E52978"/>
      <c r="F52978"/>
    </row>
    <row r="52979" spans="1:6" x14ac:dyDescent="0.25">
      <c r="A52979"/>
      <c r="B52979"/>
      <c r="C52979"/>
      <c r="E52979"/>
      <c r="F52979"/>
    </row>
    <row r="52980" spans="1:6" x14ac:dyDescent="0.25">
      <c r="A52980"/>
      <c r="B52980"/>
      <c r="C52980"/>
      <c r="E52980"/>
      <c r="F52980"/>
    </row>
    <row r="52981" spans="1:6" x14ac:dyDescent="0.25">
      <c r="A52981"/>
      <c r="B52981"/>
      <c r="C52981"/>
      <c r="E52981"/>
      <c r="F52981"/>
    </row>
    <row r="52982" spans="1:6" x14ac:dyDescent="0.25">
      <c r="A52982"/>
      <c r="B52982"/>
      <c r="C52982"/>
      <c r="E52982"/>
      <c r="F52982"/>
    </row>
    <row r="52983" spans="1:6" x14ac:dyDescent="0.25">
      <c r="A52983"/>
      <c r="B52983"/>
      <c r="C52983"/>
      <c r="E52983"/>
      <c r="F52983"/>
    </row>
    <row r="52984" spans="1:6" x14ac:dyDescent="0.25">
      <c r="A52984"/>
      <c r="B52984"/>
      <c r="C52984"/>
      <c r="E52984"/>
      <c r="F52984"/>
    </row>
    <row r="52985" spans="1:6" x14ac:dyDescent="0.25">
      <c r="A52985"/>
      <c r="B52985"/>
      <c r="C52985"/>
      <c r="E52985"/>
      <c r="F52985"/>
    </row>
    <row r="52986" spans="1:6" x14ac:dyDescent="0.25">
      <c r="A52986"/>
      <c r="B52986"/>
      <c r="C52986"/>
      <c r="E52986"/>
      <c r="F52986"/>
    </row>
    <row r="52987" spans="1:6" x14ac:dyDescent="0.25">
      <c r="A52987"/>
      <c r="B52987"/>
      <c r="C52987"/>
      <c r="E52987"/>
      <c r="F52987"/>
    </row>
    <row r="52988" spans="1:6" x14ac:dyDescent="0.25">
      <c r="A52988"/>
      <c r="B52988"/>
      <c r="C52988"/>
      <c r="E52988"/>
      <c r="F52988"/>
    </row>
    <row r="52989" spans="1:6" x14ac:dyDescent="0.25">
      <c r="A52989"/>
      <c r="B52989"/>
      <c r="C52989"/>
      <c r="E52989"/>
      <c r="F52989"/>
    </row>
    <row r="52990" spans="1:6" x14ac:dyDescent="0.25">
      <c r="A52990"/>
      <c r="B52990"/>
      <c r="C52990"/>
      <c r="E52990"/>
      <c r="F52990"/>
    </row>
    <row r="52991" spans="1:6" x14ac:dyDescent="0.25">
      <c r="A52991"/>
      <c r="B52991"/>
      <c r="C52991"/>
      <c r="E52991"/>
      <c r="F52991"/>
    </row>
    <row r="52992" spans="1:6" x14ac:dyDescent="0.25">
      <c r="A52992"/>
      <c r="B52992"/>
      <c r="C52992"/>
      <c r="E52992"/>
      <c r="F52992"/>
    </row>
    <row r="52993" spans="1:6" x14ac:dyDescent="0.25">
      <c r="A52993"/>
      <c r="B52993"/>
      <c r="C52993"/>
      <c r="E52993"/>
      <c r="F52993"/>
    </row>
    <row r="52994" spans="1:6" x14ac:dyDescent="0.25">
      <c r="A52994"/>
      <c r="B52994"/>
      <c r="C52994"/>
      <c r="E52994"/>
      <c r="F52994"/>
    </row>
    <row r="52995" spans="1:6" x14ac:dyDescent="0.25">
      <c r="A52995"/>
      <c r="B52995"/>
      <c r="C52995"/>
      <c r="E52995"/>
      <c r="F52995"/>
    </row>
    <row r="52996" spans="1:6" x14ac:dyDescent="0.25">
      <c r="A52996"/>
      <c r="B52996"/>
      <c r="C52996"/>
      <c r="E52996"/>
      <c r="F52996"/>
    </row>
    <row r="52997" spans="1:6" x14ac:dyDescent="0.25">
      <c r="A52997"/>
      <c r="B52997"/>
      <c r="C52997"/>
      <c r="E52997"/>
      <c r="F52997"/>
    </row>
    <row r="52998" spans="1:6" x14ac:dyDescent="0.25">
      <c r="A52998"/>
      <c r="B52998"/>
      <c r="C52998"/>
      <c r="E52998"/>
      <c r="F52998"/>
    </row>
    <row r="52999" spans="1:6" x14ac:dyDescent="0.25">
      <c r="A52999"/>
      <c r="B52999"/>
      <c r="C52999"/>
      <c r="E52999"/>
      <c r="F52999"/>
    </row>
    <row r="53000" spans="1:6" x14ac:dyDescent="0.25">
      <c r="A53000"/>
      <c r="B53000"/>
      <c r="C53000"/>
      <c r="E53000"/>
      <c r="F53000"/>
    </row>
    <row r="53001" spans="1:6" x14ac:dyDescent="0.25">
      <c r="A53001"/>
      <c r="B53001"/>
      <c r="C53001"/>
      <c r="E53001"/>
      <c r="F53001"/>
    </row>
    <row r="53002" spans="1:6" x14ac:dyDescent="0.25">
      <c r="A53002"/>
      <c r="B53002"/>
      <c r="C53002"/>
      <c r="E53002"/>
      <c r="F53002"/>
    </row>
    <row r="53003" spans="1:6" x14ac:dyDescent="0.25">
      <c r="A53003"/>
      <c r="B53003"/>
      <c r="C53003"/>
      <c r="E53003"/>
      <c r="F53003"/>
    </row>
    <row r="53004" spans="1:6" x14ac:dyDescent="0.25">
      <c r="A53004"/>
      <c r="B53004"/>
      <c r="C53004"/>
      <c r="E53004"/>
      <c r="F53004"/>
    </row>
    <row r="53005" spans="1:6" x14ac:dyDescent="0.25">
      <c r="A53005"/>
      <c r="B53005"/>
      <c r="C53005"/>
      <c r="E53005"/>
      <c r="F53005"/>
    </row>
    <row r="53006" spans="1:6" x14ac:dyDescent="0.25">
      <c r="A53006"/>
      <c r="B53006"/>
      <c r="C53006"/>
      <c r="E53006"/>
      <c r="F53006"/>
    </row>
    <row r="53007" spans="1:6" x14ac:dyDescent="0.25">
      <c r="A53007"/>
      <c r="B53007"/>
      <c r="C53007"/>
      <c r="E53007"/>
      <c r="F53007"/>
    </row>
    <row r="53008" spans="1:6" x14ac:dyDescent="0.25">
      <c r="A53008"/>
      <c r="B53008"/>
      <c r="C53008"/>
      <c r="E53008"/>
      <c r="F53008"/>
    </row>
    <row r="53009" spans="1:6" x14ac:dyDescent="0.25">
      <c r="A53009"/>
      <c r="B53009"/>
      <c r="C53009"/>
      <c r="E53009"/>
      <c r="F53009"/>
    </row>
    <row r="53010" spans="1:6" x14ac:dyDescent="0.25">
      <c r="A53010"/>
      <c r="B53010"/>
      <c r="C53010"/>
      <c r="E53010"/>
      <c r="F53010"/>
    </row>
    <row r="53011" spans="1:6" x14ac:dyDescent="0.25">
      <c r="A53011"/>
      <c r="B53011"/>
      <c r="C53011"/>
      <c r="E53011"/>
      <c r="F53011"/>
    </row>
    <row r="53012" spans="1:6" x14ac:dyDescent="0.25">
      <c r="A53012"/>
      <c r="B53012"/>
      <c r="C53012"/>
      <c r="E53012"/>
      <c r="F53012"/>
    </row>
    <row r="53013" spans="1:6" x14ac:dyDescent="0.25">
      <c r="A53013"/>
      <c r="B53013"/>
      <c r="C53013"/>
      <c r="E53013"/>
      <c r="F53013"/>
    </row>
    <row r="53014" spans="1:6" x14ac:dyDescent="0.25">
      <c r="A53014"/>
      <c r="B53014"/>
      <c r="C53014"/>
      <c r="E53014"/>
      <c r="F53014"/>
    </row>
    <row r="53015" spans="1:6" x14ac:dyDescent="0.25">
      <c r="A53015"/>
      <c r="B53015"/>
      <c r="C53015"/>
      <c r="E53015"/>
      <c r="F53015"/>
    </row>
    <row r="53016" spans="1:6" x14ac:dyDescent="0.25">
      <c r="A53016"/>
      <c r="B53016"/>
      <c r="C53016"/>
      <c r="E53016"/>
      <c r="F53016"/>
    </row>
    <row r="53017" spans="1:6" x14ac:dyDescent="0.25">
      <c r="A53017"/>
      <c r="B53017"/>
      <c r="C53017"/>
      <c r="E53017"/>
      <c r="F53017"/>
    </row>
    <row r="53018" spans="1:6" x14ac:dyDescent="0.25">
      <c r="A53018"/>
      <c r="B53018"/>
      <c r="C53018"/>
      <c r="E53018"/>
      <c r="F53018"/>
    </row>
    <row r="53019" spans="1:6" x14ac:dyDescent="0.25">
      <c r="A53019"/>
      <c r="B53019"/>
      <c r="C53019"/>
      <c r="E53019"/>
      <c r="F53019"/>
    </row>
    <row r="53020" spans="1:6" x14ac:dyDescent="0.25">
      <c r="A53020"/>
      <c r="B53020"/>
      <c r="C53020"/>
      <c r="E53020"/>
      <c r="F53020"/>
    </row>
    <row r="53021" spans="1:6" x14ac:dyDescent="0.25">
      <c r="A53021"/>
      <c r="B53021"/>
      <c r="C53021"/>
      <c r="E53021"/>
      <c r="F53021"/>
    </row>
    <row r="53022" spans="1:6" x14ac:dyDescent="0.25">
      <c r="A53022"/>
      <c r="B53022"/>
      <c r="C53022"/>
      <c r="E53022"/>
      <c r="F53022"/>
    </row>
    <row r="53023" spans="1:6" x14ac:dyDescent="0.25">
      <c r="A53023"/>
      <c r="B53023"/>
      <c r="C53023"/>
      <c r="E53023"/>
      <c r="F53023"/>
    </row>
    <row r="53024" spans="1:6" x14ac:dyDescent="0.25">
      <c r="A53024"/>
      <c r="B53024"/>
      <c r="C53024"/>
      <c r="E53024"/>
      <c r="F53024"/>
    </row>
    <row r="53025" spans="1:6" x14ac:dyDescent="0.25">
      <c r="A53025"/>
      <c r="B53025"/>
      <c r="C53025"/>
      <c r="E53025"/>
      <c r="F53025"/>
    </row>
    <row r="53026" spans="1:6" x14ac:dyDescent="0.25">
      <c r="A53026"/>
      <c r="B53026"/>
      <c r="C53026"/>
      <c r="E53026"/>
      <c r="F53026"/>
    </row>
    <row r="53027" spans="1:6" x14ac:dyDescent="0.25">
      <c r="A53027"/>
      <c r="B53027"/>
      <c r="C53027"/>
      <c r="E53027"/>
      <c r="F53027"/>
    </row>
    <row r="53028" spans="1:6" x14ac:dyDescent="0.25">
      <c r="A53028"/>
      <c r="B53028"/>
      <c r="C53028"/>
      <c r="E53028"/>
      <c r="F53028"/>
    </row>
    <row r="53029" spans="1:6" x14ac:dyDescent="0.25">
      <c r="A53029"/>
      <c r="B53029"/>
      <c r="C53029"/>
      <c r="E53029"/>
      <c r="F53029"/>
    </row>
    <row r="53030" spans="1:6" x14ac:dyDescent="0.25">
      <c r="A53030"/>
      <c r="B53030"/>
      <c r="C53030"/>
      <c r="E53030"/>
      <c r="F53030"/>
    </row>
    <row r="53031" spans="1:6" x14ac:dyDescent="0.25">
      <c r="A53031"/>
      <c r="B53031"/>
      <c r="C53031"/>
      <c r="E53031"/>
      <c r="F53031"/>
    </row>
    <row r="53032" spans="1:6" x14ac:dyDescent="0.25">
      <c r="A53032"/>
      <c r="B53032"/>
      <c r="C53032"/>
      <c r="E53032"/>
      <c r="F53032"/>
    </row>
    <row r="53033" spans="1:6" x14ac:dyDescent="0.25">
      <c r="A53033"/>
      <c r="B53033"/>
      <c r="C53033"/>
      <c r="E53033"/>
      <c r="F53033"/>
    </row>
    <row r="53034" spans="1:6" x14ac:dyDescent="0.25">
      <c r="A53034"/>
      <c r="B53034"/>
      <c r="C53034"/>
      <c r="E53034"/>
      <c r="F53034"/>
    </row>
    <row r="53035" spans="1:6" x14ac:dyDescent="0.25">
      <c r="A53035"/>
      <c r="B53035"/>
      <c r="C53035"/>
      <c r="E53035"/>
      <c r="F53035"/>
    </row>
    <row r="53036" spans="1:6" x14ac:dyDescent="0.25">
      <c r="A53036"/>
      <c r="B53036"/>
      <c r="C53036"/>
      <c r="E53036"/>
      <c r="F53036"/>
    </row>
    <row r="53037" spans="1:6" x14ac:dyDescent="0.25">
      <c r="A53037"/>
      <c r="B53037"/>
      <c r="C53037"/>
      <c r="E53037"/>
      <c r="F53037"/>
    </row>
    <row r="53038" spans="1:6" x14ac:dyDescent="0.25">
      <c r="A53038"/>
      <c r="B53038"/>
      <c r="C53038"/>
      <c r="E53038"/>
      <c r="F53038"/>
    </row>
    <row r="53039" spans="1:6" x14ac:dyDescent="0.25">
      <c r="A53039"/>
      <c r="B53039"/>
      <c r="C53039"/>
      <c r="E53039"/>
      <c r="F53039"/>
    </row>
    <row r="53040" spans="1:6" x14ac:dyDescent="0.25">
      <c r="A53040"/>
      <c r="B53040"/>
      <c r="C53040"/>
      <c r="E53040"/>
      <c r="F53040"/>
    </row>
    <row r="53041" spans="1:6" x14ac:dyDescent="0.25">
      <c r="A53041"/>
      <c r="B53041"/>
      <c r="C53041"/>
      <c r="E53041"/>
      <c r="F53041"/>
    </row>
    <row r="53042" spans="1:6" x14ac:dyDescent="0.25">
      <c r="A53042"/>
      <c r="B53042"/>
      <c r="C53042"/>
      <c r="E53042"/>
      <c r="F53042"/>
    </row>
    <row r="53043" spans="1:6" x14ac:dyDescent="0.25">
      <c r="A53043"/>
      <c r="B53043"/>
      <c r="C53043"/>
      <c r="E53043"/>
      <c r="F53043"/>
    </row>
    <row r="53044" spans="1:6" x14ac:dyDescent="0.25">
      <c r="A53044"/>
      <c r="B53044"/>
      <c r="C53044"/>
      <c r="E53044"/>
      <c r="F53044"/>
    </row>
    <row r="53045" spans="1:6" x14ac:dyDescent="0.25">
      <c r="A53045"/>
      <c r="B53045"/>
      <c r="C53045"/>
      <c r="E53045"/>
      <c r="F53045"/>
    </row>
    <row r="53046" spans="1:6" x14ac:dyDescent="0.25">
      <c r="A53046"/>
      <c r="B53046"/>
      <c r="C53046"/>
      <c r="E53046"/>
      <c r="F53046"/>
    </row>
    <row r="53047" spans="1:6" x14ac:dyDescent="0.25">
      <c r="A53047"/>
      <c r="B53047"/>
      <c r="C53047"/>
      <c r="E53047"/>
      <c r="F53047"/>
    </row>
    <row r="53048" spans="1:6" x14ac:dyDescent="0.25">
      <c r="A53048"/>
      <c r="B53048"/>
      <c r="C53048"/>
      <c r="E53048"/>
      <c r="F53048"/>
    </row>
    <row r="53049" spans="1:6" x14ac:dyDescent="0.25">
      <c r="A53049"/>
      <c r="B53049"/>
      <c r="C53049"/>
      <c r="E53049"/>
      <c r="F53049"/>
    </row>
    <row r="53050" spans="1:6" x14ac:dyDescent="0.25">
      <c r="A53050"/>
      <c r="B53050"/>
      <c r="C53050"/>
      <c r="E53050"/>
      <c r="F53050"/>
    </row>
    <row r="53051" spans="1:6" x14ac:dyDescent="0.25">
      <c r="A53051"/>
      <c r="B53051"/>
      <c r="C53051"/>
      <c r="E53051"/>
      <c r="F53051"/>
    </row>
    <row r="53052" spans="1:6" x14ac:dyDescent="0.25">
      <c r="A53052"/>
      <c r="B53052"/>
      <c r="C53052"/>
      <c r="E53052"/>
      <c r="F53052"/>
    </row>
    <row r="53053" spans="1:6" x14ac:dyDescent="0.25">
      <c r="A53053"/>
      <c r="B53053"/>
      <c r="C53053"/>
      <c r="E53053"/>
      <c r="F53053"/>
    </row>
    <row r="53054" spans="1:6" x14ac:dyDescent="0.25">
      <c r="A53054"/>
      <c r="B53054"/>
      <c r="C53054"/>
      <c r="E53054"/>
      <c r="F53054"/>
    </row>
    <row r="53055" spans="1:6" x14ac:dyDescent="0.25">
      <c r="A53055"/>
      <c r="B53055"/>
      <c r="C53055"/>
      <c r="E53055"/>
      <c r="F53055"/>
    </row>
    <row r="53056" spans="1:6" x14ac:dyDescent="0.25">
      <c r="A53056"/>
      <c r="B53056"/>
      <c r="C53056"/>
      <c r="E53056"/>
      <c r="F53056"/>
    </row>
    <row r="53057" spans="1:6" x14ac:dyDescent="0.25">
      <c r="A53057"/>
      <c r="B53057"/>
      <c r="C53057"/>
      <c r="E53057"/>
      <c r="F53057"/>
    </row>
    <row r="53058" spans="1:6" x14ac:dyDescent="0.25">
      <c r="A53058"/>
      <c r="B53058"/>
      <c r="C53058"/>
      <c r="E53058"/>
      <c r="F53058"/>
    </row>
    <row r="53059" spans="1:6" x14ac:dyDescent="0.25">
      <c r="A53059"/>
      <c r="B53059"/>
      <c r="C53059"/>
      <c r="E53059"/>
      <c r="F53059"/>
    </row>
    <row r="53060" spans="1:6" x14ac:dyDescent="0.25">
      <c r="A53060"/>
      <c r="B53060"/>
      <c r="C53060"/>
      <c r="E53060"/>
      <c r="F53060"/>
    </row>
    <row r="53061" spans="1:6" x14ac:dyDescent="0.25">
      <c r="A53061"/>
      <c r="B53061"/>
      <c r="C53061"/>
      <c r="E53061"/>
      <c r="F53061"/>
    </row>
    <row r="53062" spans="1:6" x14ac:dyDescent="0.25">
      <c r="A53062"/>
      <c r="B53062"/>
      <c r="C53062"/>
      <c r="E53062"/>
      <c r="F53062"/>
    </row>
    <row r="53063" spans="1:6" x14ac:dyDescent="0.25">
      <c r="A53063"/>
      <c r="B53063"/>
      <c r="C53063"/>
      <c r="E53063"/>
      <c r="F53063"/>
    </row>
    <row r="53064" spans="1:6" x14ac:dyDescent="0.25">
      <c r="A53064"/>
      <c r="B53064"/>
      <c r="C53064"/>
      <c r="E53064"/>
      <c r="F53064"/>
    </row>
    <row r="53065" spans="1:6" x14ac:dyDescent="0.25">
      <c r="A53065"/>
      <c r="B53065"/>
      <c r="C53065"/>
      <c r="E53065"/>
      <c r="F53065"/>
    </row>
    <row r="53066" spans="1:6" x14ac:dyDescent="0.25">
      <c r="A53066"/>
      <c r="B53066"/>
      <c r="C53066"/>
      <c r="E53066"/>
      <c r="F53066"/>
    </row>
    <row r="53067" spans="1:6" x14ac:dyDescent="0.25">
      <c r="A53067"/>
      <c r="B53067"/>
      <c r="C53067"/>
      <c r="E53067"/>
      <c r="F53067"/>
    </row>
    <row r="53068" spans="1:6" x14ac:dyDescent="0.25">
      <c r="A53068"/>
      <c r="B53068"/>
      <c r="C53068"/>
      <c r="E53068"/>
      <c r="F53068"/>
    </row>
    <row r="53069" spans="1:6" x14ac:dyDescent="0.25">
      <c r="A53069"/>
      <c r="B53069"/>
      <c r="C53069"/>
      <c r="E53069"/>
      <c r="F53069"/>
    </row>
    <row r="53070" spans="1:6" x14ac:dyDescent="0.25">
      <c r="A53070"/>
      <c r="B53070"/>
      <c r="C53070"/>
      <c r="E53070"/>
      <c r="F53070"/>
    </row>
    <row r="53071" spans="1:6" x14ac:dyDescent="0.25">
      <c r="A53071"/>
      <c r="B53071"/>
      <c r="C53071"/>
      <c r="E53071"/>
      <c r="F53071"/>
    </row>
    <row r="53072" spans="1:6" x14ac:dyDescent="0.25">
      <c r="A53072"/>
      <c r="B53072"/>
      <c r="C53072"/>
      <c r="E53072"/>
      <c r="F53072"/>
    </row>
    <row r="53073" spans="1:6" x14ac:dyDescent="0.25">
      <c r="A53073"/>
      <c r="B53073"/>
      <c r="C53073"/>
      <c r="E53073"/>
      <c r="F53073"/>
    </row>
    <row r="53074" spans="1:6" x14ac:dyDescent="0.25">
      <c r="A53074"/>
      <c r="B53074"/>
      <c r="C53074"/>
      <c r="E53074"/>
      <c r="F53074"/>
    </row>
    <row r="53075" spans="1:6" x14ac:dyDescent="0.25">
      <c r="A53075"/>
      <c r="B53075"/>
      <c r="C53075"/>
      <c r="E53075"/>
      <c r="F53075"/>
    </row>
    <row r="53076" spans="1:6" x14ac:dyDescent="0.25">
      <c r="A53076"/>
      <c r="B53076"/>
      <c r="C53076"/>
      <c r="E53076"/>
      <c r="F53076"/>
    </row>
    <row r="53077" spans="1:6" x14ac:dyDescent="0.25">
      <c r="A53077"/>
      <c r="B53077"/>
      <c r="C53077"/>
      <c r="E53077"/>
      <c r="F53077"/>
    </row>
    <row r="53078" spans="1:6" x14ac:dyDescent="0.25">
      <c r="A53078"/>
      <c r="B53078"/>
      <c r="C53078"/>
      <c r="E53078"/>
      <c r="F53078"/>
    </row>
    <row r="53079" spans="1:6" x14ac:dyDescent="0.25">
      <c r="A53079"/>
      <c r="B53079"/>
      <c r="C53079"/>
      <c r="E53079"/>
      <c r="F53079"/>
    </row>
    <row r="53080" spans="1:6" x14ac:dyDescent="0.25">
      <c r="A53080"/>
      <c r="B53080"/>
      <c r="C53080"/>
      <c r="E53080"/>
      <c r="F53080"/>
    </row>
    <row r="53081" spans="1:6" x14ac:dyDescent="0.25">
      <c r="A53081"/>
      <c r="B53081"/>
      <c r="C53081"/>
      <c r="E53081"/>
      <c r="F53081"/>
    </row>
    <row r="53082" spans="1:6" x14ac:dyDescent="0.25">
      <c r="A53082"/>
      <c r="B53082"/>
      <c r="C53082"/>
      <c r="E53082"/>
      <c r="F53082"/>
    </row>
    <row r="53083" spans="1:6" x14ac:dyDescent="0.25">
      <c r="A53083"/>
      <c r="B53083"/>
      <c r="C53083"/>
      <c r="E53083"/>
      <c r="F53083"/>
    </row>
    <row r="53084" spans="1:6" x14ac:dyDescent="0.25">
      <c r="A53084"/>
      <c r="B53084"/>
      <c r="C53084"/>
      <c r="E53084"/>
      <c r="F53084"/>
    </row>
    <row r="53085" spans="1:6" x14ac:dyDescent="0.25">
      <c r="A53085"/>
      <c r="B53085"/>
      <c r="C53085"/>
      <c r="E53085"/>
      <c r="F53085"/>
    </row>
    <row r="53086" spans="1:6" x14ac:dyDescent="0.25">
      <c r="A53086"/>
      <c r="B53086"/>
      <c r="C53086"/>
      <c r="E53086"/>
      <c r="F53086"/>
    </row>
    <row r="53087" spans="1:6" x14ac:dyDescent="0.25">
      <c r="A53087"/>
      <c r="B53087"/>
      <c r="C53087"/>
      <c r="E53087"/>
      <c r="F53087"/>
    </row>
    <row r="53088" spans="1:6" x14ac:dyDescent="0.25">
      <c r="A53088"/>
      <c r="B53088"/>
      <c r="C53088"/>
      <c r="E53088"/>
      <c r="F53088"/>
    </row>
    <row r="53089" spans="1:6" x14ac:dyDescent="0.25">
      <c r="A53089"/>
      <c r="B53089"/>
      <c r="C53089"/>
      <c r="E53089"/>
      <c r="F53089"/>
    </row>
    <row r="53090" spans="1:6" x14ac:dyDescent="0.25">
      <c r="A53090"/>
      <c r="B53090"/>
      <c r="C53090"/>
      <c r="E53090"/>
      <c r="F53090"/>
    </row>
    <row r="53091" spans="1:6" x14ac:dyDescent="0.25">
      <c r="A53091"/>
      <c r="B53091"/>
      <c r="C53091"/>
      <c r="E53091"/>
      <c r="F53091"/>
    </row>
    <row r="53092" spans="1:6" x14ac:dyDescent="0.25">
      <c r="A53092"/>
      <c r="B53092"/>
      <c r="C53092"/>
      <c r="E53092"/>
      <c r="F53092"/>
    </row>
    <row r="53093" spans="1:6" x14ac:dyDescent="0.25">
      <c r="A53093"/>
      <c r="B53093"/>
      <c r="C53093"/>
      <c r="E53093"/>
      <c r="F53093"/>
    </row>
    <row r="53094" spans="1:6" x14ac:dyDescent="0.25">
      <c r="A53094"/>
      <c r="B53094"/>
      <c r="C53094"/>
      <c r="E53094"/>
      <c r="F53094"/>
    </row>
    <row r="53095" spans="1:6" x14ac:dyDescent="0.25">
      <c r="A53095"/>
      <c r="B53095"/>
      <c r="C53095"/>
      <c r="E53095"/>
      <c r="F53095"/>
    </row>
    <row r="53096" spans="1:6" x14ac:dyDescent="0.25">
      <c r="A53096"/>
      <c r="B53096"/>
      <c r="C53096"/>
      <c r="E53096"/>
      <c r="F53096"/>
    </row>
    <row r="53097" spans="1:6" x14ac:dyDescent="0.25">
      <c r="A53097"/>
      <c r="B53097"/>
      <c r="C53097"/>
      <c r="E53097"/>
      <c r="F53097"/>
    </row>
    <row r="53098" spans="1:6" x14ac:dyDescent="0.25">
      <c r="A53098"/>
      <c r="B53098"/>
      <c r="C53098"/>
      <c r="E53098"/>
      <c r="F53098"/>
    </row>
    <row r="53099" spans="1:6" x14ac:dyDescent="0.25">
      <c r="A53099"/>
      <c r="B53099"/>
      <c r="C53099"/>
      <c r="E53099"/>
      <c r="F53099"/>
    </row>
    <row r="53100" spans="1:6" x14ac:dyDescent="0.25">
      <c r="A53100"/>
      <c r="B53100"/>
      <c r="C53100"/>
      <c r="E53100"/>
      <c r="F53100"/>
    </row>
    <row r="53101" spans="1:6" x14ac:dyDescent="0.25">
      <c r="A53101"/>
      <c r="B53101"/>
      <c r="C53101"/>
      <c r="E53101"/>
      <c r="F53101"/>
    </row>
    <row r="53102" spans="1:6" x14ac:dyDescent="0.25">
      <c r="A53102"/>
      <c r="B53102"/>
      <c r="C53102"/>
      <c r="E53102"/>
      <c r="F53102"/>
    </row>
    <row r="53103" spans="1:6" x14ac:dyDescent="0.25">
      <c r="A53103"/>
      <c r="B53103"/>
      <c r="C53103"/>
      <c r="E53103"/>
      <c r="F53103"/>
    </row>
    <row r="53104" spans="1:6" x14ac:dyDescent="0.25">
      <c r="A53104"/>
      <c r="B53104"/>
      <c r="C53104"/>
      <c r="E53104"/>
      <c r="F53104"/>
    </row>
    <row r="53105" spans="1:6" x14ac:dyDescent="0.25">
      <c r="A53105"/>
      <c r="B53105"/>
      <c r="C53105"/>
      <c r="E53105"/>
      <c r="F53105"/>
    </row>
    <row r="53106" spans="1:6" x14ac:dyDescent="0.25">
      <c r="A53106"/>
      <c r="B53106"/>
      <c r="C53106"/>
      <c r="E53106"/>
      <c r="F53106"/>
    </row>
    <row r="53107" spans="1:6" x14ac:dyDescent="0.25">
      <c r="A53107"/>
      <c r="B53107"/>
      <c r="C53107"/>
      <c r="E53107"/>
      <c r="F53107"/>
    </row>
    <row r="53108" spans="1:6" x14ac:dyDescent="0.25">
      <c r="A53108"/>
      <c r="B53108"/>
      <c r="C53108"/>
      <c r="E53108"/>
      <c r="F53108"/>
    </row>
    <row r="53109" spans="1:6" x14ac:dyDescent="0.25">
      <c r="A53109"/>
      <c r="B53109"/>
      <c r="C53109"/>
      <c r="E53109"/>
      <c r="F53109"/>
    </row>
    <row r="53110" spans="1:6" x14ac:dyDescent="0.25">
      <c r="A53110"/>
      <c r="B53110"/>
      <c r="C53110"/>
      <c r="E53110"/>
      <c r="F53110"/>
    </row>
    <row r="53111" spans="1:6" x14ac:dyDescent="0.25">
      <c r="A53111"/>
      <c r="B53111"/>
      <c r="C53111"/>
      <c r="E53111"/>
      <c r="F53111"/>
    </row>
    <row r="53112" spans="1:6" x14ac:dyDescent="0.25">
      <c r="A53112"/>
      <c r="B53112"/>
      <c r="C53112"/>
      <c r="E53112"/>
      <c r="F53112"/>
    </row>
    <row r="53113" spans="1:6" x14ac:dyDescent="0.25">
      <c r="A53113"/>
      <c r="B53113"/>
      <c r="C53113"/>
      <c r="E53113"/>
      <c r="F53113"/>
    </row>
    <row r="53114" spans="1:6" x14ac:dyDescent="0.25">
      <c r="A53114"/>
      <c r="B53114"/>
      <c r="C53114"/>
      <c r="E53114"/>
      <c r="F53114"/>
    </row>
    <row r="53115" spans="1:6" x14ac:dyDescent="0.25">
      <c r="A53115"/>
      <c r="B53115"/>
      <c r="C53115"/>
      <c r="E53115"/>
      <c r="F53115"/>
    </row>
    <row r="53116" spans="1:6" x14ac:dyDescent="0.25">
      <c r="A53116"/>
      <c r="B53116"/>
      <c r="C53116"/>
      <c r="E53116"/>
      <c r="F53116"/>
    </row>
    <row r="53117" spans="1:6" x14ac:dyDescent="0.25">
      <c r="A53117"/>
      <c r="B53117"/>
      <c r="C53117"/>
      <c r="E53117"/>
      <c r="F53117"/>
    </row>
    <row r="53118" spans="1:6" x14ac:dyDescent="0.25">
      <c r="A53118"/>
      <c r="B53118"/>
      <c r="C53118"/>
      <c r="E53118"/>
      <c r="F53118"/>
    </row>
    <row r="53119" spans="1:6" x14ac:dyDescent="0.25">
      <c r="A53119"/>
      <c r="B53119"/>
      <c r="C53119"/>
      <c r="E53119"/>
      <c r="F53119"/>
    </row>
    <row r="53120" spans="1:6" x14ac:dyDescent="0.25">
      <c r="A53120"/>
      <c r="B53120"/>
      <c r="C53120"/>
      <c r="E53120"/>
      <c r="F53120"/>
    </row>
    <row r="53121" spans="1:6" x14ac:dyDescent="0.25">
      <c r="A53121"/>
      <c r="B53121"/>
      <c r="C53121"/>
      <c r="E53121"/>
      <c r="F53121"/>
    </row>
    <row r="53122" spans="1:6" x14ac:dyDescent="0.25">
      <c r="A53122"/>
      <c r="B53122"/>
      <c r="C53122"/>
      <c r="E53122"/>
      <c r="F53122"/>
    </row>
    <row r="53123" spans="1:6" x14ac:dyDescent="0.25">
      <c r="A53123"/>
      <c r="B53123"/>
      <c r="C53123"/>
      <c r="E53123"/>
      <c r="F53123"/>
    </row>
    <row r="53124" spans="1:6" x14ac:dyDescent="0.25">
      <c r="A53124"/>
      <c r="B53124"/>
      <c r="C53124"/>
      <c r="E53124"/>
      <c r="F53124"/>
    </row>
    <row r="53125" spans="1:6" x14ac:dyDescent="0.25">
      <c r="A53125"/>
      <c r="B53125"/>
      <c r="C53125"/>
      <c r="E53125"/>
      <c r="F53125"/>
    </row>
    <row r="53126" spans="1:6" x14ac:dyDescent="0.25">
      <c r="A53126"/>
      <c r="B53126"/>
      <c r="C53126"/>
      <c r="E53126"/>
      <c r="F53126"/>
    </row>
    <row r="53127" spans="1:6" x14ac:dyDescent="0.25">
      <c r="A53127"/>
      <c r="B53127"/>
      <c r="C53127"/>
      <c r="E53127"/>
      <c r="F53127"/>
    </row>
    <row r="53128" spans="1:6" x14ac:dyDescent="0.25">
      <c r="A53128"/>
      <c r="B53128"/>
      <c r="C53128"/>
      <c r="E53128"/>
      <c r="F53128"/>
    </row>
    <row r="53129" spans="1:6" x14ac:dyDescent="0.25">
      <c r="A53129"/>
      <c r="B53129"/>
      <c r="C53129"/>
      <c r="E53129"/>
      <c r="F53129"/>
    </row>
    <row r="53130" spans="1:6" x14ac:dyDescent="0.25">
      <c r="A53130"/>
      <c r="B53130"/>
      <c r="C53130"/>
      <c r="E53130"/>
      <c r="F53130"/>
    </row>
    <row r="53131" spans="1:6" x14ac:dyDescent="0.25">
      <c r="A53131"/>
      <c r="B53131"/>
      <c r="C53131"/>
      <c r="E53131"/>
      <c r="F53131"/>
    </row>
    <row r="53132" spans="1:6" x14ac:dyDescent="0.25">
      <c r="A53132"/>
      <c r="B53132"/>
      <c r="C53132"/>
      <c r="E53132"/>
      <c r="F53132"/>
    </row>
    <row r="53133" spans="1:6" x14ac:dyDescent="0.25">
      <c r="A53133"/>
      <c r="B53133"/>
      <c r="C53133"/>
      <c r="E53133"/>
      <c r="F53133"/>
    </row>
    <row r="53134" spans="1:6" x14ac:dyDescent="0.25">
      <c r="A53134"/>
      <c r="B53134"/>
      <c r="C53134"/>
      <c r="E53134"/>
      <c r="F53134"/>
    </row>
    <row r="53135" spans="1:6" x14ac:dyDescent="0.25">
      <c r="A53135"/>
      <c r="B53135"/>
      <c r="C53135"/>
      <c r="E53135"/>
      <c r="F53135"/>
    </row>
    <row r="53136" spans="1:6" x14ac:dyDescent="0.25">
      <c r="A53136"/>
      <c r="B53136"/>
      <c r="C53136"/>
      <c r="E53136"/>
      <c r="F53136"/>
    </row>
    <row r="53137" spans="1:6" x14ac:dyDescent="0.25">
      <c r="A53137"/>
      <c r="B53137"/>
      <c r="C53137"/>
      <c r="E53137"/>
      <c r="F53137"/>
    </row>
    <row r="53138" spans="1:6" x14ac:dyDescent="0.25">
      <c r="A53138"/>
      <c r="B53138"/>
      <c r="C53138"/>
      <c r="E53138"/>
      <c r="F53138"/>
    </row>
    <row r="53139" spans="1:6" x14ac:dyDescent="0.25">
      <c r="A53139"/>
      <c r="B53139"/>
      <c r="C53139"/>
      <c r="E53139"/>
      <c r="F53139"/>
    </row>
    <row r="53140" spans="1:6" x14ac:dyDescent="0.25">
      <c r="A53140"/>
      <c r="B53140"/>
      <c r="C53140"/>
      <c r="E53140"/>
      <c r="F53140"/>
    </row>
    <row r="53141" spans="1:6" x14ac:dyDescent="0.25">
      <c r="A53141"/>
      <c r="B53141"/>
      <c r="C53141"/>
      <c r="E53141"/>
      <c r="F53141"/>
    </row>
    <row r="53142" spans="1:6" x14ac:dyDescent="0.25">
      <c r="A53142"/>
      <c r="B53142"/>
      <c r="C53142"/>
      <c r="E53142"/>
      <c r="F53142"/>
    </row>
    <row r="53143" spans="1:6" x14ac:dyDescent="0.25">
      <c r="A53143"/>
      <c r="B53143"/>
      <c r="C53143"/>
      <c r="E53143"/>
      <c r="F53143"/>
    </row>
    <row r="53144" spans="1:6" x14ac:dyDescent="0.25">
      <c r="A53144"/>
      <c r="B53144"/>
      <c r="C53144"/>
      <c r="E53144"/>
      <c r="F53144"/>
    </row>
    <row r="53145" spans="1:6" x14ac:dyDescent="0.25">
      <c r="A53145"/>
      <c r="B53145"/>
      <c r="C53145"/>
      <c r="E53145"/>
      <c r="F53145"/>
    </row>
    <row r="53146" spans="1:6" x14ac:dyDescent="0.25">
      <c r="A53146"/>
      <c r="B53146"/>
      <c r="C53146"/>
      <c r="E53146"/>
      <c r="F53146"/>
    </row>
    <row r="53147" spans="1:6" x14ac:dyDescent="0.25">
      <c r="A53147"/>
      <c r="B53147"/>
      <c r="C53147"/>
      <c r="E53147"/>
      <c r="F53147"/>
    </row>
    <row r="53148" spans="1:6" x14ac:dyDescent="0.25">
      <c r="A53148"/>
      <c r="B53148"/>
      <c r="C53148"/>
      <c r="E53148"/>
      <c r="F53148"/>
    </row>
    <row r="53149" spans="1:6" x14ac:dyDescent="0.25">
      <c r="A53149"/>
      <c r="B53149"/>
      <c r="C53149"/>
      <c r="E53149"/>
      <c r="F53149"/>
    </row>
    <row r="53150" spans="1:6" x14ac:dyDescent="0.25">
      <c r="A53150"/>
      <c r="B53150"/>
      <c r="C53150"/>
      <c r="E53150"/>
      <c r="F53150"/>
    </row>
    <row r="53151" spans="1:6" x14ac:dyDescent="0.25">
      <c r="A53151"/>
      <c r="B53151"/>
      <c r="C53151"/>
      <c r="E53151"/>
      <c r="F53151"/>
    </row>
    <row r="53152" spans="1:6" x14ac:dyDescent="0.25">
      <c r="A53152"/>
      <c r="B53152"/>
      <c r="C53152"/>
      <c r="E53152"/>
      <c r="F53152"/>
    </row>
    <row r="53153" spans="1:6" x14ac:dyDescent="0.25">
      <c r="A53153"/>
      <c r="B53153"/>
      <c r="C53153"/>
      <c r="E53153"/>
      <c r="F53153"/>
    </row>
    <row r="53154" spans="1:6" x14ac:dyDescent="0.25">
      <c r="A53154"/>
      <c r="B53154"/>
      <c r="C53154"/>
      <c r="E53154"/>
      <c r="F53154"/>
    </row>
    <row r="53155" spans="1:6" x14ac:dyDescent="0.25">
      <c r="A53155"/>
      <c r="B53155"/>
      <c r="C53155"/>
      <c r="E53155"/>
      <c r="F53155"/>
    </row>
    <row r="53156" spans="1:6" x14ac:dyDescent="0.25">
      <c r="A53156"/>
      <c r="B53156"/>
      <c r="C53156"/>
      <c r="E53156"/>
      <c r="F53156"/>
    </row>
    <row r="53157" spans="1:6" x14ac:dyDescent="0.25">
      <c r="A53157"/>
      <c r="B53157"/>
      <c r="C53157"/>
      <c r="E53157"/>
      <c r="F53157"/>
    </row>
    <row r="53158" spans="1:6" x14ac:dyDescent="0.25">
      <c r="A53158"/>
      <c r="B53158"/>
      <c r="C53158"/>
      <c r="E53158"/>
      <c r="F53158"/>
    </row>
    <row r="53159" spans="1:6" x14ac:dyDescent="0.25">
      <c r="A53159"/>
      <c r="B53159"/>
      <c r="C53159"/>
      <c r="E53159"/>
      <c r="F53159"/>
    </row>
    <row r="53160" spans="1:6" x14ac:dyDescent="0.25">
      <c r="A53160"/>
      <c r="B53160"/>
      <c r="C53160"/>
      <c r="E53160"/>
      <c r="F53160"/>
    </row>
    <row r="53161" spans="1:6" x14ac:dyDescent="0.25">
      <c r="A53161"/>
      <c r="B53161"/>
      <c r="C53161"/>
      <c r="E53161"/>
      <c r="F53161"/>
    </row>
    <row r="53162" spans="1:6" x14ac:dyDescent="0.25">
      <c r="A53162"/>
      <c r="B53162"/>
      <c r="C53162"/>
      <c r="E53162"/>
      <c r="F53162"/>
    </row>
    <row r="53163" spans="1:6" x14ac:dyDescent="0.25">
      <c r="A53163"/>
      <c r="B53163"/>
      <c r="C53163"/>
      <c r="E53163"/>
      <c r="F53163"/>
    </row>
    <row r="53164" spans="1:6" x14ac:dyDescent="0.25">
      <c r="A53164"/>
      <c r="B53164"/>
      <c r="C53164"/>
      <c r="E53164"/>
      <c r="F53164"/>
    </row>
    <row r="53165" spans="1:6" x14ac:dyDescent="0.25">
      <c r="A53165"/>
      <c r="B53165"/>
      <c r="C53165"/>
      <c r="E53165"/>
      <c r="F53165"/>
    </row>
    <row r="53166" spans="1:6" x14ac:dyDescent="0.25">
      <c r="A53166"/>
      <c r="B53166"/>
      <c r="C53166"/>
      <c r="E53166"/>
      <c r="F53166"/>
    </row>
    <row r="53167" spans="1:6" x14ac:dyDescent="0.25">
      <c r="A53167"/>
      <c r="B53167"/>
      <c r="C53167"/>
      <c r="E53167"/>
      <c r="F53167"/>
    </row>
    <row r="53168" spans="1:6" x14ac:dyDescent="0.25">
      <c r="A53168"/>
      <c r="B53168"/>
      <c r="C53168"/>
      <c r="E53168"/>
      <c r="F53168"/>
    </row>
    <row r="53169" spans="1:6" x14ac:dyDescent="0.25">
      <c r="A53169"/>
      <c r="B53169"/>
      <c r="C53169"/>
      <c r="E53169"/>
      <c r="F53169"/>
    </row>
    <row r="53170" spans="1:6" x14ac:dyDescent="0.25">
      <c r="A53170"/>
      <c r="B53170"/>
      <c r="C53170"/>
      <c r="E53170"/>
      <c r="F53170"/>
    </row>
    <row r="53171" spans="1:6" x14ac:dyDescent="0.25">
      <c r="A53171"/>
      <c r="B53171"/>
      <c r="C53171"/>
      <c r="E53171"/>
      <c r="F53171"/>
    </row>
    <row r="53172" spans="1:6" x14ac:dyDescent="0.25">
      <c r="A53172"/>
      <c r="B53172"/>
      <c r="C53172"/>
      <c r="E53172"/>
      <c r="F53172"/>
    </row>
    <row r="53173" spans="1:6" x14ac:dyDescent="0.25">
      <c r="A53173"/>
      <c r="B53173"/>
      <c r="C53173"/>
      <c r="E53173"/>
      <c r="F53173"/>
    </row>
    <row r="53174" spans="1:6" x14ac:dyDescent="0.25">
      <c r="A53174"/>
      <c r="B53174"/>
      <c r="C53174"/>
      <c r="E53174"/>
      <c r="F53174"/>
    </row>
    <row r="53175" spans="1:6" x14ac:dyDescent="0.25">
      <c r="A53175"/>
      <c r="B53175"/>
      <c r="C53175"/>
      <c r="E53175"/>
      <c r="F53175"/>
    </row>
    <row r="53176" spans="1:6" x14ac:dyDescent="0.25">
      <c r="A53176"/>
      <c r="B53176"/>
      <c r="C53176"/>
      <c r="E53176"/>
      <c r="F53176"/>
    </row>
    <row r="53177" spans="1:6" x14ac:dyDescent="0.25">
      <c r="A53177"/>
      <c r="B53177"/>
      <c r="C53177"/>
      <c r="E53177"/>
      <c r="F53177"/>
    </row>
    <row r="53178" spans="1:6" x14ac:dyDescent="0.25">
      <c r="A53178"/>
      <c r="B53178"/>
      <c r="C53178"/>
      <c r="E53178"/>
      <c r="F53178"/>
    </row>
    <row r="53179" spans="1:6" x14ac:dyDescent="0.25">
      <c r="A53179"/>
      <c r="B53179"/>
      <c r="C53179"/>
      <c r="E53179"/>
      <c r="F53179"/>
    </row>
    <row r="53180" spans="1:6" x14ac:dyDescent="0.25">
      <c r="A53180"/>
      <c r="B53180"/>
      <c r="C53180"/>
      <c r="E53180"/>
      <c r="F53180"/>
    </row>
    <row r="53181" spans="1:6" x14ac:dyDescent="0.25">
      <c r="A53181"/>
      <c r="B53181"/>
      <c r="C53181"/>
      <c r="E53181"/>
      <c r="F53181"/>
    </row>
    <row r="53182" spans="1:6" x14ac:dyDescent="0.25">
      <c r="A53182"/>
      <c r="B53182"/>
      <c r="C53182"/>
      <c r="E53182"/>
      <c r="F53182"/>
    </row>
    <row r="53183" spans="1:6" x14ac:dyDescent="0.25">
      <c r="A53183"/>
      <c r="B53183"/>
      <c r="C53183"/>
      <c r="E53183"/>
      <c r="F53183"/>
    </row>
    <row r="53184" spans="1:6" x14ac:dyDescent="0.25">
      <c r="A53184"/>
      <c r="B53184"/>
      <c r="C53184"/>
      <c r="E53184"/>
      <c r="F53184"/>
    </row>
    <row r="53185" spans="1:6" x14ac:dyDescent="0.25">
      <c r="A53185"/>
      <c r="B53185"/>
      <c r="C53185"/>
      <c r="E53185"/>
      <c r="F53185"/>
    </row>
    <row r="53186" spans="1:6" x14ac:dyDescent="0.25">
      <c r="A53186"/>
      <c r="B53186"/>
      <c r="C53186"/>
      <c r="E53186"/>
      <c r="F53186"/>
    </row>
    <row r="53187" spans="1:6" x14ac:dyDescent="0.25">
      <c r="A53187"/>
      <c r="B53187"/>
      <c r="C53187"/>
      <c r="E53187"/>
      <c r="F53187"/>
    </row>
    <row r="53188" spans="1:6" x14ac:dyDescent="0.25">
      <c r="A53188"/>
      <c r="B53188"/>
      <c r="C53188"/>
      <c r="E53188"/>
      <c r="F53188"/>
    </row>
    <row r="53189" spans="1:6" x14ac:dyDescent="0.25">
      <c r="A53189"/>
      <c r="B53189"/>
      <c r="C53189"/>
      <c r="E53189"/>
      <c r="F53189"/>
    </row>
    <row r="53190" spans="1:6" x14ac:dyDescent="0.25">
      <c r="A53190"/>
      <c r="B53190"/>
      <c r="C53190"/>
      <c r="E53190"/>
      <c r="F53190"/>
    </row>
    <row r="53191" spans="1:6" x14ac:dyDescent="0.25">
      <c r="A53191"/>
      <c r="B53191"/>
      <c r="C53191"/>
      <c r="E53191"/>
      <c r="F53191"/>
    </row>
    <row r="53192" spans="1:6" x14ac:dyDescent="0.25">
      <c r="A53192"/>
      <c r="B53192"/>
      <c r="C53192"/>
      <c r="E53192"/>
      <c r="F53192"/>
    </row>
    <row r="53193" spans="1:6" x14ac:dyDescent="0.25">
      <c r="A53193"/>
      <c r="B53193"/>
      <c r="C53193"/>
      <c r="E53193"/>
      <c r="F53193"/>
    </row>
    <row r="53194" spans="1:6" x14ac:dyDescent="0.25">
      <c r="A53194"/>
      <c r="B53194"/>
      <c r="C53194"/>
      <c r="E53194"/>
      <c r="F53194"/>
    </row>
    <row r="53195" spans="1:6" x14ac:dyDescent="0.25">
      <c r="A53195"/>
      <c r="B53195"/>
      <c r="C53195"/>
      <c r="E53195"/>
      <c r="F53195"/>
    </row>
    <row r="53196" spans="1:6" x14ac:dyDescent="0.25">
      <c r="A53196"/>
      <c r="B53196"/>
      <c r="C53196"/>
      <c r="E53196"/>
      <c r="F53196"/>
    </row>
    <row r="53197" spans="1:6" x14ac:dyDescent="0.25">
      <c r="A53197"/>
      <c r="B53197"/>
      <c r="C53197"/>
      <c r="E53197"/>
      <c r="F53197"/>
    </row>
    <row r="53198" spans="1:6" x14ac:dyDescent="0.25">
      <c r="A53198"/>
      <c r="B53198"/>
      <c r="C53198"/>
      <c r="E53198"/>
      <c r="F53198"/>
    </row>
    <row r="53199" spans="1:6" x14ac:dyDescent="0.25">
      <c r="A53199"/>
      <c r="B53199"/>
      <c r="C53199"/>
      <c r="E53199"/>
      <c r="F53199"/>
    </row>
    <row r="53200" spans="1:6" x14ac:dyDescent="0.25">
      <c r="A53200"/>
      <c r="B53200"/>
      <c r="C53200"/>
      <c r="E53200"/>
      <c r="F53200"/>
    </row>
    <row r="53201" spans="1:6" x14ac:dyDescent="0.25">
      <c r="A53201"/>
      <c r="B53201"/>
      <c r="C53201"/>
      <c r="E53201"/>
      <c r="F53201"/>
    </row>
    <row r="53202" spans="1:6" x14ac:dyDescent="0.25">
      <c r="A53202"/>
      <c r="B53202"/>
      <c r="C53202"/>
      <c r="E53202"/>
      <c r="F53202"/>
    </row>
    <row r="53203" spans="1:6" x14ac:dyDescent="0.25">
      <c r="A53203"/>
      <c r="B53203"/>
      <c r="C53203"/>
      <c r="E53203"/>
      <c r="F53203"/>
    </row>
    <row r="53204" spans="1:6" x14ac:dyDescent="0.25">
      <c r="A53204"/>
      <c r="B53204"/>
      <c r="C53204"/>
      <c r="E53204"/>
      <c r="F53204"/>
    </row>
    <row r="53205" spans="1:6" x14ac:dyDescent="0.25">
      <c r="A53205"/>
      <c r="B53205"/>
      <c r="C53205"/>
      <c r="E53205"/>
      <c r="F53205"/>
    </row>
    <row r="53206" spans="1:6" x14ac:dyDescent="0.25">
      <c r="A53206"/>
      <c r="B53206"/>
      <c r="C53206"/>
      <c r="E53206"/>
      <c r="F53206"/>
    </row>
    <row r="53207" spans="1:6" x14ac:dyDescent="0.25">
      <c r="A53207"/>
      <c r="B53207"/>
      <c r="C53207"/>
      <c r="E53207"/>
      <c r="F53207"/>
    </row>
    <row r="53208" spans="1:6" x14ac:dyDescent="0.25">
      <c r="A53208"/>
      <c r="B53208"/>
      <c r="C53208"/>
      <c r="E53208"/>
      <c r="F53208"/>
    </row>
    <row r="53209" spans="1:6" x14ac:dyDescent="0.25">
      <c r="A53209"/>
      <c r="B53209"/>
      <c r="C53209"/>
      <c r="E53209"/>
      <c r="F53209"/>
    </row>
    <row r="53210" spans="1:6" x14ac:dyDescent="0.25">
      <c r="A53210"/>
      <c r="B53210"/>
      <c r="C53210"/>
      <c r="E53210"/>
      <c r="F53210"/>
    </row>
    <row r="53211" spans="1:6" x14ac:dyDescent="0.25">
      <c r="A53211"/>
      <c r="B53211"/>
      <c r="C53211"/>
      <c r="E53211"/>
      <c r="F53211"/>
    </row>
    <row r="53212" spans="1:6" x14ac:dyDescent="0.25">
      <c r="A53212"/>
      <c r="B53212"/>
      <c r="C53212"/>
      <c r="E53212"/>
      <c r="F53212"/>
    </row>
    <row r="53213" spans="1:6" x14ac:dyDescent="0.25">
      <c r="A53213"/>
      <c r="B53213"/>
      <c r="C53213"/>
      <c r="E53213"/>
      <c r="F53213"/>
    </row>
    <row r="53214" spans="1:6" x14ac:dyDescent="0.25">
      <c r="A53214"/>
      <c r="B53214"/>
      <c r="C53214"/>
      <c r="E53214"/>
      <c r="F53214"/>
    </row>
    <row r="53215" spans="1:6" x14ac:dyDescent="0.25">
      <c r="A53215"/>
      <c r="B53215"/>
      <c r="C53215"/>
      <c r="E53215"/>
      <c r="F53215"/>
    </row>
    <row r="53216" spans="1:6" x14ac:dyDescent="0.25">
      <c r="A53216"/>
      <c r="B53216"/>
      <c r="C53216"/>
      <c r="E53216"/>
      <c r="F53216"/>
    </row>
    <row r="53217" spans="1:6" x14ac:dyDescent="0.25">
      <c r="A53217"/>
      <c r="B53217"/>
      <c r="C53217"/>
      <c r="E53217"/>
      <c r="F53217"/>
    </row>
    <row r="53218" spans="1:6" x14ac:dyDescent="0.25">
      <c r="A53218"/>
      <c r="B53218"/>
      <c r="C53218"/>
      <c r="E53218"/>
      <c r="F53218"/>
    </row>
    <row r="53219" spans="1:6" x14ac:dyDescent="0.25">
      <c r="A53219"/>
      <c r="B53219"/>
      <c r="C53219"/>
      <c r="E53219"/>
      <c r="F53219"/>
    </row>
    <row r="53220" spans="1:6" x14ac:dyDescent="0.25">
      <c r="A53220"/>
      <c r="B53220"/>
      <c r="C53220"/>
      <c r="E53220"/>
      <c r="F53220"/>
    </row>
    <row r="53221" spans="1:6" x14ac:dyDescent="0.25">
      <c r="A53221"/>
      <c r="B53221"/>
      <c r="C53221"/>
      <c r="E53221"/>
      <c r="F53221"/>
    </row>
    <row r="53222" spans="1:6" x14ac:dyDescent="0.25">
      <c r="A53222"/>
      <c r="B53222"/>
      <c r="C53222"/>
      <c r="E53222"/>
      <c r="F53222"/>
    </row>
    <row r="53223" spans="1:6" x14ac:dyDescent="0.25">
      <c r="A53223"/>
      <c r="B53223"/>
      <c r="C53223"/>
      <c r="E53223"/>
      <c r="F53223"/>
    </row>
    <row r="53224" spans="1:6" x14ac:dyDescent="0.25">
      <c r="A53224"/>
      <c r="B53224"/>
      <c r="C53224"/>
      <c r="E53224"/>
      <c r="F53224"/>
    </row>
    <row r="53225" spans="1:6" x14ac:dyDescent="0.25">
      <c r="A53225"/>
      <c r="B53225"/>
      <c r="C53225"/>
      <c r="E53225"/>
      <c r="F53225"/>
    </row>
    <row r="53226" spans="1:6" x14ac:dyDescent="0.25">
      <c r="A53226"/>
      <c r="B53226"/>
      <c r="C53226"/>
      <c r="E53226"/>
      <c r="F53226"/>
    </row>
    <row r="53227" spans="1:6" x14ac:dyDescent="0.25">
      <c r="A53227"/>
      <c r="B53227"/>
      <c r="C53227"/>
      <c r="E53227"/>
      <c r="F53227"/>
    </row>
    <row r="53228" spans="1:6" x14ac:dyDescent="0.25">
      <c r="A53228"/>
      <c r="B53228"/>
      <c r="C53228"/>
      <c r="E53228"/>
      <c r="F53228"/>
    </row>
    <row r="53229" spans="1:6" x14ac:dyDescent="0.25">
      <c r="A53229"/>
      <c r="B53229"/>
      <c r="C53229"/>
      <c r="E53229"/>
      <c r="F53229"/>
    </row>
    <row r="53230" spans="1:6" x14ac:dyDescent="0.25">
      <c r="A53230"/>
      <c r="B53230"/>
      <c r="C53230"/>
      <c r="E53230"/>
      <c r="F53230"/>
    </row>
    <row r="53231" spans="1:6" x14ac:dyDescent="0.25">
      <c r="A53231"/>
      <c r="B53231"/>
      <c r="C53231"/>
      <c r="E53231"/>
      <c r="F53231"/>
    </row>
    <row r="53232" spans="1:6" x14ac:dyDescent="0.25">
      <c r="A53232"/>
      <c r="B53232"/>
      <c r="C53232"/>
      <c r="E53232"/>
      <c r="F53232"/>
    </row>
    <row r="53233" spans="1:6" x14ac:dyDescent="0.25">
      <c r="A53233"/>
      <c r="B53233"/>
      <c r="C53233"/>
      <c r="E53233"/>
      <c r="F53233"/>
    </row>
    <row r="53234" spans="1:6" x14ac:dyDescent="0.25">
      <c r="A53234"/>
      <c r="B53234"/>
      <c r="C53234"/>
      <c r="E53234"/>
      <c r="F53234"/>
    </row>
    <row r="53235" spans="1:6" x14ac:dyDescent="0.25">
      <c r="A53235"/>
      <c r="B53235"/>
      <c r="C53235"/>
      <c r="E53235"/>
      <c r="F53235"/>
    </row>
    <row r="53236" spans="1:6" x14ac:dyDescent="0.25">
      <c r="A53236"/>
      <c r="B53236"/>
      <c r="C53236"/>
      <c r="E53236"/>
      <c r="F53236"/>
    </row>
    <row r="53237" spans="1:6" x14ac:dyDescent="0.25">
      <c r="A53237"/>
      <c r="B53237"/>
      <c r="C53237"/>
      <c r="E53237"/>
      <c r="F53237"/>
    </row>
    <row r="53238" spans="1:6" x14ac:dyDescent="0.25">
      <c r="A53238"/>
      <c r="B53238"/>
      <c r="C53238"/>
      <c r="E53238"/>
      <c r="F53238"/>
    </row>
    <row r="53239" spans="1:6" x14ac:dyDescent="0.25">
      <c r="A53239"/>
      <c r="B53239"/>
      <c r="C53239"/>
      <c r="E53239"/>
      <c r="F53239"/>
    </row>
    <row r="53240" spans="1:6" x14ac:dyDescent="0.25">
      <c r="A53240"/>
      <c r="B53240"/>
      <c r="C53240"/>
      <c r="E53240"/>
      <c r="F53240"/>
    </row>
    <row r="53241" spans="1:6" x14ac:dyDescent="0.25">
      <c r="A53241"/>
      <c r="B53241"/>
      <c r="C53241"/>
      <c r="E53241"/>
      <c r="F53241"/>
    </row>
    <row r="53242" spans="1:6" x14ac:dyDescent="0.25">
      <c r="A53242"/>
      <c r="B53242"/>
      <c r="C53242"/>
      <c r="E53242"/>
      <c r="F53242"/>
    </row>
    <row r="53243" spans="1:6" x14ac:dyDescent="0.25">
      <c r="A53243"/>
      <c r="B53243"/>
      <c r="C53243"/>
      <c r="E53243"/>
      <c r="F53243"/>
    </row>
    <row r="53244" spans="1:6" x14ac:dyDescent="0.25">
      <c r="A53244"/>
      <c r="B53244"/>
      <c r="C53244"/>
      <c r="E53244"/>
      <c r="F53244"/>
    </row>
    <row r="53245" spans="1:6" x14ac:dyDescent="0.25">
      <c r="A53245"/>
      <c r="B53245"/>
      <c r="C53245"/>
      <c r="E53245"/>
      <c r="F53245"/>
    </row>
    <row r="53246" spans="1:6" x14ac:dyDescent="0.25">
      <c r="A53246"/>
      <c r="B53246"/>
      <c r="C53246"/>
      <c r="E53246"/>
      <c r="F53246"/>
    </row>
    <row r="53247" spans="1:6" x14ac:dyDescent="0.25">
      <c r="A53247"/>
      <c r="B53247"/>
      <c r="C53247"/>
      <c r="E53247"/>
      <c r="F53247"/>
    </row>
    <row r="53248" spans="1:6" x14ac:dyDescent="0.25">
      <c r="A53248"/>
      <c r="B53248"/>
      <c r="C53248"/>
      <c r="E53248"/>
      <c r="F53248"/>
    </row>
    <row r="53249" spans="1:6" x14ac:dyDescent="0.25">
      <c r="A53249"/>
      <c r="B53249"/>
      <c r="C53249"/>
      <c r="E53249"/>
      <c r="F53249"/>
    </row>
    <row r="53250" spans="1:6" x14ac:dyDescent="0.25">
      <c r="A53250"/>
      <c r="B53250"/>
      <c r="C53250"/>
      <c r="E53250"/>
      <c r="F53250"/>
    </row>
    <row r="53251" spans="1:6" x14ac:dyDescent="0.25">
      <c r="A53251"/>
      <c r="B53251"/>
      <c r="C53251"/>
      <c r="E53251"/>
      <c r="F53251"/>
    </row>
    <row r="53252" spans="1:6" x14ac:dyDescent="0.25">
      <c r="A53252"/>
      <c r="B53252"/>
      <c r="C53252"/>
      <c r="E53252"/>
      <c r="F53252"/>
    </row>
    <row r="53253" spans="1:6" x14ac:dyDescent="0.25">
      <c r="A53253"/>
      <c r="B53253"/>
      <c r="C53253"/>
      <c r="E53253"/>
      <c r="F53253"/>
    </row>
    <row r="53254" spans="1:6" x14ac:dyDescent="0.25">
      <c r="A53254"/>
      <c r="B53254"/>
      <c r="C53254"/>
      <c r="E53254"/>
      <c r="F53254"/>
    </row>
    <row r="53255" spans="1:6" x14ac:dyDescent="0.25">
      <c r="A53255"/>
      <c r="B53255"/>
      <c r="C53255"/>
      <c r="E53255"/>
      <c r="F53255"/>
    </row>
    <row r="53256" spans="1:6" x14ac:dyDescent="0.25">
      <c r="A53256"/>
      <c r="B53256"/>
      <c r="C53256"/>
      <c r="E53256"/>
      <c r="F53256"/>
    </row>
    <row r="53257" spans="1:6" x14ac:dyDescent="0.25">
      <c r="A53257"/>
      <c r="B53257"/>
      <c r="C53257"/>
      <c r="E53257"/>
      <c r="F53257"/>
    </row>
    <row r="53258" spans="1:6" x14ac:dyDescent="0.25">
      <c r="A53258"/>
      <c r="B53258"/>
      <c r="C53258"/>
      <c r="E53258"/>
      <c r="F53258"/>
    </row>
    <row r="53259" spans="1:6" x14ac:dyDescent="0.25">
      <c r="A53259"/>
      <c r="B53259"/>
      <c r="C53259"/>
      <c r="E53259"/>
      <c r="F53259"/>
    </row>
    <row r="53260" spans="1:6" x14ac:dyDescent="0.25">
      <c r="A53260"/>
      <c r="B53260"/>
      <c r="C53260"/>
      <c r="E53260"/>
      <c r="F53260"/>
    </row>
    <row r="53261" spans="1:6" x14ac:dyDescent="0.25">
      <c r="A53261"/>
      <c r="B53261"/>
      <c r="C53261"/>
      <c r="E53261"/>
      <c r="F53261"/>
    </row>
    <row r="53262" spans="1:6" x14ac:dyDescent="0.25">
      <c r="A53262"/>
      <c r="B53262"/>
      <c r="C53262"/>
      <c r="E53262"/>
      <c r="F53262"/>
    </row>
    <row r="53263" spans="1:6" x14ac:dyDescent="0.25">
      <c r="A53263"/>
      <c r="B53263"/>
      <c r="C53263"/>
      <c r="E53263"/>
      <c r="F53263"/>
    </row>
    <row r="53264" spans="1:6" x14ac:dyDescent="0.25">
      <c r="A53264"/>
      <c r="B53264"/>
      <c r="C53264"/>
      <c r="E53264"/>
      <c r="F53264"/>
    </row>
    <row r="53265" spans="1:6" x14ac:dyDescent="0.25">
      <c r="A53265"/>
      <c r="B53265"/>
      <c r="C53265"/>
      <c r="E53265"/>
      <c r="F53265"/>
    </row>
    <row r="53266" spans="1:6" x14ac:dyDescent="0.25">
      <c r="A53266"/>
      <c r="B53266"/>
      <c r="C53266"/>
      <c r="E53266"/>
      <c r="F53266"/>
    </row>
    <row r="53267" spans="1:6" x14ac:dyDescent="0.25">
      <c r="A53267"/>
      <c r="B53267"/>
      <c r="C53267"/>
      <c r="E53267"/>
      <c r="F53267"/>
    </row>
    <row r="53268" spans="1:6" x14ac:dyDescent="0.25">
      <c r="A53268"/>
      <c r="B53268"/>
      <c r="C53268"/>
      <c r="E53268"/>
      <c r="F53268"/>
    </row>
    <row r="53269" spans="1:6" x14ac:dyDescent="0.25">
      <c r="A53269"/>
      <c r="B53269"/>
      <c r="C53269"/>
      <c r="E53269"/>
      <c r="F53269"/>
    </row>
    <row r="53270" spans="1:6" x14ac:dyDescent="0.25">
      <c r="A53270"/>
      <c r="B53270"/>
      <c r="C53270"/>
      <c r="E53270"/>
      <c r="F53270"/>
    </row>
    <row r="53271" spans="1:6" x14ac:dyDescent="0.25">
      <c r="A53271"/>
      <c r="B53271"/>
      <c r="C53271"/>
      <c r="E53271"/>
      <c r="F53271"/>
    </row>
    <row r="53272" spans="1:6" x14ac:dyDescent="0.25">
      <c r="A53272"/>
      <c r="B53272"/>
      <c r="C53272"/>
      <c r="E53272"/>
      <c r="F53272"/>
    </row>
    <row r="53273" spans="1:6" x14ac:dyDescent="0.25">
      <c r="A53273"/>
      <c r="B53273"/>
      <c r="C53273"/>
      <c r="E53273"/>
      <c r="F53273"/>
    </row>
    <row r="53274" spans="1:6" x14ac:dyDescent="0.25">
      <c r="A53274"/>
      <c r="B53274"/>
      <c r="C53274"/>
      <c r="E53274"/>
      <c r="F53274"/>
    </row>
    <row r="53275" spans="1:6" x14ac:dyDescent="0.25">
      <c r="A53275"/>
      <c r="B53275"/>
      <c r="C53275"/>
      <c r="E53275"/>
      <c r="F53275"/>
    </row>
    <row r="53276" spans="1:6" x14ac:dyDescent="0.25">
      <c r="A53276"/>
      <c r="B53276"/>
      <c r="C53276"/>
      <c r="E53276"/>
      <c r="F53276"/>
    </row>
    <row r="53277" spans="1:6" x14ac:dyDescent="0.25">
      <c r="A53277"/>
      <c r="B53277"/>
      <c r="C53277"/>
      <c r="E53277"/>
      <c r="F53277"/>
    </row>
    <row r="53278" spans="1:6" x14ac:dyDescent="0.25">
      <c r="A53278"/>
      <c r="B53278"/>
      <c r="C53278"/>
      <c r="E53278"/>
      <c r="F53278"/>
    </row>
    <row r="53279" spans="1:6" x14ac:dyDescent="0.25">
      <c r="A53279"/>
      <c r="B53279"/>
      <c r="C53279"/>
      <c r="E53279"/>
      <c r="F53279"/>
    </row>
    <row r="53280" spans="1:6" x14ac:dyDescent="0.25">
      <c r="A53280"/>
      <c r="B53280"/>
      <c r="C53280"/>
      <c r="E53280"/>
      <c r="F53280"/>
    </row>
    <row r="53281" spans="1:6" x14ac:dyDescent="0.25">
      <c r="A53281"/>
      <c r="B53281"/>
      <c r="C53281"/>
      <c r="E53281"/>
      <c r="F53281"/>
    </row>
    <row r="53282" spans="1:6" x14ac:dyDescent="0.25">
      <c r="A53282"/>
      <c r="B53282"/>
      <c r="C53282"/>
      <c r="E53282"/>
      <c r="F53282"/>
    </row>
    <row r="53283" spans="1:6" x14ac:dyDescent="0.25">
      <c r="A53283"/>
      <c r="B53283"/>
      <c r="C53283"/>
      <c r="E53283"/>
      <c r="F53283"/>
    </row>
    <row r="53284" spans="1:6" x14ac:dyDescent="0.25">
      <c r="A53284"/>
      <c r="B53284"/>
      <c r="C53284"/>
      <c r="E53284"/>
      <c r="F53284"/>
    </row>
    <row r="53285" spans="1:6" x14ac:dyDescent="0.25">
      <c r="A53285"/>
      <c r="B53285"/>
      <c r="C53285"/>
      <c r="E53285"/>
      <c r="F53285"/>
    </row>
    <row r="53286" spans="1:6" x14ac:dyDescent="0.25">
      <c r="A53286"/>
      <c r="B53286"/>
      <c r="C53286"/>
      <c r="E53286"/>
      <c r="F53286"/>
    </row>
    <row r="53287" spans="1:6" x14ac:dyDescent="0.25">
      <c r="A53287"/>
      <c r="B53287"/>
      <c r="C53287"/>
      <c r="E53287"/>
      <c r="F53287"/>
    </row>
    <row r="53288" spans="1:6" x14ac:dyDescent="0.25">
      <c r="A53288"/>
      <c r="B53288"/>
      <c r="C53288"/>
      <c r="E53288"/>
      <c r="F53288"/>
    </row>
    <row r="53289" spans="1:6" x14ac:dyDescent="0.25">
      <c r="A53289"/>
      <c r="B53289"/>
      <c r="C53289"/>
      <c r="E53289"/>
      <c r="F53289"/>
    </row>
    <row r="53290" spans="1:6" x14ac:dyDescent="0.25">
      <c r="A53290"/>
      <c r="B53290"/>
      <c r="C53290"/>
      <c r="E53290"/>
      <c r="F53290"/>
    </row>
    <row r="53291" spans="1:6" x14ac:dyDescent="0.25">
      <c r="A53291"/>
      <c r="B53291"/>
      <c r="C53291"/>
      <c r="E53291"/>
      <c r="F53291"/>
    </row>
    <row r="53292" spans="1:6" x14ac:dyDescent="0.25">
      <c r="A53292"/>
      <c r="B53292"/>
      <c r="C53292"/>
      <c r="E53292"/>
      <c r="F53292"/>
    </row>
    <row r="53293" spans="1:6" x14ac:dyDescent="0.25">
      <c r="A53293"/>
      <c r="B53293"/>
      <c r="C53293"/>
      <c r="E53293"/>
      <c r="F53293"/>
    </row>
    <row r="53294" spans="1:6" x14ac:dyDescent="0.25">
      <c r="A53294"/>
      <c r="B53294"/>
      <c r="C53294"/>
      <c r="E53294"/>
      <c r="F53294"/>
    </row>
    <row r="53295" spans="1:6" x14ac:dyDescent="0.25">
      <c r="A53295"/>
      <c r="B53295"/>
      <c r="C53295"/>
      <c r="E53295"/>
      <c r="F53295"/>
    </row>
    <row r="53296" spans="1:6" x14ac:dyDescent="0.25">
      <c r="A53296"/>
      <c r="B53296"/>
      <c r="C53296"/>
      <c r="E53296"/>
      <c r="F53296"/>
    </row>
    <row r="53297" spans="1:6" x14ac:dyDescent="0.25">
      <c r="A53297"/>
      <c r="B53297"/>
      <c r="C53297"/>
      <c r="E53297"/>
      <c r="F53297"/>
    </row>
    <row r="53298" spans="1:6" x14ac:dyDescent="0.25">
      <c r="A53298"/>
      <c r="B53298"/>
      <c r="C53298"/>
      <c r="E53298"/>
      <c r="F53298"/>
    </row>
    <row r="53299" spans="1:6" x14ac:dyDescent="0.25">
      <c r="A53299"/>
      <c r="B53299"/>
      <c r="C53299"/>
      <c r="E53299"/>
      <c r="F53299"/>
    </row>
    <row r="53300" spans="1:6" x14ac:dyDescent="0.25">
      <c r="A53300"/>
      <c r="B53300"/>
      <c r="C53300"/>
      <c r="E53300"/>
      <c r="F53300"/>
    </row>
    <row r="53301" spans="1:6" x14ac:dyDescent="0.25">
      <c r="A53301"/>
      <c r="B53301"/>
      <c r="C53301"/>
      <c r="E53301"/>
      <c r="F53301"/>
    </row>
    <row r="53302" spans="1:6" x14ac:dyDescent="0.25">
      <c r="A53302"/>
      <c r="B53302"/>
      <c r="C53302"/>
      <c r="E53302"/>
      <c r="F53302"/>
    </row>
    <row r="53303" spans="1:6" x14ac:dyDescent="0.25">
      <c r="A53303"/>
      <c r="B53303"/>
      <c r="C53303"/>
      <c r="E53303"/>
      <c r="F53303"/>
    </row>
    <row r="53304" spans="1:6" x14ac:dyDescent="0.25">
      <c r="A53304"/>
      <c r="B53304"/>
      <c r="C53304"/>
      <c r="E53304"/>
      <c r="F53304"/>
    </row>
    <row r="53305" spans="1:6" x14ac:dyDescent="0.25">
      <c r="A53305"/>
      <c r="B53305"/>
      <c r="C53305"/>
      <c r="E53305"/>
      <c r="F53305"/>
    </row>
    <row r="53306" spans="1:6" x14ac:dyDescent="0.25">
      <c r="A53306"/>
      <c r="B53306"/>
      <c r="C53306"/>
      <c r="E53306"/>
      <c r="F53306"/>
    </row>
    <row r="53307" spans="1:6" x14ac:dyDescent="0.25">
      <c r="A53307"/>
      <c r="B53307"/>
      <c r="C53307"/>
      <c r="E53307"/>
      <c r="F53307"/>
    </row>
    <row r="53308" spans="1:6" x14ac:dyDescent="0.25">
      <c r="A53308"/>
      <c r="B53308"/>
      <c r="C53308"/>
      <c r="E53308"/>
      <c r="F53308"/>
    </row>
    <row r="53309" spans="1:6" x14ac:dyDescent="0.25">
      <c r="A53309"/>
      <c r="B53309"/>
      <c r="C53309"/>
      <c r="E53309"/>
      <c r="F53309"/>
    </row>
    <row r="53310" spans="1:6" x14ac:dyDescent="0.25">
      <c r="A53310"/>
      <c r="B53310"/>
      <c r="C53310"/>
      <c r="E53310"/>
      <c r="F53310"/>
    </row>
    <row r="53311" spans="1:6" x14ac:dyDescent="0.25">
      <c r="A53311"/>
      <c r="B53311"/>
      <c r="C53311"/>
      <c r="E53311"/>
      <c r="F53311"/>
    </row>
    <row r="53312" spans="1:6" x14ac:dyDescent="0.25">
      <c r="A53312"/>
      <c r="B53312"/>
      <c r="C53312"/>
      <c r="E53312"/>
      <c r="F53312"/>
    </row>
    <row r="53313" spans="1:6" x14ac:dyDescent="0.25">
      <c r="A53313"/>
      <c r="B53313"/>
      <c r="C53313"/>
      <c r="E53313"/>
      <c r="F53313"/>
    </row>
    <row r="53314" spans="1:6" x14ac:dyDescent="0.25">
      <c r="A53314"/>
      <c r="B53314"/>
      <c r="C53314"/>
      <c r="E53314"/>
      <c r="F53314"/>
    </row>
    <row r="53315" spans="1:6" x14ac:dyDescent="0.25">
      <c r="A53315"/>
      <c r="B53315"/>
      <c r="C53315"/>
      <c r="E53315"/>
      <c r="F53315"/>
    </row>
    <row r="53316" spans="1:6" x14ac:dyDescent="0.25">
      <c r="A53316"/>
      <c r="B53316"/>
      <c r="C53316"/>
      <c r="E53316"/>
      <c r="F53316"/>
    </row>
    <row r="53317" spans="1:6" x14ac:dyDescent="0.25">
      <c r="A53317"/>
      <c r="B53317"/>
      <c r="C53317"/>
      <c r="E53317"/>
      <c r="F53317"/>
    </row>
    <row r="53318" spans="1:6" x14ac:dyDescent="0.25">
      <c r="A53318"/>
      <c r="B53318"/>
      <c r="C53318"/>
      <c r="E53318"/>
      <c r="F53318"/>
    </row>
    <row r="53319" spans="1:6" x14ac:dyDescent="0.25">
      <c r="A53319"/>
      <c r="B53319"/>
      <c r="C53319"/>
      <c r="E53319"/>
      <c r="F53319"/>
    </row>
    <row r="53320" spans="1:6" x14ac:dyDescent="0.25">
      <c r="A53320"/>
      <c r="B53320"/>
      <c r="C53320"/>
      <c r="E53320"/>
      <c r="F53320"/>
    </row>
    <row r="53321" spans="1:6" x14ac:dyDescent="0.25">
      <c r="A53321"/>
      <c r="B53321"/>
      <c r="C53321"/>
      <c r="E53321"/>
      <c r="F53321"/>
    </row>
    <row r="53322" spans="1:6" x14ac:dyDescent="0.25">
      <c r="A53322"/>
      <c r="B53322"/>
      <c r="C53322"/>
      <c r="E53322"/>
      <c r="F53322"/>
    </row>
    <row r="53323" spans="1:6" x14ac:dyDescent="0.25">
      <c r="A53323"/>
      <c r="B53323"/>
      <c r="C53323"/>
      <c r="E53323"/>
      <c r="F53323"/>
    </row>
    <row r="53324" spans="1:6" x14ac:dyDescent="0.25">
      <c r="A53324"/>
      <c r="B53324"/>
      <c r="C53324"/>
      <c r="E53324"/>
      <c r="F53324"/>
    </row>
    <row r="53325" spans="1:6" x14ac:dyDescent="0.25">
      <c r="A53325"/>
      <c r="B53325"/>
      <c r="C53325"/>
      <c r="E53325"/>
      <c r="F53325"/>
    </row>
    <row r="53326" spans="1:6" x14ac:dyDescent="0.25">
      <c r="A53326"/>
      <c r="B53326"/>
      <c r="C53326"/>
      <c r="E53326"/>
      <c r="F53326"/>
    </row>
    <row r="53327" spans="1:6" x14ac:dyDescent="0.25">
      <c r="A53327"/>
      <c r="B53327"/>
      <c r="C53327"/>
      <c r="E53327"/>
      <c r="F53327"/>
    </row>
    <row r="53328" spans="1:6" x14ac:dyDescent="0.25">
      <c r="A53328"/>
      <c r="B53328"/>
      <c r="C53328"/>
      <c r="E53328"/>
      <c r="F53328"/>
    </row>
    <row r="53329" spans="1:6" x14ac:dyDescent="0.25">
      <c r="A53329"/>
      <c r="B53329"/>
      <c r="C53329"/>
      <c r="E53329"/>
      <c r="F53329"/>
    </row>
    <row r="53330" spans="1:6" x14ac:dyDescent="0.25">
      <c r="A53330"/>
      <c r="B53330"/>
      <c r="C53330"/>
      <c r="E53330"/>
      <c r="F53330"/>
    </row>
    <row r="53331" spans="1:6" x14ac:dyDescent="0.25">
      <c r="A53331"/>
      <c r="B53331"/>
      <c r="C53331"/>
      <c r="E53331"/>
      <c r="F53331"/>
    </row>
    <row r="53332" spans="1:6" x14ac:dyDescent="0.25">
      <c r="A53332"/>
      <c r="B53332"/>
      <c r="C53332"/>
      <c r="E53332"/>
      <c r="F53332"/>
    </row>
    <row r="53333" spans="1:6" x14ac:dyDescent="0.25">
      <c r="A53333"/>
      <c r="B53333"/>
      <c r="C53333"/>
      <c r="E53333"/>
      <c r="F53333"/>
    </row>
    <row r="53334" spans="1:6" x14ac:dyDescent="0.25">
      <c r="A53334"/>
      <c r="B53334"/>
      <c r="C53334"/>
      <c r="E53334"/>
      <c r="F53334"/>
    </row>
    <row r="53335" spans="1:6" x14ac:dyDescent="0.25">
      <c r="A53335"/>
      <c r="B53335"/>
      <c r="C53335"/>
      <c r="E53335"/>
      <c r="F53335"/>
    </row>
    <row r="53336" spans="1:6" x14ac:dyDescent="0.25">
      <c r="A53336"/>
      <c r="B53336"/>
      <c r="C53336"/>
      <c r="E53336"/>
      <c r="F53336"/>
    </row>
    <row r="53337" spans="1:6" x14ac:dyDescent="0.25">
      <c r="A53337"/>
      <c r="B53337"/>
      <c r="C53337"/>
      <c r="E53337"/>
      <c r="F53337"/>
    </row>
    <row r="53338" spans="1:6" x14ac:dyDescent="0.25">
      <c r="A53338"/>
      <c r="B53338"/>
      <c r="C53338"/>
      <c r="E53338"/>
      <c r="F53338"/>
    </row>
    <row r="53339" spans="1:6" x14ac:dyDescent="0.25">
      <c r="A53339"/>
      <c r="B53339"/>
      <c r="C53339"/>
      <c r="E53339"/>
      <c r="F53339"/>
    </row>
    <row r="53340" spans="1:6" x14ac:dyDescent="0.25">
      <c r="A53340"/>
      <c r="B53340"/>
      <c r="C53340"/>
      <c r="E53340"/>
      <c r="F53340"/>
    </row>
    <row r="53341" spans="1:6" x14ac:dyDescent="0.25">
      <c r="A53341"/>
      <c r="B53341"/>
      <c r="C53341"/>
      <c r="E53341"/>
      <c r="F53341"/>
    </row>
    <row r="53342" spans="1:6" x14ac:dyDescent="0.25">
      <c r="A53342"/>
      <c r="B53342"/>
      <c r="C53342"/>
      <c r="E53342"/>
      <c r="F53342"/>
    </row>
    <row r="53343" spans="1:6" x14ac:dyDescent="0.25">
      <c r="A53343"/>
      <c r="B53343"/>
      <c r="C53343"/>
      <c r="E53343"/>
      <c r="F53343"/>
    </row>
    <row r="53344" spans="1:6" x14ac:dyDescent="0.25">
      <c r="A53344"/>
      <c r="B53344"/>
      <c r="C53344"/>
      <c r="E53344"/>
      <c r="F53344"/>
    </row>
    <row r="53345" spans="1:6" x14ac:dyDescent="0.25">
      <c r="A53345"/>
      <c r="B53345"/>
      <c r="C53345"/>
      <c r="E53345"/>
      <c r="F53345"/>
    </row>
    <row r="53346" spans="1:6" x14ac:dyDescent="0.25">
      <c r="A53346"/>
      <c r="B53346"/>
      <c r="C53346"/>
      <c r="E53346"/>
      <c r="F53346"/>
    </row>
    <row r="53347" spans="1:6" x14ac:dyDescent="0.25">
      <c r="A53347"/>
      <c r="B53347"/>
      <c r="C53347"/>
      <c r="E53347"/>
      <c r="F53347"/>
    </row>
    <row r="53348" spans="1:6" x14ac:dyDescent="0.25">
      <c r="A53348"/>
      <c r="B53348"/>
      <c r="C53348"/>
      <c r="E53348"/>
      <c r="F53348"/>
    </row>
    <row r="53349" spans="1:6" x14ac:dyDescent="0.25">
      <c r="A53349"/>
      <c r="B53349"/>
      <c r="C53349"/>
      <c r="E53349"/>
      <c r="F53349"/>
    </row>
    <row r="53350" spans="1:6" x14ac:dyDescent="0.25">
      <c r="A53350"/>
      <c r="B53350"/>
      <c r="C53350"/>
      <c r="E53350"/>
      <c r="F53350"/>
    </row>
    <row r="53351" spans="1:6" x14ac:dyDescent="0.25">
      <c r="A53351"/>
      <c r="B53351"/>
      <c r="C53351"/>
      <c r="E53351"/>
      <c r="F53351"/>
    </row>
    <row r="53352" spans="1:6" x14ac:dyDescent="0.25">
      <c r="A53352"/>
      <c r="B53352"/>
      <c r="C53352"/>
      <c r="E53352"/>
      <c r="F53352"/>
    </row>
    <row r="53353" spans="1:6" x14ac:dyDescent="0.25">
      <c r="A53353"/>
      <c r="B53353"/>
      <c r="C53353"/>
      <c r="E53353"/>
      <c r="F53353"/>
    </row>
    <row r="53354" spans="1:6" x14ac:dyDescent="0.25">
      <c r="A53354"/>
      <c r="B53354"/>
      <c r="C53354"/>
      <c r="E53354"/>
      <c r="F53354"/>
    </row>
    <row r="53355" spans="1:6" x14ac:dyDescent="0.25">
      <c r="A53355"/>
      <c r="B53355"/>
      <c r="C53355"/>
      <c r="E53355"/>
      <c r="F53355"/>
    </row>
    <row r="53356" spans="1:6" x14ac:dyDescent="0.25">
      <c r="A53356"/>
      <c r="B53356"/>
      <c r="C53356"/>
      <c r="E53356"/>
      <c r="F53356"/>
    </row>
    <row r="53357" spans="1:6" x14ac:dyDescent="0.25">
      <c r="A53357"/>
      <c r="B53357"/>
      <c r="C53357"/>
      <c r="E53357"/>
      <c r="F53357"/>
    </row>
    <row r="53358" spans="1:6" x14ac:dyDescent="0.25">
      <c r="A53358"/>
      <c r="B53358"/>
      <c r="C53358"/>
      <c r="E53358"/>
      <c r="F53358"/>
    </row>
    <row r="53359" spans="1:6" x14ac:dyDescent="0.25">
      <c r="A53359"/>
      <c r="B53359"/>
      <c r="C53359"/>
      <c r="E53359"/>
      <c r="F53359"/>
    </row>
    <row r="53360" spans="1:6" x14ac:dyDescent="0.25">
      <c r="A53360"/>
      <c r="B53360"/>
      <c r="C53360"/>
      <c r="E53360"/>
      <c r="F53360"/>
    </row>
    <row r="53361" spans="1:6" x14ac:dyDescent="0.25">
      <c r="A53361"/>
      <c r="B53361"/>
      <c r="C53361"/>
      <c r="E53361"/>
      <c r="F53361"/>
    </row>
    <row r="53362" spans="1:6" x14ac:dyDescent="0.25">
      <c r="A53362"/>
      <c r="B53362"/>
      <c r="C53362"/>
      <c r="E53362"/>
      <c r="F53362"/>
    </row>
    <row r="53363" spans="1:6" x14ac:dyDescent="0.25">
      <c r="A53363"/>
      <c r="B53363"/>
      <c r="C53363"/>
      <c r="E53363"/>
      <c r="F53363"/>
    </row>
    <row r="53364" spans="1:6" x14ac:dyDescent="0.25">
      <c r="A53364"/>
      <c r="B53364"/>
      <c r="C53364"/>
      <c r="E53364"/>
      <c r="F53364"/>
    </row>
    <row r="53365" spans="1:6" x14ac:dyDescent="0.25">
      <c r="A53365"/>
      <c r="B53365"/>
      <c r="C53365"/>
      <c r="E53365"/>
      <c r="F53365"/>
    </row>
    <row r="53366" spans="1:6" x14ac:dyDescent="0.25">
      <c r="A53366"/>
      <c r="B53366"/>
      <c r="C53366"/>
      <c r="E53366"/>
      <c r="F53366"/>
    </row>
    <row r="53367" spans="1:6" x14ac:dyDescent="0.25">
      <c r="A53367"/>
      <c r="B53367"/>
      <c r="C53367"/>
      <c r="E53367"/>
      <c r="F53367"/>
    </row>
    <row r="53368" spans="1:6" x14ac:dyDescent="0.25">
      <c r="A53368"/>
      <c r="B53368"/>
      <c r="C53368"/>
      <c r="E53368"/>
      <c r="F53368"/>
    </row>
    <row r="53369" spans="1:6" x14ac:dyDescent="0.25">
      <c r="A53369"/>
      <c r="B53369"/>
      <c r="C53369"/>
      <c r="E53369"/>
      <c r="F53369"/>
    </row>
    <row r="53370" spans="1:6" x14ac:dyDescent="0.25">
      <c r="A53370"/>
      <c r="B53370"/>
      <c r="C53370"/>
      <c r="E53370"/>
      <c r="F53370"/>
    </row>
    <row r="53371" spans="1:6" x14ac:dyDescent="0.25">
      <c r="A53371"/>
      <c r="B53371"/>
      <c r="C53371"/>
      <c r="E53371"/>
      <c r="F53371"/>
    </row>
    <row r="53372" spans="1:6" x14ac:dyDescent="0.25">
      <c r="A53372"/>
      <c r="B53372"/>
      <c r="C53372"/>
      <c r="E53372"/>
      <c r="F53372"/>
    </row>
    <row r="53373" spans="1:6" x14ac:dyDescent="0.25">
      <c r="A53373"/>
      <c r="B53373"/>
      <c r="C53373"/>
      <c r="E53373"/>
      <c r="F53373"/>
    </row>
    <row r="53374" spans="1:6" x14ac:dyDescent="0.25">
      <c r="A53374"/>
      <c r="B53374"/>
      <c r="C53374"/>
      <c r="E53374"/>
      <c r="F53374"/>
    </row>
    <row r="53375" spans="1:6" x14ac:dyDescent="0.25">
      <c r="A53375"/>
      <c r="B53375"/>
      <c r="C53375"/>
      <c r="E53375"/>
      <c r="F53375"/>
    </row>
    <row r="53376" spans="1:6" x14ac:dyDescent="0.25">
      <c r="A53376"/>
      <c r="B53376"/>
      <c r="C53376"/>
      <c r="E53376"/>
      <c r="F53376"/>
    </row>
    <row r="53377" spans="1:6" x14ac:dyDescent="0.25">
      <c r="A53377"/>
      <c r="B53377"/>
      <c r="C53377"/>
      <c r="E53377"/>
      <c r="F53377"/>
    </row>
    <row r="53378" spans="1:6" x14ac:dyDescent="0.25">
      <c r="A53378"/>
      <c r="B53378"/>
      <c r="C53378"/>
      <c r="E53378"/>
      <c r="F53378"/>
    </row>
    <row r="53379" spans="1:6" x14ac:dyDescent="0.25">
      <c r="A53379"/>
      <c r="B53379"/>
      <c r="C53379"/>
      <c r="E53379"/>
      <c r="F53379"/>
    </row>
    <row r="53380" spans="1:6" x14ac:dyDescent="0.25">
      <c r="A53380"/>
      <c r="B53380"/>
      <c r="C53380"/>
      <c r="E53380"/>
      <c r="F53380"/>
    </row>
    <row r="53381" spans="1:6" x14ac:dyDescent="0.25">
      <c r="A53381"/>
      <c r="B53381"/>
      <c r="C53381"/>
      <c r="E53381"/>
      <c r="F53381"/>
    </row>
    <row r="53382" spans="1:6" x14ac:dyDescent="0.25">
      <c r="A53382"/>
      <c r="B53382"/>
      <c r="C53382"/>
      <c r="E53382"/>
      <c r="F53382"/>
    </row>
    <row r="53383" spans="1:6" x14ac:dyDescent="0.25">
      <c r="A53383"/>
      <c r="B53383"/>
      <c r="C53383"/>
      <c r="E53383"/>
      <c r="F53383"/>
    </row>
    <row r="53384" spans="1:6" x14ac:dyDescent="0.25">
      <c r="A53384"/>
      <c r="B53384"/>
      <c r="C53384"/>
      <c r="E53384"/>
      <c r="F53384"/>
    </row>
    <row r="53385" spans="1:6" x14ac:dyDescent="0.25">
      <c r="A53385"/>
      <c r="B53385"/>
      <c r="C53385"/>
      <c r="E53385"/>
      <c r="F53385"/>
    </row>
    <row r="53386" spans="1:6" x14ac:dyDescent="0.25">
      <c r="A53386"/>
      <c r="B53386"/>
      <c r="C53386"/>
      <c r="E53386"/>
      <c r="F53386"/>
    </row>
    <row r="53387" spans="1:6" x14ac:dyDescent="0.25">
      <c r="A53387"/>
      <c r="B53387"/>
      <c r="C53387"/>
      <c r="E53387"/>
      <c r="F53387"/>
    </row>
    <row r="53388" spans="1:6" x14ac:dyDescent="0.25">
      <c r="A53388"/>
      <c r="B53388"/>
      <c r="C53388"/>
      <c r="E53388"/>
      <c r="F53388"/>
    </row>
    <row r="53389" spans="1:6" x14ac:dyDescent="0.25">
      <c r="A53389"/>
      <c r="B53389"/>
      <c r="C53389"/>
      <c r="E53389"/>
      <c r="F53389"/>
    </row>
    <row r="53390" spans="1:6" x14ac:dyDescent="0.25">
      <c r="A53390"/>
      <c r="B53390"/>
      <c r="C53390"/>
      <c r="E53390"/>
      <c r="F53390"/>
    </row>
    <row r="53391" spans="1:6" x14ac:dyDescent="0.25">
      <c r="A53391"/>
      <c r="B53391"/>
      <c r="C53391"/>
      <c r="E53391"/>
      <c r="F53391"/>
    </row>
    <row r="53392" spans="1:6" x14ac:dyDescent="0.25">
      <c r="A53392"/>
      <c r="B53392"/>
      <c r="C53392"/>
      <c r="E53392"/>
      <c r="F53392"/>
    </row>
    <row r="53393" spans="1:6" x14ac:dyDescent="0.25">
      <c r="A53393"/>
      <c r="B53393"/>
      <c r="C53393"/>
      <c r="E53393"/>
      <c r="F53393"/>
    </row>
    <row r="53394" spans="1:6" x14ac:dyDescent="0.25">
      <c r="A53394"/>
      <c r="B53394"/>
      <c r="C53394"/>
      <c r="E53394"/>
      <c r="F53394"/>
    </row>
    <row r="53395" spans="1:6" x14ac:dyDescent="0.25">
      <c r="A53395"/>
      <c r="B53395"/>
      <c r="C53395"/>
      <c r="E53395"/>
      <c r="F53395"/>
    </row>
    <row r="53396" spans="1:6" x14ac:dyDescent="0.25">
      <c r="A53396"/>
      <c r="B53396"/>
      <c r="C53396"/>
      <c r="E53396"/>
      <c r="F53396"/>
    </row>
    <row r="53397" spans="1:6" x14ac:dyDescent="0.25">
      <c r="A53397"/>
      <c r="B53397"/>
      <c r="C53397"/>
      <c r="E53397"/>
      <c r="F53397"/>
    </row>
    <row r="53398" spans="1:6" x14ac:dyDescent="0.25">
      <c r="A53398"/>
      <c r="B53398"/>
      <c r="C53398"/>
      <c r="E53398"/>
      <c r="F53398"/>
    </row>
    <row r="53399" spans="1:6" x14ac:dyDescent="0.25">
      <c r="A53399"/>
      <c r="B53399"/>
      <c r="C53399"/>
      <c r="E53399"/>
      <c r="F53399"/>
    </row>
    <row r="53400" spans="1:6" x14ac:dyDescent="0.25">
      <c r="A53400"/>
      <c r="B53400"/>
      <c r="C53400"/>
      <c r="E53400"/>
      <c r="F53400"/>
    </row>
    <row r="53401" spans="1:6" x14ac:dyDescent="0.25">
      <c r="A53401"/>
      <c r="B53401"/>
      <c r="C53401"/>
      <c r="E53401"/>
      <c r="F53401"/>
    </row>
    <row r="53402" spans="1:6" x14ac:dyDescent="0.25">
      <c r="A53402"/>
      <c r="B53402"/>
      <c r="C53402"/>
      <c r="E53402"/>
      <c r="F53402"/>
    </row>
    <row r="53403" spans="1:6" x14ac:dyDescent="0.25">
      <c r="A53403"/>
      <c r="B53403"/>
      <c r="C53403"/>
      <c r="E53403"/>
      <c r="F53403"/>
    </row>
    <row r="53404" spans="1:6" x14ac:dyDescent="0.25">
      <c r="A53404"/>
      <c r="B53404"/>
      <c r="C53404"/>
      <c r="E53404"/>
      <c r="F53404"/>
    </row>
    <row r="53405" spans="1:6" x14ac:dyDescent="0.25">
      <c r="A53405"/>
      <c r="B53405"/>
      <c r="C53405"/>
      <c r="E53405"/>
      <c r="F53405"/>
    </row>
    <row r="53406" spans="1:6" x14ac:dyDescent="0.25">
      <c r="A53406"/>
      <c r="B53406"/>
      <c r="C53406"/>
      <c r="E53406"/>
      <c r="F53406"/>
    </row>
    <row r="53407" spans="1:6" x14ac:dyDescent="0.25">
      <c r="A53407"/>
      <c r="B53407"/>
      <c r="C53407"/>
      <c r="E53407"/>
      <c r="F53407"/>
    </row>
    <row r="53408" spans="1:6" x14ac:dyDescent="0.25">
      <c r="A53408"/>
      <c r="B53408"/>
      <c r="C53408"/>
      <c r="E53408"/>
      <c r="F53408"/>
    </row>
    <row r="53409" spans="1:6" x14ac:dyDescent="0.25">
      <c r="A53409"/>
      <c r="B53409"/>
      <c r="C53409"/>
      <c r="E53409"/>
      <c r="F53409"/>
    </row>
    <row r="53410" spans="1:6" x14ac:dyDescent="0.25">
      <c r="A53410"/>
      <c r="B53410"/>
      <c r="C53410"/>
      <c r="E53410"/>
      <c r="F53410"/>
    </row>
    <row r="53411" spans="1:6" x14ac:dyDescent="0.25">
      <c r="A53411"/>
      <c r="B53411"/>
      <c r="C53411"/>
      <c r="E53411"/>
      <c r="F53411"/>
    </row>
    <row r="53412" spans="1:6" x14ac:dyDescent="0.25">
      <c r="A53412"/>
      <c r="B53412"/>
      <c r="C53412"/>
      <c r="E53412"/>
      <c r="F53412"/>
    </row>
    <row r="53413" spans="1:6" x14ac:dyDescent="0.25">
      <c r="A53413"/>
      <c r="B53413"/>
      <c r="C53413"/>
      <c r="E53413"/>
      <c r="F53413"/>
    </row>
    <row r="53414" spans="1:6" x14ac:dyDescent="0.25">
      <c r="A53414"/>
      <c r="B53414"/>
      <c r="C53414"/>
      <c r="E53414"/>
      <c r="F53414"/>
    </row>
    <row r="53415" spans="1:6" x14ac:dyDescent="0.25">
      <c r="A53415"/>
      <c r="B53415"/>
      <c r="C53415"/>
      <c r="E53415"/>
      <c r="F53415"/>
    </row>
    <row r="53416" spans="1:6" x14ac:dyDescent="0.25">
      <c r="A53416"/>
      <c r="B53416"/>
      <c r="C53416"/>
      <c r="E53416"/>
      <c r="F53416"/>
    </row>
    <row r="53417" spans="1:6" x14ac:dyDescent="0.25">
      <c r="A53417"/>
      <c r="B53417"/>
      <c r="C53417"/>
      <c r="E53417"/>
      <c r="F53417"/>
    </row>
    <row r="53418" spans="1:6" x14ac:dyDescent="0.25">
      <c r="A53418"/>
      <c r="B53418"/>
      <c r="C53418"/>
      <c r="E53418"/>
      <c r="F53418"/>
    </row>
    <row r="53419" spans="1:6" x14ac:dyDescent="0.25">
      <c r="A53419"/>
      <c r="B53419"/>
      <c r="C53419"/>
      <c r="E53419"/>
      <c r="F53419"/>
    </row>
    <row r="53420" spans="1:6" x14ac:dyDescent="0.25">
      <c r="A53420"/>
      <c r="B53420"/>
      <c r="C53420"/>
      <c r="E53420"/>
      <c r="F53420"/>
    </row>
    <row r="53421" spans="1:6" x14ac:dyDescent="0.25">
      <c r="A53421"/>
      <c r="B53421"/>
      <c r="C53421"/>
      <c r="E53421"/>
      <c r="F53421"/>
    </row>
    <row r="53422" spans="1:6" x14ac:dyDescent="0.25">
      <c r="A53422"/>
      <c r="B53422"/>
      <c r="C53422"/>
      <c r="E53422"/>
      <c r="F53422"/>
    </row>
    <row r="53423" spans="1:6" x14ac:dyDescent="0.25">
      <c r="A53423"/>
      <c r="B53423"/>
      <c r="C53423"/>
      <c r="E53423"/>
      <c r="F53423"/>
    </row>
    <row r="53424" spans="1:6" x14ac:dyDescent="0.25">
      <c r="A53424"/>
      <c r="B53424"/>
      <c r="C53424"/>
      <c r="E53424"/>
      <c r="F53424"/>
    </row>
    <row r="53425" spans="1:6" x14ac:dyDescent="0.25">
      <c r="A53425"/>
      <c r="B53425"/>
      <c r="C53425"/>
      <c r="E53425"/>
      <c r="F53425"/>
    </row>
    <row r="53426" spans="1:6" x14ac:dyDescent="0.25">
      <c r="A53426"/>
      <c r="B53426"/>
      <c r="C53426"/>
      <c r="E53426"/>
      <c r="F53426"/>
    </row>
    <row r="53427" spans="1:6" x14ac:dyDescent="0.25">
      <c r="A53427"/>
      <c r="B53427"/>
      <c r="C53427"/>
      <c r="E53427"/>
      <c r="F53427"/>
    </row>
    <row r="53428" spans="1:6" x14ac:dyDescent="0.25">
      <c r="A53428"/>
      <c r="B53428"/>
      <c r="C53428"/>
      <c r="E53428"/>
      <c r="F53428"/>
    </row>
    <row r="53429" spans="1:6" x14ac:dyDescent="0.25">
      <c r="A53429"/>
      <c r="B53429"/>
      <c r="C53429"/>
      <c r="E53429"/>
      <c r="F53429"/>
    </row>
    <row r="53430" spans="1:6" x14ac:dyDescent="0.25">
      <c r="A53430"/>
      <c r="B53430"/>
      <c r="C53430"/>
      <c r="E53430"/>
      <c r="F53430"/>
    </row>
    <row r="53431" spans="1:6" x14ac:dyDescent="0.25">
      <c r="A53431"/>
      <c r="B53431"/>
      <c r="C53431"/>
      <c r="E53431"/>
      <c r="F53431"/>
    </row>
    <row r="53432" spans="1:6" x14ac:dyDescent="0.25">
      <c r="A53432"/>
      <c r="B53432"/>
      <c r="C53432"/>
      <c r="E53432"/>
      <c r="F53432"/>
    </row>
    <row r="53433" spans="1:6" x14ac:dyDescent="0.25">
      <c r="A53433"/>
      <c r="B53433"/>
      <c r="C53433"/>
      <c r="E53433"/>
      <c r="F53433"/>
    </row>
    <row r="53434" spans="1:6" x14ac:dyDescent="0.25">
      <c r="A53434"/>
      <c r="B53434"/>
      <c r="C53434"/>
      <c r="E53434"/>
      <c r="F53434"/>
    </row>
    <row r="53435" spans="1:6" x14ac:dyDescent="0.25">
      <c r="A53435"/>
      <c r="B53435"/>
      <c r="C53435"/>
      <c r="E53435"/>
      <c r="F53435"/>
    </row>
    <row r="53436" spans="1:6" x14ac:dyDescent="0.25">
      <c r="A53436"/>
      <c r="B53436"/>
      <c r="C53436"/>
      <c r="E53436"/>
      <c r="F53436"/>
    </row>
    <row r="53437" spans="1:6" x14ac:dyDescent="0.25">
      <c r="A53437"/>
      <c r="B53437"/>
      <c r="C53437"/>
      <c r="E53437"/>
      <c r="F53437"/>
    </row>
    <row r="53438" spans="1:6" x14ac:dyDescent="0.25">
      <c r="A53438"/>
      <c r="B53438"/>
      <c r="C53438"/>
      <c r="E53438"/>
      <c r="F53438"/>
    </row>
    <row r="53439" spans="1:6" x14ac:dyDescent="0.25">
      <c r="A53439"/>
      <c r="B53439"/>
      <c r="C53439"/>
      <c r="E53439"/>
      <c r="F53439"/>
    </row>
    <row r="53440" spans="1:6" x14ac:dyDescent="0.25">
      <c r="A53440"/>
      <c r="B53440"/>
      <c r="C53440"/>
      <c r="E53440"/>
      <c r="F53440"/>
    </row>
    <row r="53441" spans="1:6" x14ac:dyDescent="0.25">
      <c r="A53441"/>
      <c r="B53441"/>
      <c r="C53441"/>
      <c r="E53441"/>
      <c r="F53441"/>
    </row>
    <row r="53442" spans="1:6" x14ac:dyDescent="0.25">
      <c r="A53442"/>
      <c r="B53442"/>
      <c r="C53442"/>
      <c r="E53442"/>
      <c r="F53442"/>
    </row>
    <row r="53443" spans="1:6" x14ac:dyDescent="0.25">
      <c r="A53443"/>
      <c r="B53443"/>
      <c r="C53443"/>
      <c r="E53443"/>
      <c r="F53443"/>
    </row>
    <row r="53444" spans="1:6" x14ac:dyDescent="0.25">
      <c r="A53444"/>
      <c r="B53444"/>
      <c r="C53444"/>
      <c r="E53444"/>
      <c r="F53444"/>
    </row>
    <row r="53445" spans="1:6" x14ac:dyDescent="0.25">
      <c r="A53445"/>
      <c r="B53445"/>
      <c r="C53445"/>
      <c r="E53445"/>
      <c r="F53445"/>
    </row>
    <row r="53446" spans="1:6" x14ac:dyDescent="0.25">
      <c r="A53446"/>
      <c r="B53446"/>
      <c r="C53446"/>
      <c r="E53446"/>
      <c r="F53446"/>
    </row>
    <row r="53447" spans="1:6" x14ac:dyDescent="0.25">
      <c r="A53447"/>
      <c r="B53447"/>
      <c r="C53447"/>
      <c r="E53447"/>
      <c r="F53447"/>
    </row>
    <row r="53448" spans="1:6" x14ac:dyDescent="0.25">
      <c r="A53448"/>
      <c r="B53448"/>
      <c r="C53448"/>
      <c r="E53448"/>
      <c r="F53448"/>
    </row>
    <row r="53449" spans="1:6" x14ac:dyDescent="0.25">
      <c r="A53449"/>
      <c r="B53449"/>
      <c r="C53449"/>
      <c r="E53449"/>
      <c r="F53449"/>
    </row>
    <row r="53450" spans="1:6" x14ac:dyDescent="0.25">
      <c r="A53450"/>
      <c r="B53450"/>
      <c r="C53450"/>
      <c r="E53450"/>
      <c r="F53450"/>
    </row>
    <row r="53451" spans="1:6" x14ac:dyDescent="0.25">
      <c r="A53451"/>
      <c r="B53451"/>
      <c r="C53451"/>
      <c r="E53451"/>
      <c r="F53451"/>
    </row>
    <row r="53452" spans="1:6" x14ac:dyDescent="0.25">
      <c r="A53452"/>
      <c r="B53452"/>
      <c r="C53452"/>
      <c r="E53452"/>
      <c r="F53452"/>
    </row>
    <row r="53453" spans="1:6" x14ac:dyDescent="0.25">
      <c r="A53453"/>
      <c r="B53453"/>
      <c r="C53453"/>
      <c r="E53453"/>
      <c r="F53453"/>
    </row>
    <row r="53454" spans="1:6" x14ac:dyDescent="0.25">
      <c r="A53454"/>
      <c r="B53454"/>
      <c r="C53454"/>
      <c r="E53454"/>
      <c r="F53454"/>
    </row>
    <row r="53455" spans="1:6" x14ac:dyDescent="0.25">
      <c r="A53455"/>
      <c r="B53455"/>
      <c r="C53455"/>
      <c r="E53455"/>
      <c r="F53455"/>
    </row>
    <row r="53456" spans="1:6" x14ac:dyDescent="0.25">
      <c r="A53456"/>
      <c r="B53456"/>
      <c r="C53456"/>
      <c r="E53456"/>
      <c r="F53456"/>
    </row>
    <row r="53457" spans="1:6" x14ac:dyDescent="0.25">
      <c r="A53457"/>
      <c r="B53457"/>
      <c r="C53457"/>
      <c r="E53457"/>
      <c r="F53457"/>
    </row>
    <row r="53458" spans="1:6" x14ac:dyDescent="0.25">
      <c r="A53458"/>
      <c r="B53458"/>
      <c r="C53458"/>
      <c r="E53458"/>
      <c r="F53458"/>
    </row>
    <row r="53459" spans="1:6" x14ac:dyDescent="0.25">
      <c r="A53459"/>
      <c r="B53459"/>
      <c r="C53459"/>
      <c r="E53459"/>
      <c r="F53459"/>
    </row>
    <row r="53460" spans="1:6" x14ac:dyDescent="0.25">
      <c r="A53460"/>
      <c r="B53460"/>
      <c r="C53460"/>
      <c r="E53460"/>
      <c r="F53460"/>
    </row>
    <row r="53461" spans="1:6" x14ac:dyDescent="0.25">
      <c r="A53461"/>
      <c r="B53461"/>
      <c r="C53461"/>
      <c r="E53461"/>
      <c r="F53461"/>
    </row>
    <row r="53462" spans="1:6" x14ac:dyDescent="0.25">
      <c r="A53462"/>
      <c r="B53462"/>
      <c r="C53462"/>
      <c r="E53462"/>
      <c r="F53462"/>
    </row>
    <row r="53463" spans="1:6" x14ac:dyDescent="0.25">
      <c r="A53463"/>
      <c r="B53463"/>
      <c r="C53463"/>
      <c r="E53463"/>
      <c r="F53463"/>
    </row>
    <row r="53464" spans="1:6" x14ac:dyDescent="0.25">
      <c r="A53464"/>
      <c r="B53464"/>
      <c r="C53464"/>
      <c r="E53464"/>
      <c r="F53464"/>
    </row>
    <row r="53465" spans="1:6" x14ac:dyDescent="0.25">
      <c r="A53465"/>
      <c r="B53465"/>
      <c r="C53465"/>
      <c r="E53465"/>
      <c r="F53465"/>
    </row>
    <row r="53466" spans="1:6" x14ac:dyDescent="0.25">
      <c r="A53466"/>
      <c r="B53466"/>
      <c r="C53466"/>
      <c r="E53466"/>
      <c r="F53466"/>
    </row>
    <row r="53467" spans="1:6" x14ac:dyDescent="0.25">
      <c r="A53467"/>
      <c r="B53467"/>
      <c r="C53467"/>
      <c r="E53467"/>
      <c r="F53467"/>
    </row>
    <row r="53468" spans="1:6" x14ac:dyDescent="0.25">
      <c r="A53468"/>
      <c r="B53468"/>
      <c r="C53468"/>
      <c r="E53468"/>
      <c r="F53468"/>
    </row>
    <row r="53469" spans="1:6" x14ac:dyDescent="0.25">
      <c r="A53469"/>
      <c r="B53469"/>
      <c r="C53469"/>
      <c r="E53469"/>
      <c r="F53469"/>
    </row>
    <row r="53470" spans="1:6" x14ac:dyDescent="0.25">
      <c r="A53470"/>
      <c r="B53470"/>
      <c r="C53470"/>
      <c r="E53470"/>
      <c r="F53470"/>
    </row>
    <row r="53471" spans="1:6" x14ac:dyDescent="0.25">
      <c r="A53471"/>
      <c r="B53471"/>
      <c r="C53471"/>
      <c r="E53471"/>
      <c r="F53471"/>
    </row>
    <row r="53472" spans="1:6" x14ac:dyDescent="0.25">
      <c r="A53472"/>
      <c r="B53472"/>
      <c r="C53472"/>
      <c r="E53472"/>
      <c r="F53472"/>
    </row>
    <row r="53473" spans="1:6" x14ac:dyDescent="0.25">
      <c r="A53473"/>
      <c r="B53473"/>
      <c r="C53473"/>
      <c r="E53473"/>
      <c r="F53473"/>
    </row>
    <row r="53474" spans="1:6" x14ac:dyDescent="0.25">
      <c r="A53474"/>
      <c r="B53474"/>
      <c r="C53474"/>
      <c r="E53474"/>
      <c r="F53474"/>
    </row>
    <row r="53475" spans="1:6" x14ac:dyDescent="0.25">
      <c r="A53475"/>
      <c r="B53475"/>
      <c r="C53475"/>
      <c r="E53475"/>
      <c r="F53475"/>
    </row>
    <row r="53476" spans="1:6" x14ac:dyDescent="0.25">
      <c r="A53476"/>
      <c r="B53476"/>
      <c r="C53476"/>
      <c r="E53476"/>
      <c r="F53476"/>
    </row>
    <row r="53477" spans="1:6" x14ac:dyDescent="0.25">
      <c r="A53477"/>
      <c r="B53477"/>
      <c r="C53477"/>
      <c r="E53477"/>
      <c r="F53477"/>
    </row>
    <row r="53478" spans="1:6" x14ac:dyDescent="0.25">
      <c r="A53478"/>
      <c r="B53478"/>
      <c r="C53478"/>
      <c r="E53478"/>
      <c r="F53478"/>
    </row>
    <row r="53479" spans="1:6" x14ac:dyDescent="0.25">
      <c r="A53479"/>
      <c r="B53479"/>
      <c r="C53479"/>
      <c r="E53479"/>
      <c r="F53479"/>
    </row>
    <row r="53480" spans="1:6" x14ac:dyDescent="0.25">
      <c r="A53480"/>
      <c r="B53480"/>
      <c r="C53480"/>
      <c r="E53480"/>
      <c r="F53480"/>
    </row>
    <row r="53481" spans="1:6" x14ac:dyDescent="0.25">
      <c r="A53481"/>
      <c r="B53481"/>
      <c r="C53481"/>
      <c r="E53481"/>
      <c r="F53481"/>
    </row>
    <row r="53482" spans="1:6" x14ac:dyDescent="0.25">
      <c r="A53482"/>
      <c r="B53482"/>
      <c r="C53482"/>
      <c r="E53482"/>
      <c r="F53482"/>
    </row>
    <row r="53483" spans="1:6" x14ac:dyDescent="0.25">
      <c r="A53483"/>
      <c r="B53483"/>
      <c r="C53483"/>
      <c r="E53483"/>
      <c r="F53483"/>
    </row>
    <row r="53484" spans="1:6" x14ac:dyDescent="0.25">
      <c r="A53484"/>
      <c r="B53484"/>
      <c r="C53484"/>
      <c r="E53484"/>
      <c r="F53484"/>
    </row>
    <row r="53485" spans="1:6" x14ac:dyDescent="0.25">
      <c r="A53485"/>
      <c r="B53485"/>
      <c r="C53485"/>
      <c r="E53485"/>
      <c r="F53485"/>
    </row>
    <row r="53486" spans="1:6" x14ac:dyDescent="0.25">
      <c r="A53486"/>
      <c r="B53486"/>
      <c r="C53486"/>
      <c r="E53486"/>
      <c r="F53486"/>
    </row>
    <row r="53487" spans="1:6" x14ac:dyDescent="0.25">
      <c r="A53487"/>
      <c r="B53487"/>
      <c r="C53487"/>
      <c r="E53487"/>
      <c r="F53487"/>
    </row>
    <row r="53488" spans="1:6" x14ac:dyDescent="0.25">
      <c r="A53488"/>
      <c r="B53488"/>
      <c r="C53488"/>
      <c r="E53488"/>
      <c r="F53488"/>
    </row>
    <row r="53489" spans="1:6" x14ac:dyDescent="0.25">
      <c r="A53489"/>
      <c r="B53489"/>
      <c r="C53489"/>
      <c r="E53489"/>
      <c r="F53489"/>
    </row>
    <row r="53490" spans="1:6" x14ac:dyDescent="0.25">
      <c r="A53490"/>
      <c r="B53490"/>
      <c r="C53490"/>
      <c r="E53490"/>
      <c r="F53490"/>
    </row>
    <row r="53491" spans="1:6" x14ac:dyDescent="0.25">
      <c r="A53491"/>
      <c r="B53491"/>
      <c r="C53491"/>
      <c r="E53491"/>
      <c r="F53491"/>
    </row>
    <row r="53492" spans="1:6" x14ac:dyDescent="0.25">
      <c r="A53492"/>
      <c r="B53492"/>
      <c r="C53492"/>
      <c r="E53492"/>
      <c r="F53492"/>
    </row>
    <row r="53493" spans="1:6" x14ac:dyDescent="0.25">
      <c r="A53493"/>
      <c r="B53493"/>
      <c r="C53493"/>
      <c r="E53493"/>
      <c r="F53493"/>
    </row>
    <row r="53494" spans="1:6" x14ac:dyDescent="0.25">
      <c r="A53494"/>
      <c r="B53494"/>
      <c r="C53494"/>
      <c r="E53494"/>
      <c r="F53494"/>
    </row>
    <row r="53495" spans="1:6" x14ac:dyDescent="0.25">
      <c r="A53495"/>
      <c r="B53495"/>
      <c r="C53495"/>
      <c r="E53495"/>
      <c r="F53495"/>
    </row>
    <row r="53496" spans="1:6" x14ac:dyDescent="0.25">
      <c r="A53496"/>
      <c r="B53496"/>
      <c r="C53496"/>
      <c r="E53496"/>
      <c r="F53496"/>
    </row>
    <row r="53497" spans="1:6" x14ac:dyDescent="0.25">
      <c r="A53497"/>
      <c r="B53497"/>
      <c r="C53497"/>
      <c r="E53497"/>
      <c r="F53497"/>
    </row>
    <row r="53498" spans="1:6" x14ac:dyDescent="0.25">
      <c r="A53498"/>
      <c r="B53498"/>
      <c r="C53498"/>
      <c r="E53498"/>
      <c r="F53498"/>
    </row>
    <row r="53499" spans="1:6" x14ac:dyDescent="0.25">
      <c r="A53499"/>
      <c r="B53499"/>
      <c r="C53499"/>
      <c r="E53499"/>
      <c r="F53499"/>
    </row>
    <row r="53500" spans="1:6" x14ac:dyDescent="0.25">
      <c r="A53500"/>
      <c r="B53500"/>
      <c r="C53500"/>
      <c r="E53500"/>
      <c r="F53500"/>
    </row>
    <row r="53501" spans="1:6" x14ac:dyDescent="0.25">
      <c r="A53501"/>
      <c r="B53501"/>
      <c r="C53501"/>
      <c r="E53501"/>
      <c r="F53501"/>
    </row>
    <row r="53502" spans="1:6" x14ac:dyDescent="0.25">
      <c r="A53502"/>
      <c r="B53502"/>
      <c r="C53502"/>
      <c r="E53502"/>
      <c r="F53502"/>
    </row>
    <row r="53503" spans="1:6" x14ac:dyDescent="0.25">
      <c r="A53503"/>
      <c r="B53503"/>
      <c r="C53503"/>
      <c r="E53503"/>
      <c r="F53503"/>
    </row>
    <row r="53504" spans="1:6" x14ac:dyDescent="0.25">
      <c r="A53504"/>
      <c r="B53504"/>
      <c r="C53504"/>
      <c r="E53504"/>
      <c r="F53504"/>
    </row>
    <row r="53505" spans="1:6" x14ac:dyDescent="0.25">
      <c r="A53505"/>
      <c r="B53505"/>
      <c r="C53505"/>
      <c r="E53505"/>
      <c r="F53505"/>
    </row>
    <row r="53506" spans="1:6" x14ac:dyDescent="0.25">
      <c r="A53506"/>
      <c r="B53506"/>
      <c r="C53506"/>
      <c r="E53506"/>
      <c r="F53506"/>
    </row>
    <row r="53507" spans="1:6" x14ac:dyDescent="0.25">
      <c r="A53507"/>
      <c r="B53507"/>
      <c r="C53507"/>
      <c r="E53507"/>
      <c r="F53507"/>
    </row>
    <row r="53508" spans="1:6" x14ac:dyDescent="0.25">
      <c r="A53508"/>
      <c r="B53508"/>
      <c r="C53508"/>
      <c r="E53508"/>
      <c r="F53508"/>
    </row>
    <row r="53509" spans="1:6" x14ac:dyDescent="0.25">
      <c r="A53509"/>
      <c r="B53509"/>
      <c r="C53509"/>
      <c r="E53509"/>
      <c r="F53509"/>
    </row>
    <row r="53510" spans="1:6" x14ac:dyDescent="0.25">
      <c r="A53510"/>
      <c r="B53510"/>
      <c r="C53510"/>
      <c r="E53510"/>
      <c r="F53510"/>
    </row>
    <row r="53511" spans="1:6" x14ac:dyDescent="0.25">
      <c r="A53511"/>
      <c r="B53511"/>
      <c r="C53511"/>
      <c r="E53511"/>
      <c r="F53511"/>
    </row>
    <row r="53512" spans="1:6" x14ac:dyDescent="0.25">
      <c r="A53512"/>
      <c r="B53512"/>
      <c r="C53512"/>
      <c r="E53512"/>
      <c r="F53512"/>
    </row>
    <row r="53513" spans="1:6" x14ac:dyDescent="0.25">
      <c r="A53513"/>
      <c r="B53513"/>
      <c r="C53513"/>
      <c r="E53513"/>
      <c r="F53513"/>
    </row>
    <row r="53514" spans="1:6" x14ac:dyDescent="0.25">
      <c r="A53514"/>
      <c r="B53514"/>
      <c r="C53514"/>
      <c r="E53514"/>
      <c r="F53514"/>
    </row>
    <row r="53515" spans="1:6" x14ac:dyDescent="0.25">
      <c r="A53515"/>
      <c r="B53515"/>
      <c r="C53515"/>
      <c r="E53515"/>
      <c r="F53515"/>
    </row>
    <row r="53516" spans="1:6" x14ac:dyDescent="0.25">
      <c r="A53516"/>
      <c r="B53516"/>
      <c r="C53516"/>
      <c r="E53516"/>
      <c r="F53516"/>
    </row>
    <row r="53517" spans="1:6" x14ac:dyDescent="0.25">
      <c r="A53517"/>
      <c r="B53517"/>
      <c r="C53517"/>
      <c r="E53517"/>
      <c r="F53517"/>
    </row>
    <row r="53518" spans="1:6" x14ac:dyDescent="0.25">
      <c r="A53518"/>
      <c r="B53518"/>
      <c r="C53518"/>
      <c r="E53518"/>
      <c r="F53518"/>
    </row>
    <row r="53519" spans="1:6" x14ac:dyDescent="0.25">
      <c r="A53519"/>
      <c r="B53519"/>
      <c r="C53519"/>
      <c r="E53519"/>
      <c r="F53519"/>
    </row>
    <row r="53520" spans="1:6" x14ac:dyDescent="0.25">
      <c r="A53520"/>
      <c r="B53520"/>
      <c r="C53520"/>
      <c r="E53520"/>
      <c r="F53520"/>
    </row>
    <row r="53521" spans="1:6" x14ac:dyDescent="0.25">
      <c r="A53521"/>
      <c r="B53521"/>
      <c r="C53521"/>
      <c r="E53521"/>
      <c r="F53521"/>
    </row>
    <row r="53522" spans="1:6" x14ac:dyDescent="0.25">
      <c r="A53522"/>
      <c r="B53522"/>
      <c r="C53522"/>
      <c r="E53522"/>
      <c r="F53522"/>
    </row>
    <row r="53523" spans="1:6" x14ac:dyDescent="0.25">
      <c r="A53523"/>
      <c r="B53523"/>
      <c r="C53523"/>
      <c r="E53523"/>
      <c r="F53523"/>
    </row>
    <row r="53524" spans="1:6" x14ac:dyDescent="0.25">
      <c r="A53524"/>
      <c r="B53524"/>
      <c r="C53524"/>
      <c r="E53524"/>
      <c r="F53524"/>
    </row>
    <row r="53525" spans="1:6" x14ac:dyDescent="0.25">
      <c r="A53525"/>
      <c r="B53525"/>
      <c r="C53525"/>
      <c r="E53525"/>
      <c r="F53525"/>
    </row>
    <row r="53526" spans="1:6" x14ac:dyDescent="0.25">
      <c r="A53526"/>
      <c r="B53526"/>
      <c r="C53526"/>
      <c r="E53526"/>
      <c r="F53526"/>
    </row>
    <row r="53527" spans="1:6" x14ac:dyDescent="0.25">
      <c r="A53527"/>
      <c r="B53527"/>
      <c r="C53527"/>
      <c r="E53527"/>
      <c r="F53527"/>
    </row>
    <row r="53528" spans="1:6" x14ac:dyDescent="0.25">
      <c r="A53528"/>
      <c r="B53528"/>
      <c r="C53528"/>
      <c r="E53528"/>
      <c r="F53528"/>
    </row>
    <row r="53529" spans="1:6" x14ac:dyDescent="0.25">
      <c r="A53529"/>
      <c r="B53529"/>
      <c r="C53529"/>
      <c r="E53529"/>
      <c r="F53529"/>
    </row>
    <row r="53530" spans="1:6" x14ac:dyDescent="0.25">
      <c r="A53530"/>
      <c r="B53530"/>
      <c r="C53530"/>
      <c r="E53530"/>
      <c r="F53530"/>
    </row>
    <row r="53531" spans="1:6" x14ac:dyDescent="0.25">
      <c r="A53531"/>
      <c r="B53531"/>
      <c r="C53531"/>
      <c r="E53531"/>
      <c r="F53531"/>
    </row>
    <row r="53532" spans="1:6" x14ac:dyDescent="0.25">
      <c r="A53532"/>
      <c r="B53532"/>
      <c r="C53532"/>
      <c r="E53532"/>
      <c r="F53532"/>
    </row>
    <row r="53533" spans="1:6" x14ac:dyDescent="0.25">
      <c r="A53533"/>
      <c r="B53533"/>
      <c r="C53533"/>
      <c r="E53533"/>
      <c r="F53533"/>
    </row>
    <row r="53534" spans="1:6" x14ac:dyDescent="0.25">
      <c r="A53534"/>
      <c r="B53534"/>
      <c r="C53534"/>
      <c r="E53534"/>
      <c r="F53534"/>
    </row>
    <row r="53535" spans="1:6" x14ac:dyDescent="0.25">
      <c r="A53535"/>
      <c r="B53535"/>
      <c r="C53535"/>
      <c r="E53535"/>
      <c r="F53535"/>
    </row>
    <row r="53536" spans="1:6" x14ac:dyDescent="0.25">
      <c r="A53536"/>
      <c r="B53536"/>
      <c r="C53536"/>
      <c r="E53536"/>
      <c r="F53536"/>
    </row>
    <row r="53537" spans="1:6" x14ac:dyDescent="0.25">
      <c r="A53537"/>
      <c r="B53537"/>
      <c r="C53537"/>
      <c r="E53537"/>
      <c r="F53537"/>
    </row>
    <row r="53538" spans="1:6" x14ac:dyDescent="0.25">
      <c r="A53538"/>
      <c r="B53538"/>
      <c r="C53538"/>
      <c r="E53538"/>
      <c r="F53538"/>
    </row>
    <row r="53539" spans="1:6" x14ac:dyDescent="0.25">
      <c r="A53539"/>
      <c r="B53539"/>
      <c r="C53539"/>
      <c r="E53539"/>
      <c r="F53539"/>
    </row>
    <row r="53540" spans="1:6" x14ac:dyDescent="0.25">
      <c r="A53540"/>
      <c r="B53540"/>
      <c r="C53540"/>
      <c r="E53540"/>
      <c r="F53540"/>
    </row>
    <row r="53541" spans="1:6" x14ac:dyDescent="0.25">
      <c r="A53541"/>
      <c r="B53541"/>
      <c r="C53541"/>
      <c r="E53541"/>
      <c r="F53541"/>
    </row>
    <row r="53542" spans="1:6" x14ac:dyDescent="0.25">
      <c r="A53542"/>
      <c r="B53542"/>
      <c r="C53542"/>
      <c r="E53542"/>
      <c r="F53542"/>
    </row>
    <row r="53543" spans="1:6" x14ac:dyDescent="0.25">
      <c r="A53543"/>
      <c r="B53543"/>
      <c r="C53543"/>
      <c r="E53543"/>
      <c r="F53543"/>
    </row>
    <row r="53544" spans="1:6" x14ac:dyDescent="0.25">
      <c r="A53544"/>
      <c r="B53544"/>
      <c r="C53544"/>
      <c r="E53544"/>
      <c r="F53544"/>
    </row>
    <row r="53545" spans="1:6" x14ac:dyDescent="0.25">
      <c r="A53545"/>
      <c r="B53545"/>
      <c r="C53545"/>
      <c r="E53545"/>
      <c r="F53545"/>
    </row>
    <row r="53546" spans="1:6" x14ac:dyDescent="0.25">
      <c r="A53546"/>
      <c r="B53546"/>
      <c r="C53546"/>
      <c r="E53546"/>
      <c r="F53546"/>
    </row>
    <row r="53547" spans="1:6" x14ac:dyDescent="0.25">
      <c r="A53547"/>
      <c r="B53547"/>
      <c r="C53547"/>
      <c r="E53547"/>
      <c r="F53547"/>
    </row>
    <row r="53548" spans="1:6" x14ac:dyDescent="0.25">
      <c r="A53548"/>
      <c r="B53548"/>
      <c r="C53548"/>
      <c r="E53548"/>
      <c r="F53548"/>
    </row>
    <row r="53549" spans="1:6" x14ac:dyDescent="0.25">
      <c r="A53549"/>
      <c r="B53549"/>
      <c r="C53549"/>
      <c r="E53549"/>
      <c r="F53549"/>
    </row>
    <row r="53550" spans="1:6" x14ac:dyDescent="0.25">
      <c r="A53550"/>
      <c r="B53550"/>
      <c r="C53550"/>
      <c r="E53550"/>
      <c r="F53550"/>
    </row>
    <row r="53551" spans="1:6" x14ac:dyDescent="0.25">
      <c r="A53551"/>
      <c r="B53551"/>
      <c r="C53551"/>
      <c r="E53551"/>
      <c r="F53551"/>
    </row>
    <row r="53552" spans="1:6" x14ac:dyDescent="0.25">
      <c r="A53552"/>
      <c r="B53552"/>
      <c r="C53552"/>
      <c r="E53552"/>
      <c r="F53552"/>
    </row>
    <row r="53553" spans="1:6" x14ac:dyDescent="0.25">
      <c r="A53553"/>
      <c r="B53553"/>
      <c r="C53553"/>
      <c r="E53553"/>
      <c r="F53553"/>
    </row>
    <row r="53554" spans="1:6" x14ac:dyDescent="0.25">
      <c r="A53554"/>
      <c r="B53554"/>
      <c r="C53554"/>
      <c r="E53554"/>
      <c r="F53554"/>
    </row>
    <row r="53555" spans="1:6" x14ac:dyDescent="0.25">
      <c r="A53555"/>
      <c r="B53555"/>
      <c r="C53555"/>
      <c r="E53555"/>
      <c r="F53555"/>
    </row>
    <row r="53556" spans="1:6" x14ac:dyDescent="0.25">
      <c r="A53556"/>
      <c r="B53556"/>
      <c r="C53556"/>
      <c r="E53556"/>
      <c r="F53556"/>
    </row>
    <row r="53557" spans="1:6" x14ac:dyDescent="0.25">
      <c r="A53557"/>
      <c r="B53557"/>
      <c r="C53557"/>
      <c r="E53557"/>
      <c r="F53557"/>
    </row>
    <row r="53558" spans="1:6" x14ac:dyDescent="0.25">
      <c r="A53558"/>
      <c r="B53558"/>
      <c r="C53558"/>
      <c r="E53558"/>
      <c r="F53558"/>
    </row>
    <row r="53559" spans="1:6" x14ac:dyDescent="0.25">
      <c r="A53559"/>
      <c r="B53559"/>
      <c r="C53559"/>
      <c r="E53559"/>
      <c r="F53559"/>
    </row>
    <row r="53560" spans="1:6" x14ac:dyDescent="0.25">
      <c r="A53560"/>
      <c r="B53560"/>
      <c r="C53560"/>
      <c r="E53560"/>
      <c r="F53560"/>
    </row>
    <row r="53561" spans="1:6" x14ac:dyDescent="0.25">
      <c r="A53561"/>
      <c r="B53561"/>
      <c r="C53561"/>
      <c r="E53561"/>
      <c r="F53561"/>
    </row>
    <row r="53562" spans="1:6" x14ac:dyDescent="0.25">
      <c r="A53562"/>
      <c r="B53562"/>
      <c r="C53562"/>
      <c r="E53562"/>
      <c r="F53562"/>
    </row>
    <row r="53563" spans="1:6" x14ac:dyDescent="0.25">
      <c r="A53563"/>
      <c r="B53563"/>
      <c r="C53563"/>
      <c r="E53563"/>
      <c r="F53563"/>
    </row>
    <row r="53564" spans="1:6" x14ac:dyDescent="0.25">
      <c r="A53564"/>
      <c r="B53564"/>
      <c r="C53564"/>
      <c r="E53564"/>
      <c r="F53564"/>
    </row>
    <row r="53565" spans="1:6" x14ac:dyDescent="0.25">
      <c r="A53565"/>
      <c r="B53565"/>
      <c r="C53565"/>
      <c r="E53565"/>
      <c r="F53565"/>
    </row>
    <row r="53566" spans="1:6" x14ac:dyDescent="0.25">
      <c r="A53566"/>
      <c r="B53566"/>
      <c r="C53566"/>
      <c r="E53566"/>
      <c r="F53566"/>
    </row>
    <row r="53567" spans="1:6" x14ac:dyDescent="0.25">
      <c r="A53567"/>
      <c r="B53567"/>
      <c r="C53567"/>
      <c r="E53567"/>
      <c r="F53567"/>
    </row>
    <row r="53568" spans="1:6" x14ac:dyDescent="0.25">
      <c r="A53568"/>
      <c r="B53568"/>
      <c r="C53568"/>
      <c r="E53568"/>
      <c r="F53568"/>
    </row>
    <row r="53569" spans="1:6" x14ac:dyDescent="0.25">
      <c r="A53569"/>
      <c r="B53569"/>
      <c r="C53569"/>
      <c r="E53569"/>
      <c r="F53569"/>
    </row>
    <row r="53570" spans="1:6" x14ac:dyDescent="0.25">
      <c r="A53570"/>
      <c r="B53570"/>
      <c r="C53570"/>
      <c r="E53570"/>
      <c r="F53570"/>
    </row>
    <row r="53571" spans="1:6" x14ac:dyDescent="0.25">
      <c r="A53571"/>
      <c r="B53571"/>
      <c r="C53571"/>
      <c r="E53571"/>
      <c r="F53571"/>
    </row>
    <row r="53572" spans="1:6" x14ac:dyDescent="0.25">
      <c r="A53572"/>
      <c r="B53572"/>
      <c r="C53572"/>
      <c r="E53572"/>
      <c r="F53572"/>
    </row>
    <row r="53573" spans="1:6" x14ac:dyDescent="0.25">
      <c r="A53573"/>
      <c r="B53573"/>
      <c r="C53573"/>
      <c r="E53573"/>
      <c r="F53573"/>
    </row>
    <row r="53574" spans="1:6" x14ac:dyDescent="0.25">
      <c r="A53574"/>
      <c r="B53574"/>
      <c r="C53574"/>
      <c r="E53574"/>
      <c r="F53574"/>
    </row>
    <row r="53575" spans="1:6" x14ac:dyDescent="0.25">
      <c r="A53575"/>
      <c r="B53575"/>
      <c r="C53575"/>
      <c r="E53575"/>
      <c r="F53575"/>
    </row>
    <row r="53576" spans="1:6" x14ac:dyDescent="0.25">
      <c r="A53576"/>
      <c r="B53576"/>
      <c r="C53576"/>
      <c r="E53576"/>
      <c r="F53576"/>
    </row>
    <row r="53577" spans="1:6" x14ac:dyDescent="0.25">
      <c r="A53577"/>
      <c r="B53577"/>
      <c r="C53577"/>
      <c r="E53577"/>
      <c r="F53577"/>
    </row>
    <row r="53578" spans="1:6" x14ac:dyDescent="0.25">
      <c r="A53578"/>
      <c r="B53578"/>
      <c r="C53578"/>
      <c r="E53578"/>
      <c r="F53578"/>
    </row>
    <row r="53579" spans="1:6" x14ac:dyDescent="0.25">
      <c r="A53579"/>
      <c r="B53579"/>
      <c r="C53579"/>
      <c r="E53579"/>
      <c r="F53579"/>
    </row>
    <row r="53580" spans="1:6" x14ac:dyDescent="0.25">
      <c r="A53580"/>
      <c r="B53580"/>
      <c r="C53580"/>
      <c r="E53580"/>
      <c r="F53580"/>
    </row>
    <row r="53581" spans="1:6" x14ac:dyDescent="0.25">
      <c r="A53581"/>
      <c r="B53581"/>
      <c r="C53581"/>
      <c r="E53581"/>
      <c r="F53581"/>
    </row>
    <row r="53582" spans="1:6" x14ac:dyDescent="0.25">
      <c r="A53582"/>
      <c r="B53582"/>
      <c r="C53582"/>
      <c r="E53582"/>
      <c r="F53582"/>
    </row>
    <row r="53583" spans="1:6" x14ac:dyDescent="0.25">
      <c r="A53583"/>
      <c r="B53583"/>
      <c r="C53583"/>
      <c r="E53583"/>
      <c r="F53583"/>
    </row>
    <row r="53584" spans="1:6" x14ac:dyDescent="0.25">
      <c r="A53584"/>
      <c r="B53584"/>
      <c r="C53584"/>
      <c r="E53584"/>
      <c r="F53584"/>
    </row>
    <row r="53585" spans="1:6" x14ac:dyDescent="0.25">
      <c r="A53585"/>
      <c r="B53585"/>
      <c r="C53585"/>
      <c r="E53585"/>
      <c r="F53585"/>
    </row>
    <row r="53586" spans="1:6" x14ac:dyDescent="0.25">
      <c r="A53586"/>
      <c r="B53586"/>
      <c r="C53586"/>
      <c r="E53586"/>
      <c r="F53586"/>
    </row>
    <row r="53587" spans="1:6" x14ac:dyDescent="0.25">
      <c r="A53587"/>
      <c r="B53587"/>
      <c r="C53587"/>
      <c r="E53587"/>
      <c r="F53587"/>
    </row>
    <row r="53588" spans="1:6" x14ac:dyDescent="0.25">
      <c r="A53588"/>
      <c r="B53588"/>
      <c r="C53588"/>
      <c r="E53588"/>
      <c r="F53588"/>
    </row>
    <row r="53589" spans="1:6" x14ac:dyDescent="0.25">
      <c r="A53589"/>
      <c r="B53589"/>
      <c r="C53589"/>
      <c r="E53589"/>
      <c r="F53589"/>
    </row>
    <row r="53590" spans="1:6" x14ac:dyDescent="0.25">
      <c r="A53590"/>
      <c r="B53590"/>
      <c r="C53590"/>
      <c r="E53590"/>
      <c r="F53590"/>
    </row>
    <row r="53591" spans="1:6" x14ac:dyDescent="0.25">
      <c r="A53591"/>
      <c r="B53591"/>
      <c r="C53591"/>
      <c r="E53591"/>
      <c r="F53591"/>
    </row>
    <row r="53592" spans="1:6" x14ac:dyDescent="0.25">
      <c r="A53592"/>
      <c r="B53592"/>
      <c r="C53592"/>
      <c r="E53592"/>
      <c r="F53592"/>
    </row>
    <row r="53593" spans="1:6" x14ac:dyDescent="0.25">
      <c r="A53593"/>
      <c r="B53593"/>
      <c r="C53593"/>
      <c r="E53593"/>
      <c r="F53593"/>
    </row>
    <row r="53594" spans="1:6" x14ac:dyDescent="0.25">
      <c r="A53594"/>
      <c r="B53594"/>
      <c r="C53594"/>
      <c r="E53594"/>
      <c r="F53594"/>
    </row>
    <row r="53595" spans="1:6" x14ac:dyDescent="0.25">
      <c r="A53595"/>
      <c r="B53595"/>
      <c r="C53595"/>
      <c r="E53595"/>
      <c r="F53595"/>
    </row>
    <row r="53596" spans="1:6" x14ac:dyDescent="0.25">
      <c r="A53596"/>
      <c r="B53596"/>
      <c r="C53596"/>
      <c r="E53596"/>
      <c r="F53596"/>
    </row>
    <row r="53597" spans="1:6" x14ac:dyDescent="0.25">
      <c r="A53597"/>
      <c r="B53597"/>
      <c r="C53597"/>
      <c r="E53597"/>
      <c r="F53597"/>
    </row>
    <row r="53598" spans="1:6" x14ac:dyDescent="0.25">
      <c r="A53598"/>
      <c r="B53598"/>
      <c r="C53598"/>
      <c r="E53598"/>
      <c r="F53598"/>
    </row>
    <row r="53599" spans="1:6" x14ac:dyDescent="0.25">
      <c r="A53599"/>
      <c r="B53599"/>
      <c r="C53599"/>
      <c r="E53599"/>
      <c r="F53599"/>
    </row>
    <row r="53600" spans="1:6" x14ac:dyDescent="0.25">
      <c r="A53600"/>
      <c r="B53600"/>
      <c r="C53600"/>
      <c r="E53600"/>
      <c r="F53600"/>
    </row>
    <row r="53601" spans="1:6" x14ac:dyDescent="0.25">
      <c r="A53601"/>
      <c r="B53601"/>
      <c r="C53601"/>
      <c r="E53601"/>
      <c r="F53601"/>
    </row>
    <row r="53602" spans="1:6" x14ac:dyDescent="0.25">
      <c r="A53602"/>
      <c r="B53602"/>
      <c r="C53602"/>
      <c r="E53602"/>
      <c r="F53602"/>
    </row>
    <row r="53603" spans="1:6" x14ac:dyDescent="0.25">
      <c r="A53603"/>
      <c r="B53603"/>
      <c r="C53603"/>
      <c r="E53603"/>
      <c r="F53603"/>
    </row>
    <row r="53604" spans="1:6" x14ac:dyDescent="0.25">
      <c r="A53604"/>
      <c r="B53604"/>
      <c r="C53604"/>
      <c r="E53604"/>
      <c r="F53604"/>
    </row>
    <row r="53605" spans="1:6" x14ac:dyDescent="0.25">
      <c r="A53605"/>
      <c r="B53605"/>
      <c r="C53605"/>
      <c r="E53605"/>
      <c r="F53605"/>
    </row>
    <row r="53606" spans="1:6" x14ac:dyDescent="0.25">
      <c r="A53606"/>
      <c r="B53606"/>
      <c r="C53606"/>
      <c r="E53606"/>
      <c r="F53606"/>
    </row>
    <row r="53607" spans="1:6" x14ac:dyDescent="0.25">
      <c r="A53607"/>
      <c r="B53607"/>
      <c r="C53607"/>
      <c r="E53607"/>
      <c r="F53607"/>
    </row>
    <row r="53608" spans="1:6" x14ac:dyDescent="0.25">
      <c r="A53608"/>
      <c r="B53608"/>
      <c r="C53608"/>
      <c r="E53608"/>
      <c r="F53608"/>
    </row>
    <row r="53609" spans="1:6" x14ac:dyDescent="0.25">
      <c r="A53609"/>
      <c r="B53609"/>
      <c r="C53609"/>
      <c r="E53609"/>
      <c r="F53609"/>
    </row>
    <row r="53610" spans="1:6" x14ac:dyDescent="0.25">
      <c r="A53610"/>
      <c r="B53610"/>
      <c r="C53610"/>
      <c r="E53610"/>
      <c r="F53610"/>
    </row>
    <row r="53611" spans="1:6" x14ac:dyDescent="0.25">
      <c r="A53611"/>
      <c r="B53611"/>
      <c r="C53611"/>
      <c r="E53611"/>
      <c r="F53611"/>
    </row>
    <row r="53612" spans="1:6" x14ac:dyDescent="0.25">
      <c r="A53612"/>
      <c r="B53612"/>
      <c r="C53612"/>
      <c r="E53612"/>
      <c r="F53612"/>
    </row>
    <row r="53613" spans="1:6" x14ac:dyDescent="0.25">
      <c r="A53613"/>
      <c r="B53613"/>
      <c r="C53613"/>
      <c r="E53613"/>
      <c r="F53613"/>
    </row>
    <row r="53614" spans="1:6" x14ac:dyDescent="0.25">
      <c r="A53614"/>
      <c r="B53614"/>
      <c r="C53614"/>
      <c r="E53614"/>
      <c r="F53614"/>
    </row>
    <row r="53615" spans="1:6" x14ac:dyDescent="0.25">
      <c r="A53615"/>
      <c r="B53615"/>
      <c r="C53615"/>
      <c r="E53615"/>
      <c r="F53615"/>
    </row>
    <row r="53616" spans="1:6" x14ac:dyDescent="0.25">
      <c r="A53616"/>
      <c r="B53616"/>
      <c r="C53616"/>
      <c r="E53616"/>
      <c r="F53616"/>
    </row>
    <row r="53617" spans="1:6" x14ac:dyDescent="0.25">
      <c r="A53617"/>
      <c r="B53617"/>
      <c r="C53617"/>
      <c r="E53617"/>
      <c r="F53617"/>
    </row>
    <row r="53618" spans="1:6" x14ac:dyDescent="0.25">
      <c r="A53618"/>
      <c r="B53618"/>
      <c r="C53618"/>
      <c r="E53618"/>
      <c r="F53618"/>
    </row>
    <row r="53619" spans="1:6" x14ac:dyDescent="0.25">
      <c r="A53619"/>
      <c r="B53619"/>
      <c r="C53619"/>
      <c r="E53619"/>
      <c r="F53619"/>
    </row>
    <row r="53620" spans="1:6" x14ac:dyDescent="0.25">
      <c r="A53620"/>
      <c r="B53620"/>
      <c r="C53620"/>
      <c r="E53620"/>
      <c r="F53620"/>
    </row>
    <row r="53621" spans="1:6" x14ac:dyDescent="0.25">
      <c r="A53621"/>
      <c r="B53621"/>
      <c r="C53621"/>
      <c r="E53621"/>
      <c r="F53621"/>
    </row>
    <row r="53622" spans="1:6" x14ac:dyDescent="0.25">
      <c r="A53622"/>
      <c r="B53622"/>
      <c r="C53622"/>
      <c r="E53622"/>
      <c r="F53622"/>
    </row>
    <row r="53623" spans="1:6" x14ac:dyDescent="0.25">
      <c r="A53623"/>
      <c r="B53623"/>
      <c r="C53623"/>
      <c r="E53623"/>
      <c r="F53623"/>
    </row>
    <row r="53624" spans="1:6" x14ac:dyDescent="0.25">
      <c r="A53624"/>
      <c r="B53624"/>
      <c r="C53624"/>
      <c r="E53624"/>
      <c r="F53624"/>
    </row>
    <row r="53625" spans="1:6" x14ac:dyDescent="0.25">
      <c r="A53625"/>
      <c r="B53625"/>
      <c r="C53625"/>
      <c r="E53625"/>
      <c r="F53625"/>
    </row>
    <row r="53626" spans="1:6" x14ac:dyDescent="0.25">
      <c r="A53626"/>
      <c r="B53626"/>
      <c r="C53626"/>
      <c r="E53626"/>
      <c r="F53626"/>
    </row>
    <row r="53627" spans="1:6" x14ac:dyDescent="0.25">
      <c r="A53627"/>
      <c r="B53627"/>
      <c r="C53627"/>
      <c r="E53627"/>
      <c r="F53627"/>
    </row>
    <row r="53628" spans="1:6" x14ac:dyDescent="0.25">
      <c r="A53628"/>
      <c r="B53628"/>
      <c r="C53628"/>
      <c r="E53628"/>
      <c r="F53628"/>
    </row>
    <row r="53629" spans="1:6" x14ac:dyDescent="0.25">
      <c r="A53629"/>
      <c r="B53629"/>
      <c r="C53629"/>
      <c r="E53629"/>
      <c r="F53629"/>
    </row>
    <row r="53630" spans="1:6" x14ac:dyDescent="0.25">
      <c r="A53630"/>
      <c r="B53630"/>
      <c r="C53630"/>
      <c r="E53630"/>
      <c r="F53630"/>
    </row>
    <row r="53631" spans="1:6" x14ac:dyDescent="0.25">
      <c r="A53631"/>
      <c r="B53631"/>
      <c r="C53631"/>
      <c r="E53631"/>
      <c r="F53631"/>
    </row>
    <row r="53632" spans="1:6" x14ac:dyDescent="0.25">
      <c r="A53632"/>
      <c r="B53632"/>
      <c r="C53632"/>
      <c r="E53632"/>
      <c r="F53632"/>
    </row>
    <row r="53633" spans="1:6" x14ac:dyDescent="0.25">
      <c r="A53633"/>
      <c r="B53633"/>
      <c r="C53633"/>
      <c r="E53633"/>
      <c r="F53633"/>
    </row>
    <row r="53634" spans="1:6" x14ac:dyDescent="0.25">
      <c r="A53634"/>
      <c r="B53634"/>
      <c r="C53634"/>
      <c r="E53634"/>
      <c r="F53634"/>
    </row>
    <row r="53635" spans="1:6" x14ac:dyDescent="0.25">
      <c r="A53635"/>
      <c r="B53635"/>
      <c r="C53635"/>
      <c r="E53635"/>
      <c r="F53635"/>
    </row>
    <row r="53636" spans="1:6" x14ac:dyDescent="0.25">
      <c r="A53636"/>
      <c r="B53636"/>
      <c r="C53636"/>
      <c r="E53636"/>
      <c r="F53636"/>
    </row>
    <row r="53637" spans="1:6" x14ac:dyDescent="0.25">
      <c r="A53637"/>
      <c r="B53637"/>
      <c r="C53637"/>
      <c r="E53637"/>
      <c r="F53637"/>
    </row>
    <row r="53638" spans="1:6" x14ac:dyDescent="0.25">
      <c r="A53638"/>
      <c r="B53638"/>
      <c r="C53638"/>
      <c r="E53638"/>
      <c r="F53638"/>
    </row>
    <row r="53639" spans="1:6" x14ac:dyDescent="0.25">
      <c r="A53639"/>
      <c r="B53639"/>
      <c r="C53639"/>
      <c r="E53639"/>
      <c r="F53639"/>
    </row>
    <row r="53640" spans="1:6" x14ac:dyDescent="0.25">
      <c r="A53640"/>
      <c r="B53640"/>
      <c r="C53640"/>
      <c r="E53640"/>
      <c r="F53640"/>
    </row>
    <row r="53641" spans="1:6" x14ac:dyDescent="0.25">
      <c r="A53641"/>
      <c r="B53641"/>
      <c r="C53641"/>
      <c r="E53641"/>
      <c r="F53641"/>
    </row>
    <row r="53642" spans="1:6" x14ac:dyDescent="0.25">
      <c r="A53642"/>
      <c r="B53642"/>
      <c r="C53642"/>
      <c r="E53642"/>
      <c r="F53642"/>
    </row>
    <row r="53643" spans="1:6" x14ac:dyDescent="0.25">
      <c r="A53643"/>
      <c r="B53643"/>
      <c r="C53643"/>
      <c r="E53643"/>
      <c r="F53643"/>
    </row>
    <row r="53644" spans="1:6" x14ac:dyDescent="0.25">
      <c r="A53644"/>
      <c r="B53644"/>
      <c r="C53644"/>
      <c r="E53644"/>
      <c r="F53644"/>
    </row>
    <row r="53645" spans="1:6" x14ac:dyDescent="0.25">
      <c r="A53645"/>
      <c r="B53645"/>
      <c r="C53645"/>
      <c r="E53645"/>
      <c r="F53645"/>
    </row>
    <row r="53646" spans="1:6" x14ac:dyDescent="0.25">
      <c r="A53646"/>
      <c r="B53646"/>
      <c r="C53646"/>
      <c r="E53646"/>
      <c r="F53646"/>
    </row>
    <row r="53647" spans="1:6" x14ac:dyDescent="0.25">
      <c r="A53647"/>
      <c r="B53647"/>
      <c r="C53647"/>
      <c r="E53647"/>
      <c r="F53647"/>
    </row>
    <row r="53648" spans="1:6" x14ac:dyDescent="0.25">
      <c r="A53648"/>
      <c r="B53648"/>
      <c r="C53648"/>
      <c r="E53648"/>
      <c r="F53648"/>
    </row>
    <row r="53649" spans="1:6" x14ac:dyDescent="0.25">
      <c r="A53649"/>
      <c r="B53649"/>
      <c r="C53649"/>
      <c r="E53649"/>
      <c r="F53649"/>
    </row>
    <row r="53650" spans="1:6" x14ac:dyDescent="0.25">
      <c r="A53650"/>
      <c r="B53650"/>
      <c r="C53650"/>
      <c r="E53650"/>
      <c r="F53650"/>
    </row>
    <row r="53651" spans="1:6" x14ac:dyDescent="0.25">
      <c r="A53651"/>
      <c r="B53651"/>
      <c r="C53651"/>
      <c r="E53651"/>
      <c r="F53651"/>
    </row>
    <row r="53652" spans="1:6" x14ac:dyDescent="0.25">
      <c r="A53652"/>
      <c r="B53652"/>
      <c r="C53652"/>
      <c r="E53652"/>
      <c r="F53652"/>
    </row>
    <row r="53653" spans="1:6" x14ac:dyDescent="0.25">
      <c r="A53653"/>
      <c r="B53653"/>
      <c r="C53653"/>
      <c r="E53653"/>
      <c r="F53653"/>
    </row>
    <row r="53654" spans="1:6" x14ac:dyDescent="0.25">
      <c r="A53654"/>
      <c r="B53654"/>
      <c r="C53654"/>
      <c r="E53654"/>
      <c r="F53654"/>
    </row>
    <row r="53655" spans="1:6" x14ac:dyDescent="0.25">
      <c r="A53655"/>
      <c r="B53655"/>
      <c r="C53655"/>
      <c r="E53655"/>
      <c r="F53655"/>
    </row>
    <row r="53656" spans="1:6" x14ac:dyDescent="0.25">
      <c r="A53656"/>
      <c r="B53656"/>
      <c r="C53656"/>
      <c r="E53656"/>
      <c r="F53656"/>
    </row>
    <row r="53657" spans="1:6" x14ac:dyDescent="0.25">
      <c r="A53657"/>
      <c r="B53657"/>
      <c r="C53657"/>
      <c r="E53657"/>
      <c r="F53657"/>
    </row>
    <row r="53658" spans="1:6" x14ac:dyDescent="0.25">
      <c r="A53658"/>
      <c r="B53658"/>
      <c r="C53658"/>
      <c r="E53658"/>
      <c r="F53658"/>
    </row>
    <row r="53659" spans="1:6" x14ac:dyDescent="0.25">
      <c r="A53659"/>
      <c r="B53659"/>
      <c r="C53659"/>
      <c r="E53659"/>
      <c r="F53659"/>
    </row>
    <row r="53660" spans="1:6" x14ac:dyDescent="0.25">
      <c r="A53660"/>
      <c r="B53660"/>
      <c r="C53660"/>
      <c r="E53660"/>
      <c r="F53660"/>
    </row>
    <row r="53661" spans="1:6" x14ac:dyDescent="0.25">
      <c r="A53661"/>
      <c r="B53661"/>
      <c r="C53661"/>
      <c r="E53661"/>
      <c r="F53661"/>
    </row>
    <row r="53662" spans="1:6" x14ac:dyDescent="0.25">
      <c r="A53662"/>
      <c r="B53662"/>
      <c r="C53662"/>
      <c r="E53662"/>
      <c r="F53662"/>
    </row>
    <row r="53663" spans="1:6" x14ac:dyDescent="0.25">
      <c r="A53663"/>
      <c r="B53663"/>
      <c r="C53663"/>
      <c r="E53663"/>
      <c r="F53663"/>
    </row>
    <row r="53664" spans="1:6" x14ac:dyDescent="0.25">
      <c r="A53664"/>
      <c r="B53664"/>
      <c r="C53664"/>
      <c r="E53664"/>
      <c r="F53664"/>
    </row>
    <row r="53665" spans="1:6" x14ac:dyDescent="0.25">
      <c r="A53665"/>
      <c r="B53665"/>
      <c r="C53665"/>
      <c r="E53665"/>
      <c r="F53665"/>
    </row>
    <row r="53666" spans="1:6" x14ac:dyDescent="0.25">
      <c r="A53666"/>
      <c r="B53666"/>
      <c r="C53666"/>
      <c r="E53666"/>
      <c r="F53666"/>
    </row>
    <row r="53667" spans="1:6" x14ac:dyDescent="0.25">
      <c r="A53667"/>
      <c r="B53667"/>
      <c r="C53667"/>
      <c r="E53667"/>
      <c r="F53667"/>
    </row>
    <row r="53668" spans="1:6" x14ac:dyDescent="0.25">
      <c r="A53668"/>
      <c r="B53668"/>
      <c r="C53668"/>
      <c r="E53668"/>
      <c r="F53668"/>
    </row>
    <row r="53669" spans="1:6" x14ac:dyDescent="0.25">
      <c r="A53669"/>
      <c r="B53669"/>
      <c r="C53669"/>
      <c r="E53669"/>
      <c r="F53669"/>
    </row>
    <row r="53670" spans="1:6" x14ac:dyDescent="0.25">
      <c r="A53670"/>
      <c r="B53670"/>
      <c r="C53670"/>
      <c r="E53670"/>
      <c r="F53670"/>
    </row>
    <row r="53671" spans="1:6" x14ac:dyDescent="0.25">
      <c r="A53671"/>
      <c r="B53671"/>
      <c r="C53671"/>
      <c r="E53671"/>
      <c r="F53671"/>
    </row>
    <row r="53672" spans="1:6" x14ac:dyDescent="0.25">
      <c r="A53672"/>
      <c r="B53672"/>
      <c r="C53672"/>
      <c r="E53672"/>
      <c r="F53672"/>
    </row>
    <row r="53673" spans="1:6" x14ac:dyDescent="0.25">
      <c r="A53673"/>
      <c r="B53673"/>
      <c r="C53673"/>
      <c r="E53673"/>
      <c r="F53673"/>
    </row>
    <row r="53674" spans="1:6" x14ac:dyDescent="0.25">
      <c r="A53674"/>
      <c r="B53674"/>
      <c r="C53674"/>
      <c r="E53674"/>
      <c r="F53674"/>
    </row>
    <row r="53675" spans="1:6" x14ac:dyDescent="0.25">
      <c r="A53675"/>
      <c r="B53675"/>
      <c r="C53675"/>
      <c r="E53675"/>
      <c r="F53675"/>
    </row>
    <row r="53676" spans="1:6" x14ac:dyDescent="0.25">
      <c r="A53676"/>
      <c r="B53676"/>
      <c r="C53676"/>
      <c r="E53676"/>
      <c r="F53676"/>
    </row>
    <row r="53677" spans="1:6" x14ac:dyDescent="0.25">
      <c r="A53677"/>
      <c r="B53677"/>
      <c r="C53677"/>
      <c r="E53677"/>
      <c r="F53677"/>
    </row>
    <row r="53678" spans="1:6" x14ac:dyDescent="0.25">
      <c r="A53678"/>
      <c r="B53678"/>
      <c r="C53678"/>
      <c r="E53678"/>
      <c r="F53678"/>
    </row>
    <row r="53679" spans="1:6" x14ac:dyDescent="0.25">
      <c r="A53679"/>
      <c r="B53679"/>
      <c r="C53679"/>
      <c r="E53679"/>
      <c r="F53679"/>
    </row>
    <row r="53680" spans="1:6" x14ac:dyDescent="0.25">
      <c r="A53680"/>
      <c r="B53680"/>
      <c r="C53680"/>
      <c r="E53680"/>
      <c r="F53680"/>
    </row>
    <row r="53681" spans="1:6" x14ac:dyDescent="0.25">
      <c r="A53681"/>
      <c r="B53681"/>
      <c r="C53681"/>
      <c r="E53681"/>
      <c r="F53681"/>
    </row>
    <row r="53682" spans="1:6" x14ac:dyDescent="0.25">
      <c r="A53682"/>
      <c r="B53682"/>
      <c r="C53682"/>
      <c r="E53682"/>
      <c r="F53682"/>
    </row>
    <row r="53683" spans="1:6" x14ac:dyDescent="0.25">
      <c r="A53683"/>
      <c r="B53683"/>
      <c r="C53683"/>
      <c r="E53683"/>
      <c r="F53683"/>
    </row>
    <row r="53684" spans="1:6" x14ac:dyDescent="0.25">
      <c r="A53684"/>
      <c r="B53684"/>
      <c r="C53684"/>
      <c r="E53684"/>
      <c r="F53684"/>
    </row>
    <row r="53685" spans="1:6" x14ac:dyDescent="0.25">
      <c r="A53685"/>
      <c r="B53685"/>
      <c r="C53685"/>
      <c r="E53685"/>
      <c r="F53685"/>
    </row>
    <row r="53686" spans="1:6" x14ac:dyDescent="0.25">
      <c r="A53686"/>
      <c r="B53686"/>
      <c r="C53686"/>
      <c r="E53686"/>
      <c r="F53686"/>
    </row>
    <row r="53687" spans="1:6" x14ac:dyDescent="0.25">
      <c r="A53687"/>
      <c r="B53687"/>
      <c r="C53687"/>
      <c r="E53687"/>
      <c r="F53687"/>
    </row>
    <row r="53688" spans="1:6" x14ac:dyDescent="0.25">
      <c r="A53688"/>
      <c r="B53688"/>
      <c r="C53688"/>
      <c r="E53688"/>
      <c r="F53688"/>
    </row>
    <row r="53689" spans="1:6" x14ac:dyDescent="0.25">
      <c r="A53689"/>
      <c r="B53689"/>
      <c r="C53689"/>
      <c r="E53689"/>
      <c r="F53689"/>
    </row>
    <row r="53690" spans="1:6" x14ac:dyDescent="0.25">
      <c r="A53690"/>
      <c r="B53690"/>
      <c r="C53690"/>
      <c r="E53690"/>
      <c r="F53690"/>
    </row>
    <row r="53691" spans="1:6" x14ac:dyDescent="0.25">
      <c r="A53691"/>
      <c r="B53691"/>
      <c r="C53691"/>
      <c r="E53691"/>
      <c r="F53691"/>
    </row>
    <row r="53692" spans="1:6" x14ac:dyDescent="0.25">
      <c r="A53692"/>
      <c r="B53692"/>
      <c r="C53692"/>
      <c r="E53692"/>
      <c r="F53692"/>
    </row>
    <row r="53693" spans="1:6" x14ac:dyDescent="0.25">
      <c r="A53693"/>
      <c r="B53693"/>
      <c r="C53693"/>
      <c r="E53693"/>
      <c r="F53693"/>
    </row>
    <row r="53694" spans="1:6" x14ac:dyDescent="0.25">
      <c r="A53694"/>
      <c r="B53694"/>
      <c r="C53694"/>
      <c r="E53694"/>
      <c r="F53694"/>
    </row>
    <row r="53695" spans="1:6" x14ac:dyDescent="0.25">
      <c r="A53695"/>
      <c r="B53695"/>
      <c r="C53695"/>
      <c r="E53695"/>
      <c r="F53695"/>
    </row>
    <row r="53696" spans="1:6" x14ac:dyDescent="0.25">
      <c r="A53696"/>
      <c r="B53696"/>
      <c r="C53696"/>
      <c r="E53696"/>
      <c r="F53696"/>
    </row>
    <row r="53697" spans="1:6" x14ac:dyDescent="0.25">
      <c r="A53697"/>
      <c r="B53697"/>
      <c r="C53697"/>
      <c r="E53697"/>
      <c r="F53697"/>
    </row>
    <row r="53698" spans="1:6" x14ac:dyDescent="0.25">
      <c r="A53698"/>
      <c r="B53698"/>
      <c r="C53698"/>
      <c r="E53698"/>
      <c r="F53698"/>
    </row>
    <row r="53699" spans="1:6" x14ac:dyDescent="0.25">
      <c r="A53699"/>
      <c r="B53699"/>
      <c r="C53699"/>
      <c r="E53699"/>
      <c r="F53699"/>
    </row>
    <row r="53700" spans="1:6" x14ac:dyDescent="0.25">
      <c r="A53700"/>
      <c r="B53700"/>
      <c r="C53700"/>
      <c r="E53700"/>
      <c r="F53700"/>
    </row>
    <row r="53701" spans="1:6" x14ac:dyDescent="0.25">
      <c r="A53701"/>
      <c r="B53701"/>
      <c r="C53701"/>
      <c r="E53701"/>
      <c r="F53701"/>
    </row>
    <row r="53702" spans="1:6" x14ac:dyDescent="0.25">
      <c r="A53702"/>
      <c r="B53702"/>
      <c r="C53702"/>
      <c r="E53702"/>
      <c r="F53702"/>
    </row>
    <row r="53703" spans="1:6" x14ac:dyDescent="0.25">
      <c r="A53703"/>
      <c r="B53703"/>
      <c r="C53703"/>
      <c r="E53703"/>
      <c r="F53703"/>
    </row>
    <row r="53704" spans="1:6" x14ac:dyDescent="0.25">
      <c r="A53704"/>
      <c r="B53704"/>
      <c r="C53704"/>
      <c r="E53704"/>
      <c r="F53704"/>
    </row>
    <row r="53705" spans="1:6" x14ac:dyDescent="0.25">
      <c r="A53705"/>
      <c r="B53705"/>
      <c r="C53705"/>
      <c r="E53705"/>
      <c r="F53705"/>
    </row>
    <row r="53706" spans="1:6" x14ac:dyDescent="0.25">
      <c r="A53706"/>
      <c r="B53706"/>
      <c r="C53706"/>
      <c r="E53706"/>
      <c r="F53706"/>
    </row>
    <row r="53707" spans="1:6" x14ac:dyDescent="0.25">
      <c r="A53707"/>
      <c r="B53707"/>
      <c r="C53707"/>
      <c r="E53707"/>
      <c r="F53707"/>
    </row>
    <row r="53708" spans="1:6" x14ac:dyDescent="0.25">
      <c r="A53708"/>
      <c r="B53708"/>
      <c r="C53708"/>
      <c r="E53708"/>
      <c r="F53708"/>
    </row>
    <row r="53709" spans="1:6" x14ac:dyDescent="0.25">
      <c r="A53709"/>
      <c r="B53709"/>
      <c r="C53709"/>
      <c r="E53709"/>
      <c r="F53709"/>
    </row>
    <row r="53710" spans="1:6" x14ac:dyDescent="0.25">
      <c r="A53710"/>
      <c r="B53710"/>
      <c r="C53710"/>
      <c r="E53710"/>
      <c r="F53710"/>
    </row>
    <row r="53711" spans="1:6" x14ac:dyDescent="0.25">
      <c r="A53711"/>
      <c r="B53711"/>
      <c r="C53711"/>
      <c r="E53711"/>
      <c r="F53711"/>
    </row>
    <row r="53712" spans="1:6" x14ac:dyDescent="0.25">
      <c r="A53712"/>
      <c r="B53712"/>
      <c r="C53712"/>
      <c r="E53712"/>
      <c r="F53712"/>
    </row>
    <row r="53713" spans="1:6" x14ac:dyDescent="0.25">
      <c r="A53713"/>
      <c r="B53713"/>
      <c r="C53713"/>
      <c r="E53713"/>
      <c r="F53713"/>
    </row>
    <row r="53714" spans="1:6" x14ac:dyDescent="0.25">
      <c r="A53714"/>
      <c r="B53714"/>
      <c r="C53714"/>
      <c r="E53714"/>
      <c r="F53714"/>
    </row>
    <row r="53715" spans="1:6" x14ac:dyDescent="0.25">
      <c r="A53715"/>
      <c r="B53715"/>
      <c r="C53715"/>
      <c r="E53715"/>
      <c r="F53715"/>
    </row>
    <row r="53716" spans="1:6" x14ac:dyDescent="0.25">
      <c r="A53716"/>
      <c r="B53716"/>
      <c r="C53716"/>
      <c r="E53716"/>
      <c r="F53716"/>
    </row>
    <row r="53717" spans="1:6" x14ac:dyDescent="0.25">
      <c r="A53717"/>
      <c r="B53717"/>
      <c r="C53717"/>
      <c r="E53717"/>
      <c r="F53717"/>
    </row>
    <row r="53718" spans="1:6" x14ac:dyDescent="0.25">
      <c r="A53718"/>
      <c r="B53718"/>
      <c r="C53718"/>
      <c r="E53718"/>
      <c r="F53718"/>
    </row>
    <row r="53719" spans="1:6" x14ac:dyDescent="0.25">
      <c r="A53719"/>
      <c r="B53719"/>
      <c r="C53719"/>
      <c r="E53719"/>
      <c r="F53719"/>
    </row>
    <row r="53720" spans="1:6" x14ac:dyDescent="0.25">
      <c r="A53720"/>
      <c r="B53720"/>
      <c r="C53720"/>
      <c r="E53720"/>
      <c r="F53720"/>
    </row>
    <row r="53721" spans="1:6" x14ac:dyDescent="0.25">
      <c r="A53721"/>
      <c r="B53721"/>
      <c r="C53721"/>
      <c r="E53721"/>
      <c r="F53721"/>
    </row>
    <row r="53722" spans="1:6" x14ac:dyDescent="0.25">
      <c r="A53722"/>
      <c r="B53722"/>
      <c r="C53722"/>
      <c r="E53722"/>
      <c r="F53722"/>
    </row>
    <row r="53723" spans="1:6" x14ac:dyDescent="0.25">
      <c r="A53723"/>
      <c r="B53723"/>
      <c r="C53723"/>
      <c r="E53723"/>
      <c r="F53723"/>
    </row>
    <row r="53724" spans="1:6" x14ac:dyDescent="0.25">
      <c r="A53724"/>
      <c r="B53724"/>
      <c r="C53724"/>
      <c r="E53724"/>
      <c r="F53724"/>
    </row>
    <row r="53725" spans="1:6" x14ac:dyDescent="0.25">
      <c r="A53725"/>
      <c r="B53725"/>
      <c r="C53725"/>
      <c r="E53725"/>
      <c r="F53725"/>
    </row>
    <row r="53726" spans="1:6" x14ac:dyDescent="0.25">
      <c r="A53726"/>
      <c r="B53726"/>
      <c r="C53726"/>
      <c r="E53726"/>
      <c r="F53726"/>
    </row>
    <row r="53727" spans="1:6" x14ac:dyDescent="0.25">
      <c r="A53727"/>
      <c r="B53727"/>
      <c r="C53727"/>
      <c r="E53727"/>
      <c r="F53727"/>
    </row>
    <row r="53728" spans="1:6" x14ac:dyDescent="0.25">
      <c r="A53728"/>
      <c r="B53728"/>
      <c r="C53728"/>
      <c r="E53728"/>
      <c r="F53728"/>
    </row>
    <row r="53729" spans="1:6" x14ac:dyDescent="0.25">
      <c r="A53729"/>
      <c r="B53729"/>
      <c r="C53729"/>
      <c r="E53729"/>
      <c r="F53729"/>
    </row>
    <row r="53730" spans="1:6" x14ac:dyDescent="0.25">
      <c r="A53730"/>
      <c r="B53730"/>
      <c r="C53730"/>
      <c r="E53730"/>
      <c r="F53730"/>
    </row>
    <row r="53731" spans="1:6" x14ac:dyDescent="0.25">
      <c r="A53731"/>
      <c r="B53731"/>
      <c r="C53731"/>
      <c r="E53731"/>
      <c r="F53731"/>
    </row>
    <row r="53732" spans="1:6" x14ac:dyDescent="0.25">
      <c r="A53732"/>
      <c r="B53732"/>
      <c r="C53732"/>
      <c r="E53732"/>
      <c r="F53732"/>
    </row>
    <row r="53733" spans="1:6" x14ac:dyDescent="0.25">
      <c r="A53733"/>
      <c r="B53733"/>
      <c r="C53733"/>
      <c r="E53733"/>
      <c r="F53733"/>
    </row>
    <row r="53734" spans="1:6" x14ac:dyDescent="0.25">
      <c r="A53734"/>
      <c r="B53734"/>
      <c r="C53734"/>
      <c r="E53734"/>
      <c r="F53734"/>
    </row>
    <row r="53735" spans="1:6" x14ac:dyDescent="0.25">
      <c r="A53735"/>
      <c r="B53735"/>
      <c r="C53735"/>
      <c r="E53735"/>
      <c r="F53735"/>
    </row>
    <row r="53736" spans="1:6" x14ac:dyDescent="0.25">
      <c r="A53736"/>
      <c r="B53736"/>
      <c r="C53736"/>
      <c r="E53736"/>
      <c r="F53736"/>
    </row>
    <row r="53737" spans="1:6" x14ac:dyDescent="0.25">
      <c r="A53737"/>
      <c r="B53737"/>
      <c r="C53737"/>
      <c r="E53737"/>
      <c r="F53737"/>
    </row>
    <row r="53738" spans="1:6" x14ac:dyDescent="0.25">
      <c r="A53738"/>
      <c r="B53738"/>
      <c r="C53738"/>
      <c r="E53738"/>
      <c r="F53738"/>
    </row>
    <row r="53739" spans="1:6" x14ac:dyDescent="0.25">
      <c r="A53739"/>
      <c r="B53739"/>
      <c r="C53739"/>
      <c r="E53739"/>
      <c r="F53739"/>
    </row>
    <row r="53740" spans="1:6" x14ac:dyDescent="0.25">
      <c r="A53740"/>
      <c r="B53740"/>
      <c r="C53740"/>
      <c r="E53740"/>
      <c r="F53740"/>
    </row>
    <row r="53741" spans="1:6" x14ac:dyDescent="0.25">
      <c r="A53741"/>
      <c r="B53741"/>
      <c r="C53741"/>
      <c r="E53741"/>
      <c r="F53741"/>
    </row>
    <row r="53742" spans="1:6" x14ac:dyDescent="0.25">
      <c r="A53742"/>
      <c r="B53742"/>
      <c r="C53742"/>
      <c r="E53742"/>
      <c r="F53742"/>
    </row>
    <row r="53743" spans="1:6" x14ac:dyDescent="0.25">
      <c r="A53743"/>
      <c r="B53743"/>
      <c r="C53743"/>
      <c r="E53743"/>
      <c r="F53743"/>
    </row>
    <row r="53744" spans="1:6" x14ac:dyDescent="0.25">
      <c r="A53744"/>
      <c r="B53744"/>
      <c r="C53744"/>
      <c r="E53744"/>
      <c r="F53744"/>
    </row>
    <row r="53745" spans="1:6" x14ac:dyDescent="0.25">
      <c r="A53745"/>
      <c r="B53745"/>
      <c r="C53745"/>
      <c r="E53745"/>
      <c r="F53745"/>
    </row>
    <row r="53746" spans="1:6" x14ac:dyDescent="0.25">
      <c r="A53746"/>
      <c r="B53746"/>
      <c r="C53746"/>
      <c r="E53746"/>
      <c r="F53746"/>
    </row>
    <row r="53747" spans="1:6" x14ac:dyDescent="0.25">
      <c r="A53747"/>
      <c r="B53747"/>
      <c r="C53747"/>
      <c r="E53747"/>
      <c r="F53747"/>
    </row>
    <row r="53748" spans="1:6" x14ac:dyDescent="0.25">
      <c r="A53748"/>
      <c r="B53748"/>
      <c r="C53748"/>
      <c r="E53748"/>
      <c r="F53748"/>
    </row>
    <row r="53749" spans="1:6" x14ac:dyDescent="0.25">
      <c r="A53749"/>
      <c r="B53749"/>
      <c r="C53749"/>
      <c r="E53749"/>
      <c r="F53749"/>
    </row>
    <row r="53750" spans="1:6" x14ac:dyDescent="0.25">
      <c r="A53750"/>
      <c r="B53750"/>
      <c r="C53750"/>
      <c r="E53750"/>
      <c r="F53750"/>
    </row>
    <row r="53751" spans="1:6" x14ac:dyDescent="0.25">
      <c r="A53751"/>
      <c r="B53751"/>
      <c r="C53751"/>
      <c r="E53751"/>
      <c r="F53751"/>
    </row>
    <row r="53752" spans="1:6" x14ac:dyDescent="0.25">
      <c r="A53752"/>
      <c r="B53752"/>
      <c r="C53752"/>
      <c r="E53752"/>
      <c r="F53752"/>
    </row>
    <row r="53753" spans="1:6" x14ac:dyDescent="0.25">
      <c r="A53753"/>
      <c r="B53753"/>
      <c r="C53753"/>
      <c r="E53753"/>
      <c r="F53753"/>
    </row>
    <row r="53754" spans="1:6" x14ac:dyDescent="0.25">
      <c r="A53754"/>
      <c r="B53754"/>
      <c r="C53754"/>
      <c r="E53754"/>
      <c r="F53754"/>
    </row>
    <row r="53755" spans="1:6" x14ac:dyDescent="0.25">
      <c r="A53755"/>
      <c r="B53755"/>
      <c r="C53755"/>
      <c r="E53755"/>
      <c r="F53755"/>
    </row>
    <row r="53756" spans="1:6" x14ac:dyDescent="0.25">
      <c r="A53756"/>
      <c r="B53756"/>
      <c r="C53756"/>
      <c r="E53756"/>
      <c r="F53756"/>
    </row>
    <row r="53757" spans="1:6" x14ac:dyDescent="0.25">
      <c r="A53757"/>
      <c r="B53757"/>
      <c r="C53757"/>
      <c r="E53757"/>
      <c r="F53757"/>
    </row>
    <row r="53758" spans="1:6" x14ac:dyDescent="0.25">
      <c r="A53758"/>
      <c r="B53758"/>
      <c r="C53758"/>
      <c r="E53758"/>
      <c r="F53758"/>
    </row>
    <row r="53759" spans="1:6" x14ac:dyDescent="0.25">
      <c r="A53759"/>
      <c r="B53759"/>
      <c r="C53759"/>
      <c r="E53759"/>
      <c r="F53759"/>
    </row>
    <row r="53760" spans="1:6" x14ac:dyDescent="0.25">
      <c r="A53760"/>
      <c r="B53760"/>
      <c r="C53760"/>
      <c r="E53760"/>
      <c r="F53760"/>
    </row>
    <row r="53761" spans="1:6" x14ac:dyDescent="0.25">
      <c r="A53761"/>
      <c r="B53761"/>
      <c r="C53761"/>
      <c r="E53761"/>
      <c r="F53761"/>
    </row>
    <row r="53762" spans="1:6" x14ac:dyDescent="0.25">
      <c r="A53762"/>
      <c r="B53762"/>
      <c r="C53762"/>
      <c r="E53762"/>
      <c r="F53762"/>
    </row>
    <row r="53763" spans="1:6" x14ac:dyDescent="0.25">
      <c r="A53763"/>
      <c r="B53763"/>
      <c r="C53763"/>
      <c r="E53763"/>
      <c r="F53763"/>
    </row>
    <row r="53764" spans="1:6" x14ac:dyDescent="0.25">
      <c r="A53764"/>
      <c r="B53764"/>
      <c r="C53764"/>
      <c r="E53764"/>
      <c r="F53764"/>
    </row>
    <row r="53765" spans="1:6" x14ac:dyDescent="0.25">
      <c r="A53765"/>
      <c r="B53765"/>
      <c r="C53765"/>
      <c r="E53765"/>
      <c r="F53765"/>
    </row>
    <row r="53766" spans="1:6" x14ac:dyDescent="0.25">
      <c r="A53766"/>
      <c r="B53766"/>
      <c r="C53766"/>
      <c r="E53766"/>
      <c r="F53766"/>
    </row>
    <row r="53767" spans="1:6" x14ac:dyDescent="0.25">
      <c r="A53767"/>
      <c r="B53767"/>
      <c r="C53767"/>
      <c r="E53767"/>
      <c r="F53767"/>
    </row>
    <row r="53768" spans="1:6" x14ac:dyDescent="0.25">
      <c r="A53768"/>
      <c r="B53768"/>
      <c r="C53768"/>
      <c r="E53768"/>
      <c r="F53768"/>
    </row>
    <row r="53769" spans="1:6" x14ac:dyDescent="0.25">
      <c r="A53769"/>
      <c r="B53769"/>
      <c r="C53769"/>
      <c r="E53769"/>
      <c r="F53769"/>
    </row>
    <row r="53770" spans="1:6" x14ac:dyDescent="0.25">
      <c r="A53770"/>
      <c r="B53770"/>
      <c r="C53770"/>
      <c r="E53770"/>
      <c r="F53770"/>
    </row>
    <row r="53771" spans="1:6" x14ac:dyDescent="0.25">
      <c r="A53771"/>
      <c r="B53771"/>
      <c r="C53771"/>
      <c r="E53771"/>
      <c r="F53771"/>
    </row>
    <row r="53772" spans="1:6" x14ac:dyDescent="0.25">
      <c r="A53772"/>
      <c r="B53772"/>
      <c r="C53772"/>
      <c r="E53772"/>
      <c r="F53772"/>
    </row>
    <row r="53773" spans="1:6" x14ac:dyDescent="0.25">
      <c r="A53773"/>
      <c r="B53773"/>
      <c r="C53773"/>
      <c r="E53773"/>
      <c r="F53773"/>
    </row>
    <row r="53774" spans="1:6" x14ac:dyDescent="0.25">
      <c r="A53774"/>
      <c r="B53774"/>
      <c r="C53774"/>
      <c r="E53774"/>
      <c r="F53774"/>
    </row>
    <row r="53775" spans="1:6" x14ac:dyDescent="0.25">
      <c r="A53775"/>
      <c r="B53775"/>
      <c r="C53775"/>
      <c r="E53775"/>
      <c r="F53775"/>
    </row>
    <row r="53776" spans="1:6" x14ac:dyDescent="0.25">
      <c r="A53776"/>
      <c r="B53776"/>
      <c r="C53776"/>
      <c r="E53776"/>
      <c r="F53776"/>
    </row>
    <row r="53777" spans="1:6" x14ac:dyDescent="0.25">
      <c r="A53777"/>
      <c r="B53777"/>
      <c r="C53777"/>
      <c r="E53777"/>
      <c r="F53777"/>
    </row>
    <row r="53778" spans="1:6" x14ac:dyDescent="0.25">
      <c r="A53778"/>
      <c r="B53778"/>
      <c r="C53778"/>
      <c r="E53778"/>
      <c r="F53778"/>
    </row>
    <row r="53779" spans="1:6" x14ac:dyDescent="0.25">
      <c r="A53779"/>
      <c r="B53779"/>
      <c r="C53779"/>
      <c r="E53779"/>
      <c r="F53779"/>
    </row>
    <row r="53780" spans="1:6" x14ac:dyDescent="0.25">
      <c r="A53780"/>
      <c r="B53780"/>
      <c r="C53780"/>
      <c r="E53780"/>
      <c r="F53780"/>
    </row>
    <row r="53781" spans="1:6" x14ac:dyDescent="0.25">
      <c r="A53781"/>
      <c r="B53781"/>
      <c r="C53781"/>
      <c r="E53781"/>
      <c r="F53781"/>
    </row>
    <row r="53782" spans="1:6" x14ac:dyDescent="0.25">
      <c r="A53782"/>
      <c r="B53782"/>
      <c r="C53782"/>
      <c r="E53782"/>
      <c r="F53782"/>
    </row>
    <row r="53783" spans="1:6" x14ac:dyDescent="0.25">
      <c r="A53783"/>
      <c r="B53783"/>
      <c r="C53783"/>
      <c r="E53783"/>
      <c r="F53783"/>
    </row>
    <row r="53784" spans="1:6" x14ac:dyDescent="0.25">
      <c r="A53784"/>
      <c r="B53784"/>
      <c r="C53784"/>
      <c r="E53784"/>
      <c r="F53784"/>
    </row>
    <row r="53785" spans="1:6" x14ac:dyDescent="0.25">
      <c r="A53785"/>
      <c r="B53785"/>
      <c r="C53785"/>
      <c r="E53785"/>
      <c r="F53785"/>
    </row>
    <row r="53786" spans="1:6" x14ac:dyDescent="0.25">
      <c r="A53786"/>
      <c r="B53786"/>
      <c r="C53786"/>
      <c r="E53786"/>
      <c r="F53786"/>
    </row>
    <row r="53787" spans="1:6" x14ac:dyDescent="0.25">
      <c r="A53787"/>
      <c r="B53787"/>
      <c r="C53787"/>
      <c r="E53787"/>
      <c r="F53787"/>
    </row>
    <row r="53788" spans="1:6" x14ac:dyDescent="0.25">
      <c r="A53788"/>
      <c r="B53788"/>
      <c r="C53788"/>
      <c r="E53788"/>
      <c r="F53788"/>
    </row>
    <row r="53789" spans="1:6" x14ac:dyDescent="0.25">
      <c r="A53789"/>
      <c r="B53789"/>
      <c r="C53789"/>
      <c r="E53789"/>
      <c r="F53789"/>
    </row>
    <row r="53790" spans="1:6" x14ac:dyDescent="0.25">
      <c r="A53790"/>
      <c r="B53790"/>
      <c r="C53790"/>
      <c r="E53790"/>
      <c r="F53790"/>
    </row>
    <row r="53791" spans="1:6" x14ac:dyDescent="0.25">
      <c r="A53791"/>
      <c r="B53791"/>
      <c r="C53791"/>
      <c r="E53791"/>
      <c r="F53791"/>
    </row>
    <row r="53792" spans="1:6" x14ac:dyDescent="0.25">
      <c r="A53792"/>
      <c r="B53792"/>
      <c r="C53792"/>
      <c r="E53792"/>
      <c r="F53792"/>
    </row>
    <row r="53793" spans="1:6" x14ac:dyDescent="0.25">
      <c r="A53793"/>
      <c r="B53793"/>
      <c r="C53793"/>
      <c r="E53793"/>
      <c r="F53793"/>
    </row>
    <row r="53794" spans="1:6" x14ac:dyDescent="0.25">
      <c r="A53794"/>
      <c r="B53794"/>
      <c r="C53794"/>
      <c r="E53794"/>
      <c r="F53794"/>
    </row>
    <row r="53795" spans="1:6" x14ac:dyDescent="0.25">
      <c r="A53795"/>
      <c r="B53795"/>
      <c r="C53795"/>
      <c r="E53795"/>
      <c r="F53795"/>
    </row>
    <row r="53796" spans="1:6" x14ac:dyDescent="0.25">
      <c r="A53796"/>
      <c r="B53796"/>
      <c r="C53796"/>
      <c r="E53796"/>
      <c r="F53796"/>
    </row>
    <row r="53797" spans="1:6" x14ac:dyDescent="0.25">
      <c r="A53797"/>
      <c r="B53797"/>
      <c r="C53797"/>
      <c r="E53797"/>
      <c r="F53797"/>
    </row>
    <row r="53798" spans="1:6" x14ac:dyDescent="0.25">
      <c r="A53798"/>
      <c r="B53798"/>
      <c r="C53798"/>
      <c r="E53798"/>
      <c r="F53798"/>
    </row>
    <row r="53799" spans="1:6" x14ac:dyDescent="0.25">
      <c r="A53799"/>
      <c r="B53799"/>
      <c r="C53799"/>
      <c r="E53799"/>
      <c r="F53799"/>
    </row>
    <row r="53800" spans="1:6" x14ac:dyDescent="0.25">
      <c r="A53800"/>
      <c r="B53800"/>
      <c r="C53800"/>
      <c r="E53800"/>
      <c r="F53800"/>
    </row>
    <row r="53801" spans="1:6" x14ac:dyDescent="0.25">
      <c r="A53801"/>
      <c r="B53801"/>
      <c r="C53801"/>
      <c r="E53801"/>
      <c r="F53801"/>
    </row>
    <row r="53802" spans="1:6" x14ac:dyDescent="0.25">
      <c r="A53802"/>
      <c r="B53802"/>
      <c r="C53802"/>
      <c r="E53802"/>
      <c r="F53802"/>
    </row>
    <row r="53803" spans="1:6" x14ac:dyDescent="0.25">
      <c r="A53803"/>
      <c r="B53803"/>
      <c r="C53803"/>
      <c r="E53803"/>
      <c r="F53803"/>
    </row>
    <row r="53804" spans="1:6" x14ac:dyDescent="0.25">
      <c r="A53804"/>
      <c r="B53804"/>
      <c r="C53804"/>
      <c r="E53804"/>
      <c r="F53804"/>
    </row>
    <row r="53805" spans="1:6" x14ac:dyDescent="0.25">
      <c r="A53805"/>
      <c r="B53805"/>
      <c r="C53805"/>
      <c r="E53805"/>
      <c r="F53805"/>
    </row>
    <row r="53806" spans="1:6" x14ac:dyDescent="0.25">
      <c r="A53806"/>
      <c r="B53806"/>
      <c r="C53806"/>
      <c r="E53806"/>
      <c r="F53806"/>
    </row>
    <row r="53807" spans="1:6" x14ac:dyDescent="0.25">
      <c r="A53807"/>
      <c r="B53807"/>
      <c r="C53807"/>
      <c r="E53807"/>
      <c r="F53807"/>
    </row>
    <row r="53808" spans="1:6" x14ac:dyDescent="0.25">
      <c r="A53808"/>
      <c r="B53808"/>
      <c r="C53808"/>
      <c r="E53808"/>
      <c r="F53808"/>
    </row>
    <row r="53809" spans="1:6" x14ac:dyDescent="0.25">
      <c r="A53809"/>
      <c r="B53809"/>
      <c r="C53809"/>
      <c r="E53809"/>
      <c r="F53809"/>
    </row>
    <row r="53810" spans="1:6" x14ac:dyDescent="0.25">
      <c r="A53810"/>
      <c r="B53810"/>
      <c r="C53810"/>
      <c r="E53810"/>
      <c r="F53810"/>
    </row>
    <row r="53811" spans="1:6" x14ac:dyDescent="0.25">
      <c r="A53811"/>
      <c r="B53811"/>
      <c r="C53811"/>
      <c r="E53811"/>
      <c r="F53811"/>
    </row>
    <row r="53812" spans="1:6" x14ac:dyDescent="0.25">
      <c r="A53812"/>
      <c r="B53812"/>
      <c r="C53812"/>
      <c r="E53812"/>
      <c r="F53812"/>
    </row>
    <row r="53813" spans="1:6" x14ac:dyDescent="0.25">
      <c r="A53813"/>
      <c r="B53813"/>
      <c r="C53813"/>
      <c r="E53813"/>
      <c r="F53813"/>
    </row>
    <row r="53814" spans="1:6" x14ac:dyDescent="0.25">
      <c r="A53814"/>
      <c r="B53814"/>
      <c r="C53814"/>
      <c r="E53814"/>
      <c r="F53814"/>
    </row>
    <row r="53815" spans="1:6" x14ac:dyDescent="0.25">
      <c r="A53815"/>
      <c r="B53815"/>
      <c r="C53815"/>
      <c r="E53815"/>
      <c r="F53815"/>
    </row>
    <row r="53816" spans="1:6" x14ac:dyDescent="0.25">
      <c r="A53816"/>
      <c r="B53816"/>
      <c r="C53816"/>
      <c r="E53816"/>
      <c r="F53816"/>
    </row>
    <row r="53817" spans="1:6" x14ac:dyDescent="0.25">
      <c r="A53817"/>
      <c r="B53817"/>
      <c r="C53817"/>
      <c r="E53817"/>
      <c r="F53817"/>
    </row>
    <row r="53818" spans="1:6" x14ac:dyDescent="0.25">
      <c r="A53818"/>
      <c r="B53818"/>
      <c r="C53818"/>
      <c r="E53818"/>
      <c r="F53818"/>
    </row>
    <row r="53819" spans="1:6" x14ac:dyDescent="0.25">
      <c r="A53819"/>
      <c r="B53819"/>
      <c r="C53819"/>
      <c r="E53819"/>
      <c r="F53819"/>
    </row>
    <row r="53820" spans="1:6" x14ac:dyDescent="0.25">
      <c r="A53820"/>
      <c r="B53820"/>
      <c r="C53820"/>
      <c r="E53820"/>
      <c r="F53820"/>
    </row>
    <row r="53821" spans="1:6" x14ac:dyDescent="0.25">
      <c r="A53821"/>
      <c r="B53821"/>
      <c r="C53821"/>
      <c r="E53821"/>
      <c r="F53821"/>
    </row>
    <row r="53822" spans="1:6" x14ac:dyDescent="0.25">
      <c r="A53822"/>
      <c r="B53822"/>
      <c r="C53822"/>
      <c r="E53822"/>
      <c r="F53822"/>
    </row>
    <row r="53823" spans="1:6" x14ac:dyDescent="0.25">
      <c r="A53823"/>
      <c r="B53823"/>
      <c r="C53823"/>
      <c r="E53823"/>
      <c r="F53823"/>
    </row>
    <row r="53824" spans="1:6" x14ac:dyDescent="0.25">
      <c r="A53824"/>
      <c r="B53824"/>
      <c r="C53824"/>
      <c r="E53824"/>
      <c r="F53824"/>
    </row>
    <row r="53825" spans="1:6" x14ac:dyDescent="0.25">
      <c r="A53825"/>
      <c r="B53825"/>
      <c r="C53825"/>
      <c r="E53825"/>
      <c r="F53825"/>
    </row>
    <row r="53826" spans="1:6" x14ac:dyDescent="0.25">
      <c r="A53826"/>
      <c r="B53826"/>
      <c r="C53826"/>
      <c r="E53826"/>
      <c r="F53826"/>
    </row>
    <row r="53827" spans="1:6" x14ac:dyDescent="0.25">
      <c r="A53827"/>
      <c r="B53827"/>
      <c r="C53827"/>
      <c r="E53827"/>
      <c r="F53827"/>
    </row>
    <row r="53828" spans="1:6" x14ac:dyDescent="0.25">
      <c r="A53828"/>
      <c r="B53828"/>
      <c r="C53828"/>
      <c r="E53828"/>
      <c r="F53828"/>
    </row>
    <row r="53829" spans="1:6" x14ac:dyDescent="0.25">
      <c r="A53829"/>
      <c r="B53829"/>
      <c r="C53829"/>
      <c r="E53829"/>
      <c r="F53829"/>
    </row>
    <row r="53830" spans="1:6" x14ac:dyDescent="0.25">
      <c r="A53830"/>
      <c r="B53830"/>
      <c r="C53830"/>
      <c r="E53830"/>
      <c r="F53830"/>
    </row>
    <row r="53831" spans="1:6" x14ac:dyDescent="0.25">
      <c r="A53831"/>
      <c r="B53831"/>
      <c r="C53831"/>
      <c r="E53831"/>
      <c r="F53831"/>
    </row>
    <row r="53832" spans="1:6" x14ac:dyDescent="0.25">
      <c r="A53832"/>
      <c r="B53832"/>
      <c r="C53832"/>
      <c r="E53832"/>
      <c r="F53832"/>
    </row>
    <row r="53833" spans="1:6" x14ac:dyDescent="0.25">
      <c r="A53833"/>
      <c r="B53833"/>
      <c r="C53833"/>
      <c r="E53833"/>
      <c r="F53833"/>
    </row>
    <row r="53834" spans="1:6" x14ac:dyDescent="0.25">
      <c r="A53834"/>
      <c r="B53834"/>
      <c r="C53834"/>
      <c r="E53834"/>
      <c r="F53834"/>
    </row>
    <row r="53835" spans="1:6" x14ac:dyDescent="0.25">
      <c r="A53835"/>
      <c r="B53835"/>
      <c r="C53835"/>
      <c r="E53835"/>
      <c r="F53835"/>
    </row>
    <row r="53836" spans="1:6" x14ac:dyDescent="0.25">
      <c r="A53836"/>
      <c r="B53836"/>
      <c r="C53836"/>
      <c r="E53836"/>
      <c r="F53836"/>
    </row>
    <row r="53837" spans="1:6" x14ac:dyDescent="0.25">
      <c r="A53837"/>
      <c r="B53837"/>
      <c r="C53837"/>
      <c r="E53837"/>
      <c r="F53837"/>
    </row>
    <row r="53838" spans="1:6" x14ac:dyDescent="0.25">
      <c r="A53838"/>
      <c r="B53838"/>
      <c r="C53838"/>
      <c r="E53838"/>
      <c r="F53838"/>
    </row>
    <row r="53839" spans="1:6" x14ac:dyDescent="0.25">
      <c r="A53839"/>
      <c r="B53839"/>
      <c r="C53839"/>
      <c r="E53839"/>
      <c r="F53839"/>
    </row>
    <row r="53840" spans="1:6" x14ac:dyDescent="0.25">
      <c r="A53840"/>
      <c r="B53840"/>
      <c r="C53840"/>
      <c r="E53840"/>
      <c r="F53840"/>
    </row>
    <row r="53841" spans="1:6" x14ac:dyDescent="0.25">
      <c r="A53841"/>
      <c r="B53841"/>
      <c r="C53841"/>
      <c r="E53841"/>
      <c r="F53841"/>
    </row>
    <row r="53842" spans="1:6" x14ac:dyDescent="0.25">
      <c r="A53842"/>
      <c r="B53842"/>
      <c r="C53842"/>
      <c r="E53842"/>
      <c r="F53842"/>
    </row>
    <row r="53843" spans="1:6" x14ac:dyDescent="0.25">
      <c r="A53843"/>
      <c r="B53843"/>
      <c r="C53843"/>
      <c r="E53843"/>
      <c r="F53843"/>
    </row>
    <row r="53844" spans="1:6" x14ac:dyDescent="0.25">
      <c r="A53844"/>
      <c r="B53844"/>
      <c r="C53844"/>
      <c r="E53844"/>
      <c r="F53844"/>
    </row>
    <row r="53845" spans="1:6" x14ac:dyDescent="0.25">
      <c r="A53845"/>
      <c r="B53845"/>
      <c r="C53845"/>
      <c r="E53845"/>
      <c r="F53845"/>
    </row>
    <row r="53846" spans="1:6" x14ac:dyDescent="0.25">
      <c r="A53846"/>
      <c r="B53846"/>
      <c r="C53846"/>
      <c r="E53846"/>
      <c r="F53846"/>
    </row>
    <row r="53847" spans="1:6" x14ac:dyDescent="0.25">
      <c r="A53847"/>
      <c r="B53847"/>
      <c r="C53847"/>
      <c r="E53847"/>
      <c r="F53847"/>
    </row>
    <row r="53848" spans="1:6" x14ac:dyDescent="0.25">
      <c r="A53848"/>
      <c r="B53848"/>
      <c r="C53848"/>
      <c r="E53848"/>
      <c r="F53848"/>
    </row>
    <row r="53849" spans="1:6" x14ac:dyDescent="0.25">
      <c r="A53849"/>
      <c r="B53849"/>
      <c r="C53849"/>
      <c r="E53849"/>
      <c r="F53849"/>
    </row>
    <row r="53850" spans="1:6" x14ac:dyDescent="0.25">
      <c r="A53850"/>
      <c r="B53850"/>
      <c r="C53850"/>
      <c r="E53850"/>
      <c r="F53850"/>
    </row>
    <row r="53851" spans="1:6" x14ac:dyDescent="0.25">
      <c r="A53851"/>
      <c r="B53851"/>
      <c r="C53851"/>
      <c r="E53851"/>
      <c r="F53851"/>
    </row>
    <row r="53852" spans="1:6" x14ac:dyDescent="0.25">
      <c r="A53852"/>
      <c r="B53852"/>
      <c r="C53852"/>
      <c r="E53852"/>
      <c r="F53852"/>
    </row>
    <row r="53853" spans="1:6" x14ac:dyDescent="0.25">
      <c r="A53853"/>
      <c r="B53853"/>
      <c r="C53853"/>
      <c r="E53853"/>
      <c r="F53853"/>
    </row>
    <row r="53854" spans="1:6" x14ac:dyDescent="0.25">
      <c r="A53854"/>
      <c r="B53854"/>
      <c r="C53854"/>
      <c r="E53854"/>
      <c r="F53854"/>
    </row>
    <row r="53855" spans="1:6" x14ac:dyDescent="0.25">
      <c r="A53855"/>
      <c r="B53855"/>
      <c r="C53855"/>
      <c r="E53855"/>
      <c r="F53855"/>
    </row>
    <row r="53856" spans="1:6" x14ac:dyDescent="0.25">
      <c r="A53856"/>
      <c r="B53856"/>
      <c r="C53856"/>
      <c r="E53856"/>
      <c r="F53856"/>
    </row>
    <row r="53857" spans="1:6" x14ac:dyDescent="0.25">
      <c r="A53857"/>
      <c r="B53857"/>
      <c r="C53857"/>
      <c r="E53857"/>
      <c r="F53857"/>
    </row>
    <row r="53858" spans="1:6" x14ac:dyDescent="0.25">
      <c r="A53858"/>
      <c r="B53858"/>
      <c r="C53858"/>
      <c r="E53858"/>
      <c r="F53858"/>
    </row>
    <row r="53859" spans="1:6" x14ac:dyDescent="0.25">
      <c r="A53859"/>
      <c r="B53859"/>
      <c r="C53859"/>
      <c r="E53859"/>
      <c r="F53859"/>
    </row>
    <row r="53860" spans="1:6" x14ac:dyDescent="0.25">
      <c r="A53860"/>
      <c r="B53860"/>
      <c r="C53860"/>
      <c r="E53860"/>
      <c r="F53860"/>
    </row>
    <row r="53861" spans="1:6" x14ac:dyDescent="0.25">
      <c r="A53861"/>
      <c r="B53861"/>
      <c r="C53861"/>
      <c r="E53861"/>
      <c r="F53861"/>
    </row>
    <row r="53862" spans="1:6" x14ac:dyDescent="0.25">
      <c r="A53862"/>
      <c r="B53862"/>
      <c r="C53862"/>
      <c r="E53862"/>
      <c r="F53862"/>
    </row>
    <row r="53863" spans="1:6" x14ac:dyDescent="0.25">
      <c r="A53863"/>
      <c r="B53863"/>
      <c r="C53863"/>
      <c r="E53863"/>
      <c r="F53863"/>
    </row>
    <row r="53864" spans="1:6" x14ac:dyDescent="0.25">
      <c r="A53864"/>
      <c r="B53864"/>
      <c r="C53864"/>
      <c r="E53864"/>
      <c r="F53864"/>
    </row>
    <row r="53865" spans="1:6" x14ac:dyDescent="0.25">
      <c r="A53865"/>
      <c r="B53865"/>
      <c r="C53865"/>
      <c r="E53865"/>
      <c r="F53865"/>
    </row>
    <row r="53866" spans="1:6" x14ac:dyDescent="0.25">
      <c r="A53866"/>
      <c r="B53866"/>
      <c r="C53866"/>
      <c r="E53866"/>
      <c r="F53866"/>
    </row>
    <row r="53867" spans="1:6" x14ac:dyDescent="0.25">
      <c r="A53867"/>
      <c r="B53867"/>
      <c r="C53867"/>
      <c r="E53867"/>
      <c r="F53867"/>
    </row>
    <row r="53868" spans="1:6" x14ac:dyDescent="0.25">
      <c r="A53868"/>
      <c r="B53868"/>
      <c r="C53868"/>
      <c r="E53868"/>
      <c r="F53868"/>
    </row>
    <row r="53869" spans="1:6" x14ac:dyDescent="0.25">
      <c r="A53869"/>
      <c r="B53869"/>
      <c r="C53869"/>
      <c r="E53869"/>
      <c r="F53869"/>
    </row>
    <row r="53870" spans="1:6" x14ac:dyDescent="0.25">
      <c r="A53870"/>
      <c r="B53870"/>
      <c r="C53870"/>
      <c r="E53870"/>
      <c r="F53870"/>
    </row>
    <row r="53871" spans="1:6" x14ac:dyDescent="0.25">
      <c r="A53871"/>
      <c r="B53871"/>
      <c r="C53871"/>
      <c r="E53871"/>
      <c r="F53871"/>
    </row>
    <row r="53872" spans="1:6" x14ac:dyDescent="0.25">
      <c r="A53872"/>
      <c r="B53872"/>
      <c r="C53872"/>
      <c r="E53872"/>
      <c r="F53872"/>
    </row>
    <row r="53873" spans="1:6" x14ac:dyDescent="0.25">
      <c r="A53873"/>
      <c r="B53873"/>
      <c r="C53873"/>
      <c r="E53873"/>
      <c r="F53873"/>
    </row>
    <row r="53874" spans="1:6" x14ac:dyDescent="0.25">
      <c r="A53874"/>
      <c r="B53874"/>
      <c r="C53874"/>
      <c r="E53874"/>
      <c r="F53874"/>
    </row>
    <row r="53875" spans="1:6" x14ac:dyDescent="0.25">
      <c r="A53875"/>
      <c r="B53875"/>
      <c r="C53875"/>
      <c r="E53875"/>
      <c r="F53875"/>
    </row>
    <row r="53876" spans="1:6" x14ac:dyDescent="0.25">
      <c r="A53876"/>
      <c r="B53876"/>
      <c r="C53876"/>
      <c r="E53876"/>
      <c r="F53876"/>
    </row>
    <row r="53877" spans="1:6" x14ac:dyDescent="0.25">
      <c r="A53877"/>
      <c r="B53877"/>
      <c r="C53877"/>
      <c r="E53877"/>
      <c r="F53877"/>
    </row>
    <row r="53878" spans="1:6" x14ac:dyDescent="0.25">
      <c r="A53878"/>
      <c r="B53878"/>
      <c r="C53878"/>
      <c r="E53878"/>
      <c r="F53878"/>
    </row>
    <row r="53879" spans="1:6" x14ac:dyDescent="0.25">
      <c r="A53879"/>
      <c r="B53879"/>
      <c r="C53879"/>
      <c r="E53879"/>
      <c r="F53879"/>
    </row>
    <row r="53880" spans="1:6" x14ac:dyDescent="0.25">
      <c r="A53880"/>
      <c r="B53880"/>
      <c r="C53880"/>
      <c r="E53880"/>
      <c r="F53880"/>
    </row>
    <row r="53881" spans="1:6" x14ac:dyDescent="0.25">
      <c r="A53881"/>
      <c r="B53881"/>
      <c r="C53881"/>
      <c r="E53881"/>
      <c r="F53881"/>
    </row>
    <row r="53882" spans="1:6" x14ac:dyDescent="0.25">
      <c r="A53882"/>
      <c r="B53882"/>
      <c r="C53882"/>
      <c r="E53882"/>
      <c r="F53882"/>
    </row>
    <row r="53883" spans="1:6" x14ac:dyDescent="0.25">
      <c r="A53883"/>
      <c r="B53883"/>
      <c r="C53883"/>
      <c r="E53883"/>
      <c r="F53883"/>
    </row>
    <row r="53884" spans="1:6" x14ac:dyDescent="0.25">
      <c r="A53884"/>
      <c r="B53884"/>
      <c r="C53884"/>
      <c r="E53884"/>
      <c r="F53884"/>
    </row>
    <row r="53885" spans="1:6" x14ac:dyDescent="0.25">
      <c r="A53885"/>
      <c r="B53885"/>
      <c r="C53885"/>
      <c r="E53885"/>
      <c r="F53885"/>
    </row>
    <row r="53886" spans="1:6" x14ac:dyDescent="0.25">
      <c r="A53886"/>
      <c r="B53886"/>
      <c r="C53886"/>
      <c r="E53886"/>
      <c r="F53886"/>
    </row>
    <row r="53887" spans="1:6" x14ac:dyDescent="0.25">
      <c r="A53887"/>
      <c r="B53887"/>
      <c r="C53887"/>
      <c r="E53887"/>
      <c r="F53887"/>
    </row>
    <row r="53888" spans="1:6" x14ac:dyDescent="0.25">
      <c r="A53888"/>
      <c r="B53888"/>
      <c r="C53888"/>
      <c r="E53888"/>
      <c r="F53888"/>
    </row>
    <row r="53889" spans="1:6" x14ac:dyDescent="0.25">
      <c r="A53889"/>
      <c r="B53889"/>
      <c r="C53889"/>
      <c r="E53889"/>
      <c r="F53889"/>
    </row>
    <row r="53890" spans="1:6" x14ac:dyDescent="0.25">
      <c r="A53890"/>
      <c r="B53890"/>
      <c r="C53890"/>
      <c r="E53890"/>
      <c r="F53890"/>
    </row>
    <row r="53891" spans="1:6" x14ac:dyDescent="0.25">
      <c r="A53891"/>
      <c r="B53891"/>
      <c r="C53891"/>
      <c r="E53891"/>
      <c r="F53891"/>
    </row>
    <row r="53892" spans="1:6" x14ac:dyDescent="0.25">
      <c r="A53892"/>
      <c r="B53892"/>
      <c r="C53892"/>
      <c r="E53892"/>
      <c r="F53892"/>
    </row>
    <row r="53893" spans="1:6" x14ac:dyDescent="0.25">
      <c r="A53893"/>
      <c r="B53893"/>
      <c r="C53893"/>
      <c r="E53893"/>
      <c r="F53893"/>
    </row>
    <row r="53894" spans="1:6" x14ac:dyDescent="0.25">
      <c r="A53894"/>
      <c r="B53894"/>
      <c r="C53894"/>
      <c r="E53894"/>
      <c r="F53894"/>
    </row>
    <row r="53895" spans="1:6" x14ac:dyDescent="0.25">
      <c r="A53895"/>
      <c r="B53895"/>
      <c r="C53895"/>
      <c r="E53895"/>
      <c r="F53895"/>
    </row>
    <row r="53896" spans="1:6" x14ac:dyDescent="0.25">
      <c r="A53896"/>
      <c r="B53896"/>
      <c r="C53896"/>
      <c r="E53896"/>
      <c r="F53896"/>
    </row>
    <row r="53897" spans="1:6" x14ac:dyDescent="0.25">
      <c r="A53897"/>
      <c r="B53897"/>
      <c r="C53897"/>
      <c r="E53897"/>
      <c r="F53897"/>
    </row>
    <row r="53898" spans="1:6" x14ac:dyDescent="0.25">
      <c r="A53898"/>
      <c r="B53898"/>
      <c r="C53898"/>
      <c r="E53898"/>
      <c r="F53898"/>
    </row>
    <row r="53899" spans="1:6" x14ac:dyDescent="0.25">
      <c r="A53899"/>
      <c r="B53899"/>
      <c r="C53899"/>
      <c r="E53899"/>
      <c r="F53899"/>
    </row>
    <row r="53900" spans="1:6" x14ac:dyDescent="0.25">
      <c r="A53900"/>
      <c r="B53900"/>
      <c r="C53900"/>
      <c r="E53900"/>
      <c r="F53900"/>
    </row>
    <row r="53901" spans="1:6" x14ac:dyDescent="0.25">
      <c r="A53901"/>
      <c r="B53901"/>
      <c r="C53901"/>
      <c r="E53901"/>
      <c r="F53901"/>
    </row>
    <row r="53902" spans="1:6" x14ac:dyDescent="0.25">
      <c r="A53902"/>
      <c r="B53902"/>
      <c r="C53902"/>
      <c r="E53902"/>
      <c r="F53902"/>
    </row>
    <row r="53903" spans="1:6" x14ac:dyDescent="0.25">
      <c r="A53903"/>
      <c r="B53903"/>
      <c r="C53903"/>
      <c r="E53903"/>
      <c r="F53903"/>
    </row>
    <row r="53904" spans="1:6" x14ac:dyDescent="0.25">
      <c r="A53904"/>
      <c r="B53904"/>
      <c r="C53904"/>
      <c r="E53904"/>
      <c r="F53904"/>
    </row>
    <row r="53905" spans="1:6" x14ac:dyDescent="0.25">
      <c r="A53905"/>
      <c r="B53905"/>
      <c r="C53905"/>
      <c r="E53905"/>
      <c r="F53905"/>
    </row>
    <row r="53906" spans="1:6" x14ac:dyDescent="0.25">
      <c r="A53906"/>
      <c r="B53906"/>
      <c r="C53906"/>
      <c r="E53906"/>
      <c r="F53906"/>
    </row>
    <row r="53907" spans="1:6" x14ac:dyDescent="0.25">
      <c r="A53907"/>
      <c r="B53907"/>
      <c r="C53907"/>
      <c r="E53907"/>
      <c r="F53907"/>
    </row>
    <row r="53908" spans="1:6" x14ac:dyDescent="0.25">
      <c r="A53908"/>
      <c r="B53908"/>
      <c r="C53908"/>
      <c r="E53908"/>
      <c r="F53908"/>
    </row>
    <row r="53909" spans="1:6" x14ac:dyDescent="0.25">
      <c r="A53909"/>
      <c r="B53909"/>
      <c r="C53909"/>
      <c r="E53909"/>
      <c r="F53909"/>
    </row>
    <row r="53910" spans="1:6" x14ac:dyDescent="0.25">
      <c r="A53910"/>
      <c r="B53910"/>
      <c r="C53910"/>
      <c r="E53910"/>
      <c r="F53910"/>
    </row>
    <row r="53911" spans="1:6" x14ac:dyDescent="0.25">
      <c r="A53911"/>
      <c r="B53911"/>
      <c r="C53911"/>
      <c r="E53911"/>
      <c r="F53911"/>
    </row>
    <row r="53912" spans="1:6" x14ac:dyDescent="0.25">
      <c r="A53912"/>
      <c r="B53912"/>
      <c r="C53912"/>
      <c r="E53912"/>
      <c r="F53912"/>
    </row>
    <row r="53913" spans="1:6" x14ac:dyDescent="0.25">
      <c r="A53913"/>
      <c r="B53913"/>
      <c r="C53913"/>
      <c r="E53913"/>
      <c r="F53913"/>
    </row>
    <row r="53914" spans="1:6" x14ac:dyDescent="0.25">
      <c r="A53914"/>
      <c r="B53914"/>
      <c r="C53914"/>
      <c r="E53914"/>
      <c r="F53914"/>
    </row>
    <row r="53915" spans="1:6" x14ac:dyDescent="0.25">
      <c r="A53915"/>
      <c r="B53915"/>
      <c r="C53915"/>
      <c r="E53915"/>
      <c r="F53915"/>
    </row>
    <row r="53916" spans="1:6" x14ac:dyDescent="0.25">
      <c r="A53916"/>
      <c r="B53916"/>
      <c r="C53916"/>
      <c r="E53916"/>
      <c r="F53916"/>
    </row>
    <row r="53917" spans="1:6" x14ac:dyDescent="0.25">
      <c r="A53917"/>
      <c r="B53917"/>
      <c r="C53917"/>
      <c r="E53917"/>
      <c r="F53917"/>
    </row>
    <row r="53918" spans="1:6" x14ac:dyDescent="0.25">
      <c r="A53918"/>
      <c r="B53918"/>
      <c r="C53918"/>
      <c r="E53918"/>
      <c r="F53918"/>
    </row>
    <row r="53919" spans="1:6" x14ac:dyDescent="0.25">
      <c r="A53919"/>
      <c r="B53919"/>
      <c r="C53919"/>
      <c r="E53919"/>
      <c r="F53919"/>
    </row>
    <row r="53920" spans="1:6" x14ac:dyDescent="0.25">
      <c r="A53920"/>
      <c r="B53920"/>
      <c r="C53920"/>
      <c r="E53920"/>
      <c r="F53920"/>
    </row>
    <row r="53921" spans="1:6" x14ac:dyDescent="0.25">
      <c r="A53921"/>
      <c r="B53921"/>
      <c r="C53921"/>
      <c r="E53921"/>
      <c r="F53921"/>
    </row>
    <row r="53922" spans="1:6" x14ac:dyDescent="0.25">
      <c r="A53922"/>
      <c r="B53922"/>
      <c r="C53922"/>
      <c r="E53922"/>
      <c r="F53922"/>
    </row>
    <row r="53923" spans="1:6" x14ac:dyDescent="0.25">
      <c r="A53923"/>
      <c r="B53923"/>
      <c r="C53923"/>
      <c r="E53923"/>
      <c r="F53923"/>
    </row>
    <row r="53924" spans="1:6" x14ac:dyDescent="0.25">
      <c r="A53924"/>
      <c r="B53924"/>
      <c r="C53924"/>
      <c r="E53924"/>
      <c r="F53924"/>
    </row>
    <row r="53925" spans="1:6" x14ac:dyDescent="0.25">
      <c r="A53925"/>
      <c r="B53925"/>
      <c r="C53925"/>
      <c r="E53925"/>
      <c r="F53925"/>
    </row>
    <row r="53926" spans="1:6" x14ac:dyDescent="0.25">
      <c r="A53926"/>
      <c r="B53926"/>
      <c r="C53926"/>
      <c r="E53926"/>
      <c r="F53926"/>
    </row>
    <row r="53927" spans="1:6" x14ac:dyDescent="0.25">
      <c r="A53927"/>
      <c r="B53927"/>
      <c r="C53927"/>
      <c r="E53927"/>
      <c r="F53927"/>
    </row>
    <row r="53928" spans="1:6" x14ac:dyDescent="0.25">
      <c r="A53928"/>
      <c r="B53928"/>
      <c r="C53928"/>
      <c r="E53928"/>
      <c r="F53928"/>
    </row>
    <row r="53929" spans="1:6" x14ac:dyDescent="0.25">
      <c r="A53929"/>
      <c r="B53929"/>
      <c r="C53929"/>
      <c r="E53929"/>
      <c r="F53929"/>
    </row>
    <row r="53930" spans="1:6" x14ac:dyDescent="0.25">
      <c r="A53930"/>
      <c r="B53930"/>
      <c r="C53930"/>
      <c r="E53930"/>
      <c r="F53930"/>
    </row>
    <row r="53931" spans="1:6" x14ac:dyDescent="0.25">
      <c r="A53931"/>
      <c r="B53931"/>
      <c r="C53931"/>
      <c r="E53931"/>
      <c r="F53931"/>
    </row>
    <row r="53932" spans="1:6" x14ac:dyDescent="0.25">
      <c r="A53932"/>
      <c r="B53932"/>
      <c r="C53932"/>
      <c r="E53932"/>
      <c r="F53932"/>
    </row>
    <row r="53933" spans="1:6" x14ac:dyDescent="0.25">
      <c r="A53933"/>
      <c r="B53933"/>
      <c r="C53933"/>
      <c r="E53933"/>
      <c r="F53933"/>
    </row>
    <row r="53934" spans="1:6" x14ac:dyDescent="0.25">
      <c r="A53934"/>
      <c r="B53934"/>
      <c r="C53934"/>
      <c r="E53934"/>
      <c r="F53934"/>
    </row>
    <row r="53935" spans="1:6" x14ac:dyDescent="0.25">
      <c r="A53935"/>
      <c r="B53935"/>
      <c r="C53935"/>
      <c r="E53935"/>
      <c r="F53935"/>
    </row>
    <row r="53936" spans="1:6" x14ac:dyDescent="0.25">
      <c r="A53936"/>
      <c r="B53936"/>
      <c r="C53936"/>
      <c r="E53936"/>
      <c r="F53936"/>
    </row>
    <row r="53937" spans="1:6" x14ac:dyDescent="0.25">
      <c r="A53937"/>
      <c r="B53937"/>
      <c r="C53937"/>
      <c r="E53937"/>
      <c r="F53937"/>
    </row>
    <row r="53938" spans="1:6" x14ac:dyDescent="0.25">
      <c r="A53938"/>
      <c r="B53938"/>
      <c r="C53938"/>
      <c r="E53938"/>
      <c r="F53938"/>
    </row>
    <row r="53939" spans="1:6" x14ac:dyDescent="0.25">
      <c r="A53939"/>
      <c r="B53939"/>
      <c r="C53939"/>
      <c r="E53939"/>
      <c r="F53939"/>
    </row>
    <row r="53940" spans="1:6" x14ac:dyDescent="0.25">
      <c r="A53940"/>
      <c r="B53940"/>
      <c r="C53940"/>
      <c r="E53940"/>
      <c r="F53940"/>
    </row>
    <row r="53941" spans="1:6" x14ac:dyDescent="0.25">
      <c r="A53941"/>
      <c r="B53941"/>
      <c r="C53941"/>
      <c r="E53941"/>
      <c r="F53941"/>
    </row>
    <row r="53942" spans="1:6" x14ac:dyDescent="0.25">
      <c r="A53942"/>
      <c r="B53942"/>
      <c r="C53942"/>
      <c r="E53942"/>
      <c r="F53942"/>
    </row>
    <row r="53943" spans="1:6" x14ac:dyDescent="0.25">
      <c r="A53943"/>
      <c r="B53943"/>
      <c r="C53943"/>
      <c r="E53943"/>
      <c r="F53943"/>
    </row>
    <row r="53944" spans="1:6" x14ac:dyDescent="0.25">
      <c r="A53944"/>
      <c r="B53944"/>
      <c r="C53944"/>
      <c r="E53944"/>
      <c r="F53944"/>
    </row>
    <row r="53945" spans="1:6" x14ac:dyDescent="0.25">
      <c r="A53945"/>
      <c r="B53945"/>
      <c r="C53945"/>
      <c r="E53945"/>
      <c r="F53945"/>
    </row>
    <row r="53946" spans="1:6" x14ac:dyDescent="0.25">
      <c r="A53946"/>
      <c r="B53946"/>
      <c r="C53946"/>
      <c r="E53946"/>
      <c r="F53946"/>
    </row>
    <row r="53947" spans="1:6" x14ac:dyDescent="0.25">
      <c r="A53947"/>
      <c r="B53947"/>
      <c r="C53947"/>
      <c r="E53947"/>
      <c r="F53947"/>
    </row>
    <row r="53948" spans="1:6" x14ac:dyDescent="0.25">
      <c r="A53948"/>
      <c r="B53948"/>
      <c r="C53948"/>
      <c r="E53948"/>
      <c r="F53948"/>
    </row>
    <row r="53949" spans="1:6" x14ac:dyDescent="0.25">
      <c r="A53949"/>
      <c r="B53949"/>
      <c r="C53949"/>
      <c r="E53949"/>
      <c r="F53949"/>
    </row>
    <row r="53950" spans="1:6" x14ac:dyDescent="0.25">
      <c r="A53950"/>
      <c r="B53950"/>
      <c r="C53950"/>
      <c r="E53950"/>
      <c r="F53950"/>
    </row>
    <row r="53951" spans="1:6" x14ac:dyDescent="0.25">
      <c r="A53951"/>
      <c r="B53951"/>
      <c r="C53951"/>
      <c r="E53951"/>
      <c r="F53951"/>
    </row>
    <row r="53952" spans="1:6" x14ac:dyDescent="0.25">
      <c r="A53952"/>
      <c r="B53952"/>
      <c r="C53952"/>
      <c r="E53952"/>
      <c r="F53952"/>
    </row>
    <row r="53953" spans="1:6" x14ac:dyDescent="0.25">
      <c r="A53953"/>
      <c r="B53953"/>
      <c r="C53953"/>
      <c r="E53953"/>
      <c r="F53953"/>
    </row>
    <row r="53954" spans="1:6" x14ac:dyDescent="0.25">
      <c r="A53954"/>
      <c r="B53954"/>
      <c r="C53954"/>
      <c r="E53954"/>
      <c r="F53954"/>
    </row>
    <row r="53955" spans="1:6" x14ac:dyDescent="0.25">
      <c r="A53955"/>
      <c r="B53955"/>
      <c r="C53955"/>
      <c r="E53955"/>
      <c r="F53955"/>
    </row>
    <row r="53956" spans="1:6" x14ac:dyDescent="0.25">
      <c r="A53956"/>
      <c r="B53956"/>
      <c r="C53956"/>
      <c r="E53956"/>
      <c r="F53956"/>
    </row>
    <row r="53957" spans="1:6" x14ac:dyDescent="0.25">
      <c r="A53957"/>
      <c r="B53957"/>
      <c r="C53957"/>
      <c r="E53957"/>
      <c r="F53957"/>
    </row>
    <row r="53958" spans="1:6" x14ac:dyDescent="0.25">
      <c r="A53958"/>
      <c r="B53958"/>
      <c r="C53958"/>
      <c r="E53958"/>
      <c r="F53958"/>
    </row>
    <row r="53959" spans="1:6" x14ac:dyDescent="0.25">
      <c r="A53959"/>
      <c r="B53959"/>
      <c r="C53959"/>
      <c r="E53959"/>
      <c r="F53959"/>
    </row>
    <row r="53960" spans="1:6" x14ac:dyDescent="0.25">
      <c r="A53960"/>
      <c r="B53960"/>
      <c r="C53960"/>
      <c r="E53960"/>
      <c r="F53960"/>
    </row>
    <row r="53961" spans="1:6" x14ac:dyDescent="0.25">
      <c r="A53961"/>
      <c r="B53961"/>
      <c r="C53961"/>
      <c r="E53961"/>
      <c r="F53961"/>
    </row>
    <row r="53962" spans="1:6" x14ac:dyDescent="0.25">
      <c r="A53962"/>
      <c r="B53962"/>
      <c r="C53962"/>
      <c r="E53962"/>
      <c r="F53962"/>
    </row>
    <row r="53963" spans="1:6" x14ac:dyDescent="0.25">
      <c r="A53963"/>
      <c r="B53963"/>
      <c r="C53963"/>
      <c r="E53963"/>
      <c r="F53963"/>
    </row>
    <row r="53964" spans="1:6" x14ac:dyDescent="0.25">
      <c r="A53964"/>
      <c r="B53964"/>
      <c r="C53964"/>
      <c r="E53964"/>
      <c r="F53964"/>
    </row>
    <row r="53965" spans="1:6" x14ac:dyDescent="0.25">
      <c r="A53965"/>
      <c r="B53965"/>
      <c r="C53965"/>
      <c r="E53965"/>
      <c r="F53965"/>
    </row>
    <row r="53966" spans="1:6" x14ac:dyDescent="0.25">
      <c r="A53966"/>
      <c r="B53966"/>
      <c r="C53966"/>
      <c r="E53966"/>
      <c r="F53966"/>
    </row>
    <row r="53967" spans="1:6" x14ac:dyDescent="0.25">
      <c r="A53967"/>
      <c r="B53967"/>
      <c r="C53967"/>
      <c r="E53967"/>
      <c r="F53967"/>
    </row>
    <row r="53968" spans="1:6" x14ac:dyDescent="0.25">
      <c r="A53968"/>
      <c r="B53968"/>
      <c r="C53968"/>
      <c r="E53968"/>
      <c r="F53968"/>
    </row>
    <row r="53969" spans="1:6" x14ac:dyDescent="0.25">
      <c r="A53969"/>
      <c r="B53969"/>
      <c r="C53969"/>
      <c r="E53969"/>
      <c r="F53969"/>
    </row>
    <row r="53970" spans="1:6" x14ac:dyDescent="0.25">
      <c r="A53970"/>
      <c r="B53970"/>
      <c r="C53970"/>
      <c r="E53970"/>
      <c r="F53970"/>
    </row>
    <row r="53971" spans="1:6" x14ac:dyDescent="0.25">
      <c r="A53971"/>
      <c r="B53971"/>
      <c r="C53971"/>
      <c r="E53971"/>
      <c r="F53971"/>
    </row>
    <row r="53972" spans="1:6" x14ac:dyDescent="0.25">
      <c r="A53972"/>
      <c r="B53972"/>
      <c r="C53972"/>
      <c r="E53972"/>
      <c r="F53972"/>
    </row>
    <row r="53973" spans="1:6" x14ac:dyDescent="0.25">
      <c r="A53973"/>
      <c r="B53973"/>
      <c r="C53973"/>
      <c r="E53973"/>
      <c r="F53973"/>
    </row>
    <row r="53974" spans="1:6" x14ac:dyDescent="0.25">
      <c r="A53974"/>
      <c r="B53974"/>
      <c r="C53974"/>
      <c r="E53974"/>
      <c r="F53974"/>
    </row>
    <row r="53975" spans="1:6" x14ac:dyDescent="0.25">
      <c r="A53975"/>
      <c r="B53975"/>
      <c r="C53975"/>
      <c r="E53975"/>
      <c r="F53975"/>
    </row>
    <row r="53976" spans="1:6" x14ac:dyDescent="0.25">
      <c r="A53976"/>
      <c r="B53976"/>
      <c r="C53976"/>
      <c r="E53976"/>
      <c r="F53976"/>
    </row>
    <row r="53977" spans="1:6" x14ac:dyDescent="0.25">
      <c r="A53977"/>
      <c r="B53977"/>
      <c r="C53977"/>
      <c r="E53977"/>
      <c r="F53977"/>
    </row>
    <row r="53978" spans="1:6" x14ac:dyDescent="0.25">
      <c r="A53978"/>
      <c r="B53978"/>
      <c r="C53978"/>
      <c r="E53978"/>
      <c r="F53978"/>
    </row>
    <row r="53979" spans="1:6" x14ac:dyDescent="0.25">
      <c r="A53979"/>
      <c r="B53979"/>
      <c r="C53979"/>
      <c r="E53979"/>
      <c r="F53979"/>
    </row>
    <row r="53980" spans="1:6" x14ac:dyDescent="0.25">
      <c r="A53980"/>
      <c r="B53980"/>
      <c r="C53980"/>
      <c r="E53980"/>
      <c r="F53980"/>
    </row>
    <row r="53981" spans="1:6" x14ac:dyDescent="0.25">
      <c r="A53981"/>
      <c r="B53981"/>
      <c r="C53981"/>
      <c r="E53981"/>
      <c r="F53981"/>
    </row>
    <row r="53982" spans="1:6" x14ac:dyDescent="0.25">
      <c r="A53982"/>
      <c r="B53982"/>
      <c r="C53982"/>
      <c r="E53982"/>
      <c r="F53982"/>
    </row>
    <row r="53983" spans="1:6" x14ac:dyDescent="0.25">
      <c r="A53983"/>
      <c r="B53983"/>
      <c r="C53983"/>
      <c r="E53983"/>
      <c r="F53983"/>
    </row>
    <row r="53984" spans="1:6" x14ac:dyDescent="0.25">
      <c r="A53984"/>
      <c r="B53984"/>
      <c r="C53984"/>
      <c r="E53984"/>
      <c r="F53984"/>
    </row>
    <row r="53985" spans="1:6" x14ac:dyDescent="0.25">
      <c r="A53985"/>
      <c r="B53985"/>
      <c r="C53985"/>
      <c r="E53985"/>
      <c r="F53985"/>
    </row>
    <row r="53986" spans="1:6" x14ac:dyDescent="0.25">
      <c r="A53986"/>
      <c r="B53986"/>
      <c r="C53986"/>
      <c r="E53986"/>
      <c r="F53986"/>
    </row>
    <row r="53987" spans="1:6" x14ac:dyDescent="0.25">
      <c r="A53987"/>
      <c r="B53987"/>
      <c r="C53987"/>
      <c r="E53987"/>
      <c r="F53987"/>
    </row>
    <row r="53988" spans="1:6" x14ac:dyDescent="0.25">
      <c r="A53988"/>
      <c r="B53988"/>
      <c r="C53988"/>
      <c r="E53988"/>
      <c r="F53988"/>
    </row>
    <row r="53989" spans="1:6" x14ac:dyDescent="0.25">
      <c r="A53989"/>
      <c r="B53989"/>
      <c r="C53989"/>
      <c r="E53989"/>
      <c r="F53989"/>
    </row>
    <row r="53990" spans="1:6" x14ac:dyDescent="0.25">
      <c r="A53990"/>
      <c r="B53990"/>
      <c r="C53990"/>
      <c r="E53990"/>
      <c r="F53990"/>
    </row>
    <row r="53991" spans="1:6" x14ac:dyDescent="0.25">
      <c r="A53991"/>
      <c r="B53991"/>
      <c r="C53991"/>
      <c r="E53991"/>
      <c r="F53991"/>
    </row>
    <row r="53992" spans="1:6" x14ac:dyDescent="0.25">
      <c r="A53992"/>
      <c r="B53992"/>
      <c r="C53992"/>
      <c r="E53992"/>
      <c r="F53992"/>
    </row>
    <row r="53993" spans="1:6" x14ac:dyDescent="0.25">
      <c r="A53993"/>
      <c r="B53993"/>
      <c r="C53993"/>
      <c r="E53993"/>
      <c r="F53993"/>
    </row>
    <row r="53994" spans="1:6" x14ac:dyDescent="0.25">
      <c r="A53994"/>
      <c r="B53994"/>
      <c r="C53994"/>
      <c r="E53994"/>
      <c r="F53994"/>
    </row>
    <row r="53995" spans="1:6" x14ac:dyDescent="0.25">
      <c r="A53995"/>
      <c r="B53995"/>
      <c r="C53995"/>
      <c r="E53995"/>
      <c r="F53995"/>
    </row>
    <row r="53996" spans="1:6" x14ac:dyDescent="0.25">
      <c r="A53996"/>
      <c r="B53996"/>
      <c r="C53996"/>
      <c r="E53996"/>
      <c r="F53996"/>
    </row>
    <row r="53997" spans="1:6" x14ac:dyDescent="0.25">
      <c r="A53997"/>
      <c r="B53997"/>
      <c r="C53997"/>
      <c r="E53997"/>
      <c r="F53997"/>
    </row>
    <row r="53998" spans="1:6" x14ac:dyDescent="0.25">
      <c r="A53998"/>
      <c r="B53998"/>
      <c r="C53998"/>
      <c r="E53998"/>
      <c r="F53998"/>
    </row>
    <row r="53999" spans="1:6" x14ac:dyDescent="0.25">
      <c r="A53999"/>
      <c r="B53999"/>
      <c r="C53999"/>
      <c r="E53999"/>
      <c r="F53999"/>
    </row>
    <row r="54000" spans="1:6" x14ac:dyDescent="0.25">
      <c r="A54000"/>
      <c r="B54000"/>
      <c r="C54000"/>
      <c r="E54000"/>
      <c r="F54000"/>
    </row>
    <row r="54001" spans="1:6" x14ac:dyDescent="0.25">
      <c r="A54001"/>
      <c r="B54001"/>
      <c r="C54001"/>
      <c r="E54001"/>
      <c r="F54001"/>
    </row>
    <row r="54002" spans="1:6" x14ac:dyDescent="0.25">
      <c r="A54002"/>
      <c r="B54002"/>
      <c r="C54002"/>
      <c r="E54002"/>
      <c r="F54002"/>
    </row>
    <row r="54003" spans="1:6" x14ac:dyDescent="0.25">
      <c r="A54003"/>
      <c r="B54003"/>
      <c r="C54003"/>
      <c r="E54003"/>
      <c r="F54003"/>
    </row>
    <row r="54004" spans="1:6" x14ac:dyDescent="0.25">
      <c r="A54004"/>
      <c r="B54004"/>
      <c r="C54004"/>
      <c r="E54004"/>
      <c r="F54004"/>
    </row>
    <row r="54005" spans="1:6" x14ac:dyDescent="0.25">
      <c r="A54005"/>
      <c r="B54005"/>
      <c r="C54005"/>
      <c r="E54005"/>
      <c r="F54005"/>
    </row>
    <row r="54006" spans="1:6" x14ac:dyDescent="0.25">
      <c r="A54006"/>
      <c r="B54006"/>
      <c r="C54006"/>
      <c r="E54006"/>
      <c r="F54006"/>
    </row>
    <row r="54007" spans="1:6" x14ac:dyDescent="0.25">
      <c r="A54007"/>
      <c r="B54007"/>
      <c r="C54007"/>
      <c r="E54007"/>
      <c r="F54007"/>
    </row>
    <row r="54008" spans="1:6" x14ac:dyDescent="0.25">
      <c r="A54008"/>
      <c r="B54008"/>
      <c r="C54008"/>
      <c r="E54008"/>
      <c r="F54008"/>
    </row>
    <row r="54009" spans="1:6" x14ac:dyDescent="0.25">
      <c r="A54009"/>
      <c r="B54009"/>
      <c r="C54009"/>
      <c r="E54009"/>
      <c r="F54009"/>
    </row>
    <row r="54010" spans="1:6" x14ac:dyDescent="0.25">
      <c r="A54010"/>
      <c r="B54010"/>
      <c r="C54010"/>
      <c r="E54010"/>
      <c r="F54010"/>
    </row>
    <row r="54011" spans="1:6" x14ac:dyDescent="0.25">
      <c r="A54011"/>
      <c r="B54011"/>
      <c r="C54011"/>
      <c r="E54011"/>
      <c r="F54011"/>
    </row>
    <row r="54012" spans="1:6" x14ac:dyDescent="0.25">
      <c r="A54012"/>
      <c r="B54012"/>
      <c r="C54012"/>
      <c r="E54012"/>
      <c r="F54012"/>
    </row>
    <row r="54013" spans="1:6" x14ac:dyDescent="0.25">
      <c r="A54013"/>
      <c r="B54013"/>
      <c r="C54013"/>
      <c r="E54013"/>
      <c r="F54013"/>
    </row>
    <row r="54014" spans="1:6" x14ac:dyDescent="0.25">
      <c r="A54014"/>
      <c r="B54014"/>
      <c r="C54014"/>
      <c r="E54014"/>
      <c r="F54014"/>
    </row>
    <row r="54015" spans="1:6" x14ac:dyDescent="0.25">
      <c r="A54015"/>
      <c r="B54015"/>
      <c r="C54015"/>
      <c r="E54015"/>
      <c r="F54015"/>
    </row>
    <row r="54016" spans="1:6" x14ac:dyDescent="0.25">
      <c r="A54016"/>
      <c r="B54016"/>
      <c r="C54016"/>
      <c r="E54016"/>
      <c r="F54016"/>
    </row>
    <row r="54017" spans="1:6" x14ac:dyDescent="0.25">
      <c r="A54017"/>
      <c r="B54017"/>
      <c r="C54017"/>
      <c r="E54017"/>
      <c r="F54017"/>
    </row>
    <row r="54018" spans="1:6" x14ac:dyDescent="0.25">
      <c r="A54018"/>
      <c r="B54018"/>
      <c r="C54018"/>
      <c r="E54018"/>
      <c r="F54018"/>
    </row>
    <row r="54019" spans="1:6" x14ac:dyDescent="0.25">
      <c r="A54019"/>
      <c r="B54019"/>
      <c r="C54019"/>
      <c r="E54019"/>
      <c r="F54019"/>
    </row>
    <row r="54020" spans="1:6" x14ac:dyDescent="0.25">
      <c r="A54020"/>
      <c r="B54020"/>
      <c r="C54020"/>
      <c r="E54020"/>
      <c r="F54020"/>
    </row>
    <row r="54021" spans="1:6" x14ac:dyDescent="0.25">
      <c r="A54021"/>
      <c r="B54021"/>
      <c r="C54021"/>
      <c r="E54021"/>
      <c r="F54021"/>
    </row>
    <row r="54022" spans="1:6" x14ac:dyDescent="0.25">
      <c r="A54022"/>
      <c r="B54022"/>
      <c r="C54022"/>
      <c r="E54022"/>
      <c r="F54022"/>
    </row>
    <row r="54023" spans="1:6" x14ac:dyDescent="0.25">
      <c r="A54023"/>
      <c r="B54023"/>
      <c r="C54023"/>
      <c r="E54023"/>
      <c r="F54023"/>
    </row>
    <row r="54024" spans="1:6" x14ac:dyDescent="0.25">
      <c r="A54024"/>
      <c r="B54024"/>
      <c r="C54024"/>
      <c r="E54024"/>
      <c r="F54024"/>
    </row>
    <row r="54025" spans="1:6" x14ac:dyDescent="0.25">
      <c r="A54025"/>
      <c r="B54025"/>
      <c r="C54025"/>
      <c r="E54025"/>
      <c r="F54025"/>
    </row>
    <row r="54026" spans="1:6" x14ac:dyDescent="0.25">
      <c r="A54026"/>
      <c r="B54026"/>
      <c r="C54026"/>
      <c r="E54026"/>
      <c r="F54026"/>
    </row>
    <row r="54027" spans="1:6" x14ac:dyDescent="0.25">
      <c r="A54027"/>
      <c r="B54027"/>
      <c r="C54027"/>
      <c r="E54027"/>
      <c r="F54027"/>
    </row>
    <row r="54028" spans="1:6" x14ac:dyDescent="0.25">
      <c r="A54028"/>
      <c r="B54028"/>
      <c r="C54028"/>
      <c r="E54028"/>
      <c r="F54028"/>
    </row>
    <row r="54029" spans="1:6" x14ac:dyDescent="0.25">
      <c r="A54029"/>
      <c r="B54029"/>
      <c r="C54029"/>
      <c r="E54029"/>
      <c r="F54029"/>
    </row>
    <row r="54030" spans="1:6" x14ac:dyDescent="0.25">
      <c r="A54030"/>
      <c r="B54030"/>
      <c r="C54030"/>
      <c r="E54030"/>
      <c r="F54030"/>
    </row>
    <row r="54031" spans="1:6" x14ac:dyDescent="0.25">
      <c r="A54031"/>
      <c r="B54031"/>
      <c r="C54031"/>
      <c r="E54031"/>
      <c r="F54031"/>
    </row>
    <row r="54032" spans="1:6" x14ac:dyDescent="0.25">
      <c r="A54032"/>
      <c r="B54032"/>
      <c r="C54032"/>
      <c r="E54032"/>
      <c r="F54032"/>
    </row>
    <row r="54033" spans="1:6" x14ac:dyDescent="0.25">
      <c r="A54033"/>
      <c r="B54033"/>
      <c r="C54033"/>
      <c r="E54033"/>
      <c r="F54033"/>
    </row>
    <row r="54034" spans="1:6" x14ac:dyDescent="0.25">
      <c r="A54034"/>
      <c r="B54034"/>
      <c r="C54034"/>
      <c r="E54034"/>
      <c r="F54034"/>
    </row>
    <row r="54035" spans="1:6" x14ac:dyDescent="0.25">
      <c r="A54035"/>
      <c r="B54035"/>
      <c r="C54035"/>
      <c r="E54035"/>
      <c r="F54035"/>
    </row>
    <row r="54036" spans="1:6" x14ac:dyDescent="0.25">
      <c r="A54036"/>
      <c r="B54036"/>
      <c r="C54036"/>
      <c r="E54036"/>
      <c r="F54036"/>
    </row>
    <row r="54037" spans="1:6" x14ac:dyDescent="0.25">
      <c r="A54037"/>
      <c r="B54037"/>
      <c r="C54037"/>
      <c r="E54037"/>
      <c r="F54037"/>
    </row>
    <row r="54038" spans="1:6" x14ac:dyDescent="0.25">
      <c r="A54038"/>
      <c r="B54038"/>
      <c r="C54038"/>
      <c r="E54038"/>
      <c r="F54038"/>
    </row>
    <row r="54039" spans="1:6" x14ac:dyDescent="0.25">
      <c r="A54039"/>
      <c r="B54039"/>
      <c r="C54039"/>
      <c r="E54039"/>
      <c r="F54039"/>
    </row>
    <row r="54040" spans="1:6" x14ac:dyDescent="0.25">
      <c r="A54040"/>
      <c r="B54040"/>
      <c r="C54040"/>
      <c r="E54040"/>
      <c r="F54040"/>
    </row>
    <row r="54041" spans="1:6" x14ac:dyDescent="0.25">
      <c r="A54041"/>
      <c r="B54041"/>
      <c r="C54041"/>
      <c r="E54041"/>
      <c r="F54041"/>
    </row>
    <row r="54042" spans="1:6" x14ac:dyDescent="0.25">
      <c r="A54042"/>
      <c r="B54042"/>
      <c r="C54042"/>
      <c r="E54042"/>
      <c r="F54042"/>
    </row>
    <row r="54043" spans="1:6" x14ac:dyDescent="0.25">
      <c r="A54043"/>
      <c r="B54043"/>
      <c r="C54043"/>
      <c r="E54043"/>
      <c r="F54043"/>
    </row>
    <row r="54044" spans="1:6" x14ac:dyDescent="0.25">
      <c r="A54044"/>
      <c r="B54044"/>
      <c r="C54044"/>
      <c r="E54044"/>
      <c r="F54044"/>
    </row>
    <row r="54045" spans="1:6" x14ac:dyDescent="0.25">
      <c r="A54045"/>
      <c r="B54045"/>
      <c r="C54045"/>
      <c r="E54045"/>
      <c r="F54045"/>
    </row>
    <row r="54046" spans="1:6" x14ac:dyDescent="0.25">
      <c r="A54046"/>
      <c r="B54046"/>
      <c r="C54046"/>
      <c r="E54046"/>
      <c r="F54046"/>
    </row>
    <row r="54047" spans="1:6" x14ac:dyDescent="0.25">
      <c r="A54047"/>
      <c r="B54047"/>
      <c r="C54047"/>
      <c r="E54047"/>
      <c r="F54047"/>
    </row>
    <row r="54048" spans="1:6" x14ac:dyDescent="0.25">
      <c r="A54048"/>
      <c r="B54048"/>
      <c r="C54048"/>
      <c r="E54048"/>
      <c r="F54048"/>
    </row>
    <row r="54049" spans="1:6" x14ac:dyDescent="0.25">
      <c r="A54049"/>
      <c r="B54049"/>
      <c r="C54049"/>
      <c r="E54049"/>
      <c r="F54049"/>
    </row>
    <row r="54050" spans="1:6" x14ac:dyDescent="0.25">
      <c r="A54050"/>
      <c r="B54050"/>
      <c r="C54050"/>
      <c r="E54050"/>
      <c r="F54050"/>
    </row>
    <row r="54051" spans="1:6" x14ac:dyDescent="0.25">
      <c r="A54051"/>
      <c r="B54051"/>
      <c r="C54051"/>
      <c r="E54051"/>
      <c r="F54051"/>
    </row>
    <row r="54052" spans="1:6" x14ac:dyDescent="0.25">
      <c r="A54052"/>
      <c r="B54052"/>
      <c r="C54052"/>
      <c r="E54052"/>
      <c r="F54052"/>
    </row>
    <row r="54053" spans="1:6" x14ac:dyDescent="0.25">
      <c r="A54053"/>
      <c r="B54053"/>
      <c r="C54053"/>
      <c r="E54053"/>
      <c r="F54053"/>
    </row>
    <row r="54054" spans="1:6" x14ac:dyDescent="0.25">
      <c r="A54054"/>
      <c r="B54054"/>
      <c r="C54054"/>
      <c r="E54054"/>
      <c r="F54054"/>
    </row>
    <row r="54055" spans="1:6" x14ac:dyDescent="0.25">
      <c r="A54055"/>
      <c r="B54055"/>
      <c r="C54055"/>
      <c r="E54055"/>
      <c r="F54055"/>
    </row>
    <row r="54056" spans="1:6" x14ac:dyDescent="0.25">
      <c r="A54056"/>
      <c r="B54056"/>
      <c r="C54056"/>
      <c r="E54056"/>
      <c r="F54056"/>
    </row>
    <row r="54057" spans="1:6" x14ac:dyDescent="0.25">
      <c r="A54057"/>
      <c r="B54057"/>
      <c r="C54057"/>
      <c r="E54057"/>
      <c r="F54057"/>
    </row>
    <row r="54058" spans="1:6" x14ac:dyDescent="0.25">
      <c r="A54058"/>
      <c r="B54058"/>
      <c r="C54058"/>
      <c r="E54058"/>
      <c r="F54058"/>
    </row>
    <row r="54059" spans="1:6" x14ac:dyDescent="0.25">
      <c r="A54059"/>
      <c r="B54059"/>
      <c r="C54059"/>
      <c r="E54059"/>
      <c r="F54059"/>
    </row>
    <row r="54060" spans="1:6" x14ac:dyDescent="0.25">
      <c r="A54060"/>
      <c r="B54060"/>
      <c r="C54060"/>
      <c r="E54060"/>
      <c r="F54060"/>
    </row>
    <row r="54061" spans="1:6" x14ac:dyDescent="0.25">
      <c r="A54061"/>
      <c r="B54061"/>
      <c r="C54061"/>
      <c r="E54061"/>
      <c r="F54061"/>
    </row>
    <row r="54062" spans="1:6" x14ac:dyDescent="0.25">
      <c r="A54062"/>
      <c r="B54062"/>
      <c r="C54062"/>
      <c r="E54062"/>
      <c r="F54062"/>
    </row>
    <row r="54063" spans="1:6" x14ac:dyDescent="0.25">
      <c r="A54063"/>
      <c r="B54063"/>
      <c r="C54063"/>
      <c r="E54063"/>
      <c r="F54063"/>
    </row>
    <row r="54064" spans="1:6" x14ac:dyDescent="0.25">
      <c r="A54064"/>
      <c r="B54064"/>
      <c r="C54064"/>
      <c r="E54064"/>
      <c r="F54064"/>
    </row>
    <row r="54065" spans="1:6" x14ac:dyDescent="0.25">
      <c r="A54065"/>
      <c r="B54065"/>
      <c r="C54065"/>
      <c r="E54065"/>
      <c r="F54065"/>
    </row>
    <row r="54066" spans="1:6" x14ac:dyDescent="0.25">
      <c r="A54066"/>
      <c r="B54066"/>
      <c r="C54066"/>
      <c r="E54066"/>
      <c r="F54066"/>
    </row>
    <row r="54067" spans="1:6" x14ac:dyDescent="0.25">
      <c r="A54067"/>
      <c r="B54067"/>
      <c r="C54067"/>
      <c r="E54067"/>
      <c r="F54067"/>
    </row>
    <row r="54068" spans="1:6" x14ac:dyDescent="0.25">
      <c r="A54068"/>
      <c r="B54068"/>
      <c r="C54068"/>
      <c r="E54068"/>
      <c r="F54068"/>
    </row>
    <row r="54069" spans="1:6" x14ac:dyDescent="0.25">
      <c r="A54069"/>
      <c r="B54069"/>
      <c r="C54069"/>
      <c r="E54069"/>
      <c r="F54069"/>
    </row>
    <row r="54070" spans="1:6" x14ac:dyDescent="0.25">
      <c r="A54070"/>
      <c r="B54070"/>
      <c r="C54070"/>
      <c r="E54070"/>
      <c r="F54070"/>
    </row>
    <row r="54071" spans="1:6" x14ac:dyDescent="0.25">
      <c r="A54071"/>
      <c r="B54071"/>
      <c r="C54071"/>
      <c r="E54071"/>
      <c r="F54071"/>
    </row>
    <row r="54072" spans="1:6" x14ac:dyDescent="0.25">
      <c r="A54072"/>
      <c r="B54072"/>
      <c r="C54072"/>
      <c r="E54072"/>
      <c r="F54072"/>
    </row>
    <row r="54073" spans="1:6" x14ac:dyDescent="0.25">
      <c r="A54073"/>
      <c r="B54073"/>
      <c r="C54073"/>
      <c r="E54073"/>
      <c r="F54073"/>
    </row>
    <row r="54074" spans="1:6" x14ac:dyDescent="0.25">
      <c r="A54074"/>
      <c r="B54074"/>
      <c r="C54074"/>
      <c r="E54074"/>
      <c r="F54074"/>
    </row>
    <row r="54075" spans="1:6" x14ac:dyDescent="0.25">
      <c r="A54075"/>
      <c r="B54075"/>
      <c r="C54075"/>
      <c r="E54075"/>
      <c r="F54075"/>
    </row>
    <row r="54076" spans="1:6" x14ac:dyDescent="0.25">
      <c r="A54076"/>
      <c r="B54076"/>
      <c r="C54076"/>
      <c r="E54076"/>
      <c r="F54076"/>
    </row>
    <row r="54077" spans="1:6" x14ac:dyDescent="0.25">
      <c r="A54077"/>
      <c r="B54077"/>
      <c r="C54077"/>
      <c r="E54077"/>
      <c r="F54077"/>
    </row>
    <row r="54078" spans="1:6" x14ac:dyDescent="0.25">
      <c r="A54078"/>
      <c r="B54078"/>
      <c r="C54078"/>
      <c r="E54078"/>
      <c r="F54078"/>
    </row>
    <row r="54079" spans="1:6" x14ac:dyDescent="0.25">
      <c r="A54079"/>
      <c r="B54079"/>
      <c r="C54079"/>
      <c r="E54079"/>
      <c r="F54079"/>
    </row>
    <row r="54080" spans="1:6" x14ac:dyDescent="0.25">
      <c r="A54080"/>
      <c r="B54080"/>
      <c r="C54080"/>
      <c r="E54080"/>
      <c r="F54080"/>
    </row>
    <row r="54081" spans="1:6" x14ac:dyDescent="0.25">
      <c r="A54081"/>
      <c r="B54081"/>
      <c r="C54081"/>
      <c r="E54081"/>
      <c r="F54081"/>
    </row>
    <row r="54082" spans="1:6" x14ac:dyDescent="0.25">
      <c r="A54082"/>
      <c r="B54082"/>
      <c r="C54082"/>
      <c r="E54082"/>
      <c r="F54082"/>
    </row>
    <row r="54083" spans="1:6" x14ac:dyDescent="0.25">
      <c r="A54083"/>
      <c r="B54083"/>
      <c r="C54083"/>
      <c r="E54083"/>
      <c r="F54083"/>
    </row>
    <row r="54084" spans="1:6" x14ac:dyDescent="0.25">
      <c r="A54084"/>
      <c r="B54084"/>
      <c r="C54084"/>
      <c r="E54084"/>
      <c r="F54084"/>
    </row>
    <row r="54085" spans="1:6" x14ac:dyDescent="0.25">
      <c r="A54085"/>
      <c r="B54085"/>
      <c r="C54085"/>
      <c r="E54085"/>
      <c r="F54085"/>
    </row>
    <row r="54086" spans="1:6" x14ac:dyDescent="0.25">
      <c r="A54086"/>
      <c r="B54086"/>
      <c r="C54086"/>
      <c r="E54086"/>
      <c r="F54086"/>
    </row>
    <row r="54087" spans="1:6" x14ac:dyDescent="0.25">
      <c r="A54087"/>
      <c r="B54087"/>
      <c r="C54087"/>
      <c r="E54087"/>
      <c r="F54087"/>
    </row>
    <row r="54088" spans="1:6" x14ac:dyDescent="0.25">
      <c r="A54088"/>
      <c r="B54088"/>
      <c r="C54088"/>
      <c r="E54088"/>
      <c r="F54088"/>
    </row>
    <row r="54089" spans="1:6" x14ac:dyDescent="0.25">
      <c r="A54089"/>
      <c r="B54089"/>
      <c r="C54089"/>
      <c r="E54089"/>
      <c r="F54089"/>
    </row>
    <row r="54090" spans="1:6" x14ac:dyDescent="0.25">
      <c r="A54090"/>
      <c r="B54090"/>
      <c r="C54090"/>
      <c r="E54090"/>
      <c r="F54090"/>
    </row>
    <row r="54091" spans="1:6" x14ac:dyDescent="0.25">
      <c r="A54091"/>
      <c r="B54091"/>
      <c r="C54091"/>
      <c r="E54091"/>
      <c r="F54091"/>
    </row>
    <row r="54092" spans="1:6" x14ac:dyDescent="0.25">
      <c r="A54092"/>
      <c r="B54092"/>
      <c r="C54092"/>
      <c r="E54092"/>
      <c r="F54092"/>
    </row>
    <row r="54093" spans="1:6" x14ac:dyDescent="0.25">
      <c r="A54093"/>
      <c r="B54093"/>
      <c r="C54093"/>
      <c r="E54093"/>
      <c r="F54093"/>
    </row>
    <row r="54094" spans="1:6" x14ac:dyDescent="0.25">
      <c r="A54094"/>
      <c r="B54094"/>
      <c r="C54094"/>
      <c r="E54094"/>
      <c r="F54094"/>
    </row>
    <row r="54095" spans="1:6" x14ac:dyDescent="0.25">
      <c r="A54095"/>
      <c r="B54095"/>
      <c r="C54095"/>
      <c r="E54095"/>
      <c r="F54095"/>
    </row>
    <row r="54096" spans="1:6" x14ac:dyDescent="0.25">
      <c r="A54096"/>
      <c r="B54096"/>
      <c r="C54096"/>
      <c r="E54096"/>
      <c r="F54096"/>
    </row>
    <row r="54097" spans="1:6" x14ac:dyDescent="0.25">
      <c r="A54097"/>
      <c r="B54097"/>
      <c r="C54097"/>
      <c r="E54097"/>
      <c r="F54097"/>
    </row>
    <row r="54098" spans="1:6" x14ac:dyDescent="0.25">
      <c r="A54098"/>
      <c r="B54098"/>
      <c r="C54098"/>
      <c r="E54098"/>
      <c r="F54098"/>
    </row>
    <row r="54099" spans="1:6" x14ac:dyDescent="0.25">
      <c r="A54099"/>
      <c r="B54099"/>
      <c r="C54099"/>
      <c r="E54099"/>
      <c r="F54099"/>
    </row>
    <row r="54100" spans="1:6" x14ac:dyDescent="0.25">
      <c r="A54100"/>
      <c r="B54100"/>
      <c r="C54100"/>
      <c r="E54100"/>
      <c r="F54100"/>
    </row>
    <row r="54101" spans="1:6" x14ac:dyDescent="0.25">
      <c r="A54101"/>
      <c r="B54101"/>
      <c r="C54101"/>
      <c r="E54101"/>
      <c r="F54101"/>
    </row>
    <row r="54102" spans="1:6" x14ac:dyDescent="0.25">
      <c r="A54102"/>
      <c r="B54102"/>
      <c r="C54102"/>
      <c r="E54102"/>
      <c r="F54102"/>
    </row>
    <row r="54103" spans="1:6" x14ac:dyDescent="0.25">
      <c r="A54103"/>
      <c r="B54103"/>
      <c r="C54103"/>
      <c r="E54103"/>
      <c r="F54103"/>
    </row>
    <row r="54104" spans="1:6" x14ac:dyDescent="0.25">
      <c r="A54104"/>
      <c r="B54104"/>
      <c r="C54104"/>
      <c r="E54104"/>
      <c r="F54104"/>
    </row>
    <row r="54105" spans="1:6" x14ac:dyDescent="0.25">
      <c r="A54105"/>
      <c r="B54105"/>
      <c r="C54105"/>
      <c r="E54105"/>
      <c r="F54105"/>
    </row>
    <row r="54106" spans="1:6" x14ac:dyDescent="0.25">
      <c r="A54106"/>
      <c r="B54106"/>
      <c r="C54106"/>
      <c r="E54106"/>
      <c r="F54106"/>
    </row>
    <row r="54107" spans="1:6" x14ac:dyDescent="0.25">
      <c r="A54107"/>
      <c r="B54107"/>
      <c r="C54107"/>
      <c r="E54107"/>
      <c r="F54107"/>
    </row>
    <row r="54108" spans="1:6" x14ac:dyDescent="0.25">
      <c r="A54108"/>
      <c r="B54108"/>
      <c r="C54108"/>
      <c r="E54108"/>
      <c r="F54108"/>
    </row>
    <row r="54109" spans="1:6" x14ac:dyDescent="0.25">
      <c r="A54109"/>
      <c r="B54109"/>
      <c r="C54109"/>
      <c r="E54109"/>
      <c r="F54109"/>
    </row>
    <row r="54110" spans="1:6" x14ac:dyDescent="0.25">
      <c r="A54110"/>
      <c r="B54110"/>
      <c r="C54110"/>
      <c r="E54110"/>
      <c r="F54110"/>
    </row>
    <row r="54111" spans="1:6" x14ac:dyDescent="0.25">
      <c r="A54111"/>
      <c r="B54111"/>
      <c r="C54111"/>
      <c r="E54111"/>
      <c r="F54111"/>
    </row>
    <row r="54112" spans="1:6" x14ac:dyDescent="0.25">
      <c r="A54112"/>
      <c r="B54112"/>
      <c r="C54112"/>
      <c r="E54112"/>
      <c r="F54112"/>
    </row>
    <row r="54113" spans="1:6" x14ac:dyDescent="0.25">
      <c r="A54113"/>
      <c r="B54113"/>
      <c r="C54113"/>
      <c r="E54113"/>
      <c r="F54113"/>
    </row>
    <row r="54114" spans="1:6" x14ac:dyDescent="0.25">
      <c r="A54114"/>
      <c r="B54114"/>
      <c r="C54114"/>
      <c r="E54114"/>
      <c r="F54114"/>
    </row>
    <row r="54115" spans="1:6" x14ac:dyDescent="0.25">
      <c r="A54115"/>
      <c r="B54115"/>
      <c r="C54115"/>
      <c r="E54115"/>
      <c r="F54115"/>
    </row>
    <row r="54116" spans="1:6" x14ac:dyDescent="0.25">
      <c r="A54116"/>
      <c r="B54116"/>
      <c r="C54116"/>
      <c r="E54116"/>
      <c r="F54116"/>
    </row>
    <row r="54117" spans="1:6" x14ac:dyDescent="0.25">
      <c r="A54117"/>
      <c r="B54117"/>
      <c r="C54117"/>
      <c r="E54117"/>
      <c r="F54117"/>
    </row>
    <row r="54118" spans="1:6" x14ac:dyDescent="0.25">
      <c r="A54118"/>
      <c r="B54118"/>
      <c r="C54118"/>
      <c r="E54118"/>
      <c r="F54118"/>
    </row>
    <row r="54119" spans="1:6" x14ac:dyDescent="0.25">
      <c r="A54119"/>
      <c r="B54119"/>
      <c r="C54119"/>
      <c r="E54119"/>
      <c r="F54119"/>
    </row>
    <row r="54120" spans="1:6" x14ac:dyDescent="0.25">
      <c r="A54120"/>
      <c r="B54120"/>
      <c r="C54120"/>
      <c r="E54120"/>
      <c r="F54120"/>
    </row>
    <row r="54121" spans="1:6" x14ac:dyDescent="0.25">
      <c r="A54121"/>
      <c r="B54121"/>
      <c r="C54121"/>
      <c r="E54121"/>
      <c r="F54121"/>
    </row>
    <row r="54122" spans="1:6" x14ac:dyDescent="0.25">
      <c r="A54122"/>
      <c r="B54122"/>
      <c r="C54122"/>
      <c r="E54122"/>
      <c r="F54122"/>
    </row>
    <row r="54123" spans="1:6" x14ac:dyDescent="0.25">
      <c r="A54123"/>
      <c r="B54123"/>
      <c r="C54123"/>
      <c r="E54123"/>
      <c r="F54123"/>
    </row>
    <row r="54124" spans="1:6" x14ac:dyDescent="0.25">
      <c r="A54124"/>
      <c r="B54124"/>
      <c r="C54124"/>
      <c r="E54124"/>
      <c r="F54124"/>
    </row>
    <row r="54125" spans="1:6" x14ac:dyDescent="0.25">
      <c r="A54125"/>
      <c r="B54125"/>
      <c r="C54125"/>
      <c r="E54125"/>
      <c r="F54125"/>
    </row>
    <row r="54126" spans="1:6" x14ac:dyDescent="0.25">
      <c r="A54126"/>
      <c r="B54126"/>
      <c r="C54126"/>
      <c r="E54126"/>
      <c r="F54126"/>
    </row>
    <row r="54127" spans="1:6" x14ac:dyDescent="0.25">
      <c r="A54127"/>
      <c r="B54127"/>
      <c r="C54127"/>
      <c r="E54127"/>
      <c r="F54127"/>
    </row>
    <row r="54128" spans="1:6" x14ac:dyDescent="0.25">
      <c r="A54128"/>
      <c r="B54128"/>
      <c r="C54128"/>
      <c r="E54128"/>
      <c r="F54128"/>
    </row>
    <row r="54129" spans="1:6" x14ac:dyDescent="0.25">
      <c r="A54129"/>
      <c r="B54129"/>
      <c r="C54129"/>
      <c r="E54129"/>
      <c r="F54129"/>
    </row>
    <row r="54130" spans="1:6" x14ac:dyDescent="0.25">
      <c r="A54130"/>
      <c r="B54130"/>
      <c r="C54130"/>
      <c r="E54130"/>
      <c r="F54130"/>
    </row>
    <row r="54131" spans="1:6" x14ac:dyDescent="0.25">
      <c r="A54131"/>
      <c r="B54131"/>
      <c r="C54131"/>
      <c r="E54131"/>
      <c r="F54131"/>
    </row>
    <row r="54132" spans="1:6" x14ac:dyDescent="0.25">
      <c r="A54132"/>
      <c r="B54132"/>
      <c r="C54132"/>
      <c r="E54132"/>
      <c r="F54132"/>
    </row>
    <row r="54133" spans="1:6" x14ac:dyDescent="0.25">
      <c r="A54133"/>
      <c r="B54133"/>
      <c r="C54133"/>
      <c r="E54133"/>
      <c r="F54133"/>
    </row>
    <row r="54134" spans="1:6" x14ac:dyDescent="0.25">
      <c r="A54134"/>
      <c r="B54134"/>
      <c r="C54134"/>
      <c r="E54134"/>
      <c r="F54134"/>
    </row>
    <row r="54135" spans="1:6" x14ac:dyDescent="0.25">
      <c r="A54135"/>
      <c r="B54135"/>
      <c r="C54135"/>
      <c r="E54135"/>
      <c r="F54135"/>
    </row>
    <row r="54136" spans="1:6" x14ac:dyDescent="0.25">
      <c r="A54136"/>
      <c r="B54136"/>
      <c r="C54136"/>
      <c r="E54136"/>
      <c r="F54136"/>
    </row>
    <row r="54137" spans="1:6" x14ac:dyDescent="0.25">
      <c r="A54137"/>
      <c r="B54137"/>
      <c r="C54137"/>
      <c r="E54137"/>
      <c r="F54137"/>
    </row>
    <row r="54138" spans="1:6" x14ac:dyDescent="0.25">
      <c r="A54138"/>
      <c r="B54138"/>
      <c r="C54138"/>
      <c r="E54138"/>
      <c r="F54138"/>
    </row>
    <row r="54139" spans="1:6" x14ac:dyDescent="0.25">
      <c r="A54139"/>
      <c r="B54139"/>
      <c r="C54139"/>
      <c r="E54139"/>
      <c r="F54139"/>
    </row>
    <row r="54140" spans="1:6" x14ac:dyDescent="0.25">
      <c r="A54140"/>
      <c r="B54140"/>
      <c r="C54140"/>
      <c r="E54140"/>
      <c r="F54140"/>
    </row>
    <row r="54141" spans="1:6" x14ac:dyDescent="0.25">
      <c r="A54141"/>
      <c r="B54141"/>
      <c r="C54141"/>
      <c r="E54141"/>
      <c r="F54141"/>
    </row>
    <row r="54142" spans="1:6" x14ac:dyDescent="0.25">
      <c r="A54142"/>
      <c r="B54142"/>
      <c r="C54142"/>
      <c r="E54142"/>
      <c r="F54142"/>
    </row>
    <row r="54143" spans="1:6" x14ac:dyDescent="0.25">
      <c r="A54143"/>
      <c r="B54143"/>
      <c r="C54143"/>
      <c r="E54143"/>
      <c r="F54143"/>
    </row>
    <row r="54144" spans="1:6" x14ac:dyDescent="0.25">
      <c r="A54144"/>
      <c r="B54144"/>
      <c r="C54144"/>
      <c r="E54144"/>
      <c r="F54144"/>
    </row>
    <row r="54145" spans="1:6" x14ac:dyDescent="0.25">
      <c r="A54145"/>
      <c r="B54145"/>
      <c r="C54145"/>
      <c r="E54145"/>
      <c r="F54145"/>
    </row>
    <row r="54146" spans="1:6" x14ac:dyDescent="0.25">
      <c r="A54146"/>
      <c r="B54146"/>
      <c r="C54146"/>
      <c r="E54146"/>
      <c r="F54146"/>
    </row>
    <row r="54147" spans="1:6" x14ac:dyDescent="0.25">
      <c r="A54147"/>
      <c r="B54147"/>
      <c r="C54147"/>
      <c r="E54147"/>
      <c r="F54147"/>
    </row>
    <row r="54148" spans="1:6" x14ac:dyDescent="0.25">
      <c r="A54148"/>
      <c r="B54148"/>
      <c r="C54148"/>
      <c r="E54148"/>
      <c r="F54148"/>
    </row>
    <row r="54149" spans="1:6" x14ac:dyDescent="0.25">
      <c r="A54149"/>
      <c r="B54149"/>
      <c r="C54149"/>
      <c r="E54149"/>
      <c r="F54149"/>
    </row>
    <row r="54150" spans="1:6" x14ac:dyDescent="0.25">
      <c r="A54150"/>
      <c r="B54150"/>
      <c r="C54150"/>
      <c r="E54150"/>
      <c r="F54150"/>
    </row>
    <row r="54151" spans="1:6" x14ac:dyDescent="0.25">
      <c r="A54151"/>
      <c r="B54151"/>
      <c r="C54151"/>
      <c r="E54151"/>
      <c r="F54151"/>
    </row>
    <row r="54152" spans="1:6" x14ac:dyDescent="0.25">
      <c r="A54152"/>
      <c r="B54152"/>
      <c r="C54152"/>
      <c r="E54152"/>
      <c r="F54152"/>
    </row>
    <row r="54153" spans="1:6" x14ac:dyDescent="0.25">
      <c r="A54153"/>
      <c r="B54153"/>
      <c r="C54153"/>
      <c r="E54153"/>
      <c r="F54153"/>
    </row>
    <row r="54154" spans="1:6" x14ac:dyDescent="0.25">
      <c r="A54154"/>
      <c r="B54154"/>
      <c r="C54154"/>
      <c r="E54154"/>
      <c r="F54154"/>
    </row>
    <row r="54155" spans="1:6" x14ac:dyDescent="0.25">
      <c r="A54155"/>
      <c r="B54155"/>
      <c r="C54155"/>
      <c r="E54155"/>
      <c r="F54155"/>
    </row>
    <row r="54156" spans="1:6" x14ac:dyDescent="0.25">
      <c r="A54156"/>
      <c r="B54156"/>
      <c r="C54156"/>
      <c r="E54156"/>
      <c r="F54156"/>
    </row>
    <row r="54157" spans="1:6" x14ac:dyDescent="0.25">
      <c r="A54157"/>
      <c r="B54157"/>
      <c r="C54157"/>
      <c r="E54157"/>
      <c r="F54157"/>
    </row>
    <row r="54158" spans="1:6" x14ac:dyDescent="0.25">
      <c r="A54158"/>
      <c r="B54158"/>
      <c r="C54158"/>
      <c r="E54158"/>
      <c r="F54158"/>
    </row>
    <row r="54159" spans="1:6" x14ac:dyDescent="0.25">
      <c r="A54159"/>
      <c r="B54159"/>
      <c r="C54159"/>
      <c r="E54159"/>
      <c r="F54159"/>
    </row>
    <row r="54160" spans="1:6" x14ac:dyDescent="0.25">
      <c r="A54160"/>
      <c r="B54160"/>
      <c r="C54160"/>
      <c r="E54160"/>
      <c r="F54160"/>
    </row>
    <row r="54161" spans="1:6" x14ac:dyDescent="0.25">
      <c r="A54161"/>
      <c r="B54161"/>
      <c r="C54161"/>
      <c r="E54161"/>
      <c r="F54161"/>
    </row>
    <row r="54162" spans="1:6" x14ac:dyDescent="0.25">
      <c r="A54162"/>
      <c r="B54162"/>
      <c r="C54162"/>
      <c r="E54162"/>
      <c r="F54162"/>
    </row>
    <row r="54163" spans="1:6" x14ac:dyDescent="0.25">
      <c r="A54163"/>
      <c r="B54163"/>
      <c r="C54163"/>
      <c r="E54163"/>
      <c r="F54163"/>
    </row>
    <row r="54164" spans="1:6" x14ac:dyDescent="0.25">
      <c r="A54164"/>
      <c r="B54164"/>
      <c r="C54164"/>
      <c r="E54164"/>
      <c r="F54164"/>
    </row>
    <row r="54165" spans="1:6" x14ac:dyDescent="0.25">
      <c r="A54165"/>
      <c r="B54165"/>
      <c r="C54165"/>
      <c r="E54165"/>
      <c r="F54165"/>
    </row>
    <row r="54166" spans="1:6" x14ac:dyDescent="0.25">
      <c r="A54166"/>
      <c r="B54166"/>
      <c r="C54166"/>
      <c r="E54166"/>
      <c r="F54166"/>
    </row>
    <row r="54167" spans="1:6" x14ac:dyDescent="0.25">
      <c r="A54167"/>
      <c r="B54167"/>
      <c r="C54167"/>
      <c r="E54167"/>
      <c r="F54167"/>
    </row>
    <row r="54168" spans="1:6" x14ac:dyDescent="0.25">
      <c r="A54168"/>
      <c r="B54168"/>
      <c r="C54168"/>
      <c r="E54168"/>
      <c r="F54168"/>
    </row>
    <row r="54169" spans="1:6" x14ac:dyDescent="0.25">
      <c r="A54169"/>
      <c r="B54169"/>
      <c r="C54169"/>
      <c r="E54169"/>
      <c r="F54169"/>
    </row>
    <row r="54170" spans="1:6" x14ac:dyDescent="0.25">
      <c r="A54170"/>
      <c r="B54170"/>
      <c r="C54170"/>
      <c r="E54170"/>
      <c r="F54170"/>
    </row>
    <row r="54171" spans="1:6" x14ac:dyDescent="0.25">
      <c r="A54171"/>
      <c r="B54171"/>
      <c r="C54171"/>
      <c r="E54171"/>
      <c r="F54171"/>
    </row>
    <row r="54172" spans="1:6" x14ac:dyDescent="0.25">
      <c r="A54172"/>
      <c r="B54172"/>
      <c r="C54172"/>
      <c r="E54172"/>
      <c r="F54172"/>
    </row>
    <row r="54173" spans="1:6" x14ac:dyDescent="0.25">
      <c r="A54173"/>
      <c r="B54173"/>
      <c r="C54173"/>
      <c r="E54173"/>
      <c r="F54173"/>
    </row>
    <row r="54174" spans="1:6" x14ac:dyDescent="0.25">
      <c r="A54174"/>
      <c r="B54174"/>
      <c r="C54174"/>
      <c r="E54174"/>
      <c r="F54174"/>
    </row>
    <row r="54175" spans="1:6" x14ac:dyDescent="0.25">
      <c r="A54175"/>
      <c r="B54175"/>
      <c r="C54175"/>
      <c r="E54175"/>
      <c r="F54175"/>
    </row>
    <row r="54176" spans="1:6" x14ac:dyDescent="0.25">
      <c r="A54176"/>
      <c r="B54176"/>
      <c r="C54176"/>
      <c r="E54176"/>
      <c r="F54176"/>
    </row>
    <row r="54177" spans="1:6" x14ac:dyDescent="0.25">
      <c r="A54177"/>
      <c r="B54177"/>
      <c r="C54177"/>
      <c r="E54177"/>
      <c r="F54177"/>
    </row>
    <row r="54178" spans="1:6" x14ac:dyDescent="0.25">
      <c r="A54178"/>
      <c r="B54178"/>
      <c r="C54178"/>
      <c r="E54178"/>
      <c r="F54178"/>
    </row>
    <row r="54179" spans="1:6" x14ac:dyDescent="0.25">
      <c r="A54179"/>
      <c r="B54179"/>
      <c r="C54179"/>
      <c r="E54179"/>
      <c r="F54179"/>
    </row>
    <row r="54180" spans="1:6" x14ac:dyDescent="0.25">
      <c r="A54180"/>
      <c r="B54180"/>
      <c r="C54180"/>
      <c r="E54180"/>
      <c r="F54180"/>
    </row>
    <row r="54181" spans="1:6" x14ac:dyDescent="0.25">
      <c r="A54181"/>
      <c r="B54181"/>
      <c r="C54181"/>
      <c r="E54181"/>
      <c r="F54181"/>
    </row>
    <row r="54182" spans="1:6" x14ac:dyDescent="0.25">
      <c r="A54182"/>
      <c r="B54182"/>
      <c r="C54182"/>
      <c r="E54182"/>
      <c r="F54182"/>
    </row>
    <row r="54183" spans="1:6" x14ac:dyDescent="0.25">
      <c r="A54183"/>
      <c r="B54183"/>
      <c r="C54183"/>
      <c r="E54183"/>
      <c r="F54183"/>
    </row>
    <row r="54184" spans="1:6" x14ac:dyDescent="0.25">
      <c r="A54184"/>
      <c r="B54184"/>
      <c r="C54184"/>
      <c r="E54184"/>
      <c r="F54184"/>
    </row>
    <row r="54185" spans="1:6" x14ac:dyDescent="0.25">
      <c r="A54185"/>
      <c r="B54185"/>
      <c r="C54185"/>
      <c r="E54185"/>
      <c r="F54185"/>
    </row>
    <row r="54186" spans="1:6" x14ac:dyDescent="0.25">
      <c r="A54186"/>
      <c r="B54186"/>
      <c r="C54186"/>
      <c r="E54186"/>
      <c r="F54186"/>
    </row>
    <row r="54187" spans="1:6" x14ac:dyDescent="0.25">
      <c r="A54187"/>
      <c r="B54187"/>
      <c r="C54187"/>
      <c r="E54187"/>
      <c r="F54187"/>
    </row>
    <row r="54188" spans="1:6" x14ac:dyDescent="0.25">
      <c r="A54188"/>
      <c r="B54188"/>
      <c r="C54188"/>
      <c r="E54188"/>
      <c r="F54188"/>
    </row>
    <row r="54189" spans="1:6" x14ac:dyDescent="0.25">
      <c r="A54189"/>
      <c r="B54189"/>
      <c r="C54189"/>
      <c r="E54189"/>
      <c r="F54189"/>
    </row>
    <row r="54190" spans="1:6" x14ac:dyDescent="0.25">
      <c r="A54190"/>
      <c r="B54190"/>
      <c r="C54190"/>
      <c r="E54190"/>
      <c r="F54190"/>
    </row>
    <row r="54191" spans="1:6" x14ac:dyDescent="0.25">
      <c r="A54191"/>
      <c r="B54191"/>
      <c r="C54191"/>
      <c r="E54191"/>
      <c r="F54191"/>
    </row>
    <row r="54192" spans="1:6" x14ac:dyDescent="0.25">
      <c r="A54192"/>
      <c r="B54192"/>
      <c r="C54192"/>
      <c r="E54192"/>
      <c r="F54192"/>
    </row>
    <row r="54193" spans="1:6" x14ac:dyDescent="0.25">
      <c r="A54193"/>
      <c r="B54193"/>
      <c r="C54193"/>
      <c r="E54193"/>
      <c r="F54193"/>
    </row>
    <row r="54194" spans="1:6" x14ac:dyDescent="0.25">
      <c r="A54194"/>
      <c r="B54194"/>
      <c r="C54194"/>
      <c r="E54194"/>
      <c r="F54194"/>
    </row>
    <row r="54195" spans="1:6" x14ac:dyDescent="0.25">
      <c r="A54195"/>
      <c r="B54195"/>
      <c r="C54195"/>
      <c r="E54195"/>
      <c r="F54195"/>
    </row>
    <row r="54196" spans="1:6" x14ac:dyDescent="0.25">
      <c r="A54196"/>
      <c r="B54196"/>
      <c r="C54196"/>
      <c r="E54196"/>
      <c r="F54196"/>
    </row>
    <row r="54197" spans="1:6" x14ac:dyDescent="0.25">
      <c r="A54197"/>
      <c r="B54197"/>
      <c r="C54197"/>
      <c r="E54197"/>
      <c r="F54197"/>
    </row>
    <row r="54198" spans="1:6" x14ac:dyDescent="0.25">
      <c r="A54198"/>
      <c r="B54198"/>
      <c r="C54198"/>
      <c r="E54198"/>
      <c r="F54198"/>
    </row>
    <row r="54199" spans="1:6" x14ac:dyDescent="0.25">
      <c r="A54199"/>
      <c r="B54199"/>
      <c r="C54199"/>
      <c r="E54199"/>
      <c r="F54199"/>
    </row>
    <row r="54200" spans="1:6" x14ac:dyDescent="0.25">
      <c r="A54200"/>
      <c r="B54200"/>
      <c r="C54200"/>
      <c r="E54200"/>
      <c r="F54200"/>
    </row>
    <row r="54201" spans="1:6" x14ac:dyDescent="0.25">
      <c r="A54201"/>
      <c r="B54201"/>
      <c r="C54201"/>
      <c r="E54201"/>
      <c r="F54201"/>
    </row>
    <row r="54202" spans="1:6" x14ac:dyDescent="0.25">
      <c r="A54202"/>
      <c r="B54202"/>
      <c r="C54202"/>
      <c r="E54202"/>
      <c r="F54202"/>
    </row>
    <row r="54203" spans="1:6" x14ac:dyDescent="0.25">
      <c r="A54203"/>
      <c r="B54203"/>
      <c r="C54203"/>
      <c r="E54203"/>
      <c r="F54203"/>
    </row>
    <row r="54204" spans="1:6" x14ac:dyDescent="0.25">
      <c r="A54204"/>
      <c r="B54204"/>
      <c r="C54204"/>
      <c r="E54204"/>
      <c r="F54204"/>
    </row>
    <row r="54205" spans="1:6" x14ac:dyDescent="0.25">
      <c r="A54205"/>
      <c r="B54205"/>
      <c r="C54205"/>
      <c r="E54205"/>
      <c r="F54205"/>
    </row>
    <row r="54206" spans="1:6" x14ac:dyDescent="0.25">
      <c r="A54206"/>
      <c r="B54206"/>
      <c r="C54206"/>
      <c r="E54206"/>
      <c r="F54206"/>
    </row>
    <row r="54207" spans="1:6" x14ac:dyDescent="0.25">
      <c r="A54207"/>
      <c r="B54207"/>
      <c r="C54207"/>
      <c r="E54207"/>
      <c r="F54207"/>
    </row>
    <row r="54208" spans="1:6" x14ac:dyDescent="0.25">
      <c r="A54208"/>
      <c r="B54208"/>
      <c r="C54208"/>
      <c r="E54208"/>
      <c r="F54208"/>
    </row>
    <row r="54209" spans="1:6" x14ac:dyDescent="0.25">
      <c r="A54209"/>
      <c r="B54209"/>
      <c r="C54209"/>
      <c r="E54209"/>
      <c r="F54209"/>
    </row>
    <row r="54210" spans="1:6" x14ac:dyDescent="0.25">
      <c r="A54210"/>
      <c r="B54210"/>
      <c r="C54210"/>
      <c r="E54210"/>
      <c r="F54210"/>
    </row>
    <row r="54211" spans="1:6" x14ac:dyDescent="0.25">
      <c r="A54211"/>
      <c r="B54211"/>
      <c r="C54211"/>
      <c r="E54211"/>
      <c r="F54211"/>
    </row>
    <row r="54212" spans="1:6" x14ac:dyDescent="0.25">
      <c r="A54212"/>
      <c r="B54212"/>
      <c r="C54212"/>
      <c r="E54212"/>
      <c r="F54212"/>
    </row>
    <row r="54213" spans="1:6" x14ac:dyDescent="0.25">
      <c r="A54213"/>
      <c r="B54213"/>
      <c r="C54213"/>
      <c r="E54213"/>
      <c r="F54213"/>
    </row>
    <row r="54214" spans="1:6" x14ac:dyDescent="0.25">
      <c r="A54214"/>
      <c r="B54214"/>
      <c r="C54214"/>
      <c r="E54214"/>
      <c r="F54214"/>
    </row>
    <row r="54215" spans="1:6" x14ac:dyDescent="0.25">
      <c r="A54215"/>
      <c r="B54215"/>
      <c r="C54215"/>
      <c r="E54215"/>
      <c r="F54215"/>
    </row>
    <row r="54216" spans="1:6" x14ac:dyDescent="0.25">
      <c r="A54216"/>
      <c r="B54216"/>
      <c r="C54216"/>
      <c r="E54216"/>
      <c r="F54216"/>
    </row>
    <row r="54217" spans="1:6" x14ac:dyDescent="0.25">
      <c r="A54217"/>
      <c r="B54217"/>
      <c r="C54217"/>
      <c r="E54217"/>
      <c r="F54217"/>
    </row>
    <row r="54218" spans="1:6" x14ac:dyDescent="0.25">
      <c r="A54218"/>
      <c r="B54218"/>
      <c r="C54218"/>
      <c r="E54218"/>
      <c r="F54218"/>
    </row>
    <row r="54219" spans="1:6" x14ac:dyDescent="0.25">
      <c r="A54219"/>
      <c r="B54219"/>
      <c r="C54219"/>
      <c r="E54219"/>
      <c r="F54219"/>
    </row>
    <row r="54220" spans="1:6" x14ac:dyDescent="0.25">
      <c r="A54220"/>
      <c r="B54220"/>
      <c r="C54220"/>
      <c r="E54220"/>
      <c r="F54220"/>
    </row>
    <row r="54221" spans="1:6" x14ac:dyDescent="0.25">
      <c r="A54221"/>
      <c r="B54221"/>
      <c r="C54221"/>
      <c r="E54221"/>
      <c r="F54221"/>
    </row>
    <row r="54222" spans="1:6" x14ac:dyDescent="0.25">
      <c r="A54222"/>
      <c r="B54222"/>
      <c r="C54222"/>
      <c r="E54222"/>
      <c r="F54222"/>
    </row>
    <row r="54223" spans="1:6" x14ac:dyDescent="0.25">
      <c r="A54223"/>
      <c r="B54223"/>
      <c r="C54223"/>
      <c r="E54223"/>
      <c r="F54223"/>
    </row>
    <row r="54224" spans="1:6" x14ac:dyDescent="0.25">
      <c r="A54224"/>
      <c r="B54224"/>
      <c r="C54224"/>
      <c r="E54224"/>
      <c r="F54224"/>
    </row>
    <row r="54225" spans="1:6" x14ac:dyDescent="0.25">
      <c r="A54225"/>
      <c r="B54225"/>
      <c r="C54225"/>
      <c r="E54225"/>
      <c r="F54225"/>
    </row>
    <row r="54226" spans="1:6" x14ac:dyDescent="0.25">
      <c r="A54226"/>
      <c r="B54226"/>
      <c r="C54226"/>
      <c r="E54226"/>
      <c r="F54226"/>
    </row>
    <row r="54227" spans="1:6" x14ac:dyDescent="0.25">
      <c r="A54227"/>
      <c r="B54227"/>
      <c r="C54227"/>
      <c r="E54227"/>
      <c r="F54227"/>
    </row>
    <row r="54228" spans="1:6" x14ac:dyDescent="0.25">
      <c r="A54228"/>
      <c r="B54228"/>
      <c r="C54228"/>
      <c r="E54228"/>
      <c r="F54228"/>
    </row>
    <row r="54229" spans="1:6" x14ac:dyDescent="0.25">
      <c r="A54229"/>
      <c r="B54229"/>
      <c r="C54229"/>
      <c r="E54229"/>
      <c r="F54229"/>
    </row>
    <row r="54230" spans="1:6" x14ac:dyDescent="0.25">
      <c r="A54230"/>
      <c r="B54230"/>
      <c r="C54230"/>
      <c r="E54230"/>
      <c r="F54230"/>
    </row>
    <row r="54231" spans="1:6" x14ac:dyDescent="0.25">
      <c r="A54231"/>
      <c r="B54231"/>
      <c r="C54231"/>
      <c r="E54231"/>
      <c r="F54231"/>
    </row>
    <row r="54232" spans="1:6" x14ac:dyDescent="0.25">
      <c r="A54232"/>
      <c r="B54232"/>
      <c r="C54232"/>
      <c r="E54232"/>
      <c r="F54232"/>
    </row>
    <row r="54233" spans="1:6" x14ac:dyDescent="0.25">
      <c r="A54233"/>
      <c r="B54233"/>
      <c r="C54233"/>
      <c r="E54233"/>
      <c r="F54233"/>
    </row>
    <row r="54234" spans="1:6" x14ac:dyDescent="0.25">
      <c r="A54234"/>
      <c r="B54234"/>
      <c r="C54234"/>
      <c r="E54234"/>
      <c r="F54234"/>
    </row>
    <row r="54235" spans="1:6" x14ac:dyDescent="0.25">
      <c r="A54235"/>
      <c r="B54235"/>
      <c r="C54235"/>
      <c r="E54235"/>
      <c r="F54235"/>
    </row>
    <row r="54236" spans="1:6" x14ac:dyDescent="0.25">
      <c r="A54236"/>
      <c r="B54236"/>
      <c r="C54236"/>
      <c r="E54236"/>
      <c r="F54236"/>
    </row>
    <row r="54237" spans="1:6" x14ac:dyDescent="0.25">
      <c r="A54237"/>
      <c r="B54237"/>
      <c r="C54237"/>
      <c r="E54237"/>
      <c r="F54237"/>
    </row>
    <row r="54238" spans="1:6" x14ac:dyDescent="0.25">
      <c r="A54238"/>
      <c r="B54238"/>
      <c r="C54238"/>
      <c r="E54238"/>
      <c r="F54238"/>
    </row>
    <row r="54239" spans="1:6" x14ac:dyDescent="0.25">
      <c r="A54239"/>
      <c r="B54239"/>
      <c r="C54239"/>
      <c r="E54239"/>
      <c r="F54239"/>
    </row>
    <row r="54240" spans="1:6" x14ac:dyDescent="0.25">
      <c r="A54240"/>
      <c r="B54240"/>
      <c r="C54240"/>
      <c r="E54240"/>
      <c r="F54240"/>
    </row>
    <row r="54241" spans="1:6" x14ac:dyDescent="0.25">
      <c r="A54241"/>
      <c r="B54241"/>
      <c r="C54241"/>
      <c r="E54241"/>
      <c r="F54241"/>
    </row>
    <row r="54242" spans="1:6" x14ac:dyDescent="0.25">
      <c r="A54242"/>
      <c r="B54242"/>
      <c r="C54242"/>
      <c r="E54242"/>
      <c r="F54242"/>
    </row>
    <row r="54243" spans="1:6" x14ac:dyDescent="0.25">
      <c r="A54243"/>
      <c r="B54243"/>
      <c r="C54243"/>
      <c r="E54243"/>
      <c r="F54243"/>
    </row>
    <row r="54244" spans="1:6" x14ac:dyDescent="0.25">
      <c r="A54244"/>
      <c r="B54244"/>
      <c r="C54244"/>
      <c r="E54244"/>
      <c r="F54244"/>
    </row>
    <row r="54245" spans="1:6" x14ac:dyDescent="0.25">
      <c r="A54245"/>
      <c r="B54245"/>
      <c r="C54245"/>
      <c r="E54245"/>
      <c r="F54245"/>
    </row>
    <row r="54246" spans="1:6" x14ac:dyDescent="0.25">
      <c r="A54246"/>
      <c r="B54246"/>
      <c r="C54246"/>
      <c r="E54246"/>
      <c r="F54246"/>
    </row>
    <row r="54247" spans="1:6" x14ac:dyDescent="0.25">
      <c r="A54247"/>
      <c r="B54247"/>
      <c r="C54247"/>
      <c r="E54247"/>
      <c r="F54247"/>
    </row>
    <row r="54248" spans="1:6" x14ac:dyDescent="0.25">
      <c r="A54248"/>
      <c r="B54248"/>
      <c r="C54248"/>
      <c r="E54248"/>
      <c r="F54248"/>
    </row>
    <row r="54249" spans="1:6" x14ac:dyDescent="0.25">
      <c r="A54249"/>
      <c r="B54249"/>
      <c r="C54249"/>
      <c r="E54249"/>
      <c r="F54249"/>
    </row>
    <row r="54250" spans="1:6" x14ac:dyDescent="0.25">
      <c r="A54250"/>
      <c r="B54250"/>
      <c r="C54250"/>
      <c r="E54250"/>
      <c r="F54250"/>
    </row>
    <row r="54251" spans="1:6" x14ac:dyDescent="0.25">
      <c r="A54251"/>
      <c r="B54251"/>
      <c r="C54251"/>
      <c r="E54251"/>
      <c r="F54251"/>
    </row>
    <row r="54252" spans="1:6" x14ac:dyDescent="0.25">
      <c r="A54252"/>
      <c r="B54252"/>
      <c r="C54252"/>
      <c r="E54252"/>
      <c r="F54252"/>
    </row>
    <row r="54253" spans="1:6" x14ac:dyDescent="0.25">
      <c r="A54253"/>
      <c r="B54253"/>
      <c r="C54253"/>
      <c r="E54253"/>
      <c r="F54253"/>
    </row>
    <row r="54254" spans="1:6" x14ac:dyDescent="0.25">
      <c r="A54254"/>
      <c r="B54254"/>
      <c r="C54254"/>
      <c r="E54254"/>
      <c r="F54254"/>
    </row>
    <row r="54255" spans="1:6" x14ac:dyDescent="0.25">
      <c r="A54255"/>
      <c r="B54255"/>
      <c r="C54255"/>
      <c r="E54255"/>
      <c r="F54255"/>
    </row>
    <row r="54256" spans="1:6" x14ac:dyDescent="0.25">
      <c r="A54256"/>
      <c r="B54256"/>
      <c r="C54256"/>
      <c r="E54256"/>
      <c r="F54256"/>
    </row>
    <row r="54257" spans="1:6" x14ac:dyDescent="0.25">
      <c r="A54257"/>
      <c r="B54257"/>
      <c r="C54257"/>
      <c r="E54257"/>
      <c r="F54257"/>
    </row>
    <row r="54258" spans="1:6" x14ac:dyDescent="0.25">
      <c r="A54258"/>
      <c r="B54258"/>
      <c r="C54258"/>
      <c r="E54258"/>
      <c r="F54258"/>
    </row>
    <row r="54259" spans="1:6" x14ac:dyDescent="0.25">
      <c r="A54259"/>
      <c r="B54259"/>
      <c r="C54259"/>
      <c r="E54259"/>
      <c r="F54259"/>
    </row>
    <row r="54260" spans="1:6" x14ac:dyDescent="0.25">
      <c r="A54260"/>
      <c r="B54260"/>
      <c r="C54260"/>
      <c r="E54260"/>
      <c r="F54260"/>
    </row>
    <row r="54261" spans="1:6" x14ac:dyDescent="0.25">
      <c r="A54261"/>
      <c r="B54261"/>
      <c r="C54261"/>
      <c r="E54261"/>
      <c r="F54261"/>
    </row>
    <row r="54262" spans="1:6" x14ac:dyDescent="0.25">
      <c r="A54262"/>
      <c r="B54262"/>
      <c r="C54262"/>
      <c r="E54262"/>
      <c r="F54262"/>
    </row>
    <row r="54263" spans="1:6" x14ac:dyDescent="0.25">
      <c r="A54263"/>
      <c r="B54263"/>
      <c r="C54263"/>
      <c r="E54263"/>
      <c r="F54263"/>
    </row>
    <row r="54264" spans="1:6" x14ac:dyDescent="0.25">
      <c r="A54264"/>
      <c r="B54264"/>
      <c r="C54264"/>
      <c r="E54264"/>
      <c r="F54264"/>
    </row>
    <row r="54265" spans="1:6" x14ac:dyDescent="0.25">
      <c r="A54265"/>
      <c r="B54265"/>
      <c r="C54265"/>
      <c r="E54265"/>
      <c r="F54265"/>
    </row>
    <row r="54266" spans="1:6" x14ac:dyDescent="0.25">
      <c r="A54266"/>
      <c r="B54266"/>
      <c r="C54266"/>
      <c r="E54266"/>
      <c r="F54266"/>
    </row>
    <row r="54267" spans="1:6" x14ac:dyDescent="0.25">
      <c r="A54267"/>
      <c r="B54267"/>
      <c r="C54267"/>
      <c r="E54267"/>
      <c r="F54267"/>
    </row>
    <row r="54268" spans="1:6" x14ac:dyDescent="0.25">
      <c r="A54268"/>
      <c r="B54268"/>
      <c r="C54268"/>
      <c r="E54268"/>
      <c r="F54268"/>
    </row>
    <row r="54269" spans="1:6" x14ac:dyDescent="0.25">
      <c r="A54269"/>
      <c r="B54269"/>
      <c r="C54269"/>
      <c r="E54269"/>
      <c r="F54269"/>
    </row>
    <row r="54270" spans="1:6" x14ac:dyDescent="0.25">
      <c r="A54270"/>
      <c r="B54270"/>
      <c r="C54270"/>
      <c r="E54270"/>
      <c r="F54270"/>
    </row>
    <row r="54271" spans="1:6" x14ac:dyDescent="0.25">
      <c r="A54271"/>
      <c r="B54271"/>
      <c r="C54271"/>
      <c r="E54271"/>
      <c r="F54271"/>
    </row>
    <row r="54272" spans="1:6" x14ac:dyDescent="0.25">
      <c r="A54272"/>
      <c r="B54272"/>
      <c r="C54272"/>
      <c r="E54272"/>
      <c r="F54272"/>
    </row>
    <row r="54273" spans="1:6" x14ac:dyDescent="0.25">
      <c r="A54273"/>
      <c r="B54273"/>
      <c r="C54273"/>
      <c r="E54273"/>
      <c r="F54273"/>
    </row>
    <row r="54274" spans="1:6" x14ac:dyDescent="0.25">
      <c r="A54274"/>
      <c r="B54274"/>
      <c r="C54274"/>
      <c r="E54274"/>
      <c r="F54274"/>
    </row>
    <row r="54275" spans="1:6" x14ac:dyDescent="0.25">
      <c r="A54275"/>
      <c r="B54275"/>
      <c r="C54275"/>
      <c r="E54275"/>
      <c r="F54275"/>
    </row>
    <row r="54276" spans="1:6" x14ac:dyDescent="0.25">
      <c r="A54276"/>
      <c r="B54276"/>
      <c r="C54276"/>
      <c r="E54276"/>
      <c r="F54276"/>
    </row>
    <row r="54277" spans="1:6" x14ac:dyDescent="0.25">
      <c r="A54277"/>
      <c r="B54277"/>
      <c r="C54277"/>
      <c r="E54277"/>
      <c r="F54277"/>
    </row>
    <row r="54278" spans="1:6" x14ac:dyDescent="0.25">
      <c r="A54278"/>
      <c r="B54278"/>
      <c r="C54278"/>
      <c r="E54278"/>
      <c r="F54278"/>
    </row>
    <row r="54279" spans="1:6" x14ac:dyDescent="0.25">
      <c r="A54279"/>
      <c r="B54279"/>
      <c r="C54279"/>
      <c r="E54279"/>
      <c r="F54279"/>
    </row>
    <row r="54280" spans="1:6" x14ac:dyDescent="0.25">
      <c r="A54280"/>
      <c r="B54280"/>
      <c r="C54280"/>
      <c r="E54280"/>
      <c r="F54280"/>
    </row>
    <row r="54281" spans="1:6" x14ac:dyDescent="0.25">
      <c r="A54281"/>
      <c r="B54281"/>
      <c r="C54281"/>
      <c r="E54281"/>
      <c r="F54281"/>
    </row>
    <row r="54282" spans="1:6" x14ac:dyDescent="0.25">
      <c r="A54282"/>
      <c r="B54282"/>
      <c r="C54282"/>
      <c r="E54282"/>
      <c r="F54282"/>
    </row>
    <row r="54283" spans="1:6" x14ac:dyDescent="0.25">
      <c r="A54283"/>
      <c r="B54283"/>
      <c r="C54283"/>
      <c r="E54283"/>
      <c r="F54283"/>
    </row>
    <row r="54284" spans="1:6" x14ac:dyDescent="0.25">
      <c r="A54284"/>
      <c r="B54284"/>
      <c r="C54284"/>
      <c r="E54284"/>
      <c r="F54284"/>
    </row>
    <row r="54285" spans="1:6" x14ac:dyDescent="0.25">
      <c r="A54285"/>
      <c r="B54285"/>
      <c r="C54285"/>
      <c r="E54285"/>
      <c r="F54285"/>
    </row>
    <row r="54286" spans="1:6" x14ac:dyDescent="0.25">
      <c r="A54286"/>
      <c r="B54286"/>
      <c r="C54286"/>
      <c r="E54286"/>
      <c r="F54286"/>
    </row>
    <row r="54287" spans="1:6" x14ac:dyDescent="0.25">
      <c r="A54287"/>
      <c r="B54287"/>
      <c r="C54287"/>
      <c r="E54287"/>
      <c r="F54287"/>
    </row>
    <row r="54288" spans="1:6" x14ac:dyDescent="0.25">
      <c r="A54288"/>
      <c r="B54288"/>
      <c r="C54288"/>
      <c r="E54288"/>
      <c r="F54288"/>
    </row>
    <row r="54289" spans="1:6" x14ac:dyDescent="0.25">
      <c r="A54289"/>
      <c r="B54289"/>
      <c r="C54289"/>
      <c r="E54289"/>
      <c r="F54289"/>
    </row>
    <row r="54290" spans="1:6" x14ac:dyDescent="0.25">
      <c r="A54290"/>
      <c r="B54290"/>
      <c r="C54290"/>
      <c r="E54290"/>
      <c r="F54290"/>
    </row>
    <row r="54291" spans="1:6" x14ac:dyDescent="0.25">
      <c r="A54291"/>
      <c r="B54291"/>
      <c r="C54291"/>
      <c r="E54291"/>
      <c r="F54291"/>
    </row>
    <row r="54292" spans="1:6" x14ac:dyDescent="0.25">
      <c r="A54292"/>
      <c r="B54292"/>
      <c r="C54292"/>
      <c r="E54292"/>
      <c r="F54292"/>
    </row>
    <row r="54293" spans="1:6" x14ac:dyDescent="0.25">
      <c r="A54293"/>
      <c r="B54293"/>
      <c r="C54293"/>
      <c r="E54293"/>
      <c r="F54293"/>
    </row>
    <row r="54294" spans="1:6" x14ac:dyDescent="0.25">
      <c r="A54294"/>
      <c r="B54294"/>
      <c r="C54294"/>
      <c r="E54294"/>
      <c r="F54294"/>
    </row>
    <row r="54295" spans="1:6" x14ac:dyDescent="0.25">
      <c r="A54295"/>
      <c r="B54295"/>
      <c r="C54295"/>
      <c r="E54295"/>
      <c r="F54295"/>
    </row>
    <row r="54296" spans="1:6" x14ac:dyDescent="0.25">
      <c r="A54296"/>
      <c r="B54296"/>
      <c r="C54296"/>
      <c r="E54296"/>
      <c r="F54296"/>
    </row>
    <row r="54297" spans="1:6" x14ac:dyDescent="0.25">
      <c r="A54297"/>
      <c r="B54297"/>
      <c r="C54297"/>
      <c r="E54297"/>
      <c r="F54297"/>
    </row>
    <row r="54298" spans="1:6" x14ac:dyDescent="0.25">
      <c r="A54298"/>
      <c r="B54298"/>
      <c r="C54298"/>
      <c r="E54298"/>
      <c r="F54298"/>
    </row>
    <row r="54299" spans="1:6" x14ac:dyDescent="0.25">
      <c r="A54299"/>
      <c r="B54299"/>
      <c r="C54299"/>
      <c r="E54299"/>
      <c r="F54299"/>
    </row>
    <row r="54300" spans="1:6" x14ac:dyDescent="0.25">
      <c r="A54300"/>
      <c r="B54300"/>
      <c r="C54300"/>
      <c r="E54300"/>
      <c r="F54300"/>
    </row>
    <row r="54301" spans="1:6" x14ac:dyDescent="0.25">
      <c r="A54301"/>
      <c r="B54301"/>
      <c r="C54301"/>
      <c r="E54301"/>
      <c r="F54301"/>
    </row>
    <row r="54302" spans="1:6" x14ac:dyDescent="0.25">
      <c r="A54302"/>
      <c r="B54302"/>
      <c r="C54302"/>
      <c r="E54302"/>
      <c r="F54302"/>
    </row>
    <row r="54303" spans="1:6" x14ac:dyDescent="0.25">
      <c r="A54303"/>
      <c r="B54303"/>
      <c r="C54303"/>
      <c r="E54303"/>
      <c r="F54303"/>
    </row>
    <row r="54304" spans="1:6" x14ac:dyDescent="0.25">
      <c r="A54304"/>
      <c r="B54304"/>
      <c r="C54304"/>
      <c r="E54304"/>
      <c r="F54304"/>
    </row>
    <row r="54305" spans="1:6" x14ac:dyDescent="0.25">
      <c r="A54305"/>
      <c r="B54305"/>
      <c r="C54305"/>
      <c r="E54305"/>
      <c r="F54305"/>
    </row>
    <row r="54306" spans="1:6" x14ac:dyDescent="0.25">
      <c r="A54306"/>
      <c r="B54306"/>
      <c r="C54306"/>
      <c r="E54306"/>
      <c r="F54306"/>
    </row>
    <row r="54307" spans="1:6" x14ac:dyDescent="0.25">
      <c r="A54307"/>
      <c r="B54307"/>
      <c r="C54307"/>
      <c r="E54307"/>
      <c r="F54307"/>
    </row>
    <row r="54308" spans="1:6" x14ac:dyDescent="0.25">
      <c r="A54308"/>
      <c r="B54308"/>
      <c r="C54308"/>
      <c r="E54308"/>
      <c r="F54308"/>
    </row>
    <row r="54309" spans="1:6" x14ac:dyDescent="0.25">
      <c r="A54309"/>
      <c r="B54309"/>
      <c r="C54309"/>
      <c r="E54309"/>
      <c r="F54309"/>
    </row>
    <row r="54310" spans="1:6" x14ac:dyDescent="0.25">
      <c r="A54310"/>
      <c r="B54310"/>
      <c r="C54310"/>
      <c r="E54310"/>
      <c r="F54310"/>
    </row>
    <row r="54311" spans="1:6" x14ac:dyDescent="0.25">
      <c r="A54311"/>
      <c r="B54311"/>
      <c r="C54311"/>
      <c r="E54311"/>
      <c r="F54311"/>
    </row>
    <row r="54312" spans="1:6" x14ac:dyDescent="0.25">
      <c r="A54312"/>
      <c r="B54312"/>
      <c r="C54312"/>
      <c r="E54312"/>
      <c r="F54312"/>
    </row>
    <row r="54313" spans="1:6" x14ac:dyDescent="0.25">
      <c r="A54313"/>
      <c r="B54313"/>
      <c r="C54313"/>
      <c r="E54313"/>
      <c r="F54313"/>
    </row>
    <row r="54314" spans="1:6" x14ac:dyDescent="0.25">
      <c r="A54314"/>
      <c r="B54314"/>
      <c r="C54314"/>
      <c r="E54314"/>
      <c r="F54314"/>
    </row>
    <row r="54315" spans="1:6" x14ac:dyDescent="0.25">
      <c r="A54315"/>
      <c r="B54315"/>
      <c r="C54315"/>
      <c r="E54315"/>
      <c r="F54315"/>
    </row>
    <row r="54316" spans="1:6" x14ac:dyDescent="0.25">
      <c r="A54316"/>
      <c r="B54316"/>
      <c r="C54316"/>
      <c r="E54316"/>
      <c r="F54316"/>
    </row>
    <row r="54317" spans="1:6" x14ac:dyDescent="0.25">
      <c r="A54317"/>
      <c r="B54317"/>
      <c r="C54317"/>
      <c r="E54317"/>
      <c r="F54317"/>
    </row>
    <row r="54318" spans="1:6" x14ac:dyDescent="0.25">
      <c r="A54318"/>
      <c r="B54318"/>
      <c r="C54318"/>
      <c r="E54318"/>
      <c r="F54318"/>
    </row>
    <row r="54319" spans="1:6" x14ac:dyDescent="0.25">
      <c r="A54319"/>
      <c r="B54319"/>
      <c r="C54319"/>
      <c r="E54319"/>
      <c r="F54319"/>
    </row>
    <row r="54320" spans="1:6" x14ac:dyDescent="0.25">
      <c r="A54320"/>
      <c r="B54320"/>
      <c r="C54320"/>
      <c r="E54320"/>
      <c r="F54320"/>
    </row>
    <row r="54321" spans="1:6" x14ac:dyDescent="0.25">
      <c r="A54321"/>
      <c r="B54321"/>
      <c r="C54321"/>
      <c r="E54321"/>
      <c r="F54321"/>
    </row>
    <row r="54322" spans="1:6" x14ac:dyDescent="0.25">
      <c r="A54322"/>
      <c r="B54322"/>
      <c r="C54322"/>
      <c r="E54322"/>
      <c r="F54322"/>
    </row>
    <row r="54323" spans="1:6" x14ac:dyDescent="0.25">
      <c r="A54323"/>
      <c r="B54323"/>
      <c r="C54323"/>
      <c r="E54323"/>
      <c r="F54323"/>
    </row>
    <row r="54324" spans="1:6" x14ac:dyDescent="0.25">
      <c r="A54324"/>
      <c r="B54324"/>
      <c r="C54324"/>
      <c r="E54324"/>
      <c r="F54324"/>
    </row>
    <row r="54325" spans="1:6" x14ac:dyDescent="0.25">
      <c r="A54325"/>
      <c r="B54325"/>
      <c r="C54325"/>
      <c r="E54325"/>
      <c r="F54325"/>
    </row>
    <row r="54326" spans="1:6" x14ac:dyDescent="0.25">
      <c r="A54326"/>
      <c r="B54326"/>
      <c r="C54326"/>
      <c r="E54326"/>
      <c r="F54326"/>
    </row>
    <row r="54327" spans="1:6" x14ac:dyDescent="0.25">
      <c r="A54327"/>
      <c r="B54327"/>
      <c r="C54327"/>
      <c r="E54327"/>
      <c r="F54327"/>
    </row>
    <row r="54328" spans="1:6" x14ac:dyDescent="0.25">
      <c r="A54328"/>
      <c r="B54328"/>
      <c r="C54328"/>
      <c r="E54328"/>
      <c r="F54328"/>
    </row>
    <row r="54329" spans="1:6" x14ac:dyDescent="0.25">
      <c r="A54329"/>
      <c r="B54329"/>
      <c r="C54329"/>
      <c r="E54329"/>
      <c r="F54329"/>
    </row>
    <row r="54330" spans="1:6" x14ac:dyDescent="0.25">
      <c r="A54330"/>
      <c r="B54330"/>
      <c r="C54330"/>
      <c r="E54330"/>
      <c r="F54330"/>
    </row>
    <row r="54331" spans="1:6" x14ac:dyDescent="0.25">
      <c r="A54331"/>
      <c r="B54331"/>
      <c r="C54331"/>
      <c r="E54331"/>
      <c r="F54331"/>
    </row>
    <row r="54332" spans="1:6" x14ac:dyDescent="0.25">
      <c r="A54332"/>
      <c r="B54332"/>
      <c r="C54332"/>
      <c r="E54332"/>
      <c r="F54332"/>
    </row>
    <row r="54333" spans="1:6" x14ac:dyDescent="0.25">
      <c r="A54333"/>
      <c r="B54333"/>
      <c r="C54333"/>
      <c r="E54333"/>
      <c r="F54333"/>
    </row>
    <row r="54334" spans="1:6" x14ac:dyDescent="0.25">
      <c r="A54334"/>
      <c r="B54334"/>
      <c r="C54334"/>
      <c r="E54334"/>
      <c r="F54334"/>
    </row>
    <row r="54335" spans="1:6" x14ac:dyDescent="0.25">
      <c r="A54335"/>
      <c r="B54335"/>
      <c r="C54335"/>
      <c r="E54335"/>
      <c r="F54335"/>
    </row>
    <row r="54336" spans="1:6" x14ac:dyDescent="0.25">
      <c r="A54336"/>
      <c r="B54336"/>
      <c r="C54336"/>
      <c r="E54336"/>
      <c r="F54336"/>
    </row>
    <row r="54337" spans="1:6" x14ac:dyDescent="0.25">
      <c r="A54337"/>
      <c r="B54337"/>
      <c r="C54337"/>
      <c r="E54337"/>
      <c r="F54337"/>
    </row>
    <row r="54338" spans="1:6" x14ac:dyDescent="0.25">
      <c r="A54338"/>
      <c r="B54338"/>
      <c r="C54338"/>
      <c r="E54338"/>
      <c r="F54338"/>
    </row>
    <row r="54339" spans="1:6" x14ac:dyDescent="0.25">
      <c r="A54339"/>
      <c r="B54339"/>
      <c r="C54339"/>
      <c r="E54339"/>
      <c r="F54339"/>
    </row>
    <row r="54340" spans="1:6" x14ac:dyDescent="0.25">
      <c r="A54340"/>
      <c r="B54340"/>
      <c r="C54340"/>
      <c r="E54340"/>
      <c r="F54340"/>
    </row>
    <row r="54341" spans="1:6" x14ac:dyDescent="0.25">
      <c r="A54341"/>
      <c r="B54341"/>
      <c r="C54341"/>
      <c r="E54341"/>
      <c r="F54341"/>
    </row>
    <row r="54342" spans="1:6" x14ac:dyDescent="0.25">
      <c r="A54342"/>
      <c r="B54342"/>
      <c r="C54342"/>
      <c r="E54342"/>
      <c r="F54342"/>
    </row>
    <row r="54343" spans="1:6" x14ac:dyDescent="0.25">
      <c r="A54343"/>
      <c r="B54343"/>
      <c r="C54343"/>
      <c r="E54343"/>
      <c r="F54343"/>
    </row>
    <row r="54344" spans="1:6" x14ac:dyDescent="0.25">
      <c r="A54344"/>
      <c r="B54344"/>
      <c r="C54344"/>
      <c r="E54344"/>
      <c r="F54344"/>
    </row>
    <row r="54345" spans="1:6" x14ac:dyDescent="0.25">
      <c r="A54345"/>
      <c r="B54345"/>
      <c r="C54345"/>
      <c r="E54345"/>
      <c r="F54345"/>
    </row>
    <row r="54346" spans="1:6" x14ac:dyDescent="0.25">
      <c r="A54346"/>
      <c r="B54346"/>
      <c r="C54346"/>
      <c r="E54346"/>
      <c r="F54346"/>
    </row>
    <row r="54347" spans="1:6" x14ac:dyDescent="0.25">
      <c r="A54347"/>
      <c r="B54347"/>
      <c r="C54347"/>
      <c r="E54347"/>
      <c r="F54347"/>
    </row>
    <row r="54348" spans="1:6" x14ac:dyDescent="0.25">
      <c r="A54348"/>
      <c r="B54348"/>
      <c r="C54348"/>
      <c r="E54348"/>
      <c r="F54348"/>
    </row>
    <row r="54349" spans="1:6" x14ac:dyDescent="0.25">
      <c r="A54349"/>
      <c r="B54349"/>
      <c r="C54349"/>
      <c r="E54349"/>
      <c r="F54349"/>
    </row>
    <row r="54350" spans="1:6" x14ac:dyDescent="0.25">
      <c r="A54350"/>
      <c r="B54350"/>
      <c r="C54350"/>
      <c r="E54350"/>
      <c r="F54350"/>
    </row>
    <row r="54351" spans="1:6" x14ac:dyDescent="0.25">
      <c r="A54351"/>
      <c r="B54351"/>
      <c r="C54351"/>
      <c r="E54351"/>
      <c r="F54351"/>
    </row>
    <row r="54352" spans="1:6" x14ac:dyDescent="0.25">
      <c r="A54352"/>
      <c r="B54352"/>
      <c r="C54352"/>
      <c r="E54352"/>
      <c r="F54352"/>
    </row>
    <row r="54353" spans="1:6" x14ac:dyDescent="0.25">
      <c r="A54353"/>
      <c r="B54353"/>
      <c r="C54353"/>
      <c r="E54353"/>
      <c r="F54353"/>
    </row>
    <row r="54354" spans="1:6" x14ac:dyDescent="0.25">
      <c r="A54354"/>
      <c r="B54354"/>
      <c r="C54354"/>
      <c r="E54354"/>
      <c r="F54354"/>
    </row>
    <row r="54355" spans="1:6" x14ac:dyDescent="0.25">
      <c r="A54355"/>
      <c r="B54355"/>
      <c r="C54355"/>
      <c r="E54355"/>
      <c r="F54355"/>
    </row>
    <row r="54356" spans="1:6" x14ac:dyDescent="0.25">
      <c r="A54356"/>
      <c r="B54356"/>
      <c r="C54356"/>
      <c r="E54356"/>
      <c r="F54356"/>
    </row>
    <row r="54357" spans="1:6" x14ac:dyDescent="0.25">
      <c r="A54357"/>
      <c r="B54357"/>
      <c r="C54357"/>
      <c r="E54357"/>
      <c r="F54357"/>
    </row>
    <row r="54358" spans="1:6" x14ac:dyDescent="0.25">
      <c r="A54358"/>
      <c r="B54358"/>
      <c r="C54358"/>
      <c r="E54358"/>
      <c r="F54358"/>
    </row>
    <row r="54359" spans="1:6" x14ac:dyDescent="0.25">
      <c r="A54359"/>
      <c r="B54359"/>
      <c r="C54359"/>
      <c r="E54359"/>
      <c r="F54359"/>
    </row>
    <row r="54360" spans="1:6" x14ac:dyDescent="0.25">
      <c r="A54360"/>
      <c r="B54360"/>
      <c r="C54360"/>
      <c r="E54360"/>
      <c r="F54360"/>
    </row>
    <row r="54361" spans="1:6" x14ac:dyDescent="0.25">
      <c r="A54361"/>
      <c r="B54361"/>
      <c r="C54361"/>
      <c r="E54361"/>
      <c r="F54361"/>
    </row>
    <row r="54362" spans="1:6" x14ac:dyDescent="0.25">
      <c r="A54362"/>
      <c r="B54362"/>
      <c r="C54362"/>
      <c r="E54362"/>
      <c r="F54362"/>
    </row>
    <row r="54363" spans="1:6" x14ac:dyDescent="0.25">
      <c r="A54363"/>
      <c r="B54363"/>
      <c r="C54363"/>
      <c r="E54363"/>
      <c r="F54363"/>
    </row>
    <row r="54364" spans="1:6" x14ac:dyDescent="0.25">
      <c r="A54364"/>
      <c r="B54364"/>
      <c r="C54364"/>
      <c r="E54364"/>
      <c r="F54364"/>
    </row>
    <row r="54365" spans="1:6" x14ac:dyDescent="0.25">
      <c r="A54365"/>
      <c r="B54365"/>
      <c r="C54365"/>
      <c r="E54365"/>
      <c r="F54365"/>
    </row>
    <row r="54366" spans="1:6" x14ac:dyDescent="0.25">
      <c r="A54366"/>
      <c r="B54366"/>
      <c r="C54366"/>
      <c r="E54366"/>
      <c r="F54366"/>
    </row>
    <row r="54367" spans="1:6" x14ac:dyDescent="0.25">
      <c r="A54367"/>
      <c r="B54367"/>
      <c r="C54367"/>
      <c r="E54367"/>
      <c r="F54367"/>
    </row>
    <row r="54368" spans="1:6" x14ac:dyDescent="0.25">
      <c r="A54368"/>
      <c r="B54368"/>
      <c r="C54368"/>
      <c r="E54368"/>
      <c r="F54368"/>
    </row>
    <row r="54369" spans="1:6" x14ac:dyDescent="0.25">
      <c r="A54369"/>
      <c r="B54369"/>
      <c r="C54369"/>
      <c r="E54369"/>
      <c r="F54369"/>
    </row>
    <row r="54370" spans="1:6" x14ac:dyDescent="0.25">
      <c r="A54370"/>
      <c r="B54370"/>
      <c r="C54370"/>
      <c r="E54370"/>
      <c r="F54370"/>
    </row>
    <row r="54371" spans="1:6" x14ac:dyDescent="0.25">
      <c r="A54371"/>
      <c r="B54371"/>
      <c r="C54371"/>
      <c r="E54371"/>
      <c r="F54371"/>
    </row>
    <row r="54372" spans="1:6" x14ac:dyDescent="0.25">
      <c r="A54372"/>
      <c r="B54372"/>
      <c r="C54372"/>
      <c r="E54372"/>
      <c r="F54372"/>
    </row>
    <row r="54373" spans="1:6" x14ac:dyDescent="0.25">
      <c r="A54373"/>
      <c r="B54373"/>
      <c r="C54373"/>
      <c r="E54373"/>
      <c r="F54373"/>
    </row>
    <row r="54374" spans="1:6" x14ac:dyDescent="0.25">
      <c r="A54374"/>
      <c r="B54374"/>
      <c r="C54374"/>
      <c r="E54374"/>
      <c r="F54374"/>
    </row>
    <row r="54375" spans="1:6" x14ac:dyDescent="0.25">
      <c r="A54375"/>
      <c r="B54375"/>
      <c r="C54375"/>
      <c r="E54375"/>
      <c r="F54375"/>
    </row>
    <row r="54376" spans="1:6" x14ac:dyDescent="0.25">
      <c r="A54376"/>
      <c r="B54376"/>
      <c r="C54376"/>
      <c r="E54376"/>
      <c r="F54376"/>
    </row>
    <row r="54377" spans="1:6" x14ac:dyDescent="0.25">
      <c r="A54377"/>
      <c r="B54377"/>
      <c r="C54377"/>
      <c r="E54377"/>
      <c r="F54377"/>
    </row>
    <row r="54378" spans="1:6" x14ac:dyDescent="0.25">
      <c r="A54378"/>
      <c r="B54378"/>
      <c r="C54378"/>
      <c r="E54378"/>
      <c r="F54378"/>
    </row>
    <row r="54379" spans="1:6" x14ac:dyDescent="0.25">
      <c r="A54379"/>
      <c r="B54379"/>
      <c r="C54379"/>
      <c r="E54379"/>
      <c r="F54379"/>
    </row>
    <row r="54380" spans="1:6" x14ac:dyDescent="0.25">
      <c r="A54380"/>
      <c r="B54380"/>
      <c r="C54380"/>
      <c r="E54380"/>
      <c r="F54380"/>
    </row>
    <row r="54381" spans="1:6" x14ac:dyDescent="0.25">
      <c r="A54381"/>
      <c r="B54381"/>
      <c r="C54381"/>
      <c r="E54381"/>
      <c r="F54381"/>
    </row>
    <row r="54382" spans="1:6" x14ac:dyDescent="0.25">
      <c r="A54382"/>
      <c r="B54382"/>
      <c r="C54382"/>
      <c r="E54382"/>
      <c r="F54382"/>
    </row>
    <row r="54383" spans="1:6" x14ac:dyDescent="0.25">
      <c r="A54383"/>
      <c r="B54383"/>
      <c r="C54383"/>
      <c r="E54383"/>
      <c r="F54383"/>
    </row>
    <row r="54384" spans="1:6" x14ac:dyDescent="0.25">
      <c r="A54384"/>
      <c r="B54384"/>
      <c r="C54384"/>
      <c r="E54384"/>
      <c r="F54384"/>
    </row>
    <row r="54385" spans="1:6" x14ac:dyDescent="0.25">
      <c r="A54385"/>
      <c r="B54385"/>
      <c r="C54385"/>
      <c r="E54385"/>
      <c r="F54385"/>
    </row>
    <row r="54386" spans="1:6" x14ac:dyDescent="0.25">
      <c r="A54386"/>
      <c r="B54386"/>
      <c r="C54386"/>
      <c r="E54386"/>
      <c r="F54386"/>
    </row>
    <row r="54387" spans="1:6" x14ac:dyDescent="0.25">
      <c r="A54387"/>
      <c r="B54387"/>
      <c r="C54387"/>
      <c r="E54387"/>
      <c r="F54387"/>
    </row>
    <row r="54388" spans="1:6" x14ac:dyDescent="0.25">
      <c r="A54388"/>
      <c r="B54388"/>
      <c r="C54388"/>
      <c r="E54388"/>
      <c r="F54388"/>
    </row>
    <row r="54389" spans="1:6" x14ac:dyDescent="0.25">
      <c r="A54389"/>
      <c r="B54389"/>
      <c r="C54389"/>
      <c r="E54389"/>
      <c r="F54389"/>
    </row>
    <row r="54390" spans="1:6" x14ac:dyDescent="0.25">
      <c r="A54390"/>
      <c r="B54390"/>
      <c r="C54390"/>
      <c r="E54390"/>
      <c r="F54390"/>
    </row>
    <row r="54391" spans="1:6" x14ac:dyDescent="0.25">
      <c r="A54391"/>
      <c r="B54391"/>
      <c r="C54391"/>
      <c r="E54391"/>
      <c r="F54391"/>
    </row>
    <row r="54392" spans="1:6" x14ac:dyDescent="0.25">
      <c r="A54392"/>
      <c r="B54392"/>
      <c r="C54392"/>
      <c r="E54392"/>
      <c r="F54392"/>
    </row>
    <row r="54393" spans="1:6" x14ac:dyDescent="0.25">
      <c r="A54393"/>
      <c r="B54393"/>
      <c r="C54393"/>
      <c r="E54393"/>
      <c r="F54393"/>
    </row>
    <row r="54394" spans="1:6" x14ac:dyDescent="0.25">
      <c r="A54394"/>
      <c r="B54394"/>
      <c r="C54394"/>
      <c r="E54394"/>
      <c r="F54394"/>
    </row>
    <row r="54395" spans="1:6" x14ac:dyDescent="0.25">
      <c r="A54395"/>
      <c r="B54395"/>
      <c r="C54395"/>
      <c r="E54395"/>
      <c r="F54395"/>
    </row>
    <row r="54396" spans="1:6" x14ac:dyDescent="0.25">
      <c r="A54396"/>
      <c r="B54396"/>
      <c r="C54396"/>
      <c r="E54396"/>
      <c r="F54396"/>
    </row>
    <row r="54397" spans="1:6" x14ac:dyDescent="0.25">
      <c r="A54397"/>
      <c r="B54397"/>
      <c r="C54397"/>
      <c r="E54397"/>
      <c r="F54397"/>
    </row>
    <row r="54398" spans="1:6" x14ac:dyDescent="0.25">
      <c r="A54398"/>
      <c r="B54398"/>
      <c r="C54398"/>
      <c r="E54398"/>
      <c r="F54398"/>
    </row>
    <row r="54399" spans="1:6" x14ac:dyDescent="0.25">
      <c r="A54399"/>
      <c r="B54399"/>
      <c r="C54399"/>
      <c r="E54399"/>
      <c r="F54399"/>
    </row>
    <row r="54400" spans="1:6" x14ac:dyDescent="0.25">
      <c r="A54400"/>
      <c r="B54400"/>
      <c r="C54400"/>
      <c r="E54400"/>
      <c r="F54400"/>
    </row>
    <row r="54401" spans="1:6" x14ac:dyDescent="0.25">
      <c r="A54401"/>
      <c r="B54401"/>
      <c r="C54401"/>
      <c r="E54401"/>
      <c r="F54401"/>
    </row>
    <row r="54402" spans="1:6" x14ac:dyDescent="0.25">
      <c r="A54402"/>
      <c r="B54402"/>
      <c r="C54402"/>
      <c r="E54402"/>
      <c r="F54402"/>
    </row>
    <row r="54403" spans="1:6" x14ac:dyDescent="0.25">
      <c r="A54403"/>
      <c r="B54403"/>
      <c r="C54403"/>
      <c r="E54403"/>
      <c r="F54403"/>
    </row>
    <row r="54404" spans="1:6" x14ac:dyDescent="0.25">
      <c r="A54404"/>
      <c r="B54404"/>
      <c r="C54404"/>
      <c r="E54404"/>
      <c r="F54404"/>
    </row>
    <row r="54405" spans="1:6" x14ac:dyDescent="0.25">
      <c r="A54405"/>
      <c r="B54405"/>
      <c r="C54405"/>
      <c r="E54405"/>
      <c r="F54405"/>
    </row>
    <row r="54406" spans="1:6" x14ac:dyDescent="0.25">
      <c r="A54406"/>
      <c r="B54406"/>
      <c r="C54406"/>
      <c r="E54406"/>
      <c r="F54406"/>
    </row>
    <row r="54407" spans="1:6" x14ac:dyDescent="0.25">
      <c r="A54407"/>
      <c r="B54407"/>
      <c r="C54407"/>
      <c r="E54407"/>
      <c r="F54407"/>
    </row>
    <row r="54408" spans="1:6" x14ac:dyDescent="0.25">
      <c r="A54408"/>
      <c r="B54408"/>
      <c r="C54408"/>
      <c r="E54408"/>
      <c r="F54408"/>
    </row>
    <row r="54409" spans="1:6" x14ac:dyDescent="0.25">
      <c r="A54409"/>
      <c r="B54409"/>
      <c r="C54409"/>
      <c r="E54409"/>
      <c r="F54409"/>
    </row>
    <row r="54410" spans="1:6" x14ac:dyDescent="0.25">
      <c r="A54410"/>
      <c r="B54410"/>
      <c r="C54410"/>
      <c r="E54410"/>
      <c r="F54410"/>
    </row>
    <row r="54411" spans="1:6" x14ac:dyDescent="0.25">
      <c r="A54411"/>
      <c r="B54411"/>
      <c r="C54411"/>
      <c r="E54411"/>
      <c r="F54411"/>
    </row>
    <row r="54412" spans="1:6" x14ac:dyDescent="0.25">
      <c r="A54412"/>
      <c r="B54412"/>
      <c r="C54412"/>
      <c r="E54412"/>
      <c r="F54412"/>
    </row>
    <row r="54413" spans="1:6" x14ac:dyDescent="0.25">
      <c r="A54413"/>
      <c r="B54413"/>
      <c r="C54413"/>
      <c r="E54413"/>
      <c r="F54413"/>
    </row>
    <row r="54414" spans="1:6" x14ac:dyDescent="0.25">
      <c r="A54414"/>
      <c r="B54414"/>
      <c r="C54414"/>
      <c r="E54414"/>
      <c r="F54414"/>
    </row>
    <row r="54415" spans="1:6" x14ac:dyDescent="0.25">
      <c r="A54415"/>
      <c r="B54415"/>
      <c r="C54415"/>
      <c r="E54415"/>
      <c r="F54415"/>
    </row>
    <row r="54416" spans="1:6" x14ac:dyDescent="0.25">
      <c r="A54416"/>
      <c r="B54416"/>
      <c r="C54416"/>
      <c r="E54416"/>
      <c r="F54416"/>
    </row>
    <row r="54417" spans="1:6" x14ac:dyDescent="0.25">
      <c r="A54417"/>
      <c r="B54417"/>
      <c r="C54417"/>
      <c r="E54417"/>
      <c r="F54417"/>
    </row>
    <row r="54418" spans="1:6" x14ac:dyDescent="0.25">
      <c r="A54418"/>
      <c r="B54418"/>
      <c r="C54418"/>
      <c r="E54418"/>
      <c r="F54418"/>
    </row>
    <row r="54419" spans="1:6" x14ac:dyDescent="0.25">
      <c r="A54419"/>
      <c r="B54419"/>
      <c r="C54419"/>
      <c r="E54419"/>
      <c r="F54419"/>
    </row>
    <row r="54420" spans="1:6" x14ac:dyDescent="0.25">
      <c r="A54420"/>
      <c r="B54420"/>
      <c r="C54420"/>
      <c r="E54420"/>
      <c r="F54420"/>
    </row>
    <row r="54421" spans="1:6" x14ac:dyDescent="0.25">
      <c r="A54421"/>
      <c r="B54421"/>
      <c r="C54421"/>
      <c r="E54421"/>
      <c r="F54421"/>
    </row>
    <row r="54422" spans="1:6" x14ac:dyDescent="0.25">
      <c r="A54422"/>
      <c r="B54422"/>
      <c r="C54422"/>
      <c r="E54422"/>
      <c r="F54422"/>
    </row>
    <row r="54423" spans="1:6" x14ac:dyDescent="0.25">
      <c r="A54423"/>
      <c r="B54423"/>
      <c r="C54423"/>
      <c r="E54423"/>
      <c r="F54423"/>
    </row>
    <row r="54424" spans="1:6" x14ac:dyDescent="0.25">
      <c r="A54424"/>
      <c r="B54424"/>
      <c r="C54424"/>
      <c r="E54424"/>
      <c r="F54424"/>
    </row>
    <row r="54425" spans="1:6" x14ac:dyDescent="0.25">
      <c r="A54425"/>
      <c r="B54425"/>
      <c r="C54425"/>
      <c r="E54425"/>
      <c r="F54425"/>
    </row>
    <row r="54426" spans="1:6" x14ac:dyDescent="0.25">
      <c r="A54426"/>
      <c r="B54426"/>
      <c r="C54426"/>
      <c r="E54426"/>
      <c r="F54426"/>
    </row>
    <row r="54427" spans="1:6" x14ac:dyDescent="0.25">
      <c r="A54427"/>
      <c r="B54427"/>
      <c r="C54427"/>
      <c r="E54427"/>
      <c r="F54427"/>
    </row>
    <row r="54428" spans="1:6" x14ac:dyDescent="0.25">
      <c r="A54428"/>
      <c r="B54428"/>
      <c r="C54428"/>
      <c r="E54428"/>
      <c r="F54428"/>
    </row>
    <row r="54429" spans="1:6" x14ac:dyDescent="0.25">
      <c r="A54429"/>
      <c r="B54429"/>
      <c r="C54429"/>
      <c r="E54429"/>
      <c r="F54429"/>
    </row>
    <row r="54430" spans="1:6" x14ac:dyDescent="0.25">
      <c r="A54430"/>
      <c r="B54430"/>
      <c r="C54430"/>
      <c r="E54430"/>
      <c r="F54430"/>
    </row>
    <row r="54431" spans="1:6" x14ac:dyDescent="0.25">
      <c r="A54431"/>
      <c r="B54431"/>
      <c r="C54431"/>
      <c r="E54431"/>
      <c r="F54431"/>
    </row>
    <row r="54432" spans="1:6" x14ac:dyDescent="0.25">
      <c r="A54432"/>
      <c r="B54432"/>
      <c r="C54432"/>
      <c r="E54432"/>
      <c r="F54432"/>
    </row>
    <row r="54433" spans="1:6" x14ac:dyDescent="0.25">
      <c r="A54433"/>
      <c r="B54433"/>
      <c r="C54433"/>
      <c r="E54433"/>
      <c r="F54433"/>
    </row>
    <row r="54434" spans="1:6" x14ac:dyDescent="0.25">
      <c r="A54434"/>
      <c r="B54434"/>
      <c r="C54434"/>
      <c r="E54434"/>
      <c r="F54434"/>
    </row>
    <row r="54435" spans="1:6" x14ac:dyDescent="0.25">
      <c r="A54435"/>
      <c r="B54435"/>
      <c r="C54435"/>
      <c r="E54435"/>
      <c r="F54435"/>
    </row>
    <row r="54436" spans="1:6" x14ac:dyDescent="0.25">
      <c r="A54436"/>
      <c r="B54436"/>
      <c r="C54436"/>
      <c r="E54436"/>
      <c r="F54436"/>
    </row>
    <row r="54437" spans="1:6" x14ac:dyDescent="0.25">
      <c r="A54437"/>
      <c r="B54437"/>
      <c r="C54437"/>
      <c r="E54437"/>
      <c r="F54437"/>
    </row>
    <row r="54438" spans="1:6" x14ac:dyDescent="0.25">
      <c r="A54438"/>
      <c r="B54438"/>
      <c r="C54438"/>
      <c r="E54438"/>
      <c r="F54438"/>
    </row>
    <row r="54439" spans="1:6" x14ac:dyDescent="0.25">
      <c r="A54439"/>
      <c r="B54439"/>
      <c r="C54439"/>
      <c r="E54439"/>
      <c r="F54439"/>
    </row>
    <row r="54440" spans="1:6" x14ac:dyDescent="0.25">
      <c r="A54440"/>
      <c r="B54440"/>
      <c r="C54440"/>
      <c r="E54440"/>
      <c r="F54440"/>
    </row>
    <row r="54441" spans="1:6" x14ac:dyDescent="0.25">
      <c r="A54441"/>
      <c r="B54441"/>
      <c r="C54441"/>
      <c r="E54441"/>
      <c r="F54441"/>
    </row>
    <row r="54442" spans="1:6" x14ac:dyDescent="0.25">
      <c r="A54442"/>
      <c r="B54442"/>
      <c r="C54442"/>
      <c r="E54442"/>
      <c r="F54442"/>
    </row>
    <row r="54443" spans="1:6" x14ac:dyDescent="0.25">
      <c r="A54443"/>
      <c r="B54443"/>
      <c r="C54443"/>
      <c r="E54443"/>
      <c r="F54443"/>
    </row>
    <row r="54444" spans="1:6" x14ac:dyDescent="0.25">
      <c r="A54444"/>
      <c r="B54444"/>
      <c r="C54444"/>
      <c r="E54444"/>
      <c r="F54444"/>
    </row>
    <row r="54445" spans="1:6" x14ac:dyDescent="0.25">
      <c r="A54445"/>
      <c r="B54445"/>
      <c r="C54445"/>
      <c r="E54445"/>
      <c r="F54445"/>
    </row>
    <row r="54446" spans="1:6" x14ac:dyDescent="0.25">
      <c r="A54446"/>
      <c r="B54446"/>
      <c r="C54446"/>
      <c r="E54446"/>
      <c r="F54446"/>
    </row>
    <row r="54447" spans="1:6" x14ac:dyDescent="0.25">
      <c r="A54447"/>
      <c r="B54447"/>
      <c r="C54447"/>
      <c r="E54447"/>
      <c r="F54447"/>
    </row>
    <row r="54448" spans="1:6" x14ac:dyDescent="0.25">
      <c r="A54448"/>
      <c r="B54448"/>
      <c r="C54448"/>
      <c r="E54448"/>
      <c r="F54448"/>
    </row>
    <row r="54449" spans="1:6" x14ac:dyDescent="0.25">
      <c r="A54449"/>
      <c r="B54449"/>
      <c r="C54449"/>
      <c r="E54449"/>
      <c r="F54449"/>
    </row>
    <row r="54450" spans="1:6" x14ac:dyDescent="0.25">
      <c r="A54450"/>
      <c r="B54450"/>
      <c r="C54450"/>
      <c r="E54450"/>
      <c r="F54450"/>
    </row>
    <row r="54451" spans="1:6" x14ac:dyDescent="0.25">
      <c r="A54451"/>
      <c r="B54451"/>
      <c r="C54451"/>
      <c r="E54451"/>
      <c r="F54451"/>
    </row>
    <row r="54452" spans="1:6" x14ac:dyDescent="0.25">
      <c r="A54452"/>
      <c r="B54452"/>
      <c r="C54452"/>
      <c r="E54452"/>
      <c r="F54452"/>
    </row>
    <row r="54453" spans="1:6" x14ac:dyDescent="0.25">
      <c r="A54453"/>
      <c r="B54453"/>
      <c r="C54453"/>
      <c r="E54453"/>
      <c r="F54453"/>
    </row>
    <row r="54454" spans="1:6" x14ac:dyDescent="0.25">
      <c r="A54454"/>
      <c r="B54454"/>
      <c r="C54454"/>
      <c r="E54454"/>
      <c r="F54454"/>
    </row>
    <row r="54455" spans="1:6" x14ac:dyDescent="0.25">
      <c r="A54455"/>
      <c r="B54455"/>
      <c r="C54455"/>
      <c r="E54455"/>
      <c r="F54455"/>
    </row>
    <row r="54456" spans="1:6" x14ac:dyDescent="0.25">
      <c r="A54456"/>
      <c r="B54456"/>
      <c r="C54456"/>
      <c r="E54456"/>
      <c r="F54456"/>
    </row>
    <row r="54457" spans="1:6" x14ac:dyDescent="0.25">
      <c r="A54457"/>
      <c r="B54457"/>
      <c r="C54457"/>
      <c r="E54457"/>
      <c r="F54457"/>
    </row>
    <row r="54458" spans="1:6" x14ac:dyDescent="0.25">
      <c r="A54458"/>
      <c r="B54458"/>
      <c r="C54458"/>
      <c r="E54458"/>
      <c r="F54458"/>
    </row>
    <row r="54459" spans="1:6" x14ac:dyDescent="0.25">
      <c r="A54459"/>
      <c r="B54459"/>
      <c r="C54459"/>
      <c r="E54459"/>
      <c r="F54459"/>
    </row>
    <row r="54460" spans="1:6" x14ac:dyDescent="0.25">
      <c r="A54460"/>
      <c r="B54460"/>
      <c r="C54460"/>
      <c r="E54460"/>
      <c r="F54460"/>
    </row>
    <row r="54461" spans="1:6" x14ac:dyDescent="0.25">
      <c r="A54461"/>
      <c r="B54461"/>
      <c r="C54461"/>
      <c r="E54461"/>
      <c r="F54461"/>
    </row>
    <row r="54462" spans="1:6" x14ac:dyDescent="0.25">
      <c r="A54462"/>
      <c r="B54462"/>
      <c r="C54462"/>
      <c r="E54462"/>
      <c r="F54462"/>
    </row>
    <row r="54463" spans="1:6" x14ac:dyDescent="0.25">
      <c r="A54463"/>
      <c r="B54463"/>
      <c r="C54463"/>
      <c r="E54463"/>
      <c r="F54463"/>
    </row>
    <row r="54464" spans="1:6" x14ac:dyDescent="0.25">
      <c r="A54464"/>
      <c r="B54464"/>
      <c r="C54464"/>
      <c r="E54464"/>
      <c r="F54464"/>
    </row>
    <row r="54465" spans="1:6" x14ac:dyDescent="0.25">
      <c r="A54465"/>
      <c r="B54465"/>
      <c r="C54465"/>
      <c r="E54465"/>
      <c r="F54465"/>
    </row>
    <row r="54466" spans="1:6" x14ac:dyDescent="0.25">
      <c r="A54466"/>
      <c r="B54466"/>
      <c r="C54466"/>
      <c r="E54466"/>
      <c r="F54466"/>
    </row>
    <row r="54467" spans="1:6" x14ac:dyDescent="0.25">
      <c r="A54467"/>
      <c r="B54467"/>
      <c r="C54467"/>
      <c r="E54467"/>
      <c r="F54467"/>
    </row>
    <row r="54468" spans="1:6" x14ac:dyDescent="0.25">
      <c r="A54468"/>
      <c r="B54468"/>
      <c r="C54468"/>
      <c r="E54468"/>
      <c r="F54468"/>
    </row>
    <row r="54469" spans="1:6" x14ac:dyDescent="0.25">
      <c r="A54469"/>
      <c r="B54469"/>
      <c r="C54469"/>
      <c r="E54469"/>
      <c r="F54469"/>
    </row>
    <row r="54470" spans="1:6" x14ac:dyDescent="0.25">
      <c r="A54470"/>
      <c r="B54470"/>
      <c r="C54470"/>
      <c r="E54470"/>
      <c r="F54470"/>
    </row>
    <row r="54471" spans="1:6" x14ac:dyDescent="0.25">
      <c r="A54471"/>
      <c r="B54471"/>
      <c r="C54471"/>
      <c r="E54471"/>
      <c r="F54471"/>
    </row>
    <row r="54472" spans="1:6" x14ac:dyDescent="0.25">
      <c r="A54472"/>
      <c r="B54472"/>
      <c r="C54472"/>
      <c r="E54472"/>
      <c r="F54472"/>
    </row>
    <row r="54473" spans="1:6" x14ac:dyDescent="0.25">
      <c r="A54473"/>
      <c r="B54473"/>
      <c r="C54473"/>
      <c r="E54473"/>
      <c r="F54473"/>
    </row>
    <row r="54474" spans="1:6" x14ac:dyDescent="0.25">
      <c r="A54474"/>
      <c r="B54474"/>
      <c r="C54474"/>
      <c r="E54474"/>
      <c r="F54474"/>
    </row>
    <row r="54475" spans="1:6" x14ac:dyDescent="0.25">
      <c r="A54475"/>
      <c r="B54475"/>
      <c r="C54475"/>
      <c r="E54475"/>
      <c r="F54475"/>
    </row>
    <row r="54476" spans="1:6" x14ac:dyDescent="0.25">
      <c r="A54476"/>
      <c r="B54476"/>
      <c r="C54476"/>
      <c r="E54476"/>
      <c r="F54476"/>
    </row>
    <row r="54477" spans="1:6" x14ac:dyDescent="0.25">
      <c r="A54477"/>
      <c r="B54477"/>
      <c r="C54477"/>
      <c r="E54477"/>
      <c r="F54477"/>
    </row>
    <row r="54478" spans="1:6" x14ac:dyDescent="0.25">
      <c r="A54478"/>
      <c r="B54478"/>
      <c r="C54478"/>
      <c r="E54478"/>
      <c r="F54478"/>
    </row>
    <row r="54479" spans="1:6" x14ac:dyDescent="0.25">
      <c r="A54479"/>
      <c r="B54479"/>
      <c r="C54479"/>
      <c r="E54479"/>
      <c r="F54479"/>
    </row>
    <row r="54480" spans="1:6" x14ac:dyDescent="0.25">
      <c r="A54480"/>
      <c r="B54480"/>
      <c r="C54480"/>
      <c r="E54480"/>
      <c r="F54480"/>
    </row>
    <row r="54481" spans="1:6" x14ac:dyDescent="0.25">
      <c r="A54481"/>
      <c r="B54481"/>
      <c r="C54481"/>
      <c r="E54481"/>
      <c r="F54481"/>
    </row>
    <row r="54482" spans="1:6" x14ac:dyDescent="0.25">
      <c r="A54482"/>
      <c r="B54482"/>
      <c r="C54482"/>
      <c r="E54482"/>
      <c r="F54482"/>
    </row>
    <row r="54483" spans="1:6" x14ac:dyDescent="0.25">
      <c r="A54483"/>
      <c r="B54483"/>
      <c r="C54483"/>
      <c r="E54483"/>
      <c r="F54483"/>
    </row>
    <row r="54484" spans="1:6" x14ac:dyDescent="0.25">
      <c r="A54484"/>
      <c r="B54484"/>
      <c r="C54484"/>
      <c r="E54484"/>
      <c r="F54484"/>
    </row>
    <row r="54485" spans="1:6" x14ac:dyDescent="0.25">
      <c r="A54485"/>
      <c r="B54485"/>
      <c r="C54485"/>
      <c r="E54485"/>
      <c r="F54485"/>
    </row>
    <row r="54486" spans="1:6" x14ac:dyDescent="0.25">
      <c r="A54486"/>
      <c r="B54486"/>
      <c r="C54486"/>
      <c r="E54486"/>
      <c r="F54486"/>
    </row>
    <row r="54487" spans="1:6" x14ac:dyDescent="0.25">
      <c r="A54487"/>
      <c r="B54487"/>
      <c r="C54487"/>
      <c r="E54487"/>
      <c r="F54487"/>
    </row>
    <row r="54488" spans="1:6" x14ac:dyDescent="0.25">
      <c r="A54488"/>
      <c r="B54488"/>
      <c r="C54488"/>
      <c r="E54488"/>
      <c r="F54488"/>
    </row>
    <row r="54489" spans="1:6" x14ac:dyDescent="0.25">
      <c r="A54489"/>
      <c r="B54489"/>
      <c r="C54489"/>
      <c r="E54489"/>
      <c r="F54489"/>
    </row>
    <row r="54490" spans="1:6" x14ac:dyDescent="0.25">
      <c r="A54490"/>
      <c r="B54490"/>
      <c r="C54490"/>
      <c r="E54490"/>
      <c r="F54490"/>
    </row>
    <row r="54491" spans="1:6" x14ac:dyDescent="0.25">
      <c r="A54491"/>
      <c r="B54491"/>
      <c r="C54491"/>
      <c r="E54491"/>
      <c r="F54491"/>
    </row>
    <row r="54492" spans="1:6" x14ac:dyDescent="0.25">
      <c r="A54492"/>
      <c r="B54492"/>
      <c r="C54492"/>
      <c r="E54492"/>
      <c r="F54492"/>
    </row>
    <row r="54493" spans="1:6" x14ac:dyDescent="0.25">
      <c r="A54493"/>
      <c r="B54493"/>
      <c r="C54493"/>
      <c r="E54493"/>
      <c r="F54493"/>
    </row>
    <row r="54494" spans="1:6" x14ac:dyDescent="0.25">
      <c r="A54494"/>
      <c r="B54494"/>
      <c r="C54494"/>
      <c r="E54494"/>
      <c r="F54494"/>
    </row>
    <row r="54495" spans="1:6" x14ac:dyDescent="0.25">
      <c r="A54495"/>
      <c r="B54495"/>
      <c r="C54495"/>
      <c r="E54495"/>
      <c r="F54495"/>
    </row>
    <row r="54496" spans="1:6" x14ac:dyDescent="0.25">
      <c r="A54496"/>
      <c r="B54496"/>
      <c r="C54496"/>
      <c r="E54496"/>
      <c r="F54496"/>
    </row>
    <row r="54497" spans="1:6" x14ac:dyDescent="0.25">
      <c r="A54497"/>
      <c r="B54497"/>
      <c r="C54497"/>
      <c r="E54497"/>
      <c r="F54497"/>
    </row>
    <row r="54498" spans="1:6" x14ac:dyDescent="0.25">
      <c r="A54498"/>
      <c r="B54498"/>
      <c r="C54498"/>
      <c r="E54498"/>
      <c r="F54498"/>
    </row>
    <row r="54499" spans="1:6" x14ac:dyDescent="0.25">
      <c r="A54499"/>
      <c r="B54499"/>
      <c r="C54499"/>
      <c r="E54499"/>
      <c r="F54499"/>
    </row>
    <row r="54500" spans="1:6" x14ac:dyDescent="0.25">
      <c r="A54500"/>
      <c r="B54500"/>
      <c r="C54500"/>
      <c r="E54500"/>
      <c r="F54500"/>
    </row>
    <row r="54501" spans="1:6" x14ac:dyDescent="0.25">
      <c r="A54501"/>
      <c r="B54501"/>
      <c r="C54501"/>
      <c r="E54501"/>
      <c r="F54501"/>
    </row>
    <row r="54502" spans="1:6" x14ac:dyDescent="0.25">
      <c r="A54502"/>
      <c r="B54502"/>
      <c r="C54502"/>
      <c r="E54502"/>
      <c r="F54502"/>
    </row>
    <row r="54503" spans="1:6" x14ac:dyDescent="0.25">
      <c r="A54503"/>
      <c r="B54503"/>
      <c r="C54503"/>
      <c r="E54503"/>
      <c r="F54503"/>
    </row>
    <row r="54504" spans="1:6" x14ac:dyDescent="0.25">
      <c r="A54504"/>
      <c r="B54504"/>
      <c r="C54504"/>
      <c r="E54504"/>
      <c r="F54504"/>
    </row>
    <row r="54505" spans="1:6" x14ac:dyDescent="0.25">
      <c r="A54505"/>
      <c r="B54505"/>
      <c r="C54505"/>
      <c r="E54505"/>
      <c r="F54505"/>
    </row>
    <row r="54506" spans="1:6" x14ac:dyDescent="0.25">
      <c r="A54506"/>
      <c r="B54506"/>
      <c r="C54506"/>
      <c r="E54506"/>
      <c r="F54506"/>
    </row>
    <row r="54507" spans="1:6" x14ac:dyDescent="0.25">
      <c r="A54507"/>
      <c r="B54507"/>
      <c r="C54507"/>
      <c r="E54507"/>
      <c r="F54507"/>
    </row>
    <row r="54508" spans="1:6" x14ac:dyDescent="0.25">
      <c r="A54508"/>
      <c r="B54508"/>
      <c r="C54508"/>
      <c r="E54508"/>
      <c r="F54508"/>
    </row>
    <row r="54509" spans="1:6" x14ac:dyDescent="0.25">
      <c r="A54509"/>
      <c r="B54509"/>
      <c r="C54509"/>
      <c r="E54509"/>
      <c r="F54509"/>
    </row>
    <row r="54510" spans="1:6" x14ac:dyDescent="0.25">
      <c r="A54510"/>
      <c r="B54510"/>
      <c r="C54510"/>
      <c r="E54510"/>
      <c r="F54510"/>
    </row>
    <row r="54511" spans="1:6" x14ac:dyDescent="0.25">
      <c r="A54511"/>
      <c r="B54511"/>
      <c r="C54511"/>
      <c r="E54511"/>
      <c r="F54511"/>
    </row>
    <row r="54512" spans="1:6" x14ac:dyDescent="0.25">
      <c r="A54512"/>
      <c r="B54512"/>
      <c r="C54512"/>
      <c r="E54512"/>
      <c r="F54512"/>
    </row>
    <row r="54513" spans="1:6" x14ac:dyDescent="0.25">
      <c r="A54513"/>
      <c r="B54513"/>
      <c r="C54513"/>
      <c r="E54513"/>
      <c r="F54513"/>
    </row>
    <row r="54514" spans="1:6" x14ac:dyDescent="0.25">
      <c r="A54514"/>
      <c r="B54514"/>
      <c r="C54514"/>
      <c r="E54514"/>
      <c r="F54514"/>
    </row>
    <row r="54515" spans="1:6" x14ac:dyDescent="0.25">
      <c r="A54515"/>
      <c r="B54515"/>
      <c r="C54515"/>
      <c r="E54515"/>
      <c r="F54515"/>
    </row>
    <row r="54516" spans="1:6" x14ac:dyDescent="0.25">
      <c r="A54516"/>
      <c r="B54516"/>
      <c r="C54516"/>
      <c r="E54516"/>
      <c r="F54516"/>
    </row>
    <row r="54517" spans="1:6" x14ac:dyDescent="0.25">
      <c r="A54517"/>
      <c r="B54517"/>
      <c r="C54517"/>
      <c r="E54517"/>
      <c r="F54517"/>
    </row>
    <row r="54518" spans="1:6" x14ac:dyDescent="0.25">
      <c r="A54518"/>
      <c r="B54518"/>
      <c r="C54518"/>
      <c r="E54518"/>
      <c r="F54518"/>
    </row>
    <row r="54519" spans="1:6" x14ac:dyDescent="0.25">
      <c r="A54519"/>
      <c r="B54519"/>
      <c r="C54519"/>
      <c r="E54519"/>
      <c r="F54519"/>
    </row>
    <row r="54520" spans="1:6" x14ac:dyDescent="0.25">
      <c r="A54520"/>
      <c r="B54520"/>
      <c r="C54520"/>
      <c r="E54520"/>
      <c r="F54520"/>
    </row>
    <row r="54521" spans="1:6" x14ac:dyDescent="0.25">
      <c r="A54521"/>
      <c r="B54521"/>
      <c r="C54521"/>
      <c r="E54521"/>
      <c r="F54521"/>
    </row>
    <row r="54522" spans="1:6" x14ac:dyDescent="0.25">
      <c r="A54522"/>
      <c r="B54522"/>
      <c r="C54522"/>
      <c r="E54522"/>
      <c r="F54522"/>
    </row>
    <row r="54523" spans="1:6" x14ac:dyDescent="0.25">
      <c r="A54523"/>
      <c r="B54523"/>
      <c r="C54523"/>
      <c r="E54523"/>
      <c r="F54523"/>
    </row>
    <row r="54524" spans="1:6" x14ac:dyDescent="0.25">
      <c r="A54524"/>
      <c r="B54524"/>
      <c r="C54524"/>
      <c r="E54524"/>
      <c r="F54524"/>
    </row>
    <row r="54525" spans="1:6" x14ac:dyDescent="0.25">
      <c r="A54525"/>
      <c r="B54525"/>
      <c r="C54525"/>
      <c r="E54525"/>
      <c r="F54525"/>
    </row>
    <row r="54526" spans="1:6" x14ac:dyDescent="0.25">
      <c r="A54526"/>
      <c r="B54526"/>
      <c r="C54526"/>
      <c r="E54526"/>
      <c r="F54526"/>
    </row>
    <row r="54527" spans="1:6" x14ac:dyDescent="0.25">
      <c r="A54527"/>
      <c r="B54527"/>
      <c r="C54527"/>
      <c r="E54527"/>
      <c r="F54527"/>
    </row>
    <row r="54528" spans="1:6" x14ac:dyDescent="0.25">
      <c r="A54528"/>
      <c r="B54528"/>
      <c r="C54528"/>
      <c r="E54528"/>
      <c r="F54528"/>
    </row>
    <row r="54529" spans="1:6" x14ac:dyDescent="0.25">
      <c r="A54529"/>
      <c r="B54529"/>
      <c r="C54529"/>
      <c r="E54529"/>
      <c r="F54529"/>
    </row>
    <row r="54530" spans="1:6" x14ac:dyDescent="0.25">
      <c r="A54530"/>
      <c r="B54530"/>
      <c r="C54530"/>
      <c r="E54530"/>
      <c r="F54530"/>
    </row>
    <row r="54531" spans="1:6" x14ac:dyDescent="0.25">
      <c r="A54531"/>
      <c r="B54531"/>
      <c r="C54531"/>
      <c r="E54531"/>
      <c r="F54531"/>
    </row>
    <row r="54532" spans="1:6" x14ac:dyDescent="0.25">
      <c r="A54532"/>
      <c r="B54532"/>
      <c r="C54532"/>
      <c r="E54532"/>
      <c r="F54532"/>
    </row>
    <row r="54533" spans="1:6" x14ac:dyDescent="0.25">
      <c r="A54533"/>
      <c r="B54533"/>
      <c r="C54533"/>
      <c r="E54533"/>
      <c r="F54533"/>
    </row>
    <row r="54534" spans="1:6" x14ac:dyDescent="0.25">
      <c r="A54534"/>
      <c r="B54534"/>
      <c r="C54534"/>
      <c r="E54534"/>
      <c r="F54534"/>
    </row>
    <row r="54535" spans="1:6" x14ac:dyDescent="0.25">
      <c r="A54535"/>
      <c r="B54535"/>
      <c r="C54535"/>
      <c r="E54535"/>
      <c r="F54535"/>
    </row>
    <row r="54536" spans="1:6" x14ac:dyDescent="0.25">
      <c r="A54536"/>
      <c r="B54536"/>
      <c r="C54536"/>
      <c r="E54536"/>
      <c r="F54536"/>
    </row>
    <row r="54537" spans="1:6" x14ac:dyDescent="0.25">
      <c r="A54537"/>
      <c r="B54537"/>
      <c r="C54537"/>
      <c r="E54537"/>
      <c r="F54537"/>
    </row>
    <row r="54538" spans="1:6" x14ac:dyDescent="0.25">
      <c r="A54538"/>
      <c r="B54538"/>
      <c r="C54538"/>
      <c r="E54538"/>
      <c r="F54538"/>
    </row>
    <row r="54539" spans="1:6" x14ac:dyDescent="0.25">
      <c r="A54539"/>
      <c r="B54539"/>
      <c r="C54539"/>
      <c r="E54539"/>
      <c r="F54539"/>
    </row>
    <row r="54540" spans="1:6" x14ac:dyDescent="0.25">
      <c r="A54540"/>
      <c r="B54540"/>
      <c r="C54540"/>
      <c r="E54540"/>
      <c r="F54540"/>
    </row>
    <row r="54541" spans="1:6" x14ac:dyDescent="0.25">
      <c r="A54541"/>
      <c r="B54541"/>
      <c r="C54541"/>
      <c r="E54541"/>
      <c r="F54541"/>
    </row>
    <row r="54542" spans="1:6" x14ac:dyDescent="0.25">
      <c r="A54542"/>
      <c r="B54542"/>
      <c r="C54542"/>
      <c r="E54542"/>
      <c r="F54542"/>
    </row>
    <row r="54543" spans="1:6" x14ac:dyDescent="0.25">
      <c r="A54543"/>
      <c r="B54543"/>
      <c r="C54543"/>
      <c r="E54543"/>
      <c r="F54543"/>
    </row>
    <row r="54544" spans="1:6" x14ac:dyDescent="0.25">
      <c r="A54544"/>
      <c r="B54544"/>
      <c r="C54544"/>
      <c r="E54544"/>
      <c r="F54544"/>
    </row>
    <row r="54545" spans="1:6" x14ac:dyDescent="0.25">
      <c r="A54545"/>
      <c r="B54545"/>
      <c r="C54545"/>
      <c r="E54545"/>
      <c r="F54545"/>
    </row>
    <row r="54546" spans="1:6" x14ac:dyDescent="0.25">
      <c r="A54546"/>
      <c r="B54546"/>
      <c r="C54546"/>
      <c r="E54546"/>
      <c r="F54546"/>
    </row>
    <row r="54547" spans="1:6" x14ac:dyDescent="0.25">
      <c r="A54547"/>
      <c r="B54547"/>
      <c r="C54547"/>
      <c r="E54547"/>
      <c r="F54547"/>
    </row>
    <row r="54548" spans="1:6" x14ac:dyDescent="0.25">
      <c r="A54548"/>
      <c r="B54548"/>
      <c r="C54548"/>
      <c r="E54548"/>
      <c r="F54548"/>
    </row>
    <row r="54549" spans="1:6" x14ac:dyDescent="0.25">
      <c r="A54549"/>
      <c r="B54549"/>
      <c r="C54549"/>
      <c r="E54549"/>
      <c r="F54549"/>
    </row>
    <row r="54550" spans="1:6" x14ac:dyDescent="0.25">
      <c r="A54550"/>
      <c r="B54550"/>
      <c r="C54550"/>
      <c r="E54550"/>
      <c r="F54550"/>
    </row>
    <row r="54551" spans="1:6" x14ac:dyDescent="0.25">
      <c r="A54551"/>
      <c r="B54551"/>
      <c r="C54551"/>
      <c r="E54551"/>
      <c r="F54551"/>
    </row>
    <row r="54552" spans="1:6" x14ac:dyDescent="0.25">
      <c r="A54552"/>
      <c r="B54552"/>
      <c r="C54552"/>
      <c r="E54552"/>
      <c r="F54552"/>
    </row>
    <row r="54553" spans="1:6" x14ac:dyDescent="0.25">
      <c r="A54553"/>
      <c r="B54553"/>
      <c r="C54553"/>
      <c r="E54553"/>
      <c r="F54553"/>
    </row>
    <row r="54554" spans="1:6" x14ac:dyDescent="0.25">
      <c r="A54554"/>
      <c r="B54554"/>
      <c r="C54554"/>
      <c r="E54554"/>
      <c r="F54554"/>
    </row>
    <row r="54555" spans="1:6" x14ac:dyDescent="0.25">
      <c r="A54555"/>
      <c r="B54555"/>
      <c r="C54555"/>
      <c r="E54555"/>
      <c r="F54555"/>
    </row>
    <row r="54556" spans="1:6" x14ac:dyDescent="0.25">
      <c r="A54556"/>
      <c r="B54556"/>
      <c r="C54556"/>
      <c r="E54556"/>
      <c r="F54556"/>
    </row>
    <row r="54557" spans="1:6" x14ac:dyDescent="0.25">
      <c r="A54557"/>
      <c r="B54557"/>
      <c r="C54557"/>
      <c r="E54557"/>
      <c r="F54557"/>
    </row>
    <row r="54558" spans="1:6" x14ac:dyDescent="0.25">
      <c r="A54558"/>
      <c r="B54558"/>
      <c r="C54558"/>
      <c r="E54558"/>
      <c r="F54558"/>
    </row>
    <row r="54559" spans="1:6" x14ac:dyDescent="0.25">
      <c r="A54559"/>
      <c r="B54559"/>
      <c r="C54559"/>
      <c r="E54559"/>
      <c r="F54559"/>
    </row>
    <row r="54560" spans="1:6" x14ac:dyDescent="0.25">
      <c r="A54560"/>
      <c r="B54560"/>
      <c r="C54560"/>
      <c r="E54560"/>
      <c r="F54560"/>
    </row>
    <row r="54561" spans="1:6" x14ac:dyDescent="0.25">
      <c r="A54561"/>
      <c r="B54561"/>
      <c r="C54561"/>
      <c r="E54561"/>
      <c r="F54561"/>
    </row>
    <row r="54562" spans="1:6" x14ac:dyDescent="0.25">
      <c r="A54562"/>
      <c r="B54562"/>
      <c r="C54562"/>
      <c r="E54562"/>
      <c r="F54562"/>
    </row>
    <row r="54563" spans="1:6" x14ac:dyDescent="0.25">
      <c r="A54563"/>
      <c r="B54563"/>
      <c r="C54563"/>
      <c r="E54563"/>
      <c r="F54563"/>
    </row>
    <row r="54564" spans="1:6" x14ac:dyDescent="0.25">
      <c r="A54564"/>
      <c r="B54564"/>
      <c r="C54564"/>
      <c r="E54564"/>
      <c r="F54564"/>
    </row>
    <row r="54565" spans="1:6" x14ac:dyDescent="0.25">
      <c r="A54565"/>
      <c r="B54565"/>
      <c r="C54565"/>
      <c r="E54565"/>
      <c r="F54565"/>
    </row>
    <row r="54566" spans="1:6" x14ac:dyDescent="0.25">
      <c r="A54566"/>
      <c r="B54566"/>
      <c r="C54566"/>
      <c r="E54566"/>
      <c r="F54566"/>
    </row>
    <row r="54567" spans="1:6" x14ac:dyDescent="0.25">
      <c r="A54567"/>
      <c r="B54567"/>
      <c r="C54567"/>
      <c r="E54567"/>
      <c r="F54567"/>
    </row>
    <row r="54568" spans="1:6" x14ac:dyDescent="0.25">
      <c r="A54568"/>
      <c r="B54568"/>
      <c r="C54568"/>
      <c r="E54568"/>
      <c r="F54568"/>
    </row>
    <row r="54569" spans="1:6" x14ac:dyDescent="0.25">
      <c r="A54569"/>
      <c r="B54569"/>
      <c r="C54569"/>
      <c r="E54569"/>
      <c r="F54569"/>
    </row>
    <row r="54570" spans="1:6" x14ac:dyDescent="0.25">
      <c r="A54570"/>
      <c r="B54570"/>
      <c r="C54570"/>
      <c r="E54570"/>
      <c r="F54570"/>
    </row>
    <row r="54571" spans="1:6" x14ac:dyDescent="0.25">
      <c r="A54571"/>
      <c r="B54571"/>
      <c r="C54571"/>
      <c r="E54571"/>
      <c r="F54571"/>
    </row>
    <row r="54572" spans="1:6" x14ac:dyDescent="0.25">
      <c r="A54572"/>
      <c r="B54572"/>
      <c r="C54572"/>
      <c r="E54572"/>
      <c r="F54572"/>
    </row>
    <row r="54573" spans="1:6" x14ac:dyDescent="0.25">
      <c r="A54573"/>
      <c r="B54573"/>
      <c r="C54573"/>
      <c r="E54573"/>
      <c r="F54573"/>
    </row>
    <row r="54574" spans="1:6" x14ac:dyDescent="0.25">
      <c r="A54574"/>
      <c r="B54574"/>
      <c r="C54574"/>
      <c r="E54574"/>
      <c r="F54574"/>
    </row>
    <row r="54575" spans="1:6" x14ac:dyDescent="0.25">
      <c r="A54575"/>
      <c r="B54575"/>
      <c r="C54575"/>
      <c r="E54575"/>
      <c r="F54575"/>
    </row>
    <row r="54576" spans="1:6" x14ac:dyDescent="0.25">
      <c r="A54576"/>
      <c r="B54576"/>
      <c r="C54576"/>
      <c r="E54576"/>
      <c r="F54576"/>
    </row>
    <row r="54577" spans="1:6" x14ac:dyDescent="0.25">
      <c r="A54577"/>
      <c r="B54577"/>
      <c r="C54577"/>
      <c r="E54577"/>
      <c r="F54577"/>
    </row>
    <row r="54578" spans="1:6" x14ac:dyDescent="0.25">
      <c r="A54578"/>
      <c r="B54578"/>
      <c r="C54578"/>
      <c r="E54578"/>
      <c r="F54578"/>
    </row>
    <row r="54579" spans="1:6" x14ac:dyDescent="0.25">
      <c r="A54579"/>
      <c r="B54579"/>
      <c r="C54579"/>
      <c r="E54579"/>
      <c r="F54579"/>
    </row>
    <row r="54580" spans="1:6" x14ac:dyDescent="0.25">
      <c r="A54580"/>
      <c r="B54580"/>
      <c r="C54580"/>
      <c r="E54580"/>
      <c r="F54580"/>
    </row>
    <row r="54581" spans="1:6" x14ac:dyDescent="0.25">
      <c r="A54581"/>
      <c r="B54581"/>
      <c r="C54581"/>
      <c r="E54581"/>
      <c r="F54581"/>
    </row>
    <row r="54582" spans="1:6" x14ac:dyDescent="0.25">
      <c r="A54582"/>
      <c r="B54582"/>
      <c r="C54582"/>
      <c r="E54582"/>
      <c r="F54582"/>
    </row>
    <row r="54583" spans="1:6" x14ac:dyDescent="0.25">
      <c r="A54583"/>
      <c r="B54583"/>
      <c r="C54583"/>
      <c r="E54583"/>
      <c r="F54583"/>
    </row>
    <row r="54584" spans="1:6" x14ac:dyDescent="0.25">
      <c r="A54584"/>
      <c r="B54584"/>
      <c r="C54584"/>
      <c r="E54584"/>
      <c r="F54584"/>
    </row>
    <row r="54585" spans="1:6" x14ac:dyDescent="0.25">
      <c r="A54585"/>
      <c r="B54585"/>
      <c r="C54585"/>
      <c r="E54585"/>
      <c r="F54585"/>
    </row>
    <row r="54586" spans="1:6" x14ac:dyDescent="0.25">
      <c r="A54586"/>
      <c r="B54586"/>
      <c r="C54586"/>
      <c r="E54586"/>
      <c r="F54586"/>
    </row>
    <row r="54587" spans="1:6" x14ac:dyDescent="0.25">
      <c r="A54587"/>
      <c r="B54587"/>
      <c r="C54587"/>
      <c r="E54587"/>
      <c r="F54587"/>
    </row>
    <row r="54588" spans="1:6" x14ac:dyDescent="0.25">
      <c r="A54588"/>
      <c r="B54588"/>
      <c r="C54588"/>
      <c r="E54588"/>
      <c r="F54588"/>
    </row>
    <row r="54589" spans="1:6" x14ac:dyDescent="0.25">
      <c r="A54589"/>
      <c r="B54589"/>
      <c r="C54589"/>
      <c r="E54589"/>
      <c r="F54589"/>
    </row>
    <row r="54590" spans="1:6" x14ac:dyDescent="0.25">
      <c r="A54590"/>
      <c r="B54590"/>
      <c r="C54590"/>
      <c r="E54590"/>
      <c r="F54590"/>
    </row>
    <row r="54591" spans="1:6" x14ac:dyDescent="0.25">
      <c r="A54591"/>
      <c r="B54591"/>
      <c r="C54591"/>
      <c r="E54591"/>
      <c r="F54591"/>
    </row>
    <row r="54592" spans="1:6" x14ac:dyDescent="0.25">
      <c r="A54592"/>
      <c r="B54592"/>
      <c r="C54592"/>
      <c r="E54592"/>
      <c r="F54592"/>
    </row>
    <row r="54593" spans="1:6" x14ac:dyDescent="0.25">
      <c r="A54593"/>
      <c r="B54593"/>
      <c r="C54593"/>
      <c r="E54593"/>
      <c r="F54593"/>
    </row>
    <row r="54594" spans="1:6" x14ac:dyDescent="0.25">
      <c r="A54594"/>
      <c r="B54594"/>
      <c r="C54594"/>
      <c r="E54594"/>
      <c r="F54594"/>
    </row>
    <row r="54595" spans="1:6" x14ac:dyDescent="0.25">
      <c r="A54595"/>
      <c r="B54595"/>
      <c r="C54595"/>
      <c r="E54595"/>
      <c r="F54595"/>
    </row>
    <row r="54596" spans="1:6" x14ac:dyDescent="0.25">
      <c r="A54596"/>
      <c r="B54596"/>
      <c r="C54596"/>
      <c r="E54596"/>
      <c r="F54596"/>
    </row>
    <row r="54597" spans="1:6" x14ac:dyDescent="0.25">
      <c r="A54597"/>
      <c r="B54597"/>
      <c r="C54597"/>
      <c r="E54597"/>
      <c r="F54597"/>
    </row>
    <row r="54598" spans="1:6" x14ac:dyDescent="0.25">
      <c r="A54598"/>
      <c r="B54598"/>
      <c r="C54598"/>
      <c r="E54598"/>
      <c r="F54598"/>
    </row>
    <row r="54599" spans="1:6" x14ac:dyDescent="0.25">
      <c r="A54599"/>
      <c r="B54599"/>
      <c r="C54599"/>
      <c r="E54599"/>
      <c r="F54599"/>
    </row>
    <row r="54600" spans="1:6" x14ac:dyDescent="0.25">
      <c r="A54600"/>
      <c r="B54600"/>
      <c r="C54600"/>
      <c r="E54600"/>
      <c r="F54600"/>
    </row>
    <row r="54601" spans="1:6" x14ac:dyDescent="0.25">
      <c r="A54601"/>
      <c r="B54601"/>
      <c r="C54601"/>
      <c r="E54601"/>
      <c r="F54601"/>
    </row>
    <row r="54602" spans="1:6" x14ac:dyDescent="0.25">
      <c r="A54602"/>
      <c r="B54602"/>
      <c r="C54602"/>
      <c r="E54602"/>
      <c r="F54602"/>
    </row>
    <row r="54603" spans="1:6" x14ac:dyDescent="0.25">
      <c r="A54603"/>
      <c r="B54603"/>
      <c r="C54603"/>
      <c r="E54603"/>
      <c r="F54603"/>
    </row>
    <row r="54604" spans="1:6" x14ac:dyDescent="0.25">
      <c r="A54604"/>
      <c r="B54604"/>
      <c r="C54604"/>
      <c r="E54604"/>
      <c r="F54604"/>
    </row>
    <row r="54605" spans="1:6" x14ac:dyDescent="0.25">
      <c r="A54605"/>
      <c r="B54605"/>
      <c r="C54605"/>
      <c r="E54605"/>
      <c r="F54605"/>
    </row>
    <row r="54606" spans="1:6" x14ac:dyDescent="0.25">
      <c r="A54606"/>
      <c r="B54606"/>
      <c r="C54606"/>
      <c r="E54606"/>
      <c r="F54606"/>
    </row>
    <row r="54607" spans="1:6" x14ac:dyDescent="0.25">
      <c r="A54607"/>
      <c r="B54607"/>
      <c r="C54607"/>
      <c r="E54607"/>
      <c r="F54607"/>
    </row>
    <row r="54608" spans="1:6" x14ac:dyDescent="0.25">
      <c r="A54608"/>
      <c r="B54608"/>
      <c r="C54608"/>
      <c r="E54608"/>
      <c r="F54608"/>
    </row>
    <row r="54609" spans="1:6" x14ac:dyDescent="0.25">
      <c r="A54609"/>
      <c r="B54609"/>
      <c r="C54609"/>
      <c r="E54609"/>
      <c r="F54609"/>
    </row>
    <row r="54610" spans="1:6" x14ac:dyDescent="0.25">
      <c r="A54610"/>
      <c r="B54610"/>
      <c r="C54610"/>
      <c r="E54610"/>
      <c r="F54610"/>
    </row>
    <row r="54611" spans="1:6" x14ac:dyDescent="0.25">
      <c r="A54611"/>
      <c r="B54611"/>
      <c r="C54611"/>
      <c r="E54611"/>
      <c r="F54611"/>
    </row>
    <row r="54612" spans="1:6" x14ac:dyDescent="0.25">
      <c r="A54612"/>
      <c r="B54612"/>
      <c r="C54612"/>
      <c r="E54612"/>
      <c r="F54612"/>
    </row>
    <row r="54613" spans="1:6" x14ac:dyDescent="0.25">
      <c r="A54613"/>
      <c r="B54613"/>
      <c r="C54613"/>
      <c r="E54613"/>
      <c r="F54613"/>
    </row>
    <row r="54614" spans="1:6" x14ac:dyDescent="0.25">
      <c r="A54614"/>
      <c r="B54614"/>
      <c r="C54614"/>
      <c r="E54614"/>
      <c r="F54614"/>
    </row>
    <row r="54615" spans="1:6" x14ac:dyDescent="0.25">
      <c r="A54615"/>
      <c r="B54615"/>
      <c r="C54615"/>
      <c r="E54615"/>
      <c r="F54615"/>
    </row>
    <row r="54616" spans="1:6" x14ac:dyDescent="0.25">
      <c r="A54616"/>
      <c r="B54616"/>
      <c r="C54616"/>
      <c r="E54616"/>
      <c r="F54616"/>
    </row>
    <row r="54617" spans="1:6" x14ac:dyDescent="0.25">
      <c r="A54617"/>
      <c r="B54617"/>
      <c r="C54617"/>
      <c r="E54617"/>
      <c r="F54617"/>
    </row>
    <row r="54618" spans="1:6" x14ac:dyDescent="0.25">
      <c r="A54618"/>
      <c r="B54618"/>
      <c r="C54618"/>
      <c r="E54618"/>
      <c r="F54618"/>
    </row>
    <row r="54619" spans="1:6" x14ac:dyDescent="0.25">
      <c r="A54619"/>
      <c r="B54619"/>
      <c r="C54619"/>
      <c r="E54619"/>
      <c r="F54619"/>
    </row>
    <row r="54620" spans="1:6" x14ac:dyDescent="0.25">
      <c r="A54620"/>
      <c r="B54620"/>
      <c r="C54620"/>
      <c r="E54620"/>
      <c r="F54620"/>
    </row>
    <row r="54621" spans="1:6" x14ac:dyDescent="0.25">
      <c r="A54621"/>
      <c r="B54621"/>
      <c r="C54621"/>
      <c r="E54621"/>
      <c r="F54621"/>
    </row>
    <row r="54622" spans="1:6" x14ac:dyDescent="0.25">
      <c r="A54622"/>
      <c r="B54622"/>
      <c r="C54622"/>
      <c r="E54622"/>
      <c r="F54622"/>
    </row>
    <row r="54623" spans="1:6" x14ac:dyDescent="0.25">
      <c r="A54623"/>
      <c r="B54623"/>
      <c r="C54623"/>
      <c r="E54623"/>
      <c r="F54623"/>
    </row>
    <row r="54624" spans="1:6" x14ac:dyDescent="0.25">
      <c r="A54624"/>
      <c r="B54624"/>
      <c r="C54624"/>
      <c r="E54624"/>
      <c r="F54624"/>
    </row>
    <row r="54625" spans="1:6" x14ac:dyDescent="0.25">
      <c r="A54625"/>
      <c r="B54625"/>
      <c r="C54625"/>
      <c r="E54625"/>
      <c r="F54625"/>
    </row>
    <row r="54626" spans="1:6" x14ac:dyDescent="0.25">
      <c r="A54626"/>
      <c r="B54626"/>
      <c r="C54626"/>
      <c r="E54626"/>
      <c r="F54626"/>
    </row>
    <row r="54627" spans="1:6" x14ac:dyDescent="0.25">
      <c r="A54627"/>
      <c r="B54627"/>
      <c r="C54627"/>
      <c r="E54627"/>
      <c r="F54627"/>
    </row>
    <row r="54628" spans="1:6" x14ac:dyDescent="0.25">
      <c r="A54628"/>
      <c r="B54628"/>
      <c r="C54628"/>
      <c r="E54628"/>
      <c r="F54628"/>
    </row>
    <row r="54629" spans="1:6" x14ac:dyDescent="0.25">
      <c r="A54629"/>
      <c r="B54629"/>
      <c r="C54629"/>
      <c r="E54629"/>
      <c r="F54629"/>
    </row>
    <row r="54630" spans="1:6" x14ac:dyDescent="0.25">
      <c r="A54630"/>
      <c r="B54630"/>
      <c r="C54630"/>
      <c r="E54630"/>
      <c r="F54630"/>
    </row>
    <row r="54631" spans="1:6" x14ac:dyDescent="0.25">
      <c r="A54631"/>
      <c r="B54631"/>
      <c r="C54631"/>
      <c r="E54631"/>
      <c r="F54631"/>
    </row>
    <row r="54632" spans="1:6" x14ac:dyDescent="0.25">
      <c r="A54632"/>
      <c r="B54632"/>
      <c r="C54632"/>
      <c r="E54632"/>
      <c r="F54632"/>
    </row>
    <row r="54633" spans="1:6" x14ac:dyDescent="0.25">
      <c r="A54633"/>
      <c r="B54633"/>
      <c r="C54633"/>
      <c r="E54633"/>
      <c r="F54633"/>
    </row>
    <row r="54634" spans="1:6" x14ac:dyDescent="0.25">
      <c r="A54634"/>
      <c r="B54634"/>
      <c r="C54634"/>
      <c r="E54634"/>
      <c r="F54634"/>
    </row>
    <row r="54635" spans="1:6" x14ac:dyDescent="0.25">
      <c r="A54635"/>
      <c r="B54635"/>
      <c r="C54635"/>
      <c r="E54635"/>
      <c r="F54635"/>
    </row>
    <row r="54636" spans="1:6" x14ac:dyDescent="0.25">
      <c r="A54636"/>
      <c r="B54636"/>
      <c r="C54636"/>
      <c r="E54636"/>
      <c r="F54636"/>
    </row>
    <row r="54637" spans="1:6" x14ac:dyDescent="0.25">
      <c r="A54637"/>
      <c r="B54637"/>
      <c r="C54637"/>
      <c r="E54637"/>
      <c r="F54637"/>
    </row>
    <row r="54638" spans="1:6" x14ac:dyDescent="0.25">
      <c r="A54638"/>
      <c r="B54638"/>
      <c r="C54638"/>
      <c r="E54638"/>
      <c r="F54638"/>
    </row>
    <row r="54639" spans="1:6" x14ac:dyDescent="0.25">
      <c r="A54639"/>
      <c r="B54639"/>
      <c r="C54639"/>
      <c r="E54639"/>
      <c r="F54639"/>
    </row>
    <row r="54640" spans="1:6" x14ac:dyDescent="0.25">
      <c r="A54640"/>
      <c r="B54640"/>
      <c r="C54640"/>
      <c r="E54640"/>
      <c r="F54640"/>
    </row>
    <row r="54641" spans="1:6" x14ac:dyDescent="0.25">
      <c r="A54641"/>
      <c r="B54641"/>
      <c r="C54641"/>
      <c r="E54641"/>
      <c r="F54641"/>
    </row>
    <row r="54642" spans="1:6" x14ac:dyDescent="0.25">
      <c r="A54642"/>
      <c r="B54642"/>
      <c r="C54642"/>
      <c r="E54642"/>
      <c r="F54642"/>
    </row>
    <row r="54643" spans="1:6" x14ac:dyDescent="0.25">
      <c r="A54643"/>
      <c r="B54643"/>
      <c r="C54643"/>
      <c r="E54643"/>
      <c r="F54643"/>
    </row>
    <row r="54644" spans="1:6" x14ac:dyDescent="0.25">
      <c r="A54644"/>
      <c r="B54644"/>
      <c r="C54644"/>
      <c r="E54644"/>
      <c r="F54644"/>
    </row>
    <row r="54645" spans="1:6" x14ac:dyDescent="0.25">
      <c r="A54645"/>
      <c r="B54645"/>
      <c r="C54645"/>
      <c r="E54645"/>
      <c r="F54645"/>
    </row>
    <row r="54646" spans="1:6" x14ac:dyDescent="0.25">
      <c r="A54646"/>
      <c r="B54646"/>
      <c r="C54646"/>
      <c r="E54646"/>
      <c r="F54646"/>
    </row>
    <row r="54647" spans="1:6" x14ac:dyDescent="0.25">
      <c r="A54647"/>
      <c r="B54647"/>
      <c r="C54647"/>
      <c r="E54647"/>
      <c r="F54647"/>
    </row>
    <row r="54648" spans="1:6" x14ac:dyDescent="0.25">
      <c r="A54648"/>
      <c r="B54648"/>
      <c r="C54648"/>
      <c r="E54648"/>
      <c r="F54648"/>
    </row>
    <row r="54649" spans="1:6" x14ac:dyDescent="0.25">
      <c r="A54649"/>
      <c r="B54649"/>
      <c r="C54649"/>
      <c r="E54649"/>
      <c r="F54649"/>
    </row>
    <row r="54650" spans="1:6" x14ac:dyDescent="0.25">
      <c r="A54650"/>
      <c r="B54650"/>
      <c r="C54650"/>
      <c r="E54650"/>
      <c r="F54650"/>
    </row>
    <row r="54651" spans="1:6" x14ac:dyDescent="0.25">
      <c r="A54651"/>
      <c r="B54651"/>
      <c r="C54651"/>
      <c r="E54651"/>
      <c r="F54651"/>
    </row>
    <row r="54652" spans="1:6" x14ac:dyDescent="0.25">
      <c r="A54652"/>
      <c r="B54652"/>
      <c r="C54652"/>
      <c r="E54652"/>
      <c r="F54652"/>
    </row>
    <row r="54653" spans="1:6" x14ac:dyDescent="0.25">
      <c r="A54653"/>
      <c r="B54653"/>
      <c r="C54653"/>
      <c r="E54653"/>
      <c r="F54653"/>
    </row>
    <row r="54654" spans="1:6" x14ac:dyDescent="0.25">
      <c r="A54654"/>
      <c r="B54654"/>
      <c r="C54654"/>
      <c r="E54654"/>
      <c r="F54654"/>
    </row>
    <row r="54655" spans="1:6" x14ac:dyDescent="0.25">
      <c r="A54655"/>
      <c r="B54655"/>
      <c r="C54655"/>
      <c r="E54655"/>
      <c r="F54655"/>
    </row>
    <row r="54656" spans="1:6" x14ac:dyDescent="0.25">
      <c r="A54656"/>
      <c r="B54656"/>
      <c r="C54656"/>
      <c r="E54656"/>
      <c r="F54656"/>
    </row>
    <row r="54657" spans="1:6" x14ac:dyDescent="0.25">
      <c r="A54657"/>
      <c r="B54657"/>
      <c r="C54657"/>
      <c r="E54657"/>
      <c r="F54657"/>
    </row>
    <row r="54658" spans="1:6" x14ac:dyDescent="0.25">
      <c r="A54658"/>
      <c r="B54658"/>
      <c r="C54658"/>
      <c r="E54658"/>
      <c r="F54658"/>
    </row>
    <row r="54659" spans="1:6" x14ac:dyDescent="0.25">
      <c r="A54659"/>
      <c r="B54659"/>
      <c r="C54659"/>
      <c r="E54659"/>
      <c r="F54659"/>
    </row>
    <row r="54660" spans="1:6" x14ac:dyDescent="0.25">
      <c r="A54660"/>
      <c r="B54660"/>
      <c r="C54660"/>
      <c r="E54660"/>
      <c r="F54660"/>
    </row>
    <row r="54661" spans="1:6" x14ac:dyDescent="0.25">
      <c r="A54661"/>
      <c r="B54661"/>
      <c r="C54661"/>
      <c r="E54661"/>
      <c r="F54661"/>
    </row>
    <row r="54662" spans="1:6" x14ac:dyDescent="0.25">
      <c r="A54662"/>
      <c r="B54662"/>
      <c r="C54662"/>
      <c r="E54662"/>
      <c r="F54662"/>
    </row>
    <row r="54663" spans="1:6" x14ac:dyDescent="0.25">
      <c r="A54663"/>
      <c r="B54663"/>
      <c r="C54663"/>
      <c r="E54663"/>
      <c r="F54663"/>
    </row>
    <row r="54664" spans="1:6" x14ac:dyDescent="0.25">
      <c r="A54664"/>
      <c r="B54664"/>
      <c r="C54664"/>
      <c r="E54664"/>
      <c r="F54664"/>
    </row>
    <row r="54665" spans="1:6" x14ac:dyDescent="0.25">
      <c r="A54665"/>
      <c r="B54665"/>
      <c r="C54665"/>
      <c r="E54665"/>
      <c r="F54665"/>
    </row>
    <row r="54666" spans="1:6" x14ac:dyDescent="0.25">
      <c r="A54666"/>
      <c r="B54666"/>
      <c r="C54666"/>
      <c r="E54666"/>
      <c r="F54666"/>
    </row>
    <row r="54667" spans="1:6" x14ac:dyDescent="0.25">
      <c r="A54667"/>
      <c r="B54667"/>
      <c r="C54667"/>
      <c r="E54667"/>
      <c r="F54667"/>
    </row>
    <row r="54668" spans="1:6" x14ac:dyDescent="0.25">
      <c r="A54668"/>
      <c r="B54668"/>
      <c r="C54668"/>
      <c r="E54668"/>
      <c r="F54668"/>
    </row>
    <row r="54669" spans="1:6" x14ac:dyDescent="0.25">
      <c r="A54669"/>
      <c r="B54669"/>
      <c r="C54669"/>
      <c r="E54669"/>
      <c r="F54669"/>
    </row>
    <row r="54670" spans="1:6" x14ac:dyDescent="0.25">
      <c r="A54670"/>
      <c r="B54670"/>
      <c r="C54670"/>
      <c r="E54670"/>
      <c r="F54670"/>
    </row>
    <row r="54671" spans="1:6" x14ac:dyDescent="0.25">
      <c r="A54671"/>
      <c r="B54671"/>
      <c r="C54671"/>
      <c r="E54671"/>
      <c r="F54671"/>
    </row>
    <row r="54672" spans="1:6" x14ac:dyDescent="0.25">
      <c r="A54672"/>
      <c r="B54672"/>
      <c r="C54672"/>
      <c r="E54672"/>
      <c r="F54672"/>
    </row>
    <row r="54673" spans="1:6" x14ac:dyDescent="0.25">
      <c r="A54673"/>
      <c r="B54673"/>
      <c r="C54673"/>
      <c r="E54673"/>
      <c r="F54673"/>
    </row>
    <row r="54674" spans="1:6" x14ac:dyDescent="0.25">
      <c r="A54674"/>
      <c r="B54674"/>
      <c r="C54674"/>
      <c r="E54674"/>
      <c r="F54674"/>
    </row>
    <row r="54675" spans="1:6" x14ac:dyDescent="0.25">
      <c r="A54675"/>
      <c r="B54675"/>
      <c r="C54675"/>
      <c r="E54675"/>
      <c r="F54675"/>
    </row>
    <row r="54676" spans="1:6" x14ac:dyDescent="0.25">
      <c r="A54676"/>
      <c r="B54676"/>
      <c r="C54676"/>
      <c r="E54676"/>
      <c r="F54676"/>
    </row>
    <row r="54677" spans="1:6" x14ac:dyDescent="0.25">
      <c r="A54677"/>
      <c r="B54677"/>
      <c r="C54677"/>
      <c r="E54677"/>
      <c r="F54677"/>
    </row>
    <row r="54678" spans="1:6" x14ac:dyDescent="0.25">
      <c r="A54678"/>
      <c r="B54678"/>
      <c r="C54678"/>
      <c r="E54678"/>
      <c r="F54678"/>
    </row>
    <row r="54679" spans="1:6" x14ac:dyDescent="0.25">
      <c r="A54679"/>
      <c r="B54679"/>
      <c r="C54679"/>
      <c r="E54679"/>
      <c r="F54679"/>
    </row>
    <row r="54680" spans="1:6" x14ac:dyDescent="0.25">
      <c r="A54680"/>
      <c r="B54680"/>
      <c r="C54680"/>
      <c r="E54680"/>
      <c r="F54680"/>
    </row>
    <row r="54681" spans="1:6" x14ac:dyDescent="0.25">
      <c r="A54681"/>
      <c r="B54681"/>
      <c r="C54681"/>
      <c r="E54681"/>
      <c r="F54681"/>
    </row>
    <row r="54682" spans="1:6" x14ac:dyDescent="0.25">
      <c r="A54682"/>
      <c r="B54682"/>
      <c r="C54682"/>
      <c r="E54682"/>
      <c r="F54682"/>
    </row>
    <row r="54683" spans="1:6" x14ac:dyDescent="0.25">
      <c r="A54683"/>
      <c r="B54683"/>
      <c r="C54683"/>
      <c r="E54683"/>
      <c r="F54683"/>
    </row>
    <row r="54684" spans="1:6" x14ac:dyDescent="0.25">
      <c r="A54684"/>
      <c r="B54684"/>
      <c r="C54684"/>
      <c r="E54684"/>
      <c r="F54684"/>
    </row>
    <row r="54685" spans="1:6" x14ac:dyDescent="0.25">
      <c r="A54685"/>
      <c r="B54685"/>
      <c r="C54685"/>
      <c r="E54685"/>
      <c r="F54685"/>
    </row>
    <row r="54686" spans="1:6" x14ac:dyDescent="0.25">
      <c r="A54686"/>
      <c r="B54686"/>
      <c r="C54686"/>
      <c r="E54686"/>
      <c r="F54686"/>
    </row>
    <row r="54687" spans="1:6" x14ac:dyDescent="0.25">
      <c r="A54687"/>
      <c r="B54687"/>
      <c r="C54687"/>
      <c r="E54687"/>
      <c r="F54687"/>
    </row>
    <row r="54688" spans="1:6" x14ac:dyDescent="0.25">
      <c r="A54688"/>
      <c r="B54688"/>
      <c r="C54688"/>
      <c r="E54688"/>
      <c r="F54688"/>
    </row>
    <row r="54689" spans="1:6" x14ac:dyDescent="0.25">
      <c r="A54689"/>
      <c r="B54689"/>
      <c r="C54689"/>
      <c r="E54689"/>
      <c r="F54689"/>
    </row>
    <row r="54690" spans="1:6" x14ac:dyDescent="0.25">
      <c r="A54690"/>
      <c r="B54690"/>
      <c r="C54690"/>
      <c r="E54690"/>
      <c r="F54690"/>
    </row>
    <row r="54691" spans="1:6" x14ac:dyDescent="0.25">
      <c r="A54691"/>
      <c r="B54691"/>
      <c r="C54691"/>
      <c r="E54691"/>
      <c r="F54691"/>
    </row>
    <row r="54692" spans="1:6" x14ac:dyDescent="0.25">
      <c r="A54692"/>
      <c r="B54692"/>
      <c r="C54692"/>
      <c r="E54692"/>
      <c r="F54692"/>
    </row>
    <row r="54693" spans="1:6" x14ac:dyDescent="0.25">
      <c r="A54693"/>
      <c r="B54693"/>
      <c r="C54693"/>
      <c r="E54693"/>
      <c r="F54693"/>
    </row>
    <row r="54694" spans="1:6" x14ac:dyDescent="0.25">
      <c r="A54694"/>
      <c r="B54694"/>
      <c r="C54694"/>
      <c r="E54694"/>
      <c r="F54694"/>
    </row>
    <row r="54695" spans="1:6" x14ac:dyDescent="0.25">
      <c r="A54695"/>
      <c r="B54695"/>
      <c r="C54695"/>
      <c r="E54695"/>
      <c r="F54695"/>
    </row>
    <row r="54696" spans="1:6" x14ac:dyDescent="0.25">
      <c r="A54696"/>
      <c r="B54696"/>
      <c r="C54696"/>
      <c r="E54696"/>
      <c r="F54696"/>
    </row>
    <row r="54697" spans="1:6" x14ac:dyDescent="0.25">
      <c r="A54697"/>
      <c r="B54697"/>
      <c r="C54697"/>
      <c r="E54697"/>
      <c r="F54697"/>
    </row>
    <row r="54698" spans="1:6" x14ac:dyDescent="0.25">
      <c r="A54698"/>
      <c r="B54698"/>
      <c r="C54698"/>
      <c r="E54698"/>
      <c r="F54698"/>
    </row>
    <row r="54699" spans="1:6" x14ac:dyDescent="0.25">
      <c r="A54699"/>
      <c r="B54699"/>
      <c r="C54699"/>
      <c r="E54699"/>
      <c r="F54699"/>
    </row>
    <row r="54700" spans="1:6" x14ac:dyDescent="0.25">
      <c r="A54700"/>
      <c r="B54700"/>
      <c r="C54700"/>
      <c r="E54700"/>
      <c r="F54700"/>
    </row>
    <row r="54701" spans="1:6" x14ac:dyDescent="0.25">
      <c r="A54701"/>
      <c r="B54701"/>
      <c r="C54701"/>
      <c r="E54701"/>
      <c r="F54701"/>
    </row>
    <row r="54702" spans="1:6" x14ac:dyDescent="0.25">
      <c r="A54702"/>
      <c r="B54702"/>
      <c r="C54702"/>
      <c r="E54702"/>
      <c r="F54702"/>
    </row>
    <row r="54703" spans="1:6" x14ac:dyDescent="0.25">
      <c r="A54703"/>
      <c r="B54703"/>
      <c r="C54703"/>
      <c r="E54703"/>
      <c r="F54703"/>
    </row>
    <row r="54704" spans="1:6" x14ac:dyDescent="0.25">
      <c r="A54704"/>
      <c r="B54704"/>
      <c r="C54704"/>
      <c r="E54704"/>
      <c r="F54704"/>
    </row>
    <row r="54705" spans="1:6" x14ac:dyDescent="0.25">
      <c r="A54705"/>
      <c r="B54705"/>
      <c r="C54705"/>
      <c r="E54705"/>
      <c r="F54705"/>
    </row>
    <row r="54706" spans="1:6" x14ac:dyDescent="0.25">
      <c r="A54706"/>
      <c r="B54706"/>
      <c r="C54706"/>
      <c r="E54706"/>
      <c r="F54706"/>
    </row>
    <row r="54707" spans="1:6" x14ac:dyDescent="0.25">
      <c r="A54707"/>
      <c r="B54707"/>
      <c r="C54707"/>
      <c r="E54707"/>
      <c r="F54707"/>
    </row>
    <row r="54708" spans="1:6" x14ac:dyDescent="0.25">
      <c r="A54708"/>
      <c r="B54708"/>
      <c r="C54708"/>
      <c r="E54708"/>
      <c r="F54708"/>
    </row>
    <row r="54709" spans="1:6" x14ac:dyDescent="0.25">
      <c r="A54709"/>
      <c r="B54709"/>
      <c r="C54709"/>
      <c r="E54709"/>
      <c r="F54709"/>
    </row>
    <row r="54710" spans="1:6" x14ac:dyDescent="0.25">
      <c r="A54710"/>
      <c r="B54710"/>
      <c r="C54710"/>
      <c r="E54710"/>
      <c r="F54710"/>
    </row>
    <row r="54711" spans="1:6" x14ac:dyDescent="0.25">
      <c r="A54711"/>
      <c r="B54711"/>
      <c r="C54711"/>
      <c r="E54711"/>
      <c r="F54711"/>
    </row>
    <row r="54712" spans="1:6" x14ac:dyDescent="0.25">
      <c r="A54712"/>
      <c r="B54712"/>
      <c r="C54712"/>
      <c r="E54712"/>
      <c r="F54712"/>
    </row>
    <row r="54713" spans="1:6" x14ac:dyDescent="0.25">
      <c r="A54713"/>
      <c r="B54713"/>
      <c r="C54713"/>
      <c r="E54713"/>
      <c r="F54713"/>
    </row>
    <row r="54714" spans="1:6" x14ac:dyDescent="0.25">
      <c r="A54714"/>
      <c r="B54714"/>
      <c r="C54714"/>
      <c r="E54714"/>
      <c r="F54714"/>
    </row>
    <row r="54715" spans="1:6" x14ac:dyDescent="0.25">
      <c r="A54715"/>
      <c r="B54715"/>
      <c r="C54715"/>
      <c r="E54715"/>
      <c r="F54715"/>
    </row>
    <row r="54716" spans="1:6" x14ac:dyDescent="0.25">
      <c r="A54716"/>
      <c r="B54716"/>
      <c r="C54716"/>
      <c r="E54716"/>
      <c r="F54716"/>
    </row>
    <row r="54717" spans="1:6" x14ac:dyDescent="0.25">
      <c r="A54717"/>
      <c r="B54717"/>
      <c r="C54717"/>
      <c r="E54717"/>
      <c r="F54717"/>
    </row>
    <row r="54718" spans="1:6" x14ac:dyDescent="0.25">
      <c r="A54718"/>
      <c r="B54718"/>
      <c r="C54718"/>
      <c r="E54718"/>
      <c r="F54718"/>
    </row>
    <row r="54719" spans="1:6" x14ac:dyDescent="0.25">
      <c r="A54719"/>
      <c r="B54719"/>
      <c r="C54719"/>
      <c r="E54719"/>
      <c r="F54719"/>
    </row>
    <row r="54720" spans="1:6" x14ac:dyDescent="0.25">
      <c r="A54720"/>
      <c r="B54720"/>
      <c r="C54720"/>
      <c r="E54720"/>
      <c r="F54720"/>
    </row>
    <row r="54721" spans="1:6" x14ac:dyDescent="0.25">
      <c r="A54721"/>
      <c r="B54721"/>
      <c r="C54721"/>
      <c r="E54721"/>
      <c r="F54721"/>
    </row>
    <row r="54722" spans="1:6" x14ac:dyDescent="0.25">
      <c r="A54722"/>
      <c r="B54722"/>
      <c r="C54722"/>
      <c r="E54722"/>
      <c r="F54722"/>
    </row>
    <row r="54723" spans="1:6" x14ac:dyDescent="0.25">
      <c r="A54723"/>
      <c r="B54723"/>
      <c r="C54723"/>
      <c r="E54723"/>
      <c r="F54723"/>
    </row>
    <row r="54724" spans="1:6" x14ac:dyDescent="0.25">
      <c r="A54724"/>
      <c r="B54724"/>
      <c r="C54724"/>
      <c r="E54724"/>
      <c r="F54724"/>
    </row>
    <row r="54725" spans="1:6" x14ac:dyDescent="0.25">
      <c r="A54725"/>
      <c r="B54725"/>
      <c r="C54725"/>
      <c r="E54725"/>
      <c r="F54725"/>
    </row>
    <row r="54726" spans="1:6" x14ac:dyDescent="0.25">
      <c r="A54726"/>
      <c r="B54726"/>
      <c r="C54726"/>
      <c r="E54726"/>
      <c r="F54726"/>
    </row>
    <row r="54727" spans="1:6" x14ac:dyDescent="0.25">
      <c r="A54727"/>
      <c r="B54727"/>
      <c r="C54727"/>
      <c r="E54727"/>
      <c r="F54727"/>
    </row>
    <row r="54728" spans="1:6" x14ac:dyDescent="0.25">
      <c r="A54728"/>
      <c r="B54728"/>
      <c r="C54728"/>
      <c r="E54728"/>
      <c r="F54728"/>
    </row>
    <row r="54729" spans="1:6" x14ac:dyDescent="0.25">
      <c r="A54729"/>
      <c r="B54729"/>
      <c r="C54729"/>
      <c r="E54729"/>
      <c r="F54729"/>
    </row>
    <row r="54730" spans="1:6" x14ac:dyDescent="0.25">
      <c r="A54730"/>
      <c r="B54730"/>
      <c r="C54730"/>
      <c r="E54730"/>
      <c r="F54730"/>
    </row>
    <row r="54731" spans="1:6" x14ac:dyDescent="0.25">
      <c r="A54731"/>
      <c r="B54731"/>
      <c r="C54731"/>
      <c r="E54731"/>
      <c r="F54731"/>
    </row>
    <row r="54732" spans="1:6" x14ac:dyDescent="0.25">
      <c r="A54732"/>
      <c r="B54732"/>
      <c r="C54732"/>
      <c r="E54732"/>
      <c r="F54732"/>
    </row>
    <row r="54733" spans="1:6" x14ac:dyDescent="0.25">
      <c r="A54733"/>
      <c r="B54733"/>
      <c r="C54733"/>
      <c r="E54733"/>
      <c r="F54733"/>
    </row>
    <row r="54734" spans="1:6" x14ac:dyDescent="0.25">
      <c r="A54734"/>
      <c r="B54734"/>
      <c r="C54734"/>
      <c r="E54734"/>
      <c r="F54734"/>
    </row>
    <row r="54735" spans="1:6" x14ac:dyDescent="0.25">
      <c r="A54735"/>
      <c r="B54735"/>
      <c r="C54735"/>
      <c r="E54735"/>
      <c r="F54735"/>
    </row>
    <row r="54736" spans="1:6" x14ac:dyDescent="0.25">
      <c r="A54736"/>
      <c r="B54736"/>
      <c r="C54736"/>
      <c r="E54736"/>
      <c r="F54736"/>
    </row>
    <row r="54737" spans="1:6" x14ac:dyDescent="0.25">
      <c r="A54737"/>
      <c r="B54737"/>
      <c r="C54737"/>
      <c r="E54737"/>
      <c r="F54737"/>
    </row>
    <row r="54738" spans="1:6" x14ac:dyDescent="0.25">
      <c r="A54738"/>
      <c r="B54738"/>
      <c r="C54738"/>
      <c r="E54738"/>
      <c r="F54738"/>
    </row>
    <row r="54739" spans="1:6" x14ac:dyDescent="0.25">
      <c r="A54739"/>
      <c r="B54739"/>
      <c r="C54739"/>
      <c r="E54739"/>
      <c r="F54739"/>
    </row>
    <row r="54740" spans="1:6" x14ac:dyDescent="0.25">
      <c r="A54740"/>
      <c r="B54740"/>
      <c r="C54740"/>
      <c r="E54740"/>
      <c r="F54740"/>
    </row>
    <row r="54741" spans="1:6" x14ac:dyDescent="0.25">
      <c r="A54741"/>
      <c r="B54741"/>
      <c r="C54741"/>
      <c r="E54741"/>
      <c r="F54741"/>
    </row>
    <row r="54742" spans="1:6" x14ac:dyDescent="0.25">
      <c r="A54742"/>
      <c r="B54742"/>
      <c r="C54742"/>
      <c r="E54742"/>
      <c r="F54742"/>
    </row>
    <row r="54743" spans="1:6" x14ac:dyDescent="0.25">
      <c r="A54743"/>
      <c r="B54743"/>
      <c r="C54743"/>
      <c r="E54743"/>
      <c r="F54743"/>
    </row>
    <row r="54744" spans="1:6" x14ac:dyDescent="0.25">
      <c r="A54744"/>
      <c r="B54744"/>
      <c r="C54744"/>
      <c r="E54744"/>
      <c r="F54744"/>
    </row>
    <row r="54745" spans="1:6" x14ac:dyDescent="0.25">
      <c r="A54745"/>
      <c r="B54745"/>
      <c r="C54745"/>
      <c r="E54745"/>
      <c r="F54745"/>
    </row>
    <row r="54746" spans="1:6" x14ac:dyDescent="0.25">
      <c r="A54746"/>
      <c r="B54746"/>
      <c r="C54746"/>
      <c r="E54746"/>
      <c r="F54746"/>
    </row>
    <row r="54747" spans="1:6" x14ac:dyDescent="0.25">
      <c r="A54747"/>
      <c r="B54747"/>
      <c r="C54747"/>
      <c r="E54747"/>
      <c r="F54747"/>
    </row>
    <row r="54748" spans="1:6" x14ac:dyDescent="0.25">
      <c r="A54748"/>
      <c r="B54748"/>
      <c r="C54748"/>
      <c r="E54748"/>
      <c r="F54748"/>
    </row>
    <row r="54749" spans="1:6" x14ac:dyDescent="0.25">
      <c r="A54749"/>
      <c r="B54749"/>
      <c r="C54749"/>
      <c r="E54749"/>
      <c r="F54749"/>
    </row>
    <row r="54750" spans="1:6" x14ac:dyDescent="0.25">
      <c r="A54750"/>
      <c r="B54750"/>
      <c r="C54750"/>
      <c r="E54750"/>
      <c r="F54750"/>
    </row>
    <row r="54751" spans="1:6" x14ac:dyDescent="0.25">
      <c r="A54751"/>
      <c r="B54751"/>
      <c r="C54751"/>
      <c r="E54751"/>
      <c r="F54751"/>
    </row>
    <row r="54752" spans="1:6" x14ac:dyDescent="0.25">
      <c r="A54752"/>
      <c r="B54752"/>
      <c r="C54752"/>
      <c r="E54752"/>
      <c r="F54752"/>
    </row>
    <row r="54753" spans="1:6" x14ac:dyDescent="0.25">
      <c r="A54753"/>
      <c r="B54753"/>
      <c r="C54753"/>
      <c r="E54753"/>
      <c r="F54753"/>
    </row>
    <row r="54754" spans="1:6" x14ac:dyDescent="0.25">
      <c r="A54754"/>
      <c r="B54754"/>
      <c r="C54754"/>
      <c r="E54754"/>
      <c r="F54754"/>
    </row>
    <row r="54755" spans="1:6" x14ac:dyDescent="0.25">
      <c r="A54755"/>
      <c r="B54755"/>
      <c r="C54755"/>
      <c r="E54755"/>
      <c r="F54755"/>
    </row>
    <row r="54756" spans="1:6" x14ac:dyDescent="0.25">
      <c r="A54756"/>
      <c r="B54756"/>
      <c r="C54756"/>
      <c r="E54756"/>
      <c r="F54756"/>
    </row>
    <row r="54757" spans="1:6" x14ac:dyDescent="0.25">
      <c r="A54757"/>
      <c r="B54757"/>
      <c r="C54757"/>
      <c r="E54757"/>
      <c r="F54757"/>
    </row>
    <row r="54758" spans="1:6" x14ac:dyDescent="0.25">
      <c r="A54758"/>
      <c r="B54758"/>
      <c r="C54758"/>
      <c r="E54758"/>
      <c r="F54758"/>
    </row>
    <row r="54759" spans="1:6" x14ac:dyDescent="0.25">
      <c r="A54759"/>
      <c r="B54759"/>
      <c r="C54759"/>
      <c r="E54759"/>
      <c r="F54759"/>
    </row>
    <row r="54760" spans="1:6" x14ac:dyDescent="0.25">
      <c r="A54760"/>
      <c r="B54760"/>
      <c r="C54760"/>
      <c r="E54760"/>
      <c r="F54760"/>
    </row>
    <row r="54761" spans="1:6" x14ac:dyDescent="0.25">
      <c r="A54761"/>
      <c r="B54761"/>
      <c r="C54761"/>
      <c r="E54761"/>
      <c r="F54761"/>
    </row>
    <row r="54762" spans="1:6" x14ac:dyDescent="0.25">
      <c r="A54762"/>
      <c r="B54762"/>
      <c r="C54762"/>
      <c r="E54762"/>
      <c r="F54762"/>
    </row>
    <row r="54763" spans="1:6" x14ac:dyDescent="0.25">
      <c r="A54763"/>
      <c r="B54763"/>
      <c r="C54763"/>
      <c r="E54763"/>
      <c r="F54763"/>
    </row>
    <row r="54764" spans="1:6" x14ac:dyDescent="0.25">
      <c r="A54764"/>
      <c r="B54764"/>
      <c r="C54764"/>
      <c r="E54764"/>
      <c r="F54764"/>
    </row>
    <row r="54765" spans="1:6" x14ac:dyDescent="0.25">
      <c r="A54765"/>
      <c r="B54765"/>
      <c r="C54765"/>
      <c r="E54765"/>
      <c r="F54765"/>
    </row>
    <row r="54766" spans="1:6" x14ac:dyDescent="0.25">
      <c r="A54766"/>
      <c r="B54766"/>
      <c r="C54766"/>
      <c r="E54766"/>
      <c r="F54766"/>
    </row>
    <row r="54767" spans="1:6" x14ac:dyDescent="0.25">
      <c r="A54767"/>
      <c r="B54767"/>
      <c r="C54767"/>
      <c r="E54767"/>
      <c r="F54767"/>
    </row>
    <row r="54768" spans="1:6" x14ac:dyDescent="0.25">
      <c r="A54768"/>
      <c r="B54768"/>
      <c r="C54768"/>
      <c r="E54768"/>
      <c r="F54768"/>
    </row>
    <row r="54769" spans="1:6" x14ac:dyDescent="0.25">
      <c r="A54769"/>
      <c r="B54769"/>
      <c r="C54769"/>
      <c r="E54769"/>
      <c r="F54769"/>
    </row>
    <row r="54770" spans="1:6" x14ac:dyDescent="0.25">
      <c r="A54770"/>
      <c r="B54770"/>
      <c r="C54770"/>
      <c r="E54770"/>
      <c r="F54770"/>
    </row>
    <row r="54771" spans="1:6" x14ac:dyDescent="0.25">
      <c r="A54771"/>
      <c r="B54771"/>
      <c r="C54771"/>
      <c r="E54771"/>
      <c r="F54771"/>
    </row>
    <row r="54772" spans="1:6" x14ac:dyDescent="0.25">
      <c r="A54772"/>
      <c r="B54772"/>
      <c r="C54772"/>
      <c r="E54772"/>
      <c r="F54772"/>
    </row>
    <row r="54773" spans="1:6" x14ac:dyDescent="0.25">
      <c r="A54773"/>
      <c r="B54773"/>
      <c r="C54773"/>
      <c r="E54773"/>
      <c r="F54773"/>
    </row>
    <row r="54774" spans="1:6" x14ac:dyDescent="0.25">
      <c r="A54774"/>
      <c r="B54774"/>
      <c r="C54774"/>
      <c r="E54774"/>
      <c r="F54774"/>
    </row>
    <row r="54775" spans="1:6" x14ac:dyDescent="0.25">
      <c r="A54775"/>
      <c r="B54775"/>
      <c r="C54775"/>
      <c r="E54775"/>
      <c r="F54775"/>
    </row>
    <row r="54776" spans="1:6" x14ac:dyDescent="0.25">
      <c r="A54776"/>
      <c r="B54776"/>
      <c r="C54776"/>
      <c r="E54776"/>
      <c r="F54776"/>
    </row>
    <row r="54777" spans="1:6" x14ac:dyDescent="0.25">
      <c r="A54777"/>
      <c r="B54777"/>
      <c r="C54777"/>
      <c r="E54777"/>
      <c r="F54777"/>
    </row>
    <row r="54778" spans="1:6" x14ac:dyDescent="0.25">
      <c r="A54778"/>
      <c r="B54778"/>
      <c r="C54778"/>
      <c r="E54778"/>
      <c r="F54778"/>
    </row>
    <row r="54779" spans="1:6" x14ac:dyDescent="0.25">
      <c r="A54779"/>
      <c r="B54779"/>
      <c r="C54779"/>
      <c r="E54779"/>
      <c r="F54779"/>
    </row>
    <row r="54780" spans="1:6" x14ac:dyDescent="0.25">
      <c r="A54780"/>
      <c r="B54780"/>
      <c r="C54780"/>
      <c r="E54780"/>
      <c r="F54780"/>
    </row>
    <row r="54781" spans="1:6" x14ac:dyDescent="0.25">
      <c r="A54781"/>
      <c r="B54781"/>
      <c r="C54781"/>
      <c r="E54781"/>
      <c r="F54781"/>
    </row>
    <row r="54782" spans="1:6" x14ac:dyDescent="0.25">
      <c r="A54782"/>
      <c r="B54782"/>
      <c r="C54782"/>
      <c r="E54782"/>
      <c r="F54782"/>
    </row>
    <row r="54783" spans="1:6" x14ac:dyDescent="0.25">
      <c r="A54783"/>
      <c r="B54783"/>
      <c r="C54783"/>
      <c r="E54783"/>
      <c r="F54783"/>
    </row>
    <row r="54784" spans="1:6" x14ac:dyDescent="0.25">
      <c r="A54784"/>
      <c r="B54784"/>
      <c r="C54784"/>
      <c r="E54784"/>
      <c r="F54784"/>
    </row>
    <row r="54785" spans="1:6" x14ac:dyDescent="0.25">
      <c r="A54785"/>
      <c r="B54785"/>
      <c r="C54785"/>
      <c r="E54785"/>
      <c r="F54785"/>
    </row>
    <row r="54786" spans="1:6" x14ac:dyDescent="0.25">
      <c r="A54786"/>
      <c r="B54786"/>
      <c r="C54786"/>
      <c r="E54786"/>
      <c r="F54786"/>
    </row>
    <row r="54787" spans="1:6" x14ac:dyDescent="0.25">
      <c r="A54787"/>
      <c r="B54787"/>
      <c r="C54787"/>
      <c r="E54787"/>
      <c r="F54787"/>
    </row>
    <row r="54788" spans="1:6" x14ac:dyDescent="0.25">
      <c r="A54788"/>
      <c r="B54788"/>
      <c r="C54788"/>
      <c r="E54788"/>
      <c r="F54788"/>
    </row>
    <row r="54789" spans="1:6" x14ac:dyDescent="0.25">
      <c r="A54789"/>
      <c r="B54789"/>
      <c r="C54789"/>
      <c r="E54789"/>
      <c r="F54789"/>
    </row>
    <row r="54790" spans="1:6" x14ac:dyDescent="0.25">
      <c r="A54790"/>
      <c r="B54790"/>
      <c r="C54790"/>
      <c r="E54790"/>
      <c r="F54790"/>
    </row>
    <row r="54791" spans="1:6" x14ac:dyDescent="0.25">
      <c r="A54791"/>
      <c r="B54791"/>
      <c r="C54791"/>
      <c r="E54791"/>
      <c r="F54791"/>
    </row>
    <row r="54792" spans="1:6" x14ac:dyDescent="0.25">
      <c r="A54792"/>
      <c r="B54792"/>
      <c r="C54792"/>
      <c r="E54792"/>
      <c r="F54792"/>
    </row>
    <row r="54793" spans="1:6" x14ac:dyDescent="0.25">
      <c r="A54793"/>
      <c r="B54793"/>
      <c r="C54793"/>
      <c r="E54793"/>
      <c r="F54793"/>
    </row>
    <row r="54794" spans="1:6" x14ac:dyDescent="0.25">
      <c r="A54794"/>
      <c r="B54794"/>
      <c r="C54794"/>
      <c r="E54794"/>
      <c r="F54794"/>
    </row>
    <row r="54795" spans="1:6" x14ac:dyDescent="0.25">
      <c r="A54795"/>
      <c r="B54795"/>
      <c r="C54795"/>
      <c r="E54795"/>
      <c r="F54795"/>
    </row>
    <row r="54796" spans="1:6" x14ac:dyDescent="0.25">
      <c r="A54796"/>
      <c r="B54796"/>
      <c r="C54796"/>
      <c r="E54796"/>
      <c r="F54796"/>
    </row>
    <row r="54797" spans="1:6" x14ac:dyDescent="0.25">
      <c r="A54797"/>
      <c r="B54797"/>
      <c r="C54797"/>
      <c r="E54797"/>
      <c r="F54797"/>
    </row>
    <row r="54798" spans="1:6" x14ac:dyDescent="0.25">
      <c r="A54798"/>
      <c r="B54798"/>
      <c r="C54798"/>
      <c r="E54798"/>
      <c r="F54798"/>
    </row>
    <row r="54799" spans="1:6" x14ac:dyDescent="0.25">
      <c r="A54799"/>
      <c r="B54799"/>
      <c r="C54799"/>
      <c r="E54799"/>
      <c r="F54799"/>
    </row>
    <row r="54800" spans="1:6" x14ac:dyDescent="0.25">
      <c r="A54800"/>
      <c r="B54800"/>
      <c r="C54800"/>
      <c r="E54800"/>
      <c r="F54800"/>
    </row>
    <row r="54801" spans="1:6" x14ac:dyDescent="0.25">
      <c r="A54801"/>
      <c r="B54801"/>
      <c r="C54801"/>
      <c r="E54801"/>
      <c r="F54801"/>
    </row>
    <row r="54802" spans="1:6" x14ac:dyDescent="0.25">
      <c r="A54802"/>
      <c r="B54802"/>
      <c r="C54802"/>
      <c r="E54802"/>
      <c r="F54802"/>
    </row>
    <row r="54803" spans="1:6" x14ac:dyDescent="0.25">
      <c r="A54803"/>
      <c r="B54803"/>
      <c r="C54803"/>
      <c r="E54803"/>
      <c r="F54803"/>
    </row>
    <row r="54804" spans="1:6" x14ac:dyDescent="0.25">
      <c r="A54804"/>
      <c r="B54804"/>
      <c r="C54804"/>
      <c r="E54804"/>
      <c r="F54804"/>
    </row>
    <row r="54805" spans="1:6" x14ac:dyDescent="0.25">
      <c r="A54805"/>
      <c r="B54805"/>
      <c r="C54805"/>
      <c r="E54805"/>
      <c r="F54805"/>
    </row>
    <row r="54806" spans="1:6" x14ac:dyDescent="0.25">
      <c r="A54806"/>
      <c r="B54806"/>
      <c r="C54806"/>
      <c r="E54806"/>
      <c r="F54806"/>
    </row>
    <row r="54807" spans="1:6" x14ac:dyDescent="0.25">
      <c r="A54807"/>
      <c r="B54807"/>
      <c r="C54807"/>
      <c r="E54807"/>
      <c r="F54807"/>
    </row>
    <row r="54808" spans="1:6" x14ac:dyDescent="0.25">
      <c r="A54808"/>
      <c r="B54808"/>
      <c r="C54808"/>
      <c r="E54808"/>
      <c r="F54808"/>
    </row>
    <row r="54809" spans="1:6" x14ac:dyDescent="0.25">
      <c r="A54809"/>
      <c r="B54809"/>
      <c r="C54809"/>
      <c r="E54809"/>
      <c r="F54809"/>
    </row>
    <row r="54810" spans="1:6" x14ac:dyDescent="0.25">
      <c r="A54810"/>
      <c r="B54810"/>
      <c r="C54810"/>
      <c r="E54810"/>
      <c r="F54810"/>
    </row>
    <row r="54811" spans="1:6" x14ac:dyDescent="0.25">
      <c r="A54811"/>
      <c r="B54811"/>
      <c r="C54811"/>
      <c r="E54811"/>
      <c r="F54811"/>
    </row>
    <row r="54812" spans="1:6" x14ac:dyDescent="0.25">
      <c r="A54812"/>
      <c r="B54812"/>
      <c r="C54812"/>
      <c r="E54812"/>
      <c r="F54812"/>
    </row>
    <row r="54813" spans="1:6" x14ac:dyDescent="0.25">
      <c r="A54813"/>
      <c r="B54813"/>
      <c r="C54813"/>
      <c r="E54813"/>
      <c r="F54813"/>
    </row>
    <row r="54814" spans="1:6" x14ac:dyDescent="0.25">
      <c r="A54814"/>
      <c r="B54814"/>
      <c r="C54814"/>
      <c r="E54814"/>
      <c r="F54814"/>
    </row>
    <row r="54815" spans="1:6" x14ac:dyDescent="0.25">
      <c r="A54815"/>
      <c r="B54815"/>
      <c r="C54815"/>
      <c r="E54815"/>
      <c r="F54815"/>
    </row>
    <row r="54816" spans="1:6" x14ac:dyDescent="0.25">
      <c r="A54816"/>
      <c r="B54816"/>
      <c r="C54816"/>
      <c r="E54816"/>
      <c r="F54816"/>
    </row>
    <row r="54817" spans="1:6" x14ac:dyDescent="0.25">
      <c r="A54817"/>
      <c r="B54817"/>
      <c r="C54817"/>
      <c r="E54817"/>
      <c r="F54817"/>
    </row>
    <row r="54818" spans="1:6" x14ac:dyDescent="0.25">
      <c r="A54818"/>
      <c r="B54818"/>
      <c r="C54818"/>
      <c r="E54818"/>
      <c r="F54818"/>
    </row>
    <row r="54819" spans="1:6" x14ac:dyDescent="0.25">
      <c r="A54819"/>
      <c r="B54819"/>
      <c r="C54819"/>
      <c r="E54819"/>
      <c r="F54819"/>
    </row>
    <row r="54820" spans="1:6" x14ac:dyDescent="0.25">
      <c r="A54820"/>
      <c r="B54820"/>
      <c r="C54820"/>
      <c r="E54820"/>
      <c r="F54820"/>
    </row>
    <row r="54821" spans="1:6" x14ac:dyDescent="0.25">
      <c r="A54821"/>
      <c r="B54821"/>
      <c r="C54821"/>
      <c r="E54821"/>
      <c r="F54821"/>
    </row>
    <row r="54822" spans="1:6" x14ac:dyDescent="0.25">
      <c r="A54822"/>
      <c r="B54822"/>
      <c r="C54822"/>
      <c r="E54822"/>
      <c r="F54822"/>
    </row>
    <row r="54823" spans="1:6" x14ac:dyDescent="0.25">
      <c r="A54823"/>
      <c r="B54823"/>
      <c r="C54823"/>
      <c r="E54823"/>
      <c r="F54823"/>
    </row>
    <row r="54824" spans="1:6" x14ac:dyDescent="0.25">
      <c r="A54824"/>
      <c r="B54824"/>
      <c r="C54824"/>
      <c r="E54824"/>
      <c r="F54824"/>
    </row>
    <row r="54825" spans="1:6" x14ac:dyDescent="0.25">
      <c r="A54825"/>
      <c r="B54825"/>
      <c r="C54825"/>
      <c r="E54825"/>
      <c r="F54825"/>
    </row>
    <row r="54826" spans="1:6" x14ac:dyDescent="0.25">
      <c r="A54826"/>
      <c r="B54826"/>
      <c r="C54826"/>
      <c r="E54826"/>
      <c r="F54826"/>
    </row>
    <row r="54827" spans="1:6" x14ac:dyDescent="0.25">
      <c r="A54827"/>
      <c r="B54827"/>
      <c r="C54827"/>
      <c r="E54827"/>
      <c r="F54827"/>
    </row>
    <row r="54828" spans="1:6" x14ac:dyDescent="0.25">
      <c r="A54828"/>
      <c r="B54828"/>
      <c r="C54828"/>
      <c r="E54828"/>
      <c r="F54828"/>
    </row>
    <row r="54829" spans="1:6" x14ac:dyDescent="0.25">
      <c r="A54829"/>
      <c r="B54829"/>
      <c r="C54829"/>
      <c r="E54829"/>
      <c r="F54829"/>
    </row>
    <row r="54830" spans="1:6" x14ac:dyDescent="0.25">
      <c r="A54830"/>
      <c r="B54830"/>
      <c r="C54830"/>
      <c r="E54830"/>
      <c r="F54830"/>
    </row>
    <row r="54831" spans="1:6" x14ac:dyDescent="0.25">
      <c r="A54831"/>
      <c r="B54831"/>
      <c r="C54831"/>
      <c r="E54831"/>
      <c r="F54831"/>
    </row>
    <row r="54832" spans="1:6" x14ac:dyDescent="0.25">
      <c r="A54832"/>
      <c r="B54832"/>
      <c r="C54832"/>
      <c r="E54832"/>
      <c r="F54832"/>
    </row>
    <row r="54833" spans="1:6" x14ac:dyDescent="0.25">
      <c r="A54833"/>
      <c r="B54833"/>
      <c r="C54833"/>
      <c r="E54833"/>
      <c r="F54833"/>
    </row>
    <row r="54834" spans="1:6" x14ac:dyDescent="0.25">
      <c r="A54834"/>
      <c r="B54834"/>
      <c r="C54834"/>
      <c r="E54834"/>
      <c r="F54834"/>
    </row>
    <row r="54835" spans="1:6" x14ac:dyDescent="0.25">
      <c r="A54835"/>
      <c r="B54835"/>
      <c r="C54835"/>
      <c r="E54835"/>
      <c r="F54835"/>
    </row>
    <row r="54836" spans="1:6" x14ac:dyDescent="0.25">
      <c r="A54836"/>
      <c r="B54836"/>
      <c r="C54836"/>
      <c r="E54836"/>
      <c r="F54836"/>
    </row>
    <row r="54837" spans="1:6" x14ac:dyDescent="0.25">
      <c r="A54837"/>
      <c r="B54837"/>
      <c r="C54837"/>
      <c r="E54837"/>
      <c r="F54837"/>
    </row>
    <row r="54838" spans="1:6" x14ac:dyDescent="0.25">
      <c r="A54838"/>
      <c r="B54838"/>
      <c r="C54838"/>
      <c r="E54838"/>
      <c r="F54838"/>
    </row>
    <row r="54839" spans="1:6" x14ac:dyDescent="0.25">
      <c r="A54839"/>
      <c r="B54839"/>
      <c r="C54839"/>
      <c r="E54839"/>
      <c r="F54839"/>
    </row>
    <row r="54840" spans="1:6" x14ac:dyDescent="0.25">
      <c r="A54840"/>
      <c r="B54840"/>
      <c r="C54840"/>
      <c r="E54840"/>
      <c r="F54840"/>
    </row>
    <row r="54841" spans="1:6" x14ac:dyDescent="0.25">
      <c r="A54841"/>
      <c r="B54841"/>
      <c r="C54841"/>
      <c r="E54841"/>
      <c r="F54841"/>
    </row>
    <row r="54842" spans="1:6" x14ac:dyDescent="0.25">
      <c r="A54842"/>
      <c r="B54842"/>
      <c r="C54842"/>
      <c r="E54842"/>
      <c r="F54842"/>
    </row>
    <row r="54843" spans="1:6" x14ac:dyDescent="0.25">
      <c r="A54843"/>
      <c r="B54843"/>
      <c r="C54843"/>
      <c r="E54843"/>
      <c r="F54843"/>
    </row>
    <row r="54844" spans="1:6" x14ac:dyDescent="0.25">
      <c r="A54844"/>
      <c r="B54844"/>
      <c r="C54844"/>
      <c r="E54844"/>
      <c r="F54844"/>
    </row>
    <row r="54845" spans="1:6" x14ac:dyDescent="0.25">
      <c r="A54845"/>
      <c r="B54845"/>
      <c r="C54845"/>
      <c r="E54845"/>
      <c r="F54845"/>
    </row>
    <row r="54846" spans="1:6" x14ac:dyDescent="0.25">
      <c r="A54846"/>
      <c r="B54846"/>
      <c r="C54846"/>
      <c r="E54846"/>
      <c r="F54846"/>
    </row>
    <row r="54847" spans="1:6" x14ac:dyDescent="0.25">
      <c r="A54847"/>
      <c r="B54847"/>
      <c r="C54847"/>
      <c r="E54847"/>
      <c r="F54847"/>
    </row>
    <row r="54848" spans="1:6" x14ac:dyDescent="0.25">
      <c r="A54848"/>
      <c r="B54848"/>
      <c r="C54848"/>
      <c r="E54848"/>
      <c r="F54848"/>
    </row>
    <row r="54849" spans="1:6" x14ac:dyDescent="0.25">
      <c r="A54849"/>
      <c r="B54849"/>
      <c r="C54849"/>
      <c r="E54849"/>
      <c r="F54849"/>
    </row>
    <row r="54850" spans="1:6" x14ac:dyDescent="0.25">
      <c r="A54850"/>
      <c r="B54850"/>
      <c r="C54850"/>
      <c r="E54850"/>
      <c r="F54850"/>
    </row>
    <row r="54851" spans="1:6" x14ac:dyDescent="0.25">
      <c r="A54851"/>
      <c r="B54851"/>
      <c r="C54851"/>
      <c r="E54851"/>
      <c r="F54851"/>
    </row>
    <row r="54852" spans="1:6" x14ac:dyDescent="0.25">
      <c r="A54852"/>
      <c r="B54852"/>
      <c r="C54852"/>
      <c r="E54852"/>
      <c r="F54852"/>
    </row>
    <row r="54853" spans="1:6" x14ac:dyDescent="0.25">
      <c r="A54853"/>
      <c r="B54853"/>
      <c r="C54853"/>
      <c r="E54853"/>
      <c r="F54853"/>
    </row>
    <row r="54854" spans="1:6" x14ac:dyDescent="0.25">
      <c r="A54854"/>
      <c r="B54854"/>
      <c r="C54854"/>
      <c r="E54854"/>
      <c r="F54854"/>
    </row>
    <row r="54855" spans="1:6" x14ac:dyDescent="0.25">
      <c r="A54855"/>
      <c r="B54855"/>
      <c r="C54855"/>
      <c r="E54855"/>
      <c r="F54855"/>
    </row>
    <row r="54856" spans="1:6" x14ac:dyDescent="0.25">
      <c r="A54856"/>
      <c r="B54856"/>
      <c r="C54856"/>
      <c r="E54856"/>
      <c r="F54856"/>
    </row>
    <row r="54857" spans="1:6" x14ac:dyDescent="0.25">
      <c r="A54857"/>
      <c r="B54857"/>
      <c r="C54857"/>
      <c r="E54857"/>
      <c r="F54857"/>
    </row>
    <row r="54858" spans="1:6" x14ac:dyDescent="0.25">
      <c r="A54858"/>
      <c r="B54858"/>
      <c r="C54858"/>
      <c r="E54858"/>
      <c r="F54858"/>
    </row>
    <row r="54859" spans="1:6" x14ac:dyDescent="0.25">
      <c r="A54859"/>
      <c r="B54859"/>
      <c r="C54859"/>
      <c r="E54859"/>
      <c r="F54859"/>
    </row>
    <row r="54860" spans="1:6" x14ac:dyDescent="0.25">
      <c r="A54860"/>
      <c r="B54860"/>
      <c r="C54860"/>
      <c r="E54860"/>
      <c r="F54860"/>
    </row>
    <row r="54861" spans="1:6" x14ac:dyDescent="0.25">
      <c r="A54861"/>
      <c r="B54861"/>
      <c r="C54861"/>
      <c r="E54861"/>
      <c r="F54861"/>
    </row>
    <row r="54862" spans="1:6" x14ac:dyDescent="0.25">
      <c r="A54862"/>
      <c r="B54862"/>
      <c r="C54862"/>
      <c r="E54862"/>
      <c r="F54862"/>
    </row>
    <row r="54863" spans="1:6" x14ac:dyDescent="0.25">
      <c r="A54863"/>
      <c r="B54863"/>
      <c r="C54863"/>
      <c r="E54863"/>
      <c r="F54863"/>
    </row>
    <row r="54864" spans="1:6" x14ac:dyDescent="0.25">
      <c r="A54864"/>
      <c r="B54864"/>
      <c r="C54864"/>
      <c r="E54864"/>
      <c r="F54864"/>
    </row>
    <row r="54865" spans="1:6" x14ac:dyDescent="0.25">
      <c r="A54865"/>
      <c r="B54865"/>
      <c r="C54865"/>
      <c r="E54865"/>
      <c r="F54865"/>
    </row>
    <row r="54866" spans="1:6" x14ac:dyDescent="0.25">
      <c r="A54866"/>
      <c r="B54866"/>
      <c r="C54866"/>
      <c r="E54866"/>
      <c r="F54866"/>
    </row>
    <row r="54867" spans="1:6" x14ac:dyDescent="0.25">
      <c r="A54867"/>
      <c r="B54867"/>
      <c r="C54867"/>
      <c r="E54867"/>
      <c r="F54867"/>
    </row>
    <row r="54868" spans="1:6" x14ac:dyDescent="0.25">
      <c r="A54868"/>
      <c r="B54868"/>
      <c r="C54868"/>
      <c r="E54868"/>
      <c r="F54868"/>
    </row>
    <row r="54869" spans="1:6" x14ac:dyDescent="0.25">
      <c r="A54869"/>
      <c r="B54869"/>
      <c r="C54869"/>
      <c r="E54869"/>
      <c r="F54869"/>
    </row>
    <row r="54870" spans="1:6" x14ac:dyDescent="0.25">
      <c r="A54870"/>
      <c r="B54870"/>
      <c r="C54870"/>
      <c r="E54870"/>
      <c r="F54870"/>
    </row>
    <row r="54871" spans="1:6" x14ac:dyDescent="0.25">
      <c r="A54871"/>
      <c r="B54871"/>
      <c r="C54871"/>
      <c r="E54871"/>
      <c r="F54871"/>
    </row>
    <row r="54872" spans="1:6" x14ac:dyDescent="0.25">
      <c r="A54872"/>
      <c r="B54872"/>
      <c r="C54872"/>
      <c r="E54872"/>
      <c r="F54872"/>
    </row>
    <row r="54873" spans="1:6" x14ac:dyDescent="0.25">
      <c r="A54873"/>
      <c r="B54873"/>
      <c r="C54873"/>
      <c r="E54873"/>
      <c r="F54873"/>
    </row>
    <row r="54874" spans="1:6" x14ac:dyDescent="0.25">
      <c r="A54874"/>
      <c r="B54874"/>
      <c r="C54874"/>
      <c r="E54874"/>
      <c r="F54874"/>
    </row>
    <row r="54875" spans="1:6" x14ac:dyDescent="0.25">
      <c r="A54875"/>
      <c r="B54875"/>
      <c r="C54875"/>
      <c r="E54875"/>
      <c r="F54875"/>
    </row>
    <row r="54876" spans="1:6" x14ac:dyDescent="0.25">
      <c r="A54876"/>
      <c r="B54876"/>
      <c r="C54876"/>
      <c r="E54876"/>
      <c r="F54876"/>
    </row>
    <row r="54877" spans="1:6" x14ac:dyDescent="0.25">
      <c r="A54877"/>
      <c r="B54877"/>
      <c r="C54877"/>
      <c r="E54877"/>
      <c r="F54877"/>
    </row>
    <row r="54878" spans="1:6" x14ac:dyDescent="0.25">
      <c r="A54878"/>
      <c r="B54878"/>
      <c r="C54878"/>
      <c r="E54878"/>
      <c r="F54878"/>
    </row>
    <row r="54879" spans="1:6" x14ac:dyDescent="0.25">
      <c r="A54879"/>
      <c r="B54879"/>
      <c r="C54879"/>
      <c r="E54879"/>
      <c r="F54879"/>
    </row>
    <row r="54880" spans="1:6" x14ac:dyDescent="0.25">
      <c r="A54880"/>
      <c r="B54880"/>
      <c r="C54880"/>
      <c r="E54880"/>
      <c r="F54880"/>
    </row>
    <row r="54881" spans="1:6" x14ac:dyDescent="0.25">
      <c r="A54881"/>
      <c r="B54881"/>
      <c r="C54881"/>
      <c r="E54881"/>
      <c r="F54881"/>
    </row>
    <row r="54882" spans="1:6" x14ac:dyDescent="0.25">
      <c r="A54882"/>
      <c r="B54882"/>
      <c r="C54882"/>
      <c r="E54882"/>
      <c r="F54882"/>
    </row>
    <row r="54883" spans="1:6" x14ac:dyDescent="0.25">
      <c r="A54883"/>
      <c r="B54883"/>
      <c r="C54883"/>
      <c r="E54883"/>
      <c r="F54883"/>
    </row>
    <row r="54884" spans="1:6" x14ac:dyDescent="0.25">
      <c r="A54884"/>
      <c r="B54884"/>
      <c r="C54884"/>
      <c r="E54884"/>
      <c r="F54884"/>
    </row>
    <row r="54885" spans="1:6" x14ac:dyDescent="0.25">
      <c r="A54885"/>
      <c r="B54885"/>
      <c r="C54885"/>
      <c r="E54885"/>
      <c r="F54885"/>
    </row>
    <row r="54886" spans="1:6" x14ac:dyDescent="0.25">
      <c r="A54886"/>
      <c r="B54886"/>
      <c r="C54886"/>
      <c r="E54886"/>
      <c r="F54886"/>
    </row>
    <row r="54887" spans="1:6" x14ac:dyDescent="0.25">
      <c r="A54887"/>
      <c r="B54887"/>
      <c r="C54887"/>
      <c r="E54887"/>
      <c r="F54887"/>
    </row>
    <row r="54888" spans="1:6" x14ac:dyDescent="0.25">
      <c r="A54888"/>
      <c r="B54888"/>
      <c r="C54888"/>
      <c r="E54888"/>
      <c r="F54888"/>
    </row>
    <row r="54889" spans="1:6" x14ac:dyDescent="0.25">
      <c r="A54889"/>
      <c r="B54889"/>
      <c r="C54889"/>
      <c r="E54889"/>
      <c r="F54889"/>
    </row>
    <row r="54890" spans="1:6" x14ac:dyDescent="0.25">
      <c r="A54890"/>
      <c r="B54890"/>
      <c r="C54890"/>
      <c r="E54890"/>
      <c r="F54890"/>
    </row>
    <row r="54891" spans="1:6" x14ac:dyDescent="0.25">
      <c r="A54891"/>
      <c r="B54891"/>
      <c r="C54891"/>
      <c r="E54891"/>
      <c r="F54891"/>
    </row>
    <row r="54892" spans="1:6" x14ac:dyDescent="0.25">
      <c r="A54892"/>
      <c r="B54892"/>
      <c r="C54892"/>
      <c r="E54892"/>
      <c r="F54892"/>
    </row>
    <row r="54893" spans="1:6" x14ac:dyDescent="0.25">
      <c r="A54893"/>
      <c r="B54893"/>
      <c r="C54893"/>
      <c r="E54893"/>
      <c r="F54893"/>
    </row>
    <row r="54894" spans="1:6" x14ac:dyDescent="0.25">
      <c r="A54894"/>
      <c r="B54894"/>
      <c r="C54894"/>
      <c r="E54894"/>
      <c r="F54894"/>
    </row>
    <row r="54895" spans="1:6" x14ac:dyDescent="0.25">
      <c r="A54895"/>
      <c r="B54895"/>
      <c r="C54895"/>
      <c r="E54895"/>
      <c r="F54895"/>
    </row>
    <row r="54896" spans="1:6" x14ac:dyDescent="0.25">
      <c r="A54896"/>
      <c r="B54896"/>
      <c r="C54896"/>
      <c r="E54896"/>
      <c r="F54896"/>
    </row>
    <row r="54897" spans="1:6" x14ac:dyDescent="0.25">
      <c r="A54897"/>
      <c r="B54897"/>
      <c r="C54897"/>
      <c r="E54897"/>
      <c r="F54897"/>
    </row>
    <row r="54898" spans="1:6" x14ac:dyDescent="0.25">
      <c r="A54898"/>
      <c r="B54898"/>
      <c r="C54898"/>
      <c r="E54898"/>
      <c r="F54898"/>
    </row>
    <row r="54899" spans="1:6" x14ac:dyDescent="0.25">
      <c r="A54899"/>
      <c r="B54899"/>
      <c r="C54899"/>
      <c r="E54899"/>
      <c r="F54899"/>
    </row>
    <row r="54900" spans="1:6" x14ac:dyDescent="0.25">
      <c r="A54900"/>
      <c r="B54900"/>
      <c r="C54900"/>
      <c r="E54900"/>
      <c r="F54900"/>
    </row>
    <row r="54901" spans="1:6" x14ac:dyDescent="0.25">
      <c r="A54901"/>
      <c r="B54901"/>
      <c r="C54901"/>
      <c r="E54901"/>
      <c r="F54901"/>
    </row>
    <row r="54902" spans="1:6" x14ac:dyDescent="0.25">
      <c r="A54902"/>
      <c r="B54902"/>
      <c r="C54902"/>
      <c r="E54902"/>
      <c r="F54902"/>
    </row>
    <row r="54903" spans="1:6" x14ac:dyDescent="0.25">
      <c r="A54903"/>
      <c r="B54903"/>
      <c r="C54903"/>
      <c r="E54903"/>
      <c r="F54903"/>
    </row>
    <row r="54904" spans="1:6" x14ac:dyDescent="0.25">
      <c r="A54904"/>
      <c r="B54904"/>
      <c r="C54904"/>
      <c r="E54904"/>
      <c r="F54904"/>
    </row>
    <row r="54905" spans="1:6" x14ac:dyDescent="0.25">
      <c r="A54905"/>
      <c r="B54905"/>
      <c r="C54905"/>
      <c r="E54905"/>
      <c r="F54905"/>
    </row>
    <row r="54906" spans="1:6" x14ac:dyDescent="0.25">
      <c r="A54906"/>
      <c r="B54906"/>
      <c r="C54906"/>
      <c r="E54906"/>
      <c r="F54906"/>
    </row>
    <row r="54907" spans="1:6" x14ac:dyDescent="0.25">
      <c r="A54907"/>
      <c r="B54907"/>
      <c r="C54907"/>
      <c r="E54907"/>
      <c r="F54907"/>
    </row>
    <row r="54908" spans="1:6" x14ac:dyDescent="0.25">
      <c r="A54908"/>
      <c r="B54908"/>
      <c r="C54908"/>
      <c r="E54908"/>
      <c r="F54908"/>
    </row>
    <row r="54909" spans="1:6" x14ac:dyDescent="0.25">
      <c r="A54909"/>
      <c r="B54909"/>
      <c r="C54909"/>
      <c r="E54909"/>
      <c r="F54909"/>
    </row>
    <row r="54910" spans="1:6" x14ac:dyDescent="0.25">
      <c r="A54910"/>
      <c r="B54910"/>
      <c r="C54910"/>
      <c r="E54910"/>
      <c r="F54910"/>
    </row>
    <row r="54911" spans="1:6" x14ac:dyDescent="0.25">
      <c r="A54911"/>
      <c r="B54911"/>
      <c r="C54911"/>
      <c r="E54911"/>
      <c r="F54911"/>
    </row>
    <row r="54912" spans="1:6" x14ac:dyDescent="0.25">
      <c r="A54912"/>
      <c r="B54912"/>
      <c r="C54912"/>
      <c r="E54912"/>
      <c r="F54912"/>
    </row>
    <row r="54913" spans="1:6" x14ac:dyDescent="0.25">
      <c r="A54913"/>
      <c r="B54913"/>
      <c r="C54913"/>
      <c r="E54913"/>
      <c r="F54913"/>
    </row>
    <row r="54914" spans="1:6" x14ac:dyDescent="0.25">
      <c r="A54914"/>
      <c r="B54914"/>
      <c r="C54914"/>
      <c r="E54914"/>
      <c r="F54914"/>
    </row>
    <row r="54915" spans="1:6" x14ac:dyDescent="0.25">
      <c r="A54915"/>
      <c r="B54915"/>
      <c r="C54915"/>
      <c r="E54915"/>
      <c r="F54915"/>
    </row>
    <row r="54916" spans="1:6" x14ac:dyDescent="0.25">
      <c r="A54916"/>
      <c r="B54916"/>
      <c r="C54916"/>
      <c r="E54916"/>
      <c r="F54916"/>
    </row>
    <row r="54917" spans="1:6" x14ac:dyDescent="0.25">
      <c r="A54917"/>
      <c r="B54917"/>
      <c r="C54917"/>
      <c r="E54917"/>
      <c r="F54917"/>
    </row>
    <row r="54918" spans="1:6" x14ac:dyDescent="0.25">
      <c r="A54918"/>
      <c r="B54918"/>
      <c r="C54918"/>
      <c r="E54918"/>
      <c r="F54918"/>
    </row>
    <row r="54919" spans="1:6" x14ac:dyDescent="0.25">
      <c r="A54919"/>
      <c r="B54919"/>
      <c r="C54919"/>
      <c r="E54919"/>
      <c r="F54919"/>
    </row>
    <row r="54920" spans="1:6" x14ac:dyDescent="0.25">
      <c r="A54920"/>
      <c r="B54920"/>
      <c r="C54920"/>
      <c r="E54920"/>
      <c r="F54920"/>
    </row>
    <row r="54921" spans="1:6" x14ac:dyDescent="0.25">
      <c r="A54921"/>
      <c r="B54921"/>
      <c r="C54921"/>
      <c r="E54921"/>
      <c r="F54921"/>
    </row>
    <row r="54922" spans="1:6" x14ac:dyDescent="0.25">
      <c r="A54922"/>
      <c r="B54922"/>
      <c r="C54922"/>
      <c r="E54922"/>
      <c r="F54922"/>
    </row>
    <row r="54923" spans="1:6" x14ac:dyDescent="0.25">
      <c r="A54923"/>
      <c r="B54923"/>
      <c r="C54923"/>
      <c r="E54923"/>
      <c r="F54923"/>
    </row>
    <row r="54924" spans="1:6" x14ac:dyDescent="0.25">
      <c r="A54924"/>
      <c r="B54924"/>
      <c r="C54924"/>
      <c r="E54924"/>
      <c r="F54924"/>
    </row>
    <row r="54925" spans="1:6" x14ac:dyDescent="0.25">
      <c r="A54925"/>
      <c r="B54925"/>
      <c r="C54925"/>
      <c r="E54925"/>
      <c r="F54925"/>
    </row>
    <row r="54926" spans="1:6" x14ac:dyDescent="0.25">
      <c r="A54926"/>
      <c r="B54926"/>
      <c r="C54926"/>
      <c r="E54926"/>
      <c r="F54926"/>
    </row>
    <row r="54927" spans="1:6" x14ac:dyDescent="0.25">
      <c r="A54927"/>
      <c r="B54927"/>
      <c r="C54927"/>
      <c r="E54927"/>
      <c r="F54927"/>
    </row>
    <row r="54928" spans="1:6" x14ac:dyDescent="0.25">
      <c r="A54928"/>
      <c r="B54928"/>
      <c r="C54928"/>
      <c r="E54928"/>
      <c r="F54928"/>
    </row>
    <row r="54929" spans="1:6" x14ac:dyDescent="0.25">
      <c r="A54929"/>
      <c r="B54929"/>
      <c r="C54929"/>
      <c r="E54929"/>
      <c r="F54929"/>
    </row>
    <row r="54930" spans="1:6" x14ac:dyDescent="0.25">
      <c r="A54930"/>
      <c r="B54930"/>
      <c r="C54930"/>
      <c r="E54930"/>
      <c r="F54930"/>
    </row>
    <row r="54931" spans="1:6" x14ac:dyDescent="0.25">
      <c r="A54931"/>
      <c r="B54931"/>
      <c r="C54931"/>
      <c r="E54931"/>
      <c r="F54931"/>
    </row>
    <row r="54932" spans="1:6" x14ac:dyDescent="0.25">
      <c r="A54932"/>
      <c r="B54932"/>
      <c r="C54932"/>
      <c r="E54932"/>
      <c r="F54932"/>
    </row>
    <row r="54933" spans="1:6" x14ac:dyDescent="0.25">
      <c r="A54933"/>
      <c r="B54933"/>
      <c r="C54933"/>
      <c r="E54933"/>
      <c r="F54933"/>
    </row>
    <row r="54934" spans="1:6" x14ac:dyDescent="0.25">
      <c r="A54934"/>
      <c r="B54934"/>
      <c r="C54934"/>
      <c r="E54934"/>
      <c r="F54934"/>
    </row>
    <row r="54935" spans="1:6" x14ac:dyDescent="0.25">
      <c r="A54935"/>
      <c r="B54935"/>
      <c r="C54935"/>
      <c r="E54935"/>
      <c r="F54935"/>
    </row>
    <row r="54936" spans="1:6" x14ac:dyDescent="0.25">
      <c r="A54936"/>
      <c r="B54936"/>
      <c r="C54936"/>
      <c r="E54936"/>
      <c r="F54936"/>
    </row>
    <row r="54937" spans="1:6" x14ac:dyDescent="0.25">
      <c r="A54937"/>
      <c r="B54937"/>
      <c r="C54937"/>
      <c r="E54937"/>
      <c r="F54937"/>
    </row>
    <row r="54938" spans="1:6" x14ac:dyDescent="0.25">
      <c r="A54938"/>
      <c r="B54938"/>
      <c r="C54938"/>
      <c r="E54938"/>
      <c r="F54938"/>
    </row>
    <row r="54939" spans="1:6" x14ac:dyDescent="0.25">
      <c r="A54939"/>
      <c r="B54939"/>
      <c r="C54939"/>
      <c r="E54939"/>
      <c r="F54939"/>
    </row>
    <row r="54940" spans="1:6" x14ac:dyDescent="0.25">
      <c r="A54940"/>
      <c r="B54940"/>
      <c r="C54940"/>
      <c r="E54940"/>
      <c r="F54940"/>
    </row>
    <row r="54941" spans="1:6" x14ac:dyDescent="0.25">
      <c r="A54941"/>
      <c r="B54941"/>
      <c r="C54941"/>
      <c r="E54941"/>
      <c r="F54941"/>
    </row>
    <row r="54942" spans="1:6" x14ac:dyDescent="0.25">
      <c r="A54942"/>
      <c r="B54942"/>
      <c r="C54942"/>
      <c r="E54942"/>
      <c r="F54942"/>
    </row>
    <row r="54943" spans="1:6" x14ac:dyDescent="0.25">
      <c r="A54943"/>
      <c r="B54943"/>
      <c r="C54943"/>
      <c r="E54943"/>
      <c r="F54943"/>
    </row>
    <row r="54944" spans="1:6" x14ac:dyDescent="0.25">
      <c r="A54944"/>
      <c r="B54944"/>
      <c r="C54944"/>
      <c r="E54944"/>
      <c r="F54944"/>
    </row>
    <row r="54945" spans="1:6" x14ac:dyDescent="0.25">
      <c r="A54945"/>
      <c r="B54945"/>
      <c r="C54945"/>
      <c r="E54945"/>
      <c r="F54945"/>
    </row>
    <row r="54946" spans="1:6" x14ac:dyDescent="0.25">
      <c r="A54946"/>
      <c r="B54946"/>
      <c r="C54946"/>
      <c r="E54946"/>
      <c r="F54946"/>
    </row>
    <row r="54947" spans="1:6" x14ac:dyDescent="0.25">
      <c r="A54947"/>
      <c r="B54947"/>
      <c r="C54947"/>
      <c r="E54947"/>
      <c r="F54947"/>
    </row>
    <row r="54948" spans="1:6" x14ac:dyDescent="0.25">
      <c r="A54948"/>
      <c r="B54948"/>
      <c r="C54948"/>
      <c r="E54948"/>
      <c r="F54948"/>
    </row>
    <row r="54949" spans="1:6" x14ac:dyDescent="0.25">
      <c r="A54949"/>
      <c r="B54949"/>
      <c r="C54949"/>
      <c r="E54949"/>
      <c r="F54949"/>
    </row>
    <row r="54950" spans="1:6" x14ac:dyDescent="0.25">
      <c r="A54950"/>
      <c r="B54950"/>
      <c r="C54950"/>
      <c r="E54950"/>
      <c r="F54950"/>
    </row>
    <row r="54951" spans="1:6" x14ac:dyDescent="0.25">
      <c r="A54951"/>
      <c r="B54951"/>
      <c r="C54951"/>
      <c r="E54951"/>
      <c r="F54951"/>
    </row>
    <row r="54952" spans="1:6" x14ac:dyDescent="0.25">
      <c r="A54952"/>
      <c r="B54952"/>
      <c r="C54952"/>
      <c r="E54952"/>
      <c r="F54952"/>
    </row>
    <row r="54953" spans="1:6" x14ac:dyDescent="0.25">
      <c r="A54953"/>
      <c r="B54953"/>
      <c r="C54953"/>
      <c r="E54953"/>
      <c r="F54953"/>
    </row>
    <row r="54954" spans="1:6" x14ac:dyDescent="0.25">
      <c r="A54954"/>
      <c r="B54954"/>
      <c r="C54954"/>
      <c r="E54954"/>
      <c r="F54954"/>
    </row>
    <row r="54955" spans="1:6" x14ac:dyDescent="0.25">
      <c r="A54955"/>
      <c r="B54955"/>
      <c r="C54955"/>
      <c r="E54955"/>
      <c r="F54955"/>
    </row>
    <row r="54956" spans="1:6" x14ac:dyDescent="0.25">
      <c r="A54956"/>
      <c r="B54956"/>
      <c r="C54956"/>
      <c r="E54956"/>
      <c r="F54956"/>
    </row>
    <row r="54957" spans="1:6" x14ac:dyDescent="0.25">
      <c r="A54957"/>
      <c r="B54957"/>
      <c r="C54957"/>
      <c r="E54957"/>
      <c r="F54957"/>
    </row>
    <row r="54958" spans="1:6" x14ac:dyDescent="0.25">
      <c r="A54958"/>
      <c r="B54958"/>
      <c r="C54958"/>
      <c r="E54958"/>
      <c r="F54958"/>
    </row>
    <row r="54959" spans="1:6" x14ac:dyDescent="0.25">
      <c r="A54959"/>
      <c r="B54959"/>
      <c r="C54959"/>
      <c r="E54959"/>
      <c r="F54959"/>
    </row>
    <row r="54960" spans="1:6" x14ac:dyDescent="0.25">
      <c r="A54960"/>
      <c r="B54960"/>
      <c r="C54960"/>
      <c r="E54960"/>
      <c r="F54960"/>
    </row>
    <row r="54961" spans="1:6" x14ac:dyDescent="0.25">
      <c r="A54961"/>
      <c r="B54961"/>
      <c r="C54961"/>
      <c r="E54961"/>
      <c r="F54961"/>
    </row>
    <row r="54962" spans="1:6" x14ac:dyDescent="0.25">
      <c r="A54962"/>
      <c r="B54962"/>
      <c r="C54962"/>
      <c r="E54962"/>
      <c r="F54962"/>
    </row>
    <row r="54963" spans="1:6" x14ac:dyDescent="0.25">
      <c r="A54963"/>
      <c r="B54963"/>
      <c r="C54963"/>
      <c r="E54963"/>
      <c r="F54963"/>
    </row>
    <row r="54964" spans="1:6" x14ac:dyDescent="0.25">
      <c r="A54964"/>
      <c r="B54964"/>
      <c r="C54964"/>
      <c r="E54964"/>
      <c r="F54964"/>
    </row>
    <row r="54965" spans="1:6" x14ac:dyDescent="0.25">
      <c r="A54965"/>
      <c r="B54965"/>
      <c r="C54965"/>
      <c r="E54965"/>
      <c r="F54965"/>
    </row>
    <row r="54966" spans="1:6" x14ac:dyDescent="0.25">
      <c r="A54966"/>
      <c r="B54966"/>
      <c r="C54966"/>
      <c r="E54966"/>
      <c r="F54966"/>
    </row>
    <row r="54967" spans="1:6" x14ac:dyDescent="0.25">
      <c r="A54967"/>
      <c r="B54967"/>
      <c r="C54967"/>
      <c r="E54967"/>
      <c r="F54967"/>
    </row>
    <row r="54968" spans="1:6" x14ac:dyDescent="0.25">
      <c r="A54968"/>
      <c r="B54968"/>
      <c r="C54968"/>
      <c r="E54968"/>
      <c r="F54968"/>
    </row>
    <row r="54969" spans="1:6" x14ac:dyDescent="0.25">
      <c r="A54969"/>
      <c r="B54969"/>
      <c r="C54969"/>
      <c r="E54969"/>
      <c r="F54969"/>
    </row>
    <row r="54970" spans="1:6" x14ac:dyDescent="0.25">
      <c r="A54970"/>
      <c r="B54970"/>
      <c r="C54970"/>
      <c r="E54970"/>
      <c r="F54970"/>
    </row>
    <row r="54971" spans="1:6" x14ac:dyDescent="0.25">
      <c r="A54971"/>
      <c r="B54971"/>
      <c r="C54971"/>
      <c r="E54971"/>
      <c r="F54971"/>
    </row>
    <row r="54972" spans="1:6" x14ac:dyDescent="0.25">
      <c r="A54972"/>
      <c r="B54972"/>
      <c r="C54972"/>
      <c r="E54972"/>
      <c r="F54972"/>
    </row>
    <row r="54973" spans="1:6" x14ac:dyDescent="0.25">
      <c r="A54973"/>
      <c r="B54973"/>
      <c r="C54973"/>
      <c r="E54973"/>
      <c r="F54973"/>
    </row>
    <row r="54974" spans="1:6" x14ac:dyDescent="0.25">
      <c r="A54974"/>
      <c r="B54974"/>
      <c r="C54974"/>
      <c r="E54974"/>
      <c r="F54974"/>
    </row>
    <row r="54975" spans="1:6" x14ac:dyDescent="0.25">
      <c r="A54975"/>
      <c r="B54975"/>
      <c r="C54975"/>
      <c r="E54975"/>
      <c r="F54975"/>
    </row>
    <row r="54976" spans="1:6" x14ac:dyDescent="0.25">
      <c r="A54976"/>
      <c r="B54976"/>
      <c r="C54976"/>
      <c r="E54976"/>
      <c r="F54976"/>
    </row>
    <row r="54977" spans="1:6" x14ac:dyDescent="0.25">
      <c r="A54977"/>
      <c r="B54977"/>
      <c r="C54977"/>
      <c r="E54977"/>
      <c r="F54977"/>
    </row>
    <row r="54978" spans="1:6" x14ac:dyDescent="0.25">
      <c r="A54978"/>
      <c r="B54978"/>
      <c r="C54978"/>
      <c r="E54978"/>
      <c r="F54978"/>
    </row>
    <row r="54979" spans="1:6" x14ac:dyDescent="0.25">
      <c r="A54979"/>
      <c r="B54979"/>
      <c r="C54979"/>
      <c r="E54979"/>
      <c r="F54979"/>
    </row>
    <row r="54980" spans="1:6" x14ac:dyDescent="0.25">
      <c r="A54980"/>
      <c r="B54980"/>
      <c r="C54980"/>
      <c r="E54980"/>
      <c r="F54980"/>
    </row>
    <row r="54981" spans="1:6" x14ac:dyDescent="0.25">
      <c r="A54981"/>
      <c r="B54981"/>
      <c r="C54981"/>
      <c r="E54981"/>
      <c r="F54981"/>
    </row>
    <row r="54982" spans="1:6" x14ac:dyDescent="0.25">
      <c r="A54982"/>
      <c r="B54982"/>
      <c r="C54982"/>
      <c r="E54982"/>
      <c r="F54982"/>
    </row>
    <row r="54983" spans="1:6" x14ac:dyDescent="0.25">
      <c r="A54983"/>
      <c r="B54983"/>
      <c r="C54983"/>
      <c r="E54983"/>
      <c r="F54983"/>
    </row>
    <row r="54984" spans="1:6" x14ac:dyDescent="0.25">
      <c r="A54984"/>
      <c r="B54984"/>
      <c r="C54984"/>
      <c r="E54984"/>
      <c r="F54984"/>
    </row>
    <row r="54985" spans="1:6" x14ac:dyDescent="0.25">
      <c r="A54985"/>
      <c r="B54985"/>
      <c r="C54985"/>
      <c r="E54985"/>
      <c r="F54985"/>
    </row>
    <row r="54986" spans="1:6" x14ac:dyDescent="0.25">
      <c r="A54986"/>
      <c r="B54986"/>
      <c r="C54986"/>
      <c r="E54986"/>
      <c r="F54986"/>
    </row>
    <row r="54987" spans="1:6" x14ac:dyDescent="0.25">
      <c r="A54987"/>
      <c r="B54987"/>
      <c r="C54987"/>
      <c r="E54987"/>
      <c r="F54987"/>
    </row>
    <row r="54988" spans="1:6" x14ac:dyDescent="0.25">
      <c r="A54988"/>
      <c r="B54988"/>
      <c r="C54988"/>
      <c r="E54988"/>
      <c r="F54988"/>
    </row>
    <row r="54989" spans="1:6" x14ac:dyDescent="0.25">
      <c r="A54989"/>
      <c r="B54989"/>
      <c r="C54989"/>
      <c r="E54989"/>
      <c r="F54989"/>
    </row>
    <row r="54990" spans="1:6" x14ac:dyDescent="0.25">
      <c r="A54990"/>
      <c r="B54990"/>
      <c r="C54990"/>
      <c r="E54990"/>
      <c r="F54990"/>
    </row>
    <row r="54991" spans="1:6" x14ac:dyDescent="0.25">
      <c r="A54991"/>
      <c r="B54991"/>
      <c r="C54991"/>
      <c r="E54991"/>
      <c r="F54991"/>
    </row>
    <row r="54992" spans="1:6" x14ac:dyDescent="0.25">
      <c r="A54992"/>
      <c r="B54992"/>
      <c r="C54992"/>
      <c r="E54992"/>
      <c r="F54992"/>
    </row>
    <row r="54993" spans="1:6" x14ac:dyDescent="0.25">
      <c r="A54993"/>
      <c r="B54993"/>
      <c r="C54993"/>
      <c r="E54993"/>
      <c r="F54993"/>
    </row>
    <row r="54994" spans="1:6" x14ac:dyDescent="0.25">
      <c r="A54994"/>
      <c r="B54994"/>
      <c r="C54994"/>
      <c r="E54994"/>
      <c r="F54994"/>
    </row>
    <row r="54995" spans="1:6" x14ac:dyDescent="0.25">
      <c r="A54995"/>
      <c r="B54995"/>
      <c r="C54995"/>
      <c r="E54995"/>
      <c r="F54995"/>
    </row>
    <row r="54996" spans="1:6" x14ac:dyDescent="0.25">
      <c r="A54996"/>
      <c r="B54996"/>
      <c r="C54996"/>
      <c r="E54996"/>
      <c r="F54996"/>
    </row>
    <row r="54997" spans="1:6" x14ac:dyDescent="0.25">
      <c r="A54997"/>
      <c r="B54997"/>
      <c r="C54997"/>
      <c r="E54997"/>
      <c r="F54997"/>
    </row>
    <row r="54998" spans="1:6" x14ac:dyDescent="0.25">
      <c r="A54998"/>
      <c r="B54998"/>
      <c r="C54998"/>
      <c r="E54998"/>
      <c r="F54998"/>
    </row>
    <row r="54999" spans="1:6" x14ac:dyDescent="0.25">
      <c r="A54999"/>
      <c r="B54999"/>
      <c r="C54999"/>
      <c r="E54999"/>
      <c r="F54999"/>
    </row>
    <row r="55000" spans="1:6" x14ac:dyDescent="0.25">
      <c r="A55000"/>
      <c r="B55000"/>
      <c r="C55000"/>
      <c r="E55000"/>
      <c r="F55000"/>
    </row>
    <row r="55001" spans="1:6" x14ac:dyDescent="0.25">
      <c r="A55001"/>
      <c r="B55001"/>
      <c r="C55001"/>
      <c r="E55001"/>
      <c r="F55001"/>
    </row>
    <row r="55002" spans="1:6" x14ac:dyDescent="0.25">
      <c r="A55002"/>
      <c r="B55002"/>
      <c r="C55002"/>
      <c r="E55002"/>
      <c r="F55002"/>
    </row>
    <row r="55003" spans="1:6" x14ac:dyDescent="0.25">
      <c r="A55003"/>
      <c r="B55003"/>
      <c r="C55003"/>
      <c r="E55003"/>
      <c r="F55003"/>
    </row>
    <row r="55004" spans="1:6" x14ac:dyDescent="0.25">
      <c r="A55004"/>
      <c r="B55004"/>
      <c r="C55004"/>
      <c r="E55004"/>
      <c r="F55004"/>
    </row>
    <row r="55005" spans="1:6" x14ac:dyDescent="0.25">
      <c r="A55005"/>
      <c r="B55005"/>
      <c r="C55005"/>
      <c r="E55005"/>
      <c r="F55005"/>
    </row>
    <row r="55006" spans="1:6" x14ac:dyDescent="0.25">
      <c r="A55006"/>
      <c r="B55006"/>
      <c r="C55006"/>
      <c r="E55006"/>
      <c r="F55006"/>
    </row>
    <row r="55007" spans="1:6" x14ac:dyDescent="0.25">
      <c r="A55007"/>
      <c r="B55007"/>
      <c r="C55007"/>
      <c r="E55007"/>
      <c r="F55007"/>
    </row>
    <row r="55008" spans="1:6" x14ac:dyDescent="0.25">
      <c r="A55008"/>
      <c r="B55008"/>
      <c r="C55008"/>
      <c r="E55008"/>
      <c r="F55008"/>
    </row>
    <row r="55009" spans="1:6" x14ac:dyDescent="0.25">
      <c r="A55009"/>
      <c r="B55009"/>
      <c r="C55009"/>
      <c r="E55009"/>
      <c r="F55009"/>
    </row>
    <row r="55010" spans="1:6" x14ac:dyDescent="0.25">
      <c r="A55010"/>
      <c r="B55010"/>
      <c r="C55010"/>
      <c r="E55010"/>
      <c r="F55010"/>
    </row>
    <row r="55011" spans="1:6" x14ac:dyDescent="0.25">
      <c r="A55011"/>
      <c r="B55011"/>
      <c r="C55011"/>
      <c r="E55011"/>
      <c r="F55011"/>
    </row>
    <row r="55012" spans="1:6" x14ac:dyDescent="0.25">
      <c r="A55012"/>
      <c r="B55012"/>
      <c r="C55012"/>
      <c r="E55012"/>
      <c r="F55012"/>
    </row>
    <row r="55013" spans="1:6" x14ac:dyDescent="0.25">
      <c r="A55013"/>
      <c r="B55013"/>
      <c r="C55013"/>
      <c r="E55013"/>
      <c r="F55013"/>
    </row>
    <row r="55014" spans="1:6" x14ac:dyDescent="0.25">
      <c r="A55014"/>
      <c r="B55014"/>
      <c r="C55014"/>
      <c r="E55014"/>
      <c r="F55014"/>
    </row>
    <row r="55015" spans="1:6" x14ac:dyDescent="0.25">
      <c r="A55015"/>
      <c r="B55015"/>
      <c r="C55015"/>
      <c r="E55015"/>
      <c r="F55015"/>
    </row>
    <row r="55016" spans="1:6" x14ac:dyDescent="0.25">
      <c r="A55016"/>
      <c r="B55016"/>
      <c r="C55016"/>
      <c r="E55016"/>
      <c r="F55016"/>
    </row>
    <row r="55017" spans="1:6" x14ac:dyDescent="0.25">
      <c r="A55017"/>
      <c r="B55017"/>
      <c r="C55017"/>
      <c r="E55017"/>
      <c r="F55017"/>
    </row>
    <row r="55018" spans="1:6" x14ac:dyDescent="0.25">
      <c r="A55018"/>
      <c r="B55018"/>
      <c r="C55018"/>
      <c r="E55018"/>
      <c r="F55018"/>
    </row>
    <row r="55019" spans="1:6" x14ac:dyDescent="0.25">
      <c r="A55019"/>
      <c r="B55019"/>
      <c r="C55019"/>
      <c r="E55019"/>
      <c r="F55019"/>
    </row>
    <row r="55020" spans="1:6" x14ac:dyDescent="0.25">
      <c r="A55020"/>
      <c r="B55020"/>
      <c r="C55020"/>
      <c r="E55020"/>
      <c r="F55020"/>
    </row>
    <row r="55021" spans="1:6" x14ac:dyDescent="0.25">
      <c r="A55021"/>
      <c r="B55021"/>
      <c r="C55021"/>
      <c r="E55021"/>
      <c r="F55021"/>
    </row>
    <row r="55022" spans="1:6" x14ac:dyDescent="0.25">
      <c r="A55022"/>
      <c r="B55022"/>
      <c r="C55022"/>
      <c r="E55022"/>
      <c r="F55022"/>
    </row>
    <row r="55023" spans="1:6" x14ac:dyDescent="0.25">
      <c r="A55023"/>
      <c r="B55023"/>
      <c r="C55023"/>
      <c r="E55023"/>
      <c r="F55023"/>
    </row>
    <row r="55024" spans="1:6" x14ac:dyDescent="0.25">
      <c r="A55024"/>
      <c r="B55024"/>
      <c r="C55024"/>
      <c r="E55024"/>
      <c r="F55024"/>
    </row>
    <row r="55025" spans="1:6" x14ac:dyDescent="0.25">
      <c r="A55025"/>
      <c r="B55025"/>
      <c r="C55025"/>
      <c r="E55025"/>
      <c r="F55025"/>
    </row>
    <row r="55026" spans="1:6" x14ac:dyDescent="0.25">
      <c r="A55026"/>
      <c r="B55026"/>
      <c r="C55026"/>
      <c r="E55026"/>
      <c r="F55026"/>
    </row>
    <row r="55027" spans="1:6" x14ac:dyDescent="0.25">
      <c r="A55027"/>
      <c r="B55027"/>
      <c r="C55027"/>
      <c r="E55027"/>
      <c r="F55027"/>
    </row>
    <row r="55028" spans="1:6" x14ac:dyDescent="0.25">
      <c r="A55028"/>
      <c r="B55028"/>
      <c r="C55028"/>
      <c r="E55028"/>
      <c r="F55028"/>
    </row>
    <row r="55029" spans="1:6" x14ac:dyDescent="0.25">
      <c r="A55029"/>
      <c r="B55029"/>
      <c r="C55029"/>
      <c r="E55029"/>
      <c r="F55029"/>
    </row>
    <row r="55030" spans="1:6" x14ac:dyDescent="0.25">
      <c r="A55030"/>
      <c r="B55030"/>
      <c r="C55030"/>
      <c r="E55030"/>
      <c r="F55030"/>
    </row>
    <row r="55031" spans="1:6" x14ac:dyDescent="0.25">
      <c r="A55031"/>
      <c r="B55031"/>
      <c r="C55031"/>
      <c r="E55031"/>
      <c r="F55031"/>
    </row>
    <row r="55032" spans="1:6" x14ac:dyDescent="0.25">
      <c r="A55032"/>
      <c r="B55032"/>
      <c r="C55032"/>
      <c r="E55032"/>
      <c r="F55032"/>
    </row>
    <row r="55033" spans="1:6" x14ac:dyDescent="0.25">
      <c r="A55033"/>
      <c r="B55033"/>
      <c r="C55033"/>
      <c r="E55033"/>
      <c r="F55033"/>
    </row>
    <row r="55034" spans="1:6" x14ac:dyDescent="0.25">
      <c r="A55034"/>
      <c r="B55034"/>
      <c r="C55034"/>
      <c r="E55034"/>
      <c r="F55034"/>
    </row>
    <row r="55035" spans="1:6" x14ac:dyDescent="0.25">
      <c r="A55035"/>
      <c r="B55035"/>
      <c r="C55035"/>
      <c r="E55035"/>
      <c r="F55035"/>
    </row>
    <row r="55036" spans="1:6" x14ac:dyDescent="0.25">
      <c r="A55036"/>
      <c r="B55036"/>
      <c r="C55036"/>
      <c r="E55036"/>
      <c r="F55036"/>
    </row>
    <row r="55037" spans="1:6" x14ac:dyDescent="0.25">
      <c r="A55037"/>
      <c r="B55037"/>
      <c r="C55037"/>
      <c r="E55037"/>
      <c r="F55037"/>
    </row>
    <row r="55038" spans="1:6" x14ac:dyDescent="0.25">
      <c r="A55038"/>
      <c r="B55038"/>
      <c r="C55038"/>
      <c r="E55038"/>
      <c r="F55038"/>
    </row>
    <row r="55039" spans="1:6" x14ac:dyDescent="0.25">
      <c r="A55039"/>
      <c r="B55039"/>
      <c r="C55039"/>
      <c r="E55039"/>
      <c r="F55039"/>
    </row>
    <row r="55040" spans="1:6" x14ac:dyDescent="0.25">
      <c r="A55040"/>
      <c r="B55040"/>
      <c r="C55040"/>
      <c r="E55040"/>
      <c r="F55040"/>
    </row>
    <row r="55041" spans="1:6" x14ac:dyDescent="0.25">
      <c r="A55041"/>
      <c r="B55041"/>
      <c r="C55041"/>
      <c r="E55041"/>
      <c r="F55041"/>
    </row>
    <row r="55042" spans="1:6" x14ac:dyDescent="0.25">
      <c r="A55042"/>
      <c r="B55042"/>
      <c r="C55042"/>
      <c r="E55042"/>
      <c r="F55042"/>
    </row>
    <row r="55043" spans="1:6" x14ac:dyDescent="0.25">
      <c r="A55043"/>
      <c r="B55043"/>
      <c r="C55043"/>
      <c r="E55043"/>
      <c r="F55043"/>
    </row>
    <row r="55044" spans="1:6" x14ac:dyDescent="0.25">
      <c r="A55044"/>
      <c r="B55044"/>
      <c r="C55044"/>
      <c r="E55044"/>
      <c r="F55044"/>
    </row>
    <row r="55045" spans="1:6" x14ac:dyDescent="0.25">
      <c r="A55045"/>
      <c r="B55045"/>
      <c r="C55045"/>
      <c r="E55045"/>
      <c r="F55045"/>
    </row>
    <row r="55046" spans="1:6" x14ac:dyDescent="0.25">
      <c r="A55046"/>
      <c r="B55046"/>
      <c r="C55046"/>
      <c r="E55046"/>
      <c r="F55046"/>
    </row>
    <row r="55047" spans="1:6" x14ac:dyDescent="0.25">
      <c r="A55047"/>
      <c r="B55047"/>
      <c r="C55047"/>
      <c r="E55047"/>
      <c r="F55047"/>
    </row>
    <row r="55048" spans="1:6" x14ac:dyDescent="0.25">
      <c r="A55048"/>
      <c r="B55048"/>
      <c r="C55048"/>
      <c r="E55048"/>
      <c r="F55048"/>
    </row>
    <row r="55049" spans="1:6" x14ac:dyDescent="0.25">
      <c r="A55049"/>
      <c r="B55049"/>
      <c r="C55049"/>
      <c r="E55049"/>
      <c r="F55049"/>
    </row>
    <row r="55050" spans="1:6" x14ac:dyDescent="0.25">
      <c r="A55050"/>
      <c r="B55050"/>
      <c r="C55050"/>
      <c r="E55050"/>
      <c r="F55050"/>
    </row>
    <row r="55051" spans="1:6" x14ac:dyDescent="0.25">
      <c r="A55051"/>
      <c r="B55051"/>
      <c r="C55051"/>
      <c r="E55051"/>
      <c r="F55051"/>
    </row>
    <row r="55052" spans="1:6" x14ac:dyDescent="0.25">
      <c r="A55052"/>
      <c r="B55052"/>
      <c r="C55052"/>
      <c r="E55052"/>
      <c r="F55052"/>
    </row>
    <row r="55053" spans="1:6" x14ac:dyDescent="0.25">
      <c r="A55053"/>
      <c r="B55053"/>
      <c r="C55053"/>
      <c r="E55053"/>
      <c r="F55053"/>
    </row>
    <row r="55054" spans="1:6" x14ac:dyDescent="0.25">
      <c r="A55054"/>
      <c r="B55054"/>
      <c r="C55054"/>
      <c r="E55054"/>
      <c r="F55054"/>
    </row>
    <row r="55055" spans="1:6" x14ac:dyDescent="0.25">
      <c r="A55055"/>
      <c r="B55055"/>
      <c r="C55055"/>
      <c r="E55055"/>
      <c r="F55055"/>
    </row>
    <row r="55056" spans="1:6" x14ac:dyDescent="0.25">
      <c r="A55056"/>
      <c r="B55056"/>
      <c r="C55056"/>
      <c r="E55056"/>
      <c r="F55056"/>
    </row>
    <row r="55057" spans="1:6" x14ac:dyDescent="0.25">
      <c r="A55057"/>
      <c r="B55057"/>
      <c r="C55057"/>
      <c r="E55057"/>
      <c r="F55057"/>
    </row>
    <row r="55058" spans="1:6" x14ac:dyDescent="0.25">
      <c r="A55058"/>
      <c r="B55058"/>
      <c r="C55058"/>
      <c r="E55058"/>
      <c r="F55058"/>
    </row>
    <row r="55059" spans="1:6" x14ac:dyDescent="0.25">
      <c r="A55059"/>
      <c r="B55059"/>
      <c r="C55059"/>
      <c r="E55059"/>
      <c r="F55059"/>
    </row>
    <row r="55060" spans="1:6" x14ac:dyDescent="0.25">
      <c r="A55060"/>
      <c r="B55060"/>
      <c r="C55060"/>
      <c r="E55060"/>
      <c r="F55060"/>
    </row>
    <row r="55061" spans="1:6" x14ac:dyDescent="0.25">
      <c r="A55061"/>
      <c r="B55061"/>
      <c r="C55061"/>
      <c r="E55061"/>
      <c r="F55061"/>
    </row>
    <row r="55062" spans="1:6" x14ac:dyDescent="0.25">
      <c r="A55062"/>
      <c r="B55062"/>
      <c r="C55062"/>
      <c r="E55062"/>
      <c r="F55062"/>
    </row>
    <row r="55063" spans="1:6" x14ac:dyDescent="0.25">
      <c r="A55063"/>
      <c r="B55063"/>
      <c r="C55063"/>
      <c r="E55063"/>
      <c r="F55063"/>
    </row>
    <row r="55064" spans="1:6" x14ac:dyDescent="0.25">
      <c r="A55064"/>
      <c r="B55064"/>
      <c r="C55064"/>
      <c r="E55064"/>
      <c r="F55064"/>
    </row>
    <row r="55065" spans="1:6" x14ac:dyDescent="0.25">
      <c r="A55065"/>
      <c r="B55065"/>
      <c r="C55065"/>
      <c r="E55065"/>
      <c r="F55065"/>
    </row>
    <row r="55066" spans="1:6" x14ac:dyDescent="0.25">
      <c r="A55066"/>
      <c r="B55066"/>
      <c r="C55066"/>
      <c r="E55066"/>
      <c r="F55066"/>
    </row>
    <row r="55067" spans="1:6" x14ac:dyDescent="0.25">
      <c r="A55067"/>
      <c r="B55067"/>
      <c r="C55067"/>
      <c r="E55067"/>
      <c r="F55067"/>
    </row>
    <row r="55068" spans="1:6" x14ac:dyDescent="0.25">
      <c r="A55068"/>
      <c r="B55068"/>
      <c r="C55068"/>
      <c r="E55068"/>
      <c r="F55068"/>
    </row>
    <row r="55069" spans="1:6" x14ac:dyDescent="0.25">
      <c r="A55069"/>
      <c r="B55069"/>
      <c r="C55069"/>
      <c r="E55069"/>
      <c r="F55069"/>
    </row>
    <row r="55070" spans="1:6" x14ac:dyDescent="0.25">
      <c r="A55070"/>
      <c r="B55070"/>
      <c r="C55070"/>
      <c r="E55070"/>
      <c r="F55070"/>
    </row>
    <row r="55071" spans="1:6" x14ac:dyDescent="0.25">
      <c r="A55071"/>
      <c r="B55071"/>
      <c r="C55071"/>
      <c r="E55071"/>
      <c r="F55071"/>
    </row>
    <row r="55072" spans="1:6" x14ac:dyDescent="0.25">
      <c r="A55072"/>
      <c r="B55072"/>
      <c r="C55072"/>
      <c r="E55072"/>
      <c r="F55072"/>
    </row>
    <row r="55073" spans="1:6" x14ac:dyDescent="0.25">
      <c r="A55073"/>
      <c r="B55073"/>
      <c r="C55073"/>
      <c r="E55073"/>
      <c r="F55073"/>
    </row>
    <row r="55074" spans="1:6" x14ac:dyDescent="0.25">
      <c r="A55074"/>
      <c r="B55074"/>
      <c r="C55074"/>
      <c r="E55074"/>
      <c r="F55074"/>
    </row>
    <row r="55075" spans="1:6" x14ac:dyDescent="0.25">
      <c r="A55075"/>
      <c r="B55075"/>
      <c r="C55075"/>
      <c r="E55075"/>
      <c r="F55075"/>
    </row>
    <row r="55076" spans="1:6" x14ac:dyDescent="0.25">
      <c r="A55076"/>
      <c r="B55076"/>
      <c r="C55076"/>
      <c r="E55076"/>
      <c r="F55076"/>
    </row>
    <row r="55077" spans="1:6" x14ac:dyDescent="0.25">
      <c r="A55077"/>
      <c r="B55077"/>
      <c r="C55077"/>
      <c r="E55077"/>
      <c r="F55077"/>
    </row>
    <row r="55078" spans="1:6" x14ac:dyDescent="0.25">
      <c r="A55078"/>
      <c r="B55078"/>
      <c r="C55078"/>
      <c r="E55078"/>
      <c r="F55078"/>
    </row>
    <row r="55079" spans="1:6" x14ac:dyDescent="0.25">
      <c r="A55079"/>
      <c r="B55079"/>
      <c r="C55079"/>
      <c r="E55079"/>
      <c r="F55079"/>
    </row>
    <row r="55080" spans="1:6" x14ac:dyDescent="0.25">
      <c r="A55080"/>
      <c r="B55080"/>
      <c r="C55080"/>
      <c r="E55080"/>
      <c r="F55080"/>
    </row>
    <row r="55081" spans="1:6" x14ac:dyDescent="0.25">
      <c r="A55081"/>
      <c r="B55081"/>
      <c r="C55081"/>
      <c r="E55081"/>
      <c r="F55081"/>
    </row>
    <row r="55082" spans="1:6" x14ac:dyDescent="0.25">
      <c r="A55082"/>
      <c r="B55082"/>
      <c r="C55082"/>
      <c r="E55082"/>
      <c r="F55082"/>
    </row>
    <row r="55083" spans="1:6" x14ac:dyDescent="0.25">
      <c r="A55083"/>
      <c r="B55083"/>
      <c r="C55083"/>
      <c r="E55083"/>
      <c r="F55083"/>
    </row>
    <row r="55084" spans="1:6" x14ac:dyDescent="0.25">
      <c r="A55084"/>
      <c r="B55084"/>
      <c r="C55084"/>
      <c r="E55084"/>
      <c r="F55084"/>
    </row>
    <row r="55085" spans="1:6" x14ac:dyDescent="0.25">
      <c r="A55085"/>
      <c r="B55085"/>
      <c r="C55085"/>
      <c r="E55085"/>
      <c r="F55085"/>
    </row>
    <row r="55086" spans="1:6" x14ac:dyDescent="0.25">
      <c r="A55086"/>
      <c r="B55086"/>
      <c r="C55086"/>
      <c r="E55086"/>
      <c r="F55086"/>
    </row>
    <row r="55087" spans="1:6" x14ac:dyDescent="0.25">
      <c r="A55087"/>
      <c r="B55087"/>
      <c r="C55087"/>
      <c r="E55087"/>
      <c r="F55087"/>
    </row>
    <row r="55088" spans="1:6" x14ac:dyDescent="0.25">
      <c r="A55088"/>
      <c r="B55088"/>
      <c r="C55088"/>
      <c r="E55088"/>
      <c r="F55088"/>
    </row>
    <row r="55089" spans="1:6" x14ac:dyDescent="0.25">
      <c r="A55089"/>
      <c r="B55089"/>
      <c r="C55089"/>
      <c r="E55089"/>
      <c r="F55089"/>
    </row>
    <row r="55090" spans="1:6" x14ac:dyDescent="0.25">
      <c r="A55090"/>
      <c r="B55090"/>
      <c r="C55090"/>
      <c r="E55090"/>
      <c r="F55090"/>
    </row>
    <row r="55091" spans="1:6" x14ac:dyDescent="0.25">
      <c r="A55091"/>
      <c r="B55091"/>
      <c r="C55091"/>
      <c r="E55091"/>
      <c r="F55091"/>
    </row>
    <row r="55092" spans="1:6" x14ac:dyDescent="0.25">
      <c r="A55092"/>
      <c r="B55092"/>
      <c r="C55092"/>
      <c r="E55092"/>
      <c r="F55092"/>
    </row>
    <row r="55093" spans="1:6" x14ac:dyDescent="0.25">
      <c r="A55093"/>
      <c r="B55093"/>
      <c r="C55093"/>
      <c r="E55093"/>
      <c r="F55093"/>
    </row>
    <row r="55094" spans="1:6" x14ac:dyDescent="0.25">
      <c r="A55094"/>
      <c r="B55094"/>
      <c r="C55094"/>
      <c r="E55094"/>
      <c r="F55094"/>
    </row>
    <row r="55095" spans="1:6" x14ac:dyDescent="0.25">
      <c r="A55095"/>
      <c r="B55095"/>
      <c r="C55095"/>
      <c r="E55095"/>
      <c r="F55095"/>
    </row>
    <row r="55096" spans="1:6" x14ac:dyDescent="0.25">
      <c r="A55096"/>
      <c r="B55096"/>
      <c r="C55096"/>
      <c r="E55096"/>
      <c r="F55096"/>
    </row>
    <row r="55097" spans="1:6" x14ac:dyDescent="0.25">
      <c r="A55097"/>
      <c r="B55097"/>
      <c r="C55097"/>
      <c r="E55097"/>
      <c r="F55097"/>
    </row>
    <row r="55098" spans="1:6" x14ac:dyDescent="0.25">
      <c r="A55098"/>
      <c r="B55098"/>
      <c r="C55098"/>
      <c r="E55098"/>
      <c r="F55098"/>
    </row>
    <row r="55099" spans="1:6" x14ac:dyDescent="0.25">
      <c r="A55099"/>
      <c r="B55099"/>
      <c r="C55099"/>
      <c r="E55099"/>
      <c r="F55099"/>
    </row>
    <row r="55100" spans="1:6" x14ac:dyDescent="0.25">
      <c r="A55100"/>
      <c r="B55100"/>
      <c r="C55100"/>
      <c r="E55100"/>
      <c r="F55100"/>
    </row>
    <row r="55101" spans="1:6" x14ac:dyDescent="0.25">
      <c r="A55101"/>
      <c r="B55101"/>
      <c r="C55101"/>
      <c r="E55101"/>
      <c r="F55101"/>
    </row>
    <row r="55102" spans="1:6" x14ac:dyDescent="0.25">
      <c r="A55102"/>
      <c r="B55102"/>
      <c r="C55102"/>
      <c r="E55102"/>
      <c r="F55102"/>
    </row>
    <row r="55103" spans="1:6" x14ac:dyDescent="0.25">
      <c r="A55103"/>
      <c r="B55103"/>
      <c r="C55103"/>
      <c r="E55103"/>
      <c r="F55103"/>
    </row>
    <row r="55104" spans="1:6" x14ac:dyDescent="0.25">
      <c r="A55104"/>
      <c r="B55104"/>
      <c r="C55104"/>
      <c r="E55104"/>
      <c r="F55104"/>
    </row>
    <row r="55105" spans="1:6" x14ac:dyDescent="0.25">
      <c r="A55105"/>
      <c r="B55105"/>
      <c r="C55105"/>
      <c r="E55105"/>
      <c r="F55105"/>
    </row>
    <row r="55106" spans="1:6" x14ac:dyDescent="0.25">
      <c r="A55106"/>
      <c r="B55106"/>
      <c r="C55106"/>
      <c r="E55106"/>
      <c r="F55106"/>
    </row>
    <row r="55107" spans="1:6" x14ac:dyDescent="0.25">
      <c r="A55107"/>
      <c r="B55107"/>
      <c r="C55107"/>
      <c r="E55107"/>
      <c r="F55107"/>
    </row>
    <row r="55108" spans="1:6" x14ac:dyDescent="0.25">
      <c r="A55108"/>
      <c r="B55108"/>
      <c r="C55108"/>
      <c r="E55108"/>
      <c r="F55108"/>
    </row>
    <row r="55109" spans="1:6" x14ac:dyDescent="0.25">
      <c r="A55109"/>
      <c r="B55109"/>
      <c r="C55109"/>
      <c r="E55109"/>
      <c r="F55109"/>
    </row>
    <row r="55110" spans="1:6" x14ac:dyDescent="0.25">
      <c r="A55110"/>
      <c r="B55110"/>
      <c r="C55110"/>
      <c r="E55110"/>
      <c r="F55110"/>
    </row>
    <row r="55111" spans="1:6" x14ac:dyDescent="0.25">
      <c r="A55111"/>
      <c r="B55111"/>
      <c r="C55111"/>
      <c r="E55111"/>
      <c r="F55111"/>
    </row>
    <row r="55112" spans="1:6" x14ac:dyDescent="0.25">
      <c r="A55112"/>
      <c r="B55112"/>
      <c r="C55112"/>
      <c r="E55112"/>
      <c r="F55112"/>
    </row>
    <row r="55113" spans="1:6" x14ac:dyDescent="0.25">
      <c r="A55113"/>
      <c r="B55113"/>
      <c r="C55113"/>
      <c r="E55113"/>
      <c r="F55113"/>
    </row>
    <row r="55114" spans="1:6" x14ac:dyDescent="0.25">
      <c r="A55114"/>
      <c r="B55114"/>
      <c r="C55114"/>
      <c r="E55114"/>
      <c r="F55114"/>
    </row>
    <row r="55115" spans="1:6" x14ac:dyDescent="0.25">
      <c r="A55115"/>
      <c r="B55115"/>
      <c r="C55115"/>
      <c r="E55115"/>
      <c r="F55115"/>
    </row>
    <row r="55116" spans="1:6" x14ac:dyDescent="0.25">
      <c r="A55116"/>
      <c r="B55116"/>
      <c r="C55116"/>
      <c r="E55116"/>
      <c r="F55116"/>
    </row>
    <row r="55117" spans="1:6" x14ac:dyDescent="0.25">
      <c r="A55117"/>
      <c r="B55117"/>
      <c r="C55117"/>
      <c r="E55117"/>
      <c r="F55117"/>
    </row>
    <row r="55118" spans="1:6" x14ac:dyDescent="0.25">
      <c r="A55118"/>
      <c r="B55118"/>
      <c r="C55118"/>
      <c r="E55118"/>
      <c r="F55118"/>
    </row>
    <row r="55119" spans="1:6" x14ac:dyDescent="0.25">
      <c r="A55119"/>
      <c r="B55119"/>
      <c r="C55119"/>
      <c r="E55119"/>
      <c r="F55119"/>
    </row>
    <row r="55120" spans="1:6" x14ac:dyDescent="0.25">
      <c r="A55120"/>
      <c r="B55120"/>
      <c r="C55120"/>
      <c r="E55120"/>
      <c r="F55120"/>
    </row>
    <row r="55121" spans="1:6" x14ac:dyDescent="0.25">
      <c r="A55121"/>
      <c r="B55121"/>
      <c r="C55121"/>
      <c r="E55121"/>
      <c r="F55121"/>
    </row>
    <row r="55122" spans="1:6" x14ac:dyDescent="0.25">
      <c r="A55122"/>
      <c r="B55122"/>
      <c r="C55122"/>
      <c r="E55122"/>
      <c r="F55122"/>
    </row>
    <row r="55123" spans="1:6" x14ac:dyDescent="0.25">
      <c r="A55123"/>
      <c r="B55123"/>
      <c r="C55123"/>
      <c r="E55123"/>
      <c r="F55123"/>
    </row>
    <row r="55124" spans="1:6" x14ac:dyDescent="0.25">
      <c r="A55124"/>
      <c r="B55124"/>
      <c r="C55124"/>
      <c r="E55124"/>
      <c r="F55124"/>
    </row>
    <row r="55125" spans="1:6" x14ac:dyDescent="0.25">
      <c r="A55125"/>
      <c r="B55125"/>
      <c r="C55125"/>
      <c r="E55125"/>
      <c r="F55125"/>
    </row>
    <row r="55126" spans="1:6" x14ac:dyDescent="0.25">
      <c r="A55126"/>
      <c r="B55126"/>
      <c r="C55126"/>
      <c r="E55126"/>
      <c r="F55126"/>
    </row>
    <row r="55127" spans="1:6" x14ac:dyDescent="0.25">
      <c r="A55127"/>
      <c r="B55127"/>
      <c r="C55127"/>
      <c r="E55127"/>
      <c r="F55127"/>
    </row>
    <row r="55128" spans="1:6" x14ac:dyDescent="0.25">
      <c r="A55128"/>
      <c r="B55128"/>
      <c r="C55128"/>
      <c r="E55128"/>
      <c r="F55128"/>
    </row>
    <row r="55129" spans="1:6" x14ac:dyDescent="0.25">
      <c r="A55129"/>
      <c r="B55129"/>
      <c r="C55129"/>
      <c r="E55129"/>
      <c r="F55129"/>
    </row>
    <row r="55130" spans="1:6" x14ac:dyDescent="0.25">
      <c r="A55130"/>
      <c r="B55130"/>
      <c r="C55130"/>
      <c r="E55130"/>
      <c r="F55130"/>
    </row>
    <row r="55131" spans="1:6" x14ac:dyDescent="0.25">
      <c r="A55131"/>
      <c r="B55131"/>
      <c r="C55131"/>
      <c r="E55131"/>
      <c r="F55131"/>
    </row>
    <row r="55132" spans="1:6" x14ac:dyDescent="0.25">
      <c r="A55132"/>
      <c r="B55132"/>
      <c r="C55132"/>
      <c r="E55132"/>
      <c r="F55132"/>
    </row>
    <row r="55133" spans="1:6" x14ac:dyDescent="0.25">
      <c r="A55133"/>
      <c r="B55133"/>
      <c r="C55133"/>
      <c r="E55133"/>
      <c r="F55133"/>
    </row>
    <row r="55134" spans="1:6" x14ac:dyDescent="0.25">
      <c r="A55134"/>
      <c r="B55134"/>
      <c r="C55134"/>
      <c r="E55134"/>
      <c r="F55134"/>
    </row>
    <row r="55135" spans="1:6" x14ac:dyDescent="0.25">
      <c r="A55135"/>
      <c r="B55135"/>
      <c r="C55135"/>
      <c r="E55135"/>
      <c r="F55135"/>
    </row>
    <row r="55136" spans="1:6" x14ac:dyDescent="0.25">
      <c r="A55136"/>
      <c r="B55136"/>
      <c r="C55136"/>
      <c r="E55136"/>
      <c r="F55136"/>
    </row>
    <row r="55137" spans="1:6" x14ac:dyDescent="0.25">
      <c r="A55137"/>
      <c r="B55137"/>
      <c r="C55137"/>
      <c r="E55137"/>
      <c r="F55137"/>
    </row>
    <row r="55138" spans="1:6" x14ac:dyDescent="0.25">
      <c r="A55138"/>
      <c r="B55138"/>
      <c r="C55138"/>
      <c r="E55138"/>
      <c r="F55138"/>
    </row>
    <row r="55139" spans="1:6" x14ac:dyDescent="0.25">
      <c r="A55139"/>
      <c r="B55139"/>
      <c r="C55139"/>
      <c r="E55139"/>
      <c r="F55139"/>
    </row>
    <row r="55140" spans="1:6" x14ac:dyDescent="0.25">
      <c r="A55140"/>
      <c r="B55140"/>
      <c r="C55140"/>
      <c r="E55140"/>
      <c r="F55140"/>
    </row>
    <row r="55141" spans="1:6" x14ac:dyDescent="0.25">
      <c r="A55141"/>
      <c r="B55141"/>
      <c r="C55141"/>
      <c r="E55141"/>
      <c r="F55141"/>
    </row>
    <row r="55142" spans="1:6" x14ac:dyDescent="0.25">
      <c r="A55142"/>
      <c r="B55142"/>
      <c r="C55142"/>
      <c r="E55142"/>
      <c r="F55142"/>
    </row>
    <row r="55143" spans="1:6" x14ac:dyDescent="0.25">
      <c r="A55143"/>
      <c r="B55143"/>
      <c r="C55143"/>
      <c r="E55143"/>
      <c r="F55143"/>
    </row>
    <row r="55144" spans="1:6" x14ac:dyDescent="0.25">
      <c r="A55144"/>
      <c r="B55144"/>
      <c r="C55144"/>
      <c r="E55144"/>
      <c r="F55144"/>
    </row>
    <row r="55145" spans="1:6" x14ac:dyDescent="0.25">
      <c r="A55145"/>
      <c r="B55145"/>
      <c r="C55145"/>
      <c r="E55145"/>
      <c r="F55145"/>
    </row>
    <row r="55146" spans="1:6" x14ac:dyDescent="0.25">
      <c r="A55146"/>
      <c r="B55146"/>
      <c r="C55146"/>
      <c r="E55146"/>
      <c r="F55146"/>
    </row>
    <row r="55147" spans="1:6" x14ac:dyDescent="0.25">
      <c r="A55147"/>
      <c r="B55147"/>
      <c r="C55147"/>
      <c r="E55147"/>
      <c r="F55147"/>
    </row>
    <row r="55148" spans="1:6" x14ac:dyDescent="0.25">
      <c r="A55148"/>
      <c r="B55148"/>
      <c r="C55148"/>
      <c r="E55148"/>
      <c r="F55148"/>
    </row>
    <row r="55149" spans="1:6" x14ac:dyDescent="0.25">
      <c r="A55149"/>
      <c r="B55149"/>
      <c r="C55149"/>
      <c r="E55149"/>
      <c r="F55149"/>
    </row>
    <row r="55150" spans="1:6" x14ac:dyDescent="0.25">
      <c r="A55150"/>
      <c r="B55150"/>
      <c r="C55150"/>
      <c r="E55150"/>
      <c r="F55150"/>
    </row>
    <row r="55151" spans="1:6" x14ac:dyDescent="0.25">
      <c r="A55151"/>
      <c r="B55151"/>
      <c r="C55151"/>
      <c r="E55151"/>
      <c r="F55151"/>
    </row>
    <row r="55152" spans="1:6" x14ac:dyDescent="0.25">
      <c r="A55152"/>
      <c r="B55152"/>
      <c r="C55152"/>
      <c r="E55152"/>
      <c r="F55152"/>
    </row>
    <row r="55153" spans="1:6" x14ac:dyDescent="0.25">
      <c r="A55153"/>
      <c r="B55153"/>
      <c r="C55153"/>
      <c r="E55153"/>
      <c r="F55153"/>
    </row>
    <row r="55154" spans="1:6" x14ac:dyDescent="0.25">
      <c r="A55154"/>
      <c r="B55154"/>
      <c r="C55154"/>
      <c r="E55154"/>
      <c r="F55154"/>
    </row>
    <row r="55155" spans="1:6" x14ac:dyDescent="0.25">
      <c r="A55155"/>
      <c r="B55155"/>
      <c r="C55155"/>
      <c r="E55155"/>
      <c r="F55155"/>
    </row>
    <row r="55156" spans="1:6" x14ac:dyDescent="0.25">
      <c r="A55156"/>
      <c r="B55156"/>
      <c r="C55156"/>
      <c r="E55156"/>
      <c r="F55156"/>
    </row>
    <row r="55157" spans="1:6" x14ac:dyDescent="0.25">
      <c r="A55157"/>
      <c r="B55157"/>
      <c r="C55157"/>
      <c r="E55157"/>
      <c r="F55157"/>
    </row>
    <row r="55158" spans="1:6" x14ac:dyDescent="0.25">
      <c r="A55158"/>
      <c r="B55158"/>
      <c r="C55158"/>
      <c r="E55158"/>
      <c r="F55158"/>
    </row>
    <row r="55159" spans="1:6" x14ac:dyDescent="0.25">
      <c r="A55159"/>
      <c r="B55159"/>
      <c r="C55159"/>
      <c r="E55159"/>
      <c r="F55159"/>
    </row>
    <row r="55160" spans="1:6" x14ac:dyDescent="0.25">
      <c r="A55160"/>
      <c r="B55160"/>
      <c r="C55160"/>
      <c r="E55160"/>
      <c r="F55160"/>
    </row>
    <row r="55161" spans="1:6" x14ac:dyDescent="0.25">
      <c r="A55161"/>
      <c r="B55161"/>
      <c r="C55161"/>
      <c r="E55161"/>
      <c r="F55161"/>
    </row>
    <row r="55162" spans="1:6" x14ac:dyDescent="0.25">
      <c r="A55162"/>
      <c r="B55162"/>
      <c r="C55162"/>
      <c r="E55162"/>
      <c r="F55162"/>
    </row>
    <row r="55163" spans="1:6" x14ac:dyDescent="0.25">
      <c r="A55163"/>
      <c r="B55163"/>
      <c r="C55163"/>
      <c r="E55163"/>
      <c r="F55163"/>
    </row>
    <row r="55164" spans="1:6" x14ac:dyDescent="0.25">
      <c r="A55164"/>
      <c r="B55164"/>
      <c r="C55164"/>
      <c r="E55164"/>
      <c r="F55164"/>
    </row>
    <row r="55165" spans="1:6" x14ac:dyDescent="0.25">
      <c r="A55165"/>
      <c r="B55165"/>
      <c r="C55165"/>
      <c r="E55165"/>
      <c r="F55165"/>
    </row>
    <row r="55166" spans="1:6" x14ac:dyDescent="0.25">
      <c r="A55166"/>
      <c r="B55166"/>
      <c r="C55166"/>
      <c r="E55166"/>
      <c r="F55166"/>
    </row>
    <row r="55167" spans="1:6" x14ac:dyDescent="0.25">
      <c r="A55167"/>
      <c r="B55167"/>
      <c r="C55167"/>
      <c r="E55167"/>
      <c r="F55167"/>
    </row>
    <row r="55168" spans="1:6" x14ac:dyDescent="0.25">
      <c r="A55168"/>
      <c r="B55168"/>
      <c r="C55168"/>
      <c r="E55168"/>
      <c r="F55168"/>
    </row>
    <row r="55169" spans="1:6" x14ac:dyDescent="0.25">
      <c r="A55169"/>
      <c r="B55169"/>
      <c r="C55169"/>
      <c r="E55169"/>
      <c r="F55169"/>
    </row>
    <row r="55170" spans="1:6" x14ac:dyDescent="0.25">
      <c r="A55170"/>
      <c r="B55170"/>
      <c r="C55170"/>
      <c r="E55170"/>
      <c r="F55170"/>
    </row>
    <row r="55171" spans="1:6" x14ac:dyDescent="0.25">
      <c r="A55171"/>
      <c r="B55171"/>
      <c r="C55171"/>
      <c r="E55171"/>
      <c r="F55171"/>
    </row>
    <row r="55172" spans="1:6" x14ac:dyDescent="0.25">
      <c r="A55172"/>
      <c r="B55172"/>
      <c r="C55172"/>
      <c r="E55172"/>
      <c r="F55172"/>
    </row>
    <row r="55173" spans="1:6" x14ac:dyDescent="0.25">
      <c r="A55173"/>
      <c r="B55173"/>
      <c r="C55173"/>
      <c r="E55173"/>
      <c r="F55173"/>
    </row>
    <row r="55174" spans="1:6" x14ac:dyDescent="0.25">
      <c r="A55174"/>
      <c r="B55174"/>
      <c r="C55174"/>
      <c r="E55174"/>
      <c r="F55174"/>
    </row>
    <row r="55175" spans="1:6" x14ac:dyDescent="0.25">
      <c r="A55175"/>
      <c r="B55175"/>
      <c r="C55175"/>
      <c r="E55175"/>
      <c r="F55175"/>
    </row>
    <row r="55176" spans="1:6" x14ac:dyDescent="0.25">
      <c r="A55176"/>
      <c r="B55176"/>
      <c r="C55176"/>
      <c r="E55176"/>
      <c r="F55176"/>
    </row>
    <row r="55177" spans="1:6" x14ac:dyDescent="0.25">
      <c r="A55177"/>
      <c r="B55177"/>
      <c r="C55177"/>
      <c r="E55177"/>
      <c r="F55177"/>
    </row>
    <row r="55178" spans="1:6" x14ac:dyDescent="0.25">
      <c r="A55178"/>
      <c r="B55178"/>
      <c r="C55178"/>
      <c r="E55178"/>
      <c r="F55178"/>
    </row>
    <row r="55179" spans="1:6" x14ac:dyDescent="0.25">
      <c r="A55179"/>
      <c r="B55179"/>
      <c r="C55179"/>
      <c r="E55179"/>
      <c r="F55179"/>
    </row>
    <row r="55180" spans="1:6" x14ac:dyDescent="0.25">
      <c r="A55180"/>
      <c r="B55180"/>
      <c r="C55180"/>
      <c r="E55180"/>
      <c r="F55180"/>
    </row>
    <row r="55181" spans="1:6" x14ac:dyDescent="0.25">
      <c r="A55181"/>
      <c r="B55181"/>
      <c r="C55181"/>
      <c r="E55181"/>
      <c r="F55181"/>
    </row>
    <row r="55182" spans="1:6" x14ac:dyDescent="0.25">
      <c r="A55182"/>
      <c r="B55182"/>
      <c r="C55182"/>
      <c r="E55182"/>
      <c r="F55182"/>
    </row>
    <row r="55183" spans="1:6" x14ac:dyDescent="0.25">
      <c r="A55183"/>
      <c r="B55183"/>
      <c r="C55183"/>
      <c r="E55183"/>
      <c r="F55183"/>
    </row>
    <row r="55184" spans="1:6" x14ac:dyDescent="0.25">
      <c r="A55184"/>
      <c r="B55184"/>
      <c r="C55184"/>
      <c r="E55184"/>
      <c r="F55184"/>
    </row>
    <row r="55185" spans="1:6" x14ac:dyDescent="0.25">
      <c r="A55185"/>
      <c r="B55185"/>
      <c r="C55185"/>
      <c r="E55185"/>
      <c r="F55185"/>
    </row>
    <row r="55186" spans="1:6" x14ac:dyDescent="0.25">
      <c r="A55186"/>
      <c r="B55186"/>
      <c r="C55186"/>
      <c r="E55186"/>
      <c r="F55186"/>
    </row>
    <row r="55187" spans="1:6" x14ac:dyDescent="0.25">
      <c r="A55187"/>
      <c r="B55187"/>
      <c r="C55187"/>
      <c r="E55187"/>
      <c r="F55187"/>
    </row>
    <row r="55188" spans="1:6" x14ac:dyDescent="0.25">
      <c r="A55188"/>
      <c r="B55188"/>
      <c r="C55188"/>
      <c r="E55188"/>
      <c r="F55188"/>
    </row>
    <row r="55189" spans="1:6" x14ac:dyDescent="0.25">
      <c r="A55189"/>
      <c r="B55189"/>
      <c r="C55189"/>
      <c r="E55189"/>
      <c r="F55189"/>
    </row>
    <row r="55190" spans="1:6" x14ac:dyDescent="0.25">
      <c r="A55190"/>
      <c r="B55190"/>
      <c r="C55190"/>
      <c r="E55190"/>
      <c r="F55190"/>
    </row>
    <row r="55191" spans="1:6" x14ac:dyDescent="0.25">
      <c r="A55191"/>
      <c r="B55191"/>
      <c r="C55191"/>
      <c r="E55191"/>
      <c r="F55191"/>
    </row>
    <row r="55192" spans="1:6" x14ac:dyDescent="0.25">
      <c r="A55192"/>
      <c r="B55192"/>
      <c r="C55192"/>
      <c r="E55192"/>
      <c r="F55192"/>
    </row>
    <row r="55193" spans="1:6" x14ac:dyDescent="0.25">
      <c r="A55193"/>
      <c r="B55193"/>
      <c r="C55193"/>
      <c r="E55193"/>
      <c r="F55193"/>
    </row>
    <row r="55194" spans="1:6" x14ac:dyDescent="0.25">
      <c r="A55194"/>
      <c r="B55194"/>
      <c r="C55194"/>
      <c r="E55194"/>
      <c r="F55194"/>
    </row>
    <row r="55195" spans="1:6" x14ac:dyDescent="0.25">
      <c r="A55195"/>
      <c r="B55195"/>
      <c r="C55195"/>
      <c r="E55195"/>
      <c r="F55195"/>
    </row>
    <row r="55196" spans="1:6" x14ac:dyDescent="0.25">
      <c r="A55196"/>
      <c r="B55196"/>
      <c r="C55196"/>
      <c r="E55196"/>
      <c r="F55196"/>
    </row>
    <row r="55197" spans="1:6" x14ac:dyDescent="0.25">
      <c r="A55197"/>
      <c r="B55197"/>
      <c r="C55197"/>
      <c r="E55197"/>
      <c r="F55197"/>
    </row>
    <row r="55198" spans="1:6" x14ac:dyDescent="0.25">
      <c r="A55198"/>
      <c r="B55198"/>
      <c r="C55198"/>
      <c r="E55198"/>
      <c r="F55198"/>
    </row>
    <row r="55199" spans="1:6" x14ac:dyDescent="0.25">
      <c r="A55199"/>
      <c r="B55199"/>
      <c r="C55199"/>
      <c r="E55199"/>
      <c r="F55199"/>
    </row>
    <row r="55200" spans="1:6" x14ac:dyDescent="0.25">
      <c r="A55200"/>
      <c r="B55200"/>
      <c r="C55200"/>
      <c r="E55200"/>
      <c r="F55200"/>
    </row>
    <row r="55201" spans="1:6" x14ac:dyDescent="0.25">
      <c r="A55201"/>
      <c r="B55201"/>
      <c r="C55201"/>
      <c r="E55201"/>
      <c r="F55201"/>
    </row>
    <row r="55202" spans="1:6" x14ac:dyDescent="0.25">
      <c r="A55202"/>
      <c r="B55202"/>
      <c r="C55202"/>
      <c r="E55202"/>
      <c r="F55202"/>
    </row>
    <row r="55203" spans="1:6" x14ac:dyDescent="0.25">
      <c r="A55203"/>
      <c r="B55203"/>
      <c r="C55203"/>
      <c r="E55203"/>
      <c r="F55203"/>
    </row>
    <row r="55204" spans="1:6" x14ac:dyDescent="0.25">
      <c r="A55204"/>
      <c r="B55204"/>
      <c r="C55204"/>
      <c r="E55204"/>
      <c r="F55204"/>
    </row>
    <row r="55205" spans="1:6" x14ac:dyDescent="0.25">
      <c r="A55205"/>
      <c r="B55205"/>
      <c r="C55205"/>
      <c r="E55205"/>
      <c r="F55205"/>
    </row>
    <row r="55206" spans="1:6" x14ac:dyDescent="0.25">
      <c r="A55206"/>
      <c r="B55206"/>
      <c r="C55206"/>
      <c r="E55206"/>
      <c r="F55206"/>
    </row>
    <row r="55207" spans="1:6" x14ac:dyDescent="0.25">
      <c r="A55207"/>
      <c r="B55207"/>
      <c r="C55207"/>
      <c r="E55207"/>
      <c r="F55207"/>
    </row>
    <row r="55208" spans="1:6" x14ac:dyDescent="0.25">
      <c r="A55208"/>
      <c r="B55208"/>
      <c r="C55208"/>
      <c r="E55208"/>
      <c r="F55208"/>
    </row>
    <row r="55209" spans="1:6" x14ac:dyDescent="0.25">
      <c r="A55209"/>
      <c r="B55209"/>
      <c r="C55209"/>
      <c r="E55209"/>
      <c r="F55209"/>
    </row>
    <row r="55210" spans="1:6" x14ac:dyDescent="0.25">
      <c r="A55210"/>
      <c r="B55210"/>
      <c r="C55210"/>
      <c r="E55210"/>
      <c r="F55210"/>
    </row>
    <row r="55211" spans="1:6" x14ac:dyDescent="0.25">
      <c r="A55211"/>
      <c r="B55211"/>
      <c r="C55211"/>
      <c r="E55211"/>
      <c r="F55211"/>
    </row>
    <row r="55212" spans="1:6" x14ac:dyDescent="0.25">
      <c r="A55212"/>
      <c r="B55212"/>
      <c r="C55212"/>
      <c r="E55212"/>
      <c r="F55212"/>
    </row>
    <row r="55213" spans="1:6" x14ac:dyDescent="0.25">
      <c r="A55213"/>
      <c r="B55213"/>
      <c r="C55213"/>
      <c r="E55213"/>
      <c r="F55213"/>
    </row>
    <row r="55214" spans="1:6" x14ac:dyDescent="0.25">
      <c r="A55214"/>
      <c r="B55214"/>
      <c r="C55214"/>
      <c r="E55214"/>
      <c r="F55214"/>
    </row>
    <row r="55215" spans="1:6" x14ac:dyDescent="0.25">
      <c r="A55215"/>
      <c r="B55215"/>
      <c r="C55215"/>
      <c r="E55215"/>
      <c r="F55215"/>
    </row>
    <row r="55216" spans="1:6" x14ac:dyDescent="0.25">
      <c r="A55216"/>
      <c r="B55216"/>
      <c r="C55216"/>
      <c r="E55216"/>
      <c r="F55216"/>
    </row>
    <row r="55217" spans="1:6" x14ac:dyDescent="0.25">
      <c r="A55217"/>
      <c r="B55217"/>
      <c r="C55217"/>
      <c r="E55217"/>
      <c r="F55217"/>
    </row>
    <row r="55218" spans="1:6" x14ac:dyDescent="0.25">
      <c r="A55218"/>
      <c r="B55218"/>
      <c r="C55218"/>
      <c r="E55218"/>
      <c r="F55218"/>
    </row>
    <row r="55219" spans="1:6" x14ac:dyDescent="0.25">
      <c r="A55219"/>
      <c r="B55219"/>
      <c r="C55219"/>
      <c r="E55219"/>
      <c r="F55219"/>
    </row>
    <row r="55220" spans="1:6" x14ac:dyDescent="0.25">
      <c r="A55220"/>
      <c r="B55220"/>
      <c r="C55220"/>
      <c r="E55220"/>
      <c r="F55220"/>
    </row>
    <row r="55221" spans="1:6" x14ac:dyDescent="0.25">
      <c r="A55221"/>
      <c r="B55221"/>
      <c r="C55221"/>
      <c r="E55221"/>
      <c r="F55221"/>
    </row>
    <row r="55222" spans="1:6" x14ac:dyDescent="0.25">
      <c r="A55222"/>
      <c r="B55222"/>
      <c r="C55222"/>
      <c r="E55222"/>
      <c r="F55222"/>
    </row>
    <row r="55223" spans="1:6" x14ac:dyDescent="0.25">
      <c r="A55223"/>
      <c r="B55223"/>
      <c r="C55223"/>
      <c r="E55223"/>
      <c r="F55223"/>
    </row>
    <row r="55224" spans="1:6" x14ac:dyDescent="0.25">
      <c r="A55224"/>
      <c r="B55224"/>
      <c r="C55224"/>
      <c r="E55224"/>
      <c r="F55224"/>
    </row>
    <row r="55225" spans="1:6" x14ac:dyDescent="0.25">
      <c r="A55225"/>
      <c r="B55225"/>
      <c r="C55225"/>
      <c r="E55225"/>
      <c r="F55225"/>
    </row>
    <row r="55226" spans="1:6" x14ac:dyDescent="0.25">
      <c r="A55226"/>
      <c r="B55226"/>
      <c r="C55226"/>
      <c r="E55226"/>
      <c r="F55226"/>
    </row>
    <row r="55227" spans="1:6" x14ac:dyDescent="0.25">
      <c r="A55227"/>
      <c r="B55227"/>
      <c r="C55227"/>
      <c r="E55227"/>
      <c r="F55227"/>
    </row>
    <row r="55228" spans="1:6" x14ac:dyDescent="0.25">
      <c r="A55228"/>
      <c r="B55228"/>
      <c r="C55228"/>
      <c r="E55228"/>
      <c r="F55228"/>
    </row>
    <row r="55229" spans="1:6" x14ac:dyDescent="0.25">
      <c r="A55229"/>
      <c r="B55229"/>
      <c r="C55229"/>
      <c r="E55229"/>
      <c r="F55229"/>
    </row>
    <row r="55230" spans="1:6" x14ac:dyDescent="0.25">
      <c r="A55230"/>
      <c r="B55230"/>
      <c r="C55230"/>
      <c r="E55230"/>
      <c r="F55230"/>
    </row>
    <row r="55231" spans="1:6" x14ac:dyDescent="0.25">
      <c r="A55231"/>
      <c r="B55231"/>
      <c r="C55231"/>
      <c r="E55231"/>
      <c r="F55231"/>
    </row>
    <row r="55232" spans="1:6" x14ac:dyDescent="0.25">
      <c r="A55232"/>
      <c r="B55232"/>
      <c r="C55232"/>
      <c r="E55232"/>
      <c r="F55232"/>
    </row>
    <row r="55233" spans="1:6" x14ac:dyDescent="0.25">
      <c r="A55233"/>
      <c r="B55233"/>
      <c r="C55233"/>
      <c r="E55233"/>
      <c r="F55233"/>
    </row>
    <row r="55234" spans="1:6" x14ac:dyDescent="0.25">
      <c r="A55234"/>
      <c r="B55234"/>
      <c r="C55234"/>
      <c r="E55234"/>
      <c r="F55234"/>
    </row>
    <row r="55235" spans="1:6" x14ac:dyDescent="0.25">
      <c r="A55235"/>
      <c r="B55235"/>
      <c r="C55235"/>
      <c r="E55235"/>
      <c r="F55235"/>
    </row>
    <row r="55236" spans="1:6" x14ac:dyDescent="0.25">
      <c r="A55236"/>
      <c r="B55236"/>
      <c r="C55236"/>
      <c r="E55236"/>
      <c r="F55236"/>
    </row>
    <row r="55237" spans="1:6" x14ac:dyDescent="0.25">
      <c r="A55237"/>
      <c r="B55237"/>
      <c r="C55237"/>
      <c r="E55237"/>
      <c r="F55237"/>
    </row>
    <row r="55238" spans="1:6" x14ac:dyDescent="0.25">
      <c r="A55238"/>
      <c r="B55238"/>
      <c r="C55238"/>
      <c r="E55238"/>
      <c r="F55238"/>
    </row>
    <row r="55239" spans="1:6" x14ac:dyDescent="0.25">
      <c r="A55239"/>
      <c r="B55239"/>
      <c r="C55239"/>
      <c r="E55239"/>
      <c r="F55239"/>
    </row>
    <row r="55240" spans="1:6" x14ac:dyDescent="0.25">
      <c r="A55240"/>
      <c r="B55240"/>
      <c r="C55240"/>
      <c r="E55240"/>
      <c r="F55240"/>
    </row>
    <row r="55241" spans="1:6" x14ac:dyDescent="0.25">
      <c r="A55241"/>
      <c r="B55241"/>
      <c r="C55241"/>
      <c r="E55241"/>
      <c r="F55241"/>
    </row>
    <row r="55242" spans="1:6" x14ac:dyDescent="0.25">
      <c r="A55242"/>
      <c r="B55242"/>
      <c r="C55242"/>
      <c r="E55242"/>
      <c r="F55242"/>
    </row>
    <row r="55243" spans="1:6" x14ac:dyDescent="0.25">
      <c r="A55243"/>
      <c r="B55243"/>
      <c r="C55243"/>
      <c r="E55243"/>
      <c r="F55243"/>
    </row>
    <row r="55244" spans="1:6" x14ac:dyDescent="0.25">
      <c r="A55244"/>
      <c r="B55244"/>
      <c r="C55244"/>
      <c r="E55244"/>
      <c r="F55244"/>
    </row>
    <row r="55245" spans="1:6" x14ac:dyDescent="0.25">
      <c r="A55245"/>
      <c r="B55245"/>
      <c r="C55245"/>
      <c r="E55245"/>
      <c r="F55245"/>
    </row>
    <row r="55246" spans="1:6" x14ac:dyDescent="0.25">
      <c r="A55246"/>
      <c r="B55246"/>
      <c r="C55246"/>
      <c r="E55246"/>
      <c r="F55246"/>
    </row>
    <row r="55247" spans="1:6" x14ac:dyDescent="0.25">
      <c r="A55247"/>
      <c r="B55247"/>
      <c r="C55247"/>
      <c r="E55247"/>
      <c r="F55247"/>
    </row>
    <row r="55248" spans="1:6" x14ac:dyDescent="0.25">
      <c r="A55248"/>
      <c r="B55248"/>
      <c r="C55248"/>
      <c r="E55248"/>
      <c r="F55248"/>
    </row>
    <row r="55249" spans="1:6" x14ac:dyDescent="0.25">
      <c r="A55249"/>
      <c r="B55249"/>
      <c r="C55249"/>
      <c r="E55249"/>
      <c r="F55249"/>
    </row>
    <row r="55250" spans="1:6" x14ac:dyDescent="0.25">
      <c r="A55250"/>
      <c r="B55250"/>
      <c r="C55250"/>
      <c r="E55250"/>
      <c r="F55250"/>
    </row>
    <row r="55251" spans="1:6" x14ac:dyDescent="0.25">
      <c r="A55251"/>
      <c r="B55251"/>
      <c r="C55251"/>
      <c r="E55251"/>
      <c r="F55251"/>
    </row>
    <row r="55252" spans="1:6" x14ac:dyDescent="0.25">
      <c r="A55252"/>
      <c r="B55252"/>
      <c r="C55252"/>
      <c r="E55252"/>
      <c r="F55252"/>
    </row>
    <row r="55253" spans="1:6" x14ac:dyDescent="0.25">
      <c r="A55253"/>
      <c r="B55253"/>
      <c r="C55253"/>
      <c r="E55253"/>
      <c r="F55253"/>
    </row>
    <row r="55254" spans="1:6" x14ac:dyDescent="0.25">
      <c r="A55254"/>
      <c r="B55254"/>
      <c r="C55254"/>
      <c r="E55254"/>
      <c r="F55254"/>
    </row>
    <row r="55255" spans="1:6" x14ac:dyDescent="0.25">
      <c r="A55255"/>
      <c r="B55255"/>
      <c r="C55255"/>
      <c r="E55255"/>
      <c r="F55255"/>
    </row>
    <row r="55256" spans="1:6" x14ac:dyDescent="0.25">
      <c r="A55256"/>
      <c r="B55256"/>
      <c r="C55256"/>
      <c r="E55256"/>
      <c r="F55256"/>
    </row>
    <row r="55257" spans="1:6" x14ac:dyDescent="0.25">
      <c r="A55257"/>
      <c r="B55257"/>
      <c r="C55257"/>
      <c r="E55257"/>
      <c r="F55257"/>
    </row>
    <row r="55258" spans="1:6" x14ac:dyDescent="0.25">
      <c r="A55258"/>
      <c r="B55258"/>
      <c r="C55258"/>
      <c r="E55258"/>
      <c r="F55258"/>
    </row>
    <row r="55259" spans="1:6" x14ac:dyDescent="0.25">
      <c r="A55259"/>
      <c r="B55259"/>
      <c r="C55259"/>
      <c r="E55259"/>
      <c r="F55259"/>
    </row>
    <row r="55260" spans="1:6" x14ac:dyDescent="0.25">
      <c r="A55260"/>
      <c r="B55260"/>
      <c r="C55260"/>
      <c r="E55260"/>
      <c r="F55260"/>
    </row>
    <row r="55261" spans="1:6" x14ac:dyDescent="0.25">
      <c r="A55261"/>
      <c r="B55261"/>
      <c r="C55261"/>
      <c r="E55261"/>
      <c r="F55261"/>
    </row>
    <row r="55262" spans="1:6" x14ac:dyDescent="0.25">
      <c r="A55262"/>
      <c r="B55262"/>
      <c r="C55262"/>
      <c r="E55262"/>
      <c r="F55262"/>
    </row>
    <row r="55263" spans="1:6" x14ac:dyDescent="0.25">
      <c r="A55263"/>
      <c r="B55263"/>
      <c r="C55263"/>
      <c r="E55263"/>
      <c r="F55263"/>
    </row>
    <row r="55264" spans="1:6" x14ac:dyDescent="0.25">
      <c r="A55264"/>
      <c r="B55264"/>
      <c r="C55264"/>
      <c r="E55264"/>
      <c r="F55264"/>
    </row>
    <row r="55265" spans="1:6" x14ac:dyDescent="0.25">
      <c r="A55265"/>
      <c r="B55265"/>
      <c r="C55265"/>
      <c r="E55265"/>
      <c r="F55265"/>
    </row>
    <row r="55266" spans="1:6" x14ac:dyDescent="0.25">
      <c r="A55266"/>
      <c r="B55266"/>
      <c r="C55266"/>
      <c r="E55266"/>
      <c r="F55266"/>
    </row>
    <row r="55267" spans="1:6" x14ac:dyDescent="0.25">
      <c r="A55267"/>
      <c r="B55267"/>
      <c r="C55267"/>
      <c r="E55267"/>
      <c r="F55267"/>
    </row>
    <row r="55268" spans="1:6" x14ac:dyDescent="0.25">
      <c r="A55268"/>
      <c r="B55268"/>
      <c r="C55268"/>
      <c r="E55268"/>
      <c r="F55268"/>
    </row>
    <row r="55269" spans="1:6" x14ac:dyDescent="0.25">
      <c r="A55269"/>
      <c r="B55269"/>
      <c r="C55269"/>
      <c r="E55269"/>
      <c r="F55269"/>
    </row>
    <row r="55270" spans="1:6" x14ac:dyDescent="0.25">
      <c r="A55270"/>
      <c r="B55270"/>
      <c r="C55270"/>
      <c r="E55270"/>
      <c r="F55270"/>
    </row>
    <row r="55271" spans="1:6" x14ac:dyDescent="0.25">
      <c r="A55271"/>
      <c r="B55271"/>
      <c r="C55271"/>
      <c r="E55271"/>
      <c r="F55271"/>
    </row>
    <row r="55272" spans="1:6" x14ac:dyDescent="0.25">
      <c r="A55272"/>
      <c r="B55272"/>
      <c r="C55272"/>
      <c r="E55272"/>
      <c r="F55272"/>
    </row>
    <row r="55273" spans="1:6" x14ac:dyDescent="0.25">
      <c r="A55273"/>
      <c r="B55273"/>
      <c r="C55273"/>
      <c r="E55273"/>
      <c r="F55273"/>
    </row>
    <row r="55274" spans="1:6" x14ac:dyDescent="0.25">
      <c r="A55274"/>
      <c r="B55274"/>
      <c r="C55274"/>
      <c r="E55274"/>
      <c r="F55274"/>
    </row>
    <row r="55275" spans="1:6" x14ac:dyDescent="0.25">
      <c r="A55275"/>
      <c r="B55275"/>
      <c r="C55275"/>
      <c r="E55275"/>
      <c r="F55275"/>
    </row>
    <row r="55276" spans="1:6" x14ac:dyDescent="0.25">
      <c r="A55276"/>
      <c r="B55276"/>
      <c r="C55276"/>
      <c r="E55276"/>
      <c r="F55276"/>
    </row>
    <row r="55277" spans="1:6" x14ac:dyDescent="0.25">
      <c r="A55277"/>
      <c r="B55277"/>
      <c r="C55277"/>
      <c r="E55277"/>
      <c r="F55277"/>
    </row>
    <row r="55278" spans="1:6" x14ac:dyDescent="0.25">
      <c r="A55278"/>
      <c r="B55278"/>
      <c r="C55278"/>
      <c r="E55278"/>
      <c r="F55278"/>
    </row>
    <row r="55279" spans="1:6" x14ac:dyDescent="0.25">
      <c r="A55279"/>
      <c r="B55279"/>
      <c r="C55279"/>
      <c r="E55279"/>
      <c r="F55279"/>
    </row>
    <row r="55280" spans="1:6" x14ac:dyDescent="0.25">
      <c r="A55280"/>
      <c r="B55280"/>
      <c r="C55280"/>
      <c r="E55280"/>
      <c r="F55280"/>
    </row>
    <row r="55281" spans="1:6" x14ac:dyDescent="0.25">
      <c r="A55281"/>
      <c r="B55281"/>
      <c r="C55281"/>
      <c r="E55281"/>
      <c r="F55281"/>
    </row>
    <row r="55282" spans="1:6" x14ac:dyDescent="0.25">
      <c r="A55282"/>
      <c r="B55282"/>
      <c r="C55282"/>
      <c r="E55282"/>
      <c r="F55282"/>
    </row>
    <row r="55283" spans="1:6" x14ac:dyDescent="0.25">
      <c r="A55283"/>
      <c r="B55283"/>
      <c r="C55283"/>
      <c r="E55283"/>
      <c r="F55283"/>
    </row>
    <row r="55284" spans="1:6" x14ac:dyDescent="0.25">
      <c r="A55284"/>
      <c r="B55284"/>
      <c r="C55284"/>
      <c r="E55284"/>
      <c r="F55284"/>
    </row>
    <row r="55285" spans="1:6" x14ac:dyDescent="0.25">
      <c r="A55285"/>
      <c r="B55285"/>
      <c r="C55285"/>
      <c r="E55285"/>
      <c r="F55285"/>
    </row>
    <row r="55286" spans="1:6" x14ac:dyDescent="0.25">
      <c r="A55286"/>
      <c r="B55286"/>
      <c r="C55286"/>
      <c r="E55286"/>
      <c r="F55286"/>
    </row>
    <row r="55287" spans="1:6" x14ac:dyDescent="0.25">
      <c r="A55287"/>
      <c r="B55287"/>
      <c r="C55287"/>
      <c r="E55287"/>
      <c r="F55287"/>
    </row>
    <row r="55288" spans="1:6" x14ac:dyDescent="0.25">
      <c r="A55288"/>
      <c r="B55288"/>
      <c r="C55288"/>
      <c r="E55288"/>
      <c r="F55288"/>
    </row>
    <row r="55289" spans="1:6" x14ac:dyDescent="0.25">
      <c r="A55289"/>
      <c r="B55289"/>
      <c r="C55289"/>
      <c r="E55289"/>
      <c r="F55289"/>
    </row>
    <row r="55290" spans="1:6" x14ac:dyDescent="0.25">
      <c r="A55290"/>
      <c r="B55290"/>
      <c r="C55290"/>
      <c r="E55290"/>
      <c r="F55290"/>
    </row>
    <row r="55291" spans="1:6" x14ac:dyDescent="0.25">
      <c r="A55291"/>
      <c r="B55291"/>
      <c r="C55291"/>
      <c r="E55291"/>
      <c r="F55291"/>
    </row>
    <row r="55292" spans="1:6" x14ac:dyDescent="0.25">
      <c r="A55292"/>
      <c r="B55292"/>
      <c r="C55292"/>
      <c r="E55292"/>
      <c r="F55292"/>
    </row>
    <row r="55293" spans="1:6" x14ac:dyDescent="0.25">
      <c r="A55293"/>
      <c r="B55293"/>
      <c r="C55293"/>
      <c r="E55293"/>
      <c r="F55293"/>
    </row>
    <row r="55294" spans="1:6" x14ac:dyDescent="0.25">
      <c r="A55294"/>
      <c r="B55294"/>
      <c r="C55294"/>
      <c r="E55294"/>
      <c r="F55294"/>
    </row>
    <row r="55295" spans="1:6" x14ac:dyDescent="0.25">
      <c r="A55295"/>
      <c r="B55295"/>
      <c r="C55295"/>
      <c r="E55295"/>
      <c r="F55295"/>
    </row>
    <row r="55296" spans="1:6" x14ac:dyDescent="0.25">
      <c r="A55296"/>
      <c r="B55296"/>
      <c r="C55296"/>
      <c r="E55296"/>
      <c r="F55296"/>
    </row>
    <row r="55297" spans="1:6" x14ac:dyDescent="0.25">
      <c r="A55297"/>
      <c r="B55297"/>
      <c r="C55297"/>
      <c r="E55297"/>
      <c r="F55297"/>
    </row>
    <row r="55298" spans="1:6" x14ac:dyDescent="0.25">
      <c r="A55298"/>
      <c r="B55298"/>
      <c r="C55298"/>
      <c r="E55298"/>
      <c r="F55298"/>
    </row>
    <row r="55299" spans="1:6" x14ac:dyDescent="0.25">
      <c r="A55299"/>
      <c r="B55299"/>
      <c r="C55299"/>
      <c r="E55299"/>
      <c r="F55299"/>
    </row>
    <row r="55300" spans="1:6" x14ac:dyDescent="0.25">
      <c r="A55300"/>
      <c r="B55300"/>
      <c r="C55300"/>
      <c r="E55300"/>
      <c r="F55300"/>
    </row>
    <row r="55301" spans="1:6" x14ac:dyDescent="0.25">
      <c r="A55301"/>
      <c r="B55301"/>
      <c r="C55301"/>
      <c r="E55301"/>
      <c r="F55301"/>
    </row>
    <row r="55302" spans="1:6" x14ac:dyDescent="0.25">
      <c r="A55302"/>
      <c r="B55302"/>
      <c r="C55302"/>
      <c r="E55302"/>
      <c r="F55302"/>
    </row>
    <row r="55303" spans="1:6" x14ac:dyDescent="0.25">
      <c r="A55303"/>
      <c r="B55303"/>
      <c r="C55303"/>
      <c r="E55303"/>
      <c r="F55303"/>
    </row>
    <row r="55304" spans="1:6" x14ac:dyDescent="0.25">
      <c r="A55304"/>
      <c r="B55304"/>
      <c r="C55304"/>
      <c r="E55304"/>
      <c r="F55304"/>
    </row>
    <row r="55305" spans="1:6" x14ac:dyDescent="0.25">
      <c r="A55305"/>
      <c r="B55305"/>
      <c r="C55305"/>
      <c r="E55305"/>
      <c r="F55305"/>
    </row>
    <row r="55306" spans="1:6" x14ac:dyDescent="0.25">
      <c r="A55306"/>
      <c r="B55306"/>
      <c r="C55306"/>
      <c r="E55306"/>
      <c r="F55306"/>
    </row>
    <row r="55307" spans="1:6" x14ac:dyDescent="0.25">
      <c r="A55307"/>
      <c r="B55307"/>
      <c r="C55307"/>
      <c r="E55307"/>
      <c r="F55307"/>
    </row>
    <row r="55308" spans="1:6" x14ac:dyDescent="0.25">
      <c r="A55308"/>
      <c r="B55308"/>
      <c r="C55308"/>
      <c r="E55308"/>
      <c r="F55308"/>
    </row>
    <row r="55309" spans="1:6" x14ac:dyDescent="0.25">
      <c r="A55309"/>
      <c r="B55309"/>
      <c r="C55309"/>
      <c r="E55309"/>
      <c r="F55309"/>
    </row>
    <row r="55310" spans="1:6" x14ac:dyDescent="0.25">
      <c r="A55310"/>
      <c r="B55310"/>
      <c r="C55310"/>
      <c r="E55310"/>
      <c r="F55310"/>
    </row>
    <row r="55311" spans="1:6" x14ac:dyDescent="0.25">
      <c r="A55311"/>
      <c r="B55311"/>
      <c r="C55311"/>
      <c r="E55311"/>
      <c r="F55311"/>
    </row>
    <row r="55312" spans="1:6" x14ac:dyDescent="0.25">
      <c r="A55312"/>
      <c r="B55312"/>
      <c r="C55312"/>
      <c r="E55312"/>
      <c r="F55312"/>
    </row>
    <row r="55313" spans="1:6" x14ac:dyDescent="0.25">
      <c r="A55313"/>
      <c r="B55313"/>
      <c r="C55313"/>
      <c r="E55313"/>
      <c r="F55313"/>
    </row>
    <row r="55314" spans="1:6" x14ac:dyDescent="0.25">
      <c r="A55314"/>
      <c r="B55314"/>
      <c r="C55314"/>
      <c r="E55314"/>
      <c r="F55314"/>
    </row>
    <row r="55315" spans="1:6" x14ac:dyDescent="0.25">
      <c r="A55315"/>
      <c r="B55315"/>
      <c r="C55315"/>
      <c r="E55315"/>
      <c r="F55315"/>
    </row>
    <row r="55316" spans="1:6" x14ac:dyDescent="0.25">
      <c r="A55316"/>
      <c r="B55316"/>
      <c r="C55316"/>
      <c r="E55316"/>
      <c r="F55316"/>
    </row>
    <row r="55317" spans="1:6" x14ac:dyDescent="0.25">
      <c r="A55317"/>
      <c r="B55317"/>
      <c r="C55317"/>
      <c r="E55317"/>
      <c r="F55317"/>
    </row>
    <row r="55318" spans="1:6" x14ac:dyDescent="0.25">
      <c r="A55318"/>
      <c r="B55318"/>
      <c r="C55318"/>
      <c r="E55318"/>
      <c r="F55318"/>
    </row>
    <row r="55319" spans="1:6" x14ac:dyDescent="0.25">
      <c r="A55319"/>
      <c r="B55319"/>
      <c r="C55319"/>
      <c r="E55319"/>
      <c r="F55319"/>
    </row>
    <row r="55320" spans="1:6" x14ac:dyDescent="0.25">
      <c r="A55320"/>
      <c r="B55320"/>
      <c r="C55320"/>
      <c r="E55320"/>
      <c r="F55320"/>
    </row>
    <row r="55321" spans="1:6" x14ac:dyDescent="0.25">
      <c r="A55321"/>
      <c r="B55321"/>
      <c r="C55321"/>
      <c r="E55321"/>
      <c r="F55321"/>
    </row>
    <row r="55322" spans="1:6" x14ac:dyDescent="0.25">
      <c r="A55322"/>
      <c r="B55322"/>
      <c r="C55322"/>
      <c r="E55322"/>
      <c r="F55322"/>
    </row>
    <row r="55323" spans="1:6" x14ac:dyDescent="0.25">
      <c r="A55323"/>
      <c r="B55323"/>
      <c r="C55323"/>
      <c r="E55323"/>
      <c r="F55323"/>
    </row>
    <row r="55324" spans="1:6" x14ac:dyDescent="0.25">
      <c r="A55324"/>
      <c r="B55324"/>
      <c r="C55324"/>
      <c r="E55324"/>
      <c r="F55324"/>
    </row>
    <row r="55325" spans="1:6" x14ac:dyDescent="0.25">
      <c r="A55325"/>
      <c r="B55325"/>
      <c r="C55325"/>
      <c r="E55325"/>
      <c r="F55325"/>
    </row>
    <row r="55326" spans="1:6" x14ac:dyDescent="0.25">
      <c r="A55326"/>
      <c r="B55326"/>
      <c r="C55326"/>
      <c r="E55326"/>
      <c r="F55326"/>
    </row>
    <row r="55327" spans="1:6" x14ac:dyDescent="0.25">
      <c r="A55327"/>
      <c r="B55327"/>
      <c r="C55327"/>
      <c r="E55327"/>
      <c r="F55327"/>
    </row>
    <row r="55328" spans="1:6" x14ac:dyDescent="0.25">
      <c r="A55328"/>
      <c r="B55328"/>
      <c r="C55328"/>
      <c r="E55328"/>
      <c r="F55328"/>
    </row>
    <row r="55329" spans="1:6" x14ac:dyDescent="0.25">
      <c r="A55329"/>
      <c r="B55329"/>
      <c r="C55329"/>
      <c r="E55329"/>
      <c r="F55329"/>
    </row>
    <row r="55330" spans="1:6" x14ac:dyDescent="0.25">
      <c r="A55330"/>
      <c r="B55330"/>
      <c r="C55330"/>
      <c r="E55330"/>
      <c r="F55330"/>
    </row>
    <row r="55331" spans="1:6" x14ac:dyDescent="0.25">
      <c r="A55331"/>
      <c r="B55331"/>
      <c r="C55331"/>
      <c r="E55331"/>
      <c r="F55331"/>
    </row>
    <row r="55332" spans="1:6" x14ac:dyDescent="0.25">
      <c r="A55332"/>
      <c r="B55332"/>
      <c r="C55332"/>
      <c r="E55332"/>
      <c r="F55332"/>
    </row>
    <row r="55333" spans="1:6" x14ac:dyDescent="0.25">
      <c r="A55333"/>
      <c r="B55333"/>
      <c r="C55333"/>
      <c r="E55333"/>
      <c r="F55333"/>
    </row>
    <row r="55334" spans="1:6" x14ac:dyDescent="0.25">
      <c r="A55334"/>
      <c r="B55334"/>
      <c r="C55334"/>
      <c r="E55334"/>
      <c r="F55334"/>
    </row>
    <row r="55335" spans="1:6" x14ac:dyDescent="0.25">
      <c r="A55335"/>
      <c r="B55335"/>
      <c r="C55335"/>
      <c r="E55335"/>
      <c r="F55335"/>
    </row>
    <row r="55336" spans="1:6" x14ac:dyDescent="0.25">
      <c r="A55336"/>
      <c r="B55336"/>
      <c r="C55336"/>
      <c r="E55336"/>
      <c r="F55336"/>
    </row>
    <row r="55337" spans="1:6" x14ac:dyDescent="0.25">
      <c r="A55337"/>
      <c r="B55337"/>
      <c r="C55337"/>
      <c r="E55337"/>
      <c r="F55337"/>
    </row>
    <row r="55338" spans="1:6" x14ac:dyDescent="0.25">
      <c r="A55338"/>
      <c r="B55338"/>
      <c r="C55338"/>
      <c r="E55338"/>
      <c r="F55338"/>
    </row>
    <row r="55339" spans="1:6" x14ac:dyDescent="0.25">
      <c r="A55339"/>
      <c r="B55339"/>
      <c r="C55339"/>
      <c r="E55339"/>
      <c r="F55339"/>
    </row>
    <row r="55340" spans="1:6" x14ac:dyDescent="0.25">
      <c r="A55340"/>
      <c r="B55340"/>
      <c r="C55340"/>
      <c r="E55340"/>
      <c r="F55340"/>
    </row>
    <row r="55341" spans="1:6" x14ac:dyDescent="0.25">
      <c r="A55341"/>
      <c r="B55341"/>
      <c r="C55341"/>
      <c r="E55341"/>
      <c r="F55341"/>
    </row>
    <row r="55342" spans="1:6" x14ac:dyDescent="0.25">
      <c r="A55342"/>
      <c r="B55342"/>
      <c r="C55342"/>
      <c r="E55342"/>
      <c r="F55342"/>
    </row>
    <row r="55343" spans="1:6" x14ac:dyDescent="0.25">
      <c r="A55343"/>
      <c r="B55343"/>
      <c r="C55343"/>
      <c r="E55343"/>
      <c r="F55343"/>
    </row>
    <row r="55344" spans="1:6" x14ac:dyDescent="0.25">
      <c r="A55344"/>
      <c r="B55344"/>
      <c r="C55344"/>
      <c r="E55344"/>
      <c r="F55344"/>
    </row>
    <row r="55345" spans="1:6" x14ac:dyDescent="0.25">
      <c r="A55345"/>
      <c r="B55345"/>
      <c r="C55345"/>
      <c r="E55345"/>
      <c r="F55345"/>
    </row>
    <row r="55346" spans="1:6" x14ac:dyDescent="0.25">
      <c r="A55346"/>
      <c r="B55346"/>
      <c r="C55346"/>
      <c r="E55346"/>
      <c r="F55346"/>
    </row>
    <row r="55347" spans="1:6" x14ac:dyDescent="0.25">
      <c r="A55347"/>
      <c r="B55347"/>
      <c r="C55347"/>
      <c r="E55347"/>
      <c r="F55347"/>
    </row>
    <row r="55348" spans="1:6" x14ac:dyDescent="0.25">
      <c r="A55348"/>
      <c r="B55348"/>
      <c r="C55348"/>
      <c r="E55348"/>
      <c r="F55348"/>
    </row>
    <row r="55349" spans="1:6" x14ac:dyDescent="0.25">
      <c r="A55349"/>
      <c r="B55349"/>
      <c r="C55349"/>
      <c r="E55349"/>
      <c r="F55349"/>
    </row>
    <row r="55350" spans="1:6" x14ac:dyDescent="0.25">
      <c r="A55350"/>
      <c r="B55350"/>
      <c r="C55350"/>
      <c r="E55350"/>
      <c r="F55350"/>
    </row>
    <row r="55351" spans="1:6" x14ac:dyDescent="0.25">
      <c r="A55351"/>
      <c r="B55351"/>
      <c r="C55351"/>
      <c r="E55351"/>
      <c r="F55351"/>
    </row>
    <row r="55352" spans="1:6" x14ac:dyDescent="0.25">
      <c r="A55352"/>
      <c r="B55352"/>
      <c r="C55352"/>
      <c r="E55352"/>
      <c r="F55352"/>
    </row>
    <row r="55353" spans="1:6" x14ac:dyDescent="0.25">
      <c r="A55353"/>
      <c r="B55353"/>
      <c r="C55353"/>
      <c r="E55353"/>
      <c r="F55353"/>
    </row>
    <row r="55354" spans="1:6" x14ac:dyDescent="0.25">
      <c r="A55354"/>
      <c r="B55354"/>
      <c r="C55354"/>
      <c r="E55354"/>
      <c r="F55354"/>
    </row>
    <row r="55355" spans="1:6" x14ac:dyDescent="0.25">
      <c r="A55355"/>
      <c r="B55355"/>
      <c r="C55355"/>
      <c r="E55355"/>
      <c r="F55355"/>
    </row>
    <row r="55356" spans="1:6" x14ac:dyDescent="0.25">
      <c r="A55356"/>
      <c r="B55356"/>
      <c r="C55356"/>
      <c r="E55356"/>
      <c r="F55356"/>
    </row>
    <row r="55357" spans="1:6" x14ac:dyDescent="0.25">
      <c r="A55357"/>
      <c r="B55357"/>
      <c r="C55357"/>
      <c r="E55357"/>
      <c r="F55357"/>
    </row>
    <row r="55358" spans="1:6" x14ac:dyDescent="0.25">
      <c r="A55358"/>
      <c r="B55358"/>
      <c r="C55358"/>
      <c r="E55358"/>
      <c r="F55358"/>
    </row>
    <row r="55359" spans="1:6" x14ac:dyDescent="0.25">
      <c r="A55359"/>
      <c r="B55359"/>
      <c r="C55359"/>
      <c r="E55359"/>
      <c r="F55359"/>
    </row>
    <row r="55360" spans="1:6" x14ac:dyDescent="0.25">
      <c r="A55360"/>
      <c r="B55360"/>
      <c r="C55360"/>
      <c r="E55360"/>
      <c r="F55360"/>
    </row>
    <row r="55361" spans="1:6" x14ac:dyDescent="0.25">
      <c r="A55361"/>
      <c r="B55361"/>
      <c r="C55361"/>
      <c r="E55361"/>
      <c r="F55361"/>
    </row>
    <row r="55362" spans="1:6" x14ac:dyDescent="0.25">
      <c r="A55362"/>
      <c r="B55362"/>
      <c r="C55362"/>
      <c r="E55362"/>
      <c r="F55362"/>
    </row>
    <row r="55363" spans="1:6" x14ac:dyDescent="0.25">
      <c r="A55363"/>
      <c r="B55363"/>
      <c r="C55363"/>
      <c r="E55363"/>
      <c r="F55363"/>
    </row>
    <row r="55364" spans="1:6" x14ac:dyDescent="0.25">
      <c r="A55364"/>
      <c r="B55364"/>
      <c r="C55364"/>
      <c r="E55364"/>
      <c r="F55364"/>
    </row>
    <row r="55365" spans="1:6" x14ac:dyDescent="0.25">
      <c r="A55365"/>
      <c r="B55365"/>
      <c r="C55365"/>
      <c r="E55365"/>
      <c r="F55365"/>
    </row>
    <row r="55366" spans="1:6" x14ac:dyDescent="0.25">
      <c r="A55366"/>
      <c r="B55366"/>
      <c r="C55366"/>
      <c r="E55366"/>
      <c r="F55366"/>
    </row>
    <row r="55367" spans="1:6" x14ac:dyDescent="0.25">
      <c r="A55367"/>
      <c r="B55367"/>
      <c r="C55367"/>
      <c r="E55367"/>
      <c r="F55367"/>
    </row>
    <row r="55368" spans="1:6" x14ac:dyDescent="0.25">
      <c r="A55368"/>
      <c r="B55368"/>
      <c r="C55368"/>
      <c r="E55368"/>
      <c r="F55368"/>
    </row>
    <row r="55369" spans="1:6" x14ac:dyDescent="0.25">
      <c r="A55369"/>
      <c r="B55369"/>
      <c r="C55369"/>
      <c r="E55369"/>
      <c r="F55369"/>
    </row>
    <row r="55370" spans="1:6" x14ac:dyDescent="0.25">
      <c r="A55370"/>
      <c r="B55370"/>
      <c r="C55370"/>
      <c r="E55370"/>
      <c r="F55370"/>
    </row>
    <row r="55371" spans="1:6" x14ac:dyDescent="0.25">
      <c r="A55371"/>
      <c r="B55371"/>
      <c r="C55371"/>
      <c r="E55371"/>
      <c r="F55371"/>
    </row>
    <row r="55372" spans="1:6" x14ac:dyDescent="0.25">
      <c r="A55372"/>
      <c r="B55372"/>
      <c r="C55372"/>
      <c r="E55372"/>
      <c r="F55372"/>
    </row>
    <row r="55373" spans="1:6" x14ac:dyDescent="0.25">
      <c r="A55373"/>
      <c r="B55373"/>
      <c r="C55373"/>
      <c r="E55373"/>
      <c r="F55373"/>
    </row>
    <row r="55374" spans="1:6" x14ac:dyDescent="0.25">
      <c r="A55374"/>
      <c r="B55374"/>
      <c r="C55374"/>
      <c r="E55374"/>
      <c r="F55374"/>
    </row>
    <row r="55375" spans="1:6" x14ac:dyDescent="0.25">
      <c r="A55375"/>
      <c r="B55375"/>
      <c r="C55375"/>
      <c r="E55375"/>
      <c r="F55375"/>
    </row>
    <row r="55376" spans="1:6" x14ac:dyDescent="0.25">
      <c r="A55376"/>
      <c r="B55376"/>
      <c r="C55376"/>
      <c r="E55376"/>
      <c r="F55376"/>
    </row>
    <row r="55377" spans="1:6" x14ac:dyDescent="0.25">
      <c r="A55377"/>
      <c r="B55377"/>
      <c r="C55377"/>
      <c r="E55377"/>
      <c r="F55377"/>
    </row>
    <row r="55378" spans="1:6" x14ac:dyDescent="0.25">
      <c r="A55378"/>
      <c r="B55378"/>
      <c r="C55378"/>
      <c r="E55378"/>
      <c r="F55378"/>
    </row>
    <row r="55379" spans="1:6" x14ac:dyDescent="0.25">
      <c r="A55379"/>
      <c r="B55379"/>
      <c r="C55379"/>
      <c r="E55379"/>
      <c r="F55379"/>
    </row>
    <row r="55380" spans="1:6" x14ac:dyDescent="0.25">
      <c r="A55380"/>
      <c r="B55380"/>
      <c r="C55380"/>
      <c r="E55380"/>
      <c r="F55380"/>
    </row>
    <row r="55381" spans="1:6" x14ac:dyDescent="0.25">
      <c r="A55381"/>
      <c r="B55381"/>
      <c r="C55381"/>
      <c r="E55381"/>
      <c r="F55381"/>
    </row>
    <row r="55382" spans="1:6" x14ac:dyDescent="0.25">
      <c r="A55382"/>
      <c r="B55382"/>
      <c r="C55382"/>
      <c r="E55382"/>
      <c r="F55382"/>
    </row>
    <row r="55383" spans="1:6" x14ac:dyDescent="0.25">
      <c r="A55383"/>
      <c r="B55383"/>
      <c r="C55383"/>
      <c r="E55383"/>
      <c r="F55383"/>
    </row>
    <row r="55384" spans="1:6" x14ac:dyDescent="0.25">
      <c r="A55384"/>
      <c r="B55384"/>
      <c r="C55384"/>
      <c r="E55384"/>
      <c r="F55384"/>
    </row>
    <row r="55385" spans="1:6" x14ac:dyDescent="0.25">
      <c r="A55385"/>
      <c r="B55385"/>
      <c r="C55385"/>
      <c r="E55385"/>
      <c r="F55385"/>
    </row>
    <row r="55386" spans="1:6" x14ac:dyDescent="0.25">
      <c r="A55386"/>
      <c r="B55386"/>
      <c r="C55386"/>
      <c r="E55386"/>
      <c r="F55386"/>
    </row>
    <row r="55387" spans="1:6" x14ac:dyDescent="0.25">
      <c r="A55387"/>
      <c r="B55387"/>
      <c r="C55387"/>
      <c r="E55387"/>
      <c r="F55387"/>
    </row>
    <row r="55388" spans="1:6" x14ac:dyDescent="0.25">
      <c r="A55388"/>
      <c r="B55388"/>
      <c r="C55388"/>
      <c r="E55388"/>
      <c r="F55388"/>
    </row>
    <row r="55389" spans="1:6" x14ac:dyDescent="0.25">
      <c r="A55389"/>
      <c r="B55389"/>
      <c r="C55389"/>
      <c r="E55389"/>
      <c r="F55389"/>
    </row>
    <row r="55390" spans="1:6" x14ac:dyDescent="0.25">
      <c r="A55390"/>
      <c r="B55390"/>
      <c r="C55390"/>
      <c r="E55390"/>
      <c r="F55390"/>
    </row>
    <row r="55391" spans="1:6" x14ac:dyDescent="0.25">
      <c r="A55391"/>
      <c r="B55391"/>
      <c r="C55391"/>
      <c r="E55391"/>
      <c r="F55391"/>
    </row>
    <row r="55392" spans="1:6" x14ac:dyDescent="0.25">
      <c r="A55392"/>
      <c r="B55392"/>
      <c r="C55392"/>
      <c r="E55392"/>
      <c r="F55392"/>
    </row>
    <row r="55393" spans="1:6" x14ac:dyDescent="0.25">
      <c r="A55393"/>
      <c r="B55393"/>
      <c r="C55393"/>
      <c r="E55393"/>
      <c r="F55393"/>
    </row>
    <row r="55394" spans="1:6" x14ac:dyDescent="0.25">
      <c r="A55394"/>
      <c r="B55394"/>
      <c r="C55394"/>
      <c r="E55394"/>
      <c r="F55394"/>
    </row>
    <row r="55395" spans="1:6" x14ac:dyDescent="0.25">
      <c r="A55395"/>
      <c r="B55395"/>
      <c r="C55395"/>
      <c r="E55395"/>
      <c r="F55395"/>
    </row>
    <row r="55396" spans="1:6" x14ac:dyDescent="0.25">
      <c r="A55396"/>
      <c r="B55396"/>
      <c r="C55396"/>
      <c r="E55396"/>
      <c r="F55396"/>
    </row>
    <row r="55397" spans="1:6" x14ac:dyDescent="0.25">
      <c r="A55397"/>
      <c r="B55397"/>
      <c r="C55397"/>
      <c r="E55397"/>
      <c r="F55397"/>
    </row>
    <row r="55398" spans="1:6" x14ac:dyDescent="0.25">
      <c r="A55398"/>
      <c r="B55398"/>
      <c r="C55398"/>
      <c r="E55398"/>
      <c r="F55398"/>
    </row>
    <row r="55399" spans="1:6" x14ac:dyDescent="0.25">
      <c r="A55399"/>
      <c r="B55399"/>
      <c r="C55399"/>
      <c r="E55399"/>
      <c r="F55399"/>
    </row>
    <row r="55400" spans="1:6" x14ac:dyDescent="0.25">
      <c r="A55400"/>
      <c r="B55400"/>
      <c r="C55400"/>
      <c r="E55400"/>
      <c r="F55400"/>
    </row>
    <row r="55401" spans="1:6" x14ac:dyDescent="0.25">
      <c r="A55401"/>
      <c r="B55401"/>
      <c r="C55401"/>
      <c r="E55401"/>
      <c r="F55401"/>
    </row>
    <row r="55402" spans="1:6" x14ac:dyDescent="0.25">
      <c r="A55402"/>
      <c r="B55402"/>
      <c r="C55402"/>
      <c r="E55402"/>
      <c r="F55402"/>
    </row>
    <row r="55403" spans="1:6" x14ac:dyDescent="0.25">
      <c r="A55403"/>
      <c r="B55403"/>
      <c r="C55403"/>
      <c r="E55403"/>
      <c r="F55403"/>
    </row>
    <row r="55404" spans="1:6" x14ac:dyDescent="0.25">
      <c r="A55404"/>
      <c r="B55404"/>
      <c r="C55404"/>
      <c r="E55404"/>
      <c r="F55404"/>
    </row>
    <row r="55405" spans="1:6" x14ac:dyDescent="0.25">
      <c r="A55405"/>
      <c r="B55405"/>
      <c r="C55405"/>
      <c r="E55405"/>
      <c r="F55405"/>
    </row>
    <row r="55406" spans="1:6" x14ac:dyDescent="0.25">
      <c r="A55406"/>
      <c r="B55406"/>
      <c r="C55406"/>
      <c r="E55406"/>
      <c r="F55406"/>
    </row>
    <row r="55407" spans="1:6" x14ac:dyDescent="0.25">
      <c r="A55407"/>
      <c r="B55407"/>
      <c r="C55407"/>
      <c r="E55407"/>
      <c r="F55407"/>
    </row>
    <row r="55408" spans="1:6" x14ac:dyDescent="0.25">
      <c r="A55408"/>
      <c r="B55408"/>
      <c r="C55408"/>
      <c r="E55408"/>
      <c r="F55408"/>
    </row>
    <row r="55409" spans="1:6" x14ac:dyDescent="0.25">
      <c r="A55409"/>
      <c r="B55409"/>
      <c r="C55409"/>
      <c r="E55409"/>
      <c r="F55409"/>
    </row>
    <row r="55410" spans="1:6" x14ac:dyDescent="0.25">
      <c r="A55410"/>
      <c r="B55410"/>
      <c r="C55410"/>
      <c r="E55410"/>
      <c r="F55410"/>
    </row>
    <row r="55411" spans="1:6" x14ac:dyDescent="0.25">
      <c r="A55411"/>
      <c r="B55411"/>
      <c r="C55411"/>
      <c r="E55411"/>
      <c r="F55411"/>
    </row>
    <row r="55412" spans="1:6" x14ac:dyDescent="0.25">
      <c r="A55412"/>
      <c r="B55412"/>
      <c r="C55412"/>
      <c r="E55412"/>
      <c r="F55412"/>
    </row>
    <row r="55413" spans="1:6" x14ac:dyDescent="0.25">
      <c r="A55413"/>
      <c r="B55413"/>
      <c r="C55413"/>
      <c r="E55413"/>
      <c r="F55413"/>
    </row>
    <row r="55414" spans="1:6" x14ac:dyDescent="0.25">
      <c r="A55414"/>
      <c r="B55414"/>
      <c r="C55414"/>
      <c r="E55414"/>
      <c r="F55414"/>
    </row>
    <row r="55415" spans="1:6" x14ac:dyDescent="0.25">
      <c r="A55415"/>
      <c r="B55415"/>
      <c r="C55415"/>
      <c r="E55415"/>
      <c r="F55415"/>
    </row>
    <row r="55416" spans="1:6" x14ac:dyDescent="0.25">
      <c r="A55416"/>
      <c r="B55416"/>
      <c r="C55416"/>
      <c r="E55416"/>
      <c r="F55416"/>
    </row>
    <row r="55417" spans="1:6" x14ac:dyDescent="0.25">
      <c r="A55417"/>
      <c r="B55417"/>
      <c r="C55417"/>
      <c r="E55417"/>
      <c r="F55417"/>
    </row>
    <row r="55418" spans="1:6" x14ac:dyDescent="0.25">
      <c r="A55418"/>
      <c r="B55418"/>
      <c r="C55418"/>
      <c r="E55418"/>
      <c r="F55418"/>
    </row>
    <row r="55419" spans="1:6" x14ac:dyDescent="0.25">
      <c r="A55419"/>
      <c r="B55419"/>
      <c r="C55419"/>
      <c r="E55419"/>
      <c r="F55419"/>
    </row>
    <row r="55420" spans="1:6" x14ac:dyDescent="0.25">
      <c r="A55420"/>
      <c r="B55420"/>
      <c r="C55420"/>
      <c r="E55420"/>
      <c r="F55420"/>
    </row>
    <row r="55421" spans="1:6" x14ac:dyDescent="0.25">
      <c r="A55421"/>
      <c r="B55421"/>
      <c r="C55421"/>
      <c r="E55421"/>
      <c r="F55421"/>
    </row>
    <row r="55422" spans="1:6" x14ac:dyDescent="0.25">
      <c r="A55422"/>
      <c r="B55422"/>
      <c r="C55422"/>
      <c r="E55422"/>
      <c r="F55422"/>
    </row>
    <row r="55423" spans="1:6" x14ac:dyDescent="0.25">
      <c r="A55423"/>
      <c r="B55423"/>
      <c r="C55423"/>
      <c r="E55423"/>
      <c r="F55423"/>
    </row>
    <row r="55424" spans="1:6" x14ac:dyDescent="0.25">
      <c r="A55424"/>
      <c r="B55424"/>
      <c r="C55424"/>
      <c r="E55424"/>
      <c r="F55424"/>
    </row>
    <row r="55425" spans="1:6" x14ac:dyDescent="0.25">
      <c r="A55425"/>
      <c r="B55425"/>
      <c r="C55425"/>
      <c r="E55425"/>
      <c r="F55425"/>
    </row>
    <row r="55426" spans="1:6" x14ac:dyDescent="0.25">
      <c r="A55426"/>
      <c r="B55426"/>
      <c r="C55426"/>
      <c r="E55426"/>
      <c r="F55426"/>
    </row>
    <row r="55427" spans="1:6" x14ac:dyDescent="0.25">
      <c r="A55427"/>
      <c r="B55427"/>
      <c r="C55427"/>
      <c r="E55427"/>
      <c r="F55427"/>
    </row>
    <row r="55428" spans="1:6" x14ac:dyDescent="0.25">
      <c r="A55428"/>
      <c r="B55428"/>
      <c r="C55428"/>
      <c r="E55428"/>
      <c r="F55428"/>
    </row>
    <row r="55429" spans="1:6" x14ac:dyDescent="0.25">
      <c r="A55429"/>
      <c r="B55429"/>
      <c r="C55429"/>
      <c r="E55429"/>
      <c r="F55429"/>
    </row>
    <row r="55430" spans="1:6" x14ac:dyDescent="0.25">
      <c r="A55430"/>
      <c r="B55430"/>
      <c r="C55430"/>
      <c r="E55430"/>
      <c r="F55430"/>
    </row>
    <row r="55431" spans="1:6" x14ac:dyDescent="0.25">
      <c r="A55431"/>
      <c r="B55431"/>
      <c r="C55431"/>
      <c r="E55431"/>
      <c r="F55431"/>
    </row>
    <row r="55432" spans="1:6" x14ac:dyDescent="0.25">
      <c r="A55432"/>
      <c r="B55432"/>
      <c r="C55432"/>
      <c r="E55432"/>
      <c r="F55432"/>
    </row>
    <row r="55433" spans="1:6" x14ac:dyDescent="0.25">
      <c r="A55433"/>
      <c r="B55433"/>
      <c r="C55433"/>
      <c r="E55433"/>
      <c r="F55433"/>
    </row>
    <row r="55434" spans="1:6" x14ac:dyDescent="0.25">
      <c r="A55434"/>
      <c r="B55434"/>
      <c r="C55434"/>
      <c r="E55434"/>
      <c r="F55434"/>
    </row>
    <row r="55435" spans="1:6" x14ac:dyDescent="0.25">
      <c r="A55435"/>
      <c r="B55435"/>
      <c r="C55435"/>
      <c r="E55435"/>
      <c r="F55435"/>
    </row>
    <row r="55436" spans="1:6" x14ac:dyDescent="0.25">
      <c r="A55436"/>
      <c r="B55436"/>
      <c r="C55436"/>
      <c r="E55436"/>
      <c r="F55436"/>
    </row>
    <row r="55437" spans="1:6" x14ac:dyDescent="0.25">
      <c r="A55437"/>
      <c r="B55437"/>
      <c r="C55437"/>
      <c r="E55437"/>
      <c r="F55437"/>
    </row>
    <row r="55438" spans="1:6" x14ac:dyDescent="0.25">
      <c r="A55438"/>
      <c r="B55438"/>
      <c r="C55438"/>
      <c r="E55438"/>
      <c r="F55438"/>
    </row>
    <row r="55439" spans="1:6" x14ac:dyDescent="0.25">
      <c r="A55439"/>
      <c r="B55439"/>
      <c r="C55439"/>
      <c r="E55439"/>
      <c r="F55439"/>
    </row>
    <row r="55440" spans="1:6" x14ac:dyDescent="0.25">
      <c r="A55440"/>
      <c r="B55440"/>
      <c r="C55440"/>
      <c r="E55440"/>
      <c r="F55440"/>
    </row>
    <row r="55441" spans="1:6" x14ac:dyDescent="0.25">
      <c r="A55441"/>
      <c r="B55441"/>
      <c r="C55441"/>
      <c r="E55441"/>
      <c r="F55441"/>
    </row>
    <row r="55442" spans="1:6" x14ac:dyDescent="0.25">
      <c r="A55442"/>
      <c r="B55442"/>
      <c r="C55442"/>
      <c r="E55442"/>
      <c r="F55442"/>
    </row>
    <row r="55443" spans="1:6" x14ac:dyDescent="0.25">
      <c r="A55443"/>
      <c r="B55443"/>
      <c r="C55443"/>
      <c r="E55443"/>
      <c r="F55443"/>
    </row>
    <row r="55444" spans="1:6" x14ac:dyDescent="0.25">
      <c r="A55444"/>
      <c r="B55444"/>
      <c r="C55444"/>
      <c r="E55444"/>
      <c r="F55444"/>
    </row>
    <row r="55445" spans="1:6" x14ac:dyDescent="0.25">
      <c r="A55445"/>
      <c r="B55445"/>
      <c r="C55445"/>
      <c r="E55445"/>
      <c r="F55445"/>
    </row>
    <row r="55446" spans="1:6" x14ac:dyDescent="0.25">
      <c r="A55446"/>
      <c r="B55446"/>
      <c r="C55446"/>
      <c r="E55446"/>
      <c r="F55446"/>
    </row>
    <row r="55447" spans="1:6" x14ac:dyDescent="0.25">
      <c r="A55447"/>
      <c r="B55447"/>
      <c r="C55447"/>
      <c r="E55447"/>
      <c r="F55447"/>
    </row>
    <row r="55448" spans="1:6" x14ac:dyDescent="0.25">
      <c r="A55448"/>
      <c r="B55448"/>
      <c r="C55448"/>
      <c r="E55448"/>
      <c r="F55448"/>
    </row>
    <row r="55449" spans="1:6" x14ac:dyDescent="0.25">
      <c r="A55449"/>
      <c r="B55449"/>
      <c r="C55449"/>
      <c r="E55449"/>
      <c r="F55449"/>
    </row>
    <row r="55450" spans="1:6" x14ac:dyDescent="0.25">
      <c r="A55450"/>
      <c r="B55450"/>
      <c r="C55450"/>
      <c r="E55450"/>
      <c r="F55450"/>
    </row>
    <row r="55451" spans="1:6" x14ac:dyDescent="0.25">
      <c r="A55451"/>
      <c r="B55451"/>
      <c r="C55451"/>
      <c r="E55451"/>
      <c r="F55451"/>
    </row>
    <row r="55452" spans="1:6" x14ac:dyDescent="0.25">
      <c r="A55452"/>
      <c r="B55452"/>
      <c r="C55452"/>
      <c r="E55452"/>
      <c r="F55452"/>
    </row>
    <row r="55453" spans="1:6" x14ac:dyDescent="0.25">
      <c r="A55453"/>
      <c r="B55453"/>
      <c r="C55453"/>
      <c r="E55453"/>
      <c r="F55453"/>
    </row>
    <row r="55454" spans="1:6" x14ac:dyDescent="0.25">
      <c r="A55454"/>
      <c r="B55454"/>
      <c r="C55454"/>
      <c r="E55454"/>
      <c r="F55454"/>
    </row>
    <row r="55455" spans="1:6" x14ac:dyDescent="0.25">
      <c r="A55455"/>
      <c r="B55455"/>
      <c r="C55455"/>
      <c r="E55455"/>
      <c r="F55455"/>
    </row>
    <row r="55456" spans="1:6" x14ac:dyDescent="0.25">
      <c r="A55456"/>
      <c r="B55456"/>
      <c r="C55456"/>
      <c r="E55456"/>
      <c r="F55456"/>
    </row>
    <row r="55457" spans="1:6" x14ac:dyDescent="0.25">
      <c r="A55457"/>
      <c r="B55457"/>
      <c r="C55457"/>
      <c r="E55457"/>
      <c r="F55457"/>
    </row>
    <row r="55458" spans="1:6" x14ac:dyDescent="0.25">
      <c r="A55458"/>
      <c r="B55458"/>
      <c r="C55458"/>
      <c r="E55458"/>
      <c r="F55458"/>
    </row>
    <row r="55459" spans="1:6" x14ac:dyDescent="0.25">
      <c r="A55459"/>
      <c r="B55459"/>
      <c r="C55459"/>
      <c r="E55459"/>
      <c r="F55459"/>
    </row>
    <row r="55460" spans="1:6" x14ac:dyDescent="0.25">
      <c r="A55460"/>
      <c r="B55460"/>
      <c r="C55460"/>
      <c r="E55460"/>
      <c r="F55460"/>
    </row>
    <row r="55461" spans="1:6" x14ac:dyDescent="0.25">
      <c r="A55461"/>
      <c r="B55461"/>
      <c r="C55461"/>
      <c r="E55461"/>
      <c r="F55461"/>
    </row>
    <row r="55462" spans="1:6" x14ac:dyDescent="0.25">
      <c r="A55462"/>
      <c r="B55462"/>
      <c r="C55462"/>
      <c r="E55462"/>
      <c r="F55462"/>
    </row>
    <row r="55463" spans="1:6" x14ac:dyDescent="0.25">
      <c r="A55463"/>
      <c r="B55463"/>
      <c r="C55463"/>
      <c r="E55463"/>
      <c r="F55463"/>
    </row>
    <row r="55464" spans="1:6" x14ac:dyDescent="0.25">
      <c r="A55464"/>
      <c r="B55464"/>
      <c r="C55464"/>
      <c r="E55464"/>
      <c r="F55464"/>
    </row>
    <row r="55465" spans="1:6" x14ac:dyDescent="0.25">
      <c r="A55465"/>
      <c r="B55465"/>
      <c r="C55465"/>
      <c r="E55465"/>
      <c r="F55465"/>
    </row>
    <row r="55466" spans="1:6" x14ac:dyDescent="0.25">
      <c r="A55466"/>
      <c r="B55466"/>
      <c r="C55466"/>
      <c r="E55466"/>
      <c r="F55466"/>
    </row>
    <row r="55467" spans="1:6" x14ac:dyDescent="0.25">
      <c r="A55467"/>
      <c r="B55467"/>
      <c r="C55467"/>
      <c r="E55467"/>
      <c r="F55467"/>
    </row>
    <row r="55468" spans="1:6" x14ac:dyDescent="0.25">
      <c r="A55468"/>
      <c r="B55468"/>
      <c r="C55468"/>
      <c r="E55468"/>
      <c r="F55468"/>
    </row>
    <row r="55469" spans="1:6" x14ac:dyDescent="0.25">
      <c r="A55469"/>
      <c r="B55469"/>
      <c r="C55469"/>
      <c r="E55469"/>
      <c r="F55469"/>
    </row>
    <row r="55470" spans="1:6" x14ac:dyDescent="0.25">
      <c r="A55470"/>
      <c r="B55470"/>
      <c r="C55470"/>
      <c r="E55470"/>
      <c r="F55470"/>
    </row>
    <row r="55471" spans="1:6" x14ac:dyDescent="0.25">
      <c r="A55471"/>
      <c r="B55471"/>
      <c r="C55471"/>
      <c r="E55471"/>
      <c r="F55471"/>
    </row>
    <row r="55472" spans="1:6" x14ac:dyDescent="0.25">
      <c r="A55472"/>
      <c r="B55472"/>
      <c r="C55472"/>
      <c r="E55472"/>
      <c r="F55472"/>
    </row>
    <row r="55473" spans="1:6" x14ac:dyDescent="0.25">
      <c r="A55473"/>
      <c r="B55473"/>
      <c r="C55473"/>
      <c r="E55473"/>
      <c r="F55473"/>
    </row>
    <row r="55474" spans="1:6" x14ac:dyDescent="0.25">
      <c r="A55474"/>
      <c r="B55474"/>
      <c r="C55474"/>
      <c r="E55474"/>
      <c r="F55474"/>
    </row>
    <row r="55475" spans="1:6" x14ac:dyDescent="0.25">
      <c r="A55475"/>
      <c r="B55475"/>
      <c r="C55475"/>
      <c r="E55475"/>
      <c r="F55475"/>
    </row>
    <row r="55476" spans="1:6" x14ac:dyDescent="0.25">
      <c r="A55476"/>
      <c r="B55476"/>
      <c r="C55476"/>
      <c r="E55476"/>
      <c r="F55476"/>
    </row>
    <row r="55477" spans="1:6" x14ac:dyDescent="0.25">
      <c r="A55477"/>
      <c r="B55477"/>
      <c r="C55477"/>
      <c r="E55477"/>
      <c r="F55477"/>
    </row>
    <row r="55478" spans="1:6" x14ac:dyDescent="0.25">
      <c r="A55478"/>
      <c r="B55478"/>
      <c r="C55478"/>
      <c r="E55478"/>
      <c r="F55478"/>
    </row>
    <row r="55479" spans="1:6" x14ac:dyDescent="0.25">
      <c r="A55479"/>
      <c r="B55479"/>
      <c r="C55479"/>
      <c r="E55479"/>
      <c r="F55479"/>
    </row>
    <row r="55480" spans="1:6" x14ac:dyDescent="0.25">
      <c r="A55480"/>
      <c r="B55480"/>
      <c r="C55480"/>
      <c r="E55480"/>
      <c r="F55480"/>
    </row>
    <row r="55481" spans="1:6" x14ac:dyDescent="0.25">
      <c r="A55481"/>
      <c r="B55481"/>
      <c r="C55481"/>
      <c r="E55481"/>
      <c r="F55481"/>
    </row>
    <row r="55482" spans="1:6" x14ac:dyDescent="0.25">
      <c r="A55482"/>
      <c r="B55482"/>
      <c r="C55482"/>
      <c r="E55482"/>
      <c r="F55482"/>
    </row>
    <row r="55483" spans="1:6" x14ac:dyDescent="0.25">
      <c r="A55483"/>
      <c r="B55483"/>
      <c r="C55483"/>
      <c r="E55483"/>
      <c r="F55483"/>
    </row>
    <row r="55484" spans="1:6" x14ac:dyDescent="0.25">
      <c r="A55484"/>
      <c r="B55484"/>
      <c r="C55484"/>
      <c r="E55484"/>
      <c r="F55484"/>
    </row>
    <row r="55485" spans="1:6" x14ac:dyDescent="0.25">
      <c r="A55485"/>
      <c r="B55485"/>
      <c r="C55485"/>
      <c r="E55485"/>
      <c r="F55485"/>
    </row>
    <row r="55486" spans="1:6" x14ac:dyDescent="0.25">
      <c r="A55486"/>
      <c r="B55486"/>
      <c r="C55486"/>
      <c r="E55486"/>
      <c r="F55486"/>
    </row>
    <row r="55487" spans="1:6" x14ac:dyDescent="0.25">
      <c r="A55487"/>
      <c r="B55487"/>
      <c r="C55487"/>
      <c r="E55487"/>
      <c r="F55487"/>
    </row>
    <row r="55488" spans="1:6" x14ac:dyDescent="0.25">
      <c r="A55488"/>
      <c r="B55488"/>
      <c r="C55488"/>
      <c r="E55488"/>
      <c r="F55488"/>
    </row>
    <row r="55489" spans="1:6" x14ac:dyDescent="0.25">
      <c r="A55489"/>
      <c r="B55489"/>
      <c r="C55489"/>
      <c r="E55489"/>
      <c r="F55489"/>
    </row>
    <row r="55490" spans="1:6" x14ac:dyDescent="0.25">
      <c r="A55490"/>
      <c r="B55490"/>
      <c r="C55490"/>
      <c r="E55490"/>
      <c r="F55490"/>
    </row>
    <row r="55491" spans="1:6" x14ac:dyDescent="0.25">
      <c r="A55491"/>
      <c r="B55491"/>
      <c r="C55491"/>
      <c r="E55491"/>
      <c r="F55491"/>
    </row>
    <row r="55492" spans="1:6" x14ac:dyDescent="0.25">
      <c r="A55492"/>
      <c r="B55492"/>
      <c r="C55492"/>
      <c r="E55492"/>
      <c r="F55492"/>
    </row>
    <row r="55493" spans="1:6" x14ac:dyDescent="0.25">
      <c r="A55493"/>
      <c r="B55493"/>
      <c r="C55493"/>
      <c r="E55493"/>
      <c r="F55493"/>
    </row>
    <row r="55494" spans="1:6" x14ac:dyDescent="0.25">
      <c r="A55494"/>
      <c r="B55494"/>
      <c r="C55494"/>
      <c r="E55494"/>
      <c r="F55494"/>
    </row>
    <row r="55495" spans="1:6" x14ac:dyDescent="0.25">
      <c r="A55495"/>
      <c r="B55495"/>
      <c r="C55495"/>
      <c r="E55495"/>
      <c r="F55495"/>
    </row>
    <row r="55496" spans="1:6" x14ac:dyDescent="0.25">
      <c r="A55496"/>
      <c r="B55496"/>
      <c r="C55496"/>
      <c r="E55496"/>
      <c r="F55496"/>
    </row>
    <row r="55497" spans="1:6" x14ac:dyDescent="0.25">
      <c r="A55497"/>
      <c r="B55497"/>
      <c r="C55497"/>
      <c r="E55497"/>
      <c r="F55497"/>
    </row>
    <row r="55498" spans="1:6" x14ac:dyDescent="0.25">
      <c r="A55498"/>
      <c r="B55498"/>
      <c r="C55498"/>
      <c r="E55498"/>
      <c r="F55498"/>
    </row>
    <row r="55499" spans="1:6" x14ac:dyDescent="0.25">
      <c r="A55499"/>
      <c r="B55499"/>
      <c r="C55499"/>
      <c r="E55499"/>
      <c r="F55499"/>
    </row>
    <row r="55500" spans="1:6" x14ac:dyDescent="0.25">
      <c r="A55500"/>
      <c r="B55500"/>
      <c r="C55500"/>
      <c r="E55500"/>
      <c r="F55500"/>
    </row>
    <row r="55501" spans="1:6" x14ac:dyDescent="0.25">
      <c r="A55501"/>
      <c r="B55501"/>
      <c r="C55501"/>
      <c r="E55501"/>
      <c r="F55501"/>
    </row>
    <row r="55502" spans="1:6" x14ac:dyDescent="0.25">
      <c r="A55502"/>
      <c r="B55502"/>
      <c r="C55502"/>
      <c r="E55502"/>
      <c r="F55502"/>
    </row>
    <row r="55503" spans="1:6" x14ac:dyDescent="0.25">
      <c r="A55503"/>
      <c r="B55503"/>
      <c r="C55503"/>
      <c r="E55503"/>
      <c r="F55503"/>
    </row>
    <row r="55504" spans="1:6" x14ac:dyDescent="0.25">
      <c r="A55504"/>
      <c r="B55504"/>
      <c r="C55504"/>
      <c r="E55504"/>
      <c r="F55504"/>
    </row>
    <row r="55505" spans="1:6" x14ac:dyDescent="0.25">
      <c r="A55505"/>
      <c r="B55505"/>
      <c r="C55505"/>
      <c r="E55505"/>
      <c r="F55505"/>
    </row>
    <row r="55506" spans="1:6" x14ac:dyDescent="0.25">
      <c r="A55506"/>
      <c r="B55506"/>
      <c r="C55506"/>
      <c r="E55506"/>
      <c r="F55506"/>
    </row>
    <row r="55507" spans="1:6" x14ac:dyDescent="0.25">
      <c r="A55507"/>
      <c r="B55507"/>
      <c r="C55507"/>
      <c r="E55507"/>
      <c r="F55507"/>
    </row>
    <row r="55508" spans="1:6" x14ac:dyDescent="0.25">
      <c r="A55508"/>
      <c r="B55508"/>
      <c r="C55508"/>
      <c r="E55508"/>
      <c r="F55508"/>
    </row>
    <row r="55509" spans="1:6" x14ac:dyDescent="0.25">
      <c r="A55509"/>
      <c r="B55509"/>
      <c r="C55509"/>
      <c r="E55509"/>
      <c r="F55509"/>
    </row>
    <row r="55510" spans="1:6" x14ac:dyDescent="0.25">
      <c r="A55510"/>
      <c r="B55510"/>
      <c r="C55510"/>
      <c r="E55510"/>
      <c r="F55510"/>
    </row>
    <row r="55511" spans="1:6" x14ac:dyDescent="0.25">
      <c r="A55511"/>
      <c r="B55511"/>
      <c r="C55511"/>
      <c r="E55511"/>
      <c r="F55511"/>
    </row>
    <row r="55512" spans="1:6" x14ac:dyDescent="0.25">
      <c r="A55512"/>
      <c r="B55512"/>
      <c r="C55512"/>
      <c r="E55512"/>
      <c r="F55512"/>
    </row>
    <row r="55513" spans="1:6" x14ac:dyDescent="0.25">
      <c r="A55513"/>
      <c r="B55513"/>
      <c r="C55513"/>
      <c r="E55513"/>
      <c r="F55513"/>
    </row>
    <row r="55514" spans="1:6" x14ac:dyDescent="0.25">
      <c r="A55514"/>
      <c r="B55514"/>
      <c r="C55514"/>
      <c r="E55514"/>
      <c r="F55514"/>
    </row>
    <row r="55515" spans="1:6" x14ac:dyDescent="0.25">
      <c r="A55515"/>
      <c r="B55515"/>
      <c r="C55515"/>
      <c r="E55515"/>
      <c r="F55515"/>
    </row>
    <row r="55516" spans="1:6" x14ac:dyDescent="0.25">
      <c r="A55516"/>
      <c r="B55516"/>
      <c r="C55516"/>
      <c r="E55516"/>
      <c r="F55516"/>
    </row>
    <row r="55517" spans="1:6" x14ac:dyDescent="0.25">
      <c r="A55517"/>
      <c r="B55517"/>
      <c r="C55517"/>
      <c r="E55517"/>
      <c r="F55517"/>
    </row>
    <row r="55518" spans="1:6" x14ac:dyDescent="0.25">
      <c r="A55518"/>
      <c r="B55518"/>
      <c r="C55518"/>
      <c r="E55518"/>
      <c r="F55518"/>
    </row>
    <row r="55519" spans="1:6" x14ac:dyDescent="0.25">
      <c r="A55519"/>
      <c r="B55519"/>
      <c r="C55519"/>
      <c r="E55519"/>
      <c r="F55519"/>
    </row>
    <row r="55520" spans="1:6" x14ac:dyDescent="0.25">
      <c r="A55520"/>
      <c r="B55520"/>
      <c r="C55520"/>
      <c r="E55520"/>
      <c r="F55520"/>
    </row>
    <row r="55521" spans="1:6" x14ac:dyDescent="0.25">
      <c r="A55521"/>
      <c r="B55521"/>
      <c r="C55521"/>
      <c r="E55521"/>
      <c r="F55521"/>
    </row>
    <row r="55522" spans="1:6" x14ac:dyDescent="0.25">
      <c r="A55522"/>
      <c r="B55522"/>
      <c r="C55522"/>
      <c r="E55522"/>
      <c r="F55522"/>
    </row>
    <row r="55523" spans="1:6" x14ac:dyDescent="0.25">
      <c r="A55523"/>
      <c r="B55523"/>
      <c r="C55523"/>
      <c r="E55523"/>
      <c r="F55523"/>
    </row>
    <row r="55524" spans="1:6" x14ac:dyDescent="0.25">
      <c r="A55524"/>
      <c r="B55524"/>
      <c r="C55524"/>
      <c r="E55524"/>
      <c r="F55524"/>
    </row>
    <row r="55525" spans="1:6" x14ac:dyDescent="0.25">
      <c r="A55525"/>
      <c r="B55525"/>
      <c r="C55525"/>
      <c r="E55525"/>
      <c r="F55525"/>
    </row>
    <row r="55526" spans="1:6" x14ac:dyDescent="0.25">
      <c r="A55526"/>
      <c r="B55526"/>
      <c r="C55526"/>
      <c r="E55526"/>
      <c r="F55526"/>
    </row>
    <row r="55527" spans="1:6" x14ac:dyDescent="0.25">
      <c r="A55527"/>
      <c r="B55527"/>
      <c r="C55527"/>
      <c r="E55527"/>
      <c r="F55527"/>
    </row>
    <row r="55528" spans="1:6" x14ac:dyDescent="0.25">
      <c r="A55528"/>
      <c r="B55528"/>
      <c r="C55528"/>
      <c r="E55528"/>
      <c r="F55528"/>
    </row>
    <row r="55529" spans="1:6" x14ac:dyDescent="0.25">
      <c r="A55529"/>
      <c r="B55529"/>
      <c r="C55529"/>
      <c r="E55529"/>
      <c r="F55529"/>
    </row>
    <row r="55530" spans="1:6" x14ac:dyDescent="0.25">
      <c r="A55530"/>
      <c r="B55530"/>
      <c r="C55530"/>
      <c r="E55530"/>
      <c r="F55530"/>
    </row>
    <row r="55531" spans="1:6" x14ac:dyDescent="0.25">
      <c r="A55531"/>
      <c r="B55531"/>
      <c r="C55531"/>
      <c r="E55531"/>
      <c r="F55531"/>
    </row>
    <row r="55532" spans="1:6" x14ac:dyDescent="0.25">
      <c r="A55532"/>
      <c r="B55532"/>
      <c r="C55532"/>
      <c r="E55532"/>
      <c r="F55532"/>
    </row>
    <row r="55533" spans="1:6" x14ac:dyDescent="0.25">
      <c r="A55533"/>
      <c r="B55533"/>
      <c r="C55533"/>
      <c r="E55533"/>
      <c r="F55533"/>
    </row>
    <row r="55534" spans="1:6" x14ac:dyDescent="0.25">
      <c r="A55534"/>
      <c r="B55534"/>
      <c r="C55534"/>
      <c r="E55534"/>
      <c r="F55534"/>
    </row>
    <row r="55535" spans="1:6" x14ac:dyDescent="0.25">
      <c r="A55535"/>
      <c r="B55535"/>
      <c r="C55535"/>
      <c r="E55535"/>
      <c r="F55535"/>
    </row>
    <row r="55536" spans="1:6" x14ac:dyDescent="0.25">
      <c r="A55536"/>
      <c r="B55536"/>
      <c r="C55536"/>
      <c r="E55536"/>
      <c r="F55536"/>
    </row>
    <row r="55537" spans="1:6" x14ac:dyDescent="0.25">
      <c r="A55537"/>
      <c r="B55537"/>
      <c r="C55537"/>
      <c r="E55537"/>
      <c r="F55537"/>
    </row>
    <row r="55538" spans="1:6" x14ac:dyDescent="0.25">
      <c r="A55538"/>
      <c r="B55538"/>
      <c r="C55538"/>
      <c r="E55538"/>
      <c r="F55538"/>
    </row>
    <row r="55539" spans="1:6" x14ac:dyDescent="0.25">
      <c r="A55539"/>
      <c r="B55539"/>
      <c r="C55539"/>
      <c r="E55539"/>
      <c r="F55539"/>
    </row>
    <row r="55540" spans="1:6" x14ac:dyDescent="0.25">
      <c r="A55540"/>
      <c r="B55540"/>
      <c r="C55540"/>
      <c r="E55540"/>
      <c r="F55540"/>
    </row>
    <row r="55541" spans="1:6" x14ac:dyDescent="0.25">
      <c r="A55541"/>
      <c r="B55541"/>
      <c r="C55541"/>
      <c r="E55541"/>
      <c r="F55541"/>
    </row>
    <row r="55542" spans="1:6" x14ac:dyDescent="0.25">
      <c r="A55542"/>
      <c r="B55542"/>
      <c r="C55542"/>
      <c r="E55542"/>
      <c r="F55542"/>
    </row>
    <row r="55543" spans="1:6" x14ac:dyDescent="0.25">
      <c r="A55543"/>
      <c r="B55543"/>
      <c r="C55543"/>
      <c r="E55543"/>
      <c r="F55543"/>
    </row>
    <row r="55544" spans="1:6" x14ac:dyDescent="0.25">
      <c r="A55544"/>
      <c r="B55544"/>
      <c r="C55544"/>
      <c r="E55544"/>
      <c r="F55544"/>
    </row>
    <row r="55545" spans="1:6" x14ac:dyDescent="0.25">
      <c r="A55545"/>
      <c r="B55545"/>
      <c r="C55545"/>
      <c r="E55545"/>
      <c r="F55545"/>
    </row>
    <row r="55546" spans="1:6" x14ac:dyDescent="0.25">
      <c r="A55546"/>
      <c r="B55546"/>
      <c r="C55546"/>
      <c r="E55546"/>
      <c r="F55546"/>
    </row>
    <row r="55547" spans="1:6" x14ac:dyDescent="0.25">
      <c r="A55547"/>
      <c r="B55547"/>
      <c r="C55547"/>
      <c r="E55547"/>
      <c r="F55547"/>
    </row>
    <row r="55548" spans="1:6" x14ac:dyDescent="0.25">
      <c r="A55548"/>
      <c r="B55548"/>
      <c r="C55548"/>
      <c r="E55548"/>
      <c r="F55548"/>
    </row>
    <row r="55549" spans="1:6" x14ac:dyDescent="0.25">
      <c r="A55549"/>
      <c r="B55549"/>
      <c r="C55549"/>
      <c r="E55549"/>
      <c r="F55549"/>
    </row>
    <row r="55550" spans="1:6" x14ac:dyDescent="0.25">
      <c r="A55550"/>
      <c r="B55550"/>
      <c r="C55550"/>
      <c r="E55550"/>
      <c r="F55550"/>
    </row>
    <row r="55551" spans="1:6" x14ac:dyDescent="0.25">
      <c r="A55551"/>
      <c r="B55551"/>
      <c r="C55551"/>
      <c r="E55551"/>
      <c r="F55551"/>
    </row>
    <row r="55552" spans="1:6" x14ac:dyDescent="0.25">
      <c r="A55552"/>
      <c r="B55552"/>
      <c r="C55552"/>
      <c r="E55552"/>
      <c r="F55552"/>
    </row>
    <row r="55553" spans="1:6" x14ac:dyDescent="0.25">
      <c r="A55553"/>
      <c r="B55553"/>
      <c r="C55553"/>
      <c r="E55553"/>
      <c r="F55553"/>
    </row>
    <row r="55554" spans="1:6" x14ac:dyDescent="0.25">
      <c r="A55554"/>
      <c r="B55554"/>
      <c r="C55554"/>
      <c r="E55554"/>
      <c r="F55554"/>
    </row>
    <row r="55555" spans="1:6" x14ac:dyDescent="0.25">
      <c r="A55555"/>
      <c r="B55555"/>
      <c r="C55555"/>
      <c r="E55555"/>
      <c r="F55555"/>
    </row>
    <row r="55556" spans="1:6" x14ac:dyDescent="0.25">
      <c r="A55556"/>
      <c r="B55556"/>
      <c r="C55556"/>
      <c r="E55556"/>
      <c r="F55556"/>
    </row>
    <row r="55557" spans="1:6" x14ac:dyDescent="0.25">
      <c r="A55557"/>
      <c r="B55557"/>
      <c r="C55557"/>
      <c r="E55557"/>
      <c r="F55557"/>
    </row>
    <row r="55558" spans="1:6" x14ac:dyDescent="0.25">
      <c r="A55558"/>
      <c r="B55558"/>
      <c r="C55558"/>
      <c r="E55558"/>
      <c r="F55558"/>
    </row>
    <row r="55559" spans="1:6" x14ac:dyDescent="0.25">
      <c r="A55559"/>
      <c r="B55559"/>
      <c r="C55559"/>
      <c r="E55559"/>
      <c r="F55559"/>
    </row>
    <row r="55560" spans="1:6" x14ac:dyDescent="0.25">
      <c r="A55560"/>
      <c r="B55560"/>
      <c r="C55560"/>
      <c r="E55560"/>
      <c r="F55560"/>
    </row>
    <row r="55561" spans="1:6" x14ac:dyDescent="0.25">
      <c r="A55561"/>
      <c r="B55561"/>
      <c r="C55561"/>
      <c r="E55561"/>
      <c r="F55561"/>
    </row>
    <row r="55562" spans="1:6" x14ac:dyDescent="0.25">
      <c r="A55562"/>
      <c r="B55562"/>
      <c r="C55562"/>
      <c r="E55562"/>
      <c r="F55562"/>
    </row>
    <row r="55563" spans="1:6" x14ac:dyDescent="0.25">
      <c r="A55563"/>
      <c r="B55563"/>
      <c r="C55563"/>
      <c r="E55563"/>
      <c r="F55563"/>
    </row>
    <row r="55564" spans="1:6" x14ac:dyDescent="0.25">
      <c r="A55564"/>
      <c r="B55564"/>
      <c r="C55564"/>
      <c r="E55564"/>
      <c r="F55564"/>
    </row>
    <row r="55565" spans="1:6" x14ac:dyDescent="0.25">
      <c r="A55565"/>
      <c r="B55565"/>
      <c r="C55565"/>
      <c r="E55565"/>
      <c r="F55565"/>
    </row>
    <row r="55566" spans="1:6" x14ac:dyDescent="0.25">
      <c r="A55566"/>
      <c r="B55566"/>
      <c r="C55566"/>
      <c r="E55566"/>
      <c r="F55566"/>
    </row>
    <row r="55567" spans="1:6" x14ac:dyDescent="0.25">
      <c r="A55567"/>
      <c r="B55567"/>
      <c r="C55567"/>
      <c r="E55567"/>
      <c r="F55567"/>
    </row>
    <row r="55568" spans="1:6" x14ac:dyDescent="0.25">
      <c r="A55568"/>
      <c r="B55568"/>
      <c r="C55568"/>
      <c r="E55568"/>
      <c r="F55568"/>
    </row>
    <row r="55569" spans="1:6" x14ac:dyDescent="0.25">
      <c r="A55569"/>
      <c r="B55569"/>
      <c r="C55569"/>
      <c r="E55569"/>
      <c r="F55569"/>
    </row>
    <row r="55570" spans="1:6" x14ac:dyDescent="0.25">
      <c r="A55570"/>
      <c r="B55570"/>
      <c r="C55570"/>
      <c r="E55570"/>
      <c r="F55570"/>
    </row>
    <row r="55571" spans="1:6" x14ac:dyDescent="0.25">
      <c r="A55571"/>
      <c r="B55571"/>
      <c r="C55571"/>
      <c r="E55571"/>
      <c r="F55571"/>
    </row>
    <row r="55572" spans="1:6" x14ac:dyDescent="0.25">
      <c r="A55572"/>
      <c r="B55572"/>
      <c r="C55572"/>
      <c r="E55572"/>
      <c r="F55572"/>
    </row>
    <row r="55573" spans="1:6" x14ac:dyDescent="0.25">
      <c r="A55573"/>
      <c r="B55573"/>
      <c r="C55573"/>
      <c r="E55573"/>
      <c r="F55573"/>
    </row>
    <row r="55574" spans="1:6" x14ac:dyDescent="0.25">
      <c r="A55574"/>
      <c r="B55574"/>
      <c r="C55574"/>
      <c r="E55574"/>
      <c r="F55574"/>
    </row>
    <row r="55575" spans="1:6" x14ac:dyDescent="0.25">
      <c r="A55575"/>
      <c r="B55575"/>
      <c r="C55575"/>
      <c r="E55575"/>
      <c r="F55575"/>
    </row>
    <row r="55576" spans="1:6" x14ac:dyDescent="0.25">
      <c r="A55576"/>
      <c r="B55576"/>
      <c r="C55576"/>
      <c r="E55576"/>
      <c r="F55576"/>
    </row>
    <row r="55577" spans="1:6" x14ac:dyDescent="0.25">
      <c r="A55577"/>
      <c r="B55577"/>
      <c r="C55577"/>
      <c r="E55577"/>
      <c r="F55577"/>
    </row>
    <row r="55578" spans="1:6" x14ac:dyDescent="0.25">
      <c r="A55578"/>
      <c r="B55578"/>
      <c r="C55578"/>
      <c r="E55578"/>
      <c r="F55578"/>
    </row>
    <row r="55579" spans="1:6" x14ac:dyDescent="0.25">
      <c r="A55579"/>
      <c r="B55579"/>
      <c r="C55579"/>
      <c r="E55579"/>
      <c r="F55579"/>
    </row>
    <row r="55580" spans="1:6" x14ac:dyDescent="0.25">
      <c r="A55580"/>
      <c r="B55580"/>
      <c r="C55580"/>
      <c r="E55580"/>
      <c r="F55580"/>
    </row>
    <row r="55581" spans="1:6" x14ac:dyDescent="0.25">
      <c r="A55581"/>
      <c r="B55581"/>
      <c r="C55581"/>
      <c r="E55581"/>
      <c r="F55581"/>
    </row>
    <row r="55582" spans="1:6" x14ac:dyDescent="0.25">
      <c r="A55582"/>
      <c r="B55582"/>
      <c r="C55582"/>
      <c r="E55582"/>
      <c r="F55582"/>
    </row>
    <row r="55583" spans="1:6" x14ac:dyDescent="0.25">
      <c r="A55583"/>
      <c r="B55583"/>
      <c r="C55583"/>
      <c r="E55583"/>
      <c r="F55583"/>
    </row>
    <row r="55584" spans="1:6" x14ac:dyDescent="0.25">
      <c r="A55584"/>
      <c r="B55584"/>
      <c r="C55584"/>
      <c r="E55584"/>
      <c r="F55584"/>
    </row>
    <row r="55585" spans="1:6" x14ac:dyDescent="0.25">
      <c r="A55585"/>
      <c r="B55585"/>
      <c r="C55585"/>
      <c r="E55585"/>
      <c r="F55585"/>
    </row>
    <row r="55586" spans="1:6" x14ac:dyDescent="0.25">
      <c r="A55586"/>
      <c r="B55586"/>
      <c r="C55586"/>
      <c r="E55586"/>
      <c r="F55586"/>
    </row>
    <row r="55587" spans="1:6" x14ac:dyDescent="0.25">
      <c r="A55587"/>
      <c r="B55587"/>
      <c r="C55587"/>
      <c r="E55587"/>
      <c r="F55587"/>
    </row>
    <row r="55588" spans="1:6" x14ac:dyDescent="0.25">
      <c r="A55588"/>
      <c r="B55588"/>
      <c r="C55588"/>
      <c r="E55588"/>
      <c r="F55588"/>
    </row>
    <row r="55589" spans="1:6" x14ac:dyDescent="0.25">
      <c r="A55589"/>
      <c r="B55589"/>
      <c r="C55589"/>
      <c r="E55589"/>
      <c r="F55589"/>
    </row>
    <row r="55590" spans="1:6" x14ac:dyDescent="0.25">
      <c r="A55590"/>
      <c r="B55590"/>
      <c r="C55590"/>
      <c r="E55590"/>
      <c r="F55590"/>
    </row>
    <row r="55591" spans="1:6" x14ac:dyDescent="0.25">
      <c r="A55591"/>
      <c r="B55591"/>
      <c r="C55591"/>
      <c r="E55591"/>
      <c r="F55591"/>
    </row>
    <row r="55592" spans="1:6" x14ac:dyDescent="0.25">
      <c r="A55592"/>
      <c r="B55592"/>
      <c r="C55592"/>
      <c r="E55592"/>
      <c r="F55592"/>
    </row>
    <row r="55593" spans="1:6" x14ac:dyDescent="0.25">
      <c r="A55593"/>
      <c r="B55593"/>
      <c r="C55593"/>
      <c r="E55593"/>
      <c r="F55593"/>
    </row>
    <row r="55594" spans="1:6" x14ac:dyDescent="0.25">
      <c r="A55594"/>
      <c r="B55594"/>
      <c r="C55594"/>
      <c r="E55594"/>
      <c r="F55594"/>
    </row>
    <row r="55595" spans="1:6" x14ac:dyDescent="0.25">
      <c r="A55595"/>
      <c r="B55595"/>
      <c r="C55595"/>
      <c r="E55595"/>
      <c r="F55595"/>
    </row>
    <row r="55596" spans="1:6" x14ac:dyDescent="0.25">
      <c r="A55596"/>
      <c r="B55596"/>
      <c r="C55596"/>
      <c r="E55596"/>
      <c r="F55596"/>
    </row>
    <row r="55597" spans="1:6" x14ac:dyDescent="0.25">
      <c r="A55597"/>
      <c r="B55597"/>
      <c r="C55597"/>
      <c r="E55597"/>
      <c r="F55597"/>
    </row>
    <row r="55598" spans="1:6" x14ac:dyDescent="0.25">
      <c r="A55598"/>
      <c r="B55598"/>
      <c r="C55598"/>
      <c r="E55598"/>
      <c r="F55598"/>
    </row>
    <row r="55599" spans="1:6" x14ac:dyDescent="0.25">
      <c r="A55599"/>
      <c r="B55599"/>
      <c r="C55599"/>
      <c r="E55599"/>
      <c r="F55599"/>
    </row>
    <row r="55600" spans="1:6" x14ac:dyDescent="0.25">
      <c r="A55600"/>
      <c r="B55600"/>
      <c r="C55600"/>
      <c r="E55600"/>
      <c r="F55600"/>
    </row>
    <row r="55601" spans="1:6" x14ac:dyDescent="0.25">
      <c r="A55601"/>
      <c r="B55601"/>
      <c r="C55601"/>
      <c r="E55601"/>
      <c r="F55601"/>
    </row>
    <row r="55602" spans="1:6" x14ac:dyDescent="0.25">
      <c r="A55602"/>
      <c r="B55602"/>
      <c r="C55602"/>
      <c r="E55602"/>
      <c r="F55602"/>
    </row>
    <row r="55603" spans="1:6" x14ac:dyDescent="0.25">
      <c r="A55603"/>
      <c r="B55603"/>
      <c r="C55603"/>
      <c r="E55603"/>
      <c r="F55603"/>
    </row>
    <row r="55604" spans="1:6" x14ac:dyDescent="0.25">
      <c r="A55604"/>
      <c r="B55604"/>
      <c r="C55604"/>
      <c r="E55604"/>
      <c r="F55604"/>
    </row>
    <row r="55605" spans="1:6" x14ac:dyDescent="0.25">
      <c r="A55605"/>
      <c r="B55605"/>
      <c r="C55605"/>
      <c r="E55605"/>
      <c r="F55605"/>
    </row>
    <row r="55606" spans="1:6" x14ac:dyDescent="0.25">
      <c r="A55606"/>
      <c r="B55606"/>
      <c r="C55606"/>
      <c r="E55606"/>
      <c r="F55606"/>
    </row>
    <row r="55607" spans="1:6" x14ac:dyDescent="0.25">
      <c r="A55607"/>
      <c r="B55607"/>
      <c r="C55607"/>
      <c r="E55607"/>
      <c r="F55607"/>
    </row>
    <row r="55608" spans="1:6" x14ac:dyDescent="0.25">
      <c r="A55608"/>
      <c r="B55608"/>
      <c r="C55608"/>
      <c r="E55608"/>
      <c r="F55608"/>
    </row>
    <row r="55609" spans="1:6" x14ac:dyDescent="0.25">
      <c r="A55609"/>
      <c r="B55609"/>
      <c r="C55609"/>
      <c r="E55609"/>
      <c r="F55609"/>
    </row>
    <row r="55610" spans="1:6" x14ac:dyDescent="0.25">
      <c r="A55610"/>
      <c r="B55610"/>
      <c r="C55610"/>
      <c r="E55610"/>
      <c r="F55610"/>
    </row>
    <row r="55611" spans="1:6" x14ac:dyDescent="0.25">
      <c r="A55611"/>
      <c r="B55611"/>
      <c r="C55611"/>
      <c r="E55611"/>
      <c r="F55611"/>
    </row>
    <row r="55612" spans="1:6" x14ac:dyDescent="0.25">
      <c r="A55612"/>
      <c r="B55612"/>
      <c r="C55612"/>
      <c r="E55612"/>
      <c r="F55612"/>
    </row>
    <row r="55613" spans="1:6" x14ac:dyDescent="0.25">
      <c r="A55613"/>
      <c r="B55613"/>
      <c r="C55613"/>
      <c r="E55613"/>
      <c r="F55613"/>
    </row>
    <row r="55614" spans="1:6" x14ac:dyDescent="0.25">
      <c r="A55614"/>
      <c r="B55614"/>
      <c r="C55614"/>
      <c r="E55614"/>
      <c r="F55614"/>
    </row>
    <row r="55615" spans="1:6" x14ac:dyDescent="0.25">
      <c r="A55615"/>
      <c r="B55615"/>
      <c r="C55615"/>
      <c r="E55615"/>
      <c r="F55615"/>
    </row>
    <row r="55616" spans="1:6" x14ac:dyDescent="0.25">
      <c r="A55616"/>
      <c r="B55616"/>
      <c r="C55616"/>
      <c r="E55616"/>
      <c r="F55616"/>
    </row>
    <row r="55617" spans="1:6" x14ac:dyDescent="0.25">
      <c r="A55617"/>
      <c r="B55617"/>
      <c r="C55617"/>
      <c r="E55617"/>
      <c r="F55617"/>
    </row>
    <row r="55618" spans="1:6" x14ac:dyDescent="0.25">
      <c r="A55618"/>
      <c r="B55618"/>
      <c r="C55618"/>
      <c r="E55618"/>
      <c r="F55618"/>
    </row>
    <row r="55619" spans="1:6" x14ac:dyDescent="0.25">
      <c r="A55619"/>
      <c r="B55619"/>
      <c r="C55619"/>
      <c r="E55619"/>
      <c r="F55619"/>
    </row>
    <row r="55620" spans="1:6" x14ac:dyDescent="0.25">
      <c r="A55620"/>
      <c r="B55620"/>
      <c r="C55620"/>
      <c r="E55620"/>
      <c r="F55620"/>
    </row>
    <row r="55621" spans="1:6" x14ac:dyDescent="0.25">
      <c r="A55621"/>
      <c r="B55621"/>
      <c r="C55621"/>
      <c r="E55621"/>
      <c r="F55621"/>
    </row>
    <row r="55622" spans="1:6" x14ac:dyDescent="0.25">
      <c r="A55622"/>
      <c r="B55622"/>
      <c r="C55622"/>
      <c r="E55622"/>
      <c r="F55622"/>
    </row>
    <row r="55623" spans="1:6" x14ac:dyDescent="0.25">
      <c r="A55623"/>
      <c r="B55623"/>
      <c r="C55623"/>
      <c r="E55623"/>
      <c r="F55623"/>
    </row>
    <row r="55624" spans="1:6" x14ac:dyDescent="0.25">
      <c r="A55624"/>
      <c r="B55624"/>
      <c r="C55624"/>
      <c r="E55624"/>
      <c r="F55624"/>
    </row>
    <row r="55625" spans="1:6" x14ac:dyDescent="0.25">
      <c r="A55625"/>
      <c r="B55625"/>
      <c r="C55625"/>
      <c r="E55625"/>
      <c r="F55625"/>
    </row>
    <row r="55626" spans="1:6" x14ac:dyDescent="0.25">
      <c r="A55626"/>
      <c r="B55626"/>
      <c r="C55626"/>
      <c r="E55626"/>
      <c r="F55626"/>
    </row>
    <row r="55627" spans="1:6" x14ac:dyDescent="0.25">
      <c r="A55627"/>
      <c r="B55627"/>
      <c r="C55627"/>
      <c r="E55627"/>
      <c r="F55627"/>
    </row>
    <row r="55628" spans="1:6" x14ac:dyDescent="0.25">
      <c r="A55628"/>
      <c r="B55628"/>
      <c r="C55628"/>
      <c r="E55628"/>
      <c r="F55628"/>
    </row>
    <row r="55629" spans="1:6" x14ac:dyDescent="0.25">
      <c r="A55629"/>
      <c r="B55629"/>
      <c r="C55629"/>
      <c r="E55629"/>
      <c r="F55629"/>
    </row>
    <row r="55630" spans="1:6" x14ac:dyDescent="0.25">
      <c r="A55630"/>
      <c r="B55630"/>
      <c r="C55630"/>
      <c r="E55630"/>
      <c r="F55630"/>
    </row>
    <row r="55631" spans="1:6" x14ac:dyDescent="0.25">
      <c r="A55631"/>
      <c r="B55631"/>
      <c r="C55631"/>
      <c r="E55631"/>
      <c r="F55631"/>
    </row>
    <row r="55632" spans="1:6" x14ac:dyDescent="0.25">
      <c r="A55632"/>
      <c r="B55632"/>
      <c r="C55632"/>
      <c r="E55632"/>
      <c r="F55632"/>
    </row>
    <row r="55633" spans="1:6" x14ac:dyDescent="0.25">
      <c r="A55633"/>
      <c r="B55633"/>
      <c r="C55633"/>
      <c r="E55633"/>
      <c r="F55633"/>
    </row>
    <row r="55634" spans="1:6" x14ac:dyDescent="0.25">
      <c r="A55634"/>
      <c r="B55634"/>
      <c r="C55634"/>
      <c r="E55634"/>
      <c r="F55634"/>
    </row>
    <row r="55635" spans="1:6" x14ac:dyDescent="0.25">
      <c r="A55635"/>
      <c r="B55635"/>
      <c r="C55635"/>
      <c r="E55635"/>
      <c r="F55635"/>
    </row>
    <row r="55636" spans="1:6" x14ac:dyDescent="0.25">
      <c r="A55636"/>
      <c r="B55636"/>
      <c r="C55636"/>
      <c r="E55636"/>
      <c r="F55636"/>
    </row>
    <row r="55637" spans="1:6" x14ac:dyDescent="0.25">
      <c r="A55637"/>
      <c r="B55637"/>
      <c r="C55637"/>
      <c r="E55637"/>
      <c r="F55637"/>
    </row>
    <row r="55638" spans="1:6" x14ac:dyDescent="0.25">
      <c r="A55638"/>
      <c r="B55638"/>
      <c r="C55638"/>
      <c r="E55638"/>
      <c r="F55638"/>
    </row>
    <row r="55639" spans="1:6" x14ac:dyDescent="0.25">
      <c r="A55639"/>
      <c r="B55639"/>
      <c r="C55639"/>
      <c r="E55639"/>
      <c r="F55639"/>
    </row>
    <row r="55640" spans="1:6" x14ac:dyDescent="0.25">
      <c r="A55640"/>
      <c r="B55640"/>
      <c r="C55640"/>
      <c r="E55640"/>
      <c r="F55640"/>
    </row>
    <row r="55641" spans="1:6" x14ac:dyDescent="0.25">
      <c r="A55641"/>
      <c r="B55641"/>
      <c r="C55641"/>
      <c r="E55641"/>
      <c r="F55641"/>
    </row>
    <row r="55642" spans="1:6" x14ac:dyDescent="0.25">
      <c r="A55642"/>
      <c r="B55642"/>
      <c r="C55642"/>
      <c r="E55642"/>
      <c r="F55642"/>
    </row>
    <row r="55643" spans="1:6" x14ac:dyDescent="0.25">
      <c r="A55643"/>
      <c r="B55643"/>
      <c r="C55643"/>
      <c r="E55643"/>
      <c r="F55643"/>
    </row>
    <row r="55644" spans="1:6" x14ac:dyDescent="0.25">
      <c r="A55644"/>
      <c r="B55644"/>
      <c r="C55644"/>
      <c r="E55644"/>
      <c r="F55644"/>
    </row>
    <row r="55645" spans="1:6" x14ac:dyDescent="0.25">
      <c r="A55645"/>
      <c r="B55645"/>
      <c r="C55645"/>
      <c r="E55645"/>
      <c r="F55645"/>
    </row>
    <row r="55646" spans="1:6" x14ac:dyDescent="0.25">
      <c r="A55646"/>
      <c r="B55646"/>
      <c r="C55646"/>
      <c r="E55646"/>
      <c r="F55646"/>
    </row>
    <row r="55647" spans="1:6" x14ac:dyDescent="0.25">
      <c r="A55647"/>
      <c r="B55647"/>
      <c r="C55647"/>
      <c r="E55647"/>
      <c r="F55647"/>
    </row>
    <row r="55648" spans="1:6" x14ac:dyDescent="0.25">
      <c r="A55648"/>
      <c r="B55648"/>
      <c r="C55648"/>
      <c r="E55648"/>
      <c r="F55648"/>
    </row>
    <row r="55649" spans="1:6" x14ac:dyDescent="0.25">
      <c r="A55649"/>
      <c r="B55649"/>
      <c r="C55649"/>
      <c r="E55649"/>
      <c r="F55649"/>
    </row>
    <row r="55650" spans="1:6" x14ac:dyDescent="0.25">
      <c r="A55650"/>
      <c r="B55650"/>
      <c r="C55650"/>
      <c r="E55650"/>
      <c r="F55650"/>
    </row>
    <row r="55651" spans="1:6" x14ac:dyDescent="0.25">
      <c r="A55651"/>
      <c r="B55651"/>
      <c r="C55651"/>
      <c r="E55651"/>
      <c r="F55651"/>
    </row>
    <row r="55652" spans="1:6" x14ac:dyDescent="0.25">
      <c r="A55652"/>
      <c r="B55652"/>
      <c r="C55652"/>
      <c r="E55652"/>
      <c r="F55652"/>
    </row>
    <row r="55653" spans="1:6" x14ac:dyDescent="0.25">
      <c r="A55653"/>
      <c r="B55653"/>
      <c r="C55653"/>
      <c r="E55653"/>
      <c r="F55653"/>
    </row>
    <row r="55654" spans="1:6" x14ac:dyDescent="0.25">
      <c r="A55654"/>
      <c r="B55654"/>
      <c r="C55654"/>
      <c r="E55654"/>
      <c r="F55654"/>
    </row>
    <row r="55655" spans="1:6" x14ac:dyDescent="0.25">
      <c r="A55655"/>
      <c r="B55655"/>
      <c r="C55655"/>
      <c r="E55655"/>
      <c r="F55655"/>
    </row>
    <row r="55656" spans="1:6" x14ac:dyDescent="0.25">
      <c r="A55656"/>
      <c r="B55656"/>
      <c r="C55656"/>
      <c r="E55656"/>
      <c r="F55656"/>
    </row>
    <row r="55657" spans="1:6" x14ac:dyDescent="0.25">
      <c r="A55657"/>
      <c r="B55657"/>
      <c r="C55657"/>
      <c r="E55657"/>
      <c r="F55657"/>
    </row>
    <row r="55658" spans="1:6" x14ac:dyDescent="0.25">
      <c r="A55658"/>
      <c r="B55658"/>
      <c r="C55658"/>
      <c r="E55658"/>
      <c r="F55658"/>
    </row>
    <row r="55659" spans="1:6" x14ac:dyDescent="0.25">
      <c r="A55659"/>
      <c r="B55659"/>
      <c r="C55659"/>
      <c r="E55659"/>
      <c r="F55659"/>
    </row>
    <row r="55660" spans="1:6" x14ac:dyDescent="0.25">
      <c r="A55660"/>
      <c r="B55660"/>
      <c r="C55660"/>
      <c r="E55660"/>
      <c r="F55660"/>
    </row>
    <row r="55661" spans="1:6" x14ac:dyDescent="0.25">
      <c r="A55661"/>
      <c r="B55661"/>
      <c r="C55661"/>
      <c r="E55661"/>
      <c r="F55661"/>
    </row>
    <row r="55662" spans="1:6" x14ac:dyDescent="0.25">
      <c r="A55662"/>
      <c r="B55662"/>
      <c r="C55662"/>
      <c r="E55662"/>
      <c r="F55662"/>
    </row>
    <row r="55663" spans="1:6" x14ac:dyDescent="0.25">
      <c r="A55663"/>
      <c r="B55663"/>
      <c r="C55663"/>
      <c r="E55663"/>
      <c r="F55663"/>
    </row>
    <row r="55664" spans="1:6" x14ac:dyDescent="0.25">
      <c r="A55664"/>
      <c r="B55664"/>
      <c r="C55664"/>
      <c r="E55664"/>
      <c r="F55664"/>
    </row>
    <row r="55665" spans="1:6" x14ac:dyDescent="0.25">
      <c r="A55665"/>
      <c r="B55665"/>
      <c r="C55665"/>
      <c r="E55665"/>
      <c r="F55665"/>
    </row>
    <row r="55666" spans="1:6" x14ac:dyDescent="0.25">
      <c r="A55666"/>
      <c r="B55666"/>
      <c r="C55666"/>
      <c r="E55666"/>
      <c r="F55666"/>
    </row>
    <row r="55667" spans="1:6" x14ac:dyDescent="0.25">
      <c r="A55667"/>
      <c r="B55667"/>
      <c r="C55667"/>
      <c r="E55667"/>
      <c r="F55667"/>
    </row>
    <row r="55668" spans="1:6" x14ac:dyDescent="0.25">
      <c r="A55668"/>
      <c r="B55668"/>
      <c r="C55668"/>
      <c r="E55668"/>
      <c r="F55668"/>
    </row>
    <row r="55669" spans="1:6" x14ac:dyDescent="0.25">
      <c r="A55669"/>
      <c r="B55669"/>
      <c r="C55669"/>
      <c r="E55669"/>
      <c r="F55669"/>
    </row>
    <row r="55670" spans="1:6" x14ac:dyDescent="0.25">
      <c r="A55670"/>
      <c r="B55670"/>
      <c r="C55670"/>
      <c r="E55670"/>
      <c r="F55670"/>
    </row>
    <row r="55671" spans="1:6" x14ac:dyDescent="0.25">
      <c r="A55671"/>
      <c r="B55671"/>
      <c r="C55671"/>
      <c r="E55671"/>
      <c r="F55671"/>
    </row>
    <row r="55672" spans="1:6" x14ac:dyDescent="0.25">
      <c r="A55672"/>
      <c r="B55672"/>
      <c r="C55672"/>
      <c r="E55672"/>
      <c r="F55672"/>
    </row>
    <row r="55673" spans="1:6" x14ac:dyDescent="0.25">
      <c r="A55673"/>
      <c r="B55673"/>
      <c r="C55673"/>
      <c r="E55673"/>
      <c r="F55673"/>
    </row>
    <row r="55674" spans="1:6" x14ac:dyDescent="0.25">
      <c r="A55674"/>
      <c r="B55674"/>
      <c r="C55674"/>
      <c r="E55674"/>
      <c r="F55674"/>
    </row>
    <row r="55675" spans="1:6" x14ac:dyDescent="0.25">
      <c r="A55675"/>
      <c r="B55675"/>
      <c r="C55675"/>
      <c r="E55675"/>
      <c r="F55675"/>
    </row>
    <row r="55676" spans="1:6" x14ac:dyDescent="0.25">
      <c r="A55676"/>
      <c r="B55676"/>
      <c r="C55676"/>
      <c r="E55676"/>
      <c r="F55676"/>
    </row>
    <row r="55677" spans="1:6" x14ac:dyDescent="0.25">
      <c r="A55677"/>
      <c r="B55677"/>
      <c r="C55677"/>
      <c r="E55677"/>
      <c r="F55677"/>
    </row>
    <row r="55678" spans="1:6" x14ac:dyDescent="0.25">
      <c r="A55678"/>
      <c r="B55678"/>
      <c r="C55678"/>
      <c r="E55678"/>
      <c r="F55678"/>
    </row>
    <row r="55679" spans="1:6" x14ac:dyDescent="0.25">
      <c r="A55679"/>
      <c r="B55679"/>
      <c r="C55679"/>
      <c r="E55679"/>
      <c r="F55679"/>
    </row>
    <row r="55680" spans="1:6" x14ac:dyDescent="0.25">
      <c r="A55680"/>
      <c r="B55680"/>
      <c r="C55680"/>
      <c r="E55680"/>
      <c r="F55680"/>
    </row>
    <row r="55681" spans="1:6" x14ac:dyDescent="0.25">
      <c r="A55681"/>
      <c r="B55681"/>
      <c r="C55681"/>
      <c r="E55681"/>
      <c r="F55681"/>
    </row>
    <row r="55682" spans="1:6" x14ac:dyDescent="0.25">
      <c r="A55682"/>
      <c r="B55682"/>
      <c r="C55682"/>
      <c r="E55682"/>
      <c r="F55682"/>
    </row>
    <row r="55683" spans="1:6" x14ac:dyDescent="0.25">
      <c r="A55683"/>
      <c r="B55683"/>
      <c r="C55683"/>
      <c r="E55683"/>
      <c r="F55683"/>
    </row>
    <row r="55684" spans="1:6" x14ac:dyDescent="0.25">
      <c r="A55684"/>
      <c r="B55684"/>
      <c r="C55684"/>
      <c r="E55684"/>
      <c r="F55684"/>
    </row>
    <row r="55685" spans="1:6" x14ac:dyDescent="0.25">
      <c r="A55685"/>
      <c r="B55685"/>
      <c r="C55685"/>
      <c r="E55685"/>
      <c r="F55685"/>
    </row>
    <row r="55686" spans="1:6" x14ac:dyDescent="0.25">
      <c r="A55686"/>
      <c r="B55686"/>
      <c r="C55686"/>
      <c r="E55686"/>
      <c r="F55686"/>
    </row>
    <row r="55687" spans="1:6" x14ac:dyDescent="0.25">
      <c r="A55687"/>
      <c r="B55687"/>
      <c r="C55687"/>
      <c r="E55687"/>
      <c r="F55687"/>
    </row>
    <row r="55688" spans="1:6" x14ac:dyDescent="0.25">
      <c r="A55688"/>
      <c r="B55688"/>
      <c r="C55688"/>
      <c r="E55688"/>
      <c r="F55688"/>
    </row>
    <row r="55689" spans="1:6" x14ac:dyDescent="0.25">
      <c r="A55689"/>
      <c r="B55689"/>
      <c r="C55689"/>
      <c r="E55689"/>
      <c r="F55689"/>
    </row>
    <row r="55690" spans="1:6" x14ac:dyDescent="0.25">
      <c r="A55690"/>
      <c r="B55690"/>
      <c r="C55690"/>
      <c r="E55690"/>
      <c r="F55690"/>
    </row>
    <row r="55691" spans="1:6" x14ac:dyDescent="0.25">
      <c r="A55691"/>
      <c r="B55691"/>
      <c r="C55691"/>
      <c r="E55691"/>
      <c r="F55691"/>
    </row>
    <row r="55692" spans="1:6" x14ac:dyDescent="0.25">
      <c r="A55692"/>
      <c r="B55692"/>
      <c r="C55692"/>
      <c r="E55692"/>
      <c r="F55692"/>
    </row>
    <row r="55693" spans="1:6" x14ac:dyDescent="0.25">
      <c r="A55693"/>
      <c r="B55693"/>
      <c r="C55693"/>
      <c r="E55693"/>
      <c r="F55693"/>
    </row>
    <row r="55694" spans="1:6" x14ac:dyDescent="0.25">
      <c r="A55694"/>
      <c r="B55694"/>
      <c r="C55694"/>
      <c r="E55694"/>
      <c r="F55694"/>
    </row>
    <row r="55695" spans="1:6" x14ac:dyDescent="0.25">
      <c r="A55695"/>
      <c r="B55695"/>
      <c r="C55695"/>
      <c r="E55695"/>
      <c r="F55695"/>
    </row>
    <row r="55696" spans="1:6" x14ac:dyDescent="0.25">
      <c r="A55696"/>
      <c r="B55696"/>
      <c r="C55696"/>
      <c r="E55696"/>
      <c r="F55696"/>
    </row>
    <row r="55697" spans="1:6" x14ac:dyDescent="0.25">
      <c r="A55697"/>
      <c r="B55697"/>
      <c r="C55697"/>
      <c r="E55697"/>
      <c r="F55697"/>
    </row>
    <row r="55698" spans="1:6" x14ac:dyDescent="0.25">
      <c r="A55698"/>
      <c r="B55698"/>
      <c r="C55698"/>
      <c r="E55698"/>
      <c r="F55698"/>
    </row>
    <row r="55699" spans="1:6" x14ac:dyDescent="0.25">
      <c r="A55699"/>
      <c r="B55699"/>
      <c r="C55699"/>
      <c r="E55699"/>
      <c r="F55699"/>
    </row>
    <row r="55700" spans="1:6" x14ac:dyDescent="0.25">
      <c r="A55700"/>
      <c r="B55700"/>
      <c r="C55700"/>
      <c r="E55700"/>
      <c r="F55700"/>
    </row>
    <row r="55701" spans="1:6" x14ac:dyDescent="0.25">
      <c r="A55701"/>
      <c r="B55701"/>
      <c r="C55701"/>
      <c r="E55701"/>
      <c r="F55701"/>
    </row>
    <row r="55702" spans="1:6" x14ac:dyDescent="0.25">
      <c r="A55702"/>
      <c r="B55702"/>
      <c r="C55702"/>
      <c r="E55702"/>
      <c r="F55702"/>
    </row>
    <row r="55703" spans="1:6" x14ac:dyDescent="0.25">
      <c r="A55703"/>
      <c r="B55703"/>
      <c r="C55703"/>
      <c r="E55703"/>
      <c r="F55703"/>
    </row>
    <row r="55704" spans="1:6" x14ac:dyDescent="0.25">
      <c r="A55704"/>
      <c r="B55704"/>
      <c r="C55704"/>
      <c r="E55704"/>
      <c r="F55704"/>
    </row>
    <row r="55705" spans="1:6" x14ac:dyDescent="0.25">
      <c r="A55705"/>
      <c r="B55705"/>
      <c r="C55705"/>
      <c r="E55705"/>
      <c r="F55705"/>
    </row>
    <row r="55706" spans="1:6" x14ac:dyDescent="0.25">
      <c r="A55706"/>
      <c r="B55706"/>
      <c r="C55706"/>
      <c r="E55706"/>
      <c r="F55706"/>
    </row>
    <row r="55707" spans="1:6" x14ac:dyDescent="0.25">
      <c r="A55707"/>
      <c r="B55707"/>
      <c r="C55707"/>
      <c r="E55707"/>
      <c r="F55707"/>
    </row>
    <row r="55708" spans="1:6" x14ac:dyDescent="0.25">
      <c r="A55708"/>
      <c r="B55708"/>
      <c r="C55708"/>
      <c r="E55708"/>
      <c r="F55708"/>
    </row>
    <row r="55709" spans="1:6" x14ac:dyDescent="0.25">
      <c r="A55709"/>
      <c r="B55709"/>
      <c r="C55709"/>
      <c r="E55709"/>
      <c r="F55709"/>
    </row>
    <row r="55710" spans="1:6" x14ac:dyDescent="0.25">
      <c r="A55710"/>
      <c r="B55710"/>
      <c r="C55710"/>
      <c r="E55710"/>
      <c r="F55710"/>
    </row>
    <row r="55711" spans="1:6" x14ac:dyDescent="0.25">
      <c r="A55711"/>
      <c r="B55711"/>
      <c r="C55711"/>
      <c r="E55711"/>
      <c r="F55711"/>
    </row>
    <row r="55712" spans="1:6" x14ac:dyDescent="0.25">
      <c r="A55712"/>
      <c r="B55712"/>
      <c r="C55712"/>
      <c r="E55712"/>
      <c r="F55712"/>
    </row>
    <row r="55713" spans="1:6" x14ac:dyDescent="0.25">
      <c r="A55713"/>
      <c r="B55713"/>
      <c r="C55713"/>
      <c r="E55713"/>
      <c r="F55713"/>
    </row>
    <row r="55714" spans="1:6" x14ac:dyDescent="0.25">
      <c r="A55714"/>
      <c r="B55714"/>
      <c r="C55714"/>
      <c r="E55714"/>
      <c r="F55714"/>
    </row>
    <row r="55715" spans="1:6" x14ac:dyDescent="0.25">
      <c r="A55715"/>
      <c r="B55715"/>
      <c r="C55715"/>
      <c r="E55715"/>
      <c r="F55715"/>
    </row>
    <row r="55716" spans="1:6" x14ac:dyDescent="0.25">
      <c r="A55716"/>
      <c r="B55716"/>
      <c r="C55716"/>
      <c r="E55716"/>
      <c r="F55716"/>
    </row>
    <row r="55717" spans="1:6" x14ac:dyDescent="0.25">
      <c r="A55717"/>
      <c r="B55717"/>
      <c r="C55717"/>
      <c r="E55717"/>
      <c r="F55717"/>
    </row>
    <row r="55718" spans="1:6" x14ac:dyDescent="0.25">
      <c r="A55718"/>
      <c r="B55718"/>
      <c r="C55718"/>
      <c r="E55718"/>
      <c r="F55718"/>
    </row>
    <row r="55719" spans="1:6" x14ac:dyDescent="0.25">
      <c r="A55719"/>
      <c r="B55719"/>
      <c r="C55719"/>
      <c r="E55719"/>
      <c r="F55719"/>
    </row>
    <row r="55720" spans="1:6" x14ac:dyDescent="0.25">
      <c r="A55720"/>
      <c r="B55720"/>
      <c r="C55720"/>
      <c r="E55720"/>
      <c r="F55720"/>
    </row>
    <row r="55721" spans="1:6" x14ac:dyDescent="0.25">
      <c r="A55721"/>
      <c r="B55721"/>
      <c r="C55721"/>
      <c r="E55721"/>
      <c r="F55721"/>
    </row>
    <row r="55722" spans="1:6" x14ac:dyDescent="0.25">
      <c r="A55722"/>
      <c r="B55722"/>
      <c r="C55722"/>
      <c r="E55722"/>
      <c r="F55722"/>
    </row>
    <row r="55723" spans="1:6" x14ac:dyDescent="0.25">
      <c r="A55723"/>
      <c r="B55723"/>
      <c r="C55723"/>
      <c r="E55723"/>
      <c r="F55723"/>
    </row>
    <row r="55724" spans="1:6" x14ac:dyDescent="0.25">
      <c r="A55724"/>
      <c r="B55724"/>
      <c r="C55724"/>
      <c r="E55724"/>
      <c r="F55724"/>
    </row>
    <row r="55725" spans="1:6" x14ac:dyDescent="0.25">
      <c r="A55725"/>
      <c r="B55725"/>
      <c r="C55725"/>
      <c r="E55725"/>
      <c r="F55725"/>
    </row>
    <row r="55726" spans="1:6" x14ac:dyDescent="0.25">
      <c r="A55726"/>
      <c r="B55726"/>
      <c r="C55726"/>
      <c r="E55726"/>
      <c r="F55726"/>
    </row>
    <row r="55727" spans="1:6" x14ac:dyDescent="0.25">
      <c r="A55727"/>
      <c r="B55727"/>
      <c r="C55727"/>
      <c r="E55727"/>
      <c r="F55727"/>
    </row>
    <row r="55728" spans="1:6" x14ac:dyDescent="0.25">
      <c r="A55728"/>
      <c r="B55728"/>
      <c r="C55728"/>
      <c r="E55728"/>
      <c r="F55728"/>
    </row>
    <row r="55729" spans="1:6" x14ac:dyDescent="0.25">
      <c r="A55729"/>
      <c r="B55729"/>
      <c r="C55729"/>
      <c r="E55729"/>
      <c r="F55729"/>
    </row>
    <row r="55730" spans="1:6" x14ac:dyDescent="0.25">
      <c r="A55730"/>
      <c r="B55730"/>
      <c r="C55730"/>
      <c r="E55730"/>
      <c r="F55730"/>
    </row>
    <row r="55731" spans="1:6" x14ac:dyDescent="0.25">
      <c r="A55731"/>
      <c r="B55731"/>
      <c r="C55731"/>
      <c r="E55731"/>
      <c r="F55731"/>
    </row>
    <row r="55732" spans="1:6" x14ac:dyDescent="0.25">
      <c r="A55732"/>
      <c r="B55732"/>
      <c r="C55732"/>
      <c r="E55732"/>
      <c r="F55732"/>
    </row>
    <row r="55733" spans="1:6" x14ac:dyDescent="0.25">
      <c r="A55733"/>
      <c r="B55733"/>
      <c r="C55733"/>
      <c r="E55733"/>
      <c r="F55733"/>
    </row>
    <row r="55734" spans="1:6" x14ac:dyDescent="0.25">
      <c r="A55734"/>
      <c r="B55734"/>
      <c r="C55734"/>
      <c r="E55734"/>
      <c r="F55734"/>
    </row>
    <row r="55735" spans="1:6" x14ac:dyDescent="0.25">
      <c r="A55735"/>
      <c r="B55735"/>
      <c r="C55735"/>
      <c r="E55735"/>
      <c r="F55735"/>
    </row>
    <row r="55736" spans="1:6" x14ac:dyDescent="0.25">
      <c r="A55736"/>
      <c r="B55736"/>
      <c r="C55736"/>
      <c r="E55736"/>
      <c r="F55736"/>
    </row>
    <row r="55737" spans="1:6" x14ac:dyDescent="0.25">
      <c r="A55737"/>
      <c r="B55737"/>
      <c r="C55737"/>
      <c r="E55737"/>
      <c r="F55737"/>
    </row>
    <row r="55738" spans="1:6" x14ac:dyDescent="0.25">
      <c r="A55738"/>
      <c r="B55738"/>
      <c r="C55738"/>
      <c r="E55738"/>
      <c r="F55738"/>
    </row>
    <row r="55739" spans="1:6" x14ac:dyDescent="0.25">
      <c r="A55739"/>
      <c r="B55739"/>
      <c r="C55739"/>
      <c r="E55739"/>
      <c r="F55739"/>
    </row>
    <row r="55740" spans="1:6" x14ac:dyDescent="0.25">
      <c r="A55740"/>
      <c r="B55740"/>
      <c r="C55740"/>
      <c r="E55740"/>
      <c r="F55740"/>
    </row>
    <row r="55741" spans="1:6" x14ac:dyDescent="0.25">
      <c r="A55741"/>
      <c r="B55741"/>
      <c r="C55741"/>
      <c r="E55741"/>
      <c r="F55741"/>
    </row>
    <row r="55742" spans="1:6" x14ac:dyDescent="0.25">
      <c r="A55742"/>
      <c r="B55742"/>
      <c r="C55742"/>
      <c r="E55742"/>
      <c r="F55742"/>
    </row>
    <row r="55743" spans="1:6" x14ac:dyDescent="0.25">
      <c r="A55743"/>
      <c r="B55743"/>
      <c r="C55743"/>
      <c r="E55743"/>
      <c r="F55743"/>
    </row>
    <row r="55744" spans="1:6" x14ac:dyDescent="0.25">
      <c r="A55744"/>
      <c r="B55744"/>
      <c r="C55744"/>
      <c r="E55744"/>
      <c r="F55744"/>
    </row>
    <row r="55745" spans="1:6" x14ac:dyDescent="0.25">
      <c r="A55745"/>
      <c r="B55745"/>
      <c r="C55745"/>
      <c r="E55745"/>
      <c r="F55745"/>
    </row>
    <row r="55746" spans="1:6" x14ac:dyDescent="0.25">
      <c r="A55746"/>
      <c r="B55746"/>
      <c r="C55746"/>
      <c r="E55746"/>
      <c r="F55746"/>
    </row>
    <row r="55747" spans="1:6" x14ac:dyDescent="0.25">
      <c r="A55747"/>
      <c r="B55747"/>
      <c r="C55747"/>
      <c r="E55747"/>
      <c r="F55747"/>
    </row>
    <row r="55748" spans="1:6" x14ac:dyDescent="0.25">
      <c r="A55748"/>
      <c r="B55748"/>
      <c r="C55748"/>
      <c r="E55748"/>
      <c r="F55748"/>
    </row>
    <row r="55749" spans="1:6" x14ac:dyDescent="0.25">
      <c r="A55749"/>
      <c r="B55749"/>
      <c r="C55749"/>
      <c r="E55749"/>
      <c r="F55749"/>
    </row>
    <row r="55750" spans="1:6" x14ac:dyDescent="0.25">
      <c r="A55750"/>
      <c r="B55750"/>
      <c r="C55750"/>
      <c r="E55750"/>
      <c r="F55750"/>
    </row>
    <row r="55751" spans="1:6" x14ac:dyDescent="0.25">
      <c r="A55751"/>
      <c r="B55751"/>
      <c r="C55751"/>
      <c r="E55751"/>
      <c r="F55751"/>
    </row>
    <row r="55752" spans="1:6" x14ac:dyDescent="0.25">
      <c r="A55752"/>
      <c r="B55752"/>
      <c r="C55752"/>
      <c r="E55752"/>
      <c r="F55752"/>
    </row>
    <row r="55753" spans="1:6" x14ac:dyDescent="0.25">
      <c r="A55753"/>
      <c r="B55753"/>
      <c r="C55753"/>
      <c r="E55753"/>
      <c r="F55753"/>
    </row>
    <row r="55754" spans="1:6" x14ac:dyDescent="0.25">
      <c r="A55754"/>
      <c r="B55754"/>
      <c r="C55754"/>
      <c r="E55754"/>
      <c r="F55754"/>
    </row>
    <row r="55755" spans="1:6" x14ac:dyDescent="0.25">
      <c r="A55755"/>
      <c r="B55755"/>
      <c r="C55755"/>
      <c r="E55755"/>
      <c r="F55755"/>
    </row>
    <row r="55756" spans="1:6" x14ac:dyDescent="0.25">
      <c r="A55756"/>
      <c r="B55756"/>
      <c r="C55756"/>
      <c r="E55756"/>
      <c r="F55756"/>
    </row>
    <row r="55757" spans="1:6" x14ac:dyDescent="0.25">
      <c r="A55757"/>
      <c r="B55757"/>
      <c r="C55757"/>
      <c r="E55757"/>
      <c r="F55757"/>
    </row>
    <row r="55758" spans="1:6" x14ac:dyDescent="0.25">
      <c r="A55758"/>
      <c r="B55758"/>
      <c r="C55758"/>
      <c r="E55758"/>
      <c r="F55758"/>
    </row>
    <row r="55759" spans="1:6" x14ac:dyDescent="0.25">
      <c r="A55759"/>
      <c r="B55759"/>
      <c r="C55759"/>
      <c r="E55759"/>
      <c r="F55759"/>
    </row>
    <row r="55760" spans="1:6" x14ac:dyDescent="0.25">
      <c r="A55760"/>
      <c r="B55760"/>
      <c r="C55760"/>
      <c r="E55760"/>
      <c r="F55760"/>
    </row>
    <row r="55761" spans="1:6" x14ac:dyDescent="0.25">
      <c r="A55761"/>
      <c r="B55761"/>
      <c r="C55761"/>
      <c r="E55761"/>
      <c r="F55761"/>
    </row>
    <row r="55762" spans="1:6" x14ac:dyDescent="0.25">
      <c r="A55762"/>
      <c r="B55762"/>
      <c r="C55762"/>
      <c r="E55762"/>
      <c r="F55762"/>
    </row>
    <row r="55763" spans="1:6" x14ac:dyDescent="0.25">
      <c r="A55763"/>
      <c r="B55763"/>
      <c r="C55763"/>
      <c r="E55763"/>
      <c r="F55763"/>
    </row>
    <row r="55764" spans="1:6" x14ac:dyDescent="0.25">
      <c r="A55764"/>
      <c r="B55764"/>
      <c r="C55764"/>
      <c r="E55764"/>
      <c r="F55764"/>
    </row>
    <row r="55765" spans="1:6" x14ac:dyDescent="0.25">
      <c r="A55765"/>
      <c r="B55765"/>
      <c r="C55765"/>
      <c r="E55765"/>
      <c r="F55765"/>
    </row>
    <row r="55766" spans="1:6" x14ac:dyDescent="0.25">
      <c r="A55766"/>
      <c r="B55766"/>
      <c r="C55766"/>
      <c r="E55766"/>
      <c r="F55766"/>
    </row>
    <row r="55767" spans="1:6" x14ac:dyDescent="0.25">
      <c r="A55767"/>
      <c r="B55767"/>
      <c r="C55767"/>
      <c r="E55767"/>
      <c r="F55767"/>
    </row>
    <row r="55768" spans="1:6" x14ac:dyDescent="0.25">
      <c r="A55768"/>
      <c r="B55768"/>
      <c r="C55768"/>
      <c r="E55768"/>
      <c r="F55768"/>
    </row>
    <row r="55769" spans="1:6" x14ac:dyDescent="0.25">
      <c r="A55769"/>
      <c r="B55769"/>
      <c r="C55769"/>
      <c r="E55769"/>
      <c r="F55769"/>
    </row>
    <row r="55770" spans="1:6" x14ac:dyDescent="0.25">
      <c r="A55770"/>
      <c r="B55770"/>
      <c r="C55770"/>
      <c r="E55770"/>
      <c r="F55770"/>
    </row>
    <row r="55771" spans="1:6" x14ac:dyDescent="0.25">
      <c r="A55771"/>
      <c r="B55771"/>
      <c r="C55771"/>
      <c r="E55771"/>
      <c r="F55771"/>
    </row>
    <row r="55772" spans="1:6" x14ac:dyDescent="0.25">
      <c r="A55772"/>
      <c r="B55772"/>
      <c r="C55772"/>
      <c r="E55772"/>
      <c r="F55772"/>
    </row>
    <row r="55773" spans="1:6" x14ac:dyDescent="0.25">
      <c r="A55773"/>
      <c r="B55773"/>
      <c r="C55773"/>
      <c r="E55773"/>
      <c r="F55773"/>
    </row>
    <row r="55774" spans="1:6" x14ac:dyDescent="0.25">
      <c r="A55774"/>
      <c r="B55774"/>
      <c r="C55774"/>
      <c r="E55774"/>
      <c r="F55774"/>
    </row>
    <row r="55775" spans="1:6" x14ac:dyDescent="0.25">
      <c r="A55775"/>
      <c r="B55775"/>
      <c r="C55775"/>
      <c r="E55775"/>
      <c r="F55775"/>
    </row>
    <row r="55776" spans="1:6" x14ac:dyDescent="0.25">
      <c r="A55776"/>
      <c r="B55776"/>
      <c r="C55776"/>
      <c r="E55776"/>
      <c r="F55776"/>
    </row>
    <row r="55777" spans="1:6" x14ac:dyDescent="0.25">
      <c r="A55777"/>
      <c r="B55777"/>
      <c r="C55777"/>
      <c r="E55777"/>
      <c r="F55777"/>
    </row>
    <row r="55778" spans="1:6" x14ac:dyDescent="0.25">
      <c r="A55778"/>
      <c r="B55778"/>
      <c r="C55778"/>
      <c r="E55778"/>
      <c r="F55778"/>
    </row>
    <row r="55779" spans="1:6" x14ac:dyDescent="0.25">
      <c r="A55779"/>
      <c r="B55779"/>
      <c r="C55779"/>
      <c r="E55779"/>
      <c r="F55779"/>
    </row>
    <row r="55780" spans="1:6" x14ac:dyDescent="0.25">
      <c r="A55780"/>
      <c r="B55780"/>
      <c r="C55780"/>
      <c r="E55780"/>
      <c r="F55780"/>
    </row>
    <row r="55781" spans="1:6" x14ac:dyDescent="0.25">
      <c r="A55781"/>
      <c r="B55781"/>
      <c r="C55781"/>
      <c r="E55781"/>
      <c r="F55781"/>
    </row>
    <row r="55782" spans="1:6" x14ac:dyDescent="0.25">
      <c r="A55782"/>
      <c r="B55782"/>
      <c r="C55782"/>
      <c r="E55782"/>
      <c r="F55782"/>
    </row>
    <row r="55783" spans="1:6" x14ac:dyDescent="0.25">
      <c r="A55783"/>
      <c r="B55783"/>
      <c r="C55783"/>
      <c r="E55783"/>
      <c r="F55783"/>
    </row>
    <row r="55784" spans="1:6" x14ac:dyDescent="0.25">
      <c r="A55784"/>
      <c r="B55784"/>
      <c r="C55784"/>
      <c r="E55784"/>
      <c r="F55784"/>
    </row>
    <row r="55785" spans="1:6" x14ac:dyDescent="0.25">
      <c r="A55785"/>
      <c r="B55785"/>
      <c r="C55785"/>
      <c r="E55785"/>
      <c r="F55785"/>
    </row>
    <row r="55786" spans="1:6" x14ac:dyDescent="0.25">
      <c r="A55786"/>
      <c r="B55786"/>
      <c r="C55786"/>
      <c r="E55786"/>
      <c r="F55786"/>
    </row>
    <row r="55787" spans="1:6" x14ac:dyDescent="0.25">
      <c r="A55787"/>
      <c r="B55787"/>
      <c r="C55787"/>
      <c r="E55787"/>
      <c r="F55787"/>
    </row>
    <row r="55788" spans="1:6" x14ac:dyDescent="0.25">
      <c r="A55788"/>
      <c r="B55788"/>
      <c r="C55788"/>
      <c r="E55788"/>
      <c r="F55788"/>
    </row>
    <row r="55789" spans="1:6" x14ac:dyDescent="0.25">
      <c r="A55789"/>
      <c r="B55789"/>
      <c r="C55789"/>
      <c r="E55789"/>
      <c r="F55789"/>
    </row>
    <row r="55790" spans="1:6" x14ac:dyDescent="0.25">
      <c r="A55790"/>
      <c r="B55790"/>
      <c r="C55790"/>
      <c r="E55790"/>
      <c r="F55790"/>
    </row>
    <row r="55791" spans="1:6" x14ac:dyDescent="0.25">
      <c r="A55791"/>
      <c r="B55791"/>
      <c r="C55791"/>
      <c r="E55791"/>
      <c r="F55791"/>
    </row>
    <row r="55792" spans="1:6" x14ac:dyDescent="0.25">
      <c r="A55792"/>
      <c r="B55792"/>
      <c r="C55792"/>
      <c r="E55792"/>
      <c r="F55792"/>
    </row>
    <row r="55793" spans="1:6" x14ac:dyDescent="0.25">
      <c r="A55793"/>
      <c r="B55793"/>
      <c r="C55793"/>
      <c r="E55793"/>
      <c r="F55793"/>
    </row>
    <row r="55794" spans="1:6" x14ac:dyDescent="0.25">
      <c r="A55794"/>
      <c r="B55794"/>
      <c r="C55794"/>
      <c r="E55794"/>
      <c r="F55794"/>
    </row>
    <row r="55795" spans="1:6" x14ac:dyDescent="0.25">
      <c r="A55795"/>
      <c r="B55795"/>
      <c r="C55795"/>
      <c r="E55795"/>
      <c r="F55795"/>
    </row>
    <row r="55796" spans="1:6" x14ac:dyDescent="0.25">
      <c r="A55796"/>
      <c r="B55796"/>
      <c r="C55796"/>
      <c r="E55796"/>
      <c r="F55796"/>
    </row>
    <row r="55797" spans="1:6" x14ac:dyDescent="0.25">
      <c r="A55797"/>
      <c r="B55797"/>
      <c r="C55797"/>
      <c r="E55797"/>
      <c r="F55797"/>
    </row>
    <row r="55798" spans="1:6" x14ac:dyDescent="0.25">
      <c r="A55798"/>
      <c r="B55798"/>
      <c r="C55798"/>
      <c r="E55798"/>
      <c r="F55798"/>
    </row>
    <row r="55799" spans="1:6" x14ac:dyDescent="0.25">
      <c r="A55799"/>
      <c r="B55799"/>
      <c r="C55799"/>
      <c r="E55799"/>
      <c r="F55799"/>
    </row>
    <row r="55800" spans="1:6" x14ac:dyDescent="0.25">
      <c r="A55800"/>
      <c r="B55800"/>
      <c r="C55800"/>
      <c r="E55800"/>
      <c r="F55800"/>
    </row>
    <row r="55801" spans="1:6" x14ac:dyDescent="0.25">
      <c r="A55801"/>
      <c r="B55801"/>
      <c r="C55801"/>
      <c r="E55801"/>
      <c r="F55801"/>
    </row>
    <row r="55802" spans="1:6" x14ac:dyDescent="0.25">
      <c r="A55802"/>
      <c r="B55802"/>
      <c r="C55802"/>
      <c r="E55802"/>
      <c r="F55802"/>
    </row>
    <row r="55803" spans="1:6" x14ac:dyDescent="0.25">
      <c r="A55803"/>
      <c r="B55803"/>
      <c r="C55803"/>
      <c r="E55803"/>
      <c r="F55803"/>
    </row>
    <row r="55804" spans="1:6" x14ac:dyDescent="0.25">
      <c r="A55804"/>
      <c r="B55804"/>
      <c r="C55804"/>
      <c r="E55804"/>
      <c r="F55804"/>
    </row>
    <row r="55805" spans="1:6" x14ac:dyDescent="0.25">
      <c r="A55805"/>
      <c r="B55805"/>
      <c r="C55805"/>
      <c r="E55805"/>
      <c r="F55805"/>
    </row>
    <row r="55806" spans="1:6" x14ac:dyDescent="0.25">
      <c r="A55806"/>
      <c r="B55806"/>
      <c r="C55806"/>
      <c r="E55806"/>
      <c r="F55806"/>
    </row>
    <row r="55807" spans="1:6" x14ac:dyDescent="0.25">
      <c r="A55807"/>
      <c r="B55807"/>
      <c r="C55807"/>
      <c r="E55807"/>
      <c r="F55807"/>
    </row>
    <row r="55808" spans="1:6" x14ac:dyDescent="0.25">
      <c r="A55808"/>
      <c r="B55808"/>
      <c r="C55808"/>
      <c r="E55808"/>
      <c r="F55808"/>
    </row>
    <row r="55809" spans="1:6" x14ac:dyDescent="0.25">
      <c r="A55809"/>
      <c r="B55809"/>
      <c r="C55809"/>
      <c r="E55809"/>
      <c r="F55809"/>
    </row>
    <row r="55810" spans="1:6" x14ac:dyDescent="0.25">
      <c r="A55810"/>
      <c r="B55810"/>
      <c r="C55810"/>
      <c r="E55810"/>
      <c r="F55810"/>
    </row>
    <row r="55811" spans="1:6" x14ac:dyDescent="0.25">
      <c r="A55811"/>
      <c r="B55811"/>
      <c r="C55811"/>
      <c r="E55811"/>
      <c r="F55811"/>
    </row>
    <row r="55812" spans="1:6" x14ac:dyDescent="0.25">
      <c r="A55812"/>
      <c r="B55812"/>
      <c r="C55812"/>
      <c r="E55812"/>
      <c r="F55812"/>
    </row>
    <row r="55813" spans="1:6" x14ac:dyDescent="0.25">
      <c r="A55813"/>
      <c r="B55813"/>
      <c r="C55813"/>
      <c r="E55813"/>
      <c r="F55813"/>
    </row>
    <row r="55814" spans="1:6" x14ac:dyDescent="0.25">
      <c r="A55814"/>
      <c r="B55814"/>
      <c r="C55814"/>
      <c r="E55814"/>
      <c r="F55814"/>
    </row>
    <row r="55815" spans="1:6" x14ac:dyDescent="0.25">
      <c r="A55815"/>
      <c r="B55815"/>
      <c r="C55815"/>
      <c r="E55815"/>
      <c r="F55815"/>
    </row>
    <row r="55816" spans="1:6" x14ac:dyDescent="0.25">
      <c r="A55816"/>
      <c r="B55816"/>
      <c r="C55816"/>
      <c r="E55816"/>
      <c r="F55816"/>
    </row>
    <row r="55817" spans="1:6" x14ac:dyDescent="0.25">
      <c r="A55817"/>
      <c r="B55817"/>
      <c r="C55817"/>
      <c r="E55817"/>
      <c r="F55817"/>
    </row>
    <row r="55818" spans="1:6" x14ac:dyDescent="0.25">
      <c r="A55818"/>
      <c r="B55818"/>
      <c r="C55818"/>
      <c r="E55818"/>
      <c r="F55818"/>
    </row>
    <row r="55819" spans="1:6" x14ac:dyDescent="0.25">
      <c r="A55819"/>
      <c r="B55819"/>
      <c r="C55819"/>
      <c r="E55819"/>
      <c r="F55819"/>
    </row>
    <row r="55820" spans="1:6" x14ac:dyDescent="0.25">
      <c r="A55820"/>
      <c r="B55820"/>
      <c r="C55820"/>
      <c r="E55820"/>
      <c r="F55820"/>
    </row>
    <row r="55821" spans="1:6" x14ac:dyDescent="0.25">
      <c r="A55821"/>
      <c r="B55821"/>
      <c r="C55821"/>
      <c r="E55821"/>
      <c r="F55821"/>
    </row>
    <row r="55822" spans="1:6" x14ac:dyDescent="0.25">
      <c r="A55822"/>
      <c r="B55822"/>
      <c r="C55822"/>
      <c r="E55822"/>
      <c r="F55822"/>
    </row>
    <row r="55823" spans="1:6" x14ac:dyDescent="0.25">
      <c r="A55823"/>
      <c r="B55823"/>
      <c r="C55823"/>
      <c r="E55823"/>
      <c r="F55823"/>
    </row>
    <row r="55824" spans="1:6" x14ac:dyDescent="0.25">
      <c r="A55824"/>
      <c r="B55824"/>
      <c r="C55824"/>
      <c r="E55824"/>
      <c r="F55824"/>
    </row>
    <row r="55825" spans="1:6" x14ac:dyDescent="0.25">
      <c r="A55825"/>
      <c r="B55825"/>
      <c r="C55825"/>
      <c r="E55825"/>
      <c r="F55825"/>
    </row>
    <row r="55826" spans="1:6" x14ac:dyDescent="0.25">
      <c r="A55826"/>
      <c r="B55826"/>
      <c r="C55826"/>
      <c r="E55826"/>
      <c r="F55826"/>
    </row>
    <row r="55827" spans="1:6" x14ac:dyDescent="0.25">
      <c r="A55827"/>
      <c r="B55827"/>
      <c r="C55827"/>
      <c r="E55827"/>
      <c r="F55827"/>
    </row>
    <row r="55828" spans="1:6" x14ac:dyDescent="0.25">
      <c r="A55828"/>
      <c r="B55828"/>
      <c r="C55828"/>
      <c r="E55828"/>
      <c r="F55828"/>
    </row>
    <row r="55829" spans="1:6" x14ac:dyDescent="0.25">
      <c r="A55829"/>
      <c r="B55829"/>
      <c r="C55829"/>
      <c r="E55829"/>
      <c r="F55829"/>
    </row>
    <row r="55830" spans="1:6" x14ac:dyDescent="0.25">
      <c r="A55830"/>
      <c r="B55830"/>
      <c r="C55830"/>
      <c r="E55830"/>
      <c r="F55830"/>
    </row>
    <row r="55831" spans="1:6" x14ac:dyDescent="0.25">
      <c r="A55831"/>
      <c r="B55831"/>
      <c r="C55831"/>
      <c r="E55831"/>
      <c r="F55831"/>
    </row>
    <row r="55832" spans="1:6" x14ac:dyDescent="0.25">
      <c r="A55832"/>
      <c r="B55832"/>
      <c r="C55832"/>
      <c r="E55832"/>
      <c r="F55832"/>
    </row>
    <row r="55833" spans="1:6" x14ac:dyDescent="0.25">
      <c r="A55833"/>
      <c r="B55833"/>
      <c r="C55833"/>
      <c r="E55833"/>
      <c r="F55833"/>
    </row>
    <row r="55834" spans="1:6" x14ac:dyDescent="0.25">
      <c r="A55834"/>
      <c r="B55834"/>
      <c r="C55834"/>
      <c r="E55834"/>
      <c r="F55834"/>
    </row>
    <row r="55835" spans="1:6" x14ac:dyDescent="0.25">
      <c r="A55835"/>
      <c r="B55835"/>
      <c r="C55835"/>
      <c r="E55835"/>
      <c r="F55835"/>
    </row>
    <row r="55836" spans="1:6" x14ac:dyDescent="0.25">
      <c r="A55836"/>
      <c r="B55836"/>
      <c r="C55836"/>
      <c r="E55836"/>
      <c r="F55836"/>
    </row>
    <row r="55837" spans="1:6" x14ac:dyDescent="0.25">
      <c r="A55837"/>
      <c r="B55837"/>
      <c r="C55837"/>
      <c r="E55837"/>
      <c r="F55837"/>
    </row>
    <row r="55838" spans="1:6" x14ac:dyDescent="0.25">
      <c r="A55838"/>
      <c r="B55838"/>
      <c r="C55838"/>
      <c r="E55838"/>
      <c r="F55838"/>
    </row>
    <row r="55839" spans="1:6" x14ac:dyDescent="0.25">
      <c r="A55839"/>
      <c r="B55839"/>
      <c r="C55839"/>
      <c r="E55839"/>
      <c r="F55839"/>
    </row>
    <row r="55840" spans="1:6" x14ac:dyDescent="0.25">
      <c r="A55840"/>
      <c r="B55840"/>
      <c r="C55840"/>
      <c r="E55840"/>
      <c r="F55840"/>
    </row>
    <row r="55841" spans="1:6" x14ac:dyDescent="0.25">
      <c r="A55841"/>
      <c r="B55841"/>
      <c r="C55841"/>
      <c r="E55841"/>
      <c r="F55841"/>
    </row>
    <row r="55842" spans="1:6" x14ac:dyDescent="0.25">
      <c r="A55842"/>
      <c r="B55842"/>
      <c r="C55842"/>
      <c r="E55842"/>
      <c r="F55842"/>
    </row>
    <row r="55843" spans="1:6" x14ac:dyDescent="0.25">
      <c r="A55843"/>
      <c r="B55843"/>
      <c r="C55843"/>
      <c r="E55843"/>
      <c r="F55843"/>
    </row>
    <row r="55844" spans="1:6" x14ac:dyDescent="0.25">
      <c r="A55844"/>
      <c r="B55844"/>
      <c r="C55844"/>
      <c r="E55844"/>
      <c r="F55844"/>
    </row>
    <row r="55845" spans="1:6" x14ac:dyDescent="0.25">
      <c r="A55845"/>
      <c r="B55845"/>
      <c r="C55845"/>
      <c r="E55845"/>
      <c r="F55845"/>
    </row>
    <row r="55846" spans="1:6" x14ac:dyDescent="0.25">
      <c r="A55846"/>
      <c r="B55846"/>
      <c r="C55846"/>
      <c r="E55846"/>
      <c r="F55846"/>
    </row>
    <row r="55847" spans="1:6" x14ac:dyDescent="0.25">
      <c r="A55847"/>
      <c r="B55847"/>
      <c r="C55847"/>
      <c r="E55847"/>
      <c r="F55847"/>
    </row>
    <row r="55848" spans="1:6" x14ac:dyDescent="0.25">
      <c r="A55848"/>
      <c r="B55848"/>
      <c r="C55848"/>
      <c r="E55848"/>
      <c r="F55848"/>
    </row>
    <row r="55849" spans="1:6" x14ac:dyDescent="0.25">
      <c r="A55849"/>
      <c r="B55849"/>
      <c r="C55849"/>
      <c r="E55849"/>
      <c r="F55849"/>
    </row>
    <row r="55850" spans="1:6" x14ac:dyDescent="0.25">
      <c r="A55850"/>
      <c r="B55850"/>
      <c r="C55850"/>
      <c r="E55850"/>
      <c r="F55850"/>
    </row>
    <row r="55851" spans="1:6" x14ac:dyDescent="0.25">
      <c r="A55851"/>
      <c r="B55851"/>
      <c r="C55851"/>
      <c r="E55851"/>
      <c r="F55851"/>
    </row>
    <row r="55852" spans="1:6" x14ac:dyDescent="0.25">
      <c r="A55852"/>
      <c r="B55852"/>
      <c r="C55852"/>
      <c r="E55852"/>
      <c r="F55852"/>
    </row>
    <row r="55853" spans="1:6" x14ac:dyDescent="0.25">
      <c r="A55853"/>
      <c r="B55853"/>
      <c r="C55853"/>
      <c r="E55853"/>
      <c r="F55853"/>
    </row>
    <row r="55854" spans="1:6" x14ac:dyDescent="0.25">
      <c r="A55854"/>
      <c r="B55854"/>
      <c r="C55854"/>
      <c r="E55854"/>
      <c r="F55854"/>
    </row>
    <row r="55855" spans="1:6" x14ac:dyDescent="0.25">
      <c r="A55855"/>
      <c r="B55855"/>
      <c r="C55855"/>
      <c r="E55855"/>
      <c r="F55855"/>
    </row>
    <row r="55856" spans="1:6" x14ac:dyDescent="0.25">
      <c r="A55856"/>
      <c r="B55856"/>
      <c r="C55856"/>
      <c r="E55856"/>
      <c r="F55856"/>
    </row>
    <row r="55857" spans="1:6" x14ac:dyDescent="0.25">
      <c r="A55857"/>
      <c r="B55857"/>
      <c r="C55857"/>
      <c r="E55857"/>
      <c r="F55857"/>
    </row>
    <row r="55858" spans="1:6" x14ac:dyDescent="0.25">
      <c r="A55858"/>
      <c r="B55858"/>
      <c r="C55858"/>
      <c r="E55858"/>
      <c r="F55858"/>
    </row>
    <row r="55859" spans="1:6" x14ac:dyDescent="0.25">
      <c r="A55859"/>
      <c r="B55859"/>
      <c r="C55859"/>
      <c r="E55859"/>
      <c r="F55859"/>
    </row>
    <row r="55860" spans="1:6" x14ac:dyDescent="0.25">
      <c r="A55860"/>
      <c r="B55860"/>
      <c r="C55860"/>
      <c r="E55860"/>
      <c r="F55860"/>
    </row>
    <row r="55861" spans="1:6" x14ac:dyDescent="0.25">
      <c r="A55861"/>
      <c r="B55861"/>
      <c r="C55861"/>
      <c r="E55861"/>
      <c r="F55861"/>
    </row>
    <row r="55862" spans="1:6" x14ac:dyDescent="0.25">
      <c r="A55862"/>
      <c r="B55862"/>
      <c r="C55862"/>
      <c r="E55862"/>
      <c r="F55862"/>
    </row>
    <row r="55863" spans="1:6" x14ac:dyDescent="0.25">
      <c r="A55863"/>
      <c r="B55863"/>
      <c r="C55863"/>
      <c r="E55863"/>
      <c r="F55863"/>
    </row>
    <row r="55864" spans="1:6" x14ac:dyDescent="0.25">
      <c r="A55864"/>
      <c r="B55864"/>
      <c r="C55864"/>
      <c r="E55864"/>
      <c r="F55864"/>
    </row>
    <row r="55865" spans="1:6" x14ac:dyDescent="0.25">
      <c r="A55865"/>
      <c r="B55865"/>
      <c r="C55865"/>
      <c r="E55865"/>
      <c r="F55865"/>
    </row>
    <row r="55866" spans="1:6" x14ac:dyDescent="0.25">
      <c r="A55866"/>
      <c r="B55866"/>
      <c r="C55866"/>
      <c r="E55866"/>
      <c r="F55866"/>
    </row>
    <row r="55867" spans="1:6" x14ac:dyDescent="0.25">
      <c r="A55867"/>
      <c r="B55867"/>
      <c r="C55867"/>
      <c r="E55867"/>
      <c r="F55867"/>
    </row>
    <row r="55868" spans="1:6" x14ac:dyDescent="0.25">
      <c r="A55868"/>
      <c r="B55868"/>
      <c r="C55868"/>
      <c r="E55868"/>
      <c r="F55868"/>
    </row>
    <row r="55869" spans="1:6" x14ac:dyDescent="0.25">
      <c r="A55869"/>
      <c r="B55869"/>
      <c r="C55869"/>
      <c r="E55869"/>
      <c r="F55869"/>
    </row>
    <row r="55870" spans="1:6" x14ac:dyDescent="0.25">
      <c r="A55870"/>
      <c r="B55870"/>
      <c r="C55870"/>
      <c r="E55870"/>
      <c r="F55870"/>
    </row>
    <row r="55871" spans="1:6" x14ac:dyDescent="0.25">
      <c r="A55871"/>
      <c r="B55871"/>
      <c r="C55871"/>
      <c r="E55871"/>
      <c r="F55871"/>
    </row>
    <row r="55872" spans="1:6" x14ac:dyDescent="0.25">
      <c r="A55872"/>
      <c r="B55872"/>
      <c r="C55872"/>
      <c r="E55872"/>
      <c r="F55872"/>
    </row>
    <row r="55873" spans="1:6" x14ac:dyDescent="0.25">
      <c r="A55873"/>
      <c r="B55873"/>
      <c r="C55873"/>
      <c r="E55873"/>
      <c r="F55873"/>
    </row>
    <row r="55874" spans="1:6" x14ac:dyDescent="0.25">
      <c r="A55874"/>
      <c r="B55874"/>
      <c r="C55874"/>
      <c r="E55874"/>
      <c r="F55874"/>
    </row>
    <row r="55875" spans="1:6" x14ac:dyDescent="0.25">
      <c r="A55875"/>
      <c r="B55875"/>
      <c r="C55875"/>
      <c r="E55875"/>
      <c r="F55875"/>
    </row>
    <row r="55876" spans="1:6" x14ac:dyDescent="0.25">
      <c r="A55876"/>
      <c r="B55876"/>
      <c r="C55876"/>
      <c r="E55876"/>
      <c r="F55876"/>
    </row>
    <row r="55877" spans="1:6" x14ac:dyDescent="0.25">
      <c r="A55877"/>
      <c r="B55877"/>
      <c r="C55877"/>
      <c r="E55877"/>
      <c r="F55877"/>
    </row>
    <row r="55878" spans="1:6" x14ac:dyDescent="0.25">
      <c r="A55878"/>
      <c r="B55878"/>
      <c r="C55878"/>
      <c r="E55878"/>
      <c r="F55878"/>
    </row>
    <row r="55879" spans="1:6" x14ac:dyDescent="0.25">
      <c r="A55879"/>
      <c r="B55879"/>
      <c r="C55879"/>
      <c r="E55879"/>
      <c r="F55879"/>
    </row>
    <row r="55880" spans="1:6" x14ac:dyDescent="0.25">
      <c r="A55880"/>
      <c r="B55880"/>
      <c r="C55880"/>
      <c r="E55880"/>
      <c r="F55880"/>
    </row>
    <row r="55881" spans="1:6" x14ac:dyDescent="0.25">
      <c r="A55881"/>
      <c r="B55881"/>
      <c r="C55881"/>
      <c r="E55881"/>
      <c r="F55881"/>
    </row>
    <row r="55882" spans="1:6" x14ac:dyDescent="0.25">
      <c r="A55882"/>
      <c r="B55882"/>
      <c r="C55882"/>
      <c r="E55882"/>
      <c r="F55882"/>
    </row>
    <row r="55883" spans="1:6" x14ac:dyDescent="0.25">
      <c r="A55883"/>
      <c r="B55883"/>
      <c r="C55883"/>
      <c r="E55883"/>
      <c r="F55883"/>
    </row>
    <row r="55884" spans="1:6" x14ac:dyDescent="0.25">
      <c r="A55884"/>
      <c r="B55884"/>
      <c r="C55884"/>
      <c r="E55884"/>
      <c r="F55884"/>
    </row>
    <row r="55885" spans="1:6" x14ac:dyDescent="0.25">
      <c r="A55885"/>
      <c r="B55885"/>
      <c r="C55885"/>
      <c r="E55885"/>
      <c r="F55885"/>
    </row>
    <row r="55886" spans="1:6" x14ac:dyDescent="0.25">
      <c r="A55886"/>
      <c r="B55886"/>
      <c r="C55886"/>
      <c r="E55886"/>
      <c r="F55886"/>
    </row>
    <row r="55887" spans="1:6" x14ac:dyDescent="0.25">
      <c r="A55887"/>
      <c r="B55887"/>
      <c r="C55887"/>
      <c r="E55887"/>
      <c r="F55887"/>
    </row>
    <row r="55888" spans="1:6" x14ac:dyDescent="0.25">
      <c r="A55888"/>
      <c r="B55888"/>
      <c r="C55888"/>
      <c r="E55888"/>
      <c r="F55888"/>
    </row>
    <row r="55889" spans="1:6" x14ac:dyDescent="0.25">
      <c r="A55889"/>
      <c r="B55889"/>
      <c r="C55889"/>
      <c r="E55889"/>
      <c r="F55889"/>
    </row>
    <row r="55890" spans="1:6" x14ac:dyDescent="0.25">
      <c r="A55890"/>
      <c r="B55890"/>
      <c r="C55890"/>
      <c r="E55890"/>
      <c r="F55890"/>
    </row>
    <row r="55891" spans="1:6" x14ac:dyDescent="0.25">
      <c r="A55891"/>
      <c r="B55891"/>
      <c r="C55891"/>
      <c r="E55891"/>
      <c r="F55891"/>
    </row>
    <row r="55892" spans="1:6" x14ac:dyDescent="0.25">
      <c r="A55892"/>
      <c r="B55892"/>
      <c r="C55892"/>
      <c r="E55892"/>
      <c r="F55892"/>
    </row>
    <row r="55893" spans="1:6" x14ac:dyDescent="0.25">
      <c r="A55893"/>
      <c r="B55893"/>
      <c r="C55893"/>
      <c r="E55893"/>
      <c r="F55893"/>
    </row>
    <row r="55894" spans="1:6" x14ac:dyDescent="0.25">
      <c r="A55894"/>
      <c r="B55894"/>
      <c r="C55894"/>
      <c r="E55894"/>
      <c r="F55894"/>
    </row>
    <row r="55895" spans="1:6" x14ac:dyDescent="0.25">
      <c r="A55895"/>
      <c r="B55895"/>
      <c r="C55895"/>
      <c r="E55895"/>
      <c r="F55895"/>
    </row>
    <row r="55896" spans="1:6" x14ac:dyDescent="0.25">
      <c r="A55896"/>
      <c r="B55896"/>
      <c r="C55896"/>
      <c r="E55896"/>
      <c r="F55896"/>
    </row>
    <row r="55897" spans="1:6" x14ac:dyDescent="0.25">
      <c r="A55897"/>
      <c r="B55897"/>
      <c r="C55897"/>
      <c r="E55897"/>
      <c r="F55897"/>
    </row>
    <row r="55898" spans="1:6" x14ac:dyDescent="0.25">
      <c r="A55898"/>
      <c r="B55898"/>
      <c r="C55898"/>
      <c r="E55898"/>
      <c r="F55898"/>
    </row>
    <row r="55899" spans="1:6" x14ac:dyDescent="0.25">
      <c r="A55899"/>
      <c r="B55899"/>
      <c r="C55899"/>
      <c r="E55899"/>
      <c r="F55899"/>
    </row>
    <row r="55900" spans="1:6" x14ac:dyDescent="0.25">
      <c r="A55900"/>
      <c r="B55900"/>
      <c r="C55900"/>
      <c r="E55900"/>
      <c r="F55900"/>
    </row>
    <row r="55901" spans="1:6" x14ac:dyDescent="0.25">
      <c r="A55901"/>
      <c r="B55901"/>
      <c r="C55901"/>
      <c r="E55901"/>
      <c r="F55901"/>
    </row>
    <row r="55902" spans="1:6" x14ac:dyDescent="0.25">
      <c r="A55902"/>
      <c r="B55902"/>
      <c r="C55902"/>
      <c r="E55902"/>
      <c r="F55902"/>
    </row>
    <row r="55903" spans="1:6" x14ac:dyDescent="0.25">
      <c r="A55903"/>
      <c r="B55903"/>
      <c r="C55903"/>
      <c r="E55903"/>
      <c r="F55903"/>
    </row>
    <row r="55904" spans="1:6" x14ac:dyDescent="0.25">
      <c r="A55904"/>
      <c r="B55904"/>
      <c r="C55904"/>
      <c r="E55904"/>
      <c r="F55904"/>
    </row>
    <row r="55905" spans="1:6" x14ac:dyDescent="0.25">
      <c r="A55905"/>
      <c r="B55905"/>
      <c r="C55905"/>
      <c r="E55905"/>
      <c r="F55905"/>
    </row>
    <row r="55906" spans="1:6" x14ac:dyDescent="0.25">
      <c r="A55906"/>
      <c r="B55906"/>
      <c r="C55906"/>
      <c r="E55906"/>
      <c r="F55906"/>
    </row>
    <row r="55907" spans="1:6" x14ac:dyDescent="0.25">
      <c r="A55907"/>
      <c r="B55907"/>
      <c r="C55907"/>
      <c r="E55907"/>
      <c r="F55907"/>
    </row>
    <row r="55908" spans="1:6" x14ac:dyDescent="0.25">
      <c r="A55908"/>
      <c r="B55908"/>
      <c r="C55908"/>
      <c r="E55908"/>
      <c r="F55908"/>
    </row>
    <row r="55909" spans="1:6" x14ac:dyDescent="0.25">
      <c r="A55909"/>
      <c r="B55909"/>
      <c r="C55909"/>
      <c r="E55909"/>
      <c r="F55909"/>
    </row>
    <row r="55910" spans="1:6" x14ac:dyDescent="0.25">
      <c r="A55910"/>
      <c r="B55910"/>
      <c r="C55910"/>
      <c r="E55910"/>
      <c r="F55910"/>
    </row>
    <row r="55911" spans="1:6" x14ac:dyDescent="0.25">
      <c r="A55911"/>
      <c r="B55911"/>
      <c r="C55911"/>
      <c r="E55911"/>
      <c r="F55911"/>
    </row>
    <row r="55912" spans="1:6" x14ac:dyDescent="0.25">
      <c r="A55912"/>
      <c r="B55912"/>
      <c r="C55912"/>
      <c r="E55912"/>
      <c r="F55912"/>
    </row>
    <row r="55913" spans="1:6" x14ac:dyDescent="0.25">
      <c r="A55913"/>
      <c r="B55913"/>
      <c r="C55913"/>
      <c r="E55913"/>
      <c r="F55913"/>
    </row>
    <row r="55914" spans="1:6" x14ac:dyDescent="0.25">
      <c r="A55914"/>
      <c r="B55914"/>
      <c r="C55914"/>
      <c r="E55914"/>
      <c r="F55914"/>
    </row>
    <row r="55915" spans="1:6" x14ac:dyDescent="0.25">
      <c r="A55915"/>
      <c r="B55915"/>
      <c r="C55915"/>
      <c r="E55915"/>
      <c r="F55915"/>
    </row>
    <row r="55916" spans="1:6" x14ac:dyDescent="0.25">
      <c r="A55916"/>
      <c r="B55916"/>
      <c r="C55916"/>
      <c r="E55916"/>
      <c r="F55916"/>
    </row>
    <row r="55917" spans="1:6" x14ac:dyDescent="0.25">
      <c r="A55917"/>
      <c r="B55917"/>
      <c r="C55917"/>
      <c r="E55917"/>
      <c r="F55917"/>
    </row>
    <row r="55918" spans="1:6" x14ac:dyDescent="0.25">
      <c r="A55918"/>
      <c r="B55918"/>
      <c r="C55918"/>
      <c r="E55918"/>
      <c r="F55918"/>
    </row>
    <row r="55919" spans="1:6" x14ac:dyDescent="0.25">
      <c r="A55919"/>
      <c r="B55919"/>
      <c r="C55919"/>
      <c r="E55919"/>
      <c r="F55919"/>
    </row>
    <row r="55920" spans="1:6" x14ac:dyDescent="0.25">
      <c r="A55920"/>
      <c r="B55920"/>
      <c r="C55920"/>
      <c r="E55920"/>
      <c r="F55920"/>
    </row>
    <row r="55921" spans="1:6" x14ac:dyDescent="0.25">
      <c r="A55921"/>
      <c r="B55921"/>
      <c r="C55921"/>
      <c r="E55921"/>
      <c r="F55921"/>
    </row>
    <row r="55922" spans="1:6" x14ac:dyDescent="0.25">
      <c r="A55922"/>
      <c r="B55922"/>
      <c r="C55922"/>
      <c r="E55922"/>
      <c r="F55922"/>
    </row>
    <row r="55923" spans="1:6" x14ac:dyDescent="0.25">
      <c r="A55923"/>
      <c r="B55923"/>
      <c r="C55923"/>
      <c r="E55923"/>
      <c r="F55923"/>
    </row>
    <row r="55924" spans="1:6" x14ac:dyDescent="0.25">
      <c r="A55924"/>
      <c r="B55924"/>
      <c r="C55924"/>
      <c r="E55924"/>
      <c r="F55924"/>
    </row>
    <row r="55925" spans="1:6" x14ac:dyDescent="0.25">
      <c r="A55925"/>
      <c r="B55925"/>
      <c r="C55925"/>
      <c r="E55925"/>
      <c r="F55925"/>
    </row>
    <row r="55926" spans="1:6" x14ac:dyDescent="0.25">
      <c r="A55926"/>
      <c r="B55926"/>
      <c r="C55926"/>
      <c r="E55926"/>
      <c r="F55926"/>
    </row>
    <row r="55927" spans="1:6" x14ac:dyDescent="0.25">
      <c r="A55927"/>
      <c r="B55927"/>
      <c r="C55927"/>
      <c r="E55927"/>
      <c r="F55927"/>
    </row>
    <row r="55928" spans="1:6" x14ac:dyDescent="0.25">
      <c r="A55928"/>
      <c r="B55928"/>
      <c r="C55928"/>
      <c r="E55928"/>
      <c r="F55928"/>
    </row>
    <row r="55929" spans="1:6" x14ac:dyDescent="0.25">
      <c r="A55929"/>
      <c r="B55929"/>
      <c r="C55929"/>
      <c r="E55929"/>
      <c r="F55929"/>
    </row>
    <row r="55930" spans="1:6" x14ac:dyDescent="0.25">
      <c r="A55930"/>
      <c r="B55930"/>
      <c r="C55930"/>
      <c r="E55930"/>
      <c r="F55930"/>
    </row>
    <row r="55931" spans="1:6" x14ac:dyDescent="0.25">
      <c r="A55931"/>
      <c r="B55931"/>
      <c r="C55931"/>
      <c r="E55931"/>
      <c r="F55931"/>
    </row>
    <row r="55932" spans="1:6" x14ac:dyDescent="0.25">
      <c r="A55932"/>
      <c r="B55932"/>
      <c r="C55932"/>
      <c r="E55932"/>
      <c r="F55932"/>
    </row>
    <row r="55933" spans="1:6" x14ac:dyDescent="0.25">
      <c r="A55933"/>
      <c r="B55933"/>
      <c r="C55933"/>
      <c r="E55933"/>
      <c r="F55933"/>
    </row>
    <row r="55934" spans="1:6" x14ac:dyDescent="0.25">
      <c r="A55934"/>
      <c r="B55934"/>
      <c r="C55934"/>
      <c r="E55934"/>
      <c r="F55934"/>
    </row>
    <row r="55935" spans="1:6" x14ac:dyDescent="0.25">
      <c r="A55935"/>
      <c r="B55935"/>
      <c r="C55935"/>
      <c r="E55935"/>
      <c r="F55935"/>
    </row>
    <row r="55936" spans="1:6" x14ac:dyDescent="0.25">
      <c r="A55936"/>
      <c r="B55936"/>
      <c r="C55936"/>
      <c r="E55936"/>
      <c r="F55936"/>
    </row>
    <row r="55937" spans="1:6" x14ac:dyDescent="0.25">
      <c r="A55937"/>
      <c r="B55937"/>
      <c r="C55937"/>
      <c r="E55937"/>
      <c r="F55937"/>
    </row>
    <row r="55938" spans="1:6" x14ac:dyDescent="0.25">
      <c r="A55938"/>
      <c r="B55938"/>
      <c r="C55938"/>
      <c r="E55938"/>
      <c r="F55938"/>
    </row>
    <row r="55939" spans="1:6" x14ac:dyDescent="0.25">
      <c r="A55939"/>
      <c r="B55939"/>
      <c r="C55939"/>
      <c r="E55939"/>
      <c r="F55939"/>
    </row>
    <row r="55940" spans="1:6" x14ac:dyDescent="0.25">
      <c r="A55940"/>
      <c r="B55940"/>
      <c r="C55940"/>
      <c r="E55940"/>
      <c r="F55940"/>
    </row>
    <row r="55941" spans="1:6" x14ac:dyDescent="0.25">
      <c r="A55941"/>
      <c r="B55941"/>
      <c r="C55941"/>
      <c r="E55941"/>
      <c r="F55941"/>
    </row>
    <row r="55942" spans="1:6" x14ac:dyDescent="0.25">
      <c r="A55942"/>
      <c r="B55942"/>
      <c r="C55942"/>
      <c r="E55942"/>
      <c r="F55942"/>
    </row>
    <row r="55943" spans="1:6" x14ac:dyDescent="0.25">
      <c r="A55943"/>
      <c r="B55943"/>
      <c r="C55943"/>
      <c r="E55943"/>
      <c r="F55943"/>
    </row>
    <row r="55944" spans="1:6" x14ac:dyDescent="0.25">
      <c r="A55944"/>
      <c r="B55944"/>
      <c r="C55944"/>
      <c r="E55944"/>
      <c r="F55944"/>
    </row>
    <row r="55945" spans="1:6" x14ac:dyDescent="0.25">
      <c r="A55945"/>
      <c r="B55945"/>
      <c r="C55945"/>
      <c r="E55945"/>
      <c r="F55945"/>
    </row>
    <row r="55946" spans="1:6" x14ac:dyDescent="0.25">
      <c r="A55946"/>
      <c r="B55946"/>
      <c r="C55946"/>
      <c r="E55946"/>
      <c r="F55946"/>
    </row>
    <row r="55947" spans="1:6" x14ac:dyDescent="0.25">
      <c r="A55947"/>
      <c r="B55947"/>
      <c r="C55947"/>
      <c r="E55947"/>
      <c r="F55947"/>
    </row>
    <row r="55948" spans="1:6" x14ac:dyDescent="0.25">
      <c r="A55948"/>
      <c r="B55948"/>
      <c r="C55948"/>
      <c r="E55948"/>
      <c r="F55948"/>
    </row>
    <row r="55949" spans="1:6" x14ac:dyDescent="0.25">
      <c r="A55949"/>
      <c r="B55949"/>
      <c r="C55949"/>
      <c r="E55949"/>
      <c r="F55949"/>
    </row>
    <row r="55950" spans="1:6" x14ac:dyDescent="0.25">
      <c r="A55950"/>
      <c r="B55950"/>
      <c r="C55950"/>
      <c r="E55950"/>
      <c r="F55950"/>
    </row>
    <row r="55951" spans="1:6" x14ac:dyDescent="0.25">
      <c r="A55951"/>
      <c r="B55951"/>
      <c r="C55951"/>
      <c r="E55951"/>
      <c r="F55951"/>
    </row>
    <row r="55952" spans="1:6" x14ac:dyDescent="0.25">
      <c r="A55952"/>
      <c r="B55952"/>
      <c r="C55952"/>
      <c r="E55952"/>
      <c r="F55952"/>
    </row>
    <row r="55953" spans="1:6" x14ac:dyDescent="0.25">
      <c r="A55953"/>
      <c r="B55953"/>
      <c r="C55953"/>
      <c r="E55953"/>
      <c r="F55953"/>
    </row>
    <row r="55954" spans="1:6" x14ac:dyDescent="0.25">
      <c r="A55954"/>
      <c r="B55954"/>
      <c r="C55954"/>
      <c r="E55954"/>
      <c r="F55954"/>
    </row>
    <row r="55955" spans="1:6" x14ac:dyDescent="0.25">
      <c r="A55955"/>
      <c r="B55955"/>
      <c r="C55955"/>
      <c r="E55955"/>
      <c r="F55955"/>
    </row>
    <row r="55956" spans="1:6" x14ac:dyDescent="0.25">
      <c r="A55956"/>
      <c r="B55956"/>
      <c r="C55956"/>
      <c r="E55956"/>
      <c r="F55956"/>
    </row>
    <row r="55957" spans="1:6" x14ac:dyDescent="0.25">
      <c r="A55957"/>
      <c r="B55957"/>
      <c r="C55957"/>
      <c r="E55957"/>
      <c r="F55957"/>
    </row>
    <row r="55958" spans="1:6" x14ac:dyDescent="0.25">
      <c r="A55958"/>
      <c r="B55958"/>
      <c r="C55958"/>
      <c r="E55958"/>
      <c r="F55958"/>
    </row>
    <row r="55959" spans="1:6" x14ac:dyDescent="0.25">
      <c r="A55959"/>
      <c r="B55959"/>
      <c r="C55959"/>
      <c r="E55959"/>
      <c r="F55959"/>
    </row>
    <row r="55960" spans="1:6" x14ac:dyDescent="0.25">
      <c r="A55960"/>
      <c r="B55960"/>
      <c r="C55960"/>
      <c r="E55960"/>
      <c r="F55960"/>
    </row>
    <row r="55961" spans="1:6" x14ac:dyDescent="0.25">
      <c r="A55961"/>
      <c r="B55961"/>
      <c r="C55961"/>
      <c r="E55961"/>
      <c r="F55961"/>
    </row>
    <row r="55962" spans="1:6" x14ac:dyDescent="0.25">
      <c r="A55962"/>
      <c r="B55962"/>
      <c r="C55962"/>
      <c r="E55962"/>
      <c r="F55962"/>
    </row>
    <row r="55963" spans="1:6" x14ac:dyDescent="0.25">
      <c r="A55963"/>
      <c r="B55963"/>
      <c r="C55963"/>
      <c r="E55963"/>
      <c r="F55963"/>
    </row>
    <row r="55964" spans="1:6" x14ac:dyDescent="0.25">
      <c r="A55964"/>
      <c r="B55964"/>
      <c r="C55964"/>
      <c r="E55964"/>
      <c r="F55964"/>
    </row>
    <row r="55965" spans="1:6" x14ac:dyDescent="0.25">
      <c r="A55965"/>
      <c r="B55965"/>
      <c r="C55965"/>
      <c r="E55965"/>
      <c r="F55965"/>
    </row>
    <row r="55966" spans="1:6" x14ac:dyDescent="0.25">
      <c r="A55966"/>
      <c r="B55966"/>
      <c r="C55966"/>
      <c r="E55966"/>
      <c r="F55966"/>
    </row>
    <row r="55967" spans="1:6" x14ac:dyDescent="0.25">
      <c r="A55967"/>
      <c r="B55967"/>
      <c r="C55967"/>
      <c r="E55967"/>
      <c r="F55967"/>
    </row>
    <row r="55968" spans="1:6" x14ac:dyDescent="0.25">
      <c r="A55968"/>
      <c r="B55968"/>
      <c r="C55968"/>
      <c r="E55968"/>
      <c r="F55968"/>
    </row>
    <row r="55969" spans="1:6" x14ac:dyDescent="0.25">
      <c r="A55969"/>
      <c r="B55969"/>
      <c r="C55969"/>
      <c r="E55969"/>
      <c r="F55969"/>
    </row>
    <row r="55970" spans="1:6" x14ac:dyDescent="0.25">
      <c r="A55970"/>
      <c r="B55970"/>
      <c r="C55970"/>
      <c r="E55970"/>
      <c r="F55970"/>
    </row>
    <row r="55971" spans="1:6" x14ac:dyDescent="0.25">
      <c r="A55971"/>
      <c r="B55971"/>
      <c r="C55971"/>
      <c r="E55971"/>
      <c r="F55971"/>
    </row>
    <row r="55972" spans="1:6" x14ac:dyDescent="0.25">
      <c r="A55972"/>
      <c r="B55972"/>
      <c r="C55972"/>
      <c r="E55972"/>
      <c r="F55972"/>
    </row>
    <row r="55973" spans="1:6" x14ac:dyDescent="0.25">
      <c r="A55973"/>
      <c r="B55973"/>
      <c r="C55973"/>
      <c r="E55973"/>
      <c r="F55973"/>
    </row>
    <row r="55974" spans="1:6" x14ac:dyDescent="0.25">
      <c r="A55974"/>
      <c r="B55974"/>
      <c r="C55974"/>
      <c r="E55974"/>
      <c r="F55974"/>
    </row>
    <row r="55975" spans="1:6" x14ac:dyDescent="0.25">
      <c r="A55975"/>
      <c r="B55975"/>
      <c r="C55975"/>
      <c r="E55975"/>
      <c r="F55975"/>
    </row>
    <row r="55976" spans="1:6" x14ac:dyDescent="0.25">
      <c r="A55976"/>
      <c r="B55976"/>
      <c r="C55976"/>
      <c r="E55976"/>
      <c r="F55976"/>
    </row>
    <row r="55977" spans="1:6" x14ac:dyDescent="0.25">
      <c r="A55977"/>
      <c r="B55977"/>
      <c r="C55977"/>
      <c r="E55977"/>
      <c r="F55977"/>
    </row>
    <row r="55978" spans="1:6" x14ac:dyDescent="0.25">
      <c r="A55978"/>
      <c r="B55978"/>
      <c r="C55978"/>
      <c r="E55978"/>
      <c r="F55978"/>
    </row>
    <row r="55979" spans="1:6" x14ac:dyDescent="0.25">
      <c r="A55979"/>
      <c r="B55979"/>
      <c r="C55979"/>
      <c r="E55979"/>
      <c r="F55979"/>
    </row>
    <row r="55980" spans="1:6" x14ac:dyDescent="0.25">
      <c r="A55980"/>
      <c r="B55980"/>
      <c r="C55980"/>
      <c r="E55980"/>
      <c r="F55980"/>
    </row>
    <row r="55981" spans="1:6" x14ac:dyDescent="0.25">
      <c r="A55981"/>
      <c r="B55981"/>
      <c r="C55981"/>
      <c r="E55981"/>
      <c r="F55981"/>
    </row>
    <row r="55982" spans="1:6" x14ac:dyDescent="0.25">
      <c r="A55982"/>
      <c r="B55982"/>
      <c r="C55982"/>
      <c r="E55982"/>
      <c r="F55982"/>
    </row>
    <row r="55983" spans="1:6" x14ac:dyDescent="0.25">
      <c r="A55983"/>
      <c r="B55983"/>
      <c r="C55983"/>
      <c r="E55983"/>
      <c r="F55983"/>
    </row>
    <row r="55984" spans="1:6" x14ac:dyDescent="0.25">
      <c r="A55984"/>
      <c r="B55984"/>
      <c r="C55984"/>
      <c r="E55984"/>
      <c r="F55984"/>
    </row>
    <row r="55985" spans="1:6" x14ac:dyDescent="0.25">
      <c r="A55985"/>
      <c r="B55985"/>
      <c r="C55985"/>
      <c r="E55985"/>
      <c r="F55985"/>
    </row>
    <row r="55986" spans="1:6" x14ac:dyDescent="0.25">
      <c r="A55986"/>
      <c r="B55986"/>
      <c r="C55986"/>
      <c r="E55986"/>
      <c r="F55986"/>
    </row>
    <row r="55987" spans="1:6" x14ac:dyDescent="0.25">
      <c r="A55987"/>
      <c r="B55987"/>
      <c r="C55987"/>
      <c r="E55987"/>
      <c r="F55987"/>
    </row>
    <row r="55988" spans="1:6" x14ac:dyDescent="0.25">
      <c r="A55988"/>
      <c r="B55988"/>
      <c r="C55988"/>
      <c r="E55988"/>
      <c r="F55988"/>
    </row>
    <row r="55989" spans="1:6" x14ac:dyDescent="0.25">
      <c r="A55989"/>
      <c r="B55989"/>
      <c r="C55989"/>
      <c r="E55989"/>
      <c r="F55989"/>
    </row>
    <row r="55990" spans="1:6" x14ac:dyDescent="0.25">
      <c r="A55990"/>
      <c r="B55990"/>
      <c r="C55990"/>
      <c r="E55990"/>
      <c r="F55990"/>
    </row>
    <row r="55991" spans="1:6" x14ac:dyDescent="0.25">
      <c r="A55991"/>
      <c r="B55991"/>
      <c r="C55991"/>
      <c r="E55991"/>
      <c r="F55991"/>
    </row>
    <row r="55992" spans="1:6" x14ac:dyDescent="0.25">
      <c r="A55992"/>
      <c r="B55992"/>
      <c r="C55992"/>
      <c r="E55992"/>
      <c r="F55992"/>
    </row>
    <row r="55993" spans="1:6" x14ac:dyDescent="0.25">
      <c r="A55993"/>
      <c r="B55993"/>
      <c r="C55993"/>
      <c r="E55993"/>
      <c r="F55993"/>
    </row>
    <row r="55994" spans="1:6" x14ac:dyDescent="0.25">
      <c r="A55994"/>
      <c r="B55994"/>
      <c r="C55994"/>
      <c r="E55994"/>
      <c r="F55994"/>
    </row>
    <row r="55995" spans="1:6" x14ac:dyDescent="0.25">
      <c r="A55995"/>
      <c r="B55995"/>
      <c r="C55995"/>
      <c r="E55995"/>
      <c r="F55995"/>
    </row>
    <row r="55996" spans="1:6" x14ac:dyDescent="0.25">
      <c r="A55996"/>
      <c r="B55996"/>
      <c r="C55996"/>
      <c r="E55996"/>
      <c r="F55996"/>
    </row>
    <row r="55997" spans="1:6" x14ac:dyDescent="0.25">
      <c r="A55997"/>
      <c r="B55997"/>
      <c r="C55997"/>
      <c r="E55997"/>
      <c r="F55997"/>
    </row>
    <row r="55998" spans="1:6" x14ac:dyDescent="0.25">
      <c r="A55998"/>
      <c r="B55998"/>
      <c r="C55998"/>
      <c r="E55998"/>
      <c r="F55998"/>
    </row>
    <row r="55999" spans="1:6" x14ac:dyDescent="0.25">
      <c r="A55999"/>
      <c r="B55999"/>
      <c r="C55999"/>
      <c r="E55999"/>
      <c r="F55999"/>
    </row>
    <row r="56000" spans="1:6" x14ac:dyDescent="0.25">
      <c r="A56000"/>
      <c r="B56000"/>
      <c r="C56000"/>
      <c r="E56000"/>
      <c r="F56000"/>
    </row>
    <row r="56001" spans="1:6" x14ac:dyDescent="0.25">
      <c r="A56001"/>
      <c r="B56001"/>
      <c r="C56001"/>
      <c r="E56001"/>
      <c r="F56001"/>
    </row>
    <row r="56002" spans="1:6" x14ac:dyDescent="0.25">
      <c r="A56002"/>
      <c r="B56002"/>
      <c r="C56002"/>
      <c r="E56002"/>
      <c r="F56002"/>
    </row>
    <row r="56003" spans="1:6" x14ac:dyDescent="0.25">
      <c r="A56003"/>
      <c r="B56003"/>
      <c r="C56003"/>
      <c r="E56003"/>
      <c r="F56003"/>
    </row>
    <row r="56004" spans="1:6" x14ac:dyDescent="0.25">
      <c r="A56004"/>
      <c r="B56004"/>
      <c r="C56004"/>
      <c r="E56004"/>
      <c r="F56004"/>
    </row>
    <row r="56005" spans="1:6" x14ac:dyDescent="0.25">
      <c r="A56005"/>
      <c r="B56005"/>
      <c r="C56005"/>
      <c r="E56005"/>
      <c r="F56005"/>
    </row>
    <row r="56006" spans="1:6" x14ac:dyDescent="0.25">
      <c r="A56006"/>
      <c r="B56006"/>
      <c r="C56006"/>
      <c r="E56006"/>
      <c r="F56006"/>
    </row>
    <row r="56007" spans="1:6" x14ac:dyDescent="0.25">
      <c r="A56007"/>
      <c r="B56007"/>
      <c r="C56007"/>
      <c r="E56007"/>
      <c r="F56007"/>
    </row>
    <row r="56008" spans="1:6" x14ac:dyDescent="0.25">
      <c r="A56008"/>
      <c r="B56008"/>
      <c r="C56008"/>
      <c r="E56008"/>
      <c r="F56008"/>
    </row>
    <row r="56009" spans="1:6" x14ac:dyDescent="0.25">
      <c r="A56009"/>
      <c r="B56009"/>
      <c r="C56009"/>
      <c r="E56009"/>
      <c r="F56009"/>
    </row>
    <row r="56010" spans="1:6" x14ac:dyDescent="0.25">
      <c r="A56010"/>
      <c r="B56010"/>
      <c r="C56010"/>
      <c r="E56010"/>
      <c r="F56010"/>
    </row>
    <row r="56011" spans="1:6" x14ac:dyDescent="0.25">
      <c r="A56011"/>
      <c r="B56011"/>
      <c r="C56011"/>
      <c r="E56011"/>
      <c r="F56011"/>
    </row>
    <row r="56012" spans="1:6" x14ac:dyDescent="0.25">
      <c r="A56012"/>
      <c r="B56012"/>
      <c r="C56012"/>
      <c r="E56012"/>
      <c r="F56012"/>
    </row>
    <row r="56013" spans="1:6" x14ac:dyDescent="0.25">
      <c r="A56013"/>
      <c r="B56013"/>
      <c r="C56013"/>
      <c r="E56013"/>
      <c r="F56013"/>
    </row>
    <row r="56014" spans="1:6" x14ac:dyDescent="0.25">
      <c r="A56014"/>
      <c r="B56014"/>
      <c r="C56014"/>
      <c r="E56014"/>
      <c r="F56014"/>
    </row>
    <row r="56015" spans="1:6" x14ac:dyDescent="0.25">
      <c r="A56015"/>
      <c r="B56015"/>
      <c r="C56015"/>
      <c r="E56015"/>
      <c r="F56015"/>
    </row>
    <row r="56016" spans="1:6" x14ac:dyDescent="0.25">
      <c r="A56016"/>
      <c r="B56016"/>
      <c r="C56016"/>
      <c r="E56016"/>
      <c r="F56016"/>
    </row>
    <row r="56017" spans="1:6" x14ac:dyDescent="0.25">
      <c r="A56017"/>
      <c r="B56017"/>
      <c r="C56017"/>
      <c r="E56017"/>
      <c r="F56017"/>
    </row>
    <row r="56018" spans="1:6" x14ac:dyDescent="0.25">
      <c r="A56018"/>
      <c r="B56018"/>
      <c r="C56018"/>
      <c r="E56018"/>
      <c r="F56018"/>
    </row>
    <row r="56019" spans="1:6" x14ac:dyDescent="0.25">
      <c r="A56019"/>
      <c r="B56019"/>
      <c r="C56019"/>
      <c r="E56019"/>
      <c r="F56019"/>
    </row>
    <row r="56020" spans="1:6" x14ac:dyDescent="0.25">
      <c r="A56020"/>
      <c r="B56020"/>
      <c r="C56020"/>
      <c r="E56020"/>
      <c r="F56020"/>
    </row>
    <row r="56021" spans="1:6" x14ac:dyDescent="0.25">
      <c r="A56021"/>
      <c r="B56021"/>
      <c r="C56021"/>
      <c r="E56021"/>
      <c r="F56021"/>
    </row>
    <row r="56022" spans="1:6" x14ac:dyDescent="0.25">
      <c r="A56022"/>
      <c r="B56022"/>
      <c r="C56022"/>
      <c r="E56022"/>
      <c r="F56022"/>
    </row>
    <row r="56023" spans="1:6" x14ac:dyDescent="0.25">
      <c r="A56023"/>
      <c r="B56023"/>
      <c r="C56023"/>
      <c r="E56023"/>
      <c r="F56023"/>
    </row>
    <row r="56024" spans="1:6" x14ac:dyDescent="0.25">
      <c r="A56024"/>
      <c r="B56024"/>
      <c r="C56024"/>
      <c r="E56024"/>
      <c r="F56024"/>
    </row>
    <row r="56025" spans="1:6" x14ac:dyDescent="0.25">
      <c r="A56025"/>
      <c r="B56025"/>
      <c r="C56025"/>
      <c r="E56025"/>
      <c r="F56025"/>
    </row>
    <row r="56026" spans="1:6" x14ac:dyDescent="0.25">
      <c r="A56026"/>
      <c r="B56026"/>
      <c r="C56026"/>
      <c r="E56026"/>
      <c r="F56026"/>
    </row>
    <row r="56027" spans="1:6" x14ac:dyDescent="0.25">
      <c r="A56027"/>
      <c r="B56027"/>
      <c r="C56027"/>
      <c r="E56027"/>
      <c r="F56027"/>
    </row>
    <row r="56028" spans="1:6" x14ac:dyDescent="0.25">
      <c r="A56028"/>
      <c r="B56028"/>
      <c r="C56028"/>
      <c r="E56028"/>
      <c r="F56028"/>
    </row>
    <row r="56029" spans="1:6" x14ac:dyDescent="0.25">
      <c r="A56029"/>
      <c r="B56029"/>
      <c r="C56029"/>
      <c r="E56029"/>
      <c r="F56029"/>
    </row>
    <row r="56030" spans="1:6" x14ac:dyDescent="0.25">
      <c r="A56030"/>
      <c r="B56030"/>
      <c r="C56030"/>
      <c r="E56030"/>
      <c r="F56030"/>
    </row>
    <row r="56031" spans="1:6" x14ac:dyDescent="0.25">
      <c r="A56031"/>
      <c r="B56031"/>
      <c r="C56031"/>
      <c r="E56031"/>
      <c r="F56031"/>
    </row>
    <row r="56032" spans="1:6" x14ac:dyDescent="0.25">
      <c r="A56032"/>
      <c r="B56032"/>
      <c r="C56032"/>
      <c r="E56032"/>
      <c r="F56032"/>
    </row>
    <row r="56033" spans="1:6" x14ac:dyDescent="0.25">
      <c r="A56033"/>
      <c r="B56033"/>
      <c r="C56033"/>
      <c r="E56033"/>
      <c r="F56033"/>
    </row>
    <row r="56034" spans="1:6" x14ac:dyDescent="0.25">
      <c r="A56034"/>
      <c r="B56034"/>
      <c r="C56034"/>
      <c r="E56034"/>
      <c r="F56034"/>
    </row>
    <row r="56035" spans="1:6" x14ac:dyDescent="0.25">
      <c r="A56035"/>
      <c r="B56035"/>
      <c r="C56035"/>
      <c r="E56035"/>
      <c r="F56035"/>
    </row>
    <row r="56036" spans="1:6" x14ac:dyDescent="0.25">
      <c r="A56036"/>
      <c r="B56036"/>
      <c r="C56036"/>
      <c r="E56036"/>
      <c r="F56036"/>
    </row>
    <row r="56037" spans="1:6" x14ac:dyDescent="0.25">
      <c r="A56037"/>
      <c r="B56037"/>
      <c r="C56037"/>
      <c r="E56037"/>
      <c r="F56037"/>
    </row>
    <row r="56038" spans="1:6" x14ac:dyDescent="0.25">
      <c r="A56038"/>
      <c r="B56038"/>
      <c r="C56038"/>
      <c r="E56038"/>
      <c r="F56038"/>
    </row>
    <row r="56039" spans="1:6" x14ac:dyDescent="0.25">
      <c r="A56039"/>
      <c r="B56039"/>
      <c r="C56039"/>
      <c r="E56039"/>
      <c r="F56039"/>
    </row>
    <row r="56040" spans="1:6" x14ac:dyDescent="0.25">
      <c r="A56040"/>
      <c r="B56040"/>
      <c r="C56040"/>
      <c r="E56040"/>
      <c r="F56040"/>
    </row>
    <row r="56041" spans="1:6" x14ac:dyDescent="0.25">
      <c r="A56041"/>
      <c r="B56041"/>
      <c r="C56041"/>
      <c r="E56041"/>
      <c r="F56041"/>
    </row>
    <row r="56042" spans="1:6" x14ac:dyDescent="0.25">
      <c r="A56042"/>
      <c r="B56042"/>
      <c r="C56042"/>
      <c r="E56042"/>
      <c r="F56042"/>
    </row>
    <row r="56043" spans="1:6" x14ac:dyDescent="0.25">
      <c r="A56043"/>
      <c r="B56043"/>
      <c r="C56043"/>
      <c r="E56043"/>
      <c r="F56043"/>
    </row>
    <row r="56044" spans="1:6" x14ac:dyDescent="0.25">
      <c r="A56044"/>
      <c r="B56044"/>
      <c r="C56044"/>
      <c r="E56044"/>
      <c r="F56044"/>
    </row>
    <row r="56045" spans="1:6" x14ac:dyDescent="0.25">
      <c r="A56045"/>
      <c r="B56045"/>
      <c r="C56045"/>
      <c r="E56045"/>
      <c r="F56045"/>
    </row>
    <row r="56046" spans="1:6" x14ac:dyDescent="0.25">
      <c r="A56046"/>
      <c r="B56046"/>
      <c r="C56046"/>
      <c r="E56046"/>
      <c r="F56046"/>
    </row>
    <row r="56047" spans="1:6" x14ac:dyDescent="0.25">
      <c r="A56047"/>
      <c r="B56047"/>
      <c r="C56047"/>
      <c r="E56047"/>
      <c r="F56047"/>
    </row>
    <row r="56048" spans="1:6" x14ac:dyDescent="0.25">
      <c r="A56048"/>
      <c r="B56048"/>
      <c r="C56048"/>
      <c r="E56048"/>
      <c r="F56048"/>
    </row>
    <row r="56049" spans="1:6" x14ac:dyDescent="0.25">
      <c r="A56049"/>
      <c r="B56049"/>
      <c r="C56049"/>
      <c r="E56049"/>
      <c r="F56049"/>
    </row>
    <row r="56050" spans="1:6" x14ac:dyDescent="0.25">
      <c r="A56050"/>
      <c r="B56050"/>
      <c r="C56050"/>
      <c r="E56050"/>
      <c r="F56050"/>
    </row>
    <row r="56051" spans="1:6" x14ac:dyDescent="0.25">
      <c r="A56051"/>
      <c r="B56051"/>
      <c r="C56051"/>
      <c r="E56051"/>
      <c r="F56051"/>
    </row>
    <row r="56052" spans="1:6" x14ac:dyDescent="0.25">
      <c r="A56052"/>
      <c r="B56052"/>
      <c r="C56052"/>
      <c r="E56052"/>
      <c r="F56052"/>
    </row>
    <row r="56053" spans="1:6" x14ac:dyDescent="0.25">
      <c r="A56053"/>
      <c r="B56053"/>
      <c r="C56053"/>
      <c r="E56053"/>
      <c r="F56053"/>
    </row>
    <row r="56054" spans="1:6" x14ac:dyDescent="0.25">
      <c r="A56054"/>
      <c r="B56054"/>
      <c r="C56054"/>
      <c r="E56054"/>
      <c r="F56054"/>
    </row>
    <row r="56055" spans="1:6" x14ac:dyDescent="0.25">
      <c r="A56055"/>
      <c r="B56055"/>
      <c r="C56055"/>
      <c r="E56055"/>
      <c r="F56055"/>
    </row>
    <row r="56056" spans="1:6" x14ac:dyDescent="0.25">
      <c r="A56056"/>
      <c r="B56056"/>
      <c r="C56056"/>
      <c r="E56056"/>
      <c r="F56056"/>
    </row>
    <row r="56057" spans="1:6" x14ac:dyDescent="0.25">
      <c r="A56057"/>
      <c r="B56057"/>
      <c r="C56057"/>
      <c r="E56057"/>
      <c r="F56057"/>
    </row>
    <row r="56058" spans="1:6" x14ac:dyDescent="0.25">
      <c r="A56058"/>
      <c r="B56058"/>
      <c r="C56058"/>
      <c r="E56058"/>
      <c r="F56058"/>
    </row>
    <row r="56059" spans="1:6" x14ac:dyDescent="0.25">
      <c r="A56059"/>
      <c r="B56059"/>
      <c r="C56059"/>
      <c r="E56059"/>
      <c r="F56059"/>
    </row>
    <row r="56060" spans="1:6" x14ac:dyDescent="0.25">
      <c r="A56060"/>
      <c r="B56060"/>
      <c r="C56060"/>
      <c r="E56060"/>
      <c r="F56060"/>
    </row>
    <row r="56061" spans="1:6" x14ac:dyDescent="0.25">
      <c r="A56061"/>
      <c r="B56061"/>
      <c r="C56061"/>
      <c r="E56061"/>
      <c r="F56061"/>
    </row>
    <row r="56062" spans="1:6" x14ac:dyDescent="0.25">
      <c r="A56062"/>
      <c r="B56062"/>
      <c r="C56062"/>
      <c r="E56062"/>
      <c r="F56062"/>
    </row>
    <row r="56063" spans="1:6" x14ac:dyDescent="0.25">
      <c r="A56063"/>
      <c r="B56063"/>
      <c r="C56063"/>
      <c r="E56063"/>
      <c r="F56063"/>
    </row>
    <row r="56064" spans="1:6" x14ac:dyDescent="0.25">
      <c r="A56064"/>
      <c r="B56064"/>
      <c r="C56064"/>
      <c r="E56064"/>
      <c r="F56064"/>
    </row>
    <row r="56065" spans="1:6" x14ac:dyDescent="0.25">
      <c r="A56065"/>
      <c r="B56065"/>
      <c r="C56065"/>
      <c r="E56065"/>
      <c r="F56065"/>
    </row>
    <row r="56066" spans="1:6" x14ac:dyDescent="0.25">
      <c r="A56066"/>
      <c r="B56066"/>
      <c r="C56066"/>
      <c r="E56066"/>
      <c r="F56066"/>
    </row>
    <row r="56067" spans="1:6" x14ac:dyDescent="0.25">
      <c r="A56067"/>
      <c r="B56067"/>
      <c r="C56067"/>
      <c r="E56067"/>
      <c r="F56067"/>
    </row>
    <row r="56068" spans="1:6" x14ac:dyDescent="0.25">
      <c r="A56068"/>
      <c r="B56068"/>
      <c r="C56068"/>
      <c r="E56068"/>
      <c r="F56068"/>
    </row>
    <row r="56069" spans="1:6" x14ac:dyDescent="0.25">
      <c r="A56069"/>
      <c r="B56069"/>
      <c r="C56069"/>
      <c r="E56069"/>
      <c r="F56069"/>
    </row>
    <row r="56070" spans="1:6" x14ac:dyDescent="0.25">
      <c r="A56070"/>
      <c r="B56070"/>
      <c r="C56070"/>
      <c r="E56070"/>
      <c r="F56070"/>
    </row>
    <row r="56071" spans="1:6" x14ac:dyDescent="0.25">
      <c r="A56071"/>
      <c r="B56071"/>
      <c r="C56071"/>
      <c r="E56071"/>
      <c r="F56071"/>
    </row>
    <row r="56072" spans="1:6" x14ac:dyDescent="0.25">
      <c r="A56072"/>
      <c r="B56072"/>
      <c r="C56072"/>
      <c r="E56072"/>
      <c r="F56072"/>
    </row>
    <row r="56073" spans="1:6" x14ac:dyDescent="0.25">
      <c r="A56073"/>
      <c r="B56073"/>
      <c r="C56073"/>
      <c r="E56073"/>
      <c r="F56073"/>
    </row>
    <row r="56074" spans="1:6" x14ac:dyDescent="0.25">
      <c r="A56074"/>
      <c r="B56074"/>
      <c r="C56074"/>
      <c r="E56074"/>
      <c r="F56074"/>
    </row>
    <row r="56075" spans="1:6" x14ac:dyDescent="0.25">
      <c r="A56075"/>
      <c r="B56075"/>
      <c r="C56075"/>
      <c r="E56075"/>
      <c r="F56075"/>
    </row>
    <row r="56076" spans="1:6" x14ac:dyDescent="0.25">
      <c r="A56076"/>
      <c r="B56076"/>
      <c r="C56076"/>
      <c r="E56076"/>
      <c r="F56076"/>
    </row>
    <row r="56077" spans="1:6" x14ac:dyDescent="0.25">
      <c r="A56077"/>
      <c r="B56077"/>
      <c r="C56077"/>
      <c r="E56077"/>
      <c r="F56077"/>
    </row>
    <row r="56078" spans="1:6" x14ac:dyDescent="0.25">
      <c r="A56078"/>
      <c r="B56078"/>
      <c r="C56078"/>
      <c r="E56078"/>
      <c r="F56078"/>
    </row>
    <row r="56079" spans="1:6" x14ac:dyDescent="0.25">
      <c r="A56079"/>
      <c r="B56079"/>
      <c r="C56079"/>
      <c r="E56079"/>
      <c r="F56079"/>
    </row>
    <row r="56080" spans="1:6" x14ac:dyDescent="0.25">
      <c r="A56080"/>
      <c r="B56080"/>
      <c r="C56080"/>
      <c r="E56080"/>
      <c r="F56080"/>
    </row>
    <row r="56081" spans="1:6" x14ac:dyDescent="0.25">
      <c r="A56081"/>
      <c r="B56081"/>
      <c r="C56081"/>
      <c r="E56081"/>
      <c r="F56081"/>
    </row>
    <row r="56082" spans="1:6" x14ac:dyDescent="0.25">
      <c r="A56082"/>
      <c r="B56082"/>
      <c r="C56082"/>
      <c r="E56082"/>
      <c r="F56082"/>
    </row>
    <row r="56083" spans="1:6" x14ac:dyDescent="0.25">
      <c r="A56083"/>
      <c r="B56083"/>
      <c r="C56083"/>
      <c r="E56083"/>
      <c r="F56083"/>
    </row>
    <row r="56084" spans="1:6" x14ac:dyDescent="0.25">
      <c r="A56084"/>
      <c r="B56084"/>
      <c r="C56084"/>
      <c r="E56084"/>
      <c r="F56084"/>
    </row>
    <row r="56085" spans="1:6" x14ac:dyDescent="0.25">
      <c r="A56085"/>
      <c r="B56085"/>
      <c r="C56085"/>
      <c r="E56085"/>
      <c r="F56085"/>
    </row>
    <row r="56086" spans="1:6" x14ac:dyDescent="0.25">
      <c r="A56086"/>
      <c r="B56086"/>
      <c r="C56086"/>
      <c r="E56086"/>
      <c r="F56086"/>
    </row>
    <row r="56087" spans="1:6" x14ac:dyDescent="0.25">
      <c r="A56087"/>
      <c r="B56087"/>
      <c r="C56087"/>
      <c r="E56087"/>
      <c r="F56087"/>
    </row>
    <row r="56088" spans="1:6" x14ac:dyDescent="0.25">
      <c r="A56088"/>
      <c r="B56088"/>
      <c r="C56088"/>
      <c r="E56088"/>
      <c r="F56088"/>
    </row>
    <row r="56089" spans="1:6" x14ac:dyDescent="0.25">
      <c r="A56089"/>
      <c r="B56089"/>
      <c r="C56089"/>
      <c r="E56089"/>
      <c r="F56089"/>
    </row>
    <row r="56090" spans="1:6" x14ac:dyDescent="0.25">
      <c r="A56090"/>
      <c r="B56090"/>
      <c r="C56090"/>
      <c r="E56090"/>
      <c r="F56090"/>
    </row>
    <row r="56091" spans="1:6" x14ac:dyDescent="0.25">
      <c r="A56091"/>
      <c r="B56091"/>
      <c r="C56091"/>
      <c r="E56091"/>
      <c r="F56091"/>
    </row>
    <row r="56092" spans="1:6" x14ac:dyDescent="0.25">
      <c r="A56092"/>
      <c r="B56092"/>
      <c r="C56092"/>
      <c r="E56092"/>
      <c r="F56092"/>
    </row>
    <row r="56093" spans="1:6" x14ac:dyDescent="0.25">
      <c r="A56093"/>
      <c r="B56093"/>
      <c r="C56093"/>
      <c r="E56093"/>
      <c r="F56093"/>
    </row>
    <row r="56094" spans="1:6" x14ac:dyDescent="0.25">
      <c r="A56094"/>
      <c r="B56094"/>
      <c r="C56094"/>
      <c r="E56094"/>
      <c r="F56094"/>
    </row>
    <row r="56095" spans="1:6" x14ac:dyDescent="0.25">
      <c r="A56095"/>
      <c r="B56095"/>
      <c r="C56095"/>
      <c r="E56095"/>
      <c r="F56095"/>
    </row>
    <row r="56096" spans="1:6" x14ac:dyDescent="0.25">
      <c r="A56096"/>
      <c r="B56096"/>
      <c r="C56096"/>
      <c r="E56096"/>
      <c r="F56096"/>
    </row>
    <row r="56097" spans="1:6" x14ac:dyDescent="0.25">
      <c r="A56097"/>
      <c r="B56097"/>
      <c r="C56097"/>
      <c r="E56097"/>
      <c r="F56097"/>
    </row>
    <row r="56098" spans="1:6" x14ac:dyDescent="0.25">
      <c r="A56098"/>
      <c r="B56098"/>
      <c r="C56098"/>
      <c r="E56098"/>
      <c r="F56098"/>
    </row>
    <row r="56099" spans="1:6" x14ac:dyDescent="0.25">
      <c r="A56099"/>
      <c r="B56099"/>
      <c r="C56099"/>
      <c r="E56099"/>
      <c r="F56099"/>
    </row>
    <row r="56100" spans="1:6" x14ac:dyDescent="0.25">
      <c r="A56100"/>
      <c r="B56100"/>
      <c r="C56100"/>
      <c r="E56100"/>
      <c r="F56100"/>
    </row>
    <row r="56101" spans="1:6" x14ac:dyDescent="0.25">
      <c r="A56101"/>
      <c r="B56101"/>
      <c r="C56101"/>
      <c r="E56101"/>
      <c r="F56101"/>
    </row>
    <row r="56102" spans="1:6" x14ac:dyDescent="0.25">
      <c r="A56102"/>
      <c r="B56102"/>
      <c r="C56102"/>
      <c r="E56102"/>
      <c r="F56102"/>
    </row>
    <row r="56103" spans="1:6" x14ac:dyDescent="0.25">
      <c r="A56103"/>
      <c r="B56103"/>
      <c r="C56103"/>
      <c r="E56103"/>
      <c r="F56103"/>
    </row>
    <row r="56104" spans="1:6" x14ac:dyDescent="0.25">
      <c r="A56104"/>
      <c r="B56104"/>
      <c r="C56104"/>
      <c r="E56104"/>
      <c r="F56104"/>
    </row>
    <row r="56105" spans="1:6" x14ac:dyDescent="0.25">
      <c r="A56105"/>
      <c r="B56105"/>
      <c r="C56105"/>
      <c r="E56105"/>
      <c r="F56105"/>
    </row>
    <row r="56106" spans="1:6" x14ac:dyDescent="0.25">
      <c r="A56106"/>
      <c r="B56106"/>
      <c r="C56106"/>
      <c r="E56106"/>
      <c r="F56106"/>
    </row>
    <row r="56107" spans="1:6" x14ac:dyDescent="0.25">
      <c r="A56107"/>
      <c r="B56107"/>
      <c r="C56107"/>
      <c r="E56107"/>
      <c r="F56107"/>
    </row>
    <row r="56108" spans="1:6" x14ac:dyDescent="0.25">
      <c r="A56108"/>
      <c r="B56108"/>
      <c r="C56108"/>
      <c r="E56108"/>
      <c r="F56108"/>
    </row>
    <row r="56109" spans="1:6" x14ac:dyDescent="0.25">
      <c r="A56109"/>
      <c r="B56109"/>
      <c r="C56109"/>
      <c r="E56109"/>
      <c r="F56109"/>
    </row>
    <row r="56110" spans="1:6" x14ac:dyDescent="0.25">
      <c r="A56110"/>
      <c r="B56110"/>
      <c r="C56110"/>
      <c r="E56110"/>
      <c r="F56110"/>
    </row>
    <row r="56111" spans="1:6" x14ac:dyDescent="0.25">
      <c r="A56111"/>
      <c r="B56111"/>
      <c r="C56111"/>
      <c r="E56111"/>
      <c r="F56111"/>
    </row>
    <row r="56112" spans="1:6" x14ac:dyDescent="0.25">
      <c r="A56112"/>
      <c r="B56112"/>
      <c r="C56112"/>
      <c r="E56112"/>
      <c r="F56112"/>
    </row>
    <row r="56113" spans="1:6" x14ac:dyDescent="0.25">
      <c r="A56113"/>
      <c r="B56113"/>
      <c r="C56113"/>
      <c r="E56113"/>
      <c r="F56113"/>
    </row>
    <row r="56114" spans="1:6" x14ac:dyDescent="0.25">
      <c r="A56114"/>
      <c r="B56114"/>
      <c r="C56114"/>
      <c r="E56114"/>
      <c r="F56114"/>
    </row>
    <row r="56115" spans="1:6" x14ac:dyDescent="0.25">
      <c r="A56115"/>
      <c r="B56115"/>
      <c r="C56115"/>
      <c r="E56115"/>
      <c r="F56115"/>
    </row>
    <row r="56116" spans="1:6" x14ac:dyDescent="0.25">
      <c r="A56116"/>
      <c r="B56116"/>
      <c r="C56116"/>
      <c r="E56116"/>
      <c r="F56116"/>
    </row>
    <row r="56117" spans="1:6" x14ac:dyDescent="0.25">
      <c r="A56117"/>
      <c r="B56117"/>
      <c r="C56117"/>
      <c r="E56117"/>
      <c r="F56117"/>
    </row>
    <row r="56118" spans="1:6" x14ac:dyDescent="0.25">
      <c r="A56118"/>
      <c r="B56118"/>
      <c r="C56118"/>
      <c r="E56118"/>
      <c r="F56118"/>
    </row>
    <row r="56119" spans="1:6" x14ac:dyDescent="0.25">
      <c r="A56119"/>
      <c r="B56119"/>
      <c r="C56119"/>
      <c r="E56119"/>
      <c r="F56119"/>
    </row>
    <row r="56120" spans="1:6" x14ac:dyDescent="0.25">
      <c r="A56120"/>
      <c r="B56120"/>
      <c r="C56120"/>
      <c r="E56120"/>
      <c r="F56120"/>
    </row>
    <row r="56121" spans="1:6" x14ac:dyDescent="0.25">
      <c r="A56121"/>
      <c r="B56121"/>
      <c r="C56121"/>
      <c r="E56121"/>
      <c r="F56121"/>
    </row>
    <row r="56122" spans="1:6" x14ac:dyDescent="0.25">
      <c r="A56122"/>
      <c r="B56122"/>
      <c r="C56122"/>
      <c r="E56122"/>
      <c r="F56122"/>
    </row>
    <row r="56123" spans="1:6" x14ac:dyDescent="0.25">
      <c r="A56123"/>
      <c r="B56123"/>
      <c r="C56123"/>
      <c r="E56123"/>
      <c r="F56123"/>
    </row>
    <row r="56124" spans="1:6" x14ac:dyDescent="0.25">
      <c r="A56124"/>
      <c r="B56124"/>
      <c r="C56124"/>
      <c r="E56124"/>
      <c r="F56124"/>
    </row>
    <row r="56125" spans="1:6" x14ac:dyDescent="0.25">
      <c r="A56125"/>
      <c r="B56125"/>
      <c r="C56125"/>
      <c r="E56125"/>
      <c r="F56125"/>
    </row>
    <row r="56126" spans="1:6" x14ac:dyDescent="0.25">
      <c r="A56126"/>
      <c r="B56126"/>
      <c r="C56126"/>
      <c r="E56126"/>
      <c r="F56126"/>
    </row>
    <row r="56127" spans="1:6" x14ac:dyDescent="0.25">
      <c r="A56127"/>
      <c r="B56127"/>
      <c r="C56127"/>
      <c r="E56127"/>
      <c r="F56127"/>
    </row>
    <row r="56128" spans="1:6" x14ac:dyDescent="0.25">
      <c r="A56128"/>
      <c r="B56128"/>
      <c r="C56128"/>
      <c r="E56128"/>
      <c r="F56128"/>
    </row>
    <row r="56129" spans="1:6" x14ac:dyDescent="0.25">
      <c r="A56129"/>
      <c r="B56129"/>
      <c r="C56129"/>
      <c r="E56129"/>
      <c r="F56129"/>
    </row>
    <row r="56130" spans="1:6" x14ac:dyDescent="0.25">
      <c r="A56130"/>
      <c r="B56130"/>
      <c r="C56130"/>
      <c r="E56130"/>
      <c r="F56130"/>
    </row>
    <row r="56131" spans="1:6" x14ac:dyDescent="0.25">
      <c r="A56131"/>
      <c r="B56131"/>
      <c r="C56131"/>
      <c r="E56131"/>
      <c r="F56131"/>
    </row>
    <row r="56132" spans="1:6" x14ac:dyDescent="0.25">
      <c r="A56132"/>
      <c r="B56132"/>
      <c r="C56132"/>
      <c r="E56132"/>
      <c r="F56132"/>
    </row>
    <row r="56133" spans="1:6" x14ac:dyDescent="0.25">
      <c r="A56133"/>
      <c r="B56133"/>
      <c r="C56133"/>
      <c r="E56133"/>
      <c r="F56133"/>
    </row>
    <row r="56134" spans="1:6" x14ac:dyDescent="0.25">
      <c r="A56134"/>
      <c r="B56134"/>
      <c r="C56134"/>
      <c r="E56134"/>
      <c r="F56134"/>
    </row>
    <row r="56135" spans="1:6" x14ac:dyDescent="0.25">
      <c r="A56135"/>
      <c r="B56135"/>
      <c r="C56135"/>
      <c r="E56135"/>
      <c r="F56135"/>
    </row>
    <row r="56136" spans="1:6" x14ac:dyDescent="0.25">
      <c r="A56136"/>
      <c r="B56136"/>
      <c r="C56136"/>
      <c r="E56136"/>
      <c r="F56136"/>
    </row>
    <row r="56137" spans="1:6" x14ac:dyDescent="0.25">
      <c r="A56137"/>
      <c r="B56137"/>
      <c r="C56137"/>
      <c r="E56137"/>
      <c r="F56137"/>
    </row>
    <row r="56138" spans="1:6" x14ac:dyDescent="0.25">
      <c r="A56138"/>
      <c r="B56138"/>
      <c r="C56138"/>
      <c r="E56138"/>
      <c r="F56138"/>
    </row>
    <row r="56139" spans="1:6" x14ac:dyDescent="0.25">
      <c r="A56139"/>
      <c r="B56139"/>
      <c r="C56139"/>
      <c r="E56139"/>
      <c r="F56139"/>
    </row>
    <row r="56140" spans="1:6" x14ac:dyDescent="0.25">
      <c r="A56140"/>
      <c r="B56140"/>
      <c r="C56140"/>
      <c r="E56140"/>
      <c r="F56140"/>
    </row>
    <row r="56141" spans="1:6" x14ac:dyDescent="0.25">
      <c r="A56141"/>
      <c r="B56141"/>
      <c r="C56141"/>
      <c r="E56141"/>
      <c r="F56141"/>
    </row>
    <row r="56142" spans="1:6" x14ac:dyDescent="0.25">
      <c r="A56142"/>
      <c r="B56142"/>
      <c r="C56142"/>
      <c r="E56142"/>
      <c r="F56142"/>
    </row>
    <row r="56143" spans="1:6" x14ac:dyDescent="0.25">
      <c r="A56143"/>
      <c r="B56143"/>
      <c r="C56143"/>
      <c r="E56143"/>
      <c r="F56143"/>
    </row>
    <row r="56144" spans="1:6" x14ac:dyDescent="0.25">
      <c r="A56144"/>
      <c r="B56144"/>
      <c r="C56144"/>
      <c r="E56144"/>
      <c r="F56144"/>
    </row>
    <row r="56145" spans="1:6" x14ac:dyDescent="0.25">
      <c r="A56145"/>
      <c r="B56145"/>
      <c r="C56145"/>
      <c r="E56145"/>
      <c r="F56145"/>
    </row>
    <row r="56146" spans="1:6" x14ac:dyDescent="0.25">
      <c r="A56146"/>
      <c r="B56146"/>
      <c r="C56146"/>
      <c r="E56146"/>
      <c r="F56146"/>
    </row>
    <row r="56147" spans="1:6" x14ac:dyDescent="0.25">
      <c r="A56147"/>
      <c r="B56147"/>
      <c r="C56147"/>
      <c r="E56147"/>
      <c r="F56147"/>
    </row>
    <row r="56148" spans="1:6" x14ac:dyDescent="0.25">
      <c r="A56148"/>
      <c r="B56148"/>
      <c r="C56148"/>
      <c r="E56148"/>
      <c r="F56148"/>
    </row>
    <row r="56149" spans="1:6" x14ac:dyDescent="0.25">
      <c r="A56149"/>
      <c r="B56149"/>
      <c r="C56149"/>
      <c r="E56149"/>
      <c r="F56149"/>
    </row>
    <row r="56150" spans="1:6" x14ac:dyDescent="0.25">
      <c r="A56150"/>
      <c r="B56150"/>
      <c r="C56150"/>
      <c r="E56150"/>
      <c r="F56150"/>
    </row>
    <row r="56151" spans="1:6" x14ac:dyDescent="0.25">
      <c r="A56151"/>
      <c r="B56151"/>
      <c r="C56151"/>
      <c r="E56151"/>
      <c r="F56151"/>
    </row>
    <row r="56152" spans="1:6" x14ac:dyDescent="0.25">
      <c r="A56152"/>
      <c r="B56152"/>
      <c r="C56152"/>
      <c r="E56152"/>
      <c r="F56152"/>
    </row>
    <row r="56153" spans="1:6" x14ac:dyDescent="0.25">
      <c r="A56153"/>
      <c r="B56153"/>
      <c r="C56153"/>
      <c r="E56153"/>
      <c r="F56153"/>
    </row>
    <row r="56154" spans="1:6" x14ac:dyDescent="0.25">
      <c r="A56154"/>
      <c r="B56154"/>
      <c r="C56154"/>
      <c r="E56154"/>
      <c r="F56154"/>
    </row>
    <row r="56155" spans="1:6" x14ac:dyDescent="0.25">
      <c r="A56155"/>
      <c r="B56155"/>
      <c r="C56155"/>
      <c r="E56155"/>
      <c r="F56155"/>
    </row>
    <row r="56156" spans="1:6" x14ac:dyDescent="0.25">
      <c r="A56156"/>
      <c r="B56156"/>
      <c r="C56156"/>
      <c r="E56156"/>
      <c r="F56156"/>
    </row>
    <row r="56157" spans="1:6" x14ac:dyDescent="0.25">
      <c r="A56157"/>
      <c r="B56157"/>
      <c r="C56157"/>
      <c r="E56157"/>
      <c r="F56157"/>
    </row>
    <row r="56158" spans="1:6" x14ac:dyDescent="0.25">
      <c r="A56158"/>
      <c r="B56158"/>
      <c r="C56158"/>
      <c r="E56158"/>
      <c r="F56158"/>
    </row>
    <row r="56159" spans="1:6" x14ac:dyDescent="0.25">
      <c r="A56159"/>
      <c r="B56159"/>
      <c r="C56159"/>
      <c r="E56159"/>
      <c r="F56159"/>
    </row>
    <row r="56160" spans="1:6" x14ac:dyDescent="0.25">
      <c r="A56160"/>
      <c r="B56160"/>
      <c r="C56160"/>
      <c r="E56160"/>
      <c r="F56160"/>
    </row>
    <row r="56161" spans="1:6" x14ac:dyDescent="0.25">
      <c r="A56161"/>
      <c r="B56161"/>
      <c r="C56161"/>
      <c r="E56161"/>
      <c r="F56161"/>
    </row>
    <row r="56162" spans="1:6" x14ac:dyDescent="0.25">
      <c r="A56162"/>
      <c r="B56162"/>
      <c r="C56162"/>
      <c r="E56162"/>
      <c r="F56162"/>
    </row>
    <row r="56163" spans="1:6" x14ac:dyDescent="0.25">
      <c r="A56163"/>
      <c r="B56163"/>
      <c r="C56163"/>
      <c r="E56163"/>
      <c r="F56163"/>
    </row>
    <row r="56164" spans="1:6" x14ac:dyDescent="0.25">
      <c r="A56164"/>
      <c r="B56164"/>
      <c r="C56164"/>
      <c r="E56164"/>
      <c r="F56164"/>
    </row>
    <row r="56165" spans="1:6" x14ac:dyDescent="0.25">
      <c r="A56165"/>
      <c r="B56165"/>
      <c r="C56165"/>
      <c r="E56165"/>
      <c r="F56165"/>
    </row>
    <row r="56166" spans="1:6" x14ac:dyDescent="0.25">
      <c r="A56166"/>
      <c r="B56166"/>
      <c r="C56166"/>
      <c r="E56166"/>
      <c r="F56166"/>
    </row>
    <row r="56167" spans="1:6" x14ac:dyDescent="0.25">
      <c r="A56167"/>
      <c r="B56167"/>
      <c r="C56167"/>
      <c r="E56167"/>
      <c r="F56167"/>
    </row>
    <row r="56168" spans="1:6" x14ac:dyDescent="0.25">
      <c r="A56168"/>
      <c r="B56168"/>
      <c r="C56168"/>
      <c r="E56168"/>
      <c r="F56168"/>
    </row>
    <row r="56169" spans="1:6" x14ac:dyDescent="0.25">
      <c r="A56169"/>
      <c r="B56169"/>
      <c r="C56169"/>
      <c r="E56169"/>
      <c r="F56169"/>
    </row>
    <row r="56170" spans="1:6" x14ac:dyDescent="0.25">
      <c r="A56170"/>
      <c r="B56170"/>
      <c r="C56170"/>
      <c r="E56170"/>
      <c r="F56170"/>
    </row>
    <row r="56171" spans="1:6" x14ac:dyDescent="0.25">
      <c r="A56171"/>
      <c r="B56171"/>
      <c r="C56171"/>
      <c r="E56171"/>
      <c r="F56171"/>
    </row>
    <row r="56172" spans="1:6" x14ac:dyDescent="0.25">
      <c r="A56172"/>
      <c r="B56172"/>
      <c r="C56172"/>
      <c r="E56172"/>
      <c r="F56172"/>
    </row>
    <row r="56173" spans="1:6" x14ac:dyDescent="0.25">
      <c r="A56173"/>
      <c r="B56173"/>
      <c r="C56173"/>
      <c r="E56173"/>
      <c r="F56173"/>
    </row>
    <row r="56174" spans="1:6" x14ac:dyDescent="0.25">
      <c r="A56174"/>
      <c r="B56174"/>
      <c r="C56174"/>
      <c r="E56174"/>
      <c r="F56174"/>
    </row>
    <row r="56175" spans="1:6" x14ac:dyDescent="0.25">
      <c r="A56175"/>
      <c r="B56175"/>
      <c r="C56175"/>
      <c r="E56175"/>
      <c r="F56175"/>
    </row>
    <row r="56176" spans="1:6" x14ac:dyDescent="0.25">
      <c r="A56176"/>
      <c r="B56176"/>
      <c r="C56176"/>
      <c r="E56176"/>
      <c r="F56176"/>
    </row>
    <row r="56177" spans="1:6" x14ac:dyDescent="0.25">
      <c r="A56177"/>
      <c r="B56177"/>
      <c r="C56177"/>
      <c r="E56177"/>
      <c r="F56177"/>
    </row>
    <row r="56178" spans="1:6" x14ac:dyDescent="0.25">
      <c r="A56178"/>
      <c r="B56178"/>
      <c r="C56178"/>
      <c r="E56178"/>
      <c r="F56178"/>
    </row>
    <row r="56179" spans="1:6" x14ac:dyDescent="0.25">
      <c r="A56179"/>
      <c r="B56179"/>
      <c r="C56179"/>
      <c r="E56179"/>
      <c r="F56179"/>
    </row>
    <row r="56180" spans="1:6" x14ac:dyDescent="0.25">
      <c r="A56180"/>
      <c r="B56180"/>
      <c r="C56180"/>
      <c r="E56180"/>
      <c r="F56180"/>
    </row>
    <row r="56181" spans="1:6" x14ac:dyDescent="0.25">
      <c r="A56181"/>
      <c r="B56181"/>
      <c r="C56181"/>
      <c r="E56181"/>
      <c r="F56181"/>
    </row>
    <row r="56182" spans="1:6" x14ac:dyDescent="0.25">
      <c r="A56182"/>
      <c r="B56182"/>
      <c r="C56182"/>
      <c r="E56182"/>
      <c r="F56182"/>
    </row>
    <row r="56183" spans="1:6" x14ac:dyDescent="0.25">
      <c r="A56183"/>
      <c r="B56183"/>
      <c r="C56183"/>
      <c r="E56183"/>
      <c r="F56183"/>
    </row>
    <row r="56184" spans="1:6" x14ac:dyDescent="0.25">
      <c r="A56184"/>
      <c r="B56184"/>
      <c r="C56184"/>
      <c r="E56184"/>
      <c r="F56184"/>
    </row>
    <row r="56185" spans="1:6" x14ac:dyDescent="0.25">
      <c r="A56185"/>
      <c r="B56185"/>
      <c r="C56185"/>
      <c r="E56185"/>
      <c r="F56185"/>
    </row>
    <row r="56186" spans="1:6" x14ac:dyDescent="0.25">
      <c r="A56186"/>
      <c r="B56186"/>
      <c r="C56186"/>
      <c r="E56186"/>
      <c r="F56186"/>
    </row>
    <row r="56187" spans="1:6" x14ac:dyDescent="0.25">
      <c r="A56187"/>
      <c r="B56187"/>
      <c r="C56187"/>
      <c r="E56187"/>
      <c r="F56187"/>
    </row>
    <row r="56188" spans="1:6" x14ac:dyDescent="0.25">
      <c r="A56188"/>
      <c r="B56188"/>
      <c r="C56188"/>
      <c r="E56188"/>
      <c r="F56188"/>
    </row>
    <row r="56189" spans="1:6" x14ac:dyDescent="0.25">
      <c r="A56189"/>
      <c r="B56189"/>
      <c r="C56189"/>
      <c r="E56189"/>
      <c r="F56189"/>
    </row>
    <row r="56190" spans="1:6" x14ac:dyDescent="0.25">
      <c r="A56190"/>
      <c r="B56190"/>
      <c r="C56190"/>
      <c r="E56190"/>
      <c r="F56190"/>
    </row>
    <row r="56191" spans="1:6" x14ac:dyDescent="0.25">
      <c r="A56191"/>
      <c r="B56191"/>
      <c r="C56191"/>
      <c r="E56191"/>
      <c r="F56191"/>
    </row>
    <row r="56192" spans="1:6" x14ac:dyDescent="0.25">
      <c r="A56192"/>
      <c r="B56192"/>
      <c r="C56192"/>
      <c r="E56192"/>
      <c r="F56192"/>
    </row>
    <row r="56193" spans="1:6" x14ac:dyDescent="0.25">
      <c r="A56193"/>
      <c r="B56193"/>
      <c r="C56193"/>
      <c r="E56193"/>
      <c r="F56193"/>
    </row>
    <row r="56194" spans="1:6" x14ac:dyDescent="0.25">
      <c r="A56194"/>
      <c r="B56194"/>
      <c r="C56194"/>
      <c r="E56194"/>
      <c r="F56194"/>
    </row>
    <row r="56195" spans="1:6" x14ac:dyDescent="0.25">
      <c r="A56195"/>
      <c r="B56195"/>
      <c r="C56195"/>
      <c r="E56195"/>
      <c r="F56195"/>
    </row>
    <row r="56196" spans="1:6" x14ac:dyDescent="0.25">
      <c r="A56196"/>
      <c r="B56196"/>
      <c r="C56196"/>
      <c r="E56196"/>
      <c r="F56196"/>
    </row>
    <row r="56197" spans="1:6" x14ac:dyDescent="0.25">
      <c r="A56197"/>
      <c r="B56197"/>
      <c r="C56197"/>
      <c r="E56197"/>
      <c r="F56197"/>
    </row>
    <row r="56198" spans="1:6" x14ac:dyDescent="0.25">
      <c r="A56198"/>
      <c r="B56198"/>
      <c r="C56198"/>
      <c r="E56198"/>
      <c r="F56198"/>
    </row>
    <row r="56199" spans="1:6" x14ac:dyDescent="0.25">
      <c r="A56199"/>
      <c r="B56199"/>
      <c r="C56199"/>
      <c r="E56199"/>
      <c r="F56199"/>
    </row>
    <row r="56200" spans="1:6" x14ac:dyDescent="0.25">
      <c r="A56200"/>
      <c r="B56200"/>
      <c r="C56200"/>
      <c r="E56200"/>
      <c r="F56200"/>
    </row>
    <row r="56201" spans="1:6" x14ac:dyDescent="0.25">
      <c r="A56201"/>
      <c r="B56201"/>
      <c r="C56201"/>
      <c r="E56201"/>
      <c r="F56201"/>
    </row>
    <row r="56202" spans="1:6" x14ac:dyDescent="0.25">
      <c r="A56202"/>
      <c r="B56202"/>
      <c r="C56202"/>
      <c r="E56202"/>
      <c r="F56202"/>
    </row>
    <row r="56203" spans="1:6" x14ac:dyDescent="0.25">
      <c r="A56203"/>
      <c r="B56203"/>
      <c r="C56203"/>
      <c r="E56203"/>
      <c r="F56203"/>
    </row>
    <row r="56204" spans="1:6" x14ac:dyDescent="0.25">
      <c r="A56204"/>
      <c r="B56204"/>
      <c r="C56204"/>
      <c r="E56204"/>
      <c r="F56204"/>
    </row>
    <row r="56205" spans="1:6" x14ac:dyDescent="0.25">
      <c r="A56205"/>
      <c r="B56205"/>
      <c r="C56205"/>
      <c r="E56205"/>
      <c r="F56205"/>
    </row>
    <row r="56206" spans="1:6" x14ac:dyDescent="0.25">
      <c r="A56206"/>
      <c r="B56206"/>
      <c r="C56206"/>
      <c r="E56206"/>
      <c r="F56206"/>
    </row>
    <row r="56207" spans="1:6" x14ac:dyDescent="0.25">
      <c r="A56207"/>
      <c r="B56207"/>
      <c r="C56207"/>
      <c r="E56207"/>
      <c r="F56207"/>
    </row>
    <row r="56208" spans="1:6" x14ac:dyDescent="0.25">
      <c r="A56208"/>
      <c r="B56208"/>
      <c r="C56208"/>
      <c r="E56208"/>
      <c r="F56208"/>
    </row>
    <row r="56209" spans="1:6" x14ac:dyDescent="0.25">
      <c r="A56209"/>
      <c r="B56209"/>
      <c r="C56209"/>
      <c r="E56209"/>
      <c r="F56209"/>
    </row>
    <row r="56210" spans="1:6" x14ac:dyDescent="0.25">
      <c r="A56210"/>
      <c r="B56210"/>
      <c r="C56210"/>
      <c r="E56210"/>
      <c r="F56210"/>
    </row>
    <row r="56211" spans="1:6" x14ac:dyDescent="0.25">
      <c r="A56211"/>
      <c r="B56211"/>
      <c r="C56211"/>
      <c r="E56211"/>
      <c r="F56211"/>
    </row>
    <row r="56212" spans="1:6" x14ac:dyDescent="0.25">
      <c r="A56212"/>
      <c r="B56212"/>
      <c r="C56212"/>
      <c r="E56212"/>
      <c r="F56212"/>
    </row>
    <row r="56213" spans="1:6" x14ac:dyDescent="0.25">
      <c r="A56213"/>
      <c r="B56213"/>
      <c r="C56213"/>
      <c r="E56213"/>
      <c r="F56213"/>
    </row>
    <row r="56214" spans="1:6" x14ac:dyDescent="0.25">
      <c r="A56214"/>
      <c r="B56214"/>
      <c r="C56214"/>
      <c r="E56214"/>
      <c r="F56214"/>
    </row>
    <row r="56215" spans="1:6" x14ac:dyDescent="0.25">
      <c r="A56215"/>
      <c r="B56215"/>
      <c r="C56215"/>
      <c r="E56215"/>
      <c r="F56215"/>
    </row>
    <row r="56216" spans="1:6" x14ac:dyDescent="0.25">
      <c r="A56216"/>
      <c r="B56216"/>
      <c r="C56216"/>
      <c r="E56216"/>
      <c r="F56216"/>
    </row>
    <row r="56217" spans="1:6" x14ac:dyDescent="0.25">
      <c r="A56217"/>
      <c r="B56217"/>
      <c r="C56217"/>
      <c r="E56217"/>
      <c r="F56217"/>
    </row>
    <row r="56218" spans="1:6" x14ac:dyDescent="0.25">
      <c r="A56218"/>
      <c r="B56218"/>
      <c r="C56218"/>
      <c r="E56218"/>
      <c r="F56218"/>
    </row>
    <row r="56219" spans="1:6" x14ac:dyDescent="0.25">
      <c r="A56219"/>
      <c r="B56219"/>
      <c r="C56219"/>
      <c r="E56219"/>
      <c r="F56219"/>
    </row>
    <row r="56220" spans="1:6" x14ac:dyDescent="0.25">
      <c r="A56220"/>
      <c r="B56220"/>
      <c r="C56220"/>
      <c r="E56220"/>
      <c r="F56220"/>
    </row>
    <row r="56221" spans="1:6" x14ac:dyDescent="0.25">
      <c r="A56221"/>
      <c r="B56221"/>
      <c r="C56221"/>
      <c r="E56221"/>
      <c r="F56221"/>
    </row>
    <row r="56222" spans="1:6" x14ac:dyDescent="0.25">
      <c r="A56222"/>
      <c r="B56222"/>
      <c r="C56222"/>
      <c r="E56222"/>
      <c r="F56222"/>
    </row>
    <row r="56223" spans="1:6" x14ac:dyDescent="0.25">
      <c r="A56223"/>
      <c r="B56223"/>
      <c r="C56223"/>
      <c r="E56223"/>
      <c r="F56223"/>
    </row>
    <row r="56224" spans="1:6" x14ac:dyDescent="0.25">
      <c r="A56224"/>
      <c r="B56224"/>
      <c r="C56224"/>
      <c r="E56224"/>
      <c r="F56224"/>
    </row>
    <row r="56225" spans="1:6" x14ac:dyDescent="0.25">
      <c r="A56225"/>
      <c r="B56225"/>
      <c r="C56225"/>
      <c r="E56225"/>
      <c r="F56225"/>
    </row>
    <row r="56226" spans="1:6" x14ac:dyDescent="0.25">
      <c r="A56226"/>
      <c r="B56226"/>
      <c r="C56226"/>
      <c r="E56226"/>
      <c r="F56226"/>
    </row>
    <row r="56227" spans="1:6" x14ac:dyDescent="0.25">
      <c r="A56227"/>
      <c r="B56227"/>
      <c r="C56227"/>
      <c r="E56227"/>
      <c r="F56227"/>
    </row>
    <row r="56228" spans="1:6" x14ac:dyDescent="0.25">
      <c r="A56228"/>
      <c r="B56228"/>
      <c r="C56228"/>
      <c r="E56228"/>
      <c r="F56228"/>
    </row>
    <row r="56229" spans="1:6" x14ac:dyDescent="0.25">
      <c r="A56229"/>
      <c r="B56229"/>
      <c r="C56229"/>
      <c r="E56229"/>
      <c r="F56229"/>
    </row>
    <row r="56230" spans="1:6" x14ac:dyDescent="0.25">
      <c r="A56230"/>
      <c r="B56230"/>
      <c r="C56230"/>
      <c r="E56230"/>
      <c r="F56230"/>
    </row>
    <row r="56231" spans="1:6" x14ac:dyDescent="0.25">
      <c r="A56231"/>
      <c r="B56231"/>
      <c r="C56231"/>
      <c r="E56231"/>
      <c r="F56231"/>
    </row>
    <row r="56232" spans="1:6" x14ac:dyDescent="0.25">
      <c r="A56232"/>
      <c r="B56232"/>
      <c r="C56232"/>
      <c r="E56232"/>
      <c r="F56232"/>
    </row>
    <row r="56233" spans="1:6" x14ac:dyDescent="0.25">
      <c r="A56233"/>
      <c r="B56233"/>
      <c r="C56233"/>
      <c r="E56233"/>
      <c r="F56233"/>
    </row>
    <row r="56234" spans="1:6" x14ac:dyDescent="0.25">
      <c r="A56234"/>
      <c r="B56234"/>
      <c r="C56234"/>
      <c r="E56234"/>
      <c r="F56234"/>
    </row>
    <row r="56235" spans="1:6" x14ac:dyDescent="0.25">
      <c r="A56235"/>
      <c r="B56235"/>
      <c r="C56235"/>
      <c r="E56235"/>
      <c r="F56235"/>
    </row>
    <row r="56236" spans="1:6" x14ac:dyDescent="0.25">
      <c r="A56236"/>
      <c r="B56236"/>
      <c r="C56236"/>
      <c r="E56236"/>
      <c r="F56236"/>
    </row>
    <row r="56237" spans="1:6" x14ac:dyDescent="0.25">
      <c r="A56237"/>
      <c r="B56237"/>
      <c r="C56237"/>
      <c r="E56237"/>
      <c r="F56237"/>
    </row>
    <row r="56238" spans="1:6" x14ac:dyDescent="0.25">
      <c r="A56238"/>
      <c r="B56238"/>
      <c r="C56238"/>
      <c r="E56238"/>
      <c r="F56238"/>
    </row>
    <row r="56239" spans="1:6" x14ac:dyDescent="0.25">
      <c r="A56239"/>
      <c r="B56239"/>
      <c r="C56239"/>
      <c r="E56239"/>
      <c r="F56239"/>
    </row>
    <row r="56240" spans="1:6" x14ac:dyDescent="0.25">
      <c r="A56240"/>
      <c r="B56240"/>
      <c r="C56240"/>
      <c r="E56240"/>
      <c r="F56240"/>
    </row>
    <row r="56241" spans="1:6" x14ac:dyDescent="0.25">
      <c r="A56241"/>
      <c r="B56241"/>
      <c r="C56241"/>
      <c r="E56241"/>
      <c r="F56241"/>
    </row>
    <row r="56242" spans="1:6" x14ac:dyDescent="0.25">
      <c r="A56242"/>
      <c r="B56242"/>
      <c r="C56242"/>
      <c r="E56242"/>
      <c r="F56242"/>
    </row>
    <row r="56243" spans="1:6" x14ac:dyDescent="0.25">
      <c r="A56243"/>
      <c r="B56243"/>
      <c r="C56243"/>
      <c r="E56243"/>
      <c r="F56243"/>
    </row>
    <row r="56244" spans="1:6" x14ac:dyDescent="0.25">
      <c r="A56244"/>
      <c r="B56244"/>
      <c r="C56244"/>
      <c r="E56244"/>
      <c r="F56244"/>
    </row>
    <row r="56245" spans="1:6" x14ac:dyDescent="0.25">
      <c r="A56245"/>
      <c r="B56245"/>
      <c r="C56245"/>
      <c r="E56245"/>
      <c r="F56245"/>
    </row>
    <row r="56246" spans="1:6" x14ac:dyDescent="0.25">
      <c r="A56246"/>
      <c r="B56246"/>
      <c r="C56246"/>
      <c r="E56246"/>
      <c r="F56246"/>
    </row>
    <row r="56247" spans="1:6" x14ac:dyDescent="0.25">
      <c r="A56247"/>
      <c r="B56247"/>
      <c r="C56247"/>
      <c r="E56247"/>
      <c r="F56247"/>
    </row>
    <row r="56248" spans="1:6" x14ac:dyDescent="0.25">
      <c r="A56248"/>
      <c r="B56248"/>
      <c r="C56248"/>
      <c r="E56248"/>
      <c r="F56248"/>
    </row>
    <row r="56249" spans="1:6" x14ac:dyDescent="0.25">
      <c r="A56249"/>
      <c r="B56249"/>
      <c r="C56249"/>
      <c r="E56249"/>
      <c r="F56249"/>
    </row>
    <row r="56250" spans="1:6" x14ac:dyDescent="0.25">
      <c r="A56250"/>
      <c r="B56250"/>
      <c r="C56250"/>
      <c r="E56250"/>
      <c r="F56250"/>
    </row>
    <row r="56251" spans="1:6" x14ac:dyDescent="0.25">
      <c r="A56251"/>
      <c r="B56251"/>
      <c r="C56251"/>
      <c r="E56251"/>
      <c r="F56251"/>
    </row>
    <row r="56252" spans="1:6" x14ac:dyDescent="0.25">
      <c r="A56252"/>
      <c r="B56252"/>
      <c r="C56252"/>
      <c r="E56252"/>
      <c r="F56252"/>
    </row>
    <row r="56253" spans="1:6" x14ac:dyDescent="0.25">
      <c r="A56253"/>
      <c r="B56253"/>
      <c r="C56253"/>
      <c r="E56253"/>
      <c r="F56253"/>
    </row>
    <row r="56254" spans="1:6" x14ac:dyDescent="0.25">
      <c r="A56254"/>
      <c r="B56254"/>
      <c r="C56254"/>
      <c r="E56254"/>
      <c r="F56254"/>
    </row>
    <row r="56255" spans="1:6" x14ac:dyDescent="0.25">
      <c r="A56255"/>
      <c r="B56255"/>
      <c r="C56255"/>
      <c r="E56255"/>
      <c r="F56255"/>
    </row>
    <row r="56256" spans="1:6" x14ac:dyDescent="0.25">
      <c r="A56256"/>
      <c r="B56256"/>
      <c r="C56256"/>
      <c r="E56256"/>
      <c r="F56256"/>
    </row>
    <row r="56257" spans="1:6" x14ac:dyDescent="0.25">
      <c r="A56257"/>
      <c r="B56257"/>
      <c r="C56257"/>
      <c r="E56257"/>
      <c r="F56257"/>
    </row>
    <row r="56258" spans="1:6" x14ac:dyDescent="0.25">
      <c r="A56258"/>
      <c r="B56258"/>
      <c r="C56258"/>
      <c r="E56258"/>
      <c r="F56258"/>
    </row>
    <row r="56259" spans="1:6" x14ac:dyDescent="0.25">
      <c r="A56259"/>
      <c r="B56259"/>
      <c r="C56259"/>
      <c r="E56259"/>
      <c r="F56259"/>
    </row>
    <row r="56260" spans="1:6" x14ac:dyDescent="0.25">
      <c r="A56260"/>
      <c r="B56260"/>
      <c r="C56260"/>
      <c r="E56260"/>
      <c r="F56260"/>
    </row>
    <row r="56261" spans="1:6" x14ac:dyDescent="0.25">
      <c r="A56261"/>
      <c r="B56261"/>
      <c r="C56261"/>
      <c r="E56261"/>
      <c r="F56261"/>
    </row>
    <row r="56262" spans="1:6" x14ac:dyDescent="0.25">
      <c r="A56262"/>
      <c r="B56262"/>
      <c r="C56262"/>
      <c r="E56262"/>
      <c r="F56262"/>
    </row>
    <row r="56263" spans="1:6" x14ac:dyDescent="0.25">
      <c r="A56263"/>
      <c r="B56263"/>
      <c r="C56263"/>
      <c r="E56263"/>
      <c r="F56263"/>
    </row>
    <row r="56264" spans="1:6" x14ac:dyDescent="0.25">
      <c r="A56264"/>
      <c r="B56264"/>
      <c r="C56264"/>
      <c r="E56264"/>
      <c r="F56264"/>
    </row>
    <row r="56265" spans="1:6" x14ac:dyDescent="0.25">
      <c r="A56265"/>
      <c r="B56265"/>
      <c r="C56265"/>
      <c r="E56265"/>
      <c r="F56265"/>
    </row>
    <row r="56266" spans="1:6" x14ac:dyDescent="0.25">
      <c r="A56266"/>
      <c r="B56266"/>
      <c r="C56266"/>
      <c r="E56266"/>
      <c r="F56266"/>
    </row>
    <row r="56267" spans="1:6" x14ac:dyDescent="0.25">
      <c r="A56267"/>
      <c r="B56267"/>
      <c r="C56267"/>
      <c r="E56267"/>
      <c r="F56267"/>
    </row>
    <row r="56268" spans="1:6" x14ac:dyDescent="0.25">
      <c r="A56268"/>
      <c r="B56268"/>
      <c r="C56268"/>
      <c r="E56268"/>
      <c r="F56268"/>
    </row>
    <row r="56269" spans="1:6" x14ac:dyDescent="0.25">
      <c r="A56269"/>
      <c r="B56269"/>
      <c r="C56269"/>
      <c r="E56269"/>
      <c r="F56269"/>
    </row>
    <row r="56270" spans="1:6" x14ac:dyDescent="0.25">
      <c r="A56270"/>
      <c r="B56270"/>
      <c r="C56270"/>
      <c r="E56270"/>
      <c r="F56270"/>
    </row>
    <row r="56271" spans="1:6" x14ac:dyDescent="0.25">
      <c r="A56271"/>
      <c r="B56271"/>
      <c r="C56271"/>
      <c r="E56271"/>
      <c r="F56271"/>
    </row>
    <row r="56272" spans="1:6" x14ac:dyDescent="0.25">
      <c r="A56272"/>
      <c r="B56272"/>
      <c r="C56272"/>
      <c r="E56272"/>
      <c r="F56272"/>
    </row>
    <row r="56273" spans="1:6" x14ac:dyDescent="0.25">
      <c r="A56273"/>
      <c r="B56273"/>
      <c r="C56273"/>
      <c r="E56273"/>
      <c r="F56273"/>
    </row>
    <row r="56274" spans="1:6" x14ac:dyDescent="0.25">
      <c r="A56274"/>
      <c r="B56274"/>
      <c r="C56274"/>
      <c r="E56274"/>
      <c r="F56274"/>
    </row>
    <row r="56275" spans="1:6" x14ac:dyDescent="0.25">
      <c r="A56275"/>
      <c r="B56275"/>
      <c r="C56275"/>
      <c r="E56275"/>
      <c r="F56275"/>
    </row>
    <row r="56276" spans="1:6" x14ac:dyDescent="0.25">
      <c r="A56276"/>
      <c r="B56276"/>
      <c r="C56276"/>
      <c r="E56276"/>
      <c r="F56276"/>
    </row>
    <row r="56277" spans="1:6" x14ac:dyDescent="0.25">
      <c r="A56277"/>
      <c r="B56277"/>
      <c r="C56277"/>
      <c r="E56277"/>
      <c r="F56277"/>
    </row>
    <row r="56278" spans="1:6" x14ac:dyDescent="0.25">
      <c r="A56278"/>
      <c r="B56278"/>
      <c r="C56278"/>
      <c r="E56278"/>
      <c r="F56278"/>
    </row>
    <row r="56279" spans="1:6" x14ac:dyDescent="0.25">
      <c r="A56279"/>
      <c r="B56279"/>
      <c r="C56279"/>
      <c r="E56279"/>
      <c r="F56279"/>
    </row>
    <row r="56280" spans="1:6" x14ac:dyDescent="0.25">
      <c r="A56280"/>
      <c r="B56280"/>
      <c r="C56280"/>
      <c r="E56280"/>
      <c r="F56280"/>
    </row>
    <row r="56281" spans="1:6" x14ac:dyDescent="0.25">
      <c r="A56281"/>
      <c r="B56281"/>
      <c r="C56281"/>
      <c r="E56281"/>
      <c r="F56281"/>
    </row>
    <row r="56282" spans="1:6" x14ac:dyDescent="0.25">
      <c r="A56282"/>
      <c r="B56282"/>
      <c r="C56282"/>
      <c r="E56282"/>
      <c r="F56282"/>
    </row>
    <row r="56283" spans="1:6" x14ac:dyDescent="0.25">
      <c r="A56283"/>
      <c r="B56283"/>
      <c r="C56283"/>
      <c r="E56283"/>
      <c r="F56283"/>
    </row>
    <row r="56284" spans="1:6" x14ac:dyDescent="0.25">
      <c r="A56284"/>
      <c r="B56284"/>
      <c r="C56284"/>
      <c r="E56284"/>
      <c r="F56284"/>
    </row>
    <row r="56285" spans="1:6" x14ac:dyDescent="0.25">
      <c r="A56285"/>
      <c r="B56285"/>
      <c r="C56285"/>
      <c r="E56285"/>
      <c r="F56285"/>
    </row>
    <row r="56286" spans="1:6" x14ac:dyDescent="0.25">
      <c r="A56286"/>
      <c r="B56286"/>
      <c r="C56286"/>
      <c r="E56286"/>
      <c r="F56286"/>
    </row>
    <row r="56287" spans="1:6" x14ac:dyDescent="0.25">
      <c r="A56287"/>
      <c r="B56287"/>
      <c r="C56287"/>
      <c r="E56287"/>
      <c r="F56287"/>
    </row>
    <row r="56288" spans="1:6" x14ac:dyDescent="0.25">
      <c r="A56288"/>
      <c r="B56288"/>
      <c r="C56288"/>
      <c r="E56288"/>
      <c r="F56288"/>
    </row>
    <row r="56289" spans="1:6" x14ac:dyDescent="0.25">
      <c r="A56289"/>
      <c r="B56289"/>
      <c r="C56289"/>
      <c r="E56289"/>
      <c r="F56289"/>
    </row>
    <row r="56290" spans="1:6" x14ac:dyDescent="0.25">
      <c r="A56290"/>
      <c r="B56290"/>
      <c r="C56290"/>
      <c r="E56290"/>
      <c r="F56290"/>
    </row>
    <row r="56291" spans="1:6" x14ac:dyDescent="0.25">
      <c r="A56291"/>
      <c r="B56291"/>
      <c r="C56291"/>
      <c r="E56291"/>
      <c r="F56291"/>
    </row>
    <row r="56292" spans="1:6" x14ac:dyDescent="0.25">
      <c r="A56292"/>
      <c r="B56292"/>
      <c r="C56292"/>
      <c r="E56292"/>
      <c r="F56292"/>
    </row>
    <row r="56293" spans="1:6" x14ac:dyDescent="0.25">
      <c r="A56293"/>
      <c r="B56293"/>
      <c r="C56293"/>
      <c r="E56293"/>
      <c r="F56293"/>
    </row>
    <row r="56294" spans="1:6" x14ac:dyDescent="0.25">
      <c r="A56294"/>
      <c r="B56294"/>
      <c r="C56294"/>
      <c r="E56294"/>
      <c r="F56294"/>
    </row>
    <row r="56295" spans="1:6" x14ac:dyDescent="0.25">
      <c r="A56295"/>
      <c r="B56295"/>
      <c r="C56295"/>
      <c r="E56295"/>
      <c r="F56295"/>
    </row>
    <row r="56296" spans="1:6" x14ac:dyDescent="0.25">
      <c r="A56296"/>
      <c r="B56296"/>
      <c r="C56296"/>
      <c r="E56296"/>
      <c r="F56296"/>
    </row>
    <row r="56297" spans="1:6" x14ac:dyDescent="0.25">
      <c r="A56297"/>
      <c r="B56297"/>
      <c r="C56297"/>
      <c r="E56297"/>
      <c r="F56297"/>
    </row>
    <row r="56298" spans="1:6" x14ac:dyDescent="0.25">
      <c r="A56298"/>
      <c r="B56298"/>
      <c r="C56298"/>
      <c r="E56298"/>
      <c r="F56298"/>
    </row>
    <row r="56299" spans="1:6" x14ac:dyDescent="0.25">
      <c r="A56299"/>
      <c r="B56299"/>
      <c r="C56299"/>
      <c r="E56299"/>
      <c r="F56299"/>
    </row>
    <row r="56300" spans="1:6" x14ac:dyDescent="0.25">
      <c r="A56300"/>
      <c r="B56300"/>
      <c r="C56300"/>
      <c r="E56300"/>
      <c r="F56300"/>
    </row>
    <row r="56301" spans="1:6" x14ac:dyDescent="0.25">
      <c r="A56301"/>
      <c r="B56301"/>
      <c r="C56301"/>
      <c r="E56301"/>
      <c r="F56301"/>
    </row>
    <row r="56302" spans="1:6" x14ac:dyDescent="0.25">
      <c r="A56302"/>
      <c r="B56302"/>
      <c r="C56302"/>
      <c r="E56302"/>
      <c r="F56302"/>
    </row>
    <row r="56303" spans="1:6" x14ac:dyDescent="0.25">
      <c r="A56303"/>
      <c r="B56303"/>
      <c r="C56303"/>
      <c r="E56303"/>
      <c r="F56303"/>
    </row>
    <row r="56304" spans="1:6" x14ac:dyDescent="0.25">
      <c r="A56304"/>
      <c r="B56304"/>
      <c r="C56304"/>
      <c r="E56304"/>
      <c r="F56304"/>
    </row>
    <row r="56305" spans="1:6" x14ac:dyDescent="0.25">
      <c r="A56305"/>
      <c r="B56305"/>
      <c r="C56305"/>
      <c r="E56305"/>
      <c r="F56305"/>
    </row>
    <row r="56306" spans="1:6" x14ac:dyDescent="0.25">
      <c r="A56306"/>
      <c r="B56306"/>
      <c r="C56306"/>
      <c r="E56306"/>
      <c r="F56306"/>
    </row>
    <row r="56307" spans="1:6" x14ac:dyDescent="0.25">
      <c r="A56307"/>
      <c r="B56307"/>
      <c r="C56307"/>
      <c r="E56307"/>
      <c r="F56307"/>
    </row>
    <row r="56308" spans="1:6" x14ac:dyDescent="0.25">
      <c r="A56308"/>
      <c r="B56308"/>
      <c r="C56308"/>
      <c r="E56308"/>
      <c r="F56308"/>
    </row>
    <row r="56309" spans="1:6" x14ac:dyDescent="0.25">
      <c r="A56309"/>
      <c r="B56309"/>
      <c r="C56309"/>
      <c r="E56309"/>
      <c r="F56309"/>
    </row>
    <row r="56310" spans="1:6" x14ac:dyDescent="0.25">
      <c r="A56310"/>
      <c r="B56310"/>
      <c r="C56310"/>
      <c r="E56310"/>
      <c r="F56310"/>
    </row>
    <row r="56311" spans="1:6" x14ac:dyDescent="0.25">
      <c r="A56311"/>
      <c r="B56311"/>
      <c r="C56311"/>
      <c r="E56311"/>
      <c r="F56311"/>
    </row>
    <row r="56312" spans="1:6" x14ac:dyDescent="0.25">
      <c r="A56312"/>
      <c r="B56312"/>
      <c r="C56312"/>
      <c r="E56312"/>
      <c r="F56312"/>
    </row>
    <row r="56313" spans="1:6" x14ac:dyDescent="0.25">
      <c r="A56313"/>
      <c r="B56313"/>
      <c r="C56313"/>
      <c r="E56313"/>
      <c r="F56313"/>
    </row>
    <row r="56314" spans="1:6" x14ac:dyDescent="0.25">
      <c r="A56314"/>
      <c r="B56314"/>
      <c r="C56314"/>
      <c r="E56314"/>
      <c r="F56314"/>
    </row>
    <row r="56315" spans="1:6" x14ac:dyDescent="0.25">
      <c r="A56315"/>
      <c r="B56315"/>
      <c r="C56315"/>
      <c r="E56315"/>
      <c r="F56315"/>
    </row>
    <row r="56316" spans="1:6" x14ac:dyDescent="0.25">
      <c r="A56316"/>
      <c r="B56316"/>
      <c r="C56316"/>
      <c r="E56316"/>
      <c r="F56316"/>
    </row>
    <row r="56317" spans="1:6" x14ac:dyDescent="0.25">
      <c r="A56317"/>
      <c r="B56317"/>
      <c r="C56317"/>
      <c r="E56317"/>
      <c r="F56317"/>
    </row>
    <row r="56318" spans="1:6" x14ac:dyDescent="0.25">
      <c r="A56318"/>
      <c r="B56318"/>
      <c r="C56318"/>
      <c r="E56318"/>
      <c r="F56318"/>
    </row>
    <row r="56319" spans="1:6" x14ac:dyDescent="0.25">
      <c r="A56319"/>
      <c r="B56319"/>
      <c r="C56319"/>
      <c r="E56319"/>
      <c r="F56319"/>
    </row>
    <row r="56320" spans="1:6" x14ac:dyDescent="0.25">
      <c r="A56320"/>
      <c r="B56320"/>
      <c r="C56320"/>
      <c r="E56320"/>
      <c r="F56320"/>
    </row>
    <row r="56321" spans="1:6" x14ac:dyDescent="0.25">
      <c r="A56321"/>
      <c r="B56321"/>
      <c r="C56321"/>
      <c r="E56321"/>
      <c r="F56321"/>
    </row>
    <row r="56322" spans="1:6" x14ac:dyDescent="0.25">
      <c r="A56322"/>
      <c r="B56322"/>
      <c r="C56322"/>
      <c r="E56322"/>
      <c r="F56322"/>
    </row>
    <row r="56323" spans="1:6" x14ac:dyDescent="0.25">
      <c r="A56323"/>
      <c r="B56323"/>
      <c r="C56323"/>
      <c r="E56323"/>
      <c r="F56323"/>
    </row>
    <row r="56324" spans="1:6" x14ac:dyDescent="0.25">
      <c r="A56324"/>
      <c r="B56324"/>
      <c r="C56324"/>
      <c r="E56324"/>
      <c r="F56324"/>
    </row>
    <row r="56325" spans="1:6" x14ac:dyDescent="0.25">
      <c r="A56325"/>
      <c r="B56325"/>
      <c r="C56325"/>
      <c r="E56325"/>
      <c r="F56325"/>
    </row>
    <row r="56326" spans="1:6" x14ac:dyDescent="0.25">
      <c r="A56326"/>
      <c r="B56326"/>
      <c r="C56326"/>
      <c r="E56326"/>
      <c r="F56326"/>
    </row>
    <row r="56327" spans="1:6" x14ac:dyDescent="0.25">
      <c r="A56327"/>
      <c r="B56327"/>
      <c r="C56327"/>
      <c r="E56327"/>
      <c r="F56327"/>
    </row>
    <row r="56328" spans="1:6" x14ac:dyDescent="0.25">
      <c r="A56328"/>
      <c r="B56328"/>
      <c r="C56328"/>
      <c r="E56328"/>
      <c r="F56328"/>
    </row>
    <row r="56329" spans="1:6" x14ac:dyDescent="0.25">
      <c r="A56329"/>
      <c r="B56329"/>
      <c r="C56329"/>
      <c r="E56329"/>
      <c r="F56329"/>
    </row>
    <row r="56330" spans="1:6" x14ac:dyDescent="0.25">
      <c r="A56330"/>
      <c r="B56330"/>
      <c r="C56330"/>
      <c r="E56330"/>
      <c r="F56330"/>
    </row>
    <row r="56331" spans="1:6" x14ac:dyDescent="0.25">
      <c r="A56331"/>
      <c r="B56331"/>
      <c r="C56331"/>
      <c r="E56331"/>
      <c r="F56331"/>
    </row>
    <row r="56332" spans="1:6" x14ac:dyDescent="0.25">
      <c r="A56332"/>
      <c r="B56332"/>
      <c r="C56332"/>
      <c r="E56332"/>
      <c r="F56332"/>
    </row>
    <row r="56333" spans="1:6" x14ac:dyDescent="0.25">
      <c r="A56333"/>
      <c r="B56333"/>
      <c r="C56333"/>
      <c r="E56333"/>
      <c r="F56333"/>
    </row>
    <row r="56334" spans="1:6" x14ac:dyDescent="0.25">
      <c r="A56334"/>
      <c r="B56334"/>
      <c r="C56334"/>
      <c r="E56334"/>
      <c r="F56334"/>
    </row>
    <row r="56335" spans="1:6" x14ac:dyDescent="0.25">
      <c r="A56335"/>
      <c r="B56335"/>
      <c r="C56335"/>
      <c r="E56335"/>
      <c r="F56335"/>
    </row>
    <row r="56336" spans="1:6" x14ac:dyDescent="0.25">
      <c r="A56336"/>
      <c r="B56336"/>
      <c r="C56336"/>
      <c r="E56336"/>
      <c r="F56336"/>
    </row>
    <row r="56337" spans="1:6" x14ac:dyDescent="0.25">
      <c r="A56337"/>
      <c r="B56337"/>
      <c r="C56337"/>
      <c r="E56337"/>
      <c r="F56337"/>
    </row>
    <row r="56338" spans="1:6" x14ac:dyDescent="0.25">
      <c r="A56338"/>
      <c r="B56338"/>
      <c r="C56338"/>
      <c r="E56338"/>
      <c r="F56338"/>
    </row>
    <row r="56339" spans="1:6" x14ac:dyDescent="0.25">
      <c r="A56339"/>
      <c r="B56339"/>
      <c r="C56339"/>
      <c r="E56339"/>
      <c r="F56339"/>
    </row>
    <row r="56340" spans="1:6" x14ac:dyDescent="0.25">
      <c r="A56340"/>
      <c r="B56340"/>
      <c r="C56340"/>
      <c r="E56340"/>
      <c r="F56340"/>
    </row>
    <row r="56341" spans="1:6" x14ac:dyDescent="0.25">
      <c r="A56341"/>
      <c r="B56341"/>
      <c r="C56341"/>
      <c r="E56341"/>
      <c r="F56341"/>
    </row>
    <row r="56342" spans="1:6" x14ac:dyDescent="0.25">
      <c r="A56342"/>
      <c r="B56342"/>
      <c r="C56342"/>
      <c r="E56342"/>
      <c r="F56342"/>
    </row>
    <row r="56343" spans="1:6" x14ac:dyDescent="0.25">
      <c r="A56343"/>
      <c r="B56343"/>
      <c r="C56343"/>
      <c r="E56343"/>
      <c r="F56343"/>
    </row>
    <row r="56344" spans="1:6" x14ac:dyDescent="0.25">
      <c r="A56344"/>
      <c r="B56344"/>
      <c r="C56344"/>
      <c r="E56344"/>
      <c r="F56344"/>
    </row>
    <row r="56345" spans="1:6" x14ac:dyDescent="0.25">
      <c r="A56345"/>
      <c r="B56345"/>
      <c r="C56345"/>
      <c r="E56345"/>
      <c r="F56345"/>
    </row>
    <row r="56346" spans="1:6" x14ac:dyDescent="0.25">
      <c r="A56346"/>
      <c r="B56346"/>
      <c r="C56346"/>
      <c r="E56346"/>
      <c r="F56346"/>
    </row>
    <row r="56347" spans="1:6" x14ac:dyDescent="0.25">
      <c r="A56347"/>
      <c r="B56347"/>
      <c r="C56347"/>
      <c r="E56347"/>
      <c r="F56347"/>
    </row>
    <row r="56348" spans="1:6" x14ac:dyDescent="0.25">
      <c r="A56348"/>
      <c r="B56348"/>
      <c r="C56348"/>
      <c r="E56348"/>
      <c r="F56348"/>
    </row>
    <row r="56349" spans="1:6" x14ac:dyDescent="0.25">
      <c r="A56349"/>
      <c r="B56349"/>
      <c r="C56349"/>
      <c r="E56349"/>
      <c r="F56349"/>
    </row>
    <row r="56350" spans="1:6" x14ac:dyDescent="0.25">
      <c r="A56350"/>
      <c r="B56350"/>
      <c r="C56350"/>
      <c r="E56350"/>
      <c r="F56350"/>
    </row>
    <row r="56351" spans="1:6" x14ac:dyDescent="0.25">
      <c r="A56351"/>
      <c r="B56351"/>
      <c r="C56351"/>
      <c r="E56351"/>
      <c r="F56351"/>
    </row>
    <row r="56352" spans="1:6" x14ac:dyDescent="0.25">
      <c r="A56352"/>
      <c r="B56352"/>
      <c r="C56352"/>
      <c r="E56352"/>
      <c r="F56352"/>
    </row>
    <row r="56353" spans="1:6" x14ac:dyDescent="0.25">
      <c r="A56353"/>
      <c r="B56353"/>
      <c r="C56353"/>
      <c r="E56353"/>
      <c r="F56353"/>
    </row>
    <row r="56354" spans="1:6" x14ac:dyDescent="0.25">
      <c r="A56354"/>
      <c r="B56354"/>
      <c r="C56354"/>
      <c r="E56354"/>
      <c r="F56354"/>
    </row>
    <row r="56355" spans="1:6" x14ac:dyDescent="0.25">
      <c r="A56355"/>
      <c r="B56355"/>
      <c r="C56355"/>
      <c r="E56355"/>
      <c r="F56355"/>
    </row>
    <row r="56356" spans="1:6" x14ac:dyDescent="0.25">
      <c r="A56356"/>
      <c r="B56356"/>
      <c r="C56356"/>
      <c r="E56356"/>
      <c r="F56356"/>
    </row>
    <row r="56357" spans="1:6" x14ac:dyDescent="0.25">
      <c r="A56357"/>
      <c r="B56357"/>
      <c r="C56357"/>
      <c r="E56357"/>
      <c r="F56357"/>
    </row>
    <row r="56358" spans="1:6" x14ac:dyDescent="0.25">
      <c r="A56358"/>
      <c r="B56358"/>
      <c r="C56358"/>
      <c r="E56358"/>
      <c r="F56358"/>
    </row>
    <row r="56359" spans="1:6" x14ac:dyDescent="0.25">
      <c r="A56359"/>
      <c r="B56359"/>
      <c r="C56359"/>
      <c r="E56359"/>
      <c r="F56359"/>
    </row>
    <row r="56360" spans="1:6" x14ac:dyDescent="0.25">
      <c r="A56360"/>
      <c r="B56360"/>
      <c r="C56360"/>
      <c r="E56360"/>
      <c r="F56360"/>
    </row>
    <row r="56361" spans="1:6" x14ac:dyDescent="0.25">
      <c r="A56361"/>
      <c r="B56361"/>
      <c r="C56361"/>
      <c r="E56361"/>
      <c r="F56361"/>
    </row>
    <row r="56362" spans="1:6" x14ac:dyDescent="0.25">
      <c r="A56362"/>
      <c r="B56362"/>
      <c r="C56362"/>
      <c r="E56362"/>
      <c r="F56362"/>
    </row>
    <row r="56363" spans="1:6" x14ac:dyDescent="0.25">
      <c r="A56363"/>
      <c r="B56363"/>
      <c r="C56363"/>
      <c r="E56363"/>
      <c r="F56363"/>
    </row>
    <row r="56364" spans="1:6" x14ac:dyDescent="0.25">
      <c r="A56364"/>
      <c r="B56364"/>
      <c r="C56364"/>
      <c r="E56364"/>
      <c r="F56364"/>
    </row>
    <row r="56365" spans="1:6" x14ac:dyDescent="0.25">
      <c r="A56365"/>
      <c r="B56365"/>
      <c r="C56365"/>
      <c r="E56365"/>
      <c r="F56365"/>
    </row>
    <row r="56366" spans="1:6" x14ac:dyDescent="0.25">
      <c r="A56366"/>
      <c r="B56366"/>
      <c r="C56366"/>
      <c r="E56366"/>
      <c r="F56366"/>
    </row>
    <row r="56367" spans="1:6" x14ac:dyDescent="0.25">
      <c r="A56367"/>
      <c r="B56367"/>
      <c r="C56367"/>
      <c r="E56367"/>
      <c r="F56367"/>
    </row>
    <row r="56368" spans="1:6" x14ac:dyDescent="0.25">
      <c r="A56368"/>
      <c r="B56368"/>
      <c r="C56368"/>
      <c r="E56368"/>
      <c r="F56368"/>
    </row>
    <row r="56369" spans="1:6" x14ac:dyDescent="0.25">
      <c r="A56369"/>
      <c r="B56369"/>
      <c r="C56369"/>
      <c r="E56369"/>
      <c r="F56369"/>
    </row>
    <row r="56370" spans="1:6" x14ac:dyDescent="0.25">
      <c r="A56370"/>
      <c r="B56370"/>
      <c r="C56370"/>
      <c r="E56370"/>
      <c r="F56370"/>
    </row>
    <row r="56371" spans="1:6" x14ac:dyDescent="0.25">
      <c r="A56371"/>
      <c r="B56371"/>
      <c r="C56371"/>
      <c r="E56371"/>
      <c r="F56371"/>
    </row>
    <row r="56372" spans="1:6" x14ac:dyDescent="0.25">
      <c r="A56372"/>
      <c r="B56372"/>
      <c r="C56372"/>
      <c r="E56372"/>
      <c r="F56372"/>
    </row>
    <row r="56373" spans="1:6" x14ac:dyDescent="0.25">
      <c r="A56373"/>
      <c r="B56373"/>
      <c r="C56373"/>
      <c r="E56373"/>
      <c r="F56373"/>
    </row>
    <row r="56374" spans="1:6" x14ac:dyDescent="0.25">
      <c r="A56374"/>
      <c r="B56374"/>
      <c r="C56374"/>
      <c r="E56374"/>
      <c r="F56374"/>
    </row>
    <row r="56375" spans="1:6" x14ac:dyDescent="0.25">
      <c r="A56375"/>
      <c r="B56375"/>
      <c r="C56375"/>
      <c r="E56375"/>
      <c r="F56375"/>
    </row>
    <row r="56376" spans="1:6" x14ac:dyDescent="0.25">
      <c r="A56376"/>
      <c r="B56376"/>
      <c r="C56376"/>
      <c r="E56376"/>
      <c r="F56376"/>
    </row>
    <row r="56377" spans="1:6" x14ac:dyDescent="0.25">
      <c r="A56377"/>
      <c r="B56377"/>
      <c r="C56377"/>
      <c r="E56377"/>
      <c r="F56377"/>
    </row>
    <row r="56378" spans="1:6" x14ac:dyDescent="0.25">
      <c r="A56378"/>
      <c r="B56378"/>
      <c r="C56378"/>
      <c r="E56378"/>
      <c r="F56378"/>
    </row>
    <row r="56379" spans="1:6" x14ac:dyDescent="0.25">
      <c r="A56379"/>
      <c r="B56379"/>
      <c r="C56379"/>
      <c r="E56379"/>
      <c r="F56379"/>
    </row>
    <row r="56380" spans="1:6" x14ac:dyDescent="0.25">
      <c r="A56380"/>
      <c r="B56380"/>
      <c r="C56380"/>
      <c r="E56380"/>
      <c r="F56380"/>
    </row>
    <row r="56381" spans="1:6" x14ac:dyDescent="0.25">
      <c r="A56381"/>
      <c r="B56381"/>
      <c r="C56381"/>
      <c r="E56381"/>
      <c r="F56381"/>
    </row>
    <row r="56382" spans="1:6" x14ac:dyDescent="0.25">
      <c r="A56382"/>
      <c r="B56382"/>
      <c r="C56382"/>
      <c r="E56382"/>
      <c r="F56382"/>
    </row>
    <row r="56383" spans="1:6" x14ac:dyDescent="0.25">
      <c r="A56383"/>
      <c r="B56383"/>
      <c r="C56383"/>
      <c r="E56383"/>
      <c r="F56383"/>
    </row>
    <row r="56384" spans="1:6" x14ac:dyDescent="0.25">
      <c r="A56384"/>
      <c r="B56384"/>
      <c r="C56384"/>
      <c r="E56384"/>
      <c r="F56384"/>
    </row>
    <row r="56385" spans="1:6" x14ac:dyDescent="0.25">
      <c r="A56385"/>
      <c r="B56385"/>
      <c r="C56385"/>
      <c r="E56385"/>
      <c r="F56385"/>
    </row>
    <row r="56386" spans="1:6" x14ac:dyDescent="0.25">
      <c r="A56386"/>
      <c r="B56386"/>
      <c r="C56386"/>
      <c r="E56386"/>
      <c r="F56386"/>
    </row>
    <row r="56387" spans="1:6" x14ac:dyDescent="0.25">
      <c r="A56387"/>
      <c r="B56387"/>
      <c r="C56387"/>
      <c r="E56387"/>
      <c r="F56387"/>
    </row>
    <row r="56388" spans="1:6" x14ac:dyDescent="0.25">
      <c r="A56388"/>
      <c r="B56388"/>
      <c r="C56388"/>
      <c r="E56388"/>
      <c r="F56388"/>
    </row>
    <row r="56389" spans="1:6" x14ac:dyDescent="0.25">
      <c r="A56389"/>
      <c r="B56389"/>
      <c r="C56389"/>
      <c r="E56389"/>
      <c r="F56389"/>
    </row>
    <row r="56390" spans="1:6" x14ac:dyDescent="0.25">
      <c r="A56390"/>
      <c r="B56390"/>
      <c r="C56390"/>
      <c r="E56390"/>
      <c r="F56390"/>
    </row>
    <row r="56391" spans="1:6" x14ac:dyDescent="0.25">
      <c r="A56391"/>
      <c r="B56391"/>
      <c r="C56391"/>
      <c r="E56391"/>
      <c r="F56391"/>
    </row>
    <row r="56392" spans="1:6" x14ac:dyDescent="0.25">
      <c r="A56392"/>
      <c r="B56392"/>
      <c r="C56392"/>
      <c r="E56392"/>
      <c r="F56392"/>
    </row>
    <row r="56393" spans="1:6" x14ac:dyDescent="0.25">
      <c r="A56393"/>
      <c r="B56393"/>
      <c r="C56393"/>
      <c r="E56393"/>
      <c r="F56393"/>
    </row>
    <row r="56394" spans="1:6" x14ac:dyDescent="0.25">
      <c r="A56394"/>
      <c r="B56394"/>
      <c r="C56394"/>
      <c r="E56394"/>
      <c r="F56394"/>
    </row>
    <row r="56395" spans="1:6" x14ac:dyDescent="0.25">
      <c r="A56395"/>
      <c r="B56395"/>
      <c r="C56395"/>
      <c r="E56395"/>
      <c r="F56395"/>
    </row>
    <row r="56396" spans="1:6" x14ac:dyDescent="0.25">
      <c r="A56396"/>
      <c r="B56396"/>
      <c r="C56396"/>
      <c r="E56396"/>
      <c r="F56396"/>
    </row>
    <row r="56397" spans="1:6" x14ac:dyDescent="0.25">
      <c r="A56397"/>
      <c r="B56397"/>
      <c r="C56397"/>
      <c r="E56397"/>
      <c r="F56397"/>
    </row>
    <row r="56398" spans="1:6" x14ac:dyDescent="0.25">
      <c r="A56398"/>
      <c r="B56398"/>
      <c r="C56398"/>
      <c r="E56398"/>
      <c r="F56398"/>
    </row>
    <row r="56399" spans="1:6" x14ac:dyDescent="0.25">
      <c r="A56399"/>
      <c r="B56399"/>
      <c r="C56399"/>
      <c r="E56399"/>
      <c r="F56399"/>
    </row>
    <row r="56400" spans="1:6" x14ac:dyDescent="0.25">
      <c r="A56400"/>
      <c r="B56400"/>
      <c r="C56400"/>
      <c r="E56400"/>
      <c r="F56400"/>
    </row>
    <row r="56401" spans="1:6" x14ac:dyDescent="0.25">
      <c r="A56401"/>
      <c r="B56401"/>
      <c r="C56401"/>
      <c r="E56401"/>
      <c r="F56401"/>
    </row>
    <row r="56402" spans="1:6" x14ac:dyDescent="0.25">
      <c r="A56402"/>
      <c r="B56402"/>
      <c r="C56402"/>
      <c r="E56402"/>
      <c r="F56402"/>
    </row>
    <row r="56403" spans="1:6" x14ac:dyDescent="0.25">
      <c r="A56403"/>
      <c r="B56403"/>
      <c r="C56403"/>
      <c r="E56403"/>
      <c r="F56403"/>
    </row>
    <row r="56404" spans="1:6" x14ac:dyDescent="0.25">
      <c r="A56404"/>
      <c r="B56404"/>
      <c r="C56404"/>
      <c r="E56404"/>
      <c r="F56404"/>
    </row>
    <row r="56405" spans="1:6" x14ac:dyDescent="0.25">
      <c r="A56405"/>
      <c r="B56405"/>
      <c r="C56405"/>
      <c r="E56405"/>
      <c r="F56405"/>
    </row>
    <row r="56406" spans="1:6" x14ac:dyDescent="0.25">
      <c r="A56406"/>
      <c r="B56406"/>
      <c r="C56406"/>
      <c r="E56406"/>
      <c r="F56406"/>
    </row>
    <row r="56407" spans="1:6" x14ac:dyDescent="0.25">
      <c r="A56407"/>
      <c r="B56407"/>
      <c r="C56407"/>
      <c r="E56407"/>
      <c r="F56407"/>
    </row>
    <row r="56408" spans="1:6" x14ac:dyDescent="0.25">
      <c r="A56408"/>
      <c r="B56408"/>
      <c r="C56408"/>
      <c r="E56408"/>
      <c r="F56408"/>
    </row>
    <row r="56409" spans="1:6" x14ac:dyDescent="0.25">
      <c r="A56409"/>
      <c r="B56409"/>
      <c r="C56409"/>
      <c r="E56409"/>
      <c r="F56409"/>
    </row>
    <row r="56410" spans="1:6" x14ac:dyDescent="0.25">
      <c r="A56410"/>
      <c r="B56410"/>
      <c r="C56410"/>
      <c r="E56410"/>
      <c r="F56410"/>
    </row>
    <row r="56411" spans="1:6" x14ac:dyDescent="0.25">
      <c r="A56411"/>
      <c r="B56411"/>
      <c r="C56411"/>
      <c r="E56411"/>
      <c r="F56411"/>
    </row>
    <row r="56412" spans="1:6" x14ac:dyDescent="0.25">
      <c r="A56412"/>
      <c r="B56412"/>
      <c r="C56412"/>
      <c r="E56412"/>
      <c r="F56412"/>
    </row>
    <row r="56413" spans="1:6" x14ac:dyDescent="0.25">
      <c r="A56413"/>
      <c r="B56413"/>
      <c r="C56413"/>
      <c r="E56413"/>
      <c r="F56413"/>
    </row>
    <row r="56414" spans="1:6" x14ac:dyDescent="0.25">
      <c r="A56414"/>
      <c r="B56414"/>
      <c r="C56414"/>
      <c r="E56414"/>
      <c r="F56414"/>
    </row>
    <row r="56415" spans="1:6" x14ac:dyDescent="0.25">
      <c r="A56415"/>
      <c r="B56415"/>
      <c r="C56415"/>
      <c r="E56415"/>
      <c r="F56415"/>
    </row>
    <row r="56416" spans="1:6" x14ac:dyDescent="0.25">
      <c r="A56416"/>
      <c r="B56416"/>
      <c r="C56416"/>
      <c r="E56416"/>
      <c r="F56416"/>
    </row>
    <row r="56417" spans="1:6" x14ac:dyDescent="0.25">
      <c r="A56417"/>
      <c r="B56417"/>
      <c r="C56417"/>
      <c r="E56417"/>
      <c r="F56417"/>
    </row>
    <row r="56418" spans="1:6" x14ac:dyDescent="0.25">
      <c r="A56418"/>
      <c r="B56418"/>
      <c r="C56418"/>
      <c r="E56418"/>
      <c r="F56418"/>
    </row>
    <row r="56419" spans="1:6" x14ac:dyDescent="0.25">
      <c r="A56419"/>
      <c r="B56419"/>
      <c r="C56419"/>
      <c r="E56419"/>
      <c r="F56419"/>
    </row>
    <row r="56420" spans="1:6" x14ac:dyDescent="0.25">
      <c r="A56420"/>
      <c r="B56420"/>
      <c r="C56420"/>
      <c r="E56420"/>
      <c r="F56420"/>
    </row>
    <row r="56421" spans="1:6" x14ac:dyDescent="0.25">
      <c r="A56421"/>
      <c r="B56421"/>
      <c r="C56421"/>
      <c r="E56421"/>
      <c r="F56421"/>
    </row>
    <row r="56422" spans="1:6" x14ac:dyDescent="0.25">
      <c r="A56422"/>
      <c r="B56422"/>
      <c r="C56422"/>
      <c r="E56422"/>
      <c r="F56422"/>
    </row>
    <row r="56423" spans="1:6" x14ac:dyDescent="0.25">
      <c r="A56423"/>
      <c r="B56423"/>
      <c r="C56423"/>
      <c r="E56423"/>
      <c r="F56423"/>
    </row>
    <row r="56424" spans="1:6" x14ac:dyDescent="0.25">
      <c r="A56424"/>
      <c r="B56424"/>
      <c r="C56424"/>
      <c r="E56424"/>
      <c r="F56424"/>
    </row>
    <row r="56425" spans="1:6" x14ac:dyDescent="0.25">
      <c r="A56425"/>
      <c r="B56425"/>
      <c r="C56425"/>
      <c r="E56425"/>
      <c r="F56425"/>
    </row>
    <row r="56426" spans="1:6" x14ac:dyDescent="0.25">
      <c r="A56426"/>
      <c r="B56426"/>
      <c r="C56426"/>
      <c r="E56426"/>
      <c r="F56426"/>
    </row>
    <row r="56427" spans="1:6" x14ac:dyDescent="0.25">
      <c r="A56427"/>
      <c r="B56427"/>
      <c r="C56427"/>
      <c r="E56427"/>
      <c r="F56427"/>
    </row>
    <row r="56428" spans="1:6" x14ac:dyDescent="0.25">
      <c r="A56428"/>
      <c r="B56428"/>
      <c r="C56428"/>
      <c r="E56428"/>
      <c r="F56428"/>
    </row>
    <row r="56429" spans="1:6" x14ac:dyDescent="0.25">
      <c r="A56429"/>
      <c r="B56429"/>
      <c r="C56429"/>
      <c r="E56429"/>
      <c r="F56429"/>
    </row>
    <row r="56430" spans="1:6" x14ac:dyDescent="0.25">
      <c r="A56430"/>
      <c r="B56430"/>
      <c r="C56430"/>
      <c r="E56430"/>
      <c r="F56430"/>
    </row>
    <row r="56431" spans="1:6" x14ac:dyDescent="0.25">
      <c r="A56431"/>
      <c r="B56431"/>
      <c r="C56431"/>
      <c r="E56431"/>
      <c r="F56431"/>
    </row>
    <row r="56432" spans="1:6" x14ac:dyDescent="0.25">
      <c r="A56432"/>
      <c r="B56432"/>
      <c r="C56432"/>
      <c r="E56432"/>
      <c r="F56432"/>
    </row>
    <row r="56433" spans="1:6" x14ac:dyDescent="0.25">
      <c r="A56433"/>
      <c r="B56433"/>
      <c r="C56433"/>
      <c r="E56433"/>
      <c r="F56433"/>
    </row>
    <row r="56434" spans="1:6" x14ac:dyDescent="0.25">
      <c r="A56434"/>
      <c r="B56434"/>
      <c r="C56434"/>
      <c r="E56434"/>
      <c r="F56434"/>
    </row>
    <row r="56435" spans="1:6" x14ac:dyDescent="0.25">
      <c r="A56435"/>
      <c r="B56435"/>
      <c r="C56435"/>
      <c r="E56435"/>
      <c r="F56435"/>
    </row>
    <row r="56436" spans="1:6" x14ac:dyDescent="0.25">
      <c r="A56436"/>
      <c r="B56436"/>
      <c r="C56436"/>
      <c r="E56436"/>
      <c r="F56436"/>
    </row>
    <row r="56437" spans="1:6" x14ac:dyDescent="0.25">
      <c r="A56437"/>
      <c r="B56437"/>
      <c r="C56437"/>
      <c r="E56437"/>
      <c r="F56437"/>
    </row>
    <row r="56438" spans="1:6" x14ac:dyDescent="0.25">
      <c r="A56438"/>
      <c r="B56438"/>
      <c r="C56438"/>
      <c r="E56438"/>
      <c r="F56438"/>
    </row>
    <row r="56439" spans="1:6" x14ac:dyDescent="0.25">
      <c r="A56439"/>
      <c r="B56439"/>
      <c r="C56439"/>
      <c r="E56439"/>
      <c r="F56439"/>
    </row>
    <row r="56440" spans="1:6" x14ac:dyDescent="0.25">
      <c r="A56440"/>
      <c r="B56440"/>
      <c r="C56440"/>
      <c r="E56440"/>
      <c r="F56440"/>
    </row>
    <row r="56441" spans="1:6" x14ac:dyDescent="0.25">
      <c r="A56441"/>
      <c r="B56441"/>
      <c r="C56441"/>
      <c r="E56441"/>
      <c r="F56441"/>
    </row>
    <row r="56442" spans="1:6" x14ac:dyDescent="0.25">
      <c r="A56442"/>
      <c r="B56442"/>
      <c r="C56442"/>
      <c r="E56442"/>
      <c r="F56442"/>
    </row>
    <row r="56443" spans="1:6" x14ac:dyDescent="0.25">
      <c r="A56443"/>
      <c r="B56443"/>
      <c r="C56443"/>
      <c r="E56443"/>
      <c r="F56443"/>
    </row>
    <row r="56444" spans="1:6" x14ac:dyDescent="0.25">
      <c r="A56444"/>
      <c r="B56444"/>
      <c r="C56444"/>
      <c r="E56444"/>
      <c r="F56444"/>
    </row>
    <row r="56445" spans="1:6" x14ac:dyDescent="0.25">
      <c r="A56445"/>
      <c r="B56445"/>
      <c r="C56445"/>
      <c r="E56445"/>
      <c r="F56445"/>
    </row>
    <row r="56446" spans="1:6" x14ac:dyDescent="0.25">
      <c r="A56446"/>
      <c r="B56446"/>
      <c r="C56446"/>
      <c r="E56446"/>
      <c r="F56446"/>
    </row>
    <row r="56447" spans="1:6" x14ac:dyDescent="0.25">
      <c r="A56447"/>
      <c r="B56447"/>
      <c r="C56447"/>
      <c r="E56447"/>
      <c r="F56447"/>
    </row>
    <row r="56448" spans="1:6" x14ac:dyDescent="0.25">
      <c r="A56448"/>
      <c r="B56448"/>
      <c r="C56448"/>
      <c r="E56448"/>
      <c r="F56448"/>
    </row>
    <row r="56449" spans="1:6" x14ac:dyDescent="0.25">
      <c r="A56449"/>
      <c r="B56449"/>
      <c r="C56449"/>
      <c r="E56449"/>
      <c r="F56449"/>
    </row>
    <row r="56450" spans="1:6" x14ac:dyDescent="0.25">
      <c r="A56450"/>
      <c r="B56450"/>
      <c r="C56450"/>
      <c r="E56450"/>
      <c r="F56450"/>
    </row>
    <row r="56451" spans="1:6" x14ac:dyDescent="0.25">
      <c r="A56451"/>
      <c r="B56451"/>
      <c r="C56451"/>
      <c r="E56451"/>
      <c r="F56451"/>
    </row>
    <row r="56452" spans="1:6" x14ac:dyDescent="0.25">
      <c r="A56452"/>
      <c r="B56452"/>
      <c r="C56452"/>
      <c r="E56452"/>
      <c r="F56452"/>
    </row>
    <row r="56453" spans="1:6" x14ac:dyDescent="0.25">
      <c r="A56453"/>
      <c r="B56453"/>
      <c r="C56453"/>
      <c r="E56453"/>
      <c r="F56453"/>
    </row>
    <row r="56454" spans="1:6" x14ac:dyDescent="0.25">
      <c r="A56454"/>
      <c r="B56454"/>
      <c r="C56454"/>
      <c r="E56454"/>
      <c r="F56454"/>
    </row>
    <row r="56455" spans="1:6" x14ac:dyDescent="0.25">
      <c r="A56455"/>
      <c r="B56455"/>
      <c r="C56455"/>
      <c r="E56455"/>
      <c r="F56455"/>
    </row>
    <row r="56456" spans="1:6" x14ac:dyDescent="0.25">
      <c r="A56456"/>
      <c r="B56456"/>
      <c r="C56456"/>
      <c r="E56456"/>
      <c r="F56456"/>
    </row>
    <row r="56457" spans="1:6" x14ac:dyDescent="0.25">
      <c r="A56457"/>
      <c r="B56457"/>
      <c r="C56457"/>
      <c r="E56457"/>
      <c r="F56457"/>
    </row>
    <row r="56458" spans="1:6" x14ac:dyDescent="0.25">
      <c r="A56458"/>
      <c r="B56458"/>
      <c r="C56458"/>
      <c r="E56458"/>
      <c r="F56458"/>
    </row>
    <row r="56459" spans="1:6" x14ac:dyDescent="0.25">
      <c r="A56459"/>
      <c r="B56459"/>
      <c r="C56459"/>
      <c r="E56459"/>
      <c r="F56459"/>
    </row>
    <row r="56460" spans="1:6" x14ac:dyDescent="0.25">
      <c r="A56460"/>
      <c r="B56460"/>
      <c r="C56460"/>
      <c r="E56460"/>
      <c r="F56460"/>
    </row>
    <row r="56461" spans="1:6" x14ac:dyDescent="0.25">
      <c r="A56461"/>
      <c r="B56461"/>
      <c r="C56461"/>
      <c r="E56461"/>
      <c r="F56461"/>
    </row>
    <row r="56462" spans="1:6" x14ac:dyDescent="0.25">
      <c r="A56462"/>
      <c r="B56462"/>
      <c r="C56462"/>
      <c r="E56462"/>
      <c r="F56462"/>
    </row>
    <row r="56463" spans="1:6" x14ac:dyDescent="0.25">
      <c r="A56463"/>
      <c r="B56463"/>
      <c r="C56463"/>
      <c r="E56463"/>
      <c r="F56463"/>
    </row>
    <row r="56464" spans="1:6" x14ac:dyDescent="0.25">
      <c r="A56464"/>
      <c r="B56464"/>
      <c r="C56464"/>
      <c r="E56464"/>
      <c r="F56464"/>
    </row>
    <row r="56465" spans="1:6" x14ac:dyDescent="0.25">
      <c r="A56465"/>
      <c r="B56465"/>
      <c r="C56465"/>
      <c r="E56465"/>
      <c r="F56465"/>
    </row>
    <row r="56466" spans="1:6" x14ac:dyDescent="0.25">
      <c r="A56466"/>
      <c r="B56466"/>
      <c r="C56466"/>
      <c r="E56466"/>
      <c r="F56466"/>
    </row>
    <row r="56467" spans="1:6" x14ac:dyDescent="0.25">
      <c r="A56467"/>
      <c r="B56467"/>
      <c r="C56467"/>
      <c r="E56467"/>
      <c r="F56467"/>
    </row>
    <row r="56468" spans="1:6" x14ac:dyDescent="0.25">
      <c r="A56468"/>
      <c r="B56468"/>
      <c r="C56468"/>
      <c r="E56468"/>
      <c r="F56468"/>
    </row>
    <row r="56469" spans="1:6" x14ac:dyDescent="0.25">
      <c r="A56469"/>
      <c r="B56469"/>
      <c r="C56469"/>
      <c r="E56469"/>
      <c r="F56469"/>
    </row>
    <row r="56470" spans="1:6" x14ac:dyDescent="0.25">
      <c r="A56470"/>
      <c r="B56470"/>
      <c r="C56470"/>
      <c r="E56470"/>
      <c r="F56470"/>
    </row>
    <row r="56471" spans="1:6" x14ac:dyDescent="0.25">
      <c r="A56471"/>
      <c r="B56471"/>
      <c r="C56471"/>
      <c r="E56471"/>
      <c r="F56471"/>
    </row>
    <row r="56472" spans="1:6" x14ac:dyDescent="0.25">
      <c r="A56472"/>
      <c r="B56472"/>
      <c r="C56472"/>
      <c r="E56472"/>
      <c r="F56472"/>
    </row>
    <row r="56473" spans="1:6" x14ac:dyDescent="0.25">
      <c r="A56473"/>
      <c r="B56473"/>
      <c r="C56473"/>
      <c r="E56473"/>
      <c r="F56473"/>
    </row>
    <row r="56474" spans="1:6" x14ac:dyDescent="0.25">
      <c r="A56474"/>
      <c r="B56474"/>
      <c r="C56474"/>
      <c r="E56474"/>
      <c r="F56474"/>
    </row>
    <row r="56475" spans="1:6" x14ac:dyDescent="0.25">
      <c r="A56475"/>
      <c r="B56475"/>
      <c r="C56475"/>
      <c r="E56475"/>
      <c r="F56475"/>
    </row>
    <row r="56476" spans="1:6" x14ac:dyDescent="0.25">
      <c r="A56476"/>
      <c r="B56476"/>
      <c r="C56476"/>
      <c r="E56476"/>
      <c r="F56476"/>
    </row>
    <row r="56477" spans="1:6" x14ac:dyDescent="0.25">
      <c r="A56477"/>
      <c r="B56477"/>
      <c r="C56477"/>
      <c r="E56477"/>
      <c r="F56477"/>
    </row>
    <row r="56478" spans="1:6" x14ac:dyDescent="0.25">
      <c r="A56478"/>
      <c r="B56478"/>
      <c r="C56478"/>
      <c r="E56478"/>
      <c r="F56478"/>
    </row>
    <row r="56479" spans="1:6" x14ac:dyDescent="0.25">
      <c r="A56479"/>
      <c r="B56479"/>
      <c r="C56479"/>
      <c r="E56479"/>
      <c r="F56479"/>
    </row>
    <row r="56480" spans="1:6" x14ac:dyDescent="0.25">
      <c r="A56480"/>
      <c r="B56480"/>
      <c r="C56480"/>
      <c r="E56480"/>
      <c r="F56480"/>
    </row>
    <row r="56481" spans="1:6" x14ac:dyDescent="0.25">
      <c r="A56481"/>
      <c r="B56481"/>
      <c r="C56481"/>
      <c r="E56481"/>
      <c r="F56481"/>
    </row>
    <row r="56482" spans="1:6" x14ac:dyDescent="0.25">
      <c r="A56482"/>
      <c r="B56482"/>
      <c r="C56482"/>
      <c r="E56482"/>
      <c r="F56482"/>
    </row>
    <row r="56483" spans="1:6" x14ac:dyDescent="0.25">
      <c r="A56483"/>
      <c r="B56483"/>
      <c r="C56483"/>
      <c r="E56483"/>
      <c r="F56483"/>
    </row>
    <row r="56484" spans="1:6" x14ac:dyDescent="0.25">
      <c r="A56484"/>
      <c r="B56484"/>
      <c r="C56484"/>
      <c r="E56484"/>
      <c r="F56484"/>
    </row>
    <row r="56485" spans="1:6" x14ac:dyDescent="0.25">
      <c r="A56485"/>
      <c r="B56485"/>
      <c r="C56485"/>
      <c r="E56485"/>
      <c r="F56485"/>
    </row>
    <row r="56486" spans="1:6" x14ac:dyDescent="0.25">
      <c r="A56486"/>
      <c r="B56486"/>
      <c r="C56486"/>
      <c r="E56486"/>
      <c r="F56486"/>
    </row>
    <row r="56487" spans="1:6" x14ac:dyDescent="0.25">
      <c r="A56487"/>
      <c r="B56487"/>
      <c r="C56487"/>
      <c r="E56487"/>
      <c r="F56487"/>
    </row>
    <row r="56488" spans="1:6" x14ac:dyDescent="0.25">
      <c r="A56488"/>
      <c r="B56488"/>
      <c r="C56488"/>
      <c r="E56488"/>
      <c r="F56488"/>
    </row>
    <row r="56489" spans="1:6" x14ac:dyDescent="0.25">
      <c r="A56489"/>
      <c r="B56489"/>
      <c r="C56489"/>
      <c r="E56489"/>
      <c r="F56489"/>
    </row>
    <row r="56490" spans="1:6" x14ac:dyDescent="0.25">
      <c r="A56490"/>
      <c r="B56490"/>
      <c r="C56490"/>
      <c r="E56490"/>
      <c r="F56490"/>
    </row>
    <row r="56491" spans="1:6" x14ac:dyDescent="0.25">
      <c r="A56491"/>
      <c r="B56491"/>
      <c r="C56491"/>
      <c r="E56491"/>
      <c r="F56491"/>
    </row>
    <row r="56492" spans="1:6" x14ac:dyDescent="0.25">
      <c r="A56492"/>
      <c r="B56492"/>
      <c r="C56492"/>
      <c r="E56492"/>
      <c r="F56492"/>
    </row>
    <row r="56493" spans="1:6" x14ac:dyDescent="0.25">
      <c r="A56493"/>
      <c r="B56493"/>
      <c r="C56493"/>
      <c r="E56493"/>
      <c r="F56493"/>
    </row>
    <row r="56494" spans="1:6" x14ac:dyDescent="0.25">
      <c r="A56494"/>
      <c r="B56494"/>
      <c r="C56494"/>
      <c r="E56494"/>
      <c r="F56494"/>
    </row>
    <row r="56495" spans="1:6" x14ac:dyDescent="0.25">
      <c r="A56495"/>
      <c r="B56495"/>
      <c r="C56495"/>
      <c r="E56495"/>
      <c r="F56495"/>
    </row>
    <row r="56496" spans="1:6" x14ac:dyDescent="0.25">
      <c r="A56496"/>
      <c r="B56496"/>
      <c r="C56496"/>
      <c r="E56496"/>
      <c r="F56496"/>
    </row>
    <row r="56497" spans="1:6" x14ac:dyDescent="0.25">
      <c r="A56497"/>
      <c r="B56497"/>
      <c r="C56497"/>
      <c r="E56497"/>
      <c r="F56497"/>
    </row>
    <row r="56498" spans="1:6" x14ac:dyDescent="0.25">
      <c r="A56498"/>
      <c r="B56498"/>
      <c r="C56498"/>
      <c r="E56498"/>
      <c r="F56498"/>
    </row>
    <row r="56499" spans="1:6" x14ac:dyDescent="0.25">
      <c r="A56499"/>
      <c r="B56499"/>
      <c r="C56499"/>
      <c r="E56499"/>
      <c r="F56499"/>
    </row>
    <row r="56500" spans="1:6" x14ac:dyDescent="0.25">
      <c r="A56500"/>
      <c r="B56500"/>
      <c r="C56500"/>
      <c r="E56500"/>
      <c r="F56500"/>
    </row>
    <row r="56501" spans="1:6" x14ac:dyDescent="0.25">
      <c r="A56501"/>
      <c r="B56501"/>
      <c r="C56501"/>
      <c r="E56501"/>
      <c r="F56501"/>
    </row>
    <row r="56502" spans="1:6" x14ac:dyDescent="0.25">
      <c r="A56502"/>
      <c r="B56502"/>
      <c r="C56502"/>
      <c r="E56502"/>
      <c r="F56502"/>
    </row>
    <row r="56503" spans="1:6" x14ac:dyDescent="0.25">
      <c r="A56503"/>
      <c r="B56503"/>
      <c r="C56503"/>
      <c r="E56503"/>
      <c r="F56503"/>
    </row>
    <row r="56504" spans="1:6" x14ac:dyDescent="0.25">
      <c r="A56504"/>
      <c r="B56504"/>
      <c r="C56504"/>
      <c r="E56504"/>
      <c r="F56504"/>
    </row>
    <row r="56505" spans="1:6" x14ac:dyDescent="0.25">
      <c r="A56505"/>
      <c r="B56505"/>
      <c r="C56505"/>
      <c r="E56505"/>
      <c r="F56505"/>
    </row>
    <row r="56506" spans="1:6" x14ac:dyDescent="0.25">
      <c r="A56506"/>
      <c r="B56506"/>
      <c r="C56506"/>
      <c r="E56506"/>
      <c r="F56506"/>
    </row>
    <row r="56507" spans="1:6" x14ac:dyDescent="0.25">
      <c r="A56507"/>
      <c r="B56507"/>
      <c r="C56507"/>
      <c r="E56507"/>
      <c r="F56507"/>
    </row>
    <row r="56508" spans="1:6" x14ac:dyDescent="0.25">
      <c r="A56508"/>
      <c r="B56508"/>
      <c r="C56508"/>
      <c r="E56508"/>
      <c r="F56508"/>
    </row>
    <row r="56509" spans="1:6" x14ac:dyDescent="0.25">
      <c r="A56509"/>
      <c r="B56509"/>
      <c r="C56509"/>
      <c r="E56509"/>
      <c r="F56509"/>
    </row>
    <row r="56510" spans="1:6" x14ac:dyDescent="0.25">
      <c r="A56510"/>
      <c r="B56510"/>
      <c r="C56510"/>
      <c r="E56510"/>
      <c r="F56510"/>
    </row>
    <row r="56511" spans="1:6" x14ac:dyDescent="0.25">
      <c r="A56511"/>
      <c r="B56511"/>
      <c r="C56511"/>
      <c r="E56511"/>
      <c r="F56511"/>
    </row>
    <row r="56512" spans="1:6" x14ac:dyDescent="0.25">
      <c r="A56512"/>
      <c r="B56512"/>
      <c r="C56512"/>
      <c r="E56512"/>
      <c r="F56512"/>
    </row>
    <row r="56513" spans="1:6" x14ac:dyDescent="0.25">
      <c r="A56513"/>
      <c r="B56513"/>
      <c r="C56513"/>
      <c r="E56513"/>
      <c r="F56513"/>
    </row>
    <row r="56514" spans="1:6" x14ac:dyDescent="0.25">
      <c r="A56514"/>
      <c r="B56514"/>
      <c r="C56514"/>
      <c r="E56514"/>
      <c r="F56514"/>
    </row>
    <row r="56515" spans="1:6" x14ac:dyDescent="0.25">
      <c r="A56515"/>
      <c r="B56515"/>
      <c r="C56515"/>
      <c r="E56515"/>
      <c r="F56515"/>
    </row>
    <row r="56516" spans="1:6" x14ac:dyDescent="0.25">
      <c r="A56516"/>
      <c r="B56516"/>
      <c r="C56516"/>
      <c r="E56516"/>
      <c r="F56516"/>
    </row>
    <row r="56517" spans="1:6" x14ac:dyDescent="0.25">
      <c r="A56517"/>
      <c r="B56517"/>
      <c r="C56517"/>
      <c r="E56517"/>
      <c r="F56517"/>
    </row>
    <row r="56518" spans="1:6" x14ac:dyDescent="0.25">
      <c r="A56518"/>
      <c r="B56518"/>
      <c r="C56518"/>
      <c r="E56518"/>
      <c r="F56518"/>
    </row>
    <row r="56519" spans="1:6" x14ac:dyDescent="0.25">
      <c r="A56519"/>
      <c r="B56519"/>
      <c r="C56519"/>
      <c r="E56519"/>
      <c r="F56519"/>
    </row>
    <row r="56520" spans="1:6" x14ac:dyDescent="0.25">
      <c r="A56520"/>
      <c r="B56520"/>
      <c r="C56520"/>
      <c r="E56520"/>
      <c r="F56520"/>
    </row>
    <row r="56521" spans="1:6" x14ac:dyDescent="0.25">
      <c r="A56521"/>
      <c r="B56521"/>
      <c r="C56521"/>
      <c r="E56521"/>
      <c r="F56521"/>
    </row>
    <row r="56522" spans="1:6" x14ac:dyDescent="0.25">
      <c r="A56522"/>
      <c r="B56522"/>
      <c r="C56522"/>
      <c r="E56522"/>
      <c r="F56522"/>
    </row>
    <row r="56523" spans="1:6" x14ac:dyDescent="0.25">
      <c r="A56523"/>
      <c r="B56523"/>
      <c r="C56523"/>
      <c r="E56523"/>
      <c r="F56523"/>
    </row>
    <row r="56524" spans="1:6" x14ac:dyDescent="0.25">
      <c r="A56524"/>
      <c r="B56524"/>
      <c r="C56524"/>
      <c r="E56524"/>
      <c r="F56524"/>
    </row>
    <row r="56525" spans="1:6" x14ac:dyDescent="0.25">
      <c r="A56525"/>
      <c r="B56525"/>
      <c r="C56525"/>
      <c r="E56525"/>
      <c r="F56525"/>
    </row>
    <row r="56526" spans="1:6" x14ac:dyDescent="0.25">
      <c r="A56526"/>
      <c r="B56526"/>
      <c r="C56526"/>
      <c r="E56526"/>
      <c r="F56526"/>
    </row>
    <row r="56527" spans="1:6" x14ac:dyDescent="0.25">
      <c r="A56527"/>
      <c r="B56527"/>
      <c r="C56527"/>
      <c r="E56527"/>
      <c r="F56527"/>
    </row>
    <row r="56528" spans="1:6" x14ac:dyDescent="0.25">
      <c r="A56528"/>
      <c r="B56528"/>
      <c r="C56528"/>
      <c r="E56528"/>
      <c r="F56528"/>
    </row>
    <row r="56529" spans="1:6" x14ac:dyDescent="0.25">
      <c r="A56529"/>
      <c r="B56529"/>
      <c r="C56529"/>
      <c r="E56529"/>
      <c r="F56529"/>
    </row>
    <row r="56530" spans="1:6" x14ac:dyDescent="0.25">
      <c r="A56530"/>
      <c r="B56530"/>
      <c r="C56530"/>
      <c r="E56530"/>
      <c r="F56530"/>
    </row>
    <row r="56531" spans="1:6" x14ac:dyDescent="0.25">
      <c r="A56531"/>
      <c r="B56531"/>
      <c r="C56531"/>
      <c r="E56531"/>
      <c r="F56531"/>
    </row>
    <row r="56532" spans="1:6" x14ac:dyDescent="0.25">
      <c r="A56532"/>
      <c r="B56532"/>
      <c r="C56532"/>
      <c r="E56532"/>
      <c r="F56532"/>
    </row>
    <row r="56533" spans="1:6" x14ac:dyDescent="0.25">
      <c r="A56533"/>
      <c r="B56533"/>
      <c r="C56533"/>
      <c r="E56533"/>
      <c r="F56533"/>
    </row>
    <row r="56534" spans="1:6" x14ac:dyDescent="0.25">
      <c r="A56534"/>
      <c r="B56534"/>
      <c r="C56534"/>
      <c r="E56534"/>
      <c r="F56534"/>
    </row>
    <row r="56535" spans="1:6" x14ac:dyDescent="0.25">
      <c r="A56535"/>
      <c r="B56535"/>
      <c r="C56535"/>
      <c r="E56535"/>
      <c r="F56535"/>
    </row>
    <row r="56536" spans="1:6" x14ac:dyDescent="0.25">
      <c r="A56536"/>
      <c r="B56536"/>
      <c r="C56536"/>
      <c r="E56536"/>
      <c r="F56536"/>
    </row>
    <row r="56537" spans="1:6" x14ac:dyDescent="0.25">
      <c r="A56537"/>
      <c r="B56537"/>
      <c r="C56537"/>
      <c r="E56537"/>
      <c r="F56537"/>
    </row>
    <row r="56538" spans="1:6" x14ac:dyDescent="0.25">
      <c r="A56538"/>
      <c r="B56538"/>
      <c r="C56538"/>
      <c r="E56538"/>
      <c r="F56538"/>
    </row>
    <row r="56539" spans="1:6" x14ac:dyDescent="0.25">
      <c r="A56539"/>
      <c r="B56539"/>
      <c r="C56539"/>
      <c r="E56539"/>
      <c r="F56539"/>
    </row>
    <row r="56540" spans="1:6" x14ac:dyDescent="0.25">
      <c r="A56540"/>
      <c r="B56540"/>
      <c r="C56540"/>
      <c r="E56540"/>
      <c r="F56540"/>
    </row>
    <row r="56541" spans="1:6" x14ac:dyDescent="0.25">
      <c r="A56541"/>
      <c r="B56541"/>
      <c r="C56541"/>
      <c r="E56541"/>
      <c r="F56541"/>
    </row>
    <row r="56542" spans="1:6" x14ac:dyDescent="0.25">
      <c r="A56542"/>
      <c r="B56542"/>
      <c r="C56542"/>
      <c r="E56542"/>
      <c r="F56542"/>
    </row>
    <row r="56543" spans="1:6" x14ac:dyDescent="0.25">
      <c r="A56543"/>
      <c r="B56543"/>
      <c r="C56543"/>
      <c r="E56543"/>
      <c r="F56543"/>
    </row>
    <row r="56544" spans="1:6" x14ac:dyDescent="0.25">
      <c r="A56544"/>
      <c r="B56544"/>
      <c r="C56544"/>
      <c r="E56544"/>
      <c r="F56544"/>
    </row>
    <row r="56545" spans="1:6" x14ac:dyDescent="0.25">
      <c r="A56545"/>
      <c r="B56545"/>
      <c r="C56545"/>
      <c r="E56545"/>
      <c r="F56545"/>
    </row>
    <row r="56546" spans="1:6" x14ac:dyDescent="0.25">
      <c r="A56546"/>
      <c r="B56546"/>
      <c r="C56546"/>
      <c r="E56546"/>
      <c r="F56546"/>
    </row>
    <row r="56547" spans="1:6" x14ac:dyDescent="0.25">
      <c r="A56547"/>
      <c r="B56547"/>
      <c r="C56547"/>
      <c r="E56547"/>
      <c r="F56547"/>
    </row>
    <row r="56548" spans="1:6" x14ac:dyDescent="0.25">
      <c r="A56548"/>
      <c r="B56548"/>
      <c r="C56548"/>
      <c r="E56548"/>
      <c r="F56548"/>
    </row>
    <row r="56549" spans="1:6" x14ac:dyDescent="0.25">
      <c r="A56549"/>
      <c r="B56549"/>
      <c r="C56549"/>
      <c r="E56549"/>
      <c r="F56549"/>
    </row>
    <row r="56550" spans="1:6" x14ac:dyDescent="0.25">
      <c r="A56550"/>
      <c r="B56550"/>
      <c r="C56550"/>
      <c r="E56550"/>
      <c r="F56550"/>
    </row>
    <row r="56551" spans="1:6" x14ac:dyDescent="0.25">
      <c r="A56551"/>
      <c r="B56551"/>
      <c r="C56551"/>
      <c r="E56551"/>
      <c r="F56551"/>
    </row>
    <row r="56552" spans="1:6" x14ac:dyDescent="0.25">
      <c r="A56552"/>
      <c r="B56552"/>
      <c r="C56552"/>
      <c r="E56552"/>
      <c r="F56552"/>
    </row>
    <row r="56553" spans="1:6" x14ac:dyDescent="0.25">
      <c r="A56553"/>
      <c r="B56553"/>
      <c r="C56553"/>
      <c r="E56553"/>
      <c r="F56553"/>
    </row>
    <row r="56554" spans="1:6" x14ac:dyDescent="0.25">
      <c r="A56554"/>
      <c r="B56554"/>
      <c r="C56554"/>
      <c r="E56554"/>
      <c r="F56554"/>
    </row>
    <row r="56555" spans="1:6" x14ac:dyDescent="0.25">
      <c r="A56555"/>
      <c r="B56555"/>
      <c r="C56555"/>
      <c r="E56555"/>
      <c r="F56555"/>
    </row>
    <row r="56556" spans="1:6" x14ac:dyDescent="0.25">
      <c r="A56556"/>
      <c r="B56556"/>
      <c r="C56556"/>
      <c r="E56556"/>
      <c r="F56556"/>
    </row>
    <row r="56557" spans="1:6" x14ac:dyDescent="0.25">
      <c r="A56557"/>
      <c r="B56557"/>
      <c r="C56557"/>
      <c r="E56557"/>
      <c r="F56557"/>
    </row>
    <row r="56558" spans="1:6" x14ac:dyDescent="0.25">
      <c r="A56558"/>
      <c r="B56558"/>
      <c r="C56558"/>
      <c r="E56558"/>
      <c r="F56558"/>
    </row>
    <row r="56559" spans="1:6" x14ac:dyDescent="0.25">
      <c r="A56559"/>
      <c r="B56559"/>
      <c r="C56559"/>
      <c r="E56559"/>
      <c r="F56559"/>
    </row>
    <row r="56560" spans="1:6" x14ac:dyDescent="0.25">
      <c r="A56560"/>
      <c r="B56560"/>
      <c r="C56560"/>
      <c r="E56560"/>
      <c r="F56560"/>
    </row>
    <row r="56561" spans="1:6" x14ac:dyDescent="0.25">
      <c r="A56561"/>
      <c r="B56561"/>
      <c r="C56561"/>
      <c r="E56561"/>
      <c r="F56561"/>
    </row>
    <row r="56562" spans="1:6" x14ac:dyDescent="0.25">
      <c r="A56562"/>
      <c r="B56562"/>
      <c r="C56562"/>
      <c r="E56562"/>
      <c r="F56562"/>
    </row>
    <row r="56563" spans="1:6" x14ac:dyDescent="0.25">
      <c r="A56563"/>
      <c r="B56563"/>
      <c r="C56563"/>
      <c r="E56563"/>
      <c r="F56563"/>
    </row>
    <row r="56564" spans="1:6" x14ac:dyDescent="0.25">
      <c r="A56564"/>
      <c r="B56564"/>
      <c r="C56564"/>
      <c r="E56564"/>
      <c r="F56564"/>
    </row>
    <row r="56565" spans="1:6" x14ac:dyDescent="0.25">
      <c r="A56565"/>
      <c r="B56565"/>
      <c r="C56565"/>
      <c r="E56565"/>
      <c r="F56565"/>
    </row>
    <row r="56566" spans="1:6" x14ac:dyDescent="0.25">
      <c r="A56566"/>
      <c r="B56566"/>
      <c r="C56566"/>
      <c r="E56566"/>
      <c r="F56566"/>
    </row>
    <row r="56567" spans="1:6" x14ac:dyDescent="0.25">
      <c r="A56567"/>
      <c r="B56567"/>
      <c r="C56567"/>
      <c r="E56567"/>
      <c r="F56567"/>
    </row>
    <row r="56568" spans="1:6" x14ac:dyDescent="0.25">
      <c r="A56568"/>
      <c r="B56568"/>
      <c r="C56568"/>
      <c r="E56568"/>
      <c r="F56568"/>
    </row>
    <row r="56569" spans="1:6" x14ac:dyDescent="0.25">
      <c r="A56569"/>
      <c r="B56569"/>
      <c r="C56569"/>
      <c r="E56569"/>
      <c r="F56569"/>
    </row>
    <row r="56570" spans="1:6" x14ac:dyDescent="0.25">
      <c r="A56570"/>
      <c r="B56570"/>
      <c r="C56570"/>
      <c r="E56570"/>
      <c r="F56570"/>
    </row>
    <row r="56571" spans="1:6" x14ac:dyDescent="0.25">
      <c r="A56571"/>
      <c r="B56571"/>
      <c r="C56571"/>
      <c r="E56571"/>
      <c r="F56571"/>
    </row>
    <row r="56572" spans="1:6" x14ac:dyDescent="0.25">
      <c r="A56572"/>
      <c r="B56572"/>
      <c r="C56572"/>
      <c r="E56572"/>
      <c r="F56572"/>
    </row>
    <row r="56573" spans="1:6" x14ac:dyDescent="0.25">
      <c r="A56573"/>
      <c r="B56573"/>
      <c r="C56573"/>
      <c r="E56573"/>
      <c r="F56573"/>
    </row>
    <row r="56574" spans="1:6" x14ac:dyDescent="0.25">
      <c r="A56574"/>
      <c r="B56574"/>
      <c r="C56574"/>
      <c r="E56574"/>
      <c r="F56574"/>
    </row>
    <row r="56575" spans="1:6" x14ac:dyDescent="0.25">
      <c r="A56575"/>
      <c r="B56575"/>
      <c r="C56575"/>
      <c r="E56575"/>
      <c r="F56575"/>
    </row>
    <row r="56576" spans="1:6" x14ac:dyDescent="0.25">
      <c r="A56576"/>
      <c r="B56576"/>
      <c r="C56576"/>
      <c r="E56576"/>
      <c r="F56576"/>
    </row>
    <row r="56577" spans="1:6" x14ac:dyDescent="0.25">
      <c r="A56577"/>
      <c r="B56577"/>
      <c r="C56577"/>
      <c r="E56577"/>
      <c r="F56577"/>
    </row>
    <row r="56578" spans="1:6" x14ac:dyDescent="0.25">
      <c r="A56578"/>
      <c r="B56578"/>
      <c r="C56578"/>
      <c r="E56578"/>
      <c r="F56578"/>
    </row>
    <row r="56579" spans="1:6" x14ac:dyDescent="0.25">
      <c r="A56579"/>
      <c r="B56579"/>
      <c r="C56579"/>
      <c r="E56579"/>
      <c r="F56579"/>
    </row>
    <row r="56580" spans="1:6" x14ac:dyDescent="0.25">
      <c r="A56580"/>
      <c r="B56580"/>
      <c r="C56580"/>
      <c r="E56580"/>
      <c r="F56580"/>
    </row>
    <row r="56581" spans="1:6" x14ac:dyDescent="0.25">
      <c r="A56581"/>
      <c r="B56581"/>
      <c r="C56581"/>
      <c r="E56581"/>
      <c r="F56581"/>
    </row>
    <row r="56582" spans="1:6" x14ac:dyDescent="0.25">
      <c r="A56582"/>
      <c r="B56582"/>
      <c r="C56582"/>
      <c r="E56582"/>
      <c r="F56582"/>
    </row>
    <row r="56583" spans="1:6" x14ac:dyDescent="0.25">
      <c r="A56583"/>
      <c r="B56583"/>
      <c r="C56583"/>
      <c r="E56583"/>
      <c r="F56583"/>
    </row>
    <row r="56584" spans="1:6" x14ac:dyDescent="0.25">
      <c r="A56584"/>
      <c r="B56584"/>
      <c r="C56584"/>
      <c r="E56584"/>
      <c r="F56584"/>
    </row>
    <row r="56585" spans="1:6" x14ac:dyDescent="0.25">
      <c r="A56585"/>
      <c r="B56585"/>
      <c r="C56585"/>
      <c r="E56585"/>
      <c r="F56585"/>
    </row>
    <row r="56586" spans="1:6" x14ac:dyDescent="0.25">
      <c r="A56586"/>
      <c r="B56586"/>
      <c r="C56586"/>
      <c r="E56586"/>
      <c r="F56586"/>
    </row>
    <row r="56587" spans="1:6" x14ac:dyDescent="0.25">
      <c r="A56587"/>
      <c r="B56587"/>
      <c r="C56587"/>
      <c r="E56587"/>
      <c r="F56587"/>
    </row>
    <row r="56588" spans="1:6" x14ac:dyDescent="0.25">
      <c r="A56588"/>
      <c r="B56588"/>
      <c r="C56588"/>
      <c r="E56588"/>
      <c r="F56588"/>
    </row>
    <row r="56589" spans="1:6" x14ac:dyDescent="0.25">
      <c r="A56589"/>
      <c r="B56589"/>
      <c r="C56589"/>
      <c r="E56589"/>
      <c r="F56589"/>
    </row>
    <row r="56590" spans="1:6" x14ac:dyDescent="0.25">
      <c r="A56590"/>
      <c r="B56590"/>
      <c r="C56590"/>
      <c r="E56590"/>
      <c r="F56590"/>
    </row>
    <row r="56591" spans="1:6" x14ac:dyDescent="0.25">
      <c r="A56591"/>
      <c r="B56591"/>
      <c r="C56591"/>
      <c r="E56591"/>
      <c r="F56591"/>
    </row>
    <row r="56592" spans="1:6" x14ac:dyDescent="0.25">
      <c r="A56592"/>
      <c r="B56592"/>
      <c r="C56592"/>
      <c r="E56592"/>
      <c r="F56592"/>
    </row>
    <row r="56593" spans="1:6" x14ac:dyDescent="0.25">
      <c r="A56593"/>
      <c r="B56593"/>
      <c r="C56593"/>
      <c r="E56593"/>
      <c r="F56593"/>
    </row>
    <row r="56594" spans="1:6" x14ac:dyDescent="0.25">
      <c r="A56594"/>
      <c r="B56594"/>
      <c r="C56594"/>
      <c r="E56594"/>
      <c r="F56594"/>
    </row>
    <row r="56595" spans="1:6" x14ac:dyDescent="0.25">
      <c r="A56595"/>
      <c r="B56595"/>
      <c r="C56595"/>
      <c r="E56595"/>
      <c r="F56595"/>
    </row>
    <row r="56596" spans="1:6" x14ac:dyDescent="0.25">
      <c r="A56596"/>
      <c r="B56596"/>
      <c r="C56596"/>
      <c r="E56596"/>
      <c r="F56596"/>
    </row>
    <row r="56597" spans="1:6" x14ac:dyDescent="0.25">
      <c r="A56597"/>
      <c r="B56597"/>
      <c r="C56597"/>
      <c r="E56597"/>
      <c r="F56597"/>
    </row>
    <row r="56598" spans="1:6" x14ac:dyDescent="0.25">
      <c r="A56598"/>
      <c r="B56598"/>
      <c r="C56598"/>
      <c r="E56598"/>
      <c r="F56598"/>
    </row>
    <row r="56599" spans="1:6" x14ac:dyDescent="0.25">
      <c r="A56599"/>
      <c r="B56599"/>
      <c r="C56599"/>
      <c r="E56599"/>
      <c r="F56599"/>
    </row>
    <row r="56600" spans="1:6" x14ac:dyDescent="0.25">
      <c r="A56600"/>
      <c r="B56600"/>
      <c r="C56600"/>
      <c r="E56600"/>
      <c r="F56600"/>
    </row>
    <row r="56601" spans="1:6" x14ac:dyDescent="0.25">
      <c r="A56601"/>
      <c r="B56601"/>
      <c r="C56601"/>
      <c r="E56601"/>
      <c r="F56601"/>
    </row>
    <row r="56602" spans="1:6" x14ac:dyDescent="0.25">
      <c r="A56602"/>
      <c r="B56602"/>
      <c r="C56602"/>
      <c r="E56602"/>
      <c r="F56602"/>
    </row>
    <row r="56603" spans="1:6" x14ac:dyDescent="0.25">
      <c r="A56603"/>
      <c r="B56603"/>
      <c r="C56603"/>
      <c r="E56603"/>
      <c r="F56603"/>
    </row>
    <row r="56604" spans="1:6" x14ac:dyDescent="0.25">
      <c r="A56604"/>
      <c r="B56604"/>
      <c r="C56604"/>
      <c r="E56604"/>
      <c r="F56604"/>
    </row>
    <row r="56605" spans="1:6" x14ac:dyDescent="0.25">
      <c r="A56605"/>
      <c r="B56605"/>
      <c r="C56605"/>
      <c r="E56605"/>
      <c r="F56605"/>
    </row>
    <row r="56606" spans="1:6" x14ac:dyDescent="0.25">
      <c r="A56606"/>
      <c r="B56606"/>
      <c r="C56606"/>
      <c r="E56606"/>
      <c r="F56606"/>
    </row>
    <row r="56607" spans="1:6" x14ac:dyDescent="0.25">
      <c r="A56607"/>
      <c r="B56607"/>
      <c r="C56607"/>
      <c r="E56607"/>
      <c r="F56607"/>
    </row>
    <row r="56608" spans="1:6" x14ac:dyDescent="0.25">
      <c r="A56608"/>
      <c r="B56608"/>
      <c r="C56608"/>
      <c r="E56608"/>
      <c r="F56608"/>
    </row>
    <row r="56609" spans="1:6" x14ac:dyDescent="0.25">
      <c r="A56609"/>
      <c r="B56609"/>
      <c r="C56609"/>
      <c r="E56609"/>
      <c r="F56609"/>
    </row>
    <row r="56610" spans="1:6" x14ac:dyDescent="0.25">
      <c r="A56610"/>
      <c r="B56610"/>
      <c r="C56610"/>
      <c r="E56610"/>
      <c r="F56610"/>
    </row>
    <row r="56611" spans="1:6" x14ac:dyDescent="0.25">
      <c r="A56611"/>
      <c r="B56611"/>
      <c r="C56611"/>
      <c r="E56611"/>
      <c r="F56611"/>
    </row>
    <row r="56612" spans="1:6" x14ac:dyDescent="0.25">
      <c r="A56612"/>
      <c r="B56612"/>
      <c r="C56612"/>
      <c r="E56612"/>
      <c r="F56612"/>
    </row>
    <row r="56613" spans="1:6" x14ac:dyDescent="0.25">
      <c r="A56613"/>
      <c r="B56613"/>
      <c r="C56613"/>
      <c r="E56613"/>
      <c r="F56613"/>
    </row>
    <row r="56614" spans="1:6" x14ac:dyDescent="0.25">
      <c r="A56614"/>
      <c r="B56614"/>
      <c r="C56614"/>
      <c r="E56614"/>
      <c r="F56614"/>
    </row>
    <row r="56615" spans="1:6" x14ac:dyDescent="0.25">
      <c r="A56615"/>
      <c r="B56615"/>
      <c r="C56615"/>
      <c r="E56615"/>
      <c r="F56615"/>
    </row>
    <row r="56616" spans="1:6" x14ac:dyDescent="0.25">
      <c r="A56616"/>
      <c r="B56616"/>
      <c r="C56616"/>
      <c r="E56616"/>
      <c r="F56616"/>
    </row>
    <row r="56617" spans="1:6" x14ac:dyDescent="0.25">
      <c r="A56617"/>
      <c r="B56617"/>
      <c r="C56617"/>
      <c r="E56617"/>
      <c r="F56617"/>
    </row>
    <row r="56618" spans="1:6" x14ac:dyDescent="0.25">
      <c r="A56618"/>
      <c r="B56618"/>
      <c r="C56618"/>
      <c r="E56618"/>
      <c r="F56618"/>
    </row>
    <row r="56619" spans="1:6" x14ac:dyDescent="0.25">
      <c r="A56619"/>
      <c r="B56619"/>
      <c r="C56619"/>
      <c r="E56619"/>
      <c r="F56619"/>
    </row>
    <row r="56620" spans="1:6" x14ac:dyDescent="0.25">
      <c r="A56620"/>
      <c r="B56620"/>
      <c r="C56620"/>
      <c r="E56620"/>
      <c r="F56620"/>
    </row>
    <row r="56621" spans="1:6" x14ac:dyDescent="0.25">
      <c r="A56621"/>
      <c r="B56621"/>
      <c r="C56621"/>
      <c r="E56621"/>
      <c r="F56621"/>
    </row>
    <row r="56622" spans="1:6" x14ac:dyDescent="0.25">
      <c r="A56622"/>
      <c r="B56622"/>
      <c r="C56622"/>
      <c r="E56622"/>
      <c r="F56622"/>
    </row>
    <row r="56623" spans="1:6" x14ac:dyDescent="0.25">
      <c r="A56623"/>
      <c r="B56623"/>
      <c r="C56623"/>
      <c r="E56623"/>
      <c r="F56623"/>
    </row>
    <row r="56624" spans="1:6" x14ac:dyDescent="0.25">
      <c r="A56624"/>
      <c r="B56624"/>
      <c r="C56624"/>
      <c r="E56624"/>
      <c r="F56624"/>
    </row>
    <row r="56625" spans="1:6" x14ac:dyDescent="0.25">
      <c r="A56625"/>
      <c r="B56625"/>
      <c r="C56625"/>
      <c r="E56625"/>
      <c r="F56625"/>
    </row>
    <row r="56626" spans="1:6" x14ac:dyDescent="0.25">
      <c r="A56626"/>
      <c r="B56626"/>
      <c r="C56626"/>
      <c r="E56626"/>
      <c r="F56626"/>
    </row>
    <row r="56627" spans="1:6" x14ac:dyDescent="0.25">
      <c r="A56627"/>
      <c r="B56627"/>
      <c r="C56627"/>
      <c r="E56627"/>
      <c r="F56627"/>
    </row>
    <row r="56628" spans="1:6" x14ac:dyDescent="0.25">
      <c r="A56628"/>
      <c r="B56628"/>
      <c r="C56628"/>
      <c r="E56628"/>
      <c r="F56628"/>
    </row>
    <row r="56629" spans="1:6" x14ac:dyDescent="0.25">
      <c r="A56629"/>
      <c r="B56629"/>
      <c r="C56629"/>
      <c r="E56629"/>
      <c r="F56629"/>
    </row>
    <row r="56630" spans="1:6" x14ac:dyDescent="0.25">
      <c r="A56630"/>
      <c r="B56630"/>
      <c r="C56630"/>
      <c r="E56630"/>
      <c r="F56630"/>
    </row>
    <row r="56631" spans="1:6" x14ac:dyDescent="0.25">
      <c r="A56631"/>
      <c r="B56631"/>
      <c r="C56631"/>
      <c r="E56631"/>
      <c r="F56631"/>
    </row>
    <row r="56632" spans="1:6" x14ac:dyDescent="0.25">
      <c r="A56632"/>
      <c r="B56632"/>
      <c r="C56632"/>
      <c r="E56632"/>
      <c r="F56632"/>
    </row>
    <row r="56633" spans="1:6" x14ac:dyDescent="0.25">
      <c r="A56633"/>
      <c r="B56633"/>
      <c r="C56633"/>
      <c r="E56633"/>
      <c r="F56633"/>
    </row>
    <row r="56634" spans="1:6" x14ac:dyDescent="0.25">
      <c r="A56634"/>
      <c r="B56634"/>
      <c r="C56634"/>
      <c r="E56634"/>
      <c r="F56634"/>
    </row>
    <row r="56635" spans="1:6" x14ac:dyDescent="0.25">
      <c r="A56635"/>
      <c r="B56635"/>
      <c r="C56635"/>
      <c r="E56635"/>
      <c r="F56635"/>
    </row>
    <row r="56636" spans="1:6" x14ac:dyDescent="0.25">
      <c r="A56636"/>
      <c r="B56636"/>
      <c r="C56636"/>
      <c r="E56636"/>
      <c r="F56636"/>
    </row>
    <row r="56637" spans="1:6" x14ac:dyDescent="0.25">
      <c r="A56637"/>
      <c r="B56637"/>
      <c r="C56637"/>
      <c r="E56637"/>
      <c r="F56637"/>
    </row>
    <row r="56638" spans="1:6" x14ac:dyDescent="0.25">
      <c r="A56638"/>
      <c r="B56638"/>
      <c r="C56638"/>
      <c r="E56638"/>
      <c r="F56638"/>
    </row>
    <row r="56639" spans="1:6" x14ac:dyDescent="0.25">
      <c r="A56639"/>
      <c r="B56639"/>
      <c r="C56639"/>
      <c r="E56639"/>
      <c r="F56639"/>
    </row>
    <row r="56640" spans="1:6" x14ac:dyDescent="0.25">
      <c r="A56640"/>
      <c r="B56640"/>
      <c r="C56640"/>
      <c r="E56640"/>
      <c r="F56640"/>
    </row>
    <row r="56641" spans="1:6" x14ac:dyDescent="0.25">
      <c r="A56641"/>
      <c r="B56641"/>
      <c r="C56641"/>
      <c r="E56641"/>
      <c r="F56641"/>
    </row>
    <row r="56642" spans="1:6" x14ac:dyDescent="0.25">
      <c r="A56642"/>
      <c r="B56642"/>
      <c r="C56642"/>
      <c r="E56642"/>
      <c r="F56642"/>
    </row>
    <row r="56643" spans="1:6" x14ac:dyDescent="0.25">
      <c r="A56643"/>
      <c r="B56643"/>
      <c r="C56643"/>
      <c r="E56643"/>
      <c r="F56643"/>
    </row>
    <row r="56644" spans="1:6" x14ac:dyDescent="0.25">
      <c r="A56644"/>
      <c r="B56644"/>
      <c r="C56644"/>
      <c r="E56644"/>
      <c r="F56644"/>
    </row>
    <row r="56645" spans="1:6" x14ac:dyDescent="0.25">
      <c r="A56645"/>
      <c r="B56645"/>
      <c r="C56645"/>
      <c r="E56645"/>
      <c r="F56645"/>
    </row>
    <row r="56646" spans="1:6" x14ac:dyDescent="0.25">
      <c r="A56646"/>
      <c r="B56646"/>
      <c r="C56646"/>
      <c r="E56646"/>
      <c r="F56646"/>
    </row>
    <row r="56647" spans="1:6" x14ac:dyDescent="0.25">
      <c r="A56647"/>
      <c r="B56647"/>
      <c r="C56647"/>
      <c r="E56647"/>
      <c r="F56647"/>
    </row>
    <row r="56648" spans="1:6" x14ac:dyDescent="0.25">
      <c r="A56648"/>
      <c r="B56648"/>
      <c r="C56648"/>
      <c r="E56648"/>
      <c r="F56648"/>
    </row>
    <row r="56649" spans="1:6" x14ac:dyDescent="0.25">
      <c r="A56649"/>
      <c r="B56649"/>
      <c r="C56649"/>
      <c r="E56649"/>
      <c r="F56649"/>
    </row>
    <row r="56650" spans="1:6" x14ac:dyDescent="0.25">
      <c r="A56650"/>
      <c r="B56650"/>
      <c r="C56650"/>
      <c r="E56650"/>
      <c r="F56650"/>
    </row>
    <row r="56651" spans="1:6" x14ac:dyDescent="0.25">
      <c r="A56651"/>
      <c r="B56651"/>
      <c r="C56651"/>
      <c r="E56651"/>
      <c r="F56651"/>
    </row>
    <row r="56652" spans="1:6" x14ac:dyDescent="0.25">
      <c r="A56652"/>
      <c r="B56652"/>
      <c r="C56652"/>
      <c r="E56652"/>
      <c r="F56652"/>
    </row>
    <row r="56653" spans="1:6" x14ac:dyDescent="0.25">
      <c r="A56653"/>
      <c r="B56653"/>
      <c r="C56653"/>
      <c r="E56653"/>
      <c r="F56653"/>
    </row>
    <row r="56654" spans="1:6" x14ac:dyDescent="0.25">
      <c r="A56654"/>
      <c r="B56654"/>
      <c r="C56654"/>
      <c r="E56654"/>
      <c r="F56654"/>
    </row>
    <row r="56655" spans="1:6" x14ac:dyDescent="0.25">
      <c r="A56655"/>
      <c r="B56655"/>
      <c r="C56655"/>
      <c r="E56655"/>
      <c r="F56655"/>
    </row>
    <row r="56656" spans="1:6" x14ac:dyDescent="0.25">
      <c r="A56656"/>
      <c r="B56656"/>
      <c r="C56656"/>
      <c r="E56656"/>
      <c r="F56656"/>
    </row>
    <row r="56657" spans="1:6" x14ac:dyDescent="0.25">
      <c r="A56657"/>
      <c r="B56657"/>
      <c r="C56657"/>
      <c r="E56657"/>
      <c r="F56657"/>
    </row>
    <row r="56658" spans="1:6" x14ac:dyDescent="0.25">
      <c r="A56658"/>
      <c r="B56658"/>
      <c r="C56658"/>
      <c r="E56658"/>
      <c r="F56658"/>
    </row>
    <row r="56659" spans="1:6" x14ac:dyDescent="0.25">
      <c r="A56659"/>
      <c r="B56659"/>
      <c r="C56659"/>
      <c r="E56659"/>
      <c r="F56659"/>
    </row>
    <row r="56660" spans="1:6" x14ac:dyDescent="0.25">
      <c r="A56660"/>
      <c r="B56660"/>
      <c r="C56660"/>
      <c r="E56660"/>
      <c r="F56660"/>
    </row>
    <row r="56661" spans="1:6" x14ac:dyDescent="0.25">
      <c r="A56661"/>
      <c r="B56661"/>
      <c r="C56661"/>
      <c r="E56661"/>
      <c r="F56661"/>
    </row>
    <row r="56662" spans="1:6" x14ac:dyDescent="0.25">
      <c r="A56662"/>
      <c r="B56662"/>
      <c r="C56662"/>
      <c r="E56662"/>
      <c r="F56662"/>
    </row>
    <row r="56663" spans="1:6" x14ac:dyDescent="0.25">
      <c r="A56663"/>
      <c r="B56663"/>
      <c r="C56663"/>
      <c r="E56663"/>
      <c r="F56663"/>
    </row>
    <row r="56664" spans="1:6" x14ac:dyDescent="0.25">
      <c r="A56664"/>
      <c r="B56664"/>
      <c r="C56664"/>
      <c r="E56664"/>
      <c r="F56664"/>
    </row>
    <row r="56665" spans="1:6" x14ac:dyDescent="0.25">
      <c r="A56665"/>
      <c r="B56665"/>
      <c r="C56665"/>
      <c r="E56665"/>
      <c r="F56665"/>
    </row>
    <row r="56666" spans="1:6" x14ac:dyDescent="0.25">
      <c r="A56666"/>
      <c r="B56666"/>
      <c r="C56666"/>
      <c r="E56666"/>
      <c r="F56666"/>
    </row>
    <row r="56667" spans="1:6" x14ac:dyDescent="0.25">
      <c r="A56667"/>
      <c r="B56667"/>
      <c r="C56667"/>
      <c r="E56667"/>
      <c r="F56667"/>
    </row>
    <row r="56668" spans="1:6" x14ac:dyDescent="0.25">
      <c r="A56668"/>
      <c r="B56668"/>
      <c r="C56668"/>
      <c r="E56668"/>
      <c r="F56668"/>
    </row>
    <row r="56669" spans="1:6" x14ac:dyDescent="0.25">
      <c r="A56669"/>
      <c r="B56669"/>
      <c r="C56669"/>
      <c r="E56669"/>
      <c r="F56669"/>
    </row>
    <row r="56670" spans="1:6" x14ac:dyDescent="0.25">
      <c r="A56670"/>
      <c r="B56670"/>
      <c r="C56670"/>
      <c r="E56670"/>
      <c r="F56670"/>
    </row>
    <row r="56671" spans="1:6" x14ac:dyDescent="0.25">
      <c r="A56671"/>
      <c r="B56671"/>
      <c r="C56671"/>
      <c r="E56671"/>
      <c r="F56671"/>
    </row>
    <row r="56672" spans="1:6" x14ac:dyDescent="0.25">
      <c r="A56672"/>
      <c r="B56672"/>
      <c r="C56672"/>
      <c r="E56672"/>
      <c r="F56672"/>
    </row>
    <row r="56673" spans="1:6" x14ac:dyDescent="0.25">
      <c r="A56673"/>
      <c r="B56673"/>
      <c r="C56673"/>
      <c r="E56673"/>
      <c r="F56673"/>
    </row>
    <row r="56674" spans="1:6" x14ac:dyDescent="0.25">
      <c r="A56674"/>
      <c r="B56674"/>
      <c r="C56674"/>
      <c r="E56674"/>
      <c r="F56674"/>
    </row>
    <row r="56675" spans="1:6" x14ac:dyDescent="0.25">
      <c r="A56675"/>
      <c r="B56675"/>
      <c r="C56675"/>
      <c r="E56675"/>
      <c r="F56675"/>
    </row>
    <row r="56676" spans="1:6" x14ac:dyDescent="0.25">
      <c r="A56676"/>
      <c r="B56676"/>
      <c r="C56676"/>
      <c r="E56676"/>
      <c r="F56676"/>
    </row>
    <row r="56677" spans="1:6" x14ac:dyDescent="0.25">
      <c r="A56677"/>
      <c r="B56677"/>
      <c r="C56677"/>
      <c r="E56677"/>
      <c r="F56677"/>
    </row>
    <row r="56678" spans="1:6" x14ac:dyDescent="0.25">
      <c r="A56678"/>
      <c r="B56678"/>
      <c r="C56678"/>
      <c r="E56678"/>
      <c r="F56678"/>
    </row>
    <row r="56679" spans="1:6" x14ac:dyDescent="0.25">
      <c r="A56679"/>
      <c r="B56679"/>
      <c r="C56679"/>
      <c r="E56679"/>
      <c r="F56679"/>
    </row>
    <row r="56680" spans="1:6" x14ac:dyDescent="0.25">
      <c r="A56680"/>
      <c r="B56680"/>
      <c r="C56680"/>
      <c r="E56680"/>
      <c r="F56680"/>
    </row>
    <row r="56681" spans="1:6" x14ac:dyDescent="0.25">
      <c r="A56681"/>
      <c r="B56681"/>
      <c r="C56681"/>
      <c r="E56681"/>
      <c r="F56681"/>
    </row>
    <row r="56682" spans="1:6" x14ac:dyDescent="0.25">
      <c r="A56682"/>
      <c r="B56682"/>
      <c r="C56682"/>
      <c r="E56682"/>
      <c r="F56682"/>
    </row>
    <row r="56683" spans="1:6" x14ac:dyDescent="0.25">
      <c r="A56683"/>
      <c r="B56683"/>
      <c r="C56683"/>
      <c r="E56683"/>
      <c r="F56683"/>
    </row>
    <row r="56684" spans="1:6" x14ac:dyDescent="0.25">
      <c r="A56684"/>
      <c r="B56684"/>
      <c r="C56684"/>
      <c r="E56684"/>
      <c r="F56684"/>
    </row>
    <row r="56685" spans="1:6" x14ac:dyDescent="0.25">
      <c r="A56685"/>
      <c r="B56685"/>
      <c r="C56685"/>
      <c r="E56685"/>
      <c r="F56685"/>
    </row>
    <row r="56686" spans="1:6" x14ac:dyDescent="0.25">
      <c r="A56686"/>
      <c r="B56686"/>
      <c r="C56686"/>
      <c r="E56686"/>
      <c r="F56686"/>
    </row>
    <row r="56687" spans="1:6" x14ac:dyDescent="0.25">
      <c r="A56687"/>
      <c r="B56687"/>
      <c r="C56687"/>
      <c r="E56687"/>
      <c r="F56687"/>
    </row>
    <row r="56688" spans="1:6" x14ac:dyDescent="0.25">
      <c r="A56688"/>
      <c r="B56688"/>
      <c r="C56688"/>
      <c r="E56688"/>
      <c r="F56688"/>
    </row>
    <row r="56689" spans="1:6" x14ac:dyDescent="0.25">
      <c r="A56689"/>
      <c r="B56689"/>
      <c r="C56689"/>
      <c r="E56689"/>
      <c r="F56689"/>
    </row>
    <row r="56690" spans="1:6" x14ac:dyDescent="0.25">
      <c r="A56690"/>
      <c r="B56690"/>
      <c r="C56690"/>
      <c r="E56690"/>
      <c r="F56690"/>
    </row>
    <row r="56691" spans="1:6" x14ac:dyDescent="0.25">
      <c r="A56691"/>
      <c r="B56691"/>
      <c r="C56691"/>
      <c r="E56691"/>
      <c r="F56691"/>
    </row>
    <row r="56692" spans="1:6" x14ac:dyDescent="0.25">
      <c r="A56692"/>
      <c r="B56692"/>
      <c r="C56692"/>
      <c r="E56692"/>
      <c r="F56692"/>
    </row>
    <row r="56693" spans="1:6" x14ac:dyDescent="0.25">
      <c r="A56693"/>
      <c r="B56693"/>
      <c r="C56693"/>
      <c r="E56693"/>
      <c r="F56693"/>
    </row>
    <row r="56694" spans="1:6" x14ac:dyDescent="0.25">
      <c r="A56694"/>
      <c r="B56694"/>
      <c r="C56694"/>
      <c r="E56694"/>
      <c r="F56694"/>
    </row>
    <row r="56695" spans="1:6" x14ac:dyDescent="0.25">
      <c r="A56695"/>
      <c r="B56695"/>
      <c r="C56695"/>
      <c r="E56695"/>
      <c r="F56695"/>
    </row>
    <row r="56696" spans="1:6" x14ac:dyDescent="0.25">
      <c r="A56696"/>
      <c r="B56696"/>
      <c r="C56696"/>
      <c r="E56696"/>
      <c r="F56696"/>
    </row>
    <row r="56697" spans="1:6" x14ac:dyDescent="0.25">
      <c r="A56697"/>
      <c r="B56697"/>
      <c r="C56697"/>
      <c r="E56697"/>
      <c r="F56697"/>
    </row>
    <row r="56698" spans="1:6" x14ac:dyDescent="0.25">
      <c r="A56698"/>
      <c r="B56698"/>
      <c r="C56698"/>
      <c r="E56698"/>
      <c r="F56698"/>
    </row>
    <row r="56699" spans="1:6" x14ac:dyDescent="0.25">
      <c r="A56699"/>
      <c r="B56699"/>
      <c r="C56699"/>
      <c r="E56699"/>
      <c r="F56699"/>
    </row>
    <row r="56700" spans="1:6" x14ac:dyDescent="0.25">
      <c r="A56700"/>
      <c r="B56700"/>
      <c r="C56700"/>
      <c r="E56700"/>
      <c r="F56700"/>
    </row>
    <row r="56701" spans="1:6" x14ac:dyDescent="0.25">
      <c r="A56701"/>
      <c r="B56701"/>
      <c r="C56701"/>
      <c r="E56701"/>
      <c r="F56701"/>
    </row>
    <row r="56702" spans="1:6" x14ac:dyDescent="0.25">
      <c r="A56702"/>
      <c r="B56702"/>
      <c r="C56702"/>
      <c r="E56702"/>
      <c r="F56702"/>
    </row>
    <row r="56703" spans="1:6" x14ac:dyDescent="0.25">
      <c r="A56703"/>
      <c r="B56703"/>
      <c r="C56703"/>
      <c r="E56703"/>
      <c r="F56703"/>
    </row>
    <row r="56704" spans="1:6" x14ac:dyDescent="0.25">
      <c r="A56704"/>
      <c r="B56704"/>
      <c r="C56704"/>
      <c r="E56704"/>
      <c r="F56704"/>
    </row>
    <row r="56705" spans="1:6" x14ac:dyDescent="0.25">
      <c r="A56705"/>
      <c r="B56705"/>
      <c r="C56705"/>
      <c r="E56705"/>
      <c r="F56705"/>
    </row>
    <row r="56706" spans="1:6" x14ac:dyDescent="0.25">
      <c r="A56706"/>
      <c r="B56706"/>
      <c r="C56706"/>
      <c r="E56706"/>
      <c r="F56706"/>
    </row>
    <row r="56707" spans="1:6" x14ac:dyDescent="0.25">
      <c r="A56707"/>
      <c r="B56707"/>
      <c r="C56707"/>
      <c r="E56707"/>
      <c r="F56707"/>
    </row>
    <row r="56708" spans="1:6" x14ac:dyDescent="0.25">
      <c r="A56708"/>
      <c r="B56708"/>
      <c r="C56708"/>
      <c r="E56708"/>
      <c r="F56708"/>
    </row>
    <row r="56709" spans="1:6" x14ac:dyDescent="0.25">
      <c r="A56709"/>
      <c r="B56709"/>
      <c r="C56709"/>
      <c r="E56709"/>
      <c r="F56709"/>
    </row>
    <row r="56710" spans="1:6" x14ac:dyDescent="0.25">
      <c r="A56710"/>
      <c r="B56710"/>
      <c r="C56710"/>
      <c r="E56710"/>
      <c r="F56710"/>
    </row>
    <row r="56711" spans="1:6" x14ac:dyDescent="0.25">
      <c r="A56711"/>
      <c r="B56711"/>
      <c r="C56711"/>
      <c r="E56711"/>
      <c r="F56711"/>
    </row>
    <row r="56712" spans="1:6" x14ac:dyDescent="0.25">
      <c r="A56712"/>
      <c r="B56712"/>
      <c r="C56712"/>
      <c r="E56712"/>
      <c r="F56712"/>
    </row>
    <row r="56713" spans="1:6" x14ac:dyDescent="0.25">
      <c r="A56713"/>
      <c r="B56713"/>
      <c r="C56713"/>
      <c r="E56713"/>
      <c r="F56713"/>
    </row>
    <row r="56714" spans="1:6" x14ac:dyDescent="0.25">
      <c r="A56714"/>
      <c r="B56714"/>
      <c r="C56714"/>
      <c r="E56714"/>
      <c r="F56714"/>
    </row>
    <row r="56715" spans="1:6" x14ac:dyDescent="0.25">
      <c r="A56715"/>
      <c r="B56715"/>
      <c r="C56715"/>
      <c r="E56715"/>
      <c r="F56715"/>
    </row>
    <row r="56716" spans="1:6" x14ac:dyDescent="0.25">
      <c r="A56716"/>
      <c r="B56716"/>
      <c r="C56716"/>
      <c r="E56716"/>
      <c r="F56716"/>
    </row>
    <row r="56717" spans="1:6" x14ac:dyDescent="0.25">
      <c r="A56717"/>
      <c r="B56717"/>
      <c r="C56717"/>
      <c r="E56717"/>
      <c r="F56717"/>
    </row>
    <row r="56718" spans="1:6" x14ac:dyDescent="0.25">
      <c r="A56718"/>
      <c r="B56718"/>
      <c r="C56718"/>
      <c r="E56718"/>
      <c r="F56718"/>
    </row>
    <row r="56719" spans="1:6" x14ac:dyDescent="0.25">
      <c r="A56719"/>
      <c r="B56719"/>
      <c r="C56719"/>
      <c r="E56719"/>
      <c r="F56719"/>
    </row>
    <row r="56720" spans="1:6" x14ac:dyDescent="0.25">
      <c r="A56720"/>
      <c r="B56720"/>
      <c r="C56720"/>
      <c r="E56720"/>
      <c r="F56720"/>
    </row>
    <row r="56721" spans="1:6" x14ac:dyDescent="0.25">
      <c r="A56721"/>
      <c r="B56721"/>
      <c r="C56721"/>
      <c r="E56721"/>
      <c r="F56721"/>
    </row>
    <row r="56722" spans="1:6" x14ac:dyDescent="0.25">
      <c r="A56722"/>
      <c r="B56722"/>
      <c r="C56722"/>
      <c r="E56722"/>
      <c r="F56722"/>
    </row>
    <row r="56723" spans="1:6" x14ac:dyDescent="0.25">
      <c r="A56723"/>
      <c r="B56723"/>
      <c r="C56723"/>
      <c r="E56723"/>
      <c r="F56723"/>
    </row>
    <row r="56724" spans="1:6" x14ac:dyDescent="0.25">
      <c r="A56724"/>
      <c r="B56724"/>
      <c r="C56724"/>
      <c r="E56724"/>
      <c r="F56724"/>
    </row>
    <row r="56725" spans="1:6" x14ac:dyDescent="0.25">
      <c r="A56725"/>
      <c r="B56725"/>
      <c r="C56725"/>
      <c r="E56725"/>
      <c r="F56725"/>
    </row>
    <row r="56726" spans="1:6" x14ac:dyDescent="0.25">
      <c r="A56726"/>
      <c r="B56726"/>
      <c r="C56726"/>
      <c r="E56726"/>
      <c r="F56726"/>
    </row>
    <row r="56727" spans="1:6" x14ac:dyDescent="0.25">
      <c r="A56727"/>
      <c r="B56727"/>
      <c r="C56727"/>
      <c r="E56727"/>
      <c r="F56727"/>
    </row>
    <row r="56728" spans="1:6" x14ac:dyDescent="0.25">
      <c r="A56728"/>
      <c r="B56728"/>
      <c r="C56728"/>
      <c r="E56728"/>
      <c r="F56728"/>
    </row>
    <row r="56729" spans="1:6" x14ac:dyDescent="0.25">
      <c r="A56729"/>
      <c r="B56729"/>
      <c r="C56729"/>
      <c r="E56729"/>
      <c r="F56729"/>
    </row>
    <row r="56730" spans="1:6" x14ac:dyDescent="0.25">
      <c r="A56730"/>
      <c r="B56730"/>
      <c r="C56730"/>
      <c r="E56730"/>
      <c r="F56730"/>
    </row>
    <row r="56731" spans="1:6" x14ac:dyDescent="0.25">
      <c r="A56731"/>
      <c r="B56731"/>
      <c r="C56731"/>
      <c r="E56731"/>
      <c r="F56731"/>
    </row>
    <row r="56732" spans="1:6" x14ac:dyDescent="0.25">
      <c r="A56732"/>
      <c r="B56732"/>
      <c r="C56732"/>
      <c r="E56732"/>
      <c r="F56732"/>
    </row>
    <row r="56733" spans="1:6" x14ac:dyDescent="0.25">
      <c r="A56733"/>
      <c r="B56733"/>
      <c r="C56733"/>
      <c r="E56733"/>
      <c r="F56733"/>
    </row>
    <row r="56734" spans="1:6" x14ac:dyDescent="0.25">
      <c r="A56734"/>
      <c r="B56734"/>
      <c r="C56734"/>
      <c r="E56734"/>
      <c r="F56734"/>
    </row>
    <row r="56735" spans="1:6" x14ac:dyDescent="0.25">
      <c r="A56735"/>
      <c r="B56735"/>
      <c r="C56735"/>
      <c r="E56735"/>
      <c r="F56735"/>
    </row>
    <row r="56736" spans="1:6" x14ac:dyDescent="0.25">
      <c r="A56736"/>
      <c r="B56736"/>
      <c r="C56736"/>
      <c r="E56736"/>
      <c r="F56736"/>
    </row>
    <row r="56737" spans="1:6" x14ac:dyDescent="0.25">
      <c r="A56737"/>
      <c r="B56737"/>
      <c r="C56737"/>
      <c r="E56737"/>
      <c r="F56737"/>
    </row>
    <row r="56738" spans="1:6" x14ac:dyDescent="0.25">
      <c r="A56738"/>
      <c r="B56738"/>
      <c r="C56738"/>
      <c r="E56738"/>
      <c r="F56738"/>
    </row>
    <row r="56739" spans="1:6" x14ac:dyDescent="0.25">
      <c r="A56739"/>
      <c r="B56739"/>
      <c r="C56739"/>
      <c r="E56739"/>
      <c r="F56739"/>
    </row>
    <row r="56740" spans="1:6" x14ac:dyDescent="0.25">
      <c r="A56740"/>
      <c r="B56740"/>
      <c r="C56740"/>
      <c r="E56740"/>
      <c r="F56740"/>
    </row>
    <row r="56741" spans="1:6" x14ac:dyDescent="0.25">
      <c r="A56741"/>
      <c r="B56741"/>
      <c r="C56741"/>
      <c r="E56741"/>
      <c r="F56741"/>
    </row>
    <row r="56742" spans="1:6" x14ac:dyDescent="0.25">
      <c r="A56742"/>
      <c r="B56742"/>
      <c r="C56742"/>
      <c r="E56742"/>
      <c r="F56742"/>
    </row>
    <row r="56743" spans="1:6" x14ac:dyDescent="0.25">
      <c r="A56743"/>
      <c r="B56743"/>
      <c r="C56743"/>
      <c r="E56743"/>
      <c r="F56743"/>
    </row>
    <row r="56744" spans="1:6" x14ac:dyDescent="0.25">
      <c r="A56744"/>
      <c r="B56744"/>
      <c r="C56744"/>
      <c r="E56744"/>
      <c r="F56744"/>
    </row>
    <row r="56745" spans="1:6" x14ac:dyDescent="0.25">
      <c r="A56745"/>
      <c r="B56745"/>
      <c r="C56745"/>
      <c r="E56745"/>
      <c r="F56745"/>
    </row>
    <row r="56746" spans="1:6" x14ac:dyDescent="0.25">
      <c r="A56746"/>
      <c r="B56746"/>
      <c r="C56746"/>
      <c r="E56746"/>
      <c r="F56746"/>
    </row>
    <row r="56747" spans="1:6" x14ac:dyDescent="0.25">
      <c r="A56747"/>
      <c r="B56747"/>
      <c r="C56747"/>
      <c r="E56747"/>
      <c r="F56747"/>
    </row>
    <row r="56748" spans="1:6" x14ac:dyDescent="0.25">
      <c r="A56748"/>
      <c r="B56748"/>
      <c r="C56748"/>
      <c r="E56748"/>
      <c r="F56748"/>
    </row>
    <row r="56749" spans="1:6" x14ac:dyDescent="0.25">
      <c r="A56749"/>
      <c r="B56749"/>
      <c r="C56749"/>
      <c r="E56749"/>
      <c r="F56749"/>
    </row>
    <row r="56750" spans="1:6" x14ac:dyDescent="0.25">
      <c r="A56750"/>
      <c r="B56750"/>
      <c r="C56750"/>
      <c r="E56750"/>
      <c r="F56750"/>
    </row>
    <row r="56751" spans="1:6" x14ac:dyDescent="0.25">
      <c r="A56751"/>
      <c r="B56751"/>
      <c r="C56751"/>
      <c r="E56751"/>
      <c r="F56751"/>
    </row>
    <row r="56752" spans="1:6" x14ac:dyDescent="0.25">
      <c r="A56752"/>
      <c r="B56752"/>
      <c r="C56752"/>
      <c r="E56752"/>
      <c r="F56752"/>
    </row>
    <row r="56753" spans="1:6" x14ac:dyDescent="0.25">
      <c r="A56753"/>
      <c r="B56753"/>
      <c r="C56753"/>
      <c r="E56753"/>
      <c r="F56753"/>
    </row>
    <row r="56754" spans="1:6" x14ac:dyDescent="0.25">
      <c r="A56754"/>
      <c r="B56754"/>
      <c r="C56754"/>
      <c r="E56754"/>
      <c r="F56754"/>
    </row>
    <row r="56755" spans="1:6" x14ac:dyDescent="0.25">
      <c r="A56755"/>
      <c r="B56755"/>
      <c r="C56755"/>
      <c r="E56755"/>
      <c r="F56755"/>
    </row>
    <row r="56756" spans="1:6" x14ac:dyDescent="0.25">
      <c r="A56756"/>
      <c r="B56756"/>
      <c r="C56756"/>
      <c r="E56756"/>
      <c r="F56756"/>
    </row>
    <row r="56757" spans="1:6" x14ac:dyDescent="0.25">
      <c r="A56757"/>
      <c r="B56757"/>
      <c r="C56757"/>
      <c r="E56757"/>
      <c r="F56757"/>
    </row>
    <row r="56758" spans="1:6" x14ac:dyDescent="0.25">
      <c r="A56758"/>
      <c r="B56758"/>
      <c r="C56758"/>
      <c r="E56758"/>
      <c r="F56758"/>
    </row>
    <row r="56759" spans="1:6" x14ac:dyDescent="0.25">
      <c r="A56759"/>
      <c r="B56759"/>
      <c r="C56759"/>
      <c r="E56759"/>
      <c r="F56759"/>
    </row>
    <row r="56760" spans="1:6" x14ac:dyDescent="0.25">
      <c r="A56760"/>
      <c r="B56760"/>
      <c r="C56760"/>
      <c r="E56760"/>
      <c r="F56760"/>
    </row>
    <row r="56761" spans="1:6" x14ac:dyDescent="0.25">
      <c r="A56761"/>
      <c r="B56761"/>
      <c r="C56761"/>
      <c r="E56761"/>
      <c r="F56761"/>
    </row>
    <row r="56762" spans="1:6" x14ac:dyDescent="0.25">
      <c r="A56762"/>
      <c r="B56762"/>
      <c r="C56762"/>
      <c r="E56762"/>
      <c r="F56762"/>
    </row>
    <row r="56763" spans="1:6" x14ac:dyDescent="0.25">
      <c r="A56763"/>
      <c r="B56763"/>
      <c r="C56763"/>
      <c r="E56763"/>
      <c r="F56763"/>
    </row>
    <row r="56764" spans="1:6" x14ac:dyDescent="0.25">
      <c r="A56764"/>
      <c r="B56764"/>
      <c r="C56764"/>
      <c r="E56764"/>
      <c r="F56764"/>
    </row>
    <row r="56765" spans="1:6" x14ac:dyDescent="0.25">
      <c r="A56765"/>
      <c r="B56765"/>
      <c r="C56765"/>
      <c r="E56765"/>
      <c r="F56765"/>
    </row>
    <row r="56766" spans="1:6" x14ac:dyDescent="0.25">
      <c r="A56766"/>
      <c r="B56766"/>
      <c r="C56766"/>
      <c r="E56766"/>
      <c r="F56766"/>
    </row>
    <row r="56767" spans="1:6" x14ac:dyDescent="0.25">
      <c r="A56767"/>
      <c r="B56767"/>
      <c r="C56767"/>
      <c r="E56767"/>
      <c r="F56767"/>
    </row>
    <row r="56768" spans="1:6" x14ac:dyDescent="0.25">
      <c r="A56768"/>
      <c r="B56768"/>
      <c r="C56768"/>
      <c r="E56768"/>
      <c r="F56768"/>
    </row>
    <row r="56769" spans="1:6" x14ac:dyDescent="0.25">
      <c r="A56769"/>
      <c r="B56769"/>
      <c r="C56769"/>
      <c r="E56769"/>
      <c r="F56769"/>
    </row>
    <row r="56770" spans="1:6" x14ac:dyDescent="0.25">
      <c r="A56770"/>
      <c r="B56770"/>
      <c r="C56770"/>
      <c r="E56770"/>
      <c r="F56770"/>
    </row>
    <row r="56771" spans="1:6" x14ac:dyDescent="0.25">
      <c r="A56771"/>
      <c r="B56771"/>
      <c r="C56771"/>
      <c r="E56771"/>
      <c r="F56771"/>
    </row>
    <row r="56772" spans="1:6" x14ac:dyDescent="0.25">
      <c r="A56772"/>
      <c r="B56772"/>
      <c r="C56772"/>
      <c r="E56772"/>
      <c r="F56772"/>
    </row>
    <row r="56773" spans="1:6" x14ac:dyDescent="0.25">
      <c r="A56773"/>
      <c r="B56773"/>
      <c r="C56773"/>
      <c r="E56773"/>
      <c r="F56773"/>
    </row>
    <row r="56774" spans="1:6" x14ac:dyDescent="0.25">
      <c r="A56774"/>
      <c r="B56774"/>
      <c r="C56774"/>
      <c r="E56774"/>
      <c r="F56774"/>
    </row>
    <row r="56775" spans="1:6" x14ac:dyDescent="0.25">
      <c r="A56775"/>
      <c r="B56775"/>
      <c r="C56775"/>
      <c r="E56775"/>
      <c r="F56775"/>
    </row>
    <row r="56776" spans="1:6" x14ac:dyDescent="0.25">
      <c r="A56776"/>
      <c r="B56776"/>
      <c r="C56776"/>
      <c r="E56776"/>
      <c r="F56776"/>
    </row>
    <row r="56777" spans="1:6" x14ac:dyDescent="0.25">
      <c r="A56777"/>
      <c r="B56777"/>
      <c r="C56777"/>
      <c r="E56777"/>
      <c r="F56777"/>
    </row>
    <row r="56778" spans="1:6" x14ac:dyDescent="0.25">
      <c r="A56778"/>
      <c r="B56778"/>
      <c r="C56778"/>
      <c r="E56778"/>
      <c r="F56778"/>
    </row>
    <row r="56779" spans="1:6" x14ac:dyDescent="0.25">
      <c r="A56779"/>
      <c r="B56779"/>
      <c r="C56779"/>
      <c r="E56779"/>
      <c r="F56779"/>
    </row>
    <row r="56780" spans="1:6" x14ac:dyDescent="0.25">
      <c r="A56780"/>
      <c r="B56780"/>
      <c r="C56780"/>
      <c r="E56780"/>
      <c r="F56780"/>
    </row>
    <row r="56781" spans="1:6" x14ac:dyDescent="0.25">
      <c r="A56781"/>
      <c r="B56781"/>
      <c r="C56781"/>
      <c r="E56781"/>
      <c r="F56781"/>
    </row>
    <row r="56782" spans="1:6" x14ac:dyDescent="0.25">
      <c r="A56782"/>
      <c r="B56782"/>
      <c r="C56782"/>
      <c r="E56782"/>
      <c r="F56782"/>
    </row>
    <row r="56783" spans="1:6" x14ac:dyDescent="0.25">
      <c r="A56783"/>
      <c r="B56783"/>
      <c r="C56783"/>
      <c r="E56783"/>
      <c r="F56783"/>
    </row>
    <row r="56784" spans="1:6" x14ac:dyDescent="0.25">
      <c r="A56784"/>
      <c r="B56784"/>
      <c r="C56784"/>
      <c r="E56784"/>
      <c r="F56784"/>
    </row>
    <row r="56785" spans="1:6" x14ac:dyDescent="0.25">
      <c r="A56785"/>
      <c r="B56785"/>
      <c r="C56785"/>
      <c r="E56785"/>
      <c r="F56785"/>
    </row>
    <row r="56786" spans="1:6" x14ac:dyDescent="0.25">
      <c r="A56786"/>
      <c r="B56786"/>
      <c r="C56786"/>
      <c r="E56786"/>
      <c r="F56786"/>
    </row>
    <row r="56787" spans="1:6" x14ac:dyDescent="0.25">
      <c r="A56787"/>
      <c r="B56787"/>
      <c r="C56787"/>
      <c r="E56787"/>
      <c r="F56787"/>
    </row>
    <row r="56788" spans="1:6" x14ac:dyDescent="0.25">
      <c r="A56788"/>
      <c r="B56788"/>
      <c r="C56788"/>
      <c r="E56788"/>
      <c r="F56788"/>
    </row>
    <row r="56789" spans="1:6" x14ac:dyDescent="0.25">
      <c r="A56789"/>
      <c r="B56789"/>
      <c r="C56789"/>
      <c r="E56789"/>
      <c r="F56789"/>
    </row>
    <row r="56790" spans="1:6" x14ac:dyDescent="0.25">
      <c r="A56790"/>
      <c r="B56790"/>
      <c r="C56790"/>
      <c r="E56790"/>
      <c r="F56790"/>
    </row>
    <row r="56791" spans="1:6" x14ac:dyDescent="0.25">
      <c r="A56791"/>
      <c r="B56791"/>
      <c r="C56791"/>
      <c r="E56791"/>
      <c r="F56791"/>
    </row>
    <row r="56792" spans="1:6" x14ac:dyDescent="0.25">
      <c r="A56792"/>
      <c r="B56792"/>
      <c r="C56792"/>
      <c r="E56792"/>
      <c r="F56792"/>
    </row>
    <row r="56793" spans="1:6" x14ac:dyDescent="0.25">
      <c r="A56793"/>
      <c r="B56793"/>
      <c r="C56793"/>
      <c r="E56793"/>
      <c r="F56793"/>
    </row>
    <row r="56794" spans="1:6" x14ac:dyDescent="0.25">
      <c r="A56794"/>
      <c r="B56794"/>
      <c r="C56794"/>
      <c r="E56794"/>
      <c r="F56794"/>
    </row>
    <row r="56795" spans="1:6" x14ac:dyDescent="0.25">
      <c r="A56795"/>
      <c r="B56795"/>
      <c r="C56795"/>
      <c r="E56795"/>
      <c r="F56795"/>
    </row>
    <row r="56796" spans="1:6" x14ac:dyDescent="0.25">
      <c r="A56796"/>
      <c r="B56796"/>
      <c r="C56796"/>
      <c r="E56796"/>
      <c r="F56796"/>
    </row>
    <row r="56797" spans="1:6" x14ac:dyDescent="0.25">
      <c r="A56797"/>
      <c r="B56797"/>
      <c r="C56797"/>
      <c r="E56797"/>
      <c r="F56797"/>
    </row>
    <row r="56798" spans="1:6" x14ac:dyDescent="0.25">
      <c r="A56798"/>
      <c r="B56798"/>
      <c r="C56798"/>
      <c r="E56798"/>
      <c r="F56798"/>
    </row>
    <row r="56799" spans="1:6" x14ac:dyDescent="0.25">
      <c r="A56799"/>
      <c r="B56799"/>
      <c r="C56799"/>
      <c r="E56799"/>
      <c r="F56799"/>
    </row>
    <row r="56800" spans="1:6" x14ac:dyDescent="0.25">
      <c r="A56800"/>
      <c r="B56800"/>
      <c r="C56800"/>
      <c r="E56800"/>
      <c r="F56800"/>
    </row>
    <row r="56801" spans="1:6" x14ac:dyDescent="0.25">
      <c r="A56801"/>
      <c r="B56801"/>
      <c r="C56801"/>
      <c r="E56801"/>
      <c r="F56801"/>
    </row>
    <row r="56802" spans="1:6" x14ac:dyDescent="0.25">
      <c r="A56802"/>
      <c r="B56802"/>
      <c r="C56802"/>
      <c r="E56802"/>
      <c r="F56802"/>
    </row>
    <row r="56803" spans="1:6" x14ac:dyDescent="0.25">
      <c r="A56803"/>
      <c r="B56803"/>
      <c r="C56803"/>
      <c r="E56803"/>
      <c r="F56803"/>
    </row>
    <row r="56804" spans="1:6" x14ac:dyDescent="0.25">
      <c r="A56804"/>
      <c r="B56804"/>
      <c r="C56804"/>
      <c r="E56804"/>
      <c r="F56804"/>
    </row>
    <row r="56805" spans="1:6" x14ac:dyDescent="0.25">
      <c r="A56805"/>
      <c r="B56805"/>
      <c r="C56805"/>
      <c r="E56805"/>
      <c r="F56805"/>
    </row>
    <row r="56806" spans="1:6" x14ac:dyDescent="0.25">
      <c r="A56806"/>
      <c r="B56806"/>
      <c r="C56806"/>
      <c r="E56806"/>
      <c r="F56806"/>
    </row>
    <row r="56807" spans="1:6" x14ac:dyDescent="0.25">
      <c r="A56807"/>
      <c r="B56807"/>
      <c r="C56807"/>
      <c r="E56807"/>
      <c r="F56807"/>
    </row>
    <row r="56808" spans="1:6" x14ac:dyDescent="0.25">
      <c r="A56808"/>
      <c r="B56808"/>
      <c r="C56808"/>
      <c r="E56808"/>
      <c r="F56808"/>
    </row>
    <row r="56809" spans="1:6" x14ac:dyDescent="0.25">
      <c r="A56809"/>
      <c r="B56809"/>
      <c r="C56809"/>
      <c r="E56809"/>
      <c r="F56809"/>
    </row>
    <row r="56810" spans="1:6" x14ac:dyDescent="0.25">
      <c r="A56810"/>
      <c r="B56810"/>
      <c r="C56810"/>
      <c r="E56810"/>
      <c r="F56810"/>
    </row>
    <row r="56811" spans="1:6" x14ac:dyDescent="0.25">
      <c r="A56811"/>
      <c r="B56811"/>
      <c r="C56811"/>
      <c r="E56811"/>
      <c r="F56811"/>
    </row>
    <row r="56812" spans="1:6" x14ac:dyDescent="0.25">
      <c r="A56812"/>
      <c r="B56812"/>
      <c r="C56812"/>
      <c r="E56812"/>
      <c r="F56812"/>
    </row>
    <row r="56813" spans="1:6" x14ac:dyDescent="0.25">
      <c r="A56813"/>
      <c r="B56813"/>
      <c r="C56813"/>
      <c r="E56813"/>
      <c r="F56813"/>
    </row>
    <row r="56814" spans="1:6" x14ac:dyDescent="0.25">
      <c r="A56814"/>
      <c r="B56814"/>
      <c r="C56814"/>
      <c r="E56814"/>
      <c r="F56814"/>
    </row>
    <row r="56815" spans="1:6" x14ac:dyDescent="0.25">
      <c r="A56815"/>
      <c r="B56815"/>
      <c r="C56815"/>
      <c r="E56815"/>
      <c r="F56815"/>
    </row>
    <row r="56816" spans="1:6" x14ac:dyDescent="0.25">
      <c r="A56816"/>
      <c r="B56816"/>
      <c r="C56816"/>
      <c r="E56816"/>
      <c r="F56816"/>
    </row>
    <row r="56817" spans="1:6" x14ac:dyDescent="0.25">
      <c r="A56817"/>
      <c r="B56817"/>
      <c r="C56817"/>
      <c r="E56817"/>
      <c r="F56817"/>
    </row>
    <row r="56818" spans="1:6" x14ac:dyDescent="0.25">
      <c r="A56818"/>
      <c r="B56818"/>
      <c r="C56818"/>
      <c r="E56818"/>
      <c r="F56818"/>
    </row>
    <row r="56819" spans="1:6" x14ac:dyDescent="0.25">
      <c r="A56819"/>
      <c r="B56819"/>
      <c r="C56819"/>
      <c r="E56819"/>
      <c r="F56819"/>
    </row>
    <row r="56820" spans="1:6" x14ac:dyDescent="0.25">
      <c r="A56820"/>
      <c r="B56820"/>
      <c r="C56820"/>
      <c r="E56820"/>
      <c r="F56820"/>
    </row>
    <row r="56821" spans="1:6" x14ac:dyDescent="0.25">
      <c r="A56821"/>
      <c r="B56821"/>
      <c r="C56821"/>
      <c r="E56821"/>
      <c r="F56821"/>
    </row>
    <row r="56822" spans="1:6" x14ac:dyDescent="0.25">
      <c r="A56822"/>
      <c r="B56822"/>
      <c r="C56822"/>
      <c r="E56822"/>
      <c r="F56822"/>
    </row>
    <row r="56823" spans="1:6" x14ac:dyDescent="0.25">
      <c r="A56823"/>
      <c r="B56823"/>
      <c r="C56823"/>
      <c r="E56823"/>
      <c r="F56823"/>
    </row>
    <row r="56824" spans="1:6" x14ac:dyDescent="0.25">
      <c r="A56824"/>
      <c r="B56824"/>
      <c r="C56824"/>
      <c r="E56824"/>
      <c r="F56824"/>
    </row>
    <row r="56825" spans="1:6" x14ac:dyDescent="0.25">
      <c r="A56825"/>
      <c r="B56825"/>
      <c r="C56825"/>
      <c r="E56825"/>
      <c r="F56825"/>
    </row>
    <row r="56826" spans="1:6" x14ac:dyDescent="0.25">
      <c r="A56826"/>
      <c r="B56826"/>
      <c r="C56826"/>
      <c r="E56826"/>
      <c r="F56826"/>
    </row>
    <row r="56827" spans="1:6" x14ac:dyDescent="0.25">
      <c r="A56827"/>
      <c r="B56827"/>
      <c r="C56827"/>
      <c r="E56827"/>
      <c r="F56827"/>
    </row>
    <row r="56828" spans="1:6" x14ac:dyDescent="0.25">
      <c r="A56828"/>
      <c r="B56828"/>
      <c r="C56828"/>
      <c r="E56828"/>
      <c r="F56828"/>
    </row>
    <row r="56829" spans="1:6" x14ac:dyDescent="0.25">
      <c r="A56829"/>
      <c r="B56829"/>
      <c r="C56829"/>
      <c r="E56829"/>
      <c r="F56829"/>
    </row>
    <row r="56830" spans="1:6" x14ac:dyDescent="0.25">
      <c r="A56830"/>
      <c r="B56830"/>
      <c r="C56830"/>
      <c r="E56830"/>
      <c r="F56830"/>
    </row>
    <row r="56831" spans="1:6" x14ac:dyDescent="0.25">
      <c r="A56831"/>
      <c r="B56831"/>
      <c r="C56831"/>
      <c r="E56831"/>
      <c r="F56831"/>
    </row>
    <row r="56832" spans="1:6" x14ac:dyDescent="0.25">
      <c r="A56832"/>
      <c r="B56832"/>
      <c r="C56832"/>
      <c r="E56832"/>
      <c r="F56832"/>
    </row>
    <row r="56833" spans="1:6" x14ac:dyDescent="0.25">
      <c r="A56833"/>
      <c r="B56833"/>
      <c r="C56833"/>
      <c r="E56833"/>
      <c r="F56833"/>
    </row>
    <row r="56834" spans="1:6" x14ac:dyDescent="0.25">
      <c r="A56834"/>
      <c r="B56834"/>
      <c r="C56834"/>
      <c r="E56834"/>
      <c r="F56834"/>
    </row>
    <row r="56835" spans="1:6" x14ac:dyDescent="0.25">
      <c r="A56835"/>
      <c r="B56835"/>
      <c r="C56835"/>
      <c r="E56835"/>
      <c r="F56835"/>
    </row>
    <row r="56836" spans="1:6" x14ac:dyDescent="0.25">
      <c r="A56836"/>
      <c r="B56836"/>
      <c r="C56836"/>
      <c r="E56836"/>
      <c r="F56836"/>
    </row>
    <row r="56837" spans="1:6" x14ac:dyDescent="0.25">
      <c r="A56837"/>
      <c r="B56837"/>
      <c r="C56837"/>
      <c r="E56837"/>
      <c r="F56837"/>
    </row>
    <row r="56838" spans="1:6" x14ac:dyDescent="0.25">
      <c r="A56838"/>
      <c r="B56838"/>
      <c r="C56838"/>
      <c r="E56838"/>
      <c r="F56838"/>
    </row>
    <row r="56839" spans="1:6" x14ac:dyDescent="0.25">
      <c r="A56839"/>
      <c r="B56839"/>
      <c r="C56839"/>
      <c r="E56839"/>
      <c r="F56839"/>
    </row>
    <row r="56840" spans="1:6" x14ac:dyDescent="0.25">
      <c r="A56840"/>
      <c r="B56840"/>
      <c r="C56840"/>
      <c r="E56840"/>
      <c r="F56840"/>
    </row>
    <row r="56841" spans="1:6" x14ac:dyDescent="0.25">
      <c r="A56841"/>
      <c r="B56841"/>
      <c r="C56841"/>
      <c r="E56841"/>
      <c r="F56841"/>
    </row>
    <row r="56842" spans="1:6" x14ac:dyDescent="0.25">
      <c r="A56842"/>
      <c r="B56842"/>
      <c r="C56842"/>
      <c r="E56842"/>
      <c r="F56842"/>
    </row>
    <row r="56843" spans="1:6" x14ac:dyDescent="0.25">
      <c r="A56843"/>
      <c r="B56843"/>
      <c r="C56843"/>
      <c r="E56843"/>
      <c r="F56843"/>
    </row>
    <row r="56844" spans="1:6" x14ac:dyDescent="0.25">
      <c r="A56844"/>
      <c r="B56844"/>
      <c r="C56844"/>
      <c r="E56844"/>
      <c r="F56844"/>
    </row>
    <row r="56845" spans="1:6" x14ac:dyDescent="0.25">
      <c r="A56845"/>
      <c r="B56845"/>
      <c r="C56845"/>
      <c r="E56845"/>
      <c r="F56845"/>
    </row>
    <row r="56846" spans="1:6" x14ac:dyDescent="0.25">
      <c r="A56846"/>
      <c r="B56846"/>
      <c r="C56846"/>
      <c r="E56846"/>
      <c r="F56846"/>
    </row>
    <row r="56847" spans="1:6" x14ac:dyDescent="0.25">
      <c r="A56847"/>
      <c r="B56847"/>
      <c r="C56847"/>
      <c r="E56847"/>
      <c r="F56847"/>
    </row>
    <row r="56848" spans="1:6" x14ac:dyDescent="0.25">
      <c r="A56848"/>
      <c r="B56848"/>
      <c r="C56848"/>
      <c r="E56848"/>
      <c r="F56848"/>
    </row>
    <row r="56849" spans="1:6" x14ac:dyDescent="0.25">
      <c r="A56849"/>
      <c r="B56849"/>
      <c r="C56849"/>
      <c r="E56849"/>
      <c r="F56849"/>
    </row>
    <row r="56850" spans="1:6" x14ac:dyDescent="0.25">
      <c r="A56850"/>
      <c r="B56850"/>
      <c r="C56850"/>
      <c r="E56850"/>
      <c r="F56850"/>
    </row>
    <row r="56851" spans="1:6" x14ac:dyDescent="0.25">
      <c r="A56851"/>
      <c r="B56851"/>
      <c r="C56851"/>
      <c r="E56851"/>
      <c r="F56851"/>
    </row>
    <row r="56852" spans="1:6" x14ac:dyDescent="0.25">
      <c r="A56852"/>
      <c r="B56852"/>
      <c r="C56852"/>
      <c r="E56852"/>
      <c r="F56852"/>
    </row>
    <row r="56853" spans="1:6" x14ac:dyDescent="0.25">
      <c r="A56853"/>
      <c r="B56853"/>
      <c r="C56853"/>
      <c r="E56853"/>
      <c r="F56853"/>
    </row>
    <row r="56854" spans="1:6" x14ac:dyDescent="0.25">
      <c r="A56854"/>
      <c r="B56854"/>
      <c r="C56854"/>
      <c r="E56854"/>
      <c r="F56854"/>
    </row>
    <row r="56855" spans="1:6" x14ac:dyDescent="0.25">
      <c r="A56855"/>
      <c r="B56855"/>
      <c r="C56855"/>
      <c r="E56855"/>
      <c r="F56855"/>
    </row>
    <row r="56856" spans="1:6" x14ac:dyDescent="0.25">
      <c r="A56856"/>
      <c r="B56856"/>
      <c r="C56856"/>
      <c r="E56856"/>
      <c r="F56856"/>
    </row>
    <row r="56857" spans="1:6" x14ac:dyDescent="0.25">
      <c r="A56857"/>
      <c r="B56857"/>
      <c r="C56857"/>
      <c r="E56857"/>
      <c r="F56857"/>
    </row>
    <row r="56858" spans="1:6" x14ac:dyDescent="0.25">
      <c r="A56858"/>
      <c r="B56858"/>
      <c r="C56858"/>
      <c r="E56858"/>
      <c r="F56858"/>
    </row>
    <row r="56859" spans="1:6" x14ac:dyDescent="0.25">
      <c r="A56859"/>
      <c r="B56859"/>
      <c r="C56859"/>
      <c r="E56859"/>
      <c r="F56859"/>
    </row>
    <row r="56860" spans="1:6" x14ac:dyDescent="0.25">
      <c r="A56860"/>
      <c r="B56860"/>
      <c r="C56860"/>
      <c r="E56860"/>
      <c r="F56860"/>
    </row>
    <row r="56861" spans="1:6" x14ac:dyDescent="0.25">
      <c r="A56861"/>
      <c r="B56861"/>
      <c r="C56861"/>
      <c r="E56861"/>
      <c r="F56861"/>
    </row>
    <row r="56862" spans="1:6" x14ac:dyDescent="0.25">
      <c r="A56862"/>
      <c r="B56862"/>
      <c r="C56862"/>
      <c r="E56862"/>
      <c r="F56862"/>
    </row>
    <row r="56863" spans="1:6" x14ac:dyDescent="0.25">
      <c r="A56863"/>
      <c r="B56863"/>
      <c r="C56863"/>
      <c r="E56863"/>
      <c r="F56863"/>
    </row>
    <row r="56864" spans="1:6" x14ac:dyDescent="0.25">
      <c r="A56864"/>
      <c r="B56864"/>
      <c r="C56864"/>
      <c r="E56864"/>
      <c r="F56864"/>
    </row>
    <row r="56865" spans="1:6" x14ac:dyDescent="0.25">
      <c r="A56865"/>
      <c r="B56865"/>
      <c r="C56865"/>
      <c r="E56865"/>
      <c r="F56865"/>
    </row>
    <row r="56866" spans="1:6" x14ac:dyDescent="0.25">
      <c r="A56866"/>
      <c r="B56866"/>
      <c r="C56866"/>
      <c r="E56866"/>
      <c r="F56866"/>
    </row>
    <row r="56867" spans="1:6" x14ac:dyDescent="0.25">
      <c r="A56867"/>
      <c r="B56867"/>
      <c r="C56867"/>
      <c r="E56867"/>
      <c r="F56867"/>
    </row>
    <row r="56868" spans="1:6" x14ac:dyDescent="0.25">
      <c r="A56868"/>
      <c r="B56868"/>
      <c r="C56868"/>
      <c r="E56868"/>
      <c r="F56868"/>
    </row>
    <row r="56869" spans="1:6" x14ac:dyDescent="0.25">
      <c r="A56869"/>
      <c r="B56869"/>
      <c r="C56869"/>
      <c r="E56869"/>
      <c r="F56869"/>
    </row>
    <row r="56870" spans="1:6" x14ac:dyDescent="0.25">
      <c r="A56870"/>
      <c r="B56870"/>
      <c r="C56870"/>
      <c r="E56870"/>
      <c r="F56870"/>
    </row>
    <row r="56871" spans="1:6" x14ac:dyDescent="0.25">
      <c r="A56871"/>
      <c r="B56871"/>
      <c r="C56871"/>
      <c r="E56871"/>
      <c r="F56871"/>
    </row>
    <row r="56872" spans="1:6" x14ac:dyDescent="0.25">
      <c r="A56872"/>
      <c r="B56872"/>
      <c r="C56872"/>
      <c r="E56872"/>
      <c r="F56872"/>
    </row>
    <row r="56873" spans="1:6" x14ac:dyDescent="0.25">
      <c r="A56873"/>
      <c r="B56873"/>
      <c r="C56873"/>
      <c r="E56873"/>
      <c r="F56873"/>
    </row>
    <row r="56874" spans="1:6" x14ac:dyDescent="0.25">
      <c r="A56874"/>
      <c r="B56874"/>
      <c r="C56874"/>
      <c r="E56874"/>
      <c r="F56874"/>
    </row>
    <row r="56875" spans="1:6" x14ac:dyDescent="0.25">
      <c r="A56875"/>
      <c r="B56875"/>
      <c r="C56875"/>
      <c r="E56875"/>
      <c r="F56875"/>
    </row>
    <row r="56876" spans="1:6" x14ac:dyDescent="0.25">
      <c r="A56876"/>
      <c r="B56876"/>
      <c r="C56876"/>
      <c r="E56876"/>
      <c r="F56876"/>
    </row>
    <row r="56877" spans="1:6" x14ac:dyDescent="0.25">
      <c r="A56877"/>
      <c r="B56877"/>
      <c r="C56877"/>
      <c r="E56877"/>
      <c r="F56877"/>
    </row>
    <row r="56878" spans="1:6" x14ac:dyDescent="0.25">
      <c r="A56878"/>
      <c r="B56878"/>
      <c r="C56878"/>
      <c r="E56878"/>
      <c r="F56878"/>
    </row>
    <row r="56879" spans="1:6" x14ac:dyDescent="0.25">
      <c r="A56879"/>
      <c r="B56879"/>
      <c r="C56879"/>
      <c r="E56879"/>
      <c r="F56879"/>
    </row>
    <row r="56880" spans="1:6" x14ac:dyDescent="0.25">
      <c r="A56880"/>
      <c r="B56880"/>
      <c r="C56880"/>
      <c r="E56880"/>
      <c r="F56880"/>
    </row>
    <row r="56881" spans="1:6" x14ac:dyDescent="0.25">
      <c r="A56881"/>
      <c r="B56881"/>
      <c r="C56881"/>
      <c r="E56881"/>
      <c r="F56881"/>
    </row>
    <row r="56882" spans="1:6" x14ac:dyDescent="0.25">
      <c r="A56882"/>
      <c r="B56882"/>
      <c r="C56882"/>
      <c r="E56882"/>
      <c r="F56882"/>
    </row>
    <row r="56883" spans="1:6" x14ac:dyDescent="0.25">
      <c r="A56883"/>
      <c r="B56883"/>
      <c r="C56883"/>
      <c r="E56883"/>
      <c r="F56883"/>
    </row>
    <row r="56884" spans="1:6" x14ac:dyDescent="0.25">
      <c r="A56884"/>
      <c r="B56884"/>
      <c r="C56884"/>
      <c r="E56884"/>
      <c r="F56884"/>
    </row>
    <row r="56885" spans="1:6" x14ac:dyDescent="0.25">
      <c r="A56885"/>
      <c r="B56885"/>
      <c r="C56885"/>
      <c r="E56885"/>
      <c r="F56885"/>
    </row>
    <row r="56886" spans="1:6" x14ac:dyDescent="0.25">
      <c r="A56886"/>
      <c r="B56886"/>
      <c r="C56886"/>
      <c r="E56886"/>
      <c r="F56886"/>
    </row>
    <row r="56887" spans="1:6" x14ac:dyDescent="0.25">
      <c r="A56887"/>
      <c r="B56887"/>
      <c r="C56887"/>
      <c r="E56887"/>
      <c r="F56887"/>
    </row>
    <row r="56888" spans="1:6" x14ac:dyDescent="0.25">
      <c r="A56888"/>
      <c r="B56888"/>
      <c r="C56888"/>
      <c r="E56888"/>
      <c r="F56888"/>
    </row>
    <row r="56889" spans="1:6" x14ac:dyDescent="0.25">
      <c r="A56889"/>
      <c r="B56889"/>
      <c r="C56889"/>
      <c r="E56889"/>
      <c r="F56889"/>
    </row>
    <row r="56890" spans="1:6" x14ac:dyDescent="0.25">
      <c r="A56890"/>
      <c r="B56890"/>
      <c r="C56890"/>
      <c r="E56890"/>
      <c r="F56890"/>
    </row>
    <row r="56891" spans="1:6" x14ac:dyDescent="0.25">
      <c r="A56891"/>
      <c r="B56891"/>
      <c r="C56891"/>
      <c r="E56891"/>
      <c r="F56891"/>
    </row>
    <row r="56892" spans="1:6" x14ac:dyDescent="0.25">
      <c r="A56892"/>
      <c r="B56892"/>
      <c r="C56892"/>
      <c r="E56892"/>
      <c r="F56892"/>
    </row>
    <row r="56893" spans="1:6" x14ac:dyDescent="0.25">
      <c r="A56893"/>
      <c r="B56893"/>
      <c r="C56893"/>
      <c r="E56893"/>
      <c r="F56893"/>
    </row>
    <row r="56894" spans="1:6" x14ac:dyDescent="0.25">
      <c r="A56894"/>
      <c r="B56894"/>
      <c r="C56894"/>
      <c r="E56894"/>
      <c r="F56894"/>
    </row>
    <row r="56895" spans="1:6" x14ac:dyDescent="0.25">
      <c r="A56895"/>
      <c r="B56895"/>
      <c r="C56895"/>
      <c r="E56895"/>
      <c r="F56895"/>
    </row>
    <row r="56896" spans="1:6" x14ac:dyDescent="0.25">
      <c r="A56896"/>
      <c r="B56896"/>
      <c r="C56896"/>
      <c r="E56896"/>
      <c r="F56896"/>
    </row>
    <row r="56897" spans="1:6" x14ac:dyDescent="0.25">
      <c r="A56897"/>
      <c r="B56897"/>
      <c r="C56897"/>
      <c r="E56897"/>
      <c r="F56897"/>
    </row>
    <row r="56898" spans="1:6" x14ac:dyDescent="0.25">
      <c r="A56898"/>
      <c r="B56898"/>
      <c r="C56898"/>
      <c r="E56898"/>
      <c r="F56898"/>
    </row>
    <row r="56899" spans="1:6" x14ac:dyDescent="0.25">
      <c r="A56899"/>
      <c r="B56899"/>
      <c r="C56899"/>
      <c r="E56899"/>
      <c r="F56899"/>
    </row>
    <row r="56900" spans="1:6" x14ac:dyDescent="0.25">
      <c r="A56900"/>
      <c r="B56900"/>
      <c r="C56900"/>
      <c r="E56900"/>
      <c r="F56900"/>
    </row>
    <row r="56901" spans="1:6" x14ac:dyDescent="0.25">
      <c r="A56901"/>
      <c r="B56901"/>
      <c r="C56901"/>
      <c r="E56901"/>
      <c r="F56901"/>
    </row>
    <row r="56902" spans="1:6" x14ac:dyDescent="0.25">
      <c r="A56902"/>
      <c r="B56902"/>
      <c r="C56902"/>
      <c r="E56902"/>
      <c r="F56902"/>
    </row>
    <row r="56903" spans="1:6" x14ac:dyDescent="0.25">
      <c r="A56903"/>
      <c r="B56903"/>
      <c r="C56903"/>
      <c r="E56903"/>
      <c r="F56903"/>
    </row>
    <row r="56904" spans="1:6" x14ac:dyDescent="0.25">
      <c r="A56904"/>
      <c r="B56904"/>
      <c r="C56904"/>
      <c r="E56904"/>
      <c r="F56904"/>
    </row>
    <row r="56905" spans="1:6" x14ac:dyDescent="0.25">
      <c r="A56905"/>
      <c r="B56905"/>
      <c r="C56905"/>
      <c r="E56905"/>
      <c r="F56905"/>
    </row>
    <row r="56906" spans="1:6" x14ac:dyDescent="0.25">
      <c r="A56906"/>
      <c r="B56906"/>
      <c r="C56906"/>
      <c r="E56906"/>
      <c r="F56906"/>
    </row>
    <row r="56907" spans="1:6" x14ac:dyDescent="0.25">
      <c r="A56907"/>
      <c r="B56907"/>
      <c r="C56907"/>
      <c r="E56907"/>
      <c r="F56907"/>
    </row>
    <row r="56908" spans="1:6" x14ac:dyDescent="0.25">
      <c r="A56908"/>
      <c r="B56908"/>
      <c r="C56908"/>
      <c r="E56908"/>
      <c r="F56908"/>
    </row>
    <row r="56909" spans="1:6" x14ac:dyDescent="0.25">
      <c r="A56909"/>
      <c r="B56909"/>
      <c r="C56909"/>
      <c r="E56909"/>
      <c r="F56909"/>
    </row>
    <row r="56910" spans="1:6" x14ac:dyDescent="0.25">
      <c r="A56910"/>
      <c r="B56910"/>
      <c r="C56910"/>
      <c r="E56910"/>
      <c r="F56910"/>
    </row>
    <row r="56911" spans="1:6" x14ac:dyDescent="0.25">
      <c r="A56911"/>
      <c r="B56911"/>
      <c r="C56911"/>
      <c r="E56911"/>
      <c r="F56911"/>
    </row>
    <row r="56912" spans="1:6" x14ac:dyDescent="0.25">
      <c r="A56912"/>
      <c r="B56912"/>
      <c r="C56912"/>
      <c r="E56912"/>
      <c r="F56912"/>
    </row>
    <row r="56913" spans="1:6" x14ac:dyDescent="0.25">
      <c r="A56913"/>
      <c r="B56913"/>
      <c r="C56913"/>
      <c r="E56913"/>
      <c r="F56913"/>
    </row>
    <row r="56914" spans="1:6" x14ac:dyDescent="0.25">
      <c r="A56914"/>
      <c r="B56914"/>
      <c r="C56914"/>
      <c r="E56914"/>
      <c r="F56914"/>
    </row>
    <row r="56915" spans="1:6" x14ac:dyDescent="0.25">
      <c r="A56915"/>
      <c r="B56915"/>
      <c r="C56915"/>
      <c r="E56915"/>
      <c r="F56915"/>
    </row>
    <row r="56916" spans="1:6" x14ac:dyDescent="0.25">
      <c r="A56916"/>
      <c r="B56916"/>
      <c r="C56916"/>
      <c r="E56916"/>
      <c r="F56916"/>
    </row>
    <row r="56917" spans="1:6" x14ac:dyDescent="0.25">
      <c r="A56917"/>
      <c r="B56917"/>
      <c r="C56917"/>
      <c r="E56917"/>
      <c r="F56917"/>
    </row>
    <row r="56918" spans="1:6" x14ac:dyDescent="0.25">
      <c r="A56918"/>
      <c r="B56918"/>
      <c r="C56918"/>
      <c r="E56918"/>
      <c r="F56918"/>
    </row>
    <row r="56919" spans="1:6" x14ac:dyDescent="0.25">
      <c r="A56919"/>
      <c r="B56919"/>
      <c r="C56919"/>
      <c r="E56919"/>
      <c r="F56919"/>
    </row>
    <row r="56920" spans="1:6" x14ac:dyDescent="0.25">
      <c r="A56920"/>
      <c r="B56920"/>
      <c r="C56920"/>
      <c r="E56920"/>
      <c r="F56920"/>
    </row>
    <row r="56921" spans="1:6" x14ac:dyDescent="0.25">
      <c r="A56921"/>
      <c r="B56921"/>
      <c r="C56921"/>
      <c r="E56921"/>
      <c r="F56921"/>
    </row>
    <row r="56922" spans="1:6" x14ac:dyDescent="0.25">
      <c r="A56922"/>
      <c r="B56922"/>
      <c r="C56922"/>
      <c r="E56922"/>
      <c r="F56922"/>
    </row>
    <row r="56923" spans="1:6" x14ac:dyDescent="0.25">
      <c r="A56923"/>
      <c r="B56923"/>
      <c r="C56923"/>
      <c r="E56923"/>
      <c r="F56923"/>
    </row>
    <row r="56924" spans="1:6" x14ac:dyDescent="0.25">
      <c r="A56924"/>
      <c r="B56924"/>
      <c r="C56924"/>
      <c r="E56924"/>
      <c r="F56924"/>
    </row>
    <row r="56925" spans="1:6" x14ac:dyDescent="0.25">
      <c r="A56925"/>
      <c r="B56925"/>
      <c r="C56925"/>
      <c r="E56925"/>
      <c r="F56925"/>
    </row>
    <row r="56926" spans="1:6" x14ac:dyDescent="0.25">
      <c r="A56926"/>
      <c r="B56926"/>
      <c r="C56926"/>
      <c r="E56926"/>
      <c r="F56926"/>
    </row>
    <row r="56927" spans="1:6" x14ac:dyDescent="0.25">
      <c r="A56927"/>
      <c r="B56927"/>
      <c r="C56927"/>
      <c r="E56927"/>
      <c r="F56927"/>
    </row>
    <row r="56928" spans="1:6" x14ac:dyDescent="0.25">
      <c r="A56928"/>
      <c r="B56928"/>
      <c r="C56928"/>
      <c r="E56928"/>
      <c r="F56928"/>
    </row>
    <row r="56929" spans="1:6" x14ac:dyDescent="0.25">
      <c r="A56929"/>
      <c r="B56929"/>
      <c r="C56929"/>
      <c r="E56929"/>
      <c r="F56929"/>
    </row>
    <row r="56930" spans="1:6" x14ac:dyDescent="0.25">
      <c r="A56930"/>
      <c r="B56930"/>
      <c r="C56930"/>
      <c r="E56930"/>
      <c r="F56930"/>
    </row>
    <row r="56931" spans="1:6" x14ac:dyDescent="0.25">
      <c r="A56931"/>
      <c r="B56931"/>
      <c r="C56931"/>
      <c r="E56931"/>
      <c r="F56931"/>
    </row>
    <row r="56932" spans="1:6" x14ac:dyDescent="0.25">
      <c r="A56932"/>
      <c r="B56932"/>
      <c r="C56932"/>
      <c r="E56932"/>
      <c r="F56932"/>
    </row>
    <row r="56933" spans="1:6" x14ac:dyDescent="0.25">
      <c r="A56933"/>
      <c r="B56933"/>
      <c r="C56933"/>
      <c r="E56933"/>
      <c r="F56933"/>
    </row>
    <row r="56934" spans="1:6" x14ac:dyDescent="0.25">
      <c r="A56934"/>
      <c r="B56934"/>
      <c r="C56934"/>
      <c r="E56934"/>
      <c r="F56934"/>
    </row>
    <row r="56935" spans="1:6" x14ac:dyDescent="0.25">
      <c r="A56935"/>
      <c r="B56935"/>
      <c r="C56935"/>
      <c r="E56935"/>
      <c r="F56935"/>
    </row>
    <row r="56936" spans="1:6" x14ac:dyDescent="0.25">
      <c r="A56936"/>
      <c r="B56936"/>
      <c r="C56936"/>
      <c r="E56936"/>
      <c r="F56936"/>
    </row>
    <row r="56937" spans="1:6" x14ac:dyDescent="0.25">
      <c r="A56937"/>
      <c r="B56937"/>
      <c r="C56937"/>
      <c r="E56937"/>
      <c r="F56937"/>
    </row>
    <row r="56938" spans="1:6" x14ac:dyDescent="0.25">
      <c r="A56938"/>
      <c r="B56938"/>
      <c r="C56938"/>
      <c r="E56938"/>
      <c r="F56938"/>
    </row>
    <row r="56939" spans="1:6" x14ac:dyDescent="0.25">
      <c r="A56939"/>
      <c r="B56939"/>
      <c r="C56939"/>
      <c r="E56939"/>
      <c r="F56939"/>
    </row>
    <row r="56940" spans="1:6" x14ac:dyDescent="0.25">
      <c r="A56940"/>
      <c r="B56940"/>
      <c r="C56940"/>
      <c r="E56940"/>
      <c r="F56940"/>
    </row>
    <row r="56941" spans="1:6" x14ac:dyDescent="0.25">
      <c r="A56941"/>
      <c r="B56941"/>
      <c r="C56941"/>
      <c r="E56941"/>
      <c r="F56941"/>
    </row>
    <row r="56942" spans="1:6" x14ac:dyDescent="0.25">
      <c r="A56942"/>
      <c r="B56942"/>
      <c r="C56942"/>
      <c r="E56942"/>
      <c r="F56942"/>
    </row>
    <row r="56943" spans="1:6" x14ac:dyDescent="0.25">
      <c r="A56943"/>
      <c r="B56943"/>
      <c r="C56943"/>
      <c r="E56943"/>
      <c r="F56943"/>
    </row>
    <row r="56944" spans="1:6" x14ac:dyDescent="0.25">
      <c r="A56944"/>
      <c r="B56944"/>
      <c r="C56944"/>
      <c r="E56944"/>
      <c r="F56944"/>
    </row>
    <row r="56945" spans="1:6" x14ac:dyDescent="0.25">
      <c r="A56945"/>
      <c r="B56945"/>
      <c r="C56945"/>
      <c r="E56945"/>
      <c r="F56945"/>
    </row>
    <row r="56946" spans="1:6" x14ac:dyDescent="0.25">
      <c r="A56946"/>
      <c r="B56946"/>
      <c r="C56946"/>
      <c r="E56946"/>
      <c r="F56946"/>
    </row>
    <row r="56947" spans="1:6" x14ac:dyDescent="0.25">
      <c r="A56947"/>
      <c r="B56947"/>
      <c r="C56947"/>
      <c r="E56947"/>
      <c r="F56947"/>
    </row>
    <row r="56948" spans="1:6" x14ac:dyDescent="0.25">
      <c r="A56948"/>
      <c r="B56948"/>
      <c r="C56948"/>
      <c r="E56948"/>
      <c r="F56948"/>
    </row>
    <row r="56949" spans="1:6" x14ac:dyDescent="0.25">
      <c r="A56949"/>
      <c r="B56949"/>
      <c r="C56949"/>
      <c r="E56949"/>
      <c r="F56949"/>
    </row>
    <row r="56950" spans="1:6" x14ac:dyDescent="0.25">
      <c r="A56950"/>
      <c r="B56950"/>
      <c r="C56950"/>
      <c r="E56950"/>
      <c r="F56950"/>
    </row>
    <row r="56951" spans="1:6" x14ac:dyDescent="0.25">
      <c r="A56951"/>
      <c r="B56951"/>
      <c r="C56951"/>
      <c r="E56951"/>
      <c r="F56951"/>
    </row>
    <row r="56952" spans="1:6" x14ac:dyDescent="0.25">
      <c r="A56952"/>
      <c r="B56952"/>
      <c r="C56952"/>
      <c r="E56952"/>
      <c r="F56952"/>
    </row>
    <row r="56953" spans="1:6" x14ac:dyDescent="0.25">
      <c r="A56953"/>
      <c r="B56953"/>
      <c r="C56953"/>
      <c r="E56953"/>
      <c r="F56953"/>
    </row>
    <row r="56954" spans="1:6" x14ac:dyDescent="0.25">
      <c r="A56954"/>
      <c r="B56954"/>
      <c r="C56954"/>
      <c r="E56954"/>
      <c r="F56954"/>
    </row>
    <row r="56955" spans="1:6" x14ac:dyDescent="0.25">
      <c r="A56955"/>
      <c r="B56955"/>
      <c r="C56955"/>
      <c r="E56955"/>
      <c r="F56955"/>
    </row>
    <row r="56956" spans="1:6" x14ac:dyDescent="0.25">
      <c r="A56956"/>
      <c r="B56956"/>
      <c r="C56956"/>
      <c r="E56956"/>
      <c r="F56956"/>
    </row>
    <row r="56957" spans="1:6" x14ac:dyDescent="0.25">
      <c r="A56957"/>
      <c r="B56957"/>
      <c r="C56957"/>
      <c r="E56957"/>
      <c r="F56957"/>
    </row>
    <row r="56958" spans="1:6" x14ac:dyDescent="0.25">
      <c r="A56958"/>
      <c r="B56958"/>
      <c r="C56958"/>
      <c r="E56958"/>
      <c r="F56958"/>
    </row>
    <row r="56959" spans="1:6" x14ac:dyDescent="0.25">
      <c r="A56959"/>
      <c r="B56959"/>
      <c r="C56959"/>
      <c r="E56959"/>
      <c r="F56959"/>
    </row>
    <row r="56960" spans="1:6" x14ac:dyDescent="0.25">
      <c r="A56960"/>
      <c r="B56960"/>
      <c r="C56960"/>
      <c r="E56960"/>
      <c r="F56960"/>
    </row>
    <row r="56961" spans="1:6" x14ac:dyDescent="0.25">
      <c r="A56961"/>
      <c r="B56961"/>
      <c r="C56961"/>
      <c r="E56961"/>
      <c r="F56961"/>
    </row>
    <row r="56962" spans="1:6" x14ac:dyDescent="0.25">
      <c r="A56962"/>
      <c r="B56962"/>
      <c r="C56962"/>
      <c r="E56962"/>
      <c r="F56962"/>
    </row>
    <row r="56963" spans="1:6" x14ac:dyDescent="0.25">
      <c r="A56963"/>
      <c r="B56963"/>
      <c r="C56963"/>
      <c r="E56963"/>
      <c r="F56963"/>
    </row>
    <row r="56964" spans="1:6" x14ac:dyDescent="0.25">
      <c r="A56964"/>
      <c r="B56964"/>
      <c r="C56964"/>
      <c r="E56964"/>
      <c r="F56964"/>
    </row>
    <row r="56965" spans="1:6" x14ac:dyDescent="0.25">
      <c r="A56965"/>
      <c r="B56965"/>
      <c r="C56965"/>
      <c r="E56965"/>
      <c r="F56965"/>
    </row>
    <row r="56966" spans="1:6" x14ac:dyDescent="0.25">
      <c r="A56966"/>
      <c r="B56966"/>
      <c r="C56966"/>
      <c r="E56966"/>
      <c r="F56966"/>
    </row>
    <row r="56967" spans="1:6" x14ac:dyDescent="0.25">
      <c r="A56967"/>
      <c r="B56967"/>
      <c r="C56967"/>
      <c r="E56967"/>
      <c r="F56967"/>
    </row>
    <row r="56968" spans="1:6" x14ac:dyDescent="0.25">
      <c r="A56968"/>
      <c r="B56968"/>
      <c r="C56968"/>
      <c r="E56968"/>
      <c r="F56968"/>
    </row>
    <row r="56969" spans="1:6" x14ac:dyDescent="0.25">
      <c r="A56969"/>
      <c r="B56969"/>
      <c r="C56969"/>
      <c r="E56969"/>
      <c r="F56969"/>
    </row>
    <row r="56970" spans="1:6" x14ac:dyDescent="0.25">
      <c r="A56970"/>
      <c r="B56970"/>
      <c r="C56970"/>
      <c r="E56970"/>
      <c r="F56970"/>
    </row>
    <row r="56971" spans="1:6" x14ac:dyDescent="0.25">
      <c r="A56971"/>
      <c r="B56971"/>
      <c r="C56971"/>
      <c r="E56971"/>
      <c r="F56971"/>
    </row>
    <row r="56972" spans="1:6" x14ac:dyDescent="0.25">
      <c r="A56972"/>
      <c r="B56972"/>
      <c r="C56972"/>
      <c r="E56972"/>
      <c r="F56972"/>
    </row>
    <row r="56973" spans="1:6" x14ac:dyDescent="0.25">
      <c r="A56973"/>
      <c r="B56973"/>
      <c r="C56973"/>
      <c r="E56973"/>
      <c r="F56973"/>
    </row>
    <row r="56974" spans="1:6" x14ac:dyDescent="0.25">
      <c r="A56974"/>
      <c r="B56974"/>
      <c r="C56974"/>
      <c r="E56974"/>
      <c r="F56974"/>
    </row>
    <row r="56975" spans="1:6" x14ac:dyDescent="0.25">
      <c r="A56975"/>
      <c r="B56975"/>
      <c r="C56975"/>
      <c r="E56975"/>
      <c r="F56975"/>
    </row>
    <row r="56976" spans="1:6" x14ac:dyDescent="0.25">
      <c r="A56976"/>
      <c r="B56976"/>
      <c r="C56976"/>
      <c r="E56976"/>
      <c r="F56976"/>
    </row>
    <row r="56977" spans="1:6" x14ac:dyDescent="0.25">
      <c r="A56977"/>
      <c r="B56977"/>
      <c r="C56977"/>
      <c r="E56977"/>
      <c r="F56977"/>
    </row>
    <row r="56978" spans="1:6" x14ac:dyDescent="0.25">
      <c r="A56978"/>
      <c r="B56978"/>
      <c r="C56978"/>
      <c r="E56978"/>
      <c r="F56978"/>
    </row>
    <row r="56979" spans="1:6" x14ac:dyDescent="0.25">
      <c r="A56979"/>
      <c r="B56979"/>
      <c r="C56979"/>
      <c r="E56979"/>
      <c r="F56979"/>
    </row>
    <row r="56980" spans="1:6" x14ac:dyDescent="0.25">
      <c r="A56980"/>
      <c r="B56980"/>
      <c r="C56980"/>
      <c r="E56980"/>
      <c r="F56980"/>
    </row>
    <row r="56981" spans="1:6" x14ac:dyDescent="0.25">
      <c r="A56981"/>
      <c r="B56981"/>
      <c r="C56981"/>
      <c r="E56981"/>
      <c r="F56981"/>
    </row>
    <row r="56982" spans="1:6" x14ac:dyDescent="0.25">
      <c r="A56982"/>
      <c r="B56982"/>
      <c r="C56982"/>
      <c r="E56982"/>
      <c r="F56982"/>
    </row>
    <row r="56983" spans="1:6" x14ac:dyDescent="0.25">
      <c r="A56983"/>
      <c r="B56983"/>
      <c r="C56983"/>
      <c r="E56983"/>
      <c r="F56983"/>
    </row>
    <row r="56984" spans="1:6" x14ac:dyDescent="0.25">
      <c r="A56984"/>
      <c r="B56984"/>
      <c r="C56984"/>
      <c r="E56984"/>
      <c r="F56984"/>
    </row>
    <row r="56985" spans="1:6" x14ac:dyDescent="0.25">
      <c r="A56985"/>
      <c r="B56985"/>
      <c r="C56985"/>
      <c r="E56985"/>
      <c r="F56985"/>
    </row>
    <row r="56986" spans="1:6" x14ac:dyDescent="0.25">
      <c r="A56986"/>
      <c r="B56986"/>
      <c r="C56986"/>
      <c r="E56986"/>
      <c r="F56986"/>
    </row>
    <row r="56987" spans="1:6" x14ac:dyDescent="0.25">
      <c r="A56987"/>
      <c r="B56987"/>
      <c r="C56987"/>
      <c r="E56987"/>
      <c r="F56987"/>
    </row>
    <row r="56988" spans="1:6" x14ac:dyDescent="0.25">
      <c r="A56988"/>
      <c r="B56988"/>
      <c r="C56988"/>
      <c r="E56988"/>
      <c r="F56988"/>
    </row>
    <row r="56989" spans="1:6" x14ac:dyDescent="0.25">
      <c r="A56989"/>
      <c r="B56989"/>
      <c r="C56989"/>
      <c r="E56989"/>
      <c r="F56989"/>
    </row>
    <row r="56990" spans="1:6" x14ac:dyDescent="0.25">
      <c r="A56990"/>
      <c r="B56990"/>
      <c r="C56990"/>
      <c r="E56990"/>
      <c r="F56990"/>
    </row>
    <row r="56991" spans="1:6" x14ac:dyDescent="0.25">
      <c r="A56991"/>
      <c r="B56991"/>
      <c r="C56991"/>
      <c r="E56991"/>
      <c r="F56991"/>
    </row>
    <row r="56992" spans="1:6" x14ac:dyDescent="0.25">
      <c r="A56992"/>
      <c r="B56992"/>
      <c r="C56992"/>
      <c r="E56992"/>
      <c r="F56992"/>
    </row>
    <row r="56993" spans="1:6" x14ac:dyDescent="0.25">
      <c r="A56993"/>
      <c r="B56993"/>
      <c r="C56993"/>
      <c r="E56993"/>
      <c r="F56993"/>
    </row>
    <row r="56994" spans="1:6" x14ac:dyDescent="0.25">
      <c r="A56994"/>
      <c r="B56994"/>
      <c r="C56994"/>
      <c r="E56994"/>
      <c r="F56994"/>
    </row>
    <row r="56995" spans="1:6" x14ac:dyDescent="0.25">
      <c r="A56995"/>
      <c r="B56995"/>
      <c r="C56995"/>
      <c r="E56995"/>
      <c r="F56995"/>
    </row>
    <row r="56996" spans="1:6" x14ac:dyDescent="0.25">
      <c r="A56996"/>
      <c r="B56996"/>
      <c r="C56996"/>
      <c r="E56996"/>
      <c r="F56996"/>
    </row>
    <row r="56997" spans="1:6" x14ac:dyDescent="0.25">
      <c r="A56997"/>
      <c r="B56997"/>
      <c r="C56997"/>
      <c r="E56997"/>
      <c r="F56997"/>
    </row>
    <row r="56998" spans="1:6" x14ac:dyDescent="0.25">
      <c r="A56998"/>
      <c r="B56998"/>
      <c r="C56998"/>
      <c r="E56998"/>
      <c r="F56998"/>
    </row>
    <row r="56999" spans="1:6" x14ac:dyDescent="0.25">
      <c r="A56999"/>
      <c r="B56999"/>
      <c r="C56999"/>
      <c r="E56999"/>
      <c r="F56999"/>
    </row>
    <row r="57000" spans="1:6" x14ac:dyDescent="0.25">
      <c r="A57000"/>
      <c r="B57000"/>
      <c r="C57000"/>
      <c r="E57000"/>
      <c r="F57000"/>
    </row>
    <row r="57001" spans="1:6" x14ac:dyDescent="0.25">
      <c r="A57001"/>
      <c r="B57001"/>
      <c r="C57001"/>
      <c r="E57001"/>
      <c r="F57001"/>
    </row>
    <row r="57002" spans="1:6" x14ac:dyDescent="0.25">
      <c r="A57002"/>
      <c r="B57002"/>
      <c r="C57002"/>
      <c r="E57002"/>
      <c r="F57002"/>
    </row>
    <row r="57003" spans="1:6" x14ac:dyDescent="0.25">
      <c r="A57003"/>
      <c r="B57003"/>
      <c r="C57003"/>
      <c r="E57003"/>
      <c r="F57003"/>
    </row>
    <row r="57004" spans="1:6" x14ac:dyDescent="0.25">
      <c r="A57004"/>
      <c r="B57004"/>
      <c r="C57004"/>
      <c r="E57004"/>
      <c r="F57004"/>
    </row>
    <row r="57005" spans="1:6" x14ac:dyDescent="0.25">
      <c r="A57005"/>
      <c r="B57005"/>
      <c r="C57005"/>
      <c r="E57005"/>
      <c r="F57005"/>
    </row>
    <row r="57006" spans="1:6" x14ac:dyDescent="0.25">
      <c r="A57006"/>
      <c r="B57006"/>
      <c r="C57006"/>
      <c r="E57006"/>
      <c r="F57006"/>
    </row>
    <row r="57007" spans="1:6" x14ac:dyDescent="0.25">
      <c r="A57007"/>
      <c r="B57007"/>
      <c r="C57007"/>
      <c r="E57007"/>
      <c r="F57007"/>
    </row>
    <row r="57008" spans="1:6" x14ac:dyDescent="0.25">
      <c r="A57008"/>
      <c r="B57008"/>
      <c r="C57008"/>
      <c r="E57008"/>
      <c r="F57008"/>
    </row>
    <row r="57009" spans="1:6" x14ac:dyDescent="0.25">
      <c r="A57009"/>
      <c r="B57009"/>
      <c r="C57009"/>
      <c r="E57009"/>
      <c r="F57009"/>
    </row>
    <row r="57010" spans="1:6" x14ac:dyDescent="0.25">
      <c r="A57010"/>
      <c r="B57010"/>
      <c r="C57010"/>
      <c r="E57010"/>
      <c r="F57010"/>
    </row>
    <row r="57011" spans="1:6" x14ac:dyDescent="0.25">
      <c r="A57011"/>
      <c r="B57011"/>
      <c r="C57011"/>
      <c r="E57011"/>
      <c r="F57011"/>
    </row>
    <row r="57012" spans="1:6" x14ac:dyDescent="0.25">
      <c r="A57012"/>
      <c r="B57012"/>
      <c r="C57012"/>
      <c r="E57012"/>
      <c r="F57012"/>
    </row>
    <row r="57013" spans="1:6" x14ac:dyDescent="0.25">
      <c r="A57013"/>
      <c r="B57013"/>
      <c r="C57013"/>
      <c r="E57013"/>
      <c r="F57013"/>
    </row>
    <row r="57014" spans="1:6" x14ac:dyDescent="0.25">
      <c r="A57014"/>
      <c r="B57014"/>
      <c r="C57014"/>
      <c r="E57014"/>
      <c r="F57014"/>
    </row>
    <row r="57015" spans="1:6" x14ac:dyDescent="0.25">
      <c r="A57015"/>
      <c r="B57015"/>
      <c r="C57015"/>
      <c r="E57015"/>
      <c r="F57015"/>
    </row>
    <row r="57016" spans="1:6" x14ac:dyDescent="0.25">
      <c r="A57016"/>
      <c r="B57016"/>
      <c r="C57016"/>
      <c r="E57016"/>
      <c r="F57016"/>
    </row>
    <row r="57017" spans="1:6" x14ac:dyDescent="0.25">
      <c r="A57017"/>
      <c r="B57017"/>
      <c r="C57017"/>
      <c r="E57017"/>
      <c r="F57017"/>
    </row>
    <row r="57018" spans="1:6" x14ac:dyDescent="0.25">
      <c r="A57018"/>
      <c r="B57018"/>
      <c r="C57018"/>
      <c r="E57018"/>
      <c r="F57018"/>
    </row>
    <row r="57019" spans="1:6" x14ac:dyDescent="0.25">
      <c r="A57019"/>
      <c r="B57019"/>
      <c r="C57019"/>
      <c r="E57019"/>
      <c r="F57019"/>
    </row>
    <row r="57020" spans="1:6" x14ac:dyDescent="0.25">
      <c r="A57020"/>
      <c r="B57020"/>
      <c r="C57020"/>
      <c r="E57020"/>
      <c r="F57020"/>
    </row>
    <row r="57021" spans="1:6" x14ac:dyDescent="0.25">
      <c r="A57021"/>
      <c r="B57021"/>
      <c r="C57021"/>
      <c r="E57021"/>
      <c r="F57021"/>
    </row>
    <row r="57022" spans="1:6" x14ac:dyDescent="0.25">
      <c r="A57022"/>
      <c r="B57022"/>
      <c r="C57022"/>
      <c r="E57022"/>
      <c r="F57022"/>
    </row>
    <row r="57023" spans="1:6" x14ac:dyDescent="0.25">
      <c r="A57023"/>
      <c r="B57023"/>
      <c r="C57023"/>
      <c r="E57023"/>
      <c r="F57023"/>
    </row>
    <row r="57024" spans="1:6" x14ac:dyDescent="0.25">
      <c r="A57024"/>
      <c r="B57024"/>
      <c r="C57024"/>
      <c r="E57024"/>
      <c r="F57024"/>
    </row>
    <row r="57025" spans="1:6" x14ac:dyDescent="0.25">
      <c r="A57025"/>
      <c r="B57025"/>
      <c r="C57025"/>
      <c r="E57025"/>
      <c r="F57025"/>
    </row>
    <row r="57026" spans="1:6" x14ac:dyDescent="0.25">
      <c r="A57026"/>
      <c r="B57026"/>
      <c r="C57026"/>
      <c r="E57026"/>
      <c r="F57026"/>
    </row>
    <row r="57027" spans="1:6" x14ac:dyDescent="0.25">
      <c r="A57027"/>
      <c r="B57027"/>
      <c r="C57027"/>
      <c r="E57027"/>
      <c r="F57027"/>
    </row>
    <row r="57028" spans="1:6" x14ac:dyDescent="0.25">
      <c r="A57028"/>
      <c r="B57028"/>
      <c r="C57028"/>
      <c r="E57028"/>
      <c r="F57028"/>
    </row>
    <row r="57029" spans="1:6" x14ac:dyDescent="0.25">
      <c r="A57029"/>
      <c r="B57029"/>
      <c r="C57029"/>
      <c r="E57029"/>
      <c r="F57029"/>
    </row>
    <row r="57030" spans="1:6" x14ac:dyDescent="0.25">
      <c r="A57030"/>
      <c r="B57030"/>
      <c r="C57030"/>
      <c r="E57030"/>
      <c r="F57030"/>
    </row>
    <row r="57031" spans="1:6" x14ac:dyDescent="0.25">
      <c r="A57031"/>
      <c r="B57031"/>
      <c r="C57031"/>
      <c r="E57031"/>
      <c r="F57031"/>
    </row>
    <row r="57032" spans="1:6" x14ac:dyDescent="0.25">
      <c r="A57032"/>
      <c r="B57032"/>
      <c r="C57032"/>
      <c r="E57032"/>
      <c r="F57032"/>
    </row>
    <row r="57033" spans="1:6" x14ac:dyDescent="0.25">
      <c r="A57033"/>
      <c r="B57033"/>
      <c r="C57033"/>
      <c r="E57033"/>
      <c r="F57033"/>
    </row>
    <row r="57034" spans="1:6" x14ac:dyDescent="0.25">
      <c r="A57034"/>
      <c r="B57034"/>
      <c r="C57034"/>
      <c r="E57034"/>
      <c r="F57034"/>
    </row>
    <row r="57035" spans="1:6" x14ac:dyDescent="0.25">
      <c r="A57035"/>
      <c r="B57035"/>
      <c r="C57035"/>
      <c r="E57035"/>
      <c r="F57035"/>
    </row>
    <row r="57036" spans="1:6" x14ac:dyDescent="0.25">
      <c r="A57036"/>
      <c r="B57036"/>
      <c r="C57036"/>
      <c r="E57036"/>
      <c r="F57036"/>
    </row>
    <row r="57037" spans="1:6" x14ac:dyDescent="0.25">
      <c r="A57037"/>
      <c r="B57037"/>
      <c r="C57037"/>
      <c r="E57037"/>
      <c r="F57037"/>
    </row>
    <row r="57038" spans="1:6" x14ac:dyDescent="0.25">
      <c r="A57038"/>
      <c r="B57038"/>
      <c r="C57038"/>
      <c r="E57038"/>
      <c r="F57038"/>
    </row>
    <row r="57039" spans="1:6" x14ac:dyDescent="0.25">
      <c r="A57039"/>
      <c r="B57039"/>
      <c r="C57039"/>
      <c r="E57039"/>
      <c r="F57039"/>
    </row>
    <row r="57040" spans="1:6" x14ac:dyDescent="0.25">
      <c r="A57040"/>
      <c r="B57040"/>
      <c r="C57040"/>
      <c r="E57040"/>
      <c r="F57040"/>
    </row>
    <row r="57041" spans="1:6" x14ac:dyDescent="0.25">
      <c r="A57041"/>
      <c r="B57041"/>
      <c r="C57041"/>
      <c r="E57041"/>
      <c r="F57041"/>
    </row>
    <row r="57042" spans="1:6" x14ac:dyDescent="0.25">
      <c r="A57042"/>
      <c r="B57042"/>
      <c r="C57042"/>
      <c r="E57042"/>
      <c r="F57042"/>
    </row>
    <row r="57043" spans="1:6" x14ac:dyDescent="0.25">
      <c r="A57043"/>
      <c r="B57043"/>
      <c r="C57043"/>
      <c r="E57043"/>
      <c r="F57043"/>
    </row>
    <row r="57044" spans="1:6" x14ac:dyDescent="0.25">
      <c r="A57044"/>
      <c r="B57044"/>
      <c r="C57044"/>
      <c r="E57044"/>
      <c r="F57044"/>
    </row>
    <row r="57045" spans="1:6" x14ac:dyDescent="0.25">
      <c r="A57045"/>
      <c r="B57045"/>
      <c r="C57045"/>
      <c r="E57045"/>
      <c r="F57045"/>
    </row>
    <row r="57046" spans="1:6" x14ac:dyDescent="0.25">
      <c r="A57046"/>
      <c r="B57046"/>
      <c r="C57046"/>
      <c r="E57046"/>
      <c r="F57046"/>
    </row>
    <row r="57047" spans="1:6" x14ac:dyDescent="0.25">
      <c r="A57047"/>
      <c r="B57047"/>
      <c r="C57047"/>
      <c r="E57047"/>
      <c r="F57047"/>
    </row>
    <row r="57048" spans="1:6" x14ac:dyDescent="0.25">
      <c r="A57048"/>
      <c r="B57048"/>
      <c r="C57048"/>
      <c r="E57048"/>
      <c r="F57048"/>
    </row>
    <row r="57049" spans="1:6" x14ac:dyDescent="0.25">
      <c r="A57049"/>
      <c r="B57049"/>
      <c r="C57049"/>
      <c r="E57049"/>
      <c r="F57049"/>
    </row>
    <row r="57050" spans="1:6" x14ac:dyDescent="0.25">
      <c r="A57050"/>
      <c r="B57050"/>
      <c r="C57050"/>
      <c r="E57050"/>
      <c r="F57050"/>
    </row>
    <row r="57051" spans="1:6" x14ac:dyDescent="0.25">
      <c r="A57051"/>
      <c r="B57051"/>
      <c r="C57051"/>
      <c r="E57051"/>
      <c r="F57051"/>
    </row>
    <row r="57052" spans="1:6" x14ac:dyDescent="0.25">
      <c r="A57052"/>
      <c r="B57052"/>
      <c r="C57052"/>
      <c r="E57052"/>
      <c r="F57052"/>
    </row>
    <row r="57053" spans="1:6" x14ac:dyDescent="0.25">
      <c r="A57053"/>
      <c r="B57053"/>
      <c r="C57053"/>
      <c r="E57053"/>
      <c r="F57053"/>
    </row>
    <row r="57054" spans="1:6" x14ac:dyDescent="0.25">
      <c r="A57054"/>
      <c r="B57054"/>
      <c r="C57054"/>
      <c r="E57054"/>
      <c r="F57054"/>
    </row>
    <row r="57055" spans="1:6" x14ac:dyDescent="0.25">
      <c r="A57055"/>
      <c r="B57055"/>
      <c r="C57055"/>
      <c r="E57055"/>
      <c r="F57055"/>
    </row>
    <row r="57056" spans="1:6" x14ac:dyDescent="0.25">
      <c r="A57056"/>
      <c r="B57056"/>
      <c r="C57056"/>
      <c r="E57056"/>
      <c r="F57056"/>
    </row>
    <row r="57057" spans="1:6" x14ac:dyDescent="0.25">
      <c r="A57057"/>
      <c r="B57057"/>
      <c r="C57057"/>
      <c r="E57057"/>
      <c r="F57057"/>
    </row>
    <row r="57058" spans="1:6" x14ac:dyDescent="0.25">
      <c r="A57058"/>
      <c r="B57058"/>
      <c r="C57058"/>
      <c r="E57058"/>
      <c r="F57058"/>
    </row>
    <row r="57059" spans="1:6" x14ac:dyDescent="0.25">
      <c r="A57059"/>
      <c r="B57059"/>
      <c r="C57059"/>
      <c r="E57059"/>
      <c r="F57059"/>
    </row>
    <row r="57060" spans="1:6" x14ac:dyDescent="0.25">
      <c r="A57060"/>
      <c r="B57060"/>
      <c r="C57060"/>
      <c r="E57060"/>
      <c r="F57060"/>
    </row>
    <row r="57061" spans="1:6" x14ac:dyDescent="0.25">
      <c r="A57061"/>
      <c r="B57061"/>
      <c r="C57061"/>
      <c r="E57061"/>
      <c r="F57061"/>
    </row>
    <row r="57062" spans="1:6" x14ac:dyDescent="0.25">
      <c r="A57062"/>
      <c r="B57062"/>
      <c r="C57062"/>
      <c r="E57062"/>
      <c r="F57062"/>
    </row>
    <row r="57063" spans="1:6" x14ac:dyDescent="0.25">
      <c r="A57063"/>
      <c r="B57063"/>
      <c r="C57063"/>
      <c r="E57063"/>
      <c r="F57063"/>
    </row>
    <row r="57064" spans="1:6" x14ac:dyDescent="0.25">
      <c r="A57064"/>
      <c r="B57064"/>
      <c r="C57064"/>
      <c r="E57064"/>
      <c r="F57064"/>
    </row>
    <row r="57065" spans="1:6" x14ac:dyDescent="0.25">
      <c r="A57065"/>
      <c r="B57065"/>
      <c r="C57065"/>
      <c r="E57065"/>
      <c r="F57065"/>
    </row>
    <row r="57066" spans="1:6" x14ac:dyDescent="0.25">
      <c r="A57066"/>
      <c r="B57066"/>
      <c r="C57066"/>
      <c r="E57066"/>
      <c r="F57066"/>
    </row>
    <row r="57067" spans="1:6" x14ac:dyDescent="0.25">
      <c r="A57067"/>
      <c r="B57067"/>
      <c r="C57067"/>
      <c r="E57067"/>
      <c r="F57067"/>
    </row>
    <row r="57068" spans="1:6" x14ac:dyDescent="0.25">
      <c r="A57068"/>
      <c r="B57068"/>
      <c r="C57068"/>
      <c r="E57068"/>
      <c r="F57068"/>
    </row>
    <row r="57069" spans="1:6" x14ac:dyDescent="0.25">
      <c r="A57069"/>
      <c r="B57069"/>
      <c r="C57069"/>
      <c r="E57069"/>
      <c r="F57069"/>
    </row>
    <row r="57070" spans="1:6" x14ac:dyDescent="0.25">
      <c r="A57070"/>
      <c r="B57070"/>
      <c r="C57070"/>
      <c r="E57070"/>
      <c r="F57070"/>
    </row>
    <row r="57071" spans="1:6" x14ac:dyDescent="0.25">
      <c r="A57071"/>
      <c r="B57071"/>
      <c r="C57071"/>
      <c r="E57071"/>
      <c r="F57071"/>
    </row>
    <row r="57072" spans="1:6" x14ac:dyDescent="0.25">
      <c r="A57072"/>
      <c r="B57072"/>
      <c r="C57072"/>
      <c r="E57072"/>
      <c r="F57072"/>
    </row>
    <row r="57073" spans="1:6" x14ac:dyDescent="0.25">
      <c r="A57073"/>
      <c r="B57073"/>
      <c r="C57073"/>
      <c r="E57073"/>
      <c r="F57073"/>
    </row>
    <row r="57074" spans="1:6" x14ac:dyDescent="0.25">
      <c r="A57074"/>
      <c r="B57074"/>
      <c r="C57074"/>
      <c r="E57074"/>
      <c r="F57074"/>
    </row>
    <row r="57075" spans="1:6" x14ac:dyDescent="0.25">
      <c r="A57075"/>
      <c r="B57075"/>
      <c r="C57075"/>
      <c r="E57075"/>
      <c r="F57075"/>
    </row>
    <row r="57076" spans="1:6" x14ac:dyDescent="0.25">
      <c r="A57076"/>
      <c r="B57076"/>
      <c r="C57076"/>
      <c r="E57076"/>
      <c r="F57076"/>
    </row>
    <row r="57077" spans="1:6" x14ac:dyDescent="0.25">
      <c r="A57077"/>
      <c r="B57077"/>
      <c r="C57077"/>
      <c r="E57077"/>
      <c r="F57077"/>
    </row>
    <row r="57078" spans="1:6" x14ac:dyDescent="0.25">
      <c r="A57078"/>
      <c r="B57078"/>
      <c r="C57078"/>
      <c r="E57078"/>
      <c r="F57078"/>
    </row>
    <row r="57079" spans="1:6" x14ac:dyDescent="0.25">
      <c r="A57079"/>
      <c r="B57079"/>
      <c r="C57079"/>
      <c r="E57079"/>
      <c r="F57079"/>
    </row>
    <row r="57080" spans="1:6" x14ac:dyDescent="0.25">
      <c r="A57080"/>
      <c r="B57080"/>
      <c r="C57080"/>
      <c r="E57080"/>
      <c r="F57080"/>
    </row>
    <row r="57081" spans="1:6" x14ac:dyDescent="0.25">
      <c r="A57081"/>
      <c r="B57081"/>
      <c r="C57081"/>
      <c r="E57081"/>
      <c r="F57081"/>
    </row>
    <row r="57082" spans="1:6" x14ac:dyDescent="0.25">
      <c r="A57082"/>
      <c r="B57082"/>
      <c r="C57082"/>
      <c r="E57082"/>
      <c r="F57082"/>
    </row>
    <row r="57083" spans="1:6" x14ac:dyDescent="0.25">
      <c r="A57083"/>
      <c r="B57083"/>
      <c r="C57083"/>
      <c r="E57083"/>
      <c r="F57083"/>
    </row>
    <row r="57084" spans="1:6" x14ac:dyDescent="0.25">
      <c r="A57084"/>
      <c r="B57084"/>
      <c r="C57084"/>
      <c r="E57084"/>
      <c r="F57084"/>
    </row>
    <row r="57085" spans="1:6" x14ac:dyDescent="0.25">
      <c r="A57085"/>
      <c r="B57085"/>
      <c r="C57085"/>
      <c r="E57085"/>
      <c r="F57085"/>
    </row>
    <row r="57086" spans="1:6" x14ac:dyDescent="0.25">
      <c r="A57086"/>
      <c r="B57086"/>
      <c r="C57086"/>
      <c r="E57086"/>
      <c r="F57086"/>
    </row>
    <row r="57087" spans="1:6" x14ac:dyDescent="0.25">
      <c r="A57087"/>
      <c r="B57087"/>
      <c r="C57087"/>
      <c r="E57087"/>
      <c r="F57087"/>
    </row>
    <row r="57088" spans="1:6" x14ac:dyDescent="0.25">
      <c r="A57088"/>
      <c r="B57088"/>
      <c r="C57088"/>
      <c r="E57088"/>
      <c r="F57088"/>
    </row>
    <row r="57089" spans="1:6" x14ac:dyDescent="0.25">
      <c r="A57089"/>
      <c r="B57089"/>
      <c r="C57089"/>
      <c r="E57089"/>
      <c r="F57089"/>
    </row>
    <row r="57090" spans="1:6" x14ac:dyDescent="0.25">
      <c r="A57090"/>
      <c r="B57090"/>
      <c r="C57090"/>
      <c r="E57090"/>
      <c r="F57090"/>
    </row>
    <row r="57091" spans="1:6" x14ac:dyDescent="0.25">
      <c r="A57091"/>
      <c r="B57091"/>
      <c r="C57091"/>
      <c r="E57091"/>
      <c r="F57091"/>
    </row>
    <row r="57092" spans="1:6" x14ac:dyDescent="0.25">
      <c r="A57092"/>
      <c r="B57092"/>
      <c r="C57092"/>
      <c r="E57092"/>
      <c r="F57092"/>
    </row>
    <row r="57093" spans="1:6" x14ac:dyDescent="0.25">
      <c r="A57093"/>
      <c r="B57093"/>
      <c r="C57093"/>
      <c r="E57093"/>
      <c r="F57093"/>
    </row>
    <row r="57094" spans="1:6" x14ac:dyDescent="0.25">
      <c r="A57094"/>
      <c r="B57094"/>
      <c r="C57094"/>
      <c r="E57094"/>
      <c r="F57094"/>
    </row>
    <row r="57095" spans="1:6" x14ac:dyDescent="0.25">
      <c r="A57095"/>
      <c r="B57095"/>
      <c r="C57095"/>
      <c r="E57095"/>
      <c r="F57095"/>
    </row>
    <row r="57096" spans="1:6" x14ac:dyDescent="0.25">
      <c r="A57096"/>
      <c r="B57096"/>
      <c r="C57096"/>
      <c r="E57096"/>
      <c r="F57096"/>
    </row>
    <row r="57097" spans="1:6" x14ac:dyDescent="0.25">
      <c r="A57097"/>
      <c r="B57097"/>
      <c r="C57097"/>
      <c r="E57097"/>
      <c r="F57097"/>
    </row>
    <row r="57098" spans="1:6" x14ac:dyDescent="0.25">
      <c r="A57098"/>
      <c r="B57098"/>
      <c r="C57098"/>
      <c r="E57098"/>
      <c r="F57098"/>
    </row>
    <row r="57099" spans="1:6" x14ac:dyDescent="0.25">
      <c r="A57099"/>
      <c r="B57099"/>
      <c r="C57099"/>
      <c r="E57099"/>
      <c r="F57099"/>
    </row>
    <row r="57100" spans="1:6" x14ac:dyDescent="0.25">
      <c r="A57100"/>
      <c r="B57100"/>
      <c r="C57100"/>
      <c r="E57100"/>
      <c r="F57100"/>
    </row>
    <row r="57101" spans="1:6" x14ac:dyDescent="0.25">
      <c r="A57101"/>
      <c r="B57101"/>
      <c r="C57101"/>
      <c r="E57101"/>
      <c r="F57101"/>
    </row>
    <row r="57102" spans="1:6" x14ac:dyDescent="0.25">
      <c r="A57102"/>
      <c r="B57102"/>
      <c r="C57102"/>
      <c r="E57102"/>
      <c r="F57102"/>
    </row>
    <row r="57103" spans="1:6" x14ac:dyDescent="0.25">
      <c r="A57103"/>
      <c r="B57103"/>
      <c r="C57103"/>
      <c r="E57103"/>
      <c r="F57103"/>
    </row>
    <row r="57104" spans="1:6" x14ac:dyDescent="0.25">
      <c r="A57104"/>
      <c r="B57104"/>
      <c r="C57104"/>
      <c r="E57104"/>
      <c r="F57104"/>
    </row>
    <row r="57105" spans="1:6" x14ac:dyDescent="0.25">
      <c r="A57105"/>
      <c r="B57105"/>
      <c r="C57105"/>
      <c r="E57105"/>
      <c r="F57105"/>
    </row>
    <row r="57106" spans="1:6" x14ac:dyDescent="0.25">
      <c r="A57106"/>
      <c r="B57106"/>
      <c r="C57106"/>
      <c r="E57106"/>
      <c r="F57106"/>
    </row>
    <row r="57107" spans="1:6" x14ac:dyDescent="0.25">
      <c r="A57107"/>
      <c r="B57107"/>
      <c r="C57107"/>
      <c r="E57107"/>
      <c r="F57107"/>
    </row>
    <row r="57108" spans="1:6" x14ac:dyDescent="0.25">
      <c r="A57108"/>
      <c r="B57108"/>
      <c r="C57108"/>
      <c r="E57108"/>
      <c r="F57108"/>
    </row>
    <row r="57109" spans="1:6" x14ac:dyDescent="0.25">
      <c r="A57109"/>
      <c r="B57109"/>
      <c r="C57109"/>
      <c r="E57109"/>
      <c r="F57109"/>
    </row>
    <row r="57110" spans="1:6" x14ac:dyDescent="0.25">
      <c r="A57110"/>
      <c r="B57110"/>
      <c r="C57110"/>
      <c r="E57110"/>
      <c r="F57110"/>
    </row>
    <row r="57111" spans="1:6" x14ac:dyDescent="0.25">
      <c r="A57111"/>
      <c r="B57111"/>
      <c r="C57111"/>
      <c r="E57111"/>
      <c r="F57111"/>
    </row>
    <row r="57112" spans="1:6" x14ac:dyDescent="0.25">
      <c r="A57112"/>
      <c r="B57112"/>
      <c r="C57112"/>
      <c r="E57112"/>
      <c r="F57112"/>
    </row>
    <row r="57113" spans="1:6" x14ac:dyDescent="0.25">
      <c r="A57113"/>
      <c r="B57113"/>
      <c r="C57113"/>
      <c r="E57113"/>
      <c r="F57113"/>
    </row>
    <row r="57114" spans="1:6" x14ac:dyDescent="0.25">
      <c r="A57114"/>
      <c r="B57114"/>
      <c r="C57114"/>
      <c r="E57114"/>
      <c r="F57114"/>
    </row>
    <row r="57115" spans="1:6" x14ac:dyDescent="0.25">
      <c r="A57115"/>
      <c r="B57115"/>
      <c r="C57115"/>
      <c r="E57115"/>
      <c r="F57115"/>
    </row>
    <row r="57116" spans="1:6" x14ac:dyDescent="0.25">
      <c r="A57116"/>
      <c r="B57116"/>
      <c r="C57116"/>
      <c r="E57116"/>
      <c r="F57116"/>
    </row>
    <row r="57117" spans="1:6" x14ac:dyDescent="0.25">
      <c r="A57117"/>
      <c r="B57117"/>
      <c r="C57117"/>
      <c r="E57117"/>
      <c r="F57117"/>
    </row>
    <row r="57118" spans="1:6" x14ac:dyDescent="0.25">
      <c r="A57118"/>
      <c r="B57118"/>
      <c r="C57118"/>
      <c r="E57118"/>
      <c r="F57118"/>
    </row>
    <row r="57119" spans="1:6" x14ac:dyDescent="0.25">
      <c r="A57119"/>
      <c r="B57119"/>
      <c r="C57119"/>
      <c r="E57119"/>
      <c r="F57119"/>
    </row>
    <row r="57120" spans="1:6" x14ac:dyDescent="0.25">
      <c r="A57120"/>
      <c r="B57120"/>
      <c r="C57120"/>
      <c r="E57120"/>
      <c r="F57120"/>
    </row>
    <row r="57121" spans="1:6" x14ac:dyDescent="0.25">
      <c r="A57121"/>
      <c r="B57121"/>
      <c r="C57121"/>
      <c r="E57121"/>
      <c r="F57121"/>
    </row>
    <row r="57122" spans="1:6" x14ac:dyDescent="0.25">
      <c r="A57122"/>
      <c r="B57122"/>
      <c r="C57122"/>
      <c r="E57122"/>
      <c r="F57122"/>
    </row>
    <row r="57123" spans="1:6" x14ac:dyDescent="0.25">
      <c r="A57123"/>
      <c r="B57123"/>
      <c r="C57123"/>
      <c r="E57123"/>
      <c r="F57123"/>
    </row>
    <row r="57124" spans="1:6" x14ac:dyDescent="0.25">
      <c r="A57124"/>
      <c r="B57124"/>
      <c r="C57124"/>
      <c r="E57124"/>
      <c r="F57124"/>
    </row>
    <row r="57125" spans="1:6" x14ac:dyDescent="0.25">
      <c r="A57125"/>
      <c r="B57125"/>
      <c r="C57125"/>
      <c r="E57125"/>
      <c r="F57125"/>
    </row>
    <row r="57126" spans="1:6" x14ac:dyDescent="0.25">
      <c r="A57126"/>
      <c r="B57126"/>
      <c r="C57126"/>
      <c r="E57126"/>
      <c r="F57126"/>
    </row>
    <row r="57127" spans="1:6" x14ac:dyDescent="0.25">
      <c r="A57127"/>
      <c r="B57127"/>
      <c r="C57127"/>
      <c r="E57127"/>
      <c r="F57127"/>
    </row>
    <row r="57128" spans="1:6" x14ac:dyDescent="0.25">
      <c r="A57128"/>
      <c r="B57128"/>
      <c r="C57128"/>
      <c r="E57128"/>
      <c r="F57128"/>
    </row>
    <row r="57129" spans="1:6" x14ac:dyDescent="0.25">
      <c r="A57129"/>
      <c r="B57129"/>
      <c r="C57129"/>
      <c r="E57129"/>
      <c r="F57129"/>
    </row>
    <row r="57130" spans="1:6" x14ac:dyDescent="0.25">
      <c r="A57130"/>
      <c r="B57130"/>
      <c r="C57130"/>
      <c r="E57130"/>
      <c r="F57130"/>
    </row>
    <row r="57131" spans="1:6" x14ac:dyDescent="0.25">
      <c r="A57131"/>
      <c r="B57131"/>
      <c r="C57131"/>
      <c r="E57131"/>
      <c r="F57131"/>
    </row>
    <row r="57132" spans="1:6" x14ac:dyDescent="0.25">
      <c r="A57132"/>
      <c r="B57132"/>
      <c r="C57132"/>
      <c r="E57132"/>
      <c r="F57132"/>
    </row>
    <row r="57133" spans="1:6" x14ac:dyDescent="0.25">
      <c r="A57133"/>
      <c r="B57133"/>
      <c r="C57133"/>
      <c r="E57133"/>
      <c r="F57133"/>
    </row>
    <row r="57134" spans="1:6" x14ac:dyDescent="0.25">
      <c r="A57134"/>
      <c r="B57134"/>
      <c r="C57134"/>
      <c r="E57134"/>
      <c r="F57134"/>
    </row>
    <row r="57135" spans="1:6" x14ac:dyDescent="0.25">
      <c r="A57135"/>
      <c r="B57135"/>
      <c r="C57135"/>
      <c r="E57135"/>
      <c r="F57135"/>
    </row>
    <row r="57136" spans="1:6" x14ac:dyDescent="0.25">
      <c r="A57136"/>
      <c r="B57136"/>
      <c r="C57136"/>
      <c r="E57136"/>
      <c r="F57136"/>
    </row>
    <row r="57137" spans="1:6" x14ac:dyDescent="0.25">
      <c r="A57137"/>
      <c r="B57137"/>
      <c r="C57137"/>
      <c r="E57137"/>
      <c r="F57137"/>
    </row>
    <row r="57138" spans="1:6" x14ac:dyDescent="0.25">
      <c r="A57138"/>
      <c r="B57138"/>
      <c r="C57138"/>
      <c r="E57138"/>
      <c r="F57138"/>
    </row>
    <row r="57139" spans="1:6" x14ac:dyDescent="0.25">
      <c r="A57139"/>
      <c r="B57139"/>
      <c r="C57139"/>
      <c r="E57139"/>
      <c r="F57139"/>
    </row>
    <row r="57140" spans="1:6" x14ac:dyDescent="0.25">
      <c r="A57140"/>
      <c r="B57140"/>
      <c r="C57140"/>
      <c r="E57140"/>
      <c r="F57140"/>
    </row>
    <row r="57141" spans="1:6" x14ac:dyDescent="0.25">
      <c r="A57141"/>
      <c r="B57141"/>
      <c r="C57141"/>
      <c r="E57141"/>
      <c r="F57141"/>
    </row>
    <row r="57142" spans="1:6" x14ac:dyDescent="0.25">
      <c r="A57142"/>
      <c r="B57142"/>
      <c r="C57142"/>
      <c r="E57142"/>
      <c r="F57142"/>
    </row>
    <row r="57143" spans="1:6" x14ac:dyDescent="0.25">
      <c r="A57143"/>
      <c r="B57143"/>
      <c r="C57143"/>
      <c r="E57143"/>
      <c r="F57143"/>
    </row>
    <row r="57144" spans="1:6" x14ac:dyDescent="0.25">
      <c r="A57144"/>
      <c r="B57144"/>
      <c r="C57144"/>
      <c r="E57144"/>
      <c r="F57144"/>
    </row>
    <row r="57145" spans="1:6" x14ac:dyDescent="0.25">
      <c r="A57145"/>
      <c r="B57145"/>
      <c r="C57145"/>
      <c r="E57145"/>
      <c r="F57145"/>
    </row>
    <row r="57146" spans="1:6" x14ac:dyDescent="0.25">
      <c r="A57146"/>
      <c r="B57146"/>
      <c r="C57146"/>
      <c r="E57146"/>
      <c r="F57146"/>
    </row>
    <row r="57147" spans="1:6" x14ac:dyDescent="0.25">
      <c r="A57147"/>
      <c r="B57147"/>
      <c r="C57147"/>
      <c r="E57147"/>
      <c r="F57147"/>
    </row>
    <row r="57148" spans="1:6" x14ac:dyDescent="0.25">
      <c r="A57148"/>
      <c r="B57148"/>
      <c r="C57148"/>
      <c r="E57148"/>
      <c r="F57148"/>
    </row>
    <row r="57149" spans="1:6" x14ac:dyDescent="0.25">
      <c r="A57149"/>
      <c r="B57149"/>
      <c r="C57149"/>
      <c r="E57149"/>
      <c r="F57149"/>
    </row>
    <row r="57150" spans="1:6" x14ac:dyDescent="0.25">
      <c r="A57150"/>
      <c r="B57150"/>
      <c r="C57150"/>
      <c r="E57150"/>
      <c r="F57150"/>
    </row>
    <row r="57151" spans="1:6" x14ac:dyDescent="0.25">
      <c r="A57151"/>
      <c r="B57151"/>
      <c r="C57151"/>
      <c r="E57151"/>
      <c r="F57151"/>
    </row>
    <row r="57152" spans="1:6" x14ac:dyDescent="0.25">
      <c r="A57152"/>
      <c r="B57152"/>
      <c r="C57152"/>
      <c r="E57152"/>
      <c r="F57152"/>
    </row>
    <row r="57153" spans="1:6" x14ac:dyDescent="0.25">
      <c r="A57153"/>
      <c r="B57153"/>
      <c r="C57153"/>
      <c r="E57153"/>
      <c r="F57153"/>
    </row>
    <row r="57154" spans="1:6" x14ac:dyDescent="0.25">
      <c r="A57154"/>
      <c r="B57154"/>
      <c r="C57154"/>
      <c r="E57154"/>
      <c r="F57154"/>
    </row>
    <row r="57155" spans="1:6" x14ac:dyDescent="0.25">
      <c r="A57155"/>
      <c r="B57155"/>
      <c r="C57155"/>
      <c r="E57155"/>
      <c r="F57155"/>
    </row>
    <row r="57156" spans="1:6" x14ac:dyDescent="0.25">
      <c r="A57156"/>
      <c r="B57156"/>
      <c r="C57156"/>
      <c r="E57156"/>
      <c r="F57156"/>
    </row>
    <row r="57157" spans="1:6" x14ac:dyDescent="0.25">
      <c r="A57157"/>
      <c r="B57157"/>
      <c r="C57157"/>
      <c r="E57157"/>
      <c r="F57157"/>
    </row>
    <row r="57158" spans="1:6" x14ac:dyDescent="0.25">
      <c r="A57158"/>
      <c r="B57158"/>
      <c r="C57158"/>
      <c r="E57158"/>
      <c r="F57158"/>
    </row>
    <row r="57159" spans="1:6" x14ac:dyDescent="0.25">
      <c r="A57159"/>
      <c r="B57159"/>
      <c r="C57159"/>
      <c r="E57159"/>
      <c r="F57159"/>
    </row>
    <row r="57160" spans="1:6" x14ac:dyDescent="0.25">
      <c r="A57160"/>
      <c r="B57160"/>
      <c r="C57160"/>
      <c r="E57160"/>
      <c r="F57160"/>
    </row>
    <row r="57161" spans="1:6" x14ac:dyDescent="0.25">
      <c r="A57161"/>
      <c r="B57161"/>
      <c r="C57161"/>
      <c r="E57161"/>
      <c r="F57161"/>
    </row>
    <row r="57162" spans="1:6" x14ac:dyDescent="0.25">
      <c r="A57162"/>
      <c r="B57162"/>
      <c r="C57162"/>
      <c r="E57162"/>
      <c r="F57162"/>
    </row>
    <row r="57163" spans="1:6" x14ac:dyDescent="0.25">
      <c r="A57163"/>
      <c r="B57163"/>
      <c r="C57163"/>
      <c r="E57163"/>
      <c r="F57163"/>
    </row>
    <row r="57164" spans="1:6" x14ac:dyDescent="0.25">
      <c r="A57164"/>
      <c r="B57164"/>
      <c r="C57164"/>
      <c r="E57164"/>
      <c r="F57164"/>
    </row>
    <row r="57165" spans="1:6" x14ac:dyDescent="0.25">
      <c r="A57165"/>
      <c r="B57165"/>
      <c r="C57165"/>
      <c r="E57165"/>
      <c r="F57165"/>
    </row>
    <row r="57166" spans="1:6" x14ac:dyDescent="0.25">
      <c r="A57166"/>
      <c r="B57166"/>
      <c r="C57166"/>
      <c r="E57166"/>
      <c r="F57166"/>
    </row>
    <row r="57167" spans="1:6" x14ac:dyDescent="0.25">
      <c r="A57167"/>
      <c r="B57167"/>
      <c r="C57167"/>
      <c r="E57167"/>
      <c r="F57167"/>
    </row>
    <row r="57168" spans="1:6" x14ac:dyDescent="0.25">
      <c r="A57168"/>
      <c r="B57168"/>
      <c r="C57168"/>
      <c r="E57168"/>
      <c r="F57168"/>
    </row>
    <row r="57169" spans="1:6" x14ac:dyDescent="0.25">
      <c r="A57169"/>
      <c r="B57169"/>
      <c r="C57169"/>
      <c r="E57169"/>
      <c r="F57169"/>
    </row>
    <row r="57170" spans="1:6" x14ac:dyDescent="0.25">
      <c r="A57170"/>
      <c r="B57170"/>
      <c r="C57170"/>
      <c r="E57170"/>
      <c r="F57170"/>
    </row>
    <row r="57171" spans="1:6" x14ac:dyDescent="0.25">
      <c r="A57171"/>
      <c r="B57171"/>
      <c r="C57171"/>
      <c r="E57171"/>
      <c r="F57171"/>
    </row>
    <row r="57172" spans="1:6" x14ac:dyDescent="0.25">
      <c r="A57172"/>
      <c r="B57172"/>
      <c r="C57172"/>
      <c r="E57172"/>
      <c r="F57172"/>
    </row>
    <row r="57173" spans="1:6" x14ac:dyDescent="0.25">
      <c r="A57173"/>
      <c r="B57173"/>
      <c r="C57173"/>
      <c r="E57173"/>
      <c r="F57173"/>
    </row>
    <row r="57174" spans="1:6" x14ac:dyDescent="0.25">
      <c r="A57174"/>
      <c r="B57174"/>
      <c r="C57174"/>
      <c r="E57174"/>
      <c r="F57174"/>
    </row>
    <row r="57175" spans="1:6" x14ac:dyDescent="0.25">
      <c r="A57175"/>
      <c r="B57175"/>
      <c r="C57175"/>
      <c r="E57175"/>
      <c r="F57175"/>
    </row>
    <row r="57176" spans="1:6" x14ac:dyDescent="0.25">
      <c r="A57176"/>
      <c r="B57176"/>
      <c r="C57176"/>
      <c r="E57176"/>
      <c r="F57176"/>
    </row>
    <row r="57177" spans="1:6" x14ac:dyDescent="0.25">
      <c r="A57177"/>
      <c r="B57177"/>
      <c r="C57177"/>
      <c r="E57177"/>
      <c r="F57177"/>
    </row>
    <row r="57178" spans="1:6" x14ac:dyDescent="0.25">
      <c r="A57178"/>
      <c r="B57178"/>
      <c r="C57178"/>
      <c r="E57178"/>
      <c r="F57178"/>
    </row>
    <row r="57179" spans="1:6" x14ac:dyDescent="0.25">
      <c r="A57179"/>
      <c r="B57179"/>
      <c r="C57179"/>
      <c r="E57179"/>
      <c r="F57179"/>
    </row>
    <row r="57180" spans="1:6" x14ac:dyDescent="0.25">
      <c r="A57180"/>
      <c r="B57180"/>
      <c r="C57180"/>
      <c r="E57180"/>
      <c r="F57180"/>
    </row>
    <row r="57181" spans="1:6" x14ac:dyDescent="0.25">
      <c r="A57181"/>
      <c r="B57181"/>
      <c r="C57181"/>
      <c r="E57181"/>
      <c r="F57181"/>
    </row>
    <row r="57182" spans="1:6" x14ac:dyDescent="0.25">
      <c r="A57182"/>
      <c r="B57182"/>
      <c r="C57182"/>
      <c r="E57182"/>
      <c r="F57182"/>
    </row>
    <row r="57183" spans="1:6" x14ac:dyDescent="0.25">
      <c r="A57183"/>
      <c r="B57183"/>
      <c r="C57183"/>
      <c r="E57183"/>
      <c r="F57183"/>
    </row>
    <row r="57184" spans="1:6" x14ac:dyDescent="0.25">
      <c r="A57184"/>
      <c r="B57184"/>
      <c r="C57184"/>
      <c r="E57184"/>
      <c r="F57184"/>
    </row>
    <row r="57185" spans="1:6" x14ac:dyDescent="0.25">
      <c r="A57185"/>
      <c r="B57185"/>
      <c r="C57185"/>
      <c r="E57185"/>
      <c r="F57185"/>
    </row>
    <row r="57186" spans="1:6" x14ac:dyDescent="0.25">
      <c r="A57186"/>
      <c r="B57186"/>
      <c r="C57186"/>
      <c r="E57186"/>
      <c r="F57186"/>
    </row>
    <row r="57187" spans="1:6" x14ac:dyDescent="0.25">
      <c r="A57187"/>
      <c r="B57187"/>
      <c r="C57187"/>
      <c r="E57187"/>
      <c r="F57187"/>
    </row>
    <row r="57188" spans="1:6" x14ac:dyDescent="0.25">
      <c r="A57188"/>
      <c r="B57188"/>
      <c r="C57188"/>
      <c r="E57188"/>
      <c r="F57188"/>
    </row>
    <row r="57189" spans="1:6" x14ac:dyDescent="0.25">
      <c r="A57189"/>
      <c r="B57189"/>
      <c r="C57189"/>
      <c r="E57189"/>
      <c r="F57189"/>
    </row>
    <row r="57190" spans="1:6" x14ac:dyDescent="0.25">
      <c r="A57190"/>
      <c r="B57190"/>
      <c r="C57190"/>
      <c r="E57190"/>
      <c r="F57190"/>
    </row>
    <row r="57191" spans="1:6" x14ac:dyDescent="0.25">
      <c r="A57191"/>
      <c r="B57191"/>
      <c r="C57191"/>
      <c r="E57191"/>
      <c r="F57191"/>
    </row>
    <row r="57192" spans="1:6" x14ac:dyDescent="0.25">
      <c r="A57192"/>
      <c r="B57192"/>
      <c r="C57192"/>
      <c r="E57192"/>
      <c r="F57192"/>
    </row>
    <row r="57193" spans="1:6" x14ac:dyDescent="0.25">
      <c r="A57193"/>
      <c r="B57193"/>
      <c r="C57193"/>
      <c r="E57193"/>
      <c r="F57193"/>
    </row>
    <row r="57194" spans="1:6" x14ac:dyDescent="0.25">
      <c r="A57194"/>
      <c r="B57194"/>
      <c r="C57194"/>
      <c r="E57194"/>
      <c r="F57194"/>
    </row>
    <row r="57195" spans="1:6" x14ac:dyDescent="0.25">
      <c r="A57195"/>
      <c r="B57195"/>
      <c r="C57195"/>
      <c r="E57195"/>
      <c r="F57195"/>
    </row>
    <row r="57196" spans="1:6" x14ac:dyDescent="0.25">
      <c r="A57196"/>
      <c r="B57196"/>
      <c r="C57196"/>
      <c r="E57196"/>
      <c r="F57196"/>
    </row>
    <row r="57197" spans="1:6" x14ac:dyDescent="0.25">
      <c r="A57197"/>
      <c r="B57197"/>
      <c r="C57197"/>
      <c r="E57197"/>
      <c r="F57197"/>
    </row>
    <row r="57198" spans="1:6" x14ac:dyDescent="0.25">
      <c r="A57198"/>
      <c r="B57198"/>
      <c r="C57198"/>
      <c r="E57198"/>
      <c r="F57198"/>
    </row>
    <row r="57199" spans="1:6" x14ac:dyDescent="0.25">
      <c r="A57199"/>
      <c r="B57199"/>
      <c r="C57199"/>
      <c r="E57199"/>
      <c r="F57199"/>
    </row>
    <row r="57200" spans="1:6" x14ac:dyDescent="0.25">
      <c r="A57200"/>
      <c r="B57200"/>
      <c r="C57200"/>
      <c r="E57200"/>
      <c r="F57200"/>
    </row>
    <row r="57201" spans="1:6" x14ac:dyDescent="0.25">
      <c r="A57201"/>
      <c r="B57201"/>
      <c r="C57201"/>
      <c r="E57201"/>
      <c r="F57201"/>
    </row>
    <row r="57202" spans="1:6" x14ac:dyDescent="0.25">
      <c r="A57202"/>
      <c r="B57202"/>
      <c r="C57202"/>
      <c r="E57202"/>
      <c r="F57202"/>
    </row>
    <row r="57203" spans="1:6" x14ac:dyDescent="0.25">
      <c r="A57203"/>
      <c r="B57203"/>
      <c r="C57203"/>
      <c r="E57203"/>
      <c r="F57203"/>
    </row>
    <row r="57204" spans="1:6" x14ac:dyDescent="0.25">
      <c r="A57204"/>
      <c r="B57204"/>
      <c r="C57204"/>
      <c r="E57204"/>
      <c r="F57204"/>
    </row>
    <row r="57205" spans="1:6" x14ac:dyDescent="0.25">
      <c r="A57205"/>
      <c r="B57205"/>
      <c r="C57205"/>
      <c r="E57205"/>
      <c r="F57205"/>
    </row>
    <row r="57206" spans="1:6" x14ac:dyDescent="0.25">
      <c r="A57206"/>
      <c r="B57206"/>
      <c r="C57206"/>
      <c r="E57206"/>
      <c r="F57206"/>
    </row>
    <row r="57207" spans="1:6" x14ac:dyDescent="0.25">
      <c r="A57207"/>
      <c r="B57207"/>
      <c r="C57207"/>
      <c r="E57207"/>
      <c r="F57207"/>
    </row>
    <row r="57208" spans="1:6" x14ac:dyDescent="0.25">
      <c r="A57208"/>
      <c r="B57208"/>
      <c r="C57208"/>
      <c r="E57208"/>
      <c r="F57208"/>
    </row>
    <row r="57209" spans="1:6" x14ac:dyDescent="0.25">
      <c r="A57209"/>
      <c r="B57209"/>
      <c r="C57209"/>
      <c r="E57209"/>
      <c r="F57209"/>
    </row>
    <row r="57210" spans="1:6" x14ac:dyDescent="0.25">
      <c r="A57210"/>
      <c r="B57210"/>
      <c r="C57210"/>
      <c r="E57210"/>
      <c r="F57210"/>
    </row>
    <row r="57211" spans="1:6" x14ac:dyDescent="0.25">
      <c r="A57211"/>
      <c r="B57211"/>
      <c r="C57211"/>
      <c r="E57211"/>
      <c r="F57211"/>
    </row>
    <row r="57212" spans="1:6" x14ac:dyDescent="0.25">
      <c r="A57212"/>
      <c r="B57212"/>
      <c r="C57212"/>
      <c r="E57212"/>
      <c r="F57212"/>
    </row>
    <row r="57213" spans="1:6" x14ac:dyDescent="0.25">
      <c r="A57213"/>
      <c r="B57213"/>
      <c r="C57213"/>
      <c r="E57213"/>
      <c r="F57213"/>
    </row>
    <row r="57214" spans="1:6" x14ac:dyDescent="0.25">
      <c r="A57214"/>
      <c r="B57214"/>
      <c r="C57214"/>
      <c r="E57214"/>
      <c r="F57214"/>
    </row>
    <row r="57215" spans="1:6" x14ac:dyDescent="0.25">
      <c r="A57215"/>
      <c r="B57215"/>
      <c r="C57215"/>
      <c r="E57215"/>
      <c r="F57215"/>
    </row>
    <row r="57216" spans="1:6" x14ac:dyDescent="0.25">
      <c r="A57216"/>
      <c r="B57216"/>
      <c r="C57216"/>
      <c r="E57216"/>
      <c r="F57216"/>
    </row>
    <row r="57217" spans="1:6" x14ac:dyDescent="0.25">
      <c r="A57217"/>
      <c r="B57217"/>
      <c r="C57217"/>
      <c r="E57217"/>
      <c r="F57217"/>
    </row>
    <row r="57218" spans="1:6" x14ac:dyDescent="0.25">
      <c r="A57218"/>
      <c r="B57218"/>
      <c r="C57218"/>
      <c r="E57218"/>
      <c r="F57218"/>
    </row>
    <row r="57219" spans="1:6" x14ac:dyDescent="0.25">
      <c r="A57219"/>
      <c r="B57219"/>
      <c r="C57219"/>
      <c r="E57219"/>
      <c r="F57219"/>
    </row>
    <row r="57220" spans="1:6" x14ac:dyDescent="0.25">
      <c r="A57220"/>
      <c r="B57220"/>
      <c r="C57220"/>
      <c r="E57220"/>
      <c r="F57220"/>
    </row>
    <row r="57221" spans="1:6" x14ac:dyDescent="0.25">
      <c r="A57221"/>
      <c r="B57221"/>
      <c r="C57221"/>
      <c r="E57221"/>
      <c r="F57221"/>
    </row>
    <row r="57222" spans="1:6" x14ac:dyDescent="0.25">
      <c r="A57222"/>
      <c r="B57222"/>
      <c r="C57222"/>
      <c r="E57222"/>
      <c r="F57222"/>
    </row>
    <row r="57223" spans="1:6" x14ac:dyDescent="0.25">
      <c r="A57223"/>
      <c r="B57223"/>
      <c r="C57223"/>
      <c r="E57223"/>
      <c r="F57223"/>
    </row>
    <row r="57224" spans="1:6" x14ac:dyDescent="0.25">
      <c r="A57224"/>
      <c r="B57224"/>
      <c r="C57224"/>
      <c r="E57224"/>
      <c r="F57224"/>
    </row>
    <row r="57225" spans="1:6" x14ac:dyDescent="0.25">
      <c r="A57225"/>
      <c r="B57225"/>
      <c r="C57225"/>
      <c r="E57225"/>
      <c r="F57225"/>
    </row>
    <row r="57226" spans="1:6" x14ac:dyDescent="0.25">
      <c r="A57226"/>
      <c r="B57226"/>
      <c r="C57226"/>
      <c r="E57226"/>
      <c r="F57226"/>
    </row>
    <row r="57227" spans="1:6" x14ac:dyDescent="0.25">
      <c r="A57227"/>
      <c r="B57227"/>
      <c r="C57227"/>
      <c r="E57227"/>
      <c r="F57227"/>
    </row>
    <row r="57228" spans="1:6" x14ac:dyDescent="0.25">
      <c r="A57228"/>
      <c r="B57228"/>
      <c r="C57228"/>
      <c r="E57228"/>
      <c r="F57228"/>
    </row>
    <row r="57229" spans="1:6" x14ac:dyDescent="0.25">
      <c r="A57229"/>
      <c r="B57229"/>
      <c r="C57229"/>
      <c r="E57229"/>
      <c r="F57229"/>
    </row>
    <row r="57230" spans="1:6" x14ac:dyDescent="0.25">
      <c r="A57230"/>
      <c r="B57230"/>
      <c r="C57230"/>
      <c r="E57230"/>
      <c r="F57230"/>
    </row>
    <row r="57231" spans="1:6" x14ac:dyDescent="0.25">
      <c r="A57231"/>
      <c r="B57231"/>
      <c r="C57231"/>
      <c r="E57231"/>
      <c r="F57231"/>
    </row>
    <row r="57232" spans="1:6" x14ac:dyDescent="0.25">
      <c r="A57232"/>
      <c r="B57232"/>
      <c r="C57232"/>
      <c r="E57232"/>
      <c r="F57232"/>
    </row>
    <row r="57233" spans="1:6" x14ac:dyDescent="0.25">
      <c r="A57233"/>
      <c r="B57233"/>
      <c r="C57233"/>
      <c r="E57233"/>
      <c r="F57233"/>
    </row>
    <row r="57234" spans="1:6" x14ac:dyDescent="0.25">
      <c r="A57234"/>
      <c r="B57234"/>
      <c r="C57234"/>
      <c r="E57234"/>
      <c r="F57234"/>
    </row>
    <row r="57235" spans="1:6" x14ac:dyDescent="0.25">
      <c r="A57235"/>
      <c r="B57235"/>
      <c r="C57235"/>
      <c r="E57235"/>
      <c r="F57235"/>
    </row>
    <row r="57236" spans="1:6" x14ac:dyDescent="0.25">
      <c r="A57236"/>
      <c r="B57236"/>
      <c r="C57236"/>
      <c r="E57236"/>
      <c r="F57236"/>
    </row>
    <row r="57237" spans="1:6" x14ac:dyDescent="0.25">
      <c r="A57237"/>
      <c r="B57237"/>
      <c r="C57237"/>
      <c r="E57237"/>
      <c r="F57237"/>
    </row>
    <row r="57238" spans="1:6" x14ac:dyDescent="0.25">
      <c r="A57238"/>
      <c r="B57238"/>
      <c r="C57238"/>
      <c r="E57238"/>
      <c r="F57238"/>
    </row>
    <row r="57239" spans="1:6" x14ac:dyDescent="0.25">
      <c r="A57239"/>
      <c r="B57239"/>
      <c r="C57239"/>
      <c r="E57239"/>
      <c r="F57239"/>
    </row>
    <row r="57240" spans="1:6" x14ac:dyDescent="0.25">
      <c r="A57240"/>
      <c r="B57240"/>
      <c r="C57240"/>
      <c r="E57240"/>
      <c r="F57240"/>
    </row>
    <row r="57241" spans="1:6" x14ac:dyDescent="0.25">
      <c r="A57241"/>
      <c r="B57241"/>
      <c r="C57241"/>
      <c r="E57241"/>
      <c r="F57241"/>
    </row>
    <row r="57242" spans="1:6" x14ac:dyDescent="0.25">
      <c r="A57242"/>
      <c r="B57242"/>
      <c r="C57242"/>
      <c r="E57242"/>
      <c r="F57242"/>
    </row>
    <row r="57243" spans="1:6" x14ac:dyDescent="0.25">
      <c r="A57243"/>
      <c r="B57243"/>
      <c r="C57243"/>
      <c r="E57243"/>
      <c r="F57243"/>
    </row>
    <row r="57244" spans="1:6" x14ac:dyDescent="0.25">
      <c r="A57244"/>
      <c r="B57244"/>
      <c r="C57244"/>
      <c r="E57244"/>
      <c r="F57244"/>
    </row>
    <row r="57245" spans="1:6" x14ac:dyDescent="0.25">
      <c r="A57245"/>
      <c r="B57245"/>
      <c r="C57245"/>
      <c r="E57245"/>
      <c r="F57245"/>
    </row>
    <row r="57246" spans="1:6" x14ac:dyDescent="0.25">
      <c r="A57246"/>
      <c r="B57246"/>
      <c r="C57246"/>
      <c r="E57246"/>
      <c r="F57246"/>
    </row>
    <row r="57247" spans="1:6" x14ac:dyDescent="0.25">
      <c r="A57247"/>
      <c r="B57247"/>
      <c r="C57247"/>
      <c r="E57247"/>
      <c r="F57247"/>
    </row>
    <row r="57248" spans="1:6" x14ac:dyDescent="0.25">
      <c r="A57248"/>
      <c r="B57248"/>
      <c r="C57248"/>
      <c r="E57248"/>
      <c r="F57248"/>
    </row>
    <row r="57249" spans="1:6" x14ac:dyDescent="0.25">
      <c r="A57249"/>
      <c r="B57249"/>
      <c r="C57249"/>
      <c r="E57249"/>
      <c r="F57249"/>
    </row>
    <row r="57250" spans="1:6" x14ac:dyDescent="0.25">
      <c r="A57250"/>
      <c r="B57250"/>
      <c r="C57250"/>
      <c r="E57250"/>
      <c r="F57250"/>
    </row>
    <row r="57251" spans="1:6" x14ac:dyDescent="0.25">
      <c r="A57251"/>
      <c r="B57251"/>
      <c r="C57251"/>
      <c r="E57251"/>
      <c r="F57251"/>
    </row>
    <row r="57252" spans="1:6" x14ac:dyDescent="0.25">
      <c r="A57252"/>
      <c r="B57252"/>
      <c r="C57252"/>
      <c r="E57252"/>
      <c r="F57252"/>
    </row>
    <row r="57253" spans="1:6" x14ac:dyDescent="0.25">
      <c r="A57253"/>
      <c r="B57253"/>
      <c r="C57253"/>
      <c r="E57253"/>
      <c r="F57253"/>
    </row>
    <row r="57254" spans="1:6" x14ac:dyDescent="0.25">
      <c r="A57254"/>
      <c r="B57254"/>
      <c r="C57254"/>
      <c r="E57254"/>
      <c r="F57254"/>
    </row>
    <row r="57255" spans="1:6" x14ac:dyDescent="0.25">
      <c r="A57255"/>
      <c r="B57255"/>
      <c r="C57255"/>
      <c r="E57255"/>
      <c r="F57255"/>
    </row>
    <row r="57256" spans="1:6" x14ac:dyDescent="0.25">
      <c r="A57256"/>
      <c r="B57256"/>
      <c r="C57256"/>
      <c r="E57256"/>
      <c r="F57256"/>
    </row>
    <row r="57257" spans="1:6" x14ac:dyDescent="0.25">
      <c r="A57257"/>
      <c r="B57257"/>
      <c r="C57257"/>
      <c r="E57257"/>
      <c r="F57257"/>
    </row>
    <row r="57258" spans="1:6" x14ac:dyDescent="0.25">
      <c r="A57258"/>
      <c r="B57258"/>
      <c r="C57258"/>
      <c r="E57258"/>
      <c r="F57258"/>
    </row>
    <row r="57259" spans="1:6" x14ac:dyDescent="0.25">
      <c r="A57259"/>
      <c r="B57259"/>
      <c r="C57259"/>
      <c r="E57259"/>
      <c r="F57259"/>
    </row>
    <row r="57260" spans="1:6" x14ac:dyDescent="0.25">
      <c r="A57260"/>
      <c r="B57260"/>
      <c r="C57260"/>
      <c r="E57260"/>
      <c r="F57260"/>
    </row>
    <row r="57261" spans="1:6" x14ac:dyDescent="0.25">
      <c r="A57261"/>
      <c r="B57261"/>
      <c r="C57261"/>
      <c r="E57261"/>
      <c r="F57261"/>
    </row>
    <row r="57262" spans="1:6" x14ac:dyDescent="0.25">
      <c r="A57262"/>
      <c r="B57262"/>
      <c r="C57262"/>
      <c r="E57262"/>
      <c r="F57262"/>
    </row>
    <row r="57263" spans="1:6" x14ac:dyDescent="0.25">
      <c r="A57263"/>
      <c r="B57263"/>
      <c r="C57263"/>
      <c r="E57263"/>
      <c r="F57263"/>
    </row>
    <row r="57264" spans="1:6" x14ac:dyDescent="0.25">
      <c r="A57264"/>
      <c r="B57264"/>
      <c r="C57264"/>
      <c r="E57264"/>
      <c r="F57264"/>
    </row>
    <row r="57265" spans="1:6" x14ac:dyDescent="0.25">
      <c r="A57265"/>
      <c r="B57265"/>
      <c r="C57265"/>
      <c r="E57265"/>
      <c r="F57265"/>
    </row>
    <row r="57266" spans="1:6" x14ac:dyDescent="0.25">
      <c r="A57266"/>
      <c r="B57266"/>
      <c r="C57266"/>
      <c r="E57266"/>
      <c r="F57266"/>
    </row>
    <row r="57267" spans="1:6" x14ac:dyDescent="0.25">
      <c r="A57267"/>
      <c r="B57267"/>
      <c r="C57267"/>
      <c r="E57267"/>
      <c r="F57267"/>
    </row>
    <row r="57268" spans="1:6" x14ac:dyDescent="0.25">
      <c r="A57268"/>
      <c r="B57268"/>
      <c r="C57268"/>
      <c r="E57268"/>
      <c r="F57268"/>
    </row>
    <row r="57269" spans="1:6" x14ac:dyDescent="0.25">
      <c r="A57269"/>
      <c r="B57269"/>
      <c r="C57269"/>
      <c r="E57269"/>
      <c r="F57269"/>
    </row>
    <row r="57270" spans="1:6" x14ac:dyDescent="0.25">
      <c r="A57270"/>
      <c r="B57270"/>
      <c r="C57270"/>
      <c r="E57270"/>
      <c r="F57270"/>
    </row>
    <row r="57271" spans="1:6" x14ac:dyDescent="0.25">
      <c r="A57271"/>
      <c r="B57271"/>
      <c r="C57271"/>
      <c r="E57271"/>
      <c r="F57271"/>
    </row>
    <row r="57272" spans="1:6" x14ac:dyDescent="0.25">
      <c r="A57272"/>
      <c r="B57272"/>
      <c r="C57272"/>
      <c r="E57272"/>
      <c r="F57272"/>
    </row>
    <row r="57273" spans="1:6" x14ac:dyDescent="0.25">
      <c r="A57273"/>
      <c r="B57273"/>
      <c r="C57273"/>
      <c r="E57273"/>
      <c r="F57273"/>
    </row>
    <row r="57274" spans="1:6" x14ac:dyDescent="0.25">
      <c r="A57274"/>
      <c r="B57274"/>
      <c r="C57274"/>
      <c r="E57274"/>
      <c r="F57274"/>
    </row>
    <row r="57275" spans="1:6" x14ac:dyDescent="0.25">
      <c r="A57275"/>
      <c r="B57275"/>
      <c r="C57275"/>
      <c r="E57275"/>
      <c r="F57275"/>
    </row>
    <row r="57276" spans="1:6" x14ac:dyDescent="0.25">
      <c r="A57276"/>
      <c r="B57276"/>
      <c r="C57276"/>
      <c r="E57276"/>
      <c r="F57276"/>
    </row>
    <row r="57277" spans="1:6" x14ac:dyDescent="0.25">
      <c r="A57277"/>
      <c r="B57277"/>
      <c r="C57277"/>
      <c r="E57277"/>
      <c r="F57277"/>
    </row>
    <row r="57278" spans="1:6" x14ac:dyDescent="0.25">
      <c r="A57278"/>
      <c r="B57278"/>
      <c r="C57278"/>
      <c r="E57278"/>
      <c r="F57278"/>
    </row>
    <row r="57279" spans="1:6" x14ac:dyDescent="0.25">
      <c r="A57279"/>
      <c r="B57279"/>
      <c r="C57279"/>
      <c r="E57279"/>
      <c r="F57279"/>
    </row>
    <row r="57280" spans="1:6" x14ac:dyDescent="0.25">
      <c r="A57280"/>
      <c r="B57280"/>
      <c r="C57280"/>
      <c r="E57280"/>
      <c r="F57280"/>
    </row>
    <row r="57281" spans="1:6" x14ac:dyDescent="0.25">
      <c r="A57281"/>
      <c r="B57281"/>
      <c r="C57281"/>
      <c r="E57281"/>
      <c r="F57281"/>
    </row>
    <row r="57282" spans="1:6" x14ac:dyDescent="0.25">
      <c r="A57282"/>
      <c r="B57282"/>
      <c r="C57282"/>
      <c r="E57282"/>
      <c r="F57282"/>
    </row>
    <row r="57283" spans="1:6" x14ac:dyDescent="0.25">
      <c r="A57283"/>
      <c r="B57283"/>
      <c r="C57283"/>
      <c r="E57283"/>
      <c r="F57283"/>
    </row>
    <row r="57284" spans="1:6" x14ac:dyDescent="0.25">
      <c r="A57284"/>
      <c r="B57284"/>
      <c r="C57284"/>
      <c r="E57284"/>
      <c r="F57284"/>
    </row>
    <row r="57285" spans="1:6" x14ac:dyDescent="0.25">
      <c r="A57285"/>
      <c r="B57285"/>
      <c r="C57285"/>
      <c r="E57285"/>
      <c r="F57285"/>
    </row>
    <row r="57286" spans="1:6" x14ac:dyDescent="0.25">
      <c r="A57286"/>
      <c r="B57286"/>
      <c r="C57286"/>
      <c r="E57286"/>
      <c r="F57286"/>
    </row>
    <row r="57287" spans="1:6" x14ac:dyDescent="0.25">
      <c r="A57287"/>
      <c r="B57287"/>
      <c r="C57287"/>
      <c r="E57287"/>
      <c r="F57287"/>
    </row>
    <row r="57288" spans="1:6" x14ac:dyDescent="0.25">
      <c r="A57288"/>
      <c r="B57288"/>
      <c r="C57288"/>
      <c r="E57288"/>
      <c r="F57288"/>
    </row>
    <row r="57289" spans="1:6" x14ac:dyDescent="0.25">
      <c r="A57289"/>
      <c r="B57289"/>
      <c r="C57289"/>
      <c r="E57289"/>
      <c r="F57289"/>
    </row>
    <row r="57290" spans="1:6" x14ac:dyDescent="0.25">
      <c r="A57290"/>
      <c r="B57290"/>
      <c r="C57290"/>
      <c r="E57290"/>
      <c r="F57290"/>
    </row>
    <row r="57291" spans="1:6" x14ac:dyDescent="0.25">
      <c r="A57291"/>
      <c r="B57291"/>
      <c r="C57291"/>
      <c r="E57291"/>
      <c r="F57291"/>
    </row>
    <row r="57292" spans="1:6" x14ac:dyDescent="0.25">
      <c r="A57292"/>
      <c r="B57292"/>
      <c r="C57292"/>
      <c r="E57292"/>
      <c r="F57292"/>
    </row>
    <row r="57293" spans="1:6" x14ac:dyDescent="0.25">
      <c r="A57293"/>
      <c r="B57293"/>
      <c r="C57293"/>
      <c r="E57293"/>
      <c r="F57293"/>
    </row>
    <row r="57294" spans="1:6" x14ac:dyDescent="0.25">
      <c r="A57294"/>
      <c r="B57294"/>
      <c r="C57294"/>
      <c r="E57294"/>
      <c r="F57294"/>
    </row>
    <row r="57295" spans="1:6" x14ac:dyDescent="0.25">
      <c r="A57295"/>
      <c r="B57295"/>
      <c r="C57295"/>
      <c r="E57295"/>
      <c r="F57295"/>
    </row>
    <row r="57296" spans="1:6" x14ac:dyDescent="0.25">
      <c r="A57296"/>
      <c r="B57296"/>
      <c r="C57296"/>
      <c r="E57296"/>
      <c r="F57296"/>
    </row>
    <row r="57297" spans="1:6" x14ac:dyDescent="0.25">
      <c r="A57297"/>
      <c r="B57297"/>
      <c r="C57297"/>
      <c r="E57297"/>
      <c r="F57297"/>
    </row>
    <row r="57298" spans="1:6" x14ac:dyDescent="0.25">
      <c r="A57298"/>
      <c r="B57298"/>
      <c r="C57298"/>
      <c r="E57298"/>
      <c r="F57298"/>
    </row>
    <row r="57299" spans="1:6" x14ac:dyDescent="0.25">
      <c r="A57299"/>
      <c r="B57299"/>
      <c r="C57299"/>
      <c r="E57299"/>
      <c r="F57299"/>
    </row>
    <row r="57300" spans="1:6" x14ac:dyDescent="0.25">
      <c r="A57300"/>
      <c r="B57300"/>
      <c r="C57300"/>
      <c r="E57300"/>
      <c r="F57300"/>
    </row>
    <row r="57301" spans="1:6" x14ac:dyDescent="0.25">
      <c r="A57301"/>
      <c r="B57301"/>
      <c r="C57301"/>
      <c r="E57301"/>
      <c r="F57301"/>
    </row>
    <row r="57302" spans="1:6" x14ac:dyDescent="0.25">
      <c r="A57302"/>
      <c r="B57302"/>
      <c r="C57302"/>
      <c r="E57302"/>
      <c r="F57302"/>
    </row>
    <row r="57303" spans="1:6" x14ac:dyDescent="0.25">
      <c r="A57303"/>
      <c r="B57303"/>
      <c r="C57303"/>
      <c r="E57303"/>
      <c r="F57303"/>
    </row>
    <row r="57304" spans="1:6" x14ac:dyDescent="0.25">
      <c r="A57304"/>
      <c r="B57304"/>
      <c r="C57304"/>
      <c r="E57304"/>
      <c r="F57304"/>
    </row>
    <row r="57305" spans="1:6" x14ac:dyDescent="0.25">
      <c r="A57305"/>
      <c r="B57305"/>
      <c r="C57305"/>
      <c r="E57305"/>
      <c r="F57305"/>
    </row>
    <row r="57306" spans="1:6" x14ac:dyDescent="0.25">
      <c r="A57306"/>
      <c r="B57306"/>
      <c r="C57306"/>
      <c r="E57306"/>
      <c r="F57306"/>
    </row>
    <row r="57307" spans="1:6" x14ac:dyDescent="0.25">
      <c r="A57307"/>
      <c r="B57307"/>
      <c r="C57307"/>
      <c r="E57307"/>
      <c r="F57307"/>
    </row>
    <row r="57308" spans="1:6" x14ac:dyDescent="0.25">
      <c r="A57308"/>
      <c r="B57308"/>
      <c r="C57308"/>
      <c r="E57308"/>
      <c r="F57308"/>
    </row>
    <row r="57309" spans="1:6" x14ac:dyDescent="0.25">
      <c r="A57309"/>
      <c r="B57309"/>
      <c r="C57309"/>
      <c r="E57309"/>
      <c r="F57309"/>
    </row>
    <row r="57310" spans="1:6" x14ac:dyDescent="0.25">
      <c r="A57310"/>
      <c r="B57310"/>
      <c r="C57310"/>
      <c r="E57310"/>
      <c r="F57310"/>
    </row>
    <row r="57311" spans="1:6" x14ac:dyDescent="0.25">
      <c r="A57311"/>
      <c r="B57311"/>
      <c r="C57311"/>
      <c r="E57311"/>
      <c r="F57311"/>
    </row>
    <row r="57312" spans="1:6" x14ac:dyDescent="0.25">
      <c r="A57312"/>
      <c r="B57312"/>
      <c r="C57312"/>
      <c r="E57312"/>
      <c r="F57312"/>
    </row>
    <row r="57313" spans="1:6" x14ac:dyDescent="0.25">
      <c r="A57313"/>
      <c r="B57313"/>
      <c r="C57313"/>
      <c r="E57313"/>
      <c r="F57313"/>
    </row>
    <row r="57314" spans="1:6" x14ac:dyDescent="0.25">
      <c r="A57314"/>
      <c r="B57314"/>
      <c r="C57314"/>
      <c r="E57314"/>
      <c r="F57314"/>
    </row>
    <row r="57315" spans="1:6" x14ac:dyDescent="0.25">
      <c r="A57315"/>
      <c r="B57315"/>
      <c r="C57315"/>
      <c r="E57315"/>
      <c r="F57315"/>
    </row>
    <row r="57316" spans="1:6" x14ac:dyDescent="0.25">
      <c r="A57316"/>
      <c r="B57316"/>
      <c r="C57316"/>
      <c r="E57316"/>
      <c r="F57316"/>
    </row>
    <row r="57317" spans="1:6" x14ac:dyDescent="0.25">
      <c r="A57317"/>
      <c r="B57317"/>
      <c r="C57317"/>
      <c r="E57317"/>
      <c r="F57317"/>
    </row>
    <row r="57318" spans="1:6" x14ac:dyDescent="0.25">
      <c r="A57318"/>
      <c r="B57318"/>
      <c r="C57318"/>
      <c r="E57318"/>
      <c r="F57318"/>
    </row>
    <row r="57319" spans="1:6" x14ac:dyDescent="0.25">
      <c r="A57319"/>
      <c r="B57319"/>
      <c r="C57319"/>
      <c r="E57319"/>
      <c r="F57319"/>
    </row>
    <row r="57320" spans="1:6" x14ac:dyDescent="0.25">
      <c r="A57320"/>
      <c r="B57320"/>
      <c r="C57320"/>
      <c r="E57320"/>
      <c r="F57320"/>
    </row>
    <row r="57321" spans="1:6" x14ac:dyDescent="0.25">
      <c r="A57321"/>
      <c r="B57321"/>
      <c r="C57321"/>
      <c r="E57321"/>
      <c r="F57321"/>
    </row>
    <row r="57322" spans="1:6" x14ac:dyDescent="0.25">
      <c r="A57322"/>
      <c r="B57322"/>
      <c r="C57322"/>
      <c r="E57322"/>
      <c r="F57322"/>
    </row>
    <row r="57323" spans="1:6" x14ac:dyDescent="0.25">
      <c r="A57323"/>
      <c r="B57323"/>
      <c r="C57323"/>
      <c r="E57323"/>
      <c r="F57323"/>
    </row>
    <row r="57324" spans="1:6" x14ac:dyDescent="0.25">
      <c r="A57324"/>
      <c r="B57324"/>
      <c r="C57324"/>
      <c r="E57324"/>
      <c r="F57324"/>
    </row>
    <row r="57325" spans="1:6" x14ac:dyDescent="0.25">
      <c r="A57325"/>
      <c r="B57325"/>
      <c r="C57325"/>
      <c r="E57325"/>
      <c r="F57325"/>
    </row>
    <row r="57326" spans="1:6" x14ac:dyDescent="0.25">
      <c r="A57326"/>
      <c r="B57326"/>
      <c r="C57326"/>
      <c r="E57326"/>
      <c r="F57326"/>
    </row>
    <row r="57327" spans="1:6" x14ac:dyDescent="0.25">
      <c r="A57327"/>
      <c r="B57327"/>
      <c r="C57327"/>
      <c r="E57327"/>
      <c r="F57327"/>
    </row>
    <row r="57328" spans="1:6" x14ac:dyDescent="0.25">
      <c r="A57328"/>
      <c r="B57328"/>
      <c r="C57328"/>
      <c r="E57328"/>
      <c r="F57328"/>
    </row>
    <row r="57329" spans="1:6" x14ac:dyDescent="0.25">
      <c r="A57329"/>
      <c r="B57329"/>
      <c r="C57329"/>
      <c r="E57329"/>
      <c r="F57329"/>
    </row>
    <row r="57330" spans="1:6" x14ac:dyDescent="0.25">
      <c r="A57330"/>
      <c r="B57330"/>
      <c r="C57330"/>
      <c r="E57330"/>
      <c r="F57330"/>
    </row>
    <row r="57331" spans="1:6" x14ac:dyDescent="0.25">
      <c r="A57331"/>
      <c r="B57331"/>
      <c r="C57331"/>
      <c r="E57331"/>
      <c r="F57331"/>
    </row>
    <row r="57332" spans="1:6" x14ac:dyDescent="0.25">
      <c r="A57332"/>
      <c r="B57332"/>
      <c r="C57332"/>
      <c r="E57332"/>
      <c r="F57332"/>
    </row>
    <row r="57333" spans="1:6" x14ac:dyDescent="0.25">
      <c r="A57333"/>
      <c r="B57333"/>
      <c r="C57333"/>
      <c r="E57333"/>
      <c r="F57333"/>
    </row>
    <row r="57334" spans="1:6" x14ac:dyDescent="0.25">
      <c r="A57334"/>
      <c r="B57334"/>
      <c r="C57334"/>
      <c r="E57334"/>
      <c r="F57334"/>
    </row>
    <row r="57335" spans="1:6" x14ac:dyDescent="0.25">
      <c r="A57335"/>
      <c r="B57335"/>
      <c r="C57335"/>
      <c r="E57335"/>
      <c r="F57335"/>
    </row>
    <row r="57336" spans="1:6" x14ac:dyDescent="0.25">
      <c r="A57336"/>
      <c r="B57336"/>
      <c r="C57336"/>
      <c r="E57336"/>
      <c r="F57336"/>
    </row>
    <row r="57337" spans="1:6" x14ac:dyDescent="0.25">
      <c r="A57337"/>
      <c r="B57337"/>
      <c r="C57337"/>
      <c r="E57337"/>
      <c r="F57337"/>
    </row>
    <row r="57338" spans="1:6" x14ac:dyDescent="0.25">
      <c r="A57338"/>
      <c r="B57338"/>
      <c r="C57338"/>
      <c r="E57338"/>
      <c r="F57338"/>
    </row>
    <row r="57339" spans="1:6" x14ac:dyDescent="0.25">
      <c r="A57339"/>
      <c r="B57339"/>
      <c r="C57339"/>
      <c r="E57339"/>
      <c r="F57339"/>
    </row>
    <row r="57340" spans="1:6" x14ac:dyDescent="0.25">
      <c r="A57340"/>
      <c r="B57340"/>
      <c r="C57340"/>
      <c r="E57340"/>
      <c r="F57340"/>
    </row>
    <row r="57341" spans="1:6" x14ac:dyDescent="0.25">
      <c r="A57341"/>
      <c r="B57341"/>
      <c r="C57341"/>
      <c r="E57341"/>
      <c r="F57341"/>
    </row>
    <row r="57342" spans="1:6" x14ac:dyDescent="0.25">
      <c r="A57342"/>
      <c r="B57342"/>
      <c r="C57342"/>
      <c r="E57342"/>
      <c r="F57342"/>
    </row>
    <row r="57343" spans="1:6" x14ac:dyDescent="0.25">
      <c r="A57343"/>
      <c r="B57343"/>
      <c r="C57343"/>
      <c r="E57343"/>
      <c r="F57343"/>
    </row>
    <row r="57344" spans="1:6" x14ac:dyDescent="0.25">
      <c r="A57344"/>
      <c r="B57344"/>
      <c r="C57344"/>
      <c r="E57344"/>
      <c r="F57344"/>
    </row>
    <row r="57345" spans="1:6" x14ac:dyDescent="0.25">
      <c r="A57345"/>
      <c r="B57345"/>
      <c r="C57345"/>
      <c r="E57345"/>
      <c r="F57345"/>
    </row>
    <row r="57346" spans="1:6" x14ac:dyDescent="0.25">
      <c r="A57346"/>
      <c r="B57346"/>
      <c r="C57346"/>
      <c r="E57346"/>
      <c r="F57346"/>
    </row>
    <row r="57347" spans="1:6" x14ac:dyDescent="0.25">
      <c r="A57347"/>
      <c r="B57347"/>
      <c r="C57347"/>
      <c r="E57347"/>
      <c r="F57347"/>
    </row>
    <row r="57348" spans="1:6" x14ac:dyDescent="0.25">
      <c r="A57348"/>
      <c r="B57348"/>
      <c r="C57348"/>
      <c r="E57348"/>
      <c r="F57348"/>
    </row>
    <row r="57349" spans="1:6" x14ac:dyDescent="0.25">
      <c r="A57349"/>
      <c r="B57349"/>
      <c r="C57349"/>
      <c r="E57349"/>
      <c r="F57349"/>
    </row>
    <row r="57350" spans="1:6" x14ac:dyDescent="0.25">
      <c r="A57350"/>
      <c r="B57350"/>
      <c r="C57350"/>
      <c r="E57350"/>
      <c r="F57350"/>
    </row>
    <row r="57351" spans="1:6" x14ac:dyDescent="0.25">
      <c r="A57351"/>
      <c r="B57351"/>
      <c r="C57351"/>
      <c r="E57351"/>
      <c r="F57351"/>
    </row>
    <row r="57352" spans="1:6" x14ac:dyDescent="0.25">
      <c r="A57352"/>
      <c r="B57352"/>
      <c r="C57352"/>
      <c r="E57352"/>
      <c r="F57352"/>
    </row>
    <row r="57353" spans="1:6" x14ac:dyDescent="0.25">
      <c r="A57353"/>
      <c r="B57353"/>
      <c r="C57353"/>
      <c r="E57353"/>
      <c r="F57353"/>
    </row>
    <row r="57354" spans="1:6" x14ac:dyDescent="0.25">
      <c r="A57354"/>
      <c r="B57354"/>
      <c r="C57354"/>
      <c r="E57354"/>
      <c r="F57354"/>
    </row>
    <row r="57355" spans="1:6" x14ac:dyDescent="0.25">
      <c r="A57355"/>
      <c r="B57355"/>
      <c r="C57355"/>
      <c r="E57355"/>
      <c r="F57355"/>
    </row>
    <row r="57356" spans="1:6" x14ac:dyDescent="0.25">
      <c r="A57356"/>
      <c r="B57356"/>
      <c r="C57356"/>
      <c r="E57356"/>
      <c r="F57356"/>
    </row>
    <row r="57357" spans="1:6" x14ac:dyDescent="0.25">
      <c r="A57357"/>
      <c r="B57357"/>
      <c r="C57357"/>
      <c r="E57357"/>
      <c r="F57357"/>
    </row>
    <row r="57358" spans="1:6" x14ac:dyDescent="0.25">
      <c r="A57358"/>
      <c r="B57358"/>
      <c r="C57358"/>
      <c r="E57358"/>
      <c r="F57358"/>
    </row>
    <row r="57359" spans="1:6" x14ac:dyDescent="0.25">
      <c r="A57359"/>
      <c r="B57359"/>
      <c r="C57359"/>
      <c r="E57359"/>
      <c r="F57359"/>
    </row>
    <row r="57360" spans="1:6" x14ac:dyDescent="0.25">
      <c r="A57360"/>
      <c r="B57360"/>
      <c r="C57360"/>
      <c r="E57360"/>
      <c r="F57360"/>
    </row>
    <row r="57361" spans="1:6" x14ac:dyDescent="0.25">
      <c r="A57361"/>
      <c r="B57361"/>
      <c r="C57361"/>
      <c r="E57361"/>
      <c r="F57361"/>
    </row>
    <row r="57362" spans="1:6" x14ac:dyDescent="0.25">
      <c r="A57362"/>
      <c r="B57362"/>
      <c r="C57362"/>
      <c r="E57362"/>
      <c r="F57362"/>
    </row>
    <row r="57363" spans="1:6" x14ac:dyDescent="0.25">
      <c r="A57363"/>
      <c r="B57363"/>
      <c r="C57363"/>
      <c r="E57363"/>
      <c r="F57363"/>
    </row>
    <row r="57364" spans="1:6" x14ac:dyDescent="0.25">
      <c r="A57364"/>
      <c r="B57364"/>
      <c r="C57364"/>
      <c r="E57364"/>
      <c r="F57364"/>
    </row>
    <row r="57365" spans="1:6" x14ac:dyDescent="0.25">
      <c r="A57365"/>
      <c r="B57365"/>
      <c r="C57365"/>
      <c r="E57365"/>
      <c r="F57365"/>
    </row>
    <row r="57366" spans="1:6" x14ac:dyDescent="0.25">
      <c r="A57366"/>
      <c r="B57366"/>
      <c r="C57366"/>
      <c r="E57366"/>
      <c r="F57366"/>
    </row>
    <row r="57367" spans="1:6" x14ac:dyDescent="0.25">
      <c r="A57367"/>
      <c r="B57367"/>
      <c r="C57367"/>
      <c r="E57367"/>
      <c r="F57367"/>
    </row>
    <row r="57368" spans="1:6" x14ac:dyDescent="0.25">
      <c r="A57368"/>
      <c r="B57368"/>
      <c r="C57368"/>
      <c r="E57368"/>
      <c r="F57368"/>
    </row>
    <row r="57369" spans="1:6" x14ac:dyDescent="0.25">
      <c r="A57369"/>
      <c r="B57369"/>
      <c r="C57369"/>
      <c r="E57369"/>
      <c r="F57369"/>
    </row>
    <row r="57370" spans="1:6" x14ac:dyDescent="0.25">
      <c r="A57370"/>
      <c r="B57370"/>
      <c r="C57370"/>
      <c r="E57370"/>
      <c r="F57370"/>
    </row>
    <row r="57371" spans="1:6" x14ac:dyDescent="0.25">
      <c r="A57371"/>
      <c r="B57371"/>
      <c r="C57371"/>
      <c r="E57371"/>
      <c r="F57371"/>
    </row>
    <row r="57372" spans="1:6" x14ac:dyDescent="0.25">
      <c r="A57372"/>
      <c r="B57372"/>
      <c r="C57372"/>
      <c r="E57372"/>
      <c r="F57372"/>
    </row>
    <row r="57373" spans="1:6" x14ac:dyDescent="0.25">
      <c r="A57373"/>
      <c r="B57373"/>
      <c r="C57373"/>
      <c r="E57373"/>
      <c r="F57373"/>
    </row>
    <row r="57374" spans="1:6" x14ac:dyDescent="0.25">
      <c r="A57374"/>
      <c r="B57374"/>
      <c r="C57374"/>
      <c r="E57374"/>
      <c r="F57374"/>
    </row>
    <row r="57375" spans="1:6" x14ac:dyDescent="0.25">
      <c r="A57375"/>
      <c r="B57375"/>
      <c r="C57375"/>
      <c r="E57375"/>
      <c r="F57375"/>
    </row>
    <row r="57376" spans="1:6" x14ac:dyDescent="0.25">
      <c r="A57376"/>
      <c r="B57376"/>
      <c r="C57376"/>
      <c r="E57376"/>
      <c r="F57376"/>
    </row>
    <row r="57377" spans="1:6" x14ac:dyDescent="0.25">
      <c r="A57377"/>
      <c r="B57377"/>
      <c r="C57377"/>
      <c r="E57377"/>
      <c r="F57377"/>
    </row>
    <row r="57378" spans="1:6" x14ac:dyDescent="0.25">
      <c r="A57378"/>
      <c r="B57378"/>
      <c r="C57378"/>
      <c r="E57378"/>
      <c r="F57378"/>
    </row>
    <row r="57379" spans="1:6" x14ac:dyDescent="0.25">
      <c r="A57379"/>
      <c r="B57379"/>
      <c r="C57379"/>
      <c r="E57379"/>
      <c r="F57379"/>
    </row>
    <row r="57380" spans="1:6" x14ac:dyDescent="0.25">
      <c r="A57380"/>
      <c r="B57380"/>
      <c r="C57380"/>
      <c r="E57380"/>
      <c r="F57380"/>
    </row>
    <row r="57381" spans="1:6" x14ac:dyDescent="0.25">
      <c r="A57381"/>
      <c r="B57381"/>
      <c r="C57381"/>
      <c r="E57381"/>
      <c r="F57381"/>
    </row>
    <row r="57382" spans="1:6" x14ac:dyDescent="0.25">
      <c r="A57382"/>
      <c r="B57382"/>
      <c r="C57382"/>
      <c r="E57382"/>
      <c r="F57382"/>
    </row>
    <row r="57383" spans="1:6" x14ac:dyDescent="0.25">
      <c r="A57383"/>
      <c r="B57383"/>
      <c r="C57383"/>
      <c r="E57383"/>
      <c r="F57383"/>
    </row>
    <row r="57384" spans="1:6" x14ac:dyDescent="0.25">
      <c r="A57384"/>
      <c r="B57384"/>
      <c r="C57384"/>
      <c r="E57384"/>
      <c r="F57384"/>
    </row>
    <row r="57385" spans="1:6" x14ac:dyDescent="0.25">
      <c r="A57385"/>
      <c r="B57385"/>
      <c r="C57385"/>
      <c r="E57385"/>
      <c r="F57385"/>
    </row>
    <row r="57386" spans="1:6" x14ac:dyDescent="0.25">
      <c r="A57386"/>
      <c r="B57386"/>
      <c r="C57386"/>
      <c r="E57386"/>
      <c r="F57386"/>
    </row>
    <row r="57387" spans="1:6" x14ac:dyDescent="0.25">
      <c r="A57387"/>
      <c r="B57387"/>
      <c r="C57387"/>
      <c r="E57387"/>
      <c r="F57387"/>
    </row>
    <row r="57388" spans="1:6" x14ac:dyDescent="0.25">
      <c r="A57388"/>
      <c r="B57388"/>
      <c r="C57388"/>
      <c r="E57388"/>
      <c r="F57388"/>
    </row>
    <row r="57389" spans="1:6" x14ac:dyDescent="0.25">
      <c r="A57389"/>
      <c r="B57389"/>
      <c r="C57389"/>
      <c r="E57389"/>
      <c r="F57389"/>
    </row>
    <row r="57390" spans="1:6" x14ac:dyDescent="0.25">
      <c r="A57390"/>
      <c r="B57390"/>
      <c r="C57390"/>
      <c r="E57390"/>
      <c r="F57390"/>
    </row>
    <row r="57391" spans="1:6" x14ac:dyDescent="0.25">
      <c r="A57391"/>
      <c r="B57391"/>
      <c r="C57391"/>
      <c r="E57391"/>
      <c r="F57391"/>
    </row>
    <row r="57392" spans="1:6" x14ac:dyDescent="0.25">
      <c r="A57392"/>
      <c r="B57392"/>
      <c r="C57392"/>
      <c r="E57392"/>
      <c r="F57392"/>
    </row>
    <row r="57393" spans="1:6" x14ac:dyDescent="0.25">
      <c r="A57393"/>
      <c r="B57393"/>
      <c r="C57393"/>
      <c r="E57393"/>
      <c r="F57393"/>
    </row>
    <row r="57394" spans="1:6" x14ac:dyDescent="0.25">
      <c r="A57394"/>
      <c r="B57394"/>
      <c r="C57394"/>
      <c r="E57394"/>
      <c r="F57394"/>
    </row>
    <row r="57395" spans="1:6" x14ac:dyDescent="0.25">
      <c r="A57395"/>
      <c r="B57395"/>
      <c r="C57395"/>
      <c r="E57395"/>
      <c r="F57395"/>
    </row>
    <row r="57396" spans="1:6" x14ac:dyDescent="0.25">
      <c r="A57396"/>
      <c r="B57396"/>
      <c r="C57396"/>
      <c r="E57396"/>
      <c r="F57396"/>
    </row>
    <row r="57397" spans="1:6" x14ac:dyDescent="0.25">
      <c r="A57397"/>
      <c r="B57397"/>
      <c r="C57397"/>
      <c r="E57397"/>
      <c r="F57397"/>
    </row>
    <row r="57398" spans="1:6" x14ac:dyDescent="0.25">
      <c r="A57398"/>
      <c r="B57398"/>
      <c r="C57398"/>
      <c r="E57398"/>
      <c r="F57398"/>
    </row>
    <row r="57399" spans="1:6" x14ac:dyDescent="0.25">
      <c r="A57399"/>
      <c r="B57399"/>
      <c r="C57399"/>
      <c r="E57399"/>
      <c r="F57399"/>
    </row>
    <row r="57400" spans="1:6" x14ac:dyDescent="0.25">
      <c r="A57400"/>
      <c r="B57400"/>
      <c r="C57400"/>
      <c r="E57400"/>
      <c r="F57400"/>
    </row>
    <row r="57401" spans="1:6" x14ac:dyDescent="0.25">
      <c r="A57401"/>
      <c r="B57401"/>
      <c r="C57401"/>
      <c r="E57401"/>
      <c r="F57401"/>
    </row>
    <row r="57402" spans="1:6" x14ac:dyDescent="0.25">
      <c r="A57402"/>
      <c r="B57402"/>
      <c r="C57402"/>
      <c r="E57402"/>
      <c r="F57402"/>
    </row>
    <row r="57403" spans="1:6" x14ac:dyDescent="0.25">
      <c r="A57403"/>
      <c r="B57403"/>
      <c r="C57403"/>
      <c r="E57403"/>
      <c r="F57403"/>
    </row>
    <row r="57404" spans="1:6" x14ac:dyDescent="0.25">
      <c r="A57404"/>
      <c r="B57404"/>
      <c r="C57404"/>
      <c r="E57404"/>
      <c r="F57404"/>
    </row>
    <row r="57405" spans="1:6" x14ac:dyDescent="0.25">
      <c r="A57405"/>
      <c r="B57405"/>
      <c r="C57405"/>
      <c r="E57405"/>
      <c r="F57405"/>
    </row>
    <row r="57406" spans="1:6" x14ac:dyDescent="0.25">
      <c r="A57406"/>
      <c r="B57406"/>
      <c r="C57406"/>
      <c r="E57406"/>
      <c r="F57406"/>
    </row>
    <row r="57407" spans="1:6" x14ac:dyDescent="0.25">
      <c r="A57407"/>
      <c r="B57407"/>
      <c r="C57407"/>
      <c r="E57407"/>
      <c r="F57407"/>
    </row>
    <row r="57408" spans="1:6" x14ac:dyDescent="0.25">
      <c r="A57408"/>
      <c r="B57408"/>
      <c r="C57408"/>
      <c r="E57408"/>
      <c r="F57408"/>
    </row>
    <row r="57409" spans="1:6" x14ac:dyDescent="0.25">
      <c r="A57409"/>
      <c r="B57409"/>
      <c r="C57409"/>
      <c r="E57409"/>
      <c r="F57409"/>
    </row>
    <row r="57410" spans="1:6" x14ac:dyDescent="0.25">
      <c r="A57410"/>
      <c r="B57410"/>
      <c r="C57410"/>
      <c r="E57410"/>
      <c r="F57410"/>
    </row>
    <row r="57411" spans="1:6" x14ac:dyDescent="0.25">
      <c r="A57411"/>
      <c r="B57411"/>
      <c r="C57411"/>
      <c r="E57411"/>
      <c r="F57411"/>
    </row>
    <row r="57412" spans="1:6" x14ac:dyDescent="0.25">
      <c r="A57412"/>
      <c r="B57412"/>
      <c r="C57412"/>
      <c r="E57412"/>
      <c r="F57412"/>
    </row>
    <row r="57413" spans="1:6" x14ac:dyDescent="0.25">
      <c r="A57413"/>
      <c r="B57413"/>
      <c r="C57413"/>
      <c r="E57413"/>
      <c r="F57413"/>
    </row>
    <row r="57414" spans="1:6" x14ac:dyDescent="0.25">
      <c r="A57414"/>
      <c r="B57414"/>
      <c r="C57414"/>
      <c r="E57414"/>
      <c r="F57414"/>
    </row>
    <row r="57415" spans="1:6" x14ac:dyDescent="0.25">
      <c r="A57415"/>
      <c r="B57415"/>
      <c r="C57415"/>
      <c r="E57415"/>
      <c r="F57415"/>
    </row>
    <row r="57416" spans="1:6" x14ac:dyDescent="0.25">
      <c r="A57416"/>
      <c r="B57416"/>
      <c r="C57416"/>
      <c r="E57416"/>
      <c r="F57416"/>
    </row>
    <row r="57417" spans="1:6" x14ac:dyDescent="0.25">
      <c r="A57417"/>
      <c r="B57417"/>
      <c r="C57417"/>
      <c r="E57417"/>
      <c r="F57417"/>
    </row>
    <row r="57418" spans="1:6" x14ac:dyDescent="0.25">
      <c r="A57418"/>
      <c r="B57418"/>
      <c r="C57418"/>
      <c r="E57418"/>
      <c r="F57418"/>
    </row>
    <row r="57419" spans="1:6" x14ac:dyDescent="0.25">
      <c r="A57419"/>
      <c r="B57419"/>
      <c r="C57419"/>
      <c r="E57419"/>
      <c r="F57419"/>
    </row>
    <row r="57420" spans="1:6" x14ac:dyDescent="0.25">
      <c r="A57420"/>
      <c r="B57420"/>
      <c r="C57420"/>
      <c r="E57420"/>
      <c r="F57420"/>
    </row>
    <row r="57421" spans="1:6" x14ac:dyDescent="0.25">
      <c r="A57421"/>
      <c r="B57421"/>
      <c r="C57421"/>
      <c r="E57421"/>
      <c r="F57421"/>
    </row>
    <row r="57422" spans="1:6" x14ac:dyDescent="0.25">
      <c r="A57422"/>
      <c r="B57422"/>
      <c r="C57422"/>
      <c r="E57422"/>
      <c r="F57422"/>
    </row>
    <row r="57423" spans="1:6" x14ac:dyDescent="0.25">
      <c r="A57423"/>
      <c r="B57423"/>
      <c r="C57423"/>
      <c r="E57423"/>
      <c r="F57423"/>
    </row>
    <row r="57424" spans="1:6" x14ac:dyDescent="0.25">
      <c r="A57424"/>
      <c r="B57424"/>
      <c r="C57424"/>
      <c r="E57424"/>
      <c r="F57424"/>
    </row>
    <row r="57425" spans="1:6" x14ac:dyDescent="0.25">
      <c r="A57425"/>
      <c r="B57425"/>
      <c r="C57425"/>
      <c r="E57425"/>
      <c r="F57425"/>
    </row>
    <row r="57426" spans="1:6" x14ac:dyDescent="0.25">
      <c r="A57426"/>
      <c r="B57426"/>
      <c r="C57426"/>
      <c r="E57426"/>
      <c r="F57426"/>
    </row>
    <row r="57427" spans="1:6" x14ac:dyDescent="0.25">
      <c r="A57427"/>
      <c r="B57427"/>
      <c r="C57427"/>
      <c r="E57427"/>
      <c r="F57427"/>
    </row>
    <row r="57428" spans="1:6" x14ac:dyDescent="0.25">
      <c r="A57428"/>
      <c r="B57428"/>
      <c r="C57428"/>
      <c r="E57428"/>
      <c r="F57428"/>
    </row>
    <row r="57429" spans="1:6" x14ac:dyDescent="0.25">
      <c r="A57429"/>
      <c r="B57429"/>
      <c r="C57429"/>
      <c r="E57429"/>
      <c r="F57429"/>
    </row>
    <row r="57430" spans="1:6" x14ac:dyDescent="0.25">
      <c r="A57430"/>
      <c r="B57430"/>
      <c r="C57430"/>
      <c r="E57430"/>
      <c r="F57430"/>
    </row>
    <row r="57431" spans="1:6" x14ac:dyDescent="0.25">
      <c r="A57431"/>
      <c r="B57431"/>
      <c r="C57431"/>
      <c r="E57431"/>
      <c r="F57431"/>
    </row>
    <row r="57432" spans="1:6" x14ac:dyDescent="0.25">
      <c r="A57432"/>
      <c r="B57432"/>
      <c r="C57432"/>
      <c r="E57432"/>
      <c r="F57432"/>
    </row>
    <row r="57433" spans="1:6" x14ac:dyDescent="0.25">
      <c r="A57433"/>
      <c r="B57433"/>
      <c r="C57433"/>
      <c r="E57433"/>
      <c r="F57433"/>
    </row>
    <row r="57434" spans="1:6" x14ac:dyDescent="0.25">
      <c r="A57434"/>
      <c r="B57434"/>
      <c r="C57434"/>
      <c r="E57434"/>
      <c r="F57434"/>
    </row>
    <row r="57435" spans="1:6" x14ac:dyDescent="0.25">
      <c r="A57435"/>
      <c r="B57435"/>
      <c r="C57435"/>
      <c r="E57435"/>
      <c r="F57435"/>
    </row>
    <row r="57436" spans="1:6" x14ac:dyDescent="0.25">
      <c r="A57436"/>
      <c r="B57436"/>
      <c r="C57436"/>
      <c r="E57436"/>
      <c r="F57436"/>
    </row>
    <row r="57437" spans="1:6" x14ac:dyDescent="0.25">
      <c r="A57437"/>
      <c r="B57437"/>
      <c r="C57437"/>
      <c r="E57437"/>
      <c r="F57437"/>
    </row>
    <row r="57438" spans="1:6" x14ac:dyDescent="0.25">
      <c r="A57438"/>
      <c r="B57438"/>
      <c r="C57438"/>
      <c r="E57438"/>
      <c r="F57438"/>
    </row>
    <row r="57439" spans="1:6" x14ac:dyDescent="0.25">
      <c r="A57439"/>
      <c r="B57439"/>
      <c r="C57439"/>
      <c r="E57439"/>
      <c r="F57439"/>
    </row>
    <row r="57440" spans="1:6" x14ac:dyDescent="0.25">
      <c r="A57440"/>
      <c r="B57440"/>
      <c r="C57440"/>
      <c r="E57440"/>
      <c r="F57440"/>
    </row>
    <row r="57441" spans="1:6" x14ac:dyDescent="0.25">
      <c r="A57441"/>
      <c r="B57441"/>
      <c r="C57441"/>
      <c r="E57441"/>
      <c r="F57441"/>
    </row>
    <row r="57442" spans="1:6" x14ac:dyDescent="0.25">
      <c r="A57442"/>
      <c r="B57442"/>
      <c r="C57442"/>
      <c r="E57442"/>
      <c r="F57442"/>
    </row>
    <row r="57443" spans="1:6" x14ac:dyDescent="0.25">
      <c r="A57443"/>
      <c r="B57443"/>
      <c r="C57443"/>
      <c r="E57443"/>
      <c r="F57443"/>
    </row>
    <row r="57444" spans="1:6" x14ac:dyDescent="0.25">
      <c r="A57444"/>
      <c r="B57444"/>
      <c r="C57444"/>
      <c r="E57444"/>
      <c r="F57444"/>
    </row>
    <row r="57445" spans="1:6" x14ac:dyDescent="0.25">
      <c r="A57445"/>
      <c r="B57445"/>
      <c r="C57445"/>
      <c r="E57445"/>
      <c r="F57445"/>
    </row>
    <row r="57446" spans="1:6" x14ac:dyDescent="0.25">
      <c r="A57446"/>
      <c r="B57446"/>
      <c r="C57446"/>
      <c r="E57446"/>
      <c r="F57446"/>
    </row>
    <row r="57447" spans="1:6" x14ac:dyDescent="0.25">
      <c r="A57447"/>
      <c r="B57447"/>
      <c r="C57447"/>
      <c r="E57447"/>
      <c r="F57447"/>
    </row>
    <row r="57448" spans="1:6" x14ac:dyDescent="0.25">
      <c r="A57448"/>
      <c r="B57448"/>
      <c r="C57448"/>
      <c r="E57448"/>
      <c r="F57448"/>
    </row>
    <row r="57449" spans="1:6" x14ac:dyDescent="0.25">
      <c r="A57449"/>
      <c r="B57449"/>
      <c r="C57449"/>
      <c r="E57449"/>
      <c r="F57449"/>
    </row>
    <row r="57450" spans="1:6" x14ac:dyDescent="0.25">
      <c r="A57450"/>
      <c r="B57450"/>
      <c r="C57450"/>
      <c r="E57450"/>
      <c r="F57450"/>
    </row>
    <row r="57451" spans="1:6" x14ac:dyDescent="0.25">
      <c r="A57451"/>
      <c r="B57451"/>
      <c r="C57451"/>
      <c r="E57451"/>
      <c r="F57451"/>
    </row>
    <row r="57452" spans="1:6" x14ac:dyDescent="0.25">
      <c r="A57452"/>
      <c r="B57452"/>
      <c r="C57452"/>
      <c r="E57452"/>
      <c r="F57452"/>
    </row>
    <row r="57453" spans="1:6" x14ac:dyDescent="0.25">
      <c r="A57453"/>
      <c r="B57453"/>
      <c r="C57453"/>
      <c r="E57453"/>
      <c r="F57453"/>
    </row>
    <row r="57454" spans="1:6" x14ac:dyDescent="0.25">
      <c r="A57454"/>
      <c r="B57454"/>
      <c r="C57454"/>
      <c r="E57454"/>
      <c r="F57454"/>
    </row>
    <row r="57455" spans="1:6" x14ac:dyDescent="0.25">
      <c r="A57455"/>
      <c r="B57455"/>
      <c r="C57455"/>
      <c r="E57455"/>
      <c r="F57455"/>
    </row>
    <row r="57456" spans="1:6" x14ac:dyDescent="0.25">
      <c r="A57456"/>
      <c r="B57456"/>
      <c r="C57456"/>
      <c r="E57456"/>
      <c r="F57456"/>
    </row>
    <row r="57457" spans="1:6" x14ac:dyDescent="0.25">
      <c r="A57457"/>
      <c r="B57457"/>
      <c r="C57457"/>
      <c r="E57457"/>
      <c r="F57457"/>
    </row>
    <row r="57458" spans="1:6" x14ac:dyDescent="0.25">
      <c r="A57458"/>
      <c r="B57458"/>
      <c r="C57458"/>
      <c r="E57458"/>
      <c r="F57458"/>
    </row>
    <row r="57459" spans="1:6" x14ac:dyDescent="0.25">
      <c r="A57459"/>
      <c r="B57459"/>
      <c r="C57459"/>
      <c r="E57459"/>
      <c r="F57459"/>
    </row>
    <row r="57460" spans="1:6" x14ac:dyDescent="0.25">
      <c r="A57460"/>
      <c r="B57460"/>
      <c r="C57460"/>
      <c r="E57460"/>
      <c r="F57460"/>
    </row>
    <row r="57461" spans="1:6" x14ac:dyDescent="0.25">
      <c r="A57461"/>
      <c r="B57461"/>
      <c r="C57461"/>
      <c r="E57461"/>
      <c r="F57461"/>
    </row>
    <row r="57462" spans="1:6" x14ac:dyDescent="0.25">
      <c r="A57462"/>
      <c r="B57462"/>
      <c r="C57462"/>
      <c r="E57462"/>
      <c r="F57462"/>
    </row>
    <row r="57463" spans="1:6" x14ac:dyDescent="0.25">
      <c r="A57463"/>
      <c r="B57463"/>
      <c r="C57463"/>
      <c r="E57463"/>
      <c r="F57463"/>
    </row>
    <row r="57464" spans="1:6" x14ac:dyDescent="0.25">
      <c r="A57464"/>
      <c r="B57464"/>
      <c r="C57464"/>
      <c r="E57464"/>
      <c r="F57464"/>
    </row>
    <row r="57465" spans="1:6" x14ac:dyDescent="0.25">
      <c r="A57465"/>
      <c r="B57465"/>
      <c r="C57465"/>
      <c r="E57465"/>
      <c r="F57465"/>
    </row>
    <row r="57466" spans="1:6" x14ac:dyDescent="0.25">
      <c r="A57466"/>
      <c r="B57466"/>
      <c r="C57466"/>
      <c r="E57466"/>
      <c r="F57466"/>
    </row>
    <row r="57467" spans="1:6" x14ac:dyDescent="0.25">
      <c r="A57467"/>
      <c r="B57467"/>
      <c r="C57467"/>
      <c r="E57467"/>
      <c r="F57467"/>
    </row>
    <row r="57468" spans="1:6" x14ac:dyDescent="0.25">
      <c r="A57468"/>
      <c r="B57468"/>
      <c r="C57468"/>
      <c r="E57468"/>
      <c r="F57468"/>
    </row>
    <row r="57469" spans="1:6" x14ac:dyDescent="0.25">
      <c r="A57469"/>
      <c r="B57469"/>
      <c r="C57469"/>
      <c r="E57469"/>
      <c r="F57469"/>
    </row>
    <row r="57470" spans="1:6" x14ac:dyDescent="0.25">
      <c r="A57470"/>
      <c r="B57470"/>
      <c r="C57470"/>
      <c r="E57470"/>
      <c r="F57470"/>
    </row>
    <row r="57471" spans="1:6" x14ac:dyDescent="0.25">
      <c r="A57471"/>
      <c r="B57471"/>
      <c r="C57471"/>
      <c r="E57471"/>
      <c r="F57471"/>
    </row>
    <row r="57472" spans="1:6" x14ac:dyDescent="0.25">
      <c r="A57472"/>
      <c r="B57472"/>
      <c r="C57472"/>
      <c r="E57472"/>
      <c r="F57472"/>
    </row>
    <row r="57473" spans="1:6" x14ac:dyDescent="0.25">
      <c r="A57473"/>
      <c r="B57473"/>
      <c r="C57473"/>
      <c r="E57473"/>
      <c r="F57473"/>
    </row>
    <row r="57474" spans="1:6" x14ac:dyDescent="0.25">
      <c r="A57474"/>
      <c r="B57474"/>
      <c r="C57474"/>
      <c r="E57474"/>
      <c r="F57474"/>
    </row>
    <row r="57475" spans="1:6" x14ac:dyDescent="0.25">
      <c r="A57475"/>
      <c r="B57475"/>
      <c r="C57475"/>
      <c r="E57475"/>
      <c r="F57475"/>
    </row>
    <row r="57476" spans="1:6" x14ac:dyDescent="0.25">
      <c r="A57476"/>
      <c r="B57476"/>
      <c r="C57476"/>
      <c r="E57476"/>
      <c r="F57476"/>
    </row>
    <row r="57477" spans="1:6" x14ac:dyDescent="0.25">
      <c r="A57477"/>
      <c r="B57477"/>
      <c r="C57477"/>
      <c r="E57477"/>
      <c r="F57477"/>
    </row>
    <row r="57478" spans="1:6" x14ac:dyDescent="0.25">
      <c r="A57478"/>
      <c r="B57478"/>
      <c r="C57478"/>
      <c r="E57478"/>
      <c r="F57478"/>
    </row>
    <row r="57479" spans="1:6" x14ac:dyDescent="0.25">
      <c r="A57479"/>
      <c r="B57479"/>
      <c r="C57479"/>
      <c r="E57479"/>
      <c r="F57479"/>
    </row>
    <row r="57480" spans="1:6" x14ac:dyDescent="0.25">
      <c r="A57480"/>
      <c r="B57480"/>
      <c r="C57480"/>
      <c r="E57480"/>
      <c r="F57480"/>
    </row>
    <row r="57481" spans="1:6" x14ac:dyDescent="0.25">
      <c r="A57481"/>
      <c r="B57481"/>
      <c r="C57481"/>
      <c r="E57481"/>
      <c r="F57481"/>
    </row>
    <row r="57482" spans="1:6" x14ac:dyDescent="0.25">
      <c r="A57482"/>
      <c r="B57482"/>
      <c r="C57482"/>
      <c r="E57482"/>
      <c r="F57482"/>
    </row>
    <row r="57483" spans="1:6" x14ac:dyDescent="0.25">
      <c r="A57483"/>
      <c r="B57483"/>
      <c r="C57483"/>
      <c r="E57483"/>
      <c r="F57483"/>
    </row>
    <row r="57484" spans="1:6" x14ac:dyDescent="0.25">
      <c r="A57484"/>
      <c r="B57484"/>
      <c r="C57484"/>
      <c r="E57484"/>
      <c r="F57484"/>
    </row>
    <row r="57485" spans="1:6" x14ac:dyDescent="0.25">
      <c r="A57485"/>
      <c r="B57485"/>
      <c r="C57485"/>
      <c r="E57485"/>
      <c r="F57485"/>
    </row>
    <row r="57486" spans="1:6" x14ac:dyDescent="0.25">
      <c r="A57486"/>
      <c r="B57486"/>
      <c r="C57486"/>
      <c r="E57486"/>
      <c r="F57486"/>
    </row>
    <row r="57487" spans="1:6" x14ac:dyDescent="0.25">
      <c r="A57487"/>
      <c r="B57487"/>
      <c r="C57487"/>
      <c r="E57487"/>
      <c r="F57487"/>
    </row>
    <row r="57488" spans="1:6" x14ac:dyDescent="0.25">
      <c r="A57488"/>
      <c r="B57488"/>
      <c r="C57488"/>
      <c r="E57488"/>
      <c r="F57488"/>
    </row>
    <row r="57489" spans="1:6" x14ac:dyDescent="0.25">
      <c r="A57489"/>
      <c r="B57489"/>
      <c r="C57489"/>
      <c r="E57489"/>
      <c r="F57489"/>
    </row>
    <row r="57490" spans="1:6" x14ac:dyDescent="0.25">
      <c r="A57490"/>
      <c r="B57490"/>
      <c r="C57490"/>
      <c r="E57490"/>
      <c r="F57490"/>
    </row>
    <row r="57491" spans="1:6" x14ac:dyDescent="0.25">
      <c r="A57491"/>
      <c r="B57491"/>
      <c r="C57491"/>
      <c r="E57491"/>
      <c r="F57491"/>
    </row>
    <row r="57492" spans="1:6" x14ac:dyDescent="0.25">
      <c r="A57492"/>
      <c r="B57492"/>
      <c r="C57492"/>
      <c r="E57492"/>
      <c r="F57492"/>
    </row>
    <row r="57493" spans="1:6" x14ac:dyDescent="0.25">
      <c r="A57493"/>
      <c r="B57493"/>
      <c r="C57493"/>
      <c r="E57493"/>
      <c r="F57493"/>
    </row>
    <row r="57494" spans="1:6" x14ac:dyDescent="0.25">
      <c r="A57494"/>
      <c r="B57494"/>
      <c r="C57494"/>
      <c r="E57494"/>
      <c r="F57494"/>
    </row>
    <row r="57495" spans="1:6" x14ac:dyDescent="0.25">
      <c r="A57495"/>
      <c r="B57495"/>
      <c r="C57495"/>
      <c r="E57495"/>
      <c r="F57495"/>
    </row>
    <row r="57496" spans="1:6" x14ac:dyDescent="0.25">
      <c r="A57496"/>
      <c r="B57496"/>
      <c r="C57496"/>
      <c r="E57496"/>
      <c r="F57496"/>
    </row>
    <row r="57497" spans="1:6" x14ac:dyDescent="0.25">
      <c r="A57497"/>
      <c r="B57497"/>
      <c r="C57497"/>
      <c r="E57497"/>
      <c r="F57497"/>
    </row>
    <row r="57498" spans="1:6" x14ac:dyDescent="0.25">
      <c r="A57498"/>
      <c r="B57498"/>
      <c r="C57498"/>
      <c r="E57498"/>
      <c r="F57498"/>
    </row>
    <row r="57499" spans="1:6" x14ac:dyDescent="0.25">
      <c r="A57499"/>
      <c r="B57499"/>
      <c r="C57499"/>
      <c r="E57499"/>
      <c r="F57499"/>
    </row>
    <row r="57500" spans="1:6" x14ac:dyDescent="0.25">
      <c r="A57500"/>
      <c r="B57500"/>
      <c r="C57500"/>
      <c r="E57500"/>
      <c r="F57500"/>
    </row>
    <row r="57501" spans="1:6" x14ac:dyDescent="0.25">
      <c r="A57501"/>
      <c r="B57501"/>
      <c r="C57501"/>
      <c r="E57501"/>
      <c r="F57501"/>
    </row>
    <row r="57502" spans="1:6" x14ac:dyDescent="0.25">
      <c r="A57502"/>
      <c r="B57502"/>
      <c r="C57502"/>
      <c r="E57502"/>
      <c r="F57502"/>
    </row>
    <row r="57503" spans="1:6" x14ac:dyDescent="0.25">
      <c r="A57503"/>
      <c r="B57503"/>
      <c r="C57503"/>
      <c r="E57503"/>
      <c r="F57503"/>
    </row>
    <row r="57504" spans="1:6" x14ac:dyDescent="0.25">
      <c r="A57504"/>
      <c r="B57504"/>
      <c r="C57504"/>
      <c r="E57504"/>
      <c r="F57504"/>
    </row>
    <row r="57505" spans="1:6" x14ac:dyDescent="0.25">
      <c r="A57505"/>
      <c r="B57505"/>
      <c r="C57505"/>
      <c r="E57505"/>
      <c r="F57505"/>
    </row>
    <row r="57506" spans="1:6" x14ac:dyDescent="0.25">
      <c r="A57506"/>
      <c r="B57506"/>
      <c r="C57506"/>
      <c r="E57506"/>
      <c r="F57506"/>
    </row>
    <row r="57507" spans="1:6" x14ac:dyDescent="0.25">
      <c r="A57507"/>
      <c r="B57507"/>
      <c r="C57507"/>
      <c r="E57507"/>
      <c r="F57507"/>
    </row>
    <row r="57508" spans="1:6" x14ac:dyDescent="0.25">
      <c r="A57508"/>
      <c r="B57508"/>
      <c r="C57508"/>
      <c r="E57508"/>
      <c r="F57508"/>
    </row>
    <row r="57509" spans="1:6" x14ac:dyDescent="0.25">
      <c r="A57509"/>
      <c r="B57509"/>
      <c r="C57509"/>
      <c r="E57509"/>
      <c r="F57509"/>
    </row>
    <row r="57510" spans="1:6" x14ac:dyDescent="0.25">
      <c r="A57510"/>
      <c r="B57510"/>
      <c r="C57510"/>
      <c r="E57510"/>
      <c r="F57510"/>
    </row>
    <row r="57511" spans="1:6" x14ac:dyDescent="0.25">
      <c r="A57511"/>
      <c r="B57511"/>
      <c r="C57511"/>
      <c r="E57511"/>
      <c r="F57511"/>
    </row>
    <row r="57512" spans="1:6" x14ac:dyDescent="0.25">
      <c r="A57512"/>
      <c r="B57512"/>
      <c r="C57512"/>
      <c r="E57512"/>
      <c r="F57512"/>
    </row>
    <row r="57513" spans="1:6" x14ac:dyDescent="0.25">
      <c r="A57513"/>
      <c r="B57513"/>
      <c r="C57513"/>
      <c r="E57513"/>
      <c r="F57513"/>
    </row>
    <row r="57514" spans="1:6" x14ac:dyDescent="0.25">
      <c r="A57514"/>
      <c r="B57514"/>
      <c r="C57514"/>
      <c r="E57514"/>
      <c r="F57514"/>
    </row>
    <row r="57515" spans="1:6" x14ac:dyDescent="0.25">
      <c r="A57515"/>
      <c r="B57515"/>
      <c r="C57515"/>
      <c r="E57515"/>
      <c r="F57515"/>
    </row>
    <row r="57516" spans="1:6" x14ac:dyDescent="0.25">
      <c r="A57516"/>
      <c r="B57516"/>
      <c r="C57516"/>
      <c r="E57516"/>
      <c r="F57516"/>
    </row>
    <row r="57517" spans="1:6" x14ac:dyDescent="0.25">
      <c r="A57517"/>
      <c r="B57517"/>
      <c r="C57517"/>
      <c r="E57517"/>
      <c r="F57517"/>
    </row>
    <row r="57518" spans="1:6" x14ac:dyDescent="0.25">
      <c r="A57518"/>
      <c r="B57518"/>
      <c r="C57518"/>
      <c r="E57518"/>
      <c r="F57518"/>
    </row>
    <row r="57519" spans="1:6" x14ac:dyDescent="0.25">
      <c r="A57519"/>
      <c r="B57519"/>
      <c r="C57519"/>
      <c r="E57519"/>
      <c r="F57519"/>
    </row>
    <row r="57520" spans="1:6" x14ac:dyDescent="0.25">
      <c r="A57520"/>
      <c r="B57520"/>
      <c r="C57520"/>
      <c r="E57520"/>
      <c r="F57520"/>
    </row>
    <row r="57521" spans="1:6" x14ac:dyDescent="0.25">
      <c r="A57521"/>
      <c r="B57521"/>
      <c r="C57521"/>
      <c r="E57521"/>
      <c r="F57521"/>
    </row>
    <row r="57522" spans="1:6" x14ac:dyDescent="0.25">
      <c r="A57522"/>
      <c r="B57522"/>
      <c r="C57522"/>
      <c r="E57522"/>
      <c r="F57522"/>
    </row>
    <row r="57523" spans="1:6" x14ac:dyDescent="0.25">
      <c r="A57523"/>
      <c r="B57523"/>
      <c r="C57523"/>
      <c r="E57523"/>
      <c r="F57523"/>
    </row>
    <row r="57524" spans="1:6" x14ac:dyDescent="0.25">
      <c r="A57524"/>
      <c r="B57524"/>
      <c r="C57524"/>
      <c r="E57524"/>
      <c r="F57524"/>
    </row>
    <row r="57525" spans="1:6" x14ac:dyDescent="0.25">
      <c r="A57525"/>
      <c r="B57525"/>
      <c r="C57525"/>
      <c r="E57525"/>
      <c r="F57525"/>
    </row>
    <row r="57526" spans="1:6" x14ac:dyDescent="0.25">
      <c r="A57526"/>
      <c r="B57526"/>
      <c r="C57526"/>
      <c r="E57526"/>
      <c r="F57526"/>
    </row>
    <row r="57527" spans="1:6" x14ac:dyDescent="0.25">
      <c r="A57527"/>
      <c r="B57527"/>
      <c r="C57527"/>
      <c r="E57527"/>
      <c r="F57527"/>
    </row>
    <row r="57528" spans="1:6" x14ac:dyDescent="0.25">
      <c r="A57528"/>
      <c r="B57528"/>
      <c r="C57528"/>
      <c r="E57528"/>
      <c r="F57528"/>
    </row>
    <row r="57529" spans="1:6" x14ac:dyDescent="0.25">
      <c r="A57529"/>
      <c r="B57529"/>
      <c r="C57529"/>
      <c r="E57529"/>
      <c r="F57529"/>
    </row>
    <row r="57530" spans="1:6" x14ac:dyDescent="0.25">
      <c r="A57530"/>
      <c r="B57530"/>
      <c r="C57530"/>
      <c r="E57530"/>
      <c r="F57530"/>
    </row>
    <row r="57531" spans="1:6" x14ac:dyDescent="0.25">
      <c r="A57531"/>
      <c r="B57531"/>
      <c r="C57531"/>
      <c r="E57531"/>
      <c r="F57531"/>
    </row>
    <row r="57532" spans="1:6" x14ac:dyDescent="0.25">
      <c r="A57532"/>
      <c r="B57532"/>
      <c r="C57532"/>
      <c r="E57532"/>
      <c r="F57532"/>
    </row>
    <row r="57533" spans="1:6" x14ac:dyDescent="0.25">
      <c r="A57533"/>
      <c r="B57533"/>
      <c r="C57533"/>
      <c r="E57533"/>
      <c r="F57533"/>
    </row>
    <row r="57534" spans="1:6" x14ac:dyDescent="0.25">
      <c r="A57534"/>
      <c r="B57534"/>
      <c r="C57534"/>
      <c r="E57534"/>
      <c r="F57534"/>
    </row>
    <row r="57535" spans="1:6" x14ac:dyDescent="0.25">
      <c r="A57535"/>
      <c r="B57535"/>
      <c r="C57535"/>
      <c r="E57535"/>
      <c r="F57535"/>
    </row>
    <row r="57536" spans="1:6" x14ac:dyDescent="0.25">
      <c r="A57536"/>
      <c r="B57536"/>
      <c r="C57536"/>
      <c r="E57536"/>
      <c r="F57536"/>
    </row>
    <row r="57537" spans="1:6" x14ac:dyDescent="0.25">
      <c r="A57537"/>
      <c r="B57537"/>
      <c r="C57537"/>
      <c r="E57537"/>
      <c r="F57537"/>
    </row>
    <row r="57538" spans="1:6" x14ac:dyDescent="0.25">
      <c r="A57538"/>
      <c r="B57538"/>
      <c r="C57538"/>
      <c r="E57538"/>
      <c r="F57538"/>
    </row>
    <row r="57539" spans="1:6" x14ac:dyDescent="0.25">
      <c r="A57539"/>
      <c r="B57539"/>
      <c r="C57539"/>
      <c r="E57539"/>
      <c r="F57539"/>
    </row>
    <row r="57540" spans="1:6" x14ac:dyDescent="0.25">
      <c r="A57540"/>
      <c r="B57540"/>
      <c r="C57540"/>
      <c r="E57540"/>
      <c r="F57540"/>
    </row>
    <row r="57541" spans="1:6" x14ac:dyDescent="0.25">
      <c r="A57541"/>
      <c r="B57541"/>
      <c r="C57541"/>
      <c r="E57541"/>
      <c r="F57541"/>
    </row>
    <row r="57542" spans="1:6" x14ac:dyDescent="0.25">
      <c r="A57542"/>
      <c r="B57542"/>
      <c r="C57542"/>
      <c r="E57542"/>
      <c r="F57542"/>
    </row>
    <row r="57543" spans="1:6" x14ac:dyDescent="0.25">
      <c r="A57543"/>
      <c r="B57543"/>
      <c r="C57543"/>
      <c r="E57543"/>
      <c r="F57543"/>
    </row>
    <row r="57544" spans="1:6" x14ac:dyDescent="0.25">
      <c r="A57544"/>
      <c r="B57544"/>
      <c r="C57544"/>
      <c r="E57544"/>
      <c r="F57544"/>
    </row>
    <row r="57545" spans="1:6" x14ac:dyDescent="0.25">
      <c r="A57545"/>
      <c r="B57545"/>
      <c r="C57545"/>
      <c r="E57545"/>
      <c r="F57545"/>
    </row>
    <row r="57546" spans="1:6" x14ac:dyDescent="0.25">
      <c r="A57546"/>
      <c r="B57546"/>
      <c r="C57546"/>
      <c r="E57546"/>
      <c r="F57546"/>
    </row>
    <row r="57547" spans="1:6" x14ac:dyDescent="0.25">
      <c r="A57547"/>
      <c r="B57547"/>
      <c r="C57547"/>
      <c r="E57547"/>
      <c r="F57547"/>
    </row>
    <row r="57548" spans="1:6" x14ac:dyDescent="0.25">
      <c r="A57548"/>
      <c r="B57548"/>
      <c r="C57548"/>
      <c r="E57548"/>
      <c r="F57548"/>
    </row>
    <row r="57549" spans="1:6" x14ac:dyDescent="0.25">
      <c r="A57549"/>
      <c r="B57549"/>
      <c r="C57549"/>
      <c r="E57549"/>
      <c r="F57549"/>
    </row>
    <row r="57550" spans="1:6" x14ac:dyDescent="0.25">
      <c r="A57550"/>
      <c r="B57550"/>
      <c r="C57550"/>
      <c r="E57550"/>
      <c r="F57550"/>
    </row>
    <row r="57551" spans="1:6" x14ac:dyDescent="0.25">
      <c r="A57551"/>
      <c r="B57551"/>
      <c r="C57551"/>
      <c r="E57551"/>
      <c r="F57551"/>
    </row>
    <row r="57552" spans="1:6" x14ac:dyDescent="0.25">
      <c r="A57552"/>
      <c r="B57552"/>
      <c r="C57552"/>
      <c r="E57552"/>
      <c r="F57552"/>
    </row>
    <row r="57553" spans="1:6" x14ac:dyDescent="0.25">
      <c r="A57553"/>
      <c r="B57553"/>
      <c r="C57553"/>
      <c r="E57553"/>
      <c r="F57553"/>
    </row>
    <row r="57554" spans="1:6" x14ac:dyDescent="0.25">
      <c r="A57554"/>
      <c r="B57554"/>
      <c r="C57554"/>
      <c r="E57554"/>
      <c r="F57554"/>
    </row>
    <row r="57555" spans="1:6" x14ac:dyDescent="0.25">
      <c r="A57555"/>
      <c r="B57555"/>
      <c r="C57555"/>
      <c r="E57555"/>
      <c r="F57555"/>
    </row>
    <row r="57556" spans="1:6" x14ac:dyDescent="0.25">
      <c r="A57556"/>
      <c r="B57556"/>
      <c r="C57556"/>
      <c r="E57556"/>
      <c r="F57556"/>
    </row>
    <row r="57557" spans="1:6" x14ac:dyDescent="0.25">
      <c r="A57557"/>
      <c r="B57557"/>
      <c r="C57557"/>
      <c r="E57557"/>
      <c r="F57557"/>
    </row>
    <row r="57558" spans="1:6" x14ac:dyDescent="0.25">
      <c r="A57558"/>
      <c r="B57558"/>
      <c r="C57558"/>
      <c r="E57558"/>
      <c r="F57558"/>
    </row>
    <row r="57559" spans="1:6" x14ac:dyDescent="0.25">
      <c r="A57559"/>
      <c r="B57559"/>
      <c r="C57559"/>
      <c r="E57559"/>
      <c r="F57559"/>
    </row>
    <row r="57560" spans="1:6" x14ac:dyDescent="0.25">
      <c r="A57560"/>
      <c r="B57560"/>
      <c r="C57560"/>
      <c r="E57560"/>
      <c r="F57560"/>
    </row>
    <row r="57561" spans="1:6" x14ac:dyDescent="0.25">
      <c r="A57561"/>
      <c r="B57561"/>
      <c r="C57561"/>
      <c r="E57561"/>
      <c r="F57561"/>
    </row>
    <row r="57562" spans="1:6" x14ac:dyDescent="0.25">
      <c r="A57562"/>
      <c r="B57562"/>
      <c r="C57562"/>
      <c r="E57562"/>
      <c r="F57562"/>
    </row>
    <row r="57563" spans="1:6" x14ac:dyDescent="0.25">
      <c r="A57563"/>
      <c r="B57563"/>
      <c r="C57563"/>
      <c r="E57563"/>
      <c r="F57563"/>
    </row>
    <row r="57564" spans="1:6" x14ac:dyDescent="0.25">
      <c r="A57564"/>
      <c r="B57564"/>
      <c r="C57564"/>
      <c r="E57564"/>
      <c r="F57564"/>
    </row>
    <row r="57565" spans="1:6" x14ac:dyDescent="0.25">
      <c r="A57565"/>
      <c r="B57565"/>
      <c r="C57565"/>
      <c r="E57565"/>
      <c r="F57565"/>
    </row>
    <row r="57566" spans="1:6" x14ac:dyDescent="0.25">
      <c r="A57566"/>
      <c r="B57566"/>
      <c r="C57566"/>
      <c r="E57566"/>
      <c r="F57566"/>
    </row>
    <row r="57567" spans="1:6" x14ac:dyDescent="0.25">
      <c r="A57567"/>
      <c r="B57567"/>
      <c r="C57567"/>
      <c r="E57567"/>
      <c r="F57567"/>
    </row>
    <row r="57568" spans="1:6" x14ac:dyDescent="0.25">
      <c r="A57568"/>
      <c r="B57568"/>
      <c r="C57568"/>
      <c r="E57568"/>
      <c r="F57568"/>
    </row>
    <row r="57569" spans="1:6" x14ac:dyDescent="0.25">
      <c r="A57569"/>
      <c r="B57569"/>
      <c r="C57569"/>
      <c r="E57569"/>
      <c r="F57569"/>
    </row>
    <row r="57570" spans="1:6" x14ac:dyDescent="0.25">
      <c r="A57570"/>
      <c r="B57570"/>
      <c r="C57570"/>
      <c r="E57570"/>
      <c r="F57570"/>
    </row>
    <row r="57571" spans="1:6" x14ac:dyDescent="0.25">
      <c r="A57571"/>
      <c r="B57571"/>
      <c r="C57571"/>
      <c r="E57571"/>
      <c r="F57571"/>
    </row>
    <row r="57572" spans="1:6" x14ac:dyDescent="0.25">
      <c r="A57572"/>
      <c r="B57572"/>
      <c r="C57572"/>
      <c r="E57572"/>
      <c r="F57572"/>
    </row>
    <row r="57573" spans="1:6" x14ac:dyDescent="0.25">
      <c r="A57573"/>
      <c r="B57573"/>
      <c r="C57573"/>
      <c r="E57573"/>
      <c r="F57573"/>
    </row>
    <row r="57574" spans="1:6" x14ac:dyDescent="0.25">
      <c r="A57574"/>
      <c r="B57574"/>
      <c r="C57574"/>
      <c r="E57574"/>
      <c r="F57574"/>
    </row>
    <row r="57575" spans="1:6" x14ac:dyDescent="0.25">
      <c r="A57575"/>
      <c r="B57575"/>
      <c r="C57575"/>
      <c r="E57575"/>
      <c r="F57575"/>
    </row>
    <row r="57576" spans="1:6" x14ac:dyDescent="0.25">
      <c r="A57576"/>
      <c r="B57576"/>
      <c r="C57576"/>
      <c r="E57576"/>
      <c r="F57576"/>
    </row>
    <row r="57577" spans="1:6" x14ac:dyDescent="0.25">
      <c r="A57577"/>
      <c r="B57577"/>
      <c r="C57577"/>
      <c r="E57577"/>
      <c r="F57577"/>
    </row>
    <row r="57578" spans="1:6" x14ac:dyDescent="0.25">
      <c r="A57578"/>
      <c r="B57578"/>
      <c r="C57578"/>
      <c r="E57578"/>
      <c r="F57578"/>
    </row>
    <row r="57579" spans="1:6" x14ac:dyDescent="0.25">
      <c r="A57579"/>
      <c r="B57579"/>
      <c r="C57579"/>
      <c r="E57579"/>
      <c r="F57579"/>
    </row>
    <row r="57580" spans="1:6" x14ac:dyDescent="0.25">
      <c r="A57580"/>
      <c r="B57580"/>
      <c r="C57580"/>
      <c r="E57580"/>
      <c r="F57580"/>
    </row>
    <row r="57581" spans="1:6" x14ac:dyDescent="0.25">
      <c r="A57581"/>
      <c r="B57581"/>
      <c r="C57581"/>
      <c r="E57581"/>
      <c r="F57581"/>
    </row>
    <row r="57582" spans="1:6" x14ac:dyDescent="0.25">
      <c r="A57582"/>
      <c r="B57582"/>
      <c r="C57582"/>
      <c r="E57582"/>
      <c r="F57582"/>
    </row>
    <row r="57583" spans="1:6" x14ac:dyDescent="0.25">
      <c r="A57583"/>
      <c r="B57583"/>
      <c r="C57583"/>
      <c r="E57583"/>
      <c r="F57583"/>
    </row>
    <row r="57584" spans="1:6" x14ac:dyDescent="0.25">
      <c r="A57584"/>
      <c r="B57584"/>
      <c r="C57584"/>
      <c r="E57584"/>
      <c r="F57584"/>
    </row>
    <row r="57585" spans="1:6" x14ac:dyDescent="0.25">
      <c r="A57585"/>
      <c r="B57585"/>
      <c r="C57585"/>
      <c r="E57585"/>
      <c r="F57585"/>
    </row>
    <row r="57586" spans="1:6" x14ac:dyDescent="0.25">
      <c r="A57586"/>
      <c r="B57586"/>
      <c r="C57586"/>
      <c r="E57586"/>
      <c r="F57586"/>
    </row>
    <row r="57587" spans="1:6" x14ac:dyDescent="0.25">
      <c r="A57587"/>
      <c r="B57587"/>
      <c r="C57587"/>
      <c r="E57587"/>
      <c r="F57587"/>
    </row>
    <row r="57588" spans="1:6" x14ac:dyDescent="0.25">
      <c r="A57588"/>
      <c r="B57588"/>
      <c r="C57588"/>
      <c r="E57588"/>
      <c r="F57588"/>
    </row>
    <row r="57589" spans="1:6" x14ac:dyDescent="0.25">
      <c r="A57589"/>
      <c r="B57589"/>
      <c r="C57589"/>
      <c r="E57589"/>
      <c r="F57589"/>
    </row>
    <row r="57590" spans="1:6" x14ac:dyDescent="0.25">
      <c r="A57590"/>
      <c r="B57590"/>
      <c r="C57590"/>
      <c r="E57590"/>
      <c r="F57590"/>
    </row>
    <row r="57591" spans="1:6" x14ac:dyDescent="0.25">
      <c r="A57591"/>
      <c r="B57591"/>
      <c r="C57591"/>
      <c r="E57591"/>
      <c r="F57591"/>
    </row>
    <row r="57592" spans="1:6" x14ac:dyDescent="0.25">
      <c r="A57592"/>
      <c r="B57592"/>
      <c r="C57592"/>
      <c r="E57592"/>
      <c r="F57592"/>
    </row>
    <row r="57593" spans="1:6" x14ac:dyDescent="0.25">
      <c r="A57593"/>
      <c r="B57593"/>
      <c r="C57593"/>
      <c r="E57593"/>
      <c r="F57593"/>
    </row>
    <row r="57594" spans="1:6" x14ac:dyDescent="0.25">
      <c r="A57594"/>
      <c r="B57594"/>
      <c r="C57594"/>
      <c r="E57594"/>
      <c r="F57594"/>
    </row>
    <row r="57595" spans="1:6" x14ac:dyDescent="0.25">
      <c r="A57595"/>
      <c r="B57595"/>
      <c r="C57595"/>
      <c r="E57595"/>
      <c r="F57595"/>
    </row>
    <row r="57596" spans="1:6" x14ac:dyDescent="0.25">
      <c r="A57596"/>
      <c r="B57596"/>
      <c r="C57596"/>
      <c r="E57596"/>
      <c r="F57596"/>
    </row>
    <row r="57597" spans="1:6" x14ac:dyDescent="0.25">
      <c r="A57597"/>
      <c r="B57597"/>
      <c r="C57597"/>
      <c r="E57597"/>
      <c r="F57597"/>
    </row>
    <row r="57598" spans="1:6" x14ac:dyDescent="0.25">
      <c r="A57598"/>
      <c r="B57598"/>
      <c r="C57598"/>
      <c r="E57598"/>
      <c r="F57598"/>
    </row>
    <row r="57599" spans="1:6" x14ac:dyDescent="0.25">
      <c r="A57599"/>
      <c r="B57599"/>
      <c r="C57599"/>
      <c r="E57599"/>
      <c r="F57599"/>
    </row>
    <row r="57600" spans="1:6" x14ac:dyDescent="0.25">
      <c r="A57600"/>
      <c r="B57600"/>
      <c r="C57600"/>
      <c r="E57600"/>
      <c r="F57600"/>
    </row>
    <row r="57601" spans="1:6" x14ac:dyDescent="0.25">
      <c r="A57601"/>
      <c r="B57601"/>
      <c r="C57601"/>
      <c r="E57601"/>
      <c r="F57601"/>
    </row>
    <row r="57602" spans="1:6" x14ac:dyDescent="0.25">
      <c r="A57602"/>
      <c r="B57602"/>
      <c r="C57602"/>
      <c r="E57602"/>
      <c r="F57602"/>
    </row>
    <row r="57603" spans="1:6" x14ac:dyDescent="0.25">
      <c r="A57603"/>
      <c r="B57603"/>
      <c r="C57603"/>
      <c r="E57603"/>
      <c r="F57603"/>
    </row>
    <row r="57604" spans="1:6" x14ac:dyDescent="0.25">
      <c r="A57604"/>
      <c r="B57604"/>
      <c r="C57604"/>
      <c r="E57604"/>
      <c r="F57604"/>
    </row>
    <row r="57605" spans="1:6" x14ac:dyDescent="0.25">
      <c r="A57605"/>
      <c r="B57605"/>
      <c r="C57605"/>
      <c r="E57605"/>
      <c r="F57605"/>
    </row>
    <row r="57606" spans="1:6" x14ac:dyDescent="0.25">
      <c r="A57606"/>
      <c r="B57606"/>
      <c r="C57606"/>
      <c r="E57606"/>
      <c r="F57606"/>
    </row>
    <row r="57607" spans="1:6" x14ac:dyDescent="0.25">
      <c r="A57607"/>
      <c r="B57607"/>
      <c r="C57607"/>
      <c r="E57607"/>
      <c r="F57607"/>
    </row>
    <row r="57608" spans="1:6" x14ac:dyDescent="0.25">
      <c r="A57608"/>
      <c r="B57608"/>
      <c r="C57608"/>
      <c r="E57608"/>
      <c r="F57608"/>
    </row>
    <row r="57609" spans="1:6" x14ac:dyDescent="0.25">
      <c r="A57609"/>
      <c r="B57609"/>
      <c r="C57609"/>
      <c r="E57609"/>
      <c r="F57609"/>
    </row>
    <row r="57610" spans="1:6" x14ac:dyDescent="0.25">
      <c r="A57610"/>
      <c r="B57610"/>
      <c r="C57610"/>
      <c r="E57610"/>
      <c r="F57610"/>
    </row>
    <row r="57611" spans="1:6" x14ac:dyDescent="0.25">
      <c r="A57611"/>
      <c r="B57611"/>
      <c r="C57611"/>
      <c r="E57611"/>
      <c r="F57611"/>
    </row>
    <row r="57612" spans="1:6" x14ac:dyDescent="0.25">
      <c r="A57612"/>
      <c r="B57612"/>
      <c r="C57612"/>
      <c r="E57612"/>
      <c r="F57612"/>
    </row>
    <row r="57613" spans="1:6" x14ac:dyDescent="0.25">
      <c r="A57613"/>
      <c r="B57613"/>
      <c r="C57613"/>
      <c r="E57613"/>
      <c r="F57613"/>
    </row>
    <row r="57614" spans="1:6" x14ac:dyDescent="0.25">
      <c r="A57614"/>
      <c r="B57614"/>
      <c r="C57614"/>
      <c r="E57614"/>
      <c r="F57614"/>
    </row>
    <row r="57615" spans="1:6" x14ac:dyDescent="0.25">
      <c r="A57615"/>
      <c r="B57615"/>
      <c r="C57615"/>
      <c r="E57615"/>
      <c r="F57615"/>
    </row>
    <row r="57616" spans="1:6" x14ac:dyDescent="0.25">
      <c r="A57616"/>
      <c r="B57616"/>
      <c r="C57616"/>
      <c r="E57616"/>
      <c r="F57616"/>
    </row>
    <row r="57617" spans="1:6" x14ac:dyDescent="0.25">
      <c r="A57617"/>
      <c r="B57617"/>
      <c r="C57617"/>
      <c r="E57617"/>
      <c r="F57617"/>
    </row>
    <row r="57618" spans="1:6" x14ac:dyDescent="0.25">
      <c r="A57618"/>
      <c r="B57618"/>
      <c r="C57618"/>
      <c r="E57618"/>
      <c r="F57618"/>
    </row>
    <row r="57619" spans="1:6" x14ac:dyDescent="0.25">
      <c r="A57619"/>
      <c r="B57619"/>
      <c r="C57619"/>
      <c r="E57619"/>
      <c r="F57619"/>
    </row>
    <row r="57620" spans="1:6" x14ac:dyDescent="0.25">
      <c r="A57620"/>
      <c r="B57620"/>
      <c r="C57620"/>
      <c r="E57620"/>
      <c r="F57620"/>
    </row>
    <row r="57621" spans="1:6" x14ac:dyDescent="0.25">
      <c r="A57621"/>
      <c r="B57621"/>
      <c r="C57621"/>
      <c r="E57621"/>
      <c r="F57621"/>
    </row>
    <row r="57622" spans="1:6" x14ac:dyDescent="0.25">
      <c r="A57622"/>
      <c r="B57622"/>
      <c r="C57622"/>
      <c r="E57622"/>
      <c r="F57622"/>
    </row>
    <row r="57623" spans="1:6" x14ac:dyDescent="0.25">
      <c r="A57623"/>
      <c r="B57623"/>
      <c r="C57623"/>
      <c r="E57623"/>
      <c r="F57623"/>
    </row>
    <row r="57624" spans="1:6" x14ac:dyDescent="0.25">
      <c r="A57624"/>
      <c r="B57624"/>
      <c r="C57624"/>
      <c r="E57624"/>
      <c r="F57624"/>
    </row>
    <row r="57625" spans="1:6" x14ac:dyDescent="0.25">
      <c r="A57625"/>
      <c r="B57625"/>
      <c r="C57625"/>
      <c r="E57625"/>
      <c r="F57625"/>
    </row>
    <row r="57626" spans="1:6" x14ac:dyDescent="0.25">
      <c r="A57626"/>
      <c r="B57626"/>
      <c r="C57626"/>
      <c r="E57626"/>
      <c r="F57626"/>
    </row>
    <row r="57627" spans="1:6" x14ac:dyDescent="0.25">
      <c r="A57627"/>
      <c r="B57627"/>
      <c r="C57627"/>
      <c r="E57627"/>
      <c r="F57627"/>
    </row>
    <row r="57628" spans="1:6" x14ac:dyDescent="0.25">
      <c r="A57628"/>
      <c r="B57628"/>
      <c r="C57628"/>
      <c r="E57628"/>
      <c r="F57628"/>
    </row>
    <row r="57629" spans="1:6" x14ac:dyDescent="0.25">
      <c r="A57629"/>
      <c r="B57629"/>
      <c r="C57629"/>
      <c r="E57629"/>
      <c r="F57629"/>
    </row>
    <row r="57630" spans="1:6" x14ac:dyDescent="0.25">
      <c r="A57630"/>
      <c r="B57630"/>
      <c r="C57630"/>
      <c r="E57630"/>
      <c r="F57630"/>
    </row>
    <row r="57631" spans="1:6" x14ac:dyDescent="0.25">
      <c r="A57631"/>
      <c r="B57631"/>
      <c r="C57631"/>
      <c r="E57631"/>
      <c r="F57631"/>
    </row>
    <row r="57632" spans="1:6" x14ac:dyDescent="0.25">
      <c r="A57632"/>
      <c r="B57632"/>
      <c r="C57632"/>
      <c r="E57632"/>
      <c r="F57632"/>
    </row>
    <row r="57633" spans="1:6" x14ac:dyDescent="0.25">
      <c r="A57633"/>
      <c r="B57633"/>
      <c r="C57633"/>
      <c r="E57633"/>
      <c r="F57633"/>
    </row>
    <row r="57634" spans="1:6" x14ac:dyDescent="0.25">
      <c r="A57634"/>
      <c r="B57634"/>
      <c r="C57634"/>
      <c r="E57634"/>
      <c r="F57634"/>
    </row>
    <row r="57635" spans="1:6" x14ac:dyDescent="0.25">
      <c r="A57635"/>
      <c r="B57635"/>
      <c r="C57635"/>
      <c r="E57635"/>
      <c r="F57635"/>
    </row>
    <row r="57636" spans="1:6" x14ac:dyDescent="0.25">
      <c r="A57636"/>
      <c r="B57636"/>
      <c r="C57636"/>
      <c r="E57636"/>
      <c r="F57636"/>
    </row>
    <row r="57637" spans="1:6" x14ac:dyDescent="0.25">
      <c r="A57637"/>
      <c r="B57637"/>
      <c r="C57637"/>
      <c r="E57637"/>
      <c r="F57637"/>
    </row>
    <row r="57638" spans="1:6" x14ac:dyDescent="0.25">
      <c r="A57638"/>
      <c r="B57638"/>
      <c r="C57638"/>
      <c r="E57638"/>
      <c r="F57638"/>
    </row>
    <row r="57639" spans="1:6" x14ac:dyDescent="0.25">
      <c r="A57639"/>
      <c r="B57639"/>
      <c r="C57639"/>
      <c r="E57639"/>
      <c r="F57639"/>
    </row>
    <row r="57640" spans="1:6" x14ac:dyDescent="0.25">
      <c r="A57640"/>
      <c r="B57640"/>
      <c r="C57640"/>
      <c r="E57640"/>
      <c r="F57640"/>
    </row>
    <row r="57641" spans="1:6" x14ac:dyDescent="0.25">
      <c r="A57641"/>
      <c r="B57641"/>
      <c r="C57641"/>
      <c r="E57641"/>
      <c r="F57641"/>
    </row>
    <row r="57642" spans="1:6" x14ac:dyDescent="0.25">
      <c r="A57642"/>
      <c r="B57642"/>
      <c r="C57642"/>
      <c r="E57642"/>
      <c r="F57642"/>
    </row>
    <row r="57643" spans="1:6" x14ac:dyDescent="0.25">
      <c r="A57643"/>
      <c r="B57643"/>
      <c r="C57643"/>
      <c r="E57643"/>
      <c r="F57643"/>
    </row>
    <row r="57644" spans="1:6" x14ac:dyDescent="0.25">
      <c r="A57644"/>
      <c r="B57644"/>
      <c r="C57644"/>
      <c r="E57644"/>
      <c r="F57644"/>
    </row>
    <row r="57645" spans="1:6" x14ac:dyDescent="0.25">
      <c r="A57645"/>
      <c r="B57645"/>
      <c r="C57645"/>
      <c r="E57645"/>
      <c r="F57645"/>
    </row>
    <row r="57646" spans="1:6" x14ac:dyDescent="0.25">
      <c r="A57646"/>
      <c r="B57646"/>
      <c r="C57646"/>
      <c r="E57646"/>
      <c r="F57646"/>
    </row>
    <row r="57647" spans="1:6" x14ac:dyDescent="0.25">
      <c r="A57647"/>
      <c r="B57647"/>
      <c r="C57647"/>
      <c r="E57647"/>
      <c r="F57647"/>
    </row>
    <row r="57648" spans="1:6" x14ac:dyDescent="0.25">
      <c r="A57648"/>
      <c r="B57648"/>
      <c r="C57648"/>
      <c r="E57648"/>
      <c r="F57648"/>
    </row>
    <row r="57649" spans="1:6" x14ac:dyDescent="0.25">
      <c r="A57649"/>
      <c r="B57649"/>
      <c r="C57649"/>
      <c r="E57649"/>
      <c r="F57649"/>
    </row>
    <row r="57650" spans="1:6" x14ac:dyDescent="0.25">
      <c r="A57650"/>
      <c r="B57650"/>
      <c r="C57650"/>
      <c r="E57650"/>
      <c r="F57650"/>
    </row>
    <row r="57651" spans="1:6" x14ac:dyDescent="0.25">
      <c r="A57651"/>
      <c r="B57651"/>
      <c r="C57651"/>
      <c r="E57651"/>
      <c r="F57651"/>
    </row>
    <row r="57652" spans="1:6" x14ac:dyDescent="0.25">
      <c r="A57652"/>
      <c r="B57652"/>
      <c r="C57652"/>
      <c r="E57652"/>
      <c r="F57652"/>
    </row>
    <row r="57653" spans="1:6" x14ac:dyDescent="0.25">
      <c r="A57653"/>
      <c r="B57653"/>
      <c r="C57653"/>
      <c r="E57653"/>
      <c r="F57653"/>
    </row>
    <row r="57654" spans="1:6" x14ac:dyDescent="0.25">
      <c r="A57654"/>
      <c r="B57654"/>
      <c r="C57654"/>
      <c r="E57654"/>
      <c r="F57654"/>
    </row>
    <row r="57655" spans="1:6" x14ac:dyDescent="0.25">
      <c r="A57655"/>
      <c r="B57655"/>
      <c r="C57655"/>
      <c r="E57655"/>
      <c r="F57655"/>
    </row>
    <row r="57656" spans="1:6" x14ac:dyDescent="0.25">
      <c r="A57656"/>
      <c r="B57656"/>
      <c r="C57656"/>
      <c r="E57656"/>
      <c r="F57656"/>
    </row>
    <row r="57657" spans="1:6" x14ac:dyDescent="0.25">
      <c r="A57657"/>
      <c r="B57657"/>
      <c r="C57657"/>
      <c r="E57657"/>
      <c r="F57657"/>
    </row>
    <row r="57658" spans="1:6" x14ac:dyDescent="0.25">
      <c r="A57658"/>
      <c r="B57658"/>
      <c r="C57658"/>
      <c r="E57658"/>
      <c r="F57658"/>
    </row>
    <row r="57659" spans="1:6" x14ac:dyDescent="0.25">
      <c r="A57659"/>
      <c r="B57659"/>
      <c r="C57659"/>
      <c r="E57659"/>
      <c r="F57659"/>
    </row>
    <row r="57660" spans="1:6" x14ac:dyDescent="0.25">
      <c r="A57660"/>
      <c r="B57660"/>
      <c r="C57660"/>
      <c r="E57660"/>
      <c r="F57660"/>
    </row>
    <row r="57661" spans="1:6" x14ac:dyDescent="0.25">
      <c r="A57661"/>
      <c r="B57661"/>
      <c r="C57661"/>
      <c r="E57661"/>
      <c r="F57661"/>
    </row>
    <row r="57662" spans="1:6" x14ac:dyDescent="0.25">
      <c r="A57662"/>
      <c r="B57662"/>
      <c r="C57662"/>
      <c r="E57662"/>
      <c r="F57662"/>
    </row>
    <row r="57663" spans="1:6" x14ac:dyDescent="0.25">
      <c r="A57663"/>
      <c r="B57663"/>
      <c r="C57663"/>
      <c r="E57663"/>
      <c r="F57663"/>
    </row>
    <row r="57664" spans="1:6" x14ac:dyDescent="0.25">
      <c r="A57664"/>
      <c r="B57664"/>
      <c r="C57664"/>
      <c r="E57664"/>
      <c r="F57664"/>
    </row>
    <row r="57665" spans="1:6" x14ac:dyDescent="0.25">
      <c r="A57665"/>
      <c r="B57665"/>
      <c r="C57665"/>
      <c r="E57665"/>
      <c r="F57665"/>
    </row>
    <row r="57666" spans="1:6" x14ac:dyDescent="0.25">
      <c r="A57666"/>
      <c r="B57666"/>
      <c r="C57666"/>
      <c r="E57666"/>
      <c r="F57666"/>
    </row>
    <row r="57667" spans="1:6" x14ac:dyDescent="0.25">
      <c r="A57667"/>
      <c r="B57667"/>
      <c r="C57667"/>
      <c r="E57667"/>
      <c r="F57667"/>
    </row>
    <row r="57668" spans="1:6" x14ac:dyDescent="0.25">
      <c r="A57668"/>
      <c r="B57668"/>
      <c r="C57668"/>
      <c r="E57668"/>
      <c r="F57668"/>
    </row>
    <row r="57669" spans="1:6" x14ac:dyDescent="0.25">
      <c r="A57669"/>
      <c r="B57669"/>
      <c r="C57669"/>
      <c r="E57669"/>
      <c r="F57669"/>
    </row>
    <row r="57670" spans="1:6" x14ac:dyDescent="0.25">
      <c r="A57670"/>
      <c r="B57670"/>
      <c r="C57670"/>
      <c r="E57670"/>
      <c r="F57670"/>
    </row>
    <row r="57671" spans="1:6" x14ac:dyDescent="0.25">
      <c r="A57671"/>
      <c r="B57671"/>
      <c r="C57671"/>
      <c r="E57671"/>
      <c r="F57671"/>
    </row>
    <row r="57672" spans="1:6" x14ac:dyDescent="0.25">
      <c r="A57672"/>
      <c r="B57672"/>
      <c r="C57672"/>
      <c r="E57672"/>
      <c r="F57672"/>
    </row>
    <row r="57673" spans="1:6" x14ac:dyDescent="0.25">
      <c r="A57673"/>
      <c r="B57673"/>
      <c r="C57673"/>
      <c r="E57673"/>
      <c r="F57673"/>
    </row>
    <row r="57674" spans="1:6" x14ac:dyDescent="0.25">
      <c r="A57674"/>
      <c r="B57674"/>
      <c r="C57674"/>
      <c r="E57674"/>
      <c r="F57674"/>
    </row>
    <row r="57675" spans="1:6" x14ac:dyDescent="0.25">
      <c r="A57675"/>
      <c r="B57675"/>
      <c r="C57675"/>
      <c r="E57675"/>
      <c r="F57675"/>
    </row>
    <row r="57676" spans="1:6" x14ac:dyDescent="0.25">
      <c r="A57676"/>
      <c r="B57676"/>
      <c r="C57676"/>
      <c r="E57676"/>
      <c r="F57676"/>
    </row>
    <row r="57677" spans="1:6" x14ac:dyDescent="0.25">
      <c r="A57677"/>
      <c r="B57677"/>
      <c r="C57677"/>
      <c r="E57677"/>
      <c r="F57677"/>
    </row>
    <row r="57678" spans="1:6" x14ac:dyDescent="0.25">
      <c r="A57678"/>
      <c r="B57678"/>
      <c r="C57678"/>
      <c r="E57678"/>
      <c r="F57678"/>
    </row>
    <row r="57679" spans="1:6" x14ac:dyDescent="0.25">
      <c r="A57679"/>
      <c r="B57679"/>
      <c r="C57679"/>
      <c r="E57679"/>
      <c r="F57679"/>
    </row>
    <row r="57680" spans="1:6" x14ac:dyDescent="0.25">
      <c r="A57680"/>
      <c r="B57680"/>
      <c r="C57680"/>
      <c r="E57680"/>
      <c r="F57680"/>
    </row>
    <row r="57681" spans="1:6" x14ac:dyDescent="0.25">
      <c r="A57681"/>
      <c r="B57681"/>
      <c r="C57681"/>
      <c r="E57681"/>
      <c r="F57681"/>
    </row>
    <row r="57682" spans="1:6" x14ac:dyDescent="0.25">
      <c r="A57682"/>
      <c r="B57682"/>
      <c r="C57682"/>
      <c r="E57682"/>
      <c r="F57682"/>
    </row>
    <row r="57683" spans="1:6" x14ac:dyDescent="0.25">
      <c r="A57683"/>
      <c r="B57683"/>
      <c r="C57683"/>
      <c r="E57683"/>
      <c r="F57683"/>
    </row>
    <row r="57684" spans="1:6" x14ac:dyDescent="0.25">
      <c r="A57684"/>
      <c r="B57684"/>
      <c r="C57684"/>
      <c r="E57684"/>
      <c r="F57684"/>
    </row>
    <row r="57685" spans="1:6" x14ac:dyDescent="0.25">
      <c r="A57685"/>
      <c r="B57685"/>
      <c r="C57685"/>
      <c r="E57685"/>
      <c r="F57685"/>
    </row>
    <row r="57686" spans="1:6" x14ac:dyDescent="0.25">
      <c r="A57686"/>
      <c r="B57686"/>
      <c r="C57686"/>
      <c r="E57686"/>
      <c r="F57686"/>
    </row>
    <row r="57687" spans="1:6" x14ac:dyDescent="0.25">
      <c r="A57687"/>
      <c r="B57687"/>
      <c r="C57687"/>
      <c r="E57687"/>
      <c r="F57687"/>
    </row>
    <row r="57688" spans="1:6" x14ac:dyDescent="0.25">
      <c r="A57688"/>
      <c r="B57688"/>
      <c r="C57688"/>
      <c r="E57688"/>
      <c r="F57688"/>
    </row>
    <row r="57689" spans="1:6" x14ac:dyDescent="0.25">
      <c r="A57689"/>
      <c r="B57689"/>
      <c r="C57689"/>
      <c r="E57689"/>
      <c r="F57689"/>
    </row>
    <row r="57690" spans="1:6" x14ac:dyDescent="0.25">
      <c r="A57690"/>
      <c r="B57690"/>
      <c r="C57690"/>
      <c r="E57690"/>
      <c r="F57690"/>
    </row>
    <row r="57691" spans="1:6" x14ac:dyDescent="0.25">
      <c r="A57691"/>
      <c r="B57691"/>
      <c r="C57691"/>
      <c r="E57691"/>
      <c r="F57691"/>
    </row>
    <row r="57692" spans="1:6" x14ac:dyDescent="0.25">
      <c r="A57692"/>
      <c r="B57692"/>
      <c r="C57692"/>
      <c r="E57692"/>
      <c r="F57692"/>
    </row>
    <row r="57693" spans="1:6" x14ac:dyDescent="0.25">
      <c r="A57693"/>
      <c r="B57693"/>
      <c r="C57693"/>
      <c r="E57693"/>
      <c r="F57693"/>
    </row>
    <row r="57694" spans="1:6" x14ac:dyDescent="0.25">
      <c r="A57694"/>
      <c r="B57694"/>
      <c r="C57694"/>
      <c r="E57694"/>
      <c r="F57694"/>
    </row>
    <row r="57695" spans="1:6" x14ac:dyDescent="0.25">
      <c r="A57695"/>
      <c r="B57695"/>
      <c r="C57695"/>
      <c r="E57695"/>
      <c r="F57695"/>
    </row>
    <row r="57696" spans="1:6" x14ac:dyDescent="0.25">
      <c r="A57696"/>
      <c r="B57696"/>
      <c r="C57696"/>
      <c r="E57696"/>
      <c r="F57696"/>
    </row>
    <row r="57697" spans="1:6" x14ac:dyDescent="0.25">
      <c r="A57697"/>
      <c r="B57697"/>
      <c r="C57697"/>
      <c r="E57697"/>
      <c r="F57697"/>
    </row>
    <row r="57698" spans="1:6" x14ac:dyDescent="0.25">
      <c r="A57698"/>
      <c r="B57698"/>
      <c r="C57698"/>
      <c r="E57698"/>
      <c r="F57698"/>
    </row>
    <row r="57699" spans="1:6" x14ac:dyDescent="0.25">
      <c r="A57699"/>
      <c r="B57699"/>
      <c r="C57699"/>
      <c r="E57699"/>
      <c r="F57699"/>
    </row>
    <row r="57700" spans="1:6" x14ac:dyDescent="0.25">
      <c r="A57700"/>
      <c r="B57700"/>
      <c r="C57700"/>
      <c r="E57700"/>
      <c r="F57700"/>
    </row>
    <row r="57701" spans="1:6" x14ac:dyDescent="0.25">
      <c r="A57701"/>
      <c r="B57701"/>
      <c r="C57701"/>
      <c r="E57701"/>
      <c r="F57701"/>
    </row>
    <row r="57702" spans="1:6" x14ac:dyDescent="0.25">
      <c r="A57702"/>
      <c r="B57702"/>
      <c r="C57702"/>
      <c r="E57702"/>
      <c r="F57702"/>
    </row>
    <row r="57703" spans="1:6" x14ac:dyDescent="0.25">
      <c r="A57703"/>
      <c r="B57703"/>
      <c r="C57703"/>
      <c r="E57703"/>
      <c r="F57703"/>
    </row>
    <row r="57704" spans="1:6" x14ac:dyDescent="0.25">
      <c r="A57704"/>
      <c r="B57704"/>
      <c r="C57704"/>
      <c r="E57704"/>
      <c r="F57704"/>
    </row>
    <row r="57705" spans="1:6" x14ac:dyDescent="0.25">
      <c r="A57705"/>
      <c r="B57705"/>
      <c r="C57705"/>
      <c r="E57705"/>
      <c r="F57705"/>
    </row>
    <row r="57706" spans="1:6" x14ac:dyDescent="0.25">
      <c r="A57706"/>
      <c r="B57706"/>
      <c r="C57706"/>
      <c r="E57706"/>
      <c r="F57706"/>
    </row>
    <row r="57707" spans="1:6" x14ac:dyDescent="0.25">
      <c r="A57707"/>
      <c r="B57707"/>
      <c r="C57707"/>
      <c r="E57707"/>
      <c r="F57707"/>
    </row>
    <row r="57708" spans="1:6" x14ac:dyDescent="0.25">
      <c r="A57708"/>
      <c r="B57708"/>
      <c r="C57708"/>
      <c r="E57708"/>
      <c r="F57708"/>
    </row>
    <row r="57709" spans="1:6" x14ac:dyDescent="0.25">
      <c r="A57709"/>
      <c r="B57709"/>
      <c r="C57709"/>
      <c r="E57709"/>
      <c r="F57709"/>
    </row>
    <row r="57710" spans="1:6" x14ac:dyDescent="0.25">
      <c r="A57710"/>
      <c r="B57710"/>
      <c r="C57710"/>
      <c r="E57710"/>
      <c r="F57710"/>
    </row>
    <row r="57711" spans="1:6" x14ac:dyDescent="0.25">
      <c r="A57711"/>
      <c r="B57711"/>
      <c r="C57711"/>
      <c r="E57711"/>
      <c r="F57711"/>
    </row>
    <row r="57712" spans="1:6" x14ac:dyDescent="0.25">
      <c r="A57712"/>
      <c r="B57712"/>
      <c r="C57712"/>
      <c r="E57712"/>
      <c r="F57712"/>
    </row>
    <row r="57713" spans="1:6" x14ac:dyDescent="0.25">
      <c r="A57713"/>
      <c r="B57713"/>
      <c r="C57713"/>
      <c r="E57713"/>
      <c r="F57713"/>
    </row>
    <row r="57714" spans="1:6" x14ac:dyDescent="0.25">
      <c r="A57714"/>
      <c r="B57714"/>
      <c r="C57714"/>
      <c r="E57714"/>
      <c r="F57714"/>
    </row>
    <row r="57715" spans="1:6" x14ac:dyDescent="0.25">
      <c r="A57715"/>
      <c r="B57715"/>
      <c r="C57715"/>
      <c r="E57715"/>
      <c r="F57715"/>
    </row>
    <row r="57716" spans="1:6" x14ac:dyDescent="0.25">
      <c r="A57716"/>
      <c r="B57716"/>
      <c r="C57716"/>
      <c r="E57716"/>
      <c r="F57716"/>
    </row>
    <row r="57717" spans="1:6" x14ac:dyDescent="0.25">
      <c r="A57717"/>
      <c r="B57717"/>
      <c r="C57717"/>
      <c r="E57717"/>
      <c r="F57717"/>
    </row>
    <row r="57718" spans="1:6" x14ac:dyDescent="0.25">
      <c r="A57718"/>
      <c r="B57718"/>
      <c r="C57718"/>
      <c r="E57718"/>
      <c r="F57718"/>
    </row>
    <row r="57719" spans="1:6" x14ac:dyDescent="0.25">
      <c r="A57719"/>
      <c r="B57719"/>
      <c r="C57719"/>
      <c r="E57719"/>
      <c r="F57719"/>
    </row>
    <row r="57720" spans="1:6" x14ac:dyDescent="0.25">
      <c r="A57720"/>
      <c r="B57720"/>
      <c r="C57720"/>
      <c r="E57720"/>
      <c r="F57720"/>
    </row>
    <row r="57721" spans="1:6" x14ac:dyDescent="0.25">
      <c r="A57721"/>
      <c r="B57721"/>
      <c r="C57721"/>
      <c r="E57721"/>
      <c r="F57721"/>
    </row>
    <row r="57722" spans="1:6" x14ac:dyDescent="0.25">
      <c r="A57722"/>
      <c r="B57722"/>
      <c r="C57722"/>
      <c r="E57722"/>
      <c r="F57722"/>
    </row>
    <row r="57723" spans="1:6" x14ac:dyDescent="0.25">
      <c r="A57723"/>
      <c r="B57723"/>
      <c r="C57723"/>
      <c r="E57723"/>
      <c r="F57723"/>
    </row>
    <row r="57724" spans="1:6" x14ac:dyDescent="0.25">
      <c r="A57724"/>
      <c r="B57724"/>
      <c r="C57724"/>
      <c r="E57724"/>
      <c r="F57724"/>
    </row>
    <row r="57725" spans="1:6" x14ac:dyDescent="0.25">
      <c r="A57725"/>
      <c r="B57725"/>
      <c r="C57725"/>
      <c r="E57725"/>
      <c r="F57725"/>
    </row>
    <row r="57726" spans="1:6" x14ac:dyDescent="0.25">
      <c r="A57726"/>
      <c r="B57726"/>
      <c r="C57726"/>
      <c r="E57726"/>
      <c r="F57726"/>
    </row>
    <row r="57727" spans="1:6" x14ac:dyDescent="0.25">
      <c r="A57727"/>
      <c r="B57727"/>
      <c r="C57727"/>
      <c r="E57727"/>
      <c r="F57727"/>
    </row>
    <row r="57728" spans="1:6" x14ac:dyDescent="0.25">
      <c r="A57728"/>
      <c r="B57728"/>
      <c r="C57728"/>
      <c r="E57728"/>
      <c r="F57728"/>
    </row>
    <row r="57729" spans="1:6" x14ac:dyDescent="0.25">
      <c r="A57729"/>
      <c r="B57729"/>
      <c r="C57729"/>
      <c r="E57729"/>
      <c r="F57729"/>
    </row>
    <row r="57730" spans="1:6" x14ac:dyDescent="0.25">
      <c r="A57730"/>
      <c r="B57730"/>
      <c r="C57730"/>
      <c r="E57730"/>
      <c r="F57730"/>
    </row>
    <row r="57731" spans="1:6" x14ac:dyDescent="0.25">
      <c r="A57731"/>
      <c r="B57731"/>
      <c r="C57731"/>
      <c r="E57731"/>
      <c r="F57731"/>
    </row>
    <row r="57732" spans="1:6" x14ac:dyDescent="0.25">
      <c r="A57732"/>
      <c r="B57732"/>
      <c r="C57732"/>
      <c r="E57732"/>
      <c r="F57732"/>
    </row>
    <row r="57733" spans="1:6" x14ac:dyDescent="0.25">
      <c r="A57733"/>
      <c r="B57733"/>
      <c r="C57733"/>
      <c r="E57733"/>
      <c r="F57733"/>
    </row>
    <row r="57734" spans="1:6" x14ac:dyDescent="0.25">
      <c r="A57734"/>
      <c r="B57734"/>
      <c r="C57734"/>
      <c r="E57734"/>
      <c r="F57734"/>
    </row>
    <row r="57735" spans="1:6" x14ac:dyDescent="0.25">
      <c r="A57735"/>
      <c r="B57735"/>
      <c r="C57735"/>
      <c r="E57735"/>
      <c r="F57735"/>
    </row>
    <row r="57736" spans="1:6" x14ac:dyDescent="0.25">
      <c r="A57736"/>
      <c r="B57736"/>
      <c r="C57736"/>
      <c r="E57736"/>
      <c r="F57736"/>
    </row>
    <row r="57737" spans="1:6" x14ac:dyDescent="0.25">
      <c r="A57737"/>
      <c r="B57737"/>
      <c r="C57737"/>
      <c r="E57737"/>
      <c r="F57737"/>
    </row>
    <row r="57738" spans="1:6" x14ac:dyDescent="0.25">
      <c r="A57738"/>
      <c r="B57738"/>
      <c r="C57738"/>
      <c r="E57738"/>
      <c r="F57738"/>
    </row>
    <row r="57739" spans="1:6" x14ac:dyDescent="0.25">
      <c r="A57739"/>
      <c r="B57739"/>
      <c r="C57739"/>
      <c r="E57739"/>
      <c r="F57739"/>
    </row>
    <row r="57740" spans="1:6" x14ac:dyDescent="0.25">
      <c r="A57740"/>
      <c r="B57740"/>
      <c r="C57740"/>
      <c r="E57740"/>
      <c r="F57740"/>
    </row>
    <row r="57741" spans="1:6" x14ac:dyDescent="0.25">
      <c r="A57741"/>
      <c r="B57741"/>
      <c r="C57741"/>
      <c r="E57741"/>
      <c r="F57741"/>
    </row>
    <row r="57742" spans="1:6" x14ac:dyDescent="0.25">
      <c r="A57742"/>
      <c r="B57742"/>
      <c r="C57742"/>
      <c r="E57742"/>
      <c r="F57742"/>
    </row>
    <row r="57743" spans="1:6" x14ac:dyDescent="0.25">
      <c r="A57743"/>
      <c r="B57743"/>
      <c r="C57743"/>
      <c r="E57743"/>
      <c r="F57743"/>
    </row>
    <row r="57744" spans="1:6" x14ac:dyDescent="0.25">
      <c r="A57744"/>
      <c r="B57744"/>
      <c r="C57744"/>
      <c r="E57744"/>
      <c r="F57744"/>
    </row>
    <row r="57745" spans="1:6" x14ac:dyDescent="0.25">
      <c r="A57745"/>
      <c r="B57745"/>
      <c r="C57745"/>
      <c r="E57745"/>
      <c r="F57745"/>
    </row>
    <row r="57746" spans="1:6" x14ac:dyDescent="0.25">
      <c r="A57746"/>
      <c r="B57746"/>
      <c r="C57746"/>
      <c r="E57746"/>
      <c r="F57746"/>
    </row>
    <row r="57747" spans="1:6" x14ac:dyDescent="0.25">
      <c r="A57747"/>
      <c r="B57747"/>
      <c r="C57747"/>
      <c r="E57747"/>
      <c r="F57747"/>
    </row>
    <row r="57748" spans="1:6" x14ac:dyDescent="0.25">
      <c r="A57748"/>
      <c r="B57748"/>
      <c r="C57748"/>
      <c r="E57748"/>
      <c r="F57748"/>
    </row>
    <row r="57749" spans="1:6" x14ac:dyDescent="0.25">
      <c r="A57749"/>
      <c r="B57749"/>
      <c r="C57749"/>
      <c r="E57749"/>
      <c r="F57749"/>
    </row>
    <row r="57750" spans="1:6" x14ac:dyDescent="0.25">
      <c r="A57750"/>
      <c r="B57750"/>
      <c r="C57750"/>
      <c r="E57750"/>
      <c r="F57750"/>
    </row>
    <row r="57751" spans="1:6" x14ac:dyDescent="0.25">
      <c r="A57751"/>
      <c r="B57751"/>
      <c r="C57751"/>
      <c r="E57751"/>
      <c r="F57751"/>
    </row>
    <row r="57752" spans="1:6" x14ac:dyDescent="0.25">
      <c r="A57752"/>
      <c r="B57752"/>
      <c r="C57752"/>
      <c r="E57752"/>
      <c r="F57752"/>
    </row>
    <row r="57753" spans="1:6" x14ac:dyDescent="0.25">
      <c r="A57753"/>
      <c r="B57753"/>
      <c r="C57753"/>
      <c r="E57753"/>
      <c r="F57753"/>
    </row>
    <row r="57754" spans="1:6" x14ac:dyDescent="0.25">
      <c r="A57754"/>
      <c r="B57754"/>
      <c r="C57754"/>
      <c r="E57754"/>
      <c r="F57754"/>
    </row>
    <row r="57755" spans="1:6" x14ac:dyDescent="0.25">
      <c r="A57755"/>
      <c r="B57755"/>
      <c r="C57755"/>
      <c r="E57755"/>
      <c r="F57755"/>
    </row>
    <row r="57756" spans="1:6" x14ac:dyDescent="0.25">
      <c r="A57756"/>
      <c r="B57756"/>
      <c r="C57756"/>
      <c r="E57756"/>
      <c r="F57756"/>
    </row>
    <row r="57757" spans="1:6" x14ac:dyDescent="0.25">
      <c r="A57757"/>
      <c r="B57757"/>
      <c r="C57757"/>
      <c r="E57757"/>
      <c r="F57757"/>
    </row>
    <row r="57758" spans="1:6" x14ac:dyDescent="0.25">
      <c r="A57758"/>
      <c r="B57758"/>
      <c r="C57758"/>
      <c r="E57758"/>
      <c r="F57758"/>
    </row>
    <row r="57759" spans="1:6" x14ac:dyDescent="0.25">
      <c r="A57759"/>
      <c r="B57759"/>
      <c r="C57759"/>
      <c r="E57759"/>
      <c r="F57759"/>
    </row>
    <row r="57760" spans="1:6" x14ac:dyDescent="0.25">
      <c r="A57760"/>
      <c r="B57760"/>
      <c r="C57760"/>
      <c r="E57760"/>
      <c r="F57760"/>
    </row>
    <row r="57761" spans="1:6" x14ac:dyDescent="0.25">
      <c r="A57761"/>
      <c r="B57761"/>
      <c r="C57761"/>
      <c r="E57761"/>
      <c r="F57761"/>
    </row>
    <row r="57762" spans="1:6" x14ac:dyDescent="0.25">
      <c r="A57762"/>
      <c r="B57762"/>
      <c r="C57762"/>
      <c r="E57762"/>
      <c r="F57762"/>
    </row>
    <row r="57763" spans="1:6" x14ac:dyDescent="0.25">
      <c r="A57763"/>
      <c r="B57763"/>
      <c r="C57763"/>
      <c r="E57763"/>
      <c r="F57763"/>
    </row>
    <row r="57764" spans="1:6" x14ac:dyDescent="0.25">
      <c r="A57764"/>
      <c r="B57764"/>
      <c r="C57764"/>
      <c r="E57764"/>
      <c r="F57764"/>
    </row>
    <row r="57765" spans="1:6" x14ac:dyDescent="0.25">
      <c r="A57765"/>
      <c r="B57765"/>
      <c r="C57765"/>
      <c r="E57765"/>
      <c r="F57765"/>
    </row>
    <row r="57766" spans="1:6" x14ac:dyDescent="0.25">
      <c r="A57766"/>
      <c r="B57766"/>
      <c r="C57766"/>
      <c r="E57766"/>
      <c r="F57766"/>
    </row>
    <row r="57767" spans="1:6" x14ac:dyDescent="0.25">
      <c r="A57767"/>
      <c r="B57767"/>
      <c r="C57767"/>
      <c r="E57767"/>
      <c r="F57767"/>
    </row>
    <row r="57768" spans="1:6" x14ac:dyDescent="0.25">
      <c r="A57768"/>
      <c r="B57768"/>
      <c r="C57768"/>
      <c r="E57768"/>
      <c r="F57768"/>
    </row>
    <row r="57769" spans="1:6" x14ac:dyDescent="0.25">
      <c r="A57769"/>
      <c r="B57769"/>
      <c r="C57769"/>
      <c r="E57769"/>
      <c r="F57769"/>
    </row>
    <row r="57770" spans="1:6" x14ac:dyDescent="0.25">
      <c r="A57770"/>
      <c r="B57770"/>
      <c r="C57770"/>
      <c r="E57770"/>
      <c r="F57770"/>
    </row>
    <row r="57771" spans="1:6" x14ac:dyDescent="0.25">
      <c r="A57771"/>
      <c r="B57771"/>
      <c r="C57771"/>
      <c r="E57771"/>
      <c r="F57771"/>
    </row>
    <row r="57772" spans="1:6" x14ac:dyDescent="0.25">
      <c r="A57772"/>
      <c r="B57772"/>
      <c r="C57772"/>
      <c r="E57772"/>
      <c r="F57772"/>
    </row>
    <row r="57773" spans="1:6" x14ac:dyDescent="0.25">
      <c r="A57773"/>
      <c r="B57773"/>
      <c r="C57773"/>
      <c r="E57773"/>
      <c r="F57773"/>
    </row>
    <row r="57774" spans="1:6" x14ac:dyDescent="0.25">
      <c r="A57774"/>
      <c r="B57774"/>
      <c r="C57774"/>
      <c r="E57774"/>
      <c r="F57774"/>
    </row>
    <row r="57775" spans="1:6" x14ac:dyDescent="0.25">
      <c r="A57775"/>
      <c r="B57775"/>
      <c r="C57775"/>
      <c r="E57775"/>
      <c r="F57775"/>
    </row>
    <row r="57776" spans="1:6" x14ac:dyDescent="0.25">
      <c r="A57776"/>
      <c r="B57776"/>
      <c r="C57776"/>
      <c r="E57776"/>
      <c r="F57776"/>
    </row>
    <row r="57777" spans="1:6" x14ac:dyDescent="0.25">
      <c r="A57777"/>
      <c r="B57777"/>
      <c r="C57777"/>
      <c r="E57777"/>
      <c r="F57777"/>
    </row>
    <row r="57778" spans="1:6" x14ac:dyDescent="0.25">
      <c r="A57778"/>
      <c r="B57778"/>
      <c r="C57778"/>
      <c r="E57778"/>
      <c r="F57778"/>
    </row>
    <row r="57779" spans="1:6" x14ac:dyDescent="0.25">
      <c r="A57779"/>
      <c r="B57779"/>
      <c r="C57779"/>
      <c r="E57779"/>
      <c r="F57779"/>
    </row>
    <row r="57780" spans="1:6" x14ac:dyDescent="0.25">
      <c r="A57780"/>
      <c r="B57780"/>
      <c r="C57780"/>
      <c r="E57780"/>
      <c r="F57780"/>
    </row>
    <row r="57781" spans="1:6" x14ac:dyDescent="0.25">
      <c r="A57781"/>
      <c r="B57781"/>
      <c r="C57781"/>
      <c r="E57781"/>
      <c r="F57781"/>
    </row>
    <row r="57782" spans="1:6" x14ac:dyDescent="0.25">
      <c r="A57782"/>
      <c r="B57782"/>
      <c r="C57782"/>
      <c r="E57782"/>
      <c r="F57782"/>
    </row>
    <row r="57783" spans="1:6" x14ac:dyDescent="0.25">
      <c r="A57783"/>
      <c r="B57783"/>
      <c r="C57783"/>
      <c r="E57783"/>
      <c r="F57783"/>
    </row>
    <row r="57784" spans="1:6" x14ac:dyDescent="0.25">
      <c r="A57784"/>
      <c r="B57784"/>
      <c r="C57784"/>
      <c r="E57784"/>
      <c r="F57784"/>
    </row>
    <row r="57785" spans="1:6" x14ac:dyDescent="0.25">
      <c r="A57785"/>
      <c r="B57785"/>
      <c r="C57785"/>
      <c r="E57785"/>
      <c r="F57785"/>
    </row>
    <row r="57786" spans="1:6" x14ac:dyDescent="0.25">
      <c r="A57786"/>
      <c r="B57786"/>
      <c r="C57786"/>
      <c r="E57786"/>
      <c r="F57786"/>
    </row>
    <row r="57787" spans="1:6" x14ac:dyDescent="0.25">
      <c r="A57787"/>
      <c r="B57787"/>
      <c r="C57787"/>
      <c r="E57787"/>
      <c r="F57787"/>
    </row>
    <row r="57788" spans="1:6" x14ac:dyDescent="0.25">
      <c r="A57788"/>
      <c r="B57788"/>
      <c r="C57788"/>
      <c r="E57788"/>
      <c r="F57788"/>
    </row>
    <row r="57789" spans="1:6" x14ac:dyDescent="0.25">
      <c r="A57789"/>
      <c r="B57789"/>
      <c r="C57789"/>
      <c r="E57789"/>
      <c r="F57789"/>
    </row>
    <row r="57790" spans="1:6" x14ac:dyDescent="0.25">
      <c r="A57790"/>
      <c r="B57790"/>
      <c r="C57790"/>
      <c r="E57790"/>
      <c r="F57790"/>
    </row>
    <row r="57791" spans="1:6" x14ac:dyDescent="0.25">
      <c r="A57791"/>
      <c r="B57791"/>
      <c r="C57791"/>
      <c r="E57791"/>
      <c r="F57791"/>
    </row>
    <row r="57792" spans="1:6" x14ac:dyDescent="0.25">
      <c r="A57792"/>
      <c r="B57792"/>
      <c r="C57792"/>
      <c r="E57792"/>
      <c r="F57792"/>
    </row>
    <row r="57793" spans="1:6" x14ac:dyDescent="0.25">
      <c r="A57793"/>
      <c r="B57793"/>
      <c r="C57793"/>
      <c r="E57793"/>
      <c r="F57793"/>
    </row>
    <row r="57794" spans="1:6" x14ac:dyDescent="0.25">
      <c r="A57794"/>
      <c r="B57794"/>
      <c r="C57794"/>
      <c r="E57794"/>
      <c r="F57794"/>
    </row>
    <row r="57795" spans="1:6" x14ac:dyDescent="0.25">
      <c r="A57795"/>
      <c r="B57795"/>
      <c r="C57795"/>
      <c r="E57795"/>
      <c r="F57795"/>
    </row>
    <row r="57796" spans="1:6" x14ac:dyDescent="0.25">
      <c r="A57796"/>
      <c r="B57796"/>
      <c r="C57796"/>
      <c r="E57796"/>
      <c r="F57796"/>
    </row>
    <row r="57797" spans="1:6" x14ac:dyDescent="0.25">
      <c r="A57797"/>
      <c r="B57797"/>
      <c r="C57797"/>
      <c r="E57797"/>
      <c r="F57797"/>
    </row>
    <row r="57798" spans="1:6" x14ac:dyDescent="0.25">
      <c r="A57798"/>
      <c r="B57798"/>
      <c r="C57798"/>
      <c r="E57798"/>
      <c r="F57798"/>
    </row>
    <row r="57799" spans="1:6" x14ac:dyDescent="0.25">
      <c r="A57799"/>
      <c r="B57799"/>
      <c r="C57799"/>
      <c r="E57799"/>
      <c r="F57799"/>
    </row>
    <row r="57800" spans="1:6" x14ac:dyDescent="0.25">
      <c r="A57800"/>
      <c r="B57800"/>
      <c r="C57800"/>
      <c r="E57800"/>
      <c r="F57800"/>
    </row>
    <row r="57801" spans="1:6" x14ac:dyDescent="0.25">
      <c r="A57801"/>
      <c r="B57801"/>
      <c r="C57801"/>
      <c r="E57801"/>
      <c r="F57801"/>
    </row>
    <row r="57802" spans="1:6" x14ac:dyDescent="0.25">
      <c r="A57802"/>
      <c r="B57802"/>
      <c r="C57802"/>
      <c r="E57802"/>
      <c r="F57802"/>
    </row>
    <row r="57803" spans="1:6" x14ac:dyDescent="0.25">
      <c r="A57803"/>
      <c r="B57803"/>
      <c r="C57803"/>
      <c r="E57803"/>
      <c r="F57803"/>
    </row>
    <row r="57804" spans="1:6" x14ac:dyDescent="0.25">
      <c r="A57804"/>
      <c r="B57804"/>
      <c r="C57804"/>
      <c r="E57804"/>
      <c r="F57804"/>
    </row>
    <row r="57805" spans="1:6" x14ac:dyDescent="0.25">
      <c r="A57805"/>
      <c r="B57805"/>
      <c r="C57805"/>
      <c r="E57805"/>
      <c r="F57805"/>
    </row>
    <row r="57806" spans="1:6" x14ac:dyDescent="0.25">
      <c r="A57806"/>
      <c r="B57806"/>
      <c r="C57806"/>
      <c r="E57806"/>
      <c r="F57806"/>
    </row>
    <row r="57807" spans="1:6" x14ac:dyDescent="0.25">
      <c r="A57807"/>
      <c r="B57807"/>
      <c r="C57807"/>
      <c r="E57807"/>
      <c r="F57807"/>
    </row>
    <row r="57808" spans="1:6" x14ac:dyDescent="0.25">
      <c r="A57808"/>
      <c r="B57808"/>
      <c r="C57808"/>
      <c r="E57808"/>
      <c r="F57808"/>
    </row>
    <row r="57809" spans="1:6" x14ac:dyDescent="0.25">
      <c r="A57809"/>
      <c r="B57809"/>
      <c r="C57809"/>
      <c r="E57809"/>
      <c r="F57809"/>
    </row>
    <row r="57810" spans="1:6" x14ac:dyDescent="0.25">
      <c r="A57810"/>
      <c r="B57810"/>
      <c r="C57810"/>
      <c r="E57810"/>
      <c r="F57810"/>
    </row>
    <row r="57811" spans="1:6" x14ac:dyDescent="0.25">
      <c r="A57811"/>
      <c r="B57811"/>
      <c r="C57811"/>
      <c r="E57811"/>
      <c r="F57811"/>
    </row>
    <row r="57812" spans="1:6" x14ac:dyDescent="0.25">
      <c r="A57812"/>
      <c r="B57812"/>
      <c r="C57812"/>
      <c r="E57812"/>
      <c r="F57812"/>
    </row>
    <row r="57813" spans="1:6" x14ac:dyDescent="0.25">
      <c r="A57813"/>
      <c r="B57813"/>
      <c r="C57813"/>
      <c r="E57813"/>
      <c r="F57813"/>
    </row>
    <row r="57814" spans="1:6" x14ac:dyDescent="0.25">
      <c r="A57814"/>
      <c r="B57814"/>
      <c r="C57814"/>
      <c r="E57814"/>
      <c r="F57814"/>
    </row>
    <row r="57815" spans="1:6" x14ac:dyDescent="0.25">
      <c r="A57815"/>
      <c r="B57815"/>
      <c r="C57815"/>
      <c r="E57815"/>
      <c r="F57815"/>
    </row>
    <row r="57816" spans="1:6" x14ac:dyDescent="0.25">
      <c r="A57816"/>
      <c r="B57816"/>
      <c r="C57816"/>
      <c r="E57816"/>
      <c r="F57816"/>
    </row>
    <row r="57817" spans="1:6" x14ac:dyDescent="0.25">
      <c r="A57817"/>
      <c r="B57817"/>
      <c r="C57817"/>
      <c r="E57817"/>
      <c r="F57817"/>
    </row>
    <row r="57818" spans="1:6" x14ac:dyDescent="0.25">
      <c r="A57818"/>
      <c r="B57818"/>
      <c r="C57818"/>
      <c r="E57818"/>
      <c r="F57818"/>
    </row>
    <row r="57819" spans="1:6" x14ac:dyDescent="0.25">
      <c r="A57819"/>
      <c r="B57819"/>
      <c r="C57819"/>
      <c r="E57819"/>
      <c r="F57819"/>
    </row>
    <row r="57820" spans="1:6" x14ac:dyDescent="0.25">
      <c r="A57820"/>
      <c r="B57820"/>
      <c r="C57820"/>
      <c r="E57820"/>
      <c r="F57820"/>
    </row>
    <row r="57821" spans="1:6" x14ac:dyDescent="0.25">
      <c r="A57821"/>
      <c r="B57821"/>
      <c r="C57821"/>
      <c r="E57821"/>
      <c r="F57821"/>
    </row>
    <row r="57822" spans="1:6" x14ac:dyDescent="0.25">
      <c r="A57822"/>
      <c r="B57822"/>
      <c r="C57822"/>
      <c r="E57822"/>
      <c r="F57822"/>
    </row>
    <row r="57823" spans="1:6" x14ac:dyDescent="0.25">
      <c r="A57823"/>
      <c r="B57823"/>
      <c r="C57823"/>
      <c r="E57823"/>
      <c r="F57823"/>
    </row>
    <row r="57824" spans="1:6" x14ac:dyDescent="0.25">
      <c r="A57824"/>
      <c r="B57824"/>
      <c r="C57824"/>
      <c r="E57824"/>
      <c r="F57824"/>
    </row>
    <row r="57825" spans="1:6" x14ac:dyDescent="0.25">
      <c r="A57825"/>
      <c r="B57825"/>
      <c r="C57825"/>
      <c r="E57825"/>
      <c r="F57825"/>
    </row>
    <row r="57826" spans="1:6" x14ac:dyDescent="0.25">
      <c r="A57826"/>
      <c r="B57826"/>
      <c r="C57826"/>
      <c r="E57826"/>
      <c r="F57826"/>
    </row>
    <row r="57827" spans="1:6" x14ac:dyDescent="0.25">
      <c r="A57827"/>
      <c r="B57827"/>
      <c r="C57827"/>
      <c r="E57827"/>
      <c r="F57827"/>
    </row>
    <row r="57828" spans="1:6" x14ac:dyDescent="0.25">
      <c r="A57828"/>
      <c r="B57828"/>
      <c r="C57828"/>
      <c r="E57828"/>
      <c r="F57828"/>
    </row>
    <row r="57829" spans="1:6" x14ac:dyDescent="0.25">
      <c r="A57829"/>
      <c r="B57829"/>
      <c r="C57829"/>
      <c r="E57829"/>
      <c r="F57829"/>
    </row>
    <row r="57830" spans="1:6" x14ac:dyDescent="0.25">
      <c r="A57830"/>
      <c r="B57830"/>
      <c r="C57830"/>
      <c r="E57830"/>
      <c r="F57830"/>
    </row>
    <row r="57831" spans="1:6" x14ac:dyDescent="0.25">
      <c r="A57831"/>
      <c r="B57831"/>
      <c r="C57831"/>
      <c r="E57831"/>
      <c r="F57831"/>
    </row>
    <row r="57832" spans="1:6" x14ac:dyDescent="0.25">
      <c r="A57832"/>
      <c r="B57832"/>
      <c r="C57832"/>
      <c r="E57832"/>
      <c r="F57832"/>
    </row>
    <row r="57833" spans="1:6" x14ac:dyDescent="0.25">
      <c r="A57833"/>
      <c r="B57833"/>
      <c r="C57833"/>
      <c r="E57833"/>
      <c r="F57833"/>
    </row>
    <row r="57834" spans="1:6" x14ac:dyDescent="0.25">
      <c r="A57834"/>
      <c r="B57834"/>
      <c r="C57834"/>
      <c r="E57834"/>
      <c r="F57834"/>
    </row>
    <row r="57835" spans="1:6" x14ac:dyDescent="0.25">
      <c r="A57835"/>
      <c r="B57835"/>
      <c r="C57835"/>
      <c r="E57835"/>
      <c r="F57835"/>
    </row>
    <row r="57836" spans="1:6" x14ac:dyDescent="0.25">
      <c r="A57836"/>
      <c r="B57836"/>
      <c r="C57836"/>
      <c r="E57836"/>
      <c r="F57836"/>
    </row>
    <row r="57837" spans="1:6" x14ac:dyDescent="0.25">
      <c r="A57837"/>
      <c r="B57837"/>
      <c r="C57837"/>
      <c r="E57837"/>
      <c r="F57837"/>
    </row>
    <row r="57838" spans="1:6" x14ac:dyDescent="0.25">
      <c r="A57838"/>
      <c r="B57838"/>
      <c r="C57838"/>
      <c r="E57838"/>
      <c r="F57838"/>
    </row>
    <row r="57839" spans="1:6" x14ac:dyDescent="0.25">
      <c r="A57839"/>
      <c r="B57839"/>
      <c r="C57839"/>
      <c r="E57839"/>
      <c r="F57839"/>
    </row>
    <row r="57840" spans="1:6" x14ac:dyDescent="0.25">
      <c r="A57840"/>
      <c r="B57840"/>
      <c r="C57840"/>
      <c r="E57840"/>
      <c r="F57840"/>
    </row>
    <row r="57841" spans="1:6" x14ac:dyDescent="0.25">
      <c r="A57841"/>
      <c r="B57841"/>
      <c r="C57841"/>
      <c r="E57841"/>
      <c r="F57841"/>
    </row>
    <row r="57842" spans="1:6" x14ac:dyDescent="0.25">
      <c r="A57842"/>
      <c r="B57842"/>
      <c r="C57842"/>
      <c r="E57842"/>
      <c r="F57842"/>
    </row>
    <row r="57843" spans="1:6" x14ac:dyDescent="0.25">
      <c r="A57843"/>
      <c r="B57843"/>
      <c r="C57843"/>
      <c r="E57843"/>
      <c r="F57843"/>
    </row>
    <row r="57844" spans="1:6" x14ac:dyDescent="0.25">
      <c r="A57844"/>
      <c r="B57844"/>
      <c r="C57844"/>
      <c r="E57844"/>
      <c r="F57844"/>
    </row>
    <row r="57845" spans="1:6" x14ac:dyDescent="0.25">
      <c r="A57845"/>
      <c r="B57845"/>
      <c r="C57845"/>
      <c r="E57845"/>
      <c r="F57845"/>
    </row>
    <row r="57846" spans="1:6" x14ac:dyDescent="0.25">
      <c r="A57846"/>
      <c r="B57846"/>
      <c r="C57846"/>
      <c r="E57846"/>
      <c r="F57846"/>
    </row>
    <row r="57847" spans="1:6" x14ac:dyDescent="0.25">
      <c r="A57847"/>
      <c r="B57847"/>
      <c r="C57847"/>
      <c r="E57847"/>
      <c r="F57847"/>
    </row>
    <row r="57848" spans="1:6" x14ac:dyDescent="0.25">
      <c r="A57848"/>
      <c r="B57848"/>
      <c r="C57848"/>
      <c r="E57848"/>
      <c r="F57848"/>
    </row>
    <row r="57849" spans="1:6" x14ac:dyDescent="0.25">
      <c r="A57849"/>
      <c r="B57849"/>
      <c r="C57849"/>
      <c r="E57849"/>
      <c r="F57849"/>
    </row>
    <row r="57850" spans="1:6" x14ac:dyDescent="0.25">
      <c r="A57850"/>
      <c r="B57850"/>
      <c r="C57850"/>
      <c r="E57850"/>
      <c r="F57850"/>
    </row>
    <row r="57851" spans="1:6" x14ac:dyDescent="0.25">
      <c r="A57851"/>
      <c r="B57851"/>
      <c r="C57851"/>
      <c r="E57851"/>
      <c r="F57851"/>
    </row>
    <row r="57852" spans="1:6" x14ac:dyDescent="0.25">
      <c r="A57852"/>
      <c r="B57852"/>
      <c r="C57852"/>
      <c r="E57852"/>
      <c r="F57852"/>
    </row>
    <row r="57853" spans="1:6" x14ac:dyDescent="0.25">
      <c r="A57853"/>
      <c r="B57853"/>
      <c r="C57853"/>
      <c r="E57853"/>
      <c r="F57853"/>
    </row>
    <row r="57854" spans="1:6" x14ac:dyDescent="0.25">
      <c r="A57854"/>
      <c r="B57854"/>
      <c r="C57854"/>
      <c r="E57854"/>
      <c r="F57854"/>
    </row>
    <row r="57855" spans="1:6" x14ac:dyDescent="0.25">
      <c r="A57855"/>
      <c r="B57855"/>
      <c r="C57855"/>
      <c r="E57855"/>
      <c r="F57855"/>
    </row>
    <row r="57856" spans="1:6" x14ac:dyDescent="0.25">
      <c r="A57856"/>
      <c r="B57856"/>
      <c r="C57856"/>
      <c r="E57856"/>
      <c r="F57856"/>
    </row>
    <row r="57857" spans="1:6" x14ac:dyDescent="0.25">
      <c r="A57857"/>
      <c r="B57857"/>
      <c r="C57857"/>
      <c r="E57857"/>
      <c r="F57857"/>
    </row>
    <row r="57858" spans="1:6" x14ac:dyDescent="0.25">
      <c r="A57858"/>
      <c r="B57858"/>
      <c r="C57858"/>
      <c r="E57858"/>
      <c r="F57858"/>
    </row>
    <row r="57859" spans="1:6" x14ac:dyDescent="0.25">
      <c r="A57859"/>
      <c r="B57859"/>
      <c r="C57859"/>
      <c r="E57859"/>
      <c r="F57859"/>
    </row>
    <row r="57860" spans="1:6" x14ac:dyDescent="0.25">
      <c r="A57860"/>
      <c r="B57860"/>
      <c r="C57860"/>
      <c r="E57860"/>
      <c r="F57860"/>
    </row>
    <row r="57861" spans="1:6" x14ac:dyDescent="0.25">
      <c r="A57861"/>
      <c r="B57861"/>
      <c r="C57861"/>
      <c r="E57861"/>
      <c r="F57861"/>
    </row>
    <row r="57862" spans="1:6" x14ac:dyDescent="0.25">
      <c r="A57862"/>
      <c r="B57862"/>
      <c r="C57862"/>
      <c r="E57862"/>
      <c r="F57862"/>
    </row>
    <row r="57863" spans="1:6" x14ac:dyDescent="0.25">
      <c r="A57863"/>
      <c r="B57863"/>
      <c r="C57863"/>
      <c r="E57863"/>
      <c r="F57863"/>
    </row>
    <row r="57864" spans="1:6" x14ac:dyDescent="0.25">
      <c r="A57864"/>
      <c r="B57864"/>
      <c r="C57864"/>
      <c r="E57864"/>
      <c r="F57864"/>
    </row>
    <row r="57865" spans="1:6" x14ac:dyDescent="0.25">
      <c r="A57865"/>
      <c r="B57865"/>
      <c r="C57865"/>
      <c r="E57865"/>
      <c r="F57865"/>
    </row>
    <row r="57866" spans="1:6" x14ac:dyDescent="0.25">
      <c r="A57866"/>
      <c r="B57866"/>
      <c r="C57866"/>
      <c r="E57866"/>
      <c r="F57866"/>
    </row>
    <row r="57867" spans="1:6" x14ac:dyDescent="0.25">
      <c r="A57867"/>
      <c r="B57867"/>
      <c r="C57867"/>
      <c r="E57867"/>
      <c r="F57867"/>
    </row>
    <row r="57868" spans="1:6" x14ac:dyDescent="0.25">
      <c r="A57868"/>
      <c r="B57868"/>
      <c r="C57868"/>
      <c r="E57868"/>
      <c r="F57868"/>
    </row>
    <row r="57869" spans="1:6" x14ac:dyDescent="0.25">
      <c r="A57869"/>
      <c r="B57869"/>
      <c r="C57869"/>
      <c r="E57869"/>
      <c r="F57869"/>
    </row>
    <row r="57870" spans="1:6" x14ac:dyDescent="0.25">
      <c r="A57870"/>
      <c r="B57870"/>
      <c r="C57870"/>
      <c r="E57870"/>
      <c r="F57870"/>
    </row>
    <row r="57871" spans="1:6" x14ac:dyDescent="0.25">
      <c r="A57871"/>
      <c r="B57871"/>
      <c r="C57871"/>
      <c r="E57871"/>
      <c r="F57871"/>
    </row>
    <row r="57872" spans="1:6" x14ac:dyDescent="0.25">
      <c r="A57872"/>
      <c r="B57872"/>
      <c r="C57872"/>
      <c r="E57872"/>
      <c r="F57872"/>
    </row>
    <row r="57873" spans="1:6" x14ac:dyDescent="0.25">
      <c r="A57873"/>
      <c r="B57873"/>
      <c r="C57873"/>
      <c r="E57873"/>
      <c r="F57873"/>
    </row>
    <row r="57874" spans="1:6" x14ac:dyDescent="0.25">
      <c r="A57874"/>
      <c r="B57874"/>
      <c r="C57874"/>
      <c r="E57874"/>
      <c r="F57874"/>
    </row>
    <row r="57875" spans="1:6" x14ac:dyDescent="0.25">
      <c r="A57875"/>
      <c r="B57875"/>
      <c r="C57875"/>
      <c r="E57875"/>
      <c r="F57875"/>
    </row>
    <row r="57876" spans="1:6" x14ac:dyDescent="0.25">
      <c r="A57876"/>
      <c r="B57876"/>
      <c r="C57876"/>
      <c r="E57876"/>
      <c r="F57876"/>
    </row>
    <row r="57877" spans="1:6" x14ac:dyDescent="0.25">
      <c r="A57877"/>
      <c r="B57877"/>
      <c r="C57877"/>
      <c r="E57877"/>
      <c r="F57877"/>
    </row>
    <row r="57878" spans="1:6" x14ac:dyDescent="0.25">
      <c r="A57878"/>
      <c r="B57878"/>
      <c r="C57878"/>
      <c r="E57878"/>
      <c r="F57878"/>
    </row>
    <row r="57879" spans="1:6" x14ac:dyDescent="0.25">
      <c r="A57879"/>
      <c r="B57879"/>
      <c r="C57879"/>
      <c r="E57879"/>
      <c r="F57879"/>
    </row>
    <row r="57880" spans="1:6" x14ac:dyDescent="0.25">
      <c r="A57880"/>
      <c r="B57880"/>
      <c r="C57880"/>
      <c r="E57880"/>
      <c r="F57880"/>
    </row>
    <row r="57881" spans="1:6" x14ac:dyDescent="0.25">
      <c r="A57881"/>
      <c r="B57881"/>
      <c r="C57881"/>
      <c r="E57881"/>
      <c r="F57881"/>
    </row>
    <row r="57882" spans="1:6" x14ac:dyDescent="0.25">
      <c r="A57882"/>
      <c r="B57882"/>
      <c r="C57882"/>
      <c r="E57882"/>
      <c r="F57882"/>
    </row>
    <row r="57883" spans="1:6" x14ac:dyDescent="0.25">
      <c r="A57883"/>
      <c r="B57883"/>
      <c r="C57883"/>
      <c r="E57883"/>
      <c r="F57883"/>
    </row>
    <row r="57884" spans="1:6" x14ac:dyDescent="0.25">
      <c r="A57884"/>
      <c r="B57884"/>
      <c r="C57884"/>
      <c r="E57884"/>
      <c r="F57884"/>
    </row>
    <row r="57885" spans="1:6" x14ac:dyDescent="0.25">
      <c r="A57885"/>
      <c r="B57885"/>
      <c r="C57885"/>
      <c r="E57885"/>
      <c r="F57885"/>
    </row>
    <row r="57886" spans="1:6" x14ac:dyDescent="0.25">
      <c r="A57886"/>
      <c r="B57886"/>
      <c r="C57886"/>
      <c r="E57886"/>
      <c r="F57886"/>
    </row>
    <row r="57887" spans="1:6" x14ac:dyDescent="0.25">
      <c r="A57887"/>
      <c r="B57887"/>
      <c r="C57887"/>
      <c r="E57887"/>
      <c r="F57887"/>
    </row>
    <row r="57888" spans="1:6" x14ac:dyDescent="0.25">
      <c r="A57888"/>
      <c r="B57888"/>
      <c r="C57888"/>
      <c r="E57888"/>
      <c r="F57888"/>
    </row>
    <row r="57889" spans="1:6" x14ac:dyDescent="0.25">
      <c r="A57889"/>
      <c r="B57889"/>
      <c r="C57889"/>
      <c r="E57889"/>
      <c r="F57889"/>
    </row>
    <row r="57890" spans="1:6" x14ac:dyDescent="0.25">
      <c r="A57890"/>
      <c r="B57890"/>
      <c r="C57890"/>
      <c r="E57890"/>
      <c r="F57890"/>
    </row>
    <row r="57891" spans="1:6" x14ac:dyDescent="0.25">
      <c r="A57891"/>
      <c r="B57891"/>
      <c r="C57891"/>
      <c r="E57891"/>
      <c r="F57891"/>
    </row>
    <row r="57892" spans="1:6" x14ac:dyDescent="0.25">
      <c r="A57892"/>
      <c r="B57892"/>
      <c r="C57892"/>
      <c r="E57892"/>
      <c r="F57892"/>
    </row>
    <row r="57893" spans="1:6" x14ac:dyDescent="0.25">
      <c r="A57893"/>
      <c r="B57893"/>
      <c r="C57893"/>
      <c r="E57893"/>
      <c r="F57893"/>
    </row>
    <row r="57894" spans="1:6" x14ac:dyDescent="0.25">
      <c r="A57894"/>
      <c r="B57894"/>
      <c r="C57894"/>
      <c r="E57894"/>
      <c r="F57894"/>
    </row>
    <row r="57895" spans="1:6" x14ac:dyDescent="0.25">
      <c r="A57895"/>
      <c r="B57895"/>
      <c r="C57895"/>
      <c r="E57895"/>
      <c r="F57895"/>
    </row>
    <row r="57896" spans="1:6" x14ac:dyDescent="0.25">
      <c r="A57896"/>
      <c r="B57896"/>
      <c r="C57896"/>
      <c r="E57896"/>
      <c r="F57896"/>
    </row>
    <row r="57897" spans="1:6" x14ac:dyDescent="0.25">
      <c r="A57897"/>
      <c r="B57897"/>
      <c r="C57897"/>
      <c r="E57897"/>
      <c r="F57897"/>
    </row>
    <row r="57898" spans="1:6" x14ac:dyDescent="0.25">
      <c r="A57898"/>
      <c r="B57898"/>
      <c r="C57898"/>
      <c r="E57898"/>
      <c r="F57898"/>
    </row>
    <row r="57899" spans="1:6" x14ac:dyDescent="0.25">
      <c r="A57899"/>
      <c r="B57899"/>
      <c r="C57899"/>
      <c r="E57899"/>
      <c r="F57899"/>
    </row>
    <row r="57900" spans="1:6" x14ac:dyDescent="0.25">
      <c r="A57900"/>
      <c r="B57900"/>
      <c r="C57900"/>
      <c r="E57900"/>
      <c r="F57900"/>
    </row>
    <row r="57901" spans="1:6" x14ac:dyDescent="0.25">
      <c r="A57901"/>
      <c r="B57901"/>
      <c r="C57901"/>
      <c r="E57901"/>
      <c r="F57901"/>
    </row>
    <row r="57902" spans="1:6" x14ac:dyDescent="0.25">
      <c r="A57902"/>
      <c r="B57902"/>
      <c r="C57902"/>
      <c r="E57902"/>
      <c r="F57902"/>
    </row>
    <row r="57903" spans="1:6" x14ac:dyDescent="0.25">
      <c r="A57903"/>
      <c r="B57903"/>
      <c r="C57903"/>
      <c r="E57903"/>
      <c r="F57903"/>
    </row>
    <row r="57904" spans="1:6" x14ac:dyDescent="0.25">
      <c r="A57904"/>
      <c r="B57904"/>
      <c r="C57904"/>
      <c r="E57904"/>
      <c r="F57904"/>
    </row>
    <row r="57905" spans="1:6" x14ac:dyDescent="0.25">
      <c r="A57905"/>
      <c r="B57905"/>
      <c r="C57905"/>
      <c r="E57905"/>
      <c r="F57905"/>
    </row>
    <row r="57906" spans="1:6" x14ac:dyDescent="0.25">
      <c r="A57906"/>
      <c r="B57906"/>
      <c r="C57906"/>
      <c r="E57906"/>
      <c r="F57906"/>
    </row>
    <row r="57907" spans="1:6" x14ac:dyDescent="0.25">
      <c r="A57907"/>
      <c r="B57907"/>
      <c r="C57907"/>
      <c r="E57907"/>
      <c r="F57907"/>
    </row>
    <row r="57908" spans="1:6" x14ac:dyDescent="0.25">
      <c r="A57908"/>
      <c r="B57908"/>
      <c r="C57908"/>
      <c r="E57908"/>
      <c r="F57908"/>
    </row>
    <row r="57909" spans="1:6" x14ac:dyDescent="0.25">
      <c r="A57909"/>
      <c r="B57909"/>
      <c r="C57909"/>
      <c r="E57909"/>
      <c r="F57909"/>
    </row>
    <row r="57910" spans="1:6" x14ac:dyDescent="0.25">
      <c r="A57910"/>
      <c r="B57910"/>
      <c r="C57910"/>
      <c r="E57910"/>
      <c r="F57910"/>
    </row>
    <row r="57911" spans="1:6" x14ac:dyDescent="0.25">
      <c r="A57911"/>
      <c r="B57911"/>
      <c r="C57911"/>
      <c r="E57911"/>
      <c r="F57911"/>
    </row>
    <row r="57912" spans="1:6" x14ac:dyDescent="0.25">
      <c r="A57912"/>
      <c r="B57912"/>
      <c r="C57912"/>
      <c r="E57912"/>
      <c r="F57912"/>
    </row>
    <row r="57913" spans="1:6" x14ac:dyDescent="0.25">
      <c r="A57913"/>
      <c r="B57913"/>
      <c r="C57913"/>
      <c r="E57913"/>
      <c r="F57913"/>
    </row>
    <row r="57914" spans="1:6" x14ac:dyDescent="0.25">
      <c r="A57914"/>
      <c r="B57914"/>
      <c r="C57914"/>
      <c r="E57914"/>
      <c r="F57914"/>
    </row>
    <row r="57915" spans="1:6" x14ac:dyDescent="0.25">
      <c r="A57915"/>
      <c r="B57915"/>
      <c r="C57915"/>
      <c r="E57915"/>
      <c r="F57915"/>
    </row>
    <row r="57916" spans="1:6" x14ac:dyDescent="0.25">
      <c r="A57916"/>
      <c r="B57916"/>
      <c r="C57916"/>
      <c r="E57916"/>
      <c r="F57916"/>
    </row>
    <row r="57917" spans="1:6" x14ac:dyDescent="0.25">
      <c r="A57917"/>
      <c r="B57917"/>
      <c r="C57917"/>
      <c r="E57917"/>
      <c r="F57917"/>
    </row>
    <row r="57918" spans="1:6" x14ac:dyDescent="0.25">
      <c r="A57918"/>
      <c r="B57918"/>
      <c r="C57918"/>
      <c r="E57918"/>
      <c r="F57918"/>
    </row>
    <row r="57919" spans="1:6" x14ac:dyDescent="0.25">
      <c r="A57919"/>
      <c r="B57919"/>
      <c r="C57919"/>
      <c r="E57919"/>
      <c r="F57919"/>
    </row>
    <row r="57920" spans="1:6" x14ac:dyDescent="0.25">
      <c r="A57920"/>
      <c r="B57920"/>
      <c r="C57920"/>
      <c r="E57920"/>
      <c r="F57920"/>
    </row>
    <row r="57921" spans="1:6" x14ac:dyDescent="0.25">
      <c r="A57921"/>
      <c r="B57921"/>
      <c r="C57921"/>
      <c r="E57921"/>
      <c r="F57921"/>
    </row>
    <row r="57922" spans="1:6" x14ac:dyDescent="0.25">
      <c r="A57922"/>
      <c r="B57922"/>
      <c r="C57922"/>
      <c r="E57922"/>
      <c r="F57922"/>
    </row>
    <row r="57923" spans="1:6" x14ac:dyDescent="0.25">
      <c r="A57923"/>
      <c r="B57923"/>
      <c r="C57923"/>
      <c r="E57923"/>
      <c r="F57923"/>
    </row>
    <row r="57924" spans="1:6" x14ac:dyDescent="0.25">
      <c r="A57924"/>
      <c r="B57924"/>
      <c r="C57924"/>
      <c r="E57924"/>
      <c r="F57924"/>
    </row>
    <row r="57925" spans="1:6" x14ac:dyDescent="0.25">
      <c r="A57925"/>
      <c r="B57925"/>
      <c r="C57925"/>
      <c r="E57925"/>
      <c r="F57925"/>
    </row>
    <row r="57926" spans="1:6" x14ac:dyDescent="0.25">
      <c r="A57926"/>
      <c r="B57926"/>
      <c r="C57926"/>
      <c r="E57926"/>
      <c r="F57926"/>
    </row>
    <row r="57927" spans="1:6" x14ac:dyDescent="0.25">
      <c r="A57927"/>
      <c r="B57927"/>
      <c r="C57927"/>
      <c r="E57927"/>
      <c r="F57927"/>
    </row>
    <row r="57928" spans="1:6" x14ac:dyDescent="0.25">
      <c r="A57928"/>
      <c r="B57928"/>
      <c r="C57928"/>
      <c r="E57928"/>
      <c r="F57928"/>
    </row>
    <row r="57929" spans="1:6" x14ac:dyDescent="0.25">
      <c r="A57929"/>
      <c r="B57929"/>
      <c r="C57929"/>
      <c r="E57929"/>
      <c r="F57929"/>
    </row>
    <row r="57930" spans="1:6" x14ac:dyDescent="0.25">
      <c r="A57930"/>
      <c r="B57930"/>
      <c r="C57930"/>
      <c r="E57930"/>
      <c r="F57930"/>
    </row>
    <row r="57931" spans="1:6" x14ac:dyDescent="0.25">
      <c r="A57931"/>
      <c r="B57931"/>
      <c r="C57931"/>
      <c r="E57931"/>
      <c r="F57931"/>
    </row>
    <row r="57932" spans="1:6" x14ac:dyDescent="0.25">
      <c r="A57932"/>
      <c r="B57932"/>
      <c r="C57932"/>
      <c r="E57932"/>
      <c r="F57932"/>
    </row>
    <row r="57933" spans="1:6" x14ac:dyDescent="0.25">
      <c r="A57933"/>
      <c r="B57933"/>
      <c r="C57933"/>
      <c r="E57933"/>
      <c r="F57933"/>
    </row>
    <row r="57934" spans="1:6" x14ac:dyDescent="0.25">
      <c r="A57934"/>
      <c r="B57934"/>
      <c r="C57934"/>
      <c r="E57934"/>
      <c r="F57934"/>
    </row>
    <row r="57935" spans="1:6" x14ac:dyDescent="0.25">
      <c r="A57935"/>
      <c r="B57935"/>
      <c r="C57935"/>
      <c r="E57935"/>
      <c r="F57935"/>
    </row>
    <row r="57936" spans="1:6" x14ac:dyDescent="0.25">
      <c r="A57936"/>
      <c r="B57936"/>
      <c r="C57936"/>
      <c r="E57936"/>
      <c r="F57936"/>
    </row>
    <row r="57937" spans="1:6" x14ac:dyDescent="0.25">
      <c r="A57937"/>
      <c r="B57937"/>
      <c r="C57937"/>
      <c r="E57937"/>
      <c r="F57937"/>
    </row>
    <row r="57938" spans="1:6" x14ac:dyDescent="0.25">
      <c r="A57938"/>
      <c r="B57938"/>
      <c r="C57938"/>
      <c r="E57938"/>
      <c r="F57938"/>
    </row>
    <row r="57939" spans="1:6" x14ac:dyDescent="0.25">
      <c r="A57939"/>
      <c r="B57939"/>
      <c r="C57939"/>
      <c r="E57939"/>
      <c r="F57939"/>
    </row>
    <row r="57940" spans="1:6" x14ac:dyDescent="0.25">
      <c r="A57940"/>
      <c r="B57940"/>
      <c r="C57940"/>
      <c r="E57940"/>
      <c r="F57940"/>
    </row>
    <row r="57941" spans="1:6" x14ac:dyDescent="0.25">
      <c r="A57941"/>
      <c r="B57941"/>
      <c r="C57941"/>
      <c r="E57941"/>
      <c r="F57941"/>
    </row>
    <row r="57942" spans="1:6" x14ac:dyDescent="0.25">
      <c r="A57942"/>
      <c r="B57942"/>
      <c r="C57942"/>
      <c r="E57942"/>
      <c r="F57942"/>
    </row>
    <row r="57943" spans="1:6" x14ac:dyDescent="0.25">
      <c r="A57943"/>
      <c r="B57943"/>
      <c r="C57943"/>
      <c r="E57943"/>
      <c r="F57943"/>
    </row>
    <row r="57944" spans="1:6" x14ac:dyDescent="0.25">
      <c r="A57944"/>
      <c r="B57944"/>
      <c r="C57944"/>
      <c r="E57944"/>
      <c r="F57944"/>
    </row>
    <row r="57945" spans="1:6" x14ac:dyDescent="0.25">
      <c r="A57945"/>
      <c r="B57945"/>
      <c r="C57945"/>
      <c r="E57945"/>
      <c r="F57945"/>
    </row>
    <row r="57946" spans="1:6" x14ac:dyDescent="0.25">
      <c r="A57946"/>
      <c r="B57946"/>
      <c r="C57946"/>
      <c r="E57946"/>
      <c r="F57946"/>
    </row>
    <row r="57947" spans="1:6" x14ac:dyDescent="0.25">
      <c r="A57947"/>
      <c r="B57947"/>
      <c r="C57947"/>
      <c r="E57947"/>
      <c r="F57947"/>
    </row>
    <row r="57948" spans="1:6" x14ac:dyDescent="0.25">
      <c r="A57948"/>
      <c r="B57948"/>
      <c r="C57948"/>
      <c r="E57948"/>
      <c r="F57948"/>
    </row>
    <row r="57949" spans="1:6" x14ac:dyDescent="0.25">
      <c r="A57949"/>
      <c r="B57949"/>
      <c r="C57949"/>
      <c r="E57949"/>
      <c r="F57949"/>
    </row>
    <row r="57950" spans="1:6" x14ac:dyDescent="0.25">
      <c r="A57950"/>
      <c r="B57950"/>
      <c r="C57950"/>
      <c r="E57950"/>
      <c r="F57950"/>
    </row>
    <row r="57951" spans="1:6" x14ac:dyDescent="0.25">
      <c r="A57951"/>
      <c r="B57951"/>
      <c r="C57951"/>
      <c r="E57951"/>
      <c r="F57951"/>
    </row>
    <row r="57952" spans="1:6" x14ac:dyDescent="0.25">
      <c r="A57952"/>
      <c r="B57952"/>
      <c r="C57952"/>
      <c r="E57952"/>
      <c r="F57952"/>
    </row>
    <row r="57953" spans="1:6" x14ac:dyDescent="0.25">
      <c r="A57953"/>
      <c r="B57953"/>
      <c r="C57953"/>
      <c r="E57953"/>
      <c r="F57953"/>
    </row>
    <row r="57954" spans="1:6" x14ac:dyDescent="0.25">
      <c r="A57954"/>
      <c r="B57954"/>
      <c r="C57954"/>
      <c r="E57954"/>
      <c r="F57954"/>
    </row>
    <row r="57955" spans="1:6" x14ac:dyDescent="0.25">
      <c r="A57955"/>
      <c r="B57955"/>
      <c r="C57955"/>
      <c r="E57955"/>
      <c r="F57955"/>
    </row>
    <row r="57956" spans="1:6" x14ac:dyDescent="0.25">
      <c r="A57956"/>
      <c r="B57956"/>
      <c r="C57956"/>
      <c r="E57956"/>
      <c r="F57956"/>
    </row>
    <row r="57957" spans="1:6" x14ac:dyDescent="0.25">
      <c r="A57957"/>
      <c r="B57957"/>
      <c r="C57957"/>
      <c r="E57957"/>
      <c r="F57957"/>
    </row>
    <row r="57958" spans="1:6" x14ac:dyDescent="0.25">
      <c r="A57958"/>
      <c r="B57958"/>
      <c r="C57958"/>
      <c r="E57958"/>
      <c r="F57958"/>
    </row>
    <row r="57959" spans="1:6" x14ac:dyDescent="0.25">
      <c r="A57959"/>
      <c r="B57959"/>
      <c r="C57959"/>
      <c r="E57959"/>
      <c r="F57959"/>
    </row>
    <row r="57960" spans="1:6" x14ac:dyDescent="0.25">
      <c r="A57960"/>
      <c r="B57960"/>
      <c r="C57960"/>
      <c r="E57960"/>
      <c r="F57960"/>
    </row>
    <row r="57961" spans="1:6" x14ac:dyDescent="0.25">
      <c r="A57961"/>
      <c r="B57961"/>
      <c r="C57961"/>
      <c r="E57961"/>
      <c r="F57961"/>
    </row>
    <row r="57962" spans="1:6" x14ac:dyDescent="0.25">
      <c r="A57962"/>
      <c r="B57962"/>
      <c r="C57962"/>
      <c r="E57962"/>
      <c r="F57962"/>
    </row>
    <row r="57963" spans="1:6" x14ac:dyDescent="0.25">
      <c r="A57963"/>
      <c r="B57963"/>
      <c r="C57963"/>
      <c r="E57963"/>
      <c r="F57963"/>
    </row>
    <row r="57964" spans="1:6" x14ac:dyDescent="0.25">
      <c r="A57964"/>
      <c r="B57964"/>
      <c r="C57964"/>
      <c r="E57964"/>
      <c r="F57964"/>
    </row>
    <row r="57965" spans="1:6" x14ac:dyDescent="0.25">
      <c r="A57965"/>
      <c r="B57965"/>
      <c r="C57965"/>
      <c r="E57965"/>
      <c r="F57965"/>
    </row>
    <row r="57966" spans="1:6" x14ac:dyDescent="0.25">
      <c r="A57966"/>
      <c r="B57966"/>
      <c r="C57966"/>
      <c r="E57966"/>
      <c r="F57966"/>
    </row>
    <row r="57967" spans="1:6" x14ac:dyDescent="0.25">
      <c r="A57967"/>
      <c r="B57967"/>
      <c r="C57967"/>
      <c r="E57967"/>
      <c r="F57967"/>
    </row>
    <row r="57968" spans="1:6" x14ac:dyDescent="0.25">
      <c r="A57968"/>
      <c r="B57968"/>
      <c r="C57968"/>
      <c r="E57968"/>
      <c r="F57968"/>
    </row>
    <row r="57969" spans="1:6" x14ac:dyDescent="0.25">
      <c r="A57969"/>
      <c r="B57969"/>
      <c r="C57969"/>
      <c r="E57969"/>
      <c r="F57969"/>
    </row>
    <row r="57970" spans="1:6" x14ac:dyDescent="0.25">
      <c r="A57970"/>
      <c r="B57970"/>
      <c r="C57970"/>
      <c r="E57970"/>
      <c r="F57970"/>
    </row>
    <row r="57971" spans="1:6" x14ac:dyDescent="0.25">
      <c r="A57971"/>
      <c r="B57971"/>
      <c r="C57971"/>
      <c r="E57971"/>
      <c r="F57971"/>
    </row>
    <row r="57972" spans="1:6" x14ac:dyDescent="0.25">
      <c r="A57972"/>
      <c r="B57972"/>
      <c r="C57972"/>
      <c r="E57972"/>
      <c r="F57972"/>
    </row>
    <row r="57973" spans="1:6" x14ac:dyDescent="0.25">
      <c r="A57973"/>
      <c r="B57973"/>
      <c r="C57973"/>
      <c r="E57973"/>
      <c r="F57973"/>
    </row>
    <row r="57974" spans="1:6" x14ac:dyDescent="0.25">
      <c r="A57974"/>
      <c r="B57974"/>
      <c r="C57974"/>
      <c r="E57974"/>
      <c r="F57974"/>
    </row>
    <row r="57975" spans="1:6" x14ac:dyDescent="0.25">
      <c r="A57975"/>
      <c r="B57975"/>
      <c r="C57975"/>
      <c r="E57975"/>
      <c r="F57975"/>
    </row>
    <row r="57976" spans="1:6" x14ac:dyDescent="0.25">
      <c r="A57976"/>
      <c r="B57976"/>
      <c r="C57976"/>
      <c r="E57976"/>
      <c r="F57976"/>
    </row>
    <row r="57977" spans="1:6" x14ac:dyDescent="0.25">
      <c r="A57977"/>
      <c r="B57977"/>
      <c r="C57977"/>
      <c r="E57977"/>
      <c r="F57977"/>
    </row>
    <row r="57978" spans="1:6" x14ac:dyDescent="0.25">
      <c r="A57978"/>
      <c r="B57978"/>
      <c r="C57978"/>
      <c r="E57978"/>
      <c r="F57978"/>
    </row>
    <row r="57979" spans="1:6" x14ac:dyDescent="0.25">
      <c r="A57979"/>
      <c r="B57979"/>
      <c r="C57979"/>
      <c r="E57979"/>
      <c r="F57979"/>
    </row>
    <row r="57980" spans="1:6" x14ac:dyDescent="0.25">
      <c r="A57980"/>
      <c r="B57980"/>
      <c r="C57980"/>
      <c r="E57980"/>
      <c r="F57980"/>
    </row>
    <row r="57981" spans="1:6" x14ac:dyDescent="0.25">
      <c r="A57981"/>
      <c r="B57981"/>
      <c r="C57981"/>
      <c r="E57981"/>
      <c r="F57981"/>
    </row>
    <row r="57982" spans="1:6" x14ac:dyDescent="0.25">
      <c r="A57982"/>
      <c r="B57982"/>
      <c r="C57982"/>
      <c r="E57982"/>
      <c r="F57982"/>
    </row>
    <row r="57983" spans="1:6" x14ac:dyDescent="0.25">
      <c r="A57983"/>
      <c r="B57983"/>
      <c r="C57983"/>
      <c r="E57983"/>
      <c r="F57983"/>
    </row>
    <row r="57984" spans="1:6" x14ac:dyDescent="0.25">
      <c r="A57984"/>
      <c r="B57984"/>
      <c r="C57984"/>
      <c r="E57984"/>
      <c r="F57984"/>
    </row>
    <row r="57985" spans="1:6" x14ac:dyDescent="0.25">
      <c r="A57985"/>
      <c r="B57985"/>
      <c r="C57985"/>
      <c r="E57985"/>
      <c r="F57985"/>
    </row>
    <row r="57986" spans="1:6" x14ac:dyDescent="0.25">
      <c r="A57986"/>
      <c r="B57986"/>
      <c r="C57986"/>
      <c r="E57986"/>
      <c r="F57986"/>
    </row>
    <row r="57987" spans="1:6" x14ac:dyDescent="0.25">
      <c r="A57987"/>
      <c r="B57987"/>
      <c r="C57987"/>
      <c r="E57987"/>
      <c r="F57987"/>
    </row>
    <row r="57988" spans="1:6" x14ac:dyDescent="0.25">
      <c r="A57988"/>
      <c r="B57988"/>
      <c r="C57988"/>
      <c r="E57988"/>
      <c r="F57988"/>
    </row>
    <row r="57989" spans="1:6" x14ac:dyDescent="0.25">
      <c r="A57989"/>
      <c r="B57989"/>
      <c r="C57989"/>
      <c r="E57989"/>
      <c r="F57989"/>
    </row>
    <row r="57990" spans="1:6" x14ac:dyDescent="0.25">
      <c r="A57990"/>
      <c r="B57990"/>
      <c r="C57990"/>
      <c r="E57990"/>
      <c r="F57990"/>
    </row>
    <row r="57991" spans="1:6" x14ac:dyDescent="0.25">
      <c r="A57991"/>
      <c r="B57991"/>
      <c r="C57991"/>
      <c r="E57991"/>
      <c r="F57991"/>
    </row>
    <row r="57992" spans="1:6" x14ac:dyDescent="0.25">
      <c r="A57992"/>
      <c r="B57992"/>
      <c r="C57992"/>
      <c r="E57992"/>
      <c r="F57992"/>
    </row>
    <row r="57993" spans="1:6" x14ac:dyDescent="0.25">
      <c r="A57993"/>
      <c r="B57993"/>
      <c r="C57993"/>
      <c r="E57993"/>
      <c r="F57993"/>
    </row>
    <row r="57994" spans="1:6" x14ac:dyDescent="0.25">
      <c r="A57994"/>
      <c r="B57994"/>
      <c r="C57994"/>
      <c r="E57994"/>
      <c r="F57994"/>
    </row>
    <row r="57995" spans="1:6" x14ac:dyDescent="0.25">
      <c r="A57995"/>
      <c r="B57995"/>
      <c r="C57995"/>
      <c r="E57995"/>
      <c r="F57995"/>
    </row>
    <row r="57996" spans="1:6" x14ac:dyDescent="0.25">
      <c r="A57996"/>
      <c r="B57996"/>
      <c r="C57996"/>
      <c r="E57996"/>
      <c r="F57996"/>
    </row>
    <row r="57997" spans="1:6" x14ac:dyDescent="0.25">
      <c r="A57997"/>
      <c r="B57997"/>
      <c r="C57997"/>
      <c r="E57997"/>
      <c r="F57997"/>
    </row>
    <row r="57998" spans="1:6" x14ac:dyDescent="0.25">
      <c r="A57998"/>
      <c r="B57998"/>
      <c r="C57998"/>
      <c r="E57998"/>
      <c r="F57998"/>
    </row>
    <row r="57999" spans="1:6" x14ac:dyDescent="0.25">
      <c r="A57999"/>
      <c r="B57999"/>
      <c r="C57999"/>
      <c r="E57999"/>
      <c r="F57999"/>
    </row>
    <row r="58000" spans="1:6" x14ac:dyDescent="0.25">
      <c r="A58000"/>
      <c r="B58000"/>
      <c r="C58000"/>
      <c r="E58000"/>
      <c r="F58000"/>
    </row>
    <row r="58001" spans="1:6" x14ac:dyDescent="0.25">
      <c r="A58001"/>
      <c r="B58001"/>
      <c r="C58001"/>
      <c r="E58001"/>
      <c r="F58001"/>
    </row>
    <row r="58002" spans="1:6" x14ac:dyDescent="0.25">
      <c r="A58002"/>
      <c r="B58002"/>
      <c r="C58002"/>
      <c r="E58002"/>
      <c r="F58002"/>
    </row>
    <row r="58003" spans="1:6" x14ac:dyDescent="0.25">
      <c r="A58003"/>
      <c r="B58003"/>
      <c r="C58003"/>
      <c r="E58003"/>
      <c r="F58003"/>
    </row>
    <row r="58004" spans="1:6" x14ac:dyDescent="0.25">
      <c r="A58004"/>
      <c r="B58004"/>
      <c r="C58004"/>
      <c r="E58004"/>
      <c r="F58004"/>
    </row>
    <row r="58005" spans="1:6" x14ac:dyDescent="0.25">
      <c r="A58005"/>
      <c r="B58005"/>
      <c r="C58005"/>
      <c r="E58005"/>
      <c r="F58005"/>
    </row>
    <row r="58006" spans="1:6" x14ac:dyDescent="0.25">
      <c r="A58006"/>
      <c r="B58006"/>
      <c r="C58006"/>
      <c r="E58006"/>
      <c r="F58006"/>
    </row>
    <row r="58007" spans="1:6" x14ac:dyDescent="0.25">
      <c r="A58007"/>
      <c r="B58007"/>
      <c r="C58007"/>
      <c r="E58007"/>
      <c r="F58007"/>
    </row>
    <row r="58008" spans="1:6" x14ac:dyDescent="0.25">
      <c r="A58008"/>
      <c r="B58008"/>
      <c r="C58008"/>
      <c r="E58008"/>
      <c r="F58008"/>
    </row>
    <row r="58009" spans="1:6" x14ac:dyDescent="0.25">
      <c r="A58009"/>
      <c r="B58009"/>
      <c r="C58009"/>
      <c r="E58009"/>
      <c r="F58009"/>
    </row>
    <row r="58010" spans="1:6" x14ac:dyDescent="0.25">
      <c r="A58010"/>
      <c r="B58010"/>
      <c r="C58010"/>
      <c r="E58010"/>
      <c r="F58010"/>
    </row>
    <row r="58011" spans="1:6" x14ac:dyDescent="0.25">
      <c r="A58011"/>
      <c r="B58011"/>
      <c r="C58011"/>
      <c r="E58011"/>
      <c r="F58011"/>
    </row>
    <row r="58012" spans="1:6" x14ac:dyDescent="0.25">
      <c r="A58012"/>
      <c r="B58012"/>
      <c r="C58012"/>
      <c r="E58012"/>
      <c r="F58012"/>
    </row>
    <row r="58013" spans="1:6" x14ac:dyDescent="0.25">
      <c r="A58013"/>
      <c r="B58013"/>
      <c r="C58013"/>
      <c r="E58013"/>
      <c r="F58013"/>
    </row>
    <row r="58014" spans="1:6" x14ac:dyDescent="0.25">
      <c r="A58014"/>
      <c r="B58014"/>
      <c r="C58014"/>
      <c r="E58014"/>
      <c r="F58014"/>
    </row>
    <row r="58015" spans="1:6" x14ac:dyDescent="0.25">
      <c r="A58015"/>
      <c r="B58015"/>
      <c r="C58015"/>
      <c r="E58015"/>
      <c r="F58015"/>
    </row>
    <row r="58016" spans="1:6" x14ac:dyDescent="0.25">
      <c r="A58016"/>
      <c r="B58016"/>
      <c r="C58016"/>
      <c r="E58016"/>
      <c r="F58016"/>
    </row>
    <row r="58017" spans="1:6" x14ac:dyDescent="0.25">
      <c r="A58017"/>
      <c r="B58017"/>
      <c r="C58017"/>
      <c r="E58017"/>
      <c r="F58017"/>
    </row>
    <row r="58018" spans="1:6" x14ac:dyDescent="0.25">
      <c r="A58018"/>
      <c r="B58018"/>
      <c r="C58018"/>
      <c r="E58018"/>
      <c r="F58018"/>
    </row>
    <row r="58019" spans="1:6" x14ac:dyDescent="0.25">
      <c r="A58019"/>
      <c r="B58019"/>
      <c r="C58019"/>
      <c r="E58019"/>
      <c r="F58019"/>
    </row>
    <row r="58020" spans="1:6" x14ac:dyDescent="0.25">
      <c r="A58020"/>
      <c r="B58020"/>
      <c r="C58020"/>
      <c r="E58020"/>
      <c r="F58020"/>
    </row>
    <row r="58021" spans="1:6" x14ac:dyDescent="0.25">
      <c r="A58021"/>
      <c r="B58021"/>
      <c r="C58021"/>
      <c r="E58021"/>
      <c r="F58021"/>
    </row>
    <row r="58022" spans="1:6" x14ac:dyDescent="0.25">
      <c r="A58022"/>
      <c r="B58022"/>
      <c r="C58022"/>
      <c r="E58022"/>
      <c r="F58022"/>
    </row>
    <row r="58023" spans="1:6" x14ac:dyDescent="0.25">
      <c r="A58023"/>
      <c r="B58023"/>
      <c r="C58023"/>
      <c r="E58023"/>
      <c r="F58023"/>
    </row>
    <row r="58024" spans="1:6" x14ac:dyDescent="0.25">
      <c r="A58024"/>
      <c r="B58024"/>
      <c r="C58024"/>
      <c r="E58024"/>
      <c r="F58024"/>
    </row>
    <row r="58025" spans="1:6" x14ac:dyDescent="0.25">
      <c r="A58025"/>
      <c r="B58025"/>
      <c r="C58025"/>
      <c r="E58025"/>
      <c r="F58025"/>
    </row>
    <row r="58026" spans="1:6" x14ac:dyDescent="0.25">
      <c r="A58026"/>
      <c r="B58026"/>
      <c r="C58026"/>
      <c r="E58026"/>
      <c r="F58026"/>
    </row>
    <row r="58027" spans="1:6" x14ac:dyDescent="0.25">
      <c r="A58027"/>
      <c r="B58027"/>
      <c r="C58027"/>
      <c r="E58027"/>
      <c r="F58027"/>
    </row>
    <row r="58028" spans="1:6" x14ac:dyDescent="0.25">
      <c r="A58028"/>
      <c r="B58028"/>
      <c r="C58028"/>
      <c r="E58028"/>
      <c r="F58028"/>
    </row>
    <row r="58029" spans="1:6" x14ac:dyDescent="0.25">
      <c r="A58029"/>
      <c r="B58029"/>
      <c r="C58029"/>
      <c r="E58029"/>
      <c r="F58029"/>
    </row>
    <row r="58030" spans="1:6" x14ac:dyDescent="0.25">
      <c r="A58030"/>
      <c r="B58030"/>
      <c r="C58030"/>
      <c r="E58030"/>
      <c r="F58030"/>
    </row>
    <row r="58031" spans="1:6" x14ac:dyDescent="0.25">
      <c r="A58031"/>
      <c r="B58031"/>
      <c r="C58031"/>
      <c r="E58031"/>
      <c r="F58031"/>
    </row>
    <row r="58032" spans="1:6" x14ac:dyDescent="0.25">
      <c r="A58032"/>
      <c r="B58032"/>
      <c r="C58032"/>
      <c r="E58032"/>
      <c r="F58032"/>
    </row>
    <row r="58033" spans="1:6" x14ac:dyDescent="0.25">
      <c r="A58033"/>
      <c r="B58033"/>
      <c r="C58033"/>
      <c r="E58033"/>
      <c r="F58033"/>
    </row>
    <row r="58034" spans="1:6" x14ac:dyDescent="0.25">
      <c r="A58034"/>
      <c r="B58034"/>
      <c r="C58034"/>
      <c r="E58034"/>
      <c r="F58034"/>
    </row>
    <row r="58035" spans="1:6" x14ac:dyDescent="0.25">
      <c r="A58035"/>
      <c r="B58035"/>
      <c r="C58035"/>
      <c r="E58035"/>
      <c r="F58035"/>
    </row>
    <row r="58036" spans="1:6" x14ac:dyDescent="0.25">
      <c r="A58036"/>
      <c r="B58036"/>
      <c r="C58036"/>
      <c r="E58036"/>
      <c r="F58036"/>
    </row>
    <row r="58037" spans="1:6" x14ac:dyDescent="0.25">
      <c r="A58037"/>
      <c r="B58037"/>
      <c r="C58037"/>
      <c r="E58037"/>
      <c r="F58037"/>
    </row>
    <row r="58038" spans="1:6" x14ac:dyDescent="0.25">
      <c r="A58038"/>
      <c r="B58038"/>
      <c r="C58038"/>
      <c r="E58038"/>
      <c r="F58038"/>
    </row>
    <row r="58039" spans="1:6" x14ac:dyDescent="0.25">
      <c r="A58039"/>
      <c r="B58039"/>
      <c r="C58039"/>
      <c r="E58039"/>
      <c r="F58039"/>
    </row>
    <row r="58040" spans="1:6" x14ac:dyDescent="0.25">
      <c r="A58040"/>
      <c r="B58040"/>
      <c r="C58040"/>
      <c r="E58040"/>
      <c r="F58040"/>
    </row>
    <row r="58041" spans="1:6" x14ac:dyDescent="0.25">
      <c r="A58041"/>
      <c r="B58041"/>
      <c r="C58041"/>
      <c r="E58041"/>
      <c r="F58041"/>
    </row>
    <row r="58042" spans="1:6" x14ac:dyDescent="0.25">
      <c r="A58042"/>
      <c r="B58042"/>
      <c r="C58042"/>
      <c r="E58042"/>
      <c r="F58042"/>
    </row>
    <row r="58043" spans="1:6" x14ac:dyDescent="0.25">
      <c r="A58043"/>
      <c r="B58043"/>
      <c r="C58043"/>
      <c r="E58043"/>
      <c r="F58043"/>
    </row>
    <row r="58044" spans="1:6" x14ac:dyDescent="0.25">
      <c r="A58044"/>
      <c r="B58044"/>
      <c r="C58044"/>
      <c r="E58044"/>
      <c r="F58044"/>
    </row>
    <row r="58045" spans="1:6" x14ac:dyDescent="0.25">
      <c r="A58045"/>
      <c r="B58045"/>
      <c r="C58045"/>
      <c r="E58045"/>
      <c r="F58045"/>
    </row>
    <row r="58046" spans="1:6" x14ac:dyDescent="0.25">
      <c r="A58046"/>
      <c r="B58046"/>
      <c r="C58046"/>
      <c r="E58046"/>
      <c r="F58046"/>
    </row>
    <row r="58047" spans="1:6" x14ac:dyDescent="0.25">
      <c r="A58047"/>
      <c r="B58047"/>
      <c r="C58047"/>
      <c r="E58047"/>
      <c r="F58047"/>
    </row>
    <row r="58048" spans="1:6" x14ac:dyDescent="0.25">
      <c r="A58048"/>
      <c r="B58048"/>
      <c r="C58048"/>
      <c r="E58048"/>
      <c r="F58048"/>
    </row>
    <row r="58049" spans="1:6" x14ac:dyDescent="0.25">
      <c r="A58049"/>
      <c r="B58049"/>
      <c r="C58049"/>
      <c r="E58049"/>
      <c r="F58049"/>
    </row>
    <row r="58050" spans="1:6" x14ac:dyDescent="0.25">
      <c r="A58050"/>
      <c r="B58050"/>
      <c r="C58050"/>
      <c r="E58050"/>
      <c r="F58050"/>
    </row>
    <row r="58051" spans="1:6" x14ac:dyDescent="0.25">
      <c r="A58051"/>
      <c r="B58051"/>
      <c r="C58051"/>
      <c r="E58051"/>
      <c r="F58051"/>
    </row>
    <row r="58052" spans="1:6" x14ac:dyDescent="0.25">
      <c r="A58052"/>
      <c r="B58052"/>
      <c r="C58052"/>
      <c r="E58052"/>
      <c r="F58052"/>
    </row>
    <row r="58053" spans="1:6" x14ac:dyDescent="0.25">
      <c r="A58053"/>
      <c r="B58053"/>
      <c r="C58053"/>
      <c r="E58053"/>
      <c r="F58053"/>
    </row>
    <row r="58054" spans="1:6" x14ac:dyDescent="0.25">
      <c r="A58054"/>
      <c r="B58054"/>
      <c r="C58054"/>
      <c r="E58054"/>
      <c r="F58054"/>
    </row>
    <row r="58055" spans="1:6" x14ac:dyDescent="0.25">
      <c r="A58055"/>
      <c r="B58055"/>
      <c r="C58055"/>
      <c r="E58055"/>
      <c r="F58055"/>
    </row>
    <row r="58056" spans="1:6" x14ac:dyDescent="0.25">
      <c r="A58056"/>
      <c r="B58056"/>
      <c r="C58056"/>
      <c r="E58056"/>
      <c r="F58056"/>
    </row>
    <row r="58057" spans="1:6" x14ac:dyDescent="0.25">
      <c r="A58057"/>
      <c r="B58057"/>
      <c r="C58057"/>
      <c r="E58057"/>
      <c r="F58057"/>
    </row>
    <row r="58058" spans="1:6" x14ac:dyDescent="0.25">
      <c r="A58058"/>
      <c r="B58058"/>
      <c r="C58058"/>
      <c r="E58058"/>
      <c r="F58058"/>
    </row>
    <row r="58059" spans="1:6" x14ac:dyDescent="0.25">
      <c r="A58059"/>
      <c r="B58059"/>
      <c r="C58059"/>
      <c r="E58059"/>
      <c r="F58059"/>
    </row>
    <row r="58060" spans="1:6" x14ac:dyDescent="0.25">
      <c r="A58060"/>
      <c r="B58060"/>
      <c r="C58060"/>
      <c r="E58060"/>
      <c r="F58060"/>
    </row>
    <row r="58061" spans="1:6" x14ac:dyDescent="0.25">
      <c r="A58061"/>
      <c r="B58061"/>
      <c r="C58061"/>
      <c r="E58061"/>
      <c r="F58061"/>
    </row>
    <row r="58062" spans="1:6" x14ac:dyDescent="0.25">
      <c r="A58062"/>
      <c r="B58062"/>
      <c r="C58062"/>
      <c r="E58062"/>
      <c r="F58062"/>
    </row>
    <row r="58063" spans="1:6" x14ac:dyDescent="0.25">
      <c r="A58063"/>
      <c r="B58063"/>
      <c r="C58063"/>
      <c r="E58063"/>
      <c r="F58063"/>
    </row>
    <row r="58064" spans="1:6" x14ac:dyDescent="0.25">
      <c r="A58064"/>
      <c r="B58064"/>
      <c r="C58064"/>
      <c r="E58064"/>
      <c r="F58064"/>
    </row>
    <row r="58065" spans="1:6" x14ac:dyDescent="0.25">
      <c r="A58065"/>
      <c r="B58065"/>
      <c r="C58065"/>
      <c r="E58065"/>
      <c r="F58065"/>
    </row>
    <row r="58066" spans="1:6" x14ac:dyDescent="0.25">
      <c r="A58066"/>
      <c r="B58066"/>
      <c r="C58066"/>
      <c r="E58066"/>
      <c r="F58066"/>
    </row>
    <row r="58067" spans="1:6" x14ac:dyDescent="0.25">
      <c r="A58067"/>
      <c r="B58067"/>
      <c r="C58067"/>
      <c r="E58067"/>
      <c r="F58067"/>
    </row>
    <row r="58068" spans="1:6" x14ac:dyDescent="0.25">
      <c r="A58068"/>
      <c r="B58068"/>
      <c r="C58068"/>
      <c r="E58068"/>
      <c r="F58068"/>
    </row>
    <row r="58069" spans="1:6" x14ac:dyDescent="0.25">
      <c r="A58069"/>
      <c r="B58069"/>
      <c r="C58069"/>
      <c r="E58069"/>
      <c r="F58069"/>
    </row>
    <row r="58070" spans="1:6" x14ac:dyDescent="0.25">
      <c r="A58070"/>
      <c r="B58070"/>
      <c r="C58070"/>
      <c r="E58070"/>
      <c r="F58070"/>
    </row>
    <row r="58071" spans="1:6" x14ac:dyDescent="0.25">
      <c r="A58071"/>
      <c r="B58071"/>
      <c r="C58071"/>
      <c r="E58071"/>
      <c r="F58071"/>
    </row>
    <row r="58072" spans="1:6" x14ac:dyDescent="0.25">
      <c r="A58072"/>
      <c r="B58072"/>
      <c r="C58072"/>
      <c r="E58072"/>
      <c r="F58072"/>
    </row>
    <row r="58073" spans="1:6" x14ac:dyDescent="0.25">
      <c r="A58073"/>
      <c r="B58073"/>
      <c r="C58073"/>
      <c r="E58073"/>
      <c r="F58073"/>
    </row>
    <row r="58074" spans="1:6" x14ac:dyDescent="0.25">
      <c r="A58074"/>
      <c r="B58074"/>
      <c r="C58074"/>
      <c r="E58074"/>
      <c r="F58074"/>
    </row>
    <row r="58075" spans="1:6" x14ac:dyDescent="0.25">
      <c r="A58075"/>
      <c r="B58075"/>
      <c r="C58075"/>
      <c r="E58075"/>
      <c r="F58075"/>
    </row>
    <row r="58076" spans="1:6" x14ac:dyDescent="0.25">
      <c r="A58076"/>
      <c r="B58076"/>
      <c r="C58076"/>
      <c r="E58076"/>
      <c r="F58076"/>
    </row>
    <row r="58077" spans="1:6" x14ac:dyDescent="0.25">
      <c r="A58077"/>
      <c r="B58077"/>
      <c r="C58077"/>
      <c r="E58077"/>
      <c r="F58077"/>
    </row>
    <row r="58078" spans="1:6" x14ac:dyDescent="0.25">
      <c r="A58078"/>
      <c r="B58078"/>
      <c r="C58078"/>
      <c r="E58078"/>
      <c r="F58078"/>
    </row>
    <row r="58079" spans="1:6" x14ac:dyDescent="0.25">
      <c r="A58079"/>
      <c r="B58079"/>
      <c r="C58079"/>
      <c r="E58079"/>
      <c r="F58079"/>
    </row>
    <row r="58080" spans="1:6" x14ac:dyDescent="0.25">
      <c r="A58080"/>
      <c r="B58080"/>
      <c r="C58080"/>
      <c r="E58080"/>
      <c r="F58080"/>
    </row>
    <row r="58081" spans="1:6" x14ac:dyDescent="0.25">
      <c r="A58081"/>
      <c r="B58081"/>
      <c r="C58081"/>
      <c r="E58081"/>
      <c r="F58081"/>
    </row>
    <row r="58082" spans="1:6" x14ac:dyDescent="0.25">
      <c r="A58082"/>
      <c r="B58082"/>
      <c r="C58082"/>
      <c r="E58082"/>
      <c r="F58082"/>
    </row>
    <row r="58083" spans="1:6" x14ac:dyDescent="0.25">
      <c r="A58083"/>
      <c r="B58083"/>
      <c r="C58083"/>
      <c r="E58083"/>
      <c r="F58083"/>
    </row>
    <row r="58084" spans="1:6" x14ac:dyDescent="0.25">
      <c r="A58084"/>
      <c r="B58084"/>
      <c r="C58084"/>
      <c r="E58084"/>
      <c r="F58084"/>
    </row>
    <row r="58085" spans="1:6" x14ac:dyDescent="0.25">
      <c r="A58085"/>
      <c r="B58085"/>
      <c r="C58085"/>
      <c r="E58085"/>
      <c r="F58085"/>
    </row>
    <row r="58086" spans="1:6" x14ac:dyDescent="0.25">
      <c r="A58086"/>
      <c r="B58086"/>
      <c r="C58086"/>
      <c r="E58086"/>
      <c r="F58086"/>
    </row>
    <row r="58087" spans="1:6" x14ac:dyDescent="0.25">
      <c r="A58087"/>
      <c r="B58087"/>
      <c r="C58087"/>
      <c r="E58087"/>
      <c r="F58087"/>
    </row>
    <row r="58088" spans="1:6" x14ac:dyDescent="0.25">
      <c r="A58088"/>
      <c r="B58088"/>
      <c r="C58088"/>
      <c r="E58088"/>
      <c r="F58088"/>
    </row>
    <row r="58089" spans="1:6" x14ac:dyDescent="0.25">
      <c r="A58089"/>
      <c r="B58089"/>
      <c r="C58089"/>
      <c r="E58089"/>
      <c r="F58089"/>
    </row>
    <row r="58090" spans="1:6" x14ac:dyDescent="0.25">
      <c r="A58090"/>
      <c r="B58090"/>
      <c r="C58090"/>
      <c r="E58090"/>
      <c r="F58090"/>
    </row>
    <row r="58091" spans="1:6" x14ac:dyDescent="0.25">
      <c r="A58091"/>
      <c r="B58091"/>
      <c r="C58091"/>
      <c r="E58091"/>
      <c r="F58091"/>
    </row>
    <row r="58092" spans="1:6" x14ac:dyDescent="0.25">
      <c r="A58092"/>
      <c r="B58092"/>
      <c r="C58092"/>
      <c r="E58092"/>
      <c r="F58092"/>
    </row>
    <row r="58093" spans="1:6" x14ac:dyDescent="0.25">
      <c r="A58093"/>
      <c r="B58093"/>
      <c r="C58093"/>
      <c r="E58093"/>
      <c r="F58093"/>
    </row>
    <row r="58094" spans="1:6" x14ac:dyDescent="0.25">
      <c r="A58094"/>
      <c r="B58094"/>
      <c r="C58094"/>
      <c r="E58094"/>
      <c r="F58094"/>
    </row>
    <row r="58095" spans="1:6" x14ac:dyDescent="0.25">
      <c r="A58095"/>
      <c r="B58095"/>
      <c r="C58095"/>
      <c r="E58095"/>
      <c r="F58095"/>
    </row>
    <row r="58096" spans="1:6" x14ac:dyDescent="0.25">
      <c r="A58096"/>
      <c r="B58096"/>
      <c r="C58096"/>
      <c r="E58096"/>
      <c r="F58096"/>
    </row>
    <row r="58097" spans="1:6" x14ac:dyDescent="0.25">
      <c r="A58097"/>
      <c r="B58097"/>
      <c r="C58097"/>
      <c r="E58097"/>
      <c r="F58097"/>
    </row>
    <row r="58098" spans="1:6" x14ac:dyDescent="0.25">
      <c r="A58098"/>
      <c r="B58098"/>
      <c r="C58098"/>
      <c r="E58098"/>
      <c r="F58098"/>
    </row>
    <row r="58099" spans="1:6" x14ac:dyDescent="0.25">
      <c r="A58099"/>
      <c r="B58099"/>
      <c r="C58099"/>
      <c r="E58099"/>
      <c r="F58099"/>
    </row>
    <row r="58100" spans="1:6" x14ac:dyDescent="0.25">
      <c r="A58100"/>
      <c r="B58100"/>
      <c r="C58100"/>
      <c r="E58100"/>
      <c r="F58100"/>
    </row>
    <row r="58101" spans="1:6" x14ac:dyDescent="0.25">
      <c r="A58101"/>
      <c r="B58101"/>
      <c r="C58101"/>
      <c r="E58101"/>
      <c r="F58101"/>
    </row>
    <row r="58102" spans="1:6" x14ac:dyDescent="0.25">
      <c r="A58102"/>
      <c r="B58102"/>
      <c r="C58102"/>
      <c r="E58102"/>
      <c r="F58102"/>
    </row>
    <row r="58103" spans="1:6" x14ac:dyDescent="0.25">
      <c r="A58103"/>
      <c r="B58103"/>
      <c r="C58103"/>
      <c r="E58103"/>
      <c r="F58103"/>
    </row>
    <row r="58104" spans="1:6" x14ac:dyDescent="0.25">
      <c r="A58104"/>
      <c r="B58104"/>
      <c r="C58104"/>
      <c r="E58104"/>
      <c r="F58104"/>
    </row>
    <row r="58105" spans="1:6" x14ac:dyDescent="0.25">
      <c r="A58105"/>
      <c r="B58105"/>
      <c r="C58105"/>
      <c r="E58105"/>
      <c r="F58105"/>
    </row>
    <row r="58106" spans="1:6" x14ac:dyDescent="0.25">
      <c r="A58106"/>
      <c r="B58106"/>
      <c r="C58106"/>
      <c r="E58106"/>
      <c r="F58106"/>
    </row>
    <row r="58107" spans="1:6" x14ac:dyDescent="0.25">
      <c r="A58107"/>
      <c r="B58107"/>
      <c r="C58107"/>
      <c r="E58107"/>
      <c r="F58107"/>
    </row>
    <row r="58108" spans="1:6" x14ac:dyDescent="0.25">
      <c r="A58108"/>
      <c r="B58108"/>
      <c r="C58108"/>
      <c r="E58108"/>
      <c r="F58108"/>
    </row>
    <row r="58109" spans="1:6" x14ac:dyDescent="0.25">
      <c r="A58109"/>
      <c r="B58109"/>
      <c r="C58109"/>
      <c r="E58109"/>
      <c r="F58109"/>
    </row>
    <row r="58110" spans="1:6" x14ac:dyDescent="0.25">
      <c r="A58110"/>
      <c r="B58110"/>
      <c r="C58110"/>
      <c r="E58110"/>
      <c r="F58110"/>
    </row>
    <row r="58111" spans="1:6" x14ac:dyDescent="0.25">
      <c r="A58111"/>
      <c r="B58111"/>
      <c r="C58111"/>
      <c r="E58111"/>
      <c r="F58111"/>
    </row>
    <row r="58112" spans="1:6" x14ac:dyDescent="0.25">
      <c r="A58112"/>
      <c r="B58112"/>
      <c r="C58112"/>
      <c r="E58112"/>
      <c r="F58112"/>
    </row>
    <row r="58113" spans="1:6" x14ac:dyDescent="0.25">
      <c r="A58113"/>
      <c r="B58113"/>
      <c r="C58113"/>
      <c r="E58113"/>
      <c r="F58113"/>
    </row>
    <row r="58114" spans="1:6" x14ac:dyDescent="0.25">
      <c r="A58114"/>
      <c r="B58114"/>
      <c r="C58114"/>
      <c r="E58114"/>
      <c r="F58114"/>
    </row>
    <row r="58115" spans="1:6" x14ac:dyDescent="0.25">
      <c r="A58115"/>
      <c r="B58115"/>
      <c r="C58115"/>
      <c r="E58115"/>
      <c r="F58115"/>
    </row>
    <row r="58116" spans="1:6" x14ac:dyDescent="0.25">
      <c r="A58116"/>
      <c r="B58116"/>
      <c r="C58116"/>
      <c r="E58116"/>
      <c r="F58116"/>
    </row>
    <row r="58117" spans="1:6" x14ac:dyDescent="0.25">
      <c r="A58117"/>
      <c r="B58117"/>
      <c r="C58117"/>
      <c r="E58117"/>
      <c r="F58117"/>
    </row>
    <row r="58118" spans="1:6" x14ac:dyDescent="0.25">
      <c r="A58118"/>
      <c r="B58118"/>
      <c r="C58118"/>
      <c r="E58118"/>
      <c r="F58118"/>
    </row>
    <row r="58119" spans="1:6" x14ac:dyDescent="0.25">
      <c r="A58119"/>
      <c r="B58119"/>
      <c r="C58119"/>
      <c r="E58119"/>
      <c r="F58119"/>
    </row>
    <row r="58120" spans="1:6" x14ac:dyDescent="0.25">
      <c r="A58120"/>
      <c r="B58120"/>
      <c r="C58120"/>
      <c r="E58120"/>
      <c r="F58120"/>
    </row>
    <row r="58121" spans="1:6" x14ac:dyDescent="0.25">
      <c r="A58121"/>
      <c r="B58121"/>
      <c r="C58121"/>
      <c r="E58121"/>
      <c r="F58121"/>
    </row>
    <row r="58122" spans="1:6" x14ac:dyDescent="0.25">
      <c r="A58122"/>
      <c r="B58122"/>
      <c r="C58122"/>
      <c r="E58122"/>
      <c r="F58122"/>
    </row>
    <row r="58123" spans="1:6" x14ac:dyDescent="0.25">
      <c r="A58123"/>
      <c r="B58123"/>
      <c r="C58123"/>
      <c r="E58123"/>
      <c r="F58123"/>
    </row>
    <row r="58124" spans="1:6" x14ac:dyDescent="0.25">
      <c r="A58124"/>
      <c r="B58124"/>
      <c r="C58124"/>
      <c r="E58124"/>
      <c r="F58124"/>
    </row>
    <row r="58125" spans="1:6" x14ac:dyDescent="0.25">
      <c r="A58125"/>
      <c r="B58125"/>
      <c r="C58125"/>
      <c r="E58125"/>
      <c r="F58125"/>
    </row>
    <row r="58126" spans="1:6" x14ac:dyDescent="0.25">
      <c r="A58126"/>
      <c r="B58126"/>
      <c r="C58126"/>
      <c r="E58126"/>
      <c r="F58126"/>
    </row>
    <row r="58127" spans="1:6" x14ac:dyDescent="0.25">
      <c r="A58127"/>
      <c r="B58127"/>
      <c r="C58127"/>
      <c r="E58127"/>
      <c r="F58127"/>
    </row>
    <row r="58128" spans="1:6" x14ac:dyDescent="0.25">
      <c r="A58128"/>
      <c r="B58128"/>
      <c r="C58128"/>
      <c r="E58128"/>
      <c r="F58128"/>
    </row>
    <row r="58129" spans="1:6" x14ac:dyDescent="0.25">
      <c r="A58129"/>
      <c r="B58129"/>
      <c r="C58129"/>
      <c r="E58129"/>
      <c r="F58129"/>
    </row>
    <row r="58130" spans="1:6" x14ac:dyDescent="0.25">
      <c r="A58130"/>
      <c r="B58130"/>
      <c r="C58130"/>
      <c r="E58130"/>
      <c r="F58130"/>
    </row>
    <row r="58131" spans="1:6" x14ac:dyDescent="0.25">
      <c r="A58131"/>
      <c r="B58131"/>
      <c r="C58131"/>
      <c r="E58131"/>
      <c r="F58131"/>
    </row>
    <row r="58132" spans="1:6" x14ac:dyDescent="0.25">
      <c r="A58132"/>
      <c r="B58132"/>
      <c r="C58132"/>
      <c r="E58132"/>
      <c r="F58132"/>
    </row>
    <row r="58133" spans="1:6" x14ac:dyDescent="0.25">
      <c r="A58133"/>
      <c r="B58133"/>
      <c r="C58133"/>
      <c r="E58133"/>
      <c r="F58133"/>
    </row>
    <row r="58134" spans="1:6" x14ac:dyDescent="0.25">
      <c r="A58134"/>
      <c r="B58134"/>
      <c r="C58134"/>
      <c r="E58134"/>
      <c r="F58134"/>
    </row>
    <row r="58135" spans="1:6" x14ac:dyDescent="0.25">
      <c r="A58135"/>
      <c r="B58135"/>
      <c r="C58135"/>
      <c r="E58135"/>
      <c r="F58135"/>
    </row>
    <row r="58136" spans="1:6" x14ac:dyDescent="0.25">
      <c r="A58136"/>
      <c r="B58136"/>
      <c r="C58136"/>
      <c r="E58136"/>
      <c r="F58136"/>
    </row>
    <row r="58137" spans="1:6" x14ac:dyDescent="0.25">
      <c r="A58137"/>
      <c r="B58137"/>
      <c r="C58137"/>
      <c r="E58137"/>
      <c r="F58137"/>
    </row>
    <row r="58138" spans="1:6" x14ac:dyDescent="0.25">
      <c r="A58138"/>
      <c r="B58138"/>
      <c r="C58138"/>
      <c r="E58138"/>
      <c r="F58138"/>
    </row>
    <row r="58139" spans="1:6" x14ac:dyDescent="0.25">
      <c r="A58139"/>
      <c r="B58139"/>
      <c r="C58139"/>
      <c r="E58139"/>
      <c r="F58139"/>
    </row>
    <row r="58140" spans="1:6" x14ac:dyDescent="0.25">
      <c r="A58140"/>
      <c r="B58140"/>
      <c r="C58140"/>
      <c r="E58140"/>
      <c r="F58140"/>
    </row>
    <row r="58141" spans="1:6" x14ac:dyDescent="0.25">
      <c r="A58141"/>
      <c r="B58141"/>
      <c r="C58141"/>
      <c r="E58141"/>
      <c r="F58141"/>
    </row>
    <row r="58142" spans="1:6" x14ac:dyDescent="0.25">
      <c r="A58142"/>
      <c r="B58142"/>
      <c r="C58142"/>
      <c r="E58142"/>
      <c r="F58142"/>
    </row>
    <row r="58143" spans="1:6" x14ac:dyDescent="0.25">
      <c r="A58143"/>
      <c r="B58143"/>
      <c r="C58143"/>
      <c r="E58143"/>
      <c r="F58143"/>
    </row>
    <row r="58144" spans="1:6" x14ac:dyDescent="0.25">
      <c r="A58144"/>
      <c r="B58144"/>
      <c r="C58144"/>
      <c r="E58144"/>
      <c r="F58144"/>
    </row>
    <row r="58145" spans="1:6" x14ac:dyDescent="0.25">
      <c r="A58145"/>
      <c r="B58145"/>
      <c r="C58145"/>
      <c r="E58145"/>
      <c r="F58145"/>
    </row>
    <row r="58146" spans="1:6" x14ac:dyDescent="0.25">
      <c r="A58146"/>
      <c r="B58146"/>
      <c r="C58146"/>
      <c r="E58146"/>
      <c r="F58146"/>
    </row>
    <row r="58147" spans="1:6" x14ac:dyDescent="0.25">
      <c r="A58147"/>
      <c r="B58147"/>
      <c r="C58147"/>
      <c r="E58147"/>
      <c r="F58147"/>
    </row>
    <row r="58148" spans="1:6" x14ac:dyDescent="0.25">
      <c r="A58148"/>
      <c r="B58148"/>
      <c r="C58148"/>
      <c r="E58148"/>
      <c r="F58148"/>
    </row>
    <row r="58149" spans="1:6" x14ac:dyDescent="0.25">
      <c r="A58149"/>
      <c r="B58149"/>
      <c r="C58149"/>
      <c r="E58149"/>
      <c r="F58149"/>
    </row>
    <row r="58150" spans="1:6" x14ac:dyDescent="0.25">
      <c r="A58150"/>
      <c r="B58150"/>
      <c r="C58150"/>
      <c r="E58150"/>
      <c r="F58150"/>
    </row>
    <row r="58151" spans="1:6" x14ac:dyDescent="0.25">
      <c r="A58151"/>
      <c r="B58151"/>
      <c r="C58151"/>
      <c r="E58151"/>
      <c r="F58151"/>
    </row>
    <row r="58152" spans="1:6" x14ac:dyDescent="0.25">
      <c r="A58152"/>
      <c r="B58152"/>
      <c r="C58152"/>
      <c r="E58152"/>
      <c r="F58152"/>
    </row>
    <row r="58153" spans="1:6" x14ac:dyDescent="0.25">
      <c r="A58153"/>
      <c r="B58153"/>
      <c r="C58153"/>
      <c r="E58153"/>
      <c r="F58153"/>
    </row>
    <row r="58154" spans="1:6" x14ac:dyDescent="0.25">
      <c r="A58154"/>
      <c r="B58154"/>
      <c r="C58154"/>
      <c r="E58154"/>
      <c r="F58154"/>
    </row>
    <row r="58155" spans="1:6" x14ac:dyDescent="0.25">
      <c r="A58155"/>
      <c r="B58155"/>
      <c r="C58155"/>
      <c r="E58155"/>
      <c r="F58155"/>
    </row>
    <row r="58156" spans="1:6" x14ac:dyDescent="0.25">
      <c r="A58156"/>
      <c r="B58156"/>
      <c r="C58156"/>
      <c r="E58156"/>
      <c r="F58156"/>
    </row>
    <row r="58157" spans="1:6" x14ac:dyDescent="0.25">
      <c r="A58157"/>
      <c r="B58157"/>
      <c r="C58157"/>
      <c r="E58157"/>
      <c r="F58157"/>
    </row>
    <row r="58158" spans="1:6" x14ac:dyDescent="0.25">
      <c r="A58158"/>
      <c r="B58158"/>
      <c r="C58158"/>
      <c r="E58158"/>
      <c r="F58158"/>
    </row>
    <row r="58159" spans="1:6" x14ac:dyDescent="0.25">
      <c r="A58159"/>
      <c r="B58159"/>
      <c r="C58159"/>
      <c r="E58159"/>
      <c r="F58159"/>
    </row>
    <row r="58160" spans="1:6" x14ac:dyDescent="0.25">
      <c r="A58160"/>
      <c r="B58160"/>
      <c r="C58160"/>
      <c r="E58160"/>
      <c r="F58160"/>
    </row>
    <row r="58161" spans="1:6" x14ac:dyDescent="0.25">
      <c r="A58161"/>
      <c r="B58161"/>
      <c r="C58161"/>
      <c r="E58161"/>
      <c r="F58161"/>
    </row>
    <row r="58162" spans="1:6" x14ac:dyDescent="0.25">
      <c r="A58162"/>
      <c r="B58162"/>
      <c r="C58162"/>
      <c r="E58162"/>
      <c r="F58162"/>
    </row>
    <row r="58163" spans="1:6" x14ac:dyDescent="0.25">
      <c r="A58163"/>
      <c r="B58163"/>
      <c r="C58163"/>
      <c r="E58163"/>
      <c r="F58163"/>
    </row>
    <row r="58164" spans="1:6" x14ac:dyDescent="0.25">
      <c r="A58164"/>
      <c r="B58164"/>
      <c r="C58164"/>
      <c r="E58164"/>
      <c r="F58164"/>
    </row>
    <row r="58165" spans="1:6" x14ac:dyDescent="0.25">
      <c r="A58165"/>
      <c r="B58165"/>
      <c r="C58165"/>
      <c r="E58165"/>
      <c r="F58165"/>
    </row>
    <row r="58166" spans="1:6" x14ac:dyDescent="0.25">
      <c r="A58166"/>
      <c r="B58166"/>
      <c r="C58166"/>
      <c r="E58166"/>
      <c r="F58166"/>
    </row>
    <row r="58167" spans="1:6" x14ac:dyDescent="0.25">
      <c r="A58167"/>
      <c r="B58167"/>
      <c r="C58167"/>
      <c r="E58167"/>
      <c r="F58167"/>
    </row>
    <row r="58168" spans="1:6" x14ac:dyDescent="0.25">
      <c r="A58168"/>
      <c r="B58168"/>
      <c r="C58168"/>
      <c r="E58168"/>
      <c r="F58168"/>
    </row>
    <row r="58169" spans="1:6" x14ac:dyDescent="0.25">
      <c r="A58169"/>
      <c r="B58169"/>
      <c r="C58169"/>
      <c r="E58169"/>
      <c r="F58169"/>
    </row>
    <row r="58170" spans="1:6" x14ac:dyDescent="0.25">
      <c r="A58170"/>
      <c r="B58170"/>
      <c r="C58170"/>
      <c r="E58170"/>
      <c r="F58170"/>
    </row>
    <row r="58171" spans="1:6" x14ac:dyDescent="0.25">
      <c r="A58171"/>
      <c r="B58171"/>
      <c r="C58171"/>
      <c r="E58171"/>
      <c r="F58171"/>
    </row>
    <row r="58172" spans="1:6" x14ac:dyDescent="0.25">
      <c r="A58172"/>
      <c r="B58172"/>
      <c r="C58172"/>
      <c r="E58172"/>
      <c r="F58172"/>
    </row>
    <row r="58173" spans="1:6" x14ac:dyDescent="0.25">
      <c r="A58173"/>
      <c r="B58173"/>
      <c r="C58173"/>
      <c r="E58173"/>
      <c r="F58173"/>
    </row>
    <row r="58174" spans="1:6" x14ac:dyDescent="0.25">
      <c r="A58174"/>
      <c r="B58174"/>
      <c r="C58174"/>
      <c r="E58174"/>
      <c r="F58174"/>
    </row>
    <row r="58175" spans="1:6" x14ac:dyDescent="0.25">
      <c r="A58175"/>
      <c r="B58175"/>
      <c r="C58175"/>
      <c r="E58175"/>
      <c r="F58175"/>
    </row>
    <row r="58176" spans="1:6" x14ac:dyDescent="0.25">
      <c r="A58176"/>
      <c r="B58176"/>
      <c r="C58176"/>
      <c r="E58176"/>
      <c r="F58176"/>
    </row>
    <row r="58177" spans="1:6" x14ac:dyDescent="0.25">
      <c r="A58177"/>
      <c r="B58177"/>
      <c r="C58177"/>
      <c r="E58177"/>
      <c r="F58177"/>
    </row>
    <row r="58178" spans="1:6" x14ac:dyDescent="0.25">
      <c r="A58178"/>
      <c r="B58178"/>
      <c r="C58178"/>
      <c r="E58178"/>
      <c r="F58178"/>
    </row>
    <row r="58179" spans="1:6" x14ac:dyDescent="0.25">
      <c r="A58179"/>
      <c r="B58179"/>
      <c r="C58179"/>
      <c r="E58179"/>
      <c r="F58179"/>
    </row>
    <row r="58180" spans="1:6" x14ac:dyDescent="0.25">
      <c r="A58180"/>
      <c r="B58180"/>
      <c r="C58180"/>
      <c r="E58180"/>
      <c r="F58180"/>
    </row>
    <row r="58181" spans="1:6" x14ac:dyDescent="0.25">
      <c r="A58181"/>
      <c r="B58181"/>
      <c r="C58181"/>
      <c r="E58181"/>
      <c r="F58181"/>
    </row>
    <row r="58182" spans="1:6" x14ac:dyDescent="0.25">
      <c r="A58182"/>
      <c r="B58182"/>
      <c r="C58182"/>
      <c r="E58182"/>
      <c r="F58182"/>
    </row>
    <row r="58183" spans="1:6" x14ac:dyDescent="0.25">
      <c r="A58183"/>
      <c r="B58183"/>
      <c r="C58183"/>
      <c r="E58183"/>
      <c r="F58183"/>
    </row>
    <row r="58184" spans="1:6" x14ac:dyDescent="0.25">
      <c r="A58184"/>
      <c r="B58184"/>
      <c r="C58184"/>
      <c r="E58184"/>
      <c r="F58184"/>
    </row>
    <row r="58185" spans="1:6" x14ac:dyDescent="0.25">
      <c r="A58185"/>
      <c r="B58185"/>
      <c r="C58185"/>
      <c r="E58185"/>
      <c r="F58185"/>
    </row>
    <row r="58186" spans="1:6" x14ac:dyDescent="0.25">
      <c r="A58186"/>
      <c r="B58186"/>
      <c r="C58186"/>
      <c r="E58186"/>
      <c r="F58186"/>
    </row>
    <row r="58187" spans="1:6" x14ac:dyDescent="0.25">
      <c r="A58187"/>
      <c r="B58187"/>
      <c r="C58187"/>
      <c r="E58187"/>
      <c r="F58187"/>
    </row>
    <row r="58188" spans="1:6" x14ac:dyDescent="0.25">
      <c r="A58188"/>
      <c r="B58188"/>
      <c r="C58188"/>
      <c r="E58188"/>
      <c r="F58188"/>
    </row>
    <row r="58189" spans="1:6" x14ac:dyDescent="0.25">
      <c r="A58189"/>
      <c r="B58189"/>
      <c r="C58189"/>
      <c r="E58189"/>
      <c r="F58189"/>
    </row>
    <row r="58190" spans="1:6" x14ac:dyDescent="0.25">
      <c r="A58190"/>
      <c r="B58190"/>
      <c r="C58190"/>
      <c r="E58190"/>
      <c r="F58190"/>
    </row>
    <row r="58191" spans="1:6" x14ac:dyDescent="0.25">
      <c r="A58191"/>
      <c r="B58191"/>
      <c r="C58191"/>
      <c r="E58191"/>
      <c r="F58191"/>
    </row>
    <row r="58192" spans="1:6" x14ac:dyDescent="0.25">
      <c r="A58192"/>
      <c r="B58192"/>
      <c r="C58192"/>
      <c r="E58192"/>
      <c r="F58192"/>
    </row>
    <row r="58193" spans="1:6" x14ac:dyDescent="0.25">
      <c r="A58193"/>
      <c r="B58193"/>
      <c r="C58193"/>
      <c r="E58193"/>
      <c r="F58193"/>
    </row>
    <row r="58194" spans="1:6" x14ac:dyDescent="0.25">
      <c r="A58194"/>
      <c r="B58194"/>
      <c r="C58194"/>
      <c r="E58194"/>
      <c r="F58194"/>
    </row>
    <row r="58195" spans="1:6" x14ac:dyDescent="0.25">
      <c r="A58195"/>
      <c r="B58195"/>
      <c r="C58195"/>
      <c r="E58195"/>
      <c r="F58195"/>
    </row>
    <row r="58196" spans="1:6" x14ac:dyDescent="0.25">
      <c r="A58196"/>
      <c r="B58196"/>
      <c r="C58196"/>
      <c r="E58196"/>
      <c r="F58196"/>
    </row>
    <row r="58197" spans="1:6" x14ac:dyDescent="0.25">
      <c r="A58197"/>
      <c r="B58197"/>
      <c r="C58197"/>
      <c r="E58197"/>
      <c r="F58197"/>
    </row>
    <row r="58198" spans="1:6" x14ac:dyDescent="0.25">
      <c r="A58198"/>
      <c r="B58198"/>
      <c r="C58198"/>
      <c r="E58198"/>
      <c r="F58198"/>
    </row>
    <row r="58199" spans="1:6" x14ac:dyDescent="0.25">
      <c r="A58199"/>
      <c r="B58199"/>
      <c r="C58199"/>
      <c r="E58199"/>
      <c r="F58199"/>
    </row>
    <row r="58200" spans="1:6" x14ac:dyDescent="0.25">
      <c r="A58200"/>
      <c r="B58200"/>
      <c r="C58200"/>
      <c r="E58200"/>
      <c r="F58200"/>
    </row>
    <row r="58201" spans="1:6" x14ac:dyDescent="0.25">
      <c r="A58201"/>
      <c r="B58201"/>
      <c r="C58201"/>
      <c r="E58201"/>
      <c r="F58201"/>
    </row>
    <row r="58202" spans="1:6" x14ac:dyDescent="0.25">
      <c r="A58202"/>
      <c r="B58202"/>
      <c r="C58202"/>
      <c r="E58202"/>
      <c r="F58202"/>
    </row>
    <row r="58203" spans="1:6" x14ac:dyDescent="0.25">
      <c r="A58203"/>
      <c r="B58203"/>
      <c r="C58203"/>
      <c r="E58203"/>
      <c r="F58203"/>
    </row>
    <row r="58204" spans="1:6" x14ac:dyDescent="0.25">
      <c r="A58204"/>
      <c r="B58204"/>
      <c r="C58204"/>
      <c r="E58204"/>
      <c r="F58204"/>
    </row>
    <row r="58205" spans="1:6" x14ac:dyDescent="0.25">
      <c r="A58205"/>
      <c r="B58205"/>
      <c r="C58205"/>
      <c r="E58205"/>
      <c r="F58205"/>
    </row>
    <row r="58206" spans="1:6" x14ac:dyDescent="0.25">
      <c r="A58206"/>
      <c r="B58206"/>
      <c r="C58206"/>
      <c r="E58206"/>
      <c r="F58206"/>
    </row>
    <row r="58207" spans="1:6" x14ac:dyDescent="0.25">
      <c r="A58207"/>
      <c r="B58207"/>
      <c r="C58207"/>
      <c r="E58207"/>
      <c r="F58207"/>
    </row>
    <row r="58208" spans="1:6" x14ac:dyDescent="0.25">
      <c r="A58208"/>
      <c r="B58208"/>
      <c r="C58208"/>
      <c r="E58208"/>
      <c r="F58208"/>
    </row>
    <row r="58209" spans="1:6" x14ac:dyDescent="0.25">
      <c r="A58209"/>
      <c r="B58209"/>
      <c r="C58209"/>
      <c r="E58209"/>
      <c r="F58209"/>
    </row>
    <row r="58210" spans="1:6" x14ac:dyDescent="0.25">
      <c r="A58210"/>
      <c r="B58210"/>
      <c r="C58210"/>
      <c r="E58210"/>
      <c r="F58210"/>
    </row>
    <row r="58211" spans="1:6" x14ac:dyDescent="0.25">
      <c r="A58211"/>
      <c r="B58211"/>
      <c r="C58211"/>
      <c r="E58211"/>
      <c r="F58211"/>
    </row>
    <row r="58212" spans="1:6" x14ac:dyDescent="0.25">
      <c r="A58212"/>
      <c r="B58212"/>
      <c r="C58212"/>
      <c r="E58212"/>
      <c r="F58212"/>
    </row>
    <row r="58213" spans="1:6" x14ac:dyDescent="0.25">
      <c r="A58213"/>
      <c r="B58213"/>
      <c r="C58213"/>
      <c r="E58213"/>
      <c r="F58213"/>
    </row>
    <row r="58214" spans="1:6" x14ac:dyDescent="0.25">
      <c r="A58214"/>
      <c r="B58214"/>
      <c r="C58214"/>
      <c r="E58214"/>
      <c r="F58214"/>
    </row>
    <row r="58215" spans="1:6" x14ac:dyDescent="0.25">
      <c r="A58215"/>
      <c r="B58215"/>
      <c r="C58215"/>
      <c r="E58215"/>
      <c r="F58215"/>
    </row>
    <row r="58216" spans="1:6" x14ac:dyDescent="0.25">
      <c r="A58216"/>
      <c r="B58216"/>
      <c r="C58216"/>
      <c r="E58216"/>
      <c r="F58216"/>
    </row>
    <row r="58217" spans="1:6" x14ac:dyDescent="0.25">
      <c r="A58217"/>
      <c r="B58217"/>
      <c r="C58217"/>
      <c r="E58217"/>
      <c r="F58217"/>
    </row>
    <row r="58218" spans="1:6" x14ac:dyDescent="0.25">
      <c r="A58218"/>
      <c r="B58218"/>
      <c r="C58218"/>
      <c r="E58218"/>
      <c r="F58218"/>
    </row>
    <row r="58219" spans="1:6" x14ac:dyDescent="0.25">
      <c r="A58219"/>
      <c r="B58219"/>
      <c r="C58219"/>
      <c r="E58219"/>
      <c r="F58219"/>
    </row>
    <row r="58220" spans="1:6" x14ac:dyDescent="0.25">
      <c r="A58220"/>
      <c r="B58220"/>
      <c r="C58220"/>
      <c r="E58220"/>
      <c r="F58220"/>
    </row>
    <row r="58221" spans="1:6" x14ac:dyDescent="0.25">
      <c r="A58221"/>
      <c r="B58221"/>
      <c r="C58221"/>
      <c r="E58221"/>
      <c r="F58221"/>
    </row>
    <row r="58222" spans="1:6" x14ac:dyDescent="0.25">
      <c r="A58222"/>
      <c r="B58222"/>
      <c r="C58222"/>
      <c r="E58222"/>
      <c r="F58222"/>
    </row>
    <row r="58223" spans="1:6" x14ac:dyDescent="0.25">
      <c r="A58223"/>
      <c r="B58223"/>
      <c r="C58223"/>
      <c r="E58223"/>
      <c r="F58223"/>
    </row>
    <row r="58224" spans="1:6" x14ac:dyDescent="0.25">
      <c r="A58224"/>
      <c r="B58224"/>
      <c r="C58224"/>
      <c r="E58224"/>
      <c r="F58224"/>
    </row>
    <row r="58225" spans="1:6" x14ac:dyDescent="0.25">
      <c r="A58225"/>
      <c r="B58225"/>
      <c r="C58225"/>
      <c r="E58225"/>
      <c r="F58225"/>
    </row>
    <row r="58226" spans="1:6" x14ac:dyDescent="0.25">
      <c r="A58226"/>
      <c r="B58226"/>
      <c r="C58226"/>
      <c r="E58226"/>
      <c r="F58226"/>
    </row>
    <row r="58227" spans="1:6" x14ac:dyDescent="0.25">
      <c r="A58227"/>
      <c r="B58227"/>
      <c r="C58227"/>
      <c r="E58227"/>
      <c r="F58227"/>
    </row>
    <row r="58228" spans="1:6" x14ac:dyDescent="0.25">
      <c r="A58228"/>
      <c r="B58228"/>
      <c r="C58228"/>
      <c r="E58228"/>
      <c r="F58228"/>
    </row>
    <row r="58229" spans="1:6" x14ac:dyDescent="0.25">
      <c r="A58229"/>
      <c r="B58229"/>
      <c r="C58229"/>
      <c r="E58229"/>
      <c r="F58229"/>
    </row>
    <row r="58230" spans="1:6" x14ac:dyDescent="0.25">
      <c r="A58230"/>
      <c r="B58230"/>
      <c r="C58230"/>
      <c r="E58230"/>
      <c r="F58230"/>
    </row>
    <row r="58231" spans="1:6" x14ac:dyDescent="0.25">
      <c r="A58231"/>
      <c r="B58231"/>
      <c r="C58231"/>
      <c r="E58231"/>
      <c r="F58231"/>
    </row>
    <row r="58232" spans="1:6" x14ac:dyDescent="0.25">
      <c r="A58232"/>
      <c r="B58232"/>
      <c r="C58232"/>
      <c r="E58232"/>
      <c r="F58232"/>
    </row>
    <row r="58233" spans="1:6" x14ac:dyDescent="0.25">
      <c r="A58233"/>
      <c r="B58233"/>
      <c r="C58233"/>
      <c r="E58233"/>
      <c r="F58233"/>
    </row>
    <row r="58234" spans="1:6" x14ac:dyDescent="0.25">
      <c r="A58234"/>
      <c r="B58234"/>
      <c r="C58234"/>
      <c r="E58234"/>
      <c r="F58234"/>
    </row>
    <row r="58235" spans="1:6" x14ac:dyDescent="0.25">
      <c r="A58235"/>
      <c r="B58235"/>
      <c r="C58235"/>
      <c r="E58235"/>
      <c r="F58235"/>
    </row>
    <row r="58236" spans="1:6" x14ac:dyDescent="0.25">
      <c r="A58236"/>
      <c r="B58236"/>
      <c r="C58236"/>
      <c r="E58236"/>
      <c r="F58236"/>
    </row>
    <row r="58237" spans="1:6" x14ac:dyDescent="0.25">
      <c r="A58237"/>
      <c r="B58237"/>
      <c r="C58237"/>
      <c r="E58237"/>
      <c r="F58237"/>
    </row>
    <row r="58238" spans="1:6" x14ac:dyDescent="0.25">
      <c r="A58238"/>
      <c r="B58238"/>
      <c r="C58238"/>
      <c r="E58238"/>
      <c r="F58238"/>
    </row>
    <row r="58239" spans="1:6" x14ac:dyDescent="0.25">
      <c r="A58239"/>
      <c r="B58239"/>
      <c r="C58239"/>
      <c r="E58239"/>
      <c r="F58239"/>
    </row>
    <row r="58240" spans="1:6" x14ac:dyDescent="0.25">
      <c r="A58240"/>
      <c r="B58240"/>
      <c r="C58240"/>
      <c r="E58240"/>
      <c r="F58240"/>
    </row>
    <row r="58241" spans="1:6" x14ac:dyDescent="0.25">
      <c r="A58241"/>
      <c r="B58241"/>
      <c r="C58241"/>
      <c r="E58241"/>
      <c r="F58241"/>
    </row>
    <row r="58242" spans="1:6" x14ac:dyDescent="0.25">
      <c r="A58242"/>
      <c r="B58242"/>
      <c r="C58242"/>
      <c r="E58242"/>
      <c r="F58242"/>
    </row>
    <row r="58243" spans="1:6" x14ac:dyDescent="0.25">
      <c r="A58243"/>
      <c r="B58243"/>
      <c r="C58243"/>
      <c r="E58243"/>
      <c r="F58243"/>
    </row>
    <row r="58244" spans="1:6" x14ac:dyDescent="0.25">
      <c r="A58244"/>
      <c r="B58244"/>
      <c r="C58244"/>
      <c r="E58244"/>
      <c r="F58244"/>
    </row>
    <row r="58245" spans="1:6" x14ac:dyDescent="0.25">
      <c r="A58245"/>
      <c r="B58245"/>
      <c r="C58245"/>
      <c r="E58245"/>
      <c r="F58245"/>
    </row>
    <row r="58246" spans="1:6" x14ac:dyDescent="0.25">
      <c r="A58246"/>
      <c r="B58246"/>
      <c r="C58246"/>
      <c r="E58246"/>
      <c r="F58246"/>
    </row>
    <row r="58247" spans="1:6" x14ac:dyDescent="0.25">
      <c r="A58247"/>
      <c r="B58247"/>
      <c r="C58247"/>
      <c r="E58247"/>
      <c r="F58247"/>
    </row>
    <row r="58248" spans="1:6" x14ac:dyDescent="0.25">
      <c r="A58248"/>
      <c r="B58248"/>
      <c r="C58248"/>
      <c r="E58248"/>
      <c r="F58248"/>
    </row>
    <row r="58249" spans="1:6" x14ac:dyDescent="0.25">
      <c r="A58249"/>
      <c r="B58249"/>
      <c r="C58249"/>
      <c r="E58249"/>
      <c r="F58249"/>
    </row>
    <row r="58250" spans="1:6" x14ac:dyDescent="0.25">
      <c r="A58250"/>
      <c r="B58250"/>
      <c r="C58250"/>
      <c r="E58250"/>
      <c r="F58250"/>
    </row>
    <row r="58251" spans="1:6" x14ac:dyDescent="0.25">
      <c r="A58251"/>
      <c r="B58251"/>
      <c r="C58251"/>
      <c r="E58251"/>
      <c r="F58251"/>
    </row>
    <row r="58252" spans="1:6" x14ac:dyDescent="0.25">
      <c r="A58252"/>
      <c r="B58252"/>
      <c r="C58252"/>
      <c r="E58252"/>
      <c r="F58252"/>
    </row>
    <row r="58253" spans="1:6" x14ac:dyDescent="0.25">
      <c r="A58253"/>
      <c r="B58253"/>
      <c r="C58253"/>
      <c r="E58253"/>
      <c r="F58253"/>
    </row>
    <row r="58254" spans="1:6" x14ac:dyDescent="0.25">
      <c r="A58254"/>
      <c r="B58254"/>
      <c r="C58254"/>
      <c r="E58254"/>
      <c r="F58254"/>
    </row>
    <row r="58255" spans="1:6" x14ac:dyDescent="0.25">
      <c r="A58255"/>
      <c r="B58255"/>
      <c r="C58255"/>
      <c r="E58255"/>
      <c r="F58255"/>
    </row>
    <row r="58256" spans="1:6" x14ac:dyDescent="0.25">
      <c r="A58256"/>
      <c r="B58256"/>
      <c r="C58256"/>
      <c r="E58256"/>
      <c r="F58256"/>
    </row>
    <row r="58257" spans="1:6" x14ac:dyDescent="0.25">
      <c r="A58257"/>
      <c r="B58257"/>
      <c r="C58257"/>
      <c r="E58257"/>
      <c r="F58257"/>
    </row>
    <row r="58258" spans="1:6" x14ac:dyDescent="0.25">
      <c r="A58258"/>
      <c r="B58258"/>
      <c r="C58258"/>
      <c r="E58258"/>
      <c r="F58258"/>
    </row>
    <row r="58259" spans="1:6" x14ac:dyDescent="0.25">
      <c r="A58259"/>
      <c r="B58259"/>
      <c r="C58259"/>
      <c r="E58259"/>
      <c r="F58259"/>
    </row>
    <row r="58260" spans="1:6" x14ac:dyDescent="0.25">
      <c r="A58260"/>
      <c r="B58260"/>
      <c r="C58260"/>
      <c r="E58260"/>
      <c r="F58260"/>
    </row>
    <row r="58261" spans="1:6" x14ac:dyDescent="0.25">
      <c r="A58261"/>
      <c r="B58261"/>
      <c r="C58261"/>
      <c r="E58261"/>
      <c r="F58261"/>
    </row>
    <row r="58262" spans="1:6" x14ac:dyDescent="0.25">
      <c r="A58262"/>
      <c r="B58262"/>
      <c r="C58262"/>
      <c r="E58262"/>
      <c r="F58262"/>
    </row>
    <row r="58263" spans="1:6" x14ac:dyDescent="0.25">
      <c r="A58263"/>
      <c r="B58263"/>
      <c r="C58263"/>
      <c r="E58263"/>
      <c r="F58263"/>
    </row>
    <row r="58264" spans="1:6" x14ac:dyDescent="0.25">
      <c r="A58264"/>
      <c r="B58264"/>
      <c r="C58264"/>
      <c r="E58264"/>
      <c r="F58264"/>
    </row>
    <row r="58265" spans="1:6" x14ac:dyDescent="0.25">
      <c r="A58265"/>
      <c r="B58265"/>
      <c r="C58265"/>
      <c r="E58265"/>
      <c r="F58265"/>
    </row>
    <row r="58266" spans="1:6" x14ac:dyDescent="0.25">
      <c r="A58266"/>
      <c r="B58266"/>
      <c r="C58266"/>
      <c r="E58266"/>
      <c r="F58266"/>
    </row>
    <row r="58267" spans="1:6" x14ac:dyDescent="0.25">
      <c r="A58267"/>
      <c r="B58267"/>
      <c r="C58267"/>
      <c r="E58267"/>
      <c r="F58267"/>
    </row>
    <row r="58268" spans="1:6" x14ac:dyDescent="0.25">
      <c r="A58268"/>
      <c r="B58268"/>
      <c r="C58268"/>
      <c r="E58268"/>
      <c r="F58268"/>
    </row>
    <row r="58269" spans="1:6" x14ac:dyDescent="0.25">
      <c r="A58269"/>
      <c r="B58269"/>
      <c r="C58269"/>
      <c r="E58269"/>
      <c r="F58269"/>
    </row>
    <row r="58270" spans="1:6" x14ac:dyDescent="0.25">
      <c r="A58270"/>
      <c r="B58270"/>
      <c r="C58270"/>
      <c r="E58270"/>
      <c r="F58270"/>
    </row>
    <row r="58271" spans="1:6" x14ac:dyDescent="0.25">
      <c r="A58271"/>
      <c r="B58271"/>
      <c r="C58271"/>
      <c r="E58271"/>
      <c r="F58271"/>
    </row>
    <row r="58272" spans="1:6" x14ac:dyDescent="0.25">
      <c r="A58272"/>
      <c r="B58272"/>
      <c r="C58272"/>
      <c r="E58272"/>
      <c r="F58272"/>
    </row>
    <row r="58273" spans="1:6" x14ac:dyDescent="0.25">
      <c r="A58273"/>
      <c r="B58273"/>
      <c r="C58273"/>
      <c r="E58273"/>
      <c r="F58273"/>
    </row>
    <row r="58274" spans="1:6" x14ac:dyDescent="0.25">
      <c r="A58274"/>
      <c r="B58274"/>
      <c r="C58274"/>
      <c r="E58274"/>
      <c r="F58274"/>
    </row>
    <row r="58275" spans="1:6" x14ac:dyDescent="0.25">
      <c r="A58275"/>
      <c r="B58275"/>
      <c r="C58275"/>
      <c r="E58275"/>
      <c r="F58275"/>
    </row>
    <row r="58276" spans="1:6" x14ac:dyDescent="0.25">
      <c r="A58276"/>
      <c r="B58276"/>
      <c r="C58276"/>
      <c r="E58276"/>
      <c r="F58276"/>
    </row>
    <row r="58277" spans="1:6" x14ac:dyDescent="0.25">
      <c r="A58277"/>
      <c r="B58277"/>
      <c r="C58277"/>
      <c r="E58277"/>
      <c r="F58277"/>
    </row>
    <row r="58278" spans="1:6" x14ac:dyDescent="0.25">
      <c r="A58278"/>
      <c r="B58278"/>
      <c r="C58278"/>
      <c r="E58278"/>
      <c r="F58278"/>
    </row>
    <row r="58279" spans="1:6" x14ac:dyDescent="0.25">
      <c r="A58279"/>
      <c r="B58279"/>
      <c r="C58279"/>
      <c r="E58279"/>
      <c r="F58279"/>
    </row>
    <row r="58280" spans="1:6" x14ac:dyDescent="0.25">
      <c r="A58280"/>
      <c r="B58280"/>
      <c r="C58280"/>
      <c r="E58280"/>
      <c r="F58280"/>
    </row>
    <row r="58281" spans="1:6" x14ac:dyDescent="0.25">
      <c r="A58281"/>
      <c r="B58281"/>
      <c r="C58281"/>
      <c r="E58281"/>
      <c r="F58281"/>
    </row>
    <row r="58282" spans="1:6" x14ac:dyDescent="0.25">
      <c r="A58282"/>
      <c r="B58282"/>
      <c r="C58282"/>
      <c r="E58282"/>
      <c r="F58282"/>
    </row>
    <row r="58283" spans="1:6" x14ac:dyDescent="0.25">
      <c r="A58283"/>
      <c r="B58283"/>
      <c r="C58283"/>
      <c r="E58283"/>
      <c r="F58283"/>
    </row>
    <row r="58284" spans="1:6" x14ac:dyDescent="0.25">
      <c r="A58284"/>
      <c r="B58284"/>
      <c r="C58284"/>
      <c r="E58284"/>
      <c r="F58284"/>
    </row>
    <row r="58285" spans="1:6" x14ac:dyDescent="0.25">
      <c r="A58285"/>
      <c r="B58285"/>
      <c r="C58285"/>
      <c r="E58285"/>
      <c r="F58285"/>
    </row>
    <row r="58286" spans="1:6" x14ac:dyDescent="0.25">
      <c r="A58286"/>
      <c r="B58286"/>
      <c r="C58286"/>
      <c r="E58286"/>
      <c r="F58286"/>
    </row>
    <row r="58287" spans="1:6" x14ac:dyDescent="0.25">
      <c r="A58287"/>
      <c r="B58287"/>
      <c r="C58287"/>
      <c r="E58287"/>
      <c r="F58287"/>
    </row>
    <row r="58288" spans="1:6" x14ac:dyDescent="0.25">
      <c r="A58288"/>
      <c r="B58288"/>
      <c r="C58288"/>
      <c r="E58288"/>
      <c r="F58288"/>
    </row>
    <row r="58289" spans="1:6" x14ac:dyDescent="0.25">
      <c r="A58289"/>
      <c r="B58289"/>
      <c r="C58289"/>
      <c r="E58289"/>
      <c r="F58289"/>
    </row>
    <row r="58290" spans="1:6" x14ac:dyDescent="0.25">
      <c r="A58290"/>
      <c r="B58290"/>
      <c r="C58290"/>
      <c r="E58290"/>
      <c r="F58290"/>
    </row>
    <row r="58291" spans="1:6" x14ac:dyDescent="0.25">
      <c r="A58291"/>
      <c r="B58291"/>
      <c r="C58291"/>
      <c r="E58291"/>
      <c r="F58291"/>
    </row>
    <row r="58292" spans="1:6" x14ac:dyDescent="0.25">
      <c r="A58292"/>
      <c r="B58292"/>
      <c r="C58292"/>
      <c r="E58292"/>
      <c r="F58292"/>
    </row>
    <row r="58293" spans="1:6" x14ac:dyDescent="0.25">
      <c r="A58293"/>
      <c r="B58293"/>
      <c r="C58293"/>
      <c r="E58293"/>
      <c r="F58293"/>
    </row>
    <row r="58294" spans="1:6" x14ac:dyDescent="0.25">
      <c r="A58294"/>
      <c r="B58294"/>
      <c r="C58294"/>
      <c r="E58294"/>
      <c r="F58294"/>
    </row>
    <row r="58295" spans="1:6" x14ac:dyDescent="0.25">
      <c r="A58295"/>
      <c r="B58295"/>
      <c r="C58295"/>
      <c r="E58295"/>
      <c r="F58295"/>
    </row>
    <row r="58296" spans="1:6" x14ac:dyDescent="0.25">
      <c r="A58296"/>
      <c r="B58296"/>
      <c r="C58296"/>
      <c r="E58296"/>
      <c r="F58296"/>
    </row>
    <row r="58297" spans="1:6" x14ac:dyDescent="0.25">
      <c r="A58297"/>
      <c r="B58297"/>
      <c r="C58297"/>
      <c r="E58297"/>
      <c r="F58297"/>
    </row>
    <row r="58298" spans="1:6" x14ac:dyDescent="0.25">
      <c r="A58298"/>
      <c r="B58298"/>
      <c r="C58298"/>
      <c r="E58298"/>
      <c r="F58298"/>
    </row>
    <row r="58299" spans="1:6" x14ac:dyDescent="0.25">
      <c r="A58299"/>
      <c r="B58299"/>
      <c r="C58299"/>
      <c r="E58299"/>
      <c r="F58299"/>
    </row>
    <row r="58300" spans="1:6" x14ac:dyDescent="0.25">
      <c r="A58300"/>
      <c r="B58300"/>
      <c r="C58300"/>
      <c r="E58300"/>
      <c r="F58300"/>
    </row>
    <row r="58301" spans="1:6" x14ac:dyDescent="0.25">
      <c r="A58301"/>
      <c r="B58301"/>
      <c r="C58301"/>
      <c r="E58301"/>
      <c r="F58301"/>
    </row>
    <row r="58302" spans="1:6" x14ac:dyDescent="0.25">
      <c r="A58302"/>
      <c r="B58302"/>
      <c r="C58302"/>
      <c r="E58302"/>
      <c r="F58302"/>
    </row>
    <row r="58303" spans="1:6" x14ac:dyDescent="0.25">
      <c r="A58303"/>
      <c r="B58303"/>
      <c r="C58303"/>
      <c r="E58303"/>
      <c r="F58303"/>
    </row>
    <row r="58304" spans="1:6" x14ac:dyDescent="0.25">
      <c r="A58304"/>
      <c r="B58304"/>
      <c r="C58304"/>
      <c r="E58304"/>
      <c r="F58304"/>
    </row>
    <row r="58305" spans="1:6" x14ac:dyDescent="0.25">
      <c r="A58305"/>
      <c r="B58305"/>
      <c r="C58305"/>
      <c r="E58305"/>
      <c r="F58305"/>
    </row>
    <row r="58306" spans="1:6" x14ac:dyDescent="0.25">
      <c r="A58306"/>
      <c r="B58306"/>
      <c r="C58306"/>
      <c r="E58306"/>
      <c r="F58306"/>
    </row>
    <row r="58307" spans="1:6" x14ac:dyDescent="0.25">
      <c r="A58307"/>
      <c r="B58307"/>
      <c r="C58307"/>
      <c r="E58307"/>
      <c r="F58307"/>
    </row>
    <row r="58308" spans="1:6" x14ac:dyDescent="0.25">
      <c r="A58308"/>
      <c r="B58308"/>
      <c r="C58308"/>
      <c r="E58308"/>
      <c r="F58308"/>
    </row>
    <row r="58309" spans="1:6" x14ac:dyDescent="0.25">
      <c r="A58309"/>
      <c r="B58309"/>
      <c r="C58309"/>
      <c r="E58309"/>
      <c r="F58309"/>
    </row>
    <row r="58310" spans="1:6" x14ac:dyDescent="0.25">
      <c r="A58310"/>
      <c r="B58310"/>
      <c r="C58310"/>
      <c r="E58310"/>
      <c r="F58310"/>
    </row>
    <row r="58311" spans="1:6" x14ac:dyDescent="0.25">
      <c r="A58311"/>
      <c r="B58311"/>
      <c r="C58311"/>
      <c r="E58311"/>
      <c r="F58311"/>
    </row>
    <row r="58312" spans="1:6" x14ac:dyDescent="0.25">
      <c r="A58312"/>
      <c r="B58312"/>
      <c r="C58312"/>
      <c r="E58312"/>
      <c r="F58312"/>
    </row>
    <row r="58313" spans="1:6" x14ac:dyDescent="0.25">
      <c r="A58313"/>
      <c r="B58313"/>
      <c r="C58313"/>
      <c r="E58313"/>
      <c r="F58313"/>
    </row>
    <row r="58314" spans="1:6" x14ac:dyDescent="0.25">
      <c r="A58314"/>
      <c r="B58314"/>
      <c r="C58314"/>
      <c r="E58314"/>
      <c r="F58314"/>
    </row>
    <row r="58315" spans="1:6" x14ac:dyDescent="0.25">
      <c r="A58315"/>
      <c r="B58315"/>
      <c r="C58315"/>
      <c r="E58315"/>
      <c r="F58315"/>
    </row>
    <row r="58316" spans="1:6" x14ac:dyDescent="0.25">
      <c r="A58316"/>
      <c r="B58316"/>
      <c r="C58316"/>
      <c r="E58316"/>
      <c r="F58316"/>
    </row>
    <row r="58317" spans="1:6" x14ac:dyDescent="0.25">
      <c r="A58317"/>
      <c r="B58317"/>
      <c r="C58317"/>
      <c r="E58317"/>
      <c r="F58317"/>
    </row>
    <row r="58318" spans="1:6" x14ac:dyDescent="0.25">
      <c r="A58318"/>
      <c r="B58318"/>
      <c r="C58318"/>
      <c r="E58318"/>
      <c r="F58318"/>
    </row>
    <row r="58319" spans="1:6" x14ac:dyDescent="0.25">
      <c r="A58319"/>
      <c r="B58319"/>
      <c r="C58319"/>
      <c r="E58319"/>
      <c r="F58319"/>
    </row>
    <row r="58320" spans="1:6" x14ac:dyDescent="0.25">
      <c r="A58320"/>
      <c r="B58320"/>
      <c r="C58320"/>
      <c r="E58320"/>
      <c r="F58320"/>
    </row>
    <row r="58321" spans="1:6" x14ac:dyDescent="0.25">
      <c r="A58321"/>
      <c r="B58321"/>
      <c r="C58321"/>
      <c r="E58321"/>
      <c r="F58321"/>
    </row>
    <row r="58322" spans="1:6" x14ac:dyDescent="0.25">
      <c r="A58322"/>
      <c r="B58322"/>
      <c r="C58322"/>
      <c r="E58322"/>
      <c r="F58322"/>
    </row>
    <row r="58323" spans="1:6" x14ac:dyDescent="0.25">
      <c r="A58323"/>
      <c r="B58323"/>
      <c r="C58323"/>
      <c r="E58323"/>
      <c r="F58323"/>
    </row>
    <row r="58324" spans="1:6" x14ac:dyDescent="0.25">
      <c r="A58324"/>
      <c r="B58324"/>
      <c r="C58324"/>
      <c r="E58324"/>
      <c r="F58324"/>
    </row>
    <row r="58325" spans="1:6" x14ac:dyDescent="0.25">
      <c r="A58325"/>
      <c r="B58325"/>
      <c r="C58325"/>
      <c r="E58325"/>
      <c r="F58325"/>
    </row>
    <row r="58326" spans="1:6" x14ac:dyDescent="0.25">
      <c r="A58326"/>
      <c r="B58326"/>
      <c r="C58326"/>
      <c r="E58326"/>
      <c r="F58326"/>
    </row>
    <row r="58327" spans="1:6" x14ac:dyDescent="0.25">
      <c r="A58327"/>
      <c r="B58327"/>
      <c r="C58327"/>
      <c r="E58327"/>
      <c r="F58327"/>
    </row>
    <row r="58328" spans="1:6" x14ac:dyDescent="0.25">
      <c r="A58328"/>
      <c r="B58328"/>
      <c r="C58328"/>
      <c r="E58328"/>
      <c r="F58328"/>
    </row>
    <row r="58329" spans="1:6" x14ac:dyDescent="0.25">
      <c r="A58329"/>
      <c r="B58329"/>
      <c r="C58329"/>
      <c r="E58329"/>
      <c r="F58329"/>
    </row>
    <row r="58330" spans="1:6" x14ac:dyDescent="0.25">
      <c r="A58330"/>
      <c r="B58330"/>
      <c r="C58330"/>
      <c r="E58330"/>
      <c r="F58330"/>
    </row>
    <row r="58331" spans="1:6" x14ac:dyDescent="0.25">
      <c r="A58331"/>
      <c r="B58331"/>
      <c r="C58331"/>
      <c r="E58331"/>
      <c r="F58331"/>
    </row>
    <row r="58332" spans="1:6" x14ac:dyDescent="0.25">
      <c r="A58332"/>
      <c r="B58332"/>
      <c r="C58332"/>
      <c r="E58332"/>
      <c r="F58332"/>
    </row>
    <row r="58333" spans="1:6" x14ac:dyDescent="0.25">
      <c r="A58333"/>
      <c r="B58333"/>
      <c r="C58333"/>
      <c r="E58333"/>
      <c r="F58333"/>
    </row>
    <row r="58334" spans="1:6" x14ac:dyDescent="0.25">
      <c r="A58334"/>
      <c r="B58334"/>
      <c r="C58334"/>
      <c r="E58334"/>
      <c r="F58334"/>
    </row>
    <row r="58335" spans="1:6" x14ac:dyDescent="0.25">
      <c r="A58335"/>
      <c r="B58335"/>
      <c r="C58335"/>
      <c r="E58335"/>
      <c r="F58335"/>
    </row>
    <row r="58336" spans="1:6" x14ac:dyDescent="0.25">
      <c r="A58336"/>
      <c r="B58336"/>
      <c r="C58336"/>
      <c r="E58336"/>
      <c r="F58336"/>
    </row>
    <row r="58337" spans="1:6" x14ac:dyDescent="0.25">
      <c r="A58337"/>
      <c r="B58337"/>
      <c r="C58337"/>
      <c r="E58337"/>
      <c r="F58337"/>
    </row>
    <row r="58338" spans="1:6" x14ac:dyDescent="0.25">
      <c r="A58338"/>
      <c r="B58338"/>
      <c r="C58338"/>
      <c r="E58338"/>
      <c r="F58338"/>
    </row>
    <row r="58339" spans="1:6" x14ac:dyDescent="0.25">
      <c r="A58339"/>
      <c r="B58339"/>
      <c r="C58339"/>
      <c r="E58339"/>
      <c r="F58339"/>
    </row>
    <row r="58340" spans="1:6" x14ac:dyDescent="0.25">
      <c r="A58340"/>
      <c r="B58340"/>
      <c r="C58340"/>
      <c r="E58340"/>
      <c r="F58340"/>
    </row>
    <row r="58341" spans="1:6" x14ac:dyDescent="0.25">
      <c r="A58341"/>
      <c r="B58341"/>
      <c r="C58341"/>
      <c r="E58341"/>
      <c r="F58341"/>
    </row>
    <row r="58342" spans="1:6" x14ac:dyDescent="0.25">
      <c r="A58342"/>
      <c r="B58342"/>
      <c r="C58342"/>
      <c r="E58342"/>
      <c r="F58342"/>
    </row>
    <row r="58343" spans="1:6" x14ac:dyDescent="0.25">
      <c r="A58343"/>
      <c r="B58343"/>
      <c r="C58343"/>
      <c r="E58343"/>
      <c r="F58343"/>
    </row>
    <row r="58344" spans="1:6" x14ac:dyDescent="0.25">
      <c r="A58344"/>
      <c r="B58344"/>
      <c r="C58344"/>
      <c r="E58344"/>
      <c r="F58344"/>
    </row>
    <row r="58345" spans="1:6" x14ac:dyDescent="0.25">
      <c r="A58345"/>
      <c r="B58345"/>
      <c r="C58345"/>
      <c r="E58345"/>
      <c r="F58345"/>
    </row>
    <row r="58346" spans="1:6" x14ac:dyDescent="0.25">
      <c r="A58346"/>
      <c r="B58346"/>
      <c r="C58346"/>
      <c r="E58346"/>
      <c r="F58346"/>
    </row>
    <row r="58347" spans="1:6" x14ac:dyDescent="0.25">
      <c r="A58347"/>
      <c r="B58347"/>
      <c r="C58347"/>
      <c r="E58347"/>
      <c r="F58347"/>
    </row>
    <row r="58348" spans="1:6" x14ac:dyDescent="0.25">
      <c r="A58348"/>
      <c r="B58348"/>
      <c r="C58348"/>
      <c r="E58348"/>
      <c r="F58348"/>
    </row>
    <row r="58349" spans="1:6" x14ac:dyDescent="0.25">
      <c r="A58349"/>
      <c r="B58349"/>
      <c r="C58349"/>
      <c r="E58349"/>
      <c r="F58349"/>
    </row>
    <row r="58350" spans="1:6" x14ac:dyDescent="0.25">
      <c r="A58350"/>
      <c r="B58350"/>
      <c r="C58350"/>
      <c r="E58350"/>
      <c r="F58350"/>
    </row>
    <row r="58351" spans="1:6" x14ac:dyDescent="0.25">
      <c r="A58351"/>
      <c r="B58351"/>
      <c r="C58351"/>
      <c r="E58351"/>
      <c r="F58351"/>
    </row>
    <row r="58352" spans="1:6" x14ac:dyDescent="0.25">
      <c r="A58352"/>
      <c r="B58352"/>
      <c r="C58352"/>
      <c r="E58352"/>
      <c r="F58352"/>
    </row>
    <row r="58353" spans="1:6" x14ac:dyDescent="0.25">
      <c r="A58353"/>
      <c r="B58353"/>
      <c r="C58353"/>
      <c r="E58353"/>
      <c r="F58353"/>
    </row>
    <row r="58354" spans="1:6" x14ac:dyDescent="0.25">
      <c r="A58354"/>
      <c r="B58354"/>
      <c r="C58354"/>
      <c r="E58354"/>
      <c r="F58354"/>
    </row>
    <row r="58355" spans="1:6" x14ac:dyDescent="0.25">
      <c r="A58355"/>
      <c r="B58355"/>
      <c r="C58355"/>
      <c r="E58355"/>
      <c r="F58355"/>
    </row>
    <row r="58356" spans="1:6" x14ac:dyDescent="0.25">
      <c r="A58356"/>
      <c r="B58356"/>
      <c r="C58356"/>
      <c r="E58356"/>
      <c r="F58356"/>
    </row>
    <row r="58357" spans="1:6" x14ac:dyDescent="0.25">
      <c r="A58357"/>
      <c r="B58357"/>
      <c r="C58357"/>
      <c r="E58357"/>
      <c r="F58357"/>
    </row>
    <row r="58358" spans="1:6" x14ac:dyDescent="0.25">
      <c r="A58358"/>
      <c r="B58358"/>
      <c r="C58358"/>
      <c r="E58358"/>
      <c r="F58358"/>
    </row>
    <row r="58359" spans="1:6" x14ac:dyDescent="0.25">
      <c r="A58359"/>
      <c r="B58359"/>
      <c r="C58359"/>
      <c r="E58359"/>
      <c r="F58359"/>
    </row>
    <row r="58360" spans="1:6" x14ac:dyDescent="0.25">
      <c r="A58360"/>
      <c r="B58360"/>
      <c r="C58360"/>
      <c r="E58360"/>
      <c r="F58360"/>
    </row>
    <row r="58361" spans="1:6" x14ac:dyDescent="0.25">
      <c r="A58361"/>
      <c r="B58361"/>
      <c r="C58361"/>
      <c r="E58361"/>
      <c r="F58361"/>
    </row>
    <row r="58362" spans="1:6" x14ac:dyDescent="0.25">
      <c r="A58362"/>
      <c r="B58362"/>
      <c r="C58362"/>
      <c r="E58362"/>
      <c r="F58362"/>
    </row>
    <row r="58363" spans="1:6" x14ac:dyDescent="0.25">
      <c r="A58363"/>
      <c r="B58363"/>
      <c r="C58363"/>
      <c r="E58363"/>
      <c r="F58363"/>
    </row>
    <row r="58364" spans="1:6" x14ac:dyDescent="0.25">
      <c r="A58364"/>
      <c r="B58364"/>
      <c r="C58364"/>
      <c r="E58364"/>
      <c r="F58364"/>
    </row>
    <row r="58365" spans="1:6" x14ac:dyDescent="0.25">
      <c r="A58365"/>
      <c r="B58365"/>
      <c r="C58365"/>
      <c r="E58365"/>
      <c r="F58365"/>
    </row>
    <row r="58366" spans="1:6" x14ac:dyDescent="0.25">
      <c r="A58366"/>
      <c r="B58366"/>
      <c r="C58366"/>
      <c r="E58366"/>
      <c r="F58366"/>
    </row>
    <row r="58367" spans="1:6" x14ac:dyDescent="0.25">
      <c r="A58367"/>
      <c r="B58367"/>
      <c r="C58367"/>
      <c r="E58367"/>
      <c r="F58367"/>
    </row>
    <row r="58368" spans="1:6" x14ac:dyDescent="0.25">
      <c r="A58368"/>
      <c r="B58368"/>
      <c r="C58368"/>
      <c r="E58368"/>
      <c r="F58368"/>
    </row>
    <row r="58369" spans="1:6" x14ac:dyDescent="0.25">
      <c r="A58369"/>
      <c r="B58369"/>
      <c r="C58369"/>
      <c r="E58369"/>
      <c r="F58369"/>
    </row>
    <row r="58370" spans="1:6" x14ac:dyDescent="0.25">
      <c r="A58370"/>
      <c r="B58370"/>
      <c r="C58370"/>
      <c r="E58370"/>
      <c r="F58370"/>
    </row>
    <row r="58371" spans="1:6" x14ac:dyDescent="0.25">
      <c r="A58371"/>
      <c r="B58371"/>
      <c r="C58371"/>
      <c r="E58371"/>
      <c r="F58371"/>
    </row>
    <row r="58372" spans="1:6" x14ac:dyDescent="0.25">
      <c r="A58372"/>
      <c r="B58372"/>
      <c r="C58372"/>
      <c r="E58372"/>
      <c r="F58372"/>
    </row>
    <row r="58373" spans="1:6" x14ac:dyDescent="0.25">
      <c r="A58373"/>
      <c r="B58373"/>
      <c r="C58373"/>
      <c r="E58373"/>
      <c r="F58373"/>
    </row>
    <row r="58374" spans="1:6" x14ac:dyDescent="0.25">
      <c r="A58374"/>
      <c r="B58374"/>
      <c r="C58374"/>
      <c r="E58374"/>
      <c r="F58374"/>
    </row>
    <row r="58375" spans="1:6" x14ac:dyDescent="0.25">
      <c r="A58375"/>
      <c r="B58375"/>
      <c r="C58375"/>
      <c r="E58375"/>
      <c r="F58375"/>
    </row>
    <row r="58376" spans="1:6" x14ac:dyDescent="0.25">
      <c r="A58376"/>
      <c r="B58376"/>
      <c r="C58376"/>
      <c r="E58376"/>
      <c r="F58376"/>
    </row>
    <row r="58377" spans="1:6" x14ac:dyDescent="0.25">
      <c r="A58377"/>
      <c r="B58377"/>
      <c r="C58377"/>
      <c r="E58377"/>
      <c r="F58377"/>
    </row>
    <row r="58378" spans="1:6" x14ac:dyDescent="0.25">
      <c r="A58378"/>
      <c r="B58378"/>
      <c r="C58378"/>
      <c r="E58378"/>
      <c r="F58378"/>
    </row>
    <row r="58379" spans="1:6" x14ac:dyDescent="0.25">
      <c r="A58379"/>
      <c r="B58379"/>
      <c r="C58379"/>
      <c r="E58379"/>
      <c r="F58379"/>
    </row>
    <row r="58380" spans="1:6" x14ac:dyDescent="0.25">
      <c r="A58380"/>
      <c r="B58380"/>
      <c r="C58380"/>
      <c r="E58380"/>
      <c r="F58380"/>
    </row>
    <row r="58381" spans="1:6" x14ac:dyDescent="0.25">
      <c r="A58381"/>
      <c r="B58381"/>
      <c r="C58381"/>
      <c r="E58381"/>
      <c r="F58381"/>
    </row>
    <row r="58382" spans="1:6" x14ac:dyDescent="0.25">
      <c r="A58382"/>
      <c r="B58382"/>
      <c r="C58382"/>
      <c r="E58382"/>
      <c r="F58382"/>
    </row>
    <row r="58383" spans="1:6" x14ac:dyDescent="0.25">
      <c r="A58383"/>
      <c r="B58383"/>
      <c r="C58383"/>
      <c r="E58383"/>
      <c r="F58383"/>
    </row>
    <row r="58384" spans="1:6" x14ac:dyDescent="0.25">
      <c r="A58384"/>
      <c r="B58384"/>
      <c r="C58384"/>
      <c r="E58384"/>
      <c r="F58384"/>
    </row>
    <row r="58385" spans="1:6" x14ac:dyDescent="0.25">
      <c r="A58385"/>
      <c r="B58385"/>
      <c r="C58385"/>
      <c r="E58385"/>
      <c r="F58385"/>
    </row>
    <row r="58386" spans="1:6" x14ac:dyDescent="0.25">
      <c r="A58386"/>
      <c r="B58386"/>
      <c r="C58386"/>
      <c r="E58386"/>
      <c r="F58386"/>
    </row>
    <row r="58387" spans="1:6" x14ac:dyDescent="0.25">
      <c r="A58387"/>
      <c r="B58387"/>
      <c r="C58387"/>
      <c r="E58387"/>
      <c r="F58387"/>
    </row>
    <row r="58388" spans="1:6" x14ac:dyDescent="0.25">
      <c r="A58388"/>
      <c r="B58388"/>
      <c r="C58388"/>
      <c r="E58388"/>
      <c r="F58388"/>
    </row>
    <row r="58389" spans="1:6" x14ac:dyDescent="0.25">
      <c r="A58389"/>
      <c r="B58389"/>
      <c r="C58389"/>
      <c r="E58389"/>
      <c r="F58389"/>
    </row>
    <row r="58390" spans="1:6" x14ac:dyDescent="0.25">
      <c r="A58390"/>
      <c r="B58390"/>
      <c r="C58390"/>
      <c r="E58390"/>
      <c r="F58390"/>
    </row>
    <row r="58391" spans="1:6" x14ac:dyDescent="0.25">
      <c r="A58391"/>
      <c r="B58391"/>
      <c r="C58391"/>
      <c r="E58391"/>
      <c r="F58391"/>
    </row>
    <row r="58392" spans="1:6" x14ac:dyDescent="0.25">
      <c r="A58392"/>
      <c r="B58392"/>
      <c r="C58392"/>
      <c r="E58392"/>
      <c r="F58392"/>
    </row>
    <row r="58393" spans="1:6" x14ac:dyDescent="0.25">
      <c r="A58393"/>
      <c r="B58393"/>
      <c r="C58393"/>
      <c r="E58393"/>
      <c r="F58393"/>
    </row>
    <row r="58394" spans="1:6" x14ac:dyDescent="0.25">
      <c r="A58394"/>
      <c r="B58394"/>
      <c r="C58394"/>
      <c r="E58394"/>
      <c r="F58394"/>
    </row>
    <row r="58395" spans="1:6" x14ac:dyDescent="0.25">
      <c r="A58395"/>
      <c r="B58395"/>
      <c r="C58395"/>
      <c r="E58395"/>
      <c r="F58395"/>
    </row>
    <row r="58396" spans="1:6" x14ac:dyDescent="0.25">
      <c r="A58396"/>
      <c r="B58396"/>
      <c r="C58396"/>
      <c r="E58396"/>
      <c r="F58396"/>
    </row>
    <row r="58397" spans="1:6" x14ac:dyDescent="0.25">
      <c r="A58397"/>
      <c r="B58397"/>
      <c r="C58397"/>
      <c r="E58397"/>
      <c r="F58397"/>
    </row>
    <row r="58398" spans="1:6" x14ac:dyDescent="0.25">
      <c r="A58398"/>
      <c r="B58398"/>
      <c r="C58398"/>
      <c r="E58398"/>
      <c r="F58398"/>
    </row>
    <row r="58399" spans="1:6" x14ac:dyDescent="0.25">
      <c r="A58399"/>
      <c r="B58399"/>
      <c r="C58399"/>
      <c r="E58399"/>
      <c r="F58399"/>
    </row>
    <row r="58400" spans="1:6" x14ac:dyDescent="0.25">
      <c r="A58400"/>
      <c r="B58400"/>
      <c r="C58400"/>
      <c r="E58400"/>
      <c r="F58400"/>
    </row>
    <row r="58401" spans="1:6" x14ac:dyDescent="0.25">
      <c r="A58401"/>
      <c r="B58401"/>
      <c r="C58401"/>
      <c r="E58401"/>
      <c r="F58401"/>
    </row>
    <row r="58402" spans="1:6" x14ac:dyDescent="0.25">
      <c r="A58402"/>
      <c r="B58402"/>
      <c r="C58402"/>
      <c r="E58402"/>
      <c r="F58402"/>
    </row>
    <row r="58403" spans="1:6" x14ac:dyDescent="0.25">
      <c r="A58403"/>
      <c r="B58403"/>
      <c r="C58403"/>
      <c r="E58403"/>
      <c r="F58403"/>
    </row>
    <row r="58404" spans="1:6" x14ac:dyDescent="0.25">
      <c r="A58404"/>
      <c r="B58404"/>
      <c r="C58404"/>
      <c r="E58404"/>
      <c r="F58404"/>
    </row>
    <row r="58405" spans="1:6" x14ac:dyDescent="0.25">
      <c r="A58405"/>
      <c r="B58405"/>
      <c r="C58405"/>
      <c r="E58405"/>
      <c r="F58405"/>
    </row>
    <row r="58406" spans="1:6" x14ac:dyDescent="0.25">
      <c r="A58406"/>
      <c r="B58406"/>
      <c r="C58406"/>
      <c r="E58406"/>
      <c r="F58406"/>
    </row>
    <row r="58407" spans="1:6" x14ac:dyDescent="0.25">
      <c r="A58407"/>
      <c r="B58407"/>
      <c r="C58407"/>
      <c r="E58407"/>
      <c r="F58407"/>
    </row>
    <row r="58408" spans="1:6" x14ac:dyDescent="0.25">
      <c r="A58408"/>
      <c r="B58408"/>
      <c r="C58408"/>
      <c r="E58408"/>
      <c r="F58408"/>
    </row>
    <row r="58409" spans="1:6" x14ac:dyDescent="0.25">
      <c r="A58409"/>
      <c r="B58409"/>
      <c r="C58409"/>
      <c r="E58409"/>
      <c r="F58409"/>
    </row>
    <row r="58410" spans="1:6" x14ac:dyDescent="0.25">
      <c r="A58410"/>
      <c r="B58410"/>
      <c r="C58410"/>
      <c r="E58410"/>
      <c r="F58410"/>
    </row>
    <row r="58411" spans="1:6" x14ac:dyDescent="0.25">
      <c r="A58411"/>
      <c r="B58411"/>
      <c r="C58411"/>
      <c r="E58411"/>
      <c r="F58411"/>
    </row>
    <row r="58412" spans="1:6" x14ac:dyDescent="0.25">
      <c r="A58412"/>
      <c r="B58412"/>
      <c r="C58412"/>
      <c r="E58412"/>
      <c r="F58412"/>
    </row>
    <row r="58413" spans="1:6" x14ac:dyDescent="0.25">
      <c r="A58413"/>
      <c r="B58413"/>
      <c r="C58413"/>
      <c r="E58413"/>
      <c r="F58413"/>
    </row>
    <row r="58414" spans="1:6" x14ac:dyDescent="0.25">
      <c r="A58414"/>
      <c r="B58414"/>
      <c r="C58414"/>
      <c r="E58414"/>
      <c r="F58414"/>
    </row>
    <row r="58415" spans="1:6" x14ac:dyDescent="0.25">
      <c r="A58415"/>
      <c r="B58415"/>
      <c r="C58415"/>
      <c r="E58415"/>
      <c r="F58415"/>
    </row>
    <row r="58416" spans="1:6" x14ac:dyDescent="0.25">
      <c r="A58416"/>
      <c r="B58416"/>
      <c r="C58416"/>
      <c r="E58416"/>
      <c r="F58416"/>
    </row>
    <row r="58417" spans="1:6" x14ac:dyDescent="0.25">
      <c r="A58417"/>
      <c r="B58417"/>
      <c r="C58417"/>
      <c r="E58417"/>
      <c r="F58417"/>
    </row>
    <row r="58418" spans="1:6" x14ac:dyDescent="0.25">
      <c r="A58418"/>
      <c r="B58418"/>
      <c r="C58418"/>
      <c r="E58418"/>
      <c r="F58418"/>
    </row>
    <row r="58419" spans="1:6" x14ac:dyDescent="0.25">
      <c r="A58419"/>
      <c r="B58419"/>
      <c r="C58419"/>
      <c r="E58419"/>
      <c r="F58419"/>
    </row>
    <row r="58420" spans="1:6" x14ac:dyDescent="0.25">
      <c r="A58420"/>
      <c r="B58420"/>
      <c r="C58420"/>
      <c r="E58420"/>
      <c r="F58420"/>
    </row>
    <row r="58421" spans="1:6" x14ac:dyDescent="0.25">
      <c r="A58421"/>
      <c r="B58421"/>
      <c r="C58421"/>
      <c r="E58421"/>
      <c r="F58421"/>
    </row>
    <row r="58422" spans="1:6" x14ac:dyDescent="0.25">
      <c r="A58422"/>
      <c r="B58422"/>
      <c r="C58422"/>
      <c r="E58422"/>
      <c r="F58422"/>
    </row>
    <row r="58423" spans="1:6" x14ac:dyDescent="0.25">
      <c r="A58423"/>
      <c r="B58423"/>
      <c r="C58423"/>
      <c r="E58423"/>
      <c r="F58423"/>
    </row>
    <row r="58424" spans="1:6" x14ac:dyDescent="0.25">
      <c r="A58424"/>
      <c r="B58424"/>
      <c r="C58424"/>
      <c r="E58424"/>
      <c r="F58424"/>
    </row>
    <row r="58425" spans="1:6" x14ac:dyDescent="0.25">
      <c r="A58425"/>
      <c r="B58425"/>
      <c r="C58425"/>
      <c r="E58425"/>
      <c r="F58425"/>
    </row>
    <row r="58426" spans="1:6" x14ac:dyDescent="0.25">
      <c r="A58426"/>
      <c r="B58426"/>
      <c r="C58426"/>
      <c r="E58426"/>
      <c r="F58426"/>
    </row>
    <row r="58427" spans="1:6" x14ac:dyDescent="0.25">
      <c r="A58427"/>
      <c r="B58427"/>
      <c r="C58427"/>
      <c r="E58427"/>
      <c r="F58427"/>
    </row>
    <row r="58428" spans="1:6" x14ac:dyDescent="0.25">
      <c r="A58428"/>
      <c r="B58428"/>
      <c r="C58428"/>
      <c r="E58428"/>
      <c r="F58428"/>
    </row>
    <row r="58429" spans="1:6" x14ac:dyDescent="0.25">
      <c r="A58429"/>
      <c r="B58429"/>
      <c r="C58429"/>
      <c r="E58429"/>
      <c r="F58429"/>
    </row>
    <row r="58430" spans="1:6" x14ac:dyDescent="0.25">
      <c r="A58430"/>
      <c r="B58430"/>
      <c r="C58430"/>
      <c r="E58430"/>
      <c r="F58430"/>
    </row>
    <row r="58431" spans="1:6" x14ac:dyDescent="0.25">
      <c r="A58431"/>
      <c r="B58431"/>
      <c r="C58431"/>
      <c r="E58431"/>
      <c r="F58431"/>
    </row>
    <row r="58432" spans="1:6" x14ac:dyDescent="0.25">
      <c r="A58432"/>
      <c r="B58432"/>
      <c r="C58432"/>
      <c r="E58432"/>
      <c r="F58432"/>
    </row>
    <row r="58433" spans="1:6" x14ac:dyDescent="0.25">
      <c r="A58433"/>
      <c r="B58433"/>
      <c r="C58433"/>
      <c r="E58433"/>
      <c r="F58433"/>
    </row>
    <row r="58434" spans="1:6" x14ac:dyDescent="0.25">
      <c r="A58434"/>
      <c r="B58434"/>
      <c r="C58434"/>
      <c r="E58434"/>
      <c r="F58434"/>
    </row>
    <row r="58435" spans="1:6" x14ac:dyDescent="0.25">
      <c r="A58435"/>
      <c r="B58435"/>
      <c r="C58435"/>
      <c r="E58435"/>
      <c r="F58435"/>
    </row>
    <row r="58436" spans="1:6" x14ac:dyDescent="0.25">
      <c r="A58436"/>
      <c r="B58436"/>
      <c r="C58436"/>
      <c r="E58436"/>
      <c r="F58436"/>
    </row>
    <row r="58437" spans="1:6" x14ac:dyDescent="0.25">
      <c r="A58437"/>
      <c r="B58437"/>
      <c r="C58437"/>
      <c r="E58437"/>
      <c r="F58437"/>
    </row>
    <row r="58438" spans="1:6" x14ac:dyDescent="0.25">
      <c r="A58438"/>
      <c r="B58438"/>
      <c r="C58438"/>
      <c r="E58438"/>
      <c r="F58438"/>
    </row>
    <row r="58439" spans="1:6" x14ac:dyDescent="0.25">
      <c r="A58439"/>
      <c r="B58439"/>
      <c r="C58439"/>
      <c r="E58439"/>
      <c r="F58439"/>
    </row>
    <row r="58440" spans="1:6" x14ac:dyDescent="0.25">
      <c r="A58440"/>
      <c r="B58440"/>
      <c r="C58440"/>
      <c r="E58440"/>
      <c r="F58440"/>
    </row>
    <row r="58441" spans="1:6" x14ac:dyDescent="0.25">
      <c r="A58441"/>
      <c r="B58441"/>
      <c r="C58441"/>
      <c r="E58441"/>
      <c r="F58441"/>
    </row>
    <row r="58442" spans="1:6" x14ac:dyDescent="0.25">
      <c r="A58442"/>
      <c r="B58442"/>
      <c r="C58442"/>
      <c r="E58442"/>
      <c r="F58442"/>
    </row>
    <row r="58443" spans="1:6" x14ac:dyDescent="0.25">
      <c r="A58443"/>
      <c r="B58443"/>
      <c r="C58443"/>
      <c r="E58443"/>
      <c r="F58443"/>
    </row>
    <row r="58444" spans="1:6" x14ac:dyDescent="0.25">
      <c r="A58444"/>
      <c r="B58444"/>
      <c r="C58444"/>
      <c r="E58444"/>
      <c r="F58444"/>
    </row>
    <row r="58445" spans="1:6" x14ac:dyDescent="0.25">
      <c r="A58445"/>
      <c r="B58445"/>
      <c r="C58445"/>
      <c r="E58445"/>
      <c r="F58445"/>
    </row>
    <row r="58446" spans="1:6" x14ac:dyDescent="0.25">
      <c r="A58446"/>
      <c r="B58446"/>
      <c r="C58446"/>
      <c r="E58446"/>
      <c r="F58446"/>
    </row>
    <row r="58447" spans="1:6" x14ac:dyDescent="0.25">
      <c r="A58447"/>
      <c r="B58447"/>
      <c r="C58447"/>
      <c r="E58447"/>
      <c r="F58447"/>
    </row>
    <row r="58448" spans="1:6" x14ac:dyDescent="0.25">
      <c r="A58448"/>
      <c r="B58448"/>
      <c r="C58448"/>
      <c r="E58448"/>
      <c r="F58448"/>
    </row>
    <row r="58449" spans="1:6" x14ac:dyDescent="0.25">
      <c r="A58449"/>
      <c r="B58449"/>
      <c r="C58449"/>
      <c r="E58449"/>
      <c r="F58449"/>
    </row>
    <row r="58450" spans="1:6" x14ac:dyDescent="0.25">
      <c r="A58450"/>
      <c r="B58450"/>
      <c r="C58450"/>
      <c r="E58450"/>
      <c r="F58450"/>
    </row>
    <row r="58451" spans="1:6" x14ac:dyDescent="0.25">
      <c r="A58451"/>
      <c r="B58451"/>
      <c r="C58451"/>
      <c r="E58451"/>
      <c r="F58451"/>
    </row>
    <row r="58452" spans="1:6" x14ac:dyDescent="0.25">
      <c r="A58452"/>
      <c r="B58452"/>
      <c r="C58452"/>
      <c r="E58452"/>
      <c r="F58452"/>
    </row>
    <row r="58453" spans="1:6" x14ac:dyDescent="0.25">
      <c r="A58453"/>
      <c r="B58453"/>
      <c r="C58453"/>
      <c r="E58453"/>
      <c r="F58453"/>
    </row>
    <row r="58454" spans="1:6" x14ac:dyDescent="0.25">
      <c r="A58454"/>
      <c r="B58454"/>
      <c r="C58454"/>
      <c r="E58454"/>
      <c r="F58454"/>
    </row>
    <row r="58455" spans="1:6" x14ac:dyDescent="0.25">
      <c r="A58455"/>
      <c r="B58455"/>
      <c r="C58455"/>
      <c r="E58455"/>
      <c r="F58455"/>
    </row>
    <row r="58456" spans="1:6" x14ac:dyDescent="0.25">
      <c r="A58456"/>
      <c r="B58456"/>
      <c r="C58456"/>
      <c r="E58456"/>
      <c r="F58456"/>
    </row>
    <row r="58457" spans="1:6" x14ac:dyDescent="0.25">
      <c r="A58457"/>
      <c r="B58457"/>
      <c r="C58457"/>
      <c r="E58457"/>
      <c r="F58457"/>
    </row>
    <row r="58458" spans="1:6" x14ac:dyDescent="0.25">
      <c r="A58458"/>
      <c r="B58458"/>
      <c r="C58458"/>
      <c r="E58458"/>
      <c r="F58458"/>
    </row>
    <row r="58459" spans="1:6" x14ac:dyDescent="0.25">
      <c r="A58459"/>
      <c r="B58459"/>
      <c r="C58459"/>
      <c r="E58459"/>
      <c r="F58459"/>
    </row>
    <row r="58460" spans="1:6" x14ac:dyDescent="0.25">
      <c r="A58460"/>
      <c r="B58460"/>
      <c r="C58460"/>
      <c r="E58460"/>
      <c r="F58460"/>
    </row>
    <row r="58461" spans="1:6" x14ac:dyDescent="0.25">
      <c r="A58461"/>
      <c r="B58461"/>
      <c r="C58461"/>
      <c r="E58461"/>
      <c r="F58461"/>
    </row>
    <row r="58462" spans="1:6" x14ac:dyDescent="0.25">
      <c r="A58462"/>
      <c r="B58462"/>
      <c r="C58462"/>
      <c r="E58462"/>
      <c r="F58462"/>
    </row>
    <row r="58463" spans="1:6" x14ac:dyDescent="0.25">
      <c r="A58463"/>
      <c r="B58463"/>
      <c r="C58463"/>
      <c r="E58463"/>
      <c r="F58463"/>
    </row>
    <row r="58464" spans="1:6" x14ac:dyDescent="0.25">
      <c r="A58464"/>
      <c r="B58464"/>
      <c r="C58464"/>
      <c r="E58464"/>
      <c r="F58464"/>
    </row>
    <row r="58465" spans="1:6" x14ac:dyDescent="0.25">
      <c r="A58465"/>
      <c r="B58465"/>
      <c r="C58465"/>
      <c r="E58465"/>
      <c r="F58465"/>
    </row>
    <row r="58466" spans="1:6" x14ac:dyDescent="0.25">
      <c r="A58466"/>
      <c r="B58466"/>
      <c r="C58466"/>
      <c r="E58466"/>
      <c r="F58466"/>
    </row>
    <row r="58467" spans="1:6" x14ac:dyDescent="0.25">
      <c r="A58467"/>
      <c r="B58467"/>
      <c r="C58467"/>
      <c r="E58467"/>
      <c r="F58467"/>
    </row>
    <row r="58468" spans="1:6" x14ac:dyDescent="0.25">
      <c r="A58468"/>
      <c r="B58468"/>
      <c r="C58468"/>
      <c r="E58468"/>
      <c r="F58468"/>
    </row>
    <row r="58469" spans="1:6" x14ac:dyDescent="0.25">
      <c r="A58469"/>
      <c r="B58469"/>
      <c r="C58469"/>
      <c r="E58469"/>
      <c r="F58469"/>
    </row>
    <row r="58470" spans="1:6" x14ac:dyDescent="0.25">
      <c r="A58470"/>
      <c r="B58470"/>
      <c r="C58470"/>
      <c r="E58470"/>
      <c r="F58470"/>
    </row>
    <row r="58471" spans="1:6" x14ac:dyDescent="0.25">
      <c r="A58471"/>
      <c r="B58471"/>
      <c r="C58471"/>
      <c r="E58471"/>
      <c r="F58471"/>
    </row>
    <row r="58472" spans="1:6" x14ac:dyDescent="0.25">
      <c r="A58472"/>
      <c r="B58472"/>
      <c r="C58472"/>
      <c r="E58472"/>
      <c r="F58472"/>
    </row>
    <row r="58473" spans="1:6" x14ac:dyDescent="0.25">
      <c r="A58473"/>
      <c r="B58473"/>
      <c r="C58473"/>
      <c r="E58473"/>
      <c r="F58473"/>
    </row>
    <row r="58474" spans="1:6" x14ac:dyDescent="0.25">
      <c r="A58474"/>
      <c r="B58474"/>
      <c r="C58474"/>
      <c r="E58474"/>
      <c r="F58474"/>
    </row>
    <row r="58475" spans="1:6" x14ac:dyDescent="0.25">
      <c r="A58475"/>
      <c r="B58475"/>
      <c r="C58475"/>
      <c r="E58475"/>
      <c r="F58475"/>
    </row>
    <row r="58476" spans="1:6" x14ac:dyDescent="0.25">
      <c r="A58476"/>
      <c r="B58476"/>
      <c r="C58476"/>
      <c r="E58476"/>
      <c r="F58476"/>
    </row>
    <row r="58477" spans="1:6" x14ac:dyDescent="0.25">
      <c r="A58477"/>
      <c r="B58477"/>
      <c r="C58477"/>
      <c r="E58477"/>
      <c r="F58477"/>
    </row>
    <row r="58478" spans="1:6" x14ac:dyDescent="0.25">
      <c r="A58478"/>
      <c r="B58478"/>
      <c r="C58478"/>
      <c r="E58478"/>
      <c r="F58478"/>
    </row>
    <row r="58479" spans="1:6" x14ac:dyDescent="0.25">
      <c r="A58479"/>
      <c r="B58479"/>
      <c r="C58479"/>
      <c r="E58479"/>
      <c r="F58479"/>
    </row>
    <row r="58480" spans="1:6" x14ac:dyDescent="0.25">
      <c r="A58480"/>
      <c r="B58480"/>
      <c r="C58480"/>
      <c r="E58480"/>
      <c r="F58480"/>
    </row>
    <row r="58481" spans="1:6" x14ac:dyDescent="0.25">
      <c r="A58481"/>
      <c r="B58481"/>
      <c r="C58481"/>
      <c r="E58481"/>
      <c r="F58481"/>
    </row>
    <row r="58482" spans="1:6" x14ac:dyDescent="0.25">
      <c r="A58482"/>
      <c r="B58482"/>
      <c r="C58482"/>
      <c r="E58482"/>
      <c r="F58482"/>
    </row>
    <row r="58483" spans="1:6" x14ac:dyDescent="0.25">
      <c r="A58483"/>
      <c r="B58483"/>
      <c r="C58483"/>
      <c r="E58483"/>
      <c r="F58483"/>
    </row>
    <row r="58484" spans="1:6" x14ac:dyDescent="0.25">
      <c r="A58484"/>
      <c r="B58484"/>
      <c r="C58484"/>
      <c r="E58484"/>
      <c r="F58484"/>
    </row>
    <row r="58485" spans="1:6" x14ac:dyDescent="0.25">
      <c r="A58485"/>
      <c r="B58485"/>
      <c r="C58485"/>
      <c r="E58485"/>
      <c r="F58485"/>
    </row>
    <row r="58486" spans="1:6" x14ac:dyDescent="0.25">
      <c r="A58486"/>
      <c r="B58486"/>
      <c r="C58486"/>
      <c r="E58486"/>
      <c r="F58486"/>
    </row>
    <row r="58487" spans="1:6" x14ac:dyDescent="0.25">
      <c r="A58487"/>
      <c r="B58487"/>
      <c r="C58487"/>
      <c r="E58487"/>
      <c r="F58487"/>
    </row>
    <row r="58488" spans="1:6" x14ac:dyDescent="0.25">
      <c r="A58488"/>
      <c r="B58488"/>
      <c r="C58488"/>
      <c r="E58488"/>
      <c r="F58488"/>
    </row>
    <row r="58489" spans="1:6" x14ac:dyDescent="0.25">
      <c r="A58489"/>
      <c r="B58489"/>
      <c r="C58489"/>
      <c r="E58489"/>
      <c r="F58489"/>
    </row>
    <row r="58490" spans="1:6" x14ac:dyDescent="0.25">
      <c r="A58490"/>
      <c r="B58490"/>
      <c r="C58490"/>
      <c r="E58490"/>
      <c r="F58490"/>
    </row>
    <row r="58491" spans="1:6" x14ac:dyDescent="0.25">
      <c r="A58491"/>
      <c r="B58491"/>
      <c r="C58491"/>
      <c r="E58491"/>
      <c r="F58491"/>
    </row>
    <row r="58492" spans="1:6" x14ac:dyDescent="0.25">
      <c r="A58492"/>
      <c r="B58492"/>
      <c r="C58492"/>
      <c r="E58492"/>
      <c r="F58492"/>
    </row>
    <row r="58493" spans="1:6" x14ac:dyDescent="0.25">
      <c r="A58493"/>
      <c r="B58493"/>
      <c r="C58493"/>
      <c r="E58493"/>
      <c r="F58493"/>
    </row>
    <row r="58494" spans="1:6" x14ac:dyDescent="0.25">
      <c r="A58494"/>
      <c r="B58494"/>
      <c r="C58494"/>
      <c r="E58494"/>
      <c r="F58494"/>
    </row>
    <row r="58495" spans="1:6" x14ac:dyDescent="0.25">
      <c r="A58495"/>
      <c r="B58495"/>
      <c r="C58495"/>
      <c r="E58495"/>
      <c r="F58495"/>
    </row>
    <row r="58496" spans="1:6" x14ac:dyDescent="0.25">
      <c r="A58496"/>
      <c r="B58496"/>
      <c r="C58496"/>
      <c r="E58496"/>
      <c r="F58496"/>
    </row>
    <row r="58497" spans="1:6" x14ac:dyDescent="0.25">
      <c r="A58497"/>
      <c r="B58497"/>
      <c r="C58497"/>
      <c r="E58497"/>
      <c r="F58497"/>
    </row>
    <row r="58498" spans="1:6" x14ac:dyDescent="0.25">
      <c r="A58498"/>
      <c r="B58498"/>
      <c r="C58498"/>
      <c r="E58498"/>
      <c r="F58498"/>
    </row>
    <row r="58499" spans="1:6" x14ac:dyDescent="0.25">
      <c r="A58499"/>
      <c r="B58499"/>
      <c r="C58499"/>
      <c r="E58499"/>
      <c r="F58499"/>
    </row>
    <row r="58500" spans="1:6" x14ac:dyDescent="0.25">
      <c r="A58500"/>
      <c r="B58500"/>
      <c r="C58500"/>
      <c r="E58500"/>
      <c r="F58500"/>
    </row>
    <row r="58501" spans="1:6" x14ac:dyDescent="0.25">
      <c r="A58501"/>
      <c r="B58501"/>
      <c r="C58501"/>
      <c r="E58501"/>
      <c r="F58501"/>
    </row>
    <row r="58502" spans="1:6" x14ac:dyDescent="0.25">
      <c r="A58502"/>
      <c r="B58502"/>
      <c r="C58502"/>
      <c r="E58502"/>
      <c r="F58502"/>
    </row>
    <row r="58503" spans="1:6" x14ac:dyDescent="0.25">
      <c r="A58503"/>
      <c r="B58503"/>
      <c r="C58503"/>
      <c r="E58503"/>
      <c r="F58503"/>
    </row>
    <row r="58504" spans="1:6" x14ac:dyDescent="0.25">
      <c r="A58504"/>
      <c r="B58504"/>
      <c r="C58504"/>
      <c r="E58504"/>
      <c r="F58504"/>
    </row>
    <row r="58505" spans="1:6" x14ac:dyDescent="0.25">
      <c r="A58505"/>
      <c r="B58505"/>
      <c r="C58505"/>
      <c r="E58505"/>
      <c r="F58505"/>
    </row>
    <row r="58506" spans="1:6" x14ac:dyDescent="0.25">
      <c r="A58506"/>
      <c r="B58506"/>
      <c r="C58506"/>
      <c r="E58506"/>
      <c r="F58506"/>
    </row>
    <row r="58507" spans="1:6" x14ac:dyDescent="0.25">
      <c r="A58507"/>
      <c r="B58507"/>
      <c r="C58507"/>
      <c r="E58507"/>
      <c r="F58507"/>
    </row>
    <row r="58508" spans="1:6" x14ac:dyDescent="0.25">
      <c r="A58508"/>
      <c r="B58508"/>
      <c r="C58508"/>
      <c r="E58508"/>
      <c r="F58508"/>
    </row>
    <row r="58509" spans="1:6" x14ac:dyDescent="0.25">
      <c r="A58509"/>
      <c r="B58509"/>
      <c r="C58509"/>
      <c r="E58509"/>
      <c r="F58509"/>
    </row>
    <row r="58510" spans="1:6" x14ac:dyDescent="0.25">
      <c r="A58510"/>
      <c r="B58510"/>
      <c r="C58510"/>
      <c r="E58510"/>
      <c r="F58510"/>
    </row>
    <row r="58511" spans="1:6" x14ac:dyDescent="0.25">
      <c r="A58511"/>
      <c r="B58511"/>
      <c r="C58511"/>
      <c r="E58511"/>
      <c r="F58511"/>
    </row>
    <row r="58512" spans="1:6" x14ac:dyDescent="0.25">
      <c r="A58512"/>
      <c r="B58512"/>
      <c r="C58512"/>
      <c r="E58512"/>
      <c r="F58512"/>
    </row>
    <row r="58513" spans="1:6" x14ac:dyDescent="0.25">
      <c r="A58513"/>
      <c r="B58513"/>
      <c r="C58513"/>
      <c r="E58513"/>
      <c r="F58513"/>
    </row>
    <row r="58514" spans="1:6" x14ac:dyDescent="0.25">
      <c r="A58514"/>
      <c r="B58514"/>
      <c r="C58514"/>
      <c r="E58514"/>
      <c r="F58514"/>
    </row>
    <row r="58515" spans="1:6" x14ac:dyDescent="0.25">
      <c r="A58515"/>
      <c r="B58515"/>
      <c r="C58515"/>
      <c r="E58515"/>
      <c r="F58515"/>
    </row>
    <row r="58516" spans="1:6" x14ac:dyDescent="0.25">
      <c r="A58516"/>
      <c r="B58516"/>
      <c r="C58516"/>
      <c r="E58516"/>
      <c r="F58516"/>
    </row>
    <row r="58517" spans="1:6" x14ac:dyDescent="0.25">
      <c r="A58517"/>
      <c r="B58517"/>
      <c r="C58517"/>
      <c r="E58517"/>
      <c r="F58517"/>
    </row>
    <row r="58518" spans="1:6" x14ac:dyDescent="0.25">
      <c r="A58518"/>
      <c r="B58518"/>
      <c r="C58518"/>
      <c r="E58518"/>
      <c r="F58518"/>
    </row>
    <row r="58519" spans="1:6" x14ac:dyDescent="0.25">
      <c r="A58519"/>
      <c r="B58519"/>
      <c r="C58519"/>
      <c r="E58519"/>
      <c r="F58519"/>
    </row>
    <row r="58520" spans="1:6" x14ac:dyDescent="0.25">
      <c r="A58520"/>
      <c r="B58520"/>
      <c r="C58520"/>
      <c r="E58520"/>
      <c r="F58520"/>
    </row>
    <row r="58521" spans="1:6" x14ac:dyDescent="0.25">
      <c r="A58521"/>
      <c r="B58521"/>
      <c r="C58521"/>
      <c r="E58521"/>
      <c r="F58521"/>
    </row>
    <row r="58522" spans="1:6" x14ac:dyDescent="0.25">
      <c r="A58522"/>
      <c r="B58522"/>
      <c r="C58522"/>
      <c r="E58522"/>
      <c r="F58522"/>
    </row>
    <row r="58523" spans="1:6" x14ac:dyDescent="0.25">
      <c r="A58523"/>
      <c r="B58523"/>
      <c r="C58523"/>
      <c r="E58523"/>
      <c r="F58523"/>
    </row>
    <row r="58524" spans="1:6" x14ac:dyDescent="0.25">
      <c r="A58524"/>
      <c r="B58524"/>
      <c r="C58524"/>
      <c r="E58524"/>
      <c r="F58524"/>
    </row>
    <row r="58525" spans="1:6" x14ac:dyDescent="0.25">
      <c r="A58525"/>
      <c r="B58525"/>
      <c r="C58525"/>
      <c r="E58525"/>
      <c r="F58525"/>
    </row>
    <row r="58526" spans="1:6" x14ac:dyDescent="0.25">
      <c r="A58526"/>
      <c r="B58526"/>
      <c r="C58526"/>
      <c r="E58526"/>
      <c r="F58526"/>
    </row>
    <row r="58527" spans="1:6" x14ac:dyDescent="0.25">
      <c r="A58527"/>
      <c r="B58527"/>
      <c r="C58527"/>
      <c r="E58527"/>
      <c r="F58527"/>
    </row>
    <row r="58528" spans="1:6" x14ac:dyDescent="0.25">
      <c r="A58528"/>
      <c r="B58528"/>
      <c r="C58528"/>
      <c r="E58528"/>
      <c r="F58528"/>
    </row>
    <row r="58529" spans="1:6" x14ac:dyDescent="0.25">
      <c r="A58529"/>
      <c r="B58529"/>
      <c r="C58529"/>
      <c r="E58529"/>
      <c r="F58529"/>
    </row>
    <row r="58530" spans="1:6" x14ac:dyDescent="0.25">
      <c r="A58530"/>
      <c r="B58530"/>
      <c r="C58530"/>
      <c r="E58530"/>
      <c r="F58530"/>
    </row>
    <row r="58531" spans="1:6" x14ac:dyDescent="0.25">
      <c r="A58531"/>
      <c r="B58531"/>
      <c r="C58531"/>
      <c r="E58531"/>
      <c r="F58531"/>
    </row>
    <row r="58532" spans="1:6" x14ac:dyDescent="0.25">
      <c r="A58532"/>
      <c r="B58532"/>
      <c r="C58532"/>
      <c r="E58532"/>
      <c r="F58532"/>
    </row>
    <row r="58533" spans="1:6" x14ac:dyDescent="0.25">
      <c r="A58533"/>
      <c r="B58533"/>
      <c r="C58533"/>
      <c r="E58533"/>
      <c r="F58533"/>
    </row>
    <row r="58534" spans="1:6" x14ac:dyDescent="0.25">
      <c r="A58534"/>
      <c r="B58534"/>
      <c r="C58534"/>
      <c r="E58534"/>
      <c r="F58534"/>
    </row>
    <row r="58535" spans="1:6" x14ac:dyDescent="0.25">
      <c r="A58535"/>
      <c r="B58535"/>
      <c r="C58535"/>
      <c r="E58535"/>
      <c r="F58535"/>
    </row>
    <row r="58536" spans="1:6" x14ac:dyDescent="0.25">
      <c r="A58536"/>
      <c r="B58536"/>
      <c r="C58536"/>
      <c r="E58536"/>
      <c r="F58536"/>
    </row>
    <row r="58537" spans="1:6" x14ac:dyDescent="0.25">
      <c r="A58537"/>
      <c r="B58537"/>
      <c r="C58537"/>
      <c r="E58537"/>
      <c r="F58537"/>
    </row>
    <row r="58538" spans="1:6" x14ac:dyDescent="0.25">
      <c r="A58538"/>
      <c r="B58538"/>
      <c r="C58538"/>
      <c r="E58538"/>
      <c r="F58538"/>
    </row>
    <row r="58539" spans="1:6" x14ac:dyDescent="0.25">
      <c r="A58539"/>
      <c r="B58539"/>
      <c r="C58539"/>
      <c r="E58539"/>
      <c r="F58539"/>
    </row>
    <row r="58540" spans="1:6" x14ac:dyDescent="0.25">
      <c r="A58540"/>
      <c r="B58540"/>
      <c r="C58540"/>
      <c r="E58540"/>
      <c r="F58540"/>
    </row>
    <row r="58541" spans="1:6" x14ac:dyDescent="0.25">
      <c r="A58541"/>
      <c r="B58541"/>
      <c r="C58541"/>
      <c r="E58541"/>
      <c r="F58541"/>
    </row>
    <row r="58542" spans="1:6" x14ac:dyDescent="0.25">
      <c r="A58542"/>
      <c r="B58542"/>
      <c r="C58542"/>
      <c r="E58542"/>
      <c r="F58542"/>
    </row>
    <row r="58543" spans="1:6" x14ac:dyDescent="0.25">
      <c r="A58543"/>
      <c r="B58543"/>
      <c r="C58543"/>
      <c r="E58543"/>
      <c r="F58543"/>
    </row>
    <row r="58544" spans="1:6" x14ac:dyDescent="0.25">
      <c r="A58544"/>
      <c r="B58544"/>
      <c r="C58544"/>
      <c r="E58544"/>
      <c r="F58544"/>
    </row>
    <row r="58545" spans="1:6" x14ac:dyDescent="0.25">
      <c r="A58545"/>
      <c r="B58545"/>
      <c r="C58545"/>
      <c r="E58545"/>
      <c r="F58545"/>
    </row>
    <row r="58546" spans="1:6" x14ac:dyDescent="0.25">
      <c r="A58546"/>
      <c r="B58546"/>
      <c r="C58546"/>
      <c r="E58546"/>
      <c r="F58546"/>
    </row>
    <row r="58547" spans="1:6" x14ac:dyDescent="0.25">
      <c r="A58547"/>
      <c r="B58547"/>
      <c r="C58547"/>
      <c r="E58547"/>
      <c r="F58547"/>
    </row>
    <row r="58548" spans="1:6" x14ac:dyDescent="0.25">
      <c r="A58548"/>
      <c r="B58548"/>
      <c r="C58548"/>
      <c r="E58548"/>
      <c r="F58548"/>
    </row>
    <row r="58549" spans="1:6" x14ac:dyDescent="0.25">
      <c r="A58549"/>
      <c r="B58549"/>
      <c r="C58549"/>
      <c r="E58549"/>
      <c r="F58549"/>
    </row>
    <row r="58550" spans="1:6" x14ac:dyDescent="0.25">
      <c r="A58550"/>
      <c r="B58550"/>
      <c r="C58550"/>
      <c r="E58550"/>
      <c r="F58550"/>
    </row>
    <row r="58551" spans="1:6" x14ac:dyDescent="0.25">
      <c r="A58551"/>
      <c r="B58551"/>
      <c r="C58551"/>
      <c r="E58551"/>
      <c r="F58551"/>
    </row>
    <row r="58552" spans="1:6" x14ac:dyDescent="0.25">
      <c r="A58552"/>
      <c r="B58552"/>
      <c r="C58552"/>
      <c r="E58552"/>
      <c r="F58552"/>
    </row>
    <row r="58553" spans="1:6" x14ac:dyDescent="0.25">
      <c r="A58553"/>
      <c r="B58553"/>
      <c r="C58553"/>
      <c r="E58553"/>
      <c r="F58553"/>
    </row>
    <row r="58554" spans="1:6" x14ac:dyDescent="0.25">
      <c r="A58554"/>
      <c r="B58554"/>
      <c r="C58554"/>
      <c r="E58554"/>
      <c r="F58554"/>
    </row>
    <row r="58555" spans="1:6" x14ac:dyDescent="0.25">
      <c r="A58555"/>
      <c r="B58555"/>
      <c r="C58555"/>
      <c r="E58555"/>
      <c r="F58555"/>
    </row>
    <row r="58556" spans="1:6" x14ac:dyDescent="0.25">
      <c r="A58556"/>
      <c r="B58556"/>
      <c r="C58556"/>
      <c r="E58556"/>
      <c r="F58556"/>
    </row>
    <row r="58557" spans="1:6" x14ac:dyDescent="0.25">
      <c r="A58557"/>
      <c r="B58557"/>
      <c r="C58557"/>
      <c r="E58557"/>
      <c r="F58557"/>
    </row>
    <row r="58558" spans="1:6" x14ac:dyDescent="0.25">
      <c r="A58558"/>
      <c r="B58558"/>
      <c r="C58558"/>
      <c r="E58558"/>
      <c r="F58558"/>
    </row>
    <row r="58559" spans="1:6" x14ac:dyDescent="0.25">
      <c r="A58559"/>
      <c r="B58559"/>
      <c r="C58559"/>
      <c r="E58559"/>
      <c r="F58559"/>
    </row>
    <row r="58560" spans="1:6" x14ac:dyDescent="0.25">
      <c r="A58560"/>
      <c r="B58560"/>
      <c r="C58560"/>
      <c r="E58560"/>
      <c r="F58560"/>
    </row>
    <row r="58561" spans="1:6" x14ac:dyDescent="0.25">
      <c r="A58561"/>
      <c r="B58561"/>
      <c r="C58561"/>
      <c r="E58561"/>
      <c r="F58561"/>
    </row>
    <row r="58562" spans="1:6" x14ac:dyDescent="0.25">
      <c r="A58562"/>
      <c r="B58562"/>
      <c r="C58562"/>
      <c r="E58562"/>
      <c r="F58562"/>
    </row>
    <row r="58563" spans="1:6" x14ac:dyDescent="0.25">
      <c r="A58563"/>
      <c r="B58563"/>
      <c r="C58563"/>
      <c r="E58563"/>
      <c r="F58563"/>
    </row>
    <row r="58564" spans="1:6" x14ac:dyDescent="0.25">
      <c r="A58564"/>
      <c r="B58564"/>
      <c r="C58564"/>
      <c r="E58564"/>
      <c r="F58564"/>
    </row>
    <row r="58565" spans="1:6" x14ac:dyDescent="0.25">
      <c r="A58565"/>
      <c r="B58565"/>
      <c r="C58565"/>
      <c r="E58565"/>
      <c r="F58565"/>
    </row>
    <row r="58566" spans="1:6" x14ac:dyDescent="0.25">
      <c r="A58566"/>
      <c r="B58566"/>
      <c r="C58566"/>
      <c r="E58566"/>
      <c r="F58566"/>
    </row>
    <row r="58567" spans="1:6" x14ac:dyDescent="0.25">
      <c r="A58567"/>
      <c r="B58567"/>
      <c r="C58567"/>
      <c r="E58567"/>
      <c r="F58567"/>
    </row>
    <row r="58568" spans="1:6" x14ac:dyDescent="0.25">
      <c r="A58568"/>
      <c r="B58568"/>
      <c r="C58568"/>
      <c r="E58568"/>
      <c r="F58568"/>
    </row>
    <row r="58569" spans="1:6" x14ac:dyDescent="0.25">
      <c r="A58569"/>
      <c r="B58569"/>
      <c r="C58569"/>
      <c r="E58569"/>
      <c r="F58569"/>
    </row>
    <row r="58570" spans="1:6" x14ac:dyDescent="0.25">
      <c r="A58570"/>
      <c r="B58570"/>
      <c r="C58570"/>
      <c r="E58570"/>
      <c r="F58570"/>
    </row>
    <row r="58571" spans="1:6" x14ac:dyDescent="0.25">
      <c r="A58571"/>
      <c r="B58571"/>
      <c r="C58571"/>
      <c r="E58571"/>
      <c r="F58571"/>
    </row>
    <row r="58572" spans="1:6" x14ac:dyDescent="0.25">
      <c r="A58572"/>
      <c r="B58572"/>
      <c r="C58572"/>
      <c r="E58572"/>
      <c r="F58572"/>
    </row>
    <row r="58573" spans="1:6" x14ac:dyDescent="0.25">
      <c r="A58573"/>
      <c r="B58573"/>
      <c r="C58573"/>
      <c r="E58573"/>
      <c r="F58573"/>
    </row>
    <row r="58574" spans="1:6" x14ac:dyDescent="0.25">
      <c r="A58574"/>
      <c r="B58574"/>
      <c r="C58574"/>
      <c r="E58574"/>
      <c r="F58574"/>
    </row>
    <row r="58575" spans="1:6" x14ac:dyDescent="0.25">
      <c r="A58575"/>
      <c r="B58575"/>
      <c r="C58575"/>
      <c r="E58575"/>
      <c r="F58575"/>
    </row>
    <row r="58576" spans="1:6" x14ac:dyDescent="0.25">
      <c r="A58576"/>
      <c r="B58576"/>
      <c r="C58576"/>
      <c r="E58576"/>
      <c r="F58576"/>
    </row>
    <row r="58577" spans="1:6" x14ac:dyDescent="0.25">
      <c r="A58577"/>
      <c r="B58577"/>
      <c r="C58577"/>
      <c r="E58577"/>
      <c r="F58577"/>
    </row>
    <row r="58578" spans="1:6" x14ac:dyDescent="0.25">
      <c r="A58578"/>
      <c r="B58578"/>
      <c r="C58578"/>
      <c r="E58578"/>
      <c r="F58578"/>
    </row>
    <row r="58579" spans="1:6" x14ac:dyDescent="0.25">
      <c r="A58579"/>
      <c r="B58579"/>
      <c r="C58579"/>
      <c r="E58579"/>
      <c r="F58579"/>
    </row>
    <row r="58580" spans="1:6" x14ac:dyDescent="0.25">
      <c r="A58580"/>
      <c r="B58580"/>
      <c r="C58580"/>
      <c r="E58580"/>
      <c r="F58580"/>
    </row>
    <row r="58581" spans="1:6" x14ac:dyDescent="0.25">
      <c r="A58581"/>
      <c r="B58581"/>
      <c r="C58581"/>
      <c r="E58581"/>
      <c r="F58581"/>
    </row>
    <row r="58582" spans="1:6" x14ac:dyDescent="0.25">
      <c r="A58582"/>
      <c r="B58582"/>
      <c r="C58582"/>
      <c r="E58582"/>
      <c r="F58582"/>
    </row>
    <row r="58583" spans="1:6" x14ac:dyDescent="0.25">
      <c r="A58583"/>
      <c r="B58583"/>
      <c r="C58583"/>
      <c r="E58583"/>
      <c r="F58583"/>
    </row>
    <row r="58584" spans="1:6" x14ac:dyDescent="0.25">
      <c r="A58584"/>
      <c r="B58584"/>
      <c r="C58584"/>
      <c r="E58584"/>
      <c r="F58584"/>
    </row>
    <row r="58585" spans="1:6" x14ac:dyDescent="0.25">
      <c r="A58585"/>
      <c r="B58585"/>
      <c r="C58585"/>
      <c r="E58585"/>
      <c r="F58585"/>
    </row>
    <row r="58586" spans="1:6" x14ac:dyDescent="0.25">
      <c r="A58586"/>
      <c r="B58586"/>
      <c r="C58586"/>
      <c r="E58586"/>
      <c r="F58586"/>
    </row>
    <row r="58587" spans="1:6" x14ac:dyDescent="0.25">
      <c r="A58587"/>
      <c r="B58587"/>
      <c r="C58587"/>
      <c r="E58587"/>
      <c r="F58587"/>
    </row>
    <row r="58588" spans="1:6" x14ac:dyDescent="0.25">
      <c r="A58588"/>
      <c r="B58588"/>
      <c r="C58588"/>
      <c r="E58588"/>
      <c r="F58588"/>
    </row>
    <row r="58589" spans="1:6" x14ac:dyDescent="0.25">
      <c r="A58589"/>
      <c r="B58589"/>
      <c r="C58589"/>
      <c r="E58589"/>
      <c r="F58589"/>
    </row>
    <row r="58590" spans="1:6" x14ac:dyDescent="0.25">
      <c r="A58590"/>
      <c r="B58590"/>
      <c r="C58590"/>
      <c r="E58590"/>
      <c r="F58590"/>
    </row>
    <row r="58591" spans="1:6" x14ac:dyDescent="0.25">
      <c r="A58591"/>
      <c r="B58591"/>
      <c r="C58591"/>
      <c r="E58591"/>
      <c r="F58591"/>
    </row>
    <row r="58592" spans="1:6" x14ac:dyDescent="0.25">
      <c r="A58592"/>
      <c r="B58592"/>
      <c r="C58592"/>
      <c r="E58592"/>
      <c r="F58592"/>
    </row>
    <row r="58593" spans="1:6" x14ac:dyDescent="0.25">
      <c r="A58593"/>
      <c r="B58593"/>
      <c r="C58593"/>
      <c r="E58593"/>
      <c r="F58593"/>
    </row>
    <row r="58594" spans="1:6" x14ac:dyDescent="0.25">
      <c r="A58594"/>
      <c r="B58594"/>
      <c r="C58594"/>
      <c r="E58594"/>
      <c r="F58594"/>
    </row>
    <row r="58595" spans="1:6" x14ac:dyDescent="0.25">
      <c r="A58595"/>
      <c r="B58595"/>
      <c r="C58595"/>
      <c r="E58595"/>
      <c r="F58595"/>
    </row>
    <row r="58596" spans="1:6" x14ac:dyDescent="0.25">
      <c r="A58596"/>
      <c r="B58596"/>
      <c r="C58596"/>
      <c r="E58596"/>
      <c r="F58596"/>
    </row>
    <row r="58597" spans="1:6" x14ac:dyDescent="0.25">
      <c r="A58597"/>
      <c r="B58597"/>
      <c r="C58597"/>
      <c r="E58597"/>
      <c r="F58597"/>
    </row>
    <row r="58598" spans="1:6" x14ac:dyDescent="0.25">
      <c r="A58598"/>
      <c r="B58598"/>
      <c r="C58598"/>
      <c r="E58598"/>
      <c r="F58598"/>
    </row>
    <row r="58599" spans="1:6" x14ac:dyDescent="0.25">
      <c r="A58599"/>
      <c r="B58599"/>
      <c r="C58599"/>
      <c r="E58599"/>
      <c r="F58599"/>
    </row>
    <row r="58600" spans="1:6" x14ac:dyDescent="0.25">
      <c r="A58600"/>
      <c r="B58600"/>
      <c r="C58600"/>
      <c r="E58600"/>
      <c r="F58600"/>
    </row>
    <row r="58601" spans="1:6" x14ac:dyDescent="0.25">
      <c r="A58601"/>
      <c r="B58601"/>
      <c r="C58601"/>
      <c r="E58601"/>
      <c r="F58601"/>
    </row>
    <row r="58602" spans="1:6" x14ac:dyDescent="0.25">
      <c r="A58602"/>
      <c r="B58602"/>
      <c r="C58602"/>
      <c r="E58602"/>
      <c r="F58602"/>
    </row>
    <row r="58603" spans="1:6" x14ac:dyDescent="0.25">
      <c r="A58603"/>
      <c r="B58603"/>
      <c r="C58603"/>
      <c r="E58603"/>
      <c r="F58603"/>
    </row>
    <row r="58604" spans="1:6" x14ac:dyDescent="0.25">
      <c r="A58604"/>
      <c r="B58604"/>
      <c r="C58604"/>
      <c r="E58604"/>
      <c r="F58604"/>
    </row>
    <row r="58605" spans="1:6" x14ac:dyDescent="0.25">
      <c r="A58605"/>
      <c r="B58605"/>
      <c r="C58605"/>
      <c r="E58605"/>
      <c r="F58605"/>
    </row>
    <row r="58606" spans="1:6" x14ac:dyDescent="0.25">
      <c r="A58606"/>
      <c r="B58606"/>
      <c r="C58606"/>
      <c r="E58606"/>
      <c r="F58606"/>
    </row>
    <row r="58607" spans="1:6" x14ac:dyDescent="0.25">
      <c r="A58607"/>
      <c r="B58607"/>
      <c r="C58607"/>
      <c r="E58607"/>
      <c r="F58607"/>
    </row>
    <row r="58608" spans="1:6" x14ac:dyDescent="0.25">
      <c r="A58608"/>
      <c r="B58608"/>
      <c r="C58608"/>
      <c r="E58608"/>
      <c r="F58608"/>
    </row>
    <row r="58609" spans="1:6" x14ac:dyDescent="0.25">
      <c r="A58609"/>
      <c r="B58609"/>
      <c r="C58609"/>
      <c r="E58609"/>
      <c r="F58609"/>
    </row>
    <row r="58610" spans="1:6" x14ac:dyDescent="0.25">
      <c r="A58610"/>
      <c r="B58610"/>
      <c r="C58610"/>
      <c r="E58610"/>
      <c r="F58610"/>
    </row>
    <row r="58611" spans="1:6" x14ac:dyDescent="0.25">
      <c r="A58611"/>
      <c r="B58611"/>
      <c r="C58611"/>
      <c r="E58611"/>
      <c r="F58611"/>
    </row>
    <row r="58612" spans="1:6" x14ac:dyDescent="0.25">
      <c r="A58612"/>
      <c r="B58612"/>
      <c r="C58612"/>
      <c r="E58612"/>
      <c r="F58612"/>
    </row>
    <row r="58613" spans="1:6" x14ac:dyDescent="0.25">
      <c r="A58613"/>
      <c r="B58613"/>
      <c r="C58613"/>
      <c r="E58613"/>
      <c r="F58613"/>
    </row>
    <row r="58614" spans="1:6" x14ac:dyDescent="0.25">
      <c r="A58614"/>
      <c r="B58614"/>
      <c r="C58614"/>
      <c r="E58614"/>
      <c r="F58614"/>
    </row>
    <row r="58615" spans="1:6" x14ac:dyDescent="0.25">
      <c r="A58615"/>
      <c r="B58615"/>
      <c r="C58615"/>
      <c r="E58615"/>
      <c r="F58615"/>
    </row>
    <row r="58616" spans="1:6" x14ac:dyDescent="0.25">
      <c r="A58616"/>
      <c r="B58616"/>
      <c r="C58616"/>
      <c r="E58616"/>
      <c r="F58616"/>
    </row>
    <row r="58617" spans="1:6" x14ac:dyDescent="0.25">
      <c r="A58617"/>
      <c r="B58617"/>
      <c r="C58617"/>
      <c r="E58617"/>
      <c r="F58617"/>
    </row>
    <row r="58618" spans="1:6" x14ac:dyDescent="0.25">
      <c r="A58618"/>
      <c r="B58618"/>
      <c r="C58618"/>
      <c r="E58618"/>
      <c r="F58618"/>
    </row>
    <row r="58619" spans="1:6" x14ac:dyDescent="0.25">
      <c r="A58619"/>
      <c r="B58619"/>
      <c r="C58619"/>
      <c r="E58619"/>
      <c r="F58619"/>
    </row>
    <row r="58620" spans="1:6" x14ac:dyDescent="0.25">
      <c r="A58620"/>
      <c r="B58620"/>
      <c r="C58620"/>
      <c r="E58620"/>
      <c r="F58620"/>
    </row>
    <row r="58621" spans="1:6" x14ac:dyDescent="0.25">
      <c r="A58621"/>
      <c r="B58621"/>
      <c r="C58621"/>
      <c r="E58621"/>
      <c r="F58621"/>
    </row>
    <row r="58622" spans="1:6" x14ac:dyDescent="0.25">
      <c r="A58622"/>
      <c r="B58622"/>
      <c r="C58622"/>
      <c r="E58622"/>
      <c r="F58622"/>
    </row>
    <row r="58623" spans="1:6" x14ac:dyDescent="0.25">
      <c r="A58623"/>
      <c r="B58623"/>
      <c r="C58623"/>
      <c r="E58623"/>
      <c r="F58623"/>
    </row>
    <row r="58624" spans="1:6" x14ac:dyDescent="0.25">
      <c r="A58624"/>
      <c r="B58624"/>
      <c r="C58624"/>
      <c r="E58624"/>
      <c r="F58624"/>
    </row>
    <row r="58625" spans="1:6" x14ac:dyDescent="0.25">
      <c r="A58625"/>
      <c r="B58625"/>
      <c r="C58625"/>
      <c r="E58625"/>
      <c r="F58625"/>
    </row>
    <row r="58626" spans="1:6" x14ac:dyDescent="0.25">
      <c r="A58626"/>
      <c r="B58626"/>
      <c r="C58626"/>
      <c r="E58626"/>
      <c r="F58626"/>
    </row>
    <row r="58627" spans="1:6" x14ac:dyDescent="0.25">
      <c r="A58627"/>
      <c r="B58627"/>
      <c r="C58627"/>
      <c r="E58627"/>
      <c r="F58627"/>
    </row>
    <row r="58628" spans="1:6" x14ac:dyDescent="0.25">
      <c r="A58628"/>
      <c r="B58628"/>
      <c r="C58628"/>
      <c r="E58628"/>
      <c r="F58628"/>
    </row>
    <row r="58629" spans="1:6" x14ac:dyDescent="0.25">
      <c r="A58629"/>
      <c r="B58629"/>
      <c r="C58629"/>
      <c r="E58629"/>
      <c r="F58629"/>
    </row>
    <row r="58630" spans="1:6" x14ac:dyDescent="0.25">
      <c r="A58630"/>
      <c r="B58630"/>
      <c r="C58630"/>
      <c r="E58630"/>
      <c r="F58630"/>
    </row>
    <row r="58631" spans="1:6" x14ac:dyDescent="0.25">
      <c r="A58631"/>
      <c r="B58631"/>
      <c r="C58631"/>
      <c r="E58631"/>
      <c r="F58631"/>
    </row>
    <row r="58632" spans="1:6" x14ac:dyDescent="0.25">
      <c r="A58632"/>
      <c r="B58632"/>
      <c r="C58632"/>
      <c r="E58632"/>
      <c r="F58632"/>
    </row>
    <row r="58633" spans="1:6" x14ac:dyDescent="0.25">
      <c r="A58633"/>
      <c r="B58633"/>
      <c r="C58633"/>
      <c r="E58633"/>
      <c r="F58633"/>
    </row>
    <row r="58634" spans="1:6" x14ac:dyDescent="0.25">
      <c r="A58634"/>
      <c r="B58634"/>
      <c r="C58634"/>
      <c r="E58634"/>
      <c r="F58634"/>
    </row>
    <row r="58635" spans="1:6" x14ac:dyDescent="0.25">
      <c r="A58635"/>
      <c r="B58635"/>
      <c r="C58635"/>
      <c r="E58635"/>
      <c r="F58635"/>
    </row>
    <row r="58636" spans="1:6" x14ac:dyDescent="0.25">
      <c r="A58636"/>
      <c r="B58636"/>
      <c r="C58636"/>
      <c r="E58636"/>
      <c r="F58636"/>
    </row>
    <row r="58637" spans="1:6" x14ac:dyDescent="0.25">
      <c r="A58637"/>
      <c r="B58637"/>
      <c r="C58637"/>
      <c r="E58637"/>
      <c r="F58637"/>
    </row>
    <row r="58638" spans="1:6" x14ac:dyDescent="0.25">
      <c r="A58638"/>
      <c r="B58638"/>
      <c r="C58638"/>
      <c r="E58638"/>
      <c r="F58638"/>
    </row>
    <row r="58639" spans="1:6" x14ac:dyDescent="0.25">
      <c r="A58639"/>
      <c r="B58639"/>
      <c r="C58639"/>
      <c r="E58639"/>
      <c r="F58639"/>
    </row>
    <row r="58640" spans="1:6" x14ac:dyDescent="0.25">
      <c r="A58640"/>
      <c r="B58640"/>
      <c r="C58640"/>
      <c r="E58640"/>
      <c r="F58640"/>
    </row>
    <row r="58641" spans="1:6" x14ac:dyDescent="0.25">
      <c r="A58641"/>
      <c r="B58641"/>
      <c r="C58641"/>
      <c r="E58641"/>
      <c r="F58641"/>
    </row>
    <row r="58642" spans="1:6" x14ac:dyDescent="0.25">
      <c r="A58642"/>
      <c r="B58642"/>
      <c r="C58642"/>
      <c r="E58642"/>
      <c r="F58642"/>
    </row>
    <row r="58643" spans="1:6" x14ac:dyDescent="0.25">
      <c r="A58643"/>
      <c r="B58643"/>
      <c r="C58643"/>
      <c r="E58643"/>
      <c r="F58643"/>
    </row>
    <row r="58644" spans="1:6" x14ac:dyDescent="0.25">
      <c r="A58644"/>
      <c r="B58644"/>
      <c r="C58644"/>
      <c r="E58644"/>
      <c r="F58644"/>
    </row>
    <row r="58645" spans="1:6" x14ac:dyDescent="0.25">
      <c r="A58645"/>
      <c r="B58645"/>
      <c r="C58645"/>
      <c r="E58645"/>
      <c r="F58645"/>
    </row>
    <row r="58646" spans="1:6" x14ac:dyDescent="0.25">
      <c r="A58646"/>
      <c r="B58646"/>
      <c r="C58646"/>
      <c r="E58646"/>
      <c r="F58646"/>
    </row>
    <row r="58647" spans="1:6" x14ac:dyDescent="0.25">
      <c r="A58647"/>
      <c r="B58647"/>
      <c r="C58647"/>
      <c r="E58647"/>
      <c r="F58647"/>
    </row>
    <row r="58648" spans="1:6" x14ac:dyDescent="0.25">
      <c r="A58648"/>
      <c r="B58648"/>
      <c r="C58648"/>
      <c r="E58648"/>
      <c r="F58648"/>
    </row>
    <row r="58649" spans="1:6" x14ac:dyDescent="0.25">
      <c r="A58649"/>
      <c r="B58649"/>
      <c r="C58649"/>
      <c r="E58649"/>
      <c r="F58649"/>
    </row>
    <row r="58650" spans="1:6" x14ac:dyDescent="0.25">
      <c r="A58650"/>
      <c r="B58650"/>
      <c r="C58650"/>
      <c r="E58650"/>
      <c r="F58650"/>
    </row>
    <row r="58651" spans="1:6" x14ac:dyDescent="0.25">
      <c r="A58651"/>
      <c r="B58651"/>
      <c r="C58651"/>
      <c r="E58651"/>
      <c r="F58651"/>
    </row>
    <row r="58652" spans="1:6" x14ac:dyDescent="0.25">
      <c r="A58652"/>
      <c r="B58652"/>
      <c r="C58652"/>
      <c r="E58652"/>
      <c r="F58652"/>
    </row>
    <row r="58653" spans="1:6" x14ac:dyDescent="0.25">
      <c r="A58653"/>
      <c r="B58653"/>
      <c r="C58653"/>
      <c r="E58653"/>
      <c r="F58653"/>
    </row>
    <row r="58654" spans="1:6" x14ac:dyDescent="0.25">
      <c r="A58654"/>
      <c r="B58654"/>
      <c r="C58654"/>
      <c r="E58654"/>
      <c r="F58654"/>
    </row>
    <row r="58655" spans="1:6" x14ac:dyDescent="0.25">
      <c r="A58655"/>
      <c r="B58655"/>
      <c r="C58655"/>
      <c r="E58655"/>
      <c r="F58655"/>
    </row>
    <row r="58656" spans="1:6" x14ac:dyDescent="0.25">
      <c r="A58656"/>
      <c r="B58656"/>
      <c r="C58656"/>
      <c r="E58656"/>
      <c r="F58656"/>
    </row>
    <row r="58657" spans="1:6" x14ac:dyDescent="0.25">
      <c r="A58657"/>
      <c r="B58657"/>
      <c r="C58657"/>
      <c r="E58657"/>
      <c r="F58657"/>
    </row>
    <row r="58658" spans="1:6" x14ac:dyDescent="0.25">
      <c r="A58658"/>
      <c r="B58658"/>
      <c r="C58658"/>
      <c r="E58658"/>
      <c r="F58658"/>
    </row>
    <row r="58659" spans="1:6" x14ac:dyDescent="0.25">
      <c r="A58659"/>
      <c r="B58659"/>
      <c r="C58659"/>
      <c r="E58659"/>
      <c r="F58659"/>
    </row>
    <row r="58660" spans="1:6" x14ac:dyDescent="0.25">
      <c r="A58660"/>
      <c r="B58660"/>
      <c r="C58660"/>
      <c r="E58660"/>
      <c r="F58660"/>
    </row>
    <row r="58661" spans="1:6" x14ac:dyDescent="0.25">
      <c r="A58661"/>
      <c r="B58661"/>
      <c r="C58661"/>
      <c r="E58661"/>
      <c r="F58661"/>
    </row>
    <row r="58662" spans="1:6" x14ac:dyDescent="0.25">
      <c r="A58662"/>
      <c r="B58662"/>
      <c r="C58662"/>
      <c r="E58662"/>
      <c r="F58662"/>
    </row>
    <row r="58663" spans="1:6" x14ac:dyDescent="0.25">
      <c r="A58663"/>
      <c r="B58663"/>
      <c r="C58663"/>
      <c r="E58663"/>
      <c r="F58663"/>
    </row>
    <row r="58664" spans="1:6" x14ac:dyDescent="0.25">
      <c r="A58664"/>
      <c r="B58664"/>
      <c r="C58664"/>
      <c r="E58664"/>
      <c r="F58664"/>
    </row>
    <row r="58665" spans="1:6" x14ac:dyDescent="0.25">
      <c r="A58665"/>
      <c r="B58665"/>
      <c r="C58665"/>
      <c r="E58665"/>
      <c r="F58665"/>
    </row>
    <row r="58666" spans="1:6" x14ac:dyDescent="0.25">
      <c r="A58666"/>
      <c r="B58666"/>
      <c r="C58666"/>
      <c r="E58666"/>
      <c r="F58666"/>
    </row>
    <row r="58667" spans="1:6" x14ac:dyDescent="0.25">
      <c r="A58667"/>
      <c r="B58667"/>
      <c r="C58667"/>
      <c r="E58667"/>
      <c r="F58667"/>
    </row>
    <row r="58668" spans="1:6" x14ac:dyDescent="0.25">
      <c r="A58668"/>
      <c r="B58668"/>
      <c r="C58668"/>
      <c r="E58668"/>
      <c r="F58668"/>
    </row>
    <row r="58669" spans="1:6" x14ac:dyDescent="0.25">
      <c r="A58669"/>
      <c r="B58669"/>
      <c r="C58669"/>
      <c r="E58669"/>
      <c r="F58669"/>
    </row>
    <row r="58670" spans="1:6" x14ac:dyDescent="0.25">
      <c r="A58670"/>
      <c r="B58670"/>
      <c r="C58670"/>
      <c r="E58670"/>
      <c r="F58670"/>
    </row>
    <row r="58671" spans="1:6" x14ac:dyDescent="0.25">
      <c r="A58671"/>
      <c r="B58671"/>
      <c r="C58671"/>
      <c r="E58671"/>
      <c r="F58671"/>
    </row>
    <row r="58672" spans="1:6" x14ac:dyDescent="0.25">
      <c r="A58672"/>
      <c r="B58672"/>
      <c r="C58672"/>
      <c r="E58672"/>
      <c r="F58672"/>
    </row>
    <row r="58673" spans="1:6" x14ac:dyDescent="0.25">
      <c r="A58673"/>
      <c r="B58673"/>
      <c r="C58673"/>
      <c r="E58673"/>
      <c r="F58673"/>
    </row>
    <row r="58674" spans="1:6" x14ac:dyDescent="0.25">
      <c r="A58674"/>
      <c r="B58674"/>
      <c r="C58674"/>
      <c r="E58674"/>
      <c r="F58674"/>
    </row>
    <row r="58675" spans="1:6" x14ac:dyDescent="0.25">
      <c r="A58675"/>
      <c r="B58675"/>
      <c r="C58675"/>
      <c r="E58675"/>
      <c r="F58675"/>
    </row>
    <row r="58676" spans="1:6" x14ac:dyDescent="0.25">
      <c r="A58676"/>
      <c r="B58676"/>
      <c r="C58676"/>
      <c r="E58676"/>
      <c r="F58676"/>
    </row>
    <row r="58677" spans="1:6" x14ac:dyDescent="0.25">
      <c r="A58677"/>
      <c r="B58677"/>
      <c r="C58677"/>
      <c r="E58677"/>
      <c r="F58677"/>
    </row>
    <row r="58678" spans="1:6" x14ac:dyDescent="0.25">
      <c r="A58678"/>
      <c r="B58678"/>
      <c r="C58678"/>
      <c r="E58678"/>
      <c r="F58678"/>
    </row>
    <row r="58679" spans="1:6" x14ac:dyDescent="0.25">
      <c r="A58679"/>
      <c r="B58679"/>
      <c r="C58679"/>
      <c r="E58679"/>
      <c r="F58679"/>
    </row>
    <row r="58680" spans="1:6" x14ac:dyDescent="0.25">
      <c r="A58680"/>
      <c r="B58680"/>
      <c r="C58680"/>
      <c r="E58680"/>
      <c r="F58680"/>
    </row>
    <row r="58681" spans="1:6" x14ac:dyDescent="0.25">
      <c r="A58681"/>
      <c r="B58681"/>
      <c r="C58681"/>
      <c r="E58681"/>
      <c r="F58681"/>
    </row>
    <row r="58682" spans="1:6" x14ac:dyDescent="0.25">
      <c r="A58682"/>
      <c r="B58682"/>
      <c r="C58682"/>
      <c r="E58682"/>
      <c r="F58682"/>
    </row>
    <row r="58683" spans="1:6" x14ac:dyDescent="0.25">
      <c r="A58683"/>
      <c r="B58683"/>
      <c r="C58683"/>
      <c r="E58683"/>
      <c r="F58683"/>
    </row>
    <row r="58684" spans="1:6" x14ac:dyDescent="0.25">
      <c r="A58684"/>
      <c r="B58684"/>
      <c r="C58684"/>
      <c r="E58684"/>
      <c r="F58684"/>
    </row>
    <row r="58685" spans="1:6" x14ac:dyDescent="0.25">
      <c r="A58685"/>
      <c r="B58685"/>
      <c r="C58685"/>
      <c r="E58685"/>
      <c r="F58685"/>
    </row>
    <row r="58686" spans="1:6" x14ac:dyDescent="0.25">
      <c r="A58686"/>
      <c r="B58686"/>
      <c r="C58686"/>
      <c r="E58686"/>
      <c r="F58686"/>
    </row>
    <row r="58687" spans="1:6" x14ac:dyDescent="0.25">
      <c r="A58687"/>
      <c r="B58687"/>
      <c r="C58687"/>
      <c r="E58687"/>
      <c r="F58687"/>
    </row>
    <row r="58688" spans="1:6" x14ac:dyDescent="0.25">
      <c r="A58688"/>
      <c r="B58688"/>
      <c r="C58688"/>
      <c r="E58688"/>
      <c r="F58688"/>
    </row>
    <row r="58689" spans="1:6" x14ac:dyDescent="0.25">
      <c r="A58689"/>
      <c r="B58689"/>
      <c r="C58689"/>
      <c r="E58689"/>
      <c r="F58689"/>
    </row>
    <row r="58690" spans="1:6" x14ac:dyDescent="0.25">
      <c r="A58690"/>
      <c r="B58690"/>
      <c r="C58690"/>
      <c r="E58690"/>
      <c r="F58690"/>
    </row>
    <row r="58691" spans="1:6" x14ac:dyDescent="0.25">
      <c r="A58691"/>
      <c r="B58691"/>
      <c r="C58691"/>
      <c r="E58691"/>
      <c r="F58691"/>
    </row>
    <row r="58692" spans="1:6" x14ac:dyDescent="0.25">
      <c r="A58692"/>
      <c r="B58692"/>
      <c r="C58692"/>
      <c r="E58692"/>
      <c r="F58692"/>
    </row>
    <row r="58693" spans="1:6" x14ac:dyDescent="0.25">
      <c r="A58693"/>
      <c r="B58693"/>
      <c r="C58693"/>
      <c r="E58693"/>
      <c r="F58693"/>
    </row>
    <row r="58694" spans="1:6" x14ac:dyDescent="0.25">
      <c r="A58694"/>
      <c r="B58694"/>
      <c r="C58694"/>
      <c r="E58694"/>
      <c r="F58694"/>
    </row>
    <row r="58695" spans="1:6" x14ac:dyDescent="0.25">
      <c r="A58695"/>
      <c r="B58695"/>
      <c r="C58695"/>
      <c r="E58695"/>
      <c r="F58695"/>
    </row>
    <row r="58696" spans="1:6" x14ac:dyDescent="0.25">
      <c r="A58696"/>
      <c r="B58696"/>
      <c r="C58696"/>
      <c r="E58696"/>
      <c r="F58696"/>
    </row>
    <row r="58697" spans="1:6" x14ac:dyDescent="0.25">
      <c r="A58697"/>
      <c r="B58697"/>
      <c r="C58697"/>
      <c r="E58697"/>
      <c r="F58697"/>
    </row>
    <row r="58698" spans="1:6" x14ac:dyDescent="0.25">
      <c r="A58698"/>
      <c r="B58698"/>
      <c r="C58698"/>
      <c r="E58698"/>
      <c r="F58698"/>
    </row>
    <row r="58699" spans="1:6" x14ac:dyDescent="0.25">
      <c r="A58699"/>
      <c r="B58699"/>
      <c r="C58699"/>
      <c r="E58699"/>
      <c r="F58699"/>
    </row>
    <row r="58700" spans="1:6" x14ac:dyDescent="0.25">
      <c r="A58700"/>
      <c r="B58700"/>
      <c r="C58700"/>
      <c r="E58700"/>
      <c r="F58700"/>
    </row>
    <row r="58701" spans="1:6" x14ac:dyDescent="0.25">
      <c r="A58701"/>
      <c r="B58701"/>
      <c r="C58701"/>
      <c r="E58701"/>
      <c r="F58701"/>
    </row>
    <row r="58702" spans="1:6" x14ac:dyDescent="0.25">
      <c r="A58702"/>
      <c r="B58702"/>
      <c r="C58702"/>
      <c r="E58702"/>
      <c r="F58702"/>
    </row>
    <row r="58703" spans="1:6" x14ac:dyDescent="0.25">
      <c r="A58703"/>
      <c r="B58703"/>
      <c r="C58703"/>
      <c r="E58703"/>
      <c r="F58703"/>
    </row>
    <row r="58704" spans="1:6" x14ac:dyDescent="0.25">
      <c r="A58704"/>
      <c r="B58704"/>
      <c r="C58704"/>
      <c r="E58704"/>
      <c r="F58704"/>
    </row>
    <row r="58705" spans="1:6" x14ac:dyDescent="0.25">
      <c r="A58705"/>
      <c r="B58705"/>
      <c r="C58705"/>
      <c r="E58705"/>
      <c r="F58705"/>
    </row>
    <row r="58706" spans="1:6" x14ac:dyDescent="0.25">
      <c r="A58706"/>
      <c r="B58706"/>
      <c r="C58706"/>
      <c r="E58706"/>
      <c r="F58706"/>
    </row>
    <row r="58707" spans="1:6" x14ac:dyDescent="0.25">
      <c r="A58707"/>
      <c r="B58707"/>
      <c r="C58707"/>
      <c r="E58707"/>
      <c r="F58707"/>
    </row>
    <row r="58708" spans="1:6" x14ac:dyDescent="0.25">
      <c r="A58708"/>
      <c r="B58708"/>
      <c r="C58708"/>
      <c r="E58708"/>
      <c r="F58708"/>
    </row>
    <row r="58709" spans="1:6" x14ac:dyDescent="0.25">
      <c r="A58709"/>
      <c r="B58709"/>
      <c r="C58709"/>
      <c r="E58709"/>
      <c r="F58709"/>
    </row>
    <row r="58710" spans="1:6" x14ac:dyDescent="0.25">
      <c r="A58710"/>
      <c r="B58710"/>
      <c r="C58710"/>
      <c r="E58710"/>
      <c r="F58710"/>
    </row>
    <row r="58711" spans="1:6" x14ac:dyDescent="0.25">
      <c r="A58711"/>
      <c r="B58711"/>
      <c r="C58711"/>
      <c r="E58711"/>
      <c r="F58711"/>
    </row>
    <row r="58712" spans="1:6" x14ac:dyDescent="0.25">
      <c r="A58712"/>
      <c r="B58712"/>
      <c r="C58712"/>
      <c r="E58712"/>
      <c r="F58712"/>
    </row>
    <row r="58713" spans="1:6" x14ac:dyDescent="0.25">
      <c r="A58713"/>
      <c r="B58713"/>
      <c r="C58713"/>
      <c r="E58713"/>
      <c r="F58713"/>
    </row>
    <row r="58714" spans="1:6" x14ac:dyDescent="0.25">
      <c r="A58714"/>
      <c r="B58714"/>
      <c r="C58714"/>
      <c r="E58714"/>
      <c r="F58714"/>
    </row>
    <row r="58715" spans="1:6" x14ac:dyDescent="0.25">
      <c r="A58715"/>
      <c r="B58715"/>
      <c r="C58715"/>
      <c r="E58715"/>
      <c r="F58715"/>
    </row>
    <row r="58716" spans="1:6" x14ac:dyDescent="0.25">
      <c r="A58716"/>
      <c r="B58716"/>
      <c r="C58716"/>
      <c r="E58716"/>
      <c r="F58716"/>
    </row>
    <row r="58717" spans="1:6" x14ac:dyDescent="0.25">
      <c r="A58717"/>
      <c r="B58717"/>
      <c r="C58717"/>
      <c r="E58717"/>
      <c r="F58717"/>
    </row>
    <row r="58718" spans="1:6" x14ac:dyDescent="0.25">
      <c r="A58718"/>
      <c r="B58718"/>
      <c r="C58718"/>
      <c r="E58718"/>
      <c r="F58718"/>
    </row>
    <row r="58719" spans="1:6" x14ac:dyDescent="0.25">
      <c r="A58719"/>
      <c r="B58719"/>
      <c r="C58719"/>
      <c r="E58719"/>
      <c r="F58719"/>
    </row>
    <row r="58720" spans="1:6" x14ac:dyDescent="0.25">
      <c r="A58720"/>
      <c r="B58720"/>
      <c r="C58720"/>
      <c r="E58720"/>
      <c r="F58720"/>
    </row>
    <row r="58721" spans="1:6" x14ac:dyDescent="0.25">
      <c r="A58721"/>
      <c r="B58721"/>
      <c r="C58721"/>
      <c r="E58721"/>
      <c r="F58721"/>
    </row>
    <row r="58722" spans="1:6" x14ac:dyDescent="0.25">
      <c r="A58722"/>
      <c r="B58722"/>
      <c r="C58722"/>
      <c r="E58722"/>
      <c r="F58722"/>
    </row>
    <row r="58723" spans="1:6" x14ac:dyDescent="0.25">
      <c r="A58723"/>
      <c r="B58723"/>
      <c r="C58723"/>
      <c r="E58723"/>
      <c r="F58723"/>
    </row>
    <row r="58724" spans="1:6" x14ac:dyDescent="0.25">
      <c r="A58724"/>
      <c r="B58724"/>
      <c r="C58724"/>
      <c r="E58724"/>
      <c r="F58724"/>
    </row>
    <row r="58725" spans="1:6" x14ac:dyDescent="0.25">
      <c r="A58725"/>
      <c r="B58725"/>
      <c r="C58725"/>
      <c r="E58725"/>
      <c r="F58725"/>
    </row>
    <row r="58726" spans="1:6" x14ac:dyDescent="0.25">
      <c r="A58726"/>
      <c r="B58726"/>
      <c r="C58726"/>
      <c r="E58726"/>
      <c r="F58726"/>
    </row>
    <row r="58727" spans="1:6" x14ac:dyDescent="0.25">
      <c r="A58727"/>
      <c r="B58727"/>
      <c r="C58727"/>
      <c r="E58727"/>
      <c r="F58727"/>
    </row>
    <row r="58728" spans="1:6" x14ac:dyDescent="0.25">
      <c r="A58728"/>
      <c r="B58728"/>
      <c r="C58728"/>
      <c r="E58728"/>
      <c r="F58728"/>
    </row>
    <row r="58729" spans="1:6" x14ac:dyDescent="0.25">
      <c r="A58729"/>
      <c r="B58729"/>
      <c r="C58729"/>
      <c r="E58729"/>
      <c r="F58729"/>
    </row>
    <row r="58730" spans="1:6" x14ac:dyDescent="0.25">
      <c r="A58730"/>
      <c r="B58730"/>
      <c r="C58730"/>
      <c r="E58730"/>
      <c r="F58730"/>
    </row>
    <row r="58731" spans="1:6" x14ac:dyDescent="0.25">
      <c r="A58731"/>
      <c r="B58731"/>
      <c r="C58731"/>
      <c r="E58731"/>
      <c r="F58731"/>
    </row>
    <row r="58732" spans="1:6" x14ac:dyDescent="0.25">
      <c r="A58732"/>
      <c r="B58732"/>
      <c r="C58732"/>
      <c r="E58732"/>
      <c r="F58732"/>
    </row>
    <row r="58733" spans="1:6" x14ac:dyDescent="0.25">
      <c r="A58733"/>
      <c r="B58733"/>
      <c r="C58733"/>
      <c r="E58733"/>
      <c r="F58733"/>
    </row>
    <row r="58734" spans="1:6" x14ac:dyDescent="0.25">
      <c r="A58734"/>
      <c r="B58734"/>
      <c r="C58734"/>
      <c r="E58734"/>
      <c r="F58734"/>
    </row>
    <row r="58735" spans="1:6" x14ac:dyDescent="0.25">
      <c r="A58735"/>
      <c r="B58735"/>
      <c r="C58735"/>
      <c r="E58735"/>
      <c r="F58735"/>
    </row>
    <row r="58736" spans="1:6" x14ac:dyDescent="0.25">
      <c r="A58736"/>
      <c r="B58736"/>
      <c r="C58736"/>
      <c r="E58736"/>
      <c r="F58736"/>
    </row>
    <row r="58737" spans="1:6" x14ac:dyDescent="0.25">
      <c r="A58737"/>
      <c r="B58737"/>
      <c r="C58737"/>
      <c r="E58737"/>
      <c r="F58737"/>
    </row>
    <row r="58738" spans="1:6" x14ac:dyDescent="0.25">
      <c r="A58738"/>
      <c r="B58738"/>
      <c r="C58738"/>
      <c r="E58738"/>
      <c r="F58738"/>
    </row>
    <row r="58739" spans="1:6" x14ac:dyDescent="0.25">
      <c r="A58739"/>
      <c r="B58739"/>
      <c r="C58739"/>
      <c r="E58739"/>
      <c r="F58739"/>
    </row>
    <row r="58740" spans="1:6" x14ac:dyDescent="0.25">
      <c r="A58740"/>
      <c r="B58740"/>
      <c r="C58740"/>
      <c r="E58740"/>
      <c r="F58740"/>
    </row>
    <row r="58741" spans="1:6" x14ac:dyDescent="0.25">
      <c r="A58741"/>
      <c r="B58741"/>
      <c r="C58741"/>
      <c r="E58741"/>
      <c r="F58741"/>
    </row>
    <row r="58742" spans="1:6" x14ac:dyDescent="0.25">
      <c r="A58742"/>
      <c r="B58742"/>
      <c r="C58742"/>
      <c r="E58742"/>
      <c r="F58742"/>
    </row>
    <row r="58743" spans="1:6" x14ac:dyDescent="0.25">
      <c r="A58743"/>
      <c r="B58743"/>
      <c r="C58743"/>
      <c r="E58743"/>
      <c r="F58743"/>
    </row>
    <row r="58744" spans="1:6" x14ac:dyDescent="0.25">
      <c r="A58744"/>
      <c r="B58744"/>
      <c r="C58744"/>
      <c r="E58744"/>
      <c r="F58744"/>
    </row>
    <row r="58745" spans="1:6" x14ac:dyDescent="0.25">
      <c r="A58745"/>
      <c r="B58745"/>
      <c r="C58745"/>
      <c r="E58745"/>
      <c r="F58745"/>
    </row>
    <row r="58746" spans="1:6" x14ac:dyDescent="0.25">
      <c r="A58746"/>
      <c r="B58746"/>
      <c r="C58746"/>
      <c r="E58746"/>
      <c r="F58746"/>
    </row>
    <row r="58747" spans="1:6" x14ac:dyDescent="0.25">
      <c r="A58747"/>
      <c r="B58747"/>
      <c r="C58747"/>
      <c r="E58747"/>
      <c r="F58747"/>
    </row>
    <row r="58748" spans="1:6" x14ac:dyDescent="0.25">
      <c r="A58748"/>
      <c r="B58748"/>
      <c r="C58748"/>
      <c r="E58748"/>
      <c r="F58748"/>
    </row>
    <row r="58749" spans="1:6" x14ac:dyDescent="0.25">
      <c r="A58749"/>
      <c r="B58749"/>
      <c r="C58749"/>
      <c r="E58749"/>
      <c r="F58749"/>
    </row>
    <row r="58750" spans="1:6" x14ac:dyDescent="0.25">
      <c r="A58750"/>
      <c r="B58750"/>
      <c r="C58750"/>
      <c r="E58750"/>
      <c r="F58750"/>
    </row>
    <row r="58751" spans="1:6" x14ac:dyDescent="0.25">
      <c r="A58751"/>
      <c r="B58751"/>
      <c r="C58751"/>
      <c r="E58751"/>
      <c r="F58751"/>
    </row>
    <row r="58752" spans="1:6" x14ac:dyDescent="0.25">
      <c r="A58752"/>
      <c r="B58752"/>
      <c r="C58752"/>
      <c r="E58752"/>
      <c r="F58752"/>
    </row>
    <row r="58753" spans="1:6" x14ac:dyDescent="0.25">
      <c r="A58753"/>
      <c r="B58753"/>
      <c r="C58753"/>
      <c r="E58753"/>
      <c r="F58753"/>
    </row>
    <row r="58754" spans="1:6" x14ac:dyDescent="0.25">
      <c r="A58754"/>
      <c r="B58754"/>
      <c r="C58754"/>
      <c r="E58754"/>
      <c r="F58754"/>
    </row>
    <row r="58755" spans="1:6" x14ac:dyDescent="0.25">
      <c r="A58755"/>
      <c r="B58755"/>
      <c r="C58755"/>
      <c r="E58755"/>
      <c r="F58755"/>
    </row>
    <row r="58756" spans="1:6" x14ac:dyDescent="0.25">
      <c r="A58756"/>
      <c r="B58756"/>
      <c r="C58756"/>
      <c r="E58756"/>
      <c r="F58756"/>
    </row>
    <row r="58757" spans="1:6" x14ac:dyDescent="0.25">
      <c r="A58757"/>
      <c r="B58757"/>
      <c r="C58757"/>
      <c r="E58757"/>
      <c r="F58757"/>
    </row>
    <row r="58758" spans="1:6" x14ac:dyDescent="0.25">
      <c r="A58758"/>
      <c r="B58758"/>
      <c r="C58758"/>
      <c r="E58758"/>
      <c r="F58758"/>
    </row>
    <row r="58759" spans="1:6" x14ac:dyDescent="0.25">
      <c r="A58759"/>
      <c r="B58759"/>
      <c r="C58759"/>
      <c r="E58759"/>
      <c r="F58759"/>
    </row>
    <row r="58760" spans="1:6" x14ac:dyDescent="0.25">
      <c r="A58760"/>
      <c r="B58760"/>
      <c r="C58760"/>
      <c r="E58760"/>
      <c r="F58760"/>
    </row>
    <row r="58761" spans="1:6" x14ac:dyDescent="0.25">
      <c r="A58761"/>
      <c r="B58761"/>
      <c r="C58761"/>
      <c r="E58761"/>
      <c r="F58761"/>
    </row>
    <row r="58762" spans="1:6" x14ac:dyDescent="0.25">
      <c r="A58762"/>
      <c r="B58762"/>
      <c r="C58762"/>
      <c r="E58762"/>
      <c r="F58762"/>
    </row>
    <row r="58763" spans="1:6" x14ac:dyDescent="0.25">
      <c r="A58763"/>
      <c r="B58763"/>
      <c r="C58763"/>
      <c r="E58763"/>
      <c r="F58763"/>
    </row>
    <row r="58764" spans="1:6" x14ac:dyDescent="0.25">
      <c r="A58764"/>
      <c r="B58764"/>
      <c r="C58764"/>
      <c r="E58764"/>
      <c r="F58764"/>
    </row>
    <row r="58765" spans="1:6" x14ac:dyDescent="0.25">
      <c r="A58765"/>
      <c r="B58765"/>
      <c r="C58765"/>
      <c r="E58765"/>
      <c r="F58765"/>
    </row>
    <row r="58766" spans="1:6" x14ac:dyDescent="0.25">
      <c r="A58766"/>
      <c r="B58766"/>
      <c r="C58766"/>
      <c r="E58766"/>
      <c r="F58766"/>
    </row>
    <row r="58767" spans="1:6" x14ac:dyDescent="0.25">
      <c r="A58767"/>
      <c r="B58767"/>
      <c r="C58767"/>
      <c r="E58767"/>
      <c r="F58767"/>
    </row>
    <row r="58768" spans="1:6" x14ac:dyDescent="0.25">
      <c r="A58768"/>
      <c r="B58768"/>
      <c r="C58768"/>
      <c r="E58768"/>
      <c r="F58768"/>
    </row>
    <row r="58769" spans="1:6" x14ac:dyDescent="0.25">
      <c r="A58769"/>
      <c r="B58769"/>
      <c r="C58769"/>
      <c r="E58769"/>
      <c r="F58769"/>
    </row>
    <row r="58770" spans="1:6" x14ac:dyDescent="0.25">
      <c r="A58770"/>
      <c r="B58770"/>
      <c r="C58770"/>
      <c r="E58770"/>
      <c r="F58770"/>
    </row>
    <row r="58771" spans="1:6" x14ac:dyDescent="0.25">
      <c r="A58771"/>
      <c r="B58771"/>
      <c r="C58771"/>
      <c r="E58771"/>
      <c r="F58771"/>
    </row>
    <row r="58772" spans="1:6" x14ac:dyDescent="0.25">
      <c r="A58772"/>
      <c r="B58772"/>
      <c r="C58772"/>
      <c r="E58772"/>
      <c r="F58772"/>
    </row>
    <row r="58773" spans="1:6" x14ac:dyDescent="0.25">
      <c r="A58773"/>
      <c r="B58773"/>
      <c r="C58773"/>
      <c r="E58773"/>
      <c r="F58773"/>
    </row>
    <row r="58774" spans="1:6" x14ac:dyDescent="0.25">
      <c r="A58774"/>
      <c r="B58774"/>
      <c r="C58774"/>
      <c r="E58774"/>
      <c r="F58774"/>
    </row>
    <row r="58775" spans="1:6" x14ac:dyDescent="0.25">
      <c r="A58775"/>
      <c r="B58775"/>
      <c r="C58775"/>
      <c r="E58775"/>
      <c r="F58775"/>
    </row>
    <row r="58776" spans="1:6" x14ac:dyDescent="0.25">
      <c r="A58776"/>
      <c r="B58776"/>
      <c r="C58776"/>
      <c r="E58776"/>
      <c r="F58776"/>
    </row>
    <row r="58777" spans="1:6" x14ac:dyDescent="0.25">
      <c r="A58777"/>
      <c r="B58777"/>
      <c r="C58777"/>
      <c r="E58777"/>
      <c r="F58777"/>
    </row>
    <row r="58778" spans="1:6" x14ac:dyDescent="0.25">
      <c r="A58778"/>
      <c r="B58778"/>
      <c r="C58778"/>
      <c r="E58778"/>
      <c r="F58778"/>
    </row>
    <row r="58779" spans="1:6" x14ac:dyDescent="0.25">
      <c r="A58779"/>
      <c r="B58779"/>
      <c r="C58779"/>
      <c r="E58779"/>
      <c r="F58779"/>
    </row>
    <row r="58780" spans="1:6" x14ac:dyDescent="0.25">
      <c r="A58780"/>
      <c r="B58780"/>
      <c r="C58780"/>
      <c r="E58780"/>
      <c r="F58780"/>
    </row>
    <row r="58781" spans="1:6" x14ac:dyDescent="0.25">
      <c r="A58781"/>
      <c r="B58781"/>
      <c r="C58781"/>
      <c r="E58781"/>
      <c r="F58781"/>
    </row>
    <row r="58782" spans="1:6" x14ac:dyDescent="0.25">
      <c r="A58782"/>
      <c r="B58782"/>
      <c r="C58782"/>
      <c r="E58782"/>
      <c r="F58782"/>
    </row>
    <row r="58783" spans="1:6" x14ac:dyDescent="0.25">
      <c r="A58783"/>
      <c r="B58783"/>
      <c r="C58783"/>
      <c r="E58783"/>
      <c r="F58783"/>
    </row>
    <row r="58784" spans="1:6" x14ac:dyDescent="0.25">
      <c r="A58784"/>
      <c r="B58784"/>
      <c r="C58784"/>
      <c r="E58784"/>
      <c r="F58784"/>
    </row>
    <row r="58785" spans="1:6" x14ac:dyDescent="0.25">
      <c r="A58785"/>
      <c r="B58785"/>
      <c r="C58785"/>
      <c r="E58785"/>
      <c r="F58785"/>
    </row>
    <row r="58786" spans="1:6" x14ac:dyDescent="0.25">
      <c r="A58786"/>
      <c r="B58786"/>
      <c r="C58786"/>
      <c r="E58786"/>
      <c r="F58786"/>
    </row>
    <row r="58787" spans="1:6" x14ac:dyDescent="0.25">
      <c r="A58787"/>
      <c r="B58787"/>
      <c r="C58787"/>
      <c r="E58787"/>
      <c r="F58787"/>
    </row>
    <row r="58788" spans="1:6" x14ac:dyDescent="0.25">
      <c r="A58788"/>
      <c r="B58788"/>
      <c r="C58788"/>
      <c r="E58788"/>
      <c r="F58788"/>
    </row>
    <row r="58789" spans="1:6" x14ac:dyDescent="0.25">
      <c r="A58789"/>
      <c r="B58789"/>
      <c r="C58789"/>
      <c r="E58789"/>
      <c r="F58789"/>
    </row>
    <row r="58790" spans="1:6" x14ac:dyDescent="0.25">
      <c r="A58790"/>
      <c r="B58790"/>
      <c r="C58790"/>
      <c r="E58790"/>
      <c r="F58790"/>
    </row>
    <row r="58791" spans="1:6" x14ac:dyDescent="0.25">
      <c r="A58791"/>
      <c r="B58791"/>
      <c r="C58791"/>
      <c r="E58791"/>
      <c r="F58791"/>
    </row>
    <row r="58792" spans="1:6" x14ac:dyDescent="0.25">
      <c r="A58792"/>
      <c r="B58792"/>
      <c r="C58792"/>
      <c r="E58792"/>
      <c r="F58792"/>
    </row>
    <row r="58793" spans="1:6" x14ac:dyDescent="0.25">
      <c r="A58793"/>
      <c r="B58793"/>
      <c r="C58793"/>
      <c r="E58793"/>
      <c r="F58793"/>
    </row>
    <row r="58794" spans="1:6" x14ac:dyDescent="0.25">
      <c r="A58794"/>
      <c r="B58794"/>
      <c r="C58794"/>
      <c r="E58794"/>
      <c r="F58794"/>
    </row>
    <row r="58795" spans="1:6" x14ac:dyDescent="0.25">
      <c r="A58795"/>
      <c r="B58795"/>
      <c r="C58795"/>
      <c r="E58795"/>
      <c r="F58795"/>
    </row>
    <row r="58796" spans="1:6" x14ac:dyDescent="0.25">
      <c r="A58796"/>
      <c r="B58796"/>
      <c r="C58796"/>
      <c r="E58796"/>
      <c r="F58796"/>
    </row>
    <row r="58797" spans="1:6" x14ac:dyDescent="0.25">
      <c r="A58797"/>
      <c r="B58797"/>
      <c r="C58797"/>
      <c r="E58797"/>
      <c r="F58797"/>
    </row>
    <row r="58798" spans="1:6" x14ac:dyDescent="0.25">
      <c r="A58798"/>
      <c r="B58798"/>
      <c r="C58798"/>
      <c r="E58798"/>
      <c r="F58798"/>
    </row>
    <row r="58799" spans="1:6" x14ac:dyDescent="0.25">
      <c r="A58799"/>
      <c r="B58799"/>
      <c r="C58799"/>
      <c r="E58799"/>
      <c r="F58799"/>
    </row>
    <row r="58800" spans="1:6" x14ac:dyDescent="0.25">
      <c r="A58800"/>
      <c r="B58800"/>
      <c r="C58800"/>
      <c r="E58800"/>
      <c r="F58800"/>
    </row>
    <row r="58801" spans="1:6" x14ac:dyDescent="0.25">
      <c r="A58801"/>
      <c r="B58801"/>
      <c r="C58801"/>
      <c r="E58801"/>
      <c r="F58801"/>
    </row>
    <row r="58802" spans="1:6" x14ac:dyDescent="0.25">
      <c r="A58802"/>
      <c r="B58802"/>
      <c r="C58802"/>
      <c r="E58802"/>
      <c r="F58802"/>
    </row>
    <row r="58803" spans="1:6" x14ac:dyDescent="0.25">
      <c r="A58803"/>
      <c r="B58803"/>
      <c r="C58803"/>
      <c r="E58803"/>
      <c r="F58803"/>
    </row>
    <row r="58804" spans="1:6" x14ac:dyDescent="0.25">
      <c r="A58804"/>
      <c r="B58804"/>
      <c r="C58804"/>
      <c r="E58804"/>
      <c r="F58804"/>
    </row>
    <row r="58805" spans="1:6" x14ac:dyDescent="0.25">
      <c r="A58805"/>
      <c r="B58805"/>
      <c r="C58805"/>
      <c r="E58805"/>
      <c r="F58805"/>
    </row>
    <row r="58806" spans="1:6" x14ac:dyDescent="0.25">
      <c r="A58806"/>
      <c r="B58806"/>
      <c r="C58806"/>
      <c r="E58806"/>
      <c r="F58806"/>
    </row>
    <row r="58807" spans="1:6" x14ac:dyDescent="0.25">
      <c r="A58807"/>
      <c r="B58807"/>
      <c r="C58807"/>
      <c r="E58807"/>
      <c r="F58807"/>
    </row>
    <row r="58808" spans="1:6" x14ac:dyDescent="0.25">
      <c r="A58808"/>
      <c r="B58808"/>
      <c r="C58808"/>
      <c r="E58808"/>
      <c r="F58808"/>
    </row>
    <row r="58809" spans="1:6" x14ac:dyDescent="0.25">
      <c r="A58809"/>
      <c r="B58809"/>
      <c r="C58809"/>
      <c r="E58809"/>
      <c r="F58809"/>
    </row>
    <row r="58810" spans="1:6" x14ac:dyDescent="0.25">
      <c r="A58810"/>
      <c r="B58810"/>
      <c r="C58810"/>
      <c r="E58810"/>
      <c r="F58810"/>
    </row>
    <row r="58811" spans="1:6" x14ac:dyDescent="0.25">
      <c r="A58811"/>
      <c r="B58811"/>
      <c r="C58811"/>
      <c r="E58811"/>
      <c r="F58811"/>
    </row>
    <row r="58812" spans="1:6" x14ac:dyDescent="0.25">
      <c r="A58812"/>
      <c r="B58812"/>
      <c r="C58812"/>
      <c r="E58812"/>
      <c r="F58812"/>
    </row>
    <row r="58813" spans="1:6" x14ac:dyDescent="0.25">
      <c r="A58813"/>
      <c r="B58813"/>
      <c r="C58813"/>
      <c r="E58813"/>
      <c r="F58813"/>
    </row>
    <row r="58814" spans="1:6" x14ac:dyDescent="0.25">
      <c r="A58814"/>
      <c r="B58814"/>
      <c r="C58814"/>
      <c r="E58814"/>
      <c r="F58814"/>
    </row>
    <row r="58815" spans="1:6" x14ac:dyDescent="0.25">
      <c r="A58815"/>
      <c r="B58815"/>
      <c r="C58815"/>
      <c r="E58815"/>
      <c r="F58815"/>
    </row>
    <row r="58816" spans="1:6" x14ac:dyDescent="0.25">
      <c r="A58816"/>
      <c r="B58816"/>
      <c r="C58816"/>
      <c r="E58816"/>
      <c r="F58816"/>
    </row>
    <row r="58817" spans="1:6" x14ac:dyDescent="0.25">
      <c r="A58817"/>
      <c r="B58817"/>
      <c r="C58817"/>
      <c r="E58817"/>
      <c r="F58817"/>
    </row>
    <row r="58818" spans="1:6" x14ac:dyDescent="0.25">
      <c r="A58818"/>
      <c r="B58818"/>
      <c r="C58818"/>
      <c r="E58818"/>
      <c r="F58818"/>
    </row>
    <row r="58819" spans="1:6" x14ac:dyDescent="0.25">
      <c r="A58819"/>
      <c r="B58819"/>
      <c r="C58819"/>
      <c r="E58819"/>
      <c r="F58819"/>
    </row>
    <row r="58820" spans="1:6" x14ac:dyDescent="0.25">
      <c r="A58820"/>
      <c r="B58820"/>
      <c r="C58820"/>
      <c r="E58820"/>
      <c r="F58820"/>
    </row>
    <row r="58821" spans="1:6" x14ac:dyDescent="0.25">
      <c r="A58821"/>
      <c r="B58821"/>
      <c r="C58821"/>
      <c r="E58821"/>
      <c r="F58821"/>
    </row>
    <row r="58822" spans="1:6" x14ac:dyDescent="0.25">
      <c r="A58822"/>
      <c r="B58822"/>
      <c r="C58822"/>
      <c r="E58822"/>
      <c r="F58822"/>
    </row>
    <row r="58823" spans="1:6" x14ac:dyDescent="0.25">
      <c r="A58823"/>
      <c r="B58823"/>
      <c r="C58823"/>
      <c r="E58823"/>
      <c r="F58823"/>
    </row>
    <row r="58824" spans="1:6" x14ac:dyDescent="0.25">
      <c r="A58824"/>
      <c r="B58824"/>
      <c r="C58824"/>
      <c r="E58824"/>
      <c r="F58824"/>
    </row>
    <row r="58825" spans="1:6" x14ac:dyDescent="0.25">
      <c r="A58825"/>
      <c r="B58825"/>
      <c r="C58825"/>
      <c r="E58825"/>
      <c r="F58825"/>
    </row>
    <row r="58826" spans="1:6" x14ac:dyDescent="0.25">
      <c r="A58826"/>
      <c r="B58826"/>
      <c r="C58826"/>
      <c r="E58826"/>
      <c r="F58826"/>
    </row>
    <row r="58827" spans="1:6" x14ac:dyDescent="0.25">
      <c r="A58827"/>
      <c r="B58827"/>
      <c r="C58827"/>
      <c r="E58827"/>
      <c r="F58827"/>
    </row>
    <row r="58828" spans="1:6" x14ac:dyDescent="0.25">
      <c r="A58828"/>
      <c r="B58828"/>
      <c r="C58828"/>
      <c r="E58828"/>
      <c r="F58828"/>
    </row>
    <row r="58829" spans="1:6" x14ac:dyDescent="0.25">
      <c r="A58829"/>
      <c r="B58829"/>
      <c r="C58829"/>
      <c r="E58829"/>
      <c r="F58829"/>
    </row>
    <row r="58830" spans="1:6" x14ac:dyDescent="0.25">
      <c r="A58830"/>
      <c r="B58830"/>
      <c r="C58830"/>
      <c r="E58830"/>
      <c r="F58830"/>
    </row>
    <row r="58831" spans="1:6" x14ac:dyDescent="0.25">
      <c r="A58831"/>
      <c r="B58831"/>
      <c r="C58831"/>
      <c r="E58831"/>
      <c r="F58831"/>
    </row>
    <row r="58832" spans="1:6" x14ac:dyDescent="0.25">
      <c r="A58832"/>
      <c r="B58832"/>
      <c r="C58832"/>
      <c r="E58832"/>
      <c r="F58832"/>
    </row>
    <row r="58833" spans="1:6" x14ac:dyDescent="0.25">
      <c r="A58833"/>
      <c r="B58833"/>
      <c r="C58833"/>
      <c r="E58833"/>
      <c r="F58833"/>
    </row>
    <row r="58834" spans="1:6" x14ac:dyDescent="0.25">
      <c r="A58834"/>
      <c r="B58834"/>
      <c r="C58834"/>
      <c r="E58834"/>
      <c r="F58834"/>
    </row>
    <row r="58835" spans="1:6" x14ac:dyDescent="0.25">
      <c r="A58835"/>
      <c r="B58835"/>
      <c r="C58835"/>
      <c r="E58835"/>
      <c r="F58835"/>
    </row>
    <row r="58836" spans="1:6" x14ac:dyDescent="0.25">
      <c r="A58836"/>
      <c r="B58836"/>
      <c r="C58836"/>
      <c r="E58836"/>
      <c r="F58836"/>
    </row>
    <row r="58837" spans="1:6" x14ac:dyDescent="0.25">
      <c r="A58837"/>
      <c r="B58837"/>
      <c r="C58837"/>
      <c r="E58837"/>
      <c r="F58837"/>
    </row>
    <row r="58838" spans="1:6" x14ac:dyDescent="0.25">
      <c r="A58838"/>
      <c r="B58838"/>
      <c r="C58838"/>
      <c r="E58838"/>
      <c r="F58838"/>
    </row>
    <row r="58839" spans="1:6" x14ac:dyDescent="0.25">
      <c r="A58839"/>
      <c r="B58839"/>
      <c r="C58839"/>
      <c r="E58839"/>
      <c r="F58839"/>
    </row>
    <row r="58840" spans="1:6" x14ac:dyDescent="0.25">
      <c r="A58840"/>
      <c r="B58840"/>
      <c r="C58840"/>
      <c r="E58840"/>
      <c r="F58840"/>
    </row>
    <row r="58841" spans="1:6" x14ac:dyDescent="0.25">
      <c r="A58841"/>
      <c r="B58841"/>
      <c r="C58841"/>
      <c r="E58841"/>
      <c r="F58841"/>
    </row>
    <row r="58842" spans="1:6" x14ac:dyDescent="0.25">
      <c r="A58842"/>
      <c r="B58842"/>
      <c r="C58842"/>
      <c r="E58842"/>
      <c r="F58842"/>
    </row>
    <row r="58843" spans="1:6" x14ac:dyDescent="0.25">
      <c r="A58843"/>
      <c r="B58843"/>
      <c r="C58843"/>
      <c r="E58843"/>
      <c r="F58843"/>
    </row>
    <row r="58844" spans="1:6" x14ac:dyDescent="0.25">
      <c r="A58844"/>
      <c r="B58844"/>
      <c r="C58844"/>
      <c r="E58844"/>
      <c r="F58844"/>
    </row>
    <row r="58845" spans="1:6" x14ac:dyDescent="0.25">
      <c r="A58845"/>
      <c r="B58845"/>
      <c r="C58845"/>
      <c r="E58845"/>
      <c r="F58845"/>
    </row>
    <row r="58846" spans="1:6" x14ac:dyDescent="0.25">
      <c r="A58846"/>
      <c r="B58846"/>
      <c r="C58846"/>
      <c r="E58846"/>
      <c r="F58846"/>
    </row>
    <row r="58847" spans="1:6" x14ac:dyDescent="0.25">
      <c r="A58847"/>
      <c r="B58847"/>
      <c r="C58847"/>
      <c r="E58847"/>
      <c r="F58847"/>
    </row>
    <row r="58848" spans="1:6" x14ac:dyDescent="0.25">
      <c r="A58848"/>
      <c r="B58848"/>
      <c r="C58848"/>
      <c r="E58848"/>
      <c r="F58848"/>
    </row>
    <row r="58849" spans="1:6" x14ac:dyDescent="0.25">
      <c r="A58849"/>
      <c r="B58849"/>
      <c r="C58849"/>
      <c r="E58849"/>
      <c r="F58849"/>
    </row>
    <row r="58850" spans="1:6" x14ac:dyDescent="0.25">
      <c r="A58850"/>
      <c r="B58850"/>
      <c r="C58850"/>
      <c r="E58850"/>
      <c r="F58850"/>
    </row>
    <row r="58851" spans="1:6" x14ac:dyDescent="0.25">
      <c r="A58851"/>
      <c r="B58851"/>
      <c r="C58851"/>
      <c r="E58851"/>
      <c r="F58851"/>
    </row>
    <row r="58852" spans="1:6" x14ac:dyDescent="0.25">
      <c r="A58852"/>
      <c r="B58852"/>
      <c r="C58852"/>
      <c r="E58852"/>
      <c r="F58852"/>
    </row>
    <row r="58853" spans="1:6" x14ac:dyDescent="0.25">
      <c r="A58853"/>
      <c r="B58853"/>
      <c r="C58853"/>
      <c r="E58853"/>
      <c r="F58853"/>
    </row>
    <row r="58854" spans="1:6" x14ac:dyDescent="0.25">
      <c r="A58854"/>
      <c r="B58854"/>
      <c r="C58854"/>
      <c r="E58854"/>
      <c r="F58854"/>
    </row>
    <row r="58855" spans="1:6" x14ac:dyDescent="0.25">
      <c r="A58855"/>
      <c r="B58855"/>
      <c r="C58855"/>
      <c r="E58855"/>
      <c r="F58855"/>
    </row>
    <row r="58856" spans="1:6" x14ac:dyDescent="0.25">
      <c r="A58856"/>
      <c r="B58856"/>
      <c r="C58856"/>
      <c r="E58856"/>
      <c r="F58856"/>
    </row>
    <row r="58857" spans="1:6" x14ac:dyDescent="0.25">
      <c r="A58857"/>
      <c r="B58857"/>
      <c r="C58857"/>
      <c r="E58857"/>
      <c r="F58857"/>
    </row>
    <row r="58858" spans="1:6" x14ac:dyDescent="0.25">
      <c r="A58858"/>
      <c r="B58858"/>
      <c r="C58858"/>
      <c r="E58858"/>
      <c r="F58858"/>
    </row>
    <row r="58859" spans="1:6" x14ac:dyDescent="0.25">
      <c r="A58859"/>
      <c r="B58859"/>
      <c r="C58859"/>
      <c r="E58859"/>
      <c r="F58859"/>
    </row>
    <row r="58860" spans="1:6" x14ac:dyDescent="0.25">
      <c r="A58860"/>
      <c r="B58860"/>
      <c r="C58860"/>
      <c r="E58860"/>
      <c r="F58860"/>
    </row>
    <row r="58861" spans="1:6" x14ac:dyDescent="0.25">
      <c r="A58861"/>
      <c r="B58861"/>
      <c r="C58861"/>
      <c r="E58861"/>
      <c r="F58861"/>
    </row>
    <row r="58862" spans="1:6" x14ac:dyDescent="0.25">
      <c r="A58862"/>
      <c r="B58862"/>
      <c r="C58862"/>
      <c r="E58862"/>
      <c r="F58862"/>
    </row>
    <row r="58863" spans="1:6" x14ac:dyDescent="0.25">
      <c r="A58863"/>
      <c r="B58863"/>
      <c r="C58863"/>
      <c r="E58863"/>
      <c r="F58863"/>
    </row>
    <row r="58864" spans="1:6" x14ac:dyDescent="0.25">
      <c r="A58864"/>
      <c r="B58864"/>
      <c r="C58864"/>
      <c r="E58864"/>
      <c r="F58864"/>
    </row>
    <row r="58865" spans="1:6" x14ac:dyDescent="0.25">
      <c r="A58865"/>
      <c r="B58865"/>
      <c r="C58865"/>
      <c r="E58865"/>
      <c r="F58865"/>
    </row>
    <row r="58866" spans="1:6" x14ac:dyDescent="0.25">
      <c r="A58866"/>
      <c r="B58866"/>
      <c r="C58866"/>
      <c r="E58866"/>
      <c r="F58866"/>
    </row>
    <row r="58867" spans="1:6" x14ac:dyDescent="0.25">
      <c r="A58867"/>
      <c r="B58867"/>
      <c r="C58867"/>
      <c r="E58867"/>
      <c r="F58867"/>
    </row>
    <row r="58868" spans="1:6" x14ac:dyDescent="0.25">
      <c r="A58868"/>
      <c r="B58868"/>
      <c r="C58868"/>
      <c r="E58868"/>
      <c r="F58868"/>
    </row>
    <row r="58869" spans="1:6" x14ac:dyDescent="0.25">
      <c r="A58869"/>
      <c r="B58869"/>
      <c r="C58869"/>
      <c r="E58869"/>
      <c r="F58869"/>
    </row>
    <row r="58870" spans="1:6" x14ac:dyDescent="0.25">
      <c r="A58870"/>
      <c r="B58870"/>
      <c r="C58870"/>
      <c r="E58870"/>
      <c r="F58870"/>
    </row>
    <row r="58871" spans="1:6" x14ac:dyDescent="0.25">
      <c r="A58871"/>
      <c r="B58871"/>
      <c r="C58871"/>
      <c r="E58871"/>
      <c r="F58871"/>
    </row>
    <row r="58872" spans="1:6" x14ac:dyDescent="0.25">
      <c r="A58872"/>
      <c r="B58872"/>
      <c r="C58872"/>
      <c r="E58872"/>
      <c r="F58872"/>
    </row>
    <row r="58873" spans="1:6" x14ac:dyDescent="0.25">
      <c r="A58873"/>
      <c r="B58873"/>
      <c r="C58873"/>
      <c r="E58873"/>
      <c r="F58873"/>
    </row>
    <row r="58874" spans="1:6" x14ac:dyDescent="0.25">
      <c r="A58874"/>
      <c r="B58874"/>
      <c r="C58874"/>
      <c r="E58874"/>
      <c r="F58874"/>
    </row>
    <row r="58875" spans="1:6" x14ac:dyDescent="0.25">
      <c r="A58875"/>
      <c r="B58875"/>
      <c r="C58875"/>
      <c r="E58875"/>
      <c r="F58875"/>
    </row>
    <row r="58876" spans="1:6" x14ac:dyDescent="0.25">
      <c r="A58876"/>
      <c r="B58876"/>
      <c r="C58876"/>
      <c r="E58876"/>
      <c r="F58876"/>
    </row>
    <row r="58877" spans="1:6" x14ac:dyDescent="0.25">
      <c r="A58877"/>
      <c r="B58877"/>
      <c r="C58877"/>
      <c r="E58877"/>
      <c r="F58877"/>
    </row>
    <row r="58878" spans="1:6" x14ac:dyDescent="0.25">
      <c r="A58878"/>
      <c r="B58878"/>
      <c r="C58878"/>
      <c r="E58878"/>
      <c r="F58878"/>
    </row>
    <row r="58879" spans="1:6" x14ac:dyDescent="0.25">
      <c r="A58879"/>
      <c r="B58879"/>
      <c r="C58879"/>
      <c r="E58879"/>
      <c r="F58879"/>
    </row>
    <row r="58880" spans="1:6" x14ac:dyDescent="0.25">
      <c r="A58880"/>
      <c r="B58880"/>
      <c r="C58880"/>
      <c r="E58880"/>
      <c r="F58880"/>
    </row>
    <row r="58881" spans="1:6" x14ac:dyDescent="0.25">
      <c r="A58881"/>
      <c r="B58881"/>
      <c r="C58881"/>
      <c r="E58881"/>
      <c r="F58881"/>
    </row>
    <row r="58882" spans="1:6" x14ac:dyDescent="0.25">
      <c r="A58882"/>
      <c r="B58882"/>
      <c r="C58882"/>
      <c r="E58882"/>
      <c r="F58882"/>
    </row>
    <row r="58883" spans="1:6" x14ac:dyDescent="0.25">
      <c r="A58883"/>
      <c r="B58883"/>
      <c r="C58883"/>
      <c r="E58883"/>
      <c r="F58883"/>
    </row>
    <row r="58884" spans="1:6" x14ac:dyDescent="0.25">
      <c r="A58884"/>
      <c r="B58884"/>
      <c r="C58884"/>
      <c r="E58884"/>
      <c r="F58884"/>
    </row>
    <row r="58885" spans="1:6" x14ac:dyDescent="0.25">
      <c r="A58885"/>
      <c r="B58885"/>
      <c r="C58885"/>
      <c r="E58885"/>
      <c r="F58885"/>
    </row>
    <row r="58886" spans="1:6" x14ac:dyDescent="0.25">
      <c r="A58886"/>
      <c r="B58886"/>
      <c r="C58886"/>
      <c r="E58886"/>
      <c r="F58886"/>
    </row>
    <row r="58887" spans="1:6" x14ac:dyDescent="0.25">
      <c r="A58887"/>
      <c r="B58887"/>
      <c r="C58887"/>
      <c r="E58887"/>
      <c r="F58887"/>
    </row>
    <row r="58888" spans="1:6" x14ac:dyDescent="0.25">
      <c r="A58888"/>
      <c r="B58888"/>
      <c r="C58888"/>
      <c r="E58888"/>
      <c r="F58888"/>
    </row>
    <row r="58889" spans="1:6" x14ac:dyDescent="0.25">
      <c r="A58889"/>
      <c r="B58889"/>
      <c r="C58889"/>
      <c r="E58889"/>
      <c r="F58889"/>
    </row>
    <row r="58890" spans="1:6" x14ac:dyDescent="0.25">
      <c r="A58890"/>
      <c r="B58890"/>
      <c r="C58890"/>
      <c r="E58890"/>
      <c r="F58890"/>
    </row>
    <row r="58891" spans="1:6" x14ac:dyDescent="0.25">
      <c r="A58891"/>
      <c r="B58891"/>
      <c r="C58891"/>
      <c r="E58891"/>
      <c r="F58891"/>
    </row>
    <row r="58892" spans="1:6" x14ac:dyDescent="0.25">
      <c r="A58892"/>
      <c r="B58892"/>
      <c r="C58892"/>
      <c r="E58892"/>
      <c r="F58892"/>
    </row>
    <row r="58893" spans="1:6" x14ac:dyDescent="0.25">
      <c r="A58893"/>
      <c r="B58893"/>
      <c r="C58893"/>
      <c r="E58893"/>
      <c r="F58893"/>
    </row>
    <row r="58894" spans="1:6" x14ac:dyDescent="0.25">
      <c r="A58894"/>
      <c r="B58894"/>
      <c r="C58894"/>
      <c r="E58894"/>
      <c r="F58894"/>
    </row>
    <row r="58895" spans="1:6" x14ac:dyDescent="0.25">
      <c r="A58895"/>
      <c r="B58895"/>
      <c r="C58895"/>
      <c r="E58895"/>
      <c r="F58895"/>
    </row>
    <row r="58896" spans="1:6" x14ac:dyDescent="0.25">
      <c r="A58896"/>
      <c r="B58896"/>
      <c r="C58896"/>
      <c r="E58896"/>
      <c r="F58896"/>
    </row>
    <row r="58897" spans="1:6" x14ac:dyDescent="0.25">
      <c r="A58897"/>
      <c r="B58897"/>
      <c r="C58897"/>
      <c r="E58897"/>
      <c r="F58897"/>
    </row>
    <row r="58898" spans="1:6" x14ac:dyDescent="0.25">
      <c r="A58898"/>
      <c r="B58898"/>
      <c r="C58898"/>
      <c r="E58898"/>
      <c r="F58898"/>
    </row>
    <row r="58899" spans="1:6" x14ac:dyDescent="0.25">
      <c r="A58899"/>
      <c r="B58899"/>
      <c r="C58899"/>
      <c r="E58899"/>
      <c r="F58899"/>
    </row>
    <row r="58900" spans="1:6" x14ac:dyDescent="0.25">
      <c r="A58900"/>
      <c r="B58900"/>
      <c r="C58900"/>
      <c r="E58900"/>
      <c r="F58900"/>
    </row>
    <row r="58901" spans="1:6" x14ac:dyDescent="0.25">
      <c r="A58901"/>
      <c r="B58901"/>
      <c r="C58901"/>
      <c r="E58901"/>
      <c r="F58901"/>
    </row>
    <row r="58902" spans="1:6" x14ac:dyDescent="0.25">
      <c r="A58902"/>
      <c r="B58902"/>
      <c r="C58902"/>
      <c r="E58902"/>
      <c r="F58902"/>
    </row>
    <row r="58903" spans="1:6" x14ac:dyDescent="0.25">
      <c r="A58903"/>
      <c r="B58903"/>
      <c r="C58903"/>
      <c r="E58903"/>
      <c r="F58903"/>
    </row>
    <row r="58904" spans="1:6" x14ac:dyDescent="0.25">
      <c r="A58904"/>
      <c r="B58904"/>
      <c r="C58904"/>
      <c r="E58904"/>
      <c r="F58904"/>
    </row>
    <row r="58905" spans="1:6" x14ac:dyDescent="0.25">
      <c r="A58905"/>
      <c r="B58905"/>
      <c r="C58905"/>
      <c r="E58905"/>
      <c r="F58905"/>
    </row>
    <row r="58906" spans="1:6" x14ac:dyDescent="0.25">
      <c r="A58906"/>
      <c r="B58906"/>
      <c r="C58906"/>
      <c r="E58906"/>
      <c r="F58906"/>
    </row>
    <row r="58907" spans="1:6" x14ac:dyDescent="0.25">
      <c r="A58907"/>
      <c r="B58907"/>
      <c r="C58907"/>
      <c r="E58907"/>
      <c r="F58907"/>
    </row>
    <row r="58908" spans="1:6" x14ac:dyDescent="0.25">
      <c r="A58908"/>
      <c r="B58908"/>
      <c r="C58908"/>
      <c r="E58908"/>
      <c r="F58908"/>
    </row>
    <row r="58909" spans="1:6" x14ac:dyDescent="0.25">
      <c r="A58909"/>
      <c r="B58909"/>
      <c r="C58909"/>
      <c r="E58909"/>
      <c r="F58909"/>
    </row>
    <row r="58910" spans="1:6" x14ac:dyDescent="0.25">
      <c r="A58910"/>
      <c r="B58910"/>
      <c r="C58910"/>
      <c r="E58910"/>
      <c r="F58910"/>
    </row>
    <row r="58911" spans="1:6" x14ac:dyDescent="0.25">
      <c r="A58911"/>
      <c r="B58911"/>
      <c r="C58911"/>
      <c r="E58911"/>
      <c r="F58911"/>
    </row>
    <row r="58912" spans="1:6" x14ac:dyDescent="0.25">
      <c r="A58912"/>
      <c r="B58912"/>
      <c r="C58912"/>
      <c r="E58912"/>
      <c r="F58912"/>
    </row>
    <row r="58913" spans="1:6" x14ac:dyDescent="0.25">
      <c r="A58913"/>
      <c r="B58913"/>
      <c r="C58913"/>
      <c r="E58913"/>
      <c r="F58913"/>
    </row>
    <row r="58914" spans="1:6" x14ac:dyDescent="0.25">
      <c r="A58914"/>
      <c r="B58914"/>
      <c r="C58914"/>
      <c r="E58914"/>
      <c r="F58914"/>
    </row>
    <row r="58915" spans="1:6" x14ac:dyDescent="0.25">
      <c r="A58915"/>
      <c r="B58915"/>
      <c r="C58915"/>
      <c r="E58915"/>
      <c r="F58915"/>
    </row>
    <row r="58916" spans="1:6" x14ac:dyDescent="0.25">
      <c r="A58916"/>
      <c r="B58916"/>
      <c r="C58916"/>
      <c r="E58916"/>
      <c r="F58916"/>
    </row>
    <row r="58917" spans="1:6" x14ac:dyDescent="0.25">
      <c r="A58917"/>
      <c r="B58917"/>
      <c r="C58917"/>
      <c r="E58917"/>
      <c r="F58917"/>
    </row>
    <row r="58918" spans="1:6" x14ac:dyDescent="0.25">
      <c r="A58918"/>
      <c r="B58918"/>
      <c r="C58918"/>
      <c r="E58918"/>
      <c r="F58918"/>
    </row>
    <row r="58919" spans="1:6" x14ac:dyDescent="0.25">
      <c r="A58919"/>
      <c r="B58919"/>
      <c r="C58919"/>
      <c r="E58919"/>
      <c r="F58919"/>
    </row>
    <row r="58920" spans="1:6" x14ac:dyDescent="0.25">
      <c r="A58920"/>
      <c r="B58920"/>
      <c r="C58920"/>
      <c r="E58920"/>
      <c r="F58920"/>
    </row>
    <row r="58921" spans="1:6" x14ac:dyDescent="0.25">
      <c r="A58921"/>
      <c r="B58921"/>
      <c r="C58921"/>
      <c r="E58921"/>
      <c r="F58921"/>
    </row>
    <row r="58922" spans="1:6" x14ac:dyDescent="0.25">
      <c r="A58922"/>
      <c r="B58922"/>
      <c r="C58922"/>
      <c r="E58922"/>
      <c r="F58922"/>
    </row>
    <row r="58923" spans="1:6" x14ac:dyDescent="0.25">
      <c r="A58923"/>
      <c r="B58923"/>
      <c r="C58923"/>
      <c r="E58923"/>
      <c r="F58923"/>
    </row>
    <row r="58924" spans="1:6" x14ac:dyDescent="0.25">
      <c r="A58924"/>
      <c r="B58924"/>
      <c r="C58924"/>
      <c r="E58924"/>
      <c r="F58924"/>
    </row>
    <row r="58925" spans="1:6" x14ac:dyDescent="0.25">
      <c r="A58925"/>
      <c r="B58925"/>
      <c r="C58925"/>
      <c r="E58925"/>
      <c r="F58925"/>
    </row>
    <row r="58926" spans="1:6" x14ac:dyDescent="0.25">
      <c r="A58926"/>
      <c r="B58926"/>
      <c r="C58926"/>
      <c r="E58926"/>
      <c r="F58926"/>
    </row>
    <row r="58927" spans="1:6" x14ac:dyDescent="0.25">
      <c r="A58927"/>
      <c r="B58927"/>
      <c r="C58927"/>
      <c r="E58927"/>
      <c r="F58927"/>
    </row>
    <row r="58928" spans="1:6" x14ac:dyDescent="0.25">
      <c r="A58928"/>
      <c r="B58928"/>
      <c r="C58928"/>
      <c r="E58928"/>
      <c r="F58928"/>
    </row>
    <row r="58929" spans="1:6" x14ac:dyDescent="0.25">
      <c r="A58929"/>
      <c r="B58929"/>
      <c r="C58929"/>
      <c r="E58929"/>
      <c r="F58929"/>
    </row>
    <row r="58930" spans="1:6" x14ac:dyDescent="0.25">
      <c r="A58930"/>
      <c r="B58930"/>
      <c r="C58930"/>
      <c r="E58930"/>
      <c r="F58930"/>
    </row>
    <row r="58931" spans="1:6" x14ac:dyDescent="0.25">
      <c r="A58931"/>
      <c r="B58931"/>
      <c r="C58931"/>
      <c r="E58931"/>
      <c r="F58931"/>
    </row>
    <row r="58932" spans="1:6" x14ac:dyDescent="0.25">
      <c r="A58932"/>
      <c r="B58932"/>
      <c r="C58932"/>
      <c r="E58932"/>
      <c r="F58932"/>
    </row>
    <row r="58933" spans="1:6" x14ac:dyDescent="0.25">
      <c r="A58933"/>
      <c r="B58933"/>
      <c r="C58933"/>
      <c r="E58933"/>
      <c r="F58933"/>
    </row>
    <row r="58934" spans="1:6" x14ac:dyDescent="0.25">
      <c r="A58934"/>
      <c r="B58934"/>
      <c r="C58934"/>
      <c r="E58934"/>
      <c r="F58934"/>
    </row>
    <row r="58935" spans="1:6" x14ac:dyDescent="0.25">
      <c r="A58935"/>
      <c r="B58935"/>
      <c r="C58935"/>
      <c r="E58935"/>
      <c r="F58935"/>
    </row>
    <row r="58936" spans="1:6" x14ac:dyDescent="0.25">
      <c r="A58936"/>
      <c r="B58936"/>
      <c r="C58936"/>
      <c r="E58936"/>
      <c r="F58936"/>
    </row>
    <row r="58937" spans="1:6" x14ac:dyDescent="0.25">
      <c r="A58937"/>
      <c r="B58937"/>
      <c r="C58937"/>
      <c r="E58937"/>
      <c r="F58937"/>
    </row>
    <row r="58938" spans="1:6" x14ac:dyDescent="0.25">
      <c r="A58938"/>
      <c r="B58938"/>
      <c r="C58938"/>
      <c r="E58938"/>
      <c r="F58938"/>
    </row>
    <row r="58939" spans="1:6" x14ac:dyDescent="0.25">
      <c r="A58939"/>
      <c r="B58939"/>
      <c r="C58939"/>
      <c r="E58939"/>
      <c r="F58939"/>
    </row>
    <row r="58940" spans="1:6" x14ac:dyDescent="0.25">
      <c r="A58940"/>
      <c r="B58940"/>
      <c r="C58940"/>
      <c r="E58940"/>
      <c r="F58940"/>
    </row>
    <row r="58941" spans="1:6" x14ac:dyDescent="0.25">
      <c r="A58941"/>
      <c r="B58941"/>
      <c r="C58941"/>
      <c r="E58941"/>
      <c r="F58941"/>
    </row>
    <row r="58942" spans="1:6" x14ac:dyDescent="0.25">
      <c r="A58942"/>
      <c r="B58942"/>
      <c r="C58942"/>
      <c r="E58942"/>
      <c r="F58942"/>
    </row>
    <row r="58943" spans="1:6" x14ac:dyDescent="0.25">
      <c r="A58943"/>
      <c r="B58943"/>
      <c r="C58943"/>
      <c r="E58943"/>
      <c r="F58943"/>
    </row>
    <row r="58944" spans="1:6" x14ac:dyDescent="0.25">
      <c r="A58944"/>
      <c r="B58944"/>
      <c r="C58944"/>
      <c r="E58944"/>
      <c r="F58944"/>
    </row>
    <row r="58945" spans="1:6" x14ac:dyDescent="0.25">
      <c r="A58945"/>
      <c r="B58945"/>
      <c r="C58945"/>
      <c r="E58945"/>
      <c r="F58945"/>
    </row>
    <row r="58946" spans="1:6" x14ac:dyDescent="0.25">
      <c r="A58946"/>
      <c r="B58946"/>
      <c r="C58946"/>
      <c r="E58946"/>
      <c r="F58946"/>
    </row>
    <row r="58947" spans="1:6" x14ac:dyDescent="0.25">
      <c r="A58947"/>
      <c r="B58947"/>
      <c r="C58947"/>
      <c r="E58947"/>
      <c r="F58947"/>
    </row>
    <row r="58948" spans="1:6" x14ac:dyDescent="0.25">
      <c r="A58948"/>
      <c r="B58948"/>
      <c r="C58948"/>
      <c r="E58948"/>
      <c r="F58948"/>
    </row>
    <row r="58949" spans="1:6" x14ac:dyDescent="0.25">
      <c r="A58949"/>
      <c r="B58949"/>
      <c r="C58949"/>
      <c r="E58949"/>
      <c r="F58949"/>
    </row>
    <row r="58950" spans="1:6" x14ac:dyDescent="0.25">
      <c r="A58950"/>
      <c r="B58950"/>
      <c r="C58950"/>
      <c r="E58950"/>
      <c r="F58950"/>
    </row>
    <row r="58951" spans="1:6" x14ac:dyDescent="0.25">
      <c r="A58951"/>
      <c r="B58951"/>
      <c r="C58951"/>
      <c r="E58951"/>
      <c r="F58951"/>
    </row>
    <row r="58952" spans="1:6" x14ac:dyDescent="0.25">
      <c r="A58952"/>
      <c r="B58952"/>
      <c r="C58952"/>
      <c r="E58952"/>
      <c r="F58952"/>
    </row>
    <row r="58953" spans="1:6" x14ac:dyDescent="0.25">
      <c r="A58953"/>
      <c r="B58953"/>
      <c r="C58953"/>
      <c r="E58953"/>
      <c r="F58953"/>
    </row>
    <row r="58954" spans="1:6" x14ac:dyDescent="0.25">
      <c r="A58954"/>
      <c r="B58954"/>
      <c r="C58954"/>
      <c r="E58954"/>
      <c r="F58954"/>
    </row>
    <row r="58955" spans="1:6" x14ac:dyDescent="0.25">
      <c r="A58955"/>
      <c r="B58955"/>
      <c r="C58955"/>
      <c r="E58955"/>
      <c r="F58955"/>
    </row>
    <row r="58956" spans="1:6" x14ac:dyDescent="0.25">
      <c r="A58956"/>
      <c r="B58956"/>
      <c r="C58956"/>
      <c r="E58956"/>
      <c r="F58956"/>
    </row>
    <row r="58957" spans="1:6" x14ac:dyDescent="0.25">
      <c r="A58957"/>
      <c r="B58957"/>
      <c r="C58957"/>
      <c r="E58957"/>
      <c r="F58957"/>
    </row>
    <row r="58958" spans="1:6" x14ac:dyDescent="0.25">
      <c r="A58958"/>
      <c r="B58958"/>
      <c r="C58958"/>
      <c r="E58958"/>
      <c r="F58958"/>
    </row>
    <row r="58959" spans="1:6" x14ac:dyDescent="0.25">
      <c r="A58959"/>
      <c r="B58959"/>
      <c r="C58959"/>
      <c r="E58959"/>
      <c r="F58959"/>
    </row>
    <row r="58960" spans="1:6" x14ac:dyDescent="0.25">
      <c r="A58960"/>
      <c r="B58960"/>
      <c r="C58960"/>
      <c r="E58960"/>
      <c r="F58960"/>
    </row>
    <row r="58961" spans="1:6" x14ac:dyDescent="0.25">
      <c r="A58961"/>
      <c r="B58961"/>
      <c r="C58961"/>
      <c r="E58961"/>
      <c r="F58961"/>
    </row>
    <row r="58962" spans="1:6" x14ac:dyDescent="0.25">
      <c r="A58962"/>
      <c r="B58962"/>
      <c r="C58962"/>
      <c r="E58962"/>
      <c r="F58962"/>
    </row>
    <row r="58963" spans="1:6" x14ac:dyDescent="0.25">
      <c r="A58963"/>
      <c r="B58963"/>
      <c r="C58963"/>
      <c r="E58963"/>
      <c r="F58963"/>
    </row>
    <row r="58964" spans="1:6" x14ac:dyDescent="0.25">
      <c r="A58964"/>
      <c r="B58964"/>
      <c r="C58964"/>
      <c r="E58964"/>
      <c r="F58964"/>
    </row>
    <row r="58965" spans="1:6" x14ac:dyDescent="0.25">
      <c r="A58965"/>
      <c r="B58965"/>
      <c r="C58965"/>
      <c r="E58965"/>
      <c r="F58965"/>
    </row>
    <row r="58966" spans="1:6" x14ac:dyDescent="0.25">
      <c r="A58966"/>
      <c r="B58966"/>
      <c r="C58966"/>
      <c r="E58966"/>
      <c r="F58966"/>
    </row>
    <row r="58967" spans="1:6" x14ac:dyDescent="0.25">
      <c r="A58967"/>
      <c r="B58967"/>
      <c r="C58967"/>
      <c r="E58967"/>
      <c r="F58967"/>
    </row>
    <row r="58968" spans="1:6" x14ac:dyDescent="0.25">
      <c r="A58968"/>
      <c r="B58968"/>
      <c r="C58968"/>
      <c r="E58968"/>
      <c r="F58968"/>
    </row>
    <row r="58969" spans="1:6" x14ac:dyDescent="0.25">
      <c r="A58969"/>
      <c r="B58969"/>
      <c r="C58969"/>
      <c r="E58969"/>
      <c r="F58969"/>
    </row>
    <row r="58970" spans="1:6" x14ac:dyDescent="0.25">
      <c r="A58970"/>
      <c r="B58970"/>
      <c r="C58970"/>
      <c r="E58970"/>
      <c r="F58970"/>
    </row>
    <row r="58971" spans="1:6" x14ac:dyDescent="0.25">
      <c r="A58971"/>
      <c r="B58971"/>
      <c r="C58971"/>
      <c r="E58971"/>
      <c r="F58971"/>
    </row>
    <row r="58972" spans="1:6" x14ac:dyDescent="0.25">
      <c r="A58972"/>
      <c r="B58972"/>
      <c r="C58972"/>
      <c r="E58972"/>
      <c r="F58972"/>
    </row>
    <row r="58973" spans="1:6" x14ac:dyDescent="0.25">
      <c r="A58973"/>
      <c r="B58973"/>
      <c r="C58973"/>
      <c r="E58973"/>
      <c r="F58973"/>
    </row>
    <row r="58974" spans="1:6" x14ac:dyDescent="0.25">
      <c r="A58974"/>
      <c r="B58974"/>
      <c r="C58974"/>
      <c r="E58974"/>
      <c r="F58974"/>
    </row>
    <row r="58975" spans="1:6" x14ac:dyDescent="0.25">
      <c r="A58975"/>
      <c r="B58975"/>
      <c r="C58975"/>
      <c r="E58975"/>
      <c r="F58975"/>
    </row>
    <row r="58976" spans="1:6" x14ac:dyDescent="0.25">
      <c r="A58976"/>
      <c r="B58976"/>
      <c r="C58976"/>
      <c r="E58976"/>
      <c r="F58976"/>
    </row>
    <row r="58977" spans="1:6" x14ac:dyDescent="0.25">
      <c r="A58977"/>
      <c r="B58977"/>
      <c r="C58977"/>
      <c r="E58977"/>
      <c r="F58977"/>
    </row>
    <row r="58978" spans="1:6" x14ac:dyDescent="0.25">
      <c r="A58978"/>
      <c r="B58978"/>
      <c r="C58978"/>
      <c r="E58978"/>
      <c r="F58978"/>
    </row>
    <row r="58979" spans="1:6" x14ac:dyDescent="0.25">
      <c r="A58979"/>
      <c r="B58979"/>
      <c r="C58979"/>
      <c r="E58979"/>
      <c r="F58979"/>
    </row>
    <row r="58980" spans="1:6" x14ac:dyDescent="0.25">
      <c r="A58980"/>
      <c r="B58980"/>
      <c r="C58980"/>
      <c r="E58980"/>
      <c r="F58980"/>
    </row>
    <row r="58981" spans="1:6" x14ac:dyDescent="0.25">
      <c r="A58981"/>
      <c r="B58981"/>
      <c r="C58981"/>
      <c r="E58981"/>
      <c r="F58981"/>
    </row>
    <row r="58982" spans="1:6" x14ac:dyDescent="0.25">
      <c r="A58982"/>
      <c r="B58982"/>
      <c r="C58982"/>
      <c r="E58982"/>
      <c r="F58982"/>
    </row>
    <row r="58983" spans="1:6" x14ac:dyDescent="0.25">
      <c r="A58983"/>
      <c r="B58983"/>
      <c r="C58983"/>
      <c r="E58983"/>
      <c r="F58983"/>
    </row>
    <row r="58984" spans="1:6" x14ac:dyDescent="0.25">
      <c r="A58984"/>
      <c r="B58984"/>
      <c r="C58984"/>
      <c r="E58984"/>
      <c r="F58984"/>
    </row>
    <row r="58985" spans="1:6" x14ac:dyDescent="0.25">
      <c r="A58985"/>
      <c r="B58985"/>
      <c r="C58985"/>
      <c r="E58985"/>
      <c r="F58985"/>
    </row>
    <row r="58986" spans="1:6" x14ac:dyDescent="0.25">
      <c r="A58986"/>
      <c r="B58986"/>
      <c r="C58986"/>
      <c r="E58986"/>
      <c r="F58986"/>
    </row>
    <row r="58987" spans="1:6" x14ac:dyDescent="0.25">
      <c r="A58987"/>
      <c r="B58987"/>
      <c r="C58987"/>
      <c r="E58987"/>
      <c r="F58987"/>
    </row>
    <row r="58988" spans="1:6" x14ac:dyDescent="0.25">
      <c r="A58988"/>
      <c r="B58988"/>
      <c r="C58988"/>
      <c r="E58988"/>
      <c r="F58988"/>
    </row>
    <row r="58989" spans="1:6" x14ac:dyDescent="0.25">
      <c r="A58989"/>
      <c r="B58989"/>
      <c r="C58989"/>
      <c r="E58989"/>
      <c r="F58989"/>
    </row>
    <row r="58990" spans="1:6" x14ac:dyDescent="0.25">
      <c r="A58990"/>
      <c r="B58990"/>
      <c r="C58990"/>
      <c r="E58990"/>
      <c r="F58990"/>
    </row>
    <row r="58991" spans="1:6" x14ac:dyDescent="0.25">
      <c r="A58991"/>
      <c r="B58991"/>
      <c r="C58991"/>
      <c r="E58991"/>
      <c r="F58991"/>
    </row>
    <row r="58992" spans="1:6" x14ac:dyDescent="0.25">
      <c r="A58992"/>
      <c r="B58992"/>
      <c r="C58992"/>
      <c r="E58992"/>
      <c r="F58992"/>
    </row>
    <row r="58993" spans="1:6" x14ac:dyDescent="0.25">
      <c r="A58993"/>
      <c r="B58993"/>
      <c r="C58993"/>
      <c r="E58993"/>
      <c r="F58993"/>
    </row>
    <row r="58994" spans="1:6" x14ac:dyDescent="0.25">
      <c r="A58994"/>
      <c r="B58994"/>
      <c r="C58994"/>
      <c r="E58994"/>
      <c r="F58994"/>
    </row>
    <row r="58995" spans="1:6" x14ac:dyDescent="0.25">
      <c r="A58995"/>
      <c r="B58995"/>
      <c r="C58995"/>
      <c r="E58995"/>
      <c r="F58995"/>
    </row>
    <row r="58996" spans="1:6" x14ac:dyDescent="0.25">
      <c r="A58996"/>
      <c r="B58996"/>
      <c r="C58996"/>
      <c r="E58996"/>
      <c r="F58996"/>
    </row>
    <row r="58997" spans="1:6" x14ac:dyDescent="0.25">
      <c r="A58997"/>
      <c r="B58997"/>
      <c r="C58997"/>
      <c r="E58997"/>
      <c r="F58997"/>
    </row>
    <row r="58998" spans="1:6" x14ac:dyDescent="0.25">
      <c r="A58998"/>
      <c r="B58998"/>
      <c r="C58998"/>
      <c r="E58998"/>
      <c r="F58998"/>
    </row>
    <row r="58999" spans="1:6" x14ac:dyDescent="0.25">
      <c r="A58999"/>
      <c r="B58999"/>
      <c r="C58999"/>
      <c r="E58999"/>
      <c r="F58999"/>
    </row>
    <row r="59000" spans="1:6" x14ac:dyDescent="0.25">
      <c r="A59000"/>
      <c r="B59000"/>
      <c r="C59000"/>
      <c r="E59000"/>
      <c r="F59000"/>
    </row>
    <row r="59001" spans="1:6" x14ac:dyDescent="0.25">
      <c r="A59001"/>
      <c r="B59001"/>
      <c r="C59001"/>
      <c r="E59001"/>
      <c r="F59001"/>
    </row>
    <row r="59002" spans="1:6" x14ac:dyDescent="0.25">
      <c r="A59002"/>
      <c r="B59002"/>
      <c r="C59002"/>
      <c r="E59002"/>
      <c r="F59002"/>
    </row>
    <row r="59003" spans="1:6" x14ac:dyDescent="0.25">
      <c r="A59003"/>
      <c r="B59003"/>
      <c r="C59003"/>
      <c r="E59003"/>
      <c r="F59003"/>
    </row>
    <row r="59004" spans="1:6" x14ac:dyDescent="0.25">
      <c r="A59004"/>
      <c r="B59004"/>
      <c r="C59004"/>
      <c r="E59004"/>
      <c r="F59004"/>
    </row>
    <row r="59005" spans="1:6" x14ac:dyDescent="0.25">
      <c r="A59005"/>
      <c r="B59005"/>
      <c r="C59005"/>
      <c r="E59005"/>
      <c r="F59005"/>
    </row>
    <row r="59006" spans="1:6" x14ac:dyDescent="0.25">
      <c r="A59006"/>
      <c r="B59006"/>
      <c r="C59006"/>
      <c r="E59006"/>
      <c r="F59006"/>
    </row>
    <row r="59007" spans="1:6" x14ac:dyDescent="0.25">
      <c r="A59007"/>
      <c r="B59007"/>
      <c r="C59007"/>
      <c r="E59007"/>
      <c r="F59007"/>
    </row>
    <row r="59008" spans="1:6" x14ac:dyDescent="0.25">
      <c r="A59008"/>
      <c r="B59008"/>
      <c r="C59008"/>
      <c r="E59008"/>
      <c r="F59008"/>
    </row>
    <row r="59009" spans="1:6" x14ac:dyDescent="0.25">
      <c r="A59009"/>
      <c r="B59009"/>
      <c r="C59009"/>
      <c r="E59009"/>
      <c r="F59009"/>
    </row>
    <row r="59010" spans="1:6" x14ac:dyDescent="0.25">
      <c r="A59010"/>
      <c r="B59010"/>
      <c r="C59010"/>
      <c r="E59010"/>
      <c r="F59010"/>
    </row>
    <row r="59011" spans="1:6" x14ac:dyDescent="0.25">
      <c r="A59011"/>
      <c r="B59011"/>
      <c r="C59011"/>
      <c r="E59011"/>
      <c r="F59011"/>
    </row>
    <row r="59012" spans="1:6" x14ac:dyDescent="0.25">
      <c r="A59012"/>
      <c r="B59012"/>
      <c r="C59012"/>
      <c r="E59012"/>
      <c r="F59012"/>
    </row>
    <row r="59013" spans="1:6" x14ac:dyDescent="0.25">
      <c r="A59013"/>
      <c r="B59013"/>
      <c r="C59013"/>
      <c r="E59013"/>
      <c r="F59013"/>
    </row>
    <row r="59014" spans="1:6" x14ac:dyDescent="0.25">
      <c r="A59014"/>
      <c r="B59014"/>
      <c r="C59014"/>
      <c r="E59014"/>
      <c r="F59014"/>
    </row>
    <row r="59015" spans="1:6" x14ac:dyDescent="0.25">
      <c r="A59015"/>
      <c r="B59015"/>
      <c r="C59015"/>
      <c r="E59015"/>
      <c r="F59015"/>
    </row>
    <row r="59016" spans="1:6" x14ac:dyDescent="0.25">
      <c r="A59016"/>
      <c r="B59016"/>
      <c r="C59016"/>
      <c r="E59016"/>
      <c r="F59016"/>
    </row>
    <row r="59017" spans="1:6" x14ac:dyDescent="0.25">
      <c r="A59017"/>
      <c r="B59017"/>
      <c r="C59017"/>
      <c r="E59017"/>
      <c r="F59017"/>
    </row>
    <row r="59018" spans="1:6" x14ac:dyDescent="0.25">
      <c r="A59018"/>
      <c r="B59018"/>
      <c r="C59018"/>
      <c r="E59018"/>
      <c r="F59018"/>
    </row>
    <row r="59019" spans="1:6" x14ac:dyDescent="0.25">
      <c r="A59019"/>
      <c r="B59019"/>
      <c r="C59019"/>
      <c r="E59019"/>
      <c r="F59019"/>
    </row>
    <row r="59020" spans="1:6" x14ac:dyDescent="0.25">
      <c r="A59020"/>
      <c r="B59020"/>
      <c r="C59020"/>
      <c r="E59020"/>
      <c r="F59020"/>
    </row>
    <row r="59021" spans="1:6" x14ac:dyDescent="0.25">
      <c r="A59021"/>
      <c r="B59021"/>
      <c r="C59021"/>
      <c r="E59021"/>
      <c r="F59021"/>
    </row>
    <row r="59022" spans="1:6" x14ac:dyDescent="0.25">
      <c r="A59022"/>
      <c r="B59022"/>
      <c r="C59022"/>
      <c r="E59022"/>
      <c r="F59022"/>
    </row>
    <row r="59023" spans="1:6" x14ac:dyDescent="0.25">
      <c r="A59023"/>
      <c r="B59023"/>
      <c r="C59023"/>
      <c r="E59023"/>
      <c r="F59023"/>
    </row>
    <row r="59024" spans="1:6" x14ac:dyDescent="0.25">
      <c r="A59024"/>
      <c r="B59024"/>
      <c r="C59024"/>
      <c r="E59024"/>
      <c r="F59024"/>
    </row>
    <row r="59025" spans="1:6" x14ac:dyDescent="0.25">
      <c r="A59025"/>
      <c r="B59025"/>
      <c r="C59025"/>
      <c r="E59025"/>
      <c r="F59025"/>
    </row>
    <row r="59026" spans="1:6" x14ac:dyDescent="0.25">
      <c r="A59026"/>
      <c r="B59026"/>
      <c r="C59026"/>
      <c r="E59026"/>
      <c r="F59026"/>
    </row>
    <row r="59027" spans="1:6" x14ac:dyDescent="0.25">
      <c r="A59027"/>
      <c r="B59027"/>
      <c r="C59027"/>
      <c r="E59027"/>
      <c r="F59027"/>
    </row>
    <row r="59028" spans="1:6" x14ac:dyDescent="0.25">
      <c r="A59028"/>
      <c r="B59028"/>
      <c r="C59028"/>
      <c r="E59028"/>
      <c r="F59028"/>
    </row>
    <row r="59029" spans="1:6" x14ac:dyDescent="0.25">
      <c r="A59029"/>
      <c r="B59029"/>
      <c r="C59029"/>
      <c r="E59029"/>
      <c r="F59029"/>
    </row>
    <row r="59030" spans="1:6" x14ac:dyDescent="0.25">
      <c r="A59030"/>
      <c r="B59030"/>
      <c r="C59030"/>
      <c r="E59030"/>
      <c r="F59030"/>
    </row>
    <row r="59031" spans="1:6" x14ac:dyDescent="0.25">
      <c r="A59031"/>
      <c r="B59031"/>
      <c r="C59031"/>
      <c r="E59031"/>
      <c r="F59031"/>
    </row>
    <row r="59032" spans="1:6" x14ac:dyDescent="0.25">
      <c r="A59032"/>
      <c r="B59032"/>
      <c r="C59032"/>
      <c r="E59032"/>
      <c r="F59032"/>
    </row>
    <row r="59033" spans="1:6" x14ac:dyDescent="0.25">
      <c r="A59033"/>
      <c r="B59033"/>
      <c r="C59033"/>
      <c r="E59033"/>
      <c r="F59033"/>
    </row>
    <row r="59034" spans="1:6" x14ac:dyDescent="0.25">
      <c r="A59034"/>
      <c r="B59034"/>
      <c r="C59034"/>
      <c r="E59034"/>
      <c r="F59034"/>
    </row>
    <row r="59035" spans="1:6" x14ac:dyDescent="0.25">
      <c r="A59035"/>
      <c r="B59035"/>
      <c r="C59035"/>
      <c r="E59035"/>
      <c r="F59035"/>
    </row>
    <row r="59036" spans="1:6" x14ac:dyDescent="0.25">
      <c r="A59036"/>
      <c r="B59036"/>
      <c r="C59036"/>
      <c r="E59036"/>
      <c r="F59036"/>
    </row>
    <row r="59037" spans="1:6" x14ac:dyDescent="0.25">
      <c r="A59037"/>
      <c r="B59037"/>
      <c r="C59037"/>
      <c r="E59037"/>
      <c r="F59037"/>
    </row>
    <row r="59038" spans="1:6" x14ac:dyDescent="0.25">
      <c r="A59038"/>
      <c r="B59038"/>
      <c r="C59038"/>
      <c r="E59038"/>
      <c r="F59038"/>
    </row>
    <row r="59039" spans="1:6" x14ac:dyDescent="0.25">
      <c r="A59039"/>
      <c r="B59039"/>
      <c r="C59039"/>
      <c r="E59039"/>
      <c r="F59039"/>
    </row>
    <row r="59040" spans="1:6" x14ac:dyDescent="0.25">
      <c r="A59040"/>
      <c r="B59040"/>
      <c r="C59040"/>
      <c r="E59040"/>
      <c r="F59040"/>
    </row>
    <row r="59041" spans="1:6" x14ac:dyDescent="0.25">
      <c r="A59041"/>
      <c r="B59041"/>
      <c r="C59041"/>
      <c r="E59041"/>
      <c r="F59041"/>
    </row>
    <row r="59042" spans="1:6" x14ac:dyDescent="0.25">
      <c r="A59042"/>
      <c r="B59042"/>
      <c r="C59042"/>
      <c r="E59042"/>
      <c r="F59042"/>
    </row>
    <row r="59043" spans="1:6" x14ac:dyDescent="0.25">
      <c r="A59043"/>
      <c r="B59043"/>
      <c r="C59043"/>
      <c r="E59043"/>
      <c r="F59043"/>
    </row>
    <row r="59044" spans="1:6" x14ac:dyDescent="0.25">
      <c r="A59044"/>
      <c r="B59044"/>
      <c r="C59044"/>
      <c r="E59044"/>
      <c r="F59044"/>
    </row>
    <row r="59045" spans="1:6" x14ac:dyDescent="0.25">
      <c r="A59045"/>
      <c r="B59045"/>
      <c r="C59045"/>
      <c r="E59045"/>
      <c r="F59045"/>
    </row>
    <row r="59046" spans="1:6" x14ac:dyDescent="0.25">
      <c r="A59046"/>
      <c r="B59046"/>
      <c r="C59046"/>
      <c r="E59046"/>
      <c r="F59046"/>
    </row>
    <row r="59047" spans="1:6" x14ac:dyDescent="0.25">
      <c r="A59047"/>
      <c r="B59047"/>
      <c r="C59047"/>
      <c r="E59047"/>
      <c r="F59047"/>
    </row>
    <row r="59048" spans="1:6" x14ac:dyDescent="0.25">
      <c r="A59048"/>
      <c r="B59048"/>
      <c r="C59048"/>
      <c r="E59048"/>
      <c r="F59048"/>
    </row>
    <row r="59049" spans="1:6" x14ac:dyDescent="0.25">
      <c r="A59049"/>
      <c r="B59049"/>
      <c r="C59049"/>
      <c r="E59049"/>
      <c r="F59049"/>
    </row>
    <row r="59050" spans="1:6" x14ac:dyDescent="0.25">
      <c r="A59050"/>
      <c r="B59050"/>
      <c r="C59050"/>
      <c r="E59050"/>
      <c r="F59050"/>
    </row>
    <row r="59051" spans="1:6" x14ac:dyDescent="0.25">
      <c r="A59051"/>
      <c r="B59051"/>
      <c r="C59051"/>
      <c r="E59051"/>
      <c r="F59051"/>
    </row>
    <row r="59052" spans="1:6" x14ac:dyDescent="0.25">
      <c r="A59052"/>
      <c r="B59052"/>
      <c r="C59052"/>
      <c r="E59052"/>
      <c r="F59052"/>
    </row>
    <row r="59053" spans="1:6" x14ac:dyDescent="0.25">
      <c r="A59053"/>
      <c r="B59053"/>
      <c r="C59053"/>
      <c r="E59053"/>
      <c r="F59053"/>
    </row>
    <row r="59054" spans="1:6" x14ac:dyDescent="0.25">
      <c r="A59054"/>
      <c r="B59054"/>
      <c r="C59054"/>
      <c r="E59054"/>
      <c r="F59054"/>
    </row>
    <row r="59055" spans="1:6" x14ac:dyDescent="0.25">
      <c r="A59055"/>
      <c r="B59055"/>
      <c r="C59055"/>
      <c r="E59055"/>
      <c r="F59055"/>
    </row>
    <row r="59056" spans="1:6" x14ac:dyDescent="0.25">
      <c r="A59056"/>
      <c r="B59056"/>
      <c r="C59056"/>
      <c r="E59056"/>
      <c r="F59056"/>
    </row>
    <row r="59057" spans="1:6" x14ac:dyDescent="0.25">
      <c r="A59057"/>
      <c r="B59057"/>
      <c r="C59057"/>
      <c r="E59057"/>
      <c r="F59057"/>
    </row>
    <row r="59058" spans="1:6" x14ac:dyDescent="0.25">
      <c r="A59058"/>
      <c r="B59058"/>
      <c r="C59058"/>
      <c r="E59058"/>
      <c r="F59058"/>
    </row>
    <row r="59059" spans="1:6" x14ac:dyDescent="0.25">
      <c r="A59059"/>
      <c r="B59059"/>
      <c r="C59059"/>
      <c r="E59059"/>
      <c r="F59059"/>
    </row>
    <row r="59060" spans="1:6" x14ac:dyDescent="0.25">
      <c r="A59060"/>
      <c r="B59060"/>
      <c r="C59060"/>
      <c r="E59060"/>
      <c r="F59060"/>
    </row>
    <row r="59061" spans="1:6" x14ac:dyDescent="0.25">
      <c r="A59061"/>
      <c r="B59061"/>
      <c r="C59061"/>
      <c r="E59061"/>
      <c r="F59061"/>
    </row>
    <row r="59062" spans="1:6" x14ac:dyDescent="0.25">
      <c r="A59062"/>
      <c r="B59062"/>
      <c r="C59062"/>
      <c r="E59062"/>
      <c r="F59062"/>
    </row>
    <row r="59063" spans="1:6" x14ac:dyDescent="0.25">
      <c r="A59063"/>
      <c r="B59063"/>
      <c r="C59063"/>
      <c r="E59063"/>
      <c r="F59063"/>
    </row>
    <row r="59064" spans="1:6" x14ac:dyDescent="0.25">
      <c r="A59064"/>
      <c r="B59064"/>
      <c r="C59064"/>
      <c r="E59064"/>
      <c r="F59064"/>
    </row>
    <row r="59065" spans="1:6" x14ac:dyDescent="0.25">
      <c r="A59065"/>
      <c r="B59065"/>
      <c r="C59065"/>
      <c r="E59065"/>
      <c r="F59065"/>
    </row>
    <row r="59066" spans="1:6" x14ac:dyDescent="0.25">
      <c r="A59066"/>
      <c r="B59066"/>
      <c r="C59066"/>
      <c r="E59066"/>
      <c r="F59066"/>
    </row>
    <row r="59067" spans="1:6" x14ac:dyDescent="0.25">
      <c r="A59067"/>
      <c r="B59067"/>
      <c r="C59067"/>
      <c r="E59067"/>
      <c r="F59067"/>
    </row>
    <row r="59068" spans="1:6" x14ac:dyDescent="0.25">
      <c r="A59068"/>
      <c r="B59068"/>
      <c r="C59068"/>
      <c r="E59068"/>
      <c r="F59068"/>
    </row>
    <row r="59069" spans="1:6" x14ac:dyDescent="0.25">
      <c r="A59069"/>
      <c r="B59069"/>
      <c r="C59069"/>
      <c r="E59069"/>
      <c r="F59069"/>
    </row>
    <row r="59070" spans="1:6" x14ac:dyDescent="0.25">
      <c r="A59070"/>
      <c r="B59070"/>
      <c r="C59070"/>
      <c r="E59070"/>
      <c r="F59070"/>
    </row>
    <row r="59071" spans="1:6" x14ac:dyDescent="0.25">
      <c r="A59071"/>
      <c r="B59071"/>
      <c r="C59071"/>
      <c r="E59071"/>
      <c r="F59071"/>
    </row>
    <row r="59072" spans="1:6" x14ac:dyDescent="0.25">
      <c r="A59072"/>
      <c r="B59072"/>
      <c r="C59072"/>
      <c r="E59072"/>
      <c r="F59072"/>
    </row>
    <row r="59073" spans="1:6" x14ac:dyDescent="0.25">
      <c r="A59073"/>
      <c r="B59073"/>
      <c r="C59073"/>
      <c r="E59073"/>
      <c r="F59073"/>
    </row>
    <row r="59074" spans="1:6" x14ac:dyDescent="0.25">
      <c r="A59074"/>
      <c r="B59074"/>
      <c r="C59074"/>
      <c r="E59074"/>
      <c r="F59074"/>
    </row>
    <row r="59075" spans="1:6" x14ac:dyDescent="0.25">
      <c r="A59075"/>
      <c r="B59075"/>
      <c r="C59075"/>
      <c r="E59075"/>
      <c r="F59075"/>
    </row>
    <row r="59076" spans="1:6" x14ac:dyDescent="0.25">
      <c r="A59076"/>
      <c r="B59076"/>
      <c r="C59076"/>
      <c r="E59076"/>
      <c r="F59076"/>
    </row>
    <row r="59077" spans="1:6" x14ac:dyDescent="0.25">
      <c r="A59077"/>
      <c r="B59077"/>
      <c r="C59077"/>
      <c r="E59077"/>
      <c r="F59077"/>
    </row>
    <row r="59078" spans="1:6" x14ac:dyDescent="0.25">
      <c r="A59078"/>
      <c r="B59078"/>
      <c r="C59078"/>
      <c r="E59078"/>
      <c r="F59078"/>
    </row>
    <row r="59079" spans="1:6" x14ac:dyDescent="0.25">
      <c r="A59079"/>
      <c r="B59079"/>
      <c r="C59079"/>
      <c r="E59079"/>
      <c r="F59079"/>
    </row>
    <row r="59080" spans="1:6" x14ac:dyDescent="0.25">
      <c r="A59080"/>
      <c r="B59080"/>
      <c r="C59080"/>
      <c r="E59080"/>
      <c r="F59080"/>
    </row>
    <row r="59081" spans="1:6" x14ac:dyDescent="0.25">
      <c r="A59081"/>
      <c r="B59081"/>
      <c r="C59081"/>
      <c r="E59081"/>
      <c r="F59081"/>
    </row>
    <row r="59082" spans="1:6" x14ac:dyDescent="0.25">
      <c r="A59082"/>
      <c r="B59082"/>
      <c r="C59082"/>
      <c r="E59082"/>
      <c r="F59082"/>
    </row>
    <row r="59083" spans="1:6" x14ac:dyDescent="0.25">
      <c r="A59083"/>
      <c r="B59083"/>
      <c r="C59083"/>
      <c r="E59083"/>
      <c r="F59083"/>
    </row>
    <row r="59084" spans="1:6" x14ac:dyDescent="0.25">
      <c r="A59084"/>
      <c r="B59084"/>
      <c r="C59084"/>
      <c r="E59084"/>
      <c r="F59084"/>
    </row>
    <row r="59085" spans="1:6" x14ac:dyDescent="0.25">
      <c r="A59085"/>
      <c r="B59085"/>
      <c r="C59085"/>
      <c r="E59085"/>
      <c r="F59085"/>
    </row>
    <row r="59086" spans="1:6" x14ac:dyDescent="0.25">
      <c r="A59086"/>
      <c r="B59086"/>
      <c r="C59086"/>
      <c r="E59086"/>
      <c r="F59086"/>
    </row>
    <row r="59087" spans="1:6" x14ac:dyDescent="0.25">
      <c r="A59087"/>
      <c r="B59087"/>
      <c r="C59087"/>
      <c r="E59087"/>
      <c r="F59087"/>
    </row>
    <row r="59088" spans="1:6" x14ac:dyDescent="0.25">
      <c r="A59088"/>
      <c r="B59088"/>
      <c r="C59088"/>
      <c r="E59088"/>
      <c r="F59088"/>
    </row>
    <row r="59089" spans="1:6" x14ac:dyDescent="0.25">
      <c r="A59089"/>
      <c r="B59089"/>
      <c r="C59089"/>
      <c r="E59089"/>
      <c r="F59089"/>
    </row>
    <row r="59090" spans="1:6" x14ac:dyDescent="0.25">
      <c r="A59090"/>
      <c r="B59090"/>
      <c r="C59090"/>
      <c r="E59090"/>
      <c r="F59090"/>
    </row>
    <row r="59091" spans="1:6" x14ac:dyDescent="0.25">
      <c r="A59091"/>
      <c r="B59091"/>
      <c r="C59091"/>
      <c r="E59091"/>
      <c r="F59091"/>
    </row>
    <row r="59092" spans="1:6" x14ac:dyDescent="0.25">
      <c r="A59092"/>
      <c r="B59092"/>
      <c r="C59092"/>
      <c r="E59092"/>
      <c r="F59092"/>
    </row>
    <row r="59093" spans="1:6" x14ac:dyDescent="0.25">
      <c r="A59093"/>
      <c r="B59093"/>
      <c r="C59093"/>
      <c r="E59093"/>
      <c r="F59093"/>
    </row>
    <row r="59094" spans="1:6" x14ac:dyDescent="0.25">
      <c r="A59094"/>
      <c r="B59094"/>
      <c r="C59094"/>
      <c r="E59094"/>
      <c r="F59094"/>
    </row>
    <row r="59095" spans="1:6" x14ac:dyDescent="0.25">
      <c r="A59095"/>
      <c r="B59095"/>
      <c r="C59095"/>
      <c r="E59095"/>
      <c r="F59095"/>
    </row>
    <row r="59096" spans="1:6" x14ac:dyDescent="0.25">
      <c r="A59096"/>
      <c r="B59096"/>
      <c r="C59096"/>
      <c r="E59096"/>
      <c r="F59096"/>
    </row>
    <row r="59097" spans="1:6" x14ac:dyDescent="0.25">
      <c r="A59097"/>
      <c r="B59097"/>
      <c r="C59097"/>
      <c r="E59097"/>
      <c r="F59097"/>
    </row>
    <row r="59098" spans="1:6" x14ac:dyDescent="0.25">
      <c r="A59098"/>
      <c r="B59098"/>
      <c r="C59098"/>
      <c r="E59098"/>
      <c r="F59098"/>
    </row>
    <row r="59099" spans="1:6" x14ac:dyDescent="0.25">
      <c r="A59099"/>
      <c r="B59099"/>
      <c r="C59099"/>
      <c r="E59099"/>
      <c r="F59099"/>
    </row>
    <row r="59100" spans="1:6" x14ac:dyDescent="0.25">
      <c r="A59100"/>
      <c r="B59100"/>
      <c r="C59100"/>
      <c r="E59100"/>
      <c r="F59100"/>
    </row>
    <row r="59101" spans="1:6" x14ac:dyDescent="0.25">
      <c r="A59101"/>
      <c r="B59101"/>
      <c r="C59101"/>
      <c r="E59101"/>
      <c r="F59101"/>
    </row>
    <row r="59102" spans="1:6" x14ac:dyDescent="0.25">
      <c r="A59102"/>
      <c r="B59102"/>
      <c r="C59102"/>
      <c r="E59102"/>
      <c r="F59102"/>
    </row>
    <row r="59103" spans="1:6" x14ac:dyDescent="0.25">
      <c r="A59103"/>
      <c r="B59103"/>
      <c r="C59103"/>
      <c r="E59103"/>
      <c r="F59103"/>
    </row>
    <row r="59104" spans="1:6" x14ac:dyDescent="0.25">
      <c r="A59104"/>
      <c r="B59104"/>
      <c r="C59104"/>
      <c r="E59104"/>
      <c r="F59104"/>
    </row>
    <row r="59105" spans="1:6" x14ac:dyDescent="0.25">
      <c r="A59105"/>
      <c r="B59105"/>
      <c r="C59105"/>
      <c r="E59105"/>
      <c r="F59105"/>
    </row>
    <row r="59106" spans="1:6" x14ac:dyDescent="0.25">
      <c r="A59106"/>
      <c r="B59106"/>
      <c r="C59106"/>
      <c r="E59106"/>
      <c r="F59106"/>
    </row>
    <row r="59107" spans="1:6" x14ac:dyDescent="0.25">
      <c r="A59107"/>
      <c r="B59107"/>
      <c r="C59107"/>
      <c r="E59107"/>
      <c r="F59107"/>
    </row>
    <row r="59108" spans="1:6" x14ac:dyDescent="0.25">
      <c r="A59108"/>
      <c r="B59108"/>
      <c r="C59108"/>
      <c r="E59108"/>
      <c r="F59108"/>
    </row>
    <row r="59109" spans="1:6" x14ac:dyDescent="0.25">
      <c r="A59109"/>
      <c r="B59109"/>
      <c r="C59109"/>
      <c r="E59109"/>
      <c r="F59109"/>
    </row>
    <row r="59110" spans="1:6" x14ac:dyDescent="0.25">
      <c r="A59110"/>
      <c r="B59110"/>
      <c r="C59110"/>
      <c r="E59110"/>
      <c r="F59110"/>
    </row>
    <row r="59111" spans="1:6" x14ac:dyDescent="0.25">
      <c r="A59111"/>
      <c r="B59111"/>
      <c r="C59111"/>
      <c r="E59111"/>
      <c r="F59111"/>
    </row>
    <row r="59112" spans="1:6" x14ac:dyDescent="0.25">
      <c r="A59112"/>
      <c r="B59112"/>
      <c r="C59112"/>
      <c r="E59112"/>
      <c r="F59112"/>
    </row>
    <row r="59113" spans="1:6" x14ac:dyDescent="0.25">
      <c r="A59113"/>
      <c r="B59113"/>
      <c r="C59113"/>
      <c r="E59113"/>
      <c r="F59113"/>
    </row>
    <row r="59114" spans="1:6" x14ac:dyDescent="0.25">
      <c r="A59114"/>
      <c r="B59114"/>
      <c r="C59114"/>
      <c r="E59114"/>
      <c r="F59114"/>
    </row>
    <row r="59115" spans="1:6" x14ac:dyDescent="0.25">
      <c r="A59115"/>
      <c r="B59115"/>
      <c r="C59115"/>
      <c r="E59115"/>
      <c r="F59115"/>
    </row>
    <row r="59116" spans="1:6" x14ac:dyDescent="0.25">
      <c r="A59116"/>
      <c r="B59116"/>
      <c r="C59116"/>
      <c r="E59116"/>
      <c r="F59116"/>
    </row>
    <row r="59117" spans="1:6" x14ac:dyDescent="0.25">
      <c r="A59117"/>
      <c r="B59117"/>
      <c r="C59117"/>
      <c r="E59117"/>
      <c r="F59117"/>
    </row>
    <row r="59118" spans="1:6" x14ac:dyDescent="0.25">
      <c r="A59118"/>
      <c r="B59118"/>
      <c r="C59118"/>
      <c r="E59118"/>
      <c r="F59118"/>
    </row>
    <row r="59119" spans="1:6" x14ac:dyDescent="0.25">
      <c r="A59119"/>
      <c r="B59119"/>
      <c r="C59119"/>
      <c r="E59119"/>
      <c r="F59119"/>
    </row>
    <row r="59120" spans="1:6" x14ac:dyDescent="0.25">
      <c r="A59120"/>
      <c r="B59120"/>
      <c r="C59120"/>
      <c r="E59120"/>
      <c r="F59120"/>
    </row>
    <row r="59121" spans="1:6" x14ac:dyDescent="0.25">
      <c r="A59121"/>
      <c r="B59121"/>
      <c r="C59121"/>
      <c r="E59121"/>
      <c r="F59121"/>
    </row>
    <row r="59122" spans="1:6" x14ac:dyDescent="0.25">
      <c r="A59122"/>
      <c r="B59122"/>
      <c r="C59122"/>
      <c r="E59122"/>
      <c r="F59122"/>
    </row>
    <row r="59123" spans="1:6" x14ac:dyDescent="0.25">
      <c r="A59123"/>
      <c r="B59123"/>
      <c r="C59123"/>
      <c r="E59123"/>
      <c r="F59123"/>
    </row>
    <row r="59124" spans="1:6" x14ac:dyDescent="0.25">
      <c r="A59124"/>
      <c r="B59124"/>
      <c r="C59124"/>
      <c r="E59124"/>
      <c r="F59124"/>
    </row>
    <row r="59125" spans="1:6" x14ac:dyDescent="0.25">
      <c r="A59125"/>
      <c r="B59125"/>
      <c r="C59125"/>
      <c r="E59125"/>
      <c r="F59125"/>
    </row>
    <row r="59126" spans="1:6" x14ac:dyDescent="0.25">
      <c r="A59126"/>
      <c r="B59126"/>
      <c r="C59126"/>
      <c r="E59126"/>
      <c r="F59126"/>
    </row>
    <row r="59127" spans="1:6" x14ac:dyDescent="0.25">
      <c r="A59127"/>
      <c r="B59127"/>
      <c r="C59127"/>
      <c r="E59127"/>
      <c r="F59127"/>
    </row>
    <row r="59128" spans="1:6" x14ac:dyDescent="0.25">
      <c r="A59128"/>
      <c r="B59128"/>
      <c r="C59128"/>
      <c r="E59128"/>
      <c r="F59128"/>
    </row>
    <row r="59129" spans="1:6" x14ac:dyDescent="0.25">
      <c r="A59129"/>
      <c r="B59129"/>
      <c r="C59129"/>
      <c r="E59129"/>
      <c r="F59129"/>
    </row>
    <row r="59130" spans="1:6" x14ac:dyDescent="0.25">
      <c r="A59130"/>
      <c r="B59130"/>
      <c r="C59130"/>
      <c r="E59130"/>
      <c r="F59130"/>
    </row>
    <row r="59131" spans="1:6" x14ac:dyDescent="0.25">
      <c r="A59131"/>
      <c r="B59131"/>
      <c r="C59131"/>
      <c r="E59131"/>
      <c r="F59131"/>
    </row>
    <row r="59132" spans="1:6" x14ac:dyDescent="0.25">
      <c r="A59132"/>
      <c r="B59132"/>
      <c r="C59132"/>
      <c r="E59132"/>
      <c r="F59132"/>
    </row>
    <row r="59133" spans="1:6" x14ac:dyDescent="0.25">
      <c r="A59133"/>
      <c r="B59133"/>
      <c r="C59133"/>
      <c r="E59133"/>
      <c r="F59133"/>
    </row>
    <row r="59134" spans="1:6" x14ac:dyDescent="0.25">
      <c r="A59134"/>
      <c r="B59134"/>
      <c r="C59134"/>
      <c r="E59134"/>
      <c r="F59134"/>
    </row>
    <row r="59135" spans="1:6" x14ac:dyDescent="0.25">
      <c r="A59135"/>
      <c r="B59135"/>
      <c r="C59135"/>
      <c r="E59135"/>
      <c r="F59135"/>
    </row>
    <row r="59136" spans="1:6" x14ac:dyDescent="0.25">
      <c r="A59136"/>
      <c r="B59136"/>
      <c r="C59136"/>
      <c r="E59136"/>
      <c r="F59136"/>
    </row>
    <row r="59137" spans="1:6" x14ac:dyDescent="0.25">
      <c r="A59137"/>
      <c r="B59137"/>
      <c r="C59137"/>
      <c r="E59137"/>
      <c r="F59137"/>
    </row>
    <row r="59138" spans="1:6" x14ac:dyDescent="0.25">
      <c r="A59138"/>
      <c r="B59138"/>
      <c r="C59138"/>
      <c r="E59138"/>
      <c r="F59138"/>
    </row>
    <row r="59139" spans="1:6" x14ac:dyDescent="0.25">
      <c r="A59139"/>
      <c r="B59139"/>
      <c r="C59139"/>
      <c r="E59139"/>
      <c r="F59139"/>
    </row>
    <row r="59140" spans="1:6" x14ac:dyDescent="0.25">
      <c r="A59140"/>
      <c r="B59140"/>
      <c r="C59140"/>
      <c r="E59140"/>
      <c r="F59140"/>
    </row>
    <row r="59141" spans="1:6" x14ac:dyDescent="0.25">
      <c r="A59141"/>
      <c r="B59141"/>
      <c r="C59141"/>
      <c r="E59141"/>
      <c r="F59141"/>
    </row>
    <row r="59142" spans="1:6" x14ac:dyDescent="0.25">
      <c r="A59142"/>
      <c r="B59142"/>
      <c r="C59142"/>
      <c r="E59142"/>
      <c r="F59142"/>
    </row>
    <row r="59143" spans="1:6" x14ac:dyDescent="0.25">
      <c r="A59143"/>
      <c r="B59143"/>
      <c r="C59143"/>
      <c r="E59143"/>
      <c r="F59143"/>
    </row>
    <row r="59144" spans="1:6" x14ac:dyDescent="0.25">
      <c r="A59144"/>
      <c r="B59144"/>
      <c r="C59144"/>
      <c r="E59144"/>
      <c r="F59144"/>
    </row>
    <row r="59145" spans="1:6" x14ac:dyDescent="0.25">
      <c r="A59145"/>
      <c r="B59145"/>
      <c r="C59145"/>
      <c r="E59145"/>
      <c r="F59145"/>
    </row>
    <row r="59146" spans="1:6" x14ac:dyDescent="0.25">
      <c r="A59146"/>
      <c r="B59146"/>
      <c r="C59146"/>
      <c r="E59146"/>
      <c r="F59146"/>
    </row>
    <row r="59147" spans="1:6" x14ac:dyDescent="0.25">
      <c r="A59147"/>
      <c r="B59147"/>
      <c r="C59147"/>
      <c r="E59147"/>
      <c r="F59147"/>
    </row>
    <row r="59148" spans="1:6" x14ac:dyDescent="0.25">
      <c r="A59148"/>
      <c r="B59148"/>
      <c r="C59148"/>
      <c r="E59148"/>
      <c r="F59148"/>
    </row>
    <row r="59149" spans="1:6" x14ac:dyDescent="0.25">
      <c r="A59149"/>
      <c r="B59149"/>
      <c r="C59149"/>
      <c r="E59149"/>
      <c r="F59149"/>
    </row>
    <row r="59150" spans="1:6" x14ac:dyDescent="0.25">
      <c r="A59150"/>
      <c r="B59150"/>
      <c r="C59150"/>
      <c r="E59150"/>
      <c r="F59150"/>
    </row>
    <row r="59151" spans="1:6" x14ac:dyDescent="0.25">
      <c r="A59151"/>
      <c r="B59151"/>
      <c r="C59151"/>
      <c r="E59151"/>
      <c r="F59151"/>
    </row>
    <row r="59152" spans="1:6" x14ac:dyDescent="0.25">
      <c r="A59152"/>
      <c r="B59152"/>
      <c r="C59152"/>
      <c r="E59152"/>
      <c r="F59152"/>
    </row>
    <row r="59153" spans="1:6" x14ac:dyDescent="0.25">
      <c r="A59153"/>
      <c r="B59153"/>
      <c r="C59153"/>
      <c r="E59153"/>
      <c r="F59153"/>
    </row>
    <row r="59154" spans="1:6" x14ac:dyDescent="0.25">
      <c r="A59154"/>
      <c r="B59154"/>
      <c r="C59154"/>
      <c r="E59154"/>
      <c r="F59154"/>
    </row>
    <row r="59155" spans="1:6" x14ac:dyDescent="0.25">
      <c r="A59155"/>
      <c r="B59155"/>
      <c r="C59155"/>
      <c r="E59155"/>
      <c r="F59155"/>
    </row>
    <row r="59156" spans="1:6" x14ac:dyDescent="0.25">
      <c r="A59156"/>
      <c r="B59156"/>
      <c r="C59156"/>
      <c r="E59156"/>
      <c r="F59156"/>
    </row>
    <row r="59157" spans="1:6" x14ac:dyDescent="0.25">
      <c r="A59157"/>
      <c r="B59157"/>
      <c r="C59157"/>
      <c r="E59157"/>
      <c r="F59157"/>
    </row>
    <row r="59158" spans="1:6" x14ac:dyDescent="0.25">
      <c r="A59158"/>
      <c r="B59158"/>
      <c r="C59158"/>
      <c r="E59158"/>
      <c r="F59158"/>
    </row>
    <row r="59159" spans="1:6" x14ac:dyDescent="0.25">
      <c r="A59159"/>
      <c r="B59159"/>
      <c r="C59159"/>
      <c r="E59159"/>
      <c r="F59159"/>
    </row>
    <row r="59160" spans="1:6" x14ac:dyDescent="0.25">
      <c r="A59160"/>
      <c r="B59160"/>
      <c r="C59160"/>
      <c r="E59160"/>
      <c r="F59160"/>
    </row>
    <row r="59161" spans="1:6" x14ac:dyDescent="0.25">
      <c r="A59161"/>
      <c r="B59161"/>
      <c r="C59161"/>
      <c r="E59161"/>
      <c r="F59161"/>
    </row>
    <row r="59162" spans="1:6" x14ac:dyDescent="0.25">
      <c r="A59162"/>
      <c r="B59162"/>
      <c r="C59162"/>
      <c r="E59162"/>
      <c r="F59162"/>
    </row>
    <row r="59163" spans="1:6" x14ac:dyDescent="0.25">
      <c r="A59163"/>
      <c r="B59163"/>
      <c r="C59163"/>
      <c r="E59163"/>
      <c r="F59163"/>
    </row>
    <row r="59164" spans="1:6" x14ac:dyDescent="0.25">
      <c r="A59164"/>
      <c r="B59164"/>
      <c r="C59164"/>
      <c r="E59164"/>
      <c r="F59164"/>
    </row>
    <row r="59165" spans="1:6" x14ac:dyDescent="0.25">
      <c r="A59165"/>
      <c r="B59165"/>
      <c r="C59165"/>
      <c r="E59165"/>
      <c r="F59165"/>
    </row>
    <row r="59166" spans="1:6" x14ac:dyDescent="0.25">
      <c r="A59166"/>
      <c r="B59166"/>
      <c r="C59166"/>
      <c r="E59166"/>
      <c r="F59166"/>
    </row>
    <row r="59167" spans="1:6" x14ac:dyDescent="0.25">
      <c r="A59167"/>
      <c r="B59167"/>
      <c r="C59167"/>
      <c r="E59167"/>
      <c r="F59167"/>
    </row>
    <row r="59168" spans="1:6" x14ac:dyDescent="0.25">
      <c r="A59168"/>
      <c r="B59168"/>
      <c r="C59168"/>
      <c r="E59168"/>
      <c r="F59168"/>
    </row>
    <row r="59169" spans="1:6" x14ac:dyDescent="0.25">
      <c r="A59169"/>
      <c r="B59169"/>
      <c r="C59169"/>
      <c r="E59169"/>
      <c r="F59169"/>
    </row>
    <row r="59170" spans="1:6" x14ac:dyDescent="0.25">
      <c r="A59170"/>
      <c r="B59170"/>
      <c r="C59170"/>
      <c r="E59170"/>
      <c r="F59170"/>
    </row>
    <row r="59171" spans="1:6" x14ac:dyDescent="0.25">
      <c r="A59171"/>
      <c r="B59171"/>
      <c r="C59171"/>
      <c r="E59171"/>
      <c r="F59171"/>
    </row>
    <row r="59172" spans="1:6" x14ac:dyDescent="0.25">
      <c r="A59172"/>
      <c r="B59172"/>
      <c r="C59172"/>
      <c r="E59172"/>
      <c r="F59172"/>
    </row>
    <row r="59173" spans="1:6" x14ac:dyDescent="0.25">
      <c r="A59173"/>
      <c r="B59173"/>
      <c r="C59173"/>
      <c r="E59173"/>
      <c r="F59173"/>
    </row>
    <row r="59174" spans="1:6" x14ac:dyDescent="0.25">
      <c r="A59174"/>
      <c r="B59174"/>
      <c r="C59174"/>
      <c r="E59174"/>
      <c r="F59174"/>
    </row>
    <row r="59175" spans="1:6" x14ac:dyDescent="0.25">
      <c r="A59175"/>
      <c r="B59175"/>
      <c r="C59175"/>
      <c r="E59175"/>
      <c r="F59175"/>
    </row>
    <row r="59176" spans="1:6" x14ac:dyDescent="0.25">
      <c r="A59176"/>
      <c r="B59176"/>
      <c r="C59176"/>
      <c r="E59176"/>
      <c r="F59176"/>
    </row>
    <row r="59177" spans="1:6" x14ac:dyDescent="0.25">
      <c r="A59177"/>
      <c r="B59177"/>
      <c r="C59177"/>
      <c r="E59177"/>
      <c r="F59177"/>
    </row>
    <row r="59178" spans="1:6" x14ac:dyDescent="0.25">
      <c r="A59178"/>
      <c r="B59178"/>
      <c r="C59178"/>
      <c r="E59178"/>
      <c r="F59178"/>
    </row>
    <row r="59179" spans="1:6" x14ac:dyDescent="0.25">
      <c r="A59179"/>
      <c r="B59179"/>
      <c r="C59179"/>
      <c r="E59179"/>
      <c r="F59179"/>
    </row>
    <row r="59180" spans="1:6" x14ac:dyDescent="0.25">
      <c r="A59180"/>
      <c r="B59180"/>
      <c r="C59180"/>
      <c r="E59180"/>
      <c r="F59180"/>
    </row>
    <row r="59181" spans="1:6" x14ac:dyDescent="0.25">
      <c r="A59181"/>
      <c r="B59181"/>
      <c r="C59181"/>
      <c r="E59181"/>
      <c r="F59181"/>
    </row>
    <row r="59182" spans="1:6" x14ac:dyDescent="0.25">
      <c r="A59182"/>
      <c r="B59182"/>
      <c r="C59182"/>
      <c r="E59182"/>
      <c r="F59182"/>
    </row>
    <row r="59183" spans="1:6" x14ac:dyDescent="0.25">
      <c r="A59183"/>
      <c r="B59183"/>
      <c r="C59183"/>
      <c r="E59183"/>
      <c r="F59183"/>
    </row>
    <row r="59184" spans="1:6" x14ac:dyDescent="0.25">
      <c r="A59184"/>
      <c r="B59184"/>
      <c r="C59184"/>
      <c r="E59184"/>
      <c r="F59184"/>
    </row>
    <row r="59185" spans="1:6" x14ac:dyDescent="0.25">
      <c r="A59185"/>
      <c r="B59185"/>
      <c r="C59185"/>
      <c r="E59185"/>
      <c r="F59185"/>
    </row>
    <row r="59186" spans="1:6" x14ac:dyDescent="0.25">
      <c r="A59186"/>
      <c r="B59186"/>
      <c r="C59186"/>
      <c r="E59186"/>
      <c r="F59186"/>
    </row>
    <row r="59187" spans="1:6" x14ac:dyDescent="0.25">
      <c r="A59187"/>
      <c r="B59187"/>
      <c r="C59187"/>
      <c r="E59187"/>
      <c r="F59187"/>
    </row>
    <row r="59188" spans="1:6" x14ac:dyDescent="0.25">
      <c r="A59188"/>
      <c r="B59188"/>
      <c r="C59188"/>
      <c r="E59188"/>
      <c r="F59188"/>
    </row>
    <row r="59189" spans="1:6" x14ac:dyDescent="0.25">
      <c r="A59189"/>
      <c r="B59189"/>
      <c r="C59189"/>
      <c r="E59189"/>
      <c r="F59189"/>
    </row>
    <row r="59190" spans="1:6" x14ac:dyDescent="0.25">
      <c r="A59190"/>
      <c r="B59190"/>
      <c r="C59190"/>
      <c r="E59190"/>
      <c r="F59190"/>
    </row>
    <row r="59191" spans="1:6" x14ac:dyDescent="0.25">
      <c r="A59191"/>
      <c r="B59191"/>
      <c r="C59191"/>
      <c r="E59191"/>
      <c r="F59191"/>
    </row>
    <row r="59192" spans="1:6" x14ac:dyDescent="0.25">
      <c r="A59192"/>
      <c r="B59192"/>
      <c r="C59192"/>
      <c r="E59192"/>
      <c r="F59192"/>
    </row>
    <row r="59193" spans="1:6" x14ac:dyDescent="0.25">
      <c r="A59193"/>
      <c r="B59193"/>
      <c r="C59193"/>
      <c r="E59193"/>
      <c r="F59193"/>
    </row>
    <row r="59194" spans="1:6" x14ac:dyDescent="0.25">
      <c r="A59194"/>
      <c r="B59194"/>
      <c r="C59194"/>
      <c r="E59194"/>
      <c r="F59194"/>
    </row>
    <row r="59195" spans="1:6" x14ac:dyDescent="0.25">
      <c r="A59195"/>
      <c r="B59195"/>
      <c r="C59195"/>
      <c r="E59195"/>
      <c r="F59195"/>
    </row>
    <row r="59196" spans="1:6" x14ac:dyDescent="0.25">
      <c r="A59196"/>
      <c r="B59196"/>
      <c r="C59196"/>
      <c r="E59196"/>
      <c r="F59196"/>
    </row>
    <row r="59197" spans="1:6" x14ac:dyDescent="0.25">
      <c r="A59197"/>
      <c r="B59197"/>
      <c r="C59197"/>
      <c r="E59197"/>
      <c r="F59197"/>
    </row>
    <row r="59198" spans="1:6" x14ac:dyDescent="0.25">
      <c r="A59198"/>
      <c r="B59198"/>
      <c r="C59198"/>
      <c r="E59198"/>
      <c r="F59198"/>
    </row>
    <row r="59199" spans="1:6" x14ac:dyDescent="0.25">
      <c r="A59199"/>
      <c r="B59199"/>
      <c r="C59199"/>
      <c r="E59199"/>
      <c r="F59199"/>
    </row>
    <row r="59200" spans="1:6" x14ac:dyDescent="0.25">
      <c r="A59200"/>
      <c r="B59200"/>
      <c r="C59200"/>
      <c r="E59200"/>
      <c r="F59200"/>
    </row>
    <row r="59201" spans="1:6" x14ac:dyDescent="0.25">
      <c r="A59201"/>
      <c r="B59201"/>
      <c r="C59201"/>
      <c r="E59201"/>
      <c r="F59201"/>
    </row>
    <row r="59202" spans="1:6" x14ac:dyDescent="0.25">
      <c r="A59202"/>
      <c r="B59202"/>
      <c r="C59202"/>
      <c r="E59202"/>
      <c r="F59202"/>
    </row>
    <row r="59203" spans="1:6" x14ac:dyDescent="0.25">
      <c r="A59203"/>
      <c r="B59203"/>
      <c r="C59203"/>
      <c r="E59203"/>
      <c r="F59203"/>
    </row>
    <row r="59204" spans="1:6" x14ac:dyDescent="0.25">
      <c r="A59204"/>
      <c r="B59204"/>
      <c r="C59204"/>
      <c r="E59204"/>
      <c r="F59204"/>
    </row>
    <row r="59205" spans="1:6" x14ac:dyDescent="0.25">
      <c r="A59205"/>
      <c r="B59205"/>
      <c r="C59205"/>
      <c r="E59205"/>
      <c r="F59205"/>
    </row>
    <row r="59206" spans="1:6" x14ac:dyDescent="0.25">
      <c r="A59206"/>
      <c r="B59206"/>
      <c r="C59206"/>
      <c r="E59206"/>
      <c r="F59206"/>
    </row>
    <row r="59207" spans="1:6" x14ac:dyDescent="0.25">
      <c r="A59207"/>
      <c r="B59207"/>
      <c r="C59207"/>
      <c r="E59207"/>
      <c r="F59207"/>
    </row>
    <row r="59208" spans="1:6" x14ac:dyDescent="0.25">
      <c r="A59208"/>
      <c r="B59208"/>
      <c r="C59208"/>
      <c r="E59208"/>
      <c r="F59208"/>
    </row>
    <row r="59209" spans="1:6" x14ac:dyDescent="0.25">
      <c r="A59209"/>
      <c r="B59209"/>
      <c r="C59209"/>
      <c r="E59209"/>
      <c r="F59209"/>
    </row>
    <row r="59210" spans="1:6" x14ac:dyDescent="0.25">
      <c r="A59210"/>
      <c r="B59210"/>
      <c r="C59210"/>
      <c r="E59210"/>
      <c r="F59210"/>
    </row>
    <row r="59211" spans="1:6" x14ac:dyDescent="0.25">
      <c r="A59211"/>
      <c r="B59211"/>
      <c r="C59211"/>
      <c r="E59211"/>
      <c r="F59211"/>
    </row>
    <row r="59212" spans="1:6" x14ac:dyDescent="0.25">
      <c r="A59212"/>
      <c r="B59212"/>
      <c r="C59212"/>
      <c r="E59212"/>
      <c r="F59212"/>
    </row>
    <row r="59213" spans="1:6" x14ac:dyDescent="0.25">
      <c r="A59213"/>
      <c r="B59213"/>
      <c r="C59213"/>
      <c r="E59213"/>
      <c r="F59213"/>
    </row>
    <row r="59214" spans="1:6" x14ac:dyDescent="0.25">
      <c r="A59214"/>
      <c r="B59214"/>
      <c r="C59214"/>
      <c r="E59214"/>
      <c r="F59214"/>
    </row>
    <row r="59215" spans="1:6" x14ac:dyDescent="0.25">
      <c r="A59215"/>
      <c r="B59215"/>
      <c r="C59215"/>
      <c r="E59215"/>
      <c r="F59215"/>
    </row>
    <row r="59216" spans="1:6" x14ac:dyDescent="0.25">
      <c r="A59216"/>
      <c r="B59216"/>
      <c r="C59216"/>
      <c r="E59216"/>
      <c r="F59216"/>
    </row>
    <row r="59217" spans="1:6" x14ac:dyDescent="0.25">
      <c r="A59217"/>
      <c r="B59217"/>
      <c r="C59217"/>
      <c r="E59217"/>
      <c r="F59217"/>
    </row>
    <row r="59218" spans="1:6" x14ac:dyDescent="0.25">
      <c r="A59218"/>
      <c r="B59218"/>
      <c r="C59218"/>
      <c r="E59218"/>
      <c r="F59218"/>
    </row>
    <row r="59219" spans="1:6" x14ac:dyDescent="0.25">
      <c r="A59219"/>
      <c r="B59219"/>
      <c r="C59219"/>
      <c r="E59219"/>
      <c r="F59219"/>
    </row>
    <row r="59220" spans="1:6" x14ac:dyDescent="0.25">
      <c r="A59220"/>
      <c r="B59220"/>
      <c r="C59220"/>
      <c r="E59220"/>
      <c r="F59220"/>
    </row>
    <row r="59221" spans="1:6" x14ac:dyDescent="0.25">
      <c r="A59221"/>
      <c r="B59221"/>
      <c r="C59221"/>
      <c r="E59221"/>
      <c r="F59221"/>
    </row>
    <row r="59222" spans="1:6" x14ac:dyDescent="0.25">
      <c r="A59222"/>
      <c r="B59222"/>
      <c r="C59222"/>
      <c r="E59222"/>
      <c r="F59222"/>
    </row>
    <row r="59223" spans="1:6" x14ac:dyDescent="0.25">
      <c r="A59223"/>
      <c r="B59223"/>
      <c r="C59223"/>
      <c r="E59223"/>
      <c r="F59223"/>
    </row>
    <row r="59224" spans="1:6" x14ac:dyDescent="0.25">
      <c r="A59224"/>
      <c r="B59224"/>
      <c r="C59224"/>
      <c r="E59224"/>
      <c r="F59224"/>
    </row>
    <row r="59225" spans="1:6" x14ac:dyDescent="0.25">
      <c r="A59225"/>
      <c r="B59225"/>
      <c r="C59225"/>
      <c r="E59225"/>
      <c r="F59225"/>
    </row>
    <row r="59226" spans="1:6" x14ac:dyDescent="0.25">
      <c r="A59226"/>
      <c r="B59226"/>
      <c r="C59226"/>
      <c r="E59226"/>
      <c r="F59226"/>
    </row>
    <row r="59227" spans="1:6" x14ac:dyDescent="0.25">
      <c r="A59227"/>
      <c r="B59227"/>
      <c r="C59227"/>
      <c r="E59227"/>
      <c r="F59227"/>
    </row>
    <row r="59228" spans="1:6" x14ac:dyDescent="0.25">
      <c r="A59228"/>
      <c r="B59228"/>
      <c r="C59228"/>
      <c r="E59228"/>
      <c r="F59228"/>
    </row>
    <row r="59229" spans="1:6" x14ac:dyDescent="0.25">
      <c r="A59229"/>
      <c r="B59229"/>
      <c r="C59229"/>
      <c r="E59229"/>
      <c r="F59229"/>
    </row>
    <row r="59230" spans="1:6" x14ac:dyDescent="0.25">
      <c r="A59230"/>
      <c r="B59230"/>
      <c r="C59230"/>
      <c r="E59230"/>
      <c r="F59230"/>
    </row>
    <row r="59231" spans="1:6" x14ac:dyDescent="0.25">
      <c r="A59231"/>
      <c r="B59231"/>
      <c r="C59231"/>
      <c r="E59231"/>
      <c r="F59231"/>
    </row>
    <row r="59232" spans="1:6" x14ac:dyDescent="0.25">
      <c r="A59232"/>
      <c r="B59232"/>
      <c r="C59232"/>
      <c r="E59232"/>
      <c r="F59232"/>
    </row>
    <row r="59233" spans="1:6" x14ac:dyDescent="0.25">
      <c r="A59233"/>
      <c r="B59233"/>
      <c r="C59233"/>
      <c r="E59233"/>
      <c r="F59233"/>
    </row>
    <row r="59234" spans="1:6" x14ac:dyDescent="0.25">
      <c r="A59234"/>
      <c r="B59234"/>
      <c r="C59234"/>
      <c r="E59234"/>
      <c r="F59234"/>
    </row>
    <row r="59235" spans="1:6" x14ac:dyDescent="0.25">
      <c r="A59235"/>
      <c r="B59235"/>
      <c r="C59235"/>
      <c r="E59235"/>
      <c r="F59235"/>
    </row>
    <row r="59236" spans="1:6" x14ac:dyDescent="0.25">
      <c r="A59236"/>
      <c r="B59236"/>
      <c r="C59236"/>
      <c r="E59236"/>
      <c r="F59236"/>
    </row>
    <row r="59237" spans="1:6" x14ac:dyDescent="0.25">
      <c r="A59237"/>
      <c r="B59237"/>
      <c r="C59237"/>
      <c r="E59237"/>
      <c r="F59237"/>
    </row>
    <row r="59238" spans="1:6" x14ac:dyDescent="0.25">
      <c r="A59238"/>
      <c r="B59238"/>
      <c r="C59238"/>
      <c r="E59238"/>
      <c r="F59238"/>
    </row>
    <row r="59239" spans="1:6" x14ac:dyDescent="0.25">
      <c r="A59239"/>
      <c r="B59239"/>
      <c r="C59239"/>
      <c r="E59239"/>
      <c r="F59239"/>
    </row>
    <row r="59240" spans="1:6" x14ac:dyDescent="0.25">
      <c r="A59240"/>
      <c r="B59240"/>
      <c r="C59240"/>
      <c r="E59240"/>
      <c r="F59240"/>
    </row>
    <row r="59241" spans="1:6" x14ac:dyDescent="0.25">
      <c r="A59241"/>
      <c r="B59241"/>
      <c r="C59241"/>
      <c r="E59241"/>
      <c r="F59241"/>
    </row>
    <row r="59242" spans="1:6" x14ac:dyDescent="0.25">
      <c r="A59242"/>
      <c r="B59242"/>
      <c r="C59242"/>
      <c r="E59242"/>
      <c r="F59242"/>
    </row>
    <row r="59243" spans="1:6" x14ac:dyDescent="0.25">
      <c r="A59243"/>
      <c r="B59243"/>
      <c r="C59243"/>
      <c r="E59243"/>
      <c r="F59243"/>
    </row>
    <row r="59244" spans="1:6" x14ac:dyDescent="0.25">
      <c r="A59244"/>
      <c r="B59244"/>
      <c r="C59244"/>
      <c r="E59244"/>
      <c r="F59244"/>
    </row>
    <row r="59245" spans="1:6" x14ac:dyDescent="0.25">
      <c r="A59245"/>
      <c r="B59245"/>
      <c r="C59245"/>
      <c r="E59245"/>
      <c r="F59245"/>
    </row>
    <row r="59246" spans="1:6" x14ac:dyDescent="0.25">
      <c r="A59246"/>
      <c r="B59246"/>
      <c r="C59246"/>
      <c r="E59246"/>
      <c r="F59246"/>
    </row>
    <row r="59247" spans="1:6" x14ac:dyDescent="0.25">
      <c r="A59247"/>
      <c r="B59247"/>
      <c r="C59247"/>
      <c r="E59247"/>
      <c r="F59247"/>
    </row>
    <row r="59248" spans="1:6" x14ac:dyDescent="0.25">
      <c r="A59248"/>
      <c r="B59248"/>
      <c r="C59248"/>
      <c r="E59248"/>
      <c r="F59248"/>
    </row>
    <row r="59249" spans="1:6" x14ac:dyDescent="0.25">
      <c r="A59249"/>
      <c r="B59249"/>
      <c r="C59249"/>
      <c r="E59249"/>
      <c r="F59249"/>
    </row>
    <row r="59250" spans="1:6" x14ac:dyDescent="0.25">
      <c r="A59250"/>
      <c r="B59250"/>
      <c r="C59250"/>
      <c r="E59250"/>
      <c r="F59250"/>
    </row>
    <row r="59251" spans="1:6" x14ac:dyDescent="0.25">
      <c r="A59251"/>
      <c r="B59251"/>
      <c r="C59251"/>
      <c r="E59251"/>
      <c r="F59251"/>
    </row>
    <row r="59252" spans="1:6" x14ac:dyDescent="0.25">
      <c r="A59252"/>
      <c r="B59252"/>
      <c r="C59252"/>
      <c r="E59252"/>
      <c r="F59252"/>
    </row>
    <row r="59253" spans="1:6" x14ac:dyDescent="0.25">
      <c r="A59253"/>
      <c r="B59253"/>
      <c r="C59253"/>
      <c r="E59253"/>
      <c r="F59253"/>
    </row>
    <row r="59254" spans="1:6" x14ac:dyDescent="0.25">
      <c r="A59254"/>
      <c r="B59254"/>
      <c r="C59254"/>
      <c r="E59254"/>
      <c r="F59254"/>
    </row>
    <row r="59255" spans="1:6" x14ac:dyDescent="0.25">
      <c r="A59255"/>
      <c r="B59255"/>
      <c r="C59255"/>
      <c r="E59255"/>
      <c r="F59255"/>
    </row>
    <row r="59256" spans="1:6" x14ac:dyDescent="0.25">
      <c r="A59256"/>
      <c r="B59256"/>
      <c r="C59256"/>
      <c r="E59256"/>
      <c r="F59256"/>
    </row>
    <row r="59257" spans="1:6" x14ac:dyDescent="0.25">
      <c r="A59257"/>
      <c r="B59257"/>
      <c r="C59257"/>
      <c r="E59257"/>
      <c r="F59257"/>
    </row>
    <row r="59258" spans="1:6" x14ac:dyDescent="0.25">
      <c r="A59258"/>
      <c r="B59258"/>
      <c r="C59258"/>
      <c r="E59258"/>
      <c r="F59258"/>
    </row>
    <row r="59259" spans="1:6" x14ac:dyDescent="0.25">
      <c r="A59259"/>
      <c r="B59259"/>
      <c r="C59259"/>
      <c r="E59259"/>
      <c r="F59259"/>
    </row>
    <row r="59260" spans="1:6" x14ac:dyDescent="0.25">
      <c r="A59260"/>
      <c r="B59260"/>
      <c r="C59260"/>
      <c r="E59260"/>
      <c r="F59260"/>
    </row>
    <row r="59261" spans="1:6" x14ac:dyDescent="0.25">
      <c r="A59261"/>
      <c r="B59261"/>
      <c r="C59261"/>
      <c r="E59261"/>
      <c r="F59261"/>
    </row>
    <row r="59262" spans="1:6" x14ac:dyDescent="0.25">
      <c r="A59262"/>
      <c r="B59262"/>
      <c r="C59262"/>
      <c r="E59262"/>
      <c r="F59262"/>
    </row>
    <row r="59263" spans="1:6" x14ac:dyDescent="0.25">
      <c r="A59263"/>
      <c r="B59263"/>
      <c r="C59263"/>
      <c r="E59263"/>
      <c r="F59263"/>
    </row>
    <row r="59264" spans="1:6" x14ac:dyDescent="0.25">
      <c r="A59264"/>
      <c r="B59264"/>
      <c r="C59264"/>
      <c r="E59264"/>
      <c r="F59264"/>
    </row>
    <row r="59265" spans="1:6" x14ac:dyDescent="0.25">
      <c r="A59265"/>
      <c r="B59265"/>
      <c r="C59265"/>
      <c r="E59265"/>
      <c r="F59265"/>
    </row>
    <row r="59266" spans="1:6" x14ac:dyDescent="0.25">
      <c r="A59266"/>
      <c r="B59266"/>
      <c r="C59266"/>
      <c r="E59266"/>
      <c r="F59266"/>
    </row>
    <row r="59267" spans="1:6" x14ac:dyDescent="0.25">
      <c r="A59267"/>
      <c r="B59267"/>
      <c r="C59267"/>
      <c r="E59267"/>
      <c r="F59267"/>
    </row>
    <row r="59268" spans="1:6" x14ac:dyDescent="0.25">
      <c r="A59268"/>
      <c r="B59268"/>
      <c r="C59268"/>
      <c r="E59268"/>
      <c r="F59268"/>
    </row>
    <row r="59269" spans="1:6" x14ac:dyDescent="0.25">
      <c r="A59269"/>
      <c r="B59269"/>
      <c r="C59269"/>
      <c r="E59269"/>
      <c r="F59269"/>
    </row>
    <row r="59270" spans="1:6" x14ac:dyDescent="0.25">
      <c r="A59270"/>
      <c r="B59270"/>
      <c r="C59270"/>
      <c r="E59270"/>
      <c r="F59270"/>
    </row>
    <row r="59271" spans="1:6" x14ac:dyDescent="0.25">
      <c r="A59271"/>
      <c r="B59271"/>
      <c r="C59271"/>
      <c r="E59271"/>
      <c r="F59271"/>
    </row>
    <row r="59272" spans="1:6" x14ac:dyDescent="0.25">
      <c r="A59272"/>
      <c r="B59272"/>
      <c r="C59272"/>
      <c r="E59272"/>
      <c r="F59272"/>
    </row>
    <row r="59273" spans="1:6" x14ac:dyDescent="0.25">
      <c r="A59273"/>
      <c r="B59273"/>
      <c r="C59273"/>
      <c r="E59273"/>
      <c r="F59273"/>
    </row>
    <row r="59274" spans="1:6" x14ac:dyDescent="0.25">
      <c r="A59274"/>
      <c r="B59274"/>
      <c r="C59274"/>
      <c r="E59274"/>
      <c r="F59274"/>
    </row>
    <row r="59275" spans="1:6" x14ac:dyDescent="0.25">
      <c r="A59275"/>
      <c r="B59275"/>
      <c r="C59275"/>
      <c r="E59275"/>
      <c r="F59275"/>
    </row>
    <row r="59276" spans="1:6" x14ac:dyDescent="0.25">
      <c r="A59276"/>
      <c r="B59276"/>
      <c r="C59276"/>
      <c r="E59276"/>
      <c r="F59276"/>
    </row>
    <row r="59277" spans="1:6" x14ac:dyDescent="0.25">
      <c r="A59277"/>
      <c r="B59277"/>
      <c r="C59277"/>
      <c r="E59277"/>
      <c r="F59277"/>
    </row>
    <row r="59278" spans="1:6" x14ac:dyDescent="0.25">
      <c r="A59278"/>
      <c r="B59278"/>
      <c r="C59278"/>
      <c r="E59278"/>
      <c r="F59278"/>
    </row>
    <row r="59279" spans="1:6" x14ac:dyDescent="0.25">
      <c r="A59279"/>
      <c r="B59279"/>
      <c r="C59279"/>
      <c r="E59279"/>
      <c r="F59279"/>
    </row>
    <row r="59280" spans="1:6" x14ac:dyDescent="0.25">
      <c r="A59280"/>
      <c r="B59280"/>
      <c r="C59280"/>
      <c r="E59280"/>
      <c r="F59280"/>
    </row>
    <row r="59281" spans="1:6" x14ac:dyDescent="0.25">
      <c r="A59281"/>
      <c r="B59281"/>
      <c r="C59281"/>
      <c r="E59281"/>
      <c r="F59281"/>
    </row>
    <row r="59282" spans="1:6" x14ac:dyDescent="0.25">
      <c r="A59282"/>
      <c r="B59282"/>
      <c r="C59282"/>
      <c r="E59282"/>
      <c r="F59282"/>
    </row>
    <row r="59283" spans="1:6" x14ac:dyDescent="0.25">
      <c r="A59283"/>
      <c r="B59283"/>
      <c r="C59283"/>
      <c r="E59283"/>
      <c r="F59283"/>
    </row>
    <row r="59284" spans="1:6" x14ac:dyDescent="0.25">
      <c r="A59284"/>
      <c r="B59284"/>
      <c r="C59284"/>
      <c r="E59284"/>
      <c r="F59284"/>
    </row>
    <row r="59285" spans="1:6" x14ac:dyDescent="0.25">
      <c r="A59285"/>
      <c r="B59285"/>
      <c r="C59285"/>
      <c r="E59285"/>
      <c r="F59285"/>
    </row>
    <row r="59286" spans="1:6" x14ac:dyDescent="0.25">
      <c r="A59286"/>
      <c r="B59286"/>
      <c r="C59286"/>
      <c r="E59286"/>
      <c r="F59286"/>
    </row>
    <row r="59287" spans="1:6" x14ac:dyDescent="0.25">
      <c r="A59287"/>
      <c r="B59287"/>
      <c r="C59287"/>
      <c r="E59287"/>
      <c r="F59287"/>
    </row>
    <row r="59288" spans="1:6" x14ac:dyDescent="0.25">
      <c r="A59288"/>
      <c r="B59288"/>
      <c r="C59288"/>
      <c r="E59288"/>
      <c r="F59288"/>
    </row>
    <row r="59289" spans="1:6" x14ac:dyDescent="0.25">
      <c r="A59289"/>
      <c r="B59289"/>
      <c r="C59289"/>
      <c r="E59289"/>
      <c r="F59289"/>
    </row>
    <row r="59290" spans="1:6" x14ac:dyDescent="0.25">
      <c r="A59290"/>
      <c r="B59290"/>
      <c r="C59290"/>
      <c r="E59290"/>
      <c r="F59290"/>
    </row>
    <row r="59291" spans="1:6" x14ac:dyDescent="0.25">
      <c r="A59291"/>
      <c r="B59291"/>
      <c r="C59291"/>
      <c r="E59291"/>
      <c r="F59291"/>
    </row>
    <row r="59292" spans="1:6" x14ac:dyDescent="0.25">
      <c r="A59292"/>
      <c r="B59292"/>
      <c r="C59292"/>
      <c r="E59292"/>
      <c r="F59292"/>
    </row>
    <row r="59293" spans="1:6" x14ac:dyDescent="0.25">
      <c r="A59293"/>
      <c r="B59293"/>
      <c r="C59293"/>
      <c r="E59293"/>
      <c r="F59293"/>
    </row>
    <row r="59294" spans="1:6" x14ac:dyDescent="0.25">
      <c r="A59294"/>
      <c r="B59294"/>
      <c r="C59294"/>
      <c r="E59294"/>
      <c r="F59294"/>
    </row>
    <row r="59295" spans="1:6" x14ac:dyDescent="0.25">
      <c r="A59295"/>
      <c r="B59295"/>
      <c r="C59295"/>
      <c r="E59295"/>
      <c r="F59295"/>
    </row>
    <row r="59296" spans="1:6" x14ac:dyDescent="0.25">
      <c r="A59296"/>
      <c r="B59296"/>
      <c r="C59296"/>
      <c r="E59296"/>
      <c r="F59296"/>
    </row>
    <row r="59297" spans="1:6" x14ac:dyDescent="0.25">
      <c r="A59297"/>
      <c r="B59297"/>
      <c r="C59297"/>
      <c r="E59297"/>
      <c r="F59297"/>
    </row>
    <row r="59298" spans="1:6" x14ac:dyDescent="0.25">
      <c r="A59298"/>
      <c r="B59298"/>
      <c r="C59298"/>
      <c r="E59298"/>
      <c r="F59298"/>
    </row>
    <row r="59299" spans="1:6" x14ac:dyDescent="0.25">
      <c r="A59299"/>
      <c r="B59299"/>
      <c r="C59299"/>
      <c r="E59299"/>
      <c r="F59299"/>
    </row>
    <row r="59300" spans="1:6" x14ac:dyDescent="0.25">
      <c r="A59300"/>
      <c r="B59300"/>
      <c r="C59300"/>
      <c r="E59300"/>
      <c r="F59300"/>
    </row>
    <row r="59301" spans="1:6" x14ac:dyDescent="0.25">
      <c r="A59301"/>
      <c r="B59301"/>
      <c r="C59301"/>
      <c r="E59301"/>
      <c r="F59301"/>
    </row>
    <row r="59302" spans="1:6" x14ac:dyDescent="0.25">
      <c r="A59302"/>
      <c r="B59302"/>
      <c r="C59302"/>
      <c r="E59302"/>
      <c r="F59302"/>
    </row>
    <row r="59303" spans="1:6" x14ac:dyDescent="0.25">
      <c r="A59303"/>
      <c r="B59303"/>
      <c r="C59303"/>
      <c r="E59303"/>
      <c r="F59303"/>
    </row>
    <row r="59304" spans="1:6" x14ac:dyDescent="0.25">
      <c r="A59304"/>
      <c r="B59304"/>
      <c r="C59304"/>
      <c r="E59304"/>
      <c r="F59304"/>
    </row>
    <row r="59305" spans="1:6" x14ac:dyDescent="0.25">
      <c r="A59305"/>
      <c r="B59305"/>
      <c r="C59305"/>
      <c r="E59305"/>
      <c r="F59305"/>
    </row>
    <row r="59306" spans="1:6" x14ac:dyDescent="0.25">
      <c r="A59306"/>
      <c r="B59306"/>
      <c r="C59306"/>
      <c r="E59306"/>
      <c r="F59306"/>
    </row>
    <row r="59307" spans="1:6" x14ac:dyDescent="0.25">
      <c r="A59307"/>
      <c r="B59307"/>
      <c r="C59307"/>
      <c r="E59307"/>
      <c r="F59307"/>
    </row>
    <row r="59308" spans="1:6" x14ac:dyDescent="0.25">
      <c r="A59308"/>
      <c r="B59308"/>
      <c r="C59308"/>
      <c r="E59308"/>
      <c r="F59308"/>
    </row>
    <row r="59309" spans="1:6" x14ac:dyDescent="0.25">
      <c r="A59309"/>
      <c r="B59309"/>
      <c r="C59309"/>
      <c r="E59309"/>
      <c r="F59309"/>
    </row>
    <row r="59310" spans="1:6" x14ac:dyDescent="0.25">
      <c r="A59310"/>
      <c r="B59310"/>
      <c r="C59310"/>
      <c r="E59310"/>
      <c r="F59310"/>
    </row>
    <row r="59311" spans="1:6" x14ac:dyDescent="0.25">
      <c r="A59311"/>
      <c r="B59311"/>
      <c r="C59311"/>
      <c r="E59311"/>
      <c r="F59311"/>
    </row>
    <row r="59312" spans="1:6" x14ac:dyDescent="0.25">
      <c r="A59312"/>
      <c r="B59312"/>
      <c r="C59312"/>
      <c r="E59312"/>
      <c r="F59312"/>
    </row>
    <row r="59313" spans="1:6" x14ac:dyDescent="0.25">
      <c r="A59313"/>
      <c r="B59313"/>
      <c r="C59313"/>
      <c r="E59313"/>
      <c r="F59313"/>
    </row>
    <row r="59314" spans="1:6" x14ac:dyDescent="0.25">
      <c r="A59314"/>
      <c r="B59314"/>
      <c r="C59314"/>
      <c r="E59314"/>
      <c r="F59314"/>
    </row>
    <row r="59315" spans="1:6" x14ac:dyDescent="0.25">
      <c r="A59315"/>
      <c r="B59315"/>
      <c r="C59315"/>
      <c r="E59315"/>
      <c r="F59315"/>
    </row>
    <row r="59316" spans="1:6" x14ac:dyDescent="0.25">
      <c r="A59316"/>
      <c r="B59316"/>
      <c r="C59316"/>
      <c r="E59316"/>
      <c r="F59316"/>
    </row>
    <row r="59317" spans="1:6" x14ac:dyDescent="0.25">
      <c r="A59317"/>
      <c r="B59317"/>
      <c r="C59317"/>
      <c r="E59317"/>
      <c r="F59317"/>
    </row>
    <row r="59318" spans="1:6" x14ac:dyDescent="0.25">
      <c r="A59318"/>
      <c r="B59318"/>
      <c r="C59318"/>
      <c r="E59318"/>
      <c r="F59318"/>
    </row>
    <row r="59319" spans="1:6" x14ac:dyDescent="0.25">
      <c r="A59319"/>
      <c r="B59319"/>
      <c r="C59319"/>
      <c r="E59319"/>
      <c r="F59319"/>
    </row>
    <row r="59320" spans="1:6" x14ac:dyDescent="0.25">
      <c r="A59320"/>
      <c r="B59320"/>
      <c r="C59320"/>
      <c r="E59320"/>
      <c r="F59320"/>
    </row>
    <row r="59321" spans="1:6" x14ac:dyDescent="0.25">
      <c r="A59321"/>
      <c r="B59321"/>
      <c r="C59321"/>
      <c r="E59321"/>
      <c r="F59321"/>
    </row>
    <row r="59322" spans="1:6" x14ac:dyDescent="0.25">
      <c r="A59322"/>
      <c r="B59322"/>
      <c r="C59322"/>
      <c r="E59322"/>
      <c r="F59322"/>
    </row>
    <row r="59323" spans="1:6" x14ac:dyDescent="0.25">
      <c r="A59323"/>
      <c r="B59323"/>
      <c r="C59323"/>
      <c r="E59323"/>
      <c r="F59323"/>
    </row>
    <row r="59324" spans="1:6" x14ac:dyDescent="0.25">
      <c r="A59324"/>
      <c r="B59324"/>
      <c r="C59324"/>
      <c r="E59324"/>
      <c r="F59324"/>
    </row>
    <row r="59325" spans="1:6" x14ac:dyDescent="0.25">
      <c r="A59325"/>
      <c r="B59325"/>
      <c r="C59325"/>
      <c r="E59325"/>
      <c r="F59325"/>
    </row>
    <row r="59326" spans="1:6" x14ac:dyDescent="0.25">
      <c r="A59326"/>
      <c r="B59326"/>
      <c r="C59326"/>
      <c r="E59326"/>
      <c r="F59326"/>
    </row>
    <row r="59327" spans="1:6" x14ac:dyDescent="0.25">
      <c r="A59327"/>
      <c r="B59327"/>
      <c r="C59327"/>
      <c r="E59327"/>
      <c r="F59327"/>
    </row>
    <row r="59328" spans="1:6" x14ac:dyDescent="0.25">
      <c r="A59328"/>
      <c r="B59328"/>
      <c r="C59328"/>
      <c r="E59328"/>
      <c r="F59328"/>
    </row>
    <row r="59329" spans="1:6" x14ac:dyDescent="0.25">
      <c r="A59329"/>
      <c r="B59329"/>
      <c r="C59329"/>
      <c r="E59329"/>
      <c r="F59329"/>
    </row>
    <row r="59330" spans="1:6" x14ac:dyDescent="0.25">
      <c r="A59330"/>
      <c r="B59330"/>
      <c r="C59330"/>
      <c r="E59330"/>
      <c r="F59330"/>
    </row>
    <row r="59331" spans="1:6" x14ac:dyDescent="0.25">
      <c r="A59331"/>
      <c r="B59331"/>
      <c r="C59331"/>
      <c r="E59331"/>
      <c r="F59331"/>
    </row>
    <row r="59332" spans="1:6" x14ac:dyDescent="0.25">
      <c r="A59332"/>
      <c r="B59332"/>
      <c r="C59332"/>
      <c r="E59332"/>
      <c r="F59332"/>
    </row>
    <row r="59333" spans="1:6" x14ac:dyDescent="0.25">
      <c r="A59333"/>
      <c r="B59333"/>
      <c r="C59333"/>
      <c r="E59333"/>
      <c r="F59333"/>
    </row>
    <row r="59334" spans="1:6" x14ac:dyDescent="0.25">
      <c r="A59334"/>
      <c r="B59334"/>
      <c r="C59334"/>
      <c r="E59334"/>
      <c r="F59334"/>
    </row>
    <row r="59335" spans="1:6" x14ac:dyDescent="0.25">
      <c r="A59335"/>
      <c r="B59335"/>
      <c r="C59335"/>
      <c r="E59335"/>
      <c r="F59335"/>
    </row>
    <row r="59336" spans="1:6" x14ac:dyDescent="0.25">
      <c r="A59336"/>
      <c r="B59336"/>
      <c r="C59336"/>
      <c r="E59336"/>
      <c r="F59336"/>
    </row>
    <row r="59337" spans="1:6" x14ac:dyDescent="0.25">
      <c r="A59337"/>
      <c r="B59337"/>
      <c r="C59337"/>
      <c r="E59337"/>
      <c r="F59337"/>
    </row>
    <row r="59338" spans="1:6" x14ac:dyDescent="0.25">
      <c r="A59338"/>
      <c r="B59338"/>
      <c r="C59338"/>
      <c r="E59338"/>
      <c r="F59338"/>
    </row>
    <row r="59339" spans="1:6" x14ac:dyDescent="0.25">
      <c r="A59339"/>
      <c r="B59339"/>
      <c r="C59339"/>
      <c r="E59339"/>
      <c r="F59339"/>
    </row>
    <row r="59340" spans="1:6" x14ac:dyDescent="0.25">
      <c r="A59340"/>
      <c r="B59340"/>
      <c r="C59340"/>
      <c r="E59340"/>
      <c r="F59340"/>
    </row>
    <row r="59341" spans="1:6" x14ac:dyDescent="0.25">
      <c r="A59341"/>
      <c r="B59341"/>
      <c r="C59341"/>
      <c r="E59341"/>
      <c r="F59341"/>
    </row>
    <row r="59342" spans="1:6" x14ac:dyDescent="0.25">
      <c r="A59342"/>
      <c r="B59342"/>
      <c r="C59342"/>
      <c r="E59342"/>
      <c r="F59342"/>
    </row>
    <row r="59343" spans="1:6" x14ac:dyDescent="0.25">
      <c r="A59343"/>
      <c r="B59343"/>
      <c r="C59343"/>
      <c r="E59343"/>
      <c r="F59343"/>
    </row>
    <row r="59344" spans="1:6" x14ac:dyDescent="0.25">
      <c r="A59344"/>
      <c r="B59344"/>
      <c r="C59344"/>
      <c r="E59344"/>
      <c r="F59344"/>
    </row>
    <row r="59345" spans="1:6" x14ac:dyDescent="0.25">
      <c r="A59345"/>
      <c r="B59345"/>
      <c r="C59345"/>
      <c r="E59345"/>
      <c r="F59345"/>
    </row>
    <row r="59346" spans="1:6" x14ac:dyDescent="0.25">
      <c r="A59346"/>
      <c r="B59346"/>
      <c r="C59346"/>
      <c r="E59346"/>
      <c r="F59346"/>
    </row>
    <row r="59347" spans="1:6" x14ac:dyDescent="0.25">
      <c r="A59347"/>
      <c r="B59347"/>
      <c r="C59347"/>
      <c r="E59347"/>
      <c r="F59347"/>
    </row>
    <row r="59348" spans="1:6" x14ac:dyDescent="0.25">
      <c r="A59348"/>
      <c r="B59348"/>
      <c r="C59348"/>
      <c r="E59348"/>
      <c r="F59348"/>
    </row>
    <row r="59349" spans="1:6" x14ac:dyDescent="0.25">
      <c r="A59349"/>
      <c r="B59349"/>
      <c r="C59349"/>
      <c r="E59349"/>
      <c r="F59349"/>
    </row>
    <row r="59350" spans="1:6" x14ac:dyDescent="0.25">
      <c r="A59350"/>
      <c r="B59350"/>
      <c r="C59350"/>
      <c r="E59350"/>
      <c r="F59350"/>
    </row>
    <row r="59351" spans="1:6" x14ac:dyDescent="0.25">
      <c r="A59351"/>
      <c r="B59351"/>
      <c r="C59351"/>
      <c r="E59351"/>
      <c r="F59351"/>
    </row>
    <row r="59352" spans="1:6" x14ac:dyDescent="0.25">
      <c r="A59352"/>
      <c r="B59352"/>
      <c r="C59352"/>
      <c r="E59352"/>
      <c r="F59352"/>
    </row>
    <row r="59353" spans="1:6" x14ac:dyDescent="0.25">
      <c r="A59353"/>
      <c r="B59353"/>
      <c r="C59353"/>
      <c r="E59353"/>
      <c r="F59353"/>
    </row>
    <row r="59354" spans="1:6" x14ac:dyDescent="0.25">
      <c r="A59354"/>
      <c r="B59354"/>
      <c r="C59354"/>
      <c r="E59354"/>
      <c r="F59354"/>
    </row>
    <row r="59355" spans="1:6" x14ac:dyDescent="0.25">
      <c r="A59355"/>
      <c r="B59355"/>
      <c r="C59355"/>
      <c r="E59355"/>
      <c r="F59355"/>
    </row>
    <row r="59356" spans="1:6" x14ac:dyDescent="0.25">
      <c r="A59356"/>
      <c r="B59356"/>
      <c r="C59356"/>
      <c r="E59356"/>
      <c r="F59356"/>
    </row>
    <row r="59357" spans="1:6" x14ac:dyDescent="0.25">
      <c r="A59357"/>
      <c r="B59357"/>
      <c r="C59357"/>
      <c r="E59357"/>
      <c r="F59357"/>
    </row>
    <row r="59358" spans="1:6" x14ac:dyDescent="0.25">
      <c r="A59358"/>
      <c r="B59358"/>
      <c r="C59358"/>
      <c r="E59358"/>
      <c r="F59358"/>
    </row>
    <row r="59359" spans="1:6" x14ac:dyDescent="0.25">
      <c r="A59359"/>
      <c r="B59359"/>
      <c r="C59359"/>
      <c r="E59359"/>
      <c r="F59359"/>
    </row>
    <row r="59360" spans="1:6" x14ac:dyDescent="0.25">
      <c r="A59360"/>
      <c r="B59360"/>
      <c r="C59360"/>
      <c r="E59360"/>
      <c r="F59360"/>
    </row>
    <row r="59361" spans="1:6" x14ac:dyDescent="0.25">
      <c r="A59361"/>
      <c r="B59361"/>
      <c r="C59361"/>
      <c r="E59361"/>
      <c r="F59361"/>
    </row>
    <row r="59362" spans="1:6" x14ac:dyDescent="0.25">
      <c r="A59362"/>
      <c r="B59362"/>
      <c r="C59362"/>
      <c r="E59362"/>
      <c r="F59362"/>
    </row>
    <row r="59363" spans="1:6" x14ac:dyDescent="0.25">
      <c r="A59363"/>
      <c r="B59363"/>
      <c r="C59363"/>
      <c r="E59363"/>
      <c r="F59363"/>
    </row>
    <row r="59364" spans="1:6" x14ac:dyDescent="0.25">
      <c r="A59364"/>
      <c r="B59364"/>
      <c r="C59364"/>
      <c r="E59364"/>
      <c r="F59364"/>
    </row>
    <row r="59365" spans="1:6" x14ac:dyDescent="0.25">
      <c r="A59365"/>
      <c r="B59365"/>
      <c r="C59365"/>
      <c r="E59365"/>
      <c r="F59365"/>
    </row>
    <row r="59366" spans="1:6" x14ac:dyDescent="0.25">
      <c r="A59366"/>
      <c r="B59366"/>
      <c r="C59366"/>
      <c r="E59366"/>
      <c r="F59366"/>
    </row>
    <row r="59367" spans="1:6" x14ac:dyDescent="0.25">
      <c r="A59367"/>
      <c r="B59367"/>
      <c r="C59367"/>
      <c r="E59367"/>
      <c r="F59367"/>
    </row>
    <row r="59368" spans="1:6" x14ac:dyDescent="0.25">
      <c r="A59368"/>
      <c r="B59368"/>
      <c r="C59368"/>
      <c r="E59368"/>
      <c r="F59368"/>
    </row>
    <row r="59369" spans="1:6" x14ac:dyDescent="0.25">
      <c r="A59369"/>
      <c r="B59369"/>
      <c r="C59369"/>
      <c r="E59369"/>
      <c r="F59369"/>
    </row>
    <row r="59370" spans="1:6" x14ac:dyDescent="0.25">
      <c r="A59370"/>
      <c r="B59370"/>
      <c r="C59370"/>
      <c r="E59370"/>
      <c r="F59370"/>
    </row>
    <row r="59371" spans="1:6" x14ac:dyDescent="0.25">
      <c r="A59371"/>
      <c r="B59371"/>
      <c r="C59371"/>
      <c r="E59371"/>
      <c r="F59371"/>
    </row>
    <row r="59372" spans="1:6" x14ac:dyDescent="0.25">
      <c r="A59372"/>
      <c r="B59372"/>
      <c r="C59372"/>
      <c r="E59372"/>
      <c r="F59372"/>
    </row>
    <row r="59373" spans="1:6" x14ac:dyDescent="0.25">
      <c r="A59373"/>
      <c r="B59373"/>
      <c r="C59373"/>
      <c r="E59373"/>
      <c r="F59373"/>
    </row>
    <row r="59374" spans="1:6" x14ac:dyDescent="0.25">
      <c r="A59374"/>
      <c r="B59374"/>
      <c r="C59374"/>
      <c r="E59374"/>
      <c r="F59374"/>
    </row>
    <row r="59375" spans="1:6" x14ac:dyDescent="0.25">
      <c r="A59375"/>
      <c r="B59375"/>
      <c r="C59375"/>
      <c r="E59375"/>
      <c r="F59375"/>
    </row>
    <row r="59376" spans="1:6" x14ac:dyDescent="0.25">
      <c r="A59376"/>
      <c r="B59376"/>
      <c r="C59376"/>
      <c r="E59376"/>
      <c r="F59376"/>
    </row>
    <row r="59377" spans="1:6" x14ac:dyDescent="0.25">
      <c r="A59377"/>
      <c r="B59377"/>
      <c r="C59377"/>
      <c r="E59377"/>
      <c r="F59377"/>
    </row>
    <row r="59378" spans="1:6" x14ac:dyDescent="0.25">
      <c r="A59378"/>
      <c r="B59378"/>
      <c r="C59378"/>
      <c r="E59378"/>
      <c r="F59378"/>
    </row>
    <row r="59379" spans="1:6" x14ac:dyDescent="0.25">
      <c r="A59379"/>
      <c r="B59379"/>
      <c r="C59379"/>
      <c r="E59379"/>
      <c r="F59379"/>
    </row>
    <row r="59380" spans="1:6" x14ac:dyDescent="0.25">
      <c r="A59380"/>
      <c r="B59380"/>
      <c r="C59380"/>
      <c r="E59380"/>
      <c r="F59380"/>
    </row>
    <row r="59381" spans="1:6" x14ac:dyDescent="0.25">
      <c r="A59381"/>
      <c r="B59381"/>
      <c r="C59381"/>
      <c r="E59381"/>
      <c r="F59381"/>
    </row>
    <row r="59382" spans="1:6" x14ac:dyDescent="0.25">
      <c r="A59382"/>
      <c r="B59382"/>
      <c r="C59382"/>
      <c r="E59382"/>
      <c r="F59382"/>
    </row>
    <row r="59383" spans="1:6" x14ac:dyDescent="0.25">
      <c r="A59383"/>
      <c r="B59383"/>
      <c r="C59383"/>
      <c r="E59383"/>
      <c r="F59383"/>
    </row>
    <row r="59384" spans="1:6" x14ac:dyDescent="0.25">
      <c r="A59384"/>
      <c r="B59384"/>
      <c r="C59384"/>
      <c r="E59384"/>
      <c r="F59384"/>
    </row>
    <row r="59385" spans="1:6" x14ac:dyDescent="0.25">
      <c r="A59385"/>
      <c r="B59385"/>
      <c r="C59385"/>
      <c r="E59385"/>
      <c r="F59385"/>
    </row>
    <row r="59386" spans="1:6" x14ac:dyDescent="0.25">
      <c r="A59386"/>
      <c r="B59386"/>
      <c r="C59386"/>
      <c r="E59386"/>
      <c r="F59386"/>
    </row>
    <row r="59387" spans="1:6" x14ac:dyDescent="0.25">
      <c r="A59387"/>
      <c r="B59387"/>
      <c r="C59387"/>
      <c r="E59387"/>
      <c r="F59387"/>
    </row>
    <row r="59388" spans="1:6" x14ac:dyDescent="0.25">
      <c r="A59388"/>
      <c r="B59388"/>
      <c r="C59388"/>
      <c r="E59388"/>
      <c r="F59388"/>
    </row>
    <row r="59389" spans="1:6" x14ac:dyDescent="0.25">
      <c r="A59389"/>
      <c r="B59389"/>
      <c r="C59389"/>
      <c r="E59389"/>
      <c r="F59389"/>
    </row>
    <row r="59390" spans="1:6" x14ac:dyDescent="0.25">
      <c r="A59390"/>
      <c r="B59390"/>
      <c r="C59390"/>
      <c r="E59390"/>
      <c r="F59390"/>
    </row>
    <row r="59391" spans="1:6" x14ac:dyDescent="0.25">
      <c r="A59391"/>
      <c r="B59391"/>
      <c r="C59391"/>
      <c r="E59391"/>
      <c r="F59391"/>
    </row>
    <row r="59392" spans="1:6" x14ac:dyDescent="0.25">
      <c r="A59392"/>
      <c r="B59392"/>
      <c r="C59392"/>
      <c r="E59392"/>
      <c r="F59392"/>
    </row>
    <row r="59393" spans="1:6" x14ac:dyDescent="0.25">
      <c r="A59393"/>
      <c r="B59393"/>
      <c r="C59393"/>
      <c r="E59393"/>
      <c r="F59393"/>
    </row>
    <row r="59394" spans="1:6" x14ac:dyDescent="0.25">
      <c r="A59394"/>
      <c r="B59394"/>
      <c r="C59394"/>
      <c r="E59394"/>
      <c r="F59394"/>
    </row>
    <row r="59395" spans="1:6" x14ac:dyDescent="0.25">
      <c r="A59395"/>
      <c r="B59395"/>
      <c r="C59395"/>
      <c r="E59395"/>
      <c r="F59395"/>
    </row>
    <row r="59396" spans="1:6" x14ac:dyDescent="0.25">
      <c r="A59396"/>
      <c r="B59396"/>
      <c r="C59396"/>
      <c r="E59396"/>
      <c r="F59396"/>
    </row>
    <row r="59397" spans="1:6" x14ac:dyDescent="0.25">
      <c r="A59397"/>
      <c r="B59397"/>
      <c r="C59397"/>
      <c r="E59397"/>
      <c r="F59397"/>
    </row>
    <row r="59398" spans="1:6" x14ac:dyDescent="0.25">
      <c r="A59398"/>
      <c r="B59398"/>
      <c r="C59398"/>
      <c r="E59398"/>
      <c r="F59398"/>
    </row>
    <row r="59399" spans="1:6" x14ac:dyDescent="0.25">
      <c r="A59399"/>
      <c r="B59399"/>
      <c r="C59399"/>
      <c r="E59399"/>
      <c r="F59399"/>
    </row>
    <row r="59400" spans="1:6" x14ac:dyDescent="0.25">
      <c r="A59400"/>
      <c r="B59400"/>
      <c r="C59400"/>
      <c r="E59400"/>
      <c r="F59400"/>
    </row>
    <row r="59401" spans="1:6" x14ac:dyDescent="0.25">
      <c r="A59401"/>
      <c r="B59401"/>
      <c r="C59401"/>
      <c r="E59401"/>
      <c r="F59401"/>
    </row>
    <row r="59402" spans="1:6" x14ac:dyDescent="0.25">
      <c r="A59402"/>
      <c r="B59402"/>
      <c r="C59402"/>
      <c r="E59402"/>
      <c r="F59402"/>
    </row>
    <row r="59403" spans="1:6" x14ac:dyDescent="0.25">
      <c r="A59403"/>
      <c r="B59403"/>
      <c r="C59403"/>
      <c r="E59403"/>
      <c r="F59403"/>
    </row>
    <row r="59404" spans="1:6" x14ac:dyDescent="0.25">
      <c r="A59404"/>
      <c r="B59404"/>
      <c r="C59404"/>
      <c r="E59404"/>
      <c r="F59404"/>
    </row>
    <row r="59405" spans="1:6" x14ac:dyDescent="0.25">
      <c r="A59405"/>
      <c r="B59405"/>
      <c r="C59405"/>
      <c r="E59405"/>
      <c r="F59405"/>
    </row>
    <row r="59406" spans="1:6" x14ac:dyDescent="0.25">
      <c r="A59406"/>
      <c r="B59406"/>
      <c r="C59406"/>
      <c r="E59406"/>
      <c r="F59406"/>
    </row>
    <row r="59407" spans="1:6" x14ac:dyDescent="0.25">
      <c r="A59407"/>
      <c r="B59407"/>
      <c r="C59407"/>
      <c r="E59407"/>
      <c r="F59407"/>
    </row>
    <row r="59408" spans="1:6" x14ac:dyDescent="0.25">
      <c r="A59408"/>
      <c r="B59408"/>
      <c r="C59408"/>
      <c r="E59408"/>
      <c r="F59408"/>
    </row>
    <row r="59409" spans="1:6" x14ac:dyDescent="0.25">
      <c r="A59409"/>
      <c r="B59409"/>
      <c r="C59409"/>
      <c r="E59409"/>
      <c r="F59409"/>
    </row>
    <row r="59410" spans="1:6" x14ac:dyDescent="0.25">
      <c r="A59410"/>
      <c r="B59410"/>
      <c r="C59410"/>
      <c r="E59410"/>
      <c r="F59410"/>
    </row>
    <row r="59411" spans="1:6" x14ac:dyDescent="0.25">
      <c r="A59411"/>
      <c r="B59411"/>
      <c r="C59411"/>
      <c r="E59411"/>
      <c r="F59411"/>
    </row>
    <row r="59412" spans="1:6" x14ac:dyDescent="0.25">
      <c r="A59412"/>
      <c r="B59412"/>
      <c r="C59412"/>
      <c r="E59412"/>
      <c r="F59412"/>
    </row>
    <row r="59413" spans="1:6" x14ac:dyDescent="0.25">
      <c r="A59413"/>
      <c r="B59413"/>
      <c r="C59413"/>
      <c r="E59413"/>
      <c r="F59413"/>
    </row>
    <row r="59414" spans="1:6" x14ac:dyDescent="0.25">
      <c r="A59414"/>
      <c r="B59414"/>
      <c r="C59414"/>
      <c r="E59414"/>
      <c r="F59414"/>
    </row>
    <row r="59415" spans="1:6" x14ac:dyDescent="0.25">
      <c r="A59415"/>
      <c r="B59415"/>
      <c r="C59415"/>
      <c r="E59415"/>
      <c r="F59415"/>
    </row>
    <row r="59416" spans="1:6" x14ac:dyDescent="0.25">
      <c r="A59416"/>
      <c r="B59416"/>
      <c r="C59416"/>
      <c r="E59416"/>
      <c r="F59416"/>
    </row>
    <row r="59417" spans="1:6" x14ac:dyDescent="0.25">
      <c r="A59417"/>
      <c r="B59417"/>
      <c r="C59417"/>
      <c r="E59417"/>
      <c r="F59417"/>
    </row>
    <row r="59418" spans="1:6" x14ac:dyDescent="0.25">
      <c r="A59418"/>
      <c r="B59418"/>
      <c r="C59418"/>
      <c r="E59418"/>
      <c r="F59418"/>
    </row>
    <row r="59419" spans="1:6" x14ac:dyDescent="0.25">
      <c r="A59419"/>
      <c r="B59419"/>
      <c r="C59419"/>
      <c r="E59419"/>
      <c r="F59419"/>
    </row>
    <row r="59420" spans="1:6" x14ac:dyDescent="0.25">
      <c r="A59420"/>
      <c r="B59420"/>
      <c r="C59420"/>
      <c r="E59420"/>
      <c r="F59420"/>
    </row>
    <row r="59421" spans="1:6" x14ac:dyDescent="0.25">
      <c r="A59421"/>
      <c r="B59421"/>
      <c r="C59421"/>
      <c r="E59421"/>
      <c r="F59421"/>
    </row>
    <row r="59422" spans="1:6" x14ac:dyDescent="0.25">
      <c r="A59422"/>
      <c r="B59422"/>
      <c r="C59422"/>
      <c r="E59422"/>
      <c r="F59422"/>
    </row>
    <row r="59423" spans="1:6" x14ac:dyDescent="0.25">
      <c r="A59423"/>
      <c r="B59423"/>
      <c r="C59423"/>
      <c r="E59423"/>
      <c r="F59423"/>
    </row>
    <row r="59424" spans="1:6" x14ac:dyDescent="0.25">
      <c r="A59424"/>
      <c r="B59424"/>
      <c r="C59424"/>
      <c r="E59424"/>
      <c r="F59424"/>
    </row>
    <row r="59425" spans="1:6" x14ac:dyDescent="0.25">
      <c r="A59425"/>
      <c r="B59425"/>
      <c r="C59425"/>
      <c r="E59425"/>
      <c r="F59425"/>
    </row>
    <row r="59426" spans="1:6" x14ac:dyDescent="0.25">
      <c r="A59426"/>
      <c r="B59426"/>
      <c r="C59426"/>
      <c r="E59426"/>
      <c r="F59426"/>
    </row>
    <row r="59427" spans="1:6" x14ac:dyDescent="0.25">
      <c r="A59427"/>
      <c r="B59427"/>
      <c r="C59427"/>
      <c r="E59427"/>
      <c r="F59427"/>
    </row>
    <row r="59428" spans="1:6" x14ac:dyDescent="0.25">
      <c r="A59428"/>
      <c r="B59428"/>
      <c r="C59428"/>
      <c r="E59428"/>
      <c r="F59428"/>
    </row>
    <row r="59429" spans="1:6" x14ac:dyDescent="0.25">
      <c r="A59429"/>
      <c r="B59429"/>
      <c r="C59429"/>
      <c r="E59429"/>
      <c r="F59429"/>
    </row>
    <row r="59430" spans="1:6" x14ac:dyDescent="0.25">
      <c r="A59430"/>
      <c r="B59430"/>
      <c r="C59430"/>
      <c r="E59430"/>
      <c r="F59430"/>
    </row>
    <row r="59431" spans="1:6" x14ac:dyDescent="0.25">
      <c r="A59431"/>
      <c r="B59431"/>
      <c r="C59431"/>
      <c r="E59431"/>
      <c r="F59431"/>
    </row>
    <row r="59432" spans="1:6" x14ac:dyDescent="0.25">
      <c r="A59432"/>
      <c r="B59432"/>
      <c r="C59432"/>
      <c r="E59432"/>
      <c r="F59432"/>
    </row>
    <row r="59433" spans="1:6" x14ac:dyDescent="0.25">
      <c r="A59433"/>
      <c r="B59433"/>
      <c r="C59433"/>
      <c r="E59433"/>
      <c r="F59433"/>
    </row>
    <row r="59434" spans="1:6" x14ac:dyDescent="0.25">
      <c r="A59434"/>
      <c r="B59434"/>
      <c r="C59434"/>
      <c r="E59434"/>
      <c r="F59434"/>
    </row>
    <row r="59435" spans="1:6" x14ac:dyDescent="0.25">
      <c r="A59435"/>
      <c r="B59435"/>
      <c r="C59435"/>
      <c r="E59435"/>
      <c r="F59435"/>
    </row>
    <row r="59436" spans="1:6" x14ac:dyDescent="0.25">
      <c r="A59436"/>
      <c r="B59436"/>
      <c r="C59436"/>
      <c r="E59436"/>
      <c r="F59436"/>
    </row>
    <row r="59437" spans="1:6" x14ac:dyDescent="0.25">
      <c r="A59437"/>
      <c r="B59437"/>
      <c r="C59437"/>
      <c r="E59437"/>
      <c r="F59437"/>
    </row>
    <row r="59438" spans="1:6" x14ac:dyDescent="0.25">
      <c r="A59438"/>
      <c r="B59438"/>
      <c r="C59438"/>
      <c r="E59438"/>
      <c r="F59438"/>
    </row>
    <row r="59439" spans="1:6" x14ac:dyDescent="0.25">
      <c r="A59439"/>
      <c r="B59439"/>
      <c r="C59439"/>
      <c r="E59439"/>
      <c r="F59439"/>
    </row>
    <row r="59440" spans="1:6" x14ac:dyDescent="0.25">
      <c r="A59440"/>
      <c r="B59440"/>
      <c r="C59440"/>
      <c r="E59440"/>
      <c r="F59440"/>
    </row>
    <row r="59441" spans="1:6" x14ac:dyDescent="0.25">
      <c r="A59441"/>
      <c r="B59441"/>
      <c r="C59441"/>
      <c r="E59441"/>
      <c r="F59441"/>
    </row>
    <row r="59442" spans="1:6" x14ac:dyDescent="0.25">
      <c r="A59442"/>
      <c r="B59442"/>
      <c r="C59442"/>
      <c r="E59442"/>
      <c r="F59442"/>
    </row>
    <row r="59443" spans="1:6" x14ac:dyDescent="0.25">
      <c r="A59443"/>
      <c r="B59443"/>
      <c r="C59443"/>
      <c r="E59443"/>
      <c r="F59443"/>
    </row>
    <row r="59444" spans="1:6" x14ac:dyDescent="0.25">
      <c r="A59444"/>
      <c r="B59444"/>
      <c r="C59444"/>
      <c r="E59444"/>
      <c r="F59444"/>
    </row>
    <row r="59445" spans="1:6" x14ac:dyDescent="0.25">
      <c r="A59445"/>
      <c r="B59445"/>
      <c r="C59445"/>
      <c r="E59445"/>
      <c r="F59445"/>
    </row>
    <row r="59446" spans="1:6" x14ac:dyDescent="0.25">
      <c r="A59446"/>
      <c r="B59446"/>
      <c r="C59446"/>
      <c r="E59446"/>
      <c r="F59446"/>
    </row>
    <row r="59447" spans="1:6" x14ac:dyDescent="0.25">
      <c r="A59447"/>
      <c r="B59447"/>
      <c r="C59447"/>
      <c r="E59447"/>
      <c r="F59447"/>
    </row>
    <row r="59448" spans="1:6" x14ac:dyDescent="0.25">
      <c r="A59448"/>
      <c r="B59448"/>
      <c r="C59448"/>
      <c r="E59448"/>
      <c r="F59448"/>
    </row>
    <row r="59449" spans="1:6" x14ac:dyDescent="0.25">
      <c r="A59449"/>
      <c r="B59449"/>
      <c r="C59449"/>
      <c r="E59449"/>
      <c r="F59449"/>
    </row>
    <row r="59450" spans="1:6" x14ac:dyDescent="0.25">
      <c r="A59450"/>
      <c r="B59450"/>
      <c r="C59450"/>
      <c r="E59450"/>
      <c r="F59450"/>
    </row>
    <row r="59451" spans="1:6" x14ac:dyDescent="0.25">
      <c r="A59451"/>
      <c r="B59451"/>
      <c r="C59451"/>
      <c r="E59451"/>
      <c r="F59451"/>
    </row>
    <row r="59452" spans="1:6" x14ac:dyDescent="0.25">
      <c r="A59452"/>
      <c r="B59452"/>
      <c r="C59452"/>
      <c r="E59452"/>
      <c r="F59452"/>
    </row>
    <row r="59453" spans="1:6" x14ac:dyDescent="0.25">
      <c r="A59453"/>
      <c r="B59453"/>
      <c r="C59453"/>
      <c r="E59453"/>
      <c r="F59453"/>
    </row>
    <row r="59454" spans="1:6" x14ac:dyDescent="0.25">
      <c r="A59454"/>
      <c r="B59454"/>
      <c r="C59454"/>
      <c r="E59454"/>
      <c r="F59454"/>
    </row>
    <row r="59455" spans="1:6" x14ac:dyDescent="0.25">
      <c r="A59455"/>
      <c r="B59455"/>
      <c r="C59455"/>
      <c r="E59455"/>
      <c r="F59455"/>
    </row>
    <row r="59456" spans="1:6" x14ac:dyDescent="0.25">
      <c r="A59456"/>
      <c r="B59456"/>
      <c r="C59456"/>
      <c r="E59456"/>
      <c r="F59456"/>
    </row>
    <row r="59457" spans="1:6" x14ac:dyDescent="0.25">
      <c r="A59457"/>
      <c r="B59457"/>
      <c r="C59457"/>
      <c r="E59457"/>
      <c r="F59457"/>
    </row>
    <row r="59458" spans="1:6" x14ac:dyDescent="0.25">
      <c r="A59458"/>
      <c r="B59458"/>
      <c r="C59458"/>
      <c r="E59458"/>
      <c r="F59458"/>
    </row>
    <row r="59459" spans="1:6" x14ac:dyDescent="0.25">
      <c r="A59459"/>
      <c r="B59459"/>
      <c r="C59459"/>
      <c r="E59459"/>
      <c r="F59459"/>
    </row>
    <row r="59460" spans="1:6" x14ac:dyDescent="0.25">
      <c r="A59460"/>
      <c r="B59460"/>
      <c r="C59460"/>
      <c r="E59460"/>
      <c r="F59460"/>
    </row>
    <row r="59461" spans="1:6" x14ac:dyDescent="0.25">
      <c r="A59461"/>
      <c r="B59461"/>
      <c r="C59461"/>
      <c r="E59461"/>
      <c r="F59461"/>
    </row>
    <row r="59462" spans="1:6" x14ac:dyDescent="0.25">
      <c r="A59462"/>
      <c r="B59462"/>
      <c r="C59462"/>
      <c r="E59462"/>
      <c r="F59462"/>
    </row>
    <row r="59463" spans="1:6" x14ac:dyDescent="0.25">
      <c r="A59463"/>
      <c r="B59463"/>
      <c r="C59463"/>
      <c r="E59463"/>
      <c r="F59463"/>
    </row>
    <row r="59464" spans="1:6" x14ac:dyDescent="0.25">
      <c r="A59464"/>
      <c r="B59464"/>
      <c r="C59464"/>
      <c r="E59464"/>
      <c r="F59464"/>
    </row>
    <row r="59465" spans="1:6" x14ac:dyDescent="0.25">
      <c r="A59465"/>
      <c r="B59465"/>
      <c r="C59465"/>
      <c r="E59465"/>
      <c r="F59465"/>
    </row>
    <row r="59466" spans="1:6" x14ac:dyDescent="0.25">
      <c r="A59466"/>
      <c r="B59466"/>
      <c r="C59466"/>
      <c r="E59466"/>
      <c r="F59466"/>
    </row>
    <row r="59467" spans="1:6" x14ac:dyDescent="0.25">
      <c r="A59467"/>
      <c r="B59467"/>
      <c r="C59467"/>
      <c r="E59467"/>
      <c r="F59467"/>
    </row>
    <row r="59468" spans="1:6" x14ac:dyDescent="0.25">
      <c r="A59468"/>
      <c r="B59468"/>
      <c r="C59468"/>
      <c r="E59468"/>
      <c r="F59468"/>
    </row>
    <row r="59469" spans="1:6" x14ac:dyDescent="0.25">
      <c r="A59469"/>
      <c r="B59469"/>
      <c r="C59469"/>
      <c r="E59469"/>
      <c r="F59469"/>
    </row>
    <row r="59470" spans="1:6" x14ac:dyDescent="0.25">
      <c r="A59470"/>
      <c r="B59470"/>
      <c r="C59470"/>
      <c r="E59470"/>
      <c r="F59470"/>
    </row>
    <row r="59471" spans="1:6" x14ac:dyDescent="0.25">
      <c r="A59471"/>
      <c r="B59471"/>
      <c r="C59471"/>
      <c r="E59471"/>
      <c r="F59471"/>
    </row>
    <row r="59472" spans="1:6" x14ac:dyDescent="0.25">
      <c r="A59472"/>
      <c r="B59472"/>
      <c r="C59472"/>
      <c r="E59472"/>
      <c r="F59472"/>
    </row>
    <row r="59473" spans="1:6" x14ac:dyDescent="0.25">
      <c r="A59473"/>
      <c r="B59473"/>
      <c r="C59473"/>
      <c r="E59473"/>
      <c r="F59473"/>
    </row>
    <row r="59474" spans="1:6" x14ac:dyDescent="0.25">
      <c r="A59474"/>
      <c r="B59474"/>
      <c r="C59474"/>
      <c r="E59474"/>
      <c r="F59474"/>
    </row>
    <row r="59475" spans="1:6" x14ac:dyDescent="0.25">
      <c r="A59475"/>
      <c r="B59475"/>
      <c r="C59475"/>
      <c r="E59475"/>
      <c r="F59475"/>
    </row>
    <row r="59476" spans="1:6" x14ac:dyDescent="0.25">
      <c r="A59476"/>
      <c r="B59476"/>
      <c r="C59476"/>
      <c r="E59476"/>
      <c r="F59476"/>
    </row>
    <row r="59477" spans="1:6" x14ac:dyDescent="0.25">
      <c r="A59477"/>
      <c r="B59477"/>
      <c r="C59477"/>
      <c r="E59477"/>
      <c r="F59477"/>
    </row>
    <row r="59478" spans="1:6" x14ac:dyDescent="0.25">
      <c r="A59478"/>
      <c r="B59478"/>
      <c r="C59478"/>
      <c r="E59478"/>
      <c r="F59478"/>
    </row>
    <row r="59479" spans="1:6" x14ac:dyDescent="0.25">
      <c r="A59479"/>
      <c r="B59479"/>
      <c r="C59479"/>
      <c r="E59479"/>
      <c r="F59479"/>
    </row>
    <row r="59480" spans="1:6" x14ac:dyDescent="0.25">
      <c r="A59480"/>
      <c r="B59480"/>
      <c r="C59480"/>
      <c r="E59480"/>
      <c r="F59480"/>
    </row>
    <row r="59481" spans="1:6" x14ac:dyDescent="0.25">
      <c r="A59481"/>
      <c r="B59481"/>
      <c r="C59481"/>
      <c r="E59481"/>
      <c r="F59481"/>
    </row>
    <row r="59482" spans="1:6" x14ac:dyDescent="0.25">
      <c r="A59482"/>
      <c r="B59482"/>
      <c r="C59482"/>
      <c r="E59482"/>
      <c r="F59482"/>
    </row>
    <row r="59483" spans="1:6" x14ac:dyDescent="0.25">
      <c r="A59483"/>
      <c r="B59483"/>
      <c r="C59483"/>
      <c r="E59483"/>
      <c r="F59483"/>
    </row>
    <row r="59484" spans="1:6" x14ac:dyDescent="0.25">
      <c r="A59484"/>
      <c r="B59484"/>
      <c r="C59484"/>
      <c r="E59484"/>
      <c r="F59484"/>
    </row>
    <row r="59485" spans="1:6" x14ac:dyDescent="0.25">
      <c r="A59485"/>
      <c r="B59485"/>
      <c r="C59485"/>
      <c r="E59485"/>
      <c r="F59485"/>
    </row>
    <row r="59486" spans="1:6" x14ac:dyDescent="0.25">
      <c r="A59486"/>
      <c r="B59486"/>
      <c r="C59486"/>
      <c r="E59486"/>
      <c r="F59486"/>
    </row>
    <row r="59487" spans="1:6" x14ac:dyDescent="0.25">
      <c r="A59487"/>
      <c r="B59487"/>
      <c r="C59487"/>
      <c r="E59487"/>
      <c r="F59487"/>
    </row>
    <row r="59488" spans="1:6" x14ac:dyDescent="0.25">
      <c r="A59488"/>
      <c r="B59488"/>
      <c r="C59488"/>
      <c r="E59488"/>
      <c r="F59488"/>
    </row>
    <row r="59489" spans="1:6" x14ac:dyDescent="0.25">
      <c r="A59489"/>
      <c r="B59489"/>
      <c r="C59489"/>
      <c r="E59489"/>
      <c r="F59489"/>
    </row>
    <row r="59490" spans="1:6" x14ac:dyDescent="0.25">
      <c r="A59490"/>
      <c r="B59490"/>
      <c r="C59490"/>
      <c r="E59490"/>
      <c r="F59490"/>
    </row>
    <row r="59491" spans="1:6" x14ac:dyDescent="0.25">
      <c r="A59491"/>
      <c r="B59491"/>
      <c r="C59491"/>
      <c r="E59491"/>
      <c r="F59491"/>
    </row>
    <row r="59492" spans="1:6" x14ac:dyDescent="0.25">
      <c r="A59492"/>
      <c r="B59492"/>
      <c r="C59492"/>
      <c r="E59492"/>
      <c r="F59492"/>
    </row>
    <row r="59493" spans="1:6" x14ac:dyDescent="0.25">
      <c r="A59493"/>
      <c r="B59493"/>
      <c r="C59493"/>
      <c r="E59493"/>
      <c r="F59493"/>
    </row>
    <row r="59494" spans="1:6" x14ac:dyDescent="0.25">
      <c r="A59494"/>
      <c r="B59494"/>
      <c r="C59494"/>
      <c r="E59494"/>
      <c r="F59494"/>
    </row>
    <row r="59495" spans="1:6" x14ac:dyDescent="0.25">
      <c r="A59495"/>
      <c r="B59495"/>
      <c r="C59495"/>
      <c r="E59495"/>
      <c r="F59495"/>
    </row>
    <row r="59496" spans="1:6" x14ac:dyDescent="0.25">
      <c r="A59496"/>
      <c r="B59496"/>
      <c r="C59496"/>
      <c r="E59496"/>
      <c r="F59496"/>
    </row>
    <row r="59497" spans="1:6" x14ac:dyDescent="0.25">
      <c r="A59497"/>
      <c r="B59497"/>
      <c r="C59497"/>
      <c r="E59497"/>
      <c r="F59497"/>
    </row>
    <row r="59498" spans="1:6" x14ac:dyDescent="0.25">
      <c r="A59498"/>
      <c r="B59498"/>
      <c r="C59498"/>
      <c r="E59498"/>
      <c r="F59498"/>
    </row>
    <row r="59499" spans="1:6" x14ac:dyDescent="0.25">
      <c r="A59499"/>
      <c r="B59499"/>
      <c r="C59499"/>
      <c r="E59499"/>
      <c r="F59499"/>
    </row>
    <row r="59500" spans="1:6" x14ac:dyDescent="0.25">
      <c r="A59500"/>
      <c r="B59500"/>
      <c r="C59500"/>
      <c r="E59500"/>
      <c r="F59500"/>
    </row>
    <row r="59501" spans="1:6" x14ac:dyDescent="0.25">
      <c r="A59501"/>
      <c r="B59501"/>
      <c r="C59501"/>
      <c r="E59501"/>
      <c r="F59501"/>
    </row>
    <row r="59502" spans="1:6" x14ac:dyDescent="0.25">
      <c r="A59502"/>
      <c r="B59502"/>
      <c r="C59502"/>
      <c r="E59502"/>
      <c r="F59502"/>
    </row>
    <row r="59503" spans="1:6" x14ac:dyDescent="0.25">
      <c r="A59503"/>
      <c r="B59503"/>
      <c r="C59503"/>
      <c r="E59503"/>
      <c r="F59503"/>
    </row>
    <row r="59504" spans="1:6" x14ac:dyDescent="0.25">
      <c r="A59504"/>
      <c r="B59504"/>
      <c r="C59504"/>
      <c r="E59504"/>
      <c r="F59504"/>
    </row>
    <row r="59505" spans="1:6" x14ac:dyDescent="0.25">
      <c r="A59505"/>
      <c r="B59505"/>
      <c r="C59505"/>
      <c r="E59505"/>
      <c r="F59505"/>
    </row>
    <row r="59506" spans="1:6" x14ac:dyDescent="0.25">
      <c r="A59506"/>
      <c r="B59506"/>
      <c r="C59506"/>
      <c r="E59506"/>
      <c r="F59506"/>
    </row>
    <row r="59507" spans="1:6" x14ac:dyDescent="0.25">
      <c r="A59507"/>
      <c r="B59507"/>
      <c r="C59507"/>
      <c r="E59507"/>
      <c r="F59507"/>
    </row>
    <row r="59508" spans="1:6" x14ac:dyDescent="0.25">
      <c r="A59508"/>
      <c r="B59508"/>
      <c r="C59508"/>
      <c r="E59508"/>
      <c r="F59508"/>
    </row>
    <row r="59509" spans="1:6" x14ac:dyDescent="0.25">
      <c r="A59509"/>
      <c r="B59509"/>
      <c r="C59509"/>
      <c r="E59509"/>
      <c r="F59509"/>
    </row>
    <row r="59510" spans="1:6" x14ac:dyDescent="0.25">
      <c r="A59510"/>
      <c r="B59510"/>
      <c r="C59510"/>
      <c r="E59510"/>
      <c r="F59510"/>
    </row>
    <row r="59511" spans="1:6" x14ac:dyDescent="0.25">
      <c r="A59511"/>
      <c r="B59511"/>
      <c r="C59511"/>
      <c r="E59511"/>
      <c r="F59511"/>
    </row>
    <row r="59512" spans="1:6" x14ac:dyDescent="0.25">
      <c r="A59512"/>
      <c r="B59512"/>
      <c r="C59512"/>
      <c r="E59512"/>
      <c r="F59512"/>
    </row>
    <row r="59513" spans="1:6" x14ac:dyDescent="0.25">
      <c r="A59513"/>
      <c r="B59513"/>
      <c r="C59513"/>
      <c r="E59513"/>
      <c r="F59513"/>
    </row>
    <row r="59514" spans="1:6" x14ac:dyDescent="0.25">
      <c r="A59514"/>
      <c r="B59514"/>
      <c r="C59514"/>
      <c r="E59514"/>
      <c r="F59514"/>
    </row>
    <row r="59515" spans="1:6" x14ac:dyDescent="0.25">
      <c r="A59515"/>
      <c r="B59515"/>
      <c r="C59515"/>
      <c r="E59515"/>
      <c r="F59515"/>
    </row>
    <row r="59516" spans="1:6" x14ac:dyDescent="0.25">
      <c r="A59516"/>
      <c r="B59516"/>
      <c r="C59516"/>
      <c r="E59516"/>
      <c r="F59516"/>
    </row>
    <row r="59517" spans="1:6" x14ac:dyDescent="0.25">
      <c r="A59517"/>
      <c r="B59517"/>
      <c r="C59517"/>
      <c r="E59517"/>
      <c r="F59517"/>
    </row>
    <row r="59518" spans="1:6" x14ac:dyDescent="0.25">
      <c r="A59518"/>
      <c r="B59518"/>
      <c r="C59518"/>
      <c r="E59518"/>
      <c r="F59518"/>
    </row>
    <row r="59519" spans="1:6" x14ac:dyDescent="0.25">
      <c r="A59519"/>
      <c r="B59519"/>
      <c r="C59519"/>
      <c r="E59519"/>
      <c r="F59519"/>
    </row>
    <row r="59520" spans="1:6" x14ac:dyDescent="0.25">
      <c r="A59520"/>
      <c r="B59520"/>
      <c r="C59520"/>
      <c r="E59520"/>
      <c r="F59520"/>
    </row>
    <row r="59521" spans="1:6" x14ac:dyDescent="0.25">
      <c r="A59521"/>
      <c r="B59521"/>
      <c r="C59521"/>
      <c r="E59521"/>
      <c r="F59521"/>
    </row>
    <row r="59522" spans="1:6" x14ac:dyDescent="0.25">
      <c r="A59522"/>
      <c r="B59522"/>
      <c r="C59522"/>
      <c r="E59522"/>
      <c r="F59522"/>
    </row>
    <row r="59523" spans="1:6" x14ac:dyDescent="0.25">
      <c r="A59523"/>
      <c r="B59523"/>
      <c r="C59523"/>
      <c r="E59523"/>
      <c r="F59523"/>
    </row>
    <row r="59524" spans="1:6" x14ac:dyDescent="0.25">
      <c r="A59524"/>
      <c r="B59524"/>
      <c r="C59524"/>
      <c r="E59524"/>
      <c r="F59524"/>
    </row>
    <row r="59525" spans="1:6" x14ac:dyDescent="0.25">
      <c r="A59525"/>
      <c r="B59525"/>
      <c r="C59525"/>
      <c r="E59525"/>
      <c r="F59525"/>
    </row>
    <row r="59526" spans="1:6" x14ac:dyDescent="0.25">
      <c r="A59526"/>
      <c r="B59526"/>
      <c r="C59526"/>
      <c r="E59526"/>
      <c r="F59526"/>
    </row>
    <row r="59527" spans="1:6" x14ac:dyDescent="0.25">
      <c r="A59527"/>
      <c r="B59527"/>
      <c r="C59527"/>
      <c r="E59527"/>
      <c r="F59527"/>
    </row>
    <row r="59528" spans="1:6" x14ac:dyDescent="0.25">
      <c r="A59528"/>
      <c r="B59528"/>
      <c r="C59528"/>
      <c r="E59528"/>
      <c r="F59528"/>
    </row>
    <row r="59529" spans="1:6" x14ac:dyDescent="0.25">
      <c r="A59529"/>
      <c r="B59529"/>
      <c r="C59529"/>
      <c r="E59529"/>
      <c r="F59529"/>
    </row>
    <row r="59530" spans="1:6" x14ac:dyDescent="0.25">
      <c r="A59530"/>
      <c r="B59530"/>
      <c r="C59530"/>
      <c r="E59530"/>
      <c r="F59530"/>
    </row>
    <row r="59531" spans="1:6" x14ac:dyDescent="0.25">
      <c r="A59531"/>
      <c r="B59531"/>
      <c r="C59531"/>
      <c r="E59531"/>
      <c r="F59531"/>
    </row>
    <row r="59532" spans="1:6" x14ac:dyDescent="0.25">
      <c r="A59532"/>
      <c r="B59532"/>
      <c r="C59532"/>
      <c r="E59532"/>
      <c r="F59532"/>
    </row>
    <row r="59533" spans="1:6" x14ac:dyDescent="0.25">
      <c r="A59533"/>
      <c r="B59533"/>
      <c r="C59533"/>
      <c r="E59533"/>
      <c r="F59533"/>
    </row>
    <row r="59534" spans="1:6" x14ac:dyDescent="0.25">
      <c r="A59534"/>
      <c r="B59534"/>
      <c r="C59534"/>
      <c r="E59534"/>
      <c r="F59534"/>
    </row>
    <row r="59535" spans="1:6" x14ac:dyDescent="0.25">
      <c r="A59535"/>
      <c r="B59535"/>
      <c r="C59535"/>
      <c r="E59535"/>
      <c r="F59535"/>
    </row>
    <row r="59536" spans="1:6" x14ac:dyDescent="0.25">
      <c r="A59536"/>
      <c r="B59536"/>
      <c r="C59536"/>
      <c r="E59536"/>
      <c r="F59536"/>
    </row>
    <row r="59537" spans="1:6" x14ac:dyDescent="0.25">
      <c r="A59537"/>
      <c r="B59537"/>
      <c r="C59537"/>
      <c r="E59537"/>
      <c r="F59537"/>
    </row>
    <row r="59538" spans="1:6" x14ac:dyDescent="0.25">
      <c r="A59538"/>
      <c r="B59538"/>
      <c r="C59538"/>
      <c r="E59538"/>
      <c r="F59538"/>
    </row>
    <row r="59539" spans="1:6" x14ac:dyDescent="0.25">
      <c r="A59539"/>
      <c r="B59539"/>
      <c r="C59539"/>
      <c r="E59539"/>
      <c r="F59539"/>
    </row>
    <row r="59540" spans="1:6" x14ac:dyDescent="0.25">
      <c r="A59540"/>
      <c r="B59540"/>
      <c r="C59540"/>
      <c r="E59540"/>
      <c r="F59540"/>
    </row>
    <row r="59541" spans="1:6" x14ac:dyDescent="0.25">
      <c r="A59541"/>
      <c r="B59541"/>
      <c r="C59541"/>
      <c r="E59541"/>
      <c r="F59541"/>
    </row>
    <row r="59542" spans="1:6" x14ac:dyDescent="0.25">
      <c r="A59542"/>
      <c r="B59542"/>
      <c r="C59542"/>
      <c r="E59542"/>
      <c r="F59542"/>
    </row>
    <row r="59543" spans="1:6" x14ac:dyDescent="0.25">
      <c r="A59543"/>
      <c r="B59543"/>
      <c r="C59543"/>
      <c r="E59543"/>
      <c r="F59543"/>
    </row>
    <row r="59544" spans="1:6" x14ac:dyDescent="0.25">
      <c r="A59544"/>
      <c r="B59544"/>
      <c r="C59544"/>
      <c r="E59544"/>
      <c r="F59544"/>
    </row>
    <row r="59545" spans="1:6" x14ac:dyDescent="0.25">
      <c r="A59545"/>
      <c r="B59545"/>
      <c r="C59545"/>
      <c r="E59545"/>
      <c r="F59545"/>
    </row>
    <row r="59546" spans="1:6" x14ac:dyDescent="0.25">
      <c r="A59546"/>
      <c r="B59546"/>
      <c r="C59546"/>
      <c r="E59546"/>
      <c r="F59546"/>
    </row>
    <row r="59547" spans="1:6" x14ac:dyDescent="0.25">
      <c r="A59547"/>
      <c r="B59547"/>
      <c r="C59547"/>
      <c r="E59547"/>
      <c r="F59547"/>
    </row>
    <row r="59548" spans="1:6" x14ac:dyDescent="0.25">
      <c r="A59548"/>
      <c r="B59548"/>
      <c r="C59548"/>
      <c r="E59548"/>
      <c r="F59548"/>
    </row>
    <row r="59549" spans="1:6" x14ac:dyDescent="0.25">
      <c r="A59549"/>
      <c r="B59549"/>
      <c r="C59549"/>
      <c r="E59549"/>
      <c r="F59549"/>
    </row>
    <row r="59550" spans="1:6" x14ac:dyDescent="0.25">
      <c r="A59550"/>
      <c r="B59550"/>
      <c r="C59550"/>
      <c r="E59550"/>
      <c r="F59550"/>
    </row>
    <row r="59551" spans="1:6" x14ac:dyDescent="0.25">
      <c r="A59551"/>
      <c r="B59551"/>
      <c r="C59551"/>
      <c r="E59551"/>
      <c r="F59551"/>
    </row>
    <row r="59552" spans="1:6" x14ac:dyDescent="0.25">
      <c r="A59552"/>
      <c r="B59552"/>
      <c r="C59552"/>
      <c r="E59552"/>
      <c r="F59552"/>
    </row>
    <row r="59553" spans="1:6" x14ac:dyDescent="0.25">
      <c r="A59553"/>
      <c r="B59553"/>
      <c r="C59553"/>
      <c r="E59553"/>
      <c r="F59553"/>
    </row>
    <row r="59554" spans="1:6" x14ac:dyDescent="0.25">
      <c r="A59554"/>
      <c r="B59554"/>
      <c r="C59554"/>
      <c r="E59554"/>
      <c r="F59554"/>
    </row>
    <row r="59555" spans="1:6" x14ac:dyDescent="0.25">
      <c r="A59555"/>
      <c r="B59555"/>
      <c r="C59555"/>
      <c r="E59555"/>
      <c r="F59555"/>
    </row>
    <row r="59556" spans="1:6" x14ac:dyDescent="0.25">
      <c r="A59556"/>
      <c r="B59556"/>
      <c r="C59556"/>
      <c r="E59556"/>
      <c r="F59556"/>
    </row>
    <row r="59557" spans="1:6" x14ac:dyDescent="0.25">
      <c r="A59557"/>
      <c r="B59557"/>
      <c r="C59557"/>
      <c r="E59557"/>
      <c r="F59557"/>
    </row>
    <row r="59558" spans="1:6" x14ac:dyDescent="0.25">
      <c r="A59558"/>
      <c r="B59558"/>
      <c r="C59558"/>
      <c r="E59558"/>
      <c r="F59558"/>
    </row>
    <row r="59559" spans="1:6" x14ac:dyDescent="0.25">
      <c r="A59559"/>
      <c r="B59559"/>
      <c r="C59559"/>
      <c r="E59559"/>
      <c r="F59559"/>
    </row>
    <row r="59560" spans="1:6" x14ac:dyDescent="0.25">
      <c r="A59560"/>
      <c r="B59560"/>
      <c r="C59560"/>
      <c r="E59560"/>
      <c r="F59560"/>
    </row>
    <row r="59561" spans="1:6" x14ac:dyDescent="0.25">
      <c r="A59561"/>
      <c r="B59561"/>
      <c r="C59561"/>
      <c r="E59561"/>
      <c r="F59561"/>
    </row>
    <row r="59562" spans="1:6" x14ac:dyDescent="0.25">
      <c r="A59562"/>
      <c r="B59562"/>
      <c r="C59562"/>
      <c r="E59562"/>
      <c r="F59562"/>
    </row>
    <row r="59563" spans="1:6" x14ac:dyDescent="0.25">
      <c r="A59563"/>
      <c r="B59563"/>
      <c r="C59563"/>
      <c r="E59563"/>
      <c r="F59563"/>
    </row>
    <row r="59564" spans="1:6" x14ac:dyDescent="0.25">
      <c r="A59564"/>
      <c r="B59564"/>
      <c r="C59564"/>
      <c r="E59564"/>
      <c r="F59564"/>
    </row>
    <row r="59565" spans="1:6" x14ac:dyDescent="0.25">
      <c r="A59565"/>
      <c r="B59565"/>
      <c r="C59565"/>
      <c r="E59565"/>
      <c r="F59565"/>
    </row>
    <row r="59566" spans="1:6" x14ac:dyDescent="0.25">
      <c r="A59566"/>
      <c r="B59566"/>
      <c r="C59566"/>
      <c r="E59566"/>
      <c r="F59566"/>
    </row>
    <row r="59567" spans="1:6" x14ac:dyDescent="0.25">
      <c r="A59567"/>
      <c r="B59567"/>
      <c r="C59567"/>
      <c r="E59567"/>
      <c r="F59567"/>
    </row>
    <row r="59568" spans="1:6" x14ac:dyDescent="0.25">
      <c r="A59568"/>
      <c r="B59568"/>
      <c r="C59568"/>
      <c r="E59568"/>
      <c r="F59568"/>
    </row>
    <row r="59569" spans="1:6" x14ac:dyDescent="0.25">
      <c r="A59569"/>
      <c r="B59569"/>
      <c r="C59569"/>
      <c r="E59569"/>
      <c r="F59569"/>
    </row>
    <row r="59570" spans="1:6" x14ac:dyDescent="0.25">
      <c r="A59570"/>
      <c r="B59570"/>
      <c r="C59570"/>
      <c r="E59570"/>
      <c r="F59570"/>
    </row>
    <row r="59571" spans="1:6" x14ac:dyDescent="0.25">
      <c r="A59571"/>
      <c r="B59571"/>
      <c r="C59571"/>
      <c r="E59571"/>
      <c r="F59571"/>
    </row>
    <row r="59572" spans="1:6" x14ac:dyDescent="0.25">
      <c r="A59572"/>
      <c r="B59572"/>
      <c r="C59572"/>
      <c r="E59572"/>
      <c r="F59572"/>
    </row>
    <row r="59573" spans="1:6" x14ac:dyDescent="0.25">
      <c r="A59573"/>
      <c r="B59573"/>
      <c r="C59573"/>
      <c r="E59573"/>
      <c r="F59573"/>
    </row>
    <row r="59574" spans="1:6" x14ac:dyDescent="0.25">
      <c r="A59574"/>
      <c r="B59574"/>
      <c r="C59574"/>
      <c r="E59574"/>
      <c r="F59574"/>
    </row>
    <row r="59575" spans="1:6" x14ac:dyDescent="0.25">
      <c r="A59575"/>
      <c r="B59575"/>
      <c r="C59575"/>
      <c r="E59575"/>
      <c r="F59575"/>
    </row>
    <row r="59576" spans="1:6" x14ac:dyDescent="0.25">
      <c r="A59576"/>
      <c r="B59576"/>
      <c r="C59576"/>
      <c r="E59576"/>
      <c r="F59576"/>
    </row>
    <row r="59577" spans="1:6" x14ac:dyDescent="0.25">
      <c r="A59577"/>
      <c r="B59577"/>
      <c r="C59577"/>
      <c r="E59577"/>
      <c r="F59577"/>
    </row>
    <row r="59578" spans="1:6" x14ac:dyDescent="0.25">
      <c r="A59578"/>
      <c r="B59578"/>
      <c r="C59578"/>
      <c r="E59578"/>
      <c r="F59578"/>
    </row>
    <row r="59579" spans="1:6" x14ac:dyDescent="0.25">
      <c r="A59579"/>
      <c r="B59579"/>
      <c r="C59579"/>
      <c r="E59579"/>
      <c r="F59579"/>
    </row>
    <row r="59580" spans="1:6" x14ac:dyDescent="0.25">
      <c r="A59580"/>
      <c r="B59580"/>
      <c r="C59580"/>
      <c r="E59580"/>
      <c r="F59580"/>
    </row>
    <row r="59581" spans="1:6" x14ac:dyDescent="0.25">
      <c r="A59581"/>
      <c r="B59581"/>
      <c r="C59581"/>
      <c r="E59581"/>
      <c r="F59581"/>
    </row>
    <row r="59582" spans="1:6" x14ac:dyDescent="0.25">
      <c r="A59582"/>
      <c r="B59582"/>
      <c r="C59582"/>
      <c r="E59582"/>
      <c r="F59582"/>
    </row>
    <row r="59583" spans="1:6" x14ac:dyDescent="0.25">
      <c r="A59583"/>
      <c r="B59583"/>
      <c r="C59583"/>
      <c r="E59583"/>
      <c r="F59583"/>
    </row>
    <row r="59584" spans="1:6" x14ac:dyDescent="0.25">
      <c r="A59584"/>
      <c r="B59584"/>
      <c r="C59584"/>
      <c r="E59584"/>
      <c r="F59584"/>
    </row>
    <row r="59585" spans="1:6" x14ac:dyDescent="0.25">
      <c r="A59585"/>
      <c r="B59585"/>
      <c r="C59585"/>
      <c r="E59585"/>
      <c r="F59585"/>
    </row>
    <row r="59586" spans="1:6" x14ac:dyDescent="0.25">
      <c r="A59586"/>
      <c r="B59586"/>
      <c r="C59586"/>
      <c r="E59586"/>
      <c r="F59586"/>
    </row>
    <row r="59587" spans="1:6" x14ac:dyDescent="0.25">
      <c r="A59587"/>
      <c r="B59587"/>
      <c r="C59587"/>
      <c r="E59587"/>
      <c r="F59587"/>
    </row>
    <row r="59588" spans="1:6" x14ac:dyDescent="0.25">
      <c r="A59588"/>
      <c r="B59588"/>
      <c r="C59588"/>
      <c r="E59588"/>
      <c r="F59588"/>
    </row>
    <row r="59589" spans="1:6" x14ac:dyDescent="0.25">
      <c r="A59589"/>
      <c r="B59589"/>
      <c r="C59589"/>
      <c r="E59589"/>
      <c r="F59589"/>
    </row>
    <row r="59590" spans="1:6" x14ac:dyDescent="0.25">
      <c r="A59590"/>
      <c r="B59590"/>
      <c r="C59590"/>
      <c r="E59590"/>
      <c r="F59590"/>
    </row>
    <row r="59591" spans="1:6" x14ac:dyDescent="0.25">
      <c r="A59591"/>
      <c r="B59591"/>
      <c r="C59591"/>
      <c r="E59591"/>
      <c r="F59591"/>
    </row>
    <row r="59592" spans="1:6" x14ac:dyDescent="0.25">
      <c r="A59592"/>
      <c r="B59592"/>
      <c r="C59592"/>
      <c r="E59592"/>
      <c r="F59592"/>
    </row>
    <row r="59593" spans="1:6" x14ac:dyDescent="0.25">
      <c r="A59593"/>
      <c r="B59593"/>
      <c r="C59593"/>
      <c r="E59593"/>
      <c r="F59593"/>
    </row>
    <row r="59594" spans="1:6" x14ac:dyDescent="0.25">
      <c r="A59594"/>
      <c r="B59594"/>
      <c r="C59594"/>
      <c r="E59594"/>
      <c r="F59594"/>
    </row>
    <row r="59595" spans="1:6" x14ac:dyDescent="0.25">
      <c r="A59595"/>
      <c r="B59595"/>
      <c r="C59595"/>
      <c r="E59595"/>
      <c r="F59595"/>
    </row>
    <row r="59596" spans="1:6" x14ac:dyDescent="0.25">
      <c r="A59596"/>
      <c r="B59596"/>
      <c r="C59596"/>
      <c r="E59596"/>
      <c r="F59596"/>
    </row>
    <row r="59597" spans="1:6" x14ac:dyDescent="0.25">
      <c r="A59597"/>
      <c r="B59597"/>
      <c r="C59597"/>
      <c r="E59597"/>
      <c r="F59597"/>
    </row>
    <row r="59598" spans="1:6" x14ac:dyDescent="0.25">
      <c r="A59598"/>
      <c r="B59598"/>
      <c r="C59598"/>
      <c r="E59598"/>
      <c r="F59598"/>
    </row>
    <row r="59599" spans="1:6" x14ac:dyDescent="0.25">
      <c r="A59599"/>
      <c r="B59599"/>
      <c r="C59599"/>
      <c r="E59599"/>
      <c r="F59599"/>
    </row>
    <row r="59600" spans="1:6" x14ac:dyDescent="0.25">
      <c r="A59600"/>
      <c r="B59600"/>
      <c r="C59600"/>
      <c r="E59600"/>
      <c r="F59600"/>
    </row>
    <row r="59601" spans="1:6" x14ac:dyDescent="0.25">
      <c r="A59601"/>
      <c r="B59601"/>
      <c r="C59601"/>
      <c r="E59601"/>
      <c r="F59601"/>
    </row>
    <row r="59602" spans="1:6" x14ac:dyDescent="0.25">
      <c r="A59602"/>
      <c r="B59602"/>
      <c r="C59602"/>
      <c r="E59602"/>
      <c r="F59602"/>
    </row>
    <row r="59603" spans="1:6" x14ac:dyDescent="0.25">
      <c r="A59603"/>
      <c r="B59603"/>
      <c r="C59603"/>
      <c r="E59603"/>
      <c r="F59603"/>
    </row>
    <row r="59604" spans="1:6" x14ac:dyDescent="0.25">
      <c r="A59604"/>
      <c r="B59604"/>
      <c r="C59604"/>
      <c r="E59604"/>
      <c r="F59604"/>
    </row>
    <row r="59605" spans="1:6" x14ac:dyDescent="0.25">
      <c r="A59605"/>
      <c r="B59605"/>
      <c r="C59605"/>
      <c r="E59605"/>
      <c r="F59605"/>
    </row>
    <row r="59606" spans="1:6" x14ac:dyDescent="0.25">
      <c r="A59606"/>
      <c r="B59606"/>
      <c r="C59606"/>
      <c r="E59606"/>
      <c r="F59606"/>
    </row>
    <row r="59607" spans="1:6" x14ac:dyDescent="0.25">
      <c r="A59607"/>
      <c r="B59607"/>
      <c r="C59607"/>
      <c r="E59607"/>
      <c r="F59607"/>
    </row>
    <row r="59608" spans="1:6" x14ac:dyDescent="0.25">
      <c r="A59608"/>
      <c r="B59608"/>
      <c r="C59608"/>
      <c r="E59608"/>
      <c r="F59608"/>
    </row>
    <row r="59609" spans="1:6" x14ac:dyDescent="0.25">
      <c r="A59609"/>
      <c r="B59609"/>
      <c r="C59609"/>
      <c r="E59609"/>
      <c r="F59609"/>
    </row>
    <row r="59610" spans="1:6" x14ac:dyDescent="0.25">
      <c r="A59610"/>
      <c r="B59610"/>
      <c r="C59610"/>
      <c r="E59610"/>
      <c r="F59610"/>
    </row>
    <row r="59611" spans="1:6" x14ac:dyDescent="0.25">
      <c r="A59611"/>
      <c r="B59611"/>
      <c r="C59611"/>
      <c r="E59611"/>
      <c r="F59611"/>
    </row>
    <row r="59612" spans="1:6" x14ac:dyDescent="0.25">
      <c r="A59612"/>
      <c r="B59612"/>
      <c r="C59612"/>
      <c r="E59612"/>
      <c r="F59612"/>
    </row>
    <row r="59613" spans="1:6" x14ac:dyDescent="0.25">
      <c r="A59613"/>
      <c r="B59613"/>
      <c r="C59613"/>
      <c r="E59613"/>
      <c r="F59613"/>
    </row>
    <row r="59614" spans="1:6" x14ac:dyDescent="0.25">
      <c r="A59614"/>
      <c r="B59614"/>
      <c r="C59614"/>
      <c r="E59614"/>
      <c r="F59614"/>
    </row>
    <row r="59615" spans="1:6" x14ac:dyDescent="0.25">
      <c r="A59615"/>
      <c r="B59615"/>
      <c r="C59615"/>
      <c r="E59615"/>
      <c r="F59615"/>
    </row>
    <row r="59616" spans="1:6" x14ac:dyDescent="0.25">
      <c r="A59616"/>
      <c r="B59616"/>
      <c r="C59616"/>
      <c r="E59616"/>
      <c r="F59616"/>
    </row>
    <row r="59617" spans="1:6" x14ac:dyDescent="0.25">
      <c r="A59617"/>
      <c r="B59617"/>
      <c r="C59617"/>
      <c r="E59617"/>
      <c r="F59617"/>
    </row>
    <row r="59618" spans="1:6" x14ac:dyDescent="0.25">
      <c r="A59618"/>
      <c r="B59618"/>
      <c r="C59618"/>
      <c r="E59618"/>
      <c r="F59618"/>
    </row>
    <row r="59619" spans="1:6" x14ac:dyDescent="0.25">
      <c r="A59619"/>
      <c r="B59619"/>
      <c r="C59619"/>
      <c r="E59619"/>
      <c r="F59619"/>
    </row>
    <row r="59620" spans="1:6" x14ac:dyDescent="0.25">
      <c r="A59620"/>
      <c r="B59620"/>
      <c r="C59620"/>
      <c r="E59620"/>
      <c r="F59620"/>
    </row>
    <row r="59621" spans="1:6" x14ac:dyDescent="0.25">
      <c r="A59621"/>
      <c r="B59621"/>
      <c r="C59621"/>
      <c r="E59621"/>
      <c r="F59621"/>
    </row>
    <row r="59622" spans="1:6" x14ac:dyDescent="0.25">
      <c r="A59622"/>
      <c r="B59622"/>
      <c r="C59622"/>
      <c r="E59622"/>
      <c r="F59622"/>
    </row>
    <row r="59623" spans="1:6" x14ac:dyDescent="0.25">
      <c r="A59623"/>
      <c r="B59623"/>
      <c r="C59623"/>
      <c r="E59623"/>
      <c r="F59623"/>
    </row>
    <row r="59624" spans="1:6" x14ac:dyDescent="0.25">
      <c r="A59624"/>
      <c r="B59624"/>
      <c r="C59624"/>
      <c r="E59624"/>
      <c r="F59624"/>
    </row>
    <row r="59625" spans="1:6" x14ac:dyDescent="0.25">
      <c r="A59625"/>
      <c r="B59625"/>
      <c r="C59625"/>
      <c r="E59625"/>
      <c r="F59625"/>
    </row>
    <row r="59626" spans="1:6" x14ac:dyDescent="0.25">
      <c r="A59626"/>
      <c r="B59626"/>
      <c r="C59626"/>
      <c r="E59626"/>
      <c r="F59626"/>
    </row>
    <row r="59627" spans="1:6" x14ac:dyDescent="0.25">
      <c r="A59627"/>
      <c r="B59627"/>
      <c r="C59627"/>
      <c r="E59627"/>
      <c r="F59627"/>
    </row>
    <row r="59628" spans="1:6" x14ac:dyDescent="0.25">
      <c r="A59628"/>
      <c r="B59628"/>
      <c r="C59628"/>
      <c r="E59628"/>
      <c r="F59628"/>
    </row>
    <row r="59629" spans="1:6" x14ac:dyDescent="0.25">
      <c r="A59629"/>
      <c r="B59629"/>
      <c r="C59629"/>
      <c r="E59629"/>
      <c r="F59629"/>
    </row>
    <row r="59630" spans="1:6" x14ac:dyDescent="0.25">
      <c r="A59630"/>
      <c r="B59630"/>
      <c r="C59630"/>
      <c r="E59630"/>
      <c r="F59630"/>
    </row>
    <row r="59631" spans="1:6" x14ac:dyDescent="0.25">
      <c r="A59631"/>
      <c r="B59631"/>
      <c r="C59631"/>
      <c r="E59631"/>
      <c r="F59631"/>
    </row>
    <row r="59632" spans="1:6" x14ac:dyDescent="0.25">
      <c r="A59632"/>
      <c r="B59632"/>
      <c r="C59632"/>
      <c r="E59632"/>
      <c r="F59632"/>
    </row>
    <row r="59633" spans="1:6" x14ac:dyDescent="0.25">
      <c r="A59633"/>
      <c r="B59633"/>
      <c r="C59633"/>
      <c r="E59633"/>
      <c r="F59633"/>
    </row>
    <row r="59634" spans="1:6" x14ac:dyDescent="0.25">
      <c r="A59634"/>
      <c r="B59634"/>
      <c r="C59634"/>
      <c r="E59634"/>
      <c r="F59634"/>
    </row>
    <row r="59635" spans="1:6" x14ac:dyDescent="0.25">
      <c r="A59635"/>
      <c r="B59635"/>
      <c r="C59635"/>
      <c r="E59635"/>
      <c r="F59635"/>
    </row>
    <row r="59636" spans="1:6" x14ac:dyDescent="0.25">
      <c r="A59636"/>
      <c r="B59636"/>
      <c r="C59636"/>
      <c r="E59636"/>
      <c r="F59636"/>
    </row>
    <row r="59637" spans="1:6" x14ac:dyDescent="0.25">
      <c r="A59637"/>
      <c r="B59637"/>
      <c r="C59637"/>
      <c r="E59637"/>
      <c r="F59637"/>
    </row>
    <row r="59638" spans="1:6" x14ac:dyDescent="0.25">
      <c r="A59638"/>
      <c r="B59638"/>
      <c r="C59638"/>
      <c r="E59638"/>
      <c r="F59638"/>
    </row>
    <row r="59639" spans="1:6" x14ac:dyDescent="0.25">
      <c r="A59639"/>
      <c r="B59639"/>
      <c r="C59639"/>
      <c r="E59639"/>
      <c r="F59639"/>
    </row>
    <row r="59640" spans="1:6" x14ac:dyDescent="0.25">
      <c r="A59640"/>
      <c r="B59640"/>
      <c r="C59640"/>
      <c r="E59640"/>
      <c r="F59640"/>
    </row>
    <row r="59641" spans="1:6" x14ac:dyDescent="0.25">
      <c r="A59641"/>
      <c r="B59641"/>
      <c r="C59641"/>
      <c r="E59641"/>
      <c r="F59641"/>
    </row>
    <row r="59642" spans="1:6" x14ac:dyDescent="0.25">
      <c r="A59642"/>
      <c r="B59642"/>
      <c r="C59642"/>
      <c r="E59642"/>
      <c r="F59642"/>
    </row>
    <row r="59643" spans="1:6" x14ac:dyDescent="0.25">
      <c r="A59643"/>
      <c r="B59643"/>
      <c r="C59643"/>
      <c r="E59643"/>
      <c r="F59643"/>
    </row>
    <row r="59644" spans="1:6" x14ac:dyDescent="0.25">
      <c r="A59644"/>
      <c r="B59644"/>
      <c r="C59644"/>
      <c r="E59644"/>
      <c r="F59644"/>
    </row>
    <row r="59645" spans="1:6" x14ac:dyDescent="0.25">
      <c r="A59645"/>
      <c r="B59645"/>
      <c r="C59645"/>
      <c r="E59645"/>
      <c r="F59645"/>
    </row>
    <row r="59646" spans="1:6" x14ac:dyDescent="0.25">
      <c r="A59646"/>
      <c r="B59646"/>
      <c r="C59646"/>
      <c r="E59646"/>
      <c r="F59646"/>
    </row>
    <row r="59647" spans="1:6" x14ac:dyDescent="0.25">
      <c r="A59647"/>
      <c r="B59647"/>
      <c r="C59647"/>
      <c r="E59647"/>
      <c r="F59647"/>
    </row>
    <row r="59648" spans="1:6" x14ac:dyDescent="0.25">
      <c r="A59648"/>
      <c r="B59648"/>
      <c r="C59648"/>
      <c r="E59648"/>
      <c r="F59648"/>
    </row>
    <row r="59649" spans="1:6" x14ac:dyDescent="0.25">
      <c r="A59649"/>
      <c r="B59649"/>
      <c r="C59649"/>
      <c r="E59649"/>
      <c r="F59649"/>
    </row>
    <row r="59650" spans="1:6" x14ac:dyDescent="0.25">
      <c r="A59650"/>
      <c r="B59650"/>
      <c r="C59650"/>
      <c r="E59650"/>
      <c r="F59650"/>
    </row>
    <row r="59651" spans="1:6" x14ac:dyDescent="0.25">
      <c r="A59651"/>
      <c r="B59651"/>
      <c r="C59651"/>
      <c r="E59651"/>
      <c r="F59651"/>
    </row>
    <row r="59652" spans="1:6" x14ac:dyDescent="0.25">
      <c r="A59652"/>
      <c r="B59652"/>
      <c r="C59652"/>
      <c r="E59652"/>
      <c r="F59652"/>
    </row>
    <row r="59653" spans="1:6" x14ac:dyDescent="0.25">
      <c r="A59653"/>
      <c r="B59653"/>
      <c r="C59653"/>
      <c r="E59653"/>
      <c r="F59653"/>
    </row>
    <row r="59654" spans="1:6" x14ac:dyDescent="0.25">
      <c r="A59654"/>
      <c r="B59654"/>
      <c r="C59654"/>
      <c r="E59654"/>
      <c r="F59654"/>
    </row>
    <row r="59655" spans="1:6" x14ac:dyDescent="0.25">
      <c r="A59655"/>
      <c r="B59655"/>
      <c r="C59655"/>
      <c r="E59655"/>
      <c r="F59655"/>
    </row>
    <row r="59656" spans="1:6" x14ac:dyDescent="0.25">
      <c r="A59656"/>
      <c r="B59656"/>
      <c r="C59656"/>
      <c r="E59656"/>
      <c r="F59656"/>
    </row>
    <row r="59657" spans="1:6" x14ac:dyDescent="0.25">
      <c r="A59657"/>
      <c r="B59657"/>
      <c r="C59657"/>
      <c r="E59657"/>
      <c r="F59657"/>
    </row>
    <row r="59658" spans="1:6" x14ac:dyDescent="0.25">
      <c r="A59658"/>
      <c r="B59658"/>
      <c r="C59658"/>
      <c r="E59658"/>
      <c r="F59658"/>
    </row>
    <row r="59659" spans="1:6" x14ac:dyDescent="0.25">
      <c r="A59659"/>
      <c r="B59659"/>
      <c r="C59659"/>
      <c r="E59659"/>
      <c r="F59659"/>
    </row>
    <row r="59660" spans="1:6" x14ac:dyDescent="0.25">
      <c r="A59660"/>
      <c r="B59660"/>
      <c r="C59660"/>
      <c r="E59660"/>
      <c r="F59660"/>
    </row>
    <row r="59661" spans="1:6" x14ac:dyDescent="0.25">
      <c r="A59661"/>
      <c r="B59661"/>
      <c r="C59661"/>
      <c r="E59661"/>
      <c r="F59661"/>
    </row>
    <row r="59662" spans="1:6" x14ac:dyDescent="0.25">
      <c r="A59662"/>
      <c r="B59662"/>
      <c r="C59662"/>
      <c r="E59662"/>
      <c r="F59662"/>
    </row>
    <row r="59663" spans="1:6" x14ac:dyDescent="0.25">
      <c r="A59663"/>
      <c r="B59663"/>
      <c r="C59663"/>
      <c r="E59663"/>
      <c r="F59663"/>
    </row>
    <row r="59664" spans="1:6" x14ac:dyDescent="0.25">
      <c r="A59664"/>
      <c r="B59664"/>
      <c r="C59664"/>
      <c r="E59664"/>
      <c r="F59664"/>
    </row>
    <row r="59665" spans="1:6" x14ac:dyDescent="0.25">
      <c r="A59665"/>
      <c r="B59665"/>
      <c r="C59665"/>
      <c r="E59665"/>
      <c r="F59665"/>
    </row>
    <row r="59666" spans="1:6" x14ac:dyDescent="0.25">
      <c r="A59666"/>
      <c r="B59666"/>
      <c r="C59666"/>
      <c r="E59666"/>
      <c r="F59666"/>
    </row>
    <row r="59667" spans="1:6" x14ac:dyDescent="0.25">
      <c r="A59667"/>
      <c r="B59667"/>
      <c r="C59667"/>
      <c r="E59667"/>
      <c r="F59667"/>
    </row>
    <row r="59668" spans="1:6" x14ac:dyDescent="0.25">
      <c r="A59668"/>
      <c r="B59668"/>
      <c r="C59668"/>
      <c r="E59668"/>
      <c r="F59668"/>
    </row>
    <row r="59669" spans="1:6" x14ac:dyDescent="0.25">
      <c r="A59669"/>
      <c r="B59669"/>
      <c r="C59669"/>
      <c r="E59669"/>
      <c r="F59669"/>
    </row>
    <row r="59670" spans="1:6" x14ac:dyDescent="0.25">
      <c r="A59670"/>
      <c r="B59670"/>
      <c r="C59670"/>
      <c r="E59670"/>
      <c r="F59670"/>
    </row>
    <row r="59671" spans="1:6" x14ac:dyDescent="0.25">
      <c r="A59671"/>
      <c r="B59671"/>
      <c r="C59671"/>
      <c r="E59671"/>
      <c r="F59671"/>
    </row>
    <row r="59672" spans="1:6" x14ac:dyDescent="0.25">
      <c r="A59672"/>
      <c r="B59672"/>
      <c r="C59672"/>
      <c r="E59672"/>
      <c r="F59672"/>
    </row>
    <row r="59673" spans="1:6" x14ac:dyDescent="0.25">
      <c r="A59673"/>
      <c r="B59673"/>
      <c r="C59673"/>
      <c r="E59673"/>
      <c r="F59673"/>
    </row>
    <row r="59674" spans="1:6" x14ac:dyDescent="0.25">
      <c r="A59674"/>
      <c r="B59674"/>
      <c r="C59674"/>
      <c r="E59674"/>
      <c r="F59674"/>
    </row>
    <row r="59675" spans="1:6" x14ac:dyDescent="0.25">
      <c r="A59675"/>
      <c r="B59675"/>
      <c r="C59675"/>
      <c r="E59675"/>
      <c r="F59675"/>
    </row>
    <row r="59676" spans="1:6" x14ac:dyDescent="0.25">
      <c r="A59676"/>
      <c r="B59676"/>
      <c r="C59676"/>
      <c r="E59676"/>
      <c r="F59676"/>
    </row>
    <row r="59677" spans="1:6" x14ac:dyDescent="0.25">
      <c r="A59677"/>
      <c r="B59677"/>
      <c r="C59677"/>
      <c r="E59677"/>
      <c r="F59677"/>
    </row>
    <row r="59678" spans="1:6" x14ac:dyDescent="0.25">
      <c r="A59678"/>
      <c r="B59678"/>
      <c r="C59678"/>
      <c r="E59678"/>
      <c r="F59678"/>
    </row>
    <row r="59679" spans="1:6" x14ac:dyDescent="0.25">
      <c r="A59679"/>
      <c r="B59679"/>
      <c r="C59679"/>
      <c r="E59679"/>
      <c r="F59679"/>
    </row>
    <row r="59680" spans="1:6" x14ac:dyDescent="0.25">
      <c r="A59680"/>
      <c r="B59680"/>
      <c r="C59680"/>
      <c r="E59680"/>
      <c r="F59680"/>
    </row>
    <row r="59681" spans="1:6" x14ac:dyDescent="0.25">
      <c r="A59681"/>
      <c r="B59681"/>
      <c r="C59681"/>
      <c r="E59681"/>
      <c r="F59681"/>
    </row>
    <row r="59682" spans="1:6" x14ac:dyDescent="0.25">
      <c r="A59682"/>
      <c r="B59682"/>
      <c r="C59682"/>
      <c r="E59682"/>
      <c r="F59682"/>
    </row>
    <row r="59683" spans="1:6" x14ac:dyDescent="0.25">
      <c r="A59683"/>
      <c r="B59683"/>
      <c r="C59683"/>
      <c r="E59683"/>
      <c r="F59683"/>
    </row>
    <row r="59684" spans="1:6" x14ac:dyDescent="0.25">
      <c r="A59684"/>
      <c r="B59684"/>
      <c r="C59684"/>
      <c r="E59684"/>
      <c r="F59684"/>
    </row>
    <row r="59685" spans="1:6" x14ac:dyDescent="0.25">
      <c r="A59685"/>
      <c r="B59685"/>
      <c r="C59685"/>
      <c r="E59685"/>
      <c r="F59685"/>
    </row>
    <row r="59686" spans="1:6" x14ac:dyDescent="0.25">
      <c r="A59686"/>
      <c r="B59686"/>
      <c r="C59686"/>
      <c r="E59686"/>
      <c r="F59686"/>
    </row>
    <row r="59687" spans="1:6" x14ac:dyDescent="0.25">
      <c r="A59687"/>
      <c r="B59687"/>
      <c r="C59687"/>
      <c r="E59687"/>
      <c r="F59687"/>
    </row>
    <row r="59688" spans="1:6" x14ac:dyDescent="0.25">
      <c r="A59688"/>
      <c r="B59688"/>
      <c r="C59688"/>
      <c r="E59688"/>
      <c r="F59688"/>
    </row>
    <row r="59689" spans="1:6" x14ac:dyDescent="0.25">
      <c r="A59689"/>
      <c r="B59689"/>
      <c r="C59689"/>
      <c r="E59689"/>
      <c r="F59689"/>
    </row>
    <row r="59690" spans="1:6" x14ac:dyDescent="0.25">
      <c r="A59690"/>
      <c r="B59690"/>
      <c r="C59690"/>
      <c r="E59690"/>
      <c r="F59690"/>
    </row>
    <row r="59691" spans="1:6" x14ac:dyDescent="0.25">
      <c r="A59691"/>
      <c r="B59691"/>
      <c r="C59691"/>
      <c r="E59691"/>
      <c r="F59691"/>
    </row>
    <row r="59692" spans="1:6" x14ac:dyDescent="0.25">
      <c r="A59692"/>
      <c r="B59692"/>
      <c r="C59692"/>
      <c r="E59692"/>
      <c r="F59692"/>
    </row>
    <row r="59693" spans="1:6" x14ac:dyDescent="0.25">
      <c r="A59693"/>
      <c r="B59693"/>
      <c r="C59693"/>
      <c r="E59693"/>
      <c r="F59693"/>
    </row>
    <row r="59694" spans="1:6" x14ac:dyDescent="0.25">
      <c r="A59694"/>
      <c r="B59694"/>
      <c r="C59694"/>
      <c r="E59694"/>
      <c r="F59694"/>
    </row>
    <row r="59695" spans="1:6" x14ac:dyDescent="0.25">
      <c r="A59695"/>
      <c r="B59695"/>
      <c r="C59695"/>
      <c r="E59695"/>
      <c r="F59695"/>
    </row>
    <row r="59696" spans="1:6" x14ac:dyDescent="0.25">
      <c r="A59696"/>
      <c r="B59696"/>
      <c r="C59696"/>
      <c r="E59696"/>
      <c r="F59696"/>
    </row>
    <row r="59697" spans="1:6" x14ac:dyDescent="0.25">
      <c r="A59697"/>
      <c r="B59697"/>
      <c r="C59697"/>
      <c r="E59697"/>
      <c r="F59697"/>
    </row>
    <row r="59698" spans="1:6" x14ac:dyDescent="0.25">
      <c r="A59698"/>
      <c r="B59698"/>
      <c r="C59698"/>
      <c r="E59698"/>
      <c r="F59698"/>
    </row>
    <row r="59699" spans="1:6" x14ac:dyDescent="0.25">
      <c r="A59699"/>
      <c r="B59699"/>
      <c r="C59699"/>
      <c r="E59699"/>
      <c r="F59699"/>
    </row>
    <row r="59700" spans="1:6" x14ac:dyDescent="0.25">
      <c r="A59700"/>
      <c r="B59700"/>
      <c r="C59700"/>
      <c r="E59700"/>
      <c r="F59700"/>
    </row>
    <row r="59701" spans="1:6" x14ac:dyDescent="0.25">
      <c r="A59701"/>
      <c r="B59701"/>
      <c r="C59701"/>
      <c r="E59701"/>
      <c r="F59701"/>
    </row>
    <row r="59702" spans="1:6" x14ac:dyDescent="0.25">
      <c r="A59702"/>
      <c r="B59702"/>
      <c r="C59702"/>
      <c r="E59702"/>
      <c r="F59702"/>
    </row>
    <row r="59703" spans="1:6" x14ac:dyDescent="0.25">
      <c r="A59703"/>
      <c r="B59703"/>
      <c r="C59703"/>
      <c r="E59703"/>
      <c r="F59703"/>
    </row>
    <row r="59704" spans="1:6" x14ac:dyDescent="0.25">
      <c r="A59704"/>
      <c r="B59704"/>
      <c r="C59704"/>
      <c r="E59704"/>
      <c r="F59704"/>
    </row>
    <row r="59705" spans="1:6" x14ac:dyDescent="0.25">
      <c r="A59705"/>
      <c r="B59705"/>
      <c r="C59705"/>
      <c r="E59705"/>
      <c r="F59705"/>
    </row>
    <row r="59706" spans="1:6" x14ac:dyDescent="0.25">
      <c r="A59706"/>
      <c r="B59706"/>
      <c r="C59706"/>
      <c r="E59706"/>
      <c r="F59706"/>
    </row>
    <row r="59707" spans="1:6" x14ac:dyDescent="0.25">
      <c r="A59707"/>
      <c r="B59707"/>
      <c r="C59707"/>
      <c r="E59707"/>
      <c r="F59707"/>
    </row>
    <row r="59708" spans="1:6" x14ac:dyDescent="0.25">
      <c r="A59708"/>
      <c r="B59708"/>
      <c r="C59708"/>
      <c r="E59708"/>
      <c r="F59708"/>
    </row>
    <row r="59709" spans="1:6" x14ac:dyDescent="0.25">
      <c r="A59709"/>
      <c r="B59709"/>
      <c r="C59709"/>
      <c r="E59709"/>
      <c r="F59709"/>
    </row>
    <row r="59710" spans="1:6" x14ac:dyDescent="0.25">
      <c r="A59710"/>
      <c r="B59710"/>
      <c r="C59710"/>
      <c r="E59710"/>
      <c r="F59710"/>
    </row>
    <row r="59711" spans="1:6" x14ac:dyDescent="0.25">
      <c r="A59711"/>
      <c r="B59711"/>
      <c r="C59711"/>
      <c r="E59711"/>
      <c r="F59711"/>
    </row>
    <row r="59712" spans="1:6" x14ac:dyDescent="0.25">
      <c r="A59712"/>
      <c r="B59712"/>
      <c r="C59712"/>
      <c r="E59712"/>
      <c r="F59712"/>
    </row>
    <row r="59713" spans="1:6" x14ac:dyDescent="0.25">
      <c r="A59713"/>
      <c r="B59713"/>
      <c r="C59713"/>
      <c r="E59713"/>
      <c r="F59713"/>
    </row>
    <row r="59714" spans="1:6" x14ac:dyDescent="0.25">
      <c r="A59714"/>
      <c r="B59714"/>
      <c r="C59714"/>
      <c r="E59714"/>
      <c r="F59714"/>
    </row>
    <row r="59715" spans="1:6" x14ac:dyDescent="0.25">
      <c r="A59715"/>
      <c r="B59715"/>
      <c r="C59715"/>
      <c r="E59715"/>
      <c r="F59715"/>
    </row>
    <row r="59716" spans="1:6" x14ac:dyDescent="0.25">
      <c r="A59716"/>
      <c r="B59716"/>
      <c r="C59716"/>
      <c r="E59716"/>
      <c r="F59716"/>
    </row>
    <row r="59717" spans="1:6" x14ac:dyDescent="0.25">
      <c r="A59717"/>
      <c r="B59717"/>
      <c r="C59717"/>
      <c r="E59717"/>
      <c r="F59717"/>
    </row>
    <row r="59718" spans="1:6" x14ac:dyDescent="0.25">
      <c r="A59718"/>
      <c r="B59718"/>
      <c r="C59718"/>
      <c r="E59718"/>
      <c r="F59718"/>
    </row>
    <row r="59719" spans="1:6" x14ac:dyDescent="0.25">
      <c r="A59719"/>
      <c r="B59719"/>
      <c r="C59719"/>
      <c r="E59719"/>
      <c r="F59719"/>
    </row>
    <row r="59720" spans="1:6" x14ac:dyDescent="0.25">
      <c r="A59720"/>
      <c r="B59720"/>
      <c r="C59720"/>
      <c r="E59720"/>
      <c r="F59720"/>
    </row>
    <row r="59721" spans="1:6" x14ac:dyDescent="0.25">
      <c r="A59721"/>
      <c r="B59721"/>
      <c r="C59721"/>
      <c r="E59721"/>
      <c r="F59721"/>
    </row>
    <row r="59722" spans="1:6" x14ac:dyDescent="0.25">
      <c r="A59722"/>
      <c r="B59722"/>
      <c r="C59722"/>
      <c r="E59722"/>
      <c r="F59722"/>
    </row>
    <row r="59723" spans="1:6" x14ac:dyDescent="0.25">
      <c r="A59723"/>
      <c r="B59723"/>
      <c r="C59723"/>
      <c r="E59723"/>
      <c r="F59723"/>
    </row>
    <row r="59724" spans="1:6" x14ac:dyDescent="0.25">
      <c r="A59724"/>
      <c r="B59724"/>
      <c r="C59724"/>
      <c r="E59724"/>
      <c r="F59724"/>
    </row>
    <row r="59725" spans="1:6" x14ac:dyDescent="0.25">
      <c r="A59725"/>
      <c r="B59725"/>
      <c r="C59725"/>
      <c r="E59725"/>
      <c r="F59725"/>
    </row>
    <row r="59726" spans="1:6" x14ac:dyDescent="0.25">
      <c r="A59726"/>
      <c r="B59726"/>
      <c r="C59726"/>
      <c r="E59726"/>
      <c r="F59726"/>
    </row>
    <row r="59727" spans="1:6" x14ac:dyDescent="0.25">
      <c r="A59727"/>
      <c r="B59727"/>
      <c r="C59727"/>
      <c r="E59727"/>
      <c r="F59727"/>
    </row>
    <row r="59728" spans="1:6" x14ac:dyDescent="0.25">
      <c r="A59728"/>
      <c r="B59728"/>
      <c r="C59728"/>
      <c r="E59728"/>
      <c r="F59728"/>
    </row>
    <row r="59729" spans="1:6" x14ac:dyDescent="0.25">
      <c r="A59729"/>
      <c r="B59729"/>
      <c r="C59729"/>
      <c r="E59729"/>
      <c r="F59729"/>
    </row>
    <row r="59730" spans="1:6" x14ac:dyDescent="0.25">
      <c r="A59730"/>
      <c r="B59730"/>
      <c r="C59730"/>
      <c r="E59730"/>
      <c r="F59730"/>
    </row>
    <row r="59731" spans="1:6" x14ac:dyDescent="0.25">
      <c r="A59731"/>
      <c r="B59731"/>
      <c r="C59731"/>
      <c r="E59731"/>
      <c r="F59731"/>
    </row>
    <row r="59732" spans="1:6" x14ac:dyDescent="0.25">
      <c r="A59732"/>
      <c r="B59732"/>
      <c r="C59732"/>
      <c r="E59732"/>
      <c r="F59732"/>
    </row>
    <row r="59733" spans="1:6" x14ac:dyDescent="0.25">
      <c r="A59733"/>
      <c r="B59733"/>
      <c r="C59733"/>
      <c r="E59733"/>
      <c r="F59733"/>
    </row>
    <row r="59734" spans="1:6" x14ac:dyDescent="0.25">
      <c r="A59734"/>
      <c r="B59734"/>
      <c r="C59734"/>
      <c r="E59734"/>
      <c r="F59734"/>
    </row>
    <row r="59735" spans="1:6" x14ac:dyDescent="0.25">
      <c r="A59735"/>
      <c r="B59735"/>
      <c r="C59735"/>
      <c r="E59735"/>
      <c r="F59735"/>
    </row>
    <row r="59736" spans="1:6" x14ac:dyDescent="0.25">
      <c r="A59736"/>
      <c r="B59736"/>
      <c r="C59736"/>
      <c r="E59736"/>
      <c r="F59736"/>
    </row>
    <row r="59737" spans="1:6" x14ac:dyDescent="0.25">
      <c r="A59737"/>
      <c r="B59737"/>
      <c r="C59737"/>
      <c r="E59737"/>
      <c r="F59737"/>
    </row>
    <row r="59738" spans="1:6" x14ac:dyDescent="0.25">
      <c r="A59738"/>
      <c r="B59738"/>
      <c r="C59738"/>
      <c r="E59738"/>
      <c r="F59738"/>
    </row>
    <row r="59739" spans="1:6" x14ac:dyDescent="0.25">
      <c r="A59739"/>
      <c r="B59739"/>
      <c r="C59739"/>
      <c r="E59739"/>
      <c r="F59739"/>
    </row>
    <row r="59740" spans="1:6" x14ac:dyDescent="0.25">
      <c r="A59740"/>
      <c r="B59740"/>
      <c r="C59740"/>
      <c r="E59740"/>
      <c r="F59740"/>
    </row>
    <row r="59741" spans="1:6" x14ac:dyDescent="0.25">
      <c r="A59741"/>
      <c r="B59741"/>
      <c r="C59741"/>
      <c r="E59741"/>
      <c r="F59741"/>
    </row>
    <row r="59742" spans="1:6" x14ac:dyDescent="0.25">
      <c r="A59742"/>
      <c r="B59742"/>
      <c r="C59742"/>
      <c r="E59742"/>
      <c r="F59742"/>
    </row>
    <row r="59743" spans="1:6" x14ac:dyDescent="0.25">
      <c r="A59743"/>
      <c r="B59743"/>
      <c r="C59743"/>
      <c r="E59743"/>
      <c r="F59743"/>
    </row>
    <row r="59744" spans="1:6" x14ac:dyDescent="0.25">
      <c r="A59744"/>
      <c r="B59744"/>
      <c r="C59744"/>
      <c r="E59744"/>
      <c r="F59744"/>
    </row>
    <row r="59745" spans="1:6" x14ac:dyDescent="0.25">
      <c r="A59745"/>
      <c r="B59745"/>
      <c r="C59745"/>
      <c r="E59745"/>
      <c r="F59745"/>
    </row>
    <row r="59746" spans="1:6" x14ac:dyDescent="0.25">
      <c r="A59746"/>
      <c r="B59746"/>
      <c r="C59746"/>
      <c r="E59746"/>
      <c r="F59746"/>
    </row>
    <row r="59747" spans="1:6" x14ac:dyDescent="0.25">
      <c r="A59747"/>
      <c r="B59747"/>
      <c r="C59747"/>
      <c r="E59747"/>
      <c r="F59747"/>
    </row>
    <row r="59748" spans="1:6" x14ac:dyDescent="0.25">
      <c r="A59748"/>
      <c r="B59748"/>
      <c r="C59748"/>
      <c r="E59748"/>
      <c r="F59748"/>
    </row>
    <row r="59749" spans="1:6" x14ac:dyDescent="0.25">
      <c r="A59749"/>
      <c r="B59749"/>
      <c r="C59749"/>
      <c r="E59749"/>
      <c r="F59749"/>
    </row>
    <row r="59750" spans="1:6" x14ac:dyDescent="0.25">
      <c r="A59750"/>
      <c r="B59750"/>
      <c r="C59750"/>
      <c r="E59750"/>
      <c r="F59750"/>
    </row>
    <row r="59751" spans="1:6" x14ac:dyDescent="0.25">
      <c r="A59751"/>
      <c r="B59751"/>
      <c r="C59751"/>
      <c r="E59751"/>
      <c r="F59751"/>
    </row>
    <row r="59752" spans="1:6" x14ac:dyDescent="0.25">
      <c r="A59752"/>
      <c r="B59752"/>
      <c r="C59752"/>
      <c r="E59752"/>
      <c r="F59752"/>
    </row>
    <row r="59753" spans="1:6" x14ac:dyDescent="0.25">
      <c r="A59753"/>
      <c r="B59753"/>
      <c r="C59753"/>
      <c r="E59753"/>
      <c r="F59753"/>
    </row>
    <row r="59754" spans="1:6" x14ac:dyDescent="0.25">
      <c r="A59754"/>
      <c r="B59754"/>
      <c r="C59754"/>
      <c r="E59754"/>
      <c r="F59754"/>
    </row>
    <row r="59755" spans="1:6" x14ac:dyDescent="0.25">
      <c r="A59755"/>
      <c r="B59755"/>
      <c r="C59755"/>
      <c r="E59755"/>
      <c r="F59755"/>
    </row>
    <row r="59756" spans="1:6" x14ac:dyDescent="0.25">
      <c r="A59756"/>
      <c r="B59756"/>
      <c r="C59756"/>
      <c r="E59756"/>
      <c r="F59756"/>
    </row>
    <row r="59757" spans="1:6" x14ac:dyDescent="0.25">
      <c r="A59757"/>
      <c r="B59757"/>
      <c r="C59757"/>
      <c r="E59757"/>
      <c r="F59757"/>
    </row>
    <row r="59758" spans="1:6" x14ac:dyDescent="0.25">
      <c r="A59758"/>
      <c r="B59758"/>
      <c r="C59758"/>
      <c r="E59758"/>
      <c r="F59758"/>
    </row>
    <row r="59759" spans="1:6" x14ac:dyDescent="0.25">
      <c r="A59759"/>
      <c r="B59759"/>
      <c r="C59759"/>
      <c r="E59759"/>
      <c r="F59759"/>
    </row>
    <row r="59760" spans="1:6" x14ac:dyDescent="0.25">
      <c r="A59760"/>
      <c r="B59760"/>
      <c r="C59760"/>
      <c r="E59760"/>
      <c r="F59760"/>
    </row>
    <row r="59761" spans="1:6" x14ac:dyDescent="0.25">
      <c r="A59761"/>
      <c r="B59761"/>
      <c r="C59761"/>
      <c r="E59761"/>
      <c r="F59761"/>
    </row>
    <row r="59762" spans="1:6" x14ac:dyDescent="0.25">
      <c r="A59762"/>
      <c r="B59762"/>
      <c r="C59762"/>
      <c r="E59762"/>
      <c r="F59762"/>
    </row>
    <row r="59763" spans="1:6" x14ac:dyDescent="0.25">
      <c r="A59763"/>
      <c r="B59763"/>
      <c r="C59763"/>
      <c r="E59763"/>
      <c r="F59763"/>
    </row>
    <row r="59764" spans="1:6" x14ac:dyDescent="0.25">
      <c r="A59764"/>
      <c r="B59764"/>
      <c r="C59764"/>
      <c r="E59764"/>
      <c r="F59764"/>
    </row>
    <row r="59765" spans="1:6" x14ac:dyDescent="0.25">
      <c r="A59765"/>
      <c r="B59765"/>
      <c r="C59765"/>
      <c r="E59765"/>
      <c r="F59765"/>
    </row>
    <row r="59766" spans="1:6" x14ac:dyDescent="0.25">
      <c r="A59766"/>
      <c r="B59766"/>
      <c r="C59766"/>
      <c r="E59766"/>
      <c r="F59766"/>
    </row>
    <row r="59767" spans="1:6" x14ac:dyDescent="0.25">
      <c r="A59767"/>
      <c r="B59767"/>
      <c r="C59767"/>
      <c r="E59767"/>
      <c r="F59767"/>
    </row>
    <row r="59768" spans="1:6" x14ac:dyDescent="0.25">
      <c r="A59768"/>
      <c r="B59768"/>
      <c r="C59768"/>
      <c r="E59768"/>
      <c r="F59768"/>
    </row>
    <row r="59769" spans="1:6" x14ac:dyDescent="0.25">
      <c r="A59769"/>
      <c r="B59769"/>
      <c r="C59769"/>
      <c r="E59769"/>
      <c r="F59769"/>
    </row>
    <row r="59770" spans="1:6" x14ac:dyDescent="0.25">
      <c r="A59770"/>
      <c r="B59770"/>
      <c r="C59770"/>
      <c r="E59770"/>
      <c r="F59770"/>
    </row>
    <row r="59771" spans="1:6" x14ac:dyDescent="0.25">
      <c r="A59771"/>
      <c r="B59771"/>
      <c r="C59771"/>
      <c r="E59771"/>
      <c r="F59771"/>
    </row>
    <row r="59772" spans="1:6" x14ac:dyDescent="0.25">
      <c r="A59772"/>
      <c r="B59772"/>
      <c r="C59772"/>
      <c r="E59772"/>
      <c r="F59772"/>
    </row>
    <row r="59773" spans="1:6" x14ac:dyDescent="0.25">
      <c r="A59773"/>
      <c r="B59773"/>
      <c r="C59773"/>
      <c r="E59773"/>
      <c r="F59773"/>
    </row>
    <row r="59774" spans="1:6" x14ac:dyDescent="0.25">
      <c r="A59774"/>
      <c r="B59774"/>
      <c r="C59774"/>
      <c r="E59774"/>
      <c r="F59774"/>
    </row>
    <row r="59775" spans="1:6" x14ac:dyDescent="0.25">
      <c r="A59775"/>
      <c r="B59775"/>
      <c r="C59775"/>
      <c r="E59775"/>
      <c r="F59775"/>
    </row>
    <row r="59776" spans="1:6" x14ac:dyDescent="0.25">
      <c r="A59776"/>
      <c r="B59776"/>
      <c r="C59776"/>
      <c r="E59776"/>
      <c r="F59776"/>
    </row>
    <row r="59777" spans="1:6" x14ac:dyDescent="0.25">
      <c r="A59777"/>
      <c r="B59777"/>
      <c r="C59777"/>
      <c r="E59777"/>
      <c r="F59777"/>
    </row>
    <row r="59778" spans="1:6" x14ac:dyDescent="0.25">
      <c r="A59778"/>
      <c r="B59778"/>
      <c r="C59778"/>
      <c r="E59778"/>
      <c r="F59778"/>
    </row>
    <row r="59779" spans="1:6" x14ac:dyDescent="0.25">
      <c r="A59779"/>
      <c r="B59779"/>
      <c r="C59779"/>
      <c r="E59779"/>
      <c r="F59779"/>
    </row>
    <row r="59780" spans="1:6" x14ac:dyDescent="0.25">
      <c r="A59780"/>
      <c r="B59780"/>
      <c r="C59780"/>
      <c r="E59780"/>
      <c r="F59780"/>
    </row>
    <row r="59781" spans="1:6" x14ac:dyDescent="0.25">
      <c r="A59781"/>
      <c r="B59781"/>
      <c r="C59781"/>
      <c r="E59781"/>
      <c r="F59781"/>
    </row>
    <row r="59782" spans="1:6" x14ac:dyDescent="0.25">
      <c r="A59782"/>
      <c r="B59782"/>
      <c r="C59782"/>
      <c r="E59782"/>
      <c r="F59782"/>
    </row>
    <row r="59783" spans="1:6" x14ac:dyDescent="0.25">
      <c r="A59783"/>
      <c r="B59783"/>
      <c r="C59783"/>
      <c r="E59783"/>
      <c r="F59783"/>
    </row>
    <row r="59784" spans="1:6" x14ac:dyDescent="0.25">
      <c r="A59784"/>
      <c r="B59784"/>
      <c r="C59784"/>
      <c r="E59784"/>
      <c r="F59784"/>
    </row>
    <row r="59785" spans="1:6" x14ac:dyDescent="0.25">
      <c r="A59785"/>
      <c r="B59785"/>
      <c r="C59785"/>
      <c r="E59785"/>
      <c r="F59785"/>
    </row>
    <row r="59786" spans="1:6" x14ac:dyDescent="0.25">
      <c r="A59786"/>
      <c r="B59786"/>
      <c r="C59786"/>
      <c r="E59786"/>
      <c r="F59786"/>
    </row>
    <row r="59787" spans="1:6" x14ac:dyDescent="0.25">
      <c r="A59787"/>
      <c r="B59787"/>
      <c r="C59787"/>
      <c r="E59787"/>
      <c r="F59787"/>
    </row>
    <row r="59788" spans="1:6" x14ac:dyDescent="0.25">
      <c r="A59788"/>
      <c r="B59788"/>
      <c r="C59788"/>
      <c r="E59788"/>
      <c r="F59788"/>
    </row>
    <row r="59789" spans="1:6" x14ac:dyDescent="0.25">
      <c r="A59789"/>
      <c r="B59789"/>
      <c r="C59789"/>
      <c r="E59789"/>
      <c r="F59789"/>
    </row>
    <row r="59790" spans="1:6" x14ac:dyDescent="0.25">
      <c r="A59790"/>
      <c r="B59790"/>
      <c r="C59790"/>
      <c r="E59790"/>
      <c r="F59790"/>
    </row>
    <row r="59791" spans="1:6" x14ac:dyDescent="0.25">
      <c r="A59791"/>
      <c r="B59791"/>
      <c r="C59791"/>
      <c r="E59791"/>
      <c r="F59791"/>
    </row>
    <row r="59792" spans="1:6" x14ac:dyDescent="0.25">
      <c r="A59792"/>
      <c r="B59792"/>
      <c r="C59792"/>
      <c r="E59792"/>
      <c r="F59792"/>
    </row>
    <row r="59793" spans="1:6" x14ac:dyDescent="0.25">
      <c r="A59793"/>
      <c r="B59793"/>
      <c r="C59793"/>
      <c r="E59793"/>
      <c r="F59793"/>
    </row>
    <row r="59794" spans="1:6" x14ac:dyDescent="0.25">
      <c r="A59794"/>
      <c r="B59794"/>
      <c r="C59794"/>
      <c r="E59794"/>
      <c r="F59794"/>
    </row>
    <row r="59795" spans="1:6" x14ac:dyDescent="0.25">
      <c r="A59795"/>
      <c r="B59795"/>
      <c r="C59795"/>
      <c r="E59795"/>
      <c r="F59795"/>
    </row>
    <row r="59796" spans="1:6" x14ac:dyDescent="0.25">
      <c r="A59796"/>
      <c r="B59796"/>
      <c r="C59796"/>
      <c r="E59796"/>
      <c r="F59796"/>
    </row>
    <row r="59797" spans="1:6" x14ac:dyDescent="0.25">
      <c r="A59797"/>
      <c r="B59797"/>
      <c r="C59797"/>
      <c r="E59797"/>
      <c r="F59797"/>
    </row>
    <row r="59798" spans="1:6" x14ac:dyDescent="0.25">
      <c r="A59798"/>
      <c r="B59798"/>
      <c r="C59798"/>
      <c r="E59798"/>
      <c r="F59798"/>
    </row>
    <row r="59799" spans="1:6" x14ac:dyDescent="0.25">
      <c r="A59799"/>
      <c r="B59799"/>
      <c r="C59799"/>
      <c r="E59799"/>
      <c r="F59799"/>
    </row>
    <row r="59800" spans="1:6" x14ac:dyDescent="0.25">
      <c r="A59800"/>
      <c r="B59800"/>
      <c r="C59800"/>
      <c r="E59800"/>
      <c r="F59800"/>
    </row>
    <row r="59801" spans="1:6" x14ac:dyDescent="0.25">
      <c r="A59801"/>
      <c r="B59801"/>
      <c r="C59801"/>
      <c r="E59801"/>
      <c r="F59801"/>
    </row>
    <row r="59802" spans="1:6" x14ac:dyDescent="0.25">
      <c r="A59802"/>
      <c r="B59802"/>
      <c r="C59802"/>
      <c r="E59802"/>
      <c r="F59802"/>
    </row>
    <row r="59803" spans="1:6" x14ac:dyDescent="0.25">
      <c r="A59803"/>
      <c r="B59803"/>
      <c r="C59803"/>
      <c r="E59803"/>
      <c r="F59803"/>
    </row>
    <row r="59804" spans="1:6" x14ac:dyDescent="0.25">
      <c r="A59804"/>
      <c r="B59804"/>
      <c r="C59804"/>
      <c r="E59804"/>
      <c r="F59804"/>
    </row>
    <row r="59805" spans="1:6" x14ac:dyDescent="0.25">
      <c r="A59805"/>
      <c r="B59805"/>
      <c r="C59805"/>
      <c r="E59805"/>
      <c r="F59805"/>
    </row>
    <row r="59806" spans="1:6" x14ac:dyDescent="0.25">
      <c r="A59806"/>
      <c r="B59806"/>
      <c r="C59806"/>
      <c r="E59806"/>
      <c r="F59806"/>
    </row>
    <row r="59807" spans="1:6" x14ac:dyDescent="0.25">
      <c r="A59807"/>
      <c r="B59807"/>
      <c r="C59807"/>
      <c r="E59807"/>
      <c r="F59807"/>
    </row>
    <row r="59808" spans="1:6" x14ac:dyDescent="0.25">
      <c r="A59808"/>
      <c r="B59808"/>
      <c r="C59808"/>
      <c r="E59808"/>
      <c r="F59808"/>
    </row>
    <row r="59809" spans="1:6" x14ac:dyDescent="0.25">
      <c r="A59809"/>
      <c r="B59809"/>
      <c r="C59809"/>
      <c r="E59809"/>
      <c r="F59809"/>
    </row>
    <row r="59810" spans="1:6" x14ac:dyDescent="0.25">
      <c r="A59810"/>
      <c r="B59810"/>
      <c r="C59810"/>
      <c r="E59810"/>
      <c r="F59810"/>
    </row>
    <row r="59811" spans="1:6" x14ac:dyDescent="0.25">
      <c r="A59811"/>
      <c r="B59811"/>
      <c r="C59811"/>
      <c r="E59811"/>
      <c r="F59811"/>
    </row>
    <row r="59812" spans="1:6" x14ac:dyDescent="0.25">
      <c r="A59812"/>
      <c r="B59812"/>
      <c r="C59812"/>
      <c r="E59812"/>
      <c r="F59812"/>
    </row>
    <row r="59813" spans="1:6" x14ac:dyDescent="0.25">
      <c r="A59813"/>
      <c r="B59813"/>
      <c r="C59813"/>
      <c r="E59813"/>
      <c r="F59813"/>
    </row>
    <row r="59814" spans="1:6" x14ac:dyDescent="0.25">
      <c r="A59814"/>
      <c r="B59814"/>
      <c r="C59814"/>
      <c r="E59814"/>
      <c r="F59814"/>
    </row>
    <row r="59815" spans="1:6" x14ac:dyDescent="0.25">
      <c r="A59815"/>
      <c r="B59815"/>
      <c r="C59815"/>
      <c r="E59815"/>
      <c r="F59815"/>
    </row>
    <row r="59816" spans="1:6" x14ac:dyDescent="0.25">
      <c r="A59816"/>
      <c r="B59816"/>
      <c r="C59816"/>
      <c r="E59816"/>
      <c r="F59816"/>
    </row>
    <row r="59817" spans="1:6" x14ac:dyDescent="0.25">
      <c r="A59817"/>
      <c r="B59817"/>
      <c r="C59817"/>
      <c r="E59817"/>
      <c r="F59817"/>
    </row>
    <row r="59818" spans="1:6" x14ac:dyDescent="0.25">
      <c r="A59818"/>
      <c r="B59818"/>
      <c r="C59818"/>
      <c r="E59818"/>
      <c r="F59818"/>
    </row>
    <row r="59819" spans="1:6" x14ac:dyDescent="0.25">
      <c r="A59819"/>
      <c r="B59819"/>
      <c r="C59819"/>
      <c r="E59819"/>
      <c r="F59819"/>
    </row>
    <row r="59820" spans="1:6" x14ac:dyDescent="0.25">
      <c r="A59820"/>
      <c r="B59820"/>
      <c r="C59820"/>
      <c r="E59820"/>
      <c r="F59820"/>
    </row>
    <row r="59821" spans="1:6" x14ac:dyDescent="0.25">
      <c r="A59821"/>
      <c r="B59821"/>
      <c r="C59821"/>
      <c r="E59821"/>
      <c r="F59821"/>
    </row>
    <row r="59822" spans="1:6" x14ac:dyDescent="0.25">
      <c r="A59822"/>
      <c r="B59822"/>
      <c r="C59822"/>
      <c r="E59822"/>
      <c r="F59822"/>
    </row>
    <row r="59823" spans="1:6" x14ac:dyDescent="0.25">
      <c r="A59823"/>
      <c r="B59823"/>
      <c r="C59823"/>
      <c r="E59823"/>
      <c r="F59823"/>
    </row>
    <row r="59824" spans="1:6" x14ac:dyDescent="0.25">
      <c r="A59824"/>
      <c r="B59824"/>
      <c r="C59824"/>
      <c r="E59824"/>
      <c r="F59824"/>
    </row>
    <row r="59825" spans="1:6" x14ac:dyDescent="0.25">
      <c r="A59825"/>
      <c r="B59825"/>
      <c r="C59825"/>
      <c r="E59825"/>
      <c r="F59825"/>
    </row>
    <row r="59826" spans="1:6" x14ac:dyDescent="0.25">
      <c r="A59826"/>
      <c r="B59826"/>
      <c r="C59826"/>
      <c r="E59826"/>
      <c r="F59826"/>
    </row>
    <row r="59827" spans="1:6" x14ac:dyDescent="0.25">
      <c r="A59827"/>
      <c r="B59827"/>
      <c r="C59827"/>
      <c r="E59827"/>
      <c r="F59827"/>
    </row>
    <row r="59828" spans="1:6" x14ac:dyDescent="0.25">
      <c r="A59828"/>
      <c r="B59828"/>
      <c r="C59828"/>
      <c r="E59828"/>
      <c r="F59828"/>
    </row>
    <row r="59829" spans="1:6" x14ac:dyDescent="0.25">
      <c r="A59829"/>
      <c r="B59829"/>
      <c r="C59829"/>
      <c r="E59829"/>
      <c r="F59829"/>
    </row>
    <row r="59830" spans="1:6" x14ac:dyDescent="0.25">
      <c r="A59830"/>
      <c r="B59830"/>
      <c r="C59830"/>
      <c r="E59830"/>
      <c r="F59830"/>
    </row>
    <row r="59831" spans="1:6" x14ac:dyDescent="0.25">
      <c r="A59831"/>
      <c r="B59831"/>
      <c r="C59831"/>
      <c r="E59831"/>
      <c r="F59831"/>
    </row>
    <row r="59832" spans="1:6" x14ac:dyDescent="0.25">
      <c r="A59832"/>
      <c r="B59832"/>
      <c r="C59832"/>
      <c r="E59832"/>
      <c r="F59832"/>
    </row>
    <row r="59833" spans="1:6" x14ac:dyDescent="0.25">
      <c r="A59833"/>
      <c r="B59833"/>
      <c r="C59833"/>
      <c r="E59833"/>
      <c r="F59833"/>
    </row>
    <row r="59834" spans="1:6" x14ac:dyDescent="0.25">
      <c r="A59834"/>
      <c r="B59834"/>
      <c r="C59834"/>
      <c r="E59834"/>
      <c r="F59834"/>
    </row>
    <row r="59835" spans="1:6" x14ac:dyDescent="0.25">
      <c r="A59835"/>
      <c r="B59835"/>
      <c r="C59835"/>
      <c r="E59835"/>
      <c r="F59835"/>
    </row>
    <row r="59836" spans="1:6" x14ac:dyDescent="0.25">
      <c r="A59836"/>
      <c r="B59836"/>
      <c r="C59836"/>
      <c r="E59836"/>
      <c r="F59836"/>
    </row>
    <row r="59837" spans="1:6" x14ac:dyDescent="0.25">
      <c r="A59837"/>
      <c r="B59837"/>
      <c r="C59837"/>
      <c r="E59837"/>
      <c r="F59837"/>
    </row>
    <row r="59838" spans="1:6" x14ac:dyDescent="0.25">
      <c r="A59838"/>
      <c r="B59838"/>
      <c r="C59838"/>
      <c r="E59838"/>
      <c r="F59838"/>
    </row>
    <row r="59839" spans="1:6" x14ac:dyDescent="0.25">
      <c r="A59839"/>
      <c r="B59839"/>
      <c r="C59839"/>
      <c r="E59839"/>
      <c r="F59839"/>
    </row>
    <row r="59840" spans="1:6" x14ac:dyDescent="0.25">
      <c r="A59840"/>
      <c r="B59840"/>
      <c r="C59840"/>
      <c r="E59840"/>
      <c r="F59840"/>
    </row>
    <row r="59841" spans="1:6" x14ac:dyDescent="0.25">
      <c r="A59841"/>
      <c r="B59841"/>
      <c r="C59841"/>
      <c r="E59841"/>
      <c r="F59841"/>
    </row>
    <row r="59842" spans="1:6" x14ac:dyDescent="0.25">
      <c r="A59842"/>
      <c r="B59842"/>
      <c r="C59842"/>
      <c r="E59842"/>
      <c r="F59842"/>
    </row>
    <row r="59843" spans="1:6" x14ac:dyDescent="0.25">
      <c r="A59843"/>
      <c r="B59843"/>
      <c r="C59843"/>
      <c r="E59843"/>
      <c r="F59843"/>
    </row>
    <row r="59844" spans="1:6" x14ac:dyDescent="0.25">
      <c r="A59844"/>
      <c r="B59844"/>
      <c r="C59844"/>
      <c r="E59844"/>
      <c r="F59844"/>
    </row>
    <row r="59845" spans="1:6" x14ac:dyDescent="0.25">
      <c r="A59845"/>
      <c r="B59845"/>
      <c r="C59845"/>
      <c r="E59845"/>
      <c r="F59845"/>
    </row>
    <row r="59846" spans="1:6" x14ac:dyDescent="0.25">
      <c r="A59846"/>
      <c r="B59846"/>
      <c r="C59846"/>
      <c r="E59846"/>
      <c r="F59846"/>
    </row>
    <row r="59847" spans="1:6" x14ac:dyDescent="0.25">
      <c r="A59847"/>
      <c r="B59847"/>
      <c r="C59847"/>
      <c r="E59847"/>
      <c r="F59847"/>
    </row>
    <row r="59848" spans="1:6" x14ac:dyDescent="0.25">
      <c r="A59848"/>
      <c r="B59848"/>
      <c r="C59848"/>
      <c r="E59848"/>
      <c r="F59848"/>
    </row>
    <row r="59849" spans="1:6" x14ac:dyDescent="0.25">
      <c r="A59849"/>
      <c r="B59849"/>
      <c r="C59849"/>
      <c r="E59849"/>
      <c r="F59849"/>
    </row>
    <row r="59850" spans="1:6" x14ac:dyDescent="0.25">
      <c r="A59850"/>
      <c r="B59850"/>
      <c r="C59850"/>
      <c r="E59850"/>
      <c r="F59850"/>
    </row>
    <row r="59851" spans="1:6" x14ac:dyDescent="0.25">
      <c r="A59851"/>
      <c r="B59851"/>
      <c r="C59851"/>
      <c r="E59851"/>
      <c r="F59851"/>
    </row>
    <row r="59852" spans="1:6" x14ac:dyDescent="0.25">
      <c r="A59852"/>
      <c r="B59852"/>
      <c r="C59852"/>
      <c r="E59852"/>
      <c r="F59852"/>
    </row>
    <row r="59853" spans="1:6" x14ac:dyDescent="0.25">
      <c r="A59853"/>
      <c r="B59853"/>
      <c r="C59853"/>
      <c r="E59853"/>
      <c r="F59853"/>
    </row>
    <row r="59854" spans="1:6" x14ac:dyDescent="0.25">
      <c r="A59854"/>
      <c r="B59854"/>
      <c r="C59854"/>
      <c r="E59854"/>
      <c r="F59854"/>
    </row>
    <row r="59855" spans="1:6" x14ac:dyDescent="0.25">
      <c r="A59855"/>
      <c r="B59855"/>
      <c r="C59855"/>
      <c r="E59855"/>
      <c r="F59855"/>
    </row>
    <row r="59856" spans="1:6" x14ac:dyDescent="0.25">
      <c r="A59856"/>
      <c r="B59856"/>
      <c r="C59856"/>
      <c r="E59856"/>
      <c r="F59856"/>
    </row>
    <row r="59857" spans="1:6" x14ac:dyDescent="0.25">
      <c r="A59857"/>
      <c r="B59857"/>
      <c r="C59857"/>
      <c r="E59857"/>
      <c r="F59857"/>
    </row>
    <row r="59858" spans="1:6" x14ac:dyDescent="0.25">
      <c r="A59858"/>
      <c r="B59858"/>
      <c r="C59858"/>
      <c r="E59858"/>
      <c r="F59858"/>
    </row>
    <row r="59859" spans="1:6" x14ac:dyDescent="0.25">
      <c r="A59859"/>
      <c r="B59859"/>
      <c r="C59859"/>
      <c r="E59859"/>
      <c r="F59859"/>
    </row>
    <row r="59860" spans="1:6" x14ac:dyDescent="0.25">
      <c r="A59860"/>
      <c r="B59860"/>
      <c r="C59860"/>
      <c r="E59860"/>
      <c r="F59860"/>
    </row>
    <row r="59861" spans="1:6" x14ac:dyDescent="0.25">
      <c r="A59861"/>
      <c r="B59861"/>
      <c r="C59861"/>
      <c r="E59861"/>
      <c r="F59861"/>
    </row>
    <row r="59862" spans="1:6" x14ac:dyDescent="0.25">
      <c r="A59862"/>
      <c r="B59862"/>
      <c r="C59862"/>
      <c r="E59862"/>
      <c r="F59862"/>
    </row>
    <row r="59863" spans="1:6" x14ac:dyDescent="0.25">
      <c r="A59863"/>
      <c r="B59863"/>
      <c r="C59863"/>
      <c r="E59863"/>
      <c r="F59863"/>
    </row>
    <row r="59864" spans="1:6" x14ac:dyDescent="0.25">
      <c r="A59864"/>
      <c r="B59864"/>
      <c r="C59864"/>
      <c r="E59864"/>
      <c r="F59864"/>
    </row>
    <row r="59865" spans="1:6" x14ac:dyDescent="0.25">
      <c r="A59865"/>
      <c r="B59865"/>
      <c r="C59865"/>
      <c r="E59865"/>
      <c r="F59865"/>
    </row>
    <row r="59866" spans="1:6" x14ac:dyDescent="0.25">
      <c r="A59866"/>
      <c r="B59866"/>
      <c r="C59866"/>
      <c r="E59866"/>
      <c r="F59866"/>
    </row>
    <row r="59867" spans="1:6" x14ac:dyDescent="0.25">
      <c r="A59867"/>
      <c r="B59867"/>
      <c r="C59867"/>
      <c r="E59867"/>
      <c r="F59867"/>
    </row>
    <row r="59868" spans="1:6" x14ac:dyDescent="0.25">
      <c r="A59868"/>
      <c r="B59868"/>
      <c r="C59868"/>
      <c r="E59868"/>
      <c r="F59868"/>
    </row>
    <row r="59869" spans="1:6" x14ac:dyDescent="0.25">
      <c r="A59869"/>
      <c r="B59869"/>
      <c r="C59869"/>
      <c r="E59869"/>
      <c r="F59869"/>
    </row>
    <row r="59870" spans="1:6" x14ac:dyDescent="0.25">
      <c r="A59870"/>
      <c r="B59870"/>
      <c r="C59870"/>
      <c r="E59870"/>
      <c r="F59870"/>
    </row>
    <row r="59871" spans="1:6" x14ac:dyDescent="0.25">
      <c r="A59871"/>
      <c r="B59871"/>
      <c r="C59871"/>
      <c r="E59871"/>
      <c r="F59871"/>
    </row>
    <row r="59872" spans="1:6" x14ac:dyDescent="0.25">
      <c r="A59872"/>
      <c r="B59872"/>
      <c r="C59872"/>
      <c r="E59872"/>
      <c r="F59872"/>
    </row>
    <row r="59873" spans="1:6" x14ac:dyDescent="0.25">
      <c r="A59873"/>
      <c r="B59873"/>
      <c r="C59873"/>
      <c r="E59873"/>
      <c r="F59873"/>
    </row>
    <row r="59874" spans="1:6" x14ac:dyDescent="0.25">
      <c r="A59874"/>
      <c r="B59874"/>
      <c r="C59874"/>
      <c r="E59874"/>
      <c r="F59874"/>
    </row>
    <row r="59875" spans="1:6" x14ac:dyDescent="0.25">
      <c r="A59875"/>
      <c r="B59875"/>
      <c r="C59875"/>
      <c r="E59875"/>
      <c r="F59875"/>
    </row>
    <row r="59876" spans="1:6" x14ac:dyDescent="0.25">
      <c r="A59876"/>
      <c r="B59876"/>
      <c r="C59876"/>
      <c r="E59876"/>
      <c r="F59876"/>
    </row>
    <row r="59877" spans="1:6" x14ac:dyDescent="0.25">
      <c r="A59877"/>
      <c r="B59877"/>
      <c r="C59877"/>
      <c r="E59877"/>
      <c r="F59877"/>
    </row>
    <row r="59878" spans="1:6" x14ac:dyDescent="0.25">
      <c r="A59878"/>
      <c r="B59878"/>
      <c r="C59878"/>
      <c r="E59878"/>
      <c r="F59878"/>
    </row>
    <row r="59879" spans="1:6" x14ac:dyDescent="0.25">
      <c r="A59879"/>
      <c r="B59879"/>
      <c r="C59879"/>
      <c r="E59879"/>
      <c r="F59879"/>
    </row>
    <row r="59880" spans="1:6" x14ac:dyDescent="0.25">
      <c r="A59880"/>
      <c r="B59880"/>
      <c r="C59880"/>
      <c r="E59880"/>
      <c r="F59880"/>
    </row>
    <row r="59881" spans="1:6" x14ac:dyDescent="0.25">
      <c r="A59881"/>
      <c r="B59881"/>
      <c r="C59881"/>
      <c r="E59881"/>
      <c r="F59881"/>
    </row>
    <row r="59882" spans="1:6" x14ac:dyDescent="0.25">
      <c r="A59882"/>
      <c r="B59882"/>
      <c r="C59882"/>
      <c r="E59882"/>
      <c r="F59882"/>
    </row>
    <row r="59883" spans="1:6" x14ac:dyDescent="0.25">
      <c r="A59883"/>
      <c r="B59883"/>
      <c r="C59883"/>
      <c r="E59883"/>
      <c r="F59883"/>
    </row>
    <row r="59884" spans="1:6" x14ac:dyDescent="0.25">
      <c r="A59884"/>
      <c r="B59884"/>
      <c r="C59884"/>
      <c r="E59884"/>
      <c r="F59884"/>
    </row>
    <row r="59885" spans="1:6" x14ac:dyDescent="0.25">
      <c r="A59885"/>
      <c r="B59885"/>
      <c r="C59885"/>
      <c r="E59885"/>
      <c r="F59885"/>
    </row>
    <row r="59886" spans="1:6" x14ac:dyDescent="0.25">
      <c r="A59886"/>
      <c r="B59886"/>
      <c r="C59886"/>
      <c r="E59886"/>
      <c r="F59886"/>
    </row>
    <row r="59887" spans="1:6" x14ac:dyDescent="0.25">
      <c r="A59887"/>
      <c r="B59887"/>
      <c r="C59887"/>
      <c r="E59887"/>
      <c r="F59887"/>
    </row>
    <row r="59888" spans="1:6" x14ac:dyDescent="0.25">
      <c r="A59888"/>
      <c r="B59888"/>
      <c r="C59888"/>
      <c r="E59888"/>
      <c r="F59888"/>
    </row>
    <row r="59889" spans="1:6" x14ac:dyDescent="0.25">
      <c r="A59889"/>
      <c r="B59889"/>
      <c r="C59889"/>
      <c r="E59889"/>
      <c r="F59889"/>
    </row>
    <row r="59890" spans="1:6" x14ac:dyDescent="0.25">
      <c r="A59890"/>
      <c r="B59890"/>
      <c r="C59890"/>
      <c r="E59890"/>
      <c r="F59890"/>
    </row>
    <row r="59891" spans="1:6" x14ac:dyDescent="0.25">
      <c r="A59891"/>
      <c r="B59891"/>
      <c r="C59891"/>
      <c r="E59891"/>
      <c r="F59891"/>
    </row>
    <row r="59892" spans="1:6" x14ac:dyDescent="0.25">
      <c r="A59892"/>
      <c r="B59892"/>
      <c r="C59892"/>
      <c r="E59892"/>
      <c r="F59892"/>
    </row>
    <row r="59893" spans="1:6" x14ac:dyDescent="0.25">
      <c r="A59893"/>
      <c r="B59893"/>
      <c r="C59893"/>
      <c r="E59893"/>
      <c r="F59893"/>
    </row>
    <row r="59894" spans="1:6" x14ac:dyDescent="0.25">
      <c r="A59894"/>
      <c r="B59894"/>
      <c r="C59894"/>
      <c r="E59894"/>
      <c r="F59894"/>
    </row>
    <row r="59895" spans="1:6" x14ac:dyDescent="0.25">
      <c r="A59895"/>
      <c r="B59895"/>
      <c r="C59895"/>
      <c r="E59895"/>
      <c r="F59895"/>
    </row>
    <row r="59896" spans="1:6" x14ac:dyDescent="0.25">
      <c r="A59896"/>
      <c r="B59896"/>
      <c r="C59896"/>
      <c r="E59896"/>
      <c r="F59896"/>
    </row>
    <row r="59897" spans="1:6" x14ac:dyDescent="0.25">
      <c r="A59897"/>
      <c r="B59897"/>
      <c r="C59897"/>
      <c r="E59897"/>
      <c r="F59897"/>
    </row>
    <row r="59898" spans="1:6" x14ac:dyDescent="0.25">
      <c r="A59898"/>
      <c r="B59898"/>
      <c r="C59898"/>
      <c r="E59898"/>
      <c r="F59898"/>
    </row>
    <row r="59899" spans="1:6" x14ac:dyDescent="0.25">
      <c r="A59899"/>
      <c r="B59899"/>
      <c r="C59899"/>
      <c r="E59899"/>
      <c r="F59899"/>
    </row>
    <row r="59900" spans="1:6" x14ac:dyDescent="0.25">
      <c r="A59900"/>
      <c r="B59900"/>
      <c r="C59900"/>
      <c r="E59900"/>
      <c r="F59900"/>
    </row>
    <row r="59901" spans="1:6" x14ac:dyDescent="0.25">
      <c r="A59901"/>
      <c r="B59901"/>
      <c r="C59901"/>
      <c r="E59901"/>
      <c r="F59901"/>
    </row>
    <row r="59902" spans="1:6" x14ac:dyDescent="0.25">
      <c r="A59902"/>
      <c r="B59902"/>
      <c r="C59902"/>
      <c r="E59902"/>
      <c r="F59902"/>
    </row>
    <row r="59903" spans="1:6" x14ac:dyDescent="0.25">
      <c r="A59903"/>
      <c r="B59903"/>
      <c r="C59903"/>
      <c r="E59903"/>
      <c r="F59903"/>
    </row>
    <row r="59904" spans="1:6" x14ac:dyDescent="0.25">
      <c r="A59904"/>
      <c r="B59904"/>
      <c r="C59904"/>
      <c r="E59904"/>
      <c r="F59904"/>
    </row>
    <row r="59905" spans="1:6" x14ac:dyDescent="0.25">
      <c r="A59905"/>
      <c r="B59905"/>
      <c r="C59905"/>
      <c r="E59905"/>
      <c r="F59905"/>
    </row>
    <row r="59906" spans="1:6" x14ac:dyDescent="0.25">
      <c r="A59906"/>
      <c r="B59906"/>
      <c r="C59906"/>
      <c r="E59906"/>
      <c r="F59906"/>
    </row>
    <row r="59907" spans="1:6" x14ac:dyDescent="0.25">
      <c r="A59907"/>
      <c r="B59907"/>
      <c r="C59907"/>
      <c r="E59907"/>
      <c r="F59907"/>
    </row>
    <row r="59908" spans="1:6" x14ac:dyDescent="0.25">
      <c r="A59908"/>
      <c r="B59908"/>
      <c r="C59908"/>
      <c r="E59908"/>
      <c r="F59908"/>
    </row>
    <row r="59909" spans="1:6" x14ac:dyDescent="0.25">
      <c r="A59909"/>
      <c r="B59909"/>
      <c r="C59909"/>
      <c r="E59909"/>
      <c r="F59909"/>
    </row>
    <row r="59910" spans="1:6" x14ac:dyDescent="0.25">
      <c r="A59910"/>
      <c r="B59910"/>
      <c r="C59910"/>
      <c r="E59910"/>
      <c r="F59910"/>
    </row>
    <row r="59911" spans="1:6" x14ac:dyDescent="0.25">
      <c r="A59911"/>
      <c r="B59911"/>
      <c r="C59911"/>
      <c r="E59911"/>
      <c r="F59911"/>
    </row>
    <row r="59912" spans="1:6" x14ac:dyDescent="0.25">
      <c r="A59912"/>
      <c r="B59912"/>
      <c r="C59912"/>
      <c r="E59912"/>
      <c r="F59912"/>
    </row>
    <row r="59913" spans="1:6" x14ac:dyDescent="0.25">
      <c r="A59913"/>
      <c r="B59913"/>
      <c r="C59913"/>
      <c r="E59913"/>
      <c r="F59913"/>
    </row>
    <row r="59914" spans="1:6" x14ac:dyDescent="0.25">
      <c r="A59914"/>
      <c r="B59914"/>
      <c r="C59914"/>
      <c r="E59914"/>
      <c r="F59914"/>
    </row>
    <row r="59915" spans="1:6" x14ac:dyDescent="0.25">
      <c r="A59915"/>
      <c r="B59915"/>
      <c r="C59915"/>
      <c r="E59915"/>
      <c r="F59915"/>
    </row>
    <row r="59916" spans="1:6" x14ac:dyDescent="0.25">
      <c r="A59916"/>
      <c r="B59916"/>
      <c r="C59916"/>
      <c r="E59916"/>
      <c r="F59916"/>
    </row>
    <row r="59917" spans="1:6" x14ac:dyDescent="0.25">
      <c r="A59917"/>
      <c r="B59917"/>
      <c r="C59917"/>
      <c r="E59917"/>
      <c r="F59917"/>
    </row>
    <row r="59918" spans="1:6" x14ac:dyDescent="0.25">
      <c r="A59918"/>
      <c r="B59918"/>
      <c r="C59918"/>
      <c r="E59918"/>
      <c r="F59918"/>
    </row>
    <row r="59919" spans="1:6" x14ac:dyDescent="0.25">
      <c r="A59919"/>
      <c r="B59919"/>
      <c r="C59919"/>
      <c r="E59919"/>
      <c r="F59919"/>
    </row>
    <row r="59920" spans="1:6" x14ac:dyDescent="0.25">
      <c r="A59920"/>
      <c r="B59920"/>
      <c r="C59920"/>
      <c r="E59920"/>
      <c r="F59920"/>
    </row>
    <row r="59921" spans="1:6" x14ac:dyDescent="0.25">
      <c r="A59921"/>
      <c r="B59921"/>
      <c r="C59921"/>
      <c r="E59921"/>
      <c r="F59921"/>
    </row>
    <row r="59922" spans="1:6" x14ac:dyDescent="0.25">
      <c r="A59922"/>
      <c r="B59922"/>
      <c r="C59922"/>
      <c r="E59922"/>
      <c r="F59922"/>
    </row>
    <row r="59923" spans="1:6" x14ac:dyDescent="0.25">
      <c r="A59923"/>
      <c r="B59923"/>
      <c r="C59923"/>
      <c r="E59923"/>
      <c r="F59923"/>
    </row>
    <row r="59924" spans="1:6" x14ac:dyDescent="0.25">
      <c r="A59924"/>
      <c r="B59924"/>
      <c r="C59924"/>
      <c r="E59924"/>
      <c r="F59924"/>
    </row>
    <row r="59925" spans="1:6" x14ac:dyDescent="0.25">
      <c r="A59925"/>
      <c r="B59925"/>
      <c r="C59925"/>
      <c r="E59925"/>
      <c r="F59925"/>
    </row>
    <row r="59926" spans="1:6" x14ac:dyDescent="0.25">
      <c r="A59926"/>
      <c r="B59926"/>
      <c r="C59926"/>
      <c r="E59926"/>
      <c r="F59926"/>
    </row>
    <row r="59927" spans="1:6" x14ac:dyDescent="0.25">
      <c r="A59927"/>
      <c r="B59927"/>
      <c r="C59927"/>
      <c r="E59927"/>
      <c r="F59927"/>
    </row>
    <row r="59928" spans="1:6" x14ac:dyDescent="0.25">
      <c r="A59928"/>
      <c r="B59928"/>
      <c r="C59928"/>
      <c r="E59928"/>
      <c r="F59928"/>
    </row>
    <row r="59929" spans="1:6" x14ac:dyDescent="0.25">
      <c r="A59929"/>
      <c r="B59929"/>
      <c r="C59929"/>
      <c r="E59929"/>
      <c r="F59929"/>
    </row>
    <row r="59930" spans="1:6" x14ac:dyDescent="0.25">
      <c r="A59930"/>
      <c r="B59930"/>
      <c r="C59930"/>
      <c r="E59930"/>
      <c r="F59930"/>
    </row>
    <row r="59931" spans="1:6" x14ac:dyDescent="0.25">
      <c r="A59931"/>
      <c r="B59931"/>
      <c r="C59931"/>
      <c r="E59931"/>
      <c r="F59931"/>
    </row>
    <row r="59932" spans="1:6" x14ac:dyDescent="0.25">
      <c r="A59932"/>
      <c r="B59932"/>
      <c r="C59932"/>
      <c r="E59932"/>
      <c r="F59932"/>
    </row>
    <row r="59933" spans="1:6" x14ac:dyDescent="0.25">
      <c r="A59933"/>
      <c r="B59933"/>
      <c r="C59933"/>
      <c r="E59933"/>
      <c r="F59933"/>
    </row>
    <row r="59934" spans="1:6" x14ac:dyDescent="0.25">
      <c r="A59934"/>
      <c r="B59934"/>
      <c r="C59934"/>
      <c r="E59934"/>
      <c r="F59934"/>
    </row>
    <row r="59935" spans="1:6" x14ac:dyDescent="0.25">
      <c r="A59935"/>
      <c r="B59935"/>
      <c r="C59935"/>
      <c r="E59935"/>
      <c r="F59935"/>
    </row>
    <row r="59936" spans="1:6" x14ac:dyDescent="0.25">
      <c r="A59936"/>
      <c r="B59936"/>
      <c r="C59936"/>
      <c r="E59936"/>
      <c r="F59936"/>
    </row>
    <row r="59937" spans="1:6" x14ac:dyDescent="0.25">
      <c r="A59937"/>
      <c r="B59937"/>
      <c r="C59937"/>
      <c r="E59937"/>
      <c r="F59937"/>
    </row>
    <row r="59938" spans="1:6" x14ac:dyDescent="0.25">
      <c r="A59938"/>
      <c r="B59938"/>
      <c r="C59938"/>
      <c r="E59938"/>
      <c r="F59938"/>
    </row>
    <row r="59939" spans="1:6" x14ac:dyDescent="0.25">
      <c r="A59939"/>
      <c r="B59939"/>
      <c r="C59939"/>
      <c r="E59939"/>
      <c r="F59939"/>
    </row>
    <row r="59940" spans="1:6" x14ac:dyDescent="0.25">
      <c r="A59940"/>
      <c r="B59940"/>
      <c r="C59940"/>
      <c r="E59940"/>
      <c r="F59940"/>
    </row>
    <row r="59941" spans="1:6" x14ac:dyDescent="0.25">
      <c r="A59941"/>
      <c r="B59941"/>
      <c r="C59941"/>
      <c r="E59941"/>
      <c r="F59941"/>
    </row>
    <row r="59942" spans="1:6" x14ac:dyDescent="0.25">
      <c r="A59942"/>
      <c r="B59942"/>
      <c r="C59942"/>
      <c r="E59942"/>
      <c r="F59942"/>
    </row>
    <row r="59943" spans="1:6" x14ac:dyDescent="0.25">
      <c r="A59943"/>
      <c r="B59943"/>
      <c r="C59943"/>
      <c r="E59943"/>
      <c r="F59943"/>
    </row>
    <row r="59944" spans="1:6" x14ac:dyDescent="0.25">
      <c r="A59944"/>
      <c r="B59944"/>
      <c r="C59944"/>
      <c r="E59944"/>
      <c r="F59944"/>
    </row>
    <row r="59945" spans="1:6" x14ac:dyDescent="0.25">
      <c r="A59945"/>
      <c r="B59945"/>
      <c r="C59945"/>
      <c r="E59945"/>
      <c r="F59945"/>
    </row>
    <row r="59946" spans="1:6" x14ac:dyDescent="0.25">
      <c r="A59946"/>
      <c r="B59946"/>
      <c r="C59946"/>
      <c r="E59946"/>
      <c r="F59946"/>
    </row>
    <row r="59947" spans="1:6" x14ac:dyDescent="0.25">
      <c r="A59947"/>
      <c r="B59947"/>
      <c r="C59947"/>
      <c r="E59947"/>
      <c r="F59947"/>
    </row>
    <row r="59948" spans="1:6" x14ac:dyDescent="0.25">
      <c r="A59948"/>
      <c r="B59948"/>
      <c r="C59948"/>
      <c r="E59948"/>
      <c r="F59948"/>
    </row>
    <row r="59949" spans="1:6" x14ac:dyDescent="0.25">
      <c r="A59949"/>
      <c r="B59949"/>
      <c r="C59949"/>
      <c r="E59949"/>
      <c r="F59949"/>
    </row>
    <row r="59950" spans="1:6" x14ac:dyDescent="0.25">
      <c r="A59950"/>
      <c r="B59950"/>
      <c r="C59950"/>
      <c r="E59950"/>
      <c r="F59950"/>
    </row>
    <row r="59951" spans="1:6" x14ac:dyDescent="0.25">
      <c r="A59951"/>
      <c r="B59951"/>
      <c r="C59951"/>
      <c r="E59951"/>
      <c r="F59951"/>
    </row>
    <row r="59952" spans="1:6" x14ac:dyDescent="0.25">
      <c r="A59952"/>
      <c r="B59952"/>
      <c r="C59952"/>
      <c r="E59952"/>
      <c r="F59952"/>
    </row>
    <row r="59953" spans="1:6" x14ac:dyDescent="0.25">
      <c r="A59953"/>
      <c r="B59953"/>
      <c r="C59953"/>
      <c r="E59953"/>
      <c r="F59953"/>
    </row>
    <row r="59954" spans="1:6" x14ac:dyDescent="0.25">
      <c r="A59954"/>
      <c r="B59954"/>
      <c r="C59954"/>
      <c r="E59954"/>
      <c r="F59954"/>
    </row>
    <row r="59955" spans="1:6" x14ac:dyDescent="0.25">
      <c r="A59955"/>
      <c r="B59955"/>
      <c r="C59955"/>
      <c r="E59955"/>
      <c r="F59955"/>
    </row>
    <row r="59956" spans="1:6" x14ac:dyDescent="0.25">
      <c r="A59956"/>
      <c r="B59956"/>
      <c r="C59956"/>
      <c r="E59956"/>
      <c r="F59956"/>
    </row>
    <row r="59957" spans="1:6" x14ac:dyDescent="0.25">
      <c r="A59957"/>
      <c r="B59957"/>
      <c r="C59957"/>
      <c r="E59957"/>
      <c r="F59957"/>
    </row>
    <row r="59958" spans="1:6" x14ac:dyDescent="0.25">
      <c r="A59958"/>
      <c r="B59958"/>
      <c r="C59958"/>
      <c r="E59958"/>
      <c r="F59958"/>
    </row>
    <row r="59959" spans="1:6" x14ac:dyDescent="0.25">
      <c r="A59959"/>
      <c r="B59959"/>
      <c r="C59959"/>
      <c r="E59959"/>
      <c r="F59959"/>
    </row>
    <row r="59960" spans="1:6" x14ac:dyDescent="0.25">
      <c r="A59960"/>
      <c r="B59960"/>
      <c r="C59960"/>
      <c r="E59960"/>
      <c r="F59960"/>
    </row>
    <row r="59961" spans="1:6" x14ac:dyDescent="0.25">
      <c r="A59961"/>
      <c r="B59961"/>
      <c r="C59961"/>
      <c r="E59961"/>
      <c r="F59961"/>
    </row>
    <row r="59962" spans="1:6" x14ac:dyDescent="0.25">
      <c r="A59962"/>
      <c r="B59962"/>
      <c r="C59962"/>
      <c r="E59962"/>
      <c r="F59962"/>
    </row>
    <row r="59963" spans="1:6" x14ac:dyDescent="0.25">
      <c r="A59963"/>
      <c r="B59963"/>
      <c r="C59963"/>
      <c r="E59963"/>
      <c r="F59963"/>
    </row>
    <row r="59964" spans="1:6" x14ac:dyDescent="0.25">
      <c r="A59964"/>
      <c r="B59964"/>
      <c r="C59964"/>
      <c r="E59964"/>
      <c r="F59964"/>
    </row>
    <row r="59965" spans="1:6" x14ac:dyDescent="0.25">
      <c r="A59965"/>
      <c r="B59965"/>
      <c r="C59965"/>
      <c r="E59965"/>
      <c r="F59965"/>
    </row>
    <row r="59966" spans="1:6" x14ac:dyDescent="0.25">
      <c r="A59966"/>
      <c r="B59966"/>
      <c r="C59966"/>
      <c r="E59966"/>
      <c r="F59966"/>
    </row>
    <row r="59967" spans="1:6" x14ac:dyDescent="0.25">
      <c r="A59967"/>
      <c r="B59967"/>
      <c r="C59967"/>
      <c r="E59967"/>
      <c r="F59967"/>
    </row>
    <row r="59968" spans="1:6" x14ac:dyDescent="0.25">
      <c r="A59968"/>
      <c r="B59968"/>
      <c r="C59968"/>
      <c r="E59968"/>
      <c r="F59968"/>
    </row>
    <row r="59969" spans="1:6" x14ac:dyDescent="0.25">
      <c r="A59969"/>
      <c r="B59969"/>
      <c r="C59969"/>
      <c r="E59969"/>
      <c r="F59969"/>
    </row>
    <row r="59970" spans="1:6" x14ac:dyDescent="0.25">
      <c r="A59970"/>
      <c r="B59970"/>
      <c r="C59970"/>
      <c r="E59970"/>
      <c r="F59970"/>
    </row>
    <row r="59971" spans="1:6" x14ac:dyDescent="0.25">
      <c r="A59971"/>
      <c r="B59971"/>
      <c r="C59971"/>
      <c r="E59971"/>
      <c r="F59971"/>
    </row>
    <row r="59972" spans="1:6" x14ac:dyDescent="0.25">
      <c r="A59972"/>
      <c r="B59972"/>
      <c r="C59972"/>
      <c r="E59972"/>
      <c r="F59972"/>
    </row>
    <row r="59973" spans="1:6" x14ac:dyDescent="0.25">
      <c r="A59973"/>
      <c r="B59973"/>
      <c r="C59973"/>
      <c r="E59973"/>
      <c r="F59973"/>
    </row>
    <row r="59974" spans="1:6" x14ac:dyDescent="0.25">
      <c r="A59974"/>
      <c r="B59974"/>
      <c r="C59974"/>
      <c r="E59974"/>
      <c r="F59974"/>
    </row>
    <row r="59975" spans="1:6" x14ac:dyDescent="0.25">
      <c r="A59975"/>
      <c r="B59975"/>
      <c r="C59975"/>
      <c r="E59975"/>
      <c r="F59975"/>
    </row>
    <row r="59976" spans="1:6" x14ac:dyDescent="0.25">
      <c r="A59976"/>
      <c r="B59976"/>
      <c r="C59976"/>
      <c r="E59976"/>
      <c r="F59976"/>
    </row>
    <row r="59977" spans="1:6" x14ac:dyDescent="0.25">
      <c r="A59977"/>
      <c r="B59977"/>
      <c r="C59977"/>
      <c r="E59977"/>
      <c r="F59977"/>
    </row>
    <row r="59978" spans="1:6" x14ac:dyDescent="0.25">
      <c r="A59978"/>
      <c r="B59978"/>
      <c r="C59978"/>
      <c r="E59978"/>
      <c r="F59978"/>
    </row>
    <row r="59979" spans="1:6" x14ac:dyDescent="0.25">
      <c r="A59979"/>
      <c r="B59979"/>
      <c r="C59979"/>
      <c r="E59979"/>
      <c r="F59979"/>
    </row>
    <row r="59980" spans="1:6" x14ac:dyDescent="0.25">
      <c r="A59980"/>
      <c r="B59980"/>
      <c r="C59980"/>
      <c r="E59980"/>
      <c r="F59980"/>
    </row>
    <row r="59981" spans="1:6" x14ac:dyDescent="0.25">
      <c r="A59981"/>
      <c r="B59981"/>
      <c r="C59981"/>
      <c r="E59981"/>
      <c r="F59981"/>
    </row>
    <row r="59982" spans="1:6" x14ac:dyDescent="0.25">
      <c r="A59982"/>
      <c r="B59982"/>
      <c r="C59982"/>
      <c r="E59982"/>
      <c r="F59982"/>
    </row>
    <row r="59983" spans="1:6" x14ac:dyDescent="0.25">
      <c r="A59983"/>
      <c r="B59983"/>
      <c r="C59983"/>
      <c r="E59983"/>
      <c r="F59983"/>
    </row>
    <row r="59984" spans="1:6" x14ac:dyDescent="0.25">
      <c r="A59984"/>
      <c r="B59984"/>
      <c r="C59984"/>
      <c r="E59984"/>
      <c r="F59984"/>
    </row>
    <row r="59985" spans="1:6" x14ac:dyDescent="0.25">
      <c r="A59985"/>
      <c r="B59985"/>
      <c r="C59985"/>
      <c r="E59985"/>
      <c r="F59985"/>
    </row>
    <row r="59986" spans="1:6" x14ac:dyDescent="0.25">
      <c r="A59986"/>
      <c r="B59986"/>
      <c r="C59986"/>
      <c r="E59986"/>
      <c r="F59986"/>
    </row>
    <row r="59987" spans="1:6" x14ac:dyDescent="0.25">
      <c r="A59987"/>
      <c r="B59987"/>
      <c r="C59987"/>
      <c r="E59987"/>
      <c r="F59987"/>
    </row>
    <row r="59988" spans="1:6" x14ac:dyDescent="0.25">
      <c r="A59988"/>
      <c r="B59988"/>
      <c r="C59988"/>
      <c r="E59988"/>
      <c r="F59988"/>
    </row>
    <row r="59989" spans="1:6" x14ac:dyDescent="0.25">
      <c r="A59989"/>
      <c r="B59989"/>
      <c r="C59989"/>
      <c r="E59989"/>
      <c r="F59989"/>
    </row>
    <row r="59990" spans="1:6" x14ac:dyDescent="0.25">
      <c r="A59990"/>
      <c r="B59990"/>
      <c r="C59990"/>
      <c r="E59990"/>
      <c r="F59990"/>
    </row>
    <row r="59991" spans="1:6" x14ac:dyDescent="0.25">
      <c r="A59991"/>
      <c r="B59991"/>
      <c r="C59991"/>
      <c r="E59991"/>
      <c r="F59991"/>
    </row>
    <row r="59992" spans="1:6" x14ac:dyDescent="0.25">
      <c r="A59992"/>
      <c r="B59992"/>
      <c r="C59992"/>
      <c r="E59992"/>
      <c r="F59992"/>
    </row>
    <row r="59993" spans="1:6" x14ac:dyDescent="0.25">
      <c r="A59993"/>
      <c r="B59993"/>
      <c r="C59993"/>
      <c r="E59993"/>
      <c r="F59993"/>
    </row>
    <row r="59994" spans="1:6" x14ac:dyDescent="0.25">
      <c r="A59994"/>
      <c r="B59994"/>
      <c r="C59994"/>
      <c r="E59994"/>
      <c r="F59994"/>
    </row>
    <row r="59995" spans="1:6" x14ac:dyDescent="0.25">
      <c r="A59995"/>
      <c r="B59995"/>
      <c r="C59995"/>
      <c r="E59995"/>
      <c r="F59995"/>
    </row>
    <row r="59996" spans="1:6" x14ac:dyDescent="0.25">
      <c r="A59996"/>
      <c r="B59996"/>
      <c r="C59996"/>
      <c r="E59996"/>
      <c r="F59996"/>
    </row>
    <row r="59997" spans="1:6" x14ac:dyDescent="0.25">
      <c r="A59997"/>
      <c r="B59997"/>
      <c r="C59997"/>
      <c r="E59997"/>
      <c r="F59997"/>
    </row>
    <row r="59998" spans="1:6" x14ac:dyDescent="0.25">
      <c r="A59998"/>
      <c r="B59998"/>
      <c r="C59998"/>
      <c r="E59998"/>
      <c r="F59998"/>
    </row>
    <row r="59999" spans="1:6" x14ac:dyDescent="0.25">
      <c r="A59999"/>
      <c r="B59999"/>
      <c r="C59999"/>
      <c r="E59999"/>
      <c r="F59999"/>
    </row>
    <row r="60000" spans="1:6" x14ac:dyDescent="0.25">
      <c r="A60000"/>
      <c r="B60000"/>
      <c r="C60000"/>
      <c r="E60000"/>
      <c r="F60000"/>
    </row>
    <row r="60001" spans="1:6" x14ac:dyDescent="0.25">
      <c r="A60001"/>
      <c r="B60001"/>
      <c r="C60001"/>
      <c r="E60001"/>
      <c r="F60001"/>
    </row>
    <row r="60002" spans="1:6" x14ac:dyDescent="0.25">
      <c r="A60002"/>
      <c r="B60002"/>
      <c r="C60002"/>
      <c r="E60002"/>
      <c r="F60002"/>
    </row>
    <row r="60003" spans="1:6" x14ac:dyDescent="0.25">
      <c r="A60003"/>
      <c r="B60003"/>
      <c r="C60003"/>
      <c r="E60003"/>
      <c r="F60003"/>
    </row>
    <row r="60004" spans="1:6" x14ac:dyDescent="0.25">
      <c r="A60004"/>
      <c r="B60004"/>
      <c r="C60004"/>
      <c r="E60004"/>
      <c r="F60004"/>
    </row>
    <row r="60005" spans="1:6" x14ac:dyDescent="0.25">
      <c r="A60005"/>
      <c r="B60005"/>
      <c r="C60005"/>
      <c r="E60005"/>
      <c r="F60005"/>
    </row>
    <row r="60006" spans="1:6" x14ac:dyDescent="0.25">
      <c r="A60006"/>
      <c r="B60006"/>
      <c r="C60006"/>
      <c r="E60006"/>
      <c r="F60006"/>
    </row>
    <row r="60007" spans="1:6" x14ac:dyDescent="0.25">
      <c r="A60007"/>
      <c r="B60007"/>
      <c r="C60007"/>
      <c r="E60007"/>
      <c r="F60007"/>
    </row>
    <row r="60008" spans="1:6" x14ac:dyDescent="0.25">
      <c r="A60008"/>
      <c r="B60008"/>
      <c r="C60008"/>
      <c r="E60008"/>
      <c r="F60008"/>
    </row>
    <row r="60009" spans="1:6" x14ac:dyDescent="0.25">
      <c r="A60009"/>
      <c r="B60009"/>
      <c r="C60009"/>
      <c r="E60009"/>
      <c r="F60009"/>
    </row>
    <row r="60010" spans="1:6" x14ac:dyDescent="0.25">
      <c r="A60010"/>
      <c r="B60010"/>
      <c r="C60010"/>
      <c r="E60010"/>
      <c r="F60010"/>
    </row>
    <row r="60011" spans="1:6" x14ac:dyDescent="0.25">
      <c r="A60011"/>
      <c r="B60011"/>
      <c r="C60011"/>
      <c r="E60011"/>
      <c r="F60011"/>
    </row>
    <row r="60012" spans="1:6" x14ac:dyDescent="0.25">
      <c r="A60012"/>
      <c r="B60012"/>
      <c r="C60012"/>
      <c r="E60012"/>
      <c r="F60012"/>
    </row>
    <row r="60013" spans="1:6" x14ac:dyDescent="0.25">
      <c r="A60013"/>
      <c r="B60013"/>
      <c r="C60013"/>
      <c r="E60013"/>
      <c r="F60013"/>
    </row>
    <row r="60014" spans="1:6" x14ac:dyDescent="0.25">
      <c r="A60014"/>
      <c r="B60014"/>
      <c r="C60014"/>
      <c r="E60014"/>
      <c r="F60014"/>
    </row>
    <row r="60015" spans="1:6" x14ac:dyDescent="0.25">
      <c r="A60015"/>
      <c r="B60015"/>
      <c r="C60015"/>
      <c r="E60015"/>
      <c r="F60015"/>
    </row>
    <row r="60016" spans="1:6" x14ac:dyDescent="0.25">
      <c r="A60016"/>
      <c r="B60016"/>
      <c r="C60016"/>
      <c r="E60016"/>
      <c r="F60016"/>
    </row>
    <row r="60017" spans="1:6" x14ac:dyDescent="0.25">
      <c r="A60017"/>
      <c r="B60017"/>
      <c r="C60017"/>
      <c r="E60017"/>
      <c r="F60017"/>
    </row>
    <row r="60018" spans="1:6" x14ac:dyDescent="0.25">
      <c r="A60018"/>
      <c r="B60018"/>
      <c r="C60018"/>
      <c r="E60018"/>
      <c r="F60018"/>
    </row>
    <row r="60019" spans="1:6" x14ac:dyDescent="0.25">
      <c r="A60019"/>
      <c r="B60019"/>
      <c r="C60019"/>
      <c r="E60019"/>
      <c r="F60019"/>
    </row>
    <row r="60020" spans="1:6" x14ac:dyDescent="0.25">
      <c r="A60020"/>
      <c r="B60020"/>
      <c r="C60020"/>
      <c r="E60020"/>
      <c r="F60020"/>
    </row>
    <row r="60021" spans="1:6" x14ac:dyDescent="0.25">
      <c r="A60021"/>
      <c r="B60021"/>
      <c r="C60021"/>
      <c r="E60021"/>
      <c r="F60021"/>
    </row>
    <row r="60022" spans="1:6" x14ac:dyDescent="0.25">
      <c r="A60022"/>
      <c r="B60022"/>
      <c r="C60022"/>
      <c r="E60022"/>
      <c r="F60022"/>
    </row>
    <row r="60023" spans="1:6" x14ac:dyDescent="0.25">
      <c r="A60023"/>
      <c r="B60023"/>
      <c r="C60023"/>
      <c r="E60023"/>
      <c r="F60023"/>
    </row>
    <row r="60024" spans="1:6" x14ac:dyDescent="0.25">
      <c r="A60024"/>
      <c r="B60024"/>
      <c r="C60024"/>
      <c r="E60024"/>
      <c r="F60024"/>
    </row>
    <row r="60025" spans="1:6" x14ac:dyDescent="0.25">
      <c r="A60025"/>
      <c r="B60025"/>
      <c r="C60025"/>
      <c r="E60025"/>
      <c r="F60025"/>
    </row>
    <row r="60026" spans="1:6" x14ac:dyDescent="0.25">
      <c r="A60026"/>
      <c r="B60026"/>
      <c r="C60026"/>
      <c r="E60026"/>
      <c r="F60026"/>
    </row>
    <row r="60027" spans="1:6" x14ac:dyDescent="0.25">
      <c r="A60027"/>
      <c r="B60027"/>
      <c r="C60027"/>
      <c r="E60027"/>
      <c r="F60027"/>
    </row>
    <row r="60028" spans="1:6" x14ac:dyDescent="0.25">
      <c r="A60028"/>
      <c r="B60028"/>
      <c r="C60028"/>
      <c r="E60028"/>
      <c r="F60028"/>
    </row>
    <row r="60029" spans="1:6" x14ac:dyDescent="0.25">
      <c r="A60029"/>
      <c r="B60029"/>
      <c r="C60029"/>
      <c r="E60029"/>
      <c r="F60029"/>
    </row>
    <row r="60030" spans="1:6" x14ac:dyDescent="0.25">
      <c r="A60030"/>
      <c r="B60030"/>
      <c r="C60030"/>
      <c r="E60030"/>
      <c r="F60030"/>
    </row>
    <row r="60031" spans="1:6" x14ac:dyDescent="0.25">
      <c r="A60031"/>
      <c r="B60031"/>
      <c r="C60031"/>
      <c r="E60031"/>
      <c r="F60031"/>
    </row>
    <row r="60032" spans="1:6" x14ac:dyDescent="0.25">
      <c r="A60032"/>
      <c r="B60032"/>
      <c r="C60032"/>
      <c r="E60032"/>
      <c r="F60032"/>
    </row>
    <row r="60033" spans="1:6" x14ac:dyDescent="0.25">
      <c r="A60033"/>
      <c r="B60033"/>
      <c r="C60033"/>
      <c r="E60033"/>
      <c r="F60033"/>
    </row>
    <row r="60034" spans="1:6" x14ac:dyDescent="0.25">
      <c r="A60034"/>
      <c r="B60034"/>
      <c r="C60034"/>
      <c r="E60034"/>
      <c r="F60034"/>
    </row>
    <row r="60035" spans="1:6" x14ac:dyDescent="0.25">
      <c r="A60035"/>
      <c r="B60035"/>
      <c r="C60035"/>
      <c r="E60035"/>
      <c r="F60035"/>
    </row>
    <row r="60036" spans="1:6" x14ac:dyDescent="0.25">
      <c r="A60036"/>
      <c r="B60036"/>
      <c r="C60036"/>
      <c r="E60036"/>
      <c r="F60036"/>
    </row>
    <row r="60037" spans="1:6" x14ac:dyDescent="0.25">
      <c r="A60037"/>
      <c r="B60037"/>
      <c r="C60037"/>
      <c r="E60037"/>
      <c r="F60037"/>
    </row>
    <row r="60038" spans="1:6" x14ac:dyDescent="0.25">
      <c r="A60038"/>
      <c r="B60038"/>
      <c r="C60038"/>
      <c r="E60038"/>
      <c r="F60038"/>
    </row>
    <row r="60039" spans="1:6" x14ac:dyDescent="0.25">
      <c r="A60039"/>
      <c r="B60039"/>
      <c r="C60039"/>
      <c r="E60039"/>
      <c r="F60039"/>
    </row>
    <row r="60040" spans="1:6" x14ac:dyDescent="0.25">
      <c r="A60040"/>
      <c r="B60040"/>
      <c r="C60040"/>
      <c r="E60040"/>
      <c r="F60040"/>
    </row>
    <row r="60041" spans="1:6" x14ac:dyDescent="0.25">
      <c r="A60041"/>
      <c r="B60041"/>
      <c r="C60041"/>
      <c r="E60041"/>
      <c r="F60041"/>
    </row>
    <row r="60042" spans="1:6" x14ac:dyDescent="0.25">
      <c r="A60042"/>
      <c r="B60042"/>
      <c r="C60042"/>
      <c r="E60042"/>
      <c r="F60042"/>
    </row>
    <row r="60043" spans="1:6" x14ac:dyDescent="0.25">
      <c r="A60043"/>
      <c r="B60043"/>
      <c r="C60043"/>
      <c r="E60043"/>
      <c r="F60043"/>
    </row>
    <row r="60044" spans="1:6" x14ac:dyDescent="0.25">
      <c r="A60044"/>
      <c r="B60044"/>
      <c r="C60044"/>
      <c r="E60044"/>
      <c r="F60044"/>
    </row>
    <row r="60045" spans="1:6" x14ac:dyDescent="0.25">
      <c r="A60045"/>
      <c r="B60045"/>
      <c r="C60045"/>
      <c r="E60045"/>
      <c r="F60045"/>
    </row>
    <row r="60046" spans="1:6" x14ac:dyDescent="0.25">
      <c r="A60046"/>
      <c r="B60046"/>
      <c r="C60046"/>
      <c r="E60046"/>
      <c r="F60046"/>
    </row>
    <row r="60047" spans="1:6" x14ac:dyDescent="0.25">
      <c r="A60047"/>
      <c r="B60047"/>
      <c r="C60047"/>
      <c r="E60047"/>
      <c r="F60047"/>
    </row>
    <row r="60048" spans="1:6" x14ac:dyDescent="0.25">
      <c r="A60048"/>
      <c r="B60048"/>
      <c r="C60048"/>
      <c r="E60048"/>
      <c r="F60048"/>
    </row>
    <row r="60049" spans="1:6" x14ac:dyDescent="0.25">
      <c r="A60049"/>
      <c r="B60049"/>
      <c r="C60049"/>
      <c r="E60049"/>
      <c r="F60049"/>
    </row>
    <row r="60050" spans="1:6" x14ac:dyDescent="0.25">
      <c r="A60050"/>
      <c r="B60050"/>
      <c r="C60050"/>
      <c r="E60050"/>
      <c r="F60050"/>
    </row>
    <row r="60051" spans="1:6" x14ac:dyDescent="0.25">
      <c r="A60051"/>
      <c r="B60051"/>
      <c r="C60051"/>
      <c r="E60051"/>
      <c r="F60051"/>
    </row>
    <row r="60052" spans="1:6" x14ac:dyDescent="0.25">
      <c r="A60052"/>
      <c r="B60052"/>
      <c r="C60052"/>
      <c r="E60052"/>
      <c r="F60052"/>
    </row>
    <row r="60053" spans="1:6" x14ac:dyDescent="0.25">
      <c r="A60053"/>
      <c r="B60053"/>
      <c r="C60053"/>
      <c r="E60053"/>
      <c r="F60053"/>
    </row>
    <row r="60054" spans="1:6" x14ac:dyDescent="0.25">
      <c r="A60054"/>
      <c r="B60054"/>
      <c r="C60054"/>
      <c r="E60054"/>
      <c r="F60054"/>
    </row>
    <row r="60055" spans="1:6" x14ac:dyDescent="0.25">
      <c r="A60055"/>
      <c r="B60055"/>
      <c r="C60055"/>
      <c r="E60055"/>
      <c r="F60055"/>
    </row>
    <row r="60056" spans="1:6" x14ac:dyDescent="0.25">
      <c r="A60056"/>
      <c r="B60056"/>
      <c r="C60056"/>
      <c r="E60056"/>
      <c r="F60056"/>
    </row>
    <row r="60057" spans="1:6" x14ac:dyDescent="0.25">
      <c r="A60057"/>
      <c r="B60057"/>
      <c r="C60057"/>
      <c r="E60057"/>
      <c r="F60057"/>
    </row>
    <row r="60058" spans="1:6" x14ac:dyDescent="0.25">
      <c r="A60058"/>
      <c r="B60058"/>
      <c r="C60058"/>
      <c r="E60058"/>
      <c r="F60058"/>
    </row>
    <row r="60059" spans="1:6" x14ac:dyDescent="0.25">
      <c r="A60059"/>
      <c r="B60059"/>
      <c r="C60059"/>
      <c r="E60059"/>
      <c r="F60059"/>
    </row>
    <row r="60060" spans="1:6" x14ac:dyDescent="0.25">
      <c r="A60060"/>
      <c r="B60060"/>
      <c r="C60060"/>
      <c r="E60060"/>
      <c r="F60060"/>
    </row>
    <row r="60061" spans="1:6" x14ac:dyDescent="0.25">
      <c r="A60061"/>
      <c r="B60061"/>
      <c r="C60061"/>
      <c r="E60061"/>
      <c r="F60061"/>
    </row>
    <row r="60062" spans="1:6" x14ac:dyDescent="0.25">
      <c r="A60062"/>
      <c r="B60062"/>
      <c r="C60062"/>
      <c r="E60062"/>
      <c r="F60062"/>
    </row>
    <row r="60063" spans="1:6" x14ac:dyDescent="0.25">
      <c r="A60063"/>
      <c r="B60063"/>
      <c r="C60063"/>
      <c r="E60063"/>
      <c r="F60063"/>
    </row>
    <row r="60064" spans="1:6" x14ac:dyDescent="0.25">
      <c r="A60064"/>
      <c r="B60064"/>
      <c r="C60064"/>
      <c r="E60064"/>
      <c r="F60064"/>
    </row>
    <row r="60065" spans="1:6" x14ac:dyDescent="0.25">
      <c r="A60065"/>
      <c r="B60065"/>
      <c r="C60065"/>
      <c r="E60065"/>
      <c r="F60065"/>
    </row>
    <row r="60066" spans="1:6" x14ac:dyDescent="0.25">
      <c r="A60066"/>
      <c r="B60066"/>
      <c r="C60066"/>
      <c r="E60066"/>
      <c r="F60066"/>
    </row>
    <row r="60067" spans="1:6" x14ac:dyDescent="0.25">
      <c r="A60067"/>
      <c r="B60067"/>
      <c r="C60067"/>
      <c r="E60067"/>
      <c r="F60067"/>
    </row>
    <row r="60068" spans="1:6" x14ac:dyDescent="0.25">
      <c r="A60068"/>
      <c r="B60068"/>
      <c r="C60068"/>
      <c r="E60068"/>
      <c r="F60068"/>
    </row>
    <row r="60069" spans="1:6" x14ac:dyDescent="0.25">
      <c r="A60069"/>
      <c r="B60069"/>
      <c r="C60069"/>
      <c r="E60069"/>
      <c r="F60069"/>
    </row>
    <row r="60070" spans="1:6" x14ac:dyDescent="0.25">
      <c r="A60070"/>
      <c r="B60070"/>
      <c r="C60070"/>
      <c r="E60070"/>
      <c r="F60070"/>
    </row>
    <row r="60071" spans="1:6" x14ac:dyDescent="0.25">
      <c r="A60071"/>
      <c r="B60071"/>
      <c r="C60071"/>
      <c r="E60071"/>
      <c r="F60071"/>
    </row>
    <row r="60072" spans="1:6" x14ac:dyDescent="0.25">
      <c r="A60072"/>
      <c r="B60072"/>
      <c r="C60072"/>
      <c r="E60072"/>
      <c r="F60072"/>
    </row>
    <row r="60073" spans="1:6" x14ac:dyDescent="0.25">
      <c r="A60073"/>
      <c r="B60073"/>
      <c r="C60073"/>
      <c r="E60073"/>
      <c r="F60073"/>
    </row>
    <row r="60074" spans="1:6" x14ac:dyDescent="0.25">
      <c r="A60074"/>
      <c r="B60074"/>
      <c r="C60074"/>
      <c r="E60074"/>
      <c r="F60074"/>
    </row>
    <row r="60075" spans="1:6" x14ac:dyDescent="0.25">
      <c r="A60075"/>
      <c r="B60075"/>
      <c r="C60075"/>
      <c r="E60075"/>
      <c r="F60075"/>
    </row>
    <row r="60076" spans="1:6" x14ac:dyDescent="0.25">
      <c r="A60076"/>
      <c r="B60076"/>
      <c r="C60076"/>
      <c r="E60076"/>
      <c r="F60076"/>
    </row>
    <row r="60077" spans="1:6" x14ac:dyDescent="0.25">
      <c r="A60077"/>
      <c r="B60077"/>
      <c r="C60077"/>
      <c r="E60077"/>
      <c r="F60077"/>
    </row>
    <row r="60078" spans="1:6" x14ac:dyDescent="0.25">
      <c r="A60078"/>
      <c r="B60078"/>
      <c r="C60078"/>
      <c r="E60078"/>
      <c r="F60078"/>
    </row>
    <row r="60079" spans="1:6" x14ac:dyDescent="0.25">
      <c r="A60079"/>
      <c r="B60079"/>
      <c r="C60079"/>
      <c r="E60079"/>
      <c r="F60079"/>
    </row>
    <row r="60080" spans="1:6" x14ac:dyDescent="0.25">
      <c r="A60080"/>
      <c r="B60080"/>
      <c r="C60080"/>
      <c r="E60080"/>
      <c r="F60080"/>
    </row>
    <row r="60081" spans="1:6" x14ac:dyDescent="0.25">
      <c r="A60081"/>
      <c r="B60081"/>
      <c r="C60081"/>
      <c r="E60081"/>
      <c r="F60081"/>
    </row>
    <row r="60082" spans="1:6" x14ac:dyDescent="0.25">
      <c r="A60082"/>
      <c r="B60082"/>
      <c r="C60082"/>
      <c r="E60082"/>
      <c r="F60082"/>
    </row>
    <row r="60083" spans="1:6" x14ac:dyDescent="0.25">
      <c r="A60083"/>
      <c r="B60083"/>
      <c r="C60083"/>
      <c r="E60083"/>
      <c r="F60083"/>
    </row>
    <row r="60084" spans="1:6" x14ac:dyDescent="0.25">
      <c r="A60084"/>
      <c r="B60084"/>
      <c r="C60084"/>
      <c r="E60084"/>
      <c r="F60084"/>
    </row>
    <row r="60085" spans="1:6" x14ac:dyDescent="0.25">
      <c r="A60085"/>
      <c r="B60085"/>
      <c r="C60085"/>
      <c r="E60085"/>
      <c r="F60085"/>
    </row>
    <row r="60086" spans="1:6" x14ac:dyDescent="0.25">
      <c r="A60086"/>
      <c r="B60086"/>
      <c r="C60086"/>
      <c r="E60086"/>
      <c r="F60086"/>
    </row>
    <row r="60087" spans="1:6" x14ac:dyDescent="0.25">
      <c r="A60087"/>
      <c r="B60087"/>
      <c r="C60087"/>
      <c r="E60087"/>
      <c r="F60087"/>
    </row>
    <row r="60088" spans="1:6" x14ac:dyDescent="0.25">
      <c r="A60088"/>
      <c r="B60088"/>
      <c r="C60088"/>
      <c r="E60088"/>
      <c r="F60088"/>
    </row>
    <row r="60089" spans="1:6" x14ac:dyDescent="0.25">
      <c r="A60089"/>
      <c r="B60089"/>
      <c r="C60089"/>
      <c r="E60089"/>
      <c r="F60089"/>
    </row>
    <row r="60090" spans="1:6" x14ac:dyDescent="0.25">
      <c r="A60090"/>
      <c r="B60090"/>
      <c r="C60090"/>
      <c r="E60090"/>
      <c r="F60090"/>
    </row>
    <row r="60091" spans="1:6" x14ac:dyDescent="0.25">
      <c r="A60091"/>
      <c r="B60091"/>
      <c r="C60091"/>
      <c r="E60091"/>
      <c r="F60091"/>
    </row>
    <row r="60092" spans="1:6" x14ac:dyDescent="0.25">
      <c r="A60092"/>
      <c r="B60092"/>
      <c r="C60092"/>
      <c r="E60092"/>
      <c r="F60092"/>
    </row>
    <row r="60093" spans="1:6" x14ac:dyDescent="0.25">
      <c r="A60093"/>
      <c r="B60093"/>
      <c r="C60093"/>
      <c r="E60093"/>
      <c r="F60093"/>
    </row>
    <row r="60094" spans="1:6" x14ac:dyDescent="0.25">
      <c r="A60094"/>
      <c r="B60094"/>
      <c r="C60094"/>
      <c r="E60094"/>
      <c r="F60094"/>
    </row>
    <row r="60095" spans="1:6" x14ac:dyDescent="0.25">
      <c r="A60095"/>
      <c r="B60095"/>
      <c r="C60095"/>
      <c r="E60095"/>
      <c r="F60095"/>
    </row>
    <row r="60096" spans="1:6" x14ac:dyDescent="0.25">
      <c r="A60096"/>
      <c r="B60096"/>
      <c r="C60096"/>
      <c r="E60096"/>
      <c r="F60096"/>
    </row>
    <row r="60097" spans="1:6" x14ac:dyDescent="0.25">
      <c r="A60097"/>
      <c r="B60097"/>
      <c r="C60097"/>
      <c r="E60097"/>
      <c r="F60097"/>
    </row>
    <row r="60098" spans="1:6" x14ac:dyDescent="0.25">
      <c r="A60098"/>
      <c r="B60098"/>
      <c r="C60098"/>
      <c r="E60098"/>
      <c r="F60098"/>
    </row>
    <row r="60099" spans="1:6" x14ac:dyDescent="0.25">
      <c r="A60099"/>
      <c r="B60099"/>
      <c r="C60099"/>
      <c r="E60099"/>
      <c r="F60099"/>
    </row>
    <row r="60100" spans="1:6" x14ac:dyDescent="0.25">
      <c r="A60100"/>
      <c r="B60100"/>
      <c r="C60100"/>
      <c r="E60100"/>
      <c r="F60100"/>
    </row>
    <row r="60101" spans="1:6" x14ac:dyDescent="0.25">
      <c r="A60101"/>
      <c r="B60101"/>
      <c r="C60101"/>
      <c r="E60101"/>
      <c r="F60101"/>
    </row>
    <row r="60102" spans="1:6" x14ac:dyDescent="0.25">
      <c r="A60102"/>
      <c r="B60102"/>
      <c r="C60102"/>
      <c r="E60102"/>
      <c r="F60102"/>
    </row>
    <row r="60103" spans="1:6" x14ac:dyDescent="0.25">
      <c r="A60103"/>
      <c r="B60103"/>
      <c r="C60103"/>
      <c r="E60103"/>
      <c r="F60103"/>
    </row>
    <row r="60104" spans="1:6" x14ac:dyDescent="0.25">
      <c r="A60104"/>
      <c r="B60104"/>
      <c r="C60104"/>
      <c r="E60104"/>
      <c r="F60104"/>
    </row>
    <row r="60105" spans="1:6" x14ac:dyDescent="0.25">
      <c r="A60105"/>
      <c r="B60105"/>
      <c r="C60105"/>
      <c r="E60105"/>
      <c r="F60105"/>
    </row>
    <row r="60106" spans="1:6" x14ac:dyDescent="0.25">
      <c r="A60106"/>
      <c r="B60106"/>
      <c r="C60106"/>
      <c r="E60106"/>
      <c r="F60106"/>
    </row>
    <row r="60107" spans="1:6" x14ac:dyDescent="0.25">
      <c r="A60107"/>
      <c r="B60107"/>
      <c r="C60107"/>
      <c r="E60107"/>
      <c r="F60107"/>
    </row>
    <row r="60108" spans="1:6" x14ac:dyDescent="0.25">
      <c r="A60108"/>
      <c r="B60108"/>
      <c r="C60108"/>
      <c r="E60108"/>
      <c r="F60108"/>
    </row>
    <row r="60109" spans="1:6" x14ac:dyDescent="0.25">
      <c r="A60109"/>
      <c r="B60109"/>
      <c r="C60109"/>
      <c r="E60109"/>
      <c r="F60109"/>
    </row>
    <row r="60110" spans="1:6" x14ac:dyDescent="0.25">
      <c r="A60110"/>
      <c r="B60110"/>
      <c r="C60110"/>
      <c r="E60110"/>
      <c r="F60110"/>
    </row>
    <row r="60111" spans="1:6" x14ac:dyDescent="0.25">
      <c r="A60111"/>
      <c r="B60111"/>
      <c r="C60111"/>
      <c r="E60111"/>
      <c r="F60111"/>
    </row>
    <row r="60112" spans="1:6" x14ac:dyDescent="0.25">
      <c r="A60112"/>
      <c r="B60112"/>
      <c r="C60112"/>
      <c r="E60112"/>
      <c r="F60112"/>
    </row>
    <row r="60113" spans="1:6" x14ac:dyDescent="0.25">
      <c r="A60113"/>
      <c r="B60113"/>
      <c r="C60113"/>
      <c r="E60113"/>
      <c r="F60113"/>
    </row>
    <row r="60114" spans="1:6" x14ac:dyDescent="0.25">
      <c r="A60114"/>
      <c r="B60114"/>
      <c r="C60114"/>
      <c r="E60114"/>
      <c r="F60114"/>
    </row>
    <row r="60115" spans="1:6" x14ac:dyDescent="0.25">
      <c r="A60115"/>
      <c r="B60115"/>
      <c r="C60115"/>
      <c r="E60115"/>
      <c r="F60115"/>
    </row>
    <row r="60116" spans="1:6" x14ac:dyDescent="0.25">
      <c r="A60116"/>
      <c r="B60116"/>
      <c r="C60116"/>
      <c r="E60116"/>
      <c r="F60116"/>
    </row>
    <row r="60117" spans="1:6" x14ac:dyDescent="0.25">
      <c r="A60117"/>
      <c r="B60117"/>
      <c r="C60117"/>
      <c r="E60117"/>
      <c r="F60117"/>
    </row>
    <row r="60118" spans="1:6" x14ac:dyDescent="0.25">
      <c r="A60118"/>
      <c r="B60118"/>
      <c r="C60118"/>
      <c r="E60118"/>
      <c r="F60118"/>
    </row>
    <row r="60119" spans="1:6" x14ac:dyDescent="0.25">
      <c r="A60119"/>
      <c r="B60119"/>
      <c r="C60119"/>
      <c r="E60119"/>
      <c r="F60119"/>
    </row>
    <row r="60120" spans="1:6" x14ac:dyDescent="0.25">
      <c r="A60120"/>
      <c r="B60120"/>
      <c r="C60120"/>
      <c r="E60120"/>
      <c r="F60120"/>
    </row>
    <row r="60121" spans="1:6" x14ac:dyDescent="0.25">
      <c r="A60121"/>
      <c r="B60121"/>
      <c r="C60121"/>
      <c r="E60121"/>
      <c r="F60121"/>
    </row>
    <row r="60122" spans="1:6" x14ac:dyDescent="0.25">
      <c r="A60122"/>
      <c r="B60122"/>
      <c r="C60122"/>
      <c r="E60122"/>
      <c r="F60122"/>
    </row>
    <row r="60123" spans="1:6" x14ac:dyDescent="0.25">
      <c r="A60123"/>
      <c r="B60123"/>
      <c r="C60123"/>
      <c r="E60123"/>
      <c r="F60123"/>
    </row>
    <row r="60124" spans="1:6" x14ac:dyDescent="0.25">
      <c r="A60124"/>
      <c r="B60124"/>
      <c r="C60124"/>
      <c r="E60124"/>
      <c r="F60124"/>
    </row>
    <row r="60125" spans="1:6" x14ac:dyDescent="0.25">
      <c r="A60125"/>
      <c r="B60125"/>
      <c r="C60125"/>
      <c r="E60125"/>
      <c r="F60125"/>
    </row>
    <row r="60126" spans="1:6" x14ac:dyDescent="0.25">
      <c r="A60126"/>
      <c r="B60126"/>
      <c r="C60126"/>
      <c r="E60126"/>
      <c r="F60126"/>
    </row>
    <row r="60127" spans="1:6" x14ac:dyDescent="0.25">
      <c r="A60127"/>
      <c r="B60127"/>
      <c r="C60127"/>
      <c r="E60127"/>
      <c r="F60127"/>
    </row>
    <row r="60128" spans="1:6" x14ac:dyDescent="0.25">
      <c r="A60128"/>
      <c r="B60128"/>
      <c r="C60128"/>
      <c r="E60128"/>
      <c r="F60128"/>
    </row>
    <row r="60129" spans="1:6" x14ac:dyDescent="0.25">
      <c r="A60129"/>
      <c r="B60129"/>
      <c r="C60129"/>
      <c r="E60129"/>
      <c r="F60129"/>
    </row>
    <row r="60130" spans="1:6" x14ac:dyDescent="0.25">
      <c r="A60130"/>
      <c r="B60130"/>
      <c r="C60130"/>
      <c r="E60130"/>
      <c r="F60130"/>
    </row>
    <row r="60131" spans="1:6" x14ac:dyDescent="0.25">
      <c r="A60131"/>
      <c r="B60131"/>
      <c r="C60131"/>
      <c r="E60131"/>
      <c r="F60131"/>
    </row>
    <row r="60132" spans="1:6" x14ac:dyDescent="0.25">
      <c r="A60132"/>
      <c r="B60132"/>
      <c r="C60132"/>
      <c r="E60132"/>
      <c r="F60132"/>
    </row>
    <row r="60133" spans="1:6" x14ac:dyDescent="0.25">
      <c r="A60133"/>
      <c r="B60133"/>
      <c r="C60133"/>
      <c r="E60133"/>
      <c r="F60133"/>
    </row>
    <row r="60134" spans="1:6" x14ac:dyDescent="0.25">
      <c r="A60134"/>
      <c r="B60134"/>
      <c r="C60134"/>
      <c r="E60134"/>
      <c r="F60134"/>
    </row>
    <row r="60135" spans="1:6" x14ac:dyDescent="0.25">
      <c r="A60135"/>
      <c r="B60135"/>
      <c r="C60135"/>
      <c r="E60135"/>
      <c r="F60135"/>
    </row>
    <row r="60136" spans="1:6" x14ac:dyDescent="0.25">
      <c r="A60136"/>
      <c r="B60136"/>
      <c r="C60136"/>
      <c r="E60136"/>
      <c r="F60136"/>
    </row>
    <row r="60137" spans="1:6" x14ac:dyDescent="0.25">
      <c r="A60137"/>
      <c r="B60137"/>
      <c r="C60137"/>
      <c r="E60137"/>
      <c r="F60137"/>
    </row>
    <row r="60138" spans="1:6" x14ac:dyDescent="0.25">
      <c r="A60138"/>
      <c r="B60138"/>
      <c r="C60138"/>
      <c r="E60138"/>
      <c r="F60138"/>
    </row>
    <row r="60139" spans="1:6" x14ac:dyDescent="0.25">
      <c r="A60139"/>
      <c r="B60139"/>
      <c r="C60139"/>
      <c r="E60139"/>
      <c r="F60139"/>
    </row>
    <row r="60140" spans="1:6" x14ac:dyDescent="0.25">
      <c r="A60140"/>
      <c r="B60140"/>
      <c r="C60140"/>
      <c r="E60140"/>
      <c r="F60140"/>
    </row>
    <row r="60141" spans="1:6" x14ac:dyDescent="0.25">
      <c r="A60141"/>
      <c r="B60141"/>
      <c r="C60141"/>
      <c r="E60141"/>
      <c r="F60141"/>
    </row>
    <row r="60142" spans="1:6" x14ac:dyDescent="0.25">
      <c r="A60142"/>
      <c r="B60142"/>
      <c r="C60142"/>
      <c r="E60142"/>
      <c r="F60142"/>
    </row>
    <row r="60143" spans="1:6" x14ac:dyDescent="0.25">
      <c r="A60143"/>
      <c r="B60143"/>
      <c r="C60143"/>
      <c r="E60143"/>
      <c r="F60143"/>
    </row>
    <row r="60144" spans="1:6" x14ac:dyDescent="0.25">
      <c r="A60144"/>
      <c r="B60144"/>
      <c r="C60144"/>
      <c r="E60144"/>
      <c r="F60144"/>
    </row>
    <row r="60145" spans="1:6" x14ac:dyDescent="0.25">
      <c r="A60145"/>
      <c r="B60145"/>
      <c r="C60145"/>
      <c r="E60145"/>
      <c r="F60145"/>
    </row>
    <row r="60146" spans="1:6" x14ac:dyDescent="0.25">
      <c r="A60146"/>
      <c r="B60146"/>
      <c r="C60146"/>
      <c r="E60146"/>
      <c r="F60146"/>
    </row>
    <row r="60147" spans="1:6" x14ac:dyDescent="0.25">
      <c r="A60147"/>
      <c r="B60147"/>
      <c r="C60147"/>
      <c r="E60147"/>
      <c r="F60147"/>
    </row>
    <row r="60148" spans="1:6" x14ac:dyDescent="0.25">
      <c r="A60148"/>
      <c r="B60148"/>
      <c r="C60148"/>
      <c r="E60148"/>
      <c r="F60148"/>
    </row>
    <row r="60149" spans="1:6" x14ac:dyDescent="0.25">
      <c r="A60149"/>
      <c r="B60149"/>
      <c r="C60149"/>
      <c r="E60149"/>
      <c r="F60149"/>
    </row>
    <row r="60150" spans="1:6" x14ac:dyDescent="0.25">
      <c r="A60150"/>
      <c r="B60150"/>
      <c r="C60150"/>
      <c r="E60150"/>
      <c r="F60150"/>
    </row>
    <row r="60151" spans="1:6" x14ac:dyDescent="0.25">
      <c r="A60151"/>
      <c r="B60151"/>
      <c r="C60151"/>
      <c r="E60151"/>
      <c r="F60151"/>
    </row>
    <row r="60152" spans="1:6" x14ac:dyDescent="0.25">
      <c r="A60152"/>
      <c r="B60152"/>
      <c r="C60152"/>
      <c r="E60152"/>
      <c r="F60152"/>
    </row>
    <row r="60153" spans="1:6" x14ac:dyDescent="0.25">
      <c r="A60153"/>
      <c r="B60153"/>
      <c r="C60153"/>
      <c r="E60153"/>
      <c r="F60153"/>
    </row>
    <row r="60154" spans="1:6" x14ac:dyDescent="0.25">
      <c r="A60154"/>
      <c r="B60154"/>
      <c r="C60154"/>
      <c r="E60154"/>
      <c r="F60154"/>
    </row>
    <row r="60155" spans="1:6" x14ac:dyDescent="0.25">
      <c r="A60155"/>
      <c r="B60155"/>
      <c r="C60155"/>
      <c r="E60155"/>
      <c r="F60155"/>
    </row>
    <row r="60156" spans="1:6" x14ac:dyDescent="0.25">
      <c r="A60156"/>
      <c r="B60156"/>
      <c r="C60156"/>
      <c r="E60156"/>
      <c r="F60156"/>
    </row>
    <row r="60157" spans="1:6" x14ac:dyDescent="0.25">
      <c r="A60157"/>
      <c r="B60157"/>
      <c r="C60157"/>
      <c r="E60157"/>
      <c r="F60157"/>
    </row>
    <row r="60158" spans="1:6" x14ac:dyDescent="0.25">
      <c r="A60158"/>
      <c r="B60158"/>
      <c r="C60158"/>
      <c r="E60158"/>
      <c r="F60158"/>
    </row>
    <row r="60159" spans="1:6" x14ac:dyDescent="0.25">
      <c r="A60159"/>
      <c r="B60159"/>
      <c r="C60159"/>
      <c r="E60159"/>
      <c r="F60159"/>
    </row>
    <row r="60160" spans="1:6" x14ac:dyDescent="0.25">
      <c r="A60160"/>
      <c r="B60160"/>
      <c r="C60160"/>
      <c r="E60160"/>
      <c r="F60160"/>
    </row>
    <row r="60161" spans="1:6" x14ac:dyDescent="0.25">
      <c r="A60161"/>
      <c r="B60161"/>
      <c r="C60161"/>
      <c r="E60161"/>
      <c r="F60161"/>
    </row>
    <row r="60162" spans="1:6" x14ac:dyDescent="0.25">
      <c r="A60162"/>
      <c r="B60162"/>
      <c r="C60162"/>
      <c r="E60162"/>
      <c r="F60162"/>
    </row>
    <row r="60163" spans="1:6" x14ac:dyDescent="0.25">
      <c r="A60163"/>
      <c r="B60163"/>
      <c r="C60163"/>
      <c r="E60163"/>
      <c r="F60163"/>
    </row>
    <row r="60164" spans="1:6" x14ac:dyDescent="0.25">
      <c r="A60164"/>
      <c r="B60164"/>
      <c r="C60164"/>
      <c r="E60164"/>
      <c r="F60164"/>
    </row>
    <row r="60165" spans="1:6" x14ac:dyDescent="0.25">
      <c r="A60165"/>
      <c r="B60165"/>
      <c r="C60165"/>
      <c r="E60165"/>
      <c r="F60165"/>
    </row>
    <row r="60166" spans="1:6" x14ac:dyDescent="0.25">
      <c r="A60166"/>
      <c r="B60166"/>
      <c r="C60166"/>
      <c r="E60166"/>
      <c r="F60166"/>
    </row>
    <row r="60167" spans="1:6" x14ac:dyDescent="0.25">
      <c r="A60167"/>
      <c r="B60167"/>
      <c r="C60167"/>
      <c r="E60167"/>
      <c r="F60167"/>
    </row>
    <row r="60168" spans="1:6" x14ac:dyDescent="0.25">
      <c r="A60168"/>
      <c r="B60168"/>
      <c r="C60168"/>
      <c r="E60168"/>
      <c r="F60168"/>
    </row>
    <row r="60169" spans="1:6" x14ac:dyDescent="0.25">
      <c r="A60169"/>
      <c r="B60169"/>
      <c r="C60169"/>
      <c r="E60169"/>
      <c r="F60169"/>
    </row>
    <row r="60170" spans="1:6" x14ac:dyDescent="0.25">
      <c r="A60170"/>
      <c r="B60170"/>
      <c r="C60170"/>
      <c r="E60170"/>
      <c r="F60170"/>
    </row>
    <row r="60171" spans="1:6" x14ac:dyDescent="0.25">
      <c r="A60171"/>
      <c r="B60171"/>
      <c r="C60171"/>
      <c r="E60171"/>
      <c r="F60171"/>
    </row>
    <row r="60172" spans="1:6" x14ac:dyDescent="0.25">
      <c r="A60172"/>
      <c r="B60172"/>
      <c r="C60172"/>
      <c r="E60172"/>
      <c r="F60172"/>
    </row>
    <row r="60173" spans="1:6" x14ac:dyDescent="0.25">
      <c r="A60173"/>
      <c r="B60173"/>
      <c r="C60173"/>
      <c r="E60173"/>
      <c r="F60173"/>
    </row>
    <row r="60174" spans="1:6" x14ac:dyDescent="0.25">
      <c r="A60174"/>
      <c r="B60174"/>
      <c r="C60174"/>
      <c r="E60174"/>
      <c r="F60174"/>
    </row>
    <row r="60175" spans="1:6" x14ac:dyDescent="0.25">
      <c r="A60175"/>
      <c r="B60175"/>
      <c r="C60175"/>
      <c r="E60175"/>
      <c r="F60175"/>
    </row>
    <row r="60176" spans="1:6" x14ac:dyDescent="0.25">
      <c r="A60176"/>
      <c r="B60176"/>
      <c r="C60176"/>
      <c r="E60176"/>
      <c r="F60176"/>
    </row>
    <row r="60177" spans="1:6" x14ac:dyDescent="0.25">
      <c r="A60177"/>
      <c r="B60177"/>
      <c r="C60177"/>
      <c r="E60177"/>
      <c r="F60177"/>
    </row>
    <row r="60178" spans="1:6" x14ac:dyDescent="0.25">
      <c r="A60178"/>
      <c r="B60178"/>
      <c r="C60178"/>
      <c r="E60178"/>
      <c r="F60178"/>
    </row>
    <row r="60179" spans="1:6" x14ac:dyDescent="0.25">
      <c r="A60179"/>
      <c r="B60179"/>
      <c r="C60179"/>
      <c r="E60179"/>
      <c r="F60179"/>
    </row>
    <row r="60180" spans="1:6" x14ac:dyDescent="0.25">
      <c r="A60180"/>
      <c r="B60180"/>
      <c r="C60180"/>
      <c r="E60180"/>
      <c r="F60180"/>
    </row>
    <row r="60181" spans="1:6" x14ac:dyDescent="0.25">
      <c r="A60181"/>
      <c r="B60181"/>
      <c r="C60181"/>
      <c r="E60181"/>
      <c r="F60181"/>
    </row>
    <row r="60182" spans="1:6" x14ac:dyDescent="0.25">
      <c r="A60182"/>
      <c r="B60182"/>
      <c r="C60182"/>
      <c r="E60182"/>
      <c r="F60182"/>
    </row>
    <row r="60183" spans="1:6" x14ac:dyDescent="0.25">
      <c r="A60183"/>
      <c r="B60183"/>
      <c r="C60183"/>
      <c r="E60183"/>
      <c r="F60183"/>
    </row>
    <row r="60184" spans="1:6" x14ac:dyDescent="0.25">
      <c r="A60184"/>
      <c r="B60184"/>
      <c r="C60184"/>
      <c r="E60184"/>
      <c r="F60184"/>
    </row>
    <row r="60185" spans="1:6" x14ac:dyDescent="0.25">
      <c r="A60185"/>
      <c r="B60185"/>
      <c r="C60185"/>
      <c r="E60185"/>
      <c r="F60185"/>
    </row>
    <row r="60186" spans="1:6" x14ac:dyDescent="0.25">
      <c r="A60186"/>
      <c r="B60186"/>
      <c r="C60186"/>
      <c r="E60186"/>
      <c r="F60186"/>
    </row>
    <row r="60187" spans="1:6" x14ac:dyDescent="0.25">
      <c r="A60187"/>
      <c r="B60187"/>
      <c r="C60187"/>
      <c r="E60187"/>
      <c r="F60187"/>
    </row>
    <row r="60188" spans="1:6" x14ac:dyDescent="0.25">
      <c r="A60188"/>
      <c r="B60188"/>
      <c r="C60188"/>
      <c r="E60188"/>
      <c r="F60188"/>
    </row>
    <row r="60189" spans="1:6" x14ac:dyDescent="0.25">
      <c r="A60189"/>
      <c r="B60189"/>
      <c r="C60189"/>
      <c r="E60189"/>
      <c r="F60189"/>
    </row>
    <row r="60190" spans="1:6" x14ac:dyDescent="0.25">
      <c r="A60190"/>
      <c r="B60190"/>
      <c r="C60190"/>
      <c r="E60190"/>
      <c r="F60190"/>
    </row>
    <row r="60191" spans="1:6" x14ac:dyDescent="0.25">
      <c r="A60191"/>
      <c r="B60191"/>
      <c r="C60191"/>
      <c r="E60191"/>
      <c r="F60191"/>
    </row>
    <row r="60192" spans="1:6" x14ac:dyDescent="0.25">
      <c r="A60192"/>
      <c r="B60192"/>
      <c r="C60192"/>
      <c r="E60192"/>
      <c r="F60192"/>
    </row>
    <row r="60193" spans="1:6" x14ac:dyDescent="0.25">
      <c r="A60193"/>
      <c r="B60193"/>
      <c r="C60193"/>
      <c r="E60193"/>
      <c r="F60193"/>
    </row>
    <row r="60194" spans="1:6" x14ac:dyDescent="0.25">
      <c r="A60194"/>
      <c r="B60194"/>
      <c r="C60194"/>
      <c r="E60194"/>
      <c r="F60194"/>
    </row>
    <row r="60195" spans="1:6" x14ac:dyDescent="0.25">
      <c r="A60195"/>
      <c r="B60195"/>
      <c r="C60195"/>
      <c r="E60195"/>
      <c r="F60195"/>
    </row>
    <row r="60196" spans="1:6" x14ac:dyDescent="0.25">
      <c r="A60196"/>
      <c r="B60196"/>
      <c r="C60196"/>
      <c r="E60196"/>
      <c r="F60196"/>
    </row>
    <row r="60197" spans="1:6" x14ac:dyDescent="0.25">
      <c r="A60197"/>
      <c r="B60197"/>
      <c r="C60197"/>
      <c r="E60197"/>
      <c r="F60197"/>
    </row>
    <row r="60198" spans="1:6" x14ac:dyDescent="0.25">
      <c r="A60198"/>
      <c r="B60198"/>
      <c r="C60198"/>
      <c r="E60198"/>
      <c r="F60198"/>
    </row>
    <row r="60199" spans="1:6" x14ac:dyDescent="0.25">
      <c r="A60199"/>
      <c r="B60199"/>
      <c r="C60199"/>
      <c r="E60199"/>
      <c r="F60199"/>
    </row>
    <row r="60200" spans="1:6" x14ac:dyDescent="0.25">
      <c r="A60200"/>
      <c r="B60200"/>
      <c r="C60200"/>
      <c r="E60200"/>
      <c r="F60200"/>
    </row>
    <row r="60201" spans="1:6" x14ac:dyDescent="0.25">
      <c r="A60201"/>
      <c r="B60201"/>
      <c r="C60201"/>
      <c r="E60201"/>
      <c r="F60201"/>
    </row>
    <row r="60202" spans="1:6" x14ac:dyDescent="0.25">
      <c r="A60202"/>
      <c r="B60202"/>
      <c r="C60202"/>
      <c r="E60202"/>
      <c r="F60202"/>
    </row>
    <row r="60203" spans="1:6" x14ac:dyDescent="0.25">
      <c r="A60203"/>
      <c r="B60203"/>
      <c r="C60203"/>
      <c r="E60203"/>
      <c r="F60203"/>
    </row>
    <row r="60204" spans="1:6" x14ac:dyDescent="0.25">
      <c r="A60204"/>
      <c r="B60204"/>
      <c r="C60204"/>
      <c r="E60204"/>
      <c r="F60204"/>
    </row>
    <row r="60205" spans="1:6" x14ac:dyDescent="0.25">
      <c r="A60205"/>
      <c r="B60205"/>
      <c r="C60205"/>
      <c r="E60205"/>
      <c r="F60205"/>
    </row>
    <row r="60206" spans="1:6" x14ac:dyDescent="0.25">
      <c r="A60206"/>
      <c r="B60206"/>
      <c r="C60206"/>
      <c r="E60206"/>
      <c r="F60206"/>
    </row>
    <row r="60207" spans="1:6" x14ac:dyDescent="0.25">
      <c r="A60207"/>
      <c r="B60207"/>
      <c r="C60207"/>
      <c r="E60207"/>
      <c r="F60207"/>
    </row>
    <row r="60208" spans="1:6" x14ac:dyDescent="0.25">
      <c r="A60208"/>
      <c r="B60208"/>
      <c r="C60208"/>
      <c r="E60208"/>
      <c r="F60208"/>
    </row>
    <row r="60209" spans="1:6" x14ac:dyDescent="0.25">
      <c r="A60209"/>
      <c r="B60209"/>
      <c r="C60209"/>
      <c r="E60209"/>
      <c r="F60209"/>
    </row>
    <row r="60210" spans="1:6" x14ac:dyDescent="0.25">
      <c r="A60210"/>
      <c r="B60210"/>
      <c r="C60210"/>
      <c r="E60210"/>
      <c r="F60210"/>
    </row>
    <row r="60211" spans="1:6" x14ac:dyDescent="0.25">
      <c r="A60211"/>
      <c r="B60211"/>
      <c r="C60211"/>
      <c r="E60211"/>
      <c r="F60211"/>
    </row>
    <row r="60212" spans="1:6" x14ac:dyDescent="0.25">
      <c r="A60212"/>
      <c r="B60212"/>
      <c r="C60212"/>
      <c r="E60212"/>
      <c r="F60212"/>
    </row>
    <row r="60213" spans="1:6" x14ac:dyDescent="0.25">
      <c r="A60213"/>
      <c r="B60213"/>
      <c r="C60213"/>
      <c r="E60213"/>
      <c r="F60213"/>
    </row>
    <row r="60214" spans="1:6" x14ac:dyDescent="0.25">
      <c r="A60214"/>
      <c r="B60214"/>
      <c r="C60214"/>
      <c r="E60214"/>
      <c r="F60214"/>
    </row>
    <row r="60215" spans="1:6" x14ac:dyDescent="0.25">
      <c r="A60215"/>
      <c r="B60215"/>
      <c r="C60215"/>
      <c r="E60215"/>
      <c r="F60215"/>
    </row>
    <row r="60216" spans="1:6" x14ac:dyDescent="0.25">
      <c r="A60216"/>
      <c r="B60216"/>
      <c r="C60216"/>
      <c r="E60216"/>
      <c r="F60216"/>
    </row>
    <row r="60217" spans="1:6" x14ac:dyDescent="0.25">
      <c r="A60217"/>
      <c r="B60217"/>
      <c r="C60217"/>
      <c r="E60217"/>
      <c r="F60217"/>
    </row>
    <row r="60218" spans="1:6" x14ac:dyDescent="0.25">
      <c r="A60218"/>
      <c r="B60218"/>
      <c r="C60218"/>
      <c r="E60218"/>
      <c r="F60218"/>
    </row>
    <row r="60219" spans="1:6" x14ac:dyDescent="0.25">
      <c r="A60219"/>
      <c r="B60219"/>
      <c r="C60219"/>
      <c r="E60219"/>
      <c r="F60219"/>
    </row>
    <row r="60220" spans="1:6" x14ac:dyDescent="0.25">
      <c r="A60220"/>
      <c r="B60220"/>
      <c r="C60220"/>
      <c r="E60220"/>
      <c r="F60220"/>
    </row>
    <row r="60221" spans="1:6" x14ac:dyDescent="0.25">
      <c r="A60221"/>
      <c r="B60221"/>
      <c r="C60221"/>
      <c r="E60221"/>
      <c r="F60221"/>
    </row>
    <row r="60222" spans="1:6" x14ac:dyDescent="0.25">
      <c r="A60222"/>
      <c r="B60222"/>
      <c r="C60222"/>
      <c r="E60222"/>
      <c r="F60222"/>
    </row>
    <row r="60223" spans="1:6" x14ac:dyDescent="0.25">
      <c r="A60223"/>
      <c r="B60223"/>
      <c r="C60223"/>
      <c r="E60223"/>
      <c r="F60223"/>
    </row>
    <row r="60224" spans="1:6" x14ac:dyDescent="0.25">
      <c r="A60224"/>
      <c r="B60224"/>
      <c r="C60224"/>
      <c r="E60224"/>
      <c r="F60224"/>
    </row>
    <row r="60225" spans="1:6" x14ac:dyDescent="0.25">
      <c r="A60225"/>
      <c r="B60225"/>
      <c r="C60225"/>
      <c r="E60225"/>
      <c r="F60225"/>
    </row>
    <row r="60226" spans="1:6" x14ac:dyDescent="0.25">
      <c r="A60226"/>
      <c r="B60226"/>
      <c r="C60226"/>
      <c r="E60226"/>
      <c r="F60226"/>
    </row>
    <row r="60227" spans="1:6" x14ac:dyDescent="0.25">
      <c r="A60227"/>
      <c r="B60227"/>
      <c r="C60227"/>
      <c r="E60227"/>
      <c r="F60227"/>
    </row>
    <row r="60228" spans="1:6" x14ac:dyDescent="0.25">
      <c r="A60228"/>
      <c r="B60228"/>
      <c r="C60228"/>
      <c r="E60228"/>
      <c r="F60228"/>
    </row>
    <row r="60229" spans="1:6" x14ac:dyDescent="0.25">
      <c r="A60229"/>
      <c r="B60229"/>
      <c r="C60229"/>
      <c r="E60229"/>
      <c r="F60229"/>
    </row>
    <row r="60230" spans="1:6" x14ac:dyDescent="0.25">
      <c r="A60230"/>
      <c r="B60230"/>
      <c r="C60230"/>
      <c r="E60230"/>
      <c r="F60230"/>
    </row>
    <row r="60231" spans="1:6" x14ac:dyDescent="0.25">
      <c r="A60231"/>
      <c r="B60231"/>
      <c r="C60231"/>
      <c r="E60231"/>
      <c r="F60231"/>
    </row>
    <row r="60232" spans="1:6" x14ac:dyDescent="0.25">
      <c r="A60232"/>
      <c r="B60232"/>
      <c r="C60232"/>
      <c r="E60232"/>
      <c r="F60232"/>
    </row>
    <row r="60233" spans="1:6" x14ac:dyDescent="0.25">
      <c r="A60233"/>
      <c r="B60233"/>
      <c r="C60233"/>
      <c r="E60233"/>
      <c r="F60233"/>
    </row>
    <row r="60234" spans="1:6" x14ac:dyDescent="0.25">
      <c r="A60234"/>
      <c r="B60234"/>
      <c r="C60234"/>
      <c r="E60234"/>
      <c r="F60234"/>
    </row>
    <row r="60235" spans="1:6" x14ac:dyDescent="0.25">
      <c r="A60235"/>
      <c r="B60235"/>
      <c r="C60235"/>
      <c r="E60235"/>
      <c r="F60235"/>
    </row>
    <row r="60236" spans="1:6" x14ac:dyDescent="0.25">
      <c r="A60236"/>
      <c r="B60236"/>
      <c r="C60236"/>
      <c r="E60236"/>
      <c r="F60236"/>
    </row>
    <row r="60237" spans="1:6" x14ac:dyDescent="0.25">
      <c r="A60237"/>
      <c r="B60237"/>
      <c r="C60237"/>
      <c r="E60237"/>
      <c r="F60237"/>
    </row>
    <row r="60238" spans="1:6" x14ac:dyDescent="0.25">
      <c r="A60238"/>
      <c r="B60238"/>
      <c r="C60238"/>
      <c r="E60238"/>
      <c r="F60238"/>
    </row>
    <row r="60239" spans="1:6" x14ac:dyDescent="0.25">
      <c r="A60239"/>
      <c r="B60239"/>
      <c r="C60239"/>
      <c r="E60239"/>
      <c r="F60239"/>
    </row>
    <row r="60240" spans="1:6" x14ac:dyDescent="0.25">
      <c r="A60240"/>
      <c r="B60240"/>
      <c r="C60240"/>
      <c r="E60240"/>
      <c r="F60240"/>
    </row>
    <row r="60241" spans="1:6" x14ac:dyDescent="0.25">
      <c r="A60241"/>
      <c r="B60241"/>
      <c r="C60241"/>
      <c r="E60241"/>
      <c r="F60241"/>
    </row>
    <row r="60242" spans="1:6" x14ac:dyDescent="0.25">
      <c r="A60242"/>
      <c r="B60242"/>
      <c r="C60242"/>
      <c r="E60242"/>
      <c r="F60242"/>
    </row>
    <row r="60243" spans="1:6" x14ac:dyDescent="0.25">
      <c r="A60243"/>
      <c r="B60243"/>
      <c r="C60243"/>
      <c r="E60243"/>
      <c r="F60243"/>
    </row>
    <row r="60244" spans="1:6" x14ac:dyDescent="0.25">
      <c r="A60244"/>
      <c r="B60244"/>
      <c r="C60244"/>
      <c r="E60244"/>
      <c r="F60244"/>
    </row>
    <row r="60245" spans="1:6" x14ac:dyDescent="0.25">
      <c r="A60245"/>
      <c r="B60245"/>
      <c r="C60245"/>
      <c r="E60245"/>
      <c r="F60245"/>
    </row>
    <row r="60246" spans="1:6" x14ac:dyDescent="0.25">
      <c r="A60246"/>
      <c r="B60246"/>
      <c r="C60246"/>
      <c r="E60246"/>
      <c r="F60246"/>
    </row>
    <row r="60247" spans="1:6" x14ac:dyDescent="0.25">
      <c r="A60247"/>
      <c r="B60247"/>
      <c r="C60247"/>
      <c r="E60247"/>
      <c r="F60247"/>
    </row>
    <row r="60248" spans="1:6" x14ac:dyDescent="0.25">
      <c r="A60248"/>
      <c r="B60248"/>
      <c r="C60248"/>
      <c r="E60248"/>
      <c r="F60248"/>
    </row>
    <row r="60249" spans="1:6" x14ac:dyDescent="0.25">
      <c r="A60249"/>
      <c r="B60249"/>
      <c r="C60249"/>
      <c r="E60249"/>
      <c r="F60249"/>
    </row>
    <row r="60250" spans="1:6" x14ac:dyDescent="0.25">
      <c r="A60250"/>
      <c r="B60250"/>
      <c r="C60250"/>
      <c r="E60250"/>
      <c r="F60250"/>
    </row>
    <row r="60251" spans="1:6" x14ac:dyDescent="0.25">
      <c r="A60251"/>
      <c r="B60251"/>
      <c r="C60251"/>
      <c r="E60251"/>
      <c r="F60251"/>
    </row>
    <row r="60252" spans="1:6" x14ac:dyDescent="0.25">
      <c r="A60252"/>
      <c r="B60252"/>
      <c r="C60252"/>
      <c r="E60252"/>
      <c r="F60252"/>
    </row>
    <row r="60253" spans="1:6" x14ac:dyDescent="0.25">
      <c r="A60253"/>
      <c r="B60253"/>
      <c r="C60253"/>
      <c r="E60253"/>
      <c r="F60253"/>
    </row>
    <row r="60254" spans="1:6" x14ac:dyDescent="0.25">
      <c r="A60254"/>
      <c r="B60254"/>
      <c r="C60254"/>
      <c r="E60254"/>
      <c r="F60254"/>
    </row>
    <row r="60255" spans="1:6" x14ac:dyDescent="0.25">
      <c r="A60255"/>
      <c r="B60255"/>
      <c r="C60255"/>
      <c r="E60255"/>
      <c r="F60255"/>
    </row>
    <row r="60256" spans="1:6" x14ac:dyDescent="0.25">
      <c r="A60256"/>
      <c r="B60256"/>
      <c r="C60256"/>
      <c r="E60256"/>
      <c r="F60256"/>
    </row>
    <row r="60257" spans="1:6" x14ac:dyDescent="0.25">
      <c r="A60257"/>
      <c r="B60257"/>
      <c r="C60257"/>
      <c r="E60257"/>
      <c r="F60257"/>
    </row>
    <row r="60258" spans="1:6" x14ac:dyDescent="0.25">
      <c r="A60258"/>
      <c r="B60258"/>
      <c r="C60258"/>
      <c r="E60258"/>
      <c r="F60258"/>
    </row>
    <row r="60259" spans="1:6" x14ac:dyDescent="0.25">
      <c r="A60259"/>
      <c r="B60259"/>
      <c r="C60259"/>
      <c r="E60259"/>
      <c r="F60259"/>
    </row>
    <row r="60260" spans="1:6" x14ac:dyDescent="0.25">
      <c r="A60260"/>
      <c r="B60260"/>
      <c r="C60260"/>
      <c r="E60260"/>
      <c r="F60260"/>
    </row>
    <row r="60261" spans="1:6" x14ac:dyDescent="0.25">
      <c r="A60261"/>
      <c r="B60261"/>
      <c r="C60261"/>
      <c r="E60261"/>
      <c r="F60261"/>
    </row>
    <row r="60262" spans="1:6" x14ac:dyDescent="0.25">
      <c r="A60262"/>
      <c r="B60262"/>
      <c r="C60262"/>
      <c r="E60262"/>
      <c r="F60262"/>
    </row>
    <row r="60263" spans="1:6" x14ac:dyDescent="0.25">
      <c r="A60263"/>
      <c r="B60263"/>
      <c r="C60263"/>
      <c r="E60263"/>
      <c r="F60263"/>
    </row>
    <row r="60264" spans="1:6" x14ac:dyDescent="0.25">
      <c r="A60264"/>
      <c r="B60264"/>
      <c r="C60264"/>
      <c r="E60264"/>
      <c r="F60264"/>
    </row>
    <row r="60265" spans="1:6" x14ac:dyDescent="0.25">
      <c r="A60265"/>
      <c r="B60265"/>
      <c r="C60265"/>
      <c r="E60265"/>
      <c r="F60265"/>
    </row>
    <row r="60266" spans="1:6" x14ac:dyDescent="0.25">
      <c r="A60266"/>
      <c r="B60266"/>
      <c r="C60266"/>
      <c r="E60266"/>
      <c r="F60266"/>
    </row>
    <row r="60267" spans="1:6" x14ac:dyDescent="0.25">
      <c r="A60267"/>
      <c r="B60267"/>
      <c r="C60267"/>
      <c r="E60267"/>
      <c r="F60267"/>
    </row>
    <row r="60268" spans="1:6" x14ac:dyDescent="0.25">
      <c r="A60268"/>
      <c r="B60268"/>
      <c r="C60268"/>
      <c r="E60268"/>
      <c r="F60268"/>
    </row>
    <row r="60269" spans="1:6" x14ac:dyDescent="0.25">
      <c r="A60269"/>
      <c r="B60269"/>
      <c r="C60269"/>
      <c r="E60269"/>
      <c r="F60269"/>
    </row>
    <row r="60270" spans="1:6" x14ac:dyDescent="0.25">
      <c r="A60270"/>
      <c r="B60270"/>
      <c r="C60270"/>
      <c r="E60270"/>
      <c r="F60270"/>
    </row>
    <row r="60271" spans="1:6" x14ac:dyDescent="0.25">
      <c r="A60271"/>
      <c r="B60271"/>
      <c r="C60271"/>
      <c r="E60271"/>
      <c r="F60271"/>
    </row>
    <row r="60272" spans="1:6" x14ac:dyDescent="0.25">
      <c r="A60272"/>
      <c r="B60272"/>
      <c r="C60272"/>
      <c r="E60272"/>
      <c r="F60272"/>
    </row>
    <row r="60273" spans="1:6" x14ac:dyDescent="0.25">
      <c r="A60273"/>
      <c r="B60273"/>
      <c r="C60273"/>
      <c r="E60273"/>
      <c r="F60273"/>
    </row>
    <row r="60274" spans="1:6" x14ac:dyDescent="0.25">
      <c r="A60274"/>
      <c r="B60274"/>
      <c r="C60274"/>
      <c r="E60274"/>
      <c r="F60274"/>
    </row>
    <row r="60275" spans="1:6" x14ac:dyDescent="0.25">
      <c r="A60275"/>
      <c r="B60275"/>
      <c r="C60275"/>
      <c r="E60275"/>
      <c r="F60275"/>
    </row>
    <row r="60276" spans="1:6" x14ac:dyDescent="0.25">
      <c r="A60276"/>
      <c r="B60276"/>
      <c r="C60276"/>
      <c r="E60276"/>
      <c r="F60276"/>
    </row>
    <row r="60277" spans="1:6" x14ac:dyDescent="0.25">
      <c r="A60277"/>
      <c r="B60277"/>
      <c r="C60277"/>
      <c r="E60277"/>
      <c r="F60277"/>
    </row>
    <row r="60278" spans="1:6" x14ac:dyDescent="0.25">
      <c r="A60278"/>
      <c r="B60278"/>
      <c r="C60278"/>
      <c r="E60278"/>
      <c r="F60278"/>
    </row>
    <row r="60279" spans="1:6" x14ac:dyDescent="0.25">
      <c r="A60279"/>
      <c r="B60279"/>
      <c r="C60279"/>
      <c r="E60279"/>
      <c r="F60279"/>
    </row>
    <row r="60280" spans="1:6" x14ac:dyDescent="0.25">
      <c r="A60280"/>
      <c r="B60280"/>
      <c r="C60280"/>
      <c r="E60280"/>
      <c r="F60280"/>
    </row>
    <row r="60281" spans="1:6" x14ac:dyDescent="0.25">
      <c r="A60281"/>
      <c r="B60281"/>
      <c r="C60281"/>
      <c r="E60281"/>
      <c r="F60281"/>
    </row>
    <row r="60282" spans="1:6" x14ac:dyDescent="0.25">
      <c r="A60282"/>
      <c r="B60282"/>
      <c r="C60282"/>
      <c r="E60282"/>
      <c r="F60282"/>
    </row>
    <row r="60283" spans="1:6" x14ac:dyDescent="0.25">
      <c r="A60283"/>
      <c r="B60283"/>
      <c r="C60283"/>
      <c r="E60283"/>
      <c r="F60283"/>
    </row>
    <row r="60284" spans="1:6" x14ac:dyDescent="0.25">
      <c r="A60284"/>
      <c r="B60284"/>
      <c r="C60284"/>
      <c r="E60284"/>
      <c r="F60284"/>
    </row>
    <row r="60285" spans="1:6" x14ac:dyDescent="0.25">
      <c r="A60285"/>
      <c r="B60285"/>
      <c r="C60285"/>
      <c r="E60285"/>
      <c r="F60285"/>
    </row>
    <row r="60286" spans="1:6" x14ac:dyDescent="0.25">
      <c r="A60286"/>
      <c r="B60286"/>
      <c r="C60286"/>
      <c r="E60286"/>
      <c r="F60286"/>
    </row>
    <row r="60287" spans="1:6" x14ac:dyDescent="0.25">
      <c r="A60287"/>
      <c r="B60287"/>
      <c r="C60287"/>
      <c r="E60287"/>
      <c r="F60287"/>
    </row>
    <row r="60288" spans="1:6" x14ac:dyDescent="0.25">
      <c r="A60288"/>
      <c r="B60288"/>
      <c r="C60288"/>
      <c r="E60288"/>
      <c r="F60288"/>
    </row>
    <row r="60289" spans="1:6" x14ac:dyDescent="0.25">
      <c r="A60289"/>
      <c r="B60289"/>
      <c r="C60289"/>
      <c r="E60289"/>
      <c r="F60289"/>
    </row>
    <row r="60290" spans="1:6" x14ac:dyDescent="0.25">
      <c r="A60290"/>
      <c r="B60290"/>
      <c r="C60290"/>
      <c r="E60290"/>
      <c r="F60290"/>
    </row>
    <row r="60291" spans="1:6" x14ac:dyDescent="0.25">
      <c r="A60291"/>
      <c r="B60291"/>
      <c r="C60291"/>
      <c r="E60291"/>
      <c r="F60291"/>
    </row>
    <row r="60292" spans="1:6" x14ac:dyDescent="0.25">
      <c r="A60292"/>
      <c r="B60292"/>
      <c r="C60292"/>
      <c r="E60292"/>
      <c r="F60292"/>
    </row>
    <row r="60293" spans="1:6" x14ac:dyDescent="0.25">
      <c r="A60293"/>
      <c r="B60293"/>
      <c r="C60293"/>
      <c r="E60293"/>
      <c r="F60293"/>
    </row>
    <row r="60294" spans="1:6" x14ac:dyDescent="0.25">
      <c r="A60294"/>
      <c r="B60294"/>
      <c r="C60294"/>
      <c r="E60294"/>
      <c r="F60294"/>
    </row>
    <row r="60295" spans="1:6" x14ac:dyDescent="0.25">
      <c r="A60295"/>
      <c r="B60295"/>
      <c r="C60295"/>
      <c r="E60295"/>
      <c r="F60295"/>
    </row>
    <row r="60296" spans="1:6" x14ac:dyDescent="0.25">
      <c r="A60296"/>
      <c r="B60296"/>
      <c r="C60296"/>
      <c r="E60296"/>
      <c r="F60296"/>
    </row>
    <row r="60297" spans="1:6" x14ac:dyDescent="0.25">
      <c r="A60297"/>
      <c r="B60297"/>
      <c r="C60297"/>
      <c r="E60297"/>
      <c r="F60297"/>
    </row>
    <row r="60298" spans="1:6" x14ac:dyDescent="0.25">
      <c r="A60298"/>
      <c r="B60298"/>
      <c r="C60298"/>
      <c r="E60298"/>
      <c r="F60298"/>
    </row>
    <row r="60299" spans="1:6" x14ac:dyDescent="0.25">
      <c r="A60299"/>
      <c r="B60299"/>
      <c r="C60299"/>
      <c r="E60299"/>
      <c r="F60299"/>
    </row>
    <row r="60300" spans="1:6" x14ac:dyDescent="0.25">
      <c r="A60300"/>
      <c r="B60300"/>
      <c r="C60300"/>
      <c r="E60300"/>
      <c r="F60300"/>
    </row>
    <row r="60301" spans="1:6" x14ac:dyDescent="0.25">
      <c r="A60301"/>
      <c r="B60301"/>
      <c r="C60301"/>
      <c r="E60301"/>
      <c r="F60301"/>
    </row>
    <row r="60302" spans="1:6" x14ac:dyDescent="0.25">
      <c r="A60302"/>
      <c r="B60302"/>
      <c r="C60302"/>
      <c r="E60302"/>
      <c r="F60302"/>
    </row>
    <row r="60303" spans="1:6" x14ac:dyDescent="0.25">
      <c r="A60303"/>
      <c r="B60303"/>
      <c r="C60303"/>
      <c r="E60303"/>
      <c r="F60303"/>
    </row>
    <row r="60304" spans="1:6" x14ac:dyDescent="0.25">
      <c r="A60304"/>
      <c r="B60304"/>
      <c r="C60304"/>
      <c r="E60304"/>
      <c r="F60304"/>
    </row>
    <row r="60305" spans="1:6" x14ac:dyDescent="0.25">
      <c r="A60305"/>
      <c r="B60305"/>
      <c r="C60305"/>
      <c r="E60305"/>
      <c r="F60305"/>
    </row>
    <row r="60306" spans="1:6" x14ac:dyDescent="0.25">
      <c r="A60306"/>
      <c r="B60306"/>
      <c r="C60306"/>
      <c r="E60306"/>
      <c r="F60306"/>
    </row>
    <row r="60307" spans="1:6" x14ac:dyDescent="0.25">
      <c r="A60307"/>
      <c r="B60307"/>
      <c r="C60307"/>
      <c r="E60307"/>
      <c r="F60307"/>
    </row>
    <row r="60308" spans="1:6" x14ac:dyDescent="0.25">
      <c r="A60308"/>
      <c r="B60308"/>
      <c r="C60308"/>
      <c r="E60308"/>
      <c r="F60308"/>
    </row>
    <row r="60309" spans="1:6" x14ac:dyDescent="0.25">
      <c r="A60309"/>
      <c r="B60309"/>
      <c r="C60309"/>
      <c r="E60309"/>
      <c r="F60309"/>
    </row>
    <row r="60310" spans="1:6" x14ac:dyDescent="0.25">
      <c r="A60310"/>
      <c r="B60310"/>
      <c r="C60310"/>
      <c r="E60310"/>
      <c r="F60310"/>
    </row>
    <row r="60311" spans="1:6" x14ac:dyDescent="0.25">
      <c r="A60311"/>
      <c r="B60311"/>
      <c r="C60311"/>
      <c r="E60311"/>
      <c r="F60311"/>
    </row>
    <row r="60312" spans="1:6" x14ac:dyDescent="0.25">
      <c r="A60312"/>
      <c r="B60312"/>
      <c r="C60312"/>
      <c r="E60312"/>
      <c r="F60312"/>
    </row>
    <row r="60313" spans="1:6" x14ac:dyDescent="0.25">
      <c r="A60313"/>
      <c r="B60313"/>
      <c r="C60313"/>
      <c r="E60313"/>
      <c r="F60313"/>
    </row>
    <row r="60314" spans="1:6" x14ac:dyDescent="0.25">
      <c r="A60314"/>
      <c r="B60314"/>
      <c r="C60314"/>
      <c r="E60314"/>
      <c r="F60314"/>
    </row>
    <row r="60315" spans="1:6" x14ac:dyDescent="0.25">
      <c r="A60315"/>
      <c r="B60315"/>
      <c r="C60315"/>
      <c r="E60315"/>
      <c r="F60315"/>
    </row>
    <row r="60316" spans="1:6" x14ac:dyDescent="0.25">
      <c r="A60316"/>
      <c r="B60316"/>
      <c r="C60316"/>
      <c r="E60316"/>
      <c r="F60316"/>
    </row>
    <row r="60317" spans="1:6" x14ac:dyDescent="0.25">
      <c r="A60317"/>
      <c r="B60317"/>
      <c r="C60317"/>
      <c r="E60317"/>
      <c r="F60317"/>
    </row>
    <row r="60318" spans="1:6" x14ac:dyDescent="0.25">
      <c r="A60318"/>
      <c r="B60318"/>
      <c r="C60318"/>
      <c r="E60318"/>
      <c r="F60318"/>
    </row>
    <row r="60319" spans="1:6" x14ac:dyDescent="0.25">
      <c r="A60319"/>
      <c r="B60319"/>
      <c r="C60319"/>
      <c r="E60319"/>
      <c r="F60319"/>
    </row>
    <row r="60320" spans="1:6" x14ac:dyDescent="0.25">
      <c r="A60320"/>
      <c r="B60320"/>
      <c r="C60320"/>
      <c r="E60320"/>
      <c r="F60320"/>
    </row>
    <row r="60321" spans="1:6" x14ac:dyDescent="0.25">
      <c r="A60321"/>
      <c r="B60321"/>
      <c r="C60321"/>
      <c r="E60321"/>
      <c r="F60321"/>
    </row>
    <row r="60322" spans="1:6" x14ac:dyDescent="0.25">
      <c r="A60322"/>
      <c r="B60322"/>
      <c r="C60322"/>
      <c r="E60322"/>
      <c r="F60322"/>
    </row>
    <row r="60323" spans="1:6" x14ac:dyDescent="0.25">
      <c r="A60323"/>
      <c r="B60323"/>
      <c r="C60323"/>
      <c r="E60323"/>
      <c r="F60323"/>
    </row>
    <row r="60324" spans="1:6" x14ac:dyDescent="0.25">
      <c r="A60324"/>
      <c r="B60324"/>
      <c r="C60324"/>
      <c r="E60324"/>
      <c r="F60324"/>
    </row>
    <row r="60325" spans="1:6" x14ac:dyDescent="0.25">
      <c r="A60325"/>
      <c r="B60325"/>
      <c r="C60325"/>
      <c r="E60325"/>
      <c r="F60325"/>
    </row>
    <row r="60326" spans="1:6" x14ac:dyDescent="0.25">
      <c r="A60326"/>
      <c r="B60326"/>
      <c r="C60326"/>
      <c r="E60326"/>
      <c r="F60326"/>
    </row>
    <row r="60327" spans="1:6" x14ac:dyDescent="0.25">
      <c r="A60327"/>
      <c r="B60327"/>
      <c r="C60327"/>
      <c r="E60327"/>
      <c r="F60327"/>
    </row>
    <row r="60328" spans="1:6" x14ac:dyDescent="0.25">
      <c r="A60328"/>
      <c r="B60328"/>
      <c r="C60328"/>
      <c r="E60328"/>
      <c r="F60328"/>
    </row>
    <row r="60329" spans="1:6" x14ac:dyDescent="0.25">
      <c r="A60329"/>
      <c r="B60329"/>
      <c r="C60329"/>
      <c r="E60329"/>
      <c r="F60329"/>
    </row>
    <row r="60330" spans="1:6" x14ac:dyDescent="0.25">
      <c r="A60330"/>
      <c r="B60330"/>
      <c r="C60330"/>
      <c r="E60330"/>
      <c r="F60330"/>
    </row>
    <row r="60331" spans="1:6" x14ac:dyDescent="0.25">
      <c r="A60331"/>
      <c r="B60331"/>
      <c r="C60331"/>
      <c r="E60331"/>
      <c r="F60331"/>
    </row>
    <row r="60332" spans="1:6" x14ac:dyDescent="0.25">
      <c r="A60332"/>
      <c r="B60332"/>
      <c r="C60332"/>
      <c r="E60332"/>
      <c r="F60332"/>
    </row>
    <row r="60333" spans="1:6" x14ac:dyDescent="0.25">
      <c r="A60333"/>
      <c r="B60333"/>
      <c r="C60333"/>
      <c r="E60333"/>
      <c r="F60333"/>
    </row>
    <row r="60334" spans="1:6" x14ac:dyDescent="0.25">
      <c r="A60334"/>
      <c r="B60334"/>
      <c r="C60334"/>
      <c r="E60334"/>
      <c r="F60334"/>
    </row>
    <row r="60335" spans="1:6" x14ac:dyDescent="0.25">
      <c r="A60335"/>
      <c r="B60335"/>
      <c r="C60335"/>
      <c r="E60335"/>
      <c r="F60335"/>
    </row>
    <row r="60336" spans="1:6" x14ac:dyDescent="0.25">
      <c r="A60336"/>
      <c r="B60336"/>
      <c r="C60336"/>
      <c r="E60336"/>
      <c r="F60336"/>
    </row>
    <row r="60337" spans="1:6" x14ac:dyDescent="0.25">
      <c r="A60337"/>
      <c r="B60337"/>
      <c r="C60337"/>
      <c r="E60337"/>
      <c r="F60337"/>
    </row>
    <row r="60338" spans="1:6" x14ac:dyDescent="0.25">
      <c r="A60338"/>
      <c r="B60338"/>
      <c r="C60338"/>
      <c r="E60338"/>
      <c r="F60338"/>
    </row>
    <row r="60339" spans="1:6" x14ac:dyDescent="0.25">
      <c r="A60339"/>
      <c r="B60339"/>
      <c r="C60339"/>
      <c r="E60339"/>
      <c r="F60339"/>
    </row>
    <row r="60340" spans="1:6" x14ac:dyDescent="0.25">
      <c r="A60340"/>
      <c r="B60340"/>
      <c r="C60340"/>
      <c r="E60340"/>
      <c r="F60340"/>
    </row>
    <row r="60341" spans="1:6" x14ac:dyDescent="0.25">
      <c r="A60341"/>
      <c r="B60341"/>
      <c r="C60341"/>
      <c r="E60341"/>
      <c r="F60341"/>
    </row>
    <row r="60342" spans="1:6" x14ac:dyDescent="0.25">
      <c r="A60342"/>
      <c r="B60342"/>
      <c r="C60342"/>
      <c r="E60342"/>
      <c r="F60342"/>
    </row>
    <row r="60343" spans="1:6" x14ac:dyDescent="0.25">
      <c r="A60343"/>
      <c r="B60343"/>
      <c r="C60343"/>
      <c r="E60343"/>
      <c r="F60343"/>
    </row>
    <row r="60344" spans="1:6" x14ac:dyDescent="0.25">
      <c r="A60344"/>
      <c r="B60344"/>
      <c r="C60344"/>
      <c r="E60344"/>
      <c r="F60344"/>
    </row>
    <row r="60345" spans="1:6" x14ac:dyDescent="0.25">
      <c r="A60345"/>
      <c r="B60345"/>
      <c r="C60345"/>
      <c r="E60345"/>
      <c r="F60345"/>
    </row>
    <row r="60346" spans="1:6" x14ac:dyDescent="0.25">
      <c r="A60346"/>
      <c r="B60346"/>
      <c r="C60346"/>
      <c r="E60346"/>
      <c r="F60346"/>
    </row>
    <row r="60347" spans="1:6" x14ac:dyDescent="0.25">
      <c r="A60347"/>
      <c r="B60347"/>
      <c r="C60347"/>
      <c r="E60347"/>
      <c r="F60347"/>
    </row>
    <row r="60348" spans="1:6" x14ac:dyDescent="0.25">
      <c r="A60348"/>
      <c r="B60348"/>
      <c r="C60348"/>
      <c r="E60348"/>
      <c r="F60348"/>
    </row>
    <row r="60349" spans="1:6" x14ac:dyDescent="0.25">
      <c r="A60349"/>
      <c r="B60349"/>
      <c r="C60349"/>
      <c r="E60349"/>
      <c r="F60349"/>
    </row>
    <row r="60350" spans="1:6" x14ac:dyDescent="0.25">
      <c r="A60350"/>
      <c r="B60350"/>
      <c r="C60350"/>
      <c r="E60350"/>
      <c r="F60350"/>
    </row>
    <row r="60351" spans="1:6" x14ac:dyDescent="0.25">
      <c r="A60351"/>
      <c r="B60351"/>
      <c r="C60351"/>
      <c r="E60351"/>
      <c r="F60351"/>
    </row>
    <row r="60352" spans="1:6" x14ac:dyDescent="0.25">
      <c r="A60352"/>
      <c r="B60352"/>
      <c r="C60352"/>
      <c r="E60352"/>
      <c r="F60352"/>
    </row>
    <row r="60353" spans="1:6" x14ac:dyDescent="0.25">
      <c r="A60353"/>
      <c r="B60353"/>
      <c r="C60353"/>
      <c r="E60353"/>
      <c r="F60353"/>
    </row>
    <row r="60354" spans="1:6" x14ac:dyDescent="0.25">
      <c r="A60354"/>
      <c r="B60354"/>
      <c r="C60354"/>
      <c r="E60354"/>
      <c r="F60354"/>
    </row>
    <row r="60355" spans="1:6" x14ac:dyDescent="0.25">
      <c r="A60355"/>
      <c r="B60355"/>
      <c r="C60355"/>
      <c r="E60355"/>
      <c r="F60355"/>
    </row>
    <row r="60356" spans="1:6" x14ac:dyDescent="0.25">
      <c r="A60356"/>
      <c r="B60356"/>
      <c r="C60356"/>
      <c r="E60356"/>
      <c r="F60356"/>
    </row>
    <row r="60357" spans="1:6" x14ac:dyDescent="0.25">
      <c r="A60357"/>
      <c r="B60357"/>
      <c r="C60357"/>
      <c r="E60357"/>
      <c r="F60357"/>
    </row>
    <row r="60358" spans="1:6" x14ac:dyDescent="0.25">
      <c r="A60358"/>
      <c r="B60358"/>
      <c r="C60358"/>
      <c r="E60358"/>
      <c r="F60358"/>
    </row>
    <row r="60359" spans="1:6" x14ac:dyDescent="0.25">
      <c r="A60359"/>
      <c r="B60359"/>
      <c r="C60359"/>
      <c r="E60359"/>
      <c r="F60359"/>
    </row>
    <row r="60360" spans="1:6" x14ac:dyDescent="0.25">
      <c r="A60360"/>
      <c r="B60360"/>
      <c r="C60360"/>
      <c r="E60360"/>
      <c r="F60360"/>
    </row>
    <row r="60361" spans="1:6" x14ac:dyDescent="0.25">
      <c r="A60361"/>
      <c r="B60361"/>
      <c r="C60361"/>
      <c r="E60361"/>
      <c r="F60361"/>
    </row>
    <row r="60362" spans="1:6" x14ac:dyDescent="0.25">
      <c r="A60362"/>
      <c r="B60362"/>
      <c r="C60362"/>
      <c r="E60362"/>
      <c r="F60362"/>
    </row>
    <row r="60363" spans="1:6" x14ac:dyDescent="0.25">
      <c r="A60363"/>
      <c r="B60363"/>
      <c r="C60363"/>
      <c r="E60363"/>
      <c r="F60363"/>
    </row>
    <row r="60364" spans="1:6" x14ac:dyDescent="0.25">
      <c r="A60364"/>
      <c r="B60364"/>
      <c r="C60364"/>
      <c r="E60364"/>
      <c r="F60364"/>
    </row>
    <row r="60365" spans="1:6" x14ac:dyDescent="0.25">
      <c r="A60365"/>
      <c r="B60365"/>
      <c r="C60365"/>
      <c r="E60365"/>
      <c r="F60365"/>
    </row>
    <row r="60366" spans="1:6" x14ac:dyDescent="0.25">
      <c r="A60366"/>
      <c r="B60366"/>
      <c r="C60366"/>
      <c r="E60366"/>
      <c r="F60366"/>
    </row>
    <row r="60367" spans="1:6" x14ac:dyDescent="0.25">
      <c r="A60367"/>
      <c r="B60367"/>
      <c r="C60367"/>
      <c r="E60367"/>
      <c r="F60367"/>
    </row>
    <row r="60368" spans="1:6" x14ac:dyDescent="0.25">
      <c r="A60368"/>
      <c r="B60368"/>
      <c r="C60368"/>
      <c r="E60368"/>
      <c r="F60368"/>
    </row>
    <row r="60369" spans="1:6" x14ac:dyDescent="0.25">
      <c r="A60369"/>
      <c r="B60369"/>
      <c r="C60369"/>
      <c r="E60369"/>
      <c r="F60369"/>
    </row>
    <row r="60370" spans="1:6" x14ac:dyDescent="0.25">
      <c r="A60370"/>
      <c r="B60370"/>
      <c r="C60370"/>
      <c r="E60370"/>
      <c r="F60370"/>
    </row>
    <row r="60371" spans="1:6" x14ac:dyDescent="0.25">
      <c r="A60371"/>
      <c r="B60371"/>
      <c r="C60371"/>
      <c r="E60371"/>
      <c r="F60371"/>
    </row>
    <row r="60372" spans="1:6" x14ac:dyDescent="0.25">
      <c r="A60372"/>
      <c r="B60372"/>
      <c r="C60372"/>
      <c r="E60372"/>
      <c r="F60372"/>
    </row>
    <row r="60373" spans="1:6" x14ac:dyDescent="0.25">
      <c r="A60373"/>
      <c r="B60373"/>
      <c r="C60373"/>
      <c r="E60373"/>
      <c r="F60373"/>
    </row>
    <row r="60374" spans="1:6" x14ac:dyDescent="0.25">
      <c r="A60374"/>
      <c r="B60374"/>
      <c r="C60374"/>
      <c r="E60374"/>
      <c r="F60374"/>
    </row>
    <row r="60375" spans="1:6" x14ac:dyDescent="0.25">
      <c r="A60375"/>
      <c r="B60375"/>
      <c r="C60375"/>
      <c r="E60375"/>
      <c r="F60375"/>
    </row>
    <row r="60376" spans="1:6" x14ac:dyDescent="0.25">
      <c r="A60376"/>
      <c r="B60376"/>
      <c r="C60376"/>
      <c r="E60376"/>
      <c r="F60376"/>
    </row>
    <row r="60377" spans="1:6" x14ac:dyDescent="0.25">
      <c r="A60377"/>
      <c r="B60377"/>
      <c r="C60377"/>
      <c r="E60377"/>
      <c r="F60377"/>
    </row>
    <row r="60378" spans="1:6" x14ac:dyDescent="0.25">
      <c r="A60378"/>
      <c r="B60378"/>
      <c r="C60378"/>
      <c r="E60378"/>
      <c r="F60378"/>
    </row>
    <row r="60379" spans="1:6" x14ac:dyDescent="0.25">
      <c r="A60379"/>
      <c r="B60379"/>
      <c r="C60379"/>
      <c r="E60379"/>
      <c r="F60379"/>
    </row>
    <row r="60380" spans="1:6" x14ac:dyDescent="0.25">
      <c r="A60380"/>
      <c r="B60380"/>
      <c r="C60380"/>
      <c r="E60380"/>
      <c r="F60380"/>
    </row>
    <row r="60381" spans="1:6" x14ac:dyDescent="0.25">
      <c r="A60381"/>
      <c r="B60381"/>
      <c r="C60381"/>
      <c r="E60381"/>
      <c r="F60381"/>
    </row>
    <row r="60382" spans="1:6" x14ac:dyDescent="0.25">
      <c r="A60382"/>
      <c r="B60382"/>
      <c r="C60382"/>
      <c r="E60382"/>
      <c r="F60382"/>
    </row>
    <row r="60383" spans="1:6" x14ac:dyDescent="0.25">
      <c r="A60383"/>
      <c r="B60383"/>
      <c r="C60383"/>
      <c r="E60383"/>
      <c r="F60383"/>
    </row>
    <row r="60384" spans="1:6" x14ac:dyDescent="0.25">
      <c r="A60384"/>
      <c r="B60384"/>
      <c r="C60384"/>
      <c r="E60384"/>
      <c r="F60384"/>
    </row>
    <row r="60385" spans="1:6" x14ac:dyDescent="0.25">
      <c r="A60385"/>
      <c r="B60385"/>
      <c r="C60385"/>
      <c r="E60385"/>
      <c r="F60385"/>
    </row>
    <row r="60386" spans="1:6" x14ac:dyDescent="0.25">
      <c r="A60386"/>
      <c r="B60386"/>
      <c r="C60386"/>
      <c r="E60386"/>
      <c r="F60386"/>
    </row>
    <row r="60387" spans="1:6" x14ac:dyDescent="0.25">
      <c r="A60387"/>
      <c r="B60387"/>
      <c r="C60387"/>
      <c r="E60387"/>
      <c r="F60387"/>
    </row>
    <row r="60388" spans="1:6" x14ac:dyDescent="0.25">
      <c r="A60388"/>
      <c r="B60388"/>
      <c r="C60388"/>
      <c r="E60388"/>
      <c r="F60388"/>
    </row>
    <row r="60389" spans="1:6" x14ac:dyDescent="0.25">
      <c r="A60389"/>
      <c r="B60389"/>
      <c r="C60389"/>
      <c r="E60389"/>
      <c r="F60389"/>
    </row>
    <row r="60390" spans="1:6" x14ac:dyDescent="0.25">
      <c r="A60390"/>
      <c r="B60390"/>
      <c r="C60390"/>
      <c r="E60390"/>
      <c r="F60390"/>
    </row>
    <row r="60391" spans="1:6" x14ac:dyDescent="0.25">
      <c r="A60391"/>
      <c r="B60391"/>
      <c r="C60391"/>
      <c r="E60391"/>
      <c r="F60391"/>
    </row>
    <row r="60392" spans="1:6" x14ac:dyDescent="0.25">
      <c r="A60392"/>
      <c r="B60392"/>
      <c r="C60392"/>
      <c r="E60392"/>
      <c r="F60392"/>
    </row>
    <row r="60393" spans="1:6" x14ac:dyDescent="0.25">
      <c r="A60393"/>
      <c r="B60393"/>
      <c r="C60393"/>
      <c r="E60393"/>
      <c r="F60393"/>
    </row>
    <row r="60394" spans="1:6" x14ac:dyDescent="0.25">
      <c r="A60394"/>
      <c r="B60394"/>
      <c r="C60394"/>
      <c r="E60394"/>
      <c r="F60394"/>
    </row>
    <row r="60395" spans="1:6" x14ac:dyDescent="0.25">
      <c r="A60395"/>
      <c r="B60395"/>
      <c r="C60395"/>
      <c r="E60395"/>
      <c r="F60395"/>
    </row>
    <row r="60396" spans="1:6" x14ac:dyDescent="0.25">
      <c r="A60396"/>
      <c r="B60396"/>
      <c r="C60396"/>
      <c r="E60396"/>
      <c r="F60396"/>
    </row>
    <row r="60397" spans="1:6" x14ac:dyDescent="0.25">
      <c r="A60397"/>
      <c r="B60397"/>
      <c r="C60397"/>
      <c r="E60397"/>
      <c r="F60397"/>
    </row>
    <row r="60398" spans="1:6" x14ac:dyDescent="0.25">
      <c r="A60398"/>
      <c r="B60398"/>
      <c r="C60398"/>
      <c r="E60398"/>
      <c r="F60398"/>
    </row>
    <row r="60399" spans="1:6" x14ac:dyDescent="0.25">
      <c r="A60399"/>
      <c r="B60399"/>
      <c r="C60399"/>
      <c r="E60399"/>
      <c r="F60399"/>
    </row>
    <row r="60400" spans="1:6" x14ac:dyDescent="0.25">
      <c r="A60400"/>
      <c r="B60400"/>
      <c r="C60400"/>
      <c r="E60400"/>
      <c r="F60400"/>
    </row>
    <row r="60401" spans="1:6" x14ac:dyDescent="0.25">
      <c r="A60401"/>
      <c r="B60401"/>
      <c r="C60401"/>
      <c r="E60401"/>
      <c r="F60401"/>
    </row>
    <row r="60402" spans="1:6" x14ac:dyDescent="0.25">
      <c r="A60402"/>
      <c r="B60402"/>
      <c r="C60402"/>
      <c r="E60402"/>
      <c r="F60402"/>
    </row>
    <row r="60403" spans="1:6" x14ac:dyDescent="0.25">
      <c r="A60403"/>
      <c r="B60403"/>
      <c r="C60403"/>
      <c r="E60403"/>
      <c r="F60403"/>
    </row>
    <row r="60404" spans="1:6" x14ac:dyDescent="0.25">
      <c r="A60404"/>
      <c r="B60404"/>
      <c r="C60404"/>
      <c r="E60404"/>
      <c r="F60404"/>
    </row>
    <row r="60405" spans="1:6" x14ac:dyDescent="0.25">
      <c r="A60405"/>
      <c r="B60405"/>
      <c r="C60405"/>
      <c r="E60405"/>
      <c r="F60405"/>
    </row>
    <row r="60406" spans="1:6" x14ac:dyDescent="0.25">
      <c r="A60406"/>
      <c r="B60406"/>
      <c r="C60406"/>
      <c r="E60406"/>
      <c r="F60406"/>
    </row>
    <row r="60407" spans="1:6" x14ac:dyDescent="0.25">
      <c r="A60407"/>
      <c r="B60407"/>
      <c r="C60407"/>
      <c r="E60407"/>
      <c r="F60407"/>
    </row>
    <row r="60408" spans="1:6" x14ac:dyDescent="0.25">
      <c r="A60408"/>
      <c r="B60408"/>
      <c r="C60408"/>
      <c r="E60408"/>
      <c r="F60408"/>
    </row>
    <row r="60409" spans="1:6" x14ac:dyDescent="0.25">
      <c r="A60409"/>
      <c r="B60409"/>
      <c r="C60409"/>
      <c r="E60409"/>
      <c r="F60409"/>
    </row>
    <row r="60410" spans="1:6" x14ac:dyDescent="0.25">
      <c r="A60410"/>
      <c r="B60410"/>
      <c r="C60410"/>
      <c r="E60410"/>
      <c r="F60410"/>
    </row>
    <row r="60411" spans="1:6" x14ac:dyDescent="0.25">
      <c r="A60411"/>
      <c r="B60411"/>
      <c r="C60411"/>
      <c r="E60411"/>
      <c r="F60411"/>
    </row>
    <row r="60412" spans="1:6" x14ac:dyDescent="0.25">
      <c r="A60412"/>
      <c r="B60412"/>
      <c r="C60412"/>
      <c r="E60412"/>
      <c r="F60412"/>
    </row>
    <row r="60413" spans="1:6" x14ac:dyDescent="0.25">
      <c r="A60413"/>
      <c r="B60413"/>
      <c r="C60413"/>
      <c r="E60413"/>
      <c r="F60413"/>
    </row>
    <row r="60414" spans="1:6" x14ac:dyDescent="0.25">
      <c r="A60414"/>
      <c r="B60414"/>
      <c r="C60414"/>
      <c r="E60414"/>
      <c r="F60414"/>
    </row>
    <row r="60415" spans="1:6" x14ac:dyDescent="0.25">
      <c r="A60415"/>
      <c r="B60415"/>
      <c r="C60415"/>
      <c r="E60415"/>
      <c r="F60415"/>
    </row>
    <row r="60416" spans="1:6" x14ac:dyDescent="0.25">
      <c r="A60416"/>
      <c r="B60416"/>
      <c r="C60416"/>
      <c r="E60416"/>
      <c r="F60416"/>
    </row>
    <row r="60417" spans="1:6" x14ac:dyDescent="0.25">
      <c r="A60417"/>
      <c r="B60417"/>
      <c r="C60417"/>
      <c r="E60417"/>
      <c r="F60417"/>
    </row>
    <row r="60418" spans="1:6" x14ac:dyDescent="0.25">
      <c r="A60418"/>
      <c r="B60418"/>
      <c r="C60418"/>
      <c r="E60418"/>
      <c r="F60418"/>
    </row>
    <row r="60419" spans="1:6" x14ac:dyDescent="0.25">
      <c r="A60419"/>
      <c r="B60419"/>
      <c r="C60419"/>
      <c r="E60419"/>
      <c r="F60419"/>
    </row>
    <row r="60420" spans="1:6" x14ac:dyDescent="0.25">
      <c r="A60420"/>
      <c r="B60420"/>
      <c r="C60420"/>
      <c r="E60420"/>
      <c r="F60420"/>
    </row>
    <row r="60421" spans="1:6" x14ac:dyDescent="0.25">
      <c r="A60421"/>
      <c r="B60421"/>
      <c r="C60421"/>
      <c r="E60421"/>
      <c r="F60421"/>
    </row>
    <row r="60422" spans="1:6" x14ac:dyDescent="0.25">
      <c r="A60422"/>
      <c r="B60422"/>
      <c r="C60422"/>
      <c r="E60422"/>
      <c r="F60422"/>
    </row>
    <row r="60423" spans="1:6" x14ac:dyDescent="0.25">
      <c r="A60423"/>
      <c r="B60423"/>
      <c r="C60423"/>
      <c r="E60423"/>
      <c r="F60423"/>
    </row>
    <row r="60424" spans="1:6" x14ac:dyDescent="0.25">
      <c r="A60424"/>
      <c r="B60424"/>
      <c r="C60424"/>
      <c r="E60424"/>
      <c r="F60424"/>
    </row>
    <row r="60425" spans="1:6" x14ac:dyDescent="0.25">
      <c r="A60425"/>
      <c r="B60425"/>
      <c r="C60425"/>
      <c r="E60425"/>
      <c r="F60425"/>
    </row>
    <row r="60426" spans="1:6" x14ac:dyDescent="0.25">
      <c r="A60426"/>
      <c r="B60426"/>
      <c r="C60426"/>
      <c r="E60426"/>
      <c r="F60426"/>
    </row>
    <row r="60427" spans="1:6" x14ac:dyDescent="0.25">
      <c r="A60427"/>
      <c r="B60427"/>
      <c r="C60427"/>
      <c r="E60427"/>
      <c r="F60427"/>
    </row>
    <row r="60428" spans="1:6" x14ac:dyDescent="0.25">
      <c r="A60428"/>
      <c r="B60428"/>
      <c r="C60428"/>
      <c r="E60428"/>
      <c r="F60428"/>
    </row>
    <row r="60429" spans="1:6" x14ac:dyDescent="0.25">
      <c r="A60429"/>
      <c r="B60429"/>
      <c r="C60429"/>
      <c r="E60429"/>
      <c r="F60429"/>
    </row>
    <row r="60430" spans="1:6" x14ac:dyDescent="0.25">
      <c r="A60430"/>
      <c r="B60430"/>
      <c r="C60430"/>
      <c r="E60430"/>
      <c r="F60430"/>
    </row>
    <row r="60431" spans="1:6" x14ac:dyDescent="0.25">
      <c r="A60431"/>
      <c r="B60431"/>
      <c r="C60431"/>
      <c r="E60431"/>
      <c r="F60431"/>
    </row>
    <row r="60432" spans="1:6" x14ac:dyDescent="0.25">
      <c r="A60432"/>
      <c r="B60432"/>
      <c r="C60432"/>
      <c r="E60432"/>
      <c r="F60432"/>
    </row>
    <row r="60433" spans="1:6" x14ac:dyDescent="0.25">
      <c r="A60433"/>
      <c r="B60433"/>
      <c r="C60433"/>
      <c r="E60433"/>
      <c r="F60433"/>
    </row>
    <row r="60434" spans="1:6" x14ac:dyDescent="0.25">
      <c r="A60434"/>
      <c r="B60434"/>
      <c r="C60434"/>
      <c r="E60434"/>
      <c r="F60434"/>
    </row>
    <row r="60435" spans="1:6" x14ac:dyDescent="0.25">
      <c r="A60435"/>
      <c r="B60435"/>
      <c r="C60435"/>
      <c r="E60435"/>
      <c r="F60435"/>
    </row>
    <row r="60436" spans="1:6" x14ac:dyDescent="0.25">
      <c r="A60436"/>
      <c r="B60436"/>
      <c r="C60436"/>
      <c r="E60436"/>
      <c r="F60436"/>
    </row>
    <row r="60437" spans="1:6" x14ac:dyDescent="0.25">
      <c r="A60437"/>
      <c r="B60437"/>
      <c r="C60437"/>
      <c r="E60437"/>
      <c r="F60437"/>
    </row>
    <row r="60438" spans="1:6" x14ac:dyDescent="0.25">
      <c r="A60438"/>
      <c r="B60438"/>
      <c r="C60438"/>
      <c r="E60438"/>
      <c r="F60438"/>
    </row>
    <row r="60439" spans="1:6" x14ac:dyDescent="0.25">
      <c r="A60439"/>
      <c r="B60439"/>
      <c r="C60439"/>
      <c r="E60439"/>
      <c r="F60439"/>
    </row>
    <row r="60440" spans="1:6" x14ac:dyDescent="0.25">
      <c r="A60440"/>
      <c r="B60440"/>
      <c r="C60440"/>
      <c r="E60440"/>
      <c r="F60440"/>
    </row>
    <row r="60441" spans="1:6" x14ac:dyDescent="0.25">
      <c r="A60441"/>
      <c r="B60441"/>
      <c r="C60441"/>
      <c r="E60441"/>
      <c r="F60441"/>
    </row>
    <row r="60442" spans="1:6" x14ac:dyDescent="0.25">
      <c r="A60442"/>
      <c r="B60442"/>
      <c r="C60442"/>
      <c r="E60442"/>
      <c r="F60442"/>
    </row>
    <row r="60443" spans="1:6" x14ac:dyDescent="0.25">
      <c r="A60443"/>
      <c r="B60443"/>
      <c r="C60443"/>
      <c r="E60443"/>
      <c r="F60443"/>
    </row>
    <row r="60444" spans="1:6" x14ac:dyDescent="0.25">
      <c r="A60444"/>
      <c r="B60444"/>
      <c r="C60444"/>
      <c r="E60444"/>
      <c r="F60444"/>
    </row>
    <row r="60445" spans="1:6" x14ac:dyDescent="0.25">
      <c r="A60445"/>
      <c r="B60445"/>
      <c r="C60445"/>
      <c r="E60445"/>
      <c r="F60445"/>
    </row>
    <row r="60446" spans="1:6" x14ac:dyDescent="0.25">
      <c r="A60446"/>
      <c r="B60446"/>
      <c r="C60446"/>
      <c r="E60446"/>
      <c r="F60446"/>
    </row>
    <row r="60447" spans="1:6" x14ac:dyDescent="0.25">
      <c r="A60447"/>
      <c r="B60447"/>
      <c r="C60447"/>
      <c r="E60447"/>
      <c r="F60447"/>
    </row>
    <row r="60448" spans="1:6" x14ac:dyDescent="0.25">
      <c r="A60448"/>
      <c r="B60448"/>
      <c r="C60448"/>
      <c r="E60448"/>
      <c r="F60448"/>
    </row>
    <row r="60449" spans="1:6" x14ac:dyDescent="0.25">
      <c r="A60449"/>
      <c r="B60449"/>
      <c r="C60449"/>
      <c r="E60449"/>
      <c r="F60449"/>
    </row>
    <row r="60450" spans="1:6" x14ac:dyDescent="0.25">
      <c r="A60450"/>
      <c r="B60450"/>
      <c r="C60450"/>
      <c r="E60450"/>
      <c r="F60450"/>
    </row>
    <row r="60451" spans="1:6" x14ac:dyDescent="0.25">
      <c r="A60451"/>
      <c r="B60451"/>
      <c r="C60451"/>
      <c r="E60451"/>
      <c r="F60451"/>
    </row>
    <row r="60452" spans="1:6" x14ac:dyDescent="0.25">
      <c r="A60452"/>
      <c r="B60452"/>
      <c r="C60452"/>
      <c r="E60452"/>
      <c r="F60452"/>
    </row>
    <row r="60453" spans="1:6" x14ac:dyDescent="0.25">
      <c r="A60453"/>
      <c r="B60453"/>
      <c r="C60453"/>
      <c r="E60453"/>
      <c r="F60453"/>
    </row>
    <row r="60454" spans="1:6" x14ac:dyDescent="0.25">
      <c r="A60454"/>
      <c r="B60454"/>
      <c r="C60454"/>
      <c r="E60454"/>
      <c r="F60454"/>
    </row>
    <row r="60455" spans="1:6" x14ac:dyDescent="0.25">
      <c r="A60455"/>
      <c r="B60455"/>
      <c r="C60455"/>
      <c r="E60455"/>
      <c r="F60455"/>
    </row>
    <row r="60456" spans="1:6" x14ac:dyDescent="0.25">
      <c r="A60456"/>
      <c r="B60456"/>
      <c r="C60456"/>
      <c r="E60456"/>
      <c r="F60456"/>
    </row>
    <row r="60457" spans="1:6" x14ac:dyDescent="0.25">
      <c r="A60457"/>
      <c r="B60457"/>
      <c r="C60457"/>
      <c r="E60457"/>
      <c r="F60457"/>
    </row>
    <row r="60458" spans="1:6" x14ac:dyDescent="0.25">
      <c r="A60458"/>
      <c r="B60458"/>
      <c r="C60458"/>
      <c r="E60458"/>
      <c r="F60458"/>
    </row>
    <row r="60459" spans="1:6" x14ac:dyDescent="0.25">
      <c r="A60459"/>
      <c r="B60459"/>
      <c r="C60459"/>
      <c r="E60459"/>
      <c r="F60459"/>
    </row>
    <row r="60460" spans="1:6" x14ac:dyDescent="0.25">
      <c r="A60460"/>
      <c r="B60460"/>
      <c r="C60460"/>
      <c r="E60460"/>
      <c r="F60460"/>
    </row>
    <row r="60461" spans="1:6" x14ac:dyDescent="0.25">
      <c r="A60461"/>
      <c r="B60461"/>
      <c r="C60461"/>
      <c r="E60461"/>
      <c r="F60461"/>
    </row>
    <row r="60462" spans="1:6" x14ac:dyDescent="0.25">
      <c r="A60462"/>
      <c r="B60462"/>
      <c r="C60462"/>
      <c r="E60462"/>
      <c r="F60462"/>
    </row>
    <row r="60463" spans="1:6" x14ac:dyDescent="0.25">
      <c r="A60463"/>
      <c r="B60463"/>
      <c r="C60463"/>
      <c r="E60463"/>
      <c r="F60463"/>
    </row>
    <row r="60464" spans="1:6" x14ac:dyDescent="0.25">
      <c r="A60464"/>
      <c r="B60464"/>
      <c r="C60464"/>
      <c r="E60464"/>
      <c r="F60464"/>
    </row>
    <row r="60465" spans="1:6" x14ac:dyDescent="0.25">
      <c r="A60465"/>
      <c r="B60465"/>
      <c r="C60465"/>
      <c r="E60465"/>
      <c r="F60465"/>
    </row>
    <row r="60466" spans="1:6" x14ac:dyDescent="0.25">
      <c r="A60466"/>
      <c r="B60466"/>
      <c r="C60466"/>
      <c r="E60466"/>
      <c r="F60466"/>
    </row>
    <row r="60467" spans="1:6" x14ac:dyDescent="0.25">
      <c r="A60467"/>
      <c r="B60467"/>
      <c r="C60467"/>
      <c r="E60467"/>
      <c r="F60467"/>
    </row>
    <row r="60468" spans="1:6" x14ac:dyDescent="0.25">
      <c r="A60468"/>
      <c r="B60468"/>
      <c r="C60468"/>
      <c r="E60468"/>
      <c r="F60468"/>
    </row>
    <row r="60469" spans="1:6" x14ac:dyDescent="0.25">
      <c r="A60469"/>
      <c r="B60469"/>
      <c r="C60469"/>
      <c r="E60469"/>
      <c r="F60469"/>
    </row>
    <row r="60470" spans="1:6" x14ac:dyDescent="0.25">
      <c r="A60470"/>
      <c r="B60470"/>
      <c r="C60470"/>
      <c r="E60470"/>
      <c r="F60470"/>
    </row>
    <row r="60471" spans="1:6" x14ac:dyDescent="0.25">
      <c r="A60471"/>
      <c r="B60471"/>
      <c r="C60471"/>
      <c r="E60471"/>
      <c r="F60471"/>
    </row>
    <row r="60472" spans="1:6" x14ac:dyDescent="0.25">
      <c r="A60472"/>
      <c r="B60472"/>
      <c r="C60472"/>
      <c r="E60472"/>
      <c r="F60472"/>
    </row>
    <row r="60473" spans="1:6" x14ac:dyDescent="0.25">
      <c r="A60473"/>
      <c r="B60473"/>
      <c r="C60473"/>
      <c r="E60473"/>
      <c r="F60473"/>
    </row>
    <row r="60474" spans="1:6" x14ac:dyDescent="0.25">
      <c r="A60474"/>
      <c r="B60474"/>
      <c r="C60474"/>
      <c r="E60474"/>
      <c r="F60474"/>
    </row>
    <row r="60475" spans="1:6" x14ac:dyDescent="0.25">
      <c r="A60475"/>
      <c r="B60475"/>
      <c r="C60475"/>
      <c r="E60475"/>
      <c r="F60475"/>
    </row>
    <row r="60476" spans="1:6" x14ac:dyDescent="0.25">
      <c r="A60476"/>
      <c r="B60476"/>
      <c r="C60476"/>
      <c r="E60476"/>
      <c r="F60476"/>
    </row>
    <row r="60477" spans="1:6" x14ac:dyDescent="0.25">
      <c r="A60477"/>
      <c r="B60477"/>
      <c r="C60477"/>
      <c r="E60477"/>
      <c r="F60477"/>
    </row>
    <row r="60478" spans="1:6" x14ac:dyDescent="0.25">
      <c r="A60478"/>
      <c r="B60478"/>
      <c r="C60478"/>
      <c r="E60478"/>
      <c r="F60478"/>
    </row>
    <row r="60479" spans="1:6" x14ac:dyDescent="0.25">
      <c r="A60479"/>
      <c r="B60479"/>
      <c r="C60479"/>
      <c r="E60479"/>
      <c r="F60479"/>
    </row>
    <row r="60480" spans="1:6" x14ac:dyDescent="0.25">
      <c r="A60480"/>
      <c r="B60480"/>
      <c r="C60480"/>
      <c r="E60480"/>
      <c r="F60480"/>
    </row>
    <row r="60481" spans="1:6" x14ac:dyDescent="0.25">
      <c r="A60481"/>
      <c r="B60481"/>
      <c r="C60481"/>
      <c r="E60481"/>
      <c r="F60481"/>
    </row>
    <row r="60482" spans="1:6" x14ac:dyDescent="0.25">
      <c r="A60482"/>
      <c r="B60482"/>
      <c r="C60482"/>
      <c r="E60482"/>
      <c r="F60482"/>
    </row>
    <row r="60483" spans="1:6" x14ac:dyDescent="0.25">
      <c r="A60483"/>
      <c r="B60483"/>
      <c r="C60483"/>
      <c r="E60483"/>
      <c r="F60483"/>
    </row>
    <row r="60484" spans="1:6" x14ac:dyDescent="0.25">
      <c r="A60484"/>
      <c r="B60484"/>
      <c r="C60484"/>
      <c r="E60484"/>
      <c r="F60484"/>
    </row>
    <row r="60485" spans="1:6" x14ac:dyDescent="0.25">
      <c r="A60485"/>
      <c r="B60485"/>
      <c r="C60485"/>
      <c r="E60485"/>
      <c r="F60485"/>
    </row>
    <row r="60486" spans="1:6" x14ac:dyDescent="0.25">
      <c r="A60486"/>
      <c r="B60486"/>
      <c r="C60486"/>
      <c r="E60486"/>
      <c r="F60486"/>
    </row>
    <row r="60487" spans="1:6" x14ac:dyDescent="0.25">
      <c r="A60487"/>
      <c r="B60487"/>
      <c r="C60487"/>
      <c r="E60487"/>
      <c r="F60487"/>
    </row>
    <row r="60488" spans="1:6" x14ac:dyDescent="0.25">
      <c r="A60488"/>
      <c r="B60488"/>
      <c r="C60488"/>
      <c r="E60488"/>
      <c r="F60488"/>
    </row>
    <row r="60489" spans="1:6" x14ac:dyDescent="0.25">
      <c r="A60489"/>
      <c r="B60489"/>
      <c r="C60489"/>
      <c r="E60489"/>
      <c r="F60489"/>
    </row>
    <row r="60490" spans="1:6" x14ac:dyDescent="0.25">
      <c r="A60490"/>
      <c r="B60490"/>
      <c r="C60490"/>
      <c r="E60490"/>
      <c r="F60490"/>
    </row>
    <row r="60491" spans="1:6" x14ac:dyDescent="0.25">
      <c r="A60491"/>
      <c r="B60491"/>
      <c r="C60491"/>
      <c r="E60491"/>
      <c r="F60491"/>
    </row>
    <row r="60492" spans="1:6" x14ac:dyDescent="0.25">
      <c r="A60492"/>
      <c r="B60492"/>
      <c r="C60492"/>
      <c r="E60492"/>
      <c r="F60492"/>
    </row>
    <row r="60493" spans="1:6" x14ac:dyDescent="0.25">
      <c r="A60493"/>
      <c r="B60493"/>
      <c r="C60493"/>
      <c r="E60493"/>
      <c r="F60493"/>
    </row>
    <row r="60494" spans="1:6" x14ac:dyDescent="0.25">
      <c r="A60494"/>
      <c r="B60494"/>
      <c r="C60494"/>
      <c r="E60494"/>
      <c r="F60494"/>
    </row>
    <row r="60495" spans="1:6" x14ac:dyDescent="0.25">
      <c r="A60495"/>
      <c r="B60495"/>
      <c r="C60495"/>
      <c r="E60495"/>
      <c r="F60495"/>
    </row>
    <row r="60496" spans="1:6" x14ac:dyDescent="0.25">
      <c r="A60496"/>
      <c r="B60496"/>
      <c r="C60496"/>
      <c r="E60496"/>
      <c r="F60496"/>
    </row>
    <row r="60497" spans="1:6" x14ac:dyDescent="0.25">
      <c r="A60497"/>
      <c r="B60497"/>
      <c r="C60497"/>
      <c r="E60497"/>
      <c r="F60497"/>
    </row>
    <row r="60498" spans="1:6" x14ac:dyDescent="0.25">
      <c r="A60498"/>
      <c r="B60498"/>
      <c r="C60498"/>
      <c r="E60498"/>
      <c r="F60498"/>
    </row>
    <row r="60499" spans="1:6" x14ac:dyDescent="0.25">
      <c r="A60499"/>
      <c r="B60499"/>
      <c r="C60499"/>
      <c r="E60499"/>
      <c r="F60499"/>
    </row>
    <row r="60500" spans="1:6" x14ac:dyDescent="0.25">
      <c r="A60500"/>
      <c r="B60500"/>
      <c r="C60500"/>
      <c r="E60500"/>
      <c r="F60500"/>
    </row>
    <row r="60501" spans="1:6" x14ac:dyDescent="0.25">
      <c r="A60501"/>
      <c r="B60501"/>
      <c r="C60501"/>
      <c r="E60501"/>
      <c r="F60501"/>
    </row>
    <row r="60502" spans="1:6" x14ac:dyDescent="0.25">
      <c r="A60502"/>
      <c r="B60502"/>
      <c r="C60502"/>
      <c r="E60502"/>
      <c r="F60502"/>
    </row>
    <row r="60503" spans="1:6" x14ac:dyDescent="0.25">
      <c r="A60503"/>
      <c r="B60503"/>
      <c r="C60503"/>
      <c r="E60503"/>
      <c r="F60503"/>
    </row>
    <row r="60504" spans="1:6" x14ac:dyDescent="0.25">
      <c r="A60504"/>
      <c r="B60504"/>
      <c r="C60504"/>
      <c r="E60504"/>
      <c r="F60504"/>
    </row>
    <row r="60505" spans="1:6" x14ac:dyDescent="0.25">
      <c r="A60505"/>
      <c r="B60505"/>
      <c r="C60505"/>
      <c r="E60505"/>
      <c r="F60505"/>
    </row>
    <row r="60506" spans="1:6" x14ac:dyDescent="0.25">
      <c r="A60506"/>
      <c r="B60506"/>
      <c r="C60506"/>
      <c r="E60506"/>
      <c r="F60506"/>
    </row>
    <row r="60507" spans="1:6" x14ac:dyDescent="0.25">
      <c r="A60507"/>
      <c r="B60507"/>
      <c r="C60507"/>
      <c r="E60507"/>
      <c r="F60507"/>
    </row>
    <row r="60508" spans="1:6" x14ac:dyDescent="0.25">
      <c r="A60508"/>
      <c r="B60508"/>
      <c r="C60508"/>
      <c r="E60508"/>
      <c r="F60508"/>
    </row>
    <row r="60509" spans="1:6" x14ac:dyDescent="0.25">
      <c r="A60509"/>
      <c r="B60509"/>
      <c r="C60509"/>
      <c r="E60509"/>
      <c r="F60509"/>
    </row>
    <row r="60510" spans="1:6" x14ac:dyDescent="0.25">
      <c r="A60510"/>
      <c r="B60510"/>
      <c r="C60510"/>
      <c r="E60510"/>
      <c r="F60510"/>
    </row>
    <row r="60511" spans="1:6" x14ac:dyDescent="0.25">
      <c r="A60511"/>
      <c r="B60511"/>
      <c r="C60511"/>
      <c r="E60511"/>
      <c r="F60511"/>
    </row>
    <row r="60512" spans="1:6" x14ac:dyDescent="0.25">
      <c r="A60512"/>
      <c r="B60512"/>
      <c r="C60512"/>
      <c r="E60512"/>
      <c r="F60512"/>
    </row>
    <row r="60513" spans="1:6" x14ac:dyDescent="0.25">
      <c r="A60513"/>
      <c r="B60513"/>
      <c r="C60513"/>
      <c r="E60513"/>
      <c r="F60513"/>
    </row>
    <row r="60514" spans="1:6" x14ac:dyDescent="0.25">
      <c r="A60514"/>
      <c r="B60514"/>
      <c r="C60514"/>
      <c r="E60514"/>
      <c r="F60514"/>
    </row>
    <row r="60515" spans="1:6" x14ac:dyDescent="0.25">
      <c r="A60515"/>
      <c r="B60515"/>
      <c r="C60515"/>
      <c r="E60515"/>
      <c r="F60515"/>
    </row>
    <row r="60516" spans="1:6" x14ac:dyDescent="0.25">
      <c r="A60516"/>
      <c r="B60516"/>
      <c r="C60516"/>
      <c r="E60516"/>
      <c r="F60516"/>
    </row>
    <row r="60517" spans="1:6" x14ac:dyDescent="0.25">
      <c r="A60517"/>
      <c r="B60517"/>
      <c r="C60517"/>
      <c r="E60517"/>
      <c r="F60517"/>
    </row>
    <row r="60518" spans="1:6" x14ac:dyDescent="0.25">
      <c r="A60518"/>
      <c r="B60518"/>
      <c r="C60518"/>
      <c r="E60518"/>
      <c r="F60518"/>
    </row>
    <row r="60519" spans="1:6" x14ac:dyDescent="0.25">
      <c r="A60519"/>
      <c r="B60519"/>
      <c r="C60519"/>
      <c r="E60519"/>
      <c r="F60519"/>
    </row>
    <row r="60520" spans="1:6" x14ac:dyDescent="0.25">
      <c r="A60520"/>
      <c r="B60520"/>
      <c r="C60520"/>
      <c r="E60520"/>
      <c r="F60520"/>
    </row>
    <row r="60521" spans="1:6" x14ac:dyDescent="0.25">
      <c r="A60521"/>
      <c r="B60521"/>
      <c r="C60521"/>
      <c r="E60521"/>
      <c r="F60521"/>
    </row>
    <row r="60522" spans="1:6" x14ac:dyDescent="0.25">
      <c r="A60522"/>
      <c r="B60522"/>
      <c r="C60522"/>
      <c r="E60522"/>
      <c r="F60522"/>
    </row>
    <row r="60523" spans="1:6" x14ac:dyDescent="0.25">
      <c r="A60523"/>
      <c r="B60523"/>
      <c r="C60523"/>
      <c r="E60523"/>
      <c r="F60523"/>
    </row>
    <row r="60524" spans="1:6" x14ac:dyDescent="0.25">
      <c r="A60524"/>
      <c r="B60524"/>
      <c r="C60524"/>
      <c r="E60524"/>
      <c r="F60524"/>
    </row>
    <row r="60525" spans="1:6" x14ac:dyDescent="0.25">
      <c r="A60525"/>
      <c r="B60525"/>
      <c r="C60525"/>
      <c r="E60525"/>
      <c r="F60525"/>
    </row>
    <row r="60526" spans="1:6" x14ac:dyDescent="0.25">
      <c r="A60526"/>
      <c r="B60526"/>
      <c r="C60526"/>
      <c r="E60526"/>
      <c r="F60526"/>
    </row>
    <row r="60527" spans="1:6" x14ac:dyDescent="0.25">
      <c r="A60527"/>
      <c r="B60527"/>
      <c r="C60527"/>
      <c r="E60527"/>
      <c r="F60527"/>
    </row>
    <row r="60528" spans="1:6" x14ac:dyDescent="0.25">
      <c r="A60528"/>
      <c r="B60528"/>
      <c r="C60528"/>
      <c r="E60528"/>
      <c r="F60528"/>
    </row>
    <row r="60529" spans="1:6" x14ac:dyDescent="0.25">
      <c r="A60529"/>
      <c r="B60529"/>
      <c r="C60529"/>
      <c r="E60529"/>
      <c r="F60529"/>
    </row>
    <row r="60530" spans="1:6" x14ac:dyDescent="0.25">
      <c r="A60530"/>
      <c r="B60530"/>
      <c r="C60530"/>
      <c r="E60530"/>
      <c r="F60530"/>
    </row>
    <row r="60531" spans="1:6" x14ac:dyDescent="0.25">
      <c r="A60531"/>
      <c r="B60531"/>
      <c r="C60531"/>
      <c r="E60531"/>
      <c r="F60531"/>
    </row>
    <row r="60532" spans="1:6" x14ac:dyDescent="0.25">
      <c r="A60532"/>
      <c r="B60532"/>
      <c r="C60532"/>
      <c r="E60532"/>
      <c r="F60532"/>
    </row>
    <row r="60533" spans="1:6" x14ac:dyDescent="0.25">
      <c r="A60533"/>
      <c r="B60533"/>
      <c r="C60533"/>
      <c r="E60533"/>
      <c r="F60533"/>
    </row>
    <row r="60534" spans="1:6" x14ac:dyDescent="0.25">
      <c r="A60534"/>
      <c r="B60534"/>
      <c r="C60534"/>
      <c r="E60534"/>
      <c r="F60534"/>
    </row>
    <row r="60535" spans="1:6" x14ac:dyDescent="0.25">
      <c r="A60535"/>
      <c r="B60535"/>
      <c r="C60535"/>
      <c r="E60535"/>
      <c r="F60535"/>
    </row>
    <row r="60536" spans="1:6" x14ac:dyDescent="0.25">
      <c r="A60536"/>
      <c r="B60536"/>
      <c r="C60536"/>
      <c r="E60536"/>
      <c r="F60536"/>
    </row>
    <row r="60537" spans="1:6" x14ac:dyDescent="0.25">
      <c r="A60537"/>
      <c r="B60537"/>
      <c r="C60537"/>
      <c r="E60537"/>
      <c r="F60537"/>
    </row>
    <row r="60538" spans="1:6" x14ac:dyDescent="0.25">
      <c r="A60538"/>
      <c r="B60538"/>
      <c r="C60538"/>
      <c r="E60538"/>
      <c r="F60538"/>
    </row>
    <row r="60539" spans="1:6" x14ac:dyDescent="0.25">
      <c r="A60539"/>
      <c r="B60539"/>
      <c r="C60539"/>
      <c r="E60539"/>
      <c r="F60539"/>
    </row>
    <row r="60540" spans="1:6" x14ac:dyDescent="0.25">
      <c r="A60540"/>
      <c r="B60540"/>
      <c r="C60540"/>
      <c r="E60540"/>
      <c r="F60540"/>
    </row>
    <row r="60541" spans="1:6" x14ac:dyDescent="0.25">
      <c r="A60541"/>
      <c r="B60541"/>
      <c r="C60541"/>
      <c r="E60541"/>
      <c r="F60541"/>
    </row>
    <row r="60542" spans="1:6" x14ac:dyDescent="0.25">
      <c r="A60542"/>
      <c r="B60542"/>
      <c r="C60542"/>
      <c r="E60542"/>
      <c r="F60542"/>
    </row>
    <row r="60543" spans="1:6" x14ac:dyDescent="0.25">
      <c r="A60543"/>
      <c r="B60543"/>
      <c r="C60543"/>
      <c r="E60543"/>
      <c r="F60543"/>
    </row>
    <row r="60544" spans="1:6" x14ac:dyDescent="0.25">
      <c r="A60544"/>
      <c r="B60544"/>
      <c r="C60544"/>
      <c r="E60544"/>
      <c r="F60544"/>
    </row>
    <row r="60545" spans="1:6" x14ac:dyDescent="0.25">
      <c r="A60545"/>
      <c r="B60545"/>
      <c r="C60545"/>
      <c r="E60545"/>
      <c r="F60545"/>
    </row>
    <row r="60546" spans="1:6" x14ac:dyDescent="0.25">
      <c r="A60546"/>
      <c r="B60546"/>
      <c r="C60546"/>
      <c r="E60546"/>
      <c r="F60546"/>
    </row>
    <row r="60547" spans="1:6" x14ac:dyDescent="0.25">
      <c r="A60547"/>
      <c r="B60547"/>
      <c r="C60547"/>
      <c r="E60547"/>
      <c r="F60547"/>
    </row>
    <row r="60548" spans="1:6" x14ac:dyDescent="0.25">
      <c r="A60548"/>
      <c r="B60548"/>
      <c r="C60548"/>
      <c r="E60548"/>
      <c r="F60548"/>
    </row>
    <row r="60549" spans="1:6" x14ac:dyDescent="0.25">
      <c r="A60549"/>
      <c r="B60549"/>
      <c r="C60549"/>
      <c r="E60549"/>
      <c r="F60549"/>
    </row>
    <row r="60550" spans="1:6" x14ac:dyDescent="0.25">
      <c r="A60550"/>
      <c r="B60550"/>
      <c r="C60550"/>
      <c r="E60550"/>
      <c r="F60550"/>
    </row>
    <row r="60551" spans="1:6" x14ac:dyDescent="0.25">
      <c r="A60551"/>
      <c r="B60551"/>
      <c r="C60551"/>
      <c r="E60551"/>
      <c r="F60551"/>
    </row>
    <row r="60552" spans="1:6" x14ac:dyDescent="0.25">
      <c r="A60552"/>
      <c r="B60552"/>
      <c r="C60552"/>
      <c r="E60552"/>
      <c r="F60552"/>
    </row>
    <row r="60553" spans="1:6" x14ac:dyDescent="0.25">
      <c r="A60553"/>
      <c r="B60553"/>
      <c r="C60553"/>
      <c r="E60553"/>
      <c r="F60553"/>
    </row>
    <row r="60554" spans="1:6" x14ac:dyDescent="0.25">
      <c r="A60554"/>
      <c r="B60554"/>
      <c r="C60554"/>
      <c r="E60554"/>
      <c r="F60554"/>
    </row>
    <row r="60555" spans="1:6" x14ac:dyDescent="0.25">
      <c r="A60555"/>
      <c r="B60555"/>
      <c r="C60555"/>
      <c r="E60555"/>
      <c r="F60555"/>
    </row>
    <row r="60556" spans="1:6" x14ac:dyDescent="0.25">
      <c r="A60556"/>
      <c r="B60556"/>
      <c r="C60556"/>
      <c r="E60556"/>
      <c r="F60556"/>
    </row>
    <row r="60557" spans="1:6" x14ac:dyDescent="0.25">
      <c r="A60557"/>
      <c r="B60557"/>
      <c r="C60557"/>
      <c r="E60557"/>
      <c r="F60557"/>
    </row>
    <row r="60558" spans="1:6" x14ac:dyDescent="0.25">
      <c r="A60558"/>
      <c r="B60558"/>
      <c r="C60558"/>
      <c r="E60558"/>
      <c r="F60558"/>
    </row>
    <row r="60559" spans="1:6" x14ac:dyDescent="0.25">
      <c r="A60559"/>
      <c r="B60559"/>
      <c r="C60559"/>
      <c r="E60559"/>
      <c r="F60559"/>
    </row>
    <row r="60560" spans="1:6" x14ac:dyDescent="0.25">
      <c r="A60560"/>
      <c r="B60560"/>
      <c r="C60560"/>
      <c r="E60560"/>
      <c r="F60560"/>
    </row>
    <row r="60561" spans="1:6" x14ac:dyDescent="0.25">
      <c r="A60561"/>
      <c r="B60561"/>
      <c r="C60561"/>
      <c r="E60561"/>
      <c r="F60561"/>
    </row>
    <row r="60562" spans="1:6" x14ac:dyDescent="0.25">
      <c r="A60562"/>
      <c r="B60562"/>
      <c r="C60562"/>
      <c r="E60562"/>
      <c r="F60562"/>
    </row>
    <row r="60563" spans="1:6" x14ac:dyDescent="0.25">
      <c r="A60563"/>
      <c r="B60563"/>
      <c r="C60563"/>
      <c r="E60563"/>
      <c r="F60563"/>
    </row>
    <row r="60564" spans="1:6" x14ac:dyDescent="0.25">
      <c r="A60564"/>
      <c r="B60564"/>
      <c r="C60564"/>
      <c r="E60564"/>
      <c r="F60564"/>
    </row>
    <row r="60565" spans="1:6" x14ac:dyDescent="0.25">
      <c r="A60565"/>
      <c r="B60565"/>
      <c r="C60565"/>
      <c r="E60565"/>
      <c r="F60565"/>
    </row>
    <row r="60566" spans="1:6" x14ac:dyDescent="0.25">
      <c r="A60566"/>
      <c r="B60566"/>
      <c r="C60566"/>
      <c r="E60566"/>
      <c r="F60566"/>
    </row>
    <row r="60567" spans="1:6" x14ac:dyDescent="0.25">
      <c r="A60567"/>
      <c r="B60567"/>
      <c r="C60567"/>
      <c r="E60567"/>
      <c r="F60567"/>
    </row>
    <row r="60568" spans="1:6" x14ac:dyDescent="0.25">
      <c r="A60568"/>
      <c r="B60568"/>
      <c r="C60568"/>
      <c r="E60568"/>
      <c r="F60568"/>
    </row>
    <row r="60569" spans="1:6" x14ac:dyDescent="0.25">
      <c r="A60569"/>
      <c r="B60569"/>
      <c r="C60569"/>
      <c r="E60569"/>
      <c r="F60569"/>
    </row>
    <row r="60570" spans="1:6" x14ac:dyDescent="0.25">
      <c r="A60570"/>
      <c r="B60570"/>
      <c r="C60570"/>
      <c r="E60570"/>
      <c r="F60570"/>
    </row>
    <row r="60571" spans="1:6" x14ac:dyDescent="0.25">
      <c r="A60571"/>
      <c r="B60571"/>
      <c r="C60571"/>
      <c r="E60571"/>
      <c r="F60571"/>
    </row>
    <row r="60572" spans="1:6" x14ac:dyDescent="0.25">
      <c r="A60572"/>
      <c r="B60572"/>
      <c r="C60572"/>
      <c r="E60572"/>
      <c r="F60572"/>
    </row>
    <row r="60573" spans="1:6" x14ac:dyDescent="0.25">
      <c r="A60573"/>
      <c r="B60573"/>
      <c r="C60573"/>
      <c r="E60573"/>
      <c r="F60573"/>
    </row>
    <row r="60574" spans="1:6" x14ac:dyDescent="0.25">
      <c r="A60574"/>
      <c r="B60574"/>
      <c r="C60574"/>
      <c r="E60574"/>
      <c r="F60574"/>
    </row>
    <row r="60575" spans="1:6" x14ac:dyDescent="0.25">
      <c r="A60575"/>
      <c r="B60575"/>
      <c r="C60575"/>
      <c r="E60575"/>
      <c r="F60575"/>
    </row>
    <row r="60576" spans="1:6" x14ac:dyDescent="0.25">
      <c r="A60576"/>
      <c r="B60576"/>
      <c r="C60576"/>
      <c r="E60576"/>
      <c r="F60576"/>
    </row>
    <row r="60577" spans="1:6" x14ac:dyDescent="0.25">
      <c r="A60577"/>
      <c r="B60577"/>
      <c r="C60577"/>
      <c r="E60577"/>
      <c r="F60577"/>
    </row>
    <row r="60578" spans="1:6" x14ac:dyDescent="0.25">
      <c r="A60578"/>
      <c r="B60578"/>
      <c r="C60578"/>
      <c r="E60578"/>
      <c r="F60578"/>
    </row>
    <row r="60579" spans="1:6" x14ac:dyDescent="0.25">
      <c r="A60579"/>
      <c r="B60579"/>
      <c r="C60579"/>
      <c r="E60579"/>
      <c r="F60579"/>
    </row>
    <row r="60580" spans="1:6" x14ac:dyDescent="0.25">
      <c r="A60580"/>
      <c r="B60580"/>
      <c r="C60580"/>
      <c r="E60580"/>
      <c r="F60580"/>
    </row>
    <row r="60581" spans="1:6" x14ac:dyDescent="0.25">
      <c r="A60581"/>
      <c r="B60581"/>
      <c r="C60581"/>
      <c r="E60581"/>
      <c r="F60581"/>
    </row>
    <row r="60582" spans="1:6" x14ac:dyDescent="0.25">
      <c r="A60582"/>
      <c r="B60582"/>
      <c r="C60582"/>
      <c r="E60582"/>
      <c r="F60582"/>
    </row>
    <row r="60583" spans="1:6" x14ac:dyDescent="0.25">
      <c r="A60583"/>
      <c r="B60583"/>
      <c r="C60583"/>
      <c r="E60583"/>
      <c r="F60583"/>
    </row>
    <row r="60584" spans="1:6" x14ac:dyDescent="0.25">
      <c r="A60584"/>
      <c r="B60584"/>
      <c r="C60584"/>
      <c r="E60584"/>
      <c r="F60584"/>
    </row>
    <row r="60585" spans="1:6" x14ac:dyDescent="0.25">
      <c r="A60585"/>
      <c r="B60585"/>
      <c r="C60585"/>
      <c r="E60585"/>
      <c r="F60585"/>
    </row>
    <row r="60586" spans="1:6" x14ac:dyDescent="0.25">
      <c r="A60586"/>
      <c r="B60586"/>
      <c r="C60586"/>
      <c r="E60586"/>
      <c r="F60586"/>
    </row>
    <row r="60587" spans="1:6" x14ac:dyDescent="0.25">
      <c r="A60587"/>
      <c r="B60587"/>
      <c r="C60587"/>
      <c r="E60587"/>
      <c r="F60587"/>
    </row>
    <row r="60588" spans="1:6" x14ac:dyDescent="0.25">
      <c r="A60588"/>
      <c r="B60588"/>
      <c r="C60588"/>
      <c r="E60588"/>
      <c r="F60588"/>
    </row>
    <row r="60589" spans="1:6" x14ac:dyDescent="0.25">
      <c r="A60589"/>
      <c r="B60589"/>
      <c r="C60589"/>
      <c r="E60589"/>
      <c r="F60589"/>
    </row>
    <row r="60590" spans="1:6" x14ac:dyDescent="0.25">
      <c r="A60590"/>
      <c r="B60590"/>
      <c r="C60590"/>
      <c r="E60590"/>
      <c r="F60590"/>
    </row>
    <row r="60591" spans="1:6" x14ac:dyDescent="0.25">
      <c r="A60591"/>
      <c r="B60591"/>
      <c r="C60591"/>
      <c r="E60591"/>
      <c r="F60591"/>
    </row>
    <row r="60592" spans="1:6" x14ac:dyDescent="0.25">
      <c r="A60592"/>
      <c r="B60592"/>
      <c r="C60592"/>
      <c r="E60592"/>
      <c r="F60592"/>
    </row>
    <row r="60593" spans="1:6" x14ac:dyDescent="0.25">
      <c r="A60593"/>
      <c r="B60593"/>
      <c r="C60593"/>
      <c r="E60593"/>
      <c r="F60593"/>
    </row>
    <row r="60594" spans="1:6" x14ac:dyDescent="0.25">
      <c r="A60594"/>
      <c r="B60594"/>
      <c r="C60594"/>
      <c r="E60594"/>
      <c r="F60594"/>
    </row>
    <row r="60595" spans="1:6" x14ac:dyDescent="0.25">
      <c r="A60595"/>
      <c r="B60595"/>
      <c r="C60595"/>
      <c r="E60595"/>
      <c r="F60595"/>
    </row>
    <row r="60596" spans="1:6" x14ac:dyDescent="0.25">
      <c r="A60596"/>
      <c r="B60596"/>
      <c r="C60596"/>
      <c r="E60596"/>
      <c r="F60596"/>
    </row>
    <row r="60597" spans="1:6" x14ac:dyDescent="0.25">
      <c r="A60597"/>
      <c r="B60597"/>
      <c r="C60597"/>
      <c r="E60597"/>
      <c r="F60597"/>
    </row>
    <row r="60598" spans="1:6" x14ac:dyDescent="0.25">
      <c r="A60598"/>
      <c r="B60598"/>
      <c r="C60598"/>
      <c r="E60598"/>
      <c r="F60598"/>
    </row>
    <row r="60599" spans="1:6" x14ac:dyDescent="0.25">
      <c r="A60599"/>
      <c r="B60599"/>
      <c r="C60599"/>
      <c r="E60599"/>
      <c r="F60599"/>
    </row>
    <row r="60600" spans="1:6" x14ac:dyDescent="0.25">
      <c r="A60600"/>
      <c r="B60600"/>
      <c r="C60600"/>
      <c r="E60600"/>
      <c r="F60600"/>
    </row>
    <row r="60601" spans="1:6" x14ac:dyDescent="0.25">
      <c r="A60601"/>
      <c r="B60601"/>
      <c r="C60601"/>
      <c r="E60601"/>
      <c r="F60601"/>
    </row>
    <row r="60602" spans="1:6" x14ac:dyDescent="0.25">
      <c r="A60602"/>
      <c r="B60602"/>
      <c r="C60602"/>
      <c r="E60602"/>
      <c r="F60602"/>
    </row>
    <row r="60603" spans="1:6" x14ac:dyDescent="0.25">
      <c r="A60603"/>
      <c r="B60603"/>
      <c r="C60603"/>
      <c r="E60603"/>
      <c r="F60603"/>
    </row>
    <row r="60604" spans="1:6" x14ac:dyDescent="0.25">
      <c r="A60604"/>
      <c r="B60604"/>
      <c r="C60604"/>
      <c r="E60604"/>
      <c r="F60604"/>
    </row>
    <row r="60605" spans="1:6" x14ac:dyDescent="0.25">
      <c r="A60605"/>
      <c r="B60605"/>
      <c r="C60605"/>
      <c r="E60605"/>
      <c r="F60605"/>
    </row>
    <row r="60606" spans="1:6" x14ac:dyDescent="0.25">
      <c r="A60606"/>
      <c r="B60606"/>
      <c r="C60606"/>
      <c r="E60606"/>
      <c r="F60606"/>
    </row>
    <row r="60607" spans="1:6" x14ac:dyDescent="0.25">
      <c r="A60607"/>
      <c r="B60607"/>
      <c r="C60607"/>
      <c r="E60607"/>
      <c r="F60607"/>
    </row>
    <row r="60608" spans="1:6" x14ac:dyDescent="0.25">
      <c r="A60608"/>
      <c r="B60608"/>
      <c r="C60608"/>
      <c r="E60608"/>
      <c r="F60608"/>
    </row>
    <row r="60609" spans="1:6" x14ac:dyDescent="0.25">
      <c r="A60609"/>
      <c r="B60609"/>
      <c r="C60609"/>
      <c r="E60609"/>
      <c r="F60609"/>
    </row>
    <row r="60610" spans="1:6" x14ac:dyDescent="0.25">
      <c r="A60610"/>
      <c r="B60610"/>
      <c r="C60610"/>
      <c r="E60610"/>
      <c r="F60610"/>
    </row>
    <row r="60611" spans="1:6" x14ac:dyDescent="0.25">
      <c r="A60611"/>
      <c r="B60611"/>
      <c r="C60611"/>
      <c r="E60611"/>
      <c r="F60611"/>
    </row>
    <row r="60612" spans="1:6" x14ac:dyDescent="0.25">
      <c r="A60612"/>
      <c r="B60612"/>
      <c r="C60612"/>
      <c r="E60612"/>
      <c r="F60612"/>
    </row>
    <row r="60613" spans="1:6" x14ac:dyDescent="0.25">
      <c r="A60613"/>
      <c r="B60613"/>
      <c r="C60613"/>
      <c r="E60613"/>
      <c r="F60613"/>
    </row>
    <row r="60614" spans="1:6" x14ac:dyDescent="0.25">
      <c r="A60614"/>
      <c r="B60614"/>
      <c r="C60614"/>
      <c r="E60614"/>
      <c r="F60614"/>
    </row>
    <row r="60615" spans="1:6" x14ac:dyDescent="0.25">
      <c r="A60615"/>
      <c r="B60615"/>
      <c r="C60615"/>
      <c r="E60615"/>
      <c r="F60615"/>
    </row>
    <row r="60616" spans="1:6" x14ac:dyDescent="0.25">
      <c r="A60616"/>
      <c r="B60616"/>
      <c r="C60616"/>
      <c r="E60616"/>
      <c r="F60616"/>
    </row>
    <row r="60617" spans="1:6" x14ac:dyDescent="0.25">
      <c r="A60617"/>
      <c r="B60617"/>
      <c r="C60617"/>
      <c r="E60617"/>
      <c r="F60617"/>
    </row>
    <row r="60618" spans="1:6" x14ac:dyDescent="0.25">
      <c r="A60618"/>
      <c r="B60618"/>
      <c r="C60618"/>
      <c r="E60618"/>
      <c r="F60618"/>
    </row>
    <row r="60619" spans="1:6" x14ac:dyDescent="0.25">
      <c r="A60619"/>
      <c r="B60619"/>
      <c r="C60619"/>
      <c r="E60619"/>
      <c r="F60619"/>
    </row>
    <row r="60620" spans="1:6" x14ac:dyDescent="0.25">
      <c r="A60620"/>
      <c r="B60620"/>
      <c r="C60620"/>
      <c r="E60620"/>
      <c r="F60620"/>
    </row>
    <row r="60621" spans="1:6" x14ac:dyDescent="0.25">
      <c r="A60621"/>
      <c r="B60621"/>
      <c r="C60621"/>
      <c r="E60621"/>
      <c r="F60621"/>
    </row>
    <row r="60622" spans="1:6" x14ac:dyDescent="0.25">
      <c r="A60622"/>
      <c r="B60622"/>
      <c r="C60622"/>
      <c r="E60622"/>
      <c r="F60622"/>
    </row>
    <row r="60623" spans="1:6" x14ac:dyDescent="0.25">
      <c r="A60623"/>
      <c r="B60623"/>
      <c r="C60623"/>
      <c r="E60623"/>
      <c r="F60623"/>
    </row>
    <row r="60624" spans="1:6" x14ac:dyDescent="0.25">
      <c r="A60624"/>
      <c r="B60624"/>
      <c r="C60624"/>
      <c r="E60624"/>
      <c r="F60624"/>
    </row>
    <row r="60625" spans="1:6" x14ac:dyDescent="0.25">
      <c r="A60625"/>
      <c r="B60625"/>
      <c r="C60625"/>
      <c r="E60625"/>
      <c r="F60625"/>
    </row>
    <row r="60626" spans="1:6" x14ac:dyDescent="0.25">
      <c r="A60626"/>
      <c r="B60626"/>
      <c r="C60626"/>
      <c r="E60626"/>
      <c r="F60626"/>
    </row>
    <row r="60627" spans="1:6" x14ac:dyDescent="0.25">
      <c r="A60627"/>
      <c r="B60627"/>
      <c r="C60627"/>
      <c r="E60627"/>
      <c r="F60627"/>
    </row>
    <row r="60628" spans="1:6" x14ac:dyDescent="0.25">
      <c r="A60628"/>
      <c r="B60628"/>
      <c r="C60628"/>
      <c r="E60628"/>
      <c r="F60628"/>
    </row>
    <row r="60629" spans="1:6" x14ac:dyDescent="0.25">
      <c r="A60629"/>
      <c r="B60629"/>
      <c r="C60629"/>
      <c r="E60629"/>
      <c r="F60629"/>
    </row>
    <row r="60630" spans="1:6" x14ac:dyDescent="0.25">
      <c r="A60630"/>
      <c r="B60630"/>
      <c r="C60630"/>
      <c r="E60630"/>
      <c r="F60630"/>
    </row>
    <row r="60631" spans="1:6" x14ac:dyDescent="0.25">
      <c r="A60631"/>
      <c r="B60631"/>
      <c r="C60631"/>
      <c r="E60631"/>
      <c r="F60631"/>
    </row>
    <row r="60632" spans="1:6" x14ac:dyDescent="0.25">
      <c r="A60632"/>
      <c r="B60632"/>
      <c r="C60632"/>
      <c r="E60632"/>
      <c r="F60632"/>
    </row>
    <row r="60633" spans="1:6" x14ac:dyDescent="0.25">
      <c r="A60633"/>
      <c r="B60633"/>
      <c r="C60633"/>
      <c r="E60633"/>
      <c r="F60633"/>
    </row>
    <row r="60634" spans="1:6" x14ac:dyDescent="0.25">
      <c r="A60634"/>
      <c r="B60634"/>
      <c r="C60634"/>
      <c r="E60634"/>
      <c r="F60634"/>
    </row>
    <row r="60635" spans="1:6" x14ac:dyDescent="0.25">
      <c r="A60635"/>
      <c r="B60635"/>
      <c r="C60635"/>
      <c r="E60635"/>
      <c r="F60635"/>
    </row>
    <row r="60636" spans="1:6" x14ac:dyDescent="0.25">
      <c r="A60636"/>
      <c r="B60636"/>
      <c r="C60636"/>
      <c r="E60636"/>
      <c r="F60636"/>
    </row>
    <row r="60637" spans="1:6" x14ac:dyDescent="0.25">
      <c r="A60637"/>
      <c r="B60637"/>
      <c r="C60637"/>
      <c r="E60637"/>
      <c r="F60637"/>
    </row>
    <row r="60638" spans="1:6" x14ac:dyDescent="0.25">
      <c r="A60638"/>
      <c r="B60638"/>
      <c r="C60638"/>
      <c r="E60638"/>
      <c r="F60638"/>
    </row>
    <row r="60639" spans="1:6" x14ac:dyDescent="0.25">
      <c r="A60639"/>
      <c r="B60639"/>
      <c r="C60639"/>
      <c r="E60639"/>
      <c r="F60639"/>
    </row>
    <row r="60640" spans="1:6" x14ac:dyDescent="0.25">
      <c r="A60640"/>
      <c r="B60640"/>
      <c r="C60640"/>
      <c r="E60640"/>
      <c r="F60640"/>
    </row>
    <row r="60641" spans="1:6" x14ac:dyDescent="0.25">
      <c r="A60641"/>
      <c r="B60641"/>
      <c r="C60641"/>
      <c r="E60641"/>
      <c r="F60641"/>
    </row>
    <row r="60642" spans="1:6" x14ac:dyDescent="0.25">
      <c r="A60642"/>
      <c r="B60642"/>
      <c r="C60642"/>
      <c r="E60642"/>
      <c r="F60642"/>
    </row>
    <row r="60643" spans="1:6" x14ac:dyDescent="0.25">
      <c r="A60643"/>
      <c r="B60643"/>
      <c r="C60643"/>
      <c r="E60643"/>
      <c r="F60643"/>
    </row>
    <row r="60644" spans="1:6" x14ac:dyDescent="0.25">
      <c r="A60644"/>
      <c r="B60644"/>
      <c r="C60644"/>
      <c r="E60644"/>
      <c r="F60644"/>
    </row>
    <row r="60645" spans="1:6" x14ac:dyDescent="0.25">
      <c r="A60645"/>
      <c r="B60645"/>
      <c r="C60645"/>
      <c r="E60645"/>
      <c r="F60645"/>
    </row>
    <row r="60646" spans="1:6" x14ac:dyDescent="0.25">
      <c r="A60646"/>
      <c r="B60646"/>
      <c r="C60646"/>
      <c r="E60646"/>
      <c r="F60646"/>
    </row>
    <row r="60647" spans="1:6" x14ac:dyDescent="0.25">
      <c r="A60647"/>
      <c r="B60647"/>
      <c r="C60647"/>
      <c r="E60647"/>
      <c r="F60647"/>
    </row>
    <row r="60648" spans="1:6" x14ac:dyDescent="0.25">
      <c r="A60648"/>
      <c r="B60648"/>
      <c r="C60648"/>
      <c r="E60648"/>
      <c r="F60648"/>
    </row>
    <row r="60649" spans="1:6" x14ac:dyDescent="0.25">
      <c r="A60649"/>
      <c r="B60649"/>
      <c r="C60649"/>
      <c r="E60649"/>
      <c r="F60649"/>
    </row>
    <row r="60650" spans="1:6" x14ac:dyDescent="0.25">
      <c r="A60650"/>
      <c r="B60650"/>
      <c r="C60650"/>
      <c r="E60650"/>
      <c r="F60650"/>
    </row>
    <row r="60651" spans="1:6" x14ac:dyDescent="0.25">
      <c r="A60651"/>
      <c r="B60651"/>
      <c r="C60651"/>
      <c r="E60651"/>
      <c r="F60651"/>
    </row>
    <row r="60652" spans="1:6" x14ac:dyDescent="0.25">
      <c r="A60652"/>
      <c r="B60652"/>
      <c r="C60652"/>
      <c r="E60652"/>
      <c r="F60652"/>
    </row>
    <row r="60653" spans="1:6" x14ac:dyDescent="0.25">
      <c r="A60653"/>
      <c r="B60653"/>
      <c r="C60653"/>
      <c r="E60653"/>
      <c r="F60653"/>
    </row>
    <row r="60654" spans="1:6" x14ac:dyDescent="0.25">
      <c r="A60654"/>
      <c r="B60654"/>
      <c r="C60654"/>
      <c r="E60654"/>
      <c r="F60654"/>
    </row>
    <row r="60655" spans="1:6" x14ac:dyDescent="0.25">
      <c r="A60655"/>
      <c r="B60655"/>
      <c r="C60655"/>
      <c r="E60655"/>
      <c r="F60655"/>
    </row>
    <row r="60656" spans="1:6" x14ac:dyDescent="0.25">
      <c r="A60656"/>
      <c r="B60656"/>
      <c r="C60656"/>
      <c r="E60656"/>
      <c r="F60656"/>
    </row>
    <row r="60657" spans="1:6" x14ac:dyDescent="0.25">
      <c r="A60657"/>
      <c r="B60657"/>
      <c r="C60657"/>
      <c r="E60657"/>
      <c r="F60657"/>
    </row>
    <row r="60658" spans="1:6" x14ac:dyDescent="0.25">
      <c r="A60658"/>
      <c r="B60658"/>
      <c r="C60658"/>
      <c r="E60658"/>
      <c r="F60658"/>
    </row>
    <row r="60659" spans="1:6" x14ac:dyDescent="0.25">
      <c r="A60659"/>
      <c r="B60659"/>
      <c r="C60659"/>
      <c r="E60659"/>
      <c r="F60659"/>
    </row>
    <row r="60660" spans="1:6" x14ac:dyDescent="0.25">
      <c r="A60660"/>
      <c r="B60660"/>
      <c r="C60660"/>
      <c r="E60660"/>
      <c r="F60660"/>
    </row>
    <row r="60661" spans="1:6" x14ac:dyDescent="0.25">
      <c r="A60661"/>
      <c r="B60661"/>
      <c r="C60661"/>
      <c r="E60661"/>
      <c r="F60661"/>
    </row>
    <row r="60662" spans="1:6" x14ac:dyDescent="0.25">
      <c r="A60662"/>
      <c r="B60662"/>
      <c r="C60662"/>
      <c r="E60662"/>
      <c r="F60662"/>
    </row>
    <row r="60663" spans="1:6" x14ac:dyDescent="0.25">
      <c r="A60663"/>
      <c r="B60663"/>
      <c r="C60663"/>
      <c r="E60663"/>
      <c r="F60663"/>
    </row>
    <row r="60664" spans="1:6" x14ac:dyDescent="0.25">
      <c r="A60664"/>
      <c r="B60664"/>
      <c r="C60664"/>
      <c r="E60664"/>
      <c r="F60664"/>
    </row>
    <row r="60665" spans="1:6" x14ac:dyDescent="0.25">
      <c r="A60665"/>
      <c r="B60665"/>
      <c r="C60665"/>
      <c r="E60665"/>
      <c r="F60665"/>
    </row>
    <row r="60666" spans="1:6" x14ac:dyDescent="0.25">
      <c r="A60666"/>
      <c r="B60666"/>
      <c r="C60666"/>
      <c r="E60666"/>
      <c r="F60666"/>
    </row>
    <row r="60667" spans="1:6" x14ac:dyDescent="0.25">
      <c r="A60667"/>
      <c r="B60667"/>
      <c r="C60667"/>
      <c r="E60667"/>
      <c r="F60667"/>
    </row>
    <row r="60668" spans="1:6" x14ac:dyDescent="0.25">
      <c r="A60668"/>
      <c r="B60668"/>
      <c r="C60668"/>
      <c r="E60668"/>
      <c r="F60668"/>
    </row>
    <row r="60669" spans="1:6" x14ac:dyDescent="0.25">
      <c r="A60669"/>
      <c r="B60669"/>
      <c r="C60669"/>
      <c r="E60669"/>
      <c r="F60669"/>
    </row>
    <row r="60670" spans="1:6" x14ac:dyDescent="0.25">
      <c r="A60670"/>
      <c r="B60670"/>
      <c r="C60670"/>
      <c r="E60670"/>
      <c r="F60670"/>
    </row>
    <row r="60671" spans="1:6" x14ac:dyDescent="0.25">
      <c r="A60671"/>
      <c r="B60671"/>
      <c r="C60671"/>
      <c r="E60671"/>
      <c r="F60671"/>
    </row>
    <row r="60672" spans="1:6" x14ac:dyDescent="0.25">
      <c r="A60672"/>
      <c r="B60672"/>
      <c r="C60672"/>
      <c r="E60672"/>
      <c r="F60672"/>
    </row>
    <row r="60673" spans="1:6" x14ac:dyDescent="0.25">
      <c r="A60673"/>
      <c r="B60673"/>
      <c r="C60673"/>
      <c r="E60673"/>
      <c r="F60673"/>
    </row>
    <row r="60674" spans="1:6" x14ac:dyDescent="0.25">
      <c r="A60674"/>
      <c r="B60674"/>
      <c r="C60674"/>
      <c r="E60674"/>
      <c r="F60674"/>
    </row>
    <row r="60675" spans="1:6" x14ac:dyDescent="0.25">
      <c r="A60675"/>
      <c r="B60675"/>
      <c r="C60675"/>
      <c r="E60675"/>
      <c r="F60675"/>
    </row>
    <row r="60676" spans="1:6" x14ac:dyDescent="0.25">
      <c r="A60676"/>
      <c r="B60676"/>
      <c r="C60676"/>
      <c r="E60676"/>
      <c r="F60676"/>
    </row>
    <row r="60677" spans="1:6" x14ac:dyDescent="0.25">
      <c r="A60677"/>
      <c r="B60677"/>
      <c r="C60677"/>
      <c r="E60677"/>
      <c r="F60677"/>
    </row>
    <row r="60678" spans="1:6" x14ac:dyDescent="0.25">
      <c r="A60678"/>
      <c r="B60678"/>
      <c r="C60678"/>
      <c r="E60678"/>
      <c r="F60678"/>
    </row>
    <row r="60679" spans="1:6" x14ac:dyDescent="0.25">
      <c r="A60679"/>
      <c r="B60679"/>
      <c r="C60679"/>
      <c r="E60679"/>
      <c r="F60679"/>
    </row>
    <row r="60680" spans="1:6" x14ac:dyDescent="0.25">
      <c r="A60680"/>
      <c r="B60680"/>
      <c r="C60680"/>
      <c r="E60680"/>
      <c r="F60680"/>
    </row>
    <row r="60681" spans="1:6" x14ac:dyDescent="0.25">
      <c r="A60681"/>
      <c r="B60681"/>
      <c r="C60681"/>
      <c r="E60681"/>
      <c r="F60681"/>
    </row>
    <row r="60682" spans="1:6" x14ac:dyDescent="0.25">
      <c r="A60682"/>
      <c r="B60682"/>
      <c r="C60682"/>
      <c r="E60682"/>
      <c r="F60682"/>
    </row>
    <row r="60683" spans="1:6" x14ac:dyDescent="0.25">
      <c r="A60683"/>
      <c r="B60683"/>
      <c r="C60683"/>
      <c r="E60683"/>
      <c r="F60683"/>
    </row>
    <row r="60684" spans="1:6" x14ac:dyDescent="0.25">
      <c r="A60684"/>
      <c r="B60684"/>
      <c r="C60684"/>
      <c r="E60684"/>
      <c r="F60684"/>
    </row>
    <row r="60685" spans="1:6" x14ac:dyDescent="0.25">
      <c r="A60685"/>
      <c r="B60685"/>
      <c r="C60685"/>
      <c r="E60685"/>
      <c r="F60685"/>
    </row>
    <row r="60686" spans="1:6" x14ac:dyDescent="0.25">
      <c r="A60686"/>
      <c r="B60686"/>
      <c r="C60686"/>
      <c r="E60686"/>
      <c r="F60686"/>
    </row>
    <row r="60687" spans="1:6" x14ac:dyDescent="0.25">
      <c r="A60687"/>
      <c r="B60687"/>
      <c r="C60687"/>
      <c r="E60687"/>
      <c r="F60687"/>
    </row>
    <row r="60688" spans="1:6" x14ac:dyDescent="0.25">
      <c r="A60688"/>
      <c r="B60688"/>
      <c r="C60688"/>
      <c r="E60688"/>
      <c r="F60688"/>
    </row>
    <row r="60689" spans="1:6" x14ac:dyDescent="0.25">
      <c r="A60689"/>
      <c r="B60689"/>
      <c r="C60689"/>
      <c r="E60689"/>
      <c r="F60689"/>
    </row>
    <row r="60690" spans="1:6" x14ac:dyDescent="0.25">
      <c r="A60690"/>
      <c r="B60690"/>
      <c r="C60690"/>
      <c r="E60690"/>
      <c r="F60690"/>
    </row>
    <row r="60691" spans="1:6" x14ac:dyDescent="0.25">
      <c r="A60691"/>
      <c r="B60691"/>
      <c r="C60691"/>
      <c r="E60691"/>
      <c r="F60691"/>
    </row>
    <row r="60692" spans="1:6" x14ac:dyDescent="0.25">
      <c r="A60692"/>
      <c r="B60692"/>
      <c r="C60692"/>
      <c r="E60692"/>
      <c r="F60692"/>
    </row>
    <row r="60693" spans="1:6" x14ac:dyDescent="0.25">
      <c r="A60693"/>
      <c r="B60693"/>
      <c r="C60693"/>
      <c r="E60693"/>
      <c r="F60693"/>
    </row>
    <row r="60694" spans="1:6" x14ac:dyDescent="0.25">
      <c r="A60694"/>
      <c r="B60694"/>
      <c r="C60694"/>
      <c r="E60694"/>
      <c r="F60694"/>
    </row>
    <row r="60695" spans="1:6" x14ac:dyDescent="0.25">
      <c r="A60695"/>
      <c r="B60695"/>
      <c r="C60695"/>
      <c r="E60695"/>
      <c r="F60695"/>
    </row>
    <row r="60696" spans="1:6" x14ac:dyDescent="0.25">
      <c r="A60696"/>
      <c r="B60696"/>
      <c r="C60696"/>
      <c r="E60696"/>
      <c r="F60696"/>
    </row>
    <row r="60697" spans="1:6" x14ac:dyDescent="0.25">
      <c r="A60697"/>
      <c r="B60697"/>
      <c r="C60697"/>
      <c r="E60697"/>
      <c r="F60697"/>
    </row>
    <row r="60698" spans="1:6" x14ac:dyDescent="0.25">
      <c r="A60698"/>
      <c r="B60698"/>
      <c r="C60698"/>
      <c r="E60698"/>
      <c r="F60698"/>
    </row>
    <row r="60699" spans="1:6" x14ac:dyDescent="0.25">
      <c r="A60699"/>
      <c r="B60699"/>
      <c r="C60699"/>
      <c r="E60699"/>
      <c r="F60699"/>
    </row>
    <row r="60700" spans="1:6" x14ac:dyDescent="0.25">
      <c r="A60700"/>
      <c r="B60700"/>
      <c r="C60700"/>
      <c r="E60700"/>
      <c r="F60700"/>
    </row>
    <row r="60701" spans="1:6" x14ac:dyDescent="0.25">
      <c r="A60701"/>
      <c r="B60701"/>
      <c r="C60701"/>
      <c r="E60701"/>
      <c r="F60701"/>
    </row>
    <row r="60702" spans="1:6" x14ac:dyDescent="0.25">
      <c r="A60702"/>
      <c r="B60702"/>
      <c r="C60702"/>
      <c r="E60702"/>
      <c r="F60702"/>
    </row>
    <row r="60703" spans="1:6" x14ac:dyDescent="0.25">
      <c r="A60703"/>
      <c r="B60703"/>
      <c r="C60703"/>
      <c r="E60703"/>
      <c r="F60703"/>
    </row>
    <row r="60704" spans="1:6" x14ac:dyDescent="0.25">
      <c r="A60704"/>
      <c r="B60704"/>
      <c r="C60704"/>
      <c r="E60704"/>
      <c r="F60704"/>
    </row>
    <row r="60705" spans="1:6" x14ac:dyDescent="0.25">
      <c r="A60705"/>
      <c r="B60705"/>
      <c r="C60705"/>
      <c r="E60705"/>
      <c r="F60705"/>
    </row>
    <row r="60706" spans="1:6" x14ac:dyDescent="0.25">
      <c r="A60706"/>
      <c r="B60706"/>
      <c r="C60706"/>
      <c r="E60706"/>
      <c r="F60706"/>
    </row>
    <row r="60707" spans="1:6" x14ac:dyDescent="0.25">
      <c r="A60707"/>
      <c r="B60707"/>
      <c r="C60707"/>
      <c r="E60707"/>
      <c r="F60707"/>
    </row>
    <row r="60708" spans="1:6" x14ac:dyDescent="0.25">
      <c r="A60708"/>
      <c r="B60708"/>
      <c r="C60708"/>
      <c r="E60708"/>
      <c r="F60708"/>
    </row>
    <row r="60709" spans="1:6" x14ac:dyDescent="0.25">
      <c r="A60709"/>
      <c r="B60709"/>
      <c r="C60709"/>
      <c r="E60709"/>
      <c r="F60709"/>
    </row>
    <row r="60710" spans="1:6" x14ac:dyDescent="0.25">
      <c r="A60710"/>
      <c r="B60710"/>
      <c r="C60710"/>
      <c r="E60710"/>
      <c r="F60710"/>
    </row>
    <row r="60711" spans="1:6" x14ac:dyDescent="0.25">
      <c r="A60711"/>
      <c r="B60711"/>
      <c r="C60711"/>
      <c r="E60711"/>
      <c r="F60711"/>
    </row>
    <row r="60712" spans="1:6" x14ac:dyDescent="0.25">
      <c r="A60712"/>
      <c r="B60712"/>
      <c r="C60712"/>
      <c r="E60712"/>
      <c r="F60712"/>
    </row>
    <row r="60713" spans="1:6" x14ac:dyDescent="0.25">
      <c r="A60713"/>
      <c r="B60713"/>
      <c r="C60713"/>
      <c r="E60713"/>
      <c r="F60713"/>
    </row>
    <row r="60714" spans="1:6" x14ac:dyDescent="0.25">
      <c r="A60714"/>
      <c r="B60714"/>
      <c r="C60714"/>
      <c r="E60714"/>
      <c r="F60714"/>
    </row>
    <row r="60715" spans="1:6" x14ac:dyDescent="0.25">
      <c r="A60715"/>
      <c r="B60715"/>
      <c r="C60715"/>
      <c r="E60715"/>
      <c r="F60715"/>
    </row>
    <row r="60716" spans="1:6" x14ac:dyDescent="0.25">
      <c r="A60716"/>
      <c r="B60716"/>
      <c r="C60716"/>
      <c r="E60716"/>
      <c r="F60716"/>
    </row>
    <row r="60717" spans="1:6" x14ac:dyDescent="0.25">
      <c r="A60717"/>
      <c r="B60717"/>
      <c r="C60717"/>
      <c r="E60717"/>
      <c r="F60717"/>
    </row>
    <row r="60718" spans="1:6" x14ac:dyDescent="0.25">
      <c r="A60718"/>
      <c r="B60718"/>
      <c r="C60718"/>
      <c r="E60718"/>
      <c r="F60718"/>
    </row>
    <row r="60719" spans="1:6" x14ac:dyDescent="0.25">
      <c r="A60719"/>
      <c r="B60719"/>
      <c r="C60719"/>
      <c r="E60719"/>
      <c r="F60719"/>
    </row>
    <row r="60720" spans="1:6" x14ac:dyDescent="0.25">
      <c r="A60720"/>
      <c r="B60720"/>
      <c r="C60720"/>
      <c r="E60720"/>
      <c r="F60720"/>
    </row>
    <row r="60721" spans="1:6" x14ac:dyDescent="0.25">
      <c r="A60721"/>
      <c r="B60721"/>
      <c r="C60721"/>
      <c r="E60721"/>
      <c r="F60721"/>
    </row>
    <row r="60722" spans="1:6" x14ac:dyDescent="0.25">
      <c r="A60722"/>
      <c r="B60722"/>
      <c r="C60722"/>
      <c r="E60722"/>
      <c r="F60722"/>
    </row>
    <row r="60723" spans="1:6" x14ac:dyDescent="0.25">
      <c r="A60723"/>
      <c r="B60723"/>
      <c r="C60723"/>
      <c r="E60723"/>
      <c r="F60723"/>
    </row>
    <row r="60724" spans="1:6" x14ac:dyDescent="0.25">
      <c r="A60724"/>
      <c r="B60724"/>
      <c r="C60724"/>
      <c r="E60724"/>
      <c r="F60724"/>
    </row>
    <row r="60725" spans="1:6" x14ac:dyDescent="0.25">
      <c r="A60725"/>
      <c r="B60725"/>
      <c r="C60725"/>
      <c r="E60725"/>
      <c r="F60725"/>
    </row>
    <row r="60726" spans="1:6" x14ac:dyDescent="0.25">
      <c r="A60726"/>
      <c r="B60726"/>
      <c r="C60726"/>
      <c r="E60726"/>
      <c r="F60726"/>
    </row>
    <row r="60727" spans="1:6" x14ac:dyDescent="0.25">
      <c r="A60727"/>
      <c r="B60727"/>
      <c r="C60727"/>
      <c r="E60727"/>
      <c r="F60727"/>
    </row>
    <row r="60728" spans="1:6" x14ac:dyDescent="0.25">
      <c r="A60728"/>
      <c r="B60728"/>
      <c r="C60728"/>
      <c r="E60728"/>
      <c r="F60728"/>
    </row>
    <row r="60729" spans="1:6" x14ac:dyDescent="0.25">
      <c r="A60729"/>
      <c r="B60729"/>
      <c r="C60729"/>
      <c r="E60729"/>
      <c r="F60729"/>
    </row>
    <row r="60730" spans="1:6" x14ac:dyDescent="0.25">
      <c r="A60730"/>
      <c r="B60730"/>
      <c r="C60730"/>
      <c r="E60730"/>
      <c r="F60730"/>
    </row>
    <row r="60731" spans="1:6" x14ac:dyDescent="0.25">
      <c r="A60731"/>
      <c r="B60731"/>
      <c r="C60731"/>
      <c r="E60731"/>
      <c r="F60731"/>
    </row>
    <row r="60732" spans="1:6" x14ac:dyDescent="0.25">
      <c r="A60732"/>
      <c r="B60732"/>
      <c r="C60732"/>
      <c r="E60732"/>
      <c r="F60732"/>
    </row>
    <row r="60733" spans="1:6" x14ac:dyDescent="0.25">
      <c r="A60733"/>
      <c r="B60733"/>
      <c r="C60733"/>
      <c r="E60733"/>
      <c r="F60733"/>
    </row>
    <row r="60734" spans="1:6" x14ac:dyDescent="0.25">
      <c r="A60734"/>
      <c r="B60734"/>
      <c r="C60734"/>
      <c r="E60734"/>
      <c r="F60734"/>
    </row>
    <row r="60735" spans="1:6" x14ac:dyDescent="0.25">
      <c r="A60735"/>
      <c r="B60735"/>
      <c r="C60735"/>
      <c r="E60735"/>
      <c r="F60735"/>
    </row>
    <row r="60736" spans="1:6" x14ac:dyDescent="0.25">
      <c r="A60736"/>
      <c r="B60736"/>
      <c r="C60736"/>
      <c r="E60736"/>
      <c r="F60736"/>
    </row>
    <row r="60737" spans="1:6" x14ac:dyDescent="0.25">
      <c r="A60737"/>
      <c r="B60737"/>
      <c r="C60737"/>
      <c r="E60737"/>
      <c r="F60737"/>
    </row>
    <row r="60738" spans="1:6" x14ac:dyDescent="0.25">
      <c r="A60738"/>
      <c r="B60738"/>
      <c r="C60738"/>
      <c r="E60738"/>
      <c r="F60738"/>
    </row>
    <row r="60739" spans="1:6" x14ac:dyDescent="0.25">
      <c r="A60739"/>
      <c r="B60739"/>
      <c r="C60739"/>
      <c r="E60739"/>
      <c r="F60739"/>
    </row>
    <row r="60740" spans="1:6" x14ac:dyDescent="0.25">
      <c r="A60740"/>
      <c r="B60740"/>
      <c r="C60740"/>
      <c r="E60740"/>
      <c r="F60740"/>
    </row>
    <row r="60741" spans="1:6" x14ac:dyDescent="0.25">
      <c r="A60741"/>
      <c r="B60741"/>
      <c r="C60741"/>
      <c r="E60741"/>
      <c r="F60741"/>
    </row>
    <row r="60742" spans="1:6" x14ac:dyDescent="0.25">
      <c r="A60742"/>
      <c r="B60742"/>
      <c r="C60742"/>
      <c r="E60742"/>
      <c r="F60742"/>
    </row>
    <row r="60743" spans="1:6" x14ac:dyDescent="0.25">
      <c r="A60743"/>
      <c r="B60743"/>
      <c r="C60743"/>
      <c r="E60743"/>
      <c r="F60743"/>
    </row>
    <row r="60744" spans="1:6" x14ac:dyDescent="0.25">
      <c r="A60744"/>
      <c r="B60744"/>
      <c r="C60744"/>
      <c r="E60744"/>
      <c r="F60744"/>
    </row>
    <row r="60745" spans="1:6" x14ac:dyDescent="0.25">
      <c r="A60745"/>
      <c r="B60745"/>
      <c r="C60745"/>
      <c r="E60745"/>
      <c r="F60745"/>
    </row>
    <row r="60746" spans="1:6" x14ac:dyDescent="0.25">
      <c r="A60746"/>
      <c r="B60746"/>
      <c r="C60746"/>
      <c r="E60746"/>
      <c r="F60746"/>
    </row>
    <row r="60747" spans="1:6" x14ac:dyDescent="0.25">
      <c r="A60747"/>
      <c r="B60747"/>
      <c r="C60747"/>
      <c r="E60747"/>
      <c r="F60747"/>
    </row>
    <row r="60748" spans="1:6" x14ac:dyDescent="0.25">
      <c r="A60748"/>
      <c r="B60748"/>
      <c r="C60748"/>
      <c r="E60748"/>
      <c r="F60748"/>
    </row>
    <row r="60749" spans="1:6" x14ac:dyDescent="0.25">
      <c r="A60749"/>
      <c r="B60749"/>
      <c r="C60749"/>
      <c r="E60749"/>
      <c r="F60749"/>
    </row>
    <row r="60750" spans="1:6" x14ac:dyDescent="0.25">
      <c r="A60750"/>
      <c r="B60750"/>
      <c r="C60750"/>
      <c r="E60750"/>
      <c r="F60750"/>
    </row>
    <row r="60751" spans="1:6" x14ac:dyDescent="0.25">
      <c r="A60751"/>
      <c r="B60751"/>
      <c r="C60751"/>
      <c r="E60751"/>
      <c r="F60751"/>
    </row>
    <row r="60752" spans="1:6" x14ac:dyDescent="0.25">
      <c r="A60752"/>
      <c r="B60752"/>
      <c r="C60752"/>
      <c r="E60752"/>
      <c r="F60752"/>
    </row>
    <row r="60753" spans="1:6" x14ac:dyDescent="0.25">
      <c r="A60753"/>
      <c r="B60753"/>
      <c r="C60753"/>
      <c r="E60753"/>
      <c r="F60753"/>
    </row>
    <row r="60754" spans="1:6" x14ac:dyDescent="0.25">
      <c r="A60754"/>
      <c r="B60754"/>
      <c r="C60754"/>
      <c r="E60754"/>
      <c r="F60754"/>
    </row>
    <row r="60755" spans="1:6" x14ac:dyDescent="0.25">
      <c r="A60755"/>
      <c r="B60755"/>
      <c r="C60755"/>
      <c r="E60755"/>
      <c r="F60755"/>
    </row>
    <row r="60756" spans="1:6" x14ac:dyDescent="0.25">
      <c r="A60756"/>
      <c r="B60756"/>
      <c r="C60756"/>
      <c r="E60756"/>
      <c r="F60756"/>
    </row>
    <row r="60757" spans="1:6" x14ac:dyDescent="0.25">
      <c r="A60757"/>
      <c r="B60757"/>
      <c r="C60757"/>
      <c r="E60757"/>
      <c r="F60757"/>
    </row>
    <row r="60758" spans="1:6" x14ac:dyDescent="0.25">
      <c r="A60758"/>
      <c r="B60758"/>
      <c r="C60758"/>
      <c r="E60758"/>
      <c r="F60758"/>
    </row>
    <row r="60759" spans="1:6" x14ac:dyDescent="0.25">
      <c r="A60759"/>
      <c r="B60759"/>
      <c r="C60759"/>
      <c r="E60759"/>
      <c r="F60759"/>
    </row>
    <row r="60760" spans="1:6" x14ac:dyDescent="0.25">
      <c r="A60760"/>
      <c r="B60760"/>
      <c r="C60760"/>
      <c r="E60760"/>
      <c r="F60760"/>
    </row>
    <row r="60761" spans="1:6" x14ac:dyDescent="0.25">
      <c r="A60761"/>
      <c r="B60761"/>
      <c r="C60761"/>
      <c r="E60761"/>
      <c r="F60761"/>
    </row>
    <row r="60762" spans="1:6" x14ac:dyDescent="0.25">
      <c r="A60762"/>
      <c r="B60762"/>
      <c r="C60762"/>
      <c r="E60762"/>
      <c r="F60762"/>
    </row>
    <row r="60763" spans="1:6" x14ac:dyDescent="0.25">
      <c r="A60763"/>
      <c r="B60763"/>
      <c r="C60763"/>
      <c r="E60763"/>
      <c r="F60763"/>
    </row>
    <row r="60764" spans="1:6" x14ac:dyDescent="0.25">
      <c r="A60764"/>
      <c r="B60764"/>
      <c r="C60764"/>
      <c r="E60764"/>
      <c r="F60764"/>
    </row>
    <row r="60765" spans="1:6" x14ac:dyDescent="0.25">
      <c r="A60765"/>
      <c r="B60765"/>
      <c r="C60765"/>
      <c r="E60765"/>
      <c r="F60765"/>
    </row>
    <row r="60766" spans="1:6" x14ac:dyDescent="0.25">
      <c r="A60766"/>
      <c r="B60766"/>
      <c r="C60766"/>
      <c r="E60766"/>
      <c r="F60766"/>
    </row>
    <row r="60767" spans="1:6" x14ac:dyDescent="0.25">
      <c r="A60767"/>
      <c r="B60767"/>
      <c r="C60767"/>
      <c r="E60767"/>
      <c r="F60767"/>
    </row>
    <row r="60768" spans="1:6" x14ac:dyDescent="0.25">
      <c r="A60768"/>
      <c r="B60768"/>
      <c r="C60768"/>
      <c r="E60768"/>
      <c r="F60768"/>
    </row>
    <row r="60769" spans="1:6" x14ac:dyDescent="0.25">
      <c r="A60769"/>
      <c r="B60769"/>
      <c r="C60769"/>
      <c r="E60769"/>
      <c r="F60769"/>
    </row>
    <row r="60770" spans="1:6" x14ac:dyDescent="0.25">
      <c r="A60770"/>
      <c r="B60770"/>
      <c r="C60770"/>
      <c r="E60770"/>
      <c r="F60770"/>
    </row>
    <row r="60771" spans="1:6" x14ac:dyDescent="0.25">
      <c r="A60771"/>
      <c r="B60771"/>
      <c r="C60771"/>
      <c r="E60771"/>
      <c r="F60771"/>
    </row>
    <row r="60772" spans="1:6" x14ac:dyDescent="0.25">
      <c r="A60772"/>
      <c r="B60772"/>
      <c r="C60772"/>
      <c r="E60772"/>
      <c r="F60772"/>
    </row>
    <row r="60773" spans="1:6" x14ac:dyDescent="0.25">
      <c r="A60773"/>
      <c r="B60773"/>
      <c r="C60773"/>
      <c r="E60773"/>
      <c r="F60773"/>
    </row>
    <row r="60774" spans="1:6" x14ac:dyDescent="0.25">
      <c r="A60774"/>
      <c r="B60774"/>
      <c r="C60774"/>
      <c r="E60774"/>
      <c r="F60774"/>
    </row>
    <row r="60775" spans="1:6" x14ac:dyDescent="0.25">
      <c r="A60775"/>
      <c r="B60775"/>
      <c r="C60775"/>
      <c r="E60775"/>
      <c r="F60775"/>
    </row>
    <row r="60776" spans="1:6" x14ac:dyDescent="0.25">
      <c r="A60776"/>
      <c r="B60776"/>
      <c r="C60776"/>
      <c r="E60776"/>
      <c r="F60776"/>
    </row>
    <row r="60777" spans="1:6" x14ac:dyDescent="0.25">
      <c r="A60777"/>
      <c r="B60777"/>
      <c r="C60777"/>
      <c r="E60777"/>
      <c r="F60777"/>
    </row>
    <row r="60778" spans="1:6" x14ac:dyDescent="0.25">
      <c r="A60778"/>
      <c r="B60778"/>
      <c r="C60778"/>
      <c r="E60778"/>
      <c r="F60778"/>
    </row>
    <row r="60779" spans="1:6" x14ac:dyDescent="0.25">
      <c r="A60779"/>
      <c r="B60779"/>
      <c r="C60779"/>
      <c r="E60779"/>
      <c r="F60779"/>
    </row>
    <row r="60780" spans="1:6" x14ac:dyDescent="0.25">
      <c r="A60780"/>
      <c r="B60780"/>
      <c r="C60780"/>
      <c r="E60780"/>
      <c r="F60780"/>
    </row>
    <row r="60781" spans="1:6" x14ac:dyDescent="0.25">
      <c r="A60781"/>
      <c r="B60781"/>
      <c r="C60781"/>
      <c r="E60781"/>
      <c r="F60781"/>
    </row>
    <row r="60782" spans="1:6" x14ac:dyDescent="0.25">
      <c r="A60782"/>
      <c r="B60782"/>
      <c r="C60782"/>
      <c r="E60782"/>
      <c r="F60782"/>
    </row>
    <row r="60783" spans="1:6" x14ac:dyDescent="0.25">
      <c r="A60783"/>
      <c r="B60783"/>
      <c r="C60783"/>
      <c r="E60783"/>
      <c r="F60783"/>
    </row>
    <row r="60784" spans="1:6" x14ac:dyDescent="0.25">
      <c r="A60784"/>
      <c r="B60784"/>
      <c r="C60784"/>
      <c r="E60784"/>
      <c r="F60784"/>
    </row>
    <row r="60785" spans="1:6" x14ac:dyDescent="0.25">
      <c r="A60785"/>
      <c r="B60785"/>
      <c r="C60785"/>
      <c r="E60785"/>
      <c r="F60785"/>
    </row>
    <row r="60786" spans="1:6" x14ac:dyDescent="0.25">
      <c r="A60786"/>
      <c r="B60786"/>
      <c r="C60786"/>
      <c r="E60786"/>
      <c r="F60786"/>
    </row>
    <row r="60787" spans="1:6" x14ac:dyDescent="0.25">
      <c r="A60787"/>
      <c r="B60787"/>
      <c r="C60787"/>
      <c r="E60787"/>
      <c r="F60787"/>
    </row>
    <row r="60788" spans="1:6" x14ac:dyDescent="0.25">
      <c r="A60788"/>
      <c r="B60788"/>
      <c r="C60788"/>
      <c r="E60788"/>
      <c r="F60788"/>
    </row>
    <row r="60789" spans="1:6" x14ac:dyDescent="0.25">
      <c r="A60789"/>
      <c r="B60789"/>
      <c r="C60789"/>
      <c r="E60789"/>
      <c r="F60789"/>
    </row>
    <row r="60790" spans="1:6" x14ac:dyDescent="0.25">
      <c r="A60790"/>
      <c r="B60790"/>
      <c r="C60790"/>
      <c r="E60790"/>
      <c r="F60790"/>
    </row>
    <row r="60791" spans="1:6" x14ac:dyDescent="0.25">
      <c r="A60791"/>
      <c r="B60791"/>
      <c r="C60791"/>
      <c r="E60791"/>
      <c r="F60791"/>
    </row>
    <row r="60792" spans="1:6" x14ac:dyDescent="0.25">
      <c r="A60792"/>
      <c r="B60792"/>
      <c r="C60792"/>
      <c r="E60792"/>
      <c r="F60792"/>
    </row>
    <row r="60793" spans="1:6" x14ac:dyDescent="0.25">
      <c r="A60793"/>
      <c r="B60793"/>
      <c r="C60793"/>
      <c r="E60793"/>
      <c r="F60793"/>
    </row>
    <row r="60794" spans="1:6" x14ac:dyDescent="0.25">
      <c r="A60794"/>
      <c r="B60794"/>
      <c r="C60794"/>
      <c r="E60794"/>
      <c r="F60794"/>
    </row>
    <row r="60795" spans="1:6" x14ac:dyDescent="0.25">
      <c r="A60795"/>
      <c r="B60795"/>
      <c r="C60795"/>
      <c r="E60795"/>
      <c r="F60795"/>
    </row>
    <row r="60796" spans="1:6" x14ac:dyDescent="0.25">
      <c r="A60796"/>
      <c r="B60796"/>
      <c r="C60796"/>
      <c r="E60796"/>
      <c r="F60796"/>
    </row>
    <row r="60797" spans="1:6" x14ac:dyDescent="0.25">
      <c r="A60797"/>
      <c r="B60797"/>
      <c r="C60797"/>
      <c r="E60797"/>
      <c r="F60797"/>
    </row>
    <row r="60798" spans="1:6" x14ac:dyDescent="0.25">
      <c r="A60798"/>
      <c r="B60798"/>
      <c r="C60798"/>
      <c r="E60798"/>
      <c r="F60798"/>
    </row>
    <row r="60799" spans="1:6" x14ac:dyDescent="0.25">
      <c r="A60799"/>
      <c r="B60799"/>
      <c r="C60799"/>
      <c r="E60799"/>
      <c r="F60799"/>
    </row>
    <row r="60800" spans="1:6" x14ac:dyDescent="0.25">
      <c r="A60800"/>
      <c r="B60800"/>
      <c r="C60800"/>
      <c r="E60800"/>
      <c r="F60800"/>
    </row>
    <row r="60801" spans="1:6" x14ac:dyDescent="0.25">
      <c r="A60801"/>
      <c r="B60801"/>
      <c r="C60801"/>
      <c r="E60801"/>
      <c r="F60801"/>
    </row>
    <row r="60802" spans="1:6" x14ac:dyDescent="0.25">
      <c r="A60802"/>
      <c r="B60802"/>
      <c r="C60802"/>
      <c r="E60802"/>
      <c r="F60802"/>
    </row>
    <row r="60803" spans="1:6" x14ac:dyDescent="0.25">
      <c r="A60803"/>
      <c r="B60803"/>
      <c r="C60803"/>
      <c r="E60803"/>
      <c r="F60803"/>
    </row>
    <row r="60804" spans="1:6" x14ac:dyDescent="0.25">
      <c r="A60804"/>
      <c r="B60804"/>
      <c r="C60804"/>
      <c r="E60804"/>
      <c r="F60804"/>
    </row>
    <row r="60805" spans="1:6" x14ac:dyDescent="0.25">
      <c r="A60805"/>
      <c r="B60805"/>
      <c r="C60805"/>
      <c r="E60805"/>
      <c r="F60805"/>
    </row>
    <row r="60806" spans="1:6" x14ac:dyDescent="0.25">
      <c r="A60806"/>
      <c r="B60806"/>
      <c r="C60806"/>
      <c r="E60806"/>
      <c r="F60806"/>
    </row>
    <row r="60807" spans="1:6" x14ac:dyDescent="0.25">
      <c r="A60807"/>
      <c r="B60807"/>
      <c r="C60807"/>
      <c r="E60807"/>
      <c r="F60807"/>
    </row>
    <row r="60808" spans="1:6" x14ac:dyDescent="0.25">
      <c r="A60808"/>
      <c r="B60808"/>
      <c r="C60808"/>
      <c r="E60808"/>
      <c r="F60808"/>
    </row>
    <row r="60809" spans="1:6" x14ac:dyDescent="0.25">
      <c r="A60809"/>
      <c r="B60809"/>
      <c r="C60809"/>
      <c r="E60809"/>
      <c r="F60809"/>
    </row>
    <row r="60810" spans="1:6" x14ac:dyDescent="0.25">
      <c r="A60810"/>
      <c r="B60810"/>
      <c r="C60810"/>
      <c r="E60810"/>
      <c r="F60810"/>
    </row>
    <row r="60811" spans="1:6" x14ac:dyDescent="0.25">
      <c r="A60811"/>
      <c r="B60811"/>
      <c r="C60811"/>
      <c r="E60811"/>
      <c r="F60811"/>
    </row>
    <row r="60812" spans="1:6" x14ac:dyDescent="0.25">
      <c r="A60812"/>
      <c r="B60812"/>
      <c r="C60812"/>
      <c r="E60812"/>
      <c r="F60812"/>
    </row>
    <row r="60813" spans="1:6" x14ac:dyDescent="0.25">
      <c r="A60813"/>
      <c r="B60813"/>
      <c r="C60813"/>
      <c r="E60813"/>
      <c r="F60813"/>
    </row>
    <row r="60814" spans="1:6" x14ac:dyDescent="0.25">
      <c r="A60814"/>
      <c r="B60814"/>
      <c r="C60814"/>
      <c r="E60814"/>
      <c r="F60814"/>
    </row>
    <row r="60815" spans="1:6" x14ac:dyDescent="0.25">
      <c r="A60815"/>
      <c r="B60815"/>
      <c r="C60815"/>
      <c r="E60815"/>
      <c r="F60815"/>
    </row>
    <row r="60816" spans="1:6" x14ac:dyDescent="0.25">
      <c r="A60816"/>
      <c r="B60816"/>
      <c r="C60816"/>
      <c r="E60816"/>
      <c r="F60816"/>
    </row>
    <row r="60817" spans="1:6" x14ac:dyDescent="0.25">
      <c r="A60817"/>
      <c r="B60817"/>
      <c r="C60817"/>
      <c r="E60817"/>
      <c r="F60817"/>
    </row>
    <row r="60818" spans="1:6" x14ac:dyDescent="0.25">
      <c r="A60818"/>
      <c r="B60818"/>
      <c r="C60818"/>
      <c r="E60818"/>
      <c r="F60818"/>
    </row>
    <row r="60819" spans="1:6" x14ac:dyDescent="0.25">
      <c r="A60819"/>
      <c r="B60819"/>
      <c r="C60819"/>
      <c r="E60819"/>
      <c r="F60819"/>
    </row>
    <row r="60820" spans="1:6" x14ac:dyDescent="0.25">
      <c r="A60820"/>
      <c r="B60820"/>
      <c r="C60820"/>
      <c r="E60820"/>
      <c r="F60820"/>
    </row>
    <row r="60821" spans="1:6" x14ac:dyDescent="0.25">
      <c r="A60821"/>
      <c r="B60821"/>
      <c r="C60821"/>
      <c r="E60821"/>
      <c r="F60821"/>
    </row>
    <row r="60822" spans="1:6" x14ac:dyDescent="0.25">
      <c r="A60822"/>
      <c r="B60822"/>
      <c r="C60822"/>
      <c r="E60822"/>
      <c r="F60822"/>
    </row>
    <row r="60823" spans="1:6" x14ac:dyDescent="0.25">
      <c r="A60823"/>
      <c r="B60823"/>
      <c r="C60823"/>
      <c r="E60823"/>
      <c r="F60823"/>
    </row>
    <row r="60824" spans="1:6" x14ac:dyDescent="0.25">
      <c r="A60824"/>
      <c r="B60824"/>
      <c r="C60824"/>
      <c r="E60824"/>
      <c r="F60824"/>
    </row>
    <row r="60825" spans="1:6" x14ac:dyDescent="0.25">
      <c r="A60825"/>
      <c r="B60825"/>
      <c r="C60825"/>
      <c r="E60825"/>
      <c r="F60825"/>
    </row>
    <row r="60826" spans="1:6" x14ac:dyDescent="0.25">
      <c r="A60826"/>
      <c r="B60826"/>
      <c r="C60826"/>
      <c r="E60826"/>
      <c r="F60826"/>
    </row>
    <row r="60827" spans="1:6" x14ac:dyDescent="0.25">
      <c r="A60827"/>
      <c r="B60827"/>
      <c r="C60827"/>
      <c r="E60827"/>
      <c r="F60827"/>
    </row>
    <row r="60828" spans="1:6" x14ac:dyDescent="0.25">
      <c r="A60828"/>
      <c r="B60828"/>
      <c r="C60828"/>
      <c r="E60828"/>
      <c r="F60828"/>
    </row>
    <row r="60829" spans="1:6" x14ac:dyDescent="0.25">
      <c r="A60829"/>
      <c r="B60829"/>
      <c r="C60829"/>
      <c r="E60829"/>
      <c r="F60829"/>
    </row>
    <row r="60830" spans="1:6" x14ac:dyDescent="0.25">
      <c r="A60830"/>
      <c r="B60830"/>
      <c r="C60830"/>
      <c r="E60830"/>
      <c r="F60830"/>
    </row>
    <row r="60831" spans="1:6" x14ac:dyDescent="0.25">
      <c r="A60831"/>
      <c r="B60831"/>
      <c r="C60831"/>
      <c r="E60831"/>
      <c r="F60831"/>
    </row>
    <row r="60832" spans="1:6" x14ac:dyDescent="0.25">
      <c r="A60832"/>
      <c r="B60832"/>
      <c r="C60832"/>
      <c r="E60832"/>
      <c r="F60832"/>
    </row>
    <row r="60833" spans="1:6" x14ac:dyDescent="0.25">
      <c r="A60833"/>
      <c r="B60833"/>
      <c r="C60833"/>
      <c r="E60833"/>
      <c r="F60833"/>
    </row>
    <row r="60834" spans="1:6" x14ac:dyDescent="0.25">
      <c r="A60834"/>
      <c r="B60834"/>
      <c r="C60834"/>
      <c r="E60834"/>
      <c r="F60834"/>
    </row>
    <row r="60835" spans="1:6" x14ac:dyDescent="0.25">
      <c r="A60835"/>
      <c r="B60835"/>
      <c r="C60835"/>
      <c r="E60835"/>
      <c r="F60835"/>
    </row>
    <row r="60836" spans="1:6" x14ac:dyDescent="0.25">
      <c r="A60836"/>
      <c r="B60836"/>
      <c r="C60836"/>
      <c r="E60836"/>
      <c r="F60836"/>
    </row>
    <row r="60837" spans="1:6" x14ac:dyDescent="0.25">
      <c r="A60837"/>
      <c r="B60837"/>
      <c r="C60837"/>
      <c r="E60837"/>
      <c r="F60837"/>
    </row>
    <row r="60838" spans="1:6" x14ac:dyDescent="0.25">
      <c r="A60838"/>
      <c r="B60838"/>
      <c r="C60838"/>
      <c r="E60838"/>
      <c r="F60838"/>
    </row>
    <row r="60839" spans="1:6" x14ac:dyDescent="0.25">
      <c r="A60839"/>
      <c r="B60839"/>
      <c r="C60839"/>
      <c r="E60839"/>
      <c r="F60839"/>
    </row>
    <row r="60840" spans="1:6" x14ac:dyDescent="0.25">
      <c r="A60840"/>
      <c r="B60840"/>
      <c r="C60840"/>
      <c r="E60840"/>
      <c r="F60840"/>
    </row>
    <row r="60841" spans="1:6" x14ac:dyDescent="0.25">
      <c r="A60841"/>
      <c r="B60841"/>
      <c r="C60841"/>
      <c r="E60841"/>
      <c r="F60841"/>
    </row>
    <row r="60842" spans="1:6" x14ac:dyDescent="0.25">
      <c r="A60842"/>
      <c r="B60842"/>
      <c r="C60842"/>
      <c r="E60842"/>
      <c r="F60842"/>
    </row>
    <row r="60843" spans="1:6" x14ac:dyDescent="0.25">
      <c r="A60843"/>
      <c r="B60843"/>
      <c r="C60843"/>
      <c r="E60843"/>
      <c r="F60843"/>
    </row>
    <row r="60844" spans="1:6" x14ac:dyDescent="0.25">
      <c r="A60844"/>
      <c r="B60844"/>
      <c r="C60844"/>
      <c r="E60844"/>
      <c r="F60844"/>
    </row>
    <row r="60845" spans="1:6" x14ac:dyDescent="0.25">
      <c r="A60845"/>
      <c r="B60845"/>
      <c r="C60845"/>
      <c r="E60845"/>
      <c r="F60845"/>
    </row>
    <row r="60846" spans="1:6" x14ac:dyDescent="0.25">
      <c r="A60846"/>
      <c r="B60846"/>
      <c r="C60846"/>
      <c r="E60846"/>
      <c r="F60846"/>
    </row>
    <row r="60847" spans="1:6" x14ac:dyDescent="0.25">
      <c r="A60847"/>
      <c r="B60847"/>
      <c r="C60847"/>
      <c r="E60847"/>
      <c r="F60847"/>
    </row>
    <row r="60848" spans="1:6" x14ac:dyDescent="0.25">
      <c r="A60848"/>
      <c r="B60848"/>
      <c r="C60848"/>
      <c r="E60848"/>
      <c r="F60848"/>
    </row>
    <row r="60849" spans="1:6" x14ac:dyDescent="0.25">
      <c r="A60849"/>
      <c r="B60849"/>
      <c r="C60849"/>
      <c r="E60849"/>
      <c r="F60849"/>
    </row>
    <row r="60850" spans="1:6" x14ac:dyDescent="0.25">
      <c r="A60850"/>
      <c r="B60850"/>
      <c r="C60850"/>
      <c r="E60850"/>
      <c r="F60850"/>
    </row>
    <row r="60851" spans="1:6" x14ac:dyDescent="0.25">
      <c r="A60851"/>
      <c r="B60851"/>
      <c r="C60851"/>
      <c r="E60851"/>
      <c r="F60851"/>
    </row>
    <row r="60852" spans="1:6" x14ac:dyDescent="0.25">
      <c r="A60852"/>
      <c r="B60852"/>
      <c r="C60852"/>
      <c r="E60852"/>
      <c r="F60852"/>
    </row>
    <row r="60853" spans="1:6" x14ac:dyDescent="0.25">
      <c r="A60853"/>
      <c r="B60853"/>
      <c r="C60853"/>
      <c r="E60853"/>
      <c r="F60853"/>
    </row>
    <row r="60854" spans="1:6" x14ac:dyDescent="0.25">
      <c r="A60854"/>
      <c r="B60854"/>
      <c r="C60854"/>
      <c r="E60854"/>
      <c r="F60854"/>
    </row>
    <row r="60855" spans="1:6" x14ac:dyDescent="0.25">
      <c r="A60855"/>
      <c r="B60855"/>
      <c r="C60855"/>
      <c r="E60855"/>
      <c r="F60855"/>
    </row>
    <row r="60856" spans="1:6" x14ac:dyDescent="0.25">
      <c r="A60856"/>
      <c r="B60856"/>
      <c r="C60856"/>
      <c r="E60856"/>
      <c r="F60856"/>
    </row>
    <row r="60857" spans="1:6" x14ac:dyDescent="0.25">
      <c r="A60857"/>
      <c r="B60857"/>
      <c r="C60857"/>
      <c r="E60857"/>
      <c r="F60857"/>
    </row>
    <row r="60858" spans="1:6" x14ac:dyDescent="0.25">
      <c r="A60858"/>
      <c r="B60858"/>
      <c r="C60858"/>
      <c r="E60858"/>
      <c r="F60858"/>
    </row>
    <row r="60859" spans="1:6" x14ac:dyDescent="0.25">
      <c r="A60859"/>
      <c r="B60859"/>
      <c r="C60859"/>
      <c r="E60859"/>
      <c r="F60859"/>
    </row>
    <row r="60860" spans="1:6" x14ac:dyDescent="0.25">
      <c r="A60860"/>
      <c r="B60860"/>
      <c r="C60860"/>
      <c r="E60860"/>
      <c r="F60860"/>
    </row>
    <row r="60861" spans="1:6" x14ac:dyDescent="0.25">
      <c r="A60861"/>
      <c r="B60861"/>
      <c r="C60861"/>
      <c r="E60861"/>
      <c r="F60861"/>
    </row>
    <row r="60862" spans="1:6" x14ac:dyDescent="0.25">
      <c r="A60862"/>
      <c r="B60862"/>
      <c r="C60862"/>
      <c r="E60862"/>
      <c r="F60862"/>
    </row>
    <row r="60863" spans="1:6" x14ac:dyDescent="0.25">
      <c r="A60863"/>
      <c r="B60863"/>
      <c r="C60863"/>
      <c r="E60863"/>
      <c r="F60863"/>
    </row>
    <row r="60864" spans="1:6" x14ac:dyDescent="0.25">
      <c r="A60864"/>
      <c r="B60864"/>
      <c r="C60864"/>
      <c r="E60864"/>
      <c r="F60864"/>
    </row>
    <row r="60865" spans="1:6" x14ac:dyDescent="0.25">
      <c r="A60865"/>
      <c r="B60865"/>
      <c r="C60865"/>
      <c r="E60865"/>
      <c r="F60865"/>
    </row>
    <row r="60866" spans="1:6" x14ac:dyDescent="0.25">
      <c r="A60866"/>
      <c r="B60866"/>
      <c r="C60866"/>
      <c r="E60866"/>
      <c r="F60866"/>
    </row>
    <row r="60867" spans="1:6" x14ac:dyDescent="0.25">
      <c r="A60867"/>
      <c r="B60867"/>
      <c r="C60867"/>
      <c r="E60867"/>
      <c r="F60867"/>
    </row>
    <row r="60868" spans="1:6" x14ac:dyDescent="0.25">
      <c r="A60868"/>
      <c r="B60868"/>
      <c r="C60868"/>
      <c r="E60868"/>
      <c r="F60868"/>
    </row>
    <row r="60869" spans="1:6" x14ac:dyDescent="0.25">
      <c r="A60869"/>
      <c r="B60869"/>
      <c r="C60869"/>
      <c r="E60869"/>
      <c r="F60869"/>
    </row>
    <row r="60870" spans="1:6" x14ac:dyDescent="0.25">
      <c r="A60870"/>
      <c r="B60870"/>
      <c r="C60870"/>
      <c r="E60870"/>
      <c r="F60870"/>
    </row>
    <row r="60871" spans="1:6" x14ac:dyDescent="0.25">
      <c r="A60871"/>
      <c r="B60871"/>
      <c r="C60871"/>
      <c r="E60871"/>
      <c r="F60871"/>
    </row>
    <row r="60872" spans="1:6" x14ac:dyDescent="0.25">
      <c r="A60872"/>
      <c r="B60872"/>
      <c r="C60872"/>
      <c r="E60872"/>
      <c r="F60872"/>
    </row>
    <row r="60873" spans="1:6" x14ac:dyDescent="0.25">
      <c r="A60873"/>
      <c r="B60873"/>
      <c r="C60873"/>
      <c r="E60873"/>
      <c r="F60873"/>
    </row>
    <row r="60874" spans="1:6" x14ac:dyDescent="0.25">
      <c r="A60874"/>
      <c r="B60874"/>
      <c r="C60874"/>
      <c r="E60874"/>
      <c r="F60874"/>
    </row>
    <row r="60875" spans="1:6" x14ac:dyDescent="0.25">
      <c r="A60875"/>
      <c r="B60875"/>
      <c r="C60875"/>
      <c r="E60875"/>
      <c r="F60875"/>
    </row>
    <row r="60876" spans="1:6" x14ac:dyDescent="0.25">
      <c r="A60876"/>
      <c r="B60876"/>
      <c r="C60876"/>
      <c r="E60876"/>
      <c r="F60876"/>
    </row>
    <row r="60877" spans="1:6" x14ac:dyDescent="0.25">
      <c r="A60877"/>
      <c r="B60877"/>
      <c r="C60877"/>
      <c r="E60877"/>
      <c r="F60877"/>
    </row>
    <row r="60878" spans="1:6" x14ac:dyDescent="0.25">
      <c r="A60878"/>
      <c r="B60878"/>
      <c r="C60878"/>
      <c r="E60878"/>
      <c r="F60878"/>
    </row>
    <row r="60879" spans="1:6" x14ac:dyDescent="0.25">
      <c r="A60879"/>
      <c r="B60879"/>
      <c r="C60879"/>
      <c r="E60879"/>
      <c r="F60879"/>
    </row>
    <row r="60880" spans="1:6" x14ac:dyDescent="0.25">
      <c r="A60880"/>
      <c r="B60880"/>
      <c r="C60880"/>
      <c r="E60880"/>
      <c r="F60880"/>
    </row>
    <row r="60881" spans="1:6" x14ac:dyDescent="0.25">
      <c r="A60881"/>
      <c r="B60881"/>
      <c r="C60881"/>
      <c r="E60881"/>
      <c r="F60881"/>
    </row>
    <row r="60882" spans="1:6" x14ac:dyDescent="0.25">
      <c r="A60882"/>
      <c r="B60882"/>
      <c r="C60882"/>
      <c r="E60882"/>
      <c r="F60882"/>
    </row>
    <row r="60883" spans="1:6" x14ac:dyDescent="0.25">
      <c r="A60883"/>
      <c r="B60883"/>
      <c r="C60883"/>
      <c r="E60883"/>
      <c r="F60883"/>
    </row>
    <row r="60884" spans="1:6" x14ac:dyDescent="0.25">
      <c r="A60884"/>
      <c r="B60884"/>
      <c r="C60884"/>
      <c r="E60884"/>
      <c r="F60884"/>
    </row>
    <row r="60885" spans="1:6" x14ac:dyDescent="0.25">
      <c r="A60885"/>
      <c r="B60885"/>
      <c r="C60885"/>
      <c r="E60885"/>
      <c r="F60885"/>
    </row>
    <row r="60886" spans="1:6" x14ac:dyDescent="0.25">
      <c r="A60886"/>
      <c r="B60886"/>
      <c r="C60886"/>
      <c r="E60886"/>
      <c r="F60886"/>
    </row>
    <row r="60887" spans="1:6" x14ac:dyDescent="0.25">
      <c r="A60887"/>
      <c r="B60887"/>
      <c r="C60887"/>
      <c r="E60887"/>
      <c r="F60887"/>
    </row>
    <row r="60888" spans="1:6" x14ac:dyDescent="0.25">
      <c r="A60888"/>
      <c r="B60888"/>
      <c r="C60888"/>
      <c r="E60888"/>
      <c r="F60888"/>
    </row>
    <row r="60889" spans="1:6" x14ac:dyDescent="0.25">
      <c r="A60889"/>
      <c r="B60889"/>
      <c r="C60889"/>
      <c r="E60889"/>
      <c r="F60889"/>
    </row>
    <row r="60890" spans="1:6" x14ac:dyDescent="0.25">
      <c r="A60890"/>
      <c r="B60890"/>
      <c r="C60890"/>
      <c r="E60890"/>
      <c r="F60890"/>
    </row>
    <row r="60891" spans="1:6" x14ac:dyDescent="0.25">
      <c r="A60891"/>
      <c r="B60891"/>
      <c r="C60891"/>
      <c r="E60891"/>
      <c r="F60891"/>
    </row>
    <row r="60892" spans="1:6" x14ac:dyDescent="0.25">
      <c r="A60892"/>
      <c r="B60892"/>
      <c r="C60892"/>
      <c r="E60892"/>
      <c r="F60892"/>
    </row>
    <row r="60893" spans="1:6" x14ac:dyDescent="0.25">
      <c r="A60893"/>
      <c r="B60893"/>
      <c r="C60893"/>
      <c r="E60893"/>
      <c r="F60893"/>
    </row>
    <row r="60894" spans="1:6" x14ac:dyDescent="0.25">
      <c r="A60894"/>
      <c r="B60894"/>
      <c r="C60894"/>
      <c r="E60894"/>
      <c r="F60894"/>
    </row>
    <row r="60895" spans="1:6" x14ac:dyDescent="0.25">
      <c r="A60895"/>
      <c r="B60895"/>
      <c r="C60895"/>
      <c r="E60895"/>
      <c r="F60895"/>
    </row>
    <row r="60896" spans="1:6" x14ac:dyDescent="0.25">
      <c r="A60896"/>
      <c r="B60896"/>
      <c r="C60896"/>
      <c r="E60896"/>
      <c r="F60896"/>
    </row>
    <row r="60897" spans="1:6" x14ac:dyDescent="0.25">
      <c r="A60897"/>
      <c r="B60897"/>
      <c r="C60897"/>
      <c r="E60897"/>
      <c r="F60897"/>
    </row>
    <row r="60898" spans="1:6" x14ac:dyDescent="0.25">
      <c r="A60898"/>
      <c r="B60898"/>
      <c r="C60898"/>
      <c r="E60898"/>
      <c r="F60898"/>
    </row>
    <row r="60899" spans="1:6" x14ac:dyDescent="0.25">
      <c r="A60899"/>
      <c r="B60899"/>
      <c r="C60899"/>
      <c r="E60899"/>
      <c r="F60899"/>
    </row>
    <row r="60900" spans="1:6" x14ac:dyDescent="0.25">
      <c r="A60900"/>
      <c r="B60900"/>
      <c r="C60900"/>
      <c r="E60900"/>
      <c r="F60900"/>
    </row>
    <row r="60901" spans="1:6" x14ac:dyDescent="0.25">
      <c r="A60901"/>
      <c r="B60901"/>
      <c r="C60901"/>
      <c r="E60901"/>
      <c r="F60901"/>
    </row>
    <row r="60902" spans="1:6" x14ac:dyDescent="0.25">
      <c r="A60902"/>
      <c r="B60902"/>
      <c r="C60902"/>
      <c r="E60902"/>
      <c r="F60902"/>
    </row>
    <row r="60903" spans="1:6" x14ac:dyDescent="0.25">
      <c r="A60903"/>
      <c r="B60903"/>
      <c r="C60903"/>
      <c r="E60903"/>
      <c r="F60903"/>
    </row>
    <row r="60904" spans="1:6" x14ac:dyDescent="0.25">
      <c r="A60904"/>
      <c r="B60904"/>
      <c r="C60904"/>
      <c r="E60904"/>
      <c r="F60904"/>
    </row>
    <row r="60905" spans="1:6" x14ac:dyDescent="0.25">
      <c r="A60905"/>
      <c r="B60905"/>
      <c r="C60905"/>
      <c r="E60905"/>
      <c r="F60905"/>
    </row>
    <row r="60906" spans="1:6" x14ac:dyDescent="0.25">
      <c r="A60906"/>
      <c r="B60906"/>
      <c r="C60906"/>
      <c r="E60906"/>
      <c r="F60906"/>
    </row>
    <row r="60907" spans="1:6" x14ac:dyDescent="0.25">
      <c r="A60907"/>
      <c r="B60907"/>
      <c r="C60907"/>
      <c r="E60907"/>
      <c r="F60907"/>
    </row>
    <row r="60908" spans="1:6" x14ac:dyDescent="0.25">
      <c r="A60908"/>
      <c r="B60908"/>
      <c r="C60908"/>
      <c r="E60908"/>
      <c r="F60908"/>
    </row>
    <row r="60909" spans="1:6" x14ac:dyDescent="0.25">
      <c r="A60909"/>
      <c r="B60909"/>
      <c r="C60909"/>
      <c r="E60909"/>
      <c r="F60909"/>
    </row>
    <row r="60910" spans="1:6" x14ac:dyDescent="0.25">
      <c r="A60910"/>
      <c r="B60910"/>
      <c r="C60910"/>
      <c r="E60910"/>
      <c r="F60910"/>
    </row>
    <row r="60911" spans="1:6" x14ac:dyDescent="0.25">
      <c r="A60911"/>
      <c r="B60911"/>
      <c r="C60911"/>
      <c r="E60911"/>
      <c r="F60911"/>
    </row>
    <row r="60912" spans="1:6" x14ac:dyDescent="0.25">
      <c r="A60912"/>
      <c r="B60912"/>
      <c r="C60912"/>
      <c r="E60912"/>
      <c r="F60912"/>
    </row>
    <row r="60913" spans="1:6" x14ac:dyDescent="0.25">
      <c r="A60913"/>
      <c r="B60913"/>
      <c r="C60913"/>
      <c r="E60913"/>
      <c r="F60913"/>
    </row>
    <row r="60914" spans="1:6" x14ac:dyDescent="0.25">
      <c r="A60914"/>
      <c r="B60914"/>
      <c r="C60914"/>
      <c r="E60914"/>
      <c r="F60914"/>
    </row>
    <row r="60915" spans="1:6" x14ac:dyDescent="0.25">
      <c r="A60915"/>
      <c r="B60915"/>
      <c r="C60915"/>
      <c r="E60915"/>
      <c r="F60915"/>
    </row>
    <row r="60916" spans="1:6" x14ac:dyDescent="0.25">
      <c r="A60916"/>
      <c r="B60916"/>
      <c r="C60916"/>
      <c r="E60916"/>
      <c r="F60916"/>
    </row>
    <row r="60917" spans="1:6" x14ac:dyDescent="0.25">
      <c r="A60917"/>
      <c r="B60917"/>
      <c r="C60917"/>
      <c r="E60917"/>
      <c r="F60917"/>
    </row>
    <row r="60918" spans="1:6" x14ac:dyDescent="0.25">
      <c r="A60918"/>
      <c r="B60918"/>
      <c r="C60918"/>
      <c r="E60918"/>
      <c r="F60918"/>
    </row>
    <row r="60919" spans="1:6" x14ac:dyDescent="0.25">
      <c r="A60919"/>
      <c r="B60919"/>
      <c r="C60919"/>
      <c r="E60919"/>
      <c r="F60919"/>
    </row>
    <row r="60920" spans="1:6" x14ac:dyDescent="0.25">
      <c r="A60920"/>
      <c r="B60920"/>
      <c r="C60920"/>
      <c r="E60920"/>
      <c r="F60920"/>
    </row>
    <row r="60921" spans="1:6" x14ac:dyDescent="0.25">
      <c r="A60921"/>
      <c r="B60921"/>
      <c r="C60921"/>
      <c r="E60921"/>
      <c r="F60921"/>
    </row>
    <row r="60922" spans="1:6" x14ac:dyDescent="0.25">
      <c r="A60922"/>
      <c r="B60922"/>
      <c r="C60922"/>
      <c r="E60922"/>
      <c r="F60922"/>
    </row>
    <row r="60923" spans="1:6" x14ac:dyDescent="0.25">
      <c r="A60923"/>
      <c r="B60923"/>
      <c r="C60923"/>
      <c r="E60923"/>
      <c r="F60923"/>
    </row>
    <row r="60924" spans="1:6" x14ac:dyDescent="0.25">
      <c r="A60924"/>
      <c r="B60924"/>
      <c r="C60924"/>
      <c r="E60924"/>
      <c r="F60924"/>
    </row>
    <row r="60925" spans="1:6" x14ac:dyDescent="0.25">
      <c r="A60925"/>
      <c r="B60925"/>
      <c r="C60925"/>
      <c r="E60925"/>
      <c r="F60925"/>
    </row>
    <row r="60926" spans="1:6" x14ac:dyDescent="0.25">
      <c r="A60926"/>
      <c r="B60926"/>
      <c r="C60926"/>
      <c r="E60926"/>
      <c r="F60926"/>
    </row>
    <row r="60927" spans="1:6" x14ac:dyDescent="0.25">
      <c r="A60927"/>
      <c r="B60927"/>
      <c r="C60927"/>
      <c r="E60927"/>
      <c r="F60927"/>
    </row>
    <row r="60928" spans="1:6" x14ac:dyDescent="0.25">
      <c r="A60928"/>
      <c r="B60928"/>
      <c r="C60928"/>
      <c r="E60928"/>
      <c r="F60928"/>
    </row>
    <row r="60929" spans="1:6" x14ac:dyDescent="0.25">
      <c r="A60929"/>
      <c r="B60929"/>
      <c r="C60929"/>
      <c r="E60929"/>
      <c r="F60929"/>
    </row>
    <row r="60930" spans="1:6" x14ac:dyDescent="0.25">
      <c r="A60930"/>
      <c r="B60930"/>
      <c r="C60930"/>
      <c r="E60930"/>
      <c r="F60930"/>
    </row>
    <row r="60931" spans="1:6" x14ac:dyDescent="0.25">
      <c r="A60931"/>
      <c r="B60931"/>
      <c r="C60931"/>
      <c r="E60931"/>
      <c r="F60931"/>
    </row>
    <row r="60932" spans="1:6" x14ac:dyDescent="0.25">
      <c r="A60932"/>
      <c r="B60932"/>
      <c r="C60932"/>
      <c r="E60932"/>
      <c r="F60932"/>
    </row>
    <row r="60933" spans="1:6" x14ac:dyDescent="0.25">
      <c r="A60933"/>
      <c r="B60933"/>
      <c r="C60933"/>
      <c r="E60933"/>
      <c r="F60933"/>
    </row>
    <row r="60934" spans="1:6" x14ac:dyDescent="0.25">
      <c r="A60934"/>
      <c r="B60934"/>
      <c r="C60934"/>
      <c r="E60934"/>
      <c r="F60934"/>
    </row>
    <row r="60935" spans="1:6" x14ac:dyDescent="0.25">
      <c r="A60935"/>
      <c r="B60935"/>
      <c r="C60935"/>
      <c r="E60935"/>
      <c r="F60935"/>
    </row>
    <row r="60936" spans="1:6" x14ac:dyDescent="0.25">
      <c r="A60936"/>
      <c r="B60936"/>
      <c r="C60936"/>
      <c r="E60936"/>
      <c r="F60936"/>
    </row>
    <row r="60937" spans="1:6" x14ac:dyDescent="0.25">
      <c r="A60937"/>
      <c r="B60937"/>
      <c r="C60937"/>
      <c r="E60937"/>
      <c r="F60937"/>
    </row>
    <row r="60938" spans="1:6" x14ac:dyDescent="0.25">
      <c r="A60938"/>
      <c r="B60938"/>
      <c r="C60938"/>
      <c r="E60938"/>
      <c r="F60938"/>
    </row>
    <row r="60939" spans="1:6" x14ac:dyDescent="0.25">
      <c r="A60939"/>
      <c r="B60939"/>
      <c r="C60939"/>
      <c r="E60939"/>
      <c r="F60939"/>
    </row>
    <row r="60940" spans="1:6" x14ac:dyDescent="0.25">
      <c r="A60940"/>
      <c r="B60940"/>
      <c r="C60940"/>
      <c r="E60940"/>
      <c r="F60940"/>
    </row>
    <row r="60941" spans="1:6" x14ac:dyDescent="0.25">
      <c r="A60941"/>
      <c r="B60941"/>
      <c r="C60941"/>
      <c r="E60941"/>
      <c r="F60941"/>
    </row>
    <row r="60942" spans="1:6" x14ac:dyDescent="0.25">
      <c r="A60942"/>
      <c r="B60942"/>
      <c r="C60942"/>
      <c r="E60942"/>
      <c r="F60942"/>
    </row>
    <row r="60943" spans="1:6" x14ac:dyDescent="0.25">
      <c r="A60943"/>
      <c r="B60943"/>
      <c r="C60943"/>
      <c r="E60943"/>
      <c r="F60943"/>
    </row>
    <row r="60944" spans="1:6" x14ac:dyDescent="0.25">
      <c r="A60944"/>
      <c r="B60944"/>
      <c r="C60944"/>
      <c r="E60944"/>
      <c r="F60944"/>
    </row>
    <row r="60945" spans="1:6" x14ac:dyDescent="0.25">
      <c r="A60945"/>
      <c r="B60945"/>
      <c r="C60945"/>
      <c r="E60945"/>
      <c r="F60945"/>
    </row>
    <row r="60946" spans="1:6" x14ac:dyDescent="0.25">
      <c r="A60946"/>
      <c r="B60946"/>
      <c r="C60946"/>
      <c r="E60946"/>
      <c r="F60946"/>
    </row>
    <row r="60947" spans="1:6" x14ac:dyDescent="0.25">
      <c r="A60947"/>
      <c r="B60947"/>
      <c r="C60947"/>
      <c r="E60947"/>
      <c r="F60947"/>
    </row>
    <row r="60948" spans="1:6" x14ac:dyDescent="0.25">
      <c r="A60948"/>
      <c r="B60948"/>
      <c r="C60948"/>
      <c r="E60948"/>
      <c r="F60948"/>
    </row>
    <row r="60949" spans="1:6" x14ac:dyDescent="0.25">
      <c r="A60949"/>
      <c r="B60949"/>
      <c r="C60949"/>
      <c r="E60949"/>
      <c r="F60949"/>
    </row>
    <row r="60950" spans="1:6" x14ac:dyDescent="0.25">
      <c r="A60950"/>
      <c r="B60950"/>
      <c r="C60950"/>
      <c r="E60950"/>
      <c r="F60950"/>
    </row>
    <row r="60951" spans="1:6" x14ac:dyDescent="0.25">
      <c r="A60951"/>
      <c r="B60951"/>
      <c r="C60951"/>
      <c r="E60951"/>
      <c r="F60951"/>
    </row>
    <row r="60952" spans="1:6" x14ac:dyDescent="0.25">
      <c r="A60952"/>
      <c r="B60952"/>
      <c r="C60952"/>
      <c r="E60952"/>
      <c r="F60952"/>
    </row>
    <row r="60953" spans="1:6" x14ac:dyDescent="0.25">
      <c r="A60953"/>
      <c r="B60953"/>
      <c r="C60953"/>
      <c r="E60953"/>
      <c r="F60953"/>
    </row>
    <row r="60954" spans="1:6" x14ac:dyDescent="0.25">
      <c r="A60954"/>
      <c r="B60954"/>
      <c r="C60954"/>
      <c r="E60954"/>
      <c r="F60954"/>
    </row>
    <row r="60955" spans="1:6" x14ac:dyDescent="0.25">
      <c r="A60955"/>
      <c r="B60955"/>
      <c r="C60955"/>
      <c r="E60955"/>
      <c r="F60955"/>
    </row>
    <row r="60956" spans="1:6" x14ac:dyDescent="0.25">
      <c r="A60956"/>
      <c r="B60956"/>
      <c r="C60956"/>
      <c r="E60956"/>
      <c r="F60956"/>
    </row>
    <row r="60957" spans="1:6" x14ac:dyDescent="0.25">
      <c r="A60957"/>
      <c r="B60957"/>
      <c r="C60957"/>
      <c r="E60957"/>
      <c r="F60957"/>
    </row>
    <row r="60958" spans="1:6" x14ac:dyDescent="0.25">
      <c r="A60958"/>
      <c r="B60958"/>
      <c r="C60958"/>
      <c r="E60958"/>
      <c r="F60958"/>
    </row>
    <row r="60959" spans="1:6" x14ac:dyDescent="0.25">
      <c r="A60959"/>
      <c r="B60959"/>
      <c r="C60959"/>
      <c r="E60959"/>
      <c r="F60959"/>
    </row>
    <row r="60960" spans="1:6" x14ac:dyDescent="0.25">
      <c r="A60960"/>
      <c r="B60960"/>
      <c r="C60960"/>
      <c r="E60960"/>
      <c r="F60960"/>
    </row>
    <row r="60961" spans="1:6" x14ac:dyDescent="0.25">
      <c r="A60961"/>
      <c r="B60961"/>
      <c r="C60961"/>
      <c r="E60961"/>
      <c r="F60961"/>
    </row>
    <row r="60962" spans="1:6" x14ac:dyDescent="0.25">
      <c r="A60962"/>
      <c r="B60962"/>
      <c r="C60962"/>
      <c r="E60962"/>
      <c r="F60962"/>
    </row>
    <row r="60963" spans="1:6" x14ac:dyDescent="0.25">
      <c r="A60963"/>
      <c r="B60963"/>
      <c r="C60963"/>
      <c r="E60963"/>
      <c r="F60963"/>
    </row>
    <row r="60964" spans="1:6" x14ac:dyDescent="0.25">
      <c r="A60964"/>
      <c r="B60964"/>
      <c r="C60964"/>
      <c r="E60964"/>
      <c r="F60964"/>
    </row>
    <row r="60965" spans="1:6" x14ac:dyDescent="0.25">
      <c r="A60965"/>
      <c r="B60965"/>
      <c r="C60965"/>
      <c r="E60965"/>
      <c r="F60965"/>
    </row>
    <row r="60966" spans="1:6" x14ac:dyDescent="0.25">
      <c r="A60966"/>
      <c r="B60966"/>
      <c r="C60966"/>
      <c r="E60966"/>
      <c r="F60966"/>
    </row>
    <row r="60967" spans="1:6" x14ac:dyDescent="0.25">
      <c r="A60967"/>
      <c r="B60967"/>
      <c r="C60967"/>
      <c r="E60967"/>
      <c r="F60967"/>
    </row>
    <row r="60968" spans="1:6" x14ac:dyDescent="0.25">
      <c r="A60968"/>
      <c r="B60968"/>
      <c r="C60968"/>
      <c r="E60968"/>
      <c r="F60968"/>
    </row>
    <row r="60969" spans="1:6" x14ac:dyDescent="0.25">
      <c r="A60969"/>
      <c r="B60969"/>
      <c r="C60969"/>
      <c r="E60969"/>
      <c r="F60969"/>
    </row>
    <row r="60970" spans="1:6" x14ac:dyDescent="0.25">
      <c r="A60970"/>
      <c r="B60970"/>
      <c r="C60970"/>
      <c r="E60970"/>
      <c r="F60970"/>
    </row>
    <row r="60971" spans="1:6" x14ac:dyDescent="0.25">
      <c r="A60971"/>
      <c r="B60971"/>
      <c r="C60971"/>
      <c r="E60971"/>
      <c r="F60971"/>
    </row>
    <row r="60972" spans="1:6" x14ac:dyDescent="0.25">
      <c r="A60972"/>
      <c r="B60972"/>
      <c r="C60972"/>
      <c r="E60972"/>
      <c r="F60972"/>
    </row>
    <row r="60973" spans="1:6" x14ac:dyDescent="0.25">
      <c r="A60973"/>
      <c r="B60973"/>
      <c r="C60973"/>
      <c r="E60973"/>
      <c r="F60973"/>
    </row>
    <row r="60974" spans="1:6" x14ac:dyDescent="0.25">
      <c r="A60974"/>
      <c r="B60974"/>
      <c r="C60974"/>
      <c r="E60974"/>
      <c r="F60974"/>
    </row>
    <row r="60975" spans="1:6" x14ac:dyDescent="0.25">
      <c r="A60975"/>
      <c r="B60975"/>
      <c r="C60975"/>
      <c r="E60975"/>
      <c r="F60975"/>
    </row>
    <row r="60976" spans="1:6" x14ac:dyDescent="0.25">
      <c r="A60976"/>
      <c r="B60976"/>
      <c r="C60976"/>
      <c r="E60976"/>
      <c r="F60976"/>
    </row>
    <row r="60977" spans="1:6" x14ac:dyDescent="0.25">
      <c r="A60977"/>
      <c r="B60977"/>
      <c r="C60977"/>
      <c r="E60977"/>
      <c r="F60977"/>
    </row>
    <row r="60978" spans="1:6" x14ac:dyDescent="0.25">
      <c r="A60978"/>
      <c r="B60978"/>
      <c r="C60978"/>
      <c r="E60978"/>
      <c r="F60978"/>
    </row>
    <row r="60979" spans="1:6" x14ac:dyDescent="0.25">
      <c r="A60979"/>
      <c r="B60979"/>
      <c r="C60979"/>
      <c r="E60979"/>
      <c r="F60979"/>
    </row>
    <row r="60980" spans="1:6" x14ac:dyDescent="0.25">
      <c r="A60980"/>
      <c r="B60980"/>
      <c r="C60980"/>
      <c r="E60980"/>
      <c r="F60980"/>
    </row>
    <row r="60981" spans="1:6" x14ac:dyDescent="0.25">
      <c r="A60981"/>
      <c r="B60981"/>
      <c r="C60981"/>
      <c r="E60981"/>
      <c r="F60981"/>
    </row>
    <row r="60982" spans="1:6" x14ac:dyDescent="0.25">
      <c r="A60982"/>
      <c r="B60982"/>
      <c r="C60982"/>
      <c r="E60982"/>
      <c r="F60982"/>
    </row>
    <row r="60983" spans="1:6" x14ac:dyDescent="0.25">
      <c r="A60983"/>
      <c r="B60983"/>
      <c r="C60983"/>
      <c r="E60983"/>
      <c r="F60983"/>
    </row>
    <row r="60984" spans="1:6" x14ac:dyDescent="0.25">
      <c r="A60984"/>
      <c r="B60984"/>
      <c r="C60984"/>
      <c r="E60984"/>
      <c r="F60984"/>
    </row>
    <row r="60985" spans="1:6" x14ac:dyDescent="0.25">
      <c r="A60985"/>
      <c r="B60985"/>
      <c r="C60985"/>
      <c r="E60985"/>
      <c r="F60985"/>
    </row>
    <row r="60986" spans="1:6" x14ac:dyDescent="0.25">
      <c r="A60986"/>
      <c r="B60986"/>
      <c r="C60986"/>
      <c r="E60986"/>
      <c r="F60986"/>
    </row>
    <row r="60987" spans="1:6" x14ac:dyDescent="0.25">
      <c r="A60987"/>
      <c r="B60987"/>
      <c r="C60987"/>
      <c r="E60987"/>
      <c r="F60987"/>
    </row>
    <row r="60988" spans="1:6" x14ac:dyDescent="0.25">
      <c r="A60988"/>
      <c r="B60988"/>
      <c r="C60988"/>
      <c r="E60988"/>
      <c r="F60988"/>
    </row>
    <row r="60989" spans="1:6" x14ac:dyDescent="0.25">
      <c r="A60989"/>
      <c r="B60989"/>
      <c r="C60989"/>
      <c r="E60989"/>
      <c r="F60989"/>
    </row>
    <row r="60990" spans="1:6" x14ac:dyDescent="0.25">
      <c r="A60990"/>
      <c r="B60990"/>
      <c r="C60990"/>
      <c r="E60990"/>
      <c r="F60990"/>
    </row>
    <row r="60991" spans="1:6" x14ac:dyDescent="0.25">
      <c r="A60991"/>
      <c r="B60991"/>
      <c r="C60991"/>
      <c r="E60991"/>
      <c r="F60991"/>
    </row>
    <row r="60992" spans="1:6" x14ac:dyDescent="0.25">
      <c r="A60992"/>
      <c r="B60992"/>
      <c r="C60992"/>
      <c r="E60992"/>
      <c r="F60992"/>
    </row>
    <row r="60993" spans="1:6" x14ac:dyDescent="0.25">
      <c r="A60993"/>
      <c r="B60993"/>
      <c r="C60993"/>
      <c r="E60993"/>
      <c r="F60993"/>
    </row>
    <row r="60994" spans="1:6" x14ac:dyDescent="0.25">
      <c r="A60994"/>
      <c r="B60994"/>
      <c r="C60994"/>
      <c r="E60994"/>
      <c r="F60994"/>
    </row>
    <row r="60995" spans="1:6" x14ac:dyDescent="0.25">
      <c r="A60995"/>
      <c r="B60995"/>
      <c r="C60995"/>
      <c r="E60995"/>
      <c r="F60995"/>
    </row>
    <row r="60996" spans="1:6" x14ac:dyDescent="0.25">
      <c r="A60996"/>
      <c r="B60996"/>
      <c r="C60996"/>
      <c r="E60996"/>
      <c r="F60996"/>
    </row>
    <row r="60997" spans="1:6" x14ac:dyDescent="0.25">
      <c r="A60997"/>
      <c r="B60997"/>
      <c r="C60997"/>
      <c r="E60997"/>
      <c r="F60997"/>
    </row>
    <row r="60998" spans="1:6" x14ac:dyDescent="0.25">
      <c r="A60998"/>
      <c r="B60998"/>
      <c r="C60998"/>
      <c r="E60998"/>
      <c r="F60998"/>
    </row>
    <row r="60999" spans="1:6" x14ac:dyDescent="0.25">
      <c r="A60999"/>
      <c r="B60999"/>
      <c r="C60999"/>
      <c r="E60999"/>
      <c r="F60999"/>
    </row>
    <row r="61000" spans="1:6" x14ac:dyDescent="0.25">
      <c r="A61000"/>
      <c r="B61000"/>
      <c r="C61000"/>
      <c r="E61000"/>
      <c r="F61000"/>
    </row>
    <row r="61001" spans="1:6" x14ac:dyDescent="0.25">
      <c r="A61001"/>
      <c r="B61001"/>
      <c r="C61001"/>
      <c r="E61001"/>
      <c r="F61001"/>
    </row>
    <row r="61002" spans="1:6" x14ac:dyDescent="0.25">
      <c r="A61002"/>
      <c r="B61002"/>
      <c r="C61002"/>
      <c r="E61002"/>
      <c r="F61002"/>
    </row>
    <row r="61003" spans="1:6" x14ac:dyDescent="0.25">
      <c r="A61003"/>
      <c r="B61003"/>
      <c r="C61003"/>
      <c r="E61003"/>
      <c r="F61003"/>
    </row>
    <row r="61004" spans="1:6" x14ac:dyDescent="0.25">
      <c r="A61004"/>
      <c r="B61004"/>
      <c r="C61004"/>
      <c r="E61004"/>
      <c r="F61004"/>
    </row>
    <row r="61005" spans="1:6" x14ac:dyDescent="0.25">
      <c r="A61005"/>
      <c r="B61005"/>
      <c r="C61005"/>
      <c r="E61005"/>
      <c r="F61005"/>
    </row>
    <row r="61006" spans="1:6" x14ac:dyDescent="0.25">
      <c r="A61006"/>
      <c r="B61006"/>
      <c r="C61006"/>
      <c r="E61006"/>
      <c r="F61006"/>
    </row>
    <row r="61007" spans="1:6" x14ac:dyDescent="0.25">
      <c r="A61007"/>
      <c r="B61007"/>
      <c r="C61007"/>
      <c r="E61007"/>
      <c r="F61007"/>
    </row>
    <row r="61008" spans="1:6" x14ac:dyDescent="0.25">
      <c r="A61008"/>
      <c r="B61008"/>
      <c r="C61008"/>
      <c r="E61008"/>
      <c r="F61008"/>
    </row>
    <row r="61009" spans="1:6" x14ac:dyDescent="0.25">
      <c r="A61009"/>
      <c r="B61009"/>
      <c r="C61009"/>
      <c r="E61009"/>
      <c r="F61009"/>
    </row>
    <row r="61010" spans="1:6" x14ac:dyDescent="0.25">
      <c r="A61010"/>
      <c r="B61010"/>
      <c r="C61010"/>
      <c r="E61010"/>
      <c r="F61010"/>
    </row>
    <row r="61011" spans="1:6" x14ac:dyDescent="0.25">
      <c r="A61011"/>
      <c r="B61011"/>
      <c r="C61011"/>
      <c r="E61011"/>
      <c r="F61011"/>
    </row>
    <row r="61012" spans="1:6" x14ac:dyDescent="0.25">
      <c r="A61012"/>
      <c r="B61012"/>
      <c r="C61012"/>
      <c r="E61012"/>
      <c r="F61012"/>
    </row>
    <row r="61013" spans="1:6" x14ac:dyDescent="0.25">
      <c r="A61013"/>
      <c r="B61013"/>
      <c r="C61013"/>
      <c r="E61013"/>
      <c r="F61013"/>
    </row>
    <row r="61014" spans="1:6" x14ac:dyDescent="0.25">
      <c r="A61014"/>
      <c r="B61014"/>
      <c r="C61014"/>
      <c r="E61014"/>
      <c r="F61014"/>
    </row>
    <row r="61015" spans="1:6" x14ac:dyDescent="0.25">
      <c r="A61015"/>
      <c r="B61015"/>
      <c r="C61015"/>
      <c r="E61015"/>
      <c r="F61015"/>
    </row>
    <row r="61016" spans="1:6" x14ac:dyDescent="0.25">
      <c r="A61016"/>
      <c r="B61016"/>
      <c r="C61016"/>
      <c r="E61016"/>
      <c r="F61016"/>
    </row>
    <row r="61017" spans="1:6" x14ac:dyDescent="0.25">
      <c r="A61017"/>
      <c r="B61017"/>
      <c r="C61017"/>
      <c r="E61017"/>
      <c r="F61017"/>
    </row>
    <row r="61018" spans="1:6" x14ac:dyDescent="0.25">
      <c r="A61018"/>
      <c r="B61018"/>
      <c r="C61018"/>
      <c r="E61018"/>
      <c r="F61018"/>
    </row>
    <row r="61019" spans="1:6" x14ac:dyDescent="0.25">
      <c r="A61019"/>
      <c r="B61019"/>
      <c r="C61019"/>
      <c r="E61019"/>
      <c r="F61019"/>
    </row>
    <row r="61020" spans="1:6" x14ac:dyDescent="0.25">
      <c r="A61020"/>
      <c r="B61020"/>
      <c r="C61020"/>
      <c r="E61020"/>
      <c r="F61020"/>
    </row>
    <row r="61021" spans="1:6" x14ac:dyDescent="0.25">
      <c r="A61021"/>
      <c r="B61021"/>
      <c r="C61021"/>
      <c r="E61021"/>
      <c r="F61021"/>
    </row>
    <row r="61022" spans="1:6" x14ac:dyDescent="0.25">
      <c r="A61022"/>
      <c r="B61022"/>
      <c r="C61022"/>
      <c r="E61022"/>
      <c r="F61022"/>
    </row>
    <row r="61023" spans="1:6" x14ac:dyDescent="0.25">
      <c r="A61023"/>
      <c r="B61023"/>
      <c r="C61023"/>
      <c r="E61023"/>
      <c r="F61023"/>
    </row>
    <row r="61024" spans="1:6" x14ac:dyDescent="0.25">
      <c r="A61024"/>
      <c r="B61024"/>
      <c r="C61024"/>
      <c r="E61024"/>
      <c r="F61024"/>
    </row>
    <row r="61025" spans="1:6" x14ac:dyDescent="0.25">
      <c r="A61025"/>
      <c r="B61025"/>
      <c r="C61025"/>
      <c r="E61025"/>
      <c r="F61025"/>
    </row>
    <row r="61026" spans="1:6" x14ac:dyDescent="0.25">
      <c r="A61026"/>
      <c r="B61026"/>
      <c r="C61026"/>
      <c r="E61026"/>
      <c r="F61026"/>
    </row>
    <row r="61027" spans="1:6" x14ac:dyDescent="0.25">
      <c r="A61027"/>
      <c r="B61027"/>
      <c r="C61027"/>
      <c r="E61027"/>
      <c r="F61027"/>
    </row>
    <row r="61028" spans="1:6" x14ac:dyDescent="0.25">
      <c r="A61028"/>
      <c r="B61028"/>
      <c r="C61028"/>
      <c r="E61028"/>
      <c r="F61028"/>
    </row>
    <row r="61029" spans="1:6" x14ac:dyDescent="0.25">
      <c r="A61029"/>
      <c r="B61029"/>
      <c r="C61029"/>
      <c r="E61029"/>
      <c r="F61029"/>
    </row>
    <row r="61030" spans="1:6" x14ac:dyDescent="0.25">
      <c r="A61030"/>
      <c r="B61030"/>
      <c r="C61030"/>
      <c r="E61030"/>
      <c r="F61030"/>
    </row>
    <row r="61031" spans="1:6" x14ac:dyDescent="0.25">
      <c r="A61031"/>
      <c r="B61031"/>
      <c r="C61031"/>
      <c r="E61031"/>
      <c r="F61031"/>
    </row>
    <row r="61032" spans="1:6" x14ac:dyDescent="0.25">
      <c r="A61032"/>
      <c r="B61032"/>
      <c r="C61032"/>
      <c r="E61032"/>
      <c r="F61032"/>
    </row>
    <row r="61033" spans="1:6" x14ac:dyDescent="0.25">
      <c r="A61033"/>
      <c r="B61033"/>
      <c r="C61033"/>
      <c r="E61033"/>
      <c r="F61033"/>
    </row>
    <row r="61034" spans="1:6" x14ac:dyDescent="0.25">
      <c r="A61034"/>
      <c r="B61034"/>
      <c r="C61034"/>
      <c r="E61034"/>
      <c r="F61034"/>
    </row>
    <row r="61035" spans="1:6" x14ac:dyDescent="0.25">
      <c r="A61035"/>
      <c r="B61035"/>
      <c r="C61035"/>
      <c r="E61035"/>
      <c r="F61035"/>
    </row>
    <row r="61036" spans="1:6" x14ac:dyDescent="0.25">
      <c r="A61036"/>
      <c r="B61036"/>
      <c r="C61036"/>
      <c r="E61036"/>
      <c r="F61036"/>
    </row>
    <row r="61037" spans="1:6" x14ac:dyDescent="0.25">
      <c r="A61037"/>
      <c r="B61037"/>
      <c r="C61037"/>
      <c r="E61037"/>
      <c r="F61037"/>
    </row>
    <row r="61038" spans="1:6" x14ac:dyDescent="0.25">
      <c r="A61038"/>
      <c r="B61038"/>
      <c r="C61038"/>
      <c r="E61038"/>
      <c r="F61038"/>
    </row>
    <row r="61039" spans="1:6" x14ac:dyDescent="0.25">
      <c r="A61039"/>
      <c r="B61039"/>
      <c r="C61039"/>
      <c r="E61039"/>
      <c r="F61039"/>
    </row>
    <row r="61040" spans="1:6" x14ac:dyDescent="0.25">
      <c r="A61040"/>
      <c r="B61040"/>
      <c r="C61040"/>
      <c r="E61040"/>
      <c r="F61040"/>
    </row>
    <row r="61041" spans="1:6" x14ac:dyDescent="0.25">
      <c r="A61041"/>
      <c r="B61041"/>
      <c r="C61041"/>
      <c r="E61041"/>
      <c r="F61041"/>
    </row>
    <row r="61042" spans="1:6" x14ac:dyDescent="0.25">
      <c r="A61042"/>
      <c r="B61042"/>
      <c r="C61042"/>
      <c r="E61042"/>
      <c r="F61042"/>
    </row>
    <row r="61043" spans="1:6" x14ac:dyDescent="0.25">
      <c r="A61043"/>
      <c r="B61043"/>
      <c r="C61043"/>
      <c r="E61043"/>
      <c r="F61043"/>
    </row>
    <row r="61044" spans="1:6" x14ac:dyDescent="0.25">
      <c r="A61044"/>
      <c r="B61044"/>
      <c r="C61044"/>
      <c r="E61044"/>
      <c r="F61044"/>
    </row>
    <row r="61045" spans="1:6" x14ac:dyDescent="0.25">
      <c r="A61045"/>
      <c r="B61045"/>
      <c r="C61045"/>
      <c r="E61045"/>
      <c r="F61045"/>
    </row>
    <row r="61046" spans="1:6" x14ac:dyDescent="0.25">
      <c r="A61046"/>
      <c r="B61046"/>
      <c r="C61046"/>
      <c r="E61046"/>
      <c r="F61046"/>
    </row>
    <row r="61047" spans="1:6" x14ac:dyDescent="0.25">
      <c r="A61047"/>
      <c r="B61047"/>
      <c r="C61047"/>
      <c r="E61047"/>
      <c r="F61047"/>
    </row>
    <row r="61048" spans="1:6" x14ac:dyDescent="0.25">
      <c r="A61048"/>
      <c r="B61048"/>
      <c r="C61048"/>
      <c r="E61048"/>
      <c r="F61048"/>
    </row>
    <row r="61049" spans="1:6" x14ac:dyDescent="0.25">
      <c r="A61049"/>
      <c r="B61049"/>
      <c r="C61049"/>
      <c r="E61049"/>
      <c r="F61049"/>
    </row>
    <row r="61050" spans="1:6" x14ac:dyDescent="0.25">
      <c r="A61050"/>
      <c r="B61050"/>
      <c r="C61050"/>
      <c r="E61050"/>
      <c r="F61050"/>
    </row>
    <row r="61051" spans="1:6" x14ac:dyDescent="0.25">
      <c r="A61051"/>
      <c r="B61051"/>
      <c r="C61051"/>
      <c r="E61051"/>
      <c r="F61051"/>
    </row>
    <row r="61052" spans="1:6" x14ac:dyDescent="0.25">
      <c r="A61052"/>
      <c r="B61052"/>
      <c r="C61052"/>
      <c r="E61052"/>
      <c r="F61052"/>
    </row>
    <row r="61053" spans="1:6" x14ac:dyDescent="0.25">
      <c r="A61053"/>
      <c r="B61053"/>
      <c r="C61053"/>
      <c r="E61053"/>
      <c r="F61053"/>
    </row>
    <row r="61054" spans="1:6" x14ac:dyDescent="0.25">
      <c r="A61054"/>
      <c r="B61054"/>
      <c r="C61054"/>
      <c r="E61054"/>
      <c r="F61054"/>
    </row>
    <row r="61055" spans="1:6" x14ac:dyDescent="0.25">
      <c r="A61055"/>
      <c r="B61055"/>
      <c r="C61055"/>
      <c r="E61055"/>
      <c r="F61055"/>
    </row>
    <row r="61056" spans="1:6" x14ac:dyDescent="0.25">
      <c r="A61056"/>
      <c r="B61056"/>
      <c r="C61056"/>
      <c r="E61056"/>
      <c r="F61056"/>
    </row>
    <row r="61057" spans="1:6" x14ac:dyDescent="0.25">
      <c r="A61057"/>
      <c r="B61057"/>
      <c r="C61057"/>
      <c r="E61057"/>
      <c r="F61057"/>
    </row>
    <row r="61058" spans="1:6" x14ac:dyDescent="0.25">
      <c r="A61058"/>
      <c r="B61058"/>
      <c r="C61058"/>
      <c r="E61058"/>
      <c r="F61058"/>
    </row>
    <row r="61059" spans="1:6" x14ac:dyDescent="0.25">
      <c r="A61059"/>
      <c r="B61059"/>
      <c r="C61059"/>
      <c r="E61059"/>
      <c r="F61059"/>
    </row>
    <row r="61060" spans="1:6" x14ac:dyDescent="0.25">
      <c r="A61060"/>
      <c r="B61060"/>
      <c r="C61060"/>
      <c r="E61060"/>
      <c r="F61060"/>
    </row>
    <row r="61061" spans="1:6" x14ac:dyDescent="0.25">
      <c r="A61061"/>
      <c r="B61061"/>
      <c r="C61061"/>
      <c r="E61061"/>
      <c r="F61061"/>
    </row>
    <row r="61062" spans="1:6" x14ac:dyDescent="0.25">
      <c r="A61062"/>
      <c r="B61062"/>
      <c r="C61062"/>
      <c r="E61062"/>
      <c r="F61062"/>
    </row>
    <row r="61063" spans="1:6" x14ac:dyDescent="0.25">
      <c r="A61063"/>
      <c r="B61063"/>
      <c r="C61063"/>
      <c r="E61063"/>
      <c r="F61063"/>
    </row>
    <row r="61064" spans="1:6" x14ac:dyDescent="0.25">
      <c r="A61064"/>
      <c r="B61064"/>
      <c r="C61064"/>
      <c r="E61064"/>
      <c r="F61064"/>
    </row>
    <row r="61065" spans="1:6" x14ac:dyDescent="0.25">
      <c r="A61065"/>
      <c r="B61065"/>
      <c r="C61065"/>
      <c r="E61065"/>
      <c r="F61065"/>
    </row>
    <row r="61066" spans="1:6" x14ac:dyDescent="0.25">
      <c r="A61066"/>
      <c r="B61066"/>
      <c r="C61066"/>
      <c r="E61066"/>
      <c r="F61066"/>
    </row>
    <row r="61067" spans="1:6" x14ac:dyDescent="0.25">
      <c r="A61067"/>
      <c r="B61067"/>
      <c r="C61067"/>
      <c r="E61067"/>
      <c r="F61067"/>
    </row>
    <row r="61068" spans="1:6" x14ac:dyDescent="0.25">
      <c r="A61068"/>
      <c r="B61068"/>
      <c r="C61068"/>
      <c r="E61068"/>
      <c r="F61068"/>
    </row>
    <row r="61069" spans="1:6" x14ac:dyDescent="0.25">
      <c r="A61069"/>
      <c r="B61069"/>
      <c r="C61069"/>
      <c r="E61069"/>
      <c r="F61069"/>
    </row>
    <row r="61070" spans="1:6" x14ac:dyDescent="0.25">
      <c r="A61070"/>
      <c r="B61070"/>
      <c r="C61070"/>
      <c r="E61070"/>
      <c r="F61070"/>
    </row>
    <row r="61071" spans="1:6" x14ac:dyDescent="0.25">
      <c r="A61071"/>
      <c r="B61071"/>
      <c r="C61071"/>
      <c r="E61071"/>
      <c r="F61071"/>
    </row>
    <row r="61072" spans="1:6" x14ac:dyDescent="0.25">
      <c r="A61072"/>
      <c r="B61072"/>
      <c r="C61072"/>
      <c r="E61072"/>
      <c r="F61072"/>
    </row>
    <row r="61073" spans="1:6" x14ac:dyDescent="0.25">
      <c r="A61073"/>
      <c r="B61073"/>
      <c r="C61073"/>
      <c r="E61073"/>
      <c r="F61073"/>
    </row>
    <row r="61074" spans="1:6" x14ac:dyDescent="0.25">
      <c r="A61074"/>
      <c r="B61074"/>
      <c r="C61074"/>
      <c r="E61074"/>
      <c r="F61074"/>
    </row>
    <row r="61075" spans="1:6" x14ac:dyDescent="0.25">
      <c r="A61075"/>
      <c r="B61075"/>
      <c r="C61075"/>
      <c r="E61075"/>
      <c r="F61075"/>
    </row>
    <row r="61076" spans="1:6" x14ac:dyDescent="0.25">
      <c r="A61076"/>
      <c r="B61076"/>
      <c r="C61076"/>
      <c r="E61076"/>
      <c r="F61076"/>
    </row>
    <row r="61077" spans="1:6" x14ac:dyDescent="0.25">
      <c r="A61077"/>
      <c r="B61077"/>
      <c r="C61077"/>
      <c r="E61077"/>
      <c r="F61077"/>
    </row>
    <row r="61078" spans="1:6" x14ac:dyDescent="0.25">
      <c r="A61078"/>
      <c r="B61078"/>
      <c r="C61078"/>
      <c r="E61078"/>
      <c r="F61078"/>
    </row>
    <row r="61079" spans="1:6" x14ac:dyDescent="0.25">
      <c r="A61079"/>
      <c r="B61079"/>
      <c r="C61079"/>
      <c r="E61079"/>
      <c r="F61079"/>
    </row>
    <row r="61080" spans="1:6" x14ac:dyDescent="0.25">
      <c r="A61080"/>
      <c r="B61080"/>
      <c r="C61080"/>
      <c r="E61080"/>
      <c r="F61080"/>
    </row>
    <row r="61081" spans="1:6" x14ac:dyDescent="0.25">
      <c r="A61081"/>
      <c r="B61081"/>
      <c r="C61081"/>
      <c r="E61081"/>
      <c r="F61081"/>
    </row>
    <row r="61082" spans="1:6" x14ac:dyDescent="0.25">
      <c r="A61082"/>
      <c r="B61082"/>
      <c r="C61082"/>
      <c r="E61082"/>
      <c r="F61082"/>
    </row>
    <row r="61083" spans="1:6" x14ac:dyDescent="0.25">
      <c r="A61083"/>
      <c r="B61083"/>
      <c r="C61083"/>
      <c r="E61083"/>
      <c r="F61083"/>
    </row>
    <row r="61084" spans="1:6" x14ac:dyDescent="0.25">
      <c r="A61084"/>
      <c r="B61084"/>
      <c r="C61084"/>
      <c r="E61084"/>
      <c r="F61084"/>
    </row>
    <row r="61085" spans="1:6" x14ac:dyDescent="0.25">
      <c r="A61085"/>
      <c r="B61085"/>
      <c r="C61085"/>
      <c r="E61085"/>
      <c r="F61085"/>
    </row>
    <row r="61086" spans="1:6" x14ac:dyDescent="0.25">
      <c r="A61086"/>
      <c r="B61086"/>
      <c r="C61086"/>
      <c r="E61086"/>
      <c r="F61086"/>
    </row>
    <row r="61087" spans="1:6" x14ac:dyDescent="0.25">
      <c r="A61087"/>
      <c r="B61087"/>
      <c r="C61087"/>
      <c r="E61087"/>
      <c r="F61087"/>
    </row>
    <row r="61088" spans="1:6" x14ac:dyDescent="0.25">
      <c r="A61088"/>
      <c r="B61088"/>
      <c r="C61088"/>
      <c r="E61088"/>
      <c r="F61088"/>
    </row>
    <row r="61089" spans="1:6" x14ac:dyDescent="0.25">
      <c r="A61089"/>
      <c r="B61089"/>
      <c r="C61089"/>
      <c r="E61089"/>
      <c r="F61089"/>
    </row>
    <row r="61090" spans="1:6" x14ac:dyDescent="0.25">
      <c r="A61090"/>
      <c r="B61090"/>
      <c r="C61090"/>
      <c r="E61090"/>
      <c r="F61090"/>
    </row>
    <row r="61091" spans="1:6" x14ac:dyDescent="0.25">
      <c r="A61091"/>
      <c r="B61091"/>
      <c r="C61091"/>
      <c r="E61091"/>
      <c r="F61091"/>
    </row>
    <row r="61092" spans="1:6" x14ac:dyDescent="0.25">
      <c r="A61092"/>
      <c r="B61092"/>
      <c r="C61092"/>
      <c r="E61092"/>
      <c r="F61092"/>
    </row>
    <row r="61093" spans="1:6" x14ac:dyDescent="0.25">
      <c r="A61093"/>
      <c r="B61093"/>
      <c r="C61093"/>
      <c r="E61093"/>
      <c r="F61093"/>
    </row>
    <row r="61094" spans="1:6" x14ac:dyDescent="0.25">
      <c r="A61094"/>
      <c r="B61094"/>
      <c r="C61094"/>
      <c r="E61094"/>
      <c r="F61094"/>
    </row>
    <row r="61095" spans="1:6" x14ac:dyDescent="0.25">
      <c r="A61095"/>
      <c r="B61095"/>
      <c r="C61095"/>
      <c r="E61095"/>
      <c r="F61095"/>
    </row>
    <row r="61096" spans="1:6" x14ac:dyDescent="0.25">
      <c r="A61096"/>
      <c r="B61096"/>
      <c r="C61096"/>
      <c r="E61096"/>
      <c r="F61096"/>
    </row>
    <row r="61097" spans="1:6" x14ac:dyDescent="0.25">
      <c r="A61097"/>
      <c r="B61097"/>
      <c r="C61097"/>
      <c r="E61097"/>
      <c r="F61097"/>
    </row>
    <row r="61098" spans="1:6" x14ac:dyDescent="0.25">
      <c r="A61098"/>
      <c r="B61098"/>
      <c r="C61098"/>
      <c r="E61098"/>
      <c r="F61098"/>
    </row>
    <row r="61099" spans="1:6" x14ac:dyDescent="0.25">
      <c r="A61099"/>
      <c r="B61099"/>
      <c r="C61099"/>
      <c r="E61099"/>
      <c r="F61099"/>
    </row>
    <row r="61100" spans="1:6" x14ac:dyDescent="0.25">
      <c r="A61100"/>
      <c r="B61100"/>
      <c r="C61100"/>
      <c r="E61100"/>
      <c r="F61100"/>
    </row>
    <row r="61101" spans="1:6" x14ac:dyDescent="0.25">
      <c r="A61101"/>
      <c r="B61101"/>
      <c r="C61101"/>
      <c r="E61101"/>
      <c r="F61101"/>
    </row>
    <row r="61102" spans="1:6" x14ac:dyDescent="0.25">
      <c r="A61102"/>
      <c r="B61102"/>
      <c r="C61102"/>
      <c r="E61102"/>
      <c r="F61102"/>
    </row>
    <row r="61103" spans="1:6" x14ac:dyDescent="0.25">
      <c r="A61103"/>
      <c r="B61103"/>
      <c r="C61103"/>
      <c r="E61103"/>
      <c r="F61103"/>
    </row>
    <row r="61104" spans="1:6" x14ac:dyDescent="0.25">
      <c r="A61104"/>
      <c r="B61104"/>
      <c r="C61104"/>
      <c r="E61104"/>
      <c r="F61104"/>
    </row>
    <row r="61105" spans="1:6" x14ac:dyDescent="0.25">
      <c r="A61105"/>
      <c r="B61105"/>
      <c r="C61105"/>
      <c r="E61105"/>
      <c r="F61105"/>
    </row>
    <row r="61106" spans="1:6" x14ac:dyDescent="0.25">
      <c r="A61106"/>
      <c r="B61106"/>
      <c r="C61106"/>
      <c r="E61106"/>
      <c r="F61106"/>
    </row>
    <row r="61107" spans="1:6" x14ac:dyDescent="0.25">
      <c r="A61107"/>
      <c r="B61107"/>
      <c r="C61107"/>
      <c r="E61107"/>
      <c r="F61107"/>
    </row>
    <row r="61108" spans="1:6" x14ac:dyDescent="0.25">
      <c r="A61108"/>
      <c r="B61108"/>
      <c r="C61108"/>
      <c r="E61108"/>
      <c r="F61108"/>
    </row>
    <row r="61109" spans="1:6" x14ac:dyDescent="0.25">
      <c r="A61109"/>
      <c r="B61109"/>
      <c r="C61109"/>
      <c r="E61109"/>
      <c r="F61109"/>
    </row>
    <row r="61110" spans="1:6" x14ac:dyDescent="0.25">
      <c r="A61110"/>
      <c r="B61110"/>
      <c r="C61110"/>
      <c r="E61110"/>
      <c r="F61110"/>
    </row>
    <row r="61111" spans="1:6" x14ac:dyDescent="0.25">
      <c r="A61111"/>
      <c r="B61111"/>
      <c r="C61111"/>
      <c r="E61111"/>
      <c r="F61111"/>
    </row>
    <row r="61112" spans="1:6" x14ac:dyDescent="0.25">
      <c r="A61112"/>
      <c r="B61112"/>
      <c r="C61112"/>
      <c r="E61112"/>
      <c r="F61112"/>
    </row>
    <row r="61113" spans="1:6" x14ac:dyDescent="0.25">
      <c r="A61113"/>
      <c r="B61113"/>
      <c r="C61113"/>
      <c r="E61113"/>
      <c r="F61113"/>
    </row>
    <row r="61114" spans="1:6" x14ac:dyDescent="0.25">
      <c r="A61114"/>
      <c r="B61114"/>
      <c r="C61114"/>
      <c r="E61114"/>
      <c r="F61114"/>
    </row>
    <row r="61115" spans="1:6" x14ac:dyDescent="0.25">
      <c r="A61115"/>
      <c r="B61115"/>
      <c r="C61115"/>
      <c r="E61115"/>
      <c r="F61115"/>
    </row>
    <row r="61116" spans="1:6" x14ac:dyDescent="0.25">
      <c r="A61116"/>
      <c r="B61116"/>
      <c r="C61116"/>
      <c r="E61116"/>
      <c r="F61116"/>
    </row>
    <row r="61117" spans="1:6" x14ac:dyDescent="0.25">
      <c r="A61117"/>
      <c r="B61117"/>
      <c r="C61117"/>
      <c r="E61117"/>
      <c r="F61117"/>
    </row>
    <row r="61118" spans="1:6" x14ac:dyDescent="0.25">
      <c r="A61118"/>
      <c r="B61118"/>
      <c r="C61118"/>
      <c r="E61118"/>
      <c r="F61118"/>
    </row>
    <row r="61119" spans="1:6" x14ac:dyDescent="0.25">
      <c r="A61119"/>
      <c r="B61119"/>
      <c r="C61119"/>
      <c r="E61119"/>
      <c r="F61119"/>
    </row>
    <row r="61120" spans="1:6" x14ac:dyDescent="0.25">
      <c r="A61120"/>
      <c r="B61120"/>
      <c r="C61120"/>
      <c r="E61120"/>
      <c r="F61120"/>
    </row>
    <row r="61121" spans="1:6" x14ac:dyDescent="0.25">
      <c r="A61121"/>
      <c r="B61121"/>
      <c r="C61121"/>
      <c r="E61121"/>
      <c r="F61121"/>
    </row>
    <row r="61122" spans="1:6" x14ac:dyDescent="0.25">
      <c r="A61122"/>
      <c r="B61122"/>
      <c r="C61122"/>
      <c r="E61122"/>
      <c r="F61122"/>
    </row>
    <row r="61123" spans="1:6" x14ac:dyDescent="0.25">
      <c r="A61123"/>
      <c r="B61123"/>
      <c r="C61123"/>
      <c r="E61123"/>
      <c r="F61123"/>
    </row>
    <row r="61124" spans="1:6" x14ac:dyDescent="0.25">
      <c r="A61124"/>
      <c r="B61124"/>
      <c r="C61124"/>
      <c r="E61124"/>
      <c r="F61124"/>
    </row>
    <row r="61125" spans="1:6" x14ac:dyDescent="0.25">
      <c r="A61125"/>
      <c r="B61125"/>
      <c r="C61125"/>
      <c r="E61125"/>
      <c r="F61125"/>
    </row>
    <row r="61126" spans="1:6" x14ac:dyDescent="0.25">
      <c r="A61126"/>
      <c r="B61126"/>
      <c r="C61126"/>
      <c r="E61126"/>
      <c r="F61126"/>
    </row>
    <row r="61127" spans="1:6" x14ac:dyDescent="0.25">
      <c r="A61127"/>
      <c r="B61127"/>
      <c r="C61127"/>
      <c r="E61127"/>
      <c r="F61127"/>
    </row>
    <row r="61128" spans="1:6" x14ac:dyDescent="0.25">
      <c r="A61128"/>
      <c r="B61128"/>
      <c r="C61128"/>
      <c r="E61128"/>
      <c r="F61128"/>
    </row>
    <row r="61129" spans="1:6" x14ac:dyDescent="0.25">
      <c r="A61129"/>
      <c r="B61129"/>
      <c r="C61129"/>
      <c r="E61129"/>
      <c r="F61129"/>
    </row>
    <row r="61130" spans="1:6" x14ac:dyDescent="0.25">
      <c r="A61130"/>
      <c r="B61130"/>
      <c r="C61130"/>
      <c r="E61130"/>
      <c r="F61130"/>
    </row>
    <row r="61131" spans="1:6" x14ac:dyDescent="0.25">
      <c r="A61131"/>
      <c r="B61131"/>
      <c r="C61131"/>
      <c r="E61131"/>
      <c r="F61131"/>
    </row>
    <row r="61132" spans="1:6" x14ac:dyDescent="0.25">
      <c r="A61132"/>
      <c r="B61132"/>
      <c r="C61132"/>
      <c r="E61132"/>
      <c r="F61132"/>
    </row>
    <row r="61133" spans="1:6" x14ac:dyDescent="0.25">
      <c r="A61133"/>
      <c r="B61133"/>
      <c r="C61133"/>
      <c r="E61133"/>
      <c r="F61133"/>
    </row>
    <row r="61134" spans="1:6" x14ac:dyDescent="0.25">
      <c r="A61134"/>
      <c r="B61134"/>
      <c r="C61134"/>
      <c r="E61134"/>
      <c r="F61134"/>
    </row>
    <row r="61135" spans="1:6" x14ac:dyDescent="0.25">
      <c r="A61135"/>
      <c r="B61135"/>
      <c r="C61135"/>
      <c r="E61135"/>
      <c r="F61135"/>
    </row>
    <row r="61136" spans="1:6" x14ac:dyDescent="0.25">
      <c r="A61136"/>
      <c r="B61136"/>
      <c r="C61136"/>
      <c r="E61136"/>
      <c r="F61136"/>
    </row>
    <row r="61137" spans="1:6" x14ac:dyDescent="0.25">
      <c r="A61137"/>
      <c r="B61137"/>
      <c r="C61137"/>
      <c r="E61137"/>
      <c r="F61137"/>
    </row>
    <row r="61138" spans="1:6" x14ac:dyDescent="0.25">
      <c r="A61138"/>
      <c r="B61138"/>
      <c r="C61138"/>
      <c r="E61138"/>
      <c r="F61138"/>
    </row>
    <row r="61139" spans="1:6" x14ac:dyDescent="0.25">
      <c r="A61139"/>
      <c r="B61139"/>
      <c r="C61139"/>
      <c r="E61139"/>
      <c r="F61139"/>
    </row>
    <row r="61140" spans="1:6" x14ac:dyDescent="0.25">
      <c r="A61140"/>
      <c r="B61140"/>
      <c r="C61140"/>
      <c r="E61140"/>
      <c r="F61140"/>
    </row>
    <row r="61141" spans="1:6" x14ac:dyDescent="0.25">
      <c r="A61141"/>
      <c r="B61141"/>
      <c r="C61141"/>
      <c r="E61141"/>
      <c r="F61141"/>
    </row>
    <row r="61142" spans="1:6" x14ac:dyDescent="0.25">
      <c r="A61142"/>
      <c r="B61142"/>
      <c r="C61142"/>
      <c r="E61142"/>
      <c r="F61142"/>
    </row>
    <row r="61143" spans="1:6" x14ac:dyDescent="0.25">
      <c r="A61143"/>
      <c r="B61143"/>
      <c r="C61143"/>
      <c r="E61143"/>
      <c r="F61143"/>
    </row>
    <row r="61144" spans="1:6" x14ac:dyDescent="0.25">
      <c r="A61144"/>
      <c r="B61144"/>
      <c r="C61144"/>
      <c r="E61144"/>
      <c r="F61144"/>
    </row>
    <row r="61145" spans="1:6" x14ac:dyDescent="0.25">
      <c r="A61145"/>
      <c r="B61145"/>
      <c r="C61145"/>
      <c r="E61145"/>
      <c r="F61145"/>
    </row>
    <row r="61146" spans="1:6" x14ac:dyDescent="0.25">
      <c r="A61146"/>
      <c r="B61146"/>
      <c r="C61146"/>
      <c r="E61146"/>
      <c r="F61146"/>
    </row>
    <row r="61147" spans="1:6" x14ac:dyDescent="0.25">
      <c r="A61147"/>
      <c r="B61147"/>
      <c r="C61147"/>
      <c r="E61147"/>
      <c r="F61147"/>
    </row>
    <row r="61148" spans="1:6" x14ac:dyDescent="0.25">
      <c r="A61148"/>
      <c r="B61148"/>
      <c r="C61148"/>
      <c r="E61148"/>
      <c r="F61148"/>
    </row>
    <row r="61149" spans="1:6" x14ac:dyDescent="0.25">
      <c r="A61149"/>
      <c r="B61149"/>
      <c r="C61149"/>
      <c r="E61149"/>
      <c r="F61149"/>
    </row>
    <row r="61150" spans="1:6" x14ac:dyDescent="0.25">
      <c r="A61150"/>
      <c r="B61150"/>
      <c r="C61150"/>
      <c r="E61150"/>
      <c r="F61150"/>
    </row>
    <row r="61151" spans="1:6" x14ac:dyDescent="0.25">
      <c r="A61151"/>
      <c r="B61151"/>
      <c r="C61151"/>
      <c r="E61151"/>
      <c r="F61151"/>
    </row>
    <row r="61152" spans="1:6" x14ac:dyDescent="0.25">
      <c r="A61152"/>
      <c r="B61152"/>
      <c r="C61152"/>
      <c r="E61152"/>
      <c r="F61152"/>
    </row>
    <row r="61153" spans="1:6" x14ac:dyDescent="0.25">
      <c r="A61153"/>
      <c r="B61153"/>
      <c r="C61153"/>
      <c r="E61153"/>
      <c r="F61153"/>
    </row>
    <row r="61154" spans="1:6" x14ac:dyDescent="0.25">
      <c r="A61154"/>
      <c r="B61154"/>
      <c r="C61154"/>
      <c r="E61154"/>
      <c r="F61154"/>
    </row>
    <row r="61155" spans="1:6" x14ac:dyDescent="0.25">
      <c r="A61155"/>
      <c r="B61155"/>
      <c r="C61155"/>
      <c r="E61155"/>
      <c r="F61155"/>
    </row>
    <row r="61156" spans="1:6" x14ac:dyDescent="0.25">
      <c r="A61156"/>
      <c r="B61156"/>
      <c r="C61156"/>
      <c r="E61156"/>
      <c r="F61156"/>
    </row>
    <row r="61157" spans="1:6" x14ac:dyDescent="0.25">
      <c r="A61157"/>
      <c r="B61157"/>
      <c r="C61157"/>
      <c r="E61157"/>
      <c r="F61157"/>
    </row>
    <row r="61158" spans="1:6" x14ac:dyDescent="0.25">
      <c r="A61158"/>
      <c r="B61158"/>
      <c r="C61158"/>
      <c r="E61158"/>
      <c r="F61158"/>
    </row>
    <row r="61159" spans="1:6" x14ac:dyDescent="0.25">
      <c r="A61159"/>
      <c r="B61159"/>
      <c r="C61159"/>
      <c r="E61159"/>
      <c r="F61159"/>
    </row>
    <row r="61160" spans="1:6" x14ac:dyDescent="0.25">
      <c r="A61160"/>
      <c r="B61160"/>
      <c r="C61160"/>
      <c r="E61160"/>
      <c r="F61160"/>
    </row>
    <row r="61161" spans="1:6" x14ac:dyDescent="0.25">
      <c r="A61161"/>
      <c r="B61161"/>
      <c r="C61161"/>
      <c r="E61161"/>
      <c r="F61161"/>
    </row>
    <row r="61162" spans="1:6" x14ac:dyDescent="0.25">
      <c r="A61162"/>
      <c r="B61162"/>
      <c r="C61162"/>
      <c r="E61162"/>
      <c r="F61162"/>
    </row>
    <row r="61163" spans="1:6" x14ac:dyDescent="0.25">
      <c r="A61163"/>
      <c r="B61163"/>
      <c r="C61163"/>
      <c r="E61163"/>
      <c r="F61163"/>
    </row>
    <row r="61164" spans="1:6" x14ac:dyDescent="0.25">
      <c r="A61164"/>
      <c r="B61164"/>
      <c r="C61164"/>
      <c r="E61164"/>
      <c r="F61164"/>
    </row>
    <row r="61165" spans="1:6" x14ac:dyDescent="0.25">
      <c r="A61165"/>
      <c r="B61165"/>
      <c r="C61165"/>
      <c r="E61165"/>
      <c r="F61165"/>
    </row>
    <row r="61166" spans="1:6" x14ac:dyDescent="0.25">
      <c r="A61166"/>
      <c r="B61166"/>
      <c r="C61166"/>
      <c r="E61166"/>
      <c r="F61166"/>
    </row>
    <row r="61167" spans="1:6" x14ac:dyDescent="0.25">
      <c r="A61167"/>
      <c r="B61167"/>
      <c r="C61167"/>
      <c r="E61167"/>
      <c r="F61167"/>
    </row>
    <row r="61168" spans="1:6" x14ac:dyDescent="0.25">
      <c r="A61168"/>
      <c r="B61168"/>
      <c r="C61168"/>
      <c r="E61168"/>
      <c r="F61168"/>
    </row>
    <row r="61169" spans="1:6" x14ac:dyDescent="0.25">
      <c r="A61169"/>
      <c r="B61169"/>
      <c r="C61169"/>
      <c r="E61169"/>
      <c r="F61169"/>
    </row>
    <row r="61170" spans="1:6" x14ac:dyDescent="0.25">
      <c r="A61170"/>
      <c r="B61170"/>
      <c r="C61170"/>
      <c r="E61170"/>
      <c r="F61170"/>
    </row>
    <row r="61171" spans="1:6" x14ac:dyDescent="0.25">
      <c r="A61171"/>
      <c r="B61171"/>
      <c r="C61171"/>
      <c r="E61171"/>
      <c r="F61171"/>
    </row>
    <row r="61172" spans="1:6" x14ac:dyDescent="0.25">
      <c r="A61172"/>
      <c r="B61172"/>
      <c r="C61172"/>
      <c r="E61172"/>
      <c r="F61172"/>
    </row>
    <row r="61173" spans="1:6" x14ac:dyDescent="0.25">
      <c r="A61173"/>
      <c r="B61173"/>
      <c r="C61173"/>
      <c r="E61173"/>
      <c r="F61173"/>
    </row>
    <row r="61174" spans="1:6" x14ac:dyDescent="0.25">
      <c r="A61174"/>
      <c r="B61174"/>
      <c r="C61174"/>
      <c r="E61174"/>
      <c r="F61174"/>
    </row>
    <row r="61175" spans="1:6" x14ac:dyDescent="0.25">
      <c r="A61175"/>
      <c r="B61175"/>
      <c r="C61175"/>
      <c r="E61175"/>
      <c r="F61175"/>
    </row>
    <row r="61176" spans="1:6" x14ac:dyDescent="0.25">
      <c r="A61176"/>
      <c r="B61176"/>
      <c r="C61176"/>
      <c r="E61176"/>
      <c r="F61176"/>
    </row>
    <row r="61177" spans="1:6" x14ac:dyDescent="0.25">
      <c r="A61177"/>
      <c r="B61177"/>
      <c r="C61177"/>
      <c r="E61177"/>
      <c r="F61177"/>
    </row>
    <row r="61178" spans="1:6" x14ac:dyDescent="0.25">
      <c r="A61178"/>
      <c r="B61178"/>
      <c r="C61178"/>
      <c r="E61178"/>
      <c r="F61178"/>
    </row>
    <row r="61179" spans="1:6" x14ac:dyDescent="0.25">
      <c r="A61179"/>
      <c r="B61179"/>
      <c r="C61179"/>
      <c r="E61179"/>
      <c r="F61179"/>
    </row>
    <row r="61180" spans="1:6" x14ac:dyDescent="0.25">
      <c r="A61180"/>
      <c r="B61180"/>
      <c r="C61180"/>
      <c r="E61180"/>
      <c r="F61180"/>
    </row>
    <row r="61181" spans="1:6" x14ac:dyDescent="0.25">
      <c r="A61181"/>
      <c r="B61181"/>
      <c r="C61181"/>
      <c r="E61181"/>
      <c r="F61181"/>
    </row>
    <row r="61182" spans="1:6" x14ac:dyDescent="0.25">
      <c r="A61182"/>
      <c r="B61182"/>
      <c r="C61182"/>
      <c r="E61182"/>
      <c r="F61182"/>
    </row>
    <row r="61183" spans="1:6" x14ac:dyDescent="0.25">
      <c r="A61183"/>
      <c r="B61183"/>
      <c r="C61183"/>
      <c r="E61183"/>
      <c r="F61183"/>
    </row>
    <row r="61184" spans="1:6" x14ac:dyDescent="0.25">
      <c r="A61184"/>
      <c r="B61184"/>
      <c r="C61184"/>
      <c r="E61184"/>
      <c r="F61184"/>
    </row>
    <row r="61185" spans="1:6" x14ac:dyDescent="0.25">
      <c r="A61185"/>
      <c r="B61185"/>
      <c r="C61185"/>
      <c r="E61185"/>
      <c r="F61185"/>
    </row>
    <row r="61186" spans="1:6" x14ac:dyDescent="0.25">
      <c r="A61186"/>
      <c r="B61186"/>
      <c r="C61186"/>
      <c r="E61186"/>
      <c r="F61186"/>
    </row>
    <row r="61187" spans="1:6" x14ac:dyDescent="0.25">
      <c r="A61187"/>
      <c r="B61187"/>
      <c r="C61187"/>
      <c r="E61187"/>
      <c r="F61187"/>
    </row>
    <row r="61188" spans="1:6" x14ac:dyDescent="0.25">
      <c r="A61188"/>
      <c r="B61188"/>
      <c r="C61188"/>
      <c r="E61188"/>
      <c r="F61188"/>
    </row>
    <row r="61189" spans="1:6" x14ac:dyDescent="0.25">
      <c r="A61189"/>
      <c r="B61189"/>
      <c r="C61189"/>
      <c r="E61189"/>
      <c r="F61189"/>
    </row>
    <row r="61190" spans="1:6" x14ac:dyDescent="0.25">
      <c r="A61190"/>
      <c r="B61190"/>
      <c r="C61190"/>
      <c r="E61190"/>
      <c r="F61190"/>
    </row>
    <row r="61191" spans="1:6" x14ac:dyDescent="0.25">
      <c r="A61191"/>
      <c r="B61191"/>
      <c r="C61191"/>
      <c r="E61191"/>
      <c r="F61191"/>
    </row>
    <row r="61192" spans="1:6" x14ac:dyDescent="0.25">
      <c r="A61192"/>
      <c r="B61192"/>
      <c r="C61192"/>
      <c r="E61192"/>
      <c r="F61192"/>
    </row>
    <row r="61193" spans="1:6" x14ac:dyDescent="0.25">
      <c r="A61193"/>
      <c r="B61193"/>
      <c r="C61193"/>
      <c r="E61193"/>
      <c r="F61193"/>
    </row>
    <row r="61194" spans="1:6" x14ac:dyDescent="0.25">
      <c r="A61194"/>
      <c r="B61194"/>
      <c r="C61194"/>
      <c r="E61194"/>
      <c r="F61194"/>
    </row>
    <row r="61195" spans="1:6" x14ac:dyDescent="0.25">
      <c r="A61195"/>
      <c r="B61195"/>
      <c r="C61195"/>
      <c r="E61195"/>
      <c r="F61195"/>
    </row>
    <row r="61196" spans="1:6" x14ac:dyDescent="0.25">
      <c r="A61196"/>
      <c r="B61196"/>
      <c r="C61196"/>
      <c r="E61196"/>
      <c r="F61196"/>
    </row>
    <row r="61197" spans="1:6" x14ac:dyDescent="0.25">
      <c r="A61197"/>
      <c r="B61197"/>
      <c r="C61197"/>
      <c r="E61197"/>
      <c r="F61197"/>
    </row>
    <row r="61198" spans="1:6" x14ac:dyDescent="0.25">
      <c r="A61198"/>
      <c r="B61198"/>
      <c r="C61198"/>
      <c r="E61198"/>
      <c r="F61198"/>
    </row>
    <row r="61199" spans="1:6" x14ac:dyDescent="0.25">
      <c r="A61199"/>
      <c r="B61199"/>
      <c r="C61199"/>
      <c r="E61199"/>
      <c r="F61199"/>
    </row>
    <row r="61200" spans="1:6" x14ac:dyDescent="0.25">
      <c r="A61200"/>
      <c r="B61200"/>
      <c r="C61200"/>
      <c r="E61200"/>
      <c r="F61200"/>
    </row>
    <row r="61201" spans="1:6" x14ac:dyDescent="0.25">
      <c r="A61201"/>
      <c r="B61201"/>
      <c r="C61201"/>
      <c r="E61201"/>
      <c r="F61201"/>
    </row>
    <row r="61202" spans="1:6" x14ac:dyDescent="0.25">
      <c r="A61202"/>
      <c r="B61202"/>
      <c r="C61202"/>
      <c r="E61202"/>
      <c r="F61202"/>
    </row>
    <row r="61203" spans="1:6" x14ac:dyDescent="0.25">
      <c r="A61203"/>
      <c r="B61203"/>
      <c r="C61203"/>
      <c r="E61203"/>
      <c r="F61203"/>
    </row>
    <row r="61204" spans="1:6" x14ac:dyDescent="0.25">
      <c r="A61204"/>
      <c r="B61204"/>
      <c r="C61204"/>
      <c r="E61204"/>
      <c r="F61204"/>
    </row>
    <row r="61205" spans="1:6" x14ac:dyDescent="0.25">
      <c r="A61205"/>
      <c r="B61205"/>
      <c r="C61205"/>
      <c r="E61205"/>
      <c r="F61205"/>
    </row>
    <row r="61206" spans="1:6" x14ac:dyDescent="0.25">
      <c r="A61206"/>
      <c r="B61206"/>
      <c r="C61206"/>
      <c r="E61206"/>
      <c r="F61206"/>
    </row>
    <row r="61207" spans="1:6" x14ac:dyDescent="0.25">
      <c r="A61207"/>
      <c r="B61207"/>
      <c r="C61207"/>
      <c r="E61207"/>
      <c r="F61207"/>
    </row>
    <row r="61208" spans="1:6" x14ac:dyDescent="0.25">
      <c r="A61208"/>
      <c r="B61208"/>
      <c r="C61208"/>
      <c r="E61208"/>
      <c r="F61208"/>
    </row>
    <row r="61209" spans="1:6" x14ac:dyDescent="0.25">
      <c r="A61209"/>
      <c r="B61209"/>
      <c r="C61209"/>
      <c r="E61209"/>
      <c r="F61209"/>
    </row>
    <row r="61210" spans="1:6" x14ac:dyDescent="0.25">
      <c r="A61210"/>
      <c r="B61210"/>
      <c r="C61210"/>
      <c r="E61210"/>
      <c r="F61210"/>
    </row>
    <row r="61211" spans="1:6" x14ac:dyDescent="0.25">
      <c r="A61211"/>
      <c r="B61211"/>
      <c r="C61211"/>
      <c r="E61211"/>
      <c r="F61211"/>
    </row>
    <row r="61212" spans="1:6" x14ac:dyDescent="0.25">
      <c r="A61212"/>
      <c r="B61212"/>
      <c r="C61212"/>
      <c r="E61212"/>
      <c r="F61212"/>
    </row>
    <row r="61213" spans="1:6" x14ac:dyDescent="0.25">
      <c r="A61213"/>
      <c r="B61213"/>
      <c r="C61213"/>
      <c r="E61213"/>
      <c r="F61213"/>
    </row>
    <row r="61214" spans="1:6" x14ac:dyDescent="0.25">
      <c r="A61214"/>
      <c r="B61214"/>
      <c r="C61214"/>
      <c r="E61214"/>
      <c r="F61214"/>
    </row>
    <row r="61215" spans="1:6" x14ac:dyDescent="0.25">
      <c r="A61215"/>
      <c r="B61215"/>
      <c r="C61215"/>
      <c r="E61215"/>
      <c r="F61215"/>
    </row>
    <row r="61216" spans="1:6" x14ac:dyDescent="0.25">
      <c r="A61216"/>
      <c r="B61216"/>
      <c r="C61216"/>
      <c r="E61216"/>
      <c r="F61216"/>
    </row>
    <row r="61217" spans="1:6" x14ac:dyDescent="0.25">
      <c r="A61217"/>
      <c r="B61217"/>
      <c r="C61217"/>
      <c r="E61217"/>
      <c r="F61217"/>
    </row>
    <row r="61218" spans="1:6" x14ac:dyDescent="0.25">
      <c r="A61218"/>
      <c r="B61218"/>
      <c r="C61218"/>
      <c r="E61218"/>
      <c r="F61218"/>
    </row>
    <row r="61219" spans="1:6" x14ac:dyDescent="0.25">
      <c r="A61219"/>
      <c r="B61219"/>
      <c r="C61219"/>
      <c r="E61219"/>
      <c r="F61219"/>
    </row>
    <row r="61220" spans="1:6" x14ac:dyDescent="0.25">
      <c r="A61220"/>
      <c r="B61220"/>
      <c r="C61220"/>
      <c r="E61220"/>
      <c r="F61220"/>
    </row>
    <row r="61221" spans="1:6" x14ac:dyDescent="0.25">
      <c r="A61221"/>
      <c r="B61221"/>
      <c r="C61221"/>
      <c r="E61221"/>
      <c r="F61221"/>
    </row>
    <row r="61222" spans="1:6" x14ac:dyDescent="0.25">
      <c r="A61222"/>
      <c r="B61222"/>
      <c r="C61222"/>
      <c r="E61222"/>
      <c r="F61222"/>
    </row>
    <row r="61223" spans="1:6" x14ac:dyDescent="0.25">
      <c r="A61223"/>
      <c r="B61223"/>
      <c r="C61223"/>
      <c r="E61223"/>
      <c r="F61223"/>
    </row>
    <row r="61224" spans="1:6" x14ac:dyDescent="0.25">
      <c r="A61224"/>
      <c r="B61224"/>
      <c r="C61224"/>
      <c r="E61224"/>
      <c r="F61224"/>
    </row>
    <row r="61225" spans="1:6" x14ac:dyDescent="0.25">
      <c r="A61225"/>
      <c r="B61225"/>
      <c r="C61225"/>
      <c r="E61225"/>
      <c r="F61225"/>
    </row>
    <row r="61226" spans="1:6" x14ac:dyDescent="0.25">
      <c r="A61226"/>
      <c r="B61226"/>
      <c r="C61226"/>
      <c r="E61226"/>
      <c r="F61226"/>
    </row>
    <row r="61227" spans="1:6" x14ac:dyDescent="0.25">
      <c r="A61227"/>
      <c r="B61227"/>
      <c r="C61227"/>
      <c r="E61227"/>
      <c r="F61227"/>
    </row>
    <row r="61228" spans="1:6" x14ac:dyDescent="0.25">
      <c r="A61228"/>
      <c r="B61228"/>
      <c r="C61228"/>
      <c r="E61228"/>
      <c r="F61228"/>
    </row>
    <row r="61229" spans="1:6" x14ac:dyDescent="0.25">
      <c r="A61229"/>
      <c r="B61229"/>
      <c r="C61229"/>
      <c r="E61229"/>
      <c r="F61229"/>
    </row>
    <row r="61230" spans="1:6" x14ac:dyDescent="0.25">
      <c r="A61230"/>
      <c r="B61230"/>
      <c r="C61230"/>
      <c r="E61230"/>
      <c r="F61230"/>
    </row>
    <row r="61231" spans="1:6" x14ac:dyDescent="0.25">
      <c r="A61231"/>
      <c r="B61231"/>
      <c r="C61231"/>
      <c r="E61231"/>
      <c r="F61231"/>
    </row>
    <row r="61232" spans="1:6" x14ac:dyDescent="0.25">
      <c r="A61232"/>
      <c r="B61232"/>
      <c r="C61232"/>
      <c r="E61232"/>
      <c r="F61232"/>
    </row>
    <row r="61233" spans="1:6" x14ac:dyDescent="0.25">
      <c r="A61233"/>
      <c r="B61233"/>
      <c r="C61233"/>
      <c r="E61233"/>
      <c r="F61233"/>
    </row>
    <row r="61234" spans="1:6" x14ac:dyDescent="0.25">
      <c r="A61234"/>
      <c r="B61234"/>
      <c r="C61234"/>
      <c r="E61234"/>
      <c r="F61234"/>
    </row>
    <row r="61235" spans="1:6" x14ac:dyDescent="0.25">
      <c r="A61235"/>
      <c r="B61235"/>
      <c r="C61235"/>
      <c r="E61235"/>
      <c r="F61235"/>
    </row>
    <row r="61236" spans="1:6" x14ac:dyDescent="0.25">
      <c r="A61236"/>
      <c r="B61236"/>
      <c r="C61236"/>
      <c r="E61236"/>
      <c r="F61236"/>
    </row>
    <row r="61237" spans="1:6" x14ac:dyDescent="0.25">
      <c r="A61237"/>
      <c r="B61237"/>
      <c r="C61237"/>
      <c r="E61237"/>
      <c r="F61237"/>
    </row>
    <row r="61238" spans="1:6" x14ac:dyDescent="0.25">
      <c r="A61238"/>
      <c r="B61238"/>
      <c r="C61238"/>
      <c r="E61238"/>
      <c r="F61238"/>
    </row>
    <row r="61239" spans="1:6" x14ac:dyDescent="0.25">
      <c r="A61239"/>
      <c r="B61239"/>
      <c r="C61239"/>
      <c r="E61239"/>
      <c r="F61239"/>
    </row>
    <row r="61240" spans="1:6" x14ac:dyDescent="0.25">
      <c r="A61240"/>
      <c r="B61240"/>
      <c r="C61240"/>
      <c r="E61240"/>
      <c r="F61240"/>
    </row>
    <row r="61241" spans="1:6" x14ac:dyDescent="0.25">
      <c r="A61241"/>
      <c r="B61241"/>
      <c r="C61241"/>
      <c r="E61241"/>
      <c r="F61241"/>
    </row>
    <row r="61242" spans="1:6" x14ac:dyDescent="0.25">
      <c r="A61242"/>
      <c r="B61242"/>
      <c r="C61242"/>
      <c r="E61242"/>
      <c r="F61242"/>
    </row>
    <row r="61243" spans="1:6" x14ac:dyDescent="0.25">
      <c r="A61243"/>
      <c r="B61243"/>
      <c r="C61243"/>
      <c r="E61243"/>
      <c r="F61243"/>
    </row>
    <row r="61244" spans="1:6" x14ac:dyDescent="0.25">
      <c r="A61244"/>
      <c r="B61244"/>
      <c r="C61244"/>
      <c r="E61244"/>
      <c r="F61244"/>
    </row>
    <row r="61245" spans="1:6" x14ac:dyDescent="0.25">
      <c r="A61245"/>
      <c r="B61245"/>
      <c r="C61245"/>
      <c r="E61245"/>
      <c r="F61245"/>
    </row>
    <row r="61246" spans="1:6" x14ac:dyDescent="0.25">
      <c r="A61246"/>
      <c r="B61246"/>
      <c r="C61246"/>
      <c r="E61246"/>
      <c r="F61246"/>
    </row>
    <row r="61247" spans="1:6" x14ac:dyDescent="0.25">
      <c r="A61247"/>
      <c r="B61247"/>
      <c r="C61247"/>
      <c r="E61247"/>
      <c r="F61247"/>
    </row>
    <row r="61248" spans="1:6" x14ac:dyDescent="0.25">
      <c r="A61248"/>
      <c r="B61248"/>
      <c r="C61248"/>
      <c r="E61248"/>
      <c r="F61248"/>
    </row>
    <row r="61249" spans="1:6" x14ac:dyDescent="0.25">
      <c r="A61249"/>
      <c r="B61249"/>
      <c r="C61249"/>
      <c r="E61249"/>
      <c r="F61249"/>
    </row>
    <row r="61250" spans="1:6" x14ac:dyDescent="0.25">
      <c r="A61250"/>
      <c r="B61250"/>
      <c r="C61250"/>
      <c r="E61250"/>
      <c r="F61250"/>
    </row>
    <row r="61251" spans="1:6" x14ac:dyDescent="0.25">
      <c r="A61251"/>
      <c r="B61251"/>
      <c r="C61251"/>
      <c r="E61251"/>
      <c r="F61251"/>
    </row>
    <row r="61252" spans="1:6" x14ac:dyDescent="0.25">
      <c r="A61252"/>
      <c r="B61252"/>
      <c r="C61252"/>
      <c r="E61252"/>
      <c r="F61252"/>
    </row>
    <row r="61253" spans="1:6" x14ac:dyDescent="0.25">
      <c r="A61253"/>
      <c r="B61253"/>
      <c r="C61253"/>
      <c r="E61253"/>
      <c r="F61253"/>
    </row>
    <row r="61254" spans="1:6" x14ac:dyDescent="0.25">
      <c r="A61254"/>
      <c r="B61254"/>
      <c r="C61254"/>
      <c r="E61254"/>
      <c r="F61254"/>
    </row>
    <row r="61255" spans="1:6" x14ac:dyDescent="0.25">
      <c r="A61255"/>
      <c r="B61255"/>
      <c r="C61255"/>
      <c r="E61255"/>
      <c r="F61255"/>
    </row>
    <row r="61256" spans="1:6" x14ac:dyDescent="0.25">
      <c r="A61256"/>
      <c r="B61256"/>
      <c r="C61256"/>
      <c r="E61256"/>
      <c r="F61256"/>
    </row>
    <row r="61257" spans="1:6" x14ac:dyDescent="0.25">
      <c r="A61257"/>
      <c r="B61257"/>
      <c r="C61257"/>
      <c r="E61257"/>
      <c r="F61257"/>
    </row>
    <row r="61258" spans="1:6" x14ac:dyDescent="0.25">
      <c r="A61258"/>
      <c r="B61258"/>
      <c r="C61258"/>
      <c r="E61258"/>
      <c r="F61258"/>
    </row>
    <row r="61259" spans="1:6" x14ac:dyDescent="0.25">
      <c r="A61259"/>
      <c r="B61259"/>
      <c r="C61259"/>
      <c r="E61259"/>
      <c r="F61259"/>
    </row>
    <row r="61260" spans="1:6" x14ac:dyDescent="0.25">
      <c r="A61260"/>
      <c r="B61260"/>
      <c r="C61260"/>
      <c r="E61260"/>
      <c r="F61260"/>
    </row>
    <row r="61261" spans="1:6" x14ac:dyDescent="0.25">
      <c r="A61261"/>
      <c r="B61261"/>
      <c r="C61261"/>
      <c r="E61261"/>
      <c r="F61261"/>
    </row>
    <row r="61262" spans="1:6" x14ac:dyDescent="0.25">
      <c r="A61262"/>
      <c r="B61262"/>
      <c r="C61262"/>
      <c r="E61262"/>
      <c r="F61262"/>
    </row>
    <row r="61263" spans="1:6" x14ac:dyDescent="0.25">
      <c r="A61263"/>
      <c r="B61263"/>
      <c r="C61263"/>
      <c r="E61263"/>
      <c r="F61263"/>
    </row>
    <row r="61264" spans="1:6" x14ac:dyDescent="0.25">
      <c r="A61264"/>
      <c r="B61264"/>
      <c r="C61264"/>
      <c r="E61264"/>
      <c r="F61264"/>
    </row>
    <row r="61265" spans="1:6" x14ac:dyDescent="0.25">
      <c r="A61265"/>
      <c r="B61265"/>
      <c r="C61265"/>
      <c r="E61265"/>
      <c r="F61265"/>
    </row>
    <row r="61266" spans="1:6" x14ac:dyDescent="0.25">
      <c r="A61266"/>
      <c r="B61266"/>
      <c r="C61266"/>
      <c r="E61266"/>
      <c r="F61266"/>
    </row>
    <row r="61267" spans="1:6" x14ac:dyDescent="0.25">
      <c r="A61267"/>
      <c r="B61267"/>
      <c r="C61267"/>
      <c r="E61267"/>
      <c r="F61267"/>
    </row>
    <row r="61268" spans="1:6" x14ac:dyDescent="0.25">
      <c r="A61268"/>
      <c r="B61268"/>
      <c r="C61268"/>
      <c r="E61268"/>
      <c r="F61268"/>
    </row>
    <row r="61269" spans="1:6" x14ac:dyDescent="0.25">
      <c r="A61269"/>
      <c r="B61269"/>
      <c r="C61269"/>
      <c r="E61269"/>
      <c r="F61269"/>
    </row>
    <row r="61270" spans="1:6" x14ac:dyDescent="0.25">
      <c r="A61270"/>
      <c r="B61270"/>
      <c r="C61270"/>
      <c r="E61270"/>
      <c r="F61270"/>
    </row>
    <row r="61271" spans="1:6" x14ac:dyDescent="0.25">
      <c r="A61271"/>
      <c r="B61271"/>
      <c r="C61271"/>
      <c r="E61271"/>
      <c r="F61271"/>
    </row>
    <row r="61272" spans="1:6" x14ac:dyDescent="0.25">
      <c r="A61272"/>
      <c r="B61272"/>
      <c r="C61272"/>
      <c r="E61272"/>
      <c r="F61272"/>
    </row>
    <row r="61273" spans="1:6" x14ac:dyDescent="0.25">
      <c r="A61273"/>
      <c r="B61273"/>
      <c r="C61273"/>
      <c r="E61273"/>
      <c r="F61273"/>
    </row>
    <row r="61274" spans="1:6" x14ac:dyDescent="0.25">
      <c r="A61274"/>
      <c r="B61274"/>
      <c r="C61274"/>
      <c r="E61274"/>
      <c r="F61274"/>
    </row>
    <row r="61275" spans="1:6" x14ac:dyDescent="0.25">
      <c r="A61275"/>
      <c r="B61275"/>
      <c r="C61275"/>
      <c r="E61275"/>
      <c r="F61275"/>
    </row>
    <row r="61276" spans="1:6" x14ac:dyDescent="0.25">
      <c r="A61276"/>
      <c r="B61276"/>
      <c r="C61276"/>
      <c r="E61276"/>
      <c r="F61276"/>
    </row>
    <row r="61277" spans="1:6" x14ac:dyDescent="0.25">
      <c r="A61277"/>
      <c r="B61277"/>
      <c r="C61277"/>
      <c r="E61277"/>
      <c r="F61277"/>
    </row>
    <row r="61278" spans="1:6" x14ac:dyDescent="0.25">
      <c r="A61278"/>
      <c r="B61278"/>
      <c r="C61278"/>
      <c r="E61278"/>
      <c r="F61278"/>
    </row>
    <row r="61279" spans="1:6" x14ac:dyDescent="0.25">
      <c r="A61279"/>
      <c r="B61279"/>
      <c r="C61279"/>
      <c r="E61279"/>
      <c r="F61279"/>
    </row>
    <row r="61280" spans="1:6" x14ac:dyDescent="0.25">
      <c r="A61280"/>
      <c r="B61280"/>
      <c r="C61280"/>
      <c r="E61280"/>
      <c r="F61280"/>
    </row>
    <row r="61281" spans="1:6" x14ac:dyDescent="0.25">
      <c r="A61281"/>
      <c r="B61281"/>
      <c r="C61281"/>
      <c r="E61281"/>
      <c r="F61281"/>
    </row>
    <row r="61282" spans="1:6" x14ac:dyDescent="0.25">
      <c r="A61282"/>
      <c r="B61282"/>
      <c r="C61282"/>
      <c r="E61282"/>
      <c r="F61282"/>
    </row>
    <row r="61283" spans="1:6" x14ac:dyDescent="0.25">
      <c r="A61283"/>
      <c r="B61283"/>
      <c r="C61283"/>
      <c r="E61283"/>
      <c r="F61283"/>
    </row>
    <row r="61284" spans="1:6" x14ac:dyDescent="0.25">
      <c r="A61284"/>
      <c r="B61284"/>
      <c r="C61284"/>
      <c r="E61284"/>
      <c r="F61284"/>
    </row>
    <row r="61285" spans="1:6" x14ac:dyDescent="0.25">
      <c r="A61285"/>
      <c r="B61285"/>
      <c r="C61285"/>
      <c r="E61285"/>
      <c r="F61285"/>
    </row>
    <row r="61286" spans="1:6" x14ac:dyDescent="0.25">
      <c r="A61286"/>
      <c r="B61286"/>
      <c r="C61286"/>
      <c r="E61286"/>
      <c r="F61286"/>
    </row>
    <row r="61287" spans="1:6" x14ac:dyDescent="0.25">
      <c r="A61287"/>
      <c r="B61287"/>
      <c r="C61287"/>
      <c r="E61287"/>
      <c r="F61287"/>
    </row>
    <row r="61288" spans="1:6" x14ac:dyDescent="0.25">
      <c r="A61288"/>
      <c r="B61288"/>
      <c r="C61288"/>
      <c r="E61288"/>
      <c r="F61288"/>
    </row>
    <row r="61289" spans="1:6" x14ac:dyDescent="0.25">
      <c r="A61289"/>
      <c r="B61289"/>
      <c r="C61289"/>
      <c r="E61289"/>
      <c r="F61289"/>
    </row>
    <row r="61290" spans="1:6" x14ac:dyDescent="0.25">
      <c r="A61290"/>
      <c r="B61290"/>
      <c r="C61290"/>
      <c r="E61290"/>
      <c r="F61290"/>
    </row>
    <row r="61291" spans="1:6" x14ac:dyDescent="0.25">
      <c r="A61291"/>
      <c r="B61291"/>
      <c r="C61291"/>
      <c r="E61291"/>
      <c r="F61291"/>
    </row>
    <row r="61292" spans="1:6" x14ac:dyDescent="0.25">
      <c r="A61292"/>
      <c r="B61292"/>
      <c r="C61292"/>
      <c r="E61292"/>
      <c r="F61292"/>
    </row>
    <row r="61293" spans="1:6" x14ac:dyDescent="0.25">
      <c r="A61293"/>
      <c r="B61293"/>
      <c r="C61293"/>
      <c r="E61293"/>
      <c r="F61293"/>
    </row>
    <row r="61294" spans="1:6" x14ac:dyDescent="0.25">
      <c r="A61294"/>
      <c r="B61294"/>
      <c r="C61294"/>
      <c r="E61294"/>
      <c r="F61294"/>
    </row>
    <row r="61295" spans="1:6" x14ac:dyDescent="0.25">
      <c r="A61295"/>
      <c r="B61295"/>
      <c r="C61295"/>
      <c r="E61295"/>
      <c r="F61295"/>
    </row>
    <row r="61296" spans="1:6" x14ac:dyDescent="0.25">
      <c r="A61296"/>
      <c r="B61296"/>
      <c r="C61296"/>
      <c r="E61296"/>
      <c r="F61296"/>
    </row>
    <row r="61297" spans="1:6" x14ac:dyDescent="0.25">
      <c r="A61297"/>
      <c r="B61297"/>
      <c r="C61297"/>
      <c r="E61297"/>
      <c r="F61297"/>
    </row>
    <row r="61298" spans="1:6" x14ac:dyDescent="0.25">
      <c r="A61298"/>
      <c r="B61298"/>
      <c r="C61298"/>
      <c r="E61298"/>
      <c r="F61298"/>
    </row>
    <row r="61299" spans="1:6" x14ac:dyDescent="0.25">
      <c r="A61299"/>
      <c r="B61299"/>
      <c r="C61299"/>
      <c r="E61299"/>
      <c r="F61299"/>
    </row>
    <row r="61300" spans="1:6" x14ac:dyDescent="0.25">
      <c r="A61300"/>
      <c r="B61300"/>
      <c r="C61300"/>
      <c r="E61300"/>
      <c r="F61300"/>
    </row>
    <row r="61301" spans="1:6" x14ac:dyDescent="0.25">
      <c r="A61301"/>
      <c r="B61301"/>
      <c r="C61301"/>
      <c r="E61301"/>
      <c r="F61301"/>
    </row>
    <row r="61302" spans="1:6" x14ac:dyDescent="0.25">
      <c r="A61302"/>
      <c r="B61302"/>
      <c r="C61302"/>
      <c r="E61302"/>
      <c r="F61302"/>
    </row>
    <row r="61303" spans="1:6" x14ac:dyDescent="0.25">
      <c r="A61303"/>
      <c r="B61303"/>
      <c r="C61303"/>
      <c r="E61303"/>
      <c r="F61303"/>
    </row>
    <row r="61304" spans="1:6" x14ac:dyDescent="0.25">
      <c r="A61304"/>
      <c r="B61304"/>
      <c r="C61304"/>
      <c r="E61304"/>
      <c r="F61304"/>
    </row>
    <row r="61305" spans="1:6" x14ac:dyDescent="0.25">
      <c r="A61305"/>
      <c r="B61305"/>
      <c r="C61305"/>
      <c r="E61305"/>
      <c r="F61305"/>
    </row>
    <row r="61306" spans="1:6" x14ac:dyDescent="0.25">
      <c r="A61306"/>
      <c r="B61306"/>
      <c r="C61306"/>
      <c r="E61306"/>
      <c r="F61306"/>
    </row>
    <row r="61307" spans="1:6" x14ac:dyDescent="0.25">
      <c r="A61307"/>
      <c r="B61307"/>
      <c r="C61307"/>
      <c r="E61307"/>
      <c r="F61307"/>
    </row>
    <row r="61308" spans="1:6" x14ac:dyDescent="0.25">
      <c r="A61308"/>
      <c r="B61308"/>
      <c r="C61308"/>
      <c r="E61308"/>
      <c r="F61308"/>
    </row>
    <row r="61309" spans="1:6" x14ac:dyDescent="0.25">
      <c r="A61309"/>
      <c r="B61309"/>
      <c r="C61309"/>
      <c r="E61309"/>
      <c r="F61309"/>
    </row>
    <row r="61310" spans="1:6" x14ac:dyDescent="0.25">
      <c r="A61310"/>
      <c r="B61310"/>
      <c r="C61310"/>
      <c r="E61310"/>
      <c r="F61310"/>
    </row>
    <row r="61311" spans="1:6" x14ac:dyDescent="0.25">
      <c r="A61311"/>
      <c r="B61311"/>
      <c r="C61311"/>
      <c r="E61311"/>
      <c r="F61311"/>
    </row>
    <row r="61312" spans="1:6" x14ac:dyDescent="0.25">
      <c r="A61312"/>
      <c r="B61312"/>
      <c r="C61312"/>
      <c r="E61312"/>
      <c r="F61312"/>
    </row>
    <row r="61313" spans="1:6" x14ac:dyDescent="0.25">
      <c r="A61313"/>
      <c r="B61313"/>
      <c r="C61313"/>
      <c r="E61313"/>
      <c r="F61313"/>
    </row>
    <row r="61314" spans="1:6" x14ac:dyDescent="0.25">
      <c r="A61314"/>
      <c r="B61314"/>
      <c r="C61314"/>
      <c r="E61314"/>
      <c r="F61314"/>
    </row>
    <row r="61315" spans="1:6" x14ac:dyDescent="0.25">
      <c r="A61315"/>
      <c r="B61315"/>
      <c r="C61315"/>
      <c r="E61315"/>
      <c r="F61315"/>
    </row>
    <row r="61316" spans="1:6" x14ac:dyDescent="0.25">
      <c r="A61316"/>
      <c r="B61316"/>
      <c r="C61316"/>
      <c r="E61316"/>
      <c r="F61316"/>
    </row>
    <row r="61317" spans="1:6" x14ac:dyDescent="0.25">
      <c r="A61317"/>
      <c r="B61317"/>
      <c r="C61317"/>
      <c r="E61317"/>
      <c r="F61317"/>
    </row>
    <row r="61318" spans="1:6" x14ac:dyDescent="0.25">
      <c r="A61318"/>
      <c r="B61318"/>
      <c r="C61318"/>
      <c r="E61318"/>
      <c r="F61318"/>
    </row>
    <row r="61319" spans="1:6" x14ac:dyDescent="0.25">
      <c r="A61319"/>
      <c r="B61319"/>
      <c r="C61319"/>
      <c r="E61319"/>
      <c r="F61319"/>
    </row>
    <row r="61320" spans="1:6" x14ac:dyDescent="0.25">
      <c r="A61320"/>
      <c r="B61320"/>
      <c r="C61320"/>
      <c r="E61320"/>
      <c r="F61320"/>
    </row>
    <row r="61321" spans="1:6" x14ac:dyDescent="0.25">
      <c r="A61321"/>
      <c r="B61321"/>
      <c r="C61321"/>
      <c r="E61321"/>
      <c r="F61321"/>
    </row>
    <row r="61322" spans="1:6" x14ac:dyDescent="0.25">
      <c r="A61322"/>
      <c r="B61322"/>
      <c r="C61322"/>
      <c r="E61322"/>
      <c r="F61322"/>
    </row>
    <row r="61323" spans="1:6" x14ac:dyDescent="0.25">
      <c r="A61323"/>
      <c r="B61323"/>
      <c r="C61323"/>
      <c r="E61323"/>
      <c r="F61323"/>
    </row>
    <row r="61324" spans="1:6" x14ac:dyDescent="0.25">
      <c r="A61324"/>
      <c r="B61324"/>
      <c r="C61324"/>
      <c r="E61324"/>
      <c r="F61324"/>
    </row>
    <row r="61325" spans="1:6" x14ac:dyDescent="0.25">
      <c r="A61325"/>
      <c r="B61325"/>
      <c r="C61325"/>
      <c r="E61325"/>
      <c r="F61325"/>
    </row>
    <row r="61326" spans="1:6" x14ac:dyDescent="0.25">
      <c r="A61326"/>
      <c r="B61326"/>
      <c r="C61326"/>
      <c r="E61326"/>
      <c r="F61326"/>
    </row>
    <row r="61327" spans="1:6" x14ac:dyDescent="0.25">
      <c r="A61327"/>
      <c r="B61327"/>
      <c r="C61327"/>
      <c r="E61327"/>
      <c r="F61327"/>
    </row>
    <row r="61328" spans="1:6" x14ac:dyDescent="0.25">
      <c r="A61328"/>
      <c r="B61328"/>
      <c r="C61328"/>
      <c r="E61328"/>
      <c r="F61328"/>
    </row>
    <row r="61329" spans="1:6" x14ac:dyDescent="0.25">
      <c r="A61329"/>
      <c r="B61329"/>
      <c r="C61329"/>
      <c r="E61329"/>
      <c r="F61329"/>
    </row>
    <row r="61330" spans="1:6" x14ac:dyDescent="0.25">
      <c r="A61330"/>
      <c r="B61330"/>
      <c r="C61330"/>
      <c r="E61330"/>
      <c r="F61330"/>
    </row>
    <row r="61331" spans="1:6" x14ac:dyDescent="0.25">
      <c r="A61331"/>
      <c r="B61331"/>
      <c r="C61331"/>
      <c r="E61331"/>
      <c r="F61331"/>
    </row>
    <row r="61332" spans="1:6" x14ac:dyDescent="0.25">
      <c r="A61332"/>
      <c r="B61332"/>
      <c r="C61332"/>
      <c r="E61332"/>
      <c r="F61332"/>
    </row>
    <row r="61333" spans="1:6" x14ac:dyDescent="0.25">
      <c r="A61333"/>
      <c r="B61333"/>
      <c r="C61333"/>
      <c r="E61333"/>
      <c r="F61333"/>
    </row>
    <row r="61334" spans="1:6" x14ac:dyDescent="0.25">
      <c r="A61334"/>
      <c r="B61334"/>
      <c r="C61334"/>
      <c r="E61334"/>
      <c r="F61334"/>
    </row>
    <row r="61335" spans="1:6" x14ac:dyDescent="0.25">
      <c r="A61335"/>
      <c r="B61335"/>
      <c r="C61335"/>
      <c r="E61335"/>
      <c r="F61335"/>
    </row>
    <row r="61336" spans="1:6" x14ac:dyDescent="0.25">
      <c r="A61336"/>
      <c r="B61336"/>
      <c r="C61336"/>
      <c r="E61336"/>
      <c r="F61336"/>
    </row>
    <row r="61337" spans="1:6" x14ac:dyDescent="0.25">
      <c r="A61337"/>
      <c r="B61337"/>
      <c r="C61337"/>
      <c r="E61337"/>
      <c r="F61337"/>
    </row>
    <row r="61338" spans="1:6" x14ac:dyDescent="0.25">
      <c r="A61338"/>
      <c r="B61338"/>
      <c r="C61338"/>
      <c r="E61338"/>
      <c r="F61338"/>
    </row>
    <row r="61339" spans="1:6" x14ac:dyDescent="0.25">
      <c r="A61339"/>
      <c r="B61339"/>
      <c r="C61339"/>
      <c r="E61339"/>
      <c r="F61339"/>
    </row>
    <row r="61340" spans="1:6" x14ac:dyDescent="0.25">
      <c r="A61340"/>
      <c r="B61340"/>
      <c r="C61340"/>
      <c r="E61340"/>
      <c r="F61340"/>
    </row>
    <row r="61341" spans="1:6" x14ac:dyDescent="0.25">
      <c r="A61341"/>
      <c r="B61341"/>
      <c r="C61341"/>
      <c r="E61341"/>
      <c r="F61341"/>
    </row>
    <row r="61342" spans="1:6" x14ac:dyDescent="0.25">
      <c r="A61342"/>
      <c r="B61342"/>
      <c r="C61342"/>
      <c r="E61342"/>
      <c r="F61342"/>
    </row>
    <row r="61343" spans="1:6" x14ac:dyDescent="0.25">
      <c r="A61343"/>
      <c r="B61343"/>
      <c r="C61343"/>
      <c r="E61343"/>
      <c r="F61343"/>
    </row>
    <row r="61344" spans="1:6" x14ac:dyDescent="0.25">
      <c r="A61344"/>
      <c r="B61344"/>
      <c r="C61344"/>
      <c r="E61344"/>
      <c r="F61344"/>
    </row>
    <row r="61345" spans="1:6" x14ac:dyDescent="0.25">
      <c r="A61345"/>
      <c r="B61345"/>
      <c r="C61345"/>
      <c r="E61345"/>
      <c r="F61345"/>
    </row>
    <row r="61346" spans="1:6" x14ac:dyDescent="0.25">
      <c r="A61346"/>
      <c r="B61346"/>
      <c r="C61346"/>
      <c r="E61346"/>
      <c r="F61346"/>
    </row>
    <row r="61347" spans="1:6" x14ac:dyDescent="0.25">
      <c r="A61347"/>
      <c r="B61347"/>
      <c r="C61347"/>
      <c r="E61347"/>
      <c r="F61347"/>
    </row>
    <row r="61348" spans="1:6" x14ac:dyDescent="0.25">
      <c r="A61348"/>
      <c r="B61348"/>
      <c r="C61348"/>
      <c r="E61348"/>
      <c r="F61348"/>
    </row>
    <row r="61349" spans="1:6" x14ac:dyDescent="0.25">
      <c r="A61349"/>
      <c r="B61349"/>
      <c r="C61349"/>
      <c r="E61349"/>
      <c r="F61349"/>
    </row>
    <row r="61350" spans="1:6" x14ac:dyDescent="0.25">
      <c r="A61350"/>
      <c r="B61350"/>
      <c r="C61350"/>
      <c r="E61350"/>
      <c r="F61350"/>
    </row>
    <row r="61351" spans="1:6" x14ac:dyDescent="0.25">
      <c r="A61351"/>
      <c r="B61351"/>
      <c r="C61351"/>
      <c r="E61351"/>
      <c r="F61351"/>
    </row>
    <row r="61352" spans="1:6" x14ac:dyDescent="0.25">
      <c r="A61352"/>
      <c r="B61352"/>
      <c r="C61352"/>
      <c r="E61352"/>
      <c r="F61352"/>
    </row>
    <row r="61353" spans="1:6" x14ac:dyDescent="0.25">
      <c r="A61353"/>
      <c r="B61353"/>
      <c r="C61353"/>
      <c r="E61353"/>
      <c r="F61353"/>
    </row>
    <row r="61354" spans="1:6" x14ac:dyDescent="0.25">
      <c r="A61354"/>
      <c r="B61354"/>
      <c r="C61354"/>
      <c r="E61354"/>
      <c r="F61354"/>
    </row>
    <row r="61355" spans="1:6" x14ac:dyDescent="0.25">
      <c r="A61355"/>
      <c r="B61355"/>
      <c r="C61355"/>
      <c r="E61355"/>
      <c r="F61355"/>
    </row>
    <row r="61356" spans="1:6" x14ac:dyDescent="0.25">
      <c r="A61356"/>
      <c r="B61356"/>
      <c r="C61356"/>
      <c r="E61356"/>
      <c r="F61356"/>
    </row>
    <row r="61357" spans="1:6" x14ac:dyDescent="0.25">
      <c r="A61357"/>
      <c r="B61357"/>
      <c r="C61357"/>
      <c r="E61357"/>
      <c r="F61357"/>
    </row>
    <row r="61358" spans="1:6" x14ac:dyDescent="0.25">
      <c r="A61358"/>
      <c r="B61358"/>
      <c r="C61358"/>
      <c r="E61358"/>
      <c r="F61358"/>
    </row>
    <row r="61359" spans="1:6" x14ac:dyDescent="0.25">
      <c r="A61359"/>
      <c r="B61359"/>
      <c r="C61359"/>
      <c r="E61359"/>
      <c r="F61359"/>
    </row>
    <row r="61360" spans="1:6" x14ac:dyDescent="0.25">
      <c r="A61360"/>
      <c r="B61360"/>
      <c r="C61360"/>
      <c r="E61360"/>
      <c r="F61360"/>
    </row>
    <row r="61361" spans="1:6" x14ac:dyDescent="0.25">
      <c r="A61361"/>
      <c r="B61361"/>
      <c r="C61361"/>
      <c r="E61361"/>
      <c r="F61361"/>
    </row>
    <row r="61362" spans="1:6" x14ac:dyDescent="0.25">
      <c r="A61362"/>
      <c r="B61362"/>
      <c r="C61362"/>
      <c r="E61362"/>
      <c r="F61362"/>
    </row>
    <row r="61363" spans="1:6" x14ac:dyDescent="0.25">
      <c r="A61363"/>
      <c r="B61363"/>
      <c r="C61363"/>
      <c r="E61363"/>
      <c r="F61363"/>
    </row>
    <row r="61364" spans="1:6" x14ac:dyDescent="0.25">
      <c r="A61364"/>
      <c r="B61364"/>
      <c r="C61364"/>
      <c r="E61364"/>
      <c r="F61364"/>
    </row>
    <row r="61365" spans="1:6" x14ac:dyDescent="0.25">
      <c r="A61365"/>
      <c r="B61365"/>
      <c r="C61365"/>
      <c r="E61365"/>
      <c r="F61365"/>
    </row>
    <row r="61366" spans="1:6" x14ac:dyDescent="0.25">
      <c r="A61366"/>
      <c r="B61366"/>
      <c r="C61366"/>
      <c r="E61366"/>
      <c r="F61366"/>
    </row>
    <row r="61367" spans="1:6" x14ac:dyDescent="0.25">
      <c r="A61367"/>
      <c r="B61367"/>
      <c r="C61367"/>
      <c r="E61367"/>
      <c r="F61367"/>
    </row>
    <row r="61368" spans="1:6" x14ac:dyDescent="0.25">
      <c r="A61368"/>
      <c r="B61368"/>
      <c r="C61368"/>
      <c r="E61368"/>
      <c r="F61368"/>
    </row>
    <row r="61369" spans="1:6" x14ac:dyDescent="0.25">
      <c r="A61369"/>
      <c r="B61369"/>
      <c r="C61369"/>
      <c r="E61369"/>
      <c r="F61369"/>
    </row>
    <row r="61370" spans="1:6" x14ac:dyDescent="0.25">
      <c r="A61370"/>
      <c r="B61370"/>
      <c r="C61370"/>
      <c r="E61370"/>
      <c r="F61370"/>
    </row>
    <row r="61371" spans="1:6" x14ac:dyDescent="0.25">
      <c r="A61371"/>
      <c r="B61371"/>
      <c r="C61371"/>
      <c r="E61371"/>
      <c r="F61371"/>
    </row>
    <row r="61372" spans="1:6" x14ac:dyDescent="0.25">
      <c r="A61372"/>
      <c r="B61372"/>
      <c r="C61372"/>
      <c r="E61372"/>
      <c r="F61372"/>
    </row>
    <row r="61373" spans="1:6" x14ac:dyDescent="0.25">
      <c r="A61373"/>
      <c r="B61373"/>
      <c r="C61373"/>
      <c r="E61373"/>
      <c r="F61373"/>
    </row>
    <row r="61374" spans="1:6" x14ac:dyDescent="0.25">
      <c r="A61374"/>
      <c r="B61374"/>
      <c r="C61374"/>
      <c r="E61374"/>
      <c r="F61374"/>
    </row>
    <row r="61375" spans="1:6" x14ac:dyDescent="0.25">
      <c r="A61375"/>
      <c r="B61375"/>
      <c r="C61375"/>
      <c r="E61375"/>
      <c r="F61375"/>
    </row>
    <row r="61376" spans="1:6" x14ac:dyDescent="0.25">
      <c r="A61376"/>
      <c r="B61376"/>
      <c r="C61376"/>
      <c r="E61376"/>
      <c r="F61376"/>
    </row>
    <row r="61377" spans="1:6" x14ac:dyDescent="0.25">
      <c r="A61377"/>
      <c r="B61377"/>
      <c r="C61377"/>
      <c r="E61377"/>
      <c r="F61377"/>
    </row>
    <row r="61378" spans="1:6" x14ac:dyDescent="0.25">
      <c r="A61378"/>
      <c r="B61378"/>
      <c r="C61378"/>
      <c r="E61378"/>
      <c r="F61378"/>
    </row>
    <row r="61379" spans="1:6" x14ac:dyDescent="0.25">
      <c r="A61379"/>
      <c r="B61379"/>
      <c r="C61379"/>
      <c r="E61379"/>
      <c r="F61379"/>
    </row>
    <row r="61380" spans="1:6" x14ac:dyDescent="0.25">
      <c r="A61380"/>
      <c r="B61380"/>
      <c r="C61380"/>
      <c r="E61380"/>
      <c r="F61380"/>
    </row>
    <row r="61381" spans="1:6" x14ac:dyDescent="0.25">
      <c r="A61381"/>
      <c r="B61381"/>
      <c r="C61381"/>
      <c r="E61381"/>
      <c r="F61381"/>
    </row>
    <row r="61382" spans="1:6" x14ac:dyDescent="0.25">
      <c r="A61382"/>
      <c r="B61382"/>
      <c r="C61382"/>
      <c r="E61382"/>
      <c r="F61382"/>
    </row>
    <row r="61383" spans="1:6" x14ac:dyDescent="0.25">
      <c r="A61383"/>
      <c r="B61383"/>
      <c r="C61383"/>
      <c r="E61383"/>
      <c r="F61383"/>
    </row>
    <row r="61384" spans="1:6" x14ac:dyDescent="0.25">
      <c r="A61384"/>
      <c r="B61384"/>
      <c r="C61384"/>
      <c r="E61384"/>
      <c r="F61384"/>
    </row>
    <row r="61385" spans="1:6" x14ac:dyDescent="0.25">
      <c r="A61385"/>
      <c r="B61385"/>
      <c r="C61385"/>
      <c r="E61385"/>
      <c r="F61385"/>
    </row>
    <row r="61386" spans="1:6" x14ac:dyDescent="0.25">
      <c r="A61386"/>
      <c r="B61386"/>
      <c r="C61386"/>
      <c r="E61386"/>
      <c r="F61386"/>
    </row>
    <row r="61387" spans="1:6" x14ac:dyDescent="0.25">
      <c r="A61387"/>
      <c r="B61387"/>
      <c r="C61387"/>
      <c r="E61387"/>
      <c r="F61387"/>
    </row>
    <row r="61388" spans="1:6" x14ac:dyDescent="0.25">
      <c r="A61388"/>
      <c r="B61388"/>
      <c r="C61388"/>
      <c r="E61388"/>
      <c r="F61388"/>
    </row>
    <row r="61389" spans="1:6" x14ac:dyDescent="0.25">
      <c r="A61389"/>
      <c r="B61389"/>
      <c r="C61389"/>
      <c r="E61389"/>
      <c r="F61389"/>
    </row>
    <row r="61390" spans="1:6" x14ac:dyDescent="0.25">
      <c r="A61390"/>
      <c r="B61390"/>
      <c r="C61390"/>
      <c r="E61390"/>
      <c r="F61390"/>
    </row>
    <row r="61391" spans="1:6" x14ac:dyDescent="0.25">
      <c r="A61391"/>
      <c r="B61391"/>
      <c r="C61391"/>
      <c r="E61391"/>
      <c r="F61391"/>
    </row>
    <row r="61392" spans="1:6" x14ac:dyDescent="0.25">
      <c r="A61392"/>
      <c r="B61392"/>
      <c r="C61392"/>
      <c r="E61392"/>
      <c r="F61392"/>
    </row>
    <row r="61393" spans="1:6" x14ac:dyDescent="0.25">
      <c r="A61393"/>
      <c r="B61393"/>
      <c r="C61393"/>
      <c r="E61393"/>
      <c r="F61393"/>
    </row>
    <row r="61394" spans="1:6" x14ac:dyDescent="0.25">
      <c r="A61394"/>
      <c r="B61394"/>
      <c r="C61394"/>
      <c r="E61394"/>
      <c r="F61394"/>
    </row>
    <row r="61395" spans="1:6" x14ac:dyDescent="0.25">
      <c r="A61395"/>
      <c r="B61395"/>
      <c r="C61395"/>
      <c r="E61395"/>
      <c r="F61395"/>
    </row>
    <row r="61396" spans="1:6" x14ac:dyDescent="0.25">
      <c r="A61396"/>
      <c r="B61396"/>
      <c r="C61396"/>
      <c r="E61396"/>
      <c r="F61396"/>
    </row>
    <row r="61397" spans="1:6" x14ac:dyDescent="0.25">
      <c r="A61397"/>
      <c r="B61397"/>
      <c r="C61397"/>
      <c r="E61397"/>
      <c r="F61397"/>
    </row>
    <row r="61398" spans="1:6" x14ac:dyDescent="0.25">
      <c r="A61398"/>
      <c r="B61398"/>
      <c r="C61398"/>
      <c r="E61398"/>
      <c r="F61398"/>
    </row>
    <row r="61399" spans="1:6" x14ac:dyDescent="0.25">
      <c r="A61399"/>
      <c r="B61399"/>
      <c r="C61399"/>
      <c r="E61399"/>
      <c r="F61399"/>
    </row>
    <row r="61400" spans="1:6" x14ac:dyDescent="0.25">
      <c r="A61400"/>
      <c r="B61400"/>
      <c r="C61400"/>
      <c r="E61400"/>
      <c r="F61400"/>
    </row>
    <row r="61401" spans="1:6" x14ac:dyDescent="0.25">
      <c r="A61401"/>
      <c r="B61401"/>
      <c r="C61401"/>
      <c r="E61401"/>
      <c r="F61401"/>
    </row>
    <row r="61402" spans="1:6" x14ac:dyDescent="0.25">
      <c r="A61402"/>
      <c r="B61402"/>
      <c r="C61402"/>
      <c r="E61402"/>
      <c r="F61402"/>
    </row>
    <row r="61403" spans="1:6" x14ac:dyDescent="0.25">
      <c r="A61403"/>
      <c r="B61403"/>
      <c r="C61403"/>
      <c r="E61403"/>
      <c r="F61403"/>
    </row>
    <row r="61404" spans="1:6" x14ac:dyDescent="0.25">
      <c r="A61404"/>
      <c r="B61404"/>
      <c r="C61404"/>
      <c r="E61404"/>
      <c r="F61404"/>
    </row>
    <row r="61405" spans="1:6" x14ac:dyDescent="0.25">
      <c r="A61405"/>
      <c r="B61405"/>
      <c r="C61405"/>
      <c r="E61405"/>
      <c r="F61405"/>
    </row>
    <row r="61406" spans="1:6" x14ac:dyDescent="0.25">
      <c r="A61406"/>
      <c r="B61406"/>
      <c r="C61406"/>
      <c r="E61406"/>
      <c r="F61406"/>
    </row>
    <row r="61407" spans="1:6" x14ac:dyDescent="0.25">
      <c r="A61407"/>
      <c r="B61407"/>
      <c r="C61407"/>
      <c r="E61407"/>
      <c r="F61407"/>
    </row>
    <row r="61408" spans="1:6" x14ac:dyDescent="0.25">
      <c r="A61408"/>
      <c r="B61408"/>
      <c r="C61408"/>
      <c r="E61408"/>
      <c r="F61408"/>
    </row>
    <row r="61409" spans="1:6" x14ac:dyDescent="0.25">
      <c r="A61409"/>
      <c r="B61409"/>
      <c r="C61409"/>
      <c r="E61409"/>
      <c r="F61409"/>
    </row>
    <row r="61410" spans="1:6" x14ac:dyDescent="0.25">
      <c r="A61410"/>
      <c r="B61410"/>
      <c r="C61410"/>
      <c r="E61410"/>
      <c r="F61410"/>
    </row>
    <row r="61411" spans="1:6" x14ac:dyDescent="0.25">
      <c r="A61411"/>
      <c r="B61411"/>
      <c r="C61411"/>
      <c r="E61411"/>
      <c r="F61411"/>
    </row>
    <row r="61412" spans="1:6" x14ac:dyDescent="0.25">
      <c r="A61412"/>
      <c r="B61412"/>
      <c r="C61412"/>
      <c r="E61412"/>
      <c r="F61412"/>
    </row>
    <row r="61413" spans="1:6" x14ac:dyDescent="0.25">
      <c r="A61413"/>
      <c r="B61413"/>
      <c r="C61413"/>
      <c r="E61413"/>
      <c r="F61413"/>
    </row>
    <row r="61414" spans="1:6" x14ac:dyDescent="0.25">
      <c r="A61414"/>
      <c r="B61414"/>
      <c r="C61414"/>
      <c r="E61414"/>
      <c r="F61414"/>
    </row>
    <row r="61415" spans="1:6" x14ac:dyDescent="0.25">
      <c r="A61415"/>
      <c r="B61415"/>
      <c r="C61415"/>
      <c r="E61415"/>
      <c r="F61415"/>
    </row>
    <row r="61416" spans="1:6" x14ac:dyDescent="0.25">
      <c r="A61416"/>
      <c r="B61416"/>
      <c r="C61416"/>
      <c r="E61416"/>
      <c r="F61416"/>
    </row>
    <row r="61417" spans="1:6" x14ac:dyDescent="0.25">
      <c r="A61417"/>
      <c r="B61417"/>
      <c r="C61417"/>
      <c r="E61417"/>
      <c r="F61417"/>
    </row>
    <row r="61418" spans="1:6" x14ac:dyDescent="0.25">
      <c r="A61418"/>
      <c r="B61418"/>
      <c r="C61418"/>
      <c r="E61418"/>
      <c r="F61418"/>
    </row>
    <row r="61419" spans="1:6" x14ac:dyDescent="0.25">
      <c r="A61419"/>
      <c r="B61419"/>
      <c r="C61419"/>
      <c r="E61419"/>
      <c r="F61419"/>
    </row>
    <row r="61420" spans="1:6" x14ac:dyDescent="0.25">
      <c r="A61420"/>
      <c r="B61420"/>
      <c r="C61420"/>
      <c r="E61420"/>
      <c r="F61420"/>
    </row>
    <row r="61421" spans="1:6" x14ac:dyDescent="0.25">
      <c r="A61421"/>
      <c r="B61421"/>
      <c r="C61421"/>
      <c r="E61421"/>
      <c r="F61421"/>
    </row>
    <row r="61422" spans="1:6" x14ac:dyDescent="0.25">
      <c r="A61422"/>
      <c r="B61422"/>
      <c r="C61422"/>
      <c r="E61422"/>
      <c r="F61422"/>
    </row>
    <row r="61423" spans="1:6" x14ac:dyDescent="0.25">
      <c r="A61423"/>
      <c r="B61423"/>
      <c r="C61423"/>
      <c r="E61423"/>
      <c r="F61423"/>
    </row>
    <row r="61424" spans="1:6" x14ac:dyDescent="0.25">
      <c r="A61424"/>
      <c r="B61424"/>
      <c r="C61424"/>
      <c r="E61424"/>
      <c r="F61424"/>
    </row>
    <row r="61425" spans="1:6" x14ac:dyDescent="0.25">
      <c r="A61425"/>
      <c r="B61425"/>
      <c r="C61425"/>
      <c r="E61425"/>
      <c r="F61425"/>
    </row>
    <row r="61426" spans="1:6" x14ac:dyDescent="0.25">
      <c r="A61426"/>
      <c r="B61426"/>
      <c r="C61426"/>
      <c r="E61426"/>
      <c r="F61426"/>
    </row>
    <row r="61427" spans="1:6" x14ac:dyDescent="0.25">
      <c r="A61427"/>
      <c r="B61427"/>
      <c r="C61427"/>
      <c r="E61427"/>
      <c r="F61427"/>
    </row>
    <row r="61428" spans="1:6" x14ac:dyDescent="0.25">
      <c r="A61428"/>
      <c r="B61428"/>
      <c r="C61428"/>
      <c r="E61428"/>
      <c r="F61428"/>
    </row>
    <row r="61429" spans="1:6" x14ac:dyDescent="0.25">
      <c r="A61429"/>
      <c r="B61429"/>
      <c r="C61429"/>
      <c r="E61429"/>
      <c r="F61429"/>
    </row>
    <row r="61430" spans="1:6" x14ac:dyDescent="0.25">
      <c r="A61430"/>
      <c r="B61430"/>
      <c r="C61430"/>
      <c r="E61430"/>
      <c r="F61430"/>
    </row>
    <row r="61431" spans="1:6" x14ac:dyDescent="0.25">
      <c r="A61431"/>
      <c r="B61431"/>
      <c r="C61431"/>
      <c r="E61431"/>
      <c r="F61431"/>
    </row>
    <row r="61432" spans="1:6" x14ac:dyDescent="0.25">
      <c r="A61432"/>
      <c r="B61432"/>
      <c r="C61432"/>
      <c r="E61432"/>
      <c r="F61432"/>
    </row>
    <row r="61433" spans="1:6" x14ac:dyDescent="0.25">
      <c r="A61433"/>
      <c r="B61433"/>
      <c r="C61433"/>
      <c r="E61433"/>
      <c r="F61433"/>
    </row>
    <row r="61434" spans="1:6" x14ac:dyDescent="0.25">
      <c r="A61434"/>
      <c r="B61434"/>
      <c r="C61434"/>
      <c r="E61434"/>
      <c r="F61434"/>
    </row>
    <row r="61435" spans="1:6" x14ac:dyDescent="0.25">
      <c r="A61435"/>
      <c r="B61435"/>
      <c r="C61435"/>
      <c r="E61435"/>
      <c r="F61435"/>
    </row>
    <row r="61436" spans="1:6" x14ac:dyDescent="0.25">
      <c r="A61436"/>
      <c r="B61436"/>
      <c r="C61436"/>
      <c r="E61436"/>
      <c r="F61436"/>
    </row>
    <row r="61437" spans="1:6" x14ac:dyDescent="0.25">
      <c r="A61437"/>
      <c r="B61437"/>
      <c r="C61437"/>
      <c r="E61437"/>
      <c r="F61437"/>
    </row>
    <row r="61438" spans="1:6" x14ac:dyDescent="0.25">
      <c r="A61438"/>
      <c r="B61438"/>
      <c r="C61438"/>
      <c r="E61438"/>
      <c r="F61438"/>
    </row>
    <row r="61439" spans="1:6" x14ac:dyDescent="0.25">
      <c r="A61439"/>
      <c r="B61439"/>
      <c r="C61439"/>
      <c r="E61439"/>
      <c r="F61439"/>
    </row>
    <row r="61440" spans="1:6" x14ac:dyDescent="0.25">
      <c r="A61440"/>
      <c r="B61440"/>
      <c r="C61440"/>
      <c r="E61440"/>
      <c r="F61440"/>
    </row>
    <row r="61441" spans="1:6" x14ac:dyDescent="0.25">
      <c r="A61441"/>
      <c r="B61441"/>
      <c r="C61441"/>
      <c r="E61441"/>
      <c r="F61441"/>
    </row>
    <row r="61442" spans="1:6" x14ac:dyDescent="0.25">
      <c r="A61442"/>
      <c r="B61442"/>
      <c r="C61442"/>
      <c r="E61442"/>
      <c r="F61442"/>
    </row>
    <row r="61443" spans="1:6" x14ac:dyDescent="0.25">
      <c r="A61443"/>
      <c r="B61443"/>
      <c r="C61443"/>
      <c r="E61443"/>
      <c r="F61443"/>
    </row>
    <row r="61444" spans="1:6" x14ac:dyDescent="0.25">
      <c r="A61444"/>
      <c r="B61444"/>
      <c r="C61444"/>
      <c r="E61444"/>
      <c r="F61444"/>
    </row>
    <row r="61445" spans="1:6" x14ac:dyDescent="0.25">
      <c r="A61445"/>
      <c r="B61445"/>
      <c r="C61445"/>
      <c r="E61445"/>
      <c r="F61445"/>
    </row>
    <row r="61446" spans="1:6" x14ac:dyDescent="0.25">
      <c r="A61446"/>
      <c r="B61446"/>
      <c r="C61446"/>
      <c r="E61446"/>
      <c r="F61446"/>
    </row>
    <row r="61447" spans="1:6" x14ac:dyDescent="0.25">
      <c r="A61447"/>
      <c r="B61447"/>
      <c r="C61447"/>
      <c r="E61447"/>
      <c r="F61447"/>
    </row>
    <row r="61448" spans="1:6" x14ac:dyDescent="0.25">
      <c r="A61448"/>
      <c r="B61448"/>
      <c r="C61448"/>
      <c r="E61448"/>
      <c r="F61448"/>
    </row>
    <row r="61449" spans="1:6" x14ac:dyDescent="0.25">
      <c r="A61449"/>
      <c r="B61449"/>
      <c r="C61449"/>
      <c r="E61449"/>
      <c r="F61449"/>
    </row>
    <row r="61450" spans="1:6" x14ac:dyDescent="0.25">
      <c r="A61450"/>
      <c r="B61450"/>
      <c r="C61450"/>
      <c r="E61450"/>
      <c r="F61450"/>
    </row>
    <row r="61451" spans="1:6" x14ac:dyDescent="0.25">
      <c r="A61451"/>
      <c r="B61451"/>
      <c r="C61451"/>
      <c r="E61451"/>
      <c r="F61451"/>
    </row>
    <row r="61452" spans="1:6" x14ac:dyDescent="0.25">
      <c r="A61452"/>
      <c r="B61452"/>
      <c r="C61452"/>
      <c r="E61452"/>
      <c r="F61452"/>
    </row>
    <row r="61453" spans="1:6" x14ac:dyDescent="0.25">
      <c r="A61453"/>
      <c r="B61453"/>
      <c r="C61453"/>
      <c r="E61453"/>
      <c r="F61453"/>
    </row>
    <row r="61454" spans="1:6" x14ac:dyDescent="0.25">
      <c r="A61454"/>
      <c r="B61454"/>
      <c r="C61454"/>
      <c r="E61454"/>
      <c r="F61454"/>
    </row>
    <row r="61455" spans="1:6" x14ac:dyDescent="0.25">
      <c r="A61455"/>
      <c r="B61455"/>
      <c r="C61455"/>
      <c r="E61455"/>
      <c r="F61455"/>
    </row>
    <row r="61456" spans="1:6" x14ac:dyDescent="0.25">
      <c r="A61456"/>
      <c r="B61456"/>
      <c r="C61456"/>
      <c r="E61456"/>
      <c r="F61456"/>
    </row>
    <row r="61457" spans="1:6" x14ac:dyDescent="0.25">
      <c r="A61457"/>
      <c r="B61457"/>
      <c r="C61457"/>
      <c r="E61457"/>
      <c r="F61457"/>
    </row>
    <row r="61458" spans="1:6" x14ac:dyDescent="0.25">
      <c r="A61458"/>
      <c r="B61458"/>
      <c r="C61458"/>
      <c r="E61458"/>
      <c r="F61458"/>
    </row>
    <row r="61459" spans="1:6" x14ac:dyDescent="0.25">
      <c r="A61459"/>
      <c r="B61459"/>
      <c r="C61459"/>
      <c r="E61459"/>
      <c r="F61459"/>
    </row>
    <row r="61460" spans="1:6" x14ac:dyDescent="0.25">
      <c r="A61460"/>
      <c r="B61460"/>
      <c r="C61460"/>
      <c r="E61460"/>
      <c r="F61460"/>
    </row>
    <row r="61461" spans="1:6" x14ac:dyDescent="0.25">
      <c r="A61461"/>
      <c r="B61461"/>
      <c r="C61461"/>
      <c r="E61461"/>
      <c r="F61461"/>
    </row>
    <row r="61462" spans="1:6" x14ac:dyDescent="0.25">
      <c r="A61462"/>
      <c r="B61462"/>
      <c r="C61462"/>
      <c r="E61462"/>
      <c r="F61462"/>
    </row>
    <row r="61463" spans="1:6" x14ac:dyDescent="0.25">
      <c r="A61463"/>
      <c r="B61463"/>
      <c r="C61463"/>
      <c r="E61463"/>
      <c r="F61463"/>
    </row>
    <row r="61464" spans="1:6" x14ac:dyDescent="0.25">
      <c r="A61464"/>
      <c r="B61464"/>
      <c r="C61464"/>
      <c r="E61464"/>
      <c r="F61464"/>
    </row>
    <row r="61465" spans="1:6" x14ac:dyDescent="0.25">
      <c r="A61465"/>
      <c r="B61465"/>
      <c r="C61465"/>
      <c r="E61465"/>
      <c r="F61465"/>
    </row>
    <row r="61466" spans="1:6" x14ac:dyDescent="0.25">
      <c r="A61466"/>
      <c r="B61466"/>
      <c r="C61466"/>
      <c r="E61466"/>
      <c r="F61466"/>
    </row>
    <row r="61467" spans="1:6" x14ac:dyDescent="0.25">
      <c r="A61467"/>
      <c r="B61467"/>
      <c r="C61467"/>
      <c r="E61467"/>
      <c r="F61467"/>
    </row>
    <row r="61468" spans="1:6" x14ac:dyDescent="0.25">
      <c r="A61468"/>
      <c r="B61468"/>
      <c r="C61468"/>
      <c r="E61468"/>
      <c r="F61468"/>
    </row>
    <row r="61469" spans="1:6" x14ac:dyDescent="0.25">
      <c r="A61469"/>
      <c r="B61469"/>
      <c r="C61469"/>
      <c r="E61469"/>
      <c r="F61469"/>
    </row>
    <row r="61470" spans="1:6" x14ac:dyDescent="0.25">
      <c r="A61470"/>
      <c r="B61470"/>
      <c r="C61470"/>
      <c r="E61470"/>
      <c r="F61470"/>
    </row>
    <row r="61471" spans="1:6" x14ac:dyDescent="0.25">
      <c r="A61471"/>
      <c r="B61471"/>
      <c r="C61471"/>
      <c r="E61471"/>
      <c r="F61471"/>
    </row>
    <row r="61472" spans="1:6" x14ac:dyDescent="0.25">
      <c r="A61472"/>
      <c r="B61472"/>
      <c r="C61472"/>
      <c r="E61472"/>
      <c r="F61472"/>
    </row>
    <row r="61473" spans="1:6" x14ac:dyDescent="0.25">
      <c r="A61473"/>
      <c r="B61473"/>
      <c r="C61473"/>
      <c r="E61473"/>
      <c r="F61473"/>
    </row>
    <row r="61474" spans="1:6" x14ac:dyDescent="0.25">
      <c r="A61474"/>
      <c r="B61474"/>
      <c r="C61474"/>
      <c r="E61474"/>
      <c r="F61474"/>
    </row>
    <row r="61475" spans="1:6" x14ac:dyDescent="0.25">
      <c r="A61475"/>
      <c r="B61475"/>
      <c r="C61475"/>
      <c r="E61475"/>
      <c r="F61475"/>
    </row>
    <row r="61476" spans="1:6" x14ac:dyDescent="0.25">
      <c r="A61476"/>
      <c r="B61476"/>
      <c r="C61476"/>
      <c r="E61476"/>
      <c r="F61476"/>
    </row>
    <row r="61477" spans="1:6" x14ac:dyDescent="0.25">
      <c r="A61477"/>
      <c r="B61477"/>
      <c r="C61477"/>
      <c r="E61477"/>
      <c r="F61477"/>
    </row>
    <row r="61478" spans="1:6" x14ac:dyDescent="0.25">
      <c r="A61478"/>
      <c r="B61478"/>
      <c r="C61478"/>
      <c r="E61478"/>
      <c r="F61478"/>
    </row>
    <row r="61479" spans="1:6" x14ac:dyDescent="0.25">
      <c r="A61479"/>
      <c r="B61479"/>
      <c r="C61479"/>
      <c r="E61479"/>
      <c r="F61479"/>
    </row>
    <row r="61480" spans="1:6" x14ac:dyDescent="0.25">
      <c r="A61480"/>
      <c r="B61480"/>
      <c r="C61480"/>
      <c r="E61480"/>
      <c r="F61480"/>
    </row>
    <row r="61481" spans="1:6" x14ac:dyDescent="0.25">
      <c r="A61481"/>
      <c r="B61481"/>
      <c r="C61481"/>
      <c r="E61481"/>
      <c r="F61481"/>
    </row>
    <row r="61482" spans="1:6" x14ac:dyDescent="0.25">
      <c r="A61482"/>
      <c r="B61482"/>
      <c r="C61482"/>
      <c r="E61482"/>
      <c r="F61482"/>
    </row>
    <row r="61483" spans="1:6" x14ac:dyDescent="0.25">
      <c r="A61483"/>
      <c r="B61483"/>
      <c r="C61483"/>
      <c r="E61483"/>
      <c r="F61483"/>
    </row>
    <row r="61484" spans="1:6" x14ac:dyDescent="0.25">
      <c r="A61484"/>
      <c r="B61484"/>
      <c r="C61484"/>
      <c r="E61484"/>
      <c r="F61484"/>
    </row>
    <row r="61485" spans="1:6" x14ac:dyDescent="0.25">
      <c r="A61485"/>
      <c r="B61485"/>
      <c r="C61485"/>
      <c r="E61485"/>
      <c r="F61485"/>
    </row>
    <row r="61486" spans="1:6" x14ac:dyDescent="0.25">
      <c r="A61486"/>
      <c r="B61486"/>
      <c r="C61486"/>
      <c r="E61486"/>
      <c r="F61486"/>
    </row>
    <row r="61487" spans="1:6" x14ac:dyDescent="0.25">
      <c r="A61487"/>
      <c r="B61487"/>
      <c r="C61487"/>
      <c r="E61487"/>
      <c r="F61487"/>
    </row>
    <row r="61488" spans="1:6" x14ac:dyDescent="0.25">
      <c r="A61488"/>
      <c r="B61488"/>
      <c r="C61488"/>
      <c r="E61488"/>
      <c r="F61488"/>
    </row>
    <row r="61489" spans="1:6" x14ac:dyDescent="0.25">
      <c r="A61489"/>
      <c r="B61489"/>
      <c r="C61489"/>
      <c r="E61489"/>
      <c r="F61489"/>
    </row>
    <row r="61490" spans="1:6" x14ac:dyDescent="0.25">
      <c r="A61490"/>
      <c r="B61490"/>
      <c r="C61490"/>
      <c r="E61490"/>
      <c r="F61490"/>
    </row>
    <row r="61491" spans="1:6" x14ac:dyDescent="0.25">
      <c r="A61491"/>
      <c r="B61491"/>
      <c r="C61491"/>
      <c r="E61491"/>
      <c r="F61491"/>
    </row>
    <row r="61492" spans="1:6" x14ac:dyDescent="0.25">
      <c r="A61492"/>
      <c r="B61492"/>
      <c r="C61492"/>
      <c r="E61492"/>
      <c r="F61492"/>
    </row>
    <row r="61493" spans="1:6" x14ac:dyDescent="0.25">
      <c r="A61493"/>
      <c r="B61493"/>
      <c r="C61493"/>
      <c r="E61493"/>
      <c r="F61493"/>
    </row>
    <row r="61494" spans="1:6" x14ac:dyDescent="0.25">
      <c r="A61494"/>
      <c r="B61494"/>
      <c r="C61494"/>
      <c r="E61494"/>
      <c r="F61494"/>
    </row>
    <row r="61495" spans="1:6" x14ac:dyDescent="0.25">
      <c r="A61495"/>
      <c r="B61495"/>
      <c r="C61495"/>
      <c r="E61495"/>
      <c r="F61495"/>
    </row>
    <row r="61496" spans="1:6" x14ac:dyDescent="0.25">
      <c r="A61496"/>
      <c r="B61496"/>
      <c r="C61496"/>
      <c r="E61496"/>
      <c r="F61496"/>
    </row>
    <row r="61497" spans="1:6" x14ac:dyDescent="0.25">
      <c r="A61497"/>
      <c r="B61497"/>
      <c r="C61497"/>
      <c r="E61497"/>
      <c r="F61497"/>
    </row>
    <row r="61498" spans="1:6" x14ac:dyDescent="0.25">
      <c r="A61498"/>
      <c r="B61498"/>
      <c r="C61498"/>
      <c r="E61498"/>
      <c r="F61498"/>
    </row>
    <row r="61499" spans="1:6" x14ac:dyDescent="0.25">
      <c r="A61499"/>
      <c r="B61499"/>
      <c r="C61499"/>
      <c r="E61499"/>
      <c r="F61499"/>
    </row>
    <row r="61500" spans="1:6" x14ac:dyDescent="0.25">
      <c r="A61500"/>
      <c r="B61500"/>
      <c r="C61500"/>
      <c r="E61500"/>
      <c r="F61500"/>
    </row>
    <row r="61501" spans="1:6" x14ac:dyDescent="0.25">
      <c r="A61501"/>
      <c r="B61501"/>
      <c r="C61501"/>
      <c r="E61501"/>
      <c r="F61501"/>
    </row>
    <row r="61502" spans="1:6" x14ac:dyDescent="0.25">
      <c r="A61502"/>
      <c r="B61502"/>
      <c r="C61502"/>
      <c r="E61502"/>
      <c r="F61502"/>
    </row>
    <row r="61503" spans="1:6" x14ac:dyDescent="0.25">
      <c r="A61503"/>
      <c r="B61503"/>
      <c r="C61503"/>
      <c r="E61503"/>
      <c r="F61503"/>
    </row>
    <row r="61504" spans="1:6" x14ac:dyDescent="0.25">
      <c r="A61504"/>
      <c r="B61504"/>
      <c r="C61504"/>
      <c r="E61504"/>
      <c r="F61504"/>
    </row>
    <row r="61505" spans="1:6" x14ac:dyDescent="0.25">
      <c r="A61505"/>
      <c r="B61505"/>
      <c r="C61505"/>
      <c r="E61505"/>
      <c r="F61505"/>
    </row>
    <row r="61506" spans="1:6" x14ac:dyDescent="0.25">
      <c r="A61506"/>
      <c r="B61506"/>
      <c r="C61506"/>
      <c r="E61506"/>
      <c r="F61506"/>
    </row>
    <row r="61507" spans="1:6" x14ac:dyDescent="0.25">
      <c r="A61507"/>
      <c r="B61507"/>
      <c r="C61507"/>
      <c r="E61507"/>
      <c r="F61507"/>
    </row>
    <row r="61508" spans="1:6" x14ac:dyDescent="0.25">
      <c r="A61508"/>
      <c r="B61508"/>
      <c r="C61508"/>
      <c r="E61508"/>
      <c r="F61508"/>
    </row>
    <row r="61509" spans="1:6" x14ac:dyDescent="0.25">
      <c r="A61509"/>
      <c r="B61509"/>
      <c r="C61509"/>
      <c r="E61509"/>
      <c r="F61509"/>
    </row>
    <row r="61510" spans="1:6" x14ac:dyDescent="0.25">
      <c r="A61510"/>
      <c r="B61510"/>
      <c r="C61510"/>
      <c r="E61510"/>
      <c r="F61510"/>
    </row>
    <row r="61511" spans="1:6" x14ac:dyDescent="0.25">
      <c r="A61511"/>
      <c r="B61511"/>
      <c r="C61511"/>
      <c r="E61511"/>
      <c r="F61511"/>
    </row>
    <row r="61512" spans="1:6" x14ac:dyDescent="0.25">
      <c r="A61512"/>
      <c r="B61512"/>
      <c r="C61512"/>
      <c r="E61512"/>
      <c r="F61512"/>
    </row>
    <row r="61513" spans="1:6" x14ac:dyDescent="0.25">
      <c r="A61513"/>
      <c r="B61513"/>
      <c r="C61513"/>
      <c r="E61513"/>
      <c r="F61513"/>
    </row>
    <row r="61514" spans="1:6" x14ac:dyDescent="0.25">
      <c r="A61514"/>
      <c r="B61514"/>
      <c r="C61514"/>
      <c r="E61514"/>
      <c r="F61514"/>
    </row>
    <row r="61515" spans="1:6" x14ac:dyDescent="0.25">
      <c r="A61515"/>
      <c r="B61515"/>
      <c r="C61515"/>
      <c r="E61515"/>
      <c r="F61515"/>
    </row>
    <row r="61516" spans="1:6" x14ac:dyDescent="0.25">
      <c r="A61516"/>
      <c r="B61516"/>
      <c r="C61516"/>
      <c r="E61516"/>
      <c r="F61516"/>
    </row>
    <row r="61517" spans="1:6" x14ac:dyDescent="0.25">
      <c r="A61517"/>
      <c r="B61517"/>
      <c r="C61517"/>
      <c r="E61517"/>
      <c r="F61517"/>
    </row>
    <row r="61518" spans="1:6" x14ac:dyDescent="0.25">
      <c r="A61518"/>
      <c r="B61518"/>
      <c r="C61518"/>
      <c r="E61518"/>
      <c r="F61518"/>
    </row>
    <row r="61519" spans="1:6" x14ac:dyDescent="0.25">
      <c r="A61519"/>
      <c r="B61519"/>
      <c r="C61519"/>
      <c r="E61519"/>
      <c r="F61519"/>
    </row>
    <row r="61520" spans="1:6" x14ac:dyDescent="0.25">
      <c r="A61520"/>
      <c r="B61520"/>
      <c r="C61520"/>
      <c r="E61520"/>
      <c r="F61520"/>
    </row>
    <row r="61521" spans="1:6" x14ac:dyDescent="0.25">
      <c r="A61521"/>
      <c r="B61521"/>
      <c r="C61521"/>
      <c r="E61521"/>
      <c r="F61521"/>
    </row>
    <row r="61522" spans="1:6" x14ac:dyDescent="0.25">
      <c r="A61522"/>
      <c r="B61522"/>
      <c r="C61522"/>
      <c r="E61522"/>
      <c r="F61522"/>
    </row>
    <row r="61523" spans="1:6" x14ac:dyDescent="0.25">
      <c r="A61523"/>
      <c r="B61523"/>
      <c r="C61523"/>
      <c r="E61523"/>
      <c r="F61523"/>
    </row>
    <row r="61524" spans="1:6" x14ac:dyDescent="0.25">
      <c r="A61524"/>
      <c r="B61524"/>
      <c r="C61524"/>
      <c r="E61524"/>
      <c r="F61524"/>
    </row>
    <row r="61525" spans="1:6" x14ac:dyDescent="0.25">
      <c r="A61525"/>
      <c r="B61525"/>
      <c r="C61525"/>
      <c r="E61525"/>
      <c r="F61525"/>
    </row>
    <row r="61526" spans="1:6" x14ac:dyDescent="0.25">
      <c r="A61526"/>
      <c r="B61526"/>
      <c r="C61526"/>
      <c r="E61526"/>
      <c r="F61526"/>
    </row>
    <row r="61527" spans="1:6" x14ac:dyDescent="0.25">
      <c r="A61527"/>
      <c r="B61527"/>
      <c r="C61527"/>
      <c r="E61527"/>
      <c r="F61527"/>
    </row>
    <row r="61528" spans="1:6" x14ac:dyDescent="0.25">
      <c r="A61528"/>
      <c r="B61528"/>
      <c r="C61528"/>
      <c r="E61528"/>
      <c r="F61528"/>
    </row>
    <row r="61529" spans="1:6" x14ac:dyDescent="0.25">
      <c r="A61529"/>
      <c r="B61529"/>
      <c r="C61529"/>
      <c r="E61529"/>
      <c r="F61529"/>
    </row>
    <row r="61530" spans="1:6" x14ac:dyDescent="0.25">
      <c r="A61530"/>
      <c r="B61530"/>
      <c r="C61530"/>
      <c r="E61530"/>
      <c r="F61530"/>
    </row>
    <row r="61531" spans="1:6" x14ac:dyDescent="0.25">
      <c r="A61531"/>
      <c r="B61531"/>
      <c r="C61531"/>
      <c r="E61531"/>
      <c r="F61531"/>
    </row>
    <row r="61532" spans="1:6" x14ac:dyDescent="0.25">
      <c r="A61532"/>
      <c r="B61532"/>
      <c r="C61532"/>
      <c r="E61532"/>
      <c r="F61532"/>
    </row>
    <row r="61533" spans="1:6" x14ac:dyDescent="0.25">
      <c r="A61533"/>
      <c r="B61533"/>
      <c r="C61533"/>
      <c r="E61533"/>
      <c r="F61533"/>
    </row>
    <row r="61534" spans="1:6" x14ac:dyDescent="0.25">
      <c r="A61534"/>
      <c r="B61534"/>
      <c r="C61534"/>
      <c r="E61534"/>
      <c r="F61534"/>
    </row>
    <row r="61535" spans="1:6" x14ac:dyDescent="0.25">
      <c r="A61535"/>
      <c r="B61535"/>
      <c r="C61535"/>
      <c r="E61535"/>
      <c r="F61535"/>
    </row>
    <row r="61536" spans="1:6" x14ac:dyDescent="0.25">
      <c r="A61536"/>
      <c r="B61536"/>
      <c r="C61536"/>
      <c r="E61536"/>
      <c r="F61536"/>
    </row>
    <row r="61537" spans="1:6" x14ac:dyDescent="0.25">
      <c r="A61537"/>
      <c r="B61537"/>
      <c r="C61537"/>
      <c r="E61537"/>
      <c r="F61537"/>
    </row>
    <row r="61538" spans="1:6" x14ac:dyDescent="0.25">
      <c r="A61538"/>
      <c r="B61538"/>
      <c r="C61538"/>
      <c r="E61538"/>
      <c r="F61538"/>
    </row>
    <row r="61539" spans="1:6" x14ac:dyDescent="0.25">
      <c r="A61539"/>
      <c r="B61539"/>
      <c r="C61539"/>
      <c r="E61539"/>
      <c r="F61539"/>
    </row>
    <row r="61540" spans="1:6" x14ac:dyDescent="0.25">
      <c r="A61540"/>
      <c r="B61540"/>
      <c r="C61540"/>
      <c r="E61540"/>
      <c r="F61540"/>
    </row>
    <row r="61541" spans="1:6" x14ac:dyDescent="0.25">
      <c r="A61541"/>
      <c r="B61541"/>
      <c r="C61541"/>
      <c r="E61541"/>
      <c r="F61541"/>
    </row>
    <row r="61542" spans="1:6" x14ac:dyDescent="0.25">
      <c r="A61542"/>
      <c r="B61542"/>
      <c r="C61542"/>
      <c r="E61542"/>
      <c r="F61542"/>
    </row>
    <row r="61543" spans="1:6" x14ac:dyDescent="0.25">
      <c r="A61543"/>
      <c r="B61543"/>
      <c r="C61543"/>
      <c r="E61543"/>
      <c r="F61543"/>
    </row>
    <row r="61544" spans="1:6" x14ac:dyDescent="0.25">
      <c r="A61544"/>
      <c r="B61544"/>
      <c r="C61544"/>
      <c r="E61544"/>
      <c r="F61544"/>
    </row>
    <row r="61545" spans="1:6" x14ac:dyDescent="0.25">
      <c r="A61545"/>
      <c r="B61545"/>
      <c r="C61545"/>
      <c r="E61545"/>
      <c r="F61545"/>
    </row>
    <row r="61546" spans="1:6" x14ac:dyDescent="0.25">
      <c r="A61546"/>
      <c r="B61546"/>
      <c r="C61546"/>
      <c r="E61546"/>
      <c r="F61546"/>
    </row>
    <row r="61547" spans="1:6" x14ac:dyDescent="0.25">
      <c r="A61547"/>
      <c r="B61547"/>
      <c r="C61547"/>
      <c r="E61547"/>
      <c r="F61547"/>
    </row>
    <row r="61548" spans="1:6" x14ac:dyDescent="0.25">
      <c r="A61548"/>
      <c r="B61548"/>
      <c r="C61548"/>
      <c r="E61548"/>
      <c r="F61548"/>
    </row>
    <row r="61549" spans="1:6" x14ac:dyDescent="0.25">
      <c r="A61549"/>
      <c r="B61549"/>
      <c r="C61549"/>
      <c r="E61549"/>
      <c r="F61549"/>
    </row>
    <row r="61550" spans="1:6" x14ac:dyDescent="0.25">
      <c r="A61550"/>
      <c r="B61550"/>
      <c r="C61550"/>
      <c r="E61550"/>
      <c r="F61550"/>
    </row>
    <row r="61551" spans="1:6" x14ac:dyDescent="0.25">
      <c r="A61551"/>
      <c r="B61551"/>
      <c r="C61551"/>
      <c r="E61551"/>
      <c r="F61551"/>
    </row>
    <row r="61552" spans="1:6" x14ac:dyDescent="0.25">
      <c r="A61552"/>
      <c r="B61552"/>
      <c r="C61552"/>
      <c r="E61552"/>
      <c r="F61552"/>
    </row>
    <row r="61553" spans="1:6" x14ac:dyDescent="0.25">
      <c r="A61553"/>
      <c r="B61553"/>
      <c r="C61553"/>
      <c r="E61553"/>
      <c r="F61553"/>
    </row>
    <row r="61554" spans="1:6" x14ac:dyDescent="0.25">
      <c r="A61554"/>
      <c r="B61554"/>
      <c r="C61554"/>
      <c r="E61554"/>
      <c r="F61554"/>
    </row>
    <row r="61555" spans="1:6" x14ac:dyDescent="0.25">
      <c r="A61555"/>
      <c r="B61555"/>
      <c r="C61555"/>
      <c r="E61555"/>
      <c r="F61555"/>
    </row>
    <row r="61556" spans="1:6" x14ac:dyDescent="0.25">
      <c r="A61556"/>
      <c r="B61556"/>
      <c r="C61556"/>
      <c r="E61556"/>
      <c r="F61556"/>
    </row>
    <row r="61557" spans="1:6" x14ac:dyDescent="0.25">
      <c r="A61557"/>
      <c r="B61557"/>
      <c r="C61557"/>
      <c r="E61557"/>
      <c r="F61557"/>
    </row>
    <row r="61558" spans="1:6" x14ac:dyDescent="0.25">
      <c r="A61558"/>
      <c r="B61558"/>
      <c r="C61558"/>
      <c r="E61558"/>
      <c r="F61558"/>
    </row>
    <row r="61559" spans="1:6" x14ac:dyDescent="0.25">
      <c r="A61559"/>
      <c r="B61559"/>
      <c r="C61559"/>
      <c r="E61559"/>
      <c r="F61559"/>
    </row>
    <row r="61560" spans="1:6" x14ac:dyDescent="0.25">
      <c r="A61560"/>
      <c r="B61560"/>
      <c r="C61560"/>
      <c r="E61560"/>
      <c r="F61560"/>
    </row>
    <row r="61561" spans="1:6" x14ac:dyDescent="0.25">
      <c r="A61561"/>
      <c r="B61561"/>
      <c r="C61561"/>
      <c r="E61561"/>
      <c r="F61561"/>
    </row>
    <row r="61562" spans="1:6" x14ac:dyDescent="0.25">
      <c r="A61562"/>
      <c r="B61562"/>
      <c r="C61562"/>
      <c r="E61562"/>
      <c r="F61562"/>
    </row>
    <row r="61563" spans="1:6" x14ac:dyDescent="0.25">
      <c r="A61563"/>
      <c r="B61563"/>
      <c r="C61563"/>
      <c r="E61563"/>
      <c r="F61563"/>
    </row>
    <row r="61564" spans="1:6" x14ac:dyDescent="0.25">
      <c r="A61564"/>
      <c r="B61564"/>
      <c r="C61564"/>
      <c r="E61564"/>
      <c r="F61564"/>
    </row>
    <row r="61565" spans="1:6" x14ac:dyDescent="0.25">
      <c r="A61565"/>
      <c r="B61565"/>
      <c r="C61565"/>
      <c r="E61565"/>
      <c r="F61565"/>
    </row>
    <row r="61566" spans="1:6" x14ac:dyDescent="0.25">
      <c r="A61566"/>
      <c r="B61566"/>
      <c r="C61566"/>
      <c r="E61566"/>
      <c r="F61566"/>
    </row>
    <row r="61567" spans="1:6" x14ac:dyDescent="0.25">
      <c r="A61567"/>
      <c r="B61567"/>
      <c r="C61567"/>
      <c r="E61567"/>
      <c r="F61567"/>
    </row>
    <row r="61568" spans="1:6" x14ac:dyDescent="0.25">
      <c r="A61568"/>
      <c r="B61568"/>
      <c r="C61568"/>
      <c r="E61568"/>
      <c r="F61568"/>
    </row>
    <row r="61569" spans="1:6" x14ac:dyDescent="0.25">
      <c r="A61569"/>
      <c r="B61569"/>
      <c r="C61569"/>
      <c r="E61569"/>
      <c r="F61569"/>
    </row>
    <row r="61570" spans="1:6" x14ac:dyDescent="0.25">
      <c r="A61570"/>
      <c r="B61570"/>
      <c r="C61570"/>
      <c r="E61570"/>
      <c r="F61570"/>
    </row>
    <row r="61571" spans="1:6" x14ac:dyDescent="0.25">
      <c r="A61571"/>
      <c r="B61571"/>
      <c r="C61571"/>
      <c r="E61571"/>
      <c r="F61571"/>
    </row>
    <row r="61572" spans="1:6" x14ac:dyDescent="0.25">
      <c r="A61572"/>
      <c r="B61572"/>
      <c r="C61572"/>
      <c r="E61572"/>
      <c r="F61572"/>
    </row>
    <row r="61573" spans="1:6" x14ac:dyDescent="0.25">
      <c r="A61573"/>
      <c r="B61573"/>
      <c r="C61573"/>
      <c r="E61573"/>
      <c r="F61573"/>
    </row>
    <row r="61574" spans="1:6" x14ac:dyDescent="0.25">
      <c r="A61574"/>
      <c r="B61574"/>
      <c r="C61574"/>
      <c r="E61574"/>
      <c r="F61574"/>
    </row>
    <row r="61575" spans="1:6" x14ac:dyDescent="0.25">
      <c r="A61575"/>
      <c r="B61575"/>
      <c r="C61575"/>
      <c r="E61575"/>
      <c r="F61575"/>
    </row>
    <row r="61576" spans="1:6" x14ac:dyDescent="0.25">
      <c r="A61576"/>
      <c r="B61576"/>
      <c r="C61576"/>
      <c r="E61576"/>
      <c r="F61576"/>
    </row>
    <row r="61577" spans="1:6" x14ac:dyDescent="0.25">
      <c r="A61577"/>
      <c r="B61577"/>
      <c r="C61577"/>
      <c r="E61577"/>
      <c r="F61577"/>
    </row>
    <row r="61578" spans="1:6" x14ac:dyDescent="0.25">
      <c r="A61578"/>
      <c r="B61578"/>
      <c r="C61578"/>
      <c r="E61578"/>
      <c r="F61578"/>
    </row>
    <row r="61579" spans="1:6" x14ac:dyDescent="0.25">
      <c r="A61579"/>
      <c r="B61579"/>
      <c r="C61579"/>
      <c r="E61579"/>
      <c r="F61579"/>
    </row>
    <row r="61580" spans="1:6" x14ac:dyDescent="0.25">
      <c r="A61580"/>
      <c r="B61580"/>
      <c r="C61580"/>
      <c r="E61580"/>
      <c r="F61580"/>
    </row>
    <row r="61581" spans="1:6" x14ac:dyDescent="0.25">
      <c r="A61581"/>
      <c r="B61581"/>
      <c r="C61581"/>
      <c r="E61581"/>
      <c r="F61581"/>
    </row>
    <row r="61582" spans="1:6" x14ac:dyDescent="0.25">
      <c r="A61582"/>
      <c r="B61582"/>
      <c r="C61582"/>
      <c r="E61582"/>
      <c r="F61582"/>
    </row>
    <row r="61583" spans="1:6" x14ac:dyDescent="0.25">
      <c r="A61583"/>
      <c r="B61583"/>
      <c r="C61583"/>
      <c r="E61583"/>
      <c r="F61583"/>
    </row>
    <row r="61584" spans="1:6" x14ac:dyDescent="0.25">
      <c r="A61584"/>
      <c r="B61584"/>
      <c r="C61584"/>
      <c r="E61584"/>
      <c r="F61584"/>
    </row>
    <row r="61585" spans="1:6" x14ac:dyDescent="0.25">
      <c r="A61585"/>
      <c r="B61585"/>
      <c r="C61585"/>
      <c r="E61585"/>
      <c r="F61585"/>
    </row>
    <row r="61586" spans="1:6" x14ac:dyDescent="0.25">
      <c r="A61586"/>
      <c r="B61586"/>
      <c r="C61586"/>
      <c r="E61586"/>
      <c r="F61586"/>
    </row>
    <row r="61587" spans="1:6" x14ac:dyDescent="0.25">
      <c r="A61587"/>
      <c r="B61587"/>
      <c r="C61587"/>
      <c r="E61587"/>
      <c r="F61587"/>
    </row>
    <row r="61588" spans="1:6" x14ac:dyDescent="0.25">
      <c r="A61588"/>
      <c r="B61588"/>
      <c r="C61588"/>
      <c r="E61588"/>
      <c r="F61588"/>
    </row>
    <row r="61589" spans="1:6" x14ac:dyDescent="0.25">
      <c r="A61589"/>
      <c r="B61589"/>
      <c r="C61589"/>
      <c r="E61589"/>
      <c r="F61589"/>
    </row>
    <row r="61590" spans="1:6" x14ac:dyDescent="0.25">
      <c r="A61590"/>
      <c r="B61590"/>
      <c r="C61590"/>
      <c r="E61590"/>
      <c r="F61590"/>
    </row>
    <row r="61591" spans="1:6" x14ac:dyDescent="0.25">
      <c r="A61591"/>
      <c r="B61591"/>
      <c r="C61591"/>
      <c r="E61591"/>
      <c r="F61591"/>
    </row>
    <row r="61592" spans="1:6" x14ac:dyDescent="0.25">
      <c r="A61592"/>
      <c r="B61592"/>
      <c r="C61592"/>
      <c r="E61592"/>
      <c r="F61592"/>
    </row>
    <row r="61593" spans="1:6" x14ac:dyDescent="0.25">
      <c r="A61593"/>
      <c r="B61593"/>
      <c r="C61593"/>
      <c r="E61593"/>
      <c r="F61593"/>
    </row>
    <row r="61594" spans="1:6" x14ac:dyDescent="0.25">
      <c r="A61594"/>
      <c r="B61594"/>
      <c r="C61594"/>
      <c r="E61594"/>
      <c r="F61594"/>
    </row>
    <row r="61595" spans="1:6" x14ac:dyDescent="0.25">
      <c r="A61595"/>
      <c r="B61595"/>
      <c r="C61595"/>
      <c r="E61595"/>
      <c r="F61595"/>
    </row>
    <row r="61596" spans="1:6" x14ac:dyDescent="0.25">
      <c r="A61596"/>
      <c r="B61596"/>
      <c r="C61596"/>
      <c r="E61596"/>
      <c r="F61596"/>
    </row>
    <row r="61597" spans="1:6" x14ac:dyDescent="0.25">
      <c r="A61597"/>
      <c r="B61597"/>
      <c r="C61597"/>
      <c r="E61597"/>
      <c r="F61597"/>
    </row>
    <row r="61598" spans="1:6" x14ac:dyDescent="0.25">
      <c r="A61598"/>
      <c r="B61598"/>
      <c r="C61598"/>
      <c r="E61598"/>
      <c r="F61598"/>
    </row>
    <row r="61599" spans="1:6" x14ac:dyDescent="0.25">
      <c r="A61599"/>
      <c r="B61599"/>
      <c r="C61599"/>
      <c r="E61599"/>
      <c r="F61599"/>
    </row>
    <row r="61600" spans="1:6" x14ac:dyDescent="0.25">
      <c r="A61600"/>
      <c r="B61600"/>
      <c r="C61600"/>
      <c r="E61600"/>
      <c r="F61600"/>
    </row>
    <row r="61601" spans="1:6" x14ac:dyDescent="0.25">
      <c r="A61601"/>
      <c r="B61601"/>
      <c r="C61601"/>
      <c r="E61601"/>
      <c r="F61601"/>
    </row>
    <row r="61602" spans="1:6" x14ac:dyDescent="0.25">
      <c r="A61602"/>
      <c r="B61602"/>
      <c r="C61602"/>
      <c r="E61602"/>
      <c r="F61602"/>
    </row>
    <row r="61603" spans="1:6" x14ac:dyDescent="0.25">
      <c r="A61603"/>
      <c r="B61603"/>
      <c r="C61603"/>
      <c r="E61603"/>
      <c r="F61603"/>
    </row>
    <row r="61604" spans="1:6" x14ac:dyDescent="0.25">
      <c r="A61604"/>
      <c r="B61604"/>
      <c r="C61604"/>
      <c r="E61604"/>
      <c r="F61604"/>
    </row>
    <row r="61605" spans="1:6" x14ac:dyDescent="0.25">
      <c r="A61605"/>
      <c r="B61605"/>
      <c r="C61605"/>
      <c r="E61605"/>
      <c r="F61605"/>
    </row>
    <row r="61606" spans="1:6" x14ac:dyDescent="0.25">
      <c r="A61606"/>
      <c r="B61606"/>
      <c r="C61606"/>
      <c r="E61606"/>
      <c r="F61606"/>
    </row>
    <row r="61607" spans="1:6" x14ac:dyDescent="0.25">
      <c r="A61607"/>
      <c r="B61607"/>
      <c r="C61607"/>
      <c r="E61607"/>
      <c r="F61607"/>
    </row>
    <row r="61608" spans="1:6" x14ac:dyDescent="0.25">
      <c r="A61608"/>
      <c r="B61608"/>
      <c r="C61608"/>
      <c r="E61608"/>
      <c r="F61608"/>
    </row>
    <row r="61609" spans="1:6" x14ac:dyDescent="0.25">
      <c r="A61609"/>
      <c r="B61609"/>
      <c r="C61609"/>
      <c r="E61609"/>
      <c r="F61609"/>
    </row>
    <row r="61610" spans="1:6" x14ac:dyDescent="0.25">
      <c r="A61610"/>
      <c r="B61610"/>
      <c r="C61610"/>
      <c r="E61610"/>
      <c r="F61610"/>
    </row>
    <row r="61611" spans="1:6" x14ac:dyDescent="0.25">
      <c r="A61611"/>
      <c r="B61611"/>
      <c r="C61611"/>
      <c r="E61611"/>
      <c r="F61611"/>
    </row>
    <row r="61612" spans="1:6" x14ac:dyDescent="0.25">
      <c r="A61612"/>
      <c r="B61612"/>
      <c r="C61612"/>
      <c r="E61612"/>
      <c r="F61612"/>
    </row>
    <row r="61613" spans="1:6" x14ac:dyDescent="0.25">
      <c r="A61613"/>
      <c r="B61613"/>
      <c r="C61613"/>
      <c r="E61613"/>
      <c r="F61613"/>
    </row>
    <row r="61614" spans="1:6" x14ac:dyDescent="0.25">
      <c r="A61614"/>
      <c r="B61614"/>
      <c r="C61614"/>
      <c r="E61614"/>
      <c r="F61614"/>
    </row>
    <row r="61615" spans="1:6" x14ac:dyDescent="0.25">
      <c r="A61615"/>
      <c r="B61615"/>
      <c r="C61615"/>
      <c r="E61615"/>
      <c r="F61615"/>
    </row>
    <row r="61616" spans="1:6" x14ac:dyDescent="0.25">
      <c r="A61616"/>
      <c r="B61616"/>
      <c r="C61616"/>
      <c r="E61616"/>
      <c r="F61616"/>
    </row>
    <row r="61617" spans="1:6" x14ac:dyDescent="0.25">
      <c r="A61617"/>
      <c r="B61617"/>
      <c r="C61617"/>
      <c r="E61617"/>
      <c r="F61617"/>
    </row>
    <row r="61618" spans="1:6" x14ac:dyDescent="0.25">
      <c r="A61618"/>
      <c r="B61618"/>
      <c r="C61618"/>
      <c r="E61618"/>
      <c r="F61618"/>
    </row>
    <row r="61619" spans="1:6" x14ac:dyDescent="0.25">
      <c r="A61619"/>
      <c r="B61619"/>
      <c r="C61619"/>
      <c r="E61619"/>
      <c r="F61619"/>
    </row>
    <row r="61620" spans="1:6" x14ac:dyDescent="0.25">
      <c r="A61620"/>
      <c r="B61620"/>
      <c r="C61620"/>
      <c r="E61620"/>
      <c r="F61620"/>
    </row>
    <row r="61621" spans="1:6" x14ac:dyDescent="0.25">
      <c r="A61621"/>
      <c r="B61621"/>
      <c r="C61621"/>
      <c r="E61621"/>
      <c r="F61621"/>
    </row>
    <row r="61622" spans="1:6" x14ac:dyDescent="0.25">
      <c r="A61622"/>
      <c r="B61622"/>
      <c r="C61622"/>
      <c r="E61622"/>
      <c r="F61622"/>
    </row>
    <row r="61623" spans="1:6" x14ac:dyDescent="0.25">
      <c r="A61623"/>
      <c r="B61623"/>
      <c r="C61623"/>
      <c r="E61623"/>
      <c r="F61623"/>
    </row>
    <row r="61624" spans="1:6" x14ac:dyDescent="0.25">
      <c r="A61624"/>
      <c r="B61624"/>
      <c r="C61624"/>
      <c r="E61624"/>
      <c r="F61624"/>
    </row>
    <row r="61625" spans="1:6" x14ac:dyDescent="0.25">
      <c r="A61625"/>
      <c r="B61625"/>
      <c r="C61625"/>
      <c r="E61625"/>
      <c r="F61625"/>
    </row>
    <row r="61626" spans="1:6" x14ac:dyDescent="0.25">
      <c r="A61626"/>
      <c r="B61626"/>
      <c r="C61626"/>
      <c r="E61626"/>
      <c r="F61626"/>
    </row>
    <row r="61627" spans="1:6" x14ac:dyDescent="0.25">
      <c r="A61627"/>
      <c r="B61627"/>
      <c r="C61627"/>
      <c r="E61627"/>
      <c r="F61627"/>
    </row>
    <row r="61628" spans="1:6" x14ac:dyDescent="0.25">
      <c r="A61628"/>
      <c r="B61628"/>
      <c r="C61628"/>
      <c r="E61628"/>
      <c r="F61628"/>
    </row>
    <row r="61629" spans="1:6" x14ac:dyDescent="0.25">
      <c r="A61629"/>
      <c r="B61629"/>
      <c r="C61629"/>
      <c r="E61629"/>
      <c r="F61629"/>
    </row>
    <row r="61630" spans="1:6" x14ac:dyDescent="0.25">
      <c r="A61630"/>
      <c r="B61630"/>
      <c r="C61630"/>
      <c r="E61630"/>
      <c r="F61630"/>
    </row>
    <row r="61631" spans="1:6" x14ac:dyDescent="0.25">
      <c r="A61631"/>
      <c r="B61631"/>
      <c r="C61631"/>
      <c r="E61631"/>
      <c r="F61631"/>
    </row>
    <row r="61632" spans="1:6" x14ac:dyDescent="0.25">
      <c r="A61632"/>
      <c r="B61632"/>
      <c r="C61632"/>
      <c r="E61632"/>
      <c r="F61632"/>
    </row>
    <row r="61633" spans="1:6" x14ac:dyDescent="0.25">
      <c r="A61633"/>
      <c r="B61633"/>
      <c r="C61633"/>
      <c r="E61633"/>
      <c r="F61633"/>
    </row>
    <row r="61634" spans="1:6" x14ac:dyDescent="0.25">
      <c r="A61634"/>
      <c r="B61634"/>
      <c r="C61634"/>
      <c r="E61634"/>
      <c r="F61634"/>
    </row>
    <row r="61635" spans="1:6" x14ac:dyDescent="0.25">
      <c r="A61635"/>
      <c r="B61635"/>
      <c r="C61635"/>
      <c r="E61635"/>
      <c r="F61635"/>
    </row>
    <row r="61636" spans="1:6" x14ac:dyDescent="0.25">
      <c r="A61636"/>
      <c r="B61636"/>
      <c r="C61636"/>
      <c r="E61636"/>
      <c r="F61636"/>
    </row>
    <row r="61637" spans="1:6" x14ac:dyDescent="0.25">
      <c r="A61637"/>
      <c r="B61637"/>
      <c r="C61637"/>
      <c r="E61637"/>
      <c r="F61637"/>
    </row>
    <row r="61638" spans="1:6" x14ac:dyDescent="0.25">
      <c r="A61638"/>
      <c r="B61638"/>
      <c r="C61638"/>
      <c r="E61638"/>
      <c r="F61638"/>
    </row>
    <row r="61639" spans="1:6" x14ac:dyDescent="0.25">
      <c r="A61639"/>
      <c r="B61639"/>
      <c r="C61639"/>
      <c r="E61639"/>
      <c r="F61639"/>
    </row>
    <row r="61640" spans="1:6" x14ac:dyDescent="0.25">
      <c r="A61640"/>
      <c r="B61640"/>
      <c r="C61640"/>
      <c r="E61640"/>
      <c r="F61640"/>
    </row>
    <row r="61641" spans="1:6" x14ac:dyDescent="0.25">
      <c r="A61641"/>
      <c r="B61641"/>
      <c r="C61641"/>
      <c r="E61641"/>
      <c r="F61641"/>
    </row>
    <row r="61642" spans="1:6" x14ac:dyDescent="0.25">
      <c r="A61642"/>
      <c r="B61642"/>
      <c r="C61642"/>
      <c r="E61642"/>
      <c r="F61642"/>
    </row>
    <row r="61643" spans="1:6" x14ac:dyDescent="0.25">
      <c r="A61643"/>
      <c r="B61643"/>
      <c r="C61643"/>
      <c r="E61643"/>
      <c r="F61643"/>
    </row>
    <row r="61644" spans="1:6" x14ac:dyDescent="0.25">
      <c r="A61644"/>
      <c r="B61644"/>
      <c r="C61644"/>
      <c r="E61644"/>
      <c r="F61644"/>
    </row>
    <row r="61645" spans="1:6" x14ac:dyDescent="0.25">
      <c r="A61645"/>
      <c r="B61645"/>
      <c r="C61645"/>
      <c r="E61645"/>
      <c r="F61645"/>
    </row>
    <row r="61646" spans="1:6" x14ac:dyDescent="0.25">
      <c r="A61646"/>
      <c r="B61646"/>
      <c r="C61646"/>
      <c r="E61646"/>
      <c r="F61646"/>
    </row>
    <row r="61647" spans="1:6" x14ac:dyDescent="0.25">
      <c r="A61647"/>
      <c r="B61647"/>
      <c r="C61647"/>
      <c r="E61647"/>
      <c r="F61647"/>
    </row>
    <row r="61648" spans="1:6" x14ac:dyDescent="0.25">
      <c r="A61648"/>
      <c r="B61648"/>
      <c r="C61648"/>
      <c r="E61648"/>
      <c r="F61648"/>
    </row>
    <row r="61649" spans="1:6" x14ac:dyDescent="0.25">
      <c r="A61649"/>
      <c r="B61649"/>
      <c r="C61649"/>
      <c r="E61649"/>
      <c r="F61649"/>
    </row>
    <row r="61650" spans="1:6" x14ac:dyDescent="0.25">
      <c r="A61650"/>
      <c r="B61650"/>
      <c r="C61650"/>
      <c r="E61650"/>
      <c r="F61650"/>
    </row>
    <row r="61651" spans="1:6" x14ac:dyDescent="0.25">
      <c r="A61651"/>
      <c r="B61651"/>
      <c r="C61651"/>
      <c r="E61651"/>
      <c r="F61651"/>
    </row>
    <row r="61652" spans="1:6" x14ac:dyDescent="0.25">
      <c r="A61652"/>
      <c r="B61652"/>
      <c r="C61652"/>
      <c r="E61652"/>
      <c r="F61652"/>
    </row>
    <row r="61653" spans="1:6" x14ac:dyDescent="0.25">
      <c r="A61653"/>
      <c r="B61653"/>
      <c r="C61653"/>
      <c r="E61653"/>
      <c r="F61653"/>
    </row>
    <row r="61654" spans="1:6" x14ac:dyDescent="0.25">
      <c r="A61654"/>
      <c r="B61654"/>
      <c r="C61654"/>
      <c r="E61654"/>
      <c r="F61654"/>
    </row>
    <row r="61655" spans="1:6" x14ac:dyDescent="0.25">
      <c r="A61655"/>
      <c r="B61655"/>
      <c r="C61655"/>
      <c r="E61655"/>
      <c r="F61655"/>
    </row>
    <row r="61656" spans="1:6" x14ac:dyDescent="0.25">
      <c r="A61656"/>
      <c r="B61656"/>
      <c r="C61656"/>
      <c r="E61656"/>
      <c r="F61656"/>
    </row>
    <row r="61657" spans="1:6" x14ac:dyDescent="0.25">
      <c r="A61657"/>
      <c r="B61657"/>
      <c r="C61657"/>
      <c r="E61657"/>
      <c r="F61657"/>
    </row>
    <row r="61658" spans="1:6" x14ac:dyDescent="0.25">
      <c r="A61658"/>
      <c r="B61658"/>
      <c r="C61658"/>
      <c r="E61658"/>
      <c r="F61658"/>
    </row>
    <row r="61659" spans="1:6" x14ac:dyDescent="0.25">
      <c r="A61659"/>
      <c r="B61659"/>
      <c r="C61659"/>
      <c r="E61659"/>
      <c r="F61659"/>
    </row>
    <row r="61660" spans="1:6" x14ac:dyDescent="0.25">
      <c r="A61660"/>
      <c r="B61660"/>
      <c r="C61660"/>
      <c r="E61660"/>
      <c r="F61660"/>
    </row>
    <row r="61661" spans="1:6" x14ac:dyDescent="0.25">
      <c r="A61661"/>
      <c r="B61661"/>
      <c r="C61661"/>
      <c r="E61661"/>
      <c r="F61661"/>
    </row>
    <row r="61662" spans="1:6" x14ac:dyDescent="0.25">
      <c r="A61662"/>
      <c r="B61662"/>
      <c r="C61662"/>
      <c r="E61662"/>
      <c r="F61662"/>
    </row>
    <row r="61663" spans="1:6" x14ac:dyDescent="0.25">
      <c r="A61663"/>
      <c r="B61663"/>
      <c r="C61663"/>
      <c r="E61663"/>
      <c r="F61663"/>
    </row>
    <row r="61664" spans="1:6" x14ac:dyDescent="0.25">
      <c r="A61664"/>
      <c r="B61664"/>
      <c r="C61664"/>
      <c r="E61664"/>
      <c r="F61664"/>
    </row>
    <row r="61665" spans="1:6" x14ac:dyDescent="0.25">
      <c r="A61665"/>
      <c r="B61665"/>
      <c r="C61665"/>
      <c r="E61665"/>
      <c r="F61665"/>
    </row>
    <row r="61666" spans="1:6" x14ac:dyDescent="0.25">
      <c r="A61666"/>
      <c r="B61666"/>
      <c r="C61666"/>
      <c r="E61666"/>
      <c r="F61666"/>
    </row>
    <row r="61667" spans="1:6" x14ac:dyDescent="0.25">
      <c r="A61667"/>
      <c r="B61667"/>
      <c r="C61667"/>
      <c r="E61667"/>
      <c r="F61667"/>
    </row>
    <row r="61668" spans="1:6" x14ac:dyDescent="0.25">
      <c r="A61668"/>
      <c r="B61668"/>
      <c r="C61668"/>
      <c r="E61668"/>
      <c r="F61668"/>
    </row>
    <row r="61669" spans="1:6" x14ac:dyDescent="0.25">
      <c r="A61669"/>
      <c r="B61669"/>
      <c r="C61669"/>
      <c r="E61669"/>
      <c r="F61669"/>
    </row>
    <row r="61670" spans="1:6" x14ac:dyDescent="0.25">
      <c r="A61670"/>
      <c r="B61670"/>
      <c r="C61670"/>
      <c r="E61670"/>
      <c r="F61670"/>
    </row>
    <row r="61671" spans="1:6" x14ac:dyDescent="0.25">
      <c r="A61671"/>
      <c r="B61671"/>
      <c r="C61671"/>
      <c r="E61671"/>
      <c r="F61671"/>
    </row>
    <row r="61672" spans="1:6" x14ac:dyDescent="0.25">
      <c r="A61672"/>
      <c r="B61672"/>
      <c r="C61672"/>
      <c r="E61672"/>
      <c r="F61672"/>
    </row>
    <row r="61673" spans="1:6" x14ac:dyDescent="0.25">
      <c r="A61673"/>
      <c r="B61673"/>
      <c r="C61673"/>
      <c r="E61673"/>
      <c r="F61673"/>
    </row>
    <row r="61674" spans="1:6" x14ac:dyDescent="0.25">
      <c r="A61674"/>
      <c r="B61674"/>
      <c r="C61674"/>
      <c r="E61674"/>
      <c r="F61674"/>
    </row>
    <row r="61675" spans="1:6" x14ac:dyDescent="0.25">
      <c r="A61675"/>
      <c r="B61675"/>
      <c r="C61675"/>
      <c r="E61675"/>
      <c r="F61675"/>
    </row>
    <row r="61676" spans="1:6" x14ac:dyDescent="0.25">
      <c r="A61676"/>
      <c r="B61676"/>
      <c r="C61676"/>
      <c r="E61676"/>
      <c r="F61676"/>
    </row>
    <row r="61677" spans="1:6" x14ac:dyDescent="0.25">
      <c r="A61677"/>
      <c r="B61677"/>
      <c r="C61677"/>
      <c r="E61677"/>
      <c r="F61677"/>
    </row>
    <row r="61678" spans="1:6" x14ac:dyDescent="0.25">
      <c r="A61678"/>
      <c r="B61678"/>
      <c r="C61678"/>
      <c r="E61678"/>
      <c r="F61678"/>
    </row>
    <row r="61679" spans="1:6" x14ac:dyDescent="0.25">
      <c r="A61679"/>
      <c r="B61679"/>
      <c r="C61679"/>
      <c r="E61679"/>
      <c r="F61679"/>
    </row>
    <row r="61680" spans="1:6" x14ac:dyDescent="0.25">
      <c r="A61680"/>
      <c r="B61680"/>
      <c r="C61680"/>
      <c r="E61680"/>
      <c r="F61680"/>
    </row>
    <row r="61681" spans="1:6" x14ac:dyDescent="0.25">
      <c r="A61681"/>
      <c r="B61681"/>
      <c r="C61681"/>
      <c r="E61681"/>
      <c r="F61681"/>
    </row>
    <row r="61682" spans="1:6" x14ac:dyDescent="0.25">
      <c r="A61682"/>
      <c r="B61682"/>
      <c r="C61682"/>
      <c r="E61682"/>
      <c r="F61682"/>
    </row>
    <row r="61683" spans="1:6" x14ac:dyDescent="0.25">
      <c r="A61683"/>
      <c r="B61683"/>
      <c r="C61683"/>
      <c r="E61683"/>
      <c r="F61683"/>
    </row>
    <row r="61684" spans="1:6" x14ac:dyDescent="0.25">
      <c r="A61684"/>
      <c r="B61684"/>
      <c r="C61684"/>
      <c r="E61684"/>
      <c r="F61684"/>
    </row>
    <row r="61685" spans="1:6" x14ac:dyDescent="0.25">
      <c r="A61685"/>
      <c r="B61685"/>
      <c r="C61685"/>
      <c r="E61685"/>
      <c r="F61685"/>
    </row>
    <row r="61686" spans="1:6" x14ac:dyDescent="0.25">
      <c r="A61686"/>
      <c r="B61686"/>
      <c r="C61686"/>
      <c r="E61686"/>
      <c r="F61686"/>
    </row>
    <row r="61687" spans="1:6" x14ac:dyDescent="0.25">
      <c r="A61687"/>
      <c r="B61687"/>
      <c r="C61687"/>
      <c r="E61687"/>
      <c r="F61687"/>
    </row>
    <row r="61688" spans="1:6" x14ac:dyDescent="0.25">
      <c r="A61688"/>
      <c r="B61688"/>
      <c r="C61688"/>
      <c r="E61688"/>
      <c r="F61688"/>
    </row>
    <row r="61689" spans="1:6" x14ac:dyDescent="0.25">
      <c r="A61689"/>
      <c r="B61689"/>
      <c r="C61689"/>
      <c r="E61689"/>
      <c r="F61689"/>
    </row>
    <row r="61690" spans="1:6" x14ac:dyDescent="0.25">
      <c r="A61690"/>
      <c r="B61690"/>
      <c r="C61690"/>
      <c r="E61690"/>
      <c r="F61690"/>
    </row>
    <row r="61691" spans="1:6" x14ac:dyDescent="0.25">
      <c r="A61691"/>
      <c r="B61691"/>
      <c r="C61691"/>
      <c r="E61691"/>
      <c r="F61691"/>
    </row>
    <row r="61692" spans="1:6" x14ac:dyDescent="0.25">
      <c r="A61692"/>
      <c r="B61692"/>
      <c r="C61692"/>
      <c r="E61692"/>
      <c r="F61692"/>
    </row>
    <row r="61693" spans="1:6" x14ac:dyDescent="0.25">
      <c r="A61693"/>
      <c r="B61693"/>
      <c r="C61693"/>
      <c r="E61693"/>
      <c r="F61693"/>
    </row>
    <row r="61694" spans="1:6" x14ac:dyDescent="0.25">
      <c r="A61694"/>
      <c r="B61694"/>
      <c r="C61694"/>
      <c r="E61694"/>
      <c r="F61694"/>
    </row>
    <row r="61695" spans="1:6" x14ac:dyDescent="0.25">
      <c r="A61695"/>
      <c r="B61695"/>
      <c r="C61695"/>
      <c r="E61695"/>
      <c r="F61695"/>
    </row>
    <row r="61696" spans="1:6" x14ac:dyDescent="0.25">
      <c r="A61696"/>
      <c r="B61696"/>
      <c r="C61696"/>
      <c r="E61696"/>
      <c r="F61696"/>
    </row>
    <row r="61697" spans="1:6" x14ac:dyDescent="0.25">
      <c r="A61697"/>
      <c r="B61697"/>
      <c r="C61697"/>
      <c r="E61697"/>
      <c r="F61697"/>
    </row>
    <row r="61698" spans="1:6" x14ac:dyDescent="0.25">
      <c r="A61698"/>
      <c r="B61698"/>
      <c r="C61698"/>
      <c r="E61698"/>
      <c r="F61698"/>
    </row>
    <row r="61699" spans="1:6" x14ac:dyDescent="0.25">
      <c r="A61699"/>
      <c r="B61699"/>
      <c r="C61699"/>
      <c r="E61699"/>
      <c r="F61699"/>
    </row>
    <row r="61700" spans="1:6" x14ac:dyDescent="0.25">
      <c r="A61700"/>
      <c r="B61700"/>
      <c r="C61700"/>
      <c r="E61700"/>
      <c r="F61700"/>
    </row>
    <row r="61701" spans="1:6" x14ac:dyDescent="0.25">
      <c r="A61701"/>
      <c r="B61701"/>
      <c r="C61701"/>
      <c r="E61701"/>
      <c r="F61701"/>
    </row>
    <row r="61702" spans="1:6" x14ac:dyDescent="0.25">
      <c r="A61702"/>
      <c r="B61702"/>
      <c r="C61702"/>
      <c r="E61702"/>
      <c r="F61702"/>
    </row>
    <row r="61703" spans="1:6" x14ac:dyDescent="0.25">
      <c r="A61703"/>
      <c r="B61703"/>
      <c r="C61703"/>
      <c r="E61703"/>
      <c r="F61703"/>
    </row>
    <row r="61704" spans="1:6" x14ac:dyDescent="0.25">
      <c r="A61704"/>
      <c r="B61704"/>
      <c r="C61704"/>
      <c r="E61704"/>
      <c r="F61704"/>
    </row>
    <row r="61705" spans="1:6" x14ac:dyDescent="0.25">
      <c r="A61705"/>
      <c r="B61705"/>
      <c r="C61705"/>
      <c r="E61705"/>
      <c r="F61705"/>
    </row>
    <row r="61706" spans="1:6" x14ac:dyDescent="0.25">
      <c r="A61706"/>
      <c r="B61706"/>
      <c r="C61706"/>
      <c r="E61706"/>
      <c r="F61706"/>
    </row>
    <row r="61707" spans="1:6" x14ac:dyDescent="0.25">
      <c r="A61707"/>
      <c r="B61707"/>
      <c r="C61707"/>
      <c r="E61707"/>
      <c r="F61707"/>
    </row>
    <row r="61708" spans="1:6" x14ac:dyDescent="0.25">
      <c r="A61708"/>
      <c r="B61708"/>
      <c r="C61708"/>
      <c r="E61708"/>
      <c r="F61708"/>
    </row>
    <row r="61709" spans="1:6" x14ac:dyDescent="0.25">
      <c r="A61709"/>
      <c r="B61709"/>
      <c r="C61709"/>
      <c r="E61709"/>
      <c r="F61709"/>
    </row>
    <row r="61710" spans="1:6" x14ac:dyDescent="0.25">
      <c r="A61710"/>
      <c r="B61710"/>
      <c r="C61710"/>
      <c r="E61710"/>
      <c r="F61710"/>
    </row>
    <row r="61711" spans="1:6" x14ac:dyDescent="0.25">
      <c r="A61711"/>
      <c r="B61711"/>
      <c r="C61711"/>
      <c r="E61711"/>
      <c r="F61711"/>
    </row>
    <row r="61712" spans="1:6" x14ac:dyDescent="0.25">
      <c r="A61712"/>
      <c r="B61712"/>
      <c r="C61712"/>
      <c r="E61712"/>
      <c r="F61712"/>
    </row>
    <row r="61713" spans="1:6" x14ac:dyDescent="0.25">
      <c r="A61713"/>
      <c r="B61713"/>
      <c r="C61713"/>
      <c r="E61713"/>
      <c r="F61713"/>
    </row>
    <row r="61714" spans="1:6" x14ac:dyDescent="0.25">
      <c r="A61714"/>
      <c r="B61714"/>
      <c r="C61714"/>
      <c r="E61714"/>
      <c r="F61714"/>
    </row>
    <row r="61715" spans="1:6" x14ac:dyDescent="0.25">
      <c r="A61715"/>
      <c r="B61715"/>
      <c r="C61715"/>
      <c r="E61715"/>
      <c r="F61715"/>
    </row>
    <row r="61716" spans="1:6" x14ac:dyDescent="0.25">
      <c r="A61716"/>
      <c r="B61716"/>
      <c r="C61716"/>
      <c r="E61716"/>
      <c r="F61716"/>
    </row>
    <row r="61717" spans="1:6" x14ac:dyDescent="0.25">
      <c r="A61717"/>
      <c r="B61717"/>
      <c r="C61717"/>
      <c r="E61717"/>
      <c r="F61717"/>
    </row>
    <row r="61718" spans="1:6" x14ac:dyDescent="0.25">
      <c r="A61718"/>
      <c r="B61718"/>
      <c r="C61718"/>
      <c r="E61718"/>
      <c r="F61718"/>
    </row>
    <row r="61719" spans="1:6" x14ac:dyDescent="0.25">
      <c r="A61719"/>
      <c r="B61719"/>
      <c r="C61719"/>
      <c r="E61719"/>
      <c r="F61719"/>
    </row>
    <row r="61720" spans="1:6" x14ac:dyDescent="0.25">
      <c r="A61720"/>
      <c r="B61720"/>
      <c r="C61720"/>
      <c r="E61720"/>
      <c r="F61720"/>
    </row>
    <row r="61721" spans="1:6" x14ac:dyDescent="0.25">
      <c r="A61721"/>
      <c r="B61721"/>
      <c r="C61721"/>
      <c r="E61721"/>
      <c r="F61721"/>
    </row>
    <row r="61722" spans="1:6" x14ac:dyDescent="0.25">
      <c r="A61722"/>
      <c r="B61722"/>
      <c r="C61722"/>
      <c r="E61722"/>
      <c r="F61722"/>
    </row>
    <row r="61723" spans="1:6" x14ac:dyDescent="0.25">
      <c r="A61723"/>
      <c r="B61723"/>
      <c r="C61723"/>
      <c r="E61723"/>
      <c r="F61723"/>
    </row>
    <row r="61724" spans="1:6" x14ac:dyDescent="0.25">
      <c r="A61724"/>
      <c r="B61724"/>
      <c r="C61724"/>
      <c r="E61724"/>
      <c r="F61724"/>
    </row>
    <row r="61725" spans="1:6" x14ac:dyDescent="0.25">
      <c r="A61725"/>
      <c r="B61725"/>
      <c r="C61725"/>
      <c r="E61725"/>
      <c r="F61725"/>
    </row>
    <row r="61726" spans="1:6" x14ac:dyDescent="0.25">
      <c r="A61726"/>
      <c r="B61726"/>
      <c r="C61726"/>
      <c r="E61726"/>
      <c r="F61726"/>
    </row>
    <row r="61727" spans="1:6" x14ac:dyDescent="0.25">
      <c r="A61727"/>
      <c r="B61727"/>
      <c r="C61727"/>
      <c r="E61727"/>
      <c r="F61727"/>
    </row>
    <row r="61728" spans="1:6" x14ac:dyDescent="0.25">
      <c r="A61728"/>
      <c r="B61728"/>
      <c r="C61728"/>
      <c r="E61728"/>
      <c r="F61728"/>
    </row>
    <row r="61729" spans="1:6" x14ac:dyDescent="0.25">
      <c r="A61729"/>
      <c r="B61729"/>
      <c r="C61729"/>
      <c r="E61729"/>
      <c r="F61729"/>
    </row>
    <row r="61730" spans="1:6" x14ac:dyDescent="0.25">
      <c r="A61730"/>
      <c r="B61730"/>
      <c r="C61730"/>
      <c r="E61730"/>
      <c r="F61730"/>
    </row>
    <row r="61731" spans="1:6" x14ac:dyDescent="0.25">
      <c r="A61731"/>
      <c r="B61731"/>
      <c r="C61731"/>
      <c r="E61731"/>
      <c r="F61731"/>
    </row>
    <row r="61732" spans="1:6" x14ac:dyDescent="0.25">
      <c r="A61732"/>
      <c r="B61732"/>
      <c r="C61732"/>
      <c r="E61732"/>
      <c r="F61732"/>
    </row>
    <row r="61733" spans="1:6" x14ac:dyDescent="0.25">
      <c r="A61733"/>
      <c r="B61733"/>
      <c r="C61733"/>
      <c r="E61733"/>
      <c r="F61733"/>
    </row>
    <row r="61734" spans="1:6" x14ac:dyDescent="0.25">
      <c r="A61734"/>
      <c r="B61734"/>
      <c r="C61734"/>
      <c r="E61734"/>
      <c r="F61734"/>
    </row>
    <row r="61735" spans="1:6" x14ac:dyDescent="0.25">
      <c r="A61735"/>
      <c r="B61735"/>
      <c r="C61735"/>
      <c r="E61735"/>
      <c r="F61735"/>
    </row>
    <row r="61736" spans="1:6" x14ac:dyDescent="0.25">
      <c r="A61736"/>
      <c r="B61736"/>
      <c r="C61736"/>
      <c r="E61736"/>
      <c r="F61736"/>
    </row>
    <row r="61737" spans="1:6" x14ac:dyDescent="0.25">
      <c r="A61737"/>
      <c r="B61737"/>
      <c r="C61737"/>
      <c r="E61737"/>
      <c r="F61737"/>
    </row>
    <row r="61738" spans="1:6" x14ac:dyDescent="0.25">
      <c r="A61738"/>
      <c r="B61738"/>
      <c r="C61738"/>
      <c r="E61738"/>
      <c r="F61738"/>
    </row>
    <row r="61739" spans="1:6" x14ac:dyDescent="0.25">
      <c r="A61739"/>
      <c r="B61739"/>
      <c r="C61739"/>
      <c r="E61739"/>
      <c r="F61739"/>
    </row>
    <row r="61740" spans="1:6" x14ac:dyDescent="0.25">
      <c r="A61740"/>
      <c r="B61740"/>
      <c r="C61740"/>
      <c r="E61740"/>
      <c r="F61740"/>
    </row>
    <row r="61741" spans="1:6" x14ac:dyDescent="0.25">
      <c r="A61741"/>
      <c r="B61741"/>
      <c r="C61741"/>
      <c r="E61741"/>
      <c r="F61741"/>
    </row>
    <row r="61742" spans="1:6" x14ac:dyDescent="0.25">
      <c r="A61742"/>
      <c r="B61742"/>
      <c r="C61742"/>
      <c r="E61742"/>
      <c r="F61742"/>
    </row>
    <row r="61743" spans="1:6" x14ac:dyDescent="0.25">
      <c r="A61743"/>
      <c r="B61743"/>
      <c r="C61743"/>
      <c r="E61743"/>
      <c r="F61743"/>
    </row>
    <row r="61744" spans="1:6" x14ac:dyDescent="0.25">
      <c r="A61744"/>
      <c r="B61744"/>
      <c r="C61744"/>
      <c r="E61744"/>
      <c r="F61744"/>
    </row>
    <row r="61745" spans="1:6" x14ac:dyDescent="0.25">
      <c r="A61745"/>
      <c r="B61745"/>
      <c r="C61745"/>
      <c r="E61745"/>
      <c r="F61745"/>
    </row>
    <row r="61746" spans="1:6" x14ac:dyDescent="0.25">
      <c r="A61746"/>
      <c r="B61746"/>
      <c r="C61746"/>
      <c r="E61746"/>
      <c r="F61746"/>
    </row>
    <row r="61747" spans="1:6" x14ac:dyDescent="0.25">
      <c r="A61747"/>
      <c r="B61747"/>
      <c r="C61747"/>
      <c r="E61747"/>
      <c r="F61747"/>
    </row>
    <row r="61748" spans="1:6" x14ac:dyDescent="0.25">
      <c r="A61748"/>
      <c r="B61748"/>
      <c r="C61748"/>
      <c r="E61748"/>
      <c r="F61748"/>
    </row>
    <row r="61749" spans="1:6" x14ac:dyDescent="0.25">
      <c r="A61749"/>
      <c r="B61749"/>
      <c r="C61749"/>
      <c r="E61749"/>
      <c r="F61749"/>
    </row>
    <row r="61750" spans="1:6" x14ac:dyDescent="0.25">
      <c r="A61750"/>
      <c r="B61750"/>
      <c r="C61750"/>
      <c r="E61750"/>
      <c r="F61750"/>
    </row>
    <row r="61751" spans="1:6" x14ac:dyDescent="0.25">
      <c r="A61751"/>
      <c r="B61751"/>
      <c r="C61751"/>
      <c r="E61751"/>
      <c r="F61751"/>
    </row>
    <row r="61752" spans="1:6" x14ac:dyDescent="0.25">
      <c r="A61752"/>
      <c r="B61752"/>
      <c r="C61752"/>
      <c r="E61752"/>
      <c r="F61752"/>
    </row>
    <row r="61753" spans="1:6" x14ac:dyDescent="0.25">
      <c r="A61753"/>
      <c r="B61753"/>
      <c r="C61753"/>
      <c r="E61753"/>
      <c r="F61753"/>
    </row>
    <row r="61754" spans="1:6" x14ac:dyDescent="0.25">
      <c r="A61754"/>
      <c r="B61754"/>
      <c r="C61754"/>
      <c r="E61754"/>
      <c r="F61754"/>
    </row>
    <row r="61755" spans="1:6" x14ac:dyDescent="0.25">
      <c r="A61755"/>
      <c r="B61755"/>
      <c r="C61755"/>
      <c r="E61755"/>
      <c r="F61755"/>
    </row>
    <row r="61756" spans="1:6" x14ac:dyDescent="0.25">
      <c r="A61756"/>
      <c r="B61756"/>
      <c r="C61756"/>
      <c r="E61756"/>
      <c r="F61756"/>
    </row>
    <row r="61757" spans="1:6" x14ac:dyDescent="0.25">
      <c r="A61757"/>
      <c r="B61757"/>
      <c r="C61757"/>
      <c r="E61757"/>
      <c r="F61757"/>
    </row>
    <row r="61758" spans="1:6" x14ac:dyDescent="0.25">
      <c r="A61758"/>
      <c r="B61758"/>
      <c r="C61758"/>
      <c r="E61758"/>
      <c r="F61758"/>
    </row>
    <row r="61759" spans="1:6" x14ac:dyDescent="0.25">
      <c r="A61759"/>
      <c r="B61759"/>
      <c r="C61759"/>
      <c r="E61759"/>
      <c r="F61759"/>
    </row>
    <row r="61760" spans="1:6" x14ac:dyDescent="0.25">
      <c r="A61760"/>
      <c r="B61760"/>
      <c r="C61760"/>
      <c r="E61760"/>
      <c r="F61760"/>
    </row>
    <row r="61761" spans="1:6" x14ac:dyDescent="0.25">
      <c r="A61761"/>
      <c r="B61761"/>
      <c r="C61761"/>
      <c r="E61761"/>
      <c r="F61761"/>
    </row>
    <row r="61762" spans="1:6" x14ac:dyDescent="0.25">
      <c r="A61762"/>
      <c r="B61762"/>
      <c r="C61762"/>
      <c r="E61762"/>
      <c r="F61762"/>
    </row>
    <row r="61763" spans="1:6" x14ac:dyDescent="0.25">
      <c r="A61763"/>
      <c r="B61763"/>
      <c r="C61763"/>
      <c r="E61763"/>
      <c r="F61763"/>
    </row>
    <row r="61764" spans="1:6" x14ac:dyDescent="0.25">
      <c r="A61764"/>
      <c r="B61764"/>
      <c r="C61764"/>
      <c r="E61764"/>
      <c r="F61764"/>
    </row>
    <row r="61765" spans="1:6" x14ac:dyDescent="0.25">
      <c r="A61765"/>
      <c r="B61765"/>
      <c r="C61765"/>
      <c r="E61765"/>
      <c r="F61765"/>
    </row>
    <row r="61766" spans="1:6" x14ac:dyDescent="0.25">
      <c r="A61766"/>
      <c r="B61766"/>
      <c r="C61766"/>
      <c r="E61766"/>
      <c r="F61766"/>
    </row>
    <row r="61767" spans="1:6" x14ac:dyDescent="0.25">
      <c r="A61767"/>
      <c r="B61767"/>
      <c r="C61767"/>
      <c r="E61767"/>
      <c r="F61767"/>
    </row>
    <row r="61768" spans="1:6" x14ac:dyDescent="0.25">
      <c r="A61768"/>
      <c r="B61768"/>
      <c r="C61768"/>
      <c r="E61768"/>
      <c r="F61768"/>
    </row>
    <row r="61769" spans="1:6" x14ac:dyDescent="0.25">
      <c r="A61769"/>
      <c r="B61769"/>
      <c r="C61769"/>
      <c r="E61769"/>
      <c r="F61769"/>
    </row>
    <row r="61770" spans="1:6" x14ac:dyDescent="0.25">
      <c r="A61770"/>
      <c r="B61770"/>
      <c r="C61770"/>
      <c r="E61770"/>
      <c r="F61770"/>
    </row>
    <row r="61771" spans="1:6" x14ac:dyDescent="0.25">
      <c r="A61771"/>
      <c r="B61771"/>
      <c r="C61771"/>
      <c r="E61771"/>
      <c r="F61771"/>
    </row>
    <row r="61772" spans="1:6" x14ac:dyDescent="0.25">
      <c r="A61772"/>
      <c r="B61772"/>
      <c r="C61772"/>
      <c r="E61772"/>
      <c r="F61772"/>
    </row>
    <row r="61773" spans="1:6" x14ac:dyDescent="0.25">
      <c r="A61773"/>
      <c r="B61773"/>
      <c r="C61773"/>
      <c r="E61773"/>
      <c r="F61773"/>
    </row>
    <row r="61774" spans="1:6" x14ac:dyDescent="0.25">
      <c r="A61774"/>
      <c r="B61774"/>
      <c r="C61774"/>
      <c r="E61774"/>
      <c r="F61774"/>
    </row>
    <row r="61775" spans="1:6" x14ac:dyDescent="0.25">
      <c r="A61775"/>
      <c r="B61775"/>
      <c r="C61775"/>
      <c r="E61775"/>
      <c r="F61775"/>
    </row>
    <row r="61776" spans="1:6" x14ac:dyDescent="0.25">
      <c r="A61776"/>
      <c r="B61776"/>
      <c r="C61776"/>
      <c r="E61776"/>
      <c r="F61776"/>
    </row>
    <row r="61777" spans="1:6" x14ac:dyDescent="0.25">
      <c r="A61777"/>
      <c r="B61777"/>
      <c r="C61777"/>
      <c r="E61777"/>
      <c r="F61777"/>
    </row>
    <row r="61778" spans="1:6" x14ac:dyDescent="0.25">
      <c r="A61778"/>
      <c r="B61778"/>
      <c r="C61778"/>
      <c r="E61778"/>
      <c r="F61778"/>
    </row>
    <row r="61779" spans="1:6" x14ac:dyDescent="0.25">
      <c r="A61779"/>
      <c r="B61779"/>
      <c r="C61779"/>
      <c r="E61779"/>
      <c r="F61779"/>
    </row>
    <row r="61780" spans="1:6" x14ac:dyDescent="0.25">
      <c r="A61780"/>
      <c r="B61780"/>
      <c r="C61780"/>
      <c r="E61780"/>
      <c r="F61780"/>
    </row>
    <row r="61781" spans="1:6" x14ac:dyDescent="0.25">
      <c r="A61781"/>
      <c r="B61781"/>
      <c r="C61781"/>
      <c r="E61781"/>
      <c r="F61781"/>
    </row>
    <row r="61782" spans="1:6" x14ac:dyDescent="0.25">
      <c r="A61782"/>
      <c r="B61782"/>
      <c r="C61782"/>
      <c r="E61782"/>
      <c r="F61782"/>
    </row>
    <row r="61783" spans="1:6" x14ac:dyDescent="0.25">
      <c r="A61783"/>
      <c r="B61783"/>
      <c r="C61783"/>
      <c r="E61783"/>
      <c r="F61783"/>
    </row>
    <row r="61784" spans="1:6" x14ac:dyDescent="0.25">
      <c r="A61784"/>
      <c r="B61784"/>
      <c r="C61784"/>
      <c r="E61784"/>
      <c r="F61784"/>
    </row>
    <row r="61785" spans="1:6" x14ac:dyDescent="0.25">
      <c r="A61785"/>
      <c r="B61785"/>
      <c r="C61785"/>
      <c r="E61785"/>
      <c r="F61785"/>
    </row>
    <row r="61786" spans="1:6" x14ac:dyDescent="0.25">
      <c r="A61786"/>
      <c r="B61786"/>
      <c r="C61786"/>
      <c r="E61786"/>
      <c r="F61786"/>
    </row>
    <row r="61787" spans="1:6" x14ac:dyDescent="0.25">
      <c r="A61787"/>
      <c r="B61787"/>
      <c r="C61787"/>
      <c r="E61787"/>
      <c r="F61787"/>
    </row>
    <row r="61788" spans="1:6" x14ac:dyDescent="0.25">
      <c r="A61788"/>
      <c r="B61788"/>
      <c r="C61788"/>
      <c r="E61788"/>
      <c r="F61788"/>
    </row>
    <row r="61789" spans="1:6" x14ac:dyDescent="0.25">
      <c r="A61789"/>
      <c r="B61789"/>
      <c r="C61789"/>
      <c r="E61789"/>
      <c r="F61789"/>
    </row>
    <row r="61790" spans="1:6" x14ac:dyDescent="0.25">
      <c r="A61790"/>
      <c r="B61790"/>
      <c r="C61790"/>
      <c r="E61790"/>
      <c r="F61790"/>
    </row>
    <row r="61791" spans="1:6" x14ac:dyDescent="0.25">
      <c r="A61791"/>
      <c r="B61791"/>
      <c r="C61791"/>
      <c r="E61791"/>
      <c r="F61791"/>
    </row>
    <row r="61792" spans="1:6" x14ac:dyDescent="0.25">
      <c r="A61792"/>
      <c r="B61792"/>
      <c r="C61792"/>
      <c r="E61792"/>
      <c r="F61792"/>
    </row>
    <row r="61793" spans="1:6" x14ac:dyDescent="0.25">
      <c r="A61793"/>
      <c r="B61793"/>
      <c r="C61793"/>
      <c r="E61793"/>
      <c r="F61793"/>
    </row>
    <row r="61794" spans="1:6" x14ac:dyDescent="0.25">
      <c r="A61794"/>
      <c r="B61794"/>
      <c r="C61794"/>
      <c r="E61794"/>
      <c r="F61794"/>
    </row>
    <row r="61795" spans="1:6" x14ac:dyDescent="0.25">
      <c r="A61795"/>
      <c r="B61795"/>
      <c r="C61795"/>
      <c r="E61795"/>
      <c r="F61795"/>
    </row>
    <row r="61796" spans="1:6" x14ac:dyDescent="0.25">
      <c r="A61796"/>
      <c r="B61796"/>
      <c r="C61796"/>
      <c r="E61796"/>
      <c r="F61796"/>
    </row>
    <row r="61797" spans="1:6" x14ac:dyDescent="0.25">
      <c r="A61797"/>
      <c r="B61797"/>
      <c r="C61797"/>
      <c r="E61797"/>
      <c r="F61797"/>
    </row>
    <row r="61798" spans="1:6" x14ac:dyDescent="0.25">
      <c r="A61798"/>
      <c r="B61798"/>
      <c r="C61798"/>
      <c r="E61798"/>
      <c r="F61798"/>
    </row>
    <row r="61799" spans="1:6" x14ac:dyDescent="0.25">
      <c r="A61799"/>
      <c r="B61799"/>
      <c r="C61799"/>
      <c r="E61799"/>
      <c r="F61799"/>
    </row>
    <row r="61800" spans="1:6" x14ac:dyDescent="0.25">
      <c r="A61800"/>
      <c r="B61800"/>
      <c r="C61800"/>
      <c r="E61800"/>
      <c r="F61800"/>
    </row>
    <row r="61801" spans="1:6" x14ac:dyDescent="0.25">
      <c r="A61801"/>
      <c r="B61801"/>
      <c r="C61801"/>
      <c r="E61801"/>
      <c r="F61801"/>
    </row>
    <row r="61802" spans="1:6" x14ac:dyDescent="0.25">
      <c r="A61802"/>
      <c r="B61802"/>
      <c r="C61802"/>
      <c r="E61802"/>
      <c r="F61802"/>
    </row>
    <row r="61803" spans="1:6" x14ac:dyDescent="0.25">
      <c r="A61803"/>
      <c r="B61803"/>
      <c r="C61803"/>
      <c r="E61803"/>
      <c r="F61803"/>
    </row>
    <row r="61804" spans="1:6" x14ac:dyDescent="0.25">
      <c r="A61804"/>
      <c r="B61804"/>
      <c r="C61804"/>
      <c r="E61804"/>
      <c r="F61804"/>
    </row>
    <row r="61805" spans="1:6" x14ac:dyDescent="0.25">
      <c r="A61805"/>
      <c r="B61805"/>
      <c r="C61805"/>
      <c r="E61805"/>
      <c r="F61805"/>
    </row>
    <row r="61806" spans="1:6" x14ac:dyDescent="0.25">
      <c r="A61806"/>
      <c r="B61806"/>
      <c r="C61806"/>
      <c r="E61806"/>
      <c r="F61806"/>
    </row>
    <row r="61807" spans="1:6" x14ac:dyDescent="0.25">
      <c r="A61807"/>
      <c r="B61807"/>
      <c r="C61807"/>
      <c r="E61807"/>
      <c r="F61807"/>
    </row>
    <row r="61808" spans="1:6" x14ac:dyDescent="0.25">
      <c r="A61808"/>
      <c r="B61808"/>
      <c r="C61808"/>
      <c r="E61808"/>
      <c r="F61808"/>
    </row>
    <row r="61809" spans="1:6" x14ac:dyDescent="0.25">
      <c r="A61809"/>
      <c r="B61809"/>
      <c r="C61809"/>
      <c r="E61809"/>
      <c r="F61809"/>
    </row>
    <row r="61810" spans="1:6" x14ac:dyDescent="0.25">
      <c r="A61810"/>
      <c r="B61810"/>
      <c r="C61810"/>
      <c r="E61810"/>
      <c r="F61810"/>
    </row>
    <row r="61811" spans="1:6" x14ac:dyDescent="0.25">
      <c r="A61811"/>
      <c r="B61811"/>
      <c r="C61811"/>
      <c r="E61811"/>
      <c r="F61811"/>
    </row>
    <row r="61812" spans="1:6" x14ac:dyDescent="0.25">
      <c r="A61812"/>
      <c r="B61812"/>
      <c r="C61812"/>
      <c r="E61812"/>
      <c r="F61812"/>
    </row>
    <row r="61813" spans="1:6" x14ac:dyDescent="0.25">
      <c r="A61813"/>
      <c r="B61813"/>
      <c r="C61813"/>
      <c r="E61813"/>
      <c r="F61813"/>
    </row>
    <row r="61814" spans="1:6" x14ac:dyDescent="0.25">
      <c r="A61814"/>
      <c r="B61814"/>
      <c r="C61814"/>
      <c r="E61814"/>
      <c r="F61814"/>
    </row>
    <row r="61815" spans="1:6" x14ac:dyDescent="0.25">
      <c r="A61815"/>
      <c r="B61815"/>
      <c r="C61815"/>
      <c r="E61815"/>
      <c r="F61815"/>
    </row>
    <row r="61816" spans="1:6" x14ac:dyDescent="0.25">
      <c r="A61816"/>
      <c r="B61816"/>
      <c r="C61816"/>
      <c r="E61816"/>
      <c r="F61816"/>
    </row>
    <row r="61817" spans="1:6" x14ac:dyDescent="0.25">
      <c r="A61817"/>
      <c r="B61817"/>
      <c r="C61817"/>
      <c r="E61817"/>
      <c r="F61817"/>
    </row>
    <row r="61818" spans="1:6" x14ac:dyDescent="0.25">
      <c r="A61818"/>
      <c r="B61818"/>
      <c r="C61818"/>
      <c r="E61818"/>
      <c r="F61818"/>
    </row>
    <row r="61819" spans="1:6" x14ac:dyDescent="0.25">
      <c r="A61819"/>
      <c r="B61819"/>
      <c r="C61819"/>
      <c r="E61819"/>
      <c r="F61819"/>
    </row>
    <row r="61820" spans="1:6" x14ac:dyDescent="0.25">
      <c r="A61820"/>
      <c r="B61820"/>
      <c r="C61820"/>
      <c r="E61820"/>
      <c r="F61820"/>
    </row>
    <row r="61821" spans="1:6" x14ac:dyDescent="0.25">
      <c r="A61821"/>
      <c r="B61821"/>
      <c r="C61821"/>
      <c r="E61821"/>
      <c r="F61821"/>
    </row>
    <row r="61822" spans="1:6" x14ac:dyDescent="0.25">
      <c r="A61822"/>
      <c r="B61822"/>
      <c r="C61822"/>
      <c r="E61822"/>
      <c r="F61822"/>
    </row>
    <row r="61823" spans="1:6" x14ac:dyDescent="0.25">
      <c r="A61823"/>
      <c r="B61823"/>
      <c r="C61823"/>
      <c r="E61823"/>
      <c r="F61823"/>
    </row>
    <row r="61824" spans="1:6" x14ac:dyDescent="0.25">
      <c r="A61824"/>
      <c r="B61824"/>
      <c r="C61824"/>
      <c r="E61824"/>
      <c r="F61824"/>
    </row>
    <row r="61825" spans="1:6" x14ac:dyDescent="0.25">
      <c r="A61825"/>
      <c r="B61825"/>
      <c r="C61825"/>
      <c r="E61825"/>
      <c r="F61825"/>
    </row>
    <row r="61826" spans="1:6" x14ac:dyDescent="0.25">
      <c r="A61826"/>
      <c r="B61826"/>
      <c r="C61826"/>
      <c r="E61826"/>
      <c r="F61826"/>
    </row>
    <row r="61827" spans="1:6" x14ac:dyDescent="0.25">
      <c r="A61827"/>
      <c r="B61827"/>
      <c r="C61827"/>
      <c r="E61827"/>
      <c r="F61827"/>
    </row>
    <row r="61828" spans="1:6" x14ac:dyDescent="0.25">
      <c r="A61828"/>
      <c r="B61828"/>
      <c r="C61828"/>
      <c r="E61828"/>
      <c r="F61828"/>
    </row>
    <row r="61829" spans="1:6" x14ac:dyDescent="0.25">
      <c r="A61829"/>
      <c r="B61829"/>
      <c r="C61829"/>
      <c r="E61829"/>
      <c r="F61829"/>
    </row>
    <row r="61830" spans="1:6" x14ac:dyDescent="0.25">
      <c r="A61830"/>
      <c r="B61830"/>
      <c r="C61830"/>
      <c r="E61830"/>
      <c r="F61830"/>
    </row>
    <row r="61831" spans="1:6" x14ac:dyDescent="0.25">
      <c r="A61831"/>
      <c r="B61831"/>
      <c r="C61831"/>
      <c r="E61831"/>
      <c r="F61831"/>
    </row>
    <row r="61832" spans="1:6" x14ac:dyDescent="0.25">
      <c r="A61832"/>
      <c r="B61832"/>
      <c r="C61832"/>
      <c r="E61832"/>
      <c r="F61832"/>
    </row>
    <row r="61833" spans="1:6" x14ac:dyDescent="0.25">
      <c r="A61833"/>
      <c r="B61833"/>
      <c r="C61833"/>
      <c r="E61833"/>
      <c r="F61833"/>
    </row>
    <row r="61834" spans="1:6" x14ac:dyDescent="0.25">
      <c r="A61834"/>
      <c r="B61834"/>
      <c r="C61834"/>
      <c r="E61834"/>
      <c r="F61834"/>
    </row>
    <row r="61835" spans="1:6" x14ac:dyDescent="0.25">
      <c r="A61835"/>
      <c r="B61835"/>
      <c r="C61835"/>
      <c r="E61835"/>
      <c r="F61835"/>
    </row>
    <row r="61836" spans="1:6" x14ac:dyDescent="0.25">
      <c r="A61836"/>
      <c r="B61836"/>
      <c r="C61836"/>
      <c r="E61836"/>
      <c r="F61836"/>
    </row>
    <row r="61837" spans="1:6" x14ac:dyDescent="0.25">
      <c r="A61837"/>
      <c r="B61837"/>
      <c r="C61837"/>
      <c r="E61837"/>
      <c r="F61837"/>
    </row>
    <row r="61838" spans="1:6" x14ac:dyDescent="0.25">
      <c r="A61838"/>
      <c r="B61838"/>
      <c r="C61838"/>
      <c r="E61838"/>
      <c r="F61838"/>
    </row>
    <row r="61839" spans="1:6" x14ac:dyDescent="0.25">
      <c r="A61839"/>
      <c r="B61839"/>
      <c r="C61839"/>
      <c r="E61839"/>
      <c r="F61839"/>
    </row>
    <row r="61840" spans="1:6" x14ac:dyDescent="0.25">
      <c r="A61840"/>
      <c r="B61840"/>
      <c r="C61840"/>
      <c r="E61840"/>
      <c r="F61840"/>
    </row>
    <row r="61841" spans="1:6" x14ac:dyDescent="0.25">
      <c r="A61841"/>
      <c r="B61841"/>
      <c r="C61841"/>
      <c r="E61841"/>
      <c r="F61841"/>
    </row>
    <row r="61842" spans="1:6" x14ac:dyDescent="0.25">
      <c r="A61842"/>
      <c r="B61842"/>
      <c r="C61842"/>
      <c r="E61842"/>
      <c r="F61842"/>
    </row>
    <row r="61843" spans="1:6" x14ac:dyDescent="0.25">
      <c r="A61843"/>
      <c r="B61843"/>
      <c r="C61843"/>
      <c r="E61843"/>
      <c r="F61843"/>
    </row>
    <row r="61844" spans="1:6" x14ac:dyDescent="0.25">
      <c r="A61844"/>
      <c r="B61844"/>
      <c r="C61844"/>
      <c r="E61844"/>
      <c r="F61844"/>
    </row>
    <row r="61845" spans="1:6" x14ac:dyDescent="0.25">
      <c r="A61845"/>
      <c r="B61845"/>
      <c r="C61845"/>
      <c r="E61845"/>
      <c r="F61845"/>
    </row>
    <row r="61846" spans="1:6" x14ac:dyDescent="0.25">
      <c r="A61846"/>
      <c r="B61846"/>
      <c r="C61846"/>
      <c r="E61846"/>
      <c r="F61846"/>
    </row>
    <row r="61847" spans="1:6" x14ac:dyDescent="0.25">
      <c r="A61847"/>
      <c r="B61847"/>
      <c r="C61847"/>
      <c r="E61847"/>
      <c r="F61847"/>
    </row>
    <row r="61848" spans="1:6" x14ac:dyDescent="0.25">
      <c r="A61848"/>
      <c r="B61848"/>
      <c r="C61848"/>
      <c r="E61848"/>
      <c r="F61848"/>
    </row>
    <row r="61849" spans="1:6" x14ac:dyDescent="0.25">
      <c r="A61849"/>
      <c r="B61849"/>
      <c r="C61849"/>
      <c r="E61849"/>
      <c r="F61849"/>
    </row>
    <row r="61850" spans="1:6" x14ac:dyDescent="0.25">
      <c r="A61850"/>
      <c r="B61850"/>
      <c r="C61850"/>
      <c r="E61850"/>
      <c r="F61850"/>
    </row>
    <row r="61851" spans="1:6" x14ac:dyDescent="0.25">
      <c r="A61851"/>
      <c r="B61851"/>
      <c r="C61851"/>
      <c r="E61851"/>
      <c r="F61851"/>
    </row>
    <row r="61852" spans="1:6" x14ac:dyDescent="0.25">
      <c r="A61852"/>
      <c r="B61852"/>
      <c r="C61852"/>
      <c r="E61852"/>
      <c r="F61852"/>
    </row>
    <row r="61853" spans="1:6" x14ac:dyDescent="0.25">
      <c r="A61853"/>
      <c r="B61853"/>
      <c r="C61853"/>
      <c r="E61853"/>
      <c r="F61853"/>
    </row>
    <row r="61854" spans="1:6" x14ac:dyDescent="0.25">
      <c r="A61854"/>
      <c r="B61854"/>
      <c r="C61854"/>
      <c r="E61854"/>
      <c r="F61854"/>
    </row>
    <row r="61855" spans="1:6" x14ac:dyDescent="0.25">
      <c r="A61855"/>
      <c r="B61855"/>
      <c r="C61855"/>
      <c r="E61855"/>
      <c r="F61855"/>
    </row>
    <row r="61856" spans="1:6" x14ac:dyDescent="0.25">
      <c r="A61856"/>
      <c r="B61856"/>
      <c r="C61856"/>
      <c r="E61856"/>
      <c r="F61856"/>
    </row>
    <row r="61857" spans="1:6" x14ac:dyDescent="0.25">
      <c r="A61857"/>
      <c r="B61857"/>
      <c r="C61857"/>
      <c r="E61857"/>
      <c r="F61857"/>
    </row>
    <row r="61858" spans="1:6" x14ac:dyDescent="0.25">
      <c r="A61858"/>
      <c r="B61858"/>
      <c r="C61858"/>
      <c r="E61858"/>
      <c r="F61858"/>
    </row>
    <row r="61859" spans="1:6" x14ac:dyDescent="0.25">
      <c r="A61859"/>
      <c r="B61859"/>
      <c r="C61859"/>
      <c r="E61859"/>
      <c r="F61859"/>
    </row>
    <row r="61860" spans="1:6" x14ac:dyDescent="0.25">
      <c r="A61860"/>
      <c r="B61860"/>
      <c r="C61860"/>
      <c r="E61860"/>
      <c r="F61860"/>
    </row>
    <row r="61861" spans="1:6" x14ac:dyDescent="0.25">
      <c r="A61861"/>
      <c r="B61861"/>
      <c r="C61861"/>
      <c r="E61861"/>
      <c r="F61861"/>
    </row>
    <row r="61862" spans="1:6" x14ac:dyDescent="0.25">
      <c r="A61862"/>
      <c r="B61862"/>
      <c r="C61862"/>
      <c r="E61862"/>
      <c r="F61862"/>
    </row>
    <row r="61863" spans="1:6" x14ac:dyDescent="0.25">
      <c r="A61863"/>
      <c r="B61863"/>
      <c r="C61863"/>
      <c r="E61863"/>
      <c r="F61863"/>
    </row>
    <row r="61864" spans="1:6" x14ac:dyDescent="0.25">
      <c r="A61864"/>
      <c r="B61864"/>
      <c r="C61864"/>
      <c r="E61864"/>
      <c r="F61864"/>
    </row>
    <row r="61865" spans="1:6" x14ac:dyDescent="0.25">
      <c r="A61865"/>
      <c r="B61865"/>
      <c r="C61865"/>
      <c r="E61865"/>
      <c r="F61865"/>
    </row>
    <row r="61866" spans="1:6" x14ac:dyDescent="0.25">
      <c r="A61866"/>
      <c r="B61866"/>
      <c r="C61866"/>
      <c r="E61866"/>
      <c r="F61866"/>
    </row>
    <row r="61867" spans="1:6" x14ac:dyDescent="0.25">
      <c r="A61867"/>
      <c r="B61867"/>
      <c r="C61867"/>
      <c r="E61867"/>
      <c r="F61867"/>
    </row>
    <row r="61868" spans="1:6" x14ac:dyDescent="0.25">
      <c r="A61868"/>
      <c r="B61868"/>
      <c r="C61868"/>
      <c r="E61868"/>
      <c r="F61868"/>
    </row>
    <row r="61869" spans="1:6" x14ac:dyDescent="0.25">
      <c r="A61869"/>
      <c r="B61869"/>
      <c r="C61869"/>
      <c r="E61869"/>
      <c r="F61869"/>
    </row>
    <row r="61870" spans="1:6" x14ac:dyDescent="0.25">
      <c r="A61870"/>
      <c r="B61870"/>
      <c r="C61870"/>
      <c r="E61870"/>
      <c r="F61870"/>
    </row>
    <row r="61871" spans="1:6" x14ac:dyDescent="0.25">
      <c r="A61871"/>
      <c r="B61871"/>
      <c r="C61871"/>
      <c r="E61871"/>
      <c r="F61871"/>
    </row>
    <row r="61872" spans="1:6" x14ac:dyDescent="0.25">
      <c r="A61872"/>
      <c r="B61872"/>
      <c r="C61872"/>
      <c r="E61872"/>
      <c r="F61872"/>
    </row>
    <row r="61873" spans="1:6" x14ac:dyDescent="0.25">
      <c r="A61873"/>
      <c r="B61873"/>
      <c r="C61873"/>
      <c r="E61873"/>
      <c r="F61873"/>
    </row>
    <row r="61874" spans="1:6" x14ac:dyDescent="0.25">
      <c r="A61874"/>
      <c r="B61874"/>
      <c r="C61874"/>
      <c r="E61874"/>
      <c r="F61874"/>
    </row>
    <row r="61875" spans="1:6" x14ac:dyDescent="0.25">
      <c r="A61875"/>
      <c r="B61875"/>
      <c r="C61875"/>
      <c r="E61875"/>
      <c r="F61875"/>
    </row>
    <row r="61876" spans="1:6" x14ac:dyDescent="0.25">
      <c r="A61876"/>
      <c r="B61876"/>
      <c r="C61876"/>
      <c r="E61876"/>
      <c r="F61876"/>
    </row>
    <row r="61877" spans="1:6" x14ac:dyDescent="0.25">
      <c r="A61877"/>
      <c r="B61877"/>
      <c r="C61877"/>
      <c r="E61877"/>
      <c r="F61877"/>
    </row>
    <row r="61878" spans="1:6" x14ac:dyDescent="0.25">
      <c r="A61878"/>
      <c r="B61878"/>
      <c r="C61878"/>
      <c r="E61878"/>
      <c r="F61878"/>
    </row>
    <row r="61879" spans="1:6" x14ac:dyDescent="0.25">
      <c r="A61879"/>
      <c r="B61879"/>
      <c r="C61879"/>
      <c r="E61879"/>
      <c r="F61879"/>
    </row>
    <row r="61880" spans="1:6" x14ac:dyDescent="0.25">
      <c r="A61880"/>
      <c r="B61880"/>
      <c r="C61880"/>
      <c r="E61880"/>
      <c r="F61880"/>
    </row>
    <row r="61881" spans="1:6" x14ac:dyDescent="0.25">
      <c r="A61881"/>
      <c r="B61881"/>
      <c r="C61881"/>
      <c r="E61881"/>
      <c r="F61881"/>
    </row>
    <row r="61882" spans="1:6" x14ac:dyDescent="0.25">
      <c r="A61882"/>
      <c r="B61882"/>
      <c r="C61882"/>
      <c r="E61882"/>
      <c r="F61882"/>
    </row>
    <row r="61883" spans="1:6" x14ac:dyDescent="0.25">
      <c r="A61883"/>
      <c r="B61883"/>
      <c r="C61883"/>
      <c r="E61883"/>
      <c r="F61883"/>
    </row>
    <row r="61884" spans="1:6" x14ac:dyDescent="0.25">
      <c r="A61884"/>
      <c r="B61884"/>
      <c r="C61884"/>
      <c r="E61884"/>
      <c r="F61884"/>
    </row>
    <row r="61885" spans="1:6" x14ac:dyDescent="0.25">
      <c r="A61885"/>
      <c r="B61885"/>
      <c r="C61885"/>
      <c r="E61885"/>
      <c r="F61885"/>
    </row>
    <row r="61886" spans="1:6" x14ac:dyDescent="0.25">
      <c r="A61886"/>
      <c r="B61886"/>
      <c r="C61886"/>
      <c r="E61886"/>
      <c r="F61886"/>
    </row>
    <row r="61887" spans="1:6" x14ac:dyDescent="0.25">
      <c r="A61887"/>
      <c r="B61887"/>
      <c r="C61887"/>
      <c r="E61887"/>
      <c r="F61887"/>
    </row>
    <row r="61888" spans="1:6" x14ac:dyDescent="0.25">
      <c r="A61888"/>
      <c r="B61888"/>
      <c r="C61888"/>
      <c r="E61888"/>
      <c r="F61888"/>
    </row>
    <row r="61889" spans="1:6" x14ac:dyDescent="0.25">
      <c r="A61889"/>
      <c r="B61889"/>
      <c r="C61889"/>
      <c r="E61889"/>
      <c r="F61889"/>
    </row>
    <row r="61890" spans="1:6" x14ac:dyDescent="0.25">
      <c r="A61890"/>
      <c r="B61890"/>
      <c r="C61890"/>
      <c r="E61890"/>
      <c r="F61890"/>
    </row>
    <row r="61891" spans="1:6" x14ac:dyDescent="0.25">
      <c r="A61891"/>
      <c r="B61891"/>
      <c r="C61891"/>
      <c r="E61891"/>
      <c r="F61891"/>
    </row>
    <row r="61892" spans="1:6" x14ac:dyDescent="0.25">
      <c r="A61892"/>
      <c r="B61892"/>
      <c r="C61892"/>
      <c r="E61892"/>
      <c r="F61892"/>
    </row>
    <row r="61893" spans="1:6" x14ac:dyDescent="0.25">
      <c r="A61893"/>
      <c r="B61893"/>
      <c r="C61893"/>
      <c r="E61893"/>
      <c r="F61893"/>
    </row>
    <row r="61894" spans="1:6" x14ac:dyDescent="0.25">
      <c r="A61894"/>
      <c r="B61894"/>
      <c r="C61894"/>
      <c r="E61894"/>
      <c r="F61894"/>
    </row>
    <row r="61895" spans="1:6" x14ac:dyDescent="0.25">
      <c r="A61895"/>
      <c r="B61895"/>
      <c r="C61895"/>
      <c r="E61895"/>
      <c r="F61895"/>
    </row>
    <row r="61896" spans="1:6" x14ac:dyDescent="0.25">
      <c r="A61896"/>
      <c r="B61896"/>
      <c r="C61896"/>
      <c r="E61896"/>
      <c r="F61896"/>
    </row>
    <row r="61897" spans="1:6" x14ac:dyDescent="0.25">
      <c r="A61897"/>
      <c r="B61897"/>
      <c r="C61897"/>
      <c r="E61897"/>
      <c r="F61897"/>
    </row>
    <row r="61898" spans="1:6" x14ac:dyDescent="0.25">
      <c r="A61898"/>
      <c r="B61898"/>
      <c r="C61898"/>
      <c r="E61898"/>
      <c r="F61898"/>
    </row>
    <row r="61899" spans="1:6" x14ac:dyDescent="0.25">
      <c r="A61899"/>
      <c r="B61899"/>
      <c r="C61899"/>
      <c r="E61899"/>
      <c r="F61899"/>
    </row>
    <row r="61900" spans="1:6" x14ac:dyDescent="0.25">
      <c r="A61900"/>
      <c r="B61900"/>
      <c r="C61900"/>
      <c r="E61900"/>
      <c r="F61900"/>
    </row>
    <row r="61901" spans="1:6" x14ac:dyDescent="0.25">
      <c r="A61901"/>
      <c r="B61901"/>
      <c r="C61901"/>
      <c r="E61901"/>
      <c r="F61901"/>
    </row>
    <row r="61902" spans="1:6" x14ac:dyDescent="0.25">
      <c r="A61902"/>
      <c r="B61902"/>
      <c r="C61902"/>
      <c r="E61902"/>
      <c r="F61902"/>
    </row>
    <row r="61903" spans="1:6" x14ac:dyDescent="0.25">
      <c r="A61903"/>
      <c r="B61903"/>
      <c r="C61903"/>
      <c r="E61903"/>
      <c r="F61903"/>
    </row>
    <row r="61904" spans="1:6" x14ac:dyDescent="0.25">
      <c r="A61904"/>
      <c r="B61904"/>
      <c r="C61904"/>
      <c r="E61904"/>
      <c r="F61904"/>
    </row>
    <row r="61905" spans="1:6" x14ac:dyDescent="0.25">
      <c r="A61905"/>
      <c r="B61905"/>
      <c r="C61905"/>
      <c r="E61905"/>
      <c r="F61905"/>
    </row>
    <row r="61906" spans="1:6" x14ac:dyDescent="0.25">
      <c r="A61906"/>
      <c r="B61906"/>
      <c r="C61906"/>
      <c r="E61906"/>
      <c r="F61906"/>
    </row>
    <row r="61907" spans="1:6" x14ac:dyDescent="0.25">
      <c r="A61907"/>
      <c r="B61907"/>
      <c r="C61907"/>
      <c r="E61907"/>
      <c r="F61907"/>
    </row>
    <row r="61908" spans="1:6" x14ac:dyDescent="0.25">
      <c r="A61908"/>
      <c r="B61908"/>
      <c r="C61908"/>
      <c r="E61908"/>
      <c r="F61908"/>
    </row>
    <row r="61909" spans="1:6" x14ac:dyDescent="0.25">
      <c r="A61909"/>
      <c r="B61909"/>
      <c r="C61909"/>
      <c r="E61909"/>
      <c r="F61909"/>
    </row>
    <row r="61910" spans="1:6" x14ac:dyDescent="0.25">
      <c r="A61910"/>
      <c r="B61910"/>
      <c r="C61910"/>
      <c r="E61910"/>
      <c r="F61910"/>
    </row>
    <row r="61911" spans="1:6" x14ac:dyDescent="0.25">
      <c r="A61911"/>
      <c r="B61911"/>
      <c r="C61911"/>
      <c r="E61911"/>
      <c r="F61911"/>
    </row>
    <row r="61912" spans="1:6" x14ac:dyDescent="0.25">
      <c r="A61912"/>
      <c r="B61912"/>
      <c r="C61912"/>
      <c r="E61912"/>
      <c r="F61912"/>
    </row>
    <row r="61913" spans="1:6" x14ac:dyDescent="0.25">
      <c r="A61913"/>
      <c r="B61913"/>
      <c r="C61913"/>
      <c r="E61913"/>
      <c r="F61913"/>
    </row>
    <row r="61914" spans="1:6" x14ac:dyDescent="0.25">
      <c r="A61914"/>
      <c r="B61914"/>
      <c r="C61914"/>
      <c r="E61914"/>
      <c r="F61914"/>
    </row>
    <row r="61915" spans="1:6" x14ac:dyDescent="0.25">
      <c r="A61915"/>
      <c r="B61915"/>
      <c r="C61915"/>
      <c r="E61915"/>
      <c r="F61915"/>
    </row>
    <row r="61916" spans="1:6" x14ac:dyDescent="0.25">
      <c r="A61916"/>
      <c r="B61916"/>
      <c r="C61916"/>
      <c r="E61916"/>
      <c r="F61916"/>
    </row>
    <row r="61917" spans="1:6" x14ac:dyDescent="0.25">
      <c r="A61917"/>
      <c r="B61917"/>
      <c r="C61917"/>
      <c r="E61917"/>
      <c r="F61917"/>
    </row>
    <row r="61918" spans="1:6" x14ac:dyDescent="0.25">
      <c r="A61918"/>
      <c r="B61918"/>
      <c r="C61918"/>
      <c r="E61918"/>
      <c r="F61918"/>
    </row>
    <row r="61919" spans="1:6" x14ac:dyDescent="0.25">
      <c r="A61919"/>
      <c r="B61919"/>
      <c r="C61919"/>
      <c r="E61919"/>
      <c r="F61919"/>
    </row>
    <row r="61920" spans="1:6" x14ac:dyDescent="0.25">
      <c r="A61920"/>
      <c r="B61920"/>
      <c r="C61920"/>
      <c r="E61920"/>
      <c r="F61920"/>
    </row>
    <row r="61921" spans="1:6" x14ac:dyDescent="0.25">
      <c r="A61921"/>
      <c r="B61921"/>
      <c r="C61921"/>
      <c r="E61921"/>
      <c r="F61921"/>
    </row>
    <row r="61922" spans="1:6" x14ac:dyDescent="0.25">
      <c r="A61922"/>
      <c r="B61922"/>
      <c r="C61922"/>
      <c r="E61922"/>
      <c r="F61922"/>
    </row>
    <row r="61923" spans="1:6" x14ac:dyDescent="0.25">
      <c r="A61923"/>
      <c r="B61923"/>
      <c r="C61923"/>
      <c r="E61923"/>
      <c r="F61923"/>
    </row>
    <row r="61924" spans="1:6" x14ac:dyDescent="0.25">
      <c r="A61924"/>
      <c r="B61924"/>
      <c r="C61924"/>
      <c r="E61924"/>
      <c r="F61924"/>
    </row>
    <row r="61925" spans="1:6" x14ac:dyDescent="0.25">
      <c r="A61925"/>
      <c r="B61925"/>
      <c r="C61925"/>
      <c r="E61925"/>
      <c r="F61925"/>
    </row>
    <row r="61926" spans="1:6" x14ac:dyDescent="0.25">
      <c r="A61926"/>
      <c r="B61926"/>
      <c r="C61926"/>
      <c r="E61926"/>
      <c r="F61926"/>
    </row>
    <row r="61927" spans="1:6" x14ac:dyDescent="0.25">
      <c r="A61927"/>
      <c r="B61927"/>
      <c r="C61927"/>
      <c r="E61927"/>
      <c r="F61927"/>
    </row>
    <row r="61928" spans="1:6" x14ac:dyDescent="0.25">
      <c r="A61928"/>
      <c r="B61928"/>
      <c r="C61928"/>
      <c r="E61928"/>
      <c r="F61928"/>
    </row>
    <row r="61929" spans="1:6" x14ac:dyDescent="0.25">
      <c r="A61929"/>
      <c r="B61929"/>
      <c r="C61929"/>
      <c r="E61929"/>
      <c r="F61929"/>
    </row>
    <row r="61930" spans="1:6" x14ac:dyDescent="0.25">
      <c r="A61930"/>
      <c r="B61930"/>
      <c r="C61930"/>
      <c r="E61930"/>
      <c r="F61930"/>
    </row>
    <row r="61931" spans="1:6" x14ac:dyDescent="0.25">
      <c r="A61931"/>
      <c r="B61931"/>
      <c r="C61931"/>
      <c r="E61931"/>
      <c r="F61931"/>
    </row>
    <row r="61932" spans="1:6" x14ac:dyDescent="0.25">
      <c r="A61932"/>
      <c r="B61932"/>
      <c r="C61932"/>
      <c r="E61932"/>
      <c r="F61932"/>
    </row>
    <row r="61933" spans="1:6" x14ac:dyDescent="0.25">
      <c r="A61933"/>
      <c r="B61933"/>
      <c r="C61933"/>
      <c r="E61933"/>
      <c r="F61933"/>
    </row>
    <row r="61934" spans="1:6" x14ac:dyDescent="0.25">
      <c r="A61934"/>
      <c r="B61934"/>
      <c r="C61934"/>
      <c r="E61934"/>
      <c r="F61934"/>
    </row>
    <row r="61935" spans="1:6" x14ac:dyDescent="0.25">
      <c r="A61935"/>
      <c r="B61935"/>
      <c r="C61935"/>
      <c r="E61935"/>
      <c r="F61935"/>
    </row>
    <row r="61936" spans="1:6" x14ac:dyDescent="0.25">
      <c r="A61936"/>
      <c r="B61936"/>
      <c r="C61936"/>
      <c r="E61936"/>
      <c r="F61936"/>
    </row>
    <row r="61937" spans="1:6" x14ac:dyDescent="0.25">
      <c r="A61937"/>
      <c r="B61937"/>
      <c r="C61937"/>
      <c r="E61937"/>
      <c r="F61937"/>
    </row>
    <row r="61938" spans="1:6" x14ac:dyDescent="0.25">
      <c r="A61938"/>
      <c r="B61938"/>
      <c r="C61938"/>
      <c r="E61938"/>
      <c r="F61938"/>
    </row>
    <row r="61939" spans="1:6" x14ac:dyDescent="0.25">
      <c r="A61939"/>
      <c r="B61939"/>
      <c r="C61939"/>
      <c r="E61939"/>
      <c r="F61939"/>
    </row>
    <row r="61940" spans="1:6" x14ac:dyDescent="0.25">
      <c r="A61940"/>
      <c r="B61940"/>
      <c r="C61940"/>
      <c r="E61940"/>
      <c r="F61940"/>
    </row>
    <row r="61941" spans="1:6" x14ac:dyDescent="0.25">
      <c r="A61941"/>
      <c r="B61941"/>
      <c r="C61941"/>
      <c r="E61941"/>
      <c r="F61941"/>
    </row>
    <row r="61942" spans="1:6" x14ac:dyDescent="0.25">
      <c r="A61942"/>
      <c r="B61942"/>
      <c r="C61942"/>
      <c r="E61942"/>
      <c r="F61942"/>
    </row>
    <row r="61943" spans="1:6" x14ac:dyDescent="0.25">
      <c r="A61943"/>
      <c r="B61943"/>
      <c r="C61943"/>
      <c r="E61943"/>
      <c r="F61943"/>
    </row>
    <row r="61944" spans="1:6" x14ac:dyDescent="0.25">
      <c r="A61944"/>
      <c r="B61944"/>
      <c r="C61944"/>
      <c r="E61944"/>
      <c r="F61944"/>
    </row>
    <row r="61945" spans="1:6" x14ac:dyDescent="0.25">
      <c r="A61945"/>
      <c r="B61945"/>
      <c r="C61945"/>
      <c r="E61945"/>
      <c r="F61945"/>
    </row>
    <row r="61946" spans="1:6" x14ac:dyDescent="0.25">
      <c r="A61946"/>
      <c r="B61946"/>
      <c r="C61946"/>
      <c r="E61946"/>
      <c r="F61946"/>
    </row>
    <row r="61947" spans="1:6" x14ac:dyDescent="0.25">
      <c r="A61947"/>
      <c r="B61947"/>
      <c r="C61947"/>
      <c r="E61947"/>
      <c r="F61947"/>
    </row>
    <row r="61948" spans="1:6" x14ac:dyDescent="0.25">
      <c r="A61948"/>
      <c r="B61948"/>
      <c r="C61948"/>
      <c r="E61948"/>
      <c r="F61948"/>
    </row>
    <row r="61949" spans="1:6" x14ac:dyDescent="0.25">
      <c r="A61949"/>
      <c r="B61949"/>
      <c r="C61949"/>
      <c r="E61949"/>
      <c r="F61949"/>
    </row>
    <row r="61950" spans="1:6" x14ac:dyDescent="0.25">
      <c r="A61950"/>
      <c r="B61950"/>
      <c r="C61950"/>
      <c r="E61950"/>
      <c r="F61950"/>
    </row>
    <row r="61951" spans="1:6" x14ac:dyDescent="0.25">
      <c r="A61951"/>
      <c r="B61951"/>
      <c r="C61951"/>
      <c r="E61951"/>
      <c r="F61951"/>
    </row>
    <row r="61952" spans="1:6" x14ac:dyDescent="0.25">
      <c r="A61952"/>
      <c r="B61952"/>
      <c r="C61952"/>
      <c r="E61952"/>
      <c r="F61952"/>
    </row>
    <row r="61953" spans="1:6" x14ac:dyDescent="0.25">
      <c r="A61953"/>
      <c r="B61953"/>
      <c r="C61953"/>
      <c r="E61953"/>
      <c r="F61953"/>
    </row>
    <row r="61954" spans="1:6" x14ac:dyDescent="0.25">
      <c r="A61954"/>
      <c r="B61954"/>
      <c r="C61954"/>
      <c r="E61954"/>
      <c r="F61954"/>
    </row>
    <row r="61955" spans="1:6" x14ac:dyDescent="0.25">
      <c r="A61955"/>
      <c r="B61955"/>
      <c r="C61955"/>
      <c r="E61955"/>
      <c r="F61955"/>
    </row>
    <row r="61956" spans="1:6" x14ac:dyDescent="0.25">
      <c r="A61956"/>
      <c r="B61956"/>
      <c r="C61956"/>
      <c r="E61956"/>
      <c r="F61956"/>
    </row>
    <row r="61957" spans="1:6" x14ac:dyDescent="0.25">
      <c r="A61957"/>
      <c r="B61957"/>
      <c r="C61957"/>
      <c r="E61957"/>
      <c r="F61957"/>
    </row>
    <row r="61958" spans="1:6" x14ac:dyDescent="0.25">
      <c r="A61958"/>
      <c r="B61958"/>
      <c r="C61958"/>
      <c r="E61958"/>
      <c r="F61958"/>
    </row>
    <row r="61959" spans="1:6" x14ac:dyDescent="0.25">
      <c r="A61959"/>
      <c r="B61959"/>
      <c r="C61959"/>
      <c r="E61959"/>
      <c r="F61959"/>
    </row>
    <row r="61960" spans="1:6" x14ac:dyDescent="0.25">
      <c r="A61960"/>
      <c r="B61960"/>
      <c r="C61960"/>
      <c r="E61960"/>
      <c r="F61960"/>
    </row>
    <row r="61961" spans="1:6" x14ac:dyDescent="0.25">
      <c r="A61961"/>
      <c r="B61961"/>
      <c r="C61961"/>
      <c r="E61961"/>
      <c r="F61961"/>
    </row>
    <row r="61962" spans="1:6" x14ac:dyDescent="0.25">
      <c r="A61962"/>
      <c r="B61962"/>
      <c r="C61962"/>
      <c r="E61962"/>
      <c r="F61962"/>
    </row>
    <row r="61963" spans="1:6" x14ac:dyDescent="0.25">
      <c r="A61963"/>
      <c r="B61963"/>
      <c r="C61963"/>
      <c r="E61963"/>
      <c r="F61963"/>
    </row>
    <row r="61964" spans="1:6" x14ac:dyDescent="0.25">
      <c r="A61964"/>
      <c r="B61964"/>
      <c r="C61964"/>
      <c r="E61964"/>
      <c r="F61964"/>
    </row>
    <row r="61965" spans="1:6" x14ac:dyDescent="0.25">
      <c r="A61965"/>
      <c r="B61965"/>
      <c r="C61965"/>
      <c r="E61965"/>
      <c r="F61965"/>
    </row>
    <row r="61966" spans="1:6" x14ac:dyDescent="0.25">
      <c r="A61966"/>
      <c r="B61966"/>
      <c r="C61966"/>
      <c r="E61966"/>
      <c r="F61966"/>
    </row>
    <row r="61967" spans="1:6" x14ac:dyDescent="0.25">
      <c r="A61967"/>
      <c r="B61967"/>
      <c r="C61967"/>
      <c r="E61967"/>
      <c r="F61967"/>
    </row>
    <row r="61968" spans="1:6" x14ac:dyDescent="0.25">
      <c r="A61968"/>
      <c r="B61968"/>
      <c r="C61968"/>
      <c r="E61968"/>
      <c r="F61968"/>
    </row>
    <row r="61969" spans="1:6" x14ac:dyDescent="0.25">
      <c r="A61969"/>
      <c r="B61969"/>
      <c r="C61969"/>
      <c r="E61969"/>
      <c r="F61969"/>
    </row>
    <row r="61970" spans="1:6" x14ac:dyDescent="0.25">
      <c r="A61970"/>
      <c r="B61970"/>
      <c r="C61970"/>
      <c r="E61970"/>
      <c r="F61970"/>
    </row>
    <row r="61971" spans="1:6" x14ac:dyDescent="0.25">
      <c r="A61971"/>
      <c r="B61971"/>
      <c r="C61971"/>
      <c r="E61971"/>
      <c r="F61971"/>
    </row>
    <row r="61972" spans="1:6" x14ac:dyDescent="0.25">
      <c r="A61972"/>
      <c r="B61972"/>
      <c r="C61972"/>
      <c r="E61972"/>
      <c r="F61972"/>
    </row>
    <row r="61973" spans="1:6" x14ac:dyDescent="0.25">
      <c r="A61973"/>
      <c r="B61973"/>
      <c r="C61973"/>
      <c r="E61973"/>
      <c r="F61973"/>
    </row>
    <row r="61974" spans="1:6" x14ac:dyDescent="0.25">
      <c r="A61974"/>
      <c r="B61974"/>
      <c r="C61974"/>
      <c r="E61974"/>
      <c r="F61974"/>
    </row>
    <row r="61975" spans="1:6" x14ac:dyDescent="0.25">
      <c r="A61975"/>
      <c r="B61975"/>
      <c r="C61975"/>
      <c r="E61975"/>
      <c r="F61975"/>
    </row>
    <row r="61976" spans="1:6" x14ac:dyDescent="0.25">
      <c r="A61976"/>
      <c r="B61976"/>
      <c r="C61976"/>
      <c r="E61976"/>
      <c r="F61976"/>
    </row>
    <row r="61977" spans="1:6" x14ac:dyDescent="0.25">
      <c r="A61977"/>
      <c r="B61977"/>
      <c r="C61977"/>
      <c r="E61977"/>
      <c r="F61977"/>
    </row>
    <row r="61978" spans="1:6" x14ac:dyDescent="0.25">
      <c r="A61978"/>
      <c r="B61978"/>
      <c r="C61978"/>
      <c r="E61978"/>
      <c r="F61978"/>
    </row>
    <row r="61979" spans="1:6" x14ac:dyDescent="0.25">
      <c r="A61979"/>
      <c r="B61979"/>
      <c r="C61979"/>
      <c r="E61979"/>
      <c r="F61979"/>
    </row>
    <row r="61980" spans="1:6" x14ac:dyDescent="0.25">
      <c r="A61980"/>
      <c r="B61980"/>
      <c r="C61980"/>
      <c r="E61980"/>
      <c r="F61980"/>
    </row>
    <row r="61981" spans="1:6" x14ac:dyDescent="0.25">
      <c r="A61981"/>
      <c r="B61981"/>
      <c r="C61981"/>
      <c r="E61981"/>
      <c r="F61981"/>
    </row>
    <row r="61982" spans="1:6" x14ac:dyDescent="0.25">
      <c r="A61982"/>
      <c r="B61982"/>
      <c r="C61982"/>
      <c r="E61982"/>
      <c r="F61982"/>
    </row>
    <row r="61983" spans="1:6" x14ac:dyDescent="0.25">
      <c r="A61983"/>
      <c r="B61983"/>
      <c r="C61983"/>
      <c r="E61983"/>
      <c r="F61983"/>
    </row>
    <row r="61984" spans="1:6" x14ac:dyDescent="0.25">
      <c r="A61984"/>
      <c r="B61984"/>
      <c r="C61984"/>
      <c r="E61984"/>
      <c r="F61984"/>
    </row>
    <row r="61985" spans="1:6" x14ac:dyDescent="0.25">
      <c r="A61985"/>
      <c r="B61985"/>
      <c r="C61985"/>
      <c r="E61985"/>
      <c r="F61985"/>
    </row>
    <row r="61986" spans="1:6" x14ac:dyDescent="0.25">
      <c r="A61986"/>
      <c r="B61986"/>
      <c r="C61986"/>
      <c r="E61986"/>
      <c r="F61986"/>
    </row>
    <row r="61987" spans="1:6" x14ac:dyDescent="0.25">
      <c r="A61987"/>
      <c r="B61987"/>
      <c r="C61987"/>
      <c r="E61987"/>
      <c r="F61987"/>
    </row>
    <row r="61988" spans="1:6" x14ac:dyDescent="0.25">
      <c r="A61988"/>
      <c r="B61988"/>
      <c r="C61988"/>
      <c r="E61988"/>
      <c r="F61988"/>
    </row>
    <row r="61989" spans="1:6" x14ac:dyDescent="0.25">
      <c r="A61989"/>
      <c r="B61989"/>
      <c r="C61989"/>
      <c r="E61989"/>
      <c r="F61989"/>
    </row>
    <row r="61990" spans="1:6" x14ac:dyDescent="0.25">
      <c r="A61990"/>
      <c r="B61990"/>
      <c r="C61990"/>
      <c r="E61990"/>
      <c r="F61990"/>
    </row>
    <row r="61991" spans="1:6" x14ac:dyDescent="0.25">
      <c r="A61991"/>
      <c r="B61991"/>
      <c r="C61991"/>
      <c r="E61991"/>
      <c r="F61991"/>
    </row>
    <row r="61992" spans="1:6" x14ac:dyDescent="0.25">
      <c r="A61992"/>
      <c r="B61992"/>
      <c r="C61992"/>
      <c r="E61992"/>
      <c r="F61992"/>
    </row>
    <row r="61993" spans="1:6" x14ac:dyDescent="0.25">
      <c r="A61993"/>
      <c r="B61993"/>
      <c r="C61993"/>
      <c r="E61993"/>
      <c r="F61993"/>
    </row>
    <row r="61994" spans="1:6" x14ac:dyDescent="0.25">
      <c r="A61994"/>
      <c r="B61994"/>
      <c r="C61994"/>
      <c r="E61994"/>
      <c r="F61994"/>
    </row>
    <row r="61995" spans="1:6" x14ac:dyDescent="0.25">
      <c r="A61995"/>
      <c r="B61995"/>
      <c r="C61995"/>
      <c r="E61995"/>
      <c r="F61995"/>
    </row>
    <row r="61996" spans="1:6" x14ac:dyDescent="0.25">
      <c r="A61996"/>
      <c r="B61996"/>
      <c r="C61996"/>
      <c r="E61996"/>
      <c r="F61996"/>
    </row>
    <row r="61997" spans="1:6" x14ac:dyDescent="0.25">
      <c r="A61997"/>
      <c r="B61997"/>
      <c r="C61997"/>
      <c r="E61997"/>
      <c r="F61997"/>
    </row>
    <row r="61998" spans="1:6" x14ac:dyDescent="0.25">
      <c r="A61998"/>
      <c r="B61998"/>
      <c r="C61998"/>
      <c r="E61998"/>
      <c r="F61998"/>
    </row>
    <row r="61999" spans="1:6" x14ac:dyDescent="0.25">
      <c r="A61999"/>
      <c r="B61999"/>
      <c r="C61999"/>
      <c r="E61999"/>
      <c r="F61999"/>
    </row>
    <row r="62000" spans="1:6" x14ac:dyDescent="0.25">
      <c r="A62000"/>
      <c r="B62000"/>
      <c r="C62000"/>
      <c r="E62000"/>
      <c r="F62000"/>
    </row>
    <row r="62001" spans="1:6" x14ac:dyDescent="0.25">
      <c r="A62001"/>
      <c r="B62001"/>
      <c r="C62001"/>
      <c r="E62001"/>
      <c r="F62001"/>
    </row>
    <row r="62002" spans="1:6" x14ac:dyDescent="0.25">
      <c r="A62002"/>
      <c r="B62002"/>
      <c r="C62002"/>
      <c r="E62002"/>
      <c r="F62002"/>
    </row>
    <row r="62003" spans="1:6" x14ac:dyDescent="0.25">
      <c r="A62003"/>
      <c r="B62003"/>
      <c r="C62003"/>
      <c r="E62003"/>
      <c r="F62003"/>
    </row>
    <row r="62004" spans="1:6" x14ac:dyDescent="0.25">
      <c r="A62004"/>
      <c r="B62004"/>
      <c r="C62004"/>
      <c r="E62004"/>
      <c r="F62004"/>
    </row>
    <row r="62005" spans="1:6" x14ac:dyDescent="0.25">
      <c r="A62005"/>
      <c r="B62005"/>
      <c r="C62005"/>
      <c r="E62005"/>
      <c r="F62005"/>
    </row>
    <row r="62006" spans="1:6" x14ac:dyDescent="0.25">
      <c r="A62006"/>
      <c r="B62006"/>
      <c r="C62006"/>
      <c r="E62006"/>
      <c r="F62006"/>
    </row>
    <row r="62007" spans="1:6" x14ac:dyDescent="0.25">
      <c r="A62007"/>
      <c r="B62007"/>
      <c r="C62007"/>
      <c r="E62007"/>
      <c r="F62007"/>
    </row>
    <row r="62008" spans="1:6" x14ac:dyDescent="0.25">
      <c r="A62008"/>
      <c r="B62008"/>
      <c r="C62008"/>
      <c r="E62008"/>
      <c r="F62008"/>
    </row>
    <row r="62009" spans="1:6" x14ac:dyDescent="0.25">
      <c r="A62009"/>
      <c r="B62009"/>
      <c r="C62009"/>
      <c r="E62009"/>
      <c r="F62009"/>
    </row>
    <row r="62010" spans="1:6" x14ac:dyDescent="0.25">
      <c r="A62010"/>
      <c r="B62010"/>
      <c r="C62010"/>
      <c r="E62010"/>
      <c r="F62010"/>
    </row>
    <row r="62011" spans="1:6" x14ac:dyDescent="0.25">
      <c r="A62011"/>
      <c r="B62011"/>
      <c r="C62011"/>
      <c r="E62011"/>
      <c r="F62011"/>
    </row>
    <row r="62012" spans="1:6" x14ac:dyDescent="0.25">
      <c r="A62012"/>
      <c r="B62012"/>
      <c r="C62012"/>
      <c r="E62012"/>
      <c r="F62012"/>
    </row>
    <row r="62013" spans="1:6" x14ac:dyDescent="0.25">
      <c r="A62013"/>
      <c r="B62013"/>
      <c r="C62013"/>
      <c r="E62013"/>
      <c r="F62013"/>
    </row>
    <row r="62014" spans="1:6" x14ac:dyDescent="0.25">
      <c r="A62014"/>
      <c r="B62014"/>
      <c r="C62014"/>
      <c r="E62014"/>
      <c r="F62014"/>
    </row>
    <row r="62015" spans="1:6" x14ac:dyDescent="0.25">
      <c r="A62015"/>
      <c r="B62015"/>
      <c r="C62015"/>
      <c r="E62015"/>
      <c r="F62015"/>
    </row>
    <row r="62016" spans="1:6" x14ac:dyDescent="0.25">
      <c r="A62016"/>
      <c r="B62016"/>
      <c r="C62016"/>
      <c r="E62016"/>
      <c r="F62016"/>
    </row>
    <row r="62017" spans="1:6" x14ac:dyDescent="0.25">
      <c r="A62017"/>
      <c r="B62017"/>
      <c r="C62017"/>
      <c r="E62017"/>
      <c r="F62017"/>
    </row>
    <row r="62018" spans="1:6" x14ac:dyDescent="0.25">
      <c r="A62018"/>
      <c r="B62018"/>
      <c r="C62018"/>
      <c r="E62018"/>
      <c r="F62018"/>
    </row>
    <row r="62019" spans="1:6" x14ac:dyDescent="0.25">
      <c r="A62019"/>
      <c r="B62019"/>
      <c r="C62019"/>
      <c r="E62019"/>
      <c r="F62019"/>
    </row>
    <row r="62020" spans="1:6" x14ac:dyDescent="0.25">
      <c r="A62020"/>
      <c r="B62020"/>
      <c r="C62020"/>
      <c r="E62020"/>
      <c r="F62020"/>
    </row>
    <row r="62021" spans="1:6" x14ac:dyDescent="0.25">
      <c r="A62021"/>
      <c r="B62021"/>
      <c r="C62021"/>
      <c r="E62021"/>
      <c r="F62021"/>
    </row>
    <row r="62022" spans="1:6" x14ac:dyDescent="0.25">
      <c r="A62022"/>
      <c r="B62022"/>
      <c r="C62022"/>
      <c r="E62022"/>
      <c r="F62022"/>
    </row>
    <row r="62023" spans="1:6" x14ac:dyDescent="0.25">
      <c r="A62023"/>
      <c r="B62023"/>
      <c r="C62023"/>
      <c r="E62023"/>
      <c r="F62023"/>
    </row>
    <row r="62024" spans="1:6" x14ac:dyDescent="0.25">
      <c r="A62024"/>
      <c r="B62024"/>
      <c r="C62024"/>
      <c r="E62024"/>
      <c r="F62024"/>
    </row>
    <row r="62025" spans="1:6" x14ac:dyDescent="0.25">
      <c r="A62025"/>
      <c r="B62025"/>
      <c r="C62025"/>
      <c r="E62025"/>
      <c r="F62025"/>
    </row>
    <row r="62026" spans="1:6" x14ac:dyDescent="0.25">
      <c r="A62026"/>
      <c r="B62026"/>
      <c r="C62026"/>
      <c r="E62026"/>
      <c r="F62026"/>
    </row>
    <row r="62027" spans="1:6" x14ac:dyDescent="0.25">
      <c r="A62027"/>
      <c r="B62027"/>
      <c r="C62027"/>
      <c r="E62027"/>
      <c r="F62027"/>
    </row>
    <row r="62028" spans="1:6" x14ac:dyDescent="0.25">
      <c r="A62028"/>
      <c r="B62028"/>
      <c r="C62028"/>
      <c r="E62028"/>
      <c r="F62028"/>
    </row>
    <row r="62029" spans="1:6" x14ac:dyDescent="0.25">
      <c r="A62029"/>
      <c r="B62029"/>
      <c r="C62029"/>
      <c r="E62029"/>
      <c r="F62029"/>
    </row>
    <row r="62030" spans="1:6" x14ac:dyDescent="0.25">
      <c r="A62030"/>
      <c r="B62030"/>
      <c r="C62030"/>
      <c r="E62030"/>
      <c r="F62030"/>
    </row>
    <row r="62031" spans="1:6" x14ac:dyDescent="0.25">
      <c r="A62031"/>
      <c r="B62031"/>
      <c r="C62031"/>
      <c r="E62031"/>
      <c r="F62031"/>
    </row>
    <row r="62032" spans="1:6" x14ac:dyDescent="0.25">
      <c r="A62032"/>
      <c r="B62032"/>
      <c r="C62032"/>
      <c r="E62032"/>
      <c r="F62032"/>
    </row>
    <row r="62033" spans="1:6" x14ac:dyDescent="0.25">
      <c r="A62033"/>
      <c r="B62033"/>
      <c r="C62033"/>
      <c r="E62033"/>
      <c r="F62033"/>
    </row>
    <row r="62034" spans="1:6" x14ac:dyDescent="0.25">
      <c r="A62034"/>
      <c r="B62034"/>
      <c r="C62034"/>
      <c r="E62034"/>
      <c r="F62034"/>
    </row>
    <row r="62035" spans="1:6" x14ac:dyDescent="0.25">
      <c r="A62035"/>
      <c r="B62035"/>
      <c r="C62035"/>
      <c r="E62035"/>
      <c r="F62035"/>
    </row>
    <row r="62036" spans="1:6" x14ac:dyDescent="0.25">
      <c r="A62036"/>
      <c r="B62036"/>
      <c r="C62036"/>
      <c r="E62036"/>
      <c r="F62036"/>
    </row>
    <row r="62037" spans="1:6" x14ac:dyDescent="0.25">
      <c r="A62037"/>
      <c r="B62037"/>
      <c r="C62037"/>
      <c r="E62037"/>
      <c r="F62037"/>
    </row>
    <row r="62038" spans="1:6" x14ac:dyDescent="0.25">
      <c r="A62038"/>
      <c r="B62038"/>
      <c r="C62038"/>
      <c r="E62038"/>
      <c r="F62038"/>
    </row>
    <row r="62039" spans="1:6" x14ac:dyDescent="0.25">
      <c r="A62039"/>
      <c r="B62039"/>
      <c r="C62039"/>
      <c r="E62039"/>
      <c r="F62039"/>
    </row>
    <row r="62040" spans="1:6" x14ac:dyDescent="0.25">
      <c r="A62040"/>
      <c r="B62040"/>
      <c r="C62040"/>
      <c r="E62040"/>
      <c r="F62040"/>
    </row>
    <row r="62041" spans="1:6" x14ac:dyDescent="0.25">
      <c r="A62041"/>
      <c r="B62041"/>
      <c r="C62041"/>
      <c r="E62041"/>
      <c r="F62041"/>
    </row>
    <row r="62042" spans="1:6" x14ac:dyDescent="0.25">
      <c r="A62042"/>
      <c r="B62042"/>
      <c r="C62042"/>
      <c r="E62042"/>
      <c r="F62042"/>
    </row>
    <row r="62043" spans="1:6" x14ac:dyDescent="0.25">
      <c r="A62043"/>
      <c r="B62043"/>
      <c r="C62043"/>
      <c r="E62043"/>
      <c r="F62043"/>
    </row>
    <row r="62044" spans="1:6" x14ac:dyDescent="0.25">
      <c r="A62044"/>
      <c r="B62044"/>
      <c r="C62044"/>
      <c r="E62044"/>
      <c r="F62044"/>
    </row>
    <row r="62045" spans="1:6" x14ac:dyDescent="0.25">
      <c r="A62045"/>
      <c r="B62045"/>
      <c r="C62045"/>
      <c r="E62045"/>
      <c r="F62045"/>
    </row>
    <row r="62046" spans="1:6" x14ac:dyDescent="0.25">
      <c r="A62046"/>
      <c r="B62046"/>
      <c r="C62046"/>
      <c r="E62046"/>
      <c r="F62046"/>
    </row>
    <row r="62047" spans="1:6" x14ac:dyDescent="0.25">
      <c r="A62047"/>
      <c r="B62047"/>
      <c r="C62047"/>
      <c r="E62047"/>
      <c r="F62047"/>
    </row>
    <row r="62048" spans="1:6" x14ac:dyDescent="0.25">
      <c r="A62048"/>
      <c r="B62048"/>
      <c r="C62048"/>
      <c r="E62048"/>
      <c r="F62048"/>
    </row>
    <row r="62049" spans="1:6" x14ac:dyDescent="0.25">
      <c r="A62049"/>
      <c r="B62049"/>
      <c r="C62049"/>
      <c r="E62049"/>
      <c r="F62049"/>
    </row>
    <row r="62050" spans="1:6" x14ac:dyDescent="0.25">
      <c r="A62050"/>
      <c r="B62050"/>
      <c r="C62050"/>
      <c r="E62050"/>
      <c r="F62050"/>
    </row>
    <row r="62051" spans="1:6" x14ac:dyDescent="0.25">
      <c r="A62051"/>
      <c r="B62051"/>
      <c r="C62051"/>
      <c r="E62051"/>
      <c r="F62051"/>
    </row>
    <row r="62052" spans="1:6" x14ac:dyDescent="0.25">
      <c r="A62052"/>
      <c r="B62052"/>
      <c r="C62052"/>
      <c r="E62052"/>
      <c r="F62052"/>
    </row>
    <row r="62053" spans="1:6" x14ac:dyDescent="0.25">
      <c r="A62053"/>
      <c r="B62053"/>
      <c r="C62053"/>
      <c r="E62053"/>
      <c r="F62053"/>
    </row>
    <row r="62054" spans="1:6" x14ac:dyDescent="0.25">
      <c r="A62054"/>
      <c r="B62054"/>
      <c r="C62054"/>
      <c r="E62054"/>
      <c r="F62054"/>
    </row>
    <row r="62055" spans="1:6" x14ac:dyDescent="0.25">
      <c r="A62055"/>
      <c r="B62055"/>
      <c r="C62055"/>
      <c r="E62055"/>
      <c r="F62055"/>
    </row>
    <row r="62056" spans="1:6" x14ac:dyDescent="0.25">
      <c r="A62056"/>
      <c r="B62056"/>
      <c r="C62056"/>
      <c r="E62056"/>
      <c r="F62056"/>
    </row>
    <row r="62057" spans="1:6" x14ac:dyDescent="0.25">
      <c r="A62057"/>
      <c r="B62057"/>
      <c r="C62057"/>
      <c r="E62057"/>
      <c r="F62057"/>
    </row>
    <row r="62058" spans="1:6" x14ac:dyDescent="0.25">
      <c r="A62058"/>
      <c r="B62058"/>
      <c r="C62058"/>
      <c r="E62058"/>
      <c r="F62058"/>
    </row>
    <row r="62059" spans="1:6" x14ac:dyDescent="0.25">
      <c r="A62059"/>
      <c r="B62059"/>
      <c r="C62059"/>
      <c r="E62059"/>
      <c r="F62059"/>
    </row>
    <row r="62060" spans="1:6" x14ac:dyDescent="0.25">
      <c r="A62060"/>
      <c r="B62060"/>
      <c r="C62060"/>
      <c r="E62060"/>
      <c r="F62060"/>
    </row>
    <row r="62061" spans="1:6" x14ac:dyDescent="0.25">
      <c r="A62061"/>
      <c r="B62061"/>
      <c r="C62061"/>
      <c r="E62061"/>
      <c r="F62061"/>
    </row>
    <row r="62062" spans="1:6" x14ac:dyDescent="0.25">
      <c r="A62062"/>
      <c r="B62062"/>
      <c r="C62062"/>
      <c r="E62062"/>
      <c r="F62062"/>
    </row>
    <row r="62063" spans="1:6" x14ac:dyDescent="0.25">
      <c r="A62063"/>
      <c r="B62063"/>
      <c r="C62063"/>
      <c r="E62063"/>
      <c r="F62063"/>
    </row>
    <row r="62064" spans="1:6" x14ac:dyDescent="0.25">
      <c r="A62064"/>
      <c r="B62064"/>
      <c r="C62064"/>
      <c r="E62064"/>
      <c r="F62064"/>
    </row>
    <row r="62065" spans="1:6" x14ac:dyDescent="0.25">
      <c r="A62065"/>
      <c r="B62065"/>
      <c r="C62065"/>
      <c r="E62065"/>
      <c r="F62065"/>
    </row>
    <row r="62066" spans="1:6" x14ac:dyDescent="0.25">
      <c r="A62066"/>
      <c r="B62066"/>
      <c r="C62066"/>
      <c r="E62066"/>
      <c r="F62066"/>
    </row>
    <row r="62067" spans="1:6" x14ac:dyDescent="0.25">
      <c r="A62067"/>
      <c r="B62067"/>
      <c r="C62067"/>
      <c r="E62067"/>
      <c r="F62067"/>
    </row>
    <row r="62068" spans="1:6" x14ac:dyDescent="0.25">
      <c r="A62068"/>
      <c r="B62068"/>
      <c r="C62068"/>
      <c r="E62068"/>
      <c r="F62068"/>
    </row>
    <row r="62069" spans="1:6" x14ac:dyDescent="0.25">
      <c r="A62069"/>
      <c r="B62069"/>
      <c r="C62069"/>
      <c r="E62069"/>
      <c r="F62069"/>
    </row>
    <row r="62070" spans="1:6" x14ac:dyDescent="0.25">
      <c r="A62070"/>
      <c r="B62070"/>
      <c r="C62070"/>
      <c r="E62070"/>
      <c r="F62070"/>
    </row>
    <row r="62071" spans="1:6" x14ac:dyDescent="0.25">
      <c r="A62071"/>
      <c r="B62071"/>
      <c r="C62071"/>
      <c r="E62071"/>
      <c r="F62071"/>
    </row>
    <row r="62072" spans="1:6" x14ac:dyDescent="0.25">
      <c r="A62072"/>
      <c r="B62072"/>
      <c r="C62072"/>
      <c r="E62072"/>
      <c r="F62072"/>
    </row>
    <row r="62073" spans="1:6" x14ac:dyDescent="0.25">
      <c r="A62073"/>
      <c r="B62073"/>
      <c r="C62073"/>
      <c r="E62073"/>
      <c r="F62073"/>
    </row>
    <row r="62074" spans="1:6" x14ac:dyDescent="0.25">
      <c r="A62074"/>
      <c r="B62074"/>
      <c r="C62074"/>
      <c r="E62074"/>
      <c r="F62074"/>
    </row>
    <row r="62075" spans="1:6" x14ac:dyDescent="0.25">
      <c r="A62075"/>
      <c r="B62075"/>
      <c r="C62075"/>
      <c r="E62075"/>
      <c r="F62075"/>
    </row>
    <row r="62076" spans="1:6" x14ac:dyDescent="0.25">
      <c r="A62076"/>
      <c r="B62076"/>
      <c r="C62076"/>
      <c r="E62076"/>
      <c r="F62076"/>
    </row>
    <row r="62077" spans="1:6" x14ac:dyDescent="0.25">
      <c r="A62077"/>
      <c r="B62077"/>
      <c r="C62077"/>
      <c r="E62077"/>
      <c r="F62077"/>
    </row>
    <row r="62078" spans="1:6" x14ac:dyDescent="0.25">
      <c r="A62078"/>
      <c r="B62078"/>
      <c r="C62078"/>
      <c r="E62078"/>
      <c r="F62078"/>
    </row>
    <row r="62079" spans="1:6" x14ac:dyDescent="0.25">
      <c r="A62079"/>
      <c r="B62079"/>
      <c r="C62079"/>
      <c r="E62079"/>
      <c r="F62079"/>
    </row>
    <row r="62080" spans="1:6" x14ac:dyDescent="0.25">
      <c r="A62080"/>
      <c r="B62080"/>
      <c r="C62080"/>
      <c r="E62080"/>
      <c r="F62080"/>
    </row>
    <row r="62081" spans="1:6" x14ac:dyDescent="0.25">
      <c r="A62081"/>
      <c r="B62081"/>
      <c r="C62081"/>
      <c r="E62081"/>
      <c r="F62081"/>
    </row>
    <row r="62082" spans="1:6" x14ac:dyDescent="0.25">
      <c r="A62082"/>
      <c r="B62082"/>
      <c r="C62082"/>
      <c r="E62082"/>
      <c r="F62082"/>
    </row>
    <row r="62083" spans="1:6" x14ac:dyDescent="0.25">
      <c r="A62083"/>
      <c r="B62083"/>
      <c r="C62083"/>
      <c r="E62083"/>
      <c r="F62083"/>
    </row>
    <row r="62084" spans="1:6" x14ac:dyDescent="0.25">
      <c r="A62084"/>
      <c r="B62084"/>
      <c r="C62084"/>
      <c r="E62084"/>
      <c r="F62084"/>
    </row>
    <row r="62085" spans="1:6" x14ac:dyDescent="0.25">
      <c r="A62085"/>
      <c r="B62085"/>
      <c r="C62085"/>
      <c r="E62085"/>
      <c r="F62085"/>
    </row>
    <row r="62086" spans="1:6" x14ac:dyDescent="0.25">
      <c r="A62086"/>
      <c r="B62086"/>
      <c r="C62086"/>
      <c r="E62086"/>
      <c r="F62086"/>
    </row>
    <row r="62087" spans="1:6" x14ac:dyDescent="0.25">
      <c r="A62087"/>
      <c r="B62087"/>
      <c r="C62087"/>
      <c r="E62087"/>
      <c r="F62087"/>
    </row>
    <row r="62088" spans="1:6" x14ac:dyDescent="0.25">
      <c r="A62088"/>
      <c r="B62088"/>
      <c r="C62088"/>
      <c r="E62088"/>
      <c r="F62088"/>
    </row>
    <row r="62089" spans="1:6" x14ac:dyDescent="0.25">
      <c r="A62089"/>
      <c r="B62089"/>
      <c r="C62089"/>
      <c r="E62089"/>
      <c r="F62089"/>
    </row>
    <row r="62090" spans="1:6" x14ac:dyDescent="0.25">
      <c r="A62090"/>
      <c r="B62090"/>
      <c r="C62090"/>
      <c r="E62090"/>
      <c r="F62090"/>
    </row>
    <row r="62091" spans="1:6" x14ac:dyDescent="0.25">
      <c r="A62091"/>
      <c r="B62091"/>
      <c r="C62091"/>
      <c r="E62091"/>
      <c r="F62091"/>
    </row>
    <row r="62092" spans="1:6" x14ac:dyDescent="0.25">
      <c r="A62092"/>
      <c r="B62092"/>
      <c r="C62092"/>
      <c r="E62092"/>
      <c r="F62092"/>
    </row>
    <row r="62093" spans="1:6" x14ac:dyDescent="0.25">
      <c r="A62093"/>
      <c r="B62093"/>
      <c r="C62093"/>
      <c r="E62093"/>
      <c r="F62093"/>
    </row>
    <row r="62094" spans="1:6" x14ac:dyDescent="0.25">
      <c r="A62094"/>
      <c r="B62094"/>
      <c r="C62094"/>
      <c r="E62094"/>
      <c r="F62094"/>
    </row>
    <row r="62095" spans="1:6" x14ac:dyDescent="0.25">
      <c r="A62095"/>
      <c r="B62095"/>
      <c r="C62095"/>
      <c r="E62095"/>
      <c r="F62095"/>
    </row>
    <row r="62096" spans="1:6" x14ac:dyDescent="0.25">
      <c r="A62096"/>
      <c r="B62096"/>
      <c r="C62096"/>
      <c r="E62096"/>
      <c r="F62096"/>
    </row>
    <row r="62097" spans="1:6" x14ac:dyDescent="0.25">
      <c r="A62097"/>
      <c r="B62097"/>
      <c r="C62097"/>
      <c r="E62097"/>
      <c r="F62097"/>
    </row>
    <row r="62098" spans="1:6" x14ac:dyDescent="0.25">
      <c r="A62098"/>
      <c r="B62098"/>
      <c r="C62098"/>
      <c r="E62098"/>
      <c r="F62098"/>
    </row>
    <row r="62099" spans="1:6" x14ac:dyDescent="0.25">
      <c r="A62099"/>
      <c r="B62099"/>
      <c r="C62099"/>
      <c r="E62099"/>
      <c r="F62099"/>
    </row>
    <row r="62100" spans="1:6" x14ac:dyDescent="0.25">
      <c r="A62100"/>
      <c r="B62100"/>
      <c r="C62100"/>
      <c r="E62100"/>
      <c r="F62100"/>
    </row>
    <row r="62101" spans="1:6" x14ac:dyDescent="0.25">
      <c r="A62101"/>
      <c r="B62101"/>
      <c r="C62101"/>
      <c r="E62101"/>
      <c r="F62101"/>
    </row>
    <row r="62102" spans="1:6" x14ac:dyDescent="0.25">
      <c r="A62102"/>
      <c r="B62102"/>
      <c r="C62102"/>
      <c r="E62102"/>
      <c r="F62102"/>
    </row>
    <row r="62103" spans="1:6" x14ac:dyDescent="0.25">
      <c r="A62103"/>
      <c r="B62103"/>
      <c r="C62103"/>
      <c r="E62103"/>
      <c r="F62103"/>
    </row>
    <row r="62104" spans="1:6" x14ac:dyDescent="0.25">
      <c r="A62104"/>
      <c r="B62104"/>
      <c r="C62104"/>
      <c r="E62104"/>
      <c r="F62104"/>
    </row>
    <row r="62105" spans="1:6" x14ac:dyDescent="0.25">
      <c r="A62105"/>
      <c r="B62105"/>
      <c r="C62105"/>
      <c r="E62105"/>
      <c r="F62105"/>
    </row>
    <row r="62106" spans="1:6" x14ac:dyDescent="0.25">
      <c r="A62106"/>
      <c r="B62106"/>
      <c r="C62106"/>
      <c r="E62106"/>
      <c r="F62106"/>
    </row>
    <row r="62107" spans="1:6" x14ac:dyDescent="0.25">
      <c r="A62107"/>
      <c r="B62107"/>
      <c r="C62107"/>
      <c r="E62107"/>
      <c r="F62107"/>
    </row>
    <row r="62108" spans="1:6" x14ac:dyDescent="0.25">
      <c r="A62108"/>
      <c r="B62108"/>
      <c r="C62108"/>
      <c r="E62108"/>
      <c r="F62108"/>
    </row>
    <row r="62109" spans="1:6" x14ac:dyDescent="0.25">
      <c r="A62109"/>
      <c r="B62109"/>
      <c r="C62109"/>
      <c r="E62109"/>
      <c r="F62109"/>
    </row>
    <row r="62110" spans="1:6" x14ac:dyDescent="0.25">
      <c r="A62110"/>
      <c r="B62110"/>
      <c r="C62110"/>
      <c r="E62110"/>
      <c r="F62110"/>
    </row>
    <row r="62111" spans="1:6" x14ac:dyDescent="0.25">
      <c r="A62111"/>
      <c r="B62111"/>
      <c r="C62111"/>
      <c r="E62111"/>
      <c r="F62111"/>
    </row>
    <row r="62112" spans="1:6" x14ac:dyDescent="0.25">
      <c r="A62112"/>
      <c r="B62112"/>
      <c r="C62112"/>
      <c r="E62112"/>
      <c r="F62112"/>
    </row>
    <row r="62113" spans="1:6" x14ac:dyDescent="0.25">
      <c r="A62113"/>
      <c r="B62113"/>
      <c r="C62113"/>
      <c r="E62113"/>
      <c r="F62113"/>
    </row>
    <row r="62114" spans="1:6" x14ac:dyDescent="0.25">
      <c r="A62114"/>
      <c r="B62114"/>
      <c r="C62114"/>
      <c r="E62114"/>
      <c r="F62114"/>
    </row>
    <row r="62115" spans="1:6" x14ac:dyDescent="0.25">
      <c r="A62115"/>
      <c r="B62115"/>
      <c r="C62115"/>
      <c r="E62115"/>
      <c r="F62115"/>
    </row>
    <row r="62116" spans="1:6" x14ac:dyDescent="0.25">
      <c r="A62116"/>
      <c r="B62116"/>
      <c r="C62116"/>
      <c r="E62116"/>
      <c r="F62116"/>
    </row>
    <row r="62117" spans="1:6" x14ac:dyDescent="0.25">
      <c r="A62117"/>
      <c r="B62117"/>
      <c r="C62117"/>
      <c r="E62117"/>
      <c r="F62117"/>
    </row>
    <row r="62118" spans="1:6" x14ac:dyDescent="0.25">
      <c r="A62118"/>
      <c r="B62118"/>
      <c r="C62118"/>
      <c r="E62118"/>
      <c r="F62118"/>
    </row>
    <row r="62119" spans="1:6" x14ac:dyDescent="0.25">
      <c r="A62119"/>
      <c r="B62119"/>
      <c r="C62119"/>
      <c r="E62119"/>
      <c r="F62119"/>
    </row>
    <row r="62120" spans="1:6" x14ac:dyDescent="0.25">
      <c r="A62120"/>
      <c r="B62120"/>
      <c r="C62120"/>
      <c r="E62120"/>
      <c r="F62120"/>
    </row>
    <row r="62121" spans="1:6" x14ac:dyDescent="0.25">
      <c r="A62121"/>
      <c r="B62121"/>
      <c r="C62121"/>
      <c r="E62121"/>
      <c r="F62121"/>
    </row>
    <row r="62122" spans="1:6" x14ac:dyDescent="0.25">
      <c r="A62122"/>
      <c r="B62122"/>
      <c r="C62122"/>
      <c r="E62122"/>
      <c r="F62122"/>
    </row>
    <row r="62123" spans="1:6" x14ac:dyDescent="0.25">
      <c r="A62123"/>
      <c r="B62123"/>
      <c r="C62123"/>
      <c r="E62123"/>
      <c r="F62123"/>
    </row>
    <row r="62124" spans="1:6" x14ac:dyDescent="0.25">
      <c r="A62124"/>
      <c r="B62124"/>
      <c r="C62124"/>
      <c r="E62124"/>
      <c r="F62124"/>
    </row>
    <row r="62125" spans="1:6" x14ac:dyDescent="0.25">
      <c r="A62125"/>
      <c r="B62125"/>
      <c r="C62125"/>
      <c r="E62125"/>
      <c r="F62125"/>
    </row>
    <row r="62126" spans="1:6" x14ac:dyDescent="0.25">
      <c r="A62126"/>
      <c r="B62126"/>
      <c r="C62126"/>
      <c r="E62126"/>
      <c r="F62126"/>
    </row>
    <row r="62127" spans="1:6" x14ac:dyDescent="0.25">
      <c r="A62127"/>
      <c r="B62127"/>
      <c r="C62127"/>
      <c r="E62127"/>
      <c r="F62127"/>
    </row>
    <row r="62128" spans="1:6" x14ac:dyDescent="0.25">
      <c r="A62128"/>
      <c r="B62128"/>
      <c r="C62128"/>
      <c r="E62128"/>
      <c r="F62128"/>
    </row>
    <row r="62129" spans="1:6" x14ac:dyDescent="0.25">
      <c r="A62129"/>
      <c r="B62129"/>
      <c r="C62129"/>
      <c r="E62129"/>
      <c r="F62129"/>
    </row>
    <row r="62130" spans="1:6" x14ac:dyDescent="0.25">
      <c r="A62130"/>
      <c r="B62130"/>
      <c r="C62130"/>
      <c r="E62130"/>
      <c r="F62130"/>
    </row>
    <row r="62131" spans="1:6" x14ac:dyDescent="0.25">
      <c r="A62131"/>
      <c r="B62131"/>
      <c r="C62131"/>
      <c r="E62131"/>
      <c r="F62131"/>
    </row>
    <row r="62132" spans="1:6" x14ac:dyDescent="0.25">
      <c r="A62132"/>
      <c r="B62132"/>
      <c r="C62132"/>
      <c r="E62132"/>
      <c r="F62132"/>
    </row>
    <row r="62133" spans="1:6" x14ac:dyDescent="0.25">
      <c r="A62133"/>
      <c r="B62133"/>
      <c r="C62133"/>
      <c r="E62133"/>
      <c r="F62133"/>
    </row>
    <row r="62134" spans="1:6" x14ac:dyDescent="0.25">
      <c r="A62134"/>
      <c r="B62134"/>
      <c r="C62134"/>
      <c r="E62134"/>
      <c r="F62134"/>
    </row>
    <row r="62135" spans="1:6" x14ac:dyDescent="0.25">
      <c r="A62135"/>
      <c r="B62135"/>
      <c r="C62135"/>
      <c r="E62135"/>
      <c r="F62135"/>
    </row>
    <row r="62136" spans="1:6" x14ac:dyDescent="0.25">
      <c r="A62136"/>
      <c r="B62136"/>
      <c r="C62136"/>
      <c r="E62136"/>
      <c r="F62136"/>
    </row>
    <row r="62137" spans="1:6" x14ac:dyDescent="0.25">
      <c r="A62137"/>
      <c r="B62137"/>
      <c r="C62137"/>
      <c r="E62137"/>
      <c r="F62137"/>
    </row>
    <row r="62138" spans="1:6" x14ac:dyDescent="0.25">
      <c r="A62138"/>
      <c r="B62138"/>
      <c r="C62138"/>
      <c r="E62138"/>
      <c r="F62138"/>
    </row>
    <row r="62139" spans="1:6" x14ac:dyDescent="0.25">
      <c r="A62139"/>
      <c r="B62139"/>
      <c r="C62139"/>
      <c r="E62139"/>
      <c r="F62139"/>
    </row>
    <row r="62140" spans="1:6" x14ac:dyDescent="0.25">
      <c r="A62140"/>
      <c r="B62140"/>
      <c r="C62140"/>
      <c r="E62140"/>
      <c r="F62140"/>
    </row>
    <row r="62141" spans="1:6" x14ac:dyDescent="0.25">
      <c r="A62141"/>
      <c r="B62141"/>
      <c r="C62141"/>
      <c r="E62141"/>
      <c r="F62141"/>
    </row>
    <row r="62142" spans="1:6" x14ac:dyDescent="0.25">
      <c r="A62142"/>
      <c r="B62142"/>
      <c r="C62142"/>
      <c r="E62142"/>
      <c r="F62142"/>
    </row>
    <row r="62143" spans="1:6" x14ac:dyDescent="0.25">
      <c r="A62143"/>
      <c r="B62143"/>
      <c r="C62143"/>
      <c r="E62143"/>
      <c r="F62143"/>
    </row>
    <row r="62144" spans="1:6" x14ac:dyDescent="0.25">
      <c r="A62144"/>
      <c r="B62144"/>
      <c r="C62144"/>
      <c r="E62144"/>
      <c r="F62144"/>
    </row>
    <row r="62145" spans="1:6" x14ac:dyDescent="0.25">
      <c r="A62145"/>
      <c r="B62145"/>
      <c r="C62145"/>
      <c r="E62145"/>
      <c r="F62145"/>
    </row>
    <row r="62146" spans="1:6" x14ac:dyDescent="0.25">
      <c r="A62146"/>
      <c r="B62146"/>
      <c r="C62146"/>
      <c r="E62146"/>
      <c r="F62146"/>
    </row>
    <row r="62147" spans="1:6" x14ac:dyDescent="0.25">
      <c r="A62147"/>
      <c r="B62147"/>
      <c r="C62147"/>
      <c r="E62147"/>
      <c r="F62147"/>
    </row>
    <row r="62148" spans="1:6" x14ac:dyDescent="0.25">
      <c r="A62148"/>
      <c r="B62148"/>
      <c r="C62148"/>
      <c r="E62148"/>
      <c r="F62148"/>
    </row>
    <row r="62149" spans="1:6" x14ac:dyDescent="0.25">
      <c r="A62149"/>
      <c r="B62149"/>
      <c r="C62149"/>
      <c r="E62149"/>
      <c r="F62149"/>
    </row>
    <row r="62150" spans="1:6" x14ac:dyDescent="0.25">
      <c r="A62150"/>
      <c r="B62150"/>
      <c r="C62150"/>
      <c r="E62150"/>
      <c r="F62150"/>
    </row>
    <row r="62151" spans="1:6" x14ac:dyDescent="0.25">
      <c r="A62151"/>
      <c r="B62151"/>
      <c r="C62151"/>
      <c r="E62151"/>
      <c r="F62151"/>
    </row>
    <row r="62152" spans="1:6" x14ac:dyDescent="0.25">
      <c r="A62152"/>
      <c r="B62152"/>
      <c r="C62152"/>
      <c r="E62152"/>
      <c r="F62152"/>
    </row>
    <row r="62153" spans="1:6" x14ac:dyDescent="0.25">
      <c r="A62153"/>
      <c r="B62153"/>
      <c r="C62153"/>
      <c r="E62153"/>
      <c r="F62153"/>
    </row>
    <row r="62154" spans="1:6" x14ac:dyDescent="0.25">
      <c r="A62154"/>
      <c r="B62154"/>
      <c r="C62154"/>
      <c r="E62154"/>
      <c r="F62154"/>
    </row>
    <row r="62155" spans="1:6" x14ac:dyDescent="0.25">
      <c r="A62155"/>
      <c r="B62155"/>
      <c r="C62155"/>
      <c r="E62155"/>
      <c r="F62155"/>
    </row>
    <row r="62156" spans="1:6" x14ac:dyDescent="0.25">
      <c r="A62156"/>
      <c r="B62156"/>
      <c r="C62156"/>
      <c r="E62156"/>
      <c r="F62156"/>
    </row>
    <row r="62157" spans="1:6" x14ac:dyDescent="0.25">
      <c r="A62157"/>
      <c r="B62157"/>
      <c r="C62157"/>
      <c r="E62157"/>
      <c r="F62157"/>
    </row>
    <row r="62158" spans="1:6" x14ac:dyDescent="0.25">
      <c r="A62158"/>
      <c r="B62158"/>
      <c r="C62158"/>
      <c r="E62158"/>
      <c r="F62158"/>
    </row>
    <row r="62159" spans="1:6" x14ac:dyDescent="0.25">
      <c r="A62159"/>
      <c r="B62159"/>
      <c r="C62159"/>
      <c r="E62159"/>
      <c r="F62159"/>
    </row>
    <row r="62160" spans="1:6" x14ac:dyDescent="0.25">
      <c r="A62160"/>
      <c r="B62160"/>
      <c r="C62160"/>
      <c r="E62160"/>
      <c r="F62160"/>
    </row>
    <row r="62161" spans="1:6" x14ac:dyDescent="0.25">
      <c r="A62161"/>
      <c r="B62161"/>
      <c r="C62161"/>
      <c r="E62161"/>
      <c r="F62161"/>
    </row>
    <row r="62162" spans="1:6" x14ac:dyDescent="0.25">
      <c r="A62162"/>
      <c r="B62162"/>
      <c r="C62162"/>
      <c r="E62162"/>
      <c r="F62162"/>
    </row>
    <row r="62163" spans="1:6" x14ac:dyDescent="0.25">
      <c r="A62163"/>
      <c r="B62163"/>
      <c r="C62163"/>
      <c r="E62163"/>
      <c r="F62163"/>
    </row>
    <row r="62164" spans="1:6" x14ac:dyDescent="0.25">
      <c r="A62164"/>
      <c r="B62164"/>
      <c r="C62164"/>
      <c r="E62164"/>
      <c r="F62164"/>
    </row>
    <row r="62165" spans="1:6" x14ac:dyDescent="0.25">
      <c r="A62165"/>
      <c r="B62165"/>
      <c r="C62165"/>
      <c r="E62165"/>
      <c r="F62165"/>
    </row>
    <row r="62166" spans="1:6" x14ac:dyDescent="0.25">
      <c r="A62166"/>
      <c r="B62166"/>
      <c r="C62166"/>
      <c r="E62166"/>
      <c r="F62166"/>
    </row>
    <row r="62167" spans="1:6" x14ac:dyDescent="0.25">
      <c r="A62167"/>
      <c r="B62167"/>
      <c r="C62167"/>
      <c r="E62167"/>
      <c r="F62167"/>
    </row>
    <row r="62168" spans="1:6" x14ac:dyDescent="0.25">
      <c r="A62168"/>
      <c r="B62168"/>
      <c r="C62168"/>
      <c r="E62168"/>
      <c r="F62168"/>
    </row>
    <row r="62169" spans="1:6" x14ac:dyDescent="0.25">
      <c r="A62169"/>
      <c r="B62169"/>
      <c r="C62169"/>
      <c r="E62169"/>
      <c r="F62169"/>
    </row>
    <row r="62170" spans="1:6" x14ac:dyDescent="0.25">
      <c r="A62170"/>
      <c r="B62170"/>
      <c r="C62170"/>
      <c r="E62170"/>
      <c r="F62170"/>
    </row>
    <row r="62171" spans="1:6" x14ac:dyDescent="0.25">
      <c r="A62171"/>
      <c r="B62171"/>
      <c r="C62171"/>
      <c r="E62171"/>
      <c r="F62171"/>
    </row>
    <row r="62172" spans="1:6" x14ac:dyDescent="0.25">
      <c r="A62172"/>
      <c r="B62172"/>
      <c r="C62172"/>
      <c r="E62172"/>
      <c r="F62172"/>
    </row>
    <row r="62173" spans="1:6" x14ac:dyDescent="0.25">
      <c r="A62173"/>
      <c r="B62173"/>
      <c r="C62173"/>
      <c r="E62173"/>
      <c r="F62173"/>
    </row>
    <row r="62174" spans="1:6" x14ac:dyDescent="0.25">
      <c r="A62174"/>
      <c r="B62174"/>
      <c r="C62174"/>
      <c r="E62174"/>
      <c r="F62174"/>
    </row>
    <row r="62175" spans="1:6" x14ac:dyDescent="0.25">
      <c r="A62175"/>
      <c r="B62175"/>
      <c r="C62175"/>
      <c r="E62175"/>
      <c r="F62175"/>
    </row>
    <row r="62176" spans="1:6" x14ac:dyDescent="0.25">
      <c r="A62176"/>
      <c r="B62176"/>
      <c r="C62176"/>
      <c r="E62176"/>
      <c r="F62176"/>
    </row>
    <row r="62177" spans="1:6" x14ac:dyDescent="0.25">
      <c r="A62177"/>
      <c r="B62177"/>
      <c r="C62177"/>
      <c r="E62177"/>
      <c r="F62177"/>
    </row>
    <row r="62178" spans="1:6" x14ac:dyDescent="0.25">
      <c r="A62178"/>
      <c r="B62178"/>
      <c r="C62178"/>
      <c r="E62178"/>
      <c r="F62178"/>
    </row>
    <row r="62179" spans="1:6" x14ac:dyDescent="0.25">
      <c r="A62179"/>
      <c r="B62179"/>
      <c r="C62179"/>
      <c r="E62179"/>
      <c r="F62179"/>
    </row>
    <row r="62180" spans="1:6" x14ac:dyDescent="0.25">
      <c r="A62180"/>
      <c r="B62180"/>
      <c r="C62180"/>
      <c r="E62180"/>
      <c r="F62180"/>
    </row>
    <row r="62181" spans="1:6" x14ac:dyDescent="0.25">
      <c r="A62181"/>
      <c r="B62181"/>
      <c r="C62181"/>
      <c r="E62181"/>
      <c r="F62181"/>
    </row>
    <row r="62182" spans="1:6" x14ac:dyDescent="0.25">
      <c r="A62182"/>
      <c r="B62182"/>
      <c r="C62182"/>
      <c r="E62182"/>
      <c r="F62182"/>
    </row>
    <row r="62183" spans="1:6" x14ac:dyDescent="0.25">
      <c r="A62183"/>
      <c r="B62183"/>
      <c r="C62183"/>
      <c r="E62183"/>
      <c r="F62183"/>
    </row>
    <row r="62184" spans="1:6" x14ac:dyDescent="0.25">
      <c r="A62184"/>
      <c r="B62184"/>
      <c r="C62184"/>
      <c r="E62184"/>
      <c r="F62184"/>
    </row>
    <row r="62185" spans="1:6" x14ac:dyDescent="0.25">
      <c r="A62185"/>
      <c r="B62185"/>
      <c r="C62185"/>
      <c r="E62185"/>
      <c r="F62185"/>
    </row>
    <row r="62186" spans="1:6" x14ac:dyDescent="0.25">
      <c r="A62186"/>
      <c r="B62186"/>
      <c r="C62186"/>
      <c r="E62186"/>
      <c r="F62186"/>
    </row>
    <row r="62187" spans="1:6" x14ac:dyDescent="0.25">
      <c r="A62187"/>
      <c r="B62187"/>
      <c r="C62187"/>
      <c r="E62187"/>
      <c r="F62187"/>
    </row>
    <row r="62188" spans="1:6" x14ac:dyDescent="0.25">
      <c r="A62188"/>
      <c r="B62188"/>
      <c r="C62188"/>
      <c r="E62188"/>
      <c r="F62188"/>
    </row>
    <row r="62189" spans="1:6" x14ac:dyDescent="0.25">
      <c r="A62189"/>
      <c r="B62189"/>
      <c r="C62189"/>
      <c r="E62189"/>
      <c r="F62189"/>
    </row>
    <row r="62190" spans="1:6" x14ac:dyDescent="0.25">
      <c r="A62190"/>
      <c r="B62190"/>
      <c r="C62190"/>
      <c r="E62190"/>
      <c r="F62190"/>
    </row>
    <row r="62191" spans="1:6" x14ac:dyDescent="0.25">
      <c r="A62191"/>
      <c r="B62191"/>
      <c r="C62191"/>
      <c r="E62191"/>
      <c r="F62191"/>
    </row>
    <row r="62192" spans="1:6" x14ac:dyDescent="0.25">
      <c r="A62192"/>
      <c r="B62192"/>
      <c r="C62192"/>
      <c r="E62192"/>
      <c r="F62192"/>
    </row>
    <row r="62193" spans="1:6" x14ac:dyDescent="0.25">
      <c r="A62193"/>
      <c r="B62193"/>
      <c r="C62193"/>
      <c r="E62193"/>
      <c r="F62193"/>
    </row>
    <row r="62194" spans="1:6" x14ac:dyDescent="0.25">
      <c r="A62194"/>
      <c r="B62194"/>
      <c r="C62194"/>
      <c r="E62194"/>
      <c r="F62194"/>
    </row>
    <row r="62195" spans="1:6" x14ac:dyDescent="0.25">
      <c r="A62195"/>
      <c r="B62195"/>
      <c r="C62195"/>
      <c r="E62195"/>
      <c r="F62195"/>
    </row>
    <row r="62196" spans="1:6" x14ac:dyDescent="0.25">
      <c r="A62196"/>
      <c r="B62196"/>
      <c r="C62196"/>
      <c r="E62196"/>
      <c r="F62196"/>
    </row>
    <row r="62197" spans="1:6" x14ac:dyDescent="0.25">
      <c r="A62197"/>
      <c r="B62197"/>
      <c r="C62197"/>
      <c r="E62197"/>
      <c r="F62197"/>
    </row>
    <row r="62198" spans="1:6" x14ac:dyDescent="0.25">
      <c r="A62198"/>
      <c r="B62198"/>
      <c r="C62198"/>
      <c r="E62198"/>
      <c r="F62198"/>
    </row>
    <row r="62199" spans="1:6" x14ac:dyDescent="0.25">
      <c r="A62199"/>
      <c r="B62199"/>
      <c r="C62199"/>
      <c r="E62199"/>
      <c r="F62199"/>
    </row>
    <row r="62200" spans="1:6" x14ac:dyDescent="0.25">
      <c r="A62200"/>
      <c r="B62200"/>
      <c r="C62200"/>
      <c r="E62200"/>
      <c r="F62200"/>
    </row>
    <row r="62201" spans="1:6" x14ac:dyDescent="0.25">
      <c r="A62201"/>
      <c r="B62201"/>
      <c r="C62201"/>
      <c r="E62201"/>
      <c r="F62201"/>
    </row>
    <row r="62202" spans="1:6" x14ac:dyDescent="0.25">
      <c r="A62202"/>
      <c r="B62202"/>
      <c r="C62202"/>
      <c r="E62202"/>
      <c r="F62202"/>
    </row>
    <row r="62203" spans="1:6" x14ac:dyDescent="0.25">
      <c r="A62203"/>
      <c r="B62203"/>
      <c r="C62203"/>
      <c r="E62203"/>
      <c r="F62203"/>
    </row>
    <row r="62204" spans="1:6" x14ac:dyDescent="0.25">
      <c r="A62204"/>
      <c r="B62204"/>
      <c r="C62204"/>
      <c r="E62204"/>
      <c r="F62204"/>
    </row>
    <row r="62205" spans="1:6" x14ac:dyDescent="0.25">
      <c r="A62205"/>
      <c r="B62205"/>
      <c r="C62205"/>
      <c r="E62205"/>
      <c r="F62205"/>
    </row>
    <row r="62206" spans="1:6" x14ac:dyDescent="0.25">
      <c r="A62206"/>
      <c r="B62206"/>
      <c r="C62206"/>
      <c r="E62206"/>
      <c r="F62206"/>
    </row>
    <row r="62207" spans="1:6" x14ac:dyDescent="0.25">
      <c r="A62207"/>
      <c r="B62207"/>
      <c r="C62207"/>
      <c r="E62207"/>
      <c r="F62207"/>
    </row>
    <row r="62208" spans="1:6" x14ac:dyDescent="0.25">
      <c r="A62208"/>
      <c r="B62208"/>
      <c r="C62208"/>
      <c r="E62208"/>
      <c r="F62208"/>
    </row>
    <row r="62209" spans="1:6" x14ac:dyDescent="0.25">
      <c r="A62209"/>
      <c r="B62209"/>
      <c r="C62209"/>
      <c r="E62209"/>
      <c r="F62209"/>
    </row>
    <row r="62210" spans="1:6" x14ac:dyDescent="0.25">
      <c r="A62210"/>
      <c r="B62210"/>
      <c r="C62210"/>
      <c r="E62210"/>
      <c r="F62210"/>
    </row>
    <row r="62211" spans="1:6" x14ac:dyDescent="0.25">
      <c r="A62211"/>
      <c r="B62211"/>
      <c r="C62211"/>
      <c r="E62211"/>
      <c r="F62211"/>
    </row>
    <row r="62212" spans="1:6" x14ac:dyDescent="0.25">
      <c r="A62212"/>
      <c r="B62212"/>
      <c r="C62212"/>
      <c r="E62212"/>
      <c r="F62212"/>
    </row>
    <row r="62213" spans="1:6" x14ac:dyDescent="0.25">
      <c r="A62213"/>
      <c r="B62213"/>
      <c r="C62213"/>
      <c r="E62213"/>
      <c r="F62213"/>
    </row>
    <row r="62214" spans="1:6" x14ac:dyDescent="0.25">
      <c r="A62214"/>
      <c r="B62214"/>
      <c r="C62214"/>
      <c r="E62214"/>
      <c r="F62214"/>
    </row>
    <row r="62215" spans="1:6" x14ac:dyDescent="0.25">
      <c r="A62215"/>
      <c r="B62215"/>
      <c r="C62215"/>
      <c r="E62215"/>
      <c r="F62215"/>
    </row>
    <row r="62216" spans="1:6" x14ac:dyDescent="0.25">
      <c r="A62216"/>
      <c r="B62216"/>
      <c r="C62216"/>
      <c r="E62216"/>
      <c r="F62216"/>
    </row>
    <row r="62217" spans="1:6" x14ac:dyDescent="0.25">
      <c r="A62217"/>
      <c r="B62217"/>
      <c r="C62217"/>
      <c r="E62217"/>
      <c r="F62217"/>
    </row>
    <row r="62218" spans="1:6" x14ac:dyDescent="0.25">
      <c r="A62218"/>
      <c r="B62218"/>
      <c r="C62218"/>
      <c r="E62218"/>
      <c r="F62218"/>
    </row>
    <row r="62219" spans="1:6" x14ac:dyDescent="0.25">
      <c r="A62219"/>
      <c r="B62219"/>
      <c r="C62219"/>
      <c r="E62219"/>
      <c r="F62219"/>
    </row>
    <row r="62220" spans="1:6" x14ac:dyDescent="0.25">
      <c r="A62220"/>
      <c r="B62220"/>
      <c r="C62220"/>
      <c r="E62220"/>
      <c r="F62220"/>
    </row>
    <row r="62221" spans="1:6" x14ac:dyDescent="0.25">
      <c r="A62221"/>
      <c r="B62221"/>
      <c r="C62221"/>
      <c r="E62221"/>
      <c r="F62221"/>
    </row>
    <row r="62222" spans="1:6" x14ac:dyDescent="0.25">
      <c r="A62222"/>
      <c r="B62222"/>
      <c r="C62222"/>
      <c r="E62222"/>
      <c r="F62222"/>
    </row>
    <row r="62223" spans="1:6" x14ac:dyDescent="0.25">
      <c r="A62223"/>
      <c r="B62223"/>
      <c r="C62223"/>
      <c r="E62223"/>
      <c r="F62223"/>
    </row>
    <row r="62224" spans="1:6" x14ac:dyDescent="0.25">
      <c r="A62224"/>
      <c r="B62224"/>
      <c r="C62224"/>
      <c r="E62224"/>
      <c r="F62224"/>
    </row>
    <row r="62225" spans="1:6" x14ac:dyDescent="0.25">
      <c r="A62225"/>
      <c r="B62225"/>
      <c r="C62225"/>
      <c r="E62225"/>
      <c r="F62225"/>
    </row>
    <row r="62226" spans="1:6" x14ac:dyDescent="0.25">
      <c r="A62226"/>
      <c r="B62226"/>
      <c r="C62226"/>
      <c r="E62226"/>
      <c r="F62226"/>
    </row>
    <row r="62227" spans="1:6" x14ac:dyDescent="0.25">
      <c r="A62227"/>
      <c r="B62227"/>
      <c r="C62227"/>
      <c r="E62227"/>
      <c r="F62227"/>
    </row>
    <row r="62228" spans="1:6" x14ac:dyDescent="0.25">
      <c r="A62228"/>
      <c r="B62228"/>
      <c r="C62228"/>
      <c r="E62228"/>
      <c r="F62228"/>
    </row>
    <row r="62229" spans="1:6" x14ac:dyDescent="0.25">
      <c r="A62229"/>
      <c r="B62229"/>
      <c r="C62229"/>
      <c r="E62229"/>
      <c r="F62229"/>
    </row>
    <row r="62230" spans="1:6" x14ac:dyDescent="0.25">
      <c r="A62230"/>
      <c r="B62230"/>
      <c r="C62230"/>
      <c r="E62230"/>
      <c r="F62230"/>
    </row>
    <row r="62231" spans="1:6" x14ac:dyDescent="0.25">
      <c r="A62231"/>
      <c r="B62231"/>
      <c r="C62231"/>
      <c r="E62231"/>
      <c r="F62231"/>
    </row>
    <row r="62232" spans="1:6" x14ac:dyDescent="0.25">
      <c r="A62232"/>
      <c r="B62232"/>
      <c r="C62232"/>
      <c r="E62232"/>
      <c r="F62232"/>
    </row>
    <row r="62233" spans="1:6" x14ac:dyDescent="0.25">
      <c r="A62233"/>
      <c r="B62233"/>
      <c r="C62233"/>
      <c r="E62233"/>
      <c r="F62233"/>
    </row>
    <row r="62234" spans="1:6" x14ac:dyDescent="0.25">
      <c r="A62234"/>
      <c r="B62234"/>
      <c r="C62234"/>
      <c r="E62234"/>
      <c r="F62234"/>
    </row>
    <row r="62235" spans="1:6" x14ac:dyDescent="0.25">
      <c r="A62235"/>
      <c r="B62235"/>
      <c r="C62235"/>
      <c r="E62235"/>
      <c r="F62235"/>
    </row>
    <row r="62236" spans="1:6" x14ac:dyDescent="0.25">
      <c r="A62236"/>
      <c r="B62236"/>
      <c r="C62236"/>
      <c r="E62236"/>
      <c r="F62236"/>
    </row>
    <row r="62237" spans="1:6" x14ac:dyDescent="0.25">
      <c r="A62237"/>
      <c r="B62237"/>
      <c r="C62237"/>
      <c r="E62237"/>
      <c r="F62237"/>
    </row>
    <row r="62238" spans="1:6" x14ac:dyDescent="0.25">
      <c r="A62238"/>
      <c r="B62238"/>
      <c r="C62238"/>
      <c r="E62238"/>
      <c r="F62238"/>
    </row>
    <row r="62239" spans="1:6" x14ac:dyDescent="0.25">
      <c r="A62239"/>
      <c r="B62239"/>
      <c r="C62239"/>
      <c r="E62239"/>
      <c r="F62239"/>
    </row>
    <row r="62240" spans="1:6" x14ac:dyDescent="0.25">
      <c r="A62240"/>
      <c r="B62240"/>
      <c r="C62240"/>
      <c r="E62240"/>
      <c r="F62240"/>
    </row>
    <row r="62241" spans="1:6" x14ac:dyDescent="0.25">
      <c r="A62241"/>
      <c r="B62241"/>
      <c r="C62241"/>
      <c r="E62241"/>
      <c r="F62241"/>
    </row>
    <row r="62242" spans="1:6" x14ac:dyDescent="0.25">
      <c r="A62242"/>
      <c r="B62242"/>
      <c r="C62242"/>
      <c r="E62242"/>
      <c r="F62242"/>
    </row>
    <row r="62243" spans="1:6" x14ac:dyDescent="0.25">
      <c r="A62243"/>
      <c r="B62243"/>
      <c r="C62243"/>
      <c r="E62243"/>
      <c r="F62243"/>
    </row>
    <row r="62244" spans="1:6" x14ac:dyDescent="0.25">
      <c r="A62244"/>
      <c r="B62244"/>
      <c r="C62244"/>
      <c r="E62244"/>
      <c r="F62244"/>
    </row>
    <row r="62245" spans="1:6" x14ac:dyDescent="0.25">
      <c r="A62245"/>
      <c r="B62245"/>
      <c r="C62245"/>
      <c r="E62245"/>
      <c r="F62245"/>
    </row>
    <row r="62246" spans="1:6" x14ac:dyDescent="0.25">
      <c r="A62246"/>
      <c r="B62246"/>
      <c r="C62246"/>
      <c r="E62246"/>
      <c r="F62246"/>
    </row>
    <row r="62247" spans="1:6" x14ac:dyDescent="0.25">
      <c r="A62247"/>
      <c r="B62247"/>
      <c r="C62247"/>
      <c r="E62247"/>
      <c r="F62247"/>
    </row>
    <row r="62248" spans="1:6" x14ac:dyDescent="0.25">
      <c r="A62248"/>
      <c r="B62248"/>
      <c r="C62248"/>
      <c r="E62248"/>
      <c r="F62248"/>
    </row>
    <row r="62249" spans="1:6" x14ac:dyDescent="0.25">
      <c r="A62249"/>
      <c r="B62249"/>
      <c r="C62249"/>
      <c r="E62249"/>
      <c r="F62249"/>
    </row>
    <row r="62250" spans="1:6" x14ac:dyDescent="0.25">
      <c r="A62250"/>
      <c r="B62250"/>
      <c r="C62250"/>
      <c r="E62250"/>
      <c r="F62250"/>
    </row>
    <row r="62251" spans="1:6" x14ac:dyDescent="0.25">
      <c r="A62251"/>
      <c r="B62251"/>
      <c r="C62251"/>
      <c r="E62251"/>
      <c r="F62251"/>
    </row>
    <row r="62252" spans="1:6" x14ac:dyDescent="0.25">
      <c r="A62252"/>
      <c r="B62252"/>
      <c r="C62252"/>
      <c r="E62252"/>
      <c r="F62252"/>
    </row>
    <row r="62253" spans="1:6" x14ac:dyDescent="0.25">
      <c r="A62253"/>
      <c r="B62253"/>
      <c r="C62253"/>
      <c r="E62253"/>
      <c r="F62253"/>
    </row>
    <row r="62254" spans="1:6" x14ac:dyDescent="0.25">
      <c r="A62254"/>
      <c r="B62254"/>
      <c r="C62254"/>
      <c r="E62254"/>
      <c r="F62254"/>
    </row>
    <row r="62255" spans="1:6" x14ac:dyDescent="0.25">
      <c r="A62255"/>
      <c r="B62255"/>
      <c r="C62255"/>
      <c r="E62255"/>
      <c r="F62255"/>
    </row>
    <row r="62256" spans="1:6" x14ac:dyDescent="0.25">
      <c r="A62256"/>
      <c r="B62256"/>
      <c r="C62256"/>
      <c r="E62256"/>
      <c r="F62256"/>
    </row>
    <row r="62257" spans="1:6" x14ac:dyDescent="0.25">
      <c r="A62257"/>
      <c r="B62257"/>
      <c r="C62257"/>
      <c r="E62257"/>
      <c r="F62257"/>
    </row>
    <row r="62258" spans="1:6" x14ac:dyDescent="0.25">
      <c r="A62258"/>
      <c r="B62258"/>
      <c r="C62258"/>
      <c r="E62258"/>
      <c r="F62258"/>
    </row>
    <row r="62259" spans="1:6" x14ac:dyDescent="0.25">
      <c r="A62259"/>
      <c r="B62259"/>
      <c r="C62259"/>
      <c r="E62259"/>
      <c r="F62259"/>
    </row>
    <row r="62260" spans="1:6" x14ac:dyDescent="0.25">
      <c r="A62260"/>
      <c r="B62260"/>
      <c r="C62260"/>
      <c r="E62260"/>
      <c r="F62260"/>
    </row>
    <row r="62261" spans="1:6" x14ac:dyDescent="0.25">
      <c r="A62261"/>
      <c r="B62261"/>
      <c r="C62261"/>
      <c r="E62261"/>
      <c r="F62261"/>
    </row>
    <row r="62262" spans="1:6" x14ac:dyDescent="0.25">
      <c r="A62262"/>
      <c r="B62262"/>
      <c r="C62262"/>
      <c r="E62262"/>
      <c r="F62262"/>
    </row>
    <row r="62263" spans="1:6" x14ac:dyDescent="0.25">
      <c r="A62263"/>
      <c r="B62263"/>
      <c r="C62263"/>
      <c r="E62263"/>
      <c r="F62263"/>
    </row>
    <row r="62264" spans="1:6" x14ac:dyDescent="0.25">
      <c r="A62264"/>
      <c r="B62264"/>
      <c r="C62264"/>
      <c r="E62264"/>
      <c r="F62264"/>
    </row>
    <row r="62265" spans="1:6" x14ac:dyDescent="0.25">
      <c r="A62265"/>
      <c r="B62265"/>
      <c r="C62265"/>
      <c r="E62265"/>
      <c r="F62265"/>
    </row>
    <row r="62266" spans="1:6" x14ac:dyDescent="0.25">
      <c r="A62266"/>
      <c r="B62266"/>
      <c r="C62266"/>
      <c r="E62266"/>
      <c r="F62266"/>
    </row>
    <row r="62267" spans="1:6" x14ac:dyDescent="0.25">
      <c r="A62267"/>
      <c r="B62267"/>
      <c r="C62267"/>
      <c r="E62267"/>
      <c r="F62267"/>
    </row>
    <row r="62268" spans="1:6" x14ac:dyDescent="0.25">
      <c r="A62268"/>
      <c r="B62268"/>
      <c r="C62268"/>
      <c r="E62268"/>
      <c r="F62268"/>
    </row>
    <row r="62269" spans="1:6" x14ac:dyDescent="0.25">
      <c r="A62269"/>
      <c r="B62269"/>
      <c r="C62269"/>
      <c r="E62269"/>
      <c r="F62269"/>
    </row>
    <row r="62270" spans="1:6" x14ac:dyDescent="0.25">
      <c r="A62270"/>
      <c r="B62270"/>
      <c r="C62270"/>
      <c r="E62270"/>
      <c r="F62270"/>
    </row>
    <row r="62271" spans="1:6" x14ac:dyDescent="0.25">
      <c r="A62271"/>
      <c r="B62271"/>
      <c r="C62271"/>
      <c r="E62271"/>
      <c r="F62271"/>
    </row>
    <row r="62272" spans="1:6" x14ac:dyDescent="0.25">
      <c r="A62272"/>
      <c r="B62272"/>
      <c r="C62272"/>
      <c r="E62272"/>
      <c r="F62272"/>
    </row>
    <row r="62273" spans="1:6" x14ac:dyDescent="0.25">
      <c r="A62273"/>
      <c r="B62273"/>
      <c r="C62273"/>
      <c r="E62273"/>
      <c r="F62273"/>
    </row>
    <row r="62274" spans="1:6" x14ac:dyDescent="0.25">
      <c r="A62274"/>
      <c r="B62274"/>
      <c r="C62274"/>
      <c r="E62274"/>
      <c r="F62274"/>
    </row>
    <row r="62275" spans="1:6" x14ac:dyDescent="0.25">
      <c r="A62275"/>
      <c r="B62275"/>
      <c r="C62275"/>
      <c r="E62275"/>
      <c r="F62275"/>
    </row>
    <row r="62276" spans="1:6" x14ac:dyDescent="0.25">
      <c r="A62276"/>
      <c r="B62276"/>
      <c r="C62276"/>
      <c r="E62276"/>
      <c r="F62276"/>
    </row>
    <row r="62277" spans="1:6" x14ac:dyDescent="0.25">
      <c r="A62277"/>
      <c r="B62277"/>
      <c r="C62277"/>
      <c r="E62277"/>
      <c r="F62277"/>
    </row>
    <row r="62278" spans="1:6" x14ac:dyDescent="0.25">
      <c r="A62278"/>
      <c r="B62278"/>
      <c r="C62278"/>
      <c r="E62278"/>
      <c r="F62278"/>
    </row>
    <row r="62279" spans="1:6" x14ac:dyDescent="0.25">
      <c r="A62279"/>
      <c r="B62279"/>
      <c r="C62279"/>
      <c r="E62279"/>
      <c r="F62279"/>
    </row>
    <row r="62280" spans="1:6" x14ac:dyDescent="0.25">
      <c r="A62280"/>
      <c r="B62280"/>
      <c r="C62280"/>
      <c r="E62280"/>
      <c r="F62280"/>
    </row>
    <row r="62281" spans="1:6" x14ac:dyDescent="0.25">
      <c r="A62281"/>
      <c r="B62281"/>
      <c r="C62281"/>
      <c r="E62281"/>
      <c r="F62281"/>
    </row>
    <row r="62282" spans="1:6" x14ac:dyDescent="0.25">
      <c r="A62282"/>
      <c r="B62282"/>
      <c r="C62282"/>
      <c r="E62282"/>
      <c r="F62282"/>
    </row>
    <row r="62283" spans="1:6" x14ac:dyDescent="0.25">
      <c r="A62283"/>
      <c r="B62283"/>
      <c r="C62283"/>
      <c r="E62283"/>
      <c r="F62283"/>
    </row>
    <row r="62284" spans="1:6" x14ac:dyDescent="0.25">
      <c r="A62284"/>
      <c r="B62284"/>
      <c r="C62284"/>
      <c r="E62284"/>
      <c r="F62284"/>
    </row>
    <row r="62285" spans="1:6" x14ac:dyDescent="0.25">
      <c r="A62285"/>
      <c r="B62285"/>
      <c r="C62285"/>
      <c r="E62285"/>
      <c r="F62285"/>
    </row>
    <row r="62286" spans="1:6" x14ac:dyDescent="0.25">
      <c r="A62286"/>
      <c r="B62286"/>
      <c r="C62286"/>
      <c r="E62286"/>
      <c r="F62286"/>
    </row>
    <row r="62287" spans="1:6" x14ac:dyDescent="0.25">
      <c r="A62287"/>
      <c r="B62287"/>
      <c r="C62287"/>
      <c r="E62287"/>
      <c r="F62287"/>
    </row>
    <row r="62288" spans="1:6" x14ac:dyDescent="0.25">
      <c r="A62288"/>
      <c r="B62288"/>
      <c r="C62288"/>
      <c r="E62288"/>
      <c r="F62288"/>
    </row>
    <row r="62289" spans="1:6" x14ac:dyDescent="0.25">
      <c r="A62289"/>
      <c r="B62289"/>
      <c r="C62289"/>
      <c r="E62289"/>
      <c r="F62289"/>
    </row>
    <row r="62290" spans="1:6" x14ac:dyDescent="0.25">
      <c r="A62290"/>
      <c r="B62290"/>
      <c r="C62290"/>
      <c r="E62290"/>
      <c r="F62290"/>
    </row>
    <row r="62291" spans="1:6" x14ac:dyDescent="0.25">
      <c r="A62291"/>
      <c r="B62291"/>
      <c r="C62291"/>
      <c r="E62291"/>
      <c r="F62291"/>
    </row>
    <row r="62292" spans="1:6" x14ac:dyDescent="0.25">
      <c r="A62292"/>
      <c r="B62292"/>
      <c r="C62292"/>
      <c r="E62292"/>
      <c r="F62292"/>
    </row>
    <row r="62293" spans="1:6" x14ac:dyDescent="0.25">
      <c r="A62293"/>
      <c r="B62293"/>
      <c r="C62293"/>
      <c r="E62293"/>
      <c r="F62293"/>
    </row>
    <row r="62294" spans="1:6" x14ac:dyDescent="0.25">
      <c r="A62294"/>
      <c r="B62294"/>
      <c r="C62294"/>
      <c r="E62294"/>
      <c r="F62294"/>
    </row>
    <row r="62295" spans="1:6" x14ac:dyDescent="0.25">
      <c r="A62295"/>
      <c r="B62295"/>
      <c r="C62295"/>
      <c r="E62295"/>
      <c r="F62295"/>
    </row>
    <row r="62296" spans="1:6" x14ac:dyDescent="0.25">
      <c r="A62296"/>
      <c r="B62296"/>
      <c r="C62296"/>
      <c r="E62296"/>
      <c r="F62296"/>
    </row>
    <row r="62297" spans="1:6" x14ac:dyDescent="0.25">
      <c r="A62297"/>
      <c r="B62297"/>
      <c r="C62297"/>
      <c r="E62297"/>
      <c r="F62297"/>
    </row>
    <row r="62298" spans="1:6" x14ac:dyDescent="0.25">
      <c r="A62298"/>
      <c r="B62298"/>
      <c r="C62298"/>
      <c r="E62298"/>
      <c r="F62298"/>
    </row>
    <row r="62299" spans="1:6" x14ac:dyDescent="0.25">
      <c r="A62299"/>
      <c r="B62299"/>
      <c r="C62299"/>
      <c r="E62299"/>
      <c r="F62299"/>
    </row>
    <row r="62300" spans="1:6" x14ac:dyDescent="0.25">
      <c r="A62300"/>
      <c r="B62300"/>
      <c r="C62300"/>
      <c r="E62300"/>
      <c r="F62300"/>
    </row>
    <row r="62301" spans="1:6" x14ac:dyDescent="0.25">
      <c r="A62301"/>
      <c r="B62301"/>
      <c r="C62301"/>
      <c r="E62301"/>
      <c r="F62301"/>
    </row>
    <row r="62302" spans="1:6" x14ac:dyDescent="0.25">
      <c r="A62302"/>
      <c r="B62302"/>
      <c r="C62302"/>
      <c r="E62302"/>
      <c r="F62302"/>
    </row>
    <row r="62303" spans="1:6" x14ac:dyDescent="0.25">
      <c r="A62303"/>
      <c r="B62303"/>
      <c r="C62303"/>
      <c r="E62303"/>
      <c r="F62303"/>
    </row>
    <row r="62304" spans="1:6" x14ac:dyDescent="0.25">
      <c r="A62304"/>
      <c r="B62304"/>
      <c r="C62304"/>
      <c r="E62304"/>
      <c r="F62304"/>
    </row>
    <row r="62305" spans="1:6" x14ac:dyDescent="0.25">
      <c r="A62305"/>
      <c r="B62305"/>
      <c r="C62305"/>
      <c r="E62305"/>
      <c r="F62305"/>
    </row>
    <row r="62306" spans="1:6" x14ac:dyDescent="0.25">
      <c r="A62306"/>
      <c r="B62306"/>
      <c r="C62306"/>
      <c r="E62306"/>
      <c r="F62306"/>
    </row>
    <row r="62307" spans="1:6" x14ac:dyDescent="0.25">
      <c r="A62307"/>
      <c r="B62307"/>
      <c r="C62307"/>
      <c r="E62307"/>
      <c r="F62307"/>
    </row>
    <row r="62308" spans="1:6" x14ac:dyDescent="0.25">
      <c r="A62308"/>
      <c r="B62308"/>
      <c r="C62308"/>
      <c r="E62308"/>
      <c r="F62308"/>
    </row>
    <row r="62309" spans="1:6" x14ac:dyDescent="0.25">
      <c r="A62309"/>
      <c r="B62309"/>
      <c r="C62309"/>
      <c r="E62309"/>
      <c r="F62309"/>
    </row>
    <row r="62310" spans="1:6" x14ac:dyDescent="0.25">
      <c r="A62310"/>
      <c r="B62310"/>
      <c r="C62310"/>
      <c r="E62310"/>
      <c r="F62310"/>
    </row>
    <row r="62311" spans="1:6" x14ac:dyDescent="0.25">
      <c r="A62311"/>
      <c r="B62311"/>
      <c r="C62311"/>
      <c r="E62311"/>
      <c r="F62311"/>
    </row>
    <row r="62312" spans="1:6" x14ac:dyDescent="0.25">
      <c r="A62312"/>
      <c r="B62312"/>
      <c r="C62312"/>
      <c r="E62312"/>
      <c r="F62312"/>
    </row>
    <row r="62313" spans="1:6" x14ac:dyDescent="0.25">
      <c r="A62313"/>
      <c r="B62313"/>
      <c r="C62313"/>
      <c r="E62313"/>
      <c r="F62313"/>
    </row>
    <row r="62314" spans="1:6" x14ac:dyDescent="0.25">
      <c r="A62314"/>
      <c r="B62314"/>
      <c r="C62314"/>
      <c r="E62314"/>
      <c r="F62314"/>
    </row>
    <row r="62315" spans="1:6" x14ac:dyDescent="0.25">
      <c r="A62315"/>
      <c r="B62315"/>
      <c r="C62315"/>
      <c r="E62315"/>
      <c r="F62315"/>
    </row>
    <row r="62316" spans="1:6" x14ac:dyDescent="0.25">
      <c r="A62316"/>
      <c r="B62316"/>
      <c r="C62316"/>
      <c r="E62316"/>
      <c r="F62316"/>
    </row>
    <row r="62317" spans="1:6" x14ac:dyDescent="0.25">
      <c r="A62317"/>
      <c r="B62317"/>
      <c r="C62317"/>
      <c r="E62317"/>
      <c r="F62317"/>
    </row>
    <row r="62318" spans="1:6" x14ac:dyDescent="0.25">
      <c r="A62318"/>
      <c r="B62318"/>
      <c r="C62318"/>
      <c r="E62318"/>
      <c r="F62318"/>
    </row>
    <row r="62319" spans="1:6" x14ac:dyDescent="0.25">
      <c r="A62319"/>
      <c r="B62319"/>
      <c r="C62319"/>
      <c r="E62319"/>
      <c r="F62319"/>
    </row>
    <row r="62320" spans="1:6" x14ac:dyDescent="0.25">
      <c r="A62320"/>
      <c r="B62320"/>
      <c r="C62320"/>
      <c r="E62320"/>
      <c r="F62320"/>
    </row>
    <row r="62321" spans="1:6" x14ac:dyDescent="0.25">
      <c r="A62321"/>
      <c r="B62321"/>
      <c r="C62321"/>
      <c r="E62321"/>
      <c r="F62321"/>
    </row>
    <row r="62322" spans="1:6" x14ac:dyDescent="0.25">
      <c r="A62322"/>
      <c r="B62322"/>
      <c r="C62322"/>
      <c r="E62322"/>
      <c r="F62322"/>
    </row>
    <row r="62323" spans="1:6" x14ac:dyDescent="0.25">
      <c r="A62323"/>
      <c r="B62323"/>
      <c r="C62323"/>
      <c r="E62323"/>
      <c r="F62323"/>
    </row>
    <row r="62324" spans="1:6" x14ac:dyDescent="0.25">
      <c r="A62324"/>
      <c r="B62324"/>
      <c r="C62324"/>
      <c r="E62324"/>
      <c r="F62324"/>
    </row>
    <row r="62325" spans="1:6" x14ac:dyDescent="0.25">
      <c r="A62325"/>
      <c r="B62325"/>
      <c r="C62325"/>
      <c r="E62325"/>
      <c r="F62325"/>
    </row>
    <row r="62326" spans="1:6" x14ac:dyDescent="0.25">
      <c r="A62326"/>
      <c r="B62326"/>
      <c r="C62326"/>
      <c r="E62326"/>
      <c r="F62326"/>
    </row>
    <row r="62327" spans="1:6" x14ac:dyDescent="0.25">
      <c r="A62327"/>
      <c r="B62327"/>
      <c r="C62327"/>
      <c r="E62327"/>
      <c r="F62327"/>
    </row>
    <row r="62328" spans="1:6" x14ac:dyDescent="0.25">
      <c r="A62328"/>
      <c r="B62328"/>
      <c r="C62328"/>
      <c r="E62328"/>
      <c r="F62328"/>
    </row>
    <row r="62329" spans="1:6" x14ac:dyDescent="0.25">
      <c r="A62329"/>
      <c r="B62329"/>
      <c r="C62329"/>
      <c r="E62329"/>
      <c r="F62329"/>
    </row>
    <row r="62330" spans="1:6" x14ac:dyDescent="0.25">
      <c r="A62330"/>
      <c r="B62330"/>
      <c r="C62330"/>
      <c r="E62330"/>
      <c r="F62330"/>
    </row>
    <row r="62331" spans="1:6" x14ac:dyDescent="0.25">
      <c r="A62331"/>
      <c r="B62331"/>
      <c r="C62331"/>
      <c r="E62331"/>
      <c r="F62331"/>
    </row>
    <row r="62332" spans="1:6" x14ac:dyDescent="0.25">
      <c r="A62332"/>
      <c r="B62332"/>
      <c r="C62332"/>
      <c r="E62332"/>
      <c r="F62332"/>
    </row>
    <row r="62333" spans="1:6" x14ac:dyDescent="0.25">
      <c r="A62333"/>
      <c r="B62333"/>
      <c r="C62333"/>
      <c r="E62333"/>
      <c r="F62333"/>
    </row>
    <row r="62334" spans="1:6" x14ac:dyDescent="0.25">
      <c r="A62334"/>
      <c r="B62334"/>
      <c r="C62334"/>
      <c r="E62334"/>
      <c r="F62334"/>
    </row>
    <row r="62335" spans="1:6" x14ac:dyDescent="0.25">
      <c r="A62335"/>
      <c r="B62335"/>
      <c r="C62335"/>
      <c r="E62335"/>
      <c r="F62335"/>
    </row>
    <row r="62336" spans="1:6" x14ac:dyDescent="0.25">
      <c r="A62336"/>
      <c r="B62336"/>
      <c r="C62336"/>
      <c r="E62336"/>
      <c r="F62336"/>
    </row>
    <row r="62337" spans="1:6" x14ac:dyDescent="0.25">
      <c r="A62337"/>
      <c r="B62337"/>
      <c r="C62337"/>
      <c r="E62337"/>
      <c r="F62337"/>
    </row>
    <row r="62338" spans="1:6" x14ac:dyDescent="0.25">
      <c r="A62338"/>
      <c r="B62338"/>
      <c r="C62338"/>
      <c r="E62338"/>
      <c r="F62338"/>
    </row>
    <row r="62339" spans="1:6" x14ac:dyDescent="0.25">
      <c r="A62339"/>
      <c r="B62339"/>
      <c r="C62339"/>
      <c r="E62339"/>
      <c r="F62339"/>
    </row>
    <row r="62340" spans="1:6" x14ac:dyDescent="0.25">
      <c r="A62340"/>
      <c r="B62340"/>
      <c r="C62340"/>
      <c r="E62340"/>
      <c r="F62340"/>
    </row>
    <row r="62341" spans="1:6" x14ac:dyDescent="0.25">
      <c r="A62341"/>
      <c r="B62341"/>
      <c r="C62341"/>
      <c r="E62341"/>
      <c r="F62341"/>
    </row>
    <row r="62342" spans="1:6" x14ac:dyDescent="0.25">
      <c r="A62342"/>
      <c r="B62342"/>
      <c r="C62342"/>
      <c r="E62342"/>
      <c r="F62342"/>
    </row>
    <row r="62343" spans="1:6" x14ac:dyDescent="0.25">
      <c r="A62343"/>
      <c r="B62343"/>
      <c r="C62343"/>
      <c r="E62343"/>
      <c r="F62343"/>
    </row>
    <row r="62344" spans="1:6" x14ac:dyDescent="0.25">
      <c r="A62344"/>
      <c r="B62344"/>
      <c r="C62344"/>
      <c r="E62344"/>
      <c r="F62344"/>
    </row>
    <row r="62345" spans="1:6" x14ac:dyDescent="0.25">
      <c r="A62345"/>
      <c r="B62345"/>
      <c r="C62345"/>
      <c r="E62345"/>
      <c r="F62345"/>
    </row>
    <row r="62346" spans="1:6" x14ac:dyDescent="0.25">
      <c r="A62346"/>
      <c r="B62346"/>
      <c r="C62346"/>
      <c r="E62346"/>
      <c r="F62346"/>
    </row>
    <row r="62347" spans="1:6" x14ac:dyDescent="0.25">
      <c r="A62347"/>
      <c r="B62347"/>
      <c r="C62347"/>
      <c r="E62347"/>
      <c r="F62347"/>
    </row>
    <row r="62348" spans="1:6" x14ac:dyDescent="0.25">
      <c r="A62348"/>
      <c r="B62348"/>
      <c r="C62348"/>
      <c r="E62348"/>
      <c r="F62348"/>
    </row>
    <row r="62349" spans="1:6" x14ac:dyDescent="0.25">
      <c r="A62349"/>
      <c r="B62349"/>
      <c r="C62349"/>
      <c r="E62349"/>
      <c r="F62349"/>
    </row>
    <row r="62350" spans="1:6" x14ac:dyDescent="0.25">
      <c r="A62350"/>
      <c r="B62350"/>
      <c r="C62350"/>
      <c r="E62350"/>
      <c r="F62350"/>
    </row>
    <row r="62351" spans="1:6" x14ac:dyDescent="0.25">
      <c r="A62351"/>
      <c r="B62351"/>
      <c r="C62351"/>
      <c r="E62351"/>
      <c r="F62351"/>
    </row>
    <row r="62352" spans="1:6" x14ac:dyDescent="0.25">
      <c r="A62352"/>
      <c r="B62352"/>
      <c r="C62352"/>
      <c r="E62352"/>
      <c r="F62352"/>
    </row>
    <row r="62353" spans="1:6" x14ac:dyDescent="0.25">
      <c r="A62353"/>
      <c r="B62353"/>
      <c r="C62353"/>
      <c r="E62353"/>
      <c r="F62353"/>
    </row>
    <row r="62354" spans="1:6" x14ac:dyDescent="0.25">
      <c r="A62354"/>
      <c r="B62354"/>
      <c r="C62354"/>
      <c r="E62354"/>
      <c r="F62354"/>
    </row>
    <row r="62355" spans="1:6" x14ac:dyDescent="0.25">
      <c r="A62355"/>
      <c r="B62355"/>
      <c r="C62355"/>
      <c r="E62355"/>
      <c r="F62355"/>
    </row>
    <row r="62356" spans="1:6" x14ac:dyDescent="0.25">
      <c r="A62356"/>
      <c r="B62356"/>
      <c r="C62356"/>
      <c r="E62356"/>
      <c r="F62356"/>
    </row>
    <row r="62357" spans="1:6" x14ac:dyDescent="0.25">
      <c r="A62357"/>
      <c r="B62357"/>
      <c r="C62357"/>
      <c r="E62357"/>
      <c r="F62357"/>
    </row>
    <row r="62358" spans="1:6" x14ac:dyDescent="0.25">
      <c r="A62358"/>
      <c r="B62358"/>
      <c r="C62358"/>
      <c r="E62358"/>
      <c r="F62358"/>
    </row>
    <row r="62359" spans="1:6" x14ac:dyDescent="0.25">
      <c r="A62359"/>
      <c r="B62359"/>
      <c r="C62359"/>
      <c r="E62359"/>
      <c r="F62359"/>
    </row>
    <row r="62360" spans="1:6" x14ac:dyDescent="0.25">
      <c r="A62360"/>
      <c r="B62360"/>
      <c r="C62360"/>
      <c r="E62360"/>
      <c r="F62360"/>
    </row>
    <row r="62361" spans="1:6" x14ac:dyDescent="0.25">
      <c r="A62361"/>
      <c r="B62361"/>
      <c r="C62361"/>
      <c r="E62361"/>
      <c r="F62361"/>
    </row>
    <row r="62362" spans="1:6" x14ac:dyDescent="0.25">
      <c r="A62362"/>
      <c r="B62362"/>
      <c r="C62362"/>
      <c r="E62362"/>
      <c r="F62362"/>
    </row>
    <row r="62363" spans="1:6" x14ac:dyDescent="0.25">
      <c r="A62363"/>
      <c r="B62363"/>
      <c r="C62363"/>
      <c r="E62363"/>
      <c r="F62363"/>
    </row>
    <row r="62364" spans="1:6" x14ac:dyDescent="0.25">
      <c r="A62364"/>
      <c r="B62364"/>
      <c r="C62364"/>
      <c r="E62364"/>
      <c r="F62364"/>
    </row>
    <row r="62365" spans="1:6" x14ac:dyDescent="0.25">
      <c r="A62365"/>
      <c r="B62365"/>
      <c r="C62365"/>
      <c r="E62365"/>
      <c r="F62365"/>
    </row>
    <row r="62366" spans="1:6" x14ac:dyDescent="0.25">
      <c r="A62366"/>
      <c r="B62366"/>
      <c r="C62366"/>
      <c r="E62366"/>
      <c r="F62366"/>
    </row>
    <row r="62367" spans="1:6" x14ac:dyDescent="0.25">
      <c r="A62367"/>
      <c r="B62367"/>
      <c r="C62367"/>
      <c r="E62367"/>
      <c r="F62367"/>
    </row>
    <row r="62368" spans="1:6" x14ac:dyDescent="0.25">
      <c r="A62368"/>
      <c r="B62368"/>
      <c r="C62368"/>
      <c r="E62368"/>
      <c r="F62368"/>
    </row>
    <row r="62369" spans="1:6" x14ac:dyDescent="0.25">
      <c r="A62369"/>
      <c r="B62369"/>
      <c r="C62369"/>
      <c r="E62369"/>
      <c r="F62369"/>
    </row>
    <row r="62370" spans="1:6" x14ac:dyDescent="0.25">
      <c r="A62370"/>
      <c r="B62370"/>
      <c r="C62370"/>
      <c r="E62370"/>
      <c r="F62370"/>
    </row>
    <row r="62371" spans="1:6" x14ac:dyDescent="0.25">
      <c r="A62371"/>
      <c r="B62371"/>
      <c r="C62371"/>
      <c r="E62371"/>
      <c r="F62371"/>
    </row>
    <row r="62372" spans="1:6" x14ac:dyDescent="0.25">
      <c r="A62372"/>
      <c r="B62372"/>
      <c r="C62372"/>
      <c r="E62372"/>
      <c r="F62372"/>
    </row>
    <row r="62373" spans="1:6" x14ac:dyDescent="0.25">
      <c r="A62373"/>
      <c r="B62373"/>
      <c r="C62373"/>
      <c r="E62373"/>
      <c r="F62373"/>
    </row>
    <row r="62374" spans="1:6" x14ac:dyDescent="0.25">
      <c r="A62374"/>
      <c r="B62374"/>
      <c r="C62374"/>
      <c r="E62374"/>
      <c r="F62374"/>
    </row>
    <row r="62375" spans="1:6" x14ac:dyDescent="0.25">
      <c r="A62375"/>
      <c r="B62375"/>
      <c r="C62375"/>
      <c r="E62375"/>
      <c r="F62375"/>
    </row>
    <row r="62376" spans="1:6" x14ac:dyDescent="0.25">
      <c r="A62376"/>
      <c r="B62376"/>
      <c r="C62376"/>
      <c r="E62376"/>
      <c r="F62376"/>
    </row>
    <row r="62377" spans="1:6" x14ac:dyDescent="0.25">
      <c r="A62377"/>
      <c r="B62377"/>
      <c r="C62377"/>
      <c r="E62377"/>
      <c r="F62377"/>
    </row>
    <row r="62378" spans="1:6" x14ac:dyDescent="0.25">
      <c r="A62378"/>
      <c r="B62378"/>
      <c r="C62378"/>
      <c r="E62378"/>
      <c r="F62378"/>
    </row>
    <row r="62379" spans="1:6" x14ac:dyDescent="0.25">
      <c r="A62379"/>
      <c r="B62379"/>
      <c r="C62379"/>
      <c r="E62379"/>
      <c r="F62379"/>
    </row>
    <row r="62380" spans="1:6" x14ac:dyDescent="0.25">
      <c r="A62380"/>
      <c r="B62380"/>
      <c r="C62380"/>
      <c r="E62380"/>
      <c r="F62380"/>
    </row>
    <row r="62381" spans="1:6" x14ac:dyDescent="0.25">
      <c r="A62381"/>
      <c r="B62381"/>
      <c r="C62381"/>
      <c r="E62381"/>
      <c r="F62381"/>
    </row>
    <row r="62382" spans="1:6" x14ac:dyDescent="0.25">
      <c r="A62382"/>
      <c r="B62382"/>
      <c r="C62382"/>
      <c r="E62382"/>
      <c r="F62382"/>
    </row>
    <row r="62383" spans="1:6" x14ac:dyDescent="0.25">
      <c r="A62383"/>
      <c r="B62383"/>
      <c r="C62383"/>
      <c r="E62383"/>
      <c r="F62383"/>
    </row>
    <row r="62384" spans="1:6" x14ac:dyDescent="0.25">
      <c r="A62384"/>
      <c r="B62384"/>
      <c r="C62384"/>
      <c r="E62384"/>
      <c r="F62384"/>
    </row>
    <row r="62385" spans="1:6" x14ac:dyDescent="0.25">
      <c r="A62385"/>
      <c r="B62385"/>
      <c r="C62385"/>
      <c r="E62385"/>
      <c r="F62385"/>
    </row>
    <row r="62386" spans="1:6" x14ac:dyDescent="0.25">
      <c r="A62386"/>
      <c r="B62386"/>
      <c r="C62386"/>
      <c r="E62386"/>
      <c r="F62386"/>
    </row>
    <row r="62387" spans="1:6" x14ac:dyDescent="0.25">
      <c r="A62387"/>
      <c r="B62387"/>
      <c r="C62387"/>
      <c r="E62387"/>
      <c r="F62387"/>
    </row>
    <row r="62388" spans="1:6" x14ac:dyDescent="0.25">
      <c r="A62388"/>
      <c r="B62388"/>
      <c r="C62388"/>
      <c r="E62388"/>
      <c r="F62388"/>
    </row>
    <row r="62389" spans="1:6" x14ac:dyDescent="0.25">
      <c r="A62389"/>
      <c r="B62389"/>
      <c r="C62389"/>
      <c r="E62389"/>
      <c r="F62389"/>
    </row>
    <row r="62390" spans="1:6" x14ac:dyDescent="0.25">
      <c r="A62390"/>
      <c r="B62390"/>
      <c r="C62390"/>
      <c r="E62390"/>
      <c r="F62390"/>
    </row>
    <row r="62391" spans="1:6" x14ac:dyDescent="0.25">
      <c r="A62391"/>
      <c r="B62391"/>
      <c r="C62391"/>
      <c r="E62391"/>
      <c r="F62391"/>
    </row>
    <row r="62392" spans="1:6" x14ac:dyDescent="0.25">
      <c r="A62392"/>
      <c r="B62392"/>
      <c r="C62392"/>
      <c r="E62392"/>
      <c r="F62392"/>
    </row>
    <row r="62393" spans="1:6" x14ac:dyDescent="0.25">
      <c r="A62393"/>
      <c r="B62393"/>
      <c r="C62393"/>
      <c r="E62393"/>
      <c r="F62393"/>
    </row>
    <row r="62394" spans="1:6" x14ac:dyDescent="0.25">
      <c r="A62394"/>
      <c r="B62394"/>
      <c r="C62394"/>
      <c r="E62394"/>
      <c r="F62394"/>
    </row>
    <row r="62395" spans="1:6" x14ac:dyDescent="0.25">
      <c r="A62395"/>
      <c r="B62395"/>
      <c r="C62395"/>
      <c r="E62395"/>
      <c r="F62395"/>
    </row>
    <row r="62396" spans="1:6" x14ac:dyDescent="0.25">
      <c r="A62396"/>
      <c r="B62396"/>
      <c r="C62396"/>
      <c r="E62396"/>
      <c r="F62396"/>
    </row>
    <row r="62397" spans="1:6" x14ac:dyDescent="0.25">
      <c r="A62397"/>
      <c r="B62397"/>
      <c r="C62397"/>
      <c r="E62397"/>
      <c r="F62397"/>
    </row>
    <row r="62398" spans="1:6" x14ac:dyDescent="0.25">
      <c r="A62398"/>
      <c r="B62398"/>
      <c r="C62398"/>
      <c r="E62398"/>
      <c r="F62398"/>
    </row>
    <row r="62399" spans="1:6" x14ac:dyDescent="0.25">
      <c r="A62399"/>
      <c r="B62399"/>
      <c r="C62399"/>
      <c r="E62399"/>
      <c r="F62399"/>
    </row>
    <row r="62400" spans="1:6" x14ac:dyDescent="0.25">
      <c r="A62400"/>
      <c r="B62400"/>
      <c r="C62400"/>
      <c r="E62400"/>
      <c r="F62400"/>
    </row>
    <row r="62401" spans="1:6" x14ac:dyDescent="0.25">
      <c r="A62401"/>
      <c r="B62401"/>
      <c r="C62401"/>
      <c r="E62401"/>
      <c r="F62401"/>
    </row>
    <row r="62402" spans="1:6" x14ac:dyDescent="0.25">
      <c r="A62402"/>
      <c r="B62402"/>
      <c r="C62402"/>
      <c r="E62402"/>
      <c r="F62402"/>
    </row>
    <row r="62403" spans="1:6" x14ac:dyDescent="0.25">
      <c r="A62403"/>
      <c r="B62403"/>
      <c r="C62403"/>
      <c r="E62403"/>
      <c r="F62403"/>
    </row>
    <row r="62404" spans="1:6" x14ac:dyDescent="0.25">
      <c r="A62404"/>
      <c r="B62404"/>
      <c r="C62404"/>
      <c r="E62404"/>
      <c r="F62404"/>
    </row>
    <row r="62405" spans="1:6" x14ac:dyDescent="0.25">
      <c r="A62405"/>
      <c r="B62405"/>
      <c r="C62405"/>
      <c r="E62405"/>
      <c r="F62405"/>
    </row>
    <row r="62406" spans="1:6" x14ac:dyDescent="0.25">
      <c r="A62406"/>
      <c r="B62406"/>
      <c r="C62406"/>
      <c r="E62406"/>
      <c r="F62406"/>
    </row>
    <row r="62407" spans="1:6" x14ac:dyDescent="0.25">
      <c r="A62407"/>
      <c r="B62407"/>
      <c r="C62407"/>
      <c r="E62407"/>
      <c r="F62407"/>
    </row>
    <row r="62408" spans="1:6" x14ac:dyDescent="0.25">
      <c r="A62408"/>
      <c r="B62408"/>
      <c r="C62408"/>
      <c r="E62408"/>
      <c r="F62408"/>
    </row>
    <row r="62409" spans="1:6" x14ac:dyDescent="0.25">
      <c r="A62409"/>
      <c r="B62409"/>
      <c r="C62409"/>
      <c r="E62409"/>
      <c r="F62409"/>
    </row>
    <row r="62410" spans="1:6" x14ac:dyDescent="0.25">
      <c r="A62410"/>
      <c r="B62410"/>
      <c r="C62410"/>
      <c r="E62410"/>
      <c r="F62410"/>
    </row>
    <row r="62411" spans="1:6" x14ac:dyDescent="0.25">
      <c r="A62411"/>
      <c r="B62411"/>
      <c r="C62411"/>
      <c r="E62411"/>
      <c r="F62411"/>
    </row>
    <row r="62412" spans="1:6" x14ac:dyDescent="0.25">
      <c r="A62412"/>
      <c r="B62412"/>
      <c r="C62412"/>
      <c r="E62412"/>
      <c r="F62412"/>
    </row>
    <row r="62413" spans="1:6" x14ac:dyDescent="0.25">
      <c r="A62413"/>
      <c r="B62413"/>
      <c r="C62413"/>
      <c r="E62413"/>
      <c r="F62413"/>
    </row>
    <row r="62414" spans="1:6" x14ac:dyDescent="0.25">
      <c r="A62414"/>
      <c r="B62414"/>
      <c r="C62414"/>
      <c r="E62414"/>
      <c r="F62414"/>
    </row>
    <row r="62415" spans="1:6" x14ac:dyDescent="0.25">
      <c r="A62415"/>
      <c r="B62415"/>
      <c r="C62415"/>
      <c r="E62415"/>
      <c r="F62415"/>
    </row>
    <row r="62416" spans="1:6" x14ac:dyDescent="0.25">
      <c r="A62416"/>
      <c r="B62416"/>
      <c r="C62416"/>
      <c r="E62416"/>
      <c r="F62416"/>
    </row>
    <row r="62417" spans="1:6" x14ac:dyDescent="0.25">
      <c r="A62417"/>
      <c r="B62417"/>
      <c r="C62417"/>
      <c r="E62417"/>
      <c r="F62417"/>
    </row>
    <row r="62418" spans="1:6" x14ac:dyDescent="0.25">
      <c r="A62418"/>
      <c r="B62418"/>
      <c r="C62418"/>
      <c r="E62418"/>
      <c r="F62418"/>
    </row>
    <row r="62419" spans="1:6" x14ac:dyDescent="0.25">
      <c r="A62419"/>
      <c r="B62419"/>
      <c r="C62419"/>
      <c r="E62419"/>
      <c r="F62419"/>
    </row>
    <row r="62420" spans="1:6" x14ac:dyDescent="0.25">
      <c r="A62420"/>
      <c r="B62420"/>
      <c r="C62420"/>
      <c r="E62420"/>
      <c r="F62420"/>
    </row>
    <row r="62421" spans="1:6" x14ac:dyDescent="0.25">
      <c r="A62421"/>
      <c r="B62421"/>
      <c r="C62421"/>
      <c r="E62421"/>
      <c r="F62421"/>
    </row>
    <row r="62422" spans="1:6" x14ac:dyDescent="0.25">
      <c r="A62422"/>
      <c r="B62422"/>
      <c r="C62422"/>
      <c r="E62422"/>
      <c r="F62422"/>
    </row>
    <row r="62423" spans="1:6" x14ac:dyDescent="0.25">
      <c r="A62423"/>
      <c r="B62423"/>
      <c r="C62423"/>
      <c r="E62423"/>
      <c r="F62423"/>
    </row>
    <row r="62424" spans="1:6" x14ac:dyDescent="0.25">
      <c r="A62424"/>
      <c r="B62424"/>
      <c r="C62424"/>
      <c r="E62424"/>
      <c r="F62424"/>
    </row>
    <row r="62425" spans="1:6" x14ac:dyDescent="0.25">
      <c r="A62425"/>
      <c r="B62425"/>
      <c r="C62425"/>
      <c r="E62425"/>
      <c r="F62425"/>
    </row>
    <row r="62426" spans="1:6" x14ac:dyDescent="0.25">
      <c r="A62426"/>
      <c r="B62426"/>
      <c r="C62426"/>
      <c r="E62426"/>
      <c r="F62426"/>
    </row>
    <row r="62427" spans="1:6" x14ac:dyDescent="0.25">
      <c r="A62427"/>
      <c r="B62427"/>
      <c r="C62427"/>
      <c r="E62427"/>
      <c r="F62427"/>
    </row>
    <row r="62428" spans="1:6" x14ac:dyDescent="0.25">
      <c r="A62428"/>
      <c r="B62428"/>
      <c r="C62428"/>
      <c r="E62428"/>
      <c r="F62428"/>
    </row>
    <row r="62429" spans="1:6" x14ac:dyDescent="0.25">
      <c r="A62429"/>
      <c r="B62429"/>
      <c r="C62429"/>
      <c r="E62429"/>
      <c r="F62429"/>
    </row>
    <row r="62430" spans="1:6" x14ac:dyDescent="0.25">
      <c r="A62430"/>
      <c r="B62430"/>
      <c r="C62430"/>
      <c r="E62430"/>
      <c r="F62430"/>
    </row>
    <row r="62431" spans="1:6" x14ac:dyDescent="0.25">
      <c r="A62431"/>
      <c r="B62431"/>
      <c r="C62431"/>
      <c r="E62431"/>
      <c r="F62431"/>
    </row>
    <row r="62432" spans="1:6" x14ac:dyDescent="0.25">
      <c r="A62432"/>
      <c r="B62432"/>
      <c r="C62432"/>
      <c r="E62432"/>
      <c r="F62432"/>
    </row>
    <row r="62433" spans="1:6" x14ac:dyDescent="0.25">
      <c r="A62433"/>
      <c r="B62433"/>
      <c r="C62433"/>
      <c r="E62433"/>
      <c r="F62433"/>
    </row>
    <row r="62434" spans="1:6" x14ac:dyDescent="0.25">
      <c r="A62434"/>
      <c r="B62434"/>
      <c r="C62434"/>
      <c r="E62434"/>
      <c r="F62434"/>
    </row>
    <row r="62435" spans="1:6" x14ac:dyDescent="0.25">
      <c r="A62435"/>
      <c r="B62435"/>
      <c r="C62435"/>
      <c r="E62435"/>
      <c r="F62435"/>
    </row>
    <row r="62436" spans="1:6" x14ac:dyDescent="0.25">
      <c r="A62436"/>
      <c r="B62436"/>
      <c r="C62436"/>
      <c r="E62436"/>
      <c r="F62436"/>
    </row>
    <row r="62437" spans="1:6" x14ac:dyDescent="0.25">
      <c r="A62437"/>
      <c r="B62437"/>
      <c r="C62437"/>
      <c r="E62437"/>
      <c r="F62437"/>
    </row>
    <row r="62438" spans="1:6" x14ac:dyDescent="0.25">
      <c r="A62438"/>
      <c r="B62438"/>
      <c r="C62438"/>
      <c r="E62438"/>
      <c r="F62438"/>
    </row>
    <row r="62439" spans="1:6" x14ac:dyDescent="0.25">
      <c r="A62439"/>
      <c r="B62439"/>
      <c r="C62439"/>
      <c r="E62439"/>
      <c r="F62439"/>
    </row>
    <row r="62440" spans="1:6" x14ac:dyDescent="0.25">
      <c r="A62440"/>
      <c r="B62440"/>
      <c r="C62440"/>
      <c r="E62440"/>
      <c r="F62440"/>
    </row>
    <row r="62441" spans="1:6" x14ac:dyDescent="0.25">
      <c r="A62441"/>
      <c r="B62441"/>
      <c r="C62441"/>
      <c r="E62441"/>
      <c r="F62441"/>
    </row>
    <row r="62442" spans="1:6" x14ac:dyDescent="0.25">
      <c r="A62442"/>
      <c r="B62442"/>
      <c r="C62442"/>
      <c r="E62442"/>
      <c r="F62442"/>
    </row>
    <row r="62443" spans="1:6" x14ac:dyDescent="0.25">
      <c r="A62443"/>
      <c r="B62443"/>
      <c r="C62443"/>
      <c r="E62443"/>
      <c r="F62443"/>
    </row>
    <row r="62444" spans="1:6" x14ac:dyDescent="0.25">
      <c r="A62444"/>
      <c r="B62444"/>
      <c r="C62444"/>
      <c r="E62444"/>
      <c r="F62444"/>
    </row>
    <row r="62445" spans="1:6" x14ac:dyDescent="0.25">
      <c r="A62445"/>
      <c r="B62445"/>
      <c r="C62445"/>
      <c r="E62445"/>
      <c r="F62445"/>
    </row>
    <row r="62446" spans="1:6" x14ac:dyDescent="0.25">
      <c r="A62446"/>
      <c r="B62446"/>
      <c r="C62446"/>
      <c r="E62446"/>
      <c r="F62446"/>
    </row>
    <row r="62447" spans="1:6" x14ac:dyDescent="0.25">
      <c r="A62447"/>
      <c r="B62447"/>
      <c r="C62447"/>
      <c r="E62447"/>
      <c r="F62447"/>
    </row>
    <row r="62448" spans="1:6" x14ac:dyDescent="0.25">
      <c r="A62448"/>
      <c r="B62448"/>
      <c r="C62448"/>
      <c r="E62448"/>
      <c r="F62448"/>
    </row>
    <row r="62449" spans="1:6" x14ac:dyDescent="0.25">
      <c r="A62449"/>
      <c r="B62449"/>
      <c r="C62449"/>
      <c r="E62449"/>
      <c r="F62449"/>
    </row>
    <row r="62450" spans="1:6" x14ac:dyDescent="0.25">
      <c r="A62450"/>
      <c r="B62450"/>
      <c r="C62450"/>
      <c r="E62450"/>
      <c r="F62450"/>
    </row>
    <row r="62451" spans="1:6" x14ac:dyDescent="0.25">
      <c r="A62451"/>
      <c r="B62451"/>
      <c r="C62451"/>
      <c r="E62451"/>
      <c r="F62451"/>
    </row>
    <row r="62452" spans="1:6" x14ac:dyDescent="0.25">
      <c r="A62452"/>
      <c r="B62452"/>
      <c r="C62452"/>
      <c r="E62452"/>
      <c r="F62452"/>
    </row>
    <row r="62453" spans="1:6" x14ac:dyDescent="0.25">
      <c r="A62453"/>
      <c r="B62453"/>
      <c r="C62453"/>
      <c r="E62453"/>
      <c r="F62453"/>
    </row>
    <row r="62454" spans="1:6" x14ac:dyDescent="0.25">
      <c r="A62454"/>
      <c r="B62454"/>
      <c r="C62454"/>
      <c r="E62454"/>
      <c r="F62454"/>
    </row>
    <row r="62455" spans="1:6" x14ac:dyDescent="0.25">
      <c r="A62455"/>
      <c r="B62455"/>
      <c r="C62455"/>
      <c r="E62455"/>
      <c r="F62455"/>
    </row>
    <row r="62456" spans="1:6" x14ac:dyDescent="0.25">
      <c r="A62456"/>
      <c r="B62456"/>
      <c r="C62456"/>
      <c r="E62456"/>
      <c r="F62456"/>
    </row>
    <row r="62457" spans="1:6" x14ac:dyDescent="0.25">
      <c r="A62457"/>
      <c r="B62457"/>
      <c r="C62457"/>
      <c r="E62457"/>
      <c r="F62457"/>
    </row>
    <row r="62458" spans="1:6" x14ac:dyDescent="0.25">
      <c r="A62458"/>
      <c r="B62458"/>
      <c r="C62458"/>
      <c r="E62458"/>
      <c r="F62458"/>
    </row>
    <row r="62459" spans="1:6" x14ac:dyDescent="0.25">
      <c r="A62459"/>
      <c r="B62459"/>
      <c r="C62459"/>
      <c r="E62459"/>
      <c r="F62459"/>
    </row>
    <row r="62460" spans="1:6" x14ac:dyDescent="0.25">
      <c r="A62460"/>
      <c r="B62460"/>
      <c r="C62460"/>
      <c r="E62460"/>
      <c r="F62460"/>
    </row>
    <row r="62461" spans="1:6" x14ac:dyDescent="0.25">
      <c r="A62461"/>
      <c r="B62461"/>
      <c r="C62461"/>
      <c r="E62461"/>
      <c r="F62461"/>
    </row>
    <row r="62462" spans="1:6" x14ac:dyDescent="0.25">
      <c r="A62462"/>
      <c r="B62462"/>
      <c r="C62462"/>
      <c r="E62462"/>
      <c r="F62462"/>
    </row>
    <row r="62463" spans="1:6" x14ac:dyDescent="0.25">
      <c r="A62463"/>
      <c r="B62463"/>
      <c r="C62463"/>
      <c r="E62463"/>
      <c r="F62463"/>
    </row>
    <row r="62464" spans="1:6" x14ac:dyDescent="0.25">
      <c r="A62464"/>
      <c r="B62464"/>
      <c r="C62464"/>
      <c r="E62464"/>
      <c r="F62464"/>
    </row>
    <row r="62465" spans="1:6" x14ac:dyDescent="0.25">
      <c r="A62465"/>
      <c r="B62465"/>
      <c r="C62465"/>
      <c r="E62465"/>
      <c r="F62465"/>
    </row>
    <row r="62466" spans="1:6" x14ac:dyDescent="0.25">
      <c r="A62466"/>
      <c r="B62466"/>
      <c r="C62466"/>
      <c r="E62466"/>
      <c r="F62466"/>
    </row>
    <row r="62467" spans="1:6" x14ac:dyDescent="0.25">
      <c r="A62467"/>
      <c r="B62467"/>
      <c r="C62467"/>
      <c r="E62467"/>
      <c r="F62467"/>
    </row>
    <row r="62468" spans="1:6" x14ac:dyDescent="0.25">
      <c r="A62468"/>
      <c r="B62468"/>
      <c r="C62468"/>
      <c r="E62468"/>
      <c r="F62468"/>
    </row>
    <row r="62469" spans="1:6" x14ac:dyDescent="0.25">
      <c r="A62469"/>
      <c r="B62469"/>
      <c r="C62469"/>
      <c r="E62469"/>
      <c r="F62469"/>
    </row>
    <row r="62470" spans="1:6" x14ac:dyDescent="0.25">
      <c r="A62470"/>
      <c r="B62470"/>
      <c r="C62470"/>
      <c r="E62470"/>
      <c r="F62470"/>
    </row>
    <row r="62471" spans="1:6" x14ac:dyDescent="0.25">
      <c r="A62471"/>
      <c r="B62471"/>
      <c r="C62471"/>
      <c r="E62471"/>
      <c r="F62471"/>
    </row>
    <row r="62472" spans="1:6" x14ac:dyDescent="0.25">
      <c r="A62472"/>
      <c r="B62472"/>
      <c r="C62472"/>
      <c r="E62472"/>
      <c r="F62472"/>
    </row>
    <row r="62473" spans="1:6" x14ac:dyDescent="0.25">
      <c r="A62473"/>
      <c r="B62473"/>
      <c r="C62473"/>
      <c r="E62473"/>
      <c r="F62473"/>
    </row>
    <row r="62474" spans="1:6" x14ac:dyDescent="0.25">
      <c r="A62474"/>
      <c r="B62474"/>
      <c r="C62474"/>
      <c r="E62474"/>
      <c r="F62474"/>
    </row>
    <row r="62475" spans="1:6" x14ac:dyDescent="0.25">
      <c r="A62475"/>
      <c r="B62475"/>
      <c r="C62475"/>
      <c r="E62475"/>
      <c r="F62475"/>
    </row>
    <row r="62476" spans="1:6" x14ac:dyDescent="0.25">
      <c r="A62476"/>
      <c r="B62476"/>
      <c r="C62476"/>
      <c r="E62476"/>
      <c r="F62476"/>
    </row>
    <row r="62477" spans="1:6" x14ac:dyDescent="0.25">
      <c r="A62477"/>
      <c r="B62477"/>
      <c r="C62477"/>
      <c r="E62477"/>
      <c r="F62477"/>
    </row>
    <row r="62478" spans="1:6" x14ac:dyDescent="0.25">
      <c r="A62478"/>
      <c r="B62478"/>
      <c r="C62478"/>
      <c r="E62478"/>
      <c r="F62478"/>
    </row>
    <row r="62479" spans="1:6" x14ac:dyDescent="0.25">
      <c r="A62479"/>
      <c r="B62479"/>
      <c r="C62479"/>
      <c r="E62479"/>
      <c r="F62479"/>
    </row>
    <row r="62480" spans="1:6" x14ac:dyDescent="0.25">
      <c r="A62480"/>
      <c r="B62480"/>
      <c r="C62480"/>
      <c r="E62480"/>
      <c r="F62480"/>
    </row>
    <row r="62481" spans="1:6" x14ac:dyDescent="0.25">
      <c r="A62481"/>
      <c r="B62481"/>
      <c r="C62481"/>
      <c r="E62481"/>
      <c r="F62481"/>
    </row>
    <row r="62482" spans="1:6" x14ac:dyDescent="0.25">
      <c r="A62482"/>
      <c r="B62482"/>
      <c r="C62482"/>
      <c r="E62482"/>
      <c r="F62482"/>
    </row>
    <row r="62483" spans="1:6" x14ac:dyDescent="0.25">
      <c r="A62483"/>
      <c r="B62483"/>
      <c r="C62483"/>
      <c r="E62483"/>
      <c r="F62483"/>
    </row>
    <row r="62484" spans="1:6" x14ac:dyDescent="0.25">
      <c r="A62484"/>
      <c r="B62484"/>
      <c r="C62484"/>
      <c r="E62484"/>
      <c r="F62484"/>
    </row>
    <row r="62485" spans="1:6" x14ac:dyDescent="0.25">
      <c r="A62485"/>
      <c r="B62485"/>
      <c r="C62485"/>
      <c r="E62485"/>
      <c r="F62485"/>
    </row>
    <row r="62486" spans="1:6" x14ac:dyDescent="0.25">
      <c r="A62486"/>
      <c r="B62486"/>
      <c r="C62486"/>
      <c r="E62486"/>
      <c r="F62486"/>
    </row>
    <row r="62487" spans="1:6" x14ac:dyDescent="0.25">
      <c r="A62487"/>
      <c r="B62487"/>
      <c r="C62487"/>
      <c r="E62487"/>
      <c r="F62487"/>
    </row>
    <row r="62488" spans="1:6" x14ac:dyDescent="0.25">
      <c r="A62488"/>
      <c r="B62488"/>
      <c r="C62488"/>
      <c r="E62488"/>
      <c r="F62488"/>
    </row>
    <row r="62489" spans="1:6" x14ac:dyDescent="0.25">
      <c r="A62489"/>
      <c r="B62489"/>
      <c r="C62489"/>
      <c r="E62489"/>
      <c r="F62489"/>
    </row>
    <row r="62490" spans="1:6" x14ac:dyDescent="0.25">
      <c r="A62490"/>
      <c r="B62490"/>
      <c r="C62490"/>
      <c r="E62490"/>
      <c r="F62490"/>
    </row>
    <row r="62491" spans="1:6" x14ac:dyDescent="0.25">
      <c r="A62491"/>
      <c r="B62491"/>
      <c r="C62491"/>
      <c r="E62491"/>
      <c r="F62491"/>
    </row>
    <row r="62492" spans="1:6" x14ac:dyDescent="0.25">
      <c r="A62492"/>
      <c r="B62492"/>
      <c r="C62492"/>
      <c r="E62492"/>
      <c r="F62492"/>
    </row>
    <row r="62493" spans="1:6" x14ac:dyDescent="0.25">
      <c r="A62493"/>
      <c r="B62493"/>
      <c r="C62493"/>
      <c r="E62493"/>
      <c r="F62493"/>
    </row>
    <row r="62494" spans="1:6" x14ac:dyDescent="0.25">
      <c r="A62494"/>
      <c r="B62494"/>
      <c r="C62494"/>
      <c r="E62494"/>
      <c r="F62494"/>
    </row>
    <row r="62495" spans="1:6" x14ac:dyDescent="0.25">
      <c r="A62495"/>
      <c r="B62495"/>
      <c r="C62495"/>
      <c r="E62495"/>
      <c r="F62495"/>
    </row>
    <row r="62496" spans="1:6" x14ac:dyDescent="0.25">
      <c r="A62496"/>
      <c r="B62496"/>
      <c r="C62496"/>
      <c r="E62496"/>
      <c r="F62496"/>
    </row>
    <row r="62497" spans="1:6" x14ac:dyDescent="0.25">
      <c r="A62497"/>
      <c r="B62497"/>
      <c r="C62497"/>
      <c r="E62497"/>
      <c r="F62497"/>
    </row>
    <row r="62498" spans="1:6" x14ac:dyDescent="0.25">
      <c r="A62498"/>
      <c r="B62498"/>
      <c r="C62498"/>
      <c r="E62498"/>
      <c r="F62498"/>
    </row>
    <row r="62499" spans="1:6" x14ac:dyDescent="0.25">
      <c r="A62499"/>
      <c r="B62499"/>
      <c r="C62499"/>
      <c r="E62499"/>
      <c r="F62499"/>
    </row>
    <row r="62500" spans="1:6" x14ac:dyDescent="0.25">
      <c r="A62500"/>
      <c r="B62500"/>
      <c r="C62500"/>
      <c r="E62500"/>
      <c r="F62500"/>
    </row>
    <row r="62501" spans="1:6" x14ac:dyDescent="0.25">
      <c r="A62501"/>
      <c r="B62501"/>
      <c r="C62501"/>
      <c r="E62501"/>
      <c r="F62501"/>
    </row>
    <row r="62502" spans="1:6" x14ac:dyDescent="0.25">
      <c r="A62502"/>
      <c r="B62502"/>
      <c r="C62502"/>
      <c r="E62502"/>
      <c r="F62502"/>
    </row>
    <row r="62503" spans="1:6" x14ac:dyDescent="0.25">
      <c r="A62503"/>
      <c r="B62503"/>
      <c r="C62503"/>
      <c r="E62503"/>
      <c r="F62503"/>
    </row>
    <row r="62504" spans="1:6" x14ac:dyDescent="0.25">
      <c r="A62504"/>
      <c r="B62504"/>
      <c r="C62504"/>
      <c r="E62504"/>
      <c r="F62504"/>
    </row>
    <row r="62505" spans="1:6" x14ac:dyDescent="0.25">
      <c r="A62505"/>
      <c r="B62505"/>
      <c r="C62505"/>
      <c r="E62505"/>
      <c r="F62505"/>
    </row>
    <row r="62506" spans="1:6" x14ac:dyDescent="0.25">
      <c r="A62506"/>
      <c r="B62506"/>
      <c r="C62506"/>
      <c r="E62506"/>
      <c r="F62506"/>
    </row>
    <row r="62507" spans="1:6" x14ac:dyDescent="0.25">
      <c r="A62507"/>
      <c r="B62507"/>
      <c r="C62507"/>
      <c r="E62507"/>
      <c r="F62507"/>
    </row>
    <row r="62508" spans="1:6" x14ac:dyDescent="0.25">
      <c r="A62508"/>
      <c r="B62508"/>
      <c r="C62508"/>
      <c r="E62508"/>
      <c r="F62508"/>
    </row>
    <row r="62509" spans="1:6" x14ac:dyDescent="0.25">
      <c r="A62509"/>
      <c r="B62509"/>
      <c r="C62509"/>
      <c r="E62509"/>
      <c r="F62509"/>
    </row>
    <row r="62510" spans="1:6" x14ac:dyDescent="0.25">
      <c r="A62510"/>
      <c r="B62510"/>
      <c r="C62510"/>
      <c r="E62510"/>
      <c r="F62510"/>
    </row>
    <row r="62511" spans="1:6" x14ac:dyDescent="0.25">
      <c r="A62511"/>
      <c r="B62511"/>
      <c r="C62511"/>
      <c r="E62511"/>
      <c r="F62511"/>
    </row>
    <row r="62512" spans="1:6" x14ac:dyDescent="0.25">
      <c r="A62512"/>
      <c r="B62512"/>
      <c r="C62512"/>
      <c r="E62512"/>
      <c r="F62512"/>
    </row>
    <row r="62513" spans="1:6" x14ac:dyDescent="0.25">
      <c r="A62513"/>
      <c r="B62513"/>
      <c r="C62513"/>
      <c r="E62513"/>
      <c r="F62513"/>
    </row>
    <row r="62514" spans="1:6" x14ac:dyDescent="0.25">
      <c r="A62514"/>
      <c r="B62514"/>
      <c r="C62514"/>
      <c r="E62514"/>
      <c r="F62514"/>
    </row>
    <row r="62515" spans="1:6" x14ac:dyDescent="0.25">
      <c r="A62515"/>
      <c r="B62515"/>
      <c r="C62515"/>
      <c r="E62515"/>
      <c r="F62515"/>
    </row>
    <row r="62516" spans="1:6" x14ac:dyDescent="0.25">
      <c r="A62516"/>
      <c r="B62516"/>
      <c r="C62516"/>
      <c r="E62516"/>
      <c r="F62516"/>
    </row>
    <row r="62517" spans="1:6" x14ac:dyDescent="0.25">
      <c r="A62517"/>
      <c r="B62517"/>
      <c r="C62517"/>
      <c r="E62517"/>
      <c r="F62517"/>
    </row>
    <row r="62518" spans="1:6" x14ac:dyDescent="0.25">
      <c r="A62518"/>
      <c r="B62518"/>
      <c r="C62518"/>
      <c r="E62518"/>
      <c r="F62518"/>
    </row>
    <row r="62519" spans="1:6" x14ac:dyDescent="0.25">
      <c r="A62519"/>
      <c r="B62519"/>
      <c r="C62519"/>
      <c r="E62519"/>
      <c r="F62519"/>
    </row>
    <row r="62520" spans="1:6" x14ac:dyDescent="0.25">
      <c r="A62520"/>
      <c r="B62520"/>
      <c r="C62520"/>
      <c r="E62520"/>
      <c r="F62520"/>
    </row>
    <row r="62521" spans="1:6" x14ac:dyDescent="0.25">
      <c r="A62521"/>
      <c r="B62521"/>
      <c r="C62521"/>
      <c r="E62521"/>
      <c r="F62521"/>
    </row>
    <row r="62522" spans="1:6" x14ac:dyDescent="0.25">
      <c r="A62522"/>
      <c r="B62522"/>
      <c r="C62522"/>
      <c r="E62522"/>
      <c r="F62522"/>
    </row>
    <row r="62523" spans="1:6" x14ac:dyDescent="0.25">
      <c r="A62523"/>
      <c r="B62523"/>
      <c r="C62523"/>
      <c r="E62523"/>
      <c r="F62523"/>
    </row>
    <row r="62524" spans="1:6" x14ac:dyDescent="0.25">
      <c r="A62524"/>
      <c r="B62524"/>
      <c r="C62524"/>
      <c r="E62524"/>
      <c r="F62524"/>
    </row>
    <row r="62525" spans="1:6" x14ac:dyDescent="0.25">
      <c r="A62525"/>
      <c r="B62525"/>
      <c r="C62525"/>
      <c r="E62525"/>
      <c r="F62525"/>
    </row>
    <row r="62526" spans="1:6" x14ac:dyDescent="0.25">
      <c r="A62526"/>
      <c r="B62526"/>
      <c r="C62526"/>
      <c r="E62526"/>
      <c r="F62526"/>
    </row>
    <row r="62527" spans="1:6" x14ac:dyDescent="0.25">
      <c r="A62527"/>
      <c r="B62527"/>
      <c r="C62527"/>
      <c r="E62527"/>
      <c r="F62527"/>
    </row>
    <row r="62528" spans="1:6" x14ac:dyDescent="0.25">
      <c r="A62528"/>
      <c r="B62528"/>
      <c r="C62528"/>
      <c r="E62528"/>
      <c r="F62528"/>
    </row>
    <row r="62529" spans="1:6" x14ac:dyDescent="0.25">
      <c r="A62529"/>
      <c r="B62529"/>
      <c r="C62529"/>
      <c r="E62529"/>
      <c r="F62529"/>
    </row>
    <row r="62530" spans="1:6" x14ac:dyDescent="0.25">
      <c r="A62530"/>
      <c r="B62530"/>
      <c r="C62530"/>
      <c r="E62530"/>
      <c r="F62530"/>
    </row>
    <row r="62531" spans="1:6" x14ac:dyDescent="0.25">
      <c r="A62531"/>
      <c r="B62531"/>
      <c r="C62531"/>
      <c r="E62531"/>
      <c r="F62531"/>
    </row>
    <row r="62532" spans="1:6" x14ac:dyDescent="0.25">
      <c r="A62532"/>
      <c r="B62532"/>
      <c r="C62532"/>
      <c r="E62532"/>
      <c r="F62532"/>
    </row>
    <row r="62533" spans="1:6" x14ac:dyDescent="0.25">
      <c r="A62533"/>
      <c r="B62533"/>
      <c r="C62533"/>
      <c r="E62533"/>
      <c r="F62533"/>
    </row>
    <row r="62534" spans="1:6" x14ac:dyDescent="0.25">
      <c r="A62534"/>
      <c r="B62534"/>
      <c r="C62534"/>
      <c r="E62534"/>
      <c r="F62534"/>
    </row>
    <row r="62535" spans="1:6" x14ac:dyDescent="0.25">
      <c r="A62535"/>
      <c r="B62535"/>
      <c r="C62535"/>
      <c r="E62535"/>
      <c r="F62535"/>
    </row>
    <row r="62536" spans="1:6" x14ac:dyDescent="0.25">
      <c r="A62536"/>
      <c r="B62536"/>
      <c r="C62536"/>
      <c r="E62536"/>
      <c r="F62536"/>
    </row>
    <row r="62537" spans="1:6" x14ac:dyDescent="0.25">
      <c r="A62537"/>
      <c r="B62537"/>
      <c r="C62537"/>
      <c r="E62537"/>
      <c r="F62537"/>
    </row>
    <row r="62538" spans="1:6" x14ac:dyDescent="0.25">
      <c r="A62538"/>
      <c r="B62538"/>
      <c r="C62538"/>
      <c r="E62538"/>
      <c r="F62538"/>
    </row>
    <row r="62539" spans="1:6" x14ac:dyDescent="0.25">
      <c r="A62539"/>
      <c r="B62539"/>
      <c r="C62539"/>
      <c r="E62539"/>
      <c r="F62539"/>
    </row>
    <row r="62540" spans="1:6" x14ac:dyDescent="0.25">
      <c r="A62540"/>
      <c r="B62540"/>
      <c r="C62540"/>
      <c r="E62540"/>
      <c r="F62540"/>
    </row>
    <row r="62541" spans="1:6" x14ac:dyDescent="0.25">
      <c r="A62541"/>
      <c r="B62541"/>
      <c r="C62541"/>
      <c r="E62541"/>
      <c r="F62541"/>
    </row>
    <row r="62542" spans="1:6" x14ac:dyDescent="0.25">
      <c r="A62542"/>
      <c r="B62542"/>
      <c r="C62542"/>
      <c r="E62542"/>
      <c r="F62542"/>
    </row>
    <row r="62543" spans="1:6" x14ac:dyDescent="0.25">
      <c r="A62543"/>
      <c r="B62543"/>
      <c r="C62543"/>
      <c r="E62543"/>
      <c r="F62543"/>
    </row>
    <row r="62544" spans="1:6" x14ac:dyDescent="0.25">
      <c r="A62544"/>
      <c r="B62544"/>
      <c r="C62544"/>
      <c r="E62544"/>
      <c r="F62544"/>
    </row>
    <row r="62545" spans="1:6" x14ac:dyDescent="0.25">
      <c r="A62545"/>
      <c r="B62545"/>
      <c r="C62545"/>
      <c r="E62545"/>
      <c r="F62545"/>
    </row>
    <row r="62546" spans="1:6" x14ac:dyDescent="0.25">
      <c r="A62546"/>
      <c r="B62546"/>
      <c r="C62546"/>
      <c r="E62546"/>
      <c r="F62546"/>
    </row>
    <row r="62547" spans="1:6" x14ac:dyDescent="0.25">
      <c r="A62547"/>
      <c r="B62547"/>
      <c r="C62547"/>
      <c r="E62547"/>
      <c r="F62547"/>
    </row>
    <row r="62548" spans="1:6" x14ac:dyDescent="0.25">
      <c r="A62548"/>
      <c r="B62548"/>
      <c r="C62548"/>
      <c r="E62548"/>
      <c r="F62548"/>
    </row>
    <row r="62549" spans="1:6" x14ac:dyDescent="0.25">
      <c r="A62549"/>
      <c r="B62549"/>
      <c r="C62549"/>
      <c r="E62549"/>
      <c r="F62549"/>
    </row>
    <row r="62550" spans="1:6" x14ac:dyDescent="0.25">
      <c r="A62550"/>
      <c r="B62550"/>
      <c r="C62550"/>
      <c r="E62550"/>
      <c r="F62550"/>
    </row>
    <row r="62551" spans="1:6" x14ac:dyDescent="0.25">
      <c r="A62551"/>
      <c r="B62551"/>
      <c r="C62551"/>
      <c r="E62551"/>
      <c r="F62551"/>
    </row>
    <row r="62552" spans="1:6" x14ac:dyDescent="0.25">
      <c r="A62552"/>
      <c r="B62552"/>
      <c r="C62552"/>
      <c r="E62552"/>
      <c r="F62552"/>
    </row>
    <row r="62553" spans="1:6" x14ac:dyDescent="0.25">
      <c r="A62553"/>
      <c r="B62553"/>
      <c r="C62553"/>
      <c r="E62553"/>
      <c r="F62553"/>
    </row>
    <row r="62554" spans="1:6" x14ac:dyDescent="0.25">
      <c r="A62554"/>
      <c r="B62554"/>
      <c r="C62554"/>
      <c r="E62554"/>
      <c r="F62554"/>
    </row>
    <row r="62555" spans="1:6" x14ac:dyDescent="0.25">
      <c r="A62555"/>
      <c r="B62555"/>
      <c r="C62555"/>
      <c r="E62555"/>
      <c r="F62555"/>
    </row>
    <row r="62556" spans="1:6" x14ac:dyDescent="0.25">
      <c r="A62556"/>
      <c r="B62556"/>
      <c r="C62556"/>
      <c r="E62556"/>
      <c r="F62556"/>
    </row>
    <row r="62557" spans="1:6" x14ac:dyDescent="0.25">
      <c r="A62557"/>
      <c r="B62557"/>
      <c r="C62557"/>
      <c r="E62557"/>
      <c r="F62557"/>
    </row>
    <row r="62558" spans="1:6" x14ac:dyDescent="0.25">
      <c r="A62558"/>
      <c r="B62558"/>
      <c r="C62558"/>
      <c r="E62558"/>
      <c r="F62558"/>
    </row>
    <row r="62559" spans="1:6" x14ac:dyDescent="0.25">
      <c r="A62559"/>
      <c r="B62559"/>
      <c r="C62559"/>
      <c r="E62559"/>
      <c r="F62559"/>
    </row>
    <row r="62560" spans="1:6" x14ac:dyDescent="0.25">
      <c r="A62560"/>
      <c r="B62560"/>
      <c r="C62560"/>
      <c r="E62560"/>
      <c r="F62560"/>
    </row>
    <row r="62561" spans="1:6" x14ac:dyDescent="0.25">
      <c r="A62561"/>
      <c r="B62561"/>
      <c r="C62561"/>
      <c r="E62561"/>
      <c r="F62561"/>
    </row>
    <row r="62562" spans="1:6" x14ac:dyDescent="0.25">
      <c r="A62562"/>
      <c r="B62562"/>
      <c r="C62562"/>
      <c r="E62562"/>
      <c r="F62562"/>
    </row>
    <row r="62563" spans="1:6" x14ac:dyDescent="0.25">
      <c r="A62563"/>
      <c r="B62563"/>
      <c r="C62563"/>
      <c r="E62563"/>
      <c r="F62563"/>
    </row>
    <row r="62564" spans="1:6" x14ac:dyDescent="0.25">
      <c r="A62564"/>
      <c r="B62564"/>
      <c r="C62564"/>
      <c r="E62564"/>
      <c r="F62564"/>
    </row>
    <row r="62565" spans="1:6" x14ac:dyDescent="0.25">
      <c r="A62565"/>
      <c r="B62565"/>
      <c r="C62565"/>
      <c r="E62565"/>
      <c r="F62565"/>
    </row>
    <row r="62566" spans="1:6" x14ac:dyDescent="0.25">
      <c r="A62566"/>
      <c r="B62566"/>
      <c r="C62566"/>
      <c r="E62566"/>
      <c r="F62566"/>
    </row>
    <row r="62567" spans="1:6" x14ac:dyDescent="0.25">
      <c r="A62567"/>
      <c r="B62567"/>
      <c r="C62567"/>
      <c r="E62567"/>
      <c r="F62567"/>
    </row>
    <row r="62568" spans="1:6" x14ac:dyDescent="0.25">
      <c r="A62568"/>
      <c r="B62568"/>
      <c r="C62568"/>
      <c r="E62568"/>
      <c r="F62568"/>
    </row>
    <row r="62569" spans="1:6" x14ac:dyDescent="0.25">
      <c r="A62569"/>
      <c r="B62569"/>
      <c r="C62569"/>
      <c r="E62569"/>
      <c r="F62569"/>
    </row>
    <row r="62570" spans="1:6" x14ac:dyDescent="0.25">
      <c r="A62570"/>
      <c r="B62570"/>
      <c r="C62570"/>
      <c r="E62570"/>
      <c r="F62570"/>
    </row>
    <row r="62571" spans="1:6" x14ac:dyDescent="0.25">
      <c r="A62571"/>
      <c r="B62571"/>
      <c r="C62571"/>
      <c r="E62571"/>
      <c r="F62571"/>
    </row>
    <row r="62572" spans="1:6" x14ac:dyDescent="0.25">
      <c r="A62572"/>
      <c r="B62572"/>
      <c r="C62572"/>
      <c r="E62572"/>
      <c r="F62572"/>
    </row>
    <row r="62573" spans="1:6" x14ac:dyDescent="0.25">
      <c r="A62573"/>
      <c r="B62573"/>
      <c r="C62573"/>
      <c r="E62573"/>
      <c r="F62573"/>
    </row>
    <row r="62574" spans="1:6" x14ac:dyDescent="0.25">
      <c r="A62574"/>
      <c r="B62574"/>
      <c r="C62574"/>
      <c r="E62574"/>
      <c r="F62574"/>
    </row>
    <row r="62575" spans="1:6" x14ac:dyDescent="0.25">
      <c r="A62575"/>
      <c r="B62575"/>
      <c r="C62575"/>
      <c r="E62575"/>
      <c r="F62575"/>
    </row>
    <row r="62576" spans="1:6" x14ac:dyDescent="0.25">
      <c r="A62576"/>
      <c r="B62576"/>
      <c r="C62576"/>
      <c r="E62576"/>
      <c r="F62576"/>
    </row>
    <row r="62577" spans="1:6" x14ac:dyDescent="0.25">
      <c r="A62577"/>
      <c r="B62577"/>
      <c r="C62577"/>
      <c r="E62577"/>
      <c r="F62577"/>
    </row>
    <row r="62578" spans="1:6" x14ac:dyDescent="0.25">
      <c r="A62578"/>
      <c r="B62578"/>
      <c r="C62578"/>
      <c r="E62578"/>
      <c r="F62578"/>
    </row>
    <row r="62579" spans="1:6" x14ac:dyDescent="0.25">
      <c r="A62579"/>
      <c r="B62579"/>
      <c r="C62579"/>
      <c r="E62579"/>
      <c r="F62579"/>
    </row>
    <row r="62580" spans="1:6" x14ac:dyDescent="0.25">
      <c r="A62580"/>
      <c r="B62580"/>
      <c r="C62580"/>
      <c r="E62580"/>
      <c r="F62580"/>
    </row>
    <row r="62581" spans="1:6" x14ac:dyDescent="0.25">
      <c r="A62581"/>
      <c r="B62581"/>
      <c r="C62581"/>
      <c r="E62581"/>
      <c r="F62581"/>
    </row>
    <row r="62582" spans="1:6" x14ac:dyDescent="0.25">
      <c r="A62582"/>
      <c r="B62582"/>
      <c r="C62582"/>
      <c r="E62582"/>
      <c r="F62582"/>
    </row>
    <row r="62583" spans="1:6" x14ac:dyDescent="0.25">
      <c r="A62583"/>
      <c r="B62583"/>
      <c r="C62583"/>
      <c r="E62583"/>
      <c r="F62583"/>
    </row>
    <row r="62584" spans="1:6" x14ac:dyDescent="0.25">
      <c r="A62584"/>
      <c r="B62584"/>
      <c r="C62584"/>
      <c r="E62584"/>
      <c r="F62584"/>
    </row>
    <row r="62585" spans="1:6" x14ac:dyDescent="0.25">
      <c r="A62585"/>
      <c r="B62585"/>
      <c r="C62585"/>
      <c r="E62585"/>
      <c r="F62585"/>
    </row>
    <row r="62586" spans="1:6" x14ac:dyDescent="0.25">
      <c r="A62586"/>
      <c r="B62586"/>
      <c r="C62586"/>
      <c r="E62586"/>
      <c r="F62586"/>
    </row>
    <row r="62587" spans="1:6" x14ac:dyDescent="0.25">
      <c r="A62587"/>
      <c r="B62587"/>
      <c r="C62587"/>
      <c r="E62587"/>
      <c r="F62587"/>
    </row>
    <row r="62588" spans="1:6" x14ac:dyDescent="0.25">
      <c r="A62588"/>
      <c r="B62588"/>
      <c r="C62588"/>
      <c r="E62588"/>
      <c r="F62588"/>
    </row>
    <row r="62589" spans="1:6" x14ac:dyDescent="0.25">
      <c r="A62589"/>
      <c r="B62589"/>
      <c r="C62589"/>
      <c r="E62589"/>
      <c r="F62589"/>
    </row>
    <row r="62590" spans="1:6" x14ac:dyDescent="0.25">
      <c r="A62590"/>
      <c r="B62590"/>
      <c r="C62590"/>
      <c r="E62590"/>
      <c r="F62590"/>
    </row>
    <row r="62591" spans="1:6" x14ac:dyDescent="0.25">
      <c r="A62591"/>
      <c r="B62591"/>
      <c r="C62591"/>
      <c r="E62591"/>
      <c r="F62591"/>
    </row>
    <row r="62592" spans="1:6" x14ac:dyDescent="0.25">
      <c r="A62592"/>
      <c r="B62592"/>
      <c r="C62592"/>
      <c r="E62592"/>
      <c r="F62592"/>
    </row>
    <row r="62593" spans="1:6" x14ac:dyDescent="0.25">
      <c r="A62593"/>
      <c r="B62593"/>
      <c r="C62593"/>
      <c r="E62593"/>
      <c r="F62593"/>
    </row>
    <row r="62594" spans="1:6" x14ac:dyDescent="0.25">
      <c r="A62594"/>
      <c r="B62594"/>
      <c r="C62594"/>
      <c r="E62594"/>
      <c r="F62594"/>
    </row>
    <row r="62595" spans="1:6" x14ac:dyDescent="0.25">
      <c r="A62595"/>
      <c r="B62595"/>
      <c r="C62595"/>
      <c r="E62595"/>
      <c r="F62595"/>
    </row>
    <row r="62596" spans="1:6" x14ac:dyDescent="0.25">
      <c r="A62596"/>
      <c r="B62596"/>
      <c r="C62596"/>
      <c r="E62596"/>
      <c r="F62596"/>
    </row>
    <row r="62597" spans="1:6" x14ac:dyDescent="0.25">
      <c r="A62597"/>
      <c r="B62597"/>
      <c r="C62597"/>
      <c r="E62597"/>
      <c r="F62597"/>
    </row>
    <row r="62598" spans="1:6" x14ac:dyDescent="0.25">
      <c r="A62598"/>
      <c r="B62598"/>
      <c r="C62598"/>
      <c r="E62598"/>
      <c r="F62598"/>
    </row>
    <row r="62599" spans="1:6" x14ac:dyDescent="0.25">
      <c r="A62599"/>
      <c r="B62599"/>
      <c r="C62599"/>
      <c r="E62599"/>
      <c r="F62599"/>
    </row>
    <row r="62600" spans="1:6" x14ac:dyDescent="0.25">
      <c r="A62600"/>
      <c r="B62600"/>
      <c r="C62600"/>
      <c r="E62600"/>
      <c r="F62600"/>
    </row>
    <row r="62601" spans="1:6" x14ac:dyDescent="0.25">
      <c r="A62601"/>
      <c r="B62601"/>
      <c r="C62601"/>
      <c r="E62601"/>
      <c r="F62601"/>
    </row>
    <row r="62602" spans="1:6" x14ac:dyDescent="0.25">
      <c r="A62602"/>
      <c r="B62602"/>
      <c r="C62602"/>
      <c r="E62602"/>
      <c r="F62602"/>
    </row>
    <row r="62603" spans="1:6" x14ac:dyDescent="0.25">
      <c r="A62603"/>
      <c r="B62603"/>
      <c r="C62603"/>
      <c r="E62603"/>
      <c r="F62603"/>
    </row>
    <row r="62604" spans="1:6" x14ac:dyDescent="0.25">
      <c r="A62604"/>
      <c r="B62604"/>
      <c r="C62604"/>
      <c r="E62604"/>
      <c r="F62604"/>
    </row>
    <row r="62605" spans="1:6" x14ac:dyDescent="0.25">
      <c r="A62605"/>
      <c r="B62605"/>
      <c r="C62605"/>
      <c r="E62605"/>
      <c r="F62605"/>
    </row>
    <row r="62606" spans="1:6" x14ac:dyDescent="0.25">
      <c r="A62606"/>
      <c r="B62606"/>
      <c r="C62606"/>
      <c r="E62606"/>
      <c r="F62606"/>
    </row>
    <row r="62607" spans="1:6" x14ac:dyDescent="0.25">
      <c r="A62607"/>
      <c r="B62607"/>
      <c r="C62607"/>
      <c r="E62607"/>
      <c r="F62607"/>
    </row>
    <row r="62608" spans="1:6" x14ac:dyDescent="0.25">
      <c r="A62608"/>
      <c r="B62608"/>
      <c r="C62608"/>
      <c r="E62608"/>
      <c r="F62608"/>
    </row>
    <row r="62609" spans="1:6" x14ac:dyDescent="0.25">
      <c r="A62609"/>
      <c r="B62609"/>
      <c r="C62609"/>
      <c r="E62609"/>
      <c r="F62609"/>
    </row>
    <row r="62610" spans="1:6" x14ac:dyDescent="0.25">
      <c r="A62610"/>
      <c r="B62610"/>
      <c r="C62610"/>
      <c r="E62610"/>
      <c r="F62610"/>
    </row>
    <row r="62611" spans="1:6" x14ac:dyDescent="0.25">
      <c r="A62611"/>
      <c r="B62611"/>
      <c r="C62611"/>
      <c r="E62611"/>
      <c r="F62611"/>
    </row>
    <row r="62612" spans="1:6" x14ac:dyDescent="0.25">
      <c r="A62612"/>
      <c r="B62612"/>
      <c r="C62612"/>
      <c r="E62612"/>
      <c r="F62612"/>
    </row>
    <row r="62613" spans="1:6" x14ac:dyDescent="0.25">
      <c r="A62613"/>
      <c r="B62613"/>
      <c r="C62613"/>
      <c r="E62613"/>
      <c r="F62613"/>
    </row>
    <row r="62614" spans="1:6" x14ac:dyDescent="0.25">
      <c r="A62614"/>
      <c r="B62614"/>
      <c r="C62614"/>
      <c r="E62614"/>
      <c r="F62614"/>
    </row>
    <row r="62615" spans="1:6" x14ac:dyDescent="0.25">
      <c r="A62615"/>
      <c r="B62615"/>
      <c r="C62615"/>
      <c r="E62615"/>
      <c r="F62615"/>
    </row>
    <row r="62616" spans="1:6" x14ac:dyDescent="0.25">
      <c r="A62616"/>
      <c r="B62616"/>
      <c r="C62616"/>
      <c r="E62616"/>
      <c r="F62616"/>
    </row>
    <row r="62617" spans="1:6" x14ac:dyDescent="0.25">
      <c r="A62617"/>
      <c r="B62617"/>
      <c r="C62617"/>
      <c r="E62617"/>
      <c r="F62617"/>
    </row>
    <row r="62618" spans="1:6" x14ac:dyDescent="0.25">
      <c r="A62618"/>
      <c r="B62618"/>
      <c r="C62618"/>
      <c r="E62618"/>
      <c r="F62618"/>
    </row>
    <row r="62619" spans="1:6" x14ac:dyDescent="0.25">
      <c r="A62619"/>
      <c r="B62619"/>
      <c r="C62619"/>
      <c r="E62619"/>
      <c r="F62619"/>
    </row>
    <row r="62620" spans="1:6" x14ac:dyDescent="0.25">
      <c r="A62620"/>
      <c r="B62620"/>
      <c r="C62620"/>
      <c r="E62620"/>
      <c r="F62620"/>
    </row>
    <row r="62621" spans="1:6" x14ac:dyDescent="0.25">
      <c r="A62621"/>
      <c r="B62621"/>
      <c r="C62621"/>
      <c r="E62621"/>
      <c r="F62621"/>
    </row>
    <row r="62622" spans="1:6" x14ac:dyDescent="0.25">
      <c r="A62622"/>
      <c r="B62622"/>
      <c r="C62622"/>
      <c r="E62622"/>
      <c r="F62622"/>
    </row>
    <row r="62623" spans="1:6" x14ac:dyDescent="0.25">
      <c r="A62623"/>
      <c r="B62623"/>
      <c r="C62623"/>
      <c r="E62623"/>
      <c r="F62623"/>
    </row>
    <row r="62624" spans="1:6" x14ac:dyDescent="0.25">
      <c r="A62624"/>
      <c r="B62624"/>
      <c r="C62624"/>
      <c r="E62624"/>
      <c r="F62624"/>
    </row>
    <row r="62625" spans="1:6" x14ac:dyDescent="0.25">
      <c r="A62625"/>
      <c r="B62625"/>
      <c r="C62625"/>
      <c r="E62625"/>
      <c r="F62625"/>
    </row>
    <row r="62626" spans="1:6" x14ac:dyDescent="0.25">
      <c r="A62626"/>
      <c r="B62626"/>
      <c r="C62626"/>
      <c r="E62626"/>
      <c r="F62626"/>
    </row>
    <row r="62627" spans="1:6" x14ac:dyDescent="0.25">
      <c r="A62627"/>
      <c r="B62627"/>
      <c r="C62627"/>
      <c r="E62627"/>
      <c r="F62627"/>
    </row>
    <row r="62628" spans="1:6" x14ac:dyDescent="0.25">
      <c r="A62628"/>
      <c r="B62628"/>
      <c r="C62628"/>
      <c r="E62628"/>
      <c r="F62628"/>
    </row>
    <row r="62629" spans="1:6" x14ac:dyDescent="0.25">
      <c r="A62629"/>
      <c r="B62629"/>
      <c r="C62629"/>
      <c r="E62629"/>
      <c r="F62629"/>
    </row>
    <row r="62630" spans="1:6" x14ac:dyDescent="0.25">
      <c r="A62630"/>
      <c r="B62630"/>
      <c r="C62630"/>
      <c r="E62630"/>
      <c r="F62630"/>
    </row>
    <row r="62631" spans="1:6" x14ac:dyDescent="0.25">
      <c r="A62631"/>
      <c r="B62631"/>
      <c r="C62631"/>
      <c r="E62631"/>
      <c r="F62631"/>
    </row>
    <row r="62632" spans="1:6" x14ac:dyDescent="0.25">
      <c r="A62632"/>
      <c r="B62632"/>
      <c r="C62632"/>
      <c r="E62632"/>
      <c r="F62632"/>
    </row>
    <row r="62633" spans="1:6" x14ac:dyDescent="0.25">
      <c r="A62633"/>
      <c r="B62633"/>
      <c r="C62633"/>
      <c r="E62633"/>
      <c r="F62633"/>
    </row>
    <row r="62634" spans="1:6" x14ac:dyDescent="0.25">
      <c r="A62634"/>
      <c r="B62634"/>
      <c r="C62634"/>
      <c r="E62634"/>
      <c r="F62634"/>
    </row>
    <row r="62635" spans="1:6" x14ac:dyDescent="0.25">
      <c r="A62635"/>
      <c r="B62635"/>
      <c r="C62635"/>
      <c r="E62635"/>
      <c r="F62635"/>
    </row>
    <row r="62636" spans="1:6" x14ac:dyDescent="0.25">
      <c r="A62636"/>
      <c r="B62636"/>
      <c r="C62636"/>
      <c r="E62636"/>
      <c r="F62636"/>
    </row>
    <row r="62637" spans="1:6" x14ac:dyDescent="0.25">
      <c r="A62637"/>
      <c r="B62637"/>
      <c r="C62637"/>
      <c r="E62637"/>
      <c r="F62637"/>
    </row>
    <row r="62638" spans="1:6" x14ac:dyDescent="0.25">
      <c r="A62638"/>
      <c r="B62638"/>
      <c r="C62638"/>
      <c r="E62638"/>
      <c r="F62638"/>
    </row>
    <row r="62639" spans="1:6" x14ac:dyDescent="0.25">
      <c r="A62639"/>
      <c r="B62639"/>
      <c r="C62639"/>
      <c r="E62639"/>
      <c r="F62639"/>
    </row>
    <row r="62640" spans="1:6" x14ac:dyDescent="0.25">
      <c r="A62640"/>
      <c r="B62640"/>
      <c r="C62640"/>
      <c r="E62640"/>
      <c r="F62640"/>
    </row>
    <row r="62641" spans="1:6" x14ac:dyDescent="0.25">
      <c r="A62641"/>
      <c r="B62641"/>
      <c r="C62641"/>
      <c r="E62641"/>
      <c r="F62641"/>
    </row>
    <row r="62642" spans="1:6" x14ac:dyDescent="0.25">
      <c r="A62642"/>
      <c r="B62642"/>
      <c r="C62642"/>
      <c r="E62642"/>
      <c r="F62642"/>
    </row>
    <row r="62643" spans="1:6" x14ac:dyDescent="0.25">
      <c r="A62643"/>
      <c r="B62643"/>
      <c r="C62643"/>
      <c r="E62643"/>
      <c r="F62643"/>
    </row>
    <row r="62644" spans="1:6" x14ac:dyDescent="0.25">
      <c r="A62644"/>
      <c r="B62644"/>
      <c r="C62644"/>
      <c r="E62644"/>
      <c r="F62644"/>
    </row>
    <row r="62645" spans="1:6" x14ac:dyDescent="0.25">
      <c r="A62645"/>
      <c r="B62645"/>
      <c r="C62645"/>
      <c r="E62645"/>
      <c r="F62645"/>
    </row>
    <row r="62646" spans="1:6" x14ac:dyDescent="0.25">
      <c r="A62646"/>
      <c r="B62646"/>
      <c r="C62646"/>
      <c r="E62646"/>
      <c r="F62646"/>
    </row>
    <row r="62647" spans="1:6" x14ac:dyDescent="0.25">
      <c r="A62647"/>
      <c r="B62647"/>
      <c r="C62647"/>
      <c r="E62647"/>
      <c r="F62647"/>
    </row>
    <row r="62648" spans="1:6" x14ac:dyDescent="0.25">
      <c r="A62648"/>
      <c r="B62648"/>
      <c r="C62648"/>
      <c r="E62648"/>
      <c r="F62648"/>
    </row>
    <row r="62649" spans="1:6" x14ac:dyDescent="0.25">
      <c r="A62649"/>
      <c r="B62649"/>
      <c r="C62649"/>
      <c r="E62649"/>
      <c r="F62649"/>
    </row>
    <row r="62650" spans="1:6" x14ac:dyDescent="0.25">
      <c r="A62650"/>
      <c r="B62650"/>
      <c r="C62650"/>
      <c r="E62650"/>
      <c r="F62650"/>
    </row>
    <row r="62651" spans="1:6" x14ac:dyDescent="0.25">
      <c r="A62651"/>
      <c r="B62651"/>
      <c r="C62651"/>
      <c r="E62651"/>
      <c r="F62651"/>
    </row>
    <row r="62652" spans="1:6" x14ac:dyDescent="0.25">
      <c r="A62652"/>
      <c r="B62652"/>
      <c r="C62652"/>
      <c r="E62652"/>
      <c r="F62652"/>
    </row>
    <row r="62653" spans="1:6" x14ac:dyDescent="0.25">
      <c r="A62653"/>
      <c r="B62653"/>
      <c r="C62653"/>
      <c r="E62653"/>
      <c r="F62653"/>
    </row>
    <row r="62654" spans="1:6" x14ac:dyDescent="0.25">
      <c r="A62654"/>
      <c r="B62654"/>
      <c r="C62654"/>
      <c r="E62654"/>
      <c r="F62654"/>
    </row>
    <row r="62655" spans="1:6" x14ac:dyDescent="0.25">
      <c r="A62655"/>
      <c r="B62655"/>
      <c r="C62655"/>
      <c r="E62655"/>
      <c r="F62655"/>
    </row>
    <row r="62656" spans="1:6" x14ac:dyDescent="0.25">
      <c r="A62656"/>
      <c r="B62656"/>
      <c r="C62656"/>
      <c r="E62656"/>
      <c r="F62656"/>
    </row>
    <row r="62657" spans="1:6" x14ac:dyDescent="0.25">
      <c r="A62657"/>
      <c r="B62657"/>
      <c r="C62657"/>
      <c r="E62657"/>
      <c r="F62657"/>
    </row>
    <row r="62658" spans="1:6" x14ac:dyDescent="0.25">
      <c r="A62658"/>
      <c r="B62658"/>
      <c r="C62658"/>
      <c r="E62658"/>
      <c r="F62658"/>
    </row>
    <row r="62659" spans="1:6" x14ac:dyDescent="0.25">
      <c r="A62659"/>
      <c r="B62659"/>
      <c r="C62659"/>
      <c r="E62659"/>
      <c r="F62659"/>
    </row>
    <row r="62660" spans="1:6" x14ac:dyDescent="0.25">
      <c r="A62660"/>
      <c r="B62660"/>
      <c r="C62660"/>
      <c r="E62660"/>
      <c r="F62660"/>
    </row>
    <row r="62661" spans="1:6" x14ac:dyDescent="0.25">
      <c r="A62661"/>
      <c r="B62661"/>
      <c r="C62661"/>
      <c r="E62661"/>
      <c r="F62661"/>
    </row>
    <row r="62662" spans="1:6" x14ac:dyDescent="0.25">
      <c r="A62662"/>
      <c r="B62662"/>
      <c r="C62662"/>
      <c r="E62662"/>
      <c r="F62662"/>
    </row>
    <row r="62663" spans="1:6" x14ac:dyDescent="0.25">
      <c r="A62663"/>
      <c r="B62663"/>
      <c r="C62663"/>
      <c r="E62663"/>
      <c r="F62663"/>
    </row>
    <row r="62664" spans="1:6" x14ac:dyDescent="0.25">
      <c r="A62664"/>
      <c r="B62664"/>
      <c r="C62664"/>
      <c r="E62664"/>
      <c r="F62664"/>
    </row>
    <row r="62665" spans="1:6" x14ac:dyDescent="0.25">
      <c r="A62665"/>
      <c r="B62665"/>
      <c r="C62665"/>
      <c r="E62665"/>
      <c r="F62665"/>
    </row>
    <row r="62666" spans="1:6" x14ac:dyDescent="0.25">
      <c r="A62666"/>
      <c r="B62666"/>
      <c r="C62666"/>
      <c r="E62666"/>
      <c r="F62666"/>
    </row>
    <row r="62667" spans="1:6" x14ac:dyDescent="0.25">
      <c r="A62667"/>
      <c r="B62667"/>
      <c r="C62667"/>
      <c r="E62667"/>
      <c r="F62667"/>
    </row>
    <row r="62668" spans="1:6" x14ac:dyDescent="0.25">
      <c r="A62668"/>
      <c r="B62668"/>
      <c r="C62668"/>
      <c r="E62668"/>
      <c r="F62668"/>
    </row>
    <row r="62669" spans="1:6" x14ac:dyDescent="0.25">
      <c r="A62669"/>
      <c r="B62669"/>
      <c r="C62669"/>
      <c r="E62669"/>
      <c r="F62669"/>
    </row>
    <row r="62670" spans="1:6" x14ac:dyDescent="0.25">
      <c r="A62670"/>
      <c r="B62670"/>
      <c r="C62670"/>
      <c r="E62670"/>
      <c r="F62670"/>
    </row>
    <row r="62671" spans="1:6" x14ac:dyDescent="0.25">
      <c r="A62671"/>
      <c r="B62671"/>
      <c r="C62671"/>
      <c r="E62671"/>
      <c r="F62671"/>
    </row>
    <row r="62672" spans="1:6" x14ac:dyDescent="0.25">
      <c r="A62672"/>
      <c r="B62672"/>
      <c r="C62672"/>
      <c r="E62672"/>
      <c r="F62672"/>
    </row>
    <row r="62673" spans="1:6" x14ac:dyDescent="0.25">
      <c r="A62673"/>
      <c r="B62673"/>
      <c r="C62673"/>
      <c r="E62673"/>
      <c r="F62673"/>
    </row>
    <row r="62674" spans="1:6" x14ac:dyDescent="0.25">
      <c r="A62674"/>
      <c r="B62674"/>
      <c r="C62674"/>
      <c r="E62674"/>
      <c r="F62674"/>
    </row>
    <row r="62675" spans="1:6" x14ac:dyDescent="0.25">
      <c r="A62675"/>
      <c r="B62675"/>
      <c r="C62675"/>
      <c r="E62675"/>
      <c r="F62675"/>
    </row>
    <row r="62676" spans="1:6" x14ac:dyDescent="0.25">
      <c r="A62676"/>
      <c r="B62676"/>
      <c r="C62676"/>
      <c r="E62676"/>
      <c r="F62676"/>
    </row>
    <row r="62677" spans="1:6" x14ac:dyDescent="0.25">
      <c r="A62677"/>
      <c r="B62677"/>
      <c r="C62677"/>
      <c r="E62677"/>
      <c r="F62677"/>
    </row>
    <row r="62678" spans="1:6" x14ac:dyDescent="0.25">
      <c r="A62678"/>
      <c r="B62678"/>
      <c r="C62678"/>
      <c r="E62678"/>
      <c r="F62678"/>
    </row>
    <row r="62679" spans="1:6" x14ac:dyDescent="0.25">
      <c r="A62679"/>
      <c r="B62679"/>
      <c r="C62679"/>
      <c r="E62679"/>
      <c r="F62679"/>
    </row>
    <row r="62680" spans="1:6" x14ac:dyDescent="0.25">
      <c r="A62680"/>
      <c r="B62680"/>
      <c r="C62680"/>
      <c r="E62680"/>
      <c r="F62680"/>
    </row>
    <row r="62681" spans="1:6" x14ac:dyDescent="0.25">
      <c r="A62681"/>
      <c r="B62681"/>
      <c r="C62681"/>
      <c r="E62681"/>
      <c r="F62681"/>
    </row>
    <row r="62682" spans="1:6" x14ac:dyDescent="0.25">
      <c r="A62682"/>
      <c r="B62682"/>
      <c r="C62682"/>
      <c r="E62682"/>
      <c r="F62682"/>
    </row>
    <row r="62683" spans="1:6" x14ac:dyDescent="0.25">
      <c r="A62683"/>
      <c r="B62683"/>
      <c r="C62683"/>
      <c r="E62683"/>
      <c r="F62683"/>
    </row>
    <row r="62684" spans="1:6" x14ac:dyDescent="0.25">
      <c r="A62684"/>
      <c r="B62684"/>
      <c r="C62684"/>
      <c r="E62684"/>
      <c r="F62684"/>
    </row>
    <row r="62685" spans="1:6" x14ac:dyDescent="0.25">
      <c r="A62685"/>
      <c r="B62685"/>
      <c r="C62685"/>
      <c r="E62685"/>
      <c r="F62685"/>
    </row>
    <row r="62686" spans="1:6" x14ac:dyDescent="0.25">
      <c r="A62686"/>
      <c r="B62686"/>
      <c r="C62686"/>
      <c r="E62686"/>
      <c r="F62686"/>
    </row>
    <row r="62687" spans="1:6" x14ac:dyDescent="0.25">
      <c r="A62687"/>
      <c r="B62687"/>
      <c r="C62687"/>
      <c r="E62687"/>
      <c r="F62687"/>
    </row>
    <row r="62688" spans="1:6" x14ac:dyDescent="0.25">
      <c r="A62688"/>
      <c r="B62688"/>
      <c r="C62688"/>
      <c r="E62688"/>
      <c r="F62688"/>
    </row>
    <row r="62689" spans="1:6" x14ac:dyDescent="0.25">
      <c r="A62689"/>
      <c r="B62689"/>
      <c r="C62689"/>
      <c r="E62689"/>
      <c r="F62689"/>
    </row>
    <row r="62690" spans="1:6" x14ac:dyDescent="0.25">
      <c r="A62690"/>
      <c r="B62690"/>
      <c r="C62690"/>
      <c r="E62690"/>
      <c r="F62690"/>
    </row>
    <row r="62691" spans="1:6" x14ac:dyDescent="0.25">
      <c r="A62691"/>
      <c r="B62691"/>
      <c r="C62691"/>
      <c r="E62691"/>
      <c r="F62691"/>
    </row>
    <row r="62692" spans="1:6" x14ac:dyDescent="0.25">
      <c r="A62692"/>
      <c r="B62692"/>
      <c r="C62692"/>
      <c r="E62692"/>
      <c r="F62692"/>
    </row>
    <row r="62693" spans="1:6" x14ac:dyDescent="0.25">
      <c r="A62693"/>
      <c r="B62693"/>
      <c r="C62693"/>
      <c r="E62693"/>
      <c r="F62693"/>
    </row>
    <row r="62694" spans="1:6" x14ac:dyDescent="0.25">
      <c r="A62694"/>
      <c r="B62694"/>
      <c r="C62694"/>
      <c r="E62694"/>
      <c r="F62694"/>
    </row>
    <row r="62695" spans="1:6" x14ac:dyDescent="0.25">
      <c r="A62695"/>
      <c r="B62695"/>
      <c r="C62695"/>
      <c r="E62695"/>
      <c r="F62695"/>
    </row>
    <row r="62696" spans="1:6" x14ac:dyDescent="0.25">
      <c r="A62696"/>
      <c r="B62696"/>
      <c r="C62696"/>
      <c r="E62696"/>
      <c r="F62696"/>
    </row>
    <row r="62697" spans="1:6" x14ac:dyDescent="0.25">
      <c r="A62697"/>
      <c r="B62697"/>
      <c r="C62697"/>
      <c r="E62697"/>
      <c r="F62697"/>
    </row>
    <row r="62698" spans="1:6" x14ac:dyDescent="0.25">
      <c r="A62698"/>
      <c r="B62698"/>
      <c r="C62698"/>
      <c r="E62698"/>
      <c r="F62698"/>
    </row>
    <row r="62699" spans="1:6" x14ac:dyDescent="0.25">
      <c r="A62699"/>
      <c r="B62699"/>
      <c r="C62699"/>
      <c r="E62699"/>
      <c r="F62699"/>
    </row>
    <row r="62700" spans="1:6" x14ac:dyDescent="0.25">
      <c r="A62700"/>
      <c r="B62700"/>
      <c r="C62700"/>
      <c r="E62700"/>
      <c r="F62700"/>
    </row>
    <row r="62701" spans="1:6" x14ac:dyDescent="0.25">
      <c r="A62701"/>
      <c r="B62701"/>
      <c r="C62701"/>
      <c r="E62701"/>
      <c r="F62701"/>
    </row>
    <row r="62702" spans="1:6" x14ac:dyDescent="0.25">
      <c r="A62702"/>
      <c r="B62702"/>
      <c r="C62702"/>
      <c r="E62702"/>
      <c r="F62702"/>
    </row>
    <row r="62703" spans="1:6" x14ac:dyDescent="0.25">
      <c r="A62703"/>
      <c r="B62703"/>
      <c r="C62703"/>
      <c r="E62703"/>
      <c r="F62703"/>
    </row>
    <row r="62704" spans="1:6" x14ac:dyDescent="0.25">
      <c r="A62704"/>
      <c r="B62704"/>
      <c r="C62704"/>
      <c r="E62704"/>
      <c r="F62704"/>
    </row>
    <row r="62705" spans="1:6" x14ac:dyDescent="0.25">
      <c r="A62705"/>
      <c r="B62705"/>
      <c r="C62705"/>
      <c r="E62705"/>
      <c r="F62705"/>
    </row>
    <row r="62706" spans="1:6" x14ac:dyDescent="0.25">
      <c r="A62706"/>
      <c r="B62706"/>
      <c r="C62706"/>
      <c r="E62706"/>
      <c r="F62706"/>
    </row>
    <row r="62707" spans="1:6" x14ac:dyDescent="0.25">
      <c r="A62707"/>
      <c r="B62707"/>
      <c r="C62707"/>
      <c r="E62707"/>
      <c r="F62707"/>
    </row>
    <row r="62708" spans="1:6" x14ac:dyDescent="0.25">
      <c r="A62708"/>
      <c r="B62708"/>
      <c r="C62708"/>
      <c r="E62708"/>
      <c r="F62708"/>
    </row>
    <row r="62709" spans="1:6" x14ac:dyDescent="0.25">
      <c r="A62709"/>
      <c r="B62709"/>
      <c r="C62709"/>
      <c r="E62709"/>
      <c r="F62709"/>
    </row>
    <row r="62710" spans="1:6" x14ac:dyDescent="0.25">
      <c r="A62710"/>
      <c r="B62710"/>
      <c r="C62710"/>
      <c r="E62710"/>
      <c r="F62710"/>
    </row>
    <row r="62711" spans="1:6" x14ac:dyDescent="0.25">
      <c r="A62711"/>
      <c r="B62711"/>
      <c r="C62711"/>
      <c r="E62711"/>
      <c r="F62711"/>
    </row>
    <row r="62712" spans="1:6" x14ac:dyDescent="0.25">
      <c r="A62712"/>
      <c r="B62712"/>
      <c r="C62712"/>
      <c r="E62712"/>
      <c r="F62712"/>
    </row>
    <row r="62713" spans="1:6" x14ac:dyDescent="0.25">
      <c r="A62713"/>
      <c r="B62713"/>
      <c r="C62713"/>
      <c r="E62713"/>
      <c r="F62713"/>
    </row>
    <row r="62714" spans="1:6" x14ac:dyDescent="0.25">
      <c r="A62714"/>
      <c r="B62714"/>
      <c r="C62714"/>
      <c r="E62714"/>
      <c r="F62714"/>
    </row>
    <row r="62715" spans="1:6" x14ac:dyDescent="0.25">
      <c r="A62715"/>
      <c r="B62715"/>
      <c r="C62715"/>
      <c r="E62715"/>
      <c r="F62715"/>
    </row>
    <row r="62716" spans="1:6" x14ac:dyDescent="0.25">
      <c r="A62716"/>
      <c r="B62716"/>
      <c r="C62716"/>
      <c r="E62716"/>
      <c r="F62716"/>
    </row>
    <row r="62717" spans="1:6" x14ac:dyDescent="0.25">
      <c r="A62717"/>
      <c r="B62717"/>
      <c r="C62717"/>
      <c r="E62717"/>
      <c r="F62717"/>
    </row>
    <row r="62718" spans="1:6" x14ac:dyDescent="0.25">
      <c r="A62718"/>
      <c r="B62718"/>
      <c r="C62718"/>
      <c r="E62718"/>
      <c r="F62718"/>
    </row>
    <row r="62719" spans="1:6" x14ac:dyDescent="0.25">
      <c r="A62719"/>
      <c r="B62719"/>
      <c r="C62719"/>
      <c r="E62719"/>
      <c r="F62719"/>
    </row>
    <row r="62720" spans="1:6" x14ac:dyDescent="0.25">
      <c r="A62720"/>
      <c r="B62720"/>
      <c r="C62720"/>
      <c r="E62720"/>
      <c r="F62720"/>
    </row>
    <row r="62721" spans="1:6" x14ac:dyDescent="0.25">
      <c r="A62721"/>
      <c r="B62721"/>
      <c r="C62721"/>
      <c r="E62721"/>
      <c r="F62721"/>
    </row>
    <row r="62722" spans="1:6" x14ac:dyDescent="0.25">
      <c r="A62722"/>
      <c r="B62722"/>
      <c r="C62722"/>
      <c r="E62722"/>
      <c r="F62722"/>
    </row>
    <row r="62723" spans="1:6" x14ac:dyDescent="0.25">
      <c r="A62723"/>
      <c r="B62723"/>
      <c r="C62723"/>
      <c r="E62723"/>
      <c r="F62723"/>
    </row>
    <row r="62724" spans="1:6" x14ac:dyDescent="0.25">
      <c r="A62724"/>
      <c r="B62724"/>
      <c r="C62724"/>
      <c r="E62724"/>
      <c r="F62724"/>
    </row>
    <row r="62725" spans="1:6" x14ac:dyDescent="0.25">
      <c r="A62725"/>
      <c r="B62725"/>
      <c r="C62725"/>
      <c r="E62725"/>
      <c r="F62725"/>
    </row>
    <row r="62726" spans="1:6" x14ac:dyDescent="0.25">
      <c r="A62726"/>
      <c r="B62726"/>
      <c r="C62726"/>
      <c r="E62726"/>
      <c r="F62726"/>
    </row>
    <row r="62727" spans="1:6" x14ac:dyDescent="0.25">
      <c r="A62727"/>
      <c r="B62727"/>
      <c r="C62727"/>
      <c r="E62727"/>
      <c r="F62727"/>
    </row>
    <row r="62728" spans="1:6" x14ac:dyDescent="0.25">
      <c r="A62728"/>
      <c r="B62728"/>
      <c r="C62728"/>
      <c r="E62728"/>
      <c r="F62728"/>
    </row>
    <row r="62729" spans="1:6" x14ac:dyDescent="0.25">
      <c r="A62729"/>
      <c r="B62729"/>
      <c r="C62729"/>
      <c r="E62729"/>
      <c r="F62729"/>
    </row>
    <row r="62730" spans="1:6" x14ac:dyDescent="0.25">
      <c r="A62730"/>
      <c r="B62730"/>
      <c r="C62730"/>
      <c r="E62730"/>
      <c r="F62730"/>
    </row>
    <row r="62731" spans="1:6" x14ac:dyDescent="0.25">
      <c r="A62731"/>
      <c r="B62731"/>
      <c r="C62731"/>
      <c r="E62731"/>
      <c r="F62731"/>
    </row>
    <row r="62732" spans="1:6" x14ac:dyDescent="0.25">
      <c r="A62732"/>
      <c r="B62732"/>
      <c r="C62732"/>
      <c r="E62732"/>
      <c r="F62732"/>
    </row>
    <row r="62733" spans="1:6" x14ac:dyDescent="0.25">
      <c r="A62733"/>
      <c r="B62733"/>
      <c r="C62733"/>
      <c r="E62733"/>
      <c r="F62733"/>
    </row>
    <row r="62734" spans="1:6" x14ac:dyDescent="0.25">
      <c r="A62734"/>
      <c r="B62734"/>
      <c r="C62734"/>
      <c r="E62734"/>
      <c r="F62734"/>
    </row>
    <row r="62735" spans="1:6" x14ac:dyDescent="0.25">
      <c r="A62735"/>
      <c r="B62735"/>
      <c r="C62735"/>
      <c r="E62735"/>
      <c r="F62735"/>
    </row>
    <row r="62736" spans="1:6" x14ac:dyDescent="0.25">
      <c r="A62736"/>
      <c r="B62736"/>
      <c r="C62736"/>
      <c r="E62736"/>
      <c r="F62736"/>
    </row>
    <row r="62737" spans="1:6" x14ac:dyDescent="0.25">
      <c r="A62737"/>
      <c r="B62737"/>
      <c r="C62737"/>
      <c r="E62737"/>
      <c r="F62737"/>
    </row>
    <row r="62738" spans="1:6" x14ac:dyDescent="0.25">
      <c r="A62738"/>
      <c r="B62738"/>
      <c r="C62738"/>
      <c r="E62738"/>
      <c r="F62738"/>
    </row>
    <row r="62739" spans="1:6" x14ac:dyDescent="0.25">
      <c r="A62739"/>
      <c r="B62739"/>
      <c r="C62739"/>
      <c r="E62739"/>
      <c r="F62739"/>
    </row>
    <row r="62740" spans="1:6" x14ac:dyDescent="0.25">
      <c r="A62740"/>
      <c r="B62740"/>
      <c r="C62740"/>
      <c r="E62740"/>
      <c r="F62740"/>
    </row>
    <row r="62741" spans="1:6" x14ac:dyDescent="0.25">
      <c r="A62741"/>
      <c r="B62741"/>
      <c r="C62741"/>
      <c r="E62741"/>
      <c r="F62741"/>
    </row>
    <row r="62742" spans="1:6" x14ac:dyDescent="0.25">
      <c r="A62742"/>
      <c r="B62742"/>
      <c r="C62742"/>
      <c r="E62742"/>
      <c r="F62742"/>
    </row>
    <row r="62743" spans="1:6" x14ac:dyDescent="0.25">
      <c r="A62743"/>
      <c r="B62743"/>
      <c r="C62743"/>
      <c r="E62743"/>
      <c r="F62743"/>
    </row>
    <row r="62744" spans="1:6" x14ac:dyDescent="0.25">
      <c r="A62744"/>
      <c r="B62744"/>
      <c r="C62744"/>
      <c r="E62744"/>
      <c r="F62744"/>
    </row>
    <row r="62745" spans="1:6" x14ac:dyDescent="0.25">
      <c r="A62745"/>
      <c r="B62745"/>
      <c r="C62745"/>
      <c r="E62745"/>
      <c r="F62745"/>
    </row>
    <row r="62746" spans="1:6" x14ac:dyDescent="0.25">
      <c r="A62746"/>
      <c r="B62746"/>
      <c r="C62746"/>
      <c r="E62746"/>
      <c r="F62746"/>
    </row>
    <row r="62747" spans="1:6" x14ac:dyDescent="0.25">
      <c r="A62747"/>
      <c r="B62747"/>
      <c r="C62747"/>
      <c r="E62747"/>
      <c r="F62747"/>
    </row>
    <row r="62748" spans="1:6" x14ac:dyDescent="0.25">
      <c r="A62748"/>
      <c r="B62748"/>
      <c r="C62748"/>
      <c r="E62748"/>
      <c r="F62748"/>
    </row>
    <row r="62749" spans="1:6" x14ac:dyDescent="0.25">
      <c r="A62749"/>
      <c r="B62749"/>
      <c r="C62749"/>
      <c r="E62749"/>
      <c r="F62749"/>
    </row>
    <row r="62750" spans="1:6" x14ac:dyDescent="0.25">
      <c r="A62750"/>
      <c r="B62750"/>
      <c r="C62750"/>
      <c r="E62750"/>
      <c r="F62750"/>
    </row>
    <row r="62751" spans="1:6" x14ac:dyDescent="0.25">
      <c r="A62751"/>
      <c r="B62751"/>
      <c r="C62751"/>
      <c r="E62751"/>
      <c r="F62751"/>
    </row>
    <row r="62752" spans="1:6" x14ac:dyDescent="0.25">
      <c r="A62752"/>
      <c r="B62752"/>
      <c r="C62752"/>
      <c r="E62752"/>
      <c r="F62752"/>
    </row>
    <row r="62753" spans="1:6" x14ac:dyDescent="0.25">
      <c r="A62753"/>
      <c r="B62753"/>
      <c r="C62753"/>
      <c r="E62753"/>
      <c r="F62753"/>
    </row>
    <row r="62754" spans="1:6" x14ac:dyDescent="0.25">
      <c r="A62754"/>
      <c r="B62754"/>
      <c r="C62754"/>
      <c r="E62754"/>
      <c r="F62754"/>
    </row>
    <row r="62755" spans="1:6" x14ac:dyDescent="0.25">
      <c r="A62755"/>
      <c r="B62755"/>
      <c r="C62755"/>
      <c r="E62755"/>
      <c r="F62755"/>
    </row>
    <row r="62756" spans="1:6" x14ac:dyDescent="0.25">
      <c r="A62756"/>
      <c r="B62756"/>
      <c r="C62756"/>
      <c r="E62756"/>
      <c r="F62756"/>
    </row>
    <row r="62757" spans="1:6" x14ac:dyDescent="0.25">
      <c r="A62757"/>
      <c r="B62757"/>
      <c r="C62757"/>
      <c r="E62757"/>
      <c r="F62757"/>
    </row>
    <row r="62758" spans="1:6" x14ac:dyDescent="0.25">
      <c r="A62758"/>
      <c r="B62758"/>
      <c r="C62758"/>
      <c r="E62758"/>
      <c r="F62758"/>
    </row>
    <row r="62759" spans="1:6" x14ac:dyDescent="0.25">
      <c r="A62759"/>
      <c r="B62759"/>
      <c r="C62759"/>
      <c r="E62759"/>
      <c r="F62759"/>
    </row>
    <row r="62760" spans="1:6" x14ac:dyDescent="0.25">
      <c r="A62760"/>
      <c r="B62760"/>
      <c r="C62760"/>
      <c r="E62760"/>
      <c r="F62760"/>
    </row>
    <row r="62761" spans="1:6" x14ac:dyDescent="0.25">
      <c r="A62761"/>
      <c r="B62761"/>
      <c r="C62761"/>
      <c r="E62761"/>
      <c r="F62761"/>
    </row>
    <row r="62762" spans="1:6" x14ac:dyDescent="0.25">
      <c r="A62762"/>
      <c r="B62762"/>
      <c r="C62762"/>
      <c r="E62762"/>
      <c r="F62762"/>
    </row>
    <row r="62763" spans="1:6" x14ac:dyDescent="0.25">
      <c r="A62763"/>
      <c r="B62763"/>
      <c r="C62763"/>
      <c r="E62763"/>
      <c r="F62763"/>
    </row>
    <row r="62764" spans="1:6" x14ac:dyDescent="0.25">
      <c r="A62764"/>
      <c r="B62764"/>
      <c r="C62764"/>
      <c r="E62764"/>
      <c r="F62764"/>
    </row>
    <row r="62765" spans="1:6" x14ac:dyDescent="0.25">
      <c r="A62765"/>
      <c r="B62765"/>
      <c r="C62765"/>
      <c r="E62765"/>
      <c r="F62765"/>
    </row>
    <row r="62766" spans="1:6" x14ac:dyDescent="0.25">
      <c r="A62766"/>
      <c r="B62766"/>
      <c r="C62766"/>
      <c r="E62766"/>
      <c r="F62766"/>
    </row>
    <row r="62767" spans="1:6" x14ac:dyDescent="0.25">
      <c r="A62767"/>
      <c r="B62767"/>
      <c r="C62767"/>
      <c r="E62767"/>
      <c r="F62767"/>
    </row>
    <row r="62768" spans="1:6" x14ac:dyDescent="0.25">
      <c r="A62768"/>
      <c r="B62768"/>
      <c r="C62768"/>
      <c r="E62768"/>
      <c r="F62768"/>
    </row>
    <row r="62769" spans="1:6" x14ac:dyDescent="0.25">
      <c r="A62769"/>
      <c r="B62769"/>
      <c r="C62769"/>
      <c r="E62769"/>
      <c r="F62769"/>
    </row>
    <row r="62770" spans="1:6" x14ac:dyDescent="0.25">
      <c r="A62770"/>
      <c r="B62770"/>
      <c r="C62770"/>
      <c r="E62770"/>
      <c r="F62770"/>
    </row>
    <row r="62771" spans="1:6" x14ac:dyDescent="0.25">
      <c r="A62771"/>
      <c r="B62771"/>
      <c r="C62771"/>
      <c r="E62771"/>
      <c r="F62771"/>
    </row>
    <row r="62772" spans="1:6" x14ac:dyDescent="0.25">
      <c r="A62772"/>
      <c r="B62772"/>
      <c r="C62772"/>
      <c r="E62772"/>
      <c r="F62772"/>
    </row>
    <row r="62773" spans="1:6" x14ac:dyDescent="0.25">
      <c r="A62773"/>
      <c r="B62773"/>
      <c r="C62773"/>
      <c r="E62773"/>
      <c r="F62773"/>
    </row>
    <row r="62774" spans="1:6" x14ac:dyDescent="0.25">
      <c r="A62774"/>
      <c r="B62774"/>
      <c r="C62774"/>
      <c r="E62774"/>
      <c r="F62774"/>
    </row>
    <row r="62775" spans="1:6" x14ac:dyDescent="0.25">
      <c r="A62775"/>
      <c r="B62775"/>
      <c r="C62775"/>
      <c r="E62775"/>
      <c r="F62775"/>
    </row>
    <row r="62776" spans="1:6" x14ac:dyDescent="0.25">
      <c r="A62776"/>
      <c r="B62776"/>
      <c r="C62776"/>
      <c r="E62776"/>
      <c r="F62776"/>
    </row>
    <row r="62777" spans="1:6" x14ac:dyDescent="0.25">
      <c r="A62777"/>
      <c r="B62777"/>
      <c r="C62777"/>
      <c r="E62777"/>
      <c r="F62777"/>
    </row>
    <row r="62778" spans="1:6" x14ac:dyDescent="0.25">
      <c r="A62778"/>
      <c r="B62778"/>
      <c r="C62778"/>
      <c r="E62778"/>
      <c r="F62778"/>
    </row>
    <row r="62779" spans="1:6" x14ac:dyDescent="0.25">
      <c r="A62779"/>
      <c r="B62779"/>
      <c r="C62779"/>
      <c r="E62779"/>
      <c r="F62779"/>
    </row>
    <row r="62780" spans="1:6" x14ac:dyDescent="0.25">
      <c r="A62780"/>
      <c r="B62780"/>
      <c r="C62780"/>
      <c r="E62780"/>
      <c r="F62780"/>
    </row>
    <row r="62781" spans="1:6" x14ac:dyDescent="0.25">
      <c r="A62781"/>
      <c r="B62781"/>
      <c r="C62781"/>
      <c r="E62781"/>
      <c r="F62781"/>
    </row>
    <row r="62782" spans="1:6" x14ac:dyDescent="0.25">
      <c r="A62782"/>
      <c r="B62782"/>
      <c r="C62782"/>
      <c r="E62782"/>
      <c r="F62782"/>
    </row>
    <row r="62783" spans="1:6" x14ac:dyDescent="0.25">
      <c r="A62783"/>
      <c r="B62783"/>
      <c r="C62783"/>
      <c r="E62783"/>
      <c r="F62783"/>
    </row>
    <row r="62784" spans="1:6" x14ac:dyDescent="0.25">
      <c r="A62784"/>
      <c r="B62784"/>
      <c r="C62784"/>
      <c r="E62784"/>
      <c r="F62784"/>
    </row>
    <row r="62785" spans="1:6" x14ac:dyDescent="0.25">
      <c r="A62785"/>
      <c r="B62785"/>
      <c r="C62785"/>
      <c r="E62785"/>
      <c r="F62785"/>
    </row>
    <row r="62786" spans="1:6" x14ac:dyDescent="0.25">
      <c r="A62786"/>
      <c r="B62786"/>
      <c r="C62786"/>
      <c r="E62786"/>
      <c r="F62786"/>
    </row>
    <row r="62787" spans="1:6" x14ac:dyDescent="0.25">
      <c r="A62787"/>
      <c r="B62787"/>
      <c r="C62787"/>
      <c r="E62787"/>
      <c r="F62787"/>
    </row>
    <row r="62788" spans="1:6" x14ac:dyDescent="0.25">
      <c r="A62788"/>
      <c r="B62788"/>
      <c r="C62788"/>
      <c r="E62788"/>
      <c r="F62788"/>
    </row>
    <row r="62789" spans="1:6" x14ac:dyDescent="0.25">
      <c r="A62789"/>
      <c r="B62789"/>
      <c r="C62789"/>
      <c r="E62789"/>
      <c r="F62789"/>
    </row>
    <row r="62790" spans="1:6" x14ac:dyDescent="0.25">
      <c r="A62790"/>
      <c r="B62790"/>
      <c r="C62790"/>
      <c r="E62790"/>
      <c r="F62790"/>
    </row>
    <row r="62791" spans="1:6" x14ac:dyDescent="0.25">
      <c r="A62791"/>
      <c r="B62791"/>
      <c r="C62791"/>
      <c r="E62791"/>
      <c r="F62791"/>
    </row>
    <row r="62792" spans="1:6" x14ac:dyDescent="0.25">
      <c r="A62792"/>
      <c r="B62792"/>
      <c r="C62792"/>
      <c r="E62792"/>
      <c r="F62792"/>
    </row>
    <row r="62793" spans="1:6" x14ac:dyDescent="0.25">
      <c r="A62793"/>
      <c r="B62793"/>
      <c r="C62793"/>
      <c r="E62793"/>
      <c r="F62793"/>
    </row>
    <row r="62794" spans="1:6" x14ac:dyDescent="0.25">
      <c r="A62794"/>
      <c r="B62794"/>
      <c r="C62794"/>
      <c r="E62794"/>
      <c r="F62794"/>
    </row>
    <row r="62795" spans="1:6" x14ac:dyDescent="0.25">
      <c r="A62795"/>
      <c r="B62795"/>
      <c r="C62795"/>
      <c r="E62795"/>
      <c r="F62795"/>
    </row>
    <row r="62796" spans="1:6" x14ac:dyDescent="0.25">
      <c r="A62796"/>
      <c r="B62796"/>
      <c r="C62796"/>
      <c r="E62796"/>
      <c r="F62796"/>
    </row>
    <row r="62797" spans="1:6" x14ac:dyDescent="0.25">
      <c r="A62797"/>
      <c r="B62797"/>
      <c r="C62797"/>
      <c r="E62797"/>
      <c r="F62797"/>
    </row>
    <row r="62798" spans="1:6" x14ac:dyDescent="0.25">
      <c r="A62798"/>
      <c r="B62798"/>
      <c r="C62798"/>
      <c r="E62798"/>
      <c r="F62798"/>
    </row>
    <row r="62799" spans="1:6" x14ac:dyDescent="0.25">
      <c r="A62799"/>
      <c r="B62799"/>
      <c r="C62799"/>
      <c r="E62799"/>
      <c r="F62799"/>
    </row>
    <row r="62800" spans="1:6" x14ac:dyDescent="0.25">
      <c r="A62800"/>
      <c r="B62800"/>
      <c r="C62800"/>
      <c r="E62800"/>
      <c r="F62800"/>
    </row>
    <row r="62801" spans="1:6" x14ac:dyDescent="0.25">
      <c r="A62801"/>
      <c r="B62801"/>
      <c r="C62801"/>
      <c r="E62801"/>
      <c r="F62801"/>
    </row>
    <row r="62802" spans="1:6" x14ac:dyDescent="0.25">
      <c r="A62802"/>
      <c r="B62802"/>
      <c r="C62802"/>
      <c r="E62802"/>
      <c r="F62802"/>
    </row>
    <row r="62803" spans="1:6" x14ac:dyDescent="0.25">
      <c r="A62803"/>
      <c r="B62803"/>
      <c r="C62803"/>
      <c r="E62803"/>
      <c r="F62803"/>
    </row>
    <row r="62804" spans="1:6" x14ac:dyDescent="0.25">
      <c r="A62804"/>
      <c r="B62804"/>
      <c r="C62804"/>
      <c r="E62804"/>
      <c r="F62804"/>
    </row>
    <row r="62805" spans="1:6" x14ac:dyDescent="0.25">
      <c r="A62805"/>
      <c r="B62805"/>
      <c r="C62805"/>
      <c r="E62805"/>
      <c r="F62805"/>
    </row>
    <row r="62806" spans="1:6" x14ac:dyDescent="0.25">
      <c r="A62806"/>
      <c r="B62806"/>
      <c r="C62806"/>
      <c r="E62806"/>
      <c r="F62806"/>
    </row>
    <row r="62807" spans="1:6" x14ac:dyDescent="0.25">
      <c r="A62807"/>
      <c r="B62807"/>
      <c r="C62807"/>
      <c r="E62807"/>
      <c r="F62807"/>
    </row>
    <row r="62808" spans="1:6" x14ac:dyDescent="0.25">
      <c r="A62808"/>
      <c r="B62808"/>
      <c r="C62808"/>
      <c r="E62808"/>
      <c r="F62808"/>
    </row>
    <row r="62809" spans="1:6" x14ac:dyDescent="0.25">
      <c r="A62809"/>
      <c r="B62809"/>
      <c r="C62809"/>
      <c r="E62809"/>
      <c r="F62809"/>
    </row>
    <row r="62810" spans="1:6" x14ac:dyDescent="0.25">
      <c r="A62810"/>
      <c r="B62810"/>
      <c r="C62810"/>
      <c r="E62810"/>
      <c r="F62810"/>
    </row>
    <row r="62811" spans="1:6" x14ac:dyDescent="0.25">
      <c r="A62811"/>
      <c r="B62811"/>
      <c r="C62811"/>
      <c r="E62811"/>
      <c r="F62811"/>
    </row>
    <row r="62812" spans="1:6" x14ac:dyDescent="0.25">
      <c r="A62812"/>
      <c r="B62812"/>
      <c r="C62812"/>
      <c r="E62812"/>
      <c r="F62812"/>
    </row>
    <row r="62813" spans="1:6" x14ac:dyDescent="0.25">
      <c r="A62813"/>
      <c r="B62813"/>
      <c r="C62813"/>
      <c r="E62813"/>
      <c r="F62813"/>
    </row>
    <row r="62814" spans="1:6" x14ac:dyDescent="0.25">
      <c r="A62814"/>
      <c r="B62814"/>
      <c r="C62814"/>
      <c r="E62814"/>
      <c r="F62814"/>
    </row>
    <row r="62815" spans="1:6" x14ac:dyDescent="0.25">
      <c r="A62815"/>
      <c r="B62815"/>
      <c r="C62815"/>
      <c r="E62815"/>
      <c r="F62815"/>
    </row>
    <row r="62816" spans="1:6" x14ac:dyDescent="0.25">
      <c r="A62816"/>
      <c r="B62816"/>
      <c r="C62816"/>
      <c r="E62816"/>
      <c r="F62816"/>
    </row>
    <row r="62817" spans="1:6" x14ac:dyDescent="0.25">
      <c r="A62817"/>
      <c r="B62817"/>
      <c r="C62817"/>
      <c r="E62817"/>
      <c r="F62817"/>
    </row>
    <row r="62818" spans="1:6" x14ac:dyDescent="0.25">
      <c r="A62818"/>
      <c r="B62818"/>
      <c r="C62818"/>
      <c r="E62818"/>
      <c r="F62818"/>
    </row>
    <row r="62819" spans="1:6" x14ac:dyDescent="0.25">
      <c r="A62819"/>
      <c r="B62819"/>
      <c r="C62819"/>
      <c r="E62819"/>
      <c r="F62819"/>
    </row>
    <row r="62820" spans="1:6" x14ac:dyDescent="0.25">
      <c r="A62820"/>
      <c r="B62820"/>
      <c r="C62820"/>
      <c r="E62820"/>
      <c r="F62820"/>
    </row>
    <row r="62821" spans="1:6" x14ac:dyDescent="0.25">
      <c r="A62821"/>
      <c r="B62821"/>
      <c r="C62821"/>
      <c r="E62821"/>
      <c r="F62821"/>
    </row>
    <row r="62822" spans="1:6" x14ac:dyDescent="0.25">
      <c r="A62822"/>
      <c r="B62822"/>
      <c r="C62822"/>
      <c r="E62822"/>
      <c r="F62822"/>
    </row>
    <row r="62823" spans="1:6" x14ac:dyDescent="0.25">
      <c r="A62823"/>
      <c r="B62823"/>
      <c r="C62823"/>
      <c r="E62823"/>
      <c r="F62823"/>
    </row>
    <row r="62824" spans="1:6" x14ac:dyDescent="0.25">
      <c r="A62824"/>
      <c r="B62824"/>
      <c r="C62824"/>
      <c r="E62824"/>
      <c r="F62824"/>
    </row>
    <row r="62825" spans="1:6" x14ac:dyDescent="0.25">
      <c r="A62825"/>
      <c r="B62825"/>
      <c r="C62825"/>
      <c r="E62825"/>
      <c r="F62825"/>
    </row>
    <row r="62826" spans="1:6" x14ac:dyDescent="0.25">
      <c r="A62826"/>
      <c r="B62826"/>
      <c r="C62826"/>
      <c r="E62826"/>
      <c r="F62826"/>
    </row>
    <row r="62827" spans="1:6" x14ac:dyDescent="0.25">
      <c r="A62827"/>
      <c r="B62827"/>
      <c r="C62827"/>
      <c r="E62827"/>
      <c r="F62827"/>
    </row>
    <row r="62828" spans="1:6" x14ac:dyDescent="0.25">
      <c r="A62828"/>
      <c r="B62828"/>
      <c r="C62828"/>
      <c r="E62828"/>
      <c r="F62828"/>
    </row>
    <row r="62829" spans="1:6" x14ac:dyDescent="0.25">
      <c r="A62829"/>
      <c r="B62829"/>
      <c r="C62829"/>
      <c r="E62829"/>
      <c r="F62829"/>
    </row>
    <row r="62830" spans="1:6" x14ac:dyDescent="0.25">
      <c r="A62830"/>
      <c r="B62830"/>
      <c r="C62830"/>
      <c r="E62830"/>
      <c r="F62830"/>
    </row>
    <row r="62831" spans="1:6" x14ac:dyDescent="0.25">
      <c r="A62831"/>
      <c r="B62831"/>
      <c r="C62831"/>
      <c r="E62831"/>
      <c r="F62831"/>
    </row>
    <row r="62832" spans="1:6" x14ac:dyDescent="0.25">
      <c r="A62832"/>
      <c r="B62832"/>
      <c r="C62832"/>
      <c r="E62832"/>
      <c r="F62832"/>
    </row>
    <row r="62833" spans="1:6" x14ac:dyDescent="0.25">
      <c r="A62833"/>
      <c r="B62833"/>
      <c r="C62833"/>
      <c r="E62833"/>
      <c r="F62833"/>
    </row>
    <row r="62834" spans="1:6" x14ac:dyDescent="0.25">
      <c r="A62834"/>
      <c r="B62834"/>
      <c r="C62834"/>
      <c r="E62834"/>
      <c r="F62834"/>
    </row>
    <row r="62835" spans="1:6" x14ac:dyDescent="0.25">
      <c r="A62835"/>
      <c r="B62835"/>
      <c r="C62835"/>
      <c r="E62835"/>
      <c r="F62835"/>
    </row>
    <row r="62836" spans="1:6" x14ac:dyDescent="0.25">
      <c r="A62836"/>
      <c r="B62836"/>
      <c r="C62836"/>
      <c r="E62836"/>
      <c r="F62836"/>
    </row>
    <row r="62837" spans="1:6" x14ac:dyDescent="0.25">
      <c r="A62837"/>
      <c r="B62837"/>
      <c r="C62837"/>
      <c r="E62837"/>
      <c r="F62837"/>
    </row>
    <row r="62838" spans="1:6" x14ac:dyDescent="0.25">
      <c r="A62838"/>
      <c r="B62838"/>
      <c r="C62838"/>
      <c r="E62838"/>
      <c r="F62838"/>
    </row>
    <row r="62839" spans="1:6" x14ac:dyDescent="0.25">
      <c r="A62839"/>
      <c r="B62839"/>
      <c r="C62839"/>
      <c r="E62839"/>
      <c r="F62839"/>
    </row>
    <row r="62840" spans="1:6" x14ac:dyDescent="0.25">
      <c r="A62840"/>
      <c r="B62840"/>
      <c r="C62840"/>
      <c r="E62840"/>
      <c r="F62840"/>
    </row>
    <row r="62841" spans="1:6" x14ac:dyDescent="0.25">
      <c r="A62841"/>
      <c r="B62841"/>
      <c r="C62841"/>
      <c r="E62841"/>
      <c r="F62841"/>
    </row>
    <row r="62842" spans="1:6" x14ac:dyDescent="0.25">
      <c r="A62842"/>
      <c r="B62842"/>
      <c r="C62842"/>
      <c r="E62842"/>
      <c r="F62842"/>
    </row>
    <row r="62843" spans="1:6" x14ac:dyDescent="0.25">
      <c r="A62843"/>
      <c r="B62843"/>
      <c r="C62843"/>
      <c r="E62843"/>
      <c r="F62843"/>
    </row>
    <row r="62844" spans="1:6" x14ac:dyDescent="0.25">
      <c r="A62844"/>
      <c r="B62844"/>
      <c r="C62844"/>
      <c r="E62844"/>
      <c r="F62844"/>
    </row>
    <row r="62845" spans="1:6" x14ac:dyDescent="0.25">
      <c r="A62845"/>
      <c r="B62845"/>
      <c r="C62845"/>
      <c r="E62845"/>
      <c r="F62845"/>
    </row>
    <row r="62846" spans="1:6" x14ac:dyDescent="0.25">
      <c r="A62846"/>
      <c r="B62846"/>
      <c r="C62846"/>
      <c r="E62846"/>
      <c r="F62846"/>
    </row>
    <row r="62847" spans="1:6" x14ac:dyDescent="0.25">
      <c r="A62847"/>
      <c r="B62847"/>
      <c r="C62847"/>
      <c r="E62847"/>
      <c r="F62847"/>
    </row>
    <row r="62848" spans="1:6" x14ac:dyDescent="0.25">
      <c r="A62848"/>
      <c r="B62848"/>
      <c r="C62848"/>
      <c r="E62848"/>
      <c r="F62848"/>
    </row>
    <row r="62849" spans="1:6" x14ac:dyDescent="0.25">
      <c r="A62849"/>
      <c r="B62849"/>
      <c r="C62849"/>
      <c r="E62849"/>
      <c r="F62849"/>
    </row>
    <row r="62850" spans="1:6" x14ac:dyDescent="0.25">
      <c r="A62850"/>
      <c r="B62850"/>
      <c r="C62850"/>
      <c r="E62850"/>
      <c r="F62850"/>
    </row>
    <row r="62851" spans="1:6" x14ac:dyDescent="0.25">
      <c r="A62851"/>
      <c r="B62851"/>
      <c r="C62851"/>
      <c r="E62851"/>
      <c r="F62851"/>
    </row>
    <row r="62852" spans="1:6" x14ac:dyDescent="0.25">
      <c r="A62852"/>
      <c r="B62852"/>
      <c r="C62852"/>
      <c r="E62852"/>
      <c r="F62852"/>
    </row>
    <row r="62853" spans="1:6" x14ac:dyDescent="0.25">
      <c r="A62853"/>
      <c r="B62853"/>
      <c r="C62853"/>
      <c r="E62853"/>
      <c r="F62853"/>
    </row>
    <row r="62854" spans="1:6" x14ac:dyDescent="0.25">
      <c r="A62854"/>
      <c r="B62854"/>
      <c r="C62854"/>
      <c r="E62854"/>
      <c r="F62854"/>
    </row>
    <row r="62855" spans="1:6" x14ac:dyDescent="0.25">
      <c r="A62855"/>
      <c r="B62855"/>
      <c r="C62855"/>
      <c r="E62855"/>
      <c r="F62855"/>
    </row>
    <row r="62856" spans="1:6" x14ac:dyDescent="0.25">
      <c r="A62856"/>
      <c r="B62856"/>
      <c r="C62856"/>
      <c r="E62856"/>
      <c r="F62856"/>
    </row>
    <row r="62857" spans="1:6" x14ac:dyDescent="0.25">
      <c r="A62857"/>
      <c r="B62857"/>
      <c r="C62857"/>
      <c r="E62857"/>
      <c r="F62857"/>
    </row>
    <row r="62858" spans="1:6" x14ac:dyDescent="0.25">
      <c r="A62858"/>
      <c r="B62858"/>
      <c r="C62858"/>
      <c r="E62858"/>
      <c r="F62858"/>
    </row>
    <row r="62859" spans="1:6" x14ac:dyDescent="0.25">
      <c r="A62859"/>
      <c r="B62859"/>
      <c r="C62859"/>
      <c r="E62859"/>
      <c r="F62859"/>
    </row>
    <row r="62860" spans="1:6" x14ac:dyDescent="0.25">
      <c r="A62860"/>
      <c r="B62860"/>
      <c r="C62860"/>
      <c r="E62860"/>
      <c r="F62860"/>
    </row>
    <row r="62861" spans="1:6" x14ac:dyDescent="0.25">
      <c r="A62861"/>
      <c r="B62861"/>
      <c r="C62861"/>
      <c r="E62861"/>
      <c r="F62861"/>
    </row>
    <row r="62862" spans="1:6" x14ac:dyDescent="0.25">
      <c r="A62862"/>
      <c r="B62862"/>
      <c r="C62862"/>
      <c r="E62862"/>
      <c r="F62862"/>
    </row>
    <row r="62863" spans="1:6" x14ac:dyDescent="0.25">
      <c r="A62863"/>
      <c r="B62863"/>
      <c r="C62863"/>
      <c r="E62863"/>
      <c r="F62863"/>
    </row>
    <row r="62864" spans="1:6" x14ac:dyDescent="0.25">
      <c r="A62864"/>
      <c r="B62864"/>
      <c r="C62864"/>
      <c r="E62864"/>
      <c r="F62864"/>
    </row>
    <row r="62865" spans="1:6" x14ac:dyDescent="0.25">
      <c r="A62865"/>
      <c r="B62865"/>
      <c r="C62865"/>
      <c r="E62865"/>
      <c r="F62865"/>
    </row>
    <row r="62866" spans="1:6" x14ac:dyDescent="0.25">
      <c r="A62866"/>
      <c r="B62866"/>
      <c r="C62866"/>
      <c r="E62866"/>
      <c r="F62866"/>
    </row>
    <row r="62867" spans="1:6" x14ac:dyDescent="0.25">
      <c r="A62867"/>
      <c r="B62867"/>
      <c r="C62867"/>
      <c r="E62867"/>
      <c r="F62867"/>
    </row>
    <row r="62868" spans="1:6" x14ac:dyDescent="0.25">
      <c r="A62868"/>
      <c r="B62868"/>
      <c r="C62868"/>
      <c r="E62868"/>
      <c r="F62868"/>
    </row>
    <row r="62869" spans="1:6" x14ac:dyDescent="0.25">
      <c r="A62869"/>
      <c r="B62869"/>
      <c r="C62869"/>
      <c r="E62869"/>
      <c r="F62869"/>
    </row>
    <row r="62870" spans="1:6" x14ac:dyDescent="0.25">
      <c r="A62870"/>
      <c r="B62870"/>
      <c r="C62870"/>
      <c r="E62870"/>
      <c r="F62870"/>
    </row>
    <row r="62871" spans="1:6" x14ac:dyDescent="0.25">
      <c r="A62871"/>
      <c r="B62871"/>
      <c r="C62871"/>
      <c r="E62871"/>
      <c r="F62871"/>
    </row>
    <row r="62872" spans="1:6" x14ac:dyDescent="0.25">
      <c r="A62872"/>
      <c r="B62872"/>
      <c r="C62872"/>
      <c r="E62872"/>
      <c r="F62872"/>
    </row>
    <row r="62873" spans="1:6" x14ac:dyDescent="0.25">
      <c r="A62873"/>
      <c r="B62873"/>
      <c r="C62873"/>
      <c r="E62873"/>
      <c r="F62873"/>
    </row>
    <row r="62874" spans="1:6" x14ac:dyDescent="0.25">
      <c r="A62874"/>
      <c r="B62874"/>
      <c r="C62874"/>
      <c r="E62874"/>
      <c r="F62874"/>
    </row>
    <row r="62875" spans="1:6" x14ac:dyDescent="0.25">
      <c r="A62875"/>
      <c r="B62875"/>
      <c r="C62875"/>
      <c r="E62875"/>
      <c r="F62875"/>
    </row>
    <row r="62876" spans="1:6" x14ac:dyDescent="0.25">
      <c r="A62876"/>
      <c r="B62876"/>
      <c r="C62876"/>
      <c r="E62876"/>
      <c r="F62876"/>
    </row>
    <row r="62877" spans="1:6" x14ac:dyDescent="0.25">
      <c r="A62877"/>
      <c r="B62877"/>
      <c r="C62877"/>
      <c r="E62877"/>
      <c r="F62877"/>
    </row>
    <row r="62878" spans="1:6" x14ac:dyDescent="0.25">
      <c r="A62878"/>
      <c r="B62878"/>
      <c r="C62878"/>
      <c r="E62878"/>
      <c r="F62878"/>
    </row>
    <row r="62879" spans="1:6" x14ac:dyDescent="0.25">
      <c r="A62879"/>
      <c r="B62879"/>
      <c r="C62879"/>
      <c r="E62879"/>
      <c r="F62879"/>
    </row>
    <row r="62880" spans="1:6" x14ac:dyDescent="0.25">
      <c r="A62880"/>
      <c r="B62880"/>
      <c r="C62880"/>
      <c r="E62880"/>
      <c r="F62880"/>
    </row>
    <row r="62881" spans="1:6" x14ac:dyDescent="0.25">
      <c r="A62881"/>
      <c r="B62881"/>
      <c r="C62881"/>
      <c r="E62881"/>
      <c r="F62881"/>
    </row>
    <row r="62882" spans="1:6" x14ac:dyDescent="0.25">
      <c r="A62882"/>
      <c r="B62882"/>
      <c r="C62882"/>
      <c r="E62882"/>
      <c r="F62882"/>
    </row>
    <row r="62883" spans="1:6" x14ac:dyDescent="0.25">
      <c r="A62883"/>
      <c r="B62883"/>
      <c r="C62883"/>
      <c r="E62883"/>
      <c r="F62883"/>
    </row>
    <row r="62884" spans="1:6" x14ac:dyDescent="0.25">
      <c r="A62884"/>
      <c r="B62884"/>
      <c r="C62884"/>
      <c r="E62884"/>
      <c r="F62884"/>
    </row>
    <row r="62885" spans="1:6" x14ac:dyDescent="0.25">
      <c r="A62885"/>
      <c r="B62885"/>
      <c r="C62885"/>
      <c r="E62885"/>
      <c r="F62885"/>
    </row>
    <row r="62886" spans="1:6" x14ac:dyDescent="0.25">
      <c r="A62886"/>
      <c r="B62886"/>
      <c r="C62886"/>
      <c r="E62886"/>
      <c r="F62886"/>
    </row>
    <row r="62887" spans="1:6" x14ac:dyDescent="0.25">
      <c r="A62887"/>
      <c r="B62887"/>
      <c r="C62887"/>
      <c r="E62887"/>
      <c r="F62887"/>
    </row>
    <row r="62888" spans="1:6" x14ac:dyDescent="0.25">
      <c r="A62888"/>
      <c r="B62888"/>
      <c r="C62888"/>
      <c r="E62888"/>
      <c r="F62888"/>
    </row>
    <row r="62889" spans="1:6" x14ac:dyDescent="0.25">
      <c r="A62889"/>
      <c r="B62889"/>
      <c r="C62889"/>
      <c r="E62889"/>
      <c r="F62889"/>
    </row>
    <row r="62890" spans="1:6" x14ac:dyDescent="0.25">
      <c r="A62890"/>
      <c r="B62890"/>
      <c r="C62890"/>
      <c r="E62890"/>
      <c r="F62890"/>
    </row>
    <row r="62891" spans="1:6" x14ac:dyDescent="0.25">
      <c r="A62891"/>
      <c r="B62891"/>
      <c r="C62891"/>
      <c r="E62891"/>
      <c r="F62891"/>
    </row>
    <row r="62892" spans="1:6" x14ac:dyDescent="0.25">
      <c r="A62892"/>
      <c r="B62892"/>
      <c r="C62892"/>
      <c r="E62892"/>
      <c r="F62892"/>
    </row>
    <row r="62893" spans="1:6" x14ac:dyDescent="0.25">
      <c r="A62893"/>
      <c r="B62893"/>
      <c r="C62893"/>
      <c r="E62893"/>
      <c r="F62893"/>
    </row>
    <row r="62894" spans="1:6" x14ac:dyDescent="0.25">
      <c r="A62894"/>
      <c r="B62894"/>
      <c r="C62894"/>
      <c r="E62894"/>
      <c r="F62894"/>
    </row>
    <row r="62895" spans="1:6" x14ac:dyDescent="0.25">
      <c r="A62895"/>
      <c r="B62895"/>
      <c r="C62895"/>
      <c r="E62895"/>
      <c r="F62895"/>
    </row>
    <row r="62896" spans="1:6" x14ac:dyDescent="0.25">
      <c r="A62896"/>
      <c r="B62896"/>
      <c r="C62896"/>
      <c r="E62896"/>
      <c r="F62896"/>
    </row>
    <row r="62897" spans="1:6" x14ac:dyDescent="0.25">
      <c r="A62897"/>
      <c r="B62897"/>
      <c r="C62897"/>
      <c r="E62897"/>
      <c r="F62897"/>
    </row>
    <row r="62898" spans="1:6" x14ac:dyDescent="0.25">
      <c r="A62898"/>
      <c r="B62898"/>
      <c r="C62898"/>
      <c r="E62898"/>
      <c r="F62898"/>
    </row>
    <row r="62899" spans="1:6" x14ac:dyDescent="0.25">
      <c r="A62899"/>
      <c r="B62899"/>
      <c r="C62899"/>
      <c r="E62899"/>
      <c r="F62899"/>
    </row>
    <row r="62900" spans="1:6" x14ac:dyDescent="0.25">
      <c r="A62900"/>
      <c r="B62900"/>
      <c r="C62900"/>
      <c r="E62900"/>
      <c r="F62900"/>
    </row>
    <row r="62901" spans="1:6" x14ac:dyDescent="0.25">
      <c r="A62901"/>
      <c r="B62901"/>
      <c r="C62901"/>
      <c r="E62901"/>
      <c r="F62901"/>
    </row>
    <row r="62902" spans="1:6" x14ac:dyDescent="0.25">
      <c r="A62902"/>
      <c r="B62902"/>
      <c r="C62902"/>
      <c r="E62902"/>
      <c r="F62902"/>
    </row>
    <row r="62903" spans="1:6" x14ac:dyDescent="0.25">
      <c r="A62903"/>
      <c r="B62903"/>
      <c r="C62903"/>
      <c r="E62903"/>
      <c r="F62903"/>
    </row>
    <row r="62904" spans="1:6" x14ac:dyDescent="0.25">
      <c r="A62904"/>
      <c r="B62904"/>
      <c r="C62904"/>
      <c r="E62904"/>
      <c r="F62904"/>
    </row>
    <row r="62905" spans="1:6" x14ac:dyDescent="0.25">
      <c r="A62905"/>
      <c r="B62905"/>
      <c r="C62905"/>
      <c r="E62905"/>
      <c r="F62905"/>
    </row>
    <row r="62906" spans="1:6" x14ac:dyDescent="0.25">
      <c r="A62906"/>
      <c r="B62906"/>
      <c r="C62906"/>
      <c r="E62906"/>
      <c r="F62906"/>
    </row>
    <row r="62907" spans="1:6" x14ac:dyDescent="0.25">
      <c r="A62907"/>
      <c r="B62907"/>
      <c r="C62907"/>
      <c r="E62907"/>
      <c r="F62907"/>
    </row>
    <row r="62908" spans="1:6" x14ac:dyDescent="0.25">
      <c r="A62908"/>
      <c r="B62908"/>
      <c r="C62908"/>
      <c r="E62908"/>
      <c r="F62908"/>
    </row>
    <row r="62909" spans="1:6" x14ac:dyDescent="0.25">
      <c r="A62909"/>
      <c r="B62909"/>
      <c r="C62909"/>
      <c r="E62909"/>
      <c r="F62909"/>
    </row>
    <row r="62910" spans="1:6" x14ac:dyDescent="0.25">
      <c r="A62910"/>
      <c r="B62910"/>
      <c r="C62910"/>
      <c r="E62910"/>
      <c r="F62910"/>
    </row>
    <row r="62911" spans="1:6" x14ac:dyDescent="0.25">
      <c r="A62911"/>
      <c r="B62911"/>
      <c r="C62911"/>
      <c r="E62911"/>
      <c r="F62911"/>
    </row>
    <row r="62912" spans="1:6" x14ac:dyDescent="0.25">
      <c r="A62912"/>
      <c r="B62912"/>
      <c r="C62912"/>
      <c r="E62912"/>
      <c r="F62912"/>
    </row>
    <row r="62913" spans="1:6" x14ac:dyDescent="0.25">
      <c r="A62913"/>
      <c r="B62913"/>
      <c r="C62913"/>
      <c r="E62913"/>
      <c r="F62913"/>
    </row>
    <row r="62914" spans="1:6" x14ac:dyDescent="0.25">
      <c r="A62914"/>
      <c r="B62914"/>
      <c r="C62914"/>
      <c r="E62914"/>
      <c r="F62914"/>
    </row>
    <row r="62915" spans="1:6" x14ac:dyDescent="0.25">
      <c r="A62915"/>
      <c r="B62915"/>
      <c r="C62915"/>
      <c r="E62915"/>
      <c r="F62915"/>
    </row>
    <row r="62916" spans="1:6" x14ac:dyDescent="0.25">
      <c r="A62916"/>
      <c r="B62916"/>
      <c r="C62916"/>
      <c r="E62916"/>
      <c r="F62916"/>
    </row>
    <row r="62917" spans="1:6" x14ac:dyDescent="0.25">
      <c r="A62917"/>
      <c r="B62917"/>
      <c r="C62917"/>
      <c r="E62917"/>
      <c r="F62917"/>
    </row>
    <row r="62918" spans="1:6" x14ac:dyDescent="0.25">
      <c r="A62918"/>
      <c r="B62918"/>
      <c r="C62918"/>
      <c r="E62918"/>
      <c r="F62918"/>
    </row>
    <row r="62919" spans="1:6" x14ac:dyDescent="0.25">
      <c r="A62919"/>
      <c r="B62919"/>
      <c r="C62919"/>
      <c r="E62919"/>
      <c r="F62919"/>
    </row>
    <row r="62920" spans="1:6" x14ac:dyDescent="0.25">
      <c r="A62920"/>
      <c r="B62920"/>
      <c r="C62920"/>
      <c r="E62920"/>
      <c r="F62920"/>
    </row>
    <row r="62921" spans="1:6" x14ac:dyDescent="0.25">
      <c r="A62921"/>
      <c r="B62921"/>
      <c r="C62921"/>
      <c r="E62921"/>
      <c r="F62921"/>
    </row>
    <row r="62922" spans="1:6" x14ac:dyDescent="0.25">
      <c r="A62922"/>
      <c r="B62922"/>
      <c r="C62922"/>
      <c r="E62922"/>
      <c r="F62922"/>
    </row>
    <row r="62923" spans="1:6" x14ac:dyDescent="0.25">
      <c r="A62923"/>
      <c r="B62923"/>
      <c r="C62923"/>
      <c r="E62923"/>
      <c r="F62923"/>
    </row>
    <row r="62924" spans="1:6" x14ac:dyDescent="0.25">
      <c r="A62924"/>
      <c r="B62924"/>
      <c r="C62924"/>
      <c r="E62924"/>
      <c r="F62924"/>
    </row>
    <row r="62925" spans="1:6" x14ac:dyDescent="0.25">
      <c r="A62925"/>
      <c r="B62925"/>
      <c r="C62925"/>
      <c r="E62925"/>
      <c r="F62925"/>
    </row>
    <row r="62926" spans="1:6" x14ac:dyDescent="0.25">
      <c r="A62926"/>
      <c r="B62926"/>
      <c r="C62926"/>
      <c r="E62926"/>
      <c r="F62926"/>
    </row>
    <row r="62927" spans="1:6" x14ac:dyDescent="0.25">
      <c r="A62927"/>
      <c r="B62927"/>
      <c r="C62927"/>
      <c r="E62927"/>
      <c r="F62927"/>
    </row>
    <row r="62928" spans="1:6" x14ac:dyDescent="0.25">
      <c r="A62928"/>
      <c r="B62928"/>
      <c r="C62928"/>
      <c r="E62928"/>
      <c r="F62928"/>
    </row>
    <row r="62929" spans="1:6" x14ac:dyDescent="0.25">
      <c r="A62929"/>
      <c r="B62929"/>
      <c r="C62929"/>
      <c r="E62929"/>
      <c r="F62929"/>
    </row>
    <row r="62930" spans="1:6" x14ac:dyDescent="0.25">
      <c r="A62930"/>
      <c r="B62930"/>
      <c r="C62930"/>
      <c r="E62930"/>
      <c r="F62930"/>
    </row>
    <row r="62931" spans="1:6" x14ac:dyDescent="0.25">
      <c r="A62931"/>
      <c r="B62931"/>
      <c r="C62931"/>
      <c r="E62931"/>
      <c r="F62931"/>
    </row>
    <row r="62932" spans="1:6" x14ac:dyDescent="0.25">
      <c r="A62932"/>
      <c r="B62932"/>
      <c r="C62932"/>
      <c r="E62932"/>
      <c r="F62932"/>
    </row>
    <row r="62933" spans="1:6" x14ac:dyDescent="0.25">
      <c r="A62933"/>
      <c r="B62933"/>
      <c r="C62933"/>
      <c r="E62933"/>
      <c r="F62933"/>
    </row>
    <row r="62934" spans="1:6" x14ac:dyDescent="0.25">
      <c r="A62934"/>
      <c r="B62934"/>
      <c r="C62934"/>
      <c r="E62934"/>
      <c r="F62934"/>
    </row>
    <row r="62935" spans="1:6" x14ac:dyDescent="0.25">
      <c r="A62935"/>
      <c r="B62935"/>
      <c r="C62935"/>
      <c r="E62935"/>
      <c r="F62935"/>
    </row>
    <row r="62936" spans="1:6" x14ac:dyDescent="0.25">
      <c r="A62936"/>
      <c r="B62936"/>
      <c r="C62936"/>
      <c r="E62936"/>
      <c r="F62936"/>
    </row>
    <row r="62937" spans="1:6" x14ac:dyDescent="0.25">
      <c r="A62937"/>
      <c r="B62937"/>
      <c r="C62937"/>
      <c r="E62937"/>
      <c r="F62937"/>
    </row>
    <row r="62938" spans="1:6" x14ac:dyDescent="0.25">
      <c r="A62938"/>
      <c r="B62938"/>
      <c r="C62938"/>
      <c r="E62938"/>
      <c r="F62938"/>
    </row>
    <row r="62939" spans="1:6" x14ac:dyDescent="0.25">
      <c r="A62939"/>
      <c r="B62939"/>
      <c r="C62939"/>
      <c r="E62939"/>
      <c r="F62939"/>
    </row>
    <row r="62940" spans="1:6" x14ac:dyDescent="0.25">
      <c r="A62940"/>
      <c r="B62940"/>
      <c r="C62940"/>
      <c r="E62940"/>
      <c r="F62940"/>
    </row>
    <row r="62941" spans="1:6" x14ac:dyDescent="0.25">
      <c r="A62941"/>
      <c r="B62941"/>
      <c r="C62941"/>
      <c r="E62941"/>
      <c r="F62941"/>
    </row>
    <row r="62942" spans="1:6" x14ac:dyDescent="0.25">
      <c r="A62942"/>
      <c r="B62942"/>
      <c r="C62942"/>
      <c r="E62942"/>
      <c r="F62942"/>
    </row>
    <row r="62943" spans="1:6" x14ac:dyDescent="0.25">
      <c r="A62943"/>
      <c r="B62943"/>
      <c r="C62943"/>
      <c r="E62943"/>
      <c r="F62943"/>
    </row>
    <row r="62944" spans="1:6" x14ac:dyDescent="0.25">
      <c r="A62944"/>
      <c r="B62944"/>
      <c r="C62944"/>
      <c r="E62944"/>
      <c r="F62944"/>
    </row>
    <row r="62945" spans="1:6" x14ac:dyDescent="0.25">
      <c r="A62945"/>
      <c r="B62945"/>
      <c r="C62945"/>
      <c r="E62945"/>
      <c r="F62945"/>
    </row>
    <row r="62946" spans="1:6" x14ac:dyDescent="0.25">
      <c r="A62946"/>
      <c r="B62946"/>
      <c r="C62946"/>
      <c r="E62946"/>
      <c r="F62946"/>
    </row>
    <row r="62947" spans="1:6" x14ac:dyDescent="0.25">
      <c r="A62947"/>
      <c r="B62947"/>
      <c r="C62947"/>
      <c r="E62947"/>
      <c r="F62947"/>
    </row>
    <row r="62948" spans="1:6" x14ac:dyDescent="0.25">
      <c r="A62948"/>
      <c r="B62948"/>
      <c r="C62948"/>
      <c r="E62948"/>
      <c r="F62948"/>
    </row>
    <row r="62949" spans="1:6" x14ac:dyDescent="0.25">
      <c r="A62949"/>
      <c r="B62949"/>
      <c r="C62949"/>
      <c r="E62949"/>
      <c r="F62949"/>
    </row>
    <row r="62950" spans="1:6" x14ac:dyDescent="0.25">
      <c r="A62950"/>
      <c r="B62950"/>
      <c r="C62950"/>
      <c r="E62950"/>
      <c r="F62950"/>
    </row>
    <row r="62951" spans="1:6" x14ac:dyDescent="0.25">
      <c r="A62951"/>
      <c r="B62951"/>
      <c r="C62951"/>
      <c r="E62951"/>
      <c r="F62951"/>
    </row>
    <row r="62952" spans="1:6" x14ac:dyDescent="0.25">
      <c r="A62952"/>
      <c r="B62952"/>
      <c r="C62952"/>
      <c r="E62952"/>
      <c r="F62952"/>
    </row>
    <row r="62953" spans="1:6" x14ac:dyDescent="0.25">
      <c r="A62953"/>
      <c r="B62953"/>
      <c r="C62953"/>
      <c r="E62953"/>
      <c r="F62953"/>
    </row>
    <row r="62954" spans="1:6" x14ac:dyDescent="0.25">
      <c r="A62954"/>
      <c r="B62954"/>
      <c r="C62954"/>
      <c r="E62954"/>
      <c r="F62954"/>
    </row>
    <row r="62955" spans="1:6" x14ac:dyDescent="0.25">
      <c r="A62955"/>
      <c r="B62955"/>
      <c r="C62955"/>
      <c r="E62955"/>
      <c r="F62955"/>
    </row>
    <row r="62956" spans="1:6" x14ac:dyDescent="0.25">
      <c r="A62956"/>
      <c r="B62956"/>
      <c r="C62956"/>
      <c r="E62956"/>
      <c r="F62956"/>
    </row>
    <row r="62957" spans="1:6" x14ac:dyDescent="0.25">
      <c r="A62957"/>
      <c r="B62957"/>
      <c r="C62957"/>
      <c r="E62957"/>
      <c r="F62957"/>
    </row>
    <row r="62958" spans="1:6" x14ac:dyDescent="0.25">
      <c r="A62958"/>
      <c r="B62958"/>
      <c r="C62958"/>
      <c r="E62958"/>
      <c r="F62958"/>
    </row>
    <row r="62959" spans="1:6" x14ac:dyDescent="0.25">
      <c r="A62959"/>
      <c r="B62959"/>
      <c r="C62959"/>
      <c r="E62959"/>
      <c r="F62959"/>
    </row>
    <row r="62960" spans="1:6" x14ac:dyDescent="0.25">
      <c r="A62960"/>
      <c r="B62960"/>
      <c r="C62960"/>
      <c r="E62960"/>
      <c r="F62960"/>
    </row>
    <row r="62961" spans="1:6" x14ac:dyDescent="0.25">
      <c r="A62961"/>
      <c r="B62961"/>
      <c r="C62961"/>
      <c r="E62961"/>
      <c r="F62961"/>
    </row>
    <row r="62962" spans="1:6" x14ac:dyDescent="0.25">
      <c r="A62962"/>
      <c r="B62962"/>
      <c r="C62962"/>
      <c r="E62962"/>
      <c r="F62962"/>
    </row>
    <row r="62963" spans="1:6" x14ac:dyDescent="0.25">
      <c r="A62963"/>
      <c r="B62963"/>
      <c r="C62963"/>
      <c r="E62963"/>
      <c r="F62963"/>
    </row>
    <row r="62964" spans="1:6" x14ac:dyDescent="0.25">
      <c r="A62964"/>
      <c r="B62964"/>
      <c r="C62964"/>
      <c r="E62964"/>
      <c r="F62964"/>
    </row>
    <row r="62965" spans="1:6" x14ac:dyDescent="0.25">
      <c r="A62965"/>
      <c r="B62965"/>
      <c r="C62965"/>
      <c r="E62965"/>
      <c r="F62965"/>
    </row>
    <row r="62966" spans="1:6" x14ac:dyDescent="0.25">
      <c r="A62966"/>
      <c r="B62966"/>
      <c r="C62966"/>
      <c r="E62966"/>
      <c r="F62966"/>
    </row>
    <row r="62967" spans="1:6" x14ac:dyDescent="0.25">
      <c r="A62967"/>
      <c r="B62967"/>
      <c r="C62967"/>
      <c r="E62967"/>
      <c r="F62967"/>
    </row>
    <row r="62968" spans="1:6" x14ac:dyDescent="0.25">
      <c r="A62968"/>
      <c r="B62968"/>
      <c r="C62968"/>
      <c r="E62968"/>
      <c r="F62968"/>
    </row>
    <row r="62969" spans="1:6" x14ac:dyDescent="0.25">
      <c r="A62969"/>
      <c r="B62969"/>
      <c r="C62969"/>
      <c r="E62969"/>
      <c r="F62969"/>
    </row>
    <row r="62970" spans="1:6" x14ac:dyDescent="0.25">
      <c r="A62970"/>
      <c r="B62970"/>
      <c r="C62970"/>
      <c r="E62970"/>
      <c r="F62970"/>
    </row>
    <row r="62971" spans="1:6" x14ac:dyDescent="0.25">
      <c r="A62971"/>
      <c r="B62971"/>
      <c r="C62971"/>
      <c r="E62971"/>
      <c r="F62971"/>
    </row>
    <row r="62972" spans="1:6" x14ac:dyDescent="0.25">
      <c r="A62972"/>
      <c r="B62972"/>
      <c r="C62972"/>
      <c r="E62972"/>
      <c r="F62972"/>
    </row>
    <row r="62973" spans="1:6" x14ac:dyDescent="0.25">
      <c r="A62973"/>
      <c r="B62973"/>
      <c r="C62973"/>
      <c r="E62973"/>
      <c r="F62973"/>
    </row>
    <row r="62974" spans="1:6" x14ac:dyDescent="0.25">
      <c r="A62974"/>
      <c r="B62974"/>
      <c r="C62974"/>
      <c r="E62974"/>
      <c r="F62974"/>
    </row>
    <row r="62975" spans="1:6" x14ac:dyDescent="0.25">
      <c r="A62975"/>
      <c r="B62975"/>
      <c r="C62975"/>
      <c r="E62975"/>
      <c r="F62975"/>
    </row>
    <row r="62976" spans="1:6" x14ac:dyDescent="0.25">
      <c r="A62976"/>
      <c r="B62976"/>
      <c r="C62976"/>
      <c r="E62976"/>
      <c r="F62976"/>
    </row>
    <row r="62977" spans="1:6" x14ac:dyDescent="0.25">
      <c r="A62977"/>
      <c r="B62977"/>
      <c r="C62977"/>
      <c r="E62977"/>
      <c r="F62977"/>
    </row>
    <row r="62978" spans="1:6" x14ac:dyDescent="0.25">
      <c r="A62978"/>
      <c r="B62978"/>
      <c r="C62978"/>
      <c r="E62978"/>
      <c r="F62978"/>
    </row>
    <row r="62979" spans="1:6" x14ac:dyDescent="0.25">
      <c r="A62979"/>
      <c r="B62979"/>
      <c r="C62979"/>
      <c r="E62979"/>
      <c r="F62979"/>
    </row>
    <row r="62980" spans="1:6" x14ac:dyDescent="0.25">
      <c r="A62980"/>
      <c r="B62980"/>
      <c r="C62980"/>
      <c r="E62980"/>
      <c r="F62980"/>
    </row>
    <row r="62981" spans="1:6" x14ac:dyDescent="0.25">
      <c r="A62981"/>
      <c r="B62981"/>
      <c r="C62981"/>
      <c r="E62981"/>
      <c r="F62981"/>
    </row>
    <row r="62982" spans="1:6" x14ac:dyDescent="0.25">
      <c r="A62982"/>
      <c r="B62982"/>
      <c r="C62982"/>
      <c r="E62982"/>
      <c r="F62982"/>
    </row>
    <row r="62983" spans="1:6" x14ac:dyDescent="0.25">
      <c r="A62983"/>
      <c r="B62983"/>
      <c r="C62983"/>
      <c r="E62983"/>
      <c r="F62983"/>
    </row>
    <row r="62984" spans="1:6" x14ac:dyDescent="0.25">
      <c r="A62984"/>
      <c r="B62984"/>
      <c r="C62984"/>
      <c r="E62984"/>
      <c r="F62984"/>
    </row>
    <row r="62985" spans="1:6" x14ac:dyDescent="0.25">
      <c r="A62985"/>
      <c r="B62985"/>
      <c r="C62985"/>
      <c r="E62985"/>
      <c r="F62985"/>
    </row>
    <row r="62986" spans="1:6" x14ac:dyDescent="0.25">
      <c r="A62986"/>
      <c r="B62986"/>
      <c r="C62986"/>
      <c r="E62986"/>
      <c r="F62986"/>
    </row>
    <row r="62987" spans="1:6" x14ac:dyDescent="0.25">
      <c r="A62987"/>
      <c r="B62987"/>
      <c r="C62987"/>
      <c r="E62987"/>
      <c r="F62987"/>
    </row>
    <row r="62988" spans="1:6" x14ac:dyDescent="0.25">
      <c r="A62988"/>
      <c r="B62988"/>
      <c r="C62988"/>
      <c r="E62988"/>
      <c r="F62988"/>
    </row>
    <row r="62989" spans="1:6" x14ac:dyDescent="0.25">
      <c r="A62989"/>
      <c r="B62989"/>
      <c r="C62989"/>
      <c r="E62989"/>
      <c r="F62989"/>
    </row>
    <row r="62990" spans="1:6" x14ac:dyDescent="0.25">
      <c r="A62990"/>
      <c r="B62990"/>
      <c r="C62990"/>
      <c r="E62990"/>
      <c r="F62990"/>
    </row>
    <row r="62991" spans="1:6" x14ac:dyDescent="0.25">
      <c r="A62991"/>
      <c r="B62991"/>
      <c r="C62991"/>
      <c r="E62991"/>
      <c r="F62991"/>
    </row>
    <row r="62992" spans="1:6" x14ac:dyDescent="0.25">
      <c r="A62992"/>
      <c r="B62992"/>
      <c r="C62992"/>
      <c r="E62992"/>
      <c r="F62992"/>
    </row>
    <row r="62993" spans="1:6" x14ac:dyDescent="0.25">
      <c r="A62993"/>
      <c r="B62993"/>
      <c r="C62993"/>
      <c r="E62993"/>
      <c r="F62993"/>
    </row>
    <row r="62994" spans="1:6" x14ac:dyDescent="0.25">
      <c r="A62994"/>
      <c r="B62994"/>
      <c r="C62994"/>
      <c r="E62994"/>
      <c r="F62994"/>
    </row>
    <row r="62995" spans="1:6" x14ac:dyDescent="0.25">
      <c r="A62995"/>
      <c r="B62995"/>
      <c r="C62995"/>
      <c r="E62995"/>
      <c r="F62995"/>
    </row>
    <row r="62996" spans="1:6" x14ac:dyDescent="0.25">
      <c r="A62996"/>
      <c r="B62996"/>
      <c r="C62996"/>
      <c r="E62996"/>
      <c r="F62996"/>
    </row>
    <row r="62997" spans="1:6" x14ac:dyDescent="0.25">
      <c r="A62997"/>
      <c r="B62997"/>
      <c r="C62997"/>
      <c r="E62997"/>
      <c r="F62997"/>
    </row>
    <row r="62998" spans="1:6" x14ac:dyDescent="0.25">
      <c r="A62998"/>
      <c r="B62998"/>
      <c r="C62998"/>
      <c r="E62998"/>
      <c r="F62998"/>
    </row>
    <row r="62999" spans="1:6" x14ac:dyDescent="0.25">
      <c r="A62999"/>
      <c r="B62999"/>
      <c r="C62999"/>
      <c r="E62999"/>
      <c r="F62999"/>
    </row>
    <row r="63000" spans="1:6" x14ac:dyDescent="0.25">
      <c r="A63000"/>
      <c r="B63000"/>
      <c r="C63000"/>
      <c r="E63000"/>
      <c r="F63000"/>
    </row>
    <row r="63001" spans="1:6" x14ac:dyDescent="0.25">
      <c r="A63001"/>
      <c r="B63001"/>
      <c r="C63001"/>
      <c r="E63001"/>
      <c r="F63001"/>
    </row>
    <row r="63002" spans="1:6" x14ac:dyDescent="0.25">
      <c r="A63002"/>
      <c r="B63002"/>
      <c r="C63002"/>
      <c r="E63002"/>
      <c r="F63002"/>
    </row>
    <row r="63003" spans="1:6" x14ac:dyDescent="0.25">
      <c r="A63003"/>
      <c r="B63003"/>
      <c r="C63003"/>
      <c r="E63003"/>
      <c r="F63003"/>
    </row>
    <row r="63004" spans="1:6" x14ac:dyDescent="0.25">
      <c r="A63004"/>
      <c r="B63004"/>
      <c r="C63004"/>
      <c r="E63004"/>
      <c r="F63004"/>
    </row>
    <row r="63005" spans="1:6" x14ac:dyDescent="0.25">
      <c r="A63005"/>
      <c r="B63005"/>
      <c r="C63005"/>
      <c r="E63005"/>
      <c r="F63005"/>
    </row>
    <row r="63006" spans="1:6" x14ac:dyDescent="0.25">
      <c r="A63006"/>
      <c r="B63006"/>
      <c r="C63006"/>
      <c r="E63006"/>
      <c r="F63006"/>
    </row>
    <row r="63007" spans="1:6" x14ac:dyDescent="0.25">
      <c r="A63007"/>
      <c r="B63007"/>
      <c r="C63007"/>
      <c r="E63007"/>
      <c r="F63007"/>
    </row>
    <row r="63008" spans="1:6" x14ac:dyDescent="0.25">
      <c r="A63008"/>
      <c r="B63008"/>
      <c r="C63008"/>
      <c r="E63008"/>
      <c r="F63008"/>
    </row>
    <row r="63009" spans="1:6" x14ac:dyDescent="0.25">
      <c r="A63009"/>
      <c r="B63009"/>
      <c r="C63009"/>
      <c r="E63009"/>
      <c r="F63009"/>
    </row>
    <row r="63010" spans="1:6" x14ac:dyDescent="0.25">
      <c r="A63010"/>
      <c r="B63010"/>
      <c r="C63010"/>
      <c r="E63010"/>
      <c r="F63010"/>
    </row>
    <row r="63011" spans="1:6" x14ac:dyDescent="0.25">
      <c r="A63011"/>
      <c r="B63011"/>
      <c r="C63011"/>
      <c r="E63011"/>
      <c r="F63011"/>
    </row>
    <row r="63012" spans="1:6" x14ac:dyDescent="0.25">
      <c r="A63012"/>
      <c r="B63012"/>
      <c r="C63012"/>
      <c r="E63012"/>
      <c r="F63012"/>
    </row>
    <row r="63013" spans="1:6" x14ac:dyDescent="0.25">
      <c r="A63013"/>
      <c r="B63013"/>
      <c r="C63013"/>
      <c r="E63013"/>
      <c r="F63013"/>
    </row>
    <row r="63014" spans="1:6" x14ac:dyDescent="0.25">
      <c r="A63014"/>
      <c r="B63014"/>
      <c r="C63014"/>
      <c r="E63014"/>
      <c r="F63014"/>
    </row>
    <row r="63015" spans="1:6" x14ac:dyDescent="0.25">
      <c r="A63015"/>
      <c r="B63015"/>
      <c r="C63015"/>
      <c r="E63015"/>
      <c r="F63015"/>
    </row>
    <row r="63016" spans="1:6" x14ac:dyDescent="0.25">
      <c r="A63016"/>
      <c r="B63016"/>
      <c r="C63016"/>
      <c r="E63016"/>
      <c r="F63016"/>
    </row>
    <row r="63017" spans="1:6" x14ac:dyDescent="0.25">
      <c r="A63017"/>
      <c r="B63017"/>
      <c r="C63017"/>
      <c r="E63017"/>
      <c r="F63017"/>
    </row>
    <row r="63018" spans="1:6" x14ac:dyDescent="0.25">
      <c r="A63018"/>
      <c r="B63018"/>
      <c r="C63018"/>
      <c r="E63018"/>
      <c r="F63018"/>
    </row>
    <row r="63019" spans="1:6" x14ac:dyDescent="0.25">
      <c r="A63019"/>
      <c r="B63019"/>
      <c r="C63019"/>
      <c r="E63019"/>
      <c r="F63019"/>
    </row>
    <row r="63020" spans="1:6" x14ac:dyDescent="0.25">
      <c r="A63020"/>
      <c r="B63020"/>
      <c r="C63020"/>
      <c r="E63020"/>
      <c r="F63020"/>
    </row>
    <row r="63021" spans="1:6" x14ac:dyDescent="0.25">
      <c r="A63021"/>
      <c r="B63021"/>
      <c r="C63021"/>
      <c r="E63021"/>
      <c r="F63021"/>
    </row>
    <row r="63022" spans="1:6" x14ac:dyDescent="0.25">
      <c r="A63022"/>
      <c r="B63022"/>
      <c r="C63022"/>
      <c r="E63022"/>
      <c r="F63022"/>
    </row>
    <row r="63023" spans="1:6" x14ac:dyDescent="0.25">
      <c r="A63023"/>
      <c r="B63023"/>
      <c r="C63023"/>
      <c r="E63023"/>
      <c r="F63023"/>
    </row>
    <row r="63024" spans="1:6" x14ac:dyDescent="0.25">
      <c r="A63024"/>
      <c r="B63024"/>
      <c r="C63024"/>
      <c r="E63024"/>
      <c r="F63024"/>
    </row>
    <row r="63025" spans="1:6" x14ac:dyDescent="0.25">
      <c r="A63025"/>
      <c r="B63025"/>
      <c r="C63025"/>
      <c r="E63025"/>
      <c r="F63025"/>
    </row>
    <row r="63026" spans="1:6" x14ac:dyDescent="0.25">
      <c r="A63026"/>
      <c r="B63026"/>
      <c r="C63026"/>
      <c r="E63026"/>
      <c r="F63026"/>
    </row>
    <row r="63027" spans="1:6" x14ac:dyDescent="0.25">
      <c r="A63027"/>
      <c r="B63027"/>
      <c r="C63027"/>
      <c r="E63027"/>
      <c r="F63027"/>
    </row>
    <row r="63028" spans="1:6" x14ac:dyDescent="0.25">
      <c r="A63028"/>
      <c r="B63028"/>
      <c r="C63028"/>
      <c r="E63028"/>
      <c r="F63028"/>
    </row>
    <row r="63029" spans="1:6" x14ac:dyDescent="0.25">
      <c r="A63029"/>
      <c r="B63029"/>
      <c r="C63029"/>
      <c r="E63029"/>
      <c r="F63029"/>
    </row>
    <row r="63030" spans="1:6" x14ac:dyDescent="0.25">
      <c r="A63030"/>
      <c r="B63030"/>
      <c r="C63030"/>
      <c r="E63030"/>
      <c r="F63030"/>
    </row>
    <row r="63031" spans="1:6" x14ac:dyDescent="0.25">
      <c r="A63031"/>
      <c r="B63031"/>
      <c r="C63031"/>
      <c r="E63031"/>
      <c r="F63031"/>
    </row>
    <row r="63032" spans="1:6" x14ac:dyDescent="0.25">
      <c r="A63032"/>
      <c r="B63032"/>
      <c r="C63032"/>
      <c r="E63032"/>
      <c r="F63032"/>
    </row>
    <row r="63033" spans="1:6" x14ac:dyDescent="0.25">
      <c r="A63033"/>
      <c r="B63033"/>
      <c r="C63033"/>
      <c r="E63033"/>
      <c r="F63033"/>
    </row>
    <row r="63034" spans="1:6" x14ac:dyDescent="0.25">
      <c r="A63034"/>
      <c r="B63034"/>
      <c r="C63034"/>
      <c r="E63034"/>
      <c r="F63034"/>
    </row>
    <row r="63035" spans="1:6" x14ac:dyDescent="0.25">
      <c r="A63035"/>
      <c r="B63035"/>
      <c r="C63035"/>
      <c r="E63035"/>
      <c r="F63035"/>
    </row>
    <row r="63036" spans="1:6" x14ac:dyDescent="0.25">
      <c r="A63036"/>
      <c r="B63036"/>
      <c r="C63036"/>
      <c r="E63036"/>
      <c r="F63036"/>
    </row>
    <row r="63037" spans="1:6" x14ac:dyDescent="0.25">
      <c r="A63037"/>
      <c r="B63037"/>
      <c r="C63037"/>
      <c r="E63037"/>
      <c r="F63037"/>
    </row>
    <row r="63038" spans="1:6" x14ac:dyDescent="0.25">
      <c r="A63038"/>
      <c r="B63038"/>
      <c r="C63038"/>
      <c r="E63038"/>
      <c r="F63038"/>
    </row>
    <row r="63039" spans="1:6" x14ac:dyDescent="0.25">
      <c r="A63039"/>
      <c r="B63039"/>
      <c r="C63039"/>
      <c r="E63039"/>
      <c r="F63039"/>
    </row>
    <row r="63040" spans="1:6" x14ac:dyDescent="0.25">
      <c r="A63040"/>
      <c r="B63040"/>
      <c r="C63040"/>
      <c r="E63040"/>
      <c r="F63040"/>
    </row>
    <row r="63041" spans="1:6" x14ac:dyDescent="0.25">
      <c r="A63041"/>
      <c r="B63041"/>
      <c r="C63041"/>
      <c r="E63041"/>
      <c r="F63041"/>
    </row>
    <row r="63042" spans="1:6" x14ac:dyDescent="0.25">
      <c r="A63042"/>
      <c r="B63042"/>
      <c r="C63042"/>
      <c r="E63042"/>
      <c r="F63042"/>
    </row>
    <row r="63043" spans="1:6" x14ac:dyDescent="0.25">
      <c r="A63043"/>
      <c r="B63043"/>
      <c r="C63043"/>
      <c r="E63043"/>
      <c r="F63043"/>
    </row>
    <row r="63044" spans="1:6" x14ac:dyDescent="0.25">
      <c r="A63044"/>
      <c r="B63044"/>
      <c r="C63044"/>
      <c r="E63044"/>
      <c r="F63044"/>
    </row>
    <row r="63045" spans="1:6" x14ac:dyDescent="0.25">
      <c r="A63045"/>
      <c r="B63045"/>
      <c r="C63045"/>
      <c r="E63045"/>
      <c r="F63045"/>
    </row>
    <row r="63046" spans="1:6" x14ac:dyDescent="0.25">
      <c r="A63046"/>
      <c r="B63046"/>
      <c r="C63046"/>
      <c r="E63046"/>
      <c r="F63046"/>
    </row>
    <row r="63047" spans="1:6" x14ac:dyDescent="0.25">
      <c r="A63047"/>
      <c r="B63047"/>
      <c r="C63047"/>
      <c r="E63047"/>
      <c r="F63047"/>
    </row>
    <row r="63048" spans="1:6" x14ac:dyDescent="0.25">
      <c r="A63048"/>
      <c r="B63048"/>
      <c r="C63048"/>
      <c r="E63048"/>
      <c r="F63048"/>
    </row>
    <row r="63049" spans="1:6" x14ac:dyDescent="0.25">
      <c r="A63049"/>
      <c r="B63049"/>
      <c r="C63049"/>
      <c r="E63049"/>
      <c r="F63049"/>
    </row>
    <row r="63050" spans="1:6" x14ac:dyDescent="0.25">
      <c r="A63050"/>
      <c r="B63050"/>
      <c r="C63050"/>
      <c r="E63050"/>
      <c r="F63050"/>
    </row>
    <row r="63051" spans="1:6" x14ac:dyDescent="0.25">
      <c r="A63051"/>
      <c r="B63051"/>
      <c r="C63051"/>
      <c r="E63051"/>
      <c r="F63051"/>
    </row>
    <row r="63052" spans="1:6" x14ac:dyDescent="0.25">
      <c r="A63052"/>
      <c r="B63052"/>
      <c r="C63052"/>
      <c r="E63052"/>
      <c r="F63052"/>
    </row>
    <row r="63053" spans="1:6" x14ac:dyDescent="0.25">
      <c r="A63053"/>
      <c r="B63053"/>
      <c r="C63053"/>
      <c r="E63053"/>
      <c r="F63053"/>
    </row>
    <row r="63054" spans="1:6" x14ac:dyDescent="0.25">
      <c r="A63054"/>
      <c r="B63054"/>
      <c r="C63054"/>
      <c r="E63054"/>
      <c r="F63054"/>
    </row>
    <row r="63055" spans="1:6" x14ac:dyDescent="0.25">
      <c r="A63055"/>
      <c r="B63055"/>
      <c r="C63055"/>
      <c r="E63055"/>
      <c r="F63055"/>
    </row>
    <row r="63056" spans="1:6" x14ac:dyDescent="0.25">
      <c r="A63056"/>
      <c r="B63056"/>
      <c r="C63056"/>
      <c r="E63056"/>
      <c r="F63056"/>
    </row>
    <row r="63057" spans="1:6" x14ac:dyDescent="0.25">
      <c r="A63057"/>
      <c r="B63057"/>
      <c r="C63057"/>
      <c r="E63057"/>
      <c r="F63057"/>
    </row>
    <row r="63058" spans="1:6" x14ac:dyDescent="0.25">
      <c r="A63058"/>
      <c r="B63058"/>
      <c r="C63058"/>
      <c r="E63058"/>
      <c r="F63058"/>
    </row>
    <row r="63059" spans="1:6" x14ac:dyDescent="0.25">
      <c r="A63059"/>
      <c r="B63059"/>
      <c r="C63059"/>
      <c r="E63059"/>
      <c r="F63059"/>
    </row>
    <row r="63060" spans="1:6" x14ac:dyDescent="0.25">
      <c r="A63060"/>
      <c r="B63060"/>
      <c r="C63060"/>
      <c r="E63060"/>
      <c r="F63060"/>
    </row>
    <row r="63061" spans="1:6" x14ac:dyDescent="0.25">
      <c r="A63061"/>
      <c r="B63061"/>
      <c r="C63061"/>
      <c r="E63061"/>
      <c r="F63061"/>
    </row>
    <row r="63062" spans="1:6" x14ac:dyDescent="0.25">
      <c r="A63062"/>
      <c r="B63062"/>
      <c r="C63062"/>
      <c r="E63062"/>
      <c r="F63062"/>
    </row>
    <row r="63063" spans="1:6" x14ac:dyDescent="0.25">
      <c r="A63063"/>
      <c r="B63063"/>
      <c r="C63063"/>
      <c r="E63063"/>
      <c r="F63063"/>
    </row>
    <row r="63064" spans="1:6" x14ac:dyDescent="0.25">
      <c r="A63064"/>
      <c r="B63064"/>
      <c r="C63064"/>
      <c r="E63064"/>
      <c r="F63064"/>
    </row>
    <row r="63065" spans="1:6" x14ac:dyDescent="0.25">
      <c r="A63065"/>
      <c r="B63065"/>
      <c r="C63065"/>
      <c r="E63065"/>
      <c r="F63065"/>
    </row>
    <row r="63066" spans="1:6" x14ac:dyDescent="0.25">
      <c r="A63066"/>
      <c r="B63066"/>
      <c r="C63066"/>
      <c r="E63066"/>
      <c r="F63066"/>
    </row>
    <row r="63067" spans="1:6" x14ac:dyDescent="0.25">
      <c r="A63067"/>
      <c r="B63067"/>
      <c r="C63067"/>
      <c r="E63067"/>
      <c r="F63067"/>
    </row>
    <row r="63068" spans="1:6" x14ac:dyDescent="0.25">
      <c r="A63068"/>
      <c r="B63068"/>
      <c r="C63068"/>
      <c r="E63068"/>
      <c r="F63068"/>
    </row>
    <row r="63069" spans="1:6" x14ac:dyDescent="0.25">
      <c r="A63069"/>
      <c r="B63069"/>
      <c r="C63069"/>
      <c r="E63069"/>
      <c r="F63069"/>
    </row>
    <row r="63070" spans="1:6" x14ac:dyDescent="0.25">
      <c r="A63070"/>
      <c r="B63070"/>
      <c r="C63070"/>
      <c r="E63070"/>
      <c r="F63070"/>
    </row>
    <row r="63071" spans="1:6" x14ac:dyDescent="0.25">
      <c r="A63071"/>
      <c r="B63071"/>
      <c r="C63071"/>
      <c r="E63071"/>
      <c r="F63071"/>
    </row>
    <row r="63072" spans="1:6" x14ac:dyDescent="0.25">
      <c r="A63072"/>
      <c r="B63072"/>
      <c r="C63072"/>
      <c r="E63072"/>
      <c r="F63072"/>
    </row>
    <row r="63073" spans="1:6" x14ac:dyDescent="0.25">
      <c r="A63073"/>
      <c r="B63073"/>
      <c r="C63073"/>
      <c r="E63073"/>
      <c r="F63073"/>
    </row>
    <row r="63074" spans="1:6" x14ac:dyDescent="0.25">
      <c r="A63074"/>
      <c r="B63074"/>
      <c r="C63074"/>
      <c r="E63074"/>
      <c r="F63074"/>
    </row>
    <row r="63075" spans="1:6" x14ac:dyDescent="0.25">
      <c r="A63075"/>
      <c r="B63075"/>
      <c r="C63075"/>
      <c r="E63075"/>
      <c r="F63075"/>
    </row>
    <row r="63076" spans="1:6" x14ac:dyDescent="0.25">
      <c r="A63076"/>
      <c r="B63076"/>
      <c r="C63076"/>
      <c r="E63076"/>
      <c r="F63076"/>
    </row>
    <row r="63077" spans="1:6" x14ac:dyDescent="0.25">
      <c r="A63077"/>
      <c r="B63077"/>
      <c r="C63077"/>
      <c r="E63077"/>
      <c r="F63077"/>
    </row>
    <row r="63078" spans="1:6" x14ac:dyDescent="0.25">
      <c r="A63078"/>
      <c r="B63078"/>
      <c r="C63078"/>
      <c r="E63078"/>
      <c r="F63078"/>
    </row>
    <row r="63079" spans="1:6" x14ac:dyDescent="0.25">
      <c r="A63079"/>
      <c r="B63079"/>
      <c r="C63079"/>
      <c r="E63079"/>
      <c r="F63079"/>
    </row>
    <row r="63080" spans="1:6" x14ac:dyDescent="0.25">
      <c r="A63080"/>
      <c r="B63080"/>
      <c r="C63080"/>
      <c r="E63080"/>
      <c r="F63080"/>
    </row>
    <row r="63081" spans="1:6" x14ac:dyDescent="0.25">
      <c r="A63081"/>
      <c r="B63081"/>
      <c r="C63081"/>
      <c r="E63081"/>
      <c r="F63081"/>
    </row>
    <row r="63082" spans="1:6" x14ac:dyDescent="0.25">
      <c r="A63082"/>
      <c r="B63082"/>
      <c r="C63082"/>
      <c r="E63082"/>
      <c r="F63082"/>
    </row>
    <row r="63083" spans="1:6" x14ac:dyDescent="0.25">
      <c r="A63083"/>
      <c r="B63083"/>
      <c r="C63083"/>
      <c r="E63083"/>
      <c r="F63083"/>
    </row>
    <row r="63084" spans="1:6" x14ac:dyDescent="0.25">
      <c r="A63084"/>
      <c r="B63084"/>
      <c r="C63084"/>
      <c r="E63084"/>
      <c r="F63084"/>
    </row>
    <row r="63085" spans="1:6" x14ac:dyDescent="0.25">
      <c r="A63085"/>
      <c r="B63085"/>
      <c r="C63085"/>
      <c r="E63085"/>
      <c r="F63085"/>
    </row>
    <row r="63086" spans="1:6" x14ac:dyDescent="0.25">
      <c r="A63086"/>
      <c r="B63086"/>
      <c r="C63086"/>
      <c r="E63086"/>
      <c r="F63086"/>
    </row>
    <row r="63087" spans="1:6" x14ac:dyDescent="0.25">
      <c r="A63087"/>
      <c r="B63087"/>
      <c r="C63087"/>
      <c r="E63087"/>
      <c r="F63087"/>
    </row>
    <row r="63088" spans="1:6" x14ac:dyDescent="0.25">
      <c r="A63088"/>
      <c r="B63088"/>
      <c r="C63088"/>
      <c r="E63088"/>
      <c r="F63088"/>
    </row>
    <row r="63089" spans="1:6" x14ac:dyDescent="0.25">
      <c r="A63089"/>
      <c r="B63089"/>
      <c r="C63089"/>
      <c r="E63089"/>
      <c r="F63089"/>
    </row>
    <row r="63090" spans="1:6" x14ac:dyDescent="0.25">
      <c r="A63090"/>
      <c r="B63090"/>
      <c r="C63090"/>
      <c r="E63090"/>
      <c r="F63090"/>
    </row>
    <row r="63091" spans="1:6" x14ac:dyDescent="0.25">
      <c r="A63091"/>
      <c r="B63091"/>
      <c r="C63091"/>
      <c r="E63091"/>
      <c r="F63091"/>
    </row>
    <row r="63092" spans="1:6" x14ac:dyDescent="0.25">
      <c r="A63092"/>
      <c r="B63092"/>
      <c r="C63092"/>
      <c r="E63092"/>
      <c r="F63092"/>
    </row>
    <row r="63093" spans="1:6" x14ac:dyDescent="0.25">
      <c r="A63093"/>
      <c r="B63093"/>
      <c r="C63093"/>
      <c r="E63093"/>
      <c r="F63093"/>
    </row>
    <row r="63094" spans="1:6" x14ac:dyDescent="0.25">
      <c r="A63094"/>
      <c r="B63094"/>
      <c r="C63094"/>
      <c r="E63094"/>
      <c r="F63094"/>
    </row>
    <row r="63095" spans="1:6" x14ac:dyDescent="0.25">
      <c r="A63095"/>
      <c r="B63095"/>
      <c r="C63095"/>
      <c r="E63095"/>
      <c r="F63095"/>
    </row>
    <row r="63096" spans="1:6" x14ac:dyDescent="0.25">
      <c r="A63096"/>
      <c r="B63096"/>
      <c r="C63096"/>
      <c r="E63096"/>
      <c r="F63096"/>
    </row>
    <row r="63097" spans="1:6" x14ac:dyDescent="0.25">
      <c r="A63097"/>
      <c r="B63097"/>
      <c r="C63097"/>
      <c r="E63097"/>
      <c r="F63097"/>
    </row>
    <row r="63098" spans="1:6" x14ac:dyDescent="0.25">
      <c r="A63098"/>
      <c r="B63098"/>
      <c r="C63098"/>
      <c r="E63098"/>
      <c r="F63098"/>
    </row>
    <row r="63099" spans="1:6" x14ac:dyDescent="0.25">
      <c r="A63099"/>
      <c r="B63099"/>
      <c r="C63099"/>
      <c r="E63099"/>
      <c r="F63099"/>
    </row>
    <row r="63100" spans="1:6" x14ac:dyDescent="0.25">
      <c r="A63100"/>
      <c r="B63100"/>
      <c r="C63100"/>
      <c r="E63100"/>
      <c r="F63100"/>
    </row>
    <row r="63101" spans="1:6" x14ac:dyDescent="0.25">
      <c r="A63101"/>
      <c r="B63101"/>
      <c r="C63101"/>
      <c r="E63101"/>
      <c r="F63101"/>
    </row>
    <row r="63102" spans="1:6" x14ac:dyDescent="0.25">
      <c r="A63102"/>
      <c r="B63102"/>
      <c r="C63102"/>
      <c r="E63102"/>
      <c r="F63102"/>
    </row>
    <row r="63103" spans="1:6" x14ac:dyDescent="0.25">
      <c r="A63103"/>
      <c r="B63103"/>
      <c r="C63103"/>
      <c r="E63103"/>
      <c r="F63103"/>
    </row>
    <row r="63104" spans="1:6" x14ac:dyDescent="0.25">
      <c r="A63104"/>
      <c r="B63104"/>
      <c r="C63104"/>
      <c r="E63104"/>
      <c r="F63104"/>
    </row>
    <row r="63105" spans="1:6" x14ac:dyDescent="0.25">
      <c r="A63105"/>
      <c r="B63105"/>
      <c r="C63105"/>
      <c r="E63105"/>
      <c r="F63105"/>
    </row>
    <row r="63106" spans="1:6" x14ac:dyDescent="0.25">
      <c r="A63106"/>
      <c r="B63106"/>
      <c r="C63106"/>
      <c r="E63106"/>
      <c r="F63106"/>
    </row>
    <row r="63107" spans="1:6" x14ac:dyDescent="0.25">
      <c r="A63107"/>
      <c r="B63107"/>
      <c r="C63107"/>
      <c r="E63107"/>
      <c r="F63107"/>
    </row>
    <row r="63108" spans="1:6" x14ac:dyDescent="0.25">
      <c r="A63108"/>
      <c r="B63108"/>
      <c r="C63108"/>
      <c r="E63108"/>
      <c r="F63108"/>
    </row>
    <row r="63109" spans="1:6" x14ac:dyDescent="0.25">
      <c r="A63109"/>
      <c r="B63109"/>
      <c r="C63109"/>
      <c r="E63109"/>
      <c r="F63109"/>
    </row>
    <row r="63110" spans="1:6" x14ac:dyDescent="0.25">
      <c r="A63110"/>
      <c r="B63110"/>
      <c r="C63110"/>
      <c r="E63110"/>
      <c r="F63110"/>
    </row>
    <row r="63111" spans="1:6" x14ac:dyDescent="0.25">
      <c r="A63111"/>
      <c r="B63111"/>
      <c r="C63111"/>
      <c r="E63111"/>
      <c r="F63111"/>
    </row>
    <row r="63112" spans="1:6" x14ac:dyDescent="0.25">
      <c r="A63112"/>
      <c r="B63112"/>
      <c r="C63112"/>
      <c r="E63112"/>
      <c r="F63112"/>
    </row>
    <row r="63113" spans="1:6" x14ac:dyDescent="0.25">
      <c r="A63113"/>
      <c r="B63113"/>
      <c r="C63113"/>
      <c r="E63113"/>
      <c r="F63113"/>
    </row>
    <row r="63114" spans="1:6" x14ac:dyDescent="0.25">
      <c r="A63114"/>
      <c r="B63114"/>
      <c r="C63114"/>
      <c r="E63114"/>
      <c r="F63114"/>
    </row>
    <row r="63115" spans="1:6" x14ac:dyDescent="0.25">
      <c r="A63115"/>
      <c r="B63115"/>
      <c r="C63115"/>
      <c r="E63115"/>
      <c r="F63115"/>
    </row>
    <row r="63116" spans="1:6" x14ac:dyDescent="0.25">
      <c r="A63116"/>
      <c r="B63116"/>
      <c r="C63116"/>
      <c r="E63116"/>
      <c r="F63116"/>
    </row>
    <row r="63117" spans="1:6" x14ac:dyDescent="0.25">
      <c r="A63117"/>
      <c r="B63117"/>
      <c r="C63117"/>
      <c r="E63117"/>
      <c r="F63117"/>
    </row>
    <row r="63118" spans="1:6" x14ac:dyDescent="0.25">
      <c r="A63118"/>
      <c r="B63118"/>
      <c r="C63118"/>
      <c r="E63118"/>
      <c r="F63118"/>
    </row>
    <row r="63119" spans="1:6" x14ac:dyDescent="0.25">
      <c r="A63119"/>
      <c r="B63119"/>
      <c r="C63119"/>
      <c r="E63119"/>
      <c r="F63119"/>
    </row>
    <row r="63120" spans="1:6" x14ac:dyDescent="0.25">
      <c r="A63120"/>
      <c r="B63120"/>
      <c r="C63120"/>
      <c r="E63120"/>
      <c r="F63120"/>
    </row>
    <row r="63121" spans="1:6" x14ac:dyDescent="0.25">
      <c r="A63121"/>
      <c r="B63121"/>
      <c r="C63121"/>
      <c r="E63121"/>
      <c r="F63121"/>
    </row>
    <row r="63122" spans="1:6" x14ac:dyDescent="0.25">
      <c r="A63122"/>
      <c r="B63122"/>
      <c r="C63122"/>
      <c r="E63122"/>
      <c r="F63122"/>
    </row>
    <row r="63123" spans="1:6" x14ac:dyDescent="0.25">
      <c r="A63123"/>
      <c r="B63123"/>
      <c r="C63123"/>
      <c r="E63123"/>
      <c r="F63123"/>
    </row>
    <row r="63124" spans="1:6" x14ac:dyDescent="0.25">
      <c r="A63124"/>
      <c r="B63124"/>
      <c r="C63124"/>
      <c r="E63124"/>
      <c r="F63124"/>
    </row>
    <row r="63125" spans="1:6" x14ac:dyDescent="0.25">
      <c r="A63125"/>
      <c r="B63125"/>
      <c r="C63125"/>
      <c r="E63125"/>
      <c r="F63125"/>
    </row>
    <row r="63126" spans="1:6" x14ac:dyDescent="0.25">
      <c r="A63126"/>
      <c r="B63126"/>
      <c r="C63126"/>
      <c r="E63126"/>
      <c r="F63126"/>
    </row>
    <row r="63127" spans="1:6" x14ac:dyDescent="0.25">
      <c r="A63127"/>
      <c r="B63127"/>
      <c r="C63127"/>
      <c r="E63127"/>
      <c r="F63127"/>
    </row>
    <row r="63128" spans="1:6" x14ac:dyDescent="0.25">
      <c r="A63128"/>
      <c r="B63128"/>
      <c r="C63128"/>
      <c r="E63128"/>
      <c r="F63128"/>
    </row>
    <row r="63129" spans="1:6" x14ac:dyDescent="0.25">
      <c r="A63129"/>
      <c r="B63129"/>
      <c r="C63129"/>
      <c r="E63129"/>
      <c r="F63129"/>
    </row>
    <row r="63130" spans="1:6" x14ac:dyDescent="0.25">
      <c r="A63130"/>
      <c r="B63130"/>
      <c r="C63130"/>
      <c r="E63130"/>
      <c r="F63130"/>
    </row>
    <row r="63131" spans="1:6" x14ac:dyDescent="0.25">
      <c r="A63131"/>
      <c r="B63131"/>
      <c r="C63131"/>
      <c r="E63131"/>
      <c r="F63131"/>
    </row>
    <row r="63132" spans="1:6" x14ac:dyDescent="0.25">
      <c r="A63132"/>
      <c r="B63132"/>
      <c r="C63132"/>
      <c r="E63132"/>
      <c r="F63132"/>
    </row>
    <row r="63133" spans="1:6" x14ac:dyDescent="0.25">
      <c r="A63133"/>
      <c r="B63133"/>
      <c r="C63133"/>
      <c r="E63133"/>
      <c r="F63133"/>
    </row>
    <row r="63134" spans="1:6" x14ac:dyDescent="0.25">
      <c r="A63134"/>
      <c r="B63134"/>
      <c r="C63134"/>
      <c r="E63134"/>
      <c r="F63134"/>
    </row>
    <row r="63135" spans="1:6" x14ac:dyDescent="0.25">
      <c r="A63135"/>
      <c r="B63135"/>
      <c r="C63135"/>
      <c r="E63135"/>
      <c r="F63135"/>
    </row>
    <row r="63136" spans="1:6" x14ac:dyDescent="0.25">
      <c r="A63136"/>
      <c r="B63136"/>
      <c r="C63136"/>
      <c r="E63136"/>
      <c r="F63136"/>
    </row>
    <row r="63137" spans="1:6" x14ac:dyDescent="0.25">
      <c r="A63137"/>
      <c r="B63137"/>
      <c r="C63137"/>
      <c r="E63137"/>
      <c r="F63137"/>
    </row>
    <row r="63138" spans="1:6" x14ac:dyDescent="0.25">
      <c r="A63138"/>
      <c r="B63138"/>
      <c r="C63138"/>
      <c r="E63138"/>
      <c r="F63138"/>
    </row>
    <row r="63139" spans="1:6" x14ac:dyDescent="0.25">
      <c r="A63139"/>
      <c r="B63139"/>
      <c r="C63139"/>
      <c r="E63139"/>
      <c r="F63139"/>
    </row>
    <row r="63140" spans="1:6" x14ac:dyDescent="0.25">
      <c r="A63140"/>
      <c r="B63140"/>
      <c r="C63140"/>
      <c r="E63140"/>
      <c r="F63140"/>
    </row>
    <row r="63141" spans="1:6" x14ac:dyDescent="0.25">
      <c r="A63141"/>
      <c r="B63141"/>
      <c r="C63141"/>
      <c r="E63141"/>
      <c r="F63141"/>
    </row>
    <row r="63142" spans="1:6" x14ac:dyDescent="0.25">
      <c r="A63142"/>
      <c r="B63142"/>
      <c r="C63142"/>
      <c r="E63142"/>
      <c r="F63142"/>
    </row>
    <row r="63143" spans="1:6" x14ac:dyDescent="0.25">
      <c r="A63143"/>
      <c r="B63143"/>
      <c r="C63143"/>
      <c r="E63143"/>
      <c r="F63143"/>
    </row>
    <row r="63144" spans="1:6" x14ac:dyDescent="0.25">
      <c r="A63144"/>
      <c r="B63144"/>
      <c r="C63144"/>
      <c r="E63144"/>
      <c r="F63144"/>
    </row>
    <row r="63145" spans="1:6" x14ac:dyDescent="0.25">
      <c r="A63145"/>
      <c r="B63145"/>
      <c r="C63145"/>
      <c r="E63145"/>
      <c r="F63145"/>
    </row>
    <row r="63146" spans="1:6" x14ac:dyDescent="0.25">
      <c r="A63146"/>
      <c r="B63146"/>
      <c r="C63146"/>
      <c r="E63146"/>
      <c r="F63146"/>
    </row>
    <row r="63147" spans="1:6" x14ac:dyDescent="0.25">
      <c r="A63147"/>
      <c r="B63147"/>
      <c r="C63147"/>
      <c r="E63147"/>
      <c r="F63147"/>
    </row>
    <row r="63148" spans="1:6" x14ac:dyDescent="0.25">
      <c r="A63148"/>
      <c r="B63148"/>
      <c r="C63148"/>
      <c r="E63148"/>
      <c r="F63148"/>
    </row>
    <row r="63149" spans="1:6" x14ac:dyDescent="0.25">
      <c r="A63149"/>
      <c r="B63149"/>
      <c r="C63149"/>
      <c r="E63149"/>
      <c r="F63149"/>
    </row>
    <row r="63150" spans="1:6" x14ac:dyDescent="0.25">
      <c r="A63150"/>
      <c r="B63150"/>
      <c r="C63150"/>
      <c r="E63150"/>
      <c r="F63150"/>
    </row>
    <row r="63151" spans="1:6" x14ac:dyDescent="0.25">
      <c r="A63151"/>
      <c r="B63151"/>
      <c r="C63151"/>
      <c r="E63151"/>
      <c r="F63151"/>
    </row>
    <row r="63152" spans="1:6" x14ac:dyDescent="0.25">
      <c r="A63152"/>
      <c r="B63152"/>
      <c r="C63152"/>
      <c r="E63152"/>
      <c r="F63152"/>
    </row>
    <row r="63153" spans="1:6" x14ac:dyDescent="0.25">
      <c r="A63153"/>
      <c r="B63153"/>
      <c r="C63153"/>
      <c r="E63153"/>
      <c r="F63153"/>
    </row>
    <row r="63154" spans="1:6" x14ac:dyDescent="0.25">
      <c r="A63154"/>
      <c r="B63154"/>
      <c r="C63154"/>
      <c r="E63154"/>
      <c r="F63154"/>
    </row>
    <row r="63155" spans="1:6" x14ac:dyDescent="0.25">
      <c r="A63155"/>
      <c r="B63155"/>
      <c r="C63155"/>
      <c r="E63155"/>
      <c r="F63155"/>
    </row>
    <row r="63156" spans="1:6" x14ac:dyDescent="0.25">
      <c r="A63156"/>
      <c r="B63156"/>
      <c r="C63156"/>
      <c r="E63156"/>
      <c r="F63156"/>
    </row>
    <row r="63157" spans="1:6" x14ac:dyDescent="0.25">
      <c r="A63157"/>
      <c r="B63157"/>
      <c r="C63157"/>
      <c r="E63157"/>
      <c r="F63157"/>
    </row>
    <row r="63158" spans="1:6" x14ac:dyDescent="0.25">
      <c r="A63158"/>
      <c r="B63158"/>
      <c r="C63158"/>
      <c r="E63158"/>
      <c r="F63158"/>
    </row>
    <row r="63159" spans="1:6" x14ac:dyDescent="0.25">
      <c r="A63159"/>
      <c r="B63159"/>
      <c r="C63159"/>
      <c r="E63159"/>
      <c r="F63159"/>
    </row>
    <row r="63160" spans="1:6" x14ac:dyDescent="0.25">
      <c r="A63160"/>
      <c r="B63160"/>
      <c r="C63160"/>
      <c r="E63160"/>
      <c r="F63160"/>
    </row>
    <row r="63161" spans="1:6" x14ac:dyDescent="0.25">
      <c r="A63161"/>
      <c r="B63161"/>
      <c r="C63161"/>
      <c r="E63161"/>
      <c r="F63161"/>
    </row>
    <row r="63162" spans="1:6" x14ac:dyDescent="0.25">
      <c r="A63162"/>
      <c r="B63162"/>
      <c r="C63162"/>
      <c r="E63162"/>
      <c r="F63162"/>
    </row>
    <row r="63163" spans="1:6" x14ac:dyDescent="0.25">
      <c r="A63163"/>
      <c r="B63163"/>
      <c r="C63163"/>
      <c r="E63163"/>
      <c r="F63163"/>
    </row>
    <row r="63164" spans="1:6" x14ac:dyDescent="0.25">
      <c r="A63164"/>
      <c r="B63164"/>
      <c r="C63164"/>
      <c r="E63164"/>
      <c r="F63164"/>
    </row>
    <row r="63165" spans="1:6" x14ac:dyDescent="0.25">
      <c r="A63165"/>
      <c r="B63165"/>
      <c r="C63165"/>
      <c r="E63165"/>
      <c r="F63165"/>
    </row>
    <row r="63166" spans="1:6" x14ac:dyDescent="0.25">
      <c r="A63166"/>
      <c r="B63166"/>
      <c r="C63166"/>
      <c r="E63166"/>
      <c r="F63166"/>
    </row>
    <row r="63167" spans="1:6" x14ac:dyDescent="0.25">
      <c r="A63167"/>
      <c r="B63167"/>
      <c r="C63167"/>
      <c r="E63167"/>
      <c r="F63167"/>
    </row>
    <row r="63168" spans="1:6" x14ac:dyDescent="0.25">
      <c r="A63168"/>
      <c r="B63168"/>
      <c r="C63168"/>
      <c r="E63168"/>
      <c r="F63168"/>
    </row>
    <row r="63169" spans="1:6" x14ac:dyDescent="0.25">
      <c r="A63169"/>
      <c r="B63169"/>
      <c r="C63169"/>
      <c r="E63169"/>
      <c r="F63169"/>
    </row>
    <row r="63170" spans="1:6" x14ac:dyDescent="0.25">
      <c r="A63170"/>
      <c r="B63170"/>
      <c r="C63170"/>
      <c r="E63170"/>
      <c r="F63170"/>
    </row>
    <row r="63171" spans="1:6" x14ac:dyDescent="0.25">
      <c r="A63171"/>
      <c r="B63171"/>
      <c r="C63171"/>
      <c r="E63171"/>
      <c r="F63171"/>
    </row>
    <row r="63172" spans="1:6" x14ac:dyDescent="0.25">
      <c r="A63172"/>
      <c r="B63172"/>
      <c r="C63172"/>
      <c r="E63172"/>
      <c r="F63172"/>
    </row>
    <row r="63173" spans="1:6" x14ac:dyDescent="0.25">
      <c r="A63173"/>
      <c r="B63173"/>
      <c r="C63173"/>
      <c r="E63173"/>
      <c r="F63173"/>
    </row>
    <row r="63174" spans="1:6" x14ac:dyDescent="0.25">
      <c r="A63174"/>
      <c r="B63174"/>
      <c r="C63174"/>
      <c r="E63174"/>
      <c r="F63174"/>
    </row>
    <row r="63175" spans="1:6" x14ac:dyDescent="0.25">
      <c r="A63175"/>
      <c r="B63175"/>
      <c r="C63175"/>
      <c r="E63175"/>
      <c r="F63175"/>
    </row>
    <row r="63176" spans="1:6" x14ac:dyDescent="0.25">
      <c r="A63176"/>
      <c r="B63176"/>
      <c r="C63176"/>
      <c r="E63176"/>
      <c r="F63176"/>
    </row>
    <row r="63177" spans="1:6" x14ac:dyDescent="0.25">
      <c r="A63177"/>
      <c r="B63177"/>
      <c r="C63177"/>
      <c r="E63177"/>
      <c r="F63177"/>
    </row>
    <row r="63178" spans="1:6" x14ac:dyDescent="0.25">
      <c r="A63178"/>
      <c r="B63178"/>
      <c r="C63178"/>
      <c r="E63178"/>
      <c r="F63178"/>
    </row>
    <row r="63179" spans="1:6" x14ac:dyDescent="0.25">
      <c r="A63179"/>
      <c r="B63179"/>
      <c r="C63179"/>
      <c r="E63179"/>
      <c r="F63179"/>
    </row>
    <row r="63180" spans="1:6" x14ac:dyDescent="0.25">
      <c r="A63180"/>
      <c r="B63180"/>
      <c r="C63180"/>
      <c r="E63180"/>
      <c r="F63180"/>
    </row>
    <row r="63181" spans="1:6" x14ac:dyDescent="0.25">
      <c r="A63181"/>
      <c r="B63181"/>
      <c r="C63181"/>
      <c r="E63181"/>
      <c r="F63181"/>
    </row>
    <row r="63182" spans="1:6" x14ac:dyDescent="0.25">
      <c r="A63182"/>
      <c r="B63182"/>
      <c r="C63182"/>
      <c r="E63182"/>
      <c r="F63182"/>
    </row>
    <row r="63183" spans="1:6" x14ac:dyDescent="0.25">
      <c r="A63183"/>
      <c r="B63183"/>
      <c r="C63183"/>
      <c r="E63183"/>
      <c r="F63183"/>
    </row>
    <row r="63184" spans="1:6" x14ac:dyDescent="0.25">
      <c r="A63184"/>
      <c r="B63184"/>
      <c r="C63184"/>
      <c r="E63184"/>
      <c r="F63184"/>
    </row>
    <row r="63185" spans="1:6" x14ac:dyDescent="0.25">
      <c r="A63185"/>
      <c r="B63185"/>
      <c r="C63185"/>
      <c r="E63185"/>
      <c r="F63185"/>
    </row>
    <row r="63186" spans="1:6" x14ac:dyDescent="0.25">
      <c r="A63186"/>
      <c r="B63186"/>
      <c r="C63186"/>
      <c r="E63186"/>
      <c r="F63186"/>
    </row>
    <row r="63187" spans="1:6" x14ac:dyDescent="0.25">
      <c r="A63187"/>
      <c r="B63187"/>
      <c r="C63187"/>
      <c r="E63187"/>
      <c r="F63187"/>
    </row>
    <row r="63188" spans="1:6" x14ac:dyDescent="0.25">
      <c r="A63188"/>
      <c r="B63188"/>
      <c r="C63188"/>
      <c r="E63188"/>
      <c r="F63188"/>
    </row>
    <row r="63189" spans="1:6" x14ac:dyDescent="0.25">
      <c r="A63189"/>
      <c r="B63189"/>
      <c r="C63189"/>
      <c r="E63189"/>
      <c r="F63189"/>
    </row>
    <row r="63190" spans="1:6" x14ac:dyDescent="0.25">
      <c r="A63190"/>
      <c r="B63190"/>
      <c r="C63190"/>
      <c r="E63190"/>
      <c r="F63190"/>
    </row>
    <row r="63191" spans="1:6" x14ac:dyDescent="0.25">
      <c r="A63191"/>
      <c r="B63191"/>
      <c r="C63191"/>
      <c r="E63191"/>
      <c r="F63191"/>
    </row>
    <row r="63192" spans="1:6" x14ac:dyDescent="0.25">
      <c r="A63192"/>
      <c r="B63192"/>
      <c r="C63192"/>
      <c r="E63192"/>
      <c r="F63192"/>
    </row>
    <row r="63193" spans="1:6" x14ac:dyDescent="0.25">
      <c r="A63193"/>
      <c r="B63193"/>
      <c r="C63193"/>
      <c r="E63193"/>
      <c r="F63193"/>
    </row>
    <row r="63194" spans="1:6" x14ac:dyDescent="0.25">
      <c r="A63194"/>
      <c r="B63194"/>
      <c r="C63194"/>
      <c r="E63194"/>
      <c r="F63194"/>
    </row>
    <row r="63195" spans="1:6" x14ac:dyDescent="0.25">
      <c r="A63195"/>
      <c r="B63195"/>
      <c r="C63195"/>
      <c r="E63195"/>
      <c r="F63195"/>
    </row>
    <row r="63196" spans="1:6" x14ac:dyDescent="0.25">
      <c r="A63196"/>
      <c r="B63196"/>
      <c r="C63196"/>
      <c r="E63196"/>
      <c r="F63196"/>
    </row>
    <row r="63197" spans="1:6" x14ac:dyDescent="0.25">
      <c r="A63197"/>
      <c r="B63197"/>
      <c r="C63197"/>
      <c r="E63197"/>
      <c r="F63197"/>
    </row>
    <row r="63198" spans="1:6" x14ac:dyDescent="0.25">
      <c r="A63198"/>
      <c r="B63198"/>
      <c r="C63198"/>
      <c r="E63198"/>
      <c r="F63198"/>
    </row>
    <row r="63199" spans="1:6" x14ac:dyDescent="0.25">
      <c r="A63199"/>
      <c r="B63199"/>
      <c r="C63199"/>
      <c r="E63199"/>
      <c r="F63199"/>
    </row>
    <row r="63200" spans="1:6" x14ac:dyDescent="0.25">
      <c r="A63200"/>
      <c r="B63200"/>
      <c r="C63200"/>
      <c r="E63200"/>
      <c r="F63200"/>
    </row>
    <row r="63201" spans="1:6" x14ac:dyDescent="0.25">
      <c r="A63201"/>
      <c r="B63201"/>
      <c r="C63201"/>
      <c r="E63201"/>
      <c r="F63201"/>
    </row>
    <row r="63202" spans="1:6" x14ac:dyDescent="0.25">
      <c r="A63202"/>
      <c r="B63202"/>
      <c r="C63202"/>
      <c r="E63202"/>
      <c r="F63202"/>
    </row>
    <row r="63203" spans="1:6" x14ac:dyDescent="0.25">
      <c r="A63203"/>
      <c r="B63203"/>
      <c r="C63203"/>
      <c r="E63203"/>
      <c r="F63203"/>
    </row>
    <row r="63204" spans="1:6" x14ac:dyDescent="0.25">
      <c r="A63204"/>
      <c r="B63204"/>
      <c r="C63204"/>
      <c r="E63204"/>
      <c r="F63204"/>
    </row>
    <row r="63205" spans="1:6" x14ac:dyDescent="0.25">
      <c r="A63205"/>
      <c r="B63205"/>
      <c r="C63205"/>
      <c r="E63205"/>
      <c r="F63205"/>
    </row>
    <row r="63206" spans="1:6" x14ac:dyDescent="0.25">
      <c r="A63206"/>
      <c r="B63206"/>
      <c r="C63206"/>
      <c r="E63206"/>
      <c r="F63206"/>
    </row>
    <row r="63207" spans="1:6" x14ac:dyDescent="0.25">
      <c r="A63207"/>
      <c r="B63207"/>
      <c r="C63207"/>
      <c r="E63207"/>
      <c r="F63207"/>
    </row>
    <row r="63208" spans="1:6" x14ac:dyDescent="0.25">
      <c r="A63208"/>
      <c r="B63208"/>
      <c r="C63208"/>
      <c r="E63208"/>
      <c r="F63208"/>
    </row>
    <row r="63209" spans="1:6" x14ac:dyDescent="0.25">
      <c r="A63209"/>
      <c r="B63209"/>
      <c r="C63209"/>
      <c r="E63209"/>
      <c r="F63209"/>
    </row>
    <row r="63210" spans="1:6" x14ac:dyDescent="0.25">
      <c r="A63210"/>
      <c r="B63210"/>
      <c r="C63210"/>
      <c r="E63210"/>
      <c r="F63210"/>
    </row>
    <row r="63211" spans="1:6" x14ac:dyDescent="0.25">
      <c r="A63211"/>
      <c r="B63211"/>
      <c r="C63211"/>
      <c r="E63211"/>
      <c r="F63211"/>
    </row>
    <row r="63212" spans="1:6" x14ac:dyDescent="0.25">
      <c r="A63212"/>
      <c r="B63212"/>
      <c r="C63212"/>
      <c r="E63212"/>
      <c r="F63212"/>
    </row>
    <row r="63213" spans="1:6" x14ac:dyDescent="0.25">
      <c r="A63213"/>
      <c r="B63213"/>
      <c r="C63213"/>
      <c r="E63213"/>
      <c r="F63213"/>
    </row>
    <row r="63214" spans="1:6" x14ac:dyDescent="0.25">
      <c r="A63214"/>
      <c r="B63214"/>
      <c r="C63214"/>
      <c r="E63214"/>
      <c r="F63214"/>
    </row>
    <row r="63215" spans="1:6" x14ac:dyDescent="0.25">
      <c r="A63215"/>
      <c r="B63215"/>
      <c r="C63215"/>
      <c r="E63215"/>
      <c r="F63215"/>
    </row>
    <row r="63216" spans="1:6" x14ac:dyDescent="0.25">
      <c r="A63216"/>
      <c r="B63216"/>
      <c r="C63216"/>
      <c r="E63216"/>
      <c r="F63216"/>
    </row>
    <row r="63217" spans="1:6" x14ac:dyDescent="0.25">
      <c r="A63217"/>
      <c r="B63217"/>
      <c r="C63217"/>
      <c r="E63217"/>
      <c r="F63217"/>
    </row>
    <row r="63218" spans="1:6" x14ac:dyDescent="0.25">
      <c r="A63218"/>
      <c r="B63218"/>
      <c r="C63218"/>
      <c r="E63218"/>
      <c r="F63218"/>
    </row>
    <row r="63219" spans="1:6" x14ac:dyDescent="0.25">
      <c r="A63219"/>
      <c r="B63219"/>
      <c r="C63219"/>
      <c r="E63219"/>
      <c r="F63219"/>
    </row>
    <row r="63220" spans="1:6" x14ac:dyDescent="0.25">
      <c r="A63220"/>
      <c r="B63220"/>
      <c r="C63220"/>
      <c r="E63220"/>
      <c r="F63220"/>
    </row>
    <row r="63221" spans="1:6" x14ac:dyDescent="0.25">
      <c r="A63221"/>
      <c r="B63221"/>
      <c r="C63221"/>
      <c r="E63221"/>
      <c r="F63221"/>
    </row>
    <row r="63222" spans="1:6" x14ac:dyDescent="0.25">
      <c r="A63222"/>
      <c r="B63222"/>
      <c r="C63222"/>
      <c r="E63222"/>
      <c r="F63222"/>
    </row>
    <row r="63223" spans="1:6" x14ac:dyDescent="0.25">
      <c r="A63223"/>
      <c r="B63223"/>
      <c r="C63223"/>
      <c r="E63223"/>
      <c r="F63223"/>
    </row>
    <row r="63224" spans="1:6" x14ac:dyDescent="0.25">
      <c r="A63224"/>
      <c r="B63224"/>
      <c r="C63224"/>
      <c r="E63224"/>
      <c r="F63224"/>
    </row>
    <row r="63225" spans="1:6" x14ac:dyDescent="0.25">
      <c r="A63225"/>
      <c r="B63225"/>
      <c r="C63225"/>
      <c r="E63225"/>
      <c r="F63225"/>
    </row>
    <row r="63226" spans="1:6" x14ac:dyDescent="0.25">
      <c r="A63226"/>
      <c r="B63226"/>
      <c r="C63226"/>
      <c r="E63226"/>
      <c r="F63226"/>
    </row>
    <row r="63227" spans="1:6" x14ac:dyDescent="0.25">
      <c r="A63227"/>
      <c r="B63227"/>
      <c r="C63227"/>
      <c r="E63227"/>
      <c r="F63227"/>
    </row>
    <row r="63228" spans="1:6" x14ac:dyDescent="0.25">
      <c r="A63228"/>
      <c r="B63228"/>
      <c r="C63228"/>
      <c r="E63228"/>
      <c r="F63228"/>
    </row>
    <row r="63229" spans="1:6" x14ac:dyDescent="0.25">
      <c r="A63229"/>
      <c r="B63229"/>
      <c r="C63229"/>
      <c r="E63229"/>
      <c r="F63229"/>
    </row>
    <row r="63230" spans="1:6" x14ac:dyDescent="0.25">
      <c r="A63230"/>
      <c r="B63230"/>
      <c r="C63230"/>
      <c r="E63230"/>
      <c r="F63230"/>
    </row>
    <row r="63231" spans="1:6" x14ac:dyDescent="0.25">
      <c r="A63231"/>
      <c r="B63231"/>
      <c r="C63231"/>
      <c r="E63231"/>
      <c r="F63231"/>
    </row>
    <row r="63232" spans="1:6" x14ac:dyDescent="0.25">
      <c r="A63232"/>
      <c r="B63232"/>
      <c r="C63232"/>
      <c r="E63232"/>
      <c r="F63232"/>
    </row>
    <row r="63233" spans="1:6" x14ac:dyDescent="0.25">
      <c r="A63233"/>
      <c r="B63233"/>
      <c r="C63233"/>
      <c r="E63233"/>
      <c r="F63233"/>
    </row>
    <row r="63234" spans="1:6" x14ac:dyDescent="0.25">
      <c r="A63234"/>
      <c r="B63234"/>
      <c r="C63234"/>
      <c r="E63234"/>
      <c r="F63234"/>
    </row>
    <row r="63235" spans="1:6" x14ac:dyDescent="0.25">
      <c r="A63235"/>
      <c r="B63235"/>
      <c r="C63235"/>
      <c r="E63235"/>
      <c r="F63235"/>
    </row>
    <row r="63236" spans="1:6" x14ac:dyDescent="0.25">
      <c r="A63236"/>
      <c r="B63236"/>
      <c r="C63236"/>
      <c r="E63236"/>
      <c r="F63236"/>
    </row>
    <row r="63237" spans="1:6" x14ac:dyDescent="0.25">
      <c r="A63237"/>
      <c r="B63237"/>
      <c r="C63237"/>
      <c r="E63237"/>
      <c r="F63237"/>
    </row>
    <row r="63238" spans="1:6" x14ac:dyDescent="0.25">
      <c r="A63238"/>
      <c r="B63238"/>
      <c r="C63238"/>
      <c r="E63238"/>
      <c r="F63238"/>
    </row>
    <row r="63239" spans="1:6" x14ac:dyDescent="0.25">
      <c r="A63239"/>
      <c r="B63239"/>
      <c r="C63239"/>
      <c r="E63239"/>
      <c r="F63239"/>
    </row>
    <row r="63240" spans="1:6" x14ac:dyDescent="0.25">
      <c r="A63240"/>
      <c r="B63240"/>
      <c r="C63240"/>
      <c r="E63240"/>
      <c r="F63240"/>
    </row>
    <row r="63241" spans="1:6" x14ac:dyDescent="0.25">
      <c r="A63241"/>
      <c r="B63241"/>
      <c r="C63241"/>
      <c r="E63241"/>
      <c r="F63241"/>
    </row>
    <row r="63242" spans="1:6" x14ac:dyDescent="0.25">
      <c r="A63242"/>
      <c r="B63242"/>
      <c r="C63242"/>
      <c r="E63242"/>
      <c r="F63242"/>
    </row>
    <row r="63243" spans="1:6" x14ac:dyDescent="0.25">
      <c r="A63243"/>
      <c r="B63243"/>
      <c r="C63243"/>
      <c r="E63243"/>
      <c r="F63243"/>
    </row>
    <row r="63244" spans="1:6" x14ac:dyDescent="0.25">
      <c r="A63244"/>
      <c r="B63244"/>
      <c r="C63244"/>
      <c r="E63244"/>
      <c r="F63244"/>
    </row>
    <row r="63245" spans="1:6" x14ac:dyDescent="0.25">
      <c r="A63245"/>
      <c r="B63245"/>
      <c r="C63245"/>
      <c r="E63245"/>
      <c r="F63245"/>
    </row>
    <row r="63246" spans="1:6" x14ac:dyDescent="0.25">
      <c r="A63246"/>
      <c r="B63246"/>
      <c r="C63246"/>
      <c r="E63246"/>
      <c r="F63246"/>
    </row>
    <row r="63247" spans="1:6" x14ac:dyDescent="0.25">
      <c r="A63247"/>
      <c r="B63247"/>
      <c r="C63247"/>
      <c r="E63247"/>
      <c r="F63247"/>
    </row>
    <row r="63248" spans="1:6" x14ac:dyDescent="0.25">
      <c r="A63248"/>
      <c r="B63248"/>
      <c r="C63248"/>
      <c r="E63248"/>
      <c r="F63248"/>
    </row>
    <row r="63249" spans="1:6" x14ac:dyDescent="0.25">
      <c r="A63249"/>
      <c r="B63249"/>
      <c r="C63249"/>
      <c r="E63249"/>
      <c r="F63249"/>
    </row>
    <row r="63250" spans="1:6" x14ac:dyDescent="0.25">
      <c r="A63250"/>
      <c r="B63250"/>
      <c r="C63250"/>
      <c r="E63250"/>
      <c r="F63250"/>
    </row>
    <row r="63251" spans="1:6" x14ac:dyDescent="0.25">
      <c r="A63251"/>
      <c r="B63251"/>
      <c r="C63251"/>
      <c r="E63251"/>
      <c r="F63251"/>
    </row>
    <row r="63252" spans="1:6" x14ac:dyDescent="0.25">
      <c r="A63252"/>
      <c r="B63252"/>
      <c r="C63252"/>
      <c r="E63252"/>
      <c r="F63252"/>
    </row>
    <row r="63253" spans="1:6" x14ac:dyDescent="0.25">
      <c r="A63253"/>
      <c r="B63253"/>
      <c r="C63253"/>
      <c r="E63253"/>
      <c r="F63253"/>
    </row>
    <row r="63254" spans="1:6" x14ac:dyDescent="0.25">
      <c r="A63254"/>
      <c r="B63254"/>
      <c r="C63254"/>
      <c r="E63254"/>
      <c r="F63254"/>
    </row>
    <row r="63255" spans="1:6" x14ac:dyDescent="0.25">
      <c r="A63255"/>
      <c r="B63255"/>
      <c r="C63255"/>
      <c r="E63255"/>
      <c r="F63255"/>
    </row>
    <row r="63256" spans="1:6" x14ac:dyDescent="0.25">
      <c r="A63256"/>
      <c r="B63256"/>
      <c r="C63256"/>
      <c r="E63256"/>
      <c r="F63256"/>
    </row>
    <row r="63257" spans="1:6" x14ac:dyDescent="0.25">
      <c r="A63257"/>
      <c r="B63257"/>
      <c r="C63257"/>
      <c r="E63257"/>
      <c r="F63257"/>
    </row>
    <row r="63258" spans="1:6" x14ac:dyDescent="0.25">
      <c r="A63258"/>
      <c r="B63258"/>
      <c r="C63258"/>
      <c r="E63258"/>
      <c r="F63258"/>
    </row>
    <row r="63259" spans="1:6" x14ac:dyDescent="0.25">
      <c r="A63259"/>
      <c r="B63259"/>
      <c r="C63259"/>
      <c r="E63259"/>
      <c r="F63259"/>
    </row>
    <row r="63260" spans="1:6" x14ac:dyDescent="0.25">
      <c r="A63260"/>
      <c r="B63260"/>
      <c r="C63260"/>
      <c r="E63260"/>
      <c r="F63260"/>
    </row>
    <row r="63261" spans="1:6" x14ac:dyDescent="0.25">
      <c r="A63261"/>
      <c r="B63261"/>
      <c r="C63261"/>
      <c r="E63261"/>
      <c r="F63261"/>
    </row>
    <row r="63262" spans="1:6" x14ac:dyDescent="0.25">
      <c r="A63262"/>
      <c r="B63262"/>
      <c r="C63262"/>
      <c r="E63262"/>
      <c r="F63262"/>
    </row>
    <row r="63263" spans="1:6" x14ac:dyDescent="0.25">
      <c r="A63263"/>
      <c r="B63263"/>
      <c r="C63263"/>
      <c r="E63263"/>
      <c r="F63263"/>
    </row>
    <row r="63264" spans="1:6" x14ac:dyDescent="0.25">
      <c r="A63264"/>
      <c r="B63264"/>
      <c r="C63264"/>
      <c r="E63264"/>
      <c r="F63264"/>
    </row>
    <row r="63265" spans="1:6" x14ac:dyDescent="0.25">
      <c r="A63265"/>
      <c r="B63265"/>
      <c r="C63265"/>
      <c r="E63265"/>
      <c r="F63265"/>
    </row>
    <row r="63266" spans="1:6" x14ac:dyDescent="0.25">
      <c r="A63266"/>
      <c r="B63266"/>
      <c r="C63266"/>
      <c r="E63266"/>
      <c r="F63266"/>
    </row>
    <row r="63267" spans="1:6" x14ac:dyDescent="0.25">
      <c r="A63267"/>
      <c r="B63267"/>
      <c r="C63267"/>
      <c r="E63267"/>
      <c r="F63267"/>
    </row>
    <row r="63268" spans="1:6" x14ac:dyDescent="0.25">
      <c r="A63268"/>
      <c r="B63268"/>
      <c r="C63268"/>
      <c r="E63268"/>
      <c r="F63268"/>
    </row>
    <row r="63269" spans="1:6" x14ac:dyDescent="0.25">
      <c r="A63269"/>
      <c r="B63269"/>
      <c r="C63269"/>
      <c r="E63269"/>
      <c r="F63269"/>
    </row>
    <row r="63270" spans="1:6" x14ac:dyDescent="0.25">
      <c r="A63270"/>
      <c r="B63270"/>
      <c r="C63270"/>
      <c r="E63270"/>
      <c r="F63270"/>
    </row>
    <row r="63271" spans="1:6" x14ac:dyDescent="0.25">
      <c r="A63271"/>
      <c r="B63271"/>
      <c r="C63271"/>
      <c r="E63271"/>
      <c r="F63271"/>
    </row>
    <row r="63272" spans="1:6" x14ac:dyDescent="0.25">
      <c r="A63272"/>
      <c r="B63272"/>
      <c r="C63272"/>
      <c r="E63272"/>
      <c r="F63272"/>
    </row>
    <row r="63273" spans="1:6" x14ac:dyDescent="0.25">
      <c r="A63273"/>
      <c r="B63273"/>
      <c r="C63273"/>
      <c r="E63273"/>
      <c r="F63273"/>
    </row>
    <row r="63274" spans="1:6" x14ac:dyDescent="0.25">
      <c r="A63274"/>
      <c r="B63274"/>
      <c r="C63274"/>
      <c r="E63274"/>
      <c r="F63274"/>
    </row>
    <row r="63275" spans="1:6" x14ac:dyDescent="0.25">
      <c r="A63275"/>
      <c r="B63275"/>
      <c r="C63275"/>
      <c r="E63275"/>
      <c r="F63275"/>
    </row>
    <row r="63276" spans="1:6" x14ac:dyDescent="0.25">
      <c r="A63276"/>
      <c r="B63276"/>
      <c r="C63276"/>
      <c r="E63276"/>
      <c r="F63276"/>
    </row>
    <row r="63277" spans="1:6" x14ac:dyDescent="0.25">
      <c r="A63277"/>
      <c r="B63277"/>
      <c r="C63277"/>
      <c r="E63277"/>
      <c r="F63277"/>
    </row>
    <row r="63278" spans="1:6" x14ac:dyDescent="0.25">
      <c r="A63278"/>
      <c r="B63278"/>
      <c r="C63278"/>
      <c r="E63278"/>
      <c r="F63278"/>
    </row>
    <row r="63279" spans="1:6" x14ac:dyDescent="0.25">
      <c r="A63279"/>
      <c r="B63279"/>
      <c r="C63279"/>
      <c r="E63279"/>
      <c r="F63279"/>
    </row>
    <row r="63280" spans="1:6" x14ac:dyDescent="0.25">
      <c r="A63280"/>
      <c r="B63280"/>
      <c r="C63280"/>
      <c r="E63280"/>
      <c r="F63280"/>
    </row>
    <row r="63281" spans="1:6" x14ac:dyDescent="0.25">
      <c r="A63281"/>
      <c r="B63281"/>
      <c r="C63281"/>
      <c r="E63281"/>
      <c r="F63281"/>
    </row>
    <row r="63282" spans="1:6" x14ac:dyDescent="0.25">
      <c r="A63282"/>
      <c r="B63282"/>
      <c r="C63282"/>
      <c r="E63282"/>
      <c r="F63282"/>
    </row>
    <row r="63283" spans="1:6" x14ac:dyDescent="0.25">
      <c r="A63283"/>
      <c r="B63283"/>
      <c r="C63283"/>
      <c r="E63283"/>
      <c r="F63283"/>
    </row>
    <row r="63284" spans="1:6" x14ac:dyDescent="0.25">
      <c r="A63284"/>
      <c r="B63284"/>
      <c r="C63284"/>
      <c r="E63284"/>
      <c r="F63284"/>
    </row>
    <row r="63285" spans="1:6" x14ac:dyDescent="0.25">
      <c r="A63285"/>
      <c r="B63285"/>
      <c r="C63285"/>
      <c r="E63285"/>
      <c r="F63285"/>
    </row>
    <row r="63286" spans="1:6" x14ac:dyDescent="0.25">
      <c r="A63286"/>
      <c r="B63286"/>
      <c r="C63286"/>
      <c r="E63286"/>
      <c r="F63286"/>
    </row>
    <row r="63287" spans="1:6" x14ac:dyDescent="0.25">
      <c r="A63287"/>
      <c r="B63287"/>
      <c r="C63287"/>
      <c r="E63287"/>
      <c r="F63287"/>
    </row>
    <row r="63288" spans="1:6" x14ac:dyDescent="0.25">
      <c r="A63288"/>
      <c r="B63288"/>
      <c r="C63288"/>
      <c r="E63288"/>
      <c r="F63288"/>
    </row>
    <row r="63289" spans="1:6" x14ac:dyDescent="0.25">
      <c r="A63289"/>
      <c r="B63289"/>
      <c r="C63289"/>
      <c r="E63289"/>
      <c r="F63289"/>
    </row>
    <row r="63290" spans="1:6" x14ac:dyDescent="0.25">
      <c r="A63290"/>
      <c r="B63290"/>
      <c r="C63290"/>
      <c r="E63290"/>
      <c r="F63290"/>
    </row>
    <row r="63291" spans="1:6" x14ac:dyDescent="0.25">
      <c r="A63291"/>
      <c r="B63291"/>
      <c r="C63291"/>
      <c r="E63291"/>
      <c r="F63291"/>
    </row>
    <row r="63292" spans="1:6" x14ac:dyDescent="0.25">
      <c r="A63292"/>
      <c r="B63292"/>
      <c r="C63292"/>
      <c r="E63292"/>
      <c r="F63292"/>
    </row>
    <row r="63293" spans="1:6" x14ac:dyDescent="0.25">
      <c r="A63293"/>
      <c r="B63293"/>
      <c r="C63293"/>
      <c r="E63293"/>
      <c r="F63293"/>
    </row>
    <row r="63294" spans="1:6" x14ac:dyDescent="0.25">
      <c r="A63294"/>
      <c r="B63294"/>
      <c r="C63294"/>
      <c r="E63294"/>
      <c r="F63294"/>
    </row>
    <row r="63295" spans="1:6" x14ac:dyDescent="0.25">
      <c r="A63295"/>
      <c r="B63295"/>
      <c r="C63295"/>
      <c r="E63295"/>
      <c r="F63295"/>
    </row>
    <row r="63296" spans="1:6" x14ac:dyDescent="0.25">
      <c r="A63296"/>
      <c r="B63296"/>
      <c r="C63296"/>
      <c r="E63296"/>
      <c r="F63296"/>
    </row>
    <row r="63297" spans="1:6" x14ac:dyDescent="0.25">
      <c r="A63297"/>
      <c r="B63297"/>
      <c r="C63297"/>
      <c r="E63297"/>
      <c r="F63297"/>
    </row>
    <row r="63298" spans="1:6" x14ac:dyDescent="0.25">
      <c r="A63298"/>
      <c r="B63298"/>
      <c r="C63298"/>
      <c r="E63298"/>
      <c r="F63298"/>
    </row>
    <row r="63299" spans="1:6" x14ac:dyDescent="0.25">
      <c r="A63299"/>
      <c r="B63299"/>
      <c r="C63299"/>
      <c r="E63299"/>
      <c r="F63299"/>
    </row>
    <row r="63300" spans="1:6" x14ac:dyDescent="0.25">
      <c r="A63300"/>
      <c r="B63300"/>
      <c r="C63300"/>
      <c r="E63300"/>
      <c r="F63300"/>
    </row>
    <row r="63301" spans="1:6" x14ac:dyDescent="0.25">
      <c r="A63301"/>
      <c r="B63301"/>
      <c r="C63301"/>
      <c r="E63301"/>
      <c r="F63301"/>
    </row>
    <row r="63302" spans="1:6" x14ac:dyDescent="0.25">
      <c r="A63302"/>
      <c r="B63302"/>
      <c r="C63302"/>
      <c r="E63302"/>
      <c r="F63302"/>
    </row>
    <row r="63303" spans="1:6" x14ac:dyDescent="0.25">
      <c r="A63303"/>
      <c r="B63303"/>
      <c r="C63303"/>
      <c r="E63303"/>
      <c r="F63303"/>
    </row>
    <row r="63304" spans="1:6" x14ac:dyDescent="0.25">
      <c r="A63304"/>
      <c r="B63304"/>
      <c r="C63304"/>
      <c r="E63304"/>
      <c r="F63304"/>
    </row>
    <row r="63305" spans="1:6" x14ac:dyDescent="0.25">
      <c r="A63305"/>
      <c r="B63305"/>
      <c r="C63305"/>
      <c r="E63305"/>
      <c r="F63305"/>
    </row>
    <row r="63306" spans="1:6" x14ac:dyDescent="0.25">
      <c r="A63306"/>
      <c r="B63306"/>
      <c r="C63306"/>
      <c r="E63306"/>
      <c r="F63306"/>
    </row>
    <row r="63307" spans="1:6" x14ac:dyDescent="0.25">
      <c r="A63307"/>
      <c r="B63307"/>
      <c r="C63307"/>
      <c r="E63307"/>
      <c r="F63307"/>
    </row>
    <row r="63308" spans="1:6" x14ac:dyDescent="0.25">
      <c r="A63308"/>
      <c r="B63308"/>
      <c r="C63308"/>
      <c r="E63308"/>
      <c r="F63308"/>
    </row>
    <row r="63309" spans="1:6" x14ac:dyDescent="0.25">
      <c r="A63309"/>
      <c r="B63309"/>
      <c r="C63309"/>
      <c r="E63309"/>
      <c r="F63309"/>
    </row>
    <row r="63310" spans="1:6" x14ac:dyDescent="0.25">
      <c r="A63310"/>
      <c r="B63310"/>
      <c r="C63310"/>
      <c r="E63310"/>
      <c r="F63310"/>
    </row>
    <row r="63311" spans="1:6" x14ac:dyDescent="0.25">
      <c r="A63311"/>
      <c r="B63311"/>
      <c r="C63311"/>
      <c r="E63311"/>
      <c r="F63311"/>
    </row>
    <row r="63312" spans="1:6" x14ac:dyDescent="0.25">
      <c r="A63312"/>
      <c r="B63312"/>
      <c r="C63312"/>
      <c r="E63312"/>
      <c r="F63312"/>
    </row>
    <row r="63313" spans="1:6" x14ac:dyDescent="0.25">
      <c r="A63313"/>
      <c r="B63313"/>
      <c r="C63313"/>
      <c r="E63313"/>
      <c r="F63313"/>
    </row>
    <row r="63314" spans="1:6" x14ac:dyDescent="0.25">
      <c r="A63314"/>
      <c r="B63314"/>
      <c r="C63314"/>
      <c r="E63314"/>
      <c r="F63314"/>
    </row>
    <row r="63315" spans="1:6" x14ac:dyDescent="0.25">
      <c r="A63315"/>
      <c r="B63315"/>
      <c r="C63315"/>
      <c r="E63315"/>
      <c r="F63315"/>
    </row>
    <row r="63316" spans="1:6" x14ac:dyDescent="0.25">
      <c r="A63316"/>
      <c r="B63316"/>
      <c r="C63316"/>
      <c r="E63316"/>
      <c r="F63316"/>
    </row>
    <row r="63317" spans="1:6" x14ac:dyDescent="0.25">
      <c r="A63317"/>
      <c r="B63317"/>
      <c r="C63317"/>
      <c r="E63317"/>
      <c r="F63317"/>
    </row>
    <row r="63318" spans="1:6" x14ac:dyDescent="0.25">
      <c r="A63318"/>
      <c r="B63318"/>
      <c r="C63318"/>
      <c r="E63318"/>
      <c r="F63318"/>
    </row>
    <row r="63319" spans="1:6" x14ac:dyDescent="0.25">
      <c r="A63319"/>
      <c r="B63319"/>
      <c r="C63319"/>
      <c r="E63319"/>
      <c r="F63319"/>
    </row>
    <row r="63320" spans="1:6" x14ac:dyDescent="0.25">
      <c r="A63320"/>
      <c r="B63320"/>
      <c r="C63320"/>
      <c r="E63320"/>
      <c r="F63320"/>
    </row>
    <row r="63321" spans="1:6" x14ac:dyDescent="0.25">
      <c r="A63321"/>
      <c r="B63321"/>
      <c r="C63321"/>
      <c r="E63321"/>
      <c r="F63321"/>
    </row>
    <row r="63322" spans="1:6" x14ac:dyDescent="0.25">
      <c r="A63322"/>
      <c r="B63322"/>
      <c r="C63322"/>
      <c r="E63322"/>
      <c r="F63322"/>
    </row>
    <row r="63323" spans="1:6" x14ac:dyDescent="0.25">
      <c r="A63323"/>
      <c r="B63323"/>
      <c r="C63323"/>
      <c r="E63323"/>
      <c r="F63323"/>
    </row>
    <row r="63324" spans="1:6" x14ac:dyDescent="0.25">
      <c r="A63324"/>
      <c r="B63324"/>
      <c r="C63324"/>
      <c r="E63324"/>
      <c r="F63324"/>
    </row>
    <row r="63325" spans="1:6" x14ac:dyDescent="0.25">
      <c r="A63325"/>
      <c r="B63325"/>
      <c r="C63325"/>
      <c r="E63325"/>
      <c r="F63325"/>
    </row>
    <row r="63326" spans="1:6" x14ac:dyDescent="0.25">
      <c r="A63326"/>
      <c r="B63326"/>
      <c r="C63326"/>
      <c r="E63326"/>
      <c r="F63326"/>
    </row>
    <row r="63327" spans="1:6" x14ac:dyDescent="0.25">
      <c r="A63327"/>
      <c r="B63327"/>
      <c r="C63327"/>
      <c r="E63327"/>
      <c r="F63327"/>
    </row>
    <row r="63328" spans="1:6" x14ac:dyDescent="0.25">
      <c r="A63328"/>
      <c r="B63328"/>
      <c r="C63328"/>
      <c r="E63328"/>
      <c r="F63328"/>
    </row>
    <row r="63329" spans="1:6" x14ac:dyDescent="0.25">
      <c r="A63329"/>
      <c r="B63329"/>
      <c r="C63329"/>
      <c r="E63329"/>
      <c r="F63329"/>
    </row>
    <row r="63330" spans="1:6" x14ac:dyDescent="0.25">
      <c r="A63330"/>
      <c r="B63330"/>
      <c r="C63330"/>
      <c r="E63330"/>
      <c r="F63330"/>
    </row>
    <row r="63331" spans="1:6" x14ac:dyDescent="0.25">
      <c r="A63331"/>
      <c r="B63331"/>
      <c r="C63331"/>
      <c r="E63331"/>
      <c r="F63331"/>
    </row>
    <row r="63332" spans="1:6" x14ac:dyDescent="0.25">
      <c r="A63332"/>
      <c r="B63332"/>
      <c r="C63332"/>
      <c r="E63332"/>
      <c r="F63332"/>
    </row>
    <row r="63333" spans="1:6" x14ac:dyDescent="0.25">
      <c r="A63333"/>
      <c r="B63333"/>
      <c r="C63333"/>
      <c r="E63333"/>
      <c r="F63333"/>
    </row>
    <row r="63334" spans="1:6" x14ac:dyDescent="0.25">
      <c r="A63334"/>
      <c r="B63334"/>
      <c r="C63334"/>
      <c r="E63334"/>
      <c r="F63334"/>
    </row>
    <row r="63335" spans="1:6" x14ac:dyDescent="0.25">
      <c r="A63335"/>
      <c r="B63335"/>
      <c r="C63335"/>
      <c r="E63335"/>
      <c r="F63335"/>
    </row>
    <row r="63336" spans="1:6" x14ac:dyDescent="0.25">
      <c r="A63336"/>
      <c r="B63336"/>
      <c r="C63336"/>
      <c r="E63336"/>
      <c r="F63336"/>
    </row>
    <row r="63337" spans="1:6" x14ac:dyDescent="0.25">
      <c r="A63337"/>
      <c r="B63337"/>
      <c r="C63337"/>
      <c r="E63337"/>
      <c r="F63337"/>
    </row>
    <row r="63338" spans="1:6" x14ac:dyDescent="0.25">
      <c r="A63338"/>
      <c r="B63338"/>
      <c r="C63338"/>
      <c r="E63338"/>
      <c r="F63338"/>
    </row>
    <row r="63339" spans="1:6" x14ac:dyDescent="0.25">
      <c r="A63339"/>
      <c r="B63339"/>
      <c r="C63339"/>
      <c r="E63339"/>
      <c r="F63339"/>
    </row>
    <row r="63340" spans="1:6" x14ac:dyDescent="0.25">
      <c r="A63340"/>
      <c r="B63340"/>
      <c r="C63340"/>
      <c r="E63340"/>
      <c r="F63340"/>
    </row>
    <row r="63341" spans="1:6" x14ac:dyDescent="0.25">
      <c r="A63341"/>
      <c r="B63341"/>
      <c r="C63341"/>
      <c r="E63341"/>
      <c r="F63341"/>
    </row>
    <row r="63342" spans="1:6" x14ac:dyDescent="0.25">
      <c r="A63342"/>
      <c r="B63342"/>
      <c r="C63342"/>
      <c r="E63342"/>
      <c r="F63342"/>
    </row>
    <row r="63343" spans="1:6" x14ac:dyDescent="0.25">
      <c r="A63343"/>
      <c r="B63343"/>
      <c r="C63343"/>
      <c r="E63343"/>
      <c r="F63343"/>
    </row>
    <row r="63344" spans="1:6" x14ac:dyDescent="0.25">
      <c r="A63344"/>
      <c r="B63344"/>
      <c r="C63344"/>
      <c r="E63344"/>
      <c r="F63344"/>
    </row>
    <row r="63345" spans="1:6" x14ac:dyDescent="0.25">
      <c r="A63345"/>
      <c r="B63345"/>
      <c r="C63345"/>
      <c r="E63345"/>
      <c r="F63345"/>
    </row>
    <row r="63346" spans="1:6" x14ac:dyDescent="0.25">
      <c r="A63346"/>
      <c r="B63346"/>
      <c r="C63346"/>
      <c r="E63346"/>
      <c r="F63346"/>
    </row>
    <row r="63347" spans="1:6" x14ac:dyDescent="0.25">
      <c r="A63347"/>
      <c r="B63347"/>
      <c r="C63347"/>
      <c r="E63347"/>
      <c r="F63347"/>
    </row>
    <row r="63348" spans="1:6" x14ac:dyDescent="0.25">
      <c r="A63348"/>
      <c r="B63348"/>
      <c r="C63348"/>
      <c r="E63348"/>
      <c r="F63348"/>
    </row>
    <row r="63349" spans="1:6" x14ac:dyDescent="0.25">
      <c r="A63349"/>
      <c r="B63349"/>
      <c r="C63349"/>
      <c r="E63349"/>
      <c r="F63349"/>
    </row>
    <row r="63350" spans="1:6" x14ac:dyDescent="0.25">
      <c r="A63350"/>
      <c r="B63350"/>
      <c r="C63350"/>
      <c r="E63350"/>
      <c r="F63350"/>
    </row>
    <row r="63351" spans="1:6" x14ac:dyDescent="0.25">
      <c r="A63351"/>
      <c r="B63351"/>
      <c r="C63351"/>
      <c r="E63351"/>
      <c r="F63351"/>
    </row>
    <row r="63352" spans="1:6" x14ac:dyDescent="0.25">
      <c r="A63352"/>
      <c r="B63352"/>
      <c r="C63352"/>
      <c r="E63352"/>
      <c r="F63352"/>
    </row>
    <row r="63353" spans="1:6" x14ac:dyDescent="0.25">
      <c r="A63353"/>
      <c r="B63353"/>
      <c r="C63353"/>
      <c r="E63353"/>
      <c r="F63353"/>
    </row>
    <row r="63354" spans="1:6" x14ac:dyDescent="0.25">
      <c r="A63354"/>
      <c r="B63354"/>
      <c r="C63354"/>
      <c r="E63354"/>
      <c r="F63354"/>
    </row>
    <row r="63355" spans="1:6" x14ac:dyDescent="0.25">
      <c r="A63355"/>
      <c r="B63355"/>
      <c r="C63355"/>
      <c r="E63355"/>
      <c r="F63355"/>
    </row>
    <row r="63356" spans="1:6" x14ac:dyDescent="0.25">
      <c r="A63356"/>
      <c r="B63356"/>
      <c r="C63356"/>
      <c r="E63356"/>
      <c r="F63356"/>
    </row>
    <row r="63357" spans="1:6" x14ac:dyDescent="0.25">
      <c r="A63357"/>
      <c r="B63357"/>
      <c r="C63357"/>
      <c r="E63357"/>
      <c r="F63357"/>
    </row>
    <row r="63358" spans="1:6" x14ac:dyDescent="0.25">
      <c r="A63358"/>
      <c r="B63358"/>
      <c r="C63358"/>
      <c r="E63358"/>
      <c r="F63358"/>
    </row>
    <row r="63359" spans="1:6" x14ac:dyDescent="0.25">
      <c r="A63359"/>
      <c r="B63359"/>
      <c r="C63359"/>
      <c r="E63359"/>
      <c r="F63359"/>
    </row>
    <row r="63360" spans="1:6" x14ac:dyDescent="0.25">
      <c r="A63360"/>
      <c r="B63360"/>
      <c r="C63360"/>
      <c r="E63360"/>
      <c r="F63360"/>
    </row>
    <row r="63361" spans="1:6" x14ac:dyDescent="0.25">
      <c r="A63361"/>
      <c r="B63361"/>
      <c r="C63361"/>
      <c r="E63361"/>
      <c r="F63361"/>
    </row>
    <row r="63362" spans="1:6" x14ac:dyDescent="0.25">
      <c r="A63362"/>
      <c r="B63362"/>
      <c r="C63362"/>
      <c r="E63362"/>
      <c r="F63362"/>
    </row>
    <row r="63363" spans="1:6" x14ac:dyDescent="0.25">
      <c r="A63363"/>
      <c r="B63363"/>
      <c r="C63363"/>
      <c r="E63363"/>
      <c r="F63363"/>
    </row>
    <row r="63364" spans="1:6" x14ac:dyDescent="0.25">
      <c r="A63364"/>
      <c r="B63364"/>
      <c r="C63364"/>
      <c r="E63364"/>
      <c r="F63364"/>
    </row>
    <row r="63365" spans="1:6" x14ac:dyDescent="0.25">
      <c r="A63365"/>
      <c r="B63365"/>
      <c r="C63365"/>
      <c r="E63365"/>
      <c r="F63365"/>
    </row>
    <row r="63366" spans="1:6" x14ac:dyDescent="0.25">
      <c r="A63366"/>
      <c r="B63366"/>
      <c r="C63366"/>
      <c r="E63366"/>
      <c r="F63366"/>
    </row>
    <row r="63367" spans="1:6" x14ac:dyDescent="0.25">
      <c r="A63367"/>
      <c r="B63367"/>
      <c r="C63367"/>
      <c r="E63367"/>
      <c r="F63367"/>
    </row>
    <row r="63368" spans="1:6" x14ac:dyDescent="0.25">
      <c r="A63368"/>
      <c r="B63368"/>
      <c r="C63368"/>
      <c r="E63368"/>
      <c r="F63368"/>
    </row>
    <row r="63369" spans="1:6" x14ac:dyDescent="0.25">
      <c r="A63369"/>
      <c r="B63369"/>
      <c r="C63369"/>
      <c r="E63369"/>
      <c r="F63369"/>
    </row>
    <row r="63370" spans="1:6" x14ac:dyDescent="0.25">
      <c r="A63370"/>
      <c r="B63370"/>
      <c r="C63370"/>
      <c r="E63370"/>
      <c r="F63370"/>
    </row>
    <row r="63371" spans="1:6" x14ac:dyDescent="0.25">
      <c r="A63371"/>
      <c r="B63371"/>
      <c r="C63371"/>
      <c r="E63371"/>
      <c r="F63371"/>
    </row>
    <row r="63372" spans="1:6" x14ac:dyDescent="0.25">
      <c r="A63372"/>
      <c r="B63372"/>
      <c r="C63372"/>
      <c r="E63372"/>
      <c r="F63372"/>
    </row>
    <row r="63373" spans="1:6" x14ac:dyDescent="0.25">
      <c r="A63373"/>
      <c r="B63373"/>
      <c r="C63373"/>
      <c r="E63373"/>
      <c r="F63373"/>
    </row>
    <row r="63374" spans="1:6" x14ac:dyDescent="0.25">
      <c r="A63374"/>
      <c r="B63374"/>
      <c r="C63374"/>
      <c r="E63374"/>
      <c r="F63374"/>
    </row>
    <row r="63375" spans="1:6" x14ac:dyDescent="0.25">
      <c r="A63375"/>
      <c r="B63375"/>
      <c r="C63375"/>
      <c r="E63375"/>
      <c r="F63375"/>
    </row>
    <row r="63376" spans="1:6" x14ac:dyDescent="0.25">
      <c r="A63376"/>
      <c r="B63376"/>
      <c r="C63376"/>
      <c r="E63376"/>
      <c r="F63376"/>
    </row>
    <row r="63377" spans="1:6" x14ac:dyDescent="0.25">
      <c r="A63377"/>
      <c r="B63377"/>
      <c r="C63377"/>
      <c r="E63377"/>
      <c r="F63377"/>
    </row>
    <row r="63378" spans="1:6" x14ac:dyDescent="0.25">
      <c r="A63378"/>
      <c r="B63378"/>
      <c r="C63378"/>
      <c r="E63378"/>
      <c r="F63378"/>
    </row>
    <row r="63379" spans="1:6" x14ac:dyDescent="0.25">
      <c r="A63379"/>
      <c r="B63379"/>
      <c r="C63379"/>
      <c r="E63379"/>
      <c r="F63379"/>
    </row>
    <row r="63380" spans="1:6" x14ac:dyDescent="0.25">
      <c r="A63380"/>
      <c r="B63380"/>
      <c r="C63380"/>
      <c r="E63380"/>
      <c r="F63380"/>
    </row>
    <row r="63381" spans="1:6" x14ac:dyDescent="0.25">
      <c r="A63381"/>
      <c r="B63381"/>
      <c r="C63381"/>
      <c r="E63381"/>
      <c r="F63381"/>
    </row>
    <row r="63382" spans="1:6" x14ac:dyDescent="0.25">
      <c r="A63382"/>
      <c r="B63382"/>
      <c r="C63382"/>
      <c r="E63382"/>
      <c r="F63382"/>
    </row>
    <row r="63383" spans="1:6" x14ac:dyDescent="0.25">
      <c r="A63383"/>
      <c r="B63383"/>
      <c r="C63383"/>
      <c r="E63383"/>
      <c r="F63383"/>
    </row>
    <row r="63384" spans="1:6" x14ac:dyDescent="0.25">
      <c r="A63384"/>
      <c r="B63384"/>
      <c r="C63384"/>
      <c r="E63384"/>
      <c r="F63384"/>
    </row>
    <row r="63385" spans="1:6" x14ac:dyDescent="0.25">
      <c r="A63385"/>
      <c r="B63385"/>
      <c r="C63385"/>
      <c r="E63385"/>
      <c r="F63385"/>
    </row>
    <row r="63386" spans="1:6" x14ac:dyDescent="0.25">
      <c r="A63386"/>
      <c r="B63386"/>
      <c r="C63386"/>
      <c r="E63386"/>
      <c r="F63386"/>
    </row>
    <row r="63387" spans="1:6" x14ac:dyDescent="0.25">
      <c r="A63387"/>
      <c r="B63387"/>
      <c r="C63387"/>
      <c r="E63387"/>
      <c r="F63387"/>
    </row>
    <row r="63388" spans="1:6" x14ac:dyDescent="0.25">
      <c r="A63388"/>
      <c r="B63388"/>
      <c r="C63388"/>
      <c r="E63388"/>
      <c r="F63388"/>
    </row>
    <row r="63389" spans="1:6" x14ac:dyDescent="0.25">
      <c r="A63389"/>
      <c r="B63389"/>
      <c r="C63389"/>
      <c r="E63389"/>
      <c r="F63389"/>
    </row>
    <row r="63390" spans="1:6" x14ac:dyDescent="0.25">
      <c r="A63390"/>
      <c r="B63390"/>
      <c r="C63390"/>
      <c r="E63390"/>
      <c r="F63390"/>
    </row>
    <row r="63391" spans="1:6" x14ac:dyDescent="0.25">
      <c r="A63391"/>
      <c r="B63391"/>
      <c r="C63391"/>
      <c r="E63391"/>
      <c r="F63391"/>
    </row>
    <row r="63392" spans="1:6" x14ac:dyDescent="0.25">
      <c r="A63392"/>
      <c r="B63392"/>
      <c r="C63392"/>
      <c r="E63392"/>
      <c r="F63392"/>
    </row>
    <row r="63393" spans="1:6" x14ac:dyDescent="0.25">
      <c r="A63393"/>
      <c r="B63393"/>
      <c r="C63393"/>
      <c r="E63393"/>
      <c r="F63393"/>
    </row>
    <row r="63394" spans="1:6" x14ac:dyDescent="0.25">
      <c r="A63394"/>
      <c r="B63394"/>
      <c r="C63394"/>
      <c r="E63394"/>
      <c r="F63394"/>
    </row>
    <row r="63395" spans="1:6" x14ac:dyDescent="0.25">
      <c r="A63395"/>
      <c r="B63395"/>
      <c r="C63395"/>
      <c r="E63395"/>
      <c r="F63395"/>
    </row>
    <row r="63396" spans="1:6" x14ac:dyDescent="0.25">
      <c r="A63396"/>
      <c r="B63396"/>
      <c r="C63396"/>
      <c r="E63396"/>
      <c r="F63396"/>
    </row>
    <row r="63397" spans="1:6" x14ac:dyDescent="0.25">
      <c r="A63397"/>
      <c r="B63397"/>
      <c r="C63397"/>
      <c r="E63397"/>
      <c r="F63397"/>
    </row>
    <row r="63398" spans="1:6" x14ac:dyDescent="0.25">
      <c r="A63398"/>
      <c r="B63398"/>
      <c r="C63398"/>
      <c r="E63398"/>
      <c r="F63398"/>
    </row>
    <row r="63399" spans="1:6" x14ac:dyDescent="0.25">
      <c r="A63399"/>
      <c r="B63399"/>
      <c r="C63399"/>
      <c r="E63399"/>
      <c r="F63399"/>
    </row>
    <row r="63400" spans="1:6" x14ac:dyDescent="0.25">
      <c r="A63400"/>
      <c r="B63400"/>
      <c r="C63400"/>
      <c r="E63400"/>
      <c r="F63400"/>
    </row>
    <row r="63401" spans="1:6" x14ac:dyDescent="0.25">
      <c r="A63401"/>
      <c r="B63401"/>
      <c r="C63401"/>
      <c r="E63401"/>
      <c r="F63401"/>
    </row>
    <row r="63402" spans="1:6" x14ac:dyDescent="0.25">
      <c r="A63402"/>
      <c r="B63402"/>
      <c r="C63402"/>
      <c r="E63402"/>
      <c r="F63402"/>
    </row>
    <row r="63403" spans="1:6" x14ac:dyDescent="0.25">
      <c r="A63403"/>
      <c r="B63403"/>
      <c r="C63403"/>
      <c r="E63403"/>
      <c r="F63403"/>
    </row>
    <row r="63404" spans="1:6" x14ac:dyDescent="0.25">
      <c r="A63404"/>
      <c r="B63404"/>
      <c r="C63404"/>
      <c r="E63404"/>
      <c r="F63404"/>
    </row>
    <row r="63405" spans="1:6" x14ac:dyDescent="0.25">
      <c r="A63405"/>
      <c r="B63405"/>
      <c r="C63405"/>
      <c r="E63405"/>
      <c r="F63405"/>
    </row>
    <row r="63406" spans="1:6" x14ac:dyDescent="0.25">
      <c r="A63406"/>
      <c r="B63406"/>
      <c r="C63406"/>
      <c r="E63406"/>
      <c r="F63406"/>
    </row>
    <row r="63407" spans="1:6" x14ac:dyDescent="0.25">
      <c r="A63407"/>
      <c r="B63407"/>
      <c r="C63407"/>
      <c r="E63407"/>
      <c r="F63407"/>
    </row>
    <row r="63408" spans="1:6" x14ac:dyDescent="0.25">
      <c r="A63408"/>
      <c r="B63408"/>
      <c r="C63408"/>
      <c r="E63408"/>
      <c r="F63408"/>
    </row>
    <row r="63409" spans="1:6" x14ac:dyDescent="0.25">
      <c r="A63409"/>
      <c r="B63409"/>
      <c r="C63409"/>
      <c r="E63409"/>
      <c r="F63409"/>
    </row>
    <row r="63410" spans="1:6" x14ac:dyDescent="0.25">
      <c r="A63410"/>
      <c r="B63410"/>
      <c r="C63410"/>
      <c r="E63410"/>
      <c r="F63410"/>
    </row>
    <row r="63411" spans="1:6" x14ac:dyDescent="0.25">
      <c r="A63411"/>
      <c r="B63411"/>
      <c r="C63411"/>
      <c r="E63411"/>
      <c r="F63411"/>
    </row>
    <row r="63412" spans="1:6" x14ac:dyDescent="0.25">
      <c r="A63412"/>
      <c r="B63412"/>
      <c r="C63412"/>
      <c r="E63412"/>
      <c r="F63412"/>
    </row>
    <row r="63413" spans="1:6" x14ac:dyDescent="0.25">
      <c r="A63413"/>
      <c r="B63413"/>
      <c r="C63413"/>
      <c r="E63413"/>
      <c r="F63413"/>
    </row>
    <row r="63414" spans="1:6" x14ac:dyDescent="0.25">
      <c r="A63414"/>
      <c r="B63414"/>
      <c r="C63414"/>
      <c r="E63414"/>
      <c r="F63414"/>
    </row>
    <row r="63415" spans="1:6" x14ac:dyDescent="0.25">
      <c r="A63415"/>
      <c r="B63415"/>
      <c r="C63415"/>
      <c r="E63415"/>
      <c r="F63415"/>
    </row>
    <row r="63416" spans="1:6" x14ac:dyDescent="0.25">
      <c r="A63416"/>
      <c r="B63416"/>
      <c r="C63416"/>
      <c r="E63416"/>
      <c r="F63416"/>
    </row>
    <row r="63417" spans="1:6" x14ac:dyDescent="0.25">
      <c r="A63417"/>
      <c r="B63417"/>
      <c r="C63417"/>
      <c r="E63417"/>
      <c r="F63417"/>
    </row>
    <row r="63418" spans="1:6" x14ac:dyDescent="0.25">
      <c r="A63418"/>
      <c r="B63418"/>
      <c r="C63418"/>
      <c r="E63418"/>
      <c r="F63418"/>
    </row>
    <row r="63419" spans="1:6" x14ac:dyDescent="0.25">
      <c r="A63419"/>
      <c r="B63419"/>
      <c r="C63419"/>
      <c r="E63419"/>
      <c r="F63419"/>
    </row>
    <row r="63420" spans="1:6" x14ac:dyDescent="0.25">
      <c r="A63420"/>
      <c r="B63420"/>
      <c r="C63420"/>
      <c r="E63420"/>
      <c r="F63420"/>
    </row>
    <row r="63421" spans="1:6" x14ac:dyDescent="0.25">
      <c r="A63421"/>
      <c r="B63421"/>
      <c r="C63421"/>
      <c r="E63421"/>
      <c r="F63421"/>
    </row>
    <row r="63422" spans="1:6" x14ac:dyDescent="0.25">
      <c r="A63422"/>
      <c r="B63422"/>
      <c r="C63422"/>
      <c r="E63422"/>
      <c r="F63422"/>
    </row>
    <row r="63423" spans="1:6" x14ac:dyDescent="0.25">
      <c r="A63423"/>
      <c r="B63423"/>
      <c r="C63423"/>
      <c r="E63423"/>
      <c r="F63423"/>
    </row>
    <row r="63424" spans="1:6" x14ac:dyDescent="0.25">
      <c r="A63424"/>
      <c r="B63424"/>
      <c r="C63424"/>
      <c r="E63424"/>
      <c r="F63424"/>
    </row>
    <row r="63425" spans="1:6" x14ac:dyDescent="0.25">
      <c r="A63425"/>
      <c r="B63425"/>
      <c r="C63425"/>
      <c r="E63425"/>
      <c r="F63425"/>
    </row>
    <row r="63426" spans="1:6" x14ac:dyDescent="0.25">
      <c r="A63426"/>
      <c r="B63426"/>
      <c r="C63426"/>
      <c r="E63426"/>
      <c r="F63426"/>
    </row>
    <row r="63427" spans="1:6" x14ac:dyDescent="0.25">
      <c r="A63427"/>
      <c r="B63427"/>
      <c r="C63427"/>
      <c r="E63427"/>
      <c r="F63427"/>
    </row>
    <row r="63428" spans="1:6" x14ac:dyDescent="0.25">
      <c r="A63428"/>
      <c r="B63428"/>
      <c r="C63428"/>
      <c r="E63428"/>
      <c r="F63428"/>
    </row>
    <row r="63429" spans="1:6" x14ac:dyDescent="0.25">
      <c r="A63429"/>
      <c r="B63429"/>
      <c r="C63429"/>
      <c r="E63429"/>
      <c r="F63429"/>
    </row>
    <row r="63430" spans="1:6" x14ac:dyDescent="0.25">
      <c r="A63430"/>
      <c r="B63430"/>
      <c r="C63430"/>
      <c r="E63430"/>
      <c r="F63430"/>
    </row>
    <row r="63431" spans="1:6" x14ac:dyDescent="0.25">
      <c r="A63431"/>
      <c r="B63431"/>
      <c r="C63431"/>
      <c r="E63431"/>
      <c r="F63431"/>
    </row>
    <row r="63432" spans="1:6" x14ac:dyDescent="0.25">
      <c r="A63432"/>
      <c r="B63432"/>
      <c r="C63432"/>
      <c r="E63432"/>
      <c r="F63432"/>
    </row>
    <row r="63433" spans="1:6" x14ac:dyDescent="0.25">
      <c r="A63433"/>
      <c r="B63433"/>
      <c r="C63433"/>
      <c r="E63433"/>
      <c r="F63433"/>
    </row>
    <row r="63434" spans="1:6" x14ac:dyDescent="0.25">
      <c r="A63434"/>
      <c r="B63434"/>
      <c r="C63434"/>
      <c r="E63434"/>
      <c r="F63434"/>
    </row>
    <row r="63435" spans="1:6" x14ac:dyDescent="0.25">
      <c r="A63435"/>
      <c r="B63435"/>
      <c r="C63435"/>
      <c r="E63435"/>
      <c r="F63435"/>
    </row>
    <row r="63436" spans="1:6" x14ac:dyDescent="0.25">
      <c r="A63436"/>
      <c r="B63436"/>
      <c r="C63436"/>
      <c r="E63436"/>
      <c r="F63436"/>
    </row>
    <row r="63437" spans="1:6" x14ac:dyDescent="0.25">
      <c r="A63437"/>
      <c r="B63437"/>
      <c r="C63437"/>
      <c r="E63437"/>
      <c r="F63437"/>
    </row>
    <row r="63438" spans="1:6" x14ac:dyDescent="0.25">
      <c r="A63438"/>
      <c r="B63438"/>
      <c r="C63438"/>
      <c r="E63438"/>
      <c r="F63438"/>
    </row>
    <row r="63439" spans="1:6" x14ac:dyDescent="0.25">
      <c r="A63439"/>
      <c r="B63439"/>
      <c r="C63439"/>
      <c r="E63439"/>
      <c r="F63439"/>
    </row>
    <row r="63440" spans="1:6" x14ac:dyDescent="0.25">
      <c r="A63440"/>
      <c r="B63440"/>
      <c r="C63440"/>
      <c r="E63440"/>
      <c r="F63440"/>
    </row>
    <row r="63441" spans="1:6" x14ac:dyDescent="0.25">
      <c r="A63441"/>
      <c r="B63441"/>
      <c r="C63441"/>
      <c r="E63441"/>
      <c r="F63441"/>
    </row>
    <row r="63442" spans="1:6" x14ac:dyDescent="0.25">
      <c r="A63442"/>
      <c r="B63442"/>
      <c r="C63442"/>
      <c r="E63442"/>
      <c r="F63442"/>
    </row>
    <row r="63443" spans="1:6" x14ac:dyDescent="0.25">
      <c r="A63443"/>
      <c r="B63443"/>
      <c r="C63443"/>
      <c r="E63443"/>
      <c r="F63443"/>
    </row>
    <row r="63444" spans="1:6" x14ac:dyDescent="0.25">
      <c r="A63444"/>
      <c r="B63444"/>
      <c r="C63444"/>
      <c r="E63444"/>
      <c r="F63444"/>
    </row>
    <row r="63445" spans="1:6" x14ac:dyDescent="0.25">
      <c r="A63445"/>
      <c r="B63445"/>
      <c r="C63445"/>
      <c r="E63445"/>
      <c r="F63445"/>
    </row>
    <row r="63446" spans="1:6" x14ac:dyDescent="0.25">
      <c r="A63446"/>
      <c r="B63446"/>
      <c r="C63446"/>
      <c r="E63446"/>
      <c r="F63446"/>
    </row>
    <row r="63447" spans="1:6" x14ac:dyDescent="0.25">
      <c r="A63447"/>
      <c r="B63447"/>
      <c r="C63447"/>
      <c r="E63447"/>
      <c r="F63447"/>
    </row>
    <row r="63448" spans="1:6" x14ac:dyDescent="0.25">
      <c r="A63448"/>
      <c r="B63448"/>
      <c r="C63448"/>
      <c r="E63448"/>
      <c r="F63448"/>
    </row>
    <row r="63449" spans="1:6" x14ac:dyDescent="0.25">
      <c r="A63449"/>
      <c r="B63449"/>
      <c r="C63449"/>
      <c r="E63449"/>
      <c r="F63449"/>
    </row>
    <row r="63450" spans="1:6" x14ac:dyDescent="0.25">
      <c r="A63450"/>
      <c r="B63450"/>
      <c r="C63450"/>
      <c r="E63450"/>
      <c r="F63450"/>
    </row>
    <row r="63451" spans="1:6" x14ac:dyDescent="0.25">
      <c r="A63451"/>
      <c r="B63451"/>
      <c r="C63451"/>
      <c r="E63451"/>
      <c r="F63451"/>
    </row>
    <row r="63452" spans="1:6" x14ac:dyDescent="0.25">
      <c r="A63452"/>
      <c r="B63452"/>
      <c r="C63452"/>
      <c r="E63452"/>
      <c r="F63452"/>
    </row>
    <row r="63453" spans="1:6" x14ac:dyDescent="0.25">
      <c r="A63453"/>
      <c r="B63453"/>
      <c r="C63453"/>
      <c r="E63453"/>
      <c r="F63453"/>
    </row>
    <row r="63454" spans="1:6" x14ac:dyDescent="0.25">
      <c r="A63454"/>
      <c r="B63454"/>
      <c r="C63454"/>
      <c r="E63454"/>
      <c r="F63454"/>
    </row>
    <row r="63455" spans="1:6" x14ac:dyDescent="0.25">
      <c r="A63455"/>
      <c r="B63455"/>
      <c r="C63455"/>
      <c r="E63455"/>
      <c r="F63455"/>
    </row>
    <row r="63456" spans="1:6" x14ac:dyDescent="0.25">
      <c r="A63456"/>
      <c r="B63456"/>
      <c r="C63456"/>
      <c r="E63456"/>
      <c r="F63456"/>
    </row>
    <row r="63457" spans="1:6" x14ac:dyDescent="0.25">
      <c r="A63457"/>
      <c r="B63457"/>
      <c r="C63457"/>
      <c r="E63457"/>
      <c r="F63457"/>
    </row>
    <row r="63458" spans="1:6" x14ac:dyDescent="0.25">
      <c r="A63458"/>
      <c r="B63458"/>
      <c r="C63458"/>
      <c r="E63458"/>
      <c r="F63458"/>
    </row>
    <row r="63459" spans="1:6" x14ac:dyDescent="0.25">
      <c r="A63459"/>
      <c r="B63459"/>
      <c r="C63459"/>
      <c r="E63459"/>
      <c r="F63459"/>
    </row>
    <row r="63460" spans="1:6" x14ac:dyDescent="0.25">
      <c r="A63460"/>
      <c r="B63460"/>
      <c r="C63460"/>
      <c r="E63460"/>
      <c r="F63460"/>
    </row>
    <row r="63461" spans="1:6" x14ac:dyDescent="0.25">
      <c r="A63461"/>
      <c r="B63461"/>
      <c r="C63461"/>
      <c r="E63461"/>
      <c r="F63461"/>
    </row>
    <row r="63462" spans="1:6" x14ac:dyDescent="0.25">
      <c r="A63462"/>
      <c r="B63462"/>
      <c r="C63462"/>
      <c r="E63462"/>
      <c r="F63462"/>
    </row>
    <row r="63463" spans="1:6" x14ac:dyDescent="0.25">
      <c r="A63463"/>
      <c r="B63463"/>
      <c r="C63463"/>
      <c r="E63463"/>
      <c r="F63463"/>
    </row>
    <row r="63464" spans="1:6" x14ac:dyDescent="0.25">
      <c r="A63464"/>
      <c r="B63464"/>
      <c r="C63464"/>
      <c r="E63464"/>
      <c r="F63464"/>
    </row>
    <row r="63465" spans="1:6" x14ac:dyDescent="0.25">
      <c r="A63465"/>
      <c r="B63465"/>
      <c r="C63465"/>
      <c r="E63465"/>
      <c r="F63465"/>
    </row>
    <row r="63466" spans="1:6" x14ac:dyDescent="0.25">
      <c r="A63466"/>
      <c r="B63466"/>
      <c r="C63466"/>
      <c r="E63466"/>
      <c r="F63466"/>
    </row>
    <row r="63467" spans="1:6" x14ac:dyDescent="0.25">
      <c r="A63467"/>
      <c r="B63467"/>
      <c r="C63467"/>
      <c r="E63467"/>
      <c r="F63467"/>
    </row>
    <row r="63468" spans="1:6" x14ac:dyDescent="0.25">
      <c r="A63468"/>
      <c r="B63468"/>
      <c r="C63468"/>
      <c r="E63468"/>
      <c r="F63468"/>
    </row>
    <row r="63469" spans="1:6" x14ac:dyDescent="0.25">
      <c r="A63469"/>
      <c r="B63469"/>
      <c r="C63469"/>
      <c r="E63469"/>
      <c r="F63469"/>
    </row>
    <row r="63470" spans="1:6" x14ac:dyDescent="0.25">
      <c r="A63470"/>
      <c r="B63470"/>
      <c r="C63470"/>
      <c r="E63470"/>
      <c r="F63470"/>
    </row>
    <row r="63471" spans="1:6" x14ac:dyDescent="0.25">
      <c r="A63471"/>
      <c r="B63471"/>
      <c r="C63471"/>
      <c r="E63471"/>
      <c r="F63471"/>
    </row>
    <row r="63472" spans="1:6" x14ac:dyDescent="0.25">
      <c r="A63472"/>
      <c r="B63472"/>
      <c r="C63472"/>
      <c r="E63472"/>
      <c r="F63472"/>
    </row>
    <row r="63473" spans="1:6" x14ac:dyDescent="0.25">
      <c r="A63473"/>
      <c r="B63473"/>
      <c r="C63473"/>
      <c r="E63473"/>
      <c r="F63473"/>
    </row>
    <row r="63474" spans="1:6" x14ac:dyDescent="0.25">
      <c r="A63474"/>
      <c r="B63474"/>
      <c r="C63474"/>
      <c r="E63474"/>
      <c r="F63474"/>
    </row>
    <row r="63475" spans="1:6" x14ac:dyDescent="0.25">
      <c r="A63475"/>
      <c r="B63475"/>
      <c r="C63475"/>
      <c r="E63475"/>
      <c r="F63475"/>
    </row>
    <row r="63476" spans="1:6" x14ac:dyDescent="0.25">
      <c r="A63476"/>
      <c r="B63476"/>
      <c r="C63476"/>
      <c r="E63476"/>
      <c r="F63476"/>
    </row>
    <row r="63477" spans="1:6" x14ac:dyDescent="0.25">
      <c r="A63477"/>
      <c r="B63477"/>
      <c r="C63477"/>
      <c r="E63477"/>
      <c r="F63477"/>
    </row>
    <row r="63478" spans="1:6" x14ac:dyDescent="0.25">
      <c r="A63478"/>
      <c r="B63478"/>
      <c r="C63478"/>
      <c r="E63478"/>
      <c r="F63478"/>
    </row>
    <row r="63479" spans="1:6" x14ac:dyDescent="0.25">
      <c r="A63479"/>
      <c r="B63479"/>
      <c r="C63479"/>
      <c r="E63479"/>
      <c r="F63479"/>
    </row>
    <row r="63480" spans="1:6" x14ac:dyDescent="0.25">
      <c r="A63480"/>
      <c r="B63480"/>
      <c r="C63480"/>
      <c r="E63480"/>
      <c r="F63480"/>
    </row>
    <row r="63481" spans="1:6" x14ac:dyDescent="0.25">
      <c r="A63481"/>
      <c r="B63481"/>
      <c r="C63481"/>
      <c r="E63481"/>
      <c r="F63481"/>
    </row>
    <row r="63482" spans="1:6" x14ac:dyDescent="0.25">
      <c r="A63482"/>
      <c r="B63482"/>
      <c r="C63482"/>
      <c r="E63482"/>
      <c r="F63482"/>
    </row>
    <row r="63483" spans="1:6" x14ac:dyDescent="0.25">
      <c r="A63483"/>
      <c r="B63483"/>
      <c r="C63483"/>
      <c r="E63483"/>
      <c r="F63483"/>
    </row>
    <row r="63484" spans="1:6" x14ac:dyDescent="0.25">
      <c r="A63484"/>
      <c r="B63484"/>
      <c r="C63484"/>
      <c r="E63484"/>
      <c r="F63484"/>
    </row>
    <row r="63485" spans="1:6" x14ac:dyDescent="0.25">
      <c r="A63485"/>
      <c r="B63485"/>
      <c r="C63485"/>
      <c r="E63485"/>
      <c r="F63485"/>
    </row>
    <row r="63486" spans="1:6" x14ac:dyDescent="0.25">
      <c r="A63486"/>
      <c r="B63486"/>
      <c r="C63486"/>
      <c r="E63486"/>
      <c r="F63486"/>
    </row>
    <row r="63487" spans="1:6" x14ac:dyDescent="0.25">
      <c r="A63487"/>
      <c r="B63487"/>
      <c r="C63487"/>
      <c r="E63487"/>
      <c r="F63487"/>
    </row>
    <row r="63488" spans="1:6" x14ac:dyDescent="0.25">
      <c r="A63488"/>
      <c r="B63488"/>
      <c r="C63488"/>
      <c r="E63488"/>
      <c r="F63488"/>
    </row>
    <row r="63489" spans="1:6" x14ac:dyDescent="0.25">
      <c r="A63489"/>
      <c r="B63489"/>
      <c r="C63489"/>
      <c r="E63489"/>
      <c r="F63489"/>
    </row>
    <row r="63490" spans="1:6" x14ac:dyDescent="0.25">
      <c r="A63490"/>
      <c r="B63490"/>
      <c r="C63490"/>
      <c r="E63490"/>
      <c r="F63490"/>
    </row>
    <row r="63491" spans="1:6" x14ac:dyDescent="0.25">
      <c r="A63491"/>
      <c r="B63491"/>
      <c r="C63491"/>
      <c r="E63491"/>
      <c r="F63491"/>
    </row>
    <row r="63492" spans="1:6" x14ac:dyDescent="0.25">
      <c r="A63492"/>
      <c r="B63492"/>
      <c r="C63492"/>
      <c r="E63492"/>
      <c r="F63492"/>
    </row>
    <row r="63493" spans="1:6" x14ac:dyDescent="0.25">
      <c r="A63493"/>
      <c r="B63493"/>
      <c r="C63493"/>
      <c r="E63493"/>
      <c r="F63493"/>
    </row>
    <row r="63494" spans="1:6" x14ac:dyDescent="0.25">
      <c r="A63494"/>
      <c r="B63494"/>
      <c r="C63494"/>
      <c r="E63494"/>
      <c r="F63494"/>
    </row>
    <row r="63495" spans="1:6" x14ac:dyDescent="0.25">
      <c r="A63495"/>
      <c r="B63495"/>
      <c r="C63495"/>
      <c r="E63495"/>
      <c r="F63495"/>
    </row>
    <row r="63496" spans="1:6" x14ac:dyDescent="0.25">
      <c r="A63496"/>
      <c r="B63496"/>
      <c r="C63496"/>
      <c r="E63496"/>
      <c r="F63496"/>
    </row>
    <row r="63497" spans="1:6" x14ac:dyDescent="0.25">
      <c r="A63497"/>
      <c r="B63497"/>
      <c r="C63497"/>
      <c r="E63497"/>
      <c r="F63497"/>
    </row>
    <row r="63498" spans="1:6" x14ac:dyDescent="0.25">
      <c r="A63498"/>
      <c r="B63498"/>
      <c r="C63498"/>
      <c r="E63498"/>
      <c r="F63498"/>
    </row>
    <row r="63499" spans="1:6" x14ac:dyDescent="0.25">
      <c r="A63499"/>
      <c r="B63499"/>
      <c r="C63499"/>
      <c r="E63499"/>
      <c r="F63499"/>
    </row>
    <row r="63500" spans="1:6" x14ac:dyDescent="0.25">
      <c r="A63500"/>
      <c r="B63500"/>
      <c r="C63500"/>
      <c r="E63500"/>
      <c r="F63500"/>
    </row>
    <row r="63501" spans="1:6" x14ac:dyDescent="0.25">
      <c r="A63501"/>
      <c r="B63501"/>
      <c r="C63501"/>
      <c r="E63501"/>
      <c r="F63501"/>
    </row>
    <row r="63502" spans="1:6" x14ac:dyDescent="0.25">
      <c r="A63502"/>
      <c r="B63502"/>
      <c r="C63502"/>
      <c r="E63502"/>
      <c r="F63502"/>
    </row>
    <row r="63503" spans="1:6" x14ac:dyDescent="0.25">
      <c r="A63503"/>
      <c r="B63503"/>
      <c r="C63503"/>
      <c r="E63503"/>
      <c r="F63503"/>
    </row>
    <row r="63504" spans="1:6" x14ac:dyDescent="0.25">
      <c r="A63504"/>
      <c r="B63504"/>
      <c r="C63504"/>
      <c r="E63504"/>
      <c r="F63504"/>
    </row>
    <row r="63505" spans="1:6" x14ac:dyDescent="0.25">
      <c r="A63505"/>
      <c r="B63505"/>
      <c r="C63505"/>
      <c r="E63505"/>
      <c r="F63505"/>
    </row>
    <row r="63506" spans="1:6" x14ac:dyDescent="0.25">
      <c r="A63506"/>
      <c r="B63506"/>
      <c r="C63506"/>
      <c r="E63506"/>
      <c r="F63506"/>
    </row>
    <row r="63507" spans="1:6" x14ac:dyDescent="0.25">
      <c r="A63507"/>
      <c r="B63507"/>
      <c r="C63507"/>
      <c r="E63507"/>
      <c r="F63507"/>
    </row>
    <row r="63508" spans="1:6" x14ac:dyDescent="0.25">
      <c r="A63508"/>
      <c r="B63508"/>
      <c r="C63508"/>
      <c r="E63508"/>
      <c r="F63508"/>
    </row>
    <row r="63509" spans="1:6" x14ac:dyDescent="0.25">
      <c r="A63509"/>
      <c r="B63509"/>
      <c r="C63509"/>
      <c r="E63509"/>
      <c r="F63509"/>
    </row>
    <row r="63510" spans="1:6" x14ac:dyDescent="0.25">
      <c r="A63510"/>
      <c r="B63510"/>
      <c r="C63510"/>
      <c r="E63510"/>
      <c r="F63510"/>
    </row>
    <row r="63511" spans="1:6" x14ac:dyDescent="0.25">
      <c r="A63511"/>
      <c r="B63511"/>
      <c r="C63511"/>
      <c r="E63511"/>
      <c r="F63511"/>
    </row>
    <row r="63512" spans="1:6" x14ac:dyDescent="0.25">
      <c r="A63512"/>
      <c r="B63512"/>
      <c r="C63512"/>
      <c r="E63512"/>
      <c r="F63512"/>
    </row>
    <row r="63513" spans="1:6" x14ac:dyDescent="0.25">
      <c r="A63513"/>
      <c r="B63513"/>
      <c r="C63513"/>
      <c r="E63513"/>
      <c r="F63513"/>
    </row>
    <row r="63514" spans="1:6" x14ac:dyDescent="0.25">
      <c r="A63514"/>
      <c r="B63514"/>
      <c r="C63514"/>
      <c r="E63514"/>
      <c r="F63514"/>
    </row>
    <row r="63515" spans="1:6" x14ac:dyDescent="0.25">
      <c r="A63515"/>
      <c r="B63515"/>
      <c r="C63515"/>
      <c r="E63515"/>
      <c r="F63515"/>
    </row>
    <row r="63516" spans="1:6" x14ac:dyDescent="0.25">
      <c r="A63516"/>
      <c r="B63516"/>
      <c r="C63516"/>
      <c r="E63516"/>
      <c r="F63516"/>
    </row>
    <row r="63517" spans="1:6" x14ac:dyDescent="0.25">
      <c r="A63517"/>
      <c r="B63517"/>
      <c r="C63517"/>
      <c r="E63517"/>
      <c r="F63517"/>
    </row>
    <row r="63518" spans="1:6" x14ac:dyDescent="0.25">
      <c r="A63518"/>
      <c r="B63518"/>
      <c r="C63518"/>
      <c r="E63518"/>
      <c r="F63518"/>
    </row>
    <row r="63519" spans="1:6" x14ac:dyDescent="0.25">
      <c r="A63519"/>
      <c r="B63519"/>
      <c r="C63519"/>
      <c r="E63519"/>
      <c r="F63519"/>
    </row>
    <row r="63520" spans="1:6" x14ac:dyDescent="0.25">
      <c r="A63520"/>
      <c r="B63520"/>
      <c r="C63520"/>
      <c r="E63520"/>
      <c r="F63520"/>
    </row>
    <row r="63521" spans="1:6" x14ac:dyDescent="0.25">
      <c r="A63521"/>
      <c r="B63521"/>
      <c r="C63521"/>
      <c r="E63521"/>
      <c r="F63521"/>
    </row>
    <row r="63522" spans="1:6" x14ac:dyDescent="0.25">
      <c r="A63522"/>
      <c r="B63522"/>
      <c r="C63522"/>
      <c r="E63522"/>
      <c r="F63522"/>
    </row>
    <row r="63523" spans="1:6" x14ac:dyDescent="0.25">
      <c r="A63523"/>
      <c r="B63523"/>
      <c r="C63523"/>
      <c r="E63523"/>
      <c r="F63523"/>
    </row>
    <row r="63524" spans="1:6" x14ac:dyDescent="0.25">
      <c r="A63524"/>
      <c r="B63524"/>
      <c r="C63524"/>
      <c r="E63524"/>
      <c r="F63524"/>
    </row>
    <row r="63525" spans="1:6" x14ac:dyDescent="0.25">
      <c r="A63525"/>
      <c r="B63525"/>
      <c r="C63525"/>
      <c r="E63525"/>
      <c r="F63525"/>
    </row>
    <row r="63526" spans="1:6" x14ac:dyDescent="0.25">
      <c r="A63526"/>
      <c r="B63526"/>
      <c r="C63526"/>
      <c r="E63526"/>
      <c r="F63526"/>
    </row>
    <row r="63527" spans="1:6" x14ac:dyDescent="0.25">
      <c r="A63527"/>
      <c r="B63527"/>
      <c r="C63527"/>
      <c r="E63527"/>
      <c r="F63527"/>
    </row>
    <row r="63528" spans="1:6" x14ac:dyDescent="0.25">
      <c r="A63528"/>
      <c r="B63528"/>
      <c r="C63528"/>
      <c r="E63528"/>
      <c r="F63528"/>
    </row>
    <row r="63529" spans="1:6" x14ac:dyDescent="0.25">
      <c r="A63529"/>
      <c r="B63529"/>
      <c r="C63529"/>
      <c r="E63529"/>
      <c r="F63529"/>
    </row>
    <row r="63530" spans="1:6" x14ac:dyDescent="0.25">
      <c r="A63530"/>
      <c r="B63530"/>
      <c r="C63530"/>
      <c r="E63530"/>
      <c r="F63530"/>
    </row>
    <row r="63531" spans="1:6" x14ac:dyDescent="0.25">
      <c r="A63531"/>
      <c r="B63531"/>
      <c r="C63531"/>
      <c r="E63531"/>
      <c r="F63531"/>
    </row>
    <row r="63532" spans="1:6" x14ac:dyDescent="0.25">
      <c r="A63532"/>
      <c r="B63532"/>
      <c r="C63532"/>
      <c r="E63532"/>
      <c r="F63532"/>
    </row>
    <row r="63533" spans="1:6" x14ac:dyDescent="0.25">
      <c r="A63533"/>
      <c r="B63533"/>
      <c r="C63533"/>
      <c r="E63533"/>
      <c r="F63533"/>
    </row>
    <row r="63534" spans="1:6" x14ac:dyDescent="0.25">
      <c r="A63534"/>
      <c r="B63534"/>
      <c r="C63534"/>
      <c r="E63534"/>
      <c r="F63534"/>
    </row>
    <row r="63535" spans="1:6" x14ac:dyDescent="0.25">
      <c r="A63535"/>
      <c r="B63535"/>
      <c r="C63535"/>
      <c r="E63535"/>
      <c r="F63535"/>
    </row>
    <row r="63536" spans="1:6" x14ac:dyDescent="0.25">
      <c r="A63536"/>
      <c r="B63536"/>
      <c r="C63536"/>
      <c r="E63536"/>
      <c r="F63536"/>
    </row>
    <row r="63537" spans="1:6" x14ac:dyDescent="0.25">
      <c r="A63537"/>
      <c r="B63537"/>
      <c r="C63537"/>
      <c r="E63537"/>
      <c r="F63537"/>
    </row>
    <row r="63538" spans="1:6" x14ac:dyDescent="0.25">
      <c r="A63538"/>
      <c r="B63538"/>
      <c r="C63538"/>
      <c r="E63538"/>
      <c r="F63538"/>
    </row>
    <row r="63539" spans="1:6" x14ac:dyDescent="0.25">
      <c r="A63539"/>
      <c r="B63539"/>
      <c r="C63539"/>
      <c r="E63539"/>
      <c r="F63539"/>
    </row>
    <row r="63540" spans="1:6" x14ac:dyDescent="0.25">
      <c r="A63540"/>
      <c r="B63540"/>
      <c r="C63540"/>
      <c r="E63540"/>
      <c r="F63540"/>
    </row>
    <row r="63541" spans="1:6" x14ac:dyDescent="0.25">
      <c r="A63541"/>
      <c r="B63541"/>
      <c r="C63541"/>
      <c r="E63541"/>
      <c r="F63541"/>
    </row>
    <row r="63542" spans="1:6" x14ac:dyDescent="0.25">
      <c r="A63542"/>
      <c r="B63542"/>
      <c r="C63542"/>
      <c r="E63542"/>
      <c r="F63542"/>
    </row>
    <row r="63543" spans="1:6" x14ac:dyDescent="0.25">
      <c r="A63543"/>
      <c r="B63543"/>
      <c r="C63543"/>
      <c r="E63543"/>
      <c r="F63543"/>
    </row>
    <row r="63544" spans="1:6" x14ac:dyDescent="0.25">
      <c r="A63544"/>
      <c r="B63544"/>
      <c r="C63544"/>
      <c r="E63544"/>
      <c r="F63544"/>
    </row>
    <row r="63545" spans="1:6" x14ac:dyDescent="0.25">
      <c r="A63545"/>
      <c r="B63545"/>
      <c r="C63545"/>
      <c r="E63545"/>
      <c r="F63545"/>
    </row>
    <row r="63546" spans="1:6" x14ac:dyDescent="0.25">
      <c r="A63546"/>
      <c r="B63546"/>
      <c r="C63546"/>
      <c r="E63546"/>
      <c r="F63546"/>
    </row>
    <row r="63547" spans="1:6" x14ac:dyDescent="0.25">
      <c r="A63547"/>
      <c r="B63547"/>
      <c r="C63547"/>
      <c r="E63547"/>
      <c r="F63547"/>
    </row>
    <row r="63548" spans="1:6" x14ac:dyDescent="0.25">
      <c r="A63548"/>
      <c r="B63548"/>
      <c r="C63548"/>
      <c r="E63548"/>
      <c r="F63548"/>
    </row>
    <row r="63549" spans="1:6" x14ac:dyDescent="0.25">
      <c r="A63549"/>
      <c r="B63549"/>
      <c r="C63549"/>
      <c r="E63549"/>
      <c r="F63549"/>
    </row>
    <row r="63550" spans="1:6" x14ac:dyDescent="0.25">
      <c r="A63550"/>
      <c r="B63550"/>
      <c r="C63550"/>
      <c r="E63550"/>
      <c r="F63550"/>
    </row>
    <row r="63551" spans="1:6" x14ac:dyDescent="0.25">
      <c r="A63551"/>
      <c r="B63551"/>
      <c r="C63551"/>
      <c r="E63551"/>
      <c r="F63551"/>
    </row>
    <row r="63552" spans="1:6" x14ac:dyDescent="0.25">
      <c r="A63552"/>
      <c r="B63552"/>
      <c r="C63552"/>
      <c r="E63552"/>
      <c r="F63552"/>
    </row>
    <row r="63553" spans="1:6" x14ac:dyDescent="0.25">
      <c r="A63553"/>
      <c r="B63553"/>
      <c r="C63553"/>
      <c r="E63553"/>
      <c r="F63553"/>
    </row>
    <row r="63554" spans="1:6" x14ac:dyDescent="0.25">
      <c r="A63554"/>
      <c r="B63554"/>
      <c r="C63554"/>
      <c r="E63554"/>
      <c r="F63554"/>
    </row>
    <row r="63555" spans="1:6" x14ac:dyDescent="0.25">
      <c r="A63555"/>
      <c r="B63555"/>
      <c r="C63555"/>
      <c r="E63555"/>
      <c r="F63555"/>
    </row>
    <row r="63556" spans="1:6" x14ac:dyDescent="0.25">
      <c r="A63556"/>
      <c r="B63556"/>
      <c r="C63556"/>
      <c r="E63556"/>
      <c r="F63556"/>
    </row>
    <row r="63557" spans="1:6" x14ac:dyDescent="0.25">
      <c r="A63557"/>
      <c r="B63557"/>
      <c r="C63557"/>
      <c r="E63557"/>
      <c r="F63557"/>
    </row>
    <row r="63558" spans="1:6" x14ac:dyDescent="0.25">
      <c r="A63558"/>
      <c r="B63558"/>
      <c r="C63558"/>
      <c r="E63558"/>
      <c r="F63558"/>
    </row>
    <row r="63559" spans="1:6" x14ac:dyDescent="0.25">
      <c r="A63559"/>
      <c r="B63559"/>
      <c r="C63559"/>
      <c r="E63559"/>
      <c r="F63559"/>
    </row>
    <row r="63560" spans="1:6" x14ac:dyDescent="0.25">
      <c r="A63560"/>
      <c r="B63560"/>
      <c r="C63560"/>
      <c r="E63560"/>
      <c r="F63560"/>
    </row>
    <row r="63561" spans="1:6" x14ac:dyDescent="0.25">
      <c r="A63561"/>
      <c r="B63561"/>
      <c r="C63561"/>
      <c r="E63561"/>
      <c r="F63561"/>
    </row>
    <row r="63562" spans="1:6" x14ac:dyDescent="0.25">
      <c r="A63562"/>
      <c r="B63562"/>
      <c r="C63562"/>
      <c r="E63562"/>
      <c r="F63562"/>
    </row>
    <row r="63563" spans="1:6" x14ac:dyDescent="0.25">
      <c r="A63563"/>
      <c r="B63563"/>
      <c r="C63563"/>
      <c r="E63563"/>
      <c r="F63563"/>
    </row>
    <row r="63564" spans="1:6" x14ac:dyDescent="0.25">
      <c r="A63564"/>
      <c r="B63564"/>
      <c r="C63564"/>
      <c r="E63564"/>
      <c r="F63564"/>
    </row>
    <row r="63565" spans="1:6" x14ac:dyDescent="0.25">
      <c r="A63565"/>
      <c r="B63565"/>
      <c r="C63565"/>
      <c r="E63565"/>
      <c r="F63565"/>
    </row>
    <row r="63566" spans="1:6" x14ac:dyDescent="0.25">
      <c r="A63566"/>
      <c r="B63566"/>
      <c r="C63566"/>
      <c r="E63566"/>
      <c r="F63566"/>
    </row>
    <row r="63567" spans="1:6" x14ac:dyDescent="0.25">
      <c r="A63567"/>
      <c r="B63567"/>
      <c r="C63567"/>
      <c r="E63567"/>
      <c r="F63567"/>
    </row>
    <row r="63568" spans="1:6" x14ac:dyDescent="0.25">
      <c r="A63568"/>
      <c r="B63568"/>
      <c r="C63568"/>
      <c r="E63568"/>
      <c r="F63568"/>
    </row>
    <row r="63569" spans="1:6" x14ac:dyDescent="0.25">
      <c r="A63569"/>
      <c r="B63569"/>
      <c r="C63569"/>
      <c r="E63569"/>
      <c r="F63569"/>
    </row>
    <row r="63570" spans="1:6" x14ac:dyDescent="0.25">
      <c r="A63570"/>
      <c r="B63570"/>
      <c r="C63570"/>
      <c r="E63570"/>
      <c r="F63570"/>
    </row>
    <row r="63571" spans="1:6" x14ac:dyDescent="0.25">
      <c r="A63571"/>
      <c r="B63571"/>
      <c r="C63571"/>
      <c r="E63571"/>
      <c r="F63571"/>
    </row>
    <row r="63572" spans="1:6" x14ac:dyDescent="0.25">
      <c r="A63572"/>
      <c r="B63572"/>
      <c r="C63572"/>
      <c r="E63572"/>
      <c r="F63572"/>
    </row>
    <row r="63573" spans="1:6" x14ac:dyDescent="0.25">
      <c r="A63573"/>
      <c r="B63573"/>
      <c r="C63573"/>
      <c r="E63573"/>
      <c r="F63573"/>
    </row>
    <row r="63574" spans="1:6" x14ac:dyDescent="0.25">
      <c r="A63574"/>
      <c r="B63574"/>
      <c r="C63574"/>
      <c r="E63574"/>
      <c r="F63574"/>
    </row>
    <row r="63575" spans="1:6" x14ac:dyDescent="0.25">
      <c r="A63575"/>
      <c r="B63575"/>
      <c r="C63575"/>
      <c r="E63575"/>
      <c r="F63575"/>
    </row>
    <row r="63576" spans="1:6" x14ac:dyDescent="0.25">
      <c r="A63576"/>
      <c r="B63576"/>
      <c r="C63576"/>
      <c r="E63576"/>
      <c r="F63576"/>
    </row>
    <row r="63577" spans="1:6" x14ac:dyDescent="0.25">
      <c r="A63577"/>
      <c r="B63577"/>
      <c r="C63577"/>
      <c r="E63577"/>
      <c r="F63577"/>
    </row>
    <row r="63578" spans="1:6" x14ac:dyDescent="0.25">
      <c r="A63578"/>
      <c r="B63578"/>
      <c r="C63578"/>
      <c r="E63578"/>
      <c r="F63578"/>
    </row>
    <row r="63579" spans="1:6" x14ac:dyDescent="0.25">
      <c r="A63579"/>
      <c r="B63579"/>
      <c r="C63579"/>
      <c r="E63579"/>
      <c r="F63579"/>
    </row>
    <row r="63580" spans="1:6" x14ac:dyDescent="0.25">
      <c r="A63580"/>
      <c r="B63580"/>
      <c r="C63580"/>
      <c r="E63580"/>
      <c r="F63580"/>
    </row>
    <row r="63581" spans="1:6" x14ac:dyDescent="0.25">
      <c r="A63581"/>
      <c r="B63581"/>
      <c r="C63581"/>
      <c r="E63581"/>
      <c r="F63581"/>
    </row>
    <row r="63582" spans="1:6" x14ac:dyDescent="0.25">
      <c r="A63582"/>
      <c r="B63582"/>
      <c r="C63582"/>
      <c r="E63582"/>
      <c r="F63582"/>
    </row>
    <row r="63583" spans="1:6" x14ac:dyDescent="0.25">
      <c r="A63583"/>
      <c r="B63583"/>
      <c r="C63583"/>
      <c r="E63583"/>
      <c r="F63583"/>
    </row>
    <row r="63584" spans="1:6" x14ac:dyDescent="0.25">
      <c r="A63584"/>
      <c r="B63584"/>
      <c r="C63584"/>
      <c r="E63584"/>
      <c r="F63584"/>
    </row>
    <row r="63585" spans="1:6" x14ac:dyDescent="0.25">
      <c r="A63585"/>
      <c r="B63585"/>
      <c r="C63585"/>
      <c r="E63585"/>
      <c r="F63585"/>
    </row>
    <row r="63586" spans="1:6" x14ac:dyDescent="0.25">
      <c r="A63586"/>
      <c r="B63586"/>
      <c r="C63586"/>
      <c r="E63586"/>
      <c r="F63586"/>
    </row>
    <row r="63587" spans="1:6" x14ac:dyDescent="0.25">
      <c r="A63587"/>
      <c r="B63587"/>
      <c r="C63587"/>
      <c r="E63587"/>
      <c r="F63587"/>
    </row>
    <row r="63588" spans="1:6" x14ac:dyDescent="0.25">
      <c r="A63588"/>
      <c r="B63588"/>
      <c r="C63588"/>
      <c r="E63588"/>
      <c r="F63588"/>
    </row>
    <row r="63589" spans="1:6" x14ac:dyDescent="0.25">
      <c r="A63589"/>
      <c r="B63589"/>
      <c r="C63589"/>
      <c r="E63589"/>
      <c r="F63589"/>
    </row>
    <row r="63590" spans="1:6" x14ac:dyDescent="0.25">
      <c r="A63590"/>
      <c r="B63590"/>
      <c r="C63590"/>
      <c r="E63590"/>
      <c r="F63590"/>
    </row>
    <row r="63591" spans="1:6" x14ac:dyDescent="0.25">
      <c r="A63591"/>
      <c r="B63591"/>
      <c r="C63591"/>
      <c r="E63591"/>
      <c r="F63591"/>
    </row>
    <row r="63592" spans="1:6" x14ac:dyDescent="0.25">
      <c r="A63592"/>
      <c r="B63592"/>
      <c r="C63592"/>
      <c r="E63592"/>
      <c r="F63592"/>
    </row>
    <row r="63593" spans="1:6" x14ac:dyDescent="0.25">
      <c r="A63593"/>
      <c r="B63593"/>
      <c r="C63593"/>
      <c r="E63593"/>
      <c r="F63593"/>
    </row>
    <row r="63594" spans="1:6" x14ac:dyDescent="0.25">
      <c r="A63594"/>
      <c r="B63594"/>
      <c r="C63594"/>
      <c r="E63594"/>
      <c r="F63594"/>
    </row>
    <row r="63595" spans="1:6" x14ac:dyDescent="0.25">
      <c r="A63595"/>
      <c r="B63595"/>
      <c r="C63595"/>
      <c r="E63595"/>
      <c r="F63595"/>
    </row>
    <row r="63596" spans="1:6" x14ac:dyDescent="0.25">
      <c r="A63596"/>
      <c r="B63596"/>
      <c r="C63596"/>
      <c r="E63596"/>
      <c r="F63596"/>
    </row>
    <row r="63597" spans="1:6" x14ac:dyDescent="0.25">
      <c r="A63597"/>
      <c r="B63597"/>
      <c r="C63597"/>
      <c r="E63597"/>
      <c r="F63597"/>
    </row>
    <row r="63598" spans="1:6" x14ac:dyDescent="0.25">
      <c r="A63598"/>
      <c r="B63598"/>
      <c r="C63598"/>
      <c r="E63598"/>
      <c r="F63598"/>
    </row>
    <row r="63599" spans="1:6" x14ac:dyDescent="0.25">
      <c r="A63599"/>
      <c r="B63599"/>
      <c r="C63599"/>
      <c r="E63599"/>
      <c r="F63599"/>
    </row>
    <row r="63600" spans="1:6" x14ac:dyDescent="0.25">
      <c r="A63600"/>
      <c r="B63600"/>
      <c r="C63600"/>
      <c r="E63600"/>
      <c r="F63600"/>
    </row>
    <row r="63601" spans="1:6" x14ac:dyDescent="0.25">
      <c r="A63601"/>
      <c r="B63601"/>
      <c r="C63601"/>
      <c r="E63601"/>
      <c r="F63601"/>
    </row>
    <row r="63602" spans="1:6" x14ac:dyDescent="0.25">
      <c r="A63602"/>
      <c r="B63602"/>
      <c r="C63602"/>
      <c r="E63602"/>
      <c r="F63602"/>
    </row>
    <row r="63603" spans="1:6" x14ac:dyDescent="0.25">
      <c r="A63603"/>
      <c r="B63603"/>
      <c r="C63603"/>
      <c r="E63603"/>
      <c r="F63603"/>
    </row>
    <row r="63604" spans="1:6" x14ac:dyDescent="0.25">
      <c r="A63604"/>
      <c r="B63604"/>
      <c r="C63604"/>
      <c r="E63604"/>
      <c r="F63604"/>
    </row>
    <row r="63605" spans="1:6" x14ac:dyDescent="0.25">
      <c r="A63605"/>
      <c r="B63605"/>
      <c r="C63605"/>
      <c r="E63605"/>
      <c r="F63605"/>
    </row>
    <row r="63606" spans="1:6" x14ac:dyDescent="0.25">
      <c r="A63606"/>
      <c r="B63606"/>
      <c r="C63606"/>
      <c r="E63606"/>
      <c r="F63606"/>
    </row>
    <row r="63607" spans="1:6" x14ac:dyDescent="0.25">
      <c r="A63607"/>
      <c r="B63607"/>
      <c r="C63607"/>
      <c r="E63607"/>
      <c r="F63607"/>
    </row>
    <row r="63608" spans="1:6" x14ac:dyDescent="0.25">
      <c r="A63608"/>
      <c r="B63608"/>
      <c r="C63608"/>
      <c r="E63608"/>
      <c r="F63608"/>
    </row>
    <row r="63609" spans="1:6" x14ac:dyDescent="0.25">
      <c r="A63609"/>
      <c r="B63609"/>
      <c r="C63609"/>
      <c r="E63609"/>
      <c r="F63609"/>
    </row>
    <row r="63610" spans="1:6" x14ac:dyDescent="0.25">
      <c r="A63610"/>
      <c r="B63610"/>
      <c r="C63610"/>
      <c r="E63610"/>
      <c r="F63610"/>
    </row>
    <row r="63611" spans="1:6" x14ac:dyDescent="0.25">
      <c r="A63611"/>
      <c r="B63611"/>
      <c r="C63611"/>
      <c r="E63611"/>
      <c r="F63611"/>
    </row>
    <row r="63612" spans="1:6" x14ac:dyDescent="0.25">
      <c r="A63612"/>
      <c r="B63612"/>
      <c r="C63612"/>
      <c r="E63612"/>
      <c r="F63612"/>
    </row>
    <row r="63613" spans="1:6" x14ac:dyDescent="0.25">
      <c r="A63613"/>
      <c r="B63613"/>
      <c r="C63613"/>
      <c r="E63613"/>
      <c r="F63613"/>
    </row>
    <row r="63614" spans="1:6" x14ac:dyDescent="0.25">
      <c r="A63614"/>
      <c r="B63614"/>
      <c r="C63614"/>
      <c r="E63614"/>
      <c r="F63614"/>
    </row>
    <row r="63615" spans="1:6" x14ac:dyDescent="0.25">
      <c r="A63615"/>
      <c r="B63615"/>
      <c r="C63615"/>
      <c r="E63615"/>
      <c r="F63615"/>
    </row>
    <row r="63616" spans="1:6" x14ac:dyDescent="0.25">
      <c r="A63616"/>
      <c r="B63616"/>
      <c r="C63616"/>
      <c r="E63616"/>
      <c r="F63616"/>
    </row>
    <row r="63617" spans="1:6" x14ac:dyDescent="0.25">
      <c r="A63617"/>
      <c r="B63617"/>
      <c r="C63617"/>
      <c r="E63617"/>
      <c r="F63617"/>
    </row>
    <row r="63618" spans="1:6" x14ac:dyDescent="0.25">
      <c r="A63618"/>
      <c r="B63618"/>
      <c r="C63618"/>
      <c r="E63618"/>
      <c r="F63618"/>
    </row>
    <row r="63619" spans="1:6" x14ac:dyDescent="0.25">
      <c r="A63619"/>
      <c r="B63619"/>
      <c r="C63619"/>
      <c r="E63619"/>
      <c r="F63619"/>
    </row>
    <row r="63620" spans="1:6" x14ac:dyDescent="0.25">
      <c r="A63620"/>
      <c r="B63620"/>
      <c r="C63620"/>
      <c r="E63620"/>
      <c r="F63620"/>
    </row>
    <row r="63621" spans="1:6" x14ac:dyDescent="0.25">
      <c r="A63621"/>
      <c r="B63621"/>
      <c r="C63621"/>
      <c r="E63621"/>
      <c r="F63621"/>
    </row>
    <row r="63622" spans="1:6" x14ac:dyDescent="0.25">
      <c r="A63622"/>
      <c r="B63622"/>
      <c r="C63622"/>
      <c r="E63622"/>
      <c r="F63622"/>
    </row>
    <row r="63623" spans="1:6" x14ac:dyDescent="0.25">
      <c r="A63623"/>
      <c r="B63623"/>
      <c r="C63623"/>
      <c r="E63623"/>
      <c r="F63623"/>
    </row>
    <row r="63624" spans="1:6" x14ac:dyDescent="0.25">
      <c r="A63624"/>
      <c r="B63624"/>
      <c r="C63624"/>
      <c r="E63624"/>
      <c r="F63624"/>
    </row>
    <row r="63625" spans="1:6" x14ac:dyDescent="0.25">
      <c r="A63625"/>
      <c r="B63625"/>
      <c r="C63625"/>
      <c r="E63625"/>
      <c r="F63625"/>
    </row>
    <row r="63626" spans="1:6" x14ac:dyDescent="0.25">
      <c r="A63626"/>
      <c r="B63626"/>
      <c r="C63626"/>
      <c r="E63626"/>
      <c r="F63626"/>
    </row>
    <row r="63627" spans="1:6" x14ac:dyDescent="0.25">
      <c r="A63627"/>
      <c r="B63627"/>
      <c r="C63627"/>
      <c r="E63627"/>
      <c r="F63627"/>
    </row>
    <row r="63628" spans="1:6" x14ac:dyDescent="0.25">
      <c r="A63628"/>
      <c r="B63628"/>
      <c r="C63628"/>
      <c r="E63628"/>
      <c r="F63628"/>
    </row>
    <row r="63629" spans="1:6" x14ac:dyDescent="0.25">
      <c r="A63629"/>
      <c r="B63629"/>
      <c r="C63629"/>
      <c r="E63629"/>
      <c r="F63629"/>
    </row>
    <row r="63630" spans="1:6" x14ac:dyDescent="0.25">
      <c r="A63630"/>
      <c r="B63630"/>
      <c r="C63630"/>
      <c r="E63630"/>
      <c r="F63630"/>
    </row>
    <row r="63631" spans="1:6" x14ac:dyDescent="0.25">
      <c r="A63631"/>
      <c r="B63631"/>
      <c r="C63631"/>
      <c r="E63631"/>
      <c r="F63631"/>
    </row>
    <row r="63632" spans="1:6" x14ac:dyDescent="0.25">
      <c r="A63632"/>
      <c r="B63632"/>
      <c r="C63632"/>
      <c r="E63632"/>
      <c r="F63632"/>
    </row>
    <row r="63633" spans="1:6" x14ac:dyDescent="0.25">
      <c r="A63633"/>
      <c r="B63633"/>
      <c r="C63633"/>
      <c r="E63633"/>
      <c r="F63633"/>
    </row>
    <row r="63634" spans="1:6" x14ac:dyDescent="0.25">
      <c r="A63634"/>
      <c r="B63634"/>
      <c r="C63634"/>
      <c r="E63634"/>
      <c r="F63634"/>
    </row>
    <row r="63635" spans="1:6" x14ac:dyDescent="0.25">
      <c r="A63635"/>
      <c r="B63635"/>
      <c r="C63635"/>
      <c r="E63635"/>
      <c r="F63635"/>
    </row>
    <row r="63636" spans="1:6" x14ac:dyDescent="0.25">
      <c r="A63636"/>
      <c r="B63636"/>
      <c r="C63636"/>
      <c r="E63636"/>
      <c r="F63636"/>
    </row>
    <row r="63637" spans="1:6" x14ac:dyDescent="0.25">
      <c r="A63637"/>
      <c r="B63637"/>
      <c r="C63637"/>
      <c r="E63637"/>
      <c r="F63637"/>
    </row>
    <row r="63638" spans="1:6" x14ac:dyDescent="0.25">
      <c r="A63638"/>
      <c r="B63638"/>
      <c r="C63638"/>
      <c r="E63638"/>
      <c r="F63638"/>
    </row>
    <row r="63639" spans="1:6" x14ac:dyDescent="0.25">
      <c r="A63639"/>
      <c r="B63639"/>
      <c r="C63639"/>
      <c r="E63639"/>
      <c r="F63639"/>
    </row>
    <row r="63640" spans="1:6" x14ac:dyDescent="0.25">
      <c r="A63640"/>
      <c r="B63640"/>
      <c r="C63640"/>
      <c r="E63640"/>
      <c r="F63640"/>
    </row>
    <row r="63641" spans="1:6" x14ac:dyDescent="0.25">
      <c r="A63641"/>
      <c r="B63641"/>
      <c r="C63641"/>
      <c r="E63641"/>
      <c r="F63641"/>
    </row>
    <row r="63642" spans="1:6" x14ac:dyDescent="0.25">
      <c r="A63642"/>
      <c r="B63642"/>
      <c r="C63642"/>
      <c r="E63642"/>
      <c r="F63642"/>
    </row>
    <row r="63643" spans="1:6" x14ac:dyDescent="0.25">
      <c r="A63643"/>
      <c r="B63643"/>
      <c r="C63643"/>
      <c r="E63643"/>
      <c r="F63643"/>
    </row>
    <row r="63644" spans="1:6" x14ac:dyDescent="0.25">
      <c r="A63644"/>
      <c r="B63644"/>
      <c r="C63644"/>
      <c r="E63644"/>
      <c r="F63644"/>
    </row>
    <row r="63645" spans="1:6" x14ac:dyDescent="0.25">
      <c r="A63645"/>
      <c r="B63645"/>
      <c r="C63645"/>
      <c r="E63645"/>
      <c r="F63645"/>
    </row>
    <row r="63646" spans="1:6" x14ac:dyDescent="0.25">
      <c r="A63646"/>
      <c r="B63646"/>
      <c r="C63646"/>
      <c r="E63646"/>
      <c r="F63646"/>
    </row>
    <row r="63647" spans="1:6" x14ac:dyDescent="0.25">
      <c r="A63647"/>
      <c r="B63647"/>
      <c r="C63647"/>
      <c r="E63647"/>
      <c r="F63647"/>
    </row>
    <row r="63648" spans="1:6" x14ac:dyDescent="0.25">
      <c r="A63648"/>
      <c r="B63648"/>
      <c r="C63648"/>
      <c r="E63648"/>
      <c r="F63648"/>
    </row>
    <row r="63649" spans="1:6" x14ac:dyDescent="0.25">
      <c r="A63649"/>
      <c r="B63649"/>
      <c r="C63649"/>
      <c r="E63649"/>
      <c r="F63649"/>
    </row>
    <row r="63650" spans="1:6" x14ac:dyDescent="0.25">
      <c r="A63650"/>
      <c r="B63650"/>
      <c r="C63650"/>
      <c r="E63650"/>
      <c r="F63650"/>
    </row>
    <row r="63651" spans="1:6" x14ac:dyDescent="0.25">
      <c r="A63651"/>
      <c r="B63651"/>
      <c r="C63651"/>
      <c r="E63651"/>
      <c r="F63651"/>
    </row>
    <row r="63652" spans="1:6" x14ac:dyDescent="0.25">
      <c r="A63652"/>
      <c r="B63652"/>
      <c r="C63652"/>
      <c r="E63652"/>
      <c r="F63652"/>
    </row>
    <row r="63653" spans="1:6" x14ac:dyDescent="0.25">
      <c r="A63653"/>
      <c r="B63653"/>
      <c r="C63653"/>
      <c r="E63653"/>
      <c r="F63653"/>
    </row>
    <row r="63654" spans="1:6" x14ac:dyDescent="0.25">
      <c r="A63654"/>
      <c r="B63654"/>
      <c r="C63654"/>
      <c r="E63654"/>
      <c r="F63654"/>
    </row>
    <row r="63655" spans="1:6" x14ac:dyDescent="0.25">
      <c r="A63655"/>
      <c r="B63655"/>
      <c r="C63655"/>
      <c r="E63655"/>
      <c r="F63655"/>
    </row>
    <row r="63656" spans="1:6" x14ac:dyDescent="0.25">
      <c r="A63656"/>
      <c r="B63656"/>
      <c r="C63656"/>
      <c r="E63656"/>
      <c r="F63656"/>
    </row>
    <row r="63657" spans="1:6" x14ac:dyDescent="0.25">
      <c r="A63657"/>
      <c r="B63657"/>
      <c r="C63657"/>
      <c r="E63657"/>
      <c r="F63657"/>
    </row>
    <row r="63658" spans="1:6" x14ac:dyDescent="0.25">
      <c r="A63658"/>
      <c r="B63658"/>
      <c r="C63658"/>
      <c r="E63658"/>
      <c r="F63658"/>
    </row>
    <row r="63659" spans="1:6" x14ac:dyDescent="0.25">
      <c r="A63659"/>
      <c r="B63659"/>
      <c r="C63659"/>
      <c r="E63659"/>
      <c r="F63659"/>
    </row>
    <row r="63660" spans="1:6" x14ac:dyDescent="0.25">
      <c r="A63660"/>
      <c r="B63660"/>
      <c r="C63660"/>
      <c r="E63660"/>
      <c r="F63660"/>
    </row>
    <row r="63661" spans="1:6" x14ac:dyDescent="0.25">
      <c r="A63661"/>
      <c r="B63661"/>
      <c r="C63661"/>
      <c r="E63661"/>
      <c r="F63661"/>
    </row>
    <row r="63662" spans="1:6" x14ac:dyDescent="0.25">
      <c r="A63662"/>
      <c r="B63662"/>
      <c r="C63662"/>
      <c r="E63662"/>
      <c r="F63662"/>
    </row>
    <row r="63663" spans="1:6" x14ac:dyDescent="0.25">
      <c r="A63663"/>
      <c r="B63663"/>
      <c r="C63663"/>
      <c r="E63663"/>
      <c r="F63663"/>
    </row>
    <row r="63664" spans="1:6" x14ac:dyDescent="0.25">
      <c r="A63664"/>
      <c r="B63664"/>
      <c r="C63664"/>
      <c r="E63664"/>
      <c r="F63664"/>
    </row>
    <row r="63665" spans="1:6" x14ac:dyDescent="0.25">
      <c r="A63665"/>
      <c r="B63665"/>
      <c r="C63665"/>
      <c r="E63665"/>
      <c r="F63665"/>
    </row>
    <row r="63666" spans="1:6" x14ac:dyDescent="0.25">
      <c r="A63666"/>
      <c r="B63666"/>
      <c r="C63666"/>
      <c r="E63666"/>
      <c r="F63666"/>
    </row>
    <row r="63667" spans="1:6" x14ac:dyDescent="0.25">
      <c r="A63667"/>
      <c r="B63667"/>
      <c r="C63667"/>
      <c r="E63667"/>
      <c r="F63667"/>
    </row>
    <row r="63668" spans="1:6" x14ac:dyDescent="0.25">
      <c r="A63668"/>
      <c r="B63668"/>
      <c r="C63668"/>
      <c r="E63668"/>
      <c r="F63668"/>
    </row>
    <row r="63669" spans="1:6" x14ac:dyDescent="0.25">
      <c r="A63669"/>
      <c r="B63669"/>
      <c r="C63669"/>
      <c r="E63669"/>
      <c r="F63669"/>
    </row>
    <row r="63670" spans="1:6" x14ac:dyDescent="0.25">
      <c r="A63670"/>
      <c r="B63670"/>
      <c r="C63670"/>
      <c r="E63670"/>
      <c r="F63670"/>
    </row>
    <row r="63671" spans="1:6" x14ac:dyDescent="0.25">
      <c r="A63671"/>
      <c r="B63671"/>
      <c r="C63671"/>
      <c r="E63671"/>
      <c r="F63671"/>
    </row>
    <row r="63672" spans="1:6" x14ac:dyDescent="0.25">
      <c r="A63672"/>
      <c r="B63672"/>
      <c r="C63672"/>
      <c r="E63672"/>
      <c r="F63672"/>
    </row>
    <row r="63673" spans="1:6" x14ac:dyDescent="0.25">
      <c r="A63673"/>
      <c r="B63673"/>
      <c r="C63673"/>
      <c r="E63673"/>
      <c r="F63673"/>
    </row>
    <row r="63674" spans="1:6" x14ac:dyDescent="0.25">
      <c r="A63674"/>
      <c r="B63674"/>
      <c r="C63674"/>
      <c r="E63674"/>
      <c r="F63674"/>
    </row>
    <row r="63675" spans="1:6" x14ac:dyDescent="0.25">
      <c r="A63675"/>
      <c r="B63675"/>
      <c r="C63675"/>
      <c r="E63675"/>
      <c r="F63675"/>
    </row>
    <row r="63676" spans="1:6" x14ac:dyDescent="0.25">
      <c r="A63676"/>
      <c r="B63676"/>
      <c r="C63676"/>
      <c r="E63676"/>
      <c r="F63676"/>
    </row>
    <row r="63677" spans="1:6" x14ac:dyDescent="0.25">
      <c r="A63677"/>
      <c r="B63677"/>
      <c r="C63677"/>
      <c r="E63677"/>
      <c r="F63677"/>
    </row>
    <row r="63678" spans="1:6" x14ac:dyDescent="0.25">
      <c r="A63678"/>
      <c r="B63678"/>
      <c r="C63678"/>
      <c r="E63678"/>
      <c r="F63678"/>
    </row>
    <row r="63679" spans="1:6" x14ac:dyDescent="0.25">
      <c r="A63679"/>
      <c r="B63679"/>
      <c r="C63679"/>
      <c r="E63679"/>
      <c r="F63679"/>
    </row>
    <row r="63680" spans="1:6" x14ac:dyDescent="0.25">
      <c r="A63680"/>
      <c r="B63680"/>
      <c r="C63680"/>
      <c r="E63680"/>
      <c r="F63680"/>
    </row>
    <row r="63681" spans="1:6" x14ac:dyDescent="0.25">
      <c r="A63681"/>
      <c r="B63681"/>
      <c r="C63681"/>
      <c r="E63681"/>
      <c r="F63681"/>
    </row>
    <row r="63682" spans="1:6" x14ac:dyDescent="0.25">
      <c r="A63682"/>
      <c r="B63682"/>
      <c r="C63682"/>
      <c r="E63682"/>
      <c r="F63682"/>
    </row>
    <row r="63683" spans="1:6" x14ac:dyDescent="0.25">
      <c r="A63683"/>
      <c r="B63683"/>
      <c r="C63683"/>
      <c r="E63683"/>
      <c r="F63683"/>
    </row>
    <row r="63684" spans="1:6" x14ac:dyDescent="0.25">
      <c r="A63684"/>
      <c r="B63684"/>
      <c r="C63684"/>
      <c r="E63684"/>
      <c r="F63684"/>
    </row>
    <row r="63685" spans="1:6" x14ac:dyDescent="0.25">
      <c r="A63685"/>
      <c r="B63685"/>
      <c r="C63685"/>
      <c r="E63685"/>
      <c r="F63685"/>
    </row>
    <row r="63686" spans="1:6" x14ac:dyDescent="0.25">
      <c r="A63686"/>
      <c r="B63686"/>
      <c r="C63686"/>
      <c r="E63686"/>
      <c r="F63686"/>
    </row>
    <row r="63687" spans="1:6" x14ac:dyDescent="0.25">
      <c r="A63687"/>
      <c r="B63687"/>
      <c r="C63687"/>
      <c r="E63687"/>
      <c r="F63687"/>
    </row>
    <row r="63688" spans="1:6" x14ac:dyDescent="0.25">
      <c r="A63688"/>
      <c r="B63688"/>
      <c r="C63688"/>
      <c r="E63688"/>
      <c r="F63688"/>
    </row>
    <row r="63689" spans="1:6" x14ac:dyDescent="0.25">
      <c r="A63689"/>
      <c r="B63689"/>
      <c r="C63689"/>
      <c r="E63689"/>
      <c r="F63689"/>
    </row>
    <row r="63690" spans="1:6" x14ac:dyDescent="0.25">
      <c r="A63690"/>
      <c r="B63690"/>
      <c r="C63690"/>
      <c r="E63690"/>
      <c r="F63690"/>
    </row>
    <row r="63691" spans="1:6" x14ac:dyDescent="0.25">
      <c r="A63691"/>
      <c r="B63691"/>
      <c r="C63691"/>
      <c r="E63691"/>
      <c r="F63691"/>
    </row>
    <row r="63692" spans="1:6" x14ac:dyDescent="0.25">
      <c r="A63692"/>
      <c r="B63692"/>
      <c r="C63692"/>
      <c r="E63692"/>
      <c r="F63692"/>
    </row>
    <row r="63693" spans="1:6" x14ac:dyDescent="0.25">
      <c r="A63693"/>
      <c r="B63693"/>
      <c r="C63693"/>
      <c r="E63693"/>
      <c r="F63693"/>
    </row>
    <row r="63694" spans="1:6" x14ac:dyDescent="0.25">
      <c r="A63694"/>
      <c r="B63694"/>
      <c r="C63694"/>
      <c r="E63694"/>
      <c r="F63694"/>
    </row>
    <row r="63695" spans="1:6" x14ac:dyDescent="0.25">
      <c r="A63695"/>
      <c r="B63695"/>
      <c r="C63695"/>
      <c r="E63695"/>
      <c r="F63695"/>
    </row>
    <row r="63696" spans="1:6" x14ac:dyDescent="0.25">
      <c r="A63696"/>
      <c r="B63696"/>
      <c r="C63696"/>
      <c r="E63696"/>
      <c r="F63696"/>
    </row>
    <row r="63697" spans="1:6" x14ac:dyDescent="0.25">
      <c r="A63697"/>
      <c r="B63697"/>
      <c r="C63697"/>
      <c r="E63697"/>
      <c r="F63697"/>
    </row>
    <row r="63698" spans="1:6" x14ac:dyDescent="0.25">
      <c r="A63698"/>
      <c r="B63698"/>
      <c r="C63698"/>
      <c r="E63698"/>
      <c r="F63698"/>
    </row>
    <row r="63699" spans="1:6" x14ac:dyDescent="0.25">
      <c r="A63699"/>
      <c r="B63699"/>
      <c r="C63699"/>
      <c r="E63699"/>
      <c r="F63699"/>
    </row>
    <row r="63700" spans="1:6" x14ac:dyDescent="0.25">
      <c r="A63700"/>
      <c r="B63700"/>
      <c r="C63700"/>
      <c r="E63700"/>
      <c r="F63700"/>
    </row>
    <row r="63701" spans="1:6" x14ac:dyDescent="0.25">
      <c r="A63701"/>
      <c r="B63701"/>
      <c r="C63701"/>
      <c r="E63701"/>
      <c r="F63701"/>
    </row>
    <row r="63702" spans="1:6" x14ac:dyDescent="0.25">
      <c r="A63702"/>
      <c r="B63702"/>
      <c r="C63702"/>
      <c r="E63702"/>
      <c r="F63702"/>
    </row>
    <row r="63703" spans="1:6" x14ac:dyDescent="0.25">
      <c r="A63703"/>
      <c r="B63703"/>
      <c r="C63703"/>
      <c r="E63703"/>
      <c r="F63703"/>
    </row>
    <row r="63704" spans="1:6" x14ac:dyDescent="0.25">
      <c r="A63704"/>
      <c r="B63704"/>
      <c r="C63704"/>
      <c r="E63704"/>
      <c r="F63704"/>
    </row>
    <row r="63705" spans="1:6" x14ac:dyDescent="0.25">
      <c r="A63705"/>
      <c r="B63705"/>
      <c r="C63705"/>
      <c r="E63705"/>
      <c r="F63705"/>
    </row>
    <row r="63706" spans="1:6" x14ac:dyDescent="0.25">
      <c r="A63706"/>
      <c r="B63706"/>
      <c r="C63706"/>
      <c r="E63706"/>
      <c r="F63706"/>
    </row>
    <row r="63707" spans="1:6" x14ac:dyDescent="0.25">
      <c r="A63707"/>
      <c r="B63707"/>
      <c r="C63707"/>
      <c r="E63707"/>
      <c r="F63707"/>
    </row>
    <row r="63708" spans="1:6" x14ac:dyDescent="0.25">
      <c r="A63708"/>
      <c r="B63708"/>
      <c r="C63708"/>
      <c r="E63708"/>
      <c r="F63708"/>
    </row>
    <row r="63709" spans="1:6" x14ac:dyDescent="0.25">
      <c r="A63709"/>
      <c r="B63709"/>
      <c r="C63709"/>
      <c r="E63709"/>
      <c r="F63709"/>
    </row>
    <row r="63710" spans="1:6" x14ac:dyDescent="0.25">
      <c r="A63710"/>
      <c r="B63710"/>
      <c r="C63710"/>
      <c r="E63710"/>
      <c r="F63710"/>
    </row>
    <row r="63711" spans="1:6" x14ac:dyDescent="0.25">
      <c r="A63711"/>
      <c r="B63711"/>
      <c r="C63711"/>
      <c r="E63711"/>
      <c r="F63711"/>
    </row>
    <row r="63712" spans="1:6" x14ac:dyDescent="0.25">
      <c r="A63712"/>
      <c r="B63712"/>
      <c r="C63712"/>
      <c r="E63712"/>
      <c r="F63712"/>
    </row>
    <row r="63713" spans="1:6" x14ac:dyDescent="0.25">
      <c r="A63713"/>
      <c r="B63713"/>
      <c r="C63713"/>
      <c r="E63713"/>
      <c r="F63713"/>
    </row>
    <row r="63714" spans="1:6" x14ac:dyDescent="0.25">
      <c r="A63714"/>
      <c r="B63714"/>
      <c r="C63714"/>
      <c r="E63714"/>
      <c r="F63714"/>
    </row>
    <row r="63715" spans="1:6" x14ac:dyDescent="0.25">
      <c r="A63715"/>
      <c r="B63715"/>
      <c r="C63715"/>
      <c r="E63715"/>
      <c r="F63715"/>
    </row>
    <row r="63716" spans="1:6" x14ac:dyDescent="0.25">
      <c r="A63716"/>
      <c r="B63716"/>
      <c r="C63716"/>
      <c r="E63716"/>
      <c r="F63716"/>
    </row>
    <row r="63717" spans="1:6" x14ac:dyDescent="0.25">
      <c r="A63717"/>
      <c r="B63717"/>
      <c r="C63717"/>
      <c r="E63717"/>
      <c r="F63717"/>
    </row>
    <row r="63718" spans="1:6" x14ac:dyDescent="0.25">
      <c r="A63718"/>
      <c r="B63718"/>
      <c r="C63718"/>
      <c r="E63718"/>
      <c r="F63718"/>
    </row>
    <row r="63719" spans="1:6" x14ac:dyDescent="0.25">
      <c r="A63719"/>
      <c r="B63719"/>
      <c r="C63719"/>
      <c r="E63719"/>
      <c r="F63719"/>
    </row>
    <row r="63720" spans="1:6" x14ac:dyDescent="0.25">
      <c r="A63720"/>
      <c r="B63720"/>
      <c r="C63720"/>
      <c r="E63720"/>
      <c r="F63720"/>
    </row>
    <row r="63721" spans="1:6" x14ac:dyDescent="0.25">
      <c r="A63721"/>
      <c r="B63721"/>
      <c r="C63721"/>
      <c r="E63721"/>
      <c r="F63721"/>
    </row>
    <row r="63722" spans="1:6" x14ac:dyDescent="0.25">
      <c r="A63722"/>
      <c r="B63722"/>
      <c r="C63722"/>
      <c r="E63722"/>
      <c r="F63722"/>
    </row>
    <row r="63723" spans="1:6" x14ac:dyDescent="0.25">
      <c r="A63723"/>
      <c r="B63723"/>
      <c r="C63723"/>
      <c r="E63723"/>
      <c r="F63723"/>
    </row>
    <row r="63724" spans="1:6" x14ac:dyDescent="0.25">
      <c r="A63724"/>
      <c r="B63724"/>
      <c r="C63724"/>
      <c r="E63724"/>
      <c r="F63724"/>
    </row>
    <row r="63725" spans="1:6" x14ac:dyDescent="0.25">
      <c r="A63725"/>
      <c r="B63725"/>
      <c r="C63725"/>
      <c r="E63725"/>
      <c r="F63725"/>
    </row>
    <row r="63726" spans="1:6" x14ac:dyDescent="0.25">
      <c r="A63726"/>
      <c r="B63726"/>
      <c r="C63726"/>
      <c r="E63726"/>
      <c r="F63726"/>
    </row>
    <row r="63727" spans="1:6" x14ac:dyDescent="0.25">
      <c r="A63727"/>
      <c r="B63727"/>
      <c r="C63727"/>
      <c r="E63727"/>
      <c r="F63727"/>
    </row>
    <row r="63728" spans="1:6" x14ac:dyDescent="0.25">
      <c r="A63728"/>
      <c r="B63728"/>
      <c r="C63728"/>
      <c r="E63728"/>
      <c r="F63728"/>
    </row>
    <row r="63729" spans="1:6" x14ac:dyDescent="0.25">
      <c r="A63729"/>
      <c r="B63729"/>
      <c r="C63729"/>
      <c r="E63729"/>
      <c r="F63729"/>
    </row>
    <row r="63730" spans="1:6" x14ac:dyDescent="0.25">
      <c r="A63730"/>
      <c r="B63730"/>
      <c r="C63730"/>
      <c r="E63730"/>
      <c r="F63730"/>
    </row>
    <row r="63731" spans="1:6" x14ac:dyDescent="0.25">
      <c r="A63731"/>
      <c r="B63731"/>
      <c r="C63731"/>
      <c r="E63731"/>
      <c r="F63731"/>
    </row>
    <row r="63732" spans="1:6" x14ac:dyDescent="0.25">
      <c r="A63732"/>
      <c r="B63732"/>
      <c r="C63732"/>
      <c r="E63732"/>
      <c r="F63732"/>
    </row>
    <row r="63733" spans="1:6" x14ac:dyDescent="0.25">
      <c r="A63733"/>
      <c r="B63733"/>
      <c r="C63733"/>
      <c r="E63733"/>
      <c r="F63733"/>
    </row>
    <row r="63734" spans="1:6" x14ac:dyDescent="0.25">
      <c r="A63734"/>
      <c r="B63734"/>
      <c r="C63734"/>
      <c r="E63734"/>
      <c r="F63734"/>
    </row>
    <row r="63735" spans="1:6" x14ac:dyDescent="0.25">
      <c r="A63735"/>
      <c r="B63735"/>
      <c r="C63735"/>
      <c r="E63735"/>
      <c r="F63735"/>
    </row>
    <row r="63736" spans="1:6" x14ac:dyDescent="0.25">
      <c r="A63736"/>
      <c r="B63736"/>
      <c r="C63736"/>
      <c r="E63736"/>
      <c r="F63736"/>
    </row>
    <row r="63737" spans="1:6" x14ac:dyDescent="0.25">
      <c r="A63737"/>
      <c r="B63737"/>
      <c r="C63737"/>
      <c r="E63737"/>
      <c r="F63737"/>
    </row>
    <row r="63738" spans="1:6" x14ac:dyDescent="0.25">
      <c r="A63738"/>
      <c r="B63738"/>
      <c r="C63738"/>
      <c r="E63738"/>
      <c r="F63738"/>
    </row>
    <row r="63739" spans="1:6" x14ac:dyDescent="0.25">
      <c r="A63739"/>
      <c r="B63739"/>
      <c r="C63739"/>
      <c r="E63739"/>
      <c r="F63739"/>
    </row>
    <row r="63740" spans="1:6" x14ac:dyDescent="0.25">
      <c r="A63740"/>
      <c r="B63740"/>
      <c r="C63740"/>
      <c r="E63740"/>
      <c r="F63740"/>
    </row>
    <row r="63741" spans="1:6" x14ac:dyDescent="0.25">
      <c r="A63741"/>
      <c r="B63741"/>
      <c r="C63741"/>
      <c r="E63741"/>
      <c r="F63741"/>
    </row>
    <row r="63742" spans="1:6" x14ac:dyDescent="0.25">
      <c r="A63742"/>
      <c r="B63742"/>
      <c r="C63742"/>
      <c r="E63742"/>
      <c r="F63742"/>
    </row>
    <row r="63743" spans="1:6" x14ac:dyDescent="0.25">
      <c r="A63743"/>
      <c r="B63743"/>
      <c r="C63743"/>
      <c r="E63743"/>
      <c r="F63743"/>
    </row>
    <row r="63744" spans="1:6" x14ac:dyDescent="0.25">
      <c r="A63744"/>
      <c r="B63744"/>
      <c r="C63744"/>
      <c r="E63744"/>
      <c r="F63744"/>
    </row>
    <row r="63745" spans="1:6" x14ac:dyDescent="0.25">
      <c r="A63745"/>
      <c r="B63745"/>
      <c r="C63745"/>
      <c r="E63745"/>
      <c r="F63745"/>
    </row>
    <row r="63746" spans="1:6" x14ac:dyDescent="0.25">
      <c r="A63746"/>
      <c r="B63746"/>
      <c r="C63746"/>
      <c r="E63746"/>
      <c r="F63746"/>
    </row>
    <row r="63747" spans="1:6" x14ac:dyDescent="0.25">
      <c r="A63747"/>
      <c r="B63747"/>
      <c r="C63747"/>
      <c r="E63747"/>
      <c r="F63747"/>
    </row>
    <row r="63748" spans="1:6" x14ac:dyDescent="0.25">
      <c r="A63748"/>
      <c r="B63748"/>
      <c r="C63748"/>
      <c r="E63748"/>
      <c r="F63748"/>
    </row>
    <row r="63749" spans="1:6" x14ac:dyDescent="0.25">
      <c r="A63749"/>
      <c r="B63749"/>
      <c r="C63749"/>
      <c r="E63749"/>
      <c r="F63749"/>
    </row>
    <row r="63750" spans="1:6" x14ac:dyDescent="0.25">
      <c r="A63750"/>
      <c r="B63750"/>
      <c r="C63750"/>
      <c r="E63750"/>
      <c r="F63750"/>
    </row>
    <row r="63751" spans="1:6" x14ac:dyDescent="0.25">
      <c r="A63751"/>
      <c r="B63751"/>
      <c r="C63751"/>
      <c r="E63751"/>
      <c r="F63751"/>
    </row>
    <row r="63752" spans="1:6" x14ac:dyDescent="0.25">
      <c r="A63752"/>
      <c r="B63752"/>
      <c r="C63752"/>
      <c r="E63752"/>
      <c r="F63752"/>
    </row>
    <row r="63753" spans="1:6" x14ac:dyDescent="0.25">
      <c r="A63753"/>
      <c r="B63753"/>
      <c r="C63753"/>
      <c r="E63753"/>
      <c r="F63753"/>
    </row>
    <row r="63754" spans="1:6" x14ac:dyDescent="0.25">
      <c r="A63754"/>
      <c r="B63754"/>
      <c r="C63754"/>
      <c r="E63754"/>
      <c r="F63754"/>
    </row>
    <row r="63755" spans="1:6" x14ac:dyDescent="0.25">
      <c r="A63755"/>
      <c r="B63755"/>
      <c r="C63755"/>
      <c r="E63755"/>
      <c r="F63755"/>
    </row>
    <row r="63756" spans="1:6" x14ac:dyDescent="0.25">
      <c r="A63756"/>
      <c r="B63756"/>
      <c r="C63756"/>
      <c r="E63756"/>
      <c r="F63756"/>
    </row>
    <row r="63757" spans="1:6" x14ac:dyDescent="0.25">
      <c r="A63757"/>
      <c r="B63757"/>
      <c r="C63757"/>
      <c r="E63757"/>
      <c r="F63757"/>
    </row>
    <row r="63758" spans="1:6" x14ac:dyDescent="0.25">
      <c r="A63758"/>
      <c r="B63758"/>
      <c r="C63758"/>
      <c r="E63758"/>
      <c r="F63758"/>
    </row>
    <row r="63759" spans="1:6" x14ac:dyDescent="0.25">
      <c r="A63759"/>
      <c r="B63759"/>
      <c r="C63759"/>
      <c r="E63759"/>
      <c r="F63759"/>
    </row>
    <row r="63760" spans="1:6" x14ac:dyDescent="0.25">
      <c r="A63760"/>
      <c r="B63760"/>
      <c r="C63760"/>
      <c r="E63760"/>
      <c r="F63760"/>
    </row>
    <row r="63761" spans="1:6" x14ac:dyDescent="0.25">
      <c r="A63761"/>
      <c r="B63761"/>
      <c r="C63761"/>
      <c r="E63761"/>
      <c r="F63761"/>
    </row>
    <row r="63762" spans="1:6" x14ac:dyDescent="0.25">
      <c r="A63762"/>
      <c r="B63762"/>
      <c r="C63762"/>
      <c r="E63762"/>
      <c r="F63762"/>
    </row>
    <row r="63763" spans="1:6" x14ac:dyDescent="0.25">
      <c r="A63763"/>
      <c r="B63763"/>
      <c r="C63763"/>
      <c r="E63763"/>
      <c r="F63763"/>
    </row>
    <row r="63764" spans="1:6" x14ac:dyDescent="0.25">
      <c r="A63764"/>
      <c r="B63764"/>
      <c r="C63764"/>
      <c r="E63764"/>
      <c r="F63764"/>
    </row>
    <row r="63765" spans="1:6" x14ac:dyDescent="0.25">
      <c r="A63765"/>
      <c r="B63765"/>
      <c r="C63765"/>
      <c r="E63765"/>
      <c r="F63765"/>
    </row>
    <row r="63766" spans="1:6" x14ac:dyDescent="0.25">
      <c r="A63766"/>
      <c r="B63766"/>
      <c r="C63766"/>
      <c r="E63766"/>
      <c r="F63766"/>
    </row>
    <row r="63767" spans="1:6" x14ac:dyDescent="0.25">
      <c r="A63767"/>
      <c r="B63767"/>
      <c r="C63767"/>
      <c r="E63767"/>
      <c r="F63767"/>
    </row>
    <row r="63768" spans="1:6" x14ac:dyDescent="0.25">
      <c r="A63768"/>
      <c r="B63768"/>
      <c r="C63768"/>
      <c r="E63768"/>
      <c r="F63768"/>
    </row>
    <row r="63769" spans="1:6" x14ac:dyDescent="0.25">
      <c r="A63769"/>
      <c r="B63769"/>
      <c r="C63769"/>
      <c r="E63769"/>
      <c r="F63769"/>
    </row>
    <row r="63770" spans="1:6" x14ac:dyDescent="0.25">
      <c r="A63770"/>
      <c r="B63770"/>
      <c r="C63770"/>
      <c r="E63770"/>
      <c r="F63770"/>
    </row>
    <row r="63771" spans="1:6" x14ac:dyDescent="0.25">
      <c r="A63771"/>
      <c r="B63771"/>
      <c r="C63771"/>
      <c r="E63771"/>
      <c r="F63771"/>
    </row>
    <row r="63772" spans="1:6" x14ac:dyDescent="0.25">
      <c r="A63772"/>
      <c r="B63772"/>
      <c r="C63772"/>
      <c r="E63772"/>
      <c r="F63772"/>
    </row>
    <row r="63773" spans="1:6" x14ac:dyDescent="0.25">
      <c r="A63773"/>
      <c r="B63773"/>
      <c r="C63773"/>
      <c r="E63773"/>
      <c r="F63773"/>
    </row>
    <row r="63774" spans="1:6" x14ac:dyDescent="0.25">
      <c r="A63774"/>
      <c r="B63774"/>
      <c r="C63774"/>
      <c r="E63774"/>
      <c r="F63774"/>
    </row>
    <row r="63775" spans="1:6" x14ac:dyDescent="0.25">
      <c r="A63775"/>
      <c r="B63775"/>
      <c r="C63775"/>
      <c r="E63775"/>
      <c r="F63775"/>
    </row>
    <row r="63776" spans="1:6" x14ac:dyDescent="0.25">
      <c r="A63776"/>
      <c r="B63776"/>
      <c r="C63776"/>
      <c r="E63776"/>
      <c r="F63776"/>
    </row>
    <row r="63777" spans="1:6" x14ac:dyDescent="0.25">
      <c r="A63777"/>
      <c r="B63777"/>
      <c r="C63777"/>
      <c r="E63777"/>
      <c r="F63777"/>
    </row>
    <row r="63778" spans="1:6" x14ac:dyDescent="0.25">
      <c r="A63778"/>
      <c r="B63778"/>
      <c r="C63778"/>
      <c r="E63778"/>
      <c r="F63778"/>
    </row>
    <row r="63779" spans="1:6" x14ac:dyDescent="0.25">
      <c r="A63779"/>
      <c r="B63779"/>
      <c r="C63779"/>
      <c r="E63779"/>
      <c r="F63779"/>
    </row>
    <row r="63780" spans="1:6" x14ac:dyDescent="0.25">
      <c r="A63780"/>
      <c r="B63780"/>
      <c r="C63780"/>
      <c r="E63780"/>
      <c r="F63780"/>
    </row>
    <row r="63781" spans="1:6" x14ac:dyDescent="0.25">
      <c r="A63781"/>
      <c r="B63781"/>
      <c r="C63781"/>
      <c r="E63781"/>
      <c r="F63781"/>
    </row>
    <row r="63782" spans="1:6" x14ac:dyDescent="0.25">
      <c r="A63782"/>
      <c r="B63782"/>
      <c r="C63782"/>
      <c r="E63782"/>
      <c r="F63782"/>
    </row>
    <row r="63783" spans="1:6" x14ac:dyDescent="0.25">
      <c r="A63783"/>
      <c r="B63783"/>
      <c r="C63783"/>
      <c r="E63783"/>
      <c r="F63783"/>
    </row>
    <row r="63784" spans="1:6" x14ac:dyDescent="0.25">
      <c r="A63784"/>
      <c r="B63784"/>
      <c r="C63784"/>
      <c r="E63784"/>
      <c r="F63784"/>
    </row>
    <row r="63785" spans="1:6" x14ac:dyDescent="0.25">
      <c r="A63785"/>
      <c r="B63785"/>
      <c r="C63785"/>
      <c r="E63785"/>
      <c r="F63785"/>
    </row>
    <row r="63786" spans="1:6" x14ac:dyDescent="0.25">
      <c r="A63786"/>
      <c r="B63786"/>
      <c r="C63786"/>
      <c r="E63786"/>
      <c r="F63786"/>
    </row>
    <row r="63787" spans="1:6" x14ac:dyDescent="0.25">
      <c r="A63787"/>
      <c r="B63787"/>
      <c r="C63787"/>
      <c r="E63787"/>
      <c r="F63787"/>
    </row>
    <row r="63788" spans="1:6" x14ac:dyDescent="0.25">
      <c r="A63788"/>
      <c r="B63788"/>
      <c r="C63788"/>
      <c r="E63788"/>
      <c r="F63788"/>
    </row>
    <row r="63789" spans="1:6" x14ac:dyDescent="0.25">
      <c r="A63789"/>
      <c r="B63789"/>
      <c r="C63789"/>
      <c r="E63789"/>
      <c r="F63789"/>
    </row>
    <row r="63790" spans="1:6" x14ac:dyDescent="0.25">
      <c r="A63790"/>
      <c r="B63790"/>
      <c r="C63790"/>
      <c r="E63790"/>
      <c r="F63790"/>
    </row>
    <row r="63791" spans="1:6" x14ac:dyDescent="0.25">
      <c r="A63791"/>
      <c r="B63791"/>
      <c r="C63791"/>
      <c r="E63791"/>
      <c r="F63791"/>
    </row>
    <row r="63792" spans="1:6" x14ac:dyDescent="0.25">
      <c r="A63792"/>
      <c r="B63792"/>
      <c r="C63792"/>
      <c r="E63792"/>
      <c r="F63792"/>
    </row>
    <row r="63793" spans="1:6" x14ac:dyDescent="0.25">
      <c r="A63793"/>
      <c r="B63793"/>
      <c r="C63793"/>
      <c r="E63793"/>
      <c r="F63793"/>
    </row>
    <row r="63794" spans="1:6" x14ac:dyDescent="0.25">
      <c r="A63794"/>
      <c r="B63794"/>
      <c r="C63794"/>
      <c r="E63794"/>
      <c r="F63794"/>
    </row>
    <row r="63795" spans="1:6" x14ac:dyDescent="0.25">
      <c r="A63795"/>
      <c r="B63795"/>
      <c r="C63795"/>
      <c r="E63795"/>
      <c r="F63795"/>
    </row>
    <row r="63796" spans="1:6" x14ac:dyDescent="0.25">
      <c r="A63796"/>
      <c r="B63796"/>
      <c r="C63796"/>
      <c r="E63796"/>
      <c r="F63796"/>
    </row>
    <row r="63797" spans="1:6" x14ac:dyDescent="0.25">
      <c r="A63797"/>
      <c r="B63797"/>
      <c r="C63797"/>
      <c r="E63797"/>
      <c r="F63797"/>
    </row>
    <row r="63798" spans="1:6" x14ac:dyDescent="0.25">
      <c r="A63798"/>
      <c r="B63798"/>
      <c r="C63798"/>
      <c r="E63798"/>
      <c r="F63798"/>
    </row>
    <row r="63799" spans="1:6" x14ac:dyDescent="0.25">
      <c r="A63799"/>
      <c r="B63799"/>
      <c r="C63799"/>
      <c r="E63799"/>
      <c r="F63799"/>
    </row>
    <row r="63800" spans="1:6" x14ac:dyDescent="0.25">
      <c r="A63800"/>
      <c r="B63800"/>
      <c r="C63800"/>
      <c r="E63800"/>
      <c r="F63800"/>
    </row>
    <row r="63801" spans="1:6" x14ac:dyDescent="0.25">
      <c r="A63801"/>
      <c r="B63801"/>
      <c r="C63801"/>
      <c r="E63801"/>
      <c r="F63801"/>
    </row>
    <row r="63802" spans="1:6" x14ac:dyDescent="0.25">
      <c r="A63802"/>
      <c r="B63802"/>
      <c r="C63802"/>
      <c r="E63802"/>
      <c r="F63802"/>
    </row>
    <row r="63803" spans="1:6" x14ac:dyDescent="0.25">
      <c r="A63803"/>
      <c r="B63803"/>
      <c r="C63803"/>
      <c r="E63803"/>
      <c r="F63803"/>
    </row>
    <row r="63804" spans="1:6" x14ac:dyDescent="0.25">
      <c r="A63804"/>
      <c r="B63804"/>
      <c r="C63804"/>
      <c r="E63804"/>
      <c r="F63804"/>
    </row>
    <row r="63805" spans="1:6" x14ac:dyDescent="0.25">
      <c r="A63805"/>
      <c r="B63805"/>
      <c r="C63805"/>
      <c r="E63805"/>
      <c r="F63805"/>
    </row>
    <row r="63806" spans="1:6" x14ac:dyDescent="0.25">
      <c r="A63806"/>
      <c r="B63806"/>
      <c r="C63806"/>
      <c r="E63806"/>
      <c r="F63806"/>
    </row>
    <row r="63807" spans="1:6" x14ac:dyDescent="0.25">
      <c r="A63807"/>
      <c r="B63807"/>
      <c r="C63807"/>
      <c r="E63807"/>
      <c r="F63807"/>
    </row>
    <row r="63808" spans="1:6" x14ac:dyDescent="0.25">
      <c r="A63808"/>
      <c r="B63808"/>
      <c r="C63808"/>
      <c r="E63808"/>
      <c r="F63808"/>
    </row>
    <row r="63809" spans="1:6" x14ac:dyDescent="0.25">
      <c r="A63809"/>
      <c r="B63809"/>
      <c r="C63809"/>
      <c r="E63809"/>
      <c r="F63809"/>
    </row>
    <row r="63810" spans="1:6" x14ac:dyDescent="0.25">
      <c r="A63810"/>
      <c r="B63810"/>
      <c r="C63810"/>
      <c r="E63810"/>
      <c r="F63810"/>
    </row>
    <row r="63811" spans="1:6" x14ac:dyDescent="0.25">
      <c r="A63811"/>
      <c r="B63811"/>
      <c r="C63811"/>
      <c r="E63811"/>
      <c r="F63811"/>
    </row>
    <row r="63812" spans="1:6" x14ac:dyDescent="0.25">
      <c r="A63812"/>
      <c r="B63812"/>
      <c r="C63812"/>
      <c r="E63812"/>
      <c r="F63812"/>
    </row>
    <row r="63813" spans="1:6" x14ac:dyDescent="0.25">
      <c r="A63813"/>
      <c r="B63813"/>
      <c r="C63813"/>
      <c r="E63813"/>
      <c r="F63813"/>
    </row>
    <row r="63814" spans="1:6" x14ac:dyDescent="0.25">
      <c r="A63814"/>
      <c r="B63814"/>
      <c r="C63814"/>
      <c r="E63814"/>
      <c r="F63814"/>
    </row>
    <row r="63815" spans="1:6" x14ac:dyDescent="0.25">
      <c r="A63815"/>
      <c r="B63815"/>
      <c r="C63815"/>
      <c r="E63815"/>
      <c r="F63815"/>
    </row>
    <row r="63816" spans="1:6" x14ac:dyDescent="0.25">
      <c r="A63816"/>
      <c r="B63816"/>
      <c r="C63816"/>
      <c r="E63816"/>
      <c r="F63816"/>
    </row>
    <row r="63817" spans="1:6" x14ac:dyDescent="0.25">
      <c r="A63817"/>
      <c r="B63817"/>
      <c r="C63817"/>
      <c r="E63817"/>
      <c r="F63817"/>
    </row>
    <row r="63818" spans="1:6" x14ac:dyDescent="0.25">
      <c r="A63818"/>
      <c r="B63818"/>
      <c r="C63818"/>
      <c r="E63818"/>
      <c r="F63818"/>
    </row>
    <row r="63819" spans="1:6" x14ac:dyDescent="0.25">
      <c r="A63819"/>
      <c r="B63819"/>
      <c r="C63819"/>
      <c r="E63819"/>
      <c r="F63819"/>
    </row>
    <row r="63820" spans="1:6" x14ac:dyDescent="0.25">
      <c r="A63820"/>
      <c r="B63820"/>
      <c r="C63820"/>
      <c r="E63820"/>
      <c r="F63820"/>
    </row>
    <row r="63821" spans="1:6" x14ac:dyDescent="0.25">
      <c r="A63821"/>
      <c r="B63821"/>
      <c r="C63821"/>
      <c r="E63821"/>
      <c r="F63821"/>
    </row>
    <row r="63822" spans="1:6" x14ac:dyDescent="0.25">
      <c r="A63822"/>
      <c r="B63822"/>
      <c r="C63822"/>
      <c r="E63822"/>
      <c r="F63822"/>
    </row>
    <row r="63823" spans="1:6" x14ac:dyDescent="0.25">
      <c r="A63823"/>
      <c r="B63823"/>
      <c r="C63823"/>
      <c r="E63823"/>
      <c r="F63823"/>
    </row>
    <row r="63824" spans="1:6" x14ac:dyDescent="0.25">
      <c r="A63824"/>
      <c r="B63824"/>
      <c r="C63824"/>
      <c r="E63824"/>
      <c r="F63824"/>
    </row>
    <row r="63825" spans="1:6" x14ac:dyDescent="0.25">
      <c r="A63825"/>
      <c r="B63825"/>
      <c r="C63825"/>
      <c r="E63825"/>
      <c r="F63825"/>
    </row>
    <row r="63826" spans="1:6" x14ac:dyDescent="0.25">
      <c r="A63826"/>
      <c r="B63826"/>
      <c r="C63826"/>
      <c r="E63826"/>
      <c r="F63826"/>
    </row>
    <row r="63827" spans="1:6" x14ac:dyDescent="0.25">
      <c r="A63827"/>
      <c r="B63827"/>
      <c r="C63827"/>
      <c r="E63827"/>
      <c r="F63827"/>
    </row>
    <row r="63828" spans="1:6" x14ac:dyDescent="0.25">
      <c r="A63828"/>
      <c r="B63828"/>
      <c r="C63828"/>
      <c r="E63828"/>
      <c r="F63828"/>
    </row>
    <row r="63829" spans="1:6" x14ac:dyDescent="0.25">
      <c r="A63829"/>
      <c r="B63829"/>
      <c r="C63829"/>
      <c r="E63829"/>
      <c r="F63829"/>
    </row>
    <row r="63830" spans="1:6" x14ac:dyDescent="0.25">
      <c r="A63830"/>
      <c r="B63830"/>
      <c r="C63830"/>
      <c r="E63830"/>
      <c r="F63830"/>
    </row>
    <row r="63831" spans="1:6" x14ac:dyDescent="0.25">
      <c r="A63831"/>
      <c r="B63831"/>
      <c r="C63831"/>
      <c r="E63831"/>
      <c r="F63831"/>
    </row>
    <row r="63832" spans="1:6" x14ac:dyDescent="0.25">
      <c r="A63832"/>
      <c r="B63832"/>
      <c r="C63832"/>
      <c r="E63832"/>
      <c r="F63832"/>
    </row>
    <row r="63833" spans="1:6" x14ac:dyDescent="0.25">
      <c r="A63833"/>
      <c r="B63833"/>
      <c r="C63833"/>
      <c r="E63833"/>
      <c r="F63833"/>
    </row>
    <row r="63834" spans="1:6" x14ac:dyDescent="0.25">
      <c r="A63834"/>
      <c r="B63834"/>
      <c r="C63834"/>
      <c r="E63834"/>
      <c r="F63834"/>
    </row>
    <row r="63835" spans="1:6" x14ac:dyDescent="0.25">
      <c r="A63835"/>
      <c r="B63835"/>
      <c r="C63835"/>
      <c r="E63835"/>
      <c r="F63835"/>
    </row>
    <row r="63836" spans="1:6" x14ac:dyDescent="0.25">
      <c r="A63836"/>
      <c r="B63836"/>
      <c r="C63836"/>
      <c r="E63836"/>
      <c r="F63836"/>
    </row>
    <row r="63837" spans="1:6" x14ac:dyDescent="0.25">
      <c r="A63837"/>
      <c r="B63837"/>
      <c r="C63837"/>
      <c r="E63837"/>
      <c r="F63837"/>
    </row>
    <row r="63838" spans="1:6" x14ac:dyDescent="0.25">
      <c r="A63838"/>
      <c r="B63838"/>
      <c r="C63838"/>
      <c r="E63838"/>
      <c r="F63838"/>
    </row>
    <row r="63839" spans="1:6" x14ac:dyDescent="0.25">
      <c r="A63839"/>
      <c r="B63839"/>
      <c r="C63839"/>
      <c r="E63839"/>
      <c r="F63839"/>
    </row>
    <row r="63840" spans="1:6" x14ac:dyDescent="0.25">
      <c r="A63840"/>
      <c r="B63840"/>
      <c r="C63840"/>
      <c r="E63840"/>
      <c r="F63840"/>
    </row>
    <row r="63841" spans="1:6" x14ac:dyDescent="0.25">
      <c r="A63841"/>
      <c r="B63841"/>
      <c r="C63841"/>
      <c r="E63841"/>
      <c r="F63841"/>
    </row>
    <row r="63842" spans="1:6" x14ac:dyDescent="0.25">
      <c r="A63842"/>
      <c r="B63842"/>
      <c r="C63842"/>
      <c r="E63842"/>
      <c r="F63842"/>
    </row>
    <row r="63843" spans="1:6" x14ac:dyDescent="0.25">
      <c r="A63843"/>
      <c r="B63843"/>
      <c r="C63843"/>
      <c r="E63843"/>
      <c r="F63843"/>
    </row>
    <row r="63844" spans="1:6" x14ac:dyDescent="0.25">
      <c r="A63844"/>
      <c r="B63844"/>
      <c r="C63844"/>
      <c r="E63844"/>
      <c r="F63844"/>
    </row>
    <row r="63845" spans="1:6" x14ac:dyDescent="0.25">
      <c r="A63845"/>
      <c r="B63845"/>
      <c r="C63845"/>
      <c r="E63845"/>
      <c r="F63845"/>
    </row>
    <row r="63846" spans="1:6" x14ac:dyDescent="0.25">
      <c r="A63846"/>
      <c r="B63846"/>
      <c r="C63846"/>
      <c r="E63846"/>
      <c r="F63846"/>
    </row>
    <row r="63847" spans="1:6" x14ac:dyDescent="0.25">
      <c r="A63847"/>
      <c r="B63847"/>
      <c r="C63847"/>
      <c r="E63847"/>
      <c r="F63847"/>
    </row>
    <row r="63848" spans="1:6" x14ac:dyDescent="0.25">
      <c r="A63848"/>
      <c r="B63848"/>
      <c r="C63848"/>
      <c r="E63848"/>
      <c r="F63848"/>
    </row>
    <row r="63849" spans="1:6" x14ac:dyDescent="0.25">
      <c r="A63849"/>
      <c r="B63849"/>
      <c r="C63849"/>
      <c r="E63849"/>
      <c r="F63849"/>
    </row>
    <row r="63850" spans="1:6" x14ac:dyDescent="0.25">
      <c r="A63850"/>
      <c r="B63850"/>
      <c r="C63850"/>
      <c r="E63850"/>
      <c r="F63850"/>
    </row>
    <row r="63851" spans="1:6" x14ac:dyDescent="0.25">
      <c r="A63851"/>
      <c r="B63851"/>
      <c r="C63851"/>
      <c r="E63851"/>
      <c r="F63851"/>
    </row>
    <row r="63852" spans="1:6" x14ac:dyDescent="0.25">
      <c r="A63852"/>
      <c r="B63852"/>
      <c r="C63852"/>
      <c r="E63852"/>
      <c r="F63852"/>
    </row>
    <row r="63853" spans="1:6" x14ac:dyDescent="0.25">
      <c r="A63853"/>
      <c r="B63853"/>
      <c r="C63853"/>
      <c r="E63853"/>
      <c r="F63853"/>
    </row>
    <row r="63854" spans="1:6" x14ac:dyDescent="0.25">
      <c r="A63854"/>
      <c r="B63854"/>
      <c r="C63854"/>
      <c r="E63854"/>
      <c r="F63854"/>
    </row>
    <row r="63855" spans="1:6" x14ac:dyDescent="0.25">
      <c r="A63855"/>
      <c r="B63855"/>
      <c r="C63855"/>
      <c r="E63855"/>
      <c r="F63855"/>
    </row>
    <row r="63856" spans="1:6" x14ac:dyDescent="0.25">
      <c r="A63856"/>
      <c r="B63856"/>
      <c r="C63856"/>
      <c r="E63856"/>
      <c r="F63856"/>
    </row>
    <row r="63857" spans="1:6" x14ac:dyDescent="0.25">
      <c r="A63857"/>
      <c r="B63857"/>
      <c r="C63857"/>
      <c r="E63857"/>
      <c r="F63857"/>
    </row>
    <row r="63858" spans="1:6" x14ac:dyDescent="0.25">
      <c r="A63858"/>
      <c r="B63858"/>
      <c r="C63858"/>
      <c r="E63858"/>
      <c r="F63858"/>
    </row>
    <row r="63859" spans="1:6" x14ac:dyDescent="0.25">
      <c r="A63859"/>
      <c r="B63859"/>
      <c r="C63859"/>
      <c r="E63859"/>
      <c r="F63859"/>
    </row>
    <row r="63860" spans="1:6" x14ac:dyDescent="0.25">
      <c r="A63860"/>
      <c r="B63860"/>
      <c r="C63860"/>
      <c r="E63860"/>
      <c r="F63860"/>
    </row>
    <row r="63861" spans="1:6" x14ac:dyDescent="0.25">
      <c r="A63861"/>
      <c r="B63861"/>
      <c r="C63861"/>
      <c r="E63861"/>
      <c r="F63861"/>
    </row>
    <row r="63862" spans="1:6" x14ac:dyDescent="0.25">
      <c r="A63862"/>
      <c r="B63862"/>
      <c r="C63862"/>
      <c r="E63862"/>
      <c r="F63862"/>
    </row>
    <row r="63863" spans="1:6" x14ac:dyDescent="0.25">
      <c r="A63863"/>
      <c r="B63863"/>
      <c r="C63863"/>
      <c r="E63863"/>
      <c r="F63863"/>
    </row>
    <row r="63864" spans="1:6" x14ac:dyDescent="0.25">
      <c r="A63864"/>
      <c r="B63864"/>
      <c r="C63864"/>
      <c r="E63864"/>
      <c r="F63864"/>
    </row>
    <row r="63865" spans="1:6" x14ac:dyDescent="0.25">
      <c r="A63865"/>
      <c r="B63865"/>
      <c r="C63865"/>
      <c r="E63865"/>
      <c r="F63865"/>
    </row>
    <row r="63866" spans="1:6" x14ac:dyDescent="0.25">
      <c r="A63866"/>
      <c r="B63866"/>
      <c r="C63866"/>
      <c r="E63866"/>
      <c r="F63866"/>
    </row>
    <row r="63867" spans="1:6" x14ac:dyDescent="0.25">
      <c r="A63867"/>
      <c r="B63867"/>
      <c r="C63867"/>
      <c r="E63867"/>
      <c r="F63867"/>
    </row>
    <row r="63868" spans="1:6" x14ac:dyDescent="0.25">
      <c r="A63868"/>
      <c r="B63868"/>
      <c r="C63868"/>
      <c r="E63868"/>
      <c r="F63868"/>
    </row>
    <row r="63869" spans="1:6" x14ac:dyDescent="0.25">
      <c r="A63869"/>
      <c r="B63869"/>
      <c r="C63869"/>
      <c r="E63869"/>
      <c r="F63869"/>
    </row>
    <row r="63870" spans="1:6" x14ac:dyDescent="0.25">
      <c r="A63870"/>
      <c r="B63870"/>
      <c r="C63870"/>
      <c r="E63870"/>
      <c r="F63870"/>
    </row>
    <row r="63871" spans="1:6" x14ac:dyDescent="0.25">
      <c r="A63871"/>
      <c r="B63871"/>
      <c r="C63871"/>
      <c r="E63871"/>
      <c r="F63871"/>
    </row>
    <row r="63872" spans="1:6" x14ac:dyDescent="0.25">
      <c r="A63872"/>
      <c r="B63872"/>
      <c r="C63872"/>
      <c r="E63872"/>
      <c r="F63872"/>
    </row>
    <row r="63873" spans="1:6" x14ac:dyDescent="0.25">
      <c r="A63873"/>
      <c r="B63873"/>
      <c r="C63873"/>
      <c r="E63873"/>
      <c r="F63873"/>
    </row>
    <row r="63874" spans="1:6" x14ac:dyDescent="0.25">
      <c r="A63874"/>
      <c r="B63874"/>
      <c r="C63874"/>
      <c r="E63874"/>
      <c r="F63874"/>
    </row>
    <row r="63875" spans="1:6" x14ac:dyDescent="0.25">
      <c r="A63875"/>
      <c r="B63875"/>
      <c r="C63875"/>
      <c r="E63875"/>
      <c r="F63875"/>
    </row>
    <row r="63876" spans="1:6" x14ac:dyDescent="0.25">
      <c r="A63876"/>
      <c r="B63876"/>
      <c r="C63876"/>
      <c r="E63876"/>
      <c r="F63876"/>
    </row>
    <row r="63877" spans="1:6" x14ac:dyDescent="0.25">
      <c r="A63877"/>
      <c r="B63877"/>
      <c r="C63877"/>
      <c r="E63877"/>
      <c r="F63877"/>
    </row>
    <row r="63878" spans="1:6" x14ac:dyDescent="0.25">
      <c r="A63878"/>
      <c r="B63878"/>
      <c r="C63878"/>
      <c r="E63878"/>
      <c r="F63878"/>
    </row>
    <row r="63879" spans="1:6" x14ac:dyDescent="0.25">
      <c r="A63879"/>
      <c r="B63879"/>
      <c r="C63879"/>
      <c r="E63879"/>
      <c r="F63879"/>
    </row>
    <row r="63880" spans="1:6" x14ac:dyDescent="0.25">
      <c r="A63880"/>
      <c r="B63880"/>
      <c r="C63880"/>
      <c r="E63880"/>
      <c r="F63880"/>
    </row>
    <row r="63881" spans="1:6" x14ac:dyDescent="0.25">
      <c r="A63881"/>
      <c r="B63881"/>
      <c r="C63881"/>
      <c r="E63881"/>
      <c r="F63881"/>
    </row>
    <row r="63882" spans="1:6" x14ac:dyDescent="0.25">
      <c r="A63882"/>
      <c r="B63882"/>
      <c r="C63882"/>
      <c r="E63882"/>
      <c r="F63882"/>
    </row>
    <row r="63883" spans="1:6" x14ac:dyDescent="0.25">
      <c r="A63883"/>
      <c r="B63883"/>
      <c r="C63883"/>
      <c r="E63883"/>
      <c r="F63883"/>
    </row>
    <row r="63884" spans="1:6" x14ac:dyDescent="0.25">
      <c r="A63884"/>
      <c r="B63884"/>
      <c r="C63884"/>
      <c r="E63884"/>
      <c r="F63884"/>
    </row>
    <row r="63885" spans="1:6" x14ac:dyDescent="0.25">
      <c r="A63885"/>
      <c r="B63885"/>
      <c r="C63885"/>
      <c r="E63885"/>
      <c r="F63885"/>
    </row>
    <row r="63886" spans="1:6" x14ac:dyDescent="0.25">
      <c r="A63886"/>
      <c r="B63886"/>
      <c r="C63886"/>
      <c r="E63886"/>
      <c r="F63886"/>
    </row>
    <row r="63887" spans="1:6" x14ac:dyDescent="0.25">
      <c r="A63887"/>
      <c r="B63887"/>
      <c r="C63887"/>
      <c r="E63887"/>
      <c r="F63887"/>
    </row>
    <row r="63888" spans="1:6" x14ac:dyDescent="0.25">
      <c r="A63888"/>
      <c r="B63888"/>
      <c r="C63888"/>
      <c r="E63888"/>
      <c r="F63888"/>
    </row>
    <row r="63889" spans="1:6" x14ac:dyDescent="0.25">
      <c r="A63889"/>
      <c r="B63889"/>
      <c r="C63889"/>
      <c r="E63889"/>
      <c r="F63889"/>
    </row>
    <row r="63890" spans="1:6" x14ac:dyDescent="0.25">
      <c r="A63890"/>
      <c r="B63890"/>
      <c r="C63890"/>
      <c r="E63890"/>
      <c r="F63890"/>
    </row>
    <row r="63891" spans="1:6" x14ac:dyDescent="0.25">
      <c r="A63891"/>
      <c r="B63891"/>
      <c r="C63891"/>
      <c r="E63891"/>
      <c r="F63891"/>
    </row>
    <row r="63892" spans="1:6" x14ac:dyDescent="0.25">
      <c r="A63892"/>
      <c r="B63892"/>
      <c r="C63892"/>
      <c r="E63892"/>
      <c r="F63892"/>
    </row>
    <row r="63893" spans="1:6" x14ac:dyDescent="0.25">
      <c r="A63893"/>
      <c r="B63893"/>
      <c r="C63893"/>
      <c r="E63893"/>
      <c r="F63893"/>
    </row>
    <row r="63894" spans="1:6" x14ac:dyDescent="0.25">
      <c r="A63894"/>
      <c r="B63894"/>
      <c r="C63894"/>
      <c r="E63894"/>
      <c r="F63894"/>
    </row>
    <row r="63895" spans="1:6" x14ac:dyDescent="0.25">
      <c r="A63895"/>
      <c r="B63895"/>
      <c r="C63895"/>
      <c r="E63895"/>
      <c r="F63895"/>
    </row>
    <row r="63896" spans="1:6" x14ac:dyDescent="0.25">
      <c r="A63896"/>
      <c r="B63896"/>
      <c r="C63896"/>
      <c r="E63896"/>
      <c r="F63896"/>
    </row>
    <row r="63897" spans="1:6" x14ac:dyDescent="0.25">
      <c r="A63897"/>
      <c r="B63897"/>
      <c r="C63897"/>
      <c r="E63897"/>
      <c r="F63897"/>
    </row>
    <row r="63898" spans="1:6" x14ac:dyDescent="0.25">
      <c r="A63898"/>
      <c r="B63898"/>
      <c r="C63898"/>
      <c r="E63898"/>
      <c r="F63898"/>
    </row>
    <row r="63899" spans="1:6" x14ac:dyDescent="0.25">
      <c r="A63899"/>
      <c r="B63899"/>
      <c r="C63899"/>
      <c r="E63899"/>
      <c r="F63899"/>
    </row>
    <row r="63900" spans="1:6" x14ac:dyDescent="0.25">
      <c r="A63900"/>
      <c r="B63900"/>
      <c r="C63900"/>
      <c r="E63900"/>
      <c r="F63900"/>
    </row>
    <row r="63901" spans="1:6" x14ac:dyDescent="0.25">
      <c r="A63901"/>
      <c r="B63901"/>
      <c r="C63901"/>
      <c r="E63901"/>
      <c r="F63901"/>
    </row>
    <row r="63902" spans="1:6" x14ac:dyDescent="0.25">
      <c r="A63902"/>
      <c r="B63902"/>
      <c r="C63902"/>
      <c r="E63902"/>
      <c r="F63902"/>
    </row>
    <row r="63903" spans="1:6" x14ac:dyDescent="0.25">
      <c r="A63903"/>
      <c r="B63903"/>
      <c r="C63903"/>
      <c r="E63903"/>
      <c r="F63903"/>
    </row>
    <row r="63904" spans="1:6" x14ac:dyDescent="0.25">
      <c r="A63904"/>
      <c r="B63904"/>
      <c r="C63904"/>
      <c r="E63904"/>
      <c r="F63904"/>
    </row>
    <row r="63905" spans="1:6" x14ac:dyDescent="0.25">
      <c r="A63905"/>
      <c r="B63905"/>
      <c r="C63905"/>
      <c r="E63905"/>
      <c r="F63905"/>
    </row>
    <row r="63906" spans="1:6" x14ac:dyDescent="0.25">
      <c r="A63906"/>
      <c r="B63906"/>
      <c r="C63906"/>
      <c r="E63906"/>
      <c r="F63906"/>
    </row>
    <row r="63907" spans="1:6" x14ac:dyDescent="0.25">
      <c r="A63907"/>
      <c r="B63907"/>
      <c r="C63907"/>
      <c r="E63907"/>
      <c r="F63907"/>
    </row>
    <row r="63908" spans="1:6" x14ac:dyDescent="0.25">
      <c r="A63908"/>
      <c r="B63908"/>
      <c r="C63908"/>
      <c r="E63908"/>
      <c r="F63908"/>
    </row>
    <row r="63909" spans="1:6" x14ac:dyDescent="0.25">
      <c r="A63909"/>
      <c r="B63909"/>
      <c r="C63909"/>
      <c r="E63909"/>
      <c r="F63909"/>
    </row>
    <row r="63910" spans="1:6" x14ac:dyDescent="0.25">
      <c r="A63910"/>
      <c r="B63910"/>
      <c r="C63910"/>
      <c r="E63910"/>
      <c r="F63910"/>
    </row>
    <row r="63911" spans="1:6" x14ac:dyDescent="0.25">
      <c r="A63911"/>
      <c r="B63911"/>
      <c r="C63911"/>
      <c r="E63911"/>
      <c r="F63911"/>
    </row>
    <row r="63912" spans="1:6" x14ac:dyDescent="0.25">
      <c r="A63912"/>
      <c r="B63912"/>
      <c r="C63912"/>
      <c r="E63912"/>
      <c r="F63912"/>
    </row>
    <row r="63913" spans="1:6" x14ac:dyDescent="0.25">
      <c r="A63913"/>
      <c r="B63913"/>
      <c r="C63913"/>
      <c r="E63913"/>
      <c r="F63913"/>
    </row>
    <row r="63914" spans="1:6" x14ac:dyDescent="0.25">
      <c r="A63914"/>
      <c r="B63914"/>
      <c r="C63914"/>
      <c r="E63914"/>
      <c r="F63914"/>
    </row>
    <row r="63915" spans="1:6" x14ac:dyDescent="0.25">
      <c r="A63915"/>
      <c r="B63915"/>
      <c r="C63915"/>
      <c r="E63915"/>
      <c r="F63915"/>
    </row>
    <row r="63916" spans="1:6" x14ac:dyDescent="0.25">
      <c r="A63916"/>
      <c r="B63916"/>
      <c r="C63916"/>
      <c r="E63916"/>
      <c r="F63916"/>
    </row>
    <row r="63917" spans="1:6" x14ac:dyDescent="0.25">
      <c r="A63917"/>
      <c r="B63917"/>
      <c r="C63917"/>
      <c r="E63917"/>
      <c r="F63917"/>
    </row>
    <row r="63918" spans="1:6" x14ac:dyDescent="0.25">
      <c r="A63918"/>
      <c r="B63918"/>
      <c r="C63918"/>
      <c r="E63918"/>
      <c r="F63918"/>
    </row>
    <row r="63919" spans="1:6" x14ac:dyDescent="0.25">
      <c r="A63919"/>
      <c r="B63919"/>
      <c r="C63919"/>
      <c r="E63919"/>
      <c r="F63919"/>
    </row>
    <row r="63920" spans="1:6" x14ac:dyDescent="0.25">
      <c r="A63920"/>
      <c r="B63920"/>
      <c r="C63920"/>
      <c r="E63920"/>
      <c r="F63920"/>
    </row>
    <row r="63921" spans="1:6" x14ac:dyDescent="0.25">
      <c r="A63921"/>
      <c r="B63921"/>
      <c r="C63921"/>
      <c r="E63921"/>
      <c r="F63921"/>
    </row>
    <row r="63922" spans="1:6" x14ac:dyDescent="0.25">
      <c r="A63922"/>
      <c r="B63922"/>
      <c r="C63922"/>
      <c r="E63922"/>
      <c r="F63922"/>
    </row>
    <row r="63923" spans="1:6" x14ac:dyDescent="0.25">
      <c r="A63923"/>
      <c r="B63923"/>
      <c r="C63923"/>
      <c r="E63923"/>
      <c r="F63923"/>
    </row>
    <row r="63924" spans="1:6" x14ac:dyDescent="0.25">
      <c r="A63924"/>
      <c r="B63924"/>
      <c r="C63924"/>
      <c r="E63924"/>
      <c r="F63924"/>
    </row>
    <row r="63925" spans="1:6" x14ac:dyDescent="0.25">
      <c r="A63925"/>
      <c r="B63925"/>
      <c r="C63925"/>
      <c r="E63925"/>
      <c r="F63925"/>
    </row>
    <row r="63926" spans="1:6" x14ac:dyDescent="0.25">
      <c r="A63926"/>
      <c r="B63926"/>
      <c r="C63926"/>
      <c r="E63926"/>
      <c r="F63926"/>
    </row>
    <row r="63927" spans="1:6" x14ac:dyDescent="0.25">
      <c r="A63927"/>
      <c r="B63927"/>
      <c r="C63927"/>
      <c r="E63927"/>
      <c r="F63927"/>
    </row>
    <row r="63928" spans="1:6" x14ac:dyDescent="0.25">
      <c r="A63928"/>
      <c r="B63928"/>
      <c r="C63928"/>
      <c r="E63928"/>
      <c r="F63928"/>
    </row>
    <row r="63929" spans="1:6" x14ac:dyDescent="0.25">
      <c r="A63929"/>
      <c r="B63929"/>
      <c r="C63929"/>
      <c r="E63929"/>
      <c r="F63929"/>
    </row>
    <row r="63930" spans="1:6" x14ac:dyDescent="0.25">
      <c r="A63930"/>
      <c r="B63930"/>
      <c r="C63930"/>
      <c r="E63930"/>
      <c r="F63930"/>
    </row>
    <row r="63931" spans="1:6" x14ac:dyDescent="0.25">
      <c r="A63931"/>
      <c r="B63931"/>
      <c r="C63931"/>
      <c r="E63931"/>
      <c r="F63931"/>
    </row>
    <row r="63932" spans="1:6" x14ac:dyDescent="0.25">
      <c r="A63932"/>
      <c r="B63932"/>
      <c r="C63932"/>
      <c r="E63932"/>
      <c r="F63932"/>
    </row>
    <row r="63933" spans="1:6" x14ac:dyDescent="0.25">
      <c r="A63933"/>
      <c r="B63933"/>
      <c r="C63933"/>
      <c r="E63933"/>
      <c r="F63933"/>
    </row>
    <row r="63934" spans="1:6" x14ac:dyDescent="0.25">
      <c r="A63934"/>
      <c r="B63934"/>
      <c r="C63934"/>
      <c r="E63934"/>
      <c r="F63934"/>
    </row>
    <row r="63935" spans="1:6" x14ac:dyDescent="0.25">
      <c r="A63935"/>
      <c r="B63935"/>
      <c r="C63935"/>
      <c r="E63935"/>
      <c r="F63935"/>
    </row>
    <row r="63936" spans="1:6" x14ac:dyDescent="0.25">
      <c r="A63936"/>
      <c r="B63936"/>
      <c r="C63936"/>
      <c r="E63936"/>
      <c r="F63936"/>
    </row>
    <row r="63937" spans="1:6" x14ac:dyDescent="0.25">
      <c r="A63937"/>
      <c r="B63937"/>
      <c r="C63937"/>
      <c r="E63937"/>
      <c r="F63937"/>
    </row>
    <row r="63938" spans="1:6" x14ac:dyDescent="0.25">
      <c r="A63938"/>
      <c r="B63938"/>
      <c r="C63938"/>
      <c r="E63938"/>
      <c r="F63938"/>
    </row>
    <row r="63939" spans="1:6" x14ac:dyDescent="0.25">
      <c r="A63939"/>
      <c r="B63939"/>
      <c r="C63939"/>
      <c r="E63939"/>
      <c r="F63939"/>
    </row>
    <row r="63940" spans="1:6" x14ac:dyDescent="0.25">
      <c r="A63940"/>
      <c r="B63940"/>
      <c r="C63940"/>
      <c r="E63940"/>
      <c r="F63940"/>
    </row>
    <row r="63941" spans="1:6" x14ac:dyDescent="0.25">
      <c r="A63941"/>
      <c r="B63941"/>
      <c r="C63941"/>
      <c r="E63941"/>
      <c r="F63941"/>
    </row>
    <row r="63942" spans="1:6" x14ac:dyDescent="0.25">
      <c r="A63942"/>
      <c r="B63942"/>
      <c r="C63942"/>
      <c r="E63942"/>
      <c r="F63942"/>
    </row>
    <row r="63943" spans="1:6" x14ac:dyDescent="0.25">
      <c r="A63943"/>
      <c r="B63943"/>
      <c r="C63943"/>
      <c r="E63943"/>
      <c r="F63943"/>
    </row>
    <row r="63944" spans="1:6" x14ac:dyDescent="0.25">
      <c r="A63944"/>
      <c r="B63944"/>
      <c r="C63944"/>
      <c r="E63944"/>
      <c r="F63944"/>
    </row>
    <row r="63945" spans="1:6" x14ac:dyDescent="0.25">
      <c r="A63945"/>
      <c r="B63945"/>
      <c r="C63945"/>
      <c r="E63945"/>
      <c r="F63945"/>
    </row>
    <row r="63946" spans="1:6" x14ac:dyDescent="0.25">
      <c r="A63946"/>
      <c r="B63946"/>
      <c r="C63946"/>
      <c r="E63946"/>
      <c r="F63946"/>
    </row>
    <row r="63947" spans="1:6" x14ac:dyDescent="0.25">
      <c r="A63947"/>
      <c r="B63947"/>
      <c r="C63947"/>
      <c r="E63947"/>
      <c r="F63947"/>
    </row>
    <row r="63948" spans="1:6" x14ac:dyDescent="0.25">
      <c r="A63948"/>
      <c r="B63948"/>
      <c r="C63948"/>
      <c r="E63948"/>
      <c r="F63948"/>
    </row>
    <row r="63949" spans="1:6" x14ac:dyDescent="0.25">
      <c r="A63949"/>
      <c r="B63949"/>
      <c r="C63949"/>
      <c r="E63949"/>
      <c r="F63949"/>
    </row>
    <row r="63950" spans="1:6" x14ac:dyDescent="0.25">
      <c r="A63950"/>
      <c r="B63950"/>
      <c r="C63950"/>
      <c r="E63950"/>
      <c r="F63950"/>
    </row>
    <row r="63951" spans="1:6" x14ac:dyDescent="0.25">
      <c r="A63951"/>
      <c r="B63951"/>
      <c r="C63951"/>
      <c r="E63951"/>
      <c r="F63951"/>
    </row>
    <row r="63952" spans="1:6" x14ac:dyDescent="0.25">
      <c r="A63952"/>
      <c r="B63952"/>
      <c r="C63952"/>
      <c r="E63952"/>
      <c r="F63952"/>
    </row>
    <row r="63953" spans="1:6" x14ac:dyDescent="0.25">
      <c r="A63953"/>
      <c r="B63953"/>
      <c r="C63953"/>
      <c r="E63953"/>
      <c r="F63953"/>
    </row>
    <row r="63954" spans="1:6" x14ac:dyDescent="0.25">
      <c r="A63954"/>
      <c r="B63954"/>
      <c r="C63954"/>
      <c r="E63954"/>
      <c r="F63954"/>
    </row>
    <row r="63955" spans="1:6" x14ac:dyDescent="0.25">
      <c r="A63955"/>
      <c r="B63955"/>
      <c r="C63955"/>
      <c r="E63955"/>
      <c r="F63955"/>
    </row>
    <row r="63956" spans="1:6" x14ac:dyDescent="0.25">
      <c r="A63956"/>
      <c r="B63956"/>
      <c r="C63956"/>
      <c r="E63956"/>
      <c r="F63956"/>
    </row>
    <row r="63957" spans="1:6" x14ac:dyDescent="0.25">
      <c r="A63957"/>
      <c r="B63957"/>
      <c r="C63957"/>
      <c r="E63957"/>
      <c r="F63957"/>
    </row>
    <row r="63958" spans="1:6" x14ac:dyDescent="0.25">
      <c r="A63958"/>
      <c r="B63958"/>
      <c r="C63958"/>
      <c r="E63958"/>
      <c r="F63958"/>
    </row>
    <row r="63959" spans="1:6" x14ac:dyDescent="0.25">
      <c r="A63959"/>
      <c r="B63959"/>
      <c r="C63959"/>
      <c r="E63959"/>
      <c r="F63959"/>
    </row>
    <row r="63960" spans="1:6" x14ac:dyDescent="0.25">
      <c r="A63960"/>
      <c r="B63960"/>
      <c r="C63960"/>
      <c r="E63960"/>
      <c r="F63960"/>
    </row>
    <row r="63961" spans="1:6" x14ac:dyDescent="0.25">
      <c r="A63961"/>
      <c r="B63961"/>
      <c r="C63961"/>
      <c r="E63961"/>
      <c r="F63961"/>
    </row>
    <row r="63962" spans="1:6" x14ac:dyDescent="0.25">
      <c r="A63962"/>
      <c r="B63962"/>
      <c r="C63962"/>
      <c r="E63962"/>
      <c r="F63962"/>
    </row>
    <row r="63963" spans="1:6" x14ac:dyDescent="0.25">
      <c r="A63963"/>
      <c r="B63963"/>
      <c r="C63963"/>
      <c r="E63963"/>
      <c r="F63963"/>
    </row>
    <row r="63964" spans="1:6" x14ac:dyDescent="0.25">
      <c r="A63964"/>
      <c r="B63964"/>
      <c r="C63964"/>
      <c r="E63964"/>
      <c r="F63964"/>
    </row>
    <row r="63965" spans="1:6" x14ac:dyDescent="0.25">
      <c r="A63965"/>
      <c r="B63965"/>
      <c r="C63965"/>
      <c r="E63965"/>
      <c r="F63965"/>
    </row>
    <row r="63966" spans="1:6" x14ac:dyDescent="0.25">
      <c r="A63966"/>
      <c r="B63966"/>
      <c r="C63966"/>
      <c r="E63966"/>
      <c r="F63966"/>
    </row>
    <row r="63967" spans="1:6" x14ac:dyDescent="0.25">
      <c r="A63967"/>
      <c r="B63967"/>
      <c r="C63967"/>
      <c r="E63967"/>
      <c r="F63967"/>
    </row>
    <row r="63968" spans="1:6" x14ac:dyDescent="0.25">
      <c r="A63968"/>
      <c r="B63968"/>
      <c r="C63968"/>
      <c r="E63968"/>
      <c r="F63968"/>
    </row>
    <row r="63969" spans="1:6" x14ac:dyDescent="0.25">
      <c r="A63969"/>
      <c r="B63969"/>
      <c r="C63969"/>
      <c r="E63969"/>
      <c r="F63969"/>
    </row>
    <row r="63970" spans="1:6" x14ac:dyDescent="0.25">
      <c r="A63970"/>
      <c r="B63970"/>
      <c r="C63970"/>
      <c r="E63970"/>
      <c r="F63970"/>
    </row>
    <row r="63971" spans="1:6" x14ac:dyDescent="0.25">
      <c r="A63971"/>
      <c r="B63971"/>
      <c r="C63971"/>
      <c r="E63971"/>
      <c r="F63971"/>
    </row>
    <row r="63972" spans="1:6" x14ac:dyDescent="0.25">
      <c r="A63972"/>
      <c r="B63972"/>
      <c r="C63972"/>
      <c r="E63972"/>
      <c r="F63972"/>
    </row>
    <row r="63973" spans="1:6" x14ac:dyDescent="0.25">
      <c r="A63973"/>
      <c r="B63973"/>
      <c r="C63973"/>
      <c r="E63973"/>
      <c r="F63973"/>
    </row>
    <row r="63974" spans="1:6" x14ac:dyDescent="0.25">
      <c r="A63974"/>
      <c r="B63974"/>
      <c r="C63974"/>
      <c r="E63974"/>
      <c r="F63974"/>
    </row>
    <row r="63975" spans="1:6" x14ac:dyDescent="0.25">
      <c r="A63975"/>
      <c r="B63975"/>
      <c r="C63975"/>
      <c r="E63975"/>
      <c r="F63975"/>
    </row>
    <row r="63976" spans="1:6" x14ac:dyDescent="0.25">
      <c r="A63976"/>
      <c r="B63976"/>
      <c r="C63976"/>
      <c r="E63976"/>
      <c r="F63976"/>
    </row>
    <row r="63977" spans="1:6" x14ac:dyDescent="0.25">
      <c r="A63977"/>
      <c r="B63977"/>
      <c r="C63977"/>
      <c r="E63977"/>
      <c r="F63977"/>
    </row>
    <row r="63978" spans="1:6" x14ac:dyDescent="0.25">
      <c r="A63978"/>
      <c r="B63978"/>
      <c r="C63978"/>
      <c r="E63978"/>
      <c r="F63978"/>
    </row>
    <row r="63979" spans="1:6" x14ac:dyDescent="0.25">
      <c r="A63979"/>
      <c r="B63979"/>
      <c r="C63979"/>
      <c r="E63979"/>
      <c r="F63979"/>
    </row>
    <row r="63980" spans="1:6" x14ac:dyDescent="0.25">
      <c r="A63980"/>
      <c r="B63980"/>
      <c r="C63980"/>
      <c r="E63980"/>
      <c r="F63980"/>
    </row>
    <row r="63981" spans="1:6" x14ac:dyDescent="0.25">
      <c r="A63981"/>
      <c r="B63981"/>
      <c r="C63981"/>
      <c r="E63981"/>
      <c r="F63981"/>
    </row>
    <row r="63982" spans="1:6" x14ac:dyDescent="0.25">
      <c r="A63982"/>
      <c r="B63982"/>
      <c r="C63982"/>
      <c r="E63982"/>
      <c r="F63982"/>
    </row>
    <row r="63983" spans="1:6" x14ac:dyDescent="0.25">
      <c r="A63983"/>
      <c r="B63983"/>
      <c r="C63983"/>
      <c r="E63983"/>
      <c r="F63983"/>
    </row>
    <row r="63984" spans="1:6" x14ac:dyDescent="0.25">
      <c r="A63984"/>
      <c r="B63984"/>
      <c r="C63984"/>
      <c r="E63984"/>
      <c r="F63984"/>
    </row>
    <row r="63985" spans="1:6" x14ac:dyDescent="0.25">
      <c r="A63985"/>
      <c r="B63985"/>
      <c r="C63985"/>
      <c r="E63985"/>
      <c r="F63985"/>
    </row>
    <row r="63986" spans="1:6" x14ac:dyDescent="0.25">
      <c r="A63986"/>
      <c r="B63986"/>
      <c r="C63986"/>
      <c r="E63986"/>
      <c r="F63986"/>
    </row>
    <row r="63987" spans="1:6" x14ac:dyDescent="0.25">
      <c r="A63987"/>
      <c r="B63987"/>
      <c r="C63987"/>
      <c r="E63987"/>
      <c r="F63987"/>
    </row>
    <row r="63988" spans="1:6" x14ac:dyDescent="0.25">
      <c r="A63988"/>
      <c r="B63988"/>
      <c r="C63988"/>
      <c r="E63988"/>
      <c r="F63988"/>
    </row>
    <row r="63989" spans="1:6" x14ac:dyDescent="0.25">
      <c r="A63989"/>
      <c r="B63989"/>
      <c r="C63989"/>
      <c r="E63989"/>
      <c r="F63989"/>
    </row>
    <row r="63990" spans="1:6" x14ac:dyDescent="0.25">
      <c r="A63990"/>
      <c r="B63990"/>
      <c r="C63990"/>
      <c r="E63990"/>
      <c r="F63990"/>
    </row>
    <row r="63991" spans="1:6" x14ac:dyDescent="0.25">
      <c r="A63991"/>
      <c r="B63991"/>
      <c r="C63991"/>
      <c r="E63991"/>
      <c r="F63991"/>
    </row>
    <row r="63992" spans="1:6" x14ac:dyDescent="0.25">
      <c r="A63992"/>
      <c r="B63992"/>
      <c r="C63992"/>
      <c r="E63992"/>
      <c r="F63992"/>
    </row>
    <row r="63993" spans="1:6" x14ac:dyDescent="0.25">
      <c r="A63993"/>
      <c r="B63993"/>
      <c r="C63993"/>
      <c r="E63993"/>
      <c r="F63993"/>
    </row>
    <row r="63994" spans="1:6" x14ac:dyDescent="0.25">
      <c r="A63994"/>
      <c r="B63994"/>
      <c r="C63994"/>
      <c r="E63994"/>
      <c r="F63994"/>
    </row>
    <row r="63995" spans="1:6" x14ac:dyDescent="0.25">
      <c r="A63995"/>
      <c r="B63995"/>
      <c r="C63995"/>
      <c r="E63995"/>
      <c r="F63995"/>
    </row>
    <row r="63996" spans="1:6" x14ac:dyDescent="0.25">
      <c r="A63996"/>
      <c r="B63996"/>
      <c r="C63996"/>
      <c r="E63996"/>
      <c r="F63996"/>
    </row>
    <row r="63997" spans="1:6" x14ac:dyDescent="0.25">
      <c r="A63997"/>
      <c r="B63997"/>
      <c r="C63997"/>
      <c r="E63997"/>
      <c r="F63997"/>
    </row>
    <row r="63998" spans="1:6" x14ac:dyDescent="0.25">
      <c r="A63998"/>
      <c r="B63998"/>
      <c r="C63998"/>
      <c r="E63998"/>
      <c r="F63998"/>
    </row>
    <row r="63999" spans="1:6" x14ac:dyDescent="0.25">
      <c r="A63999"/>
      <c r="B63999"/>
      <c r="C63999"/>
      <c r="E63999"/>
      <c r="F63999"/>
    </row>
    <row r="64000" spans="1:6" x14ac:dyDescent="0.25">
      <c r="A64000"/>
      <c r="B64000"/>
      <c r="C64000"/>
      <c r="E64000"/>
      <c r="F64000"/>
    </row>
    <row r="64001" spans="1:6" x14ac:dyDescent="0.25">
      <c r="A64001"/>
      <c r="B64001"/>
      <c r="C64001"/>
      <c r="E64001"/>
      <c r="F64001"/>
    </row>
    <row r="64002" spans="1:6" x14ac:dyDescent="0.25">
      <c r="A64002"/>
      <c r="B64002"/>
      <c r="C64002"/>
      <c r="E64002"/>
      <c r="F64002"/>
    </row>
    <row r="64003" spans="1:6" x14ac:dyDescent="0.25">
      <c r="A64003"/>
      <c r="B64003"/>
      <c r="C64003"/>
      <c r="E64003"/>
      <c r="F64003"/>
    </row>
    <row r="64004" spans="1:6" x14ac:dyDescent="0.25">
      <c r="A64004"/>
      <c r="B64004"/>
      <c r="C64004"/>
      <c r="E64004"/>
      <c r="F64004"/>
    </row>
    <row r="64005" spans="1:6" x14ac:dyDescent="0.25">
      <c r="A64005"/>
      <c r="B64005"/>
      <c r="C64005"/>
      <c r="E64005"/>
      <c r="F64005"/>
    </row>
    <row r="64006" spans="1:6" x14ac:dyDescent="0.25">
      <c r="A64006"/>
      <c r="B64006"/>
      <c r="C64006"/>
      <c r="E64006"/>
      <c r="F64006"/>
    </row>
    <row r="64007" spans="1:6" x14ac:dyDescent="0.25">
      <c r="A64007"/>
      <c r="B64007"/>
      <c r="C64007"/>
      <c r="E64007"/>
      <c r="F64007"/>
    </row>
    <row r="64008" spans="1:6" x14ac:dyDescent="0.25">
      <c r="A64008"/>
      <c r="B64008"/>
      <c r="C64008"/>
      <c r="E64008"/>
      <c r="F64008"/>
    </row>
    <row r="64009" spans="1:6" x14ac:dyDescent="0.25">
      <c r="A64009"/>
      <c r="B64009"/>
      <c r="C64009"/>
      <c r="E64009"/>
      <c r="F64009"/>
    </row>
    <row r="64010" spans="1:6" x14ac:dyDescent="0.25">
      <c r="A64010"/>
      <c r="B64010"/>
      <c r="C64010"/>
      <c r="E64010"/>
      <c r="F64010"/>
    </row>
    <row r="64011" spans="1:6" x14ac:dyDescent="0.25">
      <c r="A64011"/>
      <c r="B64011"/>
      <c r="C64011"/>
      <c r="E64011"/>
      <c r="F64011"/>
    </row>
    <row r="64012" spans="1:6" x14ac:dyDescent="0.25">
      <c r="A64012"/>
      <c r="B64012"/>
      <c r="C64012"/>
      <c r="E64012"/>
      <c r="F64012"/>
    </row>
    <row r="64013" spans="1:6" x14ac:dyDescent="0.25">
      <c r="A64013"/>
      <c r="B64013"/>
      <c r="C64013"/>
      <c r="E64013"/>
      <c r="F64013"/>
    </row>
    <row r="64014" spans="1:6" x14ac:dyDescent="0.25">
      <c r="A64014"/>
      <c r="B64014"/>
      <c r="C64014"/>
      <c r="E64014"/>
      <c r="F64014"/>
    </row>
    <row r="64015" spans="1:6" x14ac:dyDescent="0.25">
      <c r="A64015"/>
      <c r="B64015"/>
      <c r="C64015"/>
      <c r="E64015"/>
      <c r="F64015"/>
    </row>
    <row r="64016" spans="1:6" x14ac:dyDescent="0.25">
      <c r="A64016"/>
      <c r="B64016"/>
      <c r="C64016"/>
      <c r="E64016"/>
      <c r="F64016"/>
    </row>
    <row r="64017" spans="1:6" x14ac:dyDescent="0.25">
      <c r="A64017"/>
      <c r="B64017"/>
      <c r="C64017"/>
      <c r="E64017"/>
      <c r="F64017"/>
    </row>
    <row r="64018" spans="1:6" x14ac:dyDescent="0.25">
      <c r="A64018"/>
      <c r="B64018"/>
      <c r="C64018"/>
      <c r="E64018"/>
      <c r="F64018"/>
    </row>
    <row r="64019" spans="1:6" x14ac:dyDescent="0.25">
      <c r="A64019"/>
      <c r="B64019"/>
      <c r="C64019"/>
      <c r="E64019"/>
      <c r="F64019"/>
    </row>
    <row r="64020" spans="1:6" x14ac:dyDescent="0.25">
      <c r="A64020"/>
      <c r="B64020"/>
      <c r="C64020"/>
      <c r="E64020"/>
      <c r="F64020"/>
    </row>
    <row r="64021" spans="1:6" x14ac:dyDescent="0.25">
      <c r="A64021"/>
      <c r="B64021"/>
      <c r="C64021"/>
      <c r="E64021"/>
      <c r="F64021"/>
    </row>
    <row r="64022" spans="1:6" x14ac:dyDescent="0.25">
      <c r="A64022"/>
      <c r="B64022"/>
      <c r="C64022"/>
      <c r="E64022"/>
      <c r="F64022"/>
    </row>
    <row r="64023" spans="1:6" x14ac:dyDescent="0.25">
      <c r="A64023"/>
      <c r="B64023"/>
      <c r="C64023"/>
      <c r="E64023"/>
      <c r="F64023"/>
    </row>
    <row r="64024" spans="1:6" x14ac:dyDescent="0.25">
      <c r="A64024"/>
      <c r="B64024"/>
      <c r="C64024"/>
      <c r="E64024"/>
      <c r="F64024"/>
    </row>
    <row r="64025" spans="1:6" x14ac:dyDescent="0.25">
      <c r="A64025"/>
      <c r="B64025"/>
      <c r="C64025"/>
      <c r="E64025"/>
      <c r="F64025"/>
    </row>
    <row r="64026" spans="1:6" x14ac:dyDescent="0.25">
      <c r="A64026"/>
      <c r="B64026"/>
      <c r="C64026"/>
      <c r="E64026"/>
      <c r="F64026"/>
    </row>
    <row r="64027" spans="1:6" x14ac:dyDescent="0.25">
      <c r="A64027"/>
      <c r="B64027"/>
      <c r="C64027"/>
      <c r="E64027"/>
      <c r="F64027"/>
    </row>
    <row r="64028" spans="1:6" x14ac:dyDescent="0.25">
      <c r="A64028"/>
      <c r="B64028"/>
      <c r="C64028"/>
      <c r="E64028"/>
      <c r="F64028"/>
    </row>
    <row r="64029" spans="1:6" x14ac:dyDescent="0.25">
      <c r="A64029"/>
      <c r="B64029"/>
      <c r="C64029"/>
      <c r="E64029"/>
      <c r="F64029"/>
    </row>
    <row r="64030" spans="1:6" x14ac:dyDescent="0.25">
      <c r="A64030"/>
      <c r="B64030"/>
      <c r="C64030"/>
      <c r="E64030"/>
      <c r="F64030"/>
    </row>
    <row r="64031" spans="1:6" x14ac:dyDescent="0.25">
      <c r="A64031"/>
      <c r="B64031"/>
      <c r="C64031"/>
      <c r="E64031"/>
      <c r="F64031"/>
    </row>
    <row r="64032" spans="1:6" x14ac:dyDescent="0.25">
      <c r="A64032"/>
      <c r="B64032"/>
      <c r="C64032"/>
      <c r="E64032"/>
      <c r="F64032"/>
    </row>
    <row r="64033" spans="1:6" x14ac:dyDescent="0.25">
      <c r="A64033"/>
      <c r="B64033"/>
      <c r="C64033"/>
      <c r="E64033"/>
      <c r="F64033"/>
    </row>
    <row r="64034" spans="1:6" x14ac:dyDescent="0.25">
      <c r="A64034"/>
      <c r="B64034"/>
      <c r="C64034"/>
      <c r="E64034"/>
      <c r="F64034"/>
    </row>
    <row r="64035" spans="1:6" x14ac:dyDescent="0.25">
      <c r="A64035"/>
      <c r="B64035"/>
      <c r="C64035"/>
      <c r="E64035"/>
      <c r="F64035"/>
    </row>
    <row r="64036" spans="1:6" x14ac:dyDescent="0.25">
      <c r="A64036"/>
      <c r="B64036"/>
      <c r="C64036"/>
      <c r="E64036"/>
      <c r="F64036"/>
    </row>
    <row r="64037" spans="1:6" x14ac:dyDescent="0.25">
      <c r="A64037"/>
      <c r="B64037"/>
      <c r="C64037"/>
      <c r="E64037"/>
      <c r="F64037"/>
    </row>
    <row r="64038" spans="1:6" x14ac:dyDescent="0.25">
      <c r="A64038"/>
      <c r="B64038"/>
      <c r="C64038"/>
      <c r="E64038"/>
      <c r="F64038"/>
    </row>
    <row r="64039" spans="1:6" x14ac:dyDescent="0.25">
      <c r="A64039"/>
      <c r="B64039"/>
      <c r="C64039"/>
      <c r="E64039"/>
      <c r="F64039"/>
    </row>
    <row r="64040" spans="1:6" x14ac:dyDescent="0.25">
      <c r="A64040"/>
      <c r="B64040"/>
      <c r="C64040"/>
      <c r="E64040"/>
      <c r="F64040"/>
    </row>
    <row r="64041" spans="1:6" x14ac:dyDescent="0.25">
      <c r="A64041"/>
      <c r="B64041"/>
      <c r="C64041"/>
      <c r="E64041"/>
      <c r="F64041"/>
    </row>
    <row r="64042" spans="1:6" x14ac:dyDescent="0.25">
      <c r="A64042"/>
      <c r="B64042"/>
      <c r="C64042"/>
      <c r="E64042"/>
      <c r="F64042"/>
    </row>
    <row r="64043" spans="1:6" x14ac:dyDescent="0.25">
      <c r="A64043"/>
      <c r="B64043"/>
      <c r="C64043"/>
      <c r="E64043"/>
      <c r="F64043"/>
    </row>
    <row r="64044" spans="1:6" x14ac:dyDescent="0.25">
      <c r="A64044"/>
      <c r="B64044"/>
      <c r="C64044"/>
      <c r="E64044"/>
      <c r="F64044"/>
    </row>
    <row r="64045" spans="1:6" x14ac:dyDescent="0.25">
      <c r="A64045"/>
      <c r="B64045"/>
      <c r="C64045"/>
      <c r="E64045"/>
      <c r="F64045"/>
    </row>
    <row r="64046" spans="1:6" x14ac:dyDescent="0.25">
      <c r="A64046"/>
      <c r="B64046"/>
      <c r="C64046"/>
      <c r="E64046"/>
      <c r="F64046"/>
    </row>
    <row r="64047" spans="1:6" x14ac:dyDescent="0.25">
      <c r="A64047"/>
      <c r="B64047"/>
      <c r="C64047"/>
      <c r="E64047"/>
      <c r="F64047"/>
    </row>
    <row r="64048" spans="1:6" x14ac:dyDescent="0.25">
      <c r="A64048"/>
      <c r="B64048"/>
      <c r="C64048"/>
      <c r="E64048"/>
      <c r="F64048"/>
    </row>
    <row r="64049" spans="1:6" x14ac:dyDescent="0.25">
      <c r="A64049"/>
      <c r="B64049"/>
      <c r="C64049"/>
      <c r="E64049"/>
      <c r="F64049"/>
    </row>
    <row r="64050" spans="1:6" x14ac:dyDescent="0.25">
      <c r="A64050"/>
      <c r="B64050"/>
      <c r="C64050"/>
      <c r="E64050"/>
      <c r="F64050"/>
    </row>
    <row r="64051" spans="1:6" x14ac:dyDescent="0.25">
      <c r="A64051"/>
      <c r="B64051"/>
      <c r="C64051"/>
      <c r="E64051"/>
      <c r="F64051"/>
    </row>
    <row r="64052" spans="1:6" x14ac:dyDescent="0.25">
      <c r="A64052"/>
      <c r="B64052"/>
      <c r="C64052"/>
      <c r="E64052"/>
      <c r="F64052"/>
    </row>
    <row r="64053" spans="1:6" x14ac:dyDescent="0.25">
      <c r="A64053"/>
      <c r="B64053"/>
      <c r="C64053"/>
      <c r="E64053"/>
      <c r="F64053"/>
    </row>
    <row r="64054" spans="1:6" x14ac:dyDescent="0.25">
      <c r="A64054"/>
      <c r="B64054"/>
      <c r="C64054"/>
      <c r="E64054"/>
      <c r="F64054"/>
    </row>
    <row r="64055" spans="1:6" x14ac:dyDescent="0.25">
      <c r="A64055"/>
      <c r="B64055"/>
      <c r="C64055"/>
      <c r="E64055"/>
      <c r="F64055"/>
    </row>
    <row r="64056" spans="1:6" x14ac:dyDescent="0.25">
      <c r="A64056"/>
      <c r="B64056"/>
      <c r="C64056"/>
      <c r="E64056"/>
      <c r="F64056"/>
    </row>
    <row r="64057" spans="1:6" x14ac:dyDescent="0.25">
      <c r="A64057"/>
      <c r="B64057"/>
      <c r="C64057"/>
      <c r="E64057"/>
      <c r="F64057"/>
    </row>
    <row r="64058" spans="1:6" x14ac:dyDescent="0.25">
      <c r="A64058"/>
      <c r="B64058"/>
      <c r="C64058"/>
      <c r="E64058"/>
      <c r="F64058"/>
    </row>
    <row r="64059" spans="1:6" x14ac:dyDescent="0.25">
      <c r="A64059"/>
      <c r="B64059"/>
      <c r="C64059"/>
      <c r="E64059"/>
      <c r="F64059"/>
    </row>
    <row r="64060" spans="1:6" x14ac:dyDescent="0.25">
      <c r="A64060"/>
      <c r="B64060"/>
      <c r="C64060"/>
      <c r="E64060"/>
      <c r="F64060"/>
    </row>
    <row r="64061" spans="1:6" x14ac:dyDescent="0.25">
      <c r="A64061"/>
      <c r="B64061"/>
      <c r="C64061"/>
      <c r="E64061"/>
      <c r="F64061"/>
    </row>
    <row r="64062" spans="1:6" x14ac:dyDescent="0.25">
      <c r="A64062"/>
      <c r="B64062"/>
      <c r="C64062"/>
      <c r="E64062"/>
      <c r="F64062"/>
    </row>
    <row r="64063" spans="1:6" x14ac:dyDescent="0.25">
      <c r="A64063"/>
      <c r="B64063"/>
      <c r="C64063"/>
      <c r="E64063"/>
      <c r="F64063"/>
    </row>
    <row r="64064" spans="1:6" x14ac:dyDescent="0.25">
      <c r="A64064"/>
      <c r="B64064"/>
      <c r="C64064"/>
      <c r="E64064"/>
      <c r="F64064"/>
    </row>
    <row r="64065" spans="1:6" x14ac:dyDescent="0.25">
      <c r="A64065"/>
      <c r="B64065"/>
      <c r="C64065"/>
      <c r="E64065"/>
      <c r="F64065"/>
    </row>
    <row r="64066" spans="1:6" x14ac:dyDescent="0.25">
      <c r="A64066"/>
      <c r="B64066"/>
      <c r="C64066"/>
      <c r="E64066"/>
      <c r="F64066"/>
    </row>
    <row r="64067" spans="1:6" x14ac:dyDescent="0.25">
      <c r="A64067"/>
      <c r="B64067"/>
      <c r="C64067"/>
      <c r="E64067"/>
      <c r="F64067"/>
    </row>
    <row r="64068" spans="1:6" x14ac:dyDescent="0.25">
      <c r="A64068"/>
      <c r="B64068"/>
      <c r="C64068"/>
      <c r="E64068"/>
      <c r="F64068"/>
    </row>
    <row r="64069" spans="1:6" x14ac:dyDescent="0.25">
      <c r="A64069"/>
      <c r="B64069"/>
      <c r="C64069"/>
      <c r="E64069"/>
      <c r="F64069"/>
    </row>
    <row r="64070" spans="1:6" x14ac:dyDescent="0.25">
      <c r="A64070"/>
      <c r="B64070"/>
      <c r="C64070"/>
      <c r="E64070"/>
      <c r="F64070"/>
    </row>
    <row r="64071" spans="1:6" x14ac:dyDescent="0.25">
      <c r="A64071"/>
      <c r="B64071"/>
      <c r="C64071"/>
      <c r="E64071"/>
      <c r="F64071"/>
    </row>
    <row r="64072" spans="1:6" x14ac:dyDescent="0.25">
      <c r="A64072"/>
      <c r="B64072"/>
      <c r="C64072"/>
      <c r="E64072"/>
      <c r="F64072"/>
    </row>
    <row r="64073" spans="1:6" x14ac:dyDescent="0.25">
      <c r="A64073"/>
      <c r="B64073"/>
      <c r="C64073"/>
      <c r="E64073"/>
      <c r="F64073"/>
    </row>
    <row r="64074" spans="1:6" x14ac:dyDescent="0.25">
      <c r="A64074"/>
      <c r="B64074"/>
      <c r="C64074"/>
      <c r="E64074"/>
      <c r="F64074"/>
    </row>
    <row r="64075" spans="1:6" x14ac:dyDescent="0.25">
      <c r="A64075"/>
      <c r="B64075"/>
      <c r="C64075"/>
      <c r="E64075"/>
      <c r="F64075"/>
    </row>
    <row r="64076" spans="1:6" x14ac:dyDescent="0.25">
      <c r="A64076"/>
      <c r="B64076"/>
      <c r="C64076"/>
      <c r="E64076"/>
      <c r="F64076"/>
    </row>
    <row r="64077" spans="1:6" x14ac:dyDescent="0.25">
      <c r="A64077"/>
      <c r="B64077"/>
      <c r="C64077"/>
      <c r="E64077"/>
      <c r="F64077"/>
    </row>
    <row r="64078" spans="1:6" x14ac:dyDescent="0.25">
      <c r="A64078"/>
      <c r="B64078"/>
      <c r="C64078"/>
      <c r="E64078"/>
      <c r="F64078"/>
    </row>
    <row r="64079" spans="1:6" x14ac:dyDescent="0.25">
      <c r="A64079"/>
      <c r="B64079"/>
      <c r="C64079"/>
      <c r="E64079"/>
      <c r="F64079"/>
    </row>
    <row r="64080" spans="1:6" x14ac:dyDescent="0.25">
      <c r="A64080"/>
      <c r="B64080"/>
      <c r="C64080"/>
      <c r="E64080"/>
      <c r="F64080"/>
    </row>
    <row r="64081" spans="1:6" x14ac:dyDescent="0.25">
      <c r="A64081"/>
      <c r="B64081"/>
      <c r="C64081"/>
      <c r="E64081"/>
      <c r="F64081"/>
    </row>
    <row r="64082" spans="1:6" x14ac:dyDescent="0.25">
      <c r="A64082"/>
      <c r="B64082"/>
      <c r="C64082"/>
      <c r="E64082"/>
      <c r="F64082"/>
    </row>
    <row r="64083" spans="1:6" x14ac:dyDescent="0.25">
      <c r="A64083"/>
      <c r="B64083"/>
      <c r="C64083"/>
      <c r="E64083"/>
      <c r="F64083"/>
    </row>
    <row r="64084" spans="1:6" x14ac:dyDescent="0.25">
      <c r="A64084"/>
      <c r="B64084"/>
      <c r="C64084"/>
      <c r="E64084"/>
      <c r="F64084"/>
    </row>
    <row r="64085" spans="1:6" x14ac:dyDescent="0.25">
      <c r="A64085"/>
      <c r="B64085"/>
      <c r="C64085"/>
      <c r="E64085"/>
      <c r="F64085"/>
    </row>
    <row r="64086" spans="1:6" x14ac:dyDescent="0.25">
      <c r="A64086"/>
      <c r="B64086"/>
      <c r="C64086"/>
      <c r="E64086"/>
      <c r="F64086"/>
    </row>
    <row r="64087" spans="1:6" x14ac:dyDescent="0.25">
      <c r="A64087"/>
      <c r="B64087"/>
      <c r="C64087"/>
      <c r="E64087"/>
      <c r="F64087"/>
    </row>
    <row r="64088" spans="1:6" x14ac:dyDescent="0.25">
      <c r="A64088"/>
      <c r="B64088"/>
      <c r="C64088"/>
      <c r="E64088"/>
      <c r="F64088"/>
    </row>
    <row r="64089" spans="1:6" x14ac:dyDescent="0.25">
      <c r="A64089"/>
      <c r="B64089"/>
      <c r="C64089"/>
      <c r="E64089"/>
      <c r="F64089"/>
    </row>
    <row r="64090" spans="1:6" x14ac:dyDescent="0.25">
      <c r="A64090"/>
      <c r="B64090"/>
      <c r="C64090"/>
      <c r="E64090"/>
      <c r="F64090"/>
    </row>
    <row r="64091" spans="1:6" x14ac:dyDescent="0.25">
      <c r="A64091"/>
      <c r="B64091"/>
      <c r="C64091"/>
      <c r="E64091"/>
      <c r="F64091"/>
    </row>
    <row r="64092" spans="1:6" x14ac:dyDescent="0.25">
      <c r="A64092"/>
      <c r="B64092"/>
      <c r="C64092"/>
      <c r="E64092"/>
      <c r="F64092"/>
    </row>
    <row r="64093" spans="1:6" x14ac:dyDescent="0.25">
      <c r="A64093"/>
      <c r="B64093"/>
      <c r="C64093"/>
      <c r="E64093"/>
      <c r="F64093"/>
    </row>
    <row r="64094" spans="1:6" x14ac:dyDescent="0.25">
      <c r="A64094"/>
      <c r="B64094"/>
      <c r="C64094"/>
      <c r="E64094"/>
      <c r="F64094"/>
    </row>
    <row r="64095" spans="1:6" x14ac:dyDescent="0.25">
      <c r="A64095"/>
      <c r="B64095"/>
      <c r="C64095"/>
      <c r="E64095"/>
      <c r="F64095"/>
    </row>
    <row r="64096" spans="1:6" x14ac:dyDescent="0.25">
      <c r="A64096"/>
      <c r="B64096"/>
      <c r="C64096"/>
      <c r="E64096"/>
      <c r="F64096"/>
    </row>
    <row r="64097" spans="1:6" x14ac:dyDescent="0.25">
      <c r="A64097"/>
      <c r="B64097"/>
      <c r="C64097"/>
      <c r="E64097"/>
      <c r="F64097"/>
    </row>
    <row r="64098" spans="1:6" x14ac:dyDescent="0.25">
      <c r="A64098"/>
      <c r="B64098"/>
      <c r="C64098"/>
      <c r="E64098"/>
      <c r="F64098"/>
    </row>
    <row r="64099" spans="1:6" x14ac:dyDescent="0.25">
      <c r="A64099"/>
      <c r="B64099"/>
      <c r="C64099"/>
      <c r="E64099"/>
      <c r="F64099"/>
    </row>
    <row r="64100" spans="1:6" x14ac:dyDescent="0.25">
      <c r="A64100"/>
      <c r="B64100"/>
      <c r="C64100"/>
      <c r="E64100"/>
      <c r="F64100"/>
    </row>
    <row r="64101" spans="1:6" x14ac:dyDescent="0.25">
      <c r="A64101"/>
      <c r="B64101"/>
      <c r="C64101"/>
      <c r="E64101"/>
      <c r="F64101"/>
    </row>
    <row r="64102" spans="1:6" x14ac:dyDescent="0.25">
      <c r="A64102"/>
      <c r="B64102"/>
      <c r="C64102"/>
      <c r="E64102"/>
      <c r="F64102"/>
    </row>
    <row r="64103" spans="1:6" x14ac:dyDescent="0.25">
      <c r="A64103"/>
      <c r="B64103"/>
      <c r="C64103"/>
      <c r="E64103"/>
      <c r="F64103"/>
    </row>
    <row r="64104" spans="1:6" x14ac:dyDescent="0.25">
      <c r="A64104"/>
      <c r="B64104"/>
      <c r="C64104"/>
      <c r="E64104"/>
      <c r="F64104"/>
    </row>
    <row r="64105" spans="1:6" x14ac:dyDescent="0.25">
      <c r="A64105"/>
      <c r="B64105"/>
      <c r="C64105"/>
      <c r="E64105"/>
      <c r="F64105"/>
    </row>
    <row r="64106" spans="1:6" x14ac:dyDescent="0.25">
      <c r="A64106"/>
      <c r="B64106"/>
      <c r="C64106"/>
      <c r="E64106"/>
      <c r="F64106"/>
    </row>
    <row r="64107" spans="1:6" x14ac:dyDescent="0.25">
      <c r="A64107"/>
      <c r="B64107"/>
      <c r="C64107"/>
      <c r="E64107"/>
      <c r="F64107"/>
    </row>
    <row r="64108" spans="1:6" x14ac:dyDescent="0.25">
      <c r="A64108"/>
      <c r="B64108"/>
      <c r="C64108"/>
      <c r="E64108"/>
      <c r="F64108"/>
    </row>
    <row r="64109" spans="1:6" x14ac:dyDescent="0.25">
      <c r="A64109"/>
      <c r="B64109"/>
      <c r="C64109"/>
      <c r="E64109"/>
      <c r="F64109"/>
    </row>
    <row r="64110" spans="1:6" x14ac:dyDescent="0.25">
      <c r="A64110"/>
      <c r="B64110"/>
      <c r="C64110"/>
      <c r="E64110"/>
      <c r="F64110"/>
    </row>
    <row r="64111" spans="1:6" x14ac:dyDescent="0.25">
      <c r="A64111"/>
      <c r="B64111"/>
      <c r="C64111"/>
      <c r="E64111"/>
      <c r="F64111"/>
    </row>
    <row r="64112" spans="1:6" x14ac:dyDescent="0.25">
      <c r="A64112"/>
      <c r="B64112"/>
      <c r="C64112"/>
      <c r="E64112"/>
      <c r="F64112"/>
    </row>
    <row r="64113" spans="1:6" x14ac:dyDescent="0.25">
      <c r="A64113"/>
      <c r="B64113"/>
      <c r="C64113"/>
      <c r="E64113"/>
      <c r="F64113"/>
    </row>
    <row r="64114" spans="1:6" x14ac:dyDescent="0.25">
      <c r="A64114"/>
      <c r="B64114"/>
      <c r="C64114"/>
      <c r="E64114"/>
      <c r="F64114"/>
    </row>
    <row r="64115" spans="1:6" x14ac:dyDescent="0.25">
      <c r="A64115"/>
      <c r="B64115"/>
      <c r="C64115"/>
      <c r="E64115"/>
      <c r="F64115"/>
    </row>
    <row r="64116" spans="1:6" x14ac:dyDescent="0.25">
      <c r="A64116"/>
      <c r="B64116"/>
      <c r="C64116"/>
      <c r="E64116"/>
      <c r="F64116"/>
    </row>
    <row r="64117" spans="1:6" x14ac:dyDescent="0.25">
      <c r="A64117"/>
      <c r="B64117"/>
      <c r="C64117"/>
      <c r="E64117"/>
      <c r="F64117"/>
    </row>
    <row r="64118" spans="1:6" x14ac:dyDescent="0.25">
      <c r="A64118"/>
      <c r="B64118"/>
      <c r="C64118"/>
      <c r="E64118"/>
      <c r="F64118"/>
    </row>
    <row r="64119" spans="1:6" x14ac:dyDescent="0.25">
      <c r="A64119"/>
      <c r="B64119"/>
      <c r="C64119"/>
      <c r="E64119"/>
      <c r="F64119"/>
    </row>
    <row r="64120" spans="1:6" x14ac:dyDescent="0.25">
      <c r="A64120"/>
      <c r="B64120"/>
      <c r="C64120"/>
      <c r="E64120"/>
      <c r="F64120"/>
    </row>
    <row r="64121" spans="1:6" x14ac:dyDescent="0.25">
      <c r="A64121"/>
      <c r="B64121"/>
      <c r="C64121"/>
      <c r="E64121"/>
      <c r="F64121"/>
    </row>
    <row r="64122" spans="1:6" x14ac:dyDescent="0.25">
      <c r="A64122"/>
      <c r="B64122"/>
      <c r="C64122"/>
      <c r="E64122"/>
      <c r="F64122"/>
    </row>
    <row r="64123" spans="1:6" x14ac:dyDescent="0.25">
      <c r="A64123"/>
      <c r="B64123"/>
      <c r="C64123"/>
      <c r="E64123"/>
      <c r="F64123"/>
    </row>
    <row r="64124" spans="1:6" x14ac:dyDescent="0.25">
      <c r="A64124"/>
      <c r="B64124"/>
      <c r="C64124"/>
      <c r="E64124"/>
      <c r="F64124"/>
    </row>
    <row r="64125" spans="1:6" x14ac:dyDescent="0.25">
      <c r="A64125"/>
      <c r="B64125"/>
      <c r="C64125"/>
      <c r="E64125"/>
      <c r="F64125"/>
    </row>
    <row r="64126" spans="1:6" x14ac:dyDescent="0.25">
      <c r="A64126"/>
      <c r="B64126"/>
      <c r="C64126"/>
      <c r="E64126"/>
      <c r="F64126"/>
    </row>
    <row r="64127" spans="1:6" x14ac:dyDescent="0.25">
      <c r="A64127"/>
      <c r="B64127"/>
      <c r="C64127"/>
      <c r="E64127"/>
      <c r="F64127"/>
    </row>
    <row r="64128" spans="1:6" x14ac:dyDescent="0.25">
      <c r="A64128"/>
      <c r="B64128"/>
      <c r="C64128"/>
      <c r="E64128"/>
      <c r="F64128"/>
    </row>
    <row r="64129" spans="1:6" x14ac:dyDescent="0.25">
      <c r="A64129"/>
      <c r="B64129"/>
      <c r="C64129"/>
      <c r="E64129"/>
      <c r="F64129"/>
    </row>
    <row r="64130" spans="1:6" x14ac:dyDescent="0.25">
      <c r="A64130"/>
      <c r="B64130"/>
      <c r="C64130"/>
      <c r="E64130"/>
      <c r="F64130"/>
    </row>
    <row r="64131" spans="1:6" x14ac:dyDescent="0.25">
      <c r="A64131"/>
      <c r="B64131"/>
      <c r="C64131"/>
      <c r="E64131"/>
      <c r="F64131"/>
    </row>
    <row r="64132" spans="1:6" x14ac:dyDescent="0.25">
      <c r="A64132"/>
      <c r="B64132"/>
      <c r="C64132"/>
      <c r="E64132"/>
      <c r="F64132"/>
    </row>
    <row r="64133" spans="1:6" x14ac:dyDescent="0.25">
      <c r="A64133"/>
      <c r="B64133"/>
      <c r="C64133"/>
      <c r="E64133"/>
      <c r="F64133"/>
    </row>
    <row r="64134" spans="1:6" x14ac:dyDescent="0.25">
      <c r="A64134"/>
      <c r="B64134"/>
      <c r="C64134"/>
      <c r="E64134"/>
      <c r="F64134"/>
    </row>
    <row r="64135" spans="1:6" x14ac:dyDescent="0.25">
      <c r="A64135"/>
      <c r="B64135"/>
      <c r="C64135"/>
      <c r="E64135"/>
      <c r="F64135"/>
    </row>
    <row r="64136" spans="1:6" x14ac:dyDescent="0.25">
      <c r="A64136"/>
      <c r="B64136"/>
      <c r="C64136"/>
      <c r="E64136"/>
      <c r="F64136"/>
    </row>
    <row r="64137" spans="1:6" x14ac:dyDescent="0.25">
      <c r="A64137"/>
      <c r="B64137"/>
      <c r="C64137"/>
      <c r="E64137"/>
      <c r="F64137"/>
    </row>
    <row r="64138" spans="1:6" x14ac:dyDescent="0.25">
      <c r="A64138"/>
      <c r="B64138"/>
      <c r="C64138"/>
      <c r="E64138"/>
      <c r="F64138"/>
    </row>
    <row r="64139" spans="1:6" x14ac:dyDescent="0.25">
      <c r="A64139"/>
      <c r="B64139"/>
      <c r="C64139"/>
      <c r="E64139"/>
      <c r="F64139"/>
    </row>
    <row r="64140" spans="1:6" x14ac:dyDescent="0.25">
      <c r="A64140"/>
      <c r="B64140"/>
      <c r="C64140"/>
      <c r="E64140"/>
      <c r="F64140"/>
    </row>
    <row r="64141" spans="1:6" x14ac:dyDescent="0.25">
      <c r="A64141"/>
      <c r="B64141"/>
      <c r="C64141"/>
      <c r="E64141"/>
      <c r="F64141"/>
    </row>
    <row r="64142" spans="1:6" x14ac:dyDescent="0.25">
      <c r="A64142"/>
      <c r="B64142"/>
      <c r="C64142"/>
      <c r="E64142"/>
      <c r="F64142"/>
    </row>
    <row r="64143" spans="1:6" x14ac:dyDescent="0.25">
      <c r="A64143"/>
      <c r="B64143"/>
      <c r="C64143"/>
      <c r="E64143"/>
      <c r="F64143"/>
    </row>
    <row r="64144" spans="1:6" x14ac:dyDescent="0.25">
      <c r="A64144"/>
      <c r="B64144"/>
      <c r="C64144"/>
      <c r="E64144"/>
      <c r="F64144"/>
    </row>
    <row r="64145" spans="1:6" x14ac:dyDescent="0.25">
      <c r="A64145"/>
      <c r="B64145"/>
      <c r="C64145"/>
      <c r="E64145"/>
      <c r="F64145"/>
    </row>
    <row r="64146" spans="1:6" x14ac:dyDescent="0.25">
      <c r="A64146"/>
      <c r="B64146"/>
      <c r="C64146"/>
      <c r="E64146"/>
      <c r="F64146"/>
    </row>
    <row r="64147" spans="1:6" x14ac:dyDescent="0.25">
      <c r="A64147"/>
      <c r="B64147"/>
      <c r="C64147"/>
      <c r="E64147"/>
      <c r="F64147"/>
    </row>
    <row r="64148" spans="1:6" x14ac:dyDescent="0.25">
      <c r="A64148"/>
      <c r="B64148"/>
      <c r="C64148"/>
      <c r="E64148"/>
      <c r="F64148"/>
    </row>
    <row r="64149" spans="1:6" x14ac:dyDescent="0.25">
      <c r="A64149"/>
      <c r="B64149"/>
      <c r="C64149"/>
      <c r="E64149"/>
      <c r="F64149"/>
    </row>
    <row r="64150" spans="1:6" x14ac:dyDescent="0.25">
      <c r="A64150"/>
      <c r="B64150"/>
      <c r="C64150"/>
      <c r="E64150"/>
      <c r="F64150"/>
    </row>
    <row r="64151" spans="1:6" x14ac:dyDescent="0.25">
      <c r="A64151"/>
      <c r="B64151"/>
      <c r="C64151"/>
      <c r="E64151"/>
      <c r="F64151"/>
    </row>
    <row r="64152" spans="1:6" x14ac:dyDescent="0.25">
      <c r="A64152"/>
      <c r="B64152"/>
      <c r="C64152"/>
      <c r="E64152"/>
      <c r="F64152"/>
    </row>
    <row r="64153" spans="1:6" x14ac:dyDescent="0.25">
      <c r="A64153"/>
      <c r="B64153"/>
      <c r="C64153"/>
      <c r="E64153"/>
      <c r="F64153"/>
    </row>
    <row r="64154" spans="1:6" x14ac:dyDescent="0.25">
      <c r="A64154"/>
      <c r="B64154"/>
      <c r="C64154"/>
      <c r="E64154"/>
      <c r="F64154"/>
    </row>
    <row r="64155" spans="1:6" x14ac:dyDescent="0.25">
      <c r="A64155"/>
      <c r="B64155"/>
      <c r="C64155"/>
      <c r="E64155"/>
      <c r="F64155"/>
    </row>
    <row r="64156" spans="1:6" x14ac:dyDescent="0.25">
      <c r="A64156"/>
      <c r="B64156"/>
      <c r="C64156"/>
      <c r="E64156"/>
      <c r="F64156"/>
    </row>
    <row r="64157" spans="1:6" x14ac:dyDescent="0.25">
      <c r="A64157"/>
      <c r="B64157"/>
      <c r="C64157"/>
      <c r="E64157"/>
      <c r="F64157"/>
    </row>
    <row r="64158" spans="1:6" x14ac:dyDescent="0.25">
      <c r="A64158"/>
      <c r="B64158"/>
      <c r="C64158"/>
      <c r="E64158"/>
      <c r="F64158"/>
    </row>
    <row r="64159" spans="1:6" x14ac:dyDescent="0.25">
      <c r="A64159"/>
      <c r="B64159"/>
      <c r="C64159"/>
      <c r="E64159"/>
      <c r="F64159"/>
    </row>
    <row r="64160" spans="1:6" x14ac:dyDescent="0.25">
      <c r="A64160"/>
      <c r="B64160"/>
      <c r="C64160"/>
      <c r="E64160"/>
      <c r="F64160"/>
    </row>
    <row r="64161" spans="1:6" x14ac:dyDescent="0.25">
      <c r="A64161"/>
      <c r="B64161"/>
      <c r="C64161"/>
      <c r="E64161"/>
      <c r="F64161"/>
    </row>
    <row r="64162" spans="1:6" x14ac:dyDescent="0.25">
      <c r="A64162"/>
      <c r="B64162"/>
      <c r="C64162"/>
      <c r="E64162"/>
      <c r="F64162"/>
    </row>
    <row r="64163" spans="1:6" x14ac:dyDescent="0.25">
      <c r="A64163"/>
      <c r="B64163"/>
      <c r="C64163"/>
      <c r="E64163"/>
      <c r="F64163"/>
    </row>
    <row r="64164" spans="1:6" x14ac:dyDescent="0.25">
      <c r="A64164"/>
      <c r="B64164"/>
      <c r="C64164"/>
      <c r="E64164"/>
      <c r="F64164"/>
    </row>
    <row r="64165" spans="1:6" x14ac:dyDescent="0.25">
      <c r="A64165"/>
      <c r="B64165"/>
      <c r="C64165"/>
      <c r="E64165"/>
      <c r="F64165"/>
    </row>
    <row r="64166" spans="1:6" x14ac:dyDescent="0.25">
      <c r="A64166"/>
      <c r="B64166"/>
      <c r="C64166"/>
      <c r="E64166"/>
      <c r="F64166"/>
    </row>
    <row r="64167" spans="1:6" x14ac:dyDescent="0.25">
      <c r="A64167"/>
      <c r="B64167"/>
      <c r="C64167"/>
      <c r="E64167"/>
      <c r="F64167"/>
    </row>
    <row r="64168" spans="1:6" x14ac:dyDescent="0.25">
      <c r="A64168"/>
      <c r="B64168"/>
      <c r="C64168"/>
      <c r="E64168"/>
      <c r="F64168"/>
    </row>
    <row r="64169" spans="1:6" x14ac:dyDescent="0.25">
      <c r="A64169"/>
      <c r="B64169"/>
      <c r="C64169"/>
      <c r="E64169"/>
      <c r="F64169"/>
    </row>
    <row r="64170" spans="1:6" x14ac:dyDescent="0.25">
      <c r="A64170"/>
      <c r="B64170"/>
      <c r="C64170"/>
      <c r="E64170"/>
      <c r="F64170"/>
    </row>
    <row r="64171" spans="1:6" x14ac:dyDescent="0.25">
      <c r="A64171"/>
      <c r="B64171"/>
      <c r="C64171"/>
      <c r="E64171"/>
      <c r="F64171"/>
    </row>
    <row r="64172" spans="1:6" x14ac:dyDescent="0.25">
      <c r="A64172"/>
      <c r="B64172"/>
      <c r="C64172"/>
      <c r="E64172"/>
      <c r="F64172"/>
    </row>
    <row r="64173" spans="1:6" x14ac:dyDescent="0.25">
      <c r="A64173"/>
      <c r="B64173"/>
      <c r="C64173"/>
      <c r="E64173"/>
      <c r="F64173"/>
    </row>
    <row r="64174" spans="1:6" x14ac:dyDescent="0.25">
      <c r="A64174"/>
      <c r="B64174"/>
      <c r="C64174"/>
      <c r="E64174"/>
      <c r="F64174"/>
    </row>
    <row r="64175" spans="1:6" x14ac:dyDescent="0.25">
      <c r="A64175"/>
      <c r="B64175"/>
      <c r="C64175"/>
      <c r="E64175"/>
      <c r="F64175"/>
    </row>
    <row r="64176" spans="1:6" x14ac:dyDescent="0.25">
      <c r="A64176"/>
      <c r="B64176"/>
      <c r="C64176"/>
      <c r="E64176"/>
      <c r="F64176"/>
    </row>
    <row r="64177" spans="1:6" x14ac:dyDescent="0.25">
      <c r="A64177"/>
      <c r="B64177"/>
      <c r="C64177"/>
      <c r="E64177"/>
      <c r="F64177"/>
    </row>
    <row r="64178" spans="1:6" x14ac:dyDescent="0.25">
      <c r="A64178"/>
      <c r="B64178"/>
      <c r="C64178"/>
      <c r="E64178"/>
      <c r="F64178"/>
    </row>
    <row r="64179" spans="1:6" x14ac:dyDescent="0.25">
      <c r="A64179"/>
      <c r="B64179"/>
      <c r="C64179"/>
      <c r="E64179"/>
      <c r="F64179"/>
    </row>
    <row r="64180" spans="1:6" x14ac:dyDescent="0.25">
      <c r="A64180"/>
      <c r="B64180"/>
      <c r="C64180"/>
      <c r="E64180"/>
      <c r="F64180"/>
    </row>
    <row r="64181" spans="1:6" x14ac:dyDescent="0.25">
      <c r="A64181"/>
      <c r="B64181"/>
      <c r="C64181"/>
      <c r="E64181"/>
      <c r="F64181"/>
    </row>
    <row r="64182" spans="1:6" x14ac:dyDescent="0.25">
      <c r="A64182"/>
      <c r="B64182"/>
      <c r="C64182"/>
      <c r="E64182"/>
      <c r="F64182"/>
    </row>
    <row r="64183" spans="1:6" x14ac:dyDescent="0.25">
      <c r="A64183"/>
      <c r="B64183"/>
      <c r="C64183"/>
      <c r="E64183"/>
      <c r="F64183"/>
    </row>
    <row r="64184" spans="1:6" x14ac:dyDescent="0.25">
      <c r="A64184"/>
      <c r="B64184"/>
      <c r="C64184"/>
      <c r="E64184"/>
      <c r="F64184"/>
    </row>
    <row r="64185" spans="1:6" x14ac:dyDescent="0.25">
      <c r="A64185"/>
      <c r="B64185"/>
      <c r="C64185"/>
      <c r="E64185"/>
      <c r="F64185"/>
    </row>
    <row r="64186" spans="1:6" x14ac:dyDescent="0.25">
      <c r="A64186"/>
      <c r="B64186"/>
      <c r="C64186"/>
      <c r="E64186"/>
      <c r="F64186"/>
    </row>
    <row r="64187" spans="1:6" x14ac:dyDescent="0.25">
      <c r="A64187"/>
      <c r="B64187"/>
      <c r="C64187"/>
      <c r="E64187"/>
      <c r="F64187"/>
    </row>
    <row r="64188" spans="1:6" x14ac:dyDescent="0.25">
      <c r="A64188"/>
      <c r="B64188"/>
      <c r="C64188"/>
      <c r="E64188"/>
      <c r="F64188"/>
    </row>
    <row r="64189" spans="1:6" x14ac:dyDescent="0.25">
      <c r="A64189"/>
      <c r="B64189"/>
      <c r="C64189"/>
      <c r="E64189"/>
      <c r="F64189"/>
    </row>
    <row r="64190" spans="1:6" x14ac:dyDescent="0.25">
      <c r="A64190"/>
      <c r="B64190"/>
      <c r="C64190"/>
      <c r="E64190"/>
      <c r="F64190"/>
    </row>
    <row r="64191" spans="1:6" x14ac:dyDescent="0.25">
      <c r="A64191"/>
      <c r="B64191"/>
      <c r="C64191"/>
      <c r="E64191"/>
      <c r="F64191"/>
    </row>
    <row r="64192" spans="1:6" x14ac:dyDescent="0.25">
      <c r="A64192"/>
      <c r="B64192"/>
      <c r="C64192"/>
      <c r="E64192"/>
      <c r="F64192"/>
    </row>
    <row r="64193" spans="1:6" x14ac:dyDescent="0.25">
      <c r="A64193"/>
      <c r="B64193"/>
      <c r="C64193"/>
      <c r="E64193"/>
      <c r="F64193"/>
    </row>
    <row r="64194" spans="1:6" x14ac:dyDescent="0.25">
      <c r="A64194"/>
      <c r="B64194"/>
      <c r="C64194"/>
      <c r="E64194"/>
      <c r="F64194"/>
    </row>
    <row r="64195" spans="1:6" x14ac:dyDescent="0.25">
      <c r="A64195"/>
      <c r="B64195"/>
      <c r="C64195"/>
      <c r="E64195"/>
      <c r="F64195"/>
    </row>
    <row r="64196" spans="1:6" x14ac:dyDescent="0.25">
      <c r="A64196"/>
      <c r="B64196"/>
      <c r="C64196"/>
      <c r="E64196"/>
      <c r="F64196"/>
    </row>
    <row r="64197" spans="1:6" x14ac:dyDescent="0.25">
      <c r="A64197"/>
      <c r="B64197"/>
      <c r="C64197"/>
      <c r="E64197"/>
      <c r="F64197"/>
    </row>
    <row r="64198" spans="1:6" x14ac:dyDescent="0.25">
      <c r="A64198"/>
      <c r="B64198"/>
      <c r="C64198"/>
      <c r="E64198"/>
      <c r="F64198"/>
    </row>
    <row r="64199" spans="1:6" x14ac:dyDescent="0.25">
      <c r="A64199"/>
      <c r="B64199"/>
      <c r="C64199"/>
      <c r="E64199"/>
      <c r="F64199"/>
    </row>
    <row r="64200" spans="1:6" x14ac:dyDescent="0.25">
      <c r="A64200"/>
      <c r="B64200"/>
      <c r="C64200"/>
      <c r="E64200"/>
      <c r="F64200"/>
    </row>
    <row r="64201" spans="1:6" x14ac:dyDescent="0.25">
      <c r="A64201"/>
      <c r="B64201"/>
      <c r="C64201"/>
      <c r="E64201"/>
      <c r="F64201"/>
    </row>
    <row r="64202" spans="1:6" x14ac:dyDescent="0.25">
      <c r="A64202"/>
      <c r="B64202"/>
      <c r="C64202"/>
      <c r="E64202"/>
      <c r="F64202"/>
    </row>
    <row r="64203" spans="1:6" x14ac:dyDescent="0.25">
      <c r="A64203"/>
      <c r="B64203"/>
      <c r="C64203"/>
      <c r="E64203"/>
      <c r="F64203"/>
    </row>
    <row r="64204" spans="1:6" x14ac:dyDescent="0.25">
      <c r="A64204"/>
      <c r="B64204"/>
      <c r="C64204"/>
      <c r="E64204"/>
      <c r="F64204"/>
    </row>
    <row r="64205" spans="1:6" x14ac:dyDescent="0.25">
      <c r="A64205"/>
      <c r="B64205"/>
      <c r="C64205"/>
      <c r="E64205"/>
      <c r="F64205"/>
    </row>
    <row r="64206" spans="1:6" x14ac:dyDescent="0.25">
      <c r="A64206"/>
      <c r="B64206"/>
      <c r="C64206"/>
      <c r="E64206"/>
      <c r="F64206"/>
    </row>
    <row r="64207" spans="1:6" x14ac:dyDescent="0.25">
      <c r="A64207"/>
      <c r="B64207"/>
      <c r="C64207"/>
      <c r="E64207"/>
      <c r="F64207"/>
    </row>
    <row r="64208" spans="1:6" x14ac:dyDescent="0.25">
      <c r="A64208"/>
      <c r="B64208"/>
      <c r="C64208"/>
      <c r="E64208"/>
      <c r="F64208"/>
    </row>
    <row r="64209" spans="1:6" x14ac:dyDescent="0.25">
      <c r="A64209"/>
      <c r="B64209"/>
      <c r="C64209"/>
      <c r="E64209"/>
      <c r="F64209"/>
    </row>
    <row r="64210" spans="1:6" x14ac:dyDescent="0.25">
      <c r="A64210"/>
      <c r="B64210"/>
      <c r="C64210"/>
      <c r="E64210"/>
      <c r="F64210"/>
    </row>
    <row r="64211" spans="1:6" x14ac:dyDescent="0.25">
      <c r="A64211"/>
      <c r="B64211"/>
      <c r="C64211"/>
      <c r="E64211"/>
      <c r="F64211"/>
    </row>
    <row r="64212" spans="1:6" x14ac:dyDescent="0.25">
      <c r="A64212"/>
      <c r="B64212"/>
      <c r="C64212"/>
      <c r="E64212"/>
      <c r="F64212"/>
    </row>
    <row r="64213" spans="1:6" x14ac:dyDescent="0.25">
      <c r="A64213"/>
      <c r="B64213"/>
      <c r="C64213"/>
      <c r="E64213"/>
      <c r="F64213"/>
    </row>
    <row r="64214" spans="1:6" x14ac:dyDescent="0.25">
      <c r="A64214"/>
      <c r="B64214"/>
      <c r="C64214"/>
      <c r="E64214"/>
      <c r="F64214"/>
    </row>
    <row r="64215" spans="1:6" x14ac:dyDescent="0.25">
      <c r="A64215"/>
      <c r="B64215"/>
      <c r="C64215"/>
      <c r="E64215"/>
      <c r="F64215"/>
    </row>
    <row r="64216" spans="1:6" x14ac:dyDescent="0.25">
      <c r="A64216"/>
      <c r="B64216"/>
      <c r="C64216"/>
      <c r="E64216"/>
      <c r="F64216"/>
    </row>
    <row r="64217" spans="1:6" x14ac:dyDescent="0.25">
      <c r="A64217"/>
      <c r="B64217"/>
      <c r="C64217"/>
      <c r="E64217"/>
      <c r="F64217"/>
    </row>
    <row r="64218" spans="1:6" x14ac:dyDescent="0.25">
      <c r="A64218"/>
      <c r="B64218"/>
      <c r="C64218"/>
      <c r="E64218"/>
      <c r="F64218"/>
    </row>
    <row r="64219" spans="1:6" x14ac:dyDescent="0.25">
      <c r="A64219"/>
      <c r="B64219"/>
      <c r="C64219"/>
      <c r="E64219"/>
      <c r="F64219"/>
    </row>
    <row r="64220" spans="1:6" x14ac:dyDescent="0.25">
      <c r="A64220"/>
      <c r="B64220"/>
      <c r="C64220"/>
      <c r="E64220"/>
      <c r="F64220"/>
    </row>
    <row r="64221" spans="1:6" x14ac:dyDescent="0.25">
      <c r="A64221"/>
      <c r="B64221"/>
      <c r="C64221"/>
      <c r="E64221"/>
      <c r="F64221"/>
    </row>
    <row r="64222" spans="1:6" x14ac:dyDescent="0.25">
      <c r="A64222"/>
      <c r="B64222"/>
      <c r="C64222"/>
      <c r="E64222"/>
      <c r="F64222"/>
    </row>
    <row r="64223" spans="1:6" x14ac:dyDescent="0.25">
      <c r="A64223"/>
      <c r="B64223"/>
      <c r="C64223"/>
      <c r="E64223"/>
      <c r="F64223"/>
    </row>
    <row r="64224" spans="1:6" x14ac:dyDescent="0.25">
      <c r="A64224"/>
      <c r="B64224"/>
      <c r="C64224"/>
      <c r="E64224"/>
      <c r="F64224"/>
    </row>
    <row r="64225" spans="1:6" x14ac:dyDescent="0.25">
      <c r="A64225"/>
      <c r="B64225"/>
      <c r="C64225"/>
      <c r="E64225"/>
      <c r="F64225"/>
    </row>
    <row r="64226" spans="1:6" x14ac:dyDescent="0.25">
      <c r="A64226"/>
      <c r="B64226"/>
      <c r="C64226"/>
      <c r="E64226"/>
      <c r="F64226"/>
    </row>
    <row r="64227" spans="1:6" x14ac:dyDescent="0.25">
      <c r="A64227"/>
      <c r="B64227"/>
      <c r="C64227"/>
      <c r="E64227"/>
      <c r="F64227"/>
    </row>
    <row r="64228" spans="1:6" x14ac:dyDescent="0.25">
      <c r="A64228"/>
      <c r="B64228"/>
      <c r="C64228"/>
      <c r="E64228"/>
      <c r="F64228"/>
    </row>
    <row r="64229" spans="1:6" x14ac:dyDescent="0.25">
      <c r="A64229"/>
      <c r="B64229"/>
      <c r="C64229"/>
      <c r="E64229"/>
      <c r="F64229"/>
    </row>
    <row r="64230" spans="1:6" x14ac:dyDescent="0.25">
      <c r="A64230"/>
      <c r="B64230"/>
      <c r="C64230"/>
      <c r="E64230"/>
      <c r="F64230"/>
    </row>
    <row r="64231" spans="1:6" x14ac:dyDescent="0.25">
      <c r="A64231"/>
      <c r="B64231"/>
      <c r="C64231"/>
      <c r="E64231"/>
      <c r="F64231"/>
    </row>
    <row r="64232" spans="1:6" x14ac:dyDescent="0.25">
      <c r="A64232"/>
      <c r="B64232"/>
      <c r="C64232"/>
      <c r="E64232"/>
      <c r="F64232"/>
    </row>
    <row r="64233" spans="1:6" x14ac:dyDescent="0.25">
      <c r="A64233"/>
      <c r="B64233"/>
      <c r="C64233"/>
      <c r="E64233"/>
      <c r="F64233"/>
    </row>
    <row r="64234" spans="1:6" x14ac:dyDescent="0.25">
      <c r="A64234"/>
      <c r="B64234"/>
      <c r="C64234"/>
      <c r="E64234"/>
      <c r="F64234"/>
    </row>
    <row r="64235" spans="1:6" x14ac:dyDescent="0.25">
      <c r="A64235"/>
      <c r="B64235"/>
      <c r="C64235"/>
      <c r="E64235"/>
      <c r="F64235"/>
    </row>
    <row r="64236" spans="1:6" x14ac:dyDescent="0.25">
      <c r="A64236"/>
      <c r="B64236"/>
      <c r="C64236"/>
      <c r="E64236"/>
      <c r="F64236"/>
    </row>
    <row r="64237" spans="1:6" x14ac:dyDescent="0.25">
      <c r="A64237"/>
      <c r="B64237"/>
      <c r="C64237"/>
      <c r="E64237"/>
      <c r="F64237"/>
    </row>
    <row r="64238" spans="1:6" x14ac:dyDescent="0.25">
      <c r="A64238"/>
      <c r="B64238"/>
      <c r="C64238"/>
      <c r="E64238"/>
      <c r="F64238"/>
    </row>
    <row r="64239" spans="1:6" x14ac:dyDescent="0.25">
      <c r="A64239"/>
      <c r="B64239"/>
      <c r="C64239"/>
      <c r="E64239"/>
      <c r="F64239"/>
    </row>
    <row r="64240" spans="1:6" x14ac:dyDescent="0.25">
      <c r="A64240"/>
      <c r="B64240"/>
      <c r="C64240"/>
      <c r="E64240"/>
      <c r="F64240"/>
    </row>
    <row r="64241" spans="1:6" x14ac:dyDescent="0.25">
      <c r="A64241"/>
      <c r="B64241"/>
      <c r="C64241"/>
      <c r="E64241"/>
      <c r="F64241"/>
    </row>
    <row r="64242" spans="1:6" x14ac:dyDescent="0.25">
      <c r="A64242"/>
      <c r="B64242"/>
      <c r="C64242"/>
      <c r="E64242"/>
      <c r="F64242"/>
    </row>
    <row r="64243" spans="1:6" x14ac:dyDescent="0.25">
      <c r="A64243"/>
      <c r="B64243"/>
      <c r="C64243"/>
      <c r="E64243"/>
      <c r="F64243"/>
    </row>
    <row r="64244" spans="1:6" x14ac:dyDescent="0.25">
      <c r="A64244"/>
      <c r="B64244"/>
      <c r="C64244"/>
      <c r="E64244"/>
      <c r="F64244"/>
    </row>
    <row r="64245" spans="1:6" x14ac:dyDescent="0.25">
      <c r="A64245"/>
      <c r="B64245"/>
      <c r="C64245"/>
      <c r="E64245"/>
      <c r="F64245"/>
    </row>
    <row r="64246" spans="1:6" x14ac:dyDescent="0.25">
      <c r="A64246"/>
      <c r="B64246"/>
      <c r="C64246"/>
      <c r="E64246"/>
      <c r="F64246"/>
    </row>
    <row r="64247" spans="1:6" x14ac:dyDescent="0.25">
      <c r="A64247"/>
      <c r="B64247"/>
      <c r="C64247"/>
      <c r="E64247"/>
      <c r="F64247"/>
    </row>
    <row r="64248" spans="1:6" x14ac:dyDescent="0.25">
      <c r="A64248"/>
      <c r="B64248"/>
      <c r="C64248"/>
      <c r="E64248"/>
      <c r="F64248"/>
    </row>
    <row r="64249" spans="1:6" x14ac:dyDescent="0.25">
      <c r="A64249"/>
      <c r="B64249"/>
      <c r="C64249"/>
      <c r="E64249"/>
      <c r="F64249"/>
    </row>
    <row r="64250" spans="1:6" x14ac:dyDescent="0.25">
      <c r="A64250"/>
      <c r="B64250"/>
      <c r="C64250"/>
      <c r="E64250"/>
      <c r="F64250"/>
    </row>
    <row r="64251" spans="1:6" x14ac:dyDescent="0.25">
      <c r="A64251"/>
      <c r="B64251"/>
      <c r="C64251"/>
      <c r="E64251"/>
      <c r="F64251"/>
    </row>
    <row r="64252" spans="1:6" x14ac:dyDescent="0.25">
      <c r="A64252"/>
      <c r="B64252"/>
      <c r="C64252"/>
      <c r="E64252"/>
      <c r="F64252"/>
    </row>
    <row r="64253" spans="1:6" x14ac:dyDescent="0.25">
      <c r="A64253"/>
      <c r="B64253"/>
      <c r="C64253"/>
      <c r="E64253"/>
      <c r="F64253"/>
    </row>
    <row r="64254" spans="1:6" x14ac:dyDescent="0.25">
      <c r="A64254"/>
      <c r="B64254"/>
      <c r="C64254"/>
      <c r="E64254"/>
      <c r="F64254"/>
    </row>
    <row r="64255" spans="1:6" x14ac:dyDescent="0.25">
      <c r="A64255"/>
      <c r="B64255"/>
      <c r="C64255"/>
      <c r="E64255"/>
      <c r="F64255"/>
    </row>
    <row r="64256" spans="1:6" x14ac:dyDescent="0.25">
      <c r="A64256"/>
      <c r="B64256"/>
      <c r="C64256"/>
      <c r="E64256"/>
      <c r="F64256"/>
    </row>
    <row r="64257" spans="1:6" x14ac:dyDescent="0.25">
      <c r="A64257"/>
      <c r="B64257"/>
      <c r="C64257"/>
      <c r="E64257"/>
      <c r="F64257"/>
    </row>
    <row r="64258" spans="1:6" x14ac:dyDescent="0.25">
      <c r="A64258"/>
      <c r="B64258"/>
      <c r="C64258"/>
      <c r="E64258"/>
      <c r="F64258"/>
    </row>
    <row r="64259" spans="1:6" x14ac:dyDescent="0.25">
      <c r="A64259"/>
      <c r="B64259"/>
      <c r="C64259"/>
      <c r="E64259"/>
      <c r="F64259"/>
    </row>
    <row r="64260" spans="1:6" x14ac:dyDescent="0.25">
      <c r="A64260"/>
      <c r="B64260"/>
      <c r="C64260"/>
      <c r="E64260"/>
      <c r="F64260"/>
    </row>
    <row r="64261" spans="1:6" x14ac:dyDescent="0.25">
      <c r="A64261"/>
      <c r="B64261"/>
      <c r="C64261"/>
      <c r="E64261"/>
      <c r="F64261"/>
    </row>
    <row r="64262" spans="1:6" x14ac:dyDescent="0.25">
      <c r="A64262"/>
      <c r="B64262"/>
      <c r="C64262"/>
      <c r="E64262"/>
      <c r="F64262"/>
    </row>
    <row r="64263" spans="1:6" x14ac:dyDescent="0.25">
      <c r="A64263"/>
      <c r="B64263"/>
      <c r="C64263"/>
      <c r="E64263"/>
      <c r="F64263"/>
    </row>
    <row r="64264" spans="1:6" x14ac:dyDescent="0.25">
      <c r="A64264"/>
      <c r="B64264"/>
      <c r="C64264"/>
      <c r="E64264"/>
      <c r="F64264"/>
    </row>
    <row r="64265" spans="1:6" x14ac:dyDescent="0.25">
      <c r="A64265"/>
      <c r="B64265"/>
      <c r="C64265"/>
      <c r="E64265"/>
      <c r="F64265"/>
    </row>
    <row r="64266" spans="1:6" x14ac:dyDescent="0.25">
      <c r="A64266"/>
      <c r="B64266"/>
      <c r="C64266"/>
      <c r="E64266"/>
      <c r="F64266"/>
    </row>
    <row r="64267" spans="1:6" x14ac:dyDescent="0.25">
      <c r="A64267"/>
      <c r="B64267"/>
      <c r="C64267"/>
      <c r="E64267"/>
      <c r="F64267"/>
    </row>
    <row r="64268" spans="1:6" x14ac:dyDescent="0.25">
      <c r="A64268"/>
      <c r="B64268"/>
      <c r="C64268"/>
      <c r="E64268"/>
      <c r="F64268"/>
    </row>
    <row r="64269" spans="1:6" x14ac:dyDescent="0.25">
      <c r="A64269"/>
      <c r="B64269"/>
      <c r="C64269"/>
      <c r="E64269"/>
      <c r="F64269"/>
    </row>
    <row r="64270" spans="1:6" x14ac:dyDescent="0.25">
      <c r="A64270"/>
      <c r="B64270"/>
      <c r="C64270"/>
      <c r="E64270"/>
      <c r="F64270"/>
    </row>
    <row r="64271" spans="1:6" x14ac:dyDescent="0.25">
      <c r="A64271"/>
      <c r="B64271"/>
      <c r="C64271"/>
      <c r="E64271"/>
      <c r="F64271"/>
    </row>
    <row r="64272" spans="1:6" x14ac:dyDescent="0.25">
      <c r="A64272"/>
      <c r="B64272"/>
      <c r="C64272"/>
      <c r="E64272"/>
      <c r="F64272"/>
    </row>
    <row r="64273" spans="1:6" x14ac:dyDescent="0.25">
      <c r="A64273"/>
      <c r="B64273"/>
      <c r="C64273"/>
      <c r="E64273"/>
      <c r="F64273"/>
    </row>
    <row r="64274" spans="1:6" x14ac:dyDescent="0.25">
      <c r="A64274"/>
      <c r="B64274"/>
      <c r="C64274"/>
      <c r="E64274"/>
      <c r="F64274"/>
    </row>
    <row r="64275" spans="1:6" x14ac:dyDescent="0.25">
      <c r="A64275"/>
      <c r="B64275"/>
      <c r="C64275"/>
      <c r="E64275"/>
      <c r="F64275"/>
    </row>
    <row r="64276" spans="1:6" x14ac:dyDescent="0.25">
      <c r="A64276"/>
      <c r="B64276"/>
      <c r="C64276"/>
      <c r="E64276"/>
      <c r="F64276"/>
    </row>
    <row r="64277" spans="1:6" x14ac:dyDescent="0.25">
      <c r="A64277"/>
      <c r="B64277"/>
      <c r="C64277"/>
      <c r="E64277"/>
      <c r="F64277"/>
    </row>
    <row r="64278" spans="1:6" x14ac:dyDescent="0.25">
      <c r="A64278"/>
      <c r="B64278"/>
      <c r="C64278"/>
      <c r="E64278"/>
      <c r="F64278"/>
    </row>
    <row r="64279" spans="1:6" x14ac:dyDescent="0.25">
      <c r="A64279"/>
      <c r="B64279"/>
      <c r="C64279"/>
      <c r="E64279"/>
      <c r="F64279"/>
    </row>
    <row r="64280" spans="1:6" x14ac:dyDescent="0.25">
      <c r="A64280"/>
      <c r="B64280"/>
      <c r="C64280"/>
      <c r="E64280"/>
      <c r="F64280"/>
    </row>
    <row r="64281" spans="1:6" x14ac:dyDescent="0.25">
      <c r="A64281"/>
      <c r="B64281"/>
      <c r="C64281"/>
      <c r="E64281"/>
      <c r="F64281"/>
    </row>
    <row r="64282" spans="1:6" x14ac:dyDescent="0.25">
      <c r="A64282"/>
      <c r="B64282"/>
      <c r="C64282"/>
      <c r="E64282"/>
      <c r="F64282"/>
    </row>
    <row r="64283" spans="1:6" x14ac:dyDescent="0.25">
      <c r="A64283"/>
      <c r="B64283"/>
      <c r="C64283"/>
      <c r="E64283"/>
      <c r="F64283"/>
    </row>
    <row r="64284" spans="1:6" x14ac:dyDescent="0.25">
      <c r="A64284"/>
      <c r="B64284"/>
      <c r="C64284"/>
      <c r="E64284"/>
      <c r="F64284"/>
    </row>
    <row r="64285" spans="1:6" x14ac:dyDescent="0.25">
      <c r="A64285"/>
      <c r="B64285"/>
      <c r="C64285"/>
      <c r="E64285"/>
      <c r="F64285"/>
    </row>
    <row r="64286" spans="1:6" x14ac:dyDescent="0.25">
      <c r="A64286"/>
      <c r="B64286"/>
      <c r="C64286"/>
      <c r="E64286"/>
      <c r="F64286"/>
    </row>
    <row r="64287" spans="1:6" x14ac:dyDescent="0.25">
      <c r="A64287"/>
      <c r="B64287"/>
      <c r="C64287"/>
      <c r="E64287"/>
      <c r="F64287"/>
    </row>
    <row r="64288" spans="1:6" x14ac:dyDescent="0.25">
      <c r="A64288"/>
      <c r="B64288"/>
      <c r="C64288"/>
      <c r="E64288"/>
      <c r="F64288"/>
    </row>
    <row r="64289" spans="1:6" x14ac:dyDescent="0.25">
      <c r="A64289"/>
      <c r="B64289"/>
      <c r="C64289"/>
      <c r="E64289"/>
      <c r="F64289"/>
    </row>
    <row r="64290" spans="1:6" x14ac:dyDescent="0.25">
      <c r="A64290"/>
      <c r="B64290"/>
      <c r="C64290"/>
      <c r="E64290"/>
      <c r="F64290"/>
    </row>
    <row r="64291" spans="1:6" x14ac:dyDescent="0.25">
      <c r="A64291"/>
      <c r="B64291"/>
      <c r="C64291"/>
      <c r="E64291"/>
      <c r="F64291"/>
    </row>
    <row r="64292" spans="1:6" x14ac:dyDescent="0.25">
      <c r="A64292"/>
      <c r="B64292"/>
      <c r="C64292"/>
      <c r="E64292"/>
      <c r="F64292"/>
    </row>
    <row r="64293" spans="1:6" x14ac:dyDescent="0.25">
      <c r="A64293"/>
      <c r="B64293"/>
      <c r="C64293"/>
      <c r="E64293"/>
      <c r="F64293"/>
    </row>
    <row r="64294" spans="1:6" x14ac:dyDescent="0.25">
      <c r="A64294"/>
      <c r="B64294"/>
      <c r="C64294"/>
      <c r="E64294"/>
      <c r="F64294"/>
    </row>
    <row r="64295" spans="1:6" x14ac:dyDescent="0.25">
      <c r="A64295"/>
      <c r="B64295"/>
      <c r="C64295"/>
      <c r="E64295"/>
      <c r="F64295"/>
    </row>
    <row r="64296" spans="1:6" x14ac:dyDescent="0.25">
      <c r="A64296"/>
      <c r="B64296"/>
      <c r="C64296"/>
      <c r="E64296"/>
      <c r="F64296"/>
    </row>
    <row r="64297" spans="1:6" x14ac:dyDescent="0.25">
      <c r="A64297"/>
      <c r="B64297"/>
      <c r="C64297"/>
      <c r="E64297"/>
      <c r="F64297"/>
    </row>
    <row r="64298" spans="1:6" x14ac:dyDescent="0.25">
      <c r="A64298"/>
      <c r="B64298"/>
      <c r="C64298"/>
      <c r="E64298"/>
      <c r="F64298"/>
    </row>
    <row r="64299" spans="1:6" x14ac:dyDescent="0.25">
      <c r="A64299"/>
      <c r="B64299"/>
      <c r="C64299"/>
      <c r="E64299"/>
      <c r="F64299"/>
    </row>
    <row r="64300" spans="1:6" x14ac:dyDescent="0.25">
      <c r="A64300"/>
      <c r="B64300"/>
      <c r="C64300"/>
      <c r="E64300"/>
      <c r="F64300"/>
    </row>
    <row r="64301" spans="1:6" x14ac:dyDescent="0.25">
      <c r="A64301"/>
      <c r="B64301"/>
      <c r="C64301"/>
      <c r="E64301"/>
      <c r="F64301"/>
    </row>
    <row r="64302" spans="1:6" x14ac:dyDescent="0.25">
      <c r="A64302"/>
      <c r="B64302"/>
      <c r="C64302"/>
      <c r="E64302"/>
      <c r="F64302"/>
    </row>
    <row r="64303" spans="1:6" x14ac:dyDescent="0.25">
      <c r="A64303"/>
      <c r="B64303"/>
      <c r="C64303"/>
      <c r="E64303"/>
      <c r="F64303"/>
    </row>
    <row r="64304" spans="1:6" x14ac:dyDescent="0.25">
      <c r="A64304"/>
      <c r="B64304"/>
      <c r="C64304"/>
      <c r="E64304"/>
      <c r="F64304"/>
    </row>
    <row r="64305" spans="1:6" x14ac:dyDescent="0.25">
      <c r="A64305"/>
      <c r="B64305"/>
      <c r="C64305"/>
      <c r="E64305"/>
      <c r="F64305"/>
    </row>
    <row r="64306" spans="1:6" x14ac:dyDescent="0.25">
      <c r="A64306"/>
      <c r="B64306"/>
      <c r="C64306"/>
      <c r="E64306"/>
      <c r="F64306"/>
    </row>
    <row r="64307" spans="1:6" x14ac:dyDescent="0.25">
      <c r="A64307"/>
      <c r="B64307"/>
      <c r="C64307"/>
      <c r="E64307"/>
      <c r="F64307"/>
    </row>
    <row r="64308" spans="1:6" x14ac:dyDescent="0.25">
      <c r="A64308"/>
      <c r="B64308"/>
      <c r="C64308"/>
      <c r="E64308"/>
      <c r="F64308"/>
    </row>
    <row r="64309" spans="1:6" x14ac:dyDescent="0.25">
      <c r="A64309"/>
      <c r="B64309"/>
      <c r="C64309"/>
      <c r="E64309"/>
      <c r="F64309"/>
    </row>
    <row r="64310" spans="1:6" x14ac:dyDescent="0.25">
      <c r="A64310"/>
      <c r="B64310"/>
      <c r="C64310"/>
      <c r="E64310"/>
      <c r="F64310"/>
    </row>
    <row r="64311" spans="1:6" x14ac:dyDescent="0.25">
      <c r="A64311"/>
      <c r="B64311"/>
      <c r="C64311"/>
      <c r="E64311"/>
      <c r="F64311"/>
    </row>
    <row r="64312" spans="1:6" x14ac:dyDescent="0.25">
      <c r="A64312"/>
      <c r="B64312"/>
      <c r="C64312"/>
      <c r="E64312"/>
      <c r="F64312"/>
    </row>
    <row r="64313" spans="1:6" x14ac:dyDescent="0.25">
      <c r="A64313"/>
      <c r="B64313"/>
      <c r="C64313"/>
      <c r="E64313"/>
      <c r="F64313"/>
    </row>
    <row r="64314" spans="1:6" x14ac:dyDescent="0.25">
      <c r="A64314"/>
      <c r="B64314"/>
      <c r="C64314"/>
      <c r="E64314"/>
      <c r="F64314"/>
    </row>
    <row r="64315" spans="1:6" x14ac:dyDescent="0.25">
      <c r="A64315"/>
      <c r="B64315"/>
      <c r="C64315"/>
      <c r="E64315"/>
      <c r="F64315"/>
    </row>
    <row r="64316" spans="1:6" x14ac:dyDescent="0.25">
      <c r="A64316"/>
      <c r="B64316"/>
      <c r="C64316"/>
      <c r="E64316"/>
      <c r="F64316"/>
    </row>
    <row r="64317" spans="1:6" x14ac:dyDescent="0.25">
      <c r="A64317"/>
      <c r="B64317"/>
      <c r="C64317"/>
      <c r="E64317"/>
      <c r="F64317"/>
    </row>
    <row r="64318" spans="1:6" x14ac:dyDescent="0.25">
      <c r="A64318"/>
      <c r="B64318"/>
      <c r="C64318"/>
      <c r="E64318"/>
      <c r="F64318"/>
    </row>
    <row r="64319" spans="1:6" x14ac:dyDescent="0.25">
      <c r="A64319"/>
      <c r="B64319"/>
      <c r="C64319"/>
      <c r="E64319"/>
      <c r="F64319"/>
    </row>
    <row r="64320" spans="1:6" x14ac:dyDescent="0.25">
      <c r="A64320"/>
      <c r="B64320"/>
      <c r="C64320"/>
      <c r="E64320"/>
      <c r="F64320"/>
    </row>
    <row r="64321" spans="1:6" x14ac:dyDescent="0.25">
      <c r="A64321"/>
      <c r="B64321"/>
      <c r="C64321"/>
      <c r="E64321"/>
      <c r="F64321"/>
    </row>
    <row r="64322" spans="1:6" x14ac:dyDescent="0.25">
      <c r="A64322"/>
      <c r="B64322"/>
      <c r="C64322"/>
      <c r="E64322"/>
      <c r="F64322"/>
    </row>
    <row r="64323" spans="1:6" x14ac:dyDescent="0.25">
      <c r="A64323"/>
      <c r="B64323"/>
      <c r="C64323"/>
      <c r="E64323"/>
      <c r="F64323"/>
    </row>
    <row r="64324" spans="1:6" x14ac:dyDescent="0.25">
      <c r="A64324"/>
      <c r="B64324"/>
      <c r="C64324"/>
      <c r="E64324"/>
      <c r="F64324"/>
    </row>
    <row r="64325" spans="1:6" x14ac:dyDescent="0.25">
      <c r="A64325"/>
      <c r="B64325"/>
      <c r="C64325"/>
      <c r="E64325"/>
      <c r="F64325"/>
    </row>
    <row r="64326" spans="1:6" x14ac:dyDescent="0.25">
      <c r="A64326"/>
      <c r="B64326"/>
      <c r="C64326"/>
      <c r="E64326"/>
      <c r="F64326"/>
    </row>
    <row r="64327" spans="1:6" x14ac:dyDescent="0.25">
      <c r="A64327"/>
      <c r="B64327"/>
      <c r="C64327"/>
      <c r="E64327"/>
      <c r="F64327"/>
    </row>
    <row r="64328" spans="1:6" x14ac:dyDescent="0.25">
      <c r="A64328"/>
      <c r="B64328"/>
      <c r="C64328"/>
      <c r="E64328"/>
      <c r="F64328"/>
    </row>
    <row r="64329" spans="1:6" x14ac:dyDescent="0.25">
      <c r="A64329"/>
      <c r="B64329"/>
      <c r="C64329"/>
      <c r="E64329"/>
      <c r="F64329"/>
    </row>
    <row r="64330" spans="1:6" x14ac:dyDescent="0.25">
      <c r="A64330"/>
      <c r="B64330"/>
      <c r="C64330"/>
      <c r="E64330"/>
      <c r="F64330"/>
    </row>
    <row r="64331" spans="1:6" x14ac:dyDescent="0.25">
      <c r="A64331"/>
      <c r="B64331"/>
      <c r="C64331"/>
      <c r="E64331"/>
      <c r="F64331"/>
    </row>
    <row r="64332" spans="1:6" x14ac:dyDescent="0.25">
      <c r="A64332"/>
      <c r="B64332"/>
      <c r="C64332"/>
      <c r="E64332"/>
      <c r="F64332"/>
    </row>
    <row r="64333" spans="1:6" x14ac:dyDescent="0.25">
      <c r="A64333"/>
      <c r="B64333"/>
      <c r="C64333"/>
      <c r="E64333"/>
      <c r="F64333"/>
    </row>
    <row r="64334" spans="1:6" x14ac:dyDescent="0.25">
      <c r="A64334"/>
      <c r="B64334"/>
      <c r="C64334"/>
      <c r="E64334"/>
      <c r="F64334"/>
    </row>
    <row r="64335" spans="1:6" x14ac:dyDescent="0.25">
      <c r="A64335"/>
      <c r="B64335"/>
      <c r="C64335"/>
      <c r="E64335"/>
      <c r="F64335"/>
    </row>
    <row r="64336" spans="1:6" x14ac:dyDescent="0.25">
      <c r="A64336"/>
      <c r="B64336"/>
      <c r="C64336"/>
      <c r="E64336"/>
      <c r="F64336"/>
    </row>
    <row r="64337" spans="1:6" x14ac:dyDescent="0.25">
      <c r="A64337"/>
      <c r="B64337"/>
      <c r="C64337"/>
      <c r="E64337"/>
      <c r="F64337"/>
    </row>
    <row r="64338" spans="1:6" x14ac:dyDescent="0.25">
      <c r="A64338"/>
      <c r="B64338"/>
      <c r="C64338"/>
      <c r="E64338"/>
      <c r="F64338"/>
    </row>
    <row r="64339" spans="1:6" x14ac:dyDescent="0.25">
      <c r="A64339"/>
      <c r="B64339"/>
      <c r="C64339"/>
      <c r="E64339"/>
      <c r="F64339"/>
    </row>
    <row r="64340" spans="1:6" x14ac:dyDescent="0.25">
      <c r="A64340"/>
      <c r="B64340"/>
      <c r="C64340"/>
      <c r="E64340"/>
      <c r="F64340"/>
    </row>
    <row r="64341" spans="1:6" x14ac:dyDescent="0.25">
      <c r="A64341"/>
      <c r="B64341"/>
      <c r="C64341"/>
      <c r="E64341"/>
      <c r="F64341"/>
    </row>
    <row r="64342" spans="1:6" x14ac:dyDescent="0.25">
      <c r="A64342"/>
      <c r="B64342"/>
      <c r="C64342"/>
      <c r="E64342"/>
      <c r="F64342"/>
    </row>
    <row r="64343" spans="1:6" x14ac:dyDescent="0.25">
      <c r="A64343"/>
      <c r="B64343"/>
      <c r="C64343"/>
      <c r="E64343"/>
      <c r="F64343"/>
    </row>
    <row r="64344" spans="1:6" x14ac:dyDescent="0.25">
      <c r="A64344"/>
      <c r="B64344"/>
      <c r="C64344"/>
      <c r="E64344"/>
      <c r="F64344"/>
    </row>
    <row r="64345" spans="1:6" x14ac:dyDescent="0.25">
      <c r="A64345"/>
      <c r="B64345"/>
      <c r="C64345"/>
      <c r="E64345"/>
      <c r="F64345"/>
    </row>
    <row r="64346" spans="1:6" x14ac:dyDescent="0.25">
      <c r="A64346"/>
      <c r="B64346"/>
      <c r="C64346"/>
      <c r="E64346"/>
      <c r="F64346"/>
    </row>
    <row r="64347" spans="1:6" x14ac:dyDescent="0.25">
      <c r="A64347"/>
      <c r="B64347"/>
      <c r="C64347"/>
      <c r="E64347"/>
      <c r="F64347"/>
    </row>
    <row r="64348" spans="1:6" x14ac:dyDescent="0.25">
      <c r="A64348"/>
      <c r="B64348"/>
      <c r="C64348"/>
      <c r="E64348"/>
      <c r="F64348"/>
    </row>
    <row r="64349" spans="1:6" x14ac:dyDescent="0.25">
      <c r="A64349"/>
      <c r="B64349"/>
      <c r="C64349"/>
      <c r="E64349"/>
      <c r="F64349"/>
    </row>
    <row r="64350" spans="1:6" x14ac:dyDescent="0.25">
      <c r="A64350"/>
      <c r="B64350"/>
      <c r="C64350"/>
      <c r="E64350"/>
      <c r="F64350"/>
    </row>
    <row r="64351" spans="1:6" x14ac:dyDescent="0.25">
      <c r="A64351"/>
      <c r="B64351"/>
      <c r="C64351"/>
      <c r="E64351"/>
      <c r="F64351"/>
    </row>
    <row r="64352" spans="1:6" x14ac:dyDescent="0.25">
      <c r="A64352"/>
      <c r="B64352"/>
      <c r="C64352"/>
      <c r="E64352"/>
      <c r="F64352"/>
    </row>
    <row r="64353" spans="1:6" x14ac:dyDescent="0.25">
      <c r="A64353"/>
      <c r="B64353"/>
      <c r="C64353"/>
      <c r="E64353"/>
      <c r="F64353"/>
    </row>
    <row r="64354" spans="1:6" x14ac:dyDescent="0.25">
      <c r="A64354"/>
      <c r="B64354"/>
      <c r="C64354"/>
      <c r="E64354"/>
      <c r="F64354"/>
    </row>
    <row r="64355" spans="1:6" x14ac:dyDescent="0.25">
      <c r="A64355"/>
      <c r="B64355"/>
      <c r="C64355"/>
      <c r="E64355"/>
      <c r="F64355"/>
    </row>
    <row r="64356" spans="1:6" x14ac:dyDescent="0.25">
      <c r="A64356"/>
      <c r="B64356"/>
      <c r="C64356"/>
      <c r="E64356"/>
      <c r="F64356"/>
    </row>
    <row r="64357" spans="1:6" x14ac:dyDescent="0.25">
      <c r="A64357"/>
      <c r="B64357"/>
      <c r="C64357"/>
      <c r="E64357"/>
      <c r="F64357"/>
    </row>
    <row r="64358" spans="1:6" x14ac:dyDescent="0.25">
      <c r="A64358"/>
      <c r="B64358"/>
      <c r="C64358"/>
      <c r="E64358"/>
      <c r="F64358"/>
    </row>
    <row r="64359" spans="1:6" x14ac:dyDescent="0.25">
      <c r="A64359"/>
      <c r="B64359"/>
      <c r="C64359"/>
      <c r="E64359"/>
      <c r="F64359"/>
    </row>
    <row r="64360" spans="1:6" x14ac:dyDescent="0.25">
      <c r="A64360"/>
      <c r="B64360"/>
      <c r="C64360"/>
      <c r="E64360"/>
      <c r="F64360"/>
    </row>
    <row r="64361" spans="1:6" x14ac:dyDescent="0.25">
      <c r="A64361"/>
      <c r="B64361"/>
      <c r="C64361"/>
      <c r="E64361"/>
      <c r="F64361"/>
    </row>
    <row r="64362" spans="1:6" x14ac:dyDescent="0.25">
      <c r="A64362"/>
      <c r="B64362"/>
      <c r="C64362"/>
      <c r="E64362"/>
      <c r="F64362"/>
    </row>
    <row r="64363" spans="1:6" x14ac:dyDescent="0.25">
      <c r="A64363"/>
      <c r="B64363"/>
      <c r="C64363"/>
      <c r="E64363"/>
      <c r="F64363"/>
    </row>
    <row r="64364" spans="1:6" x14ac:dyDescent="0.25">
      <c r="A64364"/>
      <c r="B64364"/>
      <c r="C64364"/>
      <c r="E64364"/>
      <c r="F64364"/>
    </row>
    <row r="64365" spans="1:6" x14ac:dyDescent="0.25">
      <c r="A64365"/>
      <c r="B64365"/>
      <c r="C64365"/>
      <c r="E64365"/>
      <c r="F64365"/>
    </row>
    <row r="64366" spans="1:6" x14ac:dyDescent="0.25">
      <c r="A64366"/>
      <c r="B64366"/>
      <c r="C64366"/>
      <c r="E64366"/>
      <c r="F64366"/>
    </row>
    <row r="64367" spans="1:6" x14ac:dyDescent="0.25">
      <c r="A64367"/>
      <c r="B64367"/>
      <c r="C64367"/>
      <c r="E64367"/>
      <c r="F64367"/>
    </row>
    <row r="64368" spans="1:6" x14ac:dyDescent="0.25">
      <c r="A64368"/>
      <c r="B64368"/>
      <c r="C64368"/>
      <c r="E64368"/>
      <c r="F64368"/>
    </row>
    <row r="64369" spans="1:6" x14ac:dyDescent="0.25">
      <c r="A64369"/>
      <c r="B64369"/>
      <c r="C64369"/>
      <c r="E64369"/>
      <c r="F64369"/>
    </row>
    <row r="64370" spans="1:6" x14ac:dyDescent="0.25">
      <c r="A64370"/>
      <c r="B64370"/>
      <c r="C64370"/>
      <c r="E64370"/>
      <c r="F64370"/>
    </row>
    <row r="64371" spans="1:6" x14ac:dyDescent="0.25">
      <c r="A64371"/>
      <c r="B64371"/>
      <c r="C64371"/>
      <c r="E64371"/>
      <c r="F64371"/>
    </row>
    <row r="64372" spans="1:6" x14ac:dyDescent="0.25">
      <c r="A64372"/>
      <c r="B64372"/>
      <c r="C64372"/>
      <c r="E64372"/>
      <c r="F64372"/>
    </row>
    <row r="64373" spans="1:6" x14ac:dyDescent="0.25">
      <c r="A64373"/>
      <c r="B64373"/>
      <c r="C64373"/>
      <c r="E64373"/>
      <c r="F64373"/>
    </row>
    <row r="64374" spans="1:6" x14ac:dyDescent="0.25">
      <c r="A64374"/>
      <c r="B64374"/>
      <c r="C64374"/>
      <c r="E64374"/>
      <c r="F64374"/>
    </row>
    <row r="64375" spans="1:6" x14ac:dyDescent="0.25">
      <c r="A64375"/>
      <c r="B64375"/>
      <c r="C64375"/>
      <c r="E64375"/>
      <c r="F64375"/>
    </row>
    <row r="64376" spans="1:6" x14ac:dyDescent="0.25">
      <c r="A64376"/>
      <c r="B64376"/>
      <c r="C64376"/>
      <c r="E64376"/>
      <c r="F64376"/>
    </row>
    <row r="64377" spans="1:6" x14ac:dyDescent="0.25">
      <c r="A64377"/>
      <c r="B64377"/>
      <c r="C64377"/>
      <c r="E64377"/>
      <c r="F64377"/>
    </row>
    <row r="64378" spans="1:6" x14ac:dyDescent="0.25">
      <c r="A64378"/>
      <c r="B64378"/>
      <c r="C64378"/>
      <c r="E64378"/>
      <c r="F64378"/>
    </row>
    <row r="64379" spans="1:6" x14ac:dyDescent="0.25">
      <c r="A64379"/>
      <c r="B64379"/>
      <c r="C64379"/>
      <c r="E64379"/>
      <c r="F64379"/>
    </row>
    <row r="64380" spans="1:6" x14ac:dyDescent="0.25">
      <c r="A64380"/>
      <c r="B64380"/>
      <c r="C64380"/>
      <c r="E64380"/>
      <c r="F64380"/>
    </row>
    <row r="64381" spans="1:6" x14ac:dyDescent="0.25">
      <c r="A64381"/>
      <c r="B64381"/>
      <c r="C64381"/>
      <c r="E64381"/>
      <c r="F64381"/>
    </row>
    <row r="64382" spans="1:6" x14ac:dyDescent="0.25">
      <c r="A64382"/>
      <c r="B64382"/>
      <c r="C64382"/>
      <c r="E64382"/>
      <c r="F64382"/>
    </row>
    <row r="64383" spans="1:6" x14ac:dyDescent="0.25">
      <c r="A64383"/>
      <c r="B64383"/>
      <c r="C64383"/>
      <c r="E64383"/>
      <c r="F64383"/>
    </row>
    <row r="64384" spans="1:6" x14ac:dyDescent="0.25">
      <c r="A64384"/>
      <c r="B64384"/>
      <c r="C64384"/>
      <c r="E64384"/>
      <c r="F64384"/>
    </row>
    <row r="64385" spans="1:6" x14ac:dyDescent="0.25">
      <c r="A64385"/>
      <c r="B64385"/>
      <c r="C64385"/>
      <c r="E64385"/>
      <c r="F64385"/>
    </row>
    <row r="64386" spans="1:6" x14ac:dyDescent="0.25">
      <c r="A64386"/>
      <c r="B64386"/>
      <c r="C64386"/>
      <c r="E64386"/>
      <c r="F64386"/>
    </row>
    <row r="64387" spans="1:6" x14ac:dyDescent="0.25">
      <c r="A64387"/>
      <c r="B64387"/>
      <c r="C64387"/>
      <c r="E64387"/>
      <c r="F64387"/>
    </row>
    <row r="64388" spans="1:6" x14ac:dyDescent="0.25">
      <c r="A64388"/>
      <c r="B64388"/>
      <c r="C64388"/>
      <c r="E64388"/>
      <c r="F64388"/>
    </row>
    <row r="64389" spans="1:6" x14ac:dyDescent="0.25">
      <c r="A64389"/>
      <c r="B64389"/>
      <c r="C64389"/>
      <c r="E64389"/>
      <c r="F64389"/>
    </row>
    <row r="64390" spans="1:6" x14ac:dyDescent="0.25">
      <c r="A64390"/>
      <c r="B64390"/>
      <c r="C64390"/>
      <c r="E64390"/>
      <c r="F64390"/>
    </row>
    <row r="64391" spans="1:6" x14ac:dyDescent="0.25">
      <c r="A64391"/>
      <c r="B64391"/>
      <c r="C64391"/>
      <c r="E64391"/>
      <c r="F64391"/>
    </row>
    <row r="64392" spans="1:6" x14ac:dyDescent="0.25">
      <c r="A64392"/>
      <c r="B64392"/>
      <c r="C64392"/>
      <c r="E64392"/>
      <c r="F64392"/>
    </row>
    <row r="64393" spans="1:6" x14ac:dyDescent="0.25">
      <c r="A64393"/>
      <c r="B64393"/>
      <c r="C64393"/>
      <c r="E64393"/>
      <c r="F64393"/>
    </row>
    <row r="64394" spans="1:6" x14ac:dyDescent="0.25">
      <c r="A64394"/>
      <c r="B64394"/>
      <c r="C64394"/>
      <c r="E64394"/>
      <c r="F64394"/>
    </row>
    <row r="64395" spans="1:6" x14ac:dyDescent="0.25">
      <c r="A64395"/>
      <c r="B64395"/>
      <c r="C64395"/>
      <c r="E64395"/>
      <c r="F64395"/>
    </row>
    <row r="64396" spans="1:6" x14ac:dyDescent="0.25">
      <c r="A64396"/>
      <c r="B64396"/>
      <c r="C64396"/>
      <c r="E64396"/>
      <c r="F64396"/>
    </row>
    <row r="64397" spans="1:6" x14ac:dyDescent="0.25">
      <c r="A64397"/>
      <c r="B64397"/>
      <c r="C64397"/>
      <c r="E64397"/>
      <c r="F64397"/>
    </row>
    <row r="64398" spans="1:6" x14ac:dyDescent="0.25">
      <c r="A64398"/>
      <c r="B64398"/>
      <c r="C64398"/>
      <c r="E64398"/>
      <c r="F64398"/>
    </row>
    <row r="64399" spans="1:6" x14ac:dyDescent="0.25">
      <c r="A64399"/>
      <c r="B64399"/>
      <c r="C64399"/>
      <c r="E64399"/>
      <c r="F64399"/>
    </row>
    <row r="64400" spans="1:6" x14ac:dyDescent="0.25">
      <c r="A64400"/>
      <c r="B64400"/>
      <c r="C64400"/>
      <c r="E64400"/>
      <c r="F64400"/>
    </row>
    <row r="64401" spans="1:6" x14ac:dyDescent="0.25">
      <c r="A64401"/>
      <c r="B64401"/>
      <c r="C64401"/>
      <c r="E64401"/>
      <c r="F64401"/>
    </row>
    <row r="64402" spans="1:6" x14ac:dyDescent="0.25">
      <c r="A64402"/>
      <c r="B64402"/>
      <c r="C64402"/>
      <c r="E64402"/>
      <c r="F64402"/>
    </row>
    <row r="64403" spans="1:6" x14ac:dyDescent="0.25">
      <c r="A64403"/>
      <c r="B64403"/>
      <c r="C64403"/>
      <c r="E64403"/>
      <c r="F64403"/>
    </row>
    <row r="64404" spans="1:6" x14ac:dyDescent="0.25">
      <c r="A64404"/>
      <c r="B64404"/>
      <c r="C64404"/>
      <c r="E64404"/>
      <c r="F64404"/>
    </row>
    <row r="64405" spans="1:6" x14ac:dyDescent="0.25">
      <c r="A64405"/>
      <c r="B64405"/>
      <c r="C64405"/>
      <c r="E64405"/>
      <c r="F64405"/>
    </row>
    <row r="64406" spans="1:6" x14ac:dyDescent="0.25">
      <c r="A64406"/>
      <c r="B64406"/>
      <c r="C64406"/>
      <c r="E64406"/>
      <c r="F64406"/>
    </row>
    <row r="64407" spans="1:6" x14ac:dyDescent="0.25">
      <c r="A64407"/>
      <c r="B64407"/>
      <c r="C64407"/>
      <c r="E64407"/>
      <c r="F64407"/>
    </row>
    <row r="64408" spans="1:6" x14ac:dyDescent="0.25">
      <c r="A64408"/>
      <c r="B64408"/>
      <c r="C64408"/>
      <c r="E64408"/>
      <c r="F64408"/>
    </row>
    <row r="64409" spans="1:6" x14ac:dyDescent="0.25">
      <c r="A64409"/>
      <c r="B64409"/>
      <c r="C64409"/>
      <c r="E64409"/>
      <c r="F64409"/>
    </row>
    <row r="64410" spans="1:6" x14ac:dyDescent="0.25">
      <c r="A64410"/>
      <c r="B64410"/>
      <c r="C64410"/>
      <c r="E64410"/>
      <c r="F64410"/>
    </row>
    <row r="64411" spans="1:6" x14ac:dyDescent="0.25">
      <c r="A64411"/>
      <c r="B64411"/>
      <c r="C64411"/>
      <c r="E64411"/>
      <c r="F64411"/>
    </row>
    <row r="64412" spans="1:6" x14ac:dyDescent="0.25">
      <c r="A64412"/>
      <c r="B64412"/>
      <c r="C64412"/>
      <c r="E64412"/>
      <c r="F64412"/>
    </row>
    <row r="64413" spans="1:6" x14ac:dyDescent="0.25">
      <c r="A64413"/>
      <c r="B64413"/>
      <c r="C64413"/>
      <c r="E64413"/>
      <c r="F64413"/>
    </row>
    <row r="64414" spans="1:6" x14ac:dyDescent="0.25">
      <c r="A64414"/>
      <c r="B64414"/>
      <c r="C64414"/>
      <c r="E64414"/>
      <c r="F64414"/>
    </row>
    <row r="64415" spans="1:6" x14ac:dyDescent="0.25">
      <c r="A64415"/>
      <c r="B64415"/>
      <c r="C64415"/>
      <c r="E64415"/>
      <c r="F64415"/>
    </row>
    <row r="64416" spans="1:6" x14ac:dyDescent="0.25">
      <c r="A64416"/>
      <c r="B64416"/>
      <c r="C64416"/>
      <c r="E64416"/>
      <c r="F64416"/>
    </row>
    <row r="64417" spans="1:6" x14ac:dyDescent="0.25">
      <c r="A64417"/>
      <c r="B64417"/>
      <c r="C64417"/>
      <c r="E64417"/>
      <c r="F64417"/>
    </row>
    <row r="64418" spans="1:6" x14ac:dyDescent="0.25">
      <c r="A64418"/>
      <c r="B64418"/>
      <c r="C64418"/>
      <c r="E64418"/>
      <c r="F64418"/>
    </row>
    <row r="64419" spans="1:6" x14ac:dyDescent="0.25">
      <c r="A64419"/>
      <c r="B64419"/>
      <c r="C64419"/>
      <c r="E64419"/>
      <c r="F64419"/>
    </row>
    <row r="64420" spans="1:6" x14ac:dyDescent="0.25">
      <c r="A64420"/>
      <c r="B64420"/>
      <c r="C64420"/>
      <c r="E64420"/>
      <c r="F64420"/>
    </row>
    <row r="64421" spans="1:6" x14ac:dyDescent="0.25">
      <c r="A64421"/>
      <c r="B64421"/>
      <c r="C64421"/>
      <c r="E64421"/>
      <c r="F64421"/>
    </row>
    <row r="64422" spans="1:6" x14ac:dyDescent="0.25">
      <c r="A64422"/>
      <c r="B64422"/>
      <c r="C64422"/>
      <c r="E64422"/>
      <c r="F64422"/>
    </row>
    <row r="64423" spans="1:6" x14ac:dyDescent="0.25">
      <c r="A64423"/>
      <c r="B64423"/>
      <c r="C64423"/>
      <c r="E64423"/>
      <c r="F64423"/>
    </row>
    <row r="64424" spans="1:6" x14ac:dyDescent="0.25">
      <c r="A64424"/>
      <c r="B64424"/>
      <c r="C64424"/>
      <c r="E64424"/>
      <c r="F64424"/>
    </row>
    <row r="64425" spans="1:6" x14ac:dyDescent="0.25">
      <c r="A64425"/>
      <c r="B64425"/>
      <c r="C64425"/>
      <c r="E64425"/>
      <c r="F64425"/>
    </row>
    <row r="64426" spans="1:6" x14ac:dyDescent="0.25">
      <c r="A64426"/>
      <c r="B64426"/>
      <c r="C64426"/>
      <c r="E64426"/>
      <c r="F64426"/>
    </row>
    <row r="64427" spans="1:6" x14ac:dyDescent="0.25">
      <c r="A64427"/>
      <c r="B64427"/>
      <c r="C64427"/>
      <c r="E64427"/>
      <c r="F64427"/>
    </row>
    <row r="64428" spans="1:6" x14ac:dyDescent="0.25">
      <c r="A64428"/>
      <c r="B64428"/>
      <c r="C64428"/>
      <c r="E64428"/>
      <c r="F64428"/>
    </row>
    <row r="64429" spans="1:6" x14ac:dyDescent="0.25">
      <c r="A64429"/>
      <c r="B64429"/>
      <c r="C64429"/>
      <c r="E64429"/>
      <c r="F64429"/>
    </row>
    <row r="64430" spans="1:6" x14ac:dyDescent="0.25">
      <c r="A64430"/>
      <c r="B64430"/>
      <c r="C64430"/>
      <c r="E64430"/>
      <c r="F64430"/>
    </row>
    <row r="64431" spans="1:6" x14ac:dyDescent="0.25">
      <c r="A64431"/>
      <c r="B64431"/>
      <c r="C64431"/>
      <c r="E64431"/>
      <c r="F64431"/>
    </row>
    <row r="64432" spans="1:6" x14ac:dyDescent="0.25">
      <c r="A64432"/>
      <c r="B64432"/>
      <c r="C64432"/>
      <c r="E64432"/>
      <c r="F64432"/>
    </row>
    <row r="64433" spans="1:6" x14ac:dyDescent="0.25">
      <c r="A64433"/>
      <c r="B64433"/>
      <c r="C64433"/>
      <c r="E64433"/>
      <c r="F64433"/>
    </row>
    <row r="64434" spans="1:6" x14ac:dyDescent="0.25">
      <c r="A64434"/>
      <c r="B64434"/>
      <c r="C64434"/>
      <c r="E64434"/>
      <c r="F64434"/>
    </row>
    <row r="64435" spans="1:6" x14ac:dyDescent="0.25">
      <c r="A64435"/>
      <c r="B64435"/>
      <c r="C64435"/>
      <c r="E64435"/>
      <c r="F64435"/>
    </row>
    <row r="64436" spans="1:6" x14ac:dyDescent="0.25">
      <c r="A64436"/>
      <c r="B64436"/>
      <c r="C64436"/>
      <c r="E64436"/>
      <c r="F64436"/>
    </row>
    <row r="64437" spans="1:6" x14ac:dyDescent="0.25">
      <c r="A64437"/>
      <c r="B64437"/>
      <c r="C64437"/>
      <c r="E64437"/>
      <c r="F64437"/>
    </row>
    <row r="64438" spans="1:6" x14ac:dyDescent="0.25">
      <c r="A64438"/>
      <c r="B64438"/>
      <c r="C64438"/>
      <c r="E64438"/>
      <c r="F64438"/>
    </row>
    <row r="64439" spans="1:6" x14ac:dyDescent="0.25">
      <c r="A64439"/>
      <c r="B64439"/>
      <c r="C64439"/>
      <c r="E64439"/>
      <c r="F64439"/>
    </row>
    <row r="64440" spans="1:6" x14ac:dyDescent="0.25">
      <c r="A64440"/>
      <c r="B64440"/>
      <c r="C64440"/>
      <c r="E64440"/>
      <c r="F64440"/>
    </row>
    <row r="64441" spans="1:6" x14ac:dyDescent="0.25">
      <c r="A64441"/>
      <c r="B64441"/>
      <c r="C64441"/>
      <c r="E64441"/>
      <c r="F64441"/>
    </row>
    <row r="64442" spans="1:6" x14ac:dyDescent="0.25">
      <c r="A64442"/>
      <c r="B64442"/>
      <c r="C64442"/>
      <c r="E64442"/>
      <c r="F64442"/>
    </row>
    <row r="64443" spans="1:6" x14ac:dyDescent="0.25">
      <c r="A64443"/>
      <c r="B64443"/>
      <c r="C64443"/>
      <c r="E64443"/>
      <c r="F64443"/>
    </row>
    <row r="64444" spans="1:6" x14ac:dyDescent="0.25">
      <c r="A64444"/>
      <c r="B64444"/>
      <c r="C64444"/>
      <c r="E64444"/>
      <c r="F64444"/>
    </row>
    <row r="64445" spans="1:6" x14ac:dyDescent="0.25">
      <c r="A64445"/>
      <c r="B64445"/>
      <c r="C64445"/>
      <c r="E64445"/>
      <c r="F64445"/>
    </row>
    <row r="64446" spans="1:6" x14ac:dyDescent="0.25">
      <c r="A64446"/>
      <c r="B64446"/>
      <c r="C64446"/>
      <c r="E64446"/>
      <c r="F64446"/>
    </row>
    <row r="64447" spans="1:6" x14ac:dyDescent="0.25">
      <c r="A64447"/>
      <c r="B64447"/>
      <c r="C64447"/>
      <c r="E64447"/>
      <c r="F64447"/>
    </row>
    <row r="64448" spans="1:6" x14ac:dyDescent="0.25">
      <c r="A64448"/>
      <c r="B64448"/>
      <c r="C64448"/>
      <c r="E64448"/>
      <c r="F64448"/>
    </row>
    <row r="64449" spans="1:6" x14ac:dyDescent="0.25">
      <c r="A64449"/>
      <c r="B64449"/>
      <c r="C64449"/>
      <c r="E64449"/>
      <c r="F64449"/>
    </row>
    <row r="64450" spans="1:6" x14ac:dyDescent="0.25">
      <c r="A64450"/>
      <c r="B64450"/>
      <c r="C64450"/>
      <c r="E64450"/>
      <c r="F64450"/>
    </row>
    <row r="64451" spans="1:6" x14ac:dyDescent="0.25">
      <c r="A64451"/>
      <c r="B64451"/>
      <c r="C64451"/>
      <c r="E64451"/>
      <c r="F64451"/>
    </row>
    <row r="64452" spans="1:6" x14ac:dyDescent="0.25">
      <c r="A64452"/>
      <c r="B64452"/>
      <c r="C64452"/>
      <c r="E64452"/>
      <c r="F64452"/>
    </row>
    <row r="64453" spans="1:6" x14ac:dyDescent="0.25">
      <c r="A64453"/>
      <c r="B64453"/>
      <c r="C64453"/>
      <c r="E64453"/>
      <c r="F64453"/>
    </row>
    <row r="64454" spans="1:6" x14ac:dyDescent="0.25">
      <c r="A64454"/>
      <c r="B64454"/>
      <c r="C64454"/>
      <c r="E64454"/>
      <c r="F64454"/>
    </row>
    <row r="64455" spans="1:6" x14ac:dyDescent="0.25">
      <c r="A64455"/>
      <c r="B64455"/>
      <c r="C64455"/>
      <c r="E64455"/>
      <c r="F64455"/>
    </row>
    <row r="64456" spans="1:6" x14ac:dyDescent="0.25">
      <c r="A64456"/>
      <c r="B64456"/>
      <c r="C64456"/>
      <c r="E64456"/>
      <c r="F64456"/>
    </row>
    <row r="64457" spans="1:6" x14ac:dyDescent="0.25">
      <c r="A64457"/>
      <c r="B64457"/>
      <c r="C64457"/>
      <c r="E64457"/>
      <c r="F64457"/>
    </row>
    <row r="64458" spans="1:6" x14ac:dyDescent="0.25">
      <c r="A64458"/>
      <c r="B64458"/>
      <c r="C64458"/>
      <c r="E64458"/>
      <c r="F64458"/>
    </row>
    <row r="64459" spans="1:6" x14ac:dyDescent="0.25">
      <c r="A64459"/>
      <c r="B64459"/>
      <c r="C64459"/>
      <c r="E64459"/>
      <c r="F64459"/>
    </row>
    <row r="64460" spans="1:6" x14ac:dyDescent="0.25">
      <c r="A64460"/>
      <c r="B64460"/>
      <c r="C64460"/>
      <c r="E64460"/>
      <c r="F64460"/>
    </row>
    <row r="64461" spans="1:6" x14ac:dyDescent="0.25">
      <c r="A64461"/>
      <c r="B64461"/>
      <c r="C64461"/>
      <c r="E64461"/>
      <c r="F64461"/>
    </row>
    <row r="64462" spans="1:6" x14ac:dyDescent="0.25">
      <c r="A64462"/>
      <c r="B64462"/>
      <c r="C64462"/>
      <c r="E64462"/>
      <c r="F64462"/>
    </row>
    <row r="64463" spans="1:6" x14ac:dyDescent="0.25">
      <c r="A64463"/>
      <c r="B64463"/>
      <c r="C64463"/>
      <c r="E64463"/>
      <c r="F64463"/>
    </row>
    <row r="64464" spans="1:6" x14ac:dyDescent="0.25">
      <c r="A64464"/>
      <c r="B64464"/>
      <c r="C64464"/>
      <c r="E64464"/>
      <c r="F64464"/>
    </row>
    <row r="64465" spans="1:6" x14ac:dyDescent="0.25">
      <c r="A64465"/>
      <c r="B64465"/>
      <c r="C64465"/>
      <c r="E64465"/>
      <c r="F64465"/>
    </row>
    <row r="64466" spans="1:6" x14ac:dyDescent="0.25">
      <c r="A64466"/>
      <c r="B64466"/>
      <c r="C64466"/>
      <c r="E64466"/>
      <c r="F64466"/>
    </row>
    <row r="64467" spans="1:6" x14ac:dyDescent="0.25">
      <c r="A64467"/>
      <c r="B64467"/>
      <c r="C64467"/>
      <c r="E64467"/>
      <c r="F64467"/>
    </row>
    <row r="64468" spans="1:6" x14ac:dyDescent="0.25">
      <c r="A64468"/>
      <c r="B64468"/>
      <c r="C64468"/>
      <c r="E64468"/>
      <c r="F64468"/>
    </row>
    <row r="64469" spans="1:6" x14ac:dyDescent="0.25">
      <c r="A64469"/>
      <c r="B64469"/>
      <c r="C64469"/>
      <c r="E64469"/>
      <c r="F64469"/>
    </row>
    <row r="64470" spans="1:6" x14ac:dyDescent="0.25">
      <c r="A64470"/>
      <c r="B64470"/>
      <c r="C64470"/>
      <c r="E64470"/>
      <c r="F64470"/>
    </row>
    <row r="64471" spans="1:6" x14ac:dyDescent="0.25">
      <c r="A64471"/>
      <c r="B64471"/>
      <c r="C64471"/>
      <c r="E64471"/>
      <c r="F64471"/>
    </row>
    <row r="64472" spans="1:6" x14ac:dyDescent="0.25">
      <c r="A64472"/>
      <c r="B64472"/>
      <c r="C64472"/>
      <c r="E64472"/>
      <c r="F64472"/>
    </row>
    <row r="64473" spans="1:6" x14ac:dyDescent="0.25">
      <c r="A64473"/>
      <c r="B64473"/>
      <c r="C64473"/>
      <c r="E64473"/>
      <c r="F64473"/>
    </row>
    <row r="64474" spans="1:6" x14ac:dyDescent="0.25">
      <c r="A64474"/>
      <c r="B64474"/>
      <c r="C64474"/>
      <c r="E64474"/>
      <c r="F64474"/>
    </row>
    <row r="64475" spans="1:6" x14ac:dyDescent="0.25">
      <c r="A64475"/>
      <c r="B64475"/>
      <c r="C64475"/>
      <c r="E64475"/>
      <c r="F64475"/>
    </row>
    <row r="64476" spans="1:6" x14ac:dyDescent="0.25">
      <c r="A64476"/>
      <c r="B64476"/>
      <c r="C64476"/>
      <c r="E64476"/>
      <c r="F64476"/>
    </row>
    <row r="64477" spans="1:6" x14ac:dyDescent="0.25">
      <c r="A64477"/>
      <c r="B64477"/>
      <c r="C64477"/>
      <c r="E64477"/>
      <c r="F64477"/>
    </row>
    <row r="64478" spans="1:6" x14ac:dyDescent="0.25">
      <c r="A64478"/>
      <c r="B64478"/>
      <c r="C64478"/>
      <c r="E64478"/>
      <c r="F64478"/>
    </row>
    <row r="64479" spans="1:6" x14ac:dyDescent="0.25">
      <c r="A64479"/>
      <c r="B64479"/>
      <c r="C64479"/>
      <c r="E64479"/>
      <c r="F64479"/>
    </row>
    <row r="64480" spans="1:6" x14ac:dyDescent="0.25">
      <c r="A64480"/>
      <c r="B64480"/>
      <c r="C64480"/>
      <c r="E64480"/>
      <c r="F64480"/>
    </row>
    <row r="64481" spans="1:6" x14ac:dyDescent="0.25">
      <c r="A64481"/>
      <c r="B64481"/>
      <c r="C64481"/>
      <c r="E64481"/>
      <c r="F64481"/>
    </row>
    <row r="64482" spans="1:6" x14ac:dyDescent="0.25">
      <c r="A64482"/>
      <c r="B64482"/>
      <c r="C64482"/>
      <c r="E64482"/>
      <c r="F64482"/>
    </row>
    <row r="64483" spans="1:6" x14ac:dyDescent="0.25">
      <c r="A64483"/>
      <c r="B64483"/>
      <c r="C64483"/>
      <c r="E64483"/>
      <c r="F64483"/>
    </row>
    <row r="64484" spans="1:6" x14ac:dyDescent="0.25">
      <c r="A64484"/>
      <c r="B64484"/>
      <c r="C64484"/>
      <c r="E64484"/>
      <c r="F64484"/>
    </row>
    <row r="64485" spans="1:6" x14ac:dyDescent="0.25">
      <c r="A64485"/>
      <c r="B64485"/>
      <c r="C64485"/>
      <c r="E64485"/>
      <c r="F64485"/>
    </row>
    <row r="64486" spans="1:6" x14ac:dyDescent="0.25">
      <c r="A64486"/>
      <c r="B64486"/>
      <c r="C64486"/>
      <c r="E64486"/>
      <c r="F64486"/>
    </row>
    <row r="64487" spans="1:6" x14ac:dyDescent="0.25">
      <c r="A64487"/>
      <c r="B64487"/>
      <c r="C64487"/>
      <c r="E64487"/>
      <c r="F64487"/>
    </row>
    <row r="64488" spans="1:6" x14ac:dyDescent="0.25">
      <c r="A64488"/>
      <c r="B64488"/>
      <c r="C64488"/>
      <c r="E64488"/>
      <c r="F64488"/>
    </row>
    <row r="64489" spans="1:6" x14ac:dyDescent="0.25">
      <c r="A64489"/>
      <c r="B64489"/>
      <c r="C64489"/>
      <c r="E64489"/>
      <c r="F64489"/>
    </row>
    <row r="64490" spans="1:6" x14ac:dyDescent="0.25">
      <c r="A64490"/>
      <c r="B64490"/>
      <c r="C64490"/>
      <c r="E64490"/>
      <c r="F64490"/>
    </row>
    <row r="64491" spans="1:6" x14ac:dyDescent="0.25">
      <c r="A64491"/>
      <c r="B64491"/>
      <c r="C64491"/>
      <c r="E64491"/>
      <c r="F64491"/>
    </row>
    <row r="64492" spans="1:6" x14ac:dyDescent="0.25">
      <c r="A64492"/>
      <c r="B64492"/>
      <c r="C64492"/>
      <c r="E64492"/>
      <c r="F64492"/>
    </row>
    <row r="64493" spans="1:6" x14ac:dyDescent="0.25">
      <c r="A64493"/>
      <c r="B64493"/>
      <c r="C64493"/>
      <c r="E64493"/>
      <c r="F64493"/>
    </row>
    <row r="64494" spans="1:6" x14ac:dyDescent="0.25">
      <c r="A64494"/>
      <c r="B64494"/>
      <c r="C64494"/>
      <c r="E64494"/>
      <c r="F64494"/>
    </row>
    <row r="64495" spans="1:6" x14ac:dyDescent="0.25">
      <c r="A64495"/>
      <c r="B64495"/>
      <c r="C64495"/>
      <c r="E64495"/>
      <c r="F64495"/>
    </row>
    <row r="64496" spans="1:6" x14ac:dyDescent="0.25">
      <c r="A64496"/>
      <c r="B64496"/>
      <c r="C64496"/>
      <c r="E64496"/>
      <c r="F64496"/>
    </row>
    <row r="64497" spans="1:6" x14ac:dyDescent="0.25">
      <c r="A64497"/>
      <c r="B64497"/>
      <c r="C64497"/>
      <c r="E64497"/>
      <c r="F64497"/>
    </row>
    <row r="64498" spans="1:6" x14ac:dyDescent="0.25">
      <c r="A64498"/>
      <c r="B64498"/>
      <c r="C64498"/>
      <c r="E64498"/>
      <c r="F64498"/>
    </row>
    <row r="64499" spans="1:6" x14ac:dyDescent="0.25">
      <c r="A64499"/>
      <c r="B64499"/>
      <c r="C64499"/>
      <c r="E64499"/>
      <c r="F64499"/>
    </row>
    <row r="64500" spans="1:6" x14ac:dyDescent="0.25">
      <c r="A64500"/>
      <c r="B64500"/>
      <c r="C64500"/>
      <c r="E64500"/>
      <c r="F64500"/>
    </row>
    <row r="64501" spans="1:6" x14ac:dyDescent="0.25">
      <c r="A64501"/>
      <c r="B64501"/>
      <c r="C64501"/>
      <c r="E64501"/>
      <c r="F64501"/>
    </row>
    <row r="64502" spans="1:6" x14ac:dyDescent="0.25">
      <c r="A64502"/>
      <c r="B64502"/>
      <c r="C64502"/>
      <c r="E64502"/>
      <c r="F64502"/>
    </row>
    <row r="64503" spans="1:6" x14ac:dyDescent="0.25">
      <c r="A64503"/>
      <c r="B64503"/>
      <c r="C64503"/>
      <c r="E64503"/>
      <c r="F64503"/>
    </row>
    <row r="64504" spans="1:6" x14ac:dyDescent="0.25">
      <c r="A64504"/>
      <c r="B64504"/>
      <c r="C64504"/>
      <c r="E64504"/>
      <c r="F64504"/>
    </row>
    <row r="64505" spans="1:6" x14ac:dyDescent="0.25">
      <c r="A64505"/>
      <c r="B64505"/>
      <c r="C64505"/>
      <c r="E64505"/>
      <c r="F64505"/>
    </row>
    <row r="64506" spans="1:6" x14ac:dyDescent="0.25">
      <c r="A64506"/>
      <c r="B64506"/>
      <c r="C64506"/>
      <c r="E64506"/>
      <c r="F64506"/>
    </row>
    <row r="64507" spans="1:6" x14ac:dyDescent="0.25">
      <c r="A64507"/>
      <c r="B64507"/>
      <c r="C64507"/>
      <c r="E64507"/>
      <c r="F64507"/>
    </row>
    <row r="64508" spans="1:6" x14ac:dyDescent="0.25">
      <c r="A64508"/>
      <c r="B64508"/>
      <c r="C64508"/>
      <c r="E64508"/>
      <c r="F64508"/>
    </row>
    <row r="64509" spans="1:6" x14ac:dyDescent="0.25">
      <c r="A64509"/>
      <c r="B64509"/>
      <c r="C64509"/>
      <c r="E64509"/>
      <c r="F64509"/>
    </row>
    <row r="64510" spans="1:6" x14ac:dyDescent="0.25">
      <c r="A64510"/>
      <c r="B64510"/>
      <c r="C64510"/>
      <c r="E64510"/>
      <c r="F64510"/>
    </row>
    <row r="64511" spans="1:6" x14ac:dyDescent="0.25">
      <c r="A64511"/>
      <c r="B64511"/>
      <c r="C64511"/>
      <c r="E64511"/>
      <c r="F64511"/>
    </row>
    <row r="64512" spans="1:6" x14ac:dyDescent="0.25">
      <c r="A64512"/>
      <c r="B64512"/>
      <c r="C64512"/>
      <c r="E64512"/>
      <c r="F64512"/>
    </row>
    <row r="64513" spans="1:6" x14ac:dyDescent="0.25">
      <c r="A64513"/>
      <c r="B64513"/>
      <c r="C64513"/>
      <c r="E64513"/>
      <c r="F64513"/>
    </row>
    <row r="64514" spans="1:6" x14ac:dyDescent="0.25">
      <c r="A64514"/>
      <c r="B64514"/>
      <c r="C64514"/>
      <c r="E64514"/>
      <c r="F64514"/>
    </row>
    <row r="64515" spans="1:6" x14ac:dyDescent="0.25">
      <c r="A64515"/>
      <c r="B64515"/>
      <c r="C64515"/>
      <c r="E64515"/>
      <c r="F64515"/>
    </row>
    <row r="64516" spans="1:6" x14ac:dyDescent="0.25">
      <c r="A64516"/>
      <c r="B64516"/>
      <c r="C64516"/>
      <c r="E64516"/>
      <c r="F64516"/>
    </row>
    <row r="64517" spans="1:6" x14ac:dyDescent="0.25">
      <c r="A64517"/>
      <c r="B64517"/>
      <c r="C64517"/>
      <c r="E64517"/>
      <c r="F64517"/>
    </row>
    <row r="64518" spans="1:6" x14ac:dyDescent="0.25">
      <c r="A64518"/>
      <c r="B64518"/>
      <c r="C64518"/>
      <c r="E64518"/>
      <c r="F64518"/>
    </row>
    <row r="64519" spans="1:6" x14ac:dyDescent="0.25">
      <c r="A64519"/>
      <c r="B64519"/>
      <c r="C64519"/>
      <c r="E64519"/>
      <c r="F64519"/>
    </row>
    <row r="64520" spans="1:6" x14ac:dyDescent="0.25">
      <c r="A64520"/>
      <c r="B64520"/>
      <c r="C64520"/>
      <c r="E64520"/>
      <c r="F64520"/>
    </row>
    <row r="64521" spans="1:6" x14ac:dyDescent="0.25">
      <c r="A64521"/>
      <c r="B64521"/>
      <c r="C64521"/>
      <c r="E64521"/>
      <c r="F64521"/>
    </row>
    <row r="64522" spans="1:6" x14ac:dyDescent="0.25">
      <c r="A64522"/>
      <c r="B64522"/>
      <c r="C64522"/>
      <c r="E64522"/>
      <c r="F64522"/>
    </row>
    <row r="64523" spans="1:6" x14ac:dyDescent="0.25">
      <c r="A64523"/>
      <c r="B64523"/>
      <c r="C64523"/>
      <c r="E64523"/>
      <c r="F64523"/>
    </row>
    <row r="64524" spans="1:6" x14ac:dyDescent="0.25">
      <c r="A64524"/>
      <c r="B64524"/>
      <c r="C64524"/>
      <c r="E64524"/>
      <c r="F64524"/>
    </row>
    <row r="64525" spans="1:6" x14ac:dyDescent="0.25">
      <c r="A64525"/>
      <c r="B64525"/>
      <c r="C64525"/>
      <c r="E64525"/>
      <c r="F64525"/>
    </row>
    <row r="64526" spans="1:6" x14ac:dyDescent="0.25">
      <c r="A64526"/>
      <c r="B64526"/>
      <c r="C64526"/>
      <c r="E64526"/>
      <c r="F64526"/>
    </row>
    <row r="64527" spans="1:6" x14ac:dyDescent="0.25">
      <c r="A64527"/>
      <c r="B64527"/>
      <c r="C64527"/>
      <c r="E64527"/>
      <c r="F64527"/>
    </row>
    <row r="64528" spans="1:6" x14ac:dyDescent="0.25">
      <c r="A64528"/>
      <c r="B64528"/>
      <c r="C64528"/>
      <c r="E64528"/>
      <c r="F64528"/>
    </row>
    <row r="64529" spans="1:6" x14ac:dyDescent="0.25">
      <c r="A64529"/>
      <c r="B64529"/>
      <c r="C64529"/>
      <c r="E64529"/>
      <c r="F64529"/>
    </row>
    <row r="64530" spans="1:6" x14ac:dyDescent="0.25">
      <c r="A64530"/>
      <c r="B64530"/>
      <c r="C64530"/>
      <c r="E64530"/>
      <c r="F64530"/>
    </row>
    <row r="64531" spans="1:6" x14ac:dyDescent="0.25">
      <c r="A64531"/>
      <c r="B64531"/>
      <c r="C64531"/>
      <c r="E64531"/>
      <c r="F64531"/>
    </row>
    <row r="64532" spans="1:6" x14ac:dyDescent="0.25">
      <c r="A64532"/>
      <c r="B64532"/>
      <c r="C64532"/>
      <c r="E64532"/>
      <c r="F64532"/>
    </row>
    <row r="64533" spans="1:6" x14ac:dyDescent="0.25">
      <c r="A64533"/>
      <c r="B64533"/>
      <c r="C64533"/>
      <c r="E64533"/>
      <c r="F64533"/>
    </row>
    <row r="64534" spans="1:6" x14ac:dyDescent="0.25">
      <c r="A64534"/>
      <c r="B64534"/>
      <c r="C64534"/>
      <c r="E64534"/>
      <c r="F64534"/>
    </row>
    <row r="64535" spans="1:6" x14ac:dyDescent="0.25">
      <c r="A64535"/>
      <c r="B64535"/>
      <c r="C64535"/>
      <c r="E64535"/>
      <c r="F64535"/>
    </row>
    <row r="64536" spans="1:6" x14ac:dyDescent="0.25">
      <c r="A64536"/>
      <c r="B64536"/>
      <c r="C64536"/>
      <c r="E64536"/>
      <c r="F64536"/>
    </row>
    <row r="64537" spans="1:6" x14ac:dyDescent="0.25">
      <c r="A64537"/>
      <c r="B64537"/>
      <c r="C64537"/>
      <c r="E64537"/>
      <c r="F64537"/>
    </row>
    <row r="64538" spans="1:6" x14ac:dyDescent="0.25">
      <c r="A64538"/>
      <c r="B64538"/>
      <c r="C64538"/>
      <c r="E64538"/>
      <c r="F64538"/>
    </row>
    <row r="64539" spans="1:6" x14ac:dyDescent="0.25">
      <c r="A64539"/>
      <c r="B64539"/>
      <c r="C64539"/>
      <c r="E64539"/>
      <c r="F64539"/>
    </row>
    <row r="64540" spans="1:6" x14ac:dyDescent="0.25">
      <c r="A64540"/>
      <c r="B64540"/>
      <c r="C64540"/>
      <c r="E64540"/>
      <c r="F64540"/>
    </row>
    <row r="64541" spans="1:6" x14ac:dyDescent="0.25">
      <c r="A64541"/>
      <c r="B64541"/>
      <c r="C64541"/>
      <c r="E64541"/>
      <c r="F64541"/>
    </row>
    <row r="64542" spans="1:6" x14ac:dyDescent="0.25">
      <c r="A64542"/>
      <c r="B64542"/>
      <c r="C64542"/>
      <c r="E64542"/>
      <c r="F64542"/>
    </row>
    <row r="64543" spans="1:6" x14ac:dyDescent="0.25">
      <c r="A64543"/>
      <c r="B64543"/>
      <c r="C64543"/>
      <c r="E64543"/>
      <c r="F64543"/>
    </row>
    <row r="64544" spans="1:6" x14ac:dyDescent="0.25">
      <c r="A64544"/>
      <c r="B64544"/>
      <c r="C64544"/>
      <c r="E64544"/>
      <c r="F64544"/>
    </row>
    <row r="64545" spans="1:6" x14ac:dyDescent="0.25">
      <c r="A64545"/>
      <c r="B64545"/>
      <c r="C64545"/>
      <c r="E64545"/>
      <c r="F64545"/>
    </row>
    <row r="64546" spans="1:6" x14ac:dyDescent="0.25">
      <c r="A64546"/>
      <c r="B64546"/>
      <c r="C64546"/>
      <c r="E64546"/>
      <c r="F64546"/>
    </row>
    <row r="64547" spans="1:6" x14ac:dyDescent="0.25">
      <c r="A64547"/>
      <c r="B64547"/>
      <c r="C64547"/>
      <c r="E64547"/>
      <c r="F64547"/>
    </row>
    <row r="64548" spans="1:6" x14ac:dyDescent="0.25">
      <c r="A64548"/>
      <c r="B64548"/>
      <c r="C64548"/>
      <c r="E64548"/>
      <c r="F64548"/>
    </row>
    <row r="64549" spans="1:6" x14ac:dyDescent="0.25">
      <c r="A64549"/>
      <c r="B64549"/>
      <c r="C64549"/>
      <c r="E64549"/>
      <c r="F64549"/>
    </row>
    <row r="64550" spans="1:6" x14ac:dyDescent="0.25">
      <c r="A64550"/>
      <c r="B64550"/>
      <c r="C64550"/>
      <c r="E64550"/>
      <c r="F64550"/>
    </row>
    <row r="64551" spans="1:6" x14ac:dyDescent="0.25">
      <c r="A64551"/>
      <c r="B64551"/>
      <c r="C64551"/>
      <c r="E64551"/>
      <c r="F64551"/>
    </row>
    <row r="64552" spans="1:6" x14ac:dyDescent="0.25">
      <c r="A64552"/>
      <c r="B64552"/>
      <c r="C64552"/>
      <c r="E64552"/>
      <c r="F64552"/>
    </row>
    <row r="64553" spans="1:6" x14ac:dyDescent="0.25">
      <c r="A64553"/>
      <c r="B64553"/>
      <c r="C64553"/>
      <c r="E64553"/>
      <c r="F64553"/>
    </row>
    <row r="64554" spans="1:6" x14ac:dyDescent="0.25">
      <c r="A64554"/>
      <c r="B64554"/>
      <c r="C64554"/>
      <c r="E64554"/>
      <c r="F64554"/>
    </row>
    <row r="64555" spans="1:6" x14ac:dyDescent="0.25">
      <c r="A64555"/>
      <c r="B64555"/>
      <c r="C64555"/>
      <c r="E64555"/>
      <c r="F64555"/>
    </row>
    <row r="64556" spans="1:6" x14ac:dyDescent="0.25">
      <c r="A64556"/>
      <c r="B64556"/>
      <c r="C64556"/>
      <c r="E64556"/>
      <c r="F64556"/>
    </row>
    <row r="64557" spans="1:6" x14ac:dyDescent="0.25">
      <c r="A64557"/>
      <c r="B64557"/>
      <c r="C64557"/>
      <c r="E64557"/>
      <c r="F64557"/>
    </row>
    <row r="64558" spans="1:6" x14ac:dyDescent="0.25">
      <c r="A64558"/>
      <c r="B64558"/>
      <c r="C64558"/>
      <c r="E64558"/>
      <c r="F64558"/>
    </row>
    <row r="64559" spans="1:6" x14ac:dyDescent="0.25">
      <c r="A64559"/>
      <c r="B64559"/>
      <c r="C64559"/>
      <c r="E64559"/>
      <c r="F64559"/>
    </row>
    <row r="64560" spans="1:6" x14ac:dyDescent="0.25">
      <c r="A64560"/>
      <c r="B64560"/>
      <c r="C64560"/>
      <c r="E64560"/>
      <c r="F64560"/>
    </row>
    <row r="64561" spans="1:6" x14ac:dyDescent="0.25">
      <c r="A64561"/>
      <c r="B64561"/>
      <c r="C64561"/>
      <c r="E64561"/>
      <c r="F64561"/>
    </row>
    <row r="64562" spans="1:6" x14ac:dyDescent="0.25">
      <c r="A64562"/>
      <c r="B64562"/>
      <c r="C64562"/>
      <c r="E64562"/>
      <c r="F64562"/>
    </row>
    <row r="64563" spans="1:6" x14ac:dyDescent="0.25">
      <c r="A64563"/>
      <c r="B64563"/>
      <c r="C64563"/>
      <c r="E64563"/>
      <c r="F64563"/>
    </row>
    <row r="64564" spans="1:6" x14ac:dyDescent="0.25">
      <c r="A64564"/>
      <c r="B64564"/>
      <c r="C64564"/>
      <c r="E64564"/>
      <c r="F64564"/>
    </row>
    <row r="64565" spans="1:6" x14ac:dyDescent="0.25">
      <c r="A64565"/>
      <c r="B64565"/>
      <c r="C64565"/>
      <c r="E64565"/>
      <c r="F64565"/>
    </row>
    <row r="64566" spans="1:6" x14ac:dyDescent="0.25">
      <c r="A64566"/>
      <c r="B64566"/>
      <c r="C64566"/>
      <c r="E64566"/>
      <c r="F64566"/>
    </row>
    <row r="64567" spans="1:6" x14ac:dyDescent="0.25">
      <c r="A64567"/>
      <c r="B64567"/>
      <c r="C64567"/>
      <c r="E64567"/>
      <c r="F64567"/>
    </row>
    <row r="64568" spans="1:6" x14ac:dyDescent="0.25">
      <c r="A64568"/>
      <c r="B64568"/>
      <c r="C64568"/>
      <c r="E64568"/>
      <c r="F64568"/>
    </row>
    <row r="64569" spans="1:6" x14ac:dyDescent="0.25">
      <c r="A64569"/>
      <c r="B64569"/>
      <c r="C64569"/>
      <c r="E64569"/>
      <c r="F64569"/>
    </row>
    <row r="64570" spans="1:6" x14ac:dyDescent="0.25">
      <c r="A64570"/>
      <c r="B64570"/>
      <c r="C64570"/>
      <c r="E64570"/>
      <c r="F64570"/>
    </row>
    <row r="64571" spans="1:6" x14ac:dyDescent="0.25">
      <c r="A64571"/>
      <c r="B64571"/>
      <c r="C64571"/>
      <c r="E64571"/>
      <c r="F64571"/>
    </row>
    <row r="64572" spans="1:6" x14ac:dyDescent="0.25">
      <c r="A64572"/>
      <c r="B64572"/>
      <c r="C64572"/>
      <c r="E64572"/>
      <c r="F64572"/>
    </row>
    <row r="64573" spans="1:6" x14ac:dyDescent="0.25">
      <c r="A64573"/>
      <c r="B64573"/>
      <c r="C64573"/>
      <c r="E64573"/>
      <c r="F64573"/>
    </row>
    <row r="64574" spans="1:6" x14ac:dyDescent="0.25">
      <c r="A64574"/>
      <c r="B64574"/>
      <c r="C64574"/>
      <c r="E64574"/>
      <c r="F64574"/>
    </row>
    <row r="64575" spans="1:6" x14ac:dyDescent="0.25">
      <c r="A64575"/>
      <c r="B64575"/>
      <c r="C64575"/>
      <c r="E64575"/>
      <c r="F64575"/>
    </row>
    <row r="64576" spans="1:6" x14ac:dyDescent="0.25">
      <c r="A64576"/>
      <c r="B64576"/>
      <c r="C64576"/>
      <c r="E64576"/>
      <c r="F64576"/>
    </row>
    <row r="64577" spans="1:6" x14ac:dyDescent="0.25">
      <c r="A64577"/>
      <c r="B64577"/>
      <c r="C64577"/>
      <c r="E64577"/>
      <c r="F64577"/>
    </row>
    <row r="64578" spans="1:6" x14ac:dyDescent="0.25">
      <c r="A64578"/>
      <c r="B64578"/>
      <c r="C64578"/>
      <c r="E64578"/>
      <c r="F64578"/>
    </row>
    <row r="64579" spans="1:6" x14ac:dyDescent="0.25">
      <c r="A64579"/>
      <c r="B64579"/>
      <c r="C64579"/>
      <c r="E64579"/>
      <c r="F64579"/>
    </row>
    <row r="64580" spans="1:6" x14ac:dyDescent="0.25">
      <c r="A64580"/>
      <c r="B64580"/>
      <c r="C64580"/>
      <c r="E64580"/>
      <c r="F64580"/>
    </row>
    <row r="64581" spans="1:6" x14ac:dyDescent="0.25">
      <c r="A64581"/>
      <c r="B64581"/>
      <c r="C64581"/>
      <c r="E64581"/>
      <c r="F64581"/>
    </row>
    <row r="64582" spans="1:6" x14ac:dyDescent="0.25">
      <c r="A64582"/>
      <c r="B64582"/>
      <c r="C64582"/>
      <c r="E64582"/>
      <c r="F64582"/>
    </row>
    <row r="64583" spans="1:6" x14ac:dyDescent="0.25">
      <c r="A64583"/>
      <c r="B64583"/>
      <c r="C64583"/>
      <c r="E64583"/>
      <c r="F64583"/>
    </row>
    <row r="64584" spans="1:6" x14ac:dyDescent="0.25">
      <c r="A64584"/>
      <c r="B64584"/>
      <c r="C64584"/>
      <c r="E64584"/>
      <c r="F64584"/>
    </row>
    <row r="64585" spans="1:6" x14ac:dyDescent="0.25">
      <c r="A64585"/>
      <c r="B64585"/>
      <c r="C64585"/>
      <c r="E64585"/>
      <c r="F64585"/>
    </row>
    <row r="64586" spans="1:6" x14ac:dyDescent="0.25">
      <c r="A64586"/>
      <c r="B64586"/>
      <c r="C64586"/>
      <c r="E64586"/>
      <c r="F64586"/>
    </row>
    <row r="64587" spans="1:6" x14ac:dyDescent="0.25">
      <c r="A64587"/>
      <c r="B64587"/>
      <c r="C64587"/>
      <c r="E64587"/>
      <c r="F64587"/>
    </row>
    <row r="64588" spans="1:6" x14ac:dyDescent="0.25">
      <c r="A64588"/>
      <c r="B64588"/>
      <c r="C64588"/>
      <c r="E64588"/>
      <c r="F64588"/>
    </row>
    <row r="64589" spans="1:6" x14ac:dyDescent="0.25">
      <c r="A64589"/>
      <c r="B64589"/>
      <c r="C64589"/>
      <c r="E64589"/>
      <c r="F64589"/>
    </row>
    <row r="64590" spans="1:6" x14ac:dyDescent="0.25">
      <c r="A64590"/>
      <c r="B64590"/>
      <c r="C64590"/>
      <c r="E64590"/>
      <c r="F64590"/>
    </row>
    <row r="64591" spans="1:6" x14ac:dyDescent="0.25">
      <c r="A64591"/>
      <c r="B64591"/>
      <c r="C64591"/>
      <c r="E64591"/>
      <c r="F64591"/>
    </row>
    <row r="64592" spans="1:6" x14ac:dyDescent="0.25">
      <c r="A64592"/>
      <c r="B64592"/>
      <c r="C64592"/>
      <c r="E64592"/>
      <c r="F64592"/>
    </row>
    <row r="64593" spans="1:6" x14ac:dyDescent="0.25">
      <c r="A64593"/>
      <c r="B64593"/>
      <c r="C64593"/>
      <c r="E64593"/>
      <c r="F64593"/>
    </row>
    <row r="64594" spans="1:6" x14ac:dyDescent="0.25">
      <c r="A64594"/>
      <c r="B64594"/>
      <c r="C64594"/>
      <c r="E64594"/>
      <c r="F64594"/>
    </row>
    <row r="64595" spans="1:6" x14ac:dyDescent="0.25">
      <c r="A64595"/>
      <c r="B64595"/>
      <c r="C64595"/>
      <c r="E64595"/>
      <c r="F64595"/>
    </row>
    <row r="64596" spans="1:6" x14ac:dyDescent="0.25">
      <c r="A64596"/>
      <c r="B64596"/>
      <c r="C64596"/>
      <c r="E64596"/>
      <c r="F64596"/>
    </row>
    <row r="64597" spans="1:6" x14ac:dyDescent="0.25">
      <c r="A64597"/>
      <c r="B64597"/>
      <c r="C64597"/>
      <c r="E64597"/>
      <c r="F64597"/>
    </row>
    <row r="64598" spans="1:6" x14ac:dyDescent="0.25">
      <c r="A64598"/>
      <c r="B64598"/>
      <c r="C64598"/>
      <c r="E64598"/>
      <c r="F64598"/>
    </row>
    <row r="64599" spans="1:6" x14ac:dyDescent="0.25">
      <c r="A64599"/>
      <c r="B64599"/>
      <c r="C64599"/>
      <c r="E64599"/>
      <c r="F64599"/>
    </row>
    <row r="64600" spans="1:6" x14ac:dyDescent="0.25">
      <c r="A64600"/>
      <c r="B64600"/>
      <c r="C64600"/>
      <c r="E64600"/>
      <c r="F64600"/>
    </row>
    <row r="64601" spans="1:6" x14ac:dyDescent="0.25">
      <c r="A64601"/>
      <c r="B64601"/>
      <c r="C64601"/>
      <c r="E64601"/>
      <c r="F64601"/>
    </row>
    <row r="64602" spans="1:6" x14ac:dyDescent="0.25">
      <c r="A64602"/>
      <c r="B64602"/>
      <c r="C64602"/>
      <c r="E64602"/>
      <c r="F64602"/>
    </row>
    <row r="64603" spans="1:6" x14ac:dyDescent="0.25">
      <c r="A64603"/>
      <c r="B64603"/>
      <c r="C64603"/>
      <c r="E64603"/>
      <c r="F64603"/>
    </row>
    <row r="64604" spans="1:6" x14ac:dyDescent="0.25">
      <c r="A64604"/>
      <c r="B64604"/>
      <c r="C64604"/>
      <c r="E64604"/>
      <c r="F64604"/>
    </row>
    <row r="64605" spans="1:6" x14ac:dyDescent="0.25">
      <c r="A64605"/>
      <c r="B64605"/>
      <c r="C64605"/>
      <c r="E64605"/>
      <c r="F64605"/>
    </row>
    <row r="64606" spans="1:6" x14ac:dyDescent="0.25">
      <c r="A64606"/>
      <c r="B64606"/>
      <c r="C64606"/>
      <c r="E64606"/>
      <c r="F64606"/>
    </row>
    <row r="64607" spans="1:6" x14ac:dyDescent="0.25">
      <c r="A64607"/>
      <c r="B64607"/>
      <c r="C64607"/>
      <c r="E64607"/>
      <c r="F64607"/>
    </row>
    <row r="64608" spans="1:6" x14ac:dyDescent="0.25">
      <c r="A64608"/>
      <c r="B64608"/>
      <c r="C64608"/>
      <c r="E64608"/>
      <c r="F64608"/>
    </row>
    <row r="64609" spans="1:6" x14ac:dyDescent="0.25">
      <c r="A64609"/>
      <c r="B64609"/>
      <c r="C64609"/>
      <c r="E64609"/>
      <c r="F64609"/>
    </row>
    <row r="64610" spans="1:6" x14ac:dyDescent="0.25">
      <c r="A64610"/>
      <c r="B64610"/>
      <c r="C64610"/>
      <c r="E64610"/>
      <c r="F64610"/>
    </row>
    <row r="64611" spans="1:6" x14ac:dyDescent="0.25">
      <c r="A64611"/>
      <c r="B64611"/>
      <c r="C64611"/>
      <c r="E64611"/>
      <c r="F64611"/>
    </row>
    <row r="64612" spans="1:6" x14ac:dyDescent="0.25">
      <c r="A64612"/>
      <c r="B64612"/>
      <c r="C64612"/>
      <c r="E64612"/>
      <c r="F64612"/>
    </row>
    <row r="64613" spans="1:6" x14ac:dyDescent="0.25">
      <c r="A64613"/>
      <c r="B64613"/>
      <c r="C64613"/>
      <c r="E64613"/>
      <c r="F64613"/>
    </row>
    <row r="64614" spans="1:6" x14ac:dyDescent="0.25">
      <c r="A64614"/>
      <c r="B64614"/>
      <c r="C64614"/>
      <c r="E64614"/>
      <c r="F64614"/>
    </row>
    <row r="64615" spans="1:6" x14ac:dyDescent="0.25">
      <c r="A64615"/>
      <c r="B64615"/>
      <c r="C64615"/>
      <c r="E64615"/>
      <c r="F64615"/>
    </row>
    <row r="64616" spans="1:6" x14ac:dyDescent="0.25">
      <c r="A64616"/>
      <c r="B64616"/>
      <c r="C64616"/>
      <c r="E64616"/>
      <c r="F64616"/>
    </row>
    <row r="64617" spans="1:6" x14ac:dyDescent="0.25">
      <c r="A64617"/>
      <c r="B64617"/>
      <c r="C64617"/>
      <c r="E64617"/>
      <c r="F64617"/>
    </row>
    <row r="64618" spans="1:6" x14ac:dyDescent="0.25">
      <c r="A64618"/>
      <c r="B64618"/>
      <c r="C64618"/>
      <c r="E64618"/>
      <c r="F64618"/>
    </row>
    <row r="64619" spans="1:6" x14ac:dyDescent="0.25">
      <c r="A64619"/>
      <c r="B64619"/>
      <c r="C64619"/>
      <c r="E64619"/>
      <c r="F64619"/>
    </row>
    <row r="64620" spans="1:6" x14ac:dyDescent="0.25">
      <c r="A64620"/>
      <c r="B64620"/>
      <c r="C64620"/>
      <c r="E64620"/>
      <c r="F64620"/>
    </row>
    <row r="64621" spans="1:6" x14ac:dyDescent="0.25">
      <c r="A64621"/>
      <c r="B64621"/>
      <c r="C64621"/>
      <c r="E64621"/>
      <c r="F64621"/>
    </row>
    <row r="64622" spans="1:6" x14ac:dyDescent="0.25">
      <c r="A64622"/>
      <c r="B64622"/>
      <c r="C64622"/>
      <c r="E64622"/>
      <c r="F64622"/>
    </row>
    <row r="64623" spans="1:6" x14ac:dyDescent="0.25">
      <c r="A64623"/>
      <c r="B64623"/>
      <c r="C64623"/>
      <c r="E64623"/>
      <c r="F64623"/>
    </row>
    <row r="64624" spans="1:6" x14ac:dyDescent="0.25">
      <c r="A64624"/>
      <c r="B64624"/>
      <c r="C64624"/>
      <c r="E64624"/>
      <c r="F64624"/>
    </row>
    <row r="64625" spans="1:6" x14ac:dyDescent="0.25">
      <c r="A64625"/>
      <c r="B64625"/>
      <c r="C64625"/>
      <c r="E64625"/>
      <c r="F64625"/>
    </row>
    <row r="64626" spans="1:6" x14ac:dyDescent="0.25">
      <c r="A64626"/>
      <c r="B64626"/>
      <c r="C64626"/>
      <c r="E64626"/>
      <c r="F64626"/>
    </row>
    <row r="64627" spans="1:6" x14ac:dyDescent="0.25">
      <c r="A64627"/>
      <c r="B64627"/>
      <c r="C64627"/>
      <c r="E64627"/>
      <c r="F64627"/>
    </row>
    <row r="64628" spans="1:6" x14ac:dyDescent="0.25">
      <c r="A64628"/>
      <c r="B64628"/>
      <c r="C64628"/>
      <c r="E64628"/>
      <c r="F64628"/>
    </row>
    <row r="64629" spans="1:6" x14ac:dyDescent="0.25">
      <c r="A64629"/>
      <c r="B64629"/>
      <c r="C64629"/>
      <c r="E64629"/>
      <c r="F64629"/>
    </row>
    <row r="64630" spans="1:6" x14ac:dyDescent="0.25">
      <c r="A64630"/>
      <c r="B64630"/>
      <c r="C64630"/>
      <c r="E64630"/>
      <c r="F64630"/>
    </row>
    <row r="64631" spans="1:6" x14ac:dyDescent="0.25">
      <c r="A64631"/>
      <c r="B64631"/>
      <c r="C64631"/>
      <c r="E64631"/>
      <c r="F64631"/>
    </row>
    <row r="64632" spans="1:6" x14ac:dyDescent="0.25">
      <c r="A64632"/>
      <c r="B64632"/>
      <c r="C64632"/>
      <c r="E64632"/>
      <c r="F64632"/>
    </row>
    <row r="64633" spans="1:6" x14ac:dyDescent="0.25">
      <c r="A64633"/>
      <c r="B64633"/>
      <c r="C64633"/>
      <c r="E64633"/>
      <c r="F64633"/>
    </row>
    <row r="64634" spans="1:6" x14ac:dyDescent="0.25">
      <c r="A64634"/>
      <c r="B64634"/>
      <c r="C64634"/>
      <c r="E64634"/>
      <c r="F64634"/>
    </row>
    <row r="64635" spans="1:6" x14ac:dyDescent="0.25">
      <c r="A64635"/>
      <c r="B64635"/>
      <c r="C64635"/>
      <c r="E64635"/>
      <c r="F64635"/>
    </row>
    <row r="64636" spans="1:6" x14ac:dyDescent="0.25">
      <c r="A64636"/>
      <c r="B64636"/>
      <c r="C64636"/>
      <c r="E64636"/>
      <c r="F64636"/>
    </row>
    <row r="64637" spans="1:6" x14ac:dyDescent="0.25">
      <c r="A64637"/>
      <c r="B64637"/>
      <c r="C64637"/>
      <c r="E64637"/>
      <c r="F64637"/>
    </row>
    <row r="64638" spans="1:6" x14ac:dyDescent="0.25">
      <c r="A64638"/>
      <c r="B64638"/>
      <c r="C64638"/>
      <c r="E64638"/>
      <c r="F64638"/>
    </row>
    <row r="64639" spans="1:6" x14ac:dyDescent="0.25">
      <c r="A64639"/>
      <c r="B64639"/>
      <c r="C64639"/>
      <c r="E64639"/>
      <c r="F64639"/>
    </row>
    <row r="64640" spans="1:6" x14ac:dyDescent="0.25">
      <c r="A64640"/>
      <c r="B64640"/>
      <c r="C64640"/>
      <c r="E64640"/>
      <c r="F64640"/>
    </row>
    <row r="64641" spans="1:6" x14ac:dyDescent="0.25">
      <c r="A64641"/>
      <c r="B64641"/>
      <c r="C64641"/>
      <c r="E64641"/>
      <c r="F64641"/>
    </row>
    <row r="64642" spans="1:6" x14ac:dyDescent="0.25">
      <c r="A64642"/>
      <c r="B64642"/>
      <c r="C64642"/>
      <c r="E64642"/>
      <c r="F64642"/>
    </row>
    <row r="64643" spans="1:6" x14ac:dyDescent="0.25">
      <c r="A64643"/>
      <c r="B64643"/>
      <c r="C64643"/>
      <c r="E64643"/>
      <c r="F64643"/>
    </row>
    <row r="64644" spans="1:6" x14ac:dyDescent="0.25">
      <c r="A64644"/>
      <c r="B64644"/>
      <c r="C64644"/>
      <c r="E64644"/>
      <c r="F64644"/>
    </row>
    <row r="64645" spans="1:6" x14ac:dyDescent="0.25">
      <c r="A64645"/>
      <c r="B64645"/>
      <c r="C64645"/>
      <c r="E64645"/>
      <c r="F64645"/>
    </row>
    <row r="64646" spans="1:6" x14ac:dyDescent="0.25">
      <c r="A64646"/>
      <c r="B64646"/>
      <c r="C64646"/>
      <c r="E64646"/>
      <c r="F64646"/>
    </row>
    <row r="64647" spans="1:6" x14ac:dyDescent="0.25">
      <c r="A64647"/>
      <c r="B64647"/>
      <c r="C64647"/>
      <c r="E64647"/>
      <c r="F64647"/>
    </row>
    <row r="64648" spans="1:6" x14ac:dyDescent="0.25">
      <c r="A64648"/>
      <c r="B64648"/>
      <c r="C64648"/>
      <c r="E64648"/>
      <c r="F64648"/>
    </row>
    <row r="64649" spans="1:6" x14ac:dyDescent="0.25">
      <c r="A64649"/>
      <c r="B64649"/>
      <c r="C64649"/>
      <c r="E64649"/>
      <c r="F64649"/>
    </row>
    <row r="64650" spans="1:6" x14ac:dyDescent="0.25">
      <c r="A64650"/>
      <c r="B64650"/>
      <c r="C64650"/>
      <c r="E64650"/>
      <c r="F64650"/>
    </row>
    <row r="64651" spans="1:6" x14ac:dyDescent="0.25">
      <c r="A64651"/>
      <c r="B64651"/>
      <c r="C64651"/>
      <c r="E64651"/>
      <c r="F64651"/>
    </row>
    <row r="64652" spans="1:6" x14ac:dyDescent="0.25">
      <c r="A64652"/>
      <c r="B64652"/>
      <c r="C64652"/>
      <c r="E64652"/>
      <c r="F64652"/>
    </row>
    <row r="64653" spans="1:6" x14ac:dyDescent="0.25">
      <c r="A64653"/>
      <c r="B64653"/>
      <c r="C64653"/>
      <c r="E64653"/>
      <c r="F64653"/>
    </row>
    <row r="64654" spans="1:6" x14ac:dyDescent="0.25">
      <c r="A64654"/>
      <c r="B64654"/>
      <c r="C64654"/>
      <c r="E64654"/>
      <c r="F64654"/>
    </row>
    <row r="64655" spans="1:6" x14ac:dyDescent="0.25">
      <c r="A64655"/>
      <c r="B64655"/>
      <c r="C64655"/>
      <c r="E64655"/>
      <c r="F64655"/>
    </row>
    <row r="64656" spans="1:6" x14ac:dyDescent="0.25">
      <c r="A64656"/>
      <c r="B64656"/>
      <c r="C64656"/>
      <c r="E64656"/>
      <c r="F64656"/>
    </row>
    <row r="64657" spans="1:6" x14ac:dyDescent="0.25">
      <c r="A64657"/>
      <c r="B64657"/>
      <c r="C64657"/>
      <c r="E64657"/>
      <c r="F64657"/>
    </row>
    <row r="64658" spans="1:6" x14ac:dyDescent="0.25">
      <c r="A64658"/>
      <c r="B64658"/>
      <c r="C64658"/>
      <c r="E64658"/>
      <c r="F64658"/>
    </row>
    <row r="64659" spans="1:6" x14ac:dyDescent="0.25">
      <c r="A64659"/>
      <c r="B64659"/>
      <c r="C64659"/>
      <c r="E64659"/>
      <c r="F64659"/>
    </row>
    <row r="64660" spans="1:6" x14ac:dyDescent="0.25">
      <c r="A64660"/>
      <c r="B64660"/>
      <c r="C64660"/>
      <c r="E64660"/>
      <c r="F64660"/>
    </row>
    <row r="64661" spans="1:6" x14ac:dyDescent="0.25">
      <c r="A64661"/>
      <c r="B64661"/>
      <c r="C64661"/>
      <c r="E64661"/>
      <c r="F64661"/>
    </row>
    <row r="64662" spans="1:6" x14ac:dyDescent="0.25">
      <c r="A64662"/>
      <c r="B64662"/>
      <c r="C64662"/>
      <c r="E64662"/>
      <c r="F64662"/>
    </row>
    <row r="64663" spans="1:6" x14ac:dyDescent="0.25">
      <c r="A64663"/>
      <c r="B64663"/>
      <c r="C64663"/>
      <c r="E64663"/>
      <c r="F64663"/>
    </row>
    <row r="64664" spans="1:6" x14ac:dyDescent="0.25">
      <c r="A64664"/>
      <c r="B64664"/>
      <c r="C64664"/>
      <c r="E64664"/>
      <c r="F64664"/>
    </row>
    <row r="64665" spans="1:6" x14ac:dyDescent="0.25">
      <c r="A64665"/>
      <c r="B64665"/>
      <c r="C64665"/>
      <c r="E64665"/>
      <c r="F64665"/>
    </row>
    <row r="64666" spans="1:6" x14ac:dyDescent="0.25">
      <c r="A64666"/>
      <c r="B64666"/>
      <c r="C64666"/>
      <c r="E64666"/>
      <c r="F64666"/>
    </row>
    <row r="64667" spans="1:6" x14ac:dyDescent="0.25">
      <c r="A64667"/>
      <c r="B64667"/>
      <c r="C64667"/>
      <c r="E64667"/>
      <c r="F64667"/>
    </row>
    <row r="64668" spans="1:6" x14ac:dyDescent="0.25">
      <c r="A64668"/>
      <c r="B64668"/>
      <c r="C64668"/>
      <c r="E64668"/>
      <c r="F64668"/>
    </row>
    <row r="64669" spans="1:6" x14ac:dyDescent="0.25">
      <c r="A64669"/>
      <c r="B64669"/>
      <c r="C64669"/>
      <c r="E64669"/>
      <c r="F64669"/>
    </row>
    <row r="64670" spans="1:6" x14ac:dyDescent="0.25">
      <c r="A64670"/>
      <c r="B64670"/>
      <c r="C64670"/>
      <c r="E64670"/>
      <c r="F64670"/>
    </row>
    <row r="64671" spans="1:6" x14ac:dyDescent="0.25">
      <c r="A64671"/>
      <c r="B64671"/>
      <c r="C64671"/>
      <c r="E64671"/>
      <c r="F64671"/>
    </row>
    <row r="64672" spans="1:6" x14ac:dyDescent="0.25">
      <c r="A64672"/>
      <c r="B64672"/>
      <c r="C64672"/>
      <c r="E64672"/>
      <c r="F64672"/>
    </row>
    <row r="64673" spans="1:6" x14ac:dyDescent="0.25">
      <c r="A64673"/>
      <c r="B64673"/>
      <c r="C64673"/>
      <c r="E64673"/>
      <c r="F64673"/>
    </row>
    <row r="64674" spans="1:6" x14ac:dyDescent="0.25">
      <c r="A64674"/>
      <c r="B64674"/>
      <c r="C64674"/>
      <c r="E64674"/>
      <c r="F64674"/>
    </row>
    <row r="64675" spans="1:6" x14ac:dyDescent="0.25">
      <c r="A64675"/>
      <c r="B64675"/>
      <c r="C64675"/>
      <c r="E64675"/>
      <c r="F64675"/>
    </row>
    <row r="64676" spans="1:6" x14ac:dyDescent="0.25">
      <c r="A64676"/>
      <c r="B64676"/>
      <c r="C64676"/>
      <c r="E64676"/>
      <c r="F64676"/>
    </row>
    <row r="64677" spans="1:6" x14ac:dyDescent="0.25">
      <c r="A64677"/>
      <c r="B64677"/>
      <c r="C64677"/>
      <c r="E64677"/>
      <c r="F64677"/>
    </row>
    <row r="64678" spans="1:6" x14ac:dyDescent="0.25">
      <c r="A64678"/>
      <c r="B64678"/>
      <c r="C64678"/>
      <c r="E64678"/>
      <c r="F64678"/>
    </row>
    <row r="64679" spans="1:6" x14ac:dyDescent="0.25">
      <c r="A64679"/>
      <c r="B64679"/>
      <c r="C64679"/>
      <c r="E64679"/>
      <c r="F64679"/>
    </row>
    <row r="64680" spans="1:6" x14ac:dyDescent="0.25">
      <c r="A64680"/>
      <c r="B64680"/>
      <c r="C64680"/>
      <c r="E64680"/>
      <c r="F64680"/>
    </row>
    <row r="64681" spans="1:6" x14ac:dyDescent="0.25">
      <c r="A64681"/>
      <c r="B64681"/>
      <c r="C64681"/>
      <c r="E64681"/>
      <c r="F64681"/>
    </row>
    <row r="64682" spans="1:6" x14ac:dyDescent="0.25">
      <c r="A64682"/>
      <c r="B64682"/>
      <c r="C64682"/>
      <c r="E64682"/>
      <c r="F64682"/>
    </row>
    <row r="64683" spans="1:6" x14ac:dyDescent="0.25">
      <c r="A64683"/>
      <c r="B64683"/>
      <c r="C64683"/>
      <c r="E64683"/>
      <c r="F64683"/>
    </row>
    <row r="64684" spans="1:6" x14ac:dyDescent="0.25">
      <c r="A64684"/>
      <c r="B64684"/>
      <c r="C64684"/>
      <c r="E64684"/>
      <c r="F64684"/>
    </row>
    <row r="64685" spans="1:6" x14ac:dyDescent="0.25">
      <c r="A64685"/>
      <c r="B64685"/>
      <c r="C64685"/>
      <c r="E64685"/>
      <c r="F64685"/>
    </row>
    <row r="64686" spans="1:6" x14ac:dyDescent="0.25">
      <c r="A64686"/>
      <c r="B64686"/>
      <c r="C64686"/>
      <c r="E64686"/>
      <c r="F64686"/>
    </row>
    <row r="64687" spans="1:6" x14ac:dyDescent="0.25">
      <c r="A64687"/>
      <c r="B64687"/>
      <c r="C64687"/>
      <c r="E64687"/>
      <c r="F64687"/>
    </row>
    <row r="64688" spans="1:6" x14ac:dyDescent="0.25">
      <c r="A64688"/>
      <c r="B64688"/>
      <c r="C64688"/>
      <c r="E64688"/>
      <c r="F64688"/>
    </row>
    <row r="64689" spans="1:6" x14ac:dyDescent="0.25">
      <c r="A64689"/>
      <c r="B64689"/>
      <c r="C64689"/>
      <c r="E64689"/>
      <c r="F64689"/>
    </row>
    <row r="64690" spans="1:6" x14ac:dyDescent="0.25">
      <c r="A64690"/>
      <c r="B64690"/>
      <c r="C64690"/>
      <c r="E64690"/>
      <c r="F64690"/>
    </row>
    <row r="64691" spans="1:6" x14ac:dyDescent="0.25">
      <c r="A64691"/>
      <c r="B64691"/>
      <c r="C64691"/>
      <c r="E64691"/>
      <c r="F64691"/>
    </row>
    <row r="64692" spans="1:6" x14ac:dyDescent="0.25">
      <c r="A64692"/>
      <c r="B64692"/>
      <c r="C64692"/>
      <c r="E64692"/>
      <c r="F64692"/>
    </row>
    <row r="64693" spans="1:6" x14ac:dyDescent="0.25">
      <c r="A64693"/>
      <c r="B64693"/>
      <c r="C64693"/>
      <c r="E64693"/>
      <c r="F64693"/>
    </row>
    <row r="64694" spans="1:6" x14ac:dyDescent="0.25">
      <c r="A64694"/>
      <c r="B64694"/>
      <c r="C64694"/>
      <c r="E64694"/>
      <c r="F64694"/>
    </row>
    <row r="64695" spans="1:6" x14ac:dyDescent="0.25">
      <c r="A64695"/>
      <c r="B64695"/>
      <c r="C64695"/>
      <c r="E64695"/>
      <c r="F64695"/>
    </row>
    <row r="64696" spans="1:6" x14ac:dyDescent="0.25">
      <c r="A64696"/>
      <c r="B64696"/>
      <c r="C64696"/>
      <c r="E64696"/>
      <c r="F64696"/>
    </row>
    <row r="64697" spans="1:6" x14ac:dyDescent="0.25">
      <c r="A64697"/>
      <c r="B64697"/>
      <c r="C64697"/>
      <c r="E64697"/>
      <c r="F64697"/>
    </row>
    <row r="64698" spans="1:6" x14ac:dyDescent="0.25">
      <c r="A64698"/>
      <c r="B64698"/>
      <c r="C64698"/>
      <c r="E64698"/>
      <c r="F64698"/>
    </row>
    <row r="64699" spans="1:6" x14ac:dyDescent="0.25">
      <c r="A64699"/>
      <c r="B64699"/>
      <c r="C64699"/>
      <c r="E64699"/>
      <c r="F64699"/>
    </row>
    <row r="64700" spans="1:6" x14ac:dyDescent="0.25">
      <c r="A64700"/>
      <c r="B64700"/>
      <c r="C64700"/>
      <c r="E64700"/>
      <c r="F64700"/>
    </row>
    <row r="64701" spans="1:6" x14ac:dyDescent="0.25">
      <c r="A64701"/>
      <c r="B64701"/>
      <c r="C64701"/>
      <c r="E64701"/>
      <c r="F64701"/>
    </row>
    <row r="64702" spans="1:6" x14ac:dyDescent="0.25">
      <c r="A64702"/>
      <c r="B64702"/>
      <c r="C64702"/>
      <c r="E64702"/>
      <c r="F64702"/>
    </row>
    <row r="64703" spans="1:6" x14ac:dyDescent="0.25">
      <c r="A64703"/>
      <c r="B64703"/>
      <c r="C64703"/>
      <c r="E64703"/>
      <c r="F64703"/>
    </row>
    <row r="64704" spans="1:6" x14ac:dyDescent="0.25">
      <c r="A64704"/>
      <c r="B64704"/>
      <c r="C64704"/>
      <c r="E64704"/>
      <c r="F64704"/>
    </row>
    <row r="64705" spans="1:6" x14ac:dyDescent="0.25">
      <c r="A64705"/>
      <c r="B64705"/>
      <c r="C64705"/>
      <c r="E64705"/>
      <c r="F64705"/>
    </row>
    <row r="64706" spans="1:6" x14ac:dyDescent="0.25">
      <c r="A64706"/>
      <c r="B64706"/>
      <c r="C64706"/>
      <c r="E64706"/>
      <c r="F64706"/>
    </row>
    <row r="64707" spans="1:6" x14ac:dyDescent="0.25">
      <c r="A64707"/>
      <c r="B64707"/>
      <c r="C64707"/>
      <c r="E64707"/>
      <c r="F64707"/>
    </row>
    <row r="64708" spans="1:6" x14ac:dyDescent="0.25">
      <c r="A64708"/>
      <c r="B64708"/>
      <c r="C64708"/>
      <c r="E64708"/>
      <c r="F64708"/>
    </row>
    <row r="64709" spans="1:6" x14ac:dyDescent="0.25">
      <c r="A64709"/>
      <c r="B64709"/>
      <c r="C64709"/>
      <c r="E64709"/>
      <c r="F64709"/>
    </row>
    <row r="64710" spans="1:6" x14ac:dyDescent="0.25">
      <c r="A64710"/>
      <c r="B64710"/>
      <c r="C64710"/>
      <c r="E64710"/>
      <c r="F64710"/>
    </row>
    <row r="64711" spans="1:6" x14ac:dyDescent="0.25">
      <c r="A64711"/>
      <c r="B64711"/>
      <c r="C64711"/>
      <c r="E64711"/>
      <c r="F64711"/>
    </row>
    <row r="64712" spans="1:6" x14ac:dyDescent="0.25">
      <c r="A64712"/>
      <c r="B64712"/>
      <c r="C64712"/>
      <c r="E64712"/>
      <c r="F64712"/>
    </row>
    <row r="64713" spans="1:6" x14ac:dyDescent="0.25">
      <c r="A64713"/>
      <c r="B64713"/>
      <c r="C64713"/>
      <c r="E64713"/>
      <c r="F64713"/>
    </row>
    <row r="64714" spans="1:6" x14ac:dyDescent="0.25">
      <c r="A64714"/>
      <c r="B64714"/>
      <c r="C64714"/>
      <c r="E64714"/>
      <c r="F64714"/>
    </row>
    <row r="64715" spans="1:6" x14ac:dyDescent="0.25">
      <c r="A64715"/>
      <c r="B64715"/>
      <c r="C64715"/>
      <c r="E64715"/>
      <c r="F64715"/>
    </row>
    <row r="64716" spans="1:6" x14ac:dyDescent="0.25">
      <c r="A64716"/>
      <c r="B64716"/>
      <c r="C64716"/>
      <c r="E64716"/>
      <c r="F64716"/>
    </row>
    <row r="64717" spans="1:6" x14ac:dyDescent="0.25">
      <c r="A64717"/>
      <c r="B64717"/>
      <c r="C64717"/>
      <c r="E64717"/>
      <c r="F64717"/>
    </row>
    <row r="64718" spans="1:6" x14ac:dyDescent="0.25">
      <c r="A64718"/>
      <c r="B64718"/>
      <c r="C64718"/>
      <c r="E64718"/>
      <c r="F64718"/>
    </row>
    <row r="64719" spans="1:6" x14ac:dyDescent="0.25">
      <c r="A64719"/>
      <c r="B64719"/>
      <c r="C64719"/>
      <c r="E64719"/>
      <c r="F64719"/>
    </row>
    <row r="64720" spans="1:6" x14ac:dyDescent="0.25">
      <c r="A64720"/>
      <c r="B64720"/>
      <c r="C64720"/>
      <c r="E64720"/>
      <c r="F64720"/>
    </row>
    <row r="64721" spans="1:6" x14ac:dyDescent="0.25">
      <c r="A64721"/>
      <c r="B64721"/>
      <c r="C64721"/>
      <c r="E64721"/>
      <c r="F64721"/>
    </row>
    <row r="64722" spans="1:6" x14ac:dyDescent="0.25">
      <c r="A64722"/>
      <c r="B64722"/>
      <c r="C64722"/>
      <c r="E64722"/>
      <c r="F64722"/>
    </row>
    <row r="64723" spans="1:6" x14ac:dyDescent="0.25">
      <c r="A64723"/>
      <c r="B64723"/>
      <c r="C64723"/>
      <c r="E64723"/>
      <c r="F64723"/>
    </row>
    <row r="64724" spans="1:6" x14ac:dyDescent="0.25">
      <c r="A64724"/>
      <c r="B64724"/>
      <c r="C64724"/>
      <c r="E64724"/>
      <c r="F64724"/>
    </row>
    <row r="64725" spans="1:6" x14ac:dyDescent="0.25">
      <c r="A64725"/>
      <c r="B64725"/>
      <c r="C64725"/>
      <c r="E64725"/>
      <c r="F64725"/>
    </row>
    <row r="64726" spans="1:6" x14ac:dyDescent="0.25">
      <c r="A64726"/>
      <c r="B64726"/>
      <c r="C64726"/>
      <c r="E64726"/>
      <c r="F64726"/>
    </row>
    <row r="64727" spans="1:6" x14ac:dyDescent="0.25">
      <c r="A64727"/>
      <c r="B64727"/>
      <c r="C64727"/>
      <c r="E64727"/>
      <c r="F64727"/>
    </row>
    <row r="64728" spans="1:6" x14ac:dyDescent="0.25">
      <c r="A64728"/>
      <c r="B64728"/>
      <c r="C64728"/>
      <c r="E64728"/>
      <c r="F64728"/>
    </row>
    <row r="64729" spans="1:6" x14ac:dyDescent="0.25">
      <c r="A64729"/>
      <c r="B64729"/>
      <c r="C64729"/>
      <c r="E64729"/>
      <c r="F64729"/>
    </row>
    <row r="64730" spans="1:6" x14ac:dyDescent="0.25">
      <c r="A64730"/>
      <c r="B64730"/>
      <c r="C64730"/>
      <c r="E64730"/>
      <c r="F64730"/>
    </row>
    <row r="64731" spans="1:6" x14ac:dyDescent="0.25">
      <c r="A64731"/>
      <c r="B64731"/>
      <c r="C64731"/>
      <c r="E64731"/>
      <c r="F64731"/>
    </row>
    <row r="64732" spans="1:6" x14ac:dyDescent="0.25">
      <c r="A64732"/>
      <c r="B64732"/>
      <c r="C64732"/>
      <c r="E64732"/>
      <c r="F64732"/>
    </row>
    <row r="64733" spans="1:6" x14ac:dyDescent="0.25">
      <c r="A64733"/>
      <c r="B64733"/>
      <c r="C64733"/>
      <c r="E64733"/>
      <c r="F64733"/>
    </row>
    <row r="64734" spans="1:6" x14ac:dyDescent="0.25">
      <c r="A64734"/>
      <c r="B64734"/>
      <c r="C64734"/>
      <c r="E64734"/>
      <c r="F64734"/>
    </row>
    <row r="64735" spans="1:6" x14ac:dyDescent="0.25">
      <c r="A64735"/>
      <c r="B64735"/>
      <c r="C64735"/>
      <c r="E64735"/>
      <c r="F64735"/>
    </row>
    <row r="64736" spans="1:6" x14ac:dyDescent="0.25">
      <c r="A64736"/>
      <c r="B64736"/>
      <c r="C64736"/>
      <c r="E64736"/>
      <c r="F64736"/>
    </row>
    <row r="64737" spans="1:6" x14ac:dyDescent="0.25">
      <c r="A64737"/>
      <c r="B64737"/>
      <c r="C64737"/>
      <c r="E64737"/>
      <c r="F64737"/>
    </row>
    <row r="64738" spans="1:6" x14ac:dyDescent="0.25">
      <c r="A64738"/>
      <c r="B64738"/>
      <c r="C64738"/>
      <c r="E64738"/>
      <c r="F64738"/>
    </row>
    <row r="64739" spans="1:6" x14ac:dyDescent="0.25">
      <c r="A64739"/>
      <c r="B64739"/>
      <c r="C64739"/>
      <c r="E64739"/>
      <c r="F64739"/>
    </row>
    <row r="64740" spans="1:6" x14ac:dyDescent="0.25">
      <c r="A64740"/>
      <c r="B64740"/>
      <c r="C64740"/>
      <c r="E64740"/>
      <c r="F64740"/>
    </row>
    <row r="64741" spans="1:6" x14ac:dyDescent="0.25">
      <c r="A64741"/>
      <c r="B64741"/>
      <c r="C64741"/>
      <c r="E64741"/>
      <c r="F64741"/>
    </row>
    <row r="64742" spans="1:6" x14ac:dyDescent="0.25">
      <c r="A64742"/>
      <c r="B64742"/>
      <c r="C64742"/>
      <c r="E64742"/>
      <c r="F64742"/>
    </row>
    <row r="64743" spans="1:6" x14ac:dyDescent="0.25">
      <c r="A64743"/>
      <c r="B64743"/>
      <c r="C64743"/>
      <c r="E64743"/>
      <c r="F64743"/>
    </row>
    <row r="64744" spans="1:6" x14ac:dyDescent="0.25">
      <c r="A64744"/>
      <c r="B64744"/>
      <c r="C64744"/>
      <c r="E64744"/>
      <c r="F64744"/>
    </row>
    <row r="64745" spans="1:6" x14ac:dyDescent="0.25">
      <c r="A64745"/>
      <c r="B64745"/>
      <c r="C64745"/>
      <c r="E64745"/>
      <c r="F64745"/>
    </row>
    <row r="64746" spans="1:6" x14ac:dyDescent="0.25">
      <c r="A64746"/>
      <c r="B64746"/>
      <c r="C64746"/>
      <c r="E64746"/>
      <c r="F64746"/>
    </row>
    <row r="64747" spans="1:6" x14ac:dyDescent="0.25">
      <c r="A64747"/>
      <c r="B64747"/>
      <c r="C64747"/>
      <c r="E64747"/>
      <c r="F64747"/>
    </row>
    <row r="64748" spans="1:6" x14ac:dyDescent="0.25">
      <c r="A64748"/>
      <c r="B64748"/>
      <c r="C64748"/>
      <c r="E64748"/>
      <c r="F64748"/>
    </row>
    <row r="64749" spans="1:6" x14ac:dyDescent="0.25">
      <c r="A64749"/>
      <c r="B64749"/>
      <c r="C64749"/>
      <c r="E64749"/>
      <c r="F64749"/>
    </row>
    <row r="64750" spans="1:6" x14ac:dyDescent="0.25">
      <c r="A64750"/>
      <c r="B64750"/>
      <c r="C64750"/>
      <c r="E64750"/>
      <c r="F64750"/>
    </row>
    <row r="64751" spans="1:6" x14ac:dyDescent="0.25">
      <c r="A64751"/>
      <c r="B64751"/>
      <c r="C64751"/>
      <c r="E64751"/>
      <c r="F64751"/>
    </row>
    <row r="64752" spans="1:6" x14ac:dyDescent="0.25">
      <c r="A64752"/>
      <c r="B64752"/>
      <c r="C64752"/>
      <c r="E64752"/>
      <c r="F64752"/>
    </row>
    <row r="64753" spans="1:6" x14ac:dyDescent="0.25">
      <c r="A64753"/>
      <c r="B64753"/>
      <c r="C64753"/>
      <c r="E64753"/>
      <c r="F64753"/>
    </row>
    <row r="64754" spans="1:6" x14ac:dyDescent="0.25">
      <c r="A64754"/>
      <c r="B64754"/>
      <c r="C64754"/>
      <c r="E64754"/>
      <c r="F64754"/>
    </row>
    <row r="64755" spans="1:6" x14ac:dyDescent="0.25">
      <c r="A64755"/>
      <c r="B64755"/>
      <c r="C64755"/>
      <c r="E64755"/>
      <c r="F64755"/>
    </row>
    <row r="64756" spans="1:6" x14ac:dyDescent="0.25">
      <c r="A64756"/>
      <c r="B64756"/>
      <c r="C64756"/>
      <c r="E64756"/>
      <c r="F64756"/>
    </row>
    <row r="64757" spans="1:6" x14ac:dyDescent="0.25">
      <c r="A64757"/>
      <c r="B64757"/>
      <c r="C64757"/>
      <c r="E64757"/>
      <c r="F64757"/>
    </row>
    <row r="64758" spans="1:6" x14ac:dyDescent="0.25">
      <c r="A64758"/>
      <c r="B64758"/>
      <c r="C64758"/>
      <c r="E64758"/>
      <c r="F64758"/>
    </row>
    <row r="64759" spans="1:6" x14ac:dyDescent="0.25">
      <c r="A64759"/>
      <c r="B64759"/>
      <c r="C64759"/>
      <c r="E64759"/>
      <c r="F64759"/>
    </row>
    <row r="64760" spans="1:6" x14ac:dyDescent="0.25">
      <c r="A64760"/>
      <c r="B64760"/>
      <c r="C64760"/>
      <c r="E64760"/>
      <c r="F64760"/>
    </row>
    <row r="64761" spans="1:6" x14ac:dyDescent="0.25">
      <c r="A64761"/>
      <c r="B64761"/>
      <c r="C64761"/>
      <c r="E64761"/>
      <c r="F64761"/>
    </row>
    <row r="64762" spans="1:6" x14ac:dyDescent="0.25">
      <c r="A64762"/>
      <c r="B64762"/>
      <c r="C64762"/>
      <c r="E64762"/>
      <c r="F64762"/>
    </row>
    <row r="64763" spans="1:6" x14ac:dyDescent="0.25">
      <c r="A64763"/>
      <c r="B64763"/>
      <c r="C64763"/>
      <c r="E64763"/>
      <c r="F64763"/>
    </row>
    <row r="64764" spans="1:6" x14ac:dyDescent="0.25">
      <c r="A64764"/>
      <c r="B64764"/>
      <c r="C64764"/>
      <c r="E64764"/>
      <c r="F64764"/>
    </row>
    <row r="64765" spans="1:6" x14ac:dyDescent="0.25">
      <c r="A64765"/>
      <c r="B64765"/>
      <c r="C64765"/>
      <c r="E64765"/>
      <c r="F64765"/>
    </row>
    <row r="64766" spans="1:6" x14ac:dyDescent="0.25">
      <c r="A64766"/>
      <c r="B64766"/>
      <c r="C64766"/>
      <c r="E64766"/>
      <c r="F64766"/>
    </row>
    <row r="64767" spans="1:6" x14ac:dyDescent="0.25">
      <c r="A64767"/>
      <c r="B64767"/>
      <c r="C64767"/>
      <c r="E64767"/>
      <c r="F64767"/>
    </row>
    <row r="64768" spans="1:6" x14ac:dyDescent="0.25">
      <c r="A64768"/>
      <c r="B64768"/>
      <c r="C64768"/>
      <c r="E64768"/>
      <c r="F64768"/>
    </row>
    <row r="64769" spans="1:6" x14ac:dyDescent="0.25">
      <c r="A64769"/>
      <c r="B64769"/>
      <c r="C64769"/>
      <c r="E64769"/>
      <c r="F64769"/>
    </row>
    <row r="64770" spans="1:6" x14ac:dyDescent="0.25">
      <c r="A64770"/>
      <c r="B64770"/>
      <c r="C64770"/>
      <c r="E64770"/>
      <c r="F64770"/>
    </row>
    <row r="64771" spans="1:6" x14ac:dyDescent="0.25">
      <c r="A64771"/>
      <c r="B64771"/>
      <c r="C64771"/>
      <c r="E64771"/>
      <c r="F64771"/>
    </row>
    <row r="64772" spans="1:6" x14ac:dyDescent="0.25">
      <c r="A64772"/>
      <c r="B64772"/>
      <c r="C64772"/>
      <c r="E64772"/>
      <c r="F64772"/>
    </row>
    <row r="64773" spans="1:6" x14ac:dyDescent="0.25">
      <c r="A64773"/>
      <c r="B64773"/>
      <c r="C64773"/>
      <c r="E64773"/>
      <c r="F64773"/>
    </row>
    <row r="64774" spans="1:6" x14ac:dyDescent="0.25">
      <c r="A64774"/>
      <c r="B64774"/>
      <c r="C64774"/>
      <c r="E64774"/>
      <c r="F64774"/>
    </row>
    <row r="64775" spans="1:6" x14ac:dyDescent="0.25">
      <c r="A64775"/>
      <c r="B64775"/>
      <c r="C64775"/>
      <c r="E64775"/>
      <c r="F64775"/>
    </row>
    <row r="64776" spans="1:6" x14ac:dyDescent="0.25">
      <c r="A64776"/>
      <c r="B64776"/>
      <c r="C64776"/>
      <c r="E64776"/>
      <c r="F64776"/>
    </row>
    <row r="64777" spans="1:6" x14ac:dyDescent="0.25">
      <c r="A64777"/>
      <c r="B64777"/>
      <c r="C64777"/>
      <c r="E64777"/>
      <c r="F64777"/>
    </row>
    <row r="64778" spans="1:6" x14ac:dyDescent="0.25">
      <c r="A64778"/>
      <c r="B64778"/>
      <c r="C64778"/>
      <c r="E64778"/>
      <c r="F64778"/>
    </row>
    <row r="64779" spans="1:6" x14ac:dyDescent="0.25">
      <c r="A64779"/>
      <c r="B64779"/>
      <c r="C64779"/>
      <c r="E64779"/>
      <c r="F64779"/>
    </row>
    <row r="64780" spans="1:6" x14ac:dyDescent="0.25">
      <c r="A64780"/>
      <c r="B64780"/>
      <c r="C64780"/>
      <c r="E64780"/>
      <c r="F64780"/>
    </row>
    <row r="64781" spans="1:6" x14ac:dyDescent="0.25">
      <c r="A64781"/>
      <c r="B64781"/>
      <c r="C64781"/>
      <c r="E64781"/>
      <c r="F64781"/>
    </row>
    <row r="64782" spans="1:6" x14ac:dyDescent="0.25">
      <c r="A64782"/>
      <c r="B64782"/>
      <c r="C64782"/>
      <c r="E64782"/>
      <c r="F64782"/>
    </row>
    <row r="64783" spans="1:6" x14ac:dyDescent="0.25">
      <c r="A64783"/>
      <c r="B64783"/>
      <c r="C64783"/>
      <c r="E64783"/>
      <c r="F64783"/>
    </row>
    <row r="64784" spans="1:6" x14ac:dyDescent="0.25">
      <c r="A64784"/>
      <c r="B64784"/>
      <c r="C64784"/>
      <c r="E64784"/>
      <c r="F64784"/>
    </row>
    <row r="64785" spans="1:6" x14ac:dyDescent="0.25">
      <c r="A64785"/>
      <c r="B64785"/>
      <c r="C64785"/>
      <c r="E64785"/>
      <c r="F64785"/>
    </row>
    <row r="64786" spans="1:6" x14ac:dyDescent="0.25">
      <c r="A64786"/>
      <c r="B64786"/>
      <c r="C64786"/>
      <c r="E64786"/>
      <c r="F64786"/>
    </row>
    <row r="64787" spans="1:6" x14ac:dyDescent="0.25">
      <c r="A64787"/>
      <c r="B64787"/>
      <c r="C64787"/>
      <c r="E64787"/>
      <c r="F64787"/>
    </row>
    <row r="64788" spans="1:6" x14ac:dyDescent="0.25">
      <c r="A64788"/>
      <c r="B64788"/>
      <c r="C64788"/>
      <c r="E64788"/>
      <c r="F64788"/>
    </row>
    <row r="64789" spans="1:6" x14ac:dyDescent="0.25">
      <c r="A64789"/>
      <c r="B64789"/>
      <c r="C64789"/>
      <c r="E64789"/>
      <c r="F64789"/>
    </row>
    <row r="64790" spans="1:6" x14ac:dyDescent="0.25">
      <c r="A64790"/>
      <c r="B64790"/>
      <c r="C64790"/>
      <c r="E64790"/>
      <c r="F64790"/>
    </row>
    <row r="64791" spans="1:6" x14ac:dyDescent="0.25">
      <c r="A64791"/>
      <c r="B64791"/>
      <c r="C64791"/>
      <c r="E64791"/>
      <c r="F64791"/>
    </row>
    <row r="64792" spans="1:6" x14ac:dyDescent="0.25">
      <c r="A64792"/>
      <c r="B64792"/>
      <c r="C64792"/>
      <c r="E64792"/>
      <c r="F64792"/>
    </row>
    <row r="64793" spans="1:6" x14ac:dyDescent="0.25">
      <c r="A64793"/>
      <c r="B64793"/>
      <c r="C64793"/>
      <c r="E64793"/>
      <c r="F64793"/>
    </row>
    <row r="64794" spans="1:6" x14ac:dyDescent="0.25">
      <c r="A64794"/>
      <c r="B64794"/>
      <c r="C64794"/>
      <c r="E64794"/>
      <c r="F64794"/>
    </row>
    <row r="64795" spans="1:6" x14ac:dyDescent="0.25">
      <c r="A64795"/>
      <c r="B64795"/>
      <c r="C64795"/>
      <c r="E64795"/>
      <c r="F64795"/>
    </row>
    <row r="64796" spans="1:6" x14ac:dyDescent="0.25">
      <c r="A64796"/>
      <c r="B64796"/>
      <c r="C64796"/>
      <c r="E64796"/>
      <c r="F64796"/>
    </row>
    <row r="64797" spans="1:6" x14ac:dyDescent="0.25">
      <c r="A64797"/>
      <c r="B64797"/>
      <c r="C64797"/>
      <c r="E64797"/>
      <c r="F64797"/>
    </row>
    <row r="64798" spans="1:6" x14ac:dyDescent="0.25">
      <c r="A64798"/>
      <c r="B64798"/>
      <c r="C64798"/>
      <c r="E64798"/>
      <c r="F64798"/>
    </row>
    <row r="64799" spans="1:6" x14ac:dyDescent="0.25">
      <c r="A64799"/>
      <c r="B64799"/>
      <c r="C64799"/>
      <c r="E64799"/>
      <c r="F64799"/>
    </row>
    <row r="64800" spans="1:6" x14ac:dyDescent="0.25">
      <c r="A64800"/>
      <c r="B64800"/>
      <c r="C64800"/>
      <c r="E64800"/>
      <c r="F64800"/>
    </row>
    <row r="64801" spans="1:6" x14ac:dyDescent="0.25">
      <c r="A64801"/>
      <c r="B64801"/>
      <c r="C64801"/>
      <c r="E64801"/>
      <c r="F64801"/>
    </row>
    <row r="64802" spans="1:6" x14ac:dyDescent="0.25">
      <c r="A64802"/>
      <c r="B64802"/>
      <c r="C64802"/>
      <c r="E64802"/>
      <c r="F64802"/>
    </row>
    <row r="64803" spans="1:6" x14ac:dyDescent="0.25">
      <c r="A64803"/>
      <c r="B64803"/>
      <c r="C64803"/>
      <c r="E64803"/>
      <c r="F64803"/>
    </row>
    <row r="64804" spans="1:6" x14ac:dyDescent="0.25">
      <c r="A64804"/>
      <c r="B64804"/>
      <c r="C64804"/>
      <c r="E64804"/>
      <c r="F64804"/>
    </row>
    <row r="64805" spans="1:6" x14ac:dyDescent="0.25">
      <c r="A64805"/>
      <c r="B64805"/>
      <c r="C64805"/>
      <c r="E64805"/>
      <c r="F64805"/>
    </row>
    <row r="64806" spans="1:6" x14ac:dyDescent="0.25">
      <c r="A64806"/>
      <c r="B64806"/>
      <c r="C64806"/>
      <c r="E64806"/>
      <c r="F64806"/>
    </row>
    <row r="64807" spans="1:6" x14ac:dyDescent="0.25">
      <c r="A64807"/>
      <c r="B64807"/>
      <c r="C64807"/>
      <c r="E64807"/>
      <c r="F64807"/>
    </row>
    <row r="64808" spans="1:6" x14ac:dyDescent="0.25">
      <c r="A64808"/>
      <c r="B64808"/>
      <c r="C64808"/>
      <c r="E64808"/>
      <c r="F64808"/>
    </row>
    <row r="64809" spans="1:6" x14ac:dyDescent="0.25">
      <c r="A64809"/>
      <c r="B64809"/>
      <c r="C64809"/>
      <c r="E64809"/>
      <c r="F64809"/>
    </row>
    <row r="64810" spans="1:6" x14ac:dyDescent="0.25">
      <c r="A64810"/>
      <c r="B64810"/>
      <c r="C64810"/>
      <c r="E64810"/>
      <c r="F64810"/>
    </row>
    <row r="64811" spans="1:6" x14ac:dyDescent="0.25">
      <c r="A64811"/>
      <c r="B64811"/>
      <c r="C64811"/>
      <c r="E64811"/>
      <c r="F64811"/>
    </row>
    <row r="64812" spans="1:6" x14ac:dyDescent="0.25">
      <c r="A64812"/>
      <c r="B64812"/>
      <c r="C64812"/>
      <c r="E64812"/>
      <c r="F64812"/>
    </row>
    <row r="64813" spans="1:6" x14ac:dyDescent="0.25">
      <c r="A64813"/>
      <c r="B64813"/>
      <c r="C64813"/>
      <c r="E64813"/>
      <c r="F64813"/>
    </row>
    <row r="64814" spans="1:6" x14ac:dyDescent="0.25">
      <c r="A64814"/>
      <c r="B64814"/>
      <c r="C64814"/>
      <c r="E64814"/>
      <c r="F64814"/>
    </row>
    <row r="64815" spans="1:6" x14ac:dyDescent="0.25">
      <c r="A64815"/>
      <c r="B64815"/>
      <c r="C64815"/>
      <c r="E64815"/>
      <c r="F64815"/>
    </row>
    <row r="64816" spans="1:6" x14ac:dyDescent="0.25">
      <c r="A64816"/>
      <c r="B64816"/>
      <c r="C64816"/>
      <c r="E64816"/>
      <c r="F64816"/>
    </row>
    <row r="64817" spans="1:6" x14ac:dyDescent="0.25">
      <c r="A64817"/>
      <c r="B64817"/>
      <c r="C64817"/>
      <c r="E64817"/>
      <c r="F64817"/>
    </row>
    <row r="64818" spans="1:6" x14ac:dyDescent="0.25">
      <c r="A64818"/>
      <c r="B64818"/>
      <c r="C64818"/>
      <c r="E64818"/>
      <c r="F64818"/>
    </row>
    <row r="64819" spans="1:6" x14ac:dyDescent="0.25">
      <c r="A64819"/>
      <c r="B64819"/>
      <c r="C64819"/>
      <c r="E64819"/>
      <c r="F64819"/>
    </row>
    <row r="64820" spans="1:6" x14ac:dyDescent="0.25">
      <c r="A64820"/>
      <c r="B64820"/>
      <c r="C64820"/>
      <c r="E64820"/>
      <c r="F64820"/>
    </row>
    <row r="64821" spans="1:6" x14ac:dyDescent="0.25">
      <c r="A64821"/>
      <c r="B64821"/>
      <c r="C64821"/>
      <c r="E64821"/>
      <c r="F64821"/>
    </row>
    <row r="64822" spans="1:6" x14ac:dyDescent="0.25">
      <c r="A64822"/>
      <c r="B64822"/>
      <c r="C64822"/>
      <c r="E64822"/>
      <c r="F64822"/>
    </row>
    <row r="64823" spans="1:6" x14ac:dyDescent="0.25">
      <c r="A64823"/>
      <c r="B64823"/>
      <c r="C64823"/>
      <c r="E64823"/>
      <c r="F64823"/>
    </row>
    <row r="64824" spans="1:6" x14ac:dyDescent="0.25">
      <c r="A64824"/>
      <c r="B64824"/>
      <c r="C64824"/>
      <c r="E64824"/>
      <c r="F64824"/>
    </row>
    <row r="64825" spans="1:6" x14ac:dyDescent="0.25">
      <c r="A64825"/>
      <c r="B64825"/>
      <c r="C64825"/>
      <c r="E64825"/>
      <c r="F64825"/>
    </row>
    <row r="64826" spans="1:6" x14ac:dyDescent="0.25">
      <c r="A64826"/>
      <c r="B64826"/>
      <c r="C64826"/>
      <c r="E64826"/>
      <c r="F64826"/>
    </row>
    <row r="64827" spans="1:6" x14ac:dyDescent="0.25">
      <c r="A64827"/>
      <c r="B64827"/>
      <c r="C64827"/>
      <c r="E64827"/>
      <c r="F64827"/>
    </row>
    <row r="64828" spans="1:6" x14ac:dyDescent="0.25">
      <c r="A64828"/>
      <c r="B64828"/>
      <c r="C64828"/>
      <c r="E64828"/>
      <c r="F64828"/>
    </row>
    <row r="64829" spans="1:6" x14ac:dyDescent="0.25">
      <c r="A64829"/>
      <c r="B64829"/>
      <c r="C64829"/>
      <c r="E64829"/>
      <c r="F64829"/>
    </row>
    <row r="64830" spans="1:6" x14ac:dyDescent="0.25">
      <c r="A64830"/>
      <c r="B64830"/>
      <c r="C64830"/>
      <c r="E64830"/>
      <c r="F64830"/>
    </row>
    <row r="64831" spans="1:6" x14ac:dyDescent="0.25">
      <c r="A64831"/>
      <c r="B64831"/>
      <c r="C64831"/>
      <c r="E64831"/>
      <c r="F64831"/>
    </row>
    <row r="64832" spans="1:6" x14ac:dyDescent="0.25">
      <c r="A64832"/>
      <c r="B64832"/>
      <c r="C64832"/>
      <c r="E64832"/>
      <c r="F64832"/>
    </row>
    <row r="64833" spans="1:6" x14ac:dyDescent="0.25">
      <c r="A64833"/>
      <c r="B64833"/>
      <c r="C64833"/>
      <c r="E64833"/>
      <c r="F64833"/>
    </row>
    <row r="64834" spans="1:6" x14ac:dyDescent="0.25">
      <c r="A64834"/>
      <c r="B64834"/>
      <c r="C64834"/>
      <c r="E64834"/>
      <c r="F64834"/>
    </row>
    <row r="64835" spans="1:6" x14ac:dyDescent="0.25">
      <c r="A64835"/>
      <c r="B64835"/>
      <c r="C64835"/>
      <c r="E64835"/>
      <c r="F64835"/>
    </row>
    <row r="64836" spans="1:6" x14ac:dyDescent="0.25">
      <c r="A64836"/>
      <c r="B64836"/>
      <c r="C64836"/>
      <c r="E64836"/>
      <c r="F64836"/>
    </row>
    <row r="64837" spans="1:6" x14ac:dyDescent="0.25">
      <c r="A64837"/>
      <c r="B64837"/>
      <c r="C64837"/>
      <c r="E64837"/>
      <c r="F64837"/>
    </row>
    <row r="64838" spans="1:6" x14ac:dyDescent="0.25">
      <c r="A64838"/>
      <c r="B64838"/>
      <c r="C64838"/>
      <c r="E64838"/>
      <c r="F64838"/>
    </row>
    <row r="64839" spans="1:6" x14ac:dyDescent="0.25">
      <c r="A64839"/>
      <c r="B64839"/>
      <c r="C64839"/>
      <c r="E64839"/>
      <c r="F64839"/>
    </row>
    <row r="64840" spans="1:6" x14ac:dyDescent="0.25">
      <c r="A64840"/>
      <c r="B64840"/>
      <c r="C64840"/>
      <c r="E64840"/>
      <c r="F64840"/>
    </row>
    <row r="64841" spans="1:6" x14ac:dyDescent="0.25">
      <c r="A64841"/>
      <c r="B64841"/>
      <c r="C64841"/>
      <c r="E64841"/>
      <c r="F64841"/>
    </row>
    <row r="64842" spans="1:6" x14ac:dyDescent="0.25">
      <c r="A64842"/>
      <c r="B64842"/>
      <c r="C64842"/>
      <c r="E64842"/>
      <c r="F64842"/>
    </row>
    <row r="64843" spans="1:6" x14ac:dyDescent="0.25">
      <c r="A64843"/>
      <c r="B64843"/>
      <c r="C64843"/>
      <c r="E64843"/>
      <c r="F64843"/>
    </row>
    <row r="64844" spans="1:6" x14ac:dyDescent="0.25">
      <c r="A64844"/>
      <c r="B64844"/>
      <c r="C64844"/>
      <c r="E64844"/>
      <c r="F64844"/>
    </row>
    <row r="64845" spans="1:6" x14ac:dyDescent="0.25">
      <c r="A64845"/>
      <c r="B64845"/>
      <c r="C64845"/>
      <c r="E64845"/>
      <c r="F64845"/>
    </row>
    <row r="64846" spans="1:6" x14ac:dyDescent="0.25">
      <c r="A64846"/>
      <c r="B64846"/>
      <c r="C64846"/>
      <c r="E64846"/>
      <c r="F64846"/>
    </row>
    <row r="64847" spans="1:6" x14ac:dyDescent="0.25">
      <c r="A64847"/>
      <c r="B64847"/>
      <c r="C64847"/>
      <c r="E64847"/>
      <c r="F64847"/>
    </row>
    <row r="64848" spans="1:6" x14ac:dyDescent="0.25">
      <c r="A64848"/>
      <c r="B64848"/>
      <c r="C64848"/>
      <c r="E64848"/>
      <c r="F64848"/>
    </row>
    <row r="64849" spans="1:6" x14ac:dyDescent="0.25">
      <c r="A64849"/>
      <c r="B64849"/>
      <c r="C64849"/>
      <c r="E64849"/>
      <c r="F64849"/>
    </row>
    <row r="64850" spans="1:6" x14ac:dyDescent="0.25">
      <c r="A64850"/>
      <c r="B64850"/>
      <c r="C64850"/>
      <c r="E64850"/>
      <c r="F64850"/>
    </row>
    <row r="64851" spans="1:6" x14ac:dyDescent="0.25">
      <c r="A64851"/>
      <c r="B64851"/>
      <c r="C64851"/>
      <c r="E64851"/>
      <c r="F64851"/>
    </row>
    <row r="64852" spans="1:6" x14ac:dyDescent="0.25">
      <c r="A64852"/>
      <c r="B64852"/>
      <c r="C64852"/>
      <c r="E64852"/>
      <c r="F64852"/>
    </row>
    <row r="64853" spans="1:6" x14ac:dyDescent="0.25">
      <c r="A64853"/>
      <c r="B64853"/>
      <c r="C64853"/>
      <c r="E64853"/>
      <c r="F64853"/>
    </row>
    <row r="64854" spans="1:6" x14ac:dyDescent="0.25">
      <c r="A64854"/>
      <c r="B64854"/>
      <c r="C64854"/>
      <c r="E64854"/>
      <c r="F64854"/>
    </row>
    <row r="64855" spans="1:6" x14ac:dyDescent="0.25">
      <c r="A64855"/>
      <c r="B64855"/>
      <c r="C64855"/>
      <c r="E64855"/>
      <c r="F64855"/>
    </row>
    <row r="64856" spans="1:6" x14ac:dyDescent="0.25">
      <c r="A64856"/>
      <c r="B64856"/>
      <c r="C64856"/>
      <c r="E64856"/>
      <c r="F64856"/>
    </row>
    <row r="64857" spans="1:6" x14ac:dyDescent="0.25">
      <c r="A64857"/>
      <c r="B64857"/>
      <c r="C64857"/>
      <c r="E64857"/>
      <c r="F64857"/>
    </row>
    <row r="64858" spans="1:6" x14ac:dyDescent="0.25">
      <c r="A64858"/>
      <c r="B64858"/>
      <c r="C64858"/>
      <c r="E64858"/>
      <c r="F64858"/>
    </row>
    <row r="64859" spans="1:6" x14ac:dyDescent="0.25">
      <c r="A64859"/>
      <c r="B64859"/>
      <c r="C64859"/>
      <c r="E64859"/>
      <c r="F64859"/>
    </row>
    <row r="64860" spans="1:6" x14ac:dyDescent="0.25">
      <c r="A64860"/>
      <c r="B64860"/>
      <c r="C64860"/>
      <c r="E64860"/>
      <c r="F64860"/>
    </row>
    <row r="64861" spans="1:6" x14ac:dyDescent="0.25">
      <c r="A64861"/>
      <c r="B64861"/>
      <c r="C64861"/>
      <c r="E64861"/>
      <c r="F64861"/>
    </row>
    <row r="64862" spans="1:6" x14ac:dyDescent="0.25">
      <c r="A64862"/>
      <c r="B64862"/>
      <c r="C64862"/>
      <c r="E64862"/>
      <c r="F64862"/>
    </row>
    <row r="64863" spans="1:6" x14ac:dyDescent="0.25">
      <c r="A64863"/>
      <c r="B64863"/>
      <c r="C64863"/>
      <c r="E64863"/>
      <c r="F64863"/>
    </row>
    <row r="64864" spans="1:6" x14ac:dyDescent="0.25">
      <c r="A64864"/>
      <c r="B64864"/>
      <c r="C64864"/>
      <c r="E64864"/>
      <c r="F64864"/>
    </row>
    <row r="64865" spans="1:6" x14ac:dyDescent="0.25">
      <c r="A64865"/>
      <c r="B64865"/>
      <c r="C64865"/>
      <c r="E64865"/>
      <c r="F64865"/>
    </row>
    <row r="64866" spans="1:6" x14ac:dyDescent="0.25">
      <c r="A64866"/>
      <c r="B64866"/>
      <c r="C64866"/>
      <c r="E64866"/>
      <c r="F64866"/>
    </row>
    <row r="64867" spans="1:6" x14ac:dyDescent="0.25">
      <c r="A64867"/>
      <c r="B64867"/>
      <c r="C64867"/>
      <c r="E64867"/>
      <c r="F64867"/>
    </row>
    <row r="64868" spans="1:6" x14ac:dyDescent="0.25">
      <c r="A64868"/>
      <c r="B64868"/>
      <c r="C64868"/>
      <c r="E64868"/>
      <c r="F64868"/>
    </row>
    <row r="64869" spans="1:6" x14ac:dyDescent="0.25">
      <c r="A64869"/>
      <c r="B64869"/>
      <c r="C64869"/>
      <c r="E64869"/>
      <c r="F64869"/>
    </row>
    <row r="64870" spans="1:6" x14ac:dyDescent="0.25">
      <c r="A64870"/>
      <c r="B64870"/>
      <c r="C64870"/>
      <c r="E64870"/>
      <c r="F64870"/>
    </row>
    <row r="64871" spans="1:6" x14ac:dyDescent="0.25">
      <c r="A64871"/>
      <c r="B64871"/>
      <c r="C64871"/>
      <c r="E64871"/>
      <c r="F64871"/>
    </row>
    <row r="64872" spans="1:6" x14ac:dyDescent="0.25">
      <c r="A64872"/>
      <c r="B64872"/>
      <c r="C64872"/>
      <c r="E64872"/>
      <c r="F64872"/>
    </row>
    <row r="64873" spans="1:6" x14ac:dyDescent="0.25">
      <c r="A64873"/>
      <c r="B64873"/>
      <c r="C64873"/>
      <c r="E64873"/>
      <c r="F64873"/>
    </row>
    <row r="64874" spans="1:6" x14ac:dyDescent="0.25">
      <c r="A64874"/>
      <c r="B64874"/>
      <c r="C64874"/>
      <c r="E64874"/>
      <c r="F64874"/>
    </row>
    <row r="64875" spans="1:6" x14ac:dyDescent="0.25">
      <c r="A64875"/>
      <c r="B64875"/>
      <c r="C64875"/>
      <c r="E64875"/>
      <c r="F64875"/>
    </row>
    <row r="64876" spans="1:6" x14ac:dyDescent="0.25">
      <c r="A64876"/>
      <c r="B64876"/>
      <c r="C64876"/>
      <c r="E64876"/>
      <c r="F64876"/>
    </row>
    <row r="64877" spans="1:6" x14ac:dyDescent="0.25">
      <c r="A64877"/>
      <c r="B64877"/>
      <c r="C64877"/>
      <c r="E64877"/>
      <c r="F64877"/>
    </row>
    <row r="64878" spans="1:6" x14ac:dyDescent="0.25">
      <c r="A64878"/>
      <c r="B64878"/>
      <c r="C64878"/>
      <c r="E64878"/>
      <c r="F64878"/>
    </row>
    <row r="64879" spans="1:6" x14ac:dyDescent="0.25">
      <c r="A64879"/>
      <c r="B64879"/>
      <c r="C64879"/>
      <c r="E64879"/>
      <c r="F64879"/>
    </row>
    <row r="64880" spans="1:6" x14ac:dyDescent="0.25">
      <c r="A64880"/>
      <c r="B64880"/>
      <c r="C64880"/>
      <c r="E64880"/>
      <c r="F64880"/>
    </row>
    <row r="64881" spans="1:6" x14ac:dyDescent="0.25">
      <c r="A64881"/>
      <c r="B64881"/>
      <c r="C64881"/>
      <c r="E64881"/>
      <c r="F64881"/>
    </row>
    <row r="64882" spans="1:6" x14ac:dyDescent="0.25">
      <c r="A64882"/>
      <c r="B64882"/>
      <c r="C64882"/>
      <c r="E64882"/>
      <c r="F64882"/>
    </row>
    <row r="64883" spans="1:6" x14ac:dyDescent="0.25">
      <c r="A64883"/>
      <c r="B64883"/>
      <c r="C64883"/>
      <c r="E64883"/>
      <c r="F64883"/>
    </row>
    <row r="64884" spans="1:6" x14ac:dyDescent="0.25">
      <c r="A64884"/>
      <c r="B64884"/>
      <c r="C64884"/>
      <c r="E64884"/>
      <c r="F64884"/>
    </row>
    <row r="64885" spans="1:6" x14ac:dyDescent="0.25">
      <c r="A64885"/>
      <c r="B64885"/>
      <c r="C64885"/>
      <c r="E64885"/>
      <c r="F64885"/>
    </row>
    <row r="64886" spans="1:6" x14ac:dyDescent="0.25">
      <c r="A64886"/>
      <c r="B64886"/>
      <c r="C64886"/>
      <c r="E64886"/>
      <c r="F64886"/>
    </row>
    <row r="64887" spans="1:6" x14ac:dyDescent="0.25">
      <c r="A64887"/>
      <c r="B64887"/>
      <c r="C64887"/>
      <c r="E64887"/>
      <c r="F64887"/>
    </row>
    <row r="64888" spans="1:6" x14ac:dyDescent="0.25">
      <c r="A64888"/>
      <c r="B64888"/>
      <c r="C64888"/>
      <c r="E64888"/>
      <c r="F64888"/>
    </row>
    <row r="64889" spans="1:6" x14ac:dyDescent="0.25">
      <c r="A64889"/>
      <c r="B64889"/>
      <c r="C64889"/>
      <c r="E64889"/>
      <c r="F64889"/>
    </row>
    <row r="64890" spans="1:6" x14ac:dyDescent="0.25">
      <c r="A64890"/>
      <c r="B64890"/>
      <c r="C64890"/>
      <c r="E64890"/>
      <c r="F64890"/>
    </row>
    <row r="64891" spans="1:6" x14ac:dyDescent="0.25">
      <c r="A64891"/>
      <c r="B64891"/>
      <c r="C64891"/>
      <c r="E64891"/>
      <c r="F64891"/>
    </row>
    <row r="64892" spans="1:6" x14ac:dyDescent="0.25">
      <c r="A64892"/>
      <c r="B64892"/>
      <c r="C64892"/>
      <c r="E64892"/>
      <c r="F64892"/>
    </row>
    <row r="64893" spans="1:6" x14ac:dyDescent="0.25">
      <c r="A64893"/>
      <c r="B64893"/>
      <c r="C64893"/>
      <c r="E64893"/>
      <c r="F64893"/>
    </row>
    <row r="64894" spans="1:6" x14ac:dyDescent="0.25">
      <c r="A64894"/>
      <c r="B64894"/>
      <c r="C64894"/>
      <c r="E64894"/>
      <c r="F64894"/>
    </row>
    <row r="64895" spans="1:6" x14ac:dyDescent="0.25">
      <c r="A64895"/>
      <c r="B64895"/>
      <c r="C64895"/>
      <c r="E64895"/>
      <c r="F64895"/>
    </row>
    <row r="64896" spans="1:6" x14ac:dyDescent="0.25">
      <c r="A64896"/>
      <c r="B64896"/>
      <c r="C64896"/>
      <c r="E64896"/>
      <c r="F64896"/>
    </row>
    <row r="64897" spans="1:6" x14ac:dyDescent="0.25">
      <c r="A64897"/>
      <c r="B64897"/>
      <c r="C64897"/>
      <c r="E64897"/>
      <c r="F64897"/>
    </row>
    <row r="64898" spans="1:6" x14ac:dyDescent="0.25">
      <c r="A64898"/>
      <c r="B64898"/>
      <c r="C64898"/>
      <c r="E64898"/>
      <c r="F64898"/>
    </row>
    <row r="64899" spans="1:6" x14ac:dyDescent="0.25">
      <c r="A64899"/>
      <c r="B64899"/>
      <c r="C64899"/>
      <c r="E64899"/>
      <c r="F64899"/>
    </row>
    <row r="64900" spans="1:6" x14ac:dyDescent="0.25">
      <c r="A64900"/>
      <c r="B64900"/>
      <c r="C64900"/>
      <c r="E64900"/>
      <c r="F64900"/>
    </row>
    <row r="64901" spans="1:6" x14ac:dyDescent="0.25">
      <c r="A64901"/>
      <c r="B64901"/>
      <c r="C64901"/>
      <c r="E64901"/>
      <c r="F64901"/>
    </row>
    <row r="64902" spans="1:6" x14ac:dyDescent="0.25">
      <c r="A64902"/>
      <c r="B64902"/>
      <c r="C64902"/>
      <c r="E64902"/>
      <c r="F64902"/>
    </row>
    <row r="64903" spans="1:6" x14ac:dyDescent="0.25">
      <c r="A64903"/>
      <c r="B64903"/>
      <c r="C64903"/>
      <c r="E64903"/>
      <c r="F64903"/>
    </row>
    <row r="64904" spans="1:6" x14ac:dyDescent="0.25">
      <c r="A64904"/>
      <c r="B64904"/>
      <c r="C64904"/>
      <c r="E64904"/>
      <c r="F64904"/>
    </row>
    <row r="64905" spans="1:6" x14ac:dyDescent="0.25">
      <c r="A64905"/>
      <c r="B64905"/>
      <c r="C64905"/>
      <c r="E64905"/>
      <c r="F64905"/>
    </row>
    <row r="64906" spans="1:6" x14ac:dyDescent="0.25">
      <c r="A64906"/>
      <c r="B64906"/>
      <c r="C64906"/>
      <c r="E64906"/>
      <c r="F64906"/>
    </row>
    <row r="64907" spans="1:6" x14ac:dyDescent="0.25">
      <c r="A64907"/>
      <c r="B64907"/>
      <c r="C64907"/>
      <c r="E64907"/>
      <c r="F64907"/>
    </row>
    <row r="64908" spans="1:6" x14ac:dyDescent="0.25">
      <c r="A64908"/>
      <c r="B64908"/>
      <c r="C64908"/>
      <c r="E64908"/>
      <c r="F64908"/>
    </row>
    <row r="64909" spans="1:6" x14ac:dyDescent="0.25">
      <c r="A64909"/>
      <c r="B64909"/>
      <c r="C64909"/>
      <c r="E64909"/>
      <c r="F64909"/>
    </row>
    <row r="64910" spans="1:6" x14ac:dyDescent="0.25">
      <c r="A64910"/>
      <c r="B64910"/>
      <c r="C64910"/>
      <c r="E64910"/>
      <c r="F64910"/>
    </row>
    <row r="64911" spans="1:6" x14ac:dyDescent="0.25">
      <c r="A64911"/>
      <c r="B64911"/>
      <c r="C64911"/>
      <c r="E64911"/>
      <c r="F64911"/>
    </row>
    <row r="64912" spans="1:6" x14ac:dyDescent="0.25">
      <c r="A64912"/>
      <c r="B64912"/>
      <c r="C64912"/>
      <c r="E64912"/>
      <c r="F64912"/>
    </row>
    <row r="64913" spans="1:6" x14ac:dyDescent="0.25">
      <c r="A64913"/>
      <c r="B64913"/>
      <c r="C64913"/>
      <c r="E64913"/>
      <c r="F64913"/>
    </row>
    <row r="64914" spans="1:6" x14ac:dyDescent="0.25">
      <c r="A64914"/>
      <c r="B64914"/>
      <c r="C64914"/>
      <c r="E64914"/>
      <c r="F64914"/>
    </row>
    <row r="64915" spans="1:6" x14ac:dyDescent="0.25">
      <c r="A64915"/>
      <c r="B64915"/>
      <c r="C64915"/>
      <c r="E64915"/>
      <c r="F64915"/>
    </row>
    <row r="64916" spans="1:6" x14ac:dyDescent="0.25">
      <c r="A64916"/>
      <c r="B64916"/>
      <c r="C64916"/>
      <c r="E64916"/>
      <c r="F64916"/>
    </row>
    <row r="64917" spans="1:6" x14ac:dyDescent="0.25">
      <c r="A64917"/>
      <c r="B64917"/>
      <c r="C64917"/>
      <c r="E64917"/>
      <c r="F64917"/>
    </row>
    <row r="64918" spans="1:6" x14ac:dyDescent="0.25">
      <c r="A64918"/>
      <c r="B64918"/>
      <c r="C64918"/>
      <c r="E64918"/>
      <c r="F64918"/>
    </row>
    <row r="64919" spans="1:6" x14ac:dyDescent="0.25">
      <c r="A64919"/>
      <c r="B64919"/>
      <c r="C64919"/>
      <c r="E64919"/>
      <c r="F64919"/>
    </row>
    <row r="64920" spans="1:6" x14ac:dyDescent="0.25">
      <c r="A64920"/>
      <c r="B64920"/>
      <c r="C64920"/>
      <c r="E64920"/>
      <c r="F64920"/>
    </row>
    <row r="64921" spans="1:6" x14ac:dyDescent="0.25">
      <c r="A64921"/>
      <c r="B64921"/>
      <c r="C64921"/>
      <c r="E64921"/>
      <c r="F64921"/>
    </row>
    <row r="64922" spans="1:6" x14ac:dyDescent="0.25">
      <c r="A64922"/>
      <c r="B64922"/>
      <c r="C64922"/>
      <c r="E64922"/>
      <c r="F64922"/>
    </row>
    <row r="64923" spans="1:6" x14ac:dyDescent="0.25">
      <c r="A64923"/>
      <c r="B64923"/>
      <c r="C64923"/>
      <c r="E64923"/>
      <c r="F64923"/>
    </row>
    <row r="64924" spans="1:6" x14ac:dyDescent="0.25">
      <c r="A64924"/>
      <c r="B64924"/>
      <c r="C64924"/>
      <c r="E64924"/>
      <c r="F64924"/>
    </row>
    <row r="64925" spans="1:6" x14ac:dyDescent="0.25">
      <c r="A64925"/>
      <c r="B64925"/>
      <c r="C64925"/>
      <c r="E64925"/>
      <c r="F64925"/>
    </row>
    <row r="64926" spans="1:6" x14ac:dyDescent="0.25">
      <c r="A64926"/>
      <c r="B64926"/>
      <c r="C64926"/>
      <c r="E64926"/>
      <c r="F64926"/>
    </row>
    <row r="64927" spans="1:6" x14ac:dyDescent="0.25">
      <c r="A64927"/>
      <c r="B64927"/>
      <c r="C64927"/>
      <c r="E64927"/>
      <c r="F64927"/>
    </row>
    <row r="64928" spans="1:6" x14ac:dyDescent="0.25">
      <c r="A64928"/>
      <c r="B64928"/>
      <c r="C64928"/>
      <c r="E64928"/>
      <c r="F64928"/>
    </row>
    <row r="64929" spans="1:6" x14ac:dyDescent="0.25">
      <c r="A64929"/>
      <c r="B64929"/>
      <c r="C64929"/>
      <c r="E64929"/>
      <c r="F64929"/>
    </row>
    <row r="64930" spans="1:6" x14ac:dyDescent="0.25">
      <c r="A64930"/>
      <c r="B64930"/>
      <c r="C64930"/>
      <c r="E64930"/>
      <c r="F64930"/>
    </row>
    <row r="64931" spans="1:6" x14ac:dyDescent="0.25">
      <c r="A64931"/>
      <c r="B64931"/>
      <c r="C64931"/>
      <c r="E64931"/>
      <c r="F64931"/>
    </row>
    <row r="64932" spans="1:6" x14ac:dyDescent="0.25">
      <c r="A64932"/>
      <c r="B64932"/>
      <c r="C64932"/>
      <c r="E64932"/>
      <c r="F64932"/>
    </row>
    <row r="64933" spans="1:6" x14ac:dyDescent="0.25">
      <c r="A64933"/>
      <c r="B64933"/>
      <c r="C64933"/>
      <c r="E64933"/>
      <c r="F64933"/>
    </row>
    <row r="64934" spans="1:6" x14ac:dyDescent="0.25">
      <c r="A64934"/>
      <c r="B64934"/>
      <c r="C64934"/>
      <c r="E64934"/>
      <c r="F64934"/>
    </row>
    <row r="64935" spans="1:6" x14ac:dyDescent="0.25">
      <c r="A64935"/>
      <c r="B64935"/>
      <c r="C64935"/>
      <c r="E64935"/>
      <c r="F64935"/>
    </row>
    <row r="64936" spans="1:6" x14ac:dyDescent="0.25">
      <c r="A64936"/>
      <c r="B64936"/>
      <c r="C64936"/>
      <c r="E64936"/>
      <c r="F64936"/>
    </row>
    <row r="64937" spans="1:6" x14ac:dyDescent="0.25">
      <c r="A64937"/>
      <c r="B64937"/>
      <c r="C64937"/>
      <c r="E64937"/>
      <c r="F64937"/>
    </row>
    <row r="64938" spans="1:6" x14ac:dyDescent="0.25">
      <c r="A64938"/>
      <c r="B64938"/>
      <c r="C64938"/>
      <c r="E64938"/>
      <c r="F64938"/>
    </row>
    <row r="64939" spans="1:6" x14ac:dyDescent="0.25">
      <c r="A64939"/>
      <c r="B64939"/>
      <c r="C64939"/>
      <c r="E64939"/>
      <c r="F64939"/>
    </row>
    <row r="64940" spans="1:6" x14ac:dyDescent="0.25">
      <c r="A64940"/>
      <c r="B64940"/>
      <c r="C64940"/>
      <c r="E64940"/>
      <c r="F64940"/>
    </row>
    <row r="64941" spans="1:6" x14ac:dyDescent="0.25">
      <c r="A64941"/>
      <c r="B64941"/>
      <c r="C64941"/>
      <c r="E64941"/>
      <c r="F64941"/>
    </row>
    <row r="64942" spans="1:6" x14ac:dyDescent="0.25">
      <c r="A64942"/>
      <c r="B64942"/>
      <c r="C64942"/>
      <c r="E64942"/>
      <c r="F64942"/>
    </row>
    <row r="64943" spans="1:6" x14ac:dyDescent="0.25">
      <c r="A64943"/>
      <c r="B64943"/>
      <c r="C64943"/>
      <c r="E64943"/>
      <c r="F64943"/>
    </row>
    <row r="64944" spans="1:6" x14ac:dyDescent="0.25">
      <c r="A64944"/>
      <c r="B64944"/>
      <c r="C64944"/>
      <c r="E64944"/>
      <c r="F64944"/>
    </row>
    <row r="64945" spans="1:6" x14ac:dyDescent="0.25">
      <c r="A64945"/>
      <c r="B64945"/>
      <c r="C64945"/>
      <c r="E64945"/>
      <c r="F64945"/>
    </row>
    <row r="64946" spans="1:6" x14ac:dyDescent="0.25">
      <c r="A64946"/>
      <c r="B64946"/>
      <c r="C64946"/>
      <c r="E64946"/>
      <c r="F64946"/>
    </row>
    <row r="64947" spans="1:6" x14ac:dyDescent="0.25">
      <c r="A64947"/>
      <c r="B64947"/>
      <c r="C64947"/>
      <c r="E64947"/>
      <c r="F64947"/>
    </row>
    <row r="64948" spans="1:6" x14ac:dyDescent="0.25">
      <c r="A64948"/>
      <c r="B64948"/>
      <c r="C64948"/>
      <c r="E64948"/>
      <c r="F64948"/>
    </row>
    <row r="64949" spans="1:6" x14ac:dyDescent="0.25">
      <c r="A64949"/>
      <c r="B64949"/>
      <c r="C64949"/>
      <c r="E64949"/>
      <c r="F64949"/>
    </row>
    <row r="64950" spans="1:6" x14ac:dyDescent="0.25">
      <c r="A64950"/>
      <c r="B64950"/>
      <c r="C64950"/>
      <c r="E64950"/>
      <c r="F64950"/>
    </row>
    <row r="64951" spans="1:6" x14ac:dyDescent="0.25">
      <c r="A64951"/>
      <c r="B64951"/>
      <c r="C64951"/>
      <c r="E64951"/>
      <c r="F64951"/>
    </row>
    <row r="64952" spans="1:6" x14ac:dyDescent="0.25">
      <c r="A64952"/>
      <c r="B64952"/>
      <c r="C64952"/>
      <c r="E64952"/>
      <c r="F64952"/>
    </row>
    <row r="64953" spans="1:6" x14ac:dyDescent="0.25">
      <c r="A64953"/>
      <c r="B64953"/>
      <c r="C64953"/>
      <c r="E64953"/>
      <c r="F64953"/>
    </row>
    <row r="64954" spans="1:6" x14ac:dyDescent="0.25">
      <c r="A64954"/>
      <c r="B64954"/>
      <c r="C64954"/>
      <c r="E64954"/>
      <c r="F64954"/>
    </row>
    <row r="64955" spans="1:6" x14ac:dyDescent="0.25">
      <c r="A64955"/>
      <c r="B64955"/>
      <c r="C64955"/>
      <c r="E64955"/>
      <c r="F64955"/>
    </row>
    <row r="64956" spans="1:6" x14ac:dyDescent="0.25">
      <c r="A64956"/>
      <c r="B64956"/>
      <c r="C64956"/>
      <c r="E64956"/>
      <c r="F64956"/>
    </row>
    <row r="64957" spans="1:6" x14ac:dyDescent="0.25">
      <c r="A64957"/>
      <c r="B64957"/>
      <c r="C64957"/>
      <c r="E64957"/>
      <c r="F64957"/>
    </row>
    <row r="64958" spans="1:6" x14ac:dyDescent="0.25">
      <c r="A64958"/>
      <c r="B64958"/>
      <c r="C64958"/>
      <c r="E64958"/>
      <c r="F64958"/>
    </row>
    <row r="64959" spans="1:6" x14ac:dyDescent="0.25">
      <c r="A64959"/>
      <c r="B64959"/>
      <c r="C64959"/>
      <c r="E64959"/>
      <c r="F64959"/>
    </row>
    <row r="64960" spans="1:6" x14ac:dyDescent="0.25">
      <c r="A64960"/>
      <c r="B64960"/>
      <c r="C64960"/>
      <c r="E64960"/>
      <c r="F64960"/>
    </row>
    <row r="64961" spans="1:6" x14ac:dyDescent="0.25">
      <c r="A64961"/>
      <c r="B64961"/>
      <c r="C64961"/>
      <c r="E64961"/>
      <c r="F64961"/>
    </row>
    <row r="64962" spans="1:6" x14ac:dyDescent="0.25">
      <c r="A64962"/>
      <c r="B64962"/>
      <c r="C64962"/>
      <c r="E64962"/>
      <c r="F64962"/>
    </row>
    <row r="64963" spans="1:6" x14ac:dyDescent="0.25">
      <c r="A64963"/>
      <c r="B64963"/>
      <c r="C64963"/>
      <c r="E64963"/>
      <c r="F64963"/>
    </row>
    <row r="64964" spans="1:6" x14ac:dyDescent="0.25">
      <c r="A64964"/>
      <c r="B64964"/>
      <c r="C64964"/>
      <c r="E64964"/>
      <c r="F64964"/>
    </row>
    <row r="64965" spans="1:6" x14ac:dyDescent="0.25">
      <c r="A64965"/>
      <c r="B64965"/>
      <c r="C64965"/>
      <c r="E64965"/>
      <c r="F64965"/>
    </row>
    <row r="64966" spans="1:6" x14ac:dyDescent="0.25">
      <c r="A64966"/>
      <c r="B64966"/>
      <c r="C64966"/>
      <c r="E64966"/>
      <c r="F64966"/>
    </row>
    <row r="64967" spans="1:6" x14ac:dyDescent="0.25">
      <c r="A64967"/>
      <c r="B64967"/>
      <c r="C64967"/>
      <c r="E64967"/>
      <c r="F64967"/>
    </row>
    <row r="64968" spans="1:6" x14ac:dyDescent="0.25">
      <c r="A64968"/>
      <c r="B64968"/>
      <c r="C64968"/>
      <c r="E64968"/>
      <c r="F64968"/>
    </row>
    <row r="64969" spans="1:6" x14ac:dyDescent="0.25">
      <c r="A64969"/>
      <c r="B64969"/>
      <c r="C64969"/>
      <c r="E64969"/>
      <c r="F64969"/>
    </row>
    <row r="64970" spans="1:6" x14ac:dyDescent="0.25">
      <c r="A64970"/>
      <c r="B64970"/>
      <c r="C64970"/>
      <c r="E64970"/>
      <c r="F64970"/>
    </row>
    <row r="64971" spans="1:6" x14ac:dyDescent="0.25">
      <c r="A64971"/>
      <c r="B64971"/>
      <c r="C64971"/>
      <c r="E64971"/>
      <c r="F64971"/>
    </row>
    <row r="64972" spans="1:6" x14ac:dyDescent="0.25">
      <c r="A64972"/>
      <c r="B64972"/>
      <c r="C64972"/>
      <c r="E64972"/>
      <c r="F64972"/>
    </row>
    <row r="64973" spans="1:6" x14ac:dyDescent="0.25">
      <c r="A64973"/>
      <c r="B64973"/>
      <c r="C64973"/>
      <c r="E64973"/>
      <c r="F64973"/>
    </row>
    <row r="64974" spans="1:6" x14ac:dyDescent="0.25">
      <c r="A64974"/>
      <c r="B64974"/>
      <c r="C64974"/>
      <c r="E64974"/>
      <c r="F64974"/>
    </row>
    <row r="64975" spans="1:6" x14ac:dyDescent="0.25">
      <c r="A64975"/>
      <c r="B64975"/>
      <c r="C64975"/>
      <c r="E64975"/>
      <c r="F64975"/>
    </row>
    <row r="64976" spans="1:6" x14ac:dyDescent="0.25">
      <c r="A64976"/>
      <c r="B64976"/>
      <c r="C64976"/>
      <c r="E64976"/>
      <c r="F64976"/>
    </row>
    <row r="64977" spans="1:6" x14ac:dyDescent="0.25">
      <c r="A64977"/>
      <c r="B64977"/>
      <c r="C64977"/>
      <c r="E64977"/>
      <c r="F64977"/>
    </row>
    <row r="64978" spans="1:6" x14ac:dyDescent="0.25">
      <c r="A64978"/>
      <c r="B64978"/>
      <c r="C64978"/>
      <c r="E64978"/>
      <c r="F64978"/>
    </row>
    <row r="64979" spans="1:6" x14ac:dyDescent="0.25">
      <c r="A64979"/>
      <c r="B64979"/>
      <c r="C64979"/>
      <c r="E64979"/>
      <c r="F64979"/>
    </row>
    <row r="64980" spans="1:6" x14ac:dyDescent="0.25">
      <c r="A64980"/>
      <c r="B64980"/>
      <c r="C64980"/>
      <c r="E64980"/>
      <c r="F64980"/>
    </row>
    <row r="64981" spans="1:6" x14ac:dyDescent="0.25">
      <c r="A64981"/>
      <c r="B64981"/>
      <c r="C64981"/>
      <c r="E64981"/>
      <c r="F64981"/>
    </row>
    <row r="64982" spans="1:6" x14ac:dyDescent="0.25">
      <c r="A64982"/>
      <c r="B64982"/>
      <c r="C64982"/>
      <c r="E64982"/>
      <c r="F64982"/>
    </row>
    <row r="64983" spans="1:6" x14ac:dyDescent="0.25">
      <c r="A64983"/>
      <c r="B64983"/>
      <c r="C64983"/>
      <c r="E64983"/>
      <c r="F64983"/>
    </row>
    <row r="64984" spans="1:6" x14ac:dyDescent="0.25">
      <c r="A64984"/>
      <c r="B64984"/>
      <c r="C64984"/>
      <c r="E64984"/>
      <c r="F64984"/>
    </row>
    <row r="64985" spans="1:6" x14ac:dyDescent="0.25">
      <c r="A64985"/>
      <c r="B64985"/>
      <c r="C64985"/>
      <c r="E64985"/>
      <c r="F64985"/>
    </row>
    <row r="64986" spans="1:6" x14ac:dyDescent="0.25">
      <c r="A64986"/>
      <c r="B64986"/>
      <c r="C64986"/>
      <c r="E64986"/>
      <c r="F64986"/>
    </row>
    <row r="64987" spans="1:6" x14ac:dyDescent="0.25">
      <c r="A64987"/>
      <c r="B64987"/>
      <c r="C64987"/>
      <c r="E64987"/>
      <c r="F64987"/>
    </row>
    <row r="64988" spans="1:6" x14ac:dyDescent="0.25">
      <c r="A64988"/>
      <c r="B64988"/>
      <c r="C64988"/>
      <c r="E64988"/>
      <c r="F64988"/>
    </row>
    <row r="64989" spans="1:6" x14ac:dyDescent="0.25">
      <c r="A64989"/>
      <c r="B64989"/>
      <c r="C64989"/>
      <c r="E64989"/>
      <c r="F64989"/>
    </row>
    <row r="64990" spans="1:6" x14ac:dyDescent="0.25">
      <c r="A64990"/>
      <c r="B64990"/>
      <c r="C64990"/>
      <c r="E64990"/>
      <c r="F64990"/>
    </row>
    <row r="64991" spans="1:6" x14ac:dyDescent="0.25">
      <c r="A64991"/>
      <c r="B64991"/>
      <c r="C64991"/>
      <c r="E64991"/>
      <c r="F64991"/>
    </row>
    <row r="64992" spans="1:6" x14ac:dyDescent="0.25">
      <c r="A64992"/>
      <c r="B64992"/>
      <c r="C64992"/>
      <c r="E64992"/>
      <c r="F64992"/>
    </row>
    <row r="64993" spans="1:6" x14ac:dyDescent="0.25">
      <c r="A64993"/>
      <c r="B64993"/>
      <c r="C64993"/>
      <c r="E64993"/>
      <c r="F64993"/>
    </row>
    <row r="64994" spans="1:6" x14ac:dyDescent="0.25">
      <c r="A64994"/>
      <c r="B64994"/>
      <c r="C64994"/>
      <c r="E64994"/>
      <c r="F64994"/>
    </row>
    <row r="64995" spans="1:6" x14ac:dyDescent="0.25">
      <c r="A64995"/>
      <c r="B64995"/>
      <c r="C64995"/>
      <c r="E64995"/>
      <c r="F64995"/>
    </row>
    <row r="64996" spans="1:6" x14ac:dyDescent="0.25">
      <c r="A64996"/>
      <c r="B64996"/>
      <c r="C64996"/>
      <c r="E64996"/>
      <c r="F64996"/>
    </row>
    <row r="64997" spans="1:6" x14ac:dyDescent="0.25">
      <c r="A64997"/>
      <c r="B64997"/>
      <c r="C64997"/>
      <c r="E64997"/>
      <c r="F64997"/>
    </row>
    <row r="64998" spans="1:6" x14ac:dyDescent="0.25">
      <c r="A64998"/>
      <c r="B64998"/>
      <c r="C64998"/>
      <c r="E64998"/>
      <c r="F64998"/>
    </row>
    <row r="64999" spans="1:6" x14ac:dyDescent="0.25">
      <c r="A64999"/>
      <c r="B64999"/>
      <c r="C64999"/>
      <c r="E64999"/>
      <c r="F64999"/>
    </row>
    <row r="65000" spans="1:6" x14ac:dyDescent="0.25">
      <c r="A65000"/>
      <c r="B65000"/>
      <c r="C65000"/>
      <c r="E65000"/>
      <c r="F65000"/>
    </row>
    <row r="65001" spans="1:6" x14ac:dyDescent="0.25">
      <c r="A65001"/>
      <c r="B65001"/>
      <c r="C65001"/>
      <c r="E65001"/>
      <c r="F65001"/>
    </row>
    <row r="65002" spans="1:6" x14ac:dyDescent="0.25">
      <c r="A65002"/>
      <c r="B65002"/>
      <c r="C65002"/>
      <c r="E65002"/>
      <c r="F65002"/>
    </row>
    <row r="65003" spans="1:6" x14ac:dyDescent="0.25">
      <c r="A65003"/>
      <c r="B65003"/>
      <c r="C65003"/>
      <c r="E65003"/>
      <c r="F65003"/>
    </row>
    <row r="65004" spans="1:6" x14ac:dyDescent="0.25">
      <c r="A65004"/>
      <c r="B65004"/>
      <c r="C65004"/>
      <c r="E65004"/>
      <c r="F65004"/>
    </row>
    <row r="65005" spans="1:6" x14ac:dyDescent="0.25">
      <c r="A65005"/>
      <c r="B65005"/>
      <c r="C65005"/>
      <c r="E65005"/>
      <c r="F65005"/>
    </row>
    <row r="65006" spans="1:6" x14ac:dyDescent="0.25">
      <c r="A65006"/>
      <c r="B65006"/>
      <c r="C65006"/>
      <c r="E65006"/>
      <c r="F65006"/>
    </row>
    <row r="65007" spans="1:6" x14ac:dyDescent="0.25">
      <c r="A65007"/>
      <c r="B65007"/>
      <c r="C65007"/>
      <c r="E65007"/>
      <c r="F65007"/>
    </row>
    <row r="65008" spans="1:6" x14ac:dyDescent="0.25">
      <c r="A65008"/>
      <c r="B65008"/>
      <c r="C65008"/>
      <c r="E65008"/>
      <c r="F65008"/>
    </row>
    <row r="65009" spans="1:6" x14ac:dyDescent="0.25">
      <c r="A65009"/>
      <c r="B65009"/>
      <c r="C65009"/>
      <c r="E65009"/>
      <c r="F65009"/>
    </row>
    <row r="65010" spans="1:6" x14ac:dyDescent="0.25">
      <c r="A65010"/>
      <c r="B65010"/>
      <c r="C65010"/>
      <c r="E65010"/>
      <c r="F65010"/>
    </row>
    <row r="65011" spans="1:6" x14ac:dyDescent="0.25">
      <c r="A65011"/>
      <c r="B65011"/>
      <c r="C65011"/>
      <c r="E65011"/>
      <c r="F65011"/>
    </row>
    <row r="65012" spans="1:6" x14ac:dyDescent="0.25">
      <c r="A65012"/>
      <c r="B65012"/>
      <c r="C65012"/>
      <c r="E65012"/>
      <c r="F65012"/>
    </row>
    <row r="65013" spans="1:6" x14ac:dyDescent="0.25">
      <c r="A65013"/>
      <c r="B65013"/>
      <c r="C65013"/>
      <c r="E65013"/>
      <c r="F65013"/>
    </row>
    <row r="65014" spans="1:6" x14ac:dyDescent="0.25">
      <c r="A65014"/>
      <c r="B65014"/>
      <c r="C65014"/>
      <c r="E65014"/>
      <c r="F65014"/>
    </row>
    <row r="65015" spans="1:6" x14ac:dyDescent="0.25">
      <c r="A65015"/>
      <c r="B65015"/>
      <c r="C65015"/>
      <c r="E65015"/>
      <c r="F65015"/>
    </row>
    <row r="65016" spans="1:6" x14ac:dyDescent="0.25">
      <c r="A65016"/>
      <c r="B65016"/>
      <c r="C65016"/>
      <c r="E65016"/>
      <c r="F65016"/>
    </row>
    <row r="65017" spans="1:6" x14ac:dyDescent="0.25">
      <c r="A65017"/>
      <c r="B65017"/>
      <c r="C65017"/>
      <c r="E65017"/>
      <c r="F65017"/>
    </row>
    <row r="65018" spans="1:6" x14ac:dyDescent="0.25">
      <c r="A65018"/>
      <c r="B65018"/>
      <c r="C65018"/>
      <c r="E65018"/>
      <c r="F65018"/>
    </row>
    <row r="65019" spans="1:6" x14ac:dyDescent="0.25">
      <c r="A65019"/>
      <c r="B65019"/>
      <c r="C65019"/>
      <c r="E65019"/>
      <c r="F65019"/>
    </row>
    <row r="65020" spans="1:6" x14ac:dyDescent="0.25">
      <c r="A65020"/>
      <c r="B65020"/>
      <c r="C65020"/>
      <c r="E65020"/>
      <c r="F65020"/>
    </row>
    <row r="65021" spans="1:6" x14ac:dyDescent="0.25">
      <c r="A65021"/>
      <c r="B65021"/>
      <c r="C65021"/>
      <c r="E65021"/>
      <c r="F65021"/>
    </row>
    <row r="65022" spans="1:6" x14ac:dyDescent="0.25">
      <c r="A65022"/>
      <c r="B65022"/>
      <c r="C65022"/>
      <c r="E65022"/>
      <c r="F65022"/>
    </row>
    <row r="65023" spans="1:6" x14ac:dyDescent="0.25">
      <c r="A65023"/>
      <c r="B65023"/>
      <c r="C65023"/>
      <c r="E65023"/>
      <c r="F65023"/>
    </row>
    <row r="65024" spans="1:6" x14ac:dyDescent="0.25">
      <c r="A65024"/>
      <c r="B65024"/>
      <c r="C65024"/>
      <c r="E65024"/>
      <c r="F65024"/>
    </row>
    <row r="65025" spans="1:6" x14ac:dyDescent="0.25">
      <c r="A65025"/>
      <c r="B65025"/>
      <c r="C65025"/>
      <c r="E65025"/>
      <c r="F65025"/>
    </row>
    <row r="65026" spans="1:6" x14ac:dyDescent="0.25">
      <c r="A65026"/>
      <c r="B65026"/>
      <c r="C65026"/>
      <c r="E65026"/>
      <c r="F65026"/>
    </row>
    <row r="65027" spans="1:6" x14ac:dyDescent="0.25">
      <c r="A65027"/>
      <c r="B65027"/>
      <c r="C65027"/>
      <c r="E65027"/>
      <c r="F65027"/>
    </row>
    <row r="65028" spans="1:6" x14ac:dyDescent="0.25">
      <c r="A65028"/>
      <c r="B65028"/>
      <c r="C65028"/>
      <c r="E65028"/>
      <c r="F65028"/>
    </row>
    <row r="65029" spans="1:6" x14ac:dyDescent="0.25">
      <c r="A65029"/>
      <c r="B65029"/>
      <c r="C65029"/>
      <c r="E65029"/>
      <c r="F65029"/>
    </row>
    <row r="65030" spans="1:6" x14ac:dyDescent="0.25">
      <c r="A65030"/>
      <c r="B65030"/>
      <c r="C65030"/>
      <c r="E65030"/>
      <c r="F65030"/>
    </row>
    <row r="65031" spans="1:6" x14ac:dyDescent="0.25">
      <c r="A65031"/>
      <c r="B65031"/>
      <c r="C65031"/>
      <c r="E65031"/>
      <c r="F65031"/>
    </row>
    <row r="65032" spans="1:6" x14ac:dyDescent="0.25">
      <c r="A65032"/>
      <c r="B65032"/>
      <c r="C65032"/>
      <c r="E65032"/>
      <c r="F65032"/>
    </row>
    <row r="65033" spans="1:6" x14ac:dyDescent="0.25">
      <c r="A65033"/>
      <c r="B65033"/>
      <c r="C65033"/>
      <c r="E65033"/>
      <c r="F65033"/>
    </row>
    <row r="65034" spans="1:6" x14ac:dyDescent="0.25">
      <c r="A65034"/>
      <c r="B65034"/>
      <c r="C65034"/>
      <c r="E65034"/>
      <c r="F65034"/>
    </row>
    <row r="65035" spans="1:6" x14ac:dyDescent="0.25">
      <c r="A65035"/>
      <c r="B65035"/>
      <c r="C65035"/>
      <c r="E65035"/>
      <c r="F65035"/>
    </row>
    <row r="65036" spans="1:6" x14ac:dyDescent="0.25">
      <c r="A65036"/>
      <c r="B65036"/>
      <c r="C65036"/>
      <c r="E65036"/>
      <c r="F65036"/>
    </row>
    <row r="65037" spans="1:6" x14ac:dyDescent="0.25">
      <c r="A65037"/>
      <c r="B65037"/>
      <c r="C65037"/>
      <c r="E65037"/>
      <c r="F65037"/>
    </row>
    <row r="65038" spans="1:6" x14ac:dyDescent="0.25">
      <c r="A65038"/>
      <c r="B65038"/>
      <c r="C65038"/>
      <c r="E65038"/>
      <c r="F65038"/>
    </row>
    <row r="65039" spans="1:6" x14ac:dyDescent="0.25">
      <c r="A65039"/>
      <c r="B65039"/>
      <c r="C65039"/>
      <c r="E65039"/>
      <c r="F65039"/>
    </row>
    <row r="65040" spans="1:6" x14ac:dyDescent="0.25">
      <c r="A65040"/>
      <c r="B65040"/>
      <c r="C65040"/>
      <c r="E65040"/>
      <c r="F65040"/>
    </row>
    <row r="65041" spans="1:6" x14ac:dyDescent="0.25">
      <c r="A65041"/>
      <c r="B65041"/>
      <c r="C65041"/>
      <c r="E65041"/>
      <c r="F65041"/>
    </row>
    <row r="65042" spans="1:6" x14ac:dyDescent="0.25">
      <c r="A65042"/>
      <c r="B65042"/>
      <c r="C65042"/>
      <c r="E65042"/>
      <c r="F65042"/>
    </row>
    <row r="65043" spans="1:6" x14ac:dyDescent="0.25">
      <c r="A65043"/>
      <c r="B65043"/>
      <c r="C65043"/>
      <c r="E65043"/>
      <c r="F65043"/>
    </row>
    <row r="65044" spans="1:6" x14ac:dyDescent="0.25">
      <c r="A65044"/>
      <c r="B65044"/>
      <c r="C65044"/>
      <c r="E65044"/>
      <c r="F65044"/>
    </row>
    <row r="65045" spans="1:6" x14ac:dyDescent="0.25">
      <c r="A65045"/>
      <c r="B65045"/>
      <c r="C65045"/>
      <c r="E65045"/>
      <c r="F65045"/>
    </row>
    <row r="65046" spans="1:6" x14ac:dyDescent="0.25">
      <c r="A65046"/>
      <c r="B65046"/>
      <c r="C65046"/>
      <c r="E65046"/>
      <c r="F65046"/>
    </row>
    <row r="65047" spans="1:6" x14ac:dyDescent="0.25">
      <c r="A65047"/>
      <c r="B65047"/>
      <c r="C65047"/>
      <c r="E65047"/>
      <c r="F65047"/>
    </row>
    <row r="65048" spans="1:6" x14ac:dyDescent="0.25">
      <c r="A65048"/>
      <c r="B65048"/>
      <c r="C65048"/>
      <c r="E65048"/>
      <c r="F65048"/>
    </row>
    <row r="65049" spans="1:6" x14ac:dyDescent="0.25">
      <c r="A65049"/>
      <c r="B65049"/>
      <c r="C65049"/>
      <c r="E65049"/>
      <c r="F65049"/>
    </row>
    <row r="65050" spans="1:6" x14ac:dyDescent="0.25">
      <c r="A65050"/>
      <c r="B65050"/>
      <c r="C65050"/>
      <c r="E65050"/>
      <c r="F65050"/>
    </row>
    <row r="65051" spans="1:6" x14ac:dyDescent="0.25">
      <c r="A65051"/>
      <c r="B65051"/>
      <c r="C65051"/>
      <c r="E65051"/>
      <c r="F65051"/>
    </row>
    <row r="65052" spans="1:6" x14ac:dyDescent="0.25">
      <c r="A65052"/>
      <c r="B65052"/>
      <c r="C65052"/>
      <c r="E65052"/>
      <c r="F65052"/>
    </row>
    <row r="65053" spans="1:6" x14ac:dyDescent="0.25">
      <c r="A65053"/>
      <c r="B65053"/>
      <c r="C65053"/>
      <c r="E65053"/>
      <c r="F65053"/>
    </row>
    <row r="65054" spans="1:6" x14ac:dyDescent="0.25">
      <c r="A65054"/>
      <c r="B65054"/>
      <c r="C65054"/>
      <c r="E65054"/>
      <c r="F65054"/>
    </row>
    <row r="65055" spans="1:6" x14ac:dyDescent="0.25">
      <c r="A65055"/>
      <c r="B65055"/>
      <c r="C65055"/>
      <c r="E65055"/>
      <c r="F65055"/>
    </row>
    <row r="65056" spans="1:6" x14ac:dyDescent="0.25">
      <c r="A65056"/>
      <c r="B65056"/>
      <c r="C65056"/>
      <c r="E65056"/>
      <c r="F65056"/>
    </row>
    <row r="65057" spans="1:6" x14ac:dyDescent="0.25">
      <c r="A65057"/>
      <c r="B65057"/>
      <c r="C65057"/>
      <c r="E65057"/>
      <c r="F65057"/>
    </row>
    <row r="65058" spans="1:6" x14ac:dyDescent="0.25">
      <c r="A65058"/>
      <c r="B65058"/>
      <c r="C65058"/>
      <c r="E65058"/>
      <c r="F65058"/>
    </row>
    <row r="65059" spans="1:6" x14ac:dyDescent="0.25">
      <c r="A65059"/>
      <c r="B65059"/>
      <c r="C65059"/>
      <c r="E65059"/>
      <c r="F65059"/>
    </row>
    <row r="65060" spans="1:6" x14ac:dyDescent="0.25">
      <c r="A65060"/>
      <c r="B65060"/>
      <c r="C65060"/>
      <c r="E65060"/>
      <c r="F65060"/>
    </row>
    <row r="65061" spans="1:6" x14ac:dyDescent="0.25">
      <c r="A65061"/>
      <c r="B65061"/>
      <c r="C65061"/>
      <c r="E65061"/>
      <c r="F65061"/>
    </row>
    <row r="65062" spans="1:6" x14ac:dyDescent="0.25">
      <c r="A65062"/>
      <c r="B65062"/>
      <c r="C65062"/>
      <c r="E65062"/>
      <c r="F65062"/>
    </row>
    <row r="65063" spans="1:6" x14ac:dyDescent="0.25">
      <c r="A65063"/>
      <c r="B65063"/>
      <c r="C65063"/>
      <c r="E65063"/>
      <c r="F65063"/>
    </row>
    <row r="65064" spans="1:6" x14ac:dyDescent="0.25">
      <c r="A65064"/>
      <c r="B65064"/>
      <c r="C65064"/>
      <c r="E65064"/>
      <c r="F65064"/>
    </row>
    <row r="65065" spans="1:6" x14ac:dyDescent="0.25">
      <c r="A65065"/>
      <c r="B65065"/>
      <c r="C65065"/>
      <c r="E65065"/>
      <c r="F65065"/>
    </row>
    <row r="65066" spans="1:6" x14ac:dyDescent="0.25">
      <c r="A65066"/>
      <c r="B65066"/>
      <c r="C65066"/>
      <c r="E65066"/>
      <c r="F65066"/>
    </row>
    <row r="65067" spans="1:6" x14ac:dyDescent="0.25">
      <c r="A65067"/>
      <c r="B65067"/>
      <c r="C65067"/>
      <c r="E65067"/>
      <c r="F65067"/>
    </row>
    <row r="65068" spans="1:6" x14ac:dyDescent="0.25">
      <c r="A65068"/>
      <c r="B65068"/>
      <c r="C65068"/>
      <c r="E65068"/>
      <c r="F65068"/>
    </row>
    <row r="65069" spans="1:6" x14ac:dyDescent="0.25">
      <c r="A65069"/>
      <c r="B65069"/>
      <c r="C65069"/>
      <c r="E65069"/>
      <c r="F65069"/>
    </row>
    <row r="65070" spans="1:6" x14ac:dyDescent="0.25">
      <c r="A65070"/>
      <c r="B65070"/>
      <c r="C65070"/>
      <c r="E65070"/>
      <c r="F65070"/>
    </row>
    <row r="65071" spans="1:6" x14ac:dyDescent="0.25">
      <c r="A65071"/>
      <c r="B65071"/>
      <c r="C65071"/>
      <c r="E65071"/>
      <c r="F65071"/>
    </row>
    <row r="65072" spans="1:6" x14ac:dyDescent="0.25">
      <c r="A65072"/>
      <c r="B65072"/>
      <c r="C65072"/>
      <c r="E65072"/>
      <c r="F65072"/>
    </row>
    <row r="65073" spans="1:6" x14ac:dyDescent="0.25">
      <c r="A65073"/>
      <c r="B65073"/>
      <c r="C65073"/>
      <c r="E65073"/>
      <c r="F65073"/>
    </row>
    <row r="65074" spans="1:6" x14ac:dyDescent="0.25">
      <c r="A65074"/>
      <c r="B65074"/>
      <c r="C65074"/>
      <c r="E65074"/>
      <c r="F65074"/>
    </row>
    <row r="65075" spans="1:6" x14ac:dyDescent="0.25">
      <c r="A65075"/>
      <c r="B65075"/>
      <c r="C65075"/>
      <c r="E65075"/>
      <c r="F65075"/>
    </row>
    <row r="65076" spans="1:6" x14ac:dyDescent="0.25">
      <c r="A65076"/>
      <c r="B65076"/>
      <c r="C65076"/>
      <c r="E65076"/>
      <c r="F65076"/>
    </row>
    <row r="65077" spans="1:6" x14ac:dyDescent="0.25">
      <c r="A65077"/>
      <c r="B65077"/>
      <c r="C65077"/>
      <c r="E65077"/>
      <c r="F65077"/>
    </row>
    <row r="65078" spans="1:6" x14ac:dyDescent="0.25">
      <c r="A65078"/>
      <c r="B65078"/>
      <c r="C65078"/>
      <c r="E65078"/>
      <c r="F65078"/>
    </row>
    <row r="65079" spans="1:6" x14ac:dyDescent="0.25">
      <c r="A65079"/>
      <c r="B65079"/>
      <c r="C65079"/>
      <c r="E65079"/>
      <c r="F65079"/>
    </row>
    <row r="65080" spans="1:6" x14ac:dyDescent="0.25">
      <c r="A65080"/>
      <c r="B65080"/>
      <c r="C65080"/>
      <c r="E65080"/>
      <c r="F65080"/>
    </row>
    <row r="65081" spans="1:6" x14ac:dyDescent="0.25">
      <c r="A65081"/>
      <c r="B65081"/>
      <c r="C65081"/>
      <c r="E65081"/>
      <c r="F65081"/>
    </row>
    <row r="65082" spans="1:6" x14ac:dyDescent="0.25">
      <c r="A65082"/>
      <c r="B65082"/>
      <c r="C65082"/>
      <c r="E65082"/>
      <c r="F65082"/>
    </row>
    <row r="65083" spans="1:6" x14ac:dyDescent="0.25">
      <c r="A65083"/>
      <c r="B65083"/>
      <c r="C65083"/>
      <c r="E65083"/>
      <c r="F65083"/>
    </row>
    <row r="65084" spans="1:6" x14ac:dyDescent="0.25">
      <c r="A65084"/>
      <c r="B65084"/>
      <c r="C65084"/>
      <c r="E65084"/>
      <c r="F65084"/>
    </row>
    <row r="65085" spans="1:6" x14ac:dyDescent="0.25">
      <c r="A65085"/>
      <c r="B65085"/>
      <c r="C65085"/>
      <c r="E65085"/>
      <c r="F65085"/>
    </row>
    <row r="65086" spans="1:6" x14ac:dyDescent="0.25">
      <c r="A65086"/>
      <c r="B65086"/>
      <c r="C65086"/>
      <c r="E65086"/>
      <c r="F65086"/>
    </row>
    <row r="65087" spans="1:6" x14ac:dyDescent="0.25">
      <c r="A65087"/>
      <c r="B65087"/>
      <c r="C65087"/>
      <c r="E65087"/>
      <c r="F65087"/>
    </row>
    <row r="65088" spans="1:6" x14ac:dyDescent="0.25">
      <c r="A65088"/>
      <c r="B65088"/>
      <c r="C65088"/>
      <c r="E65088"/>
      <c r="F65088"/>
    </row>
    <row r="65089" spans="1:6" x14ac:dyDescent="0.25">
      <c r="A65089"/>
      <c r="B65089"/>
      <c r="C65089"/>
      <c r="E65089"/>
      <c r="F65089"/>
    </row>
    <row r="65090" spans="1:6" x14ac:dyDescent="0.25">
      <c r="A65090"/>
      <c r="B65090"/>
      <c r="C65090"/>
      <c r="E65090"/>
      <c r="F65090"/>
    </row>
    <row r="65091" spans="1:6" x14ac:dyDescent="0.25">
      <c r="A65091"/>
      <c r="B65091"/>
      <c r="C65091"/>
      <c r="E65091"/>
      <c r="F65091"/>
    </row>
    <row r="65092" spans="1:6" x14ac:dyDescent="0.25">
      <c r="A65092"/>
      <c r="B65092"/>
      <c r="C65092"/>
      <c r="E65092"/>
      <c r="F65092"/>
    </row>
    <row r="65093" spans="1:6" x14ac:dyDescent="0.25">
      <c r="A65093"/>
      <c r="B65093"/>
      <c r="C65093"/>
      <c r="E65093"/>
      <c r="F65093"/>
    </row>
    <row r="65094" spans="1:6" x14ac:dyDescent="0.25">
      <c r="A65094"/>
      <c r="B65094"/>
      <c r="C65094"/>
      <c r="E65094"/>
      <c r="F65094"/>
    </row>
    <row r="65095" spans="1:6" x14ac:dyDescent="0.25">
      <c r="A65095"/>
      <c r="B65095"/>
      <c r="C65095"/>
      <c r="E65095"/>
      <c r="F65095"/>
    </row>
    <row r="65096" spans="1:6" x14ac:dyDescent="0.25">
      <c r="A65096"/>
      <c r="B65096"/>
      <c r="C65096"/>
      <c r="E65096"/>
      <c r="F65096"/>
    </row>
    <row r="65097" spans="1:6" x14ac:dyDescent="0.25">
      <c r="A65097"/>
      <c r="B65097"/>
      <c r="C65097"/>
      <c r="E65097"/>
      <c r="F65097"/>
    </row>
    <row r="65098" spans="1:6" x14ac:dyDescent="0.25">
      <c r="A65098"/>
      <c r="B65098"/>
      <c r="C65098"/>
      <c r="E65098"/>
      <c r="F65098"/>
    </row>
    <row r="65099" spans="1:6" x14ac:dyDescent="0.25">
      <c r="A65099"/>
      <c r="B65099"/>
      <c r="C65099"/>
      <c r="E65099"/>
      <c r="F65099"/>
    </row>
    <row r="65100" spans="1:6" x14ac:dyDescent="0.25">
      <c r="A65100"/>
      <c r="B65100"/>
      <c r="C65100"/>
      <c r="E65100"/>
      <c r="F65100"/>
    </row>
    <row r="65101" spans="1:6" x14ac:dyDescent="0.25">
      <c r="A65101"/>
      <c r="B65101"/>
      <c r="C65101"/>
      <c r="E65101"/>
      <c r="F65101"/>
    </row>
    <row r="65102" spans="1:6" x14ac:dyDescent="0.25">
      <c r="A65102"/>
      <c r="B65102"/>
      <c r="C65102"/>
      <c r="E65102"/>
      <c r="F65102"/>
    </row>
    <row r="65103" spans="1:6" x14ac:dyDescent="0.25">
      <c r="A65103"/>
      <c r="B65103"/>
      <c r="C65103"/>
      <c r="E65103"/>
      <c r="F65103"/>
    </row>
    <row r="65104" spans="1:6" x14ac:dyDescent="0.25">
      <c r="A65104"/>
      <c r="B65104"/>
      <c r="C65104"/>
      <c r="E65104"/>
      <c r="F65104"/>
    </row>
    <row r="65105" spans="1:6" x14ac:dyDescent="0.25">
      <c r="A65105"/>
      <c r="B65105"/>
      <c r="C65105"/>
      <c r="E65105"/>
      <c r="F65105"/>
    </row>
    <row r="65106" spans="1:6" x14ac:dyDescent="0.25">
      <c r="A65106"/>
      <c r="B65106"/>
      <c r="C65106"/>
      <c r="E65106"/>
      <c r="F65106"/>
    </row>
    <row r="65107" spans="1:6" x14ac:dyDescent="0.25">
      <c r="A65107"/>
      <c r="B65107"/>
      <c r="C65107"/>
      <c r="E65107"/>
      <c r="F65107"/>
    </row>
    <row r="65108" spans="1:6" x14ac:dyDescent="0.25">
      <c r="A65108"/>
      <c r="B65108"/>
      <c r="C65108"/>
      <c r="E65108"/>
      <c r="F65108"/>
    </row>
    <row r="65109" spans="1:6" x14ac:dyDescent="0.25">
      <c r="A65109"/>
      <c r="B65109"/>
      <c r="C65109"/>
      <c r="E65109"/>
      <c r="F65109"/>
    </row>
    <row r="65110" spans="1:6" x14ac:dyDescent="0.25">
      <c r="A65110"/>
      <c r="B65110"/>
      <c r="C65110"/>
      <c r="E65110"/>
      <c r="F65110"/>
    </row>
    <row r="65111" spans="1:6" x14ac:dyDescent="0.25">
      <c r="A65111"/>
      <c r="B65111"/>
      <c r="C65111"/>
      <c r="E65111"/>
      <c r="F65111"/>
    </row>
    <row r="65112" spans="1:6" x14ac:dyDescent="0.25">
      <c r="A65112"/>
      <c r="B65112"/>
      <c r="C65112"/>
      <c r="E65112"/>
      <c r="F65112"/>
    </row>
    <row r="65113" spans="1:6" x14ac:dyDescent="0.25">
      <c r="A65113"/>
      <c r="B65113"/>
      <c r="C65113"/>
      <c r="E65113"/>
      <c r="F65113"/>
    </row>
    <row r="65114" spans="1:6" x14ac:dyDescent="0.25">
      <c r="A65114"/>
      <c r="B65114"/>
      <c r="C65114"/>
      <c r="E65114"/>
      <c r="F65114"/>
    </row>
    <row r="65115" spans="1:6" x14ac:dyDescent="0.25">
      <c r="A65115"/>
      <c r="B65115"/>
      <c r="C65115"/>
      <c r="E65115"/>
      <c r="F65115"/>
    </row>
    <row r="65116" spans="1:6" x14ac:dyDescent="0.25">
      <c r="A65116"/>
      <c r="B65116"/>
      <c r="C65116"/>
      <c r="E65116"/>
      <c r="F65116"/>
    </row>
    <row r="65117" spans="1:6" x14ac:dyDescent="0.25">
      <c r="A65117"/>
      <c r="B65117"/>
      <c r="C65117"/>
      <c r="E65117"/>
      <c r="F65117"/>
    </row>
    <row r="65118" spans="1:6" x14ac:dyDescent="0.25">
      <c r="A65118"/>
      <c r="B65118"/>
      <c r="C65118"/>
      <c r="E65118"/>
      <c r="F65118"/>
    </row>
    <row r="65119" spans="1:6" x14ac:dyDescent="0.25">
      <c r="A65119"/>
      <c r="B65119"/>
      <c r="C65119"/>
      <c r="E65119"/>
      <c r="F65119"/>
    </row>
    <row r="65120" spans="1:6" x14ac:dyDescent="0.25">
      <c r="A65120"/>
      <c r="B65120"/>
      <c r="C65120"/>
      <c r="E65120"/>
      <c r="F65120"/>
    </row>
    <row r="65121" spans="1:6" x14ac:dyDescent="0.25">
      <c r="A65121"/>
      <c r="B65121"/>
      <c r="C65121"/>
      <c r="E65121"/>
      <c r="F65121"/>
    </row>
    <row r="65122" spans="1:6" x14ac:dyDescent="0.25">
      <c r="A65122"/>
      <c r="B65122"/>
      <c r="C65122"/>
      <c r="E65122"/>
      <c r="F65122"/>
    </row>
    <row r="65123" spans="1:6" x14ac:dyDescent="0.25">
      <c r="A65123"/>
      <c r="B65123"/>
      <c r="C65123"/>
      <c r="E65123"/>
      <c r="F65123"/>
    </row>
    <row r="65124" spans="1:6" x14ac:dyDescent="0.25">
      <c r="A65124"/>
      <c r="B65124"/>
      <c r="C65124"/>
      <c r="E65124"/>
      <c r="F65124"/>
    </row>
    <row r="65125" spans="1:6" x14ac:dyDescent="0.25">
      <c r="A65125"/>
      <c r="B65125"/>
      <c r="C65125"/>
      <c r="E65125"/>
      <c r="F65125"/>
    </row>
    <row r="65126" spans="1:6" x14ac:dyDescent="0.25">
      <c r="A65126"/>
      <c r="B65126"/>
      <c r="C65126"/>
      <c r="E65126"/>
      <c r="F65126"/>
    </row>
    <row r="65127" spans="1:6" x14ac:dyDescent="0.25">
      <c r="A65127"/>
      <c r="B65127"/>
      <c r="C65127"/>
      <c r="E65127"/>
      <c r="F65127"/>
    </row>
    <row r="65128" spans="1:6" x14ac:dyDescent="0.25">
      <c r="A65128"/>
      <c r="B65128"/>
      <c r="C65128"/>
      <c r="E65128"/>
      <c r="F65128"/>
    </row>
    <row r="65129" spans="1:6" x14ac:dyDescent="0.25">
      <c r="A65129"/>
      <c r="B65129"/>
      <c r="C65129"/>
      <c r="E65129"/>
      <c r="F65129"/>
    </row>
    <row r="65130" spans="1:6" x14ac:dyDescent="0.25">
      <c r="A65130"/>
      <c r="B65130"/>
      <c r="C65130"/>
      <c r="E65130"/>
      <c r="F65130"/>
    </row>
    <row r="65131" spans="1:6" x14ac:dyDescent="0.25">
      <c r="A65131"/>
      <c r="B65131"/>
      <c r="C65131"/>
      <c r="E65131"/>
      <c r="F65131"/>
    </row>
    <row r="65132" spans="1:6" x14ac:dyDescent="0.25">
      <c r="A65132"/>
      <c r="B65132"/>
      <c r="C65132"/>
      <c r="E65132"/>
      <c r="F65132"/>
    </row>
    <row r="65133" spans="1:6" x14ac:dyDescent="0.25">
      <c r="A65133"/>
      <c r="B65133"/>
      <c r="C65133"/>
      <c r="E65133"/>
      <c r="F65133"/>
    </row>
    <row r="65134" spans="1:6" x14ac:dyDescent="0.25">
      <c r="A65134"/>
      <c r="B65134"/>
      <c r="C65134"/>
      <c r="E65134"/>
      <c r="F65134"/>
    </row>
    <row r="65135" spans="1:6" x14ac:dyDescent="0.25">
      <c r="A65135"/>
      <c r="B65135"/>
      <c r="C65135"/>
      <c r="E65135"/>
      <c r="F65135"/>
    </row>
    <row r="65136" spans="1:6" x14ac:dyDescent="0.25">
      <c r="A65136"/>
      <c r="B65136"/>
      <c r="C65136"/>
      <c r="E65136"/>
      <c r="F65136"/>
    </row>
    <row r="65137" spans="1:6" x14ac:dyDescent="0.25">
      <c r="A65137"/>
      <c r="B65137"/>
      <c r="C65137"/>
      <c r="E65137"/>
      <c r="F65137"/>
    </row>
    <row r="65138" spans="1:6" x14ac:dyDescent="0.25">
      <c r="A65138"/>
      <c r="B65138"/>
      <c r="C65138"/>
      <c r="E65138"/>
      <c r="F65138"/>
    </row>
    <row r="65139" spans="1:6" x14ac:dyDescent="0.25">
      <c r="A65139"/>
      <c r="B65139"/>
      <c r="C65139"/>
      <c r="E65139"/>
      <c r="F65139"/>
    </row>
    <row r="65140" spans="1:6" x14ac:dyDescent="0.25">
      <c r="A65140"/>
      <c r="B65140"/>
      <c r="C65140"/>
      <c r="E65140"/>
      <c r="F65140"/>
    </row>
    <row r="65141" spans="1:6" x14ac:dyDescent="0.25">
      <c r="A65141"/>
      <c r="B65141"/>
      <c r="C65141"/>
      <c r="E65141"/>
      <c r="F65141"/>
    </row>
    <row r="65142" spans="1:6" x14ac:dyDescent="0.25">
      <c r="A65142"/>
      <c r="B65142"/>
      <c r="C65142"/>
      <c r="E65142"/>
      <c r="F65142"/>
    </row>
    <row r="65143" spans="1:6" x14ac:dyDescent="0.25">
      <c r="A65143"/>
      <c r="B65143"/>
      <c r="C65143"/>
      <c r="E65143"/>
      <c r="F65143"/>
    </row>
    <row r="65144" spans="1:6" x14ac:dyDescent="0.25">
      <c r="A65144"/>
      <c r="B65144"/>
      <c r="C65144"/>
      <c r="E65144"/>
      <c r="F65144"/>
    </row>
    <row r="65145" spans="1:6" x14ac:dyDescent="0.25">
      <c r="A65145"/>
      <c r="B65145"/>
      <c r="C65145"/>
      <c r="E65145"/>
      <c r="F65145"/>
    </row>
    <row r="65146" spans="1:6" x14ac:dyDescent="0.25">
      <c r="A65146"/>
      <c r="B65146"/>
      <c r="C65146"/>
      <c r="E65146"/>
      <c r="F65146"/>
    </row>
    <row r="65147" spans="1:6" x14ac:dyDescent="0.25">
      <c r="A65147"/>
      <c r="B65147"/>
      <c r="C65147"/>
      <c r="E65147"/>
      <c r="F65147"/>
    </row>
    <row r="65148" spans="1:6" x14ac:dyDescent="0.25">
      <c r="A65148"/>
      <c r="B65148"/>
      <c r="C65148"/>
      <c r="E65148"/>
      <c r="F65148"/>
    </row>
    <row r="65149" spans="1:6" x14ac:dyDescent="0.25">
      <c r="A65149"/>
      <c r="B65149"/>
      <c r="C65149"/>
      <c r="E65149"/>
      <c r="F65149"/>
    </row>
    <row r="65150" spans="1:6" x14ac:dyDescent="0.25">
      <c r="A65150"/>
      <c r="B65150"/>
      <c r="C65150"/>
      <c r="E65150"/>
      <c r="F65150"/>
    </row>
    <row r="65151" spans="1:6" x14ac:dyDescent="0.25">
      <c r="A65151"/>
      <c r="B65151"/>
      <c r="C65151"/>
      <c r="E65151"/>
      <c r="F65151"/>
    </row>
    <row r="65152" spans="1:6" x14ac:dyDescent="0.25">
      <c r="A65152"/>
      <c r="B65152"/>
      <c r="C65152"/>
      <c r="E65152"/>
      <c r="F65152"/>
    </row>
    <row r="65153" spans="1:6" x14ac:dyDescent="0.25">
      <c r="A65153"/>
      <c r="B65153"/>
      <c r="C65153"/>
      <c r="E65153"/>
      <c r="F65153"/>
    </row>
    <row r="65154" spans="1:6" x14ac:dyDescent="0.25">
      <c r="A65154"/>
      <c r="B65154"/>
      <c r="C65154"/>
      <c r="E65154"/>
      <c r="F65154"/>
    </row>
    <row r="65155" spans="1:6" x14ac:dyDescent="0.25">
      <c r="A65155"/>
      <c r="B65155"/>
      <c r="C65155"/>
      <c r="E65155"/>
      <c r="F65155"/>
    </row>
    <row r="65156" spans="1:6" x14ac:dyDescent="0.25">
      <c r="A65156"/>
      <c r="B65156"/>
      <c r="C65156"/>
      <c r="E65156"/>
      <c r="F65156"/>
    </row>
    <row r="65157" spans="1:6" x14ac:dyDescent="0.25">
      <c r="A65157"/>
      <c r="B65157"/>
      <c r="C65157"/>
      <c r="E65157"/>
      <c r="F65157"/>
    </row>
    <row r="65158" spans="1:6" x14ac:dyDescent="0.25">
      <c r="A65158"/>
      <c r="B65158"/>
      <c r="C65158"/>
      <c r="E65158"/>
      <c r="F65158"/>
    </row>
    <row r="65159" spans="1:6" x14ac:dyDescent="0.25">
      <c r="A65159"/>
      <c r="B65159"/>
      <c r="C65159"/>
      <c r="E65159"/>
      <c r="F65159"/>
    </row>
    <row r="65160" spans="1:6" x14ac:dyDescent="0.25">
      <c r="A65160"/>
      <c r="B65160"/>
      <c r="C65160"/>
      <c r="E65160"/>
      <c r="F65160"/>
    </row>
    <row r="65161" spans="1:6" x14ac:dyDescent="0.25">
      <c r="A65161"/>
      <c r="B65161"/>
      <c r="C65161"/>
      <c r="E65161"/>
      <c r="F65161"/>
    </row>
    <row r="65162" spans="1:6" x14ac:dyDescent="0.25">
      <c r="A65162"/>
      <c r="B65162"/>
      <c r="C65162"/>
      <c r="E65162"/>
      <c r="F65162"/>
    </row>
    <row r="65163" spans="1:6" x14ac:dyDescent="0.25">
      <c r="A65163"/>
      <c r="B65163"/>
      <c r="C65163"/>
      <c r="E65163"/>
      <c r="F65163"/>
    </row>
    <row r="65164" spans="1:6" x14ac:dyDescent="0.25">
      <c r="A65164"/>
      <c r="B65164"/>
      <c r="C65164"/>
      <c r="E65164"/>
      <c r="F65164"/>
    </row>
    <row r="65165" spans="1:6" x14ac:dyDescent="0.25">
      <c r="A65165"/>
      <c r="B65165"/>
      <c r="C65165"/>
      <c r="E65165"/>
      <c r="F65165"/>
    </row>
    <row r="65166" spans="1:6" x14ac:dyDescent="0.25">
      <c r="A65166"/>
      <c r="B65166"/>
      <c r="C65166"/>
      <c r="E65166"/>
      <c r="F65166"/>
    </row>
    <row r="65167" spans="1:6" x14ac:dyDescent="0.25">
      <c r="A65167"/>
      <c r="B65167"/>
      <c r="C65167"/>
      <c r="E65167"/>
      <c r="F65167"/>
    </row>
    <row r="65168" spans="1:6" x14ac:dyDescent="0.25">
      <c r="A65168"/>
      <c r="B65168"/>
      <c r="C65168"/>
      <c r="E65168"/>
      <c r="F65168"/>
    </row>
    <row r="65169" spans="1:6" x14ac:dyDescent="0.25">
      <c r="A65169"/>
      <c r="B65169"/>
      <c r="C65169"/>
      <c r="E65169"/>
      <c r="F65169"/>
    </row>
    <row r="65170" spans="1:6" x14ac:dyDescent="0.25">
      <c r="A65170"/>
      <c r="B65170"/>
      <c r="C65170"/>
      <c r="E65170"/>
      <c r="F65170"/>
    </row>
    <row r="65171" spans="1:6" x14ac:dyDescent="0.25">
      <c r="A65171"/>
      <c r="B65171"/>
      <c r="C65171"/>
      <c r="E65171"/>
      <c r="F65171"/>
    </row>
    <row r="65172" spans="1:6" x14ac:dyDescent="0.25">
      <c r="A65172"/>
      <c r="B65172"/>
      <c r="C65172"/>
      <c r="E65172"/>
      <c r="F65172"/>
    </row>
    <row r="65173" spans="1:6" x14ac:dyDescent="0.25">
      <c r="A65173"/>
      <c r="B65173"/>
      <c r="C65173"/>
      <c r="E65173"/>
      <c r="F65173"/>
    </row>
    <row r="65174" spans="1:6" x14ac:dyDescent="0.25">
      <c r="A65174"/>
      <c r="B65174"/>
      <c r="C65174"/>
      <c r="E65174"/>
      <c r="F65174"/>
    </row>
    <row r="65175" spans="1:6" x14ac:dyDescent="0.25">
      <c r="A65175"/>
      <c r="B65175"/>
      <c r="C65175"/>
      <c r="E65175"/>
      <c r="F65175"/>
    </row>
    <row r="65176" spans="1:6" x14ac:dyDescent="0.25">
      <c r="A65176"/>
      <c r="B65176"/>
      <c r="C65176"/>
      <c r="E65176"/>
      <c r="F65176"/>
    </row>
    <row r="65177" spans="1:6" x14ac:dyDescent="0.25">
      <c r="A65177"/>
      <c r="B65177"/>
      <c r="C65177"/>
      <c r="E65177"/>
      <c r="F65177"/>
    </row>
    <row r="65178" spans="1:6" x14ac:dyDescent="0.25">
      <c r="A65178"/>
      <c r="B65178"/>
      <c r="C65178"/>
      <c r="E65178"/>
      <c r="F65178"/>
    </row>
    <row r="65179" spans="1:6" x14ac:dyDescent="0.25">
      <c r="A65179"/>
      <c r="B65179"/>
      <c r="C65179"/>
      <c r="E65179"/>
      <c r="F65179"/>
    </row>
    <row r="65180" spans="1:6" x14ac:dyDescent="0.25">
      <c r="A65180"/>
      <c r="B65180"/>
      <c r="C65180"/>
      <c r="E65180"/>
      <c r="F65180"/>
    </row>
    <row r="65181" spans="1:6" x14ac:dyDescent="0.25">
      <c r="A65181"/>
      <c r="B65181"/>
      <c r="C65181"/>
      <c r="E65181"/>
      <c r="F65181"/>
    </row>
    <row r="65182" spans="1:6" x14ac:dyDescent="0.25">
      <c r="A65182"/>
      <c r="B65182"/>
      <c r="C65182"/>
      <c r="E65182"/>
      <c r="F65182"/>
    </row>
    <row r="65183" spans="1:6" x14ac:dyDescent="0.25">
      <c r="A65183"/>
      <c r="B65183"/>
      <c r="C65183"/>
      <c r="E65183"/>
      <c r="F65183"/>
    </row>
    <row r="65184" spans="1:6" x14ac:dyDescent="0.25">
      <c r="A65184"/>
      <c r="B65184"/>
      <c r="C65184"/>
      <c r="E65184"/>
      <c r="F65184"/>
    </row>
    <row r="65185" spans="1:6" x14ac:dyDescent="0.25">
      <c r="A65185"/>
      <c r="B65185"/>
      <c r="C65185"/>
      <c r="E65185"/>
      <c r="F65185"/>
    </row>
    <row r="65186" spans="1:6" x14ac:dyDescent="0.25">
      <c r="A65186"/>
      <c r="B65186"/>
      <c r="C65186"/>
      <c r="E65186"/>
      <c r="F65186"/>
    </row>
    <row r="65187" spans="1:6" x14ac:dyDescent="0.25">
      <c r="A65187"/>
      <c r="B65187"/>
      <c r="C65187"/>
      <c r="E65187"/>
      <c r="F65187"/>
    </row>
    <row r="65188" spans="1:6" x14ac:dyDescent="0.25">
      <c r="A65188"/>
      <c r="B65188"/>
      <c r="C65188"/>
      <c r="E65188"/>
      <c r="F65188"/>
    </row>
    <row r="65189" spans="1:6" x14ac:dyDescent="0.25">
      <c r="A65189"/>
      <c r="B65189"/>
      <c r="C65189"/>
      <c r="E65189"/>
      <c r="F65189"/>
    </row>
    <row r="65190" spans="1:6" x14ac:dyDescent="0.25">
      <c r="A65190"/>
      <c r="B65190"/>
      <c r="C65190"/>
      <c r="E65190"/>
      <c r="F65190"/>
    </row>
    <row r="65191" spans="1:6" x14ac:dyDescent="0.25">
      <c r="A65191"/>
      <c r="B65191"/>
      <c r="C65191"/>
      <c r="E65191"/>
      <c r="F65191"/>
    </row>
    <row r="65192" spans="1:6" x14ac:dyDescent="0.25">
      <c r="A65192"/>
      <c r="B65192"/>
      <c r="C65192"/>
      <c r="E65192"/>
      <c r="F65192"/>
    </row>
    <row r="65193" spans="1:6" x14ac:dyDescent="0.25">
      <c r="A65193"/>
      <c r="B65193"/>
      <c r="C65193"/>
      <c r="E65193"/>
      <c r="F65193"/>
    </row>
    <row r="65194" spans="1:6" x14ac:dyDescent="0.25">
      <c r="A65194"/>
      <c r="B65194"/>
      <c r="C65194"/>
      <c r="E65194"/>
      <c r="F65194"/>
    </row>
    <row r="65195" spans="1:6" x14ac:dyDescent="0.25">
      <c r="A65195"/>
      <c r="B65195"/>
      <c r="C65195"/>
      <c r="E65195"/>
      <c r="F65195"/>
    </row>
    <row r="65196" spans="1:6" x14ac:dyDescent="0.25">
      <c r="A65196"/>
      <c r="B65196"/>
      <c r="C65196"/>
      <c r="E65196"/>
      <c r="F65196"/>
    </row>
    <row r="65197" spans="1:6" x14ac:dyDescent="0.25">
      <c r="A65197"/>
      <c r="B65197"/>
      <c r="C65197"/>
      <c r="E65197"/>
      <c r="F65197"/>
    </row>
    <row r="65198" spans="1:6" x14ac:dyDescent="0.25">
      <c r="A65198"/>
      <c r="B65198"/>
      <c r="C65198"/>
      <c r="E65198"/>
      <c r="F65198"/>
    </row>
    <row r="65199" spans="1:6" x14ac:dyDescent="0.25">
      <c r="A65199"/>
      <c r="B65199"/>
      <c r="C65199"/>
      <c r="E65199"/>
      <c r="F65199"/>
    </row>
    <row r="65200" spans="1:6" x14ac:dyDescent="0.25">
      <c r="A65200"/>
      <c r="B65200"/>
      <c r="C65200"/>
      <c r="E65200"/>
      <c r="F65200"/>
    </row>
    <row r="65201" spans="1:6" x14ac:dyDescent="0.25">
      <c r="A65201"/>
      <c r="B65201"/>
      <c r="C65201"/>
      <c r="E65201"/>
      <c r="F65201"/>
    </row>
    <row r="65202" spans="1:6" x14ac:dyDescent="0.25">
      <c r="A65202"/>
      <c r="B65202"/>
      <c r="C65202"/>
      <c r="E65202"/>
      <c r="F65202"/>
    </row>
    <row r="65203" spans="1:6" x14ac:dyDescent="0.25">
      <c r="A65203"/>
      <c r="B65203"/>
      <c r="C65203"/>
      <c r="E65203"/>
      <c r="F65203"/>
    </row>
    <row r="65204" spans="1:6" x14ac:dyDescent="0.25">
      <c r="A65204"/>
      <c r="B65204"/>
      <c r="C65204"/>
      <c r="E65204"/>
      <c r="F65204"/>
    </row>
    <row r="65205" spans="1:6" x14ac:dyDescent="0.25">
      <c r="A65205"/>
      <c r="B65205"/>
      <c r="C65205"/>
      <c r="E65205"/>
      <c r="F65205"/>
    </row>
    <row r="65206" spans="1:6" x14ac:dyDescent="0.25">
      <c r="A65206"/>
      <c r="B65206"/>
      <c r="C65206"/>
      <c r="E65206"/>
      <c r="F65206"/>
    </row>
    <row r="65207" spans="1:6" x14ac:dyDescent="0.25">
      <c r="A65207"/>
      <c r="B65207"/>
      <c r="C65207"/>
      <c r="E65207"/>
      <c r="F65207"/>
    </row>
    <row r="65208" spans="1:6" x14ac:dyDescent="0.25">
      <c r="A65208"/>
      <c r="B65208"/>
      <c r="C65208"/>
      <c r="E65208"/>
      <c r="F65208"/>
    </row>
    <row r="65209" spans="1:6" x14ac:dyDescent="0.25">
      <c r="A65209"/>
      <c r="B65209"/>
      <c r="C65209"/>
      <c r="E65209"/>
      <c r="F65209"/>
    </row>
    <row r="65210" spans="1:6" x14ac:dyDescent="0.25">
      <c r="A65210"/>
      <c r="B65210"/>
      <c r="C65210"/>
      <c r="E65210"/>
      <c r="F65210"/>
    </row>
    <row r="65211" spans="1:6" x14ac:dyDescent="0.25">
      <c r="A65211"/>
      <c r="B65211"/>
      <c r="C65211"/>
      <c r="E65211"/>
      <c r="F65211"/>
    </row>
    <row r="65212" spans="1:6" x14ac:dyDescent="0.25">
      <c r="A65212"/>
      <c r="B65212"/>
      <c r="C65212"/>
      <c r="E65212"/>
      <c r="F65212"/>
    </row>
    <row r="65213" spans="1:6" x14ac:dyDescent="0.25">
      <c r="A65213"/>
      <c r="B65213"/>
      <c r="C65213"/>
      <c r="E65213"/>
      <c r="F65213"/>
    </row>
    <row r="65214" spans="1:6" x14ac:dyDescent="0.25">
      <c r="A65214"/>
      <c r="B65214"/>
      <c r="C65214"/>
      <c r="E65214"/>
      <c r="F65214"/>
    </row>
    <row r="65215" spans="1:6" x14ac:dyDescent="0.25">
      <c r="A65215"/>
      <c r="B65215"/>
      <c r="C65215"/>
      <c r="E65215"/>
      <c r="F65215"/>
    </row>
    <row r="65216" spans="1:6" x14ac:dyDescent="0.25">
      <c r="A65216"/>
      <c r="B65216"/>
      <c r="C65216"/>
      <c r="E65216"/>
      <c r="F65216"/>
    </row>
    <row r="65217" spans="1:6" x14ac:dyDescent="0.25">
      <c r="A65217"/>
      <c r="B65217"/>
      <c r="C65217"/>
      <c r="E65217"/>
      <c r="F65217"/>
    </row>
    <row r="65218" spans="1:6" x14ac:dyDescent="0.25">
      <c r="A65218"/>
      <c r="B65218"/>
      <c r="C65218"/>
      <c r="E65218"/>
      <c r="F65218"/>
    </row>
    <row r="65219" spans="1:6" x14ac:dyDescent="0.25">
      <c r="A65219"/>
      <c r="B65219"/>
      <c r="C65219"/>
      <c r="E65219"/>
      <c r="F65219"/>
    </row>
    <row r="65220" spans="1:6" x14ac:dyDescent="0.25">
      <c r="A65220"/>
      <c r="B65220"/>
      <c r="C65220"/>
      <c r="E65220"/>
      <c r="F65220"/>
    </row>
    <row r="65221" spans="1:6" x14ac:dyDescent="0.25">
      <c r="A65221"/>
      <c r="B65221"/>
      <c r="C65221"/>
      <c r="E65221"/>
      <c r="F65221"/>
    </row>
    <row r="65222" spans="1:6" x14ac:dyDescent="0.25">
      <c r="A65222"/>
      <c r="B65222"/>
      <c r="C65222"/>
      <c r="E65222"/>
      <c r="F65222"/>
    </row>
    <row r="65223" spans="1:6" x14ac:dyDescent="0.25">
      <c r="A65223"/>
      <c r="B65223"/>
      <c r="C65223"/>
      <c r="E65223"/>
      <c r="F65223"/>
    </row>
    <row r="65224" spans="1:6" x14ac:dyDescent="0.25">
      <c r="A65224"/>
      <c r="B65224"/>
      <c r="C65224"/>
      <c r="E65224"/>
      <c r="F65224"/>
    </row>
    <row r="65225" spans="1:6" x14ac:dyDescent="0.25">
      <c r="A65225"/>
      <c r="B65225"/>
      <c r="C65225"/>
      <c r="E65225"/>
      <c r="F65225"/>
    </row>
    <row r="65226" spans="1:6" x14ac:dyDescent="0.25">
      <c r="A65226"/>
      <c r="B65226"/>
      <c r="C65226"/>
      <c r="E65226"/>
      <c r="F65226"/>
    </row>
    <row r="65227" spans="1:6" x14ac:dyDescent="0.25">
      <c r="A65227"/>
      <c r="B65227"/>
      <c r="C65227"/>
      <c r="E65227"/>
      <c r="F65227"/>
    </row>
    <row r="65228" spans="1:6" x14ac:dyDescent="0.25">
      <c r="A65228"/>
      <c r="B65228"/>
      <c r="C65228"/>
      <c r="E65228"/>
      <c r="F65228"/>
    </row>
    <row r="65229" spans="1:6" x14ac:dyDescent="0.25">
      <c r="A65229"/>
      <c r="B65229"/>
      <c r="C65229"/>
      <c r="E65229"/>
      <c r="F65229"/>
    </row>
    <row r="65230" spans="1:6" x14ac:dyDescent="0.25">
      <c r="A65230"/>
      <c r="B65230"/>
      <c r="C65230"/>
      <c r="E65230"/>
      <c r="F65230"/>
    </row>
    <row r="65231" spans="1:6" x14ac:dyDescent="0.25">
      <c r="A65231"/>
      <c r="B65231"/>
      <c r="C65231"/>
      <c r="E65231"/>
      <c r="F65231"/>
    </row>
    <row r="65232" spans="1:6" x14ac:dyDescent="0.25">
      <c r="A65232"/>
      <c r="B65232"/>
      <c r="C65232"/>
      <c r="E65232"/>
      <c r="F65232"/>
    </row>
    <row r="65233" spans="1:6" x14ac:dyDescent="0.25">
      <c r="A65233"/>
      <c r="B65233"/>
      <c r="C65233"/>
      <c r="E65233"/>
      <c r="F65233"/>
    </row>
    <row r="65234" spans="1:6" x14ac:dyDescent="0.25">
      <c r="A65234"/>
      <c r="B65234"/>
      <c r="C65234"/>
      <c r="E65234"/>
      <c r="F65234"/>
    </row>
    <row r="65235" spans="1:6" x14ac:dyDescent="0.25">
      <c r="A65235"/>
      <c r="B65235"/>
      <c r="C65235"/>
      <c r="E65235"/>
      <c r="F65235"/>
    </row>
    <row r="65236" spans="1:6" x14ac:dyDescent="0.25">
      <c r="A65236"/>
      <c r="B65236"/>
      <c r="C65236"/>
      <c r="E65236"/>
      <c r="F65236"/>
    </row>
    <row r="65237" spans="1:6" x14ac:dyDescent="0.25">
      <c r="A65237"/>
      <c r="B65237"/>
      <c r="C65237"/>
      <c r="E65237"/>
      <c r="F65237"/>
    </row>
    <row r="65238" spans="1:6" x14ac:dyDescent="0.25">
      <c r="A65238"/>
      <c r="B65238"/>
      <c r="C65238"/>
      <c r="E65238"/>
      <c r="F65238"/>
    </row>
    <row r="65239" spans="1:6" x14ac:dyDescent="0.25">
      <c r="A65239"/>
      <c r="B65239"/>
      <c r="C65239"/>
      <c r="E65239"/>
      <c r="F65239"/>
    </row>
    <row r="65240" spans="1:6" x14ac:dyDescent="0.25">
      <c r="A65240"/>
      <c r="B65240"/>
      <c r="C65240"/>
      <c r="E65240"/>
      <c r="F65240"/>
    </row>
    <row r="65241" spans="1:6" x14ac:dyDescent="0.25">
      <c r="A65241"/>
      <c r="B65241"/>
      <c r="C65241"/>
      <c r="E65241"/>
      <c r="F65241"/>
    </row>
    <row r="65242" spans="1:6" x14ac:dyDescent="0.25">
      <c r="A65242"/>
      <c r="B65242"/>
      <c r="C65242"/>
      <c r="E65242"/>
      <c r="F65242"/>
    </row>
    <row r="65243" spans="1:6" x14ac:dyDescent="0.25">
      <c r="A65243"/>
      <c r="B65243"/>
      <c r="C65243"/>
      <c r="E65243"/>
      <c r="F65243"/>
    </row>
    <row r="65244" spans="1:6" x14ac:dyDescent="0.25">
      <c r="A65244"/>
      <c r="B65244"/>
      <c r="C65244"/>
      <c r="E65244"/>
      <c r="F65244"/>
    </row>
    <row r="65245" spans="1:6" x14ac:dyDescent="0.25">
      <c r="A65245"/>
      <c r="B65245"/>
      <c r="C65245"/>
      <c r="E65245"/>
      <c r="F65245"/>
    </row>
    <row r="65246" spans="1:6" x14ac:dyDescent="0.25">
      <c r="A65246"/>
      <c r="B65246"/>
      <c r="C65246"/>
      <c r="E65246"/>
      <c r="F65246"/>
    </row>
    <row r="65247" spans="1:6" x14ac:dyDescent="0.25">
      <c r="A65247"/>
      <c r="B65247"/>
      <c r="C65247"/>
      <c r="E65247"/>
      <c r="F65247"/>
    </row>
    <row r="65248" spans="1:6" x14ac:dyDescent="0.25">
      <c r="A65248"/>
      <c r="B65248"/>
      <c r="C65248"/>
      <c r="E65248"/>
      <c r="F65248"/>
    </row>
    <row r="65249" spans="1:6" x14ac:dyDescent="0.25">
      <c r="A65249"/>
      <c r="B65249"/>
      <c r="C65249"/>
      <c r="E65249"/>
      <c r="F65249"/>
    </row>
    <row r="65250" spans="1:6" x14ac:dyDescent="0.25">
      <c r="A65250"/>
      <c r="B65250"/>
      <c r="C65250"/>
      <c r="E65250"/>
      <c r="F65250"/>
    </row>
    <row r="65251" spans="1:6" x14ac:dyDescent="0.25">
      <c r="A65251"/>
      <c r="B65251"/>
      <c r="C65251"/>
      <c r="E65251"/>
      <c r="F65251"/>
    </row>
    <row r="65252" spans="1:6" x14ac:dyDescent="0.25">
      <c r="A65252"/>
      <c r="B65252"/>
      <c r="C65252"/>
      <c r="E65252"/>
      <c r="F65252"/>
    </row>
    <row r="65253" spans="1:6" x14ac:dyDescent="0.25">
      <c r="A65253"/>
      <c r="B65253"/>
      <c r="C65253"/>
      <c r="E65253"/>
      <c r="F65253"/>
    </row>
    <row r="65254" spans="1:6" x14ac:dyDescent="0.25">
      <c r="A65254"/>
      <c r="B65254"/>
      <c r="C65254"/>
      <c r="E65254"/>
      <c r="F65254"/>
    </row>
    <row r="65255" spans="1:6" x14ac:dyDescent="0.25">
      <c r="A65255"/>
      <c r="B65255"/>
      <c r="C65255"/>
      <c r="E65255"/>
      <c r="F65255"/>
    </row>
    <row r="65256" spans="1:6" x14ac:dyDescent="0.25">
      <c r="A65256"/>
      <c r="B65256"/>
      <c r="C65256"/>
      <c r="E65256"/>
      <c r="F65256"/>
    </row>
    <row r="65257" spans="1:6" x14ac:dyDescent="0.25">
      <c r="A65257"/>
      <c r="B65257"/>
      <c r="C65257"/>
      <c r="E65257"/>
      <c r="F65257"/>
    </row>
    <row r="65258" spans="1:6" x14ac:dyDescent="0.25">
      <c r="A65258"/>
      <c r="B65258"/>
      <c r="C65258"/>
      <c r="E65258"/>
      <c r="F65258"/>
    </row>
    <row r="65259" spans="1:6" x14ac:dyDescent="0.25">
      <c r="A65259"/>
      <c r="B65259"/>
      <c r="C65259"/>
      <c r="E65259"/>
      <c r="F65259"/>
    </row>
    <row r="65260" spans="1:6" x14ac:dyDescent="0.25">
      <c r="A65260"/>
      <c r="B65260"/>
      <c r="C65260"/>
      <c r="E65260"/>
      <c r="F65260"/>
    </row>
    <row r="65261" spans="1:6" x14ac:dyDescent="0.25">
      <c r="A65261"/>
      <c r="B65261"/>
      <c r="C65261"/>
      <c r="E65261"/>
      <c r="F65261"/>
    </row>
    <row r="65262" spans="1:6" x14ac:dyDescent="0.25">
      <c r="A65262"/>
      <c r="B65262"/>
      <c r="C65262"/>
      <c r="E65262"/>
      <c r="F65262"/>
    </row>
    <row r="65263" spans="1:6" x14ac:dyDescent="0.25">
      <c r="A65263"/>
      <c r="B65263"/>
      <c r="C65263"/>
      <c r="E65263"/>
      <c r="F65263"/>
    </row>
    <row r="65264" spans="1:6" x14ac:dyDescent="0.25">
      <c r="A65264"/>
      <c r="B65264"/>
      <c r="C65264"/>
      <c r="E65264"/>
      <c r="F65264"/>
    </row>
    <row r="65265" spans="1:6" x14ac:dyDescent="0.25">
      <c r="A65265"/>
      <c r="B65265"/>
      <c r="C65265"/>
      <c r="E65265"/>
      <c r="F65265"/>
    </row>
    <row r="65266" spans="1:6" x14ac:dyDescent="0.25">
      <c r="A65266"/>
      <c r="B65266"/>
      <c r="C65266"/>
      <c r="E65266"/>
      <c r="F65266"/>
    </row>
    <row r="65267" spans="1:6" x14ac:dyDescent="0.25">
      <c r="A65267"/>
      <c r="B65267"/>
      <c r="C65267"/>
      <c r="E65267"/>
      <c r="F65267"/>
    </row>
    <row r="65268" spans="1:6" x14ac:dyDescent="0.25">
      <c r="A65268"/>
      <c r="B65268"/>
      <c r="C65268"/>
      <c r="E65268"/>
      <c r="F65268"/>
    </row>
    <row r="65269" spans="1:6" x14ac:dyDescent="0.25">
      <c r="A65269"/>
      <c r="B65269"/>
      <c r="C65269"/>
      <c r="E65269"/>
      <c r="F65269"/>
    </row>
    <row r="65270" spans="1:6" x14ac:dyDescent="0.25">
      <c r="A65270"/>
      <c r="B65270"/>
      <c r="C65270"/>
      <c r="E65270"/>
      <c r="F65270"/>
    </row>
    <row r="65271" spans="1:6" x14ac:dyDescent="0.25">
      <c r="A65271"/>
      <c r="B65271"/>
      <c r="C65271"/>
      <c r="E65271"/>
      <c r="F65271"/>
    </row>
    <row r="65272" spans="1:6" x14ac:dyDescent="0.25">
      <c r="A65272"/>
      <c r="B65272"/>
      <c r="C65272"/>
      <c r="E65272"/>
      <c r="F65272"/>
    </row>
    <row r="65273" spans="1:6" x14ac:dyDescent="0.25">
      <c r="A65273"/>
      <c r="B65273"/>
      <c r="C65273"/>
      <c r="E65273"/>
      <c r="F65273"/>
    </row>
    <row r="65274" spans="1:6" x14ac:dyDescent="0.25">
      <c r="A65274"/>
      <c r="B65274"/>
      <c r="C65274"/>
      <c r="E65274"/>
      <c r="F65274"/>
    </row>
    <row r="65275" spans="1:6" x14ac:dyDescent="0.25">
      <c r="A65275"/>
      <c r="B65275"/>
      <c r="C65275"/>
      <c r="E65275"/>
      <c r="F65275"/>
    </row>
    <row r="65276" spans="1:6" x14ac:dyDescent="0.25">
      <c r="A65276"/>
      <c r="B65276"/>
      <c r="C65276"/>
      <c r="E65276"/>
      <c r="F65276"/>
    </row>
    <row r="65277" spans="1:6" x14ac:dyDescent="0.25">
      <c r="A65277"/>
      <c r="B65277"/>
      <c r="C65277"/>
      <c r="E65277"/>
      <c r="F65277"/>
    </row>
    <row r="65278" spans="1:6" x14ac:dyDescent="0.25">
      <c r="A65278"/>
      <c r="B65278"/>
      <c r="C65278"/>
      <c r="E65278"/>
      <c r="F65278"/>
    </row>
    <row r="65279" spans="1:6" x14ac:dyDescent="0.25">
      <c r="A65279"/>
      <c r="B65279"/>
      <c r="C65279"/>
      <c r="E65279"/>
      <c r="F65279"/>
    </row>
    <row r="65280" spans="1:6" x14ac:dyDescent="0.25">
      <c r="A65280"/>
      <c r="B65280"/>
      <c r="C65280"/>
      <c r="E65280"/>
      <c r="F65280"/>
    </row>
    <row r="65281" spans="1:6" x14ac:dyDescent="0.25">
      <c r="A65281"/>
      <c r="B65281"/>
      <c r="C65281"/>
      <c r="E65281"/>
      <c r="F65281"/>
    </row>
    <row r="65282" spans="1:6" x14ac:dyDescent="0.25">
      <c r="A65282"/>
      <c r="B65282"/>
      <c r="C65282"/>
      <c r="E65282"/>
      <c r="F65282"/>
    </row>
    <row r="65283" spans="1:6" x14ac:dyDescent="0.25">
      <c r="A65283"/>
      <c r="B65283"/>
      <c r="C65283"/>
      <c r="E65283"/>
      <c r="F65283"/>
    </row>
    <row r="65284" spans="1:6" x14ac:dyDescent="0.25">
      <c r="A65284"/>
      <c r="B65284"/>
      <c r="C65284"/>
      <c r="E65284"/>
      <c r="F65284"/>
    </row>
    <row r="65285" spans="1:6" x14ac:dyDescent="0.25">
      <c r="A65285"/>
      <c r="B65285"/>
      <c r="C65285"/>
      <c r="E65285"/>
      <c r="F65285"/>
    </row>
    <row r="65286" spans="1:6" x14ac:dyDescent="0.25">
      <c r="A65286"/>
      <c r="B65286"/>
      <c r="C65286"/>
      <c r="E65286"/>
      <c r="F65286"/>
    </row>
    <row r="65287" spans="1:6" x14ac:dyDescent="0.25">
      <c r="A65287"/>
      <c r="B65287"/>
      <c r="C65287"/>
      <c r="E65287"/>
      <c r="F65287"/>
    </row>
    <row r="65288" spans="1:6" x14ac:dyDescent="0.25">
      <c r="A65288"/>
      <c r="B65288"/>
      <c r="C65288"/>
      <c r="E65288"/>
      <c r="F65288"/>
    </row>
    <row r="65289" spans="1:6" x14ac:dyDescent="0.25">
      <c r="A65289"/>
      <c r="B65289"/>
      <c r="C65289"/>
      <c r="E65289"/>
      <c r="F65289"/>
    </row>
    <row r="65290" spans="1:6" x14ac:dyDescent="0.25">
      <c r="A65290"/>
      <c r="B65290"/>
      <c r="C65290"/>
      <c r="E65290"/>
      <c r="F65290"/>
    </row>
    <row r="65291" spans="1:6" x14ac:dyDescent="0.25">
      <c r="A65291"/>
      <c r="B65291"/>
      <c r="C65291"/>
      <c r="E65291"/>
      <c r="F65291"/>
    </row>
    <row r="65292" spans="1:6" x14ac:dyDescent="0.25">
      <c r="A65292"/>
      <c r="B65292"/>
      <c r="C65292"/>
      <c r="E65292"/>
      <c r="F65292"/>
    </row>
    <row r="65293" spans="1:6" x14ac:dyDescent="0.25">
      <c r="A65293"/>
      <c r="B65293"/>
      <c r="C65293"/>
      <c r="E65293"/>
      <c r="F65293"/>
    </row>
    <row r="65294" spans="1:6" x14ac:dyDescent="0.25">
      <c r="A65294"/>
      <c r="B65294"/>
      <c r="C65294"/>
      <c r="E65294"/>
      <c r="F65294"/>
    </row>
    <row r="65295" spans="1:6" x14ac:dyDescent="0.25">
      <c r="A65295"/>
      <c r="B65295"/>
      <c r="C65295"/>
      <c r="E65295"/>
      <c r="F65295"/>
    </row>
    <row r="65296" spans="1:6" x14ac:dyDescent="0.25">
      <c r="A65296"/>
      <c r="B65296"/>
      <c r="C65296"/>
      <c r="E65296"/>
      <c r="F65296"/>
    </row>
    <row r="65297" spans="1:6" x14ac:dyDescent="0.25">
      <c r="A65297"/>
      <c r="B65297"/>
      <c r="C65297"/>
      <c r="E65297"/>
      <c r="F65297"/>
    </row>
    <row r="65298" spans="1:6" x14ac:dyDescent="0.25">
      <c r="A65298"/>
      <c r="B65298"/>
      <c r="C65298"/>
      <c r="E65298"/>
      <c r="F65298"/>
    </row>
    <row r="65299" spans="1:6" x14ac:dyDescent="0.25">
      <c r="A65299"/>
      <c r="B65299"/>
      <c r="C65299"/>
      <c r="E65299"/>
      <c r="F65299"/>
    </row>
    <row r="65300" spans="1:6" x14ac:dyDescent="0.25">
      <c r="A65300"/>
      <c r="B65300"/>
      <c r="C65300"/>
      <c r="E65300"/>
      <c r="F65300"/>
    </row>
    <row r="65301" spans="1:6" x14ac:dyDescent="0.25">
      <c r="A65301"/>
      <c r="B65301"/>
      <c r="C65301"/>
      <c r="E65301"/>
      <c r="F65301"/>
    </row>
    <row r="65302" spans="1:6" x14ac:dyDescent="0.25">
      <c r="A65302"/>
      <c r="B65302"/>
      <c r="C65302"/>
      <c r="E65302"/>
      <c r="F65302"/>
    </row>
    <row r="65303" spans="1:6" x14ac:dyDescent="0.25">
      <c r="A65303"/>
      <c r="B65303"/>
      <c r="C65303"/>
      <c r="E65303"/>
      <c r="F65303"/>
    </row>
    <row r="65304" spans="1:6" x14ac:dyDescent="0.25">
      <c r="A65304"/>
      <c r="B65304"/>
      <c r="C65304"/>
      <c r="E65304"/>
      <c r="F65304"/>
    </row>
    <row r="65305" spans="1:6" x14ac:dyDescent="0.25">
      <c r="A65305"/>
      <c r="B65305"/>
      <c r="C65305"/>
      <c r="E65305"/>
      <c r="F65305"/>
    </row>
    <row r="65306" spans="1:6" x14ac:dyDescent="0.25">
      <c r="A65306"/>
      <c r="B65306"/>
      <c r="C65306"/>
      <c r="E65306"/>
      <c r="F65306"/>
    </row>
    <row r="65307" spans="1:6" x14ac:dyDescent="0.25">
      <c r="A65307"/>
      <c r="B65307"/>
      <c r="C65307"/>
      <c r="E65307"/>
      <c r="F65307"/>
    </row>
    <row r="65308" spans="1:6" x14ac:dyDescent="0.25">
      <c r="A65308"/>
      <c r="B65308"/>
      <c r="C65308"/>
      <c r="E65308"/>
      <c r="F65308"/>
    </row>
    <row r="65309" spans="1:6" x14ac:dyDescent="0.25">
      <c r="A65309"/>
      <c r="B65309"/>
      <c r="C65309"/>
      <c r="E65309"/>
      <c r="F65309"/>
    </row>
    <row r="65310" spans="1:6" x14ac:dyDescent="0.25">
      <c r="A65310"/>
      <c r="B65310"/>
      <c r="C65310"/>
      <c r="E65310"/>
      <c r="F65310"/>
    </row>
    <row r="65311" spans="1:6" x14ac:dyDescent="0.25">
      <c r="A65311"/>
      <c r="B65311"/>
      <c r="C65311"/>
      <c r="E65311"/>
      <c r="F65311"/>
    </row>
    <row r="65312" spans="1:6" x14ac:dyDescent="0.25">
      <c r="A65312"/>
      <c r="B65312"/>
      <c r="C65312"/>
      <c r="E65312"/>
      <c r="F65312"/>
    </row>
    <row r="65313" spans="1:6" x14ac:dyDescent="0.25">
      <c r="A65313"/>
      <c r="B65313"/>
      <c r="C65313"/>
      <c r="E65313"/>
      <c r="F65313"/>
    </row>
    <row r="65314" spans="1:6" x14ac:dyDescent="0.25">
      <c r="A65314"/>
      <c r="B65314"/>
      <c r="C65314"/>
      <c r="E65314"/>
      <c r="F65314"/>
    </row>
    <row r="65315" spans="1:6" x14ac:dyDescent="0.25">
      <c r="A65315"/>
      <c r="B65315"/>
      <c r="C65315"/>
      <c r="E65315"/>
      <c r="F65315"/>
    </row>
    <row r="65316" spans="1:6" x14ac:dyDescent="0.25">
      <c r="A65316"/>
      <c r="B65316"/>
      <c r="C65316"/>
      <c r="E65316"/>
      <c r="F65316"/>
    </row>
    <row r="65317" spans="1:6" x14ac:dyDescent="0.25">
      <c r="A65317"/>
      <c r="B65317"/>
      <c r="C65317"/>
      <c r="E65317"/>
      <c r="F65317"/>
    </row>
    <row r="65318" spans="1:6" x14ac:dyDescent="0.25">
      <c r="A65318"/>
      <c r="B65318"/>
      <c r="C65318"/>
      <c r="E65318"/>
      <c r="F65318"/>
    </row>
    <row r="65319" spans="1:6" x14ac:dyDescent="0.25">
      <c r="A65319"/>
      <c r="B65319"/>
      <c r="C65319"/>
      <c r="E65319"/>
      <c r="F65319"/>
    </row>
    <row r="65320" spans="1:6" x14ac:dyDescent="0.25">
      <c r="A65320"/>
      <c r="B65320"/>
      <c r="C65320"/>
      <c r="E65320"/>
      <c r="F65320"/>
    </row>
    <row r="65321" spans="1:6" x14ac:dyDescent="0.25">
      <c r="A65321"/>
      <c r="B65321"/>
      <c r="C65321"/>
      <c r="E65321"/>
      <c r="F65321"/>
    </row>
    <row r="65322" spans="1:6" x14ac:dyDescent="0.25">
      <c r="A65322"/>
      <c r="B65322"/>
      <c r="C65322"/>
      <c r="E65322"/>
      <c r="F65322"/>
    </row>
    <row r="65323" spans="1:6" x14ac:dyDescent="0.25">
      <c r="A65323"/>
      <c r="B65323"/>
      <c r="C65323"/>
      <c r="E65323"/>
      <c r="F65323"/>
    </row>
    <row r="65324" spans="1:6" x14ac:dyDescent="0.25">
      <c r="A65324"/>
      <c r="B65324"/>
      <c r="C65324"/>
      <c r="E65324"/>
      <c r="F65324"/>
    </row>
    <row r="65325" spans="1:6" x14ac:dyDescent="0.25">
      <c r="A65325"/>
      <c r="B65325"/>
      <c r="C65325"/>
      <c r="E65325"/>
      <c r="F65325"/>
    </row>
    <row r="65326" spans="1:6" x14ac:dyDescent="0.25">
      <c r="A65326"/>
      <c r="B65326"/>
      <c r="C65326"/>
      <c r="E65326"/>
      <c r="F65326"/>
    </row>
    <row r="65327" spans="1:6" x14ac:dyDescent="0.25">
      <c r="A65327"/>
      <c r="B65327"/>
      <c r="C65327"/>
      <c r="E65327"/>
      <c r="F65327"/>
    </row>
    <row r="65328" spans="1:6" x14ac:dyDescent="0.25">
      <c r="A65328"/>
      <c r="B65328"/>
      <c r="C65328"/>
      <c r="E65328"/>
      <c r="F65328"/>
    </row>
    <row r="65329" spans="1:6" x14ac:dyDescent="0.25">
      <c r="A65329"/>
      <c r="B65329"/>
      <c r="C65329"/>
      <c r="E65329"/>
      <c r="F65329"/>
    </row>
    <row r="65330" spans="1:6" x14ac:dyDescent="0.25">
      <c r="A65330"/>
      <c r="B65330"/>
      <c r="C65330"/>
      <c r="E65330"/>
      <c r="F65330"/>
    </row>
    <row r="65331" spans="1:6" x14ac:dyDescent="0.25">
      <c r="A65331"/>
      <c r="B65331"/>
      <c r="C65331"/>
      <c r="E65331"/>
      <c r="F65331"/>
    </row>
    <row r="65332" spans="1:6" x14ac:dyDescent="0.25">
      <c r="A65332"/>
      <c r="B65332"/>
      <c r="C65332"/>
      <c r="E65332"/>
      <c r="F65332"/>
    </row>
    <row r="65333" spans="1:6" x14ac:dyDescent="0.25">
      <c r="A65333"/>
      <c r="B65333"/>
      <c r="C65333"/>
      <c r="E65333"/>
      <c r="F65333"/>
    </row>
    <row r="65334" spans="1:6" x14ac:dyDescent="0.25">
      <c r="A65334"/>
      <c r="B65334"/>
      <c r="C65334"/>
      <c r="E65334"/>
      <c r="F65334"/>
    </row>
    <row r="65335" spans="1:6" x14ac:dyDescent="0.25">
      <c r="A65335"/>
      <c r="B65335"/>
      <c r="C65335"/>
      <c r="E65335"/>
      <c r="F65335"/>
    </row>
    <row r="65336" spans="1:6" x14ac:dyDescent="0.25">
      <c r="A65336"/>
      <c r="B65336"/>
      <c r="C65336"/>
      <c r="E65336"/>
      <c r="F65336"/>
    </row>
    <row r="65337" spans="1:6" x14ac:dyDescent="0.25">
      <c r="A65337"/>
      <c r="B65337"/>
      <c r="C65337"/>
      <c r="E65337"/>
      <c r="F65337"/>
    </row>
    <row r="65338" spans="1:6" x14ac:dyDescent="0.25">
      <c r="A65338"/>
      <c r="B65338"/>
      <c r="C65338"/>
      <c r="E65338"/>
      <c r="F65338"/>
    </row>
    <row r="65339" spans="1:6" x14ac:dyDescent="0.25">
      <c r="A65339"/>
      <c r="B65339"/>
      <c r="C65339"/>
      <c r="E65339"/>
      <c r="F65339"/>
    </row>
    <row r="65340" spans="1:6" x14ac:dyDescent="0.25">
      <c r="A65340"/>
      <c r="B65340"/>
      <c r="C65340"/>
      <c r="E65340"/>
      <c r="F65340"/>
    </row>
    <row r="65341" spans="1:6" x14ac:dyDescent="0.25">
      <c r="A65341"/>
      <c r="B65341"/>
      <c r="C65341"/>
      <c r="E65341"/>
      <c r="F65341"/>
    </row>
    <row r="65342" spans="1:6" x14ac:dyDescent="0.25">
      <c r="A65342"/>
      <c r="B65342"/>
      <c r="C65342"/>
      <c r="E65342"/>
      <c r="F65342"/>
    </row>
    <row r="65343" spans="1:6" x14ac:dyDescent="0.25">
      <c r="A65343"/>
      <c r="B65343"/>
      <c r="C65343"/>
      <c r="E65343"/>
      <c r="F65343"/>
    </row>
    <row r="65344" spans="1:6" x14ac:dyDescent="0.25">
      <c r="A65344"/>
      <c r="B65344"/>
      <c r="C65344"/>
      <c r="E65344"/>
      <c r="F65344"/>
    </row>
    <row r="65345" spans="1:6" x14ac:dyDescent="0.25">
      <c r="A65345"/>
      <c r="B65345"/>
      <c r="C65345"/>
      <c r="E65345"/>
      <c r="F65345"/>
    </row>
    <row r="65346" spans="1:6" x14ac:dyDescent="0.25">
      <c r="A65346"/>
      <c r="B65346"/>
      <c r="C65346"/>
      <c r="E65346"/>
      <c r="F65346"/>
    </row>
    <row r="65347" spans="1:6" x14ac:dyDescent="0.25">
      <c r="A65347"/>
      <c r="B65347"/>
      <c r="C65347"/>
      <c r="E65347"/>
      <c r="F65347"/>
    </row>
    <row r="65348" spans="1:6" x14ac:dyDescent="0.25">
      <c r="A65348"/>
      <c r="B65348"/>
      <c r="C65348"/>
      <c r="E65348"/>
      <c r="F65348"/>
    </row>
    <row r="65349" spans="1:6" x14ac:dyDescent="0.25">
      <c r="A65349"/>
      <c r="B65349"/>
      <c r="C65349"/>
      <c r="E65349"/>
      <c r="F65349"/>
    </row>
    <row r="65350" spans="1:6" x14ac:dyDescent="0.25">
      <c r="A65350"/>
      <c r="B65350"/>
      <c r="C65350"/>
      <c r="E65350"/>
      <c r="F65350"/>
    </row>
    <row r="65351" spans="1:6" x14ac:dyDescent="0.25">
      <c r="A65351"/>
      <c r="B65351"/>
      <c r="C65351"/>
      <c r="E65351"/>
      <c r="F65351"/>
    </row>
    <row r="65352" spans="1:6" x14ac:dyDescent="0.25">
      <c r="A65352"/>
      <c r="B65352"/>
      <c r="C65352"/>
      <c r="E65352"/>
      <c r="F65352"/>
    </row>
    <row r="65353" spans="1:6" x14ac:dyDescent="0.25">
      <c r="A65353"/>
      <c r="B65353"/>
      <c r="C65353"/>
      <c r="E65353"/>
      <c r="F65353"/>
    </row>
    <row r="65354" spans="1:6" x14ac:dyDescent="0.25">
      <c r="A65354"/>
      <c r="B65354"/>
      <c r="C65354"/>
      <c r="E65354"/>
      <c r="F65354"/>
    </row>
    <row r="65355" spans="1:6" x14ac:dyDescent="0.25">
      <c r="A65355"/>
      <c r="B65355"/>
      <c r="C65355"/>
      <c r="E65355"/>
      <c r="F65355"/>
    </row>
    <row r="65356" spans="1:6" x14ac:dyDescent="0.25">
      <c r="A65356"/>
      <c r="B65356"/>
      <c r="C65356"/>
      <c r="E65356"/>
      <c r="F65356"/>
    </row>
    <row r="65357" spans="1:6" x14ac:dyDescent="0.25">
      <c r="A65357"/>
      <c r="B65357"/>
      <c r="C65357"/>
      <c r="E65357"/>
      <c r="F65357"/>
    </row>
    <row r="65358" spans="1:6" x14ac:dyDescent="0.25">
      <c r="A65358"/>
      <c r="B65358"/>
      <c r="C65358"/>
      <c r="E65358"/>
      <c r="F65358"/>
    </row>
    <row r="65359" spans="1:6" x14ac:dyDescent="0.25">
      <c r="A65359"/>
      <c r="B65359"/>
      <c r="C65359"/>
      <c r="E65359"/>
      <c r="F65359"/>
    </row>
    <row r="65360" spans="1:6" x14ac:dyDescent="0.25">
      <c r="A65360"/>
      <c r="B65360"/>
      <c r="C65360"/>
      <c r="E65360"/>
      <c r="F65360"/>
    </row>
    <row r="65361" spans="1:6" x14ac:dyDescent="0.25">
      <c r="A65361"/>
      <c r="B65361"/>
      <c r="C65361"/>
      <c r="E65361"/>
      <c r="F65361"/>
    </row>
    <row r="65362" spans="1:6" x14ac:dyDescent="0.25">
      <c r="A65362"/>
      <c r="B65362"/>
      <c r="C65362"/>
      <c r="E65362"/>
      <c r="F65362"/>
    </row>
    <row r="65363" spans="1:6" x14ac:dyDescent="0.25">
      <c r="A65363"/>
      <c r="B65363"/>
      <c r="C65363"/>
      <c r="E65363"/>
      <c r="F65363"/>
    </row>
    <row r="65364" spans="1:6" x14ac:dyDescent="0.25">
      <c r="A65364"/>
      <c r="B65364"/>
      <c r="C65364"/>
      <c r="E65364"/>
      <c r="F65364"/>
    </row>
    <row r="65365" spans="1:6" x14ac:dyDescent="0.25">
      <c r="A65365"/>
      <c r="B65365"/>
      <c r="C65365"/>
      <c r="E65365"/>
      <c r="F65365"/>
    </row>
    <row r="65366" spans="1:6" x14ac:dyDescent="0.25">
      <c r="A65366"/>
      <c r="B65366"/>
      <c r="C65366"/>
      <c r="E65366"/>
      <c r="F65366"/>
    </row>
    <row r="65367" spans="1:6" x14ac:dyDescent="0.25">
      <c r="A65367"/>
      <c r="B65367"/>
      <c r="C65367"/>
      <c r="E65367"/>
      <c r="F65367"/>
    </row>
    <row r="65368" spans="1:6" x14ac:dyDescent="0.25">
      <c r="A65368"/>
      <c r="B65368"/>
      <c r="C65368"/>
      <c r="E65368"/>
      <c r="F65368"/>
    </row>
    <row r="65369" spans="1:6" x14ac:dyDescent="0.25">
      <c r="A65369"/>
      <c r="B65369"/>
      <c r="C65369"/>
      <c r="E65369"/>
      <c r="F65369"/>
    </row>
    <row r="65370" spans="1:6" x14ac:dyDescent="0.25">
      <c r="A65370"/>
      <c r="B65370"/>
      <c r="C65370"/>
      <c r="E65370"/>
      <c r="F65370"/>
    </row>
    <row r="65371" spans="1:6" x14ac:dyDescent="0.25">
      <c r="A65371"/>
      <c r="B65371"/>
      <c r="C65371"/>
      <c r="E65371"/>
      <c r="F65371"/>
    </row>
    <row r="65372" spans="1:6" x14ac:dyDescent="0.25">
      <c r="A65372"/>
      <c r="B65372"/>
      <c r="C65372"/>
      <c r="E65372"/>
      <c r="F65372"/>
    </row>
    <row r="65373" spans="1:6" x14ac:dyDescent="0.25">
      <c r="A65373"/>
      <c r="B65373"/>
      <c r="C65373"/>
      <c r="E65373"/>
      <c r="F65373"/>
    </row>
    <row r="65374" spans="1:6" x14ac:dyDescent="0.25">
      <c r="A65374"/>
      <c r="B65374"/>
      <c r="C65374"/>
      <c r="E65374"/>
      <c r="F65374"/>
    </row>
    <row r="65375" spans="1:6" x14ac:dyDescent="0.25">
      <c r="A65375"/>
      <c r="B65375"/>
      <c r="C65375"/>
      <c r="E65375"/>
      <c r="F65375"/>
    </row>
    <row r="65376" spans="1:6" x14ac:dyDescent="0.25">
      <c r="A65376"/>
      <c r="B65376"/>
      <c r="C65376"/>
      <c r="E65376"/>
      <c r="F65376"/>
    </row>
    <row r="65377" spans="1:6" x14ac:dyDescent="0.25">
      <c r="A65377"/>
      <c r="B65377"/>
      <c r="C65377"/>
      <c r="E65377"/>
      <c r="F65377"/>
    </row>
    <row r="65378" spans="1:6" x14ac:dyDescent="0.25">
      <c r="A65378"/>
      <c r="B65378"/>
      <c r="C65378"/>
      <c r="E65378"/>
      <c r="F65378"/>
    </row>
    <row r="65379" spans="1:6" x14ac:dyDescent="0.25">
      <c r="A65379"/>
      <c r="B65379"/>
      <c r="C65379"/>
      <c r="E65379"/>
      <c r="F65379"/>
    </row>
    <row r="65380" spans="1:6" x14ac:dyDescent="0.25">
      <c r="A65380"/>
      <c r="B65380"/>
      <c r="C65380"/>
      <c r="E65380"/>
      <c r="F65380"/>
    </row>
    <row r="65381" spans="1:6" x14ac:dyDescent="0.25">
      <c r="A65381"/>
      <c r="B65381"/>
      <c r="C65381"/>
      <c r="E65381"/>
      <c r="F65381"/>
    </row>
    <row r="65382" spans="1:6" x14ac:dyDescent="0.25">
      <c r="A65382"/>
      <c r="B65382"/>
      <c r="C65382"/>
      <c r="E65382"/>
      <c r="F65382"/>
    </row>
    <row r="65383" spans="1:6" x14ac:dyDescent="0.25">
      <c r="A65383"/>
      <c r="B65383"/>
      <c r="C65383"/>
      <c r="E65383"/>
      <c r="F65383"/>
    </row>
    <row r="65384" spans="1:6" x14ac:dyDescent="0.25">
      <c r="A65384"/>
      <c r="B65384"/>
      <c r="C65384"/>
      <c r="E65384"/>
      <c r="F65384"/>
    </row>
    <row r="65385" spans="1:6" x14ac:dyDescent="0.25">
      <c r="A65385"/>
      <c r="B65385"/>
      <c r="C65385"/>
      <c r="E65385"/>
      <c r="F65385"/>
    </row>
    <row r="65386" spans="1:6" x14ac:dyDescent="0.25">
      <c r="A65386"/>
      <c r="B65386"/>
      <c r="C65386"/>
      <c r="E65386"/>
      <c r="F65386"/>
    </row>
    <row r="65387" spans="1:6" x14ac:dyDescent="0.25">
      <c r="A65387"/>
      <c r="B65387"/>
      <c r="C65387"/>
      <c r="E65387"/>
      <c r="F65387"/>
    </row>
    <row r="65388" spans="1:6" x14ac:dyDescent="0.25">
      <c r="A65388"/>
      <c r="B65388"/>
      <c r="C65388"/>
      <c r="E65388"/>
      <c r="F65388"/>
    </row>
    <row r="65389" spans="1:6" x14ac:dyDescent="0.25">
      <c r="A65389"/>
      <c r="B65389"/>
      <c r="C65389"/>
      <c r="E65389"/>
      <c r="F65389"/>
    </row>
    <row r="65390" spans="1:6" x14ac:dyDescent="0.25">
      <c r="A65390"/>
      <c r="B65390"/>
      <c r="C65390"/>
      <c r="E65390"/>
      <c r="F65390"/>
    </row>
    <row r="65391" spans="1:6" x14ac:dyDescent="0.25">
      <c r="A65391"/>
      <c r="B65391"/>
      <c r="C65391"/>
      <c r="E65391"/>
      <c r="F65391"/>
    </row>
    <row r="65392" spans="1:6" x14ac:dyDescent="0.25">
      <c r="A65392"/>
      <c r="B65392"/>
      <c r="C65392"/>
      <c r="E65392"/>
      <c r="F65392"/>
    </row>
    <row r="65393" spans="1:6" x14ac:dyDescent="0.25">
      <c r="A65393"/>
      <c r="B65393"/>
      <c r="C65393"/>
      <c r="E65393"/>
      <c r="F65393"/>
    </row>
    <row r="65394" spans="1:6" x14ac:dyDescent="0.25">
      <c r="A65394"/>
      <c r="B65394"/>
      <c r="C65394"/>
      <c r="E65394"/>
      <c r="F65394"/>
    </row>
    <row r="65395" spans="1:6" x14ac:dyDescent="0.25">
      <c r="A65395"/>
      <c r="B65395"/>
      <c r="C65395"/>
      <c r="E65395"/>
      <c r="F65395"/>
    </row>
    <row r="65396" spans="1:6" x14ac:dyDescent="0.25">
      <c r="A65396"/>
      <c r="B65396"/>
      <c r="C65396"/>
      <c r="E65396"/>
      <c r="F65396"/>
    </row>
    <row r="65397" spans="1:6" x14ac:dyDescent="0.25">
      <c r="A65397"/>
      <c r="B65397"/>
      <c r="C65397"/>
      <c r="E65397"/>
      <c r="F65397"/>
    </row>
    <row r="65398" spans="1:6" x14ac:dyDescent="0.25">
      <c r="A65398"/>
      <c r="B65398"/>
      <c r="C65398"/>
      <c r="E65398"/>
      <c r="F65398"/>
    </row>
    <row r="65399" spans="1:6" x14ac:dyDescent="0.25">
      <c r="A65399"/>
      <c r="B65399"/>
      <c r="C65399"/>
      <c r="E65399"/>
      <c r="F65399"/>
    </row>
    <row r="65400" spans="1:6" x14ac:dyDescent="0.25">
      <c r="A65400"/>
      <c r="B65400"/>
      <c r="C65400"/>
      <c r="E65400"/>
      <c r="F65400"/>
    </row>
    <row r="65401" spans="1:6" x14ac:dyDescent="0.25">
      <c r="A65401"/>
      <c r="B65401"/>
      <c r="C65401"/>
      <c r="E65401"/>
      <c r="F65401"/>
    </row>
    <row r="65402" spans="1:6" x14ac:dyDescent="0.25">
      <c r="A65402"/>
      <c r="B65402"/>
      <c r="C65402"/>
      <c r="E65402"/>
      <c r="F65402"/>
    </row>
    <row r="65403" spans="1:6" x14ac:dyDescent="0.25">
      <c r="A65403"/>
      <c r="B65403"/>
      <c r="C65403"/>
      <c r="E65403"/>
      <c r="F65403"/>
    </row>
    <row r="65404" spans="1:6" x14ac:dyDescent="0.25">
      <c r="A65404"/>
      <c r="B65404"/>
      <c r="C65404"/>
      <c r="E65404"/>
      <c r="F65404"/>
    </row>
    <row r="65405" spans="1:6" x14ac:dyDescent="0.25">
      <c r="A65405"/>
      <c r="B65405"/>
      <c r="C65405"/>
      <c r="E65405"/>
      <c r="F65405"/>
    </row>
    <row r="65406" spans="1:6" x14ac:dyDescent="0.25">
      <c r="A65406"/>
      <c r="B65406"/>
      <c r="C65406"/>
      <c r="E65406"/>
      <c r="F65406"/>
    </row>
    <row r="65407" spans="1:6" x14ac:dyDescent="0.25">
      <c r="A65407"/>
      <c r="B65407"/>
      <c r="C65407"/>
      <c r="E65407"/>
      <c r="F65407"/>
    </row>
    <row r="65408" spans="1:6" x14ac:dyDescent="0.25">
      <c r="A65408"/>
      <c r="B65408"/>
      <c r="C65408"/>
      <c r="E65408"/>
      <c r="F65408"/>
    </row>
    <row r="65409" spans="1:6" x14ac:dyDescent="0.25">
      <c r="A65409"/>
      <c r="B65409"/>
      <c r="C65409"/>
      <c r="E65409"/>
      <c r="F65409"/>
    </row>
    <row r="65410" spans="1:6" x14ac:dyDescent="0.25">
      <c r="A65410"/>
      <c r="B65410"/>
      <c r="C65410"/>
      <c r="E65410"/>
      <c r="F65410"/>
    </row>
    <row r="65411" spans="1:6" x14ac:dyDescent="0.25">
      <c r="A65411"/>
      <c r="B65411"/>
      <c r="C65411"/>
      <c r="E65411"/>
      <c r="F65411"/>
    </row>
    <row r="65412" spans="1:6" x14ac:dyDescent="0.25">
      <c r="A65412"/>
      <c r="B65412"/>
      <c r="C65412"/>
      <c r="E65412"/>
      <c r="F65412"/>
    </row>
    <row r="65413" spans="1:6" x14ac:dyDescent="0.25">
      <c r="A65413"/>
      <c r="B65413"/>
      <c r="C65413"/>
      <c r="E65413"/>
      <c r="F65413"/>
    </row>
    <row r="65414" spans="1:6" x14ac:dyDescent="0.25">
      <c r="A65414"/>
      <c r="B65414"/>
      <c r="C65414"/>
      <c r="E65414"/>
      <c r="F65414"/>
    </row>
    <row r="65415" spans="1:6" x14ac:dyDescent="0.25">
      <c r="A65415"/>
      <c r="B65415"/>
      <c r="C65415"/>
      <c r="E65415"/>
      <c r="F65415"/>
    </row>
    <row r="65416" spans="1:6" x14ac:dyDescent="0.25">
      <c r="A65416"/>
      <c r="B65416"/>
      <c r="C65416"/>
      <c r="E65416"/>
      <c r="F65416"/>
    </row>
    <row r="65417" spans="1:6" x14ac:dyDescent="0.25">
      <c r="A65417"/>
      <c r="B65417"/>
      <c r="C65417"/>
      <c r="E65417"/>
      <c r="F65417"/>
    </row>
    <row r="65418" spans="1:6" x14ac:dyDescent="0.25">
      <c r="A65418"/>
      <c r="B65418"/>
      <c r="C65418"/>
      <c r="E65418"/>
      <c r="F65418"/>
    </row>
    <row r="65419" spans="1:6" x14ac:dyDescent="0.25">
      <c r="A65419"/>
      <c r="B65419"/>
      <c r="C65419"/>
      <c r="E65419"/>
      <c r="F65419"/>
    </row>
    <row r="65420" spans="1:6" x14ac:dyDescent="0.25">
      <c r="A65420"/>
      <c r="B65420"/>
      <c r="C65420"/>
      <c r="E65420"/>
      <c r="F65420"/>
    </row>
    <row r="65421" spans="1:6" x14ac:dyDescent="0.25">
      <c r="A65421"/>
      <c r="B65421"/>
      <c r="C65421"/>
      <c r="E65421"/>
      <c r="F65421"/>
    </row>
    <row r="65422" spans="1:6" x14ac:dyDescent="0.25">
      <c r="A65422"/>
      <c r="B65422"/>
      <c r="C65422"/>
      <c r="E65422"/>
      <c r="F65422"/>
    </row>
    <row r="65423" spans="1:6" x14ac:dyDescent="0.25">
      <c r="A65423"/>
      <c r="B65423"/>
      <c r="C65423"/>
      <c r="E65423"/>
      <c r="F65423"/>
    </row>
    <row r="65424" spans="1:6" x14ac:dyDescent="0.25">
      <c r="A65424"/>
      <c r="B65424"/>
      <c r="C65424"/>
      <c r="E65424"/>
      <c r="F65424"/>
    </row>
    <row r="65425" spans="1:6" x14ac:dyDescent="0.25">
      <c r="A65425"/>
      <c r="B65425"/>
      <c r="C65425"/>
      <c r="E65425"/>
      <c r="F65425"/>
    </row>
    <row r="65426" spans="1:6" x14ac:dyDescent="0.25">
      <c r="A65426"/>
      <c r="B65426"/>
      <c r="C65426"/>
      <c r="E65426"/>
      <c r="F65426"/>
    </row>
    <row r="65427" spans="1:6" x14ac:dyDescent="0.25">
      <c r="A65427"/>
      <c r="B65427"/>
      <c r="C65427"/>
      <c r="E65427"/>
      <c r="F65427"/>
    </row>
    <row r="65428" spans="1:6" x14ac:dyDescent="0.25">
      <c r="A65428"/>
      <c r="B65428"/>
      <c r="C65428"/>
      <c r="E65428"/>
      <c r="F65428"/>
    </row>
    <row r="65429" spans="1:6" x14ac:dyDescent="0.25">
      <c r="A65429"/>
      <c r="B65429"/>
      <c r="C65429"/>
      <c r="E65429"/>
      <c r="F65429"/>
    </row>
    <row r="65430" spans="1:6" x14ac:dyDescent="0.25">
      <c r="A65430"/>
      <c r="B65430"/>
      <c r="C65430"/>
      <c r="E65430"/>
      <c r="F65430"/>
    </row>
    <row r="65431" spans="1:6" x14ac:dyDescent="0.25">
      <c r="A65431"/>
      <c r="B65431"/>
      <c r="C65431"/>
      <c r="E65431"/>
      <c r="F65431"/>
    </row>
    <row r="65432" spans="1:6" x14ac:dyDescent="0.25">
      <c r="A65432"/>
      <c r="B65432"/>
      <c r="C65432"/>
      <c r="E65432"/>
      <c r="F65432"/>
    </row>
    <row r="65433" spans="1:6" x14ac:dyDescent="0.25">
      <c r="A65433"/>
      <c r="B65433"/>
      <c r="C65433"/>
      <c r="E65433"/>
      <c r="F65433"/>
    </row>
    <row r="65434" spans="1:6" x14ac:dyDescent="0.25">
      <c r="A65434"/>
      <c r="B65434"/>
      <c r="C65434"/>
      <c r="E65434"/>
      <c r="F65434"/>
    </row>
    <row r="65435" spans="1:6" x14ac:dyDescent="0.25">
      <c r="A65435"/>
      <c r="B65435"/>
      <c r="C65435"/>
      <c r="E65435"/>
      <c r="F65435"/>
    </row>
    <row r="65436" spans="1:6" x14ac:dyDescent="0.25">
      <c r="A65436"/>
      <c r="B65436"/>
      <c r="C65436"/>
      <c r="E65436"/>
      <c r="F65436"/>
    </row>
    <row r="65437" spans="1:6" x14ac:dyDescent="0.25">
      <c r="A65437"/>
      <c r="B65437"/>
      <c r="C65437"/>
      <c r="E65437"/>
      <c r="F65437"/>
    </row>
    <row r="65438" spans="1:6" x14ac:dyDescent="0.25">
      <c r="A65438"/>
      <c r="B65438"/>
      <c r="C65438"/>
      <c r="E65438"/>
      <c r="F65438"/>
    </row>
    <row r="65439" spans="1:6" x14ac:dyDescent="0.25">
      <c r="A65439"/>
      <c r="B65439"/>
      <c r="C65439"/>
      <c r="E65439"/>
      <c r="F65439"/>
    </row>
    <row r="65440" spans="1:6" x14ac:dyDescent="0.25">
      <c r="A65440"/>
      <c r="B65440"/>
      <c r="C65440"/>
      <c r="E65440"/>
      <c r="F65440"/>
    </row>
    <row r="65441" spans="1:6" x14ac:dyDescent="0.25">
      <c r="A65441"/>
      <c r="B65441"/>
      <c r="C65441"/>
      <c r="E65441"/>
      <c r="F65441"/>
    </row>
    <row r="65442" spans="1:6" x14ac:dyDescent="0.25">
      <c r="A65442"/>
      <c r="B65442"/>
      <c r="C65442"/>
      <c r="E65442"/>
      <c r="F65442"/>
    </row>
    <row r="65443" spans="1:6" x14ac:dyDescent="0.25">
      <c r="A65443"/>
      <c r="B65443"/>
      <c r="C65443"/>
      <c r="E65443"/>
      <c r="F65443"/>
    </row>
    <row r="65444" spans="1:6" x14ac:dyDescent="0.25">
      <c r="A65444"/>
      <c r="B65444"/>
      <c r="C65444"/>
      <c r="E65444"/>
      <c r="F65444"/>
    </row>
    <row r="65445" spans="1:6" x14ac:dyDescent="0.25">
      <c r="A65445"/>
      <c r="B65445"/>
      <c r="C65445"/>
      <c r="E65445"/>
      <c r="F65445"/>
    </row>
    <row r="65446" spans="1:6" x14ac:dyDescent="0.25">
      <c r="A65446"/>
      <c r="B65446"/>
      <c r="C65446"/>
      <c r="E65446"/>
      <c r="F65446"/>
    </row>
    <row r="65447" spans="1:6" x14ac:dyDescent="0.25">
      <c r="A65447"/>
      <c r="B65447"/>
      <c r="C65447"/>
      <c r="E65447"/>
      <c r="F65447"/>
    </row>
    <row r="65448" spans="1:6" x14ac:dyDescent="0.25">
      <c r="A65448"/>
      <c r="B65448"/>
      <c r="C65448"/>
      <c r="E65448"/>
      <c r="F65448"/>
    </row>
    <row r="65449" spans="1:6" x14ac:dyDescent="0.25">
      <c r="A65449"/>
      <c r="B65449"/>
      <c r="C65449"/>
      <c r="E65449"/>
      <c r="F65449"/>
    </row>
    <row r="65450" spans="1:6" x14ac:dyDescent="0.25">
      <c r="A65450"/>
      <c r="B65450"/>
      <c r="C65450"/>
      <c r="E65450"/>
      <c r="F65450"/>
    </row>
    <row r="65451" spans="1:6" x14ac:dyDescent="0.25">
      <c r="A65451"/>
      <c r="B65451"/>
      <c r="C65451"/>
      <c r="E65451"/>
      <c r="F65451"/>
    </row>
    <row r="65452" spans="1:6" x14ac:dyDescent="0.25">
      <c r="A65452"/>
      <c r="B65452"/>
      <c r="C65452"/>
      <c r="E65452"/>
      <c r="F65452"/>
    </row>
    <row r="65453" spans="1:6" x14ac:dyDescent="0.25">
      <c r="A65453"/>
      <c r="B65453"/>
      <c r="C65453"/>
      <c r="E65453"/>
      <c r="F65453"/>
    </row>
    <row r="65454" spans="1:6" x14ac:dyDescent="0.25">
      <c r="A65454"/>
      <c r="B65454"/>
      <c r="C65454"/>
      <c r="E65454"/>
      <c r="F65454"/>
    </row>
    <row r="65455" spans="1:6" x14ac:dyDescent="0.25">
      <c r="A65455"/>
      <c r="B65455"/>
      <c r="C65455"/>
      <c r="E65455"/>
      <c r="F65455"/>
    </row>
    <row r="65456" spans="1:6" x14ac:dyDescent="0.25">
      <c r="A65456"/>
      <c r="B65456"/>
      <c r="C65456"/>
      <c r="E65456"/>
      <c r="F65456"/>
    </row>
    <row r="65457" spans="1:6" x14ac:dyDescent="0.25">
      <c r="A65457"/>
      <c r="B65457"/>
      <c r="C65457"/>
      <c r="E65457"/>
      <c r="F65457"/>
    </row>
    <row r="65458" spans="1:6" x14ac:dyDescent="0.25">
      <c r="A65458"/>
      <c r="B65458"/>
      <c r="C65458"/>
      <c r="E65458"/>
      <c r="F65458"/>
    </row>
    <row r="65459" spans="1:6" x14ac:dyDescent="0.25">
      <c r="A65459"/>
      <c r="B65459"/>
      <c r="C65459"/>
      <c r="E65459"/>
      <c r="F65459"/>
    </row>
    <row r="65460" spans="1:6" x14ac:dyDescent="0.25">
      <c r="A65460"/>
      <c r="B65460"/>
      <c r="C65460"/>
      <c r="E65460"/>
      <c r="F65460"/>
    </row>
    <row r="65461" spans="1:6" x14ac:dyDescent="0.25">
      <c r="A65461"/>
      <c r="B65461"/>
      <c r="C65461"/>
      <c r="E65461"/>
      <c r="F65461"/>
    </row>
    <row r="65462" spans="1:6" x14ac:dyDescent="0.25">
      <c r="A65462"/>
      <c r="B65462"/>
      <c r="C65462"/>
      <c r="E65462"/>
      <c r="F65462"/>
    </row>
    <row r="65463" spans="1:6" x14ac:dyDescent="0.25">
      <c r="A65463"/>
      <c r="B65463"/>
      <c r="C65463"/>
      <c r="E65463"/>
      <c r="F65463"/>
    </row>
    <row r="65464" spans="1:6" x14ac:dyDescent="0.25">
      <c r="A65464"/>
      <c r="B65464"/>
      <c r="C65464"/>
      <c r="E65464"/>
      <c r="F65464"/>
    </row>
    <row r="65465" spans="1:6" x14ac:dyDescent="0.25">
      <c r="A65465"/>
      <c r="B65465"/>
      <c r="C65465"/>
      <c r="E65465"/>
      <c r="F65465"/>
    </row>
    <row r="65466" spans="1:6" x14ac:dyDescent="0.25">
      <c r="A65466"/>
      <c r="B65466"/>
      <c r="C65466"/>
      <c r="E65466"/>
      <c r="F65466"/>
    </row>
    <row r="65467" spans="1:6" x14ac:dyDescent="0.25">
      <c r="A65467"/>
      <c r="B65467"/>
      <c r="C65467"/>
      <c r="E65467"/>
      <c r="F65467"/>
    </row>
    <row r="65468" spans="1:6" x14ac:dyDescent="0.25">
      <c r="A65468"/>
      <c r="B65468"/>
      <c r="C65468"/>
      <c r="E65468"/>
      <c r="F65468"/>
    </row>
    <row r="65469" spans="1:6" x14ac:dyDescent="0.25">
      <c r="A65469"/>
      <c r="B65469"/>
      <c r="C65469"/>
      <c r="E65469"/>
      <c r="F65469"/>
    </row>
    <row r="65470" spans="1:6" x14ac:dyDescent="0.25">
      <c r="A65470"/>
      <c r="B65470"/>
      <c r="C65470"/>
      <c r="E65470"/>
      <c r="F65470"/>
    </row>
    <row r="65471" spans="1:6" x14ac:dyDescent="0.25">
      <c r="A65471"/>
      <c r="B65471"/>
      <c r="C65471"/>
      <c r="E65471"/>
      <c r="F65471"/>
    </row>
    <row r="65472" spans="1:6" x14ac:dyDescent="0.25">
      <c r="A65472"/>
      <c r="B65472"/>
      <c r="C65472"/>
      <c r="E65472"/>
      <c r="F65472"/>
    </row>
    <row r="65473" spans="1:6" x14ac:dyDescent="0.25">
      <c r="A65473"/>
      <c r="B65473"/>
      <c r="C65473"/>
      <c r="E65473"/>
      <c r="F65473"/>
    </row>
    <row r="65474" spans="1:6" x14ac:dyDescent="0.25">
      <c r="A65474"/>
      <c r="B65474"/>
      <c r="C65474"/>
      <c r="E65474"/>
      <c r="F65474"/>
    </row>
    <row r="65475" spans="1:6" x14ac:dyDescent="0.25">
      <c r="A65475"/>
      <c r="B65475"/>
      <c r="C65475"/>
      <c r="E65475"/>
      <c r="F65475"/>
    </row>
    <row r="65476" spans="1:6" x14ac:dyDescent="0.25">
      <c r="A65476"/>
      <c r="B65476"/>
      <c r="C65476"/>
      <c r="E65476"/>
      <c r="F65476"/>
    </row>
    <row r="65477" spans="1:6" x14ac:dyDescent="0.25">
      <c r="A65477"/>
      <c r="B65477"/>
      <c r="C65477"/>
      <c r="E65477"/>
      <c r="F65477"/>
    </row>
    <row r="65478" spans="1:6" x14ac:dyDescent="0.25">
      <c r="A65478"/>
      <c r="B65478"/>
      <c r="C65478"/>
      <c r="E65478"/>
      <c r="F65478"/>
    </row>
    <row r="65479" spans="1:6" x14ac:dyDescent="0.25">
      <c r="A65479"/>
      <c r="B65479"/>
      <c r="C65479"/>
      <c r="E65479"/>
      <c r="F65479"/>
    </row>
    <row r="65480" spans="1:6" x14ac:dyDescent="0.25">
      <c r="A65480"/>
      <c r="B65480"/>
      <c r="C65480"/>
      <c r="E65480"/>
      <c r="F65480"/>
    </row>
    <row r="65481" spans="1:6" x14ac:dyDescent="0.25">
      <c r="A65481"/>
      <c r="B65481"/>
      <c r="C65481"/>
      <c r="E65481"/>
      <c r="F65481"/>
    </row>
    <row r="65482" spans="1:6" x14ac:dyDescent="0.25">
      <c r="A65482"/>
      <c r="B65482"/>
      <c r="C65482"/>
      <c r="E65482"/>
      <c r="F65482"/>
    </row>
    <row r="65483" spans="1:6" x14ac:dyDescent="0.25">
      <c r="A65483"/>
      <c r="B65483"/>
      <c r="C65483"/>
      <c r="E65483"/>
      <c r="F65483"/>
    </row>
    <row r="65484" spans="1:6" x14ac:dyDescent="0.25">
      <c r="A65484"/>
      <c r="B65484"/>
      <c r="C65484"/>
      <c r="E65484"/>
      <c r="F65484"/>
    </row>
    <row r="65485" spans="1:6" x14ac:dyDescent="0.25">
      <c r="A65485"/>
      <c r="B65485"/>
      <c r="C65485"/>
      <c r="E65485"/>
      <c r="F65485"/>
    </row>
    <row r="65486" spans="1:6" x14ac:dyDescent="0.25">
      <c r="A65486"/>
      <c r="B65486"/>
      <c r="C65486"/>
      <c r="E65486"/>
      <c r="F65486"/>
    </row>
    <row r="65487" spans="1:6" x14ac:dyDescent="0.25">
      <c r="A65487"/>
      <c r="B65487"/>
      <c r="C65487"/>
      <c r="E65487"/>
      <c r="F65487"/>
    </row>
    <row r="65488" spans="1:6" x14ac:dyDescent="0.25">
      <c r="A65488"/>
      <c r="B65488"/>
      <c r="C65488"/>
      <c r="E65488"/>
      <c r="F65488"/>
    </row>
    <row r="65489" spans="1:6" x14ac:dyDescent="0.25">
      <c r="A65489"/>
      <c r="B65489"/>
      <c r="C65489"/>
      <c r="E65489"/>
      <c r="F65489"/>
    </row>
    <row r="65490" spans="1:6" x14ac:dyDescent="0.25">
      <c r="A65490"/>
      <c r="B65490"/>
      <c r="C65490"/>
      <c r="E65490"/>
      <c r="F65490"/>
    </row>
    <row r="65491" spans="1:6" x14ac:dyDescent="0.25">
      <c r="A65491"/>
      <c r="B65491"/>
      <c r="C65491"/>
      <c r="E65491"/>
      <c r="F65491"/>
    </row>
    <row r="65492" spans="1:6" x14ac:dyDescent="0.25">
      <c r="A65492"/>
      <c r="B65492"/>
      <c r="C65492"/>
      <c r="E65492"/>
      <c r="F65492"/>
    </row>
    <row r="65493" spans="1:6" x14ac:dyDescent="0.25">
      <c r="A65493"/>
      <c r="B65493"/>
      <c r="C65493"/>
      <c r="E65493"/>
      <c r="F65493"/>
    </row>
    <row r="65494" spans="1:6" x14ac:dyDescent="0.25">
      <c r="A65494"/>
      <c r="B65494"/>
      <c r="C65494"/>
      <c r="E65494"/>
      <c r="F65494"/>
    </row>
    <row r="65495" spans="1:6" x14ac:dyDescent="0.25">
      <c r="A65495"/>
      <c r="B65495"/>
      <c r="C65495"/>
      <c r="E65495"/>
      <c r="F65495"/>
    </row>
    <row r="65496" spans="1:6" x14ac:dyDescent="0.25">
      <c r="A65496"/>
      <c r="B65496"/>
      <c r="C65496"/>
      <c r="E65496"/>
      <c r="F65496"/>
    </row>
    <row r="65497" spans="1:6" x14ac:dyDescent="0.25">
      <c r="A65497"/>
      <c r="B65497"/>
      <c r="C65497"/>
      <c r="E65497"/>
      <c r="F65497"/>
    </row>
    <row r="65498" spans="1:6" x14ac:dyDescent="0.25">
      <c r="A65498"/>
      <c r="B65498"/>
      <c r="C65498"/>
      <c r="E65498"/>
      <c r="F65498"/>
    </row>
    <row r="65499" spans="1:6" x14ac:dyDescent="0.25">
      <c r="A65499"/>
      <c r="B65499"/>
      <c r="C65499"/>
      <c r="E65499"/>
      <c r="F65499"/>
    </row>
    <row r="65500" spans="1:6" x14ac:dyDescent="0.25">
      <c r="A65500"/>
      <c r="B65500"/>
      <c r="C65500"/>
      <c r="E65500"/>
      <c r="F65500"/>
    </row>
    <row r="65501" spans="1:6" x14ac:dyDescent="0.25">
      <c r="A65501"/>
      <c r="B65501"/>
      <c r="C65501"/>
      <c r="E65501"/>
      <c r="F65501"/>
    </row>
    <row r="65502" spans="1:6" x14ac:dyDescent="0.25">
      <c r="A65502"/>
      <c r="B65502"/>
      <c r="C65502"/>
      <c r="E65502"/>
      <c r="F65502"/>
    </row>
    <row r="65503" spans="1:6" x14ac:dyDescent="0.25">
      <c r="A65503"/>
      <c r="B65503"/>
      <c r="C65503"/>
      <c r="E65503"/>
      <c r="F65503"/>
    </row>
    <row r="65504" spans="1:6" x14ac:dyDescent="0.25">
      <c r="A65504"/>
      <c r="B65504"/>
      <c r="C65504"/>
      <c r="E65504"/>
      <c r="F65504"/>
    </row>
    <row r="65505" spans="1:6" x14ac:dyDescent="0.25">
      <c r="A65505"/>
      <c r="B65505"/>
      <c r="C65505"/>
      <c r="E65505"/>
      <c r="F65505"/>
    </row>
    <row r="65506" spans="1:6" x14ac:dyDescent="0.25">
      <c r="A65506"/>
      <c r="B65506"/>
      <c r="C65506"/>
      <c r="E65506"/>
      <c r="F65506"/>
    </row>
    <row r="65507" spans="1:6" x14ac:dyDescent="0.25">
      <c r="A65507"/>
      <c r="B65507"/>
      <c r="C65507"/>
      <c r="E65507"/>
      <c r="F65507"/>
    </row>
    <row r="65508" spans="1:6" x14ac:dyDescent="0.25">
      <c r="A65508"/>
      <c r="B65508"/>
      <c r="C65508"/>
      <c r="E65508"/>
      <c r="F65508"/>
    </row>
    <row r="65509" spans="1:6" x14ac:dyDescent="0.25">
      <c r="A65509"/>
      <c r="B65509"/>
      <c r="C65509"/>
      <c r="E65509"/>
      <c r="F65509"/>
    </row>
    <row r="65510" spans="1:6" x14ac:dyDescent="0.25">
      <c r="A65510"/>
      <c r="B65510"/>
      <c r="C65510"/>
      <c r="E65510"/>
      <c r="F65510"/>
    </row>
    <row r="65511" spans="1:6" x14ac:dyDescent="0.25">
      <c r="A65511"/>
      <c r="B65511"/>
      <c r="C65511"/>
      <c r="E65511"/>
      <c r="F65511"/>
    </row>
    <row r="65512" spans="1:6" x14ac:dyDescent="0.25">
      <c r="A65512"/>
      <c r="B65512"/>
      <c r="C65512"/>
      <c r="E65512"/>
      <c r="F65512"/>
    </row>
    <row r="65513" spans="1:6" x14ac:dyDescent="0.25">
      <c r="A65513"/>
      <c r="B65513"/>
      <c r="C65513"/>
      <c r="E65513"/>
      <c r="F65513"/>
    </row>
    <row r="65514" spans="1:6" x14ac:dyDescent="0.25">
      <c r="A65514"/>
      <c r="B65514"/>
      <c r="C65514"/>
      <c r="E65514"/>
      <c r="F65514"/>
    </row>
    <row r="65515" spans="1:6" x14ac:dyDescent="0.25">
      <c r="A65515"/>
      <c r="B65515"/>
      <c r="C65515"/>
      <c r="E65515"/>
      <c r="F65515"/>
    </row>
    <row r="65516" spans="1:6" x14ac:dyDescent="0.25">
      <c r="A65516"/>
      <c r="B65516"/>
      <c r="C65516"/>
      <c r="E65516"/>
      <c r="F65516"/>
    </row>
    <row r="65517" spans="1:6" x14ac:dyDescent="0.25">
      <c r="A65517"/>
      <c r="B65517"/>
      <c r="C65517"/>
      <c r="E65517"/>
      <c r="F65517"/>
    </row>
    <row r="65518" spans="1:6" x14ac:dyDescent="0.25">
      <c r="A65518"/>
      <c r="B65518"/>
      <c r="C65518"/>
      <c r="E65518"/>
      <c r="F65518"/>
    </row>
    <row r="65519" spans="1:6" x14ac:dyDescent="0.25">
      <c r="A65519"/>
      <c r="B65519"/>
      <c r="C65519"/>
      <c r="E65519"/>
      <c r="F65519"/>
    </row>
    <row r="65520" spans="1:6" x14ac:dyDescent="0.25">
      <c r="A65520"/>
      <c r="B65520"/>
      <c r="C65520"/>
      <c r="E65520"/>
      <c r="F65520"/>
    </row>
    <row r="65521" spans="1:6" x14ac:dyDescent="0.25">
      <c r="A65521"/>
      <c r="B65521"/>
      <c r="C65521"/>
      <c r="E65521"/>
      <c r="F65521"/>
    </row>
    <row r="65522" spans="1:6" x14ac:dyDescent="0.25">
      <c r="A65522"/>
      <c r="B65522"/>
      <c r="C65522"/>
      <c r="E65522"/>
      <c r="F65522"/>
    </row>
    <row r="65523" spans="1:6" x14ac:dyDescent="0.25">
      <c r="A65523"/>
      <c r="B65523"/>
      <c r="C65523"/>
      <c r="E65523"/>
      <c r="F65523"/>
    </row>
    <row r="65524" spans="1:6" x14ac:dyDescent="0.25">
      <c r="A65524"/>
      <c r="B65524"/>
      <c r="C65524"/>
      <c r="E65524"/>
      <c r="F65524"/>
    </row>
    <row r="65525" spans="1:6" x14ac:dyDescent="0.25">
      <c r="A65525"/>
      <c r="B65525"/>
      <c r="C65525"/>
      <c r="E65525"/>
      <c r="F65525"/>
    </row>
    <row r="65526" spans="1:6" x14ac:dyDescent="0.25">
      <c r="A65526"/>
      <c r="B65526"/>
      <c r="C65526"/>
      <c r="E65526"/>
      <c r="F65526"/>
    </row>
    <row r="65527" spans="1:6" x14ac:dyDescent="0.25">
      <c r="A65527"/>
      <c r="B65527"/>
      <c r="C65527"/>
      <c r="E65527"/>
      <c r="F65527"/>
    </row>
    <row r="65528" spans="1:6" x14ac:dyDescent="0.25">
      <c r="A65528"/>
      <c r="B65528"/>
      <c r="C65528"/>
      <c r="E65528"/>
      <c r="F65528"/>
    </row>
    <row r="65529" spans="1:6" x14ac:dyDescent="0.25">
      <c r="A65529"/>
      <c r="B65529"/>
      <c r="C65529"/>
      <c r="E65529"/>
      <c r="F65529"/>
    </row>
    <row r="65530" spans="1:6" x14ac:dyDescent="0.25">
      <c r="A65530"/>
      <c r="B65530"/>
      <c r="C65530"/>
      <c r="E65530"/>
      <c r="F65530"/>
    </row>
    <row r="65531" spans="1:6" x14ac:dyDescent="0.25">
      <c r="A65531"/>
      <c r="B65531"/>
      <c r="C65531"/>
      <c r="E65531"/>
      <c r="F65531"/>
    </row>
    <row r="65532" spans="1:6" x14ac:dyDescent="0.25">
      <c r="A65532"/>
      <c r="B65532"/>
      <c r="C65532"/>
      <c r="E65532"/>
      <c r="F65532"/>
    </row>
    <row r="65533" spans="1:6" x14ac:dyDescent="0.25">
      <c r="A65533"/>
      <c r="B65533"/>
      <c r="C65533"/>
      <c r="E65533"/>
      <c r="F65533"/>
    </row>
    <row r="65534" spans="1:6" x14ac:dyDescent="0.25">
      <c r="A65534"/>
      <c r="B65534"/>
      <c r="C65534"/>
      <c r="E65534"/>
      <c r="F65534"/>
    </row>
    <row r="65535" spans="1:6" x14ac:dyDescent="0.25">
      <c r="A65535"/>
      <c r="B65535"/>
      <c r="C65535"/>
      <c r="E65535"/>
      <c r="F65535"/>
    </row>
    <row r="65536" spans="1:6" x14ac:dyDescent="0.25">
      <c r="A65536"/>
      <c r="B65536"/>
      <c r="C65536"/>
      <c r="E65536"/>
      <c r="F65536"/>
    </row>
    <row r="65537" spans="1:6" x14ac:dyDescent="0.25">
      <c r="A65537"/>
      <c r="B65537"/>
      <c r="C65537"/>
      <c r="E65537"/>
      <c r="F65537"/>
    </row>
    <row r="65538" spans="1:6" x14ac:dyDescent="0.25">
      <c r="A65538"/>
      <c r="B65538"/>
      <c r="C65538"/>
      <c r="E65538"/>
      <c r="F65538"/>
    </row>
    <row r="65539" spans="1:6" x14ac:dyDescent="0.25">
      <c r="A65539"/>
      <c r="B65539"/>
      <c r="C65539"/>
      <c r="E65539"/>
      <c r="F65539"/>
    </row>
    <row r="65540" spans="1:6" x14ac:dyDescent="0.25">
      <c r="A65540"/>
      <c r="B65540"/>
      <c r="C65540"/>
      <c r="E65540"/>
      <c r="F65540"/>
    </row>
    <row r="65541" spans="1:6" x14ac:dyDescent="0.25">
      <c r="A65541"/>
      <c r="B65541"/>
      <c r="C65541"/>
      <c r="E65541"/>
      <c r="F65541"/>
    </row>
    <row r="65542" spans="1:6" x14ac:dyDescent="0.25">
      <c r="A65542"/>
      <c r="B65542"/>
      <c r="C65542"/>
      <c r="E65542"/>
      <c r="F65542"/>
    </row>
    <row r="65543" spans="1:6" x14ac:dyDescent="0.25">
      <c r="A65543"/>
      <c r="B65543"/>
      <c r="C65543"/>
      <c r="E65543"/>
      <c r="F65543"/>
    </row>
    <row r="65544" spans="1:6" x14ac:dyDescent="0.25">
      <c r="A65544"/>
      <c r="B65544"/>
      <c r="C65544"/>
      <c r="E65544"/>
      <c r="F65544"/>
    </row>
    <row r="65545" spans="1:6" x14ac:dyDescent="0.25">
      <c r="A65545"/>
      <c r="B65545"/>
      <c r="C65545"/>
      <c r="E65545"/>
      <c r="F65545"/>
    </row>
    <row r="65546" spans="1:6" x14ac:dyDescent="0.25">
      <c r="A65546"/>
      <c r="B65546"/>
      <c r="C65546"/>
      <c r="E65546"/>
      <c r="F65546"/>
    </row>
    <row r="65547" spans="1:6" x14ac:dyDescent="0.25">
      <c r="A65547"/>
      <c r="B65547"/>
      <c r="C65547"/>
      <c r="E65547"/>
      <c r="F65547"/>
    </row>
    <row r="65548" spans="1:6" x14ac:dyDescent="0.25">
      <c r="A65548"/>
      <c r="B65548"/>
      <c r="C65548"/>
      <c r="E65548"/>
      <c r="F65548"/>
    </row>
    <row r="65549" spans="1:6" x14ac:dyDescent="0.25">
      <c r="A65549"/>
      <c r="B65549"/>
      <c r="C65549"/>
      <c r="E65549"/>
      <c r="F65549"/>
    </row>
    <row r="65550" spans="1:6" x14ac:dyDescent="0.25">
      <c r="A65550"/>
      <c r="B65550"/>
      <c r="C65550"/>
      <c r="E65550"/>
      <c r="F65550"/>
    </row>
    <row r="65551" spans="1:6" x14ac:dyDescent="0.25">
      <c r="A65551"/>
      <c r="B65551"/>
      <c r="C65551"/>
      <c r="E65551"/>
      <c r="F65551"/>
    </row>
    <row r="65552" spans="1:6" x14ac:dyDescent="0.25">
      <c r="A65552"/>
      <c r="B65552"/>
      <c r="C65552"/>
      <c r="E65552"/>
      <c r="F65552"/>
    </row>
    <row r="65553" spans="1:6" x14ac:dyDescent="0.25">
      <c r="A65553"/>
      <c r="B65553"/>
      <c r="C65553"/>
      <c r="E65553"/>
      <c r="F65553"/>
    </row>
    <row r="65554" spans="1:6" x14ac:dyDescent="0.25">
      <c r="A65554"/>
      <c r="B65554"/>
      <c r="C65554"/>
      <c r="E65554"/>
      <c r="F65554"/>
    </row>
    <row r="65555" spans="1:6" x14ac:dyDescent="0.25">
      <c r="A65555"/>
      <c r="B65555"/>
      <c r="C65555"/>
      <c r="E65555"/>
      <c r="F65555"/>
    </row>
    <row r="65556" spans="1:6" x14ac:dyDescent="0.25">
      <c r="A65556"/>
      <c r="B65556"/>
      <c r="C65556"/>
      <c r="E65556"/>
      <c r="F65556"/>
    </row>
    <row r="65557" spans="1:6" x14ac:dyDescent="0.25">
      <c r="A65557"/>
      <c r="B65557"/>
      <c r="C65557"/>
      <c r="E65557"/>
      <c r="F65557"/>
    </row>
    <row r="65558" spans="1:6" x14ac:dyDescent="0.25">
      <c r="A65558"/>
      <c r="B65558"/>
      <c r="C65558"/>
      <c r="E65558"/>
      <c r="F65558"/>
    </row>
    <row r="65559" spans="1:6" x14ac:dyDescent="0.25">
      <c r="A65559"/>
      <c r="B65559"/>
      <c r="C65559"/>
      <c r="E65559"/>
      <c r="F65559"/>
    </row>
    <row r="65560" spans="1:6" x14ac:dyDescent="0.25">
      <c r="A65560"/>
      <c r="B65560"/>
      <c r="C65560"/>
      <c r="E65560"/>
      <c r="F65560"/>
    </row>
    <row r="65561" spans="1:6" x14ac:dyDescent="0.25">
      <c r="A65561"/>
      <c r="B65561"/>
      <c r="C65561"/>
      <c r="E65561"/>
      <c r="F65561"/>
    </row>
    <row r="65562" spans="1:6" x14ac:dyDescent="0.25">
      <c r="A65562"/>
      <c r="B65562"/>
      <c r="C65562"/>
      <c r="E65562"/>
      <c r="F65562"/>
    </row>
    <row r="65563" spans="1:6" x14ac:dyDescent="0.25">
      <c r="A65563"/>
      <c r="B65563"/>
      <c r="C65563"/>
      <c r="E65563"/>
      <c r="F65563"/>
    </row>
    <row r="65564" spans="1:6" x14ac:dyDescent="0.25">
      <c r="A65564"/>
      <c r="B65564"/>
      <c r="C65564"/>
      <c r="E65564"/>
      <c r="F65564"/>
    </row>
    <row r="65565" spans="1:6" x14ac:dyDescent="0.25">
      <c r="A65565"/>
      <c r="B65565"/>
      <c r="C65565"/>
      <c r="E65565"/>
      <c r="F65565"/>
    </row>
    <row r="65566" spans="1:6" x14ac:dyDescent="0.25">
      <c r="A65566"/>
      <c r="B65566"/>
      <c r="C65566"/>
      <c r="E65566"/>
      <c r="F65566"/>
    </row>
    <row r="65567" spans="1:6" x14ac:dyDescent="0.25">
      <c r="A65567"/>
      <c r="B65567"/>
      <c r="C65567"/>
      <c r="E65567"/>
      <c r="F65567"/>
    </row>
    <row r="65568" spans="1:6" x14ac:dyDescent="0.25">
      <c r="A65568"/>
      <c r="B65568"/>
      <c r="C65568"/>
      <c r="E65568"/>
      <c r="F65568"/>
    </row>
    <row r="65569" spans="1:6" x14ac:dyDescent="0.25">
      <c r="A65569"/>
      <c r="B65569"/>
      <c r="C65569"/>
      <c r="E65569"/>
      <c r="F65569"/>
    </row>
    <row r="65570" spans="1:6" x14ac:dyDescent="0.25">
      <c r="A65570"/>
      <c r="B65570"/>
      <c r="C65570"/>
      <c r="E65570"/>
      <c r="F65570"/>
    </row>
    <row r="65571" spans="1:6" x14ac:dyDescent="0.25">
      <c r="A65571"/>
      <c r="B65571"/>
      <c r="C65571"/>
      <c r="E65571"/>
      <c r="F65571"/>
    </row>
    <row r="65572" spans="1:6" x14ac:dyDescent="0.25">
      <c r="A65572"/>
      <c r="B65572"/>
      <c r="C65572"/>
      <c r="E65572"/>
      <c r="F65572"/>
    </row>
    <row r="65573" spans="1:6" x14ac:dyDescent="0.25">
      <c r="A65573"/>
      <c r="B65573"/>
      <c r="C65573"/>
      <c r="E65573"/>
      <c r="F65573"/>
    </row>
    <row r="65574" spans="1:6" x14ac:dyDescent="0.25">
      <c r="A65574"/>
      <c r="B65574"/>
      <c r="C65574"/>
      <c r="E65574"/>
      <c r="F65574"/>
    </row>
    <row r="65575" spans="1:6" x14ac:dyDescent="0.25">
      <c r="A65575"/>
      <c r="B65575"/>
      <c r="C65575"/>
      <c r="E65575"/>
      <c r="F65575"/>
    </row>
    <row r="65576" spans="1:6" x14ac:dyDescent="0.25">
      <c r="A65576"/>
      <c r="B65576"/>
      <c r="C65576"/>
      <c r="E65576"/>
      <c r="F65576"/>
    </row>
    <row r="65577" spans="1:6" x14ac:dyDescent="0.25">
      <c r="A65577"/>
      <c r="B65577"/>
      <c r="C65577"/>
      <c r="E65577"/>
      <c r="F65577"/>
    </row>
    <row r="65578" spans="1:6" x14ac:dyDescent="0.25">
      <c r="A65578"/>
      <c r="B65578"/>
      <c r="C65578"/>
      <c r="E65578"/>
      <c r="F65578"/>
    </row>
    <row r="65579" spans="1:6" x14ac:dyDescent="0.25">
      <c r="A65579"/>
      <c r="B65579"/>
      <c r="C65579"/>
      <c r="E65579"/>
      <c r="F65579"/>
    </row>
    <row r="65580" spans="1:6" x14ac:dyDescent="0.25">
      <c r="A65580"/>
      <c r="B65580"/>
      <c r="C65580"/>
      <c r="E65580"/>
      <c r="F65580"/>
    </row>
    <row r="65581" spans="1:6" x14ac:dyDescent="0.25">
      <c r="A65581"/>
      <c r="B65581"/>
      <c r="C65581"/>
      <c r="E65581"/>
      <c r="F65581"/>
    </row>
    <row r="65582" spans="1:6" x14ac:dyDescent="0.25">
      <c r="A65582"/>
      <c r="B65582"/>
      <c r="C65582"/>
      <c r="E65582"/>
      <c r="F65582"/>
    </row>
    <row r="65583" spans="1:6" x14ac:dyDescent="0.25">
      <c r="A65583"/>
      <c r="B65583"/>
      <c r="C65583"/>
      <c r="E65583"/>
      <c r="F65583"/>
    </row>
    <row r="65584" spans="1:6" x14ac:dyDescent="0.25">
      <c r="A65584"/>
      <c r="B65584"/>
      <c r="C65584"/>
      <c r="E65584"/>
      <c r="F65584"/>
    </row>
    <row r="65585" spans="1:6" x14ac:dyDescent="0.25">
      <c r="A65585"/>
      <c r="B65585"/>
      <c r="C65585"/>
      <c r="E65585"/>
      <c r="F65585"/>
    </row>
    <row r="65586" spans="1:6" x14ac:dyDescent="0.25">
      <c r="A65586"/>
      <c r="B65586"/>
      <c r="C65586"/>
      <c r="E65586"/>
      <c r="F65586"/>
    </row>
    <row r="65587" spans="1:6" x14ac:dyDescent="0.25">
      <c r="A65587"/>
      <c r="B65587"/>
      <c r="C65587"/>
      <c r="E65587"/>
      <c r="F65587"/>
    </row>
    <row r="65588" spans="1:6" x14ac:dyDescent="0.25">
      <c r="A65588"/>
      <c r="B65588"/>
      <c r="C65588"/>
      <c r="E65588"/>
      <c r="F65588"/>
    </row>
    <row r="65589" spans="1:6" x14ac:dyDescent="0.25">
      <c r="A65589"/>
      <c r="B65589"/>
      <c r="C65589"/>
      <c r="E65589"/>
      <c r="F65589"/>
    </row>
    <row r="65590" spans="1:6" x14ac:dyDescent="0.25">
      <c r="A65590"/>
      <c r="B65590"/>
      <c r="C65590"/>
      <c r="E65590"/>
      <c r="F65590"/>
    </row>
    <row r="65591" spans="1:6" x14ac:dyDescent="0.25">
      <c r="A65591"/>
      <c r="B65591"/>
      <c r="C65591"/>
      <c r="E65591"/>
      <c r="F65591"/>
    </row>
    <row r="65592" spans="1:6" x14ac:dyDescent="0.25">
      <c r="A65592"/>
      <c r="B65592"/>
      <c r="C65592"/>
      <c r="E65592"/>
      <c r="F65592"/>
    </row>
    <row r="65593" spans="1:6" x14ac:dyDescent="0.25">
      <c r="A65593"/>
      <c r="B65593"/>
      <c r="C65593"/>
      <c r="E65593"/>
      <c r="F65593"/>
    </row>
    <row r="65594" spans="1:6" x14ac:dyDescent="0.25">
      <c r="A65594"/>
      <c r="B65594"/>
      <c r="C65594"/>
      <c r="E65594"/>
      <c r="F65594"/>
    </row>
    <row r="65595" spans="1:6" x14ac:dyDescent="0.25">
      <c r="A65595"/>
      <c r="B65595"/>
      <c r="C65595"/>
      <c r="E65595"/>
      <c r="F65595"/>
    </row>
    <row r="65596" spans="1:6" x14ac:dyDescent="0.25">
      <c r="A65596"/>
      <c r="B65596"/>
      <c r="C65596"/>
      <c r="E65596"/>
      <c r="F65596"/>
    </row>
    <row r="65597" spans="1:6" x14ac:dyDescent="0.25">
      <c r="A65597"/>
      <c r="B65597"/>
      <c r="C65597"/>
      <c r="E65597"/>
      <c r="F65597"/>
    </row>
    <row r="65598" spans="1:6" x14ac:dyDescent="0.25">
      <c r="A65598"/>
      <c r="B65598"/>
      <c r="C65598"/>
      <c r="E65598"/>
      <c r="F65598"/>
    </row>
    <row r="65599" spans="1:6" x14ac:dyDescent="0.25">
      <c r="A65599"/>
      <c r="B65599"/>
      <c r="C65599"/>
      <c r="E65599"/>
      <c r="F65599"/>
    </row>
    <row r="65600" spans="1:6" x14ac:dyDescent="0.25">
      <c r="A65600"/>
      <c r="B65600"/>
      <c r="C65600"/>
      <c r="E65600"/>
      <c r="F65600"/>
    </row>
    <row r="65601" spans="1:6" x14ac:dyDescent="0.25">
      <c r="A65601"/>
      <c r="B65601"/>
      <c r="C65601"/>
      <c r="E65601"/>
      <c r="F65601"/>
    </row>
    <row r="65602" spans="1:6" x14ac:dyDescent="0.25">
      <c r="A65602"/>
      <c r="B65602"/>
      <c r="C65602"/>
      <c r="E65602"/>
      <c r="F65602"/>
    </row>
    <row r="65603" spans="1:6" x14ac:dyDescent="0.25">
      <c r="A65603"/>
      <c r="B65603"/>
      <c r="C65603"/>
      <c r="E65603"/>
      <c r="F65603"/>
    </row>
    <row r="65604" spans="1:6" x14ac:dyDescent="0.25">
      <c r="A65604"/>
      <c r="B65604"/>
      <c r="C65604"/>
      <c r="E65604"/>
      <c r="F65604"/>
    </row>
    <row r="65605" spans="1:6" x14ac:dyDescent="0.25">
      <c r="A65605"/>
      <c r="B65605"/>
      <c r="C65605"/>
      <c r="E65605"/>
      <c r="F65605"/>
    </row>
    <row r="65606" spans="1:6" x14ac:dyDescent="0.25">
      <c r="A65606"/>
      <c r="B65606"/>
      <c r="C65606"/>
      <c r="E65606"/>
      <c r="F65606"/>
    </row>
    <row r="65607" spans="1:6" x14ac:dyDescent="0.25">
      <c r="A65607"/>
      <c r="B65607"/>
      <c r="C65607"/>
      <c r="E65607"/>
      <c r="F65607"/>
    </row>
    <row r="65608" spans="1:6" x14ac:dyDescent="0.25">
      <c r="A65608"/>
      <c r="B65608"/>
      <c r="C65608"/>
      <c r="E65608"/>
      <c r="F65608"/>
    </row>
    <row r="65609" spans="1:6" x14ac:dyDescent="0.25">
      <c r="A65609"/>
      <c r="B65609"/>
      <c r="C65609"/>
      <c r="E65609"/>
      <c r="F65609"/>
    </row>
    <row r="65610" spans="1:6" x14ac:dyDescent="0.25">
      <c r="A65610"/>
      <c r="B65610"/>
      <c r="C65610"/>
      <c r="E65610"/>
      <c r="F65610"/>
    </row>
    <row r="65611" spans="1:6" x14ac:dyDescent="0.25">
      <c r="A65611"/>
      <c r="B65611"/>
      <c r="C65611"/>
      <c r="E65611"/>
      <c r="F65611"/>
    </row>
    <row r="65612" spans="1:6" x14ac:dyDescent="0.25">
      <c r="A65612"/>
      <c r="B65612"/>
      <c r="C65612"/>
      <c r="E65612"/>
      <c r="F65612"/>
    </row>
    <row r="65613" spans="1:6" x14ac:dyDescent="0.25">
      <c r="A65613"/>
      <c r="B65613"/>
      <c r="C65613"/>
      <c r="E65613"/>
      <c r="F65613"/>
    </row>
    <row r="65614" spans="1:6" x14ac:dyDescent="0.25">
      <c r="A65614"/>
      <c r="B65614"/>
      <c r="C65614"/>
      <c r="E65614"/>
      <c r="F65614"/>
    </row>
    <row r="65615" spans="1:6" x14ac:dyDescent="0.25">
      <c r="A65615"/>
      <c r="B65615"/>
      <c r="C65615"/>
      <c r="E65615"/>
      <c r="F65615"/>
    </row>
    <row r="65616" spans="1:6" x14ac:dyDescent="0.25">
      <c r="A65616"/>
      <c r="B65616"/>
      <c r="C65616"/>
      <c r="E65616"/>
      <c r="F65616"/>
    </row>
    <row r="65617" spans="1:6" x14ac:dyDescent="0.25">
      <c r="A65617"/>
      <c r="B65617"/>
      <c r="C65617"/>
      <c r="E65617"/>
      <c r="F65617"/>
    </row>
    <row r="65618" spans="1:6" x14ac:dyDescent="0.25">
      <c r="A65618"/>
      <c r="B65618"/>
      <c r="C65618"/>
      <c r="E65618"/>
      <c r="F65618"/>
    </row>
    <row r="65619" spans="1:6" x14ac:dyDescent="0.25">
      <c r="A65619"/>
      <c r="B65619"/>
      <c r="C65619"/>
      <c r="E65619"/>
      <c r="F65619"/>
    </row>
    <row r="65620" spans="1:6" x14ac:dyDescent="0.25">
      <c r="A65620"/>
      <c r="B65620"/>
      <c r="C65620"/>
      <c r="E65620"/>
      <c r="F65620"/>
    </row>
    <row r="65621" spans="1:6" x14ac:dyDescent="0.25">
      <c r="A65621"/>
      <c r="B65621"/>
      <c r="C65621"/>
      <c r="E65621"/>
      <c r="F65621"/>
    </row>
    <row r="65622" spans="1:6" x14ac:dyDescent="0.25">
      <c r="A65622"/>
      <c r="B65622"/>
      <c r="C65622"/>
      <c r="E65622"/>
      <c r="F65622"/>
    </row>
    <row r="65623" spans="1:6" x14ac:dyDescent="0.25">
      <c r="A65623"/>
      <c r="B65623"/>
      <c r="C65623"/>
      <c r="E65623"/>
      <c r="F65623"/>
    </row>
    <row r="65624" spans="1:6" x14ac:dyDescent="0.25">
      <c r="A65624"/>
      <c r="B65624"/>
      <c r="C65624"/>
      <c r="E65624"/>
      <c r="F65624"/>
    </row>
    <row r="65625" spans="1:6" x14ac:dyDescent="0.25">
      <c r="A65625"/>
      <c r="B65625"/>
      <c r="C65625"/>
      <c r="E65625"/>
      <c r="F65625"/>
    </row>
    <row r="65626" spans="1:6" x14ac:dyDescent="0.25">
      <c r="A65626"/>
      <c r="B65626"/>
      <c r="C65626"/>
      <c r="E65626"/>
      <c r="F65626"/>
    </row>
    <row r="65627" spans="1:6" x14ac:dyDescent="0.25">
      <c r="A65627"/>
      <c r="B65627"/>
      <c r="C65627"/>
      <c r="E65627"/>
      <c r="F65627"/>
    </row>
    <row r="65628" spans="1:6" x14ac:dyDescent="0.25">
      <c r="A65628"/>
      <c r="B65628"/>
      <c r="C65628"/>
      <c r="E65628"/>
      <c r="F65628"/>
    </row>
    <row r="65629" spans="1:6" x14ac:dyDescent="0.25">
      <c r="A65629"/>
      <c r="B65629"/>
      <c r="C65629"/>
      <c r="E65629"/>
      <c r="F65629"/>
    </row>
    <row r="65630" spans="1:6" x14ac:dyDescent="0.25">
      <c r="A65630"/>
      <c r="B65630"/>
      <c r="C65630"/>
      <c r="E65630"/>
      <c r="F65630"/>
    </row>
    <row r="65631" spans="1:6" x14ac:dyDescent="0.25">
      <c r="A65631"/>
      <c r="B65631"/>
      <c r="C65631"/>
      <c r="E65631"/>
      <c r="F65631"/>
    </row>
    <row r="65632" spans="1:6" x14ac:dyDescent="0.25">
      <c r="A65632"/>
      <c r="B65632"/>
      <c r="C65632"/>
      <c r="E65632"/>
      <c r="F65632"/>
    </row>
    <row r="65633" spans="1:6" x14ac:dyDescent="0.25">
      <c r="A65633"/>
      <c r="B65633"/>
      <c r="C65633"/>
      <c r="E65633"/>
      <c r="F65633"/>
    </row>
    <row r="65634" spans="1:6" x14ac:dyDescent="0.25">
      <c r="A65634"/>
      <c r="B65634"/>
      <c r="C65634"/>
      <c r="E65634"/>
      <c r="F65634"/>
    </row>
    <row r="65635" spans="1:6" x14ac:dyDescent="0.25">
      <c r="A65635"/>
      <c r="B65635"/>
      <c r="C65635"/>
      <c r="E65635"/>
      <c r="F65635"/>
    </row>
    <row r="65636" spans="1:6" x14ac:dyDescent="0.25">
      <c r="A65636"/>
      <c r="B65636"/>
      <c r="C65636"/>
      <c r="E65636"/>
      <c r="F65636"/>
    </row>
    <row r="65637" spans="1:6" x14ac:dyDescent="0.25">
      <c r="A65637"/>
      <c r="B65637"/>
      <c r="C65637"/>
      <c r="E65637"/>
      <c r="F65637"/>
    </row>
    <row r="65638" spans="1:6" x14ac:dyDescent="0.25">
      <c r="A65638"/>
      <c r="B65638"/>
      <c r="C65638"/>
      <c r="E65638"/>
      <c r="F65638"/>
    </row>
    <row r="65639" spans="1:6" x14ac:dyDescent="0.25">
      <c r="A65639"/>
      <c r="B65639"/>
      <c r="C65639"/>
      <c r="E65639"/>
      <c r="F65639"/>
    </row>
    <row r="65640" spans="1:6" x14ac:dyDescent="0.25">
      <c r="A65640"/>
      <c r="B65640"/>
      <c r="C65640"/>
      <c r="E65640"/>
      <c r="F65640"/>
    </row>
    <row r="65641" spans="1:6" x14ac:dyDescent="0.25">
      <c r="A65641"/>
      <c r="B65641"/>
      <c r="C65641"/>
      <c r="E65641"/>
      <c r="F65641"/>
    </row>
    <row r="65642" spans="1:6" x14ac:dyDescent="0.25">
      <c r="A65642"/>
      <c r="B65642"/>
      <c r="C65642"/>
      <c r="E65642"/>
      <c r="F65642"/>
    </row>
    <row r="65643" spans="1:6" x14ac:dyDescent="0.25">
      <c r="A65643"/>
      <c r="B65643"/>
      <c r="C65643"/>
      <c r="E65643"/>
      <c r="F65643"/>
    </row>
    <row r="65644" spans="1:6" x14ac:dyDescent="0.25">
      <c r="A65644"/>
      <c r="B65644"/>
      <c r="C65644"/>
      <c r="E65644"/>
      <c r="F65644"/>
    </row>
    <row r="65645" spans="1:6" x14ac:dyDescent="0.25">
      <c r="A65645"/>
      <c r="B65645"/>
      <c r="C65645"/>
      <c r="E65645"/>
      <c r="F65645"/>
    </row>
    <row r="65646" spans="1:6" x14ac:dyDescent="0.25">
      <c r="A65646"/>
      <c r="B65646"/>
      <c r="C65646"/>
      <c r="E65646"/>
      <c r="F65646"/>
    </row>
    <row r="65647" spans="1:6" x14ac:dyDescent="0.25">
      <c r="A65647"/>
      <c r="B65647"/>
      <c r="C65647"/>
      <c r="E65647"/>
      <c r="F65647"/>
    </row>
    <row r="65648" spans="1:6" x14ac:dyDescent="0.25">
      <c r="A65648"/>
      <c r="B65648"/>
      <c r="C65648"/>
      <c r="E65648"/>
      <c r="F65648"/>
    </row>
    <row r="65649" spans="1:6" x14ac:dyDescent="0.25">
      <c r="A65649"/>
      <c r="B65649"/>
      <c r="C65649"/>
      <c r="E65649"/>
      <c r="F65649"/>
    </row>
    <row r="65650" spans="1:6" x14ac:dyDescent="0.25">
      <c r="A65650"/>
      <c r="B65650"/>
      <c r="C65650"/>
      <c r="E65650"/>
      <c r="F65650"/>
    </row>
    <row r="65651" spans="1:6" x14ac:dyDescent="0.25">
      <c r="A65651"/>
      <c r="B65651"/>
      <c r="C65651"/>
      <c r="E65651"/>
      <c r="F65651"/>
    </row>
    <row r="65652" spans="1:6" x14ac:dyDescent="0.25">
      <c r="A65652"/>
      <c r="B65652"/>
      <c r="C65652"/>
      <c r="E65652"/>
      <c r="F65652"/>
    </row>
    <row r="65653" spans="1:6" x14ac:dyDescent="0.25">
      <c r="A65653"/>
      <c r="B65653"/>
      <c r="C65653"/>
      <c r="E65653"/>
      <c r="F65653"/>
    </row>
    <row r="65654" spans="1:6" x14ac:dyDescent="0.25">
      <c r="A65654"/>
      <c r="B65654"/>
      <c r="C65654"/>
      <c r="E65654"/>
      <c r="F65654"/>
    </row>
    <row r="65655" spans="1:6" x14ac:dyDescent="0.25">
      <c r="A65655"/>
      <c r="B65655"/>
      <c r="C65655"/>
      <c r="E65655"/>
      <c r="F65655"/>
    </row>
    <row r="65656" spans="1:6" x14ac:dyDescent="0.25">
      <c r="A65656"/>
      <c r="B65656"/>
      <c r="C65656"/>
      <c r="E65656"/>
      <c r="F65656"/>
    </row>
    <row r="65657" spans="1:6" x14ac:dyDescent="0.25">
      <c r="A65657"/>
      <c r="B65657"/>
      <c r="C65657"/>
      <c r="E65657"/>
      <c r="F65657"/>
    </row>
    <row r="65658" spans="1:6" x14ac:dyDescent="0.25">
      <c r="A65658"/>
      <c r="B65658"/>
      <c r="C65658"/>
      <c r="E65658"/>
      <c r="F65658"/>
    </row>
    <row r="65659" spans="1:6" x14ac:dyDescent="0.25">
      <c r="A65659"/>
      <c r="B65659"/>
      <c r="C65659"/>
      <c r="E65659"/>
      <c r="F65659"/>
    </row>
    <row r="65660" spans="1:6" x14ac:dyDescent="0.25">
      <c r="A65660"/>
      <c r="B65660"/>
      <c r="C65660"/>
      <c r="E65660"/>
      <c r="F65660"/>
    </row>
    <row r="65661" spans="1:6" x14ac:dyDescent="0.25">
      <c r="A65661"/>
      <c r="B65661"/>
      <c r="C65661"/>
      <c r="E65661"/>
      <c r="F65661"/>
    </row>
    <row r="65662" spans="1:6" x14ac:dyDescent="0.25">
      <c r="A65662"/>
      <c r="B65662"/>
      <c r="C65662"/>
      <c r="E65662"/>
      <c r="F65662"/>
    </row>
    <row r="65663" spans="1:6" x14ac:dyDescent="0.25">
      <c r="A65663"/>
      <c r="B65663"/>
      <c r="C65663"/>
      <c r="E65663"/>
      <c r="F65663"/>
    </row>
    <row r="65664" spans="1:6" x14ac:dyDescent="0.25">
      <c r="A65664"/>
      <c r="B65664"/>
      <c r="C65664"/>
      <c r="E65664"/>
      <c r="F65664"/>
    </row>
    <row r="65665" spans="1:6" x14ac:dyDescent="0.25">
      <c r="A65665"/>
      <c r="B65665"/>
      <c r="C65665"/>
      <c r="E65665"/>
      <c r="F65665"/>
    </row>
    <row r="65666" spans="1:6" x14ac:dyDescent="0.25">
      <c r="A65666"/>
      <c r="B65666"/>
      <c r="C65666"/>
      <c r="E65666"/>
      <c r="F65666"/>
    </row>
    <row r="65667" spans="1:6" x14ac:dyDescent="0.25">
      <c r="A65667"/>
      <c r="B65667"/>
      <c r="C65667"/>
      <c r="E65667"/>
      <c r="F65667"/>
    </row>
    <row r="65668" spans="1:6" x14ac:dyDescent="0.25">
      <c r="A65668"/>
      <c r="B65668"/>
      <c r="C65668"/>
      <c r="E65668"/>
      <c r="F65668"/>
    </row>
    <row r="65669" spans="1:6" x14ac:dyDescent="0.25">
      <c r="A65669"/>
      <c r="B65669"/>
      <c r="C65669"/>
      <c r="E65669"/>
      <c r="F65669"/>
    </row>
    <row r="65670" spans="1:6" x14ac:dyDescent="0.25">
      <c r="A65670"/>
      <c r="B65670"/>
      <c r="C65670"/>
      <c r="E65670"/>
      <c r="F65670"/>
    </row>
    <row r="65671" spans="1:6" x14ac:dyDescent="0.25">
      <c r="A65671"/>
      <c r="B65671"/>
      <c r="C65671"/>
      <c r="E65671"/>
      <c r="F65671"/>
    </row>
    <row r="65672" spans="1:6" x14ac:dyDescent="0.25">
      <c r="A65672"/>
      <c r="B65672"/>
      <c r="C65672"/>
      <c r="E65672"/>
      <c r="F65672"/>
    </row>
    <row r="65673" spans="1:6" x14ac:dyDescent="0.25">
      <c r="A65673"/>
      <c r="B65673"/>
      <c r="C65673"/>
      <c r="E65673"/>
      <c r="F65673"/>
    </row>
    <row r="65674" spans="1:6" x14ac:dyDescent="0.25">
      <c r="A65674"/>
      <c r="B65674"/>
      <c r="C65674"/>
      <c r="E65674"/>
      <c r="F65674"/>
    </row>
    <row r="65675" spans="1:6" x14ac:dyDescent="0.25">
      <c r="A65675"/>
      <c r="B65675"/>
      <c r="C65675"/>
      <c r="E65675"/>
      <c r="F65675"/>
    </row>
    <row r="65676" spans="1:6" x14ac:dyDescent="0.25">
      <c r="A65676"/>
      <c r="B65676"/>
      <c r="C65676"/>
      <c r="E65676"/>
      <c r="F65676"/>
    </row>
    <row r="65677" spans="1:6" x14ac:dyDescent="0.25">
      <c r="A65677"/>
      <c r="B65677"/>
      <c r="C65677"/>
      <c r="E65677"/>
      <c r="F65677"/>
    </row>
    <row r="65678" spans="1:6" x14ac:dyDescent="0.25">
      <c r="A65678"/>
      <c r="B65678"/>
      <c r="C65678"/>
      <c r="E65678"/>
      <c r="F65678"/>
    </row>
    <row r="65679" spans="1:6" x14ac:dyDescent="0.25">
      <c r="A65679"/>
      <c r="B65679"/>
      <c r="C65679"/>
      <c r="E65679"/>
      <c r="F65679"/>
    </row>
    <row r="65680" spans="1:6" x14ac:dyDescent="0.25">
      <c r="A65680"/>
      <c r="B65680"/>
      <c r="C65680"/>
      <c r="E65680"/>
      <c r="F65680"/>
    </row>
    <row r="65681" spans="1:6" x14ac:dyDescent="0.25">
      <c r="A65681"/>
      <c r="B65681"/>
      <c r="C65681"/>
      <c r="E65681"/>
      <c r="F65681"/>
    </row>
    <row r="65682" spans="1:6" x14ac:dyDescent="0.25">
      <c r="A65682"/>
      <c r="B65682"/>
      <c r="C65682"/>
      <c r="E65682"/>
      <c r="F65682"/>
    </row>
    <row r="65683" spans="1:6" x14ac:dyDescent="0.25">
      <c r="A65683"/>
      <c r="B65683"/>
      <c r="C65683"/>
      <c r="E65683"/>
      <c r="F65683"/>
    </row>
    <row r="65684" spans="1:6" x14ac:dyDescent="0.25">
      <c r="A65684"/>
      <c r="B65684"/>
      <c r="C65684"/>
      <c r="E65684"/>
      <c r="F65684"/>
    </row>
    <row r="65685" spans="1:6" x14ac:dyDescent="0.25">
      <c r="A65685"/>
      <c r="B65685"/>
      <c r="C65685"/>
      <c r="E65685"/>
      <c r="F65685"/>
    </row>
    <row r="65686" spans="1:6" x14ac:dyDescent="0.25">
      <c r="A65686"/>
      <c r="B65686"/>
      <c r="C65686"/>
      <c r="E65686"/>
      <c r="F65686"/>
    </row>
    <row r="65687" spans="1:6" x14ac:dyDescent="0.25">
      <c r="A65687"/>
      <c r="B65687"/>
      <c r="C65687"/>
      <c r="E65687"/>
      <c r="F65687"/>
    </row>
    <row r="65688" spans="1:6" x14ac:dyDescent="0.25">
      <c r="A65688"/>
      <c r="B65688"/>
      <c r="C65688"/>
      <c r="E65688"/>
      <c r="F65688"/>
    </row>
    <row r="65689" spans="1:6" x14ac:dyDescent="0.25">
      <c r="A65689"/>
      <c r="B65689"/>
      <c r="C65689"/>
      <c r="E65689"/>
      <c r="F65689"/>
    </row>
    <row r="65690" spans="1:6" x14ac:dyDescent="0.25">
      <c r="A65690"/>
      <c r="B65690"/>
      <c r="C65690"/>
      <c r="E65690"/>
      <c r="F65690"/>
    </row>
    <row r="65691" spans="1:6" x14ac:dyDescent="0.25">
      <c r="A65691"/>
      <c r="B65691"/>
      <c r="C65691"/>
      <c r="E65691"/>
      <c r="F65691"/>
    </row>
    <row r="65692" spans="1:6" x14ac:dyDescent="0.25">
      <c r="A65692"/>
      <c r="B65692"/>
      <c r="C65692"/>
      <c r="E65692"/>
      <c r="F65692"/>
    </row>
    <row r="65693" spans="1:6" x14ac:dyDescent="0.25">
      <c r="A65693"/>
      <c r="B65693"/>
      <c r="C65693"/>
      <c r="E65693"/>
      <c r="F65693"/>
    </row>
    <row r="65694" spans="1:6" x14ac:dyDescent="0.25">
      <c r="A65694"/>
      <c r="B65694"/>
      <c r="C65694"/>
      <c r="E65694"/>
      <c r="F65694"/>
    </row>
    <row r="65695" spans="1:6" x14ac:dyDescent="0.25">
      <c r="A65695"/>
      <c r="B65695"/>
      <c r="C65695"/>
      <c r="E65695"/>
      <c r="F65695"/>
    </row>
    <row r="65696" spans="1:6" x14ac:dyDescent="0.25">
      <c r="A65696"/>
      <c r="B65696"/>
      <c r="C65696"/>
      <c r="E65696"/>
      <c r="F65696"/>
    </row>
    <row r="65697" spans="1:6" x14ac:dyDescent="0.25">
      <c r="A65697"/>
      <c r="B65697"/>
      <c r="C65697"/>
      <c r="E65697"/>
      <c r="F65697"/>
    </row>
    <row r="65698" spans="1:6" x14ac:dyDescent="0.25">
      <c r="A65698"/>
      <c r="B65698"/>
      <c r="C65698"/>
      <c r="E65698"/>
      <c r="F65698"/>
    </row>
    <row r="65699" spans="1:6" x14ac:dyDescent="0.25">
      <c r="A65699"/>
      <c r="B65699"/>
      <c r="C65699"/>
      <c r="E65699"/>
      <c r="F65699"/>
    </row>
    <row r="65700" spans="1:6" x14ac:dyDescent="0.25">
      <c r="A65700"/>
      <c r="B65700"/>
      <c r="C65700"/>
      <c r="E65700"/>
      <c r="F65700"/>
    </row>
    <row r="65701" spans="1:6" x14ac:dyDescent="0.25">
      <c r="A65701"/>
      <c r="B65701"/>
      <c r="C65701"/>
      <c r="E65701"/>
      <c r="F65701"/>
    </row>
    <row r="65702" spans="1:6" x14ac:dyDescent="0.25">
      <c r="A65702"/>
      <c r="B65702"/>
      <c r="C65702"/>
      <c r="E65702"/>
      <c r="F65702"/>
    </row>
    <row r="65703" spans="1:6" x14ac:dyDescent="0.25">
      <c r="A65703"/>
      <c r="B65703"/>
      <c r="C65703"/>
      <c r="E65703"/>
      <c r="F65703"/>
    </row>
    <row r="65704" spans="1:6" x14ac:dyDescent="0.25">
      <c r="A65704"/>
      <c r="B65704"/>
      <c r="C65704"/>
      <c r="E65704"/>
      <c r="F65704"/>
    </row>
    <row r="65705" spans="1:6" x14ac:dyDescent="0.25">
      <c r="A65705"/>
      <c r="B65705"/>
      <c r="C65705"/>
      <c r="E65705"/>
      <c r="F65705"/>
    </row>
    <row r="65706" spans="1:6" x14ac:dyDescent="0.25">
      <c r="A65706"/>
      <c r="B65706"/>
      <c r="C65706"/>
      <c r="E65706"/>
      <c r="F65706"/>
    </row>
    <row r="65707" spans="1:6" x14ac:dyDescent="0.25">
      <c r="A65707"/>
      <c r="B65707"/>
      <c r="C65707"/>
      <c r="E65707"/>
      <c r="F65707"/>
    </row>
    <row r="65708" spans="1:6" x14ac:dyDescent="0.25">
      <c r="A65708"/>
      <c r="B65708"/>
      <c r="C65708"/>
      <c r="E65708"/>
      <c r="F65708"/>
    </row>
    <row r="65709" spans="1:6" x14ac:dyDescent="0.25">
      <c r="A65709"/>
      <c r="B65709"/>
      <c r="C65709"/>
      <c r="E65709"/>
      <c r="F65709"/>
    </row>
    <row r="65710" spans="1:6" x14ac:dyDescent="0.25">
      <c r="A65710"/>
      <c r="B65710"/>
      <c r="C65710"/>
      <c r="E65710"/>
      <c r="F65710"/>
    </row>
    <row r="65711" spans="1:6" x14ac:dyDescent="0.25">
      <c r="A65711"/>
      <c r="B65711"/>
      <c r="C65711"/>
      <c r="E65711"/>
      <c r="F65711"/>
    </row>
    <row r="65712" spans="1:6" x14ac:dyDescent="0.25">
      <c r="A65712"/>
      <c r="B65712"/>
      <c r="C65712"/>
      <c r="E65712"/>
      <c r="F65712"/>
    </row>
    <row r="65713" spans="1:6" x14ac:dyDescent="0.25">
      <c r="A65713"/>
      <c r="B65713"/>
      <c r="C65713"/>
      <c r="E65713"/>
      <c r="F65713"/>
    </row>
    <row r="65714" spans="1:6" x14ac:dyDescent="0.25">
      <c r="A65714"/>
      <c r="B65714"/>
      <c r="C65714"/>
      <c r="E65714"/>
      <c r="F65714"/>
    </row>
    <row r="65715" spans="1:6" x14ac:dyDescent="0.25">
      <c r="A65715"/>
      <c r="B65715"/>
      <c r="C65715"/>
      <c r="E65715"/>
      <c r="F65715"/>
    </row>
    <row r="65716" spans="1:6" x14ac:dyDescent="0.25">
      <c r="A65716"/>
      <c r="B65716"/>
      <c r="C65716"/>
      <c r="E65716"/>
      <c r="F65716"/>
    </row>
    <row r="65717" spans="1:6" x14ac:dyDescent="0.25">
      <c r="A65717"/>
      <c r="B65717"/>
      <c r="C65717"/>
      <c r="E65717"/>
      <c r="F65717"/>
    </row>
    <row r="65718" spans="1:6" x14ac:dyDescent="0.25">
      <c r="A65718"/>
      <c r="B65718"/>
      <c r="C65718"/>
      <c r="E65718"/>
      <c r="F65718"/>
    </row>
    <row r="65719" spans="1:6" x14ac:dyDescent="0.25">
      <c r="A65719"/>
      <c r="B65719"/>
      <c r="C65719"/>
      <c r="E65719"/>
      <c r="F65719"/>
    </row>
    <row r="65720" spans="1:6" x14ac:dyDescent="0.25">
      <c r="A65720"/>
      <c r="B65720"/>
      <c r="C65720"/>
      <c r="E65720"/>
      <c r="F65720"/>
    </row>
    <row r="65721" spans="1:6" x14ac:dyDescent="0.25">
      <c r="A65721"/>
      <c r="B65721"/>
      <c r="C65721"/>
      <c r="E65721"/>
      <c r="F65721"/>
    </row>
    <row r="65722" spans="1:6" x14ac:dyDescent="0.25">
      <c r="A65722"/>
      <c r="B65722"/>
      <c r="C65722"/>
      <c r="E65722"/>
      <c r="F65722"/>
    </row>
    <row r="65723" spans="1:6" x14ac:dyDescent="0.25">
      <c r="A65723"/>
      <c r="B65723"/>
      <c r="C65723"/>
      <c r="E65723"/>
      <c r="F65723"/>
    </row>
    <row r="65724" spans="1:6" x14ac:dyDescent="0.25">
      <c r="A65724"/>
      <c r="B65724"/>
      <c r="C65724"/>
      <c r="E65724"/>
      <c r="F65724"/>
    </row>
    <row r="65725" spans="1:6" x14ac:dyDescent="0.25">
      <c r="A65725"/>
      <c r="B65725"/>
      <c r="C65725"/>
      <c r="E65725"/>
      <c r="F65725"/>
    </row>
    <row r="65726" spans="1:6" x14ac:dyDescent="0.25">
      <c r="A65726"/>
      <c r="B65726"/>
      <c r="C65726"/>
      <c r="E65726"/>
      <c r="F65726"/>
    </row>
    <row r="65727" spans="1:6" x14ac:dyDescent="0.25">
      <c r="A65727"/>
      <c r="B65727"/>
      <c r="C65727"/>
      <c r="E65727"/>
      <c r="F65727"/>
    </row>
    <row r="65728" spans="1:6" x14ac:dyDescent="0.25">
      <c r="A65728"/>
      <c r="B65728"/>
      <c r="C65728"/>
      <c r="E65728"/>
      <c r="F65728"/>
    </row>
    <row r="65729" spans="1:6" x14ac:dyDescent="0.25">
      <c r="A65729"/>
      <c r="B65729"/>
      <c r="C65729"/>
      <c r="E65729"/>
      <c r="F65729"/>
    </row>
    <row r="65730" spans="1:6" x14ac:dyDescent="0.25">
      <c r="A65730"/>
      <c r="B65730"/>
      <c r="C65730"/>
      <c r="E65730"/>
      <c r="F65730"/>
    </row>
    <row r="65731" spans="1:6" x14ac:dyDescent="0.25">
      <c r="A65731"/>
      <c r="B65731"/>
      <c r="C65731"/>
      <c r="E65731"/>
      <c r="F65731"/>
    </row>
    <row r="65732" spans="1:6" x14ac:dyDescent="0.25">
      <c r="A65732"/>
      <c r="B65732"/>
      <c r="C65732"/>
      <c r="E65732"/>
      <c r="F65732"/>
    </row>
    <row r="65733" spans="1:6" x14ac:dyDescent="0.25">
      <c r="A65733"/>
      <c r="B65733"/>
      <c r="C65733"/>
      <c r="E65733"/>
      <c r="F65733"/>
    </row>
    <row r="65734" spans="1:6" x14ac:dyDescent="0.25">
      <c r="A65734"/>
      <c r="B65734"/>
      <c r="C65734"/>
      <c r="E65734"/>
      <c r="F65734"/>
    </row>
    <row r="65735" spans="1:6" x14ac:dyDescent="0.25">
      <c r="A65735"/>
      <c r="B65735"/>
      <c r="C65735"/>
      <c r="E65735"/>
      <c r="F65735"/>
    </row>
    <row r="65736" spans="1:6" x14ac:dyDescent="0.25">
      <c r="A65736"/>
      <c r="B65736"/>
      <c r="C65736"/>
      <c r="E65736"/>
      <c r="F65736"/>
    </row>
    <row r="65737" spans="1:6" x14ac:dyDescent="0.25">
      <c r="A65737"/>
      <c r="B65737"/>
      <c r="C65737"/>
      <c r="E65737"/>
      <c r="F65737"/>
    </row>
    <row r="65738" spans="1:6" x14ac:dyDescent="0.25">
      <c r="A65738"/>
      <c r="B65738"/>
      <c r="C65738"/>
      <c r="E65738"/>
      <c r="F65738"/>
    </row>
    <row r="65739" spans="1:6" x14ac:dyDescent="0.25">
      <c r="A65739"/>
      <c r="B65739"/>
      <c r="C65739"/>
      <c r="E65739"/>
      <c r="F65739"/>
    </row>
    <row r="65740" spans="1:6" x14ac:dyDescent="0.25">
      <c r="A65740"/>
      <c r="B65740"/>
      <c r="C65740"/>
      <c r="E65740"/>
      <c r="F65740"/>
    </row>
    <row r="65741" spans="1:6" x14ac:dyDescent="0.25">
      <c r="A65741"/>
      <c r="B65741"/>
      <c r="C65741"/>
      <c r="E65741"/>
      <c r="F65741"/>
    </row>
    <row r="65742" spans="1:6" x14ac:dyDescent="0.25">
      <c r="A65742"/>
      <c r="B65742"/>
      <c r="C65742"/>
      <c r="E65742"/>
      <c r="F65742"/>
    </row>
    <row r="65743" spans="1:6" x14ac:dyDescent="0.25">
      <c r="A65743"/>
      <c r="B65743"/>
      <c r="C65743"/>
      <c r="E65743"/>
      <c r="F65743"/>
    </row>
    <row r="65744" spans="1:6" x14ac:dyDescent="0.25">
      <c r="A65744"/>
      <c r="B65744"/>
      <c r="C65744"/>
      <c r="E65744"/>
      <c r="F65744"/>
    </row>
    <row r="65745" spans="1:6" x14ac:dyDescent="0.25">
      <c r="A65745"/>
      <c r="B65745"/>
      <c r="C65745"/>
      <c r="E65745"/>
      <c r="F65745"/>
    </row>
    <row r="65746" spans="1:6" x14ac:dyDescent="0.25">
      <c r="A65746"/>
      <c r="B65746"/>
      <c r="C65746"/>
      <c r="E65746"/>
      <c r="F65746"/>
    </row>
    <row r="65747" spans="1:6" x14ac:dyDescent="0.25">
      <c r="A65747"/>
      <c r="B65747"/>
      <c r="C65747"/>
      <c r="E65747"/>
      <c r="F65747"/>
    </row>
    <row r="65748" spans="1:6" x14ac:dyDescent="0.25">
      <c r="A65748"/>
      <c r="B65748"/>
      <c r="C65748"/>
      <c r="E65748"/>
      <c r="F65748"/>
    </row>
    <row r="65749" spans="1:6" x14ac:dyDescent="0.25">
      <c r="A65749"/>
      <c r="B65749"/>
      <c r="C65749"/>
      <c r="E65749"/>
      <c r="F65749"/>
    </row>
    <row r="65750" spans="1:6" x14ac:dyDescent="0.25">
      <c r="A65750"/>
      <c r="B65750"/>
      <c r="C65750"/>
      <c r="E65750"/>
      <c r="F65750"/>
    </row>
    <row r="65751" spans="1:6" x14ac:dyDescent="0.25">
      <c r="A65751"/>
      <c r="B65751"/>
      <c r="C65751"/>
      <c r="E65751"/>
      <c r="F65751"/>
    </row>
    <row r="65752" spans="1:6" x14ac:dyDescent="0.25">
      <c r="A65752"/>
      <c r="B65752"/>
      <c r="C65752"/>
      <c r="E65752"/>
      <c r="F65752"/>
    </row>
    <row r="65753" spans="1:6" x14ac:dyDescent="0.25">
      <c r="A65753"/>
      <c r="B65753"/>
      <c r="C65753"/>
      <c r="E65753"/>
      <c r="F65753"/>
    </row>
    <row r="65754" spans="1:6" x14ac:dyDescent="0.25">
      <c r="A65754"/>
      <c r="B65754"/>
      <c r="C65754"/>
      <c r="E65754"/>
      <c r="F65754"/>
    </row>
    <row r="65755" spans="1:6" x14ac:dyDescent="0.25">
      <c r="A65755"/>
      <c r="B65755"/>
      <c r="C65755"/>
      <c r="E65755"/>
      <c r="F65755"/>
    </row>
    <row r="65756" spans="1:6" x14ac:dyDescent="0.25">
      <c r="A65756"/>
      <c r="B65756"/>
      <c r="C65756"/>
      <c r="E65756"/>
      <c r="F65756"/>
    </row>
    <row r="65757" spans="1:6" x14ac:dyDescent="0.25">
      <c r="A65757"/>
      <c r="B65757"/>
      <c r="C65757"/>
      <c r="E65757"/>
      <c r="F65757"/>
    </row>
    <row r="65758" spans="1:6" x14ac:dyDescent="0.25">
      <c r="A65758"/>
      <c r="B65758"/>
      <c r="C65758"/>
      <c r="E65758"/>
      <c r="F65758"/>
    </row>
    <row r="65759" spans="1:6" x14ac:dyDescent="0.25">
      <c r="A65759"/>
      <c r="B65759"/>
      <c r="C65759"/>
      <c r="E65759"/>
      <c r="F65759"/>
    </row>
    <row r="65760" spans="1:6" x14ac:dyDescent="0.25">
      <c r="A65760"/>
      <c r="B65760"/>
      <c r="C65760"/>
      <c r="E65760"/>
      <c r="F65760"/>
    </row>
    <row r="65761" spans="1:6" x14ac:dyDescent="0.25">
      <c r="A65761"/>
      <c r="B65761"/>
      <c r="C65761"/>
      <c r="E65761"/>
      <c r="F65761"/>
    </row>
    <row r="65762" spans="1:6" x14ac:dyDescent="0.25">
      <c r="A65762"/>
      <c r="B65762"/>
      <c r="C65762"/>
      <c r="E65762"/>
      <c r="F65762"/>
    </row>
    <row r="65763" spans="1:6" x14ac:dyDescent="0.25">
      <c r="A65763"/>
      <c r="B65763"/>
      <c r="C65763"/>
      <c r="E65763"/>
      <c r="F65763"/>
    </row>
    <row r="65764" spans="1:6" x14ac:dyDescent="0.25">
      <c r="A65764"/>
      <c r="B65764"/>
      <c r="C65764"/>
      <c r="E65764"/>
      <c r="F65764"/>
    </row>
    <row r="65765" spans="1:6" x14ac:dyDescent="0.25">
      <c r="A65765"/>
      <c r="B65765"/>
      <c r="C65765"/>
      <c r="E65765"/>
      <c r="F65765"/>
    </row>
    <row r="65766" spans="1:6" x14ac:dyDescent="0.25">
      <c r="A65766"/>
      <c r="B65766"/>
      <c r="C65766"/>
      <c r="E65766"/>
      <c r="F65766"/>
    </row>
    <row r="65767" spans="1:6" x14ac:dyDescent="0.25">
      <c r="A65767"/>
      <c r="B65767"/>
      <c r="C65767"/>
      <c r="E65767"/>
      <c r="F65767"/>
    </row>
    <row r="65768" spans="1:6" x14ac:dyDescent="0.25">
      <c r="A65768"/>
      <c r="B65768"/>
      <c r="C65768"/>
      <c r="E65768"/>
      <c r="F65768"/>
    </row>
    <row r="65769" spans="1:6" x14ac:dyDescent="0.25">
      <c r="A65769"/>
      <c r="B65769"/>
      <c r="C65769"/>
      <c r="E65769"/>
      <c r="F65769"/>
    </row>
    <row r="65770" spans="1:6" x14ac:dyDescent="0.25">
      <c r="A65770"/>
      <c r="B65770"/>
      <c r="C65770"/>
      <c r="E65770"/>
      <c r="F65770"/>
    </row>
    <row r="65771" spans="1:6" x14ac:dyDescent="0.25">
      <c r="A65771"/>
      <c r="B65771"/>
      <c r="C65771"/>
      <c r="E65771"/>
      <c r="F65771"/>
    </row>
    <row r="65772" spans="1:6" x14ac:dyDescent="0.25">
      <c r="A65772"/>
      <c r="B65772"/>
      <c r="C65772"/>
      <c r="E65772"/>
      <c r="F65772"/>
    </row>
    <row r="65773" spans="1:6" x14ac:dyDescent="0.25">
      <c r="A65773"/>
      <c r="B65773"/>
      <c r="C65773"/>
      <c r="E65773"/>
      <c r="F65773"/>
    </row>
    <row r="65774" spans="1:6" x14ac:dyDescent="0.25">
      <c r="A65774"/>
      <c r="B65774"/>
      <c r="C65774"/>
      <c r="E65774"/>
      <c r="F65774"/>
    </row>
    <row r="65775" spans="1:6" x14ac:dyDescent="0.25">
      <c r="A65775"/>
      <c r="B65775"/>
      <c r="C65775"/>
      <c r="E65775"/>
      <c r="F65775"/>
    </row>
    <row r="65776" spans="1:6" x14ac:dyDescent="0.25">
      <c r="A65776"/>
      <c r="B65776"/>
      <c r="C65776"/>
      <c r="E65776"/>
      <c r="F65776"/>
    </row>
    <row r="65777" spans="1:6" x14ac:dyDescent="0.25">
      <c r="A65777"/>
      <c r="B65777"/>
      <c r="C65777"/>
      <c r="E65777"/>
      <c r="F65777"/>
    </row>
    <row r="65778" spans="1:6" x14ac:dyDescent="0.25">
      <c r="A65778"/>
      <c r="B65778"/>
      <c r="C65778"/>
      <c r="E65778"/>
      <c r="F65778"/>
    </row>
    <row r="65779" spans="1:6" x14ac:dyDescent="0.25">
      <c r="A65779"/>
      <c r="B65779"/>
      <c r="C65779"/>
      <c r="E65779"/>
      <c r="F65779"/>
    </row>
    <row r="65780" spans="1:6" x14ac:dyDescent="0.25">
      <c r="A65780"/>
      <c r="B65780"/>
      <c r="C65780"/>
      <c r="E65780"/>
      <c r="F65780"/>
    </row>
    <row r="65781" spans="1:6" x14ac:dyDescent="0.25">
      <c r="A65781"/>
      <c r="B65781"/>
      <c r="C65781"/>
      <c r="E65781"/>
      <c r="F65781"/>
    </row>
    <row r="65782" spans="1:6" x14ac:dyDescent="0.25">
      <c r="A65782"/>
      <c r="B65782"/>
      <c r="C65782"/>
      <c r="E65782"/>
      <c r="F65782"/>
    </row>
    <row r="65783" spans="1:6" x14ac:dyDescent="0.25">
      <c r="A65783"/>
      <c r="B65783"/>
      <c r="C65783"/>
      <c r="E65783"/>
      <c r="F65783"/>
    </row>
    <row r="65784" spans="1:6" x14ac:dyDescent="0.25">
      <c r="A65784"/>
      <c r="B65784"/>
      <c r="C65784"/>
      <c r="E65784"/>
      <c r="F65784"/>
    </row>
    <row r="65785" spans="1:6" x14ac:dyDescent="0.25">
      <c r="A65785"/>
      <c r="B65785"/>
      <c r="C65785"/>
      <c r="E65785"/>
      <c r="F65785"/>
    </row>
    <row r="65786" spans="1:6" x14ac:dyDescent="0.25">
      <c r="A65786"/>
      <c r="B65786"/>
      <c r="C65786"/>
      <c r="E65786"/>
      <c r="F65786"/>
    </row>
    <row r="65787" spans="1:6" x14ac:dyDescent="0.25">
      <c r="A65787"/>
      <c r="B65787"/>
      <c r="C65787"/>
      <c r="E65787"/>
      <c r="F65787"/>
    </row>
    <row r="65788" spans="1:6" x14ac:dyDescent="0.25">
      <c r="A65788"/>
      <c r="B65788"/>
      <c r="C65788"/>
      <c r="E65788"/>
      <c r="F65788"/>
    </row>
    <row r="65789" spans="1:6" x14ac:dyDescent="0.25">
      <c r="A65789"/>
      <c r="B65789"/>
      <c r="C65789"/>
      <c r="E65789"/>
      <c r="F65789"/>
    </row>
    <row r="65790" spans="1:6" x14ac:dyDescent="0.25">
      <c r="A65790"/>
      <c r="B65790"/>
      <c r="C65790"/>
      <c r="E65790"/>
      <c r="F65790"/>
    </row>
    <row r="65791" spans="1:6" x14ac:dyDescent="0.25">
      <c r="A65791"/>
      <c r="B65791"/>
      <c r="C65791"/>
      <c r="E65791"/>
      <c r="F65791"/>
    </row>
    <row r="65792" spans="1:6" x14ac:dyDescent="0.25">
      <c r="A65792"/>
      <c r="B65792"/>
      <c r="C65792"/>
      <c r="E65792"/>
      <c r="F65792"/>
    </row>
    <row r="65793" spans="1:6" x14ac:dyDescent="0.25">
      <c r="A65793"/>
      <c r="B65793"/>
      <c r="C65793"/>
      <c r="E65793"/>
      <c r="F65793"/>
    </row>
    <row r="65794" spans="1:6" x14ac:dyDescent="0.25">
      <c r="A65794"/>
      <c r="B65794"/>
      <c r="C65794"/>
      <c r="E65794"/>
      <c r="F65794"/>
    </row>
    <row r="65795" spans="1:6" x14ac:dyDescent="0.25">
      <c r="A65795"/>
      <c r="B65795"/>
      <c r="C65795"/>
      <c r="E65795"/>
      <c r="F65795"/>
    </row>
    <row r="65796" spans="1:6" x14ac:dyDescent="0.25">
      <c r="A65796"/>
      <c r="B65796"/>
      <c r="C65796"/>
      <c r="E65796"/>
      <c r="F65796"/>
    </row>
    <row r="65797" spans="1:6" x14ac:dyDescent="0.25">
      <c r="A65797"/>
      <c r="B65797"/>
      <c r="C65797"/>
      <c r="E65797"/>
      <c r="F65797"/>
    </row>
    <row r="65798" spans="1:6" x14ac:dyDescent="0.25">
      <c r="A65798"/>
      <c r="B65798"/>
      <c r="C65798"/>
      <c r="E65798"/>
      <c r="F65798"/>
    </row>
    <row r="65799" spans="1:6" x14ac:dyDescent="0.25">
      <c r="A65799"/>
      <c r="B65799"/>
      <c r="C65799"/>
      <c r="E65799"/>
      <c r="F65799"/>
    </row>
    <row r="65800" spans="1:6" x14ac:dyDescent="0.25">
      <c r="A65800"/>
      <c r="B65800"/>
      <c r="C65800"/>
      <c r="E65800"/>
      <c r="F65800"/>
    </row>
    <row r="65801" spans="1:6" x14ac:dyDescent="0.25">
      <c r="A65801"/>
      <c r="B65801"/>
      <c r="C65801"/>
      <c r="E65801"/>
      <c r="F65801"/>
    </row>
    <row r="65802" spans="1:6" x14ac:dyDescent="0.25">
      <c r="A65802"/>
      <c r="B65802"/>
      <c r="C65802"/>
      <c r="E65802"/>
      <c r="F65802"/>
    </row>
    <row r="65803" spans="1:6" x14ac:dyDescent="0.25">
      <c r="A65803"/>
      <c r="B65803"/>
      <c r="C65803"/>
      <c r="E65803"/>
      <c r="F65803"/>
    </row>
    <row r="65804" spans="1:6" x14ac:dyDescent="0.25">
      <c r="A65804"/>
      <c r="B65804"/>
      <c r="C65804"/>
      <c r="E65804"/>
      <c r="F65804"/>
    </row>
    <row r="65805" spans="1:6" x14ac:dyDescent="0.25">
      <c r="A65805"/>
      <c r="B65805"/>
      <c r="C65805"/>
      <c r="E65805"/>
      <c r="F65805"/>
    </row>
    <row r="65806" spans="1:6" x14ac:dyDescent="0.25">
      <c r="A65806"/>
      <c r="B65806"/>
      <c r="C65806"/>
      <c r="E65806"/>
      <c r="F65806"/>
    </row>
    <row r="65807" spans="1:6" x14ac:dyDescent="0.25">
      <c r="A65807"/>
      <c r="B65807"/>
      <c r="C65807"/>
      <c r="E65807"/>
      <c r="F65807"/>
    </row>
    <row r="65808" spans="1:6" x14ac:dyDescent="0.25">
      <c r="A65808"/>
      <c r="B65808"/>
      <c r="C65808"/>
      <c r="E65808"/>
      <c r="F65808"/>
    </row>
    <row r="65809" spans="1:6" x14ac:dyDescent="0.25">
      <c r="A65809"/>
      <c r="B65809"/>
      <c r="C65809"/>
      <c r="E65809"/>
      <c r="F65809"/>
    </row>
    <row r="65810" spans="1:6" x14ac:dyDescent="0.25">
      <c r="A65810"/>
      <c r="B65810"/>
      <c r="C65810"/>
      <c r="E65810"/>
      <c r="F65810"/>
    </row>
    <row r="65811" spans="1:6" x14ac:dyDescent="0.25">
      <c r="A65811"/>
      <c r="B65811"/>
      <c r="C65811"/>
      <c r="E65811"/>
      <c r="F65811"/>
    </row>
    <row r="65812" spans="1:6" x14ac:dyDescent="0.25">
      <c r="A65812"/>
      <c r="B65812"/>
      <c r="C65812"/>
      <c r="E65812"/>
      <c r="F65812"/>
    </row>
    <row r="65813" spans="1:6" x14ac:dyDescent="0.25">
      <c r="A65813"/>
      <c r="B65813"/>
      <c r="C65813"/>
      <c r="E65813"/>
      <c r="F65813"/>
    </row>
    <row r="65814" spans="1:6" x14ac:dyDescent="0.25">
      <c r="A65814"/>
      <c r="B65814"/>
      <c r="C65814"/>
      <c r="E65814"/>
      <c r="F65814"/>
    </row>
    <row r="65815" spans="1:6" x14ac:dyDescent="0.25">
      <c r="A65815"/>
      <c r="B65815"/>
      <c r="C65815"/>
      <c r="E65815"/>
      <c r="F65815"/>
    </row>
    <row r="65816" spans="1:6" x14ac:dyDescent="0.25">
      <c r="A65816"/>
      <c r="B65816"/>
      <c r="C65816"/>
      <c r="E65816"/>
      <c r="F65816"/>
    </row>
    <row r="65817" spans="1:6" x14ac:dyDescent="0.25">
      <c r="A65817"/>
      <c r="B65817"/>
      <c r="C65817"/>
      <c r="E65817"/>
      <c r="F65817"/>
    </row>
    <row r="65818" spans="1:6" x14ac:dyDescent="0.25">
      <c r="A65818"/>
      <c r="B65818"/>
      <c r="C65818"/>
      <c r="E65818"/>
      <c r="F65818"/>
    </row>
    <row r="65819" spans="1:6" x14ac:dyDescent="0.25">
      <c r="A65819"/>
      <c r="B65819"/>
      <c r="C65819"/>
      <c r="E65819"/>
      <c r="F65819"/>
    </row>
    <row r="65820" spans="1:6" x14ac:dyDescent="0.25">
      <c r="A65820"/>
      <c r="B65820"/>
      <c r="C65820"/>
      <c r="E65820"/>
      <c r="F65820"/>
    </row>
    <row r="65821" spans="1:6" x14ac:dyDescent="0.25">
      <c r="A65821"/>
      <c r="B65821"/>
      <c r="C65821"/>
      <c r="E65821"/>
      <c r="F65821"/>
    </row>
    <row r="65822" spans="1:6" x14ac:dyDescent="0.25">
      <c r="A65822"/>
      <c r="B65822"/>
      <c r="C65822"/>
      <c r="E65822"/>
      <c r="F65822"/>
    </row>
    <row r="65823" spans="1:6" x14ac:dyDescent="0.25">
      <c r="A65823"/>
      <c r="B65823"/>
      <c r="C65823"/>
      <c r="E65823"/>
      <c r="F65823"/>
    </row>
    <row r="65824" spans="1:6" x14ac:dyDescent="0.25">
      <c r="A65824"/>
      <c r="B65824"/>
      <c r="C65824"/>
      <c r="E65824"/>
      <c r="F65824"/>
    </row>
    <row r="65825" spans="1:6" x14ac:dyDescent="0.25">
      <c r="A65825"/>
      <c r="B65825"/>
      <c r="C65825"/>
      <c r="E65825"/>
      <c r="F65825"/>
    </row>
    <row r="65826" spans="1:6" x14ac:dyDescent="0.25">
      <c r="A65826"/>
      <c r="B65826"/>
      <c r="C65826"/>
      <c r="E65826"/>
      <c r="F65826"/>
    </row>
    <row r="65827" spans="1:6" x14ac:dyDescent="0.25">
      <c r="A65827"/>
      <c r="B65827"/>
      <c r="C65827"/>
      <c r="E65827"/>
      <c r="F65827"/>
    </row>
    <row r="65828" spans="1:6" x14ac:dyDescent="0.25">
      <c r="A65828"/>
      <c r="B65828"/>
      <c r="C65828"/>
      <c r="E65828"/>
      <c r="F65828"/>
    </row>
    <row r="65829" spans="1:6" x14ac:dyDescent="0.25">
      <c r="A65829"/>
      <c r="B65829"/>
      <c r="C65829"/>
      <c r="E65829"/>
      <c r="F65829"/>
    </row>
    <row r="65830" spans="1:6" x14ac:dyDescent="0.25">
      <c r="A65830"/>
      <c r="B65830"/>
      <c r="C65830"/>
      <c r="E65830"/>
      <c r="F65830"/>
    </row>
    <row r="65831" spans="1:6" x14ac:dyDescent="0.25">
      <c r="A65831"/>
      <c r="B65831"/>
      <c r="C65831"/>
      <c r="E65831"/>
      <c r="F65831"/>
    </row>
    <row r="65832" spans="1:6" x14ac:dyDescent="0.25">
      <c r="A65832"/>
      <c r="B65832"/>
      <c r="C65832"/>
      <c r="E65832"/>
      <c r="F65832"/>
    </row>
    <row r="65833" spans="1:6" x14ac:dyDescent="0.25">
      <c r="A65833"/>
      <c r="B65833"/>
      <c r="C65833"/>
      <c r="E65833"/>
      <c r="F65833"/>
    </row>
    <row r="65834" spans="1:6" x14ac:dyDescent="0.25">
      <c r="A65834"/>
      <c r="B65834"/>
      <c r="C65834"/>
      <c r="E65834"/>
      <c r="F65834"/>
    </row>
    <row r="65835" spans="1:6" x14ac:dyDescent="0.25">
      <c r="A65835"/>
      <c r="B65835"/>
      <c r="C65835"/>
      <c r="E65835"/>
      <c r="F65835"/>
    </row>
    <row r="65836" spans="1:6" x14ac:dyDescent="0.25">
      <c r="A65836"/>
      <c r="B65836"/>
      <c r="C65836"/>
      <c r="E65836"/>
      <c r="F65836"/>
    </row>
    <row r="65837" spans="1:6" x14ac:dyDescent="0.25">
      <c r="A65837"/>
      <c r="B65837"/>
      <c r="C65837"/>
      <c r="E65837"/>
      <c r="F65837"/>
    </row>
    <row r="65838" spans="1:6" x14ac:dyDescent="0.25">
      <c r="A65838"/>
      <c r="B65838"/>
      <c r="C65838"/>
      <c r="E65838"/>
      <c r="F65838"/>
    </row>
    <row r="65839" spans="1:6" x14ac:dyDescent="0.25">
      <c r="A65839"/>
      <c r="B65839"/>
      <c r="C65839"/>
      <c r="E65839"/>
      <c r="F65839"/>
    </row>
    <row r="65840" spans="1:6" x14ac:dyDescent="0.25">
      <c r="A65840"/>
      <c r="B65840"/>
      <c r="C65840"/>
      <c r="E65840"/>
      <c r="F65840"/>
    </row>
    <row r="65841" spans="1:6" x14ac:dyDescent="0.25">
      <c r="A65841"/>
      <c r="B65841"/>
      <c r="C65841"/>
      <c r="E65841"/>
      <c r="F65841"/>
    </row>
    <row r="65842" spans="1:6" x14ac:dyDescent="0.25">
      <c r="A65842"/>
      <c r="B65842"/>
      <c r="C65842"/>
      <c r="E65842"/>
      <c r="F65842"/>
    </row>
    <row r="65843" spans="1:6" x14ac:dyDescent="0.25">
      <c r="A65843"/>
      <c r="B65843"/>
      <c r="C65843"/>
      <c r="E65843"/>
      <c r="F65843"/>
    </row>
    <row r="65844" spans="1:6" x14ac:dyDescent="0.25">
      <c r="A65844"/>
      <c r="B65844"/>
      <c r="C65844"/>
      <c r="E65844"/>
      <c r="F65844"/>
    </row>
    <row r="65845" spans="1:6" x14ac:dyDescent="0.25">
      <c r="A65845"/>
      <c r="B65845"/>
      <c r="C65845"/>
      <c r="E65845"/>
      <c r="F65845"/>
    </row>
    <row r="65846" spans="1:6" x14ac:dyDescent="0.25">
      <c r="A65846"/>
      <c r="B65846"/>
      <c r="C65846"/>
      <c r="E65846"/>
      <c r="F65846"/>
    </row>
    <row r="65847" spans="1:6" x14ac:dyDescent="0.25">
      <c r="A65847"/>
      <c r="B65847"/>
      <c r="C65847"/>
      <c r="E65847"/>
      <c r="F65847"/>
    </row>
    <row r="65848" spans="1:6" x14ac:dyDescent="0.25">
      <c r="A65848"/>
      <c r="B65848"/>
      <c r="C65848"/>
      <c r="E65848"/>
      <c r="F65848"/>
    </row>
    <row r="65849" spans="1:6" x14ac:dyDescent="0.25">
      <c r="A65849"/>
      <c r="B65849"/>
      <c r="C65849"/>
      <c r="E65849"/>
      <c r="F65849"/>
    </row>
    <row r="65850" spans="1:6" x14ac:dyDescent="0.25">
      <c r="A65850"/>
      <c r="B65850"/>
      <c r="C65850"/>
      <c r="E65850"/>
      <c r="F65850"/>
    </row>
    <row r="65851" spans="1:6" x14ac:dyDescent="0.25">
      <c r="A65851"/>
      <c r="B65851"/>
      <c r="C65851"/>
      <c r="E65851"/>
      <c r="F65851"/>
    </row>
    <row r="65852" spans="1:6" x14ac:dyDescent="0.25">
      <c r="A65852"/>
      <c r="B65852"/>
      <c r="C65852"/>
      <c r="E65852"/>
      <c r="F65852"/>
    </row>
    <row r="65853" spans="1:6" x14ac:dyDescent="0.25">
      <c r="A65853"/>
      <c r="B65853"/>
      <c r="C65853"/>
      <c r="E65853"/>
      <c r="F65853"/>
    </row>
    <row r="65854" spans="1:6" x14ac:dyDescent="0.25">
      <c r="A65854"/>
      <c r="B65854"/>
      <c r="C65854"/>
      <c r="E65854"/>
      <c r="F65854"/>
    </row>
    <row r="65855" spans="1:6" x14ac:dyDescent="0.25">
      <c r="A65855"/>
      <c r="B65855"/>
      <c r="C65855"/>
      <c r="E65855"/>
      <c r="F65855"/>
    </row>
    <row r="65856" spans="1:6" x14ac:dyDescent="0.25">
      <c r="A65856"/>
      <c r="B65856"/>
      <c r="C65856"/>
      <c r="E65856"/>
      <c r="F65856"/>
    </row>
    <row r="65857" spans="1:6" x14ac:dyDescent="0.25">
      <c r="A65857"/>
      <c r="B65857"/>
      <c r="C65857"/>
      <c r="E65857"/>
      <c r="F65857"/>
    </row>
    <row r="65858" spans="1:6" x14ac:dyDescent="0.25">
      <c r="A65858"/>
      <c r="B65858"/>
      <c r="C65858"/>
      <c r="E65858"/>
      <c r="F65858"/>
    </row>
    <row r="65859" spans="1:6" x14ac:dyDescent="0.25">
      <c r="A65859"/>
      <c r="B65859"/>
      <c r="C65859"/>
      <c r="E65859"/>
      <c r="F65859"/>
    </row>
    <row r="65860" spans="1:6" x14ac:dyDescent="0.25">
      <c r="A65860"/>
      <c r="B65860"/>
      <c r="C65860"/>
      <c r="E65860"/>
      <c r="F65860"/>
    </row>
    <row r="65861" spans="1:6" x14ac:dyDescent="0.25">
      <c r="A65861"/>
      <c r="B65861"/>
      <c r="C65861"/>
      <c r="E65861"/>
      <c r="F65861"/>
    </row>
    <row r="65862" spans="1:6" x14ac:dyDescent="0.25">
      <c r="A65862"/>
      <c r="B65862"/>
      <c r="C65862"/>
      <c r="E65862"/>
      <c r="F65862"/>
    </row>
    <row r="65863" spans="1:6" x14ac:dyDescent="0.25">
      <c r="A65863"/>
      <c r="B65863"/>
      <c r="C65863"/>
      <c r="E65863"/>
      <c r="F65863"/>
    </row>
    <row r="65864" spans="1:6" x14ac:dyDescent="0.25">
      <c r="A65864"/>
      <c r="B65864"/>
      <c r="C65864"/>
      <c r="E65864"/>
      <c r="F65864"/>
    </row>
    <row r="65865" spans="1:6" x14ac:dyDescent="0.25">
      <c r="A65865"/>
      <c r="B65865"/>
      <c r="C65865"/>
      <c r="E65865"/>
      <c r="F65865"/>
    </row>
    <row r="65866" spans="1:6" x14ac:dyDescent="0.25">
      <c r="A65866"/>
      <c r="B65866"/>
      <c r="C65866"/>
      <c r="E65866"/>
      <c r="F65866"/>
    </row>
    <row r="65867" spans="1:6" x14ac:dyDescent="0.25">
      <c r="A65867"/>
      <c r="B65867"/>
      <c r="C65867"/>
      <c r="E65867"/>
      <c r="F65867"/>
    </row>
    <row r="65868" spans="1:6" x14ac:dyDescent="0.25">
      <c r="A65868"/>
      <c r="B65868"/>
      <c r="C65868"/>
      <c r="E65868"/>
      <c r="F65868"/>
    </row>
    <row r="65869" spans="1:6" x14ac:dyDescent="0.25">
      <c r="A65869"/>
      <c r="B65869"/>
      <c r="C65869"/>
      <c r="E65869"/>
      <c r="F65869"/>
    </row>
    <row r="65870" spans="1:6" x14ac:dyDescent="0.25">
      <c r="A65870"/>
      <c r="B65870"/>
      <c r="C65870"/>
      <c r="E65870"/>
      <c r="F65870"/>
    </row>
    <row r="65871" spans="1:6" x14ac:dyDescent="0.25">
      <c r="A65871"/>
      <c r="B65871"/>
      <c r="C65871"/>
      <c r="E65871"/>
      <c r="F65871"/>
    </row>
    <row r="65872" spans="1:6" x14ac:dyDescent="0.25">
      <c r="A65872"/>
      <c r="B65872"/>
      <c r="C65872"/>
      <c r="E65872"/>
      <c r="F65872"/>
    </row>
    <row r="65873" spans="1:6" x14ac:dyDescent="0.25">
      <c r="A65873"/>
      <c r="B65873"/>
      <c r="C65873"/>
      <c r="E65873"/>
      <c r="F65873"/>
    </row>
    <row r="65874" spans="1:6" x14ac:dyDescent="0.25">
      <c r="A65874"/>
      <c r="B65874"/>
      <c r="C65874"/>
      <c r="E65874"/>
      <c r="F65874"/>
    </row>
    <row r="65875" spans="1:6" x14ac:dyDescent="0.25">
      <c r="A65875"/>
      <c r="B65875"/>
      <c r="C65875"/>
      <c r="E65875"/>
      <c r="F65875"/>
    </row>
    <row r="65876" spans="1:6" x14ac:dyDescent="0.25">
      <c r="A65876"/>
      <c r="B65876"/>
      <c r="C65876"/>
      <c r="E65876"/>
      <c r="F65876"/>
    </row>
    <row r="65877" spans="1:6" x14ac:dyDescent="0.25">
      <c r="A65877"/>
      <c r="B65877"/>
      <c r="C65877"/>
      <c r="E65877"/>
      <c r="F65877"/>
    </row>
    <row r="65878" spans="1:6" x14ac:dyDescent="0.25">
      <c r="A65878"/>
      <c r="B65878"/>
      <c r="C65878"/>
      <c r="E65878"/>
      <c r="F65878"/>
    </row>
    <row r="65879" spans="1:6" x14ac:dyDescent="0.25">
      <c r="A65879"/>
      <c r="B65879"/>
      <c r="C65879"/>
      <c r="E65879"/>
      <c r="F65879"/>
    </row>
    <row r="65880" spans="1:6" x14ac:dyDescent="0.25">
      <c r="A65880"/>
      <c r="B65880"/>
      <c r="C65880"/>
      <c r="E65880"/>
      <c r="F65880"/>
    </row>
    <row r="65881" spans="1:6" x14ac:dyDescent="0.25">
      <c r="A65881"/>
      <c r="B65881"/>
      <c r="C65881"/>
      <c r="E65881"/>
      <c r="F65881"/>
    </row>
    <row r="65882" spans="1:6" x14ac:dyDescent="0.25">
      <c r="A65882"/>
      <c r="B65882"/>
      <c r="C65882"/>
      <c r="E65882"/>
      <c r="F65882"/>
    </row>
    <row r="65883" spans="1:6" x14ac:dyDescent="0.25">
      <c r="A65883"/>
      <c r="B65883"/>
      <c r="C65883"/>
      <c r="E65883"/>
      <c r="F65883"/>
    </row>
    <row r="65884" spans="1:6" x14ac:dyDescent="0.25">
      <c r="A65884"/>
      <c r="B65884"/>
      <c r="C65884"/>
      <c r="E65884"/>
      <c r="F65884"/>
    </row>
    <row r="65885" spans="1:6" x14ac:dyDescent="0.25">
      <c r="A65885"/>
      <c r="B65885"/>
      <c r="C65885"/>
      <c r="E65885"/>
      <c r="F65885"/>
    </row>
    <row r="65886" spans="1:6" x14ac:dyDescent="0.25">
      <c r="A65886"/>
      <c r="B65886"/>
      <c r="C65886"/>
      <c r="E65886"/>
      <c r="F65886"/>
    </row>
    <row r="65887" spans="1:6" x14ac:dyDescent="0.25">
      <c r="A65887"/>
      <c r="B65887"/>
      <c r="C65887"/>
      <c r="E65887"/>
      <c r="F65887"/>
    </row>
    <row r="65888" spans="1:6" x14ac:dyDescent="0.25">
      <c r="A65888"/>
      <c r="B65888"/>
      <c r="C65888"/>
      <c r="E65888"/>
      <c r="F65888"/>
    </row>
    <row r="65889" spans="1:6" x14ac:dyDescent="0.25">
      <c r="A65889"/>
      <c r="B65889"/>
      <c r="C65889"/>
      <c r="E65889"/>
      <c r="F65889"/>
    </row>
    <row r="65890" spans="1:6" x14ac:dyDescent="0.25">
      <c r="A65890"/>
      <c r="B65890"/>
      <c r="C65890"/>
      <c r="E65890"/>
      <c r="F65890"/>
    </row>
    <row r="65891" spans="1:6" x14ac:dyDescent="0.25">
      <c r="A65891"/>
      <c r="B65891"/>
      <c r="C65891"/>
      <c r="E65891"/>
      <c r="F65891"/>
    </row>
    <row r="65892" spans="1:6" x14ac:dyDescent="0.25">
      <c r="A65892"/>
      <c r="B65892"/>
      <c r="C65892"/>
      <c r="E65892"/>
      <c r="F65892"/>
    </row>
    <row r="65893" spans="1:6" x14ac:dyDescent="0.25">
      <c r="A65893"/>
      <c r="B65893"/>
      <c r="C65893"/>
      <c r="E65893"/>
      <c r="F65893"/>
    </row>
    <row r="65894" spans="1:6" x14ac:dyDescent="0.25">
      <c r="A65894"/>
      <c r="B65894"/>
      <c r="C65894"/>
      <c r="E65894"/>
      <c r="F65894"/>
    </row>
    <row r="65895" spans="1:6" x14ac:dyDescent="0.25">
      <c r="A65895"/>
      <c r="B65895"/>
      <c r="C65895"/>
      <c r="E65895"/>
      <c r="F65895"/>
    </row>
    <row r="65896" spans="1:6" x14ac:dyDescent="0.25">
      <c r="A65896"/>
      <c r="B65896"/>
      <c r="C65896"/>
      <c r="E65896"/>
      <c r="F65896"/>
    </row>
    <row r="65897" spans="1:6" x14ac:dyDescent="0.25">
      <c r="A65897"/>
      <c r="B65897"/>
      <c r="C65897"/>
      <c r="E65897"/>
      <c r="F65897"/>
    </row>
    <row r="65898" spans="1:6" x14ac:dyDescent="0.25">
      <c r="A65898"/>
      <c r="B65898"/>
      <c r="C65898"/>
      <c r="E65898"/>
      <c r="F65898"/>
    </row>
    <row r="65899" spans="1:6" x14ac:dyDescent="0.25">
      <c r="A65899"/>
      <c r="B65899"/>
      <c r="C65899"/>
      <c r="E65899"/>
      <c r="F65899"/>
    </row>
    <row r="65900" spans="1:6" x14ac:dyDescent="0.25">
      <c r="A65900"/>
      <c r="B65900"/>
      <c r="C65900"/>
      <c r="E65900"/>
      <c r="F65900"/>
    </row>
    <row r="65901" spans="1:6" x14ac:dyDescent="0.25">
      <c r="A65901"/>
      <c r="B65901"/>
      <c r="C65901"/>
      <c r="E65901"/>
      <c r="F65901"/>
    </row>
    <row r="65902" spans="1:6" x14ac:dyDescent="0.25">
      <c r="A65902"/>
      <c r="B65902"/>
      <c r="C65902"/>
      <c r="E65902"/>
      <c r="F65902"/>
    </row>
    <row r="65903" spans="1:6" x14ac:dyDescent="0.25">
      <c r="A65903"/>
      <c r="B65903"/>
      <c r="C65903"/>
      <c r="E65903"/>
      <c r="F65903"/>
    </row>
    <row r="65904" spans="1:6" x14ac:dyDescent="0.25">
      <c r="A65904"/>
      <c r="B65904"/>
      <c r="C65904"/>
      <c r="E65904"/>
      <c r="F65904"/>
    </row>
    <row r="65905" spans="1:6" x14ac:dyDescent="0.25">
      <c r="A65905"/>
      <c r="B65905"/>
      <c r="C65905"/>
      <c r="E65905"/>
      <c r="F65905"/>
    </row>
    <row r="65906" spans="1:6" x14ac:dyDescent="0.25">
      <c r="A65906"/>
      <c r="B65906"/>
      <c r="C65906"/>
      <c r="E65906"/>
      <c r="F65906"/>
    </row>
    <row r="65907" spans="1:6" x14ac:dyDescent="0.25">
      <c r="A65907"/>
      <c r="B65907"/>
      <c r="C65907"/>
      <c r="E65907"/>
      <c r="F65907"/>
    </row>
    <row r="65908" spans="1:6" x14ac:dyDescent="0.25">
      <c r="A65908"/>
      <c r="B65908"/>
      <c r="C65908"/>
      <c r="E65908"/>
      <c r="F65908"/>
    </row>
    <row r="65909" spans="1:6" x14ac:dyDescent="0.25">
      <c r="A65909"/>
      <c r="B65909"/>
      <c r="C65909"/>
      <c r="E65909"/>
      <c r="F65909"/>
    </row>
    <row r="65910" spans="1:6" x14ac:dyDescent="0.25">
      <c r="A65910"/>
      <c r="B65910"/>
      <c r="C65910"/>
      <c r="E65910"/>
      <c r="F65910"/>
    </row>
    <row r="65911" spans="1:6" x14ac:dyDescent="0.25">
      <c r="A65911"/>
      <c r="B65911"/>
      <c r="C65911"/>
      <c r="E65911"/>
      <c r="F65911"/>
    </row>
    <row r="65912" spans="1:6" x14ac:dyDescent="0.25">
      <c r="A65912"/>
      <c r="B65912"/>
      <c r="C65912"/>
      <c r="E65912"/>
      <c r="F65912"/>
    </row>
    <row r="65913" spans="1:6" x14ac:dyDescent="0.25">
      <c r="A65913"/>
      <c r="B65913"/>
      <c r="C65913"/>
      <c r="E65913"/>
      <c r="F65913"/>
    </row>
    <row r="65914" spans="1:6" x14ac:dyDescent="0.25">
      <c r="A65914"/>
      <c r="B65914"/>
      <c r="C65914"/>
      <c r="E65914"/>
      <c r="F65914"/>
    </row>
    <row r="65915" spans="1:6" x14ac:dyDescent="0.25">
      <c r="A65915"/>
      <c r="B65915"/>
      <c r="C65915"/>
      <c r="E65915"/>
      <c r="F65915"/>
    </row>
    <row r="65916" spans="1:6" x14ac:dyDescent="0.25">
      <c r="A65916"/>
      <c r="B65916"/>
      <c r="C65916"/>
      <c r="E65916"/>
      <c r="F65916"/>
    </row>
    <row r="65917" spans="1:6" x14ac:dyDescent="0.25">
      <c r="A65917"/>
      <c r="B65917"/>
      <c r="C65917"/>
      <c r="E65917"/>
      <c r="F65917"/>
    </row>
    <row r="65918" spans="1:6" x14ac:dyDescent="0.25">
      <c r="A65918"/>
      <c r="B65918"/>
      <c r="C65918"/>
      <c r="E65918"/>
      <c r="F65918"/>
    </row>
    <row r="65919" spans="1:6" x14ac:dyDescent="0.25">
      <c r="A65919"/>
      <c r="B65919"/>
      <c r="C65919"/>
      <c r="E65919"/>
      <c r="F65919"/>
    </row>
    <row r="65920" spans="1:6" x14ac:dyDescent="0.25">
      <c r="A65920"/>
      <c r="B65920"/>
      <c r="C65920"/>
      <c r="E65920"/>
      <c r="F65920"/>
    </row>
    <row r="65921" spans="1:6" x14ac:dyDescent="0.25">
      <c r="A65921"/>
      <c r="B65921"/>
      <c r="C65921"/>
      <c r="E65921"/>
      <c r="F65921"/>
    </row>
    <row r="65922" spans="1:6" x14ac:dyDescent="0.25">
      <c r="A65922"/>
      <c r="B65922"/>
      <c r="C65922"/>
      <c r="E65922"/>
      <c r="F65922"/>
    </row>
    <row r="65923" spans="1:6" x14ac:dyDescent="0.25">
      <c r="A65923"/>
      <c r="B65923"/>
      <c r="C65923"/>
      <c r="E65923"/>
      <c r="F65923"/>
    </row>
    <row r="65924" spans="1:6" x14ac:dyDescent="0.25">
      <c r="A65924"/>
      <c r="B65924"/>
      <c r="C65924"/>
      <c r="E65924"/>
      <c r="F65924"/>
    </row>
    <row r="65925" spans="1:6" x14ac:dyDescent="0.25">
      <c r="A65925"/>
      <c r="B65925"/>
      <c r="C65925"/>
      <c r="E65925"/>
      <c r="F65925"/>
    </row>
    <row r="65926" spans="1:6" x14ac:dyDescent="0.25">
      <c r="A65926"/>
      <c r="B65926"/>
      <c r="C65926"/>
      <c r="E65926"/>
      <c r="F65926"/>
    </row>
    <row r="65927" spans="1:6" x14ac:dyDescent="0.25">
      <c r="A65927"/>
      <c r="B65927"/>
      <c r="C65927"/>
      <c r="E65927"/>
      <c r="F65927"/>
    </row>
    <row r="65928" spans="1:6" x14ac:dyDescent="0.25">
      <c r="A65928"/>
      <c r="B65928"/>
      <c r="C65928"/>
      <c r="E65928"/>
      <c r="F65928"/>
    </row>
    <row r="65929" spans="1:6" x14ac:dyDescent="0.25">
      <c r="A65929"/>
      <c r="B65929"/>
      <c r="C65929"/>
      <c r="E65929"/>
      <c r="F65929"/>
    </row>
    <row r="65930" spans="1:6" x14ac:dyDescent="0.25">
      <c r="A65930"/>
      <c r="B65930"/>
      <c r="C65930"/>
      <c r="E65930"/>
      <c r="F65930"/>
    </row>
    <row r="65931" spans="1:6" x14ac:dyDescent="0.25">
      <c r="A65931"/>
      <c r="B65931"/>
      <c r="C65931"/>
      <c r="E65931"/>
      <c r="F65931"/>
    </row>
    <row r="65932" spans="1:6" x14ac:dyDescent="0.25">
      <c r="A65932"/>
      <c r="B65932"/>
      <c r="C65932"/>
      <c r="E65932"/>
      <c r="F65932"/>
    </row>
    <row r="65933" spans="1:6" x14ac:dyDescent="0.25">
      <c r="A65933"/>
      <c r="B65933"/>
      <c r="C65933"/>
      <c r="E65933"/>
      <c r="F65933"/>
    </row>
    <row r="65934" spans="1:6" x14ac:dyDescent="0.25">
      <c r="A65934"/>
      <c r="B65934"/>
      <c r="C65934"/>
      <c r="E65934"/>
      <c r="F65934"/>
    </row>
    <row r="65935" spans="1:6" x14ac:dyDescent="0.25">
      <c r="A65935"/>
      <c r="B65935"/>
      <c r="C65935"/>
      <c r="E65935"/>
      <c r="F65935"/>
    </row>
    <row r="65936" spans="1:6" x14ac:dyDescent="0.25">
      <c r="A65936"/>
      <c r="B65936"/>
      <c r="C65936"/>
      <c r="E65936"/>
      <c r="F65936"/>
    </row>
    <row r="65937" spans="1:6" x14ac:dyDescent="0.25">
      <c r="A65937"/>
      <c r="B65937"/>
      <c r="C65937"/>
      <c r="E65937"/>
      <c r="F65937"/>
    </row>
    <row r="65938" spans="1:6" x14ac:dyDescent="0.25">
      <c r="A65938"/>
      <c r="B65938"/>
      <c r="C65938"/>
      <c r="E65938"/>
      <c r="F65938"/>
    </row>
    <row r="65939" spans="1:6" x14ac:dyDescent="0.25">
      <c r="A65939"/>
      <c r="B65939"/>
      <c r="C65939"/>
      <c r="E65939"/>
      <c r="F65939"/>
    </row>
    <row r="65940" spans="1:6" x14ac:dyDescent="0.25">
      <c r="A65940"/>
      <c r="B65940"/>
      <c r="C65940"/>
      <c r="E65940"/>
      <c r="F65940"/>
    </row>
    <row r="65941" spans="1:6" x14ac:dyDescent="0.25">
      <c r="A65941"/>
      <c r="B65941"/>
      <c r="C65941"/>
      <c r="E65941"/>
      <c r="F65941"/>
    </row>
    <row r="65942" spans="1:6" x14ac:dyDescent="0.25">
      <c r="A65942"/>
      <c r="B65942"/>
      <c r="C65942"/>
      <c r="E65942"/>
      <c r="F65942"/>
    </row>
    <row r="65943" spans="1:6" x14ac:dyDescent="0.25">
      <c r="A65943"/>
      <c r="B65943"/>
      <c r="C65943"/>
      <c r="E65943"/>
      <c r="F65943"/>
    </row>
    <row r="65944" spans="1:6" x14ac:dyDescent="0.25">
      <c r="A65944"/>
      <c r="B65944"/>
      <c r="C65944"/>
      <c r="E65944"/>
      <c r="F65944"/>
    </row>
    <row r="65945" spans="1:6" x14ac:dyDescent="0.25">
      <c r="A65945"/>
      <c r="B65945"/>
      <c r="C65945"/>
      <c r="E65945"/>
      <c r="F65945"/>
    </row>
    <row r="65946" spans="1:6" x14ac:dyDescent="0.25">
      <c r="A65946"/>
      <c r="B65946"/>
      <c r="C65946"/>
      <c r="E65946"/>
      <c r="F65946"/>
    </row>
    <row r="65947" spans="1:6" x14ac:dyDescent="0.25">
      <c r="A65947"/>
      <c r="B65947"/>
      <c r="C65947"/>
      <c r="E65947"/>
      <c r="F65947"/>
    </row>
    <row r="65948" spans="1:6" x14ac:dyDescent="0.25">
      <c r="A65948"/>
      <c r="B65948"/>
      <c r="C65948"/>
      <c r="E65948"/>
      <c r="F65948"/>
    </row>
    <row r="65949" spans="1:6" x14ac:dyDescent="0.25">
      <c r="A65949"/>
      <c r="B65949"/>
      <c r="C65949"/>
      <c r="E65949"/>
      <c r="F65949"/>
    </row>
    <row r="65950" spans="1:6" x14ac:dyDescent="0.25">
      <c r="A65950"/>
      <c r="B65950"/>
      <c r="C65950"/>
      <c r="E65950"/>
      <c r="F65950"/>
    </row>
    <row r="65951" spans="1:6" x14ac:dyDescent="0.25">
      <c r="A65951"/>
      <c r="B65951"/>
      <c r="C65951"/>
      <c r="E65951"/>
      <c r="F65951"/>
    </row>
    <row r="65952" spans="1:6" x14ac:dyDescent="0.25">
      <c r="A65952"/>
      <c r="B65952"/>
      <c r="C65952"/>
      <c r="E65952"/>
      <c r="F65952"/>
    </row>
    <row r="65953" spans="1:6" x14ac:dyDescent="0.25">
      <c r="A65953"/>
      <c r="B65953"/>
      <c r="C65953"/>
      <c r="E65953"/>
      <c r="F65953"/>
    </row>
    <row r="65954" spans="1:6" x14ac:dyDescent="0.25">
      <c r="A65954"/>
      <c r="B65954"/>
      <c r="C65954"/>
      <c r="E65954"/>
      <c r="F65954"/>
    </row>
    <row r="65955" spans="1:6" x14ac:dyDescent="0.25">
      <c r="A65955"/>
      <c r="B65955"/>
      <c r="C65955"/>
      <c r="E65955"/>
      <c r="F65955"/>
    </row>
    <row r="65956" spans="1:6" x14ac:dyDescent="0.25">
      <c r="A65956"/>
      <c r="B65956"/>
      <c r="C65956"/>
      <c r="E65956"/>
      <c r="F65956"/>
    </row>
    <row r="65957" spans="1:6" x14ac:dyDescent="0.25">
      <c r="A65957"/>
      <c r="B65957"/>
      <c r="C65957"/>
      <c r="E65957"/>
      <c r="F65957"/>
    </row>
    <row r="65958" spans="1:6" x14ac:dyDescent="0.25">
      <c r="A65958"/>
      <c r="B65958"/>
      <c r="C65958"/>
      <c r="E65958"/>
      <c r="F65958"/>
    </row>
    <row r="65959" spans="1:6" x14ac:dyDescent="0.25">
      <c r="A65959"/>
      <c r="B65959"/>
      <c r="C65959"/>
      <c r="E65959"/>
      <c r="F65959"/>
    </row>
    <row r="65960" spans="1:6" x14ac:dyDescent="0.25">
      <c r="A65960"/>
      <c r="B65960"/>
      <c r="C65960"/>
      <c r="E65960"/>
      <c r="F65960"/>
    </row>
    <row r="65961" spans="1:6" x14ac:dyDescent="0.25">
      <c r="A65961"/>
      <c r="B65961"/>
      <c r="C65961"/>
      <c r="E65961"/>
      <c r="F65961"/>
    </row>
    <row r="65962" spans="1:6" x14ac:dyDescent="0.25">
      <c r="A65962"/>
      <c r="B65962"/>
      <c r="C65962"/>
      <c r="E65962"/>
      <c r="F65962"/>
    </row>
    <row r="65963" spans="1:6" x14ac:dyDescent="0.25">
      <c r="A65963"/>
      <c r="B65963"/>
      <c r="C65963"/>
      <c r="E65963"/>
      <c r="F65963"/>
    </row>
    <row r="65964" spans="1:6" x14ac:dyDescent="0.25">
      <c r="A65964"/>
      <c r="B65964"/>
      <c r="C65964"/>
      <c r="E65964"/>
      <c r="F65964"/>
    </row>
    <row r="65965" spans="1:6" x14ac:dyDescent="0.25">
      <c r="A65965"/>
      <c r="B65965"/>
      <c r="C65965"/>
      <c r="E65965"/>
      <c r="F65965"/>
    </row>
    <row r="65966" spans="1:6" x14ac:dyDescent="0.25">
      <c r="A65966"/>
      <c r="B65966"/>
      <c r="C65966"/>
      <c r="E65966"/>
      <c r="F65966"/>
    </row>
    <row r="65967" spans="1:6" x14ac:dyDescent="0.25">
      <c r="A65967"/>
      <c r="B65967"/>
      <c r="C65967"/>
      <c r="E65967"/>
      <c r="F65967"/>
    </row>
    <row r="65968" spans="1:6" x14ac:dyDescent="0.25">
      <c r="A65968"/>
      <c r="B65968"/>
      <c r="C65968"/>
      <c r="E65968"/>
      <c r="F65968"/>
    </row>
    <row r="65969" spans="1:6" x14ac:dyDescent="0.25">
      <c r="A65969"/>
      <c r="B65969"/>
      <c r="C65969"/>
      <c r="E65969"/>
      <c r="F65969"/>
    </row>
    <row r="65970" spans="1:6" x14ac:dyDescent="0.25">
      <c r="A65970"/>
      <c r="B65970"/>
      <c r="C65970"/>
      <c r="E65970"/>
      <c r="F65970"/>
    </row>
    <row r="65971" spans="1:6" x14ac:dyDescent="0.25">
      <c r="A65971"/>
      <c r="B65971"/>
      <c r="C65971"/>
      <c r="E65971"/>
      <c r="F65971"/>
    </row>
    <row r="65972" spans="1:6" x14ac:dyDescent="0.25">
      <c r="A65972"/>
      <c r="B65972"/>
      <c r="C65972"/>
      <c r="E65972"/>
      <c r="F65972"/>
    </row>
    <row r="65973" spans="1:6" x14ac:dyDescent="0.25">
      <c r="A65973"/>
      <c r="B65973"/>
      <c r="C65973"/>
      <c r="E65973"/>
      <c r="F65973"/>
    </row>
    <row r="65974" spans="1:6" x14ac:dyDescent="0.25">
      <c r="A65974"/>
      <c r="B65974"/>
      <c r="C65974"/>
      <c r="E65974"/>
      <c r="F65974"/>
    </row>
    <row r="65975" spans="1:6" x14ac:dyDescent="0.25">
      <c r="A65975"/>
      <c r="B65975"/>
      <c r="C65975"/>
      <c r="E65975"/>
      <c r="F65975"/>
    </row>
    <row r="65976" spans="1:6" x14ac:dyDescent="0.25">
      <c r="A65976"/>
      <c r="B65976"/>
      <c r="C65976"/>
      <c r="E65976"/>
      <c r="F65976"/>
    </row>
    <row r="65977" spans="1:6" x14ac:dyDescent="0.25">
      <c r="A65977"/>
      <c r="B65977"/>
      <c r="C65977"/>
      <c r="E65977"/>
      <c r="F65977"/>
    </row>
    <row r="65978" spans="1:6" x14ac:dyDescent="0.25">
      <c r="A65978"/>
      <c r="B65978"/>
      <c r="C65978"/>
      <c r="E65978"/>
      <c r="F65978"/>
    </row>
    <row r="65979" spans="1:6" x14ac:dyDescent="0.25">
      <c r="A65979"/>
      <c r="B65979"/>
      <c r="C65979"/>
      <c r="E65979"/>
      <c r="F65979"/>
    </row>
    <row r="65980" spans="1:6" x14ac:dyDescent="0.25">
      <c r="A65980"/>
      <c r="B65980"/>
      <c r="C65980"/>
      <c r="E65980"/>
      <c r="F65980"/>
    </row>
    <row r="65981" spans="1:6" x14ac:dyDescent="0.25">
      <c r="A65981"/>
      <c r="B65981"/>
      <c r="C65981"/>
      <c r="E65981"/>
      <c r="F65981"/>
    </row>
    <row r="65982" spans="1:6" x14ac:dyDescent="0.25">
      <c r="A65982"/>
      <c r="B65982"/>
      <c r="C65982"/>
      <c r="E65982"/>
      <c r="F65982"/>
    </row>
    <row r="65983" spans="1:6" x14ac:dyDescent="0.25">
      <c r="A65983"/>
      <c r="B65983"/>
      <c r="C65983"/>
      <c r="E65983"/>
      <c r="F65983"/>
    </row>
    <row r="65984" spans="1:6" x14ac:dyDescent="0.25">
      <c r="A65984"/>
      <c r="B65984"/>
      <c r="C65984"/>
      <c r="E65984"/>
      <c r="F65984"/>
    </row>
    <row r="65985" spans="1:6" x14ac:dyDescent="0.25">
      <c r="A65985"/>
      <c r="B65985"/>
      <c r="C65985"/>
      <c r="E65985"/>
      <c r="F65985"/>
    </row>
    <row r="65986" spans="1:6" x14ac:dyDescent="0.25">
      <c r="A65986"/>
      <c r="B65986"/>
      <c r="C65986"/>
      <c r="E65986"/>
      <c r="F65986"/>
    </row>
    <row r="65987" spans="1:6" x14ac:dyDescent="0.25">
      <c r="A65987"/>
      <c r="B65987"/>
      <c r="C65987"/>
      <c r="E65987"/>
      <c r="F65987"/>
    </row>
    <row r="65988" spans="1:6" x14ac:dyDescent="0.25">
      <c r="A65988"/>
      <c r="B65988"/>
      <c r="C65988"/>
      <c r="E65988"/>
      <c r="F65988"/>
    </row>
    <row r="65989" spans="1:6" x14ac:dyDescent="0.25">
      <c r="A65989"/>
      <c r="B65989"/>
      <c r="C65989"/>
      <c r="E65989"/>
      <c r="F65989"/>
    </row>
    <row r="65990" spans="1:6" x14ac:dyDescent="0.25">
      <c r="A65990"/>
      <c r="B65990"/>
      <c r="C65990"/>
      <c r="E65990"/>
      <c r="F65990"/>
    </row>
    <row r="65991" spans="1:6" x14ac:dyDescent="0.25">
      <c r="A65991"/>
      <c r="B65991"/>
      <c r="C65991"/>
      <c r="E65991"/>
      <c r="F65991"/>
    </row>
    <row r="65992" spans="1:6" x14ac:dyDescent="0.25">
      <c r="A65992"/>
      <c r="B65992"/>
      <c r="C65992"/>
      <c r="E65992"/>
      <c r="F65992"/>
    </row>
    <row r="65993" spans="1:6" x14ac:dyDescent="0.25">
      <c r="A65993"/>
      <c r="B65993"/>
      <c r="C65993"/>
      <c r="E65993"/>
      <c r="F65993"/>
    </row>
    <row r="65994" spans="1:6" x14ac:dyDescent="0.25">
      <c r="A65994"/>
      <c r="B65994"/>
      <c r="C65994"/>
      <c r="E65994"/>
      <c r="F65994"/>
    </row>
    <row r="65995" spans="1:6" x14ac:dyDescent="0.25">
      <c r="A65995"/>
      <c r="B65995"/>
      <c r="C65995"/>
      <c r="E65995"/>
      <c r="F65995"/>
    </row>
    <row r="65996" spans="1:6" x14ac:dyDescent="0.25">
      <c r="A65996"/>
      <c r="B65996"/>
      <c r="C65996"/>
      <c r="E65996"/>
      <c r="F65996"/>
    </row>
    <row r="65997" spans="1:6" x14ac:dyDescent="0.25">
      <c r="A65997"/>
      <c r="B65997"/>
      <c r="C65997"/>
      <c r="E65997"/>
      <c r="F65997"/>
    </row>
    <row r="65998" spans="1:6" x14ac:dyDescent="0.25">
      <c r="A65998"/>
      <c r="B65998"/>
      <c r="C65998"/>
      <c r="E65998"/>
      <c r="F65998"/>
    </row>
    <row r="65999" spans="1:6" x14ac:dyDescent="0.25">
      <c r="A65999"/>
      <c r="B65999"/>
      <c r="C65999"/>
      <c r="E65999"/>
      <c r="F65999"/>
    </row>
    <row r="66000" spans="1:6" x14ac:dyDescent="0.25">
      <c r="A66000"/>
      <c r="B66000"/>
      <c r="C66000"/>
      <c r="E66000"/>
      <c r="F66000"/>
    </row>
    <row r="66001" spans="1:6" x14ac:dyDescent="0.25">
      <c r="A66001"/>
      <c r="B66001"/>
      <c r="C66001"/>
      <c r="E66001"/>
      <c r="F66001"/>
    </row>
    <row r="66002" spans="1:6" x14ac:dyDescent="0.25">
      <c r="A66002"/>
      <c r="B66002"/>
      <c r="C66002"/>
      <c r="E66002"/>
      <c r="F66002"/>
    </row>
    <row r="66003" spans="1:6" x14ac:dyDescent="0.25">
      <c r="A66003"/>
      <c r="B66003"/>
      <c r="C66003"/>
      <c r="E66003"/>
      <c r="F66003"/>
    </row>
    <row r="66004" spans="1:6" x14ac:dyDescent="0.25">
      <c r="A66004"/>
      <c r="B66004"/>
      <c r="C66004"/>
      <c r="E66004"/>
      <c r="F66004"/>
    </row>
    <row r="66005" spans="1:6" x14ac:dyDescent="0.25">
      <c r="A66005"/>
      <c r="B66005"/>
      <c r="C66005"/>
      <c r="E66005"/>
      <c r="F66005"/>
    </row>
    <row r="66006" spans="1:6" x14ac:dyDescent="0.25">
      <c r="A66006"/>
      <c r="B66006"/>
      <c r="C66006"/>
      <c r="E66006"/>
      <c r="F66006"/>
    </row>
    <row r="66007" spans="1:6" x14ac:dyDescent="0.25">
      <c r="A66007"/>
      <c r="B66007"/>
      <c r="C66007"/>
      <c r="E66007"/>
      <c r="F66007"/>
    </row>
    <row r="66008" spans="1:6" x14ac:dyDescent="0.25">
      <c r="A66008"/>
      <c r="B66008"/>
      <c r="C66008"/>
      <c r="E66008"/>
      <c r="F66008"/>
    </row>
    <row r="66009" spans="1:6" x14ac:dyDescent="0.25">
      <c r="A66009"/>
      <c r="B66009"/>
      <c r="C66009"/>
      <c r="E66009"/>
      <c r="F66009"/>
    </row>
    <row r="66010" spans="1:6" x14ac:dyDescent="0.25">
      <c r="A66010"/>
      <c r="B66010"/>
      <c r="C66010"/>
      <c r="E66010"/>
      <c r="F66010"/>
    </row>
    <row r="66011" spans="1:6" x14ac:dyDescent="0.25">
      <c r="A66011"/>
      <c r="B66011"/>
      <c r="C66011"/>
      <c r="E66011"/>
      <c r="F66011"/>
    </row>
    <row r="66012" spans="1:6" x14ac:dyDescent="0.25">
      <c r="A66012"/>
      <c r="B66012"/>
      <c r="C66012"/>
      <c r="E66012"/>
      <c r="F66012"/>
    </row>
    <row r="66013" spans="1:6" x14ac:dyDescent="0.25">
      <c r="A66013"/>
      <c r="B66013"/>
      <c r="C66013"/>
      <c r="E66013"/>
      <c r="F66013"/>
    </row>
    <row r="66014" spans="1:6" x14ac:dyDescent="0.25">
      <c r="A66014"/>
      <c r="B66014"/>
      <c r="C66014"/>
      <c r="E66014"/>
      <c r="F66014"/>
    </row>
    <row r="66015" spans="1:6" x14ac:dyDescent="0.25">
      <c r="A66015"/>
      <c r="B66015"/>
      <c r="C66015"/>
      <c r="E66015"/>
      <c r="F66015"/>
    </row>
    <row r="66016" spans="1:6" x14ac:dyDescent="0.25">
      <c r="A66016"/>
      <c r="B66016"/>
      <c r="C66016"/>
      <c r="E66016"/>
      <c r="F66016"/>
    </row>
    <row r="66017" spans="1:6" x14ac:dyDescent="0.25">
      <c r="A66017"/>
      <c r="B66017"/>
      <c r="C66017"/>
      <c r="E66017"/>
      <c r="F66017"/>
    </row>
    <row r="66018" spans="1:6" x14ac:dyDescent="0.25">
      <c r="A66018"/>
      <c r="B66018"/>
      <c r="C66018"/>
      <c r="E66018"/>
      <c r="F66018"/>
    </row>
    <row r="66019" spans="1:6" x14ac:dyDescent="0.25">
      <c r="A66019"/>
      <c r="B66019"/>
      <c r="C66019"/>
      <c r="E66019"/>
      <c r="F66019"/>
    </row>
    <row r="66020" spans="1:6" x14ac:dyDescent="0.25">
      <c r="A66020"/>
      <c r="B66020"/>
      <c r="C66020"/>
      <c r="E66020"/>
      <c r="F66020"/>
    </row>
    <row r="66021" spans="1:6" x14ac:dyDescent="0.25">
      <c r="A66021"/>
      <c r="B66021"/>
      <c r="C66021"/>
      <c r="E66021"/>
      <c r="F66021"/>
    </row>
    <row r="66022" spans="1:6" x14ac:dyDescent="0.25">
      <c r="A66022"/>
      <c r="B66022"/>
      <c r="C66022"/>
      <c r="E66022"/>
      <c r="F66022"/>
    </row>
    <row r="66023" spans="1:6" x14ac:dyDescent="0.25">
      <c r="A66023"/>
      <c r="B66023"/>
      <c r="C66023"/>
      <c r="E66023"/>
      <c r="F66023"/>
    </row>
    <row r="66024" spans="1:6" x14ac:dyDescent="0.25">
      <c r="A66024"/>
      <c r="B66024"/>
      <c r="C66024"/>
      <c r="E66024"/>
      <c r="F66024"/>
    </row>
    <row r="66025" spans="1:6" x14ac:dyDescent="0.25">
      <c r="A66025"/>
      <c r="B66025"/>
      <c r="C66025"/>
      <c r="E66025"/>
      <c r="F66025"/>
    </row>
    <row r="66026" spans="1:6" x14ac:dyDescent="0.25">
      <c r="A66026"/>
      <c r="B66026"/>
      <c r="C66026"/>
      <c r="E66026"/>
      <c r="F66026"/>
    </row>
    <row r="66027" spans="1:6" x14ac:dyDescent="0.25">
      <c r="A66027"/>
      <c r="B66027"/>
      <c r="C66027"/>
      <c r="E66027"/>
      <c r="F66027"/>
    </row>
    <row r="66028" spans="1:6" x14ac:dyDescent="0.25">
      <c r="A66028"/>
      <c r="B66028"/>
      <c r="C66028"/>
      <c r="E66028"/>
      <c r="F66028"/>
    </row>
    <row r="66029" spans="1:6" x14ac:dyDescent="0.25">
      <c r="A66029"/>
      <c r="B66029"/>
      <c r="C66029"/>
      <c r="E66029"/>
      <c r="F66029"/>
    </row>
    <row r="66030" spans="1:6" x14ac:dyDescent="0.25">
      <c r="A66030"/>
      <c r="B66030"/>
      <c r="C66030"/>
      <c r="E66030"/>
      <c r="F66030"/>
    </row>
    <row r="66031" spans="1:6" x14ac:dyDescent="0.25">
      <c r="A66031"/>
      <c r="B66031"/>
      <c r="C66031"/>
      <c r="E66031"/>
      <c r="F66031"/>
    </row>
    <row r="66032" spans="1:6" x14ac:dyDescent="0.25">
      <c r="A66032"/>
      <c r="B66032"/>
      <c r="C66032"/>
      <c r="E66032"/>
      <c r="F66032"/>
    </row>
    <row r="66033" spans="1:6" x14ac:dyDescent="0.25">
      <c r="A66033"/>
      <c r="B66033"/>
      <c r="C66033"/>
      <c r="E66033"/>
      <c r="F66033"/>
    </row>
    <row r="66034" spans="1:6" x14ac:dyDescent="0.25">
      <c r="A66034"/>
      <c r="B66034"/>
      <c r="C66034"/>
      <c r="E66034"/>
      <c r="F66034"/>
    </row>
    <row r="66035" spans="1:6" x14ac:dyDescent="0.25">
      <c r="A66035"/>
      <c r="B66035"/>
      <c r="C66035"/>
      <c r="E66035"/>
      <c r="F66035"/>
    </row>
    <row r="66036" spans="1:6" x14ac:dyDescent="0.25">
      <c r="A66036"/>
      <c r="B66036"/>
      <c r="C66036"/>
      <c r="E66036"/>
      <c r="F66036"/>
    </row>
    <row r="66037" spans="1:6" x14ac:dyDescent="0.25">
      <c r="A66037"/>
      <c r="B66037"/>
      <c r="C66037"/>
      <c r="E66037"/>
      <c r="F66037"/>
    </row>
    <row r="66038" spans="1:6" x14ac:dyDescent="0.25">
      <c r="A66038"/>
      <c r="B66038"/>
      <c r="C66038"/>
      <c r="E66038"/>
      <c r="F66038"/>
    </row>
    <row r="66039" spans="1:6" x14ac:dyDescent="0.25">
      <c r="A66039"/>
      <c r="B66039"/>
      <c r="C66039"/>
      <c r="E66039"/>
      <c r="F66039"/>
    </row>
    <row r="66040" spans="1:6" x14ac:dyDescent="0.25">
      <c r="A66040"/>
      <c r="B66040"/>
      <c r="C66040"/>
      <c r="E66040"/>
      <c r="F66040"/>
    </row>
    <row r="66041" spans="1:6" x14ac:dyDescent="0.25">
      <c r="A66041"/>
      <c r="B66041"/>
      <c r="C66041"/>
      <c r="E66041"/>
      <c r="F66041"/>
    </row>
    <row r="66042" spans="1:6" x14ac:dyDescent="0.25">
      <c r="A66042"/>
      <c r="B66042"/>
      <c r="C66042"/>
      <c r="E66042"/>
      <c r="F66042"/>
    </row>
    <row r="66043" spans="1:6" x14ac:dyDescent="0.25">
      <c r="A66043"/>
      <c r="B66043"/>
      <c r="C66043"/>
      <c r="E66043"/>
      <c r="F66043"/>
    </row>
    <row r="66044" spans="1:6" x14ac:dyDescent="0.25">
      <c r="A66044"/>
      <c r="B66044"/>
      <c r="C66044"/>
      <c r="E66044"/>
      <c r="F66044"/>
    </row>
    <row r="66045" spans="1:6" x14ac:dyDescent="0.25">
      <c r="A66045"/>
      <c r="B66045"/>
      <c r="C66045"/>
      <c r="E66045"/>
      <c r="F66045"/>
    </row>
    <row r="66046" spans="1:6" x14ac:dyDescent="0.25">
      <c r="A66046"/>
      <c r="B66046"/>
      <c r="C66046"/>
      <c r="E66046"/>
      <c r="F66046"/>
    </row>
    <row r="66047" spans="1:6" x14ac:dyDescent="0.25">
      <c r="A66047"/>
      <c r="B66047"/>
      <c r="C66047"/>
      <c r="E66047"/>
      <c r="F66047"/>
    </row>
    <row r="66048" spans="1:6" x14ac:dyDescent="0.25">
      <c r="A66048"/>
      <c r="B66048"/>
      <c r="C66048"/>
      <c r="E66048"/>
      <c r="F66048"/>
    </row>
    <row r="66049" spans="1:6" x14ac:dyDescent="0.25">
      <c r="A66049"/>
      <c r="B66049"/>
      <c r="C66049"/>
      <c r="E66049"/>
      <c r="F66049"/>
    </row>
    <row r="66050" spans="1:6" x14ac:dyDescent="0.25">
      <c r="A66050"/>
      <c r="B66050"/>
      <c r="C66050"/>
      <c r="E66050"/>
      <c r="F66050"/>
    </row>
    <row r="66051" spans="1:6" x14ac:dyDescent="0.25">
      <c r="A66051"/>
      <c r="B66051"/>
      <c r="C66051"/>
      <c r="E66051"/>
      <c r="F66051"/>
    </row>
    <row r="66052" spans="1:6" x14ac:dyDescent="0.25">
      <c r="A66052"/>
      <c r="B66052"/>
      <c r="C66052"/>
      <c r="E66052"/>
      <c r="F66052"/>
    </row>
    <row r="66053" spans="1:6" x14ac:dyDescent="0.25">
      <c r="A66053"/>
      <c r="B66053"/>
      <c r="C66053"/>
      <c r="E66053"/>
      <c r="F66053"/>
    </row>
    <row r="66054" spans="1:6" x14ac:dyDescent="0.25">
      <c r="A66054"/>
      <c r="B66054"/>
      <c r="C66054"/>
      <c r="E66054"/>
      <c r="F66054"/>
    </row>
    <row r="66055" spans="1:6" x14ac:dyDescent="0.25">
      <c r="A66055"/>
      <c r="B66055"/>
      <c r="C66055"/>
      <c r="E66055"/>
      <c r="F66055"/>
    </row>
    <row r="66056" spans="1:6" x14ac:dyDescent="0.25">
      <c r="A66056"/>
      <c r="B66056"/>
      <c r="C66056"/>
      <c r="E66056"/>
      <c r="F66056"/>
    </row>
    <row r="66057" spans="1:6" x14ac:dyDescent="0.25">
      <c r="A66057"/>
      <c r="B66057"/>
      <c r="C66057"/>
      <c r="E66057"/>
      <c r="F66057"/>
    </row>
    <row r="66058" spans="1:6" x14ac:dyDescent="0.25">
      <c r="A66058"/>
      <c r="B66058"/>
      <c r="C66058"/>
      <c r="E66058"/>
      <c r="F66058"/>
    </row>
    <row r="66059" spans="1:6" x14ac:dyDescent="0.25">
      <c r="A66059"/>
      <c r="B66059"/>
      <c r="C66059"/>
      <c r="E66059"/>
      <c r="F66059"/>
    </row>
    <row r="66060" spans="1:6" x14ac:dyDescent="0.25">
      <c r="A66060"/>
      <c r="B66060"/>
      <c r="C66060"/>
      <c r="E66060"/>
      <c r="F66060"/>
    </row>
    <row r="66061" spans="1:6" x14ac:dyDescent="0.25">
      <c r="A66061"/>
      <c r="B66061"/>
      <c r="C66061"/>
      <c r="E66061"/>
      <c r="F66061"/>
    </row>
    <row r="66062" spans="1:6" x14ac:dyDescent="0.25">
      <c r="A66062"/>
      <c r="B66062"/>
      <c r="C66062"/>
      <c r="E66062"/>
      <c r="F66062"/>
    </row>
    <row r="66063" spans="1:6" x14ac:dyDescent="0.25">
      <c r="A66063"/>
      <c r="B66063"/>
      <c r="C66063"/>
      <c r="E66063"/>
      <c r="F66063"/>
    </row>
    <row r="66064" spans="1:6" x14ac:dyDescent="0.25">
      <c r="A66064"/>
      <c r="B66064"/>
      <c r="C66064"/>
      <c r="E66064"/>
      <c r="F66064"/>
    </row>
    <row r="66065" spans="1:6" x14ac:dyDescent="0.25">
      <c r="A66065"/>
      <c r="B66065"/>
      <c r="C66065"/>
      <c r="E66065"/>
      <c r="F66065"/>
    </row>
    <row r="66066" spans="1:6" x14ac:dyDescent="0.25">
      <c r="A66066"/>
      <c r="B66066"/>
      <c r="C66066"/>
      <c r="E66066"/>
      <c r="F66066"/>
    </row>
    <row r="66067" spans="1:6" x14ac:dyDescent="0.25">
      <c r="A66067"/>
      <c r="B66067"/>
      <c r="C66067"/>
      <c r="E66067"/>
      <c r="F66067"/>
    </row>
    <row r="66068" spans="1:6" x14ac:dyDescent="0.25">
      <c r="A66068"/>
      <c r="B66068"/>
      <c r="C66068"/>
      <c r="E66068"/>
      <c r="F66068"/>
    </row>
    <row r="66069" spans="1:6" x14ac:dyDescent="0.25">
      <c r="A66069"/>
      <c r="B66069"/>
      <c r="C66069"/>
      <c r="E66069"/>
      <c r="F66069"/>
    </row>
    <row r="66070" spans="1:6" x14ac:dyDescent="0.25">
      <c r="A66070"/>
      <c r="B66070"/>
      <c r="C66070"/>
      <c r="E66070"/>
      <c r="F66070"/>
    </row>
    <row r="66071" spans="1:6" x14ac:dyDescent="0.25">
      <c r="A66071"/>
      <c r="B66071"/>
      <c r="C66071"/>
      <c r="E66071"/>
      <c r="F66071"/>
    </row>
    <row r="66072" spans="1:6" x14ac:dyDescent="0.25">
      <c r="A66072"/>
      <c r="B66072"/>
      <c r="C66072"/>
      <c r="E66072"/>
      <c r="F66072"/>
    </row>
    <row r="66073" spans="1:6" x14ac:dyDescent="0.25">
      <c r="A66073"/>
      <c r="B66073"/>
      <c r="C66073"/>
      <c r="E66073"/>
      <c r="F66073"/>
    </row>
    <row r="66074" spans="1:6" x14ac:dyDescent="0.25">
      <c r="A66074"/>
      <c r="B66074"/>
      <c r="C66074"/>
      <c r="E66074"/>
      <c r="F66074"/>
    </row>
    <row r="66075" spans="1:6" x14ac:dyDescent="0.25">
      <c r="A66075"/>
      <c r="B66075"/>
      <c r="C66075"/>
      <c r="E66075"/>
      <c r="F66075"/>
    </row>
    <row r="66076" spans="1:6" x14ac:dyDescent="0.25">
      <c r="A66076"/>
      <c r="B66076"/>
      <c r="C66076"/>
      <c r="E66076"/>
      <c r="F66076"/>
    </row>
    <row r="66077" spans="1:6" x14ac:dyDescent="0.25">
      <c r="A66077"/>
      <c r="B66077"/>
      <c r="C66077"/>
      <c r="E66077"/>
      <c r="F66077"/>
    </row>
    <row r="66078" spans="1:6" x14ac:dyDescent="0.25">
      <c r="A66078"/>
      <c r="B66078"/>
      <c r="C66078"/>
      <c r="E66078"/>
      <c r="F66078"/>
    </row>
    <row r="66079" spans="1:6" x14ac:dyDescent="0.25">
      <c r="A66079"/>
      <c r="B66079"/>
      <c r="C66079"/>
      <c r="E66079"/>
      <c r="F66079"/>
    </row>
    <row r="66080" spans="1:6" x14ac:dyDescent="0.25">
      <c r="A66080"/>
      <c r="B66080"/>
      <c r="C66080"/>
      <c r="E66080"/>
      <c r="F66080"/>
    </row>
    <row r="66081" spans="1:6" x14ac:dyDescent="0.25">
      <c r="A66081"/>
      <c r="B66081"/>
      <c r="C66081"/>
      <c r="E66081"/>
      <c r="F66081"/>
    </row>
    <row r="66082" spans="1:6" x14ac:dyDescent="0.25">
      <c r="A66082"/>
      <c r="B66082"/>
      <c r="C66082"/>
      <c r="E66082"/>
      <c r="F66082"/>
    </row>
    <row r="66083" spans="1:6" x14ac:dyDescent="0.25">
      <c r="A66083"/>
      <c r="B66083"/>
      <c r="C66083"/>
      <c r="E66083"/>
      <c r="F66083"/>
    </row>
    <row r="66084" spans="1:6" x14ac:dyDescent="0.25">
      <c r="A66084"/>
      <c r="B66084"/>
      <c r="C66084"/>
      <c r="E66084"/>
      <c r="F66084"/>
    </row>
    <row r="66085" spans="1:6" x14ac:dyDescent="0.25">
      <c r="A66085"/>
      <c r="B66085"/>
      <c r="C66085"/>
      <c r="E66085"/>
      <c r="F66085"/>
    </row>
    <row r="66086" spans="1:6" x14ac:dyDescent="0.25">
      <c r="A66086"/>
      <c r="B66086"/>
      <c r="C66086"/>
      <c r="E66086"/>
      <c r="F66086"/>
    </row>
    <row r="66087" spans="1:6" x14ac:dyDescent="0.25">
      <c r="A66087"/>
      <c r="B66087"/>
      <c r="C66087"/>
      <c r="E66087"/>
      <c r="F66087"/>
    </row>
    <row r="66088" spans="1:6" x14ac:dyDescent="0.25">
      <c r="A66088"/>
      <c r="B66088"/>
      <c r="C66088"/>
      <c r="E66088"/>
      <c r="F66088"/>
    </row>
    <row r="66089" spans="1:6" x14ac:dyDescent="0.25">
      <c r="A66089"/>
      <c r="B66089"/>
      <c r="C66089"/>
      <c r="E66089"/>
      <c r="F66089"/>
    </row>
    <row r="66090" spans="1:6" x14ac:dyDescent="0.25">
      <c r="A66090"/>
      <c r="B66090"/>
      <c r="C66090"/>
      <c r="E66090"/>
      <c r="F66090"/>
    </row>
    <row r="66091" spans="1:6" x14ac:dyDescent="0.25">
      <c r="A66091"/>
      <c r="B66091"/>
      <c r="C66091"/>
      <c r="E66091"/>
      <c r="F66091"/>
    </row>
    <row r="66092" spans="1:6" x14ac:dyDescent="0.25">
      <c r="A66092"/>
      <c r="B66092"/>
      <c r="C66092"/>
      <c r="E66092"/>
      <c r="F66092"/>
    </row>
    <row r="66093" spans="1:6" x14ac:dyDescent="0.25">
      <c r="A66093"/>
      <c r="B66093"/>
      <c r="C66093"/>
      <c r="E66093"/>
      <c r="F66093"/>
    </row>
    <row r="66094" spans="1:6" x14ac:dyDescent="0.25">
      <c r="A66094"/>
      <c r="B66094"/>
      <c r="C66094"/>
      <c r="E66094"/>
      <c r="F66094"/>
    </row>
    <row r="66095" spans="1:6" x14ac:dyDescent="0.25">
      <c r="A66095"/>
      <c r="B66095"/>
      <c r="C66095"/>
      <c r="E66095"/>
      <c r="F66095"/>
    </row>
    <row r="66096" spans="1:6" x14ac:dyDescent="0.25">
      <c r="A66096"/>
      <c r="B66096"/>
      <c r="C66096"/>
      <c r="E66096"/>
      <c r="F66096"/>
    </row>
    <row r="66097" spans="1:6" x14ac:dyDescent="0.25">
      <c r="A66097"/>
      <c r="B66097"/>
      <c r="C66097"/>
      <c r="E66097"/>
      <c r="F66097"/>
    </row>
    <row r="66098" spans="1:6" x14ac:dyDescent="0.25">
      <c r="A66098"/>
      <c r="B66098"/>
      <c r="C66098"/>
      <c r="E66098"/>
      <c r="F66098"/>
    </row>
    <row r="66099" spans="1:6" x14ac:dyDescent="0.25">
      <c r="A66099"/>
      <c r="B66099"/>
      <c r="C66099"/>
      <c r="E66099"/>
      <c r="F66099"/>
    </row>
    <row r="66100" spans="1:6" x14ac:dyDescent="0.25">
      <c r="A66100"/>
      <c r="B66100"/>
      <c r="C66100"/>
      <c r="E66100"/>
      <c r="F66100"/>
    </row>
    <row r="66101" spans="1:6" x14ac:dyDescent="0.25">
      <c r="A66101"/>
      <c r="B66101"/>
      <c r="C66101"/>
      <c r="E66101"/>
      <c r="F66101"/>
    </row>
    <row r="66102" spans="1:6" x14ac:dyDescent="0.25">
      <c r="A66102"/>
      <c r="B66102"/>
      <c r="C66102"/>
      <c r="E66102"/>
      <c r="F66102"/>
    </row>
    <row r="66103" spans="1:6" x14ac:dyDescent="0.25">
      <c r="A66103"/>
      <c r="B66103"/>
      <c r="C66103"/>
      <c r="E66103"/>
      <c r="F66103"/>
    </row>
    <row r="66104" spans="1:6" x14ac:dyDescent="0.25">
      <c r="A66104"/>
      <c r="B66104"/>
      <c r="C66104"/>
      <c r="E66104"/>
      <c r="F66104"/>
    </row>
    <row r="66105" spans="1:6" x14ac:dyDescent="0.25">
      <c r="A66105"/>
      <c r="B66105"/>
      <c r="C66105"/>
      <c r="E66105"/>
      <c r="F66105"/>
    </row>
    <row r="66106" spans="1:6" x14ac:dyDescent="0.25">
      <c r="A66106"/>
      <c r="B66106"/>
      <c r="C66106"/>
      <c r="E66106"/>
      <c r="F66106"/>
    </row>
    <row r="66107" spans="1:6" x14ac:dyDescent="0.25">
      <c r="A66107"/>
      <c r="B66107"/>
      <c r="C66107"/>
      <c r="E66107"/>
      <c r="F66107"/>
    </row>
    <row r="66108" spans="1:6" x14ac:dyDescent="0.25">
      <c r="A66108"/>
      <c r="B66108"/>
      <c r="C66108"/>
      <c r="E66108"/>
      <c r="F66108"/>
    </row>
    <row r="66109" spans="1:6" x14ac:dyDescent="0.25">
      <c r="A66109"/>
      <c r="B66109"/>
      <c r="C66109"/>
      <c r="E66109"/>
      <c r="F66109"/>
    </row>
    <row r="66110" spans="1:6" x14ac:dyDescent="0.25">
      <c r="A66110"/>
      <c r="B66110"/>
      <c r="C66110"/>
      <c r="E66110"/>
      <c r="F66110"/>
    </row>
    <row r="66111" spans="1:6" x14ac:dyDescent="0.25">
      <c r="A66111"/>
      <c r="B66111"/>
      <c r="C66111"/>
      <c r="E66111"/>
      <c r="F66111"/>
    </row>
    <row r="66112" spans="1:6" x14ac:dyDescent="0.25">
      <c r="A66112"/>
      <c r="B66112"/>
      <c r="C66112"/>
      <c r="E66112"/>
      <c r="F66112"/>
    </row>
    <row r="66113" spans="1:6" x14ac:dyDescent="0.25">
      <c r="A66113"/>
      <c r="B66113"/>
      <c r="C66113"/>
      <c r="E66113"/>
      <c r="F66113"/>
    </row>
    <row r="66114" spans="1:6" x14ac:dyDescent="0.25">
      <c r="A66114"/>
      <c r="B66114"/>
      <c r="C66114"/>
      <c r="E66114"/>
      <c r="F66114"/>
    </row>
    <row r="66115" spans="1:6" x14ac:dyDescent="0.25">
      <c r="A66115"/>
      <c r="B66115"/>
      <c r="C66115"/>
      <c r="E66115"/>
      <c r="F66115"/>
    </row>
    <row r="66116" spans="1:6" x14ac:dyDescent="0.25">
      <c r="A66116"/>
      <c r="B66116"/>
      <c r="C66116"/>
      <c r="E66116"/>
      <c r="F66116"/>
    </row>
    <row r="66117" spans="1:6" x14ac:dyDescent="0.25">
      <c r="A66117"/>
      <c r="B66117"/>
      <c r="C66117"/>
      <c r="E66117"/>
      <c r="F66117"/>
    </row>
    <row r="66118" spans="1:6" x14ac:dyDescent="0.25">
      <c r="A66118"/>
      <c r="B66118"/>
      <c r="C66118"/>
      <c r="E66118"/>
      <c r="F66118"/>
    </row>
    <row r="66119" spans="1:6" x14ac:dyDescent="0.25">
      <c r="A66119"/>
      <c r="B66119"/>
      <c r="C66119"/>
      <c r="E66119"/>
      <c r="F66119"/>
    </row>
    <row r="66120" spans="1:6" x14ac:dyDescent="0.25">
      <c r="A66120"/>
      <c r="B66120"/>
      <c r="C66120"/>
      <c r="E66120"/>
      <c r="F66120"/>
    </row>
    <row r="66121" spans="1:6" x14ac:dyDescent="0.25">
      <c r="A66121"/>
      <c r="B66121"/>
      <c r="C66121"/>
      <c r="E66121"/>
      <c r="F66121"/>
    </row>
    <row r="66122" spans="1:6" x14ac:dyDescent="0.25">
      <c r="A66122"/>
      <c r="B66122"/>
      <c r="C66122"/>
      <c r="E66122"/>
      <c r="F66122"/>
    </row>
    <row r="66123" spans="1:6" x14ac:dyDescent="0.25">
      <c r="A66123"/>
      <c r="B66123"/>
      <c r="C66123"/>
      <c r="E66123"/>
      <c r="F66123"/>
    </row>
    <row r="66124" spans="1:6" x14ac:dyDescent="0.25">
      <c r="A66124"/>
      <c r="B66124"/>
      <c r="C66124"/>
      <c r="E66124"/>
      <c r="F66124"/>
    </row>
    <row r="66125" spans="1:6" x14ac:dyDescent="0.25">
      <c r="A66125"/>
      <c r="B66125"/>
      <c r="C66125"/>
      <c r="E66125"/>
      <c r="F66125"/>
    </row>
    <row r="66126" spans="1:6" x14ac:dyDescent="0.25">
      <c r="A66126"/>
      <c r="B66126"/>
      <c r="C66126"/>
      <c r="E66126"/>
      <c r="F66126"/>
    </row>
    <row r="66127" spans="1:6" x14ac:dyDescent="0.25">
      <c r="A66127"/>
      <c r="B66127"/>
      <c r="C66127"/>
      <c r="E66127"/>
      <c r="F66127"/>
    </row>
    <row r="66128" spans="1:6" x14ac:dyDescent="0.25">
      <c r="A66128"/>
      <c r="B66128"/>
      <c r="C66128"/>
      <c r="E66128"/>
      <c r="F66128"/>
    </row>
    <row r="66129" spans="1:6" x14ac:dyDescent="0.25">
      <c r="A66129"/>
      <c r="B66129"/>
      <c r="C66129"/>
      <c r="E66129"/>
      <c r="F66129"/>
    </row>
    <row r="66130" spans="1:6" x14ac:dyDescent="0.25">
      <c r="A66130"/>
      <c r="B66130"/>
      <c r="C66130"/>
      <c r="E66130"/>
      <c r="F66130"/>
    </row>
    <row r="66131" spans="1:6" x14ac:dyDescent="0.25">
      <c r="A66131"/>
      <c r="B66131"/>
      <c r="C66131"/>
      <c r="E66131"/>
      <c r="F66131"/>
    </row>
    <row r="66132" spans="1:6" x14ac:dyDescent="0.25">
      <c r="A66132"/>
      <c r="B66132"/>
      <c r="C66132"/>
      <c r="E66132"/>
      <c r="F66132"/>
    </row>
    <row r="66133" spans="1:6" x14ac:dyDescent="0.25">
      <c r="A66133"/>
      <c r="B66133"/>
      <c r="C66133"/>
      <c r="E66133"/>
      <c r="F66133"/>
    </row>
    <row r="66134" spans="1:6" x14ac:dyDescent="0.25">
      <c r="A66134"/>
      <c r="B66134"/>
      <c r="C66134"/>
      <c r="E66134"/>
      <c r="F66134"/>
    </row>
    <row r="66135" spans="1:6" x14ac:dyDescent="0.25">
      <c r="A66135"/>
      <c r="B66135"/>
      <c r="C66135"/>
      <c r="E66135"/>
      <c r="F66135"/>
    </row>
    <row r="66136" spans="1:6" x14ac:dyDescent="0.25">
      <c r="A66136"/>
      <c r="B66136"/>
      <c r="C66136"/>
      <c r="E66136"/>
      <c r="F66136"/>
    </row>
    <row r="66137" spans="1:6" x14ac:dyDescent="0.25">
      <c r="A66137"/>
      <c r="B66137"/>
      <c r="C66137"/>
      <c r="E66137"/>
      <c r="F66137"/>
    </row>
    <row r="66138" spans="1:6" x14ac:dyDescent="0.25">
      <c r="A66138"/>
      <c r="B66138"/>
      <c r="C66138"/>
      <c r="E66138"/>
      <c r="F66138"/>
    </row>
    <row r="66139" spans="1:6" x14ac:dyDescent="0.25">
      <c r="A66139"/>
      <c r="B66139"/>
      <c r="C66139"/>
      <c r="E66139"/>
      <c r="F66139"/>
    </row>
    <row r="66140" spans="1:6" x14ac:dyDescent="0.25">
      <c r="A66140"/>
      <c r="B66140"/>
      <c r="C66140"/>
      <c r="E66140"/>
      <c r="F66140"/>
    </row>
    <row r="66141" spans="1:6" x14ac:dyDescent="0.25">
      <c r="A66141"/>
      <c r="B66141"/>
      <c r="C66141"/>
      <c r="E66141"/>
      <c r="F66141"/>
    </row>
    <row r="66142" spans="1:6" x14ac:dyDescent="0.25">
      <c r="A66142"/>
      <c r="B66142"/>
      <c r="C66142"/>
      <c r="E66142"/>
      <c r="F66142"/>
    </row>
    <row r="66143" spans="1:6" x14ac:dyDescent="0.25">
      <c r="A66143"/>
      <c r="B66143"/>
      <c r="C66143"/>
      <c r="E66143"/>
      <c r="F66143"/>
    </row>
    <row r="66144" spans="1:6" x14ac:dyDescent="0.25">
      <c r="A66144"/>
      <c r="B66144"/>
      <c r="C66144"/>
      <c r="E66144"/>
      <c r="F66144"/>
    </row>
    <row r="66145" spans="1:6" x14ac:dyDescent="0.25">
      <c r="A66145"/>
      <c r="B66145"/>
      <c r="C66145"/>
      <c r="E66145"/>
      <c r="F66145"/>
    </row>
    <row r="66146" spans="1:6" x14ac:dyDescent="0.25">
      <c r="A66146"/>
      <c r="B66146"/>
      <c r="C66146"/>
      <c r="E66146"/>
      <c r="F66146"/>
    </row>
    <row r="66147" spans="1:6" x14ac:dyDescent="0.25">
      <c r="A66147"/>
      <c r="B66147"/>
      <c r="C66147"/>
      <c r="E66147"/>
      <c r="F66147"/>
    </row>
    <row r="66148" spans="1:6" x14ac:dyDescent="0.25">
      <c r="A66148"/>
      <c r="B66148"/>
      <c r="C66148"/>
      <c r="E66148"/>
      <c r="F66148"/>
    </row>
    <row r="66149" spans="1:6" x14ac:dyDescent="0.25">
      <c r="A66149"/>
      <c r="B66149"/>
      <c r="C66149"/>
      <c r="E66149"/>
      <c r="F66149"/>
    </row>
    <row r="66150" spans="1:6" x14ac:dyDescent="0.25">
      <c r="A66150"/>
      <c r="B66150"/>
      <c r="C66150"/>
      <c r="E66150"/>
      <c r="F66150"/>
    </row>
    <row r="66151" spans="1:6" x14ac:dyDescent="0.25">
      <c r="A66151"/>
      <c r="B66151"/>
      <c r="C66151"/>
      <c r="E66151"/>
      <c r="F66151"/>
    </row>
    <row r="66152" spans="1:6" x14ac:dyDescent="0.25">
      <c r="A66152"/>
      <c r="B66152"/>
      <c r="C66152"/>
      <c r="E66152"/>
      <c r="F66152"/>
    </row>
    <row r="66153" spans="1:6" x14ac:dyDescent="0.25">
      <c r="A66153"/>
      <c r="B66153"/>
      <c r="C66153"/>
      <c r="E66153"/>
      <c r="F66153"/>
    </row>
    <row r="66154" spans="1:6" x14ac:dyDescent="0.25">
      <c r="A66154"/>
      <c r="B66154"/>
      <c r="C66154"/>
      <c r="E66154"/>
      <c r="F66154"/>
    </row>
    <row r="66155" spans="1:6" x14ac:dyDescent="0.25">
      <c r="A66155"/>
      <c r="B66155"/>
      <c r="C66155"/>
      <c r="E66155"/>
      <c r="F66155"/>
    </row>
    <row r="66156" spans="1:6" x14ac:dyDescent="0.25">
      <c r="A66156"/>
      <c r="B66156"/>
      <c r="C66156"/>
      <c r="E66156"/>
      <c r="F66156"/>
    </row>
    <row r="66157" spans="1:6" x14ac:dyDescent="0.25">
      <c r="A66157"/>
      <c r="B66157"/>
      <c r="C66157"/>
      <c r="E66157"/>
      <c r="F66157"/>
    </row>
    <row r="66158" spans="1:6" x14ac:dyDescent="0.25">
      <c r="A66158"/>
      <c r="B66158"/>
      <c r="C66158"/>
      <c r="E66158"/>
      <c r="F66158"/>
    </row>
    <row r="66159" spans="1:6" x14ac:dyDescent="0.25">
      <c r="A66159"/>
      <c r="B66159"/>
      <c r="C66159"/>
      <c r="E66159"/>
      <c r="F66159"/>
    </row>
    <row r="66160" spans="1:6" x14ac:dyDescent="0.25">
      <c r="A66160"/>
      <c r="B66160"/>
      <c r="C66160"/>
      <c r="E66160"/>
      <c r="F66160"/>
    </row>
    <row r="66161" spans="1:6" x14ac:dyDescent="0.25">
      <c r="A66161"/>
      <c r="B66161"/>
      <c r="C66161"/>
      <c r="E66161"/>
      <c r="F66161"/>
    </row>
    <row r="66162" spans="1:6" x14ac:dyDescent="0.25">
      <c r="A66162"/>
      <c r="B66162"/>
      <c r="C66162"/>
      <c r="E66162"/>
      <c r="F66162"/>
    </row>
    <row r="66163" spans="1:6" x14ac:dyDescent="0.25">
      <c r="A66163"/>
      <c r="B66163"/>
      <c r="C66163"/>
      <c r="E66163"/>
      <c r="F66163"/>
    </row>
    <row r="66164" spans="1:6" x14ac:dyDescent="0.25">
      <c r="A66164"/>
      <c r="B66164"/>
      <c r="C66164"/>
      <c r="E66164"/>
      <c r="F66164"/>
    </row>
    <row r="66165" spans="1:6" x14ac:dyDescent="0.25">
      <c r="A66165"/>
      <c r="B66165"/>
      <c r="C66165"/>
      <c r="E66165"/>
      <c r="F66165"/>
    </row>
    <row r="66166" spans="1:6" x14ac:dyDescent="0.25">
      <c r="A66166"/>
      <c r="B66166"/>
      <c r="C66166"/>
      <c r="E66166"/>
      <c r="F66166"/>
    </row>
    <row r="66167" spans="1:6" x14ac:dyDescent="0.25">
      <c r="A66167"/>
      <c r="B66167"/>
      <c r="C66167"/>
      <c r="E66167"/>
      <c r="F66167"/>
    </row>
    <row r="66168" spans="1:6" x14ac:dyDescent="0.25">
      <c r="A66168"/>
      <c r="B66168"/>
      <c r="C66168"/>
      <c r="E66168"/>
      <c r="F66168"/>
    </row>
    <row r="66169" spans="1:6" x14ac:dyDescent="0.25">
      <c r="A66169"/>
      <c r="B66169"/>
      <c r="C66169"/>
      <c r="E66169"/>
      <c r="F66169"/>
    </row>
    <row r="66170" spans="1:6" x14ac:dyDescent="0.25">
      <c r="A66170"/>
      <c r="B66170"/>
      <c r="C66170"/>
      <c r="E66170"/>
      <c r="F66170"/>
    </row>
    <row r="66171" spans="1:6" x14ac:dyDescent="0.25">
      <c r="A66171"/>
      <c r="B66171"/>
      <c r="C66171"/>
      <c r="E66171"/>
      <c r="F66171"/>
    </row>
    <row r="66172" spans="1:6" x14ac:dyDescent="0.25">
      <c r="A66172"/>
      <c r="B66172"/>
      <c r="C66172"/>
      <c r="E66172"/>
      <c r="F66172"/>
    </row>
    <row r="66173" spans="1:6" x14ac:dyDescent="0.25">
      <c r="A66173"/>
      <c r="B66173"/>
      <c r="C66173"/>
      <c r="E66173"/>
      <c r="F66173"/>
    </row>
    <row r="66174" spans="1:6" x14ac:dyDescent="0.25">
      <c r="A66174"/>
      <c r="B66174"/>
      <c r="C66174"/>
      <c r="E66174"/>
      <c r="F66174"/>
    </row>
    <row r="66175" spans="1:6" x14ac:dyDescent="0.25">
      <c r="A66175"/>
      <c r="B66175"/>
      <c r="C66175"/>
      <c r="E66175"/>
      <c r="F66175"/>
    </row>
    <row r="66176" spans="1:6" x14ac:dyDescent="0.25">
      <c r="A66176"/>
      <c r="B66176"/>
      <c r="C66176"/>
      <c r="E66176"/>
      <c r="F66176"/>
    </row>
    <row r="66177" spans="1:6" x14ac:dyDescent="0.25">
      <c r="A66177"/>
      <c r="B66177"/>
      <c r="C66177"/>
      <c r="E66177"/>
      <c r="F66177"/>
    </row>
    <row r="66178" spans="1:6" x14ac:dyDescent="0.25">
      <c r="A66178"/>
      <c r="B66178"/>
      <c r="C66178"/>
      <c r="E66178"/>
      <c r="F66178"/>
    </row>
    <row r="66179" spans="1:6" x14ac:dyDescent="0.25">
      <c r="A66179"/>
      <c r="B66179"/>
      <c r="C66179"/>
      <c r="E66179"/>
      <c r="F66179"/>
    </row>
    <row r="66180" spans="1:6" x14ac:dyDescent="0.25">
      <c r="A66180"/>
      <c r="B66180"/>
      <c r="C66180"/>
      <c r="E66180"/>
      <c r="F66180"/>
    </row>
    <row r="66181" spans="1:6" x14ac:dyDescent="0.25">
      <c r="A66181"/>
      <c r="B66181"/>
      <c r="C66181"/>
      <c r="E66181"/>
      <c r="F66181"/>
    </row>
    <row r="66182" spans="1:6" x14ac:dyDescent="0.25">
      <c r="A66182"/>
      <c r="B66182"/>
      <c r="C66182"/>
      <c r="E66182"/>
      <c r="F66182"/>
    </row>
    <row r="66183" spans="1:6" x14ac:dyDescent="0.25">
      <c r="A66183"/>
      <c r="B66183"/>
      <c r="C66183"/>
      <c r="E66183"/>
      <c r="F66183"/>
    </row>
    <row r="66184" spans="1:6" x14ac:dyDescent="0.25">
      <c r="A66184"/>
      <c r="B66184"/>
      <c r="C66184"/>
      <c r="E66184"/>
      <c r="F66184"/>
    </row>
    <row r="66185" spans="1:6" x14ac:dyDescent="0.25">
      <c r="A66185"/>
      <c r="B66185"/>
      <c r="C66185"/>
      <c r="E66185"/>
      <c r="F66185"/>
    </row>
    <row r="66186" spans="1:6" x14ac:dyDescent="0.25">
      <c r="A66186"/>
      <c r="B66186"/>
      <c r="C66186"/>
      <c r="E66186"/>
      <c r="F66186"/>
    </row>
    <row r="66187" spans="1:6" x14ac:dyDescent="0.25">
      <c r="A66187"/>
      <c r="B66187"/>
      <c r="C66187"/>
      <c r="E66187"/>
      <c r="F66187"/>
    </row>
    <row r="66188" spans="1:6" x14ac:dyDescent="0.25">
      <c r="A66188"/>
      <c r="B66188"/>
      <c r="C66188"/>
      <c r="E66188"/>
      <c r="F66188"/>
    </row>
    <row r="66189" spans="1:6" x14ac:dyDescent="0.25">
      <c r="A66189"/>
      <c r="B66189"/>
      <c r="C66189"/>
      <c r="E66189"/>
      <c r="F66189"/>
    </row>
    <row r="66190" spans="1:6" x14ac:dyDescent="0.25">
      <c r="A66190"/>
      <c r="B66190"/>
      <c r="C66190"/>
      <c r="E66190"/>
      <c r="F66190"/>
    </row>
    <row r="66191" spans="1:6" x14ac:dyDescent="0.25">
      <c r="A66191"/>
      <c r="B66191"/>
      <c r="C66191"/>
      <c r="E66191"/>
      <c r="F66191"/>
    </row>
    <row r="66192" spans="1:6" x14ac:dyDescent="0.25">
      <c r="A66192"/>
      <c r="B66192"/>
      <c r="C66192"/>
      <c r="E66192"/>
      <c r="F66192"/>
    </row>
    <row r="66193" spans="1:6" x14ac:dyDescent="0.25">
      <c r="A66193"/>
      <c r="B66193"/>
      <c r="C66193"/>
      <c r="E66193"/>
      <c r="F66193"/>
    </row>
    <row r="66194" spans="1:6" x14ac:dyDescent="0.25">
      <c r="A66194"/>
      <c r="B66194"/>
      <c r="C66194"/>
      <c r="E66194"/>
      <c r="F66194"/>
    </row>
    <row r="66195" spans="1:6" x14ac:dyDescent="0.25">
      <c r="A66195"/>
      <c r="B66195"/>
      <c r="C66195"/>
      <c r="E66195"/>
      <c r="F66195"/>
    </row>
    <row r="66196" spans="1:6" x14ac:dyDescent="0.25">
      <c r="A66196"/>
      <c r="B66196"/>
      <c r="C66196"/>
      <c r="E66196"/>
      <c r="F66196"/>
    </row>
    <row r="66197" spans="1:6" x14ac:dyDescent="0.25">
      <c r="A66197"/>
      <c r="B66197"/>
      <c r="C66197"/>
      <c r="E66197"/>
      <c r="F66197"/>
    </row>
    <row r="66198" spans="1:6" x14ac:dyDescent="0.25">
      <c r="A66198"/>
      <c r="B66198"/>
      <c r="C66198"/>
      <c r="E66198"/>
      <c r="F66198"/>
    </row>
    <row r="66199" spans="1:6" x14ac:dyDescent="0.25">
      <c r="A66199"/>
      <c r="B66199"/>
      <c r="C66199"/>
      <c r="E66199"/>
      <c r="F66199"/>
    </row>
    <row r="66200" spans="1:6" x14ac:dyDescent="0.25">
      <c r="A66200"/>
      <c r="B66200"/>
      <c r="C66200"/>
      <c r="E66200"/>
      <c r="F66200"/>
    </row>
    <row r="66201" spans="1:6" x14ac:dyDescent="0.25">
      <c r="A66201"/>
      <c r="B66201"/>
      <c r="C66201"/>
      <c r="E66201"/>
      <c r="F66201"/>
    </row>
    <row r="66202" spans="1:6" x14ac:dyDescent="0.25">
      <c r="A66202"/>
      <c r="B66202"/>
      <c r="C66202"/>
      <c r="E66202"/>
      <c r="F66202"/>
    </row>
    <row r="66203" spans="1:6" x14ac:dyDescent="0.25">
      <c r="A66203"/>
      <c r="B66203"/>
      <c r="C66203"/>
      <c r="E66203"/>
      <c r="F66203"/>
    </row>
    <row r="66204" spans="1:6" x14ac:dyDescent="0.25">
      <c r="A66204"/>
      <c r="B66204"/>
      <c r="C66204"/>
      <c r="E66204"/>
      <c r="F66204"/>
    </row>
    <row r="66205" spans="1:6" x14ac:dyDescent="0.25">
      <c r="A66205"/>
      <c r="B66205"/>
      <c r="C66205"/>
      <c r="E66205"/>
      <c r="F66205"/>
    </row>
    <row r="66206" spans="1:6" x14ac:dyDescent="0.25">
      <c r="A66206"/>
      <c r="B66206"/>
      <c r="C66206"/>
      <c r="E66206"/>
      <c r="F66206"/>
    </row>
    <row r="66207" spans="1:6" x14ac:dyDescent="0.25">
      <c r="A66207"/>
      <c r="B66207"/>
      <c r="C66207"/>
      <c r="E66207"/>
      <c r="F66207"/>
    </row>
    <row r="66208" spans="1:6" x14ac:dyDescent="0.25">
      <c r="A66208"/>
      <c r="B66208"/>
      <c r="C66208"/>
      <c r="E66208"/>
      <c r="F66208"/>
    </row>
    <row r="66209" spans="1:6" x14ac:dyDescent="0.25">
      <c r="A66209"/>
      <c r="B66209"/>
      <c r="C66209"/>
      <c r="E66209"/>
      <c r="F66209"/>
    </row>
    <row r="66210" spans="1:6" x14ac:dyDescent="0.25">
      <c r="A66210"/>
      <c r="B66210"/>
      <c r="C66210"/>
      <c r="E66210"/>
      <c r="F66210"/>
    </row>
    <row r="66211" spans="1:6" x14ac:dyDescent="0.25">
      <c r="A66211"/>
      <c r="B66211"/>
      <c r="C66211"/>
      <c r="E66211"/>
      <c r="F66211"/>
    </row>
    <row r="66212" spans="1:6" x14ac:dyDescent="0.25">
      <c r="A66212"/>
      <c r="B66212"/>
      <c r="C66212"/>
      <c r="E66212"/>
      <c r="F66212"/>
    </row>
    <row r="66213" spans="1:6" x14ac:dyDescent="0.25">
      <c r="A66213"/>
      <c r="B66213"/>
      <c r="C66213"/>
      <c r="E66213"/>
      <c r="F66213"/>
    </row>
    <row r="66214" spans="1:6" x14ac:dyDescent="0.25">
      <c r="A66214"/>
      <c r="B66214"/>
      <c r="C66214"/>
      <c r="E66214"/>
      <c r="F66214"/>
    </row>
    <row r="66215" spans="1:6" x14ac:dyDescent="0.25">
      <c r="A66215"/>
      <c r="B66215"/>
      <c r="C66215"/>
      <c r="E66215"/>
      <c r="F66215"/>
    </row>
    <row r="66216" spans="1:6" x14ac:dyDescent="0.25">
      <c r="A66216"/>
      <c r="B66216"/>
      <c r="C66216"/>
      <c r="E66216"/>
      <c r="F66216"/>
    </row>
    <row r="66217" spans="1:6" x14ac:dyDescent="0.25">
      <c r="A66217"/>
      <c r="B66217"/>
      <c r="C66217"/>
      <c r="E66217"/>
      <c r="F66217"/>
    </row>
    <row r="66218" spans="1:6" x14ac:dyDescent="0.25">
      <c r="A66218"/>
      <c r="B66218"/>
      <c r="C66218"/>
      <c r="E66218"/>
      <c r="F66218"/>
    </row>
    <row r="66219" spans="1:6" x14ac:dyDescent="0.25">
      <c r="A66219"/>
      <c r="B66219"/>
      <c r="C66219"/>
      <c r="E66219"/>
      <c r="F66219"/>
    </row>
    <row r="66220" spans="1:6" x14ac:dyDescent="0.25">
      <c r="A66220"/>
      <c r="B66220"/>
      <c r="C66220"/>
      <c r="E66220"/>
      <c r="F66220"/>
    </row>
    <row r="66221" spans="1:6" x14ac:dyDescent="0.25">
      <c r="A66221"/>
      <c r="B66221"/>
      <c r="C66221"/>
      <c r="E66221"/>
      <c r="F66221"/>
    </row>
    <row r="66222" spans="1:6" x14ac:dyDescent="0.25">
      <c r="A66222"/>
      <c r="B66222"/>
      <c r="C66222"/>
      <c r="E66222"/>
      <c r="F66222"/>
    </row>
    <row r="66223" spans="1:6" x14ac:dyDescent="0.25">
      <c r="A66223"/>
      <c r="B66223"/>
      <c r="C66223"/>
      <c r="E66223"/>
      <c r="F66223"/>
    </row>
    <row r="66224" spans="1:6" x14ac:dyDescent="0.25">
      <c r="A66224"/>
      <c r="B66224"/>
      <c r="C66224"/>
      <c r="E66224"/>
      <c r="F66224"/>
    </row>
    <row r="66225" spans="1:6" x14ac:dyDescent="0.25">
      <c r="A66225"/>
      <c r="B66225"/>
      <c r="C66225"/>
      <c r="E66225"/>
      <c r="F66225"/>
    </row>
    <row r="66226" spans="1:6" x14ac:dyDescent="0.25">
      <c r="A66226"/>
      <c r="B66226"/>
      <c r="C66226"/>
      <c r="E66226"/>
      <c r="F66226"/>
    </row>
    <row r="66227" spans="1:6" x14ac:dyDescent="0.25">
      <c r="A66227"/>
      <c r="B66227"/>
      <c r="C66227"/>
      <c r="E66227"/>
      <c r="F66227"/>
    </row>
    <row r="66228" spans="1:6" x14ac:dyDescent="0.25">
      <c r="A66228"/>
      <c r="B66228"/>
      <c r="C66228"/>
      <c r="E66228"/>
      <c r="F66228"/>
    </row>
    <row r="66229" spans="1:6" x14ac:dyDescent="0.25">
      <c r="A66229"/>
      <c r="B66229"/>
      <c r="C66229"/>
      <c r="E66229"/>
      <c r="F66229"/>
    </row>
    <row r="66230" spans="1:6" x14ac:dyDescent="0.25">
      <c r="A66230"/>
      <c r="B66230"/>
      <c r="C66230"/>
      <c r="E66230"/>
      <c r="F66230"/>
    </row>
    <row r="66231" spans="1:6" x14ac:dyDescent="0.25">
      <c r="A66231"/>
      <c r="B66231"/>
      <c r="C66231"/>
      <c r="E66231"/>
      <c r="F66231"/>
    </row>
    <row r="66232" spans="1:6" x14ac:dyDescent="0.25">
      <c r="A66232"/>
      <c r="B66232"/>
      <c r="C66232"/>
      <c r="E66232"/>
      <c r="F66232"/>
    </row>
    <row r="66233" spans="1:6" x14ac:dyDescent="0.25">
      <c r="A66233"/>
      <c r="B66233"/>
      <c r="C66233"/>
      <c r="E66233"/>
      <c r="F66233"/>
    </row>
    <row r="66234" spans="1:6" x14ac:dyDescent="0.25">
      <c r="A66234"/>
      <c r="B66234"/>
      <c r="C66234"/>
      <c r="E66234"/>
      <c r="F66234"/>
    </row>
    <row r="66235" spans="1:6" x14ac:dyDescent="0.25">
      <c r="A66235"/>
      <c r="B66235"/>
      <c r="C66235"/>
      <c r="E66235"/>
      <c r="F66235"/>
    </row>
    <row r="66236" spans="1:6" x14ac:dyDescent="0.25">
      <c r="A66236"/>
      <c r="B66236"/>
      <c r="C66236"/>
      <c r="E66236"/>
      <c r="F66236"/>
    </row>
    <row r="66237" spans="1:6" x14ac:dyDescent="0.25">
      <c r="A66237"/>
      <c r="B66237"/>
      <c r="C66237"/>
      <c r="E66237"/>
      <c r="F66237"/>
    </row>
    <row r="66238" spans="1:6" x14ac:dyDescent="0.25">
      <c r="A66238"/>
      <c r="B66238"/>
      <c r="C66238"/>
      <c r="E66238"/>
      <c r="F66238"/>
    </row>
    <row r="66239" spans="1:6" x14ac:dyDescent="0.25">
      <c r="A66239"/>
      <c r="B66239"/>
      <c r="C66239"/>
      <c r="E66239"/>
      <c r="F66239"/>
    </row>
    <row r="66240" spans="1:6" x14ac:dyDescent="0.25">
      <c r="A66240"/>
      <c r="B66240"/>
      <c r="C66240"/>
      <c r="E66240"/>
      <c r="F66240"/>
    </row>
    <row r="66241" spans="1:6" x14ac:dyDescent="0.25">
      <c r="A66241"/>
      <c r="B66241"/>
      <c r="C66241"/>
      <c r="E66241"/>
      <c r="F66241"/>
    </row>
    <row r="66242" spans="1:6" x14ac:dyDescent="0.25">
      <c r="A66242"/>
      <c r="B66242"/>
      <c r="C66242"/>
      <c r="E66242"/>
      <c r="F66242"/>
    </row>
    <row r="66243" spans="1:6" x14ac:dyDescent="0.25">
      <c r="A66243"/>
      <c r="B66243"/>
      <c r="C66243"/>
      <c r="E66243"/>
      <c r="F66243"/>
    </row>
    <row r="66244" spans="1:6" x14ac:dyDescent="0.25">
      <c r="A66244"/>
      <c r="B66244"/>
      <c r="C66244"/>
      <c r="E66244"/>
      <c r="F66244"/>
    </row>
    <row r="66245" spans="1:6" x14ac:dyDescent="0.25">
      <c r="A66245"/>
      <c r="B66245"/>
      <c r="C66245"/>
      <c r="E66245"/>
      <c r="F66245"/>
    </row>
    <row r="66246" spans="1:6" x14ac:dyDescent="0.25">
      <c r="A66246"/>
      <c r="B66246"/>
      <c r="C66246"/>
      <c r="E66246"/>
      <c r="F66246"/>
    </row>
    <row r="66247" spans="1:6" x14ac:dyDescent="0.25">
      <c r="A66247"/>
      <c r="B66247"/>
      <c r="C66247"/>
      <c r="E66247"/>
      <c r="F66247"/>
    </row>
    <row r="66248" spans="1:6" x14ac:dyDescent="0.25">
      <c r="A66248"/>
      <c r="B66248"/>
      <c r="C66248"/>
      <c r="E66248"/>
      <c r="F66248"/>
    </row>
    <row r="66249" spans="1:6" x14ac:dyDescent="0.25">
      <c r="A66249"/>
      <c r="B66249"/>
      <c r="C66249"/>
      <c r="E66249"/>
      <c r="F66249"/>
    </row>
    <row r="66250" spans="1:6" x14ac:dyDescent="0.25">
      <c r="A66250"/>
      <c r="B66250"/>
      <c r="C66250"/>
      <c r="E66250"/>
      <c r="F66250"/>
    </row>
    <row r="66251" spans="1:6" x14ac:dyDescent="0.25">
      <c r="A66251"/>
      <c r="B66251"/>
      <c r="C66251"/>
      <c r="E66251"/>
      <c r="F66251"/>
    </row>
    <row r="66252" spans="1:6" x14ac:dyDescent="0.25">
      <c r="A66252"/>
      <c r="B66252"/>
      <c r="C66252"/>
      <c r="E66252"/>
      <c r="F66252"/>
    </row>
    <row r="66253" spans="1:6" x14ac:dyDescent="0.25">
      <c r="A66253"/>
      <c r="B66253"/>
      <c r="C66253"/>
      <c r="E66253"/>
      <c r="F66253"/>
    </row>
    <row r="66254" spans="1:6" x14ac:dyDescent="0.25">
      <c r="A66254"/>
      <c r="B66254"/>
      <c r="C66254"/>
      <c r="E66254"/>
      <c r="F66254"/>
    </row>
    <row r="66255" spans="1:6" x14ac:dyDescent="0.25">
      <c r="A66255"/>
      <c r="B66255"/>
      <c r="C66255"/>
      <c r="E66255"/>
      <c r="F66255"/>
    </row>
    <row r="66256" spans="1:6" x14ac:dyDescent="0.25">
      <c r="A66256"/>
      <c r="B66256"/>
      <c r="C66256"/>
      <c r="E66256"/>
      <c r="F66256"/>
    </row>
    <row r="66257" spans="1:6" x14ac:dyDescent="0.25">
      <c r="A66257"/>
      <c r="B66257"/>
      <c r="C66257"/>
      <c r="E66257"/>
      <c r="F66257"/>
    </row>
    <row r="66258" spans="1:6" x14ac:dyDescent="0.25">
      <c r="A66258"/>
      <c r="B66258"/>
      <c r="C66258"/>
      <c r="E66258"/>
      <c r="F66258"/>
    </row>
    <row r="66259" spans="1:6" x14ac:dyDescent="0.25">
      <c r="A66259"/>
      <c r="B66259"/>
      <c r="C66259"/>
      <c r="E66259"/>
      <c r="F66259"/>
    </row>
    <row r="66260" spans="1:6" x14ac:dyDescent="0.25">
      <c r="A66260"/>
      <c r="B66260"/>
      <c r="C66260"/>
      <c r="E66260"/>
      <c r="F66260"/>
    </row>
    <row r="66261" spans="1:6" x14ac:dyDescent="0.25">
      <c r="A66261"/>
      <c r="B66261"/>
      <c r="C66261"/>
      <c r="E66261"/>
      <c r="F66261"/>
    </row>
    <row r="66262" spans="1:6" x14ac:dyDescent="0.25">
      <c r="A66262"/>
      <c r="B66262"/>
      <c r="C66262"/>
      <c r="E66262"/>
      <c r="F66262"/>
    </row>
    <row r="66263" spans="1:6" x14ac:dyDescent="0.25">
      <c r="A66263"/>
      <c r="B66263"/>
      <c r="C66263"/>
      <c r="E66263"/>
      <c r="F66263"/>
    </row>
    <row r="66264" spans="1:6" x14ac:dyDescent="0.25">
      <c r="A66264"/>
      <c r="B66264"/>
      <c r="C66264"/>
      <c r="E66264"/>
      <c r="F66264"/>
    </row>
    <row r="66265" spans="1:6" x14ac:dyDescent="0.25">
      <c r="A66265"/>
      <c r="B66265"/>
      <c r="C66265"/>
      <c r="E66265"/>
      <c r="F66265"/>
    </row>
    <row r="66266" spans="1:6" x14ac:dyDescent="0.25">
      <c r="A66266"/>
      <c r="B66266"/>
      <c r="C66266"/>
      <c r="E66266"/>
      <c r="F66266"/>
    </row>
    <row r="66267" spans="1:6" x14ac:dyDescent="0.25">
      <c r="A66267"/>
      <c r="B66267"/>
      <c r="C66267"/>
      <c r="E66267"/>
      <c r="F66267"/>
    </row>
    <row r="66268" spans="1:6" x14ac:dyDescent="0.25">
      <c r="A66268"/>
      <c r="B66268"/>
      <c r="C66268"/>
      <c r="E66268"/>
      <c r="F66268"/>
    </row>
    <row r="66269" spans="1:6" x14ac:dyDescent="0.25">
      <c r="A66269"/>
      <c r="B66269"/>
      <c r="C66269"/>
      <c r="E66269"/>
      <c r="F66269"/>
    </row>
    <row r="66270" spans="1:6" x14ac:dyDescent="0.25">
      <c r="A66270"/>
      <c r="B66270"/>
      <c r="C66270"/>
      <c r="E66270"/>
      <c r="F66270"/>
    </row>
    <row r="66271" spans="1:6" x14ac:dyDescent="0.25">
      <c r="A66271"/>
      <c r="B66271"/>
      <c r="C66271"/>
      <c r="E66271"/>
      <c r="F66271"/>
    </row>
    <row r="66272" spans="1:6" x14ac:dyDescent="0.25">
      <c r="A66272"/>
      <c r="B66272"/>
      <c r="C66272"/>
      <c r="E66272"/>
      <c r="F66272"/>
    </row>
    <row r="66273" spans="1:6" x14ac:dyDescent="0.25">
      <c r="A66273"/>
      <c r="B66273"/>
      <c r="C66273"/>
      <c r="E66273"/>
      <c r="F66273"/>
    </row>
    <row r="66274" spans="1:6" x14ac:dyDescent="0.25">
      <c r="A66274"/>
      <c r="B66274"/>
      <c r="C66274"/>
      <c r="E66274"/>
      <c r="F66274"/>
    </row>
    <row r="66275" spans="1:6" x14ac:dyDescent="0.25">
      <c r="A66275"/>
      <c r="B66275"/>
      <c r="C66275"/>
      <c r="E66275"/>
      <c r="F66275"/>
    </row>
    <row r="66276" spans="1:6" x14ac:dyDescent="0.25">
      <c r="A66276"/>
      <c r="B66276"/>
      <c r="C66276"/>
      <c r="E66276"/>
      <c r="F66276"/>
    </row>
    <row r="66277" spans="1:6" x14ac:dyDescent="0.25">
      <c r="A66277"/>
      <c r="B66277"/>
      <c r="C66277"/>
      <c r="E66277"/>
      <c r="F66277"/>
    </row>
    <row r="66278" spans="1:6" x14ac:dyDescent="0.25">
      <c r="A66278"/>
      <c r="B66278"/>
      <c r="C66278"/>
      <c r="E66278"/>
      <c r="F66278"/>
    </row>
    <row r="66279" spans="1:6" x14ac:dyDescent="0.25">
      <c r="A66279"/>
      <c r="B66279"/>
      <c r="C66279"/>
      <c r="E66279"/>
      <c r="F66279"/>
    </row>
    <row r="66280" spans="1:6" x14ac:dyDescent="0.25">
      <c r="A66280"/>
      <c r="B66280"/>
      <c r="C66280"/>
      <c r="E66280"/>
      <c r="F66280"/>
    </row>
    <row r="66281" spans="1:6" x14ac:dyDescent="0.25">
      <c r="A66281"/>
      <c r="B66281"/>
      <c r="C66281"/>
      <c r="E66281"/>
      <c r="F66281"/>
    </row>
    <row r="66282" spans="1:6" x14ac:dyDescent="0.25">
      <c r="A66282"/>
      <c r="B66282"/>
      <c r="C66282"/>
      <c r="E66282"/>
      <c r="F66282"/>
    </row>
    <row r="66283" spans="1:6" x14ac:dyDescent="0.25">
      <c r="A66283"/>
      <c r="B66283"/>
      <c r="C66283"/>
      <c r="E66283"/>
      <c r="F66283"/>
    </row>
    <row r="66284" spans="1:6" x14ac:dyDescent="0.25">
      <c r="A66284"/>
      <c r="B66284"/>
      <c r="C66284"/>
      <c r="E66284"/>
      <c r="F66284"/>
    </row>
    <row r="66285" spans="1:6" x14ac:dyDescent="0.25">
      <c r="A66285"/>
      <c r="B66285"/>
      <c r="C66285"/>
      <c r="E66285"/>
      <c r="F66285"/>
    </row>
    <row r="66286" spans="1:6" x14ac:dyDescent="0.25">
      <c r="A66286"/>
      <c r="B66286"/>
      <c r="C66286"/>
      <c r="E66286"/>
      <c r="F66286"/>
    </row>
    <row r="66287" spans="1:6" x14ac:dyDescent="0.25">
      <c r="A66287"/>
      <c r="B66287"/>
      <c r="C66287"/>
      <c r="E66287"/>
      <c r="F66287"/>
    </row>
    <row r="66288" spans="1:6" x14ac:dyDescent="0.25">
      <c r="A66288"/>
      <c r="B66288"/>
      <c r="C66288"/>
      <c r="E66288"/>
      <c r="F66288"/>
    </row>
    <row r="66289" spans="1:6" x14ac:dyDescent="0.25">
      <c r="A66289"/>
      <c r="B66289"/>
      <c r="C66289"/>
      <c r="E66289"/>
      <c r="F66289"/>
    </row>
    <row r="66290" spans="1:6" x14ac:dyDescent="0.25">
      <c r="A66290"/>
      <c r="B66290"/>
      <c r="C66290"/>
      <c r="E66290"/>
      <c r="F66290"/>
    </row>
    <row r="66291" spans="1:6" x14ac:dyDescent="0.25">
      <c r="A66291"/>
      <c r="B66291"/>
      <c r="C66291"/>
      <c r="E66291"/>
      <c r="F66291"/>
    </row>
    <row r="66292" spans="1:6" x14ac:dyDescent="0.25">
      <c r="A66292"/>
      <c r="B66292"/>
      <c r="C66292"/>
      <c r="E66292"/>
      <c r="F66292"/>
    </row>
    <row r="66293" spans="1:6" x14ac:dyDescent="0.25">
      <c r="A66293"/>
      <c r="B66293"/>
      <c r="C66293"/>
      <c r="E66293"/>
      <c r="F66293"/>
    </row>
    <row r="66294" spans="1:6" x14ac:dyDescent="0.25">
      <c r="A66294"/>
      <c r="B66294"/>
      <c r="C66294"/>
      <c r="E66294"/>
      <c r="F66294"/>
    </row>
    <row r="66295" spans="1:6" x14ac:dyDescent="0.25">
      <c r="A66295"/>
      <c r="B66295"/>
      <c r="C66295"/>
      <c r="E66295"/>
      <c r="F66295"/>
    </row>
    <row r="66296" spans="1:6" x14ac:dyDescent="0.25">
      <c r="A66296"/>
      <c r="B66296"/>
      <c r="C66296"/>
      <c r="E66296"/>
      <c r="F66296"/>
    </row>
    <row r="66297" spans="1:6" x14ac:dyDescent="0.25">
      <c r="A66297"/>
      <c r="B66297"/>
      <c r="C66297"/>
      <c r="E66297"/>
      <c r="F66297"/>
    </row>
    <row r="66298" spans="1:6" x14ac:dyDescent="0.25">
      <c r="A66298"/>
      <c r="B66298"/>
      <c r="C66298"/>
      <c r="E66298"/>
      <c r="F66298"/>
    </row>
    <row r="66299" spans="1:6" x14ac:dyDescent="0.25">
      <c r="A66299"/>
      <c r="B66299"/>
      <c r="C66299"/>
      <c r="E66299"/>
      <c r="F66299"/>
    </row>
    <row r="66300" spans="1:6" x14ac:dyDescent="0.25">
      <c r="A66300"/>
      <c r="B66300"/>
      <c r="C66300"/>
      <c r="E66300"/>
      <c r="F66300"/>
    </row>
    <row r="66301" spans="1:6" x14ac:dyDescent="0.25">
      <c r="A66301"/>
      <c r="B66301"/>
      <c r="C66301"/>
      <c r="E66301"/>
      <c r="F66301"/>
    </row>
    <row r="66302" spans="1:6" x14ac:dyDescent="0.25">
      <c r="A66302"/>
      <c r="B66302"/>
      <c r="C66302"/>
      <c r="E66302"/>
      <c r="F66302"/>
    </row>
    <row r="66303" spans="1:6" x14ac:dyDescent="0.25">
      <c r="A66303"/>
      <c r="B66303"/>
      <c r="C66303"/>
      <c r="E66303"/>
      <c r="F66303"/>
    </row>
    <row r="66304" spans="1:6" x14ac:dyDescent="0.25">
      <c r="A66304"/>
      <c r="B66304"/>
      <c r="C66304"/>
      <c r="E66304"/>
      <c r="F66304"/>
    </row>
    <row r="66305" spans="1:6" x14ac:dyDescent="0.25">
      <c r="A66305"/>
      <c r="B66305"/>
      <c r="C66305"/>
      <c r="E66305"/>
      <c r="F66305"/>
    </row>
    <row r="66306" spans="1:6" x14ac:dyDescent="0.25">
      <c r="A66306"/>
      <c r="B66306"/>
      <c r="C66306"/>
      <c r="E66306"/>
      <c r="F66306"/>
    </row>
    <row r="66307" spans="1:6" x14ac:dyDescent="0.25">
      <c r="A66307"/>
      <c r="B66307"/>
      <c r="C66307"/>
      <c r="E66307"/>
      <c r="F66307"/>
    </row>
    <row r="66308" spans="1:6" x14ac:dyDescent="0.25">
      <c r="A66308"/>
      <c r="B66308"/>
      <c r="C66308"/>
      <c r="E66308"/>
      <c r="F66308"/>
    </row>
    <row r="66309" spans="1:6" x14ac:dyDescent="0.25">
      <c r="A66309"/>
      <c r="B66309"/>
      <c r="C66309"/>
      <c r="E66309"/>
      <c r="F66309"/>
    </row>
    <row r="66310" spans="1:6" x14ac:dyDescent="0.25">
      <c r="A66310"/>
      <c r="B66310"/>
      <c r="C66310"/>
      <c r="E66310"/>
      <c r="F66310"/>
    </row>
    <row r="66311" spans="1:6" x14ac:dyDescent="0.25">
      <c r="A66311"/>
      <c r="B66311"/>
      <c r="C66311"/>
      <c r="E66311"/>
      <c r="F66311"/>
    </row>
    <row r="66312" spans="1:6" x14ac:dyDescent="0.25">
      <c r="A66312"/>
      <c r="B66312"/>
      <c r="C66312"/>
      <c r="E66312"/>
      <c r="F66312"/>
    </row>
    <row r="66313" spans="1:6" x14ac:dyDescent="0.25">
      <c r="A66313"/>
      <c r="B66313"/>
      <c r="C66313"/>
      <c r="E66313"/>
      <c r="F66313"/>
    </row>
    <row r="66314" spans="1:6" x14ac:dyDescent="0.25">
      <c r="A66314"/>
      <c r="B66314"/>
      <c r="C66314"/>
      <c r="E66314"/>
      <c r="F66314"/>
    </row>
    <row r="66315" spans="1:6" x14ac:dyDescent="0.25">
      <c r="A66315"/>
      <c r="B66315"/>
      <c r="C66315"/>
      <c r="E66315"/>
      <c r="F66315"/>
    </row>
    <row r="66316" spans="1:6" x14ac:dyDescent="0.25">
      <c r="A66316"/>
      <c r="B66316"/>
      <c r="C66316"/>
      <c r="E66316"/>
      <c r="F66316"/>
    </row>
    <row r="66317" spans="1:6" x14ac:dyDescent="0.25">
      <c r="A66317"/>
      <c r="B66317"/>
      <c r="C66317"/>
      <c r="E66317"/>
      <c r="F66317"/>
    </row>
    <row r="66318" spans="1:6" x14ac:dyDescent="0.25">
      <c r="A66318"/>
      <c r="B66318"/>
      <c r="C66318"/>
      <c r="E66318"/>
      <c r="F66318"/>
    </row>
    <row r="66319" spans="1:6" x14ac:dyDescent="0.25">
      <c r="A66319"/>
      <c r="B66319"/>
      <c r="C66319"/>
      <c r="E66319"/>
      <c r="F66319"/>
    </row>
    <row r="66320" spans="1:6" x14ac:dyDescent="0.25">
      <c r="A66320"/>
      <c r="B66320"/>
      <c r="C66320"/>
      <c r="E66320"/>
      <c r="F66320"/>
    </row>
    <row r="66321" spans="1:6" x14ac:dyDescent="0.25">
      <c r="A66321"/>
      <c r="B66321"/>
      <c r="C66321"/>
      <c r="E66321"/>
      <c r="F66321"/>
    </row>
    <row r="66322" spans="1:6" x14ac:dyDescent="0.25">
      <c r="A66322"/>
      <c r="B66322"/>
      <c r="C66322"/>
      <c r="E66322"/>
      <c r="F66322"/>
    </row>
    <row r="66323" spans="1:6" x14ac:dyDescent="0.25">
      <c r="A66323"/>
      <c r="B66323"/>
      <c r="C66323"/>
      <c r="E66323"/>
      <c r="F66323"/>
    </row>
    <row r="66324" spans="1:6" x14ac:dyDescent="0.25">
      <c r="A66324"/>
      <c r="B66324"/>
      <c r="C66324"/>
      <c r="E66324"/>
      <c r="F66324"/>
    </row>
    <row r="66325" spans="1:6" x14ac:dyDescent="0.25">
      <c r="A66325"/>
      <c r="B66325"/>
      <c r="C66325"/>
      <c r="E66325"/>
      <c r="F66325"/>
    </row>
    <row r="66326" spans="1:6" x14ac:dyDescent="0.25">
      <c r="A66326"/>
      <c r="B66326"/>
      <c r="C66326"/>
      <c r="E66326"/>
      <c r="F66326"/>
    </row>
    <row r="66327" spans="1:6" x14ac:dyDescent="0.25">
      <c r="A66327"/>
      <c r="B66327"/>
      <c r="C66327"/>
      <c r="E66327"/>
      <c r="F66327"/>
    </row>
    <row r="66328" spans="1:6" x14ac:dyDescent="0.25">
      <c r="A66328"/>
      <c r="B66328"/>
      <c r="C66328"/>
      <c r="E66328"/>
      <c r="F66328"/>
    </row>
    <row r="66329" spans="1:6" x14ac:dyDescent="0.25">
      <c r="A66329"/>
      <c r="B66329"/>
      <c r="C66329"/>
      <c r="E66329"/>
      <c r="F66329"/>
    </row>
    <row r="66330" spans="1:6" x14ac:dyDescent="0.25">
      <c r="A66330"/>
      <c r="B66330"/>
      <c r="C66330"/>
      <c r="E66330"/>
      <c r="F66330"/>
    </row>
    <row r="66331" spans="1:6" x14ac:dyDescent="0.25">
      <c r="A66331"/>
      <c r="B66331"/>
      <c r="C66331"/>
      <c r="E66331"/>
      <c r="F66331"/>
    </row>
    <row r="66332" spans="1:6" x14ac:dyDescent="0.25">
      <c r="A66332"/>
      <c r="B66332"/>
      <c r="C66332"/>
      <c r="E66332"/>
      <c r="F66332"/>
    </row>
    <row r="66333" spans="1:6" x14ac:dyDescent="0.25">
      <c r="A66333"/>
      <c r="B66333"/>
      <c r="C66333"/>
      <c r="E66333"/>
      <c r="F66333"/>
    </row>
    <row r="66334" spans="1:6" x14ac:dyDescent="0.25">
      <c r="A66334"/>
      <c r="B66334"/>
      <c r="C66334"/>
      <c r="E66334"/>
      <c r="F66334"/>
    </row>
    <row r="66335" spans="1:6" x14ac:dyDescent="0.25">
      <c r="A66335"/>
      <c r="B66335"/>
      <c r="C66335"/>
      <c r="E66335"/>
      <c r="F66335"/>
    </row>
    <row r="66336" spans="1:6" x14ac:dyDescent="0.25">
      <c r="A66336"/>
      <c r="B66336"/>
      <c r="C66336"/>
      <c r="E66336"/>
      <c r="F66336"/>
    </row>
    <row r="66337" spans="1:6" x14ac:dyDescent="0.25">
      <c r="A66337"/>
      <c r="B66337"/>
      <c r="C66337"/>
      <c r="E66337"/>
      <c r="F66337"/>
    </row>
    <row r="66338" spans="1:6" x14ac:dyDescent="0.25">
      <c r="A66338"/>
      <c r="B66338"/>
      <c r="C66338"/>
      <c r="E66338"/>
      <c r="F66338"/>
    </row>
    <row r="66339" spans="1:6" x14ac:dyDescent="0.25">
      <c r="A66339"/>
      <c r="B66339"/>
      <c r="C66339"/>
      <c r="E66339"/>
      <c r="F66339"/>
    </row>
    <row r="66340" spans="1:6" x14ac:dyDescent="0.25">
      <c r="A66340"/>
      <c r="B66340"/>
      <c r="C66340"/>
      <c r="E66340"/>
      <c r="F66340"/>
    </row>
    <row r="66341" spans="1:6" x14ac:dyDescent="0.25">
      <c r="A66341"/>
      <c r="B66341"/>
      <c r="C66341"/>
      <c r="E66341"/>
      <c r="F66341"/>
    </row>
    <row r="66342" spans="1:6" x14ac:dyDescent="0.25">
      <c r="A66342"/>
      <c r="B66342"/>
      <c r="C66342"/>
      <c r="E66342"/>
      <c r="F66342"/>
    </row>
    <row r="66343" spans="1:6" x14ac:dyDescent="0.25">
      <c r="A66343"/>
      <c r="B66343"/>
      <c r="C66343"/>
      <c r="E66343"/>
      <c r="F66343"/>
    </row>
    <row r="66344" spans="1:6" x14ac:dyDescent="0.25">
      <c r="A66344"/>
      <c r="B66344"/>
      <c r="C66344"/>
      <c r="E66344"/>
      <c r="F66344"/>
    </row>
    <row r="66345" spans="1:6" x14ac:dyDescent="0.25">
      <c r="A66345"/>
      <c r="B66345"/>
      <c r="C66345"/>
      <c r="E66345"/>
      <c r="F66345"/>
    </row>
    <row r="66346" spans="1:6" x14ac:dyDescent="0.25">
      <c r="A66346"/>
      <c r="B66346"/>
      <c r="C66346"/>
      <c r="E66346"/>
      <c r="F66346"/>
    </row>
    <row r="66347" spans="1:6" x14ac:dyDescent="0.25">
      <c r="A66347"/>
      <c r="B66347"/>
      <c r="C66347"/>
      <c r="E66347"/>
      <c r="F66347"/>
    </row>
    <row r="66348" spans="1:6" x14ac:dyDescent="0.25">
      <c r="A66348"/>
      <c r="B66348"/>
      <c r="C66348"/>
      <c r="E66348"/>
      <c r="F66348"/>
    </row>
    <row r="66349" spans="1:6" x14ac:dyDescent="0.25">
      <c r="A66349"/>
      <c r="B66349"/>
      <c r="C66349"/>
      <c r="E66349"/>
      <c r="F66349"/>
    </row>
    <row r="66350" spans="1:6" x14ac:dyDescent="0.25">
      <c r="A66350"/>
      <c r="B66350"/>
      <c r="C66350"/>
      <c r="E66350"/>
      <c r="F66350"/>
    </row>
    <row r="66351" spans="1:6" x14ac:dyDescent="0.25">
      <c r="A66351"/>
      <c r="B66351"/>
      <c r="C66351"/>
      <c r="E66351"/>
      <c r="F66351"/>
    </row>
    <row r="66352" spans="1:6" x14ac:dyDescent="0.25">
      <c r="A66352"/>
      <c r="B66352"/>
      <c r="C66352"/>
      <c r="E66352"/>
      <c r="F66352"/>
    </row>
    <row r="66353" spans="1:6" x14ac:dyDescent="0.25">
      <c r="A66353"/>
      <c r="B66353"/>
      <c r="C66353"/>
      <c r="E66353"/>
      <c r="F66353"/>
    </row>
    <row r="66354" spans="1:6" x14ac:dyDescent="0.25">
      <c r="A66354"/>
      <c r="B66354"/>
      <c r="C66354"/>
      <c r="E66354"/>
      <c r="F66354"/>
    </row>
    <row r="66355" spans="1:6" x14ac:dyDescent="0.25">
      <c r="A66355"/>
      <c r="B66355"/>
      <c r="C66355"/>
      <c r="E66355"/>
      <c r="F66355"/>
    </row>
    <row r="66356" spans="1:6" x14ac:dyDescent="0.25">
      <c r="A66356"/>
      <c r="B66356"/>
      <c r="C66356"/>
      <c r="E66356"/>
      <c r="F66356"/>
    </row>
    <row r="66357" spans="1:6" x14ac:dyDescent="0.25">
      <c r="A66357"/>
      <c r="B66357"/>
      <c r="C66357"/>
      <c r="E66357"/>
      <c r="F66357"/>
    </row>
    <row r="66358" spans="1:6" x14ac:dyDescent="0.25">
      <c r="A66358"/>
      <c r="B66358"/>
      <c r="C66358"/>
      <c r="E66358"/>
      <c r="F66358"/>
    </row>
    <row r="66359" spans="1:6" x14ac:dyDescent="0.25">
      <c r="A66359"/>
      <c r="B66359"/>
      <c r="C66359"/>
      <c r="E66359"/>
      <c r="F66359"/>
    </row>
    <row r="66360" spans="1:6" x14ac:dyDescent="0.25">
      <c r="A66360"/>
      <c r="B66360"/>
      <c r="C66360"/>
      <c r="E66360"/>
      <c r="F66360"/>
    </row>
    <row r="66361" spans="1:6" x14ac:dyDescent="0.25">
      <c r="A66361"/>
      <c r="B66361"/>
      <c r="C66361"/>
      <c r="E66361"/>
      <c r="F66361"/>
    </row>
    <row r="66362" spans="1:6" x14ac:dyDescent="0.25">
      <c r="A66362"/>
      <c r="B66362"/>
      <c r="C66362"/>
      <c r="E66362"/>
      <c r="F66362"/>
    </row>
    <row r="66363" spans="1:6" x14ac:dyDescent="0.25">
      <c r="A66363"/>
      <c r="B66363"/>
      <c r="C66363"/>
      <c r="E66363"/>
      <c r="F66363"/>
    </row>
    <row r="66364" spans="1:6" x14ac:dyDescent="0.25">
      <c r="A66364"/>
      <c r="B66364"/>
      <c r="C66364"/>
      <c r="E66364"/>
      <c r="F66364"/>
    </row>
    <row r="66365" spans="1:6" x14ac:dyDescent="0.25">
      <c r="A66365"/>
      <c r="B66365"/>
      <c r="C66365"/>
      <c r="E66365"/>
      <c r="F66365"/>
    </row>
    <row r="66366" spans="1:6" x14ac:dyDescent="0.25">
      <c r="A66366"/>
      <c r="B66366"/>
      <c r="C66366"/>
      <c r="E66366"/>
      <c r="F66366"/>
    </row>
    <row r="66367" spans="1:6" x14ac:dyDescent="0.25">
      <c r="A66367"/>
      <c r="B66367"/>
      <c r="C66367"/>
      <c r="E66367"/>
      <c r="F66367"/>
    </row>
    <row r="66368" spans="1:6" x14ac:dyDescent="0.25">
      <c r="A66368"/>
      <c r="B66368"/>
      <c r="C66368"/>
      <c r="E66368"/>
      <c r="F66368"/>
    </row>
    <row r="66369" spans="1:6" x14ac:dyDescent="0.25">
      <c r="A66369"/>
      <c r="B66369"/>
      <c r="C66369"/>
      <c r="E66369"/>
      <c r="F66369"/>
    </row>
    <row r="66370" spans="1:6" x14ac:dyDescent="0.25">
      <c r="A66370"/>
      <c r="B66370"/>
      <c r="C66370"/>
      <c r="E66370"/>
      <c r="F66370"/>
    </row>
    <row r="66371" spans="1:6" x14ac:dyDescent="0.25">
      <c r="A66371"/>
      <c r="B66371"/>
      <c r="C66371"/>
      <c r="E66371"/>
      <c r="F66371"/>
    </row>
    <row r="66372" spans="1:6" x14ac:dyDescent="0.25">
      <c r="A66372"/>
      <c r="B66372"/>
      <c r="C66372"/>
      <c r="E66372"/>
      <c r="F66372"/>
    </row>
    <row r="66373" spans="1:6" x14ac:dyDescent="0.25">
      <c r="A66373"/>
      <c r="B66373"/>
      <c r="C66373"/>
      <c r="E66373"/>
      <c r="F66373"/>
    </row>
    <row r="66374" spans="1:6" x14ac:dyDescent="0.25">
      <c r="A66374"/>
      <c r="B66374"/>
      <c r="C66374"/>
      <c r="E66374"/>
      <c r="F66374"/>
    </row>
    <row r="66375" spans="1:6" x14ac:dyDescent="0.25">
      <c r="A66375"/>
      <c r="B66375"/>
      <c r="C66375"/>
      <c r="E66375"/>
      <c r="F66375"/>
    </row>
    <row r="66376" spans="1:6" x14ac:dyDescent="0.25">
      <c r="A66376"/>
      <c r="B66376"/>
      <c r="C66376"/>
      <c r="E66376"/>
      <c r="F66376"/>
    </row>
    <row r="66377" spans="1:6" x14ac:dyDescent="0.25">
      <c r="A66377"/>
      <c r="B66377"/>
      <c r="C66377"/>
      <c r="E66377"/>
      <c r="F66377"/>
    </row>
    <row r="66378" spans="1:6" x14ac:dyDescent="0.25">
      <c r="A66378"/>
      <c r="B66378"/>
      <c r="C66378"/>
      <c r="E66378"/>
      <c r="F66378"/>
    </row>
    <row r="66379" spans="1:6" x14ac:dyDescent="0.25">
      <c r="A66379"/>
      <c r="B66379"/>
      <c r="C66379"/>
      <c r="E66379"/>
      <c r="F66379"/>
    </row>
    <row r="66380" spans="1:6" x14ac:dyDescent="0.25">
      <c r="A66380"/>
      <c r="B66380"/>
      <c r="C66380"/>
      <c r="E66380"/>
      <c r="F66380"/>
    </row>
    <row r="66381" spans="1:6" x14ac:dyDescent="0.25">
      <c r="A66381"/>
      <c r="B66381"/>
      <c r="C66381"/>
      <c r="E66381"/>
      <c r="F66381"/>
    </row>
    <row r="66382" spans="1:6" x14ac:dyDescent="0.25">
      <c r="A66382"/>
      <c r="B66382"/>
      <c r="C66382"/>
      <c r="E66382"/>
      <c r="F66382"/>
    </row>
    <row r="66383" spans="1:6" x14ac:dyDescent="0.25">
      <c r="A66383"/>
      <c r="B66383"/>
      <c r="C66383"/>
      <c r="E66383"/>
      <c r="F66383"/>
    </row>
    <row r="66384" spans="1:6" x14ac:dyDescent="0.25">
      <c r="A66384"/>
      <c r="B66384"/>
      <c r="C66384"/>
      <c r="E66384"/>
      <c r="F66384"/>
    </row>
    <row r="66385" spans="1:6" x14ac:dyDescent="0.25">
      <c r="A66385"/>
      <c r="B66385"/>
      <c r="C66385"/>
      <c r="E66385"/>
      <c r="F66385"/>
    </row>
    <row r="66386" spans="1:6" x14ac:dyDescent="0.25">
      <c r="A66386"/>
      <c r="B66386"/>
      <c r="C66386"/>
      <c r="E66386"/>
      <c r="F66386"/>
    </row>
    <row r="66387" spans="1:6" x14ac:dyDescent="0.25">
      <c r="A66387"/>
      <c r="B66387"/>
      <c r="C66387"/>
      <c r="E66387"/>
      <c r="F66387"/>
    </row>
    <row r="66388" spans="1:6" x14ac:dyDescent="0.25">
      <c r="A66388"/>
      <c r="B66388"/>
      <c r="C66388"/>
      <c r="E66388"/>
      <c r="F66388"/>
    </row>
    <row r="66389" spans="1:6" x14ac:dyDescent="0.25">
      <c r="A66389"/>
      <c r="B66389"/>
      <c r="C66389"/>
      <c r="E66389"/>
      <c r="F66389"/>
    </row>
    <row r="66390" spans="1:6" x14ac:dyDescent="0.25">
      <c r="A66390"/>
      <c r="B66390"/>
      <c r="C66390"/>
      <c r="E66390"/>
      <c r="F66390"/>
    </row>
    <row r="66391" spans="1:6" x14ac:dyDescent="0.25">
      <c r="A66391"/>
      <c r="B66391"/>
      <c r="C66391"/>
      <c r="E66391"/>
      <c r="F66391"/>
    </row>
    <row r="66392" spans="1:6" x14ac:dyDescent="0.25">
      <c r="A66392"/>
      <c r="B66392"/>
      <c r="C66392"/>
      <c r="E66392"/>
      <c r="F66392"/>
    </row>
    <row r="66393" spans="1:6" x14ac:dyDescent="0.25">
      <c r="A66393"/>
      <c r="B66393"/>
      <c r="C66393"/>
      <c r="E66393"/>
      <c r="F66393"/>
    </row>
    <row r="66394" spans="1:6" x14ac:dyDescent="0.25">
      <c r="A66394"/>
      <c r="B66394"/>
      <c r="C66394"/>
      <c r="E66394"/>
      <c r="F66394"/>
    </row>
    <row r="66395" spans="1:6" x14ac:dyDescent="0.25">
      <c r="A66395"/>
      <c r="B66395"/>
      <c r="C66395"/>
      <c r="E66395"/>
      <c r="F66395"/>
    </row>
    <row r="66396" spans="1:6" x14ac:dyDescent="0.25">
      <c r="A66396"/>
      <c r="B66396"/>
      <c r="C66396"/>
      <c r="E66396"/>
      <c r="F66396"/>
    </row>
    <row r="66397" spans="1:6" x14ac:dyDescent="0.25">
      <c r="A66397"/>
      <c r="B66397"/>
      <c r="C66397"/>
      <c r="E66397"/>
      <c r="F66397"/>
    </row>
    <row r="66398" spans="1:6" x14ac:dyDescent="0.25">
      <c r="A66398"/>
      <c r="B66398"/>
      <c r="C66398"/>
      <c r="E66398"/>
      <c r="F66398"/>
    </row>
    <row r="66399" spans="1:6" x14ac:dyDescent="0.25">
      <c r="A66399"/>
      <c r="B66399"/>
      <c r="C66399"/>
      <c r="E66399"/>
      <c r="F66399"/>
    </row>
    <row r="66400" spans="1:6" x14ac:dyDescent="0.25">
      <c r="A66400"/>
      <c r="B66400"/>
      <c r="C66400"/>
      <c r="E66400"/>
      <c r="F66400"/>
    </row>
    <row r="66401" spans="1:6" x14ac:dyDescent="0.25">
      <c r="A66401"/>
      <c r="B66401"/>
      <c r="C66401"/>
      <c r="E66401"/>
      <c r="F66401"/>
    </row>
    <row r="66402" spans="1:6" x14ac:dyDescent="0.25">
      <c r="A66402"/>
      <c r="B66402"/>
      <c r="C66402"/>
      <c r="E66402"/>
      <c r="F66402"/>
    </row>
    <row r="66403" spans="1:6" x14ac:dyDescent="0.25">
      <c r="A66403"/>
      <c r="B66403"/>
      <c r="C66403"/>
      <c r="E66403"/>
      <c r="F66403"/>
    </row>
    <row r="66404" spans="1:6" x14ac:dyDescent="0.25">
      <c r="A66404"/>
      <c r="B66404"/>
      <c r="C66404"/>
      <c r="E66404"/>
      <c r="F66404"/>
    </row>
    <row r="66405" spans="1:6" x14ac:dyDescent="0.25">
      <c r="A66405"/>
      <c r="B66405"/>
      <c r="C66405"/>
      <c r="E66405"/>
      <c r="F66405"/>
    </row>
    <row r="66406" spans="1:6" x14ac:dyDescent="0.25">
      <c r="A66406"/>
      <c r="B66406"/>
      <c r="C66406"/>
      <c r="E66406"/>
      <c r="F66406"/>
    </row>
    <row r="66407" spans="1:6" x14ac:dyDescent="0.25">
      <c r="A66407"/>
      <c r="B66407"/>
      <c r="C66407"/>
      <c r="E66407"/>
      <c r="F66407"/>
    </row>
    <row r="66408" spans="1:6" x14ac:dyDescent="0.25">
      <c r="A66408"/>
      <c r="B66408"/>
      <c r="C66408"/>
      <c r="E66408"/>
      <c r="F66408"/>
    </row>
    <row r="66409" spans="1:6" x14ac:dyDescent="0.25">
      <c r="A66409"/>
      <c r="B66409"/>
      <c r="C66409"/>
      <c r="E66409"/>
      <c r="F66409"/>
    </row>
    <row r="66410" spans="1:6" x14ac:dyDescent="0.25">
      <c r="A66410"/>
      <c r="B66410"/>
      <c r="C66410"/>
      <c r="E66410"/>
      <c r="F66410"/>
    </row>
    <row r="66411" spans="1:6" x14ac:dyDescent="0.25">
      <c r="A66411"/>
      <c r="B66411"/>
      <c r="C66411"/>
      <c r="E66411"/>
      <c r="F66411"/>
    </row>
    <row r="66412" spans="1:6" x14ac:dyDescent="0.25">
      <c r="A66412"/>
      <c r="B66412"/>
      <c r="C66412"/>
      <c r="E66412"/>
      <c r="F66412"/>
    </row>
    <row r="66413" spans="1:6" x14ac:dyDescent="0.25">
      <c r="A66413"/>
      <c r="B66413"/>
      <c r="C66413"/>
      <c r="E66413"/>
      <c r="F66413"/>
    </row>
    <row r="66414" spans="1:6" x14ac:dyDescent="0.25">
      <c r="A66414"/>
      <c r="B66414"/>
      <c r="C66414"/>
      <c r="E66414"/>
      <c r="F66414"/>
    </row>
    <row r="66415" spans="1:6" x14ac:dyDescent="0.25">
      <c r="A66415"/>
      <c r="B66415"/>
      <c r="C66415"/>
      <c r="E66415"/>
      <c r="F66415"/>
    </row>
    <row r="66416" spans="1:6" x14ac:dyDescent="0.25">
      <c r="A66416"/>
      <c r="B66416"/>
      <c r="C66416"/>
      <c r="E66416"/>
      <c r="F66416"/>
    </row>
    <row r="66417" spans="1:6" x14ac:dyDescent="0.25">
      <c r="A66417"/>
      <c r="B66417"/>
      <c r="C66417"/>
      <c r="E66417"/>
      <c r="F66417"/>
    </row>
    <row r="66418" spans="1:6" x14ac:dyDescent="0.25">
      <c r="A66418"/>
      <c r="B66418"/>
      <c r="C66418"/>
      <c r="E66418"/>
      <c r="F66418"/>
    </row>
    <row r="66419" spans="1:6" x14ac:dyDescent="0.25">
      <c r="A66419"/>
      <c r="B66419"/>
      <c r="C66419"/>
      <c r="E66419"/>
      <c r="F66419"/>
    </row>
    <row r="66420" spans="1:6" x14ac:dyDescent="0.25">
      <c r="A66420"/>
      <c r="B66420"/>
      <c r="C66420"/>
      <c r="E66420"/>
      <c r="F66420"/>
    </row>
    <row r="66421" spans="1:6" x14ac:dyDescent="0.25">
      <c r="A66421"/>
      <c r="B66421"/>
      <c r="C66421"/>
      <c r="E66421"/>
      <c r="F66421"/>
    </row>
    <row r="66422" spans="1:6" x14ac:dyDescent="0.25">
      <c r="A66422"/>
      <c r="B66422"/>
      <c r="C66422"/>
      <c r="E66422"/>
      <c r="F66422"/>
    </row>
    <row r="66423" spans="1:6" x14ac:dyDescent="0.25">
      <c r="A66423"/>
      <c r="B66423"/>
      <c r="C66423"/>
      <c r="E66423"/>
      <c r="F66423"/>
    </row>
    <row r="66424" spans="1:6" x14ac:dyDescent="0.25">
      <c r="A66424"/>
      <c r="B66424"/>
      <c r="C66424"/>
      <c r="E66424"/>
      <c r="F66424"/>
    </row>
    <row r="66425" spans="1:6" x14ac:dyDescent="0.25">
      <c r="A66425"/>
      <c r="B66425"/>
      <c r="C66425"/>
      <c r="E66425"/>
      <c r="F66425"/>
    </row>
    <row r="66426" spans="1:6" x14ac:dyDescent="0.25">
      <c r="A66426"/>
      <c r="B66426"/>
      <c r="C66426"/>
      <c r="E66426"/>
      <c r="F66426"/>
    </row>
    <row r="66427" spans="1:6" x14ac:dyDescent="0.25">
      <c r="A66427"/>
      <c r="B66427"/>
      <c r="C66427"/>
      <c r="E66427"/>
      <c r="F66427"/>
    </row>
    <row r="66428" spans="1:6" x14ac:dyDescent="0.25">
      <c r="A66428"/>
      <c r="B66428"/>
      <c r="C66428"/>
      <c r="E66428"/>
      <c r="F66428"/>
    </row>
    <row r="66429" spans="1:6" x14ac:dyDescent="0.25">
      <c r="A66429"/>
      <c r="B66429"/>
      <c r="C66429"/>
      <c r="E66429"/>
      <c r="F66429"/>
    </row>
    <row r="66430" spans="1:6" x14ac:dyDescent="0.25">
      <c r="A66430"/>
      <c r="B66430"/>
      <c r="C66430"/>
      <c r="E66430"/>
      <c r="F66430"/>
    </row>
    <row r="66431" spans="1:6" x14ac:dyDescent="0.25">
      <c r="A66431"/>
      <c r="B66431"/>
      <c r="C66431"/>
      <c r="E66431"/>
      <c r="F66431"/>
    </row>
    <row r="66432" spans="1:6" x14ac:dyDescent="0.25">
      <c r="A66432"/>
      <c r="B66432"/>
      <c r="C66432"/>
      <c r="E66432"/>
      <c r="F66432"/>
    </row>
    <row r="66433" spans="1:6" x14ac:dyDescent="0.25">
      <c r="A66433"/>
      <c r="B66433"/>
      <c r="C66433"/>
      <c r="E66433"/>
      <c r="F66433"/>
    </row>
    <row r="66434" spans="1:6" x14ac:dyDescent="0.25">
      <c r="A66434"/>
      <c r="B66434"/>
      <c r="C66434"/>
      <c r="E66434"/>
      <c r="F66434"/>
    </row>
    <row r="66435" spans="1:6" x14ac:dyDescent="0.25">
      <c r="A66435"/>
      <c r="B66435"/>
      <c r="C66435"/>
      <c r="E66435"/>
      <c r="F66435"/>
    </row>
    <row r="66436" spans="1:6" x14ac:dyDescent="0.25">
      <c r="A66436"/>
      <c r="B66436"/>
      <c r="C66436"/>
      <c r="E66436"/>
      <c r="F66436"/>
    </row>
    <row r="66437" spans="1:6" x14ac:dyDescent="0.25">
      <c r="A66437"/>
      <c r="B66437"/>
      <c r="C66437"/>
      <c r="E66437"/>
      <c r="F66437"/>
    </row>
    <row r="66438" spans="1:6" x14ac:dyDescent="0.25">
      <c r="A66438"/>
      <c r="B66438"/>
      <c r="C66438"/>
      <c r="E66438"/>
      <c r="F66438"/>
    </row>
    <row r="66439" spans="1:6" x14ac:dyDescent="0.25">
      <c r="A66439"/>
      <c r="B66439"/>
      <c r="C66439"/>
      <c r="E66439"/>
      <c r="F66439"/>
    </row>
    <row r="66440" spans="1:6" x14ac:dyDescent="0.25">
      <c r="A66440"/>
      <c r="B66440"/>
      <c r="C66440"/>
      <c r="E66440"/>
      <c r="F66440"/>
    </row>
    <row r="66441" spans="1:6" x14ac:dyDescent="0.25">
      <c r="A66441"/>
      <c r="B66441"/>
      <c r="C66441"/>
      <c r="E66441"/>
      <c r="F66441"/>
    </row>
    <row r="66442" spans="1:6" x14ac:dyDescent="0.25">
      <c r="A66442"/>
      <c r="B66442"/>
      <c r="C66442"/>
      <c r="E66442"/>
      <c r="F66442"/>
    </row>
    <row r="66443" spans="1:6" x14ac:dyDescent="0.25">
      <c r="A66443"/>
      <c r="B66443"/>
      <c r="C66443"/>
      <c r="E66443"/>
      <c r="F66443"/>
    </row>
    <row r="66444" spans="1:6" x14ac:dyDescent="0.25">
      <c r="A66444"/>
      <c r="B66444"/>
      <c r="C66444"/>
      <c r="E66444"/>
      <c r="F66444"/>
    </row>
    <row r="66445" spans="1:6" x14ac:dyDescent="0.25">
      <c r="A66445"/>
      <c r="B66445"/>
      <c r="C66445"/>
      <c r="E66445"/>
      <c r="F66445"/>
    </row>
    <row r="66446" spans="1:6" x14ac:dyDescent="0.25">
      <c r="A66446"/>
      <c r="B66446"/>
      <c r="C66446"/>
      <c r="E66446"/>
      <c r="F66446"/>
    </row>
    <row r="66447" spans="1:6" x14ac:dyDescent="0.25">
      <c r="A66447"/>
      <c r="B66447"/>
      <c r="C66447"/>
      <c r="E66447"/>
      <c r="F66447"/>
    </row>
    <row r="66448" spans="1:6" x14ac:dyDescent="0.25">
      <c r="A66448"/>
      <c r="B66448"/>
      <c r="C66448"/>
      <c r="E66448"/>
      <c r="F66448"/>
    </row>
    <row r="66449" spans="1:6" x14ac:dyDescent="0.25">
      <c r="A66449"/>
      <c r="B66449"/>
      <c r="C66449"/>
      <c r="E66449"/>
      <c r="F66449"/>
    </row>
    <row r="66450" spans="1:6" x14ac:dyDescent="0.25">
      <c r="A66450"/>
      <c r="B66450"/>
      <c r="C66450"/>
      <c r="E66450"/>
      <c r="F66450"/>
    </row>
    <row r="66451" spans="1:6" x14ac:dyDescent="0.25">
      <c r="A66451"/>
      <c r="B66451"/>
      <c r="C66451"/>
      <c r="E66451"/>
      <c r="F66451"/>
    </row>
    <row r="66452" spans="1:6" x14ac:dyDescent="0.25">
      <c r="A66452"/>
      <c r="B66452"/>
      <c r="C66452"/>
      <c r="E66452"/>
      <c r="F66452"/>
    </row>
    <row r="66453" spans="1:6" x14ac:dyDescent="0.25">
      <c r="A66453"/>
      <c r="B66453"/>
      <c r="C66453"/>
      <c r="E66453"/>
      <c r="F66453"/>
    </row>
    <row r="66454" spans="1:6" x14ac:dyDescent="0.25">
      <c r="A66454"/>
      <c r="B66454"/>
      <c r="C66454"/>
      <c r="E66454"/>
      <c r="F66454"/>
    </row>
    <row r="66455" spans="1:6" x14ac:dyDescent="0.25">
      <c r="A66455"/>
      <c r="B66455"/>
      <c r="C66455"/>
      <c r="E66455"/>
      <c r="F66455"/>
    </row>
    <row r="66456" spans="1:6" x14ac:dyDescent="0.25">
      <c r="A66456"/>
      <c r="B66456"/>
      <c r="C66456"/>
      <c r="E66456"/>
      <c r="F66456"/>
    </row>
    <row r="66457" spans="1:6" x14ac:dyDescent="0.25">
      <c r="A66457"/>
      <c r="B66457"/>
      <c r="C66457"/>
      <c r="E66457"/>
      <c r="F66457"/>
    </row>
    <row r="66458" spans="1:6" x14ac:dyDescent="0.25">
      <c r="A66458"/>
      <c r="B66458"/>
      <c r="C66458"/>
      <c r="E66458"/>
      <c r="F66458"/>
    </row>
    <row r="66459" spans="1:6" x14ac:dyDescent="0.25">
      <c r="A66459"/>
      <c r="B66459"/>
      <c r="C66459"/>
      <c r="E66459"/>
      <c r="F66459"/>
    </row>
    <row r="66460" spans="1:6" x14ac:dyDescent="0.25">
      <c r="A66460"/>
      <c r="B66460"/>
      <c r="C66460"/>
      <c r="E66460"/>
      <c r="F66460"/>
    </row>
    <row r="66461" spans="1:6" x14ac:dyDescent="0.25">
      <c r="A66461"/>
      <c r="B66461"/>
      <c r="C66461"/>
      <c r="E66461"/>
      <c r="F66461"/>
    </row>
    <row r="66462" spans="1:6" x14ac:dyDescent="0.25">
      <c r="A66462"/>
      <c r="B66462"/>
      <c r="C66462"/>
      <c r="E66462"/>
      <c r="F66462"/>
    </row>
    <row r="66463" spans="1:6" x14ac:dyDescent="0.25">
      <c r="A66463"/>
      <c r="B66463"/>
      <c r="C66463"/>
      <c r="E66463"/>
      <c r="F66463"/>
    </row>
    <row r="66464" spans="1:6" x14ac:dyDescent="0.25">
      <c r="A66464"/>
      <c r="B66464"/>
      <c r="C66464"/>
      <c r="E66464"/>
      <c r="F66464"/>
    </row>
    <row r="66465" spans="1:6" x14ac:dyDescent="0.25">
      <c r="A66465"/>
      <c r="B66465"/>
      <c r="C66465"/>
      <c r="E66465"/>
      <c r="F66465"/>
    </row>
    <row r="66466" spans="1:6" x14ac:dyDescent="0.25">
      <c r="A66466"/>
      <c r="B66466"/>
      <c r="C66466"/>
      <c r="E66466"/>
      <c r="F66466"/>
    </row>
    <row r="66467" spans="1:6" x14ac:dyDescent="0.25">
      <c r="A66467"/>
      <c r="B66467"/>
      <c r="C66467"/>
      <c r="E66467"/>
      <c r="F66467"/>
    </row>
    <row r="66468" spans="1:6" x14ac:dyDescent="0.25">
      <c r="A66468"/>
      <c r="B66468"/>
      <c r="C66468"/>
      <c r="E66468"/>
      <c r="F66468"/>
    </row>
    <row r="66469" spans="1:6" x14ac:dyDescent="0.25">
      <c r="A66469"/>
      <c r="B66469"/>
      <c r="C66469"/>
      <c r="E66469"/>
      <c r="F66469"/>
    </row>
    <row r="66470" spans="1:6" x14ac:dyDescent="0.25">
      <c r="A66470"/>
      <c r="B66470"/>
      <c r="C66470"/>
      <c r="E66470"/>
      <c r="F66470"/>
    </row>
    <row r="66471" spans="1:6" x14ac:dyDescent="0.25">
      <c r="A66471"/>
      <c r="B66471"/>
      <c r="C66471"/>
      <c r="E66471"/>
      <c r="F66471"/>
    </row>
    <row r="66472" spans="1:6" x14ac:dyDescent="0.25">
      <c r="A66472"/>
      <c r="B66472"/>
      <c r="C66472"/>
      <c r="E66472"/>
      <c r="F66472"/>
    </row>
    <row r="66473" spans="1:6" x14ac:dyDescent="0.25">
      <c r="A66473"/>
      <c r="B66473"/>
      <c r="C66473"/>
      <c r="E66473"/>
      <c r="F66473"/>
    </row>
    <row r="66474" spans="1:6" x14ac:dyDescent="0.25">
      <c r="A66474"/>
      <c r="B66474"/>
      <c r="C66474"/>
      <c r="E66474"/>
      <c r="F66474"/>
    </row>
    <row r="66475" spans="1:6" x14ac:dyDescent="0.25">
      <c r="A66475"/>
      <c r="B66475"/>
      <c r="C66475"/>
      <c r="E66475"/>
      <c r="F66475"/>
    </row>
    <row r="66476" spans="1:6" x14ac:dyDescent="0.25">
      <c r="A66476"/>
      <c r="B66476"/>
      <c r="C66476"/>
      <c r="E66476"/>
      <c r="F66476"/>
    </row>
    <row r="66477" spans="1:6" x14ac:dyDescent="0.25">
      <c r="A66477"/>
      <c r="B66477"/>
      <c r="C66477"/>
      <c r="E66477"/>
      <c r="F66477"/>
    </row>
    <row r="66478" spans="1:6" x14ac:dyDescent="0.25">
      <c r="A66478"/>
      <c r="B66478"/>
      <c r="C66478"/>
      <c r="E66478"/>
      <c r="F66478"/>
    </row>
    <row r="66479" spans="1:6" x14ac:dyDescent="0.25">
      <c r="A66479"/>
      <c r="B66479"/>
      <c r="C66479"/>
      <c r="E66479"/>
      <c r="F66479"/>
    </row>
    <row r="66480" spans="1:6" x14ac:dyDescent="0.25">
      <c r="A66480"/>
      <c r="B66480"/>
      <c r="C66480"/>
      <c r="E66480"/>
      <c r="F66480"/>
    </row>
    <row r="66481" spans="1:6" x14ac:dyDescent="0.25">
      <c r="A66481"/>
      <c r="B66481"/>
      <c r="C66481"/>
      <c r="E66481"/>
      <c r="F66481"/>
    </row>
    <row r="66482" spans="1:6" x14ac:dyDescent="0.25">
      <c r="A66482"/>
      <c r="B66482"/>
      <c r="C66482"/>
      <c r="E66482"/>
      <c r="F66482"/>
    </row>
    <row r="66483" spans="1:6" x14ac:dyDescent="0.25">
      <c r="A66483"/>
      <c r="B66483"/>
      <c r="C66483"/>
      <c r="E66483"/>
      <c r="F66483"/>
    </row>
    <row r="66484" spans="1:6" x14ac:dyDescent="0.25">
      <c r="A66484"/>
      <c r="B66484"/>
      <c r="C66484"/>
      <c r="E66484"/>
      <c r="F66484"/>
    </row>
    <row r="66485" spans="1:6" x14ac:dyDescent="0.25">
      <c r="A66485"/>
      <c r="B66485"/>
      <c r="C66485"/>
      <c r="E66485"/>
      <c r="F66485"/>
    </row>
    <row r="66486" spans="1:6" x14ac:dyDescent="0.25">
      <c r="A66486"/>
      <c r="B66486"/>
      <c r="C66486"/>
      <c r="E66486"/>
      <c r="F66486"/>
    </row>
    <row r="66487" spans="1:6" x14ac:dyDescent="0.25">
      <c r="A66487"/>
      <c r="B66487"/>
      <c r="C66487"/>
      <c r="E66487"/>
      <c r="F66487"/>
    </row>
    <row r="66488" spans="1:6" x14ac:dyDescent="0.25">
      <c r="A66488"/>
      <c r="B66488"/>
      <c r="C66488"/>
      <c r="E66488"/>
      <c r="F66488"/>
    </row>
    <row r="66489" spans="1:6" x14ac:dyDescent="0.25">
      <c r="A66489"/>
      <c r="B66489"/>
      <c r="C66489"/>
      <c r="E66489"/>
      <c r="F66489"/>
    </row>
    <row r="66490" spans="1:6" x14ac:dyDescent="0.25">
      <c r="A66490"/>
      <c r="B66490"/>
      <c r="C66490"/>
      <c r="E66490"/>
      <c r="F66490"/>
    </row>
    <row r="66491" spans="1:6" x14ac:dyDescent="0.25">
      <c r="A66491"/>
      <c r="B66491"/>
      <c r="C66491"/>
      <c r="E66491"/>
      <c r="F66491"/>
    </row>
    <row r="66492" spans="1:6" x14ac:dyDescent="0.25">
      <c r="A66492"/>
      <c r="B66492"/>
      <c r="C66492"/>
      <c r="E66492"/>
      <c r="F66492"/>
    </row>
    <row r="66493" spans="1:6" x14ac:dyDescent="0.25">
      <c r="A66493"/>
      <c r="B66493"/>
      <c r="C66493"/>
      <c r="E66493"/>
      <c r="F66493"/>
    </row>
    <row r="66494" spans="1:6" x14ac:dyDescent="0.25">
      <c r="A66494"/>
      <c r="B66494"/>
      <c r="C66494"/>
      <c r="E66494"/>
      <c r="F66494"/>
    </row>
    <row r="66495" spans="1:6" x14ac:dyDescent="0.25">
      <c r="A66495"/>
      <c r="B66495"/>
      <c r="C66495"/>
      <c r="E66495"/>
      <c r="F66495"/>
    </row>
    <row r="66496" spans="1:6" x14ac:dyDescent="0.25">
      <c r="A66496"/>
      <c r="B66496"/>
      <c r="C66496"/>
      <c r="E66496"/>
      <c r="F66496"/>
    </row>
    <row r="66497" spans="1:6" x14ac:dyDescent="0.25">
      <c r="A66497"/>
      <c r="B66497"/>
      <c r="C66497"/>
      <c r="E66497"/>
      <c r="F66497"/>
    </row>
    <row r="66498" spans="1:6" x14ac:dyDescent="0.25">
      <c r="A66498"/>
      <c r="B66498"/>
      <c r="C66498"/>
      <c r="E66498"/>
      <c r="F66498"/>
    </row>
    <row r="66499" spans="1:6" x14ac:dyDescent="0.25">
      <c r="A66499"/>
      <c r="B66499"/>
      <c r="C66499"/>
      <c r="E66499"/>
      <c r="F66499"/>
    </row>
    <row r="66500" spans="1:6" x14ac:dyDescent="0.25">
      <c r="A66500"/>
      <c r="B66500"/>
      <c r="C66500"/>
      <c r="E66500"/>
      <c r="F66500"/>
    </row>
    <row r="66501" spans="1:6" x14ac:dyDescent="0.25">
      <c r="A66501"/>
      <c r="B66501"/>
      <c r="C66501"/>
      <c r="E66501"/>
      <c r="F66501"/>
    </row>
    <row r="66502" spans="1:6" x14ac:dyDescent="0.25">
      <c r="A66502"/>
      <c r="B66502"/>
      <c r="C66502"/>
      <c r="E66502"/>
      <c r="F66502"/>
    </row>
    <row r="66503" spans="1:6" x14ac:dyDescent="0.25">
      <c r="A66503"/>
      <c r="B66503"/>
      <c r="C66503"/>
      <c r="E66503"/>
      <c r="F66503"/>
    </row>
    <row r="66504" spans="1:6" x14ac:dyDescent="0.25">
      <c r="A66504"/>
      <c r="B66504"/>
      <c r="C66504"/>
      <c r="E66504"/>
      <c r="F66504"/>
    </row>
    <row r="66505" spans="1:6" x14ac:dyDescent="0.25">
      <c r="A66505"/>
      <c r="B66505"/>
      <c r="C66505"/>
      <c r="E66505"/>
      <c r="F66505"/>
    </row>
    <row r="66506" spans="1:6" x14ac:dyDescent="0.25">
      <c r="A66506"/>
      <c r="B66506"/>
      <c r="C66506"/>
      <c r="E66506"/>
      <c r="F66506"/>
    </row>
    <row r="66507" spans="1:6" x14ac:dyDescent="0.25">
      <c r="A66507"/>
      <c r="B66507"/>
      <c r="C66507"/>
      <c r="E66507"/>
      <c r="F66507"/>
    </row>
    <row r="66508" spans="1:6" x14ac:dyDescent="0.25">
      <c r="A66508"/>
      <c r="B66508"/>
      <c r="C66508"/>
      <c r="E66508"/>
      <c r="F66508"/>
    </row>
    <row r="66509" spans="1:6" x14ac:dyDescent="0.25">
      <c r="A66509"/>
      <c r="B66509"/>
      <c r="C66509"/>
      <c r="E66509"/>
      <c r="F66509"/>
    </row>
    <row r="66510" spans="1:6" x14ac:dyDescent="0.25">
      <c r="A66510"/>
      <c r="B66510"/>
      <c r="C66510"/>
      <c r="E66510"/>
      <c r="F66510"/>
    </row>
    <row r="66511" spans="1:6" x14ac:dyDescent="0.25">
      <c r="A66511"/>
      <c r="B66511"/>
      <c r="C66511"/>
      <c r="E66511"/>
      <c r="F66511"/>
    </row>
    <row r="66512" spans="1:6" x14ac:dyDescent="0.25">
      <c r="A66512"/>
      <c r="B66512"/>
      <c r="C66512"/>
      <c r="E66512"/>
      <c r="F66512"/>
    </row>
    <row r="66513" spans="1:6" x14ac:dyDescent="0.25">
      <c r="A66513"/>
      <c r="B66513"/>
      <c r="C66513"/>
      <c r="E66513"/>
      <c r="F66513"/>
    </row>
    <row r="66514" spans="1:6" x14ac:dyDescent="0.25">
      <c r="A66514"/>
      <c r="B66514"/>
      <c r="C66514"/>
      <c r="E66514"/>
      <c r="F66514"/>
    </row>
    <row r="66515" spans="1:6" x14ac:dyDescent="0.25">
      <c r="A66515"/>
      <c r="B66515"/>
      <c r="C66515"/>
      <c r="E66515"/>
      <c r="F66515"/>
    </row>
    <row r="66516" spans="1:6" x14ac:dyDescent="0.25">
      <c r="A66516"/>
      <c r="B66516"/>
      <c r="C66516"/>
      <c r="E66516"/>
      <c r="F66516"/>
    </row>
    <row r="66517" spans="1:6" x14ac:dyDescent="0.25">
      <c r="A66517"/>
      <c r="B66517"/>
      <c r="C66517"/>
      <c r="E66517"/>
      <c r="F66517"/>
    </row>
    <row r="66518" spans="1:6" x14ac:dyDescent="0.25">
      <c r="A66518"/>
      <c r="B66518"/>
      <c r="C66518"/>
      <c r="E66518"/>
      <c r="F66518"/>
    </row>
    <row r="66519" spans="1:6" x14ac:dyDescent="0.25">
      <c r="A66519"/>
      <c r="B66519"/>
      <c r="C66519"/>
      <c r="E66519"/>
      <c r="F66519"/>
    </row>
    <row r="66520" spans="1:6" x14ac:dyDescent="0.25">
      <c r="A66520"/>
      <c r="B66520"/>
      <c r="C66520"/>
      <c r="E66520"/>
      <c r="F66520"/>
    </row>
    <row r="66521" spans="1:6" x14ac:dyDescent="0.25">
      <c r="A66521"/>
      <c r="B66521"/>
      <c r="C66521"/>
      <c r="E66521"/>
      <c r="F66521"/>
    </row>
    <row r="66522" spans="1:6" x14ac:dyDescent="0.25">
      <c r="A66522"/>
      <c r="B66522"/>
      <c r="C66522"/>
      <c r="E66522"/>
      <c r="F66522"/>
    </row>
    <row r="66523" spans="1:6" x14ac:dyDescent="0.25">
      <c r="A66523"/>
      <c r="B66523"/>
      <c r="C66523"/>
      <c r="E66523"/>
      <c r="F66523"/>
    </row>
    <row r="66524" spans="1:6" x14ac:dyDescent="0.25">
      <c r="A66524"/>
      <c r="B66524"/>
      <c r="C66524"/>
      <c r="E66524"/>
      <c r="F66524"/>
    </row>
    <row r="66525" spans="1:6" x14ac:dyDescent="0.25">
      <c r="A66525"/>
      <c r="B66525"/>
      <c r="C66525"/>
      <c r="E66525"/>
      <c r="F66525"/>
    </row>
    <row r="66526" spans="1:6" x14ac:dyDescent="0.25">
      <c r="A66526"/>
      <c r="B66526"/>
      <c r="C66526"/>
      <c r="E66526"/>
      <c r="F66526"/>
    </row>
    <row r="66527" spans="1:6" x14ac:dyDescent="0.25">
      <c r="A66527"/>
      <c r="B66527"/>
      <c r="C66527"/>
      <c r="E66527"/>
      <c r="F66527"/>
    </row>
    <row r="66528" spans="1:6" x14ac:dyDescent="0.25">
      <c r="A66528"/>
      <c r="B66528"/>
      <c r="C66528"/>
      <c r="E66528"/>
      <c r="F66528"/>
    </row>
    <row r="66529" spans="1:6" x14ac:dyDescent="0.25">
      <c r="A66529"/>
      <c r="B66529"/>
      <c r="C66529"/>
      <c r="E66529"/>
      <c r="F66529"/>
    </row>
    <row r="66530" spans="1:6" x14ac:dyDescent="0.25">
      <c r="A66530"/>
      <c r="B66530"/>
      <c r="C66530"/>
      <c r="E66530"/>
      <c r="F66530"/>
    </row>
    <row r="66531" spans="1:6" x14ac:dyDescent="0.25">
      <c r="A66531"/>
      <c r="B66531"/>
      <c r="C66531"/>
      <c r="E66531"/>
      <c r="F66531"/>
    </row>
    <row r="66532" spans="1:6" x14ac:dyDescent="0.25">
      <c r="A66532"/>
      <c r="B66532"/>
      <c r="C66532"/>
      <c r="E66532"/>
      <c r="F66532"/>
    </row>
    <row r="66533" spans="1:6" x14ac:dyDescent="0.25">
      <c r="A66533"/>
      <c r="B66533"/>
      <c r="C66533"/>
      <c r="E66533"/>
      <c r="F66533"/>
    </row>
    <row r="66534" spans="1:6" x14ac:dyDescent="0.25">
      <c r="A66534"/>
      <c r="B66534"/>
      <c r="C66534"/>
      <c r="E66534"/>
      <c r="F66534"/>
    </row>
    <row r="66535" spans="1:6" x14ac:dyDescent="0.25">
      <c r="A66535"/>
      <c r="B66535"/>
      <c r="C66535"/>
      <c r="E66535"/>
      <c r="F66535"/>
    </row>
    <row r="66536" spans="1:6" x14ac:dyDescent="0.25">
      <c r="A66536"/>
      <c r="B66536"/>
      <c r="C66536"/>
      <c r="E66536"/>
      <c r="F66536"/>
    </row>
    <row r="66537" spans="1:6" x14ac:dyDescent="0.25">
      <c r="A66537"/>
      <c r="B66537"/>
      <c r="C66537"/>
      <c r="E66537"/>
      <c r="F66537"/>
    </row>
    <row r="66538" spans="1:6" x14ac:dyDescent="0.25">
      <c r="A66538"/>
      <c r="B66538"/>
      <c r="C66538"/>
      <c r="E66538"/>
      <c r="F66538"/>
    </row>
    <row r="66539" spans="1:6" x14ac:dyDescent="0.25">
      <c r="A66539"/>
      <c r="B66539"/>
      <c r="C66539"/>
      <c r="E66539"/>
      <c r="F66539"/>
    </row>
    <row r="66540" spans="1:6" x14ac:dyDescent="0.25">
      <c r="A66540"/>
      <c r="B66540"/>
      <c r="C66540"/>
      <c r="E66540"/>
      <c r="F66540"/>
    </row>
    <row r="66541" spans="1:6" x14ac:dyDescent="0.25">
      <c r="A66541"/>
      <c r="B66541"/>
      <c r="C66541"/>
      <c r="E66541"/>
      <c r="F66541"/>
    </row>
    <row r="66542" spans="1:6" x14ac:dyDescent="0.25">
      <c r="A66542"/>
      <c r="B66542"/>
      <c r="C66542"/>
      <c r="E66542"/>
      <c r="F66542"/>
    </row>
    <row r="66543" spans="1:6" x14ac:dyDescent="0.25">
      <c r="A66543"/>
      <c r="B66543"/>
      <c r="C66543"/>
      <c r="E66543"/>
      <c r="F66543"/>
    </row>
    <row r="66544" spans="1:6" x14ac:dyDescent="0.25">
      <c r="A66544"/>
      <c r="B66544"/>
      <c r="C66544"/>
      <c r="E66544"/>
      <c r="F66544"/>
    </row>
    <row r="66545" spans="1:6" x14ac:dyDescent="0.25">
      <c r="A66545"/>
      <c r="B66545"/>
      <c r="C66545"/>
      <c r="E66545"/>
      <c r="F66545"/>
    </row>
    <row r="66546" spans="1:6" x14ac:dyDescent="0.25">
      <c r="A66546"/>
      <c r="B66546"/>
      <c r="C66546"/>
      <c r="E66546"/>
      <c r="F66546"/>
    </row>
    <row r="66547" spans="1:6" x14ac:dyDescent="0.25">
      <c r="A66547"/>
      <c r="B66547"/>
      <c r="C66547"/>
      <c r="E66547"/>
      <c r="F66547"/>
    </row>
    <row r="66548" spans="1:6" x14ac:dyDescent="0.25">
      <c r="A66548"/>
      <c r="B66548"/>
      <c r="C66548"/>
      <c r="E66548"/>
      <c r="F66548"/>
    </row>
    <row r="66549" spans="1:6" x14ac:dyDescent="0.25">
      <c r="A66549"/>
      <c r="B66549"/>
      <c r="C66549"/>
      <c r="E66549"/>
      <c r="F66549"/>
    </row>
    <row r="66550" spans="1:6" x14ac:dyDescent="0.25">
      <c r="A66550"/>
      <c r="B66550"/>
      <c r="C66550"/>
      <c r="E66550"/>
      <c r="F66550"/>
    </row>
    <row r="66551" spans="1:6" x14ac:dyDescent="0.25">
      <c r="A66551"/>
      <c r="B66551"/>
      <c r="C66551"/>
      <c r="E66551"/>
      <c r="F66551"/>
    </row>
    <row r="66552" spans="1:6" x14ac:dyDescent="0.25">
      <c r="A66552"/>
      <c r="B66552"/>
      <c r="C66552"/>
      <c r="E66552"/>
      <c r="F66552"/>
    </row>
    <row r="66553" spans="1:6" x14ac:dyDescent="0.25">
      <c r="A66553"/>
      <c r="B66553"/>
      <c r="C66553"/>
      <c r="E66553"/>
      <c r="F66553"/>
    </row>
    <row r="66554" spans="1:6" x14ac:dyDescent="0.25">
      <c r="A66554"/>
      <c r="B66554"/>
      <c r="C66554"/>
      <c r="E66554"/>
      <c r="F66554"/>
    </row>
    <row r="66555" spans="1:6" x14ac:dyDescent="0.25">
      <c r="A66555"/>
      <c r="B66555"/>
      <c r="C66555"/>
      <c r="E66555"/>
      <c r="F66555"/>
    </row>
    <row r="66556" spans="1:6" x14ac:dyDescent="0.25">
      <c r="A66556"/>
      <c r="B66556"/>
      <c r="C66556"/>
      <c r="E66556"/>
      <c r="F66556"/>
    </row>
    <row r="66557" spans="1:6" x14ac:dyDescent="0.25">
      <c r="A66557"/>
      <c r="B66557"/>
      <c r="C66557"/>
      <c r="E66557"/>
      <c r="F66557"/>
    </row>
    <row r="66558" spans="1:6" x14ac:dyDescent="0.25">
      <c r="A66558"/>
      <c r="B66558"/>
      <c r="C66558"/>
      <c r="E66558"/>
      <c r="F66558"/>
    </row>
    <row r="66559" spans="1:6" x14ac:dyDescent="0.25">
      <c r="A66559"/>
      <c r="B66559"/>
      <c r="C66559"/>
      <c r="E66559"/>
      <c r="F66559"/>
    </row>
    <row r="66560" spans="1:6" x14ac:dyDescent="0.25">
      <c r="A66560"/>
      <c r="B66560"/>
      <c r="C66560"/>
      <c r="E66560"/>
      <c r="F66560"/>
    </row>
    <row r="66561" spans="1:6" x14ac:dyDescent="0.25">
      <c r="A66561"/>
      <c r="B66561"/>
      <c r="C66561"/>
      <c r="E66561"/>
      <c r="F66561"/>
    </row>
    <row r="66562" spans="1:6" x14ac:dyDescent="0.25">
      <c r="A66562"/>
      <c r="B66562"/>
      <c r="C66562"/>
      <c r="E66562"/>
      <c r="F66562"/>
    </row>
    <row r="66563" spans="1:6" x14ac:dyDescent="0.25">
      <c r="A66563"/>
      <c r="B66563"/>
      <c r="C66563"/>
      <c r="E66563"/>
      <c r="F66563"/>
    </row>
    <row r="66564" spans="1:6" x14ac:dyDescent="0.25">
      <c r="A66564"/>
      <c r="B66564"/>
      <c r="C66564"/>
      <c r="E66564"/>
      <c r="F66564"/>
    </row>
    <row r="66565" spans="1:6" x14ac:dyDescent="0.25">
      <c r="A66565"/>
      <c r="B66565"/>
      <c r="C66565"/>
      <c r="E66565"/>
      <c r="F66565"/>
    </row>
    <row r="66566" spans="1:6" x14ac:dyDescent="0.25">
      <c r="A66566"/>
      <c r="B66566"/>
      <c r="C66566"/>
      <c r="E66566"/>
      <c r="F66566"/>
    </row>
    <row r="66567" spans="1:6" x14ac:dyDescent="0.25">
      <c r="A66567"/>
      <c r="B66567"/>
      <c r="C66567"/>
      <c r="E66567"/>
      <c r="F66567"/>
    </row>
    <row r="66568" spans="1:6" x14ac:dyDescent="0.25">
      <c r="A66568"/>
      <c r="B66568"/>
      <c r="C66568"/>
      <c r="E66568"/>
      <c r="F66568"/>
    </row>
    <row r="66569" spans="1:6" x14ac:dyDescent="0.25">
      <c r="A66569"/>
      <c r="B66569"/>
      <c r="C66569"/>
      <c r="E66569"/>
      <c r="F66569"/>
    </row>
    <row r="66570" spans="1:6" x14ac:dyDescent="0.25">
      <c r="A66570"/>
      <c r="B66570"/>
      <c r="C66570"/>
      <c r="E66570"/>
      <c r="F66570"/>
    </row>
    <row r="66571" spans="1:6" x14ac:dyDescent="0.25">
      <c r="A66571"/>
      <c r="B66571"/>
      <c r="C66571"/>
      <c r="E66571"/>
      <c r="F66571"/>
    </row>
    <row r="66572" spans="1:6" x14ac:dyDescent="0.25">
      <c r="A66572"/>
      <c r="B66572"/>
      <c r="C66572"/>
      <c r="E66572"/>
      <c r="F66572"/>
    </row>
    <row r="66573" spans="1:6" x14ac:dyDescent="0.25">
      <c r="A66573"/>
      <c r="B66573"/>
      <c r="C66573"/>
      <c r="E66573"/>
      <c r="F66573"/>
    </row>
    <row r="66574" spans="1:6" x14ac:dyDescent="0.25">
      <c r="A66574"/>
      <c r="B66574"/>
      <c r="C66574"/>
      <c r="E66574"/>
      <c r="F66574"/>
    </row>
    <row r="66575" spans="1:6" x14ac:dyDescent="0.25">
      <c r="A66575"/>
      <c r="B66575"/>
      <c r="C66575"/>
      <c r="E66575"/>
      <c r="F66575"/>
    </row>
    <row r="66576" spans="1:6" x14ac:dyDescent="0.25">
      <c r="A66576"/>
      <c r="B66576"/>
      <c r="C66576"/>
      <c r="E66576"/>
      <c r="F66576"/>
    </row>
    <row r="66577" spans="1:6" x14ac:dyDescent="0.25">
      <c r="A66577"/>
      <c r="B66577"/>
      <c r="C66577"/>
      <c r="E66577"/>
      <c r="F66577"/>
    </row>
    <row r="66578" spans="1:6" x14ac:dyDescent="0.25">
      <c r="A66578"/>
      <c r="B66578"/>
      <c r="C66578"/>
      <c r="E66578"/>
      <c r="F66578"/>
    </row>
    <row r="66579" spans="1:6" x14ac:dyDescent="0.25">
      <c r="A66579"/>
      <c r="B66579"/>
      <c r="C66579"/>
      <c r="E66579"/>
      <c r="F66579"/>
    </row>
    <row r="66580" spans="1:6" x14ac:dyDescent="0.25">
      <c r="A66580"/>
      <c r="B66580"/>
      <c r="C66580"/>
      <c r="E66580"/>
      <c r="F66580"/>
    </row>
    <row r="66581" spans="1:6" x14ac:dyDescent="0.25">
      <c r="A66581"/>
      <c r="B66581"/>
      <c r="C66581"/>
      <c r="E66581"/>
      <c r="F66581"/>
    </row>
    <row r="66582" spans="1:6" x14ac:dyDescent="0.25">
      <c r="A66582"/>
      <c r="B66582"/>
      <c r="C66582"/>
      <c r="E66582"/>
      <c r="F66582"/>
    </row>
    <row r="66583" spans="1:6" x14ac:dyDescent="0.25">
      <c r="A66583"/>
      <c r="B66583"/>
      <c r="C66583"/>
      <c r="E66583"/>
      <c r="F66583"/>
    </row>
    <row r="66584" spans="1:6" x14ac:dyDescent="0.25">
      <c r="A66584"/>
      <c r="B66584"/>
      <c r="C66584"/>
      <c r="E66584"/>
      <c r="F66584"/>
    </row>
    <row r="66585" spans="1:6" x14ac:dyDescent="0.25">
      <c r="A66585"/>
      <c r="B66585"/>
      <c r="C66585"/>
      <c r="E66585"/>
      <c r="F66585"/>
    </row>
    <row r="66586" spans="1:6" x14ac:dyDescent="0.25">
      <c r="A66586"/>
      <c r="B66586"/>
      <c r="C66586"/>
      <c r="E66586"/>
      <c r="F66586"/>
    </row>
    <row r="66587" spans="1:6" x14ac:dyDescent="0.25">
      <c r="A66587"/>
      <c r="B66587"/>
      <c r="C66587"/>
      <c r="E66587"/>
      <c r="F66587"/>
    </row>
    <row r="66588" spans="1:6" x14ac:dyDescent="0.25">
      <c r="A66588"/>
      <c r="B66588"/>
      <c r="C66588"/>
      <c r="E66588"/>
      <c r="F66588"/>
    </row>
    <row r="66589" spans="1:6" x14ac:dyDescent="0.25">
      <c r="A66589"/>
      <c r="B66589"/>
      <c r="C66589"/>
      <c r="E66589"/>
      <c r="F66589"/>
    </row>
    <row r="66590" spans="1:6" x14ac:dyDescent="0.25">
      <c r="A66590"/>
      <c r="B66590"/>
      <c r="C66590"/>
      <c r="E66590"/>
      <c r="F66590"/>
    </row>
    <row r="66591" spans="1:6" x14ac:dyDescent="0.25">
      <c r="A66591"/>
      <c r="B66591"/>
      <c r="C66591"/>
      <c r="E66591"/>
      <c r="F66591"/>
    </row>
    <row r="66592" spans="1:6" x14ac:dyDescent="0.25">
      <c r="A66592"/>
      <c r="B66592"/>
      <c r="C66592"/>
      <c r="E66592"/>
      <c r="F66592"/>
    </row>
    <row r="66593" spans="1:6" x14ac:dyDescent="0.25">
      <c r="A66593"/>
      <c r="B66593"/>
      <c r="C66593"/>
      <c r="E66593"/>
      <c r="F66593"/>
    </row>
    <row r="66594" spans="1:6" x14ac:dyDescent="0.25">
      <c r="A66594"/>
      <c r="B66594"/>
      <c r="C66594"/>
      <c r="E66594"/>
      <c r="F66594"/>
    </row>
    <row r="66595" spans="1:6" x14ac:dyDescent="0.25">
      <c r="A66595"/>
      <c r="B66595"/>
      <c r="C66595"/>
      <c r="E66595"/>
      <c r="F66595"/>
    </row>
    <row r="66596" spans="1:6" x14ac:dyDescent="0.25">
      <c r="A66596"/>
      <c r="B66596"/>
      <c r="C66596"/>
      <c r="E66596"/>
      <c r="F66596"/>
    </row>
    <row r="66597" spans="1:6" x14ac:dyDescent="0.25">
      <c r="A66597"/>
      <c r="B66597"/>
      <c r="C66597"/>
      <c r="E66597"/>
      <c r="F66597"/>
    </row>
    <row r="66598" spans="1:6" x14ac:dyDescent="0.25">
      <c r="A66598"/>
      <c r="B66598"/>
      <c r="C66598"/>
      <c r="E66598"/>
      <c r="F66598"/>
    </row>
    <row r="66599" spans="1:6" x14ac:dyDescent="0.25">
      <c r="A66599"/>
      <c r="B66599"/>
      <c r="C66599"/>
      <c r="E66599"/>
      <c r="F66599"/>
    </row>
    <row r="66600" spans="1:6" x14ac:dyDescent="0.25">
      <c r="A66600"/>
      <c r="B66600"/>
      <c r="C66600"/>
      <c r="E66600"/>
      <c r="F66600"/>
    </row>
    <row r="66601" spans="1:6" x14ac:dyDescent="0.25">
      <c r="A66601"/>
      <c r="B66601"/>
      <c r="C66601"/>
      <c r="E66601"/>
      <c r="F66601"/>
    </row>
    <row r="66602" spans="1:6" x14ac:dyDescent="0.25">
      <c r="A66602"/>
      <c r="B66602"/>
      <c r="C66602"/>
      <c r="E66602"/>
      <c r="F66602"/>
    </row>
    <row r="66603" spans="1:6" x14ac:dyDescent="0.25">
      <c r="A66603"/>
      <c r="B66603"/>
      <c r="C66603"/>
      <c r="E66603"/>
      <c r="F66603"/>
    </row>
    <row r="66604" spans="1:6" x14ac:dyDescent="0.25">
      <c r="A66604"/>
      <c r="B66604"/>
      <c r="C66604"/>
      <c r="E66604"/>
      <c r="F66604"/>
    </row>
    <row r="66605" spans="1:6" x14ac:dyDescent="0.25">
      <c r="A66605"/>
      <c r="B66605"/>
      <c r="C66605"/>
      <c r="E66605"/>
      <c r="F66605"/>
    </row>
    <row r="66606" spans="1:6" x14ac:dyDescent="0.25">
      <c r="A66606"/>
      <c r="B66606"/>
      <c r="C66606"/>
      <c r="E66606"/>
      <c r="F66606"/>
    </row>
    <row r="66607" spans="1:6" x14ac:dyDescent="0.25">
      <c r="A66607"/>
      <c r="B66607"/>
      <c r="C66607"/>
      <c r="E66607"/>
      <c r="F66607"/>
    </row>
    <row r="66608" spans="1:6" x14ac:dyDescent="0.25">
      <c r="A66608"/>
      <c r="B66608"/>
      <c r="C66608"/>
      <c r="E66608"/>
      <c r="F66608"/>
    </row>
    <row r="66609" spans="1:6" x14ac:dyDescent="0.25">
      <c r="A66609"/>
      <c r="B66609"/>
      <c r="C66609"/>
      <c r="E66609"/>
      <c r="F66609"/>
    </row>
    <row r="66610" spans="1:6" x14ac:dyDescent="0.25">
      <c r="A66610"/>
      <c r="B66610"/>
      <c r="C66610"/>
      <c r="E66610"/>
      <c r="F66610"/>
    </row>
    <row r="66611" spans="1:6" x14ac:dyDescent="0.25">
      <c r="A66611"/>
      <c r="B66611"/>
      <c r="C66611"/>
      <c r="E66611"/>
      <c r="F66611"/>
    </row>
    <row r="66612" spans="1:6" x14ac:dyDescent="0.25">
      <c r="A66612"/>
      <c r="B66612"/>
      <c r="C66612"/>
      <c r="E66612"/>
      <c r="F66612"/>
    </row>
    <row r="66613" spans="1:6" x14ac:dyDescent="0.25">
      <c r="A66613"/>
      <c r="B66613"/>
      <c r="C66613"/>
      <c r="E66613"/>
      <c r="F66613"/>
    </row>
    <row r="66614" spans="1:6" x14ac:dyDescent="0.25">
      <c r="A66614"/>
      <c r="B66614"/>
      <c r="C66614"/>
      <c r="E66614"/>
      <c r="F66614"/>
    </row>
    <row r="66615" spans="1:6" x14ac:dyDescent="0.25">
      <c r="A66615"/>
      <c r="B66615"/>
      <c r="C66615"/>
      <c r="E66615"/>
      <c r="F66615"/>
    </row>
    <row r="66616" spans="1:6" x14ac:dyDescent="0.25">
      <c r="A66616"/>
      <c r="B66616"/>
      <c r="C66616"/>
      <c r="E66616"/>
      <c r="F66616"/>
    </row>
    <row r="66617" spans="1:6" x14ac:dyDescent="0.25">
      <c r="A66617"/>
      <c r="B66617"/>
      <c r="C66617"/>
      <c r="E66617"/>
      <c r="F66617"/>
    </row>
    <row r="66618" spans="1:6" x14ac:dyDescent="0.25">
      <c r="A66618"/>
      <c r="B66618"/>
      <c r="C66618"/>
      <c r="E66618"/>
      <c r="F66618"/>
    </row>
    <row r="66619" spans="1:6" x14ac:dyDescent="0.25">
      <c r="A66619"/>
      <c r="B66619"/>
      <c r="C66619"/>
      <c r="E66619"/>
      <c r="F66619"/>
    </row>
    <row r="66620" spans="1:6" x14ac:dyDescent="0.25">
      <c r="A66620"/>
      <c r="B66620"/>
      <c r="C66620"/>
      <c r="E66620"/>
      <c r="F66620"/>
    </row>
    <row r="66621" spans="1:6" x14ac:dyDescent="0.25">
      <c r="A66621"/>
      <c r="B66621"/>
      <c r="C66621"/>
      <c r="E66621"/>
      <c r="F66621"/>
    </row>
    <row r="66622" spans="1:6" x14ac:dyDescent="0.25">
      <c r="A66622"/>
      <c r="B66622"/>
      <c r="C66622"/>
      <c r="E66622"/>
      <c r="F66622"/>
    </row>
    <row r="66623" spans="1:6" x14ac:dyDescent="0.25">
      <c r="A66623"/>
      <c r="B66623"/>
      <c r="C66623"/>
      <c r="E66623"/>
      <c r="F66623"/>
    </row>
    <row r="66624" spans="1:6" x14ac:dyDescent="0.25">
      <c r="A66624"/>
      <c r="B66624"/>
      <c r="C66624"/>
      <c r="E66624"/>
      <c r="F66624"/>
    </row>
    <row r="66625" spans="1:6" x14ac:dyDescent="0.25">
      <c r="A66625"/>
      <c r="B66625"/>
      <c r="C66625"/>
      <c r="E66625"/>
      <c r="F66625"/>
    </row>
    <row r="66626" spans="1:6" x14ac:dyDescent="0.25">
      <c r="A66626"/>
      <c r="B66626"/>
      <c r="C66626"/>
      <c r="E66626"/>
      <c r="F66626"/>
    </row>
    <row r="66627" spans="1:6" x14ac:dyDescent="0.25">
      <c r="A66627"/>
      <c r="B66627"/>
      <c r="C66627"/>
      <c r="E66627"/>
      <c r="F66627"/>
    </row>
    <row r="66628" spans="1:6" x14ac:dyDescent="0.25">
      <c r="A66628"/>
      <c r="B66628"/>
      <c r="C66628"/>
      <c r="E66628"/>
      <c r="F66628"/>
    </row>
    <row r="66629" spans="1:6" x14ac:dyDescent="0.25">
      <c r="A66629"/>
      <c r="B66629"/>
      <c r="C66629"/>
      <c r="E66629"/>
      <c r="F66629"/>
    </row>
    <row r="66630" spans="1:6" x14ac:dyDescent="0.25">
      <c r="A66630"/>
      <c r="B66630"/>
      <c r="C66630"/>
      <c r="E66630"/>
      <c r="F66630"/>
    </row>
    <row r="66631" spans="1:6" x14ac:dyDescent="0.25">
      <c r="A66631"/>
      <c r="B66631"/>
      <c r="C66631"/>
      <c r="E66631"/>
      <c r="F66631"/>
    </row>
    <row r="66632" spans="1:6" x14ac:dyDescent="0.25">
      <c r="A66632"/>
      <c r="B66632"/>
      <c r="C66632"/>
      <c r="E66632"/>
      <c r="F66632"/>
    </row>
    <row r="66633" spans="1:6" x14ac:dyDescent="0.25">
      <c r="A66633"/>
      <c r="B66633"/>
      <c r="C66633"/>
      <c r="E66633"/>
      <c r="F66633"/>
    </row>
    <row r="66634" spans="1:6" x14ac:dyDescent="0.25">
      <c r="A66634"/>
      <c r="B66634"/>
      <c r="C66634"/>
      <c r="E66634"/>
      <c r="F66634"/>
    </row>
    <row r="66635" spans="1:6" x14ac:dyDescent="0.25">
      <c r="A66635"/>
      <c r="B66635"/>
      <c r="C66635"/>
      <c r="E66635"/>
      <c r="F66635"/>
    </row>
    <row r="66636" spans="1:6" x14ac:dyDescent="0.25">
      <c r="A66636"/>
      <c r="B66636"/>
      <c r="C66636"/>
      <c r="E66636"/>
      <c r="F66636"/>
    </row>
    <row r="66637" spans="1:6" x14ac:dyDescent="0.25">
      <c r="A66637"/>
      <c r="B66637"/>
      <c r="C66637"/>
      <c r="E66637"/>
      <c r="F66637"/>
    </row>
    <row r="66638" spans="1:6" x14ac:dyDescent="0.25">
      <c r="A66638"/>
      <c r="B66638"/>
      <c r="C66638"/>
      <c r="E66638"/>
      <c r="F66638"/>
    </row>
    <row r="66639" spans="1:6" x14ac:dyDescent="0.25">
      <c r="A66639"/>
      <c r="B66639"/>
      <c r="C66639"/>
      <c r="E66639"/>
      <c r="F66639"/>
    </row>
    <row r="66640" spans="1:6" x14ac:dyDescent="0.25">
      <c r="A66640"/>
      <c r="B66640"/>
      <c r="C66640"/>
      <c r="E66640"/>
      <c r="F66640"/>
    </row>
    <row r="66641" spans="1:6" x14ac:dyDescent="0.25">
      <c r="A66641"/>
      <c r="B66641"/>
      <c r="C66641"/>
      <c r="E66641"/>
      <c r="F66641"/>
    </row>
    <row r="66642" spans="1:6" x14ac:dyDescent="0.25">
      <c r="A66642"/>
      <c r="B66642"/>
      <c r="C66642"/>
      <c r="E66642"/>
      <c r="F66642"/>
    </row>
    <row r="66643" spans="1:6" x14ac:dyDescent="0.25">
      <c r="A66643"/>
      <c r="B66643"/>
      <c r="C66643"/>
      <c r="E66643"/>
      <c r="F66643"/>
    </row>
    <row r="66644" spans="1:6" x14ac:dyDescent="0.25">
      <c r="A66644"/>
      <c r="B66644"/>
      <c r="C66644"/>
      <c r="E66644"/>
      <c r="F66644"/>
    </row>
    <row r="66645" spans="1:6" x14ac:dyDescent="0.25">
      <c r="A66645"/>
      <c r="B66645"/>
      <c r="C66645"/>
      <c r="E66645"/>
      <c r="F66645"/>
    </row>
    <row r="66646" spans="1:6" x14ac:dyDescent="0.25">
      <c r="A66646"/>
      <c r="B66646"/>
      <c r="C66646"/>
      <c r="E66646"/>
      <c r="F66646"/>
    </row>
    <row r="66647" spans="1:6" x14ac:dyDescent="0.25">
      <c r="A66647"/>
      <c r="B66647"/>
      <c r="C66647"/>
      <c r="E66647"/>
      <c r="F66647"/>
    </row>
    <row r="66648" spans="1:6" x14ac:dyDescent="0.25">
      <c r="A66648"/>
      <c r="B66648"/>
      <c r="C66648"/>
      <c r="E66648"/>
      <c r="F66648"/>
    </row>
    <row r="66649" spans="1:6" x14ac:dyDescent="0.25">
      <c r="A66649"/>
      <c r="B66649"/>
      <c r="C66649"/>
      <c r="E66649"/>
      <c r="F66649"/>
    </row>
    <row r="66650" spans="1:6" x14ac:dyDescent="0.25">
      <c r="A66650"/>
      <c r="B66650"/>
      <c r="C66650"/>
      <c r="E66650"/>
      <c r="F66650"/>
    </row>
    <row r="66651" spans="1:6" x14ac:dyDescent="0.25">
      <c r="A66651"/>
      <c r="B66651"/>
      <c r="C66651"/>
      <c r="E66651"/>
      <c r="F66651"/>
    </row>
    <row r="66652" spans="1:6" x14ac:dyDescent="0.25">
      <c r="A66652"/>
      <c r="B66652"/>
      <c r="C66652"/>
      <c r="E66652"/>
      <c r="F66652"/>
    </row>
    <row r="66653" spans="1:6" x14ac:dyDescent="0.25">
      <c r="A66653"/>
      <c r="B66653"/>
      <c r="C66653"/>
      <c r="E66653"/>
      <c r="F66653"/>
    </row>
    <row r="66654" spans="1:6" x14ac:dyDescent="0.25">
      <c r="A66654"/>
      <c r="B66654"/>
      <c r="C66654"/>
      <c r="E66654"/>
      <c r="F66654"/>
    </row>
    <row r="66655" spans="1:6" x14ac:dyDescent="0.25">
      <c r="A66655"/>
      <c r="B66655"/>
      <c r="C66655"/>
      <c r="E66655"/>
      <c r="F66655"/>
    </row>
    <row r="66656" spans="1:6" x14ac:dyDescent="0.25">
      <c r="A66656"/>
      <c r="B66656"/>
      <c r="C66656"/>
      <c r="E66656"/>
      <c r="F66656"/>
    </row>
    <row r="66657" spans="1:6" x14ac:dyDescent="0.25">
      <c r="A66657"/>
      <c r="B66657"/>
      <c r="C66657"/>
      <c r="E66657"/>
      <c r="F66657"/>
    </row>
    <row r="66658" spans="1:6" x14ac:dyDescent="0.25">
      <c r="A66658"/>
      <c r="B66658"/>
      <c r="C66658"/>
      <c r="E66658"/>
      <c r="F66658"/>
    </row>
    <row r="66659" spans="1:6" x14ac:dyDescent="0.25">
      <c r="A66659"/>
      <c r="B66659"/>
      <c r="C66659"/>
      <c r="E66659"/>
      <c r="F66659"/>
    </row>
    <row r="66660" spans="1:6" x14ac:dyDescent="0.25">
      <c r="A66660"/>
      <c r="B66660"/>
      <c r="C66660"/>
      <c r="E66660"/>
      <c r="F66660"/>
    </row>
    <row r="66661" spans="1:6" x14ac:dyDescent="0.25">
      <c r="A66661"/>
      <c r="B66661"/>
      <c r="C66661"/>
      <c r="E66661"/>
      <c r="F66661"/>
    </row>
    <row r="66662" spans="1:6" x14ac:dyDescent="0.25">
      <c r="A66662"/>
      <c r="B66662"/>
      <c r="C66662"/>
      <c r="E66662"/>
      <c r="F66662"/>
    </row>
    <row r="66663" spans="1:6" x14ac:dyDescent="0.25">
      <c r="A66663"/>
      <c r="B66663"/>
      <c r="C66663"/>
      <c r="E66663"/>
      <c r="F66663"/>
    </row>
    <row r="66664" spans="1:6" x14ac:dyDescent="0.25">
      <c r="A66664"/>
      <c r="B66664"/>
      <c r="C66664"/>
      <c r="E66664"/>
      <c r="F66664"/>
    </row>
    <row r="66665" spans="1:6" x14ac:dyDescent="0.25">
      <c r="A66665"/>
      <c r="B66665"/>
      <c r="C66665"/>
      <c r="E66665"/>
      <c r="F66665"/>
    </row>
    <row r="66666" spans="1:6" x14ac:dyDescent="0.25">
      <c r="A66666"/>
      <c r="B66666"/>
      <c r="C66666"/>
      <c r="E66666"/>
      <c r="F66666"/>
    </row>
    <row r="66667" spans="1:6" x14ac:dyDescent="0.25">
      <c r="A66667"/>
      <c r="B66667"/>
      <c r="C66667"/>
      <c r="E66667"/>
      <c r="F66667"/>
    </row>
    <row r="66668" spans="1:6" x14ac:dyDescent="0.25">
      <c r="A66668"/>
      <c r="B66668"/>
      <c r="C66668"/>
      <c r="E66668"/>
      <c r="F66668"/>
    </row>
    <row r="66669" spans="1:6" x14ac:dyDescent="0.25">
      <c r="A66669"/>
      <c r="B66669"/>
      <c r="C66669"/>
      <c r="E66669"/>
      <c r="F66669"/>
    </row>
    <row r="66670" spans="1:6" x14ac:dyDescent="0.25">
      <c r="A66670"/>
      <c r="B66670"/>
      <c r="C66670"/>
      <c r="E66670"/>
      <c r="F66670"/>
    </row>
    <row r="66671" spans="1:6" x14ac:dyDescent="0.25">
      <c r="A66671"/>
      <c r="B66671"/>
      <c r="C66671"/>
      <c r="E66671"/>
      <c r="F66671"/>
    </row>
    <row r="66672" spans="1:6" x14ac:dyDescent="0.25">
      <c r="A66672"/>
      <c r="B66672"/>
      <c r="C66672"/>
      <c r="E66672"/>
      <c r="F66672"/>
    </row>
    <row r="66673" spans="1:6" x14ac:dyDescent="0.25">
      <c r="A66673"/>
      <c r="B66673"/>
      <c r="C66673"/>
      <c r="E66673"/>
      <c r="F66673"/>
    </row>
    <row r="66674" spans="1:6" x14ac:dyDescent="0.25">
      <c r="A66674"/>
      <c r="B66674"/>
      <c r="C66674"/>
      <c r="E66674"/>
      <c r="F66674"/>
    </row>
    <row r="66675" spans="1:6" x14ac:dyDescent="0.25">
      <c r="A66675"/>
      <c r="B66675"/>
      <c r="C66675"/>
      <c r="E66675"/>
      <c r="F66675"/>
    </row>
    <row r="66676" spans="1:6" x14ac:dyDescent="0.25">
      <c r="A66676"/>
      <c r="B66676"/>
      <c r="C66676"/>
      <c r="E66676"/>
      <c r="F66676"/>
    </row>
    <row r="66677" spans="1:6" x14ac:dyDescent="0.25">
      <c r="A66677"/>
      <c r="B66677"/>
      <c r="C66677"/>
      <c r="E66677"/>
      <c r="F66677"/>
    </row>
    <row r="66678" spans="1:6" x14ac:dyDescent="0.25">
      <c r="A66678"/>
      <c r="B66678"/>
      <c r="C66678"/>
      <c r="E66678"/>
      <c r="F66678"/>
    </row>
    <row r="66679" spans="1:6" x14ac:dyDescent="0.25">
      <c r="A66679"/>
      <c r="B66679"/>
      <c r="C66679"/>
      <c r="E66679"/>
      <c r="F66679"/>
    </row>
    <row r="66680" spans="1:6" x14ac:dyDescent="0.25">
      <c r="A66680"/>
      <c r="B66680"/>
      <c r="C66680"/>
      <c r="E66680"/>
      <c r="F66680"/>
    </row>
    <row r="66681" spans="1:6" x14ac:dyDescent="0.25">
      <c r="A66681"/>
      <c r="B66681"/>
      <c r="C66681"/>
      <c r="E66681"/>
      <c r="F66681"/>
    </row>
    <row r="66682" spans="1:6" x14ac:dyDescent="0.25">
      <c r="A66682"/>
      <c r="B66682"/>
      <c r="C66682"/>
      <c r="E66682"/>
      <c r="F66682"/>
    </row>
    <row r="66683" spans="1:6" x14ac:dyDescent="0.25">
      <c r="A66683"/>
      <c r="B66683"/>
      <c r="C66683"/>
      <c r="E66683"/>
      <c r="F66683"/>
    </row>
    <row r="66684" spans="1:6" x14ac:dyDescent="0.25">
      <c r="A66684"/>
      <c r="B66684"/>
      <c r="C66684"/>
      <c r="E66684"/>
      <c r="F66684"/>
    </row>
    <row r="66685" spans="1:6" x14ac:dyDescent="0.25">
      <c r="A66685"/>
      <c r="B66685"/>
      <c r="C66685"/>
      <c r="E66685"/>
      <c r="F66685"/>
    </row>
    <row r="66686" spans="1:6" x14ac:dyDescent="0.25">
      <c r="A66686"/>
      <c r="B66686"/>
      <c r="C66686"/>
      <c r="E66686"/>
      <c r="F66686"/>
    </row>
    <row r="66687" spans="1:6" x14ac:dyDescent="0.25">
      <c r="A66687"/>
      <c r="B66687"/>
      <c r="C66687"/>
      <c r="E66687"/>
      <c r="F66687"/>
    </row>
    <row r="66688" spans="1:6" x14ac:dyDescent="0.25">
      <c r="A66688"/>
      <c r="B66688"/>
      <c r="C66688"/>
      <c r="E66688"/>
      <c r="F66688"/>
    </row>
    <row r="66689" spans="1:6" x14ac:dyDescent="0.25">
      <c r="A66689"/>
      <c r="B66689"/>
      <c r="C66689"/>
      <c r="E66689"/>
      <c r="F66689"/>
    </row>
    <row r="66690" spans="1:6" x14ac:dyDescent="0.25">
      <c r="A66690"/>
      <c r="B66690"/>
      <c r="C66690"/>
      <c r="E66690"/>
      <c r="F66690"/>
    </row>
    <row r="66691" spans="1:6" x14ac:dyDescent="0.25">
      <c r="A66691"/>
      <c r="B66691"/>
      <c r="C66691"/>
      <c r="E66691"/>
      <c r="F66691"/>
    </row>
    <row r="66692" spans="1:6" x14ac:dyDescent="0.25">
      <c r="A66692"/>
      <c r="B66692"/>
      <c r="C66692"/>
      <c r="E66692"/>
      <c r="F66692"/>
    </row>
    <row r="66693" spans="1:6" x14ac:dyDescent="0.25">
      <c r="A66693"/>
      <c r="B66693"/>
      <c r="C66693"/>
      <c r="E66693"/>
      <c r="F66693"/>
    </row>
    <row r="66694" spans="1:6" x14ac:dyDescent="0.25">
      <c r="A66694"/>
      <c r="B66694"/>
      <c r="C66694"/>
      <c r="E66694"/>
      <c r="F66694"/>
    </row>
    <row r="66695" spans="1:6" x14ac:dyDescent="0.25">
      <c r="A66695"/>
      <c r="B66695"/>
      <c r="C66695"/>
      <c r="E66695"/>
      <c r="F66695"/>
    </row>
    <row r="66696" spans="1:6" x14ac:dyDescent="0.25">
      <c r="A66696"/>
      <c r="B66696"/>
      <c r="C66696"/>
      <c r="E66696"/>
      <c r="F66696"/>
    </row>
    <row r="66697" spans="1:6" x14ac:dyDescent="0.25">
      <c r="A66697"/>
      <c r="B66697"/>
      <c r="C66697"/>
      <c r="E66697"/>
      <c r="F66697"/>
    </row>
    <row r="66698" spans="1:6" x14ac:dyDescent="0.25">
      <c r="A66698"/>
      <c r="B66698"/>
      <c r="C66698"/>
      <c r="E66698"/>
      <c r="F66698"/>
    </row>
    <row r="66699" spans="1:6" x14ac:dyDescent="0.25">
      <c r="A66699"/>
      <c r="B66699"/>
      <c r="C66699"/>
      <c r="E66699"/>
      <c r="F66699"/>
    </row>
    <row r="66700" spans="1:6" x14ac:dyDescent="0.25">
      <c r="A66700"/>
      <c r="B66700"/>
      <c r="C66700"/>
      <c r="E66700"/>
      <c r="F66700"/>
    </row>
    <row r="66701" spans="1:6" x14ac:dyDescent="0.25">
      <c r="A66701"/>
      <c r="B66701"/>
      <c r="C66701"/>
      <c r="E66701"/>
      <c r="F66701"/>
    </row>
    <row r="66702" spans="1:6" x14ac:dyDescent="0.25">
      <c r="A66702"/>
      <c r="B66702"/>
      <c r="C66702"/>
      <c r="E66702"/>
      <c r="F66702"/>
    </row>
    <row r="66703" spans="1:6" x14ac:dyDescent="0.25">
      <c r="A66703"/>
      <c r="B66703"/>
      <c r="C66703"/>
      <c r="E66703"/>
      <c r="F66703"/>
    </row>
    <row r="66704" spans="1:6" x14ac:dyDescent="0.25">
      <c r="A66704"/>
      <c r="B66704"/>
      <c r="C66704"/>
      <c r="E66704"/>
      <c r="F66704"/>
    </row>
    <row r="66705" spans="1:6" x14ac:dyDescent="0.25">
      <c r="A66705"/>
      <c r="B66705"/>
      <c r="C66705"/>
      <c r="E66705"/>
      <c r="F66705"/>
    </row>
    <row r="66706" spans="1:6" x14ac:dyDescent="0.25">
      <c r="A66706"/>
      <c r="B66706"/>
      <c r="C66706"/>
      <c r="E66706"/>
      <c r="F66706"/>
    </row>
    <row r="66707" spans="1:6" x14ac:dyDescent="0.25">
      <c r="A66707"/>
      <c r="B66707"/>
      <c r="C66707"/>
      <c r="E66707"/>
      <c r="F66707"/>
    </row>
    <row r="66708" spans="1:6" x14ac:dyDescent="0.25">
      <c r="A66708"/>
      <c r="B66708"/>
      <c r="C66708"/>
      <c r="E66708"/>
      <c r="F66708"/>
    </row>
    <row r="66709" spans="1:6" x14ac:dyDescent="0.25">
      <c r="A66709"/>
      <c r="B66709"/>
      <c r="C66709"/>
      <c r="E66709"/>
      <c r="F66709"/>
    </row>
    <row r="66710" spans="1:6" x14ac:dyDescent="0.25">
      <c r="A66710"/>
      <c r="B66710"/>
      <c r="C66710"/>
      <c r="E66710"/>
      <c r="F66710"/>
    </row>
    <row r="66711" spans="1:6" x14ac:dyDescent="0.25">
      <c r="A66711"/>
      <c r="B66711"/>
      <c r="C66711"/>
      <c r="E66711"/>
      <c r="F66711"/>
    </row>
    <row r="66712" spans="1:6" x14ac:dyDescent="0.25">
      <c r="A66712"/>
      <c r="B66712"/>
      <c r="C66712"/>
      <c r="E66712"/>
      <c r="F66712"/>
    </row>
    <row r="66713" spans="1:6" x14ac:dyDescent="0.25">
      <c r="A66713"/>
      <c r="B66713"/>
      <c r="C66713"/>
      <c r="E66713"/>
      <c r="F66713"/>
    </row>
    <row r="66714" spans="1:6" x14ac:dyDescent="0.25">
      <c r="A66714"/>
      <c r="B66714"/>
      <c r="C66714"/>
      <c r="E66714"/>
      <c r="F66714"/>
    </row>
    <row r="66715" spans="1:6" x14ac:dyDescent="0.25">
      <c r="A66715"/>
      <c r="B66715"/>
      <c r="C66715"/>
      <c r="E66715"/>
      <c r="F66715"/>
    </row>
    <row r="66716" spans="1:6" x14ac:dyDescent="0.25">
      <c r="A66716"/>
      <c r="B66716"/>
      <c r="C66716"/>
      <c r="E66716"/>
      <c r="F66716"/>
    </row>
    <row r="66717" spans="1:6" x14ac:dyDescent="0.25">
      <c r="A66717"/>
      <c r="B66717"/>
      <c r="C66717"/>
      <c r="E66717"/>
      <c r="F66717"/>
    </row>
    <row r="66718" spans="1:6" x14ac:dyDescent="0.25">
      <c r="A66718"/>
      <c r="B66718"/>
      <c r="C66718"/>
      <c r="E66718"/>
      <c r="F66718"/>
    </row>
    <row r="66719" spans="1:6" x14ac:dyDescent="0.25">
      <c r="A66719"/>
      <c r="B66719"/>
      <c r="C66719"/>
      <c r="E66719"/>
      <c r="F66719"/>
    </row>
    <row r="66720" spans="1:6" x14ac:dyDescent="0.25">
      <c r="A66720"/>
      <c r="B66720"/>
      <c r="C66720"/>
      <c r="E66720"/>
      <c r="F66720"/>
    </row>
    <row r="66721" spans="1:6" x14ac:dyDescent="0.25">
      <c r="A66721"/>
      <c r="B66721"/>
      <c r="C66721"/>
      <c r="E66721"/>
      <c r="F66721"/>
    </row>
    <row r="66722" spans="1:6" x14ac:dyDescent="0.25">
      <c r="A66722"/>
      <c r="B66722"/>
      <c r="C66722"/>
      <c r="E66722"/>
      <c r="F66722"/>
    </row>
    <row r="66723" spans="1:6" x14ac:dyDescent="0.25">
      <c r="A66723"/>
      <c r="B66723"/>
      <c r="C66723"/>
      <c r="E66723"/>
      <c r="F66723"/>
    </row>
    <row r="66724" spans="1:6" x14ac:dyDescent="0.25">
      <c r="A66724"/>
      <c r="B66724"/>
      <c r="C66724"/>
      <c r="E66724"/>
      <c r="F66724"/>
    </row>
    <row r="66725" spans="1:6" x14ac:dyDescent="0.25">
      <c r="A66725"/>
      <c r="B66725"/>
      <c r="C66725"/>
      <c r="E66725"/>
      <c r="F66725"/>
    </row>
    <row r="66726" spans="1:6" x14ac:dyDescent="0.25">
      <c r="A66726"/>
      <c r="B66726"/>
      <c r="C66726"/>
      <c r="E66726"/>
      <c r="F66726"/>
    </row>
    <row r="66727" spans="1:6" x14ac:dyDescent="0.25">
      <c r="A66727"/>
      <c r="B66727"/>
      <c r="C66727"/>
      <c r="E66727"/>
      <c r="F66727"/>
    </row>
    <row r="66728" spans="1:6" x14ac:dyDescent="0.25">
      <c r="A66728"/>
      <c r="B66728"/>
      <c r="C66728"/>
      <c r="E66728"/>
      <c r="F66728"/>
    </row>
    <row r="66729" spans="1:6" x14ac:dyDescent="0.25">
      <c r="A66729"/>
      <c r="B66729"/>
      <c r="C66729"/>
      <c r="E66729"/>
      <c r="F66729"/>
    </row>
    <row r="66730" spans="1:6" x14ac:dyDescent="0.25">
      <c r="A66730"/>
      <c r="B66730"/>
      <c r="C66730"/>
      <c r="E66730"/>
      <c r="F66730"/>
    </row>
    <row r="66731" spans="1:6" x14ac:dyDescent="0.25">
      <c r="A66731"/>
      <c r="B66731"/>
      <c r="C66731"/>
      <c r="E66731"/>
      <c r="F66731"/>
    </row>
    <row r="66732" spans="1:6" x14ac:dyDescent="0.25">
      <c r="A66732"/>
      <c r="B66732"/>
      <c r="C66732"/>
      <c r="E66732"/>
      <c r="F66732"/>
    </row>
    <row r="66733" spans="1:6" x14ac:dyDescent="0.25">
      <c r="A66733"/>
      <c r="B66733"/>
      <c r="C66733"/>
      <c r="E66733"/>
      <c r="F66733"/>
    </row>
    <row r="66734" spans="1:6" x14ac:dyDescent="0.25">
      <c r="A66734"/>
      <c r="B66734"/>
      <c r="C66734"/>
      <c r="E66734"/>
      <c r="F66734"/>
    </row>
    <row r="66735" spans="1:6" x14ac:dyDescent="0.25">
      <c r="A66735"/>
      <c r="B66735"/>
      <c r="C66735"/>
      <c r="E66735"/>
      <c r="F66735"/>
    </row>
    <row r="66736" spans="1:6" x14ac:dyDescent="0.25">
      <c r="A66736"/>
      <c r="B66736"/>
      <c r="C66736"/>
      <c r="E66736"/>
      <c r="F66736"/>
    </row>
    <row r="66737" spans="1:6" x14ac:dyDescent="0.25">
      <c r="A66737"/>
      <c r="B66737"/>
      <c r="C66737"/>
      <c r="E66737"/>
      <c r="F66737"/>
    </row>
    <row r="66738" spans="1:6" x14ac:dyDescent="0.25">
      <c r="A66738"/>
      <c r="B66738"/>
      <c r="C66738"/>
      <c r="E66738"/>
      <c r="F66738"/>
    </row>
    <row r="66739" spans="1:6" x14ac:dyDescent="0.25">
      <c r="A66739"/>
      <c r="B66739"/>
      <c r="C66739"/>
      <c r="E66739"/>
      <c r="F66739"/>
    </row>
    <row r="66740" spans="1:6" x14ac:dyDescent="0.25">
      <c r="A66740"/>
      <c r="B66740"/>
      <c r="C66740"/>
      <c r="E66740"/>
      <c r="F66740"/>
    </row>
    <row r="66741" spans="1:6" x14ac:dyDescent="0.25">
      <c r="A66741"/>
      <c r="B66741"/>
      <c r="C66741"/>
      <c r="E66741"/>
      <c r="F66741"/>
    </row>
    <row r="66742" spans="1:6" x14ac:dyDescent="0.25">
      <c r="A66742"/>
      <c r="B66742"/>
      <c r="C66742"/>
      <c r="E66742"/>
      <c r="F66742"/>
    </row>
    <row r="66743" spans="1:6" x14ac:dyDescent="0.25">
      <c r="A66743"/>
      <c r="B66743"/>
      <c r="C66743"/>
      <c r="E66743"/>
      <c r="F66743"/>
    </row>
    <row r="66744" spans="1:6" x14ac:dyDescent="0.25">
      <c r="A66744"/>
      <c r="B66744"/>
      <c r="C66744"/>
      <c r="E66744"/>
      <c r="F66744"/>
    </row>
    <row r="66745" spans="1:6" x14ac:dyDescent="0.25">
      <c r="A66745"/>
      <c r="B66745"/>
      <c r="C66745"/>
      <c r="E66745"/>
      <c r="F66745"/>
    </row>
    <row r="66746" spans="1:6" x14ac:dyDescent="0.25">
      <c r="A66746"/>
      <c r="B66746"/>
      <c r="C66746"/>
      <c r="E66746"/>
      <c r="F66746"/>
    </row>
    <row r="66747" spans="1:6" x14ac:dyDescent="0.25">
      <c r="A66747"/>
      <c r="B66747"/>
      <c r="C66747"/>
      <c r="E66747"/>
      <c r="F66747"/>
    </row>
    <row r="66748" spans="1:6" x14ac:dyDescent="0.25">
      <c r="A66748"/>
      <c r="B66748"/>
      <c r="C66748"/>
      <c r="E66748"/>
      <c r="F66748"/>
    </row>
    <row r="66749" spans="1:6" x14ac:dyDescent="0.25">
      <c r="A66749"/>
      <c r="B66749"/>
      <c r="C66749"/>
      <c r="E66749"/>
      <c r="F66749"/>
    </row>
    <row r="66750" spans="1:6" x14ac:dyDescent="0.25">
      <c r="A66750"/>
      <c r="B66750"/>
      <c r="C66750"/>
      <c r="E66750"/>
      <c r="F66750"/>
    </row>
    <row r="66751" spans="1:6" x14ac:dyDescent="0.25">
      <c r="A66751"/>
      <c r="B66751"/>
      <c r="C66751"/>
      <c r="E66751"/>
      <c r="F66751"/>
    </row>
    <row r="66752" spans="1:6" x14ac:dyDescent="0.25">
      <c r="A66752"/>
      <c r="B66752"/>
      <c r="C66752"/>
      <c r="E66752"/>
      <c r="F66752"/>
    </row>
    <row r="66753" spans="1:6" x14ac:dyDescent="0.25">
      <c r="A66753"/>
      <c r="B66753"/>
      <c r="C66753"/>
      <c r="E66753"/>
      <c r="F66753"/>
    </row>
    <row r="66754" spans="1:6" x14ac:dyDescent="0.25">
      <c r="A66754"/>
      <c r="B66754"/>
      <c r="C66754"/>
      <c r="E66754"/>
      <c r="F66754"/>
    </row>
    <row r="66755" spans="1:6" x14ac:dyDescent="0.25">
      <c r="A66755"/>
      <c r="B66755"/>
      <c r="C66755"/>
      <c r="E66755"/>
      <c r="F66755"/>
    </row>
    <row r="66756" spans="1:6" x14ac:dyDescent="0.25">
      <c r="A66756"/>
      <c r="B66756"/>
      <c r="C66756"/>
      <c r="E66756"/>
      <c r="F66756"/>
    </row>
    <row r="66757" spans="1:6" x14ac:dyDescent="0.25">
      <c r="A66757"/>
      <c r="B66757"/>
      <c r="C66757"/>
      <c r="E66757"/>
      <c r="F66757"/>
    </row>
    <row r="66758" spans="1:6" x14ac:dyDescent="0.25">
      <c r="A66758"/>
      <c r="B66758"/>
      <c r="C66758"/>
      <c r="E66758"/>
      <c r="F66758"/>
    </row>
    <row r="66759" spans="1:6" x14ac:dyDescent="0.25">
      <c r="A66759"/>
      <c r="B66759"/>
      <c r="C66759"/>
      <c r="E66759"/>
      <c r="F66759"/>
    </row>
    <row r="66760" spans="1:6" x14ac:dyDescent="0.25">
      <c r="A66760"/>
      <c r="B66760"/>
      <c r="C66760"/>
      <c r="E66760"/>
      <c r="F66760"/>
    </row>
    <row r="66761" spans="1:6" x14ac:dyDescent="0.25">
      <c r="A66761"/>
      <c r="B66761"/>
      <c r="C66761"/>
      <c r="E66761"/>
      <c r="F66761"/>
    </row>
    <row r="66762" spans="1:6" x14ac:dyDescent="0.25">
      <c r="A66762"/>
      <c r="B66762"/>
      <c r="C66762"/>
      <c r="E66762"/>
      <c r="F66762"/>
    </row>
    <row r="66763" spans="1:6" x14ac:dyDescent="0.25">
      <c r="A66763"/>
      <c r="B66763"/>
      <c r="C66763"/>
      <c r="E66763"/>
      <c r="F66763"/>
    </row>
    <row r="66764" spans="1:6" x14ac:dyDescent="0.25">
      <c r="A66764"/>
      <c r="B66764"/>
      <c r="C66764"/>
      <c r="E66764"/>
      <c r="F66764"/>
    </row>
    <row r="66765" spans="1:6" x14ac:dyDescent="0.25">
      <c r="A66765"/>
      <c r="B66765"/>
      <c r="C66765"/>
      <c r="E66765"/>
      <c r="F66765"/>
    </row>
    <row r="66766" spans="1:6" x14ac:dyDescent="0.25">
      <c r="A66766"/>
      <c r="B66766"/>
      <c r="C66766"/>
      <c r="E66766"/>
      <c r="F66766"/>
    </row>
    <row r="66767" spans="1:6" x14ac:dyDescent="0.25">
      <c r="A66767"/>
      <c r="B66767"/>
      <c r="C66767"/>
      <c r="E66767"/>
      <c r="F66767"/>
    </row>
    <row r="66768" spans="1:6" x14ac:dyDescent="0.25">
      <c r="A66768"/>
      <c r="B66768"/>
      <c r="C66768"/>
      <c r="E66768"/>
      <c r="F66768"/>
    </row>
    <row r="66769" spans="1:6" x14ac:dyDescent="0.25">
      <c r="A66769"/>
      <c r="B66769"/>
      <c r="C66769"/>
      <c r="E66769"/>
      <c r="F66769"/>
    </row>
    <row r="66770" spans="1:6" x14ac:dyDescent="0.25">
      <c r="A66770"/>
      <c r="B66770"/>
      <c r="C66770"/>
      <c r="E66770"/>
      <c r="F66770"/>
    </row>
    <row r="66771" spans="1:6" x14ac:dyDescent="0.25">
      <c r="A66771"/>
      <c r="B66771"/>
      <c r="C66771"/>
      <c r="E66771"/>
      <c r="F66771"/>
    </row>
    <row r="66772" spans="1:6" x14ac:dyDescent="0.25">
      <c r="A66772"/>
      <c r="B66772"/>
      <c r="C66772"/>
      <c r="E66772"/>
      <c r="F66772"/>
    </row>
    <row r="66773" spans="1:6" x14ac:dyDescent="0.25">
      <c r="A66773"/>
      <c r="B66773"/>
      <c r="C66773"/>
      <c r="E66773"/>
      <c r="F66773"/>
    </row>
    <row r="66774" spans="1:6" x14ac:dyDescent="0.25">
      <c r="A66774"/>
      <c r="B66774"/>
      <c r="C66774"/>
      <c r="E66774"/>
      <c r="F66774"/>
    </row>
    <row r="66775" spans="1:6" x14ac:dyDescent="0.25">
      <c r="A66775"/>
      <c r="B66775"/>
      <c r="C66775"/>
      <c r="E66775"/>
      <c r="F66775"/>
    </row>
    <row r="66776" spans="1:6" x14ac:dyDescent="0.25">
      <c r="A66776"/>
      <c r="B66776"/>
      <c r="C66776"/>
      <c r="E66776"/>
      <c r="F66776"/>
    </row>
    <row r="66777" spans="1:6" x14ac:dyDescent="0.25">
      <c r="A66777"/>
      <c r="B66777"/>
      <c r="C66777"/>
      <c r="E66777"/>
      <c r="F66777"/>
    </row>
    <row r="66778" spans="1:6" x14ac:dyDescent="0.25">
      <c r="A66778"/>
      <c r="B66778"/>
      <c r="C66778"/>
      <c r="E66778"/>
      <c r="F66778"/>
    </row>
    <row r="66779" spans="1:6" x14ac:dyDescent="0.25">
      <c r="A66779"/>
      <c r="B66779"/>
      <c r="C66779"/>
      <c r="E66779"/>
      <c r="F66779"/>
    </row>
    <row r="66780" spans="1:6" x14ac:dyDescent="0.25">
      <c r="A66780"/>
      <c r="B66780"/>
      <c r="C66780"/>
      <c r="E66780"/>
      <c r="F66780"/>
    </row>
    <row r="66781" spans="1:6" x14ac:dyDescent="0.25">
      <c r="A66781"/>
      <c r="B66781"/>
      <c r="C66781"/>
      <c r="E66781"/>
      <c r="F66781"/>
    </row>
    <row r="66782" spans="1:6" x14ac:dyDescent="0.25">
      <c r="A66782"/>
      <c r="B66782"/>
      <c r="C66782"/>
      <c r="E66782"/>
      <c r="F66782"/>
    </row>
    <row r="66783" spans="1:6" x14ac:dyDescent="0.25">
      <c r="A66783"/>
      <c r="B66783"/>
      <c r="C66783"/>
      <c r="E66783"/>
      <c r="F66783"/>
    </row>
    <row r="66784" spans="1:6" x14ac:dyDescent="0.25">
      <c r="A66784"/>
      <c r="B66784"/>
      <c r="C66784"/>
      <c r="E66784"/>
      <c r="F66784"/>
    </row>
    <row r="66785" spans="1:6" x14ac:dyDescent="0.25">
      <c r="A66785"/>
      <c r="B66785"/>
      <c r="C66785"/>
      <c r="E66785"/>
      <c r="F66785"/>
    </row>
    <row r="66786" spans="1:6" x14ac:dyDescent="0.25">
      <c r="A66786"/>
      <c r="B66786"/>
      <c r="C66786"/>
      <c r="E66786"/>
      <c r="F66786"/>
    </row>
    <row r="66787" spans="1:6" x14ac:dyDescent="0.25">
      <c r="A66787"/>
      <c r="B66787"/>
      <c r="C66787"/>
      <c r="E66787"/>
      <c r="F66787"/>
    </row>
    <row r="66788" spans="1:6" x14ac:dyDescent="0.25">
      <c r="A66788"/>
      <c r="B66788"/>
      <c r="C66788"/>
      <c r="E66788"/>
      <c r="F66788"/>
    </row>
    <row r="66789" spans="1:6" x14ac:dyDescent="0.25">
      <c r="A66789"/>
      <c r="B66789"/>
      <c r="C66789"/>
      <c r="E66789"/>
      <c r="F66789"/>
    </row>
    <row r="66790" spans="1:6" x14ac:dyDescent="0.25">
      <c r="A66790"/>
      <c r="B66790"/>
      <c r="C66790"/>
      <c r="E66790"/>
      <c r="F66790"/>
    </row>
    <row r="66791" spans="1:6" x14ac:dyDescent="0.25">
      <c r="A66791"/>
      <c r="B66791"/>
      <c r="C66791"/>
      <c r="E66791"/>
      <c r="F66791"/>
    </row>
    <row r="66792" spans="1:6" x14ac:dyDescent="0.25">
      <c r="A66792"/>
      <c r="B66792"/>
      <c r="C66792"/>
      <c r="E66792"/>
      <c r="F66792"/>
    </row>
    <row r="66793" spans="1:6" x14ac:dyDescent="0.25">
      <c r="A66793"/>
      <c r="B66793"/>
      <c r="C66793"/>
      <c r="E66793"/>
      <c r="F66793"/>
    </row>
    <row r="66794" spans="1:6" x14ac:dyDescent="0.25">
      <c r="A66794"/>
      <c r="B66794"/>
      <c r="C66794"/>
      <c r="E66794"/>
      <c r="F66794"/>
    </row>
    <row r="66795" spans="1:6" x14ac:dyDescent="0.25">
      <c r="A66795"/>
      <c r="B66795"/>
      <c r="C66795"/>
      <c r="E66795"/>
      <c r="F66795"/>
    </row>
    <row r="66796" spans="1:6" x14ac:dyDescent="0.25">
      <c r="A66796"/>
      <c r="B66796"/>
      <c r="C66796"/>
      <c r="E66796"/>
      <c r="F66796"/>
    </row>
    <row r="66797" spans="1:6" x14ac:dyDescent="0.25">
      <c r="A66797"/>
      <c r="B66797"/>
      <c r="C66797"/>
      <c r="E66797"/>
      <c r="F66797"/>
    </row>
    <row r="66798" spans="1:6" x14ac:dyDescent="0.25">
      <c r="A66798"/>
      <c r="B66798"/>
      <c r="C66798"/>
      <c r="E66798"/>
      <c r="F66798"/>
    </row>
    <row r="66799" spans="1:6" x14ac:dyDescent="0.25">
      <c r="A66799"/>
      <c r="B66799"/>
      <c r="C66799"/>
      <c r="E66799"/>
      <c r="F66799"/>
    </row>
    <row r="66800" spans="1:6" x14ac:dyDescent="0.25">
      <c r="A66800"/>
      <c r="B66800"/>
      <c r="C66800"/>
      <c r="E66800"/>
      <c r="F66800"/>
    </row>
    <row r="66801" spans="1:6" x14ac:dyDescent="0.25">
      <c r="A66801"/>
      <c r="B66801"/>
      <c r="C66801"/>
      <c r="E66801"/>
      <c r="F66801"/>
    </row>
    <row r="66802" spans="1:6" x14ac:dyDescent="0.25">
      <c r="A66802"/>
      <c r="B66802"/>
      <c r="C66802"/>
      <c r="E66802"/>
      <c r="F66802"/>
    </row>
    <row r="66803" spans="1:6" x14ac:dyDescent="0.25">
      <c r="A66803"/>
      <c r="B66803"/>
      <c r="C66803"/>
      <c r="E66803"/>
      <c r="F66803"/>
    </row>
    <row r="66804" spans="1:6" x14ac:dyDescent="0.25">
      <c r="A66804"/>
      <c r="B66804"/>
      <c r="C66804"/>
      <c r="E66804"/>
      <c r="F66804"/>
    </row>
    <row r="66805" spans="1:6" x14ac:dyDescent="0.25">
      <c r="A66805"/>
      <c r="B66805"/>
      <c r="C66805"/>
      <c r="E66805"/>
      <c r="F66805"/>
    </row>
    <row r="66806" spans="1:6" x14ac:dyDescent="0.25">
      <c r="A66806"/>
      <c r="B66806"/>
      <c r="C66806"/>
      <c r="E66806"/>
      <c r="F66806"/>
    </row>
    <row r="66807" spans="1:6" x14ac:dyDescent="0.25">
      <c r="A66807"/>
      <c r="B66807"/>
      <c r="C66807"/>
      <c r="E66807"/>
      <c r="F66807"/>
    </row>
    <row r="66808" spans="1:6" x14ac:dyDescent="0.25">
      <c r="A66808"/>
      <c r="B66808"/>
      <c r="C66808"/>
      <c r="E66808"/>
      <c r="F66808"/>
    </row>
    <row r="66809" spans="1:6" x14ac:dyDescent="0.25">
      <c r="A66809"/>
      <c r="B66809"/>
      <c r="C66809"/>
      <c r="E66809"/>
      <c r="F66809"/>
    </row>
    <row r="66810" spans="1:6" x14ac:dyDescent="0.25">
      <c r="A66810"/>
      <c r="B66810"/>
      <c r="C66810"/>
      <c r="E66810"/>
      <c r="F66810"/>
    </row>
    <row r="66811" spans="1:6" x14ac:dyDescent="0.25">
      <c r="A66811"/>
      <c r="B66811"/>
      <c r="C66811"/>
      <c r="E66811"/>
      <c r="F66811"/>
    </row>
    <row r="66812" spans="1:6" x14ac:dyDescent="0.25">
      <c r="A66812"/>
      <c r="B66812"/>
      <c r="C66812"/>
      <c r="E66812"/>
      <c r="F66812"/>
    </row>
    <row r="66813" spans="1:6" x14ac:dyDescent="0.25">
      <c r="A66813"/>
      <c r="B66813"/>
      <c r="C66813"/>
      <c r="E66813"/>
      <c r="F66813"/>
    </row>
    <row r="66814" spans="1:6" x14ac:dyDescent="0.25">
      <c r="A66814"/>
      <c r="B66814"/>
      <c r="C66814"/>
      <c r="E66814"/>
      <c r="F66814"/>
    </row>
    <row r="66815" spans="1:6" x14ac:dyDescent="0.25">
      <c r="A66815"/>
      <c r="B66815"/>
      <c r="C66815"/>
      <c r="E66815"/>
      <c r="F66815"/>
    </row>
    <row r="66816" spans="1:6" x14ac:dyDescent="0.25">
      <c r="A66816"/>
      <c r="B66816"/>
      <c r="C66816"/>
      <c r="E66816"/>
      <c r="F66816"/>
    </row>
    <row r="66817" spans="1:6" x14ac:dyDescent="0.25">
      <c r="A66817"/>
      <c r="B66817"/>
      <c r="C66817"/>
      <c r="E66817"/>
      <c r="F66817"/>
    </row>
    <row r="66818" spans="1:6" x14ac:dyDescent="0.25">
      <c r="A66818"/>
      <c r="B66818"/>
      <c r="C66818"/>
      <c r="E66818"/>
      <c r="F66818"/>
    </row>
    <row r="66819" spans="1:6" x14ac:dyDescent="0.25">
      <c r="A66819"/>
      <c r="B66819"/>
      <c r="C66819"/>
      <c r="E66819"/>
      <c r="F66819"/>
    </row>
    <row r="66820" spans="1:6" x14ac:dyDescent="0.25">
      <c r="A66820"/>
      <c r="B66820"/>
      <c r="C66820"/>
      <c r="E66820"/>
      <c r="F66820"/>
    </row>
    <row r="66821" spans="1:6" x14ac:dyDescent="0.25">
      <c r="A66821"/>
      <c r="B66821"/>
      <c r="C66821"/>
      <c r="E66821"/>
      <c r="F66821"/>
    </row>
    <row r="66822" spans="1:6" x14ac:dyDescent="0.25">
      <c r="A66822"/>
      <c r="B66822"/>
      <c r="C66822"/>
      <c r="E66822"/>
      <c r="F66822"/>
    </row>
    <row r="66823" spans="1:6" x14ac:dyDescent="0.25">
      <c r="A66823"/>
      <c r="B66823"/>
      <c r="C66823"/>
      <c r="E66823"/>
      <c r="F66823"/>
    </row>
    <row r="66824" spans="1:6" x14ac:dyDescent="0.25">
      <c r="A66824"/>
      <c r="B66824"/>
      <c r="C66824"/>
      <c r="E66824"/>
      <c r="F66824"/>
    </row>
    <row r="66825" spans="1:6" x14ac:dyDescent="0.25">
      <c r="A66825"/>
      <c r="B66825"/>
      <c r="C66825"/>
      <c r="E66825"/>
      <c r="F66825"/>
    </row>
    <row r="66826" spans="1:6" x14ac:dyDescent="0.25">
      <c r="A66826"/>
      <c r="B66826"/>
      <c r="C66826"/>
      <c r="E66826"/>
      <c r="F66826"/>
    </row>
    <row r="66827" spans="1:6" x14ac:dyDescent="0.25">
      <c r="A66827"/>
      <c r="B66827"/>
      <c r="C66827"/>
      <c r="E66827"/>
      <c r="F66827"/>
    </row>
    <row r="66828" spans="1:6" x14ac:dyDescent="0.25">
      <c r="A66828"/>
      <c r="B66828"/>
      <c r="C66828"/>
      <c r="E66828"/>
      <c r="F66828"/>
    </row>
    <row r="66829" spans="1:6" x14ac:dyDescent="0.25">
      <c r="A66829"/>
      <c r="B66829"/>
      <c r="C66829"/>
      <c r="E66829"/>
      <c r="F66829"/>
    </row>
    <row r="66830" spans="1:6" x14ac:dyDescent="0.25">
      <c r="A66830"/>
      <c r="B66830"/>
      <c r="C66830"/>
      <c r="E66830"/>
      <c r="F66830"/>
    </row>
    <row r="66831" spans="1:6" x14ac:dyDescent="0.25">
      <c r="A66831"/>
      <c r="B66831"/>
      <c r="C66831"/>
      <c r="E66831"/>
      <c r="F66831"/>
    </row>
    <row r="66832" spans="1:6" x14ac:dyDescent="0.25">
      <c r="A66832"/>
      <c r="B66832"/>
      <c r="C66832"/>
      <c r="E66832"/>
      <c r="F66832"/>
    </row>
    <row r="66833" spans="1:6" x14ac:dyDescent="0.25">
      <c r="A66833"/>
      <c r="B66833"/>
      <c r="C66833"/>
      <c r="E66833"/>
      <c r="F66833"/>
    </row>
    <row r="66834" spans="1:6" x14ac:dyDescent="0.25">
      <c r="A66834"/>
      <c r="B66834"/>
      <c r="C66834"/>
      <c r="E66834"/>
      <c r="F66834"/>
    </row>
    <row r="66835" spans="1:6" x14ac:dyDescent="0.25">
      <c r="A66835"/>
      <c r="B66835"/>
      <c r="C66835"/>
      <c r="E66835"/>
      <c r="F66835"/>
    </row>
    <row r="66836" spans="1:6" x14ac:dyDescent="0.25">
      <c r="A66836"/>
      <c r="B66836"/>
      <c r="C66836"/>
      <c r="E66836"/>
      <c r="F66836"/>
    </row>
    <row r="66837" spans="1:6" x14ac:dyDescent="0.25">
      <c r="A66837"/>
      <c r="B66837"/>
      <c r="C66837"/>
      <c r="E66837"/>
      <c r="F66837"/>
    </row>
    <row r="66838" spans="1:6" x14ac:dyDescent="0.25">
      <c r="A66838"/>
      <c r="B66838"/>
      <c r="C66838"/>
      <c r="E66838"/>
      <c r="F66838"/>
    </row>
    <row r="66839" spans="1:6" x14ac:dyDescent="0.25">
      <c r="A66839"/>
      <c r="B66839"/>
      <c r="C66839"/>
      <c r="E66839"/>
      <c r="F66839"/>
    </row>
    <row r="66840" spans="1:6" x14ac:dyDescent="0.25">
      <c r="A66840"/>
      <c r="B66840"/>
      <c r="C66840"/>
      <c r="E66840"/>
      <c r="F66840"/>
    </row>
    <row r="66841" spans="1:6" x14ac:dyDescent="0.25">
      <c r="A66841"/>
      <c r="B66841"/>
      <c r="C66841"/>
      <c r="E66841"/>
      <c r="F66841"/>
    </row>
    <row r="66842" spans="1:6" x14ac:dyDescent="0.25">
      <c r="A66842"/>
      <c r="B66842"/>
      <c r="C66842"/>
      <c r="E66842"/>
      <c r="F66842"/>
    </row>
    <row r="66843" spans="1:6" x14ac:dyDescent="0.25">
      <c r="A66843"/>
      <c r="B66843"/>
      <c r="C66843"/>
      <c r="E66843"/>
      <c r="F66843"/>
    </row>
    <row r="66844" spans="1:6" x14ac:dyDescent="0.25">
      <c r="A66844"/>
      <c r="B66844"/>
      <c r="C66844"/>
      <c r="E66844"/>
      <c r="F66844"/>
    </row>
    <row r="66845" spans="1:6" x14ac:dyDescent="0.25">
      <c r="A66845"/>
      <c r="B66845"/>
      <c r="C66845"/>
      <c r="E66845"/>
      <c r="F66845"/>
    </row>
    <row r="66846" spans="1:6" x14ac:dyDescent="0.25">
      <c r="A66846"/>
      <c r="B66846"/>
      <c r="C66846"/>
      <c r="E66846"/>
      <c r="F66846"/>
    </row>
    <row r="66847" spans="1:6" x14ac:dyDescent="0.25">
      <c r="A66847"/>
      <c r="B66847"/>
      <c r="C66847"/>
      <c r="E66847"/>
      <c r="F66847"/>
    </row>
    <row r="66848" spans="1:6" x14ac:dyDescent="0.25">
      <c r="A66848"/>
      <c r="B66848"/>
      <c r="C66848"/>
      <c r="E66848"/>
      <c r="F66848"/>
    </row>
    <row r="66849" spans="1:6" x14ac:dyDescent="0.25">
      <c r="A66849"/>
      <c r="B66849"/>
      <c r="C66849"/>
      <c r="E66849"/>
      <c r="F66849"/>
    </row>
    <row r="66850" spans="1:6" x14ac:dyDescent="0.25">
      <c r="A66850"/>
      <c r="B66850"/>
      <c r="C66850"/>
      <c r="E66850"/>
      <c r="F66850"/>
    </row>
    <row r="66851" spans="1:6" x14ac:dyDescent="0.25">
      <c r="A66851"/>
      <c r="B66851"/>
      <c r="C66851"/>
      <c r="E66851"/>
      <c r="F66851"/>
    </row>
    <row r="66852" spans="1:6" x14ac:dyDescent="0.25">
      <c r="A66852"/>
      <c r="B66852"/>
      <c r="C66852"/>
      <c r="E66852"/>
      <c r="F66852"/>
    </row>
    <row r="66853" spans="1:6" x14ac:dyDescent="0.25">
      <c r="A66853"/>
      <c r="B66853"/>
      <c r="C66853"/>
      <c r="E66853"/>
      <c r="F66853"/>
    </row>
    <row r="66854" spans="1:6" x14ac:dyDescent="0.25">
      <c r="A66854"/>
      <c r="B66854"/>
      <c r="C66854"/>
      <c r="E66854"/>
      <c r="F66854"/>
    </row>
    <row r="66855" spans="1:6" x14ac:dyDescent="0.25">
      <c r="A66855"/>
      <c r="B66855"/>
      <c r="C66855"/>
      <c r="E66855"/>
      <c r="F66855"/>
    </row>
    <row r="66856" spans="1:6" x14ac:dyDescent="0.25">
      <c r="A66856"/>
      <c r="B66856"/>
      <c r="C66856"/>
      <c r="E66856"/>
      <c r="F66856"/>
    </row>
    <row r="66857" spans="1:6" x14ac:dyDescent="0.25">
      <c r="A66857"/>
      <c r="B66857"/>
      <c r="C66857"/>
      <c r="E66857"/>
      <c r="F66857"/>
    </row>
    <row r="66858" spans="1:6" x14ac:dyDescent="0.25">
      <c r="A66858"/>
      <c r="B66858"/>
      <c r="C66858"/>
      <c r="E66858"/>
      <c r="F66858"/>
    </row>
    <row r="66859" spans="1:6" x14ac:dyDescent="0.25">
      <c r="A66859"/>
      <c r="B66859"/>
      <c r="C66859"/>
      <c r="E66859"/>
      <c r="F66859"/>
    </row>
    <row r="66860" spans="1:6" x14ac:dyDescent="0.25">
      <c r="A66860"/>
      <c r="B66860"/>
      <c r="C66860"/>
      <c r="E66860"/>
      <c r="F66860"/>
    </row>
    <row r="66861" spans="1:6" x14ac:dyDescent="0.25">
      <c r="A66861"/>
      <c r="B66861"/>
      <c r="C66861"/>
      <c r="E66861"/>
      <c r="F66861"/>
    </row>
    <row r="66862" spans="1:6" x14ac:dyDescent="0.25">
      <c r="A66862"/>
      <c r="B66862"/>
      <c r="C66862"/>
      <c r="E66862"/>
      <c r="F66862"/>
    </row>
    <row r="66863" spans="1:6" x14ac:dyDescent="0.25">
      <c r="A66863"/>
      <c r="B66863"/>
      <c r="C66863"/>
      <c r="E66863"/>
      <c r="F66863"/>
    </row>
    <row r="66864" spans="1:6" x14ac:dyDescent="0.25">
      <c r="A66864"/>
      <c r="B66864"/>
      <c r="C66864"/>
      <c r="E66864"/>
      <c r="F66864"/>
    </row>
    <row r="66865" spans="1:6" x14ac:dyDescent="0.25">
      <c r="A66865"/>
      <c r="B66865"/>
      <c r="C66865"/>
      <c r="E66865"/>
      <c r="F66865"/>
    </row>
    <row r="66866" spans="1:6" x14ac:dyDescent="0.25">
      <c r="A66866"/>
      <c r="B66866"/>
      <c r="C66866"/>
      <c r="E66866"/>
      <c r="F66866"/>
    </row>
    <row r="66867" spans="1:6" x14ac:dyDescent="0.25">
      <c r="A66867"/>
      <c r="B66867"/>
      <c r="C66867"/>
      <c r="E66867"/>
      <c r="F66867"/>
    </row>
    <row r="66868" spans="1:6" x14ac:dyDescent="0.25">
      <c r="A66868"/>
      <c r="B66868"/>
      <c r="C66868"/>
      <c r="E66868"/>
      <c r="F66868"/>
    </row>
    <row r="66869" spans="1:6" x14ac:dyDescent="0.25">
      <c r="A66869"/>
      <c r="B66869"/>
      <c r="C66869"/>
      <c r="E66869"/>
      <c r="F66869"/>
    </row>
    <row r="66870" spans="1:6" x14ac:dyDescent="0.25">
      <c r="A66870"/>
      <c r="B66870"/>
      <c r="C66870"/>
      <c r="E66870"/>
      <c r="F66870"/>
    </row>
    <row r="66871" spans="1:6" x14ac:dyDescent="0.25">
      <c r="A66871"/>
      <c r="B66871"/>
      <c r="C66871"/>
      <c r="E66871"/>
      <c r="F66871"/>
    </row>
    <row r="66872" spans="1:6" x14ac:dyDescent="0.25">
      <c r="A66872"/>
      <c r="B66872"/>
      <c r="C66872"/>
      <c r="E66872"/>
      <c r="F66872"/>
    </row>
    <row r="66873" spans="1:6" x14ac:dyDescent="0.25">
      <c r="A66873"/>
      <c r="B66873"/>
      <c r="C66873"/>
      <c r="E66873"/>
      <c r="F66873"/>
    </row>
    <row r="66874" spans="1:6" x14ac:dyDescent="0.25">
      <c r="A66874"/>
      <c r="B66874"/>
      <c r="C66874"/>
      <c r="E66874"/>
      <c r="F66874"/>
    </row>
    <row r="66875" spans="1:6" x14ac:dyDescent="0.25">
      <c r="A66875"/>
      <c r="B66875"/>
      <c r="C66875"/>
      <c r="E66875"/>
      <c r="F66875"/>
    </row>
    <row r="66876" spans="1:6" x14ac:dyDescent="0.25">
      <c r="A66876"/>
      <c r="B66876"/>
      <c r="C66876"/>
      <c r="E66876"/>
      <c r="F66876"/>
    </row>
    <row r="66877" spans="1:6" x14ac:dyDescent="0.25">
      <c r="A66877"/>
      <c r="B66877"/>
      <c r="C66877"/>
      <c r="E66877"/>
      <c r="F66877"/>
    </row>
    <row r="66878" spans="1:6" x14ac:dyDescent="0.25">
      <c r="A66878"/>
      <c r="B66878"/>
      <c r="C66878"/>
      <c r="E66878"/>
      <c r="F66878"/>
    </row>
    <row r="66879" spans="1:6" x14ac:dyDescent="0.25">
      <c r="A66879"/>
      <c r="B66879"/>
      <c r="C66879"/>
      <c r="E66879"/>
      <c r="F66879"/>
    </row>
    <row r="66880" spans="1:6" x14ac:dyDescent="0.25">
      <c r="A66880"/>
      <c r="B66880"/>
      <c r="C66880"/>
      <c r="E66880"/>
      <c r="F66880"/>
    </row>
    <row r="66881" spans="1:6" x14ac:dyDescent="0.25">
      <c r="A66881"/>
      <c r="B66881"/>
      <c r="C66881"/>
      <c r="E66881"/>
      <c r="F66881"/>
    </row>
    <row r="66882" spans="1:6" x14ac:dyDescent="0.25">
      <c r="A66882"/>
      <c r="B66882"/>
      <c r="C66882"/>
      <c r="E66882"/>
      <c r="F66882"/>
    </row>
    <row r="66883" spans="1:6" x14ac:dyDescent="0.25">
      <c r="A66883"/>
      <c r="B66883"/>
      <c r="C66883"/>
      <c r="E66883"/>
      <c r="F66883"/>
    </row>
    <row r="66884" spans="1:6" x14ac:dyDescent="0.25">
      <c r="A66884"/>
      <c r="B66884"/>
      <c r="C66884"/>
      <c r="E66884"/>
      <c r="F66884"/>
    </row>
    <row r="66885" spans="1:6" x14ac:dyDescent="0.25">
      <c r="A66885"/>
      <c r="B66885"/>
      <c r="C66885"/>
      <c r="E66885"/>
      <c r="F66885"/>
    </row>
    <row r="66886" spans="1:6" x14ac:dyDescent="0.25">
      <c r="A66886"/>
      <c r="B66886"/>
      <c r="C66886"/>
      <c r="E66886"/>
      <c r="F66886"/>
    </row>
    <row r="66887" spans="1:6" x14ac:dyDescent="0.25">
      <c r="A66887"/>
      <c r="B66887"/>
      <c r="C66887"/>
      <c r="E66887"/>
      <c r="F66887"/>
    </row>
    <row r="66888" spans="1:6" x14ac:dyDescent="0.25">
      <c r="A66888"/>
      <c r="B66888"/>
      <c r="C66888"/>
      <c r="E66888"/>
      <c r="F66888"/>
    </row>
    <row r="66889" spans="1:6" x14ac:dyDescent="0.25">
      <c r="A66889"/>
      <c r="B66889"/>
      <c r="C66889"/>
      <c r="E66889"/>
      <c r="F66889"/>
    </row>
    <row r="66890" spans="1:6" x14ac:dyDescent="0.25">
      <c r="A66890"/>
      <c r="B66890"/>
      <c r="C66890"/>
      <c r="E66890"/>
      <c r="F66890"/>
    </row>
    <row r="66891" spans="1:6" x14ac:dyDescent="0.25">
      <c r="A66891"/>
      <c r="B66891"/>
      <c r="C66891"/>
      <c r="E66891"/>
      <c r="F66891"/>
    </row>
    <row r="66892" spans="1:6" x14ac:dyDescent="0.25">
      <c r="A66892"/>
      <c r="B66892"/>
      <c r="C66892"/>
      <c r="E66892"/>
      <c r="F66892"/>
    </row>
    <row r="66893" spans="1:6" x14ac:dyDescent="0.25">
      <c r="A66893"/>
      <c r="B66893"/>
      <c r="C66893"/>
      <c r="E66893"/>
      <c r="F66893"/>
    </row>
    <row r="66894" spans="1:6" x14ac:dyDescent="0.25">
      <c r="A66894"/>
      <c r="B66894"/>
      <c r="C66894"/>
      <c r="E66894"/>
      <c r="F66894"/>
    </row>
    <row r="66895" spans="1:6" x14ac:dyDescent="0.25">
      <c r="A66895"/>
      <c r="B66895"/>
      <c r="C66895"/>
      <c r="E66895"/>
      <c r="F66895"/>
    </row>
    <row r="66896" spans="1:6" x14ac:dyDescent="0.25">
      <c r="A66896"/>
      <c r="B66896"/>
      <c r="C66896"/>
      <c r="E66896"/>
      <c r="F66896"/>
    </row>
    <row r="66897" spans="1:6" x14ac:dyDescent="0.25">
      <c r="A66897"/>
      <c r="B66897"/>
      <c r="C66897"/>
      <c r="E66897"/>
      <c r="F66897"/>
    </row>
    <row r="66898" spans="1:6" x14ac:dyDescent="0.25">
      <c r="A66898"/>
      <c r="B66898"/>
      <c r="C66898"/>
      <c r="E66898"/>
      <c r="F66898"/>
    </row>
    <row r="66899" spans="1:6" x14ac:dyDescent="0.25">
      <c r="A66899"/>
      <c r="B66899"/>
      <c r="C66899"/>
      <c r="E66899"/>
      <c r="F66899"/>
    </row>
    <row r="66900" spans="1:6" x14ac:dyDescent="0.25">
      <c r="A66900"/>
      <c r="B66900"/>
      <c r="C66900"/>
      <c r="E66900"/>
      <c r="F66900"/>
    </row>
    <row r="66901" spans="1:6" x14ac:dyDescent="0.25">
      <c r="A66901"/>
      <c r="B66901"/>
      <c r="C66901"/>
      <c r="E66901"/>
      <c r="F66901"/>
    </row>
    <row r="66902" spans="1:6" x14ac:dyDescent="0.25">
      <c r="A66902"/>
      <c r="B66902"/>
      <c r="C66902"/>
      <c r="E66902"/>
      <c r="F66902"/>
    </row>
    <row r="66903" spans="1:6" x14ac:dyDescent="0.25">
      <c r="A66903"/>
      <c r="B66903"/>
      <c r="C66903"/>
      <c r="E66903"/>
      <c r="F66903"/>
    </row>
    <row r="66904" spans="1:6" x14ac:dyDescent="0.25">
      <c r="A66904"/>
      <c r="B66904"/>
      <c r="C66904"/>
      <c r="E66904"/>
      <c r="F66904"/>
    </row>
    <row r="66905" spans="1:6" x14ac:dyDescent="0.25">
      <c r="A66905"/>
      <c r="B66905"/>
      <c r="C66905"/>
      <c r="E66905"/>
      <c r="F66905"/>
    </row>
    <row r="66906" spans="1:6" x14ac:dyDescent="0.25">
      <c r="A66906"/>
      <c r="B66906"/>
      <c r="C66906"/>
      <c r="E66906"/>
      <c r="F66906"/>
    </row>
    <row r="66907" spans="1:6" x14ac:dyDescent="0.25">
      <c r="A66907"/>
      <c r="B66907"/>
      <c r="C66907"/>
      <c r="E66907"/>
      <c r="F66907"/>
    </row>
    <row r="66908" spans="1:6" x14ac:dyDescent="0.25">
      <c r="A66908"/>
      <c r="B66908"/>
      <c r="C66908"/>
      <c r="E66908"/>
      <c r="F66908"/>
    </row>
    <row r="66909" spans="1:6" x14ac:dyDescent="0.25">
      <c r="A66909"/>
      <c r="B66909"/>
      <c r="C66909"/>
      <c r="E66909"/>
      <c r="F66909"/>
    </row>
    <row r="66910" spans="1:6" x14ac:dyDescent="0.25">
      <c r="A66910"/>
      <c r="B66910"/>
      <c r="C66910"/>
      <c r="E66910"/>
      <c r="F66910"/>
    </row>
    <row r="66911" spans="1:6" x14ac:dyDescent="0.25">
      <c r="A66911"/>
      <c r="B66911"/>
      <c r="C66911"/>
      <c r="E66911"/>
      <c r="F66911"/>
    </row>
    <row r="66912" spans="1:6" x14ac:dyDescent="0.25">
      <c r="A66912"/>
      <c r="B66912"/>
      <c r="C66912"/>
      <c r="E66912"/>
      <c r="F66912"/>
    </row>
    <row r="66913" spans="1:6" x14ac:dyDescent="0.25">
      <c r="A66913"/>
      <c r="B66913"/>
      <c r="C66913"/>
      <c r="E66913"/>
      <c r="F66913"/>
    </row>
    <row r="66914" spans="1:6" x14ac:dyDescent="0.25">
      <c r="A66914"/>
      <c r="B66914"/>
      <c r="C66914"/>
      <c r="E66914"/>
      <c r="F66914"/>
    </row>
    <row r="66915" spans="1:6" x14ac:dyDescent="0.25">
      <c r="A66915"/>
      <c r="B66915"/>
      <c r="C66915"/>
      <c r="E66915"/>
      <c r="F66915"/>
    </row>
    <row r="66916" spans="1:6" x14ac:dyDescent="0.25">
      <c r="A66916"/>
      <c r="B66916"/>
      <c r="C66916"/>
      <c r="E66916"/>
      <c r="F66916"/>
    </row>
    <row r="66917" spans="1:6" x14ac:dyDescent="0.25">
      <c r="A66917"/>
      <c r="B66917"/>
      <c r="C66917"/>
      <c r="E66917"/>
      <c r="F66917"/>
    </row>
    <row r="66918" spans="1:6" x14ac:dyDescent="0.25">
      <c r="A66918"/>
      <c r="B66918"/>
      <c r="C66918"/>
      <c r="E66918"/>
      <c r="F66918"/>
    </row>
    <row r="66919" spans="1:6" x14ac:dyDescent="0.25">
      <c r="A66919"/>
      <c r="B66919"/>
      <c r="C66919"/>
      <c r="E66919"/>
      <c r="F66919"/>
    </row>
    <row r="66920" spans="1:6" x14ac:dyDescent="0.25">
      <c r="A66920"/>
      <c r="B66920"/>
      <c r="C66920"/>
      <c r="E66920"/>
      <c r="F66920"/>
    </row>
    <row r="66921" spans="1:6" x14ac:dyDescent="0.25">
      <c r="A66921"/>
      <c r="B66921"/>
      <c r="C66921"/>
      <c r="E66921"/>
      <c r="F66921"/>
    </row>
    <row r="66922" spans="1:6" x14ac:dyDescent="0.25">
      <c r="A66922"/>
      <c r="B66922"/>
      <c r="C66922"/>
      <c r="E66922"/>
      <c r="F66922"/>
    </row>
    <row r="66923" spans="1:6" x14ac:dyDescent="0.25">
      <c r="A66923"/>
      <c r="B66923"/>
      <c r="C66923"/>
      <c r="E66923"/>
      <c r="F66923"/>
    </row>
    <row r="66924" spans="1:6" x14ac:dyDescent="0.25">
      <c r="A66924"/>
      <c r="B66924"/>
      <c r="C66924"/>
      <c r="E66924"/>
      <c r="F66924"/>
    </row>
    <row r="66925" spans="1:6" x14ac:dyDescent="0.25">
      <c r="A66925"/>
      <c r="B66925"/>
      <c r="C66925"/>
      <c r="E66925"/>
      <c r="F66925"/>
    </row>
    <row r="66926" spans="1:6" x14ac:dyDescent="0.25">
      <c r="A66926"/>
      <c r="B66926"/>
      <c r="C66926"/>
      <c r="E66926"/>
      <c r="F66926"/>
    </row>
    <row r="66927" spans="1:6" x14ac:dyDescent="0.25">
      <c r="A66927"/>
      <c r="B66927"/>
      <c r="C66927"/>
      <c r="E66927"/>
      <c r="F66927"/>
    </row>
    <row r="66928" spans="1:6" x14ac:dyDescent="0.25">
      <c r="A66928"/>
      <c r="B66928"/>
      <c r="C66928"/>
      <c r="E66928"/>
      <c r="F66928"/>
    </row>
    <row r="66929" spans="1:6" x14ac:dyDescent="0.25">
      <c r="A66929"/>
      <c r="B66929"/>
      <c r="C66929"/>
      <c r="E66929"/>
      <c r="F66929"/>
    </row>
    <row r="66930" spans="1:6" x14ac:dyDescent="0.25">
      <c r="A66930"/>
      <c r="B66930"/>
      <c r="C66930"/>
      <c r="E66930"/>
      <c r="F66930"/>
    </row>
    <row r="66931" spans="1:6" x14ac:dyDescent="0.25">
      <c r="A66931"/>
      <c r="B66931"/>
      <c r="C66931"/>
      <c r="E66931"/>
      <c r="F66931"/>
    </row>
    <row r="66932" spans="1:6" x14ac:dyDescent="0.25">
      <c r="A66932"/>
      <c r="B66932"/>
      <c r="C66932"/>
      <c r="E66932"/>
      <c r="F66932"/>
    </row>
    <row r="66933" spans="1:6" x14ac:dyDescent="0.25">
      <c r="A66933"/>
      <c r="B66933"/>
      <c r="C66933"/>
      <c r="E66933"/>
      <c r="F66933"/>
    </row>
    <row r="66934" spans="1:6" x14ac:dyDescent="0.25">
      <c r="A66934"/>
      <c r="B66934"/>
      <c r="C66934"/>
      <c r="E66934"/>
      <c r="F66934"/>
    </row>
    <row r="66935" spans="1:6" x14ac:dyDescent="0.25">
      <c r="A66935"/>
      <c r="B66935"/>
      <c r="C66935"/>
      <c r="E66935"/>
      <c r="F66935"/>
    </row>
    <row r="66936" spans="1:6" x14ac:dyDescent="0.25">
      <c r="A66936"/>
      <c r="B66936"/>
      <c r="C66936"/>
      <c r="E66936"/>
      <c r="F66936"/>
    </row>
    <row r="66937" spans="1:6" x14ac:dyDescent="0.25">
      <c r="A66937"/>
      <c r="B66937"/>
      <c r="C66937"/>
      <c r="E66937"/>
      <c r="F66937"/>
    </row>
    <row r="66938" spans="1:6" x14ac:dyDescent="0.25">
      <c r="A66938"/>
      <c r="B66938"/>
      <c r="C66938"/>
      <c r="E66938"/>
      <c r="F66938"/>
    </row>
    <row r="66939" spans="1:6" x14ac:dyDescent="0.25">
      <c r="A66939"/>
      <c r="B66939"/>
      <c r="C66939"/>
      <c r="E66939"/>
      <c r="F66939"/>
    </row>
    <row r="66940" spans="1:6" x14ac:dyDescent="0.25">
      <c r="A66940"/>
      <c r="B66940"/>
      <c r="C66940"/>
      <c r="E66940"/>
      <c r="F66940"/>
    </row>
    <row r="66941" spans="1:6" x14ac:dyDescent="0.25">
      <c r="A66941"/>
      <c r="B66941"/>
      <c r="C66941"/>
      <c r="E66941"/>
      <c r="F66941"/>
    </row>
    <row r="66942" spans="1:6" x14ac:dyDescent="0.25">
      <c r="A66942"/>
      <c r="B66942"/>
      <c r="C66942"/>
      <c r="E66942"/>
      <c r="F66942"/>
    </row>
    <row r="66943" spans="1:6" x14ac:dyDescent="0.25">
      <c r="A66943"/>
      <c r="B66943"/>
      <c r="C66943"/>
      <c r="E66943"/>
      <c r="F66943"/>
    </row>
    <row r="66944" spans="1:6" x14ac:dyDescent="0.25">
      <c r="A66944"/>
      <c r="B66944"/>
      <c r="C66944"/>
      <c r="E66944"/>
      <c r="F66944"/>
    </row>
    <row r="66945" spans="1:6" x14ac:dyDescent="0.25">
      <c r="A66945"/>
      <c r="B66945"/>
      <c r="C66945"/>
      <c r="E66945"/>
      <c r="F66945"/>
    </row>
    <row r="66946" spans="1:6" x14ac:dyDescent="0.25">
      <c r="A66946"/>
      <c r="B66946"/>
      <c r="C66946"/>
      <c r="E66946"/>
      <c r="F66946"/>
    </row>
    <row r="66947" spans="1:6" x14ac:dyDescent="0.25">
      <c r="A66947"/>
      <c r="B66947"/>
      <c r="C66947"/>
      <c r="E66947"/>
      <c r="F66947"/>
    </row>
    <row r="66948" spans="1:6" x14ac:dyDescent="0.25">
      <c r="A66948"/>
      <c r="B66948"/>
      <c r="C66948"/>
      <c r="E66948"/>
      <c r="F66948"/>
    </row>
    <row r="66949" spans="1:6" x14ac:dyDescent="0.25">
      <c r="A66949"/>
      <c r="B66949"/>
      <c r="C66949"/>
      <c r="E66949"/>
      <c r="F66949"/>
    </row>
    <row r="66950" spans="1:6" x14ac:dyDescent="0.25">
      <c r="A66950"/>
      <c r="B66950"/>
      <c r="C66950"/>
      <c r="E66950"/>
      <c r="F66950"/>
    </row>
    <row r="66951" spans="1:6" x14ac:dyDescent="0.25">
      <c r="A66951"/>
      <c r="B66951"/>
      <c r="C66951"/>
      <c r="E66951"/>
      <c r="F66951"/>
    </row>
    <row r="66952" spans="1:6" x14ac:dyDescent="0.25">
      <c r="A66952"/>
      <c r="B66952"/>
      <c r="C66952"/>
      <c r="E66952"/>
      <c r="F66952"/>
    </row>
    <row r="66953" spans="1:6" x14ac:dyDescent="0.25">
      <c r="A66953"/>
      <c r="B66953"/>
      <c r="C66953"/>
      <c r="E66953"/>
      <c r="F66953"/>
    </row>
    <row r="66954" spans="1:6" x14ac:dyDescent="0.25">
      <c r="A66954"/>
      <c r="B66954"/>
      <c r="C66954"/>
      <c r="E66954"/>
      <c r="F66954"/>
    </row>
    <row r="66955" spans="1:6" x14ac:dyDescent="0.25">
      <c r="A66955"/>
      <c r="B66955"/>
      <c r="C66955"/>
      <c r="E66955"/>
      <c r="F66955"/>
    </row>
    <row r="66956" spans="1:6" x14ac:dyDescent="0.25">
      <c r="A66956"/>
      <c r="B66956"/>
      <c r="C66956"/>
      <c r="E66956"/>
      <c r="F66956"/>
    </row>
    <row r="66957" spans="1:6" x14ac:dyDescent="0.25">
      <c r="A66957"/>
      <c r="B66957"/>
      <c r="C66957"/>
      <c r="E66957"/>
      <c r="F66957"/>
    </row>
    <row r="66958" spans="1:6" x14ac:dyDescent="0.25">
      <c r="A66958"/>
      <c r="B66958"/>
      <c r="C66958"/>
      <c r="E66958"/>
      <c r="F66958"/>
    </row>
    <row r="66959" spans="1:6" x14ac:dyDescent="0.25">
      <c r="A66959"/>
      <c r="B66959"/>
      <c r="C66959"/>
      <c r="E66959"/>
      <c r="F66959"/>
    </row>
    <row r="66960" spans="1:6" x14ac:dyDescent="0.25">
      <c r="A66960"/>
      <c r="B66960"/>
      <c r="C66960"/>
      <c r="E66960"/>
      <c r="F66960"/>
    </row>
    <row r="66961" spans="1:6" x14ac:dyDescent="0.25">
      <c r="A66961"/>
      <c r="B66961"/>
      <c r="C66961"/>
      <c r="E66961"/>
      <c r="F66961"/>
    </row>
    <row r="66962" spans="1:6" x14ac:dyDescent="0.25">
      <c r="A66962"/>
      <c r="B66962"/>
      <c r="C66962"/>
      <c r="E66962"/>
      <c r="F66962"/>
    </row>
    <row r="66963" spans="1:6" x14ac:dyDescent="0.25">
      <c r="A66963"/>
      <c r="B66963"/>
      <c r="C66963"/>
      <c r="E66963"/>
      <c r="F66963"/>
    </row>
    <row r="66964" spans="1:6" x14ac:dyDescent="0.25">
      <c r="A66964"/>
      <c r="B66964"/>
      <c r="C66964"/>
      <c r="E66964"/>
      <c r="F66964"/>
    </row>
    <row r="66965" spans="1:6" x14ac:dyDescent="0.25">
      <c r="A66965"/>
      <c r="B66965"/>
      <c r="C66965"/>
      <c r="E66965"/>
      <c r="F66965"/>
    </row>
    <row r="66966" spans="1:6" x14ac:dyDescent="0.25">
      <c r="A66966"/>
      <c r="B66966"/>
      <c r="C66966"/>
      <c r="E66966"/>
      <c r="F66966"/>
    </row>
    <row r="66967" spans="1:6" x14ac:dyDescent="0.25">
      <c r="A66967"/>
      <c r="B66967"/>
      <c r="C66967"/>
      <c r="E66967"/>
      <c r="F66967"/>
    </row>
    <row r="66968" spans="1:6" x14ac:dyDescent="0.25">
      <c r="A66968"/>
      <c r="B66968"/>
      <c r="C66968"/>
      <c r="E66968"/>
      <c r="F66968"/>
    </row>
    <row r="66969" spans="1:6" x14ac:dyDescent="0.25">
      <c r="A66969"/>
      <c r="B66969"/>
      <c r="C66969"/>
      <c r="E66969"/>
      <c r="F66969"/>
    </row>
    <row r="66970" spans="1:6" x14ac:dyDescent="0.25">
      <c r="A66970"/>
      <c r="B66970"/>
      <c r="C66970"/>
      <c r="E66970"/>
      <c r="F66970"/>
    </row>
    <row r="66971" spans="1:6" x14ac:dyDescent="0.25">
      <c r="A66971"/>
      <c r="B66971"/>
      <c r="C66971"/>
      <c r="E66971"/>
      <c r="F66971"/>
    </row>
    <row r="66972" spans="1:6" x14ac:dyDescent="0.25">
      <c r="A66972"/>
      <c r="B66972"/>
      <c r="C66972"/>
      <c r="E66972"/>
      <c r="F66972"/>
    </row>
    <row r="66973" spans="1:6" x14ac:dyDescent="0.25">
      <c r="A66973"/>
      <c r="B66973"/>
      <c r="C66973"/>
      <c r="E66973"/>
      <c r="F66973"/>
    </row>
    <row r="66974" spans="1:6" x14ac:dyDescent="0.25">
      <c r="A66974"/>
      <c r="B66974"/>
      <c r="C66974"/>
      <c r="E66974"/>
      <c r="F66974"/>
    </row>
    <row r="66975" spans="1:6" x14ac:dyDescent="0.25">
      <c r="A66975"/>
      <c r="B66975"/>
      <c r="C66975"/>
      <c r="E66975"/>
      <c r="F66975"/>
    </row>
    <row r="66976" spans="1:6" x14ac:dyDescent="0.25">
      <c r="A66976"/>
      <c r="B66976"/>
      <c r="C66976"/>
      <c r="E66976"/>
      <c r="F66976"/>
    </row>
    <row r="66977" spans="1:6" x14ac:dyDescent="0.25">
      <c r="A66977"/>
      <c r="B66977"/>
      <c r="C66977"/>
      <c r="E66977"/>
      <c r="F66977"/>
    </row>
    <row r="66978" spans="1:6" x14ac:dyDescent="0.25">
      <c r="A66978"/>
      <c r="B66978"/>
      <c r="C66978"/>
      <c r="E66978"/>
      <c r="F66978"/>
    </row>
    <row r="66979" spans="1:6" x14ac:dyDescent="0.25">
      <c r="A66979"/>
      <c r="B66979"/>
      <c r="C66979"/>
      <c r="E66979"/>
      <c r="F66979"/>
    </row>
    <row r="66980" spans="1:6" x14ac:dyDescent="0.25">
      <c r="A66980"/>
      <c r="B66980"/>
      <c r="C66980"/>
      <c r="E66980"/>
      <c r="F66980"/>
    </row>
    <row r="66981" spans="1:6" x14ac:dyDescent="0.25">
      <c r="A66981"/>
      <c r="B66981"/>
      <c r="C66981"/>
      <c r="E66981"/>
      <c r="F66981"/>
    </row>
    <row r="66982" spans="1:6" x14ac:dyDescent="0.25">
      <c r="A66982"/>
      <c r="B66982"/>
      <c r="C66982"/>
      <c r="E66982"/>
      <c r="F66982"/>
    </row>
    <row r="66983" spans="1:6" x14ac:dyDescent="0.25">
      <c r="A66983"/>
      <c r="B66983"/>
      <c r="C66983"/>
      <c r="E66983"/>
      <c r="F66983"/>
    </row>
    <row r="66984" spans="1:6" x14ac:dyDescent="0.25">
      <c r="A66984"/>
      <c r="B66984"/>
      <c r="C66984"/>
      <c r="E66984"/>
      <c r="F66984"/>
    </row>
    <row r="66985" spans="1:6" x14ac:dyDescent="0.25">
      <c r="A66985"/>
      <c r="B66985"/>
      <c r="C66985"/>
      <c r="E66985"/>
      <c r="F66985"/>
    </row>
    <row r="66986" spans="1:6" x14ac:dyDescent="0.25">
      <c r="A66986"/>
      <c r="B66986"/>
      <c r="C66986"/>
      <c r="E66986"/>
      <c r="F66986"/>
    </row>
    <row r="66987" spans="1:6" x14ac:dyDescent="0.25">
      <c r="A66987"/>
      <c r="B66987"/>
      <c r="C66987"/>
      <c r="E66987"/>
      <c r="F66987"/>
    </row>
    <row r="66988" spans="1:6" x14ac:dyDescent="0.25">
      <c r="A66988"/>
      <c r="B66988"/>
      <c r="C66988"/>
      <c r="E66988"/>
      <c r="F66988"/>
    </row>
    <row r="66989" spans="1:6" x14ac:dyDescent="0.25">
      <c r="A66989"/>
      <c r="B66989"/>
      <c r="C66989"/>
      <c r="E66989"/>
      <c r="F66989"/>
    </row>
    <row r="66990" spans="1:6" x14ac:dyDescent="0.25">
      <c r="A66990"/>
      <c r="B66990"/>
      <c r="C66990"/>
      <c r="E66990"/>
      <c r="F66990"/>
    </row>
    <row r="66991" spans="1:6" x14ac:dyDescent="0.25">
      <c r="A66991"/>
      <c r="B66991"/>
      <c r="C66991"/>
      <c r="E66991"/>
      <c r="F66991"/>
    </row>
    <row r="66992" spans="1:6" x14ac:dyDescent="0.25">
      <c r="A66992"/>
      <c r="B66992"/>
      <c r="C66992"/>
      <c r="E66992"/>
      <c r="F66992"/>
    </row>
    <row r="66993" spans="1:6" x14ac:dyDescent="0.25">
      <c r="A66993"/>
      <c r="B66993"/>
      <c r="C66993"/>
      <c r="E66993"/>
      <c r="F66993"/>
    </row>
    <row r="66994" spans="1:6" x14ac:dyDescent="0.25">
      <c r="A66994"/>
      <c r="B66994"/>
      <c r="C66994"/>
      <c r="E66994"/>
      <c r="F66994"/>
    </row>
    <row r="66995" spans="1:6" x14ac:dyDescent="0.25">
      <c r="A66995"/>
      <c r="B66995"/>
      <c r="C66995"/>
      <c r="E66995"/>
      <c r="F66995"/>
    </row>
    <row r="66996" spans="1:6" x14ac:dyDescent="0.25">
      <c r="A66996"/>
      <c r="B66996"/>
      <c r="C66996"/>
      <c r="E66996"/>
      <c r="F66996"/>
    </row>
    <row r="66997" spans="1:6" x14ac:dyDescent="0.25">
      <c r="A66997"/>
      <c r="B66997"/>
      <c r="C66997"/>
      <c r="E66997"/>
      <c r="F66997"/>
    </row>
    <row r="66998" spans="1:6" x14ac:dyDescent="0.25">
      <c r="A66998"/>
      <c r="B66998"/>
      <c r="C66998"/>
      <c r="E66998"/>
      <c r="F66998"/>
    </row>
    <row r="66999" spans="1:6" x14ac:dyDescent="0.25">
      <c r="A66999"/>
      <c r="B66999"/>
      <c r="C66999"/>
      <c r="E66999"/>
      <c r="F66999"/>
    </row>
    <row r="67000" spans="1:6" x14ac:dyDescent="0.25">
      <c r="A67000"/>
      <c r="B67000"/>
      <c r="C67000"/>
      <c r="E67000"/>
      <c r="F67000"/>
    </row>
    <row r="67001" spans="1:6" x14ac:dyDescent="0.25">
      <c r="A67001"/>
      <c r="B67001"/>
      <c r="C67001"/>
      <c r="E67001"/>
      <c r="F67001"/>
    </row>
    <row r="67002" spans="1:6" x14ac:dyDescent="0.25">
      <c r="A67002"/>
      <c r="B67002"/>
      <c r="C67002"/>
      <c r="E67002"/>
      <c r="F67002"/>
    </row>
    <row r="67003" spans="1:6" x14ac:dyDescent="0.25">
      <c r="A67003"/>
      <c r="B67003"/>
      <c r="C67003"/>
      <c r="E67003"/>
      <c r="F67003"/>
    </row>
    <row r="67004" spans="1:6" x14ac:dyDescent="0.25">
      <c r="A67004"/>
      <c r="B67004"/>
      <c r="C67004"/>
      <c r="E67004"/>
      <c r="F67004"/>
    </row>
    <row r="67005" spans="1:6" x14ac:dyDescent="0.25">
      <c r="A67005"/>
      <c r="B67005"/>
      <c r="C67005"/>
      <c r="E67005"/>
      <c r="F67005"/>
    </row>
    <row r="67006" spans="1:6" x14ac:dyDescent="0.25">
      <c r="A67006"/>
      <c r="B67006"/>
      <c r="C67006"/>
      <c r="E67006"/>
      <c r="F67006"/>
    </row>
    <row r="67007" spans="1:6" x14ac:dyDescent="0.25">
      <c r="A67007"/>
      <c r="B67007"/>
      <c r="C67007"/>
      <c r="E67007"/>
      <c r="F67007"/>
    </row>
    <row r="67008" spans="1:6" x14ac:dyDescent="0.25">
      <c r="A67008"/>
      <c r="B67008"/>
      <c r="C67008"/>
      <c r="E67008"/>
      <c r="F67008"/>
    </row>
    <row r="67009" spans="1:6" x14ac:dyDescent="0.25">
      <c r="A67009"/>
      <c r="B67009"/>
      <c r="C67009"/>
      <c r="E67009"/>
      <c r="F67009"/>
    </row>
    <row r="67010" spans="1:6" x14ac:dyDescent="0.25">
      <c r="A67010"/>
      <c r="B67010"/>
      <c r="C67010"/>
      <c r="E67010"/>
      <c r="F67010"/>
    </row>
    <row r="67011" spans="1:6" x14ac:dyDescent="0.25">
      <c r="A67011"/>
      <c r="B67011"/>
      <c r="C67011"/>
      <c r="E67011"/>
      <c r="F67011"/>
    </row>
    <row r="67012" spans="1:6" x14ac:dyDescent="0.25">
      <c r="A67012"/>
      <c r="B67012"/>
      <c r="C67012"/>
      <c r="E67012"/>
      <c r="F67012"/>
    </row>
    <row r="67013" spans="1:6" x14ac:dyDescent="0.25">
      <c r="A67013"/>
      <c r="B67013"/>
      <c r="C67013"/>
      <c r="E67013"/>
      <c r="F67013"/>
    </row>
    <row r="67014" spans="1:6" x14ac:dyDescent="0.25">
      <c r="A67014"/>
      <c r="B67014"/>
      <c r="C67014"/>
      <c r="E67014"/>
      <c r="F67014"/>
    </row>
    <row r="67015" spans="1:6" x14ac:dyDescent="0.25">
      <c r="A67015"/>
      <c r="B67015"/>
      <c r="C67015"/>
      <c r="E67015"/>
      <c r="F67015"/>
    </row>
    <row r="67016" spans="1:6" x14ac:dyDescent="0.25">
      <c r="A67016"/>
      <c r="B67016"/>
      <c r="C67016"/>
      <c r="E67016"/>
      <c r="F67016"/>
    </row>
    <row r="67017" spans="1:6" x14ac:dyDescent="0.25">
      <c r="A67017"/>
      <c r="B67017"/>
      <c r="C67017"/>
      <c r="E67017"/>
      <c r="F67017"/>
    </row>
    <row r="67018" spans="1:6" x14ac:dyDescent="0.25">
      <c r="A67018"/>
      <c r="B67018"/>
      <c r="C67018"/>
      <c r="E67018"/>
      <c r="F67018"/>
    </row>
    <row r="67019" spans="1:6" x14ac:dyDescent="0.25">
      <c r="A67019"/>
      <c r="B67019"/>
      <c r="C67019"/>
      <c r="E67019"/>
      <c r="F67019"/>
    </row>
    <row r="67020" spans="1:6" x14ac:dyDescent="0.25">
      <c r="A67020"/>
      <c r="B67020"/>
      <c r="C67020"/>
      <c r="E67020"/>
      <c r="F67020"/>
    </row>
    <row r="67021" spans="1:6" x14ac:dyDescent="0.25">
      <c r="A67021"/>
      <c r="B67021"/>
      <c r="C67021"/>
      <c r="E67021"/>
      <c r="F67021"/>
    </row>
    <row r="67022" spans="1:6" x14ac:dyDescent="0.25">
      <c r="A67022"/>
      <c r="B67022"/>
      <c r="C67022"/>
      <c r="E67022"/>
      <c r="F67022"/>
    </row>
    <row r="67023" spans="1:6" x14ac:dyDescent="0.25">
      <c r="A67023"/>
      <c r="B67023"/>
      <c r="C67023"/>
      <c r="E67023"/>
      <c r="F67023"/>
    </row>
    <row r="67024" spans="1:6" x14ac:dyDescent="0.25">
      <c r="A67024"/>
      <c r="B67024"/>
      <c r="C67024"/>
      <c r="E67024"/>
      <c r="F67024"/>
    </row>
    <row r="67025" spans="1:6" x14ac:dyDescent="0.25">
      <c r="A67025"/>
      <c r="B67025"/>
      <c r="C67025"/>
      <c r="E67025"/>
      <c r="F67025"/>
    </row>
    <row r="67026" spans="1:6" x14ac:dyDescent="0.25">
      <c r="A67026"/>
      <c r="B67026"/>
      <c r="C67026"/>
      <c r="E67026"/>
      <c r="F67026"/>
    </row>
    <row r="67027" spans="1:6" x14ac:dyDescent="0.25">
      <c r="A67027"/>
      <c r="B67027"/>
      <c r="C67027"/>
      <c r="E67027"/>
      <c r="F67027"/>
    </row>
    <row r="67028" spans="1:6" x14ac:dyDescent="0.25">
      <c r="A67028"/>
      <c r="B67028"/>
      <c r="C67028"/>
      <c r="E67028"/>
      <c r="F67028"/>
    </row>
    <row r="67029" spans="1:6" x14ac:dyDescent="0.25">
      <c r="A67029"/>
      <c r="B67029"/>
      <c r="C67029"/>
      <c r="E67029"/>
      <c r="F67029"/>
    </row>
    <row r="67030" spans="1:6" x14ac:dyDescent="0.25">
      <c r="A67030"/>
      <c r="B67030"/>
      <c r="C67030"/>
      <c r="E67030"/>
      <c r="F67030"/>
    </row>
    <row r="67031" spans="1:6" x14ac:dyDescent="0.25">
      <c r="A67031"/>
      <c r="B67031"/>
      <c r="C67031"/>
      <c r="E67031"/>
      <c r="F67031"/>
    </row>
    <row r="67032" spans="1:6" x14ac:dyDescent="0.25">
      <c r="A67032"/>
      <c r="B67032"/>
      <c r="C67032"/>
      <c r="E67032"/>
      <c r="F67032"/>
    </row>
    <row r="67033" spans="1:6" x14ac:dyDescent="0.25">
      <c r="A67033"/>
      <c r="B67033"/>
      <c r="C67033"/>
      <c r="E67033"/>
      <c r="F67033"/>
    </row>
    <row r="67034" spans="1:6" x14ac:dyDescent="0.25">
      <c r="A67034"/>
      <c r="B67034"/>
      <c r="C67034"/>
      <c r="E67034"/>
      <c r="F67034"/>
    </row>
    <row r="67035" spans="1:6" x14ac:dyDescent="0.25">
      <c r="A67035"/>
      <c r="B67035"/>
      <c r="C67035"/>
      <c r="E67035"/>
      <c r="F67035"/>
    </row>
    <row r="67036" spans="1:6" x14ac:dyDescent="0.25">
      <c r="A67036"/>
      <c r="B67036"/>
      <c r="C67036"/>
      <c r="E67036"/>
      <c r="F67036"/>
    </row>
    <row r="67037" spans="1:6" x14ac:dyDescent="0.25">
      <c r="A67037"/>
      <c r="B67037"/>
      <c r="C67037"/>
      <c r="E67037"/>
      <c r="F67037"/>
    </row>
    <row r="67038" spans="1:6" x14ac:dyDescent="0.25">
      <c r="A67038"/>
      <c r="B67038"/>
      <c r="C67038"/>
      <c r="E67038"/>
      <c r="F67038"/>
    </row>
    <row r="67039" spans="1:6" x14ac:dyDescent="0.25">
      <c r="A67039"/>
      <c r="B67039"/>
      <c r="C67039"/>
      <c r="E67039"/>
      <c r="F67039"/>
    </row>
    <row r="67040" spans="1:6" x14ac:dyDescent="0.25">
      <c r="A67040"/>
      <c r="B67040"/>
      <c r="C67040"/>
      <c r="E67040"/>
      <c r="F67040"/>
    </row>
    <row r="67041" spans="1:6" x14ac:dyDescent="0.25">
      <c r="A67041"/>
      <c r="B67041"/>
      <c r="C67041"/>
      <c r="E67041"/>
      <c r="F67041"/>
    </row>
    <row r="67042" spans="1:6" x14ac:dyDescent="0.25">
      <c r="A67042"/>
      <c r="B67042"/>
      <c r="C67042"/>
      <c r="E67042"/>
      <c r="F67042"/>
    </row>
    <row r="67043" spans="1:6" x14ac:dyDescent="0.25">
      <c r="A67043"/>
      <c r="B67043"/>
      <c r="C67043"/>
      <c r="E67043"/>
      <c r="F67043"/>
    </row>
    <row r="67044" spans="1:6" x14ac:dyDescent="0.25">
      <c r="A67044"/>
      <c r="B67044"/>
      <c r="C67044"/>
      <c r="E67044"/>
      <c r="F67044"/>
    </row>
    <row r="67045" spans="1:6" x14ac:dyDescent="0.25">
      <c r="A67045"/>
      <c r="B67045"/>
      <c r="C67045"/>
      <c r="E67045"/>
      <c r="F67045"/>
    </row>
    <row r="67046" spans="1:6" x14ac:dyDescent="0.25">
      <c r="A67046"/>
      <c r="B67046"/>
      <c r="C67046"/>
      <c r="E67046"/>
      <c r="F67046"/>
    </row>
    <row r="67047" spans="1:6" x14ac:dyDescent="0.25">
      <c r="A67047"/>
      <c r="B67047"/>
      <c r="C67047"/>
      <c r="E67047"/>
      <c r="F67047"/>
    </row>
    <row r="67048" spans="1:6" x14ac:dyDescent="0.25">
      <c r="A67048"/>
      <c r="B67048"/>
      <c r="C67048"/>
      <c r="E67048"/>
      <c r="F67048"/>
    </row>
    <row r="67049" spans="1:6" x14ac:dyDescent="0.25">
      <c r="A67049"/>
      <c r="B67049"/>
      <c r="C67049"/>
      <c r="E67049"/>
      <c r="F67049"/>
    </row>
    <row r="67050" spans="1:6" x14ac:dyDescent="0.25">
      <c r="A67050"/>
      <c r="B67050"/>
      <c r="C67050"/>
      <c r="E67050"/>
      <c r="F67050"/>
    </row>
    <row r="67051" spans="1:6" x14ac:dyDescent="0.25">
      <c r="A67051"/>
      <c r="B67051"/>
      <c r="C67051"/>
      <c r="E67051"/>
      <c r="F67051"/>
    </row>
    <row r="67052" spans="1:6" x14ac:dyDescent="0.25">
      <c r="A67052"/>
      <c r="B67052"/>
      <c r="C67052"/>
      <c r="E67052"/>
      <c r="F67052"/>
    </row>
    <row r="67053" spans="1:6" x14ac:dyDescent="0.25">
      <c r="A67053"/>
      <c r="B67053"/>
      <c r="C67053"/>
      <c r="E67053"/>
      <c r="F67053"/>
    </row>
    <row r="67054" spans="1:6" x14ac:dyDescent="0.25">
      <c r="A67054"/>
      <c r="B67054"/>
      <c r="C67054"/>
      <c r="E67054"/>
      <c r="F67054"/>
    </row>
    <row r="67055" spans="1:6" x14ac:dyDescent="0.25">
      <c r="A67055"/>
      <c r="B67055"/>
      <c r="C67055"/>
      <c r="E67055"/>
      <c r="F67055"/>
    </row>
    <row r="67056" spans="1:6" x14ac:dyDescent="0.25">
      <c r="A67056"/>
      <c r="B67056"/>
      <c r="C67056"/>
      <c r="E67056"/>
      <c r="F67056"/>
    </row>
    <row r="67057" spans="1:6" x14ac:dyDescent="0.25">
      <c r="A67057"/>
      <c r="B67057"/>
      <c r="C67057"/>
      <c r="E67057"/>
      <c r="F67057"/>
    </row>
    <row r="67058" spans="1:6" x14ac:dyDescent="0.25">
      <c r="A67058"/>
      <c r="B67058"/>
      <c r="C67058"/>
      <c r="E67058"/>
      <c r="F67058"/>
    </row>
    <row r="67059" spans="1:6" x14ac:dyDescent="0.25">
      <c r="A67059"/>
      <c r="B67059"/>
      <c r="C67059"/>
      <c r="E67059"/>
      <c r="F67059"/>
    </row>
    <row r="67060" spans="1:6" x14ac:dyDescent="0.25">
      <c r="A67060"/>
      <c r="B67060"/>
      <c r="C67060"/>
      <c r="E67060"/>
      <c r="F67060"/>
    </row>
    <row r="67061" spans="1:6" x14ac:dyDescent="0.25">
      <c r="A67061"/>
      <c r="B67061"/>
      <c r="C67061"/>
      <c r="E67061"/>
      <c r="F67061"/>
    </row>
    <row r="67062" spans="1:6" x14ac:dyDescent="0.25">
      <c r="A67062"/>
      <c r="B67062"/>
      <c r="C67062"/>
      <c r="E67062"/>
      <c r="F67062"/>
    </row>
    <row r="67063" spans="1:6" x14ac:dyDescent="0.25">
      <c r="A67063"/>
      <c r="B67063"/>
      <c r="C67063"/>
      <c r="E67063"/>
      <c r="F67063"/>
    </row>
    <row r="67064" spans="1:6" x14ac:dyDescent="0.25">
      <c r="A67064"/>
      <c r="B67064"/>
      <c r="C67064"/>
      <c r="E67064"/>
      <c r="F67064"/>
    </row>
    <row r="67065" spans="1:6" x14ac:dyDescent="0.25">
      <c r="A67065"/>
      <c r="B67065"/>
      <c r="C67065"/>
      <c r="E67065"/>
      <c r="F67065"/>
    </row>
    <row r="67066" spans="1:6" x14ac:dyDescent="0.25">
      <c r="A67066"/>
      <c r="B67066"/>
      <c r="C67066"/>
      <c r="E67066"/>
      <c r="F67066"/>
    </row>
    <row r="67067" spans="1:6" x14ac:dyDescent="0.25">
      <c r="A67067"/>
      <c r="B67067"/>
      <c r="C67067"/>
      <c r="E67067"/>
      <c r="F67067"/>
    </row>
    <row r="67068" spans="1:6" x14ac:dyDescent="0.25">
      <c r="A67068"/>
      <c r="B67068"/>
      <c r="C67068"/>
      <c r="E67068"/>
      <c r="F67068"/>
    </row>
    <row r="67069" spans="1:6" x14ac:dyDescent="0.25">
      <c r="A67069"/>
      <c r="B67069"/>
      <c r="C67069"/>
      <c r="E67069"/>
      <c r="F67069"/>
    </row>
    <row r="67070" spans="1:6" x14ac:dyDescent="0.25">
      <c r="A67070"/>
      <c r="B67070"/>
      <c r="C67070"/>
      <c r="E67070"/>
      <c r="F67070"/>
    </row>
    <row r="67071" spans="1:6" x14ac:dyDescent="0.25">
      <c r="A67071"/>
      <c r="B67071"/>
      <c r="C67071"/>
      <c r="E67071"/>
      <c r="F67071"/>
    </row>
    <row r="67072" spans="1:6" x14ac:dyDescent="0.25">
      <c r="A67072"/>
      <c r="B67072"/>
      <c r="C67072"/>
      <c r="E67072"/>
      <c r="F67072"/>
    </row>
    <row r="67073" spans="1:6" x14ac:dyDescent="0.25">
      <c r="A67073"/>
      <c r="B67073"/>
      <c r="C67073"/>
      <c r="E67073"/>
      <c r="F67073"/>
    </row>
    <row r="67074" spans="1:6" x14ac:dyDescent="0.25">
      <c r="A67074"/>
      <c r="B67074"/>
      <c r="C67074"/>
      <c r="E67074"/>
      <c r="F67074"/>
    </row>
    <row r="67075" spans="1:6" x14ac:dyDescent="0.25">
      <c r="A67075"/>
      <c r="B67075"/>
      <c r="C67075"/>
      <c r="E67075"/>
      <c r="F67075"/>
    </row>
    <row r="67076" spans="1:6" x14ac:dyDescent="0.25">
      <c r="A67076"/>
      <c r="B67076"/>
      <c r="C67076"/>
      <c r="E67076"/>
      <c r="F67076"/>
    </row>
    <row r="67077" spans="1:6" x14ac:dyDescent="0.25">
      <c r="A67077"/>
      <c r="B67077"/>
      <c r="C67077"/>
      <c r="E67077"/>
      <c r="F67077"/>
    </row>
    <row r="67078" spans="1:6" x14ac:dyDescent="0.25">
      <c r="A67078"/>
      <c r="B67078"/>
      <c r="C67078"/>
      <c r="E67078"/>
      <c r="F67078"/>
    </row>
    <row r="67079" spans="1:6" x14ac:dyDescent="0.25">
      <c r="A67079"/>
      <c r="B67079"/>
      <c r="C67079"/>
      <c r="E67079"/>
      <c r="F67079"/>
    </row>
    <row r="67080" spans="1:6" x14ac:dyDescent="0.25">
      <c r="A67080"/>
      <c r="B67080"/>
      <c r="C67080"/>
      <c r="E67080"/>
      <c r="F67080"/>
    </row>
    <row r="67081" spans="1:6" x14ac:dyDescent="0.25">
      <c r="A67081"/>
      <c r="B67081"/>
      <c r="C67081"/>
      <c r="E67081"/>
      <c r="F67081"/>
    </row>
    <row r="67082" spans="1:6" x14ac:dyDescent="0.25">
      <c r="A67082"/>
      <c r="B67082"/>
      <c r="C67082"/>
      <c r="E67082"/>
      <c r="F67082"/>
    </row>
    <row r="67083" spans="1:6" x14ac:dyDescent="0.25">
      <c r="A67083"/>
      <c r="B67083"/>
      <c r="C67083"/>
      <c r="E67083"/>
      <c r="F67083"/>
    </row>
    <row r="67084" spans="1:6" x14ac:dyDescent="0.25">
      <c r="A67084"/>
      <c r="B67084"/>
      <c r="C67084"/>
      <c r="E67084"/>
      <c r="F67084"/>
    </row>
    <row r="67085" spans="1:6" x14ac:dyDescent="0.25">
      <c r="A67085"/>
      <c r="B67085"/>
      <c r="C67085"/>
      <c r="E67085"/>
      <c r="F67085"/>
    </row>
    <row r="67086" spans="1:6" x14ac:dyDescent="0.25">
      <c r="A67086"/>
      <c r="B67086"/>
      <c r="C67086"/>
      <c r="E67086"/>
      <c r="F67086"/>
    </row>
    <row r="67087" spans="1:6" x14ac:dyDescent="0.25">
      <c r="A67087"/>
      <c r="B67087"/>
      <c r="C67087"/>
      <c r="E67087"/>
      <c r="F67087"/>
    </row>
    <row r="67088" spans="1:6" x14ac:dyDescent="0.25">
      <c r="A67088"/>
      <c r="B67088"/>
      <c r="C67088"/>
      <c r="E67088"/>
      <c r="F67088"/>
    </row>
    <row r="67089" spans="1:6" x14ac:dyDescent="0.25">
      <c r="A67089"/>
      <c r="B67089"/>
      <c r="C67089"/>
      <c r="E67089"/>
      <c r="F67089"/>
    </row>
    <row r="67090" spans="1:6" x14ac:dyDescent="0.25">
      <c r="A67090"/>
      <c r="B67090"/>
      <c r="C67090"/>
      <c r="E67090"/>
      <c r="F67090"/>
    </row>
    <row r="67091" spans="1:6" x14ac:dyDescent="0.25">
      <c r="A67091"/>
      <c r="B67091"/>
      <c r="C67091"/>
      <c r="E67091"/>
      <c r="F67091"/>
    </row>
    <row r="67092" spans="1:6" x14ac:dyDescent="0.25">
      <c r="A67092"/>
      <c r="B67092"/>
      <c r="C67092"/>
      <c r="E67092"/>
      <c r="F67092"/>
    </row>
    <row r="67093" spans="1:6" x14ac:dyDescent="0.25">
      <c r="A67093"/>
      <c r="B67093"/>
      <c r="C67093"/>
      <c r="E67093"/>
      <c r="F67093"/>
    </row>
    <row r="67094" spans="1:6" x14ac:dyDescent="0.25">
      <c r="A67094"/>
      <c r="B67094"/>
      <c r="C67094"/>
      <c r="E67094"/>
      <c r="F67094"/>
    </row>
    <row r="67095" spans="1:6" x14ac:dyDescent="0.25">
      <c r="A67095"/>
      <c r="B67095"/>
      <c r="C67095"/>
      <c r="E67095"/>
      <c r="F67095"/>
    </row>
    <row r="67096" spans="1:6" x14ac:dyDescent="0.25">
      <c r="A67096"/>
      <c r="B67096"/>
      <c r="C67096"/>
      <c r="E67096"/>
      <c r="F67096"/>
    </row>
    <row r="67097" spans="1:6" x14ac:dyDescent="0.25">
      <c r="A67097"/>
      <c r="B67097"/>
      <c r="C67097"/>
      <c r="E67097"/>
      <c r="F67097"/>
    </row>
    <row r="67098" spans="1:6" x14ac:dyDescent="0.25">
      <c r="A67098"/>
      <c r="B67098"/>
      <c r="C67098"/>
      <c r="E67098"/>
      <c r="F67098"/>
    </row>
    <row r="67099" spans="1:6" x14ac:dyDescent="0.25">
      <c r="A67099"/>
      <c r="B67099"/>
      <c r="C67099"/>
      <c r="E67099"/>
      <c r="F67099"/>
    </row>
    <row r="67100" spans="1:6" x14ac:dyDescent="0.25">
      <c r="A67100"/>
      <c r="B67100"/>
      <c r="C67100"/>
      <c r="E67100"/>
      <c r="F67100"/>
    </row>
    <row r="67101" spans="1:6" x14ac:dyDescent="0.25">
      <c r="A67101"/>
      <c r="B67101"/>
      <c r="C67101"/>
      <c r="E67101"/>
      <c r="F67101"/>
    </row>
    <row r="67102" spans="1:6" x14ac:dyDescent="0.25">
      <c r="A67102"/>
      <c r="B67102"/>
      <c r="C67102"/>
      <c r="E67102"/>
      <c r="F67102"/>
    </row>
    <row r="67103" spans="1:6" x14ac:dyDescent="0.25">
      <c r="A67103"/>
      <c r="B67103"/>
      <c r="C67103"/>
      <c r="E67103"/>
      <c r="F67103"/>
    </row>
    <row r="67104" spans="1:6" x14ac:dyDescent="0.25">
      <c r="A67104"/>
      <c r="B67104"/>
      <c r="C67104"/>
      <c r="E67104"/>
      <c r="F67104"/>
    </row>
    <row r="67105" spans="1:6" x14ac:dyDescent="0.25">
      <c r="A67105"/>
      <c r="B67105"/>
      <c r="C67105"/>
      <c r="E67105"/>
      <c r="F67105"/>
    </row>
    <row r="67106" spans="1:6" x14ac:dyDescent="0.25">
      <c r="A67106"/>
      <c r="B67106"/>
      <c r="C67106"/>
      <c r="E67106"/>
      <c r="F67106"/>
    </row>
    <row r="67107" spans="1:6" x14ac:dyDescent="0.25">
      <c r="A67107"/>
      <c r="B67107"/>
      <c r="C67107"/>
      <c r="E67107"/>
      <c r="F67107"/>
    </row>
    <row r="67108" spans="1:6" x14ac:dyDescent="0.25">
      <c r="A67108"/>
      <c r="B67108"/>
      <c r="C67108"/>
      <c r="E67108"/>
      <c r="F67108"/>
    </row>
    <row r="67109" spans="1:6" x14ac:dyDescent="0.25">
      <c r="A67109"/>
      <c r="B67109"/>
      <c r="C67109"/>
      <c r="E67109"/>
      <c r="F67109"/>
    </row>
    <row r="67110" spans="1:6" x14ac:dyDescent="0.25">
      <c r="A67110"/>
      <c r="B67110"/>
      <c r="C67110"/>
      <c r="E67110"/>
      <c r="F67110"/>
    </row>
    <row r="67111" spans="1:6" x14ac:dyDescent="0.25">
      <c r="A67111"/>
      <c r="B67111"/>
      <c r="C67111"/>
      <c r="E67111"/>
      <c r="F67111"/>
    </row>
    <row r="67112" spans="1:6" x14ac:dyDescent="0.25">
      <c r="A67112"/>
      <c r="B67112"/>
      <c r="C67112"/>
      <c r="E67112"/>
      <c r="F67112"/>
    </row>
    <row r="67113" spans="1:6" x14ac:dyDescent="0.25">
      <c r="A67113"/>
      <c r="B67113"/>
      <c r="C67113"/>
      <c r="E67113"/>
      <c r="F67113"/>
    </row>
    <row r="67114" spans="1:6" x14ac:dyDescent="0.25">
      <c r="A67114"/>
      <c r="B67114"/>
      <c r="C67114"/>
      <c r="E67114"/>
      <c r="F67114"/>
    </row>
    <row r="67115" spans="1:6" x14ac:dyDescent="0.25">
      <c r="A67115"/>
      <c r="B67115"/>
      <c r="C67115"/>
      <c r="E67115"/>
      <c r="F67115"/>
    </row>
    <row r="67116" spans="1:6" x14ac:dyDescent="0.25">
      <c r="A67116"/>
      <c r="B67116"/>
      <c r="C67116"/>
      <c r="E67116"/>
      <c r="F67116"/>
    </row>
    <row r="67117" spans="1:6" x14ac:dyDescent="0.25">
      <c r="A67117"/>
      <c r="B67117"/>
      <c r="C67117"/>
      <c r="E67117"/>
      <c r="F67117"/>
    </row>
    <row r="67118" spans="1:6" x14ac:dyDescent="0.25">
      <c r="A67118"/>
      <c r="B67118"/>
      <c r="C67118"/>
      <c r="E67118"/>
      <c r="F67118"/>
    </row>
    <row r="67119" spans="1:6" x14ac:dyDescent="0.25">
      <c r="A67119"/>
      <c r="B67119"/>
      <c r="C67119"/>
      <c r="E67119"/>
      <c r="F67119"/>
    </row>
    <row r="67120" spans="1:6" x14ac:dyDescent="0.25">
      <c r="A67120"/>
      <c r="B67120"/>
      <c r="C67120"/>
      <c r="E67120"/>
      <c r="F67120"/>
    </row>
    <row r="67121" spans="1:6" x14ac:dyDescent="0.25">
      <c r="A67121"/>
      <c r="B67121"/>
      <c r="C67121"/>
      <c r="E67121"/>
      <c r="F67121"/>
    </row>
    <row r="67122" spans="1:6" x14ac:dyDescent="0.25">
      <c r="A67122"/>
      <c r="B67122"/>
      <c r="C67122"/>
      <c r="E67122"/>
      <c r="F67122"/>
    </row>
    <row r="67123" spans="1:6" x14ac:dyDescent="0.25">
      <c r="A67123"/>
      <c r="B67123"/>
      <c r="C67123"/>
      <c r="E67123"/>
      <c r="F67123"/>
    </row>
    <row r="67124" spans="1:6" x14ac:dyDescent="0.25">
      <c r="A67124"/>
      <c r="B67124"/>
      <c r="C67124"/>
      <c r="E67124"/>
      <c r="F67124"/>
    </row>
    <row r="67125" spans="1:6" x14ac:dyDescent="0.25">
      <c r="A67125"/>
      <c r="B67125"/>
      <c r="C67125"/>
      <c r="E67125"/>
      <c r="F67125"/>
    </row>
    <row r="67126" spans="1:6" x14ac:dyDescent="0.25">
      <c r="A67126"/>
      <c r="B67126"/>
      <c r="C67126"/>
      <c r="E67126"/>
      <c r="F67126"/>
    </row>
    <row r="67127" spans="1:6" x14ac:dyDescent="0.25">
      <c r="A67127"/>
      <c r="B67127"/>
      <c r="C67127"/>
      <c r="E67127"/>
      <c r="F67127"/>
    </row>
    <row r="67128" spans="1:6" x14ac:dyDescent="0.25">
      <c r="A67128"/>
      <c r="B67128"/>
      <c r="C67128"/>
      <c r="E67128"/>
      <c r="F67128"/>
    </row>
    <row r="67129" spans="1:6" x14ac:dyDescent="0.25">
      <c r="A67129"/>
      <c r="B67129"/>
      <c r="C67129"/>
      <c r="E67129"/>
      <c r="F67129"/>
    </row>
    <row r="67130" spans="1:6" x14ac:dyDescent="0.25">
      <c r="A67130"/>
      <c r="B67130"/>
      <c r="C67130"/>
      <c r="E67130"/>
      <c r="F67130"/>
    </row>
    <row r="67131" spans="1:6" x14ac:dyDescent="0.25">
      <c r="A67131"/>
      <c r="B67131"/>
      <c r="C67131"/>
      <c r="E67131"/>
      <c r="F67131"/>
    </row>
    <row r="67132" spans="1:6" x14ac:dyDescent="0.25">
      <c r="A67132"/>
      <c r="B67132"/>
      <c r="C67132"/>
      <c r="E67132"/>
      <c r="F67132"/>
    </row>
    <row r="67133" spans="1:6" x14ac:dyDescent="0.25">
      <c r="A67133"/>
      <c r="B67133"/>
      <c r="C67133"/>
      <c r="E67133"/>
      <c r="F67133"/>
    </row>
    <row r="67134" spans="1:6" x14ac:dyDescent="0.25">
      <c r="A67134"/>
      <c r="B67134"/>
      <c r="C67134"/>
      <c r="E67134"/>
      <c r="F67134"/>
    </row>
    <row r="67135" spans="1:6" x14ac:dyDescent="0.25">
      <c r="A67135"/>
      <c r="B67135"/>
      <c r="C67135"/>
      <c r="E67135"/>
      <c r="F67135"/>
    </row>
    <row r="67136" spans="1:6" x14ac:dyDescent="0.25">
      <c r="A67136"/>
      <c r="B67136"/>
      <c r="C67136"/>
      <c r="E67136"/>
      <c r="F67136"/>
    </row>
    <row r="67137" spans="1:6" x14ac:dyDescent="0.25">
      <c r="A67137"/>
      <c r="B67137"/>
      <c r="C67137"/>
      <c r="E67137"/>
      <c r="F67137"/>
    </row>
    <row r="67138" spans="1:6" x14ac:dyDescent="0.25">
      <c r="A67138"/>
      <c r="B67138"/>
      <c r="C67138"/>
      <c r="E67138"/>
      <c r="F67138"/>
    </row>
    <row r="67139" spans="1:6" x14ac:dyDescent="0.25">
      <c r="A67139"/>
      <c r="B67139"/>
      <c r="C67139"/>
      <c r="E67139"/>
      <c r="F67139"/>
    </row>
    <row r="67140" spans="1:6" x14ac:dyDescent="0.25">
      <c r="A67140"/>
      <c r="B67140"/>
      <c r="C67140"/>
      <c r="E67140"/>
      <c r="F67140"/>
    </row>
    <row r="67141" spans="1:6" x14ac:dyDescent="0.25">
      <c r="A67141"/>
      <c r="B67141"/>
      <c r="C67141"/>
      <c r="E67141"/>
      <c r="F67141"/>
    </row>
    <row r="67142" spans="1:6" x14ac:dyDescent="0.25">
      <c r="A67142"/>
      <c r="B67142"/>
      <c r="C67142"/>
      <c r="E67142"/>
      <c r="F67142"/>
    </row>
    <row r="67143" spans="1:6" x14ac:dyDescent="0.25">
      <c r="A67143"/>
      <c r="B67143"/>
      <c r="C67143"/>
      <c r="E67143"/>
      <c r="F67143"/>
    </row>
    <row r="67144" spans="1:6" x14ac:dyDescent="0.25">
      <c r="A67144"/>
      <c r="B67144"/>
      <c r="C67144"/>
      <c r="E67144"/>
      <c r="F67144"/>
    </row>
    <row r="67145" spans="1:6" x14ac:dyDescent="0.25">
      <c r="A67145"/>
      <c r="B67145"/>
      <c r="C67145"/>
      <c r="E67145"/>
      <c r="F67145"/>
    </row>
    <row r="67146" spans="1:6" x14ac:dyDescent="0.25">
      <c r="A67146"/>
      <c r="B67146"/>
      <c r="C67146"/>
      <c r="E67146"/>
      <c r="F67146"/>
    </row>
    <row r="67147" spans="1:6" x14ac:dyDescent="0.25">
      <c r="A67147"/>
      <c r="B67147"/>
      <c r="C67147"/>
      <c r="E67147"/>
      <c r="F67147"/>
    </row>
    <row r="67148" spans="1:6" x14ac:dyDescent="0.25">
      <c r="A67148"/>
      <c r="B67148"/>
      <c r="C67148"/>
      <c r="E67148"/>
      <c r="F67148"/>
    </row>
    <row r="67149" spans="1:6" x14ac:dyDescent="0.25">
      <c r="A67149"/>
      <c r="B67149"/>
      <c r="C67149"/>
      <c r="E67149"/>
      <c r="F67149"/>
    </row>
    <row r="67150" spans="1:6" x14ac:dyDescent="0.25">
      <c r="A67150"/>
      <c r="B67150"/>
      <c r="C67150"/>
      <c r="E67150"/>
      <c r="F67150"/>
    </row>
    <row r="67151" spans="1:6" x14ac:dyDescent="0.25">
      <c r="A67151"/>
      <c r="B67151"/>
      <c r="C67151"/>
      <c r="E67151"/>
      <c r="F67151"/>
    </row>
    <row r="67152" spans="1:6" x14ac:dyDescent="0.25">
      <c r="A67152"/>
      <c r="B67152"/>
      <c r="C67152"/>
      <c r="E67152"/>
      <c r="F67152"/>
    </row>
    <row r="67153" spans="1:6" x14ac:dyDescent="0.25">
      <c r="A67153"/>
      <c r="B67153"/>
      <c r="C67153"/>
      <c r="E67153"/>
      <c r="F67153"/>
    </row>
    <row r="67154" spans="1:6" x14ac:dyDescent="0.25">
      <c r="A67154"/>
      <c r="B67154"/>
      <c r="C67154"/>
      <c r="E67154"/>
      <c r="F67154"/>
    </row>
    <row r="67155" spans="1:6" x14ac:dyDescent="0.25">
      <c r="A67155"/>
      <c r="B67155"/>
      <c r="C67155"/>
      <c r="E67155"/>
      <c r="F67155"/>
    </row>
    <row r="67156" spans="1:6" x14ac:dyDescent="0.25">
      <c r="A67156"/>
      <c r="B67156"/>
      <c r="C67156"/>
      <c r="E67156"/>
      <c r="F67156"/>
    </row>
    <row r="67157" spans="1:6" x14ac:dyDescent="0.25">
      <c r="A67157"/>
      <c r="B67157"/>
      <c r="C67157"/>
      <c r="E67157"/>
      <c r="F67157"/>
    </row>
    <row r="67158" spans="1:6" x14ac:dyDescent="0.25">
      <c r="A67158"/>
      <c r="B67158"/>
      <c r="C67158"/>
      <c r="E67158"/>
      <c r="F67158"/>
    </row>
    <row r="67159" spans="1:6" x14ac:dyDescent="0.25">
      <c r="A67159"/>
      <c r="B67159"/>
      <c r="C67159"/>
      <c r="E67159"/>
      <c r="F67159"/>
    </row>
    <row r="67160" spans="1:6" x14ac:dyDescent="0.25">
      <c r="A67160"/>
      <c r="B67160"/>
      <c r="C67160"/>
      <c r="E67160"/>
      <c r="F67160"/>
    </row>
    <row r="67161" spans="1:6" x14ac:dyDescent="0.25">
      <c r="A67161"/>
      <c r="B67161"/>
      <c r="C67161"/>
      <c r="E67161"/>
      <c r="F67161"/>
    </row>
    <row r="67162" spans="1:6" x14ac:dyDescent="0.25">
      <c r="A67162"/>
      <c r="B67162"/>
      <c r="C67162"/>
      <c r="E67162"/>
      <c r="F67162"/>
    </row>
    <row r="67163" spans="1:6" x14ac:dyDescent="0.25">
      <c r="A67163"/>
      <c r="B67163"/>
      <c r="C67163"/>
      <c r="E67163"/>
      <c r="F67163"/>
    </row>
    <row r="67164" spans="1:6" x14ac:dyDescent="0.25">
      <c r="A67164"/>
      <c r="B67164"/>
      <c r="C67164"/>
      <c r="E67164"/>
      <c r="F67164"/>
    </row>
    <row r="67165" spans="1:6" x14ac:dyDescent="0.25">
      <c r="A67165"/>
      <c r="B67165"/>
      <c r="C67165"/>
      <c r="E67165"/>
      <c r="F67165"/>
    </row>
    <row r="67166" spans="1:6" x14ac:dyDescent="0.25">
      <c r="A67166"/>
      <c r="B67166"/>
      <c r="C67166"/>
      <c r="E67166"/>
      <c r="F67166"/>
    </row>
    <row r="67167" spans="1:6" x14ac:dyDescent="0.25">
      <c r="A67167"/>
      <c r="B67167"/>
      <c r="C67167"/>
      <c r="E67167"/>
      <c r="F67167"/>
    </row>
    <row r="67168" spans="1:6" x14ac:dyDescent="0.25">
      <c r="A67168"/>
      <c r="B67168"/>
      <c r="C67168"/>
      <c r="E67168"/>
      <c r="F67168"/>
    </row>
    <row r="67169" spans="1:6" x14ac:dyDescent="0.25">
      <c r="A67169"/>
      <c r="B67169"/>
      <c r="C67169"/>
      <c r="E67169"/>
      <c r="F67169"/>
    </row>
    <row r="67170" spans="1:6" x14ac:dyDescent="0.25">
      <c r="A67170"/>
      <c r="B67170"/>
      <c r="C67170"/>
      <c r="E67170"/>
      <c r="F67170"/>
    </row>
    <row r="67171" spans="1:6" x14ac:dyDescent="0.25">
      <c r="A67171"/>
      <c r="B67171"/>
      <c r="C67171"/>
      <c r="E67171"/>
      <c r="F67171"/>
    </row>
    <row r="67172" spans="1:6" x14ac:dyDescent="0.25">
      <c r="A67172"/>
      <c r="B67172"/>
      <c r="C67172"/>
      <c r="E67172"/>
      <c r="F67172"/>
    </row>
    <row r="67173" spans="1:6" x14ac:dyDescent="0.25">
      <c r="A67173"/>
      <c r="B67173"/>
      <c r="C67173"/>
      <c r="E67173"/>
      <c r="F67173"/>
    </row>
    <row r="67174" spans="1:6" x14ac:dyDescent="0.25">
      <c r="A67174"/>
      <c r="B67174"/>
      <c r="C67174"/>
      <c r="E67174"/>
      <c r="F67174"/>
    </row>
    <row r="67175" spans="1:6" x14ac:dyDescent="0.25">
      <c r="A67175"/>
      <c r="B67175"/>
      <c r="C67175"/>
      <c r="E67175"/>
      <c r="F67175"/>
    </row>
    <row r="67176" spans="1:6" x14ac:dyDescent="0.25">
      <c r="A67176"/>
      <c r="B67176"/>
      <c r="C67176"/>
      <c r="E67176"/>
      <c r="F67176"/>
    </row>
    <row r="67177" spans="1:6" x14ac:dyDescent="0.25">
      <c r="A67177"/>
      <c r="B67177"/>
      <c r="C67177"/>
      <c r="E67177"/>
      <c r="F67177"/>
    </row>
    <row r="67178" spans="1:6" x14ac:dyDescent="0.25">
      <c r="A67178"/>
      <c r="B67178"/>
      <c r="C67178"/>
      <c r="E67178"/>
      <c r="F67178"/>
    </row>
    <row r="67179" spans="1:6" x14ac:dyDescent="0.25">
      <c r="A67179"/>
      <c r="B67179"/>
      <c r="C67179"/>
      <c r="E67179"/>
      <c r="F67179"/>
    </row>
    <row r="67180" spans="1:6" x14ac:dyDescent="0.25">
      <c r="A67180"/>
      <c r="B67180"/>
      <c r="C67180"/>
      <c r="E67180"/>
      <c r="F67180"/>
    </row>
    <row r="67181" spans="1:6" x14ac:dyDescent="0.25">
      <c r="A67181"/>
      <c r="B67181"/>
      <c r="C67181"/>
      <c r="E67181"/>
      <c r="F67181"/>
    </row>
    <row r="67182" spans="1:6" x14ac:dyDescent="0.25">
      <c r="A67182"/>
      <c r="B67182"/>
      <c r="C67182"/>
      <c r="E67182"/>
      <c r="F67182"/>
    </row>
    <row r="67183" spans="1:6" x14ac:dyDescent="0.25">
      <c r="A67183"/>
      <c r="B67183"/>
      <c r="C67183"/>
      <c r="E67183"/>
      <c r="F67183"/>
    </row>
    <row r="67184" spans="1:6" x14ac:dyDescent="0.25">
      <c r="A67184"/>
      <c r="B67184"/>
      <c r="C67184"/>
      <c r="E67184"/>
      <c r="F67184"/>
    </row>
    <row r="67185" spans="1:6" x14ac:dyDescent="0.25">
      <c r="A67185"/>
      <c r="B67185"/>
      <c r="C67185"/>
      <c r="E67185"/>
      <c r="F67185"/>
    </row>
    <row r="67186" spans="1:6" x14ac:dyDescent="0.25">
      <c r="A67186"/>
      <c r="B67186"/>
      <c r="C67186"/>
      <c r="E67186"/>
      <c r="F67186"/>
    </row>
    <row r="67187" spans="1:6" x14ac:dyDescent="0.25">
      <c r="A67187"/>
      <c r="B67187"/>
      <c r="C67187"/>
      <c r="E67187"/>
      <c r="F67187"/>
    </row>
    <row r="67188" spans="1:6" x14ac:dyDescent="0.25">
      <c r="A67188"/>
      <c r="B67188"/>
      <c r="C67188"/>
      <c r="E67188"/>
      <c r="F67188"/>
    </row>
    <row r="67189" spans="1:6" x14ac:dyDescent="0.25">
      <c r="A67189"/>
      <c r="B67189"/>
      <c r="C67189"/>
      <c r="E67189"/>
      <c r="F67189"/>
    </row>
    <row r="67190" spans="1:6" x14ac:dyDescent="0.25">
      <c r="A67190"/>
      <c r="B67190"/>
      <c r="C67190"/>
      <c r="E67190"/>
      <c r="F67190"/>
    </row>
    <row r="67191" spans="1:6" x14ac:dyDescent="0.25">
      <c r="A67191"/>
      <c r="B67191"/>
      <c r="C67191"/>
      <c r="E67191"/>
      <c r="F67191"/>
    </row>
    <row r="67192" spans="1:6" x14ac:dyDescent="0.25">
      <c r="A67192"/>
      <c r="B67192"/>
      <c r="C67192"/>
      <c r="E67192"/>
      <c r="F67192"/>
    </row>
    <row r="67193" spans="1:6" x14ac:dyDescent="0.25">
      <c r="A67193"/>
      <c r="B67193"/>
      <c r="C67193"/>
      <c r="E67193"/>
      <c r="F67193"/>
    </row>
    <row r="67194" spans="1:6" x14ac:dyDescent="0.25">
      <c r="A67194"/>
      <c r="B67194"/>
      <c r="C67194"/>
      <c r="E67194"/>
      <c r="F67194"/>
    </row>
    <row r="67195" spans="1:6" x14ac:dyDescent="0.25">
      <c r="A67195"/>
      <c r="B67195"/>
      <c r="C67195"/>
      <c r="E67195"/>
      <c r="F67195"/>
    </row>
    <row r="67196" spans="1:6" x14ac:dyDescent="0.25">
      <c r="A67196"/>
      <c r="B67196"/>
      <c r="C67196"/>
      <c r="E67196"/>
      <c r="F67196"/>
    </row>
    <row r="67197" spans="1:6" x14ac:dyDescent="0.25">
      <c r="A67197"/>
      <c r="B67197"/>
      <c r="C67197"/>
      <c r="E67197"/>
      <c r="F67197"/>
    </row>
    <row r="67198" spans="1:6" x14ac:dyDescent="0.25">
      <c r="A67198"/>
      <c r="B67198"/>
      <c r="C67198"/>
      <c r="E67198"/>
      <c r="F67198"/>
    </row>
    <row r="67199" spans="1:6" x14ac:dyDescent="0.25">
      <c r="A67199"/>
      <c r="B67199"/>
      <c r="C67199"/>
      <c r="E67199"/>
      <c r="F67199"/>
    </row>
    <row r="67200" spans="1:6" x14ac:dyDescent="0.25">
      <c r="A67200"/>
      <c r="B67200"/>
      <c r="C67200"/>
      <c r="E67200"/>
      <c r="F67200"/>
    </row>
    <row r="67201" spans="1:6" x14ac:dyDescent="0.25">
      <c r="A67201"/>
      <c r="B67201"/>
      <c r="C67201"/>
      <c r="E67201"/>
      <c r="F67201"/>
    </row>
    <row r="67202" spans="1:6" x14ac:dyDescent="0.25">
      <c r="A67202"/>
      <c r="B67202"/>
      <c r="C67202"/>
      <c r="E67202"/>
      <c r="F67202"/>
    </row>
    <row r="67203" spans="1:6" x14ac:dyDescent="0.25">
      <c r="A67203"/>
      <c r="B67203"/>
      <c r="C67203"/>
      <c r="E67203"/>
      <c r="F67203"/>
    </row>
    <row r="67204" spans="1:6" x14ac:dyDescent="0.25">
      <c r="A67204"/>
      <c r="B67204"/>
      <c r="C67204"/>
      <c r="E67204"/>
      <c r="F67204"/>
    </row>
    <row r="67205" spans="1:6" x14ac:dyDescent="0.25">
      <c r="A67205"/>
      <c r="B67205"/>
      <c r="C67205"/>
      <c r="E67205"/>
      <c r="F67205"/>
    </row>
    <row r="67206" spans="1:6" x14ac:dyDescent="0.25">
      <c r="A67206"/>
      <c r="B67206"/>
      <c r="C67206"/>
      <c r="E67206"/>
      <c r="F67206"/>
    </row>
    <row r="67207" spans="1:6" x14ac:dyDescent="0.25">
      <c r="A67207"/>
      <c r="B67207"/>
      <c r="C67207"/>
      <c r="E67207"/>
      <c r="F67207"/>
    </row>
    <row r="67208" spans="1:6" x14ac:dyDescent="0.25">
      <c r="A67208"/>
      <c r="B67208"/>
      <c r="C67208"/>
      <c r="E67208"/>
      <c r="F67208"/>
    </row>
    <row r="67209" spans="1:6" x14ac:dyDescent="0.25">
      <c r="A67209"/>
      <c r="B67209"/>
      <c r="C67209"/>
      <c r="E67209"/>
      <c r="F67209"/>
    </row>
    <row r="67210" spans="1:6" x14ac:dyDescent="0.25">
      <c r="A67210"/>
      <c r="B67210"/>
      <c r="C67210"/>
      <c r="E67210"/>
      <c r="F67210"/>
    </row>
    <row r="67211" spans="1:6" x14ac:dyDescent="0.25">
      <c r="A67211"/>
      <c r="B67211"/>
      <c r="C67211"/>
      <c r="E67211"/>
      <c r="F67211"/>
    </row>
    <row r="67212" spans="1:6" x14ac:dyDescent="0.25">
      <c r="A67212"/>
      <c r="B67212"/>
      <c r="C67212"/>
      <c r="E67212"/>
      <c r="F67212"/>
    </row>
    <row r="67213" spans="1:6" x14ac:dyDescent="0.25">
      <c r="A67213"/>
      <c r="B67213"/>
      <c r="C67213"/>
      <c r="E67213"/>
      <c r="F67213"/>
    </row>
    <row r="67214" spans="1:6" x14ac:dyDescent="0.25">
      <c r="A67214"/>
      <c r="B67214"/>
      <c r="C67214"/>
      <c r="E67214"/>
      <c r="F67214"/>
    </row>
    <row r="67215" spans="1:6" x14ac:dyDescent="0.25">
      <c r="A67215"/>
      <c r="B67215"/>
      <c r="C67215"/>
      <c r="E67215"/>
      <c r="F67215"/>
    </row>
    <row r="67216" spans="1:6" x14ac:dyDescent="0.25">
      <c r="A67216"/>
      <c r="B67216"/>
      <c r="C67216"/>
      <c r="E67216"/>
      <c r="F67216"/>
    </row>
    <row r="67217" spans="1:6" x14ac:dyDescent="0.25">
      <c r="A67217"/>
      <c r="B67217"/>
      <c r="C67217"/>
      <c r="E67217"/>
      <c r="F67217"/>
    </row>
    <row r="67218" spans="1:6" x14ac:dyDescent="0.25">
      <c r="A67218"/>
      <c r="B67218"/>
      <c r="C67218"/>
      <c r="E67218"/>
      <c r="F67218"/>
    </row>
    <row r="67219" spans="1:6" x14ac:dyDescent="0.25">
      <c r="A67219"/>
      <c r="B67219"/>
      <c r="C67219"/>
      <c r="E67219"/>
      <c r="F67219"/>
    </row>
    <row r="67220" spans="1:6" x14ac:dyDescent="0.25">
      <c r="A67220"/>
      <c r="B67220"/>
      <c r="C67220"/>
      <c r="E67220"/>
      <c r="F67220"/>
    </row>
    <row r="67221" spans="1:6" x14ac:dyDescent="0.25">
      <c r="A67221"/>
      <c r="B67221"/>
      <c r="C67221"/>
      <c r="E67221"/>
      <c r="F67221"/>
    </row>
    <row r="67222" spans="1:6" x14ac:dyDescent="0.25">
      <c r="A67222"/>
      <c r="B67222"/>
      <c r="C67222"/>
      <c r="E67222"/>
      <c r="F67222"/>
    </row>
    <row r="67223" spans="1:6" x14ac:dyDescent="0.25">
      <c r="A67223"/>
      <c r="B67223"/>
      <c r="C67223"/>
      <c r="E67223"/>
      <c r="F67223"/>
    </row>
    <row r="67224" spans="1:6" x14ac:dyDescent="0.25">
      <c r="A67224"/>
      <c r="B67224"/>
      <c r="C67224"/>
      <c r="E67224"/>
      <c r="F67224"/>
    </row>
    <row r="67225" spans="1:6" x14ac:dyDescent="0.25">
      <c r="A67225"/>
      <c r="B67225"/>
      <c r="C67225"/>
      <c r="E67225"/>
      <c r="F67225"/>
    </row>
    <row r="67226" spans="1:6" x14ac:dyDescent="0.25">
      <c r="A67226"/>
      <c r="B67226"/>
      <c r="C67226"/>
      <c r="E67226"/>
      <c r="F67226"/>
    </row>
    <row r="67227" spans="1:6" x14ac:dyDescent="0.25">
      <c r="A67227"/>
      <c r="B67227"/>
      <c r="C67227"/>
      <c r="E67227"/>
      <c r="F67227"/>
    </row>
    <row r="67228" spans="1:6" x14ac:dyDescent="0.25">
      <c r="A67228"/>
      <c r="B67228"/>
      <c r="C67228"/>
      <c r="E67228"/>
      <c r="F67228"/>
    </row>
    <row r="67229" spans="1:6" x14ac:dyDescent="0.25">
      <c r="A67229"/>
      <c r="B67229"/>
      <c r="C67229"/>
      <c r="E67229"/>
      <c r="F67229"/>
    </row>
    <row r="67230" spans="1:6" x14ac:dyDescent="0.25">
      <c r="A67230"/>
      <c r="B67230"/>
      <c r="C67230"/>
      <c r="E67230"/>
      <c r="F67230"/>
    </row>
    <row r="67231" spans="1:6" x14ac:dyDescent="0.25">
      <c r="A67231"/>
      <c r="B67231"/>
      <c r="C67231"/>
      <c r="E67231"/>
      <c r="F67231"/>
    </row>
    <row r="67232" spans="1:6" x14ac:dyDescent="0.25">
      <c r="A67232"/>
      <c r="B67232"/>
      <c r="C67232"/>
      <c r="E67232"/>
      <c r="F67232"/>
    </row>
    <row r="67233" spans="1:6" x14ac:dyDescent="0.25">
      <c r="A67233"/>
      <c r="B67233"/>
      <c r="C67233"/>
      <c r="E67233"/>
      <c r="F67233"/>
    </row>
    <row r="67234" spans="1:6" x14ac:dyDescent="0.25">
      <c r="A67234"/>
      <c r="B67234"/>
      <c r="C67234"/>
      <c r="E67234"/>
      <c r="F67234"/>
    </row>
    <row r="67235" spans="1:6" x14ac:dyDescent="0.25">
      <c r="A67235"/>
      <c r="B67235"/>
      <c r="C67235"/>
      <c r="E67235"/>
      <c r="F67235"/>
    </row>
    <row r="67236" spans="1:6" x14ac:dyDescent="0.25">
      <c r="A67236"/>
      <c r="B67236"/>
      <c r="C67236"/>
      <c r="E67236"/>
      <c r="F67236"/>
    </row>
    <row r="67237" spans="1:6" x14ac:dyDescent="0.25">
      <c r="A67237"/>
      <c r="B67237"/>
      <c r="C67237"/>
      <c r="E67237"/>
      <c r="F67237"/>
    </row>
    <row r="67238" spans="1:6" x14ac:dyDescent="0.25">
      <c r="A67238"/>
      <c r="B67238"/>
      <c r="C67238"/>
      <c r="E67238"/>
      <c r="F67238"/>
    </row>
    <row r="67239" spans="1:6" x14ac:dyDescent="0.25">
      <c r="A67239"/>
      <c r="B67239"/>
      <c r="C67239"/>
      <c r="E67239"/>
      <c r="F67239"/>
    </row>
    <row r="67240" spans="1:6" x14ac:dyDescent="0.25">
      <c r="A67240"/>
      <c r="B67240"/>
      <c r="C67240"/>
      <c r="E67240"/>
      <c r="F67240"/>
    </row>
    <row r="67241" spans="1:6" x14ac:dyDescent="0.25">
      <c r="A67241"/>
      <c r="B67241"/>
      <c r="C67241"/>
      <c r="E67241"/>
      <c r="F67241"/>
    </row>
    <row r="67242" spans="1:6" x14ac:dyDescent="0.25">
      <c r="A67242"/>
      <c r="B67242"/>
      <c r="C67242"/>
      <c r="E67242"/>
      <c r="F67242"/>
    </row>
    <row r="67243" spans="1:6" x14ac:dyDescent="0.25">
      <c r="A67243"/>
      <c r="B67243"/>
      <c r="C67243"/>
      <c r="E67243"/>
      <c r="F67243"/>
    </row>
    <row r="67244" spans="1:6" x14ac:dyDescent="0.25">
      <c r="A67244"/>
      <c r="B67244"/>
      <c r="C67244"/>
      <c r="E67244"/>
      <c r="F67244"/>
    </row>
    <row r="67245" spans="1:6" x14ac:dyDescent="0.25">
      <c r="A67245"/>
      <c r="B67245"/>
      <c r="C67245"/>
      <c r="E67245"/>
      <c r="F67245"/>
    </row>
    <row r="67246" spans="1:6" x14ac:dyDescent="0.25">
      <c r="A67246"/>
      <c r="B67246"/>
      <c r="C67246"/>
      <c r="E67246"/>
      <c r="F67246"/>
    </row>
    <row r="67247" spans="1:6" x14ac:dyDescent="0.25">
      <c r="A67247"/>
      <c r="B67247"/>
      <c r="C67247"/>
      <c r="E67247"/>
      <c r="F67247"/>
    </row>
    <row r="67248" spans="1:6" x14ac:dyDescent="0.25">
      <c r="A67248"/>
      <c r="B67248"/>
      <c r="C67248"/>
      <c r="E67248"/>
      <c r="F67248"/>
    </row>
    <row r="67249" spans="1:6" x14ac:dyDescent="0.25">
      <c r="A67249"/>
      <c r="B67249"/>
      <c r="C67249"/>
      <c r="E67249"/>
      <c r="F67249"/>
    </row>
    <row r="67250" spans="1:6" x14ac:dyDescent="0.25">
      <c r="A67250"/>
      <c r="B67250"/>
      <c r="C67250"/>
      <c r="E67250"/>
      <c r="F67250"/>
    </row>
    <row r="67251" spans="1:6" x14ac:dyDescent="0.25">
      <c r="A67251"/>
      <c r="B67251"/>
      <c r="C67251"/>
      <c r="E67251"/>
      <c r="F67251"/>
    </row>
    <row r="67252" spans="1:6" x14ac:dyDescent="0.25">
      <c r="A67252"/>
      <c r="B67252"/>
      <c r="C67252"/>
      <c r="E67252"/>
      <c r="F67252"/>
    </row>
    <row r="67253" spans="1:6" x14ac:dyDescent="0.25">
      <c r="A67253"/>
      <c r="B67253"/>
      <c r="C67253"/>
      <c r="E67253"/>
      <c r="F67253"/>
    </row>
    <row r="67254" spans="1:6" x14ac:dyDescent="0.25">
      <c r="A67254"/>
      <c r="B67254"/>
      <c r="C67254"/>
      <c r="E67254"/>
      <c r="F67254"/>
    </row>
    <row r="67255" spans="1:6" x14ac:dyDescent="0.25">
      <c r="A67255"/>
      <c r="B67255"/>
      <c r="C67255"/>
      <c r="E67255"/>
      <c r="F67255"/>
    </row>
    <row r="67256" spans="1:6" x14ac:dyDescent="0.25">
      <c r="A67256"/>
      <c r="B67256"/>
      <c r="C67256"/>
      <c r="E67256"/>
      <c r="F67256"/>
    </row>
    <row r="67257" spans="1:6" x14ac:dyDescent="0.25">
      <c r="A67257"/>
      <c r="B67257"/>
      <c r="C67257"/>
      <c r="E67257"/>
      <c r="F67257"/>
    </row>
    <row r="67258" spans="1:6" x14ac:dyDescent="0.25">
      <c r="A67258"/>
      <c r="B67258"/>
      <c r="C67258"/>
      <c r="E67258"/>
      <c r="F67258"/>
    </row>
    <row r="67259" spans="1:6" x14ac:dyDescent="0.25">
      <c r="A67259"/>
      <c r="B67259"/>
      <c r="C67259"/>
      <c r="E67259"/>
      <c r="F67259"/>
    </row>
    <row r="67260" spans="1:6" x14ac:dyDescent="0.25">
      <c r="A67260"/>
      <c r="B67260"/>
      <c r="C67260"/>
      <c r="E67260"/>
      <c r="F67260"/>
    </row>
    <row r="67261" spans="1:6" x14ac:dyDescent="0.25">
      <c r="A67261"/>
      <c r="B67261"/>
      <c r="C67261"/>
      <c r="E67261"/>
      <c r="F67261"/>
    </row>
    <row r="67262" spans="1:6" x14ac:dyDescent="0.25">
      <c r="A67262"/>
      <c r="B67262"/>
      <c r="C67262"/>
      <c r="E67262"/>
      <c r="F67262"/>
    </row>
    <row r="67263" spans="1:6" x14ac:dyDescent="0.25">
      <c r="A67263"/>
      <c r="B67263"/>
      <c r="C67263"/>
      <c r="E67263"/>
      <c r="F67263"/>
    </row>
    <row r="67264" spans="1:6" x14ac:dyDescent="0.25">
      <c r="A67264"/>
      <c r="B67264"/>
      <c r="C67264"/>
      <c r="E67264"/>
      <c r="F67264"/>
    </row>
    <row r="67265" spans="1:6" x14ac:dyDescent="0.25">
      <c r="A67265"/>
      <c r="B67265"/>
      <c r="C67265"/>
      <c r="E67265"/>
      <c r="F67265"/>
    </row>
    <row r="67266" spans="1:6" x14ac:dyDescent="0.25">
      <c r="A67266"/>
      <c r="B67266"/>
      <c r="C67266"/>
      <c r="E67266"/>
      <c r="F67266"/>
    </row>
    <row r="67267" spans="1:6" x14ac:dyDescent="0.25">
      <c r="A67267"/>
      <c r="B67267"/>
      <c r="C67267"/>
      <c r="E67267"/>
      <c r="F67267"/>
    </row>
    <row r="67268" spans="1:6" x14ac:dyDescent="0.25">
      <c r="A67268"/>
      <c r="B67268"/>
      <c r="C67268"/>
      <c r="E67268"/>
      <c r="F67268"/>
    </row>
    <row r="67269" spans="1:6" x14ac:dyDescent="0.25">
      <c r="A67269"/>
      <c r="B67269"/>
      <c r="C67269"/>
      <c r="E67269"/>
      <c r="F67269"/>
    </row>
    <row r="67270" spans="1:6" x14ac:dyDescent="0.25">
      <c r="A67270"/>
      <c r="B67270"/>
      <c r="C67270"/>
      <c r="E67270"/>
      <c r="F67270"/>
    </row>
    <row r="67271" spans="1:6" x14ac:dyDescent="0.25">
      <c r="A67271"/>
      <c r="B67271"/>
      <c r="C67271"/>
      <c r="E67271"/>
      <c r="F67271"/>
    </row>
    <row r="67272" spans="1:6" x14ac:dyDescent="0.25">
      <c r="A67272"/>
      <c r="B67272"/>
      <c r="C67272"/>
      <c r="E67272"/>
      <c r="F67272"/>
    </row>
    <row r="67273" spans="1:6" x14ac:dyDescent="0.25">
      <c r="A67273"/>
      <c r="B67273"/>
      <c r="C67273"/>
      <c r="E67273"/>
      <c r="F67273"/>
    </row>
    <row r="67274" spans="1:6" x14ac:dyDescent="0.25">
      <c r="A67274"/>
      <c r="B67274"/>
      <c r="C67274"/>
      <c r="E67274"/>
      <c r="F67274"/>
    </row>
    <row r="67275" spans="1:6" x14ac:dyDescent="0.25">
      <c r="A67275"/>
      <c r="B67275"/>
      <c r="C67275"/>
      <c r="E67275"/>
      <c r="F67275"/>
    </row>
    <row r="67276" spans="1:6" x14ac:dyDescent="0.25">
      <c r="A67276"/>
      <c r="B67276"/>
      <c r="C67276"/>
      <c r="E67276"/>
      <c r="F67276"/>
    </row>
    <row r="67277" spans="1:6" x14ac:dyDescent="0.25">
      <c r="A67277"/>
      <c r="B67277"/>
      <c r="C67277"/>
      <c r="E67277"/>
      <c r="F67277"/>
    </row>
    <row r="67278" spans="1:6" x14ac:dyDescent="0.25">
      <c r="A67278"/>
      <c r="B67278"/>
      <c r="C67278"/>
      <c r="E67278"/>
      <c r="F67278"/>
    </row>
    <row r="67279" spans="1:6" x14ac:dyDescent="0.25">
      <c r="A67279"/>
      <c r="B67279"/>
      <c r="C67279"/>
      <c r="E67279"/>
      <c r="F67279"/>
    </row>
    <row r="67280" spans="1:6" x14ac:dyDescent="0.25">
      <c r="A67280"/>
      <c r="B67280"/>
      <c r="C67280"/>
      <c r="E67280"/>
      <c r="F67280"/>
    </row>
    <row r="67281" spans="1:6" x14ac:dyDescent="0.25">
      <c r="A67281"/>
      <c r="B67281"/>
      <c r="C67281"/>
      <c r="E67281"/>
      <c r="F67281"/>
    </row>
    <row r="67282" spans="1:6" x14ac:dyDescent="0.25">
      <c r="A67282"/>
      <c r="B67282"/>
      <c r="C67282"/>
      <c r="E67282"/>
      <c r="F67282"/>
    </row>
    <row r="67283" spans="1:6" x14ac:dyDescent="0.25">
      <c r="A67283"/>
      <c r="B67283"/>
      <c r="C67283"/>
      <c r="E67283"/>
      <c r="F67283"/>
    </row>
    <row r="67284" spans="1:6" x14ac:dyDescent="0.25">
      <c r="A67284"/>
      <c r="B67284"/>
      <c r="C67284"/>
      <c r="E67284"/>
      <c r="F67284"/>
    </row>
    <row r="67285" spans="1:6" x14ac:dyDescent="0.25">
      <c r="A67285"/>
      <c r="B67285"/>
      <c r="C67285"/>
      <c r="E67285"/>
      <c r="F67285"/>
    </row>
    <row r="67286" spans="1:6" x14ac:dyDescent="0.25">
      <c r="A67286"/>
      <c r="B67286"/>
      <c r="C67286"/>
      <c r="E67286"/>
      <c r="F67286"/>
    </row>
    <row r="67287" spans="1:6" x14ac:dyDescent="0.25">
      <c r="A67287"/>
      <c r="B67287"/>
      <c r="C67287"/>
      <c r="E67287"/>
      <c r="F67287"/>
    </row>
    <row r="67288" spans="1:6" x14ac:dyDescent="0.25">
      <c r="A67288"/>
      <c r="B67288"/>
      <c r="C67288"/>
      <c r="E67288"/>
      <c r="F67288"/>
    </row>
    <row r="67289" spans="1:6" x14ac:dyDescent="0.25">
      <c r="A67289"/>
      <c r="B67289"/>
      <c r="C67289"/>
      <c r="E67289"/>
      <c r="F67289"/>
    </row>
    <row r="67290" spans="1:6" x14ac:dyDescent="0.25">
      <c r="A67290"/>
      <c r="B67290"/>
      <c r="C67290"/>
      <c r="E67290"/>
      <c r="F67290"/>
    </row>
    <row r="67291" spans="1:6" x14ac:dyDescent="0.25">
      <c r="A67291"/>
      <c r="B67291"/>
      <c r="C67291"/>
      <c r="E67291"/>
      <c r="F67291"/>
    </row>
    <row r="67292" spans="1:6" x14ac:dyDescent="0.25">
      <c r="A67292"/>
      <c r="B67292"/>
      <c r="C67292"/>
      <c r="E67292"/>
      <c r="F67292"/>
    </row>
    <row r="67293" spans="1:6" x14ac:dyDescent="0.25">
      <c r="A67293"/>
      <c r="B67293"/>
      <c r="C67293"/>
      <c r="E67293"/>
      <c r="F67293"/>
    </row>
    <row r="67294" spans="1:6" x14ac:dyDescent="0.25">
      <c r="A67294"/>
      <c r="B67294"/>
      <c r="C67294"/>
      <c r="E67294"/>
      <c r="F67294"/>
    </row>
    <row r="67295" spans="1:6" x14ac:dyDescent="0.25">
      <c r="A67295"/>
      <c r="B67295"/>
      <c r="C67295"/>
      <c r="E67295"/>
      <c r="F67295"/>
    </row>
    <row r="67296" spans="1:6" x14ac:dyDescent="0.25">
      <c r="A67296"/>
      <c r="B67296"/>
      <c r="C67296"/>
      <c r="E67296"/>
      <c r="F67296"/>
    </row>
    <row r="67297" spans="1:6" x14ac:dyDescent="0.25">
      <c r="A67297"/>
      <c r="B67297"/>
      <c r="C67297"/>
      <c r="E67297"/>
      <c r="F67297"/>
    </row>
    <row r="67298" spans="1:6" x14ac:dyDescent="0.25">
      <c r="A67298"/>
      <c r="B67298"/>
      <c r="C67298"/>
      <c r="E67298"/>
      <c r="F67298"/>
    </row>
    <row r="67299" spans="1:6" x14ac:dyDescent="0.25">
      <c r="A67299"/>
      <c r="B67299"/>
      <c r="C67299"/>
      <c r="E67299"/>
      <c r="F67299"/>
    </row>
    <row r="67300" spans="1:6" x14ac:dyDescent="0.25">
      <c r="A67300"/>
      <c r="B67300"/>
      <c r="C67300"/>
      <c r="E67300"/>
      <c r="F67300"/>
    </row>
    <row r="67301" spans="1:6" x14ac:dyDescent="0.25">
      <c r="A67301"/>
      <c r="B67301"/>
      <c r="C67301"/>
      <c r="E67301"/>
      <c r="F67301"/>
    </row>
    <row r="67302" spans="1:6" x14ac:dyDescent="0.25">
      <c r="A67302"/>
      <c r="B67302"/>
      <c r="C67302"/>
      <c r="E67302"/>
      <c r="F67302"/>
    </row>
    <row r="67303" spans="1:6" x14ac:dyDescent="0.25">
      <c r="A67303"/>
      <c r="B67303"/>
      <c r="C67303"/>
      <c r="E67303"/>
      <c r="F67303"/>
    </row>
    <row r="67304" spans="1:6" x14ac:dyDescent="0.25">
      <c r="A67304"/>
      <c r="B67304"/>
      <c r="C67304"/>
      <c r="E67304"/>
      <c r="F67304"/>
    </row>
    <row r="67305" spans="1:6" x14ac:dyDescent="0.25">
      <c r="A67305"/>
      <c r="B67305"/>
      <c r="C67305"/>
      <c r="E67305"/>
      <c r="F67305"/>
    </row>
    <row r="67306" spans="1:6" x14ac:dyDescent="0.25">
      <c r="A67306"/>
      <c r="B67306"/>
      <c r="C67306"/>
      <c r="E67306"/>
      <c r="F67306"/>
    </row>
    <row r="67307" spans="1:6" x14ac:dyDescent="0.25">
      <c r="A67307"/>
      <c r="B67307"/>
      <c r="C67307"/>
      <c r="E67307"/>
      <c r="F67307"/>
    </row>
    <row r="67308" spans="1:6" x14ac:dyDescent="0.25">
      <c r="A67308"/>
      <c r="B67308"/>
      <c r="C67308"/>
      <c r="E67308"/>
      <c r="F67308"/>
    </row>
    <row r="67309" spans="1:6" x14ac:dyDescent="0.25">
      <c r="A67309"/>
      <c r="B67309"/>
      <c r="C67309"/>
      <c r="E67309"/>
      <c r="F67309"/>
    </row>
    <row r="67310" spans="1:6" x14ac:dyDescent="0.25">
      <c r="A67310"/>
      <c r="B67310"/>
      <c r="C67310"/>
      <c r="E67310"/>
      <c r="F67310"/>
    </row>
    <row r="67311" spans="1:6" x14ac:dyDescent="0.25">
      <c r="A67311"/>
      <c r="B67311"/>
      <c r="C67311"/>
      <c r="E67311"/>
      <c r="F67311"/>
    </row>
    <row r="67312" spans="1:6" x14ac:dyDescent="0.25">
      <c r="A67312"/>
      <c r="B67312"/>
      <c r="C67312"/>
      <c r="E67312"/>
      <c r="F67312"/>
    </row>
    <row r="67313" spans="1:6" x14ac:dyDescent="0.25">
      <c r="A67313"/>
      <c r="B67313"/>
      <c r="C67313"/>
      <c r="E67313"/>
      <c r="F67313"/>
    </row>
    <row r="67314" spans="1:6" x14ac:dyDescent="0.25">
      <c r="A67314"/>
      <c r="B67314"/>
      <c r="C67314"/>
      <c r="E67314"/>
      <c r="F67314"/>
    </row>
    <row r="67315" spans="1:6" x14ac:dyDescent="0.25">
      <c r="A67315"/>
      <c r="B67315"/>
      <c r="C67315"/>
      <c r="E67315"/>
      <c r="F67315"/>
    </row>
    <row r="67316" spans="1:6" x14ac:dyDescent="0.25">
      <c r="A67316"/>
      <c r="B67316"/>
      <c r="C67316"/>
      <c r="E67316"/>
      <c r="F67316"/>
    </row>
    <row r="67317" spans="1:6" x14ac:dyDescent="0.25">
      <c r="A67317"/>
      <c r="B67317"/>
      <c r="C67317"/>
      <c r="E67317"/>
      <c r="F67317"/>
    </row>
    <row r="67318" spans="1:6" x14ac:dyDescent="0.25">
      <c r="A67318"/>
      <c r="B67318"/>
      <c r="C67318"/>
      <c r="E67318"/>
      <c r="F67318"/>
    </row>
    <row r="67319" spans="1:6" x14ac:dyDescent="0.25">
      <c r="A67319"/>
      <c r="B67319"/>
      <c r="C67319"/>
      <c r="E67319"/>
      <c r="F67319"/>
    </row>
    <row r="67320" spans="1:6" x14ac:dyDescent="0.25">
      <c r="A67320"/>
      <c r="B67320"/>
      <c r="C67320"/>
      <c r="E67320"/>
      <c r="F67320"/>
    </row>
    <row r="67321" spans="1:6" x14ac:dyDescent="0.25">
      <c r="A67321"/>
      <c r="B67321"/>
      <c r="C67321"/>
      <c r="E67321"/>
      <c r="F67321"/>
    </row>
    <row r="67322" spans="1:6" x14ac:dyDescent="0.25">
      <c r="A67322"/>
      <c r="B67322"/>
      <c r="C67322"/>
      <c r="E67322"/>
      <c r="F67322"/>
    </row>
    <row r="67323" spans="1:6" x14ac:dyDescent="0.25">
      <c r="A67323"/>
      <c r="B67323"/>
      <c r="C67323"/>
      <c r="E67323"/>
      <c r="F67323"/>
    </row>
    <row r="67324" spans="1:6" x14ac:dyDescent="0.25">
      <c r="A67324"/>
      <c r="B67324"/>
      <c r="C67324"/>
      <c r="E67324"/>
      <c r="F67324"/>
    </row>
    <row r="67325" spans="1:6" x14ac:dyDescent="0.25">
      <c r="A67325"/>
      <c r="B67325"/>
      <c r="C67325"/>
      <c r="E67325"/>
      <c r="F67325"/>
    </row>
    <row r="67326" spans="1:6" x14ac:dyDescent="0.25">
      <c r="A67326"/>
      <c r="B67326"/>
      <c r="C67326"/>
      <c r="E67326"/>
      <c r="F67326"/>
    </row>
    <row r="67327" spans="1:6" x14ac:dyDescent="0.25">
      <c r="A67327"/>
      <c r="B67327"/>
      <c r="C67327"/>
      <c r="E67327"/>
      <c r="F67327"/>
    </row>
    <row r="67328" spans="1:6" x14ac:dyDescent="0.25">
      <c r="A67328"/>
      <c r="B67328"/>
      <c r="C67328"/>
      <c r="E67328"/>
      <c r="F67328"/>
    </row>
    <row r="67329" spans="1:6" x14ac:dyDescent="0.25">
      <c r="A67329"/>
      <c r="B67329"/>
      <c r="C67329"/>
      <c r="E67329"/>
      <c r="F67329"/>
    </row>
    <row r="67330" spans="1:6" x14ac:dyDescent="0.25">
      <c r="A67330"/>
      <c r="B67330"/>
      <c r="C67330"/>
      <c r="E67330"/>
      <c r="F67330"/>
    </row>
    <row r="67331" spans="1:6" x14ac:dyDescent="0.25">
      <c r="A67331"/>
      <c r="B67331"/>
      <c r="C67331"/>
      <c r="E67331"/>
      <c r="F67331"/>
    </row>
    <row r="67332" spans="1:6" x14ac:dyDescent="0.25">
      <c r="A67332"/>
      <c r="B67332"/>
      <c r="C67332"/>
      <c r="E67332"/>
      <c r="F67332"/>
    </row>
    <row r="67333" spans="1:6" x14ac:dyDescent="0.25">
      <c r="A67333"/>
      <c r="B67333"/>
      <c r="C67333"/>
      <c r="E67333"/>
      <c r="F67333"/>
    </row>
    <row r="67334" spans="1:6" x14ac:dyDescent="0.25">
      <c r="A67334"/>
      <c r="B67334"/>
      <c r="C67334"/>
      <c r="E67334"/>
      <c r="F67334"/>
    </row>
    <row r="67335" spans="1:6" x14ac:dyDescent="0.25">
      <c r="A67335"/>
      <c r="B67335"/>
      <c r="C67335"/>
      <c r="E67335"/>
      <c r="F67335"/>
    </row>
    <row r="67336" spans="1:6" x14ac:dyDescent="0.25">
      <c r="A67336"/>
      <c r="B67336"/>
      <c r="C67336"/>
      <c r="E67336"/>
      <c r="F67336"/>
    </row>
    <row r="67337" spans="1:6" x14ac:dyDescent="0.25">
      <c r="A67337"/>
      <c r="B67337"/>
      <c r="C67337"/>
      <c r="E67337"/>
      <c r="F67337"/>
    </row>
    <row r="67338" spans="1:6" x14ac:dyDescent="0.25">
      <c r="A67338"/>
      <c r="B67338"/>
      <c r="C67338"/>
      <c r="E67338"/>
      <c r="F67338"/>
    </row>
    <row r="67339" spans="1:6" x14ac:dyDescent="0.25">
      <c r="A67339"/>
      <c r="B67339"/>
      <c r="C67339"/>
      <c r="E67339"/>
      <c r="F67339"/>
    </row>
    <row r="67340" spans="1:6" x14ac:dyDescent="0.25">
      <c r="A67340"/>
      <c r="B67340"/>
      <c r="C67340"/>
      <c r="E67340"/>
      <c r="F67340"/>
    </row>
    <row r="67341" spans="1:6" x14ac:dyDescent="0.25">
      <c r="A67341"/>
      <c r="B67341"/>
      <c r="C67341"/>
      <c r="E67341"/>
      <c r="F67341"/>
    </row>
    <row r="67342" spans="1:6" x14ac:dyDescent="0.25">
      <c r="A67342"/>
      <c r="B67342"/>
      <c r="C67342"/>
      <c r="E67342"/>
      <c r="F67342"/>
    </row>
    <row r="67343" spans="1:6" x14ac:dyDescent="0.25">
      <c r="A67343"/>
      <c r="B67343"/>
      <c r="C67343"/>
      <c r="E67343"/>
      <c r="F67343"/>
    </row>
    <row r="67344" spans="1:6" x14ac:dyDescent="0.25">
      <c r="A67344"/>
      <c r="B67344"/>
      <c r="C67344"/>
      <c r="E67344"/>
      <c r="F67344"/>
    </row>
    <row r="67345" spans="1:6" x14ac:dyDescent="0.25">
      <c r="A67345"/>
      <c r="B67345"/>
      <c r="C67345"/>
      <c r="E67345"/>
      <c r="F67345"/>
    </row>
    <row r="67346" spans="1:6" x14ac:dyDescent="0.25">
      <c r="A67346"/>
      <c r="B67346"/>
      <c r="C67346"/>
      <c r="E67346"/>
      <c r="F67346"/>
    </row>
    <row r="67347" spans="1:6" x14ac:dyDescent="0.25">
      <c r="A67347"/>
      <c r="B67347"/>
      <c r="C67347"/>
      <c r="E67347"/>
      <c r="F67347"/>
    </row>
    <row r="67348" spans="1:6" x14ac:dyDescent="0.25">
      <c r="A67348"/>
      <c r="B67348"/>
      <c r="C67348"/>
      <c r="E67348"/>
      <c r="F67348"/>
    </row>
    <row r="67349" spans="1:6" x14ac:dyDescent="0.25">
      <c r="A67349"/>
      <c r="B67349"/>
      <c r="C67349"/>
      <c r="E67349"/>
      <c r="F67349"/>
    </row>
    <row r="67350" spans="1:6" x14ac:dyDescent="0.25">
      <c r="A67350"/>
      <c r="B67350"/>
      <c r="C67350"/>
      <c r="E67350"/>
      <c r="F67350"/>
    </row>
    <row r="67351" spans="1:6" x14ac:dyDescent="0.25">
      <c r="A67351"/>
      <c r="B67351"/>
      <c r="C67351"/>
      <c r="E67351"/>
      <c r="F67351"/>
    </row>
    <row r="67352" spans="1:6" x14ac:dyDescent="0.25">
      <c r="A67352"/>
      <c r="B67352"/>
      <c r="C67352"/>
      <c r="E67352"/>
      <c r="F67352"/>
    </row>
    <row r="67353" spans="1:6" x14ac:dyDescent="0.25">
      <c r="A67353"/>
      <c r="B67353"/>
      <c r="C67353"/>
      <c r="E67353"/>
      <c r="F67353"/>
    </row>
    <row r="67354" spans="1:6" x14ac:dyDescent="0.25">
      <c r="A67354"/>
      <c r="B67354"/>
      <c r="C67354"/>
      <c r="E67354"/>
      <c r="F67354"/>
    </row>
    <row r="67355" spans="1:6" x14ac:dyDescent="0.25">
      <c r="A67355"/>
      <c r="B67355"/>
      <c r="C67355"/>
      <c r="E67355"/>
      <c r="F67355"/>
    </row>
    <row r="67356" spans="1:6" x14ac:dyDescent="0.25">
      <c r="A67356"/>
      <c r="B67356"/>
      <c r="C67356"/>
      <c r="E67356"/>
      <c r="F67356"/>
    </row>
    <row r="67357" spans="1:6" x14ac:dyDescent="0.25">
      <c r="A67357"/>
      <c r="B67357"/>
      <c r="C67357"/>
      <c r="E67357"/>
      <c r="F67357"/>
    </row>
    <row r="67358" spans="1:6" x14ac:dyDescent="0.25">
      <c r="A67358"/>
      <c r="B67358"/>
      <c r="C67358"/>
      <c r="E67358"/>
      <c r="F67358"/>
    </row>
    <row r="67359" spans="1:6" x14ac:dyDescent="0.25">
      <c r="A67359"/>
      <c r="B67359"/>
      <c r="C67359"/>
      <c r="E67359"/>
      <c r="F67359"/>
    </row>
    <row r="67360" spans="1:6" x14ac:dyDescent="0.25">
      <c r="A67360"/>
      <c r="B67360"/>
      <c r="C67360"/>
      <c r="E67360"/>
      <c r="F67360"/>
    </row>
    <row r="67361" spans="1:6" x14ac:dyDescent="0.25">
      <c r="A67361"/>
      <c r="B67361"/>
      <c r="C67361"/>
      <c r="E67361"/>
      <c r="F67361"/>
    </row>
    <row r="67362" spans="1:6" x14ac:dyDescent="0.25">
      <c r="A67362"/>
      <c r="B67362"/>
      <c r="C67362"/>
      <c r="E67362"/>
      <c r="F67362"/>
    </row>
    <row r="67363" spans="1:6" x14ac:dyDescent="0.25">
      <c r="A67363"/>
      <c r="B67363"/>
      <c r="C67363"/>
      <c r="E67363"/>
      <c r="F67363"/>
    </row>
    <row r="67364" spans="1:6" x14ac:dyDescent="0.25">
      <c r="A67364"/>
      <c r="B67364"/>
      <c r="C67364"/>
      <c r="E67364"/>
      <c r="F67364"/>
    </row>
    <row r="67365" spans="1:6" x14ac:dyDescent="0.25">
      <c r="A67365"/>
      <c r="B67365"/>
      <c r="C67365"/>
      <c r="E67365"/>
      <c r="F67365"/>
    </row>
    <row r="67366" spans="1:6" x14ac:dyDescent="0.25">
      <c r="A67366"/>
      <c r="B67366"/>
      <c r="C67366"/>
      <c r="E67366"/>
      <c r="F67366"/>
    </row>
    <row r="67367" spans="1:6" x14ac:dyDescent="0.25">
      <c r="A67367"/>
      <c r="B67367"/>
      <c r="C67367"/>
      <c r="E67367"/>
      <c r="F67367"/>
    </row>
    <row r="67368" spans="1:6" x14ac:dyDescent="0.25">
      <c r="A67368"/>
      <c r="B67368"/>
      <c r="C67368"/>
      <c r="E67368"/>
      <c r="F67368"/>
    </row>
    <row r="67369" spans="1:6" x14ac:dyDescent="0.25">
      <c r="A67369"/>
      <c r="B67369"/>
      <c r="C67369"/>
      <c r="E67369"/>
      <c r="F67369"/>
    </row>
    <row r="67370" spans="1:6" x14ac:dyDescent="0.25">
      <c r="A67370"/>
      <c r="B67370"/>
      <c r="C67370"/>
      <c r="E67370"/>
      <c r="F67370"/>
    </row>
    <row r="67371" spans="1:6" x14ac:dyDescent="0.25">
      <c r="A67371"/>
      <c r="B67371"/>
      <c r="C67371"/>
      <c r="E67371"/>
      <c r="F67371"/>
    </row>
    <row r="67372" spans="1:6" x14ac:dyDescent="0.25">
      <c r="A67372"/>
      <c r="B67372"/>
      <c r="C67372"/>
      <c r="E67372"/>
      <c r="F67372"/>
    </row>
    <row r="67373" spans="1:6" x14ac:dyDescent="0.25">
      <c r="A67373"/>
      <c r="B67373"/>
      <c r="C67373"/>
      <c r="E67373"/>
      <c r="F67373"/>
    </row>
    <row r="67374" spans="1:6" x14ac:dyDescent="0.25">
      <c r="A67374"/>
      <c r="B67374"/>
      <c r="C67374"/>
      <c r="E67374"/>
      <c r="F67374"/>
    </row>
    <row r="67375" spans="1:6" x14ac:dyDescent="0.25">
      <c r="A67375"/>
      <c r="B67375"/>
      <c r="C67375"/>
      <c r="E67375"/>
      <c r="F67375"/>
    </row>
    <row r="67376" spans="1:6" x14ac:dyDescent="0.25">
      <c r="A67376"/>
      <c r="B67376"/>
      <c r="C67376"/>
      <c r="E67376"/>
      <c r="F67376"/>
    </row>
    <row r="67377" spans="1:6" x14ac:dyDescent="0.25">
      <c r="A67377"/>
      <c r="B67377"/>
      <c r="C67377"/>
      <c r="E67377"/>
      <c r="F67377"/>
    </row>
    <row r="67378" spans="1:6" x14ac:dyDescent="0.25">
      <c r="A67378"/>
      <c r="B67378"/>
      <c r="C67378"/>
      <c r="E67378"/>
      <c r="F67378"/>
    </row>
    <row r="67379" spans="1:6" x14ac:dyDescent="0.25">
      <c r="A67379"/>
      <c r="B67379"/>
      <c r="C67379"/>
      <c r="E67379"/>
      <c r="F67379"/>
    </row>
    <row r="67380" spans="1:6" x14ac:dyDescent="0.25">
      <c r="A67380"/>
      <c r="B67380"/>
      <c r="C67380"/>
      <c r="E67380"/>
      <c r="F67380"/>
    </row>
    <row r="67381" spans="1:6" x14ac:dyDescent="0.25">
      <c r="A67381"/>
      <c r="B67381"/>
      <c r="C67381"/>
      <c r="E67381"/>
      <c r="F67381"/>
    </row>
    <row r="67382" spans="1:6" x14ac:dyDescent="0.25">
      <c r="A67382"/>
      <c r="B67382"/>
      <c r="C67382"/>
      <c r="E67382"/>
      <c r="F67382"/>
    </row>
    <row r="67383" spans="1:6" x14ac:dyDescent="0.25">
      <c r="A67383"/>
      <c r="B67383"/>
      <c r="C67383"/>
      <c r="E67383"/>
      <c r="F67383"/>
    </row>
    <row r="67384" spans="1:6" x14ac:dyDescent="0.25">
      <c r="A67384"/>
      <c r="B67384"/>
      <c r="C67384"/>
      <c r="E67384"/>
      <c r="F67384"/>
    </row>
    <row r="67385" spans="1:6" x14ac:dyDescent="0.25">
      <c r="A67385"/>
      <c r="B67385"/>
      <c r="C67385"/>
      <c r="E67385"/>
      <c r="F67385"/>
    </row>
    <row r="67386" spans="1:6" x14ac:dyDescent="0.25">
      <c r="A67386"/>
      <c r="B67386"/>
      <c r="C67386"/>
      <c r="E67386"/>
      <c r="F67386"/>
    </row>
    <row r="67387" spans="1:6" x14ac:dyDescent="0.25">
      <c r="A67387"/>
      <c r="B67387"/>
      <c r="C67387"/>
      <c r="E67387"/>
      <c r="F67387"/>
    </row>
    <row r="67388" spans="1:6" x14ac:dyDescent="0.25">
      <c r="A67388"/>
      <c r="B67388"/>
      <c r="C67388"/>
      <c r="E67388"/>
      <c r="F67388"/>
    </row>
    <row r="67389" spans="1:6" x14ac:dyDescent="0.25">
      <c r="A67389"/>
      <c r="B67389"/>
      <c r="C67389"/>
      <c r="E67389"/>
      <c r="F67389"/>
    </row>
    <row r="67390" spans="1:6" x14ac:dyDescent="0.25">
      <c r="A67390"/>
      <c r="B67390"/>
      <c r="C67390"/>
      <c r="E67390"/>
      <c r="F67390"/>
    </row>
    <row r="67391" spans="1:6" x14ac:dyDescent="0.25">
      <c r="A67391"/>
      <c r="B67391"/>
      <c r="C67391"/>
      <c r="E67391"/>
      <c r="F67391"/>
    </row>
    <row r="67392" spans="1:6" x14ac:dyDescent="0.25">
      <c r="A67392"/>
      <c r="B67392"/>
      <c r="C67392"/>
      <c r="E67392"/>
      <c r="F67392"/>
    </row>
    <row r="67393" spans="1:6" x14ac:dyDescent="0.25">
      <c r="A67393"/>
      <c r="B67393"/>
      <c r="C67393"/>
      <c r="E67393"/>
      <c r="F67393"/>
    </row>
    <row r="67394" spans="1:6" x14ac:dyDescent="0.25">
      <c r="A67394"/>
      <c r="B67394"/>
      <c r="C67394"/>
      <c r="E67394"/>
      <c r="F67394"/>
    </row>
    <row r="67395" spans="1:6" x14ac:dyDescent="0.25">
      <c r="A67395"/>
      <c r="B67395"/>
      <c r="C67395"/>
      <c r="E67395"/>
      <c r="F67395"/>
    </row>
    <row r="67396" spans="1:6" x14ac:dyDescent="0.25">
      <c r="A67396"/>
      <c r="B67396"/>
      <c r="C67396"/>
      <c r="E67396"/>
      <c r="F67396"/>
    </row>
    <row r="67397" spans="1:6" x14ac:dyDescent="0.25">
      <c r="A67397"/>
      <c r="B67397"/>
      <c r="C67397"/>
      <c r="E67397"/>
      <c r="F67397"/>
    </row>
    <row r="67398" spans="1:6" x14ac:dyDescent="0.25">
      <c r="A67398"/>
      <c r="B67398"/>
      <c r="C67398"/>
      <c r="E67398"/>
      <c r="F67398"/>
    </row>
    <row r="67399" spans="1:6" x14ac:dyDescent="0.25">
      <c r="A67399"/>
      <c r="B67399"/>
      <c r="C67399"/>
      <c r="E67399"/>
      <c r="F67399"/>
    </row>
    <row r="67400" spans="1:6" x14ac:dyDescent="0.25">
      <c r="A67400"/>
      <c r="B67400"/>
      <c r="C67400"/>
      <c r="E67400"/>
      <c r="F67400"/>
    </row>
    <row r="67401" spans="1:6" x14ac:dyDescent="0.25">
      <c r="A67401"/>
      <c r="B67401"/>
      <c r="C67401"/>
      <c r="E67401"/>
      <c r="F67401"/>
    </row>
    <row r="67402" spans="1:6" x14ac:dyDescent="0.25">
      <c r="A67402"/>
      <c r="B67402"/>
      <c r="C67402"/>
      <c r="E67402"/>
      <c r="F67402"/>
    </row>
    <row r="67403" spans="1:6" x14ac:dyDescent="0.25">
      <c r="A67403"/>
      <c r="B67403"/>
      <c r="C67403"/>
      <c r="E67403"/>
      <c r="F67403"/>
    </row>
    <row r="67404" spans="1:6" x14ac:dyDescent="0.25">
      <c r="A67404"/>
      <c r="B67404"/>
      <c r="C67404"/>
      <c r="E67404"/>
      <c r="F67404"/>
    </row>
    <row r="67405" spans="1:6" x14ac:dyDescent="0.25">
      <c r="A67405"/>
      <c r="B67405"/>
      <c r="C67405"/>
      <c r="E67405"/>
      <c r="F67405"/>
    </row>
    <row r="67406" spans="1:6" x14ac:dyDescent="0.25">
      <c r="A67406"/>
      <c r="B67406"/>
      <c r="C67406"/>
      <c r="E67406"/>
      <c r="F67406"/>
    </row>
    <row r="67407" spans="1:6" x14ac:dyDescent="0.25">
      <c r="A67407"/>
      <c r="B67407"/>
      <c r="C67407"/>
      <c r="E67407"/>
      <c r="F67407"/>
    </row>
    <row r="67408" spans="1:6" x14ac:dyDescent="0.25">
      <c r="A67408"/>
      <c r="B67408"/>
      <c r="C67408"/>
      <c r="E67408"/>
      <c r="F67408"/>
    </row>
    <row r="67409" spans="1:6" x14ac:dyDescent="0.25">
      <c r="A67409"/>
      <c r="B67409"/>
      <c r="C67409"/>
      <c r="E67409"/>
      <c r="F67409"/>
    </row>
    <row r="67410" spans="1:6" x14ac:dyDescent="0.25">
      <c r="A67410"/>
      <c r="B67410"/>
      <c r="C67410"/>
      <c r="E67410"/>
      <c r="F67410"/>
    </row>
    <row r="67411" spans="1:6" x14ac:dyDescent="0.25">
      <c r="A67411"/>
      <c r="B67411"/>
      <c r="C67411"/>
      <c r="E67411"/>
      <c r="F67411"/>
    </row>
    <row r="67412" spans="1:6" x14ac:dyDescent="0.25">
      <c r="A67412"/>
      <c r="B67412"/>
      <c r="C67412"/>
      <c r="E67412"/>
      <c r="F67412"/>
    </row>
    <row r="67413" spans="1:6" x14ac:dyDescent="0.25">
      <c r="A67413"/>
      <c r="B67413"/>
      <c r="C67413"/>
      <c r="E67413"/>
      <c r="F67413"/>
    </row>
    <row r="67414" spans="1:6" x14ac:dyDescent="0.25">
      <c r="A67414"/>
      <c r="B67414"/>
      <c r="C67414"/>
      <c r="E67414"/>
      <c r="F67414"/>
    </row>
    <row r="67415" spans="1:6" x14ac:dyDescent="0.25">
      <c r="A67415"/>
      <c r="B67415"/>
      <c r="C67415"/>
      <c r="E67415"/>
      <c r="F67415"/>
    </row>
    <row r="67416" spans="1:6" x14ac:dyDescent="0.25">
      <c r="A67416"/>
      <c r="B67416"/>
      <c r="C67416"/>
      <c r="E67416"/>
      <c r="F67416"/>
    </row>
    <row r="67417" spans="1:6" x14ac:dyDescent="0.25">
      <c r="A67417"/>
      <c r="B67417"/>
      <c r="C67417"/>
      <c r="E67417"/>
      <c r="F67417"/>
    </row>
    <row r="67418" spans="1:6" x14ac:dyDescent="0.25">
      <c r="A67418"/>
      <c r="B67418"/>
      <c r="C67418"/>
      <c r="E67418"/>
      <c r="F67418"/>
    </row>
    <row r="67419" spans="1:6" x14ac:dyDescent="0.25">
      <c r="A67419"/>
      <c r="B67419"/>
      <c r="C67419"/>
      <c r="E67419"/>
      <c r="F67419"/>
    </row>
    <row r="67420" spans="1:6" x14ac:dyDescent="0.25">
      <c r="A67420"/>
      <c r="B67420"/>
      <c r="C67420"/>
      <c r="E67420"/>
      <c r="F67420"/>
    </row>
    <row r="67421" spans="1:6" x14ac:dyDescent="0.25">
      <c r="A67421"/>
      <c r="B67421"/>
      <c r="C67421"/>
      <c r="E67421"/>
      <c r="F67421"/>
    </row>
    <row r="67422" spans="1:6" x14ac:dyDescent="0.25">
      <c r="A67422"/>
      <c r="B67422"/>
      <c r="C67422"/>
      <c r="E67422"/>
      <c r="F67422"/>
    </row>
    <row r="67423" spans="1:6" x14ac:dyDescent="0.25">
      <c r="A67423"/>
      <c r="B67423"/>
      <c r="C67423"/>
      <c r="E67423"/>
      <c r="F67423"/>
    </row>
    <row r="67424" spans="1:6" x14ac:dyDescent="0.25">
      <c r="A67424"/>
      <c r="B67424"/>
      <c r="C67424"/>
      <c r="E67424"/>
      <c r="F67424"/>
    </row>
    <row r="67425" spans="1:6" x14ac:dyDescent="0.25">
      <c r="A67425"/>
      <c r="B67425"/>
      <c r="C67425"/>
      <c r="E67425"/>
      <c r="F67425"/>
    </row>
    <row r="67426" spans="1:6" x14ac:dyDescent="0.25">
      <c r="A67426"/>
      <c r="B67426"/>
      <c r="C67426"/>
      <c r="E67426"/>
      <c r="F67426"/>
    </row>
    <row r="67427" spans="1:6" x14ac:dyDescent="0.25">
      <c r="A67427"/>
      <c r="B67427"/>
      <c r="C67427"/>
      <c r="E67427"/>
      <c r="F67427"/>
    </row>
    <row r="67428" spans="1:6" x14ac:dyDescent="0.25">
      <c r="A67428"/>
      <c r="B67428"/>
      <c r="C67428"/>
      <c r="E67428"/>
      <c r="F67428"/>
    </row>
    <row r="67429" spans="1:6" x14ac:dyDescent="0.25">
      <c r="A67429"/>
      <c r="B67429"/>
      <c r="C67429"/>
      <c r="E67429"/>
      <c r="F67429"/>
    </row>
    <row r="67430" spans="1:6" x14ac:dyDescent="0.25">
      <c r="A67430"/>
      <c r="B67430"/>
      <c r="C67430"/>
      <c r="E67430"/>
      <c r="F67430"/>
    </row>
    <row r="67431" spans="1:6" x14ac:dyDescent="0.25">
      <c r="A67431"/>
      <c r="B67431"/>
      <c r="C67431"/>
      <c r="E67431"/>
      <c r="F67431"/>
    </row>
    <row r="67432" spans="1:6" x14ac:dyDescent="0.25">
      <c r="A67432"/>
      <c r="B67432"/>
      <c r="C67432"/>
      <c r="E67432"/>
      <c r="F67432"/>
    </row>
    <row r="67433" spans="1:6" x14ac:dyDescent="0.25">
      <c r="A67433"/>
      <c r="B67433"/>
      <c r="C67433"/>
      <c r="E67433"/>
      <c r="F67433"/>
    </row>
    <row r="67434" spans="1:6" x14ac:dyDescent="0.25">
      <c r="A67434"/>
      <c r="B67434"/>
      <c r="C67434"/>
      <c r="E67434"/>
      <c r="F67434"/>
    </row>
    <row r="67435" spans="1:6" x14ac:dyDescent="0.25">
      <c r="A67435"/>
      <c r="B67435"/>
      <c r="C67435"/>
      <c r="E67435"/>
      <c r="F67435"/>
    </row>
    <row r="67436" spans="1:6" x14ac:dyDescent="0.25">
      <c r="A67436"/>
      <c r="B67436"/>
      <c r="C67436"/>
      <c r="E67436"/>
      <c r="F67436"/>
    </row>
    <row r="67437" spans="1:6" x14ac:dyDescent="0.25">
      <c r="A67437"/>
      <c r="B67437"/>
      <c r="C67437"/>
      <c r="E67437"/>
      <c r="F67437"/>
    </row>
    <row r="67438" spans="1:6" x14ac:dyDescent="0.25">
      <c r="A67438"/>
      <c r="B67438"/>
      <c r="C67438"/>
      <c r="E67438"/>
      <c r="F67438"/>
    </row>
    <row r="67439" spans="1:6" x14ac:dyDescent="0.25">
      <c r="A67439"/>
      <c r="B67439"/>
      <c r="C67439"/>
      <c r="E67439"/>
      <c r="F67439"/>
    </row>
    <row r="67440" spans="1:6" x14ac:dyDescent="0.25">
      <c r="A67440"/>
      <c r="B67440"/>
      <c r="C67440"/>
      <c r="E67440"/>
      <c r="F67440"/>
    </row>
    <row r="67441" spans="1:6" x14ac:dyDescent="0.25">
      <c r="A67441"/>
      <c r="B67441"/>
      <c r="C67441"/>
      <c r="E67441"/>
      <c r="F67441"/>
    </row>
    <row r="67442" spans="1:6" x14ac:dyDescent="0.25">
      <c r="A67442"/>
      <c r="B67442"/>
      <c r="C67442"/>
      <c r="E67442"/>
      <c r="F67442"/>
    </row>
    <row r="67443" spans="1:6" x14ac:dyDescent="0.25">
      <c r="A67443"/>
      <c r="B67443"/>
      <c r="C67443"/>
      <c r="E67443"/>
      <c r="F67443"/>
    </row>
    <row r="67444" spans="1:6" x14ac:dyDescent="0.25">
      <c r="A67444"/>
      <c r="B67444"/>
      <c r="C67444"/>
      <c r="E67444"/>
      <c r="F67444"/>
    </row>
    <row r="67445" spans="1:6" x14ac:dyDescent="0.25">
      <c r="A67445"/>
      <c r="B67445"/>
      <c r="C67445"/>
      <c r="E67445"/>
      <c r="F67445"/>
    </row>
    <row r="67446" spans="1:6" x14ac:dyDescent="0.25">
      <c r="A67446"/>
      <c r="B67446"/>
      <c r="C67446"/>
      <c r="E67446"/>
      <c r="F67446"/>
    </row>
    <row r="67447" spans="1:6" x14ac:dyDescent="0.25">
      <c r="A67447"/>
      <c r="B67447"/>
      <c r="C67447"/>
      <c r="E67447"/>
      <c r="F67447"/>
    </row>
    <row r="67448" spans="1:6" x14ac:dyDescent="0.25">
      <c r="A67448"/>
      <c r="B67448"/>
      <c r="C67448"/>
      <c r="E67448"/>
      <c r="F67448"/>
    </row>
    <row r="67449" spans="1:6" x14ac:dyDescent="0.25">
      <c r="A67449"/>
      <c r="B67449"/>
      <c r="C67449"/>
      <c r="E67449"/>
      <c r="F67449"/>
    </row>
    <row r="67450" spans="1:6" x14ac:dyDescent="0.25">
      <c r="A67450"/>
      <c r="B67450"/>
      <c r="C67450"/>
      <c r="E67450"/>
      <c r="F67450"/>
    </row>
    <row r="67451" spans="1:6" x14ac:dyDescent="0.25">
      <c r="A67451"/>
      <c r="B67451"/>
      <c r="C67451"/>
      <c r="E67451"/>
      <c r="F67451"/>
    </row>
    <row r="67452" spans="1:6" x14ac:dyDescent="0.25">
      <c r="A67452"/>
      <c r="B67452"/>
      <c r="C67452"/>
      <c r="E67452"/>
      <c r="F67452"/>
    </row>
    <row r="67453" spans="1:6" x14ac:dyDescent="0.25">
      <c r="A67453"/>
      <c r="B67453"/>
      <c r="C67453"/>
      <c r="E67453"/>
      <c r="F67453"/>
    </row>
    <row r="67454" spans="1:6" x14ac:dyDescent="0.25">
      <c r="A67454"/>
      <c r="B67454"/>
      <c r="C67454"/>
      <c r="E67454"/>
      <c r="F67454"/>
    </row>
    <row r="67455" spans="1:6" x14ac:dyDescent="0.25">
      <c r="A67455"/>
      <c r="B67455"/>
      <c r="C67455"/>
      <c r="E67455"/>
      <c r="F67455"/>
    </row>
    <row r="67456" spans="1:6" x14ac:dyDescent="0.25">
      <c r="A67456"/>
      <c r="B67456"/>
      <c r="C67456"/>
      <c r="E67456"/>
      <c r="F67456"/>
    </row>
    <row r="67457" spans="1:6" x14ac:dyDescent="0.25">
      <c r="A67457"/>
      <c r="B67457"/>
      <c r="C67457"/>
      <c r="E67457"/>
      <c r="F67457"/>
    </row>
    <row r="67458" spans="1:6" x14ac:dyDescent="0.25">
      <c r="A67458"/>
      <c r="B67458"/>
      <c r="C67458"/>
      <c r="E67458"/>
      <c r="F67458"/>
    </row>
    <row r="67459" spans="1:6" x14ac:dyDescent="0.25">
      <c r="A67459"/>
      <c r="B67459"/>
      <c r="C67459"/>
      <c r="E67459"/>
      <c r="F67459"/>
    </row>
    <row r="67460" spans="1:6" x14ac:dyDescent="0.25">
      <c r="A67460"/>
      <c r="B67460"/>
      <c r="C67460"/>
      <c r="E67460"/>
      <c r="F67460"/>
    </row>
    <row r="67461" spans="1:6" x14ac:dyDescent="0.25">
      <c r="A67461"/>
      <c r="B67461"/>
      <c r="C67461"/>
      <c r="E67461"/>
      <c r="F67461"/>
    </row>
    <row r="67462" spans="1:6" x14ac:dyDescent="0.25">
      <c r="A67462"/>
      <c r="B67462"/>
      <c r="C67462"/>
      <c r="E67462"/>
      <c r="F67462"/>
    </row>
    <row r="67463" spans="1:6" x14ac:dyDescent="0.25">
      <c r="A67463"/>
      <c r="B67463"/>
      <c r="C67463"/>
      <c r="E67463"/>
      <c r="F67463"/>
    </row>
    <row r="67464" spans="1:6" x14ac:dyDescent="0.25">
      <c r="A67464"/>
      <c r="B67464"/>
      <c r="C67464"/>
      <c r="E67464"/>
      <c r="F67464"/>
    </row>
    <row r="67465" spans="1:6" x14ac:dyDescent="0.25">
      <c r="A67465"/>
      <c r="B67465"/>
      <c r="C67465"/>
      <c r="E67465"/>
      <c r="F67465"/>
    </row>
    <row r="67466" spans="1:6" x14ac:dyDescent="0.25">
      <c r="A67466"/>
      <c r="B67466"/>
      <c r="C67466"/>
      <c r="E67466"/>
      <c r="F67466"/>
    </row>
    <row r="67467" spans="1:6" x14ac:dyDescent="0.25">
      <c r="A67467"/>
      <c r="B67467"/>
      <c r="C67467"/>
      <c r="E67467"/>
      <c r="F67467"/>
    </row>
    <row r="67468" spans="1:6" x14ac:dyDescent="0.25">
      <c r="A67468"/>
      <c r="B67468"/>
      <c r="C67468"/>
      <c r="E67468"/>
      <c r="F67468"/>
    </row>
    <row r="67469" spans="1:6" x14ac:dyDescent="0.25">
      <c r="A67469"/>
      <c r="B67469"/>
      <c r="C67469"/>
      <c r="E67469"/>
      <c r="F67469"/>
    </row>
    <row r="67470" spans="1:6" x14ac:dyDescent="0.25">
      <c r="A67470"/>
      <c r="B67470"/>
      <c r="C67470"/>
      <c r="E67470"/>
      <c r="F67470"/>
    </row>
    <row r="67471" spans="1:6" x14ac:dyDescent="0.25">
      <c r="A67471"/>
      <c r="B67471"/>
      <c r="C67471"/>
      <c r="E67471"/>
      <c r="F67471"/>
    </row>
    <row r="67472" spans="1:6" x14ac:dyDescent="0.25">
      <c r="A67472"/>
      <c r="B67472"/>
      <c r="C67472"/>
      <c r="E67472"/>
      <c r="F67472"/>
    </row>
    <row r="67473" spans="1:6" x14ac:dyDescent="0.25">
      <c r="A67473"/>
      <c r="B67473"/>
      <c r="C67473"/>
      <c r="E67473"/>
      <c r="F67473"/>
    </row>
    <row r="67474" spans="1:6" x14ac:dyDescent="0.25">
      <c r="A67474"/>
      <c r="B67474"/>
      <c r="C67474"/>
      <c r="E67474"/>
      <c r="F67474"/>
    </row>
    <row r="67475" spans="1:6" x14ac:dyDescent="0.25">
      <c r="A67475"/>
      <c r="B67475"/>
      <c r="C67475"/>
      <c r="E67475"/>
      <c r="F67475"/>
    </row>
    <row r="67476" spans="1:6" x14ac:dyDescent="0.25">
      <c r="A67476"/>
      <c r="B67476"/>
      <c r="C67476"/>
      <c r="E67476"/>
      <c r="F67476"/>
    </row>
    <row r="67477" spans="1:6" x14ac:dyDescent="0.25">
      <c r="A67477"/>
      <c r="B67477"/>
      <c r="C67477"/>
      <c r="E67477"/>
      <c r="F67477"/>
    </row>
    <row r="67478" spans="1:6" x14ac:dyDescent="0.25">
      <c r="A67478"/>
      <c r="B67478"/>
      <c r="C67478"/>
      <c r="E67478"/>
      <c r="F67478"/>
    </row>
    <row r="67479" spans="1:6" x14ac:dyDescent="0.25">
      <c r="A67479"/>
      <c r="B67479"/>
      <c r="C67479"/>
      <c r="E67479"/>
      <c r="F67479"/>
    </row>
    <row r="67480" spans="1:6" x14ac:dyDescent="0.25">
      <c r="A67480"/>
      <c r="B67480"/>
      <c r="C67480"/>
      <c r="E67480"/>
      <c r="F67480"/>
    </row>
    <row r="67481" spans="1:6" x14ac:dyDescent="0.25">
      <c r="A67481"/>
      <c r="B67481"/>
      <c r="C67481"/>
      <c r="E67481"/>
      <c r="F67481"/>
    </row>
    <row r="67482" spans="1:6" x14ac:dyDescent="0.25">
      <c r="A67482"/>
      <c r="B67482"/>
      <c r="C67482"/>
      <c r="E67482"/>
      <c r="F67482"/>
    </row>
    <row r="67483" spans="1:6" x14ac:dyDescent="0.25">
      <c r="A67483"/>
      <c r="B67483"/>
      <c r="C67483"/>
      <c r="E67483"/>
      <c r="F67483"/>
    </row>
    <row r="67484" spans="1:6" x14ac:dyDescent="0.25">
      <c r="A67484"/>
      <c r="B67484"/>
      <c r="C67484"/>
      <c r="E67484"/>
      <c r="F67484"/>
    </row>
    <row r="67485" spans="1:6" x14ac:dyDescent="0.25">
      <c r="A67485"/>
      <c r="B67485"/>
      <c r="C67485"/>
      <c r="E67485"/>
      <c r="F67485"/>
    </row>
    <row r="67486" spans="1:6" x14ac:dyDescent="0.25">
      <c r="A67486"/>
      <c r="B67486"/>
      <c r="C67486"/>
      <c r="E67486"/>
      <c r="F67486"/>
    </row>
    <row r="67487" spans="1:6" x14ac:dyDescent="0.25">
      <c r="A67487"/>
      <c r="B67487"/>
      <c r="C67487"/>
      <c r="E67487"/>
      <c r="F67487"/>
    </row>
    <row r="67488" spans="1:6" x14ac:dyDescent="0.25">
      <c r="A67488"/>
      <c r="B67488"/>
      <c r="C67488"/>
      <c r="E67488"/>
      <c r="F67488"/>
    </row>
    <row r="67489" spans="1:6" x14ac:dyDescent="0.25">
      <c r="A67489"/>
      <c r="B67489"/>
      <c r="C67489"/>
      <c r="E67489"/>
      <c r="F67489"/>
    </row>
    <row r="67490" spans="1:6" x14ac:dyDescent="0.25">
      <c r="A67490"/>
      <c r="B67490"/>
      <c r="C67490"/>
      <c r="E67490"/>
      <c r="F67490"/>
    </row>
    <row r="67491" spans="1:6" x14ac:dyDescent="0.25">
      <c r="A67491"/>
      <c r="B67491"/>
      <c r="C67491"/>
      <c r="E67491"/>
      <c r="F67491"/>
    </row>
    <row r="67492" spans="1:6" x14ac:dyDescent="0.25">
      <c r="A67492"/>
      <c r="B67492"/>
      <c r="C67492"/>
      <c r="E67492"/>
      <c r="F67492"/>
    </row>
    <row r="67493" spans="1:6" x14ac:dyDescent="0.25">
      <c r="A67493"/>
      <c r="B67493"/>
      <c r="C67493"/>
      <c r="E67493"/>
      <c r="F67493"/>
    </row>
    <row r="67494" spans="1:6" x14ac:dyDescent="0.25">
      <c r="A67494"/>
      <c r="B67494"/>
      <c r="C67494"/>
      <c r="E67494"/>
      <c r="F67494"/>
    </row>
    <row r="67495" spans="1:6" x14ac:dyDescent="0.25">
      <c r="A67495"/>
      <c r="B67495"/>
      <c r="C67495"/>
      <c r="E67495"/>
      <c r="F67495"/>
    </row>
    <row r="67496" spans="1:6" x14ac:dyDescent="0.25">
      <c r="A67496"/>
      <c r="B67496"/>
      <c r="C67496"/>
      <c r="E67496"/>
      <c r="F67496"/>
    </row>
    <row r="67497" spans="1:6" x14ac:dyDescent="0.25">
      <c r="A67497"/>
      <c r="B67497"/>
      <c r="C67497"/>
      <c r="E67497"/>
      <c r="F67497"/>
    </row>
    <row r="67498" spans="1:6" x14ac:dyDescent="0.25">
      <c r="A67498"/>
      <c r="B67498"/>
      <c r="C67498"/>
      <c r="E67498"/>
      <c r="F67498"/>
    </row>
    <row r="67499" spans="1:6" x14ac:dyDescent="0.25">
      <c r="A67499"/>
      <c r="B67499"/>
      <c r="C67499"/>
      <c r="E67499"/>
      <c r="F67499"/>
    </row>
    <row r="67500" spans="1:6" x14ac:dyDescent="0.25">
      <c r="A67500"/>
      <c r="B67500"/>
      <c r="C67500"/>
      <c r="E67500"/>
      <c r="F67500"/>
    </row>
    <row r="67501" spans="1:6" x14ac:dyDescent="0.25">
      <c r="A67501"/>
      <c r="B67501"/>
      <c r="C67501"/>
      <c r="E67501"/>
      <c r="F67501"/>
    </row>
    <row r="67502" spans="1:6" x14ac:dyDescent="0.25">
      <c r="A67502"/>
      <c r="B67502"/>
      <c r="C67502"/>
      <c r="E67502"/>
      <c r="F67502"/>
    </row>
    <row r="67503" spans="1:6" x14ac:dyDescent="0.25">
      <c r="A67503"/>
      <c r="B67503"/>
      <c r="C67503"/>
      <c r="E67503"/>
      <c r="F67503"/>
    </row>
    <row r="67504" spans="1:6" x14ac:dyDescent="0.25">
      <c r="A67504"/>
      <c r="B67504"/>
      <c r="C67504"/>
      <c r="E67504"/>
      <c r="F67504"/>
    </row>
    <row r="67505" spans="1:6" x14ac:dyDescent="0.25">
      <c r="A67505"/>
      <c r="B67505"/>
      <c r="C67505"/>
      <c r="E67505"/>
      <c r="F67505"/>
    </row>
    <row r="67506" spans="1:6" x14ac:dyDescent="0.25">
      <c r="A67506"/>
      <c r="B67506"/>
      <c r="C67506"/>
      <c r="E67506"/>
      <c r="F67506"/>
    </row>
    <row r="67507" spans="1:6" x14ac:dyDescent="0.25">
      <c r="A67507"/>
      <c r="B67507"/>
      <c r="C67507"/>
      <c r="E67507"/>
      <c r="F67507"/>
    </row>
    <row r="67508" spans="1:6" x14ac:dyDescent="0.25">
      <c r="A67508"/>
      <c r="B67508"/>
      <c r="C67508"/>
      <c r="E67508"/>
      <c r="F67508"/>
    </row>
    <row r="67509" spans="1:6" x14ac:dyDescent="0.25">
      <c r="A67509"/>
      <c r="B67509"/>
      <c r="C67509"/>
      <c r="E67509"/>
      <c r="F67509"/>
    </row>
    <row r="67510" spans="1:6" x14ac:dyDescent="0.25">
      <c r="A67510"/>
      <c r="B67510"/>
      <c r="C67510"/>
      <c r="E67510"/>
      <c r="F67510"/>
    </row>
    <row r="67511" spans="1:6" x14ac:dyDescent="0.25">
      <c r="A67511"/>
      <c r="B67511"/>
      <c r="C67511"/>
      <c r="E67511"/>
      <c r="F67511"/>
    </row>
    <row r="67512" spans="1:6" x14ac:dyDescent="0.25">
      <c r="A67512"/>
      <c r="B67512"/>
      <c r="C67512"/>
      <c r="E67512"/>
      <c r="F67512"/>
    </row>
    <row r="67513" spans="1:6" x14ac:dyDescent="0.25">
      <c r="A67513"/>
      <c r="B67513"/>
      <c r="C67513"/>
      <c r="E67513"/>
      <c r="F67513"/>
    </row>
    <row r="67514" spans="1:6" x14ac:dyDescent="0.25">
      <c r="A67514"/>
      <c r="B67514"/>
      <c r="C67514"/>
      <c r="E67514"/>
      <c r="F67514"/>
    </row>
    <row r="67515" spans="1:6" x14ac:dyDescent="0.25">
      <c r="A67515"/>
      <c r="B67515"/>
      <c r="C67515"/>
      <c r="E67515"/>
      <c r="F67515"/>
    </row>
    <row r="67516" spans="1:6" x14ac:dyDescent="0.25">
      <c r="A67516"/>
      <c r="B67516"/>
      <c r="C67516"/>
      <c r="E67516"/>
      <c r="F67516"/>
    </row>
    <row r="67517" spans="1:6" x14ac:dyDescent="0.25">
      <c r="A67517"/>
      <c r="B67517"/>
      <c r="C67517"/>
      <c r="E67517"/>
      <c r="F67517"/>
    </row>
    <row r="67518" spans="1:6" x14ac:dyDescent="0.25">
      <c r="A67518"/>
      <c r="B67518"/>
      <c r="C67518"/>
      <c r="E67518"/>
      <c r="F67518"/>
    </row>
    <row r="67519" spans="1:6" x14ac:dyDescent="0.25">
      <c r="A67519"/>
      <c r="B67519"/>
      <c r="C67519"/>
      <c r="E67519"/>
      <c r="F67519"/>
    </row>
    <row r="67520" spans="1:6" x14ac:dyDescent="0.25">
      <c r="A67520"/>
      <c r="B67520"/>
      <c r="C67520"/>
      <c r="E67520"/>
      <c r="F67520"/>
    </row>
    <row r="67521" spans="1:6" x14ac:dyDescent="0.25">
      <c r="A67521"/>
      <c r="B67521"/>
      <c r="C67521"/>
      <c r="E67521"/>
      <c r="F67521"/>
    </row>
    <row r="67522" spans="1:6" x14ac:dyDescent="0.25">
      <c r="A67522"/>
      <c r="B67522"/>
      <c r="C67522"/>
      <c r="E67522"/>
      <c r="F67522"/>
    </row>
    <row r="67523" spans="1:6" x14ac:dyDescent="0.25">
      <c r="A67523"/>
      <c r="B67523"/>
      <c r="C67523"/>
      <c r="E67523"/>
      <c r="F67523"/>
    </row>
    <row r="67524" spans="1:6" x14ac:dyDescent="0.25">
      <c r="A67524"/>
      <c r="B67524"/>
      <c r="C67524"/>
      <c r="E67524"/>
      <c r="F67524"/>
    </row>
    <row r="67525" spans="1:6" x14ac:dyDescent="0.25">
      <c r="A67525"/>
      <c r="B67525"/>
      <c r="C67525"/>
      <c r="E67525"/>
      <c r="F67525"/>
    </row>
    <row r="67526" spans="1:6" x14ac:dyDescent="0.25">
      <c r="A67526"/>
      <c r="B67526"/>
      <c r="C67526"/>
      <c r="E67526"/>
      <c r="F67526"/>
    </row>
    <row r="67527" spans="1:6" x14ac:dyDescent="0.25">
      <c r="A67527"/>
      <c r="B67527"/>
      <c r="C67527"/>
      <c r="E67527"/>
      <c r="F67527"/>
    </row>
    <row r="67528" spans="1:6" x14ac:dyDescent="0.25">
      <c r="A67528"/>
      <c r="B67528"/>
      <c r="C67528"/>
      <c r="E67528"/>
      <c r="F67528"/>
    </row>
    <row r="67529" spans="1:6" x14ac:dyDescent="0.25">
      <c r="A67529"/>
      <c r="B67529"/>
      <c r="C67529"/>
      <c r="E67529"/>
      <c r="F67529"/>
    </row>
    <row r="67530" spans="1:6" x14ac:dyDescent="0.25">
      <c r="A67530"/>
      <c r="B67530"/>
      <c r="C67530"/>
      <c r="E67530"/>
      <c r="F67530"/>
    </row>
    <row r="67531" spans="1:6" x14ac:dyDescent="0.25">
      <c r="A67531"/>
      <c r="B67531"/>
      <c r="C67531"/>
      <c r="E67531"/>
      <c r="F67531"/>
    </row>
    <row r="67532" spans="1:6" x14ac:dyDescent="0.25">
      <c r="A67532"/>
      <c r="B67532"/>
      <c r="C67532"/>
      <c r="E67532"/>
      <c r="F67532"/>
    </row>
    <row r="67533" spans="1:6" x14ac:dyDescent="0.25">
      <c r="A67533"/>
      <c r="B67533"/>
      <c r="C67533"/>
      <c r="E67533"/>
      <c r="F67533"/>
    </row>
    <row r="67534" spans="1:6" x14ac:dyDescent="0.25">
      <c r="A67534"/>
      <c r="B67534"/>
      <c r="C67534"/>
      <c r="E67534"/>
      <c r="F67534"/>
    </row>
    <row r="67535" spans="1:6" x14ac:dyDescent="0.25">
      <c r="A67535"/>
      <c r="B67535"/>
      <c r="C67535"/>
      <c r="E67535"/>
      <c r="F67535"/>
    </row>
    <row r="67536" spans="1:6" x14ac:dyDescent="0.25">
      <c r="A67536"/>
      <c r="B67536"/>
      <c r="C67536"/>
      <c r="E67536"/>
      <c r="F67536"/>
    </row>
    <row r="67537" spans="1:6" x14ac:dyDescent="0.25">
      <c r="A67537"/>
      <c r="B67537"/>
      <c r="C67537"/>
      <c r="E67537"/>
      <c r="F67537"/>
    </row>
    <row r="67538" spans="1:6" x14ac:dyDescent="0.25">
      <c r="A67538"/>
      <c r="B67538"/>
      <c r="C67538"/>
      <c r="E67538"/>
      <c r="F67538"/>
    </row>
    <row r="67539" spans="1:6" x14ac:dyDescent="0.25">
      <c r="A67539"/>
      <c r="B67539"/>
      <c r="C67539"/>
      <c r="E67539"/>
      <c r="F67539"/>
    </row>
    <row r="67540" spans="1:6" x14ac:dyDescent="0.25">
      <c r="A67540"/>
      <c r="B67540"/>
      <c r="C67540"/>
      <c r="E67540"/>
      <c r="F67540"/>
    </row>
    <row r="67541" spans="1:6" x14ac:dyDescent="0.25">
      <c r="A67541"/>
      <c r="B67541"/>
      <c r="C67541"/>
      <c r="E67541"/>
      <c r="F67541"/>
    </row>
    <row r="67542" spans="1:6" x14ac:dyDescent="0.25">
      <c r="A67542"/>
      <c r="B67542"/>
      <c r="C67542"/>
      <c r="E67542"/>
      <c r="F67542"/>
    </row>
    <row r="67543" spans="1:6" x14ac:dyDescent="0.25">
      <c r="A67543"/>
      <c r="B67543"/>
      <c r="C67543"/>
      <c r="E67543"/>
      <c r="F67543"/>
    </row>
    <row r="67544" spans="1:6" x14ac:dyDescent="0.25">
      <c r="A67544"/>
      <c r="B67544"/>
      <c r="C67544"/>
      <c r="E67544"/>
      <c r="F67544"/>
    </row>
    <row r="67545" spans="1:6" x14ac:dyDescent="0.25">
      <c r="A67545"/>
      <c r="B67545"/>
      <c r="C67545"/>
      <c r="E67545"/>
      <c r="F67545"/>
    </row>
    <row r="67546" spans="1:6" x14ac:dyDescent="0.25">
      <c r="A67546"/>
      <c r="B67546"/>
      <c r="C67546"/>
      <c r="E67546"/>
      <c r="F67546"/>
    </row>
    <row r="67547" spans="1:6" x14ac:dyDescent="0.25">
      <c r="A67547"/>
      <c r="B67547"/>
      <c r="C67547"/>
      <c r="E67547"/>
      <c r="F67547"/>
    </row>
    <row r="67548" spans="1:6" x14ac:dyDescent="0.25">
      <c r="A67548"/>
      <c r="B67548"/>
      <c r="C67548"/>
      <c r="E67548"/>
      <c r="F67548"/>
    </row>
    <row r="67549" spans="1:6" x14ac:dyDescent="0.25">
      <c r="A67549"/>
      <c r="B67549"/>
      <c r="C67549"/>
      <c r="E67549"/>
      <c r="F67549"/>
    </row>
    <row r="67550" spans="1:6" x14ac:dyDescent="0.25">
      <c r="A67550"/>
      <c r="B67550"/>
      <c r="C67550"/>
      <c r="E67550"/>
      <c r="F67550"/>
    </row>
    <row r="67551" spans="1:6" x14ac:dyDescent="0.25">
      <c r="A67551"/>
      <c r="B67551"/>
      <c r="C67551"/>
      <c r="E67551"/>
      <c r="F67551"/>
    </row>
    <row r="67552" spans="1:6" x14ac:dyDescent="0.25">
      <c r="A67552"/>
      <c r="B67552"/>
      <c r="C67552"/>
      <c r="E67552"/>
      <c r="F67552"/>
    </row>
    <row r="67553" spans="1:6" x14ac:dyDescent="0.25">
      <c r="A67553"/>
      <c r="B67553"/>
      <c r="C67553"/>
      <c r="E67553"/>
      <c r="F67553"/>
    </row>
    <row r="67554" spans="1:6" x14ac:dyDescent="0.25">
      <c r="A67554"/>
      <c r="B67554"/>
      <c r="C67554"/>
      <c r="E67554"/>
      <c r="F67554"/>
    </row>
    <row r="67555" spans="1:6" x14ac:dyDescent="0.25">
      <c r="A67555"/>
      <c r="B67555"/>
      <c r="C67555"/>
      <c r="E67555"/>
      <c r="F67555"/>
    </row>
    <row r="67556" spans="1:6" x14ac:dyDescent="0.25">
      <c r="A67556"/>
      <c r="B67556"/>
      <c r="C67556"/>
      <c r="E67556"/>
      <c r="F67556"/>
    </row>
    <row r="67557" spans="1:6" x14ac:dyDescent="0.25">
      <c r="A67557"/>
      <c r="B67557"/>
      <c r="C67557"/>
      <c r="E67557"/>
      <c r="F67557"/>
    </row>
    <row r="67558" spans="1:6" x14ac:dyDescent="0.25">
      <c r="A67558"/>
      <c r="B67558"/>
      <c r="C67558"/>
      <c r="E67558"/>
      <c r="F67558"/>
    </row>
    <row r="67559" spans="1:6" x14ac:dyDescent="0.25">
      <c r="A67559"/>
      <c r="B67559"/>
      <c r="C67559"/>
      <c r="E67559"/>
      <c r="F67559"/>
    </row>
    <row r="67560" spans="1:6" x14ac:dyDescent="0.25">
      <c r="A67560"/>
      <c r="B67560"/>
      <c r="C67560"/>
      <c r="E67560"/>
      <c r="F67560"/>
    </row>
    <row r="67561" spans="1:6" x14ac:dyDescent="0.25">
      <c r="A67561"/>
      <c r="B67561"/>
      <c r="C67561"/>
      <c r="E67561"/>
      <c r="F67561"/>
    </row>
    <row r="67562" spans="1:6" x14ac:dyDescent="0.25">
      <c r="A67562"/>
      <c r="B67562"/>
      <c r="C67562"/>
      <c r="E67562"/>
      <c r="F67562"/>
    </row>
    <row r="67563" spans="1:6" x14ac:dyDescent="0.25">
      <c r="A67563"/>
      <c r="B67563"/>
      <c r="C67563"/>
      <c r="E67563"/>
      <c r="F67563"/>
    </row>
    <row r="67564" spans="1:6" x14ac:dyDescent="0.25">
      <c r="A67564"/>
      <c r="B67564"/>
      <c r="C67564"/>
      <c r="E67564"/>
      <c r="F67564"/>
    </row>
    <row r="67565" spans="1:6" x14ac:dyDescent="0.25">
      <c r="A67565"/>
      <c r="B67565"/>
      <c r="C67565"/>
      <c r="E67565"/>
      <c r="F67565"/>
    </row>
    <row r="67566" spans="1:6" x14ac:dyDescent="0.25">
      <c r="A67566"/>
      <c r="B67566"/>
      <c r="C67566"/>
      <c r="E67566"/>
      <c r="F67566"/>
    </row>
    <row r="67567" spans="1:6" x14ac:dyDescent="0.25">
      <c r="A67567"/>
      <c r="B67567"/>
      <c r="C67567"/>
      <c r="E67567"/>
      <c r="F67567"/>
    </row>
    <row r="67568" spans="1:6" x14ac:dyDescent="0.25">
      <c r="A67568"/>
      <c r="B67568"/>
      <c r="C67568"/>
      <c r="E67568"/>
      <c r="F67568"/>
    </row>
    <row r="67569" spans="1:6" x14ac:dyDescent="0.25">
      <c r="A67569"/>
      <c r="B67569"/>
      <c r="C67569"/>
      <c r="E67569"/>
      <c r="F67569"/>
    </row>
    <row r="67570" spans="1:6" x14ac:dyDescent="0.25">
      <c r="A67570"/>
      <c r="B67570"/>
      <c r="C67570"/>
      <c r="E67570"/>
      <c r="F67570"/>
    </row>
    <row r="67571" spans="1:6" x14ac:dyDescent="0.25">
      <c r="A67571"/>
      <c r="B67571"/>
      <c r="C67571"/>
      <c r="E67571"/>
      <c r="F67571"/>
    </row>
    <row r="67572" spans="1:6" x14ac:dyDescent="0.25">
      <c r="A67572"/>
      <c r="B67572"/>
      <c r="C67572"/>
      <c r="E67572"/>
      <c r="F67572"/>
    </row>
    <row r="67573" spans="1:6" x14ac:dyDescent="0.25">
      <c r="A67573"/>
      <c r="B67573"/>
      <c r="C67573"/>
      <c r="E67573"/>
      <c r="F67573"/>
    </row>
    <row r="67574" spans="1:6" x14ac:dyDescent="0.25">
      <c r="A67574"/>
      <c r="B67574"/>
      <c r="C67574"/>
      <c r="E67574"/>
      <c r="F67574"/>
    </row>
    <row r="67575" spans="1:6" x14ac:dyDescent="0.25">
      <c r="A67575"/>
      <c r="B67575"/>
      <c r="C67575"/>
      <c r="E67575"/>
      <c r="F67575"/>
    </row>
    <row r="67576" spans="1:6" x14ac:dyDescent="0.25">
      <c r="A67576"/>
      <c r="B67576"/>
      <c r="C67576"/>
      <c r="E67576"/>
      <c r="F67576"/>
    </row>
    <row r="67577" spans="1:6" x14ac:dyDescent="0.25">
      <c r="A67577"/>
      <c r="B67577"/>
      <c r="C67577"/>
      <c r="E67577"/>
      <c r="F67577"/>
    </row>
    <row r="67578" spans="1:6" x14ac:dyDescent="0.25">
      <c r="A67578"/>
      <c r="B67578"/>
      <c r="C67578"/>
      <c r="E67578"/>
      <c r="F67578"/>
    </row>
    <row r="67579" spans="1:6" x14ac:dyDescent="0.25">
      <c r="A67579"/>
      <c r="B67579"/>
      <c r="C67579"/>
      <c r="E67579"/>
      <c r="F67579"/>
    </row>
    <row r="67580" spans="1:6" x14ac:dyDescent="0.25">
      <c r="A67580"/>
      <c r="B67580"/>
      <c r="C67580"/>
      <c r="E67580"/>
      <c r="F67580"/>
    </row>
    <row r="67581" spans="1:6" x14ac:dyDescent="0.25">
      <c r="A67581"/>
      <c r="B67581"/>
      <c r="C67581"/>
      <c r="E67581"/>
      <c r="F67581"/>
    </row>
    <row r="67582" spans="1:6" x14ac:dyDescent="0.25">
      <c r="A67582"/>
      <c r="B67582"/>
      <c r="C67582"/>
      <c r="E67582"/>
      <c r="F67582"/>
    </row>
    <row r="67583" spans="1:6" x14ac:dyDescent="0.25">
      <c r="A67583"/>
      <c r="B67583"/>
      <c r="C67583"/>
      <c r="E67583"/>
      <c r="F67583"/>
    </row>
    <row r="67584" spans="1:6" x14ac:dyDescent="0.25">
      <c r="A67584"/>
      <c r="B67584"/>
      <c r="C67584"/>
      <c r="E67584"/>
      <c r="F67584"/>
    </row>
    <row r="67585" spans="1:6" x14ac:dyDescent="0.25">
      <c r="A67585"/>
      <c r="B67585"/>
      <c r="C67585"/>
      <c r="E67585"/>
      <c r="F67585"/>
    </row>
    <row r="67586" spans="1:6" x14ac:dyDescent="0.25">
      <c r="A67586"/>
      <c r="B67586"/>
      <c r="C67586"/>
      <c r="E67586"/>
      <c r="F67586"/>
    </row>
    <row r="67587" spans="1:6" x14ac:dyDescent="0.25">
      <c r="A67587"/>
      <c r="B67587"/>
      <c r="C67587"/>
      <c r="E67587"/>
      <c r="F67587"/>
    </row>
    <row r="67588" spans="1:6" x14ac:dyDescent="0.25">
      <c r="A67588"/>
      <c r="B67588"/>
      <c r="C67588"/>
      <c r="E67588"/>
      <c r="F67588"/>
    </row>
    <row r="67589" spans="1:6" x14ac:dyDescent="0.25">
      <c r="A67589"/>
      <c r="B67589"/>
      <c r="C67589"/>
      <c r="E67589"/>
      <c r="F67589"/>
    </row>
    <row r="67590" spans="1:6" x14ac:dyDescent="0.25">
      <c r="A67590"/>
      <c r="B67590"/>
      <c r="C67590"/>
      <c r="E67590"/>
      <c r="F67590"/>
    </row>
    <row r="67591" spans="1:6" x14ac:dyDescent="0.25">
      <c r="A67591"/>
      <c r="B67591"/>
      <c r="C67591"/>
      <c r="E67591"/>
      <c r="F67591"/>
    </row>
    <row r="67592" spans="1:6" x14ac:dyDescent="0.25">
      <c r="A67592"/>
      <c r="B67592"/>
      <c r="C67592"/>
      <c r="E67592"/>
      <c r="F67592"/>
    </row>
    <row r="67593" spans="1:6" x14ac:dyDescent="0.25">
      <c r="A67593"/>
      <c r="B67593"/>
      <c r="C67593"/>
      <c r="E67593"/>
      <c r="F67593"/>
    </row>
    <row r="67594" spans="1:6" x14ac:dyDescent="0.25">
      <c r="A67594"/>
      <c r="B67594"/>
      <c r="C67594"/>
      <c r="E67594"/>
      <c r="F67594"/>
    </row>
    <row r="67595" spans="1:6" x14ac:dyDescent="0.25">
      <c r="A67595"/>
      <c r="B67595"/>
      <c r="C67595"/>
      <c r="E67595"/>
      <c r="F67595"/>
    </row>
    <row r="67596" spans="1:6" x14ac:dyDescent="0.25">
      <c r="A67596"/>
      <c r="B67596"/>
      <c r="C67596"/>
      <c r="E67596"/>
      <c r="F67596"/>
    </row>
    <row r="67597" spans="1:6" x14ac:dyDescent="0.25">
      <c r="A67597"/>
      <c r="B67597"/>
      <c r="C67597"/>
      <c r="E67597"/>
      <c r="F67597"/>
    </row>
    <row r="67598" spans="1:6" x14ac:dyDescent="0.25">
      <c r="A67598"/>
      <c r="B67598"/>
      <c r="C67598"/>
      <c r="E67598"/>
      <c r="F67598"/>
    </row>
    <row r="67599" spans="1:6" x14ac:dyDescent="0.25">
      <c r="A67599"/>
      <c r="B67599"/>
      <c r="C67599"/>
      <c r="E67599"/>
      <c r="F67599"/>
    </row>
    <row r="67600" spans="1:6" x14ac:dyDescent="0.25">
      <c r="A67600"/>
      <c r="B67600"/>
      <c r="C67600"/>
      <c r="E67600"/>
      <c r="F67600"/>
    </row>
    <row r="67601" spans="1:6" x14ac:dyDescent="0.25">
      <c r="A67601"/>
      <c r="B67601"/>
      <c r="C67601"/>
      <c r="E67601"/>
      <c r="F67601"/>
    </row>
    <row r="67602" spans="1:6" x14ac:dyDescent="0.25">
      <c r="A67602"/>
      <c r="B67602"/>
      <c r="C67602"/>
      <c r="E67602"/>
      <c r="F67602"/>
    </row>
    <row r="67603" spans="1:6" x14ac:dyDescent="0.25">
      <c r="A67603"/>
      <c r="B67603"/>
      <c r="C67603"/>
      <c r="E67603"/>
      <c r="F67603"/>
    </row>
    <row r="67604" spans="1:6" x14ac:dyDescent="0.25">
      <c r="A67604"/>
      <c r="B67604"/>
      <c r="C67604"/>
      <c r="E67604"/>
      <c r="F67604"/>
    </row>
    <row r="67605" spans="1:6" x14ac:dyDescent="0.25">
      <c r="A67605"/>
      <c r="B67605"/>
      <c r="C67605"/>
      <c r="E67605"/>
      <c r="F67605"/>
    </row>
    <row r="67606" spans="1:6" x14ac:dyDescent="0.25">
      <c r="A67606"/>
      <c r="B67606"/>
      <c r="C67606"/>
      <c r="E67606"/>
      <c r="F67606"/>
    </row>
    <row r="67607" spans="1:6" x14ac:dyDescent="0.25">
      <c r="A67607"/>
      <c r="B67607"/>
      <c r="C67607"/>
      <c r="E67607"/>
      <c r="F67607"/>
    </row>
    <row r="67608" spans="1:6" x14ac:dyDescent="0.25">
      <c r="A67608"/>
      <c r="B67608"/>
      <c r="C67608"/>
      <c r="E67608"/>
      <c r="F67608"/>
    </row>
    <row r="67609" spans="1:6" x14ac:dyDescent="0.25">
      <c r="A67609"/>
      <c r="B67609"/>
      <c r="C67609"/>
      <c r="E67609"/>
      <c r="F67609"/>
    </row>
    <row r="67610" spans="1:6" x14ac:dyDescent="0.25">
      <c r="A67610"/>
      <c r="B67610"/>
      <c r="C67610"/>
      <c r="E67610"/>
      <c r="F67610"/>
    </row>
    <row r="67611" spans="1:6" x14ac:dyDescent="0.25">
      <c r="A67611"/>
      <c r="B67611"/>
      <c r="C67611"/>
      <c r="E67611"/>
      <c r="F67611"/>
    </row>
    <row r="67612" spans="1:6" x14ac:dyDescent="0.25">
      <c r="A67612"/>
      <c r="B67612"/>
      <c r="C67612"/>
      <c r="E67612"/>
      <c r="F67612"/>
    </row>
    <row r="67613" spans="1:6" x14ac:dyDescent="0.25">
      <c r="A67613"/>
      <c r="B67613"/>
      <c r="C67613"/>
      <c r="E67613"/>
      <c r="F67613"/>
    </row>
    <row r="67614" spans="1:6" x14ac:dyDescent="0.25">
      <c r="A67614"/>
      <c r="B67614"/>
      <c r="C67614"/>
      <c r="E67614"/>
      <c r="F67614"/>
    </row>
    <row r="67615" spans="1:6" x14ac:dyDescent="0.25">
      <c r="A67615"/>
      <c r="B67615"/>
      <c r="C67615"/>
      <c r="E67615"/>
      <c r="F67615"/>
    </row>
    <row r="67616" spans="1:6" x14ac:dyDescent="0.25">
      <c r="A67616"/>
      <c r="B67616"/>
      <c r="C67616"/>
      <c r="E67616"/>
      <c r="F67616"/>
    </row>
    <row r="67617" spans="1:6" x14ac:dyDescent="0.25">
      <c r="A67617"/>
      <c r="B67617"/>
      <c r="C67617"/>
      <c r="E67617"/>
      <c r="F67617"/>
    </row>
    <row r="67618" spans="1:6" x14ac:dyDescent="0.25">
      <c r="A67618"/>
      <c r="B67618"/>
      <c r="C67618"/>
      <c r="E67618"/>
      <c r="F67618"/>
    </row>
    <row r="67619" spans="1:6" x14ac:dyDescent="0.25">
      <c r="A67619"/>
      <c r="B67619"/>
      <c r="C67619"/>
      <c r="E67619"/>
      <c r="F67619"/>
    </row>
    <row r="67620" spans="1:6" x14ac:dyDescent="0.25">
      <c r="A67620"/>
      <c r="B67620"/>
      <c r="C67620"/>
      <c r="E67620"/>
      <c r="F67620"/>
    </row>
    <row r="67621" spans="1:6" x14ac:dyDescent="0.25">
      <c r="A67621"/>
      <c r="B67621"/>
      <c r="C67621"/>
      <c r="E67621"/>
      <c r="F67621"/>
    </row>
    <row r="67622" spans="1:6" x14ac:dyDescent="0.25">
      <c r="A67622"/>
      <c r="B67622"/>
      <c r="C67622"/>
      <c r="E67622"/>
      <c r="F67622"/>
    </row>
    <row r="67623" spans="1:6" x14ac:dyDescent="0.25">
      <c r="A67623"/>
      <c r="B67623"/>
      <c r="C67623"/>
      <c r="E67623"/>
      <c r="F67623"/>
    </row>
    <row r="67624" spans="1:6" x14ac:dyDescent="0.25">
      <c r="A67624"/>
      <c r="B67624"/>
      <c r="C67624"/>
      <c r="E67624"/>
      <c r="F67624"/>
    </row>
    <row r="67625" spans="1:6" x14ac:dyDescent="0.25">
      <c r="A67625"/>
      <c r="B67625"/>
      <c r="C67625"/>
      <c r="E67625"/>
      <c r="F67625"/>
    </row>
    <row r="67626" spans="1:6" x14ac:dyDescent="0.25">
      <c r="A67626"/>
      <c r="B67626"/>
      <c r="C67626"/>
      <c r="E67626"/>
      <c r="F67626"/>
    </row>
    <row r="67627" spans="1:6" x14ac:dyDescent="0.25">
      <c r="A67627"/>
      <c r="B67627"/>
      <c r="C67627"/>
      <c r="E67627"/>
      <c r="F67627"/>
    </row>
    <row r="67628" spans="1:6" x14ac:dyDescent="0.25">
      <c r="A67628"/>
      <c r="B67628"/>
      <c r="C67628"/>
      <c r="E67628"/>
      <c r="F67628"/>
    </row>
    <row r="67629" spans="1:6" x14ac:dyDescent="0.25">
      <c r="A67629"/>
      <c r="B67629"/>
      <c r="C67629"/>
      <c r="E67629"/>
      <c r="F67629"/>
    </row>
    <row r="67630" spans="1:6" x14ac:dyDescent="0.25">
      <c r="A67630"/>
      <c r="B67630"/>
      <c r="C67630"/>
      <c r="E67630"/>
      <c r="F67630"/>
    </row>
    <row r="67631" spans="1:6" x14ac:dyDescent="0.25">
      <c r="A67631"/>
      <c r="B67631"/>
      <c r="C67631"/>
      <c r="E67631"/>
      <c r="F67631"/>
    </row>
    <row r="67632" spans="1:6" x14ac:dyDescent="0.25">
      <c r="A67632"/>
      <c r="B67632"/>
      <c r="C67632"/>
      <c r="E67632"/>
      <c r="F67632"/>
    </row>
    <row r="67633" spans="1:6" x14ac:dyDescent="0.25">
      <c r="A67633"/>
      <c r="B67633"/>
      <c r="C67633"/>
      <c r="E67633"/>
      <c r="F67633"/>
    </row>
    <row r="67634" spans="1:6" x14ac:dyDescent="0.25">
      <c r="A67634"/>
      <c r="B67634"/>
      <c r="C67634"/>
      <c r="E67634"/>
      <c r="F67634"/>
    </row>
    <row r="67635" spans="1:6" x14ac:dyDescent="0.25">
      <c r="A67635"/>
      <c r="B67635"/>
      <c r="C67635"/>
      <c r="E67635"/>
      <c r="F67635"/>
    </row>
    <row r="67636" spans="1:6" x14ac:dyDescent="0.25">
      <c r="A67636"/>
      <c r="B67636"/>
      <c r="C67636"/>
      <c r="E67636"/>
      <c r="F67636"/>
    </row>
    <row r="67637" spans="1:6" x14ac:dyDescent="0.25">
      <c r="A67637"/>
      <c r="B67637"/>
      <c r="C67637"/>
      <c r="E67637"/>
      <c r="F67637"/>
    </row>
    <row r="67638" spans="1:6" x14ac:dyDescent="0.25">
      <c r="A67638"/>
      <c r="B67638"/>
      <c r="C67638"/>
      <c r="E67638"/>
      <c r="F67638"/>
    </row>
    <row r="67639" spans="1:6" x14ac:dyDescent="0.25">
      <c r="A67639"/>
      <c r="B67639"/>
      <c r="C67639"/>
      <c r="E67639"/>
      <c r="F67639"/>
    </row>
    <row r="67640" spans="1:6" x14ac:dyDescent="0.25">
      <c r="A67640"/>
      <c r="B67640"/>
      <c r="C67640"/>
      <c r="E67640"/>
      <c r="F67640"/>
    </row>
    <row r="67641" spans="1:6" x14ac:dyDescent="0.25">
      <c r="A67641"/>
      <c r="B67641"/>
      <c r="C67641"/>
      <c r="E67641"/>
      <c r="F67641"/>
    </row>
    <row r="67642" spans="1:6" x14ac:dyDescent="0.25">
      <c r="A67642"/>
      <c r="B67642"/>
      <c r="C67642"/>
      <c r="E67642"/>
      <c r="F67642"/>
    </row>
    <row r="67643" spans="1:6" x14ac:dyDescent="0.25">
      <c r="A67643"/>
      <c r="B67643"/>
      <c r="C67643"/>
      <c r="E67643"/>
      <c r="F67643"/>
    </row>
    <row r="67644" spans="1:6" x14ac:dyDescent="0.25">
      <c r="A67644"/>
      <c r="B67644"/>
      <c r="C67644"/>
      <c r="E67644"/>
      <c r="F67644"/>
    </row>
    <row r="67645" spans="1:6" x14ac:dyDescent="0.25">
      <c r="A67645"/>
      <c r="B67645"/>
      <c r="C67645"/>
      <c r="E67645"/>
      <c r="F67645"/>
    </row>
    <row r="67646" spans="1:6" x14ac:dyDescent="0.25">
      <c r="A67646"/>
      <c r="B67646"/>
      <c r="C67646"/>
      <c r="E67646"/>
      <c r="F67646"/>
    </row>
    <row r="67647" spans="1:6" x14ac:dyDescent="0.25">
      <c r="A67647"/>
      <c r="B67647"/>
      <c r="C67647"/>
      <c r="E67647"/>
      <c r="F67647"/>
    </row>
    <row r="67648" spans="1:6" x14ac:dyDescent="0.25">
      <c r="A67648"/>
      <c r="B67648"/>
      <c r="C67648"/>
      <c r="E67648"/>
      <c r="F67648"/>
    </row>
    <row r="67649" spans="1:6" x14ac:dyDescent="0.25">
      <c r="A67649"/>
      <c r="B67649"/>
      <c r="C67649"/>
      <c r="E67649"/>
      <c r="F67649"/>
    </row>
    <row r="67650" spans="1:6" x14ac:dyDescent="0.25">
      <c r="A67650"/>
      <c r="B67650"/>
      <c r="C67650"/>
      <c r="E67650"/>
      <c r="F67650"/>
    </row>
    <row r="67651" spans="1:6" x14ac:dyDescent="0.25">
      <c r="A67651"/>
      <c r="B67651"/>
      <c r="C67651"/>
      <c r="E67651"/>
      <c r="F67651"/>
    </row>
    <row r="67652" spans="1:6" x14ac:dyDescent="0.25">
      <c r="A67652"/>
      <c r="B67652"/>
      <c r="C67652"/>
      <c r="E67652"/>
      <c r="F67652"/>
    </row>
    <row r="67653" spans="1:6" x14ac:dyDescent="0.25">
      <c r="A67653"/>
      <c r="B67653"/>
      <c r="C67653"/>
      <c r="E67653"/>
      <c r="F67653"/>
    </row>
    <row r="67654" spans="1:6" x14ac:dyDescent="0.25">
      <c r="A67654"/>
      <c r="B67654"/>
      <c r="C67654"/>
      <c r="E67654"/>
      <c r="F67654"/>
    </row>
    <row r="67655" spans="1:6" x14ac:dyDescent="0.25">
      <c r="A67655"/>
      <c r="B67655"/>
      <c r="C67655"/>
      <c r="E67655"/>
      <c r="F67655"/>
    </row>
    <row r="67656" spans="1:6" x14ac:dyDescent="0.25">
      <c r="A67656"/>
      <c r="B67656"/>
      <c r="C67656"/>
      <c r="E67656"/>
      <c r="F67656"/>
    </row>
    <row r="67657" spans="1:6" x14ac:dyDescent="0.25">
      <c r="A67657"/>
      <c r="B67657"/>
      <c r="C67657"/>
      <c r="E67657"/>
      <c r="F67657"/>
    </row>
    <row r="67658" spans="1:6" x14ac:dyDescent="0.25">
      <c r="A67658"/>
      <c r="B67658"/>
      <c r="C67658"/>
      <c r="E67658"/>
      <c r="F67658"/>
    </row>
    <row r="67659" spans="1:6" x14ac:dyDescent="0.25">
      <c r="A67659"/>
      <c r="B67659"/>
      <c r="C67659"/>
      <c r="E67659"/>
      <c r="F67659"/>
    </row>
    <row r="67660" spans="1:6" x14ac:dyDescent="0.25">
      <c r="A67660"/>
      <c r="B67660"/>
      <c r="C67660"/>
      <c r="E67660"/>
      <c r="F67660"/>
    </row>
    <row r="67661" spans="1:6" x14ac:dyDescent="0.25">
      <c r="A67661"/>
      <c r="B67661"/>
      <c r="C67661"/>
      <c r="E67661"/>
      <c r="F67661"/>
    </row>
    <row r="67662" spans="1:6" x14ac:dyDescent="0.25">
      <c r="A67662"/>
      <c r="B67662"/>
      <c r="C67662"/>
      <c r="E67662"/>
      <c r="F67662"/>
    </row>
    <row r="67663" spans="1:6" x14ac:dyDescent="0.25">
      <c r="A67663"/>
      <c r="B67663"/>
      <c r="C67663"/>
      <c r="E67663"/>
      <c r="F67663"/>
    </row>
    <row r="67664" spans="1:6" x14ac:dyDescent="0.25">
      <c r="A67664"/>
      <c r="B67664"/>
      <c r="C67664"/>
      <c r="E67664"/>
      <c r="F67664"/>
    </row>
    <row r="67665" spans="1:6" x14ac:dyDescent="0.25">
      <c r="A67665"/>
      <c r="B67665"/>
      <c r="C67665"/>
      <c r="E67665"/>
      <c r="F67665"/>
    </row>
    <row r="67666" spans="1:6" x14ac:dyDescent="0.25">
      <c r="A67666"/>
      <c r="B67666"/>
      <c r="C67666"/>
      <c r="E67666"/>
      <c r="F67666"/>
    </row>
    <row r="67667" spans="1:6" x14ac:dyDescent="0.25">
      <c r="A67667"/>
      <c r="B67667"/>
      <c r="C67667"/>
      <c r="E67667"/>
      <c r="F67667"/>
    </row>
    <row r="67668" spans="1:6" x14ac:dyDescent="0.25">
      <c r="A67668"/>
      <c r="B67668"/>
      <c r="C67668"/>
      <c r="E67668"/>
      <c r="F67668"/>
    </row>
    <row r="67669" spans="1:6" x14ac:dyDescent="0.25">
      <c r="A67669"/>
      <c r="B67669"/>
      <c r="C67669"/>
      <c r="E67669"/>
      <c r="F67669"/>
    </row>
    <row r="67670" spans="1:6" x14ac:dyDescent="0.25">
      <c r="A67670"/>
      <c r="B67670"/>
      <c r="C67670"/>
      <c r="E67670"/>
      <c r="F67670"/>
    </row>
    <row r="67671" spans="1:6" x14ac:dyDescent="0.25">
      <c r="A67671"/>
      <c r="B67671"/>
      <c r="C67671"/>
      <c r="E67671"/>
      <c r="F67671"/>
    </row>
    <row r="67672" spans="1:6" x14ac:dyDescent="0.25">
      <c r="A67672"/>
      <c r="B67672"/>
      <c r="C67672"/>
      <c r="E67672"/>
      <c r="F67672"/>
    </row>
    <row r="67673" spans="1:6" x14ac:dyDescent="0.25">
      <c r="A67673"/>
      <c r="B67673"/>
      <c r="C67673"/>
      <c r="E67673"/>
      <c r="F67673"/>
    </row>
    <row r="67674" spans="1:6" x14ac:dyDescent="0.25">
      <c r="A67674"/>
      <c r="B67674"/>
      <c r="C67674"/>
      <c r="E67674"/>
      <c r="F67674"/>
    </row>
    <row r="67675" spans="1:6" x14ac:dyDescent="0.25">
      <c r="A67675"/>
      <c r="B67675"/>
      <c r="C67675"/>
      <c r="E67675"/>
      <c r="F67675"/>
    </row>
    <row r="67676" spans="1:6" x14ac:dyDescent="0.25">
      <c r="A67676"/>
      <c r="B67676"/>
      <c r="C67676"/>
      <c r="E67676"/>
      <c r="F67676"/>
    </row>
    <row r="67677" spans="1:6" x14ac:dyDescent="0.25">
      <c r="A67677"/>
      <c r="B67677"/>
      <c r="C67677"/>
      <c r="E67677"/>
      <c r="F67677"/>
    </row>
    <row r="67678" spans="1:6" x14ac:dyDescent="0.25">
      <c r="A67678"/>
      <c r="B67678"/>
      <c r="C67678"/>
      <c r="E67678"/>
      <c r="F67678"/>
    </row>
    <row r="67679" spans="1:6" x14ac:dyDescent="0.25">
      <c r="A67679"/>
      <c r="B67679"/>
      <c r="C67679"/>
      <c r="E67679"/>
      <c r="F67679"/>
    </row>
    <row r="67680" spans="1:6" x14ac:dyDescent="0.25">
      <c r="A67680"/>
      <c r="B67680"/>
      <c r="C67680"/>
      <c r="E67680"/>
      <c r="F67680"/>
    </row>
    <row r="67681" spans="1:6" x14ac:dyDescent="0.25">
      <c r="A67681"/>
      <c r="B67681"/>
      <c r="C67681"/>
      <c r="E67681"/>
      <c r="F67681"/>
    </row>
    <row r="67682" spans="1:6" x14ac:dyDescent="0.25">
      <c r="A67682"/>
      <c r="B67682"/>
      <c r="C67682"/>
      <c r="E67682"/>
      <c r="F67682"/>
    </row>
    <row r="67683" spans="1:6" x14ac:dyDescent="0.25">
      <c r="A67683"/>
      <c r="B67683"/>
      <c r="C67683"/>
      <c r="E67683"/>
      <c r="F67683"/>
    </row>
    <row r="67684" spans="1:6" x14ac:dyDescent="0.25">
      <c r="A67684"/>
      <c r="B67684"/>
      <c r="C67684"/>
      <c r="E67684"/>
      <c r="F67684"/>
    </row>
    <row r="67685" spans="1:6" x14ac:dyDescent="0.25">
      <c r="A67685"/>
      <c r="B67685"/>
      <c r="C67685"/>
      <c r="E67685"/>
      <c r="F67685"/>
    </row>
    <row r="67686" spans="1:6" x14ac:dyDescent="0.25">
      <c r="A67686"/>
      <c r="B67686"/>
      <c r="C67686"/>
      <c r="E67686"/>
      <c r="F67686"/>
    </row>
    <row r="67687" spans="1:6" x14ac:dyDescent="0.25">
      <c r="A67687"/>
      <c r="B67687"/>
      <c r="C67687"/>
      <c r="E67687"/>
      <c r="F67687"/>
    </row>
    <row r="67688" spans="1:6" x14ac:dyDescent="0.25">
      <c r="A67688"/>
      <c r="B67688"/>
      <c r="C67688"/>
      <c r="E67688"/>
      <c r="F67688"/>
    </row>
    <row r="67689" spans="1:6" x14ac:dyDescent="0.25">
      <c r="A67689"/>
      <c r="B67689"/>
      <c r="C67689"/>
      <c r="E67689"/>
      <c r="F67689"/>
    </row>
    <row r="67690" spans="1:6" x14ac:dyDescent="0.25">
      <c r="A67690"/>
      <c r="B67690"/>
      <c r="C67690"/>
      <c r="E67690"/>
      <c r="F67690"/>
    </row>
    <row r="67691" spans="1:6" x14ac:dyDescent="0.25">
      <c r="A67691"/>
      <c r="B67691"/>
      <c r="C67691"/>
      <c r="E67691"/>
      <c r="F67691"/>
    </row>
    <row r="67692" spans="1:6" x14ac:dyDescent="0.25">
      <c r="A67692"/>
      <c r="B67692"/>
      <c r="C67692"/>
      <c r="E67692"/>
      <c r="F67692"/>
    </row>
    <row r="67693" spans="1:6" x14ac:dyDescent="0.25">
      <c r="A67693"/>
      <c r="B67693"/>
      <c r="C67693"/>
      <c r="E67693"/>
      <c r="F67693"/>
    </row>
    <row r="67694" spans="1:6" x14ac:dyDescent="0.25">
      <c r="A67694"/>
      <c r="B67694"/>
      <c r="C67694"/>
      <c r="E67694"/>
      <c r="F67694"/>
    </row>
    <row r="67695" spans="1:6" x14ac:dyDescent="0.25">
      <c r="A67695"/>
      <c r="B67695"/>
      <c r="C67695"/>
      <c r="E67695"/>
      <c r="F67695"/>
    </row>
    <row r="67696" spans="1:6" x14ac:dyDescent="0.25">
      <c r="A67696"/>
      <c r="B67696"/>
      <c r="C67696"/>
      <c r="E67696"/>
      <c r="F67696"/>
    </row>
    <row r="67697" spans="1:6" x14ac:dyDescent="0.25">
      <c r="A67697"/>
      <c r="B67697"/>
      <c r="C67697"/>
      <c r="E67697"/>
      <c r="F67697"/>
    </row>
    <row r="67698" spans="1:6" x14ac:dyDescent="0.25">
      <c r="A67698"/>
      <c r="B67698"/>
      <c r="C67698"/>
      <c r="E67698"/>
      <c r="F67698"/>
    </row>
    <row r="67699" spans="1:6" x14ac:dyDescent="0.25">
      <c r="A67699"/>
      <c r="B67699"/>
      <c r="C67699"/>
      <c r="E67699"/>
      <c r="F67699"/>
    </row>
    <row r="67700" spans="1:6" x14ac:dyDescent="0.25">
      <c r="A67700"/>
      <c r="B67700"/>
      <c r="C67700"/>
      <c r="E67700"/>
      <c r="F67700"/>
    </row>
    <row r="67701" spans="1:6" x14ac:dyDescent="0.25">
      <c r="A67701"/>
      <c r="B67701"/>
      <c r="C67701"/>
      <c r="E67701"/>
      <c r="F67701"/>
    </row>
    <row r="67702" spans="1:6" x14ac:dyDescent="0.25">
      <c r="A67702"/>
      <c r="B67702"/>
      <c r="C67702"/>
      <c r="E67702"/>
      <c r="F67702"/>
    </row>
    <row r="67703" spans="1:6" x14ac:dyDescent="0.25">
      <c r="A67703"/>
      <c r="B67703"/>
      <c r="C67703"/>
      <c r="E67703"/>
      <c r="F67703"/>
    </row>
    <row r="67704" spans="1:6" x14ac:dyDescent="0.25">
      <c r="A67704"/>
      <c r="B67704"/>
      <c r="C67704"/>
      <c r="E67704"/>
      <c r="F67704"/>
    </row>
    <row r="67705" spans="1:6" x14ac:dyDescent="0.25">
      <c r="A67705"/>
      <c r="B67705"/>
      <c r="C67705"/>
      <c r="E67705"/>
      <c r="F67705"/>
    </row>
    <row r="67706" spans="1:6" x14ac:dyDescent="0.25">
      <c r="A67706"/>
      <c r="B67706"/>
      <c r="C67706"/>
      <c r="E67706"/>
      <c r="F67706"/>
    </row>
    <row r="67707" spans="1:6" x14ac:dyDescent="0.25">
      <c r="A67707"/>
      <c r="B67707"/>
      <c r="C67707"/>
      <c r="E67707"/>
      <c r="F67707"/>
    </row>
    <row r="67708" spans="1:6" x14ac:dyDescent="0.25">
      <c r="A67708"/>
      <c r="B67708"/>
      <c r="C67708"/>
      <c r="E67708"/>
      <c r="F67708"/>
    </row>
    <row r="67709" spans="1:6" x14ac:dyDescent="0.25">
      <c r="A67709"/>
      <c r="B67709"/>
      <c r="C67709"/>
      <c r="E67709"/>
      <c r="F67709"/>
    </row>
    <row r="67710" spans="1:6" x14ac:dyDescent="0.25">
      <c r="A67710"/>
      <c r="B67710"/>
      <c r="C67710"/>
      <c r="E67710"/>
      <c r="F67710"/>
    </row>
    <row r="67711" spans="1:6" x14ac:dyDescent="0.25">
      <c r="A67711"/>
      <c r="B67711"/>
      <c r="C67711"/>
      <c r="E67711"/>
      <c r="F67711"/>
    </row>
    <row r="67712" spans="1:6" x14ac:dyDescent="0.25">
      <c r="A67712"/>
      <c r="B67712"/>
      <c r="C67712"/>
      <c r="E67712"/>
      <c r="F67712"/>
    </row>
    <row r="67713" spans="1:6" x14ac:dyDescent="0.25">
      <c r="A67713"/>
      <c r="B67713"/>
      <c r="C67713"/>
      <c r="E67713"/>
      <c r="F67713"/>
    </row>
    <row r="67714" spans="1:6" x14ac:dyDescent="0.25">
      <c r="A67714"/>
      <c r="B67714"/>
      <c r="C67714"/>
      <c r="E67714"/>
      <c r="F67714"/>
    </row>
    <row r="67715" spans="1:6" x14ac:dyDescent="0.25">
      <c r="A67715"/>
      <c r="B67715"/>
      <c r="C67715"/>
      <c r="E67715"/>
      <c r="F67715"/>
    </row>
    <row r="67716" spans="1:6" x14ac:dyDescent="0.25">
      <c r="A67716"/>
      <c r="B67716"/>
      <c r="C67716"/>
      <c r="E67716"/>
      <c r="F67716"/>
    </row>
    <row r="67717" spans="1:6" x14ac:dyDescent="0.25">
      <c r="A67717"/>
      <c r="B67717"/>
      <c r="C67717"/>
      <c r="E67717"/>
      <c r="F67717"/>
    </row>
    <row r="67718" spans="1:6" x14ac:dyDescent="0.25">
      <c r="A67718"/>
      <c r="B67718"/>
      <c r="C67718"/>
      <c r="E67718"/>
      <c r="F67718"/>
    </row>
    <row r="67719" spans="1:6" x14ac:dyDescent="0.25">
      <c r="A67719"/>
      <c r="B67719"/>
      <c r="C67719"/>
      <c r="E67719"/>
      <c r="F67719"/>
    </row>
    <row r="67720" spans="1:6" x14ac:dyDescent="0.25">
      <c r="A67720"/>
      <c r="B67720"/>
      <c r="C67720"/>
      <c r="E67720"/>
      <c r="F67720"/>
    </row>
    <row r="67721" spans="1:6" x14ac:dyDescent="0.25">
      <c r="A67721"/>
      <c r="B67721"/>
      <c r="C67721"/>
      <c r="E67721"/>
      <c r="F67721"/>
    </row>
    <row r="67722" spans="1:6" x14ac:dyDescent="0.25">
      <c r="A67722"/>
      <c r="B67722"/>
      <c r="C67722"/>
      <c r="E67722"/>
      <c r="F67722"/>
    </row>
    <row r="67723" spans="1:6" x14ac:dyDescent="0.25">
      <c r="A67723"/>
      <c r="B67723"/>
      <c r="C67723"/>
      <c r="E67723"/>
      <c r="F67723"/>
    </row>
    <row r="67724" spans="1:6" x14ac:dyDescent="0.25">
      <c r="A67724"/>
      <c r="B67724"/>
      <c r="C67724"/>
      <c r="E67724"/>
      <c r="F67724"/>
    </row>
    <row r="67725" spans="1:6" x14ac:dyDescent="0.25">
      <c r="A67725"/>
      <c r="B67725"/>
      <c r="C67725"/>
      <c r="E67725"/>
      <c r="F67725"/>
    </row>
    <row r="67726" spans="1:6" x14ac:dyDescent="0.25">
      <c r="A67726"/>
      <c r="B67726"/>
      <c r="C67726"/>
      <c r="E67726"/>
      <c r="F67726"/>
    </row>
    <row r="67727" spans="1:6" x14ac:dyDescent="0.25">
      <c r="A67727"/>
      <c r="B67727"/>
      <c r="C67727"/>
      <c r="E67727"/>
      <c r="F67727"/>
    </row>
    <row r="67728" spans="1:6" x14ac:dyDescent="0.25">
      <c r="A67728"/>
      <c r="B67728"/>
      <c r="C67728"/>
      <c r="E67728"/>
      <c r="F67728"/>
    </row>
    <row r="67729" spans="1:6" x14ac:dyDescent="0.25">
      <c r="A67729"/>
      <c r="B67729"/>
      <c r="C67729"/>
      <c r="E67729"/>
      <c r="F67729"/>
    </row>
    <row r="67730" spans="1:6" x14ac:dyDescent="0.25">
      <c r="A67730"/>
      <c r="B67730"/>
      <c r="C67730"/>
      <c r="E67730"/>
      <c r="F67730"/>
    </row>
    <row r="67731" spans="1:6" x14ac:dyDescent="0.25">
      <c r="A67731"/>
      <c r="B67731"/>
      <c r="C67731"/>
      <c r="E67731"/>
      <c r="F67731"/>
    </row>
    <row r="67732" spans="1:6" x14ac:dyDescent="0.25">
      <c r="A67732"/>
      <c r="B67732"/>
      <c r="C67732"/>
      <c r="E67732"/>
      <c r="F67732"/>
    </row>
    <row r="67733" spans="1:6" x14ac:dyDescent="0.25">
      <c r="A67733"/>
      <c r="B67733"/>
      <c r="C67733"/>
      <c r="E67733"/>
      <c r="F67733"/>
    </row>
    <row r="67734" spans="1:6" x14ac:dyDescent="0.25">
      <c r="A67734"/>
      <c r="B67734"/>
      <c r="C67734"/>
      <c r="E67734"/>
      <c r="F67734"/>
    </row>
    <row r="67735" spans="1:6" x14ac:dyDescent="0.25">
      <c r="A67735"/>
      <c r="B67735"/>
      <c r="C67735"/>
      <c r="E67735"/>
      <c r="F67735"/>
    </row>
    <row r="67736" spans="1:6" x14ac:dyDescent="0.25">
      <c r="A67736"/>
      <c r="B67736"/>
      <c r="C67736"/>
      <c r="E67736"/>
      <c r="F67736"/>
    </row>
    <row r="67737" spans="1:6" x14ac:dyDescent="0.25">
      <c r="A67737"/>
      <c r="B67737"/>
      <c r="C67737"/>
      <c r="E67737"/>
      <c r="F67737"/>
    </row>
    <row r="67738" spans="1:6" x14ac:dyDescent="0.25">
      <c r="A67738"/>
      <c r="B67738"/>
      <c r="C67738"/>
      <c r="E67738"/>
      <c r="F67738"/>
    </row>
    <row r="67739" spans="1:6" x14ac:dyDescent="0.25">
      <c r="A67739"/>
      <c r="B67739"/>
      <c r="C67739"/>
      <c r="E67739"/>
      <c r="F67739"/>
    </row>
    <row r="67740" spans="1:6" x14ac:dyDescent="0.25">
      <c r="A67740"/>
      <c r="B67740"/>
      <c r="C67740"/>
      <c r="E67740"/>
      <c r="F67740"/>
    </row>
    <row r="67741" spans="1:6" x14ac:dyDescent="0.25">
      <c r="A67741"/>
      <c r="B67741"/>
      <c r="C67741"/>
      <c r="E67741"/>
      <c r="F67741"/>
    </row>
    <row r="67742" spans="1:6" x14ac:dyDescent="0.25">
      <c r="A67742"/>
      <c r="B67742"/>
      <c r="C67742"/>
      <c r="E67742"/>
      <c r="F67742"/>
    </row>
    <row r="67743" spans="1:6" x14ac:dyDescent="0.25">
      <c r="A67743"/>
      <c r="B67743"/>
      <c r="C67743"/>
      <c r="E67743"/>
      <c r="F67743"/>
    </row>
    <row r="67744" spans="1:6" x14ac:dyDescent="0.25">
      <c r="A67744"/>
      <c r="B67744"/>
      <c r="C67744"/>
      <c r="E67744"/>
      <c r="F67744"/>
    </row>
    <row r="67745" spans="1:6" x14ac:dyDescent="0.25">
      <c r="A67745"/>
      <c r="B67745"/>
      <c r="C67745"/>
      <c r="E67745"/>
      <c r="F67745"/>
    </row>
    <row r="67746" spans="1:6" x14ac:dyDescent="0.25">
      <c r="A67746"/>
      <c r="B67746"/>
      <c r="C67746"/>
      <c r="E67746"/>
      <c r="F67746"/>
    </row>
    <row r="67747" spans="1:6" x14ac:dyDescent="0.25">
      <c r="A67747"/>
      <c r="B67747"/>
      <c r="C67747"/>
      <c r="E67747"/>
      <c r="F67747"/>
    </row>
    <row r="67748" spans="1:6" x14ac:dyDescent="0.25">
      <c r="A67748"/>
      <c r="B67748"/>
      <c r="C67748"/>
      <c r="E67748"/>
      <c r="F67748"/>
    </row>
    <row r="67749" spans="1:6" x14ac:dyDescent="0.25">
      <c r="A67749"/>
      <c r="B67749"/>
      <c r="C67749"/>
      <c r="E67749"/>
      <c r="F67749"/>
    </row>
    <row r="67750" spans="1:6" x14ac:dyDescent="0.25">
      <c r="A67750"/>
      <c r="B67750"/>
      <c r="C67750"/>
      <c r="E67750"/>
      <c r="F67750"/>
    </row>
    <row r="67751" spans="1:6" x14ac:dyDescent="0.25">
      <c r="A67751"/>
      <c r="B67751"/>
      <c r="C67751"/>
      <c r="E67751"/>
      <c r="F67751"/>
    </row>
    <row r="67752" spans="1:6" x14ac:dyDescent="0.25">
      <c r="A67752"/>
      <c r="B67752"/>
      <c r="C67752"/>
      <c r="E67752"/>
      <c r="F67752"/>
    </row>
    <row r="67753" spans="1:6" x14ac:dyDescent="0.25">
      <c r="A67753"/>
      <c r="B67753"/>
      <c r="C67753"/>
      <c r="E67753"/>
      <c r="F67753"/>
    </row>
    <row r="67754" spans="1:6" x14ac:dyDescent="0.25">
      <c r="A67754"/>
      <c r="B67754"/>
      <c r="C67754"/>
      <c r="E67754"/>
      <c r="F67754"/>
    </row>
    <row r="67755" spans="1:6" x14ac:dyDescent="0.25">
      <c r="A67755"/>
      <c r="B67755"/>
      <c r="C67755"/>
      <c r="E67755"/>
      <c r="F67755"/>
    </row>
    <row r="67756" spans="1:6" x14ac:dyDescent="0.25">
      <c r="A67756"/>
      <c r="B67756"/>
      <c r="C67756"/>
      <c r="E67756"/>
      <c r="F67756"/>
    </row>
    <row r="67757" spans="1:6" x14ac:dyDescent="0.25">
      <c r="A67757"/>
      <c r="B67757"/>
      <c r="C67757"/>
      <c r="E67757"/>
      <c r="F67757"/>
    </row>
    <row r="67758" spans="1:6" x14ac:dyDescent="0.25">
      <c r="A67758"/>
      <c r="B67758"/>
      <c r="C67758"/>
      <c r="E67758"/>
      <c r="F67758"/>
    </row>
    <row r="67759" spans="1:6" x14ac:dyDescent="0.25">
      <c r="A67759"/>
      <c r="B67759"/>
      <c r="C67759"/>
      <c r="E67759"/>
      <c r="F67759"/>
    </row>
    <row r="67760" spans="1:6" x14ac:dyDescent="0.25">
      <c r="A67760"/>
      <c r="B67760"/>
      <c r="C67760"/>
      <c r="E67760"/>
      <c r="F67760"/>
    </row>
    <row r="67761" spans="1:6" x14ac:dyDescent="0.25">
      <c r="A67761"/>
      <c r="B67761"/>
      <c r="C67761"/>
      <c r="E67761"/>
      <c r="F67761"/>
    </row>
    <row r="67762" spans="1:6" x14ac:dyDescent="0.25">
      <c r="A67762"/>
      <c r="B67762"/>
      <c r="C67762"/>
      <c r="E67762"/>
      <c r="F67762"/>
    </row>
    <row r="67763" spans="1:6" x14ac:dyDescent="0.25">
      <c r="A67763"/>
      <c r="B67763"/>
      <c r="C67763"/>
      <c r="E67763"/>
      <c r="F67763"/>
    </row>
    <row r="67764" spans="1:6" x14ac:dyDescent="0.25">
      <c r="A67764"/>
      <c r="B67764"/>
      <c r="C67764"/>
      <c r="E67764"/>
      <c r="F67764"/>
    </row>
    <row r="67765" spans="1:6" x14ac:dyDescent="0.25">
      <c r="A67765"/>
      <c r="B67765"/>
      <c r="C67765"/>
      <c r="E67765"/>
      <c r="F67765"/>
    </row>
    <row r="67766" spans="1:6" x14ac:dyDescent="0.25">
      <c r="A67766"/>
      <c r="B67766"/>
      <c r="C67766"/>
      <c r="E67766"/>
      <c r="F67766"/>
    </row>
    <row r="67767" spans="1:6" x14ac:dyDescent="0.25">
      <c r="A67767"/>
      <c r="B67767"/>
      <c r="C67767"/>
      <c r="E67767"/>
      <c r="F67767"/>
    </row>
    <row r="67768" spans="1:6" x14ac:dyDescent="0.25">
      <c r="A67768"/>
      <c r="B67768"/>
      <c r="C67768"/>
      <c r="E67768"/>
      <c r="F67768"/>
    </row>
    <row r="67769" spans="1:6" x14ac:dyDescent="0.25">
      <c r="A67769"/>
      <c r="B67769"/>
      <c r="C67769"/>
      <c r="E67769"/>
      <c r="F67769"/>
    </row>
    <row r="67770" spans="1:6" x14ac:dyDescent="0.25">
      <c r="A67770"/>
      <c r="B67770"/>
      <c r="C67770"/>
      <c r="E67770"/>
      <c r="F67770"/>
    </row>
    <row r="67771" spans="1:6" x14ac:dyDescent="0.25">
      <c r="A67771"/>
      <c r="B67771"/>
      <c r="C67771"/>
      <c r="E67771"/>
      <c r="F67771"/>
    </row>
    <row r="67772" spans="1:6" x14ac:dyDescent="0.25">
      <c r="A67772"/>
      <c r="B67772"/>
      <c r="C67772"/>
      <c r="E67772"/>
      <c r="F67772"/>
    </row>
    <row r="67773" spans="1:6" x14ac:dyDescent="0.25">
      <c r="A67773"/>
      <c r="B67773"/>
      <c r="C67773"/>
      <c r="E67773"/>
      <c r="F67773"/>
    </row>
    <row r="67774" spans="1:6" x14ac:dyDescent="0.25">
      <c r="A67774"/>
      <c r="B67774"/>
      <c r="C67774"/>
      <c r="E67774"/>
      <c r="F67774"/>
    </row>
    <row r="67775" spans="1:6" x14ac:dyDescent="0.25">
      <c r="A67775"/>
      <c r="B67775"/>
      <c r="C67775"/>
      <c r="E67775"/>
      <c r="F67775"/>
    </row>
    <row r="67776" spans="1:6" x14ac:dyDescent="0.25">
      <c r="A67776"/>
      <c r="B67776"/>
      <c r="C67776"/>
      <c r="E67776"/>
      <c r="F67776"/>
    </row>
    <row r="67777" spans="1:6" x14ac:dyDescent="0.25">
      <c r="A67777"/>
      <c r="B67777"/>
      <c r="C67777"/>
      <c r="E67777"/>
      <c r="F67777"/>
    </row>
    <row r="67778" spans="1:6" x14ac:dyDescent="0.25">
      <c r="A67778"/>
      <c r="B67778"/>
      <c r="C67778"/>
      <c r="E67778"/>
      <c r="F67778"/>
    </row>
    <row r="67779" spans="1:6" x14ac:dyDescent="0.25">
      <c r="A67779"/>
      <c r="B67779"/>
      <c r="C67779"/>
      <c r="E67779"/>
      <c r="F67779"/>
    </row>
    <row r="67780" spans="1:6" x14ac:dyDescent="0.25">
      <c r="A67780"/>
      <c r="B67780"/>
      <c r="C67780"/>
      <c r="E67780"/>
      <c r="F67780"/>
    </row>
    <row r="67781" spans="1:6" x14ac:dyDescent="0.25">
      <c r="A67781"/>
      <c r="B67781"/>
      <c r="C67781"/>
      <c r="E67781"/>
      <c r="F67781"/>
    </row>
    <row r="67782" spans="1:6" x14ac:dyDescent="0.25">
      <c r="A67782"/>
      <c r="B67782"/>
      <c r="C67782"/>
      <c r="E67782"/>
      <c r="F67782"/>
    </row>
    <row r="67783" spans="1:6" x14ac:dyDescent="0.25">
      <c r="A67783"/>
      <c r="B67783"/>
      <c r="C67783"/>
      <c r="E67783"/>
      <c r="F67783"/>
    </row>
    <row r="67784" spans="1:6" x14ac:dyDescent="0.25">
      <c r="A67784"/>
      <c r="B67784"/>
      <c r="C67784"/>
      <c r="E67784"/>
      <c r="F67784"/>
    </row>
    <row r="67785" spans="1:6" x14ac:dyDescent="0.25">
      <c r="A67785"/>
      <c r="B67785"/>
      <c r="C67785"/>
      <c r="E67785"/>
      <c r="F67785"/>
    </row>
    <row r="67786" spans="1:6" x14ac:dyDescent="0.25">
      <c r="A67786"/>
      <c r="B67786"/>
      <c r="C67786"/>
      <c r="E67786"/>
      <c r="F67786"/>
    </row>
    <row r="67787" spans="1:6" x14ac:dyDescent="0.25">
      <c r="A67787"/>
      <c r="B67787"/>
      <c r="C67787"/>
      <c r="E67787"/>
      <c r="F67787"/>
    </row>
    <row r="67788" spans="1:6" x14ac:dyDescent="0.25">
      <c r="A67788"/>
      <c r="B67788"/>
      <c r="C67788"/>
      <c r="E67788"/>
      <c r="F67788"/>
    </row>
    <row r="67789" spans="1:6" x14ac:dyDescent="0.25">
      <c r="A67789"/>
      <c r="B67789"/>
      <c r="C67789"/>
      <c r="E67789"/>
      <c r="F67789"/>
    </row>
    <row r="67790" spans="1:6" x14ac:dyDescent="0.25">
      <c r="A67790"/>
      <c r="B67790"/>
      <c r="C67790"/>
      <c r="E67790"/>
      <c r="F67790"/>
    </row>
    <row r="67791" spans="1:6" x14ac:dyDescent="0.25">
      <c r="A67791"/>
      <c r="B67791"/>
      <c r="C67791"/>
      <c r="E67791"/>
      <c r="F67791"/>
    </row>
    <row r="67792" spans="1:6" x14ac:dyDescent="0.25">
      <c r="A67792"/>
      <c r="B67792"/>
      <c r="C67792"/>
      <c r="E67792"/>
      <c r="F67792"/>
    </row>
    <row r="67793" spans="1:6" x14ac:dyDescent="0.25">
      <c r="A67793"/>
      <c r="B67793"/>
      <c r="C67793"/>
      <c r="E67793"/>
      <c r="F67793"/>
    </row>
    <row r="67794" spans="1:6" x14ac:dyDescent="0.25">
      <c r="A67794"/>
      <c r="B67794"/>
      <c r="C67794"/>
      <c r="E67794"/>
      <c r="F67794"/>
    </row>
    <row r="67795" spans="1:6" x14ac:dyDescent="0.25">
      <c r="A67795"/>
      <c r="B67795"/>
      <c r="C67795"/>
      <c r="E67795"/>
      <c r="F67795"/>
    </row>
    <row r="67796" spans="1:6" x14ac:dyDescent="0.25">
      <c r="A67796"/>
      <c r="B67796"/>
      <c r="C67796"/>
      <c r="E67796"/>
      <c r="F67796"/>
    </row>
    <row r="67797" spans="1:6" x14ac:dyDescent="0.25">
      <c r="A67797"/>
      <c r="B67797"/>
      <c r="C67797"/>
      <c r="E67797"/>
      <c r="F67797"/>
    </row>
    <row r="67798" spans="1:6" x14ac:dyDescent="0.25">
      <c r="A67798"/>
      <c r="B67798"/>
      <c r="C67798"/>
      <c r="E67798"/>
      <c r="F67798"/>
    </row>
    <row r="67799" spans="1:6" x14ac:dyDescent="0.25">
      <c r="A67799"/>
      <c r="B67799"/>
      <c r="C67799"/>
      <c r="E67799"/>
      <c r="F67799"/>
    </row>
    <row r="67800" spans="1:6" x14ac:dyDescent="0.25">
      <c r="A67800"/>
      <c r="B67800"/>
      <c r="C67800"/>
      <c r="E67800"/>
      <c r="F67800"/>
    </row>
    <row r="67801" spans="1:6" x14ac:dyDescent="0.25">
      <c r="A67801"/>
      <c r="B67801"/>
      <c r="C67801"/>
      <c r="E67801"/>
      <c r="F67801"/>
    </row>
    <row r="67802" spans="1:6" x14ac:dyDescent="0.25">
      <c r="A67802"/>
      <c r="B67802"/>
      <c r="C67802"/>
      <c r="E67802"/>
      <c r="F67802"/>
    </row>
    <row r="67803" spans="1:6" x14ac:dyDescent="0.25">
      <c r="A67803"/>
      <c r="B67803"/>
      <c r="C67803"/>
      <c r="E67803"/>
      <c r="F67803"/>
    </row>
    <row r="67804" spans="1:6" x14ac:dyDescent="0.25">
      <c r="A67804"/>
      <c r="B67804"/>
      <c r="C67804"/>
      <c r="E67804"/>
      <c r="F67804"/>
    </row>
    <row r="67805" spans="1:6" x14ac:dyDescent="0.25">
      <c r="A67805"/>
      <c r="B67805"/>
      <c r="C67805"/>
      <c r="E67805"/>
      <c r="F67805"/>
    </row>
    <row r="67806" spans="1:6" x14ac:dyDescent="0.25">
      <c r="A67806"/>
      <c r="B67806"/>
      <c r="C67806"/>
      <c r="E67806"/>
      <c r="F67806"/>
    </row>
    <row r="67807" spans="1:6" x14ac:dyDescent="0.25">
      <c r="A67807"/>
      <c r="B67807"/>
      <c r="C67807"/>
      <c r="E67807"/>
      <c r="F67807"/>
    </row>
    <row r="67808" spans="1:6" x14ac:dyDescent="0.25">
      <c r="A67808"/>
      <c r="B67808"/>
      <c r="C67808"/>
      <c r="E67808"/>
      <c r="F67808"/>
    </row>
    <row r="67809" spans="1:6" x14ac:dyDescent="0.25">
      <c r="A67809"/>
      <c r="B67809"/>
      <c r="C67809"/>
      <c r="E67809"/>
      <c r="F67809"/>
    </row>
    <row r="67810" spans="1:6" x14ac:dyDescent="0.25">
      <c r="A67810"/>
      <c r="B67810"/>
      <c r="C67810"/>
      <c r="E67810"/>
      <c r="F67810"/>
    </row>
    <row r="67811" spans="1:6" x14ac:dyDescent="0.25">
      <c r="A67811"/>
      <c r="B67811"/>
      <c r="C67811"/>
      <c r="E67811"/>
      <c r="F67811"/>
    </row>
    <row r="67812" spans="1:6" x14ac:dyDescent="0.25">
      <c r="A67812"/>
      <c r="B67812"/>
      <c r="C67812"/>
      <c r="E67812"/>
      <c r="F67812"/>
    </row>
    <row r="67813" spans="1:6" x14ac:dyDescent="0.25">
      <c r="A67813"/>
      <c r="B67813"/>
      <c r="C67813"/>
      <c r="E67813"/>
      <c r="F67813"/>
    </row>
    <row r="67814" spans="1:6" x14ac:dyDescent="0.25">
      <c r="A67814"/>
      <c r="B67814"/>
      <c r="C67814"/>
      <c r="E67814"/>
      <c r="F67814"/>
    </row>
    <row r="67815" spans="1:6" x14ac:dyDescent="0.25">
      <c r="A67815"/>
      <c r="B67815"/>
      <c r="C67815"/>
      <c r="E67815"/>
      <c r="F67815"/>
    </row>
    <row r="67816" spans="1:6" x14ac:dyDescent="0.25">
      <c r="A67816"/>
      <c r="B67816"/>
      <c r="C67816"/>
      <c r="E67816"/>
      <c r="F67816"/>
    </row>
    <row r="67817" spans="1:6" x14ac:dyDescent="0.25">
      <c r="A67817"/>
      <c r="B67817"/>
      <c r="C67817"/>
      <c r="E67817"/>
      <c r="F67817"/>
    </row>
    <row r="67818" spans="1:6" x14ac:dyDescent="0.25">
      <c r="A67818"/>
      <c r="B67818"/>
      <c r="C67818"/>
      <c r="E67818"/>
      <c r="F67818"/>
    </row>
    <row r="67819" spans="1:6" x14ac:dyDescent="0.25">
      <c r="A67819"/>
      <c r="B67819"/>
      <c r="C67819"/>
      <c r="E67819"/>
      <c r="F67819"/>
    </row>
    <row r="67820" spans="1:6" x14ac:dyDescent="0.25">
      <c r="A67820"/>
      <c r="B67820"/>
      <c r="C67820"/>
      <c r="E67820"/>
      <c r="F67820"/>
    </row>
    <row r="67821" spans="1:6" x14ac:dyDescent="0.25">
      <c r="A67821"/>
      <c r="B67821"/>
      <c r="C67821"/>
      <c r="E67821"/>
      <c r="F67821"/>
    </row>
    <row r="67822" spans="1:6" x14ac:dyDescent="0.25">
      <c r="A67822"/>
      <c r="B67822"/>
      <c r="C67822"/>
      <c r="E67822"/>
      <c r="F67822"/>
    </row>
    <row r="67823" spans="1:6" x14ac:dyDescent="0.25">
      <c r="A67823"/>
      <c r="B67823"/>
      <c r="C67823"/>
      <c r="E67823"/>
      <c r="F67823"/>
    </row>
    <row r="67824" spans="1:6" x14ac:dyDescent="0.25">
      <c r="A67824"/>
      <c r="B67824"/>
      <c r="C67824"/>
      <c r="E67824"/>
      <c r="F67824"/>
    </row>
    <row r="67825" spans="1:6" x14ac:dyDescent="0.25">
      <c r="A67825"/>
      <c r="B67825"/>
      <c r="C67825"/>
      <c r="E67825"/>
      <c r="F67825"/>
    </row>
    <row r="67826" spans="1:6" x14ac:dyDescent="0.25">
      <c r="A67826"/>
      <c r="B67826"/>
      <c r="C67826"/>
      <c r="E67826"/>
      <c r="F67826"/>
    </row>
    <row r="67827" spans="1:6" x14ac:dyDescent="0.25">
      <c r="A67827"/>
      <c r="B67827"/>
      <c r="C67827"/>
      <c r="E67827"/>
      <c r="F67827"/>
    </row>
    <row r="67828" spans="1:6" x14ac:dyDescent="0.25">
      <c r="A67828"/>
      <c r="B67828"/>
      <c r="C67828"/>
      <c r="E67828"/>
      <c r="F67828"/>
    </row>
    <row r="67829" spans="1:6" x14ac:dyDescent="0.25">
      <c r="A67829"/>
      <c r="B67829"/>
      <c r="C67829"/>
      <c r="E67829"/>
      <c r="F67829"/>
    </row>
    <row r="67830" spans="1:6" x14ac:dyDescent="0.25">
      <c r="A67830"/>
      <c r="B67830"/>
      <c r="C67830"/>
      <c r="E67830"/>
      <c r="F67830"/>
    </row>
    <row r="67831" spans="1:6" x14ac:dyDescent="0.25">
      <c r="A67831"/>
      <c r="B67831"/>
      <c r="C67831"/>
      <c r="E67831"/>
      <c r="F67831"/>
    </row>
    <row r="67832" spans="1:6" x14ac:dyDescent="0.25">
      <c r="A67832"/>
      <c r="B67832"/>
      <c r="C67832"/>
      <c r="E67832"/>
      <c r="F67832"/>
    </row>
    <row r="67833" spans="1:6" x14ac:dyDescent="0.25">
      <c r="A67833"/>
      <c r="B67833"/>
      <c r="C67833"/>
      <c r="E67833"/>
      <c r="F67833"/>
    </row>
    <row r="67834" spans="1:6" x14ac:dyDescent="0.25">
      <c r="A67834"/>
      <c r="B67834"/>
      <c r="C67834"/>
      <c r="E67834"/>
      <c r="F67834"/>
    </row>
    <row r="67835" spans="1:6" x14ac:dyDescent="0.25">
      <c r="A67835"/>
      <c r="B67835"/>
      <c r="C67835"/>
      <c r="E67835"/>
      <c r="F67835"/>
    </row>
    <row r="67836" spans="1:6" x14ac:dyDescent="0.25">
      <c r="A67836"/>
      <c r="B67836"/>
      <c r="C67836"/>
      <c r="E67836"/>
      <c r="F67836"/>
    </row>
    <row r="67837" spans="1:6" x14ac:dyDescent="0.25">
      <c r="A67837"/>
      <c r="B67837"/>
      <c r="C67837"/>
      <c r="E67837"/>
      <c r="F67837"/>
    </row>
    <row r="67838" spans="1:6" x14ac:dyDescent="0.25">
      <c r="A67838"/>
      <c r="B67838"/>
      <c r="C67838"/>
      <c r="E67838"/>
      <c r="F67838"/>
    </row>
    <row r="67839" spans="1:6" x14ac:dyDescent="0.25">
      <c r="A67839"/>
      <c r="B67839"/>
      <c r="C67839"/>
      <c r="E67839"/>
      <c r="F67839"/>
    </row>
    <row r="67840" spans="1:6" x14ac:dyDescent="0.25">
      <c r="A67840"/>
      <c r="B67840"/>
      <c r="C67840"/>
      <c r="E67840"/>
      <c r="F67840"/>
    </row>
    <row r="67841" spans="1:6" x14ac:dyDescent="0.25">
      <c r="A67841"/>
      <c r="B67841"/>
      <c r="C67841"/>
      <c r="E67841"/>
      <c r="F67841"/>
    </row>
    <row r="67842" spans="1:6" x14ac:dyDescent="0.25">
      <c r="A67842"/>
      <c r="B67842"/>
      <c r="C67842"/>
      <c r="E67842"/>
      <c r="F67842"/>
    </row>
    <row r="67843" spans="1:6" x14ac:dyDescent="0.25">
      <c r="A67843"/>
      <c r="B67843"/>
      <c r="C67843"/>
      <c r="E67843"/>
      <c r="F67843"/>
    </row>
    <row r="67844" spans="1:6" x14ac:dyDescent="0.25">
      <c r="A67844"/>
      <c r="B67844"/>
      <c r="C67844"/>
      <c r="E67844"/>
      <c r="F67844"/>
    </row>
    <row r="67845" spans="1:6" x14ac:dyDescent="0.25">
      <c r="A67845"/>
      <c r="B67845"/>
      <c r="C67845"/>
      <c r="E67845"/>
      <c r="F67845"/>
    </row>
    <row r="67846" spans="1:6" x14ac:dyDescent="0.25">
      <c r="A67846"/>
      <c r="B67846"/>
      <c r="C67846"/>
      <c r="E67846"/>
      <c r="F67846"/>
    </row>
    <row r="67847" spans="1:6" x14ac:dyDescent="0.25">
      <c r="A67847"/>
      <c r="B67847"/>
      <c r="C67847"/>
      <c r="E67847"/>
      <c r="F67847"/>
    </row>
    <row r="67848" spans="1:6" x14ac:dyDescent="0.25">
      <c r="A67848"/>
      <c r="B67848"/>
      <c r="C67848"/>
      <c r="E67848"/>
      <c r="F67848"/>
    </row>
    <row r="67849" spans="1:6" x14ac:dyDescent="0.25">
      <c r="A67849"/>
      <c r="B67849"/>
      <c r="C67849"/>
      <c r="E67849"/>
      <c r="F67849"/>
    </row>
    <row r="67850" spans="1:6" x14ac:dyDescent="0.25">
      <c r="A67850"/>
      <c r="B67850"/>
      <c r="C67850"/>
      <c r="E67850"/>
      <c r="F67850"/>
    </row>
    <row r="67851" spans="1:6" x14ac:dyDescent="0.25">
      <c r="A67851"/>
      <c r="B67851"/>
      <c r="C67851"/>
      <c r="E67851"/>
      <c r="F67851"/>
    </row>
    <row r="67852" spans="1:6" x14ac:dyDescent="0.25">
      <c r="A67852"/>
      <c r="B67852"/>
      <c r="C67852"/>
      <c r="E67852"/>
      <c r="F67852"/>
    </row>
    <row r="67853" spans="1:6" x14ac:dyDescent="0.25">
      <c r="A67853"/>
      <c r="B67853"/>
      <c r="C67853"/>
      <c r="E67853"/>
      <c r="F67853"/>
    </row>
    <row r="67854" spans="1:6" x14ac:dyDescent="0.25">
      <c r="A67854"/>
      <c r="B67854"/>
      <c r="C67854"/>
      <c r="E67854"/>
      <c r="F67854"/>
    </row>
    <row r="67855" spans="1:6" x14ac:dyDescent="0.25">
      <c r="A67855"/>
      <c r="B67855"/>
      <c r="C67855"/>
      <c r="E67855"/>
      <c r="F67855"/>
    </row>
    <row r="67856" spans="1:6" x14ac:dyDescent="0.25">
      <c r="A67856"/>
      <c r="B67856"/>
      <c r="C67856"/>
      <c r="E67856"/>
      <c r="F67856"/>
    </row>
    <row r="67857" spans="1:6" x14ac:dyDescent="0.25">
      <c r="A67857"/>
      <c r="B67857"/>
      <c r="C67857"/>
      <c r="E67857"/>
      <c r="F67857"/>
    </row>
    <row r="67858" spans="1:6" x14ac:dyDescent="0.25">
      <c r="A67858"/>
      <c r="B67858"/>
      <c r="C67858"/>
      <c r="E67858"/>
      <c r="F67858"/>
    </row>
    <row r="67859" spans="1:6" x14ac:dyDescent="0.25">
      <c r="A67859"/>
      <c r="B67859"/>
      <c r="C67859"/>
      <c r="E67859"/>
      <c r="F67859"/>
    </row>
    <row r="67860" spans="1:6" x14ac:dyDescent="0.25">
      <c r="A67860"/>
      <c r="B67860"/>
      <c r="C67860"/>
      <c r="E67860"/>
      <c r="F67860"/>
    </row>
    <row r="67861" spans="1:6" x14ac:dyDescent="0.25">
      <c r="A67861"/>
      <c r="B67861"/>
      <c r="C67861"/>
      <c r="E67861"/>
      <c r="F67861"/>
    </row>
    <row r="67862" spans="1:6" x14ac:dyDescent="0.25">
      <c r="A67862"/>
      <c r="B67862"/>
      <c r="C67862"/>
      <c r="E67862"/>
      <c r="F67862"/>
    </row>
    <row r="67863" spans="1:6" x14ac:dyDescent="0.25">
      <c r="A67863"/>
      <c r="B67863"/>
      <c r="C67863"/>
      <c r="E67863"/>
      <c r="F67863"/>
    </row>
    <row r="67864" spans="1:6" x14ac:dyDescent="0.25">
      <c r="A67864"/>
      <c r="B67864"/>
      <c r="C67864"/>
      <c r="E67864"/>
      <c r="F67864"/>
    </row>
    <row r="67865" spans="1:6" x14ac:dyDescent="0.25">
      <c r="A67865"/>
      <c r="B67865"/>
      <c r="C67865"/>
      <c r="E67865"/>
      <c r="F67865"/>
    </row>
    <row r="67866" spans="1:6" x14ac:dyDescent="0.25">
      <c r="A67866"/>
      <c r="B67866"/>
      <c r="C67866"/>
      <c r="E67866"/>
      <c r="F67866"/>
    </row>
    <row r="67867" spans="1:6" x14ac:dyDescent="0.25">
      <c r="A67867"/>
      <c r="B67867"/>
      <c r="C67867"/>
      <c r="E67867"/>
      <c r="F67867"/>
    </row>
    <row r="67868" spans="1:6" x14ac:dyDescent="0.25">
      <c r="A67868"/>
      <c r="B67868"/>
      <c r="C67868"/>
      <c r="E67868"/>
      <c r="F67868"/>
    </row>
    <row r="67869" spans="1:6" x14ac:dyDescent="0.25">
      <c r="A67869"/>
      <c r="B67869"/>
      <c r="C67869"/>
      <c r="E67869"/>
      <c r="F67869"/>
    </row>
    <row r="67870" spans="1:6" x14ac:dyDescent="0.25">
      <c r="A67870"/>
      <c r="B67870"/>
      <c r="C67870"/>
      <c r="E67870"/>
      <c r="F67870"/>
    </row>
    <row r="67871" spans="1:6" x14ac:dyDescent="0.25">
      <c r="A67871"/>
      <c r="B67871"/>
      <c r="C67871"/>
      <c r="E67871"/>
      <c r="F67871"/>
    </row>
    <row r="67872" spans="1:6" x14ac:dyDescent="0.25">
      <c r="A67872"/>
      <c r="B67872"/>
      <c r="C67872"/>
      <c r="E67872"/>
      <c r="F67872"/>
    </row>
    <row r="67873" spans="1:6" x14ac:dyDescent="0.25">
      <c r="A67873"/>
      <c r="B67873"/>
      <c r="C67873"/>
      <c r="E67873"/>
      <c r="F67873"/>
    </row>
    <row r="67874" spans="1:6" x14ac:dyDescent="0.25">
      <c r="A67874"/>
      <c r="B67874"/>
      <c r="C67874"/>
      <c r="E67874"/>
      <c r="F67874"/>
    </row>
    <row r="67875" spans="1:6" x14ac:dyDescent="0.25">
      <c r="A67875"/>
      <c r="B67875"/>
      <c r="C67875"/>
      <c r="E67875"/>
      <c r="F67875"/>
    </row>
    <row r="67876" spans="1:6" x14ac:dyDescent="0.25">
      <c r="A67876"/>
      <c r="B67876"/>
      <c r="C67876"/>
      <c r="E67876"/>
      <c r="F67876"/>
    </row>
    <row r="67877" spans="1:6" x14ac:dyDescent="0.25">
      <c r="A67877"/>
      <c r="B67877"/>
      <c r="C67877"/>
      <c r="E67877"/>
      <c r="F67877"/>
    </row>
    <row r="67878" spans="1:6" x14ac:dyDescent="0.25">
      <c r="A67878"/>
      <c r="B67878"/>
      <c r="C67878"/>
      <c r="E67878"/>
      <c r="F67878"/>
    </row>
    <row r="67879" spans="1:6" x14ac:dyDescent="0.25">
      <c r="A67879"/>
      <c r="B67879"/>
      <c r="C67879"/>
      <c r="E67879"/>
      <c r="F67879"/>
    </row>
    <row r="67880" spans="1:6" x14ac:dyDescent="0.25">
      <c r="A67880"/>
      <c r="B67880"/>
      <c r="C67880"/>
      <c r="E67880"/>
      <c r="F67880"/>
    </row>
    <row r="67881" spans="1:6" x14ac:dyDescent="0.25">
      <c r="A67881"/>
      <c r="B67881"/>
      <c r="C67881"/>
      <c r="E67881"/>
      <c r="F67881"/>
    </row>
    <row r="67882" spans="1:6" x14ac:dyDescent="0.25">
      <c r="A67882"/>
      <c r="B67882"/>
      <c r="C67882"/>
      <c r="E67882"/>
      <c r="F67882"/>
    </row>
    <row r="67883" spans="1:6" x14ac:dyDescent="0.25">
      <c r="A67883"/>
      <c r="B67883"/>
      <c r="C67883"/>
      <c r="E67883"/>
      <c r="F67883"/>
    </row>
    <row r="67884" spans="1:6" x14ac:dyDescent="0.25">
      <c r="A67884"/>
      <c r="B67884"/>
      <c r="C67884"/>
      <c r="E67884"/>
      <c r="F67884"/>
    </row>
    <row r="67885" spans="1:6" x14ac:dyDescent="0.25">
      <c r="A67885"/>
      <c r="B67885"/>
      <c r="C67885"/>
      <c r="E67885"/>
      <c r="F67885"/>
    </row>
    <row r="67886" spans="1:6" x14ac:dyDescent="0.25">
      <c r="A67886"/>
      <c r="B67886"/>
      <c r="C67886"/>
      <c r="E67886"/>
      <c r="F67886"/>
    </row>
    <row r="67887" spans="1:6" x14ac:dyDescent="0.25">
      <c r="A67887"/>
      <c r="B67887"/>
      <c r="C67887"/>
      <c r="E67887"/>
      <c r="F67887"/>
    </row>
    <row r="67888" spans="1:6" x14ac:dyDescent="0.25">
      <c r="A67888"/>
      <c r="B67888"/>
      <c r="C67888"/>
      <c r="E67888"/>
      <c r="F67888"/>
    </row>
    <row r="67889" spans="1:6" x14ac:dyDescent="0.25">
      <c r="A67889"/>
      <c r="B67889"/>
      <c r="C67889"/>
      <c r="E67889"/>
      <c r="F67889"/>
    </row>
    <row r="67890" spans="1:6" x14ac:dyDescent="0.25">
      <c r="A67890"/>
      <c r="B67890"/>
      <c r="C67890"/>
      <c r="E67890"/>
      <c r="F67890"/>
    </row>
    <row r="67891" spans="1:6" x14ac:dyDescent="0.25">
      <c r="A67891"/>
      <c r="B67891"/>
      <c r="C67891"/>
      <c r="E67891"/>
      <c r="F67891"/>
    </row>
    <row r="67892" spans="1:6" x14ac:dyDescent="0.25">
      <c r="A67892"/>
      <c r="B67892"/>
      <c r="C67892"/>
      <c r="E67892"/>
      <c r="F67892"/>
    </row>
    <row r="67893" spans="1:6" x14ac:dyDescent="0.25">
      <c r="A67893"/>
      <c r="B67893"/>
      <c r="C67893"/>
      <c r="E67893"/>
      <c r="F67893"/>
    </row>
    <row r="67894" spans="1:6" x14ac:dyDescent="0.25">
      <c r="A67894"/>
      <c r="B67894"/>
      <c r="C67894"/>
      <c r="E67894"/>
      <c r="F67894"/>
    </row>
    <row r="67895" spans="1:6" x14ac:dyDescent="0.25">
      <c r="A67895"/>
      <c r="B67895"/>
      <c r="C67895"/>
      <c r="E67895"/>
      <c r="F67895"/>
    </row>
    <row r="67896" spans="1:6" x14ac:dyDescent="0.25">
      <c r="A67896"/>
      <c r="B67896"/>
      <c r="C67896"/>
      <c r="E67896"/>
      <c r="F67896"/>
    </row>
    <row r="67897" spans="1:6" x14ac:dyDescent="0.25">
      <c r="A67897"/>
      <c r="B67897"/>
      <c r="C67897"/>
      <c r="E67897"/>
      <c r="F67897"/>
    </row>
    <row r="67898" spans="1:6" x14ac:dyDescent="0.25">
      <c r="A67898"/>
      <c r="B67898"/>
      <c r="C67898"/>
      <c r="E67898"/>
      <c r="F67898"/>
    </row>
    <row r="67899" spans="1:6" x14ac:dyDescent="0.25">
      <c r="A67899"/>
      <c r="B67899"/>
      <c r="C67899"/>
      <c r="E67899"/>
      <c r="F67899"/>
    </row>
    <row r="67900" spans="1:6" x14ac:dyDescent="0.25">
      <c r="A67900"/>
      <c r="B67900"/>
      <c r="C67900"/>
      <c r="E67900"/>
      <c r="F67900"/>
    </row>
    <row r="67901" spans="1:6" x14ac:dyDescent="0.25">
      <c r="A67901"/>
      <c r="B67901"/>
      <c r="C67901"/>
      <c r="E67901"/>
      <c r="F67901"/>
    </row>
    <row r="67902" spans="1:6" x14ac:dyDescent="0.25">
      <c r="A67902"/>
      <c r="B67902"/>
      <c r="C67902"/>
      <c r="E67902"/>
      <c r="F67902"/>
    </row>
    <row r="67903" spans="1:6" x14ac:dyDescent="0.25">
      <c r="A67903"/>
      <c r="B67903"/>
      <c r="C67903"/>
      <c r="E67903"/>
      <c r="F67903"/>
    </row>
    <row r="67904" spans="1:6" x14ac:dyDescent="0.25">
      <c r="A67904"/>
      <c r="B67904"/>
      <c r="C67904"/>
      <c r="E67904"/>
      <c r="F67904"/>
    </row>
    <row r="67905" spans="1:6" x14ac:dyDescent="0.25">
      <c r="A67905"/>
      <c r="B67905"/>
      <c r="C67905"/>
      <c r="E67905"/>
      <c r="F67905"/>
    </row>
    <row r="67906" spans="1:6" x14ac:dyDescent="0.25">
      <c r="A67906"/>
      <c r="B67906"/>
      <c r="C67906"/>
      <c r="E67906"/>
      <c r="F67906"/>
    </row>
    <row r="67907" spans="1:6" x14ac:dyDescent="0.25">
      <c r="A67907"/>
      <c r="B67907"/>
      <c r="C67907"/>
      <c r="E67907"/>
      <c r="F67907"/>
    </row>
    <row r="67908" spans="1:6" x14ac:dyDescent="0.25">
      <c r="A67908"/>
      <c r="B67908"/>
      <c r="C67908"/>
      <c r="E67908"/>
      <c r="F67908"/>
    </row>
    <row r="67909" spans="1:6" x14ac:dyDescent="0.25">
      <c r="A67909"/>
      <c r="B67909"/>
      <c r="C67909"/>
      <c r="E67909"/>
      <c r="F67909"/>
    </row>
    <row r="67910" spans="1:6" x14ac:dyDescent="0.25">
      <c r="A67910"/>
      <c r="B67910"/>
      <c r="C67910"/>
      <c r="E67910"/>
      <c r="F67910"/>
    </row>
    <row r="67911" spans="1:6" x14ac:dyDescent="0.25">
      <c r="A67911"/>
      <c r="B67911"/>
      <c r="C67911"/>
      <c r="E67911"/>
      <c r="F67911"/>
    </row>
    <row r="67912" spans="1:6" x14ac:dyDescent="0.25">
      <c r="A67912"/>
      <c r="B67912"/>
      <c r="C67912"/>
      <c r="E67912"/>
      <c r="F67912"/>
    </row>
    <row r="67913" spans="1:6" x14ac:dyDescent="0.25">
      <c r="A67913"/>
      <c r="B67913"/>
      <c r="C67913"/>
      <c r="E67913"/>
      <c r="F67913"/>
    </row>
    <row r="67914" spans="1:6" x14ac:dyDescent="0.25">
      <c r="A67914"/>
      <c r="B67914"/>
      <c r="C67914"/>
      <c r="E67914"/>
      <c r="F67914"/>
    </row>
    <row r="67915" spans="1:6" x14ac:dyDescent="0.25">
      <c r="A67915"/>
      <c r="B67915"/>
      <c r="C67915"/>
      <c r="E67915"/>
      <c r="F67915"/>
    </row>
    <row r="67916" spans="1:6" x14ac:dyDescent="0.25">
      <c r="A67916"/>
      <c r="B67916"/>
      <c r="C67916"/>
      <c r="E67916"/>
      <c r="F67916"/>
    </row>
    <row r="67917" spans="1:6" x14ac:dyDescent="0.25">
      <c r="A67917"/>
      <c r="B67917"/>
      <c r="C67917"/>
      <c r="E67917"/>
      <c r="F67917"/>
    </row>
    <row r="67918" spans="1:6" x14ac:dyDescent="0.25">
      <c r="A67918"/>
      <c r="B67918"/>
      <c r="C67918"/>
      <c r="E67918"/>
      <c r="F67918"/>
    </row>
    <row r="67919" spans="1:6" x14ac:dyDescent="0.25">
      <c r="A67919"/>
      <c r="B67919"/>
      <c r="C67919"/>
      <c r="E67919"/>
      <c r="F67919"/>
    </row>
    <row r="67920" spans="1:6" x14ac:dyDescent="0.25">
      <c r="A67920"/>
      <c r="B67920"/>
      <c r="C67920"/>
      <c r="E67920"/>
      <c r="F67920"/>
    </row>
    <row r="67921" spans="1:6" x14ac:dyDescent="0.25">
      <c r="A67921"/>
      <c r="B67921"/>
      <c r="C67921"/>
      <c r="E67921"/>
      <c r="F67921"/>
    </row>
    <row r="67922" spans="1:6" x14ac:dyDescent="0.25">
      <c r="A67922"/>
      <c r="B67922"/>
      <c r="C67922"/>
      <c r="E67922"/>
      <c r="F67922"/>
    </row>
    <row r="67923" spans="1:6" x14ac:dyDescent="0.25">
      <c r="A67923"/>
      <c r="B67923"/>
      <c r="C67923"/>
      <c r="E67923"/>
      <c r="F67923"/>
    </row>
    <row r="67924" spans="1:6" x14ac:dyDescent="0.25">
      <c r="A67924"/>
      <c r="B67924"/>
      <c r="C67924"/>
      <c r="E67924"/>
      <c r="F67924"/>
    </row>
    <row r="67925" spans="1:6" x14ac:dyDescent="0.25">
      <c r="A67925"/>
      <c r="B67925"/>
      <c r="C67925"/>
      <c r="E67925"/>
      <c r="F67925"/>
    </row>
    <row r="67926" spans="1:6" x14ac:dyDescent="0.25">
      <c r="A67926"/>
      <c r="B67926"/>
      <c r="C67926"/>
      <c r="E67926"/>
      <c r="F67926"/>
    </row>
    <row r="67927" spans="1:6" x14ac:dyDescent="0.25">
      <c r="A67927"/>
      <c r="B67927"/>
      <c r="C67927"/>
      <c r="E67927"/>
      <c r="F67927"/>
    </row>
    <row r="67928" spans="1:6" x14ac:dyDescent="0.25">
      <c r="A67928"/>
      <c r="B67928"/>
      <c r="C67928"/>
      <c r="E67928"/>
      <c r="F67928"/>
    </row>
    <row r="67929" spans="1:6" x14ac:dyDescent="0.25">
      <c r="A67929"/>
      <c r="B67929"/>
      <c r="C67929"/>
      <c r="E67929"/>
      <c r="F67929"/>
    </row>
    <row r="67930" spans="1:6" x14ac:dyDescent="0.25">
      <c r="A67930"/>
      <c r="B67930"/>
      <c r="C67930"/>
      <c r="E67930"/>
      <c r="F67930"/>
    </row>
    <row r="67931" spans="1:6" x14ac:dyDescent="0.25">
      <c r="A67931"/>
      <c r="B67931"/>
      <c r="C67931"/>
      <c r="E67931"/>
      <c r="F67931"/>
    </row>
    <row r="67932" spans="1:6" x14ac:dyDescent="0.25">
      <c r="A67932"/>
      <c r="B67932"/>
      <c r="C67932"/>
      <c r="E67932"/>
      <c r="F67932"/>
    </row>
    <row r="67933" spans="1:6" x14ac:dyDescent="0.25">
      <c r="A67933"/>
      <c r="B67933"/>
      <c r="C67933"/>
      <c r="E67933"/>
      <c r="F67933"/>
    </row>
    <row r="67934" spans="1:6" x14ac:dyDescent="0.25">
      <c r="A67934"/>
      <c r="B67934"/>
      <c r="C67934"/>
      <c r="E67934"/>
      <c r="F67934"/>
    </row>
    <row r="67935" spans="1:6" x14ac:dyDescent="0.25">
      <c r="A67935"/>
      <c r="B67935"/>
      <c r="C67935"/>
      <c r="E67935"/>
      <c r="F67935"/>
    </row>
    <row r="67936" spans="1:6" x14ac:dyDescent="0.25">
      <c r="A67936"/>
      <c r="B67936"/>
      <c r="C67936"/>
      <c r="E67936"/>
      <c r="F67936"/>
    </row>
    <row r="67937" spans="1:6" x14ac:dyDescent="0.25">
      <c r="A67937"/>
      <c r="B67937"/>
      <c r="C67937"/>
      <c r="E67937"/>
      <c r="F67937"/>
    </row>
    <row r="67938" spans="1:6" x14ac:dyDescent="0.25">
      <c r="A67938"/>
      <c r="B67938"/>
      <c r="C67938"/>
      <c r="E67938"/>
      <c r="F67938"/>
    </row>
    <row r="67939" spans="1:6" x14ac:dyDescent="0.25">
      <c r="A67939"/>
      <c r="B67939"/>
      <c r="C67939"/>
      <c r="E67939"/>
      <c r="F67939"/>
    </row>
    <row r="67940" spans="1:6" x14ac:dyDescent="0.25">
      <c r="A67940"/>
      <c r="B67940"/>
      <c r="C67940"/>
      <c r="E67940"/>
      <c r="F67940"/>
    </row>
    <row r="67941" spans="1:6" x14ac:dyDescent="0.25">
      <c r="A67941"/>
      <c r="B67941"/>
      <c r="C67941"/>
      <c r="E67941"/>
      <c r="F67941"/>
    </row>
    <row r="67942" spans="1:6" x14ac:dyDescent="0.25">
      <c r="A67942"/>
      <c r="B67942"/>
      <c r="C67942"/>
      <c r="E67942"/>
      <c r="F67942"/>
    </row>
    <row r="67943" spans="1:6" x14ac:dyDescent="0.25">
      <c r="A67943"/>
      <c r="B67943"/>
      <c r="C67943"/>
      <c r="E67943"/>
      <c r="F67943"/>
    </row>
    <row r="67944" spans="1:6" x14ac:dyDescent="0.25">
      <c r="A67944"/>
      <c r="B67944"/>
      <c r="C67944"/>
      <c r="E67944"/>
      <c r="F67944"/>
    </row>
    <row r="67945" spans="1:6" x14ac:dyDescent="0.25">
      <c r="A67945"/>
      <c r="B67945"/>
      <c r="C67945"/>
      <c r="E67945"/>
      <c r="F67945"/>
    </row>
    <row r="67946" spans="1:6" x14ac:dyDescent="0.25">
      <c r="A67946"/>
      <c r="B67946"/>
      <c r="C67946"/>
      <c r="E67946"/>
      <c r="F67946"/>
    </row>
    <row r="67947" spans="1:6" x14ac:dyDescent="0.25">
      <c r="A67947"/>
      <c r="B67947"/>
      <c r="C67947"/>
      <c r="E67947"/>
      <c r="F67947"/>
    </row>
    <row r="67948" spans="1:6" x14ac:dyDescent="0.25">
      <c r="A67948"/>
      <c r="B67948"/>
      <c r="C67948"/>
      <c r="E67948"/>
      <c r="F67948"/>
    </row>
    <row r="67949" spans="1:6" x14ac:dyDescent="0.25">
      <c r="A67949"/>
      <c r="B67949"/>
      <c r="C67949"/>
      <c r="E67949"/>
      <c r="F67949"/>
    </row>
    <row r="67950" spans="1:6" x14ac:dyDescent="0.25">
      <c r="A67950"/>
      <c r="B67950"/>
      <c r="C67950"/>
      <c r="E67950"/>
      <c r="F67950"/>
    </row>
    <row r="67951" spans="1:6" x14ac:dyDescent="0.25">
      <c r="A67951"/>
      <c r="B67951"/>
      <c r="C67951"/>
      <c r="E67951"/>
      <c r="F67951"/>
    </row>
    <row r="67952" spans="1:6" x14ac:dyDescent="0.25">
      <c r="A67952"/>
      <c r="B67952"/>
      <c r="C67952"/>
      <c r="E67952"/>
      <c r="F67952"/>
    </row>
    <row r="67953" spans="1:6" x14ac:dyDescent="0.25">
      <c r="A67953"/>
      <c r="B67953"/>
      <c r="C67953"/>
      <c r="E67953"/>
      <c r="F67953"/>
    </row>
    <row r="67954" spans="1:6" x14ac:dyDescent="0.25">
      <c r="A67954"/>
      <c r="B67954"/>
      <c r="C67954"/>
      <c r="E67954"/>
      <c r="F67954"/>
    </row>
    <row r="67955" spans="1:6" x14ac:dyDescent="0.25">
      <c r="A67955"/>
      <c r="B67955"/>
      <c r="C67955"/>
      <c r="E67955"/>
      <c r="F67955"/>
    </row>
    <row r="67956" spans="1:6" x14ac:dyDescent="0.25">
      <c r="A67956"/>
      <c r="B67956"/>
      <c r="C67956"/>
      <c r="E67956"/>
      <c r="F67956"/>
    </row>
    <row r="67957" spans="1:6" x14ac:dyDescent="0.25">
      <c r="A67957"/>
      <c r="B67957"/>
      <c r="C67957"/>
      <c r="E67957"/>
      <c r="F67957"/>
    </row>
    <row r="67958" spans="1:6" x14ac:dyDescent="0.25">
      <c r="A67958"/>
      <c r="B67958"/>
      <c r="C67958"/>
      <c r="E67958"/>
      <c r="F67958"/>
    </row>
    <row r="67959" spans="1:6" x14ac:dyDescent="0.25">
      <c r="A67959"/>
      <c r="B67959"/>
      <c r="C67959"/>
      <c r="E67959"/>
      <c r="F67959"/>
    </row>
    <row r="67960" spans="1:6" x14ac:dyDescent="0.25">
      <c r="A67960"/>
      <c r="B67960"/>
      <c r="C67960"/>
      <c r="E67960"/>
      <c r="F67960"/>
    </row>
    <row r="67961" spans="1:6" x14ac:dyDescent="0.25">
      <c r="A67961"/>
      <c r="B67961"/>
      <c r="C67961"/>
      <c r="E67961"/>
      <c r="F67961"/>
    </row>
    <row r="67962" spans="1:6" x14ac:dyDescent="0.25">
      <c r="A67962"/>
      <c r="B67962"/>
      <c r="C67962"/>
      <c r="E67962"/>
      <c r="F67962"/>
    </row>
    <row r="67963" spans="1:6" x14ac:dyDescent="0.25">
      <c r="A67963"/>
      <c r="B67963"/>
      <c r="C67963"/>
      <c r="E67963"/>
      <c r="F67963"/>
    </row>
    <row r="67964" spans="1:6" x14ac:dyDescent="0.25">
      <c r="A67964"/>
      <c r="B67964"/>
      <c r="C67964"/>
      <c r="E67964"/>
      <c r="F67964"/>
    </row>
    <row r="67965" spans="1:6" x14ac:dyDescent="0.25">
      <c r="A67965"/>
      <c r="B67965"/>
      <c r="C67965"/>
      <c r="E67965"/>
      <c r="F67965"/>
    </row>
    <row r="67966" spans="1:6" x14ac:dyDescent="0.25">
      <c r="A67966"/>
      <c r="B67966"/>
      <c r="C67966"/>
      <c r="E67966"/>
      <c r="F67966"/>
    </row>
    <row r="67967" spans="1:6" x14ac:dyDescent="0.25">
      <c r="A67967"/>
      <c r="B67967"/>
      <c r="C67967"/>
      <c r="E67967"/>
      <c r="F67967"/>
    </row>
    <row r="67968" spans="1:6" x14ac:dyDescent="0.25">
      <c r="A67968"/>
      <c r="B67968"/>
      <c r="C67968"/>
      <c r="E67968"/>
      <c r="F67968"/>
    </row>
    <row r="67969" spans="1:6" x14ac:dyDescent="0.25">
      <c r="A67969"/>
      <c r="B67969"/>
      <c r="C67969"/>
      <c r="E67969"/>
      <c r="F67969"/>
    </row>
    <row r="67970" spans="1:6" x14ac:dyDescent="0.25">
      <c r="A67970"/>
      <c r="B67970"/>
      <c r="C67970"/>
      <c r="E67970"/>
      <c r="F67970"/>
    </row>
    <row r="67971" spans="1:6" x14ac:dyDescent="0.25">
      <c r="A67971"/>
      <c r="B67971"/>
      <c r="C67971"/>
      <c r="E67971"/>
      <c r="F67971"/>
    </row>
    <row r="67972" spans="1:6" x14ac:dyDescent="0.25">
      <c r="A67972"/>
      <c r="B67972"/>
      <c r="C67972"/>
      <c r="E67972"/>
      <c r="F67972"/>
    </row>
    <row r="67973" spans="1:6" x14ac:dyDescent="0.25">
      <c r="A67973"/>
      <c r="B67973"/>
      <c r="C67973"/>
      <c r="E67973"/>
      <c r="F67973"/>
    </row>
    <row r="67974" spans="1:6" x14ac:dyDescent="0.25">
      <c r="A67974"/>
      <c r="B67974"/>
      <c r="C67974"/>
      <c r="E67974"/>
      <c r="F67974"/>
    </row>
    <row r="67975" spans="1:6" x14ac:dyDescent="0.25">
      <c r="A67975"/>
      <c r="B67975"/>
      <c r="C67975"/>
      <c r="E67975"/>
      <c r="F67975"/>
    </row>
    <row r="67976" spans="1:6" x14ac:dyDescent="0.25">
      <c r="A67976"/>
      <c r="B67976"/>
      <c r="C67976"/>
      <c r="E67976"/>
      <c r="F67976"/>
    </row>
    <row r="67977" spans="1:6" x14ac:dyDescent="0.25">
      <c r="A67977"/>
      <c r="B67977"/>
      <c r="C67977"/>
      <c r="E67977"/>
      <c r="F67977"/>
    </row>
    <row r="67978" spans="1:6" x14ac:dyDescent="0.25">
      <c r="A67978"/>
      <c r="B67978"/>
      <c r="C67978"/>
      <c r="E67978"/>
      <c r="F67978"/>
    </row>
    <row r="67979" spans="1:6" x14ac:dyDescent="0.25">
      <c r="A67979"/>
      <c r="B67979"/>
      <c r="C67979"/>
      <c r="E67979"/>
      <c r="F67979"/>
    </row>
    <row r="67980" spans="1:6" x14ac:dyDescent="0.25">
      <c r="A67980"/>
      <c r="B67980"/>
      <c r="C67980"/>
      <c r="E67980"/>
      <c r="F67980"/>
    </row>
    <row r="67981" spans="1:6" x14ac:dyDescent="0.25">
      <c r="A67981"/>
      <c r="B67981"/>
      <c r="C67981"/>
      <c r="E67981"/>
      <c r="F67981"/>
    </row>
    <row r="67982" spans="1:6" x14ac:dyDescent="0.25">
      <c r="A67982"/>
      <c r="B67982"/>
      <c r="C67982"/>
      <c r="E67982"/>
      <c r="F67982"/>
    </row>
    <row r="67983" spans="1:6" x14ac:dyDescent="0.25">
      <c r="A67983"/>
      <c r="B67983"/>
      <c r="C67983"/>
      <c r="E67983"/>
      <c r="F67983"/>
    </row>
    <row r="67984" spans="1:6" x14ac:dyDescent="0.25">
      <c r="A67984"/>
      <c r="B67984"/>
      <c r="C67984"/>
      <c r="E67984"/>
      <c r="F67984"/>
    </row>
    <row r="67985" spans="1:6" x14ac:dyDescent="0.25">
      <c r="A67985"/>
      <c r="B67985"/>
      <c r="C67985"/>
      <c r="E67985"/>
      <c r="F67985"/>
    </row>
    <row r="67986" spans="1:6" x14ac:dyDescent="0.25">
      <c r="A67986"/>
      <c r="B67986"/>
      <c r="C67986"/>
      <c r="E67986"/>
      <c r="F67986"/>
    </row>
    <row r="67987" spans="1:6" x14ac:dyDescent="0.25">
      <c r="A67987"/>
      <c r="B67987"/>
      <c r="C67987"/>
      <c r="E67987"/>
      <c r="F67987"/>
    </row>
    <row r="67988" spans="1:6" x14ac:dyDescent="0.25">
      <c r="A67988"/>
      <c r="B67988"/>
      <c r="C67988"/>
      <c r="E67988"/>
      <c r="F67988"/>
    </row>
    <row r="67989" spans="1:6" x14ac:dyDescent="0.25">
      <c r="A67989"/>
      <c r="B67989"/>
      <c r="C67989"/>
      <c r="E67989"/>
      <c r="F67989"/>
    </row>
    <row r="67990" spans="1:6" x14ac:dyDescent="0.25">
      <c r="A67990"/>
      <c r="B67990"/>
      <c r="C67990"/>
      <c r="E67990"/>
      <c r="F67990"/>
    </row>
    <row r="67991" spans="1:6" x14ac:dyDescent="0.25">
      <c r="A67991"/>
      <c r="B67991"/>
      <c r="C67991"/>
      <c r="E67991"/>
      <c r="F67991"/>
    </row>
    <row r="67992" spans="1:6" x14ac:dyDescent="0.25">
      <c r="A67992"/>
      <c r="B67992"/>
      <c r="C67992"/>
      <c r="E67992"/>
      <c r="F67992"/>
    </row>
    <row r="67993" spans="1:6" x14ac:dyDescent="0.25">
      <c r="A67993"/>
      <c r="B67993"/>
      <c r="C67993"/>
      <c r="E67993"/>
      <c r="F67993"/>
    </row>
    <row r="67994" spans="1:6" x14ac:dyDescent="0.25">
      <c r="A67994"/>
      <c r="B67994"/>
      <c r="C67994"/>
      <c r="E67994"/>
      <c r="F67994"/>
    </row>
    <row r="67995" spans="1:6" x14ac:dyDescent="0.25">
      <c r="A67995"/>
      <c r="B67995"/>
      <c r="C67995"/>
      <c r="E67995"/>
      <c r="F67995"/>
    </row>
    <row r="67996" spans="1:6" x14ac:dyDescent="0.25">
      <c r="A67996"/>
      <c r="B67996"/>
      <c r="C67996"/>
      <c r="E67996"/>
      <c r="F67996"/>
    </row>
    <row r="67997" spans="1:6" x14ac:dyDescent="0.25">
      <c r="A67997"/>
      <c r="B67997"/>
      <c r="C67997"/>
      <c r="E67997"/>
      <c r="F67997"/>
    </row>
    <row r="67998" spans="1:6" x14ac:dyDescent="0.25">
      <c r="A67998"/>
      <c r="B67998"/>
      <c r="C67998"/>
      <c r="E67998"/>
      <c r="F67998"/>
    </row>
    <row r="67999" spans="1:6" x14ac:dyDescent="0.25">
      <c r="A67999"/>
      <c r="B67999"/>
      <c r="C67999"/>
      <c r="E67999"/>
      <c r="F67999"/>
    </row>
    <row r="68000" spans="1:6" x14ac:dyDescent="0.25">
      <c r="A68000"/>
      <c r="B68000"/>
      <c r="C68000"/>
      <c r="E68000"/>
      <c r="F68000"/>
    </row>
    <row r="68001" spans="1:6" x14ac:dyDescent="0.25">
      <c r="A68001"/>
      <c r="B68001"/>
      <c r="C68001"/>
      <c r="E68001"/>
      <c r="F68001"/>
    </row>
    <row r="68002" spans="1:6" x14ac:dyDescent="0.25">
      <c r="A68002"/>
      <c r="B68002"/>
      <c r="C68002"/>
      <c r="E68002"/>
      <c r="F68002"/>
    </row>
    <row r="68003" spans="1:6" x14ac:dyDescent="0.25">
      <c r="A68003"/>
      <c r="B68003"/>
      <c r="C68003"/>
      <c r="E68003"/>
      <c r="F68003"/>
    </row>
    <row r="68004" spans="1:6" x14ac:dyDescent="0.25">
      <c r="A68004"/>
      <c r="B68004"/>
      <c r="C68004"/>
      <c r="E68004"/>
      <c r="F68004"/>
    </row>
    <row r="68005" spans="1:6" x14ac:dyDescent="0.25">
      <c r="A68005"/>
      <c r="B68005"/>
      <c r="C68005"/>
      <c r="E68005"/>
      <c r="F68005"/>
    </row>
    <row r="68006" spans="1:6" x14ac:dyDescent="0.25">
      <c r="A68006"/>
      <c r="B68006"/>
      <c r="C68006"/>
      <c r="E68006"/>
      <c r="F68006"/>
    </row>
    <row r="68007" spans="1:6" x14ac:dyDescent="0.25">
      <c r="A68007"/>
      <c r="B68007"/>
      <c r="C68007"/>
      <c r="E68007"/>
      <c r="F68007"/>
    </row>
    <row r="68008" spans="1:6" x14ac:dyDescent="0.25">
      <c r="A68008"/>
      <c r="B68008"/>
      <c r="C68008"/>
      <c r="E68008"/>
      <c r="F68008"/>
    </row>
    <row r="68009" spans="1:6" x14ac:dyDescent="0.25">
      <c r="A68009"/>
      <c r="B68009"/>
      <c r="C68009"/>
      <c r="E68009"/>
      <c r="F68009"/>
    </row>
    <row r="68010" spans="1:6" x14ac:dyDescent="0.25">
      <c r="A68010"/>
      <c r="B68010"/>
      <c r="C68010"/>
      <c r="E68010"/>
      <c r="F68010"/>
    </row>
    <row r="68011" spans="1:6" x14ac:dyDescent="0.25">
      <c r="A68011"/>
      <c r="B68011"/>
      <c r="C68011"/>
      <c r="E68011"/>
      <c r="F68011"/>
    </row>
    <row r="68012" spans="1:6" x14ac:dyDescent="0.25">
      <c r="A68012"/>
      <c r="B68012"/>
      <c r="C68012"/>
      <c r="E68012"/>
      <c r="F68012"/>
    </row>
    <row r="68013" spans="1:6" x14ac:dyDescent="0.25">
      <c r="A68013"/>
      <c r="B68013"/>
      <c r="C68013"/>
      <c r="E68013"/>
      <c r="F68013"/>
    </row>
    <row r="68014" spans="1:6" x14ac:dyDescent="0.25">
      <c r="A68014"/>
      <c r="B68014"/>
      <c r="C68014"/>
      <c r="E68014"/>
      <c r="F68014"/>
    </row>
    <row r="68015" spans="1:6" x14ac:dyDescent="0.25">
      <c r="A68015"/>
      <c r="B68015"/>
      <c r="C68015"/>
      <c r="E68015"/>
      <c r="F68015"/>
    </row>
    <row r="68016" spans="1:6" x14ac:dyDescent="0.25">
      <c r="A68016"/>
      <c r="B68016"/>
      <c r="C68016"/>
      <c r="E68016"/>
      <c r="F68016"/>
    </row>
    <row r="68017" spans="1:6" x14ac:dyDescent="0.25">
      <c r="A68017"/>
      <c r="B68017"/>
      <c r="C68017"/>
      <c r="E68017"/>
      <c r="F68017"/>
    </row>
    <row r="68018" spans="1:6" x14ac:dyDescent="0.25">
      <c r="A68018"/>
      <c r="B68018"/>
      <c r="C68018"/>
      <c r="E68018"/>
      <c r="F68018"/>
    </row>
    <row r="68019" spans="1:6" x14ac:dyDescent="0.25">
      <c r="A68019"/>
      <c r="B68019"/>
      <c r="C68019"/>
      <c r="E68019"/>
      <c r="F68019"/>
    </row>
    <row r="68020" spans="1:6" x14ac:dyDescent="0.25">
      <c r="A68020"/>
      <c r="B68020"/>
      <c r="C68020"/>
      <c r="E68020"/>
      <c r="F68020"/>
    </row>
    <row r="68021" spans="1:6" x14ac:dyDescent="0.25">
      <c r="A68021"/>
      <c r="B68021"/>
      <c r="C68021"/>
      <c r="E68021"/>
      <c r="F68021"/>
    </row>
    <row r="68022" spans="1:6" x14ac:dyDescent="0.25">
      <c r="A68022"/>
      <c r="B68022"/>
      <c r="C68022"/>
      <c r="E68022"/>
      <c r="F68022"/>
    </row>
    <row r="68023" spans="1:6" x14ac:dyDescent="0.25">
      <c r="A68023"/>
      <c r="B68023"/>
      <c r="C68023"/>
      <c r="E68023"/>
      <c r="F68023"/>
    </row>
    <row r="68024" spans="1:6" x14ac:dyDescent="0.25">
      <c r="A68024"/>
      <c r="B68024"/>
      <c r="C68024"/>
      <c r="E68024"/>
      <c r="F68024"/>
    </row>
    <row r="68025" spans="1:6" x14ac:dyDescent="0.25">
      <c r="A68025"/>
      <c r="B68025"/>
      <c r="C68025"/>
      <c r="E68025"/>
      <c r="F68025"/>
    </row>
    <row r="68026" spans="1:6" x14ac:dyDescent="0.25">
      <c r="A68026"/>
      <c r="B68026"/>
      <c r="C68026"/>
      <c r="E68026"/>
      <c r="F68026"/>
    </row>
    <row r="68027" spans="1:6" x14ac:dyDescent="0.25">
      <c r="A68027"/>
      <c r="B68027"/>
      <c r="C68027"/>
      <c r="E68027"/>
      <c r="F68027"/>
    </row>
    <row r="68028" spans="1:6" x14ac:dyDescent="0.25">
      <c r="A68028"/>
      <c r="B68028"/>
      <c r="C68028"/>
      <c r="E68028"/>
      <c r="F68028"/>
    </row>
    <row r="68029" spans="1:6" x14ac:dyDescent="0.25">
      <c r="A68029"/>
      <c r="B68029"/>
      <c r="C68029"/>
      <c r="E68029"/>
      <c r="F68029"/>
    </row>
    <row r="68030" spans="1:6" x14ac:dyDescent="0.25">
      <c r="A68030"/>
      <c r="B68030"/>
      <c r="C68030"/>
      <c r="E68030"/>
      <c r="F68030"/>
    </row>
    <row r="68031" spans="1:6" x14ac:dyDescent="0.25">
      <c r="A68031"/>
      <c r="B68031"/>
      <c r="C68031"/>
      <c r="E68031"/>
      <c r="F68031"/>
    </row>
    <row r="68032" spans="1:6" x14ac:dyDescent="0.25">
      <c r="A68032"/>
      <c r="B68032"/>
      <c r="C68032"/>
      <c r="E68032"/>
      <c r="F68032"/>
    </row>
    <row r="68033" spans="1:6" x14ac:dyDescent="0.25">
      <c r="A68033"/>
      <c r="B68033"/>
      <c r="C68033"/>
      <c r="E68033"/>
      <c r="F68033"/>
    </row>
    <row r="68034" spans="1:6" x14ac:dyDescent="0.25">
      <c r="A68034"/>
      <c r="B68034"/>
      <c r="C68034"/>
      <c r="E68034"/>
      <c r="F68034"/>
    </row>
    <row r="68035" spans="1:6" x14ac:dyDescent="0.25">
      <c r="A68035"/>
      <c r="B68035"/>
      <c r="C68035"/>
      <c r="E68035"/>
      <c r="F68035"/>
    </row>
    <row r="68036" spans="1:6" x14ac:dyDescent="0.25">
      <c r="A68036"/>
      <c r="B68036"/>
      <c r="C68036"/>
      <c r="E68036"/>
      <c r="F68036"/>
    </row>
    <row r="68037" spans="1:6" x14ac:dyDescent="0.25">
      <c r="A68037"/>
      <c r="B68037"/>
      <c r="C68037"/>
      <c r="E68037"/>
      <c r="F68037"/>
    </row>
    <row r="68038" spans="1:6" x14ac:dyDescent="0.25">
      <c r="A68038"/>
      <c r="B68038"/>
      <c r="C68038"/>
      <c r="E68038"/>
      <c r="F68038"/>
    </row>
    <row r="68039" spans="1:6" x14ac:dyDescent="0.25">
      <c r="A68039"/>
      <c r="B68039"/>
      <c r="C68039"/>
      <c r="E68039"/>
      <c r="F68039"/>
    </row>
    <row r="68040" spans="1:6" x14ac:dyDescent="0.25">
      <c r="A68040"/>
      <c r="B68040"/>
      <c r="C68040"/>
      <c r="E68040"/>
      <c r="F68040"/>
    </row>
    <row r="68041" spans="1:6" x14ac:dyDescent="0.25">
      <c r="A68041"/>
      <c r="B68041"/>
      <c r="C68041"/>
      <c r="E68041"/>
      <c r="F68041"/>
    </row>
    <row r="68042" spans="1:6" x14ac:dyDescent="0.25">
      <c r="A68042"/>
      <c r="B68042"/>
      <c r="C68042"/>
      <c r="E68042"/>
      <c r="F68042"/>
    </row>
    <row r="68043" spans="1:6" x14ac:dyDescent="0.25">
      <c r="A68043"/>
      <c r="B68043"/>
      <c r="C68043"/>
      <c r="E68043"/>
      <c r="F68043"/>
    </row>
    <row r="68044" spans="1:6" x14ac:dyDescent="0.25">
      <c r="A68044"/>
      <c r="B68044"/>
      <c r="C68044"/>
      <c r="E68044"/>
      <c r="F68044"/>
    </row>
    <row r="68045" spans="1:6" x14ac:dyDescent="0.25">
      <c r="A68045"/>
      <c r="B68045"/>
      <c r="C68045"/>
      <c r="E68045"/>
      <c r="F68045"/>
    </row>
    <row r="68046" spans="1:6" x14ac:dyDescent="0.25">
      <c r="A68046"/>
      <c r="B68046"/>
      <c r="C68046"/>
      <c r="E68046"/>
      <c r="F68046"/>
    </row>
    <row r="68047" spans="1:6" x14ac:dyDescent="0.25">
      <c r="A68047"/>
      <c r="B68047"/>
      <c r="C68047"/>
      <c r="E68047"/>
      <c r="F68047"/>
    </row>
    <row r="68048" spans="1:6" x14ac:dyDescent="0.25">
      <c r="A68048"/>
      <c r="B68048"/>
      <c r="C68048"/>
      <c r="E68048"/>
      <c r="F68048"/>
    </row>
    <row r="68049" spans="1:6" x14ac:dyDescent="0.25">
      <c r="A68049"/>
      <c r="B68049"/>
      <c r="C68049"/>
      <c r="E68049"/>
      <c r="F68049"/>
    </row>
    <row r="68050" spans="1:6" x14ac:dyDescent="0.25">
      <c r="A68050"/>
      <c r="B68050"/>
      <c r="C68050"/>
      <c r="E68050"/>
      <c r="F68050"/>
    </row>
    <row r="68051" spans="1:6" x14ac:dyDescent="0.25">
      <c r="A68051"/>
      <c r="B68051"/>
      <c r="C68051"/>
      <c r="E68051"/>
      <c r="F68051"/>
    </row>
    <row r="68052" spans="1:6" x14ac:dyDescent="0.25">
      <c r="A68052"/>
      <c r="B68052"/>
      <c r="C68052"/>
      <c r="E68052"/>
      <c r="F68052"/>
    </row>
    <row r="68053" spans="1:6" x14ac:dyDescent="0.25">
      <c r="A68053"/>
      <c r="B68053"/>
      <c r="C68053"/>
      <c r="E68053"/>
      <c r="F68053"/>
    </row>
    <row r="68054" spans="1:6" x14ac:dyDescent="0.25">
      <c r="A68054"/>
      <c r="B68054"/>
      <c r="C68054"/>
      <c r="E68054"/>
      <c r="F68054"/>
    </row>
    <row r="68055" spans="1:6" x14ac:dyDescent="0.25">
      <c r="A68055"/>
      <c r="B68055"/>
      <c r="C68055"/>
      <c r="E68055"/>
      <c r="F68055"/>
    </row>
    <row r="68056" spans="1:6" x14ac:dyDescent="0.25">
      <c r="A68056"/>
      <c r="B68056"/>
      <c r="C68056"/>
      <c r="E68056"/>
      <c r="F68056"/>
    </row>
    <row r="68057" spans="1:6" x14ac:dyDescent="0.25">
      <c r="A68057"/>
      <c r="B68057"/>
      <c r="C68057"/>
      <c r="E68057"/>
      <c r="F68057"/>
    </row>
    <row r="68058" spans="1:6" x14ac:dyDescent="0.25">
      <c r="A68058"/>
      <c r="B68058"/>
      <c r="C68058"/>
      <c r="E68058"/>
      <c r="F68058"/>
    </row>
    <row r="68059" spans="1:6" x14ac:dyDescent="0.25">
      <c r="A68059"/>
      <c r="B68059"/>
      <c r="C68059"/>
      <c r="E68059"/>
      <c r="F68059"/>
    </row>
    <row r="68060" spans="1:6" x14ac:dyDescent="0.25">
      <c r="A68060"/>
      <c r="B68060"/>
      <c r="C68060"/>
      <c r="E68060"/>
      <c r="F68060"/>
    </row>
    <row r="68061" spans="1:6" x14ac:dyDescent="0.25">
      <c r="A68061"/>
      <c r="B68061"/>
      <c r="C68061"/>
      <c r="E68061"/>
      <c r="F68061"/>
    </row>
    <row r="68062" spans="1:6" x14ac:dyDescent="0.25">
      <c r="A68062"/>
      <c r="B68062"/>
      <c r="C68062"/>
      <c r="E68062"/>
      <c r="F68062"/>
    </row>
    <row r="68063" spans="1:6" x14ac:dyDescent="0.25">
      <c r="A68063"/>
      <c r="B68063"/>
      <c r="C68063"/>
      <c r="E68063"/>
      <c r="F68063"/>
    </row>
    <row r="68064" spans="1:6" x14ac:dyDescent="0.25">
      <c r="A68064"/>
      <c r="B68064"/>
      <c r="C68064"/>
      <c r="E68064"/>
      <c r="F68064"/>
    </row>
    <row r="68065" spans="1:6" x14ac:dyDescent="0.25">
      <c r="A68065"/>
      <c r="B68065"/>
      <c r="C68065"/>
      <c r="E68065"/>
      <c r="F68065"/>
    </row>
    <row r="68066" spans="1:6" x14ac:dyDescent="0.25">
      <c r="A68066"/>
      <c r="B68066"/>
      <c r="C68066"/>
      <c r="E68066"/>
      <c r="F68066"/>
    </row>
    <row r="68067" spans="1:6" x14ac:dyDescent="0.25">
      <c r="A68067"/>
      <c r="B68067"/>
      <c r="C68067"/>
      <c r="E68067"/>
      <c r="F68067"/>
    </row>
    <row r="68068" spans="1:6" x14ac:dyDescent="0.25">
      <c r="A68068"/>
      <c r="B68068"/>
      <c r="C68068"/>
      <c r="E68068"/>
      <c r="F68068"/>
    </row>
    <row r="68069" spans="1:6" x14ac:dyDescent="0.25">
      <c r="A68069"/>
      <c r="B68069"/>
      <c r="C68069"/>
      <c r="E68069"/>
      <c r="F68069"/>
    </row>
    <row r="68070" spans="1:6" x14ac:dyDescent="0.25">
      <c r="A68070"/>
      <c r="B68070"/>
      <c r="C68070"/>
      <c r="E68070"/>
      <c r="F68070"/>
    </row>
    <row r="68071" spans="1:6" x14ac:dyDescent="0.25">
      <c r="A68071"/>
      <c r="B68071"/>
      <c r="C68071"/>
      <c r="E68071"/>
      <c r="F68071"/>
    </row>
    <row r="68072" spans="1:6" x14ac:dyDescent="0.25">
      <c r="A68072"/>
      <c r="B68072"/>
      <c r="C68072"/>
      <c r="E68072"/>
      <c r="F68072"/>
    </row>
    <row r="68073" spans="1:6" x14ac:dyDescent="0.25">
      <c r="A68073"/>
      <c r="B68073"/>
      <c r="C68073"/>
      <c r="E68073"/>
      <c r="F68073"/>
    </row>
    <row r="68074" spans="1:6" x14ac:dyDescent="0.25">
      <c r="A68074"/>
      <c r="B68074"/>
      <c r="C68074"/>
      <c r="E68074"/>
      <c r="F68074"/>
    </row>
    <row r="68075" spans="1:6" x14ac:dyDescent="0.25">
      <c r="A68075"/>
      <c r="B68075"/>
      <c r="C68075"/>
      <c r="E68075"/>
      <c r="F68075"/>
    </row>
    <row r="68076" spans="1:6" x14ac:dyDescent="0.25">
      <c r="A68076"/>
      <c r="B68076"/>
      <c r="C68076"/>
      <c r="E68076"/>
      <c r="F68076"/>
    </row>
    <row r="68077" spans="1:6" x14ac:dyDescent="0.25">
      <c r="A68077"/>
      <c r="B68077"/>
      <c r="C68077"/>
      <c r="E68077"/>
      <c r="F68077"/>
    </row>
    <row r="68078" spans="1:6" x14ac:dyDescent="0.25">
      <c r="A68078"/>
      <c r="B68078"/>
      <c r="C68078"/>
      <c r="E68078"/>
      <c r="F68078"/>
    </row>
    <row r="68079" spans="1:6" x14ac:dyDescent="0.25">
      <c r="A68079"/>
      <c r="B68079"/>
      <c r="C68079"/>
      <c r="E68079"/>
      <c r="F68079"/>
    </row>
    <row r="68080" spans="1:6" x14ac:dyDescent="0.25">
      <c r="A68080"/>
      <c r="B68080"/>
      <c r="C68080"/>
      <c r="E68080"/>
      <c r="F68080"/>
    </row>
    <row r="68081" spans="1:6" x14ac:dyDescent="0.25">
      <c r="A68081"/>
      <c r="B68081"/>
      <c r="C68081"/>
      <c r="E68081"/>
      <c r="F68081"/>
    </row>
    <row r="68082" spans="1:6" x14ac:dyDescent="0.25">
      <c r="A68082"/>
      <c r="B68082"/>
      <c r="C68082"/>
      <c r="E68082"/>
      <c r="F68082"/>
    </row>
    <row r="68083" spans="1:6" x14ac:dyDescent="0.25">
      <c r="A68083"/>
      <c r="B68083"/>
      <c r="C68083"/>
      <c r="E68083"/>
      <c r="F68083"/>
    </row>
    <row r="68084" spans="1:6" x14ac:dyDescent="0.25">
      <c r="A68084"/>
      <c r="B68084"/>
      <c r="C68084"/>
      <c r="E68084"/>
      <c r="F68084"/>
    </row>
    <row r="68085" spans="1:6" x14ac:dyDescent="0.25">
      <c r="A68085"/>
      <c r="B68085"/>
      <c r="C68085"/>
      <c r="E68085"/>
      <c r="F68085"/>
    </row>
    <row r="68086" spans="1:6" x14ac:dyDescent="0.25">
      <c r="A68086"/>
      <c r="B68086"/>
      <c r="C68086"/>
      <c r="E68086"/>
      <c r="F68086"/>
    </row>
    <row r="68087" spans="1:6" x14ac:dyDescent="0.25">
      <c r="A68087"/>
      <c r="B68087"/>
      <c r="C68087"/>
      <c r="E68087"/>
      <c r="F68087"/>
    </row>
    <row r="68088" spans="1:6" x14ac:dyDescent="0.25">
      <c r="A68088"/>
      <c r="B68088"/>
      <c r="C68088"/>
      <c r="E68088"/>
      <c r="F68088"/>
    </row>
    <row r="68089" spans="1:6" x14ac:dyDescent="0.25">
      <c r="A68089"/>
      <c r="B68089"/>
      <c r="C68089"/>
      <c r="E68089"/>
      <c r="F68089"/>
    </row>
    <row r="68090" spans="1:6" x14ac:dyDescent="0.25">
      <c r="A68090"/>
      <c r="B68090"/>
      <c r="C68090"/>
      <c r="E68090"/>
      <c r="F68090"/>
    </row>
    <row r="68091" spans="1:6" x14ac:dyDescent="0.25">
      <c r="A68091"/>
      <c r="B68091"/>
      <c r="C68091"/>
      <c r="E68091"/>
      <c r="F68091"/>
    </row>
    <row r="68092" spans="1:6" x14ac:dyDescent="0.25">
      <c r="A68092"/>
      <c r="B68092"/>
      <c r="C68092"/>
      <c r="E68092"/>
      <c r="F68092"/>
    </row>
    <row r="68093" spans="1:6" x14ac:dyDescent="0.25">
      <c r="A68093"/>
      <c r="B68093"/>
      <c r="C68093"/>
      <c r="E68093"/>
      <c r="F68093"/>
    </row>
    <row r="68094" spans="1:6" x14ac:dyDescent="0.25">
      <c r="A68094"/>
      <c r="B68094"/>
      <c r="C68094"/>
      <c r="E68094"/>
      <c r="F68094"/>
    </row>
    <row r="68095" spans="1:6" x14ac:dyDescent="0.25">
      <c r="A68095"/>
      <c r="B68095"/>
      <c r="C68095"/>
      <c r="E68095"/>
      <c r="F68095"/>
    </row>
    <row r="68096" spans="1:6" x14ac:dyDescent="0.25">
      <c r="A68096"/>
      <c r="B68096"/>
      <c r="C68096"/>
      <c r="E68096"/>
      <c r="F68096"/>
    </row>
    <row r="68097" spans="1:6" x14ac:dyDescent="0.25">
      <c r="A68097"/>
      <c r="B68097"/>
      <c r="C68097"/>
      <c r="E68097"/>
      <c r="F68097"/>
    </row>
    <row r="68098" spans="1:6" x14ac:dyDescent="0.25">
      <c r="A68098"/>
      <c r="B68098"/>
      <c r="C68098"/>
      <c r="E68098"/>
      <c r="F68098"/>
    </row>
    <row r="68099" spans="1:6" x14ac:dyDescent="0.25">
      <c r="A68099"/>
      <c r="B68099"/>
      <c r="C68099"/>
      <c r="E68099"/>
      <c r="F68099"/>
    </row>
    <row r="68100" spans="1:6" x14ac:dyDescent="0.25">
      <c r="A68100"/>
      <c r="B68100"/>
      <c r="C68100"/>
      <c r="E68100"/>
      <c r="F68100"/>
    </row>
    <row r="68101" spans="1:6" x14ac:dyDescent="0.25">
      <c r="A68101"/>
      <c r="B68101"/>
      <c r="C68101"/>
      <c r="E68101"/>
      <c r="F68101"/>
    </row>
    <row r="68102" spans="1:6" x14ac:dyDescent="0.25">
      <c r="A68102"/>
      <c r="B68102"/>
      <c r="C68102"/>
      <c r="E68102"/>
      <c r="F68102"/>
    </row>
    <row r="68103" spans="1:6" x14ac:dyDescent="0.25">
      <c r="A68103"/>
      <c r="B68103"/>
      <c r="C68103"/>
      <c r="E68103"/>
      <c r="F68103"/>
    </row>
    <row r="68104" spans="1:6" x14ac:dyDescent="0.25">
      <c r="A68104"/>
      <c r="B68104"/>
      <c r="C68104"/>
      <c r="E68104"/>
      <c r="F68104"/>
    </row>
    <row r="68105" spans="1:6" x14ac:dyDescent="0.25">
      <c r="A68105"/>
      <c r="B68105"/>
      <c r="C68105"/>
      <c r="E68105"/>
      <c r="F68105"/>
    </row>
    <row r="68106" spans="1:6" x14ac:dyDescent="0.25">
      <c r="A68106"/>
      <c r="B68106"/>
      <c r="C68106"/>
      <c r="E68106"/>
      <c r="F68106"/>
    </row>
    <row r="68107" spans="1:6" x14ac:dyDescent="0.25">
      <c r="A68107"/>
      <c r="B68107"/>
      <c r="C68107"/>
      <c r="E68107"/>
      <c r="F68107"/>
    </row>
    <row r="68108" spans="1:6" x14ac:dyDescent="0.25">
      <c r="A68108"/>
      <c r="B68108"/>
      <c r="C68108"/>
      <c r="E68108"/>
      <c r="F68108"/>
    </row>
    <row r="68109" spans="1:6" x14ac:dyDescent="0.25">
      <c r="A68109"/>
      <c r="B68109"/>
      <c r="C68109"/>
      <c r="E68109"/>
      <c r="F68109"/>
    </row>
    <row r="68110" spans="1:6" x14ac:dyDescent="0.25">
      <c r="A68110"/>
      <c r="B68110"/>
      <c r="C68110"/>
      <c r="E68110"/>
      <c r="F68110"/>
    </row>
    <row r="68111" spans="1:6" x14ac:dyDescent="0.25">
      <c r="A68111"/>
      <c r="B68111"/>
      <c r="C68111"/>
      <c r="E68111"/>
      <c r="F68111"/>
    </row>
    <row r="68112" spans="1:6" x14ac:dyDescent="0.25">
      <c r="A68112"/>
      <c r="B68112"/>
      <c r="C68112"/>
      <c r="E68112"/>
      <c r="F68112"/>
    </row>
    <row r="68113" spans="1:6" x14ac:dyDescent="0.25">
      <c r="A68113"/>
      <c r="B68113"/>
      <c r="C68113"/>
      <c r="E68113"/>
      <c r="F68113"/>
    </row>
    <row r="68114" spans="1:6" x14ac:dyDescent="0.25">
      <c r="A68114"/>
      <c r="B68114"/>
      <c r="C68114"/>
      <c r="E68114"/>
      <c r="F68114"/>
    </row>
    <row r="68115" spans="1:6" x14ac:dyDescent="0.25">
      <c r="A68115"/>
      <c r="B68115"/>
      <c r="C68115"/>
      <c r="E68115"/>
      <c r="F68115"/>
    </row>
    <row r="68116" spans="1:6" x14ac:dyDescent="0.25">
      <c r="A68116"/>
      <c r="B68116"/>
      <c r="C68116"/>
      <c r="E68116"/>
      <c r="F68116"/>
    </row>
    <row r="68117" spans="1:6" x14ac:dyDescent="0.25">
      <c r="A68117"/>
      <c r="B68117"/>
      <c r="C68117"/>
      <c r="E68117"/>
      <c r="F68117"/>
    </row>
    <row r="68118" spans="1:6" x14ac:dyDescent="0.25">
      <c r="A68118"/>
      <c r="B68118"/>
      <c r="C68118"/>
      <c r="E68118"/>
      <c r="F68118"/>
    </row>
    <row r="68119" spans="1:6" x14ac:dyDescent="0.25">
      <c r="A68119"/>
      <c r="B68119"/>
      <c r="C68119"/>
      <c r="E68119"/>
      <c r="F68119"/>
    </row>
    <row r="68120" spans="1:6" x14ac:dyDescent="0.25">
      <c r="A68120"/>
      <c r="B68120"/>
      <c r="C68120"/>
      <c r="E68120"/>
      <c r="F68120"/>
    </row>
    <row r="68121" spans="1:6" x14ac:dyDescent="0.25">
      <c r="A68121"/>
      <c r="B68121"/>
      <c r="C68121"/>
      <c r="E68121"/>
      <c r="F68121"/>
    </row>
    <row r="68122" spans="1:6" x14ac:dyDescent="0.25">
      <c r="A68122"/>
      <c r="B68122"/>
      <c r="C68122"/>
      <c r="E68122"/>
      <c r="F68122"/>
    </row>
    <row r="68123" spans="1:6" x14ac:dyDescent="0.25">
      <c r="A68123"/>
      <c r="B68123"/>
      <c r="C68123"/>
      <c r="E68123"/>
      <c r="F68123"/>
    </row>
    <row r="68124" spans="1:6" x14ac:dyDescent="0.25">
      <c r="A68124"/>
      <c r="B68124"/>
      <c r="C68124"/>
      <c r="E68124"/>
      <c r="F68124"/>
    </row>
    <row r="68125" spans="1:6" x14ac:dyDescent="0.25">
      <c r="A68125"/>
      <c r="B68125"/>
      <c r="C68125"/>
      <c r="E68125"/>
      <c r="F68125"/>
    </row>
    <row r="68126" spans="1:6" x14ac:dyDescent="0.25">
      <c r="A68126"/>
      <c r="B68126"/>
      <c r="C68126"/>
      <c r="E68126"/>
      <c r="F68126"/>
    </row>
    <row r="68127" spans="1:6" x14ac:dyDescent="0.25">
      <c r="A68127"/>
      <c r="B68127"/>
      <c r="C68127"/>
      <c r="E68127"/>
      <c r="F68127"/>
    </row>
    <row r="68128" spans="1:6" x14ac:dyDescent="0.25">
      <c r="A68128"/>
      <c r="B68128"/>
      <c r="C68128"/>
      <c r="E68128"/>
      <c r="F68128"/>
    </row>
    <row r="68129" spans="1:6" x14ac:dyDescent="0.25">
      <c r="A68129"/>
      <c r="B68129"/>
      <c r="C68129"/>
      <c r="E68129"/>
      <c r="F68129"/>
    </row>
    <row r="68130" spans="1:6" x14ac:dyDescent="0.25">
      <c r="A68130"/>
      <c r="B68130"/>
      <c r="C68130"/>
      <c r="E68130"/>
      <c r="F68130"/>
    </row>
    <row r="68131" spans="1:6" x14ac:dyDescent="0.25">
      <c r="A68131"/>
      <c r="B68131"/>
      <c r="C68131"/>
      <c r="E68131"/>
      <c r="F68131"/>
    </row>
    <row r="68132" spans="1:6" x14ac:dyDescent="0.25">
      <c r="A68132"/>
      <c r="B68132"/>
      <c r="C68132"/>
      <c r="E68132"/>
      <c r="F68132"/>
    </row>
    <row r="68133" spans="1:6" x14ac:dyDescent="0.25">
      <c r="A68133"/>
      <c r="B68133"/>
      <c r="C68133"/>
      <c r="E68133"/>
      <c r="F68133"/>
    </row>
    <row r="68134" spans="1:6" x14ac:dyDescent="0.25">
      <c r="A68134"/>
      <c r="B68134"/>
      <c r="C68134"/>
      <c r="E68134"/>
      <c r="F68134"/>
    </row>
    <row r="68135" spans="1:6" x14ac:dyDescent="0.25">
      <c r="A68135"/>
      <c r="B68135"/>
      <c r="C68135"/>
      <c r="E68135"/>
      <c r="F68135"/>
    </row>
    <row r="68136" spans="1:6" x14ac:dyDescent="0.25">
      <c r="A68136"/>
      <c r="B68136"/>
      <c r="C68136"/>
      <c r="E68136"/>
      <c r="F68136"/>
    </row>
    <row r="68137" spans="1:6" x14ac:dyDescent="0.25">
      <c r="A68137"/>
      <c r="B68137"/>
      <c r="C68137"/>
      <c r="E68137"/>
      <c r="F68137"/>
    </row>
    <row r="68138" spans="1:6" x14ac:dyDescent="0.25">
      <c r="A68138"/>
      <c r="B68138"/>
      <c r="C68138"/>
      <c r="E68138"/>
      <c r="F68138"/>
    </row>
    <row r="68139" spans="1:6" x14ac:dyDescent="0.25">
      <c r="A68139"/>
      <c r="B68139"/>
      <c r="C68139"/>
      <c r="E68139"/>
      <c r="F68139"/>
    </row>
    <row r="68140" spans="1:6" x14ac:dyDescent="0.25">
      <c r="A68140"/>
      <c r="B68140"/>
      <c r="C68140"/>
      <c r="E68140"/>
      <c r="F68140"/>
    </row>
    <row r="68141" spans="1:6" x14ac:dyDescent="0.25">
      <c r="A68141"/>
      <c r="B68141"/>
      <c r="C68141"/>
      <c r="E68141"/>
      <c r="F68141"/>
    </row>
    <row r="68142" spans="1:6" x14ac:dyDescent="0.25">
      <c r="A68142"/>
      <c r="B68142"/>
      <c r="C68142"/>
      <c r="E68142"/>
      <c r="F68142"/>
    </row>
    <row r="68143" spans="1:6" x14ac:dyDescent="0.25">
      <c r="A68143"/>
      <c r="B68143"/>
      <c r="C68143"/>
      <c r="E68143"/>
      <c r="F68143"/>
    </row>
    <row r="68144" spans="1:6" x14ac:dyDescent="0.25">
      <c r="A68144"/>
      <c r="B68144"/>
      <c r="C68144"/>
      <c r="E68144"/>
      <c r="F68144"/>
    </row>
    <row r="68145" spans="1:6" x14ac:dyDescent="0.25">
      <c r="A68145"/>
      <c r="B68145"/>
      <c r="C68145"/>
      <c r="E68145"/>
      <c r="F68145"/>
    </row>
    <row r="68146" spans="1:6" x14ac:dyDescent="0.25">
      <c r="A68146"/>
      <c r="B68146"/>
      <c r="C68146"/>
      <c r="E68146"/>
      <c r="F68146"/>
    </row>
    <row r="68147" spans="1:6" x14ac:dyDescent="0.25">
      <c r="A68147"/>
      <c r="B68147"/>
      <c r="C68147"/>
      <c r="E68147"/>
      <c r="F68147"/>
    </row>
    <row r="68148" spans="1:6" x14ac:dyDescent="0.25">
      <c r="A68148"/>
      <c r="B68148"/>
      <c r="C68148"/>
      <c r="E68148"/>
      <c r="F68148"/>
    </row>
    <row r="68149" spans="1:6" x14ac:dyDescent="0.25">
      <c r="A68149"/>
      <c r="B68149"/>
      <c r="C68149"/>
      <c r="E68149"/>
      <c r="F68149"/>
    </row>
    <row r="68150" spans="1:6" x14ac:dyDescent="0.25">
      <c r="A68150"/>
      <c r="B68150"/>
      <c r="C68150"/>
      <c r="E68150"/>
      <c r="F68150"/>
    </row>
    <row r="68151" spans="1:6" x14ac:dyDescent="0.25">
      <c r="A68151"/>
      <c r="B68151"/>
      <c r="C68151"/>
      <c r="E68151"/>
      <c r="F68151"/>
    </row>
    <row r="68152" spans="1:6" x14ac:dyDescent="0.25">
      <c r="A68152"/>
      <c r="B68152"/>
      <c r="C68152"/>
      <c r="E68152"/>
      <c r="F68152"/>
    </row>
    <row r="68153" spans="1:6" x14ac:dyDescent="0.25">
      <c r="A68153"/>
      <c r="B68153"/>
      <c r="C68153"/>
      <c r="E68153"/>
      <c r="F68153"/>
    </row>
    <row r="68154" spans="1:6" x14ac:dyDescent="0.25">
      <c r="A68154"/>
      <c r="B68154"/>
      <c r="C68154"/>
      <c r="E68154"/>
      <c r="F68154"/>
    </row>
    <row r="68155" spans="1:6" x14ac:dyDescent="0.25">
      <c r="A68155"/>
      <c r="B68155"/>
      <c r="C68155"/>
      <c r="E68155"/>
      <c r="F68155"/>
    </row>
    <row r="68156" spans="1:6" x14ac:dyDescent="0.25">
      <c r="A68156"/>
      <c r="B68156"/>
      <c r="C68156"/>
      <c r="E68156"/>
      <c r="F68156"/>
    </row>
    <row r="68157" spans="1:6" x14ac:dyDescent="0.25">
      <c r="A68157"/>
      <c r="B68157"/>
      <c r="C68157"/>
      <c r="E68157"/>
      <c r="F68157"/>
    </row>
    <row r="68158" spans="1:6" x14ac:dyDescent="0.25">
      <c r="A68158"/>
      <c r="B68158"/>
      <c r="C68158"/>
      <c r="E68158"/>
      <c r="F68158"/>
    </row>
    <row r="68159" spans="1:6" x14ac:dyDescent="0.25">
      <c r="A68159"/>
      <c r="B68159"/>
      <c r="C68159"/>
      <c r="E68159"/>
      <c r="F68159"/>
    </row>
    <row r="68160" spans="1:6" x14ac:dyDescent="0.25">
      <c r="A68160"/>
      <c r="B68160"/>
      <c r="C68160"/>
      <c r="E68160"/>
      <c r="F68160"/>
    </row>
    <row r="68161" spans="1:6" x14ac:dyDescent="0.25">
      <c r="A68161"/>
      <c r="B68161"/>
      <c r="C68161"/>
      <c r="E68161"/>
      <c r="F68161"/>
    </row>
    <row r="68162" spans="1:6" x14ac:dyDescent="0.25">
      <c r="A68162"/>
      <c r="B68162"/>
      <c r="C68162"/>
      <c r="E68162"/>
      <c r="F68162"/>
    </row>
    <row r="68163" spans="1:6" x14ac:dyDescent="0.25">
      <c r="A68163"/>
      <c r="B68163"/>
      <c r="C68163"/>
      <c r="E68163"/>
      <c r="F68163"/>
    </row>
    <row r="68164" spans="1:6" x14ac:dyDescent="0.25">
      <c r="A68164"/>
      <c r="B68164"/>
      <c r="C68164"/>
      <c r="E68164"/>
      <c r="F68164"/>
    </row>
    <row r="68165" spans="1:6" x14ac:dyDescent="0.25">
      <c r="A68165"/>
      <c r="B68165"/>
      <c r="C68165"/>
      <c r="E68165"/>
      <c r="F68165"/>
    </row>
    <row r="68166" spans="1:6" x14ac:dyDescent="0.25">
      <c r="A68166"/>
      <c r="B68166"/>
      <c r="C68166"/>
      <c r="E68166"/>
      <c r="F68166"/>
    </row>
    <row r="68167" spans="1:6" x14ac:dyDescent="0.25">
      <c r="A68167"/>
      <c r="B68167"/>
      <c r="C68167"/>
      <c r="E68167"/>
      <c r="F68167"/>
    </row>
    <row r="68168" spans="1:6" x14ac:dyDescent="0.25">
      <c r="A68168"/>
      <c r="B68168"/>
      <c r="C68168"/>
      <c r="E68168"/>
      <c r="F68168"/>
    </row>
    <row r="68169" spans="1:6" x14ac:dyDescent="0.25">
      <c r="A68169"/>
      <c r="B68169"/>
      <c r="C68169"/>
      <c r="E68169"/>
      <c r="F68169"/>
    </row>
    <row r="68170" spans="1:6" x14ac:dyDescent="0.25">
      <c r="A68170"/>
      <c r="B68170"/>
      <c r="C68170"/>
      <c r="E68170"/>
      <c r="F68170"/>
    </row>
    <row r="68171" spans="1:6" x14ac:dyDescent="0.25">
      <c r="A68171"/>
      <c r="B68171"/>
      <c r="C68171"/>
      <c r="E68171"/>
      <c r="F68171"/>
    </row>
    <row r="68172" spans="1:6" x14ac:dyDescent="0.25">
      <c r="A68172"/>
      <c r="B68172"/>
      <c r="C68172"/>
      <c r="E68172"/>
      <c r="F68172"/>
    </row>
    <row r="68173" spans="1:6" x14ac:dyDescent="0.25">
      <c r="A68173"/>
      <c r="B68173"/>
      <c r="C68173"/>
      <c r="E68173"/>
      <c r="F68173"/>
    </row>
    <row r="68174" spans="1:6" x14ac:dyDescent="0.25">
      <c r="A68174"/>
      <c r="B68174"/>
      <c r="C68174"/>
      <c r="E68174"/>
      <c r="F68174"/>
    </row>
    <row r="68175" spans="1:6" x14ac:dyDescent="0.25">
      <c r="A68175"/>
      <c r="B68175"/>
      <c r="C68175"/>
      <c r="E68175"/>
      <c r="F68175"/>
    </row>
    <row r="68176" spans="1:6" x14ac:dyDescent="0.25">
      <c r="A68176"/>
      <c r="B68176"/>
      <c r="C68176"/>
      <c r="E68176"/>
      <c r="F68176"/>
    </row>
    <row r="68177" spans="1:6" x14ac:dyDescent="0.25">
      <c r="A68177"/>
      <c r="B68177"/>
      <c r="C68177"/>
      <c r="E68177"/>
      <c r="F68177"/>
    </row>
    <row r="68178" spans="1:6" x14ac:dyDescent="0.25">
      <c r="A68178"/>
      <c r="B68178"/>
      <c r="C68178"/>
      <c r="E68178"/>
      <c r="F68178"/>
    </row>
    <row r="68179" spans="1:6" x14ac:dyDescent="0.25">
      <c r="A68179"/>
      <c r="B68179"/>
      <c r="C68179"/>
      <c r="E68179"/>
      <c r="F68179"/>
    </row>
    <row r="68180" spans="1:6" x14ac:dyDescent="0.25">
      <c r="A68180"/>
      <c r="B68180"/>
      <c r="C68180"/>
      <c r="E68180"/>
      <c r="F68180"/>
    </row>
    <row r="68181" spans="1:6" x14ac:dyDescent="0.25">
      <c r="A68181"/>
      <c r="B68181"/>
      <c r="C68181"/>
      <c r="E68181"/>
      <c r="F68181"/>
    </row>
    <row r="68182" spans="1:6" x14ac:dyDescent="0.25">
      <c r="A68182"/>
      <c r="B68182"/>
      <c r="C68182"/>
      <c r="E68182"/>
      <c r="F68182"/>
    </row>
    <row r="68183" spans="1:6" x14ac:dyDescent="0.25">
      <c r="A68183"/>
      <c r="B68183"/>
      <c r="C68183"/>
      <c r="E68183"/>
      <c r="F68183"/>
    </row>
    <row r="68184" spans="1:6" x14ac:dyDescent="0.25">
      <c r="A68184"/>
      <c r="B68184"/>
      <c r="C68184"/>
      <c r="E68184"/>
      <c r="F68184"/>
    </row>
    <row r="68185" spans="1:6" x14ac:dyDescent="0.25">
      <c r="A68185"/>
      <c r="B68185"/>
      <c r="C68185"/>
      <c r="E68185"/>
      <c r="F68185"/>
    </row>
    <row r="68186" spans="1:6" x14ac:dyDescent="0.25">
      <c r="A68186"/>
      <c r="B68186"/>
      <c r="C68186"/>
      <c r="E68186"/>
      <c r="F68186"/>
    </row>
    <row r="68187" spans="1:6" x14ac:dyDescent="0.25">
      <c r="A68187"/>
      <c r="B68187"/>
      <c r="C68187"/>
      <c r="E68187"/>
      <c r="F68187"/>
    </row>
    <row r="68188" spans="1:6" x14ac:dyDescent="0.25">
      <c r="A68188"/>
      <c r="B68188"/>
      <c r="C68188"/>
      <c r="E68188"/>
      <c r="F68188"/>
    </row>
    <row r="68189" spans="1:6" x14ac:dyDescent="0.25">
      <c r="A68189"/>
      <c r="B68189"/>
      <c r="C68189"/>
      <c r="E68189"/>
      <c r="F68189"/>
    </row>
    <row r="68190" spans="1:6" x14ac:dyDescent="0.25">
      <c r="A68190"/>
      <c r="B68190"/>
      <c r="C68190"/>
      <c r="E68190"/>
      <c r="F68190"/>
    </row>
    <row r="68191" spans="1:6" x14ac:dyDescent="0.25">
      <c r="A68191"/>
      <c r="B68191"/>
      <c r="C68191"/>
      <c r="E68191"/>
      <c r="F68191"/>
    </row>
    <row r="68192" spans="1:6" x14ac:dyDescent="0.25">
      <c r="A68192"/>
      <c r="B68192"/>
      <c r="C68192"/>
      <c r="E68192"/>
      <c r="F68192"/>
    </row>
    <row r="68193" spans="1:6" x14ac:dyDescent="0.25">
      <c r="A68193"/>
      <c r="B68193"/>
      <c r="C68193"/>
      <c r="E68193"/>
      <c r="F68193"/>
    </row>
    <row r="68194" spans="1:6" x14ac:dyDescent="0.25">
      <c r="A68194"/>
      <c r="B68194"/>
      <c r="C68194"/>
      <c r="E68194"/>
      <c r="F68194"/>
    </row>
    <row r="68195" spans="1:6" x14ac:dyDescent="0.25">
      <c r="A68195"/>
      <c r="B68195"/>
      <c r="C68195"/>
      <c r="E68195"/>
      <c r="F68195"/>
    </row>
    <row r="68196" spans="1:6" x14ac:dyDescent="0.25">
      <c r="A68196"/>
      <c r="B68196"/>
      <c r="C68196"/>
      <c r="E68196"/>
      <c r="F68196"/>
    </row>
    <row r="68197" spans="1:6" x14ac:dyDescent="0.25">
      <c r="A68197"/>
      <c r="B68197"/>
      <c r="C68197"/>
      <c r="E68197"/>
      <c r="F68197"/>
    </row>
    <row r="68198" spans="1:6" x14ac:dyDescent="0.25">
      <c r="A68198"/>
      <c r="B68198"/>
      <c r="C68198"/>
      <c r="E68198"/>
      <c r="F68198"/>
    </row>
    <row r="68199" spans="1:6" x14ac:dyDescent="0.25">
      <c r="A68199"/>
      <c r="B68199"/>
      <c r="C68199"/>
      <c r="E68199"/>
      <c r="F68199"/>
    </row>
    <row r="68200" spans="1:6" x14ac:dyDescent="0.25">
      <c r="A68200"/>
      <c r="B68200"/>
      <c r="C68200"/>
      <c r="E68200"/>
      <c r="F68200"/>
    </row>
    <row r="68201" spans="1:6" x14ac:dyDescent="0.25">
      <c r="A68201"/>
      <c r="B68201"/>
      <c r="C68201"/>
      <c r="E68201"/>
      <c r="F68201"/>
    </row>
    <row r="68202" spans="1:6" x14ac:dyDescent="0.25">
      <c r="A68202"/>
      <c r="B68202"/>
      <c r="C68202"/>
      <c r="E68202"/>
      <c r="F68202"/>
    </row>
    <row r="68203" spans="1:6" x14ac:dyDescent="0.25">
      <c r="A68203"/>
      <c r="B68203"/>
      <c r="C68203"/>
      <c r="E68203"/>
      <c r="F68203"/>
    </row>
    <row r="68204" spans="1:6" x14ac:dyDescent="0.25">
      <c r="A68204"/>
      <c r="B68204"/>
      <c r="C68204"/>
      <c r="E68204"/>
      <c r="F68204"/>
    </row>
    <row r="68205" spans="1:6" x14ac:dyDescent="0.25">
      <c r="A68205"/>
      <c r="B68205"/>
      <c r="C68205"/>
      <c r="E68205"/>
      <c r="F68205"/>
    </row>
    <row r="68206" spans="1:6" x14ac:dyDescent="0.25">
      <c r="A68206"/>
      <c r="B68206"/>
      <c r="C68206"/>
      <c r="E68206"/>
      <c r="F68206"/>
    </row>
    <row r="68207" spans="1:6" x14ac:dyDescent="0.25">
      <c r="A68207"/>
      <c r="B68207"/>
      <c r="C68207"/>
      <c r="E68207"/>
      <c r="F68207"/>
    </row>
    <row r="68208" spans="1:6" x14ac:dyDescent="0.25">
      <c r="A68208"/>
      <c r="B68208"/>
      <c r="C68208"/>
      <c r="E68208"/>
      <c r="F68208"/>
    </row>
    <row r="68209" spans="1:6" x14ac:dyDescent="0.25">
      <c r="A68209"/>
      <c r="B68209"/>
      <c r="C68209"/>
      <c r="E68209"/>
      <c r="F68209"/>
    </row>
    <row r="68210" spans="1:6" x14ac:dyDescent="0.25">
      <c r="A68210"/>
      <c r="B68210"/>
      <c r="C68210"/>
      <c r="E68210"/>
      <c r="F68210"/>
    </row>
    <row r="68211" spans="1:6" x14ac:dyDescent="0.25">
      <c r="A68211"/>
      <c r="B68211"/>
      <c r="C68211"/>
      <c r="E68211"/>
      <c r="F68211"/>
    </row>
    <row r="68212" spans="1:6" x14ac:dyDescent="0.25">
      <c r="A68212"/>
      <c r="B68212"/>
      <c r="C68212"/>
      <c r="E68212"/>
      <c r="F68212"/>
    </row>
    <row r="68213" spans="1:6" x14ac:dyDescent="0.25">
      <c r="A68213"/>
      <c r="B68213"/>
      <c r="C68213"/>
      <c r="E68213"/>
      <c r="F68213"/>
    </row>
    <row r="68214" spans="1:6" x14ac:dyDescent="0.25">
      <c r="A68214"/>
      <c r="B68214"/>
      <c r="C68214"/>
      <c r="E68214"/>
      <c r="F68214"/>
    </row>
    <row r="68215" spans="1:6" x14ac:dyDescent="0.25">
      <c r="A68215"/>
      <c r="B68215"/>
      <c r="C68215"/>
      <c r="E68215"/>
      <c r="F68215"/>
    </row>
    <row r="68216" spans="1:6" x14ac:dyDescent="0.25">
      <c r="A68216"/>
      <c r="B68216"/>
      <c r="C68216"/>
      <c r="E68216"/>
      <c r="F68216"/>
    </row>
    <row r="68217" spans="1:6" x14ac:dyDescent="0.25">
      <c r="A68217"/>
      <c r="B68217"/>
      <c r="C68217"/>
      <c r="E68217"/>
      <c r="F68217"/>
    </row>
    <row r="68218" spans="1:6" x14ac:dyDescent="0.25">
      <c r="A68218"/>
      <c r="B68218"/>
      <c r="C68218"/>
      <c r="E68218"/>
      <c r="F68218"/>
    </row>
    <row r="68219" spans="1:6" x14ac:dyDescent="0.25">
      <c r="A68219"/>
      <c r="B68219"/>
      <c r="C68219"/>
      <c r="E68219"/>
      <c r="F68219"/>
    </row>
    <row r="68220" spans="1:6" x14ac:dyDescent="0.25">
      <c r="A68220"/>
      <c r="B68220"/>
      <c r="C68220"/>
      <c r="E68220"/>
      <c r="F68220"/>
    </row>
    <row r="68221" spans="1:6" x14ac:dyDescent="0.25">
      <c r="A68221"/>
      <c r="B68221"/>
      <c r="C68221"/>
      <c r="E68221"/>
      <c r="F68221"/>
    </row>
    <row r="68222" spans="1:6" x14ac:dyDescent="0.25">
      <c r="A68222"/>
      <c r="B68222"/>
      <c r="C68222"/>
      <c r="E68222"/>
      <c r="F68222"/>
    </row>
    <row r="68223" spans="1:6" x14ac:dyDescent="0.25">
      <c r="A68223"/>
      <c r="B68223"/>
      <c r="C68223"/>
      <c r="E68223"/>
      <c r="F68223"/>
    </row>
    <row r="68224" spans="1:6" x14ac:dyDescent="0.25">
      <c r="A68224"/>
      <c r="B68224"/>
      <c r="C68224"/>
      <c r="E68224"/>
      <c r="F68224"/>
    </row>
    <row r="68225" spans="1:6" x14ac:dyDescent="0.25">
      <c r="A68225"/>
      <c r="B68225"/>
      <c r="C68225"/>
      <c r="E68225"/>
      <c r="F68225"/>
    </row>
    <row r="68226" spans="1:6" x14ac:dyDescent="0.25">
      <c r="A68226"/>
      <c r="B68226"/>
      <c r="C68226"/>
      <c r="E68226"/>
      <c r="F68226"/>
    </row>
    <row r="68227" spans="1:6" x14ac:dyDescent="0.25">
      <c r="A68227"/>
      <c r="B68227"/>
      <c r="C68227"/>
      <c r="E68227"/>
      <c r="F68227"/>
    </row>
    <row r="68228" spans="1:6" x14ac:dyDescent="0.25">
      <c r="A68228"/>
      <c r="B68228"/>
      <c r="C68228"/>
      <c r="E68228"/>
      <c r="F68228"/>
    </row>
    <row r="68229" spans="1:6" x14ac:dyDescent="0.25">
      <c r="A68229"/>
      <c r="B68229"/>
      <c r="C68229"/>
      <c r="E68229"/>
      <c r="F68229"/>
    </row>
    <row r="68230" spans="1:6" x14ac:dyDescent="0.25">
      <c r="A68230"/>
      <c r="B68230"/>
      <c r="C68230"/>
      <c r="E68230"/>
      <c r="F68230"/>
    </row>
    <row r="68231" spans="1:6" x14ac:dyDescent="0.25">
      <c r="A68231"/>
      <c r="B68231"/>
      <c r="C68231"/>
      <c r="E68231"/>
      <c r="F68231"/>
    </row>
    <row r="68232" spans="1:6" x14ac:dyDescent="0.25">
      <c r="A68232"/>
      <c r="B68232"/>
      <c r="C68232"/>
      <c r="E68232"/>
      <c r="F68232"/>
    </row>
    <row r="68233" spans="1:6" x14ac:dyDescent="0.25">
      <c r="A68233"/>
      <c r="B68233"/>
      <c r="C68233"/>
      <c r="E68233"/>
      <c r="F68233"/>
    </row>
    <row r="68234" spans="1:6" x14ac:dyDescent="0.25">
      <c r="A68234"/>
      <c r="B68234"/>
      <c r="C68234"/>
      <c r="E68234"/>
      <c r="F68234"/>
    </row>
    <row r="68235" spans="1:6" x14ac:dyDescent="0.25">
      <c r="A68235"/>
      <c r="B68235"/>
      <c r="C68235"/>
      <c r="E68235"/>
      <c r="F68235"/>
    </row>
    <row r="68236" spans="1:6" x14ac:dyDescent="0.25">
      <c r="A68236"/>
      <c r="B68236"/>
      <c r="C68236"/>
      <c r="E68236"/>
      <c r="F68236"/>
    </row>
    <row r="68237" spans="1:6" x14ac:dyDescent="0.25">
      <c r="A68237"/>
      <c r="B68237"/>
      <c r="C68237"/>
      <c r="E68237"/>
      <c r="F68237"/>
    </row>
    <row r="68238" spans="1:6" x14ac:dyDescent="0.25">
      <c r="A68238"/>
      <c r="B68238"/>
      <c r="C68238"/>
      <c r="E68238"/>
      <c r="F68238"/>
    </row>
    <row r="68239" spans="1:6" x14ac:dyDescent="0.25">
      <c r="A68239"/>
      <c r="B68239"/>
      <c r="C68239"/>
      <c r="E68239"/>
      <c r="F68239"/>
    </row>
    <row r="68240" spans="1:6" x14ac:dyDescent="0.25">
      <c r="A68240"/>
      <c r="B68240"/>
      <c r="C68240"/>
      <c r="E68240"/>
      <c r="F68240"/>
    </row>
    <row r="68241" spans="1:6" x14ac:dyDescent="0.25">
      <c r="A68241"/>
      <c r="B68241"/>
      <c r="C68241"/>
      <c r="E68241"/>
      <c r="F68241"/>
    </row>
    <row r="68242" spans="1:6" x14ac:dyDescent="0.25">
      <c r="A68242"/>
      <c r="B68242"/>
      <c r="C68242"/>
      <c r="E68242"/>
      <c r="F68242"/>
    </row>
    <row r="68243" spans="1:6" x14ac:dyDescent="0.25">
      <c r="A68243"/>
      <c r="B68243"/>
      <c r="C68243"/>
      <c r="E68243"/>
      <c r="F68243"/>
    </row>
    <row r="68244" spans="1:6" x14ac:dyDescent="0.25">
      <c r="A68244"/>
      <c r="B68244"/>
      <c r="C68244"/>
      <c r="E68244"/>
      <c r="F68244"/>
    </row>
    <row r="68245" spans="1:6" x14ac:dyDescent="0.25">
      <c r="A68245"/>
      <c r="B68245"/>
      <c r="C68245"/>
      <c r="E68245"/>
      <c r="F68245"/>
    </row>
    <row r="68246" spans="1:6" x14ac:dyDescent="0.25">
      <c r="A68246"/>
      <c r="B68246"/>
      <c r="C68246"/>
      <c r="E68246"/>
      <c r="F68246"/>
    </row>
    <row r="68247" spans="1:6" x14ac:dyDescent="0.25">
      <c r="A68247"/>
      <c r="B68247"/>
      <c r="C68247"/>
      <c r="E68247"/>
      <c r="F68247"/>
    </row>
    <row r="68248" spans="1:6" x14ac:dyDescent="0.25">
      <c r="A68248"/>
      <c r="B68248"/>
      <c r="C68248"/>
      <c r="E68248"/>
      <c r="F68248"/>
    </row>
    <row r="68249" spans="1:6" x14ac:dyDescent="0.25">
      <c r="A68249"/>
      <c r="B68249"/>
      <c r="C68249"/>
      <c r="E68249"/>
      <c r="F68249"/>
    </row>
    <row r="68250" spans="1:6" x14ac:dyDescent="0.25">
      <c r="A68250"/>
      <c r="B68250"/>
      <c r="C68250"/>
      <c r="E68250"/>
      <c r="F68250"/>
    </row>
    <row r="68251" spans="1:6" x14ac:dyDescent="0.25">
      <c r="A68251"/>
      <c r="B68251"/>
      <c r="C68251"/>
      <c r="E68251"/>
      <c r="F68251"/>
    </row>
    <row r="68252" spans="1:6" x14ac:dyDescent="0.25">
      <c r="A68252"/>
      <c r="B68252"/>
      <c r="C68252"/>
      <c r="E68252"/>
      <c r="F68252"/>
    </row>
    <row r="68253" spans="1:6" x14ac:dyDescent="0.25">
      <c r="A68253"/>
      <c r="B68253"/>
      <c r="C68253"/>
      <c r="E68253"/>
      <c r="F68253"/>
    </row>
    <row r="68254" spans="1:6" x14ac:dyDescent="0.25">
      <c r="A68254"/>
      <c r="B68254"/>
      <c r="C68254"/>
      <c r="E68254"/>
      <c r="F68254"/>
    </row>
    <row r="68255" spans="1:6" x14ac:dyDescent="0.25">
      <c r="A68255"/>
      <c r="B68255"/>
      <c r="C68255"/>
      <c r="E68255"/>
      <c r="F68255"/>
    </row>
    <row r="68256" spans="1:6" x14ac:dyDescent="0.25">
      <c r="A68256"/>
      <c r="B68256"/>
      <c r="C68256"/>
      <c r="E68256"/>
      <c r="F68256"/>
    </row>
    <row r="68257" spans="1:6" x14ac:dyDescent="0.25">
      <c r="A68257"/>
      <c r="B68257"/>
      <c r="C68257"/>
      <c r="E68257"/>
      <c r="F68257"/>
    </row>
    <row r="68258" spans="1:6" x14ac:dyDescent="0.25">
      <c r="A68258"/>
      <c r="B68258"/>
      <c r="C68258"/>
      <c r="E68258"/>
      <c r="F68258"/>
    </row>
    <row r="68259" spans="1:6" x14ac:dyDescent="0.25">
      <c r="A68259"/>
      <c r="B68259"/>
      <c r="C68259"/>
      <c r="E68259"/>
      <c r="F68259"/>
    </row>
    <row r="68260" spans="1:6" x14ac:dyDescent="0.25">
      <c r="A68260"/>
      <c r="B68260"/>
      <c r="C68260"/>
      <c r="E68260"/>
      <c r="F68260"/>
    </row>
    <row r="68261" spans="1:6" x14ac:dyDescent="0.25">
      <c r="A68261"/>
      <c r="B68261"/>
      <c r="C68261"/>
      <c r="E68261"/>
      <c r="F68261"/>
    </row>
    <row r="68262" spans="1:6" x14ac:dyDescent="0.25">
      <c r="A68262"/>
      <c r="B68262"/>
      <c r="C68262"/>
      <c r="E68262"/>
      <c r="F68262"/>
    </row>
    <row r="68263" spans="1:6" x14ac:dyDescent="0.25">
      <c r="A68263"/>
      <c r="B68263"/>
      <c r="C68263"/>
      <c r="E68263"/>
      <c r="F68263"/>
    </row>
    <row r="68264" spans="1:6" x14ac:dyDescent="0.25">
      <c r="A68264"/>
      <c r="B68264"/>
      <c r="C68264"/>
      <c r="E68264"/>
      <c r="F68264"/>
    </row>
    <row r="68265" spans="1:6" x14ac:dyDescent="0.25">
      <c r="A68265"/>
      <c r="B68265"/>
      <c r="C68265"/>
      <c r="E68265"/>
      <c r="F68265"/>
    </row>
    <row r="68266" spans="1:6" x14ac:dyDescent="0.25">
      <c r="A68266"/>
      <c r="B68266"/>
      <c r="C68266"/>
      <c r="E68266"/>
      <c r="F68266"/>
    </row>
    <row r="68267" spans="1:6" x14ac:dyDescent="0.25">
      <c r="A68267"/>
      <c r="B68267"/>
      <c r="C68267"/>
      <c r="E68267"/>
      <c r="F68267"/>
    </row>
    <row r="68268" spans="1:6" x14ac:dyDescent="0.25">
      <c r="A68268"/>
      <c r="B68268"/>
      <c r="C68268"/>
      <c r="E68268"/>
      <c r="F68268"/>
    </row>
    <row r="68269" spans="1:6" x14ac:dyDescent="0.25">
      <c r="A68269"/>
      <c r="B68269"/>
      <c r="C68269"/>
      <c r="E68269"/>
      <c r="F68269"/>
    </row>
    <row r="68270" spans="1:6" x14ac:dyDescent="0.25">
      <c r="A68270"/>
      <c r="B68270"/>
      <c r="C68270"/>
      <c r="E68270"/>
      <c r="F68270"/>
    </row>
    <row r="68271" spans="1:6" x14ac:dyDescent="0.25">
      <c r="A68271"/>
      <c r="B68271"/>
      <c r="C68271"/>
      <c r="E68271"/>
      <c r="F68271"/>
    </row>
    <row r="68272" spans="1:6" x14ac:dyDescent="0.25">
      <c r="A68272"/>
      <c r="B68272"/>
      <c r="C68272"/>
      <c r="E68272"/>
      <c r="F68272"/>
    </row>
    <row r="68273" spans="1:6" x14ac:dyDescent="0.25">
      <c r="A68273"/>
      <c r="B68273"/>
      <c r="C68273"/>
      <c r="E68273"/>
      <c r="F68273"/>
    </row>
    <row r="68274" spans="1:6" x14ac:dyDescent="0.25">
      <c r="A68274"/>
      <c r="B68274"/>
      <c r="C68274"/>
      <c r="E68274"/>
      <c r="F68274"/>
    </row>
    <row r="68275" spans="1:6" x14ac:dyDescent="0.25">
      <c r="A68275"/>
      <c r="B68275"/>
      <c r="C68275"/>
      <c r="E68275"/>
      <c r="F68275"/>
    </row>
    <row r="68276" spans="1:6" x14ac:dyDescent="0.25">
      <c r="A68276"/>
      <c r="B68276"/>
      <c r="C68276"/>
      <c r="E68276"/>
      <c r="F68276"/>
    </row>
    <row r="68277" spans="1:6" x14ac:dyDescent="0.25">
      <c r="A68277"/>
      <c r="B68277"/>
      <c r="C68277"/>
      <c r="E68277"/>
      <c r="F68277"/>
    </row>
    <row r="68278" spans="1:6" x14ac:dyDescent="0.25">
      <c r="A68278"/>
      <c r="B68278"/>
      <c r="C68278"/>
      <c r="E68278"/>
      <c r="F68278"/>
    </row>
    <row r="68279" spans="1:6" x14ac:dyDescent="0.25">
      <c r="A68279"/>
      <c r="B68279"/>
      <c r="C68279"/>
      <c r="E68279"/>
      <c r="F68279"/>
    </row>
    <row r="68280" spans="1:6" x14ac:dyDescent="0.25">
      <c r="A68280"/>
      <c r="B68280"/>
      <c r="C68280"/>
      <c r="E68280"/>
      <c r="F68280"/>
    </row>
    <row r="68281" spans="1:6" x14ac:dyDescent="0.25">
      <c r="A68281"/>
      <c r="B68281"/>
      <c r="C68281"/>
      <c r="E68281"/>
      <c r="F68281"/>
    </row>
    <row r="68282" spans="1:6" x14ac:dyDescent="0.25">
      <c r="A68282"/>
      <c r="B68282"/>
      <c r="C68282"/>
      <c r="E68282"/>
      <c r="F68282"/>
    </row>
    <row r="68283" spans="1:6" x14ac:dyDescent="0.25">
      <c r="A68283"/>
      <c r="B68283"/>
      <c r="C68283"/>
      <c r="E68283"/>
      <c r="F68283"/>
    </row>
    <row r="68284" spans="1:6" x14ac:dyDescent="0.25">
      <c r="A68284"/>
      <c r="B68284"/>
      <c r="C68284"/>
      <c r="E68284"/>
      <c r="F68284"/>
    </row>
    <row r="68285" spans="1:6" x14ac:dyDescent="0.25">
      <c r="A68285"/>
      <c r="B68285"/>
      <c r="C68285"/>
      <c r="E68285"/>
      <c r="F68285"/>
    </row>
    <row r="68286" spans="1:6" x14ac:dyDescent="0.25">
      <c r="A68286"/>
      <c r="B68286"/>
      <c r="C68286"/>
      <c r="E68286"/>
      <c r="F68286"/>
    </row>
    <row r="68287" spans="1:6" x14ac:dyDescent="0.25">
      <c r="A68287"/>
      <c r="B68287"/>
      <c r="C68287"/>
      <c r="E68287"/>
      <c r="F68287"/>
    </row>
    <row r="68288" spans="1:6" x14ac:dyDescent="0.25">
      <c r="A68288"/>
      <c r="B68288"/>
      <c r="C68288"/>
      <c r="E68288"/>
      <c r="F68288"/>
    </row>
    <row r="68289" spans="1:6" x14ac:dyDescent="0.25">
      <c r="A68289"/>
      <c r="B68289"/>
      <c r="C68289"/>
      <c r="E68289"/>
      <c r="F68289"/>
    </row>
    <row r="68290" spans="1:6" x14ac:dyDescent="0.25">
      <c r="A68290"/>
      <c r="B68290"/>
      <c r="C68290"/>
      <c r="E68290"/>
      <c r="F68290"/>
    </row>
    <row r="68291" spans="1:6" x14ac:dyDescent="0.25">
      <c r="A68291"/>
      <c r="B68291"/>
      <c r="C68291"/>
      <c r="E68291"/>
      <c r="F68291"/>
    </row>
    <row r="68292" spans="1:6" x14ac:dyDescent="0.25">
      <c r="A68292"/>
      <c r="B68292"/>
      <c r="C68292"/>
      <c r="E68292"/>
      <c r="F68292"/>
    </row>
    <row r="68293" spans="1:6" x14ac:dyDescent="0.25">
      <c r="A68293"/>
      <c r="B68293"/>
      <c r="C68293"/>
      <c r="E68293"/>
      <c r="F68293"/>
    </row>
    <row r="68294" spans="1:6" x14ac:dyDescent="0.25">
      <c r="A68294"/>
      <c r="B68294"/>
      <c r="C68294"/>
      <c r="E68294"/>
      <c r="F68294"/>
    </row>
    <row r="68295" spans="1:6" x14ac:dyDescent="0.25">
      <c r="A68295"/>
      <c r="B68295"/>
      <c r="C68295"/>
      <c r="E68295"/>
      <c r="F68295"/>
    </row>
    <row r="68296" spans="1:6" x14ac:dyDescent="0.25">
      <c r="A68296"/>
      <c r="B68296"/>
      <c r="C68296"/>
      <c r="E68296"/>
      <c r="F68296"/>
    </row>
    <row r="68297" spans="1:6" x14ac:dyDescent="0.25">
      <c r="A68297"/>
      <c r="B68297"/>
      <c r="C68297"/>
      <c r="E68297"/>
      <c r="F68297"/>
    </row>
    <row r="68298" spans="1:6" x14ac:dyDescent="0.25">
      <c r="A68298"/>
      <c r="B68298"/>
      <c r="C68298"/>
      <c r="E68298"/>
      <c r="F68298"/>
    </row>
    <row r="68299" spans="1:6" x14ac:dyDescent="0.25">
      <c r="A68299"/>
      <c r="B68299"/>
      <c r="C68299"/>
      <c r="E68299"/>
      <c r="F68299"/>
    </row>
    <row r="68300" spans="1:6" x14ac:dyDescent="0.25">
      <c r="A68300"/>
      <c r="B68300"/>
      <c r="C68300"/>
      <c r="E68300"/>
      <c r="F68300"/>
    </row>
    <row r="68301" spans="1:6" x14ac:dyDescent="0.25">
      <c r="A68301"/>
      <c r="B68301"/>
      <c r="C68301"/>
      <c r="E68301"/>
      <c r="F68301"/>
    </row>
    <row r="68302" spans="1:6" x14ac:dyDescent="0.25">
      <c r="A68302"/>
      <c r="B68302"/>
      <c r="C68302"/>
      <c r="E68302"/>
      <c r="F68302"/>
    </row>
    <row r="68303" spans="1:6" x14ac:dyDescent="0.25">
      <c r="A68303"/>
      <c r="B68303"/>
      <c r="C68303"/>
      <c r="E68303"/>
      <c r="F68303"/>
    </row>
    <row r="68304" spans="1:6" x14ac:dyDescent="0.25">
      <c r="A68304"/>
      <c r="B68304"/>
      <c r="C68304"/>
      <c r="E68304"/>
      <c r="F68304"/>
    </row>
    <row r="68305" spans="1:6" x14ac:dyDescent="0.25">
      <c r="A68305"/>
      <c r="B68305"/>
      <c r="C68305"/>
      <c r="E68305"/>
      <c r="F68305"/>
    </row>
    <row r="68306" spans="1:6" x14ac:dyDescent="0.25">
      <c r="A68306"/>
      <c r="B68306"/>
      <c r="C68306"/>
      <c r="E68306"/>
      <c r="F68306"/>
    </row>
    <row r="68307" spans="1:6" x14ac:dyDescent="0.25">
      <c r="A68307"/>
      <c r="B68307"/>
      <c r="C68307"/>
      <c r="E68307"/>
      <c r="F68307"/>
    </row>
    <row r="68308" spans="1:6" x14ac:dyDescent="0.25">
      <c r="A68308"/>
      <c r="B68308"/>
      <c r="C68308"/>
      <c r="E68308"/>
      <c r="F68308"/>
    </row>
    <row r="68309" spans="1:6" x14ac:dyDescent="0.25">
      <c r="A68309"/>
      <c r="B68309"/>
      <c r="C68309"/>
      <c r="E68309"/>
      <c r="F68309"/>
    </row>
    <row r="68310" spans="1:6" x14ac:dyDescent="0.25">
      <c r="A68310"/>
      <c r="B68310"/>
      <c r="C68310"/>
      <c r="E68310"/>
      <c r="F68310"/>
    </row>
    <row r="68311" spans="1:6" x14ac:dyDescent="0.25">
      <c r="A68311"/>
      <c r="B68311"/>
      <c r="C68311"/>
      <c r="E68311"/>
      <c r="F68311"/>
    </row>
    <row r="68312" spans="1:6" x14ac:dyDescent="0.25">
      <c r="A68312"/>
      <c r="B68312"/>
      <c r="C68312"/>
      <c r="E68312"/>
      <c r="F68312"/>
    </row>
    <row r="68313" spans="1:6" x14ac:dyDescent="0.25">
      <c r="A68313"/>
      <c r="B68313"/>
      <c r="C68313"/>
      <c r="E68313"/>
      <c r="F68313"/>
    </row>
    <row r="68314" spans="1:6" x14ac:dyDescent="0.25">
      <c r="A68314"/>
      <c r="B68314"/>
      <c r="C68314"/>
      <c r="E68314"/>
      <c r="F68314"/>
    </row>
    <row r="68315" spans="1:6" x14ac:dyDescent="0.25">
      <c r="A68315"/>
      <c r="B68315"/>
      <c r="C68315"/>
      <c r="E68315"/>
      <c r="F68315"/>
    </row>
    <row r="68316" spans="1:6" x14ac:dyDescent="0.25">
      <c r="A68316"/>
      <c r="B68316"/>
      <c r="C68316"/>
      <c r="E68316"/>
      <c r="F68316"/>
    </row>
    <row r="68317" spans="1:6" x14ac:dyDescent="0.25">
      <c r="A68317"/>
      <c r="B68317"/>
      <c r="C68317"/>
      <c r="E68317"/>
      <c r="F68317"/>
    </row>
    <row r="68318" spans="1:6" x14ac:dyDescent="0.25">
      <c r="A68318"/>
      <c r="B68318"/>
      <c r="C68318"/>
      <c r="E68318"/>
      <c r="F68318"/>
    </row>
    <row r="68319" spans="1:6" x14ac:dyDescent="0.25">
      <c r="A68319"/>
      <c r="B68319"/>
      <c r="C68319"/>
      <c r="E68319"/>
      <c r="F68319"/>
    </row>
    <row r="68320" spans="1:6" x14ac:dyDescent="0.25">
      <c r="A68320"/>
      <c r="B68320"/>
      <c r="C68320"/>
      <c r="E68320"/>
      <c r="F68320"/>
    </row>
    <row r="68321" spans="1:6" x14ac:dyDescent="0.25">
      <c r="A68321"/>
      <c r="B68321"/>
      <c r="C68321"/>
      <c r="E68321"/>
      <c r="F68321"/>
    </row>
    <row r="68322" spans="1:6" x14ac:dyDescent="0.25">
      <c r="A68322"/>
      <c r="B68322"/>
      <c r="C68322"/>
      <c r="E68322"/>
      <c r="F68322"/>
    </row>
    <row r="68323" spans="1:6" x14ac:dyDescent="0.25">
      <c r="A68323"/>
      <c r="B68323"/>
      <c r="C68323"/>
      <c r="E68323"/>
      <c r="F68323"/>
    </row>
    <row r="68324" spans="1:6" x14ac:dyDescent="0.25">
      <c r="A68324"/>
      <c r="B68324"/>
      <c r="C68324"/>
      <c r="E68324"/>
      <c r="F68324"/>
    </row>
    <row r="68325" spans="1:6" x14ac:dyDescent="0.25">
      <c r="A68325"/>
      <c r="B68325"/>
      <c r="C68325"/>
      <c r="E68325"/>
      <c r="F68325"/>
    </row>
    <row r="68326" spans="1:6" x14ac:dyDescent="0.25">
      <c r="A68326"/>
      <c r="B68326"/>
      <c r="C68326"/>
      <c r="E68326"/>
      <c r="F68326"/>
    </row>
    <row r="68327" spans="1:6" x14ac:dyDescent="0.25">
      <c r="A68327"/>
      <c r="B68327"/>
      <c r="C68327"/>
      <c r="E68327"/>
      <c r="F68327"/>
    </row>
    <row r="68328" spans="1:6" x14ac:dyDescent="0.25">
      <c r="A68328"/>
      <c r="B68328"/>
      <c r="C68328"/>
      <c r="E68328"/>
      <c r="F68328"/>
    </row>
    <row r="68329" spans="1:6" x14ac:dyDescent="0.25">
      <c r="A68329"/>
      <c r="B68329"/>
      <c r="C68329"/>
      <c r="E68329"/>
      <c r="F68329"/>
    </row>
    <row r="68330" spans="1:6" x14ac:dyDescent="0.25">
      <c r="A68330"/>
      <c r="B68330"/>
      <c r="C68330"/>
      <c r="E68330"/>
      <c r="F68330"/>
    </row>
    <row r="68331" spans="1:6" x14ac:dyDescent="0.25">
      <c r="A68331"/>
      <c r="B68331"/>
      <c r="C68331"/>
      <c r="E68331"/>
      <c r="F68331"/>
    </row>
    <row r="68332" spans="1:6" x14ac:dyDescent="0.25">
      <c r="A68332"/>
      <c r="B68332"/>
      <c r="C68332"/>
      <c r="E68332"/>
      <c r="F68332"/>
    </row>
    <row r="68333" spans="1:6" x14ac:dyDescent="0.25">
      <c r="A68333"/>
      <c r="B68333"/>
      <c r="C68333"/>
      <c r="E68333"/>
      <c r="F68333"/>
    </row>
    <row r="68334" spans="1:6" x14ac:dyDescent="0.25">
      <c r="A68334"/>
      <c r="B68334"/>
      <c r="C68334"/>
      <c r="E68334"/>
      <c r="F68334"/>
    </row>
    <row r="68335" spans="1:6" x14ac:dyDescent="0.25">
      <c r="A68335"/>
      <c r="B68335"/>
      <c r="C68335"/>
      <c r="E68335"/>
      <c r="F68335"/>
    </row>
    <row r="68336" spans="1:6" x14ac:dyDescent="0.25">
      <c r="A68336"/>
      <c r="B68336"/>
      <c r="C68336"/>
      <c r="E68336"/>
      <c r="F68336"/>
    </row>
    <row r="68337" spans="1:6" x14ac:dyDescent="0.25">
      <c r="A68337"/>
      <c r="B68337"/>
      <c r="C68337"/>
      <c r="E68337"/>
      <c r="F68337"/>
    </row>
    <row r="68338" spans="1:6" x14ac:dyDescent="0.25">
      <c r="A68338"/>
      <c r="B68338"/>
      <c r="C68338"/>
      <c r="E68338"/>
      <c r="F68338"/>
    </row>
    <row r="68339" spans="1:6" x14ac:dyDescent="0.25">
      <c r="A68339"/>
      <c r="B68339"/>
      <c r="C68339"/>
      <c r="E68339"/>
      <c r="F68339"/>
    </row>
    <row r="68340" spans="1:6" x14ac:dyDescent="0.25">
      <c r="A68340"/>
      <c r="B68340"/>
      <c r="C68340"/>
      <c r="E68340"/>
      <c r="F68340"/>
    </row>
    <row r="68341" spans="1:6" x14ac:dyDescent="0.25">
      <c r="A68341"/>
      <c r="B68341"/>
      <c r="C68341"/>
      <c r="E68341"/>
      <c r="F68341"/>
    </row>
    <row r="68342" spans="1:6" x14ac:dyDescent="0.25">
      <c r="A68342"/>
      <c r="B68342"/>
      <c r="C68342"/>
      <c r="E68342"/>
      <c r="F68342"/>
    </row>
    <row r="68343" spans="1:6" x14ac:dyDescent="0.25">
      <c r="A68343"/>
      <c r="B68343"/>
      <c r="C68343"/>
      <c r="E68343"/>
      <c r="F68343"/>
    </row>
    <row r="68344" spans="1:6" x14ac:dyDescent="0.25">
      <c r="A68344"/>
      <c r="B68344"/>
      <c r="C68344"/>
      <c r="E68344"/>
      <c r="F68344"/>
    </row>
    <row r="68345" spans="1:6" x14ac:dyDescent="0.25">
      <c r="A68345"/>
      <c r="B68345"/>
      <c r="C68345"/>
      <c r="E68345"/>
      <c r="F68345"/>
    </row>
    <row r="68346" spans="1:6" x14ac:dyDescent="0.25">
      <c r="A68346"/>
      <c r="B68346"/>
      <c r="C68346"/>
      <c r="E68346"/>
      <c r="F68346"/>
    </row>
    <row r="68347" spans="1:6" x14ac:dyDescent="0.25">
      <c r="A68347"/>
      <c r="B68347"/>
      <c r="C68347"/>
      <c r="E68347"/>
      <c r="F68347"/>
    </row>
    <row r="68348" spans="1:6" x14ac:dyDescent="0.25">
      <c r="A68348"/>
      <c r="B68348"/>
      <c r="C68348"/>
      <c r="E68348"/>
      <c r="F68348"/>
    </row>
    <row r="68349" spans="1:6" x14ac:dyDescent="0.25">
      <c r="A68349"/>
      <c r="B68349"/>
      <c r="C68349"/>
      <c r="E68349"/>
      <c r="F68349"/>
    </row>
    <row r="68350" spans="1:6" x14ac:dyDescent="0.25">
      <c r="A68350"/>
      <c r="B68350"/>
      <c r="C68350"/>
      <c r="E68350"/>
      <c r="F68350"/>
    </row>
    <row r="68351" spans="1:6" x14ac:dyDescent="0.25">
      <c r="A68351"/>
      <c r="B68351"/>
      <c r="C68351"/>
      <c r="E68351"/>
      <c r="F68351"/>
    </row>
    <row r="68352" spans="1:6" x14ac:dyDescent="0.25">
      <c r="A68352"/>
      <c r="B68352"/>
      <c r="C68352"/>
      <c r="E68352"/>
      <c r="F68352"/>
    </row>
    <row r="68353" spans="1:6" x14ac:dyDescent="0.25">
      <c r="A68353"/>
      <c r="B68353"/>
      <c r="C68353"/>
      <c r="E68353"/>
      <c r="F68353"/>
    </row>
    <row r="68354" spans="1:6" x14ac:dyDescent="0.25">
      <c r="A68354"/>
      <c r="B68354"/>
      <c r="C68354"/>
      <c r="E68354"/>
      <c r="F68354"/>
    </row>
    <row r="68355" spans="1:6" x14ac:dyDescent="0.25">
      <c r="A68355"/>
      <c r="B68355"/>
      <c r="C68355"/>
      <c r="E68355"/>
      <c r="F68355"/>
    </row>
    <row r="68356" spans="1:6" x14ac:dyDescent="0.25">
      <c r="A68356"/>
      <c r="B68356"/>
      <c r="C68356"/>
      <c r="E68356"/>
      <c r="F68356"/>
    </row>
    <row r="68357" spans="1:6" x14ac:dyDescent="0.25">
      <c r="A68357"/>
      <c r="B68357"/>
      <c r="C68357"/>
      <c r="E68357"/>
      <c r="F68357"/>
    </row>
    <row r="68358" spans="1:6" x14ac:dyDescent="0.25">
      <c r="A68358"/>
      <c r="B68358"/>
      <c r="C68358"/>
      <c r="E68358"/>
      <c r="F68358"/>
    </row>
    <row r="68359" spans="1:6" x14ac:dyDescent="0.25">
      <c r="A68359"/>
      <c r="B68359"/>
      <c r="C68359"/>
      <c r="E68359"/>
      <c r="F68359"/>
    </row>
    <row r="68360" spans="1:6" x14ac:dyDescent="0.25">
      <c r="A68360"/>
      <c r="B68360"/>
      <c r="C68360"/>
      <c r="E68360"/>
      <c r="F68360"/>
    </row>
    <row r="68361" spans="1:6" x14ac:dyDescent="0.25">
      <c r="A68361"/>
      <c r="B68361"/>
      <c r="C68361"/>
      <c r="E68361"/>
      <c r="F68361"/>
    </row>
    <row r="68362" spans="1:6" x14ac:dyDescent="0.25">
      <c r="A68362"/>
      <c r="B68362"/>
      <c r="C68362"/>
      <c r="E68362"/>
      <c r="F68362"/>
    </row>
    <row r="68363" spans="1:6" x14ac:dyDescent="0.25">
      <c r="A68363"/>
      <c r="B68363"/>
      <c r="C68363"/>
      <c r="E68363"/>
      <c r="F68363"/>
    </row>
    <row r="68364" spans="1:6" x14ac:dyDescent="0.25">
      <c r="A68364"/>
      <c r="B68364"/>
      <c r="C68364"/>
      <c r="E68364"/>
      <c r="F68364"/>
    </row>
    <row r="68365" spans="1:6" x14ac:dyDescent="0.25">
      <c r="A68365"/>
      <c r="B68365"/>
      <c r="C68365"/>
      <c r="E68365"/>
      <c r="F68365"/>
    </row>
    <row r="68366" spans="1:6" x14ac:dyDescent="0.25">
      <c r="A68366"/>
      <c r="B68366"/>
      <c r="C68366"/>
      <c r="E68366"/>
      <c r="F68366"/>
    </row>
    <row r="68367" spans="1:6" x14ac:dyDescent="0.25">
      <c r="A68367"/>
      <c r="B68367"/>
      <c r="C68367"/>
      <c r="E68367"/>
      <c r="F68367"/>
    </row>
    <row r="68368" spans="1:6" x14ac:dyDescent="0.25">
      <c r="A68368"/>
      <c r="B68368"/>
      <c r="C68368"/>
      <c r="E68368"/>
      <c r="F68368"/>
    </row>
    <row r="68369" spans="1:6" x14ac:dyDescent="0.25">
      <c r="A68369"/>
      <c r="B68369"/>
      <c r="C68369"/>
      <c r="E68369"/>
      <c r="F68369"/>
    </row>
    <row r="68370" spans="1:6" x14ac:dyDescent="0.25">
      <c r="A68370"/>
      <c r="B68370"/>
      <c r="C68370"/>
      <c r="E68370"/>
      <c r="F68370"/>
    </row>
    <row r="68371" spans="1:6" x14ac:dyDescent="0.25">
      <c r="A68371"/>
      <c r="B68371"/>
      <c r="C68371"/>
      <c r="E68371"/>
      <c r="F68371"/>
    </row>
    <row r="68372" spans="1:6" x14ac:dyDescent="0.25">
      <c r="A68372"/>
      <c r="B68372"/>
      <c r="C68372"/>
      <c r="E68372"/>
      <c r="F68372"/>
    </row>
    <row r="68373" spans="1:6" x14ac:dyDescent="0.25">
      <c r="A68373"/>
      <c r="B68373"/>
      <c r="C68373"/>
      <c r="E68373"/>
      <c r="F68373"/>
    </row>
    <row r="68374" spans="1:6" x14ac:dyDescent="0.25">
      <c r="A68374"/>
      <c r="B68374"/>
      <c r="C68374"/>
      <c r="E68374"/>
      <c r="F68374"/>
    </row>
    <row r="68375" spans="1:6" x14ac:dyDescent="0.25">
      <c r="A68375"/>
      <c r="B68375"/>
      <c r="C68375"/>
      <c r="E68375"/>
      <c r="F68375"/>
    </row>
    <row r="68376" spans="1:6" x14ac:dyDescent="0.25">
      <c r="A68376"/>
      <c r="B68376"/>
      <c r="C68376"/>
      <c r="E68376"/>
      <c r="F68376"/>
    </row>
    <row r="68377" spans="1:6" x14ac:dyDescent="0.25">
      <c r="A68377"/>
      <c r="B68377"/>
      <c r="C68377"/>
      <c r="E68377"/>
      <c r="F68377"/>
    </row>
    <row r="68378" spans="1:6" x14ac:dyDescent="0.25">
      <c r="A68378"/>
      <c r="B68378"/>
      <c r="C68378"/>
      <c r="E68378"/>
      <c r="F68378"/>
    </row>
    <row r="68379" spans="1:6" x14ac:dyDescent="0.25">
      <c r="A68379"/>
      <c r="B68379"/>
      <c r="C68379"/>
      <c r="E68379"/>
      <c r="F68379"/>
    </row>
    <row r="68380" spans="1:6" x14ac:dyDescent="0.25">
      <c r="A68380"/>
      <c r="B68380"/>
      <c r="C68380"/>
      <c r="E68380"/>
      <c r="F68380"/>
    </row>
    <row r="68381" spans="1:6" x14ac:dyDescent="0.25">
      <c r="A68381"/>
      <c r="B68381"/>
      <c r="C68381"/>
      <c r="E68381"/>
      <c r="F68381"/>
    </row>
    <row r="68382" spans="1:6" x14ac:dyDescent="0.25">
      <c r="A68382"/>
      <c r="B68382"/>
      <c r="C68382"/>
      <c r="E68382"/>
      <c r="F68382"/>
    </row>
    <row r="68383" spans="1:6" x14ac:dyDescent="0.25">
      <c r="A68383"/>
      <c r="B68383"/>
      <c r="C68383"/>
      <c r="E68383"/>
      <c r="F68383"/>
    </row>
    <row r="68384" spans="1:6" x14ac:dyDescent="0.25">
      <c r="A68384"/>
      <c r="B68384"/>
      <c r="C68384"/>
      <c r="E68384"/>
      <c r="F68384"/>
    </row>
    <row r="68385" spans="1:6" x14ac:dyDescent="0.25">
      <c r="A68385"/>
      <c r="B68385"/>
      <c r="C68385"/>
      <c r="E68385"/>
      <c r="F68385"/>
    </row>
    <row r="68386" spans="1:6" x14ac:dyDescent="0.25">
      <c r="A68386"/>
      <c r="B68386"/>
      <c r="C68386"/>
      <c r="E68386"/>
      <c r="F68386"/>
    </row>
    <row r="68387" spans="1:6" x14ac:dyDescent="0.25">
      <c r="A68387"/>
      <c r="B68387"/>
      <c r="C68387"/>
      <c r="E68387"/>
      <c r="F68387"/>
    </row>
    <row r="68388" spans="1:6" x14ac:dyDescent="0.25">
      <c r="A68388"/>
      <c r="B68388"/>
      <c r="C68388"/>
      <c r="E68388"/>
      <c r="F68388"/>
    </row>
    <row r="68389" spans="1:6" x14ac:dyDescent="0.25">
      <c r="A68389"/>
      <c r="B68389"/>
      <c r="C68389"/>
      <c r="E68389"/>
      <c r="F68389"/>
    </row>
    <row r="68390" spans="1:6" x14ac:dyDescent="0.25">
      <c r="A68390"/>
      <c r="B68390"/>
      <c r="C68390"/>
      <c r="E68390"/>
      <c r="F68390"/>
    </row>
    <row r="68391" spans="1:6" x14ac:dyDescent="0.25">
      <c r="A68391"/>
      <c r="B68391"/>
      <c r="C68391"/>
      <c r="E68391"/>
      <c r="F68391"/>
    </row>
    <row r="68392" spans="1:6" x14ac:dyDescent="0.25">
      <c r="A68392"/>
      <c r="B68392"/>
      <c r="C68392"/>
      <c r="E68392"/>
      <c r="F68392"/>
    </row>
    <row r="68393" spans="1:6" x14ac:dyDescent="0.25">
      <c r="A68393"/>
      <c r="B68393"/>
      <c r="C68393"/>
      <c r="E68393"/>
      <c r="F68393"/>
    </row>
    <row r="68394" spans="1:6" x14ac:dyDescent="0.25">
      <c r="A68394"/>
      <c r="B68394"/>
      <c r="C68394"/>
      <c r="E68394"/>
      <c r="F68394"/>
    </row>
    <row r="68395" spans="1:6" x14ac:dyDescent="0.25">
      <c r="A68395"/>
      <c r="B68395"/>
      <c r="C68395"/>
      <c r="E68395"/>
      <c r="F68395"/>
    </row>
    <row r="68396" spans="1:6" x14ac:dyDescent="0.25">
      <c r="A68396"/>
      <c r="B68396"/>
      <c r="C68396"/>
      <c r="E68396"/>
      <c r="F68396"/>
    </row>
    <row r="68397" spans="1:6" x14ac:dyDescent="0.25">
      <c r="A68397"/>
      <c r="B68397"/>
      <c r="C68397"/>
      <c r="E68397"/>
      <c r="F68397"/>
    </row>
    <row r="68398" spans="1:6" x14ac:dyDescent="0.25">
      <c r="A68398"/>
      <c r="B68398"/>
      <c r="C68398"/>
      <c r="E68398"/>
      <c r="F68398"/>
    </row>
    <row r="68399" spans="1:6" x14ac:dyDescent="0.25">
      <c r="A68399"/>
      <c r="B68399"/>
      <c r="C68399"/>
      <c r="E68399"/>
      <c r="F68399"/>
    </row>
    <row r="68400" spans="1:6" x14ac:dyDescent="0.25">
      <c r="A68400"/>
      <c r="B68400"/>
      <c r="C68400"/>
      <c r="E68400"/>
      <c r="F68400"/>
    </row>
    <row r="68401" spans="1:6" x14ac:dyDescent="0.25">
      <c r="A68401"/>
      <c r="B68401"/>
      <c r="C68401"/>
      <c r="E68401"/>
      <c r="F68401"/>
    </row>
    <row r="68402" spans="1:6" x14ac:dyDescent="0.25">
      <c r="A68402"/>
      <c r="B68402"/>
      <c r="C68402"/>
      <c r="E68402"/>
      <c r="F68402"/>
    </row>
    <row r="68403" spans="1:6" x14ac:dyDescent="0.25">
      <c r="A68403"/>
      <c r="B68403"/>
      <c r="C68403"/>
      <c r="E68403"/>
      <c r="F68403"/>
    </row>
    <row r="68404" spans="1:6" x14ac:dyDescent="0.25">
      <c r="A68404"/>
      <c r="B68404"/>
      <c r="C68404"/>
      <c r="E68404"/>
      <c r="F68404"/>
    </row>
    <row r="68405" spans="1:6" x14ac:dyDescent="0.25">
      <c r="A68405"/>
      <c r="B68405"/>
      <c r="C68405"/>
      <c r="E68405"/>
      <c r="F68405"/>
    </row>
    <row r="68406" spans="1:6" x14ac:dyDescent="0.25">
      <c r="A68406"/>
      <c r="B68406"/>
      <c r="C68406"/>
      <c r="E68406"/>
      <c r="F68406"/>
    </row>
    <row r="68407" spans="1:6" x14ac:dyDescent="0.25">
      <c r="A68407"/>
      <c r="B68407"/>
      <c r="C68407"/>
      <c r="E68407"/>
      <c r="F68407"/>
    </row>
    <row r="68408" spans="1:6" x14ac:dyDescent="0.25">
      <c r="A68408"/>
      <c r="B68408"/>
      <c r="C68408"/>
      <c r="E68408"/>
      <c r="F68408"/>
    </row>
    <row r="68409" spans="1:6" x14ac:dyDescent="0.25">
      <c r="A68409"/>
      <c r="B68409"/>
      <c r="C68409"/>
      <c r="E68409"/>
      <c r="F68409"/>
    </row>
    <row r="68410" spans="1:6" x14ac:dyDescent="0.25">
      <c r="A68410"/>
      <c r="B68410"/>
      <c r="C68410"/>
      <c r="E68410"/>
      <c r="F68410"/>
    </row>
    <row r="68411" spans="1:6" x14ac:dyDescent="0.25">
      <c r="A68411"/>
      <c r="B68411"/>
      <c r="C68411"/>
      <c r="E68411"/>
      <c r="F68411"/>
    </row>
    <row r="68412" spans="1:6" x14ac:dyDescent="0.25">
      <c r="A68412"/>
      <c r="B68412"/>
      <c r="C68412"/>
      <c r="E68412"/>
      <c r="F68412"/>
    </row>
    <row r="68413" spans="1:6" x14ac:dyDescent="0.25">
      <c r="A68413"/>
      <c r="B68413"/>
      <c r="C68413"/>
      <c r="E68413"/>
      <c r="F68413"/>
    </row>
    <row r="68414" spans="1:6" x14ac:dyDescent="0.25">
      <c r="A68414"/>
      <c r="B68414"/>
      <c r="C68414"/>
      <c r="E68414"/>
      <c r="F68414"/>
    </row>
    <row r="68415" spans="1:6" x14ac:dyDescent="0.25">
      <c r="A68415"/>
      <c r="B68415"/>
      <c r="C68415"/>
      <c r="E68415"/>
      <c r="F68415"/>
    </row>
    <row r="68416" spans="1:6" x14ac:dyDescent="0.25">
      <c r="A68416"/>
      <c r="B68416"/>
      <c r="C68416"/>
      <c r="E68416"/>
      <c r="F68416"/>
    </row>
    <row r="68417" spans="1:6" x14ac:dyDescent="0.25">
      <c r="A68417"/>
      <c r="B68417"/>
      <c r="C68417"/>
      <c r="E68417"/>
      <c r="F68417"/>
    </row>
    <row r="68418" spans="1:6" x14ac:dyDescent="0.25">
      <c r="A68418"/>
      <c r="B68418"/>
      <c r="C68418"/>
      <c r="E68418"/>
      <c r="F68418"/>
    </row>
    <row r="68419" spans="1:6" x14ac:dyDescent="0.25">
      <c r="A68419"/>
      <c r="B68419"/>
      <c r="C68419"/>
      <c r="E68419"/>
      <c r="F68419"/>
    </row>
    <row r="68420" spans="1:6" x14ac:dyDescent="0.25">
      <c r="A68420"/>
      <c r="B68420"/>
      <c r="C68420"/>
      <c r="E68420"/>
      <c r="F68420"/>
    </row>
    <row r="68421" spans="1:6" x14ac:dyDescent="0.25">
      <c r="A68421"/>
      <c r="B68421"/>
      <c r="C68421"/>
      <c r="E68421"/>
      <c r="F68421"/>
    </row>
    <row r="68422" spans="1:6" x14ac:dyDescent="0.25">
      <c r="A68422"/>
      <c r="B68422"/>
      <c r="C68422"/>
      <c r="E68422"/>
      <c r="F68422"/>
    </row>
    <row r="68423" spans="1:6" x14ac:dyDescent="0.25">
      <c r="A68423"/>
      <c r="B68423"/>
      <c r="C68423"/>
      <c r="E68423"/>
      <c r="F68423"/>
    </row>
    <row r="68424" spans="1:6" x14ac:dyDescent="0.25">
      <c r="A68424"/>
      <c r="B68424"/>
      <c r="C68424"/>
      <c r="E68424"/>
      <c r="F68424"/>
    </row>
    <row r="68425" spans="1:6" x14ac:dyDescent="0.25">
      <c r="A68425"/>
      <c r="B68425"/>
      <c r="C68425"/>
      <c r="E68425"/>
      <c r="F68425"/>
    </row>
    <row r="68426" spans="1:6" x14ac:dyDescent="0.25">
      <c r="A68426"/>
      <c r="B68426"/>
      <c r="C68426"/>
      <c r="E68426"/>
      <c r="F68426"/>
    </row>
    <row r="68427" spans="1:6" x14ac:dyDescent="0.25">
      <c r="A68427"/>
      <c r="B68427"/>
      <c r="C68427"/>
      <c r="E68427"/>
      <c r="F68427"/>
    </row>
    <row r="68428" spans="1:6" x14ac:dyDescent="0.25">
      <c r="A68428"/>
      <c r="B68428"/>
      <c r="C68428"/>
      <c r="E68428"/>
      <c r="F68428"/>
    </row>
    <row r="68429" spans="1:6" x14ac:dyDescent="0.25">
      <c r="A68429"/>
      <c r="B68429"/>
      <c r="C68429"/>
      <c r="E68429"/>
      <c r="F68429"/>
    </row>
    <row r="68430" spans="1:6" x14ac:dyDescent="0.25">
      <c r="A68430"/>
      <c r="B68430"/>
      <c r="C68430"/>
      <c r="E68430"/>
      <c r="F68430"/>
    </row>
    <row r="68431" spans="1:6" x14ac:dyDescent="0.25">
      <c r="A68431"/>
      <c r="B68431"/>
      <c r="C68431"/>
      <c r="E68431"/>
      <c r="F68431"/>
    </row>
    <row r="68432" spans="1:6" x14ac:dyDescent="0.25">
      <c r="A68432"/>
      <c r="B68432"/>
      <c r="C68432"/>
      <c r="E68432"/>
      <c r="F68432"/>
    </row>
    <row r="68433" spans="1:6" x14ac:dyDescent="0.25">
      <c r="A68433"/>
      <c r="B68433"/>
      <c r="C68433"/>
      <c r="E68433"/>
      <c r="F68433"/>
    </row>
    <row r="68434" spans="1:6" x14ac:dyDescent="0.25">
      <c r="A68434"/>
      <c r="B68434"/>
      <c r="C68434"/>
      <c r="E68434"/>
      <c r="F68434"/>
    </row>
    <row r="68435" spans="1:6" x14ac:dyDescent="0.25">
      <c r="A68435"/>
      <c r="B68435"/>
      <c r="C68435"/>
      <c r="E68435"/>
      <c r="F68435"/>
    </row>
    <row r="68436" spans="1:6" x14ac:dyDescent="0.25">
      <c r="A68436"/>
      <c r="B68436"/>
      <c r="C68436"/>
      <c r="E68436"/>
      <c r="F68436"/>
    </row>
    <row r="68437" spans="1:6" x14ac:dyDescent="0.25">
      <c r="A68437"/>
      <c r="B68437"/>
      <c r="C68437"/>
      <c r="E68437"/>
      <c r="F68437"/>
    </row>
    <row r="68438" spans="1:6" x14ac:dyDescent="0.25">
      <c r="A68438"/>
      <c r="B68438"/>
      <c r="C68438"/>
      <c r="E68438"/>
      <c r="F68438"/>
    </row>
    <row r="68439" spans="1:6" x14ac:dyDescent="0.25">
      <c r="A68439"/>
      <c r="B68439"/>
      <c r="C68439"/>
      <c r="E68439"/>
      <c r="F68439"/>
    </row>
    <row r="68440" spans="1:6" x14ac:dyDescent="0.25">
      <c r="A68440"/>
      <c r="B68440"/>
      <c r="C68440"/>
      <c r="E68440"/>
      <c r="F68440"/>
    </row>
    <row r="68441" spans="1:6" x14ac:dyDescent="0.25">
      <c r="A68441"/>
      <c r="B68441"/>
      <c r="C68441"/>
      <c r="E68441"/>
      <c r="F68441"/>
    </row>
    <row r="68442" spans="1:6" x14ac:dyDescent="0.25">
      <c r="A68442"/>
      <c r="B68442"/>
      <c r="C68442"/>
      <c r="E68442"/>
      <c r="F68442"/>
    </row>
    <row r="68443" spans="1:6" x14ac:dyDescent="0.25">
      <c r="A68443"/>
      <c r="B68443"/>
      <c r="C68443"/>
      <c r="E68443"/>
      <c r="F68443"/>
    </row>
    <row r="68444" spans="1:6" x14ac:dyDescent="0.25">
      <c r="A68444"/>
      <c r="B68444"/>
      <c r="C68444"/>
      <c r="E68444"/>
      <c r="F68444"/>
    </row>
    <row r="68445" spans="1:6" x14ac:dyDescent="0.25">
      <c r="A68445"/>
      <c r="B68445"/>
      <c r="C68445"/>
      <c r="E68445"/>
      <c r="F68445"/>
    </row>
    <row r="68446" spans="1:6" x14ac:dyDescent="0.25">
      <c r="A68446"/>
      <c r="B68446"/>
      <c r="C68446"/>
      <c r="E68446"/>
      <c r="F68446"/>
    </row>
    <row r="68447" spans="1:6" x14ac:dyDescent="0.25">
      <c r="A68447"/>
      <c r="B68447"/>
      <c r="C68447"/>
      <c r="E68447"/>
      <c r="F68447"/>
    </row>
    <row r="68448" spans="1:6" x14ac:dyDescent="0.25">
      <c r="A68448"/>
      <c r="B68448"/>
      <c r="C68448"/>
      <c r="E68448"/>
      <c r="F68448"/>
    </row>
    <row r="68449" spans="1:6" x14ac:dyDescent="0.25">
      <c r="A68449"/>
      <c r="B68449"/>
      <c r="C68449"/>
      <c r="E68449"/>
      <c r="F68449"/>
    </row>
    <row r="68450" spans="1:6" x14ac:dyDescent="0.25">
      <c r="A68450"/>
      <c r="B68450"/>
      <c r="C68450"/>
      <c r="E68450"/>
      <c r="F68450"/>
    </row>
    <row r="68451" spans="1:6" x14ac:dyDescent="0.25">
      <c r="A68451"/>
      <c r="B68451"/>
      <c r="C68451"/>
      <c r="E68451"/>
      <c r="F68451"/>
    </row>
    <row r="68452" spans="1:6" x14ac:dyDescent="0.25">
      <c r="A68452"/>
      <c r="B68452"/>
      <c r="C68452"/>
      <c r="E68452"/>
      <c r="F68452"/>
    </row>
    <row r="68453" spans="1:6" x14ac:dyDescent="0.25">
      <c r="A68453"/>
      <c r="B68453"/>
      <c r="C68453"/>
      <c r="E68453"/>
      <c r="F68453"/>
    </row>
    <row r="68454" spans="1:6" x14ac:dyDescent="0.25">
      <c r="A68454"/>
      <c r="B68454"/>
      <c r="C68454"/>
      <c r="E68454"/>
      <c r="F68454"/>
    </row>
    <row r="68455" spans="1:6" x14ac:dyDescent="0.25">
      <c r="A68455"/>
      <c r="B68455"/>
      <c r="C68455"/>
      <c r="E68455"/>
      <c r="F68455"/>
    </row>
    <row r="68456" spans="1:6" x14ac:dyDescent="0.25">
      <c r="A68456"/>
      <c r="B68456"/>
      <c r="C68456"/>
      <c r="E68456"/>
      <c r="F68456"/>
    </row>
    <row r="68457" spans="1:6" x14ac:dyDescent="0.25">
      <c r="A68457"/>
      <c r="B68457"/>
      <c r="C68457"/>
      <c r="E68457"/>
      <c r="F68457"/>
    </row>
    <row r="68458" spans="1:6" x14ac:dyDescent="0.25">
      <c r="A68458"/>
      <c r="B68458"/>
      <c r="C68458"/>
      <c r="E68458"/>
      <c r="F68458"/>
    </row>
    <row r="68459" spans="1:6" x14ac:dyDescent="0.25">
      <c r="A68459"/>
      <c r="B68459"/>
      <c r="C68459"/>
      <c r="E68459"/>
      <c r="F68459"/>
    </row>
    <row r="68460" spans="1:6" x14ac:dyDescent="0.25">
      <c r="A68460"/>
      <c r="B68460"/>
      <c r="C68460"/>
      <c r="E68460"/>
      <c r="F68460"/>
    </row>
    <row r="68461" spans="1:6" x14ac:dyDescent="0.25">
      <c r="A68461"/>
      <c r="B68461"/>
      <c r="C68461"/>
      <c r="E68461"/>
      <c r="F68461"/>
    </row>
    <row r="68462" spans="1:6" x14ac:dyDescent="0.25">
      <c r="A68462"/>
      <c r="B68462"/>
      <c r="C68462"/>
      <c r="E68462"/>
      <c r="F68462"/>
    </row>
    <row r="68463" spans="1:6" x14ac:dyDescent="0.25">
      <c r="A68463"/>
      <c r="B68463"/>
      <c r="C68463"/>
      <c r="E68463"/>
      <c r="F68463"/>
    </row>
    <row r="68464" spans="1:6" x14ac:dyDescent="0.25">
      <c r="A68464"/>
      <c r="B68464"/>
      <c r="C68464"/>
      <c r="E68464"/>
      <c r="F68464"/>
    </row>
    <row r="68465" spans="1:6" x14ac:dyDescent="0.25">
      <c r="A68465"/>
      <c r="B68465"/>
      <c r="C68465"/>
      <c r="E68465"/>
      <c r="F68465"/>
    </row>
    <row r="68466" spans="1:6" x14ac:dyDescent="0.25">
      <c r="A68466"/>
      <c r="B68466"/>
      <c r="C68466"/>
      <c r="E68466"/>
      <c r="F68466"/>
    </row>
    <row r="68467" spans="1:6" x14ac:dyDescent="0.25">
      <c r="A68467"/>
      <c r="B68467"/>
      <c r="C68467"/>
      <c r="E68467"/>
      <c r="F68467"/>
    </row>
    <row r="68468" spans="1:6" x14ac:dyDescent="0.25">
      <c r="A68468"/>
      <c r="B68468"/>
      <c r="C68468"/>
      <c r="E68468"/>
      <c r="F68468"/>
    </row>
    <row r="68469" spans="1:6" x14ac:dyDescent="0.25">
      <c r="A68469"/>
      <c r="B68469"/>
      <c r="C68469"/>
      <c r="E68469"/>
      <c r="F68469"/>
    </row>
    <row r="68470" spans="1:6" x14ac:dyDescent="0.25">
      <c r="A68470"/>
      <c r="B68470"/>
      <c r="C68470"/>
      <c r="E68470"/>
      <c r="F68470"/>
    </row>
    <row r="68471" spans="1:6" x14ac:dyDescent="0.25">
      <c r="A68471"/>
      <c r="B68471"/>
      <c r="C68471"/>
      <c r="E68471"/>
      <c r="F68471"/>
    </row>
    <row r="68472" spans="1:6" x14ac:dyDescent="0.25">
      <c r="A68472"/>
      <c r="B68472"/>
      <c r="C68472"/>
      <c r="E68472"/>
      <c r="F68472"/>
    </row>
    <row r="68473" spans="1:6" x14ac:dyDescent="0.25">
      <c r="A68473"/>
      <c r="B68473"/>
      <c r="C68473"/>
      <c r="E68473"/>
      <c r="F68473"/>
    </row>
    <row r="68474" spans="1:6" x14ac:dyDescent="0.25">
      <c r="A68474"/>
      <c r="B68474"/>
      <c r="C68474"/>
      <c r="E68474"/>
      <c r="F68474"/>
    </row>
    <row r="68475" spans="1:6" x14ac:dyDescent="0.25">
      <c r="A68475"/>
      <c r="B68475"/>
      <c r="C68475"/>
      <c r="E68475"/>
      <c r="F68475"/>
    </row>
    <row r="68476" spans="1:6" x14ac:dyDescent="0.25">
      <c r="A68476"/>
      <c r="B68476"/>
      <c r="C68476"/>
      <c r="E68476"/>
      <c r="F68476"/>
    </row>
    <row r="68477" spans="1:6" x14ac:dyDescent="0.25">
      <c r="A68477"/>
      <c r="B68477"/>
      <c r="C68477"/>
      <c r="E68477"/>
      <c r="F68477"/>
    </row>
    <row r="68478" spans="1:6" x14ac:dyDescent="0.25">
      <c r="A68478"/>
      <c r="B68478"/>
      <c r="C68478"/>
      <c r="E68478"/>
      <c r="F68478"/>
    </row>
    <row r="68479" spans="1:6" x14ac:dyDescent="0.25">
      <c r="A68479"/>
      <c r="B68479"/>
      <c r="C68479"/>
      <c r="E68479"/>
      <c r="F68479"/>
    </row>
    <row r="68480" spans="1:6" x14ac:dyDescent="0.25">
      <c r="A68480"/>
      <c r="B68480"/>
      <c r="C68480"/>
      <c r="E68480"/>
      <c r="F68480"/>
    </row>
    <row r="68481" spans="1:6" x14ac:dyDescent="0.25">
      <c r="A68481"/>
      <c r="B68481"/>
      <c r="C68481"/>
      <c r="E68481"/>
      <c r="F68481"/>
    </row>
    <row r="68482" spans="1:6" x14ac:dyDescent="0.25">
      <c r="A68482"/>
      <c r="B68482"/>
      <c r="C68482"/>
      <c r="E68482"/>
      <c r="F68482"/>
    </row>
    <row r="68483" spans="1:6" x14ac:dyDescent="0.25">
      <c r="A68483"/>
      <c r="B68483"/>
      <c r="C68483"/>
      <c r="E68483"/>
      <c r="F68483"/>
    </row>
    <row r="68484" spans="1:6" x14ac:dyDescent="0.25">
      <c r="A68484"/>
      <c r="B68484"/>
      <c r="C68484"/>
      <c r="E68484"/>
      <c r="F68484"/>
    </row>
    <row r="68485" spans="1:6" x14ac:dyDescent="0.25">
      <c r="A68485"/>
      <c r="B68485"/>
      <c r="C68485"/>
      <c r="E68485"/>
      <c r="F68485"/>
    </row>
    <row r="68486" spans="1:6" x14ac:dyDescent="0.25">
      <c r="A68486"/>
      <c r="B68486"/>
      <c r="C68486"/>
      <c r="E68486"/>
      <c r="F68486"/>
    </row>
    <row r="68487" spans="1:6" x14ac:dyDescent="0.25">
      <c r="A68487"/>
      <c r="B68487"/>
      <c r="C68487"/>
      <c r="E68487"/>
      <c r="F68487"/>
    </row>
    <row r="68488" spans="1:6" x14ac:dyDescent="0.25">
      <c r="A68488"/>
      <c r="B68488"/>
      <c r="C68488"/>
      <c r="E68488"/>
      <c r="F68488"/>
    </row>
    <row r="68489" spans="1:6" x14ac:dyDescent="0.25">
      <c r="A68489"/>
      <c r="B68489"/>
      <c r="C68489"/>
      <c r="E68489"/>
      <c r="F68489"/>
    </row>
    <row r="68490" spans="1:6" x14ac:dyDescent="0.25">
      <c r="A68490"/>
      <c r="B68490"/>
      <c r="C68490"/>
      <c r="E68490"/>
      <c r="F68490"/>
    </row>
    <row r="68491" spans="1:6" x14ac:dyDescent="0.25">
      <c r="A68491"/>
      <c r="B68491"/>
      <c r="C68491"/>
      <c r="E68491"/>
      <c r="F68491"/>
    </row>
    <row r="68492" spans="1:6" x14ac:dyDescent="0.25">
      <c r="A68492"/>
      <c r="B68492"/>
      <c r="C68492"/>
      <c r="E68492"/>
      <c r="F68492"/>
    </row>
    <row r="68493" spans="1:6" x14ac:dyDescent="0.25">
      <c r="A68493"/>
      <c r="B68493"/>
      <c r="C68493"/>
      <c r="E68493"/>
      <c r="F68493"/>
    </row>
    <row r="68494" spans="1:6" x14ac:dyDescent="0.25">
      <c r="A68494"/>
      <c r="B68494"/>
      <c r="C68494"/>
      <c r="E68494"/>
      <c r="F68494"/>
    </row>
    <row r="68495" spans="1:6" x14ac:dyDescent="0.25">
      <c r="A68495"/>
      <c r="B68495"/>
      <c r="C68495"/>
      <c r="E68495"/>
      <c r="F68495"/>
    </row>
    <row r="68496" spans="1:6" x14ac:dyDescent="0.25">
      <c r="A68496"/>
      <c r="B68496"/>
      <c r="C68496"/>
      <c r="E68496"/>
      <c r="F68496"/>
    </row>
    <row r="68497" spans="1:6" x14ac:dyDescent="0.25">
      <c r="A68497"/>
      <c r="B68497"/>
      <c r="C68497"/>
      <c r="E68497"/>
      <c r="F68497"/>
    </row>
    <row r="68498" spans="1:6" x14ac:dyDescent="0.25">
      <c r="A68498"/>
      <c r="B68498"/>
      <c r="C68498"/>
      <c r="E68498"/>
      <c r="F68498"/>
    </row>
    <row r="68499" spans="1:6" x14ac:dyDescent="0.25">
      <c r="A68499"/>
      <c r="B68499"/>
      <c r="C68499"/>
      <c r="E68499"/>
      <c r="F68499"/>
    </row>
    <row r="68500" spans="1:6" x14ac:dyDescent="0.25">
      <c r="A68500"/>
      <c r="B68500"/>
      <c r="C68500"/>
      <c r="E68500"/>
      <c r="F68500"/>
    </row>
    <row r="68501" spans="1:6" x14ac:dyDescent="0.25">
      <c r="A68501"/>
      <c r="B68501"/>
      <c r="C68501"/>
      <c r="E68501"/>
      <c r="F68501"/>
    </row>
    <row r="68502" spans="1:6" x14ac:dyDescent="0.25">
      <c r="A68502"/>
      <c r="B68502"/>
      <c r="C68502"/>
      <c r="E68502"/>
      <c r="F68502"/>
    </row>
    <row r="68503" spans="1:6" x14ac:dyDescent="0.25">
      <c r="A68503"/>
      <c r="B68503"/>
      <c r="C68503"/>
      <c r="E68503"/>
      <c r="F68503"/>
    </row>
    <row r="68504" spans="1:6" x14ac:dyDescent="0.25">
      <c r="A68504"/>
      <c r="B68504"/>
      <c r="C68504"/>
      <c r="E68504"/>
      <c r="F68504"/>
    </row>
    <row r="68505" spans="1:6" x14ac:dyDescent="0.25">
      <c r="A68505"/>
      <c r="B68505"/>
      <c r="C68505"/>
      <c r="E68505"/>
      <c r="F68505"/>
    </row>
    <row r="68506" spans="1:6" x14ac:dyDescent="0.25">
      <c r="A68506"/>
      <c r="B68506"/>
      <c r="C68506"/>
      <c r="E68506"/>
      <c r="F68506"/>
    </row>
    <row r="68507" spans="1:6" x14ac:dyDescent="0.25">
      <c r="A68507"/>
      <c r="B68507"/>
      <c r="C68507"/>
      <c r="E68507"/>
      <c r="F68507"/>
    </row>
    <row r="68508" spans="1:6" x14ac:dyDescent="0.25">
      <c r="A68508"/>
      <c r="B68508"/>
      <c r="C68508"/>
      <c r="E68508"/>
      <c r="F68508"/>
    </row>
    <row r="68509" spans="1:6" x14ac:dyDescent="0.25">
      <c r="A68509"/>
      <c r="B68509"/>
      <c r="C68509"/>
      <c r="E68509"/>
      <c r="F68509"/>
    </row>
    <row r="68510" spans="1:6" x14ac:dyDescent="0.25">
      <c r="A68510"/>
      <c r="B68510"/>
      <c r="C68510"/>
      <c r="E68510"/>
      <c r="F68510"/>
    </row>
    <row r="68511" spans="1:6" x14ac:dyDescent="0.25">
      <c r="A68511"/>
      <c r="B68511"/>
      <c r="C68511"/>
      <c r="E68511"/>
      <c r="F68511"/>
    </row>
    <row r="68512" spans="1:6" x14ac:dyDescent="0.25">
      <c r="A68512"/>
      <c r="B68512"/>
      <c r="C68512"/>
      <c r="E68512"/>
      <c r="F68512"/>
    </row>
    <row r="68513" spans="1:6" x14ac:dyDescent="0.25">
      <c r="A68513"/>
      <c r="B68513"/>
      <c r="C68513"/>
      <c r="E68513"/>
      <c r="F68513"/>
    </row>
    <row r="68514" spans="1:6" x14ac:dyDescent="0.25">
      <c r="A68514"/>
      <c r="B68514"/>
      <c r="C68514"/>
      <c r="E68514"/>
      <c r="F68514"/>
    </row>
    <row r="68515" spans="1:6" x14ac:dyDescent="0.25">
      <c r="A68515"/>
      <c r="B68515"/>
      <c r="C68515"/>
      <c r="E68515"/>
      <c r="F68515"/>
    </row>
    <row r="68516" spans="1:6" x14ac:dyDescent="0.25">
      <c r="A68516"/>
      <c r="B68516"/>
      <c r="C68516"/>
      <c r="E68516"/>
      <c r="F68516"/>
    </row>
    <row r="68517" spans="1:6" x14ac:dyDescent="0.25">
      <c r="A68517"/>
      <c r="B68517"/>
      <c r="C68517"/>
      <c r="E68517"/>
      <c r="F68517"/>
    </row>
    <row r="68518" spans="1:6" x14ac:dyDescent="0.25">
      <c r="A68518"/>
      <c r="B68518"/>
      <c r="C68518"/>
      <c r="E68518"/>
      <c r="F68518"/>
    </row>
    <row r="68519" spans="1:6" x14ac:dyDescent="0.25">
      <c r="A68519"/>
      <c r="B68519"/>
      <c r="C68519"/>
      <c r="E68519"/>
      <c r="F68519"/>
    </row>
    <row r="68520" spans="1:6" x14ac:dyDescent="0.25">
      <c r="A68520"/>
      <c r="B68520"/>
      <c r="C68520"/>
      <c r="E68520"/>
      <c r="F68520"/>
    </row>
    <row r="68521" spans="1:6" x14ac:dyDescent="0.25">
      <c r="A68521"/>
      <c r="B68521"/>
      <c r="C68521"/>
      <c r="E68521"/>
      <c r="F68521"/>
    </row>
    <row r="68522" spans="1:6" x14ac:dyDescent="0.25">
      <c r="A68522"/>
      <c r="B68522"/>
      <c r="C68522"/>
      <c r="E68522"/>
      <c r="F68522"/>
    </row>
    <row r="68523" spans="1:6" x14ac:dyDescent="0.25">
      <c r="A68523"/>
      <c r="B68523"/>
      <c r="C68523"/>
      <c r="E68523"/>
      <c r="F68523"/>
    </row>
    <row r="68524" spans="1:6" x14ac:dyDescent="0.25">
      <c r="A68524"/>
      <c r="B68524"/>
      <c r="C68524"/>
      <c r="E68524"/>
      <c r="F68524"/>
    </row>
    <row r="68525" spans="1:6" x14ac:dyDescent="0.25">
      <c r="A68525"/>
      <c r="B68525"/>
      <c r="C68525"/>
      <c r="E68525"/>
      <c r="F68525"/>
    </row>
    <row r="68526" spans="1:6" x14ac:dyDescent="0.25">
      <c r="A68526"/>
      <c r="B68526"/>
      <c r="C68526"/>
      <c r="E68526"/>
      <c r="F68526"/>
    </row>
    <row r="68527" spans="1:6" x14ac:dyDescent="0.25">
      <c r="A68527"/>
      <c r="B68527"/>
      <c r="C68527"/>
      <c r="E68527"/>
      <c r="F68527"/>
    </row>
    <row r="68528" spans="1:6" x14ac:dyDescent="0.25">
      <c r="A68528"/>
      <c r="B68528"/>
      <c r="C68528"/>
      <c r="E68528"/>
      <c r="F68528"/>
    </row>
    <row r="68529" spans="1:6" x14ac:dyDescent="0.25">
      <c r="A68529"/>
      <c r="B68529"/>
      <c r="C68529"/>
      <c r="E68529"/>
      <c r="F68529"/>
    </row>
    <row r="68530" spans="1:6" x14ac:dyDescent="0.25">
      <c r="A68530"/>
      <c r="B68530"/>
      <c r="C68530"/>
      <c r="E68530"/>
      <c r="F68530"/>
    </row>
    <row r="68531" spans="1:6" x14ac:dyDescent="0.25">
      <c r="A68531"/>
      <c r="B68531"/>
      <c r="C68531"/>
      <c r="E68531"/>
      <c r="F68531"/>
    </row>
    <row r="68532" spans="1:6" x14ac:dyDescent="0.25">
      <c r="A68532"/>
      <c r="B68532"/>
      <c r="C68532"/>
      <c r="E68532"/>
      <c r="F68532"/>
    </row>
    <row r="68533" spans="1:6" x14ac:dyDescent="0.25">
      <c r="A68533"/>
      <c r="B68533"/>
      <c r="C68533"/>
      <c r="E68533"/>
      <c r="F68533"/>
    </row>
    <row r="68534" spans="1:6" x14ac:dyDescent="0.25">
      <c r="A68534"/>
      <c r="B68534"/>
      <c r="C68534"/>
      <c r="E68534"/>
      <c r="F68534"/>
    </row>
    <row r="68535" spans="1:6" x14ac:dyDescent="0.25">
      <c r="A68535"/>
      <c r="B68535"/>
      <c r="C68535"/>
      <c r="E68535"/>
      <c r="F68535"/>
    </row>
    <row r="68536" spans="1:6" x14ac:dyDescent="0.25">
      <c r="A68536"/>
      <c r="B68536"/>
      <c r="C68536"/>
      <c r="E68536"/>
      <c r="F68536"/>
    </row>
    <row r="68537" spans="1:6" x14ac:dyDescent="0.25">
      <c r="A68537"/>
      <c r="B68537"/>
      <c r="C68537"/>
      <c r="E68537"/>
      <c r="F68537"/>
    </row>
    <row r="68538" spans="1:6" x14ac:dyDescent="0.25">
      <c r="A68538"/>
      <c r="B68538"/>
      <c r="C68538"/>
      <c r="E68538"/>
      <c r="F68538"/>
    </row>
    <row r="68539" spans="1:6" x14ac:dyDescent="0.25">
      <c r="A68539"/>
      <c r="B68539"/>
      <c r="C68539"/>
      <c r="E68539"/>
      <c r="F68539"/>
    </row>
    <row r="68540" spans="1:6" x14ac:dyDescent="0.25">
      <c r="A68540"/>
      <c r="B68540"/>
      <c r="C68540"/>
      <c r="E68540"/>
      <c r="F68540"/>
    </row>
    <row r="68541" spans="1:6" x14ac:dyDescent="0.25">
      <c r="A68541"/>
      <c r="B68541"/>
      <c r="C68541"/>
      <c r="E68541"/>
      <c r="F68541"/>
    </row>
    <row r="68542" spans="1:6" x14ac:dyDescent="0.25">
      <c r="A68542"/>
      <c r="B68542"/>
      <c r="C68542"/>
      <c r="E68542"/>
      <c r="F68542"/>
    </row>
    <row r="68543" spans="1:6" x14ac:dyDescent="0.25">
      <c r="A68543"/>
      <c r="B68543"/>
      <c r="C68543"/>
      <c r="E68543"/>
      <c r="F68543"/>
    </row>
    <row r="68544" spans="1:6" x14ac:dyDescent="0.25">
      <c r="A68544"/>
      <c r="B68544"/>
      <c r="C68544"/>
      <c r="E68544"/>
      <c r="F68544"/>
    </row>
    <row r="68545" spans="1:6" x14ac:dyDescent="0.25">
      <c r="A68545"/>
      <c r="B68545"/>
      <c r="C68545"/>
      <c r="E68545"/>
      <c r="F68545"/>
    </row>
    <row r="68546" spans="1:6" x14ac:dyDescent="0.25">
      <c r="A68546"/>
      <c r="B68546"/>
      <c r="C68546"/>
      <c r="E68546"/>
      <c r="F68546"/>
    </row>
    <row r="68547" spans="1:6" x14ac:dyDescent="0.25">
      <c r="A68547"/>
      <c r="B68547"/>
      <c r="C68547"/>
      <c r="E68547"/>
      <c r="F68547"/>
    </row>
    <row r="68548" spans="1:6" x14ac:dyDescent="0.25">
      <c r="A68548"/>
      <c r="B68548"/>
      <c r="C68548"/>
      <c r="E68548"/>
      <c r="F68548"/>
    </row>
    <row r="68549" spans="1:6" x14ac:dyDescent="0.25">
      <c r="A68549"/>
      <c r="B68549"/>
      <c r="C68549"/>
      <c r="E68549"/>
      <c r="F68549"/>
    </row>
    <row r="68550" spans="1:6" x14ac:dyDescent="0.25">
      <c r="A68550"/>
      <c r="B68550"/>
      <c r="C68550"/>
      <c r="E68550"/>
      <c r="F68550"/>
    </row>
    <row r="68551" spans="1:6" x14ac:dyDescent="0.25">
      <c r="A68551"/>
      <c r="B68551"/>
      <c r="C68551"/>
      <c r="E68551"/>
      <c r="F68551"/>
    </row>
    <row r="68552" spans="1:6" x14ac:dyDescent="0.25">
      <c r="A68552"/>
      <c r="B68552"/>
      <c r="C68552"/>
      <c r="E68552"/>
      <c r="F68552"/>
    </row>
    <row r="68553" spans="1:6" x14ac:dyDescent="0.25">
      <c r="A68553"/>
      <c r="B68553"/>
      <c r="C68553"/>
      <c r="E68553"/>
      <c r="F68553"/>
    </row>
    <row r="68554" spans="1:6" x14ac:dyDescent="0.25">
      <c r="A68554"/>
      <c r="B68554"/>
      <c r="C68554"/>
      <c r="E68554"/>
      <c r="F68554"/>
    </row>
    <row r="68555" spans="1:6" x14ac:dyDescent="0.25">
      <c r="A68555"/>
      <c r="B68555"/>
      <c r="C68555"/>
      <c r="E68555"/>
      <c r="F68555"/>
    </row>
    <row r="68556" spans="1:6" x14ac:dyDescent="0.25">
      <c r="A68556"/>
      <c r="B68556"/>
      <c r="C68556"/>
      <c r="E68556"/>
      <c r="F68556"/>
    </row>
    <row r="68557" spans="1:6" x14ac:dyDescent="0.25">
      <c r="A68557"/>
      <c r="B68557"/>
      <c r="C68557"/>
      <c r="E68557"/>
      <c r="F68557"/>
    </row>
    <row r="68558" spans="1:6" x14ac:dyDescent="0.25">
      <c r="A68558"/>
      <c r="B68558"/>
      <c r="C68558"/>
      <c r="E68558"/>
      <c r="F68558"/>
    </row>
    <row r="68559" spans="1:6" x14ac:dyDescent="0.25">
      <c r="A68559"/>
      <c r="B68559"/>
      <c r="C68559"/>
      <c r="E68559"/>
      <c r="F68559"/>
    </row>
    <row r="68560" spans="1:6" x14ac:dyDescent="0.25">
      <c r="A68560"/>
      <c r="B68560"/>
      <c r="C68560"/>
      <c r="E68560"/>
      <c r="F68560"/>
    </row>
    <row r="68561" spans="1:6" x14ac:dyDescent="0.25">
      <c r="A68561"/>
      <c r="B68561"/>
      <c r="C68561"/>
      <c r="E68561"/>
      <c r="F68561"/>
    </row>
    <row r="68562" spans="1:6" x14ac:dyDescent="0.25">
      <c r="A68562"/>
      <c r="B68562"/>
      <c r="C68562"/>
      <c r="E68562"/>
      <c r="F68562"/>
    </row>
    <row r="68563" spans="1:6" x14ac:dyDescent="0.25">
      <c r="A68563"/>
      <c r="B68563"/>
      <c r="C68563"/>
      <c r="E68563"/>
      <c r="F68563"/>
    </row>
    <row r="68564" spans="1:6" x14ac:dyDescent="0.25">
      <c r="A68564"/>
      <c r="B68564"/>
      <c r="C68564"/>
      <c r="E68564"/>
      <c r="F68564"/>
    </row>
    <row r="68565" spans="1:6" x14ac:dyDescent="0.25">
      <c r="A68565"/>
      <c r="B68565"/>
      <c r="C68565"/>
      <c r="E68565"/>
      <c r="F68565"/>
    </row>
    <row r="68566" spans="1:6" x14ac:dyDescent="0.25">
      <c r="A68566"/>
      <c r="B68566"/>
      <c r="C68566"/>
      <c r="E68566"/>
      <c r="F68566"/>
    </row>
    <row r="68567" spans="1:6" x14ac:dyDescent="0.25">
      <c r="A68567"/>
      <c r="B68567"/>
      <c r="C68567"/>
      <c r="E68567"/>
      <c r="F68567"/>
    </row>
    <row r="68568" spans="1:6" x14ac:dyDescent="0.25">
      <c r="A68568"/>
      <c r="B68568"/>
      <c r="C68568"/>
      <c r="E68568"/>
      <c r="F68568"/>
    </row>
    <row r="68569" spans="1:6" x14ac:dyDescent="0.25">
      <c r="A68569"/>
      <c r="B68569"/>
      <c r="C68569"/>
      <c r="E68569"/>
      <c r="F68569"/>
    </row>
    <row r="68570" spans="1:6" x14ac:dyDescent="0.25">
      <c r="A68570"/>
      <c r="B68570"/>
      <c r="C68570"/>
      <c r="E68570"/>
      <c r="F68570"/>
    </row>
    <row r="68571" spans="1:6" x14ac:dyDescent="0.25">
      <c r="A68571"/>
      <c r="B68571"/>
      <c r="C68571"/>
      <c r="E68571"/>
      <c r="F68571"/>
    </row>
    <row r="68572" spans="1:6" x14ac:dyDescent="0.25">
      <c r="A68572"/>
      <c r="B68572"/>
      <c r="C68572"/>
      <c r="E68572"/>
      <c r="F68572"/>
    </row>
    <row r="68573" spans="1:6" x14ac:dyDescent="0.25">
      <c r="A68573"/>
      <c r="B68573"/>
      <c r="C68573"/>
      <c r="E68573"/>
      <c r="F68573"/>
    </row>
    <row r="68574" spans="1:6" x14ac:dyDescent="0.25">
      <c r="A68574"/>
      <c r="B68574"/>
      <c r="C68574"/>
      <c r="E68574"/>
      <c r="F68574"/>
    </row>
    <row r="68575" spans="1:6" x14ac:dyDescent="0.25">
      <c r="A68575"/>
      <c r="B68575"/>
      <c r="C68575"/>
      <c r="E68575"/>
      <c r="F68575"/>
    </row>
    <row r="68576" spans="1:6" x14ac:dyDescent="0.25">
      <c r="A68576"/>
      <c r="B68576"/>
      <c r="C68576"/>
      <c r="E68576"/>
      <c r="F68576"/>
    </row>
    <row r="68577" spans="1:6" x14ac:dyDescent="0.25">
      <c r="A68577"/>
      <c r="B68577"/>
      <c r="C68577"/>
      <c r="E68577"/>
      <c r="F68577"/>
    </row>
    <row r="68578" spans="1:6" x14ac:dyDescent="0.25">
      <c r="A68578"/>
      <c r="B68578"/>
      <c r="C68578"/>
      <c r="E68578"/>
      <c r="F68578"/>
    </row>
    <row r="68579" spans="1:6" x14ac:dyDescent="0.25">
      <c r="A68579"/>
      <c r="B68579"/>
      <c r="C68579"/>
      <c r="E68579"/>
      <c r="F68579"/>
    </row>
    <row r="68580" spans="1:6" x14ac:dyDescent="0.25">
      <c r="A68580"/>
      <c r="B68580"/>
      <c r="C68580"/>
      <c r="E68580"/>
      <c r="F68580"/>
    </row>
    <row r="68581" spans="1:6" x14ac:dyDescent="0.25">
      <c r="A68581"/>
      <c r="B68581"/>
      <c r="C68581"/>
      <c r="E68581"/>
      <c r="F68581"/>
    </row>
    <row r="68582" spans="1:6" x14ac:dyDescent="0.25">
      <c r="A68582"/>
      <c r="B68582"/>
      <c r="C68582"/>
      <c r="E68582"/>
      <c r="F68582"/>
    </row>
    <row r="68583" spans="1:6" x14ac:dyDescent="0.25">
      <c r="A68583"/>
      <c r="B68583"/>
      <c r="C68583"/>
      <c r="E68583"/>
      <c r="F68583"/>
    </row>
    <row r="68584" spans="1:6" x14ac:dyDescent="0.25">
      <c r="A68584"/>
      <c r="B68584"/>
      <c r="C68584"/>
      <c r="E68584"/>
      <c r="F68584"/>
    </row>
    <row r="68585" spans="1:6" x14ac:dyDescent="0.25">
      <c r="A68585"/>
      <c r="B68585"/>
      <c r="C68585"/>
      <c r="E68585"/>
      <c r="F68585"/>
    </row>
    <row r="68586" spans="1:6" x14ac:dyDescent="0.25">
      <c r="A68586"/>
      <c r="B68586"/>
      <c r="C68586"/>
      <c r="E68586"/>
      <c r="F68586"/>
    </row>
    <row r="68587" spans="1:6" x14ac:dyDescent="0.25">
      <c r="A68587"/>
      <c r="B68587"/>
      <c r="C68587"/>
      <c r="E68587"/>
      <c r="F68587"/>
    </row>
    <row r="68588" spans="1:6" x14ac:dyDescent="0.25">
      <c r="A68588"/>
      <c r="B68588"/>
      <c r="C68588"/>
      <c r="E68588"/>
      <c r="F68588"/>
    </row>
    <row r="68589" spans="1:6" x14ac:dyDescent="0.25">
      <c r="A68589"/>
      <c r="B68589"/>
      <c r="C68589"/>
      <c r="E68589"/>
      <c r="F68589"/>
    </row>
    <row r="68590" spans="1:6" x14ac:dyDescent="0.25">
      <c r="A68590"/>
      <c r="B68590"/>
      <c r="C68590"/>
      <c r="E68590"/>
      <c r="F68590"/>
    </row>
    <row r="68591" spans="1:6" x14ac:dyDescent="0.25">
      <c r="A68591"/>
      <c r="B68591"/>
      <c r="C68591"/>
      <c r="E68591"/>
      <c r="F68591"/>
    </row>
    <row r="68592" spans="1:6" x14ac:dyDescent="0.25">
      <c r="A68592"/>
      <c r="B68592"/>
      <c r="C68592"/>
      <c r="E68592"/>
      <c r="F68592"/>
    </row>
    <row r="68593" spans="1:6" x14ac:dyDescent="0.25">
      <c r="A68593"/>
      <c r="B68593"/>
      <c r="C68593"/>
      <c r="E68593"/>
      <c r="F68593"/>
    </row>
    <row r="68594" spans="1:6" x14ac:dyDescent="0.25">
      <c r="A68594"/>
      <c r="B68594"/>
      <c r="C68594"/>
      <c r="E68594"/>
      <c r="F68594"/>
    </row>
    <row r="68595" spans="1:6" x14ac:dyDescent="0.25">
      <c r="A68595"/>
      <c r="B68595"/>
      <c r="C68595"/>
      <c r="E68595"/>
      <c r="F68595"/>
    </row>
    <row r="68596" spans="1:6" x14ac:dyDescent="0.25">
      <c r="A68596"/>
      <c r="B68596"/>
      <c r="C68596"/>
      <c r="E68596"/>
      <c r="F68596"/>
    </row>
    <row r="68597" spans="1:6" x14ac:dyDescent="0.25">
      <c r="A68597"/>
      <c r="B68597"/>
      <c r="C68597"/>
      <c r="E68597"/>
      <c r="F68597"/>
    </row>
    <row r="68598" spans="1:6" x14ac:dyDescent="0.25">
      <c r="A68598"/>
      <c r="B68598"/>
      <c r="C68598"/>
      <c r="E68598"/>
      <c r="F68598"/>
    </row>
    <row r="68599" spans="1:6" x14ac:dyDescent="0.25">
      <c r="A68599"/>
      <c r="B68599"/>
      <c r="C68599"/>
      <c r="E68599"/>
      <c r="F68599"/>
    </row>
    <row r="68600" spans="1:6" x14ac:dyDescent="0.25">
      <c r="A68600"/>
      <c r="B68600"/>
      <c r="C68600"/>
      <c r="E68600"/>
      <c r="F68600"/>
    </row>
    <row r="68601" spans="1:6" x14ac:dyDescent="0.25">
      <c r="A68601"/>
      <c r="B68601"/>
      <c r="C68601"/>
      <c r="E68601"/>
      <c r="F68601"/>
    </row>
    <row r="68602" spans="1:6" x14ac:dyDescent="0.25">
      <c r="A68602"/>
      <c r="B68602"/>
      <c r="C68602"/>
      <c r="E68602"/>
      <c r="F68602"/>
    </row>
    <row r="68603" spans="1:6" x14ac:dyDescent="0.25">
      <c r="A68603"/>
      <c r="B68603"/>
      <c r="C68603"/>
      <c r="E68603"/>
      <c r="F68603"/>
    </row>
    <row r="68604" spans="1:6" x14ac:dyDescent="0.25">
      <c r="A68604"/>
      <c r="B68604"/>
      <c r="C68604"/>
      <c r="E68604"/>
      <c r="F68604"/>
    </row>
    <row r="68605" spans="1:6" x14ac:dyDescent="0.25">
      <c r="A68605"/>
      <c r="B68605"/>
      <c r="C68605"/>
      <c r="E68605"/>
      <c r="F68605"/>
    </row>
    <row r="68606" spans="1:6" x14ac:dyDescent="0.25">
      <c r="A68606"/>
      <c r="B68606"/>
      <c r="C68606"/>
      <c r="E68606"/>
      <c r="F68606"/>
    </row>
    <row r="68607" spans="1:6" x14ac:dyDescent="0.25">
      <c r="A68607"/>
      <c r="B68607"/>
      <c r="C68607"/>
      <c r="E68607"/>
      <c r="F68607"/>
    </row>
    <row r="68608" spans="1:6" x14ac:dyDescent="0.25">
      <c r="A68608"/>
      <c r="B68608"/>
      <c r="C68608"/>
      <c r="E68608"/>
      <c r="F68608"/>
    </row>
    <row r="68609" spans="1:6" x14ac:dyDescent="0.25">
      <c r="A68609"/>
      <c r="B68609"/>
      <c r="C68609"/>
      <c r="E68609"/>
      <c r="F68609"/>
    </row>
    <row r="68610" spans="1:6" x14ac:dyDescent="0.25">
      <c r="A68610"/>
      <c r="B68610"/>
      <c r="C68610"/>
      <c r="E68610"/>
      <c r="F68610"/>
    </row>
    <row r="68611" spans="1:6" x14ac:dyDescent="0.25">
      <c r="A68611"/>
      <c r="B68611"/>
      <c r="C68611"/>
      <c r="E68611"/>
      <c r="F68611"/>
    </row>
    <row r="68612" spans="1:6" x14ac:dyDescent="0.25">
      <c r="A68612"/>
      <c r="B68612"/>
      <c r="C68612"/>
      <c r="E68612"/>
      <c r="F68612"/>
    </row>
    <row r="68613" spans="1:6" x14ac:dyDescent="0.25">
      <c r="A68613"/>
      <c r="B68613"/>
      <c r="C68613"/>
      <c r="E68613"/>
      <c r="F68613"/>
    </row>
    <row r="68614" spans="1:6" x14ac:dyDescent="0.25">
      <c r="A68614"/>
      <c r="B68614"/>
      <c r="C68614"/>
      <c r="E68614"/>
      <c r="F68614"/>
    </row>
    <row r="68615" spans="1:6" x14ac:dyDescent="0.25">
      <c r="A68615"/>
      <c r="B68615"/>
      <c r="C68615"/>
      <c r="E68615"/>
      <c r="F68615"/>
    </row>
    <row r="68616" spans="1:6" x14ac:dyDescent="0.25">
      <c r="A68616"/>
      <c r="B68616"/>
      <c r="C68616"/>
      <c r="E68616"/>
      <c r="F68616"/>
    </row>
    <row r="68617" spans="1:6" x14ac:dyDescent="0.25">
      <c r="A68617"/>
      <c r="B68617"/>
      <c r="C68617"/>
      <c r="E68617"/>
      <c r="F68617"/>
    </row>
    <row r="68618" spans="1:6" x14ac:dyDescent="0.25">
      <c r="A68618"/>
      <c r="B68618"/>
      <c r="C68618"/>
      <c r="E68618"/>
      <c r="F68618"/>
    </row>
    <row r="68619" spans="1:6" x14ac:dyDescent="0.25">
      <c r="A68619"/>
      <c r="B68619"/>
      <c r="C68619"/>
      <c r="E68619"/>
      <c r="F68619"/>
    </row>
    <row r="68620" spans="1:6" x14ac:dyDescent="0.25">
      <c r="A68620"/>
      <c r="B68620"/>
      <c r="C68620"/>
      <c r="E68620"/>
      <c r="F68620"/>
    </row>
    <row r="68621" spans="1:6" x14ac:dyDescent="0.25">
      <c r="A68621"/>
      <c r="B68621"/>
      <c r="C68621"/>
      <c r="E68621"/>
      <c r="F68621"/>
    </row>
    <row r="68622" spans="1:6" x14ac:dyDescent="0.25">
      <c r="A68622"/>
      <c r="B68622"/>
      <c r="C68622"/>
      <c r="E68622"/>
      <c r="F68622"/>
    </row>
    <row r="68623" spans="1:6" x14ac:dyDescent="0.25">
      <c r="A68623"/>
      <c r="B68623"/>
      <c r="C68623"/>
      <c r="E68623"/>
      <c r="F68623"/>
    </row>
    <row r="68624" spans="1:6" x14ac:dyDescent="0.25">
      <c r="A68624"/>
      <c r="B68624"/>
      <c r="C68624"/>
      <c r="E68624"/>
      <c r="F68624"/>
    </row>
    <row r="68625" spans="1:6" x14ac:dyDescent="0.25">
      <c r="A68625"/>
      <c r="B68625"/>
      <c r="C68625"/>
      <c r="E68625"/>
      <c r="F68625"/>
    </row>
    <row r="68626" spans="1:6" x14ac:dyDescent="0.25">
      <c r="A68626"/>
      <c r="B68626"/>
      <c r="C68626"/>
      <c r="E68626"/>
      <c r="F68626"/>
    </row>
    <row r="68627" spans="1:6" x14ac:dyDescent="0.25">
      <c r="A68627"/>
      <c r="B68627"/>
      <c r="C68627"/>
      <c r="E68627"/>
      <c r="F68627"/>
    </row>
    <row r="68628" spans="1:6" x14ac:dyDescent="0.25">
      <c r="A68628"/>
      <c r="B68628"/>
      <c r="C68628"/>
      <c r="E68628"/>
      <c r="F68628"/>
    </row>
    <row r="68629" spans="1:6" x14ac:dyDescent="0.25">
      <c r="A68629"/>
      <c r="B68629"/>
      <c r="C68629"/>
      <c r="E68629"/>
      <c r="F68629"/>
    </row>
    <row r="68630" spans="1:6" x14ac:dyDescent="0.25">
      <c r="A68630"/>
      <c r="B68630"/>
      <c r="C68630"/>
      <c r="E68630"/>
      <c r="F68630"/>
    </row>
    <row r="68631" spans="1:6" x14ac:dyDescent="0.25">
      <c r="A68631"/>
      <c r="B68631"/>
      <c r="C68631"/>
      <c r="E68631"/>
      <c r="F68631"/>
    </row>
    <row r="68632" spans="1:6" x14ac:dyDescent="0.25">
      <c r="A68632"/>
      <c r="B68632"/>
      <c r="C68632"/>
      <c r="E68632"/>
      <c r="F68632"/>
    </row>
    <row r="68633" spans="1:6" x14ac:dyDescent="0.25">
      <c r="A68633"/>
      <c r="B68633"/>
      <c r="C68633"/>
      <c r="E68633"/>
      <c r="F68633"/>
    </row>
    <row r="68634" spans="1:6" x14ac:dyDescent="0.25">
      <c r="A68634"/>
      <c r="B68634"/>
      <c r="C68634"/>
      <c r="E68634"/>
      <c r="F68634"/>
    </row>
    <row r="68635" spans="1:6" x14ac:dyDescent="0.25">
      <c r="A68635"/>
      <c r="B68635"/>
      <c r="C68635"/>
      <c r="E68635"/>
      <c r="F68635"/>
    </row>
    <row r="68636" spans="1:6" x14ac:dyDescent="0.25">
      <c r="A68636"/>
      <c r="B68636"/>
      <c r="C68636"/>
      <c r="E68636"/>
      <c r="F68636"/>
    </row>
    <row r="68637" spans="1:6" x14ac:dyDescent="0.25">
      <c r="A68637"/>
      <c r="B68637"/>
      <c r="C68637"/>
      <c r="E68637"/>
      <c r="F68637"/>
    </row>
    <row r="68638" spans="1:6" x14ac:dyDescent="0.25">
      <c r="A68638"/>
      <c r="B68638"/>
      <c r="C68638"/>
      <c r="E68638"/>
      <c r="F68638"/>
    </row>
    <row r="68639" spans="1:6" x14ac:dyDescent="0.25">
      <c r="A68639"/>
      <c r="B68639"/>
      <c r="C68639"/>
      <c r="E68639"/>
      <c r="F68639"/>
    </row>
    <row r="68640" spans="1:6" x14ac:dyDescent="0.25">
      <c r="A68640"/>
      <c r="B68640"/>
      <c r="C68640"/>
      <c r="E68640"/>
      <c r="F68640"/>
    </row>
    <row r="68641" spans="1:6" x14ac:dyDescent="0.25">
      <c r="A68641"/>
      <c r="B68641"/>
      <c r="C68641"/>
      <c r="E68641"/>
      <c r="F68641"/>
    </row>
    <row r="68642" spans="1:6" x14ac:dyDescent="0.25">
      <c r="A68642"/>
      <c r="B68642"/>
      <c r="C68642"/>
      <c r="E68642"/>
      <c r="F68642"/>
    </row>
    <row r="68643" spans="1:6" x14ac:dyDescent="0.25">
      <c r="A68643"/>
      <c r="B68643"/>
      <c r="C68643"/>
      <c r="E68643"/>
      <c r="F68643"/>
    </row>
    <row r="68644" spans="1:6" x14ac:dyDescent="0.25">
      <c r="A68644"/>
      <c r="B68644"/>
      <c r="C68644"/>
      <c r="E68644"/>
      <c r="F68644"/>
    </row>
    <row r="68645" spans="1:6" x14ac:dyDescent="0.25">
      <c r="A68645"/>
      <c r="B68645"/>
      <c r="C68645"/>
      <c r="E68645"/>
      <c r="F68645"/>
    </row>
    <row r="68646" spans="1:6" x14ac:dyDescent="0.25">
      <c r="A68646"/>
      <c r="B68646"/>
      <c r="C68646"/>
      <c r="E68646"/>
      <c r="F68646"/>
    </row>
    <row r="68647" spans="1:6" x14ac:dyDescent="0.25">
      <c r="A68647"/>
      <c r="B68647"/>
      <c r="C68647"/>
      <c r="E68647"/>
      <c r="F68647"/>
    </row>
    <row r="68648" spans="1:6" x14ac:dyDescent="0.25">
      <c r="A68648"/>
      <c r="B68648"/>
      <c r="C68648"/>
      <c r="E68648"/>
      <c r="F68648"/>
    </row>
    <row r="68649" spans="1:6" x14ac:dyDescent="0.25">
      <c r="A68649"/>
      <c r="B68649"/>
      <c r="C68649"/>
      <c r="E68649"/>
      <c r="F68649"/>
    </row>
    <row r="68650" spans="1:6" x14ac:dyDescent="0.25">
      <c r="A68650"/>
      <c r="B68650"/>
      <c r="C68650"/>
      <c r="E68650"/>
      <c r="F68650"/>
    </row>
    <row r="68651" spans="1:6" x14ac:dyDescent="0.25">
      <c r="A68651"/>
      <c r="B68651"/>
      <c r="C68651"/>
      <c r="E68651"/>
      <c r="F68651"/>
    </row>
    <row r="68652" spans="1:6" x14ac:dyDescent="0.25">
      <c r="A68652"/>
      <c r="B68652"/>
      <c r="C68652"/>
      <c r="E68652"/>
      <c r="F68652"/>
    </row>
    <row r="68653" spans="1:6" x14ac:dyDescent="0.25">
      <c r="A68653"/>
      <c r="B68653"/>
      <c r="C68653"/>
      <c r="E68653"/>
      <c r="F68653"/>
    </row>
    <row r="68654" spans="1:6" x14ac:dyDescent="0.25">
      <c r="A68654"/>
      <c r="B68654"/>
      <c r="C68654"/>
      <c r="E68654"/>
      <c r="F68654"/>
    </row>
    <row r="68655" spans="1:6" x14ac:dyDescent="0.25">
      <c r="A68655"/>
      <c r="B68655"/>
      <c r="C68655"/>
      <c r="E68655"/>
      <c r="F68655"/>
    </row>
    <row r="68656" spans="1:6" x14ac:dyDescent="0.25">
      <c r="A68656"/>
      <c r="B68656"/>
      <c r="C68656"/>
      <c r="E68656"/>
      <c r="F68656"/>
    </row>
    <row r="68657" spans="1:6" x14ac:dyDescent="0.25">
      <c r="A68657"/>
      <c r="B68657"/>
      <c r="C68657"/>
      <c r="E68657"/>
      <c r="F68657"/>
    </row>
    <row r="68658" spans="1:6" x14ac:dyDescent="0.25">
      <c r="A68658"/>
      <c r="B68658"/>
      <c r="C68658"/>
      <c r="E68658"/>
      <c r="F68658"/>
    </row>
    <row r="68659" spans="1:6" x14ac:dyDescent="0.25">
      <c r="A68659"/>
      <c r="B68659"/>
      <c r="C68659"/>
      <c r="E68659"/>
      <c r="F68659"/>
    </row>
    <row r="68660" spans="1:6" x14ac:dyDescent="0.25">
      <c r="A68660"/>
      <c r="B68660"/>
      <c r="C68660"/>
      <c r="E68660"/>
      <c r="F68660"/>
    </row>
    <row r="68661" spans="1:6" x14ac:dyDescent="0.25">
      <c r="A68661"/>
      <c r="B68661"/>
      <c r="C68661"/>
      <c r="E68661"/>
      <c r="F68661"/>
    </row>
    <row r="68662" spans="1:6" x14ac:dyDescent="0.25">
      <c r="A68662"/>
      <c r="B68662"/>
      <c r="C68662"/>
      <c r="E68662"/>
      <c r="F68662"/>
    </row>
    <row r="68663" spans="1:6" x14ac:dyDescent="0.25">
      <c r="A68663"/>
      <c r="B68663"/>
      <c r="C68663"/>
      <c r="E68663"/>
      <c r="F68663"/>
    </row>
    <row r="68664" spans="1:6" x14ac:dyDescent="0.25">
      <c r="A68664"/>
      <c r="B68664"/>
      <c r="C68664"/>
      <c r="E68664"/>
      <c r="F68664"/>
    </row>
    <row r="68665" spans="1:6" x14ac:dyDescent="0.25">
      <c r="A68665"/>
      <c r="B68665"/>
      <c r="C68665"/>
      <c r="E68665"/>
      <c r="F68665"/>
    </row>
    <row r="68666" spans="1:6" x14ac:dyDescent="0.25">
      <c r="A68666"/>
      <c r="B68666"/>
      <c r="C68666"/>
      <c r="E68666"/>
      <c r="F68666"/>
    </row>
    <row r="68667" spans="1:6" x14ac:dyDescent="0.25">
      <c r="A68667"/>
      <c r="B68667"/>
      <c r="C68667"/>
      <c r="E68667"/>
      <c r="F68667"/>
    </row>
    <row r="68668" spans="1:6" x14ac:dyDescent="0.25">
      <c r="A68668"/>
      <c r="B68668"/>
      <c r="C68668"/>
      <c r="E68668"/>
      <c r="F68668"/>
    </row>
    <row r="68669" spans="1:6" x14ac:dyDescent="0.25">
      <c r="A68669"/>
      <c r="B68669"/>
      <c r="C68669"/>
      <c r="E68669"/>
      <c r="F68669"/>
    </row>
    <row r="68670" spans="1:6" x14ac:dyDescent="0.25">
      <c r="A68670"/>
      <c r="B68670"/>
      <c r="C68670"/>
      <c r="E68670"/>
      <c r="F68670"/>
    </row>
    <row r="68671" spans="1:6" x14ac:dyDescent="0.25">
      <c r="A68671"/>
      <c r="B68671"/>
      <c r="C68671"/>
      <c r="E68671"/>
      <c r="F68671"/>
    </row>
    <row r="68672" spans="1:6" x14ac:dyDescent="0.25">
      <c r="A68672"/>
      <c r="B68672"/>
      <c r="C68672"/>
      <c r="E68672"/>
      <c r="F68672"/>
    </row>
    <row r="68673" spans="1:6" x14ac:dyDescent="0.25">
      <c r="A68673"/>
      <c r="B68673"/>
      <c r="C68673"/>
      <c r="E68673"/>
      <c r="F68673"/>
    </row>
    <row r="68674" spans="1:6" x14ac:dyDescent="0.25">
      <c r="A68674"/>
      <c r="B68674"/>
      <c r="C68674"/>
      <c r="E68674"/>
      <c r="F68674"/>
    </row>
    <row r="68675" spans="1:6" x14ac:dyDescent="0.25">
      <c r="A68675"/>
      <c r="B68675"/>
      <c r="C68675"/>
      <c r="E68675"/>
      <c r="F68675"/>
    </row>
    <row r="68676" spans="1:6" x14ac:dyDescent="0.25">
      <c r="A68676"/>
      <c r="B68676"/>
      <c r="C68676"/>
      <c r="E68676"/>
      <c r="F68676"/>
    </row>
    <row r="68677" spans="1:6" x14ac:dyDescent="0.25">
      <c r="A68677"/>
      <c r="B68677"/>
      <c r="C68677"/>
      <c r="E68677"/>
      <c r="F68677"/>
    </row>
    <row r="68678" spans="1:6" x14ac:dyDescent="0.25">
      <c r="A68678"/>
      <c r="B68678"/>
      <c r="C68678"/>
      <c r="E68678"/>
      <c r="F68678"/>
    </row>
    <row r="68679" spans="1:6" x14ac:dyDescent="0.25">
      <c r="A68679"/>
      <c r="B68679"/>
      <c r="C68679"/>
      <c r="E68679"/>
      <c r="F68679"/>
    </row>
    <row r="68680" spans="1:6" x14ac:dyDescent="0.25">
      <c r="A68680"/>
      <c r="B68680"/>
      <c r="C68680"/>
      <c r="E68680"/>
      <c r="F68680"/>
    </row>
    <row r="68681" spans="1:6" x14ac:dyDescent="0.25">
      <c r="A68681"/>
      <c r="B68681"/>
      <c r="C68681"/>
      <c r="E68681"/>
      <c r="F68681"/>
    </row>
    <row r="68682" spans="1:6" x14ac:dyDescent="0.25">
      <c r="A68682"/>
      <c r="B68682"/>
      <c r="C68682"/>
      <c r="E68682"/>
      <c r="F68682"/>
    </row>
    <row r="68683" spans="1:6" x14ac:dyDescent="0.25">
      <c r="A68683"/>
      <c r="B68683"/>
      <c r="C68683"/>
      <c r="E68683"/>
      <c r="F68683"/>
    </row>
    <row r="68684" spans="1:6" x14ac:dyDescent="0.25">
      <c r="A68684"/>
      <c r="B68684"/>
      <c r="C68684"/>
      <c r="E68684"/>
      <c r="F68684"/>
    </row>
    <row r="68685" spans="1:6" x14ac:dyDescent="0.25">
      <c r="A68685"/>
      <c r="B68685"/>
      <c r="C68685"/>
      <c r="E68685"/>
      <c r="F68685"/>
    </row>
    <row r="68686" spans="1:6" x14ac:dyDescent="0.25">
      <c r="A68686"/>
      <c r="B68686"/>
      <c r="C68686"/>
      <c r="E68686"/>
      <c r="F68686"/>
    </row>
    <row r="68687" spans="1:6" x14ac:dyDescent="0.25">
      <c r="A68687"/>
      <c r="B68687"/>
      <c r="C68687"/>
      <c r="E68687"/>
      <c r="F68687"/>
    </row>
    <row r="68688" spans="1:6" x14ac:dyDescent="0.25">
      <c r="A68688"/>
      <c r="B68688"/>
      <c r="C68688"/>
      <c r="E68688"/>
      <c r="F68688"/>
    </row>
    <row r="68689" spans="1:6" x14ac:dyDescent="0.25">
      <c r="A68689"/>
      <c r="B68689"/>
      <c r="C68689"/>
      <c r="E68689"/>
      <c r="F68689"/>
    </row>
    <row r="68690" spans="1:6" x14ac:dyDescent="0.25">
      <c r="A68690"/>
      <c r="B68690"/>
      <c r="C68690"/>
      <c r="E68690"/>
      <c r="F68690"/>
    </row>
    <row r="68691" spans="1:6" x14ac:dyDescent="0.25">
      <c r="A68691"/>
      <c r="B68691"/>
      <c r="C68691"/>
      <c r="E68691"/>
      <c r="F68691"/>
    </row>
    <row r="68692" spans="1:6" x14ac:dyDescent="0.25">
      <c r="A68692"/>
      <c r="B68692"/>
      <c r="C68692"/>
      <c r="E68692"/>
      <c r="F68692"/>
    </row>
    <row r="68693" spans="1:6" x14ac:dyDescent="0.25">
      <c r="A68693"/>
      <c r="B68693"/>
      <c r="C68693"/>
      <c r="E68693"/>
      <c r="F68693"/>
    </row>
    <row r="68694" spans="1:6" x14ac:dyDescent="0.25">
      <c r="A68694"/>
      <c r="B68694"/>
      <c r="C68694"/>
      <c r="E68694"/>
      <c r="F68694"/>
    </row>
    <row r="68695" spans="1:6" x14ac:dyDescent="0.25">
      <c r="A68695"/>
      <c r="B68695"/>
      <c r="C68695"/>
      <c r="E68695"/>
      <c r="F68695"/>
    </row>
    <row r="68696" spans="1:6" x14ac:dyDescent="0.25">
      <c r="A68696"/>
      <c r="B68696"/>
      <c r="C68696"/>
      <c r="E68696"/>
      <c r="F68696"/>
    </row>
    <row r="68697" spans="1:6" x14ac:dyDescent="0.25">
      <c r="A68697"/>
      <c r="B68697"/>
      <c r="C68697"/>
      <c r="E68697"/>
      <c r="F68697"/>
    </row>
    <row r="68698" spans="1:6" x14ac:dyDescent="0.25">
      <c r="A68698"/>
      <c r="B68698"/>
      <c r="C68698"/>
      <c r="E68698"/>
      <c r="F68698"/>
    </row>
    <row r="68699" spans="1:6" x14ac:dyDescent="0.25">
      <c r="A68699"/>
      <c r="B68699"/>
      <c r="C68699"/>
      <c r="E68699"/>
      <c r="F68699"/>
    </row>
    <row r="68700" spans="1:6" x14ac:dyDescent="0.25">
      <c r="A68700"/>
      <c r="B68700"/>
      <c r="C68700"/>
      <c r="E68700"/>
      <c r="F68700"/>
    </row>
    <row r="68701" spans="1:6" x14ac:dyDescent="0.25">
      <c r="A68701"/>
      <c r="B68701"/>
      <c r="C68701"/>
      <c r="E68701"/>
      <c r="F68701"/>
    </row>
    <row r="68702" spans="1:6" x14ac:dyDescent="0.25">
      <c r="A68702"/>
      <c r="B68702"/>
      <c r="C68702"/>
      <c r="E68702"/>
      <c r="F68702"/>
    </row>
    <row r="68703" spans="1:6" x14ac:dyDescent="0.25">
      <c r="A68703"/>
      <c r="B68703"/>
      <c r="C68703"/>
      <c r="E68703"/>
      <c r="F68703"/>
    </row>
    <row r="68704" spans="1:6" x14ac:dyDescent="0.25">
      <c r="A68704"/>
      <c r="B68704"/>
      <c r="C68704"/>
      <c r="E68704"/>
      <c r="F68704"/>
    </row>
    <row r="68705" spans="1:6" x14ac:dyDescent="0.25">
      <c r="A68705"/>
      <c r="B68705"/>
      <c r="C68705"/>
      <c r="E68705"/>
      <c r="F68705"/>
    </row>
    <row r="68706" spans="1:6" x14ac:dyDescent="0.25">
      <c r="A68706"/>
      <c r="B68706"/>
      <c r="C68706"/>
      <c r="E68706"/>
      <c r="F68706"/>
    </row>
    <row r="68707" spans="1:6" x14ac:dyDescent="0.25">
      <c r="A68707"/>
      <c r="B68707"/>
      <c r="C68707"/>
      <c r="E68707"/>
      <c r="F68707"/>
    </row>
    <row r="68708" spans="1:6" x14ac:dyDescent="0.25">
      <c r="A68708"/>
      <c r="B68708"/>
      <c r="C68708"/>
      <c r="E68708"/>
      <c r="F68708"/>
    </row>
    <row r="68709" spans="1:6" x14ac:dyDescent="0.25">
      <c r="A68709"/>
      <c r="B68709"/>
      <c r="C68709"/>
      <c r="E68709"/>
      <c r="F68709"/>
    </row>
    <row r="68710" spans="1:6" x14ac:dyDescent="0.25">
      <c r="A68710"/>
      <c r="B68710"/>
      <c r="C68710"/>
      <c r="E68710"/>
      <c r="F68710"/>
    </row>
    <row r="68711" spans="1:6" x14ac:dyDescent="0.25">
      <c r="A68711"/>
      <c r="B68711"/>
      <c r="C68711"/>
      <c r="E68711"/>
      <c r="F68711"/>
    </row>
    <row r="68712" spans="1:6" x14ac:dyDescent="0.25">
      <c r="A68712"/>
      <c r="B68712"/>
      <c r="C68712"/>
      <c r="E68712"/>
      <c r="F68712"/>
    </row>
    <row r="68713" spans="1:6" x14ac:dyDescent="0.25">
      <c r="A68713"/>
      <c r="B68713"/>
      <c r="C68713"/>
      <c r="E68713"/>
      <c r="F68713"/>
    </row>
    <row r="68714" spans="1:6" x14ac:dyDescent="0.25">
      <c r="A68714"/>
      <c r="B68714"/>
      <c r="C68714"/>
      <c r="E68714"/>
      <c r="F68714"/>
    </row>
    <row r="68715" spans="1:6" x14ac:dyDescent="0.25">
      <c r="A68715"/>
      <c r="B68715"/>
      <c r="C68715"/>
      <c r="E68715"/>
      <c r="F68715"/>
    </row>
    <row r="68716" spans="1:6" x14ac:dyDescent="0.25">
      <c r="A68716"/>
      <c r="B68716"/>
      <c r="C68716"/>
      <c r="E68716"/>
      <c r="F68716"/>
    </row>
    <row r="68717" spans="1:6" x14ac:dyDescent="0.25">
      <c r="A68717"/>
      <c r="B68717"/>
      <c r="C68717"/>
      <c r="E68717"/>
      <c r="F68717"/>
    </row>
    <row r="68718" spans="1:6" x14ac:dyDescent="0.25">
      <c r="A68718"/>
      <c r="B68718"/>
      <c r="C68718"/>
      <c r="E68718"/>
      <c r="F68718"/>
    </row>
    <row r="68719" spans="1:6" x14ac:dyDescent="0.25">
      <c r="A68719"/>
      <c r="B68719"/>
      <c r="C68719"/>
      <c r="E68719"/>
      <c r="F68719"/>
    </row>
    <row r="68720" spans="1:6" x14ac:dyDescent="0.25">
      <c r="A68720"/>
      <c r="B68720"/>
      <c r="C68720"/>
      <c r="E68720"/>
      <c r="F68720"/>
    </row>
    <row r="68721" spans="1:6" x14ac:dyDescent="0.25">
      <c r="A68721"/>
      <c r="B68721"/>
      <c r="C68721"/>
      <c r="E68721"/>
      <c r="F68721"/>
    </row>
    <row r="68722" spans="1:6" x14ac:dyDescent="0.25">
      <c r="A68722"/>
      <c r="B68722"/>
      <c r="C68722"/>
      <c r="E68722"/>
      <c r="F68722"/>
    </row>
    <row r="68723" spans="1:6" x14ac:dyDescent="0.25">
      <c r="A68723"/>
      <c r="B68723"/>
      <c r="C68723"/>
      <c r="E68723"/>
      <c r="F68723"/>
    </row>
    <row r="68724" spans="1:6" x14ac:dyDescent="0.25">
      <c r="A68724"/>
      <c r="B68724"/>
      <c r="C68724"/>
      <c r="E68724"/>
      <c r="F68724"/>
    </row>
    <row r="68725" spans="1:6" x14ac:dyDescent="0.25">
      <c r="A68725"/>
      <c r="B68725"/>
      <c r="C68725"/>
      <c r="E68725"/>
      <c r="F68725"/>
    </row>
    <row r="68726" spans="1:6" x14ac:dyDescent="0.25">
      <c r="A68726"/>
      <c r="B68726"/>
      <c r="C68726"/>
      <c r="E68726"/>
      <c r="F68726"/>
    </row>
    <row r="68727" spans="1:6" x14ac:dyDescent="0.25">
      <c r="A68727"/>
      <c r="B68727"/>
      <c r="C68727"/>
      <c r="E68727"/>
      <c r="F68727"/>
    </row>
    <row r="68728" spans="1:6" x14ac:dyDescent="0.25">
      <c r="A68728"/>
      <c r="B68728"/>
      <c r="C68728"/>
      <c r="E68728"/>
      <c r="F68728"/>
    </row>
    <row r="68729" spans="1:6" x14ac:dyDescent="0.25">
      <c r="A68729"/>
      <c r="B68729"/>
      <c r="C68729"/>
      <c r="E68729"/>
      <c r="F68729"/>
    </row>
    <row r="68730" spans="1:6" x14ac:dyDescent="0.25">
      <c r="A68730"/>
      <c r="B68730"/>
      <c r="C68730"/>
      <c r="E68730"/>
      <c r="F68730"/>
    </row>
    <row r="68731" spans="1:6" x14ac:dyDescent="0.25">
      <c r="A68731"/>
      <c r="B68731"/>
      <c r="C68731"/>
      <c r="E68731"/>
      <c r="F68731"/>
    </row>
    <row r="68732" spans="1:6" x14ac:dyDescent="0.25">
      <c r="A68732"/>
      <c r="B68732"/>
      <c r="C68732"/>
      <c r="E68732"/>
      <c r="F68732"/>
    </row>
    <row r="68733" spans="1:6" x14ac:dyDescent="0.25">
      <c r="A68733"/>
      <c r="B68733"/>
      <c r="C68733"/>
      <c r="E68733"/>
      <c r="F68733"/>
    </row>
    <row r="68734" spans="1:6" x14ac:dyDescent="0.25">
      <c r="A68734"/>
      <c r="B68734"/>
      <c r="C68734"/>
      <c r="E68734"/>
      <c r="F68734"/>
    </row>
    <row r="68735" spans="1:6" x14ac:dyDescent="0.25">
      <c r="A68735"/>
      <c r="B68735"/>
      <c r="C68735"/>
      <c r="E68735"/>
      <c r="F68735"/>
    </row>
    <row r="68736" spans="1:6" x14ac:dyDescent="0.25">
      <c r="A68736"/>
      <c r="B68736"/>
      <c r="C68736"/>
      <c r="E68736"/>
      <c r="F68736"/>
    </row>
    <row r="68737" spans="1:6" x14ac:dyDescent="0.25">
      <c r="A68737"/>
      <c r="B68737"/>
      <c r="C68737"/>
      <c r="E68737"/>
      <c r="F68737"/>
    </row>
    <row r="68738" spans="1:6" x14ac:dyDescent="0.25">
      <c r="A68738"/>
      <c r="B68738"/>
      <c r="C68738"/>
      <c r="E68738"/>
      <c r="F68738"/>
    </row>
    <row r="68739" spans="1:6" x14ac:dyDescent="0.25">
      <c r="A68739"/>
      <c r="B68739"/>
      <c r="C68739"/>
      <c r="E68739"/>
      <c r="F68739"/>
    </row>
    <row r="68740" spans="1:6" x14ac:dyDescent="0.25">
      <c r="A68740"/>
      <c r="B68740"/>
      <c r="C68740"/>
      <c r="E68740"/>
      <c r="F68740"/>
    </row>
    <row r="68741" spans="1:6" x14ac:dyDescent="0.25">
      <c r="A68741"/>
      <c r="B68741"/>
      <c r="C68741"/>
      <c r="E68741"/>
      <c r="F68741"/>
    </row>
    <row r="68742" spans="1:6" x14ac:dyDescent="0.25">
      <c r="A68742"/>
      <c r="B68742"/>
      <c r="C68742"/>
      <c r="E68742"/>
      <c r="F68742"/>
    </row>
    <row r="68743" spans="1:6" x14ac:dyDescent="0.25">
      <c r="A68743"/>
      <c r="B68743"/>
      <c r="C68743"/>
      <c r="E68743"/>
      <c r="F68743"/>
    </row>
    <row r="68744" spans="1:6" x14ac:dyDescent="0.25">
      <c r="A68744"/>
      <c r="B68744"/>
      <c r="C68744"/>
      <c r="E68744"/>
      <c r="F68744"/>
    </row>
    <row r="68745" spans="1:6" x14ac:dyDescent="0.25">
      <c r="A68745"/>
      <c r="B68745"/>
      <c r="C68745"/>
      <c r="E68745"/>
      <c r="F68745"/>
    </row>
    <row r="68746" spans="1:6" x14ac:dyDescent="0.25">
      <c r="A68746"/>
      <c r="B68746"/>
      <c r="C68746"/>
      <c r="E68746"/>
      <c r="F68746"/>
    </row>
    <row r="68747" spans="1:6" x14ac:dyDescent="0.25">
      <c r="A68747"/>
      <c r="B68747"/>
      <c r="C68747"/>
      <c r="E68747"/>
      <c r="F68747"/>
    </row>
    <row r="68748" spans="1:6" x14ac:dyDescent="0.25">
      <c r="A68748"/>
      <c r="B68748"/>
      <c r="C68748"/>
      <c r="E68748"/>
      <c r="F68748"/>
    </row>
    <row r="68749" spans="1:6" x14ac:dyDescent="0.25">
      <c r="A68749"/>
      <c r="B68749"/>
      <c r="C68749"/>
      <c r="E68749"/>
      <c r="F68749"/>
    </row>
    <row r="68750" spans="1:6" x14ac:dyDescent="0.25">
      <c r="A68750"/>
      <c r="B68750"/>
      <c r="C68750"/>
      <c r="E68750"/>
      <c r="F68750"/>
    </row>
    <row r="68751" spans="1:6" x14ac:dyDescent="0.25">
      <c r="A68751"/>
      <c r="B68751"/>
      <c r="C68751"/>
      <c r="E68751"/>
      <c r="F68751"/>
    </row>
    <row r="68752" spans="1:6" x14ac:dyDescent="0.25">
      <c r="A68752"/>
      <c r="B68752"/>
      <c r="C68752"/>
      <c r="E68752"/>
      <c r="F68752"/>
    </row>
    <row r="68753" spans="1:6" x14ac:dyDescent="0.25">
      <c r="A68753"/>
      <c r="B68753"/>
      <c r="C68753"/>
      <c r="E68753"/>
      <c r="F68753"/>
    </row>
    <row r="68754" spans="1:6" x14ac:dyDescent="0.25">
      <c r="A68754"/>
      <c r="B68754"/>
      <c r="C68754"/>
      <c r="E68754"/>
      <c r="F68754"/>
    </row>
    <row r="68755" spans="1:6" x14ac:dyDescent="0.25">
      <c r="A68755"/>
      <c r="B68755"/>
      <c r="C68755"/>
      <c r="E68755"/>
      <c r="F68755"/>
    </row>
    <row r="68756" spans="1:6" x14ac:dyDescent="0.25">
      <c r="A68756"/>
      <c r="B68756"/>
      <c r="C68756"/>
      <c r="E68756"/>
      <c r="F68756"/>
    </row>
    <row r="68757" spans="1:6" x14ac:dyDescent="0.25">
      <c r="A68757"/>
      <c r="B68757"/>
      <c r="C68757"/>
      <c r="E68757"/>
      <c r="F68757"/>
    </row>
    <row r="68758" spans="1:6" x14ac:dyDescent="0.25">
      <c r="A68758"/>
      <c r="B68758"/>
      <c r="C68758"/>
      <c r="E68758"/>
      <c r="F68758"/>
    </row>
    <row r="68759" spans="1:6" x14ac:dyDescent="0.25">
      <c r="A68759"/>
      <c r="B68759"/>
      <c r="C68759"/>
      <c r="E68759"/>
      <c r="F68759"/>
    </row>
    <row r="68760" spans="1:6" x14ac:dyDescent="0.25">
      <c r="A68760"/>
      <c r="B68760"/>
      <c r="C68760"/>
      <c r="E68760"/>
      <c r="F68760"/>
    </row>
    <row r="68761" spans="1:6" x14ac:dyDescent="0.25">
      <c r="A68761"/>
      <c r="B68761"/>
      <c r="C68761"/>
      <c r="E68761"/>
      <c r="F68761"/>
    </row>
    <row r="68762" spans="1:6" x14ac:dyDescent="0.25">
      <c r="A68762"/>
      <c r="B68762"/>
      <c r="C68762"/>
      <c r="E68762"/>
      <c r="F68762"/>
    </row>
    <row r="68763" spans="1:6" x14ac:dyDescent="0.25">
      <c r="A68763"/>
      <c r="B68763"/>
      <c r="C68763"/>
      <c r="E68763"/>
      <c r="F68763"/>
    </row>
    <row r="68764" spans="1:6" x14ac:dyDescent="0.25">
      <c r="A68764"/>
      <c r="B68764"/>
      <c r="C68764"/>
      <c r="E68764"/>
      <c r="F68764"/>
    </row>
    <row r="68765" spans="1:6" x14ac:dyDescent="0.25">
      <c r="A68765"/>
      <c r="B68765"/>
      <c r="C68765"/>
      <c r="E68765"/>
      <c r="F68765"/>
    </row>
    <row r="68766" spans="1:6" x14ac:dyDescent="0.25">
      <c r="A68766"/>
      <c r="B68766"/>
      <c r="C68766"/>
      <c r="E68766"/>
      <c r="F68766"/>
    </row>
    <row r="68767" spans="1:6" x14ac:dyDescent="0.25">
      <c r="A68767"/>
      <c r="B68767"/>
      <c r="C68767"/>
      <c r="E68767"/>
      <c r="F68767"/>
    </row>
    <row r="68768" spans="1:6" x14ac:dyDescent="0.25">
      <c r="A68768"/>
      <c r="B68768"/>
      <c r="C68768"/>
      <c r="E68768"/>
      <c r="F68768"/>
    </row>
    <row r="68769" spans="1:6" x14ac:dyDescent="0.25">
      <c r="A68769"/>
      <c r="B68769"/>
      <c r="C68769"/>
      <c r="E68769"/>
      <c r="F68769"/>
    </row>
    <row r="68770" spans="1:6" x14ac:dyDescent="0.25">
      <c r="A68770"/>
      <c r="B68770"/>
      <c r="C68770"/>
      <c r="E68770"/>
      <c r="F68770"/>
    </row>
    <row r="68771" spans="1:6" x14ac:dyDescent="0.25">
      <c r="A68771"/>
      <c r="B68771"/>
      <c r="C68771"/>
      <c r="E68771"/>
      <c r="F68771"/>
    </row>
    <row r="68772" spans="1:6" x14ac:dyDescent="0.25">
      <c r="A68772"/>
      <c r="B68772"/>
      <c r="C68772"/>
      <c r="E68772"/>
      <c r="F68772"/>
    </row>
    <row r="68773" spans="1:6" x14ac:dyDescent="0.25">
      <c r="A68773"/>
      <c r="B68773"/>
      <c r="C68773"/>
      <c r="E68773"/>
      <c r="F68773"/>
    </row>
    <row r="68774" spans="1:6" x14ac:dyDescent="0.25">
      <c r="A68774"/>
      <c r="B68774"/>
      <c r="C68774"/>
      <c r="E68774"/>
      <c r="F68774"/>
    </row>
    <row r="68775" spans="1:6" x14ac:dyDescent="0.25">
      <c r="A68775"/>
      <c r="B68775"/>
      <c r="C68775"/>
      <c r="E68775"/>
      <c r="F68775"/>
    </row>
    <row r="68776" spans="1:6" x14ac:dyDescent="0.25">
      <c r="A68776"/>
      <c r="B68776"/>
      <c r="C68776"/>
      <c r="E68776"/>
      <c r="F68776"/>
    </row>
    <row r="68777" spans="1:6" x14ac:dyDescent="0.25">
      <c r="A68777"/>
      <c r="B68777"/>
      <c r="C68777"/>
      <c r="E68777"/>
      <c r="F68777"/>
    </row>
    <row r="68778" spans="1:6" x14ac:dyDescent="0.25">
      <c r="A68778"/>
      <c r="B68778"/>
      <c r="C68778"/>
      <c r="E68778"/>
      <c r="F68778"/>
    </row>
    <row r="68779" spans="1:6" x14ac:dyDescent="0.25">
      <c r="A68779"/>
      <c r="B68779"/>
      <c r="C68779"/>
      <c r="E68779"/>
      <c r="F68779"/>
    </row>
    <row r="68780" spans="1:6" x14ac:dyDescent="0.25">
      <c r="A68780"/>
      <c r="B68780"/>
      <c r="C68780"/>
      <c r="E68780"/>
      <c r="F68780"/>
    </row>
    <row r="68781" spans="1:6" x14ac:dyDescent="0.25">
      <c r="A68781"/>
      <c r="B68781"/>
      <c r="C68781"/>
      <c r="E68781"/>
      <c r="F68781"/>
    </row>
    <row r="68782" spans="1:6" x14ac:dyDescent="0.25">
      <c r="A68782"/>
      <c r="B68782"/>
      <c r="C68782"/>
      <c r="E68782"/>
      <c r="F68782"/>
    </row>
    <row r="68783" spans="1:6" x14ac:dyDescent="0.25">
      <c r="A68783"/>
      <c r="B68783"/>
      <c r="C68783"/>
      <c r="E68783"/>
      <c r="F68783"/>
    </row>
    <row r="68784" spans="1:6" x14ac:dyDescent="0.25">
      <c r="A68784"/>
      <c r="B68784"/>
      <c r="C68784"/>
      <c r="E68784"/>
      <c r="F68784"/>
    </row>
    <row r="68785" spans="1:6" x14ac:dyDescent="0.25">
      <c r="A68785"/>
      <c r="B68785"/>
      <c r="C68785"/>
      <c r="E68785"/>
      <c r="F68785"/>
    </row>
    <row r="68786" spans="1:6" x14ac:dyDescent="0.25">
      <c r="A68786"/>
      <c r="B68786"/>
      <c r="C68786"/>
      <c r="E68786"/>
      <c r="F68786"/>
    </row>
    <row r="68787" spans="1:6" x14ac:dyDescent="0.25">
      <c r="A68787"/>
      <c r="B68787"/>
      <c r="C68787"/>
      <c r="E68787"/>
      <c r="F68787"/>
    </row>
    <row r="68788" spans="1:6" x14ac:dyDescent="0.25">
      <c r="A68788"/>
      <c r="B68788"/>
      <c r="C68788"/>
      <c r="E68788"/>
      <c r="F68788"/>
    </row>
    <row r="68789" spans="1:6" x14ac:dyDescent="0.25">
      <c r="A68789"/>
      <c r="B68789"/>
      <c r="C68789"/>
      <c r="E68789"/>
      <c r="F68789"/>
    </row>
    <row r="68790" spans="1:6" x14ac:dyDescent="0.25">
      <c r="A68790"/>
      <c r="B68790"/>
      <c r="C68790"/>
      <c r="E68790"/>
      <c r="F68790"/>
    </row>
    <row r="68791" spans="1:6" x14ac:dyDescent="0.25">
      <c r="A68791"/>
      <c r="B68791"/>
      <c r="C68791"/>
      <c r="E68791"/>
      <c r="F68791"/>
    </row>
    <row r="68792" spans="1:6" x14ac:dyDescent="0.25">
      <c r="A68792"/>
      <c r="B68792"/>
      <c r="C68792"/>
      <c r="E68792"/>
      <c r="F68792"/>
    </row>
    <row r="68793" spans="1:6" x14ac:dyDescent="0.25">
      <c r="A68793"/>
      <c r="B68793"/>
      <c r="C68793"/>
      <c r="E68793"/>
      <c r="F68793"/>
    </row>
    <row r="68794" spans="1:6" x14ac:dyDescent="0.25">
      <c r="A68794"/>
      <c r="B68794"/>
      <c r="C68794"/>
      <c r="E68794"/>
      <c r="F68794"/>
    </row>
    <row r="68795" spans="1:6" x14ac:dyDescent="0.25">
      <c r="A68795"/>
      <c r="B68795"/>
      <c r="C68795"/>
      <c r="E68795"/>
      <c r="F68795"/>
    </row>
    <row r="68796" spans="1:6" x14ac:dyDescent="0.25">
      <c r="A68796"/>
      <c r="B68796"/>
      <c r="C68796"/>
      <c r="E68796"/>
      <c r="F68796"/>
    </row>
    <row r="68797" spans="1:6" x14ac:dyDescent="0.25">
      <c r="A68797"/>
      <c r="B68797"/>
      <c r="C68797"/>
      <c r="E68797"/>
      <c r="F68797"/>
    </row>
    <row r="68798" spans="1:6" x14ac:dyDescent="0.25">
      <c r="A68798"/>
      <c r="B68798"/>
      <c r="C68798"/>
      <c r="E68798"/>
      <c r="F68798"/>
    </row>
    <row r="68799" spans="1:6" x14ac:dyDescent="0.25">
      <c r="A68799"/>
      <c r="B68799"/>
      <c r="C68799"/>
      <c r="E68799"/>
      <c r="F68799"/>
    </row>
    <row r="68800" spans="1:6" x14ac:dyDescent="0.25">
      <c r="A68800"/>
      <c r="B68800"/>
      <c r="C68800"/>
      <c r="E68800"/>
      <c r="F68800"/>
    </row>
    <row r="68801" spans="1:6" x14ac:dyDescent="0.25">
      <c r="A68801"/>
      <c r="B68801"/>
      <c r="C68801"/>
      <c r="E68801"/>
      <c r="F68801"/>
    </row>
    <row r="68802" spans="1:6" x14ac:dyDescent="0.25">
      <c r="A68802"/>
      <c r="B68802"/>
      <c r="C68802"/>
      <c r="E68802"/>
      <c r="F68802"/>
    </row>
    <row r="68803" spans="1:6" x14ac:dyDescent="0.25">
      <c r="A68803"/>
      <c r="B68803"/>
      <c r="C68803"/>
      <c r="E68803"/>
      <c r="F68803"/>
    </row>
    <row r="68804" spans="1:6" x14ac:dyDescent="0.25">
      <c r="A68804"/>
      <c r="B68804"/>
      <c r="C68804"/>
      <c r="E68804"/>
      <c r="F68804"/>
    </row>
    <row r="68805" spans="1:6" x14ac:dyDescent="0.25">
      <c r="A68805"/>
      <c r="B68805"/>
      <c r="C68805"/>
      <c r="E68805"/>
      <c r="F68805"/>
    </row>
    <row r="68806" spans="1:6" x14ac:dyDescent="0.25">
      <c r="A68806"/>
      <c r="B68806"/>
      <c r="C68806"/>
      <c r="E68806"/>
      <c r="F68806"/>
    </row>
    <row r="68807" spans="1:6" x14ac:dyDescent="0.25">
      <c r="A68807"/>
      <c r="B68807"/>
      <c r="C68807"/>
      <c r="E68807"/>
      <c r="F68807"/>
    </row>
    <row r="68808" spans="1:6" x14ac:dyDescent="0.25">
      <c r="A68808"/>
      <c r="B68808"/>
      <c r="C68808"/>
      <c r="E68808"/>
      <c r="F68808"/>
    </row>
    <row r="68809" spans="1:6" x14ac:dyDescent="0.25">
      <c r="A68809"/>
      <c r="B68809"/>
      <c r="C68809"/>
      <c r="E68809"/>
      <c r="F68809"/>
    </row>
    <row r="68810" spans="1:6" x14ac:dyDescent="0.25">
      <c r="A68810"/>
      <c r="B68810"/>
      <c r="C68810"/>
      <c r="E68810"/>
      <c r="F68810"/>
    </row>
    <row r="68811" spans="1:6" x14ac:dyDescent="0.25">
      <c r="A68811"/>
      <c r="B68811"/>
      <c r="C68811"/>
      <c r="E68811"/>
      <c r="F68811"/>
    </row>
    <row r="68812" spans="1:6" x14ac:dyDescent="0.25">
      <c r="A68812"/>
      <c r="B68812"/>
      <c r="C68812"/>
      <c r="E68812"/>
      <c r="F68812"/>
    </row>
    <row r="68813" spans="1:6" x14ac:dyDescent="0.25">
      <c r="A68813"/>
      <c r="B68813"/>
      <c r="C68813"/>
      <c r="E68813"/>
      <c r="F68813"/>
    </row>
    <row r="68814" spans="1:6" x14ac:dyDescent="0.25">
      <c r="A68814"/>
      <c r="B68814"/>
      <c r="C68814"/>
      <c r="E68814"/>
      <c r="F68814"/>
    </row>
    <row r="68815" spans="1:6" x14ac:dyDescent="0.25">
      <c r="A68815"/>
      <c r="B68815"/>
      <c r="C68815"/>
      <c r="E68815"/>
      <c r="F68815"/>
    </row>
    <row r="68816" spans="1:6" x14ac:dyDescent="0.25">
      <c r="A68816"/>
      <c r="B68816"/>
      <c r="C68816"/>
      <c r="E68816"/>
      <c r="F68816"/>
    </row>
    <row r="68817" spans="1:6" x14ac:dyDescent="0.25">
      <c r="A68817"/>
      <c r="B68817"/>
      <c r="C68817"/>
      <c r="E68817"/>
      <c r="F68817"/>
    </row>
    <row r="68818" spans="1:6" x14ac:dyDescent="0.25">
      <c r="A68818"/>
      <c r="B68818"/>
      <c r="C68818"/>
      <c r="E68818"/>
      <c r="F68818"/>
    </row>
    <row r="68819" spans="1:6" x14ac:dyDescent="0.25">
      <c r="A68819"/>
      <c r="B68819"/>
      <c r="C68819"/>
      <c r="E68819"/>
      <c r="F68819"/>
    </row>
    <row r="68820" spans="1:6" x14ac:dyDescent="0.25">
      <c r="A68820"/>
      <c r="B68820"/>
      <c r="C68820"/>
      <c r="E68820"/>
      <c r="F68820"/>
    </row>
    <row r="68821" spans="1:6" x14ac:dyDescent="0.25">
      <c r="A68821"/>
      <c r="B68821"/>
      <c r="C68821"/>
      <c r="E68821"/>
      <c r="F68821"/>
    </row>
    <row r="68822" spans="1:6" x14ac:dyDescent="0.25">
      <c r="A68822"/>
      <c r="B68822"/>
      <c r="C68822"/>
      <c r="E68822"/>
      <c r="F68822"/>
    </row>
    <row r="68823" spans="1:6" x14ac:dyDescent="0.25">
      <c r="A68823"/>
      <c r="B68823"/>
      <c r="C68823"/>
      <c r="E68823"/>
      <c r="F68823"/>
    </row>
    <row r="68824" spans="1:6" x14ac:dyDescent="0.25">
      <c r="A68824"/>
      <c r="B68824"/>
      <c r="C68824"/>
      <c r="E68824"/>
      <c r="F68824"/>
    </row>
    <row r="68825" spans="1:6" x14ac:dyDescent="0.25">
      <c r="A68825"/>
      <c r="B68825"/>
      <c r="C68825"/>
      <c r="E68825"/>
      <c r="F68825"/>
    </row>
    <row r="68826" spans="1:6" x14ac:dyDescent="0.25">
      <c r="A68826"/>
      <c r="B68826"/>
      <c r="C68826"/>
      <c r="E68826"/>
      <c r="F68826"/>
    </row>
    <row r="68827" spans="1:6" x14ac:dyDescent="0.25">
      <c r="A68827"/>
      <c r="B68827"/>
      <c r="C68827"/>
      <c r="E68827"/>
      <c r="F68827"/>
    </row>
    <row r="68828" spans="1:6" x14ac:dyDescent="0.25">
      <c r="A68828"/>
      <c r="B68828"/>
      <c r="C68828"/>
      <c r="E68828"/>
      <c r="F68828"/>
    </row>
    <row r="68829" spans="1:6" x14ac:dyDescent="0.25">
      <c r="A68829"/>
      <c r="B68829"/>
      <c r="C68829"/>
      <c r="E68829"/>
      <c r="F68829"/>
    </row>
    <row r="68830" spans="1:6" x14ac:dyDescent="0.25">
      <c r="A68830"/>
      <c r="B68830"/>
      <c r="C68830"/>
      <c r="E68830"/>
      <c r="F68830"/>
    </row>
    <row r="68831" spans="1:6" x14ac:dyDescent="0.25">
      <c r="A68831"/>
      <c r="B68831"/>
      <c r="C68831"/>
      <c r="E68831"/>
      <c r="F68831"/>
    </row>
    <row r="68832" spans="1:6" x14ac:dyDescent="0.25">
      <c r="A68832"/>
      <c r="B68832"/>
      <c r="C68832"/>
      <c r="E68832"/>
      <c r="F68832"/>
    </row>
    <row r="68833" spans="1:6" x14ac:dyDescent="0.25">
      <c r="A68833"/>
      <c r="B68833"/>
      <c r="C68833"/>
      <c r="E68833"/>
      <c r="F68833"/>
    </row>
    <row r="68834" spans="1:6" x14ac:dyDescent="0.25">
      <c r="A68834"/>
      <c r="B68834"/>
      <c r="C68834"/>
      <c r="E68834"/>
      <c r="F68834"/>
    </row>
    <row r="68835" spans="1:6" x14ac:dyDescent="0.25">
      <c r="A68835"/>
      <c r="B68835"/>
      <c r="C68835"/>
      <c r="E68835"/>
      <c r="F68835"/>
    </row>
    <row r="68836" spans="1:6" x14ac:dyDescent="0.25">
      <c r="A68836"/>
      <c r="B68836"/>
      <c r="C68836"/>
      <c r="E68836"/>
      <c r="F68836"/>
    </row>
    <row r="68837" spans="1:6" x14ac:dyDescent="0.25">
      <c r="A68837"/>
      <c r="B68837"/>
      <c r="C68837"/>
      <c r="E68837"/>
      <c r="F68837"/>
    </row>
    <row r="68838" spans="1:6" x14ac:dyDescent="0.25">
      <c r="A68838"/>
      <c r="B68838"/>
      <c r="C68838"/>
      <c r="E68838"/>
      <c r="F68838"/>
    </row>
    <row r="68839" spans="1:6" x14ac:dyDescent="0.25">
      <c r="A68839"/>
      <c r="B68839"/>
      <c r="C68839"/>
      <c r="E68839"/>
      <c r="F68839"/>
    </row>
    <row r="68840" spans="1:6" x14ac:dyDescent="0.25">
      <c r="A68840"/>
      <c r="B68840"/>
      <c r="C68840"/>
      <c r="E68840"/>
      <c r="F68840"/>
    </row>
    <row r="68841" spans="1:6" x14ac:dyDescent="0.25">
      <c r="A68841"/>
      <c r="B68841"/>
      <c r="C68841"/>
      <c r="E68841"/>
      <c r="F68841"/>
    </row>
    <row r="68842" spans="1:6" x14ac:dyDescent="0.25">
      <c r="A68842"/>
      <c r="B68842"/>
      <c r="C68842"/>
      <c r="E68842"/>
      <c r="F68842"/>
    </row>
    <row r="68843" spans="1:6" x14ac:dyDescent="0.25">
      <c r="A68843"/>
      <c r="B68843"/>
      <c r="C68843"/>
      <c r="E68843"/>
      <c r="F68843"/>
    </row>
    <row r="68844" spans="1:6" x14ac:dyDescent="0.25">
      <c r="A68844"/>
      <c r="B68844"/>
      <c r="C68844"/>
      <c r="E68844"/>
      <c r="F68844"/>
    </row>
    <row r="68845" spans="1:6" x14ac:dyDescent="0.25">
      <c r="A68845"/>
      <c r="B68845"/>
      <c r="C68845"/>
      <c r="E68845"/>
      <c r="F68845"/>
    </row>
    <row r="68846" spans="1:6" x14ac:dyDescent="0.25">
      <c r="A68846"/>
      <c r="B68846"/>
      <c r="C68846"/>
      <c r="E68846"/>
      <c r="F68846"/>
    </row>
    <row r="68847" spans="1:6" x14ac:dyDescent="0.25">
      <c r="A68847"/>
      <c r="B68847"/>
      <c r="C68847"/>
      <c r="E68847"/>
      <c r="F68847"/>
    </row>
    <row r="68848" spans="1:6" x14ac:dyDescent="0.25">
      <c r="A68848"/>
      <c r="B68848"/>
      <c r="C68848"/>
      <c r="E68848"/>
      <c r="F68848"/>
    </row>
    <row r="68849" spans="1:6" x14ac:dyDescent="0.25">
      <c r="A68849"/>
      <c r="B68849"/>
      <c r="C68849"/>
      <c r="E68849"/>
      <c r="F68849"/>
    </row>
    <row r="68850" spans="1:6" x14ac:dyDescent="0.25">
      <c r="A68850"/>
      <c r="B68850"/>
      <c r="C68850"/>
      <c r="E68850"/>
      <c r="F68850"/>
    </row>
    <row r="68851" spans="1:6" x14ac:dyDescent="0.25">
      <c r="A68851"/>
      <c r="B68851"/>
      <c r="C68851"/>
      <c r="E68851"/>
      <c r="F68851"/>
    </row>
    <row r="68852" spans="1:6" x14ac:dyDescent="0.25">
      <c r="A68852"/>
      <c r="B68852"/>
      <c r="C68852"/>
      <c r="E68852"/>
      <c r="F68852"/>
    </row>
    <row r="68853" spans="1:6" x14ac:dyDescent="0.25">
      <c r="A68853"/>
      <c r="B68853"/>
      <c r="C68853"/>
      <c r="E68853"/>
      <c r="F68853"/>
    </row>
    <row r="68854" spans="1:6" x14ac:dyDescent="0.25">
      <c r="A68854"/>
      <c r="B68854"/>
      <c r="C68854"/>
      <c r="E68854"/>
      <c r="F68854"/>
    </row>
    <row r="68855" spans="1:6" x14ac:dyDescent="0.25">
      <c r="A68855"/>
      <c r="B68855"/>
      <c r="C68855"/>
      <c r="E68855"/>
      <c r="F68855"/>
    </row>
    <row r="68856" spans="1:6" x14ac:dyDescent="0.25">
      <c r="A68856"/>
      <c r="B68856"/>
      <c r="C68856"/>
      <c r="E68856"/>
      <c r="F68856"/>
    </row>
    <row r="68857" spans="1:6" x14ac:dyDescent="0.25">
      <c r="A68857"/>
      <c r="B68857"/>
      <c r="C68857"/>
      <c r="E68857"/>
      <c r="F68857"/>
    </row>
    <row r="68858" spans="1:6" x14ac:dyDescent="0.25">
      <c r="A68858"/>
      <c r="B68858"/>
      <c r="C68858"/>
      <c r="E68858"/>
      <c r="F68858"/>
    </row>
    <row r="68859" spans="1:6" x14ac:dyDescent="0.25">
      <c r="A68859"/>
      <c r="B68859"/>
      <c r="C68859"/>
      <c r="E68859"/>
      <c r="F68859"/>
    </row>
    <row r="68860" spans="1:6" x14ac:dyDescent="0.25">
      <c r="A68860"/>
      <c r="B68860"/>
      <c r="C68860"/>
      <c r="E68860"/>
      <c r="F68860"/>
    </row>
    <row r="68861" spans="1:6" x14ac:dyDescent="0.25">
      <c r="A68861"/>
      <c r="B68861"/>
      <c r="C68861"/>
      <c r="E68861"/>
      <c r="F68861"/>
    </row>
    <row r="68862" spans="1:6" x14ac:dyDescent="0.25">
      <c r="A68862"/>
      <c r="B68862"/>
      <c r="C68862"/>
      <c r="E68862"/>
      <c r="F68862"/>
    </row>
    <row r="68863" spans="1:6" x14ac:dyDescent="0.25">
      <c r="A68863"/>
      <c r="B68863"/>
      <c r="C68863"/>
      <c r="E68863"/>
      <c r="F68863"/>
    </row>
    <row r="68864" spans="1:6" x14ac:dyDescent="0.25">
      <c r="A68864"/>
      <c r="B68864"/>
      <c r="C68864"/>
      <c r="E68864"/>
      <c r="F68864"/>
    </row>
    <row r="68865" spans="1:6" x14ac:dyDescent="0.25">
      <c r="A68865"/>
      <c r="B68865"/>
      <c r="C68865"/>
      <c r="E68865"/>
      <c r="F68865"/>
    </row>
    <row r="68866" spans="1:6" x14ac:dyDescent="0.25">
      <c r="A68866"/>
      <c r="B68866"/>
      <c r="C68866"/>
      <c r="E68866"/>
      <c r="F68866"/>
    </row>
    <row r="68867" spans="1:6" x14ac:dyDescent="0.25">
      <c r="A68867"/>
      <c r="B68867"/>
      <c r="C68867"/>
      <c r="E68867"/>
      <c r="F68867"/>
    </row>
    <row r="68868" spans="1:6" x14ac:dyDescent="0.25">
      <c r="A68868"/>
      <c r="B68868"/>
      <c r="C68868"/>
      <c r="E68868"/>
      <c r="F68868"/>
    </row>
    <row r="68869" spans="1:6" x14ac:dyDescent="0.25">
      <c r="A68869"/>
      <c r="B68869"/>
      <c r="C68869"/>
      <c r="E68869"/>
      <c r="F68869"/>
    </row>
    <row r="68870" spans="1:6" x14ac:dyDescent="0.25">
      <c r="A68870"/>
      <c r="B68870"/>
      <c r="C68870"/>
      <c r="E68870"/>
      <c r="F68870"/>
    </row>
    <row r="68871" spans="1:6" x14ac:dyDescent="0.25">
      <c r="A68871"/>
      <c r="B68871"/>
      <c r="C68871"/>
      <c r="E68871"/>
      <c r="F68871"/>
    </row>
    <row r="68872" spans="1:6" x14ac:dyDescent="0.25">
      <c r="A68872"/>
      <c r="B68872"/>
      <c r="C68872"/>
      <c r="E68872"/>
      <c r="F68872"/>
    </row>
    <row r="68873" spans="1:6" x14ac:dyDescent="0.25">
      <c r="A68873"/>
      <c r="B68873"/>
      <c r="C68873"/>
      <c r="E68873"/>
      <c r="F68873"/>
    </row>
    <row r="68874" spans="1:6" x14ac:dyDescent="0.25">
      <c r="A68874"/>
      <c r="B68874"/>
      <c r="C68874"/>
      <c r="E68874"/>
      <c r="F68874"/>
    </row>
    <row r="68875" spans="1:6" x14ac:dyDescent="0.25">
      <c r="A68875"/>
      <c r="B68875"/>
      <c r="C68875"/>
      <c r="E68875"/>
      <c r="F68875"/>
    </row>
    <row r="68876" spans="1:6" x14ac:dyDescent="0.25">
      <c r="A68876"/>
      <c r="B68876"/>
      <c r="C68876"/>
      <c r="E68876"/>
      <c r="F68876"/>
    </row>
    <row r="68877" spans="1:6" x14ac:dyDescent="0.25">
      <c r="A68877"/>
      <c r="B68877"/>
      <c r="C68877"/>
      <c r="E68877"/>
      <c r="F68877"/>
    </row>
    <row r="68878" spans="1:6" x14ac:dyDescent="0.25">
      <c r="A68878"/>
      <c r="B68878"/>
      <c r="C68878"/>
      <c r="E68878"/>
      <c r="F68878"/>
    </row>
    <row r="68879" spans="1:6" x14ac:dyDescent="0.25">
      <c r="A68879"/>
      <c r="B68879"/>
      <c r="C68879"/>
      <c r="E68879"/>
      <c r="F68879"/>
    </row>
    <row r="68880" spans="1:6" x14ac:dyDescent="0.25">
      <c r="A68880"/>
      <c r="B68880"/>
      <c r="C68880"/>
      <c r="E68880"/>
      <c r="F68880"/>
    </row>
    <row r="68881" spans="1:6" x14ac:dyDescent="0.25">
      <c r="A68881"/>
      <c r="B68881"/>
      <c r="C68881"/>
      <c r="E68881"/>
      <c r="F68881"/>
    </row>
    <row r="68882" spans="1:6" x14ac:dyDescent="0.25">
      <c r="A68882"/>
      <c r="B68882"/>
      <c r="C68882"/>
      <c r="E68882"/>
      <c r="F68882"/>
    </row>
    <row r="68883" spans="1:6" x14ac:dyDescent="0.25">
      <c r="A68883"/>
      <c r="B68883"/>
      <c r="C68883"/>
      <c r="E68883"/>
      <c r="F68883"/>
    </row>
    <row r="68884" spans="1:6" x14ac:dyDescent="0.25">
      <c r="A68884"/>
      <c r="B68884"/>
      <c r="C68884"/>
      <c r="E68884"/>
      <c r="F68884"/>
    </row>
    <row r="68885" spans="1:6" x14ac:dyDescent="0.25">
      <c r="A68885"/>
      <c r="B68885"/>
      <c r="C68885"/>
      <c r="E68885"/>
      <c r="F68885"/>
    </row>
    <row r="68886" spans="1:6" x14ac:dyDescent="0.25">
      <c r="A68886"/>
      <c r="B68886"/>
      <c r="C68886"/>
      <c r="E68886"/>
      <c r="F68886"/>
    </row>
    <row r="68887" spans="1:6" x14ac:dyDescent="0.25">
      <c r="A68887"/>
      <c r="B68887"/>
      <c r="C68887"/>
      <c r="E68887"/>
      <c r="F68887"/>
    </row>
    <row r="68888" spans="1:6" x14ac:dyDescent="0.25">
      <c r="A68888"/>
      <c r="B68888"/>
      <c r="C68888"/>
      <c r="E68888"/>
      <c r="F68888"/>
    </row>
    <row r="68889" spans="1:6" x14ac:dyDescent="0.25">
      <c r="A68889"/>
      <c r="B68889"/>
      <c r="C68889"/>
      <c r="E68889"/>
      <c r="F68889"/>
    </row>
    <row r="68890" spans="1:6" x14ac:dyDescent="0.25">
      <c r="A68890"/>
      <c r="B68890"/>
      <c r="C68890"/>
      <c r="E68890"/>
      <c r="F68890"/>
    </row>
    <row r="68891" spans="1:6" x14ac:dyDescent="0.25">
      <c r="A68891"/>
      <c r="B68891"/>
      <c r="C68891"/>
      <c r="E68891"/>
      <c r="F68891"/>
    </row>
    <row r="68892" spans="1:6" x14ac:dyDescent="0.25">
      <c r="A68892"/>
      <c r="B68892"/>
      <c r="C68892"/>
      <c r="E68892"/>
      <c r="F68892"/>
    </row>
    <row r="68893" spans="1:6" x14ac:dyDescent="0.25">
      <c r="A68893"/>
      <c r="B68893"/>
      <c r="C68893"/>
      <c r="E68893"/>
      <c r="F68893"/>
    </row>
    <row r="68894" spans="1:6" x14ac:dyDescent="0.25">
      <c r="A68894"/>
      <c r="B68894"/>
      <c r="C68894"/>
      <c r="E68894"/>
      <c r="F68894"/>
    </row>
    <row r="68895" spans="1:6" x14ac:dyDescent="0.25">
      <c r="A68895"/>
      <c r="B68895"/>
      <c r="C68895"/>
      <c r="E68895"/>
      <c r="F68895"/>
    </row>
    <row r="68896" spans="1:6" x14ac:dyDescent="0.25">
      <c r="A68896"/>
      <c r="B68896"/>
      <c r="C68896"/>
      <c r="E68896"/>
      <c r="F68896"/>
    </row>
    <row r="68897" spans="1:6" x14ac:dyDescent="0.25">
      <c r="A68897"/>
      <c r="B68897"/>
      <c r="C68897"/>
      <c r="E68897"/>
      <c r="F68897"/>
    </row>
    <row r="68898" spans="1:6" x14ac:dyDescent="0.25">
      <c r="A68898"/>
      <c r="B68898"/>
      <c r="C68898"/>
      <c r="E68898"/>
      <c r="F68898"/>
    </row>
    <row r="68899" spans="1:6" x14ac:dyDescent="0.25">
      <c r="A68899"/>
      <c r="B68899"/>
      <c r="C68899"/>
      <c r="E68899"/>
      <c r="F68899"/>
    </row>
    <row r="68900" spans="1:6" x14ac:dyDescent="0.25">
      <c r="A68900"/>
      <c r="B68900"/>
      <c r="C68900"/>
      <c r="E68900"/>
      <c r="F68900"/>
    </row>
    <row r="68901" spans="1:6" x14ac:dyDescent="0.25">
      <c r="A68901"/>
      <c r="B68901"/>
      <c r="C68901"/>
      <c r="E68901"/>
      <c r="F68901"/>
    </row>
    <row r="68902" spans="1:6" x14ac:dyDescent="0.25">
      <c r="A68902"/>
      <c r="B68902"/>
      <c r="C68902"/>
      <c r="E68902"/>
      <c r="F68902"/>
    </row>
    <row r="68903" spans="1:6" x14ac:dyDescent="0.25">
      <c r="A68903"/>
      <c r="B68903"/>
      <c r="C68903"/>
      <c r="E68903"/>
      <c r="F68903"/>
    </row>
    <row r="68904" spans="1:6" x14ac:dyDescent="0.25">
      <c r="A68904"/>
      <c r="B68904"/>
      <c r="C68904"/>
      <c r="E68904"/>
      <c r="F68904"/>
    </row>
    <row r="68905" spans="1:6" x14ac:dyDescent="0.25">
      <c r="A68905"/>
      <c r="B68905"/>
      <c r="C68905"/>
      <c r="E68905"/>
      <c r="F68905"/>
    </row>
    <row r="68906" spans="1:6" x14ac:dyDescent="0.25">
      <c r="A68906"/>
      <c r="B68906"/>
      <c r="C68906"/>
      <c r="E68906"/>
      <c r="F68906"/>
    </row>
    <row r="68907" spans="1:6" x14ac:dyDescent="0.25">
      <c r="A68907"/>
      <c r="B68907"/>
      <c r="C68907"/>
      <c r="E68907"/>
      <c r="F68907"/>
    </row>
    <row r="68908" spans="1:6" x14ac:dyDescent="0.25">
      <c r="A68908"/>
      <c r="B68908"/>
      <c r="C68908"/>
      <c r="E68908"/>
      <c r="F68908"/>
    </row>
    <row r="68909" spans="1:6" x14ac:dyDescent="0.25">
      <c r="A68909"/>
      <c r="B68909"/>
      <c r="C68909"/>
      <c r="E68909"/>
      <c r="F68909"/>
    </row>
    <row r="68910" spans="1:6" x14ac:dyDescent="0.25">
      <c r="A68910"/>
      <c r="B68910"/>
      <c r="C68910"/>
      <c r="E68910"/>
      <c r="F68910"/>
    </row>
    <row r="68911" spans="1:6" x14ac:dyDescent="0.25">
      <c r="A68911"/>
      <c r="B68911"/>
      <c r="C68911"/>
      <c r="E68911"/>
      <c r="F68911"/>
    </row>
    <row r="68912" spans="1:6" x14ac:dyDescent="0.25">
      <c r="A68912"/>
      <c r="B68912"/>
      <c r="C68912"/>
      <c r="E68912"/>
      <c r="F68912"/>
    </row>
    <row r="68913" spans="1:6" x14ac:dyDescent="0.25">
      <c r="A68913"/>
      <c r="B68913"/>
      <c r="C68913"/>
      <c r="E68913"/>
      <c r="F68913"/>
    </row>
    <row r="68914" spans="1:6" x14ac:dyDescent="0.25">
      <c r="A68914"/>
      <c r="B68914"/>
      <c r="C68914"/>
      <c r="E68914"/>
      <c r="F68914"/>
    </row>
    <row r="68915" spans="1:6" x14ac:dyDescent="0.25">
      <c r="A68915"/>
      <c r="B68915"/>
      <c r="C68915"/>
      <c r="E68915"/>
      <c r="F68915"/>
    </row>
    <row r="68916" spans="1:6" x14ac:dyDescent="0.25">
      <c r="A68916"/>
      <c r="B68916"/>
      <c r="C68916"/>
      <c r="E68916"/>
      <c r="F68916"/>
    </row>
    <row r="68917" spans="1:6" x14ac:dyDescent="0.25">
      <c r="A68917"/>
      <c r="B68917"/>
      <c r="C68917"/>
      <c r="E68917"/>
      <c r="F68917"/>
    </row>
    <row r="68918" spans="1:6" x14ac:dyDescent="0.25">
      <c r="A68918"/>
      <c r="B68918"/>
      <c r="C68918"/>
      <c r="E68918"/>
      <c r="F68918"/>
    </row>
    <row r="68919" spans="1:6" x14ac:dyDescent="0.25">
      <c r="A68919"/>
      <c r="B68919"/>
      <c r="C68919"/>
      <c r="E68919"/>
      <c r="F68919"/>
    </row>
    <row r="68920" spans="1:6" x14ac:dyDescent="0.25">
      <c r="A68920"/>
      <c r="B68920"/>
      <c r="C68920"/>
      <c r="E68920"/>
      <c r="F68920"/>
    </row>
    <row r="68921" spans="1:6" x14ac:dyDescent="0.25">
      <c r="A68921"/>
      <c r="B68921"/>
      <c r="C68921"/>
      <c r="E68921"/>
      <c r="F68921"/>
    </row>
    <row r="68922" spans="1:6" x14ac:dyDescent="0.25">
      <c r="A68922"/>
      <c r="B68922"/>
      <c r="C68922"/>
      <c r="E68922"/>
      <c r="F68922"/>
    </row>
    <row r="68923" spans="1:6" x14ac:dyDescent="0.25">
      <c r="A68923"/>
      <c r="B68923"/>
      <c r="C68923"/>
      <c r="E68923"/>
      <c r="F68923"/>
    </row>
    <row r="68924" spans="1:6" x14ac:dyDescent="0.25">
      <c r="A68924"/>
      <c r="B68924"/>
      <c r="C68924"/>
      <c r="E68924"/>
      <c r="F68924"/>
    </row>
    <row r="68925" spans="1:6" x14ac:dyDescent="0.25">
      <c r="A68925"/>
      <c r="B68925"/>
      <c r="C68925"/>
      <c r="E68925"/>
      <c r="F68925"/>
    </row>
    <row r="68926" spans="1:6" x14ac:dyDescent="0.25">
      <c r="A68926"/>
      <c r="B68926"/>
      <c r="C68926"/>
      <c r="E68926"/>
      <c r="F68926"/>
    </row>
    <row r="68927" spans="1:6" x14ac:dyDescent="0.25">
      <c r="A68927"/>
      <c r="B68927"/>
      <c r="C68927"/>
      <c r="E68927"/>
      <c r="F68927"/>
    </row>
    <row r="68928" spans="1:6" x14ac:dyDescent="0.25">
      <c r="A68928"/>
      <c r="B68928"/>
      <c r="C68928"/>
      <c r="E68928"/>
      <c r="F68928"/>
    </row>
    <row r="68929" spans="1:6" x14ac:dyDescent="0.25">
      <c r="A68929"/>
      <c r="B68929"/>
      <c r="C68929"/>
      <c r="E68929"/>
      <c r="F68929"/>
    </row>
    <row r="68930" spans="1:6" x14ac:dyDescent="0.25">
      <c r="A68930"/>
      <c r="B68930"/>
      <c r="C68930"/>
      <c r="E68930"/>
      <c r="F68930"/>
    </row>
    <row r="68931" spans="1:6" x14ac:dyDescent="0.25">
      <c r="A68931"/>
      <c r="B68931"/>
      <c r="C68931"/>
      <c r="E68931"/>
      <c r="F68931"/>
    </row>
    <row r="68932" spans="1:6" x14ac:dyDescent="0.25">
      <c r="A68932"/>
      <c r="B68932"/>
      <c r="C68932"/>
      <c r="E68932"/>
      <c r="F68932"/>
    </row>
    <row r="68933" spans="1:6" x14ac:dyDescent="0.25">
      <c r="A68933"/>
      <c r="B68933"/>
      <c r="C68933"/>
      <c r="E68933"/>
      <c r="F68933"/>
    </row>
    <row r="68934" spans="1:6" x14ac:dyDescent="0.25">
      <c r="A68934"/>
      <c r="B68934"/>
      <c r="C68934"/>
      <c r="E68934"/>
      <c r="F68934"/>
    </row>
    <row r="68935" spans="1:6" x14ac:dyDescent="0.25">
      <c r="A68935"/>
      <c r="B68935"/>
      <c r="C68935"/>
      <c r="E68935"/>
      <c r="F68935"/>
    </row>
    <row r="68936" spans="1:6" x14ac:dyDescent="0.25">
      <c r="A68936"/>
      <c r="B68936"/>
      <c r="C68936"/>
      <c r="E68936"/>
      <c r="F68936"/>
    </row>
    <row r="68937" spans="1:6" x14ac:dyDescent="0.25">
      <c r="A68937"/>
      <c r="B68937"/>
      <c r="C68937"/>
      <c r="E68937"/>
      <c r="F68937"/>
    </row>
    <row r="68938" spans="1:6" x14ac:dyDescent="0.25">
      <c r="A68938"/>
      <c r="B68938"/>
      <c r="C68938"/>
      <c r="E68938"/>
      <c r="F68938"/>
    </row>
    <row r="68939" spans="1:6" x14ac:dyDescent="0.25">
      <c r="A68939"/>
      <c r="B68939"/>
      <c r="C68939"/>
      <c r="E68939"/>
      <c r="F68939"/>
    </row>
    <row r="68940" spans="1:6" x14ac:dyDescent="0.25">
      <c r="A68940"/>
      <c r="B68940"/>
      <c r="C68940"/>
      <c r="E68940"/>
      <c r="F68940"/>
    </row>
    <row r="68941" spans="1:6" x14ac:dyDescent="0.25">
      <c r="A68941"/>
      <c r="B68941"/>
      <c r="C68941"/>
      <c r="E68941"/>
      <c r="F68941"/>
    </row>
    <row r="68942" spans="1:6" x14ac:dyDescent="0.25">
      <c r="A68942"/>
      <c r="B68942"/>
      <c r="C68942"/>
      <c r="E68942"/>
      <c r="F68942"/>
    </row>
    <row r="68943" spans="1:6" x14ac:dyDescent="0.25">
      <c r="A68943"/>
      <c r="B68943"/>
      <c r="C68943"/>
      <c r="E68943"/>
      <c r="F68943"/>
    </row>
    <row r="68944" spans="1:6" x14ac:dyDescent="0.25">
      <c r="A68944"/>
      <c r="B68944"/>
      <c r="C68944"/>
      <c r="E68944"/>
      <c r="F68944"/>
    </row>
    <row r="68945" spans="1:6" x14ac:dyDescent="0.25">
      <c r="A68945"/>
      <c r="B68945"/>
      <c r="C68945"/>
      <c r="E68945"/>
      <c r="F68945"/>
    </row>
    <row r="68946" spans="1:6" x14ac:dyDescent="0.25">
      <c r="A68946"/>
      <c r="B68946"/>
      <c r="C68946"/>
      <c r="E68946"/>
      <c r="F68946"/>
    </row>
    <row r="68947" spans="1:6" x14ac:dyDescent="0.25">
      <c r="A68947"/>
      <c r="B68947"/>
      <c r="C68947"/>
      <c r="E68947"/>
      <c r="F68947"/>
    </row>
    <row r="68948" spans="1:6" x14ac:dyDescent="0.25">
      <c r="A68948"/>
      <c r="B68948"/>
      <c r="C68948"/>
      <c r="E68948"/>
      <c r="F68948"/>
    </row>
    <row r="68949" spans="1:6" x14ac:dyDescent="0.25">
      <c r="A68949"/>
      <c r="B68949"/>
      <c r="C68949"/>
      <c r="E68949"/>
      <c r="F68949"/>
    </row>
    <row r="68950" spans="1:6" x14ac:dyDescent="0.25">
      <c r="A68950"/>
      <c r="B68950"/>
      <c r="C68950"/>
      <c r="E68950"/>
      <c r="F68950"/>
    </row>
    <row r="68951" spans="1:6" x14ac:dyDescent="0.25">
      <c r="A68951"/>
      <c r="B68951"/>
      <c r="C68951"/>
      <c r="E68951"/>
      <c r="F68951"/>
    </row>
    <row r="68952" spans="1:6" x14ac:dyDescent="0.25">
      <c r="A68952"/>
      <c r="B68952"/>
      <c r="C68952"/>
      <c r="E68952"/>
      <c r="F68952"/>
    </row>
    <row r="68953" spans="1:6" x14ac:dyDescent="0.25">
      <c r="A68953"/>
      <c r="B68953"/>
      <c r="C68953"/>
      <c r="E68953"/>
      <c r="F68953"/>
    </row>
    <row r="68954" spans="1:6" x14ac:dyDescent="0.25">
      <c r="A68954"/>
      <c r="B68954"/>
      <c r="C68954"/>
      <c r="E68954"/>
      <c r="F68954"/>
    </row>
    <row r="68955" spans="1:6" x14ac:dyDescent="0.25">
      <c r="A68955"/>
      <c r="B68955"/>
      <c r="C68955"/>
      <c r="E68955"/>
      <c r="F68955"/>
    </row>
    <row r="68956" spans="1:6" x14ac:dyDescent="0.25">
      <c r="A68956"/>
      <c r="B68956"/>
      <c r="C68956"/>
      <c r="E68956"/>
      <c r="F68956"/>
    </row>
    <row r="68957" spans="1:6" x14ac:dyDescent="0.25">
      <c r="A68957"/>
      <c r="B68957"/>
      <c r="C68957"/>
      <c r="E68957"/>
      <c r="F68957"/>
    </row>
    <row r="68958" spans="1:6" x14ac:dyDescent="0.25">
      <c r="A68958"/>
      <c r="B68958"/>
      <c r="C68958"/>
      <c r="E68958"/>
      <c r="F68958"/>
    </row>
    <row r="68959" spans="1:6" x14ac:dyDescent="0.25">
      <c r="A68959"/>
      <c r="B68959"/>
      <c r="C68959"/>
      <c r="E68959"/>
      <c r="F68959"/>
    </row>
    <row r="68960" spans="1:6" x14ac:dyDescent="0.25">
      <c r="A68960"/>
      <c r="B68960"/>
      <c r="C68960"/>
      <c r="E68960"/>
      <c r="F68960"/>
    </row>
    <row r="68961" spans="1:6" x14ac:dyDescent="0.25">
      <c r="A68961"/>
      <c r="B68961"/>
      <c r="C68961"/>
      <c r="E68961"/>
      <c r="F68961"/>
    </row>
    <row r="68962" spans="1:6" x14ac:dyDescent="0.25">
      <c r="A68962"/>
      <c r="B68962"/>
      <c r="C68962"/>
      <c r="E68962"/>
      <c r="F68962"/>
    </row>
    <row r="68963" spans="1:6" x14ac:dyDescent="0.25">
      <c r="A68963"/>
      <c r="B68963"/>
      <c r="C68963"/>
      <c r="E68963"/>
      <c r="F68963"/>
    </row>
    <row r="68964" spans="1:6" x14ac:dyDescent="0.25">
      <c r="A68964"/>
      <c r="B68964"/>
      <c r="C68964"/>
      <c r="E68964"/>
      <c r="F68964"/>
    </row>
    <row r="68965" spans="1:6" x14ac:dyDescent="0.25">
      <c r="A68965"/>
      <c r="B68965"/>
      <c r="C68965"/>
      <c r="E68965"/>
      <c r="F68965"/>
    </row>
    <row r="68966" spans="1:6" x14ac:dyDescent="0.25">
      <c r="A68966"/>
      <c r="B68966"/>
      <c r="C68966"/>
      <c r="E68966"/>
      <c r="F68966"/>
    </row>
    <row r="68967" spans="1:6" x14ac:dyDescent="0.25">
      <c r="A68967"/>
      <c r="B68967"/>
      <c r="C68967"/>
      <c r="E68967"/>
      <c r="F68967"/>
    </row>
    <row r="68968" spans="1:6" x14ac:dyDescent="0.25">
      <c r="A68968"/>
      <c r="B68968"/>
      <c r="C68968"/>
      <c r="E68968"/>
      <c r="F68968"/>
    </row>
    <row r="68969" spans="1:6" x14ac:dyDescent="0.25">
      <c r="A68969"/>
      <c r="B68969"/>
      <c r="C68969"/>
      <c r="E68969"/>
      <c r="F68969"/>
    </row>
    <row r="68970" spans="1:6" x14ac:dyDescent="0.25">
      <c r="A68970"/>
      <c r="B68970"/>
      <c r="C68970"/>
      <c r="E68970"/>
      <c r="F68970"/>
    </row>
    <row r="68971" spans="1:6" x14ac:dyDescent="0.25">
      <c r="A68971"/>
      <c r="B68971"/>
      <c r="C68971"/>
      <c r="E68971"/>
      <c r="F68971"/>
    </row>
    <row r="68972" spans="1:6" x14ac:dyDescent="0.25">
      <c r="A68972"/>
      <c r="B68972"/>
      <c r="C68972"/>
      <c r="E68972"/>
      <c r="F68972"/>
    </row>
    <row r="68973" spans="1:6" x14ac:dyDescent="0.25">
      <c r="A68973"/>
      <c r="B68973"/>
      <c r="C68973"/>
      <c r="E68973"/>
      <c r="F68973"/>
    </row>
    <row r="68974" spans="1:6" x14ac:dyDescent="0.25">
      <c r="A68974"/>
      <c r="B68974"/>
      <c r="C68974"/>
      <c r="E68974"/>
      <c r="F68974"/>
    </row>
    <row r="68975" spans="1:6" x14ac:dyDescent="0.25">
      <c r="A68975"/>
      <c r="B68975"/>
      <c r="C68975"/>
      <c r="E68975"/>
      <c r="F68975"/>
    </row>
    <row r="68976" spans="1:6" x14ac:dyDescent="0.25">
      <c r="A68976"/>
      <c r="B68976"/>
      <c r="C68976"/>
      <c r="E68976"/>
      <c r="F68976"/>
    </row>
    <row r="68977" spans="1:6" x14ac:dyDescent="0.25">
      <c r="A68977"/>
      <c r="B68977"/>
      <c r="C68977"/>
      <c r="E68977"/>
      <c r="F68977"/>
    </row>
    <row r="68978" spans="1:6" x14ac:dyDescent="0.25">
      <c r="A68978"/>
      <c r="B68978"/>
      <c r="C68978"/>
      <c r="E68978"/>
      <c r="F68978"/>
    </row>
    <row r="68979" spans="1:6" x14ac:dyDescent="0.25">
      <c r="A68979"/>
      <c r="B68979"/>
      <c r="C68979"/>
      <c r="E68979"/>
      <c r="F68979"/>
    </row>
    <row r="68980" spans="1:6" x14ac:dyDescent="0.25">
      <c r="A68980"/>
      <c r="B68980"/>
      <c r="C68980"/>
      <c r="E68980"/>
      <c r="F68980"/>
    </row>
    <row r="68981" spans="1:6" x14ac:dyDescent="0.25">
      <c r="A68981"/>
      <c r="B68981"/>
      <c r="C68981"/>
      <c r="E68981"/>
      <c r="F68981"/>
    </row>
    <row r="68982" spans="1:6" x14ac:dyDescent="0.25">
      <c r="A68982"/>
      <c r="B68982"/>
      <c r="C68982"/>
      <c r="E68982"/>
      <c r="F68982"/>
    </row>
    <row r="68983" spans="1:6" x14ac:dyDescent="0.25">
      <c r="A68983"/>
      <c r="B68983"/>
      <c r="C68983"/>
      <c r="E68983"/>
      <c r="F68983"/>
    </row>
    <row r="68984" spans="1:6" x14ac:dyDescent="0.25">
      <c r="A68984"/>
      <c r="B68984"/>
      <c r="C68984"/>
      <c r="E68984"/>
      <c r="F68984"/>
    </row>
    <row r="68985" spans="1:6" x14ac:dyDescent="0.25">
      <c r="A68985"/>
      <c r="B68985"/>
      <c r="C68985"/>
      <c r="E68985"/>
      <c r="F68985"/>
    </row>
    <row r="68986" spans="1:6" x14ac:dyDescent="0.25">
      <c r="A68986"/>
      <c r="B68986"/>
      <c r="C68986"/>
      <c r="E68986"/>
      <c r="F68986"/>
    </row>
    <row r="68987" spans="1:6" x14ac:dyDescent="0.25">
      <c r="A68987"/>
      <c r="B68987"/>
      <c r="C68987"/>
      <c r="E68987"/>
      <c r="F68987"/>
    </row>
    <row r="68988" spans="1:6" x14ac:dyDescent="0.25">
      <c r="A68988"/>
      <c r="B68988"/>
      <c r="C68988"/>
      <c r="E68988"/>
      <c r="F68988"/>
    </row>
    <row r="68989" spans="1:6" x14ac:dyDescent="0.25">
      <c r="A68989"/>
      <c r="B68989"/>
      <c r="C68989"/>
      <c r="E68989"/>
      <c r="F68989"/>
    </row>
    <row r="68990" spans="1:6" x14ac:dyDescent="0.25">
      <c r="A68990"/>
      <c r="B68990"/>
      <c r="C68990"/>
      <c r="E68990"/>
      <c r="F68990"/>
    </row>
    <row r="68991" spans="1:6" x14ac:dyDescent="0.25">
      <c r="A68991"/>
      <c r="B68991"/>
      <c r="C68991"/>
      <c r="E68991"/>
      <c r="F68991"/>
    </row>
    <row r="68992" spans="1:6" x14ac:dyDescent="0.25">
      <c r="A68992"/>
      <c r="B68992"/>
      <c r="C68992"/>
      <c r="E68992"/>
      <c r="F68992"/>
    </row>
    <row r="68993" spans="1:6" x14ac:dyDescent="0.25">
      <c r="A68993"/>
      <c r="B68993"/>
      <c r="C68993"/>
      <c r="E68993"/>
      <c r="F68993"/>
    </row>
    <row r="68994" spans="1:6" x14ac:dyDescent="0.25">
      <c r="A68994"/>
      <c r="B68994"/>
      <c r="C68994"/>
      <c r="E68994"/>
      <c r="F68994"/>
    </row>
    <row r="68995" spans="1:6" x14ac:dyDescent="0.25">
      <c r="A68995"/>
      <c r="B68995"/>
      <c r="C68995"/>
      <c r="E68995"/>
      <c r="F68995"/>
    </row>
    <row r="68996" spans="1:6" x14ac:dyDescent="0.25">
      <c r="A68996"/>
      <c r="B68996"/>
      <c r="C68996"/>
      <c r="E68996"/>
      <c r="F68996"/>
    </row>
    <row r="68997" spans="1:6" x14ac:dyDescent="0.25">
      <c r="A68997"/>
      <c r="B68997"/>
      <c r="C68997"/>
      <c r="E68997"/>
      <c r="F68997"/>
    </row>
    <row r="68998" spans="1:6" x14ac:dyDescent="0.25">
      <c r="A68998"/>
      <c r="B68998"/>
      <c r="C68998"/>
      <c r="E68998"/>
      <c r="F68998"/>
    </row>
    <row r="68999" spans="1:6" x14ac:dyDescent="0.25">
      <c r="A68999"/>
      <c r="B68999"/>
      <c r="C68999"/>
      <c r="E68999"/>
      <c r="F68999"/>
    </row>
    <row r="69000" spans="1:6" x14ac:dyDescent="0.25">
      <c r="A69000"/>
      <c r="B69000"/>
      <c r="C69000"/>
      <c r="E69000"/>
      <c r="F69000"/>
    </row>
    <row r="69001" spans="1:6" x14ac:dyDescent="0.25">
      <c r="A69001"/>
      <c r="B69001"/>
      <c r="C69001"/>
      <c r="E69001"/>
      <c r="F69001"/>
    </row>
    <row r="69002" spans="1:6" x14ac:dyDescent="0.25">
      <c r="A69002"/>
      <c r="B69002"/>
      <c r="C69002"/>
      <c r="E69002"/>
      <c r="F69002"/>
    </row>
    <row r="69003" spans="1:6" x14ac:dyDescent="0.25">
      <c r="A69003"/>
      <c r="B69003"/>
      <c r="C69003"/>
      <c r="E69003"/>
      <c r="F69003"/>
    </row>
    <row r="69004" spans="1:6" x14ac:dyDescent="0.25">
      <c r="A69004"/>
      <c r="B69004"/>
      <c r="C69004"/>
      <c r="E69004"/>
      <c r="F69004"/>
    </row>
    <row r="69005" spans="1:6" x14ac:dyDescent="0.25">
      <c r="A69005"/>
      <c r="B69005"/>
      <c r="C69005"/>
      <c r="E69005"/>
      <c r="F69005"/>
    </row>
    <row r="69006" spans="1:6" x14ac:dyDescent="0.25">
      <c r="A69006"/>
      <c r="B69006"/>
      <c r="C69006"/>
      <c r="E69006"/>
      <c r="F69006"/>
    </row>
    <row r="69007" spans="1:6" x14ac:dyDescent="0.25">
      <c r="A69007"/>
      <c r="B69007"/>
      <c r="C69007"/>
      <c r="E69007"/>
      <c r="F69007"/>
    </row>
    <row r="69008" spans="1:6" x14ac:dyDescent="0.25">
      <c r="A69008"/>
      <c r="B69008"/>
      <c r="C69008"/>
      <c r="E69008"/>
      <c r="F69008"/>
    </row>
    <row r="69009" spans="1:6" x14ac:dyDescent="0.25">
      <c r="A69009"/>
      <c r="B69009"/>
      <c r="C69009"/>
      <c r="E69009"/>
      <c r="F69009"/>
    </row>
    <row r="69010" spans="1:6" x14ac:dyDescent="0.25">
      <c r="A69010"/>
      <c r="B69010"/>
      <c r="C69010"/>
      <c r="E69010"/>
      <c r="F69010"/>
    </row>
    <row r="69011" spans="1:6" x14ac:dyDescent="0.25">
      <c r="A69011"/>
      <c r="B69011"/>
      <c r="C69011"/>
      <c r="E69011"/>
      <c r="F69011"/>
    </row>
    <row r="69012" spans="1:6" x14ac:dyDescent="0.25">
      <c r="A69012"/>
      <c r="B69012"/>
      <c r="C69012"/>
      <c r="E69012"/>
      <c r="F69012"/>
    </row>
    <row r="69013" spans="1:6" x14ac:dyDescent="0.25">
      <c r="A69013"/>
      <c r="B69013"/>
      <c r="C69013"/>
      <c r="E69013"/>
      <c r="F69013"/>
    </row>
    <row r="69014" spans="1:6" x14ac:dyDescent="0.25">
      <c r="A69014"/>
      <c r="B69014"/>
      <c r="C69014"/>
      <c r="E69014"/>
      <c r="F69014"/>
    </row>
    <row r="69015" spans="1:6" x14ac:dyDescent="0.25">
      <c r="A69015"/>
      <c r="B69015"/>
      <c r="C69015"/>
      <c r="E69015"/>
      <c r="F69015"/>
    </row>
    <row r="69016" spans="1:6" x14ac:dyDescent="0.25">
      <c r="A69016"/>
      <c r="B69016"/>
      <c r="C69016"/>
      <c r="E69016"/>
      <c r="F69016"/>
    </row>
    <row r="69017" spans="1:6" x14ac:dyDescent="0.25">
      <c r="A69017"/>
      <c r="B69017"/>
      <c r="C69017"/>
      <c r="E69017"/>
      <c r="F69017"/>
    </row>
    <row r="69018" spans="1:6" x14ac:dyDescent="0.25">
      <c r="A69018"/>
      <c r="B69018"/>
      <c r="C69018"/>
      <c r="E69018"/>
      <c r="F69018"/>
    </row>
    <row r="69019" spans="1:6" x14ac:dyDescent="0.25">
      <c r="A69019"/>
      <c r="B69019"/>
      <c r="C69019"/>
      <c r="E69019"/>
      <c r="F69019"/>
    </row>
    <row r="69020" spans="1:6" x14ac:dyDescent="0.25">
      <c r="A69020"/>
      <c r="B69020"/>
      <c r="C69020"/>
      <c r="E69020"/>
      <c r="F69020"/>
    </row>
    <row r="69021" spans="1:6" x14ac:dyDescent="0.25">
      <c r="A69021"/>
      <c r="B69021"/>
      <c r="C69021"/>
      <c r="E69021"/>
      <c r="F69021"/>
    </row>
    <row r="69022" spans="1:6" x14ac:dyDescent="0.25">
      <c r="A69022"/>
      <c r="B69022"/>
      <c r="C69022"/>
      <c r="E69022"/>
      <c r="F69022"/>
    </row>
    <row r="69023" spans="1:6" x14ac:dyDescent="0.25">
      <c r="A69023"/>
      <c r="B69023"/>
      <c r="C69023"/>
      <c r="E69023"/>
      <c r="F69023"/>
    </row>
    <row r="69024" spans="1:6" x14ac:dyDescent="0.25">
      <c r="A69024"/>
      <c r="B69024"/>
      <c r="C69024"/>
      <c r="E69024"/>
      <c r="F69024"/>
    </row>
    <row r="69025" spans="1:6" x14ac:dyDescent="0.25">
      <c r="A69025"/>
      <c r="B69025"/>
      <c r="C69025"/>
      <c r="E69025"/>
      <c r="F69025"/>
    </row>
    <row r="69026" spans="1:6" x14ac:dyDescent="0.25">
      <c r="A69026"/>
      <c r="B69026"/>
      <c r="C69026"/>
      <c r="E69026"/>
      <c r="F69026"/>
    </row>
    <row r="69027" spans="1:6" x14ac:dyDescent="0.25">
      <c r="A69027"/>
      <c r="B69027"/>
      <c r="C69027"/>
      <c r="E69027"/>
      <c r="F69027"/>
    </row>
    <row r="69028" spans="1:6" x14ac:dyDescent="0.25">
      <c r="A69028"/>
      <c r="B69028"/>
      <c r="C69028"/>
      <c r="E69028"/>
      <c r="F69028"/>
    </row>
    <row r="69029" spans="1:6" x14ac:dyDescent="0.25">
      <c r="A69029"/>
      <c r="B69029"/>
      <c r="C69029"/>
      <c r="E69029"/>
      <c r="F69029"/>
    </row>
    <row r="69030" spans="1:6" x14ac:dyDescent="0.25">
      <c r="A69030"/>
      <c r="B69030"/>
      <c r="C69030"/>
      <c r="E69030"/>
      <c r="F69030"/>
    </row>
    <row r="69031" spans="1:6" x14ac:dyDescent="0.25">
      <c r="A69031"/>
      <c r="B69031"/>
      <c r="C69031"/>
      <c r="E69031"/>
      <c r="F69031"/>
    </row>
    <row r="69032" spans="1:6" x14ac:dyDescent="0.25">
      <c r="A69032"/>
      <c r="B69032"/>
      <c r="C69032"/>
      <c r="E69032"/>
      <c r="F69032"/>
    </row>
    <row r="69033" spans="1:6" x14ac:dyDescent="0.25">
      <c r="A69033"/>
      <c r="B69033"/>
      <c r="C69033"/>
      <c r="E69033"/>
      <c r="F69033"/>
    </row>
    <row r="69034" spans="1:6" x14ac:dyDescent="0.25">
      <c r="A69034"/>
      <c r="B69034"/>
      <c r="C69034"/>
      <c r="E69034"/>
      <c r="F69034"/>
    </row>
    <row r="69035" spans="1:6" x14ac:dyDescent="0.25">
      <c r="A69035"/>
      <c r="B69035"/>
      <c r="C69035"/>
      <c r="E69035"/>
      <c r="F69035"/>
    </row>
    <row r="69036" spans="1:6" x14ac:dyDescent="0.25">
      <c r="A69036"/>
      <c r="B69036"/>
      <c r="C69036"/>
      <c r="E69036"/>
      <c r="F69036"/>
    </row>
    <row r="69037" spans="1:6" x14ac:dyDescent="0.25">
      <c r="A69037"/>
      <c r="B69037"/>
      <c r="C69037"/>
      <c r="E69037"/>
      <c r="F69037"/>
    </row>
    <row r="69038" spans="1:6" x14ac:dyDescent="0.25">
      <c r="A69038"/>
      <c r="B69038"/>
      <c r="C69038"/>
      <c r="E69038"/>
      <c r="F69038"/>
    </row>
    <row r="69039" spans="1:6" x14ac:dyDescent="0.25">
      <c r="A69039"/>
      <c r="B69039"/>
      <c r="C69039"/>
      <c r="E69039"/>
      <c r="F69039"/>
    </row>
    <row r="69040" spans="1:6" x14ac:dyDescent="0.25">
      <c r="A69040"/>
      <c r="B69040"/>
      <c r="C69040"/>
      <c r="E69040"/>
      <c r="F69040"/>
    </row>
    <row r="69041" spans="1:6" x14ac:dyDescent="0.25">
      <c r="A69041"/>
      <c r="B69041"/>
      <c r="C69041"/>
      <c r="E69041"/>
      <c r="F69041"/>
    </row>
    <row r="69042" spans="1:6" x14ac:dyDescent="0.25">
      <c r="A69042"/>
      <c r="B69042"/>
      <c r="C69042"/>
      <c r="E69042"/>
      <c r="F69042"/>
    </row>
    <row r="69043" spans="1:6" x14ac:dyDescent="0.25">
      <c r="A69043"/>
      <c r="B69043"/>
      <c r="C69043"/>
      <c r="E69043"/>
      <c r="F69043"/>
    </row>
    <row r="69044" spans="1:6" x14ac:dyDescent="0.25">
      <c r="A69044"/>
      <c r="B69044"/>
      <c r="C69044"/>
      <c r="E69044"/>
      <c r="F69044"/>
    </row>
    <row r="69045" spans="1:6" x14ac:dyDescent="0.25">
      <c r="A69045"/>
      <c r="B69045"/>
      <c r="C69045"/>
      <c r="E69045"/>
      <c r="F69045"/>
    </row>
    <row r="69046" spans="1:6" x14ac:dyDescent="0.25">
      <c r="A69046"/>
      <c r="B69046"/>
      <c r="C69046"/>
      <c r="E69046"/>
      <c r="F69046"/>
    </row>
    <row r="69047" spans="1:6" x14ac:dyDescent="0.25">
      <c r="A69047"/>
      <c r="B69047"/>
      <c r="C69047"/>
      <c r="E69047"/>
      <c r="F69047"/>
    </row>
    <row r="69048" spans="1:6" x14ac:dyDescent="0.25">
      <c r="A69048"/>
      <c r="B69048"/>
      <c r="C69048"/>
      <c r="E69048"/>
      <c r="F69048"/>
    </row>
    <row r="69049" spans="1:6" x14ac:dyDescent="0.25">
      <c r="A69049"/>
      <c r="B69049"/>
      <c r="C69049"/>
      <c r="E69049"/>
      <c r="F69049"/>
    </row>
    <row r="69050" spans="1:6" x14ac:dyDescent="0.25">
      <c r="A69050"/>
      <c r="B69050"/>
      <c r="C69050"/>
      <c r="E69050"/>
      <c r="F69050"/>
    </row>
    <row r="69051" spans="1:6" x14ac:dyDescent="0.25">
      <c r="A69051"/>
      <c r="B69051"/>
      <c r="C69051"/>
      <c r="E69051"/>
      <c r="F69051"/>
    </row>
    <row r="69052" spans="1:6" x14ac:dyDescent="0.25">
      <c r="A69052"/>
      <c r="B69052"/>
      <c r="C69052"/>
      <c r="E69052"/>
      <c r="F69052"/>
    </row>
    <row r="69053" spans="1:6" x14ac:dyDescent="0.25">
      <c r="A69053"/>
      <c r="B69053"/>
      <c r="C69053"/>
      <c r="E69053"/>
      <c r="F69053"/>
    </row>
    <row r="69054" spans="1:6" x14ac:dyDescent="0.25">
      <c r="A69054"/>
      <c r="B69054"/>
      <c r="C69054"/>
      <c r="E69054"/>
      <c r="F69054"/>
    </row>
    <row r="69055" spans="1:6" x14ac:dyDescent="0.25">
      <c r="A69055"/>
      <c r="B69055"/>
      <c r="C69055"/>
      <c r="E69055"/>
      <c r="F69055"/>
    </row>
    <row r="69056" spans="1:6" x14ac:dyDescent="0.25">
      <c r="A69056"/>
      <c r="B69056"/>
      <c r="C69056"/>
      <c r="E69056"/>
      <c r="F69056"/>
    </row>
    <row r="69057" spans="1:6" x14ac:dyDescent="0.25">
      <c r="A69057"/>
      <c r="B69057"/>
      <c r="C69057"/>
      <c r="E69057"/>
      <c r="F69057"/>
    </row>
    <row r="69058" spans="1:6" x14ac:dyDescent="0.25">
      <c r="A69058"/>
      <c r="B69058"/>
      <c r="C69058"/>
      <c r="E69058"/>
      <c r="F69058"/>
    </row>
    <row r="69059" spans="1:6" x14ac:dyDescent="0.25">
      <c r="A69059"/>
      <c r="B69059"/>
      <c r="C69059"/>
      <c r="E69059"/>
      <c r="F69059"/>
    </row>
    <row r="69060" spans="1:6" x14ac:dyDescent="0.25">
      <c r="A69060"/>
      <c r="B69060"/>
      <c r="C69060"/>
      <c r="E69060"/>
      <c r="F69060"/>
    </row>
    <row r="69061" spans="1:6" x14ac:dyDescent="0.25">
      <c r="A69061"/>
      <c r="B69061"/>
      <c r="C69061"/>
      <c r="E69061"/>
      <c r="F69061"/>
    </row>
    <row r="69062" spans="1:6" x14ac:dyDescent="0.25">
      <c r="A69062"/>
      <c r="B69062"/>
      <c r="C69062"/>
      <c r="E69062"/>
      <c r="F69062"/>
    </row>
    <row r="69063" spans="1:6" x14ac:dyDescent="0.25">
      <c r="A69063"/>
      <c r="B69063"/>
      <c r="C69063"/>
      <c r="E69063"/>
      <c r="F69063"/>
    </row>
    <row r="69064" spans="1:6" x14ac:dyDescent="0.25">
      <c r="A69064"/>
      <c r="B69064"/>
      <c r="C69064"/>
      <c r="E69064"/>
      <c r="F69064"/>
    </row>
    <row r="69065" spans="1:6" x14ac:dyDescent="0.25">
      <c r="A69065"/>
      <c r="B69065"/>
      <c r="C69065"/>
      <c r="E69065"/>
      <c r="F69065"/>
    </row>
    <row r="69066" spans="1:6" x14ac:dyDescent="0.25">
      <c r="A69066"/>
      <c r="B69066"/>
      <c r="C69066"/>
      <c r="E69066"/>
      <c r="F69066"/>
    </row>
    <row r="69067" spans="1:6" x14ac:dyDescent="0.25">
      <c r="A69067"/>
      <c r="B69067"/>
      <c r="C69067"/>
      <c r="E69067"/>
      <c r="F69067"/>
    </row>
    <row r="69068" spans="1:6" x14ac:dyDescent="0.25">
      <c r="A69068"/>
      <c r="B69068"/>
      <c r="C69068"/>
      <c r="E69068"/>
      <c r="F69068"/>
    </row>
    <row r="69069" spans="1:6" x14ac:dyDescent="0.25">
      <c r="A69069"/>
      <c r="B69069"/>
      <c r="C69069"/>
      <c r="E69069"/>
      <c r="F69069"/>
    </row>
    <row r="69070" spans="1:6" x14ac:dyDescent="0.25">
      <c r="A69070"/>
      <c r="B69070"/>
      <c r="C69070"/>
      <c r="E69070"/>
      <c r="F69070"/>
    </row>
    <row r="69071" spans="1:6" x14ac:dyDescent="0.25">
      <c r="A69071"/>
      <c r="B69071"/>
      <c r="C69071"/>
      <c r="E69071"/>
      <c r="F69071"/>
    </row>
    <row r="69072" spans="1:6" x14ac:dyDescent="0.25">
      <c r="A69072"/>
      <c r="B69072"/>
      <c r="C69072"/>
      <c r="E69072"/>
      <c r="F69072"/>
    </row>
    <row r="69073" spans="1:6" x14ac:dyDescent="0.25">
      <c r="A69073"/>
      <c r="B69073"/>
      <c r="C69073"/>
      <c r="E69073"/>
      <c r="F69073"/>
    </row>
    <row r="69074" spans="1:6" x14ac:dyDescent="0.25">
      <c r="A69074"/>
      <c r="B69074"/>
      <c r="C69074"/>
      <c r="E69074"/>
      <c r="F69074"/>
    </row>
    <row r="69075" spans="1:6" x14ac:dyDescent="0.25">
      <c r="A69075"/>
      <c r="B69075"/>
      <c r="C69075"/>
      <c r="E69075"/>
      <c r="F69075"/>
    </row>
    <row r="69076" spans="1:6" x14ac:dyDescent="0.25">
      <c r="A69076"/>
      <c r="B69076"/>
      <c r="C69076"/>
      <c r="E69076"/>
      <c r="F69076"/>
    </row>
    <row r="69077" spans="1:6" x14ac:dyDescent="0.25">
      <c r="A69077"/>
      <c r="B69077"/>
      <c r="C69077"/>
      <c r="E69077"/>
      <c r="F69077"/>
    </row>
    <row r="69078" spans="1:6" x14ac:dyDescent="0.25">
      <c r="A69078"/>
      <c r="B69078"/>
      <c r="C69078"/>
      <c r="E69078"/>
      <c r="F69078"/>
    </row>
    <row r="69079" spans="1:6" x14ac:dyDescent="0.25">
      <c r="A69079"/>
      <c r="B69079"/>
      <c r="C69079"/>
      <c r="E69079"/>
      <c r="F69079"/>
    </row>
    <row r="69080" spans="1:6" x14ac:dyDescent="0.25">
      <c r="A69080"/>
      <c r="B69080"/>
      <c r="C69080"/>
      <c r="E69080"/>
      <c r="F69080"/>
    </row>
    <row r="69081" spans="1:6" x14ac:dyDescent="0.25">
      <c r="A69081"/>
      <c r="B69081"/>
      <c r="C69081"/>
      <c r="E69081"/>
      <c r="F69081"/>
    </row>
    <row r="69082" spans="1:6" x14ac:dyDescent="0.25">
      <c r="A69082"/>
      <c r="B69082"/>
      <c r="C69082"/>
      <c r="E69082"/>
      <c r="F69082"/>
    </row>
    <row r="69083" spans="1:6" x14ac:dyDescent="0.25">
      <c r="A69083"/>
      <c r="B69083"/>
      <c r="C69083"/>
      <c r="E69083"/>
      <c r="F69083"/>
    </row>
    <row r="69084" spans="1:6" x14ac:dyDescent="0.25">
      <c r="A69084"/>
      <c r="B69084"/>
      <c r="C69084"/>
      <c r="E69084"/>
      <c r="F69084"/>
    </row>
    <row r="69085" spans="1:6" x14ac:dyDescent="0.25">
      <c r="A69085"/>
      <c r="B69085"/>
      <c r="C69085"/>
      <c r="E69085"/>
      <c r="F69085"/>
    </row>
    <row r="69086" spans="1:6" x14ac:dyDescent="0.25">
      <c r="A69086"/>
      <c r="B69086"/>
      <c r="C69086"/>
      <c r="E69086"/>
      <c r="F69086"/>
    </row>
    <row r="69087" spans="1:6" x14ac:dyDescent="0.25">
      <c r="A69087"/>
      <c r="B69087"/>
      <c r="C69087"/>
      <c r="E69087"/>
      <c r="F69087"/>
    </row>
    <row r="69088" spans="1:6" x14ac:dyDescent="0.25">
      <c r="A69088"/>
      <c r="B69088"/>
      <c r="C69088"/>
      <c r="E69088"/>
      <c r="F69088"/>
    </row>
    <row r="69089" spans="1:6" x14ac:dyDescent="0.25">
      <c r="A69089"/>
      <c r="B69089"/>
      <c r="C69089"/>
      <c r="E69089"/>
      <c r="F69089"/>
    </row>
    <row r="69090" spans="1:6" x14ac:dyDescent="0.25">
      <c r="A69090"/>
      <c r="B69090"/>
      <c r="C69090"/>
      <c r="E69090"/>
      <c r="F69090"/>
    </row>
    <row r="69091" spans="1:6" x14ac:dyDescent="0.25">
      <c r="A69091"/>
      <c r="B69091"/>
      <c r="C69091"/>
      <c r="E69091"/>
      <c r="F69091"/>
    </row>
    <row r="69092" spans="1:6" x14ac:dyDescent="0.25">
      <c r="A69092"/>
      <c r="B69092"/>
      <c r="C69092"/>
      <c r="E69092"/>
      <c r="F69092"/>
    </row>
    <row r="69093" spans="1:6" x14ac:dyDescent="0.25">
      <c r="A69093"/>
      <c r="B69093"/>
      <c r="C69093"/>
      <c r="E69093"/>
      <c r="F69093"/>
    </row>
    <row r="69094" spans="1:6" x14ac:dyDescent="0.25">
      <c r="A69094"/>
      <c r="B69094"/>
      <c r="C69094"/>
      <c r="E69094"/>
      <c r="F69094"/>
    </row>
    <row r="69095" spans="1:6" x14ac:dyDescent="0.25">
      <c r="A69095"/>
      <c r="B69095"/>
      <c r="C69095"/>
      <c r="E69095"/>
      <c r="F69095"/>
    </row>
    <row r="69096" spans="1:6" x14ac:dyDescent="0.25">
      <c r="A69096"/>
      <c r="B69096"/>
      <c r="C69096"/>
      <c r="E69096"/>
      <c r="F69096"/>
    </row>
    <row r="69097" spans="1:6" x14ac:dyDescent="0.25">
      <c r="A69097"/>
      <c r="B69097"/>
      <c r="C69097"/>
      <c r="E69097"/>
      <c r="F69097"/>
    </row>
    <row r="69098" spans="1:6" x14ac:dyDescent="0.25">
      <c r="A69098"/>
      <c r="B69098"/>
      <c r="C69098"/>
      <c r="E69098"/>
      <c r="F69098"/>
    </row>
    <row r="69099" spans="1:6" x14ac:dyDescent="0.25">
      <c r="A69099"/>
      <c r="B69099"/>
      <c r="C69099"/>
      <c r="E69099"/>
      <c r="F69099"/>
    </row>
    <row r="69100" spans="1:6" x14ac:dyDescent="0.25">
      <c r="A69100"/>
      <c r="B69100"/>
      <c r="C69100"/>
      <c r="E69100"/>
      <c r="F69100"/>
    </row>
    <row r="69101" spans="1:6" x14ac:dyDescent="0.25">
      <c r="A69101"/>
      <c r="B69101"/>
      <c r="C69101"/>
      <c r="E69101"/>
      <c r="F69101"/>
    </row>
    <row r="69102" spans="1:6" x14ac:dyDescent="0.25">
      <c r="A69102"/>
      <c r="B69102"/>
      <c r="C69102"/>
      <c r="E69102"/>
      <c r="F69102"/>
    </row>
    <row r="69103" spans="1:6" x14ac:dyDescent="0.25">
      <c r="A69103"/>
      <c r="B69103"/>
      <c r="C69103"/>
      <c r="E69103"/>
      <c r="F69103"/>
    </row>
    <row r="69104" spans="1:6" x14ac:dyDescent="0.25">
      <c r="A69104"/>
      <c r="B69104"/>
      <c r="C69104"/>
      <c r="E69104"/>
      <c r="F69104"/>
    </row>
    <row r="69105" spans="1:6" x14ac:dyDescent="0.25">
      <c r="A69105"/>
      <c r="B69105"/>
      <c r="C69105"/>
      <c r="E69105"/>
      <c r="F69105"/>
    </row>
    <row r="69106" spans="1:6" x14ac:dyDescent="0.25">
      <c r="A69106"/>
      <c r="B69106"/>
      <c r="C69106"/>
      <c r="E69106"/>
      <c r="F69106"/>
    </row>
    <row r="69107" spans="1:6" x14ac:dyDescent="0.25">
      <c r="A69107"/>
      <c r="B69107"/>
      <c r="C69107"/>
      <c r="E69107"/>
      <c r="F69107"/>
    </row>
    <row r="69108" spans="1:6" x14ac:dyDescent="0.25">
      <c r="A69108"/>
      <c r="B69108"/>
      <c r="C69108"/>
      <c r="E69108"/>
      <c r="F69108"/>
    </row>
    <row r="69109" spans="1:6" x14ac:dyDescent="0.25">
      <c r="A69109"/>
      <c r="B69109"/>
      <c r="C69109"/>
      <c r="E69109"/>
      <c r="F69109"/>
    </row>
    <row r="69110" spans="1:6" x14ac:dyDescent="0.25">
      <c r="A69110"/>
      <c r="B69110"/>
      <c r="C69110"/>
      <c r="E69110"/>
      <c r="F69110"/>
    </row>
    <row r="69111" spans="1:6" x14ac:dyDescent="0.25">
      <c r="A69111"/>
      <c r="B69111"/>
      <c r="C69111"/>
      <c r="E69111"/>
      <c r="F69111"/>
    </row>
    <row r="69112" spans="1:6" x14ac:dyDescent="0.25">
      <c r="A69112"/>
      <c r="B69112"/>
      <c r="C69112"/>
      <c r="E69112"/>
      <c r="F69112"/>
    </row>
    <row r="69113" spans="1:6" x14ac:dyDescent="0.25">
      <c r="A69113"/>
      <c r="B69113"/>
      <c r="C69113"/>
      <c r="E69113"/>
      <c r="F69113"/>
    </row>
    <row r="69114" spans="1:6" x14ac:dyDescent="0.25">
      <c r="A69114"/>
      <c r="B69114"/>
      <c r="C69114"/>
      <c r="E69114"/>
      <c r="F69114"/>
    </row>
    <row r="69115" spans="1:6" x14ac:dyDescent="0.25">
      <c r="A69115"/>
      <c r="B69115"/>
      <c r="C69115"/>
      <c r="E69115"/>
      <c r="F69115"/>
    </row>
    <row r="69116" spans="1:6" x14ac:dyDescent="0.25">
      <c r="A69116"/>
      <c r="B69116"/>
      <c r="C69116"/>
      <c r="E69116"/>
      <c r="F69116"/>
    </row>
    <row r="69117" spans="1:6" x14ac:dyDescent="0.25">
      <c r="A69117"/>
      <c r="B69117"/>
      <c r="C69117"/>
      <c r="E69117"/>
      <c r="F69117"/>
    </row>
    <row r="69118" spans="1:6" x14ac:dyDescent="0.25">
      <c r="A69118"/>
      <c r="B69118"/>
      <c r="C69118"/>
      <c r="E69118"/>
      <c r="F69118"/>
    </row>
    <row r="69119" spans="1:6" x14ac:dyDescent="0.25">
      <c r="A69119"/>
      <c r="B69119"/>
      <c r="C69119"/>
      <c r="E69119"/>
      <c r="F69119"/>
    </row>
    <row r="69120" spans="1:6" x14ac:dyDescent="0.25">
      <c r="A69120"/>
      <c r="B69120"/>
      <c r="C69120"/>
      <c r="E69120"/>
      <c r="F69120"/>
    </row>
    <row r="69121" spans="1:6" x14ac:dyDescent="0.25">
      <c r="A69121"/>
      <c r="B69121"/>
      <c r="C69121"/>
      <c r="E69121"/>
      <c r="F69121"/>
    </row>
    <row r="69122" spans="1:6" x14ac:dyDescent="0.25">
      <c r="A69122"/>
      <c r="B69122"/>
      <c r="C69122"/>
      <c r="E69122"/>
      <c r="F69122"/>
    </row>
    <row r="69123" spans="1:6" x14ac:dyDescent="0.25">
      <c r="A69123"/>
      <c r="B69123"/>
      <c r="C69123"/>
      <c r="E69123"/>
      <c r="F69123"/>
    </row>
    <row r="69124" spans="1:6" x14ac:dyDescent="0.25">
      <c r="A69124"/>
      <c r="B69124"/>
      <c r="C69124"/>
      <c r="E69124"/>
      <c r="F69124"/>
    </row>
    <row r="69125" spans="1:6" x14ac:dyDescent="0.25">
      <c r="A69125"/>
      <c r="B69125"/>
      <c r="C69125"/>
      <c r="E69125"/>
      <c r="F69125"/>
    </row>
    <row r="69126" spans="1:6" x14ac:dyDescent="0.25">
      <c r="A69126"/>
      <c r="B69126"/>
      <c r="C69126"/>
      <c r="E69126"/>
      <c r="F69126"/>
    </row>
    <row r="69127" spans="1:6" x14ac:dyDescent="0.25">
      <c r="A69127"/>
      <c r="B69127"/>
      <c r="C69127"/>
      <c r="E69127"/>
      <c r="F69127"/>
    </row>
    <row r="69128" spans="1:6" x14ac:dyDescent="0.25">
      <c r="A69128"/>
      <c r="B69128"/>
      <c r="C69128"/>
      <c r="E69128"/>
      <c r="F69128"/>
    </row>
    <row r="69129" spans="1:6" x14ac:dyDescent="0.25">
      <c r="A69129"/>
      <c r="B69129"/>
      <c r="C69129"/>
      <c r="E69129"/>
      <c r="F69129"/>
    </row>
    <row r="69130" spans="1:6" x14ac:dyDescent="0.25">
      <c r="A69130"/>
      <c r="B69130"/>
      <c r="C69130"/>
      <c r="E69130"/>
      <c r="F69130"/>
    </row>
    <row r="69131" spans="1:6" x14ac:dyDescent="0.25">
      <c r="A69131"/>
      <c r="B69131"/>
      <c r="C69131"/>
      <c r="E69131"/>
      <c r="F69131"/>
    </row>
    <row r="69132" spans="1:6" x14ac:dyDescent="0.25">
      <c r="A69132"/>
      <c r="B69132"/>
      <c r="C69132"/>
      <c r="E69132"/>
      <c r="F69132"/>
    </row>
    <row r="69133" spans="1:6" x14ac:dyDescent="0.25">
      <c r="A69133"/>
      <c r="B69133"/>
      <c r="C69133"/>
      <c r="E69133"/>
      <c r="F69133"/>
    </row>
    <row r="69134" spans="1:6" x14ac:dyDescent="0.25">
      <c r="A69134"/>
      <c r="B69134"/>
      <c r="C69134"/>
      <c r="E69134"/>
      <c r="F69134"/>
    </row>
    <row r="69135" spans="1:6" x14ac:dyDescent="0.25">
      <c r="A69135"/>
      <c r="B69135"/>
      <c r="C69135"/>
      <c r="E69135"/>
      <c r="F69135"/>
    </row>
    <row r="69136" spans="1:6" x14ac:dyDescent="0.25">
      <c r="A69136"/>
      <c r="B69136"/>
      <c r="C69136"/>
      <c r="E69136"/>
      <c r="F69136"/>
    </row>
    <row r="69137" spans="1:6" x14ac:dyDescent="0.25">
      <c r="A69137"/>
      <c r="B69137"/>
      <c r="C69137"/>
      <c r="E69137"/>
      <c r="F69137"/>
    </row>
    <row r="69138" spans="1:6" x14ac:dyDescent="0.25">
      <c r="A69138"/>
      <c r="B69138"/>
      <c r="C69138"/>
      <c r="E69138"/>
      <c r="F69138"/>
    </row>
    <row r="69139" spans="1:6" x14ac:dyDescent="0.25">
      <c r="A69139"/>
      <c r="B69139"/>
      <c r="C69139"/>
      <c r="E69139"/>
      <c r="F69139"/>
    </row>
    <row r="69140" spans="1:6" x14ac:dyDescent="0.25">
      <c r="A69140"/>
      <c r="B69140"/>
      <c r="C69140"/>
      <c r="E69140"/>
      <c r="F69140"/>
    </row>
    <row r="69141" spans="1:6" x14ac:dyDescent="0.25">
      <c r="A69141"/>
      <c r="B69141"/>
      <c r="C69141"/>
      <c r="E69141"/>
      <c r="F69141"/>
    </row>
    <row r="69142" spans="1:6" x14ac:dyDescent="0.25">
      <c r="A69142"/>
      <c r="B69142"/>
      <c r="C69142"/>
      <c r="E69142"/>
      <c r="F69142"/>
    </row>
    <row r="69143" spans="1:6" x14ac:dyDescent="0.25">
      <c r="A69143"/>
      <c r="B69143"/>
      <c r="C69143"/>
      <c r="E69143"/>
      <c r="F69143"/>
    </row>
    <row r="69144" spans="1:6" x14ac:dyDescent="0.25">
      <c r="A69144"/>
      <c r="B69144"/>
      <c r="C69144"/>
      <c r="E69144"/>
      <c r="F69144"/>
    </row>
    <row r="69145" spans="1:6" x14ac:dyDescent="0.25">
      <c r="A69145"/>
      <c r="B69145"/>
      <c r="C69145"/>
      <c r="E69145"/>
      <c r="F69145"/>
    </row>
    <row r="69146" spans="1:6" x14ac:dyDescent="0.25">
      <c r="A69146"/>
      <c r="B69146"/>
      <c r="C69146"/>
      <c r="E69146"/>
      <c r="F69146"/>
    </row>
    <row r="69147" spans="1:6" x14ac:dyDescent="0.25">
      <c r="A69147"/>
      <c r="B69147"/>
      <c r="C69147"/>
      <c r="E69147"/>
      <c r="F69147"/>
    </row>
    <row r="69148" spans="1:6" x14ac:dyDescent="0.25">
      <c r="A69148"/>
      <c r="B69148"/>
      <c r="C69148"/>
      <c r="E69148"/>
      <c r="F69148"/>
    </row>
    <row r="69149" spans="1:6" x14ac:dyDescent="0.25">
      <c r="A69149"/>
      <c r="B69149"/>
      <c r="C69149"/>
      <c r="E69149"/>
      <c r="F69149"/>
    </row>
    <row r="69150" spans="1:6" x14ac:dyDescent="0.25">
      <c r="A69150"/>
      <c r="B69150"/>
      <c r="C69150"/>
      <c r="E69150"/>
      <c r="F69150"/>
    </row>
    <row r="69151" spans="1:6" x14ac:dyDescent="0.25">
      <c r="A69151"/>
      <c r="B69151"/>
      <c r="C69151"/>
      <c r="E69151"/>
      <c r="F69151"/>
    </row>
    <row r="69152" spans="1:6" x14ac:dyDescent="0.25">
      <c r="A69152"/>
      <c r="B69152"/>
      <c r="C69152"/>
      <c r="E69152"/>
      <c r="F69152"/>
    </row>
    <row r="69153" spans="1:6" x14ac:dyDescent="0.25">
      <c r="A69153"/>
      <c r="B69153"/>
      <c r="C69153"/>
      <c r="E69153"/>
      <c r="F69153"/>
    </row>
    <row r="69154" spans="1:6" x14ac:dyDescent="0.25">
      <c r="A69154"/>
      <c r="B69154"/>
      <c r="C69154"/>
      <c r="E69154"/>
      <c r="F69154"/>
    </row>
    <row r="69155" spans="1:6" x14ac:dyDescent="0.25">
      <c r="A69155"/>
      <c r="B69155"/>
      <c r="C69155"/>
      <c r="E69155"/>
      <c r="F69155"/>
    </row>
    <row r="69156" spans="1:6" x14ac:dyDescent="0.25">
      <c r="A69156"/>
      <c r="B69156"/>
      <c r="C69156"/>
      <c r="E69156"/>
      <c r="F69156"/>
    </row>
    <row r="69157" spans="1:6" x14ac:dyDescent="0.25">
      <c r="A69157"/>
      <c r="B69157"/>
      <c r="C69157"/>
      <c r="E69157"/>
      <c r="F69157"/>
    </row>
    <row r="69158" spans="1:6" x14ac:dyDescent="0.25">
      <c r="A69158"/>
      <c r="B69158"/>
      <c r="C69158"/>
      <c r="E69158"/>
      <c r="F69158"/>
    </row>
    <row r="69159" spans="1:6" x14ac:dyDescent="0.25">
      <c r="A69159"/>
      <c r="B69159"/>
      <c r="C69159"/>
      <c r="E69159"/>
      <c r="F69159"/>
    </row>
    <row r="69160" spans="1:6" x14ac:dyDescent="0.25">
      <c r="A69160"/>
      <c r="B69160"/>
      <c r="C69160"/>
      <c r="E69160"/>
      <c r="F69160"/>
    </row>
    <row r="69161" spans="1:6" x14ac:dyDescent="0.25">
      <c r="A69161"/>
      <c r="B69161"/>
      <c r="C69161"/>
      <c r="E69161"/>
      <c r="F69161"/>
    </row>
    <row r="69162" spans="1:6" x14ac:dyDescent="0.25">
      <c r="A69162"/>
      <c r="B69162"/>
      <c r="C69162"/>
      <c r="E69162"/>
      <c r="F69162"/>
    </row>
    <row r="69163" spans="1:6" x14ac:dyDescent="0.25">
      <c r="A69163"/>
      <c r="B69163"/>
      <c r="C69163"/>
      <c r="E69163"/>
      <c r="F69163"/>
    </row>
    <row r="69164" spans="1:6" x14ac:dyDescent="0.25">
      <c r="A69164"/>
      <c r="B69164"/>
      <c r="C69164"/>
      <c r="E69164"/>
      <c r="F69164"/>
    </row>
    <row r="69165" spans="1:6" x14ac:dyDescent="0.25">
      <c r="A69165"/>
      <c r="B69165"/>
      <c r="C69165"/>
      <c r="E69165"/>
      <c r="F69165"/>
    </row>
    <row r="69166" spans="1:6" x14ac:dyDescent="0.25">
      <c r="A69166"/>
      <c r="B69166"/>
      <c r="C69166"/>
      <c r="E69166"/>
      <c r="F69166"/>
    </row>
    <row r="69167" spans="1:6" x14ac:dyDescent="0.25">
      <c r="A69167"/>
      <c r="B69167"/>
      <c r="C69167"/>
      <c r="E69167"/>
      <c r="F69167"/>
    </row>
    <row r="69168" spans="1:6" x14ac:dyDescent="0.25">
      <c r="A69168"/>
      <c r="B69168"/>
      <c r="C69168"/>
      <c r="E69168"/>
      <c r="F69168"/>
    </row>
    <row r="69169" spans="1:6" x14ac:dyDescent="0.25">
      <c r="A69169"/>
      <c r="B69169"/>
      <c r="C69169"/>
      <c r="E69169"/>
      <c r="F69169"/>
    </row>
    <row r="69170" spans="1:6" x14ac:dyDescent="0.25">
      <c r="A69170"/>
      <c r="B69170"/>
      <c r="C69170"/>
      <c r="E69170"/>
      <c r="F69170"/>
    </row>
    <row r="69171" spans="1:6" x14ac:dyDescent="0.25">
      <c r="A69171"/>
      <c r="B69171"/>
      <c r="C69171"/>
      <c r="E69171"/>
      <c r="F69171"/>
    </row>
    <row r="69172" spans="1:6" x14ac:dyDescent="0.25">
      <c r="A69172"/>
      <c r="B69172"/>
      <c r="C69172"/>
      <c r="E69172"/>
      <c r="F69172"/>
    </row>
    <row r="69173" spans="1:6" x14ac:dyDescent="0.25">
      <c r="A69173"/>
      <c r="B69173"/>
      <c r="C69173"/>
      <c r="E69173"/>
      <c r="F69173"/>
    </row>
    <row r="69174" spans="1:6" x14ac:dyDescent="0.25">
      <c r="A69174"/>
      <c r="B69174"/>
      <c r="C69174"/>
      <c r="E69174"/>
      <c r="F69174"/>
    </row>
    <row r="69175" spans="1:6" x14ac:dyDescent="0.25">
      <c r="A69175"/>
      <c r="B69175"/>
      <c r="C69175"/>
      <c r="E69175"/>
      <c r="F69175"/>
    </row>
    <row r="69176" spans="1:6" x14ac:dyDescent="0.25">
      <c r="A69176"/>
      <c r="B69176"/>
      <c r="C69176"/>
      <c r="E69176"/>
      <c r="F69176"/>
    </row>
    <row r="69177" spans="1:6" x14ac:dyDescent="0.25">
      <c r="A69177"/>
      <c r="B69177"/>
      <c r="C69177"/>
      <c r="E69177"/>
      <c r="F69177"/>
    </row>
    <row r="69178" spans="1:6" x14ac:dyDescent="0.25">
      <c r="A69178"/>
      <c r="B69178"/>
      <c r="C69178"/>
      <c r="E69178"/>
      <c r="F69178"/>
    </row>
    <row r="69179" spans="1:6" x14ac:dyDescent="0.25">
      <c r="A69179"/>
      <c r="B69179"/>
      <c r="C69179"/>
      <c r="E69179"/>
      <c r="F69179"/>
    </row>
    <row r="69180" spans="1:6" x14ac:dyDescent="0.25">
      <c r="A69180"/>
      <c r="B69180"/>
      <c r="C69180"/>
      <c r="E69180"/>
      <c r="F69180"/>
    </row>
    <row r="69181" spans="1:6" x14ac:dyDescent="0.25">
      <c r="A69181"/>
      <c r="B69181"/>
      <c r="C69181"/>
      <c r="E69181"/>
      <c r="F69181"/>
    </row>
    <row r="69182" spans="1:6" x14ac:dyDescent="0.25">
      <c r="A69182"/>
      <c r="B69182"/>
      <c r="C69182"/>
      <c r="E69182"/>
      <c r="F69182"/>
    </row>
    <row r="69183" spans="1:6" x14ac:dyDescent="0.25">
      <c r="A69183"/>
      <c r="B69183"/>
      <c r="C69183"/>
      <c r="E69183"/>
      <c r="F69183"/>
    </row>
    <row r="69184" spans="1:6" x14ac:dyDescent="0.25">
      <c r="A69184"/>
      <c r="B69184"/>
      <c r="C69184"/>
      <c r="E69184"/>
      <c r="F69184"/>
    </row>
    <row r="69185" spans="1:6" x14ac:dyDescent="0.25">
      <c r="A69185"/>
      <c r="B69185"/>
      <c r="C69185"/>
      <c r="E69185"/>
      <c r="F69185"/>
    </row>
    <row r="69186" spans="1:6" x14ac:dyDescent="0.25">
      <c r="A69186"/>
      <c r="B69186"/>
      <c r="C69186"/>
      <c r="E69186"/>
      <c r="F69186"/>
    </row>
    <row r="69187" spans="1:6" x14ac:dyDescent="0.25">
      <c r="A69187"/>
      <c r="B69187"/>
      <c r="C69187"/>
      <c r="E69187"/>
      <c r="F69187"/>
    </row>
    <row r="69188" spans="1:6" x14ac:dyDescent="0.25">
      <c r="A69188"/>
      <c r="B69188"/>
      <c r="C69188"/>
      <c r="E69188"/>
      <c r="F69188"/>
    </row>
    <row r="69189" spans="1:6" x14ac:dyDescent="0.25">
      <c r="A69189"/>
      <c r="B69189"/>
      <c r="C69189"/>
      <c r="E69189"/>
      <c r="F69189"/>
    </row>
    <row r="69190" spans="1:6" x14ac:dyDescent="0.25">
      <c r="A69190"/>
      <c r="B69190"/>
      <c r="C69190"/>
      <c r="E69190"/>
      <c r="F69190"/>
    </row>
    <row r="69191" spans="1:6" x14ac:dyDescent="0.25">
      <c r="A69191"/>
      <c r="B69191"/>
      <c r="C69191"/>
      <c r="E69191"/>
      <c r="F69191"/>
    </row>
    <row r="69192" spans="1:6" x14ac:dyDescent="0.25">
      <c r="A69192"/>
      <c r="B69192"/>
      <c r="C69192"/>
      <c r="E69192"/>
      <c r="F69192"/>
    </row>
    <row r="69193" spans="1:6" x14ac:dyDescent="0.25">
      <c r="A69193"/>
      <c r="B69193"/>
      <c r="C69193"/>
      <c r="E69193"/>
      <c r="F69193"/>
    </row>
    <row r="69194" spans="1:6" x14ac:dyDescent="0.25">
      <c r="A69194"/>
      <c r="B69194"/>
      <c r="C69194"/>
      <c r="E69194"/>
      <c r="F69194"/>
    </row>
    <row r="69195" spans="1:6" x14ac:dyDescent="0.25">
      <c r="A69195"/>
      <c r="B69195"/>
      <c r="C69195"/>
      <c r="E69195"/>
      <c r="F69195"/>
    </row>
    <row r="69196" spans="1:6" x14ac:dyDescent="0.25">
      <c r="A69196"/>
      <c r="B69196"/>
      <c r="C69196"/>
      <c r="E69196"/>
      <c r="F69196"/>
    </row>
    <row r="69197" spans="1:6" x14ac:dyDescent="0.25">
      <c r="A69197"/>
      <c r="B69197"/>
      <c r="C69197"/>
      <c r="E69197"/>
      <c r="F69197"/>
    </row>
    <row r="69198" spans="1:6" x14ac:dyDescent="0.25">
      <c r="A69198"/>
      <c r="B69198"/>
      <c r="C69198"/>
      <c r="E69198"/>
      <c r="F69198"/>
    </row>
    <row r="69199" spans="1:6" x14ac:dyDescent="0.25">
      <c r="A69199"/>
      <c r="B69199"/>
      <c r="C69199"/>
      <c r="E69199"/>
      <c r="F69199"/>
    </row>
    <row r="69200" spans="1:6" x14ac:dyDescent="0.25">
      <c r="A69200"/>
      <c r="B69200"/>
      <c r="C69200"/>
      <c r="E69200"/>
      <c r="F69200"/>
    </row>
    <row r="69201" spans="1:6" x14ac:dyDescent="0.25">
      <c r="A69201"/>
      <c r="B69201"/>
      <c r="C69201"/>
      <c r="E69201"/>
      <c r="F69201"/>
    </row>
    <row r="69202" spans="1:6" x14ac:dyDescent="0.25">
      <c r="A69202"/>
      <c r="B69202"/>
      <c r="C69202"/>
      <c r="E69202"/>
      <c r="F69202"/>
    </row>
    <row r="69203" spans="1:6" x14ac:dyDescent="0.25">
      <c r="A69203"/>
      <c r="B69203"/>
      <c r="C69203"/>
      <c r="E69203"/>
      <c r="F69203"/>
    </row>
    <row r="69204" spans="1:6" x14ac:dyDescent="0.25">
      <c r="A69204"/>
      <c r="B69204"/>
      <c r="C69204"/>
      <c r="E69204"/>
      <c r="F69204"/>
    </row>
    <row r="69205" spans="1:6" x14ac:dyDescent="0.25">
      <c r="A69205"/>
      <c r="B69205"/>
      <c r="C69205"/>
      <c r="E69205"/>
      <c r="F69205"/>
    </row>
    <row r="69206" spans="1:6" x14ac:dyDescent="0.25">
      <c r="A69206"/>
      <c r="B69206"/>
      <c r="C69206"/>
      <c r="E69206"/>
      <c r="F69206"/>
    </row>
    <row r="69207" spans="1:6" x14ac:dyDescent="0.25">
      <c r="A69207"/>
      <c r="B69207"/>
      <c r="C69207"/>
      <c r="E69207"/>
      <c r="F69207"/>
    </row>
    <row r="69208" spans="1:6" x14ac:dyDescent="0.25">
      <c r="A69208"/>
      <c r="B69208"/>
      <c r="C69208"/>
      <c r="E69208"/>
      <c r="F69208"/>
    </row>
    <row r="69209" spans="1:6" x14ac:dyDescent="0.25">
      <c r="A69209"/>
      <c r="B69209"/>
      <c r="C69209"/>
      <c r="E69209"/>
      <c r="F69209"/>
    </row>
    <row r="69210" spans="1:6" x14ac:dyDescent="0.25">
      <c r="A69210"/>
      <c r="B69210"/>
      <c r="C69210"/>
      <c r="E69210"/>
      <c r="F69210"/>
    </row>
    <row r="69211" spans="1:6" x14ac:dyDescent="0.25">
      <c r="A69211"/>
      <c r="B69211"/>
      <c r="C69211"/>
      <c r="E69211"/>
      <c r="F69211"/>
    </row>
    <row r="69212" spans="1:6" x14ac:dyDescent="0.25">
      <c r="A69212"/>
      <c r="B69212"/>
      <c r="C69212"/>
      <c r="E69212"/>
      <c r="F69212"/>
    </row>
    <row r="69213" spans="1:6" x14ac:dyDescent="0.25">
      <c r="A69213"/>
      <c r="B69213"/>
      <c r="C69213"/>
      <c r="E69213"/>
      <c r="F69213"/>
    </row>
    <row r="69214" spans="1:6" x14ac:dyDescent="0.25">
      <c r="A69214"/>
      <c r="B69214"/>
      <c r="C69214"/>
      <c r="E69214"/>
      <c r="F69214"/>
    </row>
    <row r="69215" spans="1:6" x14ac:dyDescent="0.25">
      <c r="A69215"/>
      <c r="B69215"/>
      <c r="C69215"/>
      <c r="E69215"/>
      <c r="F69215"/>
    </row>
    <row r="69216" spans="1:6" x14ac:dyDescent="0.25">
      <c r="A69216"/>
      <c r="B69216"/>
      <c r="C69216"/>
      <c r="E69216"/>
      <c r="F69216"/>
    </row>
    <row r="69217" spans="1:6" x14ac:dyDescent="0.25">
      <c r="A69217"/>
      <c r="B69217"/>
      <c r="C69217"/>
      <c r="E69217"/>
      <c r="F69217"/>
    </row>
    <row r="69218" spans="1:6" x14ac:dyDescent="0.25">
      <c r="A69218"/>
      <c r="B69218"/>
      <c r="C69218"/>
      <c r="E69218"/>
      <c r="F69218"/>
    </row>
    <row r="69219" spans="1:6" x14ac:dyDescent="0.25">
      <c r="A69219"/>
      <c r="B69219"/>
      <c r="C69219"/>
      <c r="E69219"/>
      <c r="F69219"/>
    </row>
    <row r="69220" spans="1:6" x14ac:dyDescent="0.25">
      <c r="A69220"/>
      <c r="B69220"/>
      <c r="C69220"/>
      <c r="E69220"/>
      <c r="F69220"/>
    </row>
    <row r="69221" spans="1:6" x14ac:dyDescent="0.25">
      <c r="A69221"/>
      <c r="B69221"/>
      <c r="C69221"/>
      <c r="E69221"/>
      <c r="F69221"/>
    </row>
    <row r="69222" spans="1:6" x14ac:dyDescent="0.25">
      <c r="A69222"/>
      <c r="B69222"/>
      <c r="C69222"/>
      <c r="E69222"/>
      <c r="F69222"/>
    </row>
    <row r="69223" spans="1:6" x14ac:dyDescent="0.25">
      <c r="A69223"/>
      <c r="B69223"/>
      <c r="C69223"/>
      <c r="E69223"/>
      <c r="F69223"/>
    </row>
    <row r="69224" spans="1:6" x14ac:dyDescent="0.25">
      <c r="A69224"/>
      <c r="B69224"/>
      <c r="C69224"/>
      <c r="E69224"/>
      <c r="F69224"/>
    </row>
    <row r="69225" spans="1:6" x14ac:dyDescent="0.25">
      <c r="A69225"/>
      <c r="B69225"/>
      <c r="C69225"/>
      <c r="E69225"/>
      <c r="F69225"/>
    </row>
    <row r="69226" spans="1:6" x14ac:dyDescent="0.25">
      <c r="A69226"/>
      <c r="B69226"/>
      <c r="C69226"/>
      <c r="E69226"/>
      <c r="F69226"/>
    </row>
    <row r="69227" spans="1:6" x14ac:dyDescent="0.25">
      <c r="A69227"/>
      <c r="B69227"/>
      <c r="C69227"/>
      <c r="E69227"/>
      <c r="F69227"/>
    </row>
    <row r="69228" spans="1:6" x14ac:dyDescent="0.25">
      <c r="A69228"/>
      <c r="B69228"/>
      <c r="C69228"/>
      <c r="E69228"/>
      <c r="F69228"/>
    </row>
    <row r="69229" spans="1:6" x14ac:dyDescent="0.25">
      <c r="A69229"/>
      <c r="B69229"/>
      <c r="C69229"/>
      <c r="E69229"/>
      <c r="F69229"/>
    </row>
    <row r="69230" spans="1:6" x14ac:dyDescent="0.25">
      <c r="A69230"/>
      <c r="B69230"/>
      <c r="C69230"/>
      <c r="E69230"/>
      <c r="F69230"/>
    </row>
    <row r="69231" spans="1:6" x14ac:dyDescent="0.25">
      <c r="A69231"/>
      <c r="B69231"/>
      <c r="C69231"/>
      <c r="E69231"/>
      <c r="F69231"/>
    </row>
    <row r="69232" spans="1:6" x14ac:dyDescent="0.25">
      <c r="A69232"/>
      <c r="B69232"/>
      <c r="C69232"/>
      <c r="E69232"/>
      <c r="F69232"/>
    </row>
    <row r="69233" spans="1:6" x14ac:dyDescent="0.25">
      <c r="A69233"/>
      <c r="B69233"/>
      <c r="C69233"/>
      <c r="E69233"/>
      <c r="F69233"/>
    </row>
    <row r="69234" spans="1:6" x14ac:dyDescent="0.25">
      <c r="A69234"/>
      <c r="B69234"/>
      <c r="C69234"/>
      <c r="E69234"/>
      <c r="F69234"/>
    </row>
    <row r="69235" spans="1:6" x14ac:dyDescent="0.25">
      <c r="A69235"/>
      <c r="B69235"/>
      <c r="C69235"/>
      <c r="E69235"/>
      <c r="F69235"/>
    </row>
    <row r="69236" spans="1:6" x14ac:dyDescent="0.25">
      <c r="A69236"/>
      <c r="B69236"/>
      <c r="C69236"/>
      <c r="E69236"/>
      <c r="F69236"/>
    </row>
    <row r="69237" spans="1:6" x14ac:dyDescent="0.25">
      <c r="A69237"/>
      <c r="B69237"/>
      <c r="C69237"/>
      <c r="E69237"/>
      <c r="F69237"/>
    </row>
    <row r="69238" spans="1:6" x14ac:dyDescent="0.25">
      <c r="A69238"/>
      <c r="B69238"/>
      <c r="C69238"/>
      <c r="E69238"/>
      <c r="F69238"/>
    </row>
    <row r="69239" spans="1:6" x14ac:dyDescent="0.25">
      <c r="A69239"/>
      <c r="B69239"/>
      <c r="C69239"/>
      <c r="E69239"/>
      <c r="F69239"/>
    </row>
    <row r="69240" spans="1:6" x14ac:dyDescent="0.25">
      <c r="A69240"/>
      <c r="B69240"/>
      <c r="C69240"/>
      <c r="E69240"/>
      <c r="F69240"/>
    </row>
    <row r="69241" spans="1:6" x14ac:dyDescent="0.25">
      <c r="A69241"/>
      <c r="B69241"/>
      <c r="C69241"/>
      <c r="E69241"/>
      <c r="F69241"/>
    </row>
    <row r="69242" spans="1:6" x14ac:dyDescent="0.25">
      <c r="A69242"/>
      <c r="B69242"/>
      <c r="C69242"/>
      <c r="E69242"/>
      <c r="F69242"/>
    </row>
    <row r="69243" spans="1:6" x14ac:dyDescent="0.25">
      <c r="A69243"/>
      <c r="B69243"/>
      <c r="C69243"/>
      <c r="E69243"/>
      <c r="F69243"/>
    </row>
    <row r="69244" spans="1:6" x14ac:dyDescent="0.25">
      <c r="A69244"/>
      <c r="B69244"/>
      <c r="C69244"/>
      <c r="E69244"/>
      <c r="F69244"/>
    </row>
    <row r="69245" spans="1:6" x14ac:dyDescent="0.25">
      <c r="A69245"/>
      <c r="B69245"/>
      <c r="C69245"/>
      <c r="E69245"/>
      <c r="F69245"/>
    </row>
    <row r="69246" spans="1:6" x14ac:dyDescent="0.25">
      <c r="A69246"/>
      <c r="B69246"/>
      <c r="C69246"/>
      <c r="E69246"/>
      <c r="F69246"/>
    </row>
    <row r="69247" spans="1:6" x14ac:dyDescent="0.25">
      <c r="A69247"/>
      <c r="B69247"/>
      <c r="C69247"/>
      <c r="E69247"/>
      <c r="F69247"/>
    </row>
    <row r="69248" spans="1:6" x14ac:dyDescent="0.25">
      <c r="A69248"/>
      <c r="B69248"/>
      <c r="C69248"/>
      <c r="E69248"/>
      <c r="F69248"/>
    </row>
    <row r="69249" spans="1:6" x14ac:dyDescent="0.25">
      <c r="A69249"/>
      <c r="B69249"/>
      <c r="C69249"/>
      <c r="E69249"/>
      <c r="F69249"/>
    </row>
    <row r="69250" spans="1:6" x14ac:dyDescent="0.25">
      <c r="A69250"/>
      <c r="B69250"/>
      <c r="C69250"/>
      <c r="E69250"/>
      <c r="F69250"/>
    </row>
    <row r="69251" spans="1:6" x14ac:dyDescent="0.25">
      <c r="A69251"/>
      <c r="B69251"/>
      <c r="C69251"/>
      <c r="E69251"/>
      <c r="F69251"/>
    </row>
    <row r="69252" spans="1:6" x14ac:dyDescent="0.25">
      <c r="A69252"/>
      <c r="B69252"/>
      <c r="C69252"/>
      <c r="E69252"/>
      <c r="F69252"/>
    </row>
    <row r="69253" spans="1:6" x14ac:dyDescent="0.25">
      <c r="A69253"/>
      <c r="B69253"/>
      <c r="C69253"/>
      <c r="E69253"/>
      <c r="F69253"/>
    </row>
    <row r="69254" spans="1:6" x14ac:dyDescent="0.25">
      <c r="A69254"/>
      <c r="B69254"/>
      <c r="C69254"/>
      <c r="E69254"/>
      <c r="F69254"/>
    </row>
    <row r="69255" spans="1:6" x14ac:dyDescent="0.25">
      <c r="A69255"/>
      <c r="B69255"/>
      <c r="C69255"/>
      <c r="E69255"/>
      <c r="F69255"/>
    </row>
    <row r="69256" spans="1:6" x14ac:dyDescent="0.25">
      <c r="A69256"/>
      <c r="B69256"/>
      <c r="C69256"/>
      <c r="E69256"/>
      <c r="F69256"/>
    </row>
    <row r="69257" spans="1:6" x14ac:dyDescent="0.25">
      <c r="A69257"/>
      <c r="B69257"/>
      <c r="C69257"/>
      <c r="E69257"/>
      <c r="F69257"/>
    </row>
    <row r="69258" spans="1:6" x14ac:dyDescent="0.25">
      <c r="A69258"/>
      <c r="B69258"/>
      <c r="C69258"/>
      <c r="E69258"/>
      <c r="F69258"/>
    </row>
    <row r="69259" spans="1:6" x14ac:dyDescent="0.25">
      <c r="A69259"/>
      <c r="B69259"/>
      <c r="C69259"/>
      <c r="E69259"/>
      <c r="F69259"/>
    </row>
    <row r="69260" spans="1:6" x14ac:dyDescent="0.25">
      <c r="A69260"/>
      <c r="B69260"/>
      <c r="C69260"/>
      <c r="E69260"/>
      <c r="F69260"/>
    </row>
    <row r="69261" spans="1:6" x14ac:dyDescent="0.25">
      <c r="A69261"/>
      <c r="B69261"/>
      <c r="C69261"/>
      <c r="E69261"/>
      <c r="F69261"/>
    </row>
    <row r="69262" spans="1:6" x14ac:dyDescent="0.25">
      <c r="A69262"/>
      <c r="B69262"/>
      <c r="C69262"/>
      <c r="E69262"/>
      <c r="F69262"/>
    </row>
    <row r="69263" spans="1:6" x14ac:dyDescent="0.25">
      <c r="A69263"/>
      <c r="B69263"/>
      <c r="C69263"/>
      <c r="E69263"/>
      <c r="F69263"/>
    </row>
    <row r="69264" spans="1:6" x14ac:dyDescent="0.25">
      <c r="A69264"/>
      <c r="B69264"/>
      <c r="C69264"/>
      <c r="E69264"/>
      <c r="F69264"/>
    </row>
    <row r="69265" spans="1:6" x14ac:dyDescent="0.25">
      <c r="A69265"/>
      <c r="B69265"/>
      <c r="C69265"/>
      <c r="E69265"/>
      <c r="F69265"/>
    </row>
    <row r="69266" spans="1:6" x14ac:dyDescent="0.25">
      <c r="A69266"/>
      <c r="B69266"/>
      <c r="C69266"/>
      <c r="E69266"/>
      <c r="F69266"/>
    </row>
    <row r="69267" spans="1:6" x14ac:dyDescent="0.25">
      <c r="A69267"/>
      <c r="B69267"/>
      <c r="C69267"/>
      <c r="E69267"/>
      <c r="F69267"/>
    </row>
    <row r="69268" spans="1:6" x14ac:dyDescent="0.25">
      <c r="A69268"/>
      <c r="B69268"/>
      <c r="C69268"/>
      <c r="E69268"/>
      <c r="F69268"/>
    </row>
    <row r="69269" spans="1:6" x14ac:dyDescent="0.25">
      <c r="A69269"/>
      <c r="B69269"/>
      <c r="C69269"/>
      <c r="E69269"/>
      <c r="F69269"/>
    </row>
    <row r="69270" spans="1:6" x14ac:dyDescent="0.25">
      <c r="A69270"/>
      <c r="B69270"/>
      <c r="C69270"/>
      <c r="E69270"/>
      <c r="F69270"/>
    </row>
    <row r="69271" spans="1:6" x14ac:dyDescent="0.25">
      <c r="A69271"/>
      <c r="B69271"/>
      <c r="C69271"/>
      <c r="E69271"/>
      <c r="F69271"/>
    </row>
    <row r="69272" spans="1:6" x14ac:dyDescent="0.25">
      <c r="A69272"/>
      <c r="B69272"/>
      <c r="C69272"/>
      <c r="E69272"/>
      <c r="F69272"/>
    </row>
    <row r="69273" spans="1:6" x14ac:dyDescent="0.25">
      <c r="A69273"/>
      <c r="B69273"/>
      <c r="C69273"/>
      <c r="E69273"/>
      <c r="F69273"/>
    </row>
    <row r="69274" spans="1:6" x14ac:dyDescent="0.25">
      <c r="A69274"/>
      <c r="B69274"/>
      <c r="C69274"/>
      <c r="E69274"/>
      <c r="F69274"/>
    </row>
    <row r="69275" spans="1:6" x14ac:dyDescent="0.25">
      <c r="A69275"/>
      <c r="B69275"/>
      <c r="C69275"/>
      <c r="E69275"/>
      <c r="F69275"/>
    </row>
    <row r="69276" spans="1:6" x14ac:dyDescent="0.25">
      <c r="A69276"/>
      <c r="B69276"/>
      <c r="C69276"/>
      <c r="E69276"/>
      <c r="F69276"/>
    </row>
    <row r="69277" spans="1:6" x14ac:dyDescent="0.25">
      <c r="A69277"/>
      <c r="B69277"/>
      <c r="C69277"/>
      <c r="E69277"/>
      <c r="F69277"/>
    </row>
    <row r="69278" spans="1:6" x14ac:dyDescent="0.25">
      <c r="A69278"/>
      <c r="B69278"/>
      <c r="C69278"/>
      <c r="E69278"/>
      <c r="F69278"/>
    </row>
    <row r="69279" spans="1:6" x14ac:dyDescent="0.25">
      <c r="A69279"/>
      <c r="B69279"/>
      <c r="C69279"/>
      <c r="E69279"/>
      <c r="F69279"/>
    </row>
    <row r="69280" spans="1:6" x14ac:dyDescent="0.25">
      <c r="A69280"/>
      <c r="B69280"/>
      <c r="C69280"/>
      <c r="E69280"/>
      <c r="F69280"/>
    </row>
    <row r="69281" spans="1:6" x14ac:dyDescent="0.25">
      <c r="A69281"/>
      <c r="B69281"/>
      <c r="C69281"/>
      <c r="E69281"/>
      <c r="F69281"/>
    </row>
    <row r="69282" spans="1:6" x14ac:dyDescent="0.25">
      <c r="A69282"/>
      <c r="B69282"/>
      <c r="C69282"/>
      <c r="E69282"/>
      <c r="F69282"/>
    </row>
    <row r="69283" spans="1:6" x14ac:dyDescent="0.25">
      <c r="A69283"/>
      <c r="B69283"/>
      <c r="C69283"/>
      <c r="E69283"/>
      <c r="F69283"/>
    </row>
    <row r="69284" spans="1:6" x14ac:dyDescent="0.25">
      <c r="A69284"/>
      <c r="B69284"/>
      <c r="C69284"/>
      <c r="E69284"/>
      <c r="F69284"/>
    </row>
    <row r="69285" spans="1:6" x14ac:dyDescent="0.25">
      <c r="A69285"/>
      <c r="B69285"/>
      <c r="C69285"/>
      <c r="E69285"/>
      <c r="F69285"/>
    </row>
    <row r="69286" spans="1:6" x14ac:dyDescent="0.25">
      <c r="A69286"/>
      <c r="B69286"/>
      <c r="C69286"/>
      <c r="E69286"/>
      <c r="F69286"/>
    </row>
    <row r="69287" spans="1:6" x14ac:dyDescent="0.25">
      <c r="A69287"/>
      <c r="B69287"/>
      <c r="C69287"/>
      <c r="E69287"/>
      <c r="F69287"/>
    </row>
    <row r="69288" spans="1:6" x14ac:dyDescent="0.25">
      <c r="A69288"/>
      <c r="B69288"/>
      <c r="C69288"/>
      <c r="E69288"/>
      <c r="F69288"/>
    </row>
    <row r="69289" spans="1:6" x14ac:dyDescent="0.25">
      <c r="A69289"/>
      <c r="B69289"/>
      <c r="C69289"/>
      <c r="E69289"/>
      <c r="F69289"/>
    </row>
    <row r="69290" spans="1:6" x14ac:dyDescent="0.25">
      <c r="A69290"/>
      <c r="B69290"/>
      <c r="C69290"/>
      <c r="E69290"/>
      <c r="F69290"/>
    </row>
    <row r="69291" spans="1:6" x14ac:dyDescent="0.25">
      <c r="A69291"/>
      <c r="B69291"/>
      <c r="C69291"/>
      <c r="E69291"/>
      <c r="F69291"/>
    </row>
    <row r="69292" spans="1:6" x14ac:dyDescent="0.25">
      <c r="A69292"/>
      <c r="B69292"/>
      <c r="C69292"/>
      <c r="E69292"/>
      <c r="F69292"/>
    </row>
    <row r="69293" spans="1:6" x14ac:dyDescent="0.25">
      <c r="A69293"/>
      <c r="B69293"/>
      <c r="C69293"/>
      <c r="E69293"/>
      <c r="F69293"/>
    </row>
    <row r="69294" spans="1:6" x14ac:dyDescent="0.25">
      <c r="A69294"/>
      <c r="B69294"/>
      <c r="C69294"/>
      <c r="E69294"/>
      <c r="F69294"/>
    </row>
    <row r="69295" spans="1:6" x14ac:dyDescent="0.25">
      <c r="A69295"/>
      <c r="B69295"/>
      <c r="C69295"/>
      <c r="E69295"/>
      <c r="F69295"/>
    </row>
    <row r="69296" spans="1:6" x14ac:dyDescent="0.25">
      <c r="A69296"/>
      <c r="B69296"/>
      <c r="C69296"/>
      <c r="E69296"/>
      <c r="F69296"/>
    </row>
    <row r="69297" spans="1:6" x14ac:dyDescent="0.25">
      <c r="A69297"/>
      <c r="B69297"/>
      <c r="C69297"/>
      <c r="E69297"/>
      <c r="F69297"/>
    </row>
    <row r="69298" spans="1:6" x14ac:dyDescent="0.25">
      <c r="A69298"/>
      <c r="B69298"/>
      <c r="C69298"/>
      <c r="E69298"/>
      <c r="F69298"/>
    </row>
    <row r="69299" spans="1:6" x14ac:dyDescent="0.25">
      <c r="A69299"/>
      <c r="B69299"/>
      <c r="C69299"/>
      <c r="E69299"/>
      <c r="F69299"/>
    </row>
    <row r="69300" spans="1:6" x14ac:dyDescent="0.25">
      <c r="A69300"/>
      <c r="B69300"/>
      <c r="C69300"/>
      <c r="E69300"/>
      <c r="F69300"/>
    </row>
    <row r="69301" spans="1:6" x14ac:dyDescent="0.25">
      <c r="A69301"/>
      <c r="B69301"/>
      <c r="C69301"/>
      <c r="E69301"/>
      <c r="F69301"/>
    </row>
    <row r="69302" spans="1:6" x14ac:dyDescent="0.25">
      <c r="A69302"/>
      <c r="B69302"/>
      <c r="C69302"/>
      <c r="E69302"/>
      <c r="F69302"/>
    </row>
    <row r="69303" spans="1:6" x14ac:dyDescent="0.25">
      <c r="A69303"/>
      <c r="B69303"/>
      <c r="C69303"/>
      <c r="E69303"/>
      <c r="F69303"/>
    </row>
    <row r="69304" spans="1:6" x14ac:dyDescent="0.25">
      <c r="A69304"/>
      <c r="B69304"/>
      <c r="C69304"/>
      <c r="E69304"/>
      <c r="F69304"/>
    </row>
    <row r="69305" spans="1:6" x14ac:dyDescent="0.25">
      <c r="A69305"/>
      <c r="B69305"/>
      <c r="C69305"/>
      <c r="E69305"/>
      <c r="F69305"/>
    </row>
    <row r="69306" spans="1:6" x14ac:dyDescent="0.25">
      <c r="A69306"/>
      <c r="B69306"/>
      <c r="C69306"/>
      <c r="E69306"/>
      <c r="F69306"/>
    </row>
    <row r="69307" spans="1:6" x14ac:dyDescent="0.25">
      <c r="A69307"/>
      <c r="B69307"/>
      <c r="C69307"/>
      <c r="E69307"/>
      <c r="F69307"/>
    </row>
    <row r="69308" spans="1:6" x14ac:dyDescent="0.25">
      <c r="A69308"/>
      <c r="B69308"/>
      <c r="C69308"/>
      <c r="E69308"/>
      <c r="F69308"/>
    </row>
    <row r="69309" spans="1:6" x14ac:dyDescent="0.25">
      <c r="A69309"/>
      <c r="B69309"/>
      <c r="C69309"/>
      <c r="E69309"/>
      <c r="F69309"/>
    </row>
    <row r="69310" spans="1:6" x14ac:dyDescent="0.25">
      <c r="A69310"/>
      <c r="B69310"/>
      <c r="C69310"/>
      <c r="E69310"/>
      <c r="F69310"/>
    </row>
    <row r="69311" spans="1:6" x14ac:dyDescent="0.25">
      <c r="A69311"/>
      <c r="B69311"/>
      <c r="C69311"/>
      <c r="E69311"/>
      <c r="F69311"/>
    </row>
    <row r="69312" spans="1:6" x14ac:dyDescent="0.25">
      <c r="A69312"/>
      <c r="B69312"/>
      <c r="C69312"/>
      <c r="E69312"/>
      <c r="F69312"/>
    </row>
    <row r="69313" spans="1:6" x14ac:dyDescent="0.25">
      <c r="A69313"/>
      <c r="B69313"/>
      <c r="C69313"/>
      <c r="E69313"/>
      <c r="F69313"/>
    </row>
    <row r="69314" spans="1:6" x14ac:dyDescent="0.25">
      <c r="A69314"/>
      <c r="B69314"/>
      <c r="C69314"/>
      <c r="E69314"/>
      <c r="F69314"/>
    </row>
    <row r="69315" spans="1:6" x14ac:dyDescent="0.25">
      <c r="A69315"/>
      <c r="B69315"/>
      <c r="C69315"/>
      <c r="E69315"/>
      <c r="F69315"/>
    </row>
    <row r="69316" spans="1:6" x14ac:dyDescent="0.25">
      <c r="A69316"/>
      <c r="B69316"/>
      <c r="C69316"/>
      <c r="E69316"/>
      <c r="F69316"/>
    </row>
    <row r="69317" spans="1:6" x14ac:dyDescent="0.25">
      <c r="A69317"/>
      <c r="B69317"/>
      <c r="C69317"/>
      <c r="E69317"/>
      <c r="F69317"/>
    </row>
    <row r="69318" spans="1:6" x14ac:dyDescent="0.25">
      <c r="A69318"/>
      <c r="B69318"/>
      <c r="C69318"/>
      <c r="E69318"/>
      <c r="F69318"/>
    </row>
    <row r="69319" spans="1:6" x14ac:dyDescent="0.25">
      <c r="A69319"/>
      <c r="B69319"/>
      <c r="C69319"/>
      <c r="E69319"/>
      <c r="F69319"/>
    </row>
    <row r="69320" spans="1:6" x14ac:dyDescent="0.25">
      <c r="A69320"/>
      <c r="B69320"/>
      <c r="C69320"/>
      <c r="E69320"/>
      <c r="F69320"/>
    </row>
    <row r="69321" spans="1:6" x14ac:dyDescent="0.25">
      <c r="A69321"/>
      <c r="B69321"/>
      <c r="C69321"/>
      <c r="E69321"/>
      <c r="F69321"/>
    </row>
    <row r="69322" spans="1:6" x14ac:dyDescent="0.25">
      <c r="A69322"/>
      <c r="B69322"/>
      <c r="C69322"/>
      <c r="E69322"/>
      <c r="F69322"/>
    </row>
    <row r="69323" spans="1:6" x14ac:dyDescent="0.25">
      <c r="A69323"/>
      <c r="B69323"/>
      <c r="C69323"/>
      <c r="E69323"/>
      <c r="F69323"/>
    </row>
    <row r="69324" spans="1:6" x14ac:dyDescent="0.25">
      <c r="A69324"/>
      <c r="B69324"/>
      <c r="C69324"/>
      <c r="E69324"/>
      <c r="F69324"/>
    </row>
    <row r="69325" spans="1:6" x14ac:dyDescent="0.25">
      <c r="A69325"/>
      <c r="B69325"/>
      <c r="C69325"/>
      <c r="E69325"/>
      <c r="F69325"/>
    </row>
    <row r="69326" spans="1:6" x14ac:dyDescent="0.25">
      <c r="A69326"/>
      <c r="B69326"/>
      <c r="C69326"/>
      <c r="E69326"/>
      <c r="F69326"/>
    </row>
    <row r="69327" spans="1:6" x14ac:dyDescent="0.25">
      <c r="A69327"/>
      <c r="B69327"/>
      <c r="C69327"/>
      <c r="E69327"/>
      <c r="F69327"/>
    </row>
    <row r="69328" spans="1:6" x14ac:dyDescent="0.25">
      <c r="A69328"/>
      <c r="B69328"/>
      <c r="C69328"/>
      <c r="E69328"/>
      <c r="F69328"/>
    </row>
    <row r="69329" spans="1:6" x14ac:dyDescent="0.25">
      <c r="A69329"/>
      <c r="B69329"/>
      <c r="C69329"/>
      <c r="E69329"/>
      <c r="F69329"/>
    </row>
    <row r="69330" spans="1:6" x14ac:dyDescent="0.25">
      <c r="A69330"/>
      <c r="B69330"/>
      <c r="C69330"/>
      <c r="E69330"/>
      <c r="F69330"/>
    </row>
    <row r="69331" spans="1:6" x14ac:dyDescent="0.25">
      <c r="A69331"/>
      <c r="B69331"/>
      <c r="C69331"/>
      <c r="E69331"/>
      <c r="F69331"/>
    </row>
    <row r="69332" spans="1:6" x14ac:dyDescent="0.25">
      <c r="A69332"/>
      <c r="B69332"/>
      <c r="C69332"/>
      <c r="E69332"/>
      <c r="F69332"/>
    </row>
    <row r="69333" spans="1:6" x14ac:dyDescent="0.25">
      <c r="A69333"/>
      <c r="B69333"/>
      <c r="C69333"/>
      <c r="E69333"/>
      <c r="F69333"/>
    </row>
    <row r="69334" spans="1:6" x14ac:dyDescent="0.25">
      <c r="A69334"/>
      <c r="B69334"/>
      <c r="C69334"/>
      <c r="E69334"/>
      <c r="F69334"/>
    </row>
    <row r="69335" spans="1:6" x14ac:dyDescent="0.25">
      <c r="A69335"/>
      <c r="B69335"/>
      <c r="C69335"/>
      <c r="E69335"/>
      <c r="F69335"/>
    </row>
    <row r="69336" spans="1:6" x14ac:dyDescent="0.25">
      <c r="A69336"/>
      <c r="B69336"/>
      <c r="C69336"/>
      <c r="E69336"/>
      <c r="F69336"/>
    </row>
    <row r="69337" spans="1:6" x14ac:dyDescent="0.25">
      <c r="A69337"/>
      <c r="B69337"/>
      <c r="C69337"/>
      <c r="E69337"/>
      <c r="F69337"/>
    </row>
    <row r="69338" spans="1:6" x14ac:dyDescent="0.25">
      <c r="A69338"/>
      <c r="B69338"/>
      <c r="C69338"/>
      <c r="E69338"/>
      <c r="F69338"/>
    </row>
    <row r="69339" spans="1:6" x14ac:dyDescent="0.25">
      <c r="A69339"/>
      <c r="B69339"/>
      <c r="C69339"/>
      <c r="E69339"/>
      <c r="F69339"/>
    </row>
    <row r="69340" spans="1:6" x14ac:dyDescent="0.25">
      <c r="A69340"/>
      <c r="B69340"/>
      <c r="C69340"/>
      <c r="E69340"/>
      <c r="F69340"/>
    </row>
    <row r="69341" spans="1:6" x14ac:dyDescent="0.25">
      <c r="A69341"/>
      <c r="B69341"/>
      <c r="C69341"/>
      <c r="E69341"/>
      <c r="F69341"/>
    </row>
    <row r="69342" spans="1:6" x14ac:dyDescent="0.25">
      <c r="A69342"/>
      <c r="B69342"/>
      <c r="C69342"/>
      <c r="E69342"/>
      <c r="F69342"/>
    </row>
    <row r="69343" spans="1:6" x14ac:dyDescent="0.25">
      <c r="A69343"/>
      <c r="B69343"/>
      <c r="C69343"/>
      <c r="E69343"/>
      <c r="F69343"/>
    </row>
    <row r="69344" spans="1:6" x14ac:dyDescent="0.25">
      <c r="A69344"/>
      <c r="B69344"/>
      <c r="C69344"/>
      <c r="E69344"/>
      <c r="F69344"/>
    </row>
    <row r="69345" spans="1:6" x14ac:dyDescent="0.25">
      <c r="A69345"/>
      <c r="B69345"/>
      <c r="C69345"/>
      <c r="E69345"/>
      <c r="F69345"/>
    </row>
    <row r="69346" spans="1:6" x14ac:dyDescent="0.25">
      <c r="A69346"/>
      <c r="B69346"/>
      <c r="C69346"/>
      <c r="E69346"/>
      <c r="F69346"/>
    </row>
    <row r="69347" spans="1:6" x14ac:dyDescent="0.25">
      <c r="A69347"/>
      <c r="B69347"/>
      <c r="C69347"/>
      <c r="E69347"/>
      <c r="F69347"/>
    </row>
    <row r="69348" spans="1:6" x14ac:dyDescent="0.25">
      <c r="A69348"/>
      <c r="B69348"/>
      <c r="C69348"/>
      <c r="E69348"/>
      <c r="F69348"/>
    </row>
    <row r="69349" spans="1:6" x14ac:dyDescent="0.25">
      <c r="A69349"/>
      <c r="B69349"/>
      <c r="C69349"/>
      <c r="E69349"/>
      <c r="F69349"/>
    </row>
    <row r="69350" spans="1:6" x14ac:dyDescent="0.25">
      <c r="A69350"/>
      <c r="B69350"/>
      <c r="C69350"/>
      <c r="E69350"/>
      <c r="F69350"/>
    </row>
    <row r="69351" spans="1:6" x14ac:dyDescent="0.25">
      <c r="A69351"/>
      <c r="B69351"/>
      <c r="C69351"/>
      <c r="E69351"/>
      <c r="F69351"/>
    </row>
    <row r="69352" spans="1:6" x14ac:dyDescent="0.25">
      <c r="A69352"/>
      <c r="B69352"/>
      <c r="C69352"/>
      <c r="E69352"/>
      <c r="F69352"/>
    </row>
    <row r="69353" spans="1:6" x14ac:dyDescent="0.25">
      <c r="A69353"/>
      <c r="B69353"/>
      <c r="C69353"/>
      <c r="E69353"/>
      <c r="F69353"/>
    </row>
    <row r="69354" spans="1:6" x14ac:dyDescent="0.25">
      <c r="A69354"/>
      <c r="B69354"/>
      <c r="C69354"/>
      <c r="E69354"/>
      <c r="F69354"/>
    </row>
    <row r="69355" spans="1:6" x14ac:dyDescent="0.25">
      <c r="A69355"/>
      <c r="B69355"/>
      <c r="C69355"/>
      <c r="E69355"/>
      <c r="F69355"/>
    </row>
    <row r="69356" spans="1:6" x14ac:dyDescent="0.25">
      <c r="A69356"/>
      <c r="B69356"/>
      <c r="C69356"/>
      <c r="E69356"/>
      <c r="F69356"/>
    </row>
    <row r="69357" spans="1:6" x14ac:dyDescent="0.25">
      <c r="A69357"/>
      <c r="B69357"/>
      <c r="C69357"/>
      <c r="E69357"/>
      <c r="F69357"/>
    </row>
    <row r="69358" spans="1:6" x14ac:dyDescent="0.25">
      <c r="A69358"/>
      <c r="B69358"/>
      <c r="C69358"/>
      <c r="E69358"/>
      <c r="F69358"/>
    </row>
    <row r="69359" spans="1:6" x14ac:dyDescent="0.25">
      <c r="A69359"/>
      <c r="B69359"/>
      <c r="C69359"/>
      <c r="E69359"/>
      <c r="F69359"/>
    </row>
    <row r="69360" spans="1:6" x14ac:dyDescent="0.25">
      <c r="A69360"/>
      <c r="B69360"/>
      <c r="C69360"/>
      <c r="E69360"/>
      <c r="F69360"/>
    </row>
    <row r="69361" spans="1:6" x14ac:dyDescent="0.25">
      <c r="A69361"/>
      <c r="B69361"/>
      <c r="C69361"/>
      <c r="E69361"/>
      <c r="F69361"/>
    </row>
    <row r="69362" spans="1:6" x14ac:dyDescent="0.25">
      <c r="A69362"/>
      <c r="B69362"/>
      <c r="C69362"/>
      <c r="E69362"/>
      <c r="F69362"/>
    </row>
    <row r="69363" spans="1:6" x14ac:dyDescent="0.25">
      <c r="A69363"/>
      <c r="B69363"/>
      <c r="C69363"/>
      <c r="E69363"/>
      <c r="F69363"/>
    </row>
    <row r="69364" spans="1:6" x14ac:dyDescent="0.25">
      <c r="A69364"/>
      <c r="B69364"/>
      <c r="C69364"/>
      <c r="E69364"/>
      <c r="F69364"/>
    </row>
    <row r="69365" spans="1:6" x14ac:dyDescent="0.25">
      <c r="A69365"/>
      <c r="B69365"/>
      <c r="C69365"/>
      <c r="E69365"/>
      <c r="F69365"/>
    </row>
    <row r="69366" spans="1:6" x14ac:dyDescent="0.25">
      <c r="A69366"/>
      <c r="B69366"/>
      <c r="C69366"/>
      <c r="E69366"/>
      <c r="F69366"/>
    </row>
    <row r="69367" spans="1:6" x14ac:dyDescent="0.25">
      <c r="A69367"/>
      <c r="B69367"/>
      <c r="C69367"/>
      <c r="E69367"/>
      <c r="F69367"/>
    </row>
    <row r="69368" spans="1:6" x14ac:dyDescent="0.25">
      <c r="A69368"/>
      <c r="B69368"/>
      <c r="C69368"/>
      <c r="E69368"/>
      <c r="F69368"/>
    </row>
    <row r="69369" spans="1:6" x14ac:dyDescent="0.25">
      <c r="A69369"/>
      <c r="B69369"/>
      <c r="C69369"/>
      <c r="E69369"/>
      <c r="F69369"/>
    </row>
    <row r="69370" spans="1:6" x14ac:dyDescent="0.25">
      <c r="A69370"/>
      <c r="B69370"/>
      <c r="C69370"/>
      <c r="E69370"/>
      <c r="F69370"/>
    </row>
    <row r="69371" spans="1:6" x14ac:dyDescent="0.25">
      <c r="A69371"/>
      <c r="B69371"/>
      <c r="C69371"/>
      <c r="E69371"/>
      <c r="F69371"/>
    </row>
    <row r="69372" spans="1:6" x14ac:dyDescent="0.25">
      <c r="A69372"/>
      <c r="B69372"/>
      <c r="C69372"/>
      <c r="E69372"/>
      <c r="F69372"/>
    </row>
    <row r="69373" spans="1:6" x14ac:dyDescent="0.25">
      <c r="A69373"/>
      <c r="B69373"/>
      <c r="C69373"/>
      <c r="E69373"/>
      <c r="F69373"/>
    </row>
    <row r="69374" spans="1:6" x14ac:dyDescent="0.25">
      <c r="A69374"/>
      <c r="B69374"/>
      <c r="C69374"/>
      <c r="E69374"/>
      <c r="F69374"/>
    </row>
    <row r="69375" spans="1:6" x14ac:dyDescent="0.25">
      <c r="A69375"/>
      <c r="B69375"/>
      <c r="C69375"/>
      <c r="E69375"/>
      <c r="F69375"/>
    </row>
    <row r="69376" spans="1:6" x14ac:dyDescent="0.25">
      <c r="A69376"/>
      <c r="B69376"/>
      <c r="C69376"/>
      <c r="E69376"/>
      <c r="F69376"/>
    </row>
    <row r="69377" spans="1:6" x14ac:dyDescent="0.25">
      <c r="A69377"/>
      <c r="B69377"/>
      <c r="C69377"/>
      <c r="E69377"/>
      <c r="F69377"/>
    </row>
    <row r="69378" spans="1:6" x14ac:dyDescent="0.25">
      <c r="A69378"/>
      <c r="B69378"/>
      <c r="C69378"/>
      <c r="E69378"/>
      <c r="F69378"/>
    </row>
    <row r="69379" spans="1:6" x14ac:dyDescent="0.25">
      <c r="A69379"/>
      <c r="B69379"/>
      <c r="C69379"/>
      <c r="E69379"/>
      <c r="F69379"/>
    </row>
    <row r="69380" spans="1:6" x14ac:dyDescent="0.25">
      <c r="A69380"/>
      <c r="B69380"/>
      <c r="C69380"/>
      <c r="E69380"/>
      <c r="F69380"/>
    </row>
    <row r="69381" spans="1:6" x14ac:dyDescent="0.25">
      <c r="A69381"/>
      <c r="B69381"/>
      <c r="C69381"/>
      <c r="E69381"/>
      <c r="F69381"/>
    </row>
    <row r="69382" spans="1:6" x14ac:dyDescent="0.25">
      <c r="A69382"/>
      <c r="B69382"/>
      <c r="C69382"/>
      <c r="E69382"/>
      <c r="F69382"/>
    </row>
    <row r="69383" spans="1:6" x14ac:dyDescent="0.25">
      <c r="A69383"/>
      <c r="B69383"/>
      <c r="C69383"/>
      <c r="E69383"/>
      <c r="F69383"/>
    </row>
    <row r="69384" spans="1:6" x14ac:dyDescent="0.25">
      <c r="A69384"/>
      <c r="B69384"/>
      <c r="C69384"/>
      <c r="E69384"/>
      <c r="F69384"/>
    </row>
    <row r="69385" spans="1:6" x14ac:dyDescent="0.25">
      <c r="A69385"/>
      <c r="B69385"/>
      <c r="C69385"/>
      <c r="E69385"/>
      <c r="F69385"/>
    </row>
    <row r="69386" spans="1:6" x14ac:dyDescent="0.25">
      <c r="A69386"/>
      <c r="B69386"/>
      <c r="C69386"/>
      <c r="E69386"/>
      <c r="F69386"/>
    </row>
    <row r="69387" spans="1:6" x14ac:dyDescent="0.25">
      <c r="A69387"/>
      <c r="B69387"/>
      <c r="C69387"/>
      <c r="E69387"/>
      <c r="F69387"/>
    </row>
    <row r="69388" spans="1:6" x14ac:dyDescent="0.25">
      <c r="A69388"/>
      <c r="B69388"/>
      <c r="C69388"/>
      <c r="E69388"/>
      <c r="F69388"/>
    </row>
    <row r="69389" spans="1:6" x14ac:dyDescent="0.25">
      <c r="A69389"/>
      <c r="B69389"/>
      <c r="C69389"/>
      <c r="E69389"/>
      <c r="F69389"/>
    </row>
    <row r="69390" spans="1:6" x14ac:dyDescent="0.25">
      <c r="A69390"/>
      <c r="B69390"/>
      <c r="C69390"/>
      <c r="E69390"/>
      <c r="F69390"/>
    </row>
    <row r="69391" spans="1:6" x14ac:dyDescent="0.25">
      <c r="A69391"/>
      <c r="B69391"/>
      <c r="C69391"/>
      <c r="E69391"/>
      <c r="F69391"/>
    </row>
    <row r="69392" spans="1:6" x14ac:dyDescent="0.25">
      <c r="A69392"/>
      <c r="B69392"/>
      <c r="C69392"/>
      <c r="E69392"/>
      <c r="F69392"/>
    </row>
    <row r="69393" spans="1:6" x14ac:dyDescent="0.25">
      <c r="A69393"/>
      <c r="B69393"/>
      <c r="C69393"/>
      <c r="E69393"/>
      <c r="F69393"/>
    </row>
    <row r="69394" spans="1:6" x14ac:dyDescent="0.25">
      <c r="A69394"/>
      <c r="B69394"/>
      <c r="C69394"/>
      <c r="E69394"/>
      <c r="F69394"/>
    </row>
    <row r="69395" spans="1:6" x14ac:dyDescent="0.25">
      <c r="A69395"/>
      <c r="B69395"/>
      <c r="C69395"/>
      <c r="E69395"/>
      <c r="F69395"/>
    </row>
    <row r="69396" spans="1:6" x14ac:dyDescent="0.25">
      <c r="A69396"/>
      <c r="B69396"/>
      <c r="C69396"/>
      <c r="E69396"/>
      <c r="F69396"/>
    </row>
    <row r="69397" spans="1:6" x14ac:dyDescent="0.25">
      <c r="A69397"/>
      <c r="B69397"/>
      <c r="C69397"/>
      <c r="E69397"/>
      <c r="F69397"/>
    </row>
    <row r="69398" spans="1:6" x14ac:dyDescent="0.25">
      <c r="A69398"/>
      <c r="B69398"/>
      <c r="C69398"/>
      <c r="E69398"/>
      <c r="F69398"/>
    </row>
    <row r="69399" spans="1:6" x14ac:dyDescent="0.25">
      <c r="A69399"/>
      <c r="B69399"/>
      <c r="C69399"/>
      <c r="E69399"/>
      <c r="F69399"/>
    </row>
    <row r="69400" spans="1:6" x14ac:dyDescent="0.25">
      <c r="A69400"/>
      <c r="B69400"/>
      <c r="C69400"/>
      <c r="E69400"/>
      <c r="F69400"/>
    </row>
    <row r="69401" spans="1:6" x14ac:dyDescent="0.25">
      <c r="A69401"/>
      <c r="B69401"/>
      <c r="C69401"/>
      <c r="E69401"/>
      <c r="F69401"/>
    </row>
    <row r="69402" spans="1:6" x14ac:dyDescent="0.25">
      <c r="A69402"/>
      <c r="B69402"/>
      <c r="C69402"/>
      <c r="E69402"/>
      <c r="F69402"/>
    </row>
    <row r="69403" spans="1:6" x14ac:dyDescent="0.25">
      <c r="A69403"/>
      <c r="B69403"/>
      <c r="C69403"/>
      <c r="E69403"/>
      <c r="F69403"/>
    </row>
    <row r="69404" spans="1:6" x14ac:dyDescent="0.25">
      <c r="A69404"/>
      <c r="B69404"/>
      <c r="C69404"/>
      <c r="E69404"/>
      <c r="F69404"/>
    </row>
    <row r="69405" spans="1:6" x14ac:dyDescent="0.25">
      <c r="A69405"/>
      <c r="B69405"/>
      <c r="C69405"/>
      <c r="E69405"/>
      <c r="F69405"/>
    </row>
    <row r="69406" spans="1:6" x14ac:dyDescent="0.25">
      <c r="A69406"/>
      <c r="B69406"/>
      <c r="C69406"/>
      <c r="E69406"/>
      <c r="F69406"/>
    </row>
    <row r="69407" spans="1:6" x14ac:dyDescent="0.25">
      <c r="A69407"/>
      <c r="B69407"/>
      <c r="C69407"/>
      <c r="E69407"/>
      <c r="F69407"/>
    </row>
    <row r="69408" spans="1:6" x14ac:dyDescent="0.25">
      <c r="A69408"/>
      <c r="B69408"/>
      <c r="C69408"/>
      <c r="E69408"/>
      <c r="F69408"/>
    </row>
    <row r="69409" spans="1:6" x14ac:dyDescent="0.25">
      <c r="A69409"/>
      <c r="B69409"/>
      <c r="C69409"/>
      <c r="E69409"/>
      <c r="F69409"/>
    </row>
    <row r="69410" spans="1:6" x14ac:dyDescent="0.25">
      <c r="A69410"/>
      <c r="B69410"/>
      <c r="C69410"/>
      <c r="E69410"/>
      <c r="F69410"/>
    </row>
    <row r="69411" spans="1:6" x14ac:dyDescent="0.25">
      <c r="A69411"/>
      <c r="B69411"/>
      <c r="C69411"/>
      <c r="E69411"/>
      <c r="F69411"/>
    </row>
    <row r="69412" spans="1:6" x14ac:dyDescent="0.25">
      <c r="A69412"/>
      <c r="B69412"/>
      <c r="C69412"/>
      <c r="E69412"/>
      <c r="F69412"/>
    </row>
    <row r="69413" spans="1:6" x14ac:dyDescent="0.25">
      <c r="A69413"/>
      <c r="B69413"/>
      <c r="C69413"/>
      <c r="E69413"/>
      <c r="F69413"/>
    </row>
    <row r="69414" spans="1:6" x14ac:dyDescent="0.25">
      <c r="A69414"/>
      <c r="B69414"/>
      <c r="C69414"/>
      <c r="E69414"/>
      <c r="F69414"/>
    </row>
    <row r="69415" spans="1:6" x14ac:dyDescent="0.25">
      <c r="A69415"/>
      <c r="B69415"/>
      <c r="C69415"/>
      <c r="E69415"/>
      <c r="F69415"/>
    </row>
    <row r="69416" spans="1:6" x14ac:dyDescent="0.25">
      <c r="A69416"/>
      <c r="B69416"/>
      <c r="C69416"/>
      <c r="E69416"/>
      <c r="F69416"/>
    </row>
    <row r="69417" spans="1:6" x14ac:dyDescent="0.25">
      <c r="A69417"/>
      <c r="B69417"/>
      <c r="C69417"/>
      <c r="E69417"/>
      <c r="F69417"/>
    </row>
    <row r="69418" spans="1:6" x14ac:dyDescent="0.25">
      <c r="A69418"/>
      <c r="B69418"/>
      <c r="C69418"/>
      <c r="E69418"/>
      <c r="F69418"/>
    </row>
    <row r="69419" spans="1:6" x14ac:dyDescent="0.25">
      <c r="A69419"/>
      <c r="B69419"/>
      <c r="C69419"/>
      <c r="E69419"/>
      <c r="F69419"/>
    </row>
    <row r="69420" spans="1:6" x14ac:dyDescent="0.25">
      <c r="A69420"/>
      <c r="B69420"/>
      <c r="C69420"/>
      <c r="E69420"/>
      <c r="F69420"/>
    </row>
    <row r="69421" spans="1:6" x14ac:dyDescent="0.25">
      <c r="A69421"/>
      <c r="B69421"/>
      <c r="C69421"/>
      <c r="E69421"/>
      <c r="F69421"/>
    </row>
    <row r="69422" spans="1:6" x14ac:dyDescent="0.25">
      <c r="A69422"/>
      <c r="B69422"/>
      <c r="C69422"/>
      <c r="E69422"/>
      <c r="F69422"/>
    </row>
    <row r="69423" spans="1:6" x14ac:dyDescent="0.25">
      <c r="A69423"/>
      <c r="B69423"/>
      <c r="C69423"/>
      <c r="E69423"/>
      <c r="F69423"/>
    </row>
    <row r="69424" spans="1:6" x14ac:dyDescent="0.25">
      <c r="A69424"/>
      <c r="B69424"/>
      <c r="C69424"/>
      <c r="E69424"/>
      <c r="F69424"/>
    </row>
    <row r="69425" spans="1:6" x14ac:dyDescent="0.25">
      <c r="A69425"/>
      <c r="B69425"/>
      <c r="C69425"/>
      <c r="E69425"/>
      <c r="F69425"/>
    </row>
    <row r="69426" spans="1:6" x14ac:dyDescent="0.25">
      <c r="A69426"/>
      <c r="B69426"/>
      <c r="C69426"/>
      <c r="E69426"/>
      <c r="F69426"/>
    </row>
    <row r="69427" spans="1:6" x14ac:dyDescent="0.25">
      <c r="A69427"/>
      <c r="B69427"/>
      <c r="C69427"/>
      <c r="E69427"/>
      <c r="F69427"/>
    </row>
    <row r="69428" spans="1:6" x14ac:dyDescent="0.25">
      <c r="A69428"/>
      <c r="B69428"/>
      <c r="C69428"/>
      <c r="E69428"/>
      <c r="F69428"/>
    </row>
    <row r="69429" spans="1:6" x14ac:dyDescent="0.25">
      <c r="A69429"/>
      <c r="B69429"/>
      <c r="C69429"/>
      <c r="E69429"/>
      <c r="F69429"/>
    </row>
    <row r="69430" spans="1:6" x14ac:dyDescent="0.25">
      <c r="A69430"/>
      <c r="B69430"/>
      <c r="C69430"/>
      <c r="E69430"/>
      <c r="F69430"/>
    </row>
    <row r="69431" spans="1:6" x14ac:dyDescent="0.25">
      <c r="A69431"/>
      <c r="B69431"/>
      <c r="C69431"/>
      <c r="E69431"/>
      <c r="F69431"/>
    </row>
    <row r="69432" spans="1:6" x14ac:dyDescent="0.25">
      <c r="A69432"/>
      <c r="B69432"/>
      <c r="C69432"/>
      <c r="E69432"/>
      <c r="F69432"/>
    </row>
    <row r="69433" spans="1:6" x14ac:dyDescent="0.25">
      <c r="A69433"/>
      <c r="B69433"/>
      <c r="C69433"/>
      <c r="E69433"/>
      <c r="F69433"/>
    </row>
    <row r="69434" spans="1:6" x14ac:dyDescent="0.25">
      <c r="A69434"/>
      <c r="B69434"/>
      <c r="C69434"/>
      <c r="E69434"/>
      <c r="F69434"/>
    </row>
    <row r="69435" spans="1:6" x14ac:dyDescent="0.25">
      <c r="A69435"/>
      <c r="B69435"/>
      <c r="C69435"/>
      <c r="E69435"/>
      <c r="F69435"/>
    </row>
    <row r="69436" spans="1:6" x14ac:dyDescent="0.25">
      <c r="A69436"/>
      <c r="B69436"/>
      <c r="C69436"/>
      <c r="E69436"/>
      <c r="F69436"/>
    </row>
    <row r="69437" spans="1:6" x14ac:dyDescent="0.25">
      <c r="A69437"/>
      <c r="B69437"/>
      <c r="C69437"/>
      <c r="E69437"/>
      <c r="F69437"/>
    </row>
    <row r="69438" spans="1:6" x14ac:dyDescent="0.25">
      <c r="A69438"/>
      <c r="B69438"/>
      <c r="C69438"/>
      <c r="E69438"/>
      <c r="F69438"/>
    </row>
    <row r="69439" spans="1:6" x14ac:dyDescent="0.25">
      <c r="A69439"/>
      <c r="B69439"/>
      <c r="C69439"/>
      <c r="E69439"/>
      <c r="F69439"/>
    </row>
    <row r="69440" spans="1:6" x14ac:dyDescent="0.25">
      <c r="A69440"/>
      <c r="B69440"/>
      <c r="C69440"/>
      <c r="E69440"/>
      <c r="F69440"/>
    </row>
    <row r="69441" spans="1:6" x14ac:dyDescent="0.25">
      <c r="A69441"/>
      <c r="B69441"/>
      <c r="C69441"/>
      <c r="E69441"/>
      <c r="F69441"/>
    </row>
    <row r="69442" spans="1:6" x14ac:dyDescent="0.25">
      <c r="A69442"/>
      <c r="B69442"/>
      <c r="C69442"/>
      <c r="E69442"/>
      <c r="F69442"/>
    </row>
    <row r="69443" spans="1:6" x14ac:dyDescent="0.25">
      <c r="A69443"/>
      <c r="B69443"/>
      <c r="C69443"/>
      <c r="E69443"/>
      <c r="F69443"/>
    </row>
    <row r="69444" spans="1:6" x14ac:dyDescent="0.25">
      <c r="A69444"/>
      <c r="B69444"/>
      <c r="C69444"/>
      <c r="E69444"/>
      <c r="F69444"/>
    </row>
    <row r="69445" spans="1:6" x14ac:dyDescent="0.25">
      <c r="A69445"/>
      <c r="B69445"/>
      <c r="C69445"/>
      <c r="E69445"/>
      <c r="F69445"/>
    </row>
    <row r="69446" spans="1:6" x14ac:dyDescent="0.25">
      <c r="A69446"/>
      <c r="B69446"/>
      <c r="C69446"/>
      <c r="E69446"/>
      <c r="F69446"/>
    </row>
    <row r="69447" spans="1:6" x14ac:dyDescent="0.25">
      <c r="A69447"/>
      <c r="B69447"/>
      <c r="C69447"/>
      <c r="E69447"/>
      <c r="F69447"/>
    </row>
    <row r="69448" spans="1:6" x14ac:dyDescent="0.25">
      <c r="A69448"/>
      <c r="B69448"/>
      <c r="C69448"/>
      <c r="E69448"/>
      <c r="F69448"/>
    </row>
    <row r="69449" spans="1:6" x14ac:dyDescent="0.25">
      <c r="A69449"/>
      <c r="B69449"/>
      <c r="C69449"/>
      <c r="E69449"/>
      <c r="F69449"/>
    </row>
    <row r="69450" spans="1:6" x14ac:dyDescent="0.25">
      <c r="A69450"/>
      <c r="B69450"/>
      <c r="C69450"/>
      <c r="E69450"/>
      <c r="F69450"/>
    </row>
    <row r="69451" spans="1:6" x14ac:dyDescent="0.25">
      <c r="A69451"/>
      <c r="B69451"/>
      <c r="C69451"/>
      <c r="E69451"/>
      <c r="F69451"/>
    </row>
    <row r="69452" spans="1:6" x14ac:dyDescent="0.25">
      <c r="A69452"/>
      <c r="B69452"/>
      <c r="C69452"/>
      <c r="E69452"/>
      <c r="F69452"/>
    </row>
    <row r="69453" spans="1:6" x14ac:dyDescent="0.25">
      <c r="A69453"/>
      <c r="B69453"/>
      <c r="C69453"/>
      <c r="E69453"/>
      <c r="F69453"/>
    </row>
    <row r="69454" spans="1:6" x14ac:dyDescent="0.25">
      <c r="A69454"/>
      <c r="B69454"/>
      <c r="C69454"/>
      <c r="E69454"/>
      <c r="F69454"/>
    </row>
    <row r="69455" spans="1:6" x14ac:dyDescent="0.25">
      <c r="A69455"/>
      <c r="B69455"/>
      <c r="C69455"/>
      <c r="E69455"/>
      <c r="F69455"/>
    </row>
    <row r="69456" spans="1:6" x14ac:dyDescent="0.25">
      <c r="A69456"/>
      <c r="B69456"/>
      <c r="C69456"/>
      <c r="E69456"/>
      <c r="F69456"/>
    </row>
    <row r="69457" spans="1:6" x14ac:dyDescent="0.25">
      <c r="A69457"/>
      <c r="B69457"/>
      <c r="C69457"/>
      <c r="E69457"/>
      <c r="F69457"/>
    </row>
    <row r="69458" spans="1:6" x14ac:dyDescent="0.25">
      <c r="A69458"/>
      <c r="B69458"/>
      <c r="C69458"/>
      <c r="E69458"/>
      <c r="F69458"/>
    </row>
    <row r="69459" spans="1:6" x14ac:dyDescent="0.25">
      <c r="A69459"/>
      <c r="B69459"/>
      <c r="C69459"/>
      <c r="E69459"/>
      <c r="F69459"/>
    </row>
    <row r="69460" spans="1:6" x14ac:dyDescent="0.25">
      <c r="A69460"/>
      <c r="B69460"/>
      <c r="C69460"/>
      <c r="E69460"/>
      <c r="F69460"/>
    </row>
    <row r="69461" spans="1:6" x14ac:dyDescent="0.25">
      <c r="A69461"/>
      <c r="B69461"/>
      <c r="C69461"/>
      <c r="E69461"/>
      <c r="F69461"/>
    </row>
    <row r="69462" spans="1:6" x14ac:dyDescent="0.25">
      <c r="A69462"/>
      <c r="B69462"/>
      <c r="C69462"/>
      <c r="E69462"/>
      <c r="F69462"/>
    </row>
    <row r="69463" spans="1:6" x14ac:dyDescent="0.25">
      <c r="A69463"/>
      <c r="B69463"/>
      <c r="C69463"/>
      <c r="E69463"/>
      <c r="F69463"/>
    </row>
    <row r="69464" spans="1:6" x14ac:dyDescent="0.25">
      <c r="A69464"/>
      <c r="B69464"/>
      <c r="C69464"/>
      <c r="E69464"/>
      <c r="F69464"/>
    </row>
    <row r="69465" spans="1:6" x14ac:dyDescent="0.25">
      <c r="A69465"/>
      <c r="B69465"/>
      <c r="C69465"/>
      <c r="E69465"/>
      <c r="F69465"/>
    </row>
    <row r="69466" spans="1:6" x14ac:dyDescent="0.25">
      <c r="A69466"/>
      <c r="B69466"/>
      <c r="C69466"/>
      <c r="E69466"/>
      <c r="F69466"/>
    </row>
    <row r="69467" spans="1:6" x14ac:dyDescent="0.25">
      <c r="A69467"/>
      <c r="B69467"/>
      <c r="C69467"/>
      <c r="E69467"/>
      <c r="F69467"/>
    </row>
    <row r="69468" spans="1:6" x14ac:dyDescent="0.25">
      <c r="A69468"/>
      <c r="B69468"/>
      <c r="C69468"/>
      <c r="E69468"/>
      <c r="F69468"/>
    </row>
    <row r="69469" spans="1:6" x14ac:dyDescent="0.25">
      <c r="A69469"/>
      <c r="B69469"/>
      <c r="C69469"/>
      <c r="E69469"/>
      <c r="F69469"/>
    </row>
    <row r="69470" spans="1:6" x14ac:dyDescent="0.25">
      <c r="A69470"/>
      <c r="B69470"/>
      <c r="C69470"/>
      <c r="E69470"/>
      <c r="F69470"/>
    </row>
    <row r="69471" spans="1:6" x14ac:dyDescent="0.25">
      <c r="A69471"/>
      <c r="B69471"/>
      <c r="C69471"/>
      <c r="E69471"/>
      <c r="F69471"/>
    </row>
    <row r="69472" spans="1:6" x14ac:dyDescent="0.25">
      <c r="A69472"/>
      <c r="B69472"/>
      <c r="C69472"/>
      <c r="E69472"/>
      <c r="F69472"/>
    </row>
    <row r="69473" spans="1:6" x14ac:dyDescent="0.25">
      <c r="A69473"/>
      <c r="B69473"/>
      <c r="C69473"/>
      <c r="E69473"/>
      <c r="F69473"/>
    </row>
    <row r="69474" spans="1:6" x14ac:dyDescent="0.25">
      <c r="A69474"/>
      <c r="B69474"/>
      <c r="C69474"/>
      <c r="E69474"/>
      <c r="F69474"/>
    </row>
    <row r="69475" spans="1:6" x14ac:dyDescent="0.25">
      <c r="A69475"/>
      <c r="B69475"/>
      <c r="C69475"/>
      <c r="E69475"/>
      <c r="F69475"/>
    </row>
    <row r="69476" spans="1:6" x14ac:dyDescent="0.25">
      <c r="A69476"/>
      <c r="B69476"/>
      <c r="C69476"/>
      <c r="E69476"/>
      <c r="F69476"/>
    </row>
    <row r="69477" spans="1:6" x14ac:dyDescent="0.25">
      <c r="A69477"/>
      <c r="B69477"/>
      <c r="C69477"/>
      <c r="E69477"/>
      <c r="F69477"/>
    </row>
    <row r="69478" spans="1:6" x14ac:dyDescent="0.25">
      <c r="A69478"/>
      <c r="B69478"/>
      <c r="C69478"/>
      <c r="E69478"/>
      <c r="F69478"/>
    </row>
    <row r="69479" spans="1:6" x14ac:dyDescent="0.25">
      <c r="A69479"/>
      <c r="B69479"/>
      <c r="C69479"/>
      <c r="E69479"/>
      <c r="F69479"/>
    </row>
    <row r="69480" spans="1:6" x14ac:dyDescent="0.25">
      <c r="A69480"/>
      <c r="B69480"/>
      <c r="C69480"/>
      <c r="E69480"/>
      <c r="F69480"/>
    </row>
    <row r="69481" spans="1:6" x14ac:dyDescent="0.25">
      <c r="A69481"/>
      <c r="B69481"/>
      <c r="C69481"/>
      <c r="E69481"/>
      <c r="F69481"/>
    </row>
    <row r="69482" spans="1:6" x14ac:dyDescent="0.25">
      <c r="A69482"/>
      <c r="B69482"/>
      <c r="C69482"/>
      <c r="E69482"/>
      <c r="F69482"/>
    </row>
    <row r="69483" spans="1:6" x14ac:dyDescent="0.25">
      <c r="A69483"/>
      <c r="B69483"/>
      <c r="C69483"/>
      <c r="E69483"/>
      <c r="F69483"/>
    </row>
    <row r="69484" spans="1:6" x14ac:dyDescent="0.25">
      <c r="A69484"/>
      <c r="B69484"/>
      <c r="C69484"/>
      <c r="E69484"/>
      <c r="F69484"/>
    </row>
    <row r="69485" spans="1:6" x14ac:dyDescent="0.25">
      <c r="A69485"/>
      <c r="B69485"/>
      <c r="C69485"/>
      <c r="E69485"/>
      <c r="F69485"/>
    </row>
    <row r="69486" spans="1:6" x14ac:dyDescent="0.25">
      <c r="A69486"/>
      <c r="B69486"/>
      <c r="C69486"/>
      <c r="E69486"/>
      <c r="F69486"/>
    </row>
    <row r="69487" spans="1:6" x14ac:dyDescent="0.25">
      <c r="A69487"/>
      <c r="B69487"/>
      <c r="C69487"/>
      <c r="E69487"/>
      <c r="F69487"/>
    </row>
    <row r="69488" spans="1:6" x14ac:dyDescent="0.25">
      <c r="A69488"/>
      <c r="B69488"/>
      <c r="C69488"/>
      <c r="E69488"/>
      <c r="F69488"/>
    </row>
    <row r="69489" spans="1:6" x14ac:dyDescent="0.25">
      <c r="A69489"/>
      <c r="B69489"/>
      <c r="C69489"/>
      <c r="E69489"/>
      <c r="F69489"/>
    </row>
    <row r="69490" spans="1:6" x14ac:dyDescent="0.25">
      <c r="A69490"/>
      <c r="B69490"/>
      <c r="C69490"/>
      <c r="E69490"/>
      <c r="F69490"/>
    </row>
    <row r="69491" spans="1:6" x14ac:dyDescent="0.25">
      <c r="A69491"/>
      <c r="B69491"/>
      <c r="C69491"/>
      <c r="E69491"/>
      <c r="F69491"/>
    </row>
    <row r="69492" spans="1:6" x14ac:dyDescent="0.25">
      <c r="A69492"/>
      <c r="B69492"/>
      <c r="C69492"/>
      <c r="E69492"/>
      <c r="F69492"/>
    </row>
    <row r="69493" spans="1:6" x14ac:dyDescent="0.25">
      <c r="A69493"/>
      <c r="B69493"/>
      <c r="C69493"/>
      <c r="E69493"/>
      <c r="F69493"/>
    </row>
    <row r="69494" spans="1:6" x14ac:dyDescent="0.25">
      <c r="A69494"/>
      <c r="B69494"/>
      <c r="C69494"/>
      <c r="E69494"/>
      <c r="F69494"/>
    </row>
    <row r="69495" spans="1:6" x14ac:dyDescent="0.25">
      <c r="A69495"/>
      <c r="B69495"/>
      <c r="C69495"/>
      <c r="E69495"/>
      <c r="F69495"/>
    </row>
    <row r="69496" spans="1:6" x14ac:dyDescent="0.25">
      <c r="A69496"/>
      <c r="B69496"/>
      <c r="C69496"/>
      <c r="E69496"/>
      <c r="F69496"/>
    </row>
    <row r="69497" spans="1:6" x14ac:dyDescent="0.25">
      <c r="A69497"/>
      <c r="B69497"/>
      <c r="C69497"/>
      <c r="E69497"/>
      <c r="F69497"/>
    </row>
    <row r="69498" spans="1:6" x14ac:dyDescent="0.25">
      <c r="A69498"/>
      <c r="B69498"/>
      <c r="C69498"/>
      <c r="E69498"/>
      <c r="F69498"/>
    </row>
    <row r="69499" spans="1:6" x14ac:dyDescent="0.25">
      <c r="A69499"/>
      <c r="B69499"/>
      <c r="C69499"/>
      <c r="E69499"/>
      <c r="F69499"/>
    </row>
    <row r="69500" spans="1:6" x14ac:dyDescent="0.25">
      <c r="A69500"/>
      <c r="B69500"/>
      <c r="C69500"/>
      <c r="E69500"/>
      <c r="F69500"/>
    </row>
    <row r="69501" spans="1:6" x14ac:dyDescent="0.25">
      <c r="A69501"/>
      <c r="B69501"/>
      <c r="C69501"/>
      <c r="E69501"/>
      <c r="F69501"/>
    </row>
    <row r="69502" spans="1:6" x14ac:dyDescent="0.25">
      <c r="A69502"/>
      <c r="B69502"/>
      <c r="C69502"/>
      <c r="E69502"/>
      <c r="F69502"/>
    </row>
    <row r="69503" spans="1:6" x14ac:dyDescent="0.25">
      <c r="A69503"/>
      <c r="B69503"/>
      <c r="C69503"/>
      <c r="E69503"/>
      <c r="F69503"/>
    </row>
    <row r="69504" spans="1:6" x14ac:dyDescent="0.25">
      <c r="A69504"/>
      <c r="B69504"/>
      <c r="C69504"/>
      <c r="E69504"/>
      <c r="F69504"/>
    </row>
    <row r="69505" spans="1:6" x14ac:dyDescent="0.25">
      <c r="A69505"/>
      <c r="B69505"/>
      <c r="C69505"/>
      <c r="E69505"/>
      <c r="F69505"/>
    </row>
    <row r="69506" spans="1:6" x14ac:dyDescent="0.25">
      <c r="A69506"/>
      <c r="B69506"/>
      <c r="C69506"/>
      <c r="E69506"/>
      <c r="F69506"/>
    </row>
    <row r="69507" spans="1:6" x14ac:dyDescent="0.25">
      <c r="A69507"/>
      <c r="B69507"/>
      <c r="C69507"/>
      <c r="E69507"/>
      <c r="F69507"/>
    </row>
    <row r="69508" spans="1:6" x14ac:dyDescent="0.25">
      <c r="A69508"/>
      <c r="B69508"/>
      <c r="C69508"/>
      <c r="E69508"/>
      <c r="F69508"/>
    </row>
    <row r="69509" spans="1:6" x14ac:dyDescent="0.25">
      <c r="A69509"/>
      <c r="B69509"/>
      <c r="C69509"/>
      <c r="E69509"/>
      <c r="F69509"/>
    </row>
    <row r="69510" spans="1:6" x14ac:dyDescent="0.25">
      <c r="A69510"/>
      <c r="B69510"/>
      <c r="C69510"/>
      <c r="E69510"/>
      <c r="F69510"/>
    </row>
    <row r="69511" spans="1:6" x14ac:dyDescent="0.25">
      <c r="A69511"/>
      <c r="B69511"/>
      <c r="C69511"/>
      <c r="E69511"/>
      <c r="F69511"/>
    </row>
    <row r="69512" spans="1:6" x14ac:dyDescent="0.25">
      <c r="A69512"/>
      <c r="B69512"/>
      <c r="C69512"/>
      <c r="E69512"/>
      <c r="F69512"/>
    </row>
    <row r="69513" spans="1:6" x14ac:dyDescent="0.25">
      <c r="A69513"/>
      <c r="B69513"/>
      <c r="C69513"/>
      <c r="E69513"/>
      <c r="F69513"/>
    </row>
    <row r="69514" spans="1:6" x14ac:dyDescent="0.25">
      <c r="A69514"/>
      <c r="B69514"/>
      <c r="C69514"/>
      <c r="E69514"/>
      <c r="F69514"/>
    </row>
    <row r="69515" spans="1:6" x14ac:dyDescent="0.25">
      <c r="A69515"/>
      <c r="B69515"/>
      <c r="C69515"/>
      <c r="E69515"/>
      <c r="F69515"/>
    </row>
    <row r="69516" spans="1:6" x14ac:dyDescent="0.25">
      <c r="A69516"/>
      <c r="B69516"/>
      <c r="C69516"/>
      <c r="E69516"/>
      <c r="F69516"/>
    </row>
    <row r="69517" spans="1:6" x14ac:dyDescent="0.25">
      <c r="A69517"/>
      <c r="B69517"/>
      <c r="C69517"/>
      <c r="E69517"/>
      <c r="F69517"/>
    </row>
    <row r="69518" spans="1:6" x14ac:dyDescent="0.25">
      <c r="A69518"/>
      <c r="B69518"/>
      <c r="C69518"/>
      <c r="E69518"/>
      <c r="F69518"/>
    </row>
    <row r="69519" spans="1:6" x14ac:dyDescent="0.25">
      <c r="A69519"/>
      <c r="B69519"/>
      <c r="C69519"/>
      <c r="E69519"/>
      <c r="F69519"/>
    </row>
    <row r="69520" spans="1:6" x14ac:dyDescent="0.25">
      <c r="A69520"/>
      <c r="B69520"/>
      <c r="C69520"/>
      <c r="E69520"/>
      <c r="F69520"/>
    </row>
    <row r="69521" spans="1:6" x14ac:dyDescent="0.25">
      <c r="A69521"/>
      <c r="B69521"/>
      <c r="C69521"/>
      <c r="E69521"/>
      <c r="F69521"/>
    </row>
    <row r="69522" spans="1:6" x14ac:dyDescent="0.25">
      <c r="A69522"/>
      <c r="B69522"/>
      <c r="C69522"/>
      <c r="E69522"/>
      <c r="F69522"/>
    </row>
    <row r="69523" spans="1:6" x14ac:dyDescent="0.25">
      <c r="A69523"/>
      <c r="B69523"/>
      <c r="C69523"/>
      <c r="E69523"/>
      <c r="F69523"/>
    </row>
    <row r="69524" spans="1:6" x14ac:dyDescent="0.25">
      <c r="A69524"/>
      <c r="B69524"/>
      <c r="C69524"/>
      <c r="E69524"/>
      <c r="F69524"/>
    </row>
    <row r="69525" spans="1:6" x14ac:dyDescent="0.25">
      <c r="A69525"/>
      <c r="B69525"/>
      <c r="C69525"/>
      <c r="E69525"/>
      <c r="F69525"/>
    </row>
    <row r="69526" spans="1:6" x14ac:dyDescent="0.25">
      <c r="A69526"/>
      <c r="B69526"/>
      <c r="C69526"/>
      <c r="E69526"/>
      <c r="F69526"/>
    </row>
    <row r="69527" spans="1:6" x14ac:dyDescent="0.25">
      <c r="A69527"/>
      <c r="B69527"/>
      <c r="C69527"/>
      <c r="E69527"/>
      <c r="F69527"/>
    </row>
    <row r="69528" spans="1:6" x14ac:dyDescent="0.25">
      <c r="A69528"/>
      <c r="B69528"/>
      <c r="C69528"/>
      <c r="E69528"/>
      <c r="F69528"/>
    </row>
    <row r="69529" spans="1:6" x14ac:dyDescent="0.25">
      <c r="A69529"/>
      <c r="B69529"/>
      <c r="C69529"/>
      <c r="E69529"/>
      <c r="F69529"/>
    </row>
    <row r="69530" spans="1:6" x14ac:dyDescent="0.25">
      <c r="A69530"/>
      <c r="B69530"/>
      <c r="C69530"/>
      <c r="E69530"/>
      <c r="F69530"/>
    </row>
    <row r="69531" spans="1:6" x14ac:dyDescent="0.25">
      <c r="A69531"/>
      <c r="B69531"/>
      <c r="C69531"/>
      <c r="E69531"/>
      <c r="F69531"/>
    </row>
    <row r="69532" spans="1:6" x14ac:dyDescent="0.25">
      <c r="A69532"/>
      <c r="B69532"/>
      <c r="C69532"/>
      <c r="E69532"/>
      <c r="F69532"/>
    </row>
    <row r="69533" spans="1:6" x14ac:dyDescent="0.25">
      <c r="A69533"/>
      <c r="B69533"/>
      <c r="C69533"/>
      <c r="E69533"/>
      <c r="F69533"/>
    </row>
    <row r="69534" spans="1:6" x14ac:dyDescent="0.25">
      <c r="A69534"/>
      <c r="B69534"/>
      <c r="C69534"/>
      <c r="E69534"/>
      <c r="F69534"/>
    </row>
    <row r="69535" spans="1:6" x14ac:dyDescent="0.25">
      <c r="A69535"/>
      <c r="B69535"/>
      <c r="C69535"/>
      <c r="E69535"/>
      <c r="F69535"/>
    </row>
    <row r="69536" spans="1:6" x14ac:dyDescent="0.25">
      <c r="A69536"/>
      <c r="B69536"/>
      <c r="C69536"/>
      <c r="E69536"/>
      <c r="F69536"/>
    </row>
    <row r="69537" spans="1:6" x14ac:dyDescent="0.25">
      <c r="A69537"/>
      <c r="B69537"/>
      <c r="C69537"/>
      <c r="E69537"/>
      <c r="F69537"/>
    </row>
    <row r="69538" spans="1:6" x14ac:dyDescent="0.25">
      <c r="A69538"/>
      <c r="B69538"/>
      <c r="C69538"/>
      <c r="E69538"/>
      <c r="F69538"/>
    </row>
    <row r="69539" spans="1:6" x14ac:dyDescent="0.25">
      <c r="A69539"/>
      <c r="B69539"/>
      <c r="C69539"/>
      <c r="E69539"/>
      <c r="F69539"/>
    </row>
    <row r="69540" spans="1:6" x14ac:dyDescent="0.25">
      <c r="A69540"/>
      <c r="B69540"/>
      <c r="C69540"/>
      <c r="E69540"/>
      <c r="F69540"/>
    </row>
    <row r="69541" spans="1:6" x14ac:dyDescent="0.25">
      <c r="A69541"/>
      <c r="B69541"/>
      <c r="C69541"/>
      <c r="E69541"/>
      <c r="F69541"/>
    </row>
    <row r="69542" spans="1:6" x14ac:dyDescent="0.25">
      <c r="A69542"/>
      <c r="B69542"/>
      <c r="C69542"/>
      <c r="E69542"/>
      <c r="F69542"/>
    </row>
    <row r="69543" spans="1:6" x14ac:dyDescent="0.25">
      <c r="A69543"/>
      <c r="B69543"/>
      <c r="C69543"/>
      <c r="E69543"/>
      <c r="F69543"/>
    </row>
    <row r="69544" spans="1:6" x14ac:dyDescent="0.25">
      <c r="A69544"/>
      <c r="B69544"/>
      <c r="C69544"/>
      <c r="E69544"/>
      <c r="F69544"/>
    </row>
    <row r="69545" spans="1:6" x14ac:dyDescent="0.25">
      <c r="A69545"/>
      <c r="B69545"/>
      <c r="C69545"/>
      <c r="E69545"/>
      <c r="F69545"/>
    </row>
    <row r="69546" spans="1:6" x14ac:dyDescent="0.25">
      <c r="A69546"/>
      <c r="B69546"/>
      <c r="C69546"/>
      <c r="E69546"/>
      <c r="F69546"/>
    </row>
    <row r="69547" spans="1:6" x14ac:dyDescent="0.25">
      <c r="A69547"/>
      <c r="B69547"/>
      <c r="C69547"/>
      <c r="E69547"/>
      <c r="F69547"/>
    </row>
    <row r="69548" spans="1:6" x14ac:dyDescent="0.25">
      <c r="A69548"/>
      <c r="B69548"/>
      <c r="C69548"/>
      <c r="E69548"/>
      <c r="F69548"/>
    </row>
    <row r="69549" spans="1:6" x14ac:dyDescent="0.25">
      <c r="A69549"/>
      <c r="B69549"/>
      <c r="C69549"/>
      <c r="E69549"/>
      <c r="F69549"/>
    </row>
    <row r="69550" spans="1:6" x14ac:dyDescent="0.25">
      <c r="A69550"/>
      <c r="B69550"/>
      <c r="C69550"/>
      <c r="E69550"/>
      <c r="F69550"/>
    </row>
    <row r="69551" spans="1:6" x14ac:dyDescent="0.25">
      <c r="A69551"/>
      <c r="B69551"/>
      <c r="C69551"/>
      <c r="E69551"/>
      <c r="F69551"/>
    </row>
    <row r="69552" spans="1:6" x14ac:dyDescent="0.25">
      <c r="A69552"/>
      <c r="B69552"/>
      <c r="C69552"/>
      <c r="E69552"/>
      <c r="F69552"/>
    </row>
    <row r="69553" spans="1:6" x14ac:dyDescent="0.25">
      <c r="A69553"/>
      <c r="B69553"/>
      <c r="C69553"/>
      <c r="E69553"/>
      <c r="F69553"/>
    </row>
    <row r="69554" spans="1:6" x14ac:dyDescent="0.25">
      <c r="A69554"/>
      <c r="B69554"/>
      <c r="C69554"/>
      <c r="E69554"/>
      <c r="F69554"/>
    </row>
    <row r="69555" spans="1:6" x14ac:dyDescent="0.25">
      <c r="A69555"/>
      <c r="B69555"/>
      <c r="C69555"/>
      <c r="E69555"/>
      <c r="F69555"/>
    </row>
    <row r="69556" spans="1:6" x14ac:dyDescent="0.25">
      <c r="A69556"/>
      <c r="B69556"/>
      <c r="C69556"/>
      <c r="E69556"/>
      <c r="F69556"/>
    </row>
    <row r="69557" spans="1:6" x14ac:dyDescent="0.25">
      <c r="A69557"/>
      <c r="B69557"/>
      <c r="C69557"/>
      <c r="E69557"/>
      <c r="F69557"/>
    </row>
    <row r="69558" spans="1:6" x14ac:dyDescent="0.25">
      <c r="A69558"/>
      <c r="B69558"/>
      <c r="C69558"/>
      <c r="E69558"/>
      <c r="F69558"/>
    </row>
    <row r="69559" spans="1:6" x14ac:dyDescent="0.25">
      <c r="A69559"/>
      <c r="B69559"/>
      <c r="C69559"/>
      <c r="E69559"/>
      <c r="F69559"/>
    </row>
    <row r="69560" spans="1:6" x14ac:dyDescent="0.25">
      <c r="A69560"/>
      <c r="B69560"/>
      <c r="C69560"/>
      <c r="E69560"/>
      <c r="F69560"/>
    </row>
    <row r="69561" spans="1:6" x14ac:dyDescent="0.25">
      <c r="A69561"/>
      <c r="B69561"/>
      <c r="C69561"/>
      <c r="E69561"/>
      <c r="F69561"/>
    </row>
    <row r="69562" spans="1:6" x14ac:dyDescent="0.25">
      <c r="A69562"/>
      <c r="B69562"/>
      <c r="C69562"/>
      <c r="E69562"/>
      <c r="F69562"/>
    </row>
    <row r="69563" spans="1:6" x14ac:dyDescent="0.25">
      <c r="A69563"/>
      <c r="B69563"/>
      <c r="C69563"/>
      <c r="E69563"/>
      <c r="F69563"/>
    </row>
    <row r="69564" spans="1:6" x14ac:dyDescent="0.25">
      <c r="A69564"/>
      <c r="B69564"/>
      <c r="C69564"/>
      <c r="E69564"/>
      <c r="F69564"/>
    </row>
    <row r="69565" spans="1:6" x14ac:dyDescent="0.25">
      <c r="A69565"/>
      <c r="B69565"/>
      <c r="C69565"/>
      <c r="E69565"/>
      <c r="F69565"/>
    </row>
    <row r="69566" spans="1:6" x14ac:dyDescent="0.25">
      <c r="A69566"/>
      <c r="B69566"/>
      <c r="C69566"/>
      <c r="E69566"/>
      <c r="F69566"/>
    </row>
    <row r="69567" spans="1:6" x14ac:dyDescent="0.25">
      <c r="A69567"/>
      <c r="B69567"/>
      <c r="C69567"/>
      <c r="E69567"/>
      <c r="F69567"/>
    </row>
    <row r="69568" spans="1:6" x14ac:dyDescent="0.25">
      <c r="A69568"/>
      <c r="B69568"/>
      <c r="C69568"/>
      <c r="E69568"/>
      <c r="F69568"/>
    </row>
    <row r="69569" spans="1:6" x14ac:dyDescent="0.25">
      <c r="A69569"/>
      <c r="B69569"/>
      <c r="C69569"/>
      <c r="E69569"/>
      <c r="F69569"/>
    </row>
    <row r="69570" spans="1:6" x14ac:dyDescent="0.25">
      <c r="A69570"/>
      <c r="B69570"/>
      <c r="C69570"/>
      <c r="E69570"/>
      <c r="F69570"/>
    </row>
    <row r="69571" spans="1:6" x14ac:dyDescent="0.25">
      <c r="A69571"/>
      <c r="B69571"/>
      <c r="C69571"/>
      <c r="E69571"/>
      <c r="F69571"/>
    </row>
    <row r="69572" spans="1:6" x14ac:dyDescent="0.25">
      <c r="A69572"/>
      <c r="B69572"/>
      <c r="C69572"/>
      <c r="E69572"/>
      <c r="F69572"/>
    </row>
    <row r="69573" spans="1:6" x14ac:dyDescent="0.25">
      <c r="A69573"/>
      <c r="B69573"/>
      <c r="C69573"/>
      <c r="E69573"/>
      <c r="F69573"/>
    </row>
    <row r="69574" spans="1:6" x14ac:dyDescent="0.25">
      <c r="A69574"/>
      <c r="B69574"/>
      <c r="C69574"/>
      <c r="E69574"/>
      <c r="F69574"/>
    </row>
    <row r="69575" spans="1:6" x14ac:dyDescent="0.25">
      <c r="A69575"/>
      <c r="B69575"/>
      <c r="C69575"/>
      <c r="E69575"/>
      <c r="F69575"/>
    </row>
    <row r="69576" spans="1:6" x14ac:dyDescent="0.25">
      <c r="A69576"/>
      <c r="B69576"/>
      <c r="C69576"/>
      <c r="E69576"/>
      <c r="F69576"/>
    </row>
    <row r="69577" spans="1:6" x14ac:dyDescent="0.25">
      <c r="A69577"/>
      <c r="B69577"/>
      <c r="C69577"/>
      <c r="E69577"/>
      <c r="F69577"/>
    </row>
    <row r="69578" spans="1:6" x14ac:dyDescent="0.25">
      <c r="A69578"/>
      <c r="B69578"/>
      <c r="C69578"/>
      <c r="E69578"/>
      <c r="F69578"/>
    </row>
    <row r="69579" spans="1:6" x14ac:dyDescent="0.25">
      <c r="A69579"/>
      <c r="B69579"/>
      <c r="C69579"/>
      <c r="E69579"/>
      <c r="F69579"/>
    </row>
    <row r="69580" spans="1:6" x14ac:dyDescent="0.25">
      <c r="A69580"/>
      <c r="B69580"/>
      <c r="C69580"/>
      <c r="E69580"/>
      <c r="F69580"/>
    </row>
    <row r="69581" spans="1:6" x14ac:dyDescent="0.25">
      <c r="A69581"/>
      <c r="B69581"/>
      <c r="C69581"/>
      <c r="E69581"/>
      <c r="F69581"/>
    </row>
    <row r="69582" spans="1:6" x14ac:dyDescent="0.25">
      <c r="A69582"/>
      <c r="B69582"/>
      <c r="C69582"/>
      <c r="E69582"/>
      <c r="F69582"/>
    </row>
    <row r="69583" spans="1:6" x14ac:dyDescent="0.25">
      <c r="A69583"/>
      <c r="B69583"/>
      <c r="C69583"/>
      <c r="E69583"/>
      <c r="F69583"/>
    </row>
    <row r="69584" spans="1:6" x14ac:dyDescent="0.25">
      <c r="A69584"/>
      <c r="B69584"/>
      <c r="C69584"/>
      <c r="E69584"/>
      <c r="F69584"/>
    </row>
    <row r="69585" spans="1:6" x14ac:dyDescent="0.25">
      <c r="A69585"/>
      <c r="B69585"/>
      <c r="C69585"/>
      <c r="E69585"/>
      <c r="F69585"/>
    </row>
    <row r="69586" spans="1:6" x14ac:dyDescent="0.25">
      <c r="A69586"/>
      <c r="B69586"/>
      <c r="C69586"/>
      <c r="E69586"/>
      <c r="F69586"/>
    </row>
    <row r="69587" spans="1:6" x14ac:dyDescent="0.25">
      <c r="A69587"/>
      <c r="B69587"/>
      <c r="C69587"/>
      <c r="E69587"/>
      <c r="F69587"/>
    </row>
    <row r="69588" spans="1:6" x14ac:dyDescent="0.25">
      <c r="A69588"/>
      <c r="B69588"/>
      <c r="C69588"/>
      <c r="E69588"/>
      <c r="F69588"/>
    </row>
    <row r="69589" spans="1:6" x14ac:dyDescent="0.25">
      <c r="A69589"/>
      <c r="B69589"/>
      <c r="C69589"/>
      <c r="E69589"/>
      <c r="F69589"/>
    </row>
    <row r="69590" spans="1:6" x14ac:dyDescent="0.25">
      <c r="A69590"/>
      <c r="B69590"/>
      <c r="C69590"/>
      <c r="E69590"/>
      <c r="F69590"/>
    </row>
    <row r="69591" spans="1:6" x14ac:dyDescent="0.25">
      <c r="A69591"/>
      <c r="B69591"/>
      <c r="C69591"/>
      <c r="E69591"/>
      <c r="F69591"/>
    </row>
    <row r="69592" spans="1:6" x14ac:dyDescent="0.25">
      <c r="A69592"/>
      <c r="B69592"/>
      <c r="C69592"/>
      <c r="E69592"/>
      <c r="F69592"/>
    </row>
    <row r="69593" spans="1:6" x14ac:dyDescent="0.25">
      <c r="A69593"/>
      <c r="B69593"/>
      <c r="C69593"/>
      <c r="E69593"/>
      <c r="F69593"/>
    </row>
    <row r="69594" spans="1:6" x14ac:dyDescent="0.25">
      <c r="A69594"/>
      <c r="B69594"/>
      <c r="C69594"/>
      <c r="E69594"/>
      <c r="F69594"/>
    </row>
    <row r="69595" spans="1:6" x14ac:dyDescent="0.25">
      <c r="A69595"/>
      <c r="B69595"/>
      <c r="C69595"/>
      <c r="E69595"/>
      <c r="F69595"/>
    </row>
    <row r="69596" spans="1:6" x14ac:dyDescent="0.25">
      <c r="A69596"/>
      <c r="B69596"/>
      <c r="C69596"/>
      <c r="E69596"/>
      <c r="F69596"/>
    </row>
    <row r="69597" spans="1:6" x14ac:dyDescent="0.25">
      <c r="A69597"/>
      <c r="B69597"/>
      <c r="C69597"/>
      <c r="E69597"/>
      <c r="F69597"/>
    </row>
    <row r="69598" spans="1:6" x14ac:dyDescent="0.25">
      <c r="A69598"/>
      <c r="B69598"/>
      <c r="C69598"/>
      <c r="E69598"/>
      <c r="F69598"/>
    </row>
    <row r="69599" spans="1:6" x14ac:dyDescent="0.25">
      <c r="A69599"/>
      <c r="B69599"/>
      <c r="C69599"/>
      <c r="E69599"/>
      <c r="F69599"/>
    </row>
    <row r="69600" spans="1:6" x14ac:dyDescent="0.25">
      <c r="A69600"/>
      <c r="B69600"/>
      <c r="C69600"/>
      <c r="E69600"/>
      <c r="F69600"/>
    </row>
    <row r="69601" spans="1:6" x14ac:dyDescent="0.25">
      <c r="A69601"/>
      <c r="B69601"/>
      <c r="C69601"/>
      <c r="E69601"/>
      <c r="F69601"/>
    </row>
    <row r="69602" spans="1:6" x14ac:dyDescent="0.25">
      <c r="A69602"/>
      <c r="B69602"/>
      <c r="C69602"/>
      <c r="E69602"/>
      <c r="F69602"/>
    </row>
    <row r="69603" spans="1:6" x14ac:dyDescent="0.25">
      <c r="A69603"/>
      <c r="B69603"/>
      <c r="C69603"/>
      <c r="E69603"/>
      <c r="F69603"/>
    </row>
    <row r="69604" spans="1:6" x14ac:dyDescent="0.25">
      <c r="A69604"/>
      <c r="B69604"/>
      <c r="C69604"/>
      <c r="E69604"/>
      <c r="F69604"/>
    </row>
    <row r="69605" spans="1:6" x14ac:dyDescent="0.25">
      <c r="A69605"/>
      <c r="B69605"/>
      <c r="C69605"/>
      <c r="E69605"/>
      <c r="F69605"/>
    </row>
    <row r="69606" spans="1:6" x14ac:dyDescent="0.25">
      <c r="A69606"/>
      <c r="B69606"/>
      <c r="C69606"/>
      <c r="E69606"/>
      <c r="F69606"/>
    </row>
    <row r="69607" spans="1:6" x14ac:dyDescent="0.25">
      <c r="A69607"/>
      <c r="B69607"/>
      <c r="C69607"/>
      <c r="E69607"/>
      <c r="F69607"/>
    </row>
    <row r="69608" spans="1:6" x14ac:dyDescent="0.25">
      <c r="A69608"/>
      <c r="B69608"/>
      <c r="C69608"/>
      <c r="E69608"/>
      <c r="F69608"/>
    </row>
    <row r="69609" spans="1:6" x14ac:dyDescent="0.25">
      <c r="A69609"/>
      <c r="B69609"/>
      <c r="C69609"/>
      <c r="E69609"/>
      <c r="F69609"/>
    </row>
    <row r="69610" spans="1:6" x14ac:dyDescent="0.25">
      <c r="A69610"/>
      <c r="B69610"/>
      <c r="C69610"/>
      <c r="E69610"/>
      <c r="F69610"/>
    </row>
    <row r="69611" spans="1:6" x14ac:dyDescent="0.25">
      <c r="A69611"/>
      <c r="B69611"/>
      <c r="C69611"/>
      <c r="E69611"/>
      <c r="F69611"/>
    </row>
    <row r="69612" spans="1:6" x14ac:dyDescent="0.25">
      <c r="A69612"/>
      <c r="B69612"/>
      <c r="C69612"/>
      <c r="E69612"/>
      <c r="F69612"/>
    </row>
    <row r="69613" spans="1:6" x14ac:dyDescent="0.25">
      <c r="A69613"/>
      <c r="B69613"/>
      <c r="C69613"/>
      <c r="E69613"/>
      <c r="F69613"/>
    </row>
    <row r="69614" spans="1:6" x14ac:dyDescent="0.25">
      <c r="A69614"/>
      <c r="B69614"/>
      <c r="C69614"/>
      <c r="E69614"/>
      <c r="F69614"/>
    </row>
    <row r="69615" spans="1:6" x14ac:dyDescent="0.25">
      <c r="A69615"/>
      <c r="B69615"/>
      <c r="C69615"/>
      <c r="E69615"/>
      <c r="F69615"/>
    </row>
    <row r="69616" spans="1:6" x14ac:dyDescent="0.25">
      <c r="A69616"/>
      <c r="B69616"/>
      <c r="C69616"/>
      <c r="E69616"/>
      <c r="F69616"/>
    </row>
    <row r="69617" spans="1:6" x14ac:dyDescent="0.25">
      <c r="A69617"/>
      <c r="B69617"/>
      <c r="C69617"/>
      <c r="E69617"/>
      <c r="F69617"/>
    </row>
    <row r="69618" spans="1:6" x14ac:dyDescent="0.25">
      <c r="A69618"/>
      <c r="B69618"/>
      <c r="C69618"/>
      <c r="E69618"/>
      <c r="F69618"/>
    </row>
    <row r="69619" spans="1:6" x14ac:dyDescent="0.25">
      <c r="A69619"/>
      <c r="B69619"/>
      <c r="C69619"/>
      <c r="E69619"/>
      <c r="F69619"/>
    </row>
    <row r="69620" spans="1:6" x14ac:dyDescent="0.25">
      <c r="A69620"/>
      <c r="B69620"/>
      <c r="C69620"/>
      <c r="E69620"/>
      <c r="F69620"/>
    </row>
    <row r="69621" spans="1:6" x14ac:dyDescent="0.25">
      <c r="A69621"/>
      <c r="B69621"/>
      <c r="C69621"/>
      <c r="E69621"/>
      <c r="F69621"/>
    </row>
    <row r="69622" spans="1:6" x14ac:dyDescent="0.25">
      <c r="A69622"/>
      <c r="B69622"/>
      <c r="C69622"/>
      <c r="E69622"/>
      <c r="F69622"/>
    </row>
    <row r="69623" spans="1:6" x14ac:dyDescent="0.25">
      <c r="A69623"/>
      <c r="B69623"/>
      <c r="C69623"/>
      <c r="E69623"/>
      <c r="F69623"/>
    </row>
    <row r="69624" spans="1:6" x14ac:dyDescent="0.25">
      <c r="A69624"/>
      <c r="B69624"/>
      <c r="C69624"/>
      <c r="E69624"/>
      <c r="F69624"/>
    </row>
    <row r="69625" spans="1:6" x14ac:dyDescent="0.25">
      <c r="A69625"/>
      <c r="B69625"/>
      <c r="C69625"/>
      <c r="E69625"/>
      <c r="F69625"/>
    </row>
    <row r="69626" spans="1:6" x14ac:dyDescent="0.25">
      <c r="A69626"/>
      <c r="B69626"/>
      <c r="C69626"/>
      <c r="E69626"/>
      <c r="F69626"/>
    </row>
    <row r="69627" spans="1:6" x14ac:dyDescent="0.25">
      <c r="A69627"/>
      <c r="B69627"/>
      <c r="C69627"/>
      <c r="E69627"/>
      <c r="F69627"/>
    </row>
    <row r="69628" spans="1:6" x14ac:dyDescent="0.25">
      <c r="A69628"/>
      <c r="B69628"/>
      <c r="C69628"/>
      <c r="E69628"/>
      <c r="F69628"/>
    </row>
    <row r="69629" spans="1:6" x14ac:dyDescent="0.25">
      <c r="A69629"/>
      <c r="B69629"/>
      <c r="C69629"/>
      <c r="E69629"/>
      <c r="F69629"/>
    </row>
    <row r="69630" spans="1:6" x14ac:dyDescent="0.25">
      <c r="A69630"/>
      <c r="B69630"/>
      <c r="C69630"/>
      <c r="E69630"/>
      <c r="F69630"/>
    </row>
    <row r="69631" spans="1:6" x14ac:dyDescent="0.25">
      <c r="A69631"/>
      <c r="B69631"/>
      <c r="C69631"/>
      <c r="E69631"/>
      <c r="F69631"/>
    </row>
    <row r="69632" spans="1:6" x14ac:dyDescent="0.25">
      <c r="A69632"/>
      <c r="B69632"/>
      <c r="C69632"/>
      <c r="E69632"/>
      <c r="F69632"/>
    </row>
    <row r="69633" spans="1:6" x14ac:dyDescent="0.25">
      <c r="A69633"/>
      <c r="B69633"/>
      <c r="C69633"/>
      <c r="E69633"/>
      <c r="F69633"/>
    </row>
    <row r="69634" spans="1:6" x14ac:dyDescent="0.25">
      <c r="A69634"/>
      <c r="B69634"/>
      <c r="C69634"/>
      <c r="E69634"/>
      <c r="F69634"/>
    </row>
    <row r="69635" spans="1:6" x14ac:dyDescent="0.25">
      <c r="A69635"/>
      <c r="B69635"/>
      <c r="C69635"/>
      <c r="E69635"/>
      <c r="F69635"/>
    </row>
    <row r="69636" spans="1:6" x14ac:dyDescent="0.25">
      <c r="A69636"/>
      <c r="B69636"/>
      <c r="C69636"/>
      <c r="E69636"/>
      <c r="F69636"/>
    </row>
    <row r="69637" spans="1:6" x14ac:dyDescent="0.25">
      <c r="A69637"/>
      <c r="B69637"/>
      <c r="C69637"/>
      <c r="E69637"/>
      <c r="F69637"/>
    </row>
    <row r="69638" spans="1:6" x14ac:dyDescent="0.25">
      <c r="A69638"/>
      <c r="B69638"/>
      <c r="C69638"/>
      <c r="E69638"/>
      <c r="F69638"/>
    </row>
    <row r="69639" spans="1:6" x14ac:dyDescent="0.25">
      <c r="A69639"/>
      <c r="B69639"/>
      <c r="C69639"/>
      <c r="E69639"/>
      <c r="F69639"/>
    </row>
    <row r="69640" spans="1:6" x14ac:dyDescent="0.25">
      <c r="A69640"/>
      <c r="B69640"/>
      <c r="C69640"/>
      <c r="E69640"/>
      <c r="F69640"/>
    </row>
    <row r="69641" spans="1:6" x14ac:dyDescent="0.25">
      <c r="A69641"/>
      <c r="B69641"/>
      <c r="C69641"/>
      <c r="E69641"/>
      <c r="F69641"/>
    </row>
    <row r="69642" spans="1:6" x14ac:dyDescent="0.25">
      <c r="A69642"/>
      <c r="B69642"/>
      <c r="C69642"/>
      <c r="E69642"/>
      <c r="F69642"/>
    </row>
    <row r="69643" spans="1:6" x14ac:dyDescent="0.25">
      <c r="A69643"/>
      <c r="B69643"/>
      <c r="C69643"/>
      <c r="E69643"/>
      <c r="F69643"/>
    </row>
    <row r="69644" spans="1:6" x14ac:dyDescent="0.25">
      <c r="A69644"/>
      <c r="B69644"/>
      <c r="C69644"/>
      <c r="E69644"/>
      <c r="F69644"/>
    </row>
    <row r="69645" spans="1:6" x14ac:dyDescent="0.25">
      <c r="A69645"/>
      <c r="B69645"/>
      <c r="C69645"/>
      <c r="E69645"/>
      <c r="F69645"/>
    </row>
    <row r="69646" spans="1:6" x14ac:dyDescent="0.25">
      <c r="A69646"/>
      <c r="B69646"/>
      <c r="C69646"/>
      <c r="E69646"/>
      <c r="F69646"/>
    </row>
    <row r="69647" spans="1:6" x14ac:dyDescent="0.25">
      <c r="A69647"/>
      <c r="B69647"/>
      <c r="C69647"/>
      <c r="E69647"/>
      <c r="F69647"/>
    </row>
    <row r="69648" spans="1:6" x14ac:dyDescent="0.25">
      <c r="A69648"/>
      <c r="B69648"/>
      <c r="C69648"/>
      <c r="E69648"/>
      <c r="F69648"/>
    </row>
    <row r="69649" spans="1:6" x14ac:dyDescent="0.25">
      <c r="A69649"/>
      <c r="B69649"/>
      <c r="C69649"/>
      <c r="E69649"/>
      <c r="F69649"/>
    </row>
    <row r="69650" spans="1:6" x14ac:dyDescent="0.25">
      <c r="A69650"/>
      <c r="B69650"/>
      <c r="C69650"/>
      <c r="E69650"/>
      <c r="F69650"/>
    </row>
    <row r="69651" spans="1:6" x14ac:dyDescent="0.25">
      <c r="A69651"/>
      <c r="B69651"/>
      <c r="C69651"/>
      <c r="E69651"/>
      <c r="F69651"/>
    </row>
    <row r="69652" spans="1:6" x14ac:dyDescent="0.25">
      <c r="A69652"/>
      <c r="B69652"/>
      <c r="C69652"/>
      <c r="E69652"/>
      <c r="F69652"/>
    </row>
    <row r="69653" spans="1:6" x14ac:dyDescent="0.25">
      <c r="A69653"/>
      <c r="B69653"/>
      <c r="C69653"/>
      <c r="E69653"/>
      <c r="F69653"/>
    </row>
    <row r="69654" spans="1:6" x14ac:dyDescent="0.25">
      <c r="A69654"/>
      <c r="B69654"/>
      <c r="C69654"/>
      <c r="E69654"/>
      <c r="F69654"/>
    </row>
    <row r="69655" spans="1:6" x14ac:dyDescent="0.25">
      <c r="A69655"/>
      <c r="B69655"/>
      <c r="C69655"/>
      <c r="E69655"/>
      <c r="F69655"/>
    </row>
    <row r="69656" spans="1:6" x14ac:dyDescent="0.25">
      <c r="A69656"/>
      <c r="B69656"/>
      <c r="C69656"/>
      <c r="E69656"/>
      <c r="F69656"/>
    </row>
    <row r="69657" spans="1:6" x14ac:dyDescent="0.25">
      <c r="A69657"/>
      <c r="B69657"/>
      <c r="C69657"/>
      <c r="E69657"/>
      <c r="F69657"/>
    </row>
    <row r="69658" spans="1:6" x14ac:dyDescent="0.25">
      <c r="A69658"/>
      <c r="B69658"/>
      <c r="C69658"/>
      <c r="E69658"/>
      <c r="F69658"/>
    </row>
    <row r="69659" spans="1:6" x14ac:dyDescent="0.25">
      <c r="A69659"/>
      <c r="B69659"/>
      <c r="C69659"/>
      <c r="E69659"/>
      <c r="F69659"/>
    </row>
    <row r="69660" spans="1:6" x14ac:dyDescent="0.25">
      <c r="A69660"/>
      <c r="B69660"/>
      <c r="C69660"/>
      <c r="E69660"/>
      <c r="F69660"/>
    </row>
    <row r="69661" spans="1:6" x14ac:dyDescent="0.25">
      <c r="A69661"/>
      <c r="B69661"/>
      <c r="C69661"/>
      <c r="E69661"/>
      <c r="F69661"/>
    </row>
    <row r="69662" spans="1:6" x14ac:dyDescent="0.25">
      <c r="A69662"/>
      <c r="B69662"/>
      <c r="C69662"/>
      <c r="E69662"/>
      <c r="F69662"/>
    </row>
    <row r="69663" spans="1:6" x14ac:dyDescent="0.25">
      <c r="A69663"/>
      <c r="B69663"/>
      <c r="C69663"/>
      <c r="E69663"/>
      <c r="F69663"/>
    </row>
    <row r="69664" spans="1:6" x14ac:dyDescent="0.25">
      <c r="A69664"/>
      <c r="B69664"/>
      <c r="C69664"/>
      <c r="E69664"/>
      <c r="F69664"/>
    </row>
    <row r="69665" spans="1:6" x14ac:dyDescent="0.25">
      <c r="A69665"/>
      <c r="B69665"/>
      <c r="C69665"/>
      <c r="E69665"/>
      <c r="F69665"/>
    </row>
    <row r="69666" spans="1:6" x14ac:dyDescent="0.25">
      <c r="A69666"/>
      <c r="B69666"/>
      <c r="C69666"/>
      <c r="E69666"/>
      <c r="F69666"/>
    </row>
    <row r="69667" spans="1:6" x14ac:dyDescent="0.25">
      <c r="A69667"/>
      <c r="B69667"/>
      <c r="C69667"/>
      <c r="E69667"/>
      <c r="F69667"/>
    </row>
    <row r="69668" spans="1:6" x14ac:dyDescent="0.25">
      <c r="A69668"/>
      <c r="B69668"/>
      <c r="C69668"/>
      <c r="E69668"/>
      <c r="F69668"/>
    </row>
    <row r="69669" spans="1:6" x14ac:dyDescent="0.25">
      <c r="A69669"/>
      <c r="B69669"/>
      <c r="C69669"/>
      <c r="E69669"/>
      <c r="F69669"/>
    </row>
    <row r="69670" spans="1:6" x14ac:dyDescent="0.25">
      <c r="A69670"/>
      <c r="B69670"/>
      <c r="C69670"/>
      <c r="E69670"/>
      <c r="F69670"/>
    </row>
    <row r="69671" spans="1:6" x14ac:dyDescent="0.25">
      <c r="A69671"/>
      <c r="B69671"/>
      <c r="C69671"/>
      <c r="E69671"/>
      <c r="F69671"/>
    </row>
    <row r="69672" spans="1:6" x14ac:dyDescent="0.25">
      <c r="A69672"/>
      <c r="B69672"/>
      <c r="C69672"/>
      <c r="E69672"/>
      <c r="F69672"/>
    </row>
    <row r="69673" spans="1:6" x14ac:dyDescent="0.25">
      <c r="A69673"/>
      <c r="B69673"/>
      <c r="C69673"/>
      <c r="E69673"/>
      <c r="F69673"/>
    </row>
    <row r="69674" spans="1:6" x14ac:dyDescent="0.25">
      <c r="A69674"/>
      <c r="B69674"/>
      <c r="C69674"/>
      <c r="E69674"/>
      <c r="F69674"/>
    </row>
    <row r="69675" spans="1:6" x14ac:dyDescent="0.25">
      <c r="A69675"/>
      <c r="B69675"/>
      <c r="C69675"/>
      <c r="E69675"/>
      <c r="F69675"/>
    </row>
    <row r="69676" spans="1:6" x14ac:dyDescent="0.25">
      <c r="A69676"/>
      <c r="B69676"/>
      <c r="C69676"/>
      <c r="E69676"/>
      <c r="F69676"/>
    </row>
    <row r="69677" spans="1:6" x14ac:dyDescent="0.25">
      <c r="A69677"/>
      <c r="B69677"/>
      <c r="C69677"/>
      <c r="E69677"/>
      <c r="F69677"/>
    </row>
    <row r="69678" spans="1:6" x14ac:dyDescent="0.25">
      <c r="A69678"/>
      <c r="B69678"/>
      <c r="C69678"/>
      <c r="E69678"/>
      <c r="F69678"/>
    </row>
    <row r="69679" spans="1:6" x14ac:dyDescent="0.25">
      <c r="A69679"/>
      <c r="B69679"/>
      <c r="C69679"/>
      <c r="E69679"/>
      <c r="F69679"/>
    </row>
    <row r="69680" spans="1:6" x14ac:dyDescent="0.25">
      <c r="A69680"/>
      <c r="B69680"/>
      <c r="C69680"/>
      <c r="E69680"/>
      <c r="F69680"/>
    </row>
    <row r="69681" spans="1:6" x14ac:dyDescent="0.25">
      <c r="A69681"/>
      <c r="B69681"/>
      <c r="C69681"/>
      <c r="E69681"/>
      <c r="F69681"/>
    </row>
    <row r="69682" spans="1:6" x14ac:dyDescent="0.25">
      <c r="A69682"/>
      <c r="B69682"/>
      <c r="C69682"/>
      <c r="E69682"/>
      <c r="F69682"/>
    </row>
    <row r="69683" spans="1:6" x14ac:dyDescent="0.25">
      <c r="A69683"/>
      <c r="B69683"/>
      <c r="C69683"/>
      <c r="E69683"/>
      <c r="F69683"/>
    </row>
    <row r="69684" spans="1:6" x14ac:dyDescent="0.25">
      <c r="A69684"/>
      <c r="B69684"/>
      <c r="C69684"/>
      <c r="E69684"/>
      <c r="F69684"/>
    </row>
    <row r="69685" spans="1:6" x14ac:dyDescent="0.25">
      <c r="A69685"/>
      <c r="B69685"/>
      <c r="C69685"/>
      <c r="E69685"/>
      <c r="F69685"/>
    </row>
    <row r="69686" spans="1:6" x14ac:dyDescent="0.25">
      <c r="A69686"/>
      <c r="B69686"/>
      <c r="C69686"/>
      <c r="E69686"/>
      <c r="F69686"/>
    </row>
    <row r="69687" spans="1:6" x14ac:dyDescent="0.25">
      <c r="A69687"/>
      <c r="B69687"/>
      <c r="C69687"/>
      <c r="E69687"/>
      <c r="F69687"/>
    </row>
    <row r="69688" spans="1:6" x14ac:dyDescent="0.25">
      <c r="A69688"/>
      <c r="B69688"/>
      <c r="C69688"/>
      <c r="E69688"/>
      <c r="F69688"/>
    </row>
    <row r="69689" spans="1:6" x14ac:dyDescent="0.25">
      <c r="A69689"/>
      <c r="B69689"/>
      <c r="C69689"/>
      <c r="E69689"/>
      <c r="F69689"/>
    </row>
    <row r="69690" spans="1:6" x14ac:dyDescent="0.25">
      <c r="A69690"/>
      <c r="B69690"/>
      <c r="C69690"/>
      <c r="E69690"/>
      <c r="F69690"/>
    </row>
    <row r="69691" spans="1:6" x14ac:dyDescent="0.25">
      <c r="A69691"/>
      <c r="B69691"/>
      <c r="C69691"/>
      <c r="E69691"/>
      <c r="F69691"/>
    </row>
    <row r="69692" spans="1:6" x14ac:dyDescent="0.25">
      <c r="A69692"/>
      <c r="B69692"/>
      <c r="C69692"/>
      <c r="E69692"/>
      <c r="F69692"/>
    </row>
    <row r="69693" spans="1:6" x14ac:dyDescent="0.25">
      <c r="A69693"/>
      <c r="B69693"/>
      <c r="C69693"/>
      <c r="E69693"/>
      <c r="F69693"/>
    </row>
    <row r="69694" spans="1:6" x14ac:dyDescent="0.25">
      <c r="A69694"/>
      <c r="B69694"/>
      <c r="C69694"/>
      <c r="E69694"/>
      <c r="F69694"/>
    </row>
    <row r="69695" spans="1:6" x14ac:dyDescent="0.25">
      <c r="A69695"/>
      <c r="B69695"/>
      <c r="C69695"/>
      <c r="E69695"/>
      <c r="F69695"/>
    </row>
    <row r="69696" spans="1:6" x14ac:dyDescent="0.25">
      <c r="A69696"/>
      <c r="B69696"/>
      <c r="C69696"/>
      <c r="E69696"/>
      <c r="F69696"/>
    </row>
    <row r="69697" spans="1:6" x14ac:dyDescent="0.25">
      <c r="A69697"/>
      <c r="B69697"/>
      <c r="C69697"/>
      <c r="E69697"/>
      <c r="F69697"/>
    </row>
    <row r="69698" spans="1:6" x14ac:dyDescent="0.25">
      <c r="A69698"/>
      <c r="B69698"/>
      <c r="C69698"/>
      <c r="E69698"/>
      <c r="F69698"/>
    </row>
    <row r="69699" spans="1:6" x14ac:dyDescent="0.25">
      <c r="A69699"/>
      <c r="B69699"/>
      <c r="C69699"/>
      <c r="E69699"/>
      <c r="F69699"/>
    </row>
    <row r="69700" spans="1:6" x14ac:dyDescent="0.25">
      <c r="A69700"/>
      <c r="B69700"/>
      <c r="C69700"/>
      <c r="E69700"/>
      <c r="F69700"/>
    </row>
    <row r="69701" spans="1:6" x14ac:dyDescent="0.25">
      <c r="A69701"/>
      <c r="B69701"/>
      <c r="C69701"/>
      <c r="E69701"/>
      <c r="F69701"/>
    </row>
    <row r="69702" spans="1:6" x14ac:dyDescent="0.25">
      <c r="A69702"/>
      <c r="B69702"/>
      <c r="C69702"/>
      <c r="E69702"/>
      <c r="F69702"/>
    </row>
    <row r="69703" spans="1:6" x14ac:dyDescent="0.25">
      <c r="A69703"/>
      <c r="B69703"/>
      <c r="C69703"/>
      <c r="E69703"/>
      <c r="F69703"/>
    </row>
    <row r="69704" spans="1:6" x14ac:dyDescent="0.25">
      <c r="A69704"/>
      <c r="B69704"/>
      <c r="C69704"/>
      <c r="E69704"/>
      <c r="F69704"/>
    </row>
    <row r="69705" spans="1:6" x14ac:dyDescent="0.25">
      <c r="A69705"/>
      <c r="B69705"/>
      <c r="C69705"/>
      <c r="E69705"/>
      <c r="F69705"/>
    </row>
    <row r="69706" spans="1:6" x14ac:dyDescent="0.25">
      <c r="A69706"/>
      <c r="B69706"/>
      <c r="C69706"/>
      <c r="E69706"/>
      <c r="F69706"/>
    </row>
    <row r="69707" spans="1:6" x14ac:dyDescent="0.25">
      <c r="A69707"/>
      <c r="B69707"/>
      <c r="C69707"/>
      <c r="E69707"/>
      <c r="F69707"/>
    </row>
    <row r="69708" spans="1:6" x14ac:dyDescent="0.25">
      <c r="A69708"/>
      <c r="B69708"/>
      <c r="C69708"/>
      <c r="E69708"/>
      <c r="F69708"/>
    </row>
    <row r="69709" spans="1:6" x14ac:dyDescent="0.25">
      <c r="A69709"/>
      <c r="B69709"/>
      <c r="C69709"/>
      <c r="E69709"/>
      <c r="F69709"/>
    </row>
    <row r="69710" spans="1:6" x14ac:dyDescent="0.25">
      <c r="A69710"/>
      <c r="B69710"/>
      <c r="C69710"/>
      <c r="E69710"/>
      <c r="F69710"/>
    </row>
    <row r="69711" spans="1:6" x14ac:dyDescent="0.25">
      <c r="A69711"/>
      <c r="B69711"/>
      <c r="C69711"/>
      <c r="E69711"/>
      <c r="F69711"/>
    </row>
    <row r="69712" spans="1:6" x14ac:dyDescent="0.25">
      <c r="A69712"/>
      <c r="B69712"/>
      <c r="C69712"/>
      <c r="E69712"/>
      <c r="F69712"/>
    </row>
    <row r="69713" spans="1:6" x14ac:dyDescent="0.25">
      <c r="A69713"/>
      <c r="B69713"/>
      <c r="C69713"/>
      <c r="E69713"/>
      <c r="F69713"/>
    </row>
    <row r="69714" spans="1:6" x14ac:dyDescent="0.25">
      <c r="A69714"/>
      <c r="B69714"/>
      <c r="C69714"/>
      <c r="E69714"/>
      <c r="F69714"/>
    </row>
    <row r="69715" spans="1:6" x14ac:dyDescent="0.25">
      <c r="A69715"/>
      <c r="B69715"/>
      <c r="C69715"/>
      <c r="E69715"/>
      <c r="F69715"/>
    </row>
    <row r="69716" spans="1:6" x14ac:dyDescent="0.25">
      <c r="A69716"/>
      <c r="B69716"/>
      <c r="C69716"/>
      <c r="E69716"/>
      <c r="F69716"/>
    </row>
    <row r="69717" spans="1:6" x14ac:dyDescent="0.25">
      <c r="A69717"/>
      <c r="B69717"/>
      <c r="C69717"/>
      <c r="E69717"/>
      <c r="F69717"/>
    </row>
    <row r="69718" spans="1:6" x14ac:dyDescent="0.25">
      <c r="A69718"/>
      <c r="B69718"/>
      <c r="C69718"/>
      <c r="E69718"/>
      <c r="F69718"/>
    </row>
    <row r="69719" spans="1:6" x14ac:dyDescent="0.25">
      <c r="A69719"/>
      <c r="B69719"/>
      <c r="C69719"/>
      <c r="E69719"/>
      <c r="F69719"/>
    </row>
    <row r="69720" spans="1:6" x14ac:dyDescent="0.25">
      <c r="A69720"/>
      <c r="B69720"/>
      <c r="C69720"/>
      <c r="E69720"/>
      <c r="F69720"/>
    </row>
    <row r="69721" spans="1:6" x14ac:dyDescent="0.25">
      <c r="A69721"/>
      <c r="B69721"/>
      <c r="C69721"/>
      <c r="E69721"/>
      <c r="F69721"/>
    </row>
    <row r="69722" spans="1:6" x14ac:dyDescent="0.25">
      <c r="A69722"/>
      <c r="B69722"/>
      <c r="C69722"/>
      <c r="E69722"/>
      <c r="F69722"/>
    </row>
    <row r="69723" spans="1:6" x14ac:dyDescent="0.25">
      <c r="A69723"/>
      <c r="B69723"/>
      <c r="C69723"/>
      <c r="E69723"/>
      <c r="F69723"/>
    </row>
    <row r="69724" spans="1:6" x14ac:dyDescent="0.25">
      <c r="A69724"/>
      <c r="B69724"/>
      <c r="C69724"/>
      <c r="E69724"/>
      <c r="F69724"/>
    </row>
    <row r="69725" spans="1:6" x14ac:dyDescent="0.25">
      <c r="A69725"/>
      <c r="B69725"/>
      <c r="C69725"/>
      <c r="E69725"/>
      <c r="F69725"/>
    </row>
    <row r="69726" spans="1:6" x14ac:dyDescent="0.25">
      <c r="A69726"/>
      <c r="B69726"/>
      <c r="C69726"/>
      <c r="E69726"/>
      <c r="F69726"/>
    </row>
    <row r="69727" spans="1:6" x14ac:dyDescent="0.25">
      <c r="A69727"/>
      <c r="B69727"/>
      <c r="C69727"/>
      <c r="E69727"/>
      <c r="F69727"/>
    </row>
    <row r="69728" spans="1:6" x14ac:dyDescent="0.25">
      <c r="A69728"/>
      <c r="B69728"/>
      <c r="C69728"/>
      <c r="E69728"/>
      <c r="F69728"/>
    </row>
    <row r="69729" spans="1:6" x14ac:dyDescent="0.25">
      <c r="A69729"/>
      <c r="B69729"/>
      <c r="C69729"/>
      <c r="E69729"/>
      <c r="F69729"/>
    </row>
    <row r="69730" spans="1:6" x14ac:dyDescent="0.25">
      <c r="A69730"/>
      <c r="B69730"/>
      <c r="C69730"/>
      <c r="E69730"/>
      <c r="F69730"/>
    </row>
    <row r="69731" spans="1:6" x14ac:dyDescent="0.25">
      <c r="A69731"/>
      <c r="B69731"/>
      <c r="C69731"/>
      <c r="E69731"/>
      <c r="F69731"/>
    </row>
    <row r="69732" spans="1:6" x14ac:dyDescent="0.25">
      <c r="A69732"/>
      <c r="B69732"/>
      <c r="C69732"/>
      <c r="E69732"/>
      <c r="F69732"/>
    </row>
    <row r="69733" spans="1:6" x14ac:dyDescent="0.25">
      <c r="A69733"/>
      <c r="B69733"/>
      <c r="C69733"/>
      <c r="E69733"/>
      <c r="F69733"/>
    </row>
    <row r="69734" spans="1:6" x14ac:dyDescent="0.25">
      <c r="A69734"/>
      <c r="B69734"/>
      <c r="C69734"/>
      <c r="E69734"/>
      <c r="F69734"/>
    </row>
    <row r="69735" spans="1:6" x14ac:dyDescent="0.25">
      <c r="A69735"/>
      <c r="B69735"/>
      <c r="C69735"/>
      <c r="E69735"/>
      <c r="F69735"/>
    </row>
    <row r="69736" spans="1:6" x14ac:dyDescent="0.25">
      <c r="A69736"/>
      <c r="B69736"/>
      <c r="C69736"/>
      <c r="E69736"/>
      <c r="F69736"/>
    </row>
    <row r="69737" spans="1:6" x14ac:dyDescent="0.25">
      <c r="A69737"/>
      <c r="B69737"/>
      <c r="C69737"/>
      <c r="E69737"/>
      <c r="F69737"/>
    </row>
    <row r="69738" spans="1:6" x14ac:dyDescent="0.25">
      <c r="A69738"/>
      <c r="B69738"/>
      <c r="C69738"/>
      <c r="E69738"/>
      <c r="F69738"/>
    </row>
    <row r="69739" spans="1:6" x14ac:dyDescent="0.25">
      <c r="A69739"/>
      <c r="B69739"/>
      <c r="C69739"/>
      <c r="E69739"/>
      <c r="F69739"/>
    </row>
    <row r="69740" spans="1:6" x14ac:dyDescent="0.25">
      <c r="A69740"/>
      <c r="B69740"/>
      <c r="C69740"/>
      <c r="E69740"/>
      <c r="F69740"/>
    </row>
    <row r="69741" spans="1:6" x14ac:dyDescent="0.25">
      <c r="A69741"/>
      <c r="B69741"/>
      <c r="C69741"/>
      <c r="E69741"/>
      <c r="F69741"/>
    </row>
    <row r="69742" spans="1:6" x14ac:dyDescent="0.25">
      <c r="A69742"/>
      <c r="B69742"/>
      <c r="C69742"/>
      <c r="E69742"/>
      <c r="F69742"/>
    </row>
    <row r="69743" spans="1:6" x14ac:dyDescent="0.25">
      <c r="A69743"/>
      <c r="B69743"/>
      <c r="C69743"/>
      <c r="E69743"/>
      <c r="F69743"/>
    </row>
    <row r="69744" spans="1:6" x14ac:dyDescent="0.25">
      <c r="A69744"/>
      <c r="B69744"/>
      <c r="C69744"/>
      <c r="E69744"/>
      <c r="F69744"/>
    </row>
    <row r="69745" spans="1:6" x14ac:dyDescent="0.25">
      <c r="A69745"/>
      <c r="B69745"/>
      <c r="C69745"/>
      <c r="E69745"/>
      <c r="F69745"/>
    </row>
    <row r="69746" spans="1:6" x14ac:dyDescent="0.25">
      <c r="A69746"/>
      <c r="B69746"/>
      <c r="C69746"/>
      <c r="E69746"/>
      <c r="F69746"/>
    </row>
    <row r="69747" spans="1:6" x14ac:dyDescent="0.25">
      <c r="A69747"/>
      <c r="B69747"/>
      <c r="C69747"/>
      <c r="E69747"/>
      <c r="F69747"/>
    </row>
    <row r="69748" spans="1:6" x14ac:dyDescent="0.25">
      <c r="A69748"/>
      <c r="B69748"/>
      <c r="C69748"/>
      <c r="E69748"/>
      <c r="F69748"/>
    </row>
    <row r="69749" spans="1:6" x14ac:dyDescent="0.25">
      <c r="A69749"/>
      <c r="B69749"/>
      <c r="C69749"/>
      <c r="E69749"/>
      <c r="F69749"/>
    </row>
    <row r="69750" spans="1:6" x14ac:dyDescent="0.25">
      <c r="A69750"/>
      <c r="B69750"/>
      <c r="C69750"/>
      <c r="E69750"/>
      <c r="F69750"/>
    </row>
    <row r="69751" spans="1:6" x14ac:dyDescent="0.25">
      <c r="A69751"/>
      <c r="B69751"/>
      <c r="C69751"/>
      <c r="E69751"/>
      <c r="F69751"/>
    </row>
    <row r="69752" spans="1:6" x14ac:dyDescent="0.25">
      <c r="A69752"/>
      <c r="B69752"/>
      <c r="C69752"/>
      <c r="E69752"/>
      <c r="F69752"/>
    </row>
    <row r="69753" spans="1:6" x14ac:dyDescent="0.25">
      <c r="A69753"/>
      <c r="B69753"/>
      <c r="C69753"/>
      <c r="E69753"/>
      <c r="F69753"/>
    </row>
    <row r="69754" spans="1:6" x14ac:dyDescent="0.25">
      <c r="A69754"/>
      <c r="B69754"/>
      <c r="C69754"/>
      <c r="E69754"/>
      <c r="F69754"/>
    </row>
    <row r="69755" spans="1:6" x14ac:dyDescent="0.25">
      <c r="A69755"/>
      <c r="B69755"/>
      <c r="C69755"/>
      <c r="E69755"/>
      <c r="F69755"/>
    </row>
    <row r="69756" spans="1:6" x14ac:dyDescent="0.25">
      <c r="A69756"/>
      <c r="B69756"/>
      <c r="C69756"/>
      <c r="E69756"/>
      <c r="F69756"/>
    </row>
    <row r="69757" spans="1:6" x14ac:dyDescent="0.25">
      <c r="A69757"/>
      <c r="B69757"/>
      <c r="C69757"/>
      <c r="E69757"/>
      <c r="F69757"/>
    </row>
    <row r="69758" spans="1:6" x14ac:dyDescent="0.25">
      <c r="A69758"/>
      <c r="B69758"/>
      <c r="C69758"/>
      <c r="E69758"/>
      <c r="F69758"/>
    </row>
    <row r="69759" spans="1:6" x14ac:dyDescent="0.25">
      <c r="A69759"/>
      <c r="B69759"/>
      <c r="C69759"/>
      <c r="E69759"/>
      <c r="F69759"/>
    </row>
    <row r="69760" spans="1:6" x14ac:dyDescent="0.25">
      <c r="A69760"/>
      <c r="B69760"/>
      <c r="C69760"/>
      <c r="E69760"/>
      <c r="F69760"/>
    </row>
    <row r="69761" spans="1:6" x14ac:dyDescent="0.25">
      <c r="A69761"/>
      <c r="B69761"/>
      <c r="C69761"/>
      <c r="E69761"/>
      <c r="F69761"/>
    </row>
    <row r="69762" spans="1:6" x14ac:dyDescent="0.25">
      <c r="A69762"/>
      <c r="B69762"/>
      <c r="C69762"/>
      <c r="E69762"/>
      <c r="F69762"/>
    </row>
    <row r="69763" spans="1:6" x14ac:dyDescent="0.25">
      <c r="A69763"/>
      <c r="B69763"/>
      <c r="C69763"/>
      <c r="E69763"/>
      <c r="F69763"/>
    </row>
    <row r="69764" spans="1:6" x14ac:dyDescent="0.25">
      <c r="A69764"/>
      <c r="B69764"/>
      <c r="C69764"/>
      <c r="E69764"/>
      <c r="F69764"/>
    </row>
    <row r="69765" spans="1:6" x14ac:dyDescent="0.25">
      <c r="A69765"/>
      <c r="B69765"/>
      <c r="C69765"/>
      <c r="E69765"/>
      <c r="F69765"/>
    </row>
    <row r="69766" spans="1:6" x14ac:dyDescent="0.25">
      <c r="A69766"/>
      <c r="B69766"/>
      <c r="C69766"/>
      <c r="E69766"/>
      <c r="F69766"/>
    </row>
    <row r="69767" spans="1:6" x14ac:dyDescent="0.25">
      <c r="A69767"/>
      <c r="B69767"/>
      <c r="C69767"/>
      <c r="E69767"/>
      <c r="F69767"/>
    </row>
    <row r="69768" spans="1:6" x14ac:dyDescent="0.25">
      <c r="A69768"/>
      <c r="B69768"/>
      <c r="C69768"/>
      <c r="E69768"/>
      <c r="F69768"/>
    </row>
    <row r="69769" spans="1:6" x14ac:dyDescent="0.25">
      <c r="A69769"/>
      <c r="B69769"/>
      <c r="C69769"/>
      <c r="E69769"/>
      <c r="F69769"/>
    </row>
    <row r="69770" spans="1:6" x14ac:dyDescent="0.25">
      <c r="A69770"/>
      <c r="B69770"/>
      <c r="C69770"/>
      <c r="E69770"/>
      <c r="F69770"/>
    </row>
    <row r="69771" spans="1:6" x14ac:dyDescent="0.25">
      <c r="A69771"/>
      <c r="B69771"/>
      <c r="C69771"/>
      <c r="E69771"/>
      <c r="F69771"/>
    </row>
    <row r="69772" spans="1:6" x14ac:dyDescent="0.25">
      <c r="A69772"/>
      <c r="B69772"/>
      <c r="C69772"/>
      <c r="E69772"/>
      <c r="F69772"/>
    </row>
    <row r="69773" spans="1:6" x14ac:dyDescent="0.25">
      <c r="A69773"/>
      <c r="B69773"/>
      <c r="C69773"/>
      <c r="E69773"/>
      <c r="F69773"/>
    </row>
    <row r="69774" spans="1:6" x14ac:dyDescent="0.25">
      <c r="A69774"/>
      <c r="B69774"/>
      <c r="C69774"/>
      <c r="E69774"/>
      <c r="F69774"/>
    </row>
    <row r="69775" spans="1:6" x14ac:dyDescent="0.25">
      <c r="A69775"/>
      <c r="B69775"/>
      <c r="C69775"/>
      <c r="E69775"/>
      <c r="F69775"/>
    </row>
    <row r="69776" spans="1:6" x14ac:dyDescent="0.25">
      <c r="A69776"/>
      <c r="B69776"/>
      <c r="C69776"/>
      <c r="E69776"/>
      <c r="F69776"/>
    </row>
    <row r="69777" spans="1:6" x14ac:dyDescent="0.25">
      <c r="A69777"/>
      <c r="B69777"/>
      <c r="C69777"/>
      <c r="E69777"/>
      <c r="F69777"/>
    </row>
    <row r="69778" spans="1:6" x14ac:dyDescent="0.25">
      <c r="A69778"/>
      <c r="B69778"/>
      <c r="C69778"/>
      <c r="E69778"/>
      <c r="F69778"/>
    </row>
    <row r="69779" spans="1:6" x14ac:dyDescent="0.25">
      <c r="A69779"/>
      <c r="B69779"/>
      <c r="C69779"/>
      <c r="E69779"/>
      <c r="F69779"/>
    </row>
    <row r="69780" spans="1:6" x14ac:dyDescent="0.25">
      <c r="A69780"/>
      <c r="B69780"/>
      <c r="C69780"/>
      <c r="E69780"/>
      <c r="F69780"/>
    </row>
    <row r="69781" spans="1:6" x14ac:dyDescent="0.25">
      <c r="A69781"/>
      <c r="B69781"/>
      <c r="C69781"/>
      <c r="E69781"/>
      <c r="F69781"/>
    </row>
    <row r="69782" spans="1:6" x14ac:dyDescent="0.25">
      <c r="A69782"/>
      <c r="B69782"/>
      <c r="C69782"/>
      <c r="E69782"/>
      <c r="F69782"/>
    </row>
    <row r="69783" spans="1:6" x14ac:dyDescent="0.25">
      <c r="A69783"/>
      <c r="B69783"/>
      <c r="C69783"/>
      <c r="E69783"/>
      <c r="F69783"/>
    </row>
    <row r="69784" spans="1:6" x14ac:dyDescent="0.25">
      <c r="A69784"/>
      <c r="B69784"/>
      <c r="C69784"/>
      <c r="E69784"/>
      <c r="F69784"/>
    </row>
    <row r="69785" spans="1:6" x14ac:dyDescent="0.25">
      <c r="A69785"/>
      <c r="B69785"/>
      <c r="C69785"/>
      <c r="E69785"/>
      <c r="F69785"/>
    </row>
    <row r="69786" spans="1:6" x14ac:dyDescent="0.25">
      <c r="A69786"/>
      <c r="B69786"/>
      <c r="C69786"/>
      <c r="E69786"/>
      <c r="F69786"/>
    </row>
    <row r="69787" spans="1:6" x14ac:dyDescent="0.25">
      <c r="A69787"/>
      <c r="B69787"/>
      <c r="C69787"/>
      <c r="E69787"/>
      <c r="F69787"/>
    </row>
    <row r="69788" spans="1:6" x14ac:dyDescent="0.25">
      <c r="A69788"/>
      <c r="B69788"/>
      <c r="C69788"/>
      <c r="E69788"/>
      <c r="F69788"/>
    </row>
    <row r="69789" spans="1:6" x14ac:dyDescent="0.25">
      <c r="A69789"/>
      <c r="B69789"/>
      <c r="C69789"/>
      <c r="E69789"/>
      <c r="F69789"/>
    </row>
    <row r="69790" spans="1:6" x14ac:dyDescent="0.25">
      <c r="A69790"/>
      <c r="B69790"/>
      <c r="C69790"/>
      <c r="E69790"/>
      <c r="F69790"/>
    </row>
    <row r="69791" spans="1:6" x14ac:dyDescent="0.25">
      <c r="A69791"/>
      <c r="B69791"/>
      <c r="C69791"/>
      <c r="E69791"/>
      <c r="F69791"/>
    </row>
    <row r="69792" spans="1:6" x14ac:dyDescent="0.25">
      <c r="A69792"/>
      <c r="B69792"/>
      <c r="C69792"/>
      <c r="E69792"/>
      <c r="F69792"/>
    </row>
    <row r="69793" spans="1:6" x14ac:dyDescent="0.25">
      <c r="A69793"/>
      <c r="B69793"/>
      <c r="C69793"/>
      <c r="E69793"/>
      <c r="F69793"/>
    </row>
    <row r="69794" spans="1:6" x14ac:dyDescent="0.25">
      <c r="A69794"/>
      <c r="B69794"/>
      <c r="C69794"/>
      <c r="E69794"/>
      <c r="F69794"/>
    </row>
    <row r="69795" spans="1:6" x14ac:dyDescent="0.25">
      <c r="A69795"/>
      <c r="B69795"/>
      <c r="C69795"/>
      <c r="E69795"/>
      <c r="F69795"/>
    </row>
    <row r="69796" spans="1:6" x14ac:dyDescent="0.25">
      <c r="A69796"/>
      <c r="B69796"/>
      <c r="C69796"/>
      <c r="E69796"/>
      <c r="F69796"/>
    </row>
    <row r="69797" spans="1:6" x14ac:dyDescent="0.25">
      <c r="A69797"/>
      <c r="B69797"/>
      <c r="C69797"/>
      <c r="E69797"/>
      <c r="F69797"/>
    </row>
    <row r="69798" spans="1:6" x14ac:dyDescent="0.25">
      <c r="A69798"/>
      <c r="B69798"/>
      <c r="C69798"/>
      <c r="E69798"/>
      <c r="F69798"/>
    </row>
    <row r="69799" spans="1:6" x14ac:dyDescent="0.25">
      <c r="A69799"/>
      <c r="B69799"/>
      <c r="C69799"/>
      <c r="E69799"/>
      <c r="F69799"/>
    </row>
    <row r="69800" spans="1:6" x14ac:dyDescent="0.25">
      <c r="A69800"/>
      <c r="B69800"/>
      <c r="C69800"/>
      <c r="E69800"/>
      <c r="F69800"/>
    </row>
    <row r="69801" spans="1:6" x14ac:dyDescent="0.25">
      <c r="A69801"/>
      <c r="B69801"/>
      <c r="C69801"/>
      <c r="E69801"/>
      <c r="F69801"/>
    </row>
    <row r="69802" spans="1:6" x14ac:dyDescent="0.25">
      <c r="A69802"/>
      <c r="B69802"/>
      <c r="C69802"/>
      <c r="E69802"/>
      <c r="F69802"/>
    </row>
    <row r="69803" spans="1:6" x14ac:dyDescent="0.25">
      <c r="A69803"/>
      <c r="B69803"/>
      <c r="C69803"/>
      <c r="E69803"/>
      <c r="F69803"/>
    </row>
    <row r="69804" spans="1:6" x14ac:dyDescent="0.25">
      <c r="A69804"/>
      <c r="B69804"/>
      <c r="C69804"/>
      <c r="E69804"/>
      <c r="F69804"/>
    </row>
    <row r="69805" spans="1:6" x14ac:dyDescent="0.25">
      <c r="A69805"/>
      <c r="B69805"/>
      <c r="C69805"/>
      <c r="E69805"/>
      <c r="F69805"/>
    </row>
    <row r="69806" spans="1:6" x14ac:dyDescent="0.25">
      <c r="A69806"/>
      <c r="B69806"/>
      <c r="C69806"/>
      <c r="E69806"/>
      <c r="F69806"/>
    </row>
    <row r="69807" spans="1:6" x14ac:dyDescent="0.25">
      <c r="A69807"/>
      <c r="B69807"/>
      <c r="C69807"/>
      <c r="E69807"/>
      <c r="F69807"/>
    </row>
    <row r="69808" spans="1:6" x14ac:dyDescent="0.25">
      <c r="A69808"/>
      <c r="B69808"/>
      <c r="C69808"/>
      <c r="E69808"/>
      <c r="F69808"/>
    </row>
    <row r="69809" spans="1:6" x14ac:dyDescent="0.25">
      <c r="A69809"/>
      <c r="B69809"/>
      <c r="C69809"/>
      <c r="E69809"/>
      <c r="F69809"/>
    </row>
    <row r="69810" spans="1:6" x14ac:dyDescent="0.25">
      <c r="A69810"/>
      <c r="B69810"/>
      <c r="C69810"/>
      <c r="E69810"/>
      <c r="F69810"/>
    </row>
    <row r="69811" spans="1:6" x14ac:dyDescent="0.25">
      <c r="A69811"/>
      <c r="B69811"/>
      <c r="C69811"/>
      <c r="E69811"/>
      <c r="F69811"/>
    </row>
    <row r="69812" spans="1:6" x14ac:dyDescent="0.25">
      <c r="A69812"/>
      <c r="B69812"/>
      <c r="C69812"/>
      <c r="E69812"/>
      <c r="F69812"/>
    </row>
    <row r="69813" spans="1:6" x14ac:dyDescent="0.25">
      <c r="A69813"/>
      <c r="B69813"/>
      <c r="C69813"/>
      <c r="E69813"/>
      <c r="F69813"/>
    </row>
    <row r="69814" spans="1:6" x14ac:dyDescent="0.25">
      <c r="A69814"/>
      <c r="B69814"/>
      <c r="C69814"/>
      <c r="E69814"/>
      <c r="F69814"/>
    </row>
    <row r="69815" spans="1:6" x14ac:dyDescent="0.25">
      <c r="A69815"/>
      <c r="B69815"/>
      <c r="C69815"/>
      <c r="E69815"/>
      <c r="F69815"/>
    </row>
    <row r="69816" spans="1:6" x14ac:dyDescent="0.25">
      <c r="A69816"/>
      <c r="B69816"/>
      <c r="C69816"/>
      <c r="E69816"/>
      <c r="F69816"/>
    </row>
    <row r="69817" spans="1:6" x14ac:dyDescent="0.25">
      <c r="A69817"/>
      <c r="B69817"/>
      <c r="C69817"/>
      <c r="E69817"/>
      <c r="F69817"/>
    </row>
    <row r="69818" spans="1:6" x14ac:dyDescent="0.25">
      <c r="A69818"/>
      <c r="B69818"/>
      <c r="C69818"/>
      <c r="E69818"/>
      <c r="F69818"/>
    </row>
    <row r="69819" spans="1:6" x14ac:dyDescent="0.25">
      <c r="A69819"/>
      <c r="B69819"/>
      <c r="C69819"/>
      <c r="E69819"/>
      <c r="F69819"/>
    </row>
    <row r="69820" spans="1:6" x14ac:dyDescent="0.25">
      <c r="A69820"/>
      <c r="B69820"/>
      <c r="C69820"/>
      <c r="E69820"/>
      <c r="F69820"/>
    </row>
    <row r="69821" spans="1:6" x14ac:dyDescent="0.25">
      <c r="A69821"/>
      <c r="B69821"/>
      <c r="C69821"/>
      <c r="E69821"/>
      <c r="F69821"/>
    </row>
    <row r="69822" spans="1:6" x14ac:dyDescent="0.25">
      <c r="A69822"/>
      <c r="B69822"/>
      <c r="C69822"/>
      <c r="E69822"/>
      <c r="F69822"/>
    </row>
    <row r="69823" spans="1:6" x14ac:dyDescent="0.25">
      <c r="A69823"/>
      <c r="B69823"/>
      <c r="C69823"/>
      <c r="E69823"/>
      <c r="F69823"/>
    </row>
    <row r="69824" spans="1:6" x14ac:dyDescent="0.25">
      <c r="A69824"/>
      <c r="B69824"/>
      <c r="C69824"/>
      <c r="E69824"/>
      <c r="F69824"/>
    </row>
    <row r="69825" spans="1:6" x14ac:dyDescent="0.25">
      <c r="A69825"/>
      <c r="B69825"/>
      <c r="C69825"/>
      <c r="E69825"/>
      <c r="F69825"/>
    </row>
    <row r="69826" spans="1:6" x14ac:dyDescent="0.25">
      <c r="A69826"/>
      <c r="B69826"/>
      <c r="C69826"/>
      <c r="E69826"/>
      <c r="F69826"/>
    </row>
    <row r="69827" spans="1:6" x14ac:dyDescent="0.25">
      <c r="A69827"/>
      <c r="B69827"/>
      <c r="C69827"/>
      <c r="E69827"/>
      <c r="F69827"/>
    </row>
    <row r="69828" spans="1:6" x14ac:dyDescent="0.25">
      <c r="A69828"/>
      <c r="B69828"/>
      <c r="C69828"/>
      <c r="E69828"/>
      <c r="F69828"/>
    </row>
    <row r="69829" spans="1:6" x14ac:dyDescent="0.25">
      <c r="A69829"/>
      <c r="B69829"/>
      <c r="C69829"/>
      <c r="E69829"/>
      <c r="F69829"/>
    </row>
    <row r="69830" spans="1:6" x14ac:dyDescent="0.25">
      <c r="A69830"/>
      <c r="B69830"/>
      <c r="C69830"/>
      <c r="E69830"/>
      <c r="F69830"/>
    </row>
    <row r="69831" spans="1:6" x14ac:dyDescent="0.25">
      <c r="A69831"/>
      <c r="B69831"/>
      <c r="C69831"/>
      <c r="E69831"/>
      <c r="F69831"/>
    </row>
    <row r="69832" spans="1:6" x14ac:dyDescent="0.25">
      <c r="A69832"/>
      <c r="B69832"/>
      <c r="C69832"/>
      <c r="E69832"/>
      <c r="F69832"/>
    </row>
    <row r="69833" spans="1:6" x14ac:dyDescent="0.25">
      <c r="A69833"/>
      <c r="B69833"/>
      <c r="C69833"/>
      <c r="E69833"/>
      <c r="F69833"/>
    </row>
    <row r="69834" spans="1:6" x14ac:dyDescent="0.25">
      <c r="A69834"/>
      <c r="B69834"/>
      <c r="C69834"/>
      <c r="E69834"/>
      <c r="F69834"/>
    </row>
    <row r="69835" spans="1:6" x14ac:dyDescent="0.25">
      <c r="A69835"/>
      <c r="B69835"/>
      <c r="C69835"/>
      <c r="E69835"/>
      <c r="F69835"/>
    </row>
    <row r="69836" spans="1:6" x14ac:dyDescent="0.25">
      <c r="A69836"/>
      <c r="B69836"/>
      <c r="C69836"/>
      <c r="E69836"/>
      <c r="F69836"/>
    </row>
    <row r="69837" spans="1:6" x14ac:dyDescent="0.25">
      <c r="A69837"/>
      <c r="B69837"/>
      <c r="C69837"/>
      <c r="E69837"/>
      <c r="F69837"/>
    </row>
    <row r="69838" spans="1:6" x14ac:dyDescent="0.25">
      <c r="A69838"/>
      <c r="B69838"/>
      <c r="C69838"/>
      <c r="E69838"/>
      <c r="F69838"/>
    </row>
    <row r="69839" spans="1:6" x14ac:dyDescent="0.25">
      <c r="A69839"/>
      <c r="B69839"/>
      <c r="C69839"/>
      <c r="E69839"/>
      <c r="F69839"/>
    </row>
    <row r="69840" spans="1:6" x14ac:dyDescent="0.25">
      <c r="A69840"/>
      <c r="B69840"/>
      <c r="C69840"/>
      <c r="E69840"/>
      <c r="F69840"/>
    </row>
    <row r="69841" spans="1:6" x14ac:dyDescent="0.25">
      <c r="A69841"/>
      <c r="B69841"/>
      <c r="C69841"/>
      <c r="E69841"/>
      <c r="F69841"/>
    </row>
    <row r="69842" spans="1:6" x14ac:dyDescent="0.25">
      <c r="A69842"/>
      <c r="B69842"/>
      <c r="C69842"/>
      <c r="E69842"/>
      <c r="F69842"/>
    </row>
    <row r="69843" spans="1:6" x14ac:dyDescent="0.25">
      <c r="A69843"/>
      <c r="B69843"/>
      <c r="C69843"/>
      <c r="E69843"/>
      <c r="F69843"/>
    </row>
    <row r="69844" spans="1:6" x14ac:dyDescent="0.25">
      <c r="A69844"/>
      <c r="B69844"/>
      <c r="C69844"/>
      <c r="E69844"/>
      <c r="F69844"/>
    </row>
    <row r="69845" spans="1:6" x14ac:dyDescent="0.25">
      <c r="A69845"/>
      <c r="B69845"/>
      <c r="C69845"/>
      <c r="E69845"/>
      <c r="F69845"/>
    </row>
    <row r="69846" spans="1:6" x14ac:dyDescent="0.25">
      <c r="A69846"/>
      <c r="B69846"/>
      <c r="C69846"/>
      <c r="E69846"/>
      <c r="F69846"/>
    </row>
    <row r="69847" spans="1:6" x14ac:dyDescent="0.25">
      <c r="A69847"/>
      <c r="B69847"/>
      <c r="C69847"/>
      <c r="E69847"/>
      <c r="F69847"/>
    </row>
    <row r="69848" spans="1:6" x14ac:dyDescent="0.25">
      <c r="A69848"/>
      <c r="B69848"/>
      <c r="C69848"/>
      <c r="E69848"/>
      <c r="F69848"/>
    </row>
    <row r="69849" spans="1:6" x14ac:dyDescent="0.25">
      <c r="A69849"/>
      <c r="B69849"/>
      <c r="C69849"/>
      <c r="E69849"/>
      <c r="F69849"/>
    </row>
    <row r="69850" spans="1:6" x14ac:dyDescent="0.25">
      <c r="A69850"/>
      <c r="B69850"/>
      <c r="C69850"/>
      <c r="E69850"/>
      <c r="F69850"/>
    </row>
    <row r="69851" spans="1:6" x14ac:dyDescent="0.25">
      <c r="A69851"/>
      <c r="B69851"/>
      <c r="C69851"/>
      <c r="E69851"/>
      <c r="F69851"/>
    </row>
    <row r="69852" spans="1:6" x14ac:dyDescent="0.25">
      <c r="A69852"/>
      <c r="B69852"/>
      <c r="C69852"/>
      <c r="E69852"/>
      <c r="F69852"/>
    </row>
    <row r="69853" spans="1:6" x14ac:dyDescent="0.25">
      <c r="A69853"/>
      <c r="B69853"/>
      <c r="C69853"/>
      <c r="E69853"/>
      <c r="F69853"/>
    </row>
    <row r="69854" spans="1:6" x14ac:dyDescent="0.25">
      <c r="A69854"/>
      <c r="B69854"/>
      <c r="C69854"/>
      <c r="E69854"/>
      <c r="F69854"/>
    </row>
    <row r="69855" spans="1:6" x14ac:dyDescent="0.25">
      <c r="A69855"/>
      <c r="B69855"/>
      <c r="C69855"/>
      <c r="E69855"/>
      <c r="F69855"/>
    </row>
    <row r="69856" spans="1:6" x14ac:dyDescent="0.25">
      <c r="A69856"/>
      <c r="B69856"/>
      <c r="C69856"/>
      <c r="E69856"/>
      <c r="F69856"/>
    </row>
    <row r="69857" spans="1:6" x14ac:dyDescent="0.25">
      <c r="A69857"/>
      <c r="B69857"/>
      <c r="C69857"/>
      <c r="E69857"/>
      <c r="F69857"/>
    </row>
    <row r="69858" spans="1:6" x14ac:dyDescent="0.25">
      <c r="A69858"/>
      <c r="B69858"/>
      <c r="C69858"/>
      <c r="E69858"/>
      <c r="F69858"/>
    </row>
    <row r="69859" spans="1:6" x14ac:dyDescent="0.25">
      <c r="A69859"/>
      <c r="B69859"/>
      <c r="C69859"/>
      <c r="E69859"/>
      <c r="F69859"/>
    </row>
    <row r="69860" spans="1:6" x14ac:dyDescent="0.25">
      <c r="A69860"/>
      <c r="B69860"/>
      <c r="C69860"/>
      <c r="E69860"/>
      <c r="F69860"/>
    </row>
    <row r="69861" spans="1:6" x14ac:dyDescent="0.25">
      <c r="A69861"/>
      <c r="B69861"/>
      <c r="C69861"/>
      <c r="E69861"/>
      <c r="F69861"/>
    </row>
    <row r="69862" spans="1:6" x14ac:dyDescent="0.25">
      <c r="A69862"/>
      <c r="B69862"/>
      <c r="C69862"/>
      <c r="E69862"/>
      <c r="F69862"/>
    </row>
    <row r="69863" spans="1:6" x14ac:dyDescent="0.25">
      <c r="A69863"/>
      <c r="B69863"/>
      <c r="C69863"/>
      <c r="E69863"/>
      <c r="F69863"/>
    </row>
    <row r="69864" spans="1:6" x14ac:dyDescent="0.25">
      <c r="A69864"/>
      <c r="B69864"/>
      <c r="C69864"/>
      <c r="E69864"/>
      <c r="F69864"/>
    </row>
    <row r="69865" spans="1:6" x14ac:dyDescent="0.25">
      <c r="A69865"/>
      <c r="B69865"/>
      <c r="C69865"/>
      <c r="E69865"/>
      <c r="F69865"/>
    </row>
    <row r="69866" spans="1:6" x14ac:dyDescent="0.25">
      <c r="A69866"/>
      <c r="B69866"/>
      <c r="C69866"/>
      <c r="E69866"/>
      <c r="F69866"/>
    </row>
    <row r="69867" spans="1:6" x14ac:dyDescent="0.25">
      <c r="A69867"/>
      <c r="B69867"/>
      <c r="C69867"/>
      <c r="E69867"/>
      <c r="F69867"/>
    </row>
    <row r="69868" spans="1:6" x14ac:dyDescent="0.25">
      <c r="A69868"/>
      <c r="B69868"/>
      <c r="C69868"/>
      <c r="E69868"/>
      <c r="F69868"/>
    </row>
    <row r="69869" spans="1:6" x14ac:dyDescent="0.25">
      <c r="A69869"/>
      <c r="B69869"/>
      <c r="C69869"/>
      <c r="E69869"/>
      <c r="F69869"/>
    </row>
    <row r="69870" spans="1:6" x14ac:dyDescent="0.25">
      <c r="A69870"/>
      <c r="B69870"/>
      <c r="C69870"/>
      <c r="E69870"/>
      <c r="F69870"/>
    </row>
    <row r="69871" spans="1:6" x14ac:dyDescent="0.25">
      <c r="A69871"/>
      <c r="B69871"/>
      <c r="C69871"/>
      <c r="E69871"/>
      <c r="F69871"/>
    </row>
    <row r="69872" spans="1:6" x14ac:dyDescent="0.25">
      <c r="A69872"/>
      <c r="B69872"/>
      <c r="C69872"/>
      <c r="E69872"/>
      <c r="F69872"/>
    </row>
    <row r="69873" spans="1:6" x14ac:dyDescent="0.25">
      <c r="A69873"/>
      <c r="B69873"/>
      <c r="C69873"/>
      <c r="E69873"/>
      <c r="F69873"/>
    </row>
    <row r="69874" spans="1:6" x14ac:dyDescent="0.25">
      <c r="A69874"/>
      <c r="B69874"/>
      <c r="C69874"/>
      <c r="E69874"/>
      <c r="F69874"/>
    </row>
    <row r="69875" spans="1:6" x14ac:dyDescent="0.25">
      <c r="A69875"/>
      <c r="B69875"/>
      <c r="C69875"/>
      <c r="E69875"/>
      <c r="F69875"/>
    </row>
    <row r="69876" spans="1:6" x14ac:dyDescent="0.25">
      <c r="A69876"/>
      <c r="B69876"/>
      <c r="C69876"/>
      <c r="E69876"/>
      <c r="F69876"/>
    </row>
    <row r="69877" spans="1:6" x14ac:dyDescent="0.25">
      <c r="A69877"/>
      <c r="B69877"/>
      <c r="C69877"/>
      <c r="E69877"/>
      <c r="F69877"/>
    </row>
    <row r="69878" spans="1:6" x14ac:dyDescent="0.25">
      <c r="A69878"/>
      <c r="B69878"/>
      <c r="C69878"/>
      <c r="E69878"/>
      <c r="F69878"/>
    </row>
    <row r="69879" spans="1:6" x14ac:dyDescent="0.25">
      <c r="A69879"/>
      <c r="B69879"/>
      <c r="C69879"/>
      <c r="E69879"/>
      <c r="F69879"/>
    </row>
    <row r="69880" spans="1:6" x14ac:dyDescent="0.25">
      <c r="A69880"/>
      <c r="B69880"/>
      <c r="C69880"/>
      <c r="E69880"/>
      <c r="F69880"/>
    </row>
    <row r="69881" spans="1:6" x14ac:dyDescent="0.25">
      <c r="A69881"/>
      <c r="B69881"/>
      <c r="C69881"/>
      <c r="E69881"/>
      <c r="F69881"/>
    </row>
    <row r="69882" spans="1:6" x14ac:dyDescent="0.25">
      <c r="A69882"/>
      <c r="B69882"/>
      <c r="C69882"/>
      <c r="E69882"/>
      <c r="F69882"/>
    </row>
    <row r="69883" spans="1:6" x14ac:dyDescent="0.25">
      <c r="A69883"/>
      <c r="B69883"/>
      <c r="C69883"/>
      <c r="E69883"/>
      <c r="F69883"/>
    </row>
    <row r="69884" spans="1:6" x14ac:dyDescent="0.25">
      <c r="A69884"/>
      <c r="B69884"/>
      <c r="C69884"/>
      <c r="E69884"/>
      <c r="F69884"/>
    </row>
    <row r="69885" spans="1:6" x14ac:dyDescent="0.25">
      <c r="A69885"/>
      <c r="B69885"/>
      <c r="C69885"/>
      <c r="E69885"/>
      <c r="F69885"/>
    </row>
    <row r="69886" spans="1:6" x14ac:dyDescent="0.25">
      <c r="A69886"/>
      <c r="B69886"/>
      <c r="C69886"/>
      <c r="E69886"/>
      <c r="F69886"/>
    </row>
    <row r="69887" spans="1:6" x14ac:dyDescent="0.25">
      <c r="A69887"/>
      <c r="B69887"/>
      <c r="C69887"/>
      <c r="E69887"/>
      <c r="F69887"/>
    </row>
    <row r="69888" spans="1:6" x14ac:dyDescent="0.25">
      <c r="A69888"/>
      <c r="B69888"/>
      <c r="C69888"/>
      <c r="E69888"/>
      <c r="F69888"/>
    </row>
    <row r="69889" spans="1:6" x14ac:dyDescent="0.25">
      <c r="A69889"/>
      <c r="B69889"/>
      <c r="C69889"/>
      <c r="E69889"/>
      <c r="F69889"/>
    </row>
    <row r="69890" spans="1:6" x14ac:dyDescent="0.25">
      <c r="A69890"/>
      <c r="B69890"/>
      <c r="C69890"/>
      <c r="E69890"/>
      <c r="F69890"/>
    </row>
    <row r="69891" spans="1:6" x14ac:dyDescent="0.25">
      <c r="A69891"/>
      <c r="B69891"/>
      <c r="C69891"/>
      <c r="E69891"/>
      <c r="F69891"/>
    </row>
    <row r="69892" spans="1:6" x14ac:dyDescent="0.25">
      <c r="A69892"/>
      <c r="B69892"/>
      <c r="C69892"/>
      <c r="E69892"/>
      <c r="F69892"/>
    </row>
    <row r="69893" spans="1:6" x14ac:dyDescent="0.25">
      <c r="A69893"/>
      <c r="B69893"/>
      <c r="C69893"/>
      <c r="E69893"/>
      <c r="F69893"/>
    </row>
    <row r="69894" spans="1:6" x14ac:dyDescent="0.25">
      <c r="A69894"/>
      <c r="B69894"/>
      <c r="C69894"/>
      <c r="E69894"/>
      <c r="F69894"/>
    </row>
    <row r="69895" spans="1:6" x14ac:dyDescent="0.25">
      <c r="A69895"/>
      <c r="B69895"/>
      <c r="C69895"/>
      <c r="E69895"/>
      <c r="F69895"/>
    </row>
    <row r="69896" spans="1:6" x14ac:dyDescent="0.25">
      <c r="A69896"/>
      <c r="B69896"/>
      <c r="C69896"/>
      <c r="E69896"/>
      <c r="F69896"/>
    </row>
    <row r="69897" spans="1:6" x14ac:dyDescent="0.25">
      <c r="A69897"/>
      <c r="B69897"/>
      <c r="C69897"/>
      <c r="E69897"/>
      <c r="F69897"/>
    </row>
    <row r="69898" spans="1:6" x14ac:dyDescent="0.25">
      <c r="A69898"/>
      <c r="B69898"/>
      <c r="C69898"/>
      <c r="E69898"/>
      <c r="F69898"/>
    </row>
    <row r="69899" spans="1:6" x14ac:dyDescent="0.25">
      <c r="A69899"/>
      <c r="B69899"/>
      <c r="C69899"/>
      <c r="E69899"/>
      <c r="F69899"/>
    </row>
    <row r="69900" spans="1:6" x14ac:dyDescent="0.25">
      <c r="A69900"/>
      <c r="B69900"/>
      <c r="C69900"/>
      <c r="E69900"/>
      <c r="F69900"/>
    </row>
    <row r="69901" spans="1:6" x14ac:dyDescent="0.25">
      <c r="A69901"/>
      <c r="B69901"/>
      <c r="C69901"/>
      <c r="E69901"/>
      <c r="F69901"/>
    </row>
    <row r="69902" spans="1:6" x14ac:dyDescent="0.25">
      <c r="A69902"/>
      <c r="B69902"/>
      <c r="C69902"/>
      <c r="E69902"/>
      <c r="F69902"/>
    </row>
    <row r="69903" spans="1:6" x14ac:dyDescent="0.25">
      <c r="A69903"/>
      <c r="B69903"/>
      <c r="C69903"/>
      <c r="E69903"/>
      <c r="F69903"/>
    </row>
    <row r="69904" spans="1:6" x14ac:dyDescent="0.25">
      <c r="A69904"/>
      <c r="B69904"/>
      <c r="C69904"/>
      <c r="E69904"/>
      <c r="F69904"/>
    </row>
    <row r="69905" spans="1:6" x14ac:dyDescent="0.25">
      <c r="A69905"/>
      <c r="B69905"/>
      <c r="C69905"/>
      <c r="E69905"/>
      <c r="F69905"/>
    </row>
    <row r="69906" spans="1:6" x14ac:dyDescent="0.25">
      <c r="A69906"/>
      <c r="B69906"/>
      <c r="C69906"/>
      <c r="E69906"/>
      <c r="F69906"/>
    </row>
    <row r="69907" spans="1:6" x14ac:dyDescent="0.25">
      <c r="A69907"/>
      <c r="B69907"/>
      <c r="C69907"/>
      <c r="E69907"/>
      <c r="F69907"/>
    </row>
    <row r="69908" spans="1:6" x14ac:dyDescent="0.25">
      <c r="A69908"/>
      <c r="B69908"/>
      <c r="C69908"/>
      <c r="E69908"/>
      <c r="F69908"/>
    </row>
    <row r="69909" spans="1:6" x14ac:dyDescent="0.25">
      <c r="A69909"/>
      <c r="B69909"/>
      <c r="C69909"/>
      <c r="E69909"/>
      <c r="F69909"/>
    </row>
    <row r="69910" spans="1:6" x14ac:dyDescent="0.25">
      <c r="A69910"/>
      <c r="B69910"/>
      <c r="C69910"/>
      <c r="E69910"/>
      <c r="F69910"/>
    </row>
    <row r="69911" spans="1:6" x14ac:dyDescent="0.25">
      <c r="A69911"/>
      <c r="B69911"/>
      <c r="C69911"/>
      <c r="E69911"/>
      <c r="F69911"/>
    </row>
    <row r="69912" spans="1:6" x14ac:dyDescent="0.25">
      <c r="A69912"/>
      <c r="B69912"/>
      <c r="C69912"/>
      <c r="E69912"/>
      <c r="F69912"/>
    </row>
    <row r="69913" spans="1:6" x14ac:dyDescent="0.25">
      <c r="A69913"/>
      <c r="B69913"/>
      <c r="C69913"/>
      <c r="E69913"/>
      <c r="F69913"/>
    </row>
    <row r="69914" spans="1:6" x14ac:dyDescent="0.25">
      <c r="A69914"/>
      <c r="B69914"/>
      <c r="C69914"/>
      <c r="E69914"/>
      <c r="F69914"/>
    </row>
    <row r="69915" spans="1:6" x14ac:dyDescent="0.25">
      <c r="A69915"/>
      <c r="B69915"/>
      <c r="C69915"/>
      <c r="E69915"/>
      <c r="F69915"/>
    </row>
    <row r="69916" spans="1:6" x14ac:dyDescent="0.25">
      <c r="A69916"/>
      <c r="B69916"/>
      <c r="C69916"/>
      <c r="E69916"/>
      <c r="F69916"/>
    </row>
    <row r="69917" spans="1:6" x14ac:dyDescent="0.25">
      <c r="A69917"/>
      <c r="B69917"/>
      <c r="C69917"/>
      <c r="E69917"/>
      <c r="F69917"/>
    </row>
    <row r="69918" spans="1:6" x14ac:dyDescent="0.25">
      <c r="A69918"/>
      <c r="B69918"/>
      <c r="C69918"/>
      <c r="E69918"/>
      <c r="F69918"/>
    </row>
    <row r="69919" spans="1:6" x14ac:dyDescent="0.25">
      <c r="A69919"/>
      <c r="B69919"/>
      <c r="C69919"/>
      <c r="E69919"/>
      <c r="F69919"/>
    </row>
    <row r="69920" spans="1:6" x14ac:dyDescent="0.25">
      <c r="A69920"/>
      <c r="B69920"/>
      <c r="C69920"/>
      <c r="E69920"/>
      <c r="F69920"/>
    </row>
    <row r="69921" spans="1:6" x14ac:dyDescent="0.25">
      <c r="A69921"/>
      <c r="B69921"/>
      <c r="C69921"/>
      <c r="E69921"/>
      <c r="F69921"/>
    </row>
    <row r="69922" spans="1:6" x14ac:dyDescent="0.25">
      <c r="A69922"/>
      <c r="B69922"/>
      <c r="C69922"/>
      <c r="E69922"/>
      <c r="F69922"/>
    </row>
    <row r="69923" spans="1:6" x14ac:dyDescent="0.25">
      <c r="A69923"/>
      <c r="B69923"/>
      <c r="C69923"/>
      <c r="E69923"/>
      <c r="F69923"/>
    </row>
    <row r="69924" spans="1:6" x14ac:dyDescent="0.25">
      <c r="A69924"/>
      <c r="B69924"/>
      <c r="C69924"/>
      <c r="E69924"/>
      <c r="F69924"/>
    </row>
    <row r="69925" spans="1:6" x14ac:dyDescent="0.25">
      <c r="A69925"/>
      <c r="B69925"/>
      <c r="C69925"/>
      <c r="E69925"/>
      <c r="F69925"/>
    </row>
    <row r="69926" spans="1:6" x14ac:dyDescent="0.25">
      <c r="A69926"/>
      <c r="B69926"/>
      <c r="C69926"/>
      <c r="E69926"/>
      <c r="F69926"/>
    </row>
    <row r="69927" spans="1:6" x14ac:dyDescent="0.25">
      <c r="A69927"/>
      <c r="B69927"/>
      <c r="C69927"/>
      <c r="E69927"/>
      <c r="F69927"/>
    </row>
    <row r="69928" spans="1:6" x14ac:dyDescent="0.25">
      <c r="A69928"/>
      <c r="B69928"/>
      <c r="C69928"/>
      <c r="E69928"/>
      <c r="F69928"/>
    </row>
    <row r="69929" spans="1:6" x14ac:dyDescent="0.25">
      <c r="A69929"/>
      <c r="B69929"/>
      <c r="C69929"/>
      <c r="E69929"/>
      <c r="F69929"/>
    </row>
    <row r="69930" spans="1:6" x14ac:dyDescent="0.25">
      <c r="A69930"/>
      <c r="B69930"/>
      <c r="C69930"/>
      <c r="E69930"/>
      <c r="F69930"/>
    </row>
    <row r="69931" spans="1:6" x14ac:dyDescent="0.25">
      <c r="A69931"/>
      <c r="B69931"/>
      <c r="C69931"/>
      <c r="E69931"/>
      <c r="F69931"/>
    </row>
    <row r="69932" spans="1:6" x14ac:dyDescent="0.25">
      <c r="A69932"/>
      <c r="B69932"/>
      <c r="C69932"/>
      <c r="E69932"/>
      <c r="F69932"/>
    </row>
    <row r="69933" spans="1:6" x14ac:dyDescent="0.25">
      <c r="A69933"/>
      <c r="B69933"/>
      <c r="C69933"/>
      <c r="E69933"/>
      <c r="F69933"/>
    </row>
    <row r="69934" spans="1:6" x14ac:dyDescent="0.25">
      <c r="A69934"/>
      <c r="B69934"/>
      <c r="C69934"/>
      <c r="E69934"/>
      <c r="F69934"/>
    </row>
    <row r="69935" spans="1:6" x14ac:dyDescent="0.25">
      <c r="A69935"/>
      <c r="B69935"/>
      <c r="C69935"/>
      <c r="E69935"/>
      <c r="F69935"/>
    </row>
    <row r="69936" spans="1:6" x14ac:dyDescent="0.25">
      <c r="A69936"/>
      <c r="B69936"/>
      <c r="C69936"/>
      <c r="E69936"/>
      <c r="F69936"/>
    </row>
    <row r="69937" spans="1:6" x14ac:dyDescent="0.25">
      <c r="A69937"/>
      <c r="B69937"/>
      <c r="C69937"/>
      <c r="E69937"/>
      <c r="F69937"/>
    </row>
    <row r="69938" spans="1:6" x14ac:dyDescent="0.25">
      <c r="A69938"/>
      <c r="B69938"/>
      <c r="C69938"/>
      <c r="E69938"/>
      <c r="F69938"/>
    </row>
    <row r="69939" spans="1:6" x14ac:dyDescent="0.25">
      <c r="A69939"/>
      <c r="B69939"/>
      <c r="C69939"/>
      <c r="E69939"/>
      <c r="F69939"/>
    </row>
    <row r="69940" spans="1:6" x14ac:dyDescent="0.25">
      <c r="A69940"/>
      <c r="B69940"/>
      <c r="C69940"/>
      <c r="E69940"/>
      <c r="F69940"/>
    </row>
    <row r="69941" spans="1:6" x14ac:dyDescent="0.25">
      <c r="A69941"/>
      <c r="B69941"/>
      <c r="C69941"/>
      <c r="E69941"/>
      <c r="F69941"/>
    </row>
    <row r="69942" spans="1:6" x14ac:dyDescent="0.25">
      <c r="A69942"/>
      <c r="B69942"/>
      <c r="C69942"/>
      <c r="E69942"/>
      <c r="F69942"/>
    </row>
    <row r="69943" spans="1:6" x14ac:dyDescent="0.25">
      <c r="A69943"/>
      <c r="B69943"/>
      <c r="C69943"/>
      <c r="E69943"/>
      <c r="F69943"/>
    </row>
    <row r="69944" spans="1:6" x14ac:dyDescent="0.25">
      <c r="A69944"/>
      <c r="B69944"/>
      <c r="C69944"/>
      <c r="E69944"/>
      <c r="F69944"/>
    </row>
    <row r="69945" spans="1:6" x14ac:dyDescent="0.25">
      <c r="A69945"/>
      <c r="B69945"/>
      <c r="C69945"/>
      <c r="E69945"/>
      <c r="F69945"/>
    </row>
    <row r="69946" spans="1:6" x14ac:dyDescent="0.25">
      <c r="A69946"/>
      <c r="B69946"/>
      <c r="C69946"/>
      <c r="E69946"/>
      <c r="F69946"/>
    </row>
    <row r="69947" spans="1:6" x14ac:dyDescent="0.25">
      <c r="A69947"/>
      <c r="B69947"/>
      <c r="C69947"/>
      <c r="E69947"/>
      <c r="F69947"/>
    </row>
    <row r="69948" spans="1:6" x14ac:dyDescent="0.25">
      <c r="A69948"/>
      <c r="B69948"/>
      <c r="C69948"/>
      <c r="E69948"/>
      <c r="F69948"/>
    </row>
    <row r="69949" spans="1:6" x14ac:dyDescent="0.25">
      <c r="A69949"/>
      <c r="B69949"/>
      <c r="C69949"/>
      <c r="E69949"/>
      <c r="F69949"/>
    </row>
    <row r="69950" spans="1:6" x14ac:dyDescent="0.25">
      <c r="A69950"/>
      <c r="B69950"/>
      <c r="C69950"/>
      <c r="E69950"/>
      <c r="F69950"/>
    </row>
    <row r="69951" spans="1:6" x14ac:dyDescent="0.25">
      <c r="A69951"/>
      <c r="B69951"/>
      <c r="C69951"/>
      <c r="E69951"/>
      <c r="F69951"/>
    </row>
    <row r="69952" spans="1:6" x14ac:dyDescent="0.25">
      <c r="A69952"/>
      <c r="B69952"/>
      <c r="C69952"/>
      <c r="E69952"/>
      <c r="F69952"/>
    </row>
    <row r="69953" spans="1:6" x14ac:dyDescent="0.25">
      <c r="A69953"/>
      <c r="B69953"/>
      <c r="C69953"/>
      <c r="E69953"/>
      <c r="F69953"/>
    </row>
    <row r="69954" spans="1:6" x14ac:dyDescent="0.25">
      <c r="A69954"/>
      <c r="B69954"/>
      <c r="C69954"/>
      <c r="E69954"/>
      <c r="F69954"/>
    </row>
    <row r="69955" spans="1:6" x14ac:dyDescent="0.25">
      <c r="A69955"/>
      <c r="B69955"/>
      <c r="C69955"/>
      <c r="E69955"/>
      <c r="F69955"/>
    </row>
    <row r="69956" spans="1:6" x14ac:dyDescent="0.25">
      <c r="A69956"/>
      <c r="B69956"/>
      <c r="C69956"/>
      <c r="E69956"/>
      <c r="F69956"/>
    </row>
    <row r="69957" spans="1:6" x14ac:dyDescent="0.25">
      <c r="A69957"/>
      <c r="B69957"/>
      <c r="C69957"/>
      <c r="E69957"/>
      <c r="F69957"/>
    </row>
    <row r="69958" spans="1:6" x14ac:dyDescent="0.25">
      <c r="A69958"/>
      <c r="B69958"/>
      <c r="C69958"/>
      <c r="E69958"/>
      <c r="F69958"/>
    </row>
    <row r="69959" spans="1:6" x14ac:dyDescent="0.25">
      <c r="A69959"/>
      <c r="B69959"/>
      <c r="C69959"/>
      <c r="E69959"/>
      <c r="F69959"/>
    </row>
    <row r="69960" spans="1:6" x14ac:dyDescent="0.25">
      <c r="A69960"/>
      <c r="B69960"/>
      <c r="C69960"/>
      <c r="E69960"/>
      <c r="F69960"/>
    </row>
    <row r="69961" spans="1:6" x14ac:dyDescent="0.25">
      <c r="A69961"/>
      <c r="B69961"/>
      <c r="C69961"/>
      <c r="E69961"/>
      <c r="F69961"/>
    </row>
    <row r="69962" spans="1:6" x14ac:dyDescent="0.25">
      <c r="A69962"/>
      <c r="B69962"/>
      <c r="C69962"/>
      <c r="E69962"/>
      <c r="F69962"/>
    </row>
    <row r="69963" spans="1:6" x14ac:dyDescent="0.25">
      <c r="A69963"/>
      <c r="B69963"/>
      <c r="C69963"/>
      <c r="E69963"/>
      <c r="F69963"/>
    </row>
    <row r="69964" spans="1:6" x14ac:dyDescent="0.25">
      <c r="A69964"/>
      <c r="B69964"/>
      <c r="C69964"/>
      <c r="E69964"/>
      <c r="F69964"/>
    </row>
    <row r="69965" spans="1:6" x14ac:dyDescent="0.25">
      <c r="A69965"/>
      <c r="B69965"/>
      <c r="C69965"/>
      <c r="E69965"/>
      <c r="F69965"/>
    </row>
    <row r="69966" spans="1:6" x14ac:dyDescent="0.25">
      <c r="A69966"/>
      <c r="B69966"/>
      <c r="C69966"/>
      <c r="E69966"/>
      <c r="F69966"/>
    </row>
    <row r="69967" spans="1:6" x14ac:dyDescent="0.25">
      <c r="A69967"/>
      <c r="B69967"/>
      <c r="C69967"/>
      <c r="E69967"/>
      <c r="F69967"/>
    </row>
    <row r="69968" spans="1:6" x14ac:dyDescent="0.25">
      <c r="A69968"/>
      <c r="B69968"/>
      <c r="C69968"/>
      <c r="E69968"/>
      <c r="F69968"/>
    </row>
    <row r="69969" spans="1:6" x14ac:dyDescent="0.25">
      <c r="A69969"/>
      <c r="B69969"/>
      <c r="C69969"/>
      <c r="E69969"/>
      <c r="F69969"/>
    </row>
    <row r="69970" spans="1:6" x14ac:dyDescent="0.25">
      <c r="A69970"/>
      <c r="B69970"/>
      <c r="C69970"/>
      <c r="E69970"/>
      <c r="F69970"/>
    </row>
    <row r="69971" spans="1:6" x14ac:dyDescent="0.25">
      <c r="A69971"/>
      <c r="B69971"/>
      <c r="C69971"/>
      <c r="E69971"/>
      <c r="F69971"/>
    </row>
    <row r="69972" spans="1:6" x14ac:dyDescent="0.25">
      <c r="A69972"/>
      <c r="B69972"/>
      <c r="C69972"/>
      <c r="E69972"/>
      <c r="F69972"/>
    </row>
    <row r="69973" spans="1:6" x14ac:dyDescent="0.25">
      <c r="A69973"/>
      <c r="B69973"/>
      <c r="C69973"/>
      <c r="E69973"/>
      <c r="F69973"/>
    </row>
    <row r="69974" spans="1:6" x14ac:dyDescent="0.25">
      <c r="A69974"/>
      <c r="B69974"/>
      <c r="C69974"/>
      <c r="E69974"/>
      <c r="F69974"/>
    </row>
    <row r="69975" spans="1:6" x14ac:dyDescent="0.25">
      <c r="A69975"/>
      <c r="B69975"/>
      <c r="C69975"/>
      <c r="E69975"/>
      <c r="F69975"/>
    </row>
    <row r="69976" spans="1:6" x14ac:dyDescent="0.25">
      <c r="A69976"/>
      <c r="B69976"/>
      <c r="C69976"/>
      <c r="E69976"/>
      <c r="F69976"/>
    </row>
    <row r="69977" spans="1:6" x14ac:dyDescent="0.25">
      <c r="A69977"/>
      <c r="B69977"/>
      <c r="C69977"/>
      <c r="E69977"/>
      <c r="F69977"/>
    </row>
    <row r="69978" spans="1:6" x14ac:dyDescent="0.25">
      <c r="A69978"/>
      <c r="B69978"/>
      <c r="C69978"/>
      <c r="E69978"/>
      <c r="F69978"/>
    </row>
    <row r="69979" spans="1:6" x14ac:dyDescent="0.25">
      <c r="A69979"/>
      <c r="B69979"/>
      <c r="C69979"/>
      <c r="E69979"/>
      <c r="F69979"/>
    </row>
    <row r="69980" spans="1:6" x14ac:dyDescent="0.25">
      <c r="A69980"/>
      <c r="B69980"/>
      <c r="C69980"/>
      <c r="E69980"/>
      <c r="F69980"/>
    </row>
    <row r="69981" spans="1:6" x14ac:dyDescent="0.25">
      <c r="A69981"/>
      <c r="B69981"/>
      <c r="C69981"/>
      <c r="E69981"/>
      <c r="F69981"/>
    </row>
    <row r="69982" spans="1:6" x14ac:dyDescent="0.25">
      <c r="A69982"/>
      <c r="B69982"/>
      <c r="C69982"/>
      <c r="E69982"/>
      <c r="F69982"/>
    </row>
    <row r="69983" spans="1:6" x14ac:dyDescent="0.25">
      <c r="A69983"/>
      <c r="B69983"/>
      <c r="C69983"/>
      <c r="E69983"/>
      <c r="F69983"/>
    </row>
    <row r="69984" spans="1:6" x14ac:dyDescent="0.25">
      <c r="A69984"/>
      <c r="B69984"/>
      <c r="C69984"/>
      <c r="E69984"/>
      <c r="F69984"/>
    </row>
    <row r="69985" spans="1:6" x14ac:dyDescent="0.25">
      <c r="A69985"/>
      <c r="B69985"/>
      <c r="C69985"/>
      <c r="E69985"/>
      <c r="F69985"/>
    </row>
    <row r="69986" spans="1:6" x14ac:dyDescent="0.25">
      <c r="A69986"/>
      <c r="B69986"/>
      <c r="C69986"/>
      <c r="E69986"/>
      <c r="F69986"/>
    </row>
    <row r="69987" spans="1:6" x14ac:dyDescent="0.25">
      <c r="A69987"/>
      <c r="B69987"/>
      <c r="C69987"/>
      <c r="E69987"/>
      <c r="F69987"/>
    </row>
    <row r="69988" spans="1:6" x14ac:dyDescent="0.25">
      <c r="A69988"/>
      <c r="B69988"/>
      <c r="C69988"/>
      <c r="E69988"/>
      <c r="F69988"/>
    </row>
    <row r="69989" spans="1:6" x14ac:dyDescent="0.25">
      <c r="A69989"/>
      <c r="B69989"/>
      <c r="C69989"/>
      <c r="E69989"/>
      <c r="F69989"/>
    </row>
    <row r="69990" spans="1:6" x14ac:dyDescent="0.25">
      <c r="A69990"/>
      <c r="B69990"/>
      <c r="C69990"/>
      <c r="E69990"/>
      <c r="F69990"/>
    </row>
    <row r="69991" spans="1:6" x14ac:dyDescent="0.25">
      <c r="A69991"/>
      <c r="B69991"/>
      <c r="C69991"/>
      <c r="E69991"/>
      <c r="F69991"/>
    </row>
    <row r="69992" spans="1:6" x14ac:dyDescent="0.25">
      <c r="A69992"/>
      <c r="B69992"/>
      <c r="C69992"/>
      <c r="E69992"/>
      <c r="F69992"/>
    </row>
    <row r="69993" spans="1:6" x14ac:dyDescent="0.25">
      <c r="A69993"/>
      <c r="B69993"/>
      <c r="C69993"/>
      <c r="E69993"/>
      <c r="F69993"/>
    </row>
    <row r="69994" spans="1:6" x14ac:dyDescent="0.25">
      <c r="A69994"/>
      <c r="B69994"/>
      <c r="C69994"/>
      <c r="E69994"/>
      <c r="F69994"/>
    </row>
    <row r="69995" spans="1:6" x14ac:dyDescent="0.25">
      <c r="A69995"/>
      <c r="B69995"/>
      <c r="C69995"/>
      <c r="E69995"/>
      <c r="F69995"/>
    </row>
    <row r="69996" spans="1:6" x14ac:dyDescent="0.25">
      <c r="A69996"/>
      <c r="B69996"/>
      <c r="C69996"/>
      <c r="E69996"/>
      <c r="F69996"/>
    </row>
    <row r="69997" spans="1:6" x14ac:dyDescent="0.25">
      <c r="A69997"/>
      <c r="B69997"/>
      <c r="C69997"/>
      <c r="E69997"/>
      <c r="F69997"/>
    </row>
    <row r="69998" spans="1:6" x14ac:dyDescent="0.25">
      <c r="A69998"/>
      <c r="B69998"/>
      <c r="C69998"/>
      <c r="E69998"/>
      <c r="F69998"/>
    </row>
    <row r="69999" spans="1:6" x14ac:dyDescent="0.25">
      <c r="A69999"/>
      <c r="B69999"/>
      <c r="C69999"/>
      <c r="E69999"/>
      <c r="F69999"/>
    </row>
    <row r="70000" spans="1:6" x14ac:dyDescent="0.25">
      <c r="A70000"/>
      <c r="B70000"/>
      <c r="C70000"/>
      <c r="E70000"/>
      <c r="F70000"/>
    </row>
    <row r="70001" spans="1:6" x14ac:dyDescent="0.25">
      <c r="A70001"/>
      <c r="B70001"/>
      <c r="C70001"/>
      <c r="E70001"/>
      <c r="F70001"/>
    </row>
    <row r="70002" spans="1:6" x14ac:dyDescent="0.25">
      <c r="A70002"/>
      <c r="B70002"/>
      <c r="C70002"/>
      <c r="E70002"/>
      <c r="F70002"/>
    </row>
    <row r="70003" spans="1:6" x14ac:dyDescent="0.25">
      <c r="A70003"/>
      <c r="B70003"/>
      <c r="C70003"/>
      <c r="E70003"/>
      <c r="F70003"/>
    </row>
    <row r="70004" spans="1:6" x14ac:dyDescent="0.25">
      <c r="A70004"/>
      <c r="B70004"/>
      <c r="C70004"/>
      <c r="E70004"/>
      <c r="F70004"/>
    </row>
    <row r="70005" spans="1:6" x14ac:dyDescent="0.25">
      <c r="A70005"/>
      <c r="B70005"/>
      <c r="C70005"/>
      <c r="E70005"/>
      <c r="F70005"/>
    </row>
    <row r="70006" spans="1:6" x14ac:dyDescent="0.25">
      <c r="A70006"/>
      <c r="B70006"/>
      <c r="C70006"/>
      <c r="E70006"/>
      <c r="F70006"/>
    </row>
    <row r="70007" spans="1:6" x14ac:dyDescent="0.25">
      <c r="A70007"/>
      <c r="B70007"/>
      <c r="C70007"/>
      <c r="E70007"/>
      <c r="F70007"/>
    </row>
    <row r="70008" spans="1:6" x14ac:dyDescent="0.25">
      <c r="A70008"/>
      <c r="B70008"/>
      <c r="C70008"/>
      <c r="E70008"/>
      <c r="F70008"/>
    </row>
    <row r="70009" spans="1:6" x14ac:dyDescent="0.25">
      <c r="A70009"/>
      <c r="B70009"/>
      <c r="C70009"/>
      <c r="E70009"/>
      <c r="F70009"/>
    </row>
    <row r="70010" spans="1:6" x14ac:dyDescent="0.25">
      <c r="A70010"/>
      <c r="B70010"/>
      <c r="C70010"/>
      <c r="E70010"/>
      <c r="F70010"/>
    </row>
    <row r="70011" spans="1:6" x14ac:dyDescent="0.25">
      <c r="A70011"/>
      <c r="B70011"/>
      <c r="C70011"/>
      <c r="E70011"/>
      <c r="F70011"/>
    </row>
    <row r="70012" spans="1:6" x14ac:dyDescent="0.25">
      <c r="A70012"/>
      <c r="B70012"/>
      <c r="C70012"/>
      <c r="E70012"/>
      <c r="F70012"/>
    </row>
    <row r="70013" spans="1:6" x14ac:dyDescent="0.25">
      <c r="A70013"/>
      <c r="B70013"/>
      <c r="C70013"/>
      <c r="E70013"/>
      <c r="F70013"/>
    </row>
    <row r="70014" spans="1:6" x14ac:dyDescent="0.25">
      <c r="A70014"/>
      <c r="B70014"/>
      <c r="C70014"/>
      <c r="E70014"/>
      <c r="F70014"/>
    </row>
    <row r="70015" spans="1:6" x14ac:dyDescent="0.25">
      <c r="A70015"/>
      <c r="B70015"/>
      <c r="C70015"/>
      <c r="E70015"/>
      <c r="F70015"/>
    </row>
    <row r="70016" spans="1:6" x14ac:dyDescent="0.25">
      <c r="A70016"/>
      <c r="B70016"/>
      <c r="C70016"/>
      <c r="E70016"/>
      <c r="F70016"/>
    </row>
    <row r="70017" spans="1:6" x14ac:dyDescent="0.25">
      <c r="A70017"/>
      <c r="B70017"/>
      <c r="C70017"/>
      <c r="E70017"/>
      <c r="F70017"/>
    </row>
    <row r="70018" spans="1:6" x14ac:dyDescent="0.25">
      <c r="A70018"/>
      <c r="B70018"/>
      <c r="C70018"/>
      <c r="E70018"/>
      <c r="F70018"/>
    </row>
    <row r="70019" spans="1:6" x14ac:dyDescent="0.25">
      <c r="A70019"/>
      <c r="B70019"/>
      <c r="C70019"/>
      <c r="E70019"/>
      <c r="F70019"/>
    </row>
    <row r="70020" spans="1:6" x14ac:dyDescent="0.25">
      <c r="A70020"/>
      <c r="B70020"/>
      <c r="C70020"/>
      <c r="E70020"/>
      <c r="F70020"/>
    </row>
    <row r="70021" spans="1:6" x14ac:dyDescent="0.25">
      <c r="A70021"/>
      <c r="B70021"/>
      <c r="C70021"/>
      <c r="E70021"/>
      <c r="F70021"/>
    </row>
    <row r="70022" spans="1:6" x14ac:dyDescent="0.25">
      <c r="A70022"/>
      <c r="B70022"/>
      <c r="C70022"/>
      <c r="E70022"/>
      <c r="F70022"/>
    </row>
    <row r="70023" spans="1:6" x14ac:dyDescent="0.25">
      <c r="A70023"/>
      <c r="B70023"/>
      <c r="C70023"/>
      <c r="E70023"/>
      <c r="F70023"/>
    </row>
    <row r="70024" spans="1:6" x14ac:dyDescent="0.25">
      <c r="A70024"/>
      <c r="B70024"/>
      <c r="C70024"/>
      <c r="E70024"/>
      <c r="F70024"/>
    </row>
    <row r="70025" spans="1:6" x14ac:dyDescent="0.25">
      <c r="A70025"/>
      <c r="B70025"/>
      <c r="C70025"/>
      <c r="E70025"/>
      <c r="F70025"/>
    </row>
    <row r="70026" spans="1:6" x14ac:dyDescent="0.25">
      <c r="A70026"/>
      <c r="B70026"/>
      <c r="C70026"/>
      <c r="E70026"/>
      <c r="F70026"/>
    </row>
    <row r="70027" spans="1:6" x14ac:dyDescent="0.25">
      <c r="A70027"/>
      <c r="B70027"/>
      <c r="C70027"/>
      <c r="E70027"/>
      <c r="F70027"/>
    </row>
    <row r="70028" spans="1:6" x14ac:dyDescent="0.25">
      <c r="A70028"/>
      <c r="B70028"/>
      <c r="C70028"/>
      <c r="E70028"/>
      <c r="F70028"/>
    </row>
    <row r="70029" spans="1:6" x14ac:dyDescent="0.25">
      <c r="A70029"/>
      <c r="B70029"/>
      <c r="C70029"/>
      <c r="E70029"/>
      <c r="F70029"/>
    </row>
    <row r="70030" spans="1:6" x14ac:dyDescent="0.25">
      <c r="A70030"/>
      <c r="B70030"/>
      <c r="C70030"/>
      <c r="E70030"/>
      <c r="F70030"/>
    </row>
    <row r="70031" spans="1:6" x14ac:dyDescent="0.25">
      <c r="A70031"/>
      <c r="B70031"/>
      <c r="C70031"/>
      <c r="E70031"/>
      <c r="F70031"/>
    </row>
    <row r="70032" spans="1:6" x14ac:dyDescent="0.25">
      <c r="A70032"/>
      <c r="B70032"/>
      <c r="C70032"/>
      <c r="E70032"/>
      <c r="F70032"/>
    </row>
    <row r="70033" spans="1:6" x14ac:dyDescent="0.25">
      <c r="A70033"/>
      <c r="B70033"/>
      <c r="C70033"/>
      <c r="E70033"/>
      <c r="F70033"/>
    </row>
    <row r="70034" spans="1:6" x14ac:dyDescent="0.25">
      <c r="A70034"/>
      <c r="B70034"/>
      <c r="C70034"/>
      <c r="E70034"/>
      <c r="F70034"/>
    </row>
    <row r="70035" spans="1:6" x14ac:dyDescent="0.25">
      <c r="A70035"/>
      <c r="B70035"/>
      <c r="C70035"/>
      <c r="E70035"/>
      <c r="F70035"/>
    </row>
    <row r="70036" spans="1:6" x14ac:dyDescent="0.25">
      <c r="A70036"/>
      <c r="B70036"/>
      <c r="C70036"/>
      <c r="E70036"/>
      <c r="F70036"/>
    </row>
    <row r="70037" spans="1:6" x14ac:dyDescent="0.25">
      <c r="A70037"/>
      <c r="B70037"/>
      <c r="C70037"/>
      <c r="E70037"/>
      <c r="F70037"/>
    </row>
    <row r="70038" spans="1:6" x14ac:dyDescent="0.25">
      <c r="A70038"/>
      <c r="B70038"/>
      <c r="C70038"/>
      <c r="E70038"/>
      <c r="F70038"/>
    </row>
    <row r="70039" spans="1:6" x14ac:dyDescent="0.25">
      <c r="A70039"/>
      <c r="B70039"/>
      <c r="C70039"/>
      <c r="E70039"/>
      <c r="F70039"/>
    </row>
    <row r="70040" spans="1:6" x14ac:dyDescent="0.25">
      <c r="A70040"/>
      <c r="B70040"/>
      <c r="C70040"/>
      <c r="E70040"/>
      <c r="F70040"/>
    </row>
    <row r="70041" spans="1:6" x14ac:dyDescent="0.25">
      <c r="A70041"/>
      <c r="B70041"/>
      <c r="C70041"/>
      <c r="E70041"/>
      <c r="F70041"/>
    </row>
    <row r="70042" spans="1:6" x14ac:dyDescent="0.25">
      <c r="A70042"/>
      <c r="B70042"/>
      <c r="C70042"/>
      <c r="E70042"/>
      <c r="F70042"/>
    </row>
    <row r="70043" spans="1:6" x14ac:dyDescent="0.25">
      <c r="A70043"/>
      <c r="B70043"/>
      <c r="C70043"/>
      <c r="E70043"/>
      <c r="F70043"/>
    </row>
    <row r="70044" spans="1:6" x14ac:dyDescent="0.25">
      <c r="A70044"/>
      <c r="B70044"/>
      <c r="C70044"/>
      <c r="E70044"/>
      <c r="F70044"/>
    </row>
    <row r="70045" spans="1:6" x14ac:dyDescent="0.25">
      <c r="A70045"/>
      <c r="B70045"/>
      <c r="C70045"/>
      <c r="E70045"/>
      <c r="F70045"/>
    </row>
    <row r="70046" spans="1:6" x14ac:dyDescent="0.25">
      <c r="A70046"/>
      <c r="B70046"/>
      <c r="C70046"/>
      <c r="E70046"/>
      <c r="F70046"/>
    </row>
    <row r="70047" spans="1:6" x14ac:dyDescent="0.25">
      <c r="A70047"/>
      <c r="B70047"/>
      <c r="C70047"/>
      <c r="E70047"/>
      <c r="F70047"/>
    </row>
    <row r="70048" spans="1:6" x14ac:dyDescent="0.25">
      <c r="A70048"/>
      <c r="B70048"/>
      <c r="C70048"/>
      <c r="E70048"/>
      <c r="F70048"/>
    </row>
    <row r="70049" spans="1:6" x14ac:dyDescent="0.25">
      <c r="A70049"/>
      <c r="B70049"/>
      <c r="C70049"/>
      <c r="E70049"/>
      <c r="F70049"/>
    </row>
    <row r="70050" spans="1:6" x14ac:dyDescent="0.25">
      <c r="A70050"/>
      <c r="B70050"/>
      <c r="C70050"/>
      <c r="E70050"/>
      <c r="F70050"/>
    </row>
    <row r="70051" spans="1:6" x14ac:dyDescent="0.25">
      <c r="A70051"/>
      <c r="B70051"/>
      <c r="C70051"/>
      <c r="E70051"/>
      <c r="F70051"/>
    </row>
    <row r="70052" spans="1:6" x14ac:dyDescent="0.25">
      <c r="A70052"/>
      <c r="B70052"/>
      <c r="C70052"/>
      <c r="E70052"/>
      <c r="F70052"/>
    </row>
    <row r="70053" spans="1:6" x14ac:dyDescent="0.25">
      <c r="A70053"/>
      <c r="B70053"/>
      <c r="C70053"/>
      <c r="E70053"/>
      <c r="F70053"/>
    </row>
    <row r="70054" spans="1:6" x14ac:dyDescent="0.25">
      <c r="A70054"/>
      <c r="B70054"/>
      <c r="C70054"/>
      <c r="E70054"/>
      <c r="F70054"/>
    </row>
    <row r="70055" spans="1:6" x14ac:dyDescent="0.25">
      <c r="A70055"/>
      <c r="B70055"/>
      <c r="C70055"/>
      <c r="E70055"/>
      <c r="F70055"/>
    </row>
    <row r="70056" spans="1:6" x14ac:dyDescent="0.25">
      <c r="A70056"/>
      <c r="B70056"/>
      <c r="C70056"/>
      <c r="E70056"/>
      <c r="F70056"/>
    </row>
    <row r="70057" spans="1:6" x14ac:dyDescent="0.25">
      <c r="A70057"/>
      <c r="B70057"/>
      <c r="C70057"/>
      <c r="E70057"/>
      <c r="F70057"/>
    </row>
    <row r="70058" spans="1:6" x14ac:dyDescent="0.25">
      <c r="A70058"/>
      <c r="B70058"/>
      <c r="C70058"/>
      <c r="E70058"/>
      <c r="F70058"/>
    </row>
    <row r="70059" spans="1:6" x14ac:dyDescent="0.25">
      <c r="A70059"/>
      <c r="B70059"/>
      <c r="C70059"/>
      <c r="E70059"/>
      <c r="F70059"/>
    </row>
    <row r="70060" spans="1:6" x14ac:dyDescent="0.25">
      <c r="A70060"/>
      <c r="B70060"/>
      <c r="C70060"/>
      <c r="E70060"/>
      <c r="F70060"/>
    </row>
    <row r="70061" spans="1:6" x14ac:dyDescent="0.25">
      <c r="A70061"/>
      <c r="B70061"/>
      <c r="C70061"/>
      <c r="E70061"/>
      <c r="F70061"/>
    </row>
    <row r="70062" spans="1:6" x14ac:dyDescent="0.25">
      <c r="A70062"/>
      <c r="B70062"/>
      <c r="C70062"/>
      <c r="E70062"/>
      <c r="F70062"/>
    </row>
    <row r="70063" spans="1:6" x14ac:dyDescent="0.25">
      <c r="A70063"/>
      <c r="B70063"/>
      <c r="C70063"/>
      <c r="E70063"/>
      <c r="F70063"/>
    </row>
    <row r="70064" spans="1:6" x14ac:dyDescent="0.25">
      <c r="A70064"/>
      <c r="B70064"/>
      <c r="C70064"/>
      <c r="E70064"/>
      <c r="F70064"/>
    </row>
    <row r="70065" spans="1:6" x14ac:dyDescent="0.25">
      <c r="A70065"/>
      <c r="B70065"/>
      <c r="C70065"/>
      <c r="E70065"/>
      <c r="F70065"/>
    </row>
    <row r="70066" spans="1:6" x14ac:dyDescent="0.25">
      <c r="A70066"/>
      <c r="B70066"/>
      <c r="C70066"/>
      <c r="E70066"/>
      <c r="F70066"/>
    </row>
    <row r="70067" spans="1:6" x14ac:dyDescent="0.25">
      <c r="A70067"/>
      <c r="B70067"/>
      <c r="C70067"/>
      <c r="E70067"/>
      <c r="F70067"/>
    </row>
    <row r="70068" spans="1:6" x14ac:dyDescent="0.25">
      <c r="A70068"/>
      <c r="B70068"/>
      <c r="C70068"/>
      <c r="E70068"/>
      <c r="F70068"/>
    </row>
    <row r="70069" spans="1:6" x14ac:dyDescent="0.25">
      <c r="A70069"/>
      <c r="B70069"/>
      <c r="C70069"/>
      <c r="E70069"/>
      <c r="F70069"/>
    </row>
    <row r="70070" spans="1:6" x14ac:dyDescent="0.25">
      <c r="A70070"/>
      <c r="B70070"/>
      <c r="C70070"/>
      <c r="E70070"/>
      <c r="F70070"/>
    </row>
    <row r="70071" spans="1:6" x14ac:dyDescent="0.25">
      <c r="A70071"/>
      <c r="B70071"/>
      <c r="C70071"/>
      <c r="E70071"/>
      <c r="F70071"/>
    </row>
    <row r="70072" spans="1:6" x14ac:dyDescent="0.25">
      <c r="A70072"/>
      <c r="B70072"/>
      <c r="C70072"/>
      <c r="E70072"/>
      <c r="F70072"/>
    </row>
    <row r="70073" spans="1:6" x14ac:dyDescent="0.25">
      <c r="A70073"/>
      <c r="B70073"/>
      <c r="C70073"/>
      <c r="E70073"/>
      <c r="F70073"/>
    </row>
    <row r="70074" spans="1:6" x14ac:dyDescent="0.25">
      <c r="A70074"/>
      <c r="B70074"/>
      <c r="C70074"/>
      <c r="E70074"/>
      <c r="F70074"/>
    </row>
    <row r="70075" spans="1:6" x14ac:dyDescent="0.25">
      <c r="A70075"/>
      <c r="B70075"/>
      <c r="C70075"/>
      <c r="E70075"/>
      <c r="F70075"/>
    </row>
    <row r="70076" spans="1:6" x14ac:dyDescent="0.25">
      <c r="A70076"/>
      <c r="B70076"/>
      <c r="C70076"/>
      <c r="E70076"/>
      <c r="F70076"/>
    </row>
    <row r="70077" spans="1:6" x14ac:dyDescent="0.25">
      <c r="A70077"/>
      <c r="B70077"/>
      <c r="C70077"/>
      <c r="E70077"/>
      <c r="F70077"/>
    </row>
    <row r="70078" spans="1:6" x14ac:dyDescent="0.25">
      <c r="A70078"/>
      <c r="B70078"/>
      <c r="C70078"/>
      <c r="E70078"/>
      <c r="F70078"/>
    </row>
    <row r="70079" spans="1:6" x14ac:dyDescent="0.25">
      <c r="A70079"/>
      <c r="B70079"/>
      <c r="C70079"/>
      <c r="E70079"/>
      <c r="F70079"/>
    </row>
    <row r="70080" spans="1:6" x14ac:dyDescent="0.25">
      <c r="A70080"/>
      <c r="B70080"/>
      <c r="C70080"/>
      <c r="E70080"/>
      <c r="F70080"/>
    </row>
    <row r="70081" spans="1:6" x14ac:dyDescent="0.25">
      <c r="A70081"/>
      <c r="B70081"/>
      <c r="C70081"/>
      <c r="E70081"/>
      <c r="F70081"/>
    </row>
    <row r="70082" spans="1:6" x14ac:dyDescent="0.25">
      <c r="A70082"/>
      <c r="B70082"/>
      <c r="C70082"/>
      <c r="E70082"/>
      <c r="F70082"/>
    </row>
    <row r="70083" spans="1:6" x14ac:dyDescent="0.25">
      <c r="A70083"/>
      <c r="B70083"/>
      <c r="C70083"/>
      <c r="E70083"/>
      <c r="F70083"/>
    </row>
    <row r="70084" spans="1:6" x14ac:dyDescent="0.25">
      <c r="A70084"/>
      <c r="B70084"/>
      <c r="C70084"/>
      <c r="E70084"/>
      <c r="F70084"/>
    </row>
    <row r="70085" spans="1:6" x14ac:dyDescent="0.25">
      <c r="A70085"/>
      <c r="B70085"/>
      <c r="C70085"/>
      <c r="E70085"/>
      <c r="F70085"/>
    </row>
    <row r="70086" spans="1:6" x14ac:dyDescent="0.25">
      <c r="A70086"/>
      <c r="B70086"/>
      <c r="C70086"/>
      <c r="E70086"/>
      <c r="F70086"/>
    </row>
    <row r="70087" spans="1:6" x14ac:dyDescent="0.25">
      <c r="A70087"/>
      <c r="B70087"/>
      <c r="C70087"/>
      <c r="E70087"/>
      <c r="F70087"/>
    </row>
    <row r="70088" spans="1:6" x14ac:dyDescent="0.25">
      <c r="A70088"/>
      <c r="B70088"/>
      <c r="C70088"/>
      <c r="E70088"/>
      <c r="F70088"/>
    </row>
    <row r="70089" spans="1:6" x14ac:dyDescent="0.25">
      <c r="A70089"/>
      <c r="B70089"/>
      <c r="C70089"/>
      <c r="E70089"/>
      <c r="F70089"/>
    </row>
    <row r="70090" spans="1:6" x14ac:dyDescent="0.25">
      <c r="A70090"/>
      <c r="B70090"/>
      <c r="C70090"/>
      <c r="E70090"/>
      <c r="F70090"/>
    </row>
    <row r="70091" spans="1:6" x14ac:dyDescent="0.25">
      <c r="A70091"/>
      <c r="B70091"/>
      <c r="C70091"/>
      <c r="E70091"/>
      <c r="F70091"/>
    </row>
    <row r="70092" spans="1:6" x14ac:dyDescent="0.25">
      <c r="A70092"/>
      <c r="B70092"/>
      <c r="C70092"/>
      <c r="E70092"/>
      <c r="F70092"/>
    </row>
    <row r="70093" spans="1:6" x14ac:dyDescent="0.25">
      <c r="A70093"/>
      <c r="B70093"/>
      <c r="C70093"/>
      <c r="E70093"/>
      <c r="F70093"/>
    </row>
    <row r="70094" spans="1:6" x14ac:dyDescent="0.25">
      <c r="A70094"/>
      <c r="B70094"/>
      <c r="C70094"/>
      <c r="E70094"/>
      <c r="F70094"/>
    </row>
    <row r="70095" spans="1:6" x14ac:dyDescent="0.25">
      <c r="A70095"/>
      <c r="B70095"/>
      <c r="C70095"/>
      <c r="E70095"/>
      <c r="F70095"/>
    </row>
    <row r="70096" spans="1:6" x14ac:dyDescent="0.25">
      <c r="A70096"/>
      <c r="B70096"/>
      <c r="C70096"/>
      <c r="E70096"/>
      <c r="F70096"/>
    </row>
    <row r="70097" spans="1:6" x14ac:dyDescent="0.25">
      <c r="A70097"/>
      <c r="B70097"/>
      <c r="C70097"/>
      <c r="E70097"/>
      <c r="F70097"/>
    </row>
    <row r="70098" spans="1:6" x14ac:dyDescent="0.25">
      <c r="A70098"/>
      <c r="B70098"/>
      <c r="C70098"/>
      <c r="E70098"/>
      <c r="F70098"/>
    </row>
    <row r="70099" spans="1:6" x14ac:dyDescent="0.25">
      <c r="A70099"/>
      <c r="B70099"/>
      <c r="C70099"/>
      <c r="E70099"/>
      <c r="F70099"/>
    </row>
    <row r="70100" spans="1:6" x14ac:dyDescent="0.25">
      <c r="A70100"/>
      <c r="B70100"/>
      <c r="C70100"/>
      <c r="E70100"/>
      <c r="F70100"/>
    </row>
    <row r="70101" spans="1:6" x14ac:dyDescent="0.25">
      <c r="A70101"/>
      <c r="B70101"/>
      <c r="C70101"/>
      <c r="E70101"/>
      <c r="F70101"/>
    </row>
    <row r="70102" spans="1:6" x14ac:dyDescent="0.25">
      <c r="A70102"/>
      <c r="B70102"/>
      <c r="C70102"/>
      <c r="E70102"/>
      <c r="F70102"/>
    </row>
    <row r="70103" spans="1:6" x14ac:dyDescent="0.25">
      <c r="A70103"/>
      <c r="B70103"/>
      <c r="C70103"/>
      <c r="E70103"/>
      <c r="F70103"/>
    </row>
    <row r="70104" spans="1:6" x14ac:dyDescent="0.25">
      <c r="A70104"/>
      <c r="B70104"/>
      <c r="C70104"/>
      <c r="E70104"/>
      <c r="F70104"/>
    </row>
    <row r="70105" spans="1:6" x14ac:dyDescent="0.25">
      <c r="A70105"/>
      <c r="B70105"/>
      <c r="C70105"/>
      <c r="E70105"/>
      <c r="F70105"/>
    </row>
    <row r="70106" spans="1:6" x14ac:dyDescent="0.25">
      <c r="A70106"/>
      <c r="B70106"/>
      <c r="C70106"/>
      <c r="E70106"/>
      <c r="F70106"/>
    </row>
    <row r="70107" spans="1:6" x14ac:dyDescent="0.25">
      <c r="A70107"/>
      <c r="B70107"/>
      <c r="C70107"/>
      <c r="E70107"/>
      <c r="F70107"/>
    </row>
    <row r="70108" spans="1:6" x14ac:dyDescent="0.25">
      <c r="A70108"/>
      <c r="B70108"/>
      <c r="C70108"/>
      <c r="E70108"/>
      <c r="F70108"/>
    </row>
    <row r="70109" spans="1:6" x14ac:dyDescent="0.25">
      <c r="A70109"/>
      <c r="B70109"/>
      <c r="C70109"/>
      <c r="E70109"/>
      <c r="F70109"/>
    </row>
    <row r="70110" spans="1:6" x14ac:dyDescent="0.25">
      <c r="A70110"/>
      <c r="B70110"/>
      <c r="C70110"/>
      <c r="E70110"/>
      <c r="F70110"/>
    </row>
    <row r="70111" spans="1:6" x14ac:dyDescent="0.25">
      <c r="A70111"/>
      <c r="B70111"/>
      <c r="C70111"/>
      <c r="E70111"/>
      <c r="F70111"/>
    </row>
    <row r="70112" spans="1:6" x14ac:dyDescent="0.25">
      <c r="A70112"/>
      <c r="B70112"/>
      <c r="C70112"/>
      <c r="E70112"/>
      <c r="F70112"/>
    </row>
    <row r="70113" spans="1:6" x14ac:dyDescent="0.25">
      <c r="A70113"/>
      <c r="B70113"/>
      <c r="C70113"/>
      <c r="E70113"/>
      <c r="F70113"/>
    </row>
    <row r="70114" spans="1:6" x14ac:dyDescent="0.25">
      <c r="A70114"/>
      <c r="B70114"/>
      <c r="C70114"/>
      <c r="E70114"/>
      <c r="F70114"/>
    </row>
    <row r="70115" spans="1:6" x14ac:dyDescent="0.25">
      <c r="A70115"/>
      <c r="B70115"/>
      <c r="C70115"/>
      <c r="E70115"/>
      <c r="F70115"/>
    </row>
    <row r="70116" spans="1:6" x14ac:dyDescent="0.25">
      <c r="A70116"/>
      <c r="B70116"/>
      <c r="C70116"/>
      <c r="E70116"/>
      <c r="F70116"/>
    </row>
    <row r="70117" spans="1:6" x14ac:dyDescent="0.25">
      <c r="A70117"/>
      <c r="B70117"/>
      <c r="C70117"/>
      <c r="E70117"/>
      <c r="F70117"/>
    </row>
    <row r="70118" spans="1:6" x14ac:dyDescent="0.25">
      <c r="A70118"/>
      <c r="B70118"/>
      <c r="C70118"/>
      <c r="E70118"/>
      <c r="F70118"/>
    </row>
    <row r="70119" spans="1:6" x14ac:dyDescent="0.25">
      <c r="A70119"/>
      <c r="B70119"/>
      <c r="C70119"/>
      <c r="E70119"/>
      <c r="F70119"/>
    </row>
    <row r="70120" spans="1:6" x14ac:dyDescent="0.25">
      <c r="A70120"/>
      <c r="B70120"/>
      <c r="C70120"/>
      <c r="E70120"/>
      <c r="F70120"/>
    </row>
    <row r="70121" spans="1:6" x14ac:dyDescent="0.25">
      <c r="A70121"/>
      <c r="B70121"/>
      <c r="C70121"/>
      <c r="E70121"/>
      <c r="F70121"/>
    </row>
    <row r="70122" spans="1:6" x14ac:dyDescent="0.25">
      <c r="A70122"/>
      <c r="B70122"/>
      <c r="C70122"/>
      <c r="E70122"/>
      <c r="F70122"/>
    </row>
    <row r="70123" spans="1:6" x14ac:dyDescent="0.25">
      <c r="A70123"/>
      <c r="B70123"/>
      <c r="C70123"/>
      <c r="E70123"/>
      <c r="F70123"/>
    </row>
    <row r="70124" spans="1:6" x14ac:dyDescent="0.25">
      <c r="A70124"/>
      <c r="B70124"/>
      <c r="C70124"/>
      <c r="E70124"/>
      <c r="F70124"/>
    </row>
    <row r="70125" spans="1:6" x14ac:dyDescent="0.25">
      <c r="A70125"/>
      <c r="B70125"/>
      <c r="C70125"/>
      <c r="E70125"/>
      <c r="F70125"/>
    </row>
    <row r="70126" spans="1:6" x14ac:dyDescent="0.25">
      <c r="A70126"/>
      <c r="B70126"/>
      <c r="C70126"/>
      <c r="E70126"/>
      <c r="F70126"/>
    </row>
    <row r="70127" spans="1:6" x14ac:dyDescent="0.25">
      <c r="A70127"/>
      <c r="B70127"/>
      <c r="C70127"/>
      <c r="E70127"/>
      <c r="F70127"/>
    </row>
    <row r="70128" spans="1:6" x14ac:dyDescent="0.25">
      <c r="A70128"/>
      <c r="B70128"/>
      <c r="C70128"/>
      <c r="E70128"/>
      <c r="F70128"/>
    </row>
    <row r="70129" spans="1:6" x14ac:dyDescent="0.25">
      <c r="A70129"/>
      <c r="B70129"/>
      <c r="C70129"/>
      <c r="E70129"/>
      <c r="F70129"/>
    </row>
    <row r="70130" spans="1:6" x14ac:dyDescent="0.25">
      <c r="A70130"/>
      <c r="B70130"/>
      <c r="C70130"/>
      <c r="E70130"/>
      <c r="F70130"/>
    </row>
    <row r="70131" spans="1:6" x14ac:dyDescent="0.25">
      <c r="A70131"/>
      <c r="B70131"/>
      <c r="C70131"/>
      <c r="E70131"/>
      <c r="F70131"/>
    </row>
    <row r="70132" spans="1:6" x14ac:dyDescent="0.25">
      <c r="A70132"/>
      <c r="B70132"/>
      <c r="C70132"/>
      <c r="E70132"/>
      <c r="F70132"/>
    </row>
    <row r="70133" spans="1:6" x14ac:dyDescent="0.25">
      <c r="A70133"/>
      <c r="B70133"/>
      <c r="C70133"/>
      <c r="E70133"/>
      <c r="F70133"/>
    </row>
    <row r="70134" spans="1:6" x14ac:dyDescent="0.25">
      <c r="A70134"/>
      <c r="B70134"/>
      <c r="C70134"/>
      <c r="E70134"/>
      <c r="F70134"/>
    </row>
    <row r="70135" spans="1:6" x14ac:dyDescent="0.25">
      <c r="A70135"/>
      <c r="B70135"/>
      <c r="C70135"/>
      <c r="E70135"/>
      <c r="F70135"/>
    </row>
    <row r="70136" spans="1:6" x14ac:dyDescent="0.25">
      <c r="A70136"/>
      <c r="B70136"/>
      <c r="C70136"/>
      <c r="E70136"/>
      <c r="F70136"/>
    </row>
    <row r="70137" spans="1:6" x14ac:dyDescent="0.25">
      <c r="A70137"/>
      <c r="B70137"/>
      <c r="C70137"/>
      <c r="E70137"/>
      <c r="F70137"/>
    </row>
    <row r="70138" spans="1:6" x14ac:dyDescent="0.25">
      <c r="A70138"/>
      <c r="B70138"/>
      <c r="C70138"/>
      <c r="E70138"/>
      <c r="F70138"/>
    </row>
    <row r="70139" spans="1:6" x14ac:dyDescent="0.25">
      <c r="A70139"/>
      <c r="B70139"/>
      <c r="C70139"/>
      <c r="E70139"/>
      <c r="F70139"/>
    </row>
    <row r="70140" spans="1:6" x14ac:dyDescent="0.25">
      <c r="A70140"/>
      <c r="B70140"/>
      <c r="C70140"/>
      <c r="E70140"/>
      <c r="F70140"/>
    </row>
    <row r="70141" spans="1:6" x14ac:dyDescent="0.25">
      <c r="A70141"/>
      <c r="B70141"/>
      <c r="C70141"/>
      <c r="E70141"/>
      <c r="F70141"/>
    </row>
    <row r="70142" spans="1:6" x14ac:dyDescent="0.25">
      <c r="A70142"/>
      <c r="B70142"/>
      <c r="C70142"/>
      <c r="E70142"/>
      <c r="F70142"/>
    </row>
    <row r="70143" spans="1:6" x14ac:dyDescent="0.25">
      <c r="A70143"/>
      <c r="B70143"/>
      <c r="C70143"/>
      <c r="E70143"/>
      <c r="F70143"/>
    </row>
    <row r="70144" spans="1:6" x14ac:dyDescent="0.25">
      <c r="A70144"/>
      <c r="B70144"/>
      <c r="C70144"/>
      <c r="E70144"/>
      <c r="F70144"/>
    </row>
    <row r="70145" spans="1:6" x14ac:dyDescent="0.25">
      <c r="A70145"/>
      <c r="B70145"/>
      <c r="C70145"/>
      <c r="E70145"/>
      <c r="F70145"/>
    </row>
    <row r="70146" spans="1:6" x14ac:dyDescent="0.25">
      <c r="A70146"/>
      <c r="B70146"/>
      <c r="C70146"/>
      <c r="E70146"/>
      <c r="F70146"/>
    </row>
    <row r="70147" spans="1:6" x14ac:dyDescent="0.25">
      <c r="A70147"/>
      <c r="B70147"/>
      <c r="C70147"/>
      <c r="E70147"/>
      <c r="F70147"/>
    </row>
    <row r="70148" spans="1:6" x14ac:dyDescent="0.25">
      <c r="A70148"/>
      <c r="B70148"/>
      <c r="C70148"/>
      <c r="E70148"/>
      <c r="F70148"/>
    </row>
    <row r="70149" spans="1:6" x14ac:dyDescent="0.25">
      <c r="A70149"/>
      <c r="B70149"/>
      <c r="C70149"/>
      <c r="E70149"/>
      <c r="F70149"/>
    </row>
    <row r="70150" spans="1:6" x14ac:dyDescent="0.25">
      <c r="A70150"/>
      <c r="B70150"/>
      <c r="C70150"/>
      <c r="E70150"/>
      <c r="F70150"/>
    </row>
    <row r="70151" spans="1:6" x14ac:dyDescent="0.25">
      <c r="A70151"/>
      <c r="B70151"/>
      <c r="C70151"/>
      <c r="E70151"/>
      <c r="F70151"/>
    </row>
    <row r="70152" spans="1:6" x14ac:dyDescent="0.25">
      <c r="A70152"/>
      <c r="B70152"/>
      <c r="C70152"/>
      <c r="E70152"/>
      <c r="F70152"/>
    </row>
    <row r="70153" spans="1:6" x14ac:dyDescent="0.25">
      <c r="A70153"/>
      <c r="B70153"/>
      <c r="C70153"/>
      <c r="E70153"/>
      <c r="F70153"/>
    </row>
    <row r="70154" spans="1:6" x14ac:dyDescent="0.25">
      <c r="A70154"/>
      <c r="B70154"/>
      <c r="C70154"/>
      <c r="E70154"/>
      <c r="F70154"/>
    </row>
    <row r="70155" spans="1:6" x14ac:dyDescent="0.25">
      <c r="A70155"/>
      <c r="B70155"/>
      <c r="C70155"/>
      <c r="E70155"/>
      <c r="F70155"/>
    </row>
    <row r="70156" spans="1:6" x14ac:dyDescent="0.25">
      <c r="A70156"/>
      <c r="B70156"/>
      <c r="C70156"/>
      <c r="E70156"/>
      <c r="F70156"/>
    </row>
    <row r="70157" spans="1:6" x14ac:dyDescent="0.25">
      <c r="A70157"/>
      <c r="B70157"/>
      <c r="C70157"/>
      <c r="E70157"/>
      <c r="F70157"/>
    </row>
    <row r="70158" spans="1:6" x14ac:dyDescent="0.25">
      <c r="A70158"/>
      <c r="B70158"/>
      <c r="C70158"/>
      <c r="E70158"/>
      <c r="F70158"/>
    </row>
    <row r="70159" spans="1:6" x14ac:dyDescent="0.25">
      <c r="A70159"/>
      <c r="B70159"/>
      <c r="C70159"/>
      <c r="E70159"/>
      <c r="F70159"/>
    </row>
    <row r="70160" spans="1:6" x14ac:dyDescent="0.25">
      <c r="A70160"/>
      <c r="B70160"/>
      <c r="C70160"/>
      <c r="E70160"/>
      <c r="F70160"/>
    </row>
    <row r="70161" spans="1:6" x14ac:dyDescent="0.25">
      <c r="A70161"/>
      <c r="B70161"/>
      <c r="C70161"/>
      <c r="E70161"/>
      <c r="F70161"/>
    </row>
    <row r="70162" spans="1:6" x14ac:dyDescent="0.25">
      <c r="A70162"/>
      <c r="B70162"/>
      <c r="C70162"/>
      <c r="E70162"/>
      <c r="F70162"/>
    </row>
    <row r="70163" spans="1:6" x14ac:dyDescent="0.25">
      <c r="A70163"/>
      <c r="B70163"/>
      <c r="C70163"/>
      <c r="E70163"/>
      <c r="F70163"/>
    </row>
    <row r="70164" spans="1:6" x14ac:dyDescent="0.25">
      <c r="A70164"/>
      <c r="B70164"/>
      <c r="C70164"/>
      <c r="E70164"/>
      <c r="F70164"/>
    </row>
    <row r="70165" spans="1:6" x14ac:dyDescent="0.25">
      <c r="A70165"/>
      <c r="B70165"/>
      <c r="C70165"/>
      <c r="E70165"/>
      <c r="F70165"/>
    </row>
    <row r="70166" spans="1:6" x14ac:dyDescent="0.25">
      <c r="A70166"/>
      <c r="B70166"/>
      <c r="C70166"/>
      <c r="E70166"/>
      <c r="F70166"/>
    </row>
    <row r="70167" spans="1:6" x14ac:dyDescent="0.25">
      <c r="A70167"/>
      <c r="B70167"/>
      <c r="C70167"/>
      <c r="E70167"/>
      <c r="F70167"/>
    </row>
    <row r="70168" spans="1:6" x14ac:dyDescent="0.25">
      <c r="A70168"/>
      <c r="B70168"/>
      <c r="C70168"/>
      <c r="E70168"/>
      <c r="F70168"/>
    </row>
    <row r="70169" spans="1:6" x14ac:dyDescent="0.25">
      <c r="A70169"/>
      <c r="B70169"/>
      <c r="C70169"/>
      <c r="E70169"/>
      <c r="F70169"/>
    </row>
    <row r="70170" spans="1:6" x14ac:dyDescent="0.25">
      <c r="A70170"/>
      <c r="B70170"/>
      <c r="C70170"/>
      <c r="E70170"/>
      <c r="F70170"/>
    </row>
    <row r="70171" spans="1:6" x14ac:dyDescent="0.25">
      <c r="A70171"/>
      <c r="B70171"/>
      <c r="C70171"/>
      <c r="E70171"/>
      <c r="F70171"/>
    </row>
    <row r="70172" spans="1:6" x14ac:dyDescent="0.25">
      <c r="A70172"/>
      <c r="B70172"/>
      <c r="C70172"/>
      <c r="E70172"/>
      <c r="F70172"/>
    </row>
    <row r="70173" spans="1:6" x14ac:dyDescent="0.25">
      <c r="A70173"/>
      <c r="B70173"/>
      <c r="C70173"/>
      <c r="E70173"/>
      <c r="F70173"/>
    </row>
    <row r="70174" spans="1:6" x14ac:dyDescent="0.25">
      <c r="A70174"/>
      <c r="B70174"/>
      <c r="C70174"/>
      <c r="E70174"/>
      <c r="F70174"/>
    </row>
    <row r="70175" spans="1:6" x14ac:dyDescent="0.25">
      <c r="A70175"/>
      <c r="B70175"/>
      <c r="C70175"/>
      <c r="E70175"/>
      <c r="F70175"/>
    </row>
    <row r="70176" spans="1:6" x14ac:dyDescent="0.25">
      <c r="A70176"/>
      <c r="B70176"/>
      <c r="C70176"/>
      <c r="E70176"/>
      <c r="F70176"/>
    </row>
    <row r="70177" spans="1:6" x14ac:dyDescent="0.25">
      <c r="A70177"/>
      <c r="B70177"/>
      <c r="C70177"/>
      <c r="E70177"/>
      <c r="F70177"/>
    </row>
    <row r="70178" spans="1:6" x14ac:dyDescent="0.25">
      <c r="A70178"/>
      <c r="B70178"/>
      <c r="C70178"/>
      <c r="E70178"/>
      <c r="F70178"/>
    </row>
    <row r="70179" spans="1:6" x14ac:dyDescent="0.25">
      <c r="A70179"/>
      <c r="B70179"/>
      <c r="C70179"/>
      <c r="E70179"/>
      <c r="F70179"/>
    </row>
    <row r="70180" spans="1:6" x14ac:dyDescent="0.25">
      <c r="A70180"/>
      <c r="B70180"/>
      <c r="C70180"/>
      <c r="E70180"/>
      <c r="F70180"/>
    </row>
    <row r="70181" spans="1:6" x14ac:dyDescent="0.25">
      <c r="A70181"/>
      <c r="B70181"/>
      <c r="C70181"/>
      <c r="E70181"/>
      <c r="F70181"/>
    </row>
    <row r="70182" spans="1:6" x14ac:dyDescent="0.25">
      <c r="A70182"/>
      <c r="B70182"/>
      <c r="C70182"/>
      <c r="E70182"/>
      <c r="F70182"/>
    </row>
    <row r="70183" spans="1:6" x14ac:dyDescent="0.25">
      <c r="A70183"/>
      <c r="B70183"/>
      <c r="C70183"/>
      <c r="E70183"/>
      <c r="F70183"/>
    </row>
    <row r="70184" spans="1:6" x14ac:dyDescent="0.25">
      <c r="A70184"/>
      <c r="B70184"/>
      <c r="C70184"/>
      <c r="E70184"/>
      <c r="F70184"/>
    </row>
    <row r="70185" spans="1:6" x14ac:dyDescent="0.25">
      <c r="A70185"/>
      <c r="B70185"/>
      <c r="C70185"/>
      <c r="E70185"/>
      <c r="F70185"/>
    </row>
    <row r="70186" spans="1:6" x14ac:dyDescent="0.25">
      <c r="A70186"/>
      <c r="B70186"/>
      <c r="C70186"/>
      <c r="E70186"/>
      <c r="F70186"/>
    </row>
    <row r="70187" spans="1:6" x14ac:dyDescent="0.25">
      <c r="A70187"/>
      <c r="B70187"/>
      <c r="C70187"/>
      <c r="E70187"/>
      <c r="F70187"/>
    </row>
    <row r="70188" spans="1:6" x14ac:dyDescent="0.25">
      <c r="A70188"/>
      <c r="B70188"/>
      <c r="C70188"/>
      <c r="E70188"/>
      <c r="F70188"/>
    </row>
    <row r="70189" spans="1:6" x14ac:dyDescent="0.25">
      <c r="A70189"/>
      <c r="B70189"/>
      <c r="C70189"/>
      <c r="E70189"/>
      <c r="F70189"/>
    </row>
    <row r="70190" spans="1:6" x14ac:dyDescent="0.25">
      <c r="A70190"/>
      <c r="B70190"/>
      <c r="C70190"/>
      <c r="E70190"/>
      <c r="F70190"/>
    </row>
    <row r="70191" spans="1:6" x14ac:dyDescent="0.25">
      <c r="A70191"/>
      <c r="B70191"/>
      <c r="C70191"/>
      <c r="E70191"/>
      <c r="F70191"/>
    </row>
    <row r="70192" spans="1:6" x14ac:dyDescent="0.25">
      <c r="A70192"/>
      <c r="B70192"/>
      <c r="C70192"/>
      <c r="E70192"/>
      <c r="F70192"/>
    </row>
    <row r="70193" spans="1:6" x14ac:dyDescent="0.25">
      <c r="A70193"/>
      <c r="B70193"/>
      <c r="C70193"/>
      <c r="E70193"/>
      <c r="F70193"/>
    </row>
    <row r="70194" spans="1:6" x14ac:dyDescent="0.25">
      <c r="A70194"/>
      <c r="B70194"/>
      <c r="C70194"/>
      <c r="E70194"/>
      <c r="F70194"/>
    </row>
    <row r="70195" spans="1:6" x14ac:dyDescent="0.25">
      <c r="A70195"/>
      <c r="B70195"/>
      <c r="C70195"/>
      <c r="E70195"/>
      <c r="F70195"/>
    </row>
    <row r="70196" spans="1:6" x14ac:dyDescent="0.25">
      <c r="A70196"/>
      <c r="B70196"/>
      <c r="C70196"/>
      <c r="E70196"/>
      <c r="F70196"/>
    </row>
    <row r="70197" spans="1:6" x14ac:dyDescent="0.25">
      <c r="A70197"/>
      <c r="B70197"/>
      <c r="C70197"/>
      <c r="E70197"/>
      <c r="F70197"/>
    </row>
    <row r="70198" spans="1:6" x14ac:dyDescent="0.25">
      <c r="A70198"/>
      <c r="B70198"/>
      <c r="C70198"/>
      <c r="E70198"/>
      <c r="F70198"/>
    </row>
    <row r="70199" spans="1:6" x14ac:dyDescent="0.25">
      <c r="A70199"/>
      <c r="B70199"/>
      <c r="C70199"/>
      <c r="E70199"/>
      <c r="F70199"/>
    </row>
    <row r="70200" spans="1:6" x14ac:dyDescent="0.25">
      <c r="A70200"/>
      <c r="B70200"/>
      <c r="C70200"/>
      <c r="E70200"/>
      <c r="F70200"/>
    </row>
    <row r="70201" spans="1:6" x14ac:dyDescent="0.25">
      <c r="A70201"/>
      <c r="B70201"/>
      <c r="C70201"/>
      <c r="E70201"/>
      <c r="F70201"/>
    </row>
    <row r="70202" spans="1:6" x14ac:dyDescent="0.25">
      <c r="A70202"/>
      <c r="B70202"/>
      <c r="C70202"/>
      <c r="E70202"/>
      <c r="F70202"/>
    </row>
    <row r="70203" spans="1:6" x14ac:dyDescent="0.25">
      <c r="A70203"/>
      <c r="B70203"/>
      <c r="C70203"/>
      <c r="E70203"/>
      <c r="F70203"/>
    </row>
    <row r="70204" spans="1:6" x14ac:dyDescent="0.25">
      <c r="A70204"/>
      <c r="B70204"/>
      <c r="C70204"/>
      <c r="E70204"/>
      <c r="F70204"/>
    </row>
    <row r="70205" spans="1:6" x14ac:dyDescent="0.25">
      <c r="A70205"/>
      <c r="B70205"/>
      <c r="C70205"/>
      <c r="E70205"/>
      <c r="F70205"/>
    </row>
    <row r="70206" spans="1:6" x14ac:dyDescent="0.25">
      <c r="A70206"/>
      <c r="B70206"/>
      <c r="C70206"/>
      <c r="E70206"/>
      <c r="F70206"/>
    </row>
    <row r="70207" spans="1:6" x14ac:dyDescent="0.25">
      <c r="A70207"/>
      <c r="B70207"/>
      <c r="C70207"/>
      <c r="E70207"/>
      <c r="F70207"/>
    </row>
    <row r="70208" spans="1:6" x14ac:dyDescent="0.25">
      <c r="A70208"/>
      <c r="B70208"/>
      <c r="C70208"/>
      <c r="E70208"/>
      <c r="F70208"/>
    </row>
    <row r="70209" spans="1:6" x14ac:dyDescent="0.25">
      <c r="A70209"/>
      <c r="B70209"/>
      <c r="C70209"/>
      <c r="E70209"/>
      <c r="F70209"/>
    </row>
    <row r="70210" spans="1:6" x14ac:dyDescent="0.25">
      <c r="A70210"/>
      <c r="B70210"/>
      <c r="C70210"/>
      <c r="E70210"/>
      <c r="F70210"/>
    </row>
    <row r="70211" spans="1:6" x14ac:dyDescent="0.25">
      <c r="A70211"/>
      <c r="B70211"/>
      <c r="C70211"/>
      <c r="E70211"/>
      <c r="F70211"/>
    </row>
    <row r="70212" spans="1:6" x14ac:dyDescent="0.25">
      <c r="A70212"/>
      <c r="B70212"/>
      <c r="C70212"/>
      <c r="E70212"/>
      <c r="F70212"/>
    </row>
    <row r="70213" spans="1:6" x14ac:dyDescent="0.25">
      <c r="A70213"/>
      <c r="B70213"/>
      <c r="C70213"/>
      <c r="E70213"/>
      <c r="F70213"/>
    </row>
    <row r="70214" spans="1:6" x14ac:dyDescent="0.25">
      <c r="A70214"/>
      <c r="B70214"/>
      <c r="C70214"/>
      <c r="E70214"/>
      <c r="F70214"/>
    </row>
    <row r="70215" spans="1:6" x14ac:dyDescent="0.25">
      <c r="A70215"/>
      <c r="B70215"/>
      <c r="C70215"/>
      <c r="E70215"/>
      <c r="F70215"/>
    </row>
    <row r="70216" spans="1:6" x14ac:dyDescent="0.25">
      <c r="A70216"/>
      <c r="B70216"/>
      <c r="C70216"/>
      <c r="E70216"/>
      <c r="F70216"/>
    </row>
    <row r="70217" spans="1:6" x14ac:dyDescent="0.25">
      <c r="A70217"/>
      <c r="B70217"/>
      <c r="C70217"/>
      <c r="E70217"/>
      <c r="F70217"/>
    </row>
    <row r="70218" spans="1:6" x14ac:dyDescent="0.25">
      <c r="A70218"/>
      <c r="B70218"/>
      <c r="C70218"/>
      <c r="E70218"/>
      <c r="F70218"/>
    </row>
    <row r="70219" spans="1:6" x14ac:dyDescent="0.25">
      <c r="A70219"/>
      <c r="B70219"/>
      <c r="C70219"/>
      <c r="E70219"/>
      <c r="F70219"/>
    </row>
    <row r="70220" spans="1:6" x14ac:dyDescent="0.25">
      <c r="A70220"/>
      <c r="B70220"/>
      <c r="C70220"/>
      <c r="E70220"/>
      <c r="F70220"/>
    </row>
    <row r="70221" spans="1:6" x14ac:dyDescent="0.25">
      <c r="A70221"/>
      <c r="B70221"/>
      <c r="C70221"/>
      <c r="E70221"/>
      <c r="F70221"/>
    </row>
    <row r="70222" spans="1:6" x14ac:dyDescent="0.25">
      <c r="A70222"/>
      <c r="B70222"/>
      <c r="C70222"/>
      <c r="E70222"/>
      <c r="F70222"/>
    </row>
    <row r="70223" spans="1:6" x14ac:dyDescent="0.25">
      <c r="A70223"/>
      <c r="B70223"/>
      <c r="C70223"/>
      <c r="E70223"/>
      <c r="F70223"/>
    </row>
    <row r="70224" spans="1:6" x14ac:dyDescent="0.25">
      <c r="A70224"/>
      <c r="B70224"/>
      <c r="C70224"/>
      <c r="E70224"/>
      <c r="F70224"/>
    </row>
    <row r="70225" spans="1:6" x14ac:dyDescent="0.25">
      <c r="A70225"/>
      <c r="B70225"/>
      <c r="C70225"/>
      <c r="E70225"/>
      <c r="F70225"/>
    </row>
    <row r="70226" spans="1:6" x14ac:dyDescent="0.25">
      <c r="A70226"/>
      <c r="B70226"/>
      <c r="C70226"/>
      <c r="E70226"/>
      <c r="F70226"/>
    </row>
    <row r="70227" spans="1:6" x14ac:dyDescent="0.25">
      <c r="A70227"/>
      <c r="B70227"/>
      <c r="C70227"/>
      <c r="E70227"/>
      <c r="F70227"/>
    </row>
    <row r="70228" spans="1:6" x14ac:dyDescent="0.25">
      <c r="A70228"/>
      <c r="B70228"/>
      <c r="C70228"/>
      <c r="E70228"/>
      <c r="F70228"/>
    </row>
    <row r="70229" spans="1:6" x14ac:dyDescent="0.25">
      <c r="A70229"/>
      <c r="B70229"/>
      <c r="C70229"/>
      <c r="E70229"/>
      <c r="F70229"/>
    </row>
    <row r="70230" spans="1:6" x14ac:dyDescent="0.25">
      <c r="A70230"/>
      <c r="B70230"/>
      <c r="C70230"/>
      <c r="E70230"/>
      <c r="F70230"/>
    </row>
    <row r="70231" spans="1:6" x14ac:dyDescent="0.25">
      <c r="A70231"/>
      <c r="B70231"/>
      <c r="C70231"/>
      <c r="E70231"/>
      <c r="F70231"/>
    </row>
    <row r="70232" spans="1:6" x14ac:dyDescent="0.25">
      <c r="A70232"/>
      <c r="B70232"/>
      <c r="C70232"/>
      <c r="E70232"/>
      <c r="F70232"/>
    </row>
    <row r="70233" spans="1:6" x14ac:dyDescent="0.25">
      <c r="A70233"/>
      <c r="B70233"/>
      <c r="C70233"/>
      <c r="E70233"/>
      <c r="F70233"/>
    </row>
    <row r="70234" spans="1:6" x14ac:dyDescent="0.25">
      <c r="A70234"/>
      <c r="B70234"/>
      <c r="C70234"/>
      <c r="E70234"/>
      <c r="F70234"/>
    </row>
    <row r="70235" spans="1:6" x14ac:dyDescent="0.25">
      <c r="A70235"/>
      <c r="B70235"/>
      <c r="C70235"/>
      <c r="E70235"/>
      <c r="F70235"/>
    </row>
    <row r="70236" spans="1:6" x14ac:dyDescent="0.25">
      <c r="A70236"/>
      <c r="B70236"/>
      <c r="C70236"/>
      <c r="E70236"/>
      <c r="F70236"/>
    </row>
    <row r="70237" spans="1:6" x14ac:dyDescent="0.25">
      <c r="A70237"/>
      <c r="B70237"/>
      <c r="C70237"/>
      <c r="E70237"/>
      <c r="F70237"/>
    </row>
    <row r="70238" spans="1:6" x14ac:dyDescent="0.25">
      <c r="A70238"/>
      <c r="B70238"/>
      <c r="C70238"/>
      <c r="E70238"/>
      <c r="F70238"/>
    </row>
    <row r="70239" spans="1:6" x14ac:dyDescent="0.25">
      <c r="A70239"/>
      <c r="B70239"/>
      <c r="C70239"/>
      <c r="E70239"/>
      <c r="F70239"/>
    </row>
    <row r="70240" spans="1:6" x14ac:dyDescent="0.25">
      <c r="A70240"/>
      <c r="B70240"/>
      <c r="C70240"/>
      <c r="E70240"/>
      <c r="F70240"/>
    </row>
    <row r="70241" spans="1:6" x14ac:dyDescent="0.25">
      <c r="A70241"/>
      <c r="B70241"/>
      <c r="C70241"/>
      <c r="E70241"/>
      <c r="F70241"/>
    </row>
    <row r="70242" spans="1:6" x14ac:dyDescent="0.25">
      <c r="A70242"/>
      <c r="B70242"/>
      <c r="C70242"/>
      <c r="E70242"/>
      <c r="F70242"/>
    </row>
    <row r="70243" spans="1:6" x14ac:dyDescent="0.25">
      <c r="A70243"/>
      <c r="B70243"/>
      <c r="C70243"/>
      <c r="E70243"/>
      <c r="F70243"/>
    </row>
    <row r="70244" spans="1:6" x14ac:dyDescent="0.25">
      <c r="A70244"/>
      <c r="B70244"/>
      <c r="C70244"/>
      <c r="E70244"/>
      <c r="F70244"/>
    </row>
    <row r="70245" spans="1:6" x14ac:dyDescent="0.25">
      <c r="A70245"/>
      <c r="B70245"/>
      <c r="C70245"/>
      <c r="E70245"/>
      <c r="F70245"/>
    </row>
    <row r="70246" spans="1:6" x14ac:dyDescent="0.25">
      <c r="A70246"/>
      <c r="B70246"/>
      <c r="C70246"/>
      <c r="E70246"/>
      <c r="F70246"/>
    </row>
    <row r="70247" spans="1:6" x14ac:dyDescent="0.25">
      <c r="A70247"/>
      <c r="B70247"/>
      <c r="C70247"/>
      <c r="E70247"/>
      <c r="F70247"/>
    </row>
    <row r="70248" spans="1:6" x14ac:dyDescent="0.25">
      <c r="A70248"/>
      <c r="B70248"/>
      <c r="C70248"/>
      <c r="E70248"/>
      <c r="F70248"/>
    </row>
    <row r="70249" spans="1:6" x14ac:dyDescent="0.25">
      <c r="A70249"/>
      <c r="B70249"/>
      <c r="C70249"/>
      <c r="E70249"/>
      <c r="F70249"/>
    </row>
    <row r="70250" spans="1:6" x14ac:dyDescent="0.25">
      <c r="A70250"/>
      <c r="B70250"/>
      <c r="C70250"/>
      <c r="E70250"/>
      <c r="F70250"/>
    </row>
    <row r="70251" spans="1:6" x14ac:dyDescent="0.25">
      <c r="A70251"/>
      <c r="B70251"/>
      <c r="C70251"/>
      <c r="E70251"/>
      <c r="F70251"/>
    </row>
    <row r="70252" spans="1:6" x14ac:dyDescent="0.25">
      <c r="A70252"/>
      <c r="B70252"/>
      <c r="C70252"/>
      <c r="E70252"/>
      <c r="F70252"/>
    </row>
    <row r="70253" spans="1:6" x14ac:dyDescent="0.25">
      <c r="A70253"/>
      <c r="B70253"/>
      <c r="C70253"/>
      <c r="E70253"/>
      <c r="F70253"/>
    </row>
    <row r="70254" spans="1:6" x14ac:dyDescent="0.25">
      <c r="A70254"/>
      <c r="B70254"/>
      <c r="C70254"/>
      <c r="E70254"/>
      <c r="F70254"/>
    </row>
    <row r="70255" spans="1:6" x14ac:dyDescent="0.25">
      <c r="A70255"/>
      <c r="B70255"/>
      <c r="C70255"/>
      <c r="E70255"/>
      <c r="F70255"/>
    </row>
    <row r="70256" spans="1:6" x14ac:dyDescent="0.25">
      <c r="A70256"/>
      <c r="B70256"/>
      <c r="C70256"/>
      <c r="E70256"/>
      <c r="F70256"/>
    </row>
    <row r="70257" spans="1:6" x14ac:dyDescent="0.25">
      <c r="A70257"/>
      <c r="B70257"/>
      <c r="C70257"/>
      <c r="E70257"/>
      <c r="F70257"/>
    </row>
    <row r="70258" spans="1:6" x14ac:dyDescent="0.25">
      <c r="A70258"/>
      <c r="B70258"/>
      <c r="C70258"/>
      <c r="E70258"/>
      <c r="F70258"/>
    </row>
    <row r="70259" spans="1:6" x14ac:dyDescent="0.25">
      <c r="A70259"/>
      <c r="B70259"/>
      <c r="C70259"/>
      <c r="E70259"/>
      <c r="F70259"/>
    </row>
    <row r="70260" spans="1:6" x14ac:dyDescent="0.25">
      <c r="A70260"/>
      <c r="B70260"/>
      <c r="C70260"/>
      <c r="E70260"/>
      <c r="F70260"/>
    </row>
    <row r="70261" spans="1:6" x14ac:dyDescent="0.25">
      <c r="A70261"/>
      <c r="B70261"/>
      <c r="C70261"/>
      <c r="E70261"/>
      <c r="F70261"/>
    </row>
    <row r="70262" spans="1:6" x14ac:dyDescent="0.25">
      <c r="A70262"/>
      <c r="B70262"/>
      <c r="C70262"/>
      <c r="E70262"/>
      <c r="F70262"/>
    </row>
    <row r="70263" spans="1:6" x14ac:dyDescent="0.25">
      <c r="A70263"/>
      <c r="B70263"/>
      <c r="C70263"/>
      <c r="E70263"/>
      <c r="F70263"/>
    </row>
    <row r="70264" spans="1:6" x14ac:dyDescent="0.25">
      <c r="A70264"/>
      <c r="B70264"/>
      <c r="C70264"/>
      <c r="E70264"/>
      <c r="F70264"/>
    </row>
    <row r="70265" spans="1:6" x14ac:dyDescent="0.25">
      <c r="A70265"/>
      <c r="B70265"/>
      <c r="C70265"/>
      <c r="E70265"/>
      <c r="F70265"/>
    </row>
    <row r="70266" spans="1:6" x14ac:dyDescent="0.25">
      <c r="A70266"/>
      <c r="B70266"/>
      <c r="C70266"/>
      <c r="E70266"/>
      <c r="F70266"/>
    </row>
    <row r="70267" spans="1:6" x14ac:dyDescent="0.25">
      <c r="A70267"/>
      <c r="B70267"/>
      <c r="C70267"/>
      <c r="E70267"/>
      <c r="F70267"/>
    </row>
    <row r="70268" spans="1:6" x14ac:dyDescent="0.25">
      <c r="A70268"/>
      <c r="B70268"/>
      <c r="C70268"/>
      <c r="E70268"/>
      <c r="F70268"/>
    </row>
    <row r="70269" spans="1:6" x14ac:dyDescent="0.25">
      <c r="A70269"/>
      <c r="B70269"/>
      <c r="C70269"/>
      <c r="E70269"/>
      <c r="F70269"/>
    </row>
    <row r="70270" spans="1:6" x14ac:dyDescent="0.25">
      <c r="A70270"/>
      <c r="B70270"/>
      <c r="C70270"/>
      <c r="E70270"/>
      <c r="F70270"/>
    </row>
    <row r="70271" spans="1:6" x14ac:dyDescent="0.25">
      <c r="A70271"/>
      <c r="B70271"/>
      <c r="C70271"/>
      <c r="E70271"/>
      <c r="F70271"/>
    </row>
    <row r="70272" spans="1:6" x14ac:dyDescent="0.25">
      <c r="A70272"/>
      <c r="B70272"/>
      <c r="C70272"/>
      <c r="E70272"/>
      <c r="F70272"/>
    </row>
    <row r="70273" spans="1:6" x14ac:dyDescent="0.25">
      <c r="A70273"/>
      <c r="B70273"/>
      <c r="C70273"/>
      <c r="E70273"/>
      <c r="F70273"/>
    </row>
    <row r="70274" spans="1:6" x14ac:dyDescent="0.25">
      <c r="A70274"/>
      <c r="B70274"/>
      <c r="C70274"/>
      <c r="E70274"/>
      <c r="F70274"/>
    </row>
    <row r="70275" spans="1:6" x14ac:dyDescent="0.25">
      <c r="A70275"/>
      <c r="B70275"/>
      <c r="C70275"/>
      <c r="E70275"/>
      <c r="F70275"/>
    </row>
    <row r="70276" spans="1:6" x14ac:dyDescent="0.25">
      <c r="A70276"/>
      <c r="B70276"/>
      <c r="C70276"/>
      <c r="E70276"/>
      <c r="F70276"/>
    </row>
    <row r="70277" spans="1:6" x14ac:dyDescent="0.25">
      <c r="A70277"/>
      <c r="B70277"/>
      <c r="C70277"/>
      <c r="E70277"/>
      <c r="F70277"/>
    </row>
    <row r="70278" spans="1:6" x14ac:dyDescent="0.25">
      <c r="A70278"/>
      <c r="B70278"/>
      <c r="C70278"/>
      <c r="E70278"/>
      <c r="F70278"/>
    </row>
    <row r="70279" spans="1:6" x14ac:dyDescent="0.25">
      <c r="A70279"/>
      <c r="B70279"/>
      <c r="C70279"/>
      <c r="E70279"/>
      <c r="F70279"/>
    </row>
    <row r="70280" spans="1:6" x14ac:dyDescent="0.25">
      <c r="A70280"/>
      <c r="B70280"/>
      <c r="C70280"/>
      <c r="E70280"/>
      <c r="F70280"/>
    </row>
    <row r="70281" spans="1:6" x14ac:dyDescent="0.25">
      <c r="A70281"/>
      <c r="B70281"/>
      <c r="C70281"/>
      <c r="E70281"/>
      <c r="F70281"/>
    </row>
    <row r="70282" spans="1:6" x14ac:dyDescent="0.25">
      <c r="A70282"/>
      <c r="B70282"/>
      <c r="C70282"/>
      <c r="E70282"/>
      <c r="F70282"/>
    </row>
    <row r="70283" spans="1:6" x14ac:dyDescent="0.25">
      <c r="A70283"/>
      <c r="B70283"/>
      <c r="C70283"/>
      <c r="E70283"/>
      <c r="F70283"/>
    </row>
    <row r="70284" spans="1:6" x14ac:dyDescent="0.25">
      <c r="A70284"/>
      <c r="B70284"/>
      <c r="C70284"/>
      <c r="E70284"/>
      <c r="F70284"/>
    </row>
    <row r="70285" spans="1:6" x14ac:dyDescent="0.25">
      <c r="A70285"/>
      <c r="B70285"/>
      <c r="C70285"/>
      <c r="E70285"/>
      <c r="F70285"/>
    </row>
    <row r="70286" spans="1:6" x14ac:dyDescent="0.25">
      <c r="A70286"/>
      <c r="B70286"/>
      <c r="C70286"/>
      <c r="E70286"/>
      <c r="F70286"/>
    </row>
    <row r="70287" spans="1:6" x14ac:dyDescent="0.25">
      <c r="A70287"/>
      <c r="B70287"/>
      <c r="C70287"/>
      <c r="E70287"/>
      <c r="F70287"/>
    </row>
    <row r="70288" spans="1:6" x14ac:dyDescent="0.25">
      <c r="A70288"/>
      <c r="B70288"/>
      <c r="C70288"/>
      <c r="E70288"/>
      <c r="F70288"/>
    </row>
    <row r="70289" spans="1:6" x14ac:dyDescent="0.25">
      <c r="A70289"/>
      <c r="B70289"/>
      <c r="C70289"/>
      <c r="E70289"/>
      <c r="F70289"/>
    </row>
    <row r="70290" spans="1:6" x14ac:dyDescent="0.25">
      <c r="A70290"/>
      <c r="B70290"/>
      <c r="C70290"/>
      <c r="E70290"/>
      <c r="F70290"/>
    </row>
    <row r="70291" spans="1:6" x14ac:dyDescent="0.25">
      <c r="A70291"/>
      <c r="B70291"/>
      <c r="C70291"/>
      <c r="E70291"/>
      <c r="F70291"/>
    </row>
    <row r="70292" spans="1:6" x14ac:dyDescent="0.25">
      <c r="A70292"/>
      <c r="B70292"/>
      <c r="C70292"/>
      <c r="E70292"/>
      <c r="F70292"/>
    </row>
    <row r="70293" spans="1:6" x14ac:dyDescent="0.25">
      <c r="A70293"/>
      <c r="B70293"/>
      <c r="C70293"/>
      <c r="E70293"/>
      <c r="F70293"/>
    </row>
    <row r="70294" spans="1:6" x14ac:dyDescent="0.25">
      <c r="A70294"/>
      <c r="B70294"/>
      <c r="C70294"/>
      <c r="E70294"/>
      <c r="F70294"/>
    </row>
    <row r="70295" spans="1:6" x14ac:dyDescent="0.25">
      <c r="A70295"/>
      <c r="B70295"/>
      <c r="C70295"/>
      <c r="E70295"/>
      <c r="F70295"/>
    </row>
    <row r="70296" spans="1:6" x14ac:dyDescent="0.25">
      <c r="A70296"/>
      <c r="B70296"/>
      <c r="C70296"/>
      <c r="E70296"/>
      <c r="F70296"/>
    </row>
    <row r="70297" spans="1:6" x14ac:dyDescent="0.25">
      <c r="A70297"/>
      <c r="B70297"/>
      <c r="C70297"/>
      <c r="E70297"/>
      <c r="F70297"/>
    </row>
    <row r="70298" spans="1:6" x14ac:dyDescent="0.25">
      <c r="A70298"/>
      <c r="B70298"/>
      <c r="C70298"/>
      <c r="E70298"/>
      <c r="F70298"/>
    </row>
    <row r="70299" spans="1:6" x14ac:dyDescent="0.25">
      <c r="A70299"/>
      <c r="B70299"/>
      <c r="C70299"/>
      <c r="E70299"/>
      <c r="F70299"/>
    </row>
    <row r="70300" spans="1:6" x14ac:dyDescent="0.25">
      <c r="A70300"/>
      <c r="B70300"/>
      <c r="C70300"/>
      <c r="E70300"/>
      <c r="F70300"/>
    </row>
    <row r="70301" spans="1:6" x14ac:dyDescent="0.25">
      <c r="A70301"/>
      <c r="B70301"/>
      <c r="C70301"/>
      <c r="E70301"/>
      <c r="F70301"/>
    </row>
    <row r="70302" spans="1:6" x14ac:dyDescent="0.25">
      <c r="A70302"/>
      <c r="B70302"/>
      <c r="C70302"/>
      <c r="E70302"/>
      <c r="F70302"/>
    </row>
    <row r="70303" spans="1:6" x14ac:dyDescent="0.25">
      <c r="A70303"/>
      <c r="B70303"/>
      <c r="C70303"/>
      <c r="E70303"/>
      <c r="F70303"/>
    </row>
    <row r="70304" spans="1:6" x14ac:dyDescent="0.25">
      <c r="A70304"/>
      <c r="B70304"/>
      <c r="C70304"/>
      <c r="E70304"/>
      <c r="F70304"/>
    </row>
    <row r="70305" spans="1:6" x14ac:dyDescent="0.25">
      <c r="A70305"/>
      <c r="B70305"/>
      <c r="C70305"/>
      <c r="E70305"/>
      <c r="F70305"/>
    </row>
    <row r="70306" spans="1:6" x14ac:dyDescent="0.25">
      <c r="A70306"/>
      <c r="B70306"/>
      <c r="C70306"/>
      <c r="E70306"/>
      <c r="F70306"/>
    </row>
    <row r="70307" spans="1:6" x14ac:dyDescent="0.25">
      <c r="A70307"/>
      <c r="B70307"/>
      <c r="C70307"/>
      <c r="E70307"/>
      <c r="F70307"/>
    </row>
    <row r="70308" spans="1:6" x14ac:dyDescent="0.25">
      <c r="A70308"/>
      <c r="B70308"/>
      <c r="C70308"/>
      <c r="E70308"/>
      <c r="F70308"/>
    </row>
    <row r="70309" spans="1:6" x14ac:dyDescent="0.25">
      <c r="A70309"/>
      <c r="B70309"/>
      <c r="C70309"/>
      <c r="E70309"/>
      <c r="F70309"/>
    </row>
    <row r="70310" spans="1:6" x14ac:dyDescent="0.25">
      <c r="A70310"/>
      <c r="B70310"/>
      <c r="C70310"/>
      <c r="E70310"/>
      <c r="F70310"/>
    </row>
    <row r="70311" spans="1:6" x14ac:dyDescent="0.25">
      <c r="A70311"/>
      <c r="B70311"/>
      <c r="C70311"/>
      <c r="E70311"/>
      <c r="F70311"/>
    </row>
    <row r="70312" spans="1:6" x14ac:dyDescent="0.25">
      <c r="A70312"/>
      <c r="B70312"/>
      <c r="C70312"/>
      <c r="E70312"/>
      <c r="F70312"/>
    </row>
    <row r="70313" spans="1:6" x14ac:dyDescent="0.25">
      <c r="A70313"/>
      <c r="B70313"/>
      <c r="C70313"/>
      <c r="E70313"/>
      <c r="F70313"/>
    </row>
    <row r="70314" spans="1:6" x14ac:dyDescent="0.25">
      <c r="A70314"/>
      <c r="B70314"/>
      <c r="C70314"/>
      <c r="E70314"/>
      <c r="F70314"/>
    </row>
    <row r="70315" spans="1:6" x14ac:dyDescent="0.25">
      <c r="A70315"/>
      <c r="B70315"/>
      <c r="C70315"/>
      <c r="E70315"/>
      <c r="F70315"/>
    </row>
    <row r="70316" spans="1:6" x14ac:dyDescent="0.25">
      <c r="A70316"/>
      <c r="B70316"/>
      <c r="C70316"/>
      <c r="E70316"/>
      <c r="F70316"/>
    </row>
    <row r="70317" spans="1:6" x14ac:dyDescent="0.25">
      <c r="A70317"/>
      <c r="B70317"/>
      <c r="C70317"/>
      <c r="E70317"/>
      <c r="F70317"/>
    </row>
    <row r="70318" spans="1:6" x14ac:dyDescent="0.25">
      <c r="A70318"/>
      <c r="B70318"/>
      <c r="C70318"/>
      <c r="E70318"/>
      <c r="F70318"/>
    </row>
    <row r="70319" spans="1:6" x14ac:dyDescent="0.25">
      <c r="A70319"/>
      <c r="B70319"/>
      <c r="C70319"/>
      <c r="E70319"/>
      <c r="F70319"/>
    </row>
    <row r="70320" spans="1:6" x14ac:dyDescent="0.25">
      <c r="A70320"/>
      <c r="B70320"/>
      <c r="C70320"/>
      <c r="E70320"/>
      <c r="F70320"/>
    </row>
    <row r="70321" spans="1:6" x14ac:dyDescent="0.25">
      <c r="A70321"/>
      <c r="B70321"/>
      <c r="C70321"/>
      <c r="E70321"/>
      <c r="F70321"/>
    </row>
    <row r="70322" spans="1:6" x14ac:dyDescent="0.25">
      <c r="A70322"/>
      <c r="B70322"/>
      <c r="C70322"/>
      <c r="E70322"/>
      <c r="F70322"/>
    </row>
    <row r="70323" spans="1:6" x14ac:dyDescent="0.25">
      <c r="A70323"/>
      <c r="B70323"/>
      <c r="C70323"/>
      <c r="E70323"/>
      <c r="F70323"/>
    </row>
    <row r="70324" spans="1:6" x14ac:dyDescent="0.25">
      <c r="A70324"/>
      <c r="B70324"/>
      <c r="C70324"/>
      <c r="E70324"/>
      <c r="F70324"/>
    </row>
    <row r="70325" spans="1:6" x14ac:dyDescent="0.25">
      <c r="A70325"/>
      <c r="B70325"/>
      <c r="C70325"/>
      <c r="E70325"/>
      <c r="F70325"/>
    </row>
    <row r="70326" spans="1:6" x14ac:dyDescent="0.25">
      <c r="A70326"/>
      <c r="B70326"/>
      <c r="C70326"/>
      <c r="E70326"/>
      <c r="F70326"/>
    </row>
    <row r="70327" spans="1:6" x14ac:dyDescent="0.25">
      <c r="A70327"/>
      <c r="B70327"/>
      <c r="C70327"/>
      <c r="E70327"/>
      <c r="F70327"/>
    </row>
    <row r="70328" spans="1:6" x14ac:dyDescent="0.25">
      <c r="A70328"/>
      <c r="B70328"/>
      <c r="C70328"/>
      <c r="E70328"/>
      <c r="F70328"/>
    </row>
    <row r="70329" spans="1:6" x14ac:dyDescent="0.25">
      <c r="A70329"/>
      <c r="B70329"/>
      <c r="C70329"/>
      <c r="E70329"/>
      <c r="F70329"/>
    </row>
    <row r="70330" spans="1:6" x14ac:dyDescent="0.25">
      <c r="A70330"/>
      <c r="B70330"/>
      <c r="C70330"/>
      <c r="E70330"/>
      <c r="F70330"/>
    </row>
    <row r="70331" spans="1:6" x14ac:dyDescent="0.25">
      <c r="A70331"/>
      <c r="B70331"/>
      <c r="C70331"/>
      <c r="E70331"/>
      <c r="F70331"/>
    </row>
    <row r="70332" spans="1:6" x14ac:dyDescent="0.25">
      <c r="A70332"/>
      <c r="B70332"/>
      <c r="C70332"/>
      <c r="E70332"/>
      <c r="F70332"/>
    </row>
    <row r="70333" spans="1:6" x14ac:dyDescent="0.25">
      <c r="A70333"/>
      <c r="B70333"/>
      <c r="C70333"/>
      <c r="E70333"/>
      <c r="F70333"/>
    </row>
    <row r="70334" spans="1:6" x14ac:dyDescent="0.25">
      <c r="A70334"/>
      <c r="B70334"/>
      <c r="C70334"/>
      <c r="E70334"/>
      <c r="F70334"/>
    </row>
    <row r="70335" spans="1:6" x14ac:dyDescent="0.25">
      <c r="A70335"/>
      <c r="B70335"/>
      <c r="C70335"/>
      <c r="E70335"/>
      <c r="F70335"/>
    </row>
    <row r="70336" spans="1:6" x14ac:dyDescent="0.25">
      <c r="A70336"/>
      <c r="B70336"/>
      <c r="C70336"/>
      <c r="E70336"/>
      <c r="F70336"/>
    </row>
    <row r="70337" spans="1:6" x14ac:dyDescent="0.25">
      <c r="A70337"/>
      <c r="B70337"/>
      <c r="C70337"/>
      <c r="E70337"/>
      <c r="F70337"/>
    </row>
    <row r="70338" spans="1:6" x14ac:dyDescent="0.25">
      <c r="A70338"/>
      <c r="B70338"/>
      <c r="C70338"/>
      <c r="E70338"/>
      <c r="F70338"/>
    </row>
    <row r="70339" spans="1:6" x14ac:dyDescent="0.25">
      <c r="A70339"/>
      <c r="B70339"/>
      <c r="C70339"/>
      <c r="E70339"/>
      <c r="F70339"/>
    </row>
    <row r="70340" spans="1:6" x14ac:dyDescent="0.25">
      <c r="A70340"/>
      <c r="B70340"/>
      <c r="C70340"/>
      <c r="E70340"/>
      <c r="F70340"/>
    </row>
    <row r="70341" spans="1:6" x14ac:dyDescent="0.25">
      <c r="A70341"/>
      <c r="B70341"/>
      <c r="C70341"/>
      <c r="E70341"/>
      <c r="F70341"/>
    </row>
    <row r="70342" spans="1:6" x14ac:dyDescent="0.25">
      <c r="A70342"/>
      <c r="B70342"/>
      <c r="C70342"/>
      <c r="E70342"/>
      <c r="F70342"/>
    </row>
    <row r="70343" spans="1:6" x14ac:dyDescent="0.25">
      <c r="A70343"/>
      <c r="B70343"/>
      <c r="C70343"/>
      <c r="E70343"/>
      <c r="F70343"/>
    </row>
    <row r="70344" spans="1:6" x14ac:dyDescent="0.25">
      <c r="A70344"/>
      <c r="B70344"/>
      <c r="C70344"/>
      <c r="E70344"/>
      <c r="F70344"/>
    </row>
    <row r="70345" spans="1:6" x14ac:dyDescent="0.25">
      <c r="A70345"/>
      <c r="B70345"/>
      <c r="C70345"/>
      <c r="E70345"/>
      <c r="F70345"/>
    </row>
    <row r="70346" spans="1:6" x14ac:dyDescent="0.25">
      <c r="A70346"/>
      <c r="B70346"/>
      <c r="C70346"/>
      <c r="E70346"/>
      <c r="F70346"/>
    </row>
    <row r="70347" spans="1:6" x14ac:dyDescent="0.25">
      <c r="A70347"/>
      <c r="B70347"/>
      <c r="C70347"/>
      <c r="E70347"/>
      <c r="F70347"/>
    </row>
    <row r="70348" spans="1:6" x14ac:dyDescent="0.25">
      <c r="A70348"/>
      <c r="B70348"/>
      <c r="C70348"/>
      <c r="E70348"/>
      <c r="F70348"/>
    </row>
    <row r="70349" spans="1:6" x14ac:dyDescent="0.25">
      <c r="A70349"/>
      <c r="B70349"/>
      <c r="C70349"/>
      <c r="E70349"/>
      <c r="F70349"/>
    </row>
    <row r="70350" spans="1:6" x14ac:dyDescent="0.25">
      <c r="A70350"/>
      <c r="B70350"/>
      <c r="C70350"/>
      <c r="E70350"/>
      <c r="F70350"/>
    </row>
    <row r="70351" spans="1:6" x14ac:dyDescent="0.25">
      <c r="A70351"/>
      <c r="B70351"/>
      <c r="C70351"/>
      <c r="E70351"/>
      <c r="F70351"/>
    </row>
    <row r="70352" spans="1:6" x14ac:dyDescent="0.25">
      <c r="A70352"/>
      <c r="B70352"/>
      <c r="C70352"/>
      <c r="E70352"/>
      <c r="F70352"/>
    </row>
    <row r="70353" spans="1:6" x14ac:dyDescent="0.25">
      <c r="A70353"/>
      <c r="B70353"/>
      <c r="C70353"/>
      <c r="E70353"/>
      <c r="F70353"/>
    </row>
    <row r="70354" spans="1:6" x14ac:dyDescent="0.25">
      <c r="A70354"/>
      <c r="B70354"/>
      <c r="C70354"/>
      <c r="E70354"/>
      <c r="F70354"/>
    </row>
    <row r="70355" spans="1:6" x14ac:dyDescent="0.25">
      <c r="A70355"/>
      <c r="B70355"/>
      <c r="C70355"/>
      <c r="E70355"/>
      <c r="F70355"/>
    </row>
    <row r="70356" spans="1:6" x14ac:dyDescent="0.25">
      <c r="A70356"/>
      <c r="B70356"/>
      <c r="C70356"/>
      <c r="E70356"/>
      <c r="F70356"/>
    </row>
    <row r="70357" spans="1:6" x14ac:dyDescent="0.25">
      <c r="A70357"/>
      <c r="B70357"/>
      <c r="C70357"/>
      <c r="E70357"/>
      <c r="F70357"/>
    </row>
    <row r="70358" spans="1:6" x14ac:dyDescent="0.25">
      <c r="A70358"/>
      <c r="B70358"/>
      <c r="C70358"/>
      <c r="E70358"/>
      <c r="F70358"/>
    </row>
    <row r="70359" spans="1:6" x14ac:dyDescent="0.25">
      <c r="A70359"/>
      <c r="B70359"/>
      <c r="C70359"/>
      <c r="E70359"/>
      <c r="F70359"/>
    </row>
    <row r="70360" spans="1:6" x14ac:dyDescent="0.25">
      <c r="A70360"/>
      <c r="B70360"/>
      <c r="C70360"/>
      <c r="E70360"/>
      <c r="F70360"/>
    </row>
    <row r="70361" spans="1:6" x14ac:dyDescent="0.25">
      <c r="A70361"/>
      <c r="B70361"/>
      <c r="C70361"/>
      <c r="E70361"/>
      <c r="F70361"/>
    </row>
    <row r="70362" spans="1:6" x14ac:dyDescent="0.25">
      <c r="A70362"/>
      <c r="B70362"/>
      <c r="C70362"/>
      <c r="E70362"/>
      <c r="F70362"/>
    </row>
    <row r="70363" spans="1:6" x14ac:dyDescent="0.25">
      <c r="A70363"/>
      <c r="B70363"/>
      <c r="C70363"/>
      <c r="E70363"/>
      <c r="F70363"/>
    </row>
    <row r="70364" spans="1:6" x14ac:dyDescent="0.25">
      <c r="A70364"/>
      <c r="B70364"/>
      <c r="C70364"/>
      <c r="E70364"/>
      <c r="F70364"/>
    </row>
    <row r="70365" spans="1:6" x14ac:dyDescent="0.25">
      <c r="A70365"/>
      <c r="B70365"/>
      <c r="C70365"/>
      <c r="E70365"/>
      <c r="F70365"/>
    </row>
    <row r="70366" spans="1:6" x14ac:dyDescent="0.25">
      <c r="A70366"/>
      <c r="B70366"/>
      <c r="C70366"/>
      <c r="E70366"/>
      <c r="F70366"/>
    </row>
    <row r="70367" spans="1:6" x14ac:dyDescent="0.25">
      <c r="A70367"/>
      <c r="B70367"/>
      <c r="C70367"/>
      <c r="E70367"/>
      <c r="F70367"/>
    </row>
    <row r="70368" spans="1:6" x14ac:dyDescent="0.25">
      <c r="A70368"/>
      <c r="B70368"/>
      <c r="C70368"/>
      <c r="E70368"/>
      <c r="F70368"/>
    </row>
    <row r="70369" spans="1:6" x14ac:dyDescent="0.25">
      <c r="A70369"/>
      <c r="B70369"/>
      <c r="C70369"/>
      <c r="E70369"/>
      <c r="F70369"/>
    </row>
    <row r="70370" spans="1:6" x14ac:dyDescent="0.25">
      <c r="A70370"/>
      <c r="B70370"/>
      <c r="C70370"/>
      <c r="E70370"/>
      <c r="F70370"/>
    </row>
    <row r="70371" spans="1:6" x14ac:dyDescent="0.25">
      <c r="A70371"/>
      <c r="B70371"/>
      <c r="C70371"/>
      <c r="E70371"/>
      <c r="F70371"/>
    </row>
    <row r="70372" spans="1:6" x14ac:dyDescent="0.25">
      <c r="A70372"/>
      <c r="B70372"/>
      <c r="C70372"/>
      <c r="E70372"/>
      <c r="F70372"/>
    </row>
    <row r="70373" spans="1:6" x14ac:dyDescent="0.25">
      <c r="A70373"/>
      <c r="B70373"/>
      <c r="C70373"/>
      <c r="E70373"/>
      <c r="F70373"/>
    </row>
    <row r="70374" spans="1:6" x14ac:dyDescent="0.25">
      <c r="A70374"/>
      <c r="B70374"/>
      <c r="C70374"/>
      <c r="E70374"/>
      <c r="F70374"/>
    </row>
    <row r="70375" spans="1:6" x14ac:dyDescent="0.25">
      <c r="A70375"/>
      <c r="B70375"/>
      <c r="C70375"/>
      <c r="E70375"/>
      <c r="F70375"/>
    </row>
    <row r="70376" spans="1:6" x14ac:dyDescent="0.25">
      <c r="A70376"/>
      <c r="B70376"/>
      <c r="C70376"/>
      <c r="E70376"/>
      <c r="F70376"/>
    </row>
    <row r="70377" spans="1:6" x14ac:dyDescent="0.25">
      <c r="A70377"/>
      <c r="B70377"/>
      <c r="C70377"/>
      <c r="E70377"/>
      <c r="F70377"/>
    </row>
    <row r="70378" spans="1:6" x14ac:dyDescent="0.25">
      <c r="A70378"/>
      <c r="B70378"/>
      <c r="C70378"/>
      <c r="E70378"/>
      <c r="F70378"/>
    </row>
    <row r="70379" spans="1:6" x14ac:dyDescent="0.25">
      <c r="A70379"/>
      <c r="B70379"/>
      <c r="C70379"/>
      <c r="E70379"/>
      <c r="F70379"/>
    </row>
    <row r="70380" spans="1:6" x14ac:dyDescent="0.25">
      <c r="A70380"/>
      <c r="B70380"/>
      <c r="C70380"/>
      <c r="E70380"/>
      <c r="F70380"/>
    </row>
    <row r="70381" spans="1:6" x14ac:dyDescent="0.25">
      <c r="A70381"/>
      <c r="B70381"/>
      <c r="C70381"/>
      <c r="E70381"/>
      <c r="F70381"/>
    </row>
    <row r="70382" spans="1:6" x14ac:dyDescent="0.25">
      <c r="A70382"/>
      <c r="B70382"/>
      <c r="C70382"/>
      <c r="E70382"/>
      <c r="F70382"/>
    </row>
    <row r="70383" spans="1:6" x14ac:dyDescent="0.25">
      <c r="A70383"/>
      <c r="B70383"/>
      <c r="C70383"/>
      <c r="E70383"/>
      <c r="F70383"/>
    </row>
    <row r="70384" spans="1:6" x14ac:dyDescent="0.25">
      <c r="A70384"/>
      <c r="B70384"/>
      <c r="C70384"/>
      <c r="E70384"/>
      <c r="F70384"/>
    </row>
    <row r="70385" spans="1:6" x14ac:dyDescent="0.25">
      <c r="A70385"/>
      <c r="B70385"/>
      <c r="C70385"/>
      <c r="E70385"/>
      <c r="F70385"/>
    </row>
    <row r="70386" spans="1:6" x14ac:dyDescent="0.25">
      <c r="A70386"/>
      <c r="B70386"/>
      <c r="C70386"/>
      <c r="E70386"/>
      <c r="F70386"/>
    </row>
    <row r="70387" spans="1:6" x14ac:dyDescent="0.25">
      <c r="A70387"/>
      <c r="B70387"/>
      <c r="C70387"/>
      <c r="E70387"/>
      <c r="F70387"/>
    </row>
    <row r="70388" spans="1:6" x14ac:dyDescent="0.25">
      <c r="A70388"/>
      <c r="B70388"/>
      <c r="C70388"/>
      <c r="E70388"/>
      <c r="F70388"/>
    </row>
    <row r="70389" spans="1:6" x14ac:dyDescent="0.25">
      <c r="A70389"/>
      <c r="B70389"/>
      <c r="C70389"/>
      <c r="E70389"/>
      <c r="F70389"/>
    </row>
    <row r="70390" spans="1:6" x14ac:dyDescent="0.25">
      <c r="A70390"/>
      <c r="B70390"/>
      <c r="C70390"/>
      <c r="E70390"/>
      <c r="F70390"/>
    </row>
    <row r="70391" spans="1:6" x14ac:dyDescent="0.25">
      <c r="A70391"/>
      <c r="B70391"/>
      <c r="C70391"/>
      <c r="E70391"/>
      <c r="F70391"/>
    </row>
    <row r="70392" spans="1:6" x14ac:dyDescent="0.25">
      <c r="A70392"/>
      <c r="B70392"/>
      <c r="C70392"/>
      <c r="E70392"/>
      <c r="F70392"/>
    </row>
    <row r="70393" spans="1:6" x14ac:dyDescent="0.25">
      <c r="A70393"/>
      <c r="B70393"/>
      <c r="C70393"/>
      <c r="E70393"/>
      <c r="F70393"/>
    </row>
    <row r="70394" spans="1:6" x14ac:dyDescent="0.25">
      <c r="A70394"/>
      <c r="B70394"/>
      <c r="C70394"/>
      <c r="E70394"/>
      <c r="F70394"/>
    </row>
    <row r="70395" spans="1:6" x14ac:dyDescent="0.25">
      <c r="A70395"/>
      <c r="B70395"/>
      <c r="C70395"/>
      <c r="E70395"/>
      <c r="F70395"/>
    </row>
    <row r="70396" spans="1:6" x14ac:dyDescent="0.25">
      <c r="A70396"/>
      <c r="B70396"/>
      <c r="C70396"/>
      <c r="E70396"/>
      <c r="F70396"/>
    </row>
    <row r="70397" spans="1:6" x14ac:dyDescent="0.25">
      <c r="A70397"/>
      <c r="B70397"/>
      <c r="C70397"/>
      <c r="E70397"/>
      <c r="F70397"/>
    </row>
    <row r="70398" spans="1:6" x14ac:dyDescent="0.25">
      <c r="A70398"/>
      <c r="B70398"/>
      <c r="C70398"/>
      <c r="E70398"/>
      <c r="F70398"/>
    </row>
    <row r="70399" spans="1:6" x14ac:dyDescent="0.25">
      <c r="A70399"/>
      <c r="B70399"/>
      <c r="C70399"/>
      <c r="E70399"/>
      <c r="F70399"/>
    </row>
    <row r="70400" spans="1:6" x14ac:dyDescent="0.25">
      <c r="A70400"/>
      <c r="B70400"/>
      <c r="C70400"/>
      <c r="E70400"/>
      <c r="F70400"/>
    </row>
    <row r="70401" spans="1:6" x14ac:dyDescent="0.25">
      <c r="A70401"/>
      <c r="B70401"/>
      <c r="C70401"/>
      <c r="E70401"/>
      <c r="F70401"/>
    </row>
    <row r="70402" spans="1:6" x14ac:dyDescent="0.25">
      <c r="A70402"/>
      <c r="B70402"/>
      <c r="C70402"/>
      <c r="E70402"/>
      <c r="F70402"/>
    </row>
    <row r="70403" spans="1:6" x14ac:dyDescent="0.25">
      <c r="A70403"/>
      <c r="B70403"/>
      <c r="C70403"/>
      <c r="E70403"/>
      <c r="F70403"/>
    </row>
    <row r="70404" spans="1:6" x14ac:dyDescent="0.25">
      <c r="A70404"/>
      <c r="B70404"/>
      <c r="C70404"/>
      <c r="E70404"/>
      <c r="F70404"/>
    </row>
    <row r="70405" spans="1:6" x14ac:dyDescent="0.25">
      <c r="A70405"/>
      <c r="B70405"/>
      <c r="C70405"/>
      <c r="E70405"/>
      <c r="F70405"/>
    </row>
    <row r="70406" spans="1:6" x14ac:dyDescent="0.25">
      <c r="A70406"/>
      <c r="B70406"/>
      <c r="C70406"/>
      <c r="E70406"/>
      <c r="F70406"/>
    </row>
    <row r="70407" spans="1:6" x14ac:dyDescent="0.25">
      <c r="A70407"/>
      <c r="B70407"/>
      <c r="C70407"/>
      <c r="E70407"/>
      <c r="F70407"/>
    </row>
    <row r="70408" spans="1:6" x14ac:dyDescent="0.25">
      <c r="A70408"/>
      <c r="B70408"/>
      <c r="C70408"/>
      <c r="E70408"/>
      <c r="F70408"/>
    </row>
    <row r="70409" spans="1:6" x14ac:dyDescent="0.25">
      <c r="A70409"/>
      <c r="B70409"/>
      <c r="C70409"/>
      <c r="E70409"/>
      <c r="F70409"/>
    </row>
    <row r="70410" spans="1:6" x14ac:dyDescent="0.25">
      <c r="A70410"/>
      <c r="B70410"/>
      <c r="C70410"/>
      <c r="E70410"/>
      <c r="F70410"/>
    </row>
    <row r="70411" spans="1:6" x14ac:dyDescent="0.25">
      <c r="A70411"/>
      <c r="B70411"/>
      <c r="C70411"/>
      <c r="E70411"/>
      <c r="F70411"/>
    </row>
    <row r="70412" spans="1:6" x14ac:dyDescent="0.25">
      <c r="A70412"/>
      <c r="B70412"/>
      <c r="C70412"/>
      <c r="E70412"/>
      <c r="F70412"/>
    </row>
    <row r="70413" spans="1:6" x14ac:dyDescent="0.25">
      <c r="A70413"/>
      <c r="B70413"/>
      <c r="C70413"/>
      <c r="E70413"/>
      <c r="F70413"/>
    </row>
    <row r="70414" spans="1:6" x14ac:dyDescent="0.25">
      <c r="A70414"/>
      <c r="B70414"/>
      <c r="C70414"/>
      <c r="E70414"/>
      <c r="F70414"/>
    </row>
    <row r="70415" spans="1:6" x14ac:dyDescent="0.25">
      <c r="A70415"/>
      <c r="B70415"/>
      <c r="C70415"/>
      <c r="E70415"/>
      <c r="F70415"/>
    </row>
    <row r="70416" spans="1:6" x14ac:dyDescent="0.25">
      <c r="A70416"/>
      <c r="B70416"/>
      <c r="C70416"/>
      <c r="E70416"/>
      <c r="F70416"/>
    </row>
    <row r="70417" spans="1:6" x14ac:dyDescent="0.25">
      <c r="A70417"/>
      <c r="B70417"/>
      <c r="C70417"/>
      <c r="E70417"/>
      <c r="F70417"/>
    </row>
    <row r="70418" spans="1:6" x14ac:dyDescent="0.25">
      <c r="A70418"/>
      <c r="B70418"/>
      <c r="C70418"/>
      <c r="E70418"/>
      <c r="F70418"/>
    </row>
    <row r="70419" spans="1:6" x14ac:dyDescent="0.25">
      <c r="A70419"/>
      <c r="B70419"/>
      <c r="C70419"/>
      <c r="E70419"/>
      <c r="F70419"/>
    </row>
    <row r="70420" spans="1:6" x14ac:dyDescent="0.25">
      <c r="A70420"/>
      <c r="B70420"/>
      <c r="C70420"/>
      <c r="E70420"/>
      <c r="F70420"/>
    </row>
    <row r="70421" spans="1:6" x14ac:dyDescent="0.25">
      <c r="A70421"/>
      <c r="B70421"/>
      <c r="C70421"/>
      <c r="E70421"/>
      <c r="F70421"/>
    </row>
    <row r="70422" spans="1:6" x14ac:dyDescent="0.25">
      <c r="A70422"/>
      <c r="B70422"/>
      <c r="C70422"/>
      <c r="E70422"/>
      <c r="F70422"/>
    </row>
    <row r="70423" spans="1:6" x14ac:dyDescent="0.25">
      <c r="A70423"/>
      <c r="B70423"/>
      <c r="C70423"/>
      <c r="E70423"/>
      <c r="F70423"/>
    </row>
    <row r="70424" spans="1:6" x14ac:dyDescent="0.25">
      <c r="A70424"/>
      <c r="B70424"/>
      <c r="C70424"/>
      <c r="E70424"/>
      <c r="F70424"/>
    </row>
    <row r="70425" spans="1:6" x14ac:dyDescent="0.25">
      <c r="A70425"/>
      <c r="B70425"/>
      <c r="C70425"/>
      <c r="E70425"/>
      <c r="F70425"/>
    </row>
    <row r="70426" spans="1:6" x14ac:dyDescent="0.25">
      <c r="A70426"/>
      <c r="B70426"/>
      <c r="C70426"/>
      <c r="E70426"/>
      <c r="F70426"/>
    </row>
    <row r="70427" spans="1:6" x14ac:dyDescent="0.25">
      <c r="A70427"/>
      <c r="B70427"/>
      <c r="C70427"/>
      <c r="E70427"/>
      <c r="F70427"/>
    </row>
    <row r="70428" spans="1:6" x14ac:dyDescent="0.25">
      <c r="A70428"/>
      <c r="B70428"/>
      <c r="C70428"/>
      <c r="E70428"/>
      <c r="F70428"/>
    </row>
    <row r="70429" spans="1:6" x14ac:dyDescent="0.25">
      <c r="A70429"/>
      <c r="B70429"/>
      <c r="C70429"/>
      <c r="E70429"/>
      <c r="F70429"/>
    </row>
    <row r="70430" spans="1:6" x14ac:dyDescent="0.25">
      <c r="A70430"/>
      <c r="B70430"/>
      <c r="C70430"/>
      <c r="E70430"/>
      <c r="F70430"/>
    </row>
    <row r="70431" spans="1:6" x14ac:dyDescent="0.25">
      <c r="A70431"/>
      <c r="B70431"/>
      <c r="C70431"/>
      <c r="E70431"/>
      <c r="F70431"/>
    </row>
    <row r="70432" spans="1:6" x14ac:dyDescent="0.25">
      <c r="A70432"/>
      <c r="B70432"/>
      <c r="C70432"/>
      <c r="E70432"/>
      <c r="F70432"/>
    </row>
    <row r="70433" spans="1:6" x14ac:dyDescent="0.25">
      <c r="A70433"/>
      <c r="B70433"/>
      <c r="C70433"/>
      <c r="E70433"/>
      <c r="F70433"/>
    </row>
    <row r="70434" spans="1:6" x14ac:dyDescent="0.25">
      <c r="A70434"/>
      <c r="B70434"/>
      <c r="C70434"/>
      <c r="E70434"/>
      <c r="F70434"/>
    </row>
    <row r="70435" spans="1:6" x14ac:dyDescent="0.25">
      <c r="A70435"/>
      <c r="B70435"/>
      <c r="C70435"/>
      <c r="E70435"/>
      <c r="F70435"/>
    </row>
    <row r="70436" spans="1:6" x14ac:dyDescent="0.25">
      <c r="A70436"/>
      <c r="B70436"/>
      <c r="C70436"/>
      <c r="E70436"/>
      <c r="F70436"/>
    </row>
    <row r="70437" spans="1:6" x14ac:dyDescent="0.25">
      <c r="A70437"/>
      <c r="B70437"/>
      <c r="C70437"/>
      <c r="E70437"/>
      <c r="F70437"/>
    </row>
    <row r="70438" spans="1:6" x14ac:dyDescent="0.25">
      <c r="A70438"/>
      <c r="B70438"/>
      <c r="C70438"/>
      <c r="E70438"/>
      <c r="F70438"/>
    </row>
    <row r="70439" spans="1:6" x14ac:dyDescent="0.25">
      <c r="A70439"/>
      <c r="B70439"/>
      <c r="C70439"/>
      <c r="E70439"/>
      <c r="F70439"/>
    </row>
    <row r="70440" spans="1:6" x14ac:dyDescent="0.25">
      <c r="A70440"/>
      <c r="B70440"/>
      <c r="C70440"/>
      <c r="E70440"/>
      <c r="F70440"/>
    </row>
    <row r="70441" spans="1:6" x14ac:dyDescent="0.25">
      <c r="A70441"/>
      <c r="B70441"/>
      <c r="C70441"/>
      <c r="E70441"/>
      <c r="F70441"/>
    </row>
    <row r="70442" spans="1:6" x14ac:dyDescent="0.25">
      <c r="A70442"/>
      <c r="B70442"/>
      <c r="C70442"/>
      <c r="E70442"/>
      <c r="F70442"/>
    </row>
    <row r="70443" spans="1:6" x14ac:dyDescent="0.25">
      <c r="A70443"/>
      <c r="B70443"/>
      <c r="C70443"/>
      <c r="E70443"/>
      <c r="F70443"/>
    </row>
    <row r="70444" spans="1:6" x14ac:dyDescent="0.25">
      <c r="A70444"/>
      <c r="B70444"/>
      <c r="C70444"/>
      <c r="E70444"/>
      <c r="F70444"/>
    </row>
    <row r="70445" spans="1:6" x14ac:dyDescent="0.25">
      <c r="A70445"/>
      <c r="B70445"/>
      <c r="C70445"/>
      <c r="E70445"/>
      <c r="F70445"/>
    </row>
    <row r="70446" spans="1:6" x14ac:dyDescent="0.25">
      <c r="A70446"/>
      <c r="B70446"/>
      <c r="C70446"/>
      <c r="E70446"/>
      <c r="F70446"/>
    </row>
    <row r="70447" spans="1:6" x14ac:dyDescent="0.25">
      <c r="A70447"/>
      <c r="B70447"/>
      <c r="C70447"/>
      <c r="E70447"/>
      <c r="F70447"/>
    </row>
    <row r="70448" spans="1:6" x14ac:dyDescent="0.25">
      <c r="A70448"/>
      <c r="B70448"/>
      <c r="C70448"/>
      <c r="E70448"/>
      <c r="F70448"/>
    </row>
    <row r="70449" spans="1:6" x14ac:dyDescent="0.25">
      <c r="A70449"/>
      <c r="B70449"/>
      <c r="C70449"/>
      <c r="E70449"/>
      <c r="F70449"/>
    </row>
    <row r="70450" spans="1:6" x14ac:dyDescent="0.25">
      <c r="A70450"/>
      <c r="B70450"/>
      <c r="C70450"/>
      <c r="E70450"/>
      <c r="F70450"/>
    </row>
    <row r="70451" spans="1:6" x14ac:dyDescent="0.25">
      <c r="A70451"/>
      <c r="B70451"/>
      <c r="C70451"/>
      <c r="E70451"/>
      <c r="F70451"/>
    </row>
    <row r="70452" spans="1:6" x14ac:dyDescent="0.25">
      <c r="A70452"/>
      <c r="B70452"/>
      <c r="C70452"/>
      <c r="E70452"/>
      <c r="F70452"/>
    </row>
    <row r="70453" spans="1:6" x14ac:dyDescent="0.25">
      <c r="A70453"/>
      <c r="B70453"/>
      <c r="C70453"/>
      <c r="E70453"/>
      <c r="F70453"/>
    </row>
    <row r="70454" spans="1:6" x14ac:dyDescent="0.25">
      <c r="A70454"/>
      <c r="B70454"/>
      <c r="C70454"/>
      <c r="E70454"/>
      <c r="F70454"/>
    </row>
    <row r="70455" spans="1:6" x14ac:dyDescent="0.25">
      <c r="A70455"/>
      <c r="B70455"/>
      <c r="C70455"/>
      <c r="E70455"/>
      <c r="F70455"/>
    </row>
    <row r="70456" spans="1:6" x14ac:dyDescent="0.25">
      <c r="A70456"/>
      <c r="B70456"/>
      <c r="C70456"/>
      <c r="E70456"/>
      <c r="F70456"/>
    </row>
    <row r="70457" spans="1:6" x14ac:dyDescent="0.25">
      <c r="A70457"/>
      <c r="B70457"/>
      <c r="C70457"/>
      <c r="E70457"/>
      <c r="F70457"/>
    </row>
    <row r="70458" spans="1:6" x14ac:dyDescent="0.25">
      <c r="A70458"/>
      <c r="B70458"/>
      <c r="C70458"/>
      <c r="E70458"/>
      <c r="F70458"/>
    </row>
    <row r="70459" spans="1:6" x14ac:dyDescent="0.25">
      <c r="A70459"/>
      <c r="B70459"/>
      <c r="C70459"/>
      <c r="E70459"/>
      <c r="F70459"/>
    </row>
    <row r="70460" spans="1:6" x14ac:dyDescent="0.25">
      <c r="A70460"/>
      <c r="B70460"/>
      <c r="C70460"/>
      <c r="E70460"/>
      <c r="F70460"/>
    </row>
    <row r="70461" spans="1:6" x14ac:dyDescent="0.25">
      <c r="A70461"/>
      <c r="B70461"/>
      <c r="C70461"/>
      <c r="E70461"/>
      <c r="F70461"/>
    </row>
    <row r="70462" spans="1:6" x14ac:dyDescent="0.25">
      <c r="A70462"/>
      <c r="B70462"/>
      <c r="C70462"/>
      <c r="E70462"/>
      <c r="F70462"/>
    </row>
    <row r="70463" spans="1:6" x14ac:dyDescent="0.25">
      <c r="A70463"/>
      <c r="B70463"/>
      <c r="C70463"/>
      <c r="E70463"/>
      <c r="F70463"/>
    </row>
    <row r="70464" spans="1:6" x14ac:dyDescent="0.25">
      <c r="A70464"/>
      <c r="B70464"/>
      <c r="C70464"/>
      <c r="E70464"/>
      <c r="F70464"/>
    </row>
    <row r="70465" spans="1:6" x14ac:dyDescent="0.25">
      <c r="A70465"/>
      <c r="B70465"/>
      <c r="C70465"/>
      <c r="E70465"/>
      <c r="F70465"/>
    </row>
    <row r="70466" spans="1:6" x14ac:dyDescent="0.25">
      <c r="A70466"/>
      <c r="B70466"/>
      <c r="C70466"/>
      <c r="E70466"/>
      <c r="F70466"/>
    </row>
    <row r="70467" spans="1:6" x14ac:dyDescent="0.25">
      <c r="A70467"/>
      <c r="B70467"/>
      <c r="C70467"/>
      <c r="E70467"/>
      <c r="F70467"/>
    </row>
    <row r="70468" spans="1:6" x14ac:dyDescent="0.25">
      <c r="A70468"/>
      <c r="B70468"/>
      <c r="C70468"/>
      <c r="E70468"/>
      <c r="F70468"/>
    </row>
    <row r="70469" spans="1:6" x14ac:dyDescent="0.25">
      <c r="A70469"/>
      <c r="B70469"/>
      <c r="C70469"/>
      <c r="E70469"/>
      <c r="F70469"/>
    </row>
    <row r="70470" spans="1:6" x14ac:dyDescent="0.25">
      <c r="A70470"/>
      <c r="B70470"/>
      <c r="C70470"/>
      <c r="E70470"/>
      <c r="F70470"/>
    </row>
    <row r="70471" spans="1:6" x14ac:dyDescent="0.25">
      <c r="A70471"/>
      <c r="B70471"/>
      <c r="C70471"/>
      <c r="E70471"/>
      <c r="F70471"/>
    </row>
    <row r="70472" spans="1:6" x14ac:dyDescent="0.25">
      <c r="A70472"/>
      <c r="B70472"/>
      <c r="C70472"/>
      <c r="E70472"/>
      <c r="F70472"/>
    </row>
    <row r="70473" spans="1:6" x14ac:dyDescent="0.25">
      <c r="A70473"/>
      <c r="B70473"/>
      <c r="C70473"/>
      <c r="E70473"/>
      <c r="F70473"/>
    </row>
    <row r="70474" spans="1:6" x14ac:dyDescent="0.25">
      <c r="A70474"/>
      <c r="B70474"/>
      <c r="C70474"/>
      <c r="E70474"/>
      <c r="F70474"/>
    </row>
    <row r="70475" spans="1:6" x14ac:dyDescent="0.25">
      <c r="A70475"/>
      <c r="B70475"/>
      <c r="C70475"/>
      <c r="E70475"/>
      <c r="F70475"/>
    </row>
    <row r="70476" spans="1:6" x14ac:dyDescent="0.25">
      <c r="A70476"/>
      <c r="B70476"/>
      <c r="C70476"/>
      <c r="E70476"/>
      <c r="F70476"/>
    </row>
    <row r="70477" spans="1:6" x14ac:dyDescent="0.25">
      <c r="A70477"/>
      <c r="B70477"/>
      <c r="C70477"/>
      <c r="E70477"/>
      <c r="F70477"/>
    </row>
    <row r="70478" spans="1:6" x14ac:dyDescent="0.25">
      <c r="A70478"/>
      <c r="B70478"/>
      <c r="C70478"/>
      <c r="E70478"/>
      <c r="F70478"/>
    </row>
    <row r="70479" spans="1:6" x14ac:dyDescent="0.25">
      <c r="A70479"/>
      <c r="B70479"/>
      <c r="C70479"/>
      <c r="E70479"/>
      <c r="F70479"/>
    </row>
    <row r="70480" spans="1:6" x14ac:dyDescent="0.25">
      <c r="A70480"/>
      <c r="B70480"/>
      <c r="C70480"/>
      <c r="E70480"/>
      <c r="F70480"/>
    </row>
    <row r="70481" spans="1:6" x14ac:dyDescent="0.25">
      <c r="A70481"/>
      <c r="B70481"/>
      <c r="C70481"/>
      <c r="E70481"/>
      <c r="F70481"/>
    </row>
    <row r="70482" spans="1:6" x14ac:dyDescent="0.25">
      <c r="A70482"/>
      <c r="B70482"/>
      <c r="C70482"/>
      <c r="E70482"/>
      <c r="F70482"/>
    </row>
    <row r="70483" spans="1:6" x14ac:dyDescent="0.25">
      <c r="A70483"/>
      <c r="B70483"/>
      <c r="C70483"/>
      <c r="E70483"/>
      <c r="F70483"/>
    </row>
    <row r="70484" spans="1:6" x14ac:dyDescent="0.25">
      <c r="A70484"/>
      <c r="B70484"/>
      <c r="C70484"/>
      <c r="E70484"/>
      <c r="F70484"/>
    </row>
    <row r="70485" spans="1:6" x14ac:dyDescent="0.25">
      <c r="A70485"/>
      <c r="B70485"/>
      <c r="C70485"/>
      <c r="E70485"/>
      <c r="F70485"/>
    </row>
    <row r="70486" spans="1:6" x14ac:dyDescent="0.25">
      <c r="A70486"/>
      <c r="B70486"/>
      <c r="C70486"/>
      <c r="E70486"/>
      <c r="F70486"/>
    </row>
    <row r="70487" spans="1:6" x14ac:dyDescent="0.25">
      <c r="A70487"/>
      <c r="B70487"/>
      <c r="C70487"/>
      <c r="E70487"/>
      <c r="F70487"/>
    </row>
    <row r="70488" spans="1:6" x14ac:dyDescent="0.25">
      <c r="A70488"/>
      <c r="B70488"/>
      <c r="C70488"/>
      <c r="E70488"/>
      <c r="F70488"/>
    </row>
    <row r="70489" spans="1:6" x14ac:dyDescent="0.25">
      <c r="A70489"/>
      <c r="B70489"/>
      <c r="C70489"/>
      <c r="E70489"/>
      <c r="F70489"/>
    </row>
    <row r="70490" spans="1:6" x14ac:dyDescent="0.25">
      <c r="A70490"/>
      <c r="B70490"/>
      <c r="C70490"/>
      <c r="E70490"/>
      <c r="F70490"/>
    </row>
    <row r="70491" spans="1:6" x14ac:dyDescent="0.25">
      <c r="A70491"/>
      <c r="B70491"/>
      <c r="C70491"/>
      <c r="E70491"/>
      <c r="F70491"/>
    </row>
    <row r="70492" spans="1:6" x14ac:dyDescent="0.25">
      <c r="A70492"/>
      <c r="B70492"/>
      <c r="C70492"/>
      <c r="E70492"/>
      <c r="F70492"/>
    </row>
    <row r="70493" spans="1:6" x14ac:dyDescent="0.25">
      <c r="A70493"/>
      <c r="B70493"/>
      <c r="C70493"/>
      <c r="E70493"/>
      <c r="F70493"/>
    </row>
    <row r="70494" spans="1:6" x14ac:dyDescent="0.25">
      <c r="A70494"/>
      <c r="B70494"/>
      <c r="C70494"/>
      <c r="E70494"/>
      <c r="F70494"/>
    </row>
    <row r="70495" spans="1:6" x14ac:dyDescent="0.25">
      <c r="A70495"/>
      <c r="B70495"/>
      <c r="C70495"/>
      <c r="E70495"/>
      <c r="F70495"/>
    </row>
    <row r="70496" spans="1:6" x14ac:dyDescent="0.25">
      <c r="A70496"/>
      <c r="B70496"/>
      <c r="C70496"/>
      <c r="E70496"/>
      <c r="F70496"/>
    </row>
    <row r="70497" spans="1:6" x14ac:dyDescent="0.25">
      <c r="A70497"/>
      <c r="B70497"/>
      <c r="C70497"/>
      <c r="E70497"/>
      <c r="F70497"/>
    </row>
    <row r="70498" spans="1:6" x14ac:dyDescent="0.25">
      <c r="A70498"/>
      <c r="B70498"/>
      <c r="C70498"/>
      <c r="E70498"/>
      <c r="F70498"/>
    </row>
    <row r="70499" spans="1:6" x14ac:dyDescent="0.25">
      <c r="A70499"/>
      <c r="B70499"/>
      <c r="C70499"/>
      <c r="E70499"/>
      <c r="F70499"/>
    </row>
    <row r="70500" spans="1:6" x14ac:dyDescent="0.25">
      <c r="A70500"/>
      <c r="B70500"/>
      <c r="C70500"/>
      <c r="E70500"/>
      <c r="F70500"/>
    </row>
    <row r="70501" spans="1:6" x14ac:dyDescent="0.25">
      <c r="A70501"/>
      <c r="B70501"/>
      <c r="C70501"/>
      <c r="E70501"/>
      <c r="F70501"/>
    </row>
    <row r="70502" spans="1:6" x14ac:dyDescent="0.25">
      <c r="A70502"/>
      <c r="B70502"/>
      <c r="C70502"/>
      <c r="E70502"/>
      <c r="F70502"/>
    </row>
    <row r="70503" spans="1:6" x14ac:dyDescent="0.25">
      <c r="A70503"/>
      <c r="B70503"/>
      <c r="C70503"/>
      <c r="E70503"/>
      <c r="F70503"/>
    </row>
    <row r="70504" spans="1:6" x14ac:dyDescent="0.25">
      <c r="A70504"/>
      <c r="B70504"/>
      <c r="C70504"/>
      <c r="E70504"/>
      <c r="F70504"/>
    </row>
    <row r="70505" spans="1:6" x14ac:dyDescent="0.25">
      <c r="A70505"/>
      <c r="B70505"/>
      <c r="C70505"/>
      <c r="E70505"/>
      <c r="F70505"/>
    </row>
    <row r="70506" spans="1:6" x14ac:dyDescent="0.25">
      <c r="A70506"/>
      <c r="B70506"/>
      <c r="C70506"/>
      <c r="E70506"/>
      <c r="F70506"/>
    </row>
    <row r="70507" spans="1:6" x14ac:dyDescent="0.25">
      <c r="A70507"/>
      <c r="B70507"/>
      <c r="C70507"/>
      <c r="E70507"/>
      <c r="F70507"/>
    </row>
    <row r="70508" spans="1:6" x14ac:dyDescent="0.25">
      <c r="A70508"/>
      <c r="B70508"/>
      <c r="C70508"/>
      <c r="E70508"/>
      <c r="F70508"/>
    </row>
    <row r="70509" spans="1:6" x14ac:dyDescent="0.25">
      <c r="A70509"/>
      <c r="B70509"/>
      <c r="C70509"/>
      <c r="E70509"/>
      <c r="F70509"/>
    </row>
    <row r="70510" spans="1:6" x14ac:dyDescent="0.25">
      <c r="A70510"/>
      <c r="B70510"/>
      <c r="C70510"/>
      <c r="E70510"/>
      <c r="F70510"/>
    </row>
    <row r="70511" spans="1:6" x14ac:dyDescent="0.25">
      <c r="A70511"/>
      <c r="B70511"/>
      <c r="C70511"/>
      <c r="E70511"/>
      <c r="F70511"/>
    </row>
    <row r="70512" spans="1:6" x14ac:dyDescent="0.25">
      <c r="A70512"/>
      <c r="B70512"/>
      <c r="C70512"/>
      <c r="E70512"/>
      <c r="F70512"/>
    </row>
    <row r="70513" spans="1:6" x14ac:dyDescent="0.25">
      <c r="A70513"/>
      <c r="B70513"/>
      <c r="C70513"/>
      <c r="E70513"/>
      <c r="F70513"/>
    </row>
    <row r="70514" spans="1:6" x14ac:dyDescent="0.25">
      <c r="A70514"/>
      <c r="B70514"/>
      <c r="C70514"/>
      <c r="E70514"/>
      <c r="F70514"/>
    </row>
    <row r="70515" spans="1:6" x14ac:dyDescent="0.25">
      <c r="A70515"/>
      <c r="B70515"/>
      <c r="C70515"/>
      <c r="E70515"/>
      <c r="F70515"/>
    </row>
    <row r="70516" spans="1:6" x14ac:dyDescent="0.25">
      <c r="A70516"/>
      <c r="B70516"/>
      <c r="C70516"/>
      <c r="E70516"/>
      <c r="F70516"/>
    </row>
    <row r="70517" spans="1:6" x14ac:dyDescent="0.25">
      <c r="A70517"/>
      <c r="B70517"/>
      <c r="C70517"/>
      <c r="E70517"/>
      <c r="F70517"/>
    </row>
    <row r="70518" spans="1:6" x14ac:dyDescent="0.25">
      <c r="A70518"/>
      <c r="B70518"/>
      <c r="C70518"/>
      <c r="E70518"/>
      <c r="F70518"/>
    </row>
    <row r="70519" spans="1:6" x14ac:dyDescent="0.25">
      <c r="A70519"/>
      <c r="B70519"/>
      <c r="C70519"/>
      <c r="E70519"/>
      <c r="F70519"/>
    </row>
    <row r="70520" spans="1:6" x14ac:dyDescent="0.25">
      <c r="A70520"/>
      <c r="B70520"/>
      <c r="C70520"/>
      <c r="E70520"/>
      <c r="F70520"/>
    </row>
    <row r="70521" spans="1:6" x14ac:dyDescent="0.25">
      <c r="A70521"/>
      <c r="B70521"/>
      <c r="C70521"/>
      <c r="E70521"/>
      <c r="F70521"/>
    </row>
    <row r="70522" spans="1:6" x14ac:dyDescent="0.25">
      <c r="A70522"/>
      <c r="B70522"/>
      <c r="C70522"/>
      <c r="E70522"/>
      <c r="F70522"/>
    </row>
    <row r="70523" spans="1:6" x14ac:dyDescent="0.25">
      <c r="A70523"/>
      <c r="B70523"/>
      <c r="C70523"/>
      <c r="E70523"/>
      <c r="F70523"/>
    </row>
    <row r="70524" spans="1:6" x14ac:dyDescent="0.25">
      <c r="A70524"/>
      <c r="B70524"/>
      <c r="C70524"/>
      <c r="E70524"/>
      <c r="F70524"/>
    </row>
    <row r="70525" spans="1:6" x14ac:dyDescent="0.25">
      <c r="A70525"/>
      <c r="B70525"/>
      <c r="C70525"/>
      <c r="E70525"/>
      <c r="F70525"/>
    </row>
    <row r="70526" spans="1:6" x14ac:dyDescent="0.25">
      <c r="A70526"/>
      <c r="B70526"/>
      <c r="C70526"/>
      <c r="E70526"/>
      <c r="F70526"/>
    </row>
    <row r="70527" spans="1:6" x14ac:dyDescent="0.25">
      <c r="A70527"/>
      <c r="B70527"/>
      <c r="C70527"/>
      <c r="E70527"/>
      <c r="F70527"/>
    </row>
    <row r="70528" spans="1:6" x14ac:dyDescent="0.25">
      <c r="A70528"/>
      <c r="B70528"/>
      <c r="C70528"/>
      <c r="E70528"/>
      <c r="F70528"/>
    </row>
    <row r="70529" spans="1:6" x14ac:dyDescent="0.25">
      <c r="A70529"/>
      <c r="B70529"/>
      <c r="C70529"/>
      <c r="E70529"/>
      <c r="F70529"/>
    </row>
    <row r="70530" spans="1:6" x14ac:dyDescent="0.25">
      <c r="A70530"/>
      <c r="B70530"/>
      <c r="C70530"/>
      <c r="E70530"/>
      <c r="F70530"/>
    </row>
    <row r="70531" spans="1:6" x14ac:dyDescent="0.25">
      <c r="A70531"/>
      <c r="B70531"/>
      <c r="C70531"/>
      <c r="E70531"/>
      <c r="F70531"/>
    </row>
    <row r="70532" spans="1:6" x14ac:dyDescent="0.25">
      <c r="A70532"/>
      <c r="B70532"/>
      <c r="C70532"/>
      <c r="E70532"/>
      <c r="F70532"/>
    </row>
    <row r="70533" spans="1:6" x14ac:dyDescent="0.25">
      <c r="A70533"/>
      <c r="B70533"/>
      <c r="C70533"/>
      <c r="E70533"/>
      <c r="F70533"/>
    </row>
    <row r="70534" spans="1:6" x14ac:dyDescent="0.25">
      <c r="A70534"/>
      <c r="B70534"/>
      <c r="C70534"/>
      <c r="E70534"/>
      <c r="F70534"/>
    </row>
    <row r="70535" spans="1:6" x14ac:dyDescent="0.25">
      <c r="A70535"/>
      <c r="B70535"/>
      <c r="C70535"/>
      <c r="E70535"/>
      <c r="F70535"/>
    </row>
    <row r="70536" spans="1:6" x14ac:dyDescent="0.25">
      <c r="A70536"/>
      <c r="B70536"/>
      <c r="C70536"/>
      <c r="E70536"/>
      <c r="F70536"/>
    </row>
    <row r="70537" spans="1:6" x14ac:dyDescent="0.25">
      <c r="A70537"/>
      <c r="B70537"/>
      <c r="C70537"/>
      <c r="E70537"/>
      <c r="F70537"/>
    </row>
    <row r="70538" spans="1:6" x14ac:dyDescent="0.25">
      <c r="A70538"/>
      <c r="B70538"/>
      <c r="C70538"/>
      <c r="E70538"/>
      <c r="F70538"/>
    </row>
    <row r="70539" spans="1:6" x14ac:dyDescent="0.25">
      <c r="A70539"/>
      <c r="B70539"/>
      <c r="C70539"/>
      <c r="E70539"/>
      <c r="F70539"/>
    </row>
    <row r="70540" spans="1:6" x14ac:dyDescent="0.25">
      <c r="A70540"/>
      <c r="B70540"/>
      <c r="C70540"/>
      <c r="E70540"/>
      <c r="F70540"/>
    </row>
    <row r="70541" spans="1:6" x14ac:dyDescent="0.25">
      <c r="A70541"/>
      <c r="B70541"/>
      <c r="C70541"/>
      <c r="E70541"/>
      <c r="F70541"/>
    </row>
    <row r="70542" spans="1:6" x14ac:dyDescent="0.25">
      <c r="A70542"/>
      <c r="B70542"/>
      <c r="C70542"/>
      <c r="E70542"/>
      <c r="F70542"/>
    </row>
    <row r="70543" spans="1:6" x14ac:dyDescent="0.25">
      <c r="A70543"/>
      <c r="B70543"/>
      <c r="C70543"/>
      <c r="E70543"/>
      <c r="F70543"/>
    </row>
    <row r="70544" spans="1:6" x14ac:dyDescent="0.25">
      <c r="A70544"/>
      <c r="B70544"/>
      <c r="C70544"/>
      <c r="E70544"/>
      <c r="F70544"/>
    </row>
    <row r="70545" spans="1:6" x14ac:dyDescent="0.25">
      <c r="A70545"/>
      <c r="B70545"/>
      <c r="C70545"/>
      <c r="E70545"/>
      <c r="F70545"/>
    </row>
    <row r="70546" spans="1:6" x14ac:dyDescent="0.25">
      <c r="A70546"/>
      <c r="B70546"/>
      <c r="C70546"/>
      <c r="E70546"/>
      <c r="F70546"/>
    </row>
    <row r="70547" spans="1:6" x14ac:dyDescent="0.25">
      <c r="A70547"/>
      <c r="B70547"/>
      <c r="C70547"/>
      <c r="E70547"/>
      <c r="F70547"/>
    </row>
    <row r="70548" spans="1:6" x14ac:dyDescent="0.25">
      <c r="A70548"/>
      <c r="B70548"/>
      <c r="C70548"/>
      <c r="E70548"/>
      <c r="F70548"/>
    </row>
    <row r="70549" spans="1:6" x14ac:dyDescent="0.25">
      <c r="A70549"/>
      <c r="B70549"/>
      <c r="C70549"/>
      <c r="E70549"/>
      <c r="F70549"/>
    </row>
    <row r="70550" spans="1:6" x14ac:dyDescent="0.25">
      <c r="A70550"/>
      <c r="B70550"/>
      <c r="C70550"/>
      <c r="E70550"/>
      <c r="F70550"/>
    </row>
    <row r="70551" spans="1:6" x14ac:dyDescent="0.25">
      <c r="A70551"/>
      <c r="B70551"/>
      <c r="C70551"/>
      <c r="E70551"/>
      <c r="F70551"/>
    </row>
    <row r="70552" spans="1:6" x14ac:dyDescent="0.25">
      <c r="A70552"/>
      <c r="B70552"/>
      <c r="C70552"/>
      <c r="E70552"/>
      <c r="F70552"/>
    </row>
    <row r="70553" spans="1:6" x14ac:dyDescent="0.25">
      <c r="A70553"/>
      <c r="B70553"/>
      <c r="C70553"/>
      <c r="E70553"/>
      <c r="F70553"/>
    </row>
    <row r="70554" spans="1:6" x14ac:dyDescent="0.25">
      <c r="A70554"/>
      <c r="B70554"/>
      <c r="C70554"/>
      <c r="E70554"/>
      <c r="F70554"/>
    </row>
    <row r="70555" spans="1:6" x14ac:dyDescent="0.25">
      <c r="A70555"/>
      <c r="B70555"/>
      <c r="C70555"/>
      <c r="E70555"/>
      <c r="F70555"/>
    </row>
    <row r="70556" spans="1:6" x14ac:dyDescent="0.25">
      <c r="A70556"/>
      <c r="B70556"/>
      <c r="C70556"/>
      <c r="E70556"/>
      <c r="F70556"/>
    </row>
    <row r="70557" spans="1:6" x14ac:dyDescent="0.25">
      <c r="A70557"/>
      <c r="B70557"/>
      <c r="C70557"/>
      <c r="E70557"/>
      <c r="F70557"/>
    </row>
    <row r="70558" spans="1:6" x14ac:dyDescent="0.25">
      <c r="A70558"/>
      <c r="B70558"/>
      <c r="C70558"/>
      <c r="E70558"/>
      <c r="F70558"/>
    </row>
    <row r="70559" spans="1:6" x14ac:dyDescent="0.25">
      <c r="A70559"/>
      <c r="B70559"/>
      <c r="C70559"/>
      <c r="E70559"/>
      <c r="F70559"/>
    </row>
    <row r="70560" spans="1:6" x14ac:dyDescent="0.25">
      <c r="A70560"/>
      <c r="B70560"/>
      <c r="C70560"/>
      <c r="E70560"/>
      <c r="F70560"/>
    </row>
    <row r="70561" spans="1:6" x14ac:dyDescent="0.25">
      <c r="A70561"/>
      <c r="B70561"/>
      <c r="C70561"/>
      <c r="E70561"/>
      <c r="F70561"/>
    </row>
    <row r="70562" spans="1:6" x14ac:dyDescent="0.25">
      <c r="A70562"/>
      <c r="B70562"/>
      <c r="C70562"/>
      <c r="E70562"/>
      <c r="F70562"/>
    </row>
    <row r="70563" spans="1:6" x14ac:dyDescent="0.25">
      <c r="A70563"/>
      <c r="B70563"/>
      <c r="C70563"/>
      <c r="E70563"/>
      <c r="F70563"/>
    </row>
    <row r="70564" spans="1:6" x14ac:dyDescent="0.25">
      <c r="A70564"/>
      <c r="B70564"/>
      <c r="C70564"/>
      <c r="E70564"/>
      <c r="F70564"/>
    </row>
    <row r="70565" spans="1:6" x14ac:dyDescent="0.25">
      <c r="A70565"/>
      <c r="B70565"/>
      <c r="C70565"/>
      <c r="E70565"/>
      <c r="F70565"/>
    </row>
    <row r="70566" spans="1:6" x14ac:dyDescent="0.25">
      <c r="A70566"/>
      <c r="B70566"/>
      <c r="C70566"/>
      <c r="E70566"/>
      <c r="F70566"/>
    </row>
    <row r="70567" spans="1:6" x14ac:dyDescent="0.25">
      <c r="A70567"/>
      <c r="B70567"/>
      <c r="C70567"/>
      <c r="E70567"/>
      <c r="F70567"/>
    </row>
    <row r="70568" spans="1:6" x14ac:dyDescent="0.25">
      <c r="A70568"/>
      <c r="B70568"/>
      <c r="C70568"/>
      <c r="E70568"/>
      <c r="F70568"/>
    </row>
    <row r="70569" spans="1:6" x14ac:dyDescent="0.25">
      <c r="A70569"/>
      <c r="B70569"/>
      <c r="C70569"/>
      <c r="E70569"/>
      <c r="F70569"/>
    </row>
    <row r="70570" spans="1:6" x14ac:dyDescent="0.25">
      <c r="A70570"/>
      <c r="B70570"/>
      <c r="C70570"/>
      <c r="E70570"/>
      <c r="F70570"/>
    </row>
    <row r="70571" spans="1:6" x14ac:dyDescent="0.25">
      <c r="A70571"/>
      <c r="B70571"/>
      <c r="C70571"/>
      <c r="E70571"/>
      <c r="F70571"/>
    </row>
    <row r="70572" spans="1:6" x14ac:dyDescent="0.25">
      <c r="A70572"/>
      <c r="B70572"/>
      <c r="C70572"/>
      <c r="E70572"/>
      <c r="F70572"/>
    </row>
    <row r="70573" spans="1:6" x14ac:dyDescent="0.25">
      <c r="A70573"/>
      <c r="B70573"/>
      <c r="C70573"/>
      <c r="E70573"/>
      <c r="F70573"/>
    </row>
    <row r="70574" spans="1:6" x14ac:dyDescent="0.25">
      <c r="A70574"/>
      <c r="B70574"/>
      <c r="C70574"/>
      <c r="E70574"/>
      <c r="F70574"/>
    </row>
    <row r="70575" spans="1:6" x14ac:dyDescent="0.25">
      <c r="A70575"/>
      <c r="B70575"/>
      <c r="C70575"/>
      <c r="E70575"/>
      <c r="F70575"/>
    </row>
    <row r="70576" spans="1:6" x14ac:dyDescent="0.25">
      <c r="A70576"/>
      <c r="B70576"/>
      <c r="C70576"/>
      <c r="E70576"/>
      <c r="F70576"/>
    </row>
    <row r="70577" spans="1:6" x14ac:dyDescent="0.25">
      <c r="A70577"/>
      <c r="B70577"/>
      <c r="C70577"/>
      <c r="E70577"/>
      <c r="F70577"/>
    </row>
    <row r="70578" spans="1:6" x14ac:dyDescent="0.25">
      <c r="A70578"/>
      <c r="B70578"/>
      <c r="C70578"/>
      <c r="E70578"/>
      <c r="F70578"/>
    </row>
    <row r="70579" spans="1:6" x14ac:dyDescent="0.25">
      <c r="A70579"/>
      <c r="B70579"/>
      <c r="C70579"/>
      <c r="E70579"/>
      <c r="F70579"/>
    </row>
    <row r="70580" spans="1:6" x14ac:dyDescent="0.25">
      <c r="A70580"/>
      <c r="B70580"/>
      <c r="C70580"/>
      <c r="E70580"/>
      <c r="F70580"/>
    </row>
    <row r="70581" spans="1:6" x14ac:dyDescent="0.25">
      <c r="A70581"/>
      <c r="B70581"/>
      <c r="C70581"/>
      <c r="E70581"/>
      <c r="F70581"/>
    </row>
    <row r="70582" spans="1:6" x14ac:dyDescent="0.25">
      <c r="A70582"/>
      <c r="B70582"/>
      <c r="C70582"/>
      <c r="E70582"/>
      <c r="F70582"/>
    </row>
    <row r="70583" spans="1:6" x14ac:dyDescent="0.25">
      <c r="A70583"/>
      <c r="B70583"/>
      <c r="C70583"/>
      <c r="E70583"/>
      <c r="F70583"/>
    </row>
    <row r="70584" spans="1:6" x14ac:dyDescent="0.25">
      <c r="A70584"/>
      <c r="B70584"/>
      <c r="C70584"/>
      <c r="E70584"/>
      <c r="F70584"/>
    </row>
    <row r="70585" spans="1:6" x14ac:dyDescent="0.25">
      <c r="A70585"/>
      <c r="B70585"/>
      <c r="C70585"/>
      <c r="E70585"/>
      <c r="F70585"/>
    </row>
    <row r="70586" spans="1:6" x14ac:dyDescent="0.25">
      <c r="A70586"/>
      <c r="B70586"/>
      <c r="C70586"/>
      <c r="E70586"/>
      <c r="F70586"/>
    </row>
    <row r="70587" spans="1:6" x14ac:dyDescent="0.25">
      <c r="A70587"/>
      <c r="B70587"/>
      <c r="C70587"/>
      <c r="E70587"/>
      <c r="F70587"/>
    </row>
    <row r="70588" spans="1:6" x14ac:dyDescent="0.25">
      <c r="A70588"/>
      <c r="B70588"/>
      <c r="C70588"/>
      <c r="E70588"/>
      <c r="F70588"/>
    </row>
    <row r="70589" spans="1:6" x14ac:dyDescent="0.25">
      <c r="A70589"/>
      <c r="B70589"/>
      <c r="C70589"/>
      <c r="E70589"/>
      <c r="F70589"/>
    </row>
    <row r="70590" spans="1:6" x14ac:dyDescent="0.25">
      <c r="A70590"/>
      <c r="B70590"/>
      <c r="C70590"/>
      <c r="E70590"/>
      <c r="F70590"/>
    </row>
    <row r="70591" spans="1:6" x14ac:dyDescent="0.25">
      <c r="A70591"/>
      <c r="B70591"/>
      <c r="C70591"/>
      <c r="E70591"/>
      <c r="F70591"/>
    </row>
    <row r="70592" spans="1:6" x14ac:dyDescent="0.25">
      <c r="A70592"/>
      <c r="B70592"/>
      <c r="C70592"/>
      <c r="E70592"/>
      <c r="F70592"/>
    </row>
    <row r="70593" spans="1:6" x14ac:dyDescent="0.25">
      <c r="A70593"/>
      <c r="B70593"/>
      <c r="C70593"/>
      <c r="E70593"/>
      <c r="F70593"/>
    </row>
    <row r="70594" spans="1:6" x14ac:dyDescent="0.25">
      <c r="A70594"/>
      <c r="B70594"/>
      <c r="C70594"/>
      <c r="E70594"/>
      <c r="F70594"/>
    </row>
    <row r="70595" spans="1:6" x14ac:dyDescent="0.25">
      <c r="A70595"/>
      <c r="B70595"/>
      <c r="C70595"/>
      <c r="E70595"/>
      <c r="F70595"/>
    </row>
    <row r="70596" spans="1:6" x14ac:dyDescent="0.25">
      <c r="A70596"/>
      <c r="B70596"/>
      <c r="C70596"/>
      <c r="E70596"/>
      <c r="F70596"/>
    </row>
    <row r="70597" spans="1:6" x14ac:dyDescent="0.25">
      <c r="A70597"/>
      <c r="B70597"/>
      <c r="C70597"/>
      <c r="E70597"/>
      <c r="F70597"/>
    </row>
    <row r="70598" spans="1:6" x14ac:dyDescent="0.25">
      <c r="A70598"/>
      <c r="B70598"/>
      <c r="C70598"/>
      <c r="E70598"/>
      <c r="F70598"/>
    </row>
    <row r="70599" spans="1:6" x14ac:dyDescent="0.25">
      <c r="A70599"/>
      <c r="B70599"/>
      <c r="C70599"/>
      <c r="E70599"/>
      <c r="F70599"/>
    </row>
    <row r="70600" spans="1:6" x14ac:dyDescent="0.25">
      <c r="A70600"/>
      <c r="B70600"/>
      <c r="C70600"/>
      <c r="E70600"/>
      <c r="F70600"/>
    </row>
    <row r="70601" spans="1:6" x14ac:dyDescent="0.25">
      <c r="A70601"/>
      <c r="B70601"/>
      <c r="C70601"/>
      <c r="E70601"/>
      <c r="F70601"/>
    </row>
    <row r="70602" spans="1:6" x14ac:dyDescent="0.25">
      <c r="A70602"/>
      <c r="B70602"/>
      <c r="C70602"/>
      <c r="E70602"/>
      <c r="F70602"/>
    </row>
    <row r="70603" spans="1:6" x14ac:dyDescent="0.25">
      <c r="A70603"/>
      <c r="B70603"/>
      <c r="C70603"/>
      <c r="E70603"/>
      <c r="F70603"/>
    </row>
    <row r="70604" spans="1:6" x14ac:dyDescent="0.25">
      <c r="A70604"/>
      <c r="B70604"/>
      <c r="C70604"/>
      <c r="E70604"/>
      <c r="F70604"/>
    </row>
    <row r="70605" spans="1:6" x14ac:dyDescent="0.25">
      <c r="A70605"/>
      <c r="B70605"/>
      <c r="C70605"/>
      <c r="E70605"/>
      <c r="F70605"/>
    </row>
    <row r="70606" spans="1:6" x14ac:dyDescent="0.25">
      <c r="A70606"/>
      <c r="B70606"/>
      <c r="C70606"/>
      <c r="E70606"/>
      <c r="F70606"/>
    </row>
    <row r="70607" spans="1:6" x14ac:dyDescent="0.25">
      <c r="A70607"/>
      <c r="B70607"/>
      <c r="C70607"/>
      <c r="E70607"/>
      <c r="F70607"/>
    </row>
    <row r="70608" spans="1:6" x14ac:dyDescent="0.25">
      <c r="A70608"/>
      <c r="B70608"/>
      <c r="C70608"/>
      <c r="E70608"/>
      <c r="F70608"/>
    </row>
    <row r="70609" spans="1:6" x14ac:dyDescent="0.25">
      <c r="A70609"/>
      <c r="B70609"/>
      <c r="C70609"/>
      <c r="E70609"/>
      <c r="F70609"/>
    </row>
    <row r="70610" spans="1:6" x14ac:dyDescent="0.25">
      <c r="A70610"/>
      <c r="B70610"/>
      <c r="C70610"/>
      <c r="E70610"/>
      <c r="F70610"/>
    </row>
    <row r="70611" spans="1:6" x14ac:dyDescent="0.25">
      <c r="A70611"/>
      <c r="B70611"/>
      <c r="C70611"/>
      <c r="E70611"/>
      <c r="F70611"/>
    </row>
    <row r="70612" spans="1:6" x14ac:dyDescent="0.25">
      <c r="A70612"/>
      <c r="B70612"/>
      <c r="C70612"/>
      <c r="E70612"/>
      <c r="F70612"/>
    </row>
    <row r="70613" spans="1:6" x14ac:dyDescent="0.25">
      <c r="A70613"/>
      <c r="B70613"/>
      <c r="C70613"/>
      <c r="E70613"/>
      <c r="F70613"/>
    </row>
    <row r="70614" spans="1:6" x14ac:dyDescent="0.25">
      <c r="A70614"/>
      <c r="B70614"/>
      <c r="C70614"/>
      <c r="E70614"/>
      <c r="F70614"/>
    </row>
    <row r="70615" spans="1:6" x14ac:dyDescent="0.25">
      <c r="A70615"/>
      <c r="B70615"/>
      <c r="C70615"/>
      <c r="E70615"/>
      <c r="F70615"/>
    </row>
    <row r="70616" spans="1:6" x14ac:dyDescent="0.25">
      <c r="A70616"/>
      <c r="B70616"/>
      <c r="C70616"/>
      <c r="E70616"/>
      <c r="F70616"/>
    </row>
    <row r="70617" spans="1:6" x14ac:dyDescent="0.25">
      <c r="A70617"/>
      <c r="B70617"/>
      <c r="C70617"/>
      <c r="E70617"/>
      <c r="F70617"/>
    </row>
    <row r="70618" spans="1:6" x14ac:dyDescent="0.25">
      <c r="A70618"/>
      <c r="B70618"/>
      <c r="C70618"/>
      <c r="E70618"/>
      <c r="F70618"/>
    </row>
    <row r="70619" spans="1:6" x14ac:dyDescent="0.25">
      <c r="A70619"/>
      <c r="B70619"/>
      <c r="C70619"/>
      <c r="E70619"/>
      <c r="F70619"/>
    </row>
    <row r="70620" spans="1:6" x14ac:dyDescent="0.25">
      <c r="A70620"/>
      <c r="B70620"/>
      <c r="C70620"/>
      <c r="E70620"/>
      <c r="F70620"/>
    </row>
    <row r="70621" spans="1:6" x14ac:dyDescent="0.25">
      <c r="A70621"/>
      <c r="B70621"/>
      <c r="C70621"/>
      <c r="E70621"/>
      <c r="F70621"/>
    </row>
    <row r="70622" spans="1:6" x14ac:dyDescent="0.25">
      <c r="A70622"/>
      <c r="B70622"/>
      <c r="C70622"/>
      <c r="E70622"/>
      <c r="F70622"/>
    </row>
    <row r="70623" spans="1:6" x14ac:dyDescent="0.25">
      <c r="A70623"/>
      <c r="B70623"/>
      <c r="C70623"/>
      <c r="E70623"/>
      <c r="F70623"/>
    </row>
    <row r="70624" spans="1:6" x14ac:dyDescent="0.25">
      <c r="A70624"/>
      <c r="B70624"/>
      <c r="C70624"/>
      <c r="E70624"/>
      <c r="F70624"/>
    </row>
    <row r="70625" spans="1:6" x14ac:dyDescent="0.25">
      <c r="A70625"/>
      <c r="B70625"/>
      <c r="C70625"/>
      <c r="E70625"/>
      <c r="F70625"/>
    </row>
    <row r="70626" spans="1:6" x14ac:dyDescent="0.25">
      <c r="A70626"/>
      <c r="B70626"/>
      <c r="C70626"/>
      <c r="E70626"/>
      <c r="F70626"/>
    </row>
    <row r="70627" spans="1:6" x14ac:dyDescent="0.25">
      <c r="A70627"/>
      <c r="B70627"/>
      <c r="C70627"/>
      <c r="E70627"/>
      <c r="F70627"/>
    </row>
    <row r="70628" spans="1:6" x14ac:dyDescent="0.25">
      <c r="A70628"/>
      <c r="B70628"/>
      <c r="C70628"/>
      <c r="E70628"/>
      <c r="F70628"/>
    </row>
    <row r="70629" spans="1:6" x14ac:dyDescent="0.25">
      <c r="A70629"/>
      <c r="B70629"/>
      <c r="C70629"/>
      <c r="E70629"/>
      <c r="F70629"/>
    </row>
    <row r="70630" spans="1:6" x14ac:dyDescent="0.25">
      <c r="A70630"/>
      <c r="B70630"/>
      <c r="C70630"/>
      <c r="E70630"/>
      <c r="F70630"/>
    </row>
    <row r="70631" spans="1:6" x14ac:dyDescent="0.25">
      <c r="A70631"/>
      <c r="B70631"/>
      <c r="C70631"/>
      <c r="E70631"/>
      <c r="F70631"/>
    </row>
    <row r="70632" spans="1:6" x14ac:dyDescent="0.25">
      <c r="A70632"/>
      <c r="B70632"/>
      <c r="C70632"/>
      <c r="E70632"/>
      <c r="F70632"/>
    </row>
    <row r="70633" spans="1:6" x14ac:dyDescent="0.25">
      <c r="A70633"/>
      <c r="B70633"/>
      <c r="C70633"/>
      <c r="E70633"/>
      <c r="F70633"/>
    </row>
    <row r="70634" spans="1:6" x14ac:dyDescent="0.25">
      <c r="A70634"/>
      <c r="B70634"/>
      <c r="C70634"/>
      <c r="E70634"/>
      <c r="F70634"/>
    </row>
    <row r="70635" spans="1:6" x14ac:dyDescent="0.25">
      <c r="A70635"/>
      <c r="B70635"/>
      <c r="C70635"/>
      <c r="E70635"/>
      <c r="F70635"/>
    </row>
    <row r="70636" spans="1:6" x14ac:dyDescent="0.25">
      <c r="A70636"/>
      <c r="B70636"/>
      <c r="C70636"/>
      <c r="E70636"/>
      <c r="F70636"/>
    </row>
    <row r="70637" spans="1:6" x14ac:dyDescent="0.25">
      <c r="A70637"/>
      <c r="B70637"/>
      <c r="C70637"/>
      <c r="E70637"/>
      <c r="F70637"/>
    </row>
    <row r="70638" spans="1:6" x14ac:dyDescent="0.25">
      <c r="A70638"/>
      <c r="B70638"/>
      <c r="C70638"/>
      <c r="E70638"/>
      <c r="F70638"/>
    </row>
    <row r="70639" spans="1:6" x14ac:dyDescent="0.25">
      <c r="A70639"/>
      <c r="B70639"/>
      <c r="C70639"/>
      <c r="E70639"/>
      <c r="F70639"/>
    </row>
    <row r="70640" spans="1:6" x14ac:dyDescent="0.25">
      <c r="A70640"/>
      <c r="B70640"/>
      <c r="C70640"/>
      <c r="E70640"/>
      <c r="F70640"/>
    </row>
    <row r="70641" spans="1:6" x14ac:dyDescent="0.25">
      <c r="A70641"/>
      <c r="B70641"/>
      <c r="C70641"/>
      <c r="E70641"/>
      <c r="F70641"/>
    </row>
    <row r="70642" spans="1:6" x14ac:dyDescent="0.25">
      <c r="A70642"/>
      <c r="B70642"/>
      <c r="C70642"/>
      <c r="E70642"/>
      <c r="F70642"/>
    </row>
    <row r="70643" spans="1:6" x14ac:dyDescent="0.25">
      <c r="A70643"/>
      <c r="B70643"/>
      <c r="C70643"/>
      <c r="E70643"/>
      <c r="F70643"/>
    </row>
    <row r="70644" spans="1:6" x14ac:dyDescent="0.25">
      <c r="A70644"/>
      <c r="B70644"/>
      <c r="C70644"/>
      <c r="E70644"/>
      <c r="F70644"/>
    </row>
    <row r="70645" spans="1:6" x14ac:dyDescent="0.25">
      <c r="A70645"/>
      <c r="B70645"/>
      <c r="C70645"/>
      <c r="E70645"/>
      <c r="F70645"/>
    </row>
    <row r="70646" spans="1:6" x14ac:dyDescent="0.25">
      <c r="A70646"/>
      <c r="B70646"/>
      <c r="C70646"/>
      <c r="E70646"/>
      <c r="F70646"/>
    </row>
    <row r="70647" spans="1:6" x14ac:dyDescent="0.25">
      <c r="A70647"/>
      <c r="B70647"/>
      <c r="C70647"/>
      <c r="E70647"/>
      <c r="F70647"/>
    </row>
    <row r="70648" spans="1:6" x14ac:dyDescent="0.25">
      <c r="A70648"/>
      <c r="B70648"/>
      <c r="C70648"/>
      <c r="E70648"/>
      <c r="F70648"/>
    </row>
    <row r="70649" spans="1:6" x14ac:dyDescent="0.25">
      <c r="A70649"/>
      <c r="B70649"/>
      <c r="C70649"/>
      <c r="E70649"/>
      <c r="F70649"/>
    </row>
    <row r="70650" spans="1:6" x14ac:dyDescent="0.25">
      <c r="A70650"/>
      <c r="B70650"/>
      <c r="C70650"/>
      <c r="E70650"/>
      <c r="F70650"/>
    </row>
    <row r="70651" spans="1:6" x14ac:dyDescent="0.25">
      <c r="A70651"/>
      <c r="B70651"/>
      <c r="C70651"/>
      <c r="E70651"/>
      <c r="F70651"/>
    </row>
    <row r="70652" spans="1:6" x14ac:dyDescent="0.25">
      <c r="A70652"/>
      <c r="B70652"/>
      <c r="C70652"/>
      <c r="E70652"/>
      <c r="F70652"/>
    </row>
    <row r="70653" spans="1:6" x14ac:dyDescent="0.25">
      <c r="A70653"/>
      <c r="B70653"/>
      <c r="C70653"/>
      <c r="E70653"/>
      <c r="F70653"/>
    </row>
    <row r="70654" spans="1:6" x14ac:dyDescent="0.25">
      <c r="A70654"/>
      <c r="B70654"/>
      <c r="C70654"/>
      <c r="E70654"/>
      <c r="F70654"/>
    </row>
    <row r="70655" spans="1:6" x14ac:dyDescent="0.25">
      <c r="A70655"/>
      <c r="B70655"/>
      <c r="C70655"/>
      <c r="E70655"/>
      <c r="F70655"/>
    </row>
    <row r="70656" spans="1:6" x14ac:dyDescent="0.25">
      <c r="A70656"/>
      <c r="B70656"/>
      <c r="C70656"/>
      <c r="E70656"/>
      <c r="F70656"/>
    </row>
    <row r="70657" spans="1:6" x14ac:dyDescent="0.25">
      <c r="A70657"/>
      <c r="B70657"/>
      <c r="C70657"/>
      <c r="E70657"/>
      <c r="F70657"/>
    </row>
    <row r="70658" spans="1:6" x14ac:dyDescent="0.25">
      <c r="A70658"/>
      <c r="B70658"/>
      <c r="C70658"/>
      <c r="E70658"/>
      <c r="F70658"/>
    </row>
    <row r="70659" spans="1:6" x14ac:dyDescent="0.25">
      <c r="A70659"/>
      <c r="B70659"/>
      <c r="C70659"/>
      <c r="E70659"/>
      <c r="F70659"/>
    </row>
    <row r="70660" spans="1:6" x14ac:dyDescent="0.25">
      <c r="A70660"/>
      <c r="B70660"/>
      <c r="C70660"/>
      <c r="E70660"/>
      <c r="F70660"/>
    </row>
    <row r="70661" spans="1:6" x14ac:dyDescent="0.25">
      <c r="A70661"/>
      <c r="B70661"/>
      <c r="C70661"/>
      <c r="E70661"/>
      <c r="F70661"/>
    </row>
    <row r="70662" spans="1:6" x14ac:dyDescent="0.25">
      <c r="A70662"/>
      <c r="B70662"/>
      <c r="C70662"/>
      <c r="E70662"/>
      <c r="F70662"/>
    </row>
    <row r="70663" spans="1:6" x14ac:dyDescent="0.25">
      <c r="A70663"/>
      <c r="B70663"/>
      <c r="C70663"/>
      <c r="E70663"/>
      <c r="F70663"/>
    </row>
    <row r="70664" spans="1:6" x14ac:dyDescent="0.25">
      <c r="A70664"/>
      <c r="B70664"/>
      <c r="C70664"/>
      <c r="E70664"/>
      <c r="F70664"/>
    </row>
    <row r="70665" spans="1:6" x14ac:dyDescent="0.25">
      <c r="A70665"/>
      <c r="B70665"/>
      <c r="C70665"/>
      <c r="E70665"/>
      <c r="F70665"/>
    </row>
    <row r="70666" spans="1:6" x14ac:dyDescent="0.25">
      <c r="A70666"/>
      <c r="B70666"/>
      <c r="C70666"/>
      <c r="E70666"/>
      <c r="F70666"/>
    </row>
    <row r="70667" spans="1:6" x14ac:dyDescent="0.25">
      <c r="A70667"/>
      <c r="B70667"/>
      <c r="C70667"/>
      <c r="E70667"/>
      <c r="F70667"/>
    </row>
    <row r="70668" spans="1:6" x14ac:dyDescent="0.25">
      <c r="A70668"/>
      <c r="B70668"/>
      <c r="C70668"/>
      <c r="E70668"/>
      <c r="F70668"/>
    </row>
    <row r="70669" spans="1:6" x14ac:dyDescent="0.25">
      <c r="A70669"/>
      <c r="B70669"/>
      <c r="C70669"/>
      <c r="E70669"/>
      <c r="F70669"/>
    </row>
    <row r="70670" spans="1:6" x14ac:dyDescent="0.25">
      <c r="A70670"/>
      <c r="B70670"/>
      <c r="C70670"/>
      <c r="E70670"/>
      <c r="F70670"/>
    </row>
    <row r="70671" spans="1:6" x14ac:dyDescent="0.25">
      <c r="A70671"/>
      <c r="B70671"/>
      <c r="C70671"/>
      <c r="E70671"/>
      <c r="F70671"/>
    </row>
    <row r="70672" spans="1:6" x14ac:dyDescent="0.25">
      <c r="A70672"/>
      <c r="B70672"/>
      <c r="C70672"/>
      <c r="E70672"/>
      <c r="F70672"/>
    </row>
    <row r="70673" spans="1:6" x14ac:dyDescent="0.25">
      <c r="A70673"/>
      <c r="B70673"/>
      <c r="C70673"/>
      <c r="E70673"/>
      <c r="F70673"/>
    </row>
    <row r="70674" spans="1:6" x14ac:dyDescent="0.25">
      <c r="A70674"/>
      <c r="B70674"/>
      <c r="C70674"/>
      <c r="E70674"/>
      <c r="F70674"/>
    </row>
    <row r="70675" spans="1:6" x14ac:dyDescent="0.25">
      <c r="A70675"/>
      <c r="B70675"/>
      <c r="C70675"/>
      <c r="E70675"/>
      <c r="F70675"/>
    </row>
    <row r="70676" spans="1:6" x14ac:dyDescent="0.25">
      <c r="A70676"/>
      <c r="B70676"/>
      <c r="C70676"/>
      <c r="E70676"/>
      <c r="F70676"/>
    </row>
    <row r="70677" spans="1:6" x14ac:dyDescent="0.25">
      <c r="A70677"/>
      <c r="B70677"/>
      <c r="C70677"/>
      <c r="E70677"/>
      <c r="F70677"/>
    </row>
    <row r="70678" spans="1:6" x14ac:dyDescent="0.25">
      <c r="A70678"/>
      <c r="B70678"/>
      <c r="C70678"/>
      <c r="E70678"/>
      <c r="F70678"/>
    </row>
    <row r="70679" spans="1:6" x14ac:dyDescent="0.25">
      <c r="A70679"/>
      <c r="B70679"/>
      <c r="C70679"/>
      <c r="E70679"/>
      <c r="F70679"/>
    </row>
    <row r="70680" spans="1:6" x14ac:dyDescent="0.25">
      <c r="A70680"/>
      <c r="B70680"/>
      <c r="C70680"/>
      <c r="E70680"/>
      <c r="F70680"/>
    </row>
    <row r="70681" spans="1:6" x14ac:dyDescent="0.25">
      <c r="A70681"/>
      <c r="B70681"/>
      <c r="C70681"/>
      <c r="E70681"/>
      <c r="F70681"/>
    </row>
    <row r="70682" spans="1:6" x14ac:dyDescent="0.25">
      <c r="A70682"/>
      <c r="B70682"/>
      <c r="C70682"/>
      <c r="E70682"/>
      <c r="F70682"/>
    </row>
    <row r="70683" spans="1:6" x14ac:dyDescent="0.25">
      <c r="A70683"/>
      <c r="B70683"/>
      <c r="C70683"/>
      <c r="E70683"/>
      <c r="F70683"/>
    </row>
    <row r="70684" spans="1:6" x14ac:dyDescent="0.25">
      <c r="A70684"/>
      <c r="B70684"/>
      <c r="C70684"/>
      <c r="E70684"/>
      <c r="F70684"/>
    </row>
    <row r="70685" spans="1:6" x14ac:dyDescent="0.25">
      <c r="A70685"/>
      <c r="B70685"/>
      <c r="C70685"/>
      <c r="E70685"/>
      <c r="F70685"/>
    </row>
    <row r="70686" spans="1:6" x14ac:dyDescent="0.25">
      <c r="A70686"/>
      <c r="B70686"/>
      <c r="C70686"/>
      <c r="E70686"/>
      <c r="F70686"/>
    </row>
    <row r="70687" spans="1:6" x14ac:dyDescent="0.25">
      <c r="A70687"/>
      <c r="B70687"/>
      <c r="C70687"/>
      <c r="E70687"/>
      <c r="F70687"/>
    </row>
    <row r="70688" spans="1:6" x14ac:dyDescent="0.25">
      <c r="A70688"/>
      <c r="B70688"/>
      <c r="C70688"/>
      <c r="E70688"/>
      <c r="F70688"/>
    </row>
    <row r="70689" spans="1:6" x14ac:dyDescent="0.25">
      <c r="A70689"/>
      <c r="B70689"/>
      <c r="C70689"/>
      <c r="E70689"/>
      <c r="F70689"/>
    </row>
    <row r="70690" spans="1:6" x14ac:dyDescent="0.25">
      <c r="A70690"/>
      <c r="B70690"/>
      <c r="C70690"/>
      <c r="E70690"/>
      <c r="F70690"/>
    </row>
    <row r="70691" spans="1:6" x14ac:dyDescent="0.25">
      <c r="A70691"/>
      <c r="B70691"/>
      <c r="C70691"/>
      <c r="E70691"/>
      <c r="F70691"/>
    </row>
    <row r="70692" spans="1:6" x14ac:dyDescent="0.25">
      <c r="A70692"/>
      <c r="B70692"/>
      <c r="C70692"/>
      <c r="E70692"/>
      <c r="F70692"/>
    </row>
    <row r="70693" spans="1:6" x14ac:dyDescent="0.25">
      <c r="A70693"/>
      <c r="B70693"/>
      <c r="C70693"/>
      <c r="E70693"/>
      <c r="F70693"/>
    </row>
    <row r="70694" spans="1:6" x14ac:dyDescent="0.25">
      <c r="A70694"/>
      <c r="B70694"/>
      <c r="C70694"/>
      <c r="E70694"/>
      <c r="F70694"/>
    </row>
    <row r="70695" spans="1:6" x14ac:dyDescent="0.25">
      <c r="A70695"/>
      <c r="B70695"/>
      <c r="C70695"/>
      <c r="E70695"/>
      <c r="F70695"/>
    </row>
    <row r="70696" spans="1:6" x14ac:dyDescent="0.25">
      <c r="A70696"/>
      <c r="B70696"/>
      <c r="C70696"/>
      <c r="E70696"/>
      <c r="F70696"/>
    </row>
    <row r="70697" spans="1:6" x14ac:dyDescent="0.25">
      <c r="A70697"/>
      <c r="B70697"/>
      <c r="C70697"/>
      <c r="E70697"/>
      <c r="F70697"/>
    </row>
    <row r="70698" spans="1:6" x14ac:dyDescent="0.25">
      <c r="A70698"/>
      <c r="B70698"/>
      <c r="C70698"/>
      <c r="E70698"/>
      <c r="F70698"/>
    </row>
    <row r="70699" spans="1:6" x14ac:dyDescent="0.25">
      <c r="A70699"/>
      <c r="B70699"/>
      <c r="C70699"/>
      <c r="E70699"/>
      <c r="F70699"/>
    </row>
    <row r="70700" spans="1:6" x14ac:dyDescent="0.25">
      <c r="A70700"/>
      <c r="B70700"/>
      <c r="C70700"/>
      <c r="E70700"/>
      <c r="F70700"/>
    </row>
    <row r="70701" spans="1:6" x14ac:dyDescent="0.25">
      <c r="A70701"/>
      <c r="B70701"/>
      <c r="C70701"/>
      <c r="E70701"/>
      <c r="F70701"/>
    </row>
    <row r="70702" spans="1:6" x14ac:dyDescent="0.25">
      <c r="A70702"/>
      <c r="B70702"/>
      <c r="C70702"/>
      <c r="E70702"/>
      <c r="F70702"/>
    </row>
    <row r="70703" spans="1:6" x14ac:dyDescent="0.25">
      <c r="A70703"/>
      <c r="B70703"/>
      <c r="C70703"/>
      <c r="E70703"/>
      <c r="F70703"/>
    </row>
    <row r="70704" spans="1:6" x14ac:dyDescent="0.25">
      <c r="A70704"/>
      <c r="B70704"/>
      <c r="C70704"/>
      <c r="E70704"/>
      <c r="F70704"/>
    </row>
    <row r="70705" spans="1:6" x14ac:dyDescent="0.25">
      <c r="A70705"/>
      <c r="B70705"/>
      <c r="C70705"/>
      <c r="E70705"/>
      <c r="F70705"/>
    </row>
    <row r="70706" spans="1:6" x14ac:dyDescent="0.25">
      <c r="A70706"/>
      <c r="B70706"/>
      <c r="C70706"/>
      <c r="E70706"/>
      <c r="F70706"/>
    </row>
    <row r="70707" spans="1:6" x14ac:dyDescent="0.25">
      <c r="A70707"/>
      <c r="B70707"/>
      <c r="C70707"/>
      <c r="E70707"/>
      <c r="F70707"/>
    </row>
    <row r="70708" spans="1:6" x14ac:dyDescent="0.25">
      <c r="A70708"/>
      <c r="B70708"/>
      <c r="C70708"/>
      <c r="E70708"/>
      <c r="F70708"/>
    </row>
    <row r="70709" spans="1:6" x14ac:dyDescent="0.25">
      <c r="A70709"/>
      <c r="B70709"/>
      <c r="C70709"/>
      <c r="E70709"/>
      <c r="F70709"/>
    </row>
    <row r="70710" spans="1:6" x14ac:dyDescent="0.25">
      <c r="A70710"/>
      <c r="B70710"/>
      <c r="C70710"/>
      <c r="E70710"/>
      <c r="F70710"/>
    </row>
    <row r="70711" spans="1:6" x14ac:dyDescent="0.25">
      <c r="A70711"/>
      <c r="B70711"/>
      <c r="C70711"/>
      <c r="E70711"/>
      <c r="F70711"/>
    </row>
    <row r="70712" spans="1:6" x14ac:dyDescent="0.25">
      <c r="A70712"/>
      <c r="B70712"/>
      <c r="C70712"/>
      <c r="E70712"/>
      <c r="F70712"/>
    </row>
    <row r="70713" spans="1:6" x14ac:dyDescent="0.25">
      <c r="A70713"/>
      <c r="B70713"/>
      <c r="C70713"/>
      <c r="E70713"/>
      <c r="F70713"/>
    </row>
    <row r="70714" spans="1:6" x14ac:dyDescent="0.25">
      <c r="A70714"/>
      <c r="B70714"/>
      <c r="C70714"/>
      <c r="E70714"/>
      <c r="F70714"/>
    </row>
    <row r="70715" spans="1:6" x14ac:dyDescent="0.25">
      <c r="A70715"/>
      <c r="B70715"/>
      <c r="C70715"/>
      <c r="E70715"/>
      <c r="F70715"/>
    </row>
    <row r="70716" spans="1:6" x14ac:dyDescent="0.25">
      <c r="A70716"/>
      <c r="B70716"/>
      <c r="C70716"/>
      <c r="E70716"/>
      <c r="F70716"/>
    </row>
    <row r="70717" spans="1:6" x14ac:dyDescent="0.25">
      <c r="A70717"/>
      <c r="B70717"/>
      <c r="C70717"/>
      <c r="E70717"/>
      <c r="F70717"/>
    </row>
    <row r="70718" spans="1:6" x14ac:dyDescent="0.25">
      <c r="A70718"/>
      <c r="B70718"/>
      <c r="C70718"/>
      <c r="E70718"/>
      <c r="F70718"/>
    </row>
    <row r="70719" spans="1:6" x14ac:dyDescent="0.25">
      <c r="A70719"/>
      <c r="B70719"/>
      <c r="C70719"/>
      <c r="E70719"/>
      <c r="F70719"/>
    </row>
    <row r="70720" spans="1:6" x14ac:dyDescent="0.25">
      <c r="A70720"/>
      <c r="B70720"/>
      <c r="C70720"/>
      <c r="E70720"/>
      <c r="F70720"/>
    </row>
    <row r="70721" spans="1:6" x14ac:dyDescent="0.25">
      <c r="A70721"/>
      <c r="B70721"/>
      <c r="C70721"/>
      <c r="E70721"/>
      <c r="F70721"/>
    </row>
    <row r="70722" spans="1:6" x14ac:dyDescent="0.25">
      <c r="A70722"/>
      <c r="B70722"/>
      <c r="C70722"/>
      <c r="E70722"/>
      <c r="F70722"/>
    </row>
    <row r="70723" spans="1:6" x14ac:dyDescent="0.25">
      <c r="A70723"/>
      <c r="B70723"/>
      <c r="C70723"/>
      <c r="E70723"/>
      <c r="F70723"/>
    </row>
    <row r="70724" spans="1:6" x14ac:dyDescent="0.25">
      <c r="A70724"/>
      <c r="B70724"/>
      <c r="C70724"/>
      <c r="E70724"/>
      <c r="F70724"/>
    </row>
    <row r="70725" spans="1:6" x14ac:dyDescent="0.25">
      <c r="A70725"/>
      <c r="B70725"/>
      <c r="C70725"/>
      <c r="E70725"/>
      <c r="F70725"/>
    </row>
    <row r="70726" spans="1:6" x14ac:dyDescent="0.25">
      <c r="A70726"/>
      <c r="B70726"/>
      <c r="C70726"/>
      <c r="E70726"/>
      <c r="F70726"/>
    </row>
    <row r="70727" spans="1:6" x14ac:dyDescent="0.25">
      <c r="A70727"/>
      <c r="B70727"/>
      <c r="C70727"/>
      <c r="E70727"/>
      <c r="F70727"/>
    </row>
    <row r="70728" spans="1:6" x14ac:dyDescent="0.25">
      <c r="A70728"/>
      <c r="B70728"/>
      <c r="C70728"/>
      <c r="E70728"/>
      <c r="F70728"/>
    </row>
    <row r="70729" spans="1:6" x14ac:dyDescent="0.25">
      <c r="A70729"/>
      <c r="B70729"/>
      <c r="C70729"/>
      <c r="E70729"/>
      <c r="F70729"/>
    </row>
    <row r="70730" spans="1:6" x14ac:dyDescent="0.25">
      <c r="A70730"/>
      <c r="B70730"/>
      <c r="C70730"/>
      <c r="E70730"/>
      <c r="F70730"/>
    </row>
    <row r="70731" spans="1:6" x14ac:dyDescent="0.25">
      <c r="A70731"/>
      <c r="B70731"/>
      <c r="C70731"/>
      <c r="E70731"/>
      <c r="F70731"/>
    </row>
    <row r="70732" spans="1:6" x14ac:dyDescent="0.25">
      <c r="A70732"/>
      <c r="B70732"/>
      <c r="C70732"/>
      <c r="E70732"/>
      <c r="F70732"/>
    </row>
    <row r="70733" spans="1:6" x14ac:dyDescent="0.25">
      <c r="A70733"/>
      <c r="B70733"/>
      <c r="C70733"/>
      <c r="E70733"/>
      <c r="F70733"/>
    </row>
    <row r="70734" spans="1:6" x14ac:dyDescent="0.25">
      <c r="A70734"/>
      <c r="B70734"/>
      <c r="C70734"/>
      <c r="E70734"/>
      <c r="F70734"/>
    </row>
    <row r="70735" spans="1:6" x14ac:dyDescent="0.25">
      <c r="A70735"/>
      <c r="B70735"/>
      <c r="C70735"/>
      <c r="E70735"/>
      <c r="F70735"/>
    </row>
    <row r="70736" spans="1:6" x14ac:dyDescent="0.25">
      <c r="A70736"/>
      <c r="B70736"/>
      <c r="C70736"/>
      <c r="E70736"/>
      <c r="F70736"/>
    </row>
    <row r="70737" spans="1:6" x14ac:dyDescent="0.25">
      <c r="A70737"/>
      <c r="B70737"/>
      <c r="C70737"/>
      <c r="E70737"/>
      <c r="F70737"/>
    </row>
    <row r="70738" spans="1:6" x14ac:dyDescent="0.25">
      <c r="A70738"/>
      <c r="B70738"/>
      <c r="C70738"/>
      <c r="E70738"/>
      <c r="F70738"/>
    </row>
    <row r="70739" spans="1:6" x14ac:dyDescent="0.25">
      <c r="A70739"/>
      <c r="B70739"/>
      <c r="C70739"/>
      <c r="E70739"/>
      <c r="F70739"/>
    </row>
    <row r="70740" spans="1:6" x14ac:dyDescent="0.25">
      <c r="A70740"/>
      <c r="B70740"/>
      <c r="C70740"/>
      <c r="E70740"/>
      <c r="F70740"/>
    </row>
    <row r="70741" spans="1:6" x14ac:dyDescent="0.25">
      <c r="A70741"/>
      <c r="B70741"/>
      <c r="C70741"/>
      <c r="E70741"/>
      <c r="F70741"/>
    </row>
    <row r="70742" spans="1:6" x14ac:dyDescent="0.25">
      <c r="A70742"/>
      <c r="B70742"/>
      <c r="C70742"/>
      <c r="E70742"/>
      <c r="F70742"/>
    </row>
    <row r="70743" spans="1:6" x14ac:dyDescent="0.25">
      <c r="A70743"/>
      <c r="B70743"/>
      <c r="C70743"/>
      <c r="E70743"/>
      <c r="F70743"/>
    </row>
    <row r="70744" spans="1:6" x14ac:dyDescent="0.25">
      <c r="A70744"/>
      <c r="B70744"/>
      <c r="C70744"/>
      <c r="E70744"/>
      <c r="F70744"/>
    </row>
    <row r="70745" spans="1:6" x14ac:dyDescent="0.25">
      <c r="A70745"/>
      <c r="B70745"/>
      <c r="C70745"/>
      <c r="E70745"/>
      <c r="F70745"/>
    </row>
    <row r="70746" spans="1:6" x14ac:dyDescent="0.25">
      <c r="A70746"/>
      <c r="B70746"/>
      <c r="C70746"/>
      <c r="E70746"/>
      <c r="F70746"/>
    </row>
    <row r="70747" spans="1:6" x14ac:dyDescent="0.25">
      <c r="A70747"/>
      <c r="B70747"/>
      <c r="C70747"/>
      <c r="E70747"/>
      <c r="F70747"/>
    </row>
    <row r="70748" spans="1:6" x14ac:dyDescent="0.25">
      <c r="A70748"/>
      <c r="B70748"/>
      <c r="C70748"/>
      <c r="E70748"/>
      <c r="F70748"/>
    </row>
    <row r="70749" spans="1:6" x14ac:dyDescent="0.25">
      <c r="A70749"/>
      <c r="B70749"/>
      <c r="C70749"/>
      <c r="E70749"/>
      <c r="F70749"/>
    </row>
    <row r="70750" spans="1:6" x14ac:dyDescent="0.25">
      <c r="A70750"/>
      <c r="B70750"/>
      <c r="C70750"/>
      <c r="E70750"/>
      <c r="F70750"/>
    </row>
    <row r="70751" spans="1:6" x14ac:dyDescent="0.25">
      <c r="A70751"/>
      <c r="B70751"/>
      <c r="C70751"/>
      <c r="E70751"/>
      <c r="F70751"/>
    </row>
    <row r="70752" spans="1:6" x14ac:dyDescent="0.25">
      <c r="A70752"/>
      <c r="B70752"/>
      <c r="C70752"/>
      <c r="E70752"/>
      <c r="F70752"/>
    </row>
    <row r="70753" spans="1:6" x14ac:dyDescent="0.25">
      <c r="A70753"/>
      <c r="B70753"/>
      <c r="C70753"/>
      <c r="E70753"/>
      <c r="F70753"/>
    </row>
    <row r="70754" spans="1:6" x14ac:dyDescent="0.25">
      <c r="A70754"/>
      <c r="B70754"/>
      <c r="C70754"/>
      <c r="E70754"/>
      <c r="F70754"/>
    </row>
    <row r="70755" spans="1:6" x14ac:dyDescent="0.25">
      <c r="A70755"/>
      <c r="B70755"/>
      <c r="C70755"/>
      <c r="E70755"/>
      <c r="F70755"/>
    </row>
    <row r="70756" spans="1:6" x14ac:dyDescent="0.25">
      <c r="A70756"/>
      <c r="B70756"/>
      <c r="C70756"/>
      <c r="E70756"/>
      <c r="F70756"/>
    </row>
    <row r="70757" spans="1:6" x14ac:dyDescent="0.25">
      <c r="A70757"/>
      <c r="B70757"/>
      <c r="C70757"/>
      <c r="E70757"/>
      <c r="F70757"/>
    </row>
    <row r="70758" spans="1:6" x14ac:dyDescent="0.25">
      <c r="A70758"/>
      <c r="B70758"/>
      <c r="C70758"/>
      <c r="E70758"/>
      <c r="F70758"/>
    </row>
    <row r="70759" spans="1:6" x14ac:dyDescent="0.25">
      <c r="A70759"/>
      <c r="B70759"/>
      <c r="C70759"/>
      <c r="E70759"/>
      <c r="F70759"/>
    </row>
    <row r="70760" spans="1:6" x14ac:dyDescent="0.25">
      <c r="A70760"/>
      <c r="B70760"/>
      <c r="C70760"/>
      <c r="E70760"/>
      <c r="F70760"/>
    </row>
    <row r="70761" spans="1:6" x14ac:dyDescent="0.25">
      <c r="A70761"/>
      <c r="B70761"/>
      <c r="C70761"/>
      <c r="E70761"/>
      <c r="F70761"/>
    </row>
    <row r="70762" spans="1:6" x14ac:dyDescent="0.25">
      <c r="A70762"/>
      <c r="B70762"/>
      <c r="C70762"/>
      <c r="E70762"/>
      <c r="F70762"/>
    </row>
    <row r="70763" spans="1:6" x14ac:dyDescent="0.25">
      <c r="A70763"/>
      <c r="B70763"/>
      <c r="C70763"/>
      <c r="E70763"/>
      <c r="F70763"/>
    </row>
    <row r="70764" spans="1:6" x14ac:dyDescent="0.25">
      <c r="A70764"/>
      <c r="B70764"/>
      <c r="C70764"/>
      <c r="E70764"/>
      <c r="F70764"/>
    </row>
    <row r="70765" spans="1:6" x14ac:dyDescent="0.25">
      <c r="A70765"/>
      <c r="B70765"/>
      <c r="C70765"/>
      <c r="E70765"/>
      <c r="F70765"/>
    </row>
    <row r="70766" spans="1:6" x14ac:dyDescent="0.25">
      <c r="A70766"/>
      <c r="B70766"/>
      <c r="C70766"/>
      <c r="E70766"/>
      <c r="F70766"/>
    </row>
    <row r="70767" spans="1:6" x14ac:dyDescent="0.25">
      <c r="A70767"/>
      <c r="B70767"/>
      <c r="C70767"/>
      <c r="E70767"/>
      <c r="F70767"/>
    </row>
    <row r="70768" spans="1:6" x14ac:dyDescent="0.25">
      <c r="A70768"/>
      <c r="B70768"/>
      <c r="C70768"/>
      <c r="E70768"/>
      <c r="F70768"/>
    </row>
    <row r="70769" spans="1:6" x14ac:dyDescent="0.25">
      <c r="A70769"/>
      <c r="B70769"/>
      <c r="C70769"/>
      <c r="E70769"/>
      <c r="F70769"/>
    </row>
    <row r="70770" spans="1:6" x14ac:dyDescent="0.25">
      <c r="A70770"/>
      <c r="B70770"/>
      <c r="C70770"/>
      <c r="E70770"/>
      <c r="F70770"/>
    </row>
    <row r="70771" spans="1:6" x14ac:dyDescent="0.25">
      <c r="A70771"/>
      <c r="B70771"/>
      <c r="C70771"/>
      <c r="E70771"/>
      <c r="F70771"/>
    </row>
    <row r="70772" spans="1:6" x14ac:dyDescent="0.25">
      <c r="A70772"/>
      <c r="B70772"/>
      <c r="C70772"/>
      <c r="E70772"/>
      <c r="F70772"/>
    </row>
    <row r="70773" spans="1:6" x14ac:dyDescent="0.25">
      <c r="A70773"/>
      <c r="B70773"/>
      <c r="C70773"/>
      <c r="E70773"/>
      <c r="F70773"/>
    </row>
    <row r="70774" spans="1:6" x14ac:dyDescent="0.25">
      <c r="A70774"/>
      <c r="B70774"/>
      <c r="C70774"/>
      <c r="E70774"/>
      <c r="F70774"/>
    </row>
    <row r="70775" spans="1:6" x14ac:dyDescent="0.25">
      <c r="A70775"/>
      <c r="B70775"/>
      <c r="C70775"/>
      <c r="E70775"/>
      <c r="F70775"/>
    </row>
    <row r="70776" spans="1:6" x14ac:dyDescent="0.25">
      <c r="A70776"/>
      <c r="B70776"/>
      <c r="C70776"/>
      <c r="E70776"/>
      <c r="F70776"/>
    </row>
    <row r="70777" spans="1:6" x14ac:dyDescent="0.25">
      <c r="A70777"/>
      <c r="B70777"/>
      <c r="C70777"/>
      <c r="E70777"/>
      <c r="F70777"/>
    </row>
    <row r="70778" spans="1:6" x14ac:dyDescent="0.25">
      <c r="A70778"/>
      <c r="B70778"/>
      <c r="C70778"/>
      <c r="E70778"/>
      <c r="F70778"/>
    </row>
    <row r="70779" spans="1:6" x14ac:dyDescent="0.25">
      <c r="A70779"/>
      <c r="B70779"/>
      <c r="C70779"/>
      <c r="E70779"/>
      <c r="F70779"/>
    </row>
    <row r="70780" spans="1:6" x14ac:dyDescent="0.25">
      <c r="A70780"/>
      <c r="B70780"/>
      <c r="C70780"/>
      <c r="E70780"/>
      <c r="F70780"/>
    </row>
    <row r="70781" spans="1:6" x14ac:dyDescent="0.25">
      <c r="A70781"/>
      <c r="B70781"/>
      <c r="C70781"/>
      <c r="E70781"/>
      <c r="F70781"/>
    </row>
    <row r="70782" spans="1:6" x14ac:dyDescent="0.25">
      <c r="A70782"/>
      <c r="B70782"/>
      <c r="C70782"/>
      <c r="E70782"/>
      <c r="F70782"/>
    </row>
    <row r="70783" spans="1:6" x14ac:dyDescent="0.25">
      <c r="A70783"/>
      <c r="B70783"/>
      <c r="C70783"/>
      <c r="E70783"/>
      <c r="F70783"/>
    </row>
    <row r="70784" spans="1:6" x14ac:dyDescent="0.25">
      <c r="A70784"/>
      <c r="B70784"/>
      <c r="C70784"/>
      <c r="E70784"/>
      <c r="F70784"/>
    </row>
    <row r="70785" spans="1:6" x14ac:dyDescent="0.25">
      <c r="A70785"/>
      <c r="B70785"/>
      <c r="C70785"/>
      <c r="E70785"/>
      <c r="F70785"/>
    </row>
    <row r="70786" spans="1:6" x14ac:dyDescent="0.25">
      <c r="A70786"/>
      <c r="B70786"/>
      <c r="C70786"/>
      <c r="E70786"/>
      <c r="F70786"/>
    </row>
    <row r="70787" spans="1:6" x14ac:dyDescent="0.25">
      <c r="A70787"/>
      <c r="B70787"/>
      <c r="C70787"/>
      <c r="E70787"/>
      <c r="F70787"/>
    </row>
    <row r="70788" spans="1:6" x14ac:dyDescent="0.25">
      <c r="A70788"/>
      <c r="B70788"/>
      <c r="C70788"/>
      <c r="E70788"/>
      <c r="F70788"/>
    </row>
    <row r="70789" spans="1:6" x14ac:dyDescent="0.25">
      <c r="A70789"/>
      <c r="B70789"/>
      <c r="C70789"/>
      <c r="E70789"/>
      <c r="F70789"/>
    </row>
    <row r="70790" spans="1:6" x14ac:dyDescent="0.25">
      <c r="A70790"/>
      <c r="B70790"/>
      <c r="C70790"/>
      <c r="E70790"/>
      <c r="F70790"/>
    </row>
    <row r="70791" spans="1:6" x14ac:dyDescent="0.25">
      <c r="A70791"/>
      <c r="B70791"/>
      <c r="C70791"/>
      <c r="E70791"/>
      <c r="F70791"/>
    </row>
    <row r="70792" spans="1:6" x14ac:dyDescent="0.25">
      <c r="A70792"/>
      <c r="B70792"/>
      <c r="C70792"/>
      <c r="E70792"/>
      <c r="F70792"/>
    </row>
    <row r="70793" spans="1:6" x14ac:dyDescent="0.25">
      <c r="A70793"/>
      <c r="B70793"/>
      <c r="C70793"/>
      <c r="E70793"/>
      <c r="F70793"/>
    </row>
    <row r="70794" spans="1:6" x14ac:dyDescent="0.25">
      <c r="A70794"/>
      <c r="B70794"/>
      <c r="C70794"/>
      <c r="E70794"/>
      <c r="F70794"/>
    </row>
    <row r="70795" spans="1:6" x14ac:dyDescent="0.25">
      <c r="A70795"/>
      <c r="B70795"/>
      <c r="C70795"/>
      <c r="E70795"/>
      <c r="F70795"/>
    </row>
    <row r="70796" spans="1:6" x14ac:dyDescent="0.25">
      <c r="A70796"/>
      <c r="B70796"/>
      <c r="C70796"/>
      <c r="E70796"/>
      <c r="F70796"/>
    </row>
    <row r="70797" spans="1:6" x14ac:dyDescent="0.25">
      <c r="A70797"/>
      <c r="B70797"/>
      <c r="C70797"/>
      <c r="E70797"/>
      <c r="F70797"/>
    </row>
    <row r="70798" spans="1:6" x14ac:dyDescent="0.25">
      <c r="A70798"/>
      <c r="B70798"/>
      <c r="C70798"/>
      <c r="E70798"/>
      <c r="F70798"/>
    </row>
    <row r="70799" spans="1:6" x14ac:dyDescent="0.25">
      <c r="A70799"/>
      <c r="B70799"/>
      <c r="C70799"/>
      <c r="E70799"/>
      <c r="F70799"/>
    </row>
    <row r="70800" spans="1:6" x14ac:dyDescent="0.25">
      <c r="A70800"/>
      <c r="B70800"/>
      <c r="C70800"/>
      <c r="E70800"/>
      <c r="F70800"/>
    </row>
    <row r="70801" spans="1:6" x14ac:dyDescent="0.25">
      <c r="A70801"/>
      <c r="B70801"/>
      <c r="C70801"/>
      <c r="E70801"/>
      <c r="F70801"/>
    </row>
    <row r="70802" spans="1:6" x14ac:dyDescent="0.25">
      <c r="A70802"/>
      <c r="B70802"/>
      <c r="C70802"/>
      <c r="E70802"/>
      <c r="F70802"/>
    </row>
    <row r="70803" spans="1:6" x14ac:dyDescent="0.25">
      <c r="A70803"/>
      <c r="B70803"/>
      <c r="C70803"/>
      <c r="E70803"/>
      <c r="F70803"/>
    </row>
    <row r="70804" spans="1:6" x14ac:dyDescent="0.25">
      <c r="A70804"/>
      <c r="B70804"/>
      <c r="C70804"/>
      <c r="E70804"/>
      <c r="F70804"/>
    </row>
    <row r="70805" spans="1:6" x14ac:dyDescent="0.25">
      <c r="A70805"/>
      <c r="B70805"/>
      <c r="C70805"/>
      <c r="E70805"/>
      <c r="F70805"/>
    </row>
    <row r="70806" spans="1:6" x14ac:dyDescent="0.25">
      <c r="A70806"/>
      <c r="B70806"/>
      <c r="C70806"/>
      <c r="E70806"/>
      <c r="F70806"/>
    </row>
    <row r="70807" spans="1:6" x14ac:dyDescent="0.25">
      <c r="A70807"/>
      <c r="B70807"/>
      <c r="C70807"/>
      <c r="E70807"/>
      <c r="F70807"/>
    </row>
    <row r="70808" spans="1:6" x14ac:dyDescent="0.25">
      <c r="A70808"/>
      <c r="B70808"/>
      <c r="C70808"/>
      <c r="E70808"/>
      <c r="F70808"/>
    </row>
    <row r="70809" spans="1:6" x14ac:dyDescent="0.25">
      <c r="A70809"/>
      <c r="B70809"/>
      <c r="C70809"/>
      <c r="E70809"/>
      <c r="F70809"/>
    </row>
    <row r="70810" spans="1:6" x14ac:dyDescent="0.25">
      <c r="A70810"/>
      <c r="B70810"/>
      <c r="C70810"/>
      <c r="E70810"/>
      <c r="F70810"/>
    </row>
    <row r="70811" spans="1:6" x14ac:dyDescent="0.25">
      <c r="A70811"/>
      <c r="B70811"/>
      <c r="C70811"/>
      <c r="E70811"/>
      <c r="F70811"/>
    </row>
    <row r="70812" spans="1:6" x14ac:dyDescent="0.25">
      <c r="A70812"/>
      <c r="B70812"/>
      <c r="C70812"/>
      <c r="E70812"/>
      <c r="F70812"/>
    </row>
    <row r="70813" spans="1:6" x14ac:dyDescent="0.25">
      <c r="A70813"/>
      <c r="B70813"/>
      <c r="C70813"/>
      <c r="E70813"/>
      <c r="F70813"/>
    </row>
    <row r="70814" spans="1:6" x14ac:dyDescent="0.25">
      <c r="A70814"/>
      <c r="B70814"/>
      <c r="C70814"/>
      <c r="E70814"/>
      <c r="F70814"/>
    </row>
    <row r="70815" spans="1:6" x14ac:dyDescent="0.25">
      <c r="A70815"/>
      <c r="B70815"/>
      <c r="C70815"/>
      <c r="E70815"/>
      <c r="F70815"/>
    </row>
    <row r="70816" spans="1:6" x14ac:dyDescent="0.25">
      <c r="A70816"/>
      <c r="B70816"/>
      <c r="C70816"/>
      <c r="E70816"/>
      <c r="F70816"/>
    </row>
    <row r="70817" spans="1:6" x14ac:dyDescent="0.25">
      <c r="A70817"/>
      <c r="B70817"/>
      <c r="C70817"/>
      <c r="E70817"/>
      <c r="F70817"/>
    </row>
    <row r="70818" spans="1:6" x14ac:dyDescent="0.25">
      <c r="A70818"/>
      <c r="B70818"/>
      <c r="C70818"/>
      <c r="E70818"/>
      <c r="F70818"/>
    </row>
    <row r="70819" spans="1:6" x14ac:dyDescent="0.25">
      <c r="A70819"/>
      <c r="B70819"/>
      <c r="C70819"/>
      <c r="E70819"/>
      <c r="F70819"/>
    </row>
    <row r="70820" spans="1:6" x14ac:dyDescent="0.25">
      <c r="A70820"/>
      <c r="B70820"/>
      <c r="C70820"/>
      <c r="E70820"/>
      <c r="F70820"/>
    </row>
    <row r="70821" spans="1:6" x14ac:dyDescent="0.25">
      <c r="A70821"/>
      <c r="B70821"/>
      <c r="C70821"/>
      <c r="E70821"/>
      <c r="F70821"/>
    </row>
    <row r="70822" spans="1:6" x14ac:dyDescent="0.25">
      <c r="A70822"/>
      <c r="B70822"/>
      <c r="C70822"/>
      <c r="E70822"/>
      <c r="F70822"/>
    </row>
    <row r="70823" spans="1:6" x14ac:dyDescent="0.25">
      <c r="A70823"/>
      <c r="B70823"/>
      <c r="C70823"/>
      <c r="E70823"/>
      <c r="F70823"/>
    </row>
    <row r="70824" spans="1:6" x14ac:dyDescent="0.25">
      <c r="A70824"/>
      <c r="B70824"/>
      <c r="C70824"/>
      <c r="E70824"/>
      <c r="F70824"/>
    </row>
    <row r="70825" spans="1:6" x14ac:dyDescent="0.25">
      <c r="A70825"/>
      <c r="B70825"/>
      <c r="C70825"/>
      <c r="E70825"/>
      <c r="F70825"/>
    </row>
    <row r="70826" spans="1:6" x14ac:dyDescent="0.25">
      <c r="A70826"/>
      <c r="B70826"/>
      <c r="C70826"/>
      <c r="E70826"/>
      <c r="F70826"/>
    </row>
    <row r="70827" spans="1:6" x14ac:dyDescent="0.25">
      <c r="A70827"/>
      <c r="B70827"/>
      <c r="C70827"/>
      <c r="E70827"/>
      <c r="F70827"/>
    </row>
    <row r="70828" spans="1:6" x14ac:dyDescent="0.25">
      <c r="A70828"/>
      <c r="B70828"/>
      <c r="C70828"/>
      <c r="E70828"/>
      <c r="F70828"/>
    </row>
    <row r="70829" spans="1:6" x14ac:dyDescent="0.25">
      <c r="A70829"/>
      <c r="B70829"/>
      <c r="C70829"/>
      <c r="E70829"/>
      <c r="F70829"/>
    </row>
    <row r="70830" spans="1:6" x14ac:dyDescent="0.25">
      <c r="A70830"/>
      <c r="B70830"/>
      <c r="C70830"/>
      <c r="E70830"/>
      <c r="F70830"/>
    </row>
    <row r="70831" spans="1:6" x14ac:dyDescent="0.25">
      <c r="A70831"/>
      <c r="B70831"/>
      <c r="C70831"/>
      <c r="E70831"/>
      <c r="F70831"/>
    </row>
    <row r="70832" spans="1:6" x14ac:dyDescent="0.25">
      <c r="A70832"/>
      <c r="B70832"/>
      <c r="C70832"/>
      <c r="E70832"/>
      <c r="F70832"/>
    </row>
    <row r="70833" spans="1:6" x14ac:dyDescent="0.25">
      <c r="A70833"/>
      <c r="B70833"/>
      <c r="C70833"/>
      <c r="E70833"/>
      <c r="F70833"/>
    </row>
    <row r="70834" spans="1:6" x14ac:dyDescent="0.25">
      <c r="A70834"/>
      <c r="B70834"/>
      <c r="C70834"/>
      <c r="E70834"/>
      <c r="F70834"/>
    </row>
    <row r="70835" spans="1:6" x14ac:dyDescent="0.25">
      <c r="A70835"/>
      <c r="B70835"/>
      <c r="C70835"/>
      <c r="E70835"/>
      <c r="F70835"/>
    </row>
    <row r="70836" spans="1:6" x14ac:dyDescent="0.25">
      <c r="A70836"/>
      <c r="B70836"/>
      <c r="C70836"/>
      <c r="E70836"/>
      <c r="F70836"/>
    </row>
    <row r="70837" spans="1:6" x14ac:dyDescent="0.25">
      <c r="A70837"/>
      <c r="B70837"/>
      <c r="C70837"/>
      <c r="E70837"/>
      <c r="F70837"/>
    </row>
    <row r="70838" spans="1:6" x14ac:dyDescent="0.25">
      <c r="A70838"/>
      <c r="B70838"/>
      <c r="C70838"/>
      <c r="E70838"/>
      <c r="F70838"/>
    </row>
    <row r="70839" spans="1:6" x14ac:dyDescent="0.25">
      <c r="A70839"/>
      <c r="B70839"/>
      <c r="C70839"/>
      <c r="E70839"/>
      <c r="F70839"/>
    </row>
    <row r="70840" spans="1:6" x14ac:dyDescent="0.25">
      <c r="A70840"/>
      <c r="B70840"/>
      <c r="C70840"/>
      <c r="E70840"/>
      <c r="F70840"/>
    </row>
    <row r="70841" spans="1:6" x14ac:dyDescent="0.25">
      <c r="A70841"/>
      <c r="B70841"/>
      <c r="C70841"/>
      <c r="E70841"/>
      <c r="F70841"/>
    </row>
    <row r="70842" spans="1:6" x14ac:dyDescent="0.25">
      <c r="A70842"/>
      <c r="B70842"/>
      <c r="C70842"/>
      <c r="E70842"/>
      <c r="F70842"/>
    </row>
    <row r="70843" spans="1:6" x14ac:dyDescent="0.25">
      <c r="A70843"/>
      <c r="B70843"/>
      <c r="C70843"/>
      <c r="E70843"/>
      <c r="F70843"/>
    </row>
    <row r="70844" spans="1:6" x14ac:dyDescent="0.25">
      <c r="A70844"/>
      <c r="B70844"/>
      <c r="C70844"/>
      <c r="E70844"/>
      <c r="F70844"/>
    </row>
    <row r="70845" spans="1:6" x14ac:dyDescent="0.25">
      <c r="A70845"/>
      <c r="B70845"/>
      <c r="C70845"/>
      <c r="E70845"/>
      <c r="F70845"/>
    </row>
    <row r="70846" spans="1:6" x14ac:dyDescent="0.25">
      <c r="A70846"/>
      <c r="B70846"/>
      <c r="C70846"/>
      <c r="E70846"/>
      <c r="F70846"/>
    </row>
    <row r="70847" spans="1:6" x14ac:dyDescent="0.25">
      <c r="A70847"/>
      <c r="B70847"/>
      <c r="C70847"/>
      <c r="E70847"/>
      <c r="F70847"/>
    </row>
    <row r="70848" spans="1:6" x14ac:dyDescent="0.25">
      <c r="A70848"/>
      <c r="B70848"/>
      <c r="C70848"/>
      <c r="E70848"/>
      <c r="F70848"/>
    </row>
    <row r="70849" spans="1:6" x14ac:dyDescent="0.25">
      <c r="A70849"/>
      <c r="B70849"/>
      <c r="C70849"/>
      <c r="E70849"/>
      <c r="F70849"/>
    </row>
    <row r="70850" spans="1:6" x14ac:dyDescent="0.25">
      <c r="A70850"/>
      <c r="B70850"/>
      <c r="C70850"/>
      <c r="E70850"/>
      <c r="F70850"/>
    </row>
    <row r="70851" spans="1:6" x14ac:dyDescent="0.25">
      <c r="A70851"/>
      <c r="B70851"/>
      <c r="C70851"/>
      <c r="E70851"/>
      <c r="F70851"/>
    </row>
    <row r="70852" spans="1:6" x14ac:dyDescent="0.25">
      <c r="A70852"/>
      <c r="B70852"/>
      <c r="C70852"/>
      <c r="E70852"/>
      <c r="F70852"/>
    </row>
    <row r="70853" spans="1:6" x14ac:dyDescent="0.25">
      <c r="A70853"/>
      <c r="B70853"/>
      <c r="C70853"/>
      <c r="E70853"/>
      <c r="F70853"/>
    </row>
    <row r="70854" spans="1:6" x14ac:dyDescent="0.25">
      <c r="A70854"/>
      <c r="B70854"/>
      <c r="C70854"/>
      <c r="E70854"/>
      <c r="F70854"/>
    </row>
    <row r="70855" spans="1:6" x14ac:dyDescent="0.25">
      <c r="A70855"/>
      <c r="B70855"/>
      <c r="C70855"/>
      <c r="E70855"/>
      <c r="F70855"/>
    </row>
    <row r="70856" spans="1:6" x14ac:dyDescent="0.25">
      <c r="A70856"/>
      <c r="B70856"/>
      <c r="C70856"/>
      <c r="E70856"/>
      <c r="F70856"/>
    </row>
    <row r="70857" spans="1:6" x14ac:dyDescent="0.25">
      <c r="A70857"/>
      <c r="B70857"/>
      <c r="C70857"/>
      <c r="E70857"/>
      <c r="F70857"/>
    </row>
    <row r="70858" spans="1:6" x14ac:dyDescent="0.25">
      <c r="A70858"/>
      <c r="B70858"/>
      <c r="C70858"/>
      <c r="E70858"/>
      <c r="F70858"/>
    </row>
    <row r="70859" spans="1:6" x14ac:dyDescent="0.25">
      <c r="A70859"/>
      <c r="B70859"/>
      <c r="C70859"/>
      <c r="E70859"/>
      <c r="F70859"/>
    </row>
    <row r="70860" spans="1:6" x14ac:dyDescent="0.25">
      <c r="A70860"/>
      <c r="B70860"/>
      <c r="C70860"/>
      <c r="E70860"/>
      <c r="F70860"/>
    </row>
    <row r="70861" spans="1:6" x14ac:dyDescent="0.25">
      <c r="A70861"/>
      <c r="B70861"/>
      <c r="C70861"/>
      <c r="E70861"/>
      <c r="F70861"/>
    </row>
    <row r="70862" spans="1:6" x14ac:dyDescent="0.25">
      <c r="A70862"/>
      <c r="B70862"/>
      <c r="C70862"/>
      <c r="E70862"/>
      <c r="F70862"/>
    </row>
    <row r="70863" spans="1:6" x14ac:dyDescent="0.25">
      <c r="A70863"/>
      <c r="B70863"/>
      <c r="C70863"/>
      <c r="E70863"/>
      <c r="F70863"/>
    </row>
    <row r="70864" spans="1:6" x14ac:dyDescent="0.25">
      <c r="A70864"/>
      <c r="B70864"/>
      <c r="C70864"/>
      <c r="E70864"/>
      <c r="F70864"/>
    </row>
    <row r="70865" spans="1:6" x14ac:dyDescent="0.25">
      <c r="A70865"/>
      <c r="B70865"/>
      <c r="C70865"/>
      <c r="E70865"/>
      <c r="F70865"/>
    </row>
    <row r="70866" spans="1:6" x14ac:dyDescent="0.25">
      <c r="A70866"/>
      <c r="B70866"/>
      <c r="C70866"/>
      <c r="E70866"/>
      <c r="F70866"/>
    </row>
    <row r="70867" spans="1:6" x14ac:dyDescent="0.25">
      <c r="A70867"/>
      <c r="B70867"/>
      <c r="C70867"/>
      <c r="E70867"/>
      <c r="F70867"/>
    </row>
    <row r="70868" spans="1:6" x14ac:dyDescent="0.25">
      <c r="A70868"/>
      <c r="B70868"/>
      <c r="C70868"/>
      <c r="E70868"/>
      <c r="F70868"/>
    </row>
    <row r="70869" spans="1:6" x14ac:dyDescent="0.25">
      <c r="A70869"/>
      <c r="B70869"/>
      <c r="C70869"/>
      <c r="E70869"/>
      <c r="F70869"/>
    </row>
    <row r="70870" spans="1:6" x14ac:dyDescent="0.25">
      <c r="A70870"/>
      <c r="B70870"/>
      <c r="C70870"/>
      <c r="E70870"/>
      <c r="F70870"/>
    </row>
    <row r="70871" spans="1:6" x14ac:dyDescent="0.25">
      <c r="A70871"/>
      <c r="B70871"/>
      <c r="C70871"/>
      <c r="E70871"/>
      <c r="F70871"/>
    </row>
    <row r="70872" spans="1:6" x14ac:dyDescent="0.25">
      <c r="A70872"/>
      <c r="B70872"/>
      <c r="C70872"/>
      <c r="E70872"/>
      <c r="F70872"/>
    </row>
    <row r="70873" spans="1:6" x14ac:dyDescent="0.25">
      <c r="A70873"/>
      <c r="B70873"/>
      <c r="C70873"/>
      <c r="E70873"/>
      <c r="F70873"/>
    </row>
    <row r="70874" spans="1:6" x14ac:dyDescent="0.25">
      <c r="A70874"/>
      <c r="B70874"/>
      <c r="C70874"/>
      <c r="E70874"/>
      <c r="F70874"/>
    </row>
    <row r="70875" spans="1:6" x14ac:dyDescent="0.25">
      <c r="A70875"/>
      <c r="B70875"/>
      <c r="C70875"/>
      <c r="E70875"/>
      <c r="F70875"/>
    </row>
    <row r="70876" spans="1:6" x14ac:dyDescent="0.25">
      <c r="A70876"/>
      <c r="B70876"/>
      <c r="C70876"/>
      <c r="E70876"/>
      <c r="F70876"/>
    </row>
    <row r="70877" spans="1:6" x14ac:dyDescent="0.25">
      <c r="A70877"/>
      <c r="B70877"/>
      <c r="C70877"/>
      <c r="E70877"/>
      <c r="F70877"/>
    </row>
    <row r="70878" spans="1:6" x14ac:dyDescent="0.25">
      <c r="A70878"/>
      <c r="B70878"/>
      <c r="C70878"/>
      <c r="E70878"/>
      <c r="F70878"/>
    </row>
    <row r="70879" spans="1:6" x14ac:dyDescent="0.25">
      <c r="A70879"/>
      <c r="B70879"/>
      <c r="C70879"/>
      <c r="E70879"/>
      <c r="F70879"/>
    </row>
    <row r="70880" spans="1:6" x14ac:dyDescent="0.25">
      <c r="A70880"/>
      <c r="B70880"/>
      <c r="C70880"/>
      <c r="E70880"/>
      <c r="F70880"/>
    </row>
    <row r="70881" spans="1:6" x14ac:dyDescent="0.25">
      <c r="A70881"/>
      <c r="B70881"/>
      <c r="C70881"/>
      <c r="E70881"/>
      <c r="F70881"/>
    </row>
    <row r="70882" spans="1:6" x14ac:dyDescent="0.25">
      <c r="A70882"/>
      <c r="B70882"/>
      <c r="C70882"/>
      <c r="E70882"/>
      <c r="F70882"/>
    </row>
    <row r="70883" spans="1:6" x14ac:dyDescent="0.25">
      <c r="A70883"/>
      <c r="B70883"/>
      <c r="C70883"/>
      <c r="E70883"/>
      <c r="F70883"/>
    </row>
    <row r="70884" spans="1:6" x14ac:dyDescent="0.25">
      <c r="A70884"/>
      <c r="B70884"/>
      <c r="C70884"/>
      <c r="E70884"/>
      <c r="F70884"/>
    </row>
    <row r="70885" spans="1:6" x14ac:dyDescent="0.25">
      <c r="A70885"/>
      <c r="B70885"/>
      <c r="C70885"/>
      <c r="E70885"/>
      <c r="F70885"/>
    </row>
    <row r="70886" spans="1:6" x14ac:dyDescent="0.25">
      <c r="A70886"/>
      <c r="B70886"/>
      <c r="C70886"/>
      <c r="E70886"/>
      <c r="F70886"/>
    </row>
    <row r="70887" spans="1:6" x14ac:dyDescent="0.25">
      <c r="A70887"/>
      <c r="B70887"/>
      <c r="C70887"/>
      <c r="E70887"/>
      <c r="F70887"/>
    </row>
    <row r="70888" spans="1:6" x14ac:dyDescent="0.25">
      <c r="A70888"/>
      <c r="B70888"/>
      <c r="C70888"/>
      <c r="E70888"/>
      <c r="F70888"/>
    </row>
    <row r="70889" spans="1:6" x14ac:dyDescent="0.25">
      <c r="A70889"/>
      <c r="B70889"/>
      <c r="C70889"/>
      <c r="E70889"/>
      <c r="F70889"/>
    </row>
    <row r="70890" spans="1:6" x14ac:dyDescent="0.25">
      <c r="A70890"/>
      <c r="B70890"/>
      <c r="C70890"/>
      <c r="E70890"/>
      <c r="F70890"/>
    </row>
    <row r="70891" spans="1:6" x14ac:dyDescent="0.25">
      <c r="A70891"/>
      <c r="B70891"/>
      <c r="C70891"/>
      <c r="E70891"/>
      <c r="F70891"/>
    </row>
    <row r="70892" spans="1:6" x14ac:dyDescent="0.25">
      <c r="A70892"/>
      <c r="B70892"/>
      <c r="C70892"/>
      <c r="E70892"/>
      <c r="F70892"/>
    </row>
    <row r="70893" spans="1:6" x14ac:dyDescent="0.25">
      <c r="A70893"/>
      <c r="B70893"/>
      <c r="C70893"/>
      <c r="E70893"/>
      <c r="F70893"/>
    </row>
    <row r="70894" spans="1:6" x14ac:dyDescent="0.25">
      <c r="A70894"/>
      <c r="B70894"/>
      <c r="C70894"/>
      <c r="E70894"/>
      <c r="F70894"/>
    </row>
    <row r="70895" spans="1:6" x14ac:dyDescent="0.25">
      <c r="A70895"/>
      <c r="B70895"/>
      <c r="C70895"/>
      <c r="E70895"/>
      <c r="F70895"/>
    </row>
    <row r="70896" spans="1:6" x14ac:dyDescent="0.25">
      <c r="A70896"/>
      <c r="B70896"/>
      <c r="C70896"/>
      <c r="E70896"/>
      <c r="F70896"/>
    </row>
    <row r="70897" spans="1:6" x14ac:dyDescent="0.25">
      <c r="A70897"/>
      <c r="B70897"/>
      <c r="C70897"/>
      <c r="E70897"/>
      <c r="F70897"/>
    </row>
    <row r="70898" spans="1:6" x14ac:dyDescent="0.25">
      <c r="A70898"/>
      <c r="B70898"/>
      <c r="C70898"/>
      <c r="E70898"/>
      <c r="F70898"/>
    </row>
    <row r="70899" spans="1:6" x14ac:dyDescent="0.25">
      <c r="A70899"/>
      <c r="B70899"/>
      <c r="C70899"/>
      <c r="E70899"/>
      <c r="F70899"/>
    </row>
    <row r="70900" spans="1:6" x14ac:dyDescent="0.25">
      <c r="A70900"/>
      <c r="B70900"/>
      <c r="C70900"/>
      <c r="E70900"/>
      <c r="F70900"/>
    </row>
    <row r="70901" spans="1:6" x14ac:dyDescent="0.25">
      <c r="A70901"/>
      <c r="B70901"/>
      <c r="C70901"/>
      <c r="E70901"/>
      <c r="F70901"/>
    </row>
    <row r="70902" spans="1:6" x14ac:dyDescent="0.25">
      <c r="A70902"/>
      <c r="B70902"/>
      <c r="C70902"/>
      <c r="E70902"/>
      <c r="F70902"/>
    </row>
    <row r="70903" spans="1:6" x14ac:dyDescent="0.25">
      <c r="A70903"/>
      <c r="B70903"/>
      <c r="C70903"/>
      <c r="E70903"/>
      <c r="F70903"/>
    </row>
    <row r="70904" spans="1:6" x14ac:dyDescent="0.25">
      <c r="A70904"/>
      <c r="B70904"/>
      <c r="C70904"/>
      <c r="E70904"/>
      <c r="F70904"/>
    </row>
    <row r="70905" spans="1:6" x14ac:dyDescent="0.25">
      <c r="A70905"/>
      <c r="B70905"/>
      <c r="C70905"/>
      <c r="E70905"/>
      <c r="F70905"/>
    </row>
    <row r="70906" spans="1:6" x14ac:dyDescent="0.25">
      <c r="A70906"/>
      <c r="B70906"/>
      <c r="C70906"/>
      <c r="E70906"/>
      <c r="F70906"/>
    </row>
    <row r="70907" spans="1:6" x14ac:dyDescent="0.25">
      <c r="A70907"/>
      <c r="B70907"/>
      <c r="C70907"/>
      <c r="E70907"/>
      <c r="F70907"/>
    </row>
    <row r="70908" spans="1:6" x14ac:dyDescent="0.25">
      <c r="A70908"/>
      <c r="B70908"/>
      <c r="C70908"/>
      <c r="E70908"/>
      <c r="F70908"/>
    </row>
    <row r="70909" spans="1:6" x14ac:dyDescent="0.25">
      <c r="A70909"/>
      <c r="B70909"/>
      <c r="C70909"/>
      <c r="E70909"/>
      <c r="F70909"/>
    </row>
    <row r="70910" spans="1:6" x14ac:dyDescent="0.25">
      <c r="A70910"/>
      <c r="B70910"/>
      <c r="C70910"/>
      <c r="E70910"/>
      <c r="F70910"/>
    </row>
    <row r="70911" spans="1:6" x14ac:dyDescent="0.25">
      <c r="A70911"/>
      <c r="B70911"/>
      <c r="C70911"/>
      <c r="E70911"/>
      <c r="F70911"/>
    </row>
    <row r="70912" spans="1:6" x14ac:dyDescent="0.25">
      <c r="A70912"/>
      <c r="B70912"/>
      <c r="C70912"/>
      <c r="E70912"/>
      <c r="F70912"/>
    </row>
    <row r="70913" spans="1:6" x14ac:dyDescent="0.25">
      <c r="A70913"/>
      <c r="B70913"/>
      <c r="C70913"/>
      <c r="E70913"/>
      <c r="F70913"/>
    </row>
    <row r="70914" spans="1:6" x14ac:dyDescent="0.25">
      <c r="A70914"/>
      <c r="B70914"/>
      <c r="C70914"/>
      <c r="E70914"/>
      <c r="F70914"/>
    </row>
    <row r="70915" spans="1:6" x14ac:dyDescent="0.25">
      <c r="A70915"/>
      <c r="B70915"/>
      <c r="C70915"/>
      <c r="E70915"/>
      <c r="F70915"/>
    </row>
    <row r="70916" spans="1:6" x14ac:dyDescent="0.25">
      <c r="A70916"/>
      <c r="B70916"/>
      <c r="C70916"/>
      <c r="E70916"/>
      <c r="F70916"/>
    </row>
    <row r="70917" spans="1:6" x14ac:dyDescent="0.25">
      <c r="A70917"/>
      <c r="B70917"/>
      <c r="C70917"/>
      <c r="E70917"/>
      <c r="F70917"/>
    </row>
    <row r="70918" spans="1:6" x14ac:dyDescent="0.25">
      <c r="A70918"/>
      <c r="B70918"/>
      <c r="C70918"/>
      <c r="E70918"/>
      <c r="F70918"/>
    </row>
    <row r="70919" spans="1:6" x14ac:dyDescent="0.25">
      <c r="A70919"/>
      <c r="B70919"/>
      <c r="C70919"/>
      <c r="E70919"/>
      <c r="F70919"/>
    </row>
    <row r="70920" spans="1:6" x14ac:dyDescent="0.25">
      <c r="A70920"/>
      <c r="B70920"/>
      <c r="C70920"/>
      <c r="E70920"/>
      <c r="F70920"/>
    </row>
    <row r="70921" spans="1:6" x14ac:dyDescent="0.25">
      <c r="A70921"/>
      <c r="B70921"/>
      <c r="C70921"/>
      <c r="E70921"/>
      <c r="F70921"/>
    </row>
    <row r="70922" spans="1:6" x14ac:dyDescent="0.25">
      <c r="A70922"/>
      <c r="B70922"/>
      <c r="C70922"/>
      <c r="E70922"/>
      <c r="F70922"/>
    </row>
    <row r="70923" spans="1:6" x14ac:dyDescent="0.25">
      <c r="A70923"/>
      <c r="B70923"/>
      <c r="C70923"/>
      <c r="E70923"/>
      <c r="F70923"/>
    </row>
    <row r="70924" spans="1:6" x14ac:dyDescent="0.25">
      <c r="A70924"/>
      <c r="B70924"/>
      <c r="C70924"/>
      <c r="E70924"/>
      <c r="F70924"/>
    </row>
    <row r="70925" spans="1:6" x14ac:dyDescent="0.25">
      <c r="A70925"/>
      <c r="B70925"/>
      <c r="C70925"/>
      <c r="E70925"/>
      <c r="F70925"/>
    </row>
    <row r="70926" spans="1:6" x14ac:dyDescent="0.25">
      <c r="A70926"/>
      <c r="B70926"/>
      <c r="C70926"/>
      <c r="E70926"/>
      <c r="F70926"/>
    </row>
    <row r="70927" spans="1:6" x14ac:dyDescent="0.25">
      <c r="A70927"/>
      <c r="B70927"/>
      <c r="C70927"/>
      <c r="E70927"/>
      <c r="F70927"/>
    </row>
    <row r="70928" spans="1:6" x14ac:dyDescent="0.25">
      <c r="A70928"/>
      <c r="B70928"/>
      <c r="C70928"/>
      <c r="E70928"/>
      <c r="F70928"/>
    </row>
    <row r="70929" spans="1:6" x14ac:dyDescent="0.25">
      <c r="A70929"/>
      <c r="B70929"/>
      <c r="C70929"/>
      <c r="E70929"/>
      <c r="F70929"/>
    </row>
    <row r="70930" spans="1:6" x14ac:dyDescent="0.25">
      <c r="A70930"/>
      <c r="B70930"/>
      <c r="C70930"/>
      <c r="E70930"/>
      <c r="F70930"/>
    </row>
    <row r="70931" spans="1:6" x14ac:dyDescent="0.25">
      <c r="A70931"/>
      <c r="B70931"/>
      <c r="C70931"/>
      <c r="E70931"/>
      <c r="F70931"/>
    </row>
    <row r="70932" spans="1:6" x14ac:dyDescent="0.25">
      <c r="A70932"/>
      <c r="B70932"/>
      <c r="C70932"/>
      <c r="E70932"/>
      <c r="F70932"/>
    </row>
    <row r="70933" spans="1:6" x14ac:dyDescent="0.25">
      <c r="A70933"/>
      <c r="B70933"/>
      <c r="C70933"/>
      <c r="E70933"/>
      <c r="F70933"/>
    </row>
    <row r="70934" spans="1:6" x14ac:dyDescent="0.25">
      <c r="A70934"/>
      <c r="B70934"/>
      <c r="C70934"/>
      <c r="E70934"/>
      <c r="F70934"/>
    </row>
    <row r="70935" spans="1:6" x14ac:dyDescent="0.25">
      <c r="A70935"/>
      <c r="B70935"/>
      <c r="C70935"/>
      <c r="E70935"/>
      <c r="F70935"/>
    </row>
    <row r="70936" spans="1:6" x14ac:dyDescent="0.25">
      <c r="A70936"/>
      <c r="B70936"/>
      <c r="C70936"/>
      <c r="E70936"/>
      <c r="F70936"/>
    </row>
    <row r="70937" spans="1:6" x14ac:dyDescent="0.25">
      <c r="A70937"/>
      <c r="B70937"/>
      <c r="C70937"/>
      <c r="E70937"/>
      <c r="F70937"/>
    </row>
    <row r="70938" spans="1:6" x14ac:dyDescent="0.25">
      <c r="A70938"/>
      <c r="B70938"/>
      <c r="C70938"/>
      <c r="E70938"/>
      <c r="F70938"/>
    </row>
    <row r="70939" spans="1:6" x14ac:dyDescent="0.25">
      <c r="A70939"/>
      <c r="B70939"/>
      <c r="C70939"/>
      <c r="E70939"/>
      <c r="F70939"/>
    </row>
    <row r="70940" spans="1:6" x14ac:dyDescent="0.25">
      <c r="A70940"/>
      <c r="B70940"/>
      <c r="C70940"/>
      <c r="E70940"/>
      <c r="F70940"/>
    </row>
    <row r="70941" spans="1:6" x14ac:dyDescent="0.25">
      <c r="A70941"/>
      <c r="B70941"/>
      <c r="C70941"/>
      <c r="E70941"/>
      <c r="F70941"/>
    </row>
    <row r="70942" spans="1:6" x14ac:dyDescent="0.25">
      <c r="A70942"/>
      <c r="B70942"/>
      <c r="C70942"/>
      <c r="E70942"/>
      <c r="F70942"/>
    </row>
    <row r="70943" spans="1:6" x14ac:dyDescent="0.25">
      <c r="A70943"/>
      <c r="B70943"/>
      <c r="C70943"/>
      <c r="E70943"/>
      <c r="F70943"/>
    </row>
    <row r="70944" spans="1:6" x14ac:dyDescent="0.25">
      <c r="A70944"/>
      <c r="B70944"/>
      <c r="C70944"/>
      <c r="E70944"/>
      <c r="F70944"/>
    </row>
    <row r="70945" spans="1:6" x14ac:dyDescent="0.25">
      <c r="A70945"/>
      <c r="B70945"/>
      <c r="C70945"/>
      <c r="E70945"/>
      <c r="F70945"/>
    </row>
    <row r="70946" spans="1:6" x14ac:dyDescent="0.25">
      <c r="A70946"/>
      <c r="B70946"/>
      <c r="C70946"/>
      <c r="E70946"/>
      <c r="F70946"/>
    </row>
    <row r="70947" spans="1:6" x14ac:dyDescent="0.25">
      <c r="A70947"/>
      <c r="B70947"/>
      <c r="C70947"/>
      <c r="E70947"/>
      <c r="F70947"/>
    </row>
    <row r="70948" spans="1:6" x14ac:dyDescent="0.25">
      <c r="A70948"/>
      <c r="B70948"/>
      <c r="C70948"/>
      <c r="E70948"/>
      <c r="F70948"/>
    </row>
    <row r="70949" spans="1:6" x14ac:dyDescent="0.25">
      <c r="A70949"/>
      <c r="B70949"/>
      <c r="C70949"/>
      <c r="E70949"/>
      <c r="F70949"/>
    </row>
    <row r="70950" spans="1:6" x14ac:dyDescent="0.25">
      <c r="A70950"/>
      <c r="B70950"/>
      <c r="C70950"/>
      <c r="E70950"/>
      <c r="F70950"/>
    </row>
    <row r="70951" spans="1:6" x14ac:dyDescent="0.25">
      <c r="A70951"/>
      <c r="B70951"/>
      <c r="C70951"/>
      <c r="E70951"/>
      <c r="F70951"/>
    </row>
    <row r="70952" spans="1:6" x14ac:dyDescent="0.25">
      <c r="A70952"/>
      <c r="B70952"/>
      <c r="C70952"/>
      <c r="E70952"/>
      <c r="F70952"/>
    </row>
    <row r="70953" spans="1:6" x14ac:dyDescent="0.25">
      <c r="A70953"/>
      <c r="B70953"/>
      <c r="C70953"/>
      <c r="E70953"/>
      <c r="F70953"/>
    </row>
    <row r="70954" spans="1:6" x14ac:dyDescent="0.25">
      <c r="A70954"/>
      <c r="B70954"/>
      <c r="C70954"/>
      <c r="E70954"/>
      <c r="F70954"/>
    </row>
    <row r="70955" spans="1:6" x14ac:dyDescent="0.25">
      <c r="A70955"/>
      <c r="B70955"/>
      <c r="C70955"/>
      <c r="E70955"/>
      <c r="F70955"/>
    </row>
    <row r="70956" spans="1:6" x14ac:dyDescent="0.25">
      <c r="A70956"/>
      <c r="B70956"/>
      <c r="C70956"/>
      <c r="E70956"/>
      <c r="F70956"/>
    </row>
    <row r="70957" spans="1:6" x14ac:dyDescent="0.25">
      <c r="A70957"/>
      <c r="B70957"/>
      <c r="C70957"/>
      <c r="E70957"/>
      <c r="F70957"/>
    </row>
    <row r="70958" spans="1:6" x14ac:dyDescent="0.25">
      <c r="A70958"/>
      <c r="B70958"/>
      <c r="C70958"/>
      <c r="E70958"/>
      <c r="F70958"/>
    </row>
    <row r="70959" spans="1:6" x14ac:dyDescent="0.25">
      <c r="A70959"/>
      <c r="B70959"/>
      <c r="C70959"/>
      <c r="E70959"/>
      <c r="F70959"/>
    </row>
    <row r="70960" spans="1:6" x14ac:dyDescent="0.25">
      <c r="A70960"/>
      <c r="B70960"/>
      <c r="C70960"/>
      <c r="E70960"/>
      <c r="F70960"/>
    </row>
    <row r="70961" spans="1:6" x14ac:dyDescent="0.25">
      <c r="A70961"/>
      <c r="B70961"/>
      <c r="C70961"/>
      <c r="E70961"/>
      <c r="F70961"/>
    </row>
    <row r="70962" spans="1:6" x14ac:dyDescent="0.25">
      <c r="A70962"/>
      <c r="B70962"/>
      <c r="C70962"/>
      <c r="E70962"/>
      <c r="F70962"/>
    </row>
    <row r="70963" spans="1:6" x14ac:dyDescent="0.25">
      <c r="A70963"/>
      <c r="B70963"/>
      <c r="C70963"/>
      <c r="E70963"/>
      <c r="F70963"/>
    </row>
    <row r="70964" spans="1:6" x14ac:dyDescent="0.25">
      <c r="A70964"/>
      <c r="B70964"/>
      <c r="C70964"/>
      <c r="E70964"/>
      <c r="F70964"/>
    </row>
    <row r="70965" spans="1:6" x14ac:dyDescent="0.25">
      <c r="A70965"/>
      <c r="B70965"/>
      <c r="C70965"/>
      <c r="E70965"/>
      <c r="F70965"/>
    </row>
    <row r="70966" spans="1:6" x14ac:dyDescent="0.25">
      <c r="A70966"/>
      <c r="B70966"/>
      <c r="C70966"/>
      <c r="E70966"/>
      <c r="F70966"/>
    </row>
    <row r="70967" spans="1:6" x14ac:dyDescent="0.25">
      <c r="A70967"/>
      <c r="B70967"/>
      <c r="C70967"/>
      <c r="E70967"/>
      <c r="F70967"/>
    </row>
    <row r="70968" spans="1:6" x14ac:dyDescent="0.25">
      <c r="A70968"/>
      <c r="B70968"/>
      <c r="C70968"/>
      <c r="E70968"/>
      <c r="F70968"/>
    </row>
    <row r="70969" spans="1:6" x14ac:dyDescent="0.25">
      <c r="A70969"/>
      <c r="B70969"/>
      <c r="C70969"/>
      <c r="E70969"/>
      <c r="F70969"/>
    </row>
    <row r="70970" spans="1:6" x14ac:dyDescent="0.25">
      <c r="A70970"/>
      <c r="B70970"/>
      <c r="C70970"/>
      <c r="E70970"/>
      <c r="F70970"/>
    </row>
    <row r="70971" spans="1:6" x14ac:dyDescent="0.25">
      <c r="A70971"/>
      <c r="B70971"/>
      <c r="C70971"/>
      <c r="E70971"/>
      <c r="F70971"/>
    </row>
    <row r="70972" spans="1:6" x14ac:dyDescent="0.25">
      <c r="A70972"/>
      <c r="B70972"/>
      <c r="C70972"/>
      <c r="E70972"/>
      <c r="F70972"/>
    </row>
    <row r="70973" spans="1:6" x14ac:dyDescent="0.25">
      <c r="A70973"/>
      <c r="B70973"/>
      <c r="C70973"/>
      <c r="E70973"/>
      <c r="F70973"/>
    </row>
    <row r="70974" spans="1:6" x14ac:dyDescent="0.25">
      <c r="A70974"/>
      <c r="B70974"/>
      <c r="C70974"/>
      <c r="E70974"/>
      <c r="F70974"/>
    </row>
    <row r="70975" spans="1:6" x14ac:dyDescent="0.25">
      <c r="A70975"/>
      <c r="B70975"/>
      <c r="C70975"/>
      <c r="E70975"/>
      <c r="F70975"/>
    </row>
    <row r="70976" spans="1:6" x14ac:dyDescent="0.25">
      <c r="A70976"/>
      <c r="B70976"/>
      <c r="C70976"/>
      <c r="E70976"/>
      <c r="F70976"/>
    </row>
    <row r="70977" spans="1:6" x14ac:dyDescent="0.25">
      <c r="A70977"/>
      <c r="B70977"/>
      <c r="C70977"/>
      <c r="E70977"/>
      <c r="F70977"/>
    </row>
    <row r="70978" spans="1:6" x14ac:dyDescent="0.25">
      <c r="A70978"/>
      <c r="B70978"/>
      <c r="C70978"/>
      <c r="E70978"/>
      <c r="F70978"/>
    </row>
    <row r="70979" spans="1:6" x14ac:dyDescent="0.25">
      <c r="A70979"/>
      <c r="B70979"/>
      <c r="C70979"/>
      <c r="E70979"/>
      <c r="F70979"/>
    </row>
    <row r="70980" spans="1:6" x14ac:dyDescent="0.25">
      <c r="A70980"/>
      <c r="B70980"/>
      <c r="C70980"/>
      <c r="E70980"/>
      <c r="F70980"/>
    </row>
    <row r="70981" spans="1:6" x14ac:dyDescent="0.25">
      <c r="A70981"/>
      <c r="B70981"/>
      <c r="C70981"/>
      <c r="E70981"/>
      <c r="F70981"/>
    </row>
    <row r="70982" spans="1:6" x14ac:dyDescent="0.25">
      <c r="A70982"/>
      <c r="B70982"/>
      <c r="C70982"/>
      <c r="E70982"/>
      <c r="F70982"/>
    </row>
    <row r="70983" spans="1:6" x14ac:dyDescent="0.25">
      <c r="A70983"/>
      <c r="B70983"/>
      <c r="C70983"/>
      <c r="E70983"/>
      <c r="F70983"/>
    </row>
    <row r="70984" spans="1:6" x14ac:dyDescent="0.25">
      <c r="A70984"/>
      <c r="B70984"/>
      <c r="C70984"/>
      <c r="E70984"/>
      <c r="F70984"/>
    </row>
    <row r="70985" spans="1:6" x14ac:dyDescent="0.25">
      <c r="A70985"/>
      <c r="B70985"/>
      <c r="C70985"/>
      <c r="E70985"/>
      <c r="F70985"/>
    </row>
    <row r="70986" spans="1:6" x14ac:dyDescent="0.25">
      <c r="A70986"/>
      <c r="B70986"/>
      <c r="C70986"/>
      <c r="E70986"/>
      <c r="F70986"/>
    </row>
    <row r="70987" spans="1:6" x14ac:dyDescent="0.25">
      <c r="A70987"/>
      <c r="B70987"/>
      <c r="C70987"/>
      <c r="E70987"/>
      <c r="F70987"/>
    </row>
    <row r="70988" spans="1:6" x14ac:dyDescent="0.25">
      <c r="A70988"/>
      <c r="B70988"/>
      <c r="C70988"/>
      <c r="E70988"/>
      <c r="F70988"/>
    </row>
    <row r="70989" spans="1:6" x14ac:dyDescent="0.25">
      <c r="A70989"/>
      <c r="B70989"/>
      <c r="C70989"/>
      <c r="E70989"/>
      <c r="F70989"/>
    </row>
    <row r="70990" spans="1:6" x14ac:dyDescent="0.25">
      <c r="A70990"/>
      <c r="B70990"/>
      <c r="C70990"/>
      <c r="E70990"/>
      <c r="F70990"/>
    </row>
    <row r="70991" spans="1:6" x14ac:dyDescent="0.25">
      <c r="A70991"/>
      <c r="B70991"/>
      <c r="C70991"/>
      <c r="E70991"/>
      <c r="F70991"/>
    </row>
    <row r="70992" spans="1:6" x14ac:dyDescent="0.25">
      <c r="A70992"/>
      <c r="B70992"/>
      <c r="C70992"/>
      <c r="E70992"/>
      <c r="F70992"/>
    </row>
    <row r="70993" spans="1:6" x14ac:dyDescent="0.25">
      <c r="A70993"/>
      <c r="B70993"/>
      <c r="C70993"/>
      <c r="E70993"/>
      <c r="F70993"/>
    </row>
    <row r="70994" spans="1:6" x14ac:dyDescent="0.25">
      <c r="A70994"/>
      <c r="B70994"/>
      <c r="C70994"/>
      <c r="E70994"/>
      <c r="F70994"/>
    </row>
    <row r="70995" spans="1:6" x14ac:dyDescent="0.25">
      <c r="A70995"/>
      <c r="B70995"/>
      <c r="C70995"/>
      <c r="E70995"/>
      <c r="F70995"/>
    </row>
    <row r="70996" spans="1:6" x14ac:dyDescent="0.25">
      <c r="A70996"/>
      <c r="B70996"/>
      <c r="C70996"/>
      <c r="E70996"/>
      <c r="F70996"/>
    </row>
    <row r="70997" spans="1:6" x14ac:dyDescent="0.25">
      <c r="A70997"/>
      <c r="B70997"/>
      <c r="C70997"/>
      <c r="E70997"/>
      <c r="F70997"/>
    </row>
    <row r="70998" spans="1:6" x14ac:dyDescent="0.25">
      <c r="A70998"/>
      <c r="B70998"/>
      <c r="C70998"/>
      <c r="E70998"/>
      <c r="F70998"/>
    </row>
    <row r="70999" spans="1:6" x14ac:dyDescent="0.25">
      <c r="A70999"/>
      <c r="B70999"/>
      <c r="C70999"/>
      <c r="E70999"/>
      <c r="F70999"/>
    </row>
    <row r="71000" spans="1:6" x14ac:dyDescent="0.25">
      <c r="A71000"/>
      <c r="B71000"/>
      <c r="C71000"/>
      <c r="E71000"/>
      <c r="F71000"/>
    </row>
    <row r="71001" spans="1:6" x14ac:dyDescent="0.25">
      <c r="A71001"/>
      <c r="B71001"/>
      <c r="C71001"/>
      <c r="E71001"/>
      <c r="F71001"/>
    </row>
    <row r="71002" spans="1:6" x14ac:dyDescent="0.25">
      <c r="A71002"/>
      <c r="B71002"/>
      <c r="C71002"/>
      <c r="E71002"/>
      <c r="F71002"/>
    </row>
    <row r="71003" spans="1:6" x14ac:dyDescent="0.25">
      <c r="A71003"/>
      <c r="B71003"/>
      <c r="C71003"/>
      <c r="E71003"/>
      <c r="F71003"/>
    </row>
    <row r="71004" spans="1:6" x14ac:dyDescent="0.25">
      <c r="A71004"/>
      <c r="B71004"/>
      <c r="C71004"/>
      <c r="E71004"/>
      <c r="F71004"/>
    </row>
    <row r="71005" spans="1:6" x14ac:dyDescent="0.25">
      <c r="A71005"/>
      <c r="B71005"/>
      <c r="C71005"/>
      <c r="E71005"/>
      <c r="F71005"/>
    </row>
    <row r="71006" spans="1:6" x14ac:dyDescent="0.25">
      <c r="A71006"/>
      <c r="B71006"/>
      <c r="C71006"/>
      <c r="E71006"/>
      <c r="F71006"/>
    </row>
    <row r="71007" spans="1:6" x14ac:dyDescent="0.25">
      <c r="A71007"/>
      <c r="B71007"/>
      <c r="C71007"/>
      <c r="E71007"/>
      <c r="F71007"/>
    </row>
    <row r="71008" spans="1:6" x14ac:dyDescent="0.25">
      <c r="A71008"/>
      <c r="B71008"/>
      <c r="C71008"/>
      <c r="E71008"/>
      <c r="F71008"/>
    </row>
    <row r="71009" spans="1:6" x14ac:dyDescent="0.25">
      <c r="A71009"/>
      <c r="B71009"/>
      <c r="C71009"/>
      <c r="E71009"/>
      <c r="F71009"/>
    </row>
    <row r="71010" spans="1:6" x14ac:dyDescent="0.25">
      <c r="A71010"/>
      <c r="B71010"/>
      <c r="C71010"/>
      <c r="E71010"/>
      <c r="F71010"/>
    </row>
    <row r="71011" spans="1:6" x14ac:dyDescent="0.25">
      <c r="A71011"/>
      <c r="B71011"/>
      <c r="C71011"/>
      <c r="E71011"/>
      <c r="F71011"/>
    </row>
    <row r="71012" spans="1:6" x14ac:dyDescent="0.25">
      <c r="A71012"/>
      <c r="B71012"/>
      <c r="C71012"/>
      <c r="E71012"/>
      <c r="F71012"/>
    </row>
    <row r="71013" spans="1:6" x14ac:dyDescent="0.25">
      <c r="A71013"/>
      <c r="B71013"/>
      <c r="C71013"/>
      <c r="E71013"/>
      <c r="F71013"/>
    </row>
    <row r="71014" spans="1:6" x14ac:dyDescent="0.25">
      <c r="A71014"/>
      <c r="B71014"/>
      <c r="C71014"/>
      <c r="E71014"/>
      <c r="F71014"/>
    </row>
    <row r="71015" spans="1:6" x14ac:dyDescent="0.25">
      <c r="A71015"/>
      <c r="B71015"/>
      <c r="C71015"/>
      <c r="E71015"/>
      <c r="F71015"/>
    </row>
    <row r="71016" spans="1:6" x14ac:dyDescent="0.25">
      <c r="A71016"/>
      <c r="B71016"/>
      <c r="C71016"/>
      <c r="E71016"/>
      <c r="F71016"/>
    </row>
    <row r="71017" spans="1:6" x14ac:dyDescent="0.25">
      <c r="A71017"/>
      <c r="B71017"/>
      <c r="C71017"/>
      <c r="E71017"/>
      <c r="F71017"/>
    </row>
    <row r="71018" spans="1:6" x14ac:dyDescent="0.25">
      <c r="A71018"/>
      <c r="B71018"/>
      <c r="C71018"/>
      <c r="E71018"/>
      <c r="F71018"/>
    </row>
    <row r="71019" spans="1:6" x14ac:dyDescent="0.25">
      <c r="A71019"/>
      <c r="B71019"/>
      <c r="C71019"/>
      <c r="E71019"/>
      <c r="F71019"/>
    </row>
    <row r="71020" spans="1:6" x14ac:dyDescent="0.25">
      <c r="A71020"/>
      <c r="B71020"/>
      <c r="C71020"/>
      <c r="E71020"/>
      <c r="F71020"/>
    </row>
    <row r="71021" spans="1:6" x14ac:dyDescent="0.25">
      <c r="A71021"/>
      <c r="B71021"/>
      <c r="C71021"/>
      <c r="E71021"/>
      <c r="F71021"/>
    </row>
    <row r="71022" spans="1:6" x14ac:dyDescent="0.25">
      <c r="A71022"/>
      <c r="B71022"/>
      <c r="C71022"/>
      <c r="E71022"/>
      <c r="F71022"/>
    </row>
    <row r="71023" spans="1:6" x14ac:dyDescent="0.25">
      <c r="A71023"/>
      <c r="B71023"/>
      <c r="C71023"/>
      <c r="E71023"/>
      <c r="F71023"/>
    </row>
    <row r="71024" spans="1:6" x14ac:dyDescent="0.25">
      <c r="A71024"/>
      <c r="B71024"/>
      <c r="C71024"/>
      <c r="E71024"/>
      <c r="F71024"/>
    </row>
    <row r="71025" spans="1:6" x14ac:dyDescent="0.25">
      <c r="A71025"/>
      <c r="B71025"/>
      <c r="C71025"/>
      <c r="E71025"/>
      <c r="F71025"/>
    </row>
    <row r="71026" spans="1:6" x14ac:dyDescent="0.25">
      <c r="A71026"/>
      <c r="B71026"/>
      <c r="C71026"/>
      <c r="E71026"/>
      <c r="F71026"/>
    </row>
    <row r="71027" spans="1:6" x14ac:dyDescent="0.25">
      <c r="A71027"/>
      <c r="B71027"/>
      <c r="C71027"/>
      <c r="E71027"/>
      <c r="F71027"/>
    </row>
    <row r="71028" spans="1:6" x14ac:dyDescent="0.25">
      <c r="A71028"/>
      <c r="B71028"/>
      <c r="C71028"/>
      <c r="E71028"/>
      <c r="F71028"/>
    </row>
    <row r="71029" spans="1:6" x14ac:dyDescent="0.25">
      <c r="A71029"/>
      <c r="B71029"/>
      <c r="C71029"/>
      <c r="E71029"/>
      <c r="F71029"/>
    </row>
    <row r="71030" spans="1:6" x14ac:dyDescent="0.25">
      <c r="A71030"/>
      <c r="B71030"/>
      <c r="C71030"/>
      <c r="E71030"/>
      <c r="F71030"/>
    </row>
    <row r="71031" spans="1:6" x14ac:dyDescent="0.25">
      <c r="A71031"/>
      <c r="B71031"/>
      <c r="C71031"/>
      <c r="E71031"/>
      <c r="F71031"/>
    </row>
    <row r="71032" spans="1:6" x14ac:dyDescent="0.25">
      <c r="A71032"/>
      <c r="B71032"/>
      <c r="C71032"/>
      <c r="E71032"/>
      <c r="F71032"/>
    </row>
    <row r="71033" spans="1:6" x14ac:dyDescent="0.25">
      <c r="A71033"/>
      <c r="B71033"/>
      <c r="C71033"/>
      <c r="E71033"/>
      <c r="F71033"/>
    </row>
    <row r="71034" spans="1:6" x14ac:dyDescent="0.25">
      <c r="A71034"/>
      <c r="B71034"/>
      <c r="C71034"/>
      <c r="E71034"/>
      <c r="F71034"/>
    </row>
    <row r="71035" spans="1:6" x14ac:dyDescent="0.25">
      <c r="A71035"/>
      <c r="B71035"/>
      <c r="C71035"/>
      <c r="E71035"/>
      <c r="F71035"/>
    </row>
    <row r="71036" spans="1:6" x14ac:dyDescent="0.25">
      <c r="A71036"/>
      <c r="B71036"/>
      <c r="C71036"/>
      <c r="E71036"/>
      <c r="F71036"/>
    </row>
    <row r="71037" spans="1:6" x14ac:dyDescent="0.25">
      <c r="A71037"/>
      <c r="B71037"/>
      <c r="C71037"/>
      <c r="E71037"/>
      <c r="F71037"/>
    </row>
    <row r="71038" spans="1:6" x14ac:dyDescent="0.25">
      <c r="A71038"/>
      <c r="B71038"/>
      <c r="C71038"/>
      <c r="E71038"/>
      <c r="F71038"/>
    </row>
    <row r="71039" spans="1:6" x14ac:dyDescent="0.25">
      <c r="A71039"/>
      <c r="B71039"/>
      <c r="C71039"/>
      <c r="E71039"/>
      <c r="F71039"/>
    </row>
    <row r="71040" spans="1:6" x14ac:dyDescent="0.25">
      <c r="A71040"/>
      <c r="B71040"/>
      <c r="C71040"/>
      <c r="E71040"/>
      <c r="F71040"/>
    </row>
    <row r="71041" spans="1:6" x14ac:dyDescent="0.25">
      <c r="A71041"/>
      <c r="B71041"/>
      <c r="C71041"/>
      <c r="E71041"/>
      <c r="F71041"/>
    </row>
    <row r="71042" spans="1:6" x14ac:dyDescent="0.25">
      <c r="A71042"/>
      <c r="B71042"/>
      <c r="C71042"/>
      <c r="E71042"/>
      <c r="F71042"/>
    </row>
    <row r="71043" spans="1:6" x14ac:dyDescent="0.25">
      <c r="A71043"/>
      <c r="B71043"/>
      <c r="C71043"/>
      <c r="E71043"/>
      <c r="F71043"/>
    </row>
    <row r="71044" spans="1:6" x14ac:dyDescent="0.25">
      <c r="A71044"/>
      <c r="B71044"/>
      <c r="C71044"/>
      <c r="E71044"/>
      <c r="F71044"/>
    </row>
    <row r="71045" spans="1:6" x14ac:dyDescent="0.25">
      <c r="A71045"/>
      <c r="B71045"/>
      <c r="C71045"/>
      <c r="E71045"/>
      <c r="F71045"/>
    </row>
    <row r="71046" spans="1:6" x14ac:dyDescent="0.25">
      <c r="A71046"/>
      <c r="B71046"/>
      <c r="C71046"/>
      <c r="E71046"/>
      <c r="F71046"/>
    </row>
    <row r="71047" spans="1:6" x14ac:dyDescent="0.25">
      <c r="A71047"/>
      <c r="B71047"/>
      <c r="C71047"/>
      <c r="E71047"/>
      <c r="F71047"/>
    </row>
    <row r="71048" spans="1:6" x14ac:dyDescent="0.25">
      <c r="A71048"/>
      <c r="B71048"/>
      <c r="C71048"/>
      <c r="E71048"/>
      <c r="F71048"/>
    </row>
    <row r="71049" spans="1:6" x14ac:dyDescent="0.25">
      <c r="A71049"/>
      <c r="B71049"/>
      <c r="C71049"/>
      <c r="E71049"/>
      <c r="F71049"/>
    </row>
    <row r="71050" spans="1:6" x14ac:dyDescent="0.25">
      <c r="A71050"/>
      <c r="B71050"/>
      <c r="C71050"/>
      <c r="E71050"/>
      <c r="F71050"/>
    </row>
    <row r="71051" spans="1:6" x14ac:dyDescent="0.25">
      <c r="A71051"/>
      <c r="B71051"/>
      <c r="C71051"/>
      <c r="E71051"/>
      <c r="F71051"/>
    </row>
    <row r="71052" spans="1:6" x14ac:dyDescent="0.25">
      <c r="A71052"/>
      <c r="B71052"/>
      <c r="C71052"/>
      <c r="E71052"/>
      <c r="F71052"/>
    </row>
    <row r="71053" spans="1:6" x14ac:dyDescent="0.25">
      <c r="A71053"/>
      <c r="B71053"/>
      <c r="C71053"/>
      <c r="E71053"/>
      <c r="F71053"/>
    </row>
    <row r="71054" spans="1:6" x14ac:dyDescent="0.25">
      <c r="A71054"/>
      <c r="B71054"/>
      <c r="C71054"/>
      <c r="E71054"/>
      <c r="F71054"/>
    </row>
    <row r="71055" spans="1:6" x14ac:dyDescent="0.25">
      <c r="A71055"/>
      <c r="B71055"/>
      <c r="C71055"/>
      <c r="E71055"/>
      <c r="F71055"/>
    </row>
    <row r="71056" spans="1:6" x14ac:dyDescent="0.25">
      <c r="A71056"/>
      <c r="B71056"/>
      <c r="C71056"/>
      <c r="E71056"/>
      <c r="F71056"/>
    </row>
    <row r="71057" spans="1:6" x14ac:dyDescent="0.25">
      <c r="A71057"/>
      <c r="B71057"/>
      <c r="C71057"/>
      <c r="E71057"/>
      <c r="F71057"/>
    </row>
    <row r="71058" spans="1:6" x14ac:dyDescent="0.25">
      <c r="A71058"/>
      <c r="B71058"/>
      <c r="C71058"/>
      <c r="E71058"/>
      <c r="F71058"/>
    </row>
    <row r="71059" spans="1:6" x14ac:dyDescent="0.25">
      <c r="A71059"/>
      <c r="B71059"/>
      <c r="C71059"/>
      <c r="E71059"/>
      <c r="F71059"/>
    </row>
    <row r="71060" spans="1:6" x14ac:dyDescent="0.25">
      <c r="A71060"/>
      <c r="B71060"/>
      <c r="C71060"/>
      <c r="E71060"/>
      <c r="F71060"/>
    </row>
    <row r="71061" spans="1:6" x14ac:dyDescent="0.25">
      <c r="A71061"/>
      <c r="B71061"/>
      <c r="C71061"/>
      <c r="E71061"/>
      <c r="F71061"/>
    </row>
    <row r="71062" spans="1:6" x14ac:dyDescent="0.25">
      <c r="A71062"/>
      <c r="B71062"/>
      <c r="C71062"/>
      <c r="E71062"/>
      <c r="F71062"/>
    </row>
    <row r="71063" spans="1:6" x14ac:dyDescent="0.25">
      <c r="A71063"/>
      <c r="B71063"/>
      <c r="C71063"/>
      <c r="E71063"/>
      <c r="F71063"/>
    </row>
    <row r="71064" spans="1:6" x14ac:dyDescent="0.25">
      <c r="A71064"/>
      <c r="B71064"/>
      <c r="C71064"/>
      <c r="E71064"/>
      <c r="F71064"/>
    </row>
    <row r="71065" spans="1:6" x14ac:dyDescent="0.25">
      <c r="A71065"/>
      <c r="B71065"/>
      <c r="C71065"/>
      <c r="E71065"/>
      <c r="F71065"/>
    </row>
    <row r="71066" spans="1:6" x14ac:dyDescent="0.25">
      <c r="A71066"/>
      <c r="B71066"/>
      <c r="C71066"/>
      <c r="E71066"/>
      <c r="F71066"/>
    </row>
    <row r="71067" spans="1:6" x14ac:dyDescent="0.25">
      <c r="A71067"/>
      <c r="B71067"/>
      <c r="C71067"/>
      <c r="E71067"/>
      <c r="F71067"/>
    </row>
    <row r="71068" spans="1:6" x14ac:dyDescent="0.25">
      <c r="A71068"/>
      <c r="B71068"/>
      <c r="C71068"/>
      <c r="E71068"/>
      <c r="F71068"/>
    </row>
    <row r="71069" spans="1:6" x14ac:dyDescent="0.25">
      <c r="A71069"/>
      <c r="B71069"/>
      <c r="C71069"/>
      <c r="E71069"/>
      <c r="F71069"/>
    </row>
    <row r="71070" spans="1:6" x14ac:dyDescent="0.25">
      <c r="A71070"/>
      <c r="B71070"/>
      <c r="C71070"/>
      <c r="E71070"/>
      <c r="F71070"/>
    </row>
    <row r="71071" spans="1:6" x14ac:dyDescent="0.25">
      <c r="A71071"/>
      <c r="B71071"/>
      <c r="C71071"/>
      <c r="E71071"/>
      <c r="F71071"/>
    </row>
    <row r="71072" spans="1:6" x14ac:dyDescent="0.25">
      <c r="A71072"/>
      <c r="B71072"/>
      <c r="C71072"/>
      <c r="E71072"/>
      <c r="F71072"/>
    </row>
    <row r="71073" spans="1:6" x14ac:dyDescent="0.25">
      <c r="A71073"/>
      <c r="B71073"/>
      <c r="C71073"/>
      <c r="E71073"/>
      <c r="F71073"/>
    </row>
    <row r="71074" spans="1:6" x14ac:dyDescent="0.25">
      <c r="A71074"/>
      <c r="B71074"/>
      <c r="C71074"/>
      <c r="E71074"/>
      <c r="F71074"/>
    </row>
    <row r="71075" spans="1:6" x14ac:dyDescent="0.25">
      <c r="A71075"/>
      <c r="B71075"/>
      <c r="C71075"/>
      <c r="E71075"/>
      <c r="F71075"/>
    </row>
    <row r="71076" spans="1:6" x14ac:dyDescent="0.25">
      <c r="A71076"/>
      <c r="B71076"/>
      <c r="C71076"/>
      <c r="E71076"/>
      <c r="F71076"/>
    </row>
    <row r="71077" spans="1:6" x14ac:dyDescent="0.25">
      <c r="A71077"/>
      <c r="B71077"/>
      <c r="C71077"/>
      <c r="E71077"/>
      <c r="F71077"/>
    </row>
    <row r="71078" spans="1:6" x14ac:dyDescent="0.25">
      <c r="A71078"/>
      <c r="B71078"/>
      <c r="C71078"/>
      <c r="E71078"/>
      <c r="F71078"/>
    </row>
    <row r="71079" spans="1:6" x14ac:dyDescent="0.25">
      <c r="A71079"/>
      <c r="B71079"/>
      <c r="C71079"/>
      <c r="E71079"/>
      <c r="F71079"/>
    </row>
    <row r="71080" spans="1:6" x14ac:dyDescent="0.25">
      <c r="A71080"/>
      <c r="B71080"/>
      <c r="C71080"/>
      <c r="E71080"/>
      <c r="F71080"/>
    </row>
    <row r="71081" spans="1:6" x14ac:dyDescent="0.25">
      <c r="A71081"/>
      <c r="B71081"/>
      <c r="C71081"/>
      <c r="E71081"/>
      <c r="F71081"/>
    </row>
    <row r="71082" spans="1:6" x14ac:dyDescent="0.25">
      <c r="A71082"/>
      <c r="B71082"/>
      <c r="C71082"/>
      <c r="E71082"/>
      <c r="F71082"/>
    </row>
    <row r="71083" spans="1:6" x14ac:dyDescent="0.25">
      <c r="A71083"/>
      <c r="B71083"/>
      <c r="C71083"/>
      <c r="E71083"/>
      <c r="F71083"/>
    </row>
    <row r="71084" spans="1:6" x14ac:dyDescent="0.25">
      <c r="A71084"/>
      <c r="B71084"/>
      <c r="C71084"/>
      <c r="E71084"/>
      <c r="F71084"/>
    </row>
    <row r="71085" spans="1:6" x14ac:dyDescent="0.25">
      <c r="A71085"/>
      <c r="B71085"/>
      <c r="C71085"/>
      <c r="E71085"/>
      <c r="F71085"/>
    </row>
    <row r="71086" spans="1:6" x14ac:dyDescent="0.25">
      <c r="A71086"/>
      <c r="B71086"/>
      <c r="C71086"/>
      <c r="E71086"/>
      <c r="F71086"/>
    </row>
    <row r="71087" spans="1:6" x14ac:dyDescent="0.25">
      <c r="A71087"/>
      <c r="B71087"/>
      <c r="C71087"/>
      <c r="E71087"/>
      <c r="F71087"/>
    </row>
    <row r="71088" spans="1:6" x14ac:dyDescent="0.25">
      <c r="A71088"/>
      <c r="B71088"/>
      <c r="C71088"/>
      <c r="E71088"/>
      <c r="F71088"/>
    </row>
    <row r="71089" spans="1:6" x14ac:dyDescent="0.25">
      <c r="A71089"/>
      <c r="B71089"/>
      <c r="C71089"/>
      <c r="E71089"/>
      <c r="F71089"/>
    </row>
    <row r="71090" spans="1:6" x14ac:dyDescent="0.25">
      <c r="A71090"/>
      <c r="B71090"/>
      <c r="C71090"/>
      <c r="E71090"/>
      <c r="F71090"/>
    </row>
    <row r="71091" spans="1:6" x14ac:dyDescent="0.25">
      <c r="A71091"/>
      <c r="B71091"/>
      <c r="C71091"/>
      <c r="E71091"/>
      <c r="F71091"/>
    </row>
    <row r="71092" spans="1:6" x14ac:dyDescent="0.25">
      <c r="A71092"/>
      <c r="B71092"/>
      <c r="C71092"/>
      <c r="E71092"/>
      <c r="F71092"/>
    </row>
    <row r="71093" spans="1:6" x14ac:dyDescent="0.25">
      <c r="A71093"/>
      <c r="B71093"/>
      <c r="C71093"/>
      <c r="E71093"/>
      <c r="F71093"/>
    </row>
    <row r="71094" spans="1:6" x14ac:dyDescent="0.25">
      <c r="A71094"/>
      <c r="B71094"/>
      <c r="C71094"/>
      <c r="E71094"/>
      <c r="F71094"/>
    </row>
    <row r="71095" spans="1:6" x14ac:dyDescent="0.25">
      <c r="A71095"/>
      <c r="B71095"/>
      <c r="C71095"/>
      <c r="E71095"/>
      <c r="F71095"/>
    </row>
    <row r="71096" spans="1:6" x14ac:dyDescent="0.25">
      <c r="A71096"/>
      <c r="B71096"/>
      <c r="C71096"/>
      <c r="E71096"/>
      <c r="F71096"/>
    </row>
    <row r="71097" spans="1:6" x14ac:dyDescent="0.25">
      <c r="A71097"/>
      <c r="B71097"/>
      <c r="C71097"/>
      <c r="E71097"/>
      <c r="F71097"/>
    </row>
    <row r="71098" spans="1:6" x14ac:dyDescent="0.25">
      <c r="A71098"/>
      <c r="B71098"/>
      <c r="C71098"/>
      <c r="E71098"/>
      <c r="F71098"/>
    </row>
    <row r="71099" spans="1:6" x14ac:dyDescent="0.25">
      <c r="A71099"/>
      <c r="B71099"/>
      <c r="C71099"/>
      <c r="E71099"/>
      <c r="F71099"/>
    </row>
    <row r="71100" spans="1:6" x14ac:dyDescent="0.25">
      <c r="A71100"/>
      <c r="B71100"/>
      <c r="C71100"/>
      <c r="E71100"/>
      <c r="F71100"/>
    </row>
    <row r="71101" spans="1:6" x14ac:dyDescent="0.25">
      <c r="A71101"/>
      <c r="B71101"/>
      <c r="C71101"/>
      <c r="E71101"/>
      <c r="F71101"/>
    </row>
    <row r="71102" spans="1:6" x14ac:dyDescent="0.25">
      <c r="A71102"/>
      <c r="B71102"/>
      <c r="C71102"/>
      <c r="E71102"/>
      <c r="F71102"/>
    </row>
    <row r="71103" spans="1:6" x14ac:dyDescent="0.25">
      <c r="A71103"/>
      <c r="B71103"/>
      <c r="C71103"/>
      <c r="E71103"/>
      <c r="F71103"/>
    </row>
    <row r="71104" spans="1:6" x14ac:dyDescent="0.25">
      <c r="A71104"/>
      <c r="B71104"/>
      <c r="C71104"/>
      <c r="E71104"/>
      <c r="F71104"/>
    </row>
    <row r="71105" spans="1:6" x14ac:dyDescent="0.25">
      <c r="A71105"/>
      <c r="B71105"/>
      <c r="C71105"/>
      <c r="E71105"/>
      <c r="F71105"/>
    </row>
    <row r="71106" spans="1:6" x14ac:dyDescent="0.25">
      <c r="A71106"/>
      <c r="B71106"/>
      <c r="C71106"/>
      <c r="E71106"/>
      <c r="F71106"/>
    </row>
    <row r="71107" spans="1:6" x14ac:dyDescent="0.25">
      <c r="A71107"/>
      <c r="B71107"/>
      <c r="C71107"/>
      <c r="E71107"/>
      <c r="F71107"/>
    </row>
    <row r="71108" spans="1:6" x14ac:dyDescent="0.25">
      <c r="A71108"/>
      <c r="B71108"/>
      <c r="C71108"/>
      <c r="E71108"/>
      <c r="F71108"/>
    </row>
    <row r="71109" spans="1:6" x14ac:dyDescent="0.25">
      <c r="A71109"/>
      <c r="B71109"/>
      <c r="C71109"/>
      <c r="E71109"/>
      <c r="F71109"/>
    </row>
    <row r="71110" spans="1:6" x14ac:dyDescent="0.25">
      <c r="A71110"/>
      <c r="B71110"/>
      <c r="C71110"/>
      <c r="E71110"/>
      <c r="F71110"/>
    </row>
    <row r="71111" spans="1:6" x14ac:dyDescent="0.25">
      <c r="A71111"/>
      <c r="B71111"/>
      <c r="C71111"/>
      <c r="E71111"/>
      <c r="F71111"/>
    </row>
    <row r="71112" spans="1:6" x14ac:dyDescent="0.25">
      <c r="A71112"/>
      <c r="B71112"/>
      <c r="C71112"/>
      <c r="E71112"/>
      <c r="F71112"/>
    </row>
    <row r="71113" spans="1:6" x14ac:dyDescent="0.25">
      <c r="A71113"/>
      <c r="B71113"/>
      <c r="C71113"/>
      <c r="E71113"/>
      <c r="F71113"/>
    </row>
    <row r="71114" spans="1:6" x14ac:dyDescent="0.25">
      <c r="A71114"/>
      <c r="B71114"/>
      <c r="C71114"/>
      <c r="E71114"/>
      <c r="F71114"/>
    </row>
    <row r="71115" spans="1:6" x14ac:dyDescent="0.25">
      <c r="A71115"/>
      <c r="B71115"/>
      <c r="C71115"/>
      <c r="E71115"/>
      <c r="F71115"/>
    </row>
    <row r="71116" spans="1:6" x14ac:dyDescent="0.25">
      <c r="A71116"/>
      <c r="B71116"/>
      <c r="C71116"/>
      <c r="E71116"/>
      <c r="F71116"/>
    </row>
    <row r="71117" spans="1:6" x14ac:dyDescent="0.25">
      <c r="A71117"/>
      <c r="B71117"/>
      <c r="C71117"/>
      <c r="E71117"/>
      <c r="F71117"/>
    </row>
    <row r="71118" spans="1:6" x14ac:dyDescent="0.25">
      <c r="A71118"/>
      <c r="B71118"/>
      <c r="C71118"/>
      <c r="E71118"/>
      <c r="F71118"/>
    </row>
    <row r="71119" spans="1:6" x14ac:dyDescent="0.25">
      <c r="A71119"/>
      <c r="B71119"/>
      <c r="C71119"/>
      <c r="E71119"/>
      <c r="F71119"/>
    </row>
    <row r="71120" spans="1:6" x14ac:dyDescent="0.25">
      <c r="A71120"/>
      <c r="B71120"/>
      <c r="C71120"/>
      <c r="E71120"/>
      <c r="F71120"/>
    </row>
    <row r="71121" spans="1:6" x14ac:dyDescent="0.25">
      <c r="A71121"/>
      <c r="B71121"/>
      <c r="C71121"/>
      <c r="E71121"/>
      <c r="F71121"/>
    </row>
    <row r="71122" spans="1:6" x14ac:dyDescent="0.25">
      <c r="A71122"/>
      <c r="B71122"/>
      <c r="C71122"/>
      <c r="E71122"/>
      <c r="F71122"/>
    </row>
    <row r="71123" spans="1:6" x14ac:dyDescent="0.25">
      <c r="A71123"/>
      <c r="B71123"/>
      <c r="C71123"/>
      <c r="E71123"/>
      <c r="F71123"/>
    </row>
    <row r="71124" spans="1:6" x14ac:dyDescent="0.25">
      <c r="A71124"/>
      <c r="B71124"/>
      <c r="C71124"/>
      <c r="E71124"/>
      <c r="F71124"/>
    </row>
    <row r="71125" spans="1:6" x14ac:dyDescent="0.25">
      <c r="A71125"/>
      <c r="B71125"/>
      <c r="C71125"/>
      <c r="E71125"/>
      <c r="F71125"/>
    </row>
    <row r="71126" spans="1:6" x14ac:dyDescent="0.25">
      <c r="A71126"/>
      <c r="B71126"/>
      <c r="C71126"/>
      <c r="E71126"/>
      <c r="F71126"/>
    </row>
    <row r="71127" spans="1:6" x14ac:dyDescent="0.25">
      <c r="A71127"/>
      <c r="B71127"/>
      <c r="C71127"/>
      <c r="E71127"/>
      <c r="F71127"/>
    </row>
    <row r="71128" spans="1:6" x14ac:dyDescent="0.25">
      <c r="A71128"/>
      <c r="B71128"/>
      <c r="C71128"/>
      <c r="E71128"/>
      <c r="F71128"/>
    </row>
    <row r="71129" spans="1:6" x14ac:dyDescent="0.25">
      <c r="A71129"/>
      <c r="B71129"/>
      <c r="C71129"/>
      <c r="E71129"/>
      <c r="F71129"/>
    </row>
    <row r="71130" spans="1:6" x14ac:dyDescent="0.25">
      <c r="A71130"/>
      <c r="B71130"/>
      <c r="C71130"/>
      <c r="E71130"/>
      <c r="F71130"/>
    </row>
    <row r="71131" spans="1:6" x14ac:dyDescent="0.25">
      <c r="A71131"/>
      <c r="B71131"/>
      <c r="C71131"/>
      <c r="E71131"/>
      <c r="F71131"/>
    </row>
    <row r="71132" spans="1:6" x14ac:dyDescent="0.25">
      <c r="A71132"/>
      <c r="B71132"/>
      <c r="C71132"/>
      <c r="E71132"/>
      <c r="F71132"/>
    </row>
    <row r="71133" spans="1:6" x14ac:dyDescent="0.25">
      <c r="A71133"/>
      <c r="B71133"/>
      <c r="C71133"/>
      <c r="E71133"/>
      <c r="F71133"/>
    </row>
    <row r="71134" spans="1:6" x14ac:dyDescent="0.25">
      <c r="A71134"/>
      <c r="B71134"/>
      <c r="C71134"/>
      <c r="E71134"/>
      <c r="F71134"/>
    </row>
    <row r="71135" spans="1:6" x14ac:dyDescent="0.25">
      <c r="A71135"/>
      <c r="B71135"/>
      <c r="C71135"/>
      <c r="E71135"/>
      <c r="F71135"/>
    </row>
    <row r="71136" spans="1:6" x14ac:dyDescent="0.25">
      <c r="A71136"/>
      <c r="B71136"/>
      <c r="C71136"/>
      <c r="E71136"/>
      <c r="F71136"/>
    </row>
    <row r="71137" spans="1:6" x14ac:dyDescent="0.25">
      <c r="A71137"/>
      <c r="B71137"/>
      <c r="C71137"/>
      <c r="E71137"/>
      <c r="F71137"/>
    </row>
    <row r="71138" spans="1:6" x14ac:dyDescent="0.25">
      <c r="A71138"/>
      <c r="B71138"/>
      <c r="C71138"/>
      <c r="E71138"/>
      <c r="F71138"/>
    </row>
    <row r="71139" spans="1:6" x14ac:dyDescent="0.25">
      <c r="A71139"/>
      <c r="B71139"/>
      <c r="C71139"/>
      <c r="E71139"/>
      <c r="F71139"/>
    </row>
    <row r="71140" spans="1:6" x14ac:dyDescent="0.25">
      <c r="A71140"/>
      <c r="B71140"/>
      <c r="C71140"/>
      <c r="E71140"/>
      <c r="F71140"/>
    </row>
    <row r="71141" spans="1:6" x14ac:dyDescent="0.25">
      <c r="A71141"/>
      <c r="B71141"/>
      <c r="C71141"/>
      <c r="E71141"/>
      <c r="F71141"/>
    </row>
    <row r="71142" spans="1:6" x14ac:dyDescent="0.25">
      <c r="A71142"/>
      <c r="B71142"/>
      <c r="C71142"/>
      <c r="E71142"/>
      <c r="F71142"/>
    </row>
    <row r="71143" spans="1:6" x14ac:dyDescent="0.25">
      <c r="A71143"/>
      <c r="B71143"/>
      <c r="C71143"/>
      <c r="E71143"/>
      <c r="F71143"/>
    </row>
    <row r="71144" spans="1:6" x14ac:dyDescent="0.25">
      <c r="A71144"/>
      <c r="B71144"/>
      <c r="C71144"/>
      <c r="E71144"/>
      <c r="F71144"/>
    </row>
    <row r="71145" spans="1:6" x14ac:dyDescent="0.25">
      <c r="A71145"/>
      <c r="B71145"/>
      <c r="C71145"/>
      <c r="E71145"/>
      <c r="F71145"/>
    </row>
    <row r="71146" spans="1:6" x14ac:dyDescent="0.25">
      <c r="A71146"/>
      <c r="B71146"/>
      <c r="C71146"/>
      <c r="E71146"/>
      <c r="F71146"/>
    </row>
    <row r="71147" spans="1:6" x14ac:dyDescent="0.25">
      <c r="A71147"/>
      <c r="B71147"/>
      <c r="C71147"/>
      <c r="E71147"/>
      <c r="F71147"/>
    </row>
    <row r="71148" spans="1:6" x14ac:dyDescent="0.25">
      <c r="A71148"/>
      <c r="B71148"/>
      <c r="C71148"/>
      <c r="E71148"/>
      <c r="F71148"/>
    </row>
    <row r="71149" spans="1:6" x14ac:dyDescent="0.25">
      <c r="A71149"/>
      <c r="B71149"/>
      <c r="C71149"/>
      <c r="E71149"/>
      <c r="F71149"/>
    </row>
    <row r="71150" spans="1:6" x14ac:dyDescent="0.25">
      <c r="A71150"/>
      <c r="B71150"/>
      <c r="C71150"/>
      <c r="E71150"/>
      <c r="F71150"/>
    </row>
    <row r="71151" spans="1:6" x14ac:dyDescent="0.25">
      <c r="A71151"/>
      <c r="B71151"/>
      <c r="C71151"/>
      <c r="E71151"/>
      <c r="F71151"/>
    </row>
    <row r="71152" spans="1:6" x14ac:dyDescent="0.25">
      <c r="A71152"/>
      <c r="B71152"/>
      <c r="C71152"/>
      <c r="E71152"/>
      <c r="F71152"/>
    </row>
    <row r="71153" spans="1:6" x14ac:dyDescent="0.25">
      <c r="A71153"/>
      <c r="B71153"/>
      <c r="C71153"/>
      <c r="E71153"/>
      <c r="F71153"/>
    </row>
    <row r="71154" spans="1:6" x14ac:dyDescent="0.25">
      <c r="A71154"/>
      <c r="B71154"/>
      <c r="C71154"/>
      <c r="E71154"/>
      <c r="F71154"/>
    </row>
    <row r="71155" spans="1:6" x14ac:dyDescent="0.25">
      <c r="A71155"/>
      <c r="B71155"/>
      <c r="C71155"/>
      <c r="E71155"/>
      <c r="F71155"/>
    </row>
    <row r="71156" spans="1:6" x14ac:dyDescent="0.25">
      <c r="A71156"/>
      <c r="B71156"/>
      <c r="C71156"/>
      <c r="E71156"/>
      <c r="F71156"/>
    </row>
    <row r="71157" spans="1:6" x14ac:dyDescent="0.25">
      <c r="A71157"/>
      <c r="B71157"/>
      <c r="C71157"/>
      <c r="E71157"/>
      <c r="F71157"/>
    </row>
    <row r="71158" spans="1:6" x14ac:dyDescent="0.25">
      <c r="A71158"/>
      <c r="B71158"/>
      <c r="C71158"/>
      <c r="E71158"/>
      <c r="F71158"/>
    </row>
    <row r="71159" spans="1:6" x14ac:dyDescent="0.25">
      <c r="A71159"/>
      <c r="B71159"/>
      <c r="C71159"/>
      <c r="E71159"/>
      <c r="F71159"/>
    </row>
    <row r="71160" spans="1:6" x14ac:dyDescent="0.25">
      <c r="A71160"/>
      <c r="B71160"/>
      <c r="C71160"/>
      <c r="E71160"/>
      <c r="F71160"/>
    </row>
    <row r="71161" spans="1:6" x14ac:dyDescent="0.25">
      <c r="A71161"/>
      <c r="B71161"/>
      <c r="C71161"/>
      <c r="E71161"/>
      <c r="F71161"/>
    </row>
    <row r="71162" spans="1:6" x14ac:dyDescent="0.25">
      <c r="A71162"/>
      <c r="B71162"/>
      <c r="C71162"/>
      <c r="E71162"/>
      <c r="F71162"/>
    </row>
    <row r="71163" spans="1:6" x14ac:dyDescent="0.25">
      <c r="A71163"/>
      <c r="B71163"/>
      <c r="C71163"/>
      <c r="E71163"/>
      <c r="F71163"/>
    </row>
    <row r="71164" spans="1:6" x14ac:dyDescent="0.25">
      <c r="A71164"/>
      <c r="B71164"/>
      <c r="C71164"/>
      <c r="E71164"/>
      <c r="F71164"/>
    </row>
    <row r="71165" spans="1:6" x14ac:dyDescent="0.25">
      <c r="A71165"/>
      <c r="B71165"/>
      <c r="C71165"/>
      <c r="E71165"/>
      <c r="F71165"/>
    </row>
    <row r="71166" spans="1:6" x14ac:dyDescent="0.25">
      <c r="A71166"/>
      <c r="B71166"/>
      <c r="C71166"/>
      <c r="E71166"/>
      <c r="F71166"/>
    </row>
    <row r="71167" spans="1:6" x14ac:dyDescent="0.25">
      <c r="A71167"/>
      <c r="B71167"/>
      <c r="C71167"/>
      <c r="E71167"/>
      <c r="F71167"/>
    </row>
    <row r="71168" spans="1:6" x14ac:dyDescent="0.25">
      <c r="A71168"/>
      <c r="B71168"/>
      <c r="C71168"/>
      <c r="E71168"/>
      <c r="F71168"/>
    </row>
    <row r="71169" spans="1:6" x14ac:dyDescent="0.25">
      <c r="A71169"/>
      <c r="B71169"/>
      <c r="C71169"/>
      <c r="E71169"/>
      <c r="F71169"/>
    </row>
    <row r="71170" spans="1:6" x14ac:dyDescent="0.25">
      <c r="A71170"/>
      <c r="B71170"/>
      <c r="C71170"/>
      <c r="E71170"/>
      <c r="F71170"/>
    </row>
    <row r="71171" spans="1:6" x14ac:dyDescent="0.25">
      <c r="A71171"/>
      <c r="B71171"/>
      <c r="C71171"/>
      <c r="E71171"/>
      <c r="F71171"/>
    </row>
    <row r="71172" spans="1:6" x14ac:dyDescent="0.25">
      <c r="A71172"/>
      <c r="B71172"/>
      <c r="C71172"/>
      <c r="E71172"/>
      <c r="F71172"/>
    </row>
    <row r="71173" spans="1:6" x14ac:dyDescent="0.25">
      <c r="A71173"/>
      <c r="B71173"/>
      <c r="C71173"/>
      <c r="E71173"/>
      <c r="F71173"/>
    </row>
    <row r="71174" spans="1:6" x14ac:dyDescent="0.25">
      <c r="A71174"/>
      <c r="B71174"/>
      <c r="C71174"/>
      <c r="E71174"/>
      <c r="F71174"/>
    </row>
    <row r="71175" spans="1:6" x14ac:dyDescent="0.25">
      <c r="A71175"/>
      <c r="B71175"/>
      <c r="C71175"/>
      <c r="E71175"/>
      <c r="F71175"/>
    </row>
    <row r="71176" spans="1:6" x14ac:dyDescent="0.25">
      <c r="A71176"/>
      <c r="B71176"/>
      <c r="C71176"/>
      <c r="E71176"/>
      <c r="F71176"/>
    </row>
    <row r="71177" spans="1:6" x14ac:dyDescent="0.25">
      <c r="A71177"/>
      <c r="B71177"/>
      <c r="C71177"/>
      <c r="E71177"/>
      <c r="F71177"/>
    </row>
    <row r="71178" spans="1:6" x14ac:dyDescent="0.25">
      <c r="A71178"/>
      <c r="B71178"/>
      <c r="C71178"/>
      <c r="E71178"/>
      <c r="F71178"/>
    </row>
    <row r="71179" spans="1:6" x14ac:dyDescent="0.25">
      <c r="A71179"/>
      <c r="B71179"/>
      <c r="C71179"/>
      <c r="E71179"/>
      <c r="F71179"/>
    </row>
    <row r="71180" spans="1:6" x14ac:dyDescent="0.25">
      <c r="A71180"/>
      <c r="B71180"/>
      <c r="C71180"/>
      <c r="E71180"/>
      <c r="F71180"/>
    </row>
    <row r="71181" spans="1:6" x14ac:dyDescent="0.25">
      <c r="A71181"/>
      <c r="B71181"/>
      <c r="C71181"/>
      <c r="E71181"/>
      <c r="F71181"/>
    </row>
    <row r="71182" spans="1:6" x14ac:dyDescent="0.25">
      <c r="A71182"/>
      <c r="B71182"/>
      <c r="C71182"/>
      <c r="E71182"/>
      <c r="F71182"/>
    </row>
    <row r="71183" spans="1:6" x14ac:dyDescent="0.25">
      <c r="A71183"/>
      <c r="B71183"/>
      <c r="C71183"/>
      <c r="E71183"/>
      <c r="F71183"/>
    </row>
    <row r="71184" spans="1:6" x14ac:dyDescent="0.25">
      <c r="A71184"/>
      <c r="B71184"/>
      <c r="C71184"/>
      <c r="E71184"/>
      <c r="F71184"/>
    </row>
    <row r="71185" spans="1:6" x14ac:dyDescent="0.25">
      <c r="A71185"/>
      <c r="B71185"/>
      <c r="C71185"/>
      <c r="E71185"/>
      <c r="F71185"/>
    </row>
    <row r="71186" spans="1:6" x14ac:dyDescent="0.25">
      <c r="A71186"/>
      <c r="B71186"/>
      <c r="C71186"/>
      <c r="E71186"/>
      <c r="F71186"/>
    </row>
    <row r="71187" spans="1:6" x14ac:dyDescent="0.25">
      <c r="A71187"/>
      <c r="B71187"/>
      <c r="C71187"/>
      <c r="E71187"/>
      <c r="F71187"/>
    </row>
    <row r="71188" spans="1:6" x14ac:dyDescent="0.25">
      <c r="A71188"/>
      <c r="B71188"/>
      <c r="C71188"/>
      <c r="E71188"/>
      <c r="F71188"/>
    </row>
    <row r="71189" spans="1:6" x14ac:dyDescent="0.25">
      <c r="A71189"/>
      <c r="B71189"/>
      <c r="C71189"/>
      <c r="E71189"/>
      <c r="F71189"/>
    </row>
    <row r="71190" spans="1:6" x14ac:dyDescent="0.25">
      <c r="A71190"/>
      <c r="B71190"/>
      <c r="C71190"/>
      <c r="E71190"/>
      <c r="F71190"/>
    </row>
    <row r="71191" spans="1:6" x14ac:dyDescent="0.25">
      <c r="A71191"/>
      <c r="B71191"/>
      <c r="C71191"/>
      <c r="E71191"/>
      <c r="F71191"/>
    </row>
    <row r="71192" spans="1:6" x14ac:dyDescent="0.25">
      <c r="A71192"/>
      <c r="B71192"/>
      <c r="C71192"/>
      <c r="E71192"/>
      <c r="F71192"/>
    </row>
    <row r="71193" spans="1:6" x14ac:dyDescent="0.25">
      <c r="A71193"/>
      <c r="B71193"/>
      <c r="C71193"/>
      <c r="E71193"/>
      <c r="F71193"/>
    </row>
    <row r="71194" spans="1:6" x14ac:dyDescent="0.25">
      <c r="A71194"/>
      <c r="B71194"/>
      <c r="C71194"/>
      <c r="E71194"/>
      <c r="F71194"/>
    </row>
    <row r="71195" spans="1:6" x14ac:dyDescent="0.25">
      <c r="A71195"/>
      <c r="B71195"/>
      <c r="C71195"/>
      <c r="E71195"/>
      <c r="F71195"/>
    </row>
    <row r="71196" spans="1:6" x14ac:dyDescent="0.25">
      <c r="A71196"/>
      <c r="B71196"/>
      <c r="C71196"/>
      <c r="E71196"/>
      <c r="F71196"/>
    </row>
    <row r="71197" spans="1:6" x14ac:dyDescent="0.25">
      <c r="A71197"/>
      <c r="B71197"/>
      <c r="C71197"/>
      <c r="E71197"/>
      <c r="F71197"/>
    </row>
    <row r="71198" spans="1:6" x14ac:dyDescent="0.25">
      <c r="A71198"/>
      <c r="B71198"/>
      <c r="C71198"/>
      <c r="E71198"/>
      <c r="F71198"/>
    </row>
    <row r="71199" spans="1:6" x14ac:dyDescent="0.25">
      <c r="A71199"/>
      <c r="B71199"/>
      <c r="C71199"/>
      <c r="E71199"/>
      <c r="F71199"/>
    </row>
    <row r="71200" spans="1:6" x14ac:dyDescent="0.25">
      <c r="A71200"/>
      <c r="B71200"/>
      <c r="C71200"/>
      <c r="E71200"/>
      <c r="F71200"/>
    </row>
    <row r="71201" spans="1:6" x14ac:dyDescent="0.25">
      <c r="A71201"/>
      <c r="B71201"/>
      <c r="C71201"/>
      <c r="E71201"/>
      <c r="F71201"/>
    </row>
    <row r="71202" spans="1:6" x14ac:dyDescent="0.25">
      <c r="A71202"/>
      <c r="B71202"/>
      <c r="C71202"/>
      <c r="E71202"/>
      <c r="F71202"/>
    </row>
    <row r="71203" spans="1:6" x14ac:dyDescent="0.25">
      <c r="A71203"/>
      <c r="B71203"/>
      <c r="C71203"/>
      <c r="E71203"/>
      <c r="F71203"/>
    </row>
    <row r="71204" spans="1:6" x14ac:dyDescent="0.25">
      <c r="A71204"/>
      <c r="B71204"/>
      <c r="C71204"/>
      <c r="E71204"/>
      <c r="F71204"/>
    </row>
    <row r="71205" spans="1:6" x14ac:dyDescent="0.25">
      <c r="A71205"/>
      <c r="B71205"/>
      <c r="C71205"/>
      <c r="E71205"/>
      <c r="F71205"/>
    </row>
    <row r="71206" spans="1:6" x14ac:dyDescent="0.25">
      <c r="A71206"/>
      <c r="B71206"/>
      <c r="C71206"/>
      <c r="E71206"/>
      <c r="F71206"/>
    </row>
    <row r="71207" spans="1:6" x14ac:dyDescent="0.25">
      <c r="A71207"/>
      <c r="B71207"/>
      <c r="C71207"/>
      <c r="E71207"/>
      <c r="F71207"/>
    </row>
    <row r="71208" spans="1:6" x14ac:dyDescent="0.25">
      <c r="A71208"/>
      <c r="B71208"/>
      <c r="C71208"/>
      <c r="E71208"/>
      <c r="F71208"/>
    </row>
    <row r="71209" spans="1:6" x14ac:dyDescent="0.25">
      <c r="A71209"/>
      <c r="B71209"/>
      <c r="C71209"/>
      <c r="E71209"/>
      <c r="F71209"/>
    </row>
    <row r="71210" spans="1:6" x14ac:dyDescent="0.25">
      <c r="A71210"/>
      <c r="B71210"/>
      <c r="C71210"/>
      <c r="E71210"/>
      <c r="F71210"/>
    </row>
    <row r="71211" spans="1:6" x14ac:dyDescent="0.25">
      <c r="A71211"/>
      <c r="B71211"/>
      <c r="C71211"/>
      <c r="E71211"/>
      <c r="F71211"/>
    </row>
    <row r="71212" spans="1:6" x14ac:dyDescent="0.25">
      <c r="A71212"/>
      <c r="B71212"/>
      <c r="C71212"/>
      <c r="E71212"/>
      <c r="F71212"/>
    </row>
    <row r="71213" spans="1:6" x14ac:dyDescent="0.25">
      <c r="A71213"/>
      <c r="B71213"/>
      <c r="C71213"/>
      <c r="E71213"/>
      <c r="F71213"/>
    </row>
    <row r="71214" spans="1:6" x14ac:dyDescent="0.25">
      <c r="A71214"/>
      <c r="B71214"/>
      <c r="C71214"/>
      <c r="E71214"/>
      <c r="F71214"/>
    </row>
    <row r="71215" spans="1:6" x14ac:dyDescent="0.25">
      <c r="A71215"/>
      <c r="B71215"/>
      <c r="C71215"/>
      <c r="E71215"/>
      <c r="F71215"/>
    </row>
    <row r="71216" spans="1:6" x14ac:dyDescent="0.25">
      <c r="A71216"/>
      <c r="B71216"/>
      <c r="C71216"/>
      <c r="E71216"/>
      <c r="F71216"/>
    </row>
    <row r="71217" spans="1:6" x14ac:dyDescent="0.25">
      <c r="A71217"/>
      <c r="B71217"/>
      <c r="C71217"/>
      <c r="E71217"/>
      <c r="F71217"/>
    </row>
    <row r="71218" spans="1:6" x14ac:dyDescent="0.25">
      <c r="A71218"/>
      <c r="B71218"/>
      <c r="C71218"/>
      <c r="E71218"/>
      <c r="F71218"/>
    </row>
    <row r="71219" spans="1:6" x14ac:dyDescent="0.25">
      <c r="A71219"/>
      <c r="B71219"/>
      <c r="C71219"/>
      <c r="E71219"/>
      <c r="F71219"/>
    </row>
    <row r="71220" spans="1:6" x14ac:dyDescent="0.25">
      <c r="A71220"/>
      <c r="B71220"/>
      <c r="C71220"/>
      <c r="E71220"/>
      <c r="F71220"/>
    </row>
    <row r="71221" spans="1:6" x14ac:dyDescent="0.25">
      <c r="A71221"/>
      <c r="B71221"/>
      <c r="C71221"/>
      <c r="E71221"/>
      <c r="F71221"/>
    </row>
    <row r="71222" spans="1:6" x14ac:dyDescent="0.25">
      <c r="A71222"/>
      <c r="B71222"/>
      <c r="C71222"/>
      <c r="E71222"/>
      <c r="F71222"/>
    </row>
    <row r="71223" spans="1:6" x14ac:dyDescent="0.25">
      <c r="A71223"/>
      <c r="B71223"/>
      <c r="C71223"/>
      <c r="E71223"/>
      <c r="F71223"/>
    </row>
    <row r="71224" spans="1:6" x14ac:dyDescent="0.25">
      <c r="A71224"/>
      <c r="B71224"/>
      <c r="C71224"/>
      <c r="E71224"/>
      <c r="F71224"/>
    </row>
    <row r="71225" spans="1:6" x14ac:dyDescent="0.25">
      <c r="A71225"/>
      <c r="B71225"/>
      <c r="C71225"/>
      <c r="E71225"/>
      <c r="F71225"/>
    </row>
    <row r="71226" spans="1:6" x14ac:dyDescent="0.25">
      <c r="A71226"/>
      <c r="B71226"/>
      <c r="C71226"/>
      <c r="E71226"/>
      <c r="F71226"/>
    </row>
    <row r="71227" spans="1:6" x14ac:dyDescent="0.25">
      <c r="A71227"/>
      <c r="B71227"/>
      <c r="C71227"/>
      <c r="E71227"/>
      <c r="F71227"/>
    </row>
    <row r="71228" spans="1:6" x14ac:dyDescent="0.25">
      <c r="A71228"/>
      <c r="B71228"/>
      <c r="C71228"/>
      <c r="E71228"/>
      <c r="F71228"/>
    </row>
    <row r="71229" spans="1:6" x14ac:dyDescent="0.25">
      <c r="A71229"/>
      <c r="B71229"/>
      <c r="C71229"/>
      <c r="E71229"/>
      <c r="F71229"/>
    </row>
    <row r="71230" spans="1:6" x14ac:dyDescent="0.25">
      <c r="A71230"/>
      <c r="B71230"/>
      <c r="C71230"/>
      <c r="E71230"/>
      <c r="F71230"/>
    </row>
    <row r="71231" spans="1:6" x14ac:dyDescent="0.25">
      <c r="A71231"/>
      <c r="B71231"/>
      <c r="C71231"/>
      <c r="E71231"/>
      <c r="F71231"/>
    </row>
    <row r="71232" spans="1:6" x14ac:dyDescent="0.25">
      <c r="A71232"/>
      <c r="B71232"/>
      <c r="C71232"/>
      <c r="E71232"/>
      <c r="F71232"/>
    </row>
    <row r="71233" spans="1:6" x14ac:dyDescent="0.25">
      <c r="A71233"/>
      <c r="B71233"/>
      <c r="C71233"/>
      <c r="E71233"/>
      <c r="F71233"/>
    </row>
    <row r="71234" spans="1:6" x14ac:dyDescent="0.25">
      <c r="A71234"/>
      <c r="B71234"/>
      <c r="C71234"/>
      <c r="E71234"/>
      <c r="F71234"/>
    </row>
    <row r="71235" spans="1:6" x14ac:dyDescent="0.25">
      <c r="A71235"/>
      <c r="B71235"/>
      <c r="C71235"/>
      <c r="E71235"/>
      <c r="F71235"/>
    </row>
    <row r="71236" spans="1:6" x14ac:dyDescent="0.25">
      <c r="A71236"/>
      <c r="B71236"/>
      <c r="C71236"/>
      <c r="E71236"/>
      <c r="F71236"/>
    </row>
    <row r="71237" spans="1:6" x14ac:dyDescent="0.25">
      <c r="A71237"/>
      <c r="B71237"/>
      <c r="C71237"/>
      <c r="E71237"/>
      <c r="F71237"/>
    </row>
    <row r="71238" spans="1:6" x14ac:dyDescent="0.25">
      <c r="A71238"/>
      <c r="B71238"/>
      <c r="C71238"/>
      <c r="E71238"/>
      <c r="F71238"/>
    </row>
    <row r="71239" spans="1:6" x14ac:dyDescent="0.25">
      <c r="A71239"/>
      <c r="B71239"/>
      <c r="C71239"/>
      <c r="E71239"/>
      <c r="F71239"/>
    </row>
    <row r="71240" spans="1:6" x14ac:dyDescent="0.25">
      <c r="A71240"/>
      <c r="B71240"/>
      <c r="C71240"/>
      <c r="E71240"/>
      <c r="F71240"/>
    </row>
    <row r="71241" spans="1:6" x14ac:dyDescent="0.25">
      <c r="A71241"/>
      <c r="B71241"/>
      <c r="C71241"/>
      <c r="E71241"/>
      <c r="F71241"/>
    </row>
    <row r="71242" spans="1:6" x14ac:dyDescent="0.25">
      <c r="A71242"/>
      <c r="B71242"/>
      <c r="C71242"/>
      <c r="E71242"/>
      <c r="F71242"/>
    </row>
    <row r="71243" spans="1:6" x14ac:dyDescent="0.25">
      <c r="A71243"/>
      <c r="B71243"/>
      <c r="C71243"/>
      <c r="E71243"/>
      <c r="F71243"/>
    </row>
    <row r="71244" spans="1:6" x14ac:dyDescent="0.25">
      <c r="A71244"/>
      <c r="B71244"/>
      <c r="C71244"/>
      <c r="E71244"/>
      <c r="F71244"/>
    </row>
    <row r="71245" spans="1:6" x14ac:dyDescent="0.25">
      <c r="A71245"/>
      <c r="B71245"/>
      <c r="C71245"/>
      <c r="E71245"/>
      <c r="F71245"/>
    </row>
    <row r="71246" spans="1:6" x14ac:dyDescent="0.25">
      <c r="A71246"/>
      <c r="B71246"/>
      <c r="C71246"/>
      <c r="E71246"/>
      <c r="F71246"/>
    </row>
    <row r="71247" spans="1:6" x14ac:dyDescent="0.25">
      <c r="A71247"/>
      <c r="B71247"/>
      <c r="C71247"/>
      <c r="E71247"/>
      <c r="F71247"/>
    </row>
    <row r="71248" spans="1:6" x14ac:dyDescent="0.25">
      <c r="A71248"/>
      <c r="B71248"/>
      <c r="C71248"/>
      <c r="E71248"/>
      <c r="F71248"/>
    </row>
    <row r="71249" spans="1:6" x14ac:dyDescent="0.25">
      <c r="A71249"/>
      <c r="B71249"/>
      <c r="C71249"/>
      <c r="E71249"/>
      <c r="F71249"/>
    </row>
    <row r="71250" spans="1:6" x14ac:dyDescent="0.25">
      <c r="A71250"/>
      <c r="B71250"/>
      <c r="C71250"/>
      <c r="E71250"/>
      <c r="F71250"/>
    </row>
    <row r="71251" spans="1:6" x14ac:dyDescent="0.25">
      <c r="A71251"/>
      <c r="B71251"/>
      <c r="C71251"/>
      <c r="E71251"/>
      <c r="F71251"/>
    </row>
    <row r="71252" spans="1:6" x14ac:dyDescent="0.25">
      <c r="A71252"/>
      <c r="B71252"/>
      <c r="C71252"/>
      <c r="E71252"/>
      <c r="F71252"/>
    </row>
    <row r="71253" spans="1:6" x14ac:dyDescent="0.25">
      <c r="A71253"/>
      <c r="B71253"/>
      <c r="C71253"/>
      <c r="E71253"/>
      <c r="F71253"/>
    </row>
    <row r="71254" spans="1:6" x14ac:dyDescent="0.25">
      <c r="A71254"/>
      <c r="B71254"/>
      <c r="C71254"/>
      <c r="E71254"/>
      <c r="F71254"/>
    </row>
    <row r="71255" spans="1:6" x14ac:dyDescent="0.25">
      <c r="A71255"/>
      <c r="B71255"/>
      <c r="C71255"/>
      <c r="E71255"/>
      <c r="F71255"/>
    </row>
    <row r="71256" spans="1:6" x14ac:dyDescent="0.25">
      <c r="A71256"/>
      <c r="B71256"/>
      <c r="C71256"/>
      <c r="E71256"/>
      <c r="F71256"/>
    </row>
    <row r="71257" spans="1:6" x14ac:dyDescent="0.25">
      <c r="A71257"/>
      <c r="B71257"/>
      <c r="C71257"/>
      <c r="E71257"/>
      <c r="F71257"/>
    </row>
    <row r="71258" spans="1:6" x14ac:dyDescent="0.25">
      <c r="A71258"/>
      <c r="B71258"/>
      <c r="C71258"/>
      <c r="E71258"/>
      <c r="F71258"/>
    </row>
    <row r="71259" spans="1:6" x14ac:dyDescent="0.25">
      <c r="A71259"/>
      <c r="B71259"/>
      <c r="C71259"/>
      <c r="E71259"/>
      <c r="F71259"/>
    </row>
    <row r="71260" spans="1:6" x14ac:dyDescent="0.25">
      <c r="A71260"/>
      <c r="B71260"/>
      <c r="C71260"/>
      <c r="E71260"/>
      <c r="F71260"/>
    </row>
    <row r="71261" spans="1:6" x14ac:dyDescent="0.25">
      <c r="A71261"/>
      <c r="B71261"/>
      <c r="C71261"/>
      <c r="E71261"/>
      <c r="F71261"/>
    </row>
    <row r="71262" spans="1:6" x14ac:dyDescent="0.25">
      <c r="A71262"/>
      <c r="B71262"/>
      <c r="C71262"/>
      <c r="E71262"/>
      <c r="F71262"/>
    </row>
    <row r="71263" spans="1:6" x14ac:dyDescent="0.25">
      <c r="A71263"/>
      <c r="B71263"/>
      <c r="C71263"/>
      <c r="E71263"/>
      <c r="F71263"/>
    </row>
    <row r="71264" spans="1:6" x14ac:dyDescent="0.25">
      <c r="A71264"/>
      <c r="B71264"/>
      <c r="C71264"/>
      <c r="E71264"/>
      <c r="F71264"/>
    </row>
    <row r="71265" spans="1:6" x14ac:dyDescent="0.25">
      <c r="A71265"/>
      <c r="B71265"/>
      <c r="C71265"/>
      <c r="E71265"/>
      <c r="F71265"/>
    </row>
    <row r="71266" spans="1:6" x14ac:dyDescent="0.25">
      <c r="A71266"/>
      <c r="B71266"/>
      <c r="C71266"/>
      <c r="E71266"/>
      <c r="F71266"/>
    </row>
    <row r="71267" spans="1:6" x14ac:dyDescent="0.25">
      <c r="A71267"/>
      <c r="B71267"/>
      <c r="C71267"/>
      <c r="E71267"/>
      <c r="F71267"/>
    </row>
    <row r="71268" spans="1:6" x14ac:dyDescent="0.25">
      <c r="A71268"/>
      <c r="B71268"/>
      <c r="C71268"/>
      <c r="E71268"/>
      <c r="F71268"/>
    </row>
    <row r="71269" spans="1:6" x14ac:dyDescent="0.25">
      <c r="A71269"/>
      <c r="B71269"/>
      <c r="C71269"/>
      <c r="E71269"/>
      <c r="F71269"/>
    </row>
    <row r="71270" spans="1:6" x14ac:dyDescent="0.25">
      <c r="A71270"/>
      <c r="B71270"/>
      <c r="C71270"/>
      <c r="E71270"/>
      <c r="F71270"/>
    </row>
    <row r="71271" spans="1:6" x14ac:dyDescent="0.25">
      <c r="A71271"/>
      <c r="B71271"/>
      <c r="C71271"/>
      <c r="E71271"/>
      <c r="F71271"/>
    </row>
    <row r="71272" spans="1:6" x14ac:dyDescent="0.25">
      <c r="A71272"/>
      <c r="B71272"/>
      <c r="C71272"/>
      <c r="E71272"/>
      <c r="F71272"/>
    </row>
    <row r="71273" spans="1:6" x14ac:dyDescent="0.25">
      <c r="A71273"/>
      <c r="B71273"/>
      <c r="C71273"/>
      <c r="E71273"/>
      <c r="F71273"/>
    </row>
    <row r="71274" spans="1:6" x14ac:dyDescent="0.25">
      <c r="A71274"/>
      <c r="B71274"/>
      <c r="C71274"/>
      <c r="E71274"/>
      <c r="F71274"/>
    </row>
    <row r="71275" spans="1:6" x14ac:dyDescent="0.25">
      <c r="A71275"/>
      <c r="B71275"/>
      <c r="C71275"/>
      <c r="E71275"/>
      <c r="F71275"/>
    </row>
    <row r="71276" spans="1:6" x14ac:dyDescent="0.25">
      <c r="A71276"/>
      <c r="B71276"/>
      <c r="C71276"/>
      <c r="E71276"/>
      <c r="F71276"/>
    </row>
    <row r="71277" spans="1:6" x14ac:dyDescent="0.25">
      <c r="A71277"/>
      <c r="B71277"/>
      <c r="C71277"/>
      <c r="E71277"/>
      <c r="F71277"/>
    </row>
    <row r="71278" spans="1:6" x14ac:dyDescent="0.25">
      <c r="A71278"/>
      <c r="B71278"/>
      <c r="C71278"/>
      <c r="E71278"/>
      <c r="F71278"/>
    </row>
    <row r="71279" spans="1:6" x14ac:dyDescent="0.25">
      <c r="A71279"/>
      <c r="B71279"/>
      <c r="C71279"/>
      <c r="E71279"/>
      <c r="F71279"/>
    </row>
    <row r="71280" spans="1:6" x14ac:dyDescent="0.25">
      <c r="A71280"/>
      <c r="B71280"/>
      <c r="C71280"/>
      <c r="E71280"/>
      <c r="F71280"/>
    </row>
    <row r="71281" spans="1:6" x14ac:dyDescent="0.25">
      <c r="A71281"/>
      <c r="B71281"/>
      <c r="C71281"/>
      <c r="E71281"/>
      <c r="F71281"/>
    </row>
    <row r="71282" spans="1:6" x14ac:dyDescent="0.25">
      <c r="A71282"/>
      <c r="B71282"/>
      <c r="C71282"/>
      <c r="E71282"/>
      <c r="F71282"/>
    </row>
    <row r="71283" spans="1:6" x14ac:dyDescent="0.25">
      <c r="A71283"/>
      <c r="B71283"/>
      <c r="C71283"/>
      <c r="E71283"/>
      <c r="F71283"/>
    </row>
    <row r="71284" spans="1:6" x14ac:dyDescent="0.25">
      <c r="A71284"/>
      <c r="B71284"/>
      <c r="C71284"/>
      <c r="E71284"/>
      <c r="F71284"/>
    </row>
    <row r="71285" spans="1:6" x14ac:dyDescent="0.25">
      <c r="A71285"/>
      <c r="B71285"/>
      <c r="C71285"/>
      <c r="E71285"/>
      <c r="F71285"/>
    </row>
    <row r="71286" spans="1:6" x14ac:dyDescent="0.25">
      <c r="A71286"/>
      <c r="B71286"/>
      <c r="C71286"/>
      <c r="E71286"/>
      <c r="F71286"/>
    </row>
    <row r="71287" spans="1:6" x14ac:dyDescent="0.25">
      <c r="A71287"/>
      <c r="B71287"/>
      <c r="C71287"/>
      <c r="E71287"/>
      <c r="F71287"/>
    </row>
    <row r="71288" spans="1:6" x14ac:dyDescent="0.25">
      <c r="A71288"/>
      <c r="B71288"/>
      <c r="C71288"/>
      <c r="E71288"/>
      <c r="F71288"/>
    </row>
    <row r="71289" spans="1:6" x14ac:dyDescent="0.25">
      <c r="A71289"/>
      <c r="B71289"/>
      <c r="C71289"/>
      <c r="E71289"/>
      <c r="F71289"/>
    </row>
    <row r="71290" spans="1:6" x14ac:dyDescent="0.25">
      <c r="A71290"/>
      <c r="B71290"/>
      <c r="C71290"/>
      <c r="E71290"/>
      <c r="F71290"/>
    </row>
    <row r="71291" spans="1:6" x14ac:dyDescent="0.25">
      <c r="A71291"/>
      <c r="B71291"/>
      <c r="C71291"/>
      <c r="E71291"/>
      <c r="F71291"/>
    </row>
    <row r="71292" spans="1:6" x14ac:dyDescent="0.25">
      <c r="A71292"/>
      <c r="B71292"/>
      <c r="C71292"/>
      <c r="E71292"/>
      <c r="F71292"/>
    </row>
    <row r="71293" spans="1:6" x14ac:dyDescent="0.25">
      <c r="A71293"/>
      <c r="B71293"/>
      <c r="C71293"/>
      <c r="E71293"/>
      <c r="F71293"/>
    </row>
    <row r="71294" spans="1:6" x14ac:dyDescent="0.25">
      <c r="A71294"/>
      <c r="B71294"/>
      <c r="C71294"/>
      <c r="E71294"/>
      <c r="F71294"/>
    </row>
    <row r="71295" spans="1:6" x14ac:dyDescent="0.25">
      <c r="A71295"/>
      <c r="B71295"/>
      <c r="C71295"/>
      <c r="E71295"/>
      <c r="F71295"/>
    </row>
    <row r="71296" spans="1:6" x14ac:dyDescent="0.25">
      <c r="A71296"/>
      <c r="B71296"/>
      <c r="C71296"/>
      <c r="E71296"/>
      <c r="F71296"/>
    </row>
    <row r="71297" spans="1:6" x14ac:dyDescent="0.25">
      <c r="A71297"/>
      <c r="B71297"/>
      <c r="C71297"/>
      <c r="E71297"/>
      <c r="F71297"/>
    </row>
    <row r="71298" spans="1:6" x14ac:dyDescent="0.25">
      <c r="A71298"/>
      <c r="B71298"/>
      <c r="C71298"/>
      <c r="E71298"/>
      <c r="F71298"/>
    </row>
    <row r="71299" spans="1:6" x14ac:dyDescent="0.25">
      <c r="A71299"/>
      <c r="B71299"/>
      <c r="C71299"/>
      <c r="E71299"/>
      <c r="F71299"/>
    </row>
    <row r="71300" spans="1:6" x14ac:dyDescent="0.25">
      <c r="A71300"/>
      <c r="B71300"/>
      <c r="C71300"/>
      <c r="E71300"/>
      <c r="F71300"/>
    </row>
    <row r="71301" spans="1:6" x14ac:dyDescent="0.25">
      <c r="A71301"/>
      <c r="B71301"/>
      <c r="C71301"/>
      <c r="E71301"/>
      <c r="F71301"/>
    </row>
    <row r="71302" spans="1:6" x14ac:dyDescent="0.25">
      <c r="A71302"/>
      <c r="B71302"/>
      <c r="C71302"/>
      <c r="E71302"/>
      <c r="F71302"/>
    </row>
    <row r="71303" spans="1:6" x14ac:dyDescent="0.25">
      <c r="A71303"/>
      <c r="B71303"/>
      <c r="C71303"/>
      <c r="E71303"/>
      <c r="F71303"/>
    </row>
    <row r="71304" spans="1:6" x14ac:dyDescent="0.25">
      <c r="A71304"/>
      <c r="B71304"/>
      <c r="C71304"/>
      <c r="E71304"/>
      <c r="F71304"/>
    </row>
    <row r="71305" spans="1:6" x14ac:dyDescent="0.25">
      <c r="A71305"/>
      <c r="B71305"/>
      <c r="C71305"/>
      <c r="E71305"/>
      <c r="F71305"/>
    </row>
    <row r="71306" spans="1:6" x14ac:dyDescent="0.25">
      <c r="A71306"/>
      <c r="B71306"/>
      <c r="C71306"/>
      <c r="E71306"/>
      <c r="F71306"/>
    </row>
    <row r="71307" spans="1:6" x14ac:dyDescent="0.25">
      <c r="A71307"/>
      <c r="B71307"/>
      <c r="C71307"/>
      <c r="E71307"/>
      <c r="F71307"/>
    </row>
    <row r="71308" spans="1:6" x14ac:dyDescent="0.25">
      <c r="A71308"/>
      <c r="B71308"/>
      <c r="C71308"/>
      <c r="E71308"/>
      <c r="F71308"/>
    </row>
    <row r="71309" spans="1:6" x14ac:dyDescent="0.25">
      <c r="A71309"/>
      <c r="B71309"/>
      <c r="C71309"/>
      <c r="E71309"/>
      <c r="F71309"/>
    </row>
    <row r="71310" spans="1:6" x14ac:dyDescent="0.25">
      <c r="A71310"/>
      <c r="B71310"/>
      <c r="C71310"/>
      <c r="E71310"/>
      <c r="F71310"/>
    </row>
    <row r="71311" spans="1:6" x14ac:dyDescent="0.25">
      <c r="A71311"/>
      <c r="B71311"/>
      <c r="C71311"/>
      <c r="E71311"/>
      <c r="F71311"/>
    </row>
    <row r="71312" spans="1:6" x14ac:dyDescent="0.25">
      <c r="A71312"/>
      <c r="B71312"/>
      <c r="C71312"/>
      <c r="E71312"/>
      <c r="F71312"/>
    </row>
    <row r="71313" spans="1:6" x14ac:dyDescent="0.25">
      <c r="A71313"/>
      <c r="B71313"/>
      <c r="C71313"/>
      <c r="E71313"/>
      <c r="F71313"/>
    </row>
    <row r="71314" spans="1:6" x14ac:dyDescent="0.25">
      <c r="A71314"/>
      <c r="B71314"/>
      <c r="C71314"/>
      <c r="E71314"/>
      <c r="F71314"/>
    </row>
    <row r="71315" spans="1:6" x14ac:dyDescent="0.25">
      <c r="A71315"/>
      <c r="B71315"/>
      <c r="C71315"/>
      <c r="E71315"/>
      <c r="F71315"/>
    </row>
    <row r="71316" spans="1:6" x14ac:dyDescent="0.25">
      <c r="A71316"/>
      <c r="B71316"/>
      <c r="C71316"/>
      <c r="E71316"/>
      <c r="F71316"/>
    </row>
    <row r="71317" spans="1:6" x14ac:dyDescent="0.25">
      <c r="A71317"/>
      <c r="B71317"/>
      <c r="C71317"/>
      <c r="E71317"/>
      <c r="F71317"/>
    </row>
    <row r="71318" spans="1:6" x14ac:dyDescent="0.25">
      <c r="A71318"/>
      <c r="B71318"/>
      <c r="C71318"/>
      <c r="E71318"/>
      <c r="F71318"/>
    </row>
    <row r="71319" spans="1:6" x14ac:dyDescent="0.25">
      <c r="A71319"/>
      <c r="B71319"/>
      <c r="C71319"/>
      <c r="E71319"/>
      <c r="F71319"/>
    </row>
    <row r="71320" spans="1:6" x14ac:dyDescent="0.25">
      <c r="A71320"/>
      <c r="B71320"/>
      <c r="C71320"/>
      <c r="E71320"/>
      <c r="F71320"/>
    </row>
    <row r="71321" spans="1:6" x14ac:dyDescent="0.25">
      <c r="A71321"/>
      <c r="B71321"/>
      <c r="C71321"/>
      <c r="E71321"/>
      <c r="F71321"/>
    </row>
    <row r="71322" spans="1:6" x14ac:dyDescent="0.25">
      <c r="A71322"/>
      <c r="B71322"/>
      <c r="C71322"/>
      <c r="E71322"/>
      <c r="F71322"/>
    </row>
    <row r="71323" spans="1:6" x14ac:dyDescent="0.25">
      <c r="A71323"/>
      <c r="B71323"/>
      <c r="C71323"/>
      <c r="E71323"/>
      <c r="F71323"/>
    </row>
    <row r="71324" spans="1:6" x14ac:dyDescent="0.25">
      <c r="A71324"/>
      <c r="B71324"/>
      <c r="C71324"/>
      <c r="E71324"/>
      <c r="F71324"/>
    </row>
    <row r="71325" spans="1:6" x14ac:dyDescent="0.25">
      <c r="A71325"/>
      <c r="B71325"/>
      <c r="C71325"/>
      <c r="E71325"/>
      <c r="F71325"/>
    </row>
    <row r="71326" spans="1:6" x14ac:dyDescent="0.25">
      <c r="A71326"/>
      <c r="B71326"/>
      <c r="C71326"/>
      <c r="E71326"/>
      <c r="F71326"/>
    </row>
    <row r="71327" spans="1:6" x14ac:dyDescent="0.25">
      <c r="A71327"/>
      <c r="B71327"/>
      <c r="C71327"/>
      <c r="E71327"/>
      <c r="F71327"/>
    </row>
    <row r="71328" spans="1:6" x14ac:dyDescent="0.25">
      <c r="A71328"/>
      <c r="B71328"/>
      <c r="C71328"/>
      <c r="E71328"/>
      <c r="F71328"/>
    </row>
    <row r="71329" spans="1:6" x14ac:dyDescent="0.25">
      <c r="A71329"/>
      <c r="B71329"/>
      <c r="C71329"/>
      <c r="E71329"/>
      <c r="F71329"/>
    </row>
    <row r="71330" spans="1:6" x14ac:dyDescent="0.25">
      <c r="A71330"/>
      <c r="B71330"/>
      <c r="C71330"/>
      <c r="E71330"/>
      <c r="F71330"/>
    </row>
    <row r="71331" spans="1:6" x14ac:dyDescent="0.25">
      <c r="A71331"/>
      <c r="B71331"/>
      <c r="C71331"/>
      <c r="E71331"/>
      <c r="F71331"/>
    </row>
    <row r="71332" spans="1:6" x14ac:dyDescent="0.25">
      <c r="A71332"/>
      <c r="B71332"/>
      <c r="C71332"/>
      <c r="E71332"/>
      <c r="F71332"/>
    </row>
    <row r="71333" spans="1:6" x14ac:dyDescent="0.25">
      <c r="A71333"/>
      <c r="B71333"/>
      <c r="C71333"/>
      <c r="E71333"/>
      <c r="F71333"/>
    </row>
    <row r="71334" spans="1:6" x14ac:dyDescent="0.25">
      <c r="A71334"/>
      <c r="B71334"/>
      <c r="C71334"/>
      <c r="E71334"/>
      <c r="F71334"/>
    </row>
    <row r="71335" spans="1:6" x14ac:dyDescent="0.25">
      <c r="A71335"/>
      <c r="B71335"/>
      <c r="C71335"/>
      <c r="E71335"/>
      <c r="F71335"/>
    </row>
    <row r="71336" spans="1:6" x14ac:dyDescent="0.25">
      <c r="A71336"/>
      <c r="B71336"/>
      <c r="C71336"/>
      <c r="E71336"/>
      <c r="F71336"/>
    </row>
    <row r="71337" spans="1:6" x14ac:dyDescent="0.25">
      <c r="A71337"/>
      <c r="B71337"/>
      <c r="C71337"/>
      <c r="E71337"/>
      <c r="F71337"/>
    </row>
    <row r="71338" spans="1:6" x14ac:dyDescent="0.25">
      <c r="A71338"/>
      <c r="B71338"/>
      <c r="C71338"/>
      <c r="E71338"/>
      <c r="F71338"/>
    </row>
    <row r="71339" spans="1:6" x14ac:dyDescent="0.25">
      <c r="A71339"/>
      <c r="B71339"/>
      <c r="C71339"/>
      <c r="E71339"/>
      <c r="F71339"/>
    </row>
    <row r="71340" spans="1:6" x14ac:dyDescent="0.25">
      <c r="A71340"/>
      <c r="B71340"/>
      <c r="C71340"/>
      <c r="E71340"/>
      <c r="F71340"/>
    </row>
    <row r="71341" spans="1:6" x14ac:dyDescent="0.25">
      <c r="A71341"/>
      <c r="B71341"/>
      <c r="C71341"/>
      <c r="E71341"/>
      <c r="F71341"/>
    </row>
    <row r="71342" spans="1:6" x14ac:dyDescent="0.25">
      <c r="A71342"/>
      <c r="B71342"/>
      <c r="C71342"/>
      <c r="E71342"/>
      <c r="F71342"/>
    </row>
    <row r="71343" spans="1:6" x14ac:dyDescent="0.25">
      <c r="A71343"/>
      <c r="B71343"/>
      <c r="C71343"/>
      <c r="E71343"/>
      <c r="F71343"/>
    </row>
    <row r="71344" spans="1:6" x14ac:dyDescent="0.25">
      <c r="A71344"/>
      <c r="B71344"/>
      <c r="C71344"/>
      <c r="E71344"/>
      <c r="F71344"/>
    </row>
    <row r="71345" spans="1:6" x14ac:dyDescent="0.25">
      <c r="A71345"/>
      <c r="B71345"/>
      <c r="C71345"/>
      <c r="E71345"/>
      <c r="F71345"/>
    </row>
    <row r="71346" spans="1:6" x14ac:dyDescent="0.25">
      <c r="A71346"/>
      <c r="B71346"/>
      <c r="C71346"/>
      <c r="E71346"/>
      <c r="F71346"/>
    </row>
    <row r="71347" spans="1:6" x14ac:dyDescent="0.25">
      <c r="A71347"/>
      <c r="B71347"/>
      <c r="C71347"/>
      <c r="E71347"/>
      <c r="F71347"/>
    </row>
    <row r="71348" spans="1:6" x14ac:dyDescent="0.25">
      <c r="A71348"/>
      <c r="B71348"/>
      <c r="C71348"/>
      <c r="E71348"/>
      <c r="F71348"/>
    </row>
    <row r="71349" spans="1:6" x14ac:dyDescent="0.25">
      <c r="A71349"/>
      <c r="B71349"/>
      <c r="C71349"/>
      <c r="E71349"/>
      <c r="F71349"/>
    </row>
    <row r="71350" spans="1:6" x14ac:dyDescent="0.25">
      <c r="A71350"/>
      <c r="B71350"/>
      <c r="C71350"/>
      <c r="E71350"/>
      <c r="F71350"/>
    </row>
    <row r="71351" spans="1:6" x14ac:dyDescent="0.25">
      <c r="A71351"/>
      <c r="B71351"/>
      <c r="C71351"/>
      <c r="E71351"/>
      <c r="F71351"/>
    </row>
    <row r="71352" spans="1:6" x14ac:dyDescent="0.25">
      <c r="A71352"/>
      <c r="B71352"/>
      <c r="C71352"/>
      <c r="E71352"/>
      <c r="F71352"/>
    </row>
    <row r="71353" spans="1:6" x14ac:dyDescent="0.25">
      <c r="A71353"/>
      <c r="B71353"/>
      <c r="C71353"/>
      <c r="E71353"/>
      <c r="F71353"/>
    </row>
    <row r="71354" spans="1:6" x14ac:dyDescent="0.25">
      <c r="A71354"/>
      <c r="B71354"/>
      <c r="C71354"/>
      <c r="E71354"/>
      <c r="F71354"/>
    </row>
    <row r="71355" spans="1:6" x14ac:dyDescent="0.25">
      <c r="A71355"/>
      <c r="B71355"/>
      <c r="C71355"/>
      <c r="E71355"/>
      <c r="F71355"/>
    </row>
    <row r="71356" spans="1:6" x14ac:dyDescent="0.25">
      <c r="A71356"/>
      <c r="B71356"/>
      <c r="C71356"/>
      <c r="E71356"/>
      <c r="F71356"/>
    </row>
    <row r="71357" spans="1:6" x14ac:dyDescent="0.25">
      <c r="A71357"/>
      <c r="B71357"/>
      <c r="C71357"/>
      <c r="E71357"/>
      <c r="F71357"/>
    </row>
    <row r="71358" spans="1:6" x14ac:dyDescent="0.25">
      <c r="A71358"/>
      <c r="B71358"/>
      <c r="C71358"/>
      <c r="E71358"/>
      <c r="F71358"/>
    </row>
    <row r="71359" spans="1:6" x14ac:dyDescent="0.25">
      <c r="A71359"/>
      <c r="B71359"/>
      <c r="C71359"/>
      <c r="E71359"/>
      <c r="F71359"/>
    </row>
    <row r="71360" spans="1:6" x14ac:dyDescent="0.25">
      <c r="A71360"/>
      <c r="B71360"/>
      <c r="C71360"/>
      <c r="E71360"/>
      <c r="F71360"/>
    </row>
    <row r="71361" spans="1:6" x14ac:dyDescent="0.25">
      <c r="A71361"/>
      <c r="B71361"/>
      <c r="C71361"/>
      <c r="E71361"/>
      <c r="F71361"/>
    </row>
    <row r="71362" spans="1:6" x14ac:dyDescent="0.25">
      <c r="A71362"/>
      <c r="B71362"/>
      <c r="C71362"/>
      <c r="E71362"/>
      <c r="F71362"/>
    </row>
    <row r="71363" spans="1:6" x14ac:dyDescent="0.25">
      <c r="A71363"/>
      <c r="B71363"/>
      <c r="C71363"/>
      <c r="E71363"/>
      <c r="F71363"/>
    </row>
    <row r="71364" spans="1:6" x14ac:dyDescent="0.25">
      <c r="A71364"/>
      <c r="B71364"/>
      <c r="C71364"/>
      <c r="E71364"/>
      <c r="F71364"/>
    </row>
    <row r="71365" spans="1:6" x14ac:dyDescent="0.25">
      <c r="A71365"/>
      <c r="B71365"/>
      <c r="C71365"/>
      <c r="E71365"/>
      <c r="F71365"/>
    </row>
    <row r="71366" spans="1:6" x14ac:dyDescent="0.25">
      <c r="A71366"/>
      <c r="B71366"/>
      <c r="C71366"/>
      <c r="E71366"/>
      <c r="F71366"/>
    </row>
    <row r="71367" spans="1:6" x14ac:dyDescent="0.25">
      <c r="A71367"/>
      <c r="B71367"/>
      <c r="C71367"/>
      <c r="E71367"/>
      <c r="F71367"/>
    </row>
    <row r="71368" spans="1:6" x14ac:dyDescent="0.25">
      <c r="A71368"/>
      <c r="B71368"/>
      <c r="C71368"/>
      <c r="E71368"/>
      <c r="F71368"/>
    </row>
    <row r="71369" spans="1:6" x14ac:dyDescent="0.25">
      <c r="A71369"/>
      <c r="B71369"/>
      <c r="C71369"/>
      <c r="E71369"/>
      <c r="F71369"/>
    </row>
    <row r="71370" spans="1:6" x14ac:dyDescent="0.25">
      <c r="A71370"/>
      <c r="B71370"/>
      <c r="C71370"/>
      <c r="E71370"/>
      <c r="F71370"/>
    </row>
    <row r="71371" spans="1:6" x14ac:dyDescent="0.25">
      <c r="A71371"/>
      <c r="B71371"/>
      <c r="C71371"/>
      <c r="E71371"/>
      <c r="F71371"/>
    </row>
    <row r="71372" spans="1:6" x14ac:dyDescent="0.25">
      <c r="A71372"/>
      <c r="B71372"/>
      <c r="C71372"/>
      <c r="E71372"/>
      <c r="F71372"/>
    </row>
    <row r="71373" spans="1:6" x14ac:dyDescent="0.25">
      <c r="A71373"/>
      <c r="B71373"/>
      <c r="C71373"/>
      <c r="E71373"/>
      <c r="F71373"/>
    </row>
    <row r="71374" spans="1:6" x14ac:dyDescent="0.25">
      <c r="A71374"/>
      <c r="B71374"/>
      <c r="C71374"/>
      <c r="E71374"/>
      <c r="F71374"/>
    </row>
    <row r="71375" spans="1:6" x14ac:dyDescent="0.25">
      <c r="A71375"/>
      <c r="B71375"/>
      <c r="C71375"/>
      <c r="E71375"/>
      <c r="F71375"/>
    </row>
    <row r="71376" spans="1:6" x14ac:dyDescent="0.25">
      <c r="A71376"/>
      <c r="B71376"/>
      <c r="C71376"/>
      <c r="E71376"/>
      <c r="F71376"/>
    </row>
    <row r="71377" spans="1:6" x14ac:dyDescent="0.25">
      <c r="A71377"/>
      <c r="B71377"/>
      <c r="C71377"/>
      <c r="E71377"/>
      <c r="F71377"/>
    </row>
    <row r="71378" spans="1:6" x14ac:dyDescent="0.25">
      <c r="A71378"/>
      <c r="B71378"/>
      <c r="C71378"/>
      <c r="E71378"/>
      <c r="F71378"/>
    </row>
    <row r="71379" spans="1:6" x14ac:dyDescent="0.25">
      <c r="A71379"/>
      <c r="B71379"/>
      <c r="C71379"/>
      <c r="E71379"/>
      <c r="F71379"/>
    </row>
    <row r="71380" spans="1:6" x14ac:dyDescent="0.25">
      <c r="A71380"/>
      <c r="B71380"/>
      <c r="C71380"/>
      <c r="E71380"/>
      <c r="F71380"/>
    </row>
    <row r="71381" spans="1:6" x14ac:dyDescent="0.25">
      <c r="A71381"/>
      <c r="B71381"/>
      <c r="C71381"/>
      <c r="E71381"/>
      <c r="F71381"/>
    </row>
    <row r="71382" spans="1:6" x14ac:dyDescent="0.25">
      <c r="A71382"/>
      <c r="B71382"/>
      <c r="C71382"/>
      <c r="E71382"/>
      <c r="F71382"/>
    </row>
    <row r="71383" spans="1:6" x14ac:dyDescent="0.25">
      <c r="A71383"/>
      <c r="B71383"/>
      <c r="C71383"/>
      <c r="E71383"/>
      <c r="F71383"/>
    </row>
    <row r="71384" spans="1:6" x14ac:dyDescent="0.25">
      <c r="A71384"/>
      <c r="B71384"/>
      <c r="C71384"/>
      <c r="E71384"/>
      <c r="F71384"/>
    </row>
    <row r="71385" spans="1:6" x14ac:dyDescent="0.25">
      <c r="A71385"/>
      <c r="B71385"/>
      <c r="C71385"/>
      <c r="E71385"/>
      <c r="F71385"/>
    </row>
    <row r="71386" spans="1:6" x14ac:dyDescent="0.25">
      <c r="A71386"/>
      <c r="B71386"/>
      <c r="C71386"/>
      <c r="E71386"/>
      <c r="F71386"/>
    </row>
    <row r="71387" spans="1:6" x14ac:dyDescent="0.25">
      <c r="A71387"/>
      <c r="B71387"/>
      <c r="C71387"/>
      <c r="E71387"/>
      <c r="F71387"/>
    </row>
    <row r="71388" spans="1:6" x14ac:dyDescent="0.25">
      <c r="A71388"/>
      <c r="B71388"/>
      <c r="C71388"/>
      <c r="E71388"/>
      <c r="F71388"/>
    </row>
    <row r="71389" spans="1:6" x14ac:dyDescent="0.25">
      <c r="A71389"/>
      <c r="B71389"/>
      <c r="C71389"/>
      <c r="E71389"/>
      <c r="F71389"/>
    </row>
    <row r="71390" spans="1:6" x14ac:dyDescent="0.25">
      <c r="A71390"/>
      <c r="B71390"/>
      <c r="C71390"/>
      <c r="E71390"/>
      <c r="F71390"/>
    </row>
    <row r="71391" spans="1:6" x14ac:dyDescent="0.25">
      <c r="A71391"/>
      <c r="B71391"/>
      <c r="C71391"/>
      <c r="E71391"/>
      <c r="F71391"/>
    </row>
    <row r="71392" spans="1:6" x14ac:dyDescent="0.25">
      <c r="A71392"/>
      <c r="B71392"/>
      <c r="C71392"/>
      <c r="E71392"/>
      <c r="F71392"/>
    </row>
    <row r="71393" spans="1:6" x14ac:dyDescent="0.25">
      <c r="A71393"/>
      <c r="B71393"/>
      <c r="C71393"/>
      <c r="E71393"/>
      <c r="F71393"/>
    </row>
    <row r="71394" spans="1:6" x14ac:dyDescent="0.25">
      <c r="A71394"/>
      <c r="B71394"/>
      <c r="C71394"/>
      <c r="E71394"/>
      <c r="F71394"/>
    </row>
    <row r="71395" spans="1:6" x14ac:dyDescent="0.25">
      <c r="A71395"/>
      <c r="B71395"/>
      <c r="C71395"/>
      <c r="E71395"/>
      <c r="F71395"/>
    </row>
    <row r="71396" spans="1:6" x14ac:dyDescent="0.25">
      <c r="A71396"/>
      <c r="B71396"/>
      <c r="C71396"/>
      <c r="E71396"/>
      <c r="F71396"/>
    </row>
    <row r="71397" spans="1:6" x14ac:dyDescent="0.25">
      <c r="A71397"/>
      <c r="B71397"/>
      <c r="C71397"/>
      <c r="E71397"/>
      <c r="F71397"/>
    </row>
    <row r="71398" spans="1:6" x14ac:dyDescent="0.25">
      <c r="A71398"/>
      <c r="B71398"/>
      <c r="C71398"/>
      <c r="E71398"/>
      <c r="F71398"/>
    </row>
    <row r="71399" spans="1:6" x14ac:dyDescent="0.25">
      <c r="A71399"/>
      <c r="B71399"/>
      <c r="C71399"/>
      <c r="E71399"/>
      <c r="F71399"/>
    </row>
    <row r="71400" spans="1:6" x14ac:dyDescent="0.25">
      <c r="A71400"/>
      <c r="B71400"/>
      <c r="C71400"/>
      <c r="E71400"/>
      <c r="F71400"/>
    </row>
    <row r="71401" spans="1:6" x14ac:dyDescent="0.25">
      <c r="A71401"/>
      <c r="B71401"/>
      <c r="C71401"/>
      <c r="E71401"/>
      <c r="F71401"/>
    </row>
    <row r="71402" spans="1:6" x14ac:dyDescent="0.25">
      <c r="A71402"/>
      <c r="B71402"/>
      <c r="C71402"/>
      <c r="E71402"/>
      <c r="F71402"/>
    </row>
    <row r="71403" spans="1:6" x14ac:dyDescent="0.25">
      <c r="A71403"/>
      <c r="B71403"/>
      <c r="C71403"/>
      <c r="E71403"/>
      <c r="F71403"/>
    </row>
    <row r="71404" spans="1:6" x14ac:dyDescent="0.25">
      <c r="A71404"/>
      <c r="B71404"/>
      <c r="C71404"/>
      <c r="E71404"/>
      <c r="F71404"/>
    </row>
    <row r="71405" spans="1:6" x14ac:dyDescent="0.25">
      <c r="A71405"/>
      <c r="B71405"/>
      <c r="C71405"/>
      <c r="E71405"/>
      <c r="F71405"/>
    </row>
    <row r="71406" spans="1:6" x14ac:dyDescent="0.25">
      <c r="A71406"/>
      <c r="B71406"/>
      <c r="C71406"/>
      <c r="E71406"/>
      <c r="F71406"/>
    </row>
    <row r="71407" spans="1:6" x14ac:dyDescent="0.25">
      <c r="A71407"/>
      <c r="B71407"/>
      <c r="C71407"/>
      <c r="E71407"/>
      <c r="F71407"/>
    </row>
    <row r="71408" spans="1:6" x14ac:dyDescent="0.25">
      <c r="A71408"/>
      <c r="B71408"/>
      <c r="C71408"/>
      <c r="E71408"/>
      <c r="F71408"/>
    </row>
    <row r="71409" spans="1:6" x14ac:dyDescent="0.25">
      <c r="A71409"/>
      <c r="B71409"/>
      <c r="C71409"/>
      <c r="E71409"/>
      <c r="F71409"/>
    </row>
    <row r="71410" spans="1:6" x14ac:dyDescent="0.25">
      <c r="A71410"/>
      <c r="B71410"/>
      <c r="C71410"/>
      <c r="E71410"/>
      <c r="F71410"/>
    </row>
    <row r="71411" spans="1:6" x14ac:dyDescent="0.25">
      <c r="A71411"/>
      <c r="B71411"/>
      <c r="C71411"/>
      <c r="E71411"/>
      <c r="F71411"/>
    </row>
    <row r="71412" spans="1:6" x14ac:dyDescent="0.25">
      <c r="A71412"/>
      <c r="B71412"/>
      <c r="C71412"/>
      <c r="E71412"/>
      <c r="F71412"/>
    </row>
    <row r="71413" spans="1:6" x14ac:dyDescent="0.25">
      <c r="A71413"/>
      <c r="B71413"/>
      <c r="C71413"/>
      <c r="E71413"/>
      <c r="F71413"/>
    </row>
    <row r="71414" spans="1:6" x14ac:dyDescent="0.25">
      <c r="A71414"/>
      <c r="B71414"/>
      <c r="C71414"/>
      <c r="E71414"/>
      <c r="F71414"/>
    </row>
    <row r="71415" spans="1:6" x14ac:dyDescent="0.25">
      <c r="A71415"/>
      <c r="B71415"/>
      <c r="C71415"/>
      <c r="E71415"/>
      <c r="F71415"/>
    </row>
    <row r="71416" spans="1:6" x14ac:dyDescent="0.25">
      <c r="A71416"/>
      <c r="B71416"/>
      <c r="C71416"/>
      <c r="E71416"/>
      <c r="F71416"/>
    </row>
    <row r="71417" spans="1:6" x14ac:dyDescent="0.25">
      <c r="A71417"/>
      <c r="B71417"/>
      <c r="C71417"/>
      <c r="E71417"/>
      <c r="F71417"/>
    </row>
    <row r="71418" spans="1:6" x14ac:dyDescent="0.25">
      <c r="A71418"/>
      <c r="B71418"/>
      <c r="C71418"/>
      <c r="E71418"/>
      <c r="F71418"/>
    </row>
    <row r="71419" spans="1:6" x14ac:dyDescent="0.25">
      <c r="A71419"/>
      <c r="B71419"/>
      <c r="C71419"/>
      <c r="E71419"/>
      <c r="F71419"/>
    </row>
    <row r="71420" spans="1:6" x14ac:dyDescent="0.25">
      <c r="A71420"/>
      <c r="B71420"/>
      <c r="C71420"/>
      <c r="E71420"/>
      <c r="F71420"/>
    </row>
    <row r="71421" spans="1:6" x14ac:dyDescent="0.25">
      <c r="A71421"/>
      <c r="B71421"/>
      <c r="C71421"/>
      <c r="E71421"/>
      <c r="F71421"/>
    </row>
    <row r="71422" spans="1:6" x14ac:dyDescent="0.25">
      <c r="A71422"/>
      <c r="B71422"/>
      <c r="C71422"/>
      <c r="E71422"/>
      <c r="F71422"/>
    </row>
    <row r="71423" spans="1:6" x14ac:dyDescent="0.25">
      <c r="A71423"/>
      <c r="B71423"/>
      <c r="C71423"/>
      <c r="E71423"/>
      <c r="F71423"/>
    </row>
    <row r="71424" spans="1:6" x14ac:dyDescent="0.25">
      <c r="A71424"/>
      <c r="B71424"/>
      <c r="C71424"/>
      <c r="E71424"/>
      <c r="F71424"/>
    </row>
    <row r="71425" spans="1:6" x14ac:dyDescent="0.25">
      <c r="A71425"/>
      <c r="B71425"/>
      <c r="C71425"/>
      <c r="E71425"/>
      <c r="F71425"/>
    </row>
    <row r="71426" spans="1:6" x14ac:dyDescent="0.25">
      <c r="A71426"/>
      <c r="B71426"/>
      <c r="C71426"/>
      <c r="E71426"/>
      <c r="F71426"/>
    </row>
    <row r="71427" spans="1:6" x14ac:dyDescent="0.25">
      <c r="A71427"/>
      <c r="B71427"/>
      <c r="C71427"/>
      <c r="E71427"/>
      <c r="F71427"/>
    </row>
    <row r="71428" spans="1:6" x14ac:dyDescent="0.25">
      <c r="A71428"/>
      <c r="B71428"/>
      <c r="C71428"/>
      <c r="E71428"/>
      <c r="F71428"/>
    </row>
    <row r="71429" spans="1:6" x14ac:dyDescent="0.25">
      <c r="A71429"/>
      <c r="B71429"/>
      <c r="C71429"/>
      <c r="E71429"/>
      <c r="F71429"/>
    </row>
    <row r="71430" spans="1:6" x14ac:dyDescent="0.25">
      <c r="A71430"/>
      <c r="B71430"/>
      <c r="C71430"/>
      <c r="E71430"/>
      <c r="F71430"/>
    </row>
    <row r="71431" spans="1:6" x14ac:dyDescent="0.25">
      <c r="A71431"/>
      <c r="B71431"/>
      <c r="C71431"/>
      <c r="E71431"/>
      <c r="F71431"/>
    </row>
    <row r="71432" spans="1:6" x14ac:dyDescent="0.25">
      <c r="A71432"/>
      <c r="B71432"/>
      <c r="C71432"/>
      <c r="E71432"/>
      <c r="F71432"/>
    </row>
    <row r="71433" spans="1:6" x14ac:dyDescent="0.25">
      <c r="A71433"/>
      <c r="B71433"/>
      <c r="C71433"/>
      <c r="E71433"/>
      <c r="F71433"/>
    </row>
    <row r="71434" spans="1:6" x14ac:dyDescent="0.25">
      <c r="A71434"/>
      <c r="B71434"/>
      <c r="C71434"/>
      <c r="E71434"/>
      <c r="F71434"/>
    </row>
    <row r="71435" spans="1:6" x14ac:dyDescent="0.25">
      <c r="A71435"/>
      <c r="B71435"/>
      <c r="C71435"/>
      <c r="E71435"/>
      <c r="F71435"/>
    </row>
    <row r="71436" spans="1:6" x14ac:dyDescent="0.25">
      <c r="A71436"/>
      <c r="B71436"/>
      <c r="C71436"/>
      <c r="E71436"/>
      <c r="F71436"/>
    </row>
    <row r="71437" spans="1:6" x14ac:dyDescent="0.25">
      <c r="A71437"/>
      <c r="B71437"/>
      <c r="C71437"/>
      <c r="E71437"/>
      <c r="F71437"/>
    </row>
    <row r="71438" spans="1:6" x14ac:dyDescent="0.25">
      <c r="A71438"/>
      <c r="B71438"/>
      <c r="C71438"/>
      <c r="E71438"/>
      <c r="F71438"/>
    </row>
    <row r="71439" spans="1:6" x14ac:dyDescent="0.25">
      <c r="A71439"/>
      <c r="B71439"/>
      <c r="C71439"/>
      <c r="E71439"/>
      <c r="F71439"/>
    </row>
    <row r="71440" spans="1:6" x14ac:dyDescent="0.25">
      <c r="A71440"/>
      <c r="B71440"/>
      <c r="C71440"/>
      <c r="E71440"/>
      <c r="F71440"/>
    </row>
    <row r="71441" spans="1:6" x14ac:dyDescent="0.25">
      <c r="A71441"/>
      <c r="B71441"/>
      <c r="C71441"/>
      <c r="E71441"/>
      <c r="F71441"/>
    </row>
    <row r="71442" spans="1:6" x14ac:dyDescent="0.25">
      <c r="A71442"/>
      <c r="B71442"/>
      <c r="C71442"/>
      <c r="E71442"/>
      <c r="F71442"/>
    </row>
    <row r="71443" spans="1:6" x14ac:dyDescent="0.25">
      <c r="A71443"/>
      <c r="B71443"/>
      <c r="C71443"/>
      <c r="E71443"/>
      <c r="F71443"/>
    </row>
    <row r="71444" spans="1:6" x14ac:dyDescent="0.25">
      <c r="A71444"/>
      <c r="B71444"/>
      <c r="C71444"/>
      <c r="E71444"/>
      <c r="F71444"/>
    </row>
    <row r="71445" spans="1:6" x14ac:dyDescent="0.25">
      <c r="A71445"/>
      <c r="B71445"/>
      <c r="C71445"/>
      <c r="E71445"/>
      <c r="F71445"/>
    </row>
    <row r="71446" spans="1:6" x14ac:dyDescent="0.25">
      <c r="A71446"/>
      <c r="B71446"/>
      <c r="C71446"/>
      <c r="E71446"/>
      <c r="F71446"/>
    </row>
    <row r="71447" spans="1:6" x14ac:dyDescent="0.25">
      <c r="A71447"/>
      <c r="B71447"/>
      <c r="C71447"/>
      <c r="E71447"/>
      <c r="F71447"/>
    </row>
    <row r="71448" spans="1:6" x14ac:dyDescent="0.25">
      <c r="A71448"/>
      <c r="B71448"/>
      <c r="C71448"/>
      <c r="E71448"/>
      <c r="F71448"/>
    </row>
    <row r="71449" spans="1:6" x14ac:dyDescent="0.25">
      <c r="A71449"/>
      <c r="B71449"/>
      <c r="C71449"/>
      <c r="E71449"/>
      <c r="F71449"/>
    </row>
    <row r="71450" spans="1:6" x14ac:dyDescent="0.25">
      <c r="A71450"/>
      <c r="B71450"/>
      <c r="C71450"/>
      <c r="E71450"/>
      <c r="F71450"/>
    </row>
    <row r="71451" spans="1:6" x14ac:dyDescent="0.25">
      <c r="A71451"/>
      <c r="B71451"/>
      <c r="C71451"/>
      <c r="E71451"/>
      <c r="F71451"/>
    </row>
    <row r="71452" spans="1:6" x14ac:dyDescent="0.25">
      <c r="A71452"/>
      <c r="B71452"/>
      <c r="C71452"/>
      <c r="E71452"/>
      <c r="F71452"/>
    </row>
    <row r="71453" spans="1:6" x14ac:dyDescent="0.25">
      <c r="A71453"/>
      <c r="B71453"/>
      <c r="C71453"/>
      <c r="E71453"/>
      <c r="F71453"/>
    </row>
    <row r="71454" spans="1:6" x14ac:dyDescent="0.25">
      <c r="A71454"/>
      <c r="B71454"/>
      <c r="C71454"/>
      <c r="E71454"/>
      <c r="F71454"/>
    </row>
    <row r="71455" spans="1:6" x14ac:dyDescent="0.25">
      <c r="A71455"/>
      <c r="B71455"/>
      <c r="C71455"/>
      <c r="E71455"/>
      <c r="F71455"/>
    </row>
    <row r="71456" spans="1:6" x14ac:dyDescent="0.25">
      <c r="A71456"/>
      <c r="B71456"/>
      <c r="C71456"/>
      <c r="E71456"/>
      <c r="F71456"/>
    </row>
    <row r="71457" spans="1:6" x14ac:dyDescent="0.25">
      <c r="A71457"/>
      <c r="B71457"/>
      <c r="C71457"/>
      <c r="E71457"/>
      <c r="F71457"/>
    </row>
    <row r="71458" spans="1:6" x14ac:dyDescent="0.25">
      <c r="A71458"/>
      <c r="B71458"/>
      <c r="C71458"/>
      <c r="E71458"/>
      <c r="F71458"/>
    </row>
    <row r="71459" spans="1:6" x14ac:dyDescent="0.25">
      <c r="A71459"/>
      <c r="B71459"/>
      <c r="C71459"/>
      <c r="E71459"/>
      <c r="F71459"/>
    </row>
    <row r="71460" spans="1:6" x14ac:dyDescent="0.25">
      <c r="A71460"/>
      <c r="B71460"/>
      <c r="C71460"/>
      <c r="E71460"/>
      <c r="F71460"/>
    </row>
    <row r="71461" spans="1:6" x14ac:dyDescent="0.25">
      <c r="A71461"/>
      <c r="B71461"/>
      <c r="C71461"/>
      <c r="E71461"/>
      <c r="F71461"/>
    </row>
    <row r="71462" spans="1:6" x14ac:dyDescent="0.25">
      <c r="A71462"/>
      <c r="B71462"/>
      <c r="C71462"/>
      <c r="E71462"/>
      <c r="F71462"/>
    </row>
    <row r="71463" spans="1:6" x14ac:dyDescent="0.25">
      <c r="A71463"/>
      <c r="B71463"/>
      <c r="C71463"/>
      <c r="E71463"/>
      <c r="F71463"/>
    </row>
    <row r="71464" spans="1:6" x14ac:dyDescent="0.25">
      <c r="A71464"/>
      <c r="B71464"/>
      <c r="C71464"/>
      <c r="E71464"/>
      <c r="F71464"/>
    </row>
    <row r="71465" spans="1:6" x14ac:dyDescent="0.25">
      <c r="A71465"/>
      <c r="B71465"/>
      <c r="C71465"/>
      <c r="E71465"/>
      <c r="F71465"/>
    </row>
    <row r="71466" spans="1:6" x14ac:dyDescent="0.25">
      <c r="A71466"/>
      <c r="B71466"/>
      <c r="C71466"/>
      <c r="E71466"/>
      <c r="F71466"/>
    </row>
    <row r="71467" spans="1:6" x14ac:dyDescent="0.25">
      <c r="A71467"/>
      <c r="B71467"/>
      <c r="C71467"/>
      <c r="E71467"/>
      <c r="F71467"/>
    </row>
    <row r="71468" spans="1:6" x14ac:dyDescent="0.25">
      <c r="A71468"/>
      <c r="B71468"/>
      <c r="C71468"/>
      <c r="E71468"/>
      <c r="F71468"/>
    </row>
    <row r="71469" spans="1:6" x14ac:dyDescent="0.25">
      <c r="A71469"/>
      <c r="B71469"/>
      <c r="C71469"/>
      <c r="E71469"/>
      <c r="F71469"/>
    </row>
    <row r="71470" spans="1:6" x14ac:dyDescent="0.25">
      <c r="A71470"/>
      <c r="B71470"/>
      <c r="C71470"/>
      <c r="E71470"/>
      <c r="F71470"/>
    </row>
    <row r="71471" spans="1:6" x14ac:dyDescent="0.25">
      <c r="A71471"/>
      <c r="B71471"/>
      <c r="C71471"/>
      <c r="E71471"/>
      <c r="F71471"/>
    </row>
    <row r="71472" spans="1:6" x14ac:dyDescent="0.25">
      <c r="A71472"/>
      <c r="B71472"/>
      <c r="C71472"/>
      <c r="E71472"/>
      <c r="F71472"/>
    </row>
    <row r="71473" spans="1:6" x14ac:dyDescent="0.25">
      <c r="A71473"/>
      <c r="B71473"/>
      <c r="C71473"/>
      <c r="E71473"/>
      <c r="F71473"/>
    </row>
    <row r="71474" spans="1:6" x14ac:dyDescent="0.25">
      <c r="A71474"/>
      <c r="B71474"/>
      <c r="C71474"/>
      <c r="E71474"/>
      <c r="F71474"/>
    </row>
    <row r="71475" spans="1:6" x14ac:dyDescent="0.25">
      <c r="A71475"/>
      <c r="B71475"/>
      <c r="C71475"/>
      <c r="E71475"/>
      <c r="F71475"/>
    </row>
    <row r="71476" spans="1:6" x14ac:dyDescent="0.25">
      <c r="A71476"/>
      <c r="B71476"/>
      <c r="C71476"/>
      <c r="E71476"/>
      <c r="F71476"/>
    </row>
    <row r="71477" spans="1:6" x14ac:dyDescent="0.25">
      <c r="A71477"/>
      <c r="B71477"/>
      <c r="C71477"/>
      <c r="E71477"/>
      <c r="F71477"/>
    </row>
    <row r="71478" spans="1:6" x14ac:dyDescent="0.25">
      <c r="A71478"/>
      <c r="B71478"/>
      <c r="C71478"/>
      <c r="E71478"/>
      <c r="F71478"/>
    </row>
    <row r="71479" spans="1:6" x14ac:dyDescent="0.25">
      <c r="A71479"/>
      <c r="B71479"/>
      <c r="C71479"/>
      <c r="E71479"/>
      <c r="F71479"/>
    </row>
    <row r="71480" spans="1:6" x14ac:dyDescent="0.25">
      <c r="A71480"/>
      <c r="B71480"/>
      <c r="C71480"/>
      <c r="E71480"/>
      <c r="F71480"/>
    </row>
    <row r="71481" spans="1:6" x14ac:dyDescent="0.25">
      <c r="A71481"/>
      <c r="B71481"/>
      <c r="C71481"/>
      <c r="E71481"/>
      <c r="F71481"/>
    </row>
    <row r="71482" spans="1:6" x14ac:dyDescent="0.25">
      <c r="A71482"/>
      <c r="B71482"/>
      <c r="C71482"/>
      <c r="E71482"/>
      <c r="F71482"/>
    </row>
    <row r="71483" spans="1:6" x14ac:dyDescent="0.25">
      <c r="A71483"/>
      <c r="B71483"/>
      <c r="C71483"/>
      <c r="E71483"/>
      <c r="F71483"/>
    </row>
    <row r="71484" spans="1:6" x14ac:dyDescent="0.25">
      <c r="A71484"/>
      <c r="B71484"/>
      <c r="C71484"/>
      <c r="E71484"/>
      <c r="F71484"/>
    </row>
    <row r="71485" spans="1:6" x14ac:dyDescent="0.25">
      <c r="A71485"/>
      <c r="B71485"/>
      <c r="C71485"/>
      <c r="E71485"/>
      <c r="F71485"/>
    </row>
    <row r="71486" spans="1:6" x14ac:dyDescent="0.25">
      <c r="A71486"/>
      <c r="B71486"/>
      <c r="C71486"/>
      <c r="E71486"/>
      <c r="F71486"/>
    </row>
    <row r="71487" spans="1:6" x14ac:dyDescent="0.25">
      <c r="A71487"/>
      <c r="B71487"/>
      <c r="C71487"/>
      <c r="E71487"/>
      <c r="F71487"/>
    </row>
    <row r="71488" spans="1:6" x14ac:dyDescent="0.25">
      <c r="A71488"/>
      <c r="B71488"/>
      <c r="C71488"/>
      <c r="E71488"/>
      <c r="F71488"/>
    </row>
    <row r="71489" spans="1:6" x14ac:dyDescent="0.25">
      <c r="A71489"/>
      <c r="B71489"/>
      <c r="C71489"/>
      <c r="E71489"/>
      <c r="F71489"/>
    </row>
    <row r="71490" spans="1:6" x14ac:dyDescent="0.25">
      <c r="A71490"/>
      <c r="B71490"/>
      <c r="C71490"/>
      <c r="E71490"/>
      <c r="F71490"/>
    </row>
    <row r="71491" spans="1:6" x14ac:dyDescent="0.25">
      <c r="A71491"/>
      <c r="B71491"/>
      <c r="C71491"/>
      <c r="E71491"/>
      <c r="F71491"/>
    </row>
    <row r="71492" spans="1:6" x14ac:dyDescent="0.25">
      <c r="A71492"/>
      <c r="B71492"/>
      <c r="C71492"/>
      <c r="E71492"/>
      <c r="F71492"/>
    </row>
    <row r="71493" spans="1:6" x14ac:dyDescent="0.25">
      <c r="A71493"/>
      <c r="B71493"/>
      <c r="C71493"/>
      <c r="E71493"/>
      <c r="F71493"/>
    </row>
    <row r="71494" spans="1:6" x14ac:dyDescent="0.25">
      <c r="A71494"/>
      <c r="B71494"/>
      <c r="C71494"/>
      <c r="E71494"/>
      <c r="F71494"/>
    </row>
    <row r="71495" spans="1:6" x14ac:dyDescent="0.25">
      <c r="A71495"/>
      <c r="B71495"/>
      <c r="C71495"/>
      <c r="E71495"/>
      <c r="F71495"/>
    </row>
    <row r="71496" spans="1:6" x14ac:dyDescent="0.25">
      <c r="A71496"/>
      <c r="B71496"/>
      <c r="C71496"/>
      <c r="E71496"/>
      <c r="F71496"/>
    </row>
    <row r="71497" spans="1:6" x14ac:dyDescent="0.25">
      <c r="A71497"/>
      <c r="B71497"/>
      <c r="C71497"/>
      <c r="E71497"/>
      <c r="F71497"/>
    </row>
    <row r="71498" spans="1:6" x14ac:dyDescent="0.25">
      <c r="A71498"/>
      <c r="B71498"/>
      <c r="C71498"/>
      <c r="E71498"/>
      <c r="F71498"/>
    </row>
    <row r="71499" spans="1:6" x14ac:dyDescent="0.25">
      <c r="A71499"/>
      <c r="B71499"/>
      <c r="C71499"/>
      <c r="E71499"/>
      <c r="F71499"/>
    </row>
    <row r="71500" spans="1:6" x14ac:dyDescent="0.25">
      <c r="A71500"/>
      <c r="B71500"/>
      <c r="C71500"/>
      <c r="E71500"/>
      <c r="F71500"/>
    </row>
    <row r="71501" spans="1:6" x14ac:dyDescent="0.25">
      <c r="A71501"/>
      <c r="B71501"/>
      <c r="C71501"/>
      <c r="E71501"/>
      <c r="F71501"/>
    </row>
    <row r="71502" spans="1:6" x14ac:dyDescent="0.25">
      <c r="A71502"/>
      <c r="B71502"/>
      <c r="C71502"/>
      <c r="E71502"/>
      <c r="F71502"/>
    </row>
    <row r="71503" spans="1:6" x14ac:dyDescent="0.25">
      <c r="A71503"/>
      <c r="B71503"/>
      <c r="C71503"/>
      <c r="E71503"/>
      <c r="F71503"/>
    </row>
    <row r="71504" spans="1:6" x14ac:dyDescent="0.25">
      <c r="A71504"/>
      <c r="B71504"/>
      <c r="C71504"/>
      <c r="E71504"/>
      <c r="F71504"/>
    </row>
    <row r="71505" spans="1:6" x14ac:dyDescent="0.25">
      <c r="A71505"/>
      <c r="B71505"/>
      <c r="C71505"/>
      <c r="E71505"/>
      <c r="F71505"/>
    </row>
    <row r="71506" spans="1:6" x14ac:dyDescent="0.25">
      <c r="A71506"/>
      <c r="B71506"/>
      <c r="C71506"/>
      <c r="E71506"/>
      <c r="F71506"/>
    </row>
    <row r="71507" spans="1:6" x14ac:dyDescent="0.25">
      <c r="A71507"/>
      <c r="B71507"/>
      <c r="C71507"/>
      <c r="E71507"/>
      <c r="F71507"/>
    </row>
    <row r="71508" spans="1:6" x14ac:dyDescent="0.25">
      <c r="A71508"/>
      <c r="B71508"/>
      <c r="C71508"/>
      <c r="E71508"/>
      <c r="F71508"/>
    </row>
    <row r="71509" spans="1:6" x14ac:dyDescent="0.25">
      <c r="A71509"/>
      <c r="B71509"/>
      <c r="C71509"/>
      <c r="E71509"/>
      <c r="F71509"/>
    </row>
    <row r="71510" spans="1:6" x14ac:dyDescent="0.25">
      <c r="A71510"/>
      <c r="B71510"/>
      <c r="C71510"/>
      <c r="E71510"/>
      <c r="F71510"/>
    </row>
    <row r="71511" spans="1:6" x14ac:dyDescent="0.25">
      <c r="A71511"/>
      <c r="B71511"/>
      <c r="C71511"/>
      <c r="E71511"/>
      <c r="F71511"/>
    </row>
    <row r="71512" spans="1:6" x14ac:dyDescent="0.25">
      <c r="A71512"/>
      <c r="B71512"/>
      <c r="C71512"/>
      <c r="E71512"/>
      <c r="F71512"/>
    </row>
    <row r="71513" spans="1:6" x14ac:dyDescent="0.25">
      <c r="A71513"/>
      <c r="B71513"/>
      <c r="C71513"/>
      <c r="E71513"/>
      <c r="F71513"/>
    </row>
    <row r="71514" spans="1:6" x14ac:dyDescent="0.25">
      <c r="A71514"/>
      <c r="B71514"/>
      <c r="C71514"/>
      <c r="E71514"/>
      <c r="F71514"/>
    </row>
    <row r="71515" spans="1:6" x14ac:dyDescent="0.25">
      <c r="A71515"/>
      <c r="B71515"/>
      <c r="C71515"/>
      <c r="E71515"/>
      <c r="F71515"/>
    </row>
    <row r="71516" spans="1:6" x14ac:dyDescent="0.25">
      <c r="A71516"/>
      <c r="B71516"/>
      <c r="C71516"/>
      <c r="E71516"/>
      <c r="F71516"/>
    </row>
    <row r="71517" spans="1:6" x14ac:dyDescent="0.25">
      <c r="A71517"/>
      <c r="B71517"/>
      <c r="C71517"/>
      <c r="E71517"/>
      <c r="F71517"/>
    </row>
    <row r="71518" spans="1:6" x14ac:dyDescent="0.25">
      <c r="A71518"/>
      <c r="B71518"/>
      <c r="C71518"/>
      <c r="E71518"/>
      <c r="F71518"/>
    </row>
    <row r="71519" spans="1:6" x14ac:dyDescent="0.25">
      <c r="A71519"/>
      <c r="B71519"/>
      <c r="C71519"/>
      <c r="E71519"/>
      <c r="F71519"/>
    </row>
    <row r="71520" spans="1:6" x14ac:dyDescent="0.25">
      <c r="A71520"/>
      <c r="B71520"/>
      <c r="C71520"/>
      <c r="E71520"/>
      <c r="F71520"/>
    </row>
    <row r="71521" spans="1:6" x14ac:dyDescent="0.25">
      <c r="A71521"/>
      <c r="B71521"/>
      <c r="C71521"/>
      <c r="E71521"/>
      <c r="F71521"/>
    </row>
    <row r="71522" spans="1:6" x14ac:dyDescent="0.25">
      <c r="A71522"/>
      <c r="B71522"/>
      <c r="C71522"/>
      <c r="E71522"/>
      <c r="F71522"/>
    </row>
    <row r="71523" spans="1:6" x14ac:dyDescent="0.25">
      <c r="A71523"/>
      <c r="B71523"/>
      <c r="C71523"/>
      <c r="E71523"/>
      <c r="F71523"/>
    </row>
    <row r="71524" spans="1:6" x14ac:dyDescent="0.25">
      <c r="A71524"/>
      <c r="B71524"/>
      <c r="C71524"/>
      <c r="E71524"/>
      <c r="F71524"/>
    </row>
    <row r="71525" spans="1:6" x14ac:dyDescent="0.25">
      <c r="A71525"/>
      <c r="B71525"/>
      <c r="C71525"/>
      <c r="E71525"/>
      <c r="F71525"/>
    </row>
    <row r="71526" spans="1:6" x14ac:dyDescent="0.25">
      <c r="A71526"/>
      <c r="B71526"/>
      <c r="C71526"/>
      <c r="E71526"/>
      <c r="F71526"/>
    </row>
    <row r="71527" spans="1:6" x14ac:dyDescent="0.25">
      <c r="A71527"/>
      <c r="B71527"/>
      <c r="C71527"/>
      <c r="E71527"/>
      <c r="F71527"/>
    </row>
    <row r="71528" spans="1:6" x14ac:dyDescent="0.25">
      <c r="A71528"/>
      <c r="B71528"/>
      <c r="C71528"/>
      <c r="E71528"/>
      <c r="F71528"/>
    </row>
    <row r="71529" spans="1:6" x14ac:dyDescent="0.25">
      <c r="A71529"/>
      <c r="B71529"/>
      <c r="C71529"/>
      <c r="E71529"/>
      <c r="F71529"/>
    </row>
    <row r="71530" spans="1:6" x14ac:dyDescent="0.25">
      <c r="A71530"/>
      <c r="B71530"/>
      <c r="C71530"/>
      <c r="E71530"/>
      <c r="F71530"/>
    </row>
    <row r="71531" spans="1:6" x14ac:dyDescent="0.25">
      <c r="A71531"/>
      <c r="B71531"/>
      <c r="C71531"/>
      <c r="E71531"/>
      <c r="F71531"/>
    </row>
    <row r="71532" spans="1:6" x14ac:dyDescent="0.25">
      <c r="A71532"/>
      <c r="B71532"/>
      <c r="C71532"/>
      <c r="E71532"/>
      <c r="F71532"/>
    </row>
    <row r="71533" spans="1:6" x14ac:dyDescent="0.25">
      <c r="A71533"/>
      <c r="B71533"/>
      <c r="C71533"/>
      <c r="E71533"/>
      <c r="F71533"/>
    </row>
    <row r="71534" spans="1:6" x14ac:dyDescent="0.25">
      <c r="A71534"/>
      <c r="B71534"/>
      <c r="C71534"/>
      <c r="E71534"/>
      <c r="F71534"/>
    </row>
    <row r="71535" spans="1:6" x14ac:dyDescent="0.25">
      <c r="A71535"/>
      <c r="B71535"/>
      <c r="C71535"/>
      <c r="E71535"/>
      <c r="F71535"/>
    </row>
    <row r="71536" spans="1:6" x14ac:dyDescent="0.25">
      <c r="A71536"/>
      <c r="B71536"/>
      <c r="C71536"/>
      <c r="E71536"/>
      <c r="F71536"/>
    </row>
    <row r="71537" spans="1:6" x14ac:dyDescent="0.25">
      <c r="A71537"/>
      <c r="B71537"/>
      <c r="C71537"/>
      <c r="E71537"/>
      <c r="F71537"/>
    </row>
    <row r="71538" spans="1:6" x14ac:dyDescent="0.25">
      <c r="A71538"/>
      <c r="B71538"/>
      <c r="C71538"/>
      <c r="E71538"/>
      <c r="F71538"/>
    </row>
    <row r="71539" spans="1:6" x14ac:dyDescent="0.25">
      <c r="A71539"/>
      <c r="B71539"/>
      <c r="C71539"/>
      <c r="E71539"/>
      <c r="F71539"/>
    </row>
    <row r="71540" spans="1:6" x14ac:dyDescent="0.25">
      <c r="A71540"/>
      <c r="B71540"/>
      <c r="C71540"/>
      <c r="E71540"/>
      <c r="F71540"/>
    </row>
    <row r="71541" spans="1:6" x14ac:dyDescent="0.25">
      <c r="A71541"/>
      <c r="B71541"/>
      <c r="C71541"/>
      <c r="E71541"/>
      <c r="F71541"/>
    </row>
    <row r="71542" spans="1:6" x14ac:dyDescent="0.25">
      <c r="A71542"/>
      <c r="B71542"/>
      <c r="C71542"/>
      <c r="E71542"/>
      <c r="F71542"/>
    </row>
    <row r="71543" spans="1:6" x14ac:dyDescent="0.25">
      <c r="A71543"/>
      <c r="B71543"/>
      <c r="C71543"/>
      <c r="E71543"/>
      <c r="F71543"/>
    </row>
    <row r="71544" spans="1:6" x14ac:dyDescent="0.25">
      <c r="A71544"/>
      <c r="B71544"/>
      <c r="C71544"/>
      <c r="E71544"/>
      <c r="F71544"/>
    </row>
    <row r="71545" spans="1:6" x14ac:dyDescent="0.25">
      <c r="A71545"/>
      <c r="B71545"/>
      <c r="C71545"/>
      <c r="E71545"/>
      <c r="F71545"/>
    </row>
    <row r="71546" spans="1:6" x14ac:dyDescent="0.25">
      <c r="A71546"/>
      <c r="B71546"/>
      <c r="C71546"/>
      <c r="E71546"/>
      <c r="F71546"/>
    </row>
    <row r="71547" spans="1:6" x14ac:dyDescent="0.25">
      <c r="A71547"/>
      <c r="B71547"/>
      <c r="C71547"/>
      <c r="E71547"/>
      <c r="F71547"/>
    </row>
    <row r="71548" spans="1:6" x14ac:dyDescent="0.25">
      <c r="A71548"/>
      <c r="B71548"/>
      <c r="C71548"/>
      <c r="E71548"/>
      <c r="F71548"/>
    </row>
    <row r="71549" spans="1:6" x14ac:dyDescent="0.25">
      <c r="A71549"/>
      <c r="B71549"/>
      <c r="C71549"/>
      <c r="E71549"/>
      <c r="F71549"/>
    </row>
    <row r="71550" spans="1:6" x14ac:dyDescent="0.25">
      <c r="A71550"/>
      <c r="B71550"/>
      <c r="C71550"/>
      <c r="E71550"/>
      <c r="F71550"/>
    </row>
    <row r="71551" spans="1:6" x14ac:dyDescent="0.25">
      <c r="A71551"/>
      <c r="B71551"/>
      <c r="C71551"/>
      <c r="E71551"/>
      <c r="F71551"/>
    </row>
    <row r="71552" spans="1:6" x14ac:dyDescent="0.25">
      <c r="A71552"/>
      <c r="B71552"/>
      <c r="C71552"/>
      <c r="E71552"/>
      <c r="F71552"/>
    </row>
    <row r="71553" spans="1:6" x14ac:dyDescent="0.25">
      <c r="A71553"/>
      <c r="B71553"/>
      <c r="C71553"/>
      <c r="E71553"/>
      <c r="F71553"/>
    </row>
    <row r="71554" spans="1:6" x14ac:dyDescent="0.25">
      <c r="A71554"/>
      <c r="B71554"/>
      <c r="C71554"/>
      <c r="E71554"/>
      <c r="F71554"/>
    </row>
    <row r="71555" spans="1:6" x14ac:dyDescent="0.25">
      <c r="A71555"/>
      <c r="B71555"/>
      <c r="C71555"/>
      <c r="E71555"/>
      <c r="F71555"/>
    </row>
    <row r="71556" spans="1:6" x14ac:dyDescent="0.25">
      <c r="A71556"/>
      <c r="B71556"/>
      <c r="C71556"/>
      <c r="E71556"/>
      <c r="F71556"/>
    </row>
    <row r="71557" spans="1:6" x14ac:dyDescent="0.25">
      <c r="A71557"/>
      <c r="B71557"/>
      <c r="C71557"/>
      <c r="E71557"/>
      <c r="F71557"/>
    </row>
    <row r="71558" spans="1:6" x14ac:dyDescent="0.25">
      <c r="A71558"/>
      <c r="B71558"/>
      <c r="C71558"/>
      <c r="E71558"/>
      <c r="F71558"/>
    </row>
    <row r="71559" spans="1:6" x14ac:dyDescent="0.25">
      <c r="A71559"/>
      <c r="B71559"/>
      <c r="C71559"/>
      <c r="E71559"/>
      <c r="F71559"/>
    </row>
    <row r="71560" spans="1:6" x14ac:dyDescent="0.25">
      <c r="A71560"/>
      <c r="B71560"/>
      <c r="C71560"/>
      <c r="E71560"/>
      <c r="F71560"/>
    </row>
    <row r="71561" spans="1:6" x14ac:dyDescent="0.25">
      <c r="A71561"/>
      <c r="B71561"/>
      <c r="C71561"/>
      <c r="E71561"/>
      <c r="F71561"/>
    </row>
    <row r="71562" spans="1:6" x14ac:dyDescent="0.25">
      <c r="A71562"/>
      <c r="B71562"/>
      <c r="C71562"/>
      <c r="E71562"/>
      <c r="F71562"/>
    </row>
    <row r="71563" spans="1:6" x14ac:dyDescent="0.25">
      <c r="A71563"/>
      <c r="B71563"/>
      <c r="C71563"/>
      <c r="E71563"/>
      <c r="F71563"/>
    </row>
    <row r="71564" spans="1:6" x14ac:dyDescent="0.25">
      <c r="A71564"/>
      <c r="B71564"/>
      <c r="C71564"/>
      <c r="E71564"/>
      <c r="F71564"/>
    </row>
    <row r="71565" spans="1:6" x14ac:dyDescent="0.25">
      <c r="A71565"/>
      <c r="B71565"/>
      <c r="C71565"/>
      <c r="E71565"/>
      <c r="F71565"/>
    </row>
    <row r="71566" spans="1:6" x14ac:dyDescent="0.25">
      <c r="A71566"/>
      <c r="B71566"/>
      <c r="C71566"/>
      <c r="E71566"/>
      <c r="F71566"/>
    </row>
    <row r="71567" spans="1:6" x14ac:dyDescent="0.25">
      <c r="A71567"/>
      <c r="B71567"/>
      <c r="C71567"/>
      <c r="E71567"/>
      <c r="F71567"/>
    </row>
    <row r="71568" spans="1:6" x14ac:dyDescent="0.25">
      <c r="A71568"/>
      <c r="B71568"/>
      <c r="C71568"/>
      <c r="E71568"/>
      <c r="F71568"/>
    </row>
    <row r="71569" spans="1:6" x14ac:dyDescent="0.25">
      <c r="A71569"/>
      <c r="B71569"/>
      <c r="C71569"/>
      <c r="E71569"/>
      <c r="F71569"/>
    </row>
    <row r="71570" spans="1:6" x14ac:dyDescent="0.25">
      <c r="A71570"/>
      <c r="B71570"/>
      <c r="C71570"/>
      <c r="E71570"/>
      <c r="F71570"/>
    </row>
    <row r="71571" spans="1:6" x14ac:dyDescent="0.25">
      <c r="A71571"/>
      <c r="B71571"/>
      <c r="C71571"/>
      <c r="E71571"/>
      <c r="F71571"/>
    </row>
    <row r="71572" spans="1:6" x14ac:dyDescent="0.25">
      <c r="A71572"/>
      <c r="B71572"/>
      <c r="C71572"/>
      <c r="E71572"/>
      <c r="F71572"/>
    </row>
    <row r="71573" spans="1:6" x14ac:dyDescent="0.25">
      <c r="A71573"/>
      <c r="B71573"/>
      <c r="C71573"/>
      <c r="E71573"/>
      <c r="F71573"/>
    </row>
    <row r="71574" spans="1:6" x14ac:dyDescent="0.25">
      <c r="A71574"/>
      <c r="B71574"/>
      <c r="C71574"/>
      <c r="E71574"/>
      <c r="F71574"/>
    </row>
    <row r="71575" spans="1:6" x14ac:dyDescent="0.25">
      <c r="A71575"/>
      <c r="B71575"/>
      <c r="C71575"/>
      <c r="E71575"/>
      <c r="F71575"/>
    </row>
    <row r="71576" spans="1:6" x14ac:dyDescent="0.25">
      <c r="A71576"/>
      <c r="B71576"/>
      <c r="C71576"/>
      <c r="E71576"/>
      <c r="F71576"/>
    </row>
    <row r="71577" spans="1:6" x14ac:dyDescent="0.25">
      <c r="A71577"/>
      <c r="B71577"/>
      <c r="C71577"/>
      <c r="E71577"/>
      <c r="F71577"/>
    </row>
    <row r="71578" spans="1:6" x14ac:dyDescent="0.25">
      <c r="A71578"/>
      <c r="B71578"/>
      <c r="C71578"/>
      <c r="E71578"/>
      <c r="F71578"/>
    </row>
    <row r="71579" spans="1:6" x14ac:dyDescent="0.25">
      <c r="A71579"/>
      <c r="B71579"/>
      <c r="C71579"/>
      <c r="E71579"/>
      <c r="F71579"/>
    </row>
    <row r="71580" spans="1:6" x14ac:dyDescent="0.25">
      <c r="A71580"/>
      <c r="B71580"/>
      <c r="C71580"/>
      <c r="E71580"/>
      <c r="F71580"/>
    </row>
    <row r="71581" spans="1:6" x14ac:dyDescent="0.25">
      <c r="A71581"/>
      <c r="B71581"/>
      <c r="C71581"/>
      <c r="E71581"/>
      <c r="F71581"/>
    </row>
    <row r="71582" spans="1:6" x14ac:dyDescent="0.25">
      <c r="A71582"/>
      <c r="B71582"/>
      <c r="C71582"/>
      <c r="E71582"/>
      <c r="F71582"/>
    </row>
    <row r="71583" spans="1:6" x14ac:dyDescent="0.25">
      <c r="A71583"/>
      <c r="B71583"/>
      <c r="C71583"/>
      <c r="E71583"/>
      <c r="F71583"/>
    </row>
    <row r="71584" spans="1:6" x14ac:dyDescent="0.25">
      <c r="A71584"/>
      <c r="B71584"/>
      <c r="C71584"/>
      <c r="E71584"/>
      <c r="F71584"/>
    </row>
    <row r="71585" spans="1:6" x14ac:dyDescent="0.25">
      <c r="A71585"/>
      <c r="B71585"/>
      <c r="C71585"/>
      <c r="E71585"/>
      <c r="F71585"/>
    </row>
    <row r="71586" spans="1:6" x14ac:dyDescent="0.25">
      <c r="A71586"/>
      <c r="B71586"/>
      <c r="C71586"/>
      <c r="E71586"/>
      <c r="F71586"/>
    </row>
    <row r="71587" spans="1:6" x14ac:dyDescent="0.25">
      <c r="A71587"/>
      <c r="B71587"/>
      <c r="C71587"/>
      <c r="E71587"/>
      <c r="F71587"/>
    </row>
    <row r="71588" spans="1:6" x14ac:dyDescent="0.25">
      <c r="A71588"/>
      <c r="B71588"/>
      <c r="C71588"/>
      <c r="E71588"/>
      <c r="F71588"/>
    </row>
    <row r="71589" spans="1:6" x14ac:dyDescent="0.25">
      <c r="A71589"/>
      <c r="B71589"/>
      <c r="C71589"/>
      <c r="E71589"/>
      <c r="F71589"/>
    </row>
    <row r="71590" spans="1:6" x14ac:dyDescent="0.25">
      <c r="A71590"/>
      <c r="B71590"/>
      <c r="C71590"/>
      <c r="E71590"/>
      <c r="F71590"/>
    </row>
    <row r="71591" spans="1:6" x14ac:dyDescent="0.25">
      <c r="A71591"/>
      <c r="B71591"/>
      <c r="C71591"/>
      <c r="E71591"/>
      <c r="F71591"/>
    </row>
    <row r="71592" spans="1:6" x14ac:dyDescent="0.25">
      <c r="A71592"/>
      <c r="B71592"/>
      <c r="C71592"/>
      <c r="E71592"/>
      <c r="F71592"/>
    </row>
    <row r="71593" spans="1:6" x14ac:dyDescent="0.25">
      <c r="A71593"/>
      <c r="B71593"/>
      <c r="C71593"/>
      <c r="E71593"/>
      <c r="F71593"/>
    </row>
    <row r="71594" spans="1:6" x14ac:dyDescent="0.25">
      <c r="A71594"/>
      <c r="B71594"/>
      <c r="C71594"/>
      <c r="E71594"/>
      <c r="F71594"/>
    </row>
    <row r="71595" spans="1:6" x14ac:dyDescent="0.25">
      <c r="A71595"/>
      <c r="B71595"/>
      <c r="C71595"/>
      <c r="E71595"/>
      <c r="F71595"/>
    </row>
    <row r="71596" spans="1:6" x14ac:dyDescent="0.25">
      <c r="A71596"/>
      <c r="B71596"/>
      <c r="C71596"/>
      <c r="E71596"/>
      <c r="F71596"/>
    </row>
    <row r="71597" spans="1:6" x14ac:dyDescent="0.25">
      <c r="A71597"/>
      <c r="B71597"/>
      <c r="C71597"/>
      <c r="E71597"/>
      <c r="F71597"/>
    </row>
    <row r="71598" spans="1:6" x14ac:dyDescent="0.25">
      <c r="A71598"/>
      <c r="B71598"/>
      <c r="C71598"/>
      <c r="E71598"/>
      <c r="F71598"/>
    </row>
    <row r="71599" spans="1:6" x14ac:dyDescent="0.25">
      <c r="A71599"/>
      <c r="B71599"/>
      <c r="C71599"/>
      <c r="E71599"/>
      <c r="F71599"/>
    </row>
    <row r="71600" spans="1:6" x14ac:dyDescent="0.25">
      <c r="A71600"/>
      <c r="B71600"/>
      <c r="C71600"/>
      <c r="E71600"/>
      <c r="F71600"/>
    </row>
    <row r="71601" spans="1:6" x14ac:dyDescent="0.25">
      <c r="A71601"/>
      <c r="B71601"/>
      <c r="C71601"/>
      <c r="E71601"/>
      <c r="F71601"/>
    </row>
    <row r="71602" spans="1:6" x14ac:dyDescent="0.25">
      <c r="A71602"/>
      <c r="B71602"/>
      <c r="C71602"/>
      <c r="E71602"/>
      <c r="F71602"/>
    </row>
    <row r="71603" spans="1:6" x14ac:dyDescent="0.25">
      <c r="A71603"/>
      <c r="B71603"/>
      <c r="C71603"/>
      <c r="E71603"/>
      <c r="F71603"/>
    </row>
    <row r="71604" spans="1:6" x14ac:dyDescent="0.25">
      <c r="A71604"/>
      <c r="B71604"/>
      <c r="C71604"/>
      <c r="E71604"/>
      <c r="F71604"/>
    </row>
    <row r="71605" spans="1:6" x14ac:dyDescent="0.25">
      <c r="A71605"/>
      <c r="B71605"/>
      <c r="C71605"/>
      <c r="E71605"/>
      <c r="F71605"/>
    </row>
    <row r="71606" spans="1:6" x14ac:dyDescent="0.25">
      <c r="A71606"/>
      <c r="B71606"/>
      <c r="C71606"/>
      <c r="E71606"/>
      <c r="F71606"/>
    </row>
    <row r="71607" spans="1:6" x14ac:dyDescent="0.25">
      <c r="A71607"/>
      <c r="B71607"/>
      <c r="C71607"/>
      <c r="E71607"/>
      <c r="F71607"/>
    </row>
    <row r="71608" spans="1:6" x14ac:dyDescent="0.25">
      <c r="A71608"/>
      <c r="B71608"/>
      <c r="C71608"/>
      <c r="E71608"/>
      <c r="F71608"/>
    </row>
    <row r="71609" spans="1:6" x14ac:dyDescent="0.25">
      <c r="A71609"/>
      <c r="B71609"/>
      <c r="C71609"/>
      <c r="E71609"/>
      <c r="F71609"/>
    </row>
    <row r="71610" spans="1:6" x14ac:dyDescent="0.25">
      <c r="A71610"/>
      <c r="B71610"/>
      <c r="C71610"/>
      <c r="E71610"/>
      <c r="F71610"/>
    </row>
    <row r="71611" spans="1:6" x14ac:dyDescent="0.25">
      <c r="A71611"/>
      <c r="B71611"/>
      <c r="C71611"/>
      <c r="E71611"/>
      <c r="F71611"/>
    </row>
    <row r="71612" spans="1:6" x14ac:dyDescent="0.25">
      <c r="A71612"/>
      <c r="B71612"/>
      <c r="C71612"/>
      <c r="E71612"/>
      <c r="F71612"/>
    </row>
    <row r="71613" spans="1:6" x14ac:dyDescent="0.25">
      <c r="A71613"/>
      <c r="B71613"/>
      <c r="C71613"/>
      <c r="E71613"/>
      <c r="F71613"/>
    </row>
    <row r="71614" spans="1:6" x14ac:dyDescent="0.25">
      <c r="A71614"/>
      <c r="B71614"/>
      <c r="C71614"/>
      <c r="E71614"/>
      <c r="F71614"/>
    </row>
    <row r="71615" spans="1:6" x14ac:dyDescent="0.25">
      <c r="A71615"/>
      <c r="B71615"/>
      <c r="C71615"/>
      <c r="E71615"/>
      <c r="F71615"/>
    </row>
    <row r="71616" spans="1:6" x14ac:dyDescent="0.25">
      <c r="A71616"/>
      <c r="B71616"/>
      <c r="C71616"/>
      <c r="E71616"/>
      <c r="F71616"/>
    </row>
    <row r="71617" spans="1:6" x14ac:dyDescent="0.25">
      <c r="A71617"/>
      <c r="B71617"/>
      <c r="C71617"/>
      <c r="E71617"/>
      <c r="F71617"/>
    </row>
    <row r="71618" spans="1:6" x14ac:dyDescent="0.25">
      <c r="A71618"/>
      <c r="B71618"/>
      <c r="C71618"/>
      <c r="E71618"/>
      <c r="F71618"/>
    </row>
    <row r="71619" spans="1:6" x14ac:dyDescent="0.25">
      <c r="A71619"/>
      <c r="B71619"/>
      <c r="C71619"/>
      <c r="E71619"/>
      <c r="F71619"/>
    </row>
    <row r="71620" spans="1:6" x14ac:dyDescent="0.25">
      <c r="A71620"/>
      <c r="B71620"/>
      <c r="C71620"/>
      <c r="E71620"/>
      <c r="F71620"/>
    </row>
    <row r="71621" spans="1:6" x14ac:dyDescent="0.25">
      <c r="A71621"/>
      <c r="B71621"/>
      <c r="C71621"/>
      <c r="E71621"/>
      <c r="F71621"/>
    </row>
    <row r="71622" spans="1:6" x14ac:dyDescent="0.25">
      <c r="A71622"/>
      <c r="B71622"/>
      <c r="C71622"/>
      <c r="E71622"/>
      <c r="F71622"/>
    </row>
    <row r="71623" spans="1:6" x14ac:dyDescent="0.25">
      <c r="A71623"/>
      <c r="B71623"/>
      <c r="C71623"/>
      <c r="E71623"/>
      <c r="F71623"/>
    </row>
    <row r="71624" spans="1:6" x14ac:dyDescent="0.25">
      <c r="A71624"/>
      <c r="B71624"/>
      <c r="C71624"/>
      <c r="E71624"/>
      <c r="F71624"/>
    </row>
    <row r="71625" spans="1:6" x14ac:dyDescent="0.25">
      <c r="A71625"/>
      <c r="B71625"/>
      <c r="C71625"/>
      <c r="E71625"/>
      <c r="F71625"/>
    </row>
    <row r="71626" spans="1:6" x14ac:dyDescent="0.25">
      <c r="A71626"/>
      <c r="B71626"/>
      <c r="C71626"/>
      <c r="E71626"/>
      <c r="F71626"/>
    </row>
    <row r="71627" spans="1:6" x14ac:dyDescent="0.25">
      <c r="A71627"/>
      <c r="B71627"/>
      <c r="C71627"/>
      <c r="E71627"/>
      <c r="F71627"/>
    </row>
    <row r="71628" spans="1:6" x14ac:dyDescent="0.25">
      <c r="A71628"/>
      <c r="B71628"/>
      <c r="C71628"/>
      <c r="E71628"/>
      <c r="F71628"/>
    </row>
    <row r="71629" spans="1:6" x14ac:dyDescent="0.25">
      <c r="A71629"/>
      <c r="B71629"/>
      <c r="C71629"/>
      <c r="E71629"/>
      <c r="F71629"/>
    </row>
    <row r="71630" spans="1:6" x14ac:dyDescent="0.25">
      <c r="A71630"/>
      <c r="B71630"/>
      <c r="C71630"/>
      <c r="E71630"/>
      <c r="F71630"/>
    </row>
    <row r="71631" spans="1:6" x14ac:dyDescent="0.25">
      <c r="A71631"/>
      <c r="B71631"/>
      <c r="C71631"/>
      <c r="E71631"/>
      <c r="F71631"/>
    </row>
    <row r="71632" spans="1:6" x14ac:dyDescent="0.25">
      <c r="A71632"/>
      <c r="B71632"/>
      <c r="C71632"/>
      <c r="E71632"/>
      <c r="F71632"/>
    </row>
    <row r="71633" spans="1:6" x14ac:dyDescent="0.25">
      <c r="A71633"/>
      <c r="B71633"/>
      <c r="C71633"/>
      <c r="E71633"/>
      <c r="F71633"/>
    </row>
    <row r="71634" spans="1:6" x14ac:dyDescent="0.25">
      <c r="A71634"/>
      <c r="B71634"/>
      <c r="C71634"/>
      <c r="E71634"/>
      <c r="F71634"/>
    </row>
    <row r="71635" spans="1:6" x14ac:dyDescent="0.25">
      <c r="A71635"/>
      <c r="B71635"/>
      <c r="C71635"/>
      <c r="E71635"/>
      <c r="F71635"/>
    </row>
    <row r="71636" spans="1:6" x14ac:dyDescent="0.25">
      <c r="A71636"/>
      <c r="B71636"/>
      <c r="C71636"/>
      <c r="E71636"/>
      <c r="F71636"/>
    </row>
    <row r="71637" spans="1:6" x14ac:dyDescent="0.25">
      <c r="A71637"/>
      <c r="B71637"/>
      <c r="C71637"/>
      <c r="E71637"/>
      <c r="F71637"/>
    </row>
    <row r="71638" spans="1:6" x14ac:dyDescent="0.25">
      <c r="A71638"/>
      <c r="B71638"/>
      <c r="C71638"/>
      <c r="E71638"/>
      <c r="F71638"/>
    </row>
    <row r="71639" spans="1:6" x14ac:dyDescent="0.25">
      <c r="A71639"/>
      <c r="B71639"/>
      <c r="C71639"/>
      <c r="E71639"/>
      <c r="F71639"/>
    </row>
    <row r="71640" spans="1:6" x14ac:dyDescent="0.25">
      <c r="A71640"/>
      <c r="B71640"/>
      <c r="C71640"/>
      <c r="E71640"/>
      <c r="F71640"/>
    </row>
    <row r="71641" spans="1:6" x14ac:dyDescent="0.25">
      <c r="A71641"/>
      <c r="B71641"/>
      <c r="C71641"/>
      <c r="E71641"/>
      <c r="F71641"/>
    </row>
    <row r="71642" spans="1:6" x14ac:dyDescent="0.25">
      <c r="A71642"/>
      <c r="B71642"/>
      <c r="C71642"/>
      <c r="E71642"/>
      <c r="F71642"/>
    </row>
    <row r="71643" spans="1:6" x14ac:dyDescent="0.25">
      <c r="A71643"/>
      <c r="B71643"/>
      <c r="C71643"/>
      <c r="E71643"/>
      <c r="F71643"/>
    </row>
    <row r="71644" spans="1:6" x14ac:dyDescent="0.25">
      <c r="A71644"/>
      <c r="B71644"/>
      <c r="C71644"/>
      <c r="E71644"/>
      <c r="F71644"/>
    </row>
    <row r="71645" spans="1:6" x14ac:dyDescent="0.25">
      <c r="A71645"/>
      <c r="B71645"/>
      <c r="C71645"/>
      <c r="E71645"/>
      <c r="F71645"/>
    </row>
    <row r="71646" spans="1:6" x14ac:dyDescent="0.25">
      <c r="A71646"/>
      <c r="B71646"/>
      <c r="C71646"/>
      <c r="E71646"/>
      <c r="F71646"/>
    </row>
    <row r="71647" spans="1:6" x14ac:dyDescent="0.25">
      <c r="A71647"/>
      <c r="B71647"/>
      <c r="C71647"/>
      <c r="E71647"/>
      <c r="F71647"/>
    </row>
    <row r="71648" spans="1:6" x14ac:dyDescent="0.25">
      <c r="A71648"/>
      <c r="B71648"/>
      <c r="C71648"/>
      <c r="E71648"/>
      <c r="F71648"/>
    </row>
    <row r="71649" spans="1:6" x14ac:dyDescent="0.25">
      <c r="A71649"/>
      <c r="B71649"/>
      <c r="C71649"/>
      <c r="E71649"/>
      <c r="F71649"/>
    </row>
    <row r="71650" spans="1:6" x14ac:dyDescent="0.25">
      <c r="A71650"/>
      <c r="B71650"/>
      <c r="C71650"/>
      <c r="E71650"/>
      <c r="F71650"/>
    </row>
    <row r="71651" spans="1:6" x14ac:dyDescent="0.25">
      <c r="A71651"/>
      <c r="B71651"/>
      <c r="C71651"/>
      <c r="E71651"/>
      <c r="F71651"/>
    </row>
    <row r="71652" spans="1:6" x14ac:dyDescent="0.25">
      <c r="A71652"/>
      <c r="B71652"/>
      <c r="C71652"/>
      <c r="E71652"/>
      <c r="F71652"/>
    </row>
    <row r="71653" spans="1:6" x14ac:dyDescent="0.25">
      <c r="A71653"/>
      <c r="B71653"/>
      <c r="C71653"/>
      <c r="E71653"/>
      <c r="F71653"/>
    </row>
    <row r="71654" spans="1:6" x14ac:dyDescent="0.25">
      <c r="A71654"/>
      <c r="B71654"/>
      <c r="C71654"/>
      <c r="E71654"/>
      <c r="F71654"/>
    </row>
    <row r="71655" spans="1:6" x14ac:dyDescent="0.25">
      <c r="A71655"/>
      <c r="B71655"/>
      <c r="C71655"/>
      <c r="E71655"/>
      <c r="F71655"/>
    </row>
    <row r="71656" spans="1:6" x14ac:dyDescent="0.25">
      <c r="A71656"/>
      <c r="B71656"/>
      <c r="C71656"/>
      <c r="E71656"/>
      <c r="F71656"/>
    </row>
    <row r="71657" spans="1:6" x14ac:dyDescent="0.25">
      <c r="A71657"/>
      <c r="B71657"/>
      <c r="C71657"/>
      <c r="E71657"/>
      <c r="F71657"/>
    </row>
    <row r="71658" spans="1:6" x14ac:dyDescent="0.25">
      <c r="A71658"/>
      <c r="B71658"/>
      <c r="C71658"/>
      <c r="E71658"/>
      <c r="F71658"/>
    </row>
    <row r="71659" spans="1:6" x14ac:dyDescent="0.25">
      <c r="A71659"/>
      <c r="B71659"/>
      <c r="C71659"/>
      <c r="E71659"/>
      <c r="F71659"/>
    </row>
    <row r="71660" spans="1:6" x14ac:dyDescent="0.25">
      <c r="A71660"/>
      <c r="B71660"/>
      <c r="C71660"/>
      <c r="E71660"/>
      <c r="F71660"/>
    </row>
    <row r="71661" spans="1:6" x14ac:dyDescent="0.25">
      <c r="A71661"/>
      <c r="B71661"/>
      <c r="C71661"/>
      <c r="E71661"/>
      <c r="F71661"/>
    </row>
    <row r="71662" spans="1:6" x14ac:dyDescent="0.25">
      <c r="A71662"/>
      <c r="B71662"/>
      <c r="C71662"/>
      <c r="E71662"/>
      <c r="F71662"/>
    </row>
    <row r="71663" spans="1:6" x14ac:dyDescent="0.25">
      <c r="A71663"/>
      <c r="B71663"/>
      <c r="C71663"/>
      <c r="E71663"/>
      <c r="F71663"/>
    </row>
    <row r="71664" spans="1:6" x14ac:dyDescent="0.25">
      <c r="A71664"/>
      <c r="B71664"/>
      <c r="C71664"/>
      <c r="E71664"/>
      <c r="F71664"/>
    </row>
    <row r="71665" spans="1:6" x14ac:dyDescent="0.25">
      <c r="A71665"/>
      <c r="B71665"/>
      <c r="C71665"/>
      <c r="E71665"/>
      <c r="F71665"/>
    </row>
    <row r="71666" spans="1:6" x14ac:dyDescent="0.25">
      <c r="A71666"/>
      <c r="B71666"/>
      <c r="C71666"/>
      <c r="E71666"/>
      <c r="F71666"/>
    </row>
    <row r="71667" spans="1:6" x14ac:dyDescent="0.25">
      <c r="A71667"/>
      <c r="B71667"/>
      <c r="C71667"/>
      <c r="E71667"/>
      <c r="F71667"/>
    </row>
    <row r="71668" spans="1:6" x14ac:dyDescent="0.25">
      <c r="A71668"/>
      <c r="B71668"/>
      <c r="C71668"/>
      <c r="E71668"/>
      <c r="F71668"/>
    </row>
    <row r="71669" spans="1:6" x14ac:dyDescent="0.25">
      <c r="A71669"/>
      <c r="B71669"/>
      <c r="C71669"/>
      <c r="E71669"/>
      <c r="F71669"/>
    </row>
    <row r="71670" spans="1:6" x14ac:dyDescent="0.25">
      <c r="A71670"/>
      <c r="B71670"/>
      <c r="C71670"/>
      <c r="E71670"/>
      <c r="F71670"/>
    </row>
    <row r="71671" spans="1:6" x14ac:dyDescent="0.25">
      <c r="A71671"/>
      <c r="B71671"/>
      <c r="C71671"/>
      <c r="E71671"/>
      <c r="F71671"/>
    </row>
    <row r="71672" spans="1:6" x14ac:dyDescent="0.25">
      <c r="A71672"/>
      <c r="B71672"/>
      <c r="C71672"/>
      <c r="E71672"/>
      <c r="F71672"/>
    </row>
    <row r="71673" spans="1:6" x14ac:dyDescent="0.25">
      <c r="A71673"/>
      <c r="B71673"/>
      <c r="C71673"/>
      <c r="E71673"/>
      <c r="F71673"/>
    </row>
    <row r="71674" spans="1:6" x14ac:dyDescent="0.25">
      <c r="A71674"/>
      <c r="B71674"/>
      <c r="C71674"/>
      <c r="E71674"/>
      <c r="F71674"/>
    </row>
    <row r="71675" spans="1:6" x14ac:dyDescent="0.25">
      <c r="A71675"/>
      <c r="B71675"/>
      <c r="C71675"/>
      <c r="E71675"/>
      <c r="F71675"/>
    </row>
    <row r="71676" spans="1:6" x14ac:dyDescent="0.25">
      <c r="A71676"/>
      <c r="B71676"/>
      <c r="C71676"/>
      <c r="E71676"/>
      <c r="F71676"/>
    </row>
    <row r="71677" spans="1:6" x14ac:dyDescent="0.25">
      <c r="A71677"/>
      <c r="B71677"/>
      <c r="C71677"/>
      <c r="E71677"/>
      <c r="F71677"/>
    </row>
    <row r="71678" spans="1:6" x14ac:dyDescent="0.25">
      <c r="A71678"/>
      <c r="B71678"/>
      <c r="C71678"/>
      <c r="E71678"/>
      <c r="F71678"/>
    </row>
    <row r="71679" spans="1:6" x14ac:dyDescent="0.25">
      <c r="A71679"/>
      <c r="B71679"/>
      <c r="C71679"/>
      <c r="E71679"/>
      <c r="F71679"/>
    </row>
    <row r="71680" spans="1:6" x14ac:dyDescent="0.25">
      <c r="A71680"/>
      <c r="B71680"/>
      <c r="C71680"/>
      <c r="E71680"/>
      <c r="F71680"/>
    </row>
    <row r="71681" spans="1:6" x14ac:dyDescent="0.25">
      <c r="A71681"/>
      <c r="B71681"/>
      <c r="C71681"/>
      <c r="E71681"/>
      <c r="F71681"/>
    </row>
    <row r="71682" spans="1:6" x14ac:dyDescent="0.25">
      <c r="A71682"/>
      <c r="B71682"/>
      <c r="C71682"/>
      <c r="E71682"/>
      <c r="F71682"/>
    </row>
    <row r="71683" spans="1:6" x14ac:dyDescent="0.25">
      <c r="A71683"/>
      <c r="B71683"/>
      <c r="C71683"/>
      <c r="E71683"/>
      <c r="F71683"/>
    </row>
    <row r="71684" spans="1:6" x14ac:dyDescent="0.25">
      <c r="A71684"/>
      <c r="B71684"/>
      <c r="C71684"/>
      <c r="E71684"/>
      <c r="F71684"/>
    </row>
    <row r="71685" spans="1:6" x14ac:dyDescent="0.25">
      <c r="A71685"/>
      <c r="B71685"/>
      <c r="C71685"/>
      <c r="E71685"/>
      <c r="F71685"/>
    </row>
    <row r="71686" spans="1:6" x14ac:dyDescent="0.25">
      <c r="A71686"/>
      <c r="B71686"/>
      <c r="C71686"/>
      <c r="E71686"/>
      <c r="F71686"/>
    </row>
    <row r="71687" spans="1:6" x14ac:dyDescent="0.25">
      <c r="A71687"/>
      <c r="B71687"/>
      <c r="C71687"/>
      <c r="E71687"/>
      <c r="F71687"/>
    </row>
    <row r="71688" spans="1:6" x14ac:dyDescent="0.25">
      <c r="A71688"/>
      <c r="B71688"/>
      <c r="C71688"/>
      <c r="E71688"/>
      <c r="F71688"/>
    </row>
    <row r="71689" spans="1:6" x14ac:dyDescent="0.25">
      <c r="A71689"/>
      <c r="B71689"/>
      <c r="C71689"/>
      <c r="E71689"/>
      <c r="F71689"/>
    </row>
    <row r="71690" spans="1:6" x14ac:dyDescent="0.25">
      <c r="A71690"/>
      <c r="B71690"/>
      <c r="C71690"/>
      <c r="E71690"/>
      <c r="F71690"/>
    </row>
    <row r="71691" spans="1:6" x14ac:dyDescent="0.25">
      <c r="A71691"/>
      <c r="B71691"/>
      <c r="C71691"/>
      <c r="E71691"/>
      <c r="F71691"/>
    </row>
    <row r="71692" spans="1:6" x14ac:dyDescent="0.25">
      <c r="A71692"/>
      <c r="B71692"/>
      <c r="C71692"/>
      <c r="E71692"/>
      <c r="F71692"/>
    </row>
    <row r="71693" spans="1:6" x14ac:dyDescent="0.25">
      <c r="A71693"/>
      <c r="B71693"/>
      <c r="C71693"/>
      <c r="E71693"/>
      <c r="F71693"/>
    </row>
    <row r="71694" spans="1:6" x14ac:dyDescent="0.25">
      <c r="A71694"/>
      <c r="B71694"/>
      <c r="C71694"/>
      <c r="E71694"/>
      <c r="F71694"/>
    </row>
    <row r="71695" spans="1:6" x14ac:dyDescent="0.25">
      <c r="A71695"/>
      <c r="B71695"/>
      <c r="C71695"/>
      <c r="E71695"/>
      <c r="F71695"/>
    </row>
    <row r="71696" spans="1:6" x14ac:dyDescent="0.25">
      <c r="A71696"/>
      <c r="B71696"/>
      <c r="C71696"/>
      <c r="E71696"/>
      <c r="F71696"/>
    </row>
    <row r="71697" spans="1:6" x14ac:dyDescent="0.25">
      <c r="A71697"/>
      <c r="B71697"/>
      <c r="C71697"/>
      <c r="E71697"/>
      <c r="F71697"/>
    </row>
    <row r="71698" spans="1:6" x14ac:dyDescent="0.25">
      <c r="A71698"/>
      <c r="B71698"/>
      <c r="C71698"/>
      <c r="E71698"/>
      <c r="F71698"/>
    </row>
    <row r="71699" spans="1:6" x14ac:dyDescent="0.25">
      <c r="A71699"/>
      <c r="B71699"/>
      <c r="C71699"/>
      <c r="E71699"/>
      <c r="F71699"/>
    </row>
    <row r="71700" spans="1:6" x14ac:dyDescent="0.25">
      <c r="A71700"/>
      <c r="B71700"/>
      <c r="C71700"/>
      <c r="E71700"/>
      <c r="F71700"/>
    </row>
    <row r="71701" spans="1:6" x14ac:dyDescent="0.25">
      <c r="A71701"/>
      <c r="B71701"/>
      <c r="C71701"/>
      <c r="E71701"/>
      <c r="F71701"/>
    </row>
    <row r="71702" spans="1:6" x14ac:dyDescent="0.25">
      <c r="A71702"/>
      <c r="B71702"/>
      <c r="C71702"/>
      <c r="E71702"/>
      <c r="F71702"/>
    </row>
    <row r="71703" spans="1:6" x14ac:dyDescent="0.25">
      <c r="A71703"/>
      <c r="B71703"/>
      <c r="C71703"/>
      <c r="E71703"/>
      <c r="F71703"/>
    </row>
    <row r="71704" spans="1:6" x14ac:dyDescent="0.25">
      <c r="A71704"/>
      <c r="B71704"/>
      <c r="C71704"/>
      <c r="E71704"/>
      <c r="F71704"/>
    </row>
    <row r="71705" spans="1:6" x14ac:dyDescent="0.25">
      <c r="A71705"/>
      <c r="B71705"/>
      <c r="C71705"/>
      <c r="E71705"/>
      <c r="F71705"/>
    </row>
    <row r="71706" spans="1:6" x14ac:dyDescent="0.25">
      <c r="A71706"/>
      <c r="B71706"/>
      <c r="C71706"/>
      <c r="E71706"/>
      <c r="F71706"/>
    </row>
    <row r="71707" spans="1:6" x14ac:dyDescent="0.25">
      <c r="A71707"/>
      <c r="B71707"/>
      <c r="C71707"/>
      <c r="E71707"/>
      <c r="F71707"/>
    </row>
    <row r="71708" spans="1:6" x14ac:dyDescent="0.25">
      <c r="A71708"/>
      <c r="B71708"/>
      <c r="C71708"/>
      <c r="E71708"/>
      <c r="F71708"/>
    </row>
    <row r="71709" spans="1:6" x14ac:dyDescent="0.25">
      <c r="A71709"/>
      <c r="B71709"/>
      <c r="C71709"/>
      <c r="E71709"/>
      <c r="F71709"/>
    </row>
    <row r="71710" spans="1:6" x14ac:dyDescent="0.25">
      <c r="A71710"/>
      <c r="B71710"/>
      <c r="C71710"/>
      <c r="E71710"/>
      <c r="F71710"/>
    </row>
    <row r="71711" spans="1:6" x14ac:dyDescent="0.25">
      <c r="A71711"/>
      <c r="B71711"/>
      <c r="C71711"/>
      <c r="E71711"/>
      <c r="F71711"/>
    </row>
    <row r="71712" spans="1:6" x14ac:dyDescent="0.25">
      <c r="A71712"/>
      <c r="B71712"/>
      <c r="C71712"/>
      <c r="E71712"/>
      <c r="F71712"/>
    </row>
    <row r="71713" spans="1:6" x14ac:dyDescent="0.25">
      <c r="A71713"/>
      <c r="B71713"/>
      <c r="C71713"/>
      <c r="E71713"/>
      <c r="F71713"/>
    </row>
    <row r="71714" spans="1:6" x14ac:dyDescent="0.25">
      <c r="A71714"/>
      <c r="B71714"/>
      <c r="C71714"/>
      <c r="E71714"/>
      <c r="F71714"/>
    </row>
    <row r="71715" spans="1:6" x14ac:dyDescent="0.25">
      <c r="A71715"/>
      <c r="B71715"/>
      <c r="C71715"/>
      <c r="E71715"/>
      <c r="F71715"/>
    </row>
    <row r="71716" spans="1:6" x14ac:dyDescent="0.25">
      <c r="A71716"/>
      <c r="B71716"/>
      <c r="C71716"/>
      <c r="E71716"/>
      <c r="F71716"/>
    </row>
    <row r="71717" spans="1:6" x14ac:dyDescent="0.25">
      <c r="A71717"/>
      <c r="B71717"/>
      <c r="C71717"/>
      <c r="E71717"/>
      <c r="F71717"/>
    </row>
    <row r="71718" spans="1:6" x14ac:dyDescent="0.25">
      <c r="A71718"/>
      <c r="B71718"/>
      <c r="C71718"/>
      <c r="E71718"/>
      <c r="F71718"/>
    </row>
    <row r="71719" spans="1:6" x14ac:dyDescent="0.25">
      <c r="A71719"/>
      <c r="B71719"/>
      <c r="C71719"/>
      <c r="E71719"/>
      <c r="F71719"/>
    </row>
    <row r="71720" spans="1:6" x14ac:dyDescent="0.25">
      <c r="A71720"/>
      <c r="B71720"/>
      <c r="C71720"/>
      <c r="E71720"/>
      <c r="F71720"/>
    </row>
    <row r="71721" spans="1:6" x14ac:dyDescent="0.25">
      <c r="A71721"/>
      <c r="B71721"/>
      <c r="C71721"/>
      <c r="E71721"/>
      <c r="F71721"/>
    </row>
    <row r="71722" spans="1:6" x14ac:dyDescent="0.25">
      <c r="A71722"/>
      <c r="B71722"/>
      <c r="C71722"/>
      <c r="E71722"/>
      <c r="F71722"/>
    </row>
    <row r="71723" spans="1:6" x14ac:dyDescent="0.25">
      <c r="A71723"/>
      <c r="B71723"/>
      <c r="C71723"/>
      <c r="E71723"/>
      <c r="F71723"/>
    </row>
    <row r="71724" spans="1:6" x14ac:dyDescent="0.25">
      <c r="A71724"/>
      <c r="B71724"/>
      <c r="C71724"/>
      <c r="E71724"/>
      <c r="F71724"/>
    </row>
    <row r="71725" spans="1:6" x14ac:dyDescent="0.25">
      <c r="A71725"/>
      <c r="B71725"/>
      <c r="C71725"/>
      <c r="E71725"/>
      <c r="F71725"/>
    </row>
    <row r="71726" spans="1:6" x14ac:dyDescent="0.25">
      <c r="A71726"/>
      <c r="B71726"/>
      <c r="C71726"/>
      <c r="E71726"/>
      <c r="F71726"/>
    </row>
    <row r="71727" spans="1:6" x14ac:dyDescent="0.25">
      <c r="A71727"/>
      <c r="B71727"/>
      <c r="C71727"/>
      <c r="E71727"/>
      <c r="F71727"/>
    </row>
    <row r="71728" spans="1:6" x14ac:dyDescent="0.25">
      <c r="A71728"/>
      <c r="B71728"/>
      <c r="C71728"/>
      <c r="E71728"/>
      <c r="F71728"/>
    </row>
    <row r="71729" spans="1:6" x14ac:dyDescent="0.25">
      <c r="A71729"/>
      <c r="B71729"/>
      <c r="C71729"/>
      <c r="E71729"/>
      <c r="F71729"/>
    </row>
    <row r="71730" spans="1:6" x14ac:dyDescent="0.25">
      <c r="A71730"/>
      <c r="B71730"/>
      <c r="C71730"/>
      <c r="E71730"/>
      <c r="F71730"/>
    </row>
    <row r="71731" spans="1:6" x14ac:dyDescent="0.25">
      <c r="A71731"/>
      <c r="B71731"/>
      <c r="C71731"/>
      <c r="E71731"/>
      <c r="F71731"/>
    </row>
    <row r="71732" spans="1:6" x14ac:dyDescent="0.25">
      <c r="A71732"/>
      <c r="B71732"/>
      <c r="C71732"/>
      <c r="E71732"/>
      <c r="F71732"/>
    </row>
    <row r="71733" spans="1:6" x14ac:dyDescent="0.25">
      <c r="A71733"/>
      <c r="B71733"/>
      <c r="C71733"/>
      <c r="E71733"/>
      <c r="F71733"/>
    </row>
    <row r="71734" spans="1:6" x14ac:dyDescent="0.25">
      <c r="A71734"/>
      <c r="B71734"/>
      <c r="C71734"/>
      <c r="E71734"/>
      <c r="F71734"/>
    </row>
    <row r="71735" spans="1:6" x14ac:dyDescent="0.25">
      <c r="A71735"/>
      <c r="B71735"/>
      <c r="C71735"/>
      <c r="E71735"/>
      <c r="F71735"/>
    </row>
    <row r="71736" spans="1:6" x14ac:dyDescent="0.25">
      <c r="A71736"/>
      <c r="B71736"/>
      <c r="C71736"/>
      <c r="E71736"/>
      <c r="F71736"/>
    </row>
    <row r="71737" spans="1:6" x14ac:dyDescent="0.25">
      <c r="A71737"/>
      <c r="B71737"/>
      <c r="C71737"/>
      <c r="E71737"/>
      <c r="F71737"/>
    </row>
    <row r="71738" spans="1:6" x14ac:dyDescent="0.25">
      <c r="A71738"/>
      <c r="B71738"/>
      <c r="C71738"/>
      <c r="E71738"/>
      <c r="F71738"/>
    </row>
    <row r="71739" spans="1:6" x14ac:dyDescent="0.25">
      <c r="A71739"/>
      <c r="B71739"/>
      <c r="C71739"/>
      <c r="E71739"/>
      <c r="F71739"/>
    </row>
    <row r="71740" spans="1:6" x14ac:dyDescent="0.25">
      <c r="A71740"/>
      <c r="B71740"/>
      <c r="C71740"/>
      <c r="E71740"/>
      <c r="F71740"/>
    </row>
    <row r="71741" spans="1:6" x14ac:dyDescent="0.25">
      <c r="A71741"/>
      <c r="B71741"/>
      <c r="C71741"/>
      <c r="E71741"/>
      <c r="F71741"/>
    </row>
    <row r="71742" spans="1:6" x14ac:dyDescent="0.25">
      <c r="A71742"/>
      <c r="B71742"/>
      <c r="C71742"/>
      <c r="E71742"/>
      <c r="F71742"/>
    </row>
    <row r="71743" spans="1:6" x14ac:dyDescent="0.25">
      <c r="A71743"/>
      <c r="B71743"/>
      <c r="C71743"/>
      <c r="E71743"/>
      <c r="F71743"/>
    </row>
    <row r="71744" spans="1:6" x14ac:dyDescent="0.25">
      <c r="A71744"/>
      <c r="B71744"/>
      <c r="C71744"/>
      <c r="E71744"/>
      <c r="F71744"/>
    </row>
    <row r="71745" spans="1:6" x14ac:dyDescent="0.25">
      <c r="A71745"/>
      <c r="B71745"/>
      <c r="C71745"/>
      <c r="E71745"/>
      <c r="F71745"/>
    </row>
    <row r="71746" spans="1:6" x14ac:dyDescent="0.25">
      <c r="A71746"/>
      <c r="B71746"/>
      <c r="C71746"/>
      <c r="E71746"/>
      <c r="F71746"/>
    </row>
    <row r="71747" spans="1:6" x14ac:dyDescent="0.25">
      <c r="A71747"/>
      <c r="B71747"/>
      <c r="C71747"/>
      <c r="E71747"/>
      <c r="F71747"/>
    </row>
    <row r="71748" spans="1:6" x14ac:dyDescent="0.25">
      <c r="A71748"/>
      <c r="B71748"/>
      <c r="C71748"/>
      <c r="E71748"/>
      <c r="F71748"/>
    </row>
    <row r="71749" spans="1:6" x14ac:dyDescent="0.25">
      <c r="A71749"/>
      <c r="B71749"/>
      <c r="C71749"/>
      <c r="E71749"/>
      <c r="F71749"/>
    </row>
    <row r="71750" spans="1:6" x14ac:dyDescent="0.25">
      <c r="A71750"/>
      <c r="B71750"/>
      <c r="C71750"/>
      <c r="E71750"/>
      <c r="F71750"/>
    </row>
    <row r="71751" spans="1:6" x14ac:dyDescent="0.25">
      <c r="A71751"/>
      <c r="B71751"/>
      <c r="C71751"/>
      <c r="E71751"/>
      <c r="F71751"/>
    </row>
    <row r="71752" spans="1:6" x14ac:dyDescent="0.25">
      <c r="A71752"/>
      <c r="B71752"/>
      <c r="C71752"/>
      <c r="E71752"/>
      <c r="F71752"/>
    </row>
    <row r="71753" spans="1:6" x14ac:dyDescent="0.25">
      <c r="A71753"/>
      <c r="B71753"/>
      <c r="C71753"/>
      <c r="E71753"/>
      <c r="F71753"/>
    </row>
    <row r="71754" spans="1:6" x14ac:dyDescent="0.25">
      <c r="A71754"/>
      <c r="B71754"/>
      <c r="C71754"/>
      <c r="E71754"/>
      <c r="F71754"/>
    </row>
    <row r="71755" spans="1:6" x14ac:dyDescent="0.25">
      <c r="A71755"/>
      <c r="B71755"/>
      <c r="C71755"/>
      <c r="E71755"/>
      <c r="F71755"/>
    </row>
    <row r="71756" spans="1:6" x14ac:dyDescent="0.25">
      <c r="A71756"/>
      <c r="B71756"/>
      <c r="C71756"/>
      <c r="E71756"/>
      <c r="F71756"/>
    </row>
    <row r="71757" spans="1:6" x14ac:dyDescent="0.25">
      <c r="A71757"/>
      <c r="B71757"/>
      <c r="C71757"/>
      <c r="E71757"/>
      <c r="F71757"/>
    </row>
    <row r="71758" spans="1:6" x14ac:dyDescent="0.25">
      <c r="A71758"/>
      <c r="B71758"/>
      <c r="C71758"/>
      <c r="E71758"/>
      <c r="F71758"/>
    </row>
    <row r="71759" spans="1:6" x14ac:dyDescent="0.25">
      <c r="A71759"/>
      <c r="B71759"/>
      <c r="C71759"/>
      <c r="E71759"/>
      <c r="F71759"/>
    </row>
    <row r="71760" spans="1:6" x14ac:dyDescent="0.25">
      <c r="A71760"/>
      <c r="B71760"/>
      <c r="C71760"/>
      <c r="E71760"/>
      <c r="F71760"/>
    </row>
    <row r="71761" spans="1:6" x14ac:dyDescent="0.25">
      <c r="A71761"/>
      <c r="B71761"/>
      <c r="C71761"/>
      <c r="E71761"/>
      <c r="F71761"/>
    </row>
    <row r="71762" spans="1:6" x14ac:dyDescent="0.25">
      <c r="A71762"/>
      <c r="B71762"/>
      <c r="C71762"/>
      <c r="E71762"/>
      <c r="F71762"/>
    </row>
    <row r="71763" spans="1:6" x14ac:dyDescent="0.25">
      <c r="A71763"/>
      <c r="B71763"/>
      <c r="C71763"/>
      <c r="E71763"/>
      <c r="F71763"/>
    </row>
    <row r="71764" spans="1:6" x14ac:dyDescent="0.25">
      <c r="A71764"/>
      <c r="B71764"/>
      <c r="C71764"/>
      <c r="E71764"/>
      <c r="F71764"/>
    </row>
    <row r="71765" spans="1:6" x14ac:dyDescent="0.25">
      <c r="A71765"/>
      <c r="B71765"/>
      <c r="C71765"/>
      <c r="E71765"/>
      <c r="F71765"/>
    </row>
    <row r="71766" spans="1:6" x14ac:dyDescent="0.25">
      <c r="A71766"/>
      <c r="B71766"/>
      <c r="C71766"/>
      <c r="E71766"/>
      <c r="F71766"/>
    </row>
    <row r="71767" spans="1:6" x14ac:dyDescent="0.25">
      <c r="A71767"/>
      <c r="B71767"/>
      <c r="C71767"/>
      <c r="E71767"/>
      <c r="F71767"/>
    </row>
    <row r="71768" spans="1:6" x14ac:dyDescent="0.25">
      <c r="A71768"/>
      <c r="B71768"/>
      <c r="C71768"/>
      <c r="E71768"/>
      <c r="F71768"/>
    </row>
    <row r="71769" spans="1:6" x14ac:dyDescent="0.25">
      <c r="A71769"/>
      <c r="B71769"/>
      <c r="C71769"/>
      <c r="E71769"/>
      <c r="F71769"/>
    </row>
    <row r="71770" spans="1:6" x14ac:dyDescent="0.25">
      <c r="A71770"/>
      <c r="B71770"/>
      <c r="C71770"/>
      <c r="E71770"/>
      <c r="F71770"/>
    </row>
    <row r="71771" spans="1:6" x14ac:dyDescent="0.25">
      <c r="A71771"/>
      <c r="B71771"/>
      <c r="C71771"/>
      <c r="E71771"/>
      <c r="F71771"/>
    </row>
    <row r="71772" spans="1:6" x14ac:dyDescent="0.25">
      <c r="A71772"/>
      <c r="B71772"/>
      <c r="C71772"/>
      <c r="E71772"/>
      <c r="F71772"/>
    </row>
    <row r="71773" spans="1:6" x14ac:dyDescent="0.25">
      <c r="A71773"/>
      <c r="B71773"/>
      <c r="C71773"/>
      <c r="E71773"/>
      <c r="F71773"/>
    </row>
    <row r="71774" spans="1:6" x14ac:dyDescent="0.25">
      <c r="A71774"/>
      <c r="B71774"/>
      <c r="C71774"/>
      <c r="E71774"/>
      <c r="F71774"/>
    </row>
    <row r="71775" spans="1:6" x14ac:dyDescent="0.25">
      <c r="A71775"/>
      <c r="B71775"/>
      <c r="C71775"/>
      <c r="E71775"/>
      <c r="F71775"/>
    </row>
    <row r="71776" spans="1:6" x14ac:dyDescent="0.25">
      <c r="A71776"/>
      <c r="B71776"/>
      <c r="C71776"/>
      <c r="E71776"/>
      <c r="F71776"/>
    </row>
    <row r="71777" spans="1:6" x14ac:dyDescent="0.25">
      <c r="A71777"/>
      <c r="B71777"/>
      <c r="C71777"/>
      <c r="E71777"/>
      <c r="F71777"/>
    </row>
    <row r="71778" spans="1:6" x14ac:dyDescent="0.25">
      <c r="A71778"/>
      <c r="B71778"/>
      <c r="C71778"/>
      <c r="E71778"/>
      <c r="F71778"/>
    </row>
    <row r="71779" spans="1:6" x14ac:dyDescent="0.25">
      <c r="A71779"/>
      <c r="B71779"/>
      <c r="C71779"/>
      <c r="E71779"/>
      <c r="F71779"/>
    </row>
    <row r="71780" spans="1:6" x14ac:dyDescent="0.25">
      <c r="A71780"/>
      <c r="B71780"/>
      <c r="C71780"/>
      <c r="E71780"/>
      <c r="F71780"/>
    </row>
    <row r="71781" spans="1:6" x14ac:dyDescent="0.25">
      <c r="A71781"/>
      <c r="B71781"/>
      <c r="C71781"/>
      <c r="E71781"/>
      <c r="F71781"/>
    </row>
    <row r="71782" spans="1:6" x14ac:dyDescent="0.25">
      <c r="A71782"/>
      <c r="B71782"/>
      <c r="C71782"/>
      <c r="E71782"/>
      <c r="F71782"/>
    </row>
    <row r="71783" spans="1:6" x14ac:dyDescent="0.25">
      <c r="A71783"/>
      <c r="B71783"/>
      <c r="C71783"/>
      <c r="E71783"/>
      <c r="F71783"/>
    </row>
    <row r="71784" spans="1:6" x14ac:dyDescent="0.25">
      <c r="A71784"/>
      <c r="B71784"/>
      <c r="C71784"/>
      <c r="E71784"/>
      <c r="F71784"/>
    </row>
    <row r="71785" spans="1:6" x14ac:dyDescent="0.25">
      <c r="A71785"/>
      <c r="B71785"/>
      <c r="C71785"/>
      <c r="E71785"/>
      <c r="F71785"/>
    </row>
    <row r="71786" spans="1:6" x14ac:dyDescent="0.25">
      <c r="A71786"/>
      <c r="B71786"/>
      <c r="C71786"/>
      <c r="E71786"/>
      <c r="F71786"/>
    </row>
    <row r="71787" spans="1:6" x14ac:dyDescent="0.25">
      <c r="A71787"/>
      <c r="B71787"/>
      <c r="C71787"/>
      <c r="E71787"/>
      <c r="F71787"/>
    </row>
    <row r="71788" spans="1:6" x14ac:dyDescent="0.25">
      <c r="A71788"/>
      <c r="B71788"/>
      <c r="C71788"/>
      <c r="E71788"/>
      <c r="F71788"/>
    </row>
    <row r="71789" spans="1:6" x14ac:dyDescent="0.25">
      <c r="A71789"/>
      <c r="B71789"/>
      <c r="C71789"/>
      <c r="E71789"/>
      <c r="F71789"/>
    </row>
    <row r="71790" spans="1:6" x14ac:dyDescent="0.25">
      <c r="A71790"/>
      <c r="B71790"/>
      <c r="C71790"/>
      <c r="E71790"/>
      <c r="F71790"/>
    </row>
    <row r="71791" spans="1:6" x14ac:dyDescent="0.25">
      <c r="A71791"/>
      <c r="B71791"/>
      <c r="C71791"/>
      <c r="E71791"/>
      <c r="F71791"/>
    </row>
    <row r="71792" spans="1:6" x14ac:dyDescent="0.25">
      <c r="A71792"/>
      <c r="B71792"/>
      <c r="C71792"/>
      <c r="E71792"/>
      <c r="F71792"/>
    </row>
    <row r="71793" spans="1:6" x14ac:dyDescent="0.25">
      <c r="A71793"/>
      <c r="B71793"/>
      <c r="C71793"/>
      <c r="E71793"/>
      <c r="F71793"/>
    </row>
    <row r="71794" spans="1:6" x14ac:dyDescent="0.25">
      <c r="A71794"/>
      <c r="B71794"/>
      <c r="C71794"/>
      <c r="E71794"/>
      <c r="F71794"/>
    </row>
    <row r="71795" spans="1:6" x14ac:dyDescent="0.25">
      <c r="A71795"/>
      <c r="B71795"/>
      <c r="C71795"/>
      <c r="E71795"/>
      <c r="F71795"/>
    </row>
    <row r="71796" spans="1:6" x14ac:dyDescent="0.25">
      <c r="A71796"/>
      <c r="B71796"/>
      <c r="C71796"/>
      <c r="E71796"/>
      <c r="F71796"/>
    </row>
    <row r="71797" spans="1:6" x14ac:dyDescent="0.25">
      <c r="A71797"/>
      <c r="B71797"/>
      <c r="C71797"/>
      <c r="E71797"/>
      <c r="F71797"/>
    </row>
    <row r="71798" spans="1:6" x14ac:dyDescent="0.25">
      <c r="A71798"/>
      <c r="B71798"/>
      <c r="C71798"/>
      <c r="E71798"/>
      <c r="F71798"/>
    </row>
    <row r="71799" spans="1:6" x14ac:dyDescent="0.25">
      <c r="A71799"/>
      <c r="B71799"/>
      <c r="C71799"/>
      <c r="E71799"/>
      <c r="F71799"/>
    </row>
    <row r="71800" spans="1:6" x14ac:dyDescent="0.25">
      <c r="A71800"/>
      <c r="B71800"/>
      <c r="C71800"/>
      <c r="E71800"/>
      <c r="F71800"/>
    </row>
    <row r="71801" spans="1:6" x14ac:dyDescent="0.25">
      <c r="A71801"/>
      <c r="B71801"/>
      <c r="C71801"/>
      <c r="E71801"/>
      <c r="F71801"/>
    </row>
    <row r="71802" spans="1:6" x14ac:dyDescent="0.25">
      <c r="A71802"/>
      <c r="B71802"/>
      <c r="C71802"/>
      <c r="E71802"/>
      <c r="F71802"/>
    </row>
    <row r="71803" spans="1:6" x14ac:dyDescent="0.25">
      <c r="A71803"/>
      <c r="B71803"/>
      <c r="C71803"/>
      <c r="E71803"/>
      <c r="F71803"/>
    </row>
    <row r="71804" spans="1:6" x14ac:dyDescent="0.25">
      <c r="A71804"/>
      <c r="B71804"/>
      <c r="C71804"/>
      <c r="E71804"/>
      <c r="F71804"/>
    </row>
    <row r="71805" spans="1:6" x14ac:dyDescent="0.25">
      <c r="A71805"/>
      <c r="B71805"/>
      <c r="C71805"/>
      <c r="E71805"/>
      <c r="F71805"/>
    </row>
    <row r="71806" spans="1:6" x14ac:dyDescent="0.25">
      <c r="A71806"/>
      <c r="B71806"/>
      <c r="C71806"/>
      <c r="E71806"/>
      <c r="F71806"/>
    </row>
    <row r="71807" spans="1:6" x14ac:dyDescent="0.25">
      <c r="A71807"/>
      <c r="B71807"/>
      <c r="C71807"/>
      <c r="E71807"/>
      <c r="F71807"/>
    </row>
    <row r="71808" spans="1:6" x14ac:dyDescent="0.25">
      <c r="A71808"/>
      <c r="B71808"/>
      <c r="C71808"/>
      <c r="E71808"/>
      <c r="F71808"/>
    </row>
    <row r="71809" spans="1:6" x14ac:dyDescent="0.25">
      <c r="A71809"/>
      <c r="B71809"/>
      <c r="C71809"/>
      <c r="E71809"/>
      <c r="F71809"/>
    </row>
    <row r="71810" spans="1:6" x14ac:dyDescent="0.25">
      <c r="A71810"/>
      <c r="B71810"/>
      <c r="C71810"/>
      <c r="E71810"/>
      <c r="F71810"/>
    </row>
    <row r="71811" spans="1:6" x14ac:dyDescent="0.25">
      <c r="A71811"/>
      <c r="B71811"/>
      <c r="C71811"/>
      <c r="E71811"/>
      <c r="F71811"/>
    </row>
    <row r="71812" spans="1:6" x14ac:dyDescent="0.25">
      <c r="A71812"/>
      <c r="B71812"/>
      <c r="C71812"/>
      <c r="E71812"/>
      <c r="F71812"/>
    </row>
    <row r="71813" spans="1:6" x14ac:dyDescent="0.25">
      <c r="A71813"/>
      <c r="B71813"/>
      <c r="C71813"/>
      <c r="E71813"/>
      <c r="F71813"/>
    </row>
    <row r="71814" spans="1:6" x14ac:dyDescent="0.25">
      <c r="A71814"/>
      <c r="B71814"/>
      <c r="C71814"/>
      <c r="E71814"/>
      <c r="F71814"/>
    </row>
    <row r="71815" spans="1:6" x14ac:dyDescent="0.25">
      <c r="A71815"/>
      <c r="B71815"/>
      <c r="C71815"/>
      <c r="E71815"/>
      <c r="F71815"/>
    </row>
    <row r="71816" spans="1:6" x14ac:dyDescent="0.25">
      <c r="A71816"/>
      <c r="B71816"/>
      <c r="C71816"/>
      <c r="E71816"/>
      <c r="F71816"/>
    </row>
    <row r="71817" spans="1:6" x14ac:dyDescent="0.25">
      <c r="A71817"/>
      <c r="B71817"/>
      <c r="C71817"/>
      <c r="E71817"/>
      <c r="F71817"/>
    </row>
    <row r="71818" spans="1:6" x14ac:dyDescent="0.25">
      <c r="A71818"/>
      <c r="B71818"/>
      <c r="C71818"/>
      <c r="E71818"/>
      <c r="F71818"/>
    </row>
    <row r="71819" spans="1:6" x14ac:dyDescent="0.25">
      <c r="A71819"/>
      <c r="B71819"/>
      <c r="C71819"/>
      <c r="E71819"/>
      <c r="F71819"/>
    </row>
    <row r="71820" spans="1:6" x14ac:dyDescent="0.25">
      <c r="A71820"/>
      <c r="B71820"/>
      <c r="C71820"/>
      <c r="E71820"/>
      <c r="F71820"/>
    </row>
    <row r="71821" spans="1:6" x14ac:dyDescent="0.25">
      <c r="A71821"/>
      <c r="B71821"/>
      <c r="C71821"/>
      <c r="E71821"/>
      <c r="F71821"/>
    </row>
    <row r="71822" spans="1:6" x14ac:dyDescent="0.25">
      <c r="A71822"/>
      <c r="B71822"/>
      <c r="C71822"/>
      <c r="E71822"/>
      <c r="F71822"/>
    </row>
    <row r="71823" spans="1:6" x14ac:dyDescent="0.25">
      <c r="A71823"/>
      <c r="B71823"/>
      <c r="C71823"/>
      <c r="E71823"/>
      <c r="F71823"/>
    </row>
    <row r="71824" spans="1:6" x14ac:dyDescent="0.25">
      <c r="A71824"/>
      <c r="B71824"/>
      <c r="C71824"/>
      <c r="E71824"/>
      <c r="F71824"/>
    </row>
    <row r="71825" spans="1:6" x14ac:dyDescent="0.25">
      <c r="A71825"/>
      <c r="B71825"/>
      <c r="C71825"/>
      <c r="E71825"/>
      <c r="F71825"/>
    </row>
    <row r="71826" spans="1:6" x14ac:dyDescent="0.25">
      <c r="A71826"/>
      <c r="B71826"/>
      <c r="C71826"/>
      <c r="E71826"/>
      <c r="F71826"/>
    </row>
    <row r="71827" spans="1:6" x14ac:dyDescent="0.25">
      <c r="A71827"/>
      <c r="B71827"/>
      <c r="C71827"/>
      <c r="E71827"/>
      <c r="F71827"/>
    </row>
    <row r="71828" spans="1:6" x14ac:dyDescent="0.25">
      <c r="A71828"/>
      <c r="B71828"/>
      <c r="C71828"/>
      <c r="E71828"/>
      <c r="F71828"/>
    </row>
    <row r="71829" spans="1:6" x14ac:dyDescent="0.25">
      <c r="A71829"/>
      <c r="B71829"/>
      <c r="C71829"/>
      <c r="E71829"/>
      <c r="F71829"/>
    </row>
    <row r="71830" spans="1:6" x14ac:dyDescent="0.25">
      <c r="A71830"/>
      <c r="B71830"/>
      <c r="C71830"/>
      <c r="E71830"/>
      <c r="F71830"/>
    </row>
    <row r="71831" spans="1:6" x14ac:dyDescent="0.25">
      <c r="A71831"/>
      <c r="B71831"/>
      <c r="C71831"/>
      <c r="E71831"/>
      <c r="F71831"/>
    </row>
    <row r="71832" spans="1:6" x14ac:dyDescent="0.25">
      <c r="A71832"/>
      <c r="B71832"/>
      <c r="C71832"/>
      <c r="E71832"/>
      <c r="F71832"/>
    </row>
    <row r="71833" spans="1:6" x14ac:dyDescent="0.25">
      <c r="A71833"/>
      <c r="B71833"/>
      <c r="C71833"/>
      <c r="E71833"/>
      <c r="F71833"/>
    </row>
    <row r="71834" spans="1:6" x14ac:dyDescent="0.25">
      <c r="A71834"/>
      <c r="B71834"/>
      <c r="C71834"/>
      <c r="E71834"/>
      <c r="F71834"/>
    </row>
    <row r="71835" spans="1:6" x14ac:dyDescent="0.25">
      <c r="A71835"/>
      <c r="B71835"/>
      <c r="C71835"/>
      <c r="E71835"/>
      <c r="F71835"/>
    </row>
    <row r="71836" spans="1:6" x14ac:dyDescent="0.25">
      <c r="A71836"/>
      <c r="B71836"/>
      <c r="C71836"/>
      <c r="E71836"/>
      <c r="F71836"/>
    </row>
    <row r="71837" spans="1:6" x14ac:dyDescent="0.25">
      <c r="A71837"/>
      <c r="B71837"/>
      <c r="C71837"/>
      <c r="E71837"/>
      <c r="F71837"/>
    </row>
    <row r="71838" spans="1:6" x14ac:dyDescent="0.25">
      <c r="A71838"/>
      <c r="B71838"/>
      <c r="C71838"/>
      <c r="E71838"/>
      <c r="F71838"/>
    </row>
    <row r="71839" spans="1:6" x14ac:dyDescent="0.25">
      <c r="A71839"/>
      <c r="B71839"/>
      <c r="C71839"/>
      <c r="E71839"/>
      <c r="F71839"/>
    </row>
    <row r="71840" spans="1:6" x14ac:dyDescent="0.25">
      <c r="A71840"/>
      <c r="B71840"/>
      <c r="C71840"/>
      <c r="E71840"/>
      <c r="F71840"/>
    </row>
    <row r="71841" spans="1:6" x14ac:dyDescent="0.25">
      <c r="A71841"/>
      <c r="B71841"/>
      <c r="C71841"/>
      <c r="E71841"/>
      <c r="F71841"/>
    </row>
    <row r="71842" spans="1:6" x14ac:dyDescent="0.25">
      <c r="A71842"/>
      <c r="B71842"/>
      <c r="C71842"/>
      <c r="E71842"/>
      <c r="F71842"/>
    </row>
    <row r="71843" spans="1:6" x14ac:dyDescent="0.25">
      <c r="A71843"/>
      <c r="B71843"/>
      <c r="C71843"/>
      <c r="E71843"/>
      <c r="F71843"/>
    </row>
    <row r="71844" spans="1:6" x14ac:dyDescent="0.25">
      <c r="A71844"/>
      <c r="B71844"/>
      <c r="C71844"/>
      <c r="E71844"/>
      <c r="F71844"/>
    </row>
    <row r="71845" spans="1:6" x14ac:dyDescent="0.25">
      <c r="A71845"/>
      <c r="B71845"/>
      <c r="C71845"/>
      <c r="E71845"/>
      <c r="F71845"/>
    </row>
    <row r="71846" spans="1:6" x14ac:dyDescent="0.25">
      <c r="A71846"/>
      <c r="B71846"/>
      <c r="C71846"/>
      <c r="E71846"/>
      <c r="F71846"/>
    </row>
    <row r="71847" spans="1:6" x14ac:dyDescent="0.25">
      <c r="A71847"/>
      <c r="B71847"/>
      <c r="C71847"/>
      <c r="E71847"/>
      <c r="F71847"/>
    </row>
    <row r="71848" spans="1:6" x14ac:dyDescent="0.25">
      <c r="A71848"/>
      <c r="B71848"/>
      <c r="C71848"/>
      <c r="E71848"/>
      <c r="F71848"/>
    </row>
    <row r="71849" spans="1:6" x14ac:dyDescent="0.25">
      <c r="A71849"/>
      <c r="B71849"/>
      <c r="C71849"/>
      <c r="E71849"/>
      <c r="F71849"/>
    </row>
    <row r="71850" spans="1:6" x14ac:dyDescent="0.25">
      <c r="A71850"/>
      <c r="B71850"/>
      <c r="C71850"/>
      <c r="E71850"/>
      <c r="F71850"/>
    </row>
    <row r="71851" spans="1:6" x14ac:dyDescent="0.25">
      <c r="A71851"/>
      <c r="B71851"/>
      <c r="C71851"/>
      <c r="E71851"/>
      <c r="F71851"/>
    </row>
    <row r="71852" spans="1:6" x14ac:dyDescent="0.25">
      <c r="A71852"/>
      <c r="B71852"/>
      <c r="C71852"/>
      <c r="E71852"/>
      <c r="F71852"/>
    </row>
    <row r="71853" spans="1:6" x14ac:dyDescent="0.25">
      <c r="A71853"/>
      <c r="B71853"/>
      <c r="C71853"/>
      <c r="E71853"/>
      <c r="F71853"/>
    </row>
    <row r="71854" spans="1:6" x14ac:dyDescent="0.25">
      <c r="A71854"/>
      <c r="B71854"/>
      <c r="C71854"/>
      <c r="E71854"/>
      <c r="F71854"/>
    </row>
    <row r="71855" spans="1:6" x14ac:dyDescent="0.25">
      <c r="A71855"/>
      <c r="B71855"/>
      <c r="C71855"/>
      <c r="E71855"/>
      <c r="F71855"/>
    </row>
    <row r="71856" spans="1:6" x14ac:dyDescent="0.25">
      <c r="A71856"/>
      <c r="B71856"/>
      <c r="C71856"/>
      <c r="E71856"/>
      <c r="F71856"/>
    </row>
    <row r="71857" spans="1:6" x14ac:dyDescent="0.25">
      <c r="A71857"/>
      <c r="B71857"/>
      <c r="C71857"/>
      <c r="E71857"/>
      <c r="F71857"/>
    </row>
    <row r="71858" spans="1:6" x14ac:dyDescent="0.25">
      <c r="A71858"/>
      <c r="B71858"/>
      <c r="C71858"/>
      <c r="E71858"/>
      <c r="F71858"/>
    </row>
    <row r="71859" spans="1:6" x14ac:dyDescent="0.25">
      <c r="A71859"/>
      <c r="B71859"/>
      <c r="C71859"/>
      <c r="E71859"/>
      <c r="F71859"/>
    </row>
    <row r="71860" spans="1:6" x14ac:dyDescent="0.25">
      <c r="A71860"/>
      <c r="B71860"/>
      <c r="C71860"/>
      <c r="E71860"/>
      <c r="F71860"/>
    </row>
    <row r="71861" spans="1:6" x14ac:dyDescent="0.25">
      <c r="A71861"/>
      <c r="B71861"/>
      <c r="C71861"/>
      <c r="E71861"/>
      <c r="F71861"/>
    </row>
    <row r="71862" spans="1:6" x14ac:dyDescent="0.25">
      <c r="A71862"/>
      <c r="B71862"/>
      <c r="C71862"/>
      <c r="E71862"/>
      <c r="F71862"/>
    </row>
    <row r="71863" spans="1:6" x14ac:dyDescent="0.25">
      <c r="A71863"/>
      <c r="B71863"/>
      <c r="C71863"/>
      <c r="E71863"/>
      <c r="F71863"/>
    </row>
    <row r="71864" spans="1:6" x14ac:dyDescent="0.25">
      <c r="A71864"/>
      <c r="B71864"/>
      <c r="C71864"/>
      <c r="E71864"/>
      <c r="F71864"/>
    </row>
    <row r="71865" spans="1:6" x14ac:dyDescent="0.25">
      <c r="A71865"/>
      <c r="B71865"/>
      <c r="C71865"/>
      <c r="E71865"/>
      <c r="F71865"/>
    </row>
    <row r="71866" spans="1:6" x14ac:dyDescent="0.25">
      <c r="A71866"/>
      <c r="B71866"/>
      <c r="C71866"/>
      <c r="E71866"/>
      <c r="F71866"/>
    </row>
    <row r="71867" spans="1:6" x14ac:dyDescent="0.25">
      <c r="A71867"/>
      <c r="B71867"/>
      <c r="C71867"/>
      <c r="E71867"/>
      <c r="F71867"/>
    </row>
    <row r="71868" spans="1:6" x14ac:dyDescent="0.25">
      <c r="A71868"/>
      <c r="B71868"/>
      <c r="C71868"/>
      <c r="E71868"/>
      <c r="F71868"/>
    </row>
    <row r="71869" spans="1:6" x14ac:dyDescent="0.25">
      <c r="A71869"/>
      <c r="B71869"/>
      <c r="C71869"/>
      <c r="E71869"/>
      <c r="F71869"/>
    </row>
    <row r="71870" spans="1:6" x14ac:dyDescent="0.25">
      <c r="A71870"/>
      <c r="B71870"/>
      <c r="C71870"/>
      <c r="E71870"/>
      <c r="F71870"/>
    </row>
    <row r="71871" spans="1:6" x14ac:dyDescent="0.25">
      <c r="A71871"/>
      <c r="B71871"/>
      <c r="C71871"/>
      <c r="E71871"/>
      <c r="F71871"/>
    </row>
    <row r="71872" spans="1:6" x14ac:dyDescent="0.25">
      <c r="A71872"/>
      <c r="B71872"/>
      <c r="C71872"/>
      <c r="E71872"/>
      <c r="F71872"/>
    </row>
    <row r="71873" spans="1:6" x14ac:dyDescent="0.25">
      <c r="A71873"/>
      <c r="B71873"/>
      <c r="C71873"/>
      <c r="E71873"/>
      <c r="F71873"/>
    </row>
    <row r="71874" spans="1:6" x14ac:dyDescent="0.25">
      <c r="A71874"/>
      <c r="B71874"/>
      <c r="C71874"/>
      <c r="E71874"/>
      <c r="F71874"/>
    </row>
    <row r="71875" spans="1:6" x14ac:dyDescent="0.25">
      <c r="A71875"/>
      <c r="B71875"/>
      <c r="C71875"/>
      <c r="E71875"/>
      <c r="F71875"/>
    </row>
    <row r="71876" spans="1:6" x14ac:dyDescent="0.25">
      <c r="A71876"/>
      <c r="B71876"/>
      <c r="C71876"/>
      <c r="E71876"/>
      <c r="F71876"/>
    </row>
    <row r="71877" spans="1:6" x14ac:dyDescent="0.25">
      <c r="A71877"/>
      <c r="B71877"/>
      <c r="C71877"/>
      <c r="E71877"/>
      <c r="F71877"/>
    </row>
    <row r="71878" spans="1:6" x14ac:dyDescent="0.25">
      <c r="A71878"/>
      <c r="B71878"/>
      <c r="C71878"/>
      <c r="E71878"/>
      <c r="F71878"/>
    </row>
    <row r="71879" spans="1:6" x14ac:dyDescent="0.25">
      <c r="A71879"/>
      <c r="B71879"/>
      <c r="C71879"/>
      <c r="E71879"/>
      <c r="F71879"/>
    </row>
    <row r="71880" spans="1:6" x14ac:dyDescent="0.25">
      <c r="A71880"/>
      <c r="B71880"/>
      <c r="C71880"/>
      <c r="E71880"/>
      <c r="F71880"/>
    </row>
    <row r="71881" spans="1:6" x14ac:dyDescent="0.25">
      <c r="A71881"/>
      <c r="B71881"/>
      <c r="C71881"/>
      <c r="E71881"/>
      <c r="F71881"/>
    </row>
    <row r="71882" spans="1:6" x14ac:dyDescent="0.25">
      <c r="A71882"/>
      <c r="B71882"/>
      <c r="C71882"/>
      <c r="E71882"/>
      <c r="F71882"/>
    </row>
    <row r="71883" spans="1:6" x14ac:dyDescent="0.25">
      <c r="A71883"/>
      <c r="B71883"/>
      <c r="C71883"/>
      <c r="E71883"/>
      <c r="F71883"/>
    </row>
    <row r="71884" spans="1:6" x14ac:dyDescent="0.25">
      <c r="A71884"/>
      <c r="B71884"/>
      <c r="C71884"/>
      <c r="E71884"/>
      <c r="F71884"/>
    </row>
    <row r="71885" spans="1:6" x14ac:dyDescent="0.25">
      <c r="A71885"/>
      <c r="B71885"/>
      <c r="C71885"/>
      <c r="E71885"/>
      <c r="F71885"/>
    </row>
    <row r="71886" spans="1:6" x14ac:dyDescent="0.25">
      <c r="A71886"/>
      <c r="B71886"/>
      <c r="C71886"/>
      <c r="E71886"/>
      <c r="F71886"/>
    </row>
    <row r="71887" spans="1:6" x14ac:dyDescent="0.25">
      <c r="A71887"/>
      <c r="B71887"/>
      <c r="C71887"/>
      <c r="E71887"/>
      <c r="F71887"/>
    </row>
    <row r="71888" spans="1:6" x14ac:dyDescent="0.25">
      <c r="A71888"/>
      <c r="B71888"/>
      <c r="C71888"/>
      <c r="E71888"/>
      <c r="F71888"/>
    </row>
    <row r="71889" spans="1:6" x14ac:dyDescent="0.25">
      <c r="A71889"/>
      <c r="B71889"/>
      <c r="C71889"/>
      <c r="E71889"/>
      <c r="F71889"/>
    </row>
    <row r="71890" spans="1:6" x14ac:dyDescent="0.25">
      <c r="A71890"/>
      <c r="B71890"/>
      <c r="C71890"/>
      <c r="E71890"/>
      <c r="F71890"/>
    </row>
    <row r="71891" spans="1:6" x14ac:dyDescent="0.25">
      <c r="A71891"/>
      <c r="B71891"/>
      <c r="C71891"/>
      <c r="E71891"/>
      <c r="F71891"/>
    </row>
    <row r="71892" spans="1:6" x14ac:dyDescent="0.25">
      <c r="A71892"/>
      <c r="B71892"/>
      <c r="C71892"/>
      <c r="E71892"/>
      <c r="F71892"/>
    </row>
    <row r="71893" spans="1:6" x14ac:dyDescent="0.25">
      <c r="A71893"/>
      <c r="B71893"/>
      <c r="C71893"/>
      <c r="E71893"/>
      <c r="F71893"/>
    </row>
    <row r="71894" spans="1:6" x14ac:dyDescent="0.25">
      <c r="A71894"/>
      <c r="B71894"/>
      <c r="C71894"/>
      <c r="E71894"/>
      <c r="F71894"/>
    </row>
    <row r="71895" spans="1:6" x14ac:dyDescent="0.25">
      <c r="A71895"/>
      <c r="B71895"/>
      <c r="C71895"/>
      <c r="E71895"/>
      <c r="F71895"/>
    </row>
    <row r="71896" spans="1:6" x14ac:dyDescent="0.25">
      <c r="A71896"/>
      <c r="B71896"/>
      <c r="C71896"/>
      <c r="E71896"/>
      <c r="F71896"/>
    </row>
    <row r="71897" spans="1:6" x14ac:dyDescent="0.25">
      <c r="A71897"/>
      <c r="B71897"/>
      <c r="C71897"/>
      <c r="E71897"/>
      <c r="F71897"/>
    </row>
    <row r="71898" spans="1:6" x14ac:dyDescent="0.25">
      <c r="A71898"/>
      <c r="B71898"/>
      <c r="C71898"/>
      <c r="E71898"/>
      <c r="F71898"/>
    </row>
    <row r="71899" spans="1:6" x14ac:dyDescent="0.25">
      <c r="A71899"/>
      <c r="B71899"/>
      <c r="C71899"/>
      <c r="E71899"/>
      <c r="F71899"/>
    </row>
    <row r="71900" spans="1:6" x14ac:dyDescent="0.25">
      <c r="A71900"/>
      <c r="B71900"/>
      <c r="C71900"/>
      <c r="E71900"/>
      <c r="F71900"/>
    </row>
    <row r="71901" spans="1:6" x14ac:dyDescent="0.25">
      <c r="A71901"/>
      <c r="B71901"/>
      <c r="C71901"/>
      <c r="E71901"/>
      <c r="F71901"/>
    </row>
    <row r="71902" spans="1:6" x14ac:dyDescent="0.25">
      <c r="A71902"/>
      <c r="B71902"/>
      <c r="C71902"/>
      <c r="E71902"/>
      <c r="F71902"/>
    </row>
    <row r="71903" spans="1:6" x14ac:dyDescent="0.25">
      <c r="A71903"/>
      <c r="B71903"/>
      <c r="C71903"/>
      <c r="E71903"/>
      <c r="F71903"/>
    </row>
    <row r="71904" spans="1:6" x14ac:dyDescent="0.25">
      <c r="A71904"/>
      <c r="B71904"/>
      <c r="C71904"/>
      <c r="E71904"/>
      <c r="F71904"/>
    </row>
    <row r="71905" spans="1:6" x14ac:dyDescent="0.25">
      <c r="A71905"/>
      <c r="B71905"/>
      <c r="C71905"/>
      <c r="E71905"/>
      <c r="F71905"/>
    </row>
    <row r="71906" spans="1:6" x14ac:dyDescent="0.25">
      <c r="A71906"/>
      <c r="B71906"/>
      <c r="C71906"/>
      <c r="E71906"/>
      <c r="F71906"/>
    </row>
    <row r="71907" spans="1:6" x14ac:dyDescent="0.25">
      <c r="A71907"/>
      <c r="B71907"/>
      <c r="C71907"/>
      <c r="E71907"/>
      <c r="F71907"/>
    </row>
    <row r="71908" spans="1:6" x14ac:dyDescent="0.25">
      <c r="A71908"/>
      <c r="B71908"/>
      <c r="C71908"/>
      <c r="E71908"/>
      <c r="F71908"/>
    </row>
    <row r="71909" spans="1:6" x14ac:dyDescent="0.25">
      <c r="A71909"/>
      <c r="B71909"/>
      <c r="C71909"/>
      <c r="E71909"/>
      <c r="F71909"/>
    </row>
    <row r="71910" spans="1:6" x14ac:dyDescent="0.25">
      <c r="A71910"/>
      <c r="B71910"/>
      <c r="C71910"/>
      <c r="E71910"/>
      <c r="F71910"/>
    </row>
    <row r="71911" spans="1:6" x14ac:dyDescent="0.25">
      <c r="A71911"/>
      <c r="B71911"/>
      <c r="C71911"/>
      <c r="E71911"/>
      <c r="F71911"/>
    </row>
    <row r="71912" spans="1:6" x14ac:dyDescent="0.25">
      <c r="A71912"/>
      <c r="B71912"/>
      <c r="C71912"/>
      <c r="E71912"/>
      <c r="F71912"/>
    </row>
    <row r="71913" spans="1:6" x14ac:dyDescent="0.25">
      <c r="A71913"/>
      <c r="B71913"/>
      <c r="C71913"/>
      <c r="E71913"/>
      <c r="F71913"/>
    </row>
    <row r="71914" spans="1:6" x14ac:dyDescent="0.25">
      <c r="A71914"/>
      <c r="B71914"/>
      <c r="C71914"/>
      <c r="E71914"/>
      <c r="F71914"/>
    </row>
    <row r="71915" spans="1:6" x14ac:dyDescent="0.25">
      <c r="A71915"/>
      <c r="B71915"/>
      <c r="C71915"/>
      <c r="E71915"/>
      <c r="F71915"/>
    </row>
    <row r="71916" spans="1:6" x14ac:dyDescent="0.25">
      <c r="A71916"/>
      <c r="B71916"/>
      <c r="C71916"/>
      <c r="E71916"/>
      <c r="F71916"/>
    </row>
    <row r="71917" spans="1:6" x14ac:dyDescent="0.25">
      <c r="A71917"/>
      <c r="B71917"/>
      <c r="C71917"/>
      <c r="E71917"/>
      <c r="F71917"/>
    </row>
    <row r="71918" spans="1:6" x14ac:dyDescent="0.25">
      <c r="A71918"/>
      <c r="B71918"/>
      <c r="C71918"/>
      <c r="E71918"/>
      <c r="F71918"/>
    </row>
    <row r="71919" spans="1:6" x14ac:dyDescent="0.25">
      <c r="A71919"/>
      <c r="B71919"/>
      <c r="C71919"/>
      <c r="E71919"/>
      <c r="F71919"/>
    </row>
    <row r="71920" spans="1:6" x14ac:dyDescent="0.25">
      <c r="A71920"/>
      <c r="B71920"/>
      <c r="C71920"/>
      <c r="E71920"/>
      <c r="F71920"/>
    </row>
    <row r="71921" spans="1:6" x14ac:dyDescent="0.25">
      <c r="A71921"/>
      <c r="B71921"/>
      <c r="C71921"/>
      <c r="E71921"/>
      <c r="F71921"/>
    </row>
    <row r="71922" spans="1:6" x14ac:dyDescent="0.25">
      <c r="A71922"/>
      <c r="B71922"/>
      <c r="C71922"/>
      <c r="E71922"/>
      <c r="F71922"/>
    </row>
    <row r="71923" spans="1:6" x14ac:dyDescent="0.25">
      <c r="A71923"/>
      <c r="B71923"/>
      <c r="C71923"/>
      <c r="E71923"/>
      <c r="F71923"/>
    </row>
    <row r="71924" spans="1:6" x14ac:dyDescent="0.25">
      <c r="A71924"/>
      <c r="B71924"/>
      <c r="C71924"/>
      <c r="E71924"/>
      <c r="F71924"/>
    </row>
    <row r="71925" spans="1:6" x14ac:dyDescent="0.25">
      <c r="A71925"/>
      <c r="B71925"/>
      <c r="C71925"/>
      <c r="E71925"/>
      <c r="F71925"/>
    </row>
    <row r="71926" spans="1:6" x14ac:dyDescent="0.25">
      <c r="A71926"/>
      <c r="B71926"/>
      <c r="C71926"/>
      <c r="E71926"/>
      <c r="F71926"/>
    </row>
    <row r="71927" spans="1:6" x14ac:dyDescent="0.25">
      <c r="A71927"/>
      <c r="B71927"/>
      <c r="C71927"/>
      <c r="E71927"/>
      <c r="F71927"/>
    </row>
    <row r="71928" spans="1:6" x14ac:dyDescent="0.25">
      <c r="A71928"/>
      <c r="B71928"/>
      <c r="C71928"/>
      <c r="E71928"/>
      <c r="F71928"/>
    </row>
    <row r="71929" spans="1:6" x14ac:dyDescent="0.25">
      <c r="A71929"/>
      <c r="B71929"/>
      <c r="C71929"/>
      <c r="E71929"/>
      <c r="F71929"/>
    </row>
    <row r="71930" spans="1:6" x14ac:dyDescent="0.25">
      <c r="A71930"/>
      <c r="B71930"/>
      <c r="C71930"/>
      <c r="E71930"/>
      <c r="F71930"/>
    </row>
    <row r="71931" spans="1:6" x14ac:dyDescent="0.25">
      <c r="A71931"/>
      <c r="B71931"/>
      <c r="C71931"/>
      <c r="E71931"/>
      <c r="F71931"/>
    </row>
    <row r="71932" spans="1:6" x14ac:dyDescent="0.25">
      <c r="A71932"/>
      <c r="B71932"/>
      <c r="C71932"/>
      <c r="E71932"/>
      <c r="F71932"/>
    </row>
    <row r="71933" spans="1:6" x14ac:dyDescent="0.25">
      <c r="A71933"/>
      <c r="B71933"/>
      <c r="C71933"/>
      <c r="E71933"/>
      <c r="F71933"/>
    </row>
    <row r="71934" spans="1:6" x14ac:dyDescent="0.25">
      <c r="A71934"/>
      <c r="B71934"/>
      <c r="C71934"/>
      <c r="E71934"/>
      <c r="F71934"/>
    </row>
    <row r="71935" spans="1:6" x14ac:dyDescent="0.25">
      <c r="A71935"/>
      <c r="B71935"/>
      <c r="C71935"/>
      <c r="E71935"/>
      <c r="F71935"/>
    </row>
    <row r="71936" spans="1:6" x14ac:dyDescent="0.25">
      <c r="A71936"/>
      <c r="B71936"/>
      <c r="C71936"/>
      <c r="E71936"/>
      <c r="F71936"/>
    </row>
    <row r="71937" spans="1:6" x14ac:dyDescent="0.25">
      <c r="A71937"/>
      <c r="B71937"/>
      <c r="C71937"/>
      <c r="E71937"/>
      <c r="F71937"/>
    </row>
    <row r="71938" spans="1:6" x14ac:dyDescent="0.25">
      <c r="A71938"/>
      <c r="B71938"/>
      <c r="C71938"/>
      <c r="E71938"/>
      <c r="F71938"/>
    </row>
    <row r="71939" spans="1:6" x14ac:dyDescent="0.25">
      <c r="A71939"/>
      <c r="B71939"/>
      <c r="C71939"/>
      <c r="E71939"/>
      <c r="F71939"/>
    </row>
    <row r="71940" spans="1:6" x14ac:dyDescent="0.25">
      <c r="A71940"/>
      <c r="B71940"/>
      <c r="C71940"/>
      <c r="E71940"/>
      <c r="F71940"/>
    </row>
    <row r="71941" spans="1:6" x14ac:dyDescent="0.25">
      <c r="A71941"/>
      <c r="B71941"/>
      <c r="C71941"/>
      <c r="E71941"/>
      <c r="F71941"/>
    </row>
    <row r="71942" spans="1:6" x14ac:dyDescent="0.25">
      <c r="A71942"/>
      <c r="B71942"/>
      <c r="C71942"/>
      <c r="E71942"/>
      <c r="F71942"/>
    </row>
    <row r="71943" spans="1:6" x14ac:dyDescent="0.25">
      <c r="A71943"/>
      <c r="B71943"/>
      <c r="C71943"/>
      <c r="E71943"/>
      <c r="F71943"/>
    </row>
    <row r="71944" spans="1:6" x14ac:dyDescent="0.25">
      <c r="A71944"/>
      <c r="B71944"/>
      <c r="C71944"/>
      <c r="E71944"/>
      <c r="F71944"/>
    </row>
    <row r="71945" spans="1:6" x14ac:dyDescent="0.25">
      <c r="A71945"/>
      <c r="B71945"/>
      <c r="C71945"/>
      <c r="E71945"/>
      <c r="F71945"/>
    </row>
    <row r="71946" spans="1:6" x14ac:dyDescent="0.25">
      <c r="A71946"/>
      <c r="B71946"/>
      <c r="C71946"/>
      <c r="E71946"/>
      <c r="F71946"/>
    </row>
    <row r="71947" spans="1:6" x14ac:dyDescent="0.25">
      <c r="A71947"/>
      <c r="B71947"/>
      <c r="C71947"/>
      <c r="E71947"/>
      <c r="F71947"/>
    </row>
    <row r="71948" spans="1:6" x14ac:dyDescent="0.25">
      <c r="A71948"/>
      <c r="B71948"/>
      <c r="C71948"/>
      <c r="E71948"/>
      <c r="F71948"/>
    </row>
    <row r="71949" spans="1:6" x14ac:dyDescent="0.25">
      <c r="A71949"/>
      <c r="B71949"/>
      <c r="C71949"/>
      <c r="E71949"/>
      <c r="F71949"/>
    </row>
    <row r="71950" spans="1:6" x14ac:dyDescent="0.25">
      <c r="A71950"/>
      <c r="B71950"/>
      <c r="C71950"/>
      <c r="E71950"/>
      <c r="F71950"/>
    </row>
    <row r="71951" spans="1:6" x14ac:dyDescent="0.25">
      <c r="A71951"/>
      <c r="B71951"/>
      <c r="C71951"/>
      <c r="E71951"/>
      <c r="F71951"/>
    </row>
    <row r="71952" spans="1:6" x14ac:dyDescent="0.25">
      <c r="A71952"/>
      <c r="B71952"/>
      <c r="C71952"/>
      <c r="E71952"/>
      <c r="F71952"/>
    </row>
    <row r="71953" spans="1:6" x14ac:dyDescent="0.25">
      <c r="A71953"/>
      <c r="B71953"/>
      <c r="C71953"/>
      <c r="E71953"/>
      <c r="F71953"/>
    </row>
    <row r="71954" spans="1:6" x14ac:dyDescent="0.25">
      <c r="A71954"/>
      <c r="B71954"/>
      <c r="C71954"/>
      <c r="E71954"/>
      <c r="F71954"/>
    </row>
    <row r="71955" spans="1:6" x14ac:dyDescent="0.25">
      <c r="A71955"/>
      <c r="B71955"/>
      <c r="C71955"/>
      <c r="E71955"/>
      <c r="F71955"/>
    </row>
    <row r="71956" spans="1:6" x14ac:dyDescent="0.25">
      <c r="A71956"/>
      <c r="B71956"/>
      <c r="C71956"/>
      <c r="E71956"/>
      <c r="F71956"/>
    </row>
    <row r="71957" spans="1:6" x14ac:dyDescent="0.25">
      <c r="A71957"/>
      <c r="B71957"/>
      <c r="C71957"/>
      <c r="E71957"/>
      <c r="F71957"/>
    </row>
    <row r="71958" spans="1:6" x14ac:dyDescent="0.25">
      <c r="A71958"/>
      <c r="B71958"/>
      <c r="C71958"/>
      <c r="E71958"/>
      <c r="F71958"/>
    </row>
    <row r="71959" spans="1:6" x14ac:dyDescent="0.25">
      <c r="A71959"/>
      <c r="B71959"/>
      <c r="C71959"/>
      <c r="E71959"/>
      <c r="F71959"/>
    </row>
    <row r="71960" spans="1:6" x14ac:dyDescent="0.25">
      <c r="A71960"/>
      <c r="B71960"/>
      <c r="C71960"/>
      <c r="E71960"/>
      <c r="F71960"/>
    </row>
    <row r="71961" spans="1:6" x14ac:dyDescent="0.25">
      <c r="A71961"/>
      <c r="B71961"/>
      <c r="C71961"/>
      <c r="E71961"/>
      <c r="F71961"/>
    </row>
    <row r="71962" spans="1:6" x14ac:dyDescent="0.25">
      <c r="A71962"/>
      <c r="B71962"/>
      <c r="C71962"/>
      <c r="E71962"/>
      <c r="F71962"/>
    </row>
    <row r="71963" spans="1:6" x14ac:dyDescent="0.25">
      <c r="A71963"/>
      <c r="B71963"/>
      <c r="C71963"/>
      <c r="E71963"/>
      <c r="F71963"/>
    </row>
    <row r="71964" spans="1:6" x14ac:dyDescent="0.25">
      <c r="A71964"/>
      <c r="B71964"/>
      <c r="C71964"/>
      <c r="E71964"/>
      <c r="F71964"/>
    </row>
    <row r="71965" spans="1:6" x14ac:dyDescent="0.25">
      <c r="A71965"/>
      <c r="B71965"/>
      <c r="C71965"/>
      <c r="E71965"/>
      <c r="F71965"/>
    </row>
    <row r="71966" spans="1:6" x14ac:dyDescent="0.25">
      <c r="A71966"/>
      <c r="B71966"/>
      <c r="C71966"/>
      <c r="E71966"/>
      <c r="F71966"/>
    </row>
    <row r="71967" spans="1:6" x14ac:dyDescent="0.25">
      <c r="A71967"/>
      <c r="B71967"/>
      <c r="C71967"/>
      <c r="E71967"/>
      <c r="F71967"/>
    </row>
    <row r="71968" spans="1:6" x14ac:dyDescent="0.25">
      <c r="A71968"/>
      <c r="B71968"/>
      <c r="C71968"/>
      <c r="E71968"/>
      <c r="F71968"/>
    </row>
    <row r="71969" spans="1:6" x14ac:dyDescent="0.25">
      <c r="A71969"/>
      <c r="B71969"/>
      <c r="C71969"/>
      <c r="E71969"/>
      <c r="F71969"/>
    </row>
    <row r="71970" spans="1:6" x14ac:dyDescent="0.25">
      <c r="A71970"/>
      <c r="B71970"/>
      <c r="C71970"/>
      <c r="E71970"/>
      <c r="F71970"/>
    </row>
    <row r="71971" spans="1:6" x14ac:dyDescent="0.25">
      <c r="A71971"/>
      <c r="B71971"/>
      <c r="C71971"/>
      <c r="E71971"/>
      <c r="F71971"/>
    </row>
    <row r="71972" spans="1:6" x14ac:dyDescent="0.25">
      <c r="A71972"/>
      <c r="B71972"/>
      <c r="C71972"/>
      <c r="E71972"/>
      <c r="F71972"/>
    </row>
    <row r="71973" spans="1:6" x14ac:dyDescent="0.25">
      <c r="A71973"/>
      <c r="B71973"/>
      <c r="C71973"/>
      <c r="E71973"/>
      <c r="F71973"/>
    </row>
    <row r="71974" spans="1:6" x14ac:dyDescent="0.25">
      <c r="A71974"/>
      <c r="B71974"/>
      <c r="C71974"/>
      <c r="E71974"/>
      <c r="F71974"/>
    </row>
    <row r="71975" spans="1:6" x14ac:dyDescent="0.25">
      <c r="A71975"/>
      <c r="B71975"/>
      <c r="C71975"/>
      <c r="E71975"/>
      <c r="F71975"/>
    </row>
    <row r="71976" spans="1:6" x14ac:dyDescent="0.25">
      <c r="A71976"/>
      <c r="B71976"/>
      <c r="C71976"/>
      <c r="E71976"/>
      <c r="F71976"/>
    </row>
    <row r="71977" spans="1:6" x14ac:dyDescent="0.25">
      <c r="A71977"/>
      <c r="B71977"/>
      <c r="C71977"/>
      <c r="E71977"/>
      <c r="F71977"/>
    </row>
    <row r="71978" spans="1:6" x14ac:dyDescent="0.25">
      <c r="A71978"/>
      <c r="B71978"/>
      <c r="C71978"/>
      <c r="E71978"/>
      <c r="F71978"/>
    </row>
    <row r="71979" spans="1:6" x14ac:dyDescent="0.25">
      <c r="A71979"/>
      <c r="B71979"/>
      <c r="C71979"/>
      <c r="E71979"/>
      <c r="F71979"/>
    </row>
    <row r="71980" spans="1:6" x14ac:dyDescent="0.25">
      <c r="A71980"/>
      <c r="B71980"/>
      <c r="C71980"/>
      <c r="E71980"/>
      <c r="F71980"/>
    </row>
    <row r="71981" spans="1:6" x14ac:dyDescent="0.25">
      <c r="A71981"/>
      <c r="B71981"/>
      <c r="C71981"/>
      <c r="E71981"/>
      <c r="F71981"/>
    </row>
    <row r="71982" spans="1:6" x14ac:dyDescent="0.25">
      <c r="A71982"/>
      <c r="B71982"/>
      <c r="C71982"/>
      <c r="E71982"/>
      <c r="F71982"/>
    </row>
    <row r="71983" spans="1:6" x14ac:dyDescent="0.25">
      <c r="A71983"/>
      <c r="B71983"/>
      <c r="C71983"/>
      <c r="E71983"/>
      <c r="F71983"/>
    </row>
    <row r="71984" spans="1:6" x14ac:dyDescent="0.25">
      <c r="A71984"/>
      <c r="B71984"/>
      <c r="C71984"/>
      <c r="E71984"/>
      <c r="F71984"/>
    </row>
    <row r="71985" spans="1:6" x14ac:dyDescent="0.25">
      <c r="A71985"/>
      <c r="B71985"/>
      <c r="C71985"/>
      <c r="E71985"/>
      <c r="F71985"/>
    </row>
    <row r="71986" spans="1:6" x14ac:dyDescent="0.25">
      <c r="A71986"/>
      <c r="B71986"/>
      <c r="C71986"/>
      <c r="E71986"/>
      <c r="F71986"/>
    </row>
    <row r="71987" spans="1:6" x14ac:dyDescent="0.25">
      <c r="A71987"/>
      <c r="B71987"/>
      <c r="C71987"/>
      <c r="E71987"/>
      <c r="F71987"/>
    </row>
    <row r="71988" spans="1:6" x14ac:dyDescent="0.25">
      <c r="A71988"/>
      <c r="B71988"/>
      <c r="C71988"/>
      <c r="E71988"/>
      <c r="F71988"/>
    </row>
    <row r="71989" spans="1:6" x14ac:dyDescent="0.25">
      <c r="A71989"/>
      <c r="B71989"/>
      <c r="C71989"/>
      <c r="E71989"/>
      <c r="F71989"/>
    </row>
    <row r="71990" spans="1:6" x14ac:dyDescent="0.25">
      <c r="A71990"/>
      <c r="B71990"/>
      <c r="C71990"/>
      <c r="E71990"/>
      <c r="F71990"/>
    </row>
    <row r="71991" spans="1:6" x14ac:dyDescent="0.25">
      <c r="A71991"/>
      <c r="B71991"/>
      <c r="C71991"/>
      <c r="E71991"/>
      <c r="F71991"/>
    </row>
    <row r="71992" spans="1:6" x14ac:dyDescent="0.25">
      <c r="A71992"/>
      <c r="B71992"/>
      <c r="C71992"/>
      <c r="E71992"/>
      <c r="F71992"/>
    </row>
    <row r="71993" spans="1:6" x14ac:dyDescent="0.25">
      <c r="A71993"/>
      <c r="B71993"/>
      <c r="C71993"/>
      <c r="E71993"/>
      <c r="F71993"/>
    </row>
    <row r="71994" spans="1:6" x14ac:dyDescent="0.25">
      <c r="A71994"/>
      <c r="B71994"/>
      <c r="C71994"/>
      <c r="E71994"/>
      <c r="F71994"/>
    </row>
    <row r="71995" spans="1:6" x14ac:dyDescent="0.25">
      <c r="A71995"/>
      <c r="B71995"/>
      <c r="C71995"/>
      <c r="E71995"/>
      <c r="F71995"/>
    </row>
    <row r="71996" spans="1:6" x14ac:dyDescent="0.25">
      <c r="A71996"/>
      <c r="B71996"/>
      <c r="C71996"/>
      <c r="E71996"/>
      <c r="F71996"/>
    </row>
    <row r="71997" spans="1:6" x14ac:dyDescent="0.25">
      <c r="A71997"/>
      <c r="B71997"/>
      <c r="C71997"/>
      <c r="E71997"/>
      <c r="F71997"/>
    </row>
    <row r="71998" spans="1:6" x14ac:dyDescent="0.25">
      <c r="A71998"/>
      <c r="B71998"/>
      <c r="C71998"/>
      <c r="E71998"/>
      <c r="F71998"/>
    </row>
    <row r="71999" spans="1:6" x14ac:dyDescent="0.25">
      <c r="A71999"/>
      <c r="B71999"/>
      <c r="C71999"/>
      <c r="E71999"/>
      <c r="F71999"/>
    </row>
    <row r="72000" spans="1:6" x14ac:dyDescent="0.25">
      <c r="A72000"/>
      <c r="B72000"/>
      <c r="C72000"/>
      <c r="E72000"/>
      <c r="F72000"/>
    </row>
    <row r="72001" spans="1:6" x14ac:dyDescent="0.25">
      <c r="A72001"/>
      <c r="B72001"/>
      <c r="C72001"/>
      <c r="E72001"/>
      <c r="F72001"/>
    </row>
    <row r="72002" spans="1:6" x14ac:dyDescent="0.25">
      <c r="A72002"/>
      <c r="B72002"/>
      <c r="C72002"/>
      <c r="E72002"/>
      <c r="F72002"/>
    </row>
    <row r="72003" spans="1:6" x14ac:dyDescent="0.25">
      <c r="A72003"/>
      <c r="B72003"/>
      <c r="C72003"/>
      <c r="E72003"/>
      <c r="F72003"/>
    </row>
    <row r="72004" spans="1:6" x14ac:dyDescent="0.25">
      <c r="A72004"/>
      <c r="B72004"/>
      <c r="C72004"/>
      <c r="E72004"/>
      <c r="F72004"/>
    </row>
    <row r="72005" spans="1:6" x14ac:dyDescent="0.25">
      <c r="A72005"/>
      <c r="B72005"/>
      <c r="C72005"/>
      <c r="E72005"/>
      <c r="F72005"/>
    </row>
    <row r="72006" spans="1:6" x14ac:dyDescent="0.25">
      <c r="A72006"/>
      <c r="B72006"/>
      <c r="C72006"/>
      <c r="E72006"/>
      <c r="F72006"/>
    </row>
    <row r="72007" spans="1:6" x14ac:dyDescent="0.25">
      <c r="A72007"/>
      <c r="B72007"/>
      <c r="C72007"/>
      <c r="E72007"/>
      <c r="F72007"/>
    </row>
    <row r="72008" spans="1:6" x14ac:dyDescent="0.25">
      <c r="A72008"/>
      <c r="B72008"/>
      <c r="C72008"/>
      <c r="E72008"/>
      <c r="F72008"/>
    </row>
    <row r="72009" spans="1:6" x14ac:dyDescent="0.25">
      <c r="A72009"/>
      <c r="B72009"/>
      <c r="C72009"/>
      <c r="E72009"/>
      <c r="F72009"/>
    </row>
    <row r="72010" spans="1:6" x14ac:dyDescent="0.25">
      <c r="A72010"/>
      <c r="B72010"/>
      <c r="C72010"/>
      <c r="E72010"/>
      <c r="F72010"/>
    </row>
    <row r="72011" spans="1:6" x14ac:dyDescent="0.25">
      <c r="A72011"/>
      <c r="B72011"/>
      <c r="C72011"/>
      <c r="E72011"/>
      <c r="F72011"/>
    </row>
    <row r="72012" spans="1:6" x14ac:dyDescent="0.25">
      <c r="A72012"/>
      <c r="B72012"/>
      <c r="C72012"/>
      <c r="E72012"/>
      <c r="F72012"/>
    </row>
    <row r="72013" spans="1:6" x14ac:dyDescent="0.25">
      <c r="A72013"/>
      <c r="B72013"/>
      <c r="C72013"/>
      <c r="E72013"/>
      <c r="F72013"/>
    </row>
    <row r="72014" spans="1:6" x14ac:dyDescent="0.25">
      <c r="A72014"/>
      <c r="B72014"/>
      <c r="C72014"/>
      <c r="E72014"/>
      <c r="F72014"/>
    </row>
    <row r="72015" spans="1:6" x14ac:dyDescent="0.25">
      <c r="A72015"/>
      <c r="B72015"/>
      <c r="C72015"/>
      <c r="E72015"/>
      <c r="F72015"/>
    </row>
    <row r="72016" spans="1:6" x14ac:dyDescent="0.25">
      <c r="A72016"/>
      <c r="B72016"/>
      <c r="C72016"/>
      <c r="E72016"/>
      <c r="F72016"/>
    </row>
    <row r="72017" spans="1:6" x14ac:dyDescent="0.25">
      <c r="A72017"/>
      <c r="B72017"/>
      <c r="C72017"/>
      <c r="E72017"/>
      <c r="F72017"/>
    </row>
    <row r="72018" spans="1:6" x14ac:dyDescent="0.25">
      <c r="A72018"/>
      <c r="B72018"/>
      <c r="C72018"/>
      <c r="E72018"/>
      <c r="F72018"/>
    </row>
    <row r="72019" spans="1:6" x14ac:dyDescent="0.25">
      <c r="A72019"/>
      <c r="B72019"/>
      <c r="C72019"/>
      <c r="E72019"/>
      <c r="F72019"/>
    </row>
    <row r="72020" spans="1:6" x14ac:dyDescent="0.25">
      <c r="A72020"/>
      <c r="B72020"/>
      <c r="C72020"/>
      <c r="E72020"/>
      <c r="F72020"/>
    </row>
    <row r="72021" spans="1:6" x14ac:dyDescent="0.25">
      <c r="A72021"/>
      <c r="B72021"/>
      <c r="C72021"/>
      <c r="E72021"/>
      <c r="F72021"/>
    </row>
    <row r="72022" spans="1:6" x14ac:dyDescent="0.25">
      <c r="A72022"/>
      <c r="B72022"/>
      <c r="C72022"/>
      <c r="E72022"/>
      <c r="F72022"/>
    </row>
    <row r="72023" spans="1:6" x14ac:dyDescent="0.25">
      <c r="A72023"/>
      <c r="B72023"/>
      <c r="C72023"/>
      <c r="E72023"/>
      <c r="F72023"/>
    </row>
    <row r="72024" spans="1:6" x14ac:dyDescent="0.25">
      <c r="A72024"/>
      <c r="B72024"/>
      <c r="C72024"/>
      <c r="E72024"/>
      <c r="F72024"/>
    </row>
    <row r="72025" spans="1:6" x14ac:dyDescent="0.25">
      <c r="A72025"/>
      <c r="B72025"/>
      <c r="C72025"/>
      <c r="E72025"/>
      <c r="F72025"/>
    </row>
    <row r="72026" spans="1:6" x14ac:dyDescent="0.25">
      <c r="A72026"/>
      <c r="B72026"/>
      <c r="C72026"/>
      <c r="E72026"/>
      <c r="F72026"/>
    </row>
    <row r="72027" spans="1:6" x14ac:dyDescent="0.25">
      <c r="A72027"/>
      <c r="B72027"/>
      <c r="C72027"/>
      <c r="E72027"/>
      <c r="F72027"/>
    </row>
    <row r="72028" spans="1:6" x14ac:dyDescent="0.25">
      <c r="A72028"/>
      <c r="B72028"/>
      <c r="C72028"/>
      <c r="E72028"/>
      <c r="F72028"/>
    </row>
    <row r="72029" spans="1:6" x14ac:dyDescent="0.25">
      <c r="A72029"/>
      <c r="B72029"/>
      <c r="C72029"/>
      <c r="E72029"/>
      <c r="F72029"/>
    </row>
    <row r="72030" spans="1:6" x14ac:dyDescent="0.25">
      <c r="A72030"/>
      <c r="B72030"/>
      <c r="C72030"/>
      <c r="E72030"/>
      <c r="F72030"/>
    </row>
    <row r="72031" spans="1:6" x14ac:dyDescent="0.25">
      <c r="A72031"/>
      <c r="B72031"/>
      <c r="C72031"/>
      <c r="E72031"/>
      <c r="F72031"/>
    </row>
    <row r="72032" spans="1:6" x14ac:dyDescent="0.25">
      <c r="A72032"/>
      <c r="B72032"/>
      <c r="C72032"/>
      <c r="E72032"/>
      <c r="F72032"/>
    </row>
    <row r="72033" spans="1:6" x14ac:dyDescent="0.25">
      <c r="A72033"/>
      <c r="B72033"/>
      <c r="C72033"/>
      <c r="E72033"/>
      <c r="F72033"/>
    </row>
    <row r="72034" spans="1:6" x14ac:dyDescent="0.25">
      <c r="A72034"/>
      <c r="B72034"/>
      <c r="C72034"/>
      <c r="E72034"/>
      <c r="F72034"/>
    </row>
    <row r="72035" spans="1:6" x14ac:dyDescent="0.25">
      <c r="A72035"/>
      <c r="B72035"/>
      <c r="C72035"/>
      <c r="E72035"/>
      <c r="F72035"/>
    </row>
    <row r="72036" spans="1:6" x14ac:dyDescent="0.25">
      <c r="A72036"/>
      <c r="B72036"/>
      <c r="C72036"/>
      <c r="E72036"/>
      <c r="F72036"/>
    </row>
    <row r="72037" spans="1:6" x14ac:dyDescent="0.25">
      <c r="A72037"/>
      <c r="B72037"/>
      <c r="C72037"/>
      <c r="E72037"/>
      <c r="F72037"/>
    </row>
    <row r="72038" spans="1:6" x14ac:dyDescent="0.25">
      <c r="A72038"/>
      <c r="B72038"/>
      <c r="C72038"/>
      <c r="E72038"/>
      <c r="F72038"/>
    </row>
    <row r="72039" spans="1:6" x14ac:dyDescent="0.25">
      <c r="A72039"/>
      <c r="B72039"/>
      <c r="C72039"/>
      <c r="E72039"/>
      <c r="F72039"/>
    </row>
    <row r="72040" spans="1:6" x14ac:dyDescent="0.25">
      <c r="A72040"/>
      <c r="B72040"/>
      <c r="C72040"/>
      <c r="E72040"/>
      <c r="F72040"/>
    </row>
    <row r="72041" spans="1:6" x14ac:dyDescent="0.25">
      <c r="A72041"/>
      <c r="B72041"/>
      <c r="C72041"/>
      <c r="E72041"/>
      <c r="F72041"/>
    </row>
    <row r="72042" spans="1:6" x14ac:dyDescent="0.25">
      <c r="A72042"/>
      <c r="B72042"/>
      <c r="C72042"/>
      <c r="E72042"/>
      <c r="F72042"/>
    </row>
    <row r="72043" spans="1:6" x14ac:dyDescent="0.25">
      <c r="A72043"/>
      <c r="B72043"/>
      <c r="C72043"/>
      <c r="E72043"/>
      <c r="F72043"/>
    </row>
    <row r="72044" spans="1:6" x14ac:dyDescent="0.25">
      <c r="A72044"/>
      <c r="B72044"/>
      <c r="C72044"/>
      <c r="E72044"/>
      <c r="F72044"/>
    </row>
    <row r="72045" spans="1:6" x14ac:dyDescent="0.25">
      <c r="A72045"/>
      <c r="B72045"/>
      <c r="C72045"/>
      <c r="E72045"/>
      <c r="F72045"/>
    </row>
    <row r="72046" spans="1:6" x14ac:dyDescent="0.25">
      <c r="A72046"/>
      <c r="B72046"/>
      <c r="C72046"/>
      <c r="E72046"/>
      <c r="F72046"/>
    </row>
    <row r="72047" spans="1:6" x14ac:dyDescent="0.25">
      <c r="A72047"/>
      <c r="B72047"/>
      <c r="C72047"/>
      <c r="E72047"/>
      <c r="F72047"/>
    </row>
    <row r="72048" spans="1:6" x14ac:dyDescent="0.25">
      <c r="A72048"/>
      <c r="B72048"/>
      <c r="C72048"/>
      <c r="E72048"/>
      <c r="F72048"/>
    </row>
    <row r="72049" spans="1:6" x14ac:dyDescent="0.25">
      <c r="A72049"/>
      <c r="B72049"/>
      <c r="C72049"/>
      <c r="E72049"/>
      <c r="F72049"/>
    </row>
    <row r="72050" spans="1:6" x14ac:dyDescent="0.25">
      <c r="A72050"/>
      <c r="B72050"/>
      <c r="C72050"/>
      <c r="E72050"/>
      <c r="F72050"/>
    </row>
    <row r="72051" spans="1:6" x14ac:dyDescent="0.25">
      <c r="A72051"/>
      <c r="B72051"/>
      <c r="C72051"/>
      <c r="E72051"/>
      <c r="F72051"/>
    </row>
    <row r="72052" spans="1:6" x14ac:dyDescent="0.25">
      <c r="A72052"/>
      <c r="B72052"/>
      <c r="C72052"/>
      <c r="E72052"/>
      <c r="F72052"/>
    </row>
    <row r="72053" spans="1:6" x14ac:dyDescent="0.25">
      <c r="A72053"/>
      <c r="B72053"/>
      <c r="C72053"/>
      <c r="E72053"/>
      <c r="F72053"/>
    </row>
    <row r="72054" spans="1:6" x14ac:dyDescent="0.25">
      <c r="A72054"/>
      <c r="B72054"/>
      <c r="C72054"/>
      <c r="E72054"/>
      <c r="F72054"/>
    </row>
    <row r="72055" spans="1:6" x14ac:dyDescent="0.25">
      <c r="A72055"/>
      <c r="B72055"/>
      <c r="C72055"/>
      <c r="E72055"/>
      <c r="F72055"/>
    </row>
    <row r="72056" spans="1:6" x14ac:dyDescent="0.25">
      <c r="A72056"/>
      <c r="B72056"/>
      <c r="C72056"/>
      <c r="E72056"/>
      <c r="F72056"/>
    </row>
    <row r="72057" spans="1:6" x14ac:dyDescent="0.25">
      <c r="A72057"/>
      <c r="B72057"/>
      <c r="C72057"/>
      <c r="E72057"/>
      <c r="F72057"/>
    </row>
    <row r="72058" spans="1:6" x14ac:dyDescent="0.25">
      <c r="A72058"/>
      <c r="B72058"/>
      <c r="C72058"/>
      <c r="E72058"/>
      <c r="F72058"/>
    </row>
    <row r="72059" spans="1:6" x14ac:dyDescent="0.25">
      <c r="A72059"/>
      <c r="B72059"/>
      <c r="C72059"/>
      <c r="E72059"/>
      <c r="F72059"/>
    </row>
    <row r="72060" spans="1:6" x14ac:dyDescent="0.25">
      <c r="A72060"/>
      <c r="B72060"/>
      <c r="C72060"/>
      <c r="E72060"/>
      <c r="F72060"/>
    </row>
    <row r="72061" spans="1:6" x14ac:dyDescent="0.25">
      <c r="A72061"/>
      <c r="B72061"/>
      <c r="C72061"/>
      <c r="E72061"/>
      <c r="F72061"/>
    </row>
    <row r="72062" spans="1:6" x14ac:dyDescent="0.25">
      <c r="A72062"/>
      <c r="B72062"/>
      <c r="C72062"/>
      <c r="E72062"/>
      <c r="F72062"/>
    </row>
    <row r="72063" spans="1:6" x14ac:dyDescent="0.25">
      <c r="A72063"/>
      <c r="B72063"/>
      <c r="C72063"/>
      <c r="E72063"/>
      <c r="F72063"/>
    </row>
    <row r="72064" spans="1:6" x14ac:dyDescent="0.25">
      <c r="A72064"/>
      <c r="B72064"/>
      <c r="C72064"/>
      <c r="E72064"/>
      <c r="F72064"/>
    </row>
    <row r="72065" spans="1:6" x14ac:dyDescent="0.25">
      <c r="A72065"/>
      <c r="B72065"/>
      <c r="C72065"/>
      <c r="E72065"/>
      <c r="F72065"/>
    </row>
    <row r="72066" spans="1:6" x14ac:dyDescent="0.25">
      <c r="A72066"/>
      <c r="B72066"/>
      <c r="C72066"/>
      <c r="E72066"/>
      <c r="F72066"/>
    </row>
    <row r="72067" spans="1:6" x14ac:dyDescent="0.25">
      <c r="A72067"/>
      <c r="B72067"/>
      <c r="C72067"/>
      <c r="E72067"/>
      <c r="F72067"/>
    </row>
    <row r="72068" spans="1:6" x14ac:dyDescent="0.25">
      <c r="A72068"/>
      <c r="B72068"/>
      <c r="C72068"/>
      <c r="E72068"/>
      <c r="F72068"/>
    </row>
    <row r="72069" spans="1:6" x14ac:dyDescent="0.25">
      <c r="A72069"/>
      <c r="B72069"/>
      <c r="C72069"/>
      <c r="E72069"/>
      <c r="F72069"/>
    </row>
    <row r="72070" spans="1:6" x14ac:dyDescent="0.25">
      <c r="A72070"/>
      <c r="B72070"/>
      <c r="C72070"/>
      <c r="E72070"/>
      <c r="F72070"/>
    </row>
    <row r="72071" spans="1:6" x14ac:dyDescent="0.25">
      <c r="A72071"/>
      <c r="B72071"/>
      <c r="C72071"/>
      <c r="E72071"/>
      <c r="F72071"/>
    </row>
    <row r="72072" spans="1:6" x14ac:dyDescent="0.25">
      <c r="A72072"/>
      <c r="B72072"/>
      <c r="C72072"/>
      <c r="E72072"/>
      <c r="F72072"/>
    </row>
    <row r="72073" spans="1:6" x14ac:dyDescent="0.25">
      <c r="A72073"/>
      <c r="B72073"/>
      <c r="C72073"/>
      <c r="E72073"/>
      <c r="F72073"/>
    </row>
    <row r="72074" spans="1:6" x14ac:dyDescent="0.25">
      <c r="A72074"/>
      <c r="B72074"/>
      <c r="C72074"/>
      <c r="E72074"/>
      <c r="F72074"/>
    </row>
    <row r="72075" spans="1:6" x14ac:dyDescent="0.25">
      <c r="A72075"/>
      <c r="B72075"/>
      <c r="C72075"/>
      <c r="E72075"/>
      <c r="F72075"/>
    </row>
    <row r="72076" spans="1:6" x14ac:dyDescent="0.25">
      <c r="A72076"/>
      <c r="B72076"/>
      <c r="C72076"/>
      <c r="E72076"/>
      <c r="F72076"/>
    </row>
    <row r="72077" spans="1:6" x14ac:dyDescent="0.25">
      <c r="A72077"/>
      <c r="B72077"/>
      <c r="C72077"/>
      <c r="E72077"/>
      <c r="F72077"/>
    </row>
    <row r="72078" spans="1:6" x14ac:dyDescent="0.25">
      <c r="A72078"/>
      <c r="B72078"/>
      <c r="C72078"/>
      <c r="E72078"/>
      <c r="F72078"/>
    </row>
    <row r="72079" spans="1:6" x14ac:dyDescent="0.25">
      <c r="A72079"/>
      <c r="B72079"/>
      <c r="C72079"/>
      <c r="E72079"/>
      <c r="F72079"/>
    </row>
    <row r="72080" spans="1:6" x14ac:dyDescent="0.25">
      <c r="A72080"/>
      <c r="B72080"/>
      <c r="C72080"/>
      <c r="E72080"/>
      <c r="F72080"/>
    </row>
    <row r="72081" spans="1:6" x14ac:dyDescent="0.25">
      <c r="A72081"/>
      <c r="B72081"/>
      <c r="C72081"/>
      <c r="E72081"/>
      <c r="F72081"/>
    </row>
    <row r="72082" spans="1:6" x14ac:dyDescent="0.25">
      <c r="A72082"/>
      <c r="B72082"/>
      <c r="C72082"/>
      <c r="E72082"/>
      <c r="F72082"/>
    </row>
    <row r="72083" spans="1:6" x14ac:dyDescent="0.25">
      <c r="A72083"/>
      <c r="B72083"/>
      <c r="C72083"/>
      <c r="E72083"/>
      <c r="F72083"/>
    </row>
    <row r="72084" spans="1:6" x14ac:dyDescent="0.25">
      <c r="A72084"/>
      <c r="B72084"/>
      <c r="C72084"/>
      <c r="E72084"/>
      <c r="F72084"/>
    </row>
    <row r="72085" spans="1:6" x14ac:dyDescent="0.25">
      <c r="A72085"/>
      <c r="B72085"/>
      <c r="C72085"/>
      <c r="E72085"/>
      <c r="F72085"/>
    </row>
    <row r="72086" spans="1:6" x14ac:dyDescent="0.25">
      <c r="A72086"/>
      <c r="B72086"/>
      <c r="C72086"/>
      <c r="E72086"/>
      <c r="F72086"/>
    </row>
    <row r="72087" spans="1:6" x14ac:dyDescent="0.25">
      <c r="A72087"/>
      <c r="B72087"/>
      <c r="C72087"/>
      <c r="E72087"/>
      <c r="F72087"/>
    </row>
    <row r="72088" spans="1:6" x14ac:dyDescent="0.25">
      <c r="A72088"/>
      <c r="B72088"/>
      <c r="C72088"/>
      <c r="E72088"/>
      <c r="F72088"/>
    </row>
    <row r="72089" spans="1:6" x14ac:dyDescent="0.25">
      <c r="A72089"/>
      <c r="B72089"/>
      <c r="C72089"/>
      <c r="E72089"/>
      <c r="F72089"/>
    </row>
    <row r="72090" spans="1:6" x14ac:dyDescent="0.25">
      <c r="A72090"/>
      <c r="B72090"/>
      <c r="C72090"/>
      <c r="E72090"/>
      <c r="F72090"/>
    </row>
    <row r="72091" spans="1:6" x14ac:dyDescent="0.25">
      <c r="A72091"/>
      <c r="B72091"/>
      <c r="C72091"/>
      <c r="E72091"/>
      <c r="F72091"/>
    </row>
    <row r="72092" spans="1:6" x14ac:dyDescent="0.25">
      <c r="A72092"/>
      <c r="B72092"/>
      <c r="C72092"/>
      <c r="E72092"/>
      <c r="F72092"/>
    </row>
    <row r="72093" spans="1:6" x14ac:dyDescent="0.25">
      <c r="A72093"/>
      <c r="B72093"/>
      <c r="C72093"/>
      <c r="E72093"/>
      <c r="F72093"/>
    </row>
    <row r="72094" spans="1:6" x14ac:dyDescent="0.25">
      <c r="A72094"/>
      <c r="B72094"/>
      <c r="C72094"/>
      <c r="E72094"/>
      <c r="F72094"/>
    </row>
    <row r="72095" spans="1:6" x14ac:dyDescent="0.25">
      <c r="A72095"/>
      <c r="B72095"/>
      <c r="C72095"/>
      <c r="E72095"/>
      <c r="F72095"/>
    </row>
    <row r="72096" spans="1:6" x14ac:dyDescent="0.25">
      <c r="A72096"/>
      <c r="B72096"/>
      <c r="C72096"/>
      <c r="E72096"/>
      <c r="F72096"/>
    </row>
    <row r="72097" spans="1:6" x14ac:dyDescent="0.25">
      <c r="A72097"/>
      <c r="B72097"/>
      <c r="C72097"/>
      <c r="E72097"/>
      <c r="F72097"/>
    </row>
    <row r="72098" spans="1:6" x14ac:dyDescent="0.25">
      <c r="A72098"/>
      <c r="B72098"/>
      <c r="C72098"/>
      <c r="E72098"/>
      <c r="F72098"/>
    </row>
    <row r="72099" spans="1:6" x14ac:dyDescent="0.25">
      <c r="A72099"/>
      <c r="B72099"/>
      <c r="C72099"/>
      <c r="E72099"/>
      <c r="F72099"/>
    </row>
    <row r="72100" spans="1:6" x14ac:dyDescent="0.25">
      <c r="A72100"/>
      <c r="B72100"/>
      <c r="C72100"/>
      <c r="E72100"/>
      <c r="F72100"/>
    </row>
    <row r="72101" spans="1:6" x14ac:dyDescent="0.25">
      <c r="A72101"/>
      <c r="B72101"/>
      <c r="C72101"/>
      <c r="E72101"/>
      <c r="F72101"/>
    </row>
    <row r="72102" spans="1:6" x14ac:dyDescent="0.25">
      <c r="A72102"/>
      <c r="B72102"/>
      <c r="C72102"/>
      <c r="E72102"/>
      <c r="F72102"/>
    </row>
    <row r="72103" spans="1:6" x14ac:dyDescent="0.25">
      <c r="A72103"/>
      <c r="B72103"/>
      <c r="C72103"/>
      <c r="E72103"/>
      <c r="F72103"/>
    </row>
    <row r="72104" spans="1:6" x14ac:dyDescent="0.25">
      <c r="A72104"/>
      <c r="B72104"/>
      <c r="C72104"/>
      <c r="E72104"/>
      <c r="F72104"/>
    </row>
    <row r="72105" spans="1:6" x14ac:dyDescent="0.25">
      <c r="A72105"/>
      <c r="B72105"/>
      <c r="C72105"/>
      <c r="E72105"/>
      <c r="F72105"/>
    </row>
    <row r="72106" spans="1:6" x14ac:dyDescent="0.25">
      <c r="A72106"/>
      <c r="B72106"/>
      <c r="C72106"/>
      <c r="E72106"/>
      <c r="F72106"/>
    </row>
    <row r="72107" spans="1:6" x14ac:dyDescent="0.25">
      <c r="A72107"/>
      <c r="B72107"/>
      <c r="C72107"/>
      <c r="E72107"/>
      <c r="F72107"/>
    </row>
    <row r="72108" spans="1:6" x14ac:dyDescent="0.25">
      <c r="A72108"/>
      <c r="B72108"/>
      <c r="C72108"/>
      <c r="E72108"/>
      <c r="F72108"/>
    </row>
    <row r="72109" spans="1:6" x14ac:dyDescent="0.25">
      <c r="A72109"/>
      <c r="B72109"/>
      <c r="C72109"/>
      <c r="E72109"/>
      <c r="F72109"/>
    </row>
    <row r="72110" spans="1:6" x14ac:dyDescent="0.25">
      <c r="A72110"/>
      <c r="B72110"/>
      <c r="C72110"/>
      <c r="E72110"/>
      <c r="F72110"/>
    </row>
    <row r="72111" spans="1:6" x14ac:dyDescent="0.25">
      <c r="A72111"/>
      <c r="B72111"/>
      <c r="C72111"/>
      <c r="E72111"/>
      <c r="F72111"/>
    </row>
    <row r="72112" spans="1:6" x14ac:dyDescent="0.25">
      <c r="A72112"/>
      <c r="B72112"/>
      <c r="C72112"/>
      <c r="E72112"/>
      <c r="F72112"/>
    </row>
    <row r="72113" spans="1:6" x14ac:dyDescent="0.25">
      <c r="A72113"/>
      <c r="B72113"/>
      <c r="C72113"/>
      <c r="E72113"/>
      <c r="F72113"/>
    </row>
    <row r="72114" spans="1:6" x14ac:dyDescent="0.25">
      <c r="A72114"/>
      <c r="B72114"/>
      <c r="C72114"/>
      <c r="E72114"/>
      <c r="F72114"/>
    </row>
    <row r="72115" spans="1:6" x14ac:dyDescent="0.25">
      <c r="A72115"/>
      <c r="B72115"/>
      <c r="C72115"/>
      <c r="E72115"/>
      <c r="F72115"/>
    </row>
    <row r="72116" spans="1:6" x14ac:dyDescent="0.25">
      <c r="A72116"/>
      <c r="B72116"/>
      <c r="C72116"/>
      <c r="E72116"/>
      <c r="F72116"/>
    </row>
    <row r="72117" spans="1:6" x14ac:dyDescent="0.25">
      <c r="A72117"/>
      <c r="B72117"/>
      <c r="C72117"/>
      <c r="E72117"/>
      <c r="F72117"/>
    </row>
    <row r="72118" spans="1:6" x14ac:dyDescent="0.25">
      <c r="A72118"/>
      <c r="B72118"/>
      <c r="C72118"/>
      <c r="E72118"/>
      <c r="F72118"/>
    </row>
    <row r="72119" spans="1:6" x14ac:dyDescent="0.25">
      <c r="A72119"/>
      <c r="B72119"/>
      <c r="C72119"/>
      <c r="E72119"/>
      <c r="F72119"/>
    </row>
    <row r="72120" spans="1:6" x14ac:dyDescent="0.25">
      <c r="A72120"/>
      <c r="B72120"/>
      <c r="C72120"/>
      <c r="E72120"/>
      <c r="F72120"/>
    </row>
    <row r="72121" spans="1:6" x14ac:dyDescent="0.25">
      <c r="A72121"/>
      <c r="B72121"/>
      <c r="C72121"/>
      <c r="E72121"/>
      <c r="F72121"/>
    </row>
    <row r="72122" spans="1:6" x14ac:dyDescent="0.25">
      <c r="A72122"/>
      <c r="B72122"/>
      <c r="C72122"/>
      <c r="E72122"/>
      <c r="F72122"/>
    </row>
    <row r="72123" spans="1:6" x14ac:dyDescent="0.25">
      <c r="A72123"/>
      <c r="B72123"/>
      <c r="C72123"/>
      <c r="E72123"/>
      <c r="F72123"/>
    </row>
    <row r="72124" spans="1:6" x14ac:dyDescent="0.25">
      <c r="A72124"/>
      <c r="B72124"/>
      <c r="C72124"/>
      <c r="E72124"/>
      <c r="F72124"/>
    </row>
    <row r="72125" spans="1:6" x14ac:dyDescent="0.25">
      <c r="A72125"/>
      <c r="B72125"/>
      <c r="C72125"/>
      <c r="E72125"/>
      <c r="F72125"/>
    </row>
    <row r="72126" spans="1:6" x14ac:dyDescent="0.25">
      <c r="A72126"/>
      <c r="B72126"/>
      <c r="C72126"/>
      <c r="E72126"/>
      <c r="F72126"/>
    </row>
    <row r="72127" spans="1:6" x14ac:dyDescent="0.25">
      <c r="A72127"/>
      <c r="B72127"/>
      <c r="C72127"/>
      <c r="E72127"/>
      <c r="F72127"/>
    </row>
    <row r="72128" spans="1:6" x14ac:dyDescent="0.25">
      <c r="A72128"/>
      <c r="B72128"/>
      <c r="C72128"/>
      <c r="E72128"/>
      <c r="F72128"/>
    </row>
    <row r="72129" spans="1:6" x14ac:dyDescent="0.25">
      <c r="A72129"/>
      <c r="B72129"/>
      <c r="C72129"/>
      <c r="E72129"/>
      <c r="F72129"/>
    </row>
    <row r="72130" spans="1:6" x14ac:dyDescent="0.25">
      <c r="A72130"/>
      <c r="B72130"/>
      <c r="C72130"/>
      <c r="E72130"/>
      <c r="F72130"/>
    </row>
    <row r="72131" spans="1:6" x14ac:dyDescent="0.25">
      <c r="A72131"/>
      <c r="B72131"/>
      <c r="C72131"/>
      <c r="E72131"/>
      <c r="F72131"/>
    </row>
    <row r="72132" spans="1:6" x14ac:dyDescent="0.25">
      <c r="A72132"/>
      <c r="B72132"/>
      <c r="C72132"/>
      <c r="E72132"/>
      <c r="F72132"/>
    </row>
    <row r="72133" spans="1:6" x14ac:dyDescent="0.25">
      <c r="A72133"/>
      <c r="B72133"/>
      <c r="C72133"/>
      <c r="E72133"/>
      <c r="F72133"/>
    </row>
    <row r="72134" spans="1:6" x14ac:dyDescent="0.25">
      <c r="A72134"/>
      <c r="B72134"/>
      <c r="C72134"/>
      <c r="E72134"/>
      <c r="F72134"/>
    </row>
    <row r="72135" spans="1:6" x14ac:dyDescent="0.25">
      <c r="A72135"/>
      <c r="B72135"/>
      <c r="C72135"/>
      <c r="E72135"/>
      <c r="F72135"/>
    </row>
    <row r="72136" spans="1:6" x14ac:dyDescent="0.25">
      <c r="A72136"/>
      <c r="B72136"/>
      <c r="C72136"/>
      <c r="E72136"/>
      <c r="F72136"/>
    </row>
    <row r="72137" spans="1:6" x14ac:dyDescent="0.25">
      <c r="A72137"/>
      <c r="B72137"/>
      <c r="C72137"/>
      <c r="E72137"/>
      <c r="F72137"/>
    </row>
    <row r="72138" spans="1:6" x14ac:dyDescent="0.25">
      <c r="A72138"/>
      <c r="B72138"/>
      <c r="C72138"/>
      <c r="E72138"/>
      <c r="F72138"/>
    </row>
    <row r="72139" spans="1:6" x14ac:dyDescent="0.25">
      <c r="A72139"/>
      <c r="B72139"/>
      <c r="C72139"/>
      <c r="E72139"/>
      <c r="F72139"/>
    </row>
    <row r="72140" spans="1:6" x14ac:dyDescent="0.25">
      <c r="A72140"/>
      <c r="B72140"/>
      <c r="C72140"/>
      <c r="E72140"/>
      <c r="F72140"/>
    </row>
    <row r="72141" spans="1:6" x14ac:dyDescent="0.25">
      <c r="A72141"/>
      <c r="B72141"/>
      <c r="C72141"/>
      <c r="E72141"/>
      <c r="F72141"/>
    </row>
    <row r="72142" spans="1:6" x14ac:dyDescent="0.25">
      <c r="A72142"/>
      <c r="B72142"/>
      <c r="C72142"/>
      <c r="E72142"/>
      <c r="F72142"/>
    </row>
    <row r="72143" spans="1:6" x14ac:dyDescent="0.25">
      <c r="A72143"/>
      <c r="B72143"/>
      <c r="C72143"/>
      <c r="E72143"/>
      <c r="F72143"/>
    </row>
    <row r="72144" spans="1:6" x14ac:dyDescent="0.25">
      <c r="A72144"/>
      <c r="B72144"/>
      <c r="C72144"/>
      <c r="E72144"/>
      <c r="F72144"/>
    </row>
    <row r="72145" spans="1:6" x14ac:dyDescent="0.25">
      <c r="A72145"/>
      <c r="B72145"/>
      <c r="C72145"/>
      <c r="E72145"/>
      <c r="F72145"/>
    </row>
    <row r="72146" spans="1:6" x14ac:dyDescent="0.25">
      <c r="A72146"/>
      <c r="B72146"/>
      <c r="C72146"/>
      <c r="E72146"/>
      <c r="F72146"/>
    </row>
    <row r="72147" spans="1:6" x14ac:dyDescent="0.25">
      <c r="A72147"/>
      <c r="B72147"/>
      <c r="C72147"/>
      <c r="E72147"/>
      <c r="F72147"/>
    </row>
    <row r="72148" spans="1:6" x14ac:dyDescent="0.25">
      <c r="A72148"/>
      <c r="B72148"/>
      <c r="C72148"/>
      <c r="E72148"/>
      <c r="F72148"/>
    </row>
    <row r="72149" spans="1:6" x14ac:dyDescent="0.25">
      <c r="A72149"/>
      <c r="B72149"/>
      <c r="C72149"/>
      <c r="E72149"/>
      <c r="F72149"/>
    </row>
    <row r="72150" spans="1:6" x14ac:dyDescent="0.25">
      <c r="A72150"/>
      <c r="B72150"/>
      <c r="C72150"/>
      <c r="E72150"/>
      <c r="F72150"/>
    </row>
    <row r="72151" spans="1:6" x14ac:dyDescent="0.25">
      <c r="A72151"/>
      <c r="B72151"/>
      <c r="C72151"/>
      <c r="E72151"/>
      <c r="F72151"/>
    </row>
    <row r="72152" spans="1:6" x14ac:dyDescent="0.25">
      <c r="A72152"/>
      <c r="B72152"/>
      <c r="C72152"/>
      <c r="E72152"/>
      <c r="F72152"/>
    </row>
    <row r="72153" spans="1:6" x14ac:dyDescent="0.25">
      <c r="A72153"/>
      <c r="B72153"/>
      <c r="C72153"/>
      <c r="E72153"/>
      <c r="F72153"/>
    </row>
    <row r="72154" spans="1:6" x14ac:dyDescent="0.25">
      <c r="A72154"/>
      <c r="B72154"/>
      <c r="C72154"/>
      <c r="E72154"/>
      <c r="F72154"/>
    </row>
    <row r="72155" spans="1:6" x14ac:dyDescent="0.25">
      <c r="A72155"/>
      <c r="B72155"/>
      <c r="C72155"/>
      <c r="E72155"/>
      <c r="F72155"/>
    </row>
    <row r="72156" spans="1:6" x14ac:dyDescent="0.25">
      <c r="A72156"/>
      <c r="B72156"/>
      <c r="C72156"/>
      <c r="E72156"/>
      <c r="F72156"/>
    </row>
    <row r="72157" spans="1:6" x14ac:dyDescent="0.25">
      <c r="A72157"/>
      <c r="B72157"/>
      <c r="C72157"/>
      <c r="E72157"/>
      <c r="F72157"/>
    </row>
    <row r="72158" spans="1:6" x14ac:dyDescent="0.25">
      <c r="A72158"/>
      <c r="B72158"/>
      <c r="C72158"/>
      <c r="E72158"/>
      <c r="F72158"/>
    </row>
    <row r="72159" spans="1:6" x14ac:dyDescent="0.25">
      <c r="A72159"/>
      <c r="B72159"/>
      <c r="C72159"/>
      <c r="E72159"/>
      <c r="F72159"/>
    </row>
    <row r="72160" spans="1:6" x14ac:dyDescent="0.25">
      <c r="A72160"/>
      <c r="B72160"/>
      <c r="C72160"/>
      <c r="E72160"/>
      <c r="F72160"/>
    </row>
    <row r="72161" spans="1:6" x14ac:dyDescent="0.25">
      <c r="A72161"/>
      <c r="B72161"/>
      <c r="C72161"/>
      <c r="E72161"/>
      <c r="F72161"/>
    </row>
    <row r="72162" spans="1:6" x14ac:dyDescent="0.25">
      <c r="A72162"/>
      <c r="B72162"/>
      <c r="C72162"/>
      <c r="E72162"/>
      <c r="F72162"/>
    </row>
    <row r="72163" spans="1:6" x14ac:dyDescent="0.25">
      <c r="A72163"/>
      <c r="B72163"/>
      <c r="C72163"/>
      <c r="E72163"/>
      <c r="F72163"/>
    </row>
    <row r="72164" spans="1:6" x14ac:dyDescent="0.25">
      <c r="A72164"/>
      <c r="B72164"/>
      <c r="C72164"/>
      <c r="E72164"/>
      <c r="F72164"/>
    </row>
    <row r="72165" spans="1:6" x14ac:dyDescent="0.25">
      <c r="A72165"/>
      <c r="B72165"/>
      <c r="C72165"/>
      <c r="E72165"/>
      <c r="F72165"/>
    </row>
    <row r="72166" spans="1:6" x14ac:dyDescent="0.25">
      <c r="A72166"/>
      <c r="B72166"/>
      <c r="C72166"/>
      <c r="E72166"/>
      <c r="F72166"/>
    </row>
    <row r="72167" spans="1:6" x14ac:dyDescent="0.25">
      <c r="A72167"/>
      <c r="B72167"/>
      <c r="C72167"/>
      <c r="E72167"/>
      <c r="F72167"/>
    </row>
    <row r="72168" spans="1:6" x14ac:dyDescent="0.25">
      <c r="A72168"/>
      <c r="B72168"/>
      <c r="C72168"/>
      <c r="E72168"/>
      <c r="F72168"/>
    </row>
    <row r="72169" spans="1:6" x14ac:dyDescent="0.25">
      <c r="A72169"/>
      <c r="B72169"/>
      <c r="C72169"/>
      <c r="E72169"/>
      <c r="F72169"/>
    </row>
    <row r="72170" spans="1:6" x14ac:dyDescent="0.25">
      <c r="A72170"/>
      <c r="B72170"/>
      <c r="C72170"/>
      <c r="E72170"/>
      <c r="F72170"/>
    </row>
    <row r="72171" spans="1:6" x14ac:dyDescent="0.25">
      <c r="A72171"/>
      <c r="B72171"/>
      <c r="C72171"/>
      <c r="E72171"/>
      <c r="F72171"/>
    </row>
    <row r="72172" spans="1:6" x14ac:dyDescent="0.25">
      <c r="A72172"/>
      <c r="B72172"/>
      <c r="C72172"/>
      <c r="E72172"/>
      <c r="F72172"/>
    </row>
    <row r="72173" spans="1:6" x14ac:dyDescent="0.25">
      <c r="A72173"/>
      <c r="B72173"/>
      <c r="C72173"/>
      <c r="E72173"/>
      <c r="F72173"/>
    </row>
    <row r="72174" spans="1:6" x14ac:dyDescent="0.25">
      <c r="A72174"/>
      <c r="B72174"/>
      <c r="C72174"/>
      <c r="E72174"/>
      <c r="F72174"/>
    </row>
    <row r="72175" spans="1:6" x14ac:dyDescent="0.25">
      <c r="A72175"/>
      <c r="B72175"/>
      <c r="C72175"/>
      <c r="E72175"/>
      <c r="F72175"/>
    </row>
    <row r="72176" spans="1:6" x14ac:dyDescent="0.25">
      <c r="A72176"/>
      <c r="B72176"/>
      <c r="C72176"/>
      <c r="E72176"/>
      <c r="F72176"/>
    </row>
    <row r="72177" spans="1:6" x14ac:dyDescent="0.25">
      <c r="A72177"/>
      <c r="B72177"/>
      <c r="C72177"/>
      <c r="E72177"/>
      <c r="F72177"/>
    </row>
    <row r="72178" spans="1:6" x14ac:dyDescent="0.25">
      <c r="A72178"/>
      <c r="B72178"/>
      <c r="C72178"/>
      <c r="E72178"/>
      <c r="F72178"/>
    </row>
    <row r="72179" spans="1:6" x14ac:dyDescent="0.25">
      <c r="A72179"/>
      <c r="B72179"/>
      <c r="C72179"/>
      <c r="E72179"/>
      <c r="F72179"/>
    </row>
    <row r="72180" spans="1:6" x14ac:dyDescent="0.25">
      <c r="A72180"/>
      <c r="B72180"/>
      <c r="C72180"/>
      <c r="E72180"/>
      <c r="F72180"/>
    </row>
    <row r="72181" spans="1:6" x14ac:dyDescent="0.25">
      <c r="A72181"/>
      <c r="B72181"/>
      <c r="C72181"/>
      <c r="E72181"/>
      <c r="F72181"/>
    </row>
    <row r="72182" spans="1:6" x14ac:dyDescent="0.25">
      <c r="A72182"/>
      <c r="B72182"/>
      <c r="C72182"/>
      <c r="E72182"/>
      <c r="F72182"/>
    </row>
    <row r="72183" spans="1:6" x14ac:dyDescent="0.25">
      <c r="A72183"/>
      <c r="B72183"/>
      <c r="C72183"/>
      <c r="E72183"/>
      <c r="F72183"/>
    </row>
    <row r="72184" spans="1:6" x14ac:dyDescent="0.25">
      <c r="A72184"/>
      <c r="B72184"/>
      <c r="C72184"/>
      <c r="E72184"/>
      <c r="F72184"/>
    </row>
    <row r="72185" spans="1:6" x14ac:dyDescent="0.25">
      <c r="A72185"/>
      <c r="B72185"/>
      <c r="C72185"/>
      <c r="E72185"/>
      <c r="F72185"/>
    </row>
    <row r="72186" spans="1:6" x14ac:dyDescent="0.25">
      <c r="A72186"/>
      <c r="B72186"/>
      <c r="C72186"/>
      <c r="E72186"/>
      <c r="F72186"/>
    </row>
    <row r="72187" spans="1:6" x14ac:dyDescent="0.25">
      <c r="A72187"/>
      <c r="B72187"/>
      <c r="C72187"/>
      <c r="E72187"/>
      <c r="F72187"/>
    </row>
    <row r="72188" spans="1:6" x14ac:dyDescent="0.25">
      <c r="A72188"/>
      <c r="B72188"/>
      <c r="C72188"/>
      <c r="E72188"/>
      <c r="F72188"/>
    </row>
    <row r="72189" spans="1:6" x14ac:dyDescent="0.25">
      <c r="A72189"/>
      <c r="B72189"/>
      <c r="C72189"/>
      <c r="E72189"/>
      <c r="F72189"/>
    </row>
    <row r="72190" spans="1:6" x14ac:dyDescent="0.25">
      <c r="A72190"/>
      <c r="B72190"/>
      <c r="C72190"/>
      <c r="E72190"/>
      <c r="F72190"/>
    </row>
    <row r="72191" spans="1:6" x14ac:dyDescent="0.25">
      <c r="A72191"/>
      <c r="B72191"/>
      <c r="C72191"/>
      <c r="E72191"/>
      <c r="F72191"/>
    </row>
    <row r="72192" spans="1:6" x14ac:dyDescent="0.25">
      <c r="A72192"/>
      <c r="B72192"/>
      <c r="C72192"/>
      <c r="E72192"/>
      <c r="F72192"/>
    </row>
    <row r="72193" spans="1:6" x14ac:dyDescent="0.25">
      <c r="A72193"/>
      <c r="B72193"/>
      <c r="C72193"/>
      <c r="E72193"/>
      <c r="F72193"/>
    </row>
    <row r="72194" spans="1:6" x14ac:dyDescent="0.25">
      <c r="A72194"/>
      <c r="B72194"/>
      <c r="C72194"/>
      <c r="E72194"/>
      <c r="F72194"/>
    </row>
    <row r="72195" spans="1:6" x14ac:dyDescent="0.25">
      <c r="A72195"/>
      <c r="B72195"/>
      <c r="C72195"/>
      <c r="E72195"/>
      <c r="F72195"/>
    </row>
    <row r="72196" spans="1:6" x14ac:dyDescent="0.25">
      <c r="A72196"/>
      <c r="B72196"/>
      <c r="C72196"/>
      <c r="E72196"/>
      <c r="F72196"/>
    </row>
    <row r="72197" spans="1:6" x14ac:dyDescent="0.25">
      <c r="A72197"/>
      <c r="B72197"/>
      <c r="C72197"/>
      <c r="E72197"/>
      <c r="F72197"/>
    </row>
    <row r="72198" spans="1:6" x14ac:dyDescent="0.25">
      <c r="A72198"/>
      <c r="B72198"/>
      <c r="C72198"/>
      <c r="E72198"/>
      <c r="F72198"/>
    </row>
    <row r="72199" spans="1:6" x14ac:dyDescent="0.25">
      <c r="A72199"/>
      <c r="B72199"/>
      <c r="C72199"/>
      <c r="E72199"/>
      <c r="F72199"/>
    </row>
    <row r="72200" spans="1:6" x14ac:dyDescent="0.25">
      <c r="A72200"/>
      <c r="B72200"/>
      <c r="C72200"/>
      <c r="E72200"/>
      <c r="F72200"/>
    </row>
    <row r="72201" spans="1:6" x14ac:dyDescent="0.25">
      <c r="A72201"/>
      <c r="B72201"/>
      <c r="C72201"/>
      <c r="E72201"/>
      <c r="F72201"/>
    </row>
    <row r="72202" spans="1:6" x14ac:dyDescent="0.25">
      <c r="A72202"/>
      <c r="B72202"/>
      <c r="C72202"/>
      <c r="E72202"/>
      <c r="F72202"/>
    </row>
    <row r="72203" spans="1:6" x14ac:dyDescent="0.25">
      <c r="A72203"/>
      <c r="B72203"/>
      <c r="C72203"/>
      <c r="E72203"/>
      <c r="F72203"/>
    </row>
    <row r="72204" spans="1:6" x14ac:dyDescent="0.25">
      <c r="A72204"/>
      <c r="B72204"/>
      <c r="C72204"/>
      <c r="E72204"/>
      <c r="F72204"/>
    </row>
    <row r="72205" spans="1:6" x14ac:dyDescent="0.25">
      <c r="A72205"/>
      <c r="B72205"/>
      <c r="C72205"/>
      <c r="E72205"/>
      <c r="F72205"/>
    </row>
    <row r="72206" spans="1:6" x14ac:dyDescent="0.25">
      <c r="A72206"/>
      <c r="B72206"/>
      <c r="C72206"/>
      <c r="E72206"/>
      <c r="F72206"/>
    </row>
    <row r="72207" spans="1:6" x14ac:dyDescent="0.25">
      <c r="A72207"/>
      <c r="B72207"/>
      <c r="C72207"/>
      <c r="E72207"/>
      <c r="F72207"/>
    </row>
    <row r="72208" spans="1:6" x14ac:dyDescent="0.25">
      <c r="A72208"/>
      <c r="B72208"/>
      <c r="C72208"/>
      <c r="E72208"/>
      <c r="F72208"/>
    </row>
    <row r="72209" spans="1:6" x14ac:dyDescent="0.25">
      <c r="A72209"/>
      <c r="B72209"/>
      <c r="C72209"/>
      <c r="E72209"/>
      <c r="F72209"/>
    </row>
    <row r="72210" spans="1:6" x14ac:dyDescent="0.25">
      <c r="A72210"/>
      <c r="B72210"/>
      <c r="C72210"/>
      <c r="E72210"/>
      <c r="F72210"/>
    </row>
    <row r="72211" spans="1:6" x14ac:dyDescent="0.25">
      <c r="A72211"/>
      <c r="B72211"/>
      <c r="C72211"/>
      <c r="E72211"/>
      <c r="F72211"/>
    </row>
    <row r="72212" spans="1:6" x14ac:dyDescent="0.25">
      <c r="A72212"/>
      <c r="B72212"/>
      <c r="C72212"/>
      <c r="E72212"/>
      <c r="F72212"/>
    </row>
    <row r="72213" spans="1:6" x14ac:dyDescent="0.25">
      <c r="A72213"/>
      <c r="B72213"/>
      <c r="C72213"/>
      <c r="E72213"/>
      <c r="F72213"/>
    </row>
    <row r="72214" spans="1:6" x14ac:dyDescent="0.25">
      <c r="A72214"/>
      <c r="B72214"/>
      <c r="C72214"/>
      <c r="E72214"/>
      <c r="F72214"/>
    </row>
    <row r="72215" spans="1:6" x14ac:dyDescent="0.25">
      <c r="A72215"/>
      <c r="B72215"/>
      <c r="C72215"/>
      <c r="E72215"/>
      <c r="F72215"/>
    </row>
    <row r="72216" spans="1:6" x14ac:dyDescent="0.25">
      <c r="A72216"/>
      <c r="B72216"/>
      <c r="C72216"/>
      <c r="E72216"/>
      <c r="F72216"/>
    </row>
    <row r="72217" spans="1:6" x14ac:dyDescent="0.25">
      <c r="A72217"/>
      <c r="B72217"/>
      <c r="C72217"/>
      <c r="E72217"/>
      <c r="F72217"/>
    </row>
    <row r="72218" spans="1:6" x14ac:dyDescent="0.25">
      <c r="A72218"/>
      <c r="B72218"/>
      <c r="C72218"/>
      <c r="E72218"/>
      <c r="F72218"/>
    </row>
    <row r="72219" spans="1:6" x14ac:dyDescent="0.25">
      <c r="A72219"/>
      <c r="B72219"/>
      <c r="C72219"/>
      <c r="E72219"/>
      <c r="F72219"/>
    </row>
    <row r="72220" spans="1:6" x14ac:dyDescent="0.25">
      <c r="A72220"/>
      <c r="B72220"/>
      <c r="C72220"/>
      <c r="E72220"/>
      <c r="F72220"/>
    </row>
    <row r="72221" spans="1:6" x14ac:dyDescent="0.25">
      <c r="A72221"/>
      <c r="B72221"/>
      <c r="C72221"/>
      <c r="E72221"/>
      <c r="F72221"/>
    </row>
    <row r="72222" spans="1:6" x14ac:dyDescent="0.25">
      <c r="A72222"/>
      <c r="B72222"/>
      <c r="C72222"/>
      <c r="E72222"/>
      <c r="F72222"/>
    </row>
    <row r="72223" spans="1:6" x14ac:dyDescent="0.25">
      <c r="A72223"/>
      <c r="B72223"/>
      <c r="C72223"/>
      <c r="E72223"/>
      <c r="F72223"/>
    </row>
    <row r="72224" spans="1:6" x14ac:dyDescent="0.25">
      <c r="A72224"/>
      <c r="B72224"/>
      <c r="C72224"/>
      <c r="E72224"/>
      <c r="F72224"/>
    </row>
    <row r="72225" spans="1:6" x14ac:dyDescent="0.25">
      <c r="A72225"/>
      <c r="B72225"/>
      <c r="C72225"/>
      <c r="E72225"/>
      <c r="F72225"/>
    </row>
    <row r="72226" spans="1:6" x14ac:dyDescent="0.25">
      <c r="A72226"/>
      <c r="B72226"/>
      <c r="C72226"/>
      <c r="E72226"/>
      <c r="F72226"/>
    </row>
    <row r="72227" spans="1:6" x14ac:dyDescent="0.25">
      <c r="A72227"/>
      <c r="B72227"/>
      <c r="C72227"/>
      <c r="E72227"/>
      <c r="F72227"/>
    </row>
    <row r="72228" spans="1:6" x14ac:dyDescent="0.25">
      <c r="A72228"/>
      <c r="B72228"/>
      <c r="C72228"/>
      <c r="E72228"/>
      <c r="F72228"/>
    </row>
    <row r="72229" spans="1:6" x14ac:dyDescent="0.25">
      <c r="A72229"/>
      <c r="B72229"/>
      <c r="C72229"/>
      <c r="E72229"/>
      <c r="F72229"/>
    </row>
    <row r="72230" spans="1:6" x14ac:dyDescent="0.25">
      <c r="A72230"/>
      <c r="B72230"/>
      <c r="C72230"/>
      <c r="E72230"/>
      <c r="F72230"/>
    </row>
    <row r="72231" spans="1:6" x14ac:dyDescent="0.25">
      <c r="A72231"/>
      <c r="B72231"/>
      <c r="C72231"/>
      <c r="E72231"/>
      <c r="F72231"/>
    </row>
    <row r="72232" spans="1:6" x14ac:dyDescent="0.25">
      <c r="A72232"/>
      <c r="B72232"/>
      <c r="C72232"/>
      <c r="E72232"/>
      <c r="F72232"/>
    </row>
    <row r="72233" spans="1:6" x14ac:dyDescent="0.25">
      <c r="A72233"/>
      <c r="B72233"/>
      <c r="C72233"/>
      <c r="E72233"/>
      <c r="F72233"/>
    </row>
    <row r="72234" spans="1:6" x14ac:dyDescent="0.25">
      <c r="A72234"/>
      <c r="B72234"/>
      <c r="C72234"/>
      <c r="E72234"/>
      <c r="F72234"/>
    </row>
    <row r="72235" spans="1:6" x14ac:dyDescent="0.25">
      <c r="A72235"/>
      <c r="B72235"/>
      <c r="C72235"/>
      <c r="E72235"/>
      <c r="F72235"/>
    </row>
    <row r="72236" spans="1:6" x14ac:dyDescent="0.25">
      <c r="A72236"/>
      <c r="B72236"/>
      <c r="C72236"/>
      <c r="E72236"/>
      <c r="F72236"/>
    </row>
    <row r="72237" spans="1:6" x14ac:dyDescent="0.25">
      <c r="A72237"/>
      <c r="B72237"/>
      <c r="C72237"/>
      <c r="E72237"/>
      <c r="F72237"/>
    </row>
    <row r="72238" spans="1:6" x14ac:dyDescent="0.25">
      <c r="A72238"/>
      <c r="B72238"/>
      <c r="C72238"/>
      <c r="E72238"/>
      <c r="F72238"/>
    </row>
    <row r="72239" spans="1:6" x14ac:dyDescent="0.25">
      <c r="A72239"/>
      <c r="B72239"/>
      <c r="C72239"/>
      <c r="E72239"/>
      <c r="F72239"/>
    </row>
    <row r="72240" spans="1:6" x14ac:dyDescent="0.25">
      <c r="A72240"/>
      <c r="B72240"/>
      <c r="C72240"/>
      <c r="E72240"/>
      <c r="F72240"/>
    </row>
    <row r="72241" spans="1:6" x14ac:dyDescent="0.25">
      <c r="A72241"/>
      <c r="B72241"/>
      <c r="C72241"/>
      <c r="E72241"/>
      <c r="F72241"/>
    </row>
    <row r="72242" spans="1:6" x14ac:dyDescent="0.25">
      <c r="A72242"/>
      <c r="B72242"/>
      <c r="C72242"/>
      <c r="E72242"/>
      <c r="F72242"/>
    </row>
    <row r="72243" spans="1:6" x14ac:dyDescent="0.25">
      <c r="A72243"/>
      <c r="B72243"/>
      <c r="C72243"/>
      <c r="E72243"/>
      <c r="F72243"/>
    </row>
    <row r="72244" spans="1:6" x14ac:dyDescent="0.25">
      <c r="A72244"/>
      <c r="B72244"/>
      <c r="C72244"/>
      <c r="E72244"/>
      <c r="F72244"/>
    </row>
    <row r="72245" spans="1:6" x14ac:dyDescent="0.25">
      <c r="A72245"/>
      <c r="B72245"/>
      <c r="C72245"/>
      <c r="E72245"/>
      <c r="F72245"/>
    </row>
    <row r="72246" spans="1:6" x14ac:dyDescent="0.25">
      <c r="A72246"/>
      <c r="B72246"/>
      <c r="C72246"/>
      <c r="E72246"/>
      <c r="F72246"/>
    </row>
    <row r="72247" spans="1:6" x14ac:dyDescent="0.25">
      <c r="A72247"/>
      <c r="B72247"/>
      <c r="C72247"/>
      <c r="E72247"/>
      <c r="F72247"/>
    </row>
    <row r="72248" spans="1:6" x14ac:dyDescent="0.25">
      <c r="A72248"/>
      <c r="B72248"/>
      <c r="C72248"/>
      <c r="E72248"/>
      <c r="F72248"/>
    </row>
    <row r="72249" spans="1:6" x14ac:dyDescent="0.25">
      <c r="A72249"/>
      <c r="B72249"/>
      <c r="C72249"/>
      <c r="E72249"/>
      <c r="F72249"/>
    </row>
    <row r="72250" spans="1:6" x14ac:dyDescent="0.25">
      <c r="A72250"/>
      <c r="B72250"/>
      <c r="C72250"/>
      <c r="E72250"/>
      <c r="F72250"/>
    </row>
    <row r="72251" spans="1:6" x14ac:dyDescent="0.25">
      <c r="A72251"/>
      <c r="B72251"/>
      <c r="C72251"/>
      <c r="E72251"/>
      <c r="F72251"/>
    </row>
    <row r="72252" spans="1:6" x14ac:dyDescent="0.25">
      <c r="A72252"/>
      <c r="B72252"/>
      <c r="C72252"/>
      <c r="E72252"/>
      <c r="F72252"/>
    </row>
    <row r="72253" spans="1:6" x14ac:dyDescent="0.25">
      <c r="A72253"/>
      <c r="B72253"/>
      <c r="C72253"/>
      <c r="E72253"/>
      <c r="F72253"/>
    </row>
    <row r="72254" spans="1:6" x14ac:dyDescent="0.25">
      <c r="A72254"/>
      <c r="B72254"/>
      <c r="C72254"/>
      <c r="E72254"/>
      <c r="F72254"/>
    </row>
    <row r="72255" spans="1:6" x14ac:dyDescent="0.25">
      <c r="A72255"/>
      <c r="B72255"/>
      <c r="C72255"/>
      <c r="E72255"/>
      <c r="F72255"/>
    </row>
    <row r="72256" spans="1:6" x14ac:dyDescent="0.25">
      <c r="A72256"/>
      <c r="B72256"/>
      <c r="C72256"/>
      <c r="E72256"/>
      <c r="F72256"/>
    </row>
    <row r="72257" spans="1:6" x14ac:dyDescent="0.25">
      <c r="A72257"/>
      <c r="B72257"/>
      <c r="C72257"/>
      <c r="E72257"/>
      <c r="F72257"/>
    </row>
    <row r="72258" spans="1:6" x14ac:dyDescent="0.25">
      <c r="A72258"/>
      <c r="B72258"/>
      <c r="C72258"/>
      <c r="E72258"/>
      <c r="F72258"/>
    </row>
    <row r="72259" spans="1:6" x14ac:dyDescent="0.25">
      <c r="A72259"/>
      <c r="B72259"/>
      <c r="C72259"/>
      <c r="E72259"/>
      <c r="F72259"/>
    </row>
    <row r="72260" spans="1:6" x14ac:dyDescent="0.25">
      <c r="A72260"/>
      <c r="B72260"/>
      <c r="C72260"/>
      <c r="E72260"/>
      <c r="F72260"/>
    </row>
    <row r="72261" spans="1:6" x14ac:dyDescent="0.25">
      <c r="A72261"/>
      <c r="B72261"/>
      <c r="C72261"/>
      <c r="E72261"/>
      <c r="F72261"/>
    </row>
    <row r="72262" spans="1:6" x14ac:dyDescent="0.25">
      <c r="A72262"/>
      <c r="B72262"/>
      <c r="C72262"/>
      <c r="E72262"/>
      <c r="F72262"/>
    </row>
    <row r="72263" spans="1:6" x14ac:dyDescent="0.25">
      <c r="A72263"/>
      <c r="B72263"/>
      <c r="C72263"/>
      <c r="E72263"/>
      <c r="F72263"/>
    </row>
    <row r="72264" spans="1:6" x14ac:dyDescent="0.25">
      <c r="A72264"/>
      <c r="B72264"/>
      <c r="C72264"/>
      <c r="E72264"/>
      <c r="F72264"/>
    </row>
    <row r="72265" spans="1:6" x14ac:dyDescent="0.25">
      <c r="A72265"/>
      <c r="B72265"/>
      <c r="C72265"/>
      <c r="E72265"/>
      <c r="F72265"/>
    </row>
    <row r="72266" spans="1:6" x14ac:dyDescent="0.25">
      <c r="A72266"/>
      <c r="B72266"/>
      <c r="C72266"/>
      <c r="E72266"/>
      <c r="F72266"/>
    </row>
    <row r="72267" spans="1:6" x14ac:dyDescent="0.25">
      <c r="A72267"/>
      <c r="B72267"/>
      <c r="C72267"/>
      <c r="E72267"/>
      <c r="F72267"/>
    </row>
    <row r="72268" spans="1:6" x14ac:dyDescent="0.25">
      <c r="A72268"/>
      <c r="B72268"/>
      <c r="C72268"/>
      <c r="E72268"/>
      <c r="F72268"/>
    </row>
    <row r="72269" spans="1:6" x14ac:dyDescent="0.25">
      <c r="A72269"/>
      <c r="B72269"/>
      <c r="C72269"/>
      <c r="E72269"/>
      <c r="F72269"/>
    </row>
    <row r="72270" spans="1:6" x14ac:dyDescent="0.25">
      <c r="A72270"/>
      <c r="B72270"/>
      <c r="C72270"/>
      <c r="E72270"/>
      <c r="F72270"/>
    </row>
    <row r="72271" spans="1:6" x14ac:dyDescent="0.25">
      <c r="A72271"/>
      <c r="B72271"/>
      <c r="C72271"/>
      <c r="E72271"/>
      <c r="F72271"/>
    </row>
    <row r="72272" spans="1:6" x14ac:dyDescent="0.25">
      <c r="A72272"/>
      <c r="B72272"/>
      <c r="C72272"/>
      <c r="E72272"/>
      <c r="F72272"/>
    </row>
    <row r="72273" spans="1:6" x14ac:dyDescent="0.25">
      <c r="A72273"/>
      <c r="B72273"/>
      <c r="C72273"/>
      <c r="E72273"/>
      <c r="F72273"/>
    </row>
    <row r="72274" spans="1:6" x14ac:dyDescent="0.25">
      <c r="A72274"/>
      <c r="B72274"/>
      <c r="C72274"/>
      <c r="E72274"/>
      <c r="F72274"/>
    </row>
    <row r="72275" spans="1:6" x14ac:dyDescent="0.25">
      <c r="A72275"/>
      <c r="B72275"/>
      <c r="C72275"/>
      <c r="E72275"/>
      <c r="F72275"/>
    </row>
    <row r="72276" spans="1:6" x14ac:dyDescent="0.25">
      <c r="A72276"/>
      <c r="B72276"/>
      <c r="C72276"/>
      <c r="E72276"/>
      <c r="F72276"/>
    </row>
    <row r="72277" spans="1:6" x14ac:dyDescent="0.25">
      <c r="A72277"/>
      <c r="B72277"/>
      <c r="C72277"/>
      <c r="E72277"/>
      <c r="F72277"/>
    </row>
    <row r="72278" spans="1:6" x14ac:dyDescent="0.25">
      <c r="A72278"/>
      <c r="B72278"/>
      <c r="C72278"/>
      <c r="E72278"/>
      <c r="F72278"/>
    </row>
    <row r="72279" spans="1:6" x14ac:dyDescent="0.25">
      <c r="A72279"/>
      <c r="B72279"/>
      <c r="C72279"/>
      <c r="E72279"/>
      <c r="F72279"/>
    </row>
    <row r="72280" spans="1:6" x14ac:dyDescent="0.25">
      <c r="A72280"/>
      <c r="B72280"/>
      <c r="C72280"/>
      <c r="E72280"/>
      <c r="F72280"/>
    </row>
    <row r="72281" spans="1:6" x14ac:dyDescent="0.25">
      <c r="A72281"/>
      <c r="B72281"/>
      <c r="C72281"/>
      <c r="E72281"/>
      <c r="F72281"/>
    </row>
    <row r="72282" spans="1:6" x14ac:dyDescent="0.25">
      <c r="A72282"/>
      <c r="B72282"/>
      <c r="C72282"/>
      <c r="E72282"/>
      <c r="F72282"/>
    </row>
    <row r="72283" spans="1:6" x14ac:dyDescent="0.25">
      <c r="A72283"/>
      <c r="B72283"/>
      <c r="C72283"/>
      <c r="E72283"/>
      <c r="F72283"/>
    </row>
    <row r="72284" spans="1:6" x14ac:dyDescent="0.25">
      <c r="A72284"/>
      <c r="B72284"/>
      <c r="C72284"/>
      <c r="E72284"/>
      <c r="F72284"/>
    </row>
    <row r="72285" spans="1:6" x14ac:dyDescent="0.25">
      <c r="A72285"/>
      <c r="B72285"/>
      <c r="C72285"/>
      <c r="E72285"/>
      <c r="F72285"/>
    </row>
    <row r="72286" spans="1:6" x14ac:dyDescent="0.25">
      <c r="A72286"/>
      <c r="B72286"/>
      <c r="C72286"/>
      <c r="E72286"/>
      <c r="F72286"/>
    </row>
    <row r="72287" spans="1:6" x14ac:dyDescent="0.25">
      <c r="A72287"/>
      <c r="B72287"/>
      <c r="C72287"/>
      <c r="E72287"/>
      <c r="F72287"/>
    </row>
    <row r="72288" spans="1:6" x14ac:dyDescent="0.25">
      <c r="A72288"/>
      <c r="B72288"/>
      <c r="C72288"/>
      <c r="E72288"/>
      <c r="F72288"/>
    </row>
    <row r="72289" spans="1:6" x14ac:dyDescent="0.25">
      <c r="A72289"/>
      <c r="B72289"/>
      <c r="C72289"/>
      <c r="E72289"/>
      <c r="F72289"/>
    </row>
    <row r="72290" spans="1:6" x14ac:dyDescent="0.25">
      <c r="A72290"/>
      <c r="B72290"/>
      <c r="C72290"/>
      <c r="E72290"/>
      <c r="F72290"/>
    </row>
    <row r="72291" spans="1:6" x14ac:dyDescent="0.25">
      <c r="A72291"/>
      <c r="B72291"/>
      <c r="C72291"/>
      <c r="E72291"/>
      <c r="F72291"/>
    </row>
    <row r="72292" spans="1:6" x14ac:dyDescent="0.25">
      <c r="A72292"/>
      <c r="B72292"/>
      <c r="C72292"/>
      <c r="E72292"/>
      <c r="F72292"/>
    </row>
    <row r="72293" spans="1:6" x14ac:dyDescent="0.25">
      <c r="A72293"/>
      <c r="B72293"/>
      <c r="C72293"/>
      <c r="E72293"/>
      <c r="F72293"/>
    </row>
    <row r="72294" spans="1:6" x14ac:dyDescent="0.25">
      <c r="A72294"/>
      <c r="B72294"/>
      <c r="C72294"/>
      <c r="E72294"/>
      <c r="F72294"/>
    </row>
    <row r="72295" spans="1:6" x14ac:dyDescent="0.25">
      <c r="A72295"/>
      <c r="B72295"/>
      <c r="C72295"/>
      <c r="E72295"/>
      <c r="F72295"/>
    </row>
    <row r="72296" spans="1:6" x14ac:dyDescent="0.25">
      <c r="A72296"/>
      <c r="B72296"/>
      <c r="C72296"/>
      <c r="E72296"/>
      <c r="F72296"/>
    </row>
    <row r="72297" spans="1:6" x14ac:dyDescent="0.25">
      <c r="A72297"/>
      <c r="B72297"/>
      <c r="C72297"/>
      <c r="E72297"/>
      <c r="F72297"/>
    </row>
    <row r="72298" spans="1:6" x14ac:dyDescent="0.25">
      <c r="A72298"/>
      <c r="B72298"/>
      <c r="C72298"/>
      <c r="E72298"/>
      <c r="F72298"/>
    </row>
    <row r="72299" spans="1:6" x14ac:dyDescent="0.25">
      <c r="A72299"/>
      <c r="B72299"/>
      <c r="C72299"/>
      <c r="E72299"/>
      <c r="F72299"/>
    </row>
    <row r="72300" spans="1:6" x14ac:dyDescent="0.25">
      <c r="A72300"/>
      <c r="B72300"/>
      <c r="C72300"/>
      <c r="E72300"/>
      <c r="F72300"/>
    </row>
    <row r="72301" spans="1:6" x14ac:dyDescent="0.25">
      <c r="A72301"/>
      <c r="B72301"/>
      <c r="C72301"/>
      <c r="E72301"/>
      <c r="F72301"/>
    </row>
    <row r="72302" spans="1:6" x14ac:dyDescent="0.25">
      <c r="A72302"/>
      <c r="B72302"/>
      <c r="C72302"/>
      <c r="E72302"/>
      <c r="F72302"/>
    </row>
    <row r="72303" spans="1:6" x14ac:dyDescent="0.25">
      <c r="A72303"/>
      <c r="B72303"/>
      <c r="C72303"/>
      <c r="E72303"/>
      <c r="F72303"/>
    </row>
    <row r="72304" spans="1:6" x14ac:dyDescent="0.25">
      <c r="A72304"/>
      <c r="B72304"/>
      <c r="C72304"/>
      <c r="E72304"/>
      <c r="F72304"/>
    </row>
    <row r="72305" spans="1:6" x14ac:dyDescent="0.25">
      <c r="A72305"/>
      <c r="B72305"/>
      <c r="C72305"/>
      <c r="E72305"/>
      <c r="F72305"/>
    </row>
    <row r="72306" spans="1:6" x14ac:dyDescent="0.25">
      <c r="A72306"/>
      <c r="B72306"/>
      <c r="C72306"/>
      <c r="E72306"/>
      <c r="F72306"/>
    </row>
    <row r="72307" spans="1:6" x14ac:dyDescent="0.25">
      <c r="A72307"/>
      <c r="B72307"/>
      <c r="C72307"/>
      <c r="E72307"/>
      <c r="F72307"/>
    </row>
    <row r="72308" spans="1:6" x14ac:dyDescent="0.25">
      <c r="A72308"/>
      <c r="B72308"/>
      <c r="C72308"/>
      <c r="E72308"/>
      <c r="F72308"/>
    </row>
    <row r="72309" spans="1:6" x14ac:dyDescent="0.25">
      <c r="A72309"/>
      <c r="B72309"/>
      <c r="C72309"/>
      <c r="E72309"/>
      <c r="F72309"/>
    </row>
    <row r="72310" spans="1:6" x14ac:dyDescent="0.25">
      <c r="A72310"/>
      <c r="B72310"/>
      <c r="C72310"/>
      <c r="E72310"/>
      <c r="F72310"/>
    </row>
    <row r="72311" spans="1:6" x14ac:dyDescent="0.25">
      <c r="A72311"/>
      <c r="B72311"/>
      <c r="C72311"/>
      <c r="E72311"/>
      <c r="F72311"/>
    </row>
    <row r="72312" spans="1:6" x14ac:dyDescent="0.25">
      <c r="A72312"/>
      <c r="B72312"/>
      <c r="C72312"/>
      <c r="E72312"/>
      <c r="F72312"/>
    </row>
    <row r="72313" spans="1:6" x14ac:dyDescent="0.25">
      <c r="A72313"/>
      <c r="B72313"/>
      <c r="C72313"/>
      <c r="E72313"/>
      <c r="F72313"/>
    </row>
    <row r="72314" spans="1:6" x14ac:dyDescent="0.25">
      <c r="A72314"/>
      <c r="B72314"/>
      <c r="C72314"/>
      <c r="E72314"/>
      <c r="F72314"/>
    </row>
    <row r="72315" spans="1:6" x14ac:dyDescent="0.25">
      <c r="A72315"/>
      <c r="B72315"/>
      <c r="C72315"/>
      <c r="E72315"/>
      <c r="F72315"/>
    </row>
    <row r="72316" spans="1:6" x14ac:dyDescent="0.25">
      <c r="A72316"/>
      <c r="B72316"/>
      <c r="C72316"/>
      <c r="E72316"/>
      <c r="F72316"/>
    </row>
    <row r="72317" spans="1:6" x14ac:dyDescent="0.25">
      <c r="A72317"/>
      <c r="B72317"/>
      <c r="C72317"/>
      <c r="E72317"/>
      <c r="F72317"/>
    </row>
    <row r="72318" spans="1:6" x14ac:dyDescent="0.25">
      <c r="A72318"/>
      <c r="B72318"/>
      <c r="C72318"/>
      <c r="E72318"/>
      <c r="F72318"/>
    </row>
    <row r="72319" spans="1:6" x14ac:dyDescent="0.25">
      <c r="A72319"/>
      <c r="B72319"/>
      <c r="C72319"/>
      <c r="E72319"/>
      <c r="F72319"/>
    </row>
    <row r="72320" spans="1:6" x14ac:dyDescent="0.25">
      <c r="A72320"/>
      <c r="B72320"/>
      <c r="C72320"/>
      <c r="E72320"/>
      <c r="F72320"/>
    </row>
    <row r="72321" spans="1:6" x14ac:dyDescent="0.25">
      <c r="A72321"/>
      <c r="B72321"/>
      <c r="C72321"/>
      <c r="E72321"/>
      <c r="F72321"/>
    </row>
    <row r="72322" spans="1:6" x14ac:dyDescent="0.25">
      <c r="A72322"/>
      <c r="B72322"/>
      <c r="C72322"/>
      <c r="E72322"/>
      <c r="F72322"/>
    </row>
    <row r="72323" spans="1:6" x14ac:dyDescent="0.25">
      <c r="A72323"/>
      <c r="B72323"/>
      <c r="C72323"/>
      <c r="E72323"/>
      <c r="F72323"/>
    </row>
    <row r="72324" spans="1:6" x14ac:dyDescent="0.25">
      <c r="A72324"/>
      <c r="B72324"/>
      <c r="C72324"/>
      <c r="E72324"/>
      <c r="F72324"/>
    </row>
    <row r="72325" spans="1:6" x14ac:dyDescent="0.25">
      <c r="A72325"/>
      <c r="B72325"/>
      <c r="C72325"/>
      <c r="E72325"/>
      <c r="F72325"/>
    </row>
    <row r="72326" spans="1:6" x14ac:dyDescent="0.25">
      <c r="A72326"/>
      <c r="B72326"/>
      <c r="C72326"/>
      <c r="E72326"/>
      <c r="F72326"/>
    </row>
    <row r="72327" spans="1:6" x14ac:dyDescent="0.25">
      <c r="A72327"/>
      <c r="B72327"/>
      <c r="C72327"/>
      <c r="E72327"/>
      <c r="F72327"/>
    </row>
    <row r="72328" spans="1:6" x14ac:dyDescent="0.25">
      <c r="A72328"/>
      <c r="B72328"/>
      <c r="C72328"/>
      <c r="E72328"/>
      <c r="F72328"/>
    </row>
    <row r="72329" spans="1:6" x14ac:dyDescent="0.25">
      <c r="A72329"/>
      <c r="B72329"/>
      <c r="C72329"/>
      <c r="E72329"/>
      <c r="F72329"/>
    </row>
    <row r="72330" spans="1:6" x14ac:dyDescent="0.25">
      <c r="A72330"/>
      <c r="B72330"/>
      <c r="C72330"/>
      <c r="E72330"/>
      <c r="F72330"/>
    </row>
    <row r="72331" spans="1:6" x14ac:dyDescent="0.25">
      <c r="A72331"/>
      <c r="B72331"/>
      <c r="C72331"/>
      <c r="E72331"/>
      <c r="F72331"/>
    </row>
    <row r="72332" spans="1:6" x14ac:dyDescent="0.25">
      <c r="A72332"/>
      <c r="B72332"/>
      <c r="C72332"/>
      <c r="E72332"/>
      <c r="F72332"/>
    </row>
    <row r="72333" spans="1:6" x14ac:dyDescent="0.25">
      <c r="A72333"/>
      <c r="B72333"/>
      <c r="C72333"/>
      <c r="E72333"/>
      <c r="F72333"/>
    </row>
    <row r="72334" spans="1:6" x14ac:dyDescent="0.25">
      <c r="A72334"/>
      <c r="B72334"/>
      <c r="C72334"/>
      <c r="E72334"/>
      <c r="F72334"/>
    </row>
    <row r="72335" spans="1:6" x14ac:dyDescent="0.25">
      <c r="A72335"/>
      <c r="B72335"/>
      <c r="C72335"/>
      <c r="E72335"/>
      <c r="F72335"/>
    </row>
    <row r="72336" spans="1:6" x14ac:dyDescent="0.25">
      <c r="A72336"/>
      <c r="B72336"/>
      <c r="C72336"/>
      <c r="E72336"/>
      <c r="F72336"/>
    </row>
    <row r="72337" spans="1:6" x14ac:dyDescent="0.25">
      <c r="A72337"/>
      <c r="B72337"/>
      <c r="C72337"/>
      <c r="E72337"/>
      <c r="F72337"/>
    </row>
    <row r="72338" spans="1:6" x14ac:dyDescent="0.25">
      <c r="A72338"/>
      <c r="B72338"/>
      <c r="C72338"/>
      <c r="E72338"/>
      <c r="F72338"/>
    </row>
    <row r="72339" spans="1:6" x14ac:dyDescent="0.25">
      <c r="A72339"/>
      <c r="B72339"/>
      <c r="C72339"/>
      <c r="E72339"/>
      <c r="F72339"/>
    </row>
    <row r="72340" spans="1:6" x14ac:dyDescent="0.25">
      <c r="A72340"/>
      <c r="B72340"/>
      <c r="C72340"/>
      <c r="E72340"/>
      <c r="F72340"/>
    </row>
    <row r="72341" spans="1:6" x14ac:dyDescent="0.25">
      <c r="A72341"/>
      <c r="B72341"/>
      <c r="C72341"/>
      <c r="E72341"/>
      <c r="F72341"/>
    </row>
    <row r="72342" spans="1:6" x14ac:dyDescent="0.25">
      <c r="A72342"/>
      <c r="B72342"/>
      <c r="C72342"/>
      <c r="E72342"/>
      <c r="F72342"/>
    </row>
    <row r="72343" spans="1:6" x14ac:dyDescent="0.25">
      <c r="A72343"/>
      <c r="B72343"/>
      <c r="C72343"/>
      <c r="E72343"/>
      <c r="F72343"/>
    </row>
    <row r="72344" spans="1:6" x14ac:dyDescent="0.25">
      <c r="A72344"/>
      <c r="B72344"/>
      <c r="C72344"/>
      <c r="E72344"/>
      <c r="F72344"/>
    </row>
    <row r="72345" spans="1:6" x14ac:dyDescent="0.25">
      <c r="A72345"/>
      <c r="B72345"/>
      <c r="C72345"/>
      <c r="E72345"/>
      <c r="F72345"/>
    </row>
    <row r="72346" spans="1:6" x14ac:dyDescent="0.25">
      <c r="A72346"/>
      <c r="B72346"/>
      <c r="C72346"/>
      <c r="E72346"/>
      <c r="F72346"/>
    </row>
    <row r="72347" spans="1:6" x14ac:dyDescent="0.25">
      <c r="A72347"/>
      <c r="B72347"/>
      <c r="C72347"/>
      <c r="E72347"/>
      <c r="F72347"/>
    </row>
    <row r="72348" spans="1:6" x14ac:dyDescent="0.25">
      <c r="A72348"/>
      <c r="B72348"/>
      <c r="C72348"/>
      <c r="E72348"/>
      <c r="F72348"/>
    </row>
    <row r="72349" spans="1:6" x14ac:dyDescent="0.25">
      <c r="A72349"/>
      <c r="B72349"/>
      <c r="C72349"/>
      <c r="E72349"/>
      <c r="F72349"/>
    </row>
    <row r="72350" spans="1:6" x14ac:dyDescent="0.25">
      <c r="A72350"/>
      <c r="B72350"/>
      <c r="C72350"/>
      <c r="E72350"/>
      <c r="F72350"/>
    </row>
    <row r="72351" spans="1:6" x14ac:dyDescent="0.25">
      <c r="A72351"/>
      <c r="B72351"/>
      <c r="C72351"/>
      <c r="E72351"/>
      <c r="F72351"/>
    </row>
    <row r="72352" spans="1:6" x14ac:dyDescent="0.25">
      <c r="A72352"/>
      <c r="B72352"/>
      <c r="C72352"/>
      <c r="E72352"/>
      <c r="F72352"/>
    </row>
    <row r="72353" spans="1:6" x14ac:dyDescent="0.25">
      <c r="A72353"/>
      <c r="B72353"/>
      <c r="C72353"/>
      <c r="E72353"/>
      <c r="F72353"/>
    </row>
    <row r="72354" spans="1:6" x14ac:dyDescent="0.25">
      <c r="A72354"/>
      <c r="B72354"/>
      <c r="C72354"/>
      <c r="E72354"/>
      <c r="F72354"/>
    </row>
    <row r="72355" spans="1:6" x14ac:dyDescent="0.25">
      <c r="A72355"/>
      <c r="B72355"/>
      <c r="C72355"/>
      <c r="E72355"/>
      <c r="F72355"/>
    </row>
    <row r="72356" spans="1:6" x14ac:dyDescent="0.25">
      <c r="A72356"/>
      <c r="B72356"/>
      <c r="C72356"/>
      <c r="E72356"/>
      <c r="F72356"/>
    </row>
    <row r="72357" spans="1:6" x14ac:dyDescent="0.25">
      <c r="A72357"/>
      <c r="B72357"/>
      <c r="C72357"/>
      <c r="E72357"/>
      <c r="F72357"/>
    </row>
    <row r="72358" spans="1:6" x14ac:dyDescent="0.25">
      <c r="A72358"/>
      <c r="B72358"/>
      <c r="C72358"/>
      <c r="E72358"/>
      <c r="F72358"/>
    </row>
    <row r="72359" spans="1:6" x14ac:dyDescent="0.25">
      <c r="A72359"/>
      <c r="B72359"/>
      <c r="C72359"/>
      <c r="E72359"/>
      <c r="F72359"/>
    </row>
    <row r="72360" spans="1:6" x14ac:dyDescent="0.25">
      <c r="A72360"/>
      <c r="B72360"/>
      <c r="C72360"/>
      <c r="E72360"/>
      <c r="F72360"/>
    </row>
    <row r="72361" spans="1:6" x14ac:dyDescent="0.25">
      <c r="A72361"/>
      <c r="B72361"/>
      <c r="C72361"/>
      <c r="E72361"/>
      <c r="F72361"/>
    </row>
    <row r="72362" spans="1:6" x14ac:dyDescent="0.25">
      <c r="A72362"/>
      <c r="B72362"/>
      <c r="C72362"/>
      <c r="E72362"/>
      <c r="F72362"/>
    </row>
    <row r="72363" spans="1:6" x14ac:dyDescent="0.25">
      <c r="A72363"/>
      <c r="B72363"/>
      <c r="C72363"/>
      <c r="E72363"/>
      <c r="F72363"/>
    </row>
    <row r="72364" spans="1:6" x14ac:dyDescent="0.25">
      <c r="A72364"/>
      <c r="B72364"/>
      <c r="C72364"/>
      <c r="E72364"/>
      <c r="F72364"/>
    </row>
    <row r="72365" spans="1:6" x14ac:dyDescent="0.25">
      <c r="A72365"/>
      <c r="B72365"/>
      <c r="C72365"/>
      <c r="E72365"/>
      <c r="F72365"/>
    </row>
    <row r="72366" spans="1:6" x14ac:dyDescent="0.25">
      <c r="A72366"/>
      <c r="B72366"/>
      <c r="C72366"/>
      <c r="E72366"/>
      <c r="F72366"/>
    </row>
    <row r="72367" spans="1:6" x14ac:dyDescent="0.25">
      <c r="A72367"/>
      <c r="B72367"/>
      <c r="C72367"/>
      <c r="E72367"/>
      <c r="F72367"/>
    </row>
    <row r="72368" spans="1:6" x14ac:dyDescent="0.25">
      <c r="A72368"/>
      <c r="B72368"/>
      <c r="C72368"/>
      <c r="E72368"/>
      <c r="F72368"/>
    </row>
    <row r="72369" spans="1:6" x14ac:dyDescent="0.25">
      <c r="A72369"/>
      <c r="B72369"/>
      <c r="C72369"/>
      <c r="E72369"/>
      <c r="F72369"/>
    </row>
    <row r="72370" spans="1:6" x14ac:dyDescent="0.25">
      <c r="A72370"/>
      <c r="B72370"/>
      <c r="C72370"/>
      <c r="E72370"/>
      <c r="F72370"/>
    </row>
    <row r="72371" spans="1:6" x14ac:dyDescent="0.25">
      <c r="A72371"/>
      <c r="B72371"/>
      <c r="C72371"/>
      <c r="E72371"/>
      <c r="F72371"/>
    </row>
    <row r="72372" spans="1:6" x14ac:dyDescent="0.25">
      <c r="A72372"/>
      <c r="B72372"/>
      <c r="C72372"/>
      <c r="E72372"/>
      <c r="F72372"/>
    </row>
    <row r="72373" spans="1:6" x14ac:dyDescent="0.25">
      <c r="A72373"/>
      <c r="B72373"/>
      <c r="C72373"/>
      <c r="E72373"/>
      <c r="F72373"/>
    </row>
    <row r="72374" spans="1:6" x14ac:dyDescent="0.25">
      <c r="A72374"/>
      <c r="B72374"/>
      <c r="C72374"/>
      <c r="E72374"/>
      <c r="F72374"/>
    </row>
    <row r="72375" spans="1:6" x14ac:dyDescent="0.25">
      <c r="A72375"/>
      <c r="B72375"/>
      <c r="C72375"/>
      <c r="E72375"/>
      <c r="F72375"/>
    </row>
    <row r="72376" spans="1:6" x14ac:dyDescent="0.25">
      <c r="A72376"/>
      <c r="B72376"/>
      <c r="C72376"/>
      <c r="E72376"/>
      <c r="F72376"/>
    </row>
    <row r="72377" spans="1:6" x14ac:dyDescent="0.25">
      <c r="A72377"/>
      <c r="B72377"/>
      <c r="C72377"/>
      <c r="E72377"/>
      <c r="F72377"/>
    </row>
    <row r="72378" spans="1:6" x14ac:dyDescent="0.25">
      <c r="A72378"/>
      <c r="B72378"/>
      <c r="C72378"/>
      <c r="E72378"/>
      <c r="F72378"/>
    </row>
    <row r="72379" spans="1:6" x14ac:dyDescent="0.25">
      <c r="A72379"/>
      <c r="B72379"/>
      <c r="C72379"/>
      <c r="E72379"/>
      <c r="F72379"/>
    </row>
    <row r="72380" spans="1:6" x14ac:dyDescent="0.25">
      <c r="A72380"/>
      <c r="B72380"/>
      <c r="C72380"/>
      <c r="E72380"/>
      <c r="F72380"/>
    </row>
    <row r="72381" spans="1:6" x14ac:dyDescent="0.25">
      <c r="A72381"/>
      <c r="B72381"/>
      <c r="C72381"/>
      <c r="E72381"/>
      <c r="F72381"/>
    </row>
    <row r="72382" spans="1:6" x14ac:dyDescent="0.25">
      <c r="A72382"/>
      <c r="B72382"/>
      <c r="C72382"/>
      <c r="E72382"/>
      <c r="F72382"/>
    </row>
    <row r="72383" spans="1:6" x14ac:dyDescent="0.25">
      <c r="A72383"/>
      <c r="B72383"/>
      <c r="C72383"/>
      <c r="E72383"/>
      <c r="F72383"/>
    </row>
    <row r="72384" spans="1:6" x14ac:dyDescent="0.25">
      <c r="A72384"/>
      <c r="B72384"/>
      <c r="C72384"/>
      <c r="E72384"/>
      <c r="F72384"/>
    </row>
    <row r="72385" spans="1:6" x14ac:dyDescent="0.25">
      <c r="A72385"/>
      <c r="B72385"/>
      <c r="C72385"/>
      <c r="E72385"/>
      <c r="F72385"/>
    </row>
    <row r="72386" spans="1:6" x14ac:dyDescent="0.25">
      <c r="A72386"/>
      <c r="B72386"/>
      <c r="C72386"/>
      <c r="E72386"/>
      <c r="F72386"/>
    </row>
    <row r="72387" spans="1:6" x14ac:dyDescent="0.25">
      <c r="A72387"/>
      <c r="B72387"/>
      <c r="C72387"/>
      <c r="E72387"/>
      <c r="F72387"/>
    </row>
    <row r="72388" spans="1:6" x14ac:dyDescent="0.25">
      <c r="A72388"/>
      <c r="B72388"/>
      <c r="C72388"/>
      <c r="E72388"/>
      <c r="F72388"/>
    </row>
    <row r="72389" spans="1:6" x14ac:dyDescent="0.25">
      <c r="A72389"/>
      <c r="B72389"/>
      <c r="C72389"/>
      <c r="E72389"/>
      <c r="F72389"/>
    </row>
    <row r="72390" spans="1:6" x14ac:dyDescent="0.25">
      <c r="A72390"/>
      <c r="B72390"/>
      <c r="C72390"/>
      <c r="E72390"/>
      <c r="F72390"/>
    </row>
    <row r="72391" spans="1:6" x14ac:dyDescent="0.25">
      <c r="A72391"/>
      <c r="B72391"/>
      <c r="C72391"/>
      <c r="E72391"/>
      <c r="F72391"/>
    </row>
    <row r="72392" spans="1:6" x14ac:dyDescent="0.25">
      <c r="A72392"/>
      <c r="B72392"/>
      <c r="C72392"/>
      <c r="E72392"/>
      <c r="F72392"/>
    </row>
    <row r="72393" spans="1:6" x14ac:dyDescent="0.25">
      <c r="A72393"/>
      <c r="B72393"/>
      <c r="C72393"/>
      <c r="E72393"/>
      <c r="F72393"/>
    </row>
    <row r="72394" spans="1:6" x14ac:dyDescent="0.25">
      <c r="A72394"/>
      <c r="B72394"/>
      <c r="C72394"/>
      <c r="E72394"/>
      <c r="F72394"/>
    </row>
    <row r="72395" spans="1:6" x14ac:dyDescent="0.25">
      <c r="A72395"/>
      <c r="B72395"/>
      <c r="C72395"/>
      <c r="E72395"/>
      <c r="F72395"/>
    </row>
    <row r="72396" spans="1:6" x14ac:dyDescent="0.25">
      <c r="A72396"/>
      <c r="B72396"/>
      <c r="C72396"/>
      <c r="E72396"/>
      <c r="F72396"/>
    </row>
    <row r="72397" spans="1:6" x14ac:dyDescent="0.25">
      <c r="A72397"/>
      <c r="B72397"/>
      <c r="C72397"/>
      <c r="E72397"/>
      <c r="F72397"/>
    </row>
    <row r="72398" spans="1:6" x14ac:dyDescent="0.25">
      <c r="A72398"/>
      <c r="B72398"/>
      <c r="C72398"/>
      <c r="E72398"/>
      <c r="F72398"/>
    </row>
    <row r="72399" spans="1:6" x14ac:dyDescent="0.25">
      <c r="A72399"/>
      <c r="B72399"/>
      <c r="C72399"/>
      <c r="E72399"/>
      <c r="F72399"/>
    </row>
    <row r="72400" spans="1:6" x14ac:dyDescent="0.25">
      <c r="A72400"/>
      <c r="B72400"/>
      <c r="C72400"/>
      <c r="E72400"/>
      <c r="F72400"/>
    </row>
    <row r="72401" spans="1:6" x14ac:dyDescent="0.25">
      <c r="A72401"/>
      <c r="B72401"/>
      <c r="C72401"/>
      <c r="E72401"/>
      <c r="F72401"/>
    </row>
    <row r="72402" spans="1:6" x14ac:dyDescent="0.25">
      <c r="A72402"/>
      <c r="B72402"/>
      <c r="C72402"/>
      <c r="E72402"/>
      <c r="F72402"/>
    </row>
    <row r="72403" spans="1:6" x14ac:dyDescent="0.25">
      <c r="A72403"/>
      <c r="B72403"/>
      <c r="C72403"/>
      <c r="E72403"/>
      <c r="F72403"/>
    </row>
    <row r="72404" spans="1:6" x14ac:dyDescent="0.25">
      <c r="A72404"/>
      <c r="B72404"/>
      <c r="C72404"/>
      <c r="E72404"/>
      <c r="F72404"/>
    </row>
    <row r="72405" spans="1:6" x14ac:dyDescent="0.25">
      <c r="A72405"/>
      <c r="B72405"/>
      <c r="C72405"/>
      <c r="E72405"/>
      <c r="F72405"/>
    </row>
    <row r="72406" spans="1:6" x14ac:dyDescent="0.25">
      <c r="A72406"/>
      <c r="B72406"/>
      <c r="C72406"/>
      <c r="E72406"/>
      <c r="F72406"/>
    </row>
    <row r="72407" spans="1:6" x14ac:dyDescent="0.25">
      <c r="A72407"/>
      <c r="B72407"/>
      <c r="C72407"/>
      <c r="E72407"/>
      <c r="F72407"/>
    </row>
    <row r="72408" spans="1:6" x14ac:dyDescent="0.25">
      <c r="A72408"/>
      <c r="B72408"/>
      <c r="C72408"/>
      <c r="E72408"/>
      <c r="F72408"/>
    </row>
    <row r="72409" spans="1:6" x14ac:dyDescent="0.25">
      <c r="A72409"/>
      <c r="B72409"/>
      <c r="C72409"/>
      <c r="E72409"/>
      <c r="F72409"/>
    </row>
    <row r="72410" spans="1:6" x14ac:dyDescent="0.25">
      <c r="A72410"/>
      <c r="B72410"/>
      <c r="C72410"/>
      <c r="E72410"/>
      <c r="F72410"/>
    </row>
    <row r="72411" spans="1:6" x14ac:dyDescent="0.25">
      <c r="A72411"/>
      <c r="B72411"/>
      <c r="C72411"/>
      <c r="E72411"/>
      <c r="F72411"/>
    </row>
    <row r="72412" spans="1:6" x14ac:dyDescent="0.25">
      <c r="A72412"/>
      <c r="B72412"/>
      <c r="C72412"/>
      <c r="E72412"/>
      <c r="F72412"/>
    </row>
    <row r="72413" spans="1:6" x14ac:dyDescent="0.25">
      <c r="A72413"/>
      <c r="B72413"/>
      <c r="C72413"/>
      <c r="E72413"/>
      <c r="F72413"/>
    </row>
    <row r="72414" spans="1:6" x14ac:dyDescent="0.25">
      <c r="A72414"/>
      <c r="B72414"/>
      <c r="C72414"/>
      <c r="E72414"/>
      <c r="F72414"/>
    </row>
    <row r="72415" spans="1:6" x14ac:dyDescent="0.25">
      <c r="A72415"/>
      <c r="B72415"/>
      <c r="C72415"/>
      <c r="E72415"/>
      <c r="F72415"/>
    </row>
    <row r="72416" spans="1:6" x14ac:dyDescent="0.25">
      <c r="A72416"/>
      <c r="B72416"/>
      <c r="C72416"/>
      <c r="E72416"/>
      <c r="F72416"/>
    </row>
    <row r="72417" spans="1:6" x14ac:dyDescent="0.25">
      <c r="A72417"/>
      <c r="B72417"/>
      <c r="C72417"/>
      <c r="E72417"/>
      <c r="F72417"/>
    </row>
    <row r="72418" spans="1:6" x14ac:dyDescent="0.25">
      <c r="A72418"/>
      <c r="B72418"/>
      <c r="C72418"/>
      <c r="E72418"/>
      <c r="F72418"/>
    </row>
    <row r="72419" spans="1:6" x14ac:dyDescent="0.25">
      <c r="A72419"/>
      <c r="B72419"/>
      <c r="C72419"/>
      <c r="E72419"/>
      <c r="F72419"/>
    </row>
    <row r="72420" spans="1:6" x14ac:dyDescent="0.25">
      <c r="A72420"/>
      <c r="B72420"/>
      <c r="C72420"/>
      <c r="E72420"/>
      <c r="F72420"/>
    </row>
    <row r="72421" spans="1:6" x14ac:dyDescent="0.25">
      <c r="A72421"/>
      <c r="B72421"/>
      <c r="C72421"/>
      <c r="E72421"/>
      <c r="F72421"/>
    </row>
    <row r="72422" spans="1:6" x14ac:dyDescent="0.25">
      <c r="A72422"/>
      <c r="B72422"/>
      <c r="C72422"/>
      <c r="E72422"/>
      <c r="F72422"/>
    </row>
    <row r="72423" spans="1:6" x14ac:dyDescent="0.25">
      <c r="A72423"/>
      <c r="B72423"/>
      <c r="C72423"/>
      <c r="E72423"/>
      <c r="F72423"/>
    </row>
    <row r="72424" spans="1:6" x14ac:dyDescent="0.25">
      <c r="A72424"/>
      <c r="B72424"/>
      <c r="C72424"/>
      <c r="E72424"/>
      <c r="F72424"/>
    </row>
    <row r="72425" spans="1:6" x14ac:dyDescent="0.25">
      <c r="A72425"/>
      <c r="B72425"/>
      <c r="C72425"/>
      <c r="E72425"/>
      <c r="F72425"/>
    </row>
    <row r="72426" spans="1:6" x14ac:dyDescent="0.25">
      <c r="A72426"/>
      <c r="B72426"/>
      <c r="C72426"/>
      <c r="E72426"/>
      <c r="F72426"/>
    </row>
    <row r="72427" spans="1:6" x14ac:dyDescent="0.25">
      <c r="A72427"/>
      <c r="B72427"/>
      <c r="C72427"/>
      <c r="E72427"/>
      <c r="F72427"/>
    </row>
    <row r="72428" spans="1:6" x14ac:dyDescent="0.25">
      <c r="A72428"/>
      <c r="B72428"/>
      <c r="C72428"/>
      <c r="E72428"/>
      <c r="F72428"/>
    </row>
    <row r="72429" spans="1:6" x14ac:dyDescent="0.25">
      <c r="A72429"/>
      <c r="B72429"/>
      <c r="C72429"/>
      <c r="E72429"/>
      <c r="F72429"/>
    </row>
    <row r="72430" spans="1:6" x14ac:dyDescent="0.25">
      <c r="A72430"/>
      <c r="B72430"/>
      <c r="C72430"/>
      <c r="E72430"/>
      <c r="F72430"/>
    </row>
    <row r="72431" spans="1:6" x14ac:dyDescent="0.25">
      <c r="A72431"/>
      <c r="B72431"/>
      <c r="C72431"/>
      <c r="E72431"/>
      <c r="F72431"/>
    </row>
    <row r="72432" spans="1:6" x14ac:dyDescent="0.25">
      <c r="A72432"/>
      <c r="B72432"/>
      <c r="C72432"/>
      <c r="E72432"/>
      <c r="F72432"/>
    </row>
    <row r="72433" spans="1:6" x14ac:dyDescent="0.25">
      <c r="A72433"/>
      <c r="B72433"/>
      <c r="C72433"/>
      <c r="E72433"/>
      <c r="F72433"/>
    </row>
    <row r="72434" spans="1:6" x14ac:dyDescent="0.25">
      <c r="A72434"/>
      <c r="B72434"/>
      <c r="C72434"/>
      <c r="E72434"/>
      <c r="F72434"/>
    </row>
    <row r="72435" spans="1:6" x14ac:dyDescent="0.25">
      <c r="A72435"/>
      <c r="B72435"/>
      <c r="C72435"/>
      <c r="E72435"/>
      <c r="F72435"/>
    </row>
    <row r="72436" spans="1:6" x14ac:dyDescent="0.25">
      <c r="A72436"/>
      <c r="B72436"/>
      <c r="C72436"/>
      <c r="E72436"/>
      <c r="F72436"/>
    </row>
    <row r="72437" spans="1:6" x14ac:dyDescent="0.25">
      <c r="A72437"/>
      <c r="B72437"/>
      <c r="C72437"/>
      <c r="E72437"/>
      <c r="F72437"/>
    </row>
    <row r="72438" spans="1:6" x14ac:dyDescent="0.25">
      <c r="A72438"/>
      <c r="B72438"/>
      <c r="C72438"/>
      <c r="E72438"/>
      <c r="F72438"/>
    </row>
    <row r="72439" spans="1:6" x14ac:dyDescent="0.25">
      <c r="A72439"/>
      <c r="B72439"/>
      <c r="C72439"/>
      <c r="E72439"/>
      <c r="F72439"/>
    </row>
    <row r="72440" spans="1:6" x14ac:dyDescent="0.25">
      <c r="A72440"/>
      <c r="B72440"/>
      <c r="C72440"/>
      <c r="E72440"/>
      <c r="F72440"/>
    </row>
    <row r="72441" spans="1:6" x14ac:dyDescent="0.25">
      <c r="A72441"/>
      <c r="B72441"/>
      <c r="C72441"/>
      <c r="E72441"/>
      <c r="F72441"/>
    </row>
    <row r="72442" spans="1:6" x14ac:dyDescent="0.25">
      <c r="A72442"/>
      <c r="B72442"/>
      <c r="C72442"/>
      <c r="E72442"/>
      <c r="F72442"/>
    </row>
    <row r="72443" spans="1:6" x14ac:dyDescent="0.25">
      <c r="A72443"/>
      <c r="B72443"/>
      <c r="C72443"/>
      <c r="E72443"/>
      <c r="F72443"/>
    </row>
    <row r="72444" spans="1:6" x14ac:dyDescent="0.25">
      <c r="A72444"/>
      <c r="B72444"/>
      <c r="C72444"/>
      <c r="E72444"/>
      <c r="F72444"/>
    </row>
    <row r="72445" spans="1:6" x14ac:dyDescent="0.25">
      <c r="A72445"/>
      <c r="B72445"/>
      <c r="C72445"/>
      <c r="E72445"/>
      <c r="F72445"/>
    </row>
    <row r="72446" spans="1:6" x14ac:dyDescent="0.25">
      <c r="A72446"/>
      <c r="B72446"/>
      <c r="C72446"/>
      <c r="E72446"/>
      <c r="F72446"/>
    </row>
    <row r="72447" spans="1:6" x14ac:dyDescent="0.25">
      <c r="A72447"/>
      <c r="B72447"/>
      <c r="C72447"/>
      <c r="E72447"/>
      <c r="F72447"/>
    </row>
    <row r="72448" spans="1:6" x14ac:dyDescent="0.25">
      <c r="A72448"/>
      <c r="B72448"/>
      <c r="C72448"/>
      <c r="E72448"/>
      <c r="F72448"/>
    </row>
    <row r="72449" spans="1:6" x14ac:dyDescent="0.25">
      <c r="A72449"/>
      <c r="B72449"/>
      <c r="C72449"/>
      <c r="E72449"/>
      <c r="F72449"/>
    </row>
    <row r="72450" spans="1:6" x14ac:dyDescent="0.25">
      <c r="A72450"/>
      <c r="B72450"/>
      <c r="C72450"/>
      <c r="E72450"/>
      <c r="F72450"/>
    </row>
    <row r="72451" spans="1:6" x14ac:dyDescent="0.25">
      <c r="A72451"/>
      <c r="B72451"/>
      <c r="C72451"/>
      <c r="E72451"/>
      <c r="F72451"/>
    </row>
    <row r="72452" spans="1:6" x14ac:dyDescent="0.25">
      <c r="A72452"/>
      <c r="B72452"/>
      <c r="C72452"/>
      <c r="E72452"/>
      <c r="F72452"/>
    </row>
    <row r="72453" spans="1:6" x14ac:dyDescent="0.25">
      <c r="A72453"/>
      <c r="B72453"/>
      <c r="C72453"/>
      <c r="E72453"/>
      <c r="F72453"/>
    </row>
    <row r="72454" spans="1:6" x14ac:dyDescent="0.25">
      <c r="A72454"/>
      <c r="B72454"/>
      <c r="C72454"/>
      <c r="E72454"/>
      <c r="F72454"/>
    </row>
    <row r="72455" spans="1:6" x14ac:dyDescent="0.25">
      <c r="A72455"/>
      <c r="B72455"/>
      <c r="C72455"/>
      <c r="E72455"/>
      <c r="F72455"/>
    </row>
    <row r="72456" spans="1:6" x14ac:dyDescent="0.25">
      <c r="A72456"/>
      <c r="B72456"/>
      <c r="C72456"/>
      <c r="E72456"/>
      <c r="F72456"/>
    </row>
    <row r="72457" spans="1:6" x14ac:dyDescent="0.25">
      <c r="A72457"/>
      <c r="B72457"/>
      <c r="C72457"/>
      <c r="E72457"/>
      <c r="F72457"/>
    </row>
    <row r="72458" spans="1:6" x14ac:dyDescent="0.25">
      <c r="A72458"/>
      <c r="B72458"/>
      <c r="C72458"/>
      <c r="E72458"/>
      <c r="F72458"/>
    </row>
    <row r="72459" spans="1:6" x14ac:dyDescent="0.25">
      <c r="A72459"/>
      <c r="B72459"/>
      <c r="C72459"/>
      <c r="E72459"/>
      <c r="F72459"/>
    </row>
    <row r="72460" spans="1:6" x14ac:dyDescent="0.25">
      <c r="A72460"/>
      <c r="B72460"/>
      <c r="C72460"/>
      <c r="E72460"/>
      <c r="F72460"/>
    </row>
    <row r="72461" spans="1:6" x14ac:dyDescent="0.25">
      <c r="A72461"/>
      <c r="B72461"/>
      <c r="C72461"/>
      <c r="E72461"/>
      <c r="F72461"/>
    </row>
    <row r="72462" spans="1:6" x14ac:dyDescent="0.25">
      <c r="A72462"/>
      <c r="B72462"/>
      <c r="C72462"/>
      <c r="E72462"/>
      <c r="F72462"/>
    </row>
    <row r="72463" spans="1:6" x14ac:dyDescent="0.25">
      <c r="A72463"/>
      <c r="B72463"/>
      <c r="C72463"/>
      <c r="E72463"/>
      <c r="F72463"/>
    </row>
    <row r="72464" spans="1:6" x14ac:dyDescent="0.25">
      <c r="A72464"/>
      <c r="B72464"/>
      <c r="C72464"/>
      <c r="E72464"/>
      <c r="F72464"/>
    </row>
    <row r="72465" spans="1:6" x14ac:dyDescent="0.25">
      <c r="A72465"/>
      <c r="B72465"/>
      <c r="C72465"/>
      <c r="E72465"/>
      <c r="F72465"/>
    </row>
    <row r="72466" spans="1:6" x14ac:dyDescent="0.25">
      <c r="A72466"/>
      <c r="B72466"/>
      <c r="C72466"/>
      <c r="E72466"/>
      <c r="F72466"/>
    </row>
    <row r="72467" spans="1:6" x14ac:dyDescent="0.25">
      <c r="A72467"/>
      <c r="B72467"/>
      <c r="C72467"/>
      <c r="E72467"/>
      <c r="F72467"/>
    </row>
    <row r="72468" spans="1:6" x14ac:dyDescent="0.25">
      <c r="A72468"/>
      <c r="B72468"/>
      <c r="C72468"/>
      <c r="E72468"/>
      <c r="F72468"/>
    </row>
    <row r="72469" spans="1:6" x14ac:dyDescent="0.25">
      <c r="A72469"/>
      <c r="B72469"/>
      <c r="C72469"/>
      <c r="E72469"/>
      <c r="F72469"/>
    </row>
    <row r="72470" spans="1:6" x14ac:dyDescent="0.25">
      <c r="A72470"/>
      <c r="B72470"/>
      <c r="C72470"/>
      <c r="E72470"/>
      <c r="F72470"/>
    </row>
    <row r="72471" spans="1:6" x14ac:dyDescent="0.25">
      <c r="A72471"/>
      <c r="B72471"/>
      <c r="C72471"/>
      <c r="E72471"/>
      <c r="F72471"/>
    </row>
    <row r="72472" spans="1:6" x14ac:dyDescent="0.25">
      <c r="A72472"/>
      <c r="B72472"/>
      <c r="C72472"/>
      <c r="E72472"/>
      <c r="F72472"/>
    </row>
    <row r="72473" spans="1:6" x14ac:dyDescent="0.25">
      <c r="A72473"/>
      <c r="B72473"/>
      <c r="C72473"/>
      <c r="E72473"/>
      <c r="F72473"/>
    </row>
    <row r="72474" spans="1:6" x14ac:dyDescent="0.25">
      <c r="A72474"/>
      <c r="B72474"/>
      <c r="C72474"/>
      <c r="E72474"/>
      <c r="F72474"/>
    </row>
    <row r="72475" spans="1:6" x14ac:dyDescent="0.25">
      <c r="A72475"/>
      <c r="B72475"/>
      <c r="C72475"/>
      <c r="E72475"/>
      <c r="F72475"/>
    </row>
    <row r="72476" spans="1:6" x14ac:dyDescent="0.25">
      <c r="A72476"/>
      <c r="B72476"/>
      <c r="C72476"/>
      <c r="E72476"/>
      <c r="F72476"/>
    </row>
    <row r="72477" spans="1:6" x14ac:dyDescent="0.25">
      <c r="A72477"/>
      <c r="B72477"/>
      <c r="C72477"/>
      <c r="E72477"/>
      <c r="F72477"/>
    </row>
    <row r="72478" spans="1:6" x14ac:dyDescent="0.25">
      <c r="A72478"/>
      <c r="B72478"/>
      <c r="C72478"/>
      <c r="E72478"/>
      <c r="F72478"/>
    </row>
    <row r="72479" spans="1:6" x14ac:dyDescent="0.25">
      <c r="A72479"/>
      <c r="B72479"/>
      <c r="C72479"/>
      <c r="E72479"/>
      <c r="F72479"/>
    </row>
    <row r="72480" spans="1:6" x14ac:dyDescent="0.25">
      <c r="A72480"/>
      <c r="B72480"/>
      <c r="C72480"/>
      <c r="E72480"/>
      <c r="F72480"/>
    </row>
    <row r="72481" spans="1:6" x14ac:dyDescent="0.25">
      <c r="A72481"/>
      <c r="B72481"/>
      <c r="C72481"/>
      <c r="E72481"/>
      <c r="F72481"/>
    </row>
    <row r="72482" spans="1:6" x14ac:dyDescent="0.25">
      <c r="A72482"/>
      <c r="B72482"/>
      <c r="C72482"/>
      <c r="E72482"/>
      <c r="F72482"/>
    </row>
    <row r="72483" spans="1:6" x14ac:dyDescent="0.25">
      <c r="A72483"/>
      <c r="B72483"/>
      <c r="C72483"/>
      <c r="E72483"/>
      <c r="F72483"/>
    </row>
    <row r="72484" spans="1:6" x14ac:dyDescent="0.25">
      <c r="A72484"/>
      <c r="B72484"/>
      <c r="C72484"/>
      <c r="E72484"/>
      <c r="F72484"/>
    </row>
    <row r="72485" spans="1:6" x14ac:dyDescent="0.25">
      <c r="A72485"/>
      <c r="B72485"/>
      <c r="C72485"/>
      <c r="E72485"/>
      <c r="F72485"/>
    </row>
    <row r="72486" spans="1:6" x14ac:dyDescent="0.25">
      <c r="A72486"/>
      <c r="B72486"/>
      <c r="C72486"/>
      <c r="E72486"/>
      <c r="F72486"/>
    </row>
    <row r="72487" spans="1:6" x14ac:dyDescent="0.25">
      <c r="A72487"/>
      <c r="B72487"/>
      <c r="C72487"/>
      <c r="E72487"/>
      <c r="F72487"/>
    </row>
    <row r="72488" spans="1:6" x14ac:dyDescent="0.25">
      <c r="A72488"/>
      <c r="B72488"/>
      <c r="C72488"/>
      <c r="E72488"/>
      <c r="F72488"/>
    </row>
    <row r="72489" spans="1:6" x14ac:dyDescent="0.25">
      <c r="A72489"/>
      <c r="B72489"/>
      <c r="C72489"/>
      <c r="E72489"/>
      <c r="F72489"/>
    </row>
    <row r="72490" spans="1:6" x14ac:dyDescent="0.25">
      <c r="A72490"/>
      <c r="B72490"/>
      <c r="C72490"/>
      <c r="E72490"/>
      <c r="F72490"/>
    </row>
    <row r="72491" spans="1:6" x14ac:dyDescent="0.25">
      <c r="A72491"/>
      <c r="B72491"/>
      <c r="C72491"/>
      <c r="E72491"/>
      <c r="F72491"/>
    </row>
    <row r="72492" spans="1:6" x14ac:dyDescent="0.25">
      <c r="A72492"/>
      <c r="B72492"/>
      <c r="C72492"/>
      <c r="E72492"/>
      <c r="F72492"/>
    </row>
    <row r="72493" spans="1:6" x14ac:dyDescent="0.25">
      <c r="A72493"/>
      <c r="B72493"/>
      <c r="C72493"/>
      <c r="E72493"/>
      <c r="F72493"/>
    </row>
    <row r="72494" spans="1:6" x14ac:dyDescent="0.25">
      <c r="A72494"/>
      <c r="B72494"/>
      <c r="C72494"/>
      <c r="E72494"/>
      <c r="F72494"/>
    </row>
    <row r="72495" spans="1:6" x14ac:dyDescent="0.25">
      <c r="A72495"/>
      <c r="B72495"/>
      <c r="C72495"/>
      <c r="E72495"/>
      <c r="F72495"/>
    </row>
    <row r="72496" spans="1:6" x14ac:dyDescent="0.25">
      <c r="A72496"/>
      <c r="B72496"/>
      <c r="C72496"/>
      <c r="E72496"/>
      <c r="F72496"/>
    </row>
    <row r="72497" spans="1:6" x14ac:dyDescent="0.25">
      <c r="A72497"/>
      <c r="B72497"/>
      <c r="C72497"/>
      <c r="E72497"/>
      <c r="F72497"/>
    </row>
    <row r="72498" spans="1:6" x14ac:dyDescent="0.25">
      <c r="A72498"/>
      <c r="B72498"/>
      <c r="C72498"/>
      <c r="E72498"/>
      <c r="F72498"/>
    </row>
    <row r="72499" spans="1:6" x14ac:dyDescent="0.25">
      <c r="A72499"/>
      <c r="B72499"/>
      <c r="C72499"/>
      <c r="E72499"/>
      <c r="F72499"/>
    </row>
    <row r="72500" spans="1:6" x14ac:dyDescent="0.25">
      <c r="A72500"/>
      <c r="B72500"/>
      <c r="C72500"/>
      <c r="E72500"/>
      <c r="F72500"/>
    </row>
    <row r="72501" spans="1:6" x14ac:dyDescent="0.25">
      <c r="A72501"/>
      <c r="B72501"/>
      <c r="C72501"/>
      <c r="E72501"/>
      <c r="F72501"/>
    </row>
    <row r="72502" spans="1:6" x14ac:dyDescent="0.25">
      <c r="A72502"/>
      <c r="B72502"/>
      <c r="C72502"/>
      <c r="E72502"/>
      <c r="F72502"/>
    </row>
    <row r="72503" spans="1:6" x14ac:dyDescent="0.25">
      <c r="A72503"/>
      <c r="B72503"/>
      <c r="C72503"/>
      <c r="E72503"/>
      <c r="F72503"/>
    </row>
    <row r="72504" spans="1:6" x14ac:dyDescent="0.25">
      <c r="A72504"/>
      <c r="B72504"/>
      <c r="C72504"/>
      <c r="E72504"/>
      <c r="F72504"/>
    </row>
    <row r="72505" spans="1:6" x14ac:dyDescent="0.25">
      <c r="A72505"/>
      <c r="B72505"/>
      <c r="C72505"/>
      <c r="E72505"/>
      <c r="F72505"/>
    </row>
    <row r="72506" spans="1:6" x14ac:dyDescent="0.25">
      <c r="A72506"/>
      <c r="B72506"/>
      <c r="C72506"/>
      <c r="E72506"/>
      <c r="F72506"/>
    </row>
    <row r="72507" spans="1:6" x14ac:dyDescent="0.25">
      <c r="A72507"/>
      <c r="B72507"/>
      <c r="C72507"/>
      <c r="E72507"/>
      <c r="F72507"/>
    </row>
    <row r="72508" spans="1:6" x14ac:dyDescent="0.25">
      <c r="A72508"/>
      <c r="B72508"/>
      <c r="C72508"/>
      <c r="E72508"/>
      <c r="F72508"/>
    </row>
    <row r="72509" spans="1:6" x14ac:dyDescent="0.25">
      <c r="A72509"/>
      <c r="B72509"/>
      <c r="C72509"/>
      <c r="E72509"/>
      <c r="F72509"/>
    </row>
    <row r="72510" spans="1:6" x14ac:dyDescent="0.25">
      <c r="A72510"/>
      <c r="B72510"/>
      <c r="C72510"/>
      <c r="E72510"/>
      <c r="F72510"/>
    </row>
    <row r="72511" spans="1:6" x14ac:dyDescent="0.25">
      <c r="A72511"/>
      <c r="B72511"/>
      <c r="C72511"/>
      <c r="E72511"/>
      <c r="F72511"/>
    </row>
    <row r="72512" spans="1:6" x14ac:dyDescent="0.25">
      <c r="A72512"/>
      <c r="B72512"/>
      <c r="C72512"/>
      <c r="E72512"/>
      <c r="F72512"/>
    </row>
    <row r="72513" spans="1:6" x14ac:dyDescent="0.25">
      <c r="A72513"/>
      <c r="B72513"/>
      <c r="C72513"/>
      <c r="E72513"/>
      <c r="F72513"/>
    </row>
    <row r="72514" spans="1:6" x14ac:dyDescent="0.25">
      <c r="A72514"/>
      <c r="B72514"/>
      <c r="C72514"/>
      <c r="E72514"/>
      <c r="F72514"/>
    </row>
    <row r="72515" spans="1:6" x14ac:dyDescent="0.25">
      <c r="A72515"/>
      <c r="B72515"/>
      <c r="C72515"/>
      <c r="E72515"/>
      <c r="F72515"/>
    </row>
    <row r="72516" spans="1:6" x14ac:dyDescent="0.25">
      <c r="A72516"/>
      <c r="B72516"/>
      <c r="C72516"/>
      <c r="E72516"/>
      <c r="F72516"/>
    </row>
    <row r="72517" spans="1:6" x14ac:dyDescent="0.25">
      <c r="A72517"/>
      <c r="B72517"/>
      <c r="C72517"/>
      <c r="E72517"/>
      <c r="F72517"/>
    </row>
    <row r="72518" spans="1:6" x14ac:dyDescent="0.25">
      <c r="A72518"/>
      <c r="B72518"/>
      <c r="C72518"/>
      <c r="E72518"/>
      <c r="F72518"/>
    </row>
    <row r="72519" spans="1:6" x14ac:dyDescent="0.25">
      <c r="A72519"/>
      <c r="B72519"/>
      <c r="C72519"/>
      <c r="E72519"/>
      <c r="F72519"/>
    </row>
    <row r="72520" spans="1:6" x14ac:dyDescent="0.25">
      <c r="A72520"/>
      <c r="B72520"/>
      <c r="C72520"/>
      <c r="E72520"/>
      <c r="F72520"/>
    </row>
    <row r="72521" spans="1:6" x14ac:dyDescent="0.25">
      <c r="A72521"/>
      <c r="B72521"/>
      <c r="C72521"/>
      <c r="E72521"/>
      <c r="F72521"/>
    </row>
    <row r="72522" spans="1:6" x14ac:dyDescent="0.25">
      <c r="A72522"/>
      <c r="B72522"/>
      <c r="C72522"/>
      <c r="E72522"/>
      <c r="F72522"/>
    </row>
    <row r="72523" spans="1:6" x14ac:dyDescent="0.25">
      <c r="A72523"/>
      <c r="B72523"/>
      <c r="C72523"/>
      <c r="E72523"/>
      <c r="F72523"/>
    </row>
    <row r="72524" spans="1:6" x14ac:dyDescent="0.25">
      <c r="A72524"/>
      <c r="B72524"/>
      <c r="C72524"/>
      <c r="E72524"/>
      <c r="F72524"/>
    </row>
    <row r="72525" spans="1:6" x14ac:dyDescent="0.25">
      <c r="A72525"/>
      <c r="B72525"/>
      <c r="C72525"/>
      <c r="E72525"/>
      <c r="F72525"/>
    </row>
    <row r="72526" spans="1:6" x14ac:dyDescent="0.25">
      <c r="A72526"/>
      <c r="B72526"/>
      <c r="C72526"/>
      <c r="E72526"/>
      <c r="F72526"/>
    </row>
    <row r="72527" spans="1:6" x14ac:dyDescent="0.25">
      <c r="A72527"/>
      <c r="B72527"/>
      <c r="C72527"/>
      <c r="E72527"/>
      <c r="F72527"/>
    </row>
    <row r="72528" spans="1:6" x14ac:dyDescent="0.25">
      <c r="A72528"/>
      <c r="B72528"/>
      <c r="C72528"/>
      <c r="E72528"/>
      <c r="F72528"/>
    </row>
    <row r="72529" spans="1:6" x14ac:dyDescent="0.25">
      <c r="A72529"/>
      <c r="B72529"/>
      <c r="C72529"/>
      <c r="E72529"/>
      <c r="F72529"/>
    </row>
    <row r="72530" spans="1:6" x14ac:dyDescent="0.25">
      <c r="A72530"/>
      <c r="B72530"/>
      <c r="C72530"/>
      <c r="E72530"/>
      <c r="F72530"/>
    </row>
    <row r="72531" spans="1:6" x14ac:dyDescent="0.25">
      <c r="A72531"/>
      <c r="B72531"/>
      <c r="C72531"/>
      <c r="E72531"/>
      <c r="F72531"/>
    </row>
    <row r="72532" spans="1:6" x14ac:dyDescent="0.25">
      <c r="A72532"/>
      <c r="B72532"/>
      <c r="C72532"/>
      <c r="E72532"/>
      <c r="F72532"/>
    </row>
    <row r="72533" spans="1:6" x14ac:dyDescent="0.25">
      <c r="A72533"/>
      <c r="B72533"/>
      <c r="C72533"/>
      <c r="E72533"/>
      <c r="F72533"/>
    </row>
    <row r="72534" spans="1:6" x14ac:dyDescent="0.25">
      <c r="A72534"/>
      <c r="B72534"/>
      <c r="C72534"/>
      <c r="E72534"/>
      <c r="F72534"/>
    </row>
    <row r="72535" spans="1:6" x14ac:dyDescent="0.25">
      <c r="A72535"/>
      <c r="B72535"/>
      <c r="C72535"/>
      <c r="E72535"/>
      <c r="F72535"/>
    </row>
    <row r="72536" spans="1:6" x14ac:dyDescent="0.25">
      <c r="A72536"/>
      <c r="B72536"/>
      <c r="C72536"/>
      <c r="E72536"/>
      <c r="F72536"/>
    </row>
    <row r="72537" spans="1:6" x14ac:dyDescent="0.25">
      <c r="A72537"/>
      <c r="B72537"/>
      <c r="C72537"/>
      <c r="E72537"/>
      <c r="F72537"/>
    </row>
    <row r="72538" spans="1:6" x14ac:dyDescent="0.25">
      <c r="A72538"/>
      <c r="B72538"/>
      <c r="C72538"/>
      <c r="E72538"/>
      <c r="F72538"/>
    </row>
    <row r="72539" spans="1:6" x14ac:dyDescent="0.25">
      <c r="A72539"/>
      <c r="B72539"/>
      <c r="C72539"/>
      <c r="E72539"/>
      <c r="F72539"/>
    </row>
    <row r="72540" spans="1:6" x14ac:dyDescent="0.25">
      <c r="A72540"/>
      <c r="B72540"/>
      <c r="C72540"/>
      <c r="E72540"/>
      <c r="F72540"/>
    </row>
    <row r="72541" spans="1:6" x14ac:dyDescent="0.25">
      <c r="A72541"/>
      <c r="B72541"/>
      <c r="C72541"/>
      <c r="E72541"/>
      <c r="F72541"/>
    </row>
    <row r="72542" spans="1:6" x14ac:dyDescent="0.25">
      <c r="A72542"/>
      <c r="B72542"/>
      <c r="C72542"/>
      <c r="E72542"/>
      <c r="F72542"/>
    </row>
    <row r="72543" spans="1:6" x14ac:dyDescent="0.25">
      <c r="A72543"/>
      <c r="B72543"/>
      <c r="C72543"/>
      <c r="E72543"/>
      <c r="F72543"/>
    </row>
    <row r="72544" spans="1:6" x14ac:dyDescent="0.25">
      <c r="A72544"/>
      <c r="B72544"/>
      <c r="C72544"/>
      <c r="E72544"/>
      <c r="F72544"/>
    </row>
    <row r="72545" spans="1:6" x14ac:dyDescent="0.25">
      <c r="A72545"/>
      <c r="B72545"/>
      <c r="C72545"/>
      <c r="E72545"/>
      <c r="F72545"/>
    </row>
    <row r="72546" spans="1:6" x14ac:dyDescent="0.25">
      <c r="A72546"/>
      <c r="B72546"/>
      <c r="C72546"/>
      <c r="E72546"/>
      <c r="F72546"/>
    </row>
    <row r="72547" spans="1:6" x14ac:dyDescent="0.25">
      <c r="A72547"/>
      <c r="B72547"/>
      <c r="C72547"/>
      <c r="E72547"/>
      <c r="F72547"/>
    </row>
    <row r="72548" spans="1:6" x14ac:dyDescent="0.25">
      <c r="A72548"/>
      <c r="B72548"/>
      <c r="C72548"/>
      <c r="E72548"/>
      <c r="F72548"/>
    </row>
    <row r="72549" spans="1:6" x14ac:dyDescent="0.25">
      <c r="A72549"/>
      <c r="B72549"/>
      <c r="C72549"/>
      <c r="E72549"/>
      <c r="F72549"/>
    </row>
    <row r="72550" spans="1:6" x14ac:dyDescent="0.25">
      <c r="A72550"/>
      <c r="B72550"/>
      <c r="C72550"/>
      <c r="E72550"/>
      <c r="F72550"/>
    </row>
    <row r="72551" spans="1:6" x14ac:dyDescent="0.25">
      <c r="A72551"/>
      <c r="B72551"/>
      <c r="C72551"/>
      <c r="E72551"/>
      <c r="F72551"/>
    </row>
    <row r="72552" spans="1:6" x14ac:dyDescent="0.25">
      <c r="A72552"/>
      <c r="B72552"/>
      <c r="C72552"/>
      <c r="E72552"/>
      <c r="F72552"/>
    </row>
    <row r="72553" spans="1:6" x14ac:dyDescent="0.25">
      <c r="A72553"/>
      <c r="B72553"/>
      <c r="C72553"/>
      <c r="E72553"/>
      <c r="F72553"/>
    </row>
    <row r="72554" spans="1:6" x14ac:dyDescent="0.25">
      <c r="A72554"/>
      <c r="B72554"/>
      <c r="C72554"/>
      <c r="E72554"/>
      <c r="F72554"/>
    </row>
    <row r="72555" spans="1:6" x14ac:dyDescent="0.25">
      <c r="A72555"/>
      <c r="B72555"/>
      <c r="C72555"/>
      <c r="E72555"/>
      <c r="F72555"/>
    </row>
    <row r="72556" spans="1:6" x14ac:dyDescent="0.25">
      <c r="A72556"/>
      <c r="B72556"/>
      <c r="C72556"/>
      <c r="E72556"/>
      <c r="F72556"/>
    </row>
    <row r="72557" spans="1:6" x14ac:dyDescent="0.25">
      <c r="A72557"/>
      <c r="B72557"/>
      <c r="C72557"/>
      <c r="E72557"/>
      <c r="F72557"/>
    </row>
    <row r="72558" spans="1:6" x14ac:dyDescent="0.25">
      <c r="A72558"/>
      <c r="B72558"/>
      <c r="C72558"/>
      <c r="E72558"/>
      <c r="F72558"/>
    </row>
    <row r="72559" spans="1:6" x14ac:dyDescent="0.25">
      <c r="A72559"/>
      <c r="B72559"/>
      <c r="C72559"/>
      <c r="E72559"/>
      <c r="F72559"/>
    </row>
    <row r="72560" spans="1:6" x14ac:dyDescent="0.25">
      <c r="A72560"/>
      <c r="B72560"/>
      <c r="C72560"/>
      <c r="E72560"/>
      <c r="F72560"/>
    </row>
    <row r="72561" spans="1:6" x14ac:dyDescent="0.25">
      <c r="A72561"/>
      <c r="B72561"/>
      <c r="C72561"/>
      <c r="E72561"/>
      <c r="F72561"/>
    </row>
    <row r="72562" spans="1:6" x14ac:dyDescent="0.25">
      <c r="A72562"/>
      <c r="B72562"/>
      <c r="C72562"/>
      <c r="E72562"/>
      <c r="F72562"/>
    </row>
    <row r="72563" spans="1:6" x14ac:dyDescent="0.25">
      <c r="A72563"/>
      <c r="B72563"/>
      <c r="C72563"/>
      <c r="E72563"/>
      <c r="F72563"/>
    </row>
    <row r="72564" spans="1:6" x14ac:dyDescent="0.25">
      <c r="A72564"/>
      <c r="B72564"/>
      <c r="C72564"/>
      <c r="E72564"/>
      <c r="F72564"/>
    </row>
    <row r="72565" spans="1:6" x14ac:dyDescent="0.25">
      <c r="A72565"/>
      <c r="B72565"/>
      <c r="C72565"/>
      <c r="E72565"/>
      <c r="F72565"/>
    </row>
    <row r="72566" spans="1:6" x14ac:dyDescent="0.25">
      <c r="A72566"/>
      <c r="B72566"/>
      <c r="C72566"/>
      <c r="E72566"/>
      <c r="F72566"/>
    </row>
    <row r="72567" spans="1:6" x14ac:dyDescent="0.25">
      <c r="A72567"/>
      <c r="B72567"/>
      <c r="C72567"/>
      <c r="E72567"/>
      <c r="F72567"/>
    </row>
    <row r="72568" spans="1:6" x14ac:dyDescent="0.25">
      <c r="A72568"/>
      <c r="B72568"/>
      <c r="C72568"/>
      <c r="E72568"/>
      <c r="F72568"/>
    </row>
    <row r="72569" spans="1:6" x14ac:dyDescent="0.25">
      <c r="A72569"/>
      <c r="B72569"/>
      <c r="C72569"/>
      <c r="E72569"/>
      <c r="F72569"/>
    </row>
    <row r="72570" spans="1:6" x14ac:dyDescent="0.25">
      <c r="A72570"/>
      <c r="B72570"/>
      <c r="C72570"/>
      <c r="E72570"/>
      <c r="F72570"/>
    </row>
    <row r="72571" spans="1:6" x14ac:dyDescent="0.25">
      <c r="A72571"/>
      <c r="B72571"/>
      <c r="C72571"/>
      <c r="E72571"/>
      <c r="F72571"/>
    </row>
    <row r="72572" spans="1:6" x14ac:dyDescent="0.25">
      <c r="A72572"/>
      <c r="B72572"/>
      <c r="C72572"/>
      <c r="E72572"/>
      <c r="F72572"/>
    </row>
    <row r="72573" spans="1:6" x14ac:dyDescent="0.25">
      <c r="A72573"/>
      <c r="B72573"/>
      <c r="C72573"/>
      <c r="E72573"/>
      <c r="F72573"/>
    </row>
    <row r="72574" spans="1:6" x14ac:dyDescent="0.25">
      <c r="A72574"/>
      <c r="B72574"/>
      <c r="C72574"/>
      <c r="E72574"/>
      <c r="F72574"/>
    </row>
    <row r="72575" spans="1:6" x14ac:dyDescent="0.25">
      <c r="A72575"/>
      <c r="B72575"/>
      <c r="C72575"/>
      <c r="E72575"/>
      <c r="F72575"/>
    </row>
    <row r="72576" spans="1:6" x14ac:dyDescent="0.25">
      <c r="A72576"/>
      <c r="B72576"/>
      <c r="C72576"/>
      <c r="E72576"/>
      <c r="F72576"/>
    </row>
    <row r="72577" spans="1:6" x14ac:dyDescent="0.25">
      <c r="A72577"/>
      <c r="B72577"/>
      <c r="C72577"/>
      <c r="E72577"/>
      <c r="F72577"/>
    </row>
    <row r="72578" spans="1:6" x14ac:dyDescent="0.25">
      <c r="A72578"/>
      <c r="B72578"/>
      <c r="C72578"/>
      <c r="E72578"/>
      <c r="F72578"/>
    </row>
    <row r="72579" spans="1:6" x14ac:dyDescent="0.25">
      <c r="A72579"/>
      <c r="B72579"/>
      <c r="C72579"/>
      <c r="E72579"/>
      <c r="F72579"/>
    </row>
    <row r="72580" spans="1:6" x14ac:dyDescent="0.25">
      <c r="A72580"/>
      <c r="B72580"/>
      <c r="C72580"/>
      <c r="E72580"/>
      <c r="F72580"/>
    </row>
    <row r="72581" spans="1:6" x14ac:dyDescent="0.25">
      <c r="A72581"/>
      <c r="B72581"/>
      <c r="C72581"/>
      <c r="E72581"/>
      <c r="F72581"/>
    </row>
    <row r="72582" spans="1:6" x14ac:dyDescent="0.25">
      <c r="A72582"/>
      <c r="B72582"/>
      <c r="C72582"/>
      <c r="E72582"/>
      <c r="F72582"/>
    </row>
    <row r="72583" spans="1:6" x14ac:dyDescent="0.25">
      <c r="A72583"/>
      <c r="B72583"/>
      <c r="C72583"/>
      <c r="E72583"/>
      <c r="F72583"/>
    </row>
    <row r="72584" spans="1:6" x14ac:dyDescent="0.25">
      <c r="A72584"/>
      <c r="B72584"/>
      <c r="C72584"/>
      <c r="E72584"/>
      <c r="F72584"/>
    </row>
    <row r="72585" spans="1:6" x14ac:dyDescent="0.25">
      <c r="A72585"/>
      <c r="B72585"/>
      <c r="C72585"/>
      <c r="E72585"/>
      <c r="F72585"/>
    </row>
    <row r="72586" spans="1:6" x14ac:dyDescent="0.25">
      <c r="A72586"/>
      <c r="B72586"/>
      <c r="C72586"/>
      <c r="E72586"/>
      <c r="F72586"/>
    </row>
    <row r="72587" spans="1:6" x14ac:dyDescent="0.25">
      <c r="A72587"/>
      <c r="B72587"/>
      <c r="C72587"/>
      <c r="E72587"/>
      <c r="F72587"/>
    </row>
    <row r="72588" spans="1:6" x14ac:dyDescent="0.25">
      <c r="A72588"/>
      <c r="B72588"/>
      <c r="C72588"/>
      <c r="E72588"/>
      <c r="F72588"/>
    </row>
    <row r="72589" spans="1:6" x14ac:dyDescent="0.25">
      <c r="A72589"/>
      <c r="B72589"/>
      <c r="C72589"/>
      <c r="E72589"/>
      <c r="F72589"/>
    </row>
    <row r="72590" spans="1:6" x14ac:dyDescent="0.25">
      <c r="A72590"/>
      <c r="B72590"/>
      <c r="C72590"/>
      <c r="E72590"/>
      <c r="F72590"/>
    </row>
    <row r="72591" spans="1:6" x14ac:dyDescent="0.25">
      <c r="A72591"/>
      <c r="B72591"/>
      <c r="C72591"/>
      <c r="E72591"/>
      <c r="F72591"/>
    </row>
    <row r="72592" spans="1:6" x14ac:dyDescent="0.25">
      <c r="A72592"/>
      <c r="B72592"/>
      <c r="C72592"/>
      <c r="E72592"/>
      <c r="F72592"/>
    </row>
    <row r="72593" spans="1:6" x14ac:dyDescent="0.25">
      <c r="A72593"/>
      <c r="B72593"/>
      <c r="C72593"/>
      <c r="E72593"/>
      <c r="F72593"/>
    </row>
    <row r="72594" spans="1:6" x14ac:dyDescent="0.25">
      <c r="A72594"/>
      <c r="B72594"/>
      <c r="C72594"/>
      <c r="E72594"/>
      <c r="F72594"/>
    </row>
    <row r="72595" spans="1:6" x14ac:dyDescent="0.25">
      <c r="A72595"/>
      <c r="B72595"/>
      <c r="C72595"/>
      <c r="E72595"/>
      <c r="F72595"/>
    </row>
    <row r="72596" spans="1:6" x14ac:dyDescent="0.25">
      <c r="A72596"/>
      <c r="B72596"/>
      <c r="C72596"/>
      <c r="E72596"/>
      <c r="F72596"/>
    </row>
    <row r="72597" spans="1:6" x14ac:dyDescent="0.25">
      <c r="A72597"/>
      <c r="B72597"/>
      <c r="C72597"/>
      <c r="E72597"/>
      <c r="F72597"/>
    </row>
    <row r="72598" spans="1:6" x14ac:dyDescent="0.25">
      <c r="A72598"/>
      <c r="B72598"/>
      <c r="C72598"/>
      <c r="E72598"/>
      <c r="F72598"/>
    </row>
    <row r="72599" spans="1:6" x14ac:dyDescent="0.25">
      <c r="A72599"/>
      <c r="B72599"/>
      <c r="C72599"/>
      <c r="E72599"/>
      <c r="F72599"/>
    </row>
    <row r="72600" spans="1:6" x14ac:dyDescent="0.25">
      <c r="A72600"/>
      <c r="B72600"/>
      <c r="C72600"/>
      <c r="E72600"/>
      <c r="F72600"/>
    </row>
    <row r="72601" spans="1:6" x14ac:dyDescent="0.25">
      <c r="A72601"/>
      <c r="B72601"/>
      <c r="C72601"/>
      <c r="E72601"/>
      <c r="F72601"/>
    </row>
    <row r="72602" spans="1:6" x14ac:dyDescent="0.25">
      <c r="A72602"/>
      <c r="B72602"/>
      <c r="C72602"/>
      <c r="E72602"/>
      <c r="F72602"/>
    </row>
    <row r="72603" spans="1:6" x14ac:dyDescent="0.25">
      <c r="A72603"/>
      <c r="B72603"/>
      <c r="C72603"/>
      <c r="E72603"/>
      <c r="F72603"/>
    </row>
    <row r="72604" spans="1:6" x14ac:dyDescent="0.25">
      <c r="A72604"/>
      <c r="B72604"/>
      <c r="C72604"/>
      <c r="E72604"/>
      <c r="F72604"/>
    </row>
    <row r="72605" spans="1:6" x14ac:dyDescent="0.25">
      <c r="A72605"/>
      <c r="B72605"/>
      <c r="C72605"/>
      <c r="E72605"/>
      <c r="F72605"/>
    </row>
    <row r="72606" spans="1:6" x14ac:dyDescent="0.25">
      <c r="A72606"/>
      <c r="B72606"/>
      <c r="C72606"/>
      <c r="E72606"/>
      <c r="F72606"/>
    </row>
    <row r="72607" spans="1:6" x14ac:dyDescent="0.25">
      <c r="A72607"/>
      <c r="B72607"/>
      <c r="C72607"/>
      <c r="E72607"/>
      <c r="F72607"/>
    </row>
    <row r="72608" spans="1:6" x14ac:dyDescent="0.25">
      <c r="A72608"/>
      <c r="B72608"/>
      <c r="C72608"/>
      <c r="E72608"/>
      <c r="F72608"/>
    </row>
    <row r="72609" spans="1:6" x14ac:dyDescent="0.25">
      <c r="A72609"/>
      <c r="B72609"/>
      <c r="C72609"/>
      <c r="E72609"/>
      <c r="F72609"/>
    </row>
    <row r="72610" spans="1:6" x14ac:dyDescent="0.25">
      <c r="A72610"/>
      <c r="B72610"/>
      <c r="C72610"/>
      <c r="E72610"/>
      <c r="F72610"/>
    </row>
    <row r="72611" spans="1:6" x14ac:dyDescent="0.25">
      <c r="A72611"/>
      <c r="B72611"/>
      <c r="C72611"/>
      <c r="E72611"/>
      <c r="F72611"/>
    </row>
    <row r="72612" spans="1:6" x14ac:dyDescent="0.25">
      <c r="A72612"/>
      <c r="B72612"/>
      <c r="C72612"/>
      <c r="E72612"/>
      <c r="F72612"/>
    </row>
    <row r="72613" spans="1:6" x14ac:dyDescent="0.25">
      <c r="A72613"/>
      <c r="B72613"/>
      <c r="C72613"/>
      <c r="E72613"/>
      <c r="F72613"/>
    </row>
    <row r="72614" spans="1:6" x14ac:dyDescent="0.25">
      <c r="A72614"/>
      <c r="B72614"/>
      <c r="C72614"/>
      <c r="E72614"/>
      <c r="F72614"/>
    </row>
    <row r="72615" spans="1:6" x14ac:dyDescent="0.25">
      <c r="A72615"/>
      <c r="B72615"/>
      <c r="C72615"/>
      <c r="E72615"/>
      <c r="F72615"/>
    </row>
    <row r="72616" spans="1:6" x14ac:dyDescent="0.25">
      <c r="A72616"/>
      <c r="B72616"/>
      <c r="C72616"/>
      <c r="E72616"/>
      <c r="F72616"/>
    </row>
    <row r="72617" spans="1:6" x14ac:dyDescent="0.25">
      <c r="A72617"/>
      <c r="B72617"/>
      <c r="C72617"/>
      <c r="E72617"/>
      <c r="F72617"/>
    </row>
    <row r="72618" spans="1:6" x14ac:dyDescent="0.25">
      <c r="A72618"/>
      <c r="B72618"/>
      <c r="C72618"/>
      <c r="E72618"/>
      <c r="F72618"/>
    </row>
    <row r="72619" spans="1:6" x14ac:dyDescent="0.25">
      <c r="A72619"/>
      <c r="B72619"/>
      <c r="C72619"/>
      <c r="E72619"/>
      <c r="F72619"/>
    </row>
    <row r="72620" spans="1:6" x14ac:dyDescent="0.25">
      <c r="A72620"/>
      <c r="B72620"/>
      <c r="C72620"/>
      <c r="E72620"/>
      <c r="F72620"/>
    </row>
    <row r="72621" spans="1:6" x14ac:dyDescent="0.25">
      <c r="A72621"/>
      <c r="B72621"/>
      <c r="C72621"/>
      <c r="E72621"/>
      <c r="F72621"/>
    </row>
    <row r="72622" spans="1:6" x14ac:dyDescent="0.25">
      <c r="A72622"/>
      <c r="B72622"/>
      <c r="C72622"/>
      <c r="E72622"/>
      <c r="F72622"/>
    </row>
    <row r="72623" spans="1:6" x14ac:dyDescent="0.25">
      <c r="A72623"/>
      <c r="B72623"/>
      <c r="C72623"/>
      <c r="E72623"/>
      <c r="F72623"/>
    </row>
    <row r="72624" spans="1:6" x14ac:dyDescent="0.25">
      <c r="A72624"/>
      <c r="B72624"/>
      <c r="C72624"/>
      <c r="E72624"/>
      <c r="F72624"/>
    </row>
    <row r="72625" spans="1:6" x14ac:dyDescent="0.25">
      <c r="A72625"/>
      <c r="B72625"/>
      <c r="C72625"/>
      <c r="E72625"/>
      <c r="F72625"/>
    </row>
    <row r="72626" spans="1:6" x14ac:dyDescent="0.25">
      <c r="A72626"/>
      <c r="B72626"/>
      <c r="C72626"/>
      <c r="E72626"/>
      <c r="F72626"/>
    </row>
    <row r="72627" spans="1:6" x14ac:dyDescent="0.25">
      <c r="A72627"/>
      <c r="B72627"/>
      <c r="C72627"/>
      <c r="E72627"/>
      <c r="F72627"/>
    </row>
    <row r="72628" spans="1:6" x14ac:dyDescent="0.25">
      <c r="A72628"/>
      <c r="B72628"/>
      <c r="C72628"/>
      <c r="E72628"/>
      <c r="F72628"/>
    </row>
    <row r="72629" spans="1:6" x14ac:dyDescent="0.25">
      <c r="A72629"/>
      <c r="B72629"/>
      <c r="C72629"/>
      <c r="E72629"/>
      <c r="F72629"/>
    </row>
    <row r="72630" spans="1:6" x14ac:dyDescent="0.25">
      <c r="A72630"/>
      <c r="B72630"/>
      <c r="C72630"/>
      <c r="E72630"/>
      <c r="F72630"/>
    </row>
    <row r="72631" spans="1:6" x14ac:dyDescent="0.25">
      <c r="A72631"/>
      <c r="B72631"/>
      <c r="C72631"/>
      <c r="E72631"/>
      <c r="F72631"/>
    </row>
    <row r="72632" spans="1:6" x14ac:dyDescent="0.25">
      <c r="A72632"/>
      <c r="B72632"/>
      <c r="C72632"/>
      <c r="E72632"/>
      <c r="F72632"/>
    </row>
    <row r="72633" spans="1:6" x14ac:dyDescent="0.25">
      <c r="A72633"/>
      <c r="B72633"/>
      <c r="C72633"/>
      <c r="E72633"/>
      <c r="F72633"/>
    </row>
    <row r="72634" spans="1:6" x14ac:dyDescent="0.25">
      <c r="A72634"/>
      <c r="B72634"/>
      <c r="C72634"/>
      <c r="E72634"/>
      <c r="F72634"/>
    </row>
    <row r="72635" spans="1:6" x14ac:dyDescent="0.25">
      <c r="A72635"/>
      <c r="B72635"/>
      <c r="C72635"/>
      <c r="E72635"/>
      <c r="F72635"/>
    </row>
    <row r="72636" spans="1:6" x14ac:dyDescent="0.25">
      <c r="A72636"/>
      <c r="B72636"/>
      <c r="C72636"/>
      <c r="E72636"/>
      <c r="F72636"/>
    </row>
    <row r="72637" spans="1:6" x14ac:dyDescent="0.25">
      <c r="A72637"/>
      <c r="B72637"/>
      <c r="C72637"/>
      <c r="E72637"/>
      <c r="F72637"/>
    </row>
    <row r="72638" spans="1:6" x14ac:dyDescent="0.25">
      <c r="A72638"/>
      <c r="B72638"/>
      <c r="C72638"/>
      <c r="E72638"/>
      <c r="F72638"/>
    </row>
    <row r="72639" spans="1:6" x14ac:dyDescent="0.25">
      <c r="A72639"/>
      <c r="B72639"/>
      <c r="C72639"/>
      <c r="E72639"/>
      <c r="F72639"/>
    </row>
    <row r="72640" spans="1:6" x14ac:dyDescent="0.25">
      <c r="A72640"/>
      <c r="B72640"/>
      <c r="C72640"/>
      <c r="E72640"/>
      <c r="F72640"/>
    </row>
    <row r="72641" spans="1:6" x14ac:dyDescent="0.25">
      <c r="A72641"/>
      <c r="B72641"/>
      <c r="C72641"/>
      <c r="E72641"/>
      <c r="F72641"/>
    </row>
    <row r="72642" spans="1:6" x14ac:dyDescent="0.25">
      <c r="A72642"/>
      <c r="B72642"/>
      <c r="C72642"/>
      <c r="E72642"/>
      <c r="F72642"/>
    </row>
    <row r="72643" spans="1:6" x14ac:dyDescent="0.25">
      <c r="A72643"/>
      <c r="B72643"/>
      <c r="C72643"/>
      <c r="E72643"/>
      <c r="F72643"/>
    </row>
    <row r="72644" spans="1:6" x14ac:dyDescent="0.25">
      <c r="A72644"/>
      <c r="B72644"/>
      <c r="C72644"/>
      <c r="E72644"/>
      <c r="F72644"/>
    </row>
    <row r="72645" spans="1:6" x14ac:dyDescent="0.25">
      <c r="A72645"/>
      <c r="B72645"/>
      <c r="C72645"/>
      <c r="E72645"/>
      <c r="F72645"/>
    </row>
    <row r="72646" spans="1:6" x14ac:dyDescent="0.25">
      <c r="A72646"/>
      <c r="B72646"/>
      <c r="C72646"/>
      <c r="E72646"/>
      <c r="F72646"/>
    </row>
    <row r="72647" spans="1:6" x14ac:dyDescent="0.25">
      <c r="A72647"/>
      <c r="B72647"/>
      <c r="C72647"/>
      <c r="E72647"/>
      <c r="F72647"/>
    </row>
    <row r="72648" spans="1:6" x14ac:dyDescent="0.25">
      <c r="A72648"/>
      <c r="B72648"/>
      <c r="C72648"/>
      <c r="E72648"/>
      <c r="F72648"/>
    </row>
    <row r="72649" spans="1:6" x14ac:dyDescent="0.25">
      <c r="A72649"/>
      <c r="B72649"/>
      <c r="C72649"/>
      <c r="E72649"/>
      <c r="F72649"/>
    </row>
    <row r="72650" spans="1:6" x14ac:dyDescent="0.25">
      <c r="A72650"/>
      <c r="B72650"/>
      <c r="C72650"/>
      <c r="E72650"/>
      <c r="F72650"/>
    </row>
    <row r="72651" spans="1:6" x14ac:dyDescent="0.25">
      <c r="A72651"/>
      <c r="B72651"/>
      <c r="C72651"/>
      <c r="E72651"/>
      <c r="F72651"/>
    </row>
    <row r="72652" spans="1:6" x14ac:dyDescent="0.25">
      <c r="A72652"/>
      <c r="B72652"/>
      <c r="C72652"/>
      <c r="E72652"/>
      <c r="F72652"/>
    </row>
    <row r="72653" spans="1:6" x14ac:dyDescent="0.25">
      <c r="A72653"/>
      <c r="B72653"/>
      <c r="C72653"/>
      <c r="E72653"/>
      <c r="F72653"/>
    </row>
    <row r="72654" spans="1:6" x14ac:dyDescent="0.25">
      <c r="A72654"/>
      <c r="B72654"/>
      <c r="C72654"/>
      <c r="E72654"/>
      <c r="F72654"/>
    </row>
    <row r="72655" spans="1:6" x14ac:dyDescent="0.25">
      <c r="A72655"/>
      <c r="B72655"/>
      <c r="C72655"/>
      <c r="E72655"/>
      <c r="F72655"/>
    </row>
    <row r="72656" spans="1:6" x14ac:dyDescent="0.25">
      <c r="A72656"/>
      <c r="B72656"/>
      <c r="C72656"/>
      <c r="E72656"/>
      <c r="F72656"/>
    </row>
    <row r="72657" spans="1:6" x14ac:dyDescent="0.25">
      <c r="A72657"/>
      <c r="B72657"/>
      <c r="C72657"/>
      <c r="E72657"/>
      <c r="F72657"/>
    </row>
    <row r="72658" spans="1:6" x14ac:dyDescent="0.25">
      <c r="A72658"/>
      <c r="B72658"/>
      <c r="C72658"/>
      <c r="E72658"/>
      <c r="F72658"/>
    </row>
    <row r="72659" spans="1:6" x14ac:dyDescent="0.25">
      <c r="A72659"/>
      <c r="B72659"/>
      <c r="C72659"/>
      <c r="E72659"/>
      <c r="F72659"/>
    </row>
    <row r="72660" spans="1:6" x14ac:dyDescent="0.25">
      <c r="A72660"/>
      <c r="B72660"/>
      <c r="C72660"/>
      <c r="E72660"/>
      <c r="F72660"/>
    </row>
    <row r="72661" spans="1:6" x14ac:dyDescent="0.25">
      <c r="A72661"/>
      <c r="B72661"/>
      <c r="C72661"/>
      <c r="E72661"/>
      <c r="F72661"/>
    </row>
    <row r="72662" spans="1:6" x14ac:dyDescent="0.25">
      <c r="A72662"/>
      <c r="B72662"/>
      <c r="C72662"/>
      <c r="E72662"/>
      <c r="F72662"/>
    </row>
    <row r="72663" spans="1:6" x14ac:dyDescent="0.25">
      <c r="A72663"/>
      <c r="B72663"/>
      <c r="C72663"/>
      <c r="E72663"/>
      <c r="F72663"/>
    </row>
    <row r="72664" spans="1:6" x14ac:dyDescent="0.25">
      <c r="A72664"/>
      <c r="B72664"/>
      <c r="C72664"/>
      <c r="E72664"/>
      <c r="F72664"/>
    </row>
    <row r="72665" spans="1:6" x14ac:dyDescent="0.25">
      <c r="A72665"/>
      <c r="B72665"/>
      <c r="C72665"/>
      <c r="E72665"/>
      <c r="F72665"/>
    </row>
    <row r="72666" spans="1:6" x14ac:dyDescent="0.25">
      <c r="A72666"/>
      <c r="B72666"/>
      <c r="C72666"/>
      <c r="E72666"/>
      <c r="F72666"/>
    </row>
    <row r="72667" spans="1:6" x14ac:dyDescent="0.25">
      <c r="A72667"/>
      <c r="B72667"/>
      <c r="C72667"/>
      <c r="E72667"/>
      <c r="F72667"/>
    </row>
    <row r="72668" spans="1:6" x14ac:dyDescent="0.25">
      <c r="A72668"/>
      <c r="B72668"/>
      <c r="C72668"/>
      <c r="E72668"/>
      <c r="F72668"/>
    </row>
    <row r="72669" spans="1:6" x14ac:dyDescent="0.25">
      <c r="A72669"/>
      <c r="B72669"/>
      <c r="C72669"/>
      <c r="E72669"/>
      <c r="F72669"/>
    </row>
    <row r="72670" spans="1:6" x14ac:dyDescent="0.25">
      <c r="A72670"/>
      <c r="B72670"/>
      <c r="C72670"/>
      <c r="E72670"/>
      <c r="F72670"/>
    </row>
    <row r="72671" spans="1:6" x14ac:dyDescent="0.25">
      <c r="A72671"/>
      <c r="B72671"/>
      <c r="C72671"/>
      <c r="E72671"/>
      <c r="F72671"/>
    </row>
    <row r="72672" spans="1:6" x14ac:dyDescent="0.25">
      <c r="A72672"/>
      <c r="B72672"/>
      <c r="C72672"/>
      <c r="E72672"/>
      <c r="F72672"/>
    </row>
    <row r="72673" spans="1:6" x14ac:dyDescent="0.25">
      <c r="A72673"/>
      <c r="B72673"/>
      <c r="C72673"/>
      <c r="E72673"/>
      <c r="F72673"/>
    </row>
    <row r="72674" spans="1:6" x14ac:dyDescent="0.25">
      <c r="A72674"/>
      <c r="B72674"/>
      <c r="C72674"/>
      <c r="E72674"/>
      <c r="F72674"/>
    </row>
    <row r="72675" spans="1:6" x14ac:dyDescent="0.25">
      <c r="A72675"/>
      <c r="B72675"/>
      <c r="C72675"/>
      <c r="E72675"/>
      <c r="F72675"/>
    </row>
    <row r="72676" spans="1:6" x14ac:dyDescent="0.25">
      <c r="A72676"/>
      <c r="B72676"/>
      <c r="C72676"/>
      <c r="E72676"/>
      <c r="F72676"/>
    </row>
    <row r="72677" spans="1:6" x14ac:dyDescent="0.25">
      <c r="A72677"/>
      <c r="B72677"/>
      <c r="C72677"/>
      <c r="E72677"/>
      <c r="F72677"/>
    </row>
    <row r="72678" spans="1:6" x14ac:dyDescent="0.25">
      <c r="A72678"/>
      <c r="B72678"/>
      <c r="C72678"/>
      <c r="E72678"/>
      <c r="F72678"/>
    </row>
    <row r="72679" spans="1:6" x14ac:dyDescent="0.25">
      <c r="A72679"/>
      <c r="B72679"/>
      <c r="C72679"/>
      <c r="E72679"/>
      <c r="F72679"/>
    </row>
    <row r="72680" spans="1:6" x14ac:dyDescent="0.25">
      <c r="A72680"/>
      <c r="B72680"/>
      <c r="C72680"/>
      <c r="E72680"/>
      <c r="F72680"/>
    </row>
    <row r="72681" spans="1:6" x14ac:dyDescent="0.25">
      <c r="A72681"/>
      <c r="B72681"/>
      <c r="C72681"/>
      <c r="E72681"/>
      <c r="F72681"/>
    </row>
    <row r="72682" spans="1:6" x14ac:dyDescent="0.25">
      <c r="A72682"/>
      <c r="B72682"/>
      <c r="C72682"/>
      <c r="E72682"/>
      <c r="F72682"/>
    </row>
    <row r="72683" spans="1:6" x14ac:dyDescent="0.25">
      <c r="A72683"/>
      <c r="B72683"/>
      <c r="C72683"/>
      <c r="E72683"/>
      <c r="F72683"/>
    </row>
    <row r="72684" spans="1:6" x14ac:dyDescent="0.25">
      <c r="A72684"/>
      <c r="B72684"/>
      <c r="C72684"/>
      <c r="E72684"/>
      <c r="F72684"/>
    </row>
    <row r="72685" spans="1:6" x14ac:dyDescent="0.25">
      <c r="A72685"/>
      <c r="B72685"/>
      <c r="C72685"/>
      <c r="E72685"/>
      <c r="F72685"/>
    </row>
    <row r="72686" spans="1:6" x14ac:dyDescent="0.25">
      <c r="A72686"/>
      <c r="B72686"/>
      <c r="C72686"/>
      <c r="E72686"/>
      <c r="F72686"/>
    </row>
    <row r="72687" spans="1:6" x14ac:dyDescent="0.25">
      <c r="A72687"/>
      <c r="B72687"/>
      <c r="C72687"/>
      <c r="E72687"/>
      <c r="F72687"/>
    </row>
    <row r="72688" spans="1:6" x14ac:dyDescent="0.25">
      <c r="A72688"/>
      <c r="B72688"/>
      <c r="C72688"/>
      <c r="E72688"/>
      <c r="F72688"/>
    </row>
    <row r="72689" spans="1:6" x14ac:dyDescent="0.25">
      <c r="A72689"/>
      <c r="B72689"/>
      <c r="C72689"/>
      <c r="E72689"/>
      <c r="F72689"/>
    </row>
    <row r="72690" spans="1:6" x14ac:dyDescent="0.25">
      <c r="A72690"/>
      <c r="B72690"/>
      <c r="C72690"/>
      <c r="E72690"/>
      <c r="F72690"/>
    </row>
    <row r="72691" spans="1:6" x14ac:dyDescent="0.25">
      <c r="A72691"/>
      <c r="B72691"/>
      <c r="C72691"/>
      <c r="E72691"/>
      <c r="F72691"/>
    </row>
    <row r="72692" spans="1:6" x14ac:dyDescent="0.25">
      <c r="A72692"/>
      <c r="B72692"/>
      <c r="C72692"/>
      <c r="E72692"/>
      <c r="F72692"/>
    </row>
    <row r="72693" spans="1:6" x14ac:dyDescent="0.25">
      <c r="A72693"/>
      <c r="B72693"/>
      <c r="C72693"/>
      <c r="E72693"/>
      <c r="F72693"/>
    </row>
    <row r="72694" spans="1:6" x14ac:dyDescent="0.25">
      <c r="A72694"/>
      <c r="B72694"/>
      <c r="C72694"/>
      <c r="E72694"/>
      <c r="F72694"/>
    </row>
    <row r="72695" spans="1:6" x14ac:dyDescent="0.25">
      <c r="A72695"/>
      <c r="B72695"/>
      <c r="C72695"/>
      <c r="E72695"/>
      <c r="F72695"/>
    </row>
    <row r="72696" spans="1:6" x14ac:dyDescent="0.25">
      <c r="A72696"/>
      <c r="B72696"/>
      <c r="C72696"/>
      <c r="E72696"/>
      <c r="F72696"/>
    </row>
    <row r="72697" spans="1:6" x14ac:dyDescent="0.25">
      <c r="A72697"/>
      <c r="B72697"/>
      <c r="C72697"/>
      <c r="E72697"/>
      <c r="F72697"/>
    </row>
    <row r="72698" spans="1:6" x14ac:dyDescent="0.25">
      <c r="A72698"/>
      <c r="B72698"/>
      <c r="C72698"/>
      <c r="E72698"/>
      <c r="F72698"/>
    </row>
    <row r="72699" spans="1:6" x14ac:dyDescent="0.25">
      <c r="A72699"/>
      <c r="B72699"/>
      <c r="C72699"/>
      <c r="E72699"/>
      <c r="F72699"/>
    </row>
    <row r="72700" spans="1:6" x14ac:dyDescent="0.25">
      <c r="A72700"/>
      <c r="B72700"/>
      <c r="C72700"/>
      <c r="E72700"/>
      <c r="F72700"/>
    </row>
    <row r="72701" spans="1:6" x14ac:dyDescent="0.25">
      <c r="A72701"/>
      <c r="B72701"/>
      <c r="C72701"/>
      <c r="E72701"/>
      <c r="F72701"/>
    </row>
    <row r="72702" spans="1:6" x14ac:dyDescent="0.25">
      <c r="A72702"/>
      <c r="B72702"/>
      <c r="C72702"/>
      <c r="E72702"/>
      <c r="F72702"/>
    </row>
    <row r="72703" spans="1:6" x14ac:dyDescent="0.25">
      <c r="A72703"/>
      <c r="B72703"/>
      <c r="C72703"/>
      <c r="E72703"/>
      <c r="F72703"/>
    </row>
    <row r="72704" spans="1:6" x14ac:dyDescent="0.25">
      <c r="A72704"/>
      <c r="B72704"/>
      <c r="C72704"/>
      <c r="E72704"/>
      <c r="F72704"/>
    </row>
    <row r="72705" spans="1:6" x14ac:dyDescent="0.25">
      <c r="A72705"/>
      <c r="B72705"/>
      <c r="C72705"/>
      <c r="E72705"/>
      <c r="F72705"/>
    </row>
    <row r="72706" spans="1:6" x14ac:dyDescent="0.25">
      <c r="A72706"/>
      <c r="B72706"/>
      <c r="C72706"/>
      <c r="E72706"/>
      <c r="F72706"/>
    </row>
    <row r="72707" spans="1:6" x14ac:dyDescent="0.25">
      <c r="A72707"/>
      <c r="B72707"/>
      <c r="C72707"/>
      <c r="E72707"/>
      <c r="F72707"/>
    </row>
    <row r="72708" spans="1:6" x14ac:dyDescent="0.25">
      <c r="A72708"/>
      <c r="B72708"/>
      <c r="C72708"/>
      <c r="E72708"/>
      <c r="F72708"/>
    </row>
    <row r="72709" spans="1:6" x14ac:dyDescent="0.25">
      <c r="A72709"/>
      <c r="B72709"/>
      <c r="C72709"/>
      <c r="E72709"/>
      <c r="F72709"/>
    </row>
    <row r="72710" spans="1:6" x14ac:dyDescent="0.25">
      <c r="A72710"/>
      <c r="B72710"/>
      <c r="C72710"/>
      <c r="E72710"/>
      <c r="F72710"/>
    </row>
    <row r="72711" spans="1:6" x14ac:dyDescent="0.25">
      <c r="A72711"/>
      <c r="B72711"/>
      <c r="C72711"/>
      <c r="E72711"/>
      <c r="F72711"/>
    </row>
    <row r="72712" spans="1:6" x14ac:dyDescent="0.25">
      <c r="A72712"/>
      <c r="B72712"/>
      <c r="C72712"/>
      <c r="E72712"/>
      <c r="F72712"/>
    </row>
    <row r="72713" spans="1:6" x14ac:dyDescent="0.25">
      <c r="A72713"/>
      <c r="B72713"/>
      <c r="C72713"/>
      <c r="E72713"/>
      <c r="F72713"/>
    </row>
    <row r="72714" spans="1:6" x14ac:dyDescent="0.25">
      <c r="A72714"/>
      <c r="B72714"/>
      <c r="C72714"/>
      <c r="E72714"/>
      <c r="F72714"/>
    </row>
    <row r="72715" spans="1:6" x14ac:dyDescent="0.25">
      <c r="A72715"/>
      <c r="B72715"/>
      <c r="C72715"/>
      <c r="E72715"/>
      <c r="F72715"/>
    </row>
    <row r="72716" spans="1:6" x14ac:dyDescent="0.25">
      <c r="A72716"/>
      <c r="B72716"/>
      <c r="C72716"/>
      <c r="E72716"/>
      <c r="F72716"/>
    </row>
    <row r="72717" spans="1:6" x14ac:dyDescent="0.25">
      <c r="A72717"/>
      <c r="B72717"/>
      <c r="C72717"/>
      <c r="E72717"/>
      <c r="F72717"/>
    </row>
    <row r="72718" spans="1:6" x14ac:dyDescent="0.25">
      <c r="A72718"/>
      <c r="B72718"/>
      <c r="C72718"/>
      <c r="E72718"/>
      <c r="F72718"/>
    </row>
    <row r="72719" spans="1:6" x14ac:dyDescent="0.25">
      <c r="A72719"/>
      <c r="B72719"/>
      <c r="C72719"/>
      <c r="E72719"/>
      <c r="F72719"/>
    </row>
    <row r="72720" spans="1:6" x14ac:dyDescent="0.25">
      <c r="A72720"/>
      <c r="B72720"/>
      <c r="C72720"/>
      <c r="E72720"/>
      <c r="F72720"/>
    </row>
    <row r="72721" spans="1:6" x14ac:dyDescent="0.25">
      <c r="A72721"/>
      <c r="B72721"/>
      <c r="C72721"/>
      <c r="E72721"/>
      <c r="F72721"/>
    </row>
    <row r="72722" spans="1:6" x14ac:dyDescent="0.25">
      <c r="A72722"/>
      <c r="B72722"/>
      <c r="C72722"/>
      <c r="E72722"/>
      <c r="F72722"/>
    </row>
    <row r="72723" spans="1:6" x14ac:dyDescent="0.25">
      <c r="A72723"/>
      <c r="B72723"/>
      <c r="C72723"/>
      <c r="E72723"/>
      <c r="F72723"/>
    </row>
    <row r="72724" spans="1:6" x14ac:dyDescent="0.25">
      <c r="A72724"/>
      <c r="B72724"/>
      <c r="C72724"/>
      <c r="E72724"/>
      <c r="F72724"/>
    </row>
    <row r="72725" spans="1:6" x14ac:dyDescent="0.25">
      <c r="A72725"/>
      <c r="B72725"/>
      <c r="C72725"/>
      <c r="E72725"/>
      <c r="F72725"/>
    </row>
    <row r="72726" spans="1:6" x14ac:dyDescent="0.25">
      <c r="A72726"/>
      <c r="B72726"/>
      <c r="C72726"/>
      <c r="E72726"/>
      <c r="F72726"/>
    </row>
    <row r="72727" spans="1:6" x14ac:dyDescent="0.25">
      <c r="A72727"/>
      <c r="B72727"/>
      <c r="C72727"/>
      <c r="E72727"/>
      <c r="F72727"/>
    </row>
    <row r="72728" spans="1:6" x14ac:dyDescent="0.25">
      <c r="A72728"/>
      <c r="B72728"/>
      <c r="C72728"/>
      <c r="E72728"/>
      <c r="F72728"/>
    </row>
    <row r="72729" spans="1:6" x14ac:dyDescent="0.25">
      <c r="A72729"/>
      <c r="B72729"/>
      <c r="C72729"/>
      <c r="E72729"/>
      <c r="F72729"/>
    </row>
    <row r="72730" spans="1:6" x14ac:dyDescent="0.25">
      <c r="A72730"/>
      <c r="B72730"/>
      <c r="C72730"/>
      <c r="E72730"/>
      <c r="F72730"/>
    </row>
    <row r="72731" spans="1:6" x14ac:dyDescent="0.25">
      <c r="A72731"/>
      <c r="B72731"/>
      <c r="C72731"/>
      <c r="E72731"/>
      <c r="F72731"/>
    </row>
    <row r="72732" spans="1:6" x14ac:dyDescent="0.25">
      <c r="A72732"/>
      <c r="B72732"/>
      <c r="C72732"/>
      <c r="E72732"/>
      <c r="F72732"/>
    </row>
    <row r="72733" spans="1:6" x14ac:dyDescent="0.25">
      <c r="A72733"/>
      <c r="B72733"/>
      <c r="C72733"/>
      <c r="E72733"/>
      <c r="F72733"/>
    </row>
    <row r="72734" spans="1:6" x14ac:dyDescent="0.25">
      <c r="A72734"/>
      <c r="B72734"/>
      <c r="C72734"/>
      <c r="E72734"/>
      <c r="F72734"/>
    </row>
    <row r="72735" spans="1:6" x14ac:dyDescent="0.25">
      <c r="A72735"/>
      <c r="B72735"/>
      <c r="C72735"/>
      <c r="E72735"/>
      <c r="F72735"/>
    </row>
    <row r="72736" spans="1:6" x14ac:dyDescent="0.25">
      <c r="A72736"/>
      <c r="B72736"/>
      <c r="C72736"/>
      <c r="E72736"/>
      <c r="F72736"/>
    </row>
    <row r="72737" spans="1:6" x14ac:dyDescent="0.25">
      <c r="A72737"/>
      <c r="B72737"/>
      <c r="C72737"/>
      <c r="E72737"/>
      <c r="F72737"/>
    </row>
    <row r="72738" spans="1:6" x14ac:dyDescent="0.25">
      <c r="A72738"/>
      <c r="B72738"/>
      <c r="C72738"/>
      <c r="E72738"/>
      <c r="F72738"/>
    </row>
    <row r="72739" spans="1:6" x14ac:dyDescent="0.25">
      <c r="A72739"/>
      <c r="B72739"/>
      <c r="C72739"/>
      <c r="E72739"/>
      <c r="F72739"/>
    </row>
    <row r="72740" spans="1:6" x14ac:dyDescent="0.25">
      <c r="A72740"/>
      <c r="B72740"/>
      <c r="C72740"/>
      <c r="E72740"/>
      <c r="F72740"/>
    </row>
    <row r="72741" spans="1:6" x14ac:dyDescent="0.25">
      <c r="A72741"/>
      <c r="B72741"/>
      <c r="C72741"/>
      <c r="E72741"/>
      <c r="F72741"/>
    </row>
    <row r="72742" spans="1:6" x14ac:dyDescent="0.25">
      <c r="A72742"/>
      <c r="B72742"/>
      <c r="C72742"/>
      <c r="E72742"/>
      <c r="F72742"/>
    </row>
    <row r="72743" spans="1:6" x14ac:dyDescent="0.25">
      <c r="A72743"/>
      <c r="B72743"/>
      <c r="C72743"/>
      <c r="E72743"/>
      <c r="F72743"/>
    </row>
    <row r="72744" spans="1:6" x14ac:dyDescent="0.25">
      <c r="A72744"/>
      <c r="B72744"/>
      <c r="C72744"/>
      <c r="E72744"/>
      <c r="F72744"/>
    </row>
    <row r="72745" spans="1:6" x14ac:dyDescent="0.25">
      <c r="A72745"/>
      <c r="B72745"/>
      <c r="C72745"/>
      <c r="E72745"/>
      <c r="F72745"/>
    </row>
    <row r="72746" spans="1:6" x14ac:dyDescent="0.25">
      <c r="A72746"/>
      <c r="B72746"/>
      <c r="C72746"/>
      <c r="E72746"/>
      <c r="F72746"/>
    </row>
    <row r="72747" spans="1:6" x14ac:dyDescent="0.25">
      <c r="A72747"/>
      <c r="B72747"/>
      <c r="C72747"/>
      <c r="E72747"/>
      <c r="F72747"/>
    </row>
    <row r="72748" spans="1:6" x14ac:dyDescent="0.25">
      <c r="A72748"/>
      <c r="B72748"/>
      <c r="C72748"/>
      <c r="E72748"/>
      <c r="F72748"/>
    </row>
    <row r="72749" spans="1:6" x14ac:dyDescent="0.25">
      <c r="A72749"/>
      <c r="B72749"/>
      <c r="C72749"/>
      <c r="E72749"/>
      <c r="F72749"/>
    </row>
    <row r="72750" spans="1:6" x14ac:dyDescent="0.25">
      <c r="A72750"/>
      <c r="B72750"/>
      <c r="C72750"/>
      <c r="E72750"/>
      <c r="F72750"/>
    </row>
    <row r="72751" spans="1:6" x14ac:dyDescent="0.25">
      <c r="A72751"/>
      <c r="B72751"/>
      <c r="C72751"/>
      <c r="E72751"/>
      <c r="F72751"/>
    </row>
    <row r="72752" spans="1:6" x14ac:dyDescent="0.25">
      <c r="A72752"/>
      <c r="B72752"/>
      <c r="C72752"/>
      <c r="E72752"/>
      <c r="F72752"/>
    </row>
    <row r="72753" spans="1:6" x14ac:dyDescent="0.25">
      <c r="A72753"/>
      <c r="B72753"/>
      <c r="C72753"/>
      <c r="E72753"/>
      <c r="F72753"/>
    </row>
    <row r="72754" spans="1:6" x14ac:dyDescent="0.25">
      <c r="A72754"/>
      <c r="B72754"/>
      <c r="C72754"/>
      <c r="E72754"/>
      <c r="F72754"/>
    </row>
    <row r="72755" spans="1:6" x14ac:dyDescent="0.25">
      <c r="A72755"/>
      <c r="B72755"/>
      <c r="C72755"/>
      <c r="E72755"/>
      <c r="F72755"/>
    </row>
    <row r="72756" spans="1:6" x14ac:dyDescent="0.25">
      <c r="A72756"/>
      <c r="B72756"/>
      <c r="C72756"/>
      <c r="E72756"/>
      <c r="F72756"/>
    </row>
    <row r="72757" spans="1:6" x14ac:dyDescent="0.25">
      <c r="A72757"/>
      <c r="B72757"/>
      <c r="C72757"/>
      <c r="E72757"/>
      <c r="F72757"/>
    </row>
    <row r="72758" spans="1:6" x14ac:dyDescent="0.25">
      <c r="A72758"/>
      <c r="B72758"/>
      <c r="C72758"/>
      <c r="E72758"/>
      <c r="F72758"/>
    </row>
    <row r="72759" spans="1:6" x14ac:dyDescent="0.25">
      <c r="A72759"/>
      <c r="B72759"/>
      <c r="C72759"/>
      <c r="E72759"/>
      <c r="F72759"/>
    </row>
    <row r="72760" spans="1:6" x14ac:dyDescent="0.25">
      <c r="A72760"/>
      <c r="B72760"/>
      <c r="C72760"/>
      <c r="E72760"/>
      <c r="F72760"/>
    </row>
    <row r="72761" spans="1:6" x14ac:dyDescent="0.25">
      <c r="A72761"/>
      <c r="B72761"/>
      <c r="C72761"/>
      <c r="E72761"/>
      <c r="F72761"/>
    </row>
    <row r="72762" spans="1:6" x14ac:dyDescent="0.25">
      <c r="A72762"/>
      <c r="B72762"/>
      <c r="C72762"/>
      <c r="E72762"/>
      <c r="F72762"/>
    </row>
    <row r="72763" spans="1:6" x14ac:dyDescent="0.25">
      <c r="A72763"/>
      <c r="B72763"/>
      <c r="C72763"/>
      <c r="E72763"/>
      <c r="F72763"/>
    </row>
    <row r="72764" spans="1:6" x14ac:dyDescent="0.25">
      <c r="A72764"/>
      <c r="B72764"/>
      <c r="C72764"/>
      <c r="E72764"/>
      <c r="F72764"/>
    </row>
    <row r="72765" spans="1:6" x14ac:dyDescent="0.25">
      <c r="A72765"/>
      <c r="B72765"/>
      <c r="C72765"/>
      <c r="E72765"/>
      <c r="F72765"/>
    </row>
    <row r="72766" spans="1:6" x14ac:dyDescent="0.25">
      <c r="A72766"/>
      <c r="B72766"/>
      <c r="C72766"/>
      <c r="E72766"/>
      <c r="F72766"/>
    </row>
    <row r="72767" spans="1:6" x14ac:dyDescent="0.25">
      <c r="A72767"/>
      <c r="B72767"/>
      <c r="C72767"/>
      <c r="E72767"/>
      <c r="F72767"/>
    </row>
    <row r="72768" spans="1:6" x14ac:dyDescent="0.25">
      <c r="A72768"/>
      <c r="B72768"/>
      <c r="C72768"/>
      <c r="E72768"/>
      <c r="F72768"/>
    </row>
    <row r="72769" spans="1:6" x14ac:dyDescent="0.25">
      <c r="A72769"/>
      <c r="B72769"/>
      <c r="C72769"/>
      <c r="E72769"/>
      <c r="F72769"/>
    </row>
    <row r="72770" spans="1:6" x14ac:dyDescent="0.25">
      <c r="A72770"/>
      <c r="B72770"/>
      <c r="C72770"/>
      <c r="E72770"/>
      <c r="F72770"/>
    </row>
    <row r="72771" spans="1:6" x14ac:dyDescent="0.25">
      <c r="A72771"/>
      <c r="B72771"/>
      <c r="C72771"/>
      <c r="E72771"/>
      <c r="F72771"/>
    </row>
    <row r="72772" spans="1:6" x14ac:dyDescent="0.25">
      <c r="A72772"/>
      <c r="B72772"/>
      <c r="C72772"/>
      <c r="E72772"/>
      <c r="F72772"/>
    </row>
    <row r="72773" spans="1:6" x14ac:dyDescent="0.25">
      <c r="A72773"/>
      <c r="B72773"/>
      <c r="C72773"/>
      <c r="E72773"/>
      <c r="F72773"/>
    </row>
    <row r="72774" spans="1:6" x14ac:dyDescent="0.25">
      <c r="A72774"/>
      <c r="B72774"/>
      <c r="C72774"/>
      <c r="E72774"/>
      <c r="F72774"/>
    </row>
    <row r="72775" spans="1:6" x14ac:dyDescent="0.25">
      <c r="A72775"/>
      <c r="B72775"/>
      <c r="C72775"/>
      <c r="E72775"/>
      <c r="F72775"/>
    </row>
    <row r="72776" spans="1:6" x14ac:dyDescent="0.25">
      <c r="A72776"/>
      <c r="B72776"/>
      <c r="C72776"/>
      <c r="E72776"/>
      <c r="F72776"/>
    </row>
    <row r="72777" spans="1:6" x14ac:dyDescent="0.25">
      <c r="A72777"/>
      <c r="B72777"/>
      <c r="C72777"/>
      <c r="E72777"/>
      <c r="F72777"/>
    </row>
    <row r="72778" spans="1:6" x14ac:dyDescent="0.25">
      <c r="A72778"/>
      <c r="B72778"/>
      <c r="C72778"/>
      <c r="E72778"/>
      <c r="F72778"/>
    </row>
    <row r="72779" spans="1:6" x14ac:dyDescent="0.25">
      <c r="A72779"/>
      <c r="B72779"/>
      <c r="C72779"/>
      <c r="E72779"/>
      <c r="F72779"/>
    </row>
    <row r="72780" spans="1:6" x14ac:dyDescent="0.25">
      <c r="A72780"/>
      <c r="B72780"/>
      <c r="C72780"/>
      <c r="E72780"/>
      <c r="F72780"/>
    </row>
    <row r="72781" spans="1:6" x14ac:dyDescent="0.25">
      <c r="A72781"/>
      <c r="B72781"/>
      <c r="C72781"/>
      <c r="E72781"/>
      <c r="F72781"/>
    </row>
    <row r="72782" spans="1:6" x14ac:dyDescent="0.25">
      <c r="A72782"/>
      <c r="B72782"/>
      <c r="C72782"/>
      <c r="E72782"/>
      <c r="F72782"/>
    </row>
    <row r="72783" spans="1:6" x14ac:dyDescent="0.25">
      <c r="A72783"/>
      <c r="B72783"/>
      <c r="C72783"/>
      <c r="E72783"/>
      <c r="F72783"/>
    </row>
    <row r="72784" spans="1:6" x14ac:dyDescent="0.25">
      <c r="A72784"/>
      <c r="B72784"/>
      <c r="C72784"/>
      <c r="E72784"/>
      <c r="F72784"/>
    </row>
    <row r="72785" spans="1:6" x14ac:dyDescent="0.25">
      <c r="A72785"/>
      <c r="B72785"/>
      <c r="C72785"/>
      <c r="E72785"/>
      <c r="F72785"/>
    </row>
    <row r="72786" spans="1:6" x14ac:dyDescent="0.25">
      <c r="A72786"/>
      <c r="B72786"/>
      <c r="C72786"/>
      <c r="E72786"/>
      <c r="F72786"/>
    </row>
    <row r="72787" spans="1:6" x14ac:dyDescent="0.25">
      <c r="A72787"/>
      <c r="B72787"/>
      <c r="C72787"/>
      <c r="E72787"/>
      <c r="F72787"/>
    </row>
    <row r="72788" spans="1:6" x14ac:dyDescent="0.25">
      <c r="A72788"/>
      <c r="B72788"/>
      <c r="C72788"/>
      <c r="E72788"/>
      <c r="F72788"/>
    </row>
    <row r="72789" spans="1:6" x14ac:dyDescent="0.25">
      <c r="A72789"/>
      <c r="B72789"/>
      <c r="C72789"/>
      <c r="E72789"/>
      <c r="F72789"/>
    </row>
    <row r="72790" spans="1:6" x14ac:dyDescent="0.25">
      <c r="A72790"/>
      <c r="B72790"/>
      <c r="C72790"/>
      <c r="E72790"/>
      <c r="F72790"/>
    </row>
    <row r="72791" spans="1:6" x14ac:dyDescent="0.25">
      <c r="A72791"/>
      <c r="B72791"/>
      <c r="C72791"/>
      <c r="E72791"/>
      <c r="F72791"/>
    </row>
    <row r="72792" spans="1:6" x14ac:dyDescent="0.25">
      <c r="A72792"/>
      <c r="B72792"/>
      <c r="C72792"/>
      <c r="E72792"/>
      <c r="F72792"/>
    </row>
    <row r="72793" spans="1:6" x14ac:dyDescent="0.25">
      <c r="A72793"/>
      <c r="B72793"/>
      <c r="C72793"/>
      <c r="E72793"/>
      <c r="F72793"/>
    </row>
    <row r="72794" spans="1:6" x14ac:dyDescent="0.25">
      <c r="A72794"/>
      <c r="B72794"/>
      <c r="C72794"/>
      <c r="E72794"/>
      <c r="F72794"/>
    </row>
    <row r="72795" spans="1:6" x14ac:dyDescent="0.25">
      <c r="A72795"/>
      <c r="B72795"/>
      <c r="C72795"/>
      <c r="E72795"/>
      <c r="F72795"/>
    </row>
    <row r="72796" spans="1:6" x14ac:dyDescent="0.25">
      <c r="A72796"/>
      <c r="B72796"/>
      <c r="C72796"/>
      <c r="E72796"/>
      <c r="F72796"/>
    </row>
    <row r="72797" spans="1:6" x14ac:dyDescent="0.25">
      <c r="A72797"/>
      <c r="B72797"/>
      <c r="C72797"/>
      <c r="E72797"/>
      <c r="F72797"/>
    </row>
    <row r="72798" spans="1:6" x14ac:dyDescent="0.25">
      <c r="A72798"/>
      <c r="B72798"/>
      <c r="C72798"/>
      <c r="E72798"/>
      <c r="F72798"/>
    </row>
    <row r="72799" spans="1:6" x14ac:dyDescent="0.25">
      <c r="A72799"/>
      <c r="B72799"/>
      <c r="C72799"/>
      <c r="E72799"/>
      <c r="F72799"/>
    </row>
    <row r="72800" spans="1:6" x14ac:dyDescent="0.25">
      <c r="A72800"/>
      <c r="B72800"/>
      <c r="C72800"/>
      <c r="E72800"/>
      <c r="F72800"/>
    </row>
    <row r="72801" spans="1:6" x14ac:dyDescent="0.25">
      <c r="A72801"/>
      <c r="B72801"/>
      <c r="C72801"/>
      <c r="E72801"/>
      <c r="F72801"/>
    </row>
    <row r="72802" spans="1:6" x14ac:dyDescent="0.25">
      <c r="A72802"/>
      <c r="B72802"/>
      <c r="C72802"/>
      <c r="E72802"/>
      <c r="F72802"/>
    </row>
    <row r="72803" spans="1:6" x14ac:dyDescent="0.25">
      <c r="A72803"/>
      <c r="B72803"/>
      <c r="C72803"/>
      <c r="E72803"/>
      <c r="F72803"/>
    </row>
    <row r="72804" spans="1:6" x14ac:dyDescent="0.25">
      <c r="A72804"/>
      <c r="B72804"/>
      <c r="C72804"/>
      <c r="E72804"/>
      <c r="F72804"/>
    </row>
    <row r="72805" spans="1:6" x14ac:dyDescent="0.25">
      <c r="A72805"/>
      <c r="B72805"/>
      <c r="C72805"/>
      <c r="E72805"/>
      <c r="F72805"/>
    </row>
    <row r="72806" spans="1:6" x14ac:dyDescent="0.25">
      <c r="A72806"/>
      <c r="B72806"/>
      <c r="C72806"/>
      <c r="E72806"/>
      <c r="F72806"/>
    </row>
    <row r="72807" spans="1:6" x14ac:dyDescent="0.25">
      <c r="A72807"/>
      <c r="B72807"/>
      <c r="C72807"/>
      <c r="E72807"/>
      <c r="F72807"/>
    </row>
    <row r="72808" spans="1:6" x14ac:dyDescent="0.25">
      <c r="A72808"/>
      <c r="B72808"/>
      <c r="C72808"/>
      <c r="E72808"/>
      <c r="F72808"/>
    </row>
    <row r="72809" spans="1:6" x14ac:dyDescent="0.25">
      <c r="A72809"/>
      <c r="B72809"/>
      <c r="C72809"/>
      <c r="E72809"/>
      <c r="F72809"/>
    </row>
    <row r="72810" spans="1:6" x14ac:dyDescent="0.25">
      <c r="A72810"/>
      <c r="B72810"/>
      <c r="C72810"/>
      <c r="E72810"/>
      <c r="F72810"/>
    </row>
    <row r="72811" spans="1:6" x14ac:dyDescent="0.25">
      <c r="A72811"/>
      <c r="B72811"/>
      <c r="C72811"/>
      <c r="E72811"/>
      <c r="F72811"/>
    </row>
    <row r="72812" spans="1:6" x14ac:dyDescent="0.25">
      <c r="A72812"/>
      <c r="B72812"/>
      <c r="C72812"/>
      <c r="E72812"/>
      <c r="F72812"/>
    </row>
    <row r="72813" spans="1:6" x14ac:dyDescent="0.25">
      <c r="A72813"/>
      <c r="B72813"/>
      <c r="C72813"/>
      <c r="E72813"/>
      <c r="F72813"/>
    </row>
    <row r="72814" spans="1:6" x14ac:dyDescent="0.25">
      <c r="A72814"/>
      <c r="B72814"/>
      <c r="C72814"/>
      <c r="E72814"/>
      <c r="F72814"/>
    </row>
    <row r="72815" spans="1:6" x14ac:dyDescent="0.25">
      <c r="A72815"/>
      <c r="B72815"/>
      <c r="C72815"/>
      <c r="E72815"/>
      <c r="F72815"/>
    </row>
    <row r="72816" spans="1:6" x14ac:dyDescent="0.25">
      <c r="A72816"/>
      <c r="B72816"/>
      <c r="C72816"/>
      <c r="E72816"/>
      <c r="F72816"/>
    </row>
    <row r="72817" spans="1:6" x14ac:dyDescent="0.25">
      <c r="A72817"/>
      <c r="B72817"/>
      <c r="C72817"/>
      <c r="E72817"/>
      <c r="F72817"/>
    </row>
    <row r="72818" spans="1:6" x14ac:dyDescent="0.25">
      <c r="A72818"/>
      <c r="B72818"/>
      <c r="C72818"/>
      <c r="E72818"/>
      <c r="F72818"/>
    </row>
    <row r="72819" spans="1:6" x14ac:dyDescent="0.25">
      <c r="A72819"/>
      <c r="B72819"/>
      <c r="C72819"/>
      <c r="E72819"/>
      <c r="F72819"/>
    </row>
    <row r="72820" spans="1:6" x14ac:dyDescent="0.25">
      <c r="A72820"/>
      <c r="B72820"/>
      <c r="C72820"/>
      <c r="E72820"/>
      <c r="F72820"/>
    </row>
    <row r="72821" spans="1:6" x14ac:dyDescent="0.25">
      <c r="A72821"/>
      <c r="B72821"/>
      <c r="C72821"/>
      <c r="E72821"/>
      <c r="F72821"/>
    </row>
    <row r="72822" spans="1:6" x14ac:dyDescent="0.25">
      <c r="A72822"/>
      <c r="B72822"/>
      <c r="C72822"/>
      <c r="E72822"/>
      <c r="F72822"/>
    </row>
    <row r="72823" spans="1:6" x14ac:dyDescent="0.25">
      <c r="A72823"/>
      <c r="B72823"/>
      <c r="C72823"/>
      <c r="E72823"/>
      <c r="F72823"/>
    </row>
    <row r="72824" spans="1:6" x14ac:dyDescent="0.25">
      <c r="A72824"/>
      <c r="B72824"/>
      <c r="C72824"/>
      <c r="E72824"/>
      <c r="F72824"/>
    </row>
    <row r="72825" spans="1:6" x14ac:dyDescent="0.25">
      <c r="A72825"/>
      <c r="B72825"/>
      <c r="C72825"/>
      <c r="E72825"/>
      <c r="F72825"/>
    </row>
    <row r="72826" spans="1:6" x14ac:dyDescent="0.25">
      <c r="A72826"/>
      <c r="B72826"/>
      <c r="C72826"/>
      <c r="E72826"/>
      <c r="F72826"/>
    </row>
    <row r="72827" spans="1:6" x14ac:dyDescent="0.25">
      <c r="A72827"/>
      <c r="B72827"/>
      <c r="C72827"/>
      <c r="E72827"/>
      <c r="F72827"/>
    </row>
    <row r="72828" spans="1:6" x14ac:dyDescent="0.25">
      <c r="A72828"/>
      <c r="B72828"/>
      <c r="C72828"/>
      <c r="E72828"/>
      <c r="F72828"/>
    </row>
    <row r="72829" spans="1:6" x14ac:dyDescent="0.25">
      <c r="A72829"/>
      <c r="B72829"/>
      <c r="C72829"/>
      <c r="E72829"/>
      <c r="F72829"/>
    </row>
    <row r="72830" spans="1:6" x14ac:dyDescent="0.25">
      <c r="A72830"/>
      <c r="B72830"/>
      <c r="C72830"/>
      <c r="E72830"/>
      <c r="F72830"/>
    </row>
    <row r="72831" spans="1:6" x14ac:dyDescent="0.25">
      <c r="A72831"/>
      <c r="B72831"/>
      <c r="C72831"/>
      <c r="E72831"/>
      <c r="F72831"/>
    </row>
    <row r="72832" spans="1:6" x14ac:dyDescent="0.25">
      <c r="A72832"/>
      <c r="B72832"/>
      <c r="C72832"/>
      <c r="E72832"/>
      <c r="F72832"/>
    </row>
    <row r="72833" spans="1:6" x14ac:dyDescent="0.25">
      <c r="A72833"/>
      <c r="B72833"/>
      <c r="C72833"/>
      <c r="E72833"/>
      <c r="F72833"/>
    </row>
    <row r="72834" spans="1:6" x14ac:dyDescent="0.25">
      <c r="A72834"/>
      <c r="B72834"/>
      <c r="C72834"/>
      <c r="E72834"/>
      <c r="F72834"/>
    </row>
    <row r="72835" spans="1:6" x14ac:dyDescent="0.25">
      <c r="A72835"/>
      <c r="B72835"/>
      <c r="C72835"/>
      <c r="E72835"/>
      <c r="F72835"/>
    </row>
    <row r="72836" spans="1:6" x14ac:dyDescent="0.25">
      <c r="A72836"/>
      <c r="B72836"/>
      <c r="C72836"/>
      <c r="E72836"/>
      <c r="F72836"/>
    </row>
    <row r="72837" spans="1:6" x14ac:dyDescent="0.25">
      <c r="A72837"/>
      <c r="B72837"/>
      <c r="C72837"/>
      <c r="E72837"/>
      <c r="F72837"/>
    </row>
    <row r="72838" spans="1:6" x14ac:dyDescent="0.25">
      <c r="A72838"/>
      <c r="B72838"/>
      <c r="C72838"/>
      <c r="E72838"/>
      <c r="F72838"/>
    </row>
    <row r="72839" spans="1:6" x14ac:dyDescent="0.25">
      <c r="A72839"/>
      <c r="B72839"/>
      <c r="C72839"/>
      <c r="E72839"/>
      <c r="F72839"/>
    </row>
    <row r="72840" spans="1:6" x14ac:dyDescent="0.25">
      <c r="A72840"/>
      <c r="B72840"/>
      <c r="C72840"/>
      <c r="E72840"/>
      <c r="F72840"/>
    </row>
    <row r="72841" spans="1:6" x14ac:dyDescent="0.25">
      <c r="A72841"/>
      <c r="B72841"/>
      <c r="C72841"/>
      <c r="E72841"/>
      <c r="F72841"/>
    </row>
    <row r="72842" spans="1:6" x14ac:dyDescent="0.25">
      <c r="A72842"/>
      <c r="B72842"/>
      <c r="C72842"/>
      <c r="E72842"/>
      <c r="F72842"/>
    </row>
    <row r="72843" spans="1:6" x14ac:dyDescent="0.25">
      <c r="A72843"/>
      <c r="B72843"/>
      <c r="C72843"/>
      <c r="E72843"/>
      <c r="F72843"/>
    </row>
    <row r="72844" spans="1:6" x14ac:dyDescent="0.25">
      <c r="A72844"/>
      <c r="B72844"/>
      <c r="C72844"/>
      <c r="E72844"/>
      <c r="F72844"/>
    </row>
    <row r="72845" spans="1:6" x14ac:dyDescent="0.25">
      <c r="A72845"/>
      <c r="B72845"/>
      <c r="C72845"/>
      <c r="E72845"/>
      <c r="F72845"/>
    </row>
    <row r="72846" spans="1:6" x14ac:dyDescent="0.25">
      <c r="A72846"/>
      <c r="B72846"/>
      <c r="C72846"/>
      <c r="E72846"/>
      <c r="F72846"/>
    </row>
    <row r="72847" spans="1:6" x14ac:dyDescent="0.25">
      <c r="A72847"/>
      <c r="B72847"/>
      <c r="C72847"/>
      <c r="E72847"/>
      <c r="F72847"/>
    </row>
    <row r="72848" spans="1:6" x14ac:dyDescent="0.25">
      <c r="A72848"/>
      <c r="B72848"/>
      <c r="C72848"/>
      <c r="E72848"/>
      <c r="F72848"/>
    </row>
    <row r="72849" spans="1:6" x14ac:dyDescent="0.25">
      <c r="A72849"/>
      <c r="B72849"/>
      <c r="C72849"/>
      <c r="E72849"/>
      <c r="F72849"/>
    </row>
    <row r="72850" spans="1:6" x14ac:dyDescent="0.25">
      <c r="A72850"/>
      <c r="B72850"/>
      <c r="C72850"/>
      <c r="E72850"/>
      <c r="F72850"/>
    </row>
    <row r="72851" spans="1:6" x14ac:dyDescent="0.25">
      <c r="A72851"/>
      <c r="B72851"/>
      <c r="C72851"/>
      <c r="E72851"/>
      <c r="F72851"/>
    </row>
    <row r="72852" spans="1:6" x14ac:dyDescent="0.25">
      <c r="A72852"/>
      <c r="B72852"/>
      <c r="C72852"/>
      <c r="E72852"/>
      <c r="F72852"/>
    </row>
    <row r="72853" spans="1:6" x14ac:dyDescent="0.25">
      <c r="A72853"/>
      <c r="B72853"/>
      <c r="C72853"/>
      <c r="E72853"/>
      <c r="F72853"/>
    </row>
    <row r="72854" spans="1:6" x14ac:dyDescent="0.25">
      <c r="A72854"/>
      <c r="B72854"/>
      <c r="C72854"/>
      <c r="E72854"/>
      <c r="F72854"/>
    </row>
    <row r="72855" spans="1:6" x14ac:dyDescent="0.25">
      <c r="A72855"/>
      <c r="B72855"/>
      <c r="C72855"/>
      <c r="E72855"/>
      <c r="F72855"/>
    </row>
    <row r="72856" spans="1:6" x14ac:dyDescent="0.25">
      <c r="A72856"/>
      <c r="B72856"/>
      <c r="C72856"/>
      <c r="E72856"/>
      <c r="F72856"/>
    </row>
    <row r="72857" spans="1:6" x14ac:dyDescent="0.25">
      <c r="A72857"/>
      <c r="B72857"/>
      <c r="C72857"/>
      <c r="E72857"/>
      <c r="F72857"/>
    </row>
    <row r="72858" spans="1:6" x14ac:dyDescent="0.25">
      <c r="A72858"/>
      <c r="B72858"/>
      <c r="C72858"/>
      <c r="E72858"/>
      <c r="F72858"/>
    </row>
    <row r="72859" spans="1:6" x14ac:dyDescent="0.25">
      <c r="A72859"/>
      <c r="B72859"/>
      <c r="C72859"/>
      <c r="E72859"/>
      <c r="F72859"/>
    </row>
    <row r="72860" spans="1:6" x14ac:dyDescent="0.25">
      <c r="A72860"/>
      <c r="B72860"/>
      <c r="C72860"/>
      <c r="E72860"/>
      <c r="F72860"/>
    </row>
    <row r="72861" spans="1:6" x14ac:dyDescent="0.25">
      <c r="A72861"/>
      <c r="B72861"/>
      <c r="C72861"/>
      <c r="E72861"/>
      <c r="F72861"/>
    </row>
    <row r="72862" spans="1:6" x14ac:dyDescent="0.25">
      <c r="A72862"/>
      <c r="B72862"/>
      <c r="C72862"/>
      <c r="E72862"/>
      <c r="F72862"/>
    </row>
    <row r="72863" spans="1:6" x14ac:dyDescent="0.25">
      <c r="A72863"/>
      <c r="B72863"/>
      <c r="C72863"/>
      <c r="E72863"/>
      <c r="F72863"/>
    </row>
    <row r="72864" spans="1:6" x14ac:dyDescent="0.25">
      <c r="A72864"/>
      <c r="B72864"/>
      <c r="C72864"/>
      <c r="E72864"/>
      <c r="F72864"/>
    </row>
    <row r="72865" spans="1:6" x14ac:dyDescent="0.25">
      <c r="A72865"/>
      <c r="B72865"/>
      <c r="C72865"/>
      <c r="E72865"/>
      <c r="F72865"/>
    </row>
    <row r="72866" spans="1:6" x14ac:dyDescent="0.25">
      <c r="A72866"/>
      <c r="B72866"/>
      <c r="C72866"/>
      <c r="E72866"/>
      <c r="F72866"/>
    </row>
    <row r="72867" spans="1:6" x14ac:dyDescent="0.25">
      <c r="A72867"/>
      <c r="B72867"/>
      <c r="C72867"/>
      <c r="E72867"/>
      <c r="F72867"/>
    </row>
    <row r="72868" spans="1:6" x14ac:dyDescent="0.25">
      <c r="A72868"/>
      <c r="B72868"/>
      <c r="C72868"/>
      <c r="E72868"/>
      <c r="F72868"/>
    </row>
    <row r="72869" spans="1:6" x14ac:dyDescent="0.25">
      <c r="A72869"/>
      <c r="B72869"/>
      <c r="C72869"/>
      <c r="E72869"/>
      <c r="F72869"/>
    </row>
    <row r="72870" spans="1:6" x14ac:dyDescent="0.25">
      <c r="A72870"/>
      <c r="B72870"/>
      <c r="C72870"/>
      <c r="E72870"/>
      <c r="F72870"/>
    </row>
    <row r="72871" spans="1:6" x14ac:dyDescent="0.25">
      <c r="A72871"/>
      <c r="B72871"/>
      <c r="C72871"/>
      <c r="E72871"/>
      <c r="F72871"/>
    </row>
    <row r="72872" spans="1:6" x14ac:dyDescent="0.25">
      <c r="A72872"/>
      <c r="B72872"/>
      <c r="C72872"/>
      <c r="E72872"/>
      <c r="F72872"/>
    </row>
    <row r="72873" spans="1:6" x14ac:dyDescent="0.25">
      <c r="A72873"/>
      <c r="B72873"/>
      <c r="C72873"/>
      <c r="E72873"/>
      <c r="F72873"/>
    </row>
    <row r="72874" spans="1:6" x14ac:dyDescent="0.25">
      <c r="A72874"/>
      <c r="B72874"/>
      <c r="C72874"/>
      <c r="E72874"/>
      <c r="F72874"/>
    </row>
    <row r="72875" spans="1:6" x14ac:dyDescent="0.25">
      <c r="A72875"/>
      <c r="B72875"/>
      <c r="C72875"/>
      <c r="E72875"/>
      <c r="F72875"/>
    </row>
    <row r="72876" spans="1:6" x14ac:dyDescent="0.25">
      <c r="A72876"/>
      <c r="B72876"/>
      <c r="C72876"/>
      <c r="E72876"/>
      <c r="F72876"/>
    </row>
    <row r="72877" spans="1:6" x14ac:dyDescent="0.25">
      <c r="A72877"/>
      <c r="B72877"/>
      <c r="C72877"/>
      <c r="E72877"/>
      <c r="F72877"/>
    </row>
    <row r="72878" spans="1:6" x14ac:dyDescent="0.25">
      <c r="A72878"/>
      <c r="B72878"/>
      <c r="C72878"/>
      <c r="E72878"/>
      <c r="F72878"/>
    </row>
    <row r="72879" spans="1:6" x14ac:dyDescent="0.25">
      <c r="A72879"/>
      <c r="B72879"/>
      <c r="C72879"/>
      <c r="E72879"/>
      <c r="F72879"/>
    </row>
    <row r="72880" spans="1:6" x14ac:dyDescent="0.25">
      <c r="A72880"/>
      <c r="B72880"/>
      <c r="C72880"/>
      <c r="E72880"/>
      <c r="F72880"/>
    </row>
    <row r="72881" spans="1:6" x14ac:dyDescent="0.25">
      <c r="A72881"/>
      <c r="B72881"/>
      <c r="C72881"/>
      <c r="E72881"/>
      <c r="F72881"/>
    </row>
    <row r="72882" spans="1:6" x14ac:dyDescent="0.25">
      <c r="A72882"/>
      <c r="B72882"/>
      <c r="C72882"/>
      <c r="E72882"/>
      <c r="F72882"/>
    </row>
    <row r="72883" spans="1:6" x14ac:dyDescent="0.25">
      <c r="A72883"/>
      <c r="B72883"/>
      <c r="C72883"/>
      <c r="E72883"/>
      <c r="F72883"/>
    </row>
    <row r="72884" spans="1:6" x14ac:dyDescent="0.25">
      <c r="A72884"/>
      <c r="B72884"/>
      <c r="C72884"/>
      <c r="E72884"/>
      <c r="F72884"/>
    </row>
    <row r="72885" spans="1:6" x14ac:dyDescent="0.25">
      <c r="A72885"/>
      <c r="B72885"/>
      <c r="C72885"/>
      <c r="E72885"/>
      <c r="F72885"/>
    </row>
    <row r="72886" spans="1:6" x14ac:dyDescent="0.25">
      <c r="A72886"/>
      <c r="B72886"/>
      <c r="C72886"/>
      <c r="E72886"/>
      <c r="F72886"/>
    </row>
    <row r="72887" spans="1:6" x14ac:dyDescent="0.25">
      <c r="A72887"/>
      <c r="B72887"/>
      <c r="C72887"/>
      <c r="E72887"/>
      <c r="F72887"/>
    </row>
    <row r="72888" spans="1:6" x14ac:dyDescent="0.25">
      <c r="A72888"/>
      <c r="B72888"/>
      <c r="C72888"/>
      <c r="E72888"/>
      <c r="F72888"/>
    </row>
    <row r="72889" spans="1:6" x14ac:dyDescent="0.25">
      <c r="A72889"/>
      <c r="B72889"/>
      <c r="C72889"/>
      <c r="E72889"/>
      <c r="F72889"/>
    </row>
    <row r="72890" spans="1:6" x14ac:dyDescent="0.25">
      <c r="A72890"/>
      <c r="B72890"/>
      <c r="C72890"/>
      <c r="E72890"/>
      <c r="F72890"/>
    </row>
    <row r="72891" spans="1:6" x14ac:dyDescent="0.25">
      <c r="A72891"/>
      <c r="B72891"/>
      <c r="C72891"/>
      <c r="E72891"/>
      <c r="F72891"/>
    </row>
    <row r="72892" spans="1:6" x14ac:dyDescent="0.25">
      <c r="A72892"/>
      <c r="B72892"/>
      <c r="C72892"/>
      <c r="E72892"/>
      <c r="F72892"/>
    </row>
    <row r="72893" spans="1:6" x14ac:dyDescent="0.25">
      <c r="A72893"/>
      <c r="B72893"/>
      <c r="C72893"/>
      <c r="E72893"/>
      <c r="F72893"/>
    </row>
    <row r="72894" spans="1:6" x14ac:dyDescent="0.25">
      <c r="A72894"/>
      <c r="B72894"/>
      <c r="C72894"/>
      <c r="E72894"/>
      <c r="F72894"/>
    </row>
    <row r="72895" spans="1:6" x14ac:dyDescent="0.25">
      <c r="A72895"/>
      <c r="B72895"/>
      <c r="C72895"/>
      <c r="E72895"/>
      <c r="F72895"/>
    </row>
    <row r="72896" spans="1:6" x14ac:dyDescent="0.25">
      <c r="A72896"/>
      <c r="B72896"/>
      <c r="C72896"/>
      <c r="E72896"/>
      <c r="F72896"/>
    </row>
    <row r="72897" spans="1:6" x14ac:dyDescent="0.25">
      <c r="A72897"/>
      <c r="B72897"/>
      <c r="C72897"/>
      <c r="E72897"/>
      <c r="F72897"/>
    </row>
    <row r="72898" spans="1:6" x14ac:dyDescent="0.25">
      <c r="A72898"/>
      <c r="B72898"/>
      <c r="C72898"/>
      <c r="E72898"/>
      <c r="F72898"/>
    </row>
    <row r="72899" spans="1:6" x14ac:dyDescent="0.25">
      <c r="A72899"/>
      <c r="B72899"/>
      <c r="C72899"/>
      <c r="E72899"/>
      <c r="F72899"/>
    </row>
    <row r="72900" spans="1:6" x14ac:dyDescent="0.25">
      <c r="A72900"/>
      <c r="B72900"/>
      <c r="C72900"/>
      <c r="E72900"/>
      <c r="F72900"/>
    </row>
    <row r="72901" spans="1:6" x14ac:dyDescent="0.25">
      <c r="A72901"/>
      <c r="B72901"/>
      <c r="C72901"/>
      <c r="E72901"/>
      <c r="F72901"/>
    </row>
    <row r="72902" spans="1:6" x14ac:dyDescent="0.25">
      <c r="A72902"/>
      <c r="B72902"/>
      <c r="C72902"/>
      <c r="E72902"/>
      <c r="F72902"/>
    </row>
    <row r="72903" spans="1:6" x14ac:dyDescent="0.25">
      <c r="A72903"/>
      <c r="B72903"/>
      <c r="C72903"/>
      <c r="E72903"/>
      <c r="F72903"/>
    </row>
    <row r="72904" spans="1:6" x14ac:dyDescent="0.25">
      <c r="A72904"/>
      <c r="B72904"/>
      <c r="C72904"/>
      <c r="E72904"/>
      <c r="F72904"/>
    </row>
    <row r="72905" spans="1:6" x14ac:dyDescent="0.25">
      <c r="A72905"/>
      <c r="B72905"/>
      <c r="C72905"/>
      <c r="E72905"/>
      <c r="F72905"/>
    </row>
    <row r="72906" spans="1:6" x14ac:dyDescent="0.25">
      <c r="A72906"/>
      <c r="B72906"/>
      <c r="C72906"/>
      <c r="E72906"/>
      <c r="F72906"/>
    </row>
    <row r="72907" spans="1:6" x14ac:dyDescent="0.25">
      <c r="A72907"/>
      <c r="B72907"/>
      <c r="C72907"/>
      <c r="E72907"/>
      <c r="F72907"/>
    </row>
    <row r="72908" spans="1:6" x14ac:dyDescent="0.25">
      <c r="A72908"/>
      <c r="B72908"/>
      <c r="C72908"/>
      <c r="E72908"/>
      <c r="F72908"/>
    </row>
    <row r="72909" spans="1:6" x14ac:dyDescent="0.25">
      <c r="A72909"/>
      <c r="B72909"/>
      <c r="C72909"/>
      <c r="E72909"/>
      <c r="F72909"/>
    </row>
    <row r="72910" spans="1:6" x14ac:dyDescent="0.25">
      <c r="A72910"/>
      <c r="B72910"/>
      <c r="C72910"/>
      <c r="E72910"/>
      <c r="F72910"/>
    </row>
    <row r="72911" spans="1:6" x14ac:dyDescent="0.25">
      <c r="A72911"/>
      <c r="B72911"/>
      <c r="C72911"/>
      <c r="E72911"/>
      <c r="F72911"/>
    </row>
    <row r="72912" spans="1:6" x14ac:dyDescent="0.25">
      <c r="A72912"/>
      <c r="B72912"/>
      <c r="C72912"/>
      <c r="E72912"/>
      <c r="F72912"/>
    </row>
    <row r="72913" spans="1:6" x14ac:dyDescent="0.25">
      <c r="A72913"/>
      <c r="B72913"/>
      <c r="C72913"/>
      <c r="E72913"/>
      <c r="F72913"/>
    </row>
    <row r="72914" spans="1:6" x14ac:dyDescent="0.25">
      <c r="A72914"/>
      <c r="B72914"/>
      <c r="C72914"/>
      <c r="E72914"/>
      <c r="F72914"/>
    </row>
    <row r="72915" spans="1:6" x14ac:dyDescent="0.25">
      <c r="A72915"/>
      <c r="B72915"/>
      <c r="C72915"/>
      <c r="E72915"/>
      <c r="F72915"/>
    </row>
    <row r="72916" spans="1:6" x14ac:dyDescent="0.25">
      <c r="A72916"/>
      <c r="B72916"/>
      <c r="C72916"/>
      <c r="E72916"/>
      <c r="F72916"/>
    </row>
    <row r="72917" spans="1:6" x14ac:dyDescent="0.25">
      <c r="A72917"/>
      <c r="B72917"/>
      <c r="C72917"/>
      <c r="E72917"/>
      <c r="F72917"/>
    </row>
    <row r="72918" spans="1:6" x14ac:dyDescent="0.25">
      <c r="A72918"/>
      <c r="B72918"/>
      <c r="C72918"/>
      <c r="E72918"/>
      <c r="F72918"/>
    </row>
    <row r="72919" spans="1:6" x14ac:dyDescent="0.25">
      <c r="A72919"/>
      <c r="B72919"/>
      <c r="C72919"/>
      <c r="E72919"/>
      <c r="F72919"/>
    </row>
    <row r="72920" spans="1:6" x14ac:dyDescent="0.25">
      <c r="A72920"/>
      <c r="B72920"/>
      <c r="C72920"/>
      <c r="E72920"/>
      <c r="F72920"/>
    </row>
    <row r="72921" spans="1:6" x14ac:dyDescent="0.25">
      <c r="A72921"/>
      <c r="B72921"/>
      <c r="C72921"/>
      <c r="E72921"/>
      <c r="F72921"/>
    </row>
    <row r="72922" spans="1:6" x14ac:dyDescent="0.25">
      <c r="A72922"/>
      <c r="B72922"/>
      <c r="C72922"/>
      <c r="E72922"/>
      <c r="F72922"/>
    </row>
    <row r="72923" spans="1:6" x14ac:dyDescent="0.25">
      <c r="A72923"/>
      <c r="B72923"/>
      <c r="C72923"/>
      <c r="E72923"/>
      <c r="F72923"/>
    </row>
    <row r="72924" spans="1:6" x14ac:dyDescent="0.25">
      <c r="A72924"/>
      <c r="B72924"/>
      <c r="C72924"/>
      <c r="E72924"/>
      <c r="F72924"/>
    </row>
    <row r="72925" spans="1:6" x14ac:dyDescent="0.25">
      <c r="A72925"/>
      <c r="B72925"/>
      <c r="C72925"/>
      <c r="E72925"/>
      <c r="F72925"/>
    </row>
    <row r="72926" spans="1:6" x14ac:dyDescent="0.25">
      <c r="A72926"/>
      <c r="B72926"/>
      <c r="C72926"/>
      <c r="E72926"/>
      <c r="F72926"/>
    </row>
    <row r="72927" spans="1:6" x14ac:dyDescent="0.25">
      <c r="A72927"/>
      <c r="B72927"/>
      <c r="C72927"/>
      <c r="E72927"/>
      <c r="F72927"/>
    </row>
    <row r="72928" spans="1:6" x14ac:dyDescent="0.25">
      <c r="A72928"/>
      <c r="B72928"/>
      <c r="C72928"/>
      <c r="E72928"/>
      <c r="F72928"/>
    </row>
    <row r="72929" spans="1:6" x14ac:dyDescent="0.25">
      <c r="A72929"/>
      <c r="B72929"/>
      <c r="C72929"/>
      <c r="E72929"/>
      <c r="F72929"/>
    </row>
    <row r="72930" spans="1:6" x14ac:dyDescent="0.25">
      <c r="A72930"/>
      <c r="B72930"/>
      <c r="C72930"/>
      <c r="E72930"/>
      <c r="F72930"/>
    </row>
    <row r="72931" spans="1:6" x14ac:dyDescent="0.25">
      <c r="A72931"/>
      <c r="B72931"/>
      <c r="C72931"/>
      <c r="E72931"/>
      <c r="F72931"/>
    </row>
    <row r="72932" spans="1:6" x14ac:dyDescent="0.25">
      <c r="A72932"/>
      <c r="B72932"/>
      <c r="C72932"/>
      <c r="E72932"/>
      <c r="F72932"/>
    </row>
    <row r="72933" spans="1:6" x14ac:dyDescent="0.25">
      <c r="A72933"/>
      <c r="B72933"/>
      <c r="C72933"/>
      <c r="E72933"/>
      <c r="F72933"/>
    </row>
    <row r="72934" spans="1:6" x14ac:dyDescent="0.25">
      <c r="A72934"/>
      <c r="B72934"/>
      <c r="C72934"/>
      <c r="E72934"/>
      <c r="F72934"/>
    </row>
    <row r="72935" spans="1:6" x14ac:dyDescent="0.25">
      <c r="A72935"/>
      <c r="B72935"/>
      <c r="C72935"/>
      <c r="E72935"/>
      <c r="F72935"/>
    </row>
    <row r="72936" spans="1:6" x14ac:dyDescent="0.25">
      <c r="A72936"/>
      <c r="B72936"/>
      <c r="C72936"/>
      <c r="E72936"/>
      <c r="F72936"/>
    </row>
    <row r="72937" spans="1:6" x14ac:dyDescent="0.25">
      <c r="A72937"/>
      <c r="B72937"/>
      <c r="C72937"/>
      <c r="E72937"/>
      <c r="F72937"/>
    </row>
    <row r="72938" spans="1:6" x14ac:dyDescent="0.25">
      <c r="A72938"/>
      <c r="B72938"/>
      <c r="C72938"/>
      <c r="E72938"/>
      <c r="F72938"/>
    </row>
    <row r="72939" spans="1:6" x14ac:dyDescent="0.25">
      <c r="A72939"/>
      <c r="B72939"/>
      <c r="C72939"/>
      <c r="E72939"/>
      <c r="F72939"/>
    </row>
    <row r="72940" spans="1:6" x14ac:dyDescent="0.25">
      <c r="A72940"/>
      <c r="B72940"/>
      <c r="C72940"/>
      <c r="E72940"/>
      <c r="F72940"/>
    </row>
    <row r="72941" spans="1:6" x14ac:dyDescent="0.25">
      <c r="A72941"/>
      <c r="B72941"/>
      <c r="C72941"/>
      <c r="E72941"/>
      <c r="F72941"/>
    </row>
    <row r="72942" spans="1:6" x14ac:dyDescent="0.25">
      <c r="A72942"/>
      <c r="B72942"/>
      <c r="C72942"/>
      <c r="E72942"/>
      <c r="F72942"/>
    </row>
    <row r="72943" spans="1:6" x14ac:dyDescent="0.25">
      <c r="A72943"/>
      <c r="B72943"/>
      <c r="C72943"/>
      <c r="E72943"/>
      <c r="F72943"/>
    </row>
    <row r="72944" spans="1:6" x14ac:dyDescent="0.25">
      <c r="A72944"/>
      <c r="B72944"/>
      <c r="C72944"/>
      <c r="E72944"/>
      <c r="F72944"/>
    </row>
    <row r="72945" spans="1:6" x14ac:dyDescent="0.25">
      <c r="A72945"/>
      <c r="B72945"/>
      <c r="C72945"/>
      <c r="E72945"/>
      <c r="F72945"/>
    </row>
    <row r="72946" spans="1:6" x14ac:dyDescent="0.25">
      <c r="A72946"/>
      <c r="B72946"/>
      <c r="C72946"/>
      <c r="E72946"/>
      <c r="F72946"/>
    </row>
    <row r="72947" spans="1:6" x14ac:dyDescent="0.25">
      <c r="A72947"/>
      <c r="B72947"/>
      <c r="C72947"/>
      <c r="E72947"/>
      <c r="F72947"/>
    </row>
    <row r="72948" spans="1:6" x14ac:dyDescent="0.25">
      <c r="A72948"/>
      <c r="B72948"/>
      <c r="C72948"/>
      <c r="E72948"/>
      <c r="F72948"/>
    </row>
    <row r="72949" spans="1:6" x14ac:dyDescent="0.25">
      <c r="A72949"/>
      <c r="B72949"/>
      <c r="C72949"/>
      <c r="E72949"/>
      <c r="F72949"/>
    </row>
    <row r="72950" spans="1:6" x14ac:dyDescent="0.25">
      <c r="A72950"/>
      <c r="B72950"/>
      <c r="C72950"/>
      <c r="E72950"/>
      <c r="F72950"/>
    </row>
    <row r="72951" spans="1:6" x14ac:dyDescent="0.25">
      <c r="A72951"/>
      <c r="B72951"/>
      <c r="C72951"/>
      <c r="E72951"/>
      <c r="F72951"/>
    </row>
    <row r="72952" spans="1:6" x14ac:dyDescent="0.25">
      <c r="A72952"/>
      <c r="B72952"/>
      <c r="C72952"/>
      <c r="E72952"/>
      <c r="F72952"/>
    </row>
    <row r="72953" spans="1:6" x14ac:dyDescent="0.25">
      <c r="A72953"/>
      <c r="B72953"/>
      <c r="C72953"/>
      <c r="E72953"/>
      <c r="F72953"/>
    </row>
    <row r="72954" spans="1:6" x14ac:dyDescent="0.25">
      <c r="A72954"/>
      <c r="B72954"/>
      <c r="C72954"/>
      <c r="E72954"/>
      <c r="F72954"/>
    </row>
    <row r="72955" spans="1:6" x14ac:dyDescent="0.25">
      <c r="A72955"/>
      <c r="B72955"/>
      <c r="C72955"/>
      <c r="E72955"/>
      <c r="F72955"/>
    </row>
    <row r="72956" spans="1:6" x14ac:dyDescent="0.25">
      <c r="A72956"/>
      <c r="B72956"/>
      <c r="C72956"/>
      <c r="E72956"/>
      <c r="F72956"/>
    </row>
    <row r="72957" spans="1:6" x14ac:dyDescent="0.25">
      <c r="A72957"/>
      <c r="B72957"/>
      <c r="C72957"/>
      <c r="E72957"/>
      <c r="F72957"/>
    </row>
    <row r="72958" spans="1:6" x14ac:dyDescent="0.25">
      <c r="A72958"/>
      <c r="B72958"/>
      <c r="C72958"/>
      <c r="E72958"/>
      <c r="F72958"/>
    </row>
    <row r="72959" spans="1:6" x14ac:dyDescent="0.25">
      <c r="A72959"/>
      <c r="B72959"/>
      <c r="C72959"/>
      <c r="E72959"/>
      <c r="F72959"/>
    </row>
    <row r="72960" spans="1:6" x14ac:dyDescent="0.25">
      <c r="A72960"/>
      <c r="B72960"/>
      <c r="C72960"/>
      <c r="E72960"/>
      <c r="F72960"/>
    </row>
    <row r="72961" spans="1:6" x14ac:dyDescent="0.25">
      <c r="A72961"/>
      <c r="B72961"/>
      <c r="C72961"/>
      <c r="E72961"/>
      <c r="F72961"/>
    </row>
    <row r="72962" spans="1:6" x14ac:dyDescent="0.25">
      <c r="A72962"/>
      <c r="B72962"/>
      <c r="C72962"/>
      <c r="E72962"/>
      <c r="F72962"/>
    </row>
    <row r="72963" spans="1:6" x14ac:dyDescent="0.25">
      <c r="A72963"/>
      <c r="B72963"/>
      <c r="C72963"/>
      <c r="E72963"/>
      <c r="F72963"/>
    </row>
    <row r="72964" spans="1:6" x14ac:dyDescent="0.25">
      <c r="A72964"/>
      <c r="B72964"/>
      <c r="C72964"/>
      <c r="E72964"/>
      <c r="F72964"/>
    </row>
    <row r="72965" spans="1:6" x14ac:dyDescent="0.25">
      <c r="A72965"/>
      <c r="B72965"/>
      <c r="C72965"/>
      <c r="E72965"/>
      <c r="F72965"/>
    </row>
    <row r="72966" spans="1:6" x14ac:dyDescent="0.25">
      <c r="A72966"/>
      <c r="B72966"/>
      <c r="C72966"/>
      <c r="E72966"/>
      <c r="F72966"/>
    </row>
    <row r="72967" spans="1:6" x14ac:dyDescent="0.25">
      <c r="A72967"/>
      <c r="B72967"/>
      <c r="C72967"/>
      <c r="E72967"/>
      <c r="F72967"/>
    </row>
    <row r="72968" spans="1:6" x14ac:dyDescent="0.25">
      <c r="A72968"/>
      <c r="B72968"/>
      <c r="C72968"/>
      <c r="E72968"/>
      <c r="F72968"/>
    </row>
    <row r="72969" spans="1:6" x14ac:dyDescent="0.25">
      <c r="A72969"/>
      <c r="B72969"/>
      <c r="C72969"/>
      <c r="E72969"/>
      <c r="F72969"/>
    </row>
    <row r="72970" spans="1:6" x14ac:dyDescent="0.25">
      <c r="A72970"/>
      <c r="B72970"/>
      <c r="C72970"/>
      <c r="E72970"/>
      <c r="F72970"/>
    </row>
    <row r="72971" spans="1:6" x14ac:dyDescent="0.25">
      <c r="A72971"/>
      <c r="B72971"/>
      <c r="C72971"/>
      <c r="E72971"/>
      <c r="F72971"/>
    </row>
    <row r="72972" spans="1:6" x14ac:dyDescent="0.25">
      <c r="A72972"/>
      <c r="B72972"/>
      <c r="C72972"/>
      <c r="E72972"/>
      <c r="F72972"/>
    </row>
    <row r="72973" spans="1:6" x14ac:dyDescent="0.25">
      <c r="A72973"/>
      <c r="B72973"/>
      <c r="C72973"/>
      <c r="E72973"/>
      <c r="F72973"/>
    </row>
    <row r="72974" spans="1:6" x14ac:dyDescent="0.25">
      <c r="A72974"/>
      <c r="B72974"/>
      <c r="C72974"/>
      <c r="E72974"/>
      <c r="F72974"/>
    </row>
    <row r="72975" spans="1:6" x14ac:dyDescent="0.25">
      <c r="A72975"/>
      <c r="B72975"/>
      <c r="C72975"/>
      <c r="E72975"/>
      <c r="F72975"/>
    </row>
    <row r="72976" spans="1:6" x14ac:dyDescent="0.25">
      <c r="A72976"/>
      <c r="B72976"/>
      <c r="C72976"/>
      <c r="E72976"/>
      <c r="F72976"/>
    </row>
    <row r="72977" spans="1:6" x14ac:dyDescent="0.25">
      <c r="A72977"/>
      <c r="B72977"/>
      <c r="C72977"/>
      <c r="E72977"/>
      <c r="F72977"/>
    </row>
    <row r="72978" spans="1:6" x14ac:dyDescent="0.25">
      <c r="A72978"/>
      <c r="B72978"/>
      <c r="C72978"/>
      <c r="E72978"/>
      <c r="F72978"/>
    </row>
    <row r="72979" spans="1:6" x14ac:dyDescent="0.25">
      <c r="A72979"/>
      <c r="B72979"/>
      <c r="C72979"/>
      <c r="E72979"/>
      <c r="F72979"/>
    </row>
    <row r="72980" spans="1:6" x14ac:dyDescent="0.25">
      <c r="A72980"/>
      <c r="B72980"/>
      <c r="C72980"/>
      <c r="E72980"/>
      <c r="F72980"/>
    </row>
    <row r="72981" spans="1:6" x14ac:dyDescent="0.25">
      <c r="A72981"/>
      <c r="B72981"/>
      <c r="C72981"/>
      <c r="E72981"/>
      <c r="F72981"/>
    </row>
    <row r="72982" spans="1:6" x14ac:dyDescent="0.25">
      <c r="A72982"/>
      <c r="B72982"/>
      <c r="C72982"/>
      <c r="E72982"/>
      <c r="F72982"/>
    </row>
    <row r="72983" spans="1:6" x14ac:dyDescent="0.25">
      <c r="A72983"/>
      <c r="B72983"/>
      <c r="C72983"/>
      <c r="E72983"/>
      <c r="F72983"/>
    </row>
    <row r="72984" spans="1:6" x14ac:dyDescent="0.25">
      <c r="A72984"/>
      <c r="B72984"/>
      <c r="C72984"/>
      <c r="E72984"/>
      <c r="F72984"/>
    </row>
    <row r="72985" spans="1:6" x14ac:dyDescent="0.25">
      <c r="A72985"/>
      <c r="B72985"/>
      <c r="C72985"/>
      <c r="E72985"/>
      <c r="F72985"/>
    </row>
    <row r="72986" spans="1:6" x14ac:dyDescent="0.25">
      <c r="A72986"/>
      <c r="B72986"/>
      <c r="C72986"/>
      <c r="E72986"/>
      <c r="F72986"/>
    </row>
    <row r="72987" spans="1:6" x14ac:dyDescent="0.25">
      <c r="A72987"/>
      <c r="B72987"/>
      <c r="C72987"/>
      <c r="E72987"/>
      <c r="F72987"/>
    </row>
    <row r="72988" spans="1:6" x14ac:dyDescent="0.25">
      <c r="A72988"/>
      <c r="B72988"/>
      <c r="C72988"/>
      <c r="E72988"/>
      <c r="F72988"/>
    </row>
    <row r="72989" spans="1:6" x14ac:dyDescent="0.25">
      <c r="A72989"/>
      <c r="B72989"/>
      <c r="C72989"/>
      <c r="E72989"/>
      <c r="F72989"/>
    </row>
    <row r="72990" spans="1:6" x14ac:dyDescent="0.25">
      <c r="A72990"/>
      <c r="B72990"/>
      <c r="C72990"/>
      <c r="E72990"/>
      <c r="F72990"/>
    </row>
    <row r="72991" spans="1:6" x14ac:dyDescent="0.25">
      <c r="A72991"/>
      <c r="B72991"/>
      <c r="C72991"/>
      <c r="E72991"/>
      <c r="F72991"/>
    </row>
    <row r="72992" spans="1:6" x14ac:dyDescent="0.25">
      <c r="A72992"/>
      <c r="B72992"/>
      <c r="C72992"/>
      <c r="E72992"/>
      <c r="F72992"/>
    </row>
    <row r="72993" spans="1:6" x14ac:dyDescent="0.25">
      <c r="A72993"/>
      <c r="B72993"/>
      <c r="C72993"/>
      <c r="E72993"/>
      <c r="F72993"/>
    </row>
    <row r="72994" spans="1:6" x14ac:dyDescent="0.25">
      <c r="A72994"/>
      <c r="B72994"/>
      <c r="C72994"/>
      <c r="E72994"/>
      <c r="F72994"/>
    </row>
    <row r="72995" spans="1:6" x14ac:dyDescent="0.25">
      <c r="A72995"/>
      <c r="B72995"/>
      <c r="C72995"/>
      <c r="E72995"/>
      <c r="F72995"/>
    </row>
    <row r="72996" spans="1:6" x14ac:dyDescent="0.25">
      <c r="A72996"/>
      <c r="B72996"/>
      <c r="C72996"/>
      <c r="E72996"/>
      <c r="F72996"/>
    </row>
    <row r="72997" spans="1:6" x14ac:dyDescent="0.25">
      <c r="A72997"/>
      <c r="B72997"/>
      <c r="C72997"/>
      <c r="E72997"/>
      <c r="F72997"/>
    </row>
    <row r="72998" spans="1:6" x14ac:dyDescent="0.25">
      <c r="A72998"/>
      <c r="B72998"/>
      <c r="C72998"/>
      <c r="E72998"/>
      <c r="F72998"/>
    </row>
    <row r="72999" spans="1:6" x14ac:dyDescent="0.25">
      <c r="A72999"/>
      <c r="B72999"/>
      <c r="C72999"/>
      <c r="E72999"/>
      <c r="F72999"/>
    </row>
    <row r="73000" spans="1:6" x14ac:dyDescent="0.25">
      <c r="A73000"/>
      <c r="B73000"/>
      <c r="C73000"/>
      <c r="E73000"/>
      <c r="F73000"/>
    </row>
    <row r="73001" spans="1:6" x14ac:dyDescent="0.25">
      <c r="A73001"/>
      <c r="B73001"/>
      <c r="C73001"/>
      <c r="E73001"/>
      <c r="F73001"/>
    </row>
    <row r="73002" spans="1:6" x14ac:dyDescent="0.25">
      <c r="A73002"/>
      <c r="B73002"/>
      <c r="C73002"/>
      <c r="E73002"/>
      <c r="F73002"/>
    </row>
    <row r="73003" spans="1:6" x14ac:dyDescent="0.25">
      <c r="A73003"/>
      <c r="B73003"/>
      <c r="C73003"/>
      <c r="E73003"/>
      <c r="F73003"/>
    </row>
    <row r="73004" spans="1:6" x14ac:dyDescent="0.25">
      <c r="A73004"/>
      <c r="B73004"/>
      <c r="C73004"/>
      <c r="E73004"/>
      <c r="F73004"/>
    </row>
    <row r="73005" spans="1:6" x14ac:dyDescent="0.25">
      <c r="A73005"/>
      <c r="B73005"/>
      <c r="C73005"/>
      <c r="E73005"/>
      <c r="F73005"/>
    </row>
    <row r="73006" spans="1:6" x14ac:dyDescent="0.25">
      <c r="A73006"/>
      <c r="B73006"/>
      <c r="C73006"/>
      <c r="E73006"/>
      <c r="F73006"/>
    </row>
    <row r="73007" spans="1:6" x14ac:dyDescent="0.25">
      <c r="A73007"/>
      <c r="B73007"/>
      <c r="C73007"/>
      <c r="E73007"/>
      <c r="F73007"/>
    </row>
    <row r="73008" spans="1:6" x14ac:dyDescent="0.25">
      <c r="A73008"/>
      <c r="B73008"/>
      <c r="C73008"/>
      <c r="E73008"/>
      <c r="F73008"/>
    </row>
    <row r="73009" spans="1:6" x14ac:dyDescent="0.25">
      <c r="A73009"/>
      <c r="B73009"/>
      <c r="C73009"/>
      <c r="E73009"/>
      <c r="F73009"/>
    </row>
    <row r="73010" spans="1:6" x14ac:dyDescent="0.25">
      <c r="A73010"/>
      <c r="B73010"/>
      <c r="C73010"/>
      <c r="E73010"/>
      <c r="F73010"/>
    </row>
    <row r="73011" spans="1:6" x14ac:dyDescent="0.25">
      <c r="A73011"/>
      <c r="B73011"/>
      <c r="C73011"/>
      <c r="E73011"/>
      <c r="F73011"/>
    </row>
    <row r="73012" spans="1:6" x14ac:dyDescent="0.25">
      <c r="A73012"/>
      <c r="B73012"/>
      <c r="C73012"/>
      <c r="E73012"/>
      <c r="F73012"/>
    </row>
    <row r="73013" spans="1:6" x14ac:dyDescent="0.25">
      <c r="A73013"/>
      <c r="B73013"/>
      <c r="C73013"/>
      <c r="E73013"/>
      <c r="F73013"/>
    </row>
    <row r="73014" spans="1:6" x14ac:dyDescent="0.25">
      <c r="A73014"/>
      <c r="B73014"/>
      <c r="C73014"/>
      <c r="E73014"/>
      <c r="F73014"/>
    </row>
    <row r="73015" spans="1:6" x14ac:dyDescent="0.25">
      <c r="A73015"/>
      <c r="B73015"/>
      <c r="C73015"/>
      <c r="E73015"/>
      <c r="F73015"/>
    </row>
    <row r="73016" spans="1:6" x14ac:dyDescent="0.25">
      <c r="A73016"/>
      <c r="B73016"/>
      <c r="C73016"/>
      <c r="E73016"/>
      <c r="F73016"/>
    </row>
    <row r="73017" spans="1:6" x14ac:dyDescent="0.25">
      <c r="A73017"/>
      <c r="B73017"/>
      <c r="C73017"/>
      <c r="E73017"/>
      <c r="F73017"/>
    </row>
    <row r="73018" spans="1:6" x14ac:dyDescent="0.25">
      <c r="A73018"/>
      <c r="B73018"/>
      <c r="C73018"/>
      <c r="E73018"/>
      <c r="F73018"/>
    </row>
    <row r="73019" spans="1:6" x14ac:dyDescent="0.25">
      <c r="A73019"/>
      <c r="B73019"/>
      <c r="C73019"/>
      <c r="E73019"/>
      <c r="F73019"/>
    </row>
    <row r="73020" spans="1:6" x14ac:dyDescent="0.25">
      <c r="A73020"/>
      <c r="B73020"/>
      <c r="C73020"/>
      <c r="E73020"/>
      <c r="F73020"/>
    </row>
    <row r="73021" spans="1:6" x14ac:dyDescent="0.25">
      <c r="A73021"/>
      <c r="B73021"/>
      <c r="C73021"/>
      <c r="E73021"/>
      <c r="F73021"/>
    </row>
    <row r="73022" spans="1:6" x14ac:dyDescent="0.25">
      <c r="A73022"/>
      <c r="B73022"/>
      <c r="C73022"/>
      <c r="E73022"/>
      <c r="F73022"/>
    </row>
    <row r="73023" spans="1:6" x14ac:dyDescent="0.25">
      <c r="A73023"/>
      <c r="B73023"/>
      <c r="C73023"/>
      <c r="E73023"/>
      <c r="F73023"/>
    </row>
    <row r="73024" spans="1:6" x14ac:dyDescent="0.25">
      <c r="A73024"/>
      <c r="B73024"/>
      <c r="C73024"/>
      <c r="E73024"/>
      <c r="F73024"/>
    </row>
    <row r="73025" spans="1:6" x14ac:dyDescent="0.25">
      <c r="A73025"/>
      <c r="B73025"/>
      <c r="C73025"/>
      <c r="E73025"/>
      <c r="F73025"/>
    </row>
    <row r="73026" spans="1:6" x14ac:dyDescent="0.25">
      <c r="A73026"/>
      <c r="B73026"/>
      <c r="C73026"/>
      <c r="E73026"/>
      <c r="F73026"/>
    </row>
    <row r="73027" spans="1:6" x14ac:dyDescent="0.25">
      <c r="A73027"/>
      <c r="B73027"/>
      <c r="C73027"/>
      <c r="E73027"/>
      <c r="F73027"/>
    </row>
    <row r="73028" spans="1:6" x14ac:dyDescent="0.25">
      <c r="A73028"/>
      <c r="B73028"/>
      <c r="C73028"/>
      <c r="E73028"/>
      <c r="F73028"/>
    </row>
    <row r="73029" spans="1:6" x14ac:dyDescent="0.25">
      <c r="A73029"/>
      <c r="B73029"/>
      <c r="C73029"/>
      <c r="E73029"/>
      <c r="F73029"/>
    </row>
    <row r="73030" spans="1:6" x14ac:dyDescent="0.25">
      <c r="A73030"/>
      <c r="B73030"/>
      <c r="C73030"/>
      <c r="E73030"/>
      <c r="F73030"/>
    </row>
    <row r="73031" spans="1:6" x14ac:dyDescent="0.25">
      <c r="A73031"/>
      <c r="B73031"/>
      <c r="C73031"/>
      <c r="E73031"/>
      <c r="F73031"/>
    </row>
    <row r="73032" spans="1:6" x14ac:dyDescent="0.25">
      <c r="A73032"/>
      <c r="B73032"/>
      <c r="C73032"/>
      <c r="E73032"/>
      <c r="F73032"/>
    </row>
    <row r="73033" spans="1:6" x14ac:dyDescent="0.25">
      <c r="A73033"/>
      <c r="B73033"/>
      <c r="C73033"/>
      <c r="E73033"/>
      <c r="F73033"/>
    </row>
    <row r="73034" spans="1:6" x14ac:dyDescent="0.25">
      <c r="A73034"/>
      <c r="B73034"/>
      <c r="C73034"/>
      <c r="E73034"/>
      <c r="F73034"/>
    </row>
    <row r="73035" spans="1:6" x14ac:dyDescent="0.25">
      <c r="A73035"/>
      <c r="B73035"/>
      <c r="C73035"/>
      <c r="E73035"/>
      <c r="F73035"/>
    </row>
    <row r="73036" spans="1:6" x14ac:dyDescent="0.25">
      <c r="A73036"/>
      <c r="B73036"/>
      <c r="C73036"/>
      <c r="E73036"/>
      <c r="F73036"/>
    </row>
    <row r="73037" spans="1:6" x14ac:dyDescent="0.25">
      <c r="A73037"/>
      <c r="B73037"/>
      <c r="C73037"/>
      <c r="E73037"/>
      <c r="F73037"/>
    </row>
    <row r="73038" spans="1:6" x14ac:dyDescent="0.25">
      <c r="A73038"/>
      <c r="B73038"/>
      <c r="C73038"/>
      <c r="E73038"/>
      <c r="F73038"/>
    </row>
    <row r="73039" spans="1:6" x14ac:dyDescent="0.25">
      <c r="A73039"/>
      <c r="B73039"/>
      <c r="C73039"/>
      <c r="E73039"/>
      <c r="F73039"/>
    </row>
    <row r="73040" spans="1:6" x14ac:dyDescent="0.25">
      <c r="A73040"/>
      <c r="B73040"/>
      <c r="C73040"/>
      <c r="E73040"/>
      <c r="F73040"/>
    </row>
    <row r="73041" spans="1:6" x14ac:dyDescent="0.25">
      <c r="A73041"/>
      <c r="B73041"/>
      <c r="C73041"/>
      <c r="E73041"/>
      <c r="F73041"/>
    </row>
    <row r="73042" spans="1:6" x14ac:dyDescent="0.25">
      <c r="A73042"/>
      <c r="B73042"/>
      <c r="C73042"/>
      <c r="E73042"/>
      <c r="F73042"/>
    </row>
    <row r="73043" spans="1:6" x14ac:dyDescent="0.25">
      <c r="A73043"/>
      <c r="B73043"/>
      <c r="C73043"/>
      <c r="E73043"/>
      <c r="F73043"/>
    </row>
    <row r="73044" spans="1:6" x14ac:dyDescent="0.25">
      <c r="A73044"/>
      <c r="B73044"/>
      <c r="C73044"/>
      <c r="E73044"/>
      <c r="F73044"/>
    </row>
    <row r="73045" spans="1:6" x14ac:dyDescent="0.25">
      <c r="A73045"/>
      <c r="B73045"/>
      <c r="C73045"/>
      <c r="E73045"/>
      <c r="F73045"/>
    </row>
    <row r="73046" spans="1:6" x14ac:dyDescent="0.25">
      <c r="A73046"/>
      <c r="B73046"/>
      <c r="C73046"/>
      <c r="E73046"/>
      <c r="F73046"/>
    </row>
    <row r="73047" spans="1:6" x14ac:dyDescent="0.25">
      <c r="A73047"/>
      <c r="B73047"/>
      <c r="C73047"/>
      <c r="E73047"/>
      <c r="F73047"/>
    </row>
    <row r="73048" spans="1:6" x14ac:dyDescent="0.25">
      <c r="A73048"/>
      <c r="B73048"/>
      <c r="C73048"/>
      <c r="E73048"/>
      <c r="F73048"/>
    </row>
    <row r="73049" spans="1:6" x14ac:dyDescent="0.25">
      <c r="A73049"/>
      <c r="B73049"/>
      <c r="C73049"/>
      <c r="E73049"/>
      <c r="F73049"/>
    </row>
    <row r="73050" spans="1:6" x14ac:dyDescent="0.25">
      <c r="A73050"/>
      <c r="B73050"/>
      <c r="C73050"/>
      <c r="E73050"/>
      <c r="F73050"/>
    </row>
    <row r="73051" spans="1:6" x14ac:dyDescent="0.25">
      <c r="A73051"/>
      <c r="B73051"/>
      <c r="C73051"/>
      <c r="E73051"/>
      <c r="F73051"/>
    </row>
    <row r="73052" spans="1:6" x14ac:dyDescent="0.25">
      <c r="A73052"/>
      <c r="B73052"/>
      <c r="C73052"/>
      <c r="E73052"/>
      <c r="F73052"/>
    </row>
    <row r="73053" spans="1:6" x14ac:dyDescent="0.25">
      <c r="A73053"/>
      <c r="B73053"/>
      <c r="C73053"/>
      <c r="E73053"/>
      <c r="F73053"/>
    </row>
    <row r="73054" spans="1:6" x14ac:dyDescent="0.25">
      <c r="A73054"/>
      <c r="B73054"/>
      <c r="C73054"/>
      <c r="E73054"/>
      <c r="F73054"/>
    </row>
    <row r="73055" spans="1:6" x14ac:dyDescent="0.25">
      <c r="A73055"/>
      <c r="B73055"/>
      <c r="C73055"/>
      <c r="E73055"/>
      <c r="F73055"/>
    </row>
    <row r="73056" spans="1:6" x14ac:dyDescent="0.25">
      <c r="A73056"/>
      <c r="B73056"/>
      <c r="C73056"/>
      <c r="E73056"/>
      <c r="F73056"/>
    </row>
    <row r="73057" spans="1:6" x14ac:dyDescent="0.25">
      <c r="A73057"/>
      <c r="B73057"/>
      <c r="C73057"/>
      <c r="E73057"/>
      <c r="F73057"/>
    </row>
    <row r="73058" spans="1:6" x14ac:dyDescent="0.25">
      <c r="A73058"/>
      <c r="B73058"/>
      <c r="C73058"/>
      <c r="E73058"/>
      <c r="F73058"/>
    </row>
    <row r="73059" spans="1:6" x14ac:dyDescent="0.25">
      <c r="A73059"/>
      <c r="B73059"/>
      <c r="C73059"/>
      <c r="E73059"/>
      <c r="F73059"/>
    </row>
    <row r="73060" spans="1:6" x14ac:dyDescent="0.25">
      <c r="A73060"/>
      <c r="B73060"/>
      <c r="C73060"/>
      <c r="E73060"/>
      <c r="F73060"/>
    </row>
    <row r="73061" spans="1:6" x14ac:dyDescent="0.25">
      <c r="A73061"/>
      <c r="B73061"/>
      <c r="C73061"/>
      <c r="E73061"/>
      <c r="F73061"/>
    </row>
    <row r="73062" spans="1:6" x14ac:dyDescent="0.25">
      <c r="A73062"/>
      <c r="B73062"/>
      <c r="C73062"/>
      <c r="E73062"/>
      <c r="F73062"/>
    </row>
    <row r="73063" spans="1:6" x14ac:dyDescent="0.25">
      <c r="A73063"/>
      <c r="B73063"/>
      <c r="C73063"/>
      <c r="E73063"/>
      <c r="F73063"/>
    </row>
    <row r="73064" spans="1:6" x14ac:dyDescent="0.25">
      <c r="A73064"/>
      <c r="B73064"/>
      <c r="C73064"/>
      <c r="E73064"/>
      <c r="F73064"/>
    </row>
    <row r="73065" spans="1:6" x14ac:dyDescent="0.25">
      <c r="A73065"/>
      <c r="B73065"/>
      <c r="C73065"/>
      <c r="E73065"/>
      <c r="F73065"/>
    </row>
    <row r="73066" spans="1:6" x14ac:dyDescent="0.25">
      <c r="A73066"/>
      <c r="B73066"/>
      <c r="C73066"/>
      <c r="E73066"/>
      <c r="F73066"/>
    </row>
    <row r="73067" spans="1:6" x14ac:dyDescent="0.25">
      <c r="A73067"/>
      <c r="B73067"/>
      <c r="C73067"/>
      <c r="E73067"/>
      <c r="F73067"/>
    </row>
    <row r="73068" spans="1:6" x14ac:dyDescent="0.25">
      <c r="A73068"/>
      <c r="B73068"/>
      <c r="C73068"/>
      <c r="E73068"/>
      <c r="F73068"/>
    </row>
    <row r="73069" spans="1:6" x14ac:dyDescent="0.25">
      <c r="A73069"/>
      <c r="B73069"/>
      <c r="C73069"/>
      <c r="E73069"/>
      <c r="F73069"/>
    </row>
    <row r="73070" spans="1:6" x14ac:dyDescent="0.25">
      <c r="A73070"/>
      <c r="B73070"/>
      <c r="C73070"/>
      <c r="E73070"/>
      <c r="F73070"/>
    </row>
    <row r="73071" spans="1:6" x14ac:dyDescent="0.25">
      <c r="A73071"/>
      <c r="B73071"/>
      <c r="C73071"/>
      <c r="E73071"/>
      <c r="F73071"/>
    </row>
    <row r="73072" spans="1:6" x14ac:dyDescent="0.25">
      <c r="A73072"/>
      <c r="B73072"/>
      <c r="C73072"/>
      <c r="E73072"/>
      <c r="F73072"/>
    </row>
    <row r="73073" spans="1:6" x14ac:dyDescent="0.25">
      <c r="A73073"/>
      <c r="B73073"/>
      <c r="C73073"/>
      <c r="E73073"/>
      <c r="F73073"/>
    </row>
    <row r="73074" spans="1:6" x14ac:dyDescent="0.25">
      <c r="A73074"/>
      <c r="B73074"/>
      <c r="C73074"/>
      <c r="E73074"/>
      <c r="F73074"/>
    </row>
    <row r="73075" spans="1:6" x14ac:dyDescent="0.25">
      <c r="A73075"/>
      <c r="B73075"/>
      <c r="C73075"/>
      <c r="E73075"/>
      <c r="F73075"/>
    </row>
    <row r="73076" spans="1:6" x14ac:dyDescent="0.25">
      <c r="A73076"/>
      <c r="B73076"/>
      <c r="C73076"/>
      <c r="E73076"/>
      <c r="F73076"/>
    </row>
    <row r="73077" spans="1:6" x14ac:dyDescent="0.25">
      <c r="A73077"/>
      <c r="B73077"/>
      <c r="C73077"/>
      <c r="E73077"/>
      <c r="F73077"/>
    </row>
    <row r="73078" spans="1:6" x14ac:dyDescent="0.25">
      <c r="A73078"/>
      <c r="B73078"/>
      <c r="C73078"/>
      <c r="E73078"/>
      <c r="F73078"/>
    </row>
    <row r="73079" spans="1:6" x14ac:dyDescent="0.25">
      <c r="A73079"/>
      <c r="B73079"/>
      <c r="C73079"/>
      <c r="E73079"/>
      <c r="F73079"/>
    </row>
    <row r="73080" spans="1:6" x14ac:dyDescent="0.25">
      <c r="A73080"/>
      <c r="B73080"/>
      <c r="C73080"/>
      <c r="E73080"/>
      <c r="F73080"/>
    </row>
    <row r="73081" spans="1:6" x14ac:dyDescent="0.25">
      <c r="A73081"/>
      <c r="B73081"/>
      <c r="C73081"/>
      <c r="E73081"/>
      <c r="F73081"/>
    </row>
    <row r="73082" spans="1:6" x14ac:dyDescent="0.25">
      <c r="A73082"/>
      <c r="B73082"/>
      <c r="C73082"/>
      <c r="E73082"/>
      <c r="F73082"/>
    </row>
    <row r="73083" spans="1:6" x14ac:dyDescent="0.25">
      <c r="A73083"/>
      <c r="B73083"/>
      <c r="C73083"/>
      <c r="E73083"/>
      <c r="F73083"/>
    </row>
    <row r="73084" spans="1:6" x14ac:dyDescent="0.25">
      <c r="A73084"/>
      <c r="B73084"/>
      <c r="C73084"/>
      <c r="E73084"/>
      <c r="F73084"/>
    </row>
    <row r="73085" spans="1:6" x14ac:dyDescent="0.25">
      <c r="A73085"/>
      <c r="B73085"/>
      <c r="C73085"/>
      <c r="E73085"/>
      <c r="F73085"/>
    </row>
    <row r="73086" spans="1:6" x14ac:dyDescent="0.25">
      <c r="A73086"/>
      <c r="B73086"/>
      <c r="C73086"/>
      <c r="E73086"/>
      <c r="F73086"/>
    </row>
    <row r="73087" spans="1:6" x14ac:dyDescent="0.25">
      <c r="A73087"/>
      <c r="B73087"/>
      <c r="C73087"/>
      <c r="E73087"/>
      <c r="F73087"/>
    </row>
    <row r="73088" spans="1:6" x14ac:dyDescent="0.25">
      <c r="A73088"/>
      <c r="B73088"/>
      <c r="C73088"/>
      <c r="E73088"/>
      <c r="F73088"/>
    </row>
    <row r="73089" spans="1:6" x14ac:dyDescent="0.25">
      <c r="A73089"/>
      <c r="B73089"/>
      <c r="C73089"/>
      <c r="E73089"/>
      <c r="F73089"/>
    </row>
    <row r="73090" spans="1:6" x14ac:dyDescent="0.25">
      <c r="A73090"/>
      <c r="B73090"/>
      <c r="C73090"/>
      <c r="E73090"/>
      <c r="F73090"/>
    </row>
    <row r="73091" spans="1:6" x14ac:dyDescent="0.25">
      <c r="A73091"/>
      <c r="B73091"/>
      <c r="C73091"/>
      <c r="E73091"/>
      <c r="F73091"/>
    </row>
    <row r="73092" spans="1:6" x14ac:dyDescent="0.25">
      <c r="A73092"/>
      <c r="B73092"/>
      <c r="C73092"/>
      <c r="E73092"/>
      <c r="F73092"/>
    </row>
    <row r="73093" spans="1:6" x14ac:dyDescent="0.25">
      <c r="A73093"/>
      <c r="B73093"/>
      <c r="C73093"/>
      <c r="E73093"/>
      <c r="F73093"/>
    </row>
    <row r="73094" spans="1:6" x14ac:dyDescent="0.25">
      <c r="A73094"/>
      <c r="B73094"/>
      <c r="C73094"/>
      <c r="E73094"/>
      <c r="F73094"/>
    </row>
    <row r="73095" spans="1:6" x14ac:dyDescent="0.25">
      <c r="A73095"/>
      <c r="B73095"/>
      <c r="C73095"/>
      <c r="E73095"/>
      <c r="F73095"/>
    </row>
    <row r="73096" spans="1:6" x14ac:dyDescent="0.25">
      <c r="A73096"/>
      <c r="B73096"/>
      <c r="C73096"/>
      <c r="E73096"/>
      <c r="F73096"/>
    </row>
    <row r="73097" spans="1:6" x14ac:dyDescent="0.25">
      <c r="A73097"/>
      <c r="B73097"/>
      <c r="C73097"/>
      <c r="E73097"/>
      <c r="F73097"/>
    </row>
    <row r="73098" spans="1:6" x14ac:dyDescent="0.25">
      <c r="A73098"/>
      <c r="B73098"/>
      <c r="C73098"/>
      <c r="E73098"/>
      <c r="F73098"/>
    </row>
    <row r="73099" spans="1:6" x14ac:dyDescent="0.25">
      <c r="A73099"/>
      <c r="B73099"/>
      <c r="C73099"/>
      <c r="E73099"/>
      <c r="F73099"/>
    </row>
    <row r="73100" spans="1:6" x14ac:dyDescent="0.25">
      <c r="A73100"/>
      <c r="B73100"/>
      <c r="C73100"/>
      <c r="E73100"/>
      <c r="F73100"/>
    </row>
    <row r="73101" spans="1:6" x14ac:dyDescent="0.25">
      <c r="A73101"/>
      <c r="B73101"/>
      <c r="C73101"/>
      <c r="E73101"/>
      <c r="F73101"/>
    </row>
    <row r="73102" spans="1:6" x14ac:dyDescent="0.25">
      <c r="A73102"/>
      <c r="B73102"/>
      <c r="C73102"/>
      <c r="E73102"/>
      <c r="F73102"/>
    </row>
    <row r="73103" spans="1:6" x14ac:dyDescent="0.25">
      <c r="A73103"/>
      <c r="B73103"/>
      <c r="C73103"/>
      <c r="E73103"/>
      <c r="F73103"/>
    </row>
    <row r="73104" spans="1:6" x14ac:dyDescent="0.25">
      <c r="A73104"/>
      <c r="B73104"/>
      <c r="C73104"/>
      <c r="E73104"/>
      <c r="F73104"/>
    </row>
    <row r="73105" spans="1:6" x14ac:dyDescent="0.25">
      <c r="A73105"/>
      <c r="B73105"/>
      <c r="C73105"/>
      <c r="E73105"/>
      <c r="F73105"/>
    </row>
    <row r="73106" spans="1:6" x14ac:dyDescent="0.25">
      <c r="A73106"/>
      <c r="B73106"/>
      <c r="C73106"/>
      <c r="E73106"/>
      <c r="F73106"/>
    </row>
    <row r="73107" spans="1:6" x14ac:dyDescent="0.25">
      <c r="A73107"/>
      <c r="B73107"/>
      <c r="C73107"/>
      <c r="E73107"/>
      <c r="F73107"/>
    </row>
    <row r="73108" spans="1:6" x14ac:dyDescent="0.25">
      <c r="A73108"/>
      <c r="B73108"/>
      <c r="C73108"/>
      <c r="E73108"/>
      <c r="F73108"/>
    </row>
    <row r="73109" spans="1:6" x14ac:dyDescent="0.25">
      <c r="A73109"/>
      <c r="B73109"/>
      <c r="C73109"/>
      <c r="E73109"/>
      <c r="F73109"/>
    </row>
    <row r="73110" spans="1:6" x14ac:dyDescent="0.25">
      <c r="A73110"/>
      <c r="B73110"/>
      <c r="C73110"/>
      <c r="E73110"/>
      <c r="F73110"/>
    </row>
    <row r="73111" spans="1:6" x14ac:dyDescent="0.25">
      <c r="A73111"/>
      <c r="B73111"/>
      <c r="C73111"/>
      <c r="E73111"/>
      <c r="F73111"/>
    </row>
    <row r="73112" spans="1:6" x14ac:dyDescent="0.25">
      <c r="A73112"/>
      <c r="B73112"/>
      <c r="C73112"/>
      <c r="E73112"/>
      <c r="F73112"/>
    </row>
    <row r="73113" spans="1:6" x14ac:dyDescent="0.25">
      <c r="A73113"/>
      <c r="B73113"/>
      <c r="C73113"/>
      <c r="E73113"/>
      <c r="F73113"/>
    </row>
    <row r="73114" spans="1:6" x14ac:dyDescent="0.25">
      <c r="A73114"/>
      <c r="B73114"/>
      <c r="C73114"/>
      <c r="E73114"/>
      <c r="F73114"/>
    </row>
    <row r="73115" spans="1:6" x14ac:dyDescent="0.25">
      <c r="A73115"/>
      <c r="B73115"/>
      <c r="C73115"/>
      <c r="E73115"/>
      <c r="F73115"/>
    </row>
    <row r="73116" spans="1:6" x14ac:dyDescent="0.25">
      <c r="A73116"/>
      <c r="B73116"/>
      <c r="C73116"/>
      <c r="E73116"/>
      <c r="F73116"/>
    </row>
    <row r="73117" spans="1:6" x14ac:dyDescent="0.25">
      <c r="A73117"/>
      <c r="B73117"/>
      <c r="C73117"/>
      <c r="E73117"/>
      <c r="F73117"/>
    </row>
    <row r="73118" spans="1:6" x14ac:dyDescent="0.25">
      <c r="A73118"/>
      <c r="B73118"/>
      <c r="C73118"/>
      <c r="E73118"/>
      <c r="F73118"/>
    </row>
    <row r="73119" spans="1:6" x14ac:dyDescent="0.25">
      <c r="A73119"/>
      <c r="B73119"/>
      <c r="C73119"/>
      <c r="E73119"/>
      <c r="F73119"/>
    </row>
    <row r="73120" spans="1:6" x14ac:dyDescent="0.25">
      <c r="A73120"/>
      <c r="B73120"/>
      <c r="C73120"/>
      <c r="E73120"/>
      <c r="F73120"/>
    </row>
    <row r="73121" spans="1:6" x14ac:dyDescent="0.25">
      <c r="A73121"/>
      <c r="B73121"/>
      <c r="C73121"/>
      <c r="E73121"/>
      <c r="F73121"/>
    </row>
    <row r="73122" spans="1:6" x14ac:dyDescent="0.25">
      <c r="A73122"/>
      <c r="B73122"/>
      <c r="C73122"/>
      <c r="E73122"/>
      <c r="F73122"/>
    </row>
    <row r="73123" spans="1:6" x14ac:dyDescent="0.25">
      <c r="A73123"/>
      <c r="B73123"/>
      <c r="C73123"/>
      <c r="E73123"/>
      <c r="F73123"/>
    </row>
    <row r="73124" spans="1:6" x14ac:dyDescent="0.25">
      <c r="A73124"/>
      <c r="B73124"/>
      <c r="C73124"/>
      <c r="E73124"/>
      <c r="F73124"/>
    </row>
    <row r="73125" spans="1:6" x14ac:dyDescent="0.25">
      <c r="A73125"/>
      <c r="B73125"/>
      <c r="C73125"/>
      <c r="E73125"/>
      <c r="F73125"/>
    </row>
    <row r="73126" spans="1:6" x14ac:dyDescent="0.25">
      <c r="A73126"/>
      <c r="B73126"/>
      <c r="C73126"/>
      <c r="E73126"/>
      <c r="F73126"/>
    </row>
    <row r="73127" spans="1:6" x14ac:dyDescent="0.25">
      <c r="A73127"/>
      <c r="B73127"/>
      <c r="C73127"/>
      <c r="E73127"/>
      <c r="F73127"/>
    </row>
    <row r="73128" spans="1:6" x14ac:dyDescent="0.25">
      <c r="A73128"/>
      <c r="B73128"/>
      <c r="C73128"/>
      <c r="E73128"/>
      <c r="F73128"/>
    </row>
    <row r="73129" spans="1:6" x14ac:dyDescent="0.25">
      <c r="A73129"/>
      <c r="B73129"/>
      <c r="C73129"/>
      <c r="E73129"/>
      <c r="F73129"/>
    </row>
    <row r="73130" spans="1:6" x14ac:dyDescent="0.25">
      <c r="A73130"/>
      <c r="B73130"/>
      <c r="C73130"/>
      <c r="E73130"/>
      <c r="F73130"/>
    </row>
    <row r="73131" spans="1:6" x14ac:dyDescent="0.25">
      <c r="A73131"/>
      <c r="B73131"/>
      <c r="C73131"/>
      <c r="E73131"/>
      <c r="F73131"/>
    </row>
    <row r="73132" spans="1:6" x14ac:dyDescent="0.25">
      <c r="A73132"/>
      <c r="B73132"/>
      <c r="C73132"/>
      <c r="E73132"/>
      <c r="F73132"/>
    </row>
    <row r="73133" spans="1:6" x14ac:dyDescent="0.25">
      <c r="A73133"/>
      <c r="B73133"/>
      <c r="C73133"/>
      <c r="E73133"/>
      <c r="F73133"/>
    </row>
    <row r="73134" spans="1:6" x14ac:dyDescent="0.25">
      <c r="A73134"/>
      <c r="B73134"/>
      <c r="C73134"/>
      <c r="E73134"/>
      <c r="F73134"/>
    </row>
    <row r="73135" spans="1:6" x14ac:dyDescent="0.25">
      <c r="A73135"/>
      <c r="B73135"/>
      <c r="C73135"/>
      <c r="E73135"/>
      <c r="F73135"/>
    </row>
    <row r="73136" spans="1:6" x14ac:dyDescent="0.25">
      <c r="A73136"/>
      <c r="B73136"/>
      <c r="C73136"/>
      <c r="E73136"/>
      <c r="F73136"/>
    </row>
    <row r="73137" spans="1:6" x14ac:dyDescent="0.25">
      <c r="A73137"/>
      <c r="B73137"/>
      <c r="C73137"/>
      <c r="E73137"/>
      <c r="F73137"/>
    </row>
    <row r="73138" spans="1:6" x14ac:dyDescent="0.25">
      <c r="A73138"/>
      <c r="B73138"/>
      <c r="C73138"/>
      <c r="E73138"/>
      <c r="F73138"/>
    </row>
    <row r="73139" spans="1:6" x14ac:dyDescent="0.25">
      <c r="A73139"/>
      <c r="B73139"/>
      <c r="C73139"/>
      <c r="E73139"/>
      <c r="F73139"/>
    </row>
    <row r="73140" spans="1:6" x14ac:dyDescent="0.25">
      <c r="A73140"/>
      <c r="B73140"/>
      <c r="C73140"/>
      <c r="E73140"/>
      <c r="F73140"/>
    </row>
    <row r="73141" spans="1:6" x14ac:dyDescent="0.25">
      <c r="A73141"/>
      <c r="B73141"/>
      <c r="C73141"/>
      <c r="E73141"/>
      <c r="F73141"/>
    </row>
    <row r="73142" spans="1:6" x14ac:dyDescent="0.25">
      <c r="A73142"/>
      <c r="B73142"/>
      <c r="C73142"/>
      <c r="E73142"/>
      <c r="F73142"/>
    </row>
    <row r="73143" spans="1:6" x14ac:dyDescent="0.25">
      <c r="A73143"/>
      <c r="B73143"/>
      <c r="C73143"/>
      <c r="E73143"/>
      <c r="F73143"/>
    </row>
    <row r="73144" spans="1:6" x14ac:dyDescent="0.25">
      <c r="A73144"/>
      <c r="B73144"/>
      <c r="C73144"/>
      <c r="E73144"/>
      <c r="F73144"/>
    </row>
    <row r="73145" spans="1:6" x14ac:dyDescent="0.25">
      <c r="A73145"/>
      <c r="B73145"/>
      <c r="C73145"/>
      <c r="E73145"/>
      <c r="F73145"/>
    </row>
    <row r="73146" spans="1:6" x14ac:dyDescent="0.25">
      <c r="A73146"/>
      <c r="B73146"/>
      <c r="C73146"/>
      <c r="E73146"/>
      <c r="F73146"/>
    </row>
    <row r="73147" spans="1:6" x14ac:dyDescent="0.25">
      <c r="A73147"/>
      <c r="B73147"/>
      <c r="C73147"/>
      <c r="E73147"/>
      <c r="F73147"/>
    </row>
    <row r="73148" spans="1:6" x14ac:dyDescent="0.25">
      <c r="A73148"/>
      <c r="B73148"/>
      <c r="C73148"/>
      <c r="E73148"/>
      <c r="F73148"/>
    </row>
    <row r="73149" spans="1:6" x14ac:dyDescent="0.25">
      <c r="A73149"/>
      <c r="B73149"/>
      <c r="C73149"/>
      <c r="E73149"/>
      <c r="F73149"/>
    </row>
    <row r="73150" spans="1:6" x14ac:dyDescent="0.25">
      <c r="A73150"/>
      <c r="B73150"/>
      <c r="C73150"/>
      <c r="E73150"/>
      <c r="F73150"/>
    </row>
    <row r="73151" spans="1:6" x14ac:dyDescent="0.25">
      <c r="A73151"/>
      <c r="B73151"/>
      <c r="C73151"/>
      <c r="E73151"/>
      <c r="F73151"/>
    </row>
    <row r="73152" spans="1:6" x14ac:dyDescent="0.25">
      <c r="A73152"/>
      <c r="B73152"/>
      <c r="C73152"/>
      <c r="E73152"/>
      <c r="F73152"/>
    </row>
    <row r="73153" spans="1:6" x14ac:dyDescent="0.25">
      <c r="A73153"/>
      <c r="B73153"/>
      <c r="C73153"/>
      <c r="E73153"/>
      <c r="F73153"/>
    </row>
    <row r="73154" spans="1:6" x14ac:dyDescent="0.25">
      <c r="A73154"/>
      <c r="B73154"/>
      <c r="C73154"/>
      <c r="E73154"/>
      <c r="F73154"/>
    </row>
    <row r="73155" spans="1:6" x14ac:dyDescent="0.25">
      <c r="A73155"/>
      <c r="B73155"/>
      <c r="C73155"/>
      <c r="E73155"/>
      <c r="F73155"/>
    </row>
    <row r="73156" spans="1:6" x14ac:dyDescent="0.25">
      <c r="A73156"/>
      <c r="B73156"/>
      <c r="C73156"/>
      <c r="E73156"/>
      <c r="F73156"/>
    </row>
    <row r="73157" spans="1:6" x14ac:dyDescent="0.25">
      <c r="A73157"/>
      <c r="B73157"/>
      <c r="C73157"/>
      <c r="E73157"/>
      <c r="F73157"/>
    </row>
    <row r="73158" spans="1:6" x14ac:dyDescent="0.25">
      <c r="A73158"/>
      <c r="B73158"/>
      <c r="C73158"/>
      <c r="E73158"/>
      <c r="F73158"/>
    </row>
    <row r="73159" spans="1:6" x14ac:dyDescent="0.25">
      <c r="A73159"/>
      <c r="B73159"/>
      <c r="C73159"/>
      <c r="E73159"/>
      <c r="F73159"/>
    </row>
    <row r="73160" spans="1:6" x14ac:dyDescent="0.25">
      <c r="A73160"/>
      <c r="B73160"/>
      <c r="C73160"/>
      <c r="E73160"/>
      <c r="F73160"/>
    </row>
    <row r="73161" spans="1:6" x14ac:dyDescent="0.25">
      <c r="A73161"/>
      <c r="B73161"/>
      <c r="C73161"/>
      <c r="E73161"/>
      <c r="F73161"/>
    </row>
    <row r="73162" spans="1:6" x14ac:dyDescent="0.25">
      <c r="A73162"/>
      <c r="B73162"/>
      <c r="C73162"/>
      <c r="E73162"/>
      <c r="F73162"/>
    </row>
    <row r="73163" spans="1:6" x14ac:dyDescent="0.25">
      <c r="A73163"/>
      <c r="B73163"/>
      <c r="C73163"/>
      <c r="E73163"/>
      <c r="F73163"/>
    </row>
    <row r="73164" spans="1:6" x14ac:dyDescent="0.25">
      <c r="A73164"/>
      <c r="B73164"/>
      <c r="C73164"/>
      <c r="E73164"/>
      <c r="F73164"/>
    </row>
    <row r="73165" spans="1:6" x14ac:dyDescent="0.25">
      <c r="A73165"/>
      <c r="B73165"/>
      <c r="C73165"/>
      <c r="E73165"/>
      <c r="F73165"/>
    </row>
    <row r="73166" spans="1:6" x14ac:dyDescent="0.25">
      <c r="A73166"/>
      <c r="B73166"/>
      <c r="C73166"/>
      <c r="E73166"/>
      <c r="F73166"/>
    </row>
    <row r="73167" spans="1:6" x14ac:dyDescent="0.25">
      <c r="A73167"/>
      <c r="B73167"/>
      <c r="C73167"/>
      <c r="E73167"/>
      <c r="F73167"/>
    </row>
    <row r="73168" spans="1:6" x14ac:dyDescent="0.25">
      <c r="A73168"/>
      <c r="B73168"/>
      <c r="C73168"/>
      <c r="E73168"/>
      <c r="F73168"/>
    </row>
    <row r="73169" spans="1:6" x14ac:dyDescent="0.25">
      <c r="A73169"/>
      <c r="B73169"/>
      <c r="C73169"/>
      <c r="E73169"/>
      <c r="F73169"/>
    </row>
    <row r="73170" spans="1:6" x14ac:dyDescent="0.25">
      <c r="A73170"/>
      <c r="B73170"/>
      <c r="C73170"/>
      <c r="E73170"/>
      <c r="F73170"/>
    </row>
    <row r="73171" spans="1:6" x14ac:dyDescent="0.25">
      <c r="A73171"/>
      <c r="B73171"/>
      <c r="C73171"/>
      <c r="E73171"/>
      <c r="F73171"/>
    </row>
    <row r="73172" spans="1:6" x14ac:dyDescent="0.25">
      <c r="A73172"/>
      <c r="B73172"/>
      <c r="C73172"/>
      <c r="E73172"/>
      <c r="F73172"/>
    </row>
    <row r="73173" spans="1:6" x14ac:dyDescent="0.25">
      <c r="A73173"/>
      <c r="B73173"/>
      <c r="C73173"/>
      <c r="E73173"/>
      <c r="F73173"/>
    </row>
    <row r="73174" spans="1:6" x14ac:dyDescent="0.25">
      <c r="A73174"/>
      <c r="B73174"/>
      <c r="C73174"/>
      <c r="E73174"/>
      <c r="F73174"/>
    </row>
    <row r="73175" spans="1:6" x14ac:dyDescent="0.25">
      <c r="A73175"/>
      <c r="B73175"/>
      <c r="C73175"/>
      <c r="E73175"/>
      <c r="F73175"/>
    </row>
    <row r="73176" spans="1:6" x14ac:dyDescent="0.25">
      <c r="A73176"/>
      <c r="B73176"/>
      <c r="C73176"/>
      <c r="E73176"/>
      <c r="F73176"/>
    </row>
    <row r="73177" spans="1:6" x14ac:dyDescent="0.25">
      <c r="A73177"/>
      <c r="B73177"/>
      <c r="C73177"/>
      <c r="E73177"/>
      <c r="F73177"/>
    </row>
    <row r="73178" spans="1:6" x14ac:dyDescent="0.25">
      <c r="A73178"/>
      <c r="B73178"/>
      <c r="C73178"/>
      <c r="E73178"/>
      <c r="F73178"/>
    </row>
    <row r="73179" spans="1:6" x14ac:dyDescent="0.25">
      <c r="A73179"/>
      <c r="B73179"/>
      <c r="C73179"/>
      <c r="E73179"/>
      <c r="F73179"/>
    </row>
    <row r="73180" spans="1:6" x14ac:dyDescent="0.25">
      <c r="A73180"/>
      <c r="B73180"/>
      <c r="C73180"/>
      <c r="E73180"/>
      <c r="F73180"/>
    </row>
    <row r="73181" spans="1:6" x14ac:dyDescent="0.25">
      <c r="A73181"/>
      <c r="B73181"/>
      <c r="C73181"/>
      <c r="E73181"/>
      <c r="F73181"/>
    </row>
    <row r="73182" spans="1:6" x14ac:dyDescent="0.25">
      <c r="A73182"/>
      <c r="B73182"/>
      <c r="C73182"/>
      <c r="E73182"/>
      <c r="F73182"/>
    </row>
    <row r="73183" spans="1:6" x14ac:dyDescent="0.25">
      <c r="A73183"/>
      <c r="B73183"/>
      <c r="C73183"/>
      <c r="E73183"/>
      <c r="F73183"/>
    </row>
    <row r="73184" spans="1:6" x14ac:dyDescent="0.25">
      <c r="A73184"/>
      <c r="B73184"/>
      <c r="C73184"/>
      <c r="E73184"/>
      <c r="F73184"/>
    </row>
    <row r="73185" spans="1:6" x14ac:dyDescent="0.25">
      <c r="A73185"/>
      <c r="B73185"/>
      <c r="C73185"/>
      <c r="E73185"/>
      <c r="F73185"/>
    </row>
    <row r="73186" spans="1:6" x14ac:dyDescent="0.25">
      <c r="A73186"/>
      <c r="B73186"/>
      <c r="C73186"/>
      <c r="E73186"/>
      <c r="F73186"/>
    </row>
    <row r="73187" spans="1:6" x14ac:dyDescent="0.25">
      <c r="A73187"/>
      <c r="B73187"/>
      <c r="C73187"/>
      <c r="E73187"/>
      <c r="F73187"/>
    </row>
    <row r="73188" spans="1:6" x14ac:dyDescent="0.25">
      <c r="A73188"/>
      <c r="B73188"/>
      <c r="C73188"/>
      <c r="E73188"/>
      <c r="F73188"/>
    </row>
    <row r="73189" spans="1:6" x14ac:dyDescent="0.25">
      <c r="A73189"/>
      <c r="B73189"/>
      <c r="C73189"/>
      <c r="E73189"/>
      <c r="F73189"/>
    </row>
    <row r="73190" spans="1:6" x14ac:dyDescent="0.25">
      <c r="A73190"/>
      <c r="B73190"/>
      <c r="C73190"/>
      <c r="E73190"/>
      <c r="F73190"/>
    </row>
    <row r="73191" spans="1:6" x14ac:dyDescent="0.25">
      <c r="A73191"/>
      <c r="B73191"/>
      <c r="C73191"/>
      <c r="E73191"/>
      <c r="F73191"/>
    </row>
    <row r="73192" spans="1:6" x14ac:dyDescent="0.25">
      <c r="A73192"/>
      <c r="B73192"/>
      <c r="C73192"/>
      <c r="E73192"/>
      <c r="F73192"/>
    </row>
    <row r="73193" spans="1:6" x14ac:dyDescent="0.25">
      <c r="A73193"/>
      <c r="B73193"/>
      <c r="C73193"/>
      <c r="E73193"/>
      <c r="F73193"/>
    </row>
    <row r="73194" spans="1:6" x14ac:dyDescent="0.25">
      <c r="A73194"/>
      <c r="B73194"/>
      <c r="C73194"/>
      <c r="E73194"/>
      <c r="F73194"/>
    </row>
    <row r="73195" spans="1:6" x14ac:dyDescent="0.25">
      <c r="A73195"/>
      <c r="B73195"/>
      <c r="C73195"/>
      <c r="E73195"/>
      <c r="F73195"/>
    </row>
    <row r="73196" spans="1:6" x14ac:dyDescent="0.25">
      <c r="A73196"/>
      <c r="B73196"/>
      <c r="C73196"/>
      <c r="E73196"/>
      <c r="F73196"/>
    </row>
    <row r="73197" spans="1:6" x14ac:dyDescent="0.25">
      <c r="A73197"/>
      <c r="B73197"/>
      <c r="C73197"/>
      <c r="E73197"/>
      <c r="F73197"/>
    </row>
    <row r="73198" spans="1:6" x14ac:dyDescent="0.25">
      <c r="A73198"/>
      <c r="B73198"/>
      <c r="C73198"/>
      <c r="E73198"/>
      <c r="F73198"/>
    </row>
    <row r="73199" spans="1:6" x14ac:dyDescent="0.25">
      <c r="A73199"/>
      <c r="B73199"/>
      <c r="C73199"/>
      <c r="E73199"/>
      <c r="F73199"/>
    </row>
    <row r="73200" spans="1:6" x14ac:dyDescent="0.25">
      <c r="A73200"/>
      <c r="B73200"/>
      <c r="C73200"/>
      <c r="E73200"/>
      <c r="F73200"/>
    </row>
    <row r="73201" spans="1:6" x14ac:dyDescent="0.25">
      <c r="A73201"/>
      <c r="B73201"/>
      <c r="C73201"/>
      <c r="E73201"/>
      <c r="F73201"/>
    </row>
    <row r="73202" spans="1:6" x14ac:dyDescent="0.25">
      <c r="A73202"/>
      <c r="B73202"/>
      <c r="C73202"/>
      <c r="E73202"/>
      <c r="F73202"/>
    </row>
    <row r="73203" spans="1:6" x14ac:dyDescent="0.25">
      <c r="A73203"/>
      <c r="B73203"/>
      <c r="C73203"/>
      <c r="E73203"/>
      <c r="F73203"/>
    </row>
    <row r="73204" spans="1:6" x14ac:dyDescent="0.25">
      <c r="A73204"/>
      <c r="B73204"/>
      <c r="C73204"/>
      <c r="E73204"/>
      <c r="F73204"/>
    </row>
    <row r="73205" spans="1:6" x14ac:dyDescent="0.25">
      <c r="A73205"/>
      <c r="B73205"/>
      <c r="C73205"/>
      <c r="E73205"/>
      <c r="F73205"/>
    </row>
    <row r="73206" spans="1:6" x14ac:dyDescent="0.25">
      <c r="A73206"/>
      <c r="B73206"/>
      <c r="C73206"/>
      <c r="E73206"/>
      <c r="F73206"/>
    </row>
    <row r="73207" spans="1:6" x14ac:dyDescent="0.25">
      <c r="A73207"/>
      <c r="B73207"/>
      <c r="C73207"/>
      <c r="E73207"/>
      <c r="F73207"/>
    </row>
    <row r="73208" spans="1:6" x14ac:dyDescent="0.25">
      <c r="A73208"/>
      <c r="B73208"/>
      <c r="C73208"/>
      <c r="E73208"/>
      <c r="F73208"/>
    </row>
    <row r="73209" spans="1:6" x14ac:dyDescent="0.25">
      <c r="A73209"/>
      <c r="B73209"/>
      <c r="C73209"/>
      <c r="E73209"/>
      <c r="F73209"/>
    </row>
    <row r="73210" spans="1:6" x14ac:dyDescent="0.25">
      <c r="A73210"/>
      <c r="B73210"/>
      <c r="C73210"/>
      <c r="E73210"/>
      <c r="F73210"/>
    </row>
    <row r="73211" spans="1:6" x14ac:dyDescent="0.25">
      <c r="A73211"/>
      <c r="B73211"/>
      <c r="C73211"/>
      <c r="E73211"/>
      <c r="F73211"/>
    </row>
    <row r="73212" spans="1:6" x14ac:dyDescent="0.25">
      <c r="A73212"/>
      <c r="B73212"/>
      <c r="C73212"/>
      <c r="E73212"/>
      <c r="F73212"/>
    </row>
    <row r="73213" spans="1:6" x14ac:dyDescent="0.25">
      <c r="A73213"/>
      <c r="B73213"/>
      <c r="C73213"/>
      <c r="E73213"/>
      <c r="F73213"/>
    </row>
    <row r="73214" spans="1:6" x14ac:dyDescent="0.25">
      <c r="A73214"/>
      <c r="B73214"/>
      <c r="C73214"/>
      <c r="E73214"/>
      <c r="F73214"/>
    </row>
    <row r="73215" spans="1:6" x14ac:dyDescent="0.25">
      <c r="A73215"/>
      <c r="B73215"/>
      <c r="C73215"/>
      <c r="E73215"/>
      <c r="F73215"/>
    </row>
    <row r="73216" spans="1:6" x14ac:dyDescent="0.25">
      <c r="A73216"/>
      <c r="B73216"/>
      <c r="C73216"/>
      <c r="E73216"/>
      <c r="F73216"/>
    </row>
    <row r="73217" spans="1:6" x14ac:dyDescent="0.25">
      <c r="A73217"/>
      <c r="B73217"/>
      <c r="C73217"/>
      <c r="E73217"/>
      <c r="F73217"/>
    </row>
    <row r="73218" spans="1:6" x14ac:dyDescent="0.25">
      <c r="A73218"/>
      <c r="B73218"/>
      <c r="C73218"/>
      <c r="E73218"/>
      <c r="F73218"/>
    </row>
    <row r="73219" spans="1:6" x14ac:dyDescent="0.25">
      <c r="A73219"/>
      <c r="B73219"/>
      <c r="C73219"/>
      <c r="E73219"/>
      <c r="F73219"/>
    </row>
    <row r="73220" spans="1:6" x14ac:dyDescent="0.25">
      <c r="A73220"/>
      <c r="B73220"/>
      <c r="C73220"/>
      <c r="E73220"/>
      <c r="F73220"/>
    </row>
    <row r="73221" spans="1:6" x14ac:dyDescent="0.25">
      <c r="A73221"/>
      <c r="B73221"/>
      <c r="C73221"/>
      <c r="E73221"/>
      <c r="F73221"/>
    </row>
    <row r="73222" spans="1:6" x14ac:dyDescent="0.25">
      <c r="A73222"/>
      <c r="B73222"/>
      <c r="C73222"/>
      <c r="E73222"/>
      <c r="F73222"/>
    </row>
    <row r="73223" spans="1:6" x14ac:dyDescent="0.25">
      <c r="A73223"/>
      <c r="B73223"/>
      <c r="C73223"/>
      <c r="E73223"/>
      <c r="F73223"/>
    </row>
    <row r="73224" spans="1:6" x14ac:dyDescent="0.25">
      <c r="A73224"/>
      <c r="B73224"/>
      <c r="C73224"/>
      <c r="E73224"/>
      <c r="F73224"/>
    </row>
    <row r="73225" spans="1:6" x14ac:dyDescent="0.25">
      <c r="A73225"/>
      <c r="B73225"/>
      <c r="C73225"/>
      <c r="E73225"/>
      <c r="F73225"/>
    </row>
    <row r="73226" spans="1:6" x14ac:dyDescent="0.25">
      <c r="A73226"/>
      <c r="B73226"/>
      <c r="C73226"/>
      <c r="E73226"/>
      <c r="F73226"/>
    </row>
    <row r="73227" spans="1:6" x14ac:dyDescent="0.25">
      <c r="A73227"/>
      <c r="B73227"/>
      <c r="C73227"/>
      <c r="E73227"/>
      <c r="F73227"/>
    </row>
    <row r="73228" spans="1:6" x14ac:dyDescent="0.25">
      <c r="A73228"/>
      <c r="B73228"/>
      <c r="C73228"/>
      <c r="E73228"/>
      <c r="F73228"/>
    </row>
    <row r="73229" spans="1:6" x14ac:dyDescent="0.25">
      <c r="A73229"/>
      <c r="B73229"/>
      <c r="C73229"/>
      <c r="E73229"/>
      <c r="F73229"/>
    </row>
    <row r="73230" spans="1:6" x14ac:dyDescent="0.25">
      <c r="A73230"/>
      <c r="B73230"/>
      <c r="C73230"/>
      <c r="E73230"/>
      <c r="F73230"/>
    </row>
    <row r="73231" spans="1:6" x14ac:dyDescent="0.25">
      <c r="A73231"/>
      <c r="B73231"/>
      <c r="C73231"/>
      <c r="E73231"/>
      <c r="F73231"/>
    </row>
    <row r="73232" spans="1:6" x14ac:dyDescent="0.25">
      <c r="A73232"/>
      <c r="B73232"/>
      <c r="C73232"/>
      <c r="E73232"/>
      <c r="F73232"/>
    </row>
    <row r="73233" spans="1:6" x14ac:dyDescent="0.25">
      <c r="A73233"/>
      <c r="B73233"/>
      <c r="C73233"/>
      <c r="E73233"/>
      <c r="F73233"/>
    </row>
    <row r="73234" spans="1:6" x14ac:dyDescent="0.25">
      <c r="A73234"/>
      <c r="B73234"/>
      <c r="C73234"/>
      <c r="E73234"/>
      <c r="F73234"/>
    </row>
    <row r="73235" spans="1:6" x14ac:dyDescent="0.25">
      <c r="A73235"/>
      <c r="B73235"/>
      <c r="C73235"/>
      <c r="E73235"/>
      <c r="F73235"/>
    </row>
    <row r="73236" spans="1:6" x14ac:dyDescent="0.25">
      <c r="A73236"/>
      <c r="B73236"/>
      <c r="C73236"/>
      <c r="E73236"/>
      <c r="F73236"/>
    </row>
    <row r="73237" spans="1:6" x14ac:dyDescent="0.25">
      <c r="A73237"/>
      <c r="B73237"/>
      <c r="C73237"/>
      <c r="E73237"/>
      <c r="F73237"/>
    </row>
    <row r="73238" spans="1:6" x14ac:dyDescent="0.25">
      <c r="A73238"/>
      <c r="B73238"/>
      <c r="C73238"/>
      <c r="E73238"/>
      <c r="F73238"/>
    </row>
    <row r="73239" spans="1:6" x14ac:dyDescent="0.25">
      <c r="A73239"/>
      <c r="B73239"/>
      <c r="C73239"/>
      <c r="E73239"/>
      <c r="F73239"/>
    </row>
    <row r="73240" spans="1:6" x14ac:dyDescent="0.25">
      <c r="A73240"/>
      <c r="B73240"/>
      <c r="C73240"/>
      <c r="E73240"/>
      <c r="F73240"/>
    </row>
    <row r="73241" spans="1:6" x14ac:dyDescent="0.25">
      <c r="A73241"/>
      <c r="B73241"/>
      <c r="C73241"/>
      <c r="E73241"/>
      <c r="F73241"/>
    </row>
    <row r="73242" spans="1:6" x14ac:dyDescent="0.25">
      <c r="A73242"/>
      <c r="B73242"/>
      <c r="C73242"/>
      <c r="E73242"/>
      <c r="F73242"/>
    </row>
    <row r="73243" spans="1:6" x14ac:dyDescent="0.25">
      <c r="A73243"/>
      <c r="B73243"/>
      <c r="C73243"/>
      <c r="E73243"/>
      <c r="F73243"/>
    </row>
    <row r="73244" spans="1:6" x14ac:dyDescent="0.25">
      <c r="A73244"/>
      <c r="B73244"/>
      <c r="C73244"/>
      <c r="E73244"/>
      <c r="F73244"/>
    </row>
    <row r="73245" spans="1:6" x14ac:dyDescent="0.25">
      <c r="A73245"/>
      <c r="B73245"/>
      <c r="C73245"/>
      <c r="E73245"/>
      <c r="F73245"/>
    </row>
    <row r="73246" spans="1:6" x14ac:dyDescent="0.25">
      <c r="A73246"/>
      <c r="B73246"/>
      <c r="C73246"/>
      <c r="E73246"/>
      <c r="F73246"/>
    </row>
    <row r="73247" spans="1:6" x14ac:dyDescent="0.25">
      <c r="A73247"/>
      <c r="B73247"/>
      <c r="C73247"/>
      <c r="E73247"/>
      <c r="F73247"/>
    </row>
    <row r="73248" spans="1:6" x14ac:dyDescent="0.25">
      <c r="A73248"/>
      <c r="B73248"/>
      <c r="C73248"/>
      <c r="E73248"/>
      <c r="F73248"/>
    </row>
    <row r="73249" spans="1:6" x14ac:dyDescent="0.25">
      <c r="A73249"/>
      <c r="B73249"/>
      <c r="C73249"/>
      <c r="E73249"/>
      <c r="F73249"/>
    </row>
    <row r="73250" spans="1:6" x14ac:dyDescent="0.25">
      <c r="A73250"/>
      <c r="B73250"/>
      <c r="C73250"/>
      <c r="E73250"/>
      <c r="F73250"/>
    </row>
    <row r="73251" spans="1:6" x14ac:dyDescent="0.25">
      <c r="A73251"/>
      <c r="B73251"/>
      <c r="C73251"/>
      <c r="E73251"/>
      <c r="F73251"/>
    </row>
    <row r="73252" spans="1:6" x14ac:dyDescent="0.25">
      <c r="A73252"/>
      <c r="B73252"/>
      <c r="C73252"/>
      <c r="E73252"/>
      <c r="F73252"/>
    </row>
    <row r="73253" spans="1:6" x14ac:dyDescent="0.25">
      <c r="A73253"/>
      <c r="B73253"/>
      <c r="C73253"/>
      <c r="E73253"/>
      <c r="F73253"/>
    </row>
    <row r="73254" spans="1:6" x14ac:dyDescent="0.25">
      <c r="A73254"/>
      <c r="B73254"/>
      <c r="C73254"/>
      <c r="E73254"/>
      <c r="F73254"/>
    </row>
    <row r="73255" spans="1:6" x14ac:dyDescent="0.25">
      <c r="A73255"/>
      <c r="B73255"/>
      <c r="C73255"/>
      <c r="E73255"/>
      <c r="F73255"/>
    </row>
    <row r="73256" spans="1:6" x14ac:dyDescent="0.25">
      <c r="A73256"/>
      <c r="B73256"/>
      <c r="C73256"/>
      <c r="E73256"/>
      <c r="F73256"/>
    </row>
    <row r="73257" spans="1:6" x14ac:dyDescent="0.25">
      <c r="A73257"/>
      <c r="B73257"/>
      <c r="C73257"/>
      <c r="E73257"/>
      <c r="F73257"/>
    </row>
    <row r="73258" spans="1:6" x14ac:dyDescent="0.25">
      <c r="A73258"/>
      <c r="B73258"/>
      <c r="C73258"/>
      <c r="E73258"/>
      <c r="F73258"/>
    </row>
    <row r="73259" spans="1:6" x14ac:dyDescent="0.25">
      <c r="A73259"/>
      <c r="B73259"/>
      <c r="C73259"/>
      <c r="E73259"/>
      <c r="F73259"/>
    </row>
    <row r="73260" spans="1:6" x14ac:dyDescent="0.25">
      <c r="A73260"/>
      <c r="B73260"/>
      <c r="C73260"/>
      <c r="E73260"/>
      <c r="F73260"/>
    </row>
    <row r="73261" spans="1:6" x14ac:dyDescent="0.25">
      <c r="A73261"/>
      <c r="B73261"/>
      <c r="C73261"/>
      <c r="E73261"/>
      <c r="F73261"/>
    </row>
    <row r="73262" spans="1:6" x14ac:dyDescent="0.25">
      <c r="A73262"/>
      <c r="B73262"/>
      <c r="C73262"/>
      <c r="E73262"/>
      <c r="F73262"/>
    </row>
    <row r="73263" spans="1:6" x14ac:dyDescent="0.25">
      <c r="A73263"/>
      <c r="B73263"/>
      <c r="C73263"/>
      <c r="E73263"/>
      <c r="F73263"/>
    </row>
    <row r="73264" spans="1:6" x14ac:dyDescent="0.25">
      <c r="A73264"/>
      <c r="B73264"/>
      <c r="C73264"/>
      <c r="E73264"/>
      <c r="F73264"/>
    </row>
    <row r="73265" spans="1:6" x14ac:dyDescent="0.25">
      <c r="A73265"/>
      <c r="B73265"/>
      <c r="C73265"/>
      <c r="E73265"/>
      <c r="F73265"/>
    </row>
    <row r="73266" spans="1:6" x14ac:dyDescent="0.25">
      <c r="A73266"/>
      <c r="B73266"/>
      <c r="C73266"/>
      <c r="E73266"/>
      <c r="F73266"/>
    </row>
    <row r="73267" spans="1:6" x14ac:dyDescent="0.25">
      <c r="A73267"/>
      <c r="B73267"/>
      <c r="C73267"/>
      <c r="E73267"/>
      <c r="F73267"/>
    </row>
    <row r="73268" spans="1:6" x14ac:dyDescent="0.25">
      <c r="A73268"/>
      <c r="B73268"/>
      <c r="C73268"/>
      <c r="E73268"/>
      <c r="F73268"/>
    </row>
    <row r="73269" spans="1:6" x14ac:dyDescent="0.25">
      <c r="A73269"/>
      <c r="B73269"/>
      <c r="C73269"/>
      <c r="E73269"/>
      <c r="F73269"/>
    </row>
    <row r="73270" spans="1:6" x14ac:dyDescent="0.25">
      <c r="A73270"/>
      <c r="B73270"/>
      <c r="C73270"/>
      <c r="E73270"/>
      <c r="F73270"/>
    </row>
    <row r="73271" spans="1:6" x14ac:dyDescent="0.25">
      <c r="A73271"/>
      <c r="B73271"/>
      <c r="C73271"/>
      <c r="E73271"/>
      <c r="F73271"/>
    </row>
    <row r="73272" spans="1:6" x14ac:dyDescent="0.25">
      <c r="A73272"/>
      <c r="B73272"/>
      <c r="C73272"/>
      <c r="E73272"/>
      <c r="F73272"/>
    </row>
    <row r="73273" spans="1:6" x14ac:dyDescent="0.25">
      <c r="A73273"/>
      <c r="B73273"/>
      <c r="C73273"/>
      <c r="E73273"/>
      <c r="F73273"/>
    </row>
    <row r="73274" spans="1:6" x14ac:dyDescent="0.25">
      <c r="A73274"/>
      <c r="B73274"/>
      <c r="C73274"/>
      <c r="E73274"/>
      <c r="F73274"/>
    </row>
    <row r="73275" spans="1:6" x14ac:dyDescent="0.25">
      <c r="A73275"/>
      <c r="B73275"/>
      <c r="C73275"/>
      <c r="E73275"/>
      <c r="F73275"/>
    </row>
    <row r="73276" spans="1:6" x14ac:dyDescent="0.25">
      <c r="A73276"/>
      <c r="B73276"/>
      <c r="C73276"/>
      <c r="E73276"/>
      <c r="F73276"/>
    </row>
    <row r="73277" spans="1:6" x14ac:dyDescent="0.25">
      <c r="A73277"/>
      <c r="B73277"/>
      <c r="C73277"/>
      <c r="E73277"/>
      <c r="F73277"/>
    </row>
    <row r="73278" spans="1:6" x14ac:dyDescent="0.25">
      <c r="A73278"/>
      <c r="B73278"/>
      <c r="C73278"/>
      <c r="E73278"/>
      <c r="F73278"/>
    </row>
    <row r="73279" spans="1:6" x14ac:dyDescent="0.25">
      <c r="A73279"/>
      <c r="B73279"/>
      <c r="C73279"/>
      <c r="E73279"/>
      <c r="F73279"/>
    </row>
    <row r="73280" spans="1:6" x14ac:dyDescent="0.25">
      <c r="A73280"/>
      <c r="B73280"/>
      <c r="C73280"/>
      <c r="E73280"/>
      <c r="F73280"/>
    </row>
    <row r="73281" spans="1:6" x14ac:dyDescent="0.25">
      <c r="A73281"/>
      <c r="B73281"/>
      <c r="C73281"/>
      <c r="E73281"/>
      <c r="F73281"/>
    </row>
    <row r="73282" spans="1:6" x14ac:dyDescent="0.25">
      <c r="A73282"/>
      <c r="B73282"/>
      <c r="C73282"/>
      <c r="E73282"/>
      <c r="F73282"/>
    </row>
    <row r="73283" spans="1:6" x14ac:dyDescent="0.25">
      <c r="A73283"/>
      <c r="B73283"/>
      <c r="C73283"/>
      <c r="E73283"/>
      <c r="F73283"/>
    </row>
    <row r="73284" spans="1:6" x14ac:dyDescent="0.25">
      <c r="A73284"/>
      <c r="B73284"/>
      <c r="C73284"/>
      <c r="E73284"/>
      <c r="F73284"/>
    </row>
    <row r="73285" spans="1:6" x14ac:dyDescent="0.25">
      <c r="A73285"/>
      <c r="B73285"/>
      <c r="C73285"/>
      <c r="E73285"/>
      <c r="F73285"/>
    </row>
    <row r="73286" spans="1:6" x14ac:dyDescent="0.25">
      <c r="A73286"/>
      <c r="B73286"/>
      <c r="C73286"/>
      <c r="E73286"/>
      <c r="F73286"/>
    </row>
    <row r="73287" spans="1:6" x14ac:dyDescent="0.25">
      <c r="A73287"/>
      <c r="B73287"/>
      <c r="C73287"/>
      <c r="E73287"/>
      <c r="F73287"/>
    </row>
    <row r="73288" spans="1:6" x14ac:dyDescent="0.25">
      <c r="A73288"/>
      <c r="B73288"/>
      <c r="C73288"/>
      <c r="E73288"/>
      <c r="F73288"/>
    </row>
    <row r="73289" spans="1:6" x14ac:dyDescent="0.25">
      <c r="A73289"/>
      <c r="B73289"/>
      <c r="C73289"/>
      <c r="E73289"/>
      <c r="F73289"/>
    </row>
    <row r="73290" spans="1:6" x14ac:dyDescent="0.25">
      <c r="A73290"/>
      <c r="B73290"/>
      <c r="C73290"/>
      <c r="E73290"/>
      <c r="F73290"/>
    </row>
    <row r="73291" spans="1:6" x14ac:dyDescent="0.25">
      <c r="A73291"/>
      <c r="B73291"/>
      <c r="C73291"/>
      <c r="E73291"/>
      <c r="F73291"/>
    </row>
    <row r="73292" spans="1:6" x14ac:dyDescent="0.25">
      <c r="A73292"/>
      <c r="B73292"/>
      <c r="C73292"/>
      <c r="E73292"/>
      <c r="F73292"/>
    </row>
    <row r="73293" spans="1:6" x14ac:dyDescent="0.25">
      <c r="A73293"/>
      <c r="B73293"/>
      <c r="C73293"/>
      <c r="E73293"/>
      <c r="F73293"/>
    </row>
    <row r="73294" spans="1:6" x14ac:dyDescent="0.25">
      <c r="A73294"/>
      <c r="B73294"/>
      <c r="C73294"/>
      <c r="E73294"/>
      <c r="F73294"/>
    </row>
    <row r="73295" spans="1:6" x14ac:dyDescent="0.25">
      <c r="A73295"/>
      <c r="B73295"/>
      <c r="C73295"/>
      <c r="E73295"/>
      <c r="F73295"/>
    </row>
    <row r="73296" spans="1:6" x14ac:dyDescent="0.25">
      <c r="A73296"/>
      <c r="B73296"/>
      <c r="C73296"/>
      <c r="E73296"/>
      <c r="F73296"/>
    </row>
    <row r="73297" spans="1:6" x14ac:dyDescent="0.25">
      <c r="A73297"/>
      <c r="B73297"/>
      <c r="C73297"/>
      <c r="E73297"/>
      <c r="F73297"/>
    </row>
    <row r="73298" spans="1:6" x14ac:dyDescent="0.25">
      <c r="A73298"/>
      <c r="B73298"/>
      <c r="C73298"/>
      <c r="E73298"/>
      <c r="F73298"/>
    </row>
    <row r="73299" spans="1:6" x14ac:dyDescent="0.25">
      <c r="A73299"/>
      <c r="B73299"/>
      <c r="C73299"/>
      <c r="E73299"/>
      <c r="F73299"/>
    </row>
    <row r="73300" spans="1:6" x14ac:dyDescent="0.25">
      <c r="A73300"/>
      <c r="B73300"/>
      <c r="C73300"/>
      <c r="E73300"/>
      <c r="F73300"/>
    </row>
    <row r="73301" spans="1:6" x14ac:dyDescent="0.25">
      <c r="A73301"/>
      <c r="B73301"/>
      <c r="C73301"/>
      <c r="E73301"/>
      <c r="F73301"/>
    </row>
    <row r="73302" spans="1:6" x14ac:dyDescent="0.25">
      <c r="A73302"/>
      <c r="B73302"/>
      <c r="C73302"/>
      <c r="E73302"/>
      <c r="F73302"/>
    </row>
    <row r="73303" spans="1:6" x14ac:dyDescent="0.25">
      <c r="A73303"/>
      <c r="B73303"/>
      <c r="C73303"/>
      <c r="E73303"/>
      <c r="F73303"/>
    </row>
    <row r="73304" spans="1:6" x14ac:dyDescent="0.25">
      <c r="A73304"/>
      <c r="B73304"/>
      <c r="C73304"/>
      <c r="E73304"/>
      <c r="F73304"/>
    </row>
    <row r="73305" spans="1:6" x14ac:dyDescent="0.25">
      <c r="A73305"/>
      <c r="B73305"/>
      <c r="C73305"/>
      <c r="E73305"/>
      <c r="F73305"/>
    </row>
    <row r="73306" spans="1:6" x14ac:dyDescent="0.25">
      <c r="A73306"/>
      <c r="B73306"/>
      <c r="C73306"/>
      <c r="E73306"/>
      <c r="F73306"/>
    </row>
    <row r="73307" spans="1:6" x14ac:dyDescent="0.25">
      <c r="A73307"/>
      <c r="B73307"/>
      <c r="C73307"/>
      <c r="E73307"/>
      <c r="F73307"/>
    </row>
    <row r="73308" spans="1:6" x14ac:dyDescent="0.25">
      <c r="A73308"/>
      <c r="B73308"/>
      <c r="C73308"/>
      <c r="E73308"/>
      <c r="F73308"/>
    </row>
    <row r="73309" spans="1:6" x14ac:dyDescent="0.25">
      <c r="A73309"/>
      <c r="B73309"/>
      <c r="C73309"/>
      <c r="E73309"/>
      <c r="F73309"/>
    </row>
    <row r="73310" spans="1:6" x14ac:dyDescent="0.25">
      <c r="A73310"/>
      <c r="B73310"/>
      <c r="C73310"/>
      <c r="E73310"/>
      <c r="F73310"/>
    </row>
    <row r="73311" spans="1:6" x14ac:dyDescent="0.25">
      <c r="A73311"/>
      <c r="B73311"/>
      <c r="C73311"/>
      <c r="E73311"/>
      <c r="F73311"/>
    </row>
    <row r="73312" spans="1:6" x14ac:dyDescent="0.25">
      <c r="A73312"/>
      <c r="B73312"/>
      <c r="C73312"/>
      <c r="E73312"/>
      <c r="F73312"/>
    </row>
    <row r="73313" spans="1:6" x14ac:dyDescent="0.25">
      <c r="A73313"/>
      <c r="B73313"/>
      <c r="C73313"/>
      <c r="E73313"/>
      <c r="F73313"/>
    </row>
    <row r="73314" spans="1:6" x14ac:dyDescent="0.25">
      <c r="A73314"/>
      <c r="B73314"/>
      <c r="C73314"/>
      <c r="E73314"/>
      <c r="F73314"/>
    </row>
    <row r="73315" spans="1:6" x14ac:dyDescent="0.25">
      <c r="A73315"/>
      <c r="B73315"/>
      <c r="C73315"/>
      <c r="E73315"/>
      <c r="F73315"/>
    </row>
    <row r="73316" spans="1:6" x14ac:dyDescent="0.25">
      <c r="A73316"/>
      <c r="B73316"/>
      <c r="C73316"/>
      <c r="E73316"/>
      <c r="F73316"/>
    </row>
    <row r="73317" spans="1:6" x14ac:dyDescent="0.25">
      <c r="A73317"/>
      <c r="B73317"/>
      <c r="C73317"/>
      <c r="E73317"/>
      <c r="F73317"/>
    </row>
    <row r="73318" spans="1:6" x14ac:dyDescent="0.25">
      <c r="A73318"/>
      <c r="B73318"/>
      <c r="C73318"/>
      <c r="E73318"/>
      <c r="F73318"/>
    </row>
    <row r="73319" spans="1:6" x14ac:dyDescent="0.25">
      <c r="A73319"/>
      <c r="B73319"/>
      <c r="C73319"/>
      <c r="E73319"/>
      <c r="F73319"/>
    </row>
    <row r="73320" spans="1:6" x14ac:dyDescent="0.25">
      <c r="A73320"/>
      <c r="B73320"/>
      <c r="C73320"/>
      <c r="E73320"/>
      <c r="F73320"/>
    </row>
    <row r="73321" spans="1:6" x14ac:dyDescent="0.25">
      <c r="A73321"/>
      <c r="B73321"/>
      <c r="C73321"/>
      <c r="E73321"/>
      <c r="F73321"/>
    </row>
    <row r="73322" spans="1:6" x14ac:dyDescent="0.25">
      <c r="A73322"/>
      <c r="B73322"/>
      <c r="C73322"/>
      <c r="E73322"/>
      <c r="F73322"/>
    </row>
    <row r="73323" spans="1:6" x14ac:dyDescent="0.25">
      <c r="A73323"/>
      <c r="B73323"/>
      <c r="C73323"/>
      <c r="E73323"/>
      <c r="F73323"/>
    </row>
    <row r="73324" spans="1:6" x14ac:dyDescent="0.25">
      <c r="A73324"/>
      <c r="B73324"/>
      <c r="C73324"/>
      <c r="E73324"/>
      <c r="F73324"/>
    </row>
    <row r="73325" spans="1:6" x14ac:dyDescent="0.25">
      <c r="A73325"/>
      <c r="B73325"/>
      <c r="C73325"/>
      <c r="E73325"/>
      <c r="F73325"/>
    </row>
    <row r="73326" spans="1:6" x14ac:dyDescent="0.25">
      <c r="A73326"/>
      <c r="B73326"/>
      <c r="C73326"/>
      <c r="E73326"/>
      <c r="F73326"/>
    </row>
    <row r="73327" spans="1:6" x14ac:dyDescent="0.25">
      <c r="A73327"/>
      <c r="B73327"/>
      <c r="C73327"/>
      <c r="E73327"/>
      <c r="F73327"/>
    </row>
    <row r="73328" spans="1:6" x14ac:dyDescent="0.25">
      <c r="A73328"/>
      <c r="B73328"/>
      <c r="C73328"/>
      <c r="E73328"/>
      <c r="F73328"/>
    </row>
    <row r="73329" spans="1:6" x14ac:dyDescent="0.25">
      <c r="A73329"/>
      <c r="B73329"/>
      <c r="C73329"/>
      <c r="E73329"/>
      <c r="F73329"/>
    </row>
    <row r="73330" spans="1:6" x14ac:dyDescent="0.25">
      <c r="A73330"/>
      <c r="B73330"/>
      <c r="C73330"/>
      <c r="E73330"/>
      <c r="F73330"/>
    </row>
    <row r="73331" spans="1:6" x14ac:dyDescent="0.25">
      <c r="A73331"/>
      <c r="B73331"/>
      <c r="C73331"/>
      <c r="E73331"/>
      <c r="F73331"/>
    </row>
    <row r="73332" spans="1:6" x14ac:dyDescent="0.25">
      <c r="A73332"/>
      <c r="B73332"/>
      <c r="C73332"/>
      <c r="E73332"/>
      <c r="F73332"/>
    </row>
    <row r="73333" spans="1:6" x14ac:dyDescent="0.25">
      <c r="A73333"/>
      <c r="B73333"/>
      <c r="C73333"/>
      <c r="E73333"/>
      <c r="F73333"/>
    </row>
    <row r="73334" spans="1:6" x14ac:dyDescent="0.25">
      <c r="A73334"/>
      <c r="B73334"/>
      <c r="C73334"/>
      <c r="E73334"/>
      <c r="F73334"/>
    </row>
    <row r="73335" spans="1:6" x14ac:dyDescent="0.25">
      <c r="A73335"/>
      <c r="B73335"/>
      <c r="C73335"/>
      <c r="E73335"/>
      <c r="F73335"/>
    </row>
    <row r="73336" spans="1:6" x14ac:dyDescent="0.25">
      <c r="A73336"/>
      <c r="B73336"/>
      <c r="C73336"/>
      <c r="E73336"/>
      <c r="F73336"/>
    </row>
    <row r="73337" spans="1:6" x14ac:dyDescent="0.25">
      <c r="A73337"/>
      <c r="B73337"/>
      <c r="C73337"/>
      <c r="E73337"/>
      <c r="F73337"/>
    </row>
    <row r="73338" spans="1:6" x14ac:dyDescent="0.25">
      <c r="A73338"/>
      <c r="B73338"/>
      <c r="C73338"/>
      <c r="E73338"/>
      <c r="F73338"/>
    </row>
    <row r="73339" spans="1:6" x14ac:dyDescent="0.25">
      <c r="A73339"/>
      <c r="B73339"/>
      <c r="C73339"/>
      <c r="E73339"/>
      <c r="F73339"/>
    </row>
    <row r="73340" spans="1:6" x14ac:dyDescent="0.25">
      <c r="A73340"/>
      <c r="B73340"/>
      <c r="C73340"/>
      <c r="E73340"/>
      <c r="F73340"/>
    </row>
    <row r="73341" spans="1:6" x14ac:dyDescent="0.25">
      <c r="A73341"/>
      <c r="B73341"/>
      <c r="C73341"/>
      <c r="E73341"/>
      <c r="F73341"/>
    </row>
    <row r="73342" spans="1:6" x14ac:dyDescent="0.25">
      <c r="A73342"/>
      <c r="B73342"/>
      <c r="C73342"/>
      <c r="E73342"/>
      <c r="F73342"/>
    </row>
    <row r="73343" spans="1:6" x14ac:dyDescent="0.25">
      <c r="A73343"/>
      <c r="B73343"/>
      <c r="C73343"/>
      <c r="E73343"/>
      <c r="F73343"/>
    </row>
    <row r="73344" spans="1:6" x14ac:dyDescent="0.25">
      <c r="A73344"/>
      <c r="B73344"/>
      <c r="C73344"/>
      <c r="E73344"/>
      <c r="F73344"/>
    </row>
    <row r="73345" spans="1:6" x14ac:dyDescent="0.25">
      <c r="A73345"/>
      <c r="B73345"/>
      <c r="C73345"/>
      <c r="E73345"/>
      <c r="F73345"/>
    </row>
    <row r="73346" spans="1:6" x14ac:dyDescent="0.25">
      <c r="A73346"/>
      <c r="B73346"/>
      <c r="C73346"/>
      <c r="E73346"/>
      <c r="F73346"/>
    </row>
    <row r="73347" spans="1:6" x14ac:dyDescent="0.25">
      <c r="A73347"/>
      <c r="B73347"/>
      <c r="C73347"/>
      <c r="E73347"/>
      <c r="F73347"/>
    </row>
    <row r="73348" spans="1:6" x14ac:dyDescent="0.25">
      <c r="A73348"/>
      <c r="B73348"/>
      <c r="C73348"/>
      <c r="E73348"/>
      <c r="F73348"/>
    </row>
    <row r="73349" spans="1:6" x14ac:dyDescent="0.25">
      <c r="A73349"/>
      <c r="B73349"/>
      <c r="C73349"/>
      <c r="E73349"/>
      <c r="F73349"/>
    </row>
    <row r="73350" spans="1:6" x14ac:dyDescent="0.25">
      <c r="A73350"/>
      <c r="B73350"/>
      <c r="C73350"/>
      <c r="E73350"/>
      <c r="F73350"/>
    </row>
    <row r="73351" spans="1:6" x14ac:dyDescent="0.25">
      <c r="A73351"/>
      <c r="B73351"/>
      <c r="C73351"/>
      <c r="E73351"/>
      <c r="F73351"/>
    </row>
    <row r="73352" spans="1:6" x14ac:dyDescent="0.25">
      <c r="A73352"/>
      <c r="B73352"/>
      <c r="C73352"/>
      <c r="E73352"/>
      <c r="F73352"/>
    </row>
    <row r="73353" spans="1:6" x14ac:dyDescent="0.25">
      <c r="A73353"/>
      <c r="B73353"/>
      <c r="C73353"/>
      <c r="E73353"/>
      <c r="F73353"/>
    </row>
    <row r="73354" spans="1:6" x14ac:dyDescent="0.25">
      <c r="A73354"/>
      <c r="B73354"/>
      <c r="C73354"/>
      <c r="E73354"/>
      <c r="F73354"/>
    </row>
    <row r="73355" spans="1:6" x14ac:dyDescent="0.25">
      <c r="A73355"/>
      <c r="B73355"/>
      <c r="C73355"/>
      <c r="E73355"/>
      <c r="F73355"/>
    </row>
    <row r="73356" spans="1:6" x14ac:dyDescent="0.25">
      <c r="A73356"/>
      <c r="B73356"/>
      <c r="C73356"/>
      <c r="E73356"/>
      <c r="F73356"/>
    </row>
    <row r="73357" spans="1:6" x14ac:dyDescent="0.25">
      <c r="A73357"/>
      <c r="B73357"/>
      <c r="C73357"/>
      <c r="E73357"/>
      <c r="F73357"/>
    </row>
    <row r="73358" spans="1:6" x14ac:dyDescent="0.25">
      <c r="A73358"/>
      <c r="B73358"/>
      <c r="C73358"/>
      <c r="E73358"/>
      <c r="F73358"/>
    </row>
    <row r="73359" spans="1:6" x14ac:dyDescent="0.25">
      <c r="A73359"/>
      <c r="B73359"/>
      <c r="C73359"/>
      <c r="E73359"/>
      <c r="F73359"/>
    </row>
    <row r="73360" spans="1:6" x14ac:dyDescent="0.25">
      <c r="A73360"/>
      <c r="B73360"/>
      <c r="C73360"/>
      <c r="E73360"/>
      <c r="F73360"/>
    </row>
    <row r="73361" spans="1:6" x14ac:dyDescent="0.25">
      <c r="A73361"/>
      <c r="B73361"/>
      <c r="C73361"/>
      <c r="E73361"/>
      <c r="F73361"/>
    </row>
    <row r="73362" spans="1:6" x14ac:dyDescent="0.25">
      <c r="A73362"/>
      <c r="B73362"/>
      <c r="C73362"/>
      <c r="E73362"/>
      <c r="F73362"/>
    </row>
    <row r="73363" spans="1:6" x14ac:dyDescent="0.25">
      <c r="A73363"/>
      <c r="B73363"/>
      <c r="C73363"/>
      <c r="E73363"/>
      <c r="F73363"/>
    </row>
    <row r="73364" spans="1:6" x14ac:dyDescent="0.25">
      <c r="A73364"/>
      <c r="B73364"/>
      <c r="C73364"/>
      <c r="E73364"/>
      <c r="F73364"/>
    </row>
    <row r="73365" spans="1:6" x14ac:dyDescent="0.25">
      <c r="A73365"/>
      <c r="B73365"/>
      <c r="C73365"/>
      <c r="E73365"/>
      <c r="F73365"/>
    </row>
    <row r="73366" spans="1:6" x14ac:dyDescent="0.25">
      <c r="A73366"/>
      <c r="B73366"/>
      <c r="C73366"/>
      <c r="E73366"/>
      <c r="F73366"/>
    </row>
    <row r="73367" spans="1:6" x14ac:dyDescent="0.25">
      <c r="A73367"/>
      <c r="B73367"/>
      <c r="C73367"/>
      <c r="E73367"/>
      <c r="F73367"/>
    </row>
    <row r="73368" spans="1:6" x14ac:dyDescent="0.25">
      <c r="A73368"/>
      <c r="B73368"/>
      <c r="C73368"/>
      <c r="E73368"/>
      <c r="F73368"/>
    </row>
    <row r="73369" spans="1:6" x14ac:dyDescent="0.25">
      <c r="A73369"/>
      <c r="B73369"/>
      <c r="C73369"/>
      <c r="E73369"/>
      <c r="F73369"/>
    </row>
    <row r="73370" spans="1:6" x14ac:dyDescent="0.25">
      <c r="A73370"/>
      <c r="B73370"/>
      <c r="C73370"/>
      <c r="E73370"/>
      <c r="F73370"/>
    </row>
    <row r="73371" spans="1:6" x14ac:dyDescent="0.25">
      <c r="A73371"/>
      <c r="B73371"/>
      <c r="C73371"/>
      <c r="E73371"/>
      <c r="F73371"/>
    </row>
    <row r="73372" spans="1:6" x14ac:dyDescent="0.25">
      <c r="A73372"/>
      <c r="B73372"/>
      <c r="C73372"/>
      <c r="E73372"/>
      <c r="F73372"/>
    </row>
    <row r="73373" spans="1:6" x14ac:dyDescent="0.25">
      <c r="A73373"/>
      <c r="B73373"/>
      <c r="C73373"/>
      <c r="E73373"/>
      <c r="F73373"/>
    </row>
    <row r="73374" spans="1:6" x14ac:dyDescent="0.25">
      <c r="A73374"/>
      <c r="B73374"/>
      <c r="C73374"/>
      <c r="E73374"/>
      <c r="F73374"/>
    </row>
    <row r="73375" spans="1:6" x14ac:dyDescent="0.25">
      <c r="A73375"/>
      <c r="B73375"/>
      <c r="C73375"/>
      <c r="E73375"/>
      <c r="F73375"/>
    </row>
    <row r="73376" spans="1:6" x14ac:dyDescent="0.25">
      <c r="A73376"/>
      <c r="B73376"/>
      <c r="C73376"/>
      <c r="E73376"/>
      <c r="F73376"/>
    </row>
    <row r="73377" spans="1:6" x14ac:dyDescent="0.25">
      <c r="A73377"/>
      <c r="B73377"/>
      <c r="C73377"/>
      <c r="E73377"/>
      <c r="F73377"/>
    </row>
    <row r="73378" spans="1:6" x14ac:dyDescent="0.25">
      <c r="A73378"/>
      <c r="B73378"/>
      <c r="C73378"/>
      <c r="E73378"/>
      <c r="F73378"/>
    </row>
    <row r="73379" spans="1:6" x14ac:dyDescent="0.25">
      <c r="A73379"/>
      <c r="B73379"/>
      <c r="C73379"/>
      <c r="E73379"/>
      <c r="F73379"/>
    </row>
    <row r="73380" spans="1:6" x14ac:dyDescent="0.25">
      <c r="A73380"/>
      <c r="B73380"/>
      <c r="C73380"/>
      <c r="E73380"/>
      <c r="F73380"/>
    </row>
    <row r="73381" spans="1:6" x14ac:dyDescent="0.25">
      <c r="A73381"/>
      <c r="B73381"/>
      <c r="C73381"/>
      <c r="E73381"/>
      <c r="F73381"/>
    </row>
    <row r="73382" spans="1:6" x14ac:dyDescent="0.25">
      <c r="A73382"/>
      <c r="B73382"/>
      <c r="C73382"/>
      <c r="E73382"/>
      <c r="F73382"/>
    </row>
    <row r="73383" spans="1:6" x14ac:dyDescent="0.25">
      <c r="A73383"/>
      <c r="B73383"/>
      <c r="C73383"/>
      <c r="E73383"/>
      <c r="F73383"/>
    </row>
    <row r="73384" spans="1:6" x14ac:dyDescent="0.25">
      <c r="A73384"/>
      <c r="B73384"/>
      <c r="C73384"/>
      <c r="E73384"/>
      <c r="F73384"/>
    </row>
    <row r="73385" spans="1:6" x14ac:dyDescent="0.25">
      <c r="A73385"/>
      <c r="B73385"/>
      <c r="C73385"/>
      <c r="E73385"/>
      <c r="F73385"/>
    </row>
    <row r="73386" spans="1:6" x14ac:dyDescent="0.25">
      <c r="A73386"/>
      <c r="B73386"/>
      <c r="C73386"/>
      <c r="E73386"/>
      <c r="F73386"/>
    </row>
    <row r="73387" spans="1:6" x14ac:dyDescent="0.25">
      <c r="A73387"/>
      <c r="B73387"/>
      <c r="C73387"/>
      <c r="E73387"/>
      <c r="F73387"/>
    </row>
    <row r="73388" spans="1:6" x14ac:dyDescent="0.25">
      <c r="A73388"/>
      <c r="B73388"/>
      <c r="C73388"/>
      <c r="E73388"/>
      <c r="F73388"/>
    </row>
    <row r="73389" spans="1:6" x14ac:dyDescent="0.25">
      <c r="A73389"/>
      <c r="B73389"/>
      <c r="C73389"/>
      <c r="E73389"/>
      <c r="F73389"/>
    </row>
    <row r="73390" spans="1:6" x14ac:dyDescent="0.25">
      <c r="A73390"/>
      <c r="B73390"/>
      <c r="C73390"/>
      <c r="E73390"/>
      <c r="F73390"/>
    </row>
    <row r="73391" spans="1:6" x14ac:dyDescent="0.25">
      <c r="A73391"/>
      <c r="B73391"/>
      <c r="C73391"/>
      <c r="E73391"/>
      <c r="F73391"/>
    </row>
    <row r="73392" spans="1:6" x14ac:dyDescent="0.25">
      <c r="A73392"/>
      <c r="B73392"/>
      <c r="C73392"/>
      <c r="E73392"/>
      <c r="F73392"/>
    </row>
    <row r="73393" spans="1:6" x14ac:dyDescent="0.25">
      <c r="A73393"/>
      <c r="B73393"/>
      <c r="C73393"/>
      <c r="E73393"/>
      <c r="F73393"/>
    </row>
    <row r="73394" spans="1:6" x14ac:dyDescent="0.25">
      <c r="A73394"/>
      <c r="B73394"/>
      <c r="C73394"/>
      <c r="E73394"/>
      <c r="F73394"/>
    </row>
    <row r="73395" spans="1:6" x14ac:dyDescent="0.25">
      <c r="A73395"/>
      <c r="B73395"/>
      <c r="C73395"/>
      <c r="E73395"/>
      <c r="F73395"/>
    </row>
    <row r="73396" spans="1:6" x14ac:dyDescent="0.25">
      <c r="A73396"/>
      <c r="B73396"/>
      <c r="C73396"/>
      <c r="E73396"/>
      <c r="F73396"/>
    </row>
    <row r="73397" spans="1:6" x14ac:dyDescent="0.25">
      <c r="A73397"/>
      <c r="B73397"/>
      <c r="C73397"/>
      <c r="E73397"/>
      <c r="F73397"/>
    </row>
    <row r="73398" spans="1:6" x14ac:dyDescent="0.25">
      <c r="A73398"/>
      <c r="B73398"/>
      <c r="C73398"/>
      <c r="E73398"/>
      <c r="F73398"/>
    </row>
    <row r="73399" spans="1:6" x14ac:dyDescent="0.25">
      <c r="A73399"/>
      <c r="B73399"/>
      <c r="C73399"/>
      <c r="E73399"/>
      <c r="F73399"/>
    </row>
    <row r="73400" spans="1:6" x14ac:dyDescent="0.25">
      <c r="A73400"/>
      <c r="B73400"/>
      <c r="C73400"/>
      <c r="E73400"/>
      <c r="F73400"/>
    </row>
    <row r="73401" spans="1:6" x14ac:dyDescent="0.25">
      <c r="A73401"/>
      <c r="B73401"/>
      <c r="C73401"/>
      <c r="E73401"/>
      <c r="F73401"/>
    </row>
    <row r="73402" spans="1:6" x14ac:dyDescent="0.25">
      <c r="A73402"/>
      <c r="B73402"/>
      <c r="C73402"/>
      <c r="E73402"/>
      <c r="F73402"/>
    </row>
    <row r="73403" spans="1:6" x14ac:dyDescent="0.25">
      <c r="A73403"/>
      <c r="B73403"/>
      <c r="C73403"/>
      <c r="E73403"/>
      <c r="F73403"/>
    </row>
    <row r="73404" spans="1:6" x14ac:dyDescent="0.25">
      <c r="A73404"/>
      <c r="B73404"/>
      <c r="C73404"/>
      <c r="E73404"/>
      <c r="F73404"/>
    </row>
    <row r="73405" spans="1:6" x14ac:dyDescent="0.25">
      <c r="A73405"/>
      <c r="B73405"/>
      <c r="C73405"/>
      <c r="E73405"/>
      <c r="F73405"/>
    </row>
    <row r="73406" spans="1:6" x14ac:dyDescent="0.25">
      <c r="A73406"/>
      <c r="B73406"/>
      <c r="C73406"/>
      <c r="E73406"/>
      <c r="F73406"/>
    </row>
    <row r="73407" spans="1:6" x14ac:dyDescent="0.25">
      <c r="A73407"/>
      <c r="B73407"/>
      <c r="C73407"/>
      <c r="E73407"/>
      <c r="F73407"/>
    </row>
    <row r="73408" spans="1:6" x14ac:dyDescent="0.25">
      <c r="A73408"/>
      <c r="B73408"/>
      <c r="C73408"/>
      <c r="E73408"/>
      <c r="F73408"/>
    </row>
    <row r="73409" spans="1:6" x14ac:dyDescent="0.25">
      <c r="A73409"/>
      <c r="B73409"/>
      <c r="C73409"/>
      <c r="E73409"/>
      <c r="F73409"/>
    </row>
    <row r="73410" spans="1:6" x14ac:dyDescent="0.25">
      <c r="A73410"/>
      <c r="B73410"/>
      <c r="C73410"/>
      <c r="E73410"/>
      <c r="F73410"/>
    </row>
    <row r="73411" spans="1:6" x14ac:dyDescent="0.25">
      <c r="A73411"/>
      <c r="B73411"/>
      <c r="C73411"/>
      <c r="E73411"/>
      <c r="F73411"/>
    </row>
    <row r="73412" spans="1:6" x14ac:dyDescent="0.25">
      <c r="A73412"/>
      <c r="B73412"/>
      <c r="C73412"/>
      <c r="E73412"/>
      <c r="F73412"/>
    </row>
    <row r="73413" spans="1:6" x14ac:dyDescent="0.25">
      <c r="A73413"/>
      <c r="B73413"/>
      <c r="C73413"/>
      <c r="E73413"/>
      <c r="F73413"/>
    </row>
    <row r="73414" spans="1:6" x14ac:dyDescent="0.25">
      <c r="A73414"/>
      <c r="B73414"/>
      <c r="C73414"/>
      <c r="E73414"/>
      <c r="F73414"/>
    </row>
    <row r="73415" spans="1:6" x14ac:dyDescent="0.25">
      <c r="A73415"/>
      <c r="B73415"/>
      <c r="C73415"/>
      <c r="E73415"/>
      <c r="F73415"/>
    </row>
    <row r="73416" spans="1:6" x14ac:dyDescent="0.25">
      <c r="A73416"/>
      <c r="B73416"/>
      <c r="C73416"/>
      <c r="E73416"/>
      <c r="F73416"/>
    </row>
    <row r="73417" spans="1:6" x14ac:dyDescent="0.25">
      <c r="A73417"/>
      <c r="B73417"/>
      <c r="C73417"/>
      <c r="E73417"/>
      <c r="F73417"/>
    </row>
    <row r="73418" spans="1:6" x14ac:dyDescent="0.25">
      <c r="A73418"/>
      <c r="B73418"/>
      <c r="C73418"/>
      <c r="E73418"/>
      <c r="F73418"/>
    </row>
    <row r="73419" spans="1:6" x14ac:dyDescent="0.25">
      <c r="A73419"/>
      <c r="B73419"/>
      <c r="C73419"/>
      <c r="E73419"/>
      <c r="F73419"/>
    </row>
    <row r="73420" spans="1:6" x14ac:dyDescent="0.25">
      <c r="A73420"/>
      <c r="B73420"/>
      <c r="C73420"/>
      <c r="E73420"/>
      <c r="F73420"/>
    </row>
    <row r="73421" spans="1:6" x14ac:dyDescent="0.25">
      <c r="A73421"/>
      <c r="B73421"/>
      <c r="C73421"/>
      <c r="E73421"/>
      <c r="F73421"/>
    </row>
    <row r="73422" spans="1:6" x14ac:dyDescent="0.25">
      <c r="A73422"/>
      <c r="B73422"/>
      <c r="C73422"/>
      <c r="E73422"/>
      <c r="F73422"/>
    </row>
    <row r="73423" spans="1:6" x14ac:dyDescent="0.25">
      <c r="A73423"/>
      <c r="B73423"/>
      <c r="C73423"/>
      <c r="E73423"/>
      <c r="F73423"/>
    </row>
    <row r="73424" spans="1:6" x14ac:dyDescent="0.25">
      <c r="A73424"/>
      <c r="B73424"/>
      <c r="C73424"/>
      <c r="E73424"/>
      <c r="F73424"/>
    </row>
    <row r="73425" spans="1:6" x14ac:dyDescent="0.25">
      <c r="A73425"/>
      <c r="B73425"/>
      <c r="C73425"/>
      <c r="E73425"/>
      <c r="F73425"/>
    </row>
    <row r="73426" spans="1:6" x14ac:dyDescent="0.25">
      <c r="A73426"/>
      <c r="B73426"/>
      <c r="C73426"/>
      <c r="E73426"/>
      <c r="F73426"/>
    </row>
    <row r="73427" spans="1:6" x14ac:dyDescent="0.25">
      <c r="A73427"/>
      <c r="B73427"/>
      <c r="C73427"/>
      <c r="E73427"/>
      <c r="F73427"/>
    </row>
    <row r="73428" spans="1:6" x14ac:dyDescent="0.25">
      <c r="A73428"/>
      <c r="B73428"/>
      <c r="C73428"/>
      <c r="E73428"/>
      <c r="F73428"/>
    </row>
    <row r="73429" spans="1:6" x14ac:dyDescent="0.25">
      <c r="A73429"/>
      <c r="B73429"/>
      <c r="C73429"/>
      <c r="E73429"/>
      <c r="F73429"/>
    </row>
    <row r="73430" spans="1:6" x14ac:dyDescent="0.25">
      <c r="A73430"/>
      <c r="B73430"/>
      <c r="C73430"/>
      <c r="E73430"/>
      <c r="F73430"/>
    </row>
    <row r="73431" spans="1:6" x14ac:dyDescent="0.25">
      <c r="A73431"/>
      <c r="B73431"/>
      <c r="C73431"/>
      <c r="E73431"/>
      <c r="F73431"/>
    </row>
    <row r="73432" spans="1:6" x14ac:dyDescent="0.25">
      <c r="A73432"/>
      <c r="B73432"/>
      <c r="C73432"/>
      <c r="E73432"/>
      <c r="F73432"/>
    </row>
    <row r="73433" spans="1:6" x14ac:dyDescent="0.25">
      <c r="A73433"/>
      <c r="B73433"/>
      <c r="C73433"/>
      <c r="E73433"/>
      <c r="F73433"/>
    </row>
    <row r="73434" spans="1:6" x14ac:dyDescent="0.25">
      <c r="A73434"/>
      <c r="B73434"/>
      <c r="C73434"/>
      <c r="E73434"/>
      <c r="F73434"/>
    </row>
    <row r="73435" spans="1:6" x14ac:dyDescent="0.25">
      <c r="A73435"/>
      <c r="B73435"/>
      <c r="C73435"/>
      <c r="E73435"/>
      <c r="F73435"/>
    </row>
    <row r="73436" spans="1:6" x14ac:dyDescent="0.25">
      <c r="A73436"/>
      <c r="B73436"/>
      <c r="C73436"/>
      <c r="E73436"/>
      <c r="F73436"/>
    </row>
    <row r="73437" spans="1:6" x14ac:dyDescent="0.25">
      <c r="A73437"/>
      <c r="B73437"/>
      <c r="C73437"/>
      <c r="E73437"/>
      <c r="F73437"/>
    </row>
    <row r="73438" spans="1:6" x14ac:dyDescent="0.25">
      <c r="A73438"/>
      <c r="B73438"/>
      <c r="C73438"/>
      <c r="E73438"/>
      <c r="F73438"/>
    </row>
    <row r="73439" spans="1:6" x14ac:dyDescent="0.25">
      <c r="A73439"/>
      <c r="B73439"/>
      <c r="C73439"/>
      <c r="E73439"/>
      <c r="F73439"/>
    </row>
    <row r="73440" spans="1:6" x14ac:dyDescent="0.25">
      <c r="A73440"/>
      <c r="B73440"/>
      <c r="C73440"/>
      <c r="E73440"/>
      <c r="F73440"/>
    </row>
    <row r="73441" spans="1:6" x14ac:dyDescent="0.25">
      <c r="A73441"/>
      <c r="B73441"/>
      <c r="C73441"/>
      <c r="E73441"/>
      <c r="F73441"/>
    </row>
    <row r="73442" spans="1:6" x14ac:dyDescent="0.25">
      <c r="A73442"/>
      <c r="B73442"/>
      <c r="C73442"/>
      <c r="E73442"/>
      <c r="F73442"/>
    </row>
    <row r="73443" spans="1:6" x14ac:dyDescent="0.25">
      <c r="A73443"/>
      <c r="B73443"/>
      <c r="C73443"/>
      <c r="E73443"/>
      <c r="F73443"/>
    </row>
    <row r="73444" spans="1:6" x14ac:dyDescent="0.25">
      <c r="A73444"/>
      <c r="B73444"/>
      <c r="C73444"/>
      <c r="E73444"/>
      <c r="F73444"/>
    </row>
    <row r="73445" spans="1:6" x14ac:dyDescent="0.25">
      <c r="A73445"/>
      <c r="B73445"/>
      <c r="C73445"/>
      <c r="E73445"/>
      <c r="F73445"/>
    </row>
    <row r="73446" spans="1:6" x14ac:dyDescent="0.25">
      <c r="A73446"/>
      <c r="B73446"/>
      <c r="C73446"/>
      <c r="E73446"/>
      <c r="F73446"/>
    </row>
    <row r="73447" spans="1:6" x14ac:dyDescent="0.25">
      <c r="A73447"/>
      <c r="B73447"/>
      <c r="C73447"/>
      <c r="E73447"/>
      <c r="F73447"/>
    </row>
    <row r="73448" spans="1:6" x14ac:dyDescent="0.25">
      <c r="A73448"/>
      <c r="B73448"/>
      <c r="C73448"/>
      <c r="E73448"/>
      <c r="F73448"/>
    </row>
    <row r="73449" spans="1:6" x14ac:dyDescent="0.25">
      <c r="A73449"/>
      <c r="B73449"/>
      <c r="C73449"/>
      <c r="E73449"/>
      <c r="F73449"/>
    </row>
    <row r="73450" spans="1:6" x14ac:dyDescent="0.25">
      <c r="A73450"/>
      <c r="B73450"/>
      <c r="C73450"/>
      <c r="E73450"/>
      <c r="F73450"/>
    </row>
    <row r="73451" spans="1:6" x14ac:dyDescent="0.25">
      <c r="A73451"/>
      <c r="B73451"/>
      <c r="C73451"/>
      <c r="E73451"/>
      <c r="F73451"/>
    </row>
    <row r="73452" spans="1:6" x14ac:dyDescent="0.25">
      <c r="A73452"/>
      <c r="B73452"/>
      <c r="C73452"/>
      <c r="E73452"/>
      <c r="F73452"/>
    </row>
    <row r="73453" spans="1:6" x14ac:dyDescent="0.25">
      <c r="A73453"/>
      <c r="B73453"/>
      <c r="C73453"/>
      <c r="E73453"/>
      <c r="F73453"/>
    </row>
    <row r="73454" spans="1:6" x14ac:dyDescent="0.25">
      <c r="A73454"/>
      <c r="B73454"/>
      <c r="C73454"/>
      <c r="E73454"/>
      <c r="F73454"/>
    </row>
    <row r="73455" spans="1:6" x14ac:dyDescent="0.25">
      <c r="A73455"/>
      <c r="B73455"/>
      <c r="C73455"/>
      <c r="E73455"/>
      <c r="F73455"/>
    </row>
    <row r="73456" spans="1:6" x14ac:dyDescent="0.25">
      <c r="A73456"/>
      <c r="B73456"/>
      <c r="C73456"/>
      <c r="E73456"/>
      <c r="F73456"/>
    </row>
    <row r="73457" spans="1:6" x14ac:dyDescent="0.25">
      <c r="A73457"/>
      <c r="B73457"/>
      <c r="C73457"/>
      <c r="E73457"/>
      <c r="F73457"/>
    </row>
    <row r="73458" spans="1:6" x14ac:dyDescent="0.25">
      <c r="A73458"/>
      <c r="B73458"/>
      <c r="C73458"/>
      <c r="E73458"/>
      <c r="F73458"/>
    </row>
    <row r="73459" spans="1:6" x14ac:dyDescent="0.25">
      <c r="A73459"/>
      <c r="B73459"/>
      <c r="C73459"/>
      <c r="E73459"/>
      <c r="F73459"/>
    </row>
    <row r="73460" spans="1:6" x14ac:dyDescent="0.25">
      <c r="A73460"/>
      <c r="B73460"/>
      <c r="C73460"/>
      <c r="E73460"/>
      <c r="F73460"/>
    </row>
    <row r="73461" spans="1:6" x14ac:dyDescent="0.25">
      <c r="A73461"/>
      <c r="B73461"/>
      <c r="C73461"/>
      <c r="E73461"/>
      <c r="F73461"/>
    </row>
    <row r="73462" spans="1:6" x14ac:dyDescent="0.25">
      <c r="A73462"/>
      <c r="B73462"/>
      <c r="C73462"/>
      <c r="E73462"/>
      <c r="F73462"/>
    </row>
    <row r="73463" spans="1:6" x14ac:dyDescent="0.25">
      <c r="A73463"/>
      <c r="B73463"/>
      <c r="C73463"/>
      <c r="E73463"/>
      <c r="F73463"/>
    </row>
    <row r="73464" spans="1:6" x14ac:dyDescent="0.25">
      <c r="A73464"/>
      <c r="B73464"/>
      <c r="C73464"/>
      <c r="E73464"/>
      <c r="F73464"/>
    </row>
    <row r="73465" spans="1:6" x14ac:dyDescent="0.25">
      <c r="A73465"/>
      <c r="B73465"/>
      <c r="C73465"/>
      <c r="E73465"/>
      <c r="F73465"/>
    </row>
    <row r="73466" spans="1:6" x14ac:dyDescent="0.25">
      <c r="A73466"/>
      <c r="B73466"/>
      <c r="C73466"/>
      <c r="E73466"/>
      <c r="F73466"/>
    </row>
    <row r="73467" spans="1:6" x14ac:dyDescent="0.25">
      <c r="A73467"/>
      <c r="B73467"/>
      <c r="C73467"/>
      <c r="E73467"/>
      <c r="F73467"/>
    </row>
    <row r="73468" spans="1:6" x14ac:dyDescent="0.25">
      <c r="A73468"/>
      <c r="B73468"/>
      <c r="C73468"/>
      <c r="E73468"/>
      <c r="F73468"/>
    </row>
    <row r="73469" spans="1:6" x14ac:dyDescent="0.25">
      <c r="A73469"/>
      <c r="B73469"/>
      <c r="C73469"/>
      <c r="E73469"/>
      <c r="F73469"/>
    </row>
    <row r="73470" spans="1:6" x14ac:dyDescent="0.25">
      <c r="A73470"/>
      <c r="B73470"/>
      <c r="C73470"/>
      <c r="E73470"/>
      <c r="F73470"/>
    </row>
    <row r="73471" spans="1:6" x14ac:dyDescent="0.25">
      <c r="A73471"/>
      <c r="B73471"/>
      <c r="C73471"/>
      <c r="E73471"/>
      <c r="F73471"/>
    </row>
    <row r="73472" spans="1:6" x14ac:dyDescent="0.25">
      <c r="A73472"/>
      <c r="B73472"/>
      <c r="C73472"/>
      <c r="E73472"/>
      <c r="F73472"/>
    </row>
    <row r="73473" spans="1:6" x14ac:dyDescent="0.25">
      <c r="A73473"/>
      <c r="B73473"/>
      <c r="C73473"/>
      <c r="E73473"/>
      <c r="F73473"/>
    </row>
    <row r="73474" spans="1:6" x14ac:dyDescent="0.25">
      <c r="A73474"/>
      <c r="B73474"/>
      <c r="C73474"/>
      <c r="E73474"/>
      <c r="F73474"/>
    </row>
    <row r="73475" spans="1:6" x14ac:dyDescent="0.25">
      <c r="A73475"/>
      <c r="B73475"/>
      <c r="C73475"/>
      <c r="E73475"/>
      <c r="F73475"/>
    </row>
    <row r="73476" spans="1:6" x14ac:dyDescent="0.25">
      <c r="A73476"/>
      <c r="B73476"/>
      <c r="C73476"/>
      <c r="E73476"/>
      <c r="F73476"/>
    </row>
    <row r="73477" spans="1:6" x14ac:dyDescent="0.25">
      <c r="A73477"/>
      <c r="B73477"/>
      <c r="C73477"/>
      <c r="E73477"/>
      <c r="F73477"/>
    </row>
    <row r="73478" spans="1:6" x14ac:dyDescent="0.25">
      <c r="A73478"/>
      <c r="B73478"/>
      <c r="C73478"/>
      <c r="E73478"/>
      <c r="F73478"/>
    </row>
    <row r="73479" spans="1:6" x14ac:dyDescent="0.25">
      <c r="A73479"/>
      <c r="B73479"/>
      <c r="C73479"/>
      <c r="E73479"/>
      <c r="F73479"/>
    </row>
    <row r="73480" spans="1:6" x14ac:dyDescent="0.25">
      <c r="A73480"/>
      <c r="B73480"/>
      <c r="C73480"/>
      <c r="E73480"/>
      <c r="F73480"/>
    </row>
    <row r="73481" spans="1:6" x14ac:dyDescent="0.25">
      <c r="A73481"/>
      <c r="B73481"/>
      <c r="C73481"/>
      <c r="E73481"/>
      <c r="F73481"/>
    </row>
    <row r="73482" spans="1:6" x14ac:dyDescent="0.25">
      <c r="A73482"/>
      <c r="B73482"/>
      <c r="C73482"/>
      <c r="E73482"/>
      <c r="F73482"/>
    </row>
    <row r="73483" spans="1:6" x14ac:dyDescent="0.25">
      <c r="A73483"/>
      <c r="B73483"/>
      <c r="C73483"/>
      <c r="E73483"/>
      <c r="F73483"/>
    </row>
    <row r="73484" spans="1:6" x14ac:dyDescent="0.25">
      <c r="A73484"/>
      <c r="B73484"/>
      <c r="C73484"/>
      <c r="E73484"/>
      <c r="F73484"/>
    </row>
    <row r="73485" spans="1:6" x14ac:dyDescent="0.25">
      <c r="A73485"/>
      <c r="B73485"/>
      <c r="C73485"/>
      <c r="E73485"/>
      <c r="F73485"/>
    </row>
    <row r="73486" spans="1:6" x14ac:dyDescent="0.25">
      <c r="A73486"/>
      <c r="B73486"/>
      <c r="C73486"/>
      <c r="E73486"/>
      <c r="F73486"/>
    </row>
    <row r="73487" spans="1:6" x14ac:dyDescent="0.25">
      <c r="A73487"/>
      <c r="B73487"/>
      <c r="C73487"/>
      <c r="E73487"/>
      <c r="F73487"/>
    </row>
    <row r="73488" spans="1:6" x14ac:dyDescent="0.25">
      <c r="A73488"/>
      <c r="B73488"/>
      <c r="C73488"/>
      <c r="E73488"/>
      <c r="F73488"/>
    </row>
    <row r="73489" spans="1:6" x14ac:dyDescent="0.25">
      <c r="A73489"/>
      <c r="B73489"/>
      <c r="C73489"/>
      <c r="E73489"/>
      <c r="F73489"/>
    </row>
    <row r="73490" spans="1:6" x14ac:dyDescent="0.25">
      <c r="A73490"/>
      <c r="B73490"/>
      <c r="C73490"/>
      <c r="E73490"/>
      <c r="F73490"/>
    </row>
    <row r="73491" spans="1:6" x14ac:dyDescent="0.25">
      <c r="A73491"/>
      <c r="B73491"/>
      <c r="C73491"/>
      <c r="E73491"/>
      <c r="F73491"/>
    </row>
    <row r="73492" spans="1:6" x14ac:dyDescent="0.25">
      <c r="A73492"/>
      <c r="B73492"/>
      <c r="C73492"/>
      <c r="E73492"/>
      <c r="F73492"/>
    </row>
    <row r="73493" spans="1:6" x14ac:dyDescent="0.25">
      <c r="A73493"/>
      <c r="B73493"/>
      <c r="C73493"/>
      <c r="E73493"/>
      <c r="F73493"/>
    </row>
    <row r="73494" spans="1:6" x14ac:dyDescent="0.25">
      <c r="A73494"/>
      <c r="B73494"/>
      <c r="C73494"/>
      <c r="E73494"/>
      <c r="F73494"/>
    </row>
    <row r="73495" spans="1:6" x14ac:dyDescent="0.25">
      <c r="A73495"/>
      <c r="B73495"/>
      <c r="C73495"/>
      <c r="E73495"/>
      <c r="F73495"/>
    </row>
    <row r="73496" spans="1:6" x14ac:dyDescent="0.25">
      <c r="A73496"/>
      <c r="B73496"/>
      <c r="C73496"/>
      <c r="E73496"/>
      <c r="F73496"/>
    </row>
    <row r="73497" spans="1:6" x14ac:dyDescent="0.25">
      <c r="A73497"/>
      <c r="B73497"/>
      <c r="C73497"/>
      <c r="E73497"/>
      <c r="F73497"/>
    </row>
    <row r="73498" spans="1:6" x14ac:dyDescent="0.25">
      <c r="A73498"/>
      <c r="B73498"/>
      <c r="C73498"/>
      <c r="E73498"/>
      <c r="F73498"/>
    </row>
    <row r="73499" spans="1:6" x14ac:dyDescent="0.25">
      <c r="A73499"/>
      <c r="B73499"/>
      <c r="C73499"/>
      <c r="E73499"/>
      <c r="F73499"/>
    </row>
    <row r="73500" spans="1:6" x14ac:dyDescent="0.25">
      <c r="A73500"/>
      <c r="B73500"/>
      <c r="C73500"/>
      <c r="E73500"/>
      <c r="F73500"/>
    </row>
    <row r="73501" spans="1:6" x14ac:dyDescent="0.25">
      <c r="A73501"/>
      <c r="B73501"/>
      <c r="C73501"/>
      <c r="E73501"/>
      <c r="F73501"/>
    </row>
    <row r="73502" spans="1:6" x14ac:dyDescent="0.25">
      <c r="A73502"/>
      <c r="B73502"/>
      <c r="C73502"/>
      <c r="E73502"/>
      <c r="F73502"/>
    </row>
    <row r="73503" spans="1:6" x14ac:dyDescent="0.25">
      <c r="A73503"/>
      <c r="B73503"/>
      <c r="C73503"/>
      <c r="E73503"/>
      <c r="F73503"/>
    </row>
    <row r="73504" spans="1:6" x14ac:dyDescent="0.25">
      <c r="A73504"/>
      <c r="B73504"/>
      <c r="C73504"/>
      <c r="E73504"/>
      <c r="F73504"/>
    </row>
    <row r="73505" spans="1:6" x14ac:dyDescent="0.25">
      <c r="A73505"/>
      <c r="B73505"/>
      <c r="C73505"/>
      <c r="E73505"/>
      <c r="F73505"/>
    </row>
    <row r="73506" spans="1:6" x14ac:dyDescent="0.25">
      <c r="A73506"/>
      <c r="B73506"/>
      <c r="C73506"/>
      <c r="E73506"/>
      <c r="F73506"/>
    </row>
    <row r="73507" spans="1:6" x14ac:dyDescent="0.25">
      <c r="A73507"/>
      <c r="B73507"/>
      <c r="C73507"/>
      <c r="E73507"/>
      <c r="F73507"/>
    </row>
    <row r="73508" spans="1:6" x14ac:dyDescent="0.25">
      <c r="A73508"/>
      <c r="B73508"/>
      <c r="C73508"/>
      <c r="E73508"/>
      <c r="F73508"/>
    </row>
    <row r="73509" spans="1:6" x14ac:dyDescent="0.25">
      <c r="A73509"/>
      <c r="B73509"/>
      <c r="C73509"/>
      <c r="E73509"/>
      <c r="F73509"/>
    </row>
    <row r="73510" spans="1:6" x14ac:dyDescent="0.25">
      <c r="A73510"/>
      <c r="B73510"/>
      <c r="C73510"/>
      <c r="E73510"/>
      <c r="F73510"/>
    </row>
    <row r="73511" spans="1:6" x14ac:dyDescent="0.25">
      <c r="A73511"/>
      <c r="B73511"/>
      <c r="C73511"/>
      <c r="E73511"/>
      <c r="F73511"/>
    </row>
    <row r="73512" spans="1:6" x14ac:dyDescent="0.25">
      <c r="A73512"/>
      <c r="B73512"/>
      <c r="C73512"/>
      <c r="E73512"/>
      <c r="F73512"/>
    </row>
    <row r="73513" spans="1:6" x14ac:dyDescent="0.25">
      <c r="A73513"/>
      <c r="B73513"/>
      <c r="C73513"/>
      <c r="E73513"/>
      <c r="F73513"/>
    </row>
    <row r="73514" spans="1:6" x14ac:dyDescent="0.25">
      <c r="A73514"/>
      <c r="B73514"/>
      <c r="C73514"/>
      <c r="E73514"/>
      <c r="F73514"/>
    </row>
    <row r="73515" spans="1:6" x14ac:dyDescent="0.25">
      <c r="A73515"/>
      <c r="B73515"/>
      <c r="C73515"/>
      <c r="E73515"/>
      <c r="F73515"/>
    </row>
    <row r="73516" spans="1:6" x14ac:dyDescent="0.25">
      <c r="A73516"/>
      <c r="B73516"/>
      <c r="C73516"/>
      <c r="E73516"/>
      <c r="F73516"/>
    </row>
    <row r="73517" spans="1:6" x14ac:dyDescent="0.25">
      <c r="A73517"/>
      <c r="B73517"/>
      <c r="C73517"/>
      <c r="E73517"/>
      <c r="F73517"/>
    </row>
    <row r="73518" spans="1:6" x14ac:dyDescent="0.25">
      <c r="A73518"/>
      <c r="B73518"/>
      <c r="C73518"/>
      <c r="E73518"/>
      <c r="F73518"/>
    </row>
    <row r="73519" spans="1:6" x14ac:dyDescent="0.25">
      <c r="A73519"/>
      <c r="B73519"/>
      <c r="C73519"/>
      <c r="E73519"/>
      <c r="F73519"/>
    </row>
    <row r="73520" spans="1:6" x14ac:dyDescent="0.25">
      <c r="A73520"/>
      <c r="B73520"/>
      <c r="C73520"/>
      <c r="E73520"/>
      <c r="F73520"/>
    </row>
    <row r="73521" spans="1:6" x14ac:dyDescent="0.25">
      <c r="A73521"/>
      <c r="B73521"/>
      <c r="C73521"/>
      <c r="E73521"/>
      <c r="F73521"/>
    </row>
    <row r="73522" spans="1:6" x14ac:dyDescent="0.25">
      <c r="A73522"/>
      <c r="B73522"/>
      <c r="C73522"/>
      <c r="E73522"/>
      <c r="F73522"/>
    </row>
    <row r="73523" spans="1:6" x14ac:dyDescent="0.25">
      <c r="A73523"/>
      <c r="B73523"/>
      <c r="C73523"/>
      <c r="E73523"/>
      <c r="F73523"/>
    </row>
    <row r="73524" spans="1:6" x14ac:dyDescent="0.25">
      <c r="A73524"/>
      <c r="B73524"/>
      <c r="C73524"/>
      <c r="E73524"/>
      <c r="F73524"/>
    </row>
    <row r="73525" spans="1:6" x14ac:dyDescent="0.25">
      <c r="A73525"/>
      <c r="B73525"/>
      <c r="C73525"/>
      <c r="E73525"/>
      <c r="F73525"/>
    </row>
    <row r="73526" spans="1:6" x14ac:dyDescent="0.25">
      <c r="A73526"/>
      <c r="B73526"/>
      <c r="C73526"/>
      <c r="E73526"/>
      <c r="F73526"/>
    </row>
    <row r="73527" spans="1:6" x14ac:dyDescent="0.25">
      <c r="A73527"/>
      <c r="B73527"/>
      <c r="C73527"/>
      <c r="E73527"/>
      <c r="F73527"/>
    </row>
    <row r="73528" spans="1:6" x14ac:dyDescent="0.25">
      <c r="A73528"/>
      <c r="B73528"/>
      <c r="C73528"/>
      <c r="E73528"/>
      <c r="F73528"/>
    </row>
    <row r="73529" spans="1:6" x14ac:dyDescent="0.25">
      <c r="A73529"/>
      <c r="B73529"/>
      <c r="C73529"/>
      <c r="E73529"/>
      <c r="F73529"/>
    </row>
    <row r="73530" spans="1:6" x14ac:dyDescent="0.25">
      <c r="A73530"/>
      <c r="B73530"/>
      <c r="C73530"/>
      <c r="E73530"/>
      <c r="F73530"/>
    </row>
    <row r="73531" spans="1:6" x14ac:dyDescent="0.25">
      <c r="A73531"/>
      <c r="B73531"/>
      <c r="C73531"/>
      <c r="E73531"/>
      <c r="F73531"/>
    </row>
    <row r="73532" spans="1:6" x14ac:dyDescent="0.25">
      <c r="A73532"/>
      <c r="B73532"/>
      <c r="C73532"/>
      <c r="E73532"/>
      <c r="F73532"/>
    </row>
    <row r="73533" spans="1:6" x14ac:dyDescent="0.25">
      <c r="A73533"/>
      <c r="B73533"/>
      <c r="C73533"/>
      <c r="E73533"/>
      <c r="F73533"/>
    </row>
    <row r="73534" spans="1:6" x14ac:dyDescent="0.25">
      <c r="A73534"/>
      <c r="B73534"/>
      <c r="C73534"/>
      <c r="E73534"/>
      <c r="F73534"/>
    </row>
    <row r="73535" spans="1:6" x14ac:dyDescent="0.25">
      <c r="A73535"/>
      <c r="B73535"/>
      <c r="C73535"/>
      <c r="E73535"/>
      <c r="F73535"/>
    </row>
    <row r="73536" spans="1:6" x14ac:dyDescent="0.25">
      <c r="A73536"/>
      <c r="B73536"/>
      <c r="C73536"/>
      <c r="E73536"/>
      <c r="F73536"/>
    </row>
    <row r="73537" spans="1:6" x14ac:dyDescent="0.25">
      <c r="A73537"/>
      <c r="B73537"/>
      <c r="C73537"/>
      <c r="E73537"/>
      <c r="F73537"/>
    </row>
    <row r="73538" spans="1:6" x14ac:dyDescent="0.25">
      <c r="A73538"/>
      <c r="B73538"/>
      <c r="C73538"/>
      <c r="E73538"/>
      <c r="F73538"/>
    </row>
    <row r="73539" spans="1:6" x14ac:dyDescent="0.25">
      <c r="A73539"/>
      <c r="B73539"/>
      <c r="C73539"/>
      <c r="E73539"/>
      <c r="F73539"/>
    </row>
    <row r="73540" spans="1:6" x14ac:dyDescent="0.25">
      <c r="A73540"/>
      <c r="B73540"/>
      <c r="C73540"/>
      <c r="E73540"/>
      <c r="F73540"/>
    </row>
    <row r="73541" spans="1:6" x14ac:dyDescent="0.25">
      <c r="A73541"/>
      <c r="B73541"/>
      <c r="C73541"/>
      <c r="E73541"/>
      <c r="F73541"/>
    </row>
    <row r="73542" spans="1:6" x14ac:dyDescent="0.25">
      <c r="A73542"/>
      <c r="B73542"/>
      <c r="C73542"/>
      <c r="E73542"/>
      <c r="F73542"/>
    </row>
    <row r="73543" spans="1:6" x14ac:dyDescent="0.25">
      <c r="A73543"/>
      <c r="B73543"/>
      <c r="C73543"/>
      <c r="E73543"/>
      <c r="F73543"/>
    </row>
    <row r="73544" spans="1:6" x14ac:dyDescent="0.25">
      <c r="A73544"/>
      <c r="B73544"/>
      <c r="C73544"/>
      <c r="E73544"/>
      <c r="F73544"/>
    </row>
    <row r="73545" spans="1:6" x14ac:dyDescent="0.25">
      <c r="A73545"/>
      <c r="B73545"/>
      <c r="C73545"/>
      <c r="E73545"/>
      <c r="F73545"/>
    </row>
    <row r="73546" spans="1:6" x14ac:dyDescent="0.25">
      <c r="A73546"/>
      <c r="B73546"/>
      <c r="C73546"/>
      <c r="E73546"/>
      <c r="F73546"/>
    </row>
    <row r="73547" spans="1:6" x14ac:dyDescent="0.25">
      <c r="A73547"/>
      <c r="B73547"/>
      <c r="C73547"/>
      <c r="E73547"/>
      <c r="F73547"/>
    </row>
    <row r="73548" spans="1:6" x14ac:dyDescent="0.25">
      <c r="A73548"/>
      <c r="B73548"/>
      <c r="C73548"/>
      <c r="E73548"/>
      <c r="F73548"/>
    </row>
    <row r="73549" spans="1:6" x14ac:dyDescent="0.25">
      <c r="A73549"/>
      <c r="B73549"/>
      <c r="C73549"/>
      <c r="E73549"/>
      <c r="F73549"/>
    </row>
    <row r="73550" spans="1:6" x14ac:dyDescent="0.25">
      <c r="A73550"/>
      <c r="B73550"/>
      <c r="C73550"/>
      <c r="E73550"/>
      <c r="F73550"/>
    </row>
    <row r="73551" spans="1:6" x14ac:dyDescent="0.25">
      <c r="A73551"/>
      <c r="B73551"/>
      <c r="C73551"/>
      <c r="E73551"/>
      <c r="F73551"/>
    </row>
    <row r="73552" spans="1:6" x14ac:dyDescent="0.25">
      <c r="A73552"/>
      <c r="B73552"/>
      <c r="C73552"/>
      <c r="E73552"/>
      <c r="F73552"/>
    </row>
    <row r="73553" spans="1:6" x14ac:dyDescent="0.25">
      <c r="A73553"/>
      <c r="B73553"/>
      <c r="C73553"/>
      <c r="E73553"/>
      <c r="F73553"/>
    </row>
    <row r="73554" spans="1:6" x14ac:dyDescent="0.25">
      <c r="A73554"/>
      <c r="B73554"/>
      <c r="C73554"/>
      <c r="E73554"/>
      <c r="F73554"/>
    </row>
    <row r="73555" spans="1:6" x14ac:dyDescent="0.25">
      <c r="A73555"/>
      <c r="B73555"/>
      <c r="C73555"/>
      <c r="E73555"/>
      <c r="F73555"/>
    </row>
    <row r="73556" spans="1:6" x14ac:dyDescent="0.25">
      <c r="A73556"/>
      <c r="B73556"/>
      <c r="C73556"/>
      <c r="E73556"/>
      <c r="F73556"/>
    </row>
    <row r="73557" spans="1:6" x14ac:dyDescent="0.25">
      <c r="A73557"/>
      <c r="B73557"/>
      <c r="C73557"/>
      <c r="E73557"/>
      <c r="F73557"/>
    </row>
    <row r="73558" spans="1:6" x14ac:dyDescent="0.25">
      <c r="A73558"/>
      <c r="B73558"/>
      <c r="C73558"/>
      <c r="E73558"/>
      <c r="F73558"/>
    </row>
    <row r="73559" spans="1:6" x14ac:dyDescent="0.25">
      <c r="A73559"/>
      <c r="B73559"/>
      <c r="C73559"/>
      <c r="E73559"/>
      <c r="F73559"/>
    </row>
    <row r="73560" spans="1:6" x14ac:dyDescent="0.25">
      <c r="A73560"/>
      <c r="B73560"/>
      <c r="C73560"/>
      <c r="E73560"/>
      <c r="F73560"/>
    </row>
    <row r="73561" spans="1:6" x14ac:dyDescent="0.25">
      <c r="A73561"/>
      <c r="B73561"/>
      <c r="C73561"/>
      <c r="E73561"/>
      <c r="F73561"/>
    </row>
    <row r="73562" spans="1:6" x14ac:dyDescent="0.25">
      <c r="A73562"/>
      <c r="B73562"/>
      <c r="C73562"/>
      <c r="E73562"/>
      <c r="F73562"/>
    </row>
    <row r="73563" spans="1:6" x14ac:dyDescent="0.25">
      <c r="A73563"/>
      <c r="B73563"/>
      <c r="C73563"/>
      <c r="E73563"/>
      <c r="F73563"/>
    </row>
    <row r="73564" spans="1:6" x14ac:dyDescent="0.25">
      <c r="A73564"/>
      <c r="B73564"/>
      <c r="C73564"/>
      <c r="E73564"/>
      <c r="F73564"/>
    </row>
    <row r="73565" spans="1:6" x14ac:dyDescent="0.25">
      <c r="A73565"/>
      <c r="B73565"/>
      <c r="C73565"/>
      <c r="E73565"/>
      <c r="F73565"/>
    </row>
    <row r="73566" spans="1:6" x14ac:dyDescent="0.25">
      <c r="A73566"/>
      <c r="B73566"/>
      <c r="C73566"/>
      <c r="E73566"/>
      <c r="F73566"/>
    </row>
    <row r="73567" spans="1:6" x14ac:dyDescent="0.25">
      <c r="A73567"/>
      <c r="B73567"/>
      <c r="C73567"/>
      <c r="E73567"/>
      <c r="F73567"/>
    </row>
    <row r="73568" spans="1:6" x14ac:dyDescent="0.25">
      <c r="A73568"/>
      <c r="B73568"/>
      <c r="C73568"/>
      <c r="E73568"/>
      <c r="F73568"/>
    </row>
    <row r="73569" spans="1:6" x14ac:dyDescent="0.25">
      <c r="A73569"/>
      <c r="B73569"/>
      <c r="C73569"/>
      <c r="E73569"/>
      <c r="F73569"/>
    </row>
    <row r="73570" spans="1:6" x14ac:dyDescent="0.25">
      <c r="A73570"/>
      <c r="B73570"/>
      <c r="C73570"/>
      <c r="E73570"/>
      <c r="F73570"/>
    </row>
    <row r="73571" spans="1:6" x14ac:dyDescent="0.25">
      <c r="A73571"/>
      <c r="B73571"/>
      <c r="C73571"/>
      <c r="E73571"/>
      <c r="F73571"/>
    </row>
    <row r="73572" spans="1:6" x14ac:dyDescent="0.25">
      <c r="A73572"/>
      <c r="B73572"/>
      <c r="C73572"/>
      <c r="E73572"/>
      <c r="F73572"/>
    </row>
    <row r="73573" spans="1:6" x14ac:dyDescent="0.25">
      <c r="A73573"/>
      <c r="B73573"/>
      <c r="C73573"/>
      <c r="E73573"/>
      <c r="F73573"/>
    </row>
    <row r="73574" spans="1:6" x14ac:dyDescent="0.25">
      <c r="A73574"/>
      <c r="B73574"/>
      <c r="C73574"/>
      <c r="E73574"/>
      <c r="F73574"/>
    </row>
    <row r="73575" spans="1:6" x14ac:dyDescent="0.25">
      <c r="A73575"/>
      <c r="B73575"/>
      <c r="C73575"/>
      <c r="E73575"/>
      <c r="F73575"/>
    </row>
    <row r="73576" spans="1:6" x14ac:dyDescent="0.25">
      <c r="A73576"/>
      <c r="B73576"/>
      <c r="C73576"/>
      <c r="E73576"/>
      <c r="F73576"/>
    </row>
    <row r="73577" spans="1:6" x14ac:dyDescent="0.25">
      <c r="A73577"/>
      <c r="B73577"/>
      <c r="C73577"/>
      <c r="E73577"/>
      <c r="F73577"/>
    </row>
    <row r="73578" spans="1:6" x14ac:dyDescent="0.25">
      <c r="A73578"/>
      <c r="B73578"/>
      <c r="C73578"/>
      <c r="E73578"/>
      <c r="F73578"/>
    </row>
    <row r="73579" spans="1:6" x14ac:dyDescent="0.25">
      <c r="A73579"/>
      <c r="B73579"/>
      <c r="C73579"/>
      <c r="E73579"/>
      <c r="F73579"/>
    </row>
    <row r="73580" spans="1:6" x14ac:dyDescent="0.25">
      <c r="A73580"/>
      <c r="B73580"/>
      <c r="C73580"/>
      <c r="E73580"/>
      <c r="F73580"/>
    </row>
    <row r="73581" spans="1:6" x14ac:dyDescent="0.25">
      <c r="A73581"/>
      <c r="B73581"/>
      <c r="C73581"/>
      <c r="E73581"/>
      <c r="F73581"/>
    </row>
    <row r="73582" spans="1:6" x14ac:dyDescent="0.25">
      <c r="A73582"/>
      <c r="B73582"/>
      <c r="C73582"/>
      <c r="E73582"/>
      <c r="F73582"/>
    </row>
    <row r="73583" spans="1:6" x14ac:dyDescent="0.25">
      <c r="A73583"/>
      <c r="B73583"/>
      <c r="C73583"/>
      <c r="E73583"/>
      <c r="F73583"/>
    </row>
    <row r="73584" spans="1:6" x14ac:dyDescent="0.25">
      <c r="A73584"/>
      <c r="B73584"/>
      <c r="C73584"/>
      <c r="E73584"/>
      <c r="F73584"/>
    </row>
    <row r="73585" spans="1:6" x14ac:dyDescent="0.25">
      <c r="A73585"/>
      <c r="B73585"/>
      <c r="C73585"/>
      <c r="E73585"/>
      <c r="F73585"/>
    </row>
    <row r="73586" spans="1:6" x14ac:dyDescent="0.25">
      <c r="A73586"/>
      <c r="B73586"/>
      <c r="C73586"/>
      <c r="E73586"/>
      <c r="F73586"/>
    </row>
    <row r="73587" spans="1:6" x14ac:dyDescent="0.25">
      <c r="A73587"/>
      <c r="B73587"/>
      <c r="C73587"/>
      <c r="E73587"/>
      <c r="F73587"/>
    </row>
    <row r="73588" spans="1:6" x14ac:dyDescent="0.25">
      <c r="A73588"/>
      <c r="B73588"/>
      <c r="C73588"/>
      <c r="E73588"/>
      <c r="F73588"/>
    </row>
    <row r="73589" spans="1:6" x14ac:dyDescent="0.25">
      <c r="A73589"/>
      <c r="B73589"/>
      <c r="C73589"/>
      <c r="E73589"/>
      <c r="F73589"/>
    </row>
    <row r="73590" spans="1:6" x14ac:dyDescent="0.25">
      <c r="A73590"/>
      <c r="B73590"/>
      <c r="C73590"/>
      <c r="E73590"/>
      <c r="F73590"/>
    </row>
    <row r="73591" spans="1:6" x14ac:dyDescent="0.25">
      <c r="A73591"/>
      <c r="B73591"/>
      <c r="C73591"/>
      <c r="E73591"/>
      <c r="F73591"/>
    </row>
    <row r="73592" spans="1:6" x14ac:dyDescent="0.25">
      <c r="A73592"/>
      <c r="B73592"/>
      <c r="C73592"/>
      <c r="E73592"/>
      <c r="F73592"/>
    </row>
    <row r="73593" spans="1:6" x14ac:dyDescent="0.25">
      <c r="A73593"/>
      <c r="B73593"/>
      <c r="C73593"/>
      <c r="E73593"/>
      <c r="F73593"/>
    </row>
    <row r="73594" spans="1:6" x14ac:dyDescent="0.25">
      <c r="A73594"/>
      <c r="B73594"/>
      <c r="C73594"/>
      <c r="E73594"/>
      <c r="F73594"/>
    </row>
    <row r="73595" spans="1:6" x14ac:dyDescent="0.25">
      <c r="A73595"/>
      <c r="B73595"/>
      <c r="C73595"/>
      <c r="E73595"/>
      <c r="F73595"/>
    </row>
    <row r="73596" spans="1:6" x14ac:dyDescent="0.25">
      <c r="A73596"/>
      <c r="B73596"/>
      <c r="C73596"/>
      <c r="E73596"/>
      <c r="F73596"/>
    </row>
    <row r="73597" spans="1:6" x14ac:dyDescent="0.25">
      <c r="A73597"/>
      <c r="B73597"/>
      <c r="C73597"/>
      <c r="E73597"/>
      <c r="F73597"/>
    </row>
    <row r="73598" spans="1:6" x14ac:dyDescent="0.25">
      <c r="A73598"/>
      <c r="B73598"/>
      <c r="C73598"/>
      <c r="E73598"/>
      <c r="F73598"/>
    </row>
    <row r="73599" spans="1:6" x14ac:dyDescent="0.25">
      <c r="A73599"/>
      <c r="B73599"/>
      <c r="C73599"/>
      <c r="E73599"/>
      <c r="F73599"/>
    </row>
    <row r="73600" spans="1:6" x14ac:dyDescent="0.25">
      <c r="A73600"/>
      <c r="B73600"/>
      <c r="C73600"/>
      <c r="E73600"/>
      <c r="F73600"/>
    </row>
    <row r="73601" spans="1:6" x14ac:dyDescent="0.25">
      <c r="A73601"/>
      <c r="B73601"/>
      <c r="C73601"/>
      <c r="E73601"/>
      <c r="F73601"/>
    </row>
    <row r="73602" spans="1:6" x14ac:dyDescent="0.25">
      <c r="A73602"/>
      <c r="B73602"/>
      <c r="C73602"/>
      <c r="E73602"/>
      <c r="F73602"/>
    </row>
    <row r="73603" spans="1:6" x14ac:dyDescent="0.25">
      <c r="A73603"/>
      <c r="B73603"/>
      <c r="C73603"/>
      <c r="E73603"/>
      <c r="F73603"/>
    </row>
    <row r="73604" spans="1:6" x14ac:dyDescent="0.25">
      <c r="A73604"/>
      <c r="B73604"/>
      <c r="C73604"/>
      <c r="E73604"/>
      <c r="F73604"/>
    </row>
    <row r="73605" spans="1:6" x14ac:dyDescent="0.25">
      <c r="A73605"/>
      <c r="B73605"/>
      <c r="C73605"/>
      <c r="E73605"/>
      <c r="F73605"/>
    </row>
    <row r="73606" spans="1:6" x14ac:dyDescent="0.25">
      <c r="A73606"/>
      <c r="B73606"/>
      <c r="C73606"/>
      <c r="E73606"/>
      <c r="F73606"/>
    </row>
    <row r="73607" spans="1:6" x14ac:dyDescent="0.25">
      <c r="A73607"/>
      <c r="B73607"/>
      <c r="C73607"/>
      <c r="E73607"/>
      <c r="F73607"/>
    </row>
    <row r="73608" spans="1:6" x14ac:dyDescent="0.25">
      <c r="A73608"/>
      <c r="B73608"/>
      <c r="C73608"/>
      <c r="E73608"/>
      <c r="F73608"/>
    </row>
    <row r="73609" spans="1:6" x14ac:dyDescent="0.25">
      <c r="A73609"/>
      <c r="B73609"/>
      <c r="C73609"/>
      <c r="E73609"/>
      <c r="F73609"/>
    </row>
    <row r="73610" spans="1:6" x14ac:dyDescent="0.25">
      <c r="A73610"/>
      <c r="B73610"/>
      <c r="C73610"/>
      <c r="E73610"/>
      <c r="F73610"/>
    </row>
    <row r="73611" spans="1:6" x14ac:dyDescent="0.25">
      <c r="A73611"/>
      <c r="B73611"/>
      <c r="C73611"/>
      <c r="E73611"/>
      <c r="F73611"/>
    </row>
    <row r="73612" spans="1:6" x14ac:dyDescent="0.25">
      <c r="A73612"/>
      <c r="B73612"/>
      <c r="C73612"/>
      <c r="E73612"/>
      <c r="F73612"/>
    </row>
    <row r="73613" spans="1:6" x14ac:dyDescent="0.25">
      <c r="A73613"/>
      <c r="B73613"/>
      <c r="C73613"/>
      <c r="E73613"/>
      <c r="F73613"/>
    </row>
    <row r="73614" spans="1:6" x14ac:dyDescent="0.25">
      <c r="A73614"/>
      <c r="B73614"/>
      <c r="C73614"/>
      <c r="E73614"/>
      <c r="F73614"/>
    </row>
    <row r="73615" spans="1:6" x14ac:dyDescent="0.25">
      <c r="A73615"/>
      <c r="B73615"/>
      <c r="C73615"/>
      <c r="E73615"/>
      <c r="F73615"/>
    </row>
    <row r="73616" spans="1:6" x14ac:dyDescent="0.25">
      <c r="A73616"/>
      <c r="B73616"/>
      <c r="C73616"/>
      <c r="E73616"/>
      <c r="F73616"/>
    </row>
    <row r="73617" spans="1:6" x14ac:dyDescent="0.25">
      <c r="A73617"/>
      <c r="B73617"/>
      <c r="C73617"/>
      <c r="E73617"/>
      <c r="F73617"/>
    </row>
    <row r="73618" spans="1:6" x14ac:dyDescent="0.25">
      <c r="A73618"/>
      <c r="B73618"/>
      <c r="C73618"/>
      <c r="E73618"/>
      <c r="F73618"/>
    </row>
    <row r="73619" spans="1:6" x14ac:dyDescent="0.25">
      <c r="A73619"/>
      <c r="B73619"/>
      <c r="C73619"/>
      <c r="E73619"/>
      <c r="F73619"/>
    </row>
    <row r="73620" spans="1:6" x14ac:dyDescent="0.25">
      <c r="A73620"/>
      <c r="B73620"/>
      <c r="C73620"/>
      <c r="E73620"/>
      <c r="F73620"/>
    </row>
    <row r="73621" spans="1:6" x14ac:dyDescent="0.25">
      <c r="A73621"/>
      <c r="B73621"/>
      <c r="C73621"/>
      <c r="E73621"/>
      <c r="F73621"/>
    </row>
    <row r="73622" spans="1:6" x14ac:dyDescent="0.25">
      <c r="A73622"/>
      <c r="B73622"/>
      <c r="C73622"/>
      <c r="E73622"/>
      <c r="F73622"/>
    </row>
    <row r="73623" spans="1:6" x14ac:dyDescent="0.25">
      <c r="A73623"/>
      <c r="B73623"/>
      <c r="C73623"/>
      <c r="E73623"/>
      <c r="F73623"/>
    </row>
    <row r="73624" spans="1:6" x14ac:dyDescent="0.25">
      <c r="A73624"/>
      <c r="B73624"/>
      <c r="C73624"/>
      <c r="E73624"/>
      <c r="F73624"/>
    </row>
    <row r="73625" spans="1:6" x14ac:dyDescent="0.25">
      <c r="A73625"/>
      <c r="B73625"/>
      <c r="C73625"/>
      <c r="E73625"/>
      <c r="F73625"/>
    </row>
    <row r="73626" spans="1:6" x14ac:dyDescent="0.25">
      <c r="A73626"/>
      <c r="B73626"/>
      <c r="C73626"/>
      <c r="E73626"/>
      <c r="F73626"/>
    </row>
    <row r="73627" spans="1:6" x14ac:dyDescent="0.25">
      <c r="A73627"/>
      <c r="B73627"/>
      <c r="C73627"/>
      <c r="E73627"/>
      <c r="F73627"/>
    </row>
    <row r="73628" spans="1:6" x14ac:dyDescent="0.25">
      <c r="A73628"/>
      <c r="B73628"/>
      <c r="C73628"/>
      <c r="E73628"/>
      <c r="F73628"/>
    </row>
    <row r="73629" spans="1:6" x14ac:dyDescent="0.25">
      <c r="A73629"/>
      <c r="B73629"/>
      <c r="C73629"/>
      <c r="E73629"/>
      <c r="F73629"/>
    </row>
    <row r="73630" spans="1:6" x14ac:dyDescent="0.25">
      <c r="A73630"/>
      <c r="B73630"/>
      <c r="C73630"/>
      <c r="E73630"/>
      <c r="F73630"/>
    </row>
    <row r="73631" spans="1:6" x14ac:dyDescent="0.25">
      <c r="A73631"/>
      <c r="B73631"/>
      <c r="C73631"/>
      <c r="E73631"/>
      <c r="F73631"/>
    </row>
    <row r="73632" spans="1:6" x14ac:dyDescent="0.25">
      <c r="A73632"/>
      <c r="B73632"/>
      <c r="C73632"/>
      <c r="E73632"/>
      <c r="F73632"/>
    </row>
    <row r="73633" spans="1:6" x14ac:dyDescent="0.25">
      <c r="A73633"/>
      <c r="B73633"/>
      <c r="C73633"/>
      <c r="E73633"/>
      <c r="F73633"/>
    </row>
    <row r="73634" spans="1:6" x14ac:dyDescent="0.25">
      <c r="A73634"/>
      <c r="B73634"/>
      <c r="C73634"/>
      <c r="E73634"/>
      <c r="F73634"/>
    </row>
    <row r="73635" spans="1:6" x14ac:dyDescent="0.25">
      <c r="A73635"/>
      <c r="B73635"/>
      <c r="C73635"/>
      <c r="E73635"/>
      <c r="F73635"/>
    </row>
    <row r="73636" spans="1:6" x14ac:dyDescent="0.25">
      <c r="A73636"/>
      <c r="B73636"/>
      <c r="C73636"/>
      <c r="E73636"/>
      <c r="F73636"/>
    </row>
    <row r="73637" spans="1:6" x14ac:dyDescent="0.25">
      <c r="A73637"/>
      <c r="B73637"/>
      <c r="C73637"/>
      <c r="E73637"/>
      <c r="F73637"/>
    </row>
    <row r="73638" spans="1:6" x14ac:dyDescent="0.25">
      <c r="A73638"/>
      <c r="B73638"/>
      <c r="C73638"/>
      <c r="E73638"/>
      <c r="F73638"/>
    </row>
    <row r="73639" spans="1:6" x14ac:dyDescent="0.25">
      <c r="A73639"/>
      <c r="B73639"/>
      <c r="C73639"/>
      <c r="E73639"/>
      <c r="F73639"/>
    </row>
    <row r="73640" spans="1:6" x14ac:dyDescent="0.25">
      <c r="A73640"/>
      <c r="B73640"/>
      <c r="C73640"/>
      <c r="E73640"/>
      <c r="F73640"/>
    </row>
    <row r="73641" spans="1:6" x14ac:dyDescent="0.25">
      <c r="A73641"/>
      <c r="B73641"/>
      <c r="C73641"/>
      <c r="E73641"/>
      <c r="F73641"/>
    </row>
    <row r="73642" spans="1:6" x14ac:dyDescent="0.25">
      <c r="A73642"/>
      <c r="B73642"/>
      <c r="C73642"/>
      <c r="E73642"/>
      <c r="F73642"/>
    </row>
    <row r="73643" spans="1:6" x14ac:dyDescent="0.25">
      <c r="A73643"/>
      <c r="B73643"/>
      <c r="C73643"/>
      <c r="E73643"/>
      <c r="F73643"/>
    </row>
    <row r="73644" spans="1:6" x14ac:dyDescent="0.25">
      <c r="A73644"/>
      <c r="B73644"/>
      <c r="C73644"/>
      <c r="E73644"/>
      <c r="F73644"/>
    </row>
    <row r="73645" spans="1:6" x14ac:dyDescent="0.25">
      <c r="A73645"/>
      <c r="B73645"/>
      <c r="C73645"/>
      <c r="E73645"/>
      <c r="F73645"/>
    </row>
    <row r="73646" spans="1:6" x14ac:dyDescent="0.25">
      <c r="A73646"/>
      <c r="B73646"/>
      <c r="C73646"/>
      <c r="E73646"/>
      <c r="F73646"/>
    </row>
    <row r="73647" spans="1:6" x14ac:dyDescent="0.25">
      <c r="A73647"/>
      <c r="B73647"/>
      <c r="C73647"/>
      <c r="E73647"/>
      <c r="F73647"/>
    </row>
    <row r="73648" spans="1:6" x14ac:dyDescent="0.25">
      <c r="A73648"/>
      <c r="B73648"/>
      <c r="C73648"/>
      <c r="E73648"/>
      <c r="F73648"/>
    </row>
    <row r="73649" spans="1:6" x14ac:dyDescent="0.25">
      <c r="A73649"/>
      <c r="B73649"/>
      <c r="C73649"/>
      <c r="E73649"/>
      <c r="F73649"/>
    </row>
    <row r="73650" spans="1:6" x14ac:dyDescent="0.25">
      <c r="A73650"/>
      <c r="B73650"/>
      <c r="C73650"/>
      <c r="E73650"/>
      <c r="F73650"/>
    </row>
    <row r="73651" spans="1:6" x14ac:dyDescent="0.25">
      <c r="A73651"/>
      <c r="B73651"/>
      <c r="C73651"/>
      <c r="E73651"/>
      <c r="F73651"/>
    </row>
    <row r="73652" spans="1:6" x14ac:dyDescent="0.25">
      <c r="A73652"/>
      <c r="B73652"/>
      <c r="C73652"/>
      <c r="E73652"/>
      <c r="F73652"/>
    </row>
    <row r="73653" spans="1:6" x14ac:dyDescent="0.25">
      <c r="A73653"/>
      <c r="B73653"/>
      <c r="C73653"/>
      <c r="E73653"/>
      <c r="F73653"/>
    </row>
    <row r="73654" spans="1:6" x14ac:dyDescent="0.25">
      <c r="A73654"/>
      <c r="B73654"/>
      <c r="C73654"/>
      <c r="E73654"/>
      <c r="F73654"/>
    </row>
    <row r="73655" spans="1:6" x14ac:dyDescent="0.25">
      <c r="A73655"/>
      <c r="B73655"/>
      <c r="C73655"/>
      <c r="E73655"/>
      <c r="F73655"/>
    </row>
    <row r="73656" spans="1:6" x14ac:dyDescent="0.25">
      <c r="A73656"/>
      <c r="B73656"/>
      <c r="C73656"/>
      <c r="E73656"/>
      <c r="F73656"/>
    </row>
    <row r="73657" spans="1:6" x14ac:dyDescent="0.25">
      <c r="A73657"/>
      <c r="B73657"/>
      <c r="C73657"/>
      <c r="E73657"/>
      <c r="F73657"/>
    </row>
    <row r="73658" spans="1:6" x14ac:dyDescent="0.25">
      <c r="A73658"/>
      <c r="B73658"/>
      <c r="C73658"/>
      <c r="E73658"/>
      <c r="F73658"/>
    </row>
    <row r="73659" spans="1:6" x14ac:dyDescent="0.25">
      <c r="A73659"/>
      <c r="B73659"/>
      <c r="C73659"/>
      <c r="E73659"/>
      <c r="F73659"/>
    </row>
    <row r="73660" spans="1:6" x14ac:dyDescent="0.25">
      <c r="A73660"/>
      <c r="B73660"/>
      <c r="C73660"/>
      <c r="E73660"/>
      <c r="F73660"/>
    </row>
    <row r="73661" spans="1:6" x14ac:dyDescent="0.25">
      <c r="A73661"/>
      <c r="B73661"/>
      <c r="C73661"/>
      <c r="E73661"/>
      <c r="F73661"/>
    </row>
    <row r="73662" spans="1:6" x14ac:dyDescent="0.25">
      <c r="A73662"/>
      <c r="B73662"/>
      <c r="C73662"/>
      <c r="E73662"/>
      <c r="F73662"/>
    </row>
    <row r="73663" spans="1:6" x14ac:dyDescent="0.25">
      <c r="A73663"/>
      <c r="B73663"/>
      <c r="C73663"/>
      <c r="E73663"/>
      <c r="F73663"/>
    </row>
    <row r="73664" spans="1:6" x14ac:dyDescent="0.25">
      <c r="A73664"/>
      <c r="B73664"/>
      <c r="C73664"/>
      <c r="E73664"/>
      <c r="F73664"/>
    </row>
    <row r="73665" spans="1:6" x14ac:dyDescent="0.25">
      <c r="A73665"/>
      <c r="B73665"/>
      <c r="C73665"/>
      <c r="E73665"/>
      <c r="F73665"/>
    </row>
    <row r="73666" spans="1:6" x14ac:dyDescent="0.25">
      <c r="A73666"/>
      <c r="B73666"/>
      <c r="C73666"/>
      <c r="E73666"/>
      <c r="F73666"/>
    </row>
    <row r="73667" spans="1:6" x14ac:dyDescent="0.25">
      <c r="A73667"/>
      <c r="B73667"/>
      <c r="C73667"/>
      <c r="E73667"/>
      <c r="F73667"/>
    </row>
    <row r="73668" spans="1:6" x14ac:dyDescent="0.25">
      <c r="A73668"/>
      <c r="B73668"/>
      <c r="C73668"/>
      <c r="E73668"/>
      <c r="F73668"/>
    </row>
    <row r="73669" spans="1:6" x14ac:dyDescent="0.25">
      <c r="A73669"/>
      <c r="B73669"/>
      <c r="C73669"/>
      <c r="E73669"/>
      <c r="F73669"/>
    </row>
    <row r="73670" spans="1:6" x14ac:dyDescent="0.25">
      <c r="A73670"/>
      <c r="B73670"/>
      <c r="C73670"/>
      <c r="E73670"/>
      <c r="F73670"/>
    </row>
    <row r="73671" spans="1:6" x14ac:dyDescent="0.25">
      <c r="A73671"/>
      <c r="B73671"/>
      <c r="C73671"/>
      <c r="E73671"/>
      <c r="F73671"/>
    </row>
    <row r="73672" spans="1:6" x14ac:dyDescent="0.25">
      <c r="A73672"/>
      <c r="B73672"/>
      <c r="C73672"/>
      <c r="E73672"/>
      <c r="F73672"/>
    </row>
    <row r="73673" spans="1:6" x14ac:dyDescent="0.25">
      <c r="A73673"/>
      <c r="B73673"/>
      <c r="C73673"/>
      <c r="E73673"/>
      <c r="F73673"/>
    </row>
    <row r="73674" spans="1:6" x14ac:dyDescent="0.25">
      <c r="A73674"/>
      <c r="B73674"/>
      <c r="C73674"/>
      <c r="E73674"/>
      <c r="F73674"/>
    </row>
    <row r="73675" spans="1:6" x14ac:dyDescent="0.25">
      <c r="A73675"/>
      <c r="B73675"/>
      <c r="C73675"/>
      <c r="E73675"/>
      <c r="F73675"/>
    </row>
    <row r="73676" spans="1:6" x14ac:dyDescent="0.25">
      <c r="A73676"/>
      <c r="B73676"/>
      <c r="C73676"/>
      <c r="E73676"/>
      <c r="F73676"/>
    </row>
    <row r="73677" spans="1:6" x14ac:dyDescent="0.25">
      <c r="A73677"/>
      <c r="B73677"/>
      <c r="C73677"/>
      <c r="E73677"/>
      <c r="F73677"/>
    </row>
    <row r="73678" spans="1:6" x14ac:dyDescent="0.25">
      <c r="A73678"/>
      <c r="B73678"/>
      <c r="C73678"/>
      <c r="E73678"/>
      <c r="F73678"/>
    </row>
    <row r="73679" spans="1:6" x14ac:dyDescent="0.25">
      <c r="A73679"/>
      <c r="B73679"/>
      <c r="C73679"/>
      <c r="E73679"/>
      <c r="F73679"/>
    </row>
    <row r="73680" spans="1:6" x14ac:dyDescent="0.25">
      <c r="A73680"/>
      <c r="B73680"/>
      <c r="C73680"/>
      <c r="E73680"/>
      <c r="F73680"/>
    </row>
    <row r="73681" spans="1:6" x14ac:dyDescent="0.25">
      <c r="A73681"/>
      <c r="B73681"/>
      <c r="C73681"/>
      <c r="E73681"/>
      <c r="F73681"/>
    </row>
    <row r="73682" spans="1:6" x14ac:dyDescent="0.25">
      <c r="A73682"/>
      <c r="B73682"/>
      <c r="C73682"/>
      <c r="E73682"/>
      <c r="F73682"/>
    </row>
    <row r="73683" spans="1:6" x14ac:dyDescent="0.25">
      <c r="A73683"/>
      <c r="B73683"/>
      <c r="C73683"/>
      <c r="E73683"/>
      <c r="F73683"/>
    </row>
    <row r="73684" spans="1:6" x14ac:dyDescent="0.25">
      <c r="A73684"/>
      <c r="B73684"/>
      <c r="C73684"/>
      <c r="E73684"/>
      <c r="F73684"/>
    </row>
    <row r="73685" spans="1:6" x14ac:dyDescent="0.25">
      <c r="A73685"/>
      <c r="B73685"/>
      <c r="C73685"/>
      <c r="E73685"/>
      <c r="F73685"/>
    </row>
    <row r="73686" spans="1:6" x14ac:dyDescent="0.25">
      <c r="A73686"/>
      <c r="B73686"/>
      <c r="C73686"/>
      <c r="E73686"/>
      <c r="F73686"/>
    </row>
    <row r="73687" spans="1:6" x14ac:dyDescent="0.25">
      <c r="A73687"/>
      <c r="B73687"/>
      <c r="C73687"/>
      <c r="E73687"/>
      <c r="F73687"/>
    </row>
    <row r="73688" spans="1:6" x14ac:dyDescent="0.25">
      <c r="A73688"/>
      <c r="B73688"/>
      <c r="C73688"/>
      <c r="E73688"/>
      <c r="F73688"/>
    </row>
    <row r="73689" spans="1:6" x14ac:dyDescent="0.25">
      <c r="A73689"/>
      <c r="B73689"/>
      <c r="C73689"/>
      <c r="E73689"/>
      <c r="F73689"/>
    </row>
    <row r="73690" spans="1:6" x14ac:dyDescent="0.25">
      <c r="A73690"/>
      <c r="B73690"/>
      <c r="C73690"/>
      <c r="E73690"/>
      <c r="F73690"/>
    </row>
    <row r="73691" spans="1:6" x14ac:dyDescent="0.25">
      <c r="A73691"/>
      <c r="B73691"/>
      <c r="C73691"/>
      <c r="E73691"/>
      <c r="F73691"/>
    </row>
    <row r="73692" spans="1:6" x14ac:dyDescent="0.25">
      <c r="A73692"/>
      <c r="B73692"/>
      <c r="C73692"/>
      <c r="E73692"/>
      <c r="F73692"/>
    </row>
    <row r="73693" spans="1:6" x14ac:dyDescent="0.25">
      <c r="A73693"/>
      <c r="B73693"/>
      <c r="C73693"/>
      <c r="E73693"/>
      <c r="F73693"/>
    </row>
    <row r="73694" spans="1:6" x14ac:dyDescent="0.25">
      <c r="A73694"/>
      <c r="B73694"/>
      <c r="C73694"/>
      <c r="E73694"/>
      <c r="F73694"/>
    </row>
    <row r="73695" spans="1:6" x14ac:dyDescent="0.25">
      <c r="A73695"/>
      <c r="B73695"/>
      <c r="C73695"/>
      <c r="E73695"/>
      <c r="F73695"/>
    </row>
    <row r="73696" spans="1:6" x14ac:dyDescent="0.25">
      <c r="A73696"/>
      <c r="B73696"/>
      <c r="C73696"/>
      <c r="E73696"/>
      <c r="F73696"/>
    </row>
    <row r="73697" spans="1:6" x14ac:dyDescent="0.25">
      <c r="A73697"/>
      <c r="B73697"/>
      <c r="C73697"/>
      <c r="E73697"/>
      <c r="F73697"/>
    </row>
    <row r="73698" spans="1:6" x14ac:dyDescent="0.25">
      <c r="A73698"/>
      <c r="B73698"/>
      <c r="C73698"/>
      <c r="E73698"/>
      <c r="F73698"/>
    </row>
    <row r="73699" spans="1:6" x14ac:dyDescent="0.25">
      <c r="A73699"/>
      <c r="B73699"/>
      <c r="C73699"/>
      <c r="E73699"/>
      <c r="F73699"/>
    </row>
    <row r="73700" spans="1:6" x14ac:dyDescent="0.25">
      <c r="A73700"/>
      <c r="B73700"/>
      <c r="C73700"/>
      <c r="E73700"/>
      <c r="F73700"/>
    </row>
    <row r="73701" spans="1:6" x14ac:dyDescent="0.25">
      <c r="A73701"/>
      <c r="B73701"/>
      <c r="C73701"/>
      <c r="E73701"/>
      <c r="F73701"/>
    </row>
    <row r="73702" spans="1:6" x14ac:dyDescent="0.25">
      <c r="A73702"/>
      <c r="B73702"/>
      <c r="C73702"/>
      <c r="E73702"/>
      <c r="F73702"/>
    </row>
    <row r="73703" spans="1:6" x14ac:dyDescent="0.25">
      <c r="A73703"/>
      <c r="B73703"/>
      <c r="C73703"/>
      <c r="E73703"/>
      <c r="F73703"/>
    </row>
    <row r="73704" spans="1:6" x14ac:dyDescent="0.25">
      <c r="A73704"/>
      <c r="B73704"/>
      <c r="C73704"/>
      <c r="E73704"/>
      <c r="F73704"/>
    </row>
    <row r="73705" spans="1:6" x14ac:dyDescent="0.25">
      <c r="A73705"/>
      <c r="B73705"/>
      <c r="C73705"/>
      <c r="E73705"/>
      <c r="F73705"/>
    </row>
    <row r="73706" spans="1:6" x14ac:dyDescent="0.25">
      <c r="A73706"/>
      <c r="B73706"/>
      <c r="C73706"/>
      <c r="E73706"/>
      <c r="F73706"/>
    </row>
    <row r="73707" spans="1:6" x14ac:dyDescent="0.25">
      <c r="A73707"/>
      <c r="B73707"/>
      <c r="C73707"/>
      <c r="E73707"/>
      <c r="F73707"/>
    </row>
    <row r="73708" spans="1:6" x14ac:dyDescent="0.25">
      <c r="A73708"/>
      <c r="B73708"/>
      <c r="C73708"/>
      <c r="E73708"/>
      <c r="F73708"/>
    </row>
    <row r="73709" spans="1:6" x14ac:dyDescent="0.25">
      <c r="A73709"/>
      <c r="B73709"/>
      <c r="C73709"/>
      <c r="E73709"/>
      <c r="F73709"/>
    </row>
    <row r="73710" spans="1:6" x14ac:dyDescent="0.25">
      <c r="A73710"/>
      <c r="B73710"/>
      <c r="C73710"/>
      <c r="E73710"/>
      <c r="F73710"/>
    </row>
    <row r="73711" spans="1:6" x14ac:dyDescent="0.25">
      <c r="A73711"/>
      <c r="B73711"/>
      <c r="C73711"/>
      <c r="E73711"/>
      <c r="F73711"/>
    </row>
    <row r="73712" spans="1:6" x14ac:dyDescent="0.25">
      <c r="A73712"/>
      <c r="B73712"/>
      <c r="C73712"/>
      <c r="E73712"/>
      <c r="F73712"/>
    </row>
    <row r="73713" spans="1:6" x14ac:dyDescent="0.25">
      <c r="A73713"/>
      <c r="B73713"/>
      <c r="C73713"/>
      <c r="E73713"/>
      <c r="F73713"/>
    </row>
    <row r="73714" spans="1:6" x14ac:dyDescent="0.25">
      <c r="A73714"/>
      <c r="B73714"/>
      <c r="C73714"/>
      <c r="E73714"/>
      <c r="F73714"/>
    </row>
    <row r="73715" spans="1:6" x14ac:dyDescent="0.25">
      <c r="A73715"/>
      <c r="B73715"/>
      <c r="C73715"/>
      <c r="E73715"/>
      <c r="F73715"/>
    </row>
    <row r="73716" spans="1:6" x14ac:dyDescent="0.25">
      <c r="A73716"/>
      <c r="B73716"/>
      <c r="C73716"/>
      <c r="E73716"/>
      <c r="F73716"/>
    </row>
    <row r="73717" spans="1:6" x14ac:dyDescent="0.25">
      <c r="A73717"/>
      <c r="B73717"/>
      <c r="C73717"/>
      <c r="E73717"/>
      <c r="F73717"/>
    </row>
    <row r="73718" spans="1:6" x14ac:dyDescent="0.25">
      <c r="A73718"/>
      <c r="B73718"/>
      <c r="C73718"/>
      <c r="E73718"/>
      <c r="F73718"/>
    </row>
    <row r="73719" spans="1:6" x14ac:dyDescent="0.25">
      <c r="A73719"/>
      <c r="B73719"/>
      <c r="C73719"/>
      <c r="E73719"/>
      <c r="F73719"/>
    </row>
    <row r="73720" spans="1:6" x14ac:dyDescent="0.25">
      <c r="A73720"/>
      <c r="B73720"/>
      <c r="C73720"/>
      <c r="E73720"/>
      <c r="F73720"/>
    </row>
    <row r="73721" spans="1:6" x14ac:dyDescent="0.25">
      <c r="A73721"/>
      <c r="B73721"/>
      <c r="C73721"/>
      <c r="E73721"/>
      <c r="F73721"/>
    </row>
    <row r="73722" spans="1:6" x14ac:dyDescent="0.25">
      <c r="A73722"/>
      <c r="B73722"/>
      <c r="C73722"/>
      <c r="E73722"/>
      <c r="F73722"/>
    </row>
    <row r="73723" spans="1:6" x14ac:dyDescent="0.25">
      <c r="A73723"/>
      <c r="B73723"/>
      <c r="C73723"/>
      <c r="E73723"/>
      <c r="F73723"/>
    </row>
    <row r="73724" spans="1:6" x14ac:dyDescent="0.25">
      <c r="A73724"/>
      <c r="B73724"/>
      <c r="C73724"/>
      <c r="E73724"/>
      <c r="F73724"/>
    </row>
    <row r="73725" spans="1:6" x14ac:dyDescent="0.25">
      <c r="A73725"/>
      <c r="B73725"/>
      <c r="C73725"/>
      <c r="E73725"/>
      <c r="F73725"/>
    </row>
    <row r="73726" spans="1:6" x14ac:dyDescent="0.25">
      <c r="A73726"/>
      <c r="B73726"/>
      <c r="C73726"/>
      <c r="E73726"/>
      <c r="F73726"/>
    </row>
    <row r="73727" spans="1:6" x14ac:dyDescent="0.25">
      <c r="A73727"/>
      <c r="B73727"/>
      <c r="C73727"/>
      <c r="E73727"/>
      <c r="F73727"/>
    </row>
    <row r="73728" spans="1:6" x14ac:dyDescent="0.25">
      <c r="A73728"/>
      <c r="B73728"/>
      <c r="C73728"/>
      <c r="E73728"/>
      <c r="F73728"/>
    </row>
    <row r="73729" spans="1:6" x14ac:dyDescent="0.25">
      <c r="A73729"/>
      <c r="B73729"/>
      <c r="C73729"/>
      <c r="E73729"/>
      <c r="F73729"/>
    </row>
    <row r="73730" spans="1:6" x14ac:dyDescent="0.25">
      <c r="A73730"/>
      <c r="B73730"/>
      <c r="C73730"/>
      <c r="E73730"/>
      <c r="F73730"/>
    </row>
    <row r="73731" spans="1:6" x14ac:dyDescent="0.25">
      <c r="A73731"/>
      <c r="B73731"/>
      <c r="C73731"/>
      <c r="E73731"/>
      <c r="F73731"/>
    </row>
    <row r="73732" spans="1:6" x14ac:dyDescent="0.25">
      <c r="A73732"/>
      <c r="B73732"/>
      <c r="C73732"/>
      <c r="E73732"/>
      <c r="F73732"/>
    </row>
    <row r="73733" spans="1:6" x14ac:dyDescent="0.25">
      <c r="A73733"/>
      <c r="B73733"/>
      <c r="C73733"/>
      <c r="E73733"/>
      <c r="F73733"/>
    </row>
    <row r="73734" spans="1:6" x14ac:dyDescent="0.25">
      <c r="A73734"/>
      <c r="B73734"/>
      <c r="C73734"/>
      <c r="E73734"/>
      <c r="F73734"/>
    </row>
    <row r="73735" spans="1:6" x14ac:dyDescent="0.25">
      <c r="A73735"/>
      <c r="B73735"/>
      <c r="C73735"/>
      <c r="E73735"/>
      <c r="F73735"/>
    </row>
    <row r="73736" spans="1:6" x14ac:dyDescent="0.25">
      <c r="A73736"/>
      <c r="B73736"/>
      <c r="C73736"/>
      <c r="E73736"/>
      <c r="F73736"/>
    </row>
    <row r="73737" spans="1:6" x14ac:dyDescent="0.25">
      <c r="A73737"/>
      <c r="B73737"/>
      <c r="C73737"/>
      <c r="E73737"/>
      <c r="F73737"/>
    </row>
    <row r="73738" spans="1:6" x14ac:dyDescent="0.25">
      <c r="A73738"/>
      <c r="B73738"/>
      <c r="C73738"/>
      <c r="E73738"/>
      <c r="F73738"/>
    </row>
    <row r="73739" spans="1:6" x14ac:dyDescent="0.25">
      <c r="A73739"/>
      <c r="B73739"/>
      <c r="C73739"/>
      <c r="E73739"/>
      <c r="F73739"/>
    </row>
    <row r="73740" spans="1:6" x14ac:dyDescent="0.25">
      <c r="A73740"/>
      <c r="B73740"/>
      <c r="C73740"/>
      <c r="E73740"/>
      <c r="F73740"/>
    </row>
    <row r="73741" spans="1:6" x14ac:dyDescent="0.25">
      <c r="A73741"/>
      <c r="B73741"/>
      <c r="C73741"/>
      <c r="E73741"/>
      <c r="F73741"/>
    </row>
    <row r="73742" spans="1:6" x14ac:dyDescent="0.25">
      <c r="A73742"/>
      <c r="B73742"/>
      <c r="C73742"/>
      <c r="E73742"/>
      <c r="F73742"/>
    </row>
    <row r="73743" spans="1:6" x14ac:dyDescent="0.25">
      <c r="A73743"/>
      <c r="B73743"/>
      <c r="C73743"/>
      <c r="E73743"/>
      <c r="F73743"/>
    </row>
    <row r="73744" spans="1:6" x14ac:dyDescent="0.25">
      <c r="A73744"/>
      <c r="B73744"/>
      <c r="C73744"/>
      <c r="E73744"/>
      <c r="F73744"/>
    </row>
    <row r="73745" spans="1:6" x14ac:dyDescent="0.25">
      <c r="A73745"/>
      <c r="B73745"/>
      <c r="C73745"/>
      <c r="E73745"/>
      <c r="F73745"/>
    </row>
    <row r="73746" spans="1:6" x14ac:dyDescent="0.25">
      <c r="A73746"/>
      <c r="B73746"/>
      <c r="C73746"/>
      <c r="E73746"/>
      <c r="F73746"/>
    </row>
    <row r="73747" spans="1:6" x14ac:dyDescent="0.25">
      <c r="A73747"/>
      <c r="B73747"/>
      <c r="C73747"/>
      <c r="E73747"/>
      <c r="F73747"/>
    </row>
    <row r="73748" spans="1:6" x14ac:dyDescent="0.25">
      <c r="A73748"/>
      <c r="B73748"/>
      <c r="C73748"/>
      <c r="E73748"/>
      <c r="F73748"/>
    </row>
    <row r="73749" spans="1:6" x14ac:dyDescent="0.25">
      <c r="A73749"/>
      <c r="B73749"/>
      <c r="C73749"/>
      <c r="E73749"/>
      <c r="F73749"/>
    </row>
    <row r="73750" spans="1:6" x14ac:dyDescent="0.25">
      <c r="A73750"/>
      <c r="B73750"/>
      <c r="C73750"/>
      <c r="E73750"/>
      <c r="F73750"/>
    </row>
    <row r="73751" spans="1:6" x14ac:dyDescent="0.25">
      <c r="A73751"/>
      <c r="B73751"/>
      <c r="C73751"/>
      <c r="E73751"/>
      <c r="F73751"/>
    </row>
    <row r="73752" spans="1:6" x14ac:dyDescent="0.25">
      <c r="A73752"/>
      <c r="B73752"/>
      <c r="C73752"/>
      <c r="E73752"/>
      <c r="F73752"/>
    </row>
    <row r="73753" spans="1:6" x14ac:dyDescent="0.25">
      <c r="A73753"/>
      <c r="B73753"/>
      <c r="C73753"/>
      <c r="E73753"/>
      <c r="F73753"/>
    </row>
    <row r="73754" spans="1:6" x14ac:dyDescent="0.25">
      <c r="A73754"/>
      <c r="B73754"/>
      <c r="C73754"/>
      <c r="E73754"/>
      <c r="F73754"/>
    </row>
    <row r="73755" spans="1:6" x14ac:dyDescent="0.25">
      <c r="A73755"/>
      <c r="B73755"/>
      <c r="C73755"/>
      <c r="E73755"/>
      <c r="F73755"/>
    </row>
    <row r="73756" spans="1:6" x14ac:dyDescent="0.25">
      <c r="A73756"/>
      <c r="B73756"/>
      <c r="C73756"/>
      <c r="E73756"/>
      <c r="F73756"/>
    </row>
    <row r="73757" spans="1:6" x14ac:dyDescent="0.25">
      <c r="A73757"/>
      <c r="B73757"/>
      <c r="C73757"/>
      <c r="E73757"/>
      <c r="F73757"/>
    </row>
    <row r="73758" spans="1:6" x14ac:dyDescent="0.25">
      <c r="A73758"/>
      <c r="B73758"/>
      <c r="C73758"/>
      <c r="E73758"/>
      <c r="F73758"/>
    </row>
    <row r="73759" spans="1:6" x14ac:dyDescent="0.25">
      <c r="A73759"/>
      <c r="B73759"/>
      <c r="C73759"/>
      <c r="E73759"/>
      <c r="F73759"/>
    </row>
    <row r="73760" spans="1:6" x14ac:dyDescent="0.25">
      <c r="A73760"/>
      <c r="B73760"/>
      <c r="C73760"/>
      <c r="E73760"/>
      <c r="F73760"/>
    </row>
    <row r="73761" spans="1:6" x14ac:dyDescent="0.25">
      <c r="A73761"/>
      <c r="B73761"/>
      <c r="C73761"/>
      <c r="E73761"/>
      <c r="F73761"/>
    </row>
    <row r="73762" spans="1:6" x14ac:dyDescent="0.25">
      <c r="A73762"/>
      <c r="B73762"/>
      <c r="C73762"/>
      <c r="E73762"/>
      <c r="F73762"/>
    </row>
    <row r="73763" spans="1:6" x14ac:dyDescent="0.25">
      <c r="A73763"/>
      <c r="B73763"/>
      <c r="C73763"/>
      <c r="E73763"/>
      <c r="F73763"/>
    </row>
    <row r="73764" spans="1:6" x14ac:dyDescent="0.25">
      <c r="A73764"/>
      <c r="B73764"/>
      <c r="C73764"/>
      <c r="E73764"/>
      <c r="F73764"/>
    </row>
    <row r="73765" spans="1:6" x14ac:dyDescent="0.25">
      <c r="A73765"/>
      <c r="B73765"/>
      <c r="C73765"/>
      <c r="E73765"/>
      <c r="F73765"/>
    </row>
    <row r="73766" spans="1:6" x14ac:dyDescent="0.25">
      <c r="A73766"/>
      <c r="B73766"/>
      <c r="C73766"/>
      <c r="E73766"/>
      <c r="F73766"/>
    </row>
    <row r="73767" spans="1:6" x14ac:dyDescent="0.25">
      <c r="A73767"/>
      <c r="B73767"/>
      <c r="C73767"/>
      <c r="E73767"/>
      <c r="F73767"/>
    </row>
    <row r="73768" spans="1:6" x14ac:dyDescent="0.25">
      <c r="A73768"/>
      <c r="B73768"/>
      <c r="C73768"/>
      <c r="E73768"/>
      <c r="F73768"/>
    </row>
    <row r="73769" spans="1:6" x14ac:dyDescent="0.25">
      <c r="A73769"/>
      <c r="B73769"/>
      <c r="C73769"/>
      <c r="E73769"/>
      <c r="F73769"/>
    </row>
    <row r="73770" spans="1:6" x14ac:dyDescent="0.25">
      <c r="A73770"/>
      <c r="B73770"/>
      <c r="C73770"/>
      <c r="E73770"/>
      <c r="F73770"/>
    </row>
    <row r="73771" spans="1:6" x14ac:dyDescent="0.25">
      <c r="A73771"/>
      <c r="B73771"/>
      <c r="C73771"/>
      <c r="E73771"/>
      <c r="F73771"/>
    </row>
    <row r="73772" spans="1:6" x14ac:dyDescent="0.25">
      <c r="A73772"/>
      <c r="B73772"/>
      <c r="C73772"/>
      <c r="E73772"/>
      <c r="F73772"/>
    </row>
    <row r="73773" spans="1:6" x14ac:dyDescent="0.25">
      <c r="A73773"/>
      <c r="B73773"/>
      <c r="C73773"/>
      <c r="E73773"/>
      <c r="F73773"/>
    </row>
    <row r="73774" spans="1:6" x14ac:dyDescent="0.25">
      <c r="A73774"/>
      <c r="B73774"/>
      <c r="C73774"/>
      <c r="E73774"/>
      <c r="F73774"/>
    </row>
    <row r="73775" spans="1:6" x14ac:dyDescent="0.25">
      <c r="A73775"/>
      <c r="B73775"/>
      <c r="C73775"/>
      <c r="E73775"/>
      <c r="F73775"/>
    </row>
    <row r="73776" spans="1:6" x14ac:dyDescent="0.25">
      <c r="A73776"/>
      <c r="B73776"/>
      <c r="C73776"/>
      <c r="E73776"/>
      <c r="F73776"/>
    </row>
    <row r="73777" spans="1:6" x14ac:dyDescent="0.25">
      <c r="A73777"/>
      <c r="B73777"/>
      <c r="C73777"/>
      <c r="E73777"/>
      <c r="F73777"/>
    </row>
    <row r="73778" spans="1:6" x14ac:dyDescent="0.25">
      <c r="A73778"/>
      <c r="B73778"/>
      <c r="C73778"/>
      <c r="E73778"/>
      <c r="F73778"/>
    </row>
    <row r="73779" spans="1:6" x14ac:dyDescent="0.25">
      <c r="A73779"/>
      <c r="B73779"/>
      <c r="C73779"/>
      <c r="E73779"/>
      <c r="F73779"/>
    </row>
    <row r="73780" spans="1:6" x14ac:dyDescent="0.25">
      <c r="A73780"/>
      <c r="B73780"/>
      <c r="C73780"/>
      <c r="E73780"/>
      <c r="F73780"/>
    </row>
    <row r="73781" spans="1:6" x14ac:dyDescent="0.25">
      <c r="A73781"/>
      <c r="B73781"/>
      <c r="C73781"/>
      <c r="E73781"/>
      <c r="F73781"/>
    </row>
    <row r="73782" spans="1:6" x14ac:dyDescent="0.25">
      <c r="A73782"/>
      <c r="B73782"/>
      <c r="C73782"/>
      <c r="E73782"/>
      <c r="F73782"/>
    </row>
    <row r="73783" spans="1:6" x14ac:dyDescent="0.25">
      <c r="A73783"/>
      <c r="B73783"/>
      <c r="C73783"/>
      <c r="E73783"/>
      <c r="F73783"/>
    </row>
    <row r="73784" spans="1:6" x14ac:dyDescent="0.25">
      <c r="A73784"/>
      <c r="B73784"/>
      <c r="C73784"/>
      <c r="E73784"/>
      <c r="F73784"/>
    </row>
    <row r="73785" spans="1:6" x14ac:dyDescent="0.25">
      <c r="A73785"/>
      <c r="B73785"/>
      <c r="C73785"/>
      <c r="E73785"/>
      <c r="F73785"/>
    </row>
    <row r="73786" spans="1:6" x14ac:dyDescent="0.25">
      <c r="A73786"/>
      <c r="B73786"/>
      <c r="C73786"/>
      <c r="E73786"/>
      <c r="F73786"/>
    </row>
    <row r="73787" spans="1:6" x14ac:dyDescent="0.25">
      <c r="A73787"/>
      <c r="B73787"/>
      <c r="C73787"/>
      <c r="E73787"/>
      <c r="F73787"/>
    </row>
    <row r="73788" spans="1:6" x14ac:dyDescent="0.25">
      <c r="A73788"/>
      <c r="B73788"/>
      <c r="C73788"/>
      <c r="E73788"/>
      <c r="F73788"/>
    </row>
    <row r="73789" spans="1:6" x14ac:dyDescent="0.25">
      <c r="A73789"/>
      <c r="B73789"/>
      <c r="C73789"/>
      <c r="E73789"/>
      <c r="F73789"/>
    </row>
    <row r="73790" spans="1:6" x14ac:dyDescent="0.25">
      <c r="A73790"/>
      <c r="B73790"/>
      <c r="C73790"/>
      <c r="E73790"/>
      <c r="F73790"/>
    </row>
    <row r="73791" spans="1:6" x14ac:dyDescent="0.25">
      <c r="A73791"/>
      <c r="B73791"/>
      <c r="C73791"/>
      <c r="E73791"/>
      <c r="F73791"/>
    </row>
    <row r="73792" spans="1:6" x14ac:dyDescent="0.25">
      <c r="A73792"/>
      <c r="B73792"/>
      <c r="C73792"/>
      <c r="E73792"/>
      <c r="F73792"/>
    </row>
    <row r="73793" spans="1:6" x14ac:dyDescent="0.25">
      <c r="A73793"/>
      <c r="B73793"/>
      <c r="C73793"/>
      <c r="E73793"/>
      <c r="F73793"/>
    </row>
    <row r="73794" spans="1:6" x14ac:dyDescent="0.25">
      <c r="A73794"/>
      <c r="B73794"/>
      <c r="C73794"/>
      <c r="E73794"/>
      <c r="F73794"/>
    </row>
    <row r="73795" spans="1:6" x14ac:dyDescent="0.25">
      <c r="A73795"/>
      <c r="B73795"/>
      <c r="C73795"/>
      <c r="E73795"/>
      <c r="F73795"/>
    </row>
    <row r="73796" spans="1:6" x14ac:dyDescent="0.25">
      <c r="A73796"/>
      <c r="B73796"/>
      <c r="C73796"/>
      <c r="E73796"/>
      <c r="F73796"/>
    </row>
    <row r="73797" spans="1:6" x14ac:dyDescent="0.25">
      <c r="A73797"/>
      <c r="B73797"/>
      <c r="C73797"/>
      <c r="E73797"/>
      <c r="F73797"/>
    </row>
    <row r="73798" spans="1:6" x14ac:dyDescent="0.25">
      <c r="A73798"/>
      <c r="B73798"/>
      <c r="C73798"/>
      <c r="E73798"/>
      <c r="F73798"/>
    </row>
    <row r="73799" spans="1:6" x14ac:dyDescent="0.25">
      <c r="A73799"/>
      <c r="B73799"/>
      <c r="C73799"/>
      <c r="E73799"/>
      <c r="F73799"/>
    </row>
    <row r="73800" spans="1:6" x14ac:dyDescent="0.25">
      <c r="A73800"/>
      <c r="B73800"/>
      <c r="C73800"/>
      <c r="E73800"/>
      <c r="F73800"/>
    </row>
    <row r="73801" spans="1:6" x14ac:dyDescent="0.25">
      <c r="A73801"/>
      <c r="B73801"/>
      <c r="C73801"/>
      <c r="E73801"/>
      <c r="F73801"/>
    </row>
    <row r="73802" spans="1:6" x14ac:dyDescent="0.25">
      <c r="A73802"/>
      <c r="B73802"/>
      <c r="C73802"/>
      <c r="E73802"/>
      <c r="F73802"/>
    </row>
    <row r="73803" spans="1:6" x14ac:dyDescent="0.25">
      <c r="A73803"/>
      <c r="B73803"/>
      <c r="C73803"/>
      <c r="E73803"/>
      <c r="F73803"/>
    </row>
    <row r="73804" spans="1:6" x14ac:dyDescent="0.25">
      <c r="A73804"/>
      <c r="B73804"/>
      <c r="C73804"/>
      <c r="E73804"/>
      <c r="F73804"/>
    </row>
    <row r="73805" spans="1:6" x14ac:dyDescent="0.25">
      <c r="A73805"/>
      <c r="B73805"/>
      <c r="C73805"/>
      <c r="E73805"/>
      <c r="F73805"/>
    </row>
    <row r="73806" spans="1:6" x14ac:dyDescent="0.25">
      <c r="A73806"/>
      <c r="B73806"/>
      <c r="C73806"/>
      <c r="E73806"/>
      <c r="F73806"/>
    </row>
    <row r="73807" spans="1:6" x14ac:dyDescent="0.25">
      <c r="A73807"/>
      <c r="B73807"/>
      <c r="C73807"/>
      <c r="E73807"/>
      <c r="F73807"/>
    </row>
    <row r="73808" spans="1:6" x14ac:dyDescent="0.25">
      <c r="A73808"/>
      <c r="B73808"/>
      <c r="C73808"/>
      <c r="E73808"/>
      <c r="F73808"/>
    </row>
    <row r="73809" spans="1:6" x14ac:dyDescent="0.25">
      <c r="A73809"/>
      <c r="B73809"/>
      <c r="C73809"/>
      <c r="E73809"/>
      <c r="F73809"/>
    </row>
    <row r="73810" spans="1:6" x14ac:dyDescent="0.25">
      <c r="A73810"/>
      <c r="B73810"/>
      <c r="C73810"/>
      <c r="E73810"/>
      <c r="F73810"/>
    </row>
    <row r="73811" spans="1:6" x14ac:dyDescent="0.25">
      <c r="A73811"/>
      <c r="B73811"/>
      <c r="C73811"/>
      <c r="E73811"/>
      <c r="F73811"/>
    </row>
    <row r="73812" spans="1:6" x14ac:dyDescent="0.25">
      <c r="A73812"/>
      <c r="B73812"/>
      <c r="C73812"/>
      <c r="E73812"/>
      <c r="F73812"/>
    </row>
    <row r="73813" spans="1:6" x14ac:dyDescent="0.25">
      <c r="A73813"/>
      <c r="B73813"/>
      <c r="C73813"/>
      <c r="E73813"/>
      <c r="F73813"/>
    </row>
    <row r="73814" spans="1:6" x14ac:dyDescent="0.25">
      <c r="A73814"/>
      <c r="B73814"/>
      <c r="C73814"/>
      <c r="E73814"/>
      <c r="F73814"/>
    </row>
    <row r="73815" spans="1:6" x14ac:dyDescent="0.25">
      <c r="A73815"/>
      <c r="B73815"/>
      <c r="C73815"/>
      <c r="E73815"/>
      <c r="F73815"/>
    </row>
    <row r="73816" spans="1:6" x14ac:dyDescent="0.25">
      <c r="A73816"/>
      <c r="B73816"/>
      <c r="C73816"/>
      <c r="E73816"/>
      <c r="F73816"/>
    </row>
    <row r="73817" spans="1:6" x14ac:dyDescent="0.25">
      <c r="A73817"/>
      <c r="B73817"/>
      <c r="C73817"/>
      <c r="E73817"/>
      <c r="F73817"/>
    </row>
    <row r="73818" spans="1:6" x14ac:dyDescent="0.25">
      <c r="A73818"/>
      <c r="B73818"/>
      <c r="C73818"/>
      <c r="E73818"/>
      <c r="F73818"/>
    </row>
    <row r="73819" spans="1:6" x14ac:dyDescent="0.25">
      <c r="A73819"/>
      <c r="B73819"/>
      <c r="C73819"/>
      <c r="E73819"/>
      <c r="F73819"/>
    </row>
    <row r="73820" spans="1:6" x14ac:dyDescent="0.25">
      <c r="A73820"/>
      <c r="B73820"/>
      <c r="C73820"/>
      <c r="E73820"/>
      <c r="F73820"/>
    </row>
    <row r="73821" spans="1:6" x14ac:dyDescent="0.25">
      <c r="A73821"/>
      <c r="B73821"/>
      <c r="C73821"/>
      <c r="E73821"/>
      <c r="F73821"/>
    </row>
    <row r="73822" spans="1:6" x14ac:dyDescent="0.25">
      <c r="A73822"/>
      <c r="B73822"/>
      <c r="C73822"/>
      <c r="E73822"/>
      <c r="F73822"/>
    </row>
    <row r="73823" spans="1:6" x14ac:dyDescent="0.25">
      <c r="A73823"/>
      <c r="B73823"/>
      <c r="C73823"/>
      <c r="E73823"/>
      <c r="F73823"/>
    </row>
    <row r="73824" spans="1:6" x14ac:dyDescent="0.25">
      <c r="A73824"/>
      <c r="B73824"/>
      <c r="C73824"/>
      <c r="E73824"/>
      <c r="F73824"/>
    </row>
    <row r="73825" spans="1:6" x14ac:dyDescent="0.25">
      <c r="A73825"/>
      <c r="B73825"/>
      <c r="C73825"/>
      <c r="E73825"/>
      <c r="F73825"/>
    </row>
    <row r="73826" spans="1:6" x14ac:dyDescent="0.25">
      <c r="A73826"/>
      <c r="B73826"/>
      <c r="C73826"/>
      <c r="E73826"/>
      <c r="F73826"/>
    </row>
    <row r="73827" spans="1:6" x14ac:dyDescent="0.25">
      <c r="A73827"/>
      <c r="B73827"/>
      <c r="C73827"/>
      <c r="E73827"/>
      <c r="F73827"/>
    </row>
    <row r="73828" spans="1:6" x14ac:dyDescent="0.25">
      <c r="A73828"/>
      <c r="B73828"/>
      <c r="C73828"/>
      <c r="E73828"/>
      <c r="F73828"/>
    </row>
    <row r="73829" spans="1:6" x14ac:dyDescent="0.25">
      <c r="A73829"/>
      <c r="B73829"/>
      <c r="C73829"/>
      <c r="E73829"/>
      <c r="F73829"/>
    </row>
    <row r="73830" spans="1:6" x14ac:dyDescent="0.25">
      <c r="A73830"/>
      <c r="B73830"/>
      <c r="C73830"/>
      <c r="E73830"/>
      <c r="F73830"/>
    </row>
    <row r="73831" spans="1:6" x14ac:dyDescent="0.25">
      <c r="A73831"/>
      <c r="B73831"/>
      <c r="C73831"/>
      <c r="E73831"/>
      <c r="F73831"/>
    </row>
    <row r="73832" spans="1:6" x14ac:dyDescent="0.25">
      <c r="A73832"/>
      <c r="B73832"/>
      <c r="C73832"/>
      <c r="E73832"/>
      <c r="F73832"/>
    </row>
    <row r="73833" spans="1:6" x14ac:dyDescent="0.25">
      <c r="A73833"/>
      <c r="B73833"/>
      <c r="C73833"/>
      <c r="E73833"/>
      <c r="F73833"/>
    </row>
    <row r="73834" spans="1:6" x14ac:dyDescent="0.25">
      <c r="A73834"/>
      <c r="B73834"/>
      <c r="C73834"/>
      <c r="E73834"/>
      <c r="F73834"/>
    </row>
    <row r="73835" spans="1:6" x14ac:dyDescent="0.25">
      <c r="A73835"/>
      <c r="B73835"/>
      <c r="C73835"/>
      <c r="E73835"/>
      <c r="F73835"/>
    </row>
    <row r="73836" spans="1:6" x14ac:dyDescent="0.25">
      <c r="A73836"/>
      <c r="B73836"/>
      <c r="C73836"/>
      <c r="E73836"/>
      <c r="F73836"/>
    </row>
    <row r="73837" spans="1:6" x14ac:dyDescent="0.25">
      <c r="A73837"/>
      <c r="B73837"/>
      <c r="C73837"/>
      <c r="E73837"/>
      <c r="F73837"/>
    </row>
    <row r="73838" spans="1:6" x14ac:dyDescent="0.25">
      <c r="A73838"/>
      <c r="B73838"/>
      <c r="C73838"/>
      <c r="E73838"/>
      <c r="F73838"/>
    </row>
    <row r="73839" spans="1:6" x14ac:dyDescent="0.25">
      <c r="A73839"/>
      <c r="B73839"/>
      <c r="C73839"/>
      <c r="E73839"/>
      <c r="F73839"/>
    </row>
    <row r="73840" spans="1:6" x14ac:dyDescent="0.25">
      <c r="A73840"/>
      <c r="B73840"/>
      <c r="C73840"/>
      <c r="E73840"/>
      <c r="F73840"/>
    </row>
    <row r="73841" spans="1:6" x14ac:dyDescent="0.25">
      <c r="A73841"/>
      <c r="B73841"/>
      <c r="C73841"/>
      <c r="E73841"/>
      <c r="F73841"/>
    </row>
    <row r="73842" spans="1:6" x14ac:dyDescent="0.25">
      <c r="A73842"/>
      <c r="B73842"/>
      <c r="C73842"/>
      <c r="E73842"/>
      <c r="F73842"/>
    </row>
    <row r="73843" spans="1:6" x14ac:dyDescent="0.25">
      <c r="A73843"/>
      <c r="B73843"/>
      <c r="C73843"/>
      <c r="E73843"/>
      <c r="F73843"/>
    </row>
    <row r="73844" spans="1:6" x14ac:dyDescent="0.25">
      <c r="A73844"/>
      <c r="B73844"/>
      <c r="C73844"/>
      <c r="E73844"/>
      <c r="F73844"/>
    </row>
    <row r="73845" spans="1:6" x14ac:dyDescent="0.25">
      <c r="A73845"/>
      <c r="B73845"/>
      <c r="C73845"/>
      <c r="E73845"/>
      <c r="F73845"/>
    </row>
    <row r="73846" spans="1:6" x14ac:dyDescent="0.25">
      <c r="A73846"/>
      <c r="B73846"/>
      <c r="C73846"/>
      <c r="E73846"/>
      <c r="F73846"/>
    </row>
    <row r="73847" spans="1:6" x14ac:dyDescent="0.25">
      <c r="A73847"/>
      <c r="B73847"/>
      <c r="C73847"/>
      <c r="E73847"/>
      <c r="F73847"/>
    </row>
    <row r="73848" spans="1:6" x14ac:dyDescent="0.25">
      <c r="A73848"/>
      <c r="B73848"/>
      <c r="C73848"/>
      <c r="E73848"/>
      <c r="F73848"/>
    </row>
    <row r="73849" spans="1:6" x14ac:dyDescent="0.25">
      <c r="A73849"/>
      <c r="B73849"/>
      <c r="C73849"/>
      <c r="E73849"/>
      <c r="F73849"/>
    </row>
    <row r="73850" spans="1:6" x14ac:dyDescent="0.25">
      <c r="A73850"/>
      <c r="B73850"/>
      <c r="C73850"/>
      <c r="E73850"/>
      <c r="F73850"/>
    </row>
    <row r="73851" spans="1:6" x14ac:dyDescent="0.25">
      <c r="A73851"/>
      <c r="B73851"/>
      <c r="C73851"/>
      <c r="E73851"/>
      <c r="F73851"/>
    </row>
    <row r="73852" spans="1:6" x14ac:dyDescent="0.25">
      <c r="A73852"/>
      <c r="B73852"/>
      <c r="C73852"/>
      <c r="E73852"/>
      <c r="F73852"/>
    </row>
    <row r="73853" spans="1:6" x14ac:dyDescent="0.25">
      <c r="A73853"/>
      <c r="B73853"/>
      <c r="C73853"/>
      <c r="E73853"/>
      <c r="F73853"/>
    </row>
    <row r="73854" spans="1:6" x14ac:dyDescent="0.25">
      <c r="A73854"/>
      <c r="B73854"/>
      <c r="C73854"/>
      <c r="E73854"/>
      <c r="F73854"/>
    </row>
    <row r="73855" spans="1:6" x14ac:dyDescent="0.25">
      <c r="A73855"/>
      <c r="B73855"/>
      <c r="C73855"/>
      <c r="E73855"/>
      <c r="F73855"/>
    </row>
    <row r="73856" spans="1:6" x14ac:dyDescent="0.25">
      <c r="A73856"/>
      <c r="B73856"/>
      <c r="C73856"/>
      <c r="E73856"/>
      <c r="F73856"/>
    </row>
    <row r="73857" spans="1:6" x14ac:dyDescent="0.25">
      <c r="A73857"/>
      <c r="B73857"/>
      <c r="C73857"/>
      <c r="E73857"/>
      <c r="F73857"/>
    </row>
    <row r="73858" spans="1:6" x14ac:dyDescent="0.25">
      <c r="A73858"/>
      <c r="B73858"/>
      <c r="C73858"/>
      <c r="E73858"/>
      <c r="F73858"/>
    </row>
    <row r="73859" spans="1:6" x14ac:dyDescent="0.25">
      <c r="A73859"/>
      <c r="B73859"/>
      <c r="C73859"/>
      <c r="E73859"/>
      <c r="F73859"/>
    </row>
    <row r="73860" spans="1:6" x14ac:dyDescent="0.25">
      <c r="A73860"/>
      <c r="B73860"/>
      <c r="C73860"/>
      <c r="E73860"/>
      <c r="F73860"/>
    </row>
    <row r="73861" spans="1:6" x14ac:dyDescent="0.25">
      <c r="A73861"/>
      <c r="B73861"/>
      <c r="C73861"/>
      <c r="E73861"/>
      <c r="F73861"/>
    </row>
    <row r="73862" spans="1:6" x14ac:dyDescent="0.25">
      <c r="A73862"/>
      <c r="B73862"/>
      <c r="C73862"/>
      <c r="E73862"/>
      <c r="F73862"/>
    </row>
    <row r="73863" spans="1:6" x14ac:dyDescent="0.25">
      <c r="A73863"/>
      <c r="B73863"/>
      <c r="C73863"/>
      <c r="E73863"/>
      <c r="F73863"/>
    </row>
    <row r="73864" spans="1:6" x14ac:dyDescent="0.25">
      <c r="A73864"/>
      <c r="B73864"/>
      <c r="C73864"/>
      <c r="E73864"/>
      <c r="F73864"/>
    </row>
    <row r="73865" spans="1:6" x14ac:dyDescent="0.25">
      <c r="A73865"/>
      <c r="B73865"/>
      <c r="C73865"/>
      <c r="E73865"/>
      <c r="F73865"/>
    </row>
    <row r="73866" spans="1:6" x14ac:dyDescent="0.25">
      <c r="A73866"/>
      <c r="B73866"/>
      <c r="C73866"/>
      <c r="E73866"/>
      <c r="F73866"/>
    </row>
    <row r="73867" spans="1:6" x14ac:dyDescent="0.25">
      <c r="A73867"/>
      <c r="B73867"/>
      <c r="C73867"/>
      <c r="E73867"/>
      <c r="F73867"/>
    </row>
    <row r="73868" spans="1:6" x14ac:dyDescent="0.25">
      <c r="A73868"/>
      <c r="B73868"/>
      <c r="C73868"/>
      <c r="E73868"/>
      <c r="F73868"/>
    </row>
    <row r="73869" spans="1:6" x14ac:dyDescent="0.25">
      <c r="A73869"/>
      <c r="B73869"/>
      <c r="C73869"/>
      <c r="E73869"/>
      <c r="F73869"/>
    </row>
    <row r="73870" spans="1:6" x14ac:dyDescent="0.25">
      <c r="A73870"/>
      <c r="B73870"/>
      <c r="C73870"/>
      <c r="E73870"/>
      <c r="F73870"/>
    </row>
    <row r="73871" spans="1:6" x14ac:dyDescent="0.25">
      <c r="A73871"/>
      <c r="B73871"/>
      <c r="C73871"/>
      <c r="E73871"/>
      <c r="F73871"/>
    </row>
    <row r="73872" spans="1:6" x14ac:dyDescent="0.25">
      <c r="A73872"/>
      <c r="B73872"/>
      <c r="C73872"/>
      <c r="E73872"/>
      <c r="F73872"/>
    </row>
    <row r="73873" spans="1:6" x14ac:dyDescent="0.25">
      <c r="A73873"/>
      <c r="B73873"/>
      <c r="C73873"/>
      <c r="E73873"/>
      <c r="F73873"/>
    </row>
    <row r="73874" spans="1:6" x14ac:dyDescent="0.25">
      <c r="A73874"/>
      <c r="B73874"/>
      <c r="C73874"/>
      <c r="E73874"/>
      <c r="F73874"/>
    </row>
    <row r="73875" spans="1:6" x14ac:dyDescent="0.25">
      <c r="A73875"/>
      <c r="B73875"/>
      <c r="C73875"/>
      <c r="E73875"/>
      <c r="F73875"/>
    </row>
    <row r="73876" spans="1:6" x14ac:dyDescent="0.25">
      <c r="A73876"/>
      <c r="B73876"/>
      <c r="C73876"/>
      <c r="E73876"/>
      <c r="F73876"/>
    </row>
    <row r="73877" spans="1:6" x14ac:dyDescent="0.25">
      <c r="A73877"/>
      <c r="B73877"/>
      <c r="C73877"/>
      <c r="E73877"/>
      <c r="F73877"/>
    </row>
    <row r="73878" spans="1:6" x14ac:dyDescent="0.25">
      <c r="A73878"/>
      <c r="B73878"/>
      <c r="C73878"/>
      <c r="E73878"/>
      <c r="F73878"/>
    </row>
    <row r="73879" spans="1:6" x14ac:dyDescent="0.25">
      <c r="A73879"/>
      <c r="B73879"/>
      <c r="C73879"/>
      <c r="E73879"/>
      <c r="F73879"/>
    </row>
    <row r="73880" spans="1:6" x14ac:dyDescent="0.25">
      <c r="A73880"/>
      <c r="B73880"/>
      <c r="C73880"/>
      <c r="E73880"/>
      <c r="F73880"/>
    </row>
    <row r="73881" spans="1:6" x14ac:dyDescent="0.25">
      <c r="A73881"/>
      <c r="B73881"/>
      <c r="C73881"/>
      <c r="E73881"/>
      <c r="F73881"/>
    </row>
    <row r="73882" spans="1:6" x14ac:dyDescent="0.25">
      <c r="A73882"/>
      <c r="B73882"/>
      <c r="C73882"/>
      <c r="E73882"/>
      <c r="F73882"/>
    </row>
    <row r="73883" spans="1:6" x14ac:dyDescent="0.25">
      <c r="A73883"/>
      <c r="B73883"/>
      <c r="C73883"/>
      <c r="E73883"/>
      <c r="F73883"/>
    </row>
    <row r="73884" spans="1:6" x14ac:dyDescent="0.25">
      <c r="A73884"/>
      <c r="B73884"/>
      <c r="C73884"/>
      <c r="E73884"/>
      <c r="F73884"/>
    </row>
    <row r="73885" spans="1:6" x14ac:dyDescent="0.25">
      <c r="A73885"/>
      <c r="B73885"/>
      <c r="C73885"/>
      <c r="E73885"/>
      <c r="F73885"/>
    </row>
    <row r="73886" spans="1:6" x14ac:dyDescent="0.25">
      <c r="A73886"/>
      <c r="B73886"/>
      <c r="C73886"/>
      <c r="E73886"/>
      <c r="F73886"/>
    </row>
    <row r="73887" spans="1:6" x14ac:dyDescent="0.25">
      <c r="A73887"/>
      <c r="B73887"/>
      <c r="C73887"/>
      <c r="E73887"/>
      <c r="F73887"/>
    </row>
    <row r="73888" spans="1:6" x14ac:dyDescent="0.25">
      <c r="A73888"/>
      <c r="B73888"/>
      <c r="C73888"/>
      <c r="E73888"/>
      <c r="F73888"/>
    </row>
    <row r="73889" spans="1:6" x14ac:dyDescent="0.25">
      <c r="A73889"/>
      <c r="B73889"/>
      <c r="C73889"/>
      <c r="E73889"/>
      <c r="F73889"/>
    </row>
    <row r="73890" spans="1:6" x14ac:dyDescent="0.25">
      <c r="A73890"/>
      <c r="B73890"/>
      <c r="C73890"/>
      <c r="E73890"/>
      <c r="F73890"/>
    </row>
    <row r="73891" spans="1:6" x14ac:dyDescent="0.25">
      <c r="A73891"/>
      <c r="B73891"/>
      <c r="C73891"/>
      <c r="E73891"/>
      <c r="F73891"/>
    </row>
    <row r="73892" spans="1:6" x14ac:dyDescent="0.25">
      <c r="A73892"/>
      <c r="B73892"/>
      <c r="C73892"/>
      <c r="E73892"/>
      <c r="F73892"/>
    </row>
    <row r="73893" spans="1:6" x14ac:dyDescent="0.25">
      <c r="A73893"/>
      <c r="B73893"/>
      <c r="C73893"/>
      <c r="E73893"/>
      <c r="F73893"/>
    </row>
    <row r="73894" spans="1:6" x14ac:dyDescent="0.25">
      <c r="A73894"/>
      <c r="B73894"/>
      <c r="C73894"/>
      <c r="E73894"/>
      <c r="F73894"/>
    </row>
    <row r="73895" spans="1:6" x14ac:dyDescent="0.25">
      <c r="A73895"/>
      <c r="B73895"/>
      <c r="C73895"/>
      <c r="E73895"/>
      <c r="F73895"/>
    </row>
    <row r="73896" spans="1:6" x14ac:dyDescent="0.25">
      <c r="A73896"/>
      <c r="B73896"/>
      <c r="C73896"/>
      <c r="E73896"/>
      <c r="F73896"/>
    </row>
    <row r="73897" spans="1:6" x14ac:dyDescent="0.25">
      <c r="A73897"/>
      <c r="B73897"/>
      <c r="C73897"/>
      <c r="E73897"/>
      <c r="F73897"/>
    </row>
    <row r="73898" spans="1:6" x14ac:dyDescent="0.25">
      <c r="A73898"/>
      <c r="B73898"/>
      <c r="C73898"/>
      <c r="E73898"/>
      <c r="F73898"/>
    </row>
    <row r="73899" spans="1:6" x14ac:dyDescent="0.25">
      <c r="A73899"/>
      <c r="B73899"/>
      <c r="C73899"/>
      <c r="E73899"/>
      <c r="F73899"/>
    </row>
    <row r="73900" spans="1:6" x14ac:dyDescent="0.25">
      <c r="A73900"/>
      <c r="B73900"/>
      <c r="C73900"/>
      <c r="E73900"/>
      <c r="F73900"/>
    </row>
    <row r="73901" spans="1:6" x14ac:dyDescent="0.25">
      <c r="A73901"/>
      <c r="B73901"/>
      <c r="C73901"/>
      <c r="E73901"/>
      <c r="F73901"/>
    </row>
    <row r="73902" spans="1:6" x14ac:dyDescent="0.25">
      <c r="A73902"/>
      <c r="B73902"/>
      <c r="C73902"/>
      <c r="E73902"/>
      <c r="F73902"/>
    </row>
    <row r="73903" spans="1:6" x14ac:dyDescent="0.25">
      <c r="A73903"/>
      <c r="B73903"/>
      <c r="C73903"/>
      <c r="E73903"/>
      <c r="F73903"/>
    </row>
    <row r="73904" spans="1:6" x14ac:dyDescent="0.25">
      <c r="A73904"/>
      <c r="B73904"/>
      <c r="C73904"/>
      <c r="E73904"/>
      <c r="F73904"/>
    </row>
    <row r="73905" spans="1:6" x14ac:dyDescent="0.25">
      <c r="A73905"/>
      <c r="B73905"/>
      <c r="C73905"/>
      <c r="E73905"/>
      <c r="F73905"/>
    </row>
    <row r="73906" spans="1:6" x14ac:dyDescent="0.25">
      <c r="A73906"/>
      <c r="B73906"/>
      <c r="C73906"/>
      <c r="E73906"/>
      <c r="F73906"/>
    </row>
    <row r="73907" spans="1:6" x14ac:dyDescent="0.25">
      <c r="A73907"/>
      <c r="B73907"/>
      <c r="C73907"/>
      <c r="E73907"/>
      <c r="F73907"/>
    </row>
    <row r="73908" spans="1:6" x14ac:dyDescent="0.25">
      <c r="A73908"/>
      <c r="B73908"/>
      <c r="C73908"/>
      <c r="E73908"/>
      <c r="F73908"/>
    </row>
    <row r="73909" spans="1:6" x14ac:dyDescent="0.25">
      <c r="A73909"/>
      <c r="B73909"/>
      <c r="C73909"/>
      <c r="E73909"/>
      <c r="F73909"/>
    </row>
    <row r="73910" spans="1:6" x14ac:dyDescent="0.25">
      <c r="A73910"/>
      <c r="B73910"/>
      <c r="C73910"/>
      <c r="E73910"/>
      <c r="F73910"/>
    </row>
    <row r="73911" spans="1:6" x14ac:dyDescent="0.25">
      <c r="A73911"/>
      <c r="B73911"/>
      <c r="C73911"/>
      <c r="E73911"/>
      <c r="F73911"/>
    </row>
    <row r="73912" spans="1:6" x14ac:dyDescent="0.25">
      <c r="A73912"/>
      <c r="B73912"/>
      <c r="C73912"/>
      <c r="E73912"/>
      <c r="F73912"/>
    </row>
    <row r="73913" spans="1:6" x14ac:dyDescent="0.25">
      <c r="A73913"/>
      <c r="B73913"/>
      <c r="C73913"/>
      <c r="E73913"/>
      <c r="F73913"/>
    </row>
    <row r="73914" spans="1:6" x14ac:dyDescent="0.25">
      <c r="A73914"/>
      <c r="B73914"/>
      <c r="C73914"/>
      <c r="E73914"/>
      <c r="F73914"/>
    </row>
    <row r="73915" spans="1:6" x14ac:dyDescent="0.25">
      <c r="A73915"/>
      <c r="B73915"/>
      <c r="C73915"/>
      <c r="E73915"/>
      <c r="F73915"/>
    </row>
    <row r="73916" spans="1:6" x14ac:dyDescent="0.25">
      <c r="A73916"/>
      <c r="B73916"/>
      <c r="C73916"/>
      <c r="E73916"/>
      <c r="F73916"/>
    </row>
    <row r="73917" spans="1:6" x14ac:dyDescent="0.25">
      <c r="A73917"/>
      <c r="B73917"/>
      <c r="C73917"/>
      <c r="E73917"/>
      <c r="F73917"/>
    </row>
    <row r="73918" spans="1:6" x14ac:dyDescent="0.25">
      <c r="A73918"/>
      <c r="B73918"/>
      <c r="C73918"/>
      <c r="E73918"/>
      <c r="F73918"/>
    </row>
    <row r="73919" spans="1:6" x14ac:dyDescent="0.25">
      <c r="A73919"/>
      <c r="B73919"/>
      <c r="C73919"/>
      <c r="E73919"/>
      <c r="F73919"/>
    </row>
    <row r="73920" spans="1:6" x14ac:dyDescent="0.25">
      <c r="A73920"/>
      <c r="B73920"/>
      <c r="C73920"/>
      <c r="E73920"/>
      <c r="F73920"/>
    </row>
    <row r="73921" spans="1:6" x14ac:dyDescent="0.25">
      <c r="A73921"/>
      <c r="B73921"/>
      <c r="C73921"/>
      <c r="E73921"/>
      <c r="F73921"/>
    </row>
    <row r="73922" spans="1:6" x14ac:dyDescent="0.25">
      <c r="A73922"/>
      <c r="B73922"/>
      <c r="C73922"/>
      <c r="E73922"/>
      <c r="F73922"/>
    </row>
    <row r="73923" spans="1:6" x14ac:dyDescent="0.25">
      <c r="A73923"/>
      <c r="B73923"/>
      <c r="C73923"/>
      <c r="E73923"/>
      <c r="F73923"/>
    </row>
    <row r="73924" spans="1:6" x14ac:dyDescent="0.25">
      <c r="A73924"/>
      <c r="B73924"/>
      <c r="C73924"/>
      <c r="E73924"/>
      <c r="F73924"/>
    </row>
    <row r="73925" spans="1:6" x14ac:dyDescent="0.25">
      <c r="A73925"/>
      <c r="B73925"/>
      <c r="C73925"/>
      <c r="E73925"/>
      <c r="F73925"/>
    </row>
    <row r="73926" spans="1:6" x14ac:dyDescent="0.25">
      <c r="A73926"/>
      <c r="B73926"/>
      <c r="C73926"/>
      <c r="E73926"/>
      <c r="F73926"/>
    </row>
    <row r="73927" spans="1:6" x14ac:dyDescent="0.25">
      <c r="A73927"/>
      <c r="B73927"/>
      <c r="C73927"/>
      <c r="E73927"/>
      <c r="F73927"/>
    </row>
    <row r="73928" spans="1:6" x14ac:dyDescent="0.25">
      <c r="A73928"/>
      <c r="B73928"/>
      <c r="C73928"/>
      <c r="E73928"/>
      <c r="F73928"/>
    </row>
    <row r="73929" spans="1:6" x14ac:dyDescent="0.25">
      <c r="A73929"/>
      <c r="B73929"/>
      <c r="C73929"/>
      <c r="E73929"/>
      <c r="F73929"/>
    </row>
    <row r="73930" spans="1:6" x14ac:dyDescent="0.25">
      <c r="A73930"/>
      <c r="B73930"/>
      <c r="C73930"/>
      <c r="E73930"/>
      <c r="F73930"/>
    </row>
    <row r="73931" spans="1:6" x14ac:dyDescent="0.25">
      <c r="A73931"/>
      <c r="B73931"/>
      <c r="C73931"/>
      <c r="E73931"/>
      <c r="F73931"/>
    </row>
    <row r="73932" spans="1:6" x14ac:dyDescent="0.25">
      <c r="A73932"/>
      <c r="B73932"/>
      <c r="C73932"/>
      <c r="E73932"/>
      <c r="F73932"/>
    </row>
    <row r="73933" spans="1:6" x14ac:dyDescent="0.25">
      <c r="A73933"/>
      <c r="B73933"/>
      <c r="C73933"/>
      <c r="E73933"/>
      <c r="F73933"/>
    </row>
    <row r="73934" spans="1:6" x14ac:dyDescent="0.25">
      <c r="A73934"/>
      <c r="B73934"/>
      <c r="C73934"/>
      <c r="E73934"/>
      <c r="F73934"/>
    </row>
    <row r="73935" spans="1:6" x14ac:dyDescent="0.25">
      <c r="A73935"/>
      <c r="B73935"/>
      <c r="C73935"/>
      <c r="E73935"/>
      <c r="F73935"/>
    </row>
    <row r="73936" spans="1:6" x14ac:dyDescent="0.25">
      <c r="A73936"/>
      <c r="B73936"/>
      <c r="C73936"/>
      <c r="E73936"/>
      <c r="F73936"/>
    </row>
    <row r="73937" spans="1:6" x14ac:dyDescent="0.25">
      <c r="A73937"/>
      <c r="B73937"/>
      <c r="C73937"/>
      <c r="E73937"/>
      <c r="F73937"/>
    </row>
    <row r="73938" spans="1:6" x14ac:dyDescent="0.25">
      <c r="A73938"/>
      <c r="B73938"/>
      <c r="C73938"/>
      <c r="E73938"/>
      <c r="F73938"/>
    </row>
    <row r="73939" spans="1:6" x14ac:dyDescent="0.25">
      <c r="A73939"/>
      <c r="B73939"/>
      <c r="C73939"/>
      <c r="E73939"/>
      <c r="F73939"/>
    </row>
    <row r="73940" spans="1:6" x14ac:dyDescent="0.25">
      <c r="A73940"/>
      <c r="B73940"/>
      <c r="C73940"/>
      <c r="E73940"/>
      <c r="F73940"/>
    </row>
    <row r="73941" spans="1:6" x14ac:dyDescent="0.25">
      <c r="A73941"/>
      <c r="B73941"/>
      <c r="C73941"/>
      <c r="E73941"/>
      <c r="F73941"/>
    </row>
    <row r="73942" spans="1:6" x14ac:dyDescent="0.25">
      <c r="A73942"/>
      <c r="B73942"/>
      <c r="C73942"/>
      <c r="E73942"/>
      <c r="F73942"/>
    </row>
    <row r="73943" spans="1:6" x14ac:dyDescent="0.25">
      <c r="A73943"/>
      <c r="B73943"/>
      <c r="C73943"/>
      <c r="E73943"/>
      <c r="F73943"/>
    </row>
    <row r="73944" spans="1:6" x14ac:dyDescent="0.25">
      <c r="A73944"/>
      <c r="B73944"/>
      <c r="C73944"/>
      <c r="E73944"/>
      <c r="F73944"/>
    </row>
    <row r="73945" spans="1:6" x14ac:dyDescent="0.25">
      <c r="A73945"/>
      <c r="B73945"/>
      <c r="C73945"/>
      <c r="E73945"/>
      <c r="F73945"/>
    </row>
    <row r="73946" spans="1:6" x14ac:dyDescent="0.25">
      <c r="A73946"/>
      <c r="B73946"/>
      <c r="C73946"/>
      <c r="E73946"/>
      <c r="F73946"/>
    </row>
    <row r="73947" spans="1:6" x14ac:dyDescent="0.25">
      <c r="A73947"/>
      <c r="B73947"/>
      <c r="C73947"/>
      <c r="E73947"/>
      <c r="F73947"/>
    </row>
    <row r="73948" spans="1:6" x14ac:dyDescent="0.25">
      <c r="A73948"/>
      <c r="B73948"/>
      <c r="C73948"/>
      <c r="E73948"/>
      <c r="F73948"/>
    </row>
    <row r="73949" spans="1:6" x14ac:dyDescent="0.25">
      <c r="A73949"/>
      <c r="B73949"/>
      <c r="C73949"/>
      <c r="E73949"/>
      <c r="F73949"/>
    </row>
    <row r="73950" spans="1:6" x14ac:dyDescent="0.25">
      <c r="A73950"/>
      <c r="B73950"/>
      <c r="C73950"/>
      <c r="E73950"/>
      <c r="F73950"/>
    </row>
    <row r="73951" spans="1:6" x14ac:dyDescent="0.25">
      <c r="A73951"/>
      <c r="B73951"/>
      <c r="C73951"/>
      <c r="E73951"/>
      <c r="F73951"/>
    </row>
    <row r="73952" spans="1:6" x14ac:dyDescent="0.25">
      <c r="A73952"/>
      <c r="B73952"/>
      <c r="C73952"/>
      <c r="E73952"/>
      <c r="F73952"/>
    </row>
    <row r="73953" spans="1:6" x14ac:dyDescent="0.25">
      <c r="A73953"/>
      <c r="B73953"/>
      <c r="C73953"/>
      <c r="E73953"/>
      <c r="F73953"/>
    </row>
    <row r="73954" spans="1:6" x14ac:dyDescent="0.25">
      <c r="A73954"/>
      <c r="B73954"/>
      <c r="C73954"/>
      <c r="E73954"/>
      <c r="F73954"/>
    </row>
    <row r="73955" spans="1:6" x14ac:dyDescent="0.25">
      <c r="A73955"/>
      <c r="B73955"/>
      <c r="C73955"/>
      <c r="E73955"/>
      <c r="F73955"/>
    </row>
    <row r="73956" spans="1:6" x14ac:dyDescent="0.25">
      <c r="A73956"/>
      <c r="B73956"/>
      <c r="C73956"/>
      <c r="E73956"/>
      <c r="F73956"/>
    </row>
    <row r="73957" spans="1:6" x14ac:dyDescent="0.25">
      <c r="A73957"/>
      <c r="B73957"/>
      <c r="C73957"/>
      <c r="E73957"/>
      <c r="F73957"/>
    </row>
    <row r="73958" spans="1:6" x14ac:dyDescent="0.25">
      <c r="A73958"/>
      <c r="B73958"/>
      <c r="C73958"/>
      <c r="E73958"/>
      <c r="F73958"/>
    </row>
    <row r="73959" spans="1:6" x14ac:dyDescent="0.25">
      <c r="A73959"/>
      <c r="B73959"/>
      <c r="C73959"/>
      <c r="E73959"/>
      <c r="F73959"/>
    </row>
    <row r="73960" spans="1:6" x14ac:dyDescent="0.25">
      <c r="A73960"/>
      <c r="B73960"/>
      <c r="C73960"/>
      <c r="E73960"/>
      <c r="F73960"/>
    </row>
    <row r="73961" spans="1:6" x14ac:dyDescent="0.25">
      <c r="A73961"/>
      <c r="B73961"/>
      <c r="C73961"/>
      <c r="E73961"/>
      <c r="F73961"/>
    </row>
    <row r="73962" spans="1:6" x14ac:dyDescent="0.25">
      <c r="A73962"/>
      <c r="B73962"/>
      <c r="C73962"/>
      <c r="E73962"/>
      <c r="F73962"/>
    </row>
    <row r="73963" spans="1:6" x14ac:dyDescent="0.25">
      <c r="A73963"/>
      <c r="B73963"/>
      <c r="C73963"/>
      <c r="E73963"/>
      <c r="F73963"/>
    </row>
    <row r="73964" spans="1:6" x14ac:dyDescent="0.25">
      <c r="A73964"/>
      <c r="B73964"/>
      <c r="C73964"/>
      <c r="E73964"/>
      <c r="F73964"/>
    </row>
    <row r="73965" spans="1:6" x14ac:dyDescent="0.25">
      <c r="A73965"/>
      <c r="B73965"/>
      <c r="C73965"/>
      <c r="E73965"/>
      <c r="F73965"/>
    </row>
    <row r="73966" spans="1:6" x14ac:dyDescent="0.25">
      <c r="A73966"/>
      <c r="B73966"/>
      <c r="C73966"/>
      <c r="E73966"/>
      <c r="F73966"/>
    </row>
    <row r="73967" spans="1:6" x14ac:dyDescent="0.25">
      <c r="A73967"/>
      <c r="B73967"/>
      <c r="C73967"/>
      <c r="E73967"/>
      <c r="F73967"/>
    </row>
    <row r="73968" spans="1:6" x14ac:dyDescent="0.25">
      <c r="A73968"/>
      <c r="B73968"/>
      <c r="C73968"/>
      <c r="E73968"/>
      <c r="F73968"/>
    </row>
    <row r="73969" spans="1:6" x14ac:dyDescent="0.25">
      <c r="A73969"/>
      <c r="B73969"/>
      <c r="C73969"/>
      <c r="E73969"/>
      <c r="F73969"/>
    </row>
    <row r="73970" spans="1:6" x14ac:dyDescent="0.25">
      <c r="A73970"/>
      <c r="B73970"/>
      <c r="C73970"/>
      <c r="E73970"/>
      <c r="F73970"/>
    </row>
    <row r="73971" spans="1:6" x14ac:dyDescent="0.25">
      <c r="A73971"/>
      <c r="B73971"/>
      <c r="C73971"/>
      <c r="E73971"/>
      <c r="F73971"/>
    </row>
    <row r="73972" spans="1:6" x14ac:dyDescent="0.25">
      <c r="A73972"/>
      <c r="B73972"/>
      <c r="C73972"/>
      <c r="E73972"/>
      <c r="F73972"/>
    </row>
    <row r="73973" spans="1:6" x14ac:dyDescent="0.25">
      <c r="A73973"/>
      <c r="B73973"/>
      <c r="C73973"/>
      <c r="E73973"/>
      <c r="F73973"/>
    </row>
    <row r="73974" spans="1:6" x14ac:dyDescent="0.25">
      <c r="A73974"/>
      <c r="B73974"/>
      <c r="C73974"/>
      <c r="E73974"/>
      <c r="F73974"/>
    </row>
    <row r="73975" spans="1:6" x14ac:dyDescent="0.25">
      <c r="A73975"/>
      <c r="B73975"/>
      <c r="C73975"/>
      <c r="E73975"/>
      <c r="F73975"/>
    </row>
    <row r="73976" spans="1:6" x14ac:dyDescent="0.25">
      <c r="A73976"/>
      <c r="B73976"/>
      <c r="C73976"/>
      <c r="E73976"/>
      <c r="F73976"/>
    </row>
    <row r="73977" spans="1:6" x14ac:dyDescent="0.25">
      <c r="A73977"/>
      <c r="B73977"/>
      <c r="C73977"/>
      <c r="E73977"/>
      <c r="F73977"/>
    </row>
    <row r="73978" spans="1:6" x14ac:dyDescent="0.25">
      <c r="A73978"/>
      <c r="B73978"/>
      <c r="C73978"/>
      <c r="E73978"/>
      <c r="F73978"/>
    </row>
    <row r="73979" spans="1:6" x14ac:dyDescent="0.25">
      <c r="A73979"/>
      <c r="B73979"/>
      <c r="C73979"/>
      <c r="E73979"/>
      <c r="F73979"/>
    </row>
    <row r="73980" spans="1:6" x14ac:dyDescent="0.25">
      <c r="A73980"/>
      <c r="B73980"/>
      <c r="C73980"/>
      <c r="E73980"/>
      <c r="F73980"/>
    </row>
    <row r="73981" spans="1:6" x14ac:dyDescent="0.25">
      <c r="A73981"/>
      <c r="B73981"/>
      <c r="C73981"/>
      <c r="E73981"/>
      <c r="F73981"/>
    </row>
    <row r="73982" spans="1:6" x14ac:dyDescent="0.25">
      <c r="A73982"/>
      <c r="B73982"/>
      <c r="C73982"/>
      <c r="E73982"/>
      <c r="F73982"/>
    </row>
    <row r="73983" spans="1:6" x14ac:dyDescent="0.25">
      <c r="A73983"/>
      <c r="B73983"/>
      <c r="C73983"/>
      <c r="E73983"/>
      <c r="F73983"/>
    </row>
    <row r="73984" spans="1:6" x14ac:dyDescent="0.25">
      <c r="A73984"/>
      <c r="B73984"/>
      <c r="C73984"/>
      <c r="E73984"/>
      <c r="F73984"/>
    </row>
    <row r="73985" spans="1:6" x14ac:dyDescent="0.25">
      <c r="A73985"/>
      <c r="B73985"/>
      <c r="C73985"/>
      <c r="E73985"/>
      <c r="F73985"/>
    </row>
    <row r="73986" spans="1:6" x14ac:dyDescent="0.25">
      <c r="A73986"/>
      <c r="B73986"/>
      <c r="C73986"/>
      <c r="E73986"/>
      <c r="F73986"/>
    </row>
    <row r="73987" spans="1:6" x14ac:dyDescent="0.25">
      <c r="A73987"/>
      <c r="B73987"/>
      <c r="C73987"/>
      <c r="E73987"/>
      <c r="F73987"/>
    </row>
    <row r="73988" spans="1:6" x14ac:dyDescent="0.25">
      <c r="A73988"/>
      <c r="B73988"/>
      <c r="C73988"/>
      <c r="E73988"/>
      <c r="F73988"/>
    </row>
    <row r="73989" spans="1:6" x14ac:dyDescent="0.25">
      <c r="A73989"/>
      <c r="B73989"/>
      <c r="C73989"/>
      <c r="E73989"/>
      <c r="F73989"/>
    </row>
    <row r="73990" spans="1:6" x14ac:dyDescent="0.25">
      <c r="A73990"/>
      <c r="B73990"/>
      <c r="C73990"/>
      <c r="E73990"/>
      <c r="F73990"/>
    </row>
    <row r="73991" spans="1:6" x14ac:dyDescent="0.25">
      <c r="A73991"/>
      <c r="B73991"/>
      <c r="C73991"/>
      <c r="E73991"/>
      <c r="F73991"/>
    </row>
    <row r="73992" spans="1:6" x14ac:dyDescent="0.25">
      <c r="A73992"/>
      <c r="B73992"/>
      <c r="C73992"/>
      <c r="E73992"/>
      <c r="F73992"/>
    </row>
    <row r="73993" spans="1:6" x14ac:dyDescent="0.25">
      <c r="A73993"/>
      <c r="B73993"/>
      <c r="C73993"/>
      <c r="E73993"/>
      <c r="F73993"/>
    </row>
    <row r="73994" spans="1:6" x14ac:dyDescent="0.25">
      <c r="A73994"/>
      <c r="B73994"/>
      <c r="C73994"/>
      <c r="E73994"/>
      <c r="F73994"/>
    </row>
    <row r="73995" spans="1:6" x14ac:dyDescent="0.25">
      <c r="A73995"/>
      <c r="B73995"/>
      <c r="C73995"/>
      <c r="E73995"/>
      <c r="F73995"/>
    </row>
    <row r="73996" spans="1:6" x14ac:dyDescent="0.25">
      <c r="A73996"/>
      <c r="B73996"/>
      <c r="C73996"/>
      <c r="E73996"/>
      <c r="F73996"/>
    </row>
    <row r="73997" spans="1:6" x14ac:dyDescent="0.25">
      <c r="A73997"/>
      <c r="B73997"/>
      <c r="C73997"/>
      <c r="E73997"/>
      <c r="F73997"/>
    </row>
    <row r="73998" spans="1:6" x14ac:dyDescent="0.25">
      <c r="A73998"/>
      <c r="B73998"/>
      <c r="C73998"/>
      <c r="E73998"/>
      <c r="F73998"/>
    </row>
    <row r="73999" spans="1:6" x14ac:dyDescent="0.25">
      <c r="A73999"/>
      <c r="B73999"/>
      <c r="C73999"/>
      <c r="E73999"/>
      <c r="F73999"/>
    </row>
    <row r="74000" spans="1:6" x14ac:dyDescent="0.25">
      <c r="A74000"/>
      <c r="B74000"/>
      <c r="C74000"/>
      <c r="E74000"/>
      <c r="F74000"/>
    </row>
    <row r="74001" spans="1:6" x14ac:dyDescent="0.25">
      <c r="A74001"/>
      <c r="B74001"/>
      <c r="C74001"/>
      <c r="E74001"/>
      <c r="F74001"/>
    </row>
    <row r="74002" spans="1:6" x14ac:dyDescent="0.25">
      <c r="A74002"/>
      <c r="B74002"/>
      <c r="C74002"/>
      <c r="E74002"/>
      <c r="F74002"/>
    </row>
    <row r="74003" spans="1:6" x14ac:dyDescent="0.25">
      <c r="A74003"/>
      <c r="B74003"/>
      <c r="C74003"/>
      <c r="E74003"/>
      <c r="F74003"/>
    </row>
    <row r="74004" spans="1:6" x14ac:dyDescent="0.25">
      <c r="A74004"/>
      <c r="B74004"/>
      <c r="C74004"/>
      <c r="E74004"/>
      <c r="F74004"/>
    </row>
    <row r="74005" spans="1:6" x14ac:dyDescent="0.25">
      <c r="A74005"/>
      <c r="B74005"/>
      <c r="C74005"/>
      <c r="E74005"/>
      <c r="F74005"/>
    </row>
    <row r="74006" spans="1:6" x14ac:dyDescent="0.25">
      <c r="A74006"/>
      <c r="B74006"/>
      <c r="C74006"/>
      <c r="E74006"/>
      <c r="F74006"/>
    </row>
    <row r="74007" spans="1:6" x14ac:dyDescent="0.25">
      <c r="A74007"/>
      <c r="B74007"/>
      <c r="C74007"/>
      <c r="E74007"/>
      <c r="F74007"/>
    </row>
    <row r="74008" spans="1:6" x14ac:dyDescent="0.25">
      <c r="A74008"/>
      <c r="B74008"/>
      <c r="C74008"/>
      <c r="E74008"/>
      <c r="F74008"/>
    </row>
    <row r="74009" spans="1:6" x14ac:dyDescent="0.25">
      <c r="A74009"/>
      <c r="B74009"/>
      <c r="C74009"/>
      <c r="E74009"/>
      <c r="F74009"/>
    </row>
    <row r="74010" spans="1:6" x14ac:dyDescent="0.25">
      <c r="A74010"/>
      <c r="B74010"/>
      <c r="C74010"/>
      <c r="E74010"/>
      <c r="F74010"/>
    </row>
    <row r="74011" spans="1:6" x14ac:dyDescent="0.25">
      <c r="A74011"/>
      <c r="B74011"/>
      <c r="C74011"/>
      <c r="E74011"/>
      <c r="F74011"/>
    </row>
    <row r="74012" spans="1:6" x14ac:dyDescent="0.25">
      <c r="A74012"/>
      <c r="B74012"/>
      <c r="C74012"/>
      <c r="E74012"/>
      <c r="F74012"/>
    </row>
    <row r="74013" spans="1:6" x14ac:dyDescent="0.25">
      <c r="A74013"/>
      <c r="B74013"/>
      <c r="C74013"/>
      <c r="E74013"/>
      <c r="F74013"/>
    </row>
    <row r="74014" spans="1:6" x14ac:dyDescent="0.25">
      <c r="A74014"/>
      <c r="B74014"/>
      <c r="C74014"/>
      <c r="E74014"/>
      <c r="F74014"/>
    </row>
    <row r="74015" spans="1:6" x14ac:dyDescent="0.25">
      <c r="A74015"/>
      <c r="B74015"/>
      <c r="C74015"/>
      <c r="E74015"/>
      <c r="F74015"/>
    </row>
    <row r="74016" spans="1:6" x14ac:dyDescent="0.25">
      <c r="A74016"/>
      <c r="B74016"/>
      <c r="C74016"/>
      <c r="E74016"/>
      <c r="F74016"/>
    </row>
    <row r="74017" spans="1:6" x14ac:dyDescent="0.25">
      <c r="A74017"/>
      <c r="B74017"/>
      <c r="C74017"/>
      <c r="E74017"/>
      <c r="F74017"/>
    </row>
    <row r="74018" spans="1:6" x14ac:dyDescent="0.25">
      <c r="A74018"/>
      <c r="B74018"/>
      <c r="C74018"/>
      <c r="E74018"/>
      <c r="F74018"/>
    </row>
    <row r="74019" spans="1:6" x14ac:dyDescent="0.25">
      <c r="A74019"/>
      <c r="B74019"/>
      <c r="C74019"/>
      <c r="E74019"/>
      <c r="F74019"/>
    </row>
    <row r="74020" spans="1:6" x14ac:dyDescent="0.25">
      <c r="A74020"/>
      <c r="B74020"/>
      <c r="C74020"/>
      <c r="E74020"/>
      <c r="F74020"/>
    </row>
    <row r="74021" spans="1:6" x14ac:dyDescent="0.25">
      <c r="A74021"/>
      <c r="B74021"/>
      <c r="C74021"/>
      <c r="E74021"/>
      <c r="F74021"/>
    </row>
    <row r="74022" spans="1:6" x14ac:dyDescent="0.25">
      <c r="A74022"/>
      <c r="B74022"/>
      <c r="C74022"/>
      <c r="E74022"/>
      <c r="F74022"/>
    </row>
    <row r="74023" spans="1:6" x14ac:dyDescent="0.25">
      <c r="A74023"/>
      <c r="B74023"/>
      <c r="C74023"/>
      <c r="E74023"/>
      <c r="F74023"/>
    </row>
    <row r="74024" spans="1:6" x14ac:dyDescent="0.25">
      <c r="A74024"/>
      <c r="B74024"/>
      <c r="C74024"/>
      <c r="E74024"/>
      <c r="F74024"/>
    </row>
    <row r="74025" spans="1:6" x14ac:dyDescent="0.25">
      <c r="A74025"/>
      <c r="B74025"/>
      <c r="C74025"/>
      <c r="E74025"/>
      <c r="F74025"/>
    </row>
    <row r="74026" spans="1:6" x14ac:dyDescent="0.25">
      <c r="A74026"/>
      <c r="B74026"/>
      <c r="C74026"/>
      <c r="E74026"/>
      <c r="F74026"/>
    </row>
    <row r="74027" spans="1:6" x14ac:dyDescent="0.25">
      <c r="A74027"/>
      <c r="B74027"/>
      <c r="C74027"/>
      <c r="E74027"/>
      <c r="F74027"/>
    </row>
    <row r="74028" spans="1:6" x14ac:dyDescent="0.25">
      <c r="A74028"/>
      <c r="B74028"/>
      <c r="C74028"/>
      <c r="E74028"/>
      <c r="F74028"/>
    </row>
    <row r="74029" spans="1:6" x14ac:dyDescent="0.25">
      <c r="A74029"/>
      <c r="B74029"/>
      <c r="C74029"/>
      <c r="E74029"/>
      <c r="F74029"/>
    </row>
    <row r="74030" spans="1:6" x14ac:dyDescent="0.25">
      <c r="A74030"/>
      <c r="B74030"/>
      <c r="C74030"/>
      <c r="E74030"/>
      <c r="F74030"/>
    </row>
    <row r="74031" spans="1:6" x14ac:dyDescent="0.25">
      <c r="A74031"/>
      <c r="B74031"/>
      <c r="C74031"/>
      <c r="E74031"/>
      <c r="F74031"/>
    </row>
    <row r="74032" spans="1:6" x14ac:dyDescent="0.25">
      <c r="A74032"/>
      <c r="B74032"/>
      <c r="C74032"/>
      <c r="E74032"/>
      <c r="F74032"/>
    </row>
    <row r="74033" spans="1:6" x14ac:dyDescent="0.25">
      <c r="A74033"/>
      <c r="B74033"/>
      <c r="C74033"/>
      <c r="E74033"/>
      <c r="F74033"/>
    </row>
    <row r="74034" spans="1:6" x14ac:dyDescent="0.25">
      <c r="A74034"/>
      <c r="B74034"/>
      <c r="C74034"/>
      <c r="E74034"/>
      <c r="F74034"/>
    </row>
    <row r="74035" spans="1:6" x14ac:dyDescent="0.25">
      <c r="A74035"/>
      <c r="B74035"/>
      <c r="C74035"/>
      <c r="E74035"/>
      <c r="F74035"/>
    </row>
    <row r="74036" spans="1:6" x14ac:dyDescent="0.25">
      <c r="A74036"/>
      <c r="B74036"/>
      <c r="C74036"/>
      <c r="E74036"/>
      <c r="F74036"/>
    </row>
    <row r="74037" spans="1:6" x14ac:dyDescent="0.25">
      <c r="A74037"/>
      <c r="B74037"/>
      <c r="C74037"/>
      <c r="E74037"/>
      <c r="F74037"/>
    </row>
    <row r="74038" spans="1:6" x14ac:dyDescent="0.25">
      <c r="A74038"/>
      <c r="B74038"/>
      <c r="C74038"/>
      <c r="E74038"/>
      <c r="F74038"/>
    </row>
    <row r="74039" spans="1:6" x14ac:dyDescent="0.25">
      <c r="A74039"/>
      <c r="B74039"/>
      <c r="C74039"/>
      <c r="E74039"/>
      <c r="F74039"/>
    </row>
    <row r="74040" spans="1:6" x14ac:dyDescent="0.25">
      <c r="A74040"/>
      <c r="B74040"/>
      <c r="C74040"/>
      <c r="E74040"/>
      <c r="F74040"/>
    </row>
    <row r="74041" spans="1:6" x14ac:dyDescent="0.25">
      <c r="A74041"/>
      <c r="B74041"/>
      <c r="C74041"/>
      <c r="E74041"/>
      <c r="F74041"/>
    </row>
    <row r="74042" spans="1:6" x14ac:dyDescent="0.25">
      <c r="A74042"/>
      <c r="B74042"/>
      <c r="C74042"/>
      <c r="E74042"/>
      <c r="F74042"/>
    </row>
    <row r="74043" spans="1:6" x14ac:dyDescent="0.25">
      <c r="A74043"/>
      <c r="B74043"/>
      <c r="C74043"/>
      <c r="E74043"/>
      <c r="F74043"/>
    </row>
    <row r="74044" spans="1:6" x14ac:dyDescent="0.25">
      <c r="A74044"/>
      <c r="B74044"/>
      <c r="C74044"/>
      <c r="E74044"/>
      <c r="F74044"/>
    </row>
    <row r="74045" spans="1:6" x14ac:dyDescent="0.25">
      <c r="A74045"/>
      <c r="B74045"/>
      <c r="C74045"/>
      <c r="E74045"/>
      <c r="F74045"/>
    </row>
    <row r="74046" spans="1:6" x14ac:dyDescent="0.25">
      <c r="A74046"/>
      <c r="B74046"/>
      <c r="C74046"/>
      <c r="E74046"/>
      <c r="F74046"/>
    </row>
    <row r="74047" spans="1:6" x14ac:dyDescent="0.25">
      <c r="A74047"/>
      <c r="B74047"/>
      <c r="C74047"/>
      <c r="E74047"/>
      <c r="F74047"/>
    </row>
    <row r="74048" spans="1:6" x14ac:dyDescent="0.25">
      <c r="A74048"/>
      <c r="B74048"/>
      <c r="C74048"/>
      <c r="E74048"/>
      <c r="F74048"/>
    </row>
    <row r="74049" spans="1:6" x14ac:dyDescent="0.25">
      <c r="A74049"/>
      <c r="B74049"/>
      <c r="C74049"/>
      <c r="E74049"/>
      <c r="F74049"/>
    </row>
    <row r="74050" spans="1:6" x14ac:dyDescent="0.25">
      <c r="A74050"/>
      <c r="B74050"/>
      <c r="C74050"/>
      <c r="E74050"/>
      <c r="F74050"/>
    </row>
    <row r="74051" spans="1:6" x14ac:dyDescent="0.25">
      <c r="A74051"/>
      <c r="B74051"/>
      <c r="C74051"/>
      <c r="E74051"/>
      <c r="F74051"/>
    </row>
    <row r="74052" spans="1:6" x14ac:dyDescent="0.25">
      <c r="A74052"/>
      <c r="B74052"/>
      <c r="C74052"/>
      <c r="E74052"/>
      <c r="F74052"/>
    </row>
    <row r="74053" spans="1:6" x14ac:dyDescent="0.25">
      <c r="A74053"/>
      <c r="B74053"/>
      <c r="C74053"/>
      <c r="E74053"/>
      <c r="F74053"/>
    </row>
    <row r="74054" spans="1:6" x14ac:dyDescent="0.25">
      <c r="A74054"/>
      <c r="B74054"/>
      <c r="C74054"/>
      <c r="E74054"/>
      <c r="F74054"/>
    </row>
    <row r="74055" spans="1:6" x14ac:dyDescent="0.25">
      <c r="A74055"/>
      <c r="B74055"/>
      <c r="C74055"/>
      <c r="E74055"/>
      <c r="F74055"/>
    </row>
    <row r="74056" spans="1:6" x14ac:dyDescent="0.25">
      <c r="A74056"/>
      <c r="B74056"/>
      <c r="C74056"/>
      <c r="E74056"/>
      <c r="F74056"/>
    </row>
    <row r="74057" spans="1:6" x14ac:dyDescent="0.25">
      <c r="A74057"/>
      <c r="B74057"/>
      <c r="C74057"/>
      <c r="E74057"/>
      <c r="F74057"/>
    </row>
    <row r="74058" spans="1:6" x14ac:dyDescent="0.25">
      <c r="A74058"/>
      <c r="B74058"/>
      <c r="C74058"/>
      <c r="E74058"/>
      <c r="F74058"/>
    </row>
    <row r="74059" spans="1:6" x14ac:dyDescent="0.25">
      <c r="A74059"/>
      <c r="B74059"/>
      <c r="C74059"/>
      <c r="E74059"/>
      <c r="F74059"/>
    </row>
    <row r="74060" spans="1:6" x14ac:dyDescent="0.25">
      <c r="A74060"/>
      <c r="B74060"/>
      <c r="C74060"/>
      <c r="E74060"/>
      <c r="F74060"/>
    </row>
    <row r="74061" spans="1:6" x14ac:dyDescent="0.25">
      <c r="A74061"/>
      <c r="B74061"/>
      <c r="C74061"/>
      <c r="E74061"/>
      <c r="F74061"/>
    </row>
    <row r="74062" spans="1:6" x14ac:dyDescent="0.25">
      <c r="A74062"/>
      <c r="B74062"/>
      <c r="C74062"/>
      <c r="E74062"/>
      <c r="F74062"/>
    </row>
    <row r="74063" spans="1:6" x14ac:dyDescent="0.25">
      <c r="A74063"/>
      <c r="B74063"/>
      <c r="C74063"/>
      <c r="E74063"/>
      <c r="F74063"/>
    </row>
    <row r="74064" spans="1:6" x14ac:dyDescent="0.25">
      <c r="A74064"/>
      <c r="B74064"/>
      <c r="C74064"/>
      <c r="E74064"/>
      <c r="F74064"/>
    </row>
    <row r="74065" spans="1:6" x14ac:dyDescent="0.25">
      <c r="A74065"/>
      <c r="B74065"/>
      <c r="C74065"/>
      <c r="E74065"/>
      <c r="F74065"/>
    </row>
    <row r="74066" spans="1:6" x14ac:dyDescent="0.25">
      <c r="A74066"/>
      <c r="B74066"/>
      <c r="C74066"/>
      <c r="E74066"/>
      <c r="F74066"/>
    </row>
    <row r="74067" spans="1:6" x14ac:dyDescent="0.25">
      <c r="A74067"/>
      <c r="B74067"/>
      <c r="C74067"/>
      <c r="E74067"/>
      <c r="F74067"/>
    </row>
    <row r="74068" spans="1:6" x14ac:dyDescent="0.25">
      <c r="A74068"/>
      <c r="B74068"/>
      <c r="C74068"/>
      <c r="E74068"/>
      <c r="F74068"/>
    </row>
    <row r="74069" spans="1:6" x14ac:dyDescent="0.25">
      <c r="A74069"/>
      <c r="B74069"/>
      <c r="C74069"/>
      <c r="E74069"/>
      <c r="F74069"/>
    </row>
    <row r="74070" spans="1:6" x14ac:dyDescent="0.25">
      <c r="A74070"/>
      <c r="B74070"/>
      <c r="C74070"/>
      <c r="E74070"/>
      <c r="F74070"/>
    </row>
    <row r="74071" spans="1:6" x14ac:dyDescent="0.25">
      <c r="A74071"/>
      <c r="B74071"/>
      <c r="C74071"/>
      <c r="E74071"/>
      <c r="F74071"/>
    </row>
    <row r="74072" spans="1:6" x14ac:dyDescent="0.25">
      <c r="A74072"/>
      <c r="B74072"/>
      <c r="C74072"/>
      <c r="E74072"/>
      <c r="F74072"/>
    </row>
    <row r="74073" spans="1:6" x14ac:dyDescent="0.25">
      <c r="A74073"/>
      <c r="B74073"/>
      <c r="C74073"/>
      <c r="E74073"/>
      <c r="F74073"/>
    </row>
    <row r="74074" spans="1:6" x14ac:dyDescent="0.25">
      <c r="A74074"/>
      <c r="B74074"/>
      <c r="C74074"/>
      <c r="E74074"/>
      <c r="F74074"/>
    </row>
    <row r="74075" spans="1:6" x14ac:dyDescent="0.25">
      <c r="A74075"/>
      <c r="B74075"/>
      <c r="C74075"/>
      <c r="E74075"/>
      <c r="F74075"/>
    </row>
    <row r="74076" spans="1:6" x14ac:dyDescent="0.25">
      <c r="A74076"/>
      <c r="B74076"/>
      <c r="C74076"/>
      <c r="E74076"/>
      <c r="F74076"/>
    </row>
    <row r="74077" spans="1:6" x14ac:dyDescent="0.25">
      <c r="A74077"/>
      <c r="B74077"/>
      <c r="C74077"/>
      <c r="E74077"/>
      <c r="F74077"/>
    </row>
    <row r="74078" spans="1:6" x14ac:dyDescent="0.25">
      <c r="A74078"/>
      <c r="B74078"/>
      <c r="C74078"/>
      <c r="E74078"/>
      <c r="F74078"/>
    </row>
    <row r="74079" spans="1:6" x14ac:dyDescent="0.25">
      <c r="A74079"/>
      <c r="B74079"/>
      <c r="C74079"/>
      <c r="E74079"/>
      <c r="F74079"/>
    </row>
    <row r="74080" spans="1:6" x14ac:dyDescent="0.25">
      <c r="A74080"/>
      <c r="B74080"/>
      <c r="C74080"/>
      <c r="E74080"/>
      <c r="F74080"/>
    </row>
    <row r="74081" spans="1:6" x14ac:dyDescent="0.25">
      <c r="A74081"/>
      <c r="B74081"/>
      <c r="C74081"/>
      <c r="E74081"/>
      <c r="F74081"/>
    </row>
    <row r="74082" spans="1:6" x14ac:dyDescent="0.25">
      <c r="A74082"/>
      <c r="B74082"/>
      <c r="C74082"/>
      <c r="E74082"/>
      <c r="F74082"/>
    </row>
    <row r="74083" spans="1:6" x14ac:dyDescent="0.25">
      <c r="A74083"/>
      <c r="B74083"/>
      <c r="C74083"/>
      <c r="E74083"/>
      <c r="F74083"/>
    </row>
    <row r="74084" spans="1:6" x14ac:dyDescent="0.25">
      <c r="A74084"/>
      <c r="B74084"/>
      <c r="C74084"/>
      <c r="E74084"/>
      <c r="F74084"/>
    </row>
    <row r="74085" spans="1:6" x14ac:dyDescent="0.25">
      <c r="A74085"/>
      <c r="B74085"/>
      <c r="C74085"/>
      <c r="E74085"/>
      <c r="F74085"/>
    </row>
    <row r="74086" spans="1:6" x14ac:dyDescent="0.25">
      <c r="A74086"/>
      <c r="B74086"/>
      <c r="C74086"/>
      <c r="E74086"/>
      <c r="F74086"/>
    </row>
    <row r="74087" spans="1:6" x14ac:dyDescent="0.25">
      <c r="A74087"/>
      <c r="B74087"/>
      <c r="C74087"/>
      <c r="E74087"/>
      <c r="F74087"/>
    </row>
    <row r="74088" spans="1:6" x14ac:dyDescent="0.25">
      <c r="A74088"/>
      <c r="B74088"/>
      <c r="C74088"/>
      <c r="E74088"/>
      <c r="F74088"/>
    </row>
    <row r="74089" spans="1:6" x14ac:dyDescent="0.25">
      <c r="A74089"/>
      <c r="B74089"/>
      <c r="C74089"/>
      <c r="E74089"/>
      <c r="F74089"/>
    </row>
    <row r="74090" spans="1:6" x14ac:dyDescent="0.25">
      <c r="A74090"/>
      <c r="B74090"/>
      <c r="C74090"/>
      <c r="E74090"/>
      <c r="F74090"/>
    </row>
    <row r="74091" spans="1:6" x14ac:dyDescent="0.25">
      <c r="A74091"/>
      <c r="B74091"/>
      <c r="C74091"/>
      <c r="E74091"/>
      <c r="F74091"/>
    </row>
    <row r="74092" spans="1:6" x14ac:dyDescent="0.25">
      <c r="A74092"/>
      <c r="B74092"/>
      <c r="C74092"/>
      <c r="E74092"/>
      <c r="F74092"/>
    </row>
    <row r="74093" spans="1:6" x14ac:dyDescent="0.25">
      <c r="A74093"/>
      <c r="B74093"/>
      <c r="C74093"/>
      <c r="E74093"/>
      <c r="F74093"/>
    </row>
    <row r="74094" spans="1:6" x14ac:dyDescent="0.25">
      <c r="A74094"/>
      <c r="B74094"/>
      <c r="C74094"/>
      <c r="E74094"/>
      <c r="F74094"/>
    </row>
    <row r="74095" spans="1:6" x14ac:dyDescent="0.25">
      <c r="A74095"/>
      <c r="B74095"/>
      <c r="C74095"/>
      <c r="E74095"/>
      <c r="F74095"/>
    </row>
    <row r="74096" spans="1:6" x14ac:dyDescent="0.25">
      <c r="A74096"/>
      <c r="B74096"/>
      <c r="C74096"/>
      <c r="E74096"/>
      <c r="F74096"/>
    </row>
    <row r="74097" spans="1:6" x14ac:dyDescent="0.25">
      <c r="A74097"/>
      <c r="B74097"/>
      <c r="C74097"/>
      <c r="E74097"/>
      <c r="F74097"/>
    </row>
    <row r="74098" spans="1:6" x14ac:dyDescent="0.25">
      <c r="A74098"/>
      <c r="B74098"/>
      <c r="C74098"/>
      <c r="E74098"/>
      <c r="F74098"/>
    </row>
    <row r="74099" spans="1:6" x14ac:dyDescent="0.25">
      <c r="A74099"/>
      <c r="B74099"/>
      <c r="C74099"/>
      <c r="E74099"/>
      <c r="F74099"/>
    </row>
    <row r="74100" spans="1:6" x14ac:dyDescent="0.25">
      <c r="A74100"/>
      <c r="B74100"/>
      <c r="C74100"/>
      <c r="E74100"/>
      <c r="F74100"/>
    </row>
    <row r="74101" spans="1:6" x14ac:dyDescent="0.25">
      <c r="A74101"/>
      <c r="B74101"/>
      <c r="C74101"/>
      <c r="E74101"/>
      <c r="F74101"/>
    </row>
    <row r="74102" spans="1:6" x14ac:dyDescent="0.25">
      <c r="A74102"/>
      <c r="B74102"/>
      <c r="C74102"/>
      <c r="E74102"/>
      <c r="F74102"/>
    </row>
    <row r="74103" spans="1:6" x14ac:dyDescent="0.25">
      <c r="A74103"/>
      <c r="B74103"/>
      <c r="C74103"/>
      <c r="E74103"/>
      <c r="F74103"/>
    </row>
    <row r="74104" spans="1:6" x14ac:dyDescent="0.25">
      <c r="A74104"/>
      <c r="B74104"/>
      <c r="C74104"/>
      <c r="E74104"/>
      <c r="F74104"/>
    </row>
    <row r="74105" spans="1:6" x14ac:dyDescent="0.25">
      <c r="A74105"/>
      <c r="B74105"/>
      <c r="C74105"/>
      <c r="E74105"/>
      <c r="F74105"/>
    </row>
    <row r="74106" spans="1:6" x14ac:dyDescent="0.25">
      <c r="A74106"/>
      <c r="B74106"/>
      <c r="C74106"/>
      <c r="E74106"/>
      <c r="F74106"/>
    </row>
    <row r="74107" spans="1:6" x14ac:dyDescent="0.25">
      <c r="A74107"/>
      <c r="B74107"/>
      <c r="C74107"/>
      <c r="E74107"/>
      <c r="F74107"/>
    </row>
    <row r="74108" spans="1:6" x14ac:dyDescent="0.25">
      <c r="A74108"/>
      <c r="B74108"/>
      <c r="C74108"/>
      <c r="E74108"/>
      <c r="F74108"/>
    </row>
    <row r="74109" spans="1:6" x14ac:dyDescent="0.25">
      <c r="A74109"/>
      <c r="B74109"/>
      <c r="C74109"/>
      <c r="E74109"/>
      <c r="F74109"/>
    </row>
    <row r="74110" spans="1:6" x14ac:dyDescent="0.25">
      <c r="A74110"/>
      <c r="B74110"/>
      <c r="C74110"/>
      <c r="E74110"/>
      <c r="F74110"/>
    </row>
    <row r="74111" spans="1:6" x14ac:dyDescent="0.25">
      <c r="A74111"/>
      <c r="B74111"/>
      <c r="C74111"/>
      <c r="E74111"/>
      <c r="F74111"/>
    </row>
    <row r="74112" spans="1:6" x14ac:dyDescent="0.25">
      <c r="A74112"/>
      <c r="B74112"/>
      <c r="C74112"/>
      <c r="E74112"/>
      <c r="F74112"/>
    </row>
    <row r="74113" spans="1:6" x14ac:dyDescent="0.25">
      <c r="A74113"/>
      <c r="B74113"/>
      <c r="C74113"/>
      <c r="E74113"/>
      <c r="F74113"/>
    </row>
    <row r="74114" spans="1:6" x14ac:dyDescent="0.25">
      <c r="A74114"/>
      <c r="B74114"/>
      <c r="C74114"/>
      <c r="E74114"/>
      <c r="F74114"/>
    </row>
    <row r="74115" spans="1:6" x14ac:dyDescent="0.25">
      <c r="A74115"/>
      <c r="B74115"/>
      <c r="C74115"/>
      <c r="E74115"/>
      <c r="F74115"/>
    </row>
    <row r="74116" spans="1:6" x14ac:dyDescent="0.25">
      <c r="A74116"/>
      <c r="B74116"/>
      <c r="C74116"/>
      <c r="E74116"/>
      <c r="F74116"/>
    </row>
    <row r="74117" spans="1:6" x14ac:dyDescent="0.25">
      <c r="A74117"/>
      <c r="B74117"/>
      <c r="C74117"/>
      <c r="E74117"/>
      <c r="F74117"/>
    </row>
    <row r="74118" spans="1:6" x14ac:dyDescent="0.25">
      <c r="A74118"/>
      <c r="B74118"/>
      <c r="C74118"/>
      <c r="E74118"/>
      <c r="F74118"/>
    </row>
    <row r="74119" spans="1:6" x14ac:dyDescent="0.25">
      <c r="A74119"/>
      <c r="B74119"/>
      <c r="C74119"/>
      <c r="E74119"/>
      <c r="F74119"/>
    </row>
    <row r="74120" spans="1:6" x14ac:dyDescent="0.25">
      <c r="A74120"/>
      <c r="B74120"/>
      <c r="C74120"/>
      <c r="E74120"/>
      <c r="F74120"/>
    </row>
    <row r="74121" spans="1:6" x14ac:dyDescent="0.25">
      <c r="A74121"/>
      <c r="B74121"/>
      <c r="C74121"/>
      <c r="E74121"/>
      <c r="F74121"/>
    </row>
    <row r="74122" spans="1:6" x14ac:dyDescent="0.25">
      <c r="A74122"/>
      <c r="B74122"/>
      <c r="C74122"/>
      <c r="E74122"/>
      <c r="F74122"/>
    </row>
    <row r="74123" spans="1:6" x14ac:dyDescent="0.25">
      <c r="A74123"/>
      <c r="B74123"/>
      <c r="C74123"/>
      <c r="E74123"/>
      <c r="F74123"/>
    </row>
    <row r="74124" spans="1:6" x14ac:dyDescent="0.25">
      <c r="A74124"/>
      <c r="B74124"/>
      <c r="C74124"/>
      <c r="E74124"/>
      <c r="F74124"/>
    </row>
    <row r="74125" spans="1:6" x14ac:dyDescent="0.25">
      <c r="A74125"/>
      <c r="B74125"/>
      <c r="C74125"/>
      <c r="E74125"/>
      <c r="F74125"/>
    </row>
    <row r="74126" spans="1:6" x14ac:dyDescent="0.25">
      <c r="A74126"/>
      <c r="B74126"/>
      <c r="C74126"/>
      <c r="E74126"/>
      <c r="F74126"/>
    </row>
    <row r="74127" spans="1:6" x14ac:dyDescent="0.25">
      <c r="A74127"/>
      <c r="B74127"/>
      <c r="C74127"/>
      <c r="E74127"/>
      <c r="F74127"/>
    </row>
    <row r="74128" spans="1:6" x14ac:dyDescent="0.25">
      <c r="A74128"/>
      <c r="B74128"/>
      <c r="C74128"/>
      <c r="E74128"/>
      <c r="F74128"/>
    </row>
    <row r="74129" spans="1:6" x14ac:dyDescent="0.25">
      <c r="A74129"/>
      <c r="B74129"/>
      <c r="C74129"/>
      <c r="E74129"/>
      <c r="F74129"/>
    </row>
    <row r="74130" spans="1:6" x14ac:dyDescent="0.25">
      <c r="A74130"/>
      <c r="B74130"/>
      <c r="C74130"/>
      <c r="E74130"/>
      <c r="F74130"/>
    </row>
    <row r="74131" spans="1:6" x14ac:dyDescent="0.25">
      <c r="A74131"/>
      <c r="B74131"/>
      <c r="C74131"/>
      <c r="E74131"/>
      <c r="F74131"/>
    </row>
    <row r="74132" spans="1:6" x14ac:dyDescent="0.25">
      <c r="A74132"/>
      <c r="B74132"/>
      <c r="C74132"/>
      <c r="E74132"/>
      <c r="F74132"/>
    </row>
    <row r="74133" spans="1:6" x14ac:dyDescent="0.25">
      <c r="A74133"/>
      <c r="B74133"/>
      <c r="C74133"/>
      <c r="E74133"/>
      <c r="F74133"/>
    </row>
    <row r="74134" spans="1:6" x14ac:dyDescent="0.25">
      <c r="A74134"/>
      <c r="B74134"/>
      <c r="C74134"/>
      <c r="E74134"/>
      <c r="F74134"/>
    </row>
    <row r="74135" spans="1:6" x14ac:dyDescent="0.25">
      <c r="A74135"/>
      <c r="B74135"/>
      <c r="C74135"/>
      <c r="E74135"/>
      <c r="F74135"/>
    </row>
    <row r="74136" spans="1:6" x14ac:dyDescent="0.25">
      <c r="A74136"/>
      <c r="B74136"/>
      <c r="C74136"/>
      <c r="E74136"/>
      <c r="F74136"/>
    </row>
    <row r="74137" spans="1:6" x14ac:dyDescent="0.25">
      <c r="A74137"/>
      <c r="B74137"/>
      <c r="C74137"/>
      <c r="E74137"/>
      <c r="F74137"/>
    </row>
    <row r="74138" spans="1:6" x14ac:dyDescent="0.25">
      <c r="A74138"/>
      <c r="B74138"/>
      <c r="C74138"/>
      <c r="E74138"/>
      <c r="F74138"/>
    </row>
    <row r="74139" spans="1:6" x14ac:dyDescent="0.25">
      <c r="A74139"/>
      <c r="B74139"/>
      <c r="C74139"/>
      <c r="E74139"/>
      <c r="F74139"/>
    </row>
    <row r="74140" spans="1:6" x14ac:dyDescent="0.25">
      <c r="A74140"/>
      <c r="B74140"/>
      <c r="C74140"/>
      <c r="E74140"/>
      <c r="F74140"/>
    </row>
    <row r="74141" spans="1:6" x14ac:dyDescent="0.25">
      <c r="A74141"/>
      <c r="B74141"/>
      <c r="C74141"/>
      <c r="E74141"/>
      <c r="F74141"/>
    </row>
    <row r="74142" spans="1:6" x14ac:dyDescent="0.25">
      <c r="A74142"/>
      <c r="B74142"/>
      <c r="C74142"/>
      <c r="E74142"/>
      <c r="F74142"/>
    </row>
    <row r="74143" spans="1:6" x14ac:dyDescent="0.25">
      <c r="A74143"/>
      <c r="B74143"/>
      <c r="C74143"/>
      <c r="E74143"/>
      <c r="F74143"/>
    </row>
    <row r="74144" spans="1:6" x14ac:dyDescent="0.25">
      <c r="A74144"/>
      <c r="B74144"/>
      <c r="C74144"/>
      <c r="E74144"/>
      <c r="F74144"/>
    </row>
    <row r="74145" spans="1:6" x14ac:dyDescent="0.25">
      <c r="A74145"/>
      <c r="B74145"/>
      <c r="C74145"/>
      <c r="E74145"/>
      <c r="F74145"/>
    </row>
    <row r="74146" spans="1:6" x14ac:dyDescent="0.25">
      <c r="A74146"/>
      <c r="B74146"/>
      <c r="C74146"/>
      <c r="E74146"/>
      <c r="F74146"/>
    </row>
    <row r="74147" spans="1:6" x14ac:dyDescent="0.25">
      <c r="A74147"/>
      <c r="B74147"/>
      <c r="C74147"/>
      <c r="E74147"/>
      <c r="F74147"/>
    </row>
    <row r="74148" spans="1:6" x14ac:dyDescent="0.25">
      <c r="A74148"/>
      <c r="B74148"/>
      <c r="C74148"/>
      <c r="E74148"/>
      <c r="F74148"/>
    </row>
    <row r="74149" spans="1:6" x14ac:dyDescent="0.25">
      <c r="A74149"/>
      <c r="B74149"/>
      <c r="C74149"/>
      <c r="E74149"/>
      <c r="F74149"/>
    </row>
    <row r="74150" spans="1:6" x14ac:dyDescent="0.25">
      <c r="A74150"/>
      <c r="B74150"/>
      <c r="C74150"/>
      <c r="E74150"/>
      <c r="F74150"/>
    </row>
    <row r="74151" spans="1:6" x14ac:dyDescent="0.25">
      <c r="A74151"/>
      <c r="B74151"/>
      <c r="C74151"/>
      <c r="E74151"/>
      <c r="F74151"/>
    </row>
    <row r="74152" spans="1:6" x14ac:dyDescent="0.25">
      <c r="A74152"/>
      <c r="B74152"/>
      <c r="C74152"/>
      <c r="E74152"/>
      <c r="F74152"/>
    </row>
    <row r="74153" spans="1:6" x14ac:dyDescent="0.25">
      <c r="A74153"/>
      <c r="B74153"/>
      <c r="C74153"/>
      <c r="E74153"/>
      <c r="F74153"/>
    </row>
    <row r="74154" spans="1:6" x14ac:dyDescent="0.25">
      <c r="A74154"/>
      <c r="B74154"/>
      <c r="C74154"/>
      <c r="E74154"/>
      <c r="F74154"/>
    </row>
    <row r="74155" spans="1:6" x14ac:dyDescent="0.25">
      <c r="A74155"/>
      <c r="B74155"/>
      <c r="C74155"/>
      <c r="E74155"/>
      <c r="F74155"/>
    </row>
    <row r="74156" spans="1:6" x14ac:dyDescent="0.25">
      <c r="A74156"/>
      <c r="B74156"/>
      <c r="C74156"/>
      <c r="E74156"/>
      <c r="F74156"/>
    </row>
    <row r="74157" spans="1:6" x14ac:dyDescent="0.25">
      <c r="A74157"/>
      <c r="B74157"/>
      <c r="C74157"/>
      <c r="E74157"/>
      <c r="F74157"/>
    </row>
    <row r="74158" spans="1:6" x14ac:dyDescent="0.25">
      <c r="A74158"/>
      <c r="B74158"/>
      <c r="C74158"/>
      <c r="E74158"/>
      <c r="F74158"/>
    </row>
    <row r="74159" spans="1:6" x14ac:dyDescent="0.25">
      <c r="A74159"/>
      <c r="B74159"/>
      <c r="C74159"/>
      <c r="E74159"/>
      <c r="F74159"/>
    </row>
    <row r="74160" spans="1:6" x14ac:dyDescent="0.25">
      <c r="A74160"/>
      <c r="B74160"/>
      <c r="C74160"/>
      <c r="E74160"/>
      <c r="F74160"/>
    </row>
    <row r="74161" spans="1:6" x14ac:dyDescent="0.25">
      <c r="A74161"/>
      <c r="B74161"/>
      <c r="C74161"/>
      <c r="E74161"/>
      <c r="F74161"/>
    </row>
    <row r="74162" spans="1:6" x14ac:dyDescent="0.25">
      <c r="A74162"/>
      <c r="B74162"/>
      <c r="C74162"/>
      <c r="E74162"/>
      <c r="F74162"/>
    </row>
    <row r="74163" spans="1:6" x14ac:dyDescent="0.25">
      <c r="A74163"/>
      <c r="B74163"/>
      <c r="C74163"/>
      <c r="E74163"/>
      <c r="F74163"/>
    </row>
    <row r="74164" spans="1:6" x14ac:dyDescent="0.25">
      <c r="A74164"/>
      <c r="B74164"/>
      <c r="C74164"/>
      <c r="E74164"/>
      <c r="F74164"/>
    </row>
    <row r="74165" spans="1:6" x14ac:dyDescent="0.25">
      <c r="A74165"/>
      <c r="B74165"/>
      <c r="C74165"/>
      <c r="E74165"/>
      <c r="F74165"/>
    </row>
    <row r="74166" spans="1:6" x14ac:dyDescent="0.25">
      <c r="A74166"/>
      <c r="B74166"/>
      <c r="C74166"/>
      <c r="E74166"/>
      <c r="F74166"/>
    </row>
    <row r="74167" spans="1:6" x14ac:dyDescent="0.25">
      <c r="A74167"/>
      <c r="B74167"/>
      <c r="C74167"/>
      <c r="E74167"/>
      <c r="F74167"/>
    </row>
    <row r="74168" spans="1:6" x14ac:dyDescent="0.25">
      <c r="A74168"/>
      <c r="B74168"/>
      <c r="C74168"/>
      <c r="E74168"/>
      <c r="F74168"/>
    </row>
    <row r="74169" spans="1:6" x14ac:dyDescent="0.25">
      <c r="A74169"/>
      <c r="B74169"/>
      <c r="C74169"/>
      <c r="E74169"/>
      <c r="F74169"/>
    </row>
    <row r="74170" spans="1:6" x14ac:dyDescent="0.25">
      <c r="A74170"/>
      <c r="B74170"/>
      <c r="C74170"/>
      <c r="E74170"/>
      <c r="F74170"/>
    </row>
    <row r="74171" spans="1:6" x14ac:dyDescent="0.25">
      <c r="A74171"/>
      <c r="B74171"/>
      <c r="C74171"/>
      <c r="E74171"/>
      <c r="F74171"/>
    </row>
    <row r="74172" spans="1:6" x14ac:dyDescent="0.25">
      <c r="A74172"/>
      <c r="B74172"/>
      <c r="C74172"/>
      <c r="E74172"/>
      <c r="F74172"/>
    </row>
    <row r="74173" spans="1:6" x14ac:dyDescent="0.25">
      <c r="A74173"/>
      <c r="B74173"/>
      <c r="C74173"/>
      <c r="E74173"/>
      <c r="F74173"/>
    </row>
    <row r="74174" spans="1:6" x14ac:dyDescent="0.25">
      <c r="A74174"/>
      <c r="B74174"/>
      <c r="C74174"/>
      <c r="E74174"/>
      <c r="F74174"/>
    </row>
    <row r="74175" spans="1:6" x14ac:dyDescent="0.25">
      <c r="A74175"/>
      <c r="B74175"/>
      <c r="C74175"/>
      <c r="E74175"/>
      <c r="F74175"/>
    </row>
    <row r="74176" spans="1:6" x14ac:dyDescent="0.25">
      <c r="A74176"/>
      <c r="B74176"/>
      <c r="C74176"/>
      <c r="E74176"/>
      <c r="F74176"/>
    </row>
    <row r="74177" spans="1:6" x14ac:dyDescent="0.25">
      <c r="A74177"/>
      <c r="B74177"/>
      <c r="C74177"/>
      <c r="E74177"/>
      <c r="F74177"/>
    </row>
    <row r="74178" spans="1:6" x14ac:dyDescent="0.25">
      <c r="A74178"/>
      <c r="B74178"/>
      <c r="C74178"/>
      <c r="E74178"/>
      <c r="F74178"/>
    </row>
    <row r="74179" spans="1:6" x14ac:dyDescent="0.25">
      <c r="A74179"/>
      <c r="B74179"/>
      <c r="C74179"/>
      <c r="E74179"/>
      <c r="F74179"/>
    </row>
    <row r="74180" spans="1:6" x14ac:dyDescent="0.25">
      <c r="A74180"/>
      <c r="B74180"/>
      <c r="C74180"/>
      <c r="E74180"/>
      <c r="F74180"/>
    </row>
    <row r="74181" spans="1:6" x14ac:dyDescent="0.25">
      <c r="A74181"/>
      <c r="B74181"/>
      <c r="C74181"/>
      <c r="E74181"/>
      <c r="F74181"/>
    </row>
    <row r="74182" spans="1:6" x14ac:dyDescent="0.25">
      <c r="A74182"/>
      <c r="B74182"/>
      <c r="C74182"/>
      <c r="E74182"/>
      <c r="F74182"/>
    </row>
    <row r="74183" spans="1:6" x14ac:dyDescent="0.25">
      <c r="A74183"/>
      <c r="B74183"/>
      <c r="C74183"/>
      <c r="E74183"/>
      <c r="F74183"/>
    </row>
    <row r="74184" spans="1:6" x14ac:dyDescent="0.25">
      <c r="A74184"/>
      <c r="B74184"/>
      <c r="C74184"/>
      <c r="E74184"/>
      <c r="F74184"/>
    </row>
    <row r="74185" spans="1:6" x14ac:dyDescent="0.25">
      <c r="A74185"/>
      <c r="B74185"/>
      <c r="C74185"/>
      <c r="E74185"/>
      <c r="F74185"/>
    </row>
    <row r="74186" spans="1:6" x14ac:dyDescent="0.25">
      <c r="A74186"/>
      <c r="B74186"/>
      <c r="C74186"/>
      <c r="E74186"/>
      <c r="F74186"/>
    </row>
    <row r="74187" spans="1:6" x14ac:dyDescent="0.25">
      <c r="A74187"/>
      <c r="B74187"/>
      <c r="C74187"/>
      <c r="E74187"/>
      <c r="F74187"/>
    </row>
    <row r="74188" spans="1:6" x14ac:dyDescent="0.25">
      <c r="A74188"/>
      <c r="B74188"/>
      <c r="C74188"/>
      <c r="E74188"/>
      <c r="F74188"/>
    </row>
    <row r="74189" spans="1:6" x14ac:dyDescent="0.25">
      <c r="A74189"/>
      <c r="B74189"/>
      <c r="C74189"/>
      <c r="E74189"/>
      <c r="F74189"/>
    </row>
    <row r="74190" spans="1:6" x14ac:dyDescent="0.25">
      <c r="A74190"/>
      <c r="B74190"/>
      <c r="C74190"/>
      <c r="E74190"/>
      <c r="F74190"/>
    </row>
    <row r="74191" spans="1:6" x14ac:dyDescent="0.25">
      <c r="A74191"/>
      <c r="B74191"/>
      <c r="C74191"/>
      <c r="E74191"/>
      <c r="F74191"/>
    </row>
    <row r="74192" spans="1:6" x14ac:dyDescent="0.25">
      <c r="A74192"/>
      <c r="B74192"/>
      <c r="C74192"/>
      <c r="E74192"/>
      <c r="F74192"/>
    </row>
    <row r="74193" spans="1:6" x14ac:dyDescent="0.25">
      <c r="A74193"/>
      <c r="B74193"/>
      <c r="C74193"/>
      <c r="E74193"/>
      <c r="F74193"/>
    </row>
    <row r="74194" spans="1:6" x14ac:dyDescent="0.25">
      <c r="A74194"/>
      <c r="B74194"/>
      <c r="C74194"/>
      <c r="E74194"/>
      <c r="F74194"/>
    </row>
    <row r="74195" spans="1:6" x14ac:dyDescent="0.25">
      <c r="A74195"/>
      <c r="B74195"/>
      <c r="C74195"/>
      <c r="E74195"/>
      <c r="F74195"/>
    </row>
    <row r="74196" spans="1:6" x14ac:dyDescent="0.25">
      <c r="A74196"/>
      <c r="B74196"/>
      <c r="C74196"/>
      <c r="E74196"/>
      <c r="F74196"/>
    </row>
    <row r="74197" spans="1:6" x14ac:dyDescent="0.25">
      <c r="A74197"/>
      <c r="B74197"/>
      <c r="C74197"/>
      <c r="E74197"/>
      <c r="F74197"/>
    </row>
    <row r="74198" spans="1:6" x14ac:dyDescent="0.25">
      <c r="A74198"/>
      <c r="B74198"/>
      <c r="C74198"/>
      <c r="E74198"/>
      <c r="F74198"/>
    </row>
    <row r="74199" spans="1:6" x14ac:dyDescent="0.25">
      <c r="A74199"/>
      <c r="B74199"/>
      <c r="C74199"/>
      <c r="E74199"/>
      <c r="F74199"/>
    </row>
    <row r="74200" spans="1:6" x14ac:dyDescent="0.25">
      <c r="A74200"/>
      <c r="B74200"/>
      <c r="C74200"/>
      <c r="E74200"/>
      <c r="F74200"/>
    </row>
    <row r="74201" spans="1:6" x14ac:dyDescent="0.25">
      <c r="A74201"/>
      <c r="B74201"/>
      <c r="C74201"/>
      <c r="E74201"/>
      <c r="F74201"/>
    </row>
    <row r="74202" spans="1:6" x14ac:dyDescent="0.25">
      <c r="A74202"/>
      <c r="B74202"/>
      <c r="C74202"/>
      <c r="E74202"/>
      <c r="F74202"/>
    </row>
    <row r="74203" spans="1:6" x14ac:dyDescent="0.25">
      <c r="A74203"/>
      <c r="B74203"/>
      <c r="C74203"/>
      <c r="E74203"/>
      <c r="F74203"/>
    </row>
    <row r="74204" spans="1:6" x14ac:dyDescent="0.25">
      <c r="A74204"/>
      <c r="B74204"/>
      <c r="C74204"/>
      <c r="E74204"/>
      <c r="F74204"/>
    </row>
    <row r="74205" spans="1:6" x14ac:dyDescent="0.25">
      <c r="A74205"/>
      <c r="B74205"/>
      <c r="C74205"/>
      <c r="E74205"/>
      <c r="F74205"/>
    </row>
    <row r="74206" spans="1:6" x14ac:dyDescent="0.25">
      <c r="A74206"/>
      <c r="B74206"/>
      <c r="C74206"/>
      <c r="E74206"/>
      <c r="F74206"/>
    </row>
    <row r="74207" spans="1:6" x14ac:dyDescent="0.25">
      <c r="A74207"/>
      <c r="B74207"/>
      <c r="C74207"/>
      <c r="E74207"/>
      <c r="F74207"/>
    </row>
    <row r="74208" spans="1:6" x14ac:dyDescent="0.25">
      <c r="A74208"/>
      <c r="B74208"/>
      <c r="C74208"/>
      <c r="E74208"/>
      <c r="F74208"/>
    </row>
    <row r="74209" spans="1:6" x14ac:dyDescent="0.25">
      <c r="A74209"/>
      <c r="B74209"/>
      <c r="C74209"/>
      <c r="E74209"/>
      <c r="F74209"/>
    </row>
    <row r="74210" spans="1:6" x14ac:dyDescent="0.25">
      <c r="A74210"/>
      <c r="B74210"/>
      <c r="C74210"/>
      <c r="E74210"/>
      <c r="F74210"/>
    </row>
    <row r="74211" spans="1:6" x14ac:dyDescent="0.25">
      <c r="A74211"/>
      <c r="B74211"/>
      <c r="C74211"/>
      <c r="E74211"/>
      <c r="F74211"/>
    </row>
    <row r="74212" spans="1:6" x14ac:dyDescent="0.25">
      <c r="A74212"/>
      <c r="B74212"/>
      <c r="C74212"/>
      <c r="E74212"/>
      <c r="F74212"/>
    </row>
    <row r="74213" spans="1:6" x14ac:dyDescent="0.25">
      <c r="A74213"/>
      <c r="B74213"/>
      <c r="C74213"/>
      <c r="E74213"/>
      <c r="F74213"/>
    </row>
    <row r="74214" spans="1:6" x14ac:dyDescent="0.25">
      <c r="A74214"/>
      <c r="B74214"/>
      <c r="C74214"/>
      <c r="E74214"/>
      <c r="F74214"/>
    </row>
    <row r="74215" spans="1:6" x14ac:dyDescent="0.25">
      <c r="A74215"/>
      <c r="B74215"/>
      <c r="C74215"/>
      <c r="E74215"/>
      <c r="F74215"/>
    </row>
    <row r="74216" spans="1:6" x14ac:dyDescent="0.25">
      <c r="A74216"/>
      <c r="B74216"/>
      <c r="C74216"/>
      <c r="E74216"/>
      <c r="F74216"/>
    </row>
    <row r="74217" spans="1:6" x14ac:dyDescent="0.25">
      <c r="A74217"/>
      <c r="B74217"/>
      <c r="C74217"/>
      <c r="E74217"/>
      <c r="F74217"/>
    </row>
    <row r="74218" spans="1:6" x14ac:dyDescent="0.25">
      <c r="A74218"/>
      <c r="B74218"/>
      <c r="C74218"/>
      <c r="E74218"/>
      <c r="F74218"/>
    </row>
    <row r="74219" spans="1:6" x14ac:dyDescent="0.25">
      <c r="A74219"/>
      <c r="B74219"/>
      <c r="C74219"/>
      <c r="E74219"/>
      <c r="F74219"/>
    </row>
    <row r="74220" spans="1:6" x14ac:dyDescent="0.25">
      <c r="A74220"/>
      <c r="B74220"/>
      <c r="C74220"/>
      <c r="E74220"/>
      <c r="F74220"/>
    </row>
    <row r="74221" spans="1:6" x14ac:dyDescent="0.25">
      <c r="A74221"/>
      <c r="B74221"/>
      <c r="C74221"/>
      <c r="E74221"/>
      <c r="F74221"/>
    </row>
    <row r="74222" spans="1:6" x14ac:dyDescent="0.25">
      <c r="A74222"/>
      <c r="B74222"/>
      <c r="C74222"/>
      <c r="E74222"/>
      <c r="F74222"/>
    </row>
    <row r="74223" spans="1:6" x14ac:dyDescent="0.25">
      <c r="A74223"/>
      <c r="B74223"/>
      <c r="C74223"/>
      <c r="E74223"/>
      <c r="F74223"/>
    </row>
    <row r="74224" spans="1:6" x14ac:dyDescent="0.25">
      <c r="A74224"/>
      <c r="B74224"/>
      <c r="C74224"/>
      <c r="E74224"/>
      <c r="F74224"/>
    </row>
    <row r="74225" spans="1:6" x14ac:dyDescent="0.25">
      <c r="A74225"/>
      <c r="B74225"/>
      <c r="C74225"/>
      <c r="E74225"/>
      <c r="F74225"/>
    </row>
    <row r="74226" spans="1:6" x14ac:dyDescent="0.25">
      <c r="A74226"/>
      <c r="B74226"/>
      <c r="C74226"/>
      <c r="E74226"/>
      <c r="F74226"/>
    </row>
    <row r="74227" spans="1:6" x14ac:dyDescent="0.25">
      <c r="A74227"/>
      <c r="B74227"/>
      <c r="C74227"/>
      <c r="E74227"/>
      <c r="F74227"/>
    </row>
    <row r="74228" spans="1:6" x14ac:dyDescent="0.25">
      <c r="A74228"/>
      <c r="B74228"/>
      <c r="C74228"/>
      <c r="E74228"/>
      <c r="F74228"/>
    </row>
    <row r="74229" spans="1:6" x14ac:dyDescent="0.25">
      <c r="A74229"/>
      <c r="B74229"/>
      <c r="C74229"/>
      <c r="E74229"/>
      <c r="F74229"/>
    </row>
    <row r="74230" spans="1:6" x14ac:dyDescent="0.25">
      <c r="A74230"/>
      <c r="B74230"/>
      <c r="C74230"/>
      <c r="E74230"/>
      <c r="F74230"/>
    </row>
    <row r="74231" spans="1:6" x14ac:dyDescent="0.25">
      <c r="A74231"/>
      <c r="B74231"/>
      <c r="C74231"/>
      <c r="E74231"/>
      <c r="F74231"/>
    </row>
    <row r="74232" spans="1:6" x14ac:dyDescent="0.25">
      <c r="A74232"/>
      <c r="B74232"/>
      <c r="C74232"/>
      <c r="E74232"/>
      <c r="F74232"/>
    </row>
    <row r="74233" spans="1:6" x14ac:dyDescent="0.25">
      <c r="A74233"/>
      <c r="B74233"/>
      <c r="C74233"/>
      <c r="E74233"/>
      <c r="F74233"/>
    </row>
    <row r="74234" spans="1:6" x14ac:dyDescent="0.25">
      <c r="A74234"/>
      <c r="B74234"/>
      <c r="C74234"/>
      <c r="E74234"/>
      <c r="F74234"/>
    </row>
    <row r="74235" spans="1:6" x14ac:dyDescent="0.25">
      <c r="A74235"/>
      <c r="B74235"/>
      <c r="C74235"/>
      <c r="E74235"/>
      <c r="F74235"/>
    </row>
    <row r="74236" spans="1:6" x14ac:dyDescent="0.25">
      <c r="A74236"/>
      <c r="B74236"/>
      <c r="C74236"/>
      <c r="E74236"/>
      <c r="F74236"/>
    </row>
    <row r="74237" spans="1:6" x14ac:dyDescent="0.25">
      <c r="A74237"/>
      <c r="B74237"/>
      <c r="C74237"/>
      <c r="E74237"/>
      <c r="F74237"/>
    </row>
    <row r="74238" spans="1:6" x14ac:dyDescent="0.25">
      <c r="A74238"/>
      <c r="B74238"/>
      <c r="C74238"/>
      <c r="E74238"/>
      <c r="F74238"/>
    </row>
    <row r="74239" spans="1:6" x14ac:dyDescent="0.25">
      <c r="A74239"/>
      <c r="B74239"/>
      <c r="C74239"/>
      <c r="E74239"/>
      <c r="F74239"/>
    </row>
    <row r="74240" spans="1:6" x14ac:dyDescent="0.25">
      <c r="A74240"/>
      <c r="B74240"/>
      <c r="C74240"/>
      <c r="E74240"/>
      <c r="F74240"/>
    </row>
    <row r="74241" spans="1:6" x14ac:dyDescent="0.25">
      <c r="A74241"/>
      <c r="B74241"/>
      <c r="C74241"/>
      <c r="E74241"/>
      <c r="F74241"/>
    </row>
    <row r="74242" spans="1:6" x14ac:dyDescent="0.25">
      <c r="A74242"/>
      <c r="B74242"/>
      <c r="C74242"/>
      <c r="E74242"/>
      <c r="F74242"/>
    </row>
    <row r="74243" spans="1:6" x14ac:dyDescent="0.25">
      <c r="A74243"/>
      <c r="B74243"/>
      <c r="C74243"/>
      <c r="E74243"/>
      <c r="F74243"/>
    </row>
    <row r="74244" spans="1:6" x14ac:dyDescent="0.25">
      <c r="A74244"/>
      <c r="B74244"/>
      <c r="C74244"/>
      <c r="E74244"/>
      <c r="F74244"/>
    </row>
    <row r="74245" spans="1:6" x14ac:dyDescent="0.25">
      <c r="A74245"/>
      <c r="B74245"/>
      <c r="C74245"/>
      <c r="E74245"/>
      <c r="F74245"/>
    </row>
    <row r="74246" spans="1:6" x14ac:dyDescent="0.25">
      <c r="A74246"/>
      <c r="B74246"/>
      <c r="C74246"/>
      <c r="E74246"/>
      <c r="F74246"/>
    </row>
    <row r="74247" spans="1:6" x14ac:dyDescent="0.25">
      <c r="A74247"/>
      <c r="B74247"/>
      <c r="C74247"/>
      <c r="E74247"/>
      <c r="F74247"/>
    </row>
    <row r="74248" spans="1:6" x14ac:dyDescent="0.25">
      <c r="A74248"/>
      <c r="B74248"/>
      <c r="C74248"/>
      <c r="E74248"/>
      <c r="F74248"/>
    </row>
    <row r="74249" spans="1:6" x14ac:dyDescent="0.25">
      <c r="A74249"/>
      <c r="B74249"/>
      <c r="C74249"/>
      <c r="E74249"/>
      <c r="F74249"/>
    </row>
    <row r="74250" spans="1:6" x14ac:dyDescent="0.25">
      <c r="A74250"/>
      <c r="B74250"/>
      <c r="C74250"/>
      <c r="E74250"/>
      <c r="F74250"/>
    </row>
    <row r="74251" spans="1:6" x14ac:dyDescent="0.25">
      <c r="A74251"/>
      <c r="B74251"/>
      <c r="C74251"/>
      <c r="E74251"/>
      <c r="F74251"/>
    </row>
    <row r="74252" spans="1:6" x14ac:dyDescent="0.25">
      <c r="A74252"/>
      <c r="B74252"/>
      <c r="C74252"/>
      <c r="E74252"/>
      <c r="F74252"/>
    </row>
    <row r="74253" spans="1:6" x14ac:dyDescent="0.25">
      <c r="A74253"/>
      <c r="B74253"/>
      <c r="C74253"/>
      <c r="E74253"/>
      <c r="F74253"/>
    </row>
    <row r="74254" spans="1:6" x14ac:dyDescent="0.25">
      <c r="A74254"/>
      <c r="B74254"/>
      <c r="C74254"/>
      <c r="E74254"/>
      <c r="F74254"/>
    </row>
    <row r="74255" spans="1:6" x14ac:dyDescent="0.25">
      <c r="A74255"/>
      <c r="B74255"/>
      <c r="C74255"/>
      <c r="E74255"/>
      <c r="F74255"/>
    </row>
    <row r="74256" spans="1:6" x14ac:dyDescent="0.25">
      <c r="A74256"/>
      <c r="B74256"/>
      <c r="C74256"/>
      <c r="E74256"/>
      <c r="F74256"/>
    </row>
    <row r="74257" spans="1:6" x14ac:dyDescent="0.25">
      <c r="A74257"/>
      <c r="B74257"/>
      <c r="C74257"/>
      <c r="E74257"/>
      <c r="F74257"/>
    </row>
    <row r="74258" spans="1:6" x14ac:dyDescent="0.25">
      <c r="A74258"/>
      <c r="B74258"/>
      <c r="C74258"/>
      <c r="E74258"/>
      <c r="F74258"/>
    </row>
    <row r="74259" spans="1:6" x14ac:dyDescent="0.25">
      <c r="A74259"/>
      <c r="B74259"/>
      <c r="C74259"/>
      <c r="E74259"/>
      <c r="F74259"/>
    </row>
    <row r="74260" spans="1:6" x14ac:dyDescent="0.25">
      <c r="A74260"/>
      <c r="B74260"/>
      <c r="C74260"/>
      <c r="E74260"/>
      <c r="F74260"/>
    </row>
    <row r="74261" spans="1:6" x14ac:dyDescent="0.25">
      <c r="A74261"/>
      <c r="B74261"/>
      <c r="C74261"/>
      <c r="E74261"/>
      <c r="F74261"/>
    </row>
    <row r="74262" spans="1:6" x14ac:dyDescent="0.25">
      <c r="A74262"/>
      <c r="B74262"/>
      <c r="C74262"/>
      <c r="E74262"/>
      <c r="F74262"/>
    </row>
    <row r="74263" spans="1:6" x14ac:dyDescent="0.25">
      <c r="A74263"/>
      <c r="B74263"/>
      <c r="C74263"/>
      <c r="E74263"/>
      <c r="F74263"/>
    </row>
    <row r="74264" spans="1:6" x14ac:dyDescent="0.25">
      <c r="A74264"/>
      <c r="B74264"/>
      <c r="C74264"/>
      <c r="E74264"/>
      <c r="F74264"/>
    </row>
    <row r="74265" spans="1:6" x14ac:dyDescent="0.25">
      <c r="A74265"/>
      <c r="B74265"/>
      <c r="C74265"/>
      <c r="E74265"/>
      <c r="F74265"/>
    </row>
    <row r="74266" spans="1:6" x14ac:dyDescent="0.25">
      <c r="A74266"/>
      <c r="B74266"/>
      <c r="C74266"/>
      <c r="E74266"/>
      <c r="F74266"/>
    </row>
    <row r="74267" spans="1:6" x14ac:dyDescent="0.25">
      <c r="A74267"/>
      <c r="B74267"/>
      <c r="C74267"/>
      <c r="E74267"/>
      <c r="F74267"/>
    </row>
    <row r="74268" spans="1:6" x14ac:dyDescent="0.25">
      <c r="A74268"/>
      <c r="B74268"/>
      <c r="C74268"/>
      <c r="E74268"/>
      <c r="F74268"/>
    </row>
    <row r="74269" spans="1:6" x14ac:dyDescent="0.25">
      <c r="A74269"/>
      <c r="B74269"/>
      <c r="C74269"/>
      <c r="E74269"/>
      <c r="F74269"/>
    </row>
    <row r="74270" spans="1:6" x14ac:dyDescent="0.25">
      <c r="A74270"/>
      <c r="B74270"/>
      <c r="C74270"/>
      <c r="E74270"/>
      <c r="F74270"/>
    </row>
    <row r="74271" spans="1:6" x14ac:dyDescent="0.25">
      <c r="A74271"/>
      <c r="B74271"/>
      <c r="C74271"/>
      <c r="E74271"/>
      <c r="F74271"/>
    </row>
    <row r="74272" spans="1:6" x14ac:dyDescent="0.25">
      <c r="A74272"/>
      <c r="B74272"/>
      <c r="C74272"/>
      <c r="E74272"/>
      <c r="F74272"/>
    </row>
    <row r="74273" spans="1:6" x14ac:dyDescent="0.25">
      <c r="A74273"/>
      <c r="B74273"/>
      <c r="C74273"/>
      <c r="E74273"/>
      <c r="F74273"/>
    </row>
    <row r="74274" spans="1:6" x14ac:dyDescent="0.25">
      <c r="A74274"/>
      <c r="B74274"/>
      <c r="C74274"/>
      <c r="E74274"/>
      <c r="F74274"/>
    </row>
    <row r="74275" spans="1:6" x14ac:dyDescent="0.25">
      <c r="A74275"/>
      <c r="B74275"/>
      <c r="C74275"/>
      <c r="E74275"/>
      <c r="F74275"/>
    </row>
    <row r="74276" spans="1:6" x14ac:dyDescent="0.25">
      <c r="A74276"/>
      <c r="B74276"/>
      <c r="C74276"/>
      <c r="E74276"/>
      <c r="F74276"/>
    </row>
    <row r="74277" spans="1:6" x14ac:dyDescent="0.25">
      <c r="A74277"/>
      <c r="B74277"/>
      <c r="C74277"/>
      <c r="E74277"/>
      <c r="F74277"/>
    </row>
    <row r="74278" spans="1:6" x14ac:dyDescent="0.25">
      <c r="A74278"/>
      <c r="B74278"/>
      <c r="C74278"/>
      <c r="E74278"/>
      <c r="F74278"/>
    </row>
    <row r="74279" spans="1:6" x14ac:dyDescent="0.25">
      <c r="A74279"/>
      <c r="B74279"/>
      <c r="C74279"/>
      <c r="E74279"/>
      <c r="F74279"/>
    </row>
    <row r="74280" spans="1:6" x14ac:dyDescent="0.25">
      <c r="A74280"/>
      <c r="B74280"/>
      <c r="C74280"/>
      <c r="E74280"/>
      <c r="F74280"/>
    </row>
    <row r="74281" spans="1:6" x14ac:dyDescent="0.25">
      <c r="A74281"/>
      <c r="B74281"/>
      <c r="C74281"/>
      <c r="E74281"/>
      <c r="F74281"/>
    </row>
    <row r="74282" spans="1:6" x14ac:dyDescent="0.25">
      <c r="A74282"/>
      <c r="B74282"/>
      <c r="C74282"/>
      <c r="E74282"/>
      <c r="F74282"/>
    </row>
    <row r="74283" spans="1:6" x14ac:dyDescent="0.25">
      <c r="A74283"/>
      <c r="B74283"/>
      <c r="C74283"/>
      <c r="E74283"/>
      <c r="F74283"/>
    </row>
    <row r="74284" spans="1:6" x14ac:dyDescent="0.25">
      <c r="A74284"/>
      <c r="B74284"/>
      <c r="C74284"/>
      <c r="E74284"/>
      <c r="F74284"/>
    </row>
    <row r="74285" spans="1:6" x14ac:dyDescent="0.25">
      <c r="A74285"/>
      <c r="B74285"/>
      <c r="C74285"/>
      <c r="E74285"/>
      <c r="F74285"/>
    </row>
    <row r="74286" spans="1:6" x14ac:dyDescent="0.25">
      <c r="A74286"/>
      <c r="B74286"/>
      <c r="C74286"/>
      <c r="E74286"/>
      <c r="F74286"/>
    </row>
    <row r="74287" spans="1:6" x14ac:dyDescent="0.25">
      <c r="A74287"/>
      <c r="B74287"/>
      <c r="C74287"/>
      <c r="E74287"/>
      <c r="F74287"/>
    </row>
    <row r="74288" spans="1:6" x14ac:dyDescent="0.25">
      <c r="A74288"/>
      <c r="B74288"/>
      <c r="C74288"/>
      <c r="E74288"/>
      <c r="F74288"/>
    </row>
    <row r="74289" spans="1:6" x14ac:dyDescent="0.25">
      <c r="A74289"/>
      <c r="B74289"/>
      <c r="C74289"/>
      <c r="E74289"/>
      <c r="F74289"/>
    </row>
    <row r="74290" spans="1:6" x14ac:dyDescent="0.25">
      <c r="A74290"/>
      <c r="B74290"/>
      <c r="C74290"/>
      <c r="E74290"/>
      <c r="F74290"/>
    </row>
    <row r="74291" spans="1:6" x14ac:dyDescent="0.25">
      <c r="A74291"/>
      <c r="B74291"/>
      <c r="C74291"/>
      <c r="E74291"/>
      <c r="F74291"/>
    </row>
    <row r="74292" spans="1:6" x14ac:dyDescent="0.25">
      <c r="A74292"/>
      <c r="B74292"/>
      <c r="C74292"/>
      <c r="E74292"/>
      <c r="F74292"/>
    </row>
    <row r="74293" spans="1:6" x14ac:dyDescent="0.25">
      <c r="A74293"/>
      <c r="B74293"/>
      <c r="C74293"/>
      <c r="E74293"/>
      <c r="F74293"/>
    </row>
    <row r="74294" spans="1:6" x14ac:dyDescent="0.25">
      <c r="A74294"/>
      <c r="B74294"/>
      <c r="C74294"/>
      <c r="E74294"/>
      <c r="F74294"/>
    </row>
    <row r="74295" spans="1:6" x14ac:dyDescent="0.25">
      <c r="A74295"/>
      <c r="B74295"/>
      <c r="C74295"/>
      <c r="E74295"/>
      <c r="F74295"/>
    </row>
    <row r="74296" spans="1:6" x14ac:dyDescent="0.25">
      <c r="A74296"/>
      <c r="B74296"/>
      <c r="C74296"/>
      <c r="E74296"/>
      <c r="F74296"/>
    </row>
    <row r="74297" spans="1:6" x14ac:dyDescent="0.25">
      <c r="A74297"/>
      <c r="B74297"/>
      <c r="C74297"/>
      <c r="E74297"/>
      <c r="F74297"/>
    </row>
    <row r="74298" spans="1:6" x14ac:dyDescent="0.25">
      <c r="A74298"/>
      <c r="B74298"/>
      <c r="C74298"/>
      <c r="E74298"/>
      <c r="F74298"/>
    </row>
    <row r="74299" spans="1:6" x14ac:dyDescent="0.25">
      <c r="A74299"/>
      <c r="B74299"/>
      <c r="C74299"/>
      <c r="E74299"/>
      <c r="F74299"/>
    </row>
    <row r="74300" spans="1:6" x14ac:dyDescent="0.25">
      <c r="A74300"/>
      <c r="B74300"/>
      <c r="C74300"/>
      <c r="E74300"/>
      <c r="F74300"/>
    </row>
    <row r="74301" spans="1:6" x14ac:dyDescent="0.25">
      <c r="A74301"/>
      <c r="B74301"/>
      <c r="C74301"/>
      <c r="E74301"/>
      <c r="F74301"/>
    </row>
    <row r="74302" spans="1:6" x14ac:dyDescent="0.25">
      <c r="A74302"/>
      <c r="B74302"/>
      <c r="C74302"/>
      <c r="E74302"/>
      <c r="F74302"/>
    </row>
    <row r="74303" spans="1:6" x14ac:dyDescent="0.25">
      <c r="A74303"/>
      <c r="B74303"/>
      <c r="C74303"/>
      <c r="E74303"/>
      <c r="F74303"/>
    </row>
    <row r="74304" spans="1:6" x14ac:dyDescent="0.25">
      <c r="A74304"/>
      <c r="B74304"/>
      <c r="C74304"/>
      <c r="E74304"/>
      <c r="F74304"/>
    </row>
    <row r="74305" spans="1:6" x14ac:dyDescent="0.25">
      <c r="A74305"/>
      <c r="B74305"/>
      <c r="C74305"/>
      <c r="E74305"/>
      <c r="F74305"/>
    </row>
    <row r="74306" spans="1:6" x14ac:dyDescent="0.25">
      <c r="A74306"/>
      <c r="B74306"/>
      <c r="C74306"/>
      <c r="E74306"/>
      <c r="F74306"/>
    </row>
    <row r="74307" spans="1:6" x14ac:dyDescent="0.25">
      <c r="A74307"/>
      <c r="B74307"/>
      <c r="C74307"/>
      <c r="E74307"/>
      <c r="F74307"/>
    </row>
    <row r="74308" spans="1:6" x14ac:dyDescent="0.25">
      <c r="A74308"/>
      <c r="B74308"/>
      <c r="C74308"/>
      <c r="E74308"/>
      <c r="F74308"/>
    </row>
    <row r="74309" spans="1:6" x14ac:dyDescent="0.25">
      <c r="A74309"/>
      <c r="B74309"/>
      <c r="C74309"/>
      <c r="E74309"/>
      <c r="F74309"/>
    </row>
    <row r="74310" spans="1:6" x14ac:dyDescent="0.25">
      <c r="A74310"/>
      <c r="B74310"/>
      <c r="C74310"/>
      <c r="E74310"/>
      <c r="F74310"/>
    </row>
    <row r="74311" spans="1:6" x14ac:dyDescent="0.25">
      <c r="A74311"/>
      <c r="B74311"/>
      <c r="C74311"/>
      <c r="E74311"/>
      <c r="F74311"/>
    </row>
    <row r="74312" spans="1:6" x14ac:dyDescent="0.25">
      <c r="A74312"/>
      <c r="B74312"/>
      <c r="C74312"/>
      <c r="E74312"/>
      <c r="F74312"/>
    </row>
    <row r="74313" spans="1:6" x14ac:dyDescent="0.25">
      <c r="A74313"/>
      <c r="B74313"/>
      <c r="C74313"/>
      <c r="E74313"/>
      <c r="F74313"/>
    </row>
    <row r="74314" spans="1:6" x14ac:dyDescent="0.25">
      <c r="A74314"/>
      <c r="B74314"/>
      <c r="C74314"/>
      <c r="E74314"/>
      <c r="F74314"/>
    </row>
    <row r="74315" spans="1:6" x14ac:dyDescent="0.25">
      <c r="A74315"/>
      <c r="B74315"/>
      <c r="C74315"/>
      <c r="E74315"/>
      <c r="F74315"/>
    </row>
    <row r="74316" spans="1:6" x14ac:dyDescent="0.25">
      <c r="A74316"/>
      <c r="B74316"/>
      <c r="C74316"/>
      <c r="E74316"/>
      <c r="F74316"/>
    </row>
    <row r="74317" spans="1:6" x14ac:dyDescent="0.25">
      <c r="A74317"/>
      <c r="B74317"/>
      <c r="C74317"/>
      <c r="E74317"/>
      <c r="F74317"/>
    </row>
    <row r="74318" spans="1:6" x14ac:dyDescent="0.25">
      <c r="A74318"/>
      <c r="B74318"/>
      <c r="C74318"/>
      <c r="E74318"/>
      <c r="F74318"/>
    </row>
    <row r="74319" spans="1:6" x14ac:dyDescent="0.25">
      <c r="A74319"/>
      <c r="B74319"/>
      <c r="C74319"/>
      <c r="E74319"/>
      <c r="F74319"/>
    </row>
    <row r="74320" spans="1:6" x14ac:dyDescent="0.25">
      <c r="A74320"/>
      <c r="B74320"/>
      <c r="C74320"/>
      <c r="E74320"/>
      <c r="F74320"/>
    </row>
    <row r="74321" spans="1:6" x14ac:dyDescent="0.25">
      <c r="A74321"/>
      <c r="B74321"/>
      <c r="C74321"/>
      <c r="E74321"/>
      <c r="F74321"/>
    </row>
    <row r="74322" spans="1:6" x14ac:dyDescent="0.25">
      <c r="A74322"/>
      <c r="B74322"/>
      <c r="C74322"/>
      <c r="E74322"/>
      <c r="F74322"/>
    </row>
    <row r="74323" spans="1:6" x14ac:dyDescent="0.25">
      <c r="A74323"/>
      <c r="B74323"/>
      <c r="C74323"/>
      <c r="E74323"/>
      <c r="F74323"/>
    </row>
    <row r="74324" spans="1:6" x14ac:dyDescent="0.25">
      <c r="A74324"/>
      <c r="B74324"/>
      <c r="C74324"/>
      <c r="E74324"/>
      <c r="F74324"/>
    </row>
    <row r="74325" spans="1:6" x14ac:dyDescent="0.25">
      <c r="A74325"/>
      <c r="B74325"/>
      <c r="C74325"/>
      <c r="E74325"/>
      <c r="F74325"/>
    </row>
    <row r="74326" spans="1:6" x14ac:dyDescent="0.25">
      <c r="A74326"/>
      <c r="B74326"/>
      <c r="C74326"/>
      <c r="E74326"/>
      <c r="F74326"/>
    </row>
    <row r="74327" spans="1:6" x14ac:dyDescent="0.25">
      <c r="A74327"/>
      <c r="B74327"/>
      <c r="C74327"/>
      <c r="E74327"/>
      <c r="F74327"/>
    </row>
    <row r="74328" spans="1:6" x14ac:dyDescent="0.25">
      <c r="A74328"/>
      <c r="B74328"/>
      <c r="C74328"/>
      <c r="E74328"/>
      <c r="F74328"/>
    </row>
    <row r="74329" spans="1:6" x14ac:dyDescent="0.25">
      <c r="A74329"/>
      <c r="B74329"/>
      <c r="C74329"/>
      <c r="E74329"/>
      <c r="F74329"/>
    </row>
    <row r="74330" spans="1:6" x14ac:dyDescent="0.25">
      <c r="A74330"/>
      <c r="B74330"/>
      <c r="C74330"/>
      <c r="E74330"/>
      <c r="F74330"/>
    </row>
    <row r="74331" spans="1:6" x14ac:dyDescent="0.25">
      <c r="A74331"/>
      <c r="B74331"/>
      <c r="C74331"/>
      <c r="E74331"/>
      <c r="F74331"/>
    </row>
    <row r="74332" spans="1:6" x14ac:dyDescent="0.25">
      <c r="A74332"/>
      <c r="B74332"/>
      <c r="C74332"/>
      <c r="E74332"/>
      <c r="F74332"/>
    </row>
    <row r="74333" spans="1:6" x14ac:dyDescent="0.25">
      <c r="A74333"/>
      <c r="B74333"/>
      <c r="C74333"/>
      <c r="E74333"/>
      <c r="F74333"/>
    </row>
    <row r="74334" spans="1:6" x14ac:dyDescent="0.25">
      <c r="A74334"/>
      <c r="B74334"/>
      <c r="C74334"/>
      <c r="E74334"/>
      <c r="F74334"/>
    </row>
    <row r="74335" spans="1:6" x14ac:dyDescent="0.25">
      <c r="A74335"/>
      <c r="B74335"/>
      <c r="C74335"/>
      <c r="E74335"/>
      <c r="F74335"/>
    </row>
    <row r="74336" spans="1:6" x14ac:dyDescent="0.25">
      <c r="A74336"/>
      <c r="B74336"/>
      <c r="C74336"/>
      <c r="E74336"/>
      <c r="F74336"/>
    </row>
    <row r="74337" spans="1:6" x14ac:dyDescent="0.25">
      <c r="A74337"/>
      <c r="B74337"/>
      <c r="C74337"/>
      <c r="E74337"/>
      <c r="F74337"/>
    </row>
    <row r="74338" spans="1:6" x14ac:dyDescent="0.25">
      <c r="A74338"/>
      <c r="B74338"/>
      <c r="C74338"/>
      <c r="E74338"/>
      <c r="F74338"/>
    </row>
    <row r="74339" spans="1:6" x14ac:dyDescent="0.25">
      <c r="A74339"/>
      <c r="B74339"/>
      <c r="C74339"/>
      <c r="E74339"/>
      <c r="F74339"/>
    </row>
    <row r="74340" spans="1:6" x14ac:dyDescent="0.25">
      <c r="A74340"/>
      <c r="B74340"/>
      <c r="C74340"/>
      <c r="E74340"/>
      <c r="F74340"/>
    </row>
    <row r="74341" spans="1:6" x14ac:dyDescent="0.25">
      <c r="A74341"/>
      <c r="B74341"/>
      <c r="C74341"/>
      <c r="E74341"/>
      <c r="F74341"/>
    </row>
    <row r="74342" spans="1:6" x14ac:dyDescent="0.25">
      <c r="A74342"/>
      <c r="B74342"/>
      <c r="C74342"/>
      <c r="E74342"/>
      <c r="F74342"/>
    </row>
    <row r="74343" spans="1:6" x14ac:dyDescent="0.25">
      <c r="A74343"/>
      <c r="B74343"/>
      <c r="C74343"/>
      <c r="E74343"/>
      <c r="F74343"/>
    </row>
    <row r="74344" spans="1:6" x14ac:dyDescent="0.25">
      <c r="A74344"/>
      <c r="B74344"/>
      <c r="C74344"/>
      <c r="E74344"/>
      <c r="F74344"/>
    </row>
    <row r="74345" spans="1:6" x14ac:dyDescent="0.25">
      <c r="A74345"/>
      <c r="B74345"/>
      <c r="C74345"/>
      <c r="E74345"/>
      <c r="F74345"/>
    </row>
    <row r="74346" spans="1:6" x14ac:dyDescent="0.25">
      <c r="A74346"/>
      <c r="B74346"/>
      <c r="C74346"/>
      <c r="E74346"/>
      <c r="F74346"/>
    </row>
    <row r="74347" spans="1:6" x14ac:dyDescent="0.25">
      <c r="A74347"/>
      <c r="B74347"/>
      <c r="C74347"/>
      <c r="E74347"/>
      <c r="F74347"/>
    </row>
    <row r="74348" spans="1:6" x14ac:dyDescent="0.25">
      <c r="A74348"/>
      <c r="B74348"/>
      <c r="C74348"/>
      <c r="E74348"/>
      <c r="F74348"/>
    </row>
    <row r="74349" spans="1:6" x14ac:dyDescent="0.25">
      <c r="A74349"/>
      <c r="B74349"/>
      <c r="C74349"/>
      <c r="E74349"/>
      <c r="F74349"/>
    </row>
    <row r="74350" spans="1:6" x14ac:dyDescent="0.25">
      <c r="A74350"/>
      <c r="B74350"/>
      <c r="C74350"/>
      <c r="E74350"/>
      <c r="F74350"/>
    </row>
    <row r="74351" spans="1:6" x14ac:dyDescent="0.25">
      <c r="A74351"/>
      <c r="B74351"/>
      <c r="C74351"/>
      <c r="E74351"/>
      <c r="F74351"/>
    </row>
    <row r="74352" spans="1:6" x14ac:dyDescent="0.25">
      <c r="A74352"/>
      <c r="B74352"/>
      <c r="C74352"/>
      <c r="E74352"/>
      <c r="F74352"/>
    </row>
    <row r="74353" spans="1:6" x14ac:dyDescent="0.25">
      <c r="A74353"/>
      <c r="B74353"/>
      <c r="C74353"/>
      <c r="E74353"/>
      <c r="F74353"/>
    </row>
    <row r="74354" spans="1:6" x14ac:dyDescent="0.25">
      <c r="A74354"/>
      <c r="B74354"/>
      <c r="C74354"/>
      <c r="E74354"/>
      <c r="F74354"/>
    </row>
    <row r="74355" spans="1:6" x14ac:dyDescent="0.25">
      <c r="A74355"/>
      <c r="B74355"/>
      <c r="C74355"/>
      <c r="E74355"/>
      <c r="F74355"/>
    </row>
    <row r="74356" spans="1:6" x14ac:dyDescent="0.25">
      <c r="A74356"/>
      <c r="B74356"/>
      <c r="C74356"/>
      <c r="E74356"/>
      <c r="F74356"/>
    </row>
    <row r="74357" spans="1:6" x14ac:dyDescent="0.25">
      <c r="A74357"/>
      <c r="B74357"/>
      <c r="C74357"/>
      <c r="E74357"/>
      <c r="F74357"/>
    </row>
    <row r="74358" spans="1:6" x14ac:dyDescent="0.25">
      <c r="A74358"/>
      <c r="B74358"/>
      <c r="C74358"/>
      <c r="E74358"/>
      <c r="F74358"/>
    </row>
    <row r="74359" spans="1:6" x14ac:dyDescent="0.25">
      <c r="A74359"/>
      <c r="B74359"/>
      <c r="C74359"/>
      <c r="E74359"/>
      <c r="F74359"/>
    </row>
    <row r="74360" spans="1:6" x14ac:dyDescent="0.25">
      <c r="A74360"/>
      <c r="B74360"/>
      <c r="C74360"/>
      <c r="E74360"/>
      <c r="F74360"/>
    </row>
    <row r="74361" spans="1:6" x14ac:dyDescent="0.25">
      <c r="A74361"/>
      <c r="B74361"/>
      <c r="C74361"/>
      <c r="E74361"/>
      <c r="F74361"/>
    </row>
    <row r="74362" spans="1:6" x14ac:dyDescent="0.25">
      <c r="A74362"/>
      <c r="B74362"/>
      <c r="C74362"/>
      <c r="E74362"/>
      <c r="F74362"/>
    </row>
    <row r="74363" spans="1:6" x14ac:dyDescent="0.25">
      <c r="A74363"/>
      <c r="B74363"/>
      <c r="C74363"/>
      <c r="E74363"/>
      <c r="F74363"/>
    </row>
    <row r="74364" spans="1:6" x14ac:dyDescent="0.25">
      <c r="A74364"/>
      <c r="B74364"/>
      <c r="C74364"/>
      <c r="E74364"/>
      <c r="F74364"/>
    </row>
    <row r="74365" spans="1:6" x14ac:dyDescent="0.25">
      <c r="A74365"/>
      <c r="B74365"/>
      <c r="C74365"/>
      <c r="E74365"/>
      <c r="F74365"/>
    </row>
    <row r="74366" spans="1:6" x14ac:dyDescent="0.25">
      <c r="A74366"/>
      <c r="B74366"/>
      <c r="C74366"/>
      <c r="E74366"/>
      <c r="F74366"/>
    </row>
    <row r="74367" spans="1:6" x14ac:dyDescent="0.25">
      <c r="A74367"/>
      <c r="B74367"/>
      <c r="C74367"/>
      <c r="E74367"/>
      <c r="F74367"/>
    </row>
    <row r="74368" spans="1:6" x14ac:dyDescent="0.25">
      <c r="A74368"/>
      <c r="B74368"/>
      <c r="C74368"/>
      <c r="E74368"/>
      <c r="F74368"/>
    </row>
    <row r="74369" spans="1:6" x14ac:dyDescent="0.25">
      <c r="A74369"/>
      <c r="B74369"/>
      <c r="C74369"/>
      <c r="E74369"/>
      <c r="F74369"/>
    </row>
    <row r="74370" spans="1:6" x14ac:dyDescent="0.25">
      <c r="A74370"/>
      <c r="B74370"/>
      <c r="C74370"/>
      <c r="E74370"/>
      <c r="F74370"/>
    </row>
    <row r="74371" spans="1:6" x14ac:dyDescent="0.25">
      <c r="A74371"/>
      <c r="B74371"/>
      <c r="C74371"/>
      <c r="E74371"/>
      <c r="F74371"/>
    </row>
    <row r="74372" spans="1:6" x14ac:dyDescent="0.25">
      <c r="A74372"/>
      <c r="B74372"/>
      <c r="C74372"/>
      <c r="E74372"/>
      <c r="F74372"/>
    </row>
    <row r="74373" spans="1:6" x14ac:dyDescent="0.25">
      <c r="A74373"/>
      <c r="B74373"/>
      <c r="C74373"/>
      <c r="E74373"/>
      <c r="F74373"/>
    </row>
    <row r="74374" spans="1:6" x14ac:dyDescent="0.25">
      <c r="A74374"/>
      <c r="B74374"/>
      <c r="C74374"/>
      <c r="E74374"/>
      <c r="F74374"/>
    </row>
    <row r="74375" spans="1:6" x14ac:dyDescent="0.25">
      <c r="A74375"/>
      <c r="B74375"/>
      <c r="C74375"/>
      <c r="E74375"/>
      <c r="F74375"/>
    </row>
    <row r="74376" spans="1:6" x14ac:dyDescent="0.25">
      <c r="A74376"/>
      <c r="B74376"/>
      <c r="C74376"/>
      <c r="E74376"/>
      <c r="F74376"/>
    </row>
    <row r="74377" spans="1:6" x14ac:dyDescent="0.25">
      <c r="A74377"/>
      <c r="B74377"/>
      <c r="C74377"/>
      <c r="E74377"/>
      <c r="F74377"/>
    </row>
    <row r="74378" spans="1:6" x14ac:dyDescent="0.25">
      <c r="A74378"/>
      <c r="B74378"/>
      <c r="C74378"/>
      <c r="E74378"/>
      <c r="F74378"/>
    </row>
    <row r="74379" spans="1:6" x14ac:dyDescent="0.25">
      <c r="A74379"/>
      <c r="B74379"/>
      <c r="C74379"/>
      <c r="E74379"/>
      <c r="F74379"/>
    </row>
    <row r="74380" spans="1:6" x14ac:dyDescent="0.25">
      <c r="A74380"/>
      <c r="B74380"/>
      <c r="C74380"/>
      <c r="E74380"/>
      <c r="F74380"/>
    </row>
    <row r="74381" spans="1:6" x14ac:dyDescent="0.25">
      <c r="A74381"/>
      <c r="B74381"/>
      <c r="C74381"/>
      <c r="E74381"/>
      <c r="F74381"/>
    </row>
    <row r="74382" spans="1:6" x14ac:dyDescent="0.25">
      <c r="A74382"/>
      <c r="B74382"/>
      <c r="C74382"/>
      <c r="E74382"/>
      <c r="F74382"/>
    </row>
    <row r="74383" spans="1:6" x14ac:dyDescent="0.25">
      <c r="A74383"/>
      <c r="B74383"/>
      <c r="C74383"/>
      <c r="E74383"/>
      <c r="F74383"/>
    </row>
    <row r="74384" spans="1:6" x14ac:dyDescent="0.25">
      <c r="A74384"/>
      <c r="B74384"/>
      <c r="C74384"/>
      <c r="E74384"/>
      <c r="F74384"/>
    </row>
    <row r="74385" spans="1:6" x14ac:dyDescent="0.25">
      <c r="A74385"/>
      <c r="B74385"/>
      <c r="C74385"/>
      <c r="E74385"/>
      <c r="F74385"/>
    </row>
    <row r="74386" spans="1:6" x14ac:dyDescent="0.25">
      <c r="A74386"/>
      <c r="B74386"/>
      <c r="C74386"/>
      <c r="E74386"/>
      <c r="F74386"/>
    </row>
    <row r="74387" spans="1:6" x14ac:dyDescent="0.25">
      <c r="A74387"/>
      <c r="B74387"/>
      <c r="C74387"/>
      <c r="E74387"/>
      <c r="F74387"/>
    </row>
    <row r="74388" spans="1:6" x14ac:dyDescent="0.25">
      <c r="A74388"/>
      <c r="B74388"/>
      <c r="C74388"/>
      <c r="E74388"/>
      <c r="F74388"/>
    </row>
    <row r="74389" spans="1:6" x14ac:dyDescent="0.25">
      <c r="A74389"/>
      <c r="B74389"/>
      <c r="C74389"/>
      <c r="E74389"/>
      <c r="F74389"/>
    </row>
    <row r="74390" spans="1:6" x14ac:dyDescent="0.25">
      <c r="A74390"/>
      <c r="B74390"/>
      <c r="C74390"/>
      <c r="E74390"/>
      <c r="F74390"/>
    </row>
    <row r="74391" spans="1:6" x14ac:dyDescent="0.25">
      <c r="A74391"/>
      <c r="B74391"/>
      <c r="C74391"/>
      <c r="E74391"/>
      <c r="F74391"/>
    </row>
    <row r="74392" spans="1:6" x14ac:dyDescent="0.25">
      <c r="A74392"/>
      <c r="B74392"/>
      <c r="C74392"/>
      <c r="E74392"/>
      <c r="F74392"/>
    </row>
    <row r="74393" spans="1:6" x14ac:dyDescent="0.25">
      <c r="A74393"/>
      <c r="B74393"/>
      <c r="C74393"/>
      <c r="E74393"/>
      <c r="F74393"/>
    </row>
    <row r="74394" spans="1:6" x14ac:dyDescent="0.25">
      <c r="A74394"/>
      <c r="B74394"/>
      <c r="C74394"/>
      <c r="E74394"/>
      <c r="F74394"/>
    </row>
    <row r="74395" spans="1:6" x14ac:dyDescent="0.25">
      <c r="A74395"/>
      <c r="B74395"/>
      <c r="C74395"/>
      <c r="E74395"/>
      <c r="F74395"/>
    </row>
    <row r="74396" spans="1:6" x14ac:dyDescent="0.25">
      <c r="A74396"/>
      <c r="B74396"/>
      <c r="C74396"/>
      <c r="E74396"/>
      <c r="F74396"/>
    </row>
    <row r="74397" spans="1:6" x14ac:dyDescent="0.25">
      <c r="A74397"/>
      <c r="B74397"/>
      <c r="C74397"/>
      <c r="E74397"/>
      <c r="F74397"/>
    </row>
    <row r="74398" spans="1:6" x14ac:dyDescent="0.25">
      <c r="A74398"/>
      <c r="B74398"/>
      <c r="C74398"/>
      <c r="E74398"/>
      <c r="F74398"/>
    </row>
    <row r="74399" spans="1:6" x14ac:dyDescent="0.25">
      <c r="A74399"/>
      <c r="B74399"/>
      <c r="C74399"/>
      <c r="E74399"/>
      <c r="F74399"/>
    </row>
    <row r="74400" spans="1:6" x14ac:dyDescent="0.25">
      <c r="A74400"/>
      <c r="B74400"/>
      <c r="C74400"/>
      <c r="E74400"/>
      <c r="F74400"/>
    </row>
    <row r="74401" spans="1:6" x14ac:dyDescent="0.25">
      <c r="A74401"/>
      <c r="B74401"/>
      <c r="C74401"/>
      <c r="E74401"/>
      <c r="F74401"/>
    </row>
    <row r="74402" spans="1:6" x14ac:dyDescent="0.25">
      <c r="A74402"/>
      <c r="B74402"/>
      <c r="C74402"/>
      <c r="E74402"/>
      <c r="F74402"/>
    </row>
    <row r="74403" spans="1:6" x14ac:dyDescent="0.25">
      <c r="A74403"/>
      <c r="B74403"/>
      <c r="C74403"/>
      <c r="E74403"/>
      <c r="F74403"/>
    </row>
    <row r="74404" spans="1:6" x14ac:dyDescent="0.25">
      <c r="A74404"/>
      <c r="B74404"/>
      <c r="C74404"/>
      <c r="E74404"/>
      <c r="F74404"/>
    </row>
    <row r="74405" spans="1:6" x14ac:dyDescent="0.25">
      <c r="A74405"/>
      <c r="B74405"/>
      <c r="C74405"/>
      <c r="E74405"/>
      <c r="F74405"/>
    </row>
    <row r="74406" spans="1:6" x14ac:dyDescent="0.25">
      <c r="A74406"/>
      <c r="B74406"/>
      <c r="C74406"/>
      <c r="E74406"/>
      <c r="F74406"/>
    </row>
    <row r="74407" spans="1:6" x14ac:dyDescent="0.25">
      <c r="A74407"/>
      <c r="B74407"/>
      <c r="C74407"/>
      <c r="E74407"/>
      <c r="F74407"/>
    </row>
    <row r="74408" spans="1:6" x14ac:dyDescent="0.25">
      <c r="A74408"/>
      <c r="B74408"/>
      <c r="C74408"/>
      <c r="E74408"/>
      <c r="F74408"/>
    </row>
    <row r="74409" spans="1:6" x14ac:dyDescent="0.25">
      <c r="A74409"/>
      <c r="B74409"/>
      <c r="C74409"/>
      <c r="E74409"/>
      <c r="F74409"/>
    </row>
    <row r="74410" spans="1:6" x14ac:dyDescent="0.25">
      <c r="A74410"/>
      <c r="B74410"/>
      <c r="C74410"/>
      <c r="E74410"/>
      <c r="F74410"/>
    </row>
    <row r="74411" spans="1:6" x14ac:dyDescent="0.25">
      <c r="A74411"/>
      <c r="B74411"/>
      <c r="C74411"/>
      <c r="E74411"/>
      <c r="F74411"/>
    </row>
    <row r="74412" spans="1:6" x14ac:dyDescent="0.25">
      <c r="A74412"/>
      <c r="B74412"/>
      <c r="C74412"/>
      <c r="E74412"/>
      <c r="F74412"/>
    </row>
    <row r="74413" spans="1:6" x14ac:dyDescent="0.25">
      <c r="A74413"/>
      <c r="B74413"/>
      <c r="C74413"/>
      <c r="E74413"/>
      <c r="F74413"/>
    </row>
    <row r="74414" spans="1:6" x14ac:dyDescent="0.25">
      <c r="A74414"/>
      <c r="B74414"/>
      <c r="C74414"/>
      <c r="E74414"/>
      <c r="F74414"/>
    </row>
    <row r="74415" spans="1:6" x14ac:dyDescent="0.25">
      <c r="A74415"/>
      <c r="B74415"/>
      <c r="C74415"/>
      <c r="E74415"/>
      <c r="F74415"/>
    </row>
    <row r="74416" spans="1:6" x14ac:dyDescent="0.25">
      <c r="A74416"/>
      <c r="B74416"/>
      <c r="C74416"/>
      <c r="E74416"/>
      <c r="F74416"/>
    </row>
    <row r="74417" spans="1:6" x14ac:dyDescent="0.25">
      <c r="A74417"/>
      <c r="B74417"/>
      <c r="C74417"/>
      <c r="E74417"/>
      <c r="F74417"/>
    </row>
    <row r="74418" spans="1:6" x14ac:dyDescent="0.25">
      <c r="A74418"/>
      <c r="B74418"/>
      <c r="C74418"/>
      <c r="E74418"/>
      <c r="F74418"/>
    </row>
    <row r="74419" spans="1:6" x14ac:dyDescent="0.25">
      <c r="A74419"/>
      <c r="B74419"/>
      <c r="C74419"/>
      <c r="E74419"/>
      <c r="F74419"/>
    </row>
    <row r="74420" spans="1:6" x14ac:dyDescent="0.25">
      <c r="A74420"/>
      <c r="B74420"/>
      <c r="C74420"/>
      <c r="E74420"/>
      <c r="F74420"/>
    </row>
    <row r="74421" spans="1:6" x14ac:dyDescent="0.25">
      <c r="A74421"/>
      <c r="B74421"/>
      <c r="C74421"/>
      <c r="E74421"/>
      <c r="F74421"/>
    </row>
    <row r="74422" spans="1:6" x14ac:dyDescent="0.25">
      <c r="A74422"/>
      <c r="B74422"/>
      <c r="C74422"/>
      <c r="E74422"/>
      <c r="F74422"/>
    </row>
    <row r="74423" spans="1:6" x14ac:dyDescent="0.25">
      <c r="A74423"/>
      <c r="B74423"/>
      <c r="C74423"/>
      <c r="E74423"/>
      <c r="F74423"/>
    </row>
    <row r="74424" spans="1:6" x14ac:dyDescent="0.25">
      <c r="A74424"/>
      <c r="B74424"/>
      <c r="C74424"/>
      <c r="E74424"/>
      <c r="F74424"/>
    </row>
    <row r="74425" spans="1:6" x14ac:dyDescent="0.25">
      <c r="A74425"/>
      <c r="B74425"/>
      <c r="C74425"/>
      <c r="E74425"/>
      <c r="F74425"/>
    </row>
    <row r="74426" spans="1:6" x14ac:dyDescent="0.25">
      <c r="A74426"/>
      <c r="B74426"/>
      <c r="C74426"/>
      <c r="E74426"/>
      <c r="F74426"/>
    </row>
    <row r="74427" spans="1:6" x14ac:dyDescent="0.25">
      <c r="A74427"/>
      <c r="B74427"/>
      <c r="C74427"/>
      <c r="E74427"/>
      <c r="F74427"/>
    </row>
    <row r="74428" spans="1:6" x14ac:dyDescent="0.25">
      <c r="A74428"/>
      <c r="B74428"/>
      <c r="C74428"/>
      <c r="E74428"/>
      <c r="F74428"/>
    </row>
    <row r="74429" spans="1:6" x14ac:dyDescent="0.25">
      <c r="A74429"/>
      <c r="B74429"/>
      <c r="C74429"/>
      <c r="E74429"/>
      <c r="F74429"/>
    </row>
    <row r="74430" spans="1:6" x14ac:dyDescent="0.25">
      <c r="A74430"/>
      <c r="B74430"/>
      <c r="C74430"/>
      <c r="E74430"/>
      <c r="F74430"/>
    </row>
    <row r="74431" spans="1:6" x14ac:dyDescent="0.25">
      <c r="A74431"/>
      <c r="B74431"/>
      <c r="C74431"/>
      <c r="E74431"/>
      <c r="F74431"/>
    </row>
    <row r="74432" spans="1:6" x14ac:dyDescent="0.25">
      <c r="A74432"/>
      <c r="B74432"/>
      <c r="C74432"/>
      <c r="E74432"/>
      <c r="F74432"/>
    </row>
    <row r="74433" spans="1:6" x14ac:dyDescent="0.25">
      <c r="A74433"/>
      <c r="B74433"/>
      <c r="C74433"/>
      <c r="E74433"/>
      <c r="F74433"/>
    </row>
    <row r="74434" spans="1:6" x14ac:dyDescent="0.25">
      <c r="A74434"/>
      <c r="B74434"/>
      <c r="C74434"/>
      <c r="E74434"/>
      <c r="F74434"/>
    </row>
    <row r="74435" spans="1:6" x14ac:dyDescent="0.25">
      <c r="A74435"/>
      <c r="B74435"/>
      <c r="C74435"/>
      <c r="E74435"/>
      <c r="F74435"/>
    </row>
    <row r="74436" spans="1:6" x14ac:dyDescent="0.25">
      <c r="A74436"/>
      <c r="B74436"/>
      <c r="C74436"/>
      <c r="E74436"/>
      <c r="F74436"/>
    </row>
    <row r="74437" spans="1:6" x14ac:dyDescent="0.25">
      <c r="A74437"/>
      <c r="B74437"/>
      <c r="C74437"/>
      <c r="E74437"/>
      <c r="F74437"/>
    </row>
    <row r="74438" spans="1:6" x14ac:dyDescent="0.25">
      <c r="A74438"/>
      <c r="B74438"/>
      <c r="C74438"/>
      <c r="E74438"/>
      <c r="F74438"/>
    </row>
    <row r="74439" spans="1:6" x14ac:dyDescent="0.25">
      <c r="A74439"/>
      <c r="B74439"/>
      <c r="C74439"/>
      <c r="E74439"/>
      <c r="F74439"/>
    </row>
    <row r="74440" spans="1:6" x14ac:dyDescent="0.25">
      <c r="A74440"/>
      <c r="B74440"/>
      <c r="C74440"/>
      <c r="E74440"/>
      <c r="F74440"/>
    </row>
    <row r="74441" spans="1:6" x14ac:dyDescent="0.25">
      <c r="A74441"/>
      <c r="B74441"/>
      <c r="C74441"/>
      <c r="E74441"/>
      <c r="F74441"/>
    </row>
    <row r="74442" spans="1:6" x14ac:dyDescent="0.25">
      <c r="A74442"/>
      <c r="B74442"/>
      <c r="C74442"/>
      <c r="E74442"/>
      <c r="F74442"/>
    </row>
    <row r="74443" spans="1:6" x14ac:dyDescent="0.25">
      <c r="A74443"/>
      <c r="B74443"/>
      <c r="C74443"/>
      <c r="E74443"/>
      <c r="F74443"/>
    </row>
    <row r="74444" spans="1:6" x14ac:dyDescent="0.25">
      <c r="A74444"/>
      <c r="B74444"/>
      <c r="C74444"/>
      <c r="E74444"/>
      <c r="F74444"/>
    </row>
    <row r="74445" spans="1:6" x14ac:dyDescent="0.25">
      <c r="A74445"/>
      <c r="B74445"/>
      <c r="C74445"/>
      <c r="E74445"/>
      <c r="F74445"/>
    </row>
    <row r="74446" spans="1:6" x14ac:dyDescent="0.25">
      <c r="A74446"/>
      <c r="B74446"/>
      <c r="C74446"/>
      <c r="E74446"/>
      <c r="F74446"/>
    </row>
    <row r="74447" spans="1:6" x14ac:dyDescent="0.25">
      <c r="A74447"/>
      <c r="B74447"/>
      <c r="C74447"/>
      <c r="E74447"/>
      <c r="F74447"/>
    </row>
    <row r="74448" spans="1:6" x14ac:dyDescent="0.25">
      <c r="A74448"/>
      <c r="B74448"/>
      <c r="C74448"/>
      <c r="E74448"/>
      <c r="F74448"/>
    </row>
    <row r="74449" spans="1:6" x14ac:dyDescent="0.25">
      <c r="A74449"/>
      <c r="B74449"/>
      <c r="C74449"/>
      <c r="E74449"/>
      <c r="F74449"/>
    </row>
    <row r="74450" spans="1:6" x14ac:dyDescent="0.25">
      <c r="A74450"/>
      <c r="B74450"/>
      <c r="C74450"/>
      <c r="E74450"/>
      <c r="F74450"/>
    </row>
    <row r="74451" spans="1:6" x14ac:dyDescent="0.25">
      <c r="A74451"/>
      <c r="B74451"/>
      <c r="C74451"/>
      <c r="E74451"/>
      <c r="F74451"/>
    </row>
    <row r="74452" spans="1:6" x14ac:dyDescent="0.25">
      <c r="A74452"/>
      <c r="B74452"/>
      <c r="C74452"/>
      <c r="E74452"/>
      <c r="F74452"/>
    </row>
    <row r="74453" spans="1:6" x14ac:dyDescent="0.25">
      <c r="A74453"/>
      <c r="B74453"/>
      <c r="C74453"/>
      <c r="E74453"/>
      <c r="F74453"/>
    </row>
    <row r="74454" spans="1:6" x14ac:dyDescent="0.25">
      <c r="A74454"/>
      <c r="B74454"/>
      <c r="C74454"/>
      <c r="E74454"/>
      <c r="F74454"/>
    </row>
    <row r="74455" spans="1:6" x14ac:dyDescent="0.25">
      <c r="A74455"/>
      <c r="B74455"/>
      <c r="C74455"/>
      <c r="E74455"/>
      <c r="F74455"/>
    </row>
    <row r="74456" spans="1:6" x14ac:dyDescent="0.25">
      <c r="A74456"/>
      <c r="B74456"/>
      <c r="C74456"/>
      <c r="E74456"/>
      <c r="F74456"/>
    </row>
    <row r="74457" spans="1:6" x14ac:dyDescent="0.25">
      <c r="A74457"/>
      <c r="B74457"/>
      <c r="C74457"/>
      <c r="E74457"/>
      <c r="F74457"/>
    </row>
    <row r="74458" spans="1:6" x14ac:dyDescent="0.25">
      <c r="A74458"/>
      <c r="B74458"/>
      <c r="C74458"/>
      <c r="E74458"/>
      <c r="F74458"/>
    </row>
    <row r="74459" spans="1:6" x14ac:dyDescent="0.25">
      <c r="A74459"/>
      <c r="B74459"/>
      <c r="C74459"/>
      <c r="E74459"/>
      <c r="F74459"/>
    </row>
    <row r="74460" spans="1:6" x14ac:dyDescent="0.25">
      <c r="A74460"/>
      <c r="B74460"/>
      <c r="C74460"/>
      <c r="E74460"/>
      <c r="F74460"/>
    </row>
    <row r="74461" spans="1:6" x14ac:dyDescent="0.25">
      <c r="A74461"/>
      <c r="B74461"/>
      <c r="C74461"/>
      <c r="E74461"/>
      <c r="F74461"/>
    </row>
    <row r="74462" spans="1:6" x14ac:dyDescent="0.25">
      <c r="A74462"/>
      <c r="B74462"/>
      <c r="C74462"/>
      <c r="E74462"/>
      <c r="F74462"/>
    </row>
    <row r="74463" spans="1:6" x14ac:dyDescent="0.25">
      <c r="A74463"/>
      <c r="B74463"/>
      <c r="C74463"/>
      <c r="E74463"/>
      <c r="F74463"/>
    </row>
    <row r="74464" spans="1:6" x14ac:dyDescent="0.25">
      <c r="A74464"/>
      <c r="B74464"/>
      <c r="C74464"/>
      <c r="E74464"/>
      <c r="F74464"/>
    </row>
    <row r="74465" spans="1:6" x14ac:dyDescent="0.25">
      <c r="A74465"/>
      <c r="B74465"/>
      <c r="C74465"/>
      <c r="E74465"/>
      <c r="F74465"/>
    </row>
    <row r="74466" spans="1:6" x14ac:dyDescent="0.25">
      <c r="A74466"/>
      <c r="B74466"/>
      <c r="C74466"/>
      <c r="E74466"/>
      <c r="F74466"/>
    </row>
    <row r="74467" spans="1:6" x14ac:dyDescent="0.25">
      <c r="A74467"/>
      <c r="B74467"/>
      <c r="C74467"/>
      <c r="E74467"/>
      <c r="F74467"/>
    </row>
    <row r="74468" spans="1:6" x14ac:dyDescent="0.25">
      <c r="A74468"/>
      <c r="B74468"/>
      <c r="C74468"/>
      <c r="E74468"/>
      <c r="F74468"/>
    </row>
    <row r="74469" spans="1:6" x14ac:dyDescent="0.25">
      <c r="A74469"/>
      <c r="B74469"/>
      <c r="C74469"/>
      <c r="E74469"/>
      <c r="F74469"/>
    </row>
    <row r="74470" spans="1:6" x14ac:dyDescent="0.25">
      <c r="A74470"/>
      <c r="B74470"/>
      <c r="C74470"/>
      <c r="E74470"/>
      <c r="F74470"/>
    </row>
    <row r="74471" spans="1:6" x14ac:dyDescent="0.25">
      <c r="A74471"/>
      <c r="B74471"/>
      <c r="C74471"/>
      <c r="E74471"/>
      <c r="F74471"/>
    </row>
    <row r="74472" spans="1:6" x14ac:dyDescent="0.25">
      <c r="A74472"/>
      <c r="B74472"/>
      <c r="C74472"/>
      <c r="E74472"/>
      <c r="F74472"/>
    </row>
    <row r="74473" spans="1:6" x14ac:dyDescent="0.25">
      <c r="A74473"/>
      <c r="B74473"/>
      <c r="C74473"/>
      <c r="E74473"/>
      <c r="F74473"/>
    </row>
    <row r="74474" spans="1:6" x14ac:dyDescent="0.25">
      <c r="A74474"/>
      <c r="B74474"/>
      <c r="C74474"/>
      <c r="E74474"/>
      <c r="F74474"/>
    </row>
    <row r="74475" spans="1:6" x14ac:dyDescent="0.25">
      <c r="A74475"/>
      <c r="B74475"/>
      <c r="C74475"/>
      <c r="E74475"/>
      <c r="F74475"/>
    </row>
    <row r="74476" spans="1:6" x14ac:dyDescent="0.25">
      <c r="A74476"/>
      <c r="B74476"/>
      <c r="C74476"/>
      <c r="E74476"/>
      <c r="F74476"/>
    </row>
    <row r="74477" spans="1:6" x14ac:dyDescent="0.25">
      <c r="A74477"/>
      <c r="B74477"/>
      <c r="C74477"/>
      <c r="E74477"/>
      <c r="F74477"/>
    </row>
    <row r="74478" spans="1:6" x14ac:dyDescent="0.25">
      <c r="A74478"/>
      <c r="B74478"/>
      <c r="C74478"/>
      <c r="E74478"/>
      <c r="F74478"/>
    </row>
    <row r="74479" spans="1:6" x14ac:dyDescent="0.25">
      <c r="A74479"/>
      <c r="B74479"/>
      <c r="C74479"/>
      <c r="E74479"/>
      <c r="F74479"/>
    </row>
    <row r="74480" spans="1:6" x14ac:dyDescent="0.25">
      <c r="A74480"/>
      <c r="B74480"/>
      <c r="C74480"/>
      <c r="E74480"/>
      <c r="F74480"/>
    </row>
    <row r="74481" spans="1:6" x14ac:dyDescent="0.25">
      <c r="A74481"/>
      <c r="B74481"/>
      <c r="C74481"/>
      <c r="E74481"/>
      <c r="F74481"/>
    </row>
    <row r="74482" spans="1:6" x14ac:dyDescent="0.25">
      <c r="A74482"/>
      <c r="B74482"/>
      <c r="C74482"/>
      <c r="E74482"/>
      <c r="F74482"/>
    </row>
    <row r="74483" spans="1:6" x14ac:dyDescent="0.25">
      <c r="A74483"/>
      <c r="B74483"/>
      <c r="C74483"/>
      <c r="E74483"/>
      <c r="F74483"/>
    </row>
    <row r="74484" spans="1:6" x14ac:dyDescent="0.25">
      <c r="A74484"/>
      <c r="B74484"/>
      <c r="C74484"/>
      <c r="E74484"/>
      <c r="F74484"/>
    </row>
    <row r="74485" spans="1:6" x14ac:dyDescent="0.25">
      <c r="A74485"/>
      <c r="B74485"/>
      <c r="C74485"/>
      <c r="E74485"/>
      <c r="F74485"/>
    </row>
    <row r="74486" spans="1:6" x14ac:dyDescent="0.25">
      <c r="A74486"/>
      <c r="B74486"/>
      <c r="C74486"/>
      <c r="E74486"/>
      <c r="F74486"/>
    </row>
    <row r="74487" spans="1:6" x14ac:dyDescent="0.25">
      <c r="A74487"/>
      <c r="B74487"/>
      <c r="C74487"/>
      <c r="E74487"/>
      <c r="F74487"/>
    </row>
    <row r="74488" spans="1:6" x14ac:dyDescent="0.25">
      <c r="A74488"/>
      <c r="B74488"/>
      <c r="C74488"/>
      <c r="E74488"/>
      <c r="F74488"/>
    </row>
    <row r="74489" spans="1:6" x14ac:dyDescent="0.25">
      <c r="A74489"/>
      <c r="B74489"/>
      <c r="C74489"/>
      <c r="E74489"/>
      <c r="F74489"/>
    </row>
    <row r="74490" spans="1:6" x14ac:dyDescent="0.25">
      <c r="A74490"/>
      <c r="B74490"/>
      <c r="C74490"/>
      <c r="E74490"/>
      <c r="F74490"/>
    </row>
    <row r="74491" spans="1:6" x14ac:dyDescent="0.25">
      <c r="A74491"/>
      <c r="B74491"/>
      <c r="C74491"/>
      <c r="E74491"/>
      <c r="F74491"/>
    </row>
    <row r="74492" spans="1:6" x14ac:dyDescent="0.25">
      <c r="A74492"/>
      <c r="B74492"/>
      <c r="C74492"/>
      <c r="E74492"/>
      <c r="F74492"/>
    </row>
    <row r="74493" spans="1:6" x14ac:dyDescent="0.25">
      <c r="A74493"/>
      <c r="B74493"/>
      <c r="C74493"/>
      <c r="E74493"/>
      <c r="F74493"/>
    </row>
    <row r="74494" spans="1:6" x14ac:dyDescent="0.25">
      <c r="A74494"/>
      <c r="B74494"/>
      <c r="C74494"/>
      <c r="E74494"/>
      <c r="F74494"/>
    </row>
    <row r="74495" spans="1:6" x14ac:dyDescent="0.25">
      <c r="A74495"/>
      <c r="B74495"/>
      <c r="C74495"/>
      <c r="E74495"/>
      <c r="F74495"/>
    </row>
    <row r="74496" spans="1:6" x14ac:dyDescent="0.25">
      <c r="A74496"/>
      <c r="B74496"/>
      <c r="C74496"/>
      <c r="E74496"/>
      <c r="F74496"/>
    </row>
    <row r="74497" spans="1:6" x14ac:dyDescent="0.25">
      <c r="A74497"/>
      <c r="B74497"/>
      <c r="C74497"/>
      <c r="E74497"/>
      <c r="F74497"/>
    </row>
    <row r="74498" spans="1:6" x14ac:dyDescent="0.25">
      <c r="A74498"/>
      <c r="B74498"/>
      <c r="C74498"/>
      <c r="E74498"/>
      <c r="F74498"/>
    </row>
    <row r="74499" spans="1:6" x14ac:dyDescent="0.25">
      <c r="A74499"/>
      <c r="B74499"/>
      <c r="C74499"/>
      <c r="E74499"/>
      <c r="F74499"/>
    </row>
    <row r="74500" spans="1:6" x14ac:dyDescent="0.25">
      <c r="A74500"/>
      <c r="B74500"/>
      <c r="C74500"/>
      <c r="E74500"/>
      <c r="F74500"/>
    </row>
    <row r="74501" spans="1:6" x14ac:dyDescent="0.25">
      <c r="A74501"/>
      <c r="B74501"/>
      <c r="C74501"/>
      <c r="E74501"/>
      <c r="F74501"/>
    </row>
    <row r="74502" spans="1:6" x14ac:dyDescent="0.25">
      <c r="A74502"/>
      <c r="B74502"/>
      <c r="C74502"/>
      <c r="E74502"/>
      <c r="F74502"/>
    </row>
    <row r="74503" spans="1:6" x14ac:dyDescent="0.25">
      <c r="A74503"/>
      <c r="B74503"/>
      <c r="C74503"/>
      <c r="E74503"/>
      <c r="F74503"/>
    </row>
    <row r="74504" spans="1:6" x14ac:dyDescent="0.25">
      <c r="A74504"/>
      <c r="B74504"/>
      <c r="C74504"/>
      <c r="E74504"/>
      <c r="F74504"/>
    </row>
    <row r="74505" spans="1:6" x14ac:dyDescent="0.25">
      <c r="A74505"/>
      <c r="B74505"/>
      <c r="C74505"/>
      <c r="E74505"/>
      <c r="F74505"/>
    </row>
    <row r="74506" spans="1:6" x14ac:dyDescent="0.25">
      <c r="A74506"/>
      <c r="B74506"/>
      <c r="C74506"/>
      <c r="E74506"/>
      <c r="F74506"/>
    </row>
    <row r="74507" spans="1:6" x14ac:dyDescent="0.25">
      <c r="A74507"/>
      <c r="B74507"/>
      <c r="C74507"/>
      <c r="E74507"/>
      <c r="F74507"/>
    </row>
    <row r="74508" spans="1:6" x14ac:dyDescent="0.25">
      <c r="A74508"/>
      <c r="B74508"/>
      <c r="C74508"/>
      <c r="E74508"/>
      <c r="F74508"/>
    </row>
    <row r="74509" spans="1:6" x14ac:dyDescent="0.25">
      <c r="A74509"/>
      <c r="B74509"/>
      <c r="C74509"/>
      <c r="E74509"/>
      <c r="F74509"/>
    </row>
    <row r="74510" spans="1:6" x14ac:dyDescent="0.25">
      <c r="A74510"/>
      <c r="B74510"/>
      <c r="C74510"/>
      <c r="E74510"/>
      <c r="F74510"/>
    </row>
    <row r="74511" spans="1:6" x14ac:dyDescent="0.25">
      <c r="A74511"/>
      <c r="B74511"/>
      <c r="C74511"/>
      <c r="E74511"/>
      <c r="F74511"/>
    </row>
    <row r="74512" spans="1:6" x14ac:dyDescent="0.25">
      <c r="A74512"/>
      <c r="B74512"/>
      <c r="C74512"/>
      <c r="E74512"/>
      <c r="F74512"/>
    </row>
    <row r="74513" spans="1:6" x14ac:dyDescent="0.25">
      <c r="A74513"/>
      <c r="B74513"/>
      <c r="C74513"/>
      <c r="E74513"/>
      <c r="F74513"/>
    </row>
    <row r="74514" spans="1:6" x14ac:dyDescent="0.25">
      <c r="A74514"/>
      <c r="B74514"/>
      <c r="C74514"/>
      <c r="E74514"/>
      <c r="F74514"/>
    </row>
    <row r="74515" spans="1:6" x14ac:dyDescent="0.25">
      <c r="A74515"/>
      <c r="B74515"/>
      <c r="C74515"/>
      <c r="E74515"/>
      <c r="F74515"/>
    </row>
    <row r="74516" spans="1:6" x14ac:dyDescent="0.25">
      <c r="A74516"/>
      <c r="B74516"/>
      <c r="C74516"/>
      <c r="E74516"/>
      <c r="F74516"/>
    </row>
    <row r="74517" spans="1:6" x14ac:dyDescent="0.25">
      <c r="A74517"/>
      <c r="B74517"/>
      <c r="C74517"/>
      <c r="E74517"/>
      <c r="F74517"/>
    </row>
    <row r="74518" spans="1:6" x14ac:dyDescent="0.25">
      <c r="A74518"/>
      <c r="B74518"/>
      <c r="C74518"/>
      <c r="E74518"/>
      <c r="F74518"/>
    </row>
    <row r="74519" spans="1:6" x14ac:dyDescent="0.25">
      <c r="A74519"/>
      <c r="B74519"/>
      <c r="C74519"/>
      <c r="E74519"/>
      <c r="F74519"/>
    </row>
    <row r="74520" spans="1:6" x14ac:dyDescent="0.25">
      <c r="A74520"/>
      <c r="B74520"/>
      <c r="C74520"/>
      <c r="E74520"/>
      <c r="F74520"/>
    </row>
    <row r="74521" spans="1:6" x14ac:dyDescent="0.25">
      <c r="A74521"/>
      <c r="B74521"/>
      <c r="C74521"/>
      <c r="E74521"/>
      <c r="F74521"/>
    </row>
    <row r="74522" spans="1:6" x14ac:dyDescent="0.25">
      <c r="A74522"/>
      <c r="B74522"/>
      <c r="C74522"/>
      <c r="E74522"/>
      <c r="F74522"/>
    </row>
    <row r="74523" spans="1:6" x14ac:dyDescent="0.25">
      <c r="A74523"/>
      <c r="B74523"/>
      <c r="C74523"/>
      <c r="E74523"/>
      <c r="F74523"/>
    </row>
    <row r="74524" spans="1:6" x14ac:dyDescent="0.25">
      <c r="A74524"/>
      <c r="B74524"/>
      <c r="C74524"/>
      <c r="E74524"/>
      <c r="F74524"/>
    </row>
    <row r="74525" spans="1:6" x14ac:dyDescent="0.25">
      <c r="A74525"/>
      <c r="B74525"/>
      <c r="C74525"/>
      <c r="E74525"/>
      <c r="F74525"/>
    </row>
    <row r="74526" spans="1:6" x14ac:dyDescent="0.25">
      <c r="A74526"/>
      <c r="B74526"/>
      <c r="C74526"/>
      <c r="E74526"/>
      <c r="F74526"/>
    </row>
    <row r="74527" spans="1:6" x14ac:dyDescent="0.25">
      <c r="A74527"/>
      <c r="B74527"/>
      <c r="C74527"/>
      <c r="E74527"/>
      <c r="F74527"/>
    </row>
    <row r="74528" spans="1:6" x14ac:dyDescent="0.25">
      <c r="A74528"/>
      <c r="B74528"/>
      <c r="C74528"/>
      <c r="E74528"/>
      <c r="F74528"/>
    </row>
    <row r="74529" spans="1:6" x14ac:dyDescent="0.25">
      <c r="A74529"/>
      <c r="B74529"/>
      <c r="C74529"/>
      <c r="E74529"/>
      <c r="F74529"/>
    </row>
    <row r="74530" spans="1:6" x14ac:dyDescent="0.25">
      <c r="A74530"/>
      <c r="B74530"/>
      <c r="C74530"/>
      <c r="E74530"/>
      <c r="F74530"/>
    </row>
    <row r="74531" spans="1:6" x14ac:dyDescent="0.25">
      <c r="A74531"/>
      <c r="B74531"/>
      <c r="C74531"/>
      <c r="E74531"/>
      <c r="F74531"/>
    </row>
    <row r="74532" spans="1:6" x14ac:dyDescent="0.25">
      <c r="A74532"/>
      <c r="B74532"/>
      <c r="C74532"/>
      <c r="E74532"/>
      <c r="F74532"/>
    </row>
    <row r="74533" spans="1:6" x14ac:dyDescent="0.25">
      <c r="A74533"/>
      <c r="B74533"/>
      <c r="C74533"/>
      <c r="E74533"/>
      <c r="F74533"/>
    </row>
    <row r="74534" spans="1:6" x14ac:dyDescent="0.25">
      <c r="A74534"/>
      <c r="B74534"/>
      <c r="C74534"/>
      <c r="E74534"/>
      <c r="F74534"/>
    </row>
    <row r="74535" spans="1:6" x14ac:dyDescent="0.25">
      <c r="A74535"/>
      <c r="B74535"/>
      <c r="C74535"/>
      <c r="E74535"/>
      <c r="F74535"/>
    </row>
    <row r="74536" spans="1:6" x14ac:dyDescent="0.25">
      <c r="A74536"/>
      <c r="B74536"/>
      <c r="C74536"/>
      <c r="E74536"/>
      <c r="F74536"/>
    </row>
    <row r="74537" spans="1:6" x14ac:dyDescent="0.25">
      <c r="A74537"/>
      <c r="B74537"/>
      <c r="C74537"/>
      <c r="E74537"/>
      <c r="F74537"/>
    </row>
    <row r="74538" spans="1:6" x14ac:dyDescent="0.25">
      <c r="A74538"/>
      <c r="B74538"/>
      <c r="C74538"/>
      <c r="E74538"/>
      <c r="F74538"/>
    </row>
    <row r="74539" spans="1:6" x14ac:dyDescent="0.25">
      <c r="A74539"/>
      <c r="B74539"/>
      <c r="C74539"/>
      <c r="E74539"/>
      <c r="F74539"/>
    </row>
    <row r="74540" spans="1:6" x14ac:dyDescent="0.25">
      <c r="A74540"/>
      <c r="B74540"/>
      <c r="C74540"/>
      <c r="E74540"/>
      <c r="F74540"/>
    </row>
    <row r="74541" spans="1:6" x14ac:dyDescent="0.25">
      <c r="A74541"/>
      <c r="B74541"/>
      <c r="C74541"/>
      <c r="E74541"/>
      <c r="F74541"/>
    </row>
    <row r="74542" spans="1:6" x14ac:dyDescent="0.25">
      <c r="A74542"/>
      <c r="B74542"/>
      <c r="C74542"/>
      <c r="E74542"/>
      <c r="F74542"/>
    </row>
    <row r="74543" spans="1:6" x14ac:dyDescent="0.25">
      <c r="A74543"/>
      <c r="B74543"/>
      <c r="C74543"/>
      <c r="E74543"/>
      <c r="F74543"/>
    </row>
    <row r="74544" spans="1:6" x14ac:dyDescent="0.25">
      <c r="A74544"/>
      <c r="B74544"/>
      <c r="C74544"/>
      <c r="E74544"/>
      <c r="F74544"/>
    </row>
    <row r="74545" spans="1:6" x14ac:dyDescent="0.25">
      <c r="A74545"/>
      <c r="B74545"/>
      <c r="C74545"/>
      <c r="E74545"/>
      <c r="F74545"/>
    </row>
    <row r="74546" spans="1:6" x14ac:dyDescent="0.25">
      <c r="A74546"/>
      <c r="B74546"/>
      <c r="C74546"/>
      <c r="E74546"/>
      <c r="F74546"/>
    </row>
    <row r="74547" spans="1:6" x14ac:dyDescent="0.25">
      <c r="A74547"/>
      <c r="B74547"/>
      <c r="C74547"/>
      <c r="E74547"/>
      <c r="F74547"/>
    </row>
    <row r="74548" spans="1:6" x14ac:dyDescent="0.25">
      <c r="A74548"/>
      <c r="B74548"/>
      <c r="C74548"/>
      <c r="E74548"/>
      <c r="F74548"/>
    </row>
    <row r="74549" spans="1:6" x14ac:dyDescent="0.25">
      <c r="A74549"/>
      <c r="B74549"/>
      <c r="C74549"/>
      <c r="E74549"/>
      <c r="F74549"/>
    </row>
    <row r="74550" spans="1:6" x14ac:dyDescent="0.25">
      <c r="A74550"/>
      <c r="B74550"/>
      <c r="C74550"/>
      <c r="E74550"/>
      <c r="F74550"/>
    </row>
    <row r="74551" spans="1:6" x14ac:dyDescent="0.25">
      <c r="A74551"/>
      <c r="B74551"/>
      <c r="C74551"/>
      <c r="E74551"/>
      <c r="F74551"/>
    </row>
    <row r="74552" spans="1:6" x14ac:dyDescent="0.25">
      <c r="A74552"/>
      <c r="B74552"/>
      <c r="C74552"/>
      <c r="E74552"/>
      <c r="F74552"/>
    </row>
    <row r="74553" spans="1:6" x14ac:dyDescent="0.25">
      <c r="A74553"/>
      <c r="B74553"/>
      <c r="C74553"/>
      <c r="E74553"/>
      <c r="F74553"/>
    </row>
    <row r="74554" spans="1:6" x14ac:dyDescent="0.25">
      <c r="A74554"/>
      <c r="B74554"/>
      <c r="C74554"/>
      <c r="E74554"/>
      <c r="F74554"/>
    </row>
    <row r="74555" spans="1:6" x14ac:dyDescent="0.25">
      <c r="A74555"/>
      <c r="B74555"/>
      <c r="C74555"/>
      <c r="E74555"/>
      <c r="F74555"/>
    </row>
    <row r="74556" spans="1:6" x14ac:dyDescent="0.25">
      <c r="A74556"/>
      <c r="B74556"/>
      <c r="C74556"/>
      <c r="E74556"/>
      <c r="F74556"/>
    </row>
    <row r="74557" spans="1:6" x14ac:dyDescent="0.25">
      <c r="A74557"/>
      <c r="B74557"/>
      <c r="C74557"/>
      <c r="E74557"/>
      <c r="F74557"/>
    </row>
    <row r="74558" spans="1:6" x14ac:dyDescent="0.25">
      <c r="A74558"/>
      <c r="B74558"/>
      <c r="C74558"/>
      <c r="E74558"/>
      <c r="F74558"/>
    </row>
    <row r="74559" spans="1:6" x14ac:dyDescent="0.25">
      <c r="A74559"/>
      <c r="B74559"/>
      <c r="C74559"/>
      <c r="E74559"/>
      <c r="F74559"/>
    </row>
    <row r="74560" spans="1:6" x14ac:dyDescent="0.25">
      <c r="A74560"/>
      <c r="B74560"/>
      <c r="C74560"/>
      <c r="E74560"/>
      <c r="F74560"/>
    </row>
    <row r="74561" spans="1:6" x14ac:dyDescent="0.25">
      <c r="A74561"/>
      <c r="B74561"/>
      <c r="C74561"/>
      <c r="E74561"/>
      <c r="F74561"/>
    </row>
    <row r="74562" spans="1:6" x14ac:dyDescent="0.25">
      <c r="A74562"/>
      <c r="B74562"/>
      <c r="C74562"/>
      <c r="E74562"/>
      <c r="F74562"/>
    </row>
    <row r="74563" spans="1:6" x14ac:dyDescent="0.25">
      <c r="A74563"/>
      <c r="B74563"/>
      <c r="C74563"/>
      <c r="E74563"/>
      <c r="F74563"/>
    </row>
    <row r="74564" spans="1:6" x14ac:dyDescent="0.25">
      <c r="A74564"/>
      <c r="B74564"/>
      <c r="C74564"/>
      <c r="E74564"/>
      <c r="F74564"/>
    </row>
    <row r="74565" spans="1:6" x14ac:dyDescent="0.25">
      <c r="A74565"/>
      <c r="B74565"/>
      <c r="C74565"/>
      <c r="E74565"/>
      <c r="F74565"/>
    </row>
    <row r="74566" spans="1:6" x14ac:dyDescent="0.25">
      <c r="A74566"/>
      <c r="B74566"/>
      <c r="C74566"/>
      <c r="E74566"/>
      <c r="F74566"/>
    </row>
    <row r="74567" spans="1:6" x14ac:dyDescent="0.25">
      <c r="A74567"/>
      <c r="B74567"/>
      <c r="C74567"/>
      <c r="E74567"/>
      <c r="F74567"/>
    </row>
    <row r="74568" spans="1:6" x14ac:dyDescent="0.25">
      <c r="A74568"/>
      <c r="B74568"/>
      <c r="C74568"/>
      <c r="E74568"/>
      <c r="F74568"/>
    </row>
    <row r="74569" spans="1:6" x14ac:dyDescent="0.25">
      <c r="A74569"/>
      <c r="B74569"/>
      <c r="C74569"/>
      <c r="E74569"/>
      <c r="F74569"/>
    </row>
    <row r="74570" spans="1:6" x14ac:dyDescent="0.25">
      <c r="A74570"/>
      <c r="B74570"/>
      <c r="C74570"/>
      <c r="E74570"/>
      <c r="F74570"/>
    </row>
    <row r="74571" spans="1:6" x14ac:dyDescent="0.25">
      <c r="A74571"/>
      <c r="B74571"/>
      <c r="C74571"/>
      <c r="E74571"/>
      <c r="F74571"/>
    </row>
    <row r="74572" spans="1:6" x14ac:dyDescent="0.25">
      <c r="A74572"/>
      <c r="B74572"/>
      <c r="C74572"/>
      <c r="E74572"/>
      <c r="F74572"/>
    </row>
    <row r="74573" spans="1:6" x14ac:dyDescent="0.25">
      <c r="A74573"/>
      <c r="B74573"/>
      <c r="C74573"/>
      <c r="E74573"/>
      <c r="F74573"/>
    </row>
    <row r="74574" spans="1:6" x14ac:dyDescent="0.25">
      <c r="A74574"/>
      <c r="B74574"/>
      <c r="C74574"/>
      <c r="E74574"/>
      <c r="F74574"/>
    </row>
    <row r="74575" spans="1:6" x14ac:dyDescent="0.25">
      <c r="A74575"/>
      <c r="B74575"/>
      <c r="C74575"/>
      <c r="E74575"/>
      <c r="F74575"/>
    </row>
    <row r="74576" spans="1:6" x14ac:dyDescent="0.25">
      <c r="A74576"/>
      <c r="B74576"/>
      <c r="C74576"/>
      <c r="E74576"/>
      <c r="F74576"/>
    </row>
    <row r="74577" spans="1:6" x14ac:dyDescent="0.25">
      <c r="A74577"/>
      <c r="B74577"/>
      <c r="C74577"/>
      <c r="E74577"/>
      <c r="F74577"/>
    </row>
    <row r="74578" spans="1:6" x14ac:dyDescent="0.25">
      <c r="A74578"/>
      <c r="B74578"/>
      <c r="C74578"/>
      <c r="E74578"/>
      <c r="F74578"/>
    </row>
    <row r="74579" spans="1:6" x14ac:dyDescent="0.25">
      <c r="A74579"/>
      <c r="B74579"/>
      <c r="C74579"/>
      <c r="E74579"/>
      <c r="F74579"/>
    </row>
    <row r="74580" spans="1:6" x14ac:dyDescent="0.25">
      <c r="A74580"/>
      <c r="B74580"/>
      <c r="C74580"/>
      <c r="E74580"/>
      <c r="F74580"/>
    </row>
    <row r="74581" spans="1:6" x14ac:dyDescent="0.25">
      <c r="A74581"/>
      <c r="B74581"/>
      <c r="C74581"/>
      <c r="E74581"/>
      <c r="F74581"/>
    </row>
    <row r="74582" spans="1:6" x14ac:dyDescent="0.25">
      <c r="A74582"/>
      <c r="B74582"/>
      <c r="C74582"/>
      <c r="E74582"/>
      <c r="F74582"/>
    </row>
    <row r="74583" spans="1:6" x14ac:dyDescent="0.25">
      <c r="A74583"/>
      <c r="B74583"/>
      <c r="C74583"/>
      <c r="E74583"/>
      <c r="F74583"/>
    </row>
    <row r="74584" spans="1:6" x14ac:dyDescent="0.25">
      <c r="A74584"/>
      <c r="B74584"/>
      <c r="C74584"/>
      <c r="E74584"/>
      <c r="F74584"/>
    </row>
    <row r="74585" spans="1:6" x14ac:dyDescent="0.25">
      <c r="A74585"/>
      <c r="B74585"/>
      <c r="C74585"/>
      <c r="E74585"/>
      <c r="F74585"/>
    </row>
    <row r="74586" spans="1:6" x14ac:dyDescent="0.25">
      <c r="A74586"/>
      <c r="B74586"/>
      <c r="C74586"/>
      <c r="E74586"/>
      <c r="F74586"/>
    </row>
    <row r="74587" spans="1:6" x14ac:dyDescent="0.25">
      <c r="A74587"/>
      <c r="B74587"/>
      <c r="C74587"/>
      <c r="E74587"/>
      <c r="F74587"/>
    </row>
    <row r="74588" spans="1:6" x14ac:dyDescent="0.25">
      <c r="A74588"/>
      <c r="B74588"/>
      <c r="C74588"/>
      <c r="E74588"/>
      <c r="F74588"/>
    </row>
    <row r="74589" spans="1:6" x14ac:dyDescent="0.25">
      <c r="A74589"/>
      <c r="B74589"/>
      <c r="C74589"/>
      <c r="E74589"/>
      <c r="F74589"/>
    </row>
    <row r="74590" spans="1:6" x14ac:dyDescent="0.25">
      <c r="A74590"/>
      <c r="B74590"/>
      <c r="C74590"/>
      <c r="E74590"/>
      <c r="F74590"/>
    </row>
    <row r="74591" spans="1:6" x14ac:dyDescent="0.25">
      <c r="A74591"/>
      <c r="B74591"/>
      <c r="C74591"/>
      <c r="E74591"/>
      <c r="F74591"/>
    </row>
    <row r="74592" spans="1:6" x14ac:dyDescent="0.25">
      <c r="A74592"/>
      <c r="B74592"/>
      <c r="C74592"/>
      <c r="E74592"/>
      <c r="F74592"/>
    </row>
    <row r="74593" spans="1:6" x14ac:dyDescent="0.25">
      <c r="A74593"/>
      <c r="B74593"/>
      <c r="C74593"/>
      <c r="E74593"/>
      <c r="F74593"/>
    </row>
    <row r="74594" spans="1:6" x14ac:dyDescent="0.25">
      <c r="A74594"/>
      <c r="B74594"/>
      <c r="C74594"/>
      <c r="E74594"/>
      <c r="F74594"/>
    </row>
    <row r="74595" spans="1:6" x14ac:dyDescent="0.25">
      <c r="A74595"/>
      <c r="B74595"/>
      <c r="C74595"/>
      <c r="E74595"/>
      <c r="F74595"/>
    </row>
    <row r="74596" spans="1:6" x14ac:dyDescent="0.25">
      <c r="A74596"/>
      <c r="B74596"/>
      <c r="C74596"/>
      <c r="E74596"/>
      <c r="F74596"/>
    </row>
    <row r="74597" spans="1:6" x14ac:dyDescent="0.25">
      <c r="A74597"/>
      <c r="B74597"/>
      <c r="C74597"/>
      <c r="E74597"/>
      <c r="F74597"/>
    </row>
    <row r="74598" spans="1:6" x14ac:dyDescent="0.25">
      <c r="A74598"/>
      <c r="B74598"/>
      <c r="C74598"/>
      <c r="E74598"/>
      <c r="F74598"/>
    </row>
    <row r="74599" spans="1:6" x14ac:dyDescent="0.25">
      <c r="A74599"/>
      <c r="B74599"/>
      <c r="C74599"/>
      <c r="E74599"/>
      <c r="F74599"/>
    </row>
    <row r="74600" spans="1:6" x14ac:dyDescent="0.25">
      <c r="A74600"/>
      <c r="B74600"/>
      <c r="C74600"/>
      <c r="E74600"/>
      <c r="F74600"/>
    </row>
    <row r="74601" spans="1:6" x14ac:dyDescent="0.25">
      <c r="A74601"/>
      <c r="B74601"/>
      <c r="C74601"/>
      <c r="E74601"/>
      <c r="F74601"/>
    </row>
    <row r="74602" spans="1:6" x14ac:dyDescent="0.25">
      <c r="A74602"/>
      <c r="B74602"/>
      <c r="C74602"/>
      <c r="E74602"/>
      <c r="F74602"/>
    </row>
    <row r="74603" spans="1:6" x14ac:dyDescent="0.25">
      <c r="A74603"/>
      <c r="B74603"/>
      <c r="C74603"/>
      <c r="E74603"/>
      <c r="F74603"/>
    </row>
    <row r="74604" spans="1:6" x14ac:dyDescent="0.25">
      <c r="A74604"/>
      <c r="B74604"/>
      <c r="C74604"/>
      <c r="E74604"/>
      <c r="F74604"/>
    </row>
    <row r="74605" spans="1:6" x14ac:dyDescent="0.25">
      <c r="A74605"/>
      <c r="B74605"/>
      <c r="C74605"/>
      <c r="E74605"/>
      <c r="F74605"/>
    </row>
    <row r="74606" spans="1:6" x14ac:dyDescent="0.25">
      <c r="A74606"/>
      <c r="B74606"/>
      <c r="C74606"/>
      <c r="E74606"/>
      <c r="F74606"/>
    </row>
    <row r="74607" spans="1:6" x14ac:dyDescent="0.25">
      <c r="A74607"/>
      <c r="B74607"/>
      <c r="C74607"/>
      <c r="E74607"/>
      <c r="F74607"/>
    </row>
    <row r="74608" spans="1:6" x14ac:dyDescent="0.25">
      <c r="A74608"/>
      <c r="B74608"/>
      <c r="C74608"/>
      <c r="E74608"/>
      <c r="F74608"/>
    </row>
    <row r="74609" spans="1:6" x14ac:dyDescent="0.25">
      <c r="A74609"/>
      <c r="B74609"/>
      <c r="C74609"/>
      <c r="E74609"/>
      <c r="F74609"/>
    </row>
    <row r="74610" spans="1:6" x14ac:dyDescent="0.25">
      <c r="A74610"/>
      <c r="B74610"/>
      <c r="C74610"/>
      <c r="E74610"/>
      <c r="F74610"/>
    </row>
    <row r="74611" spans="1:6" x14ac:dyDescent="0.25">
      <c r="A74611"/>
      <c r="B74611"/>
      <c r="C74611"/>
      <c r="E74611"/>
      <c r="F74611"/>
    </row>
    <row r="74612" spans="1:6" x14ac:dyDescent="0.25">
      <c r="A74612"/>
      <c r="B74612"/>
      <c r="C74612"/>
      <c r="E74612"/>
      <c r="F74612"/>
    </row>
    <row r="74613" spans="1:6" x14ac:dyDescent="0.25">
      <c r="A74613"/>
      <c r="B74613"/>
      <c r="C74613"/>
      <c r="E74613"/>
      <c r="F74613"/>
    </row>
    <row r="74614" spans="1:6" x14ac:dyDescent="0.25">
      <c r="A74614"/>
      <c r="B74614"/>
      <c r="C74614"/>
      <c r="E74614"/>
      <c r="F74614"/>
    </row>
    <row r="74615" spans="1:6" x14ac:dyDescent="0.25">
      <c r="A74615"/>
      <c r="B74615"/>
      <c r="C74615"/>
      <c r="E74615"/>
      <c r="F74615"/>
    </row>
    <row r="74616" spans="1:6" x14ac:dyDescent="0.25">
      <c r="A74616"/>
      <c r="B74616"/>
      <c r="C74616"/>
      <c r="E74616"/>
      <c r="F74616"/>
    </row>
    <row r="74617" spans="1:6" x14ac:dyDescent="0.25">
      <c r="A74617"/>
      <c r="B74617"/>
      <c r="C74617"/>
      <c r="E74617"/>
      <c r="F74617"/>
    </row>
    <row r="74618" spans="1:6" x14ac:dyDescent="0.25">
      <c r="A74618"/>
      <c r="B74618"/>
      <c r="C74618"/>
      <c r="E74618"/>
      <c r="F74618"/>
    </row>
    <row r="74619" spans="1:6" x14ac:dyDescent="0.25">
      <c r="A74619"/>
      <c r="B74619"/>
      <c r="C74619"/>
      <c r="E74619"/>
      <c r="F74619"/>
    </row>
    <row r="74620" spans="1:6" x14ac:dyDescent="0.25">
      <c r="A74620"/>
      <c r="B74620"/>
      <c r="C74620"/>
      <c r="E74620"/>
      <c r="F74620"/>
    </row>
    <row r="74621" spans="1:6" x14ac:dyDescent="0.25">
      <c r="A74621"/>
      <c r="B74621"/>
      <c r="C74621"/>
      <c r="E74621"/>
      <c r="F74621"/>
    </row>
    <row r="74622" spans="1:6" x14ac:dyDescent="0.25">
      <c r="A74622"/>
      <c r="B74622"/>
      <c r="C74622"/>
      <c r="E74622"/>
      <c r="F74622"/>
    </row>
    <row r="74623" spans="1:6" x14ac:dyDescent="0.25">
      <c r="A74623"/>
      <c r="B74623"/>
      <c r="C74623"/>
      <c r="E74623"/>
      <c r="F74623"/>
    </row>
    <row r="74624" spans="1:6" x14ac:dyDescent="0.25">
      <c r="A74624"/>
      <c r="B74624"/>
      <c r="C74624"/>
      <c r="E74624"/>
      <c r="F74624"/>
    </row>
    <row r="74625" spans="1:6" x14ac:dyDescent="0.25">
      <c r="A74625"/>
      <c r="B74625"/>
      <c r="C74625"/>
      <c r="E74625"/>
      <c r="F74625"/>
    </row>
    <row r="74626" spans="1:6" x14ac:dyDescent="0.25">
      <c r="A74626"/>
      <c r="B74626"/>
      <c r="C74626"/>
      <c r="E74626"/>
      <c r="F74626"/>
    </row>
    <row r="74627" spans="1:6" x14ac:dyDescent="0.25">
      <c r="A74627"/>
      <c r="B74627"/>
      <c r="C74627"/>
      <c r="E74627"/>
      <c r="F74627"/>
    </row>
    <row r="74628" spans="1:6" x14ac:dyDescent="0.25">
      <c r="A74628"/>
      <c r="B74628"/>
      <c r="C74628"/>
      <c r="E74628"/>
      <c r="F74628"/>
    </row>
    <row r="74629" spans="1:6" x14ac:dyDescent="0.25">
      <c r="A74629"/>
      <c r="B74629"/>
      <c r="C74629"/>
      <c r="E74629"/>
      <c r="F74629"/>
    </row>
    <row r="74630" spans="1:6" x14ac:dyDescent="0.25">
      <c r="A74630"/>
      <c r="B74630"/>
      <c r="C74630"/>
      <c r="E74630"/>
      <c r="F74630"/>
    </row>
    <row r="74631" spans="1:6" x14ac:dyDescent="0.25">
      <c r="A74631"/>
      <c r="B74631"/>
      <c r="C74631"/>
      <c r="E74631"/>
      <c r="F74631"/>
    </row>
    <row r="74632" spans="1:6" x14ac:dyDescent="0.25">
      <c r="A74632"/>
      <c r="B74632"/>
      <c r="C74632"/>
      <c r="E74632"/>
      <c r="F74632"/>
    </row>
    <row r="74633" spans="1:6" x14ac:dyDescent="0.25">
      <c r="A74633"/>
      <c r="B74633"/>
      <c r="C74633"/>
      <c r="E74633"/>
      <c r="F74633"/>
    </row>
    <row r="74634" spans="1:6" x14ac:dyDescent="0.25">
      <c r="A74634"/>
      <c r="B74634"/>
      <c r="C74634"/>
      <c r="E74634"/>
      <c r="F74634"/>
    </row>
    <row r="74635" spans="1:6" x14ac:dyDescent="0.25">
      <c r="A74635"/>
      <c r="B74635"/>
      <c r="C74635"/>
      <c r="E74635"/>
      <c r="F74635"/>
    </row>
    <row r="74636" spans="1:6" x14ac:dyDescent="0.25">
      <c r="A74636"/>
      <c r="B74636"/>
      <c r="C74636"/>
      <c r="E74636"/>
      <c r="F74636"/>
    </row>
    <row r="74637" spans="1:6" x14ac:dyDescent="0.25">
      <c r="A74637"/>
      <c r="B74637"/>
      <c r="C74637"/>
      <c r="E74637"/>
      <c r="F74637"/>
    </row>
    <row r="74638" spans="1:6" x14ac:dyDescent="0.25">
      <c r="A74638"/>
      <c r="B74638"/>
      <c r="C74638"/>
      <c r="E74638"/>
      <c r="F74638"/>
    </row>
    <row r="74639" spans="1:6" x14ac:dyDescent="0.25">
      <c r="A74639"/>
      <c r="B74639"/>
      <c r="C74639"/>
      <c r="E74639"/>
      <c r="F74639"/>
    </row>
    <row r="74640" spans="1:6" x14ac:dyDescent="0.25">
      <c r="A74640"/>
      <c r="B74640"/>
      <c r="C74640"/>
      <c r="E74640"/>
      <c r="F74640"/>
    </row>
    <row r="74641" spans="1:6" x14ac:dyDescent="0.25">
      <c r="A74641"/>
      <c r="B74641"/>
      <c r="C74641"/>
      <c r="E74641"/>
      <c r="F74641"/>
    </row>
    <row r="74642" spans="1:6" x14ac:dyDescent="0.25">
      <c r="A74642"/>
      <c r="B74642"/>
      <c r="C74642"/>
      <c r="E74642"/>
      <c r="F74642"/>
    </row>
    <row r="74643" spans="1:6" x14ac:dyDescent="0.25">
      <c r="A74643"/>
      <c r="B74643"/>
      <c r="C74643"/>
      <c r="E74643"/>
      <c r="F74643"/>
    </row>
    <row r="74644" spans="1:6" x14ac:dyDescent="0.25">
      <c r="A74644"/>
      <c r="B74644"/>
      <c r="C74644"/>
      <c r="E74644"/>
      <c r="F74644"/>
    </row>
    <row r="74645" spans="1:6" x14ac:dyDescent="0.25">
      <c r="A74645"/>
      <c r="B74645"/>
      <c r="C74645"/>
      <c r="E74645"/>
      <c r="F74645"/>
    </row>
    <row r="74646" spans="1:6" x14ac:dyDescent="0.25">
      <c r="A74646"/>
      <c r="B74646"/>
      <c r="C74646"/>
      <c r="E74646"/>
      <c r="F74646"/>
    </row>
    <row r="74647" spans="1:6" x14ac:dyDescent="0.25">
      <c r="A74647"/>
      <c r="B74647"/>
      <c r="C74647"/>
      <c r="E74647"/>
      <c r="F74647"/>
    </row>
    <row r="74648" spans="1:6" x14ac:dyDescent="0.25">
      <c r="A74648"/>
      <c r="B74648"/>
      <c r="C74648"/>
      <c r="E74648"/>
      <c r="F74648"/>
    </row>
    <row r="74649" spans="1:6" x14ac:dyDescent="0.25">
      <c r="A74649"/>
      <c r="B74649"/>
      <c r="C74649"/>
      <c r="E74649"/>
      <c r="F74649"/>
    </row>
    <row r="74650" spans="1:6" x14ac:dyDescent="0.25">
      <c r="A74650"/>
      <c r="B74650"/>
      <c r="C74650"/>
      <c r="E74650"/>
      <c r="F74650"/>
    </row>
    <row r="74651" spans="1:6" x14ac:dyDescent="0.25">
      <c r="A74651"/>
      <c r="B74651"/>
      <c r="C74651"/>
      <c r="E74651"/>
      <c r="F74651"/>
    </row>
    <row r="74652" spans="1:6" x14ac:dyDescent="0.25">
      <c r="A74652"/>
      <c r="B74652"/>
      <c r="C74652"/>
      <c r="E74652"/>
      <c r="F74652"/>
    </row>
    <row r="74653" spans="1:6" x14ac:dyDescent="0.25">
      <c r="A74653"/>
      <c r="B74653"/>
      <c r="C74653"/>
      <c r="E74653"/>
      <c r="F74653"/>
    </row>
    <row r="74654" spans="1:6" x14ac:dyDescent="0.25">
      <c r="A74654"/>
      <c r="B74654"/>
      <c r="C74654"/>
      <c r="E74654"/>
      <c r="F74654"/>
    </row>
    <row r="74655" spans="1:6" x14ac:dyDescent="0.25">
      <c r="A74655"/>
      <c r="B74655"/>
      <c r="C74655"/>
      <c r="E74655"/>
      <c r="F74655"/>
    </row>
    <row r="74656" spans="1:6" x14ac:dyDescent="0.25">
      <c r="A74656"/>
      <c r="B74656"/>
      <c r="C74656"/>
      <c r="E74656"/>
      <c r="F74656"/>
    </row>
    <row r="74657" spans="1:6" x14ac:dyDescent="0.25">
      <c r="A74657"/>
      <c r="B74657"/>
      <c r="C74657"/>
      <c r="E74657"/>
      <c r="F74657"/>
    </row>
    <row r="74658" spans="1:6" x14ac:dyDescent="0.25">
      <c r="A74658"/>
      <c r="B74658"/>
      <c r="C74658"/>
      <c r="E74658"/>
      <c r="F74658"/>
    </row>
    <row r="74659" spans="1:6" x14ac:dyDescent="0.25">
      <c r="A74659"/>
      <c r="B74659"/>
      <c r="C74659"/>
      <c r="E74659"/>
      <c r="F74659"/>
    </row>
    <row r="74660" spans="1:6" x14ac:dyDescent="0.25">
      <c r="A74660"/>
      <c r="B74660"/>
      <c r="C74660"/>
      <c r="E74660"/>
      <c r="F74660"/>
    </row>
    <row r="74661" spans="1:6" x14ac:dyDescent="0.25">
      <c r="A74661"/>
      <c r="B74661"/>
      <c r="C74661"/>
      <c r="E74661"/>
      <c r="F74661"/>
    </row>
    <row r="74662" spans="1:6" x14ac:dyDescent="0.25">
      <c r="A74662"/>
      <c r="B74662"/>
      <c r="C74662"/>
      <c r="E74662"/>
      <c r="F74662"/>
    </row>
    <row r="74663" spans="1:6" x14ac:dyDescent="0.25">
      <c r="A74663"/>
      <c r="B74663"/>
      <c r="C74663"/>
      <c r="E74663"/>
      <c r="F74663"/>
    </row>
    <row r="74664" spans="1:6" x14ac:dyDescent="0.25">
      <c r="A74664"/>
      <c r="B74664"/>
      <c r="C74664"/>
      <c r="E74664"/>
      <c r="F74664"/>
    </row>
    <row r="74665" spans="1:6" x14ac:dyDescent="0.25">
      <c r="A74665"/>
      <c r="B74665"/>
      <c r="C74665"/>
      <c r="E74665"/>
      <c r="F74665"/>
    </row>
    <row r="74666" spans="1:6" x14ac:dyDescent="0.25">
      <c r="A74666"/>
      <c r="B74666"/>
      <c r="C74666"/>
      <c r="E74666"/>
      <c r="F74666"/>
    </row>
    <row r="74667" spans="1:6" x14ac:dyDescent="0.25">
      <c r="A74667"/>
      <c r="B74667"/>
      <c r="C74667"/>
      <c r="E74667"/>
      <c r="F74667"/>
    </row>
    <row r="74668" spans="1:6" x14ac:dyDescent="0.25">
      <c r="A74668"/>
      <c r="B74668"/>
      <c r="C74668"/>
      <c r="E74668"/>
      <c r="F74668"/>
    </row>
    <row r="74669" spans="1:6" x14ac:dyDescent="0.25">
      <c r="A74669"/>
      <c r="B74669"/>
      <c r="C74669"/>
      <c r="E74669"/>
      <c r="F74669"/>
    </row>
    <row r="74670" spans="1:6" x14ac:dyDescent="0.25">
      <c r="A74670"/>
      <c r="B74670"/>
      <c r="C74670"/>
      <c r="E74670"/>
      <c r="F74670"/>
    </row>
    <row r="74671" spans="1:6" x14ac:dyDescent="0.25">
      <c r="A74671"/>
      <c r="B74671"/>
      <c r="C74671"/>
      <c r="E74671"/>
      <c r="F74671"/>
    </row>
    <row r="74672" spans="1:6" x14ac:dyDescent="0.25">
      <c r="A74672"/>
      <c r="B74672"/>
      <c r="C74672"/>
      <c r="E74672"/>
      <c r="F74672"/>
    </row>
    <row r="74673" spans="1:6" x14ac:dyDescent="0.25">
      <c r="A74673"/>
      <c r="B74673"/>
      <c r="C74673"/>
      <c r="E74673"/>
      <c r="F74673"/>
    </row>
    <row r="74674" spans="1:6" x14ac:dyDescent="0.25">
      <c r="A74674"/>
      <c r="B74674"/>
      <c r="C74674"/>
      <c r="E74674"/>
      <c r="F74674"/>
    </row>
    <row r="74675" spans="1:6" x14ac:dyDescent="0.25">
      <c r="A74675"/>
      <c r="B74675"/>
      <c r="C74675"/>
      <c r="E74675"/>
      <c r="F74675"/>
    </row>
    <row r="74676" spans="1:6" x14ac:dyDescent="0.25">
      <c r="A74676"/>
      <c r="B74676"/>
      <c r="C74676"/>
      <c r="E74676"/>
      <c r="F74676"/>
    </row>
    <row r="74677" spans="1:6" x14ac:dyDescent="0.25">
      <c r="A74677"/>
      <c r="B74677"/>
      <c r="C74677"/>
      <c r="E74677"/>
      <c r="F74677"/>
    </row>
    <row r="74678" spans="1:6" x14ac:dyDescent="0.25">
      <c r="A74678"/>
      <c r="B74678"/>
      <c r="C74678"/>
      <c r="E74678"/>
      <c r="F74678"/>
    </row>
    <row r="74679" spans="1:6" x14ac:dyDescent="0.25">
      <c r="A74679"/>
      <c r="B74679"/>
      <c r="C74679"/>
      <c r="E74679"/>
      <c r="F74679"/>
    </row>
    <row r="74680" spans="1:6" x14ac:dyDescent="0.25">
      <c r="A74680"/>
      <c r="B74680"/>
      <c r="C74680"/>
      <c r="E74680"/>
      <c r="F74680"/>
    </row>
    <row r="74681" spans="1:6" x14ac:dyDescent="0.25">
      <c r="A74681"/>
      <c r="B74681"/>
      <c r="C74681"/>
      <c r="E74681"/>
      <c r="F74681"/>
    </row>
    <row r="74682" spans="1:6" x14ac:dyDescent="0.25">
      <c r="A74682"/>
      <c r="B74682"/>
      <c r="C74682"/>
      <c r="E74682"/>
      <c r="F74682"/>
    </row>
    <row r="74683" spans="1:6" x14ac:dyDescent="0.25">
      <c r="A74683"/>
      <c r="B74683"/>
      <c r="C74683"/>
      <c r="E74683"/>
      <c r="F74683"/>
    </row>
    <row r="74684" spans="1:6" x14ac:dyDescent="0.25">
      <c r="A74684"/>
      <c r="B74684"/>
      <c r="C74684"/>
      <c r="E74684"/>
      <c r="F74684"/>
    </row>
    <row r="74685" spans="1:6" x14ac:dyDescent="0.25">
      <c r="A74685"/>
      <c r="B74685"/>
      <c r="C74685"/>
      <c r="E74685"/>
      <c r="F74685"/>
    </row>
    <row r="74686" spans="1:6" x14ac:dyDescent="0.25">
      <c r="A74686"/>
      <c r="B74686"/>
      <c r="C74686"/>
      <c r="E74686"/>
      <c r="F74686"/>
    </row>
    <row r="74687" spans="1:6" x14ac:dyDescent="0.25">
      <c r="A74687"/>
      <c r="B74687"/>
      <c r="C74687"/>
      <c r="E74687"/>
      <c r="F74687"/>
    </row>
    <row r="74688" spans="1:6" x14ac:dyDescent="0.25">
      <c r="A74688"/>
      <c r="B74688"/>
      <c r="C74688"/>
      <c r="E74688"/>
      <c r="F74688"/>
    </row>
    <row r="74689" spans="1:6" x14ac:dyDescent="0.25">
      <c r="A74689"/>
      <c r="B74689"/>
      <c r="C74689"/>
      <c r="E74689"/>
      <c r="F74689"/>
    </row>
    <row r="74690" spans="1:6" x14ac:dyDescent="0.25">
      <c r="A74690"/>
      <c r="B74690"/>
      <c r="C74690"/>
      <c r="E74690"/>
      <c r="F74690"/>
    </row>
    <row r="74691" spans="1:6" x14ac:dyDescent="0.25">
      <c r="A74691"/>
      <c r="B74691"/>
      <c r="C74691"/>
      <c r="E74691"/>
      <c r="F74691"/>
    </row>
    <row r="74692" spans="1:6" x14ac:dyDescent="0.25">
      <c r="A74692"/>
      <c r="B74692"/>
      <c r="C74692"/>
      <c r="E74692"/>
      <c r="F74692"/>
    </row>
    <row r="74693" spans="1:6" x14ac:dyDescent="0.25">
      <c r="A74693"/>
      <c r="B74693"/>
      <c r="C74693"/>
      <c r="E74693"/>
      <c r="F74693"/>
    </row>
    <row r="74694" spans="1:6" x14ac:dyDescent="0.25">
      <c r="A74694"/>
      <c r="B74694"/>
      <c r="C74694"/>
      <c r="E74694"/>
      <c r="F74694"/>
    </row>
    <row r="74695" spans="1:6" x14ac:dyDescent="0.25">
      <c r="A74695"/>
      <c r="B74695"/>
      <c r="C74695"/>
      <c r="E74695"/>
      <c r="F74695"/>
    </row>
    <row r="74696" spans="1:6" x14ac:dyDescent="0.25">
      <c r="A74696"/>
      <c r="B74696"/>
      <c r="C74696"/>
      <c r="E74696"/>
      <c r="F74696"/>
    </row>
    <row r="74697" spans="1:6" x14ac:dyDescent="0.25">
      <c r="A74697"/>
      <c r="B74697"/>
      <c r="C74697"/>
      <c r="E74697"/>
      <c r="F74697"/>
    </row>
    <row r="74698" spans="1:6" x14ac:dyDescent="0.25">
      <c r="A74698"/>
      <c r="B74698"/>
      <c r="C74698"/>
      <c r="E74698"/>
      <c r="F74698"/>
    </row>
    <row r="74699" spans="1:6" x14ac:dyDescent="0.25">
      <c r="A74699"/>
      <c r="B74699"/>
      <c r="C74699"/>
      <c r="E74699"/>
      <c r="F74699"/>
    </row>
    <row r="74700" spans="1:6" x14ac:dyDescent="0.25">
      <c r="A74700"/>
      <c r="B74700"/>
      <c r="C74700"/>
      <c r="E74700"/>
      <c r="F74700"/>
    </row>
    <row r="74701" spans="1:6" x14ac:dyDescent="0.25">
      <c r="A74701"/>
      <c r="B74701"/>
      <c r="C74701"/>
      <c r="E74701"/>
      <c r="F74701"/>
    </row>
    <row r="74702" spans="1:6" x14ac:dyDescent="0.25">
      <c r="A74702"/>
      <c r="B74702"/>
      <c r="C74702"/>
      <c r="E74702"/>
      <c r="F74702"/>
    </row>
    <row r="74703" spans="1:6" x14ac:dyDescent="0.25">
      <c r="A74703"/>
      <c r="B74703"/>
      <c r="C74703"/>
      <c r="E74703"/>
      <c r="F74703"/>
    </row>
    <row r="74704" spans="1:6" x14ac:dyDescent="0.25">
      <c r="A74704"/>
      <c r="B74704"/>
      <c r="C74704"/>
      <c r="E74704"/>
      <c r="F74704"/>
    </row>
    <row r="74705" spans="1:6" x14ac:dyDescent="0.25">
      <c r="A74705"/>
      <c r="B74705"/>
      <c r="C74705"/>
      <c r="E74705"/>
      <c r="F74705"/>
    </row>
    <row r="74706" spans="1:6" x14ac:dyDescent="0.25">
      <c r="A74706"/>
      <c r="B74706"/>
      <c r="C74706"/>
      <c r="E74706"/>
      <c r="F74706"/>
    </row>
    <row r="74707" spans="1:6" x14ac:dyDescent="0.25">
      <c r="A74707"/>
      <c r="B74707"/>
      <c r="C74707"/>
      <c r="E74707"/>
      <c r="F74707"/>
    </row>
    <row r="74708" spans="1:6" x14ac:dyDescent="0.25">
      <c r="A74708"/>
      <c r="B74708"/>
      <c r="C74708"/>
      <c r="E74708"/>
      <c r="F74708"/>
    </row>
    <row r="74709" spans="1:6" x14ac:dyDescent="0.25">
      <c r="A74709"/>
      <c r="B74709"/>
      <c r="C74709"/>
      <c r="E74709"/>
      <c r="F74709"/>
    </row>
    <row r="74710" spans="1:6" x14ac:dyDescent="0.25">
      <c r="A74710"/>
      <c r="B74710"/>
      <c r="C74710"/>
      <c r="E74710"/>
      <c r="F74710"/>
    </row>
    <row r="74711" spans="1:6" x14ac:dyDescent="0.25">
      <c r="A74711"/>
      <c r="B74711"/>
      <c r="C74711"/>
      <c r="E74711"/>
      <c r="F74711"/>
    </row>
    <row r="74712" spans="1:6" x14ac:dyDescent="0.25">
      <c r="A74712"/>
      <c r="B74712"/>
      <c r="C74712"/>
      <c r="E74712"/>
      <c r="F74712"/>
    </row>
    <row r="74713" spans="1:6" x14ac:dyDescent="0.25">
      <c r="A74713"/>
      <c r="B74713"/>
      <c r="C74713"/>
      <c r="E74713"/>
      <c r="F74713"/>
    </row>
    <row r="74714" spans="1:6" x14ac:dyDescent="0.25">
      <c r="A74714"/>
      <c r="B74714"/>
      <c r="C74714"/>
      <c r="E74714"/>
      <c r="F74714"/>
    </row>
    <row r="74715" spans="1:6" x14ac:dyDescent="0.25">
      <c r="A74715"/>
      <c r="B74715"/>
      <c r="C74715"/>
      <c r="E74715"/>
      <c r="F74715"/>
    </row>
    <row r="74716" spans="1:6" x14ac:dyDescent="0.25">
      <c r="A74716"/>
      <c r="B74716"/>
      <c r="C74716"/>
      <c r="E74716"/>
      <c r="F74716"/>
    </row>
    <row r="74717" spans="1:6" x14ac:dyDescent="0.25">
      <c r="A74717"/>
      <c r="B74717"/>
      <c r="C74717"/>
      <c r="E74717"/>
      <c r="F74717"/>
    </row>
    <row r="74718" spans="1:6" x14ac:dyDescent="0.25">
      <c r="A74718"/>
      <c r="B74718"/>
      <c r="C74718"/>
      <c r="E74718"/>
      <c r="F74718"/>
    </row>
    <row r="74719" spans="1:6" x14ac:dyDescent="0.25">
      <c r="A74719"/>
      <c r="B74719"/>
      <c r="C74719"/>
      <c r="E74719"/>
      <c r="F74719"/>
    </row>
    <row r="74720" spans="1:6" x14ac:dyDescent="0.25">
      <c r="A74720"/>
      <c r="B74720"/>
      <c r="C74720"/>
      <c r="E74720"/>
      <c r="F74720"/>
    </row>
    <row r="74721" spans="1:6" x14ac:dyDescent="0.25">
      <c r="A74721"/>
      <c r="B74721"/>
      <c r="C74721"/>
      <c r="E74721"/>
      <c r="F74721"/>
    </row>
    <row r="74722" spans="1:6" x14ac:dyDescent="0.25">
      <c r="A74722"/>
      <c r="B74722"/>
      <c r="C74722"/>
      <c r="E74722"/>
      <c r="F74722"/>
    </row>
    <row r="74723" spans="1:6" x14ac:dyDescent="0.25">
      <c r="A74723"/>
      <c r="B74723"/>
      <c r="C74723"/>
      <c r="E74723"/>
      <c r="F74723"/>
    </row>
    <row r="74724" spans="1:6" x14ac:dyDescent="0.25">
      <c r="A74724"/>
      <c r="B74724"/>
      <c r="C74724"/>
      <c r="E74724"/>
      <c r="F74724"/>
    </row>
    <row r="74725" spans="1:6" x14ac:dyDescent="0.25">
      <c r="A74725"/>
      <c r="B74725"/>
      <c r="C74725"/>
      <c r="E74725"/>
      <c r="F74725"/>
    </row>
    <row r="74726" spans="1:6" x14ac:dyDescent="0.25">
      <c r="A74726"/>
      <c r="B74726"/>
      <c r="C74726"/>
      <c r="E74726"/>
      <c r="F74726"/>
    </row>
    <row r="74727" spans="1:6" x14ac:dyDescent="0.25">
      <c r="A74727"/>
      <c r="B74727"/>
      <c r="C74727"/>
      <c r="E74727"/>
      <c r="F74727"/>
    </row>
    <row r="74728" spans="1:6" x14ac:dyDescent="0.25">
      <c r="A74728"/>
      <c r="B74728"/>
      <c r="C74728"/>
      <c r="E74728"/>
      <c r="F74728"/>
    </row>
    <row r="74729" spans="1:6" x14ac:dyDescent="0.25">
      <c r="A74729"/>
      <c r="B74729"/>
      <c r="C74729"/>
      <c r="E74729"/>
      <c r="F74729"/>
    </row>
    <row r="74730" spans="1:6" x14ac:dyDescent="0.25">
      <c r="A74730"/>
      <c r="B74730"/>
      <c r="C74730"/>
      <c r="E74730"/>
      <c r="F74730"/>
    </row>
    <row r="74731" spans="1:6" x14ac:dyDescent="0.25">
      <c r="A74731"/>
      <c r="B74731"/>
      <c r="C74731"/>
      <c r="E74731"/>
      <c r="F74731"/>
    </row>
    <row r="74732" spans="1:6" x14ac:dyDescent="0.25">
      <c r="A74732"/>
      <c r="B74732"/>
      <c r="C74732"/>
      <c r="E74732"/>
      <c r="F74732"/>
    </row>
    <row r="74733" spans="1:6" x14ac:dyDescent="0.25">
      <c r="A74733"/>
      <c r="B74733"/>
      <c r="C74733"/>
      <c r="E74733"/>
      <c r="F74733"/>
    </row>
    <row r="74734" spans="1:6" x14ac:dyDescent="0.25">
      <c r="A74734"/>
      <c r="B74734"/>
      <c r="C74734"/>
      <c r="E74734"/>
      <c r="F74734"/>
    </row>
    <row r="74735" spans="1:6" x14ac:dyDescent="0.25">
      <c r="A74735"/>
      <c r="B74735"/>
      <c r="C74735"/>
      <c r="E74735"/>
      <c r="F74735"/>
    </row>
    <row r="74736" spans="1:6" x14ac:dyDescent="0.25">
      <c r="A74736"/>
      <c r="B74736"/>
      <c r="C74736"/>
      <c r="E74736"/>
      <c r="F74736"/>
    </row>
    <row r="74737" spans="1:6" x14ac:dyDescent="0.25">
      <c r="A74737"/>
      <c r="B74737"/>
      <c r="C74737"/>
      <c r="E74737"/>
      <c r="F74737"/>
    </row>
    <row r="74738" spans="1:6" x14ac:dyDescent="0.25">
      <c r="A74738"/>
      <c r="B74738"/>
      <c r="C74738"/>
      <c r="E74738"/>
      <c r="F74738"/>
    </row>
    <row r="74739" spans="1:6" x14ac:dyDescent="0.25">
      <c r="A74739"/>
      <c r="B74739"/>
      <c r="C74739"/>
      <c r="E74739"/>
      <c r="F74739"/>
    </row>
    <row r="74740" spans="1:6" x14ac:dyDescent="0.25">
      <c r="A74740"/>
      <c r="B74740"/>
      <c r="C74740"/>
      <c r="E74740"/>
      <c r="F74740"/>
    </row>
    <row r="74741" spans="1:6" x14ac:dyDescent="0.25">
      <c r="A74741"/>
      <c r="B74741"/>
      <c r="C74741"/>
      <c r="E74741"/>
      <c r="F74741"/>
    </row>
    <row r="74742" spans="1:6" x14ac:dyDescent="0.25">
      <c r="A74742"/>
      <c r="B74742"/>
      <c r="C74742"/>
      <c r="E74742"/>
      <c r="F74742"/>
    </row>
    <row r="74743" spans="1:6" x14ac:dyDescent="0.25">
      <c r="A74743"/>
      <c r="B74743"/>
      <c r="C74743"/>
      <c r="E74743"/>
      <c r="F74743"/>
    </row>
    <row r="74744" spans="1:6" x14ac:dyDescent="0.25">
      <c r="A74744"/>
      <c r="B74744"/>
      <c r="C74744"/>
      <c r="E74744"/>
      <c r="F74744"/>
    </row>
    <row r="74745" spans="1:6" x14ac:dyDescent="0.25">
      <c r="A74745"/>
      <c r="B74745"/>
      <c r="C74745"/>
      <c r="E74745"/>
      <c r="F74745"/>
    </row>
    <row r="74746" spans="1:6" x14ac:dyDescent="0.25">
      <c r="A74746"/>
      <c r="B74746"/>
      <c r="C74746"/>
      <c r="E74746"/>
      <c r="F74746"/>
    </row>
    <row r="74747" spans="1:6" x14ac:dyDescent="0.25">
      <c r="A74747"/>
      <c r="B74747"/>
      <c r="C74747"/>
      <c r="E74747"/>
      <c r="F74747"/>
    </row>
    <row r="74748" spans="1:6" x14ac:dyDescent="0.25">
      <c r="A74748"/>
      <c r="B74748"/>
      <c r="C74748"/>
      <c r="E74748"/>
      <c r="F74748"/>
    </row>
    <row r="74749" spans="1:6" x14ac:dyDescent="0.25">
      <c r="A74749"/>
      <c r="B74749"/>
      <c r="C74749"/>
      <c r="E74749"/>
      <c r="F74749"/>
    </row>
    <row r="74750" spans="1:6" x14ac:dyDescent="0.25">
      <c r="A74750"/>
      <c r="B74750"/>
      <c r="C74750"/>
      <c r="E74750"/>
      <c r="F74750"/>
    </row>
    <row r="74751" spans="1:6" x14ac:dyDescent="0.25">
      <c r="A74751"/>
      <c r="B74751"/>
      <c r="C74751"/>
      <c r="E74751"/>
      <c r="F74751"/>
    </row>
    <row r="74752" spans="1:6" x14ac:dyDescent="0.25">
      <c r="A74752"/>
      <c r="B74752"/>
      <c r="C74752"/>
      <c r="E74752"/>
      <c r="F74752"/>
    </row>
    <row r="74753" spans="1:6" x14ac:dyDescent="0.25">
      <c r="A74753"/>
      <c r="B74753"/>
      <c r="C74753"/>
      <c r="E74753"/>
      <c r="F74753"/>
    </row>
    <row r="74754" spans="1:6" x14ac:dyDescent="0.25">
      <c r="A74754"/>
      <c r="B74754"/>
      <c r="C74754"/>
      <c r="E74754"/>
      <c r="F74754"/>
    </row>
    <row r="74755" spans="1:6" x14ac:dyDescent="0.25">
      <c r="A74755"/>
      <c r="B74755"/>
      <c r="C74755"/>
      <c r="E74755"/>
      <c r="F74755"/>
    </row>
    <row r="74756" spans="1:6" x14ac:dyDescent="0.25">
      <c r="A74756"/>
      <c r="B74756"/>
      <c r="C74756"/>
      <c r="E74756"/>
      <c r="F74756"/>
    </row>
    <row r="74757" spans="1:6" x14ac:dyDescent="0.25">
      <c r="A74757"/>
      <c r="B74757"/>
      <c r="C74757"/>
      <c r="E74757"/>
      <c r="F74757"/>
    </row>
    <row r="74758" spans="1:6" x14ac:dyDescent="0.25">
      <c r="A74758"/>
      <c r="B74758"/>
      <c r="C74758"/>
      <c r="E74758"/>
      <c r="F74758"/>
    </row>
    <row r="74759" spans="1:6" x14ac:dyDescent="0.25">
      <c r="A74759"/>
      <c r="B74759"/>
      <c r="C74759"/>
      <c r="E74759"/>
      <c r="F74759"/>
    </row>
    <row r="74760" spans="1:6" x14ac:dyDescent="0.25">
      <c r="A74760"/>
      <c r="B74760"/>
      <c r="C74760"/>
      <c r="E74760"/>
      <c r="F74760"/>
    </row>
    <row r="74761" spans="1:6" x14ac:dyDescent="0.25">
      <c r="A74761"/>
      <c r="B74761"/>
      <c r="C74761"/>
      <c r="E74761"/>
      <c r="F74761"/>
    </row>
    <row r="74762" spans="1:6" x14ac:dyDescent="0.25">
      <c r="A74762"/>
      <c r="B74762"/>
      <c r="C74762"/>
      <c r="E74762"/>
      <c r="F74762"/>
    </row>
    <row r="74763" spans="1:6" x14ac:dyDescent="0.25">
      <c r="A74763"/>
      <c r="B74763"/>
      <c r="C74763"/>
      <c r="E74763"/>
      <c r="F74763"/>
    </row>
    <row r="74764" spans="1:6" x14ac:dyDescent="0.25">
      <c r="A74764"/>
      <c r="B74764"/>
      <c r="C74764"/>
      <c r="E74764"/>
      <c r="F74764"/>
    </row>
    <row r="74765" spans="1:6" x14ac:dyDescent="0.25">
      <c r="A74765"/>
      <c r="B74765"/>
      <c r="C74765"/>
      <c r="E74765"/>
      <c r="F74765"/>
    </row>
    <row r="74766" spans="1:6" x14ac:dyDescent="0.25">
      <c r="A74766"/>
      <c r="B74766"/>
      <c r="C74766"/>
      <c r="E74766"/>
      <c r="F74766"/>
    </row>
    <row r="74767" spans="1:6" x14ac:dyDescent="0.25">
      <c r="A74767"/>
      <c r="B74767"/>
      <c r="C74767"/>
      <c r="E74767"/>
      <c r="F74767"/>
    </row>
    <row r="74768" spans="1:6" x14ac:dyDescent="0.25">
      <c r="A74768"/>
      <c r="B74768"/>
      <c r="C74768"/>
      <c r="E74768"/>
      <c r="F74768"/>
    </row>
    <row r="74769" spans="1:6" x14ac:dyDescent="0.25">
      <c r="A74769"/>
      <c r="B74769"/>
      <c r="C74769"/>
      <c r="E74769"/>
      <c r="F74769"/>
    </row>
    <row r="74770" spans="1:6" x14ac:dyDescent="0.25">
      <c r="A74770"/>
      <c r="B74770"/>
      <c r="C74770"/>
      <c r="E74770"/>
      <c r="F74770"/>
    </row>
    <row r="74771" spans="1:6" x14ac:dyDescent="0.25">
      <c r="A74771"/>
      <c r="B74771"/>
      <c r="C74771"/>
      <c r="E74771"/>
      <c r="F74771"/>
    </row>
    <row r="74772" spans="1:6" x14ac:dyDescent="0.25">
      <c r="A74772"/>
      <c r="B74772"/>
      <c r="C74772"/>
      <c r="E74772"/>
      <c r="F74772"/>
    </row>
    <row r="74773" spans="1:6" x14ac:dyDescent="0.25">
      <c r="A74773"/>
      <c r="B74773"/>
      <c r="C74773"/>
      <c r="E74773"/>
      <c r="F74773"/>
    </row>
    <row r="74774" spans="1:6" x14ac:dyDescent="0.25">
      <c r="A74774"/>
      <c r="B74774"/>
      <c r="C74774"/>
      <c r="E74774"/>
      <c r="F74774"/>
    </row>
    <row r="74775" spans="1:6" x14ac:dyDescent="0.25">
      <c r="A74775"/>
      <c r="B74775"/>
      <c r="C74775"/>
      <c r="E74775"/>
      <c r="F74775"/>
    </row>
    <row r="74776" spans="1:6" x14ac:dyDescent="0.25">
      <c r="A74776"/>
      <c r="B74776"/>
      <c r="C74776"/>
      <c r="E74776"/>
      <c r="F74776"/>
    </row>
    <row r="74777" spans="1:6" x14ac:dyDescent="0.25">
      <c r="A74777"/>
      <c r="B74777"/>
      <c r="C74777"/>
      <c r="E74777"/>
      <c r="F74777"/>
    </row>
    <row r="74778" spans="1:6" x14ac:dyDescent="0.25">
      <c r="A74778"/>
      <c r="B74778"/>
      <c r="C74778"/>
      <c r="E74778"/>
      <c r="F74778"/>
    </row>
    <row r="74779" spans="1:6" x14ac:dyDescent="0.25">
      <c r="A74779"/>
      <c r="B74779"/>
      <c r="C74779"/>
      <c r="E74779"/>
      <c r="F74779"/>
    </row>
    <row r="74780" spans="1:6" x14ac:dyDescent="0.25">
      <c r="A74780"/>
      <c r="B74780"/>
      <c r="C74780"/>
      <c r="E74780"/>
      <c r="F74780"/>
    </row>
    <row r="74781" spans="1:6" x14ac:dyDescent="0.25">
      <c r="A74781"/>
      <c r="B74781"/>
      <c r="C74781"/>
      <c r="E74781"/>
      <c r="F74781"/>
    </row>
    <row r="74782" spans="1:6" x14ac:dyDescent="0.25">
      <c r="A74782"/>
      <c r="B74782"/>
      <c r="C74782"/>
      <c r="E74782"/>
      <c r="F74782"/>
    </row>
    <row r="74783" spans="1:6" x14ac:dyDescent="0.25">
      <c r="A74783"/>
      <c r="B74783"/>
      <c r="C74783"/>
      <c r="E74783"/>
      <c r="F74783"/>
    </row>
    <row r="74784" spans="1:6" x14ac:dyDescent="0.25">
      <c r="A74784"/>
      <c r="B74784"/>
      <c r="C74784"/>
      <c r="E74784"/>
      <c r="F74784"/>
    </row>
    <row r="74785" spans="1:6" x14ac:dyDescent="0.25">
      <c r="A74785"/>
      <c r="B74785"/>
      <c r="C74785"/>
      <c r="E74785"/>
      <c r="F74785"/>
    </row>
    <row r="74786" spans="1:6" x14ac:dyDescent="0.25">
      <c r="A74786"/>
      <c r="B74786"/>
      <c r="C74786"/>
      <c r="E74786"/>
      <c r="F74786"/>
    </row>
    <row r="74787" spans="1:6" x14ac:dyDescent="0.25">
      <c r="A74787"/>
      <c r="B74787"/>
      <c r="C74787"/>
      <c r="E74787"/>
      <c r="F74787"/>
    </row>
    <row r="74788" spans="1:6" x14ac:dyDescent="0.25">
      <c r="A74788"/>
      <c r="B74788"/>
      <c r="C74788"/>
      <c r="E74788"/>
      <c r="F74788"/>
    </row>
    <row r="74789" spans="1:6" x14ac:dyDescent="0.25">
      <c r="A74789"/>
      <c r="B74789"/>
      <c r="C74789"/>
      <c r="E74789"/>
      <c r="F74789"/>
    </row>
    <row r="74790" spans="1:6" x14ac:dyDescent="0.25">
      <c r="A74790"/>
      <c r="B74790"/>
      <c r="C74790"/>
      <c r="E74790"/>
      <c r="F74790"/>
    </row>
    <row r="74791" spans="1:6" x14ac:dyDescent="0.25">
      <c r="A74791"/>
      <c r="B74791"/>
      <c r="C74791"/>
      <c r="E74791"/>
      <c r="F74791"/>
    </row>
    <row r="74792" spans="1:6" x14ac:dyDescent="0.25">
      <c r="A74792"/>
      <c r="B74792"/>
      <c r="C74792"/>
      <c r="E74792"/>
      <c r="F74792"/>
    </row>
    <row r="74793" spans="1:6" x14ac:dyDescent="0.25">
      <c r="A74793"/>
      <c r="B74793"/>
      <c r="C74793"/>
      <c r="E74793"/>
      <c r="F74793"/>
    </row>
    <row r="74794" spans="1:6" x14ac:dyDescent="0.25">
      <c r="A74794"/>
      <c r="B74794"/>
      <c r="C74794"/>
      <c r="E74794"/>
      <c r="F74794"/>
    </row>
    <row r="74795" spans="1:6" x14ac:dyDescent="0.25">
      <c r="A74795"/>
      <c r="B74795"/>
      <c r="C74795"/>
      <c r="E74795"/>
      <c r="F74795"/>
    </row>
    <row r="74796" spans="1:6" x14ac:dyDescent="0.25">
      <c r="A74796"/>
      <c r="B74796"/>
      <c r="C74796"/>
      <c r="E74796"/>
      <c r="F74796"/>
    </row>
    <row r="74797" spans="1:6" x14ac:dyDescent="0.25">
      <c r="A74797"/>
      <c r="B74797"/>
      <c r="C74797"/>
      <c r="E74797"/>
      <c r="F74797"/>
    </row>
    <row r="74798" spans="1:6" x14ac:dyDescent="0.25">
      <c r="A74798"/>
      <c r="B74798"/>
      <c r="C74798"/>
      <c r="E74798"/>
      <c r="F74798"/>
    </row>
    <row r="74799" spans="1:6" x14ac:dyDescent="0.25">
      <c r="A74799"/>
      <c r="B74799"/>
      <c r="C74799"/>
      <c r="E74799"/>
      <c r="F74799"/>
    </row>
    <row r="74800" spans="1:6" x14ac:dyDescent="0.25">
      <c r="A74800"/>
      <c r="B74800"/>
      <c r="C74800"/>
      <c r="E74800"/>
      <c r="F74800"/>
    </row>
    <row r="74801" spans="1:6" x14ac:dyDescent="0.25">
      <c r="A74801"/>
      <c r="B74801"/>
      <c r="C74801"/>
      <c r="E74801"/>
      <c r="F74801"/>
    </row>
    <row r="74802" spans="1:6" x14ac:dyDescent="0.25">
      <c r="A74802"/>
      <c r="B74802"/>
      <c r="C74802"/>
      <c r="E74802"/>
      <c r="F74802"/>
    </row>
    <row r="74803" spans="1:6" x14ac:dyDescent="0.25">
      <c r="A74803"/>
      <c r="B74803"/>
      <c r="C74803"/>
      <c r="E74803"/>
      <c r="F74803"/>
    </row>
    <row r="74804" spans="1:6" x14ac:dyDescent="0.25">
      <c r="A74804"/>
      <c r="B74804"/>
      <c r="C74804"/>
      <c r="E74804"/>
      <c r="F74804"/>
    </row>
    <row r="74805" spans="1:6" x14ac:dyDescent="0.25">
      <c r="A74805"/>
      <c r="B74805"/>
      <c r="C74805"/>
      <c r="E74805"/>
      <c r="F74805"/>
    </row>
    <row r="74806" spans="1:6" x14ac:dyDescent="0.25">
      <c r="A74806"/>
      <c r="B74806"/>
      <c r="C74806"/>
      <c r="E74806"/>
      <c r="F74806"/>
    </row>
    <row r="74807" spans="1:6" x14ac:dyDescent="0.25">
      <c r="A74807"/>
      <c r="B74807"/>
      <c r="C74807"/>
      <c r="E74807"/>
      <c r="F74807"/>
    </row>
    <row r="74808" spans="1:6" x14ac:dyDescent="0.25">
      <c r="A74808"/>
      <c r="B74808"/>
      <c r="C74808"/>
      <c r="E74808"/>
      <c r="F74808"/>
    </row>
    <row r="74809" spans="1:6" x14ac:dyDescent="0.25">
      <c r="A74809"/>
      <c r="B74809"/>
      <c r="C74809"/>
      <c r="E74809"/>
      <c r="F74809"/>
    </row>
    <row r="74810" spans="1:6" x14ac:dyDescent="0.25">
      <c r="A74810"/>
      <c r="B74810"/>
      <c r="C74810"/>
      <c r="E74810"/>
      <c r="F74810"/>
    </row>
    <row r="74811" spans="1:6" x14ac:dyDescent="0.25">
      <c r="A74811"/>
      <c r="B74811"/>
      <c r="C74811"/>
      <c r="E74811"/>
      <c r="F74811"/>
    </row>
    <row r="74812" spans="1:6" x14ac:dyDescent="0.25">
      <c r="A74812"/>
      <c r="B74812"/>
      <c r="C74812"/>
      <c r="E74812"/>
      <c r="F74812"/>
    </row>
    <row r="74813" spans="1:6" x14ac:dyDescent="0.25">
      <c r="A74813"/>
      <c r="B74813"/>
      <c r="C74813"/>
      <c r="E74813"/>
      <c r="F74813"/>
    </row>
    <row r="74814" spans="1:6" x14ac:dyDescent="0.25">
      <c r="A74814"/>
      <c r="B74814"/>
      <c r="C74814"/>
      <c r="E74814"/>
      <c r="F74814"/>
    </row>
    <row r="74815" spans="1:6" x14ac:dyDescent="0.25">
      <c r="A74815"/>
      <c r="B74815"/>
      <c r="C74815"/>
      <c r="E74815"/>
      <c r="F74815"/>
    </row>
    <row r="74816" spans="1:6" x14ac:dyDescent="0.25">
      <c r="A74816"/>
      <c r="B74816"/>
      <c r="C74816"/>
      <c r="E74816"/>
      <c r="F74816"/>
    </row>
    <row r="74817" spans="1:6" x14ac:dyDescent="0.25">
      <c r="A74817"/>
      <c r="B74817"/>
      <c r="C74817"/>
      <c r="E74817"/>
      <c r="F74817"/>
    </row>
    <row r="74818" spans="1:6" x14ac:dyDescent="0.25">
      <c r="A74818"/>
      <c r="B74818"/>
      <c r="C74818"/>
      <c r="E74818"/>
      <c r="F74818"/>
    </row>
    <row r="74819" spans="1:6" x14ac:dyDescent="0.25">
      <c r="A74819"/>
      <c r="B74819"/>
      <c r="C74819"/>
      <c r="E74819"/>
      <c r="F74819"/>
    </row>
    <row r="74820" spans="1:6" x14ac:dyDescent="0.25">
      <c r="A74820"/>
      <c r="B74820"/>
      <c r="C74820"/>
      <c r="E74820"/>
      <c r="F74820"/>
    </row>
    <row r="74821" spans="1:6" x14ac:dyDescent="0.25">
      <c r="A74821"/>
      <c r="B74821"/>
      <c r="C74821"/>
      <c r="E74821"/>
      <c r="F74821"/>
    </row>
    <row r="74822" spans="1:6" x14ac:dyDescent="0.25">
      <c r="A74822"/>
      <c r="B74822"/>
      <c r="C74822"/>
      <c r="E74822"/>
      <c r="F74822"/>
    </row>
    <row r="74823" spans="1:6" x14ac:dyDescent="0.25">
      <c r="A74823"/>
      <c r="B74823"/>
      <c r="C74823"/>
      <c r="E74823"/>
      <c r="F74823"/>
    </row>
    <row r="74824" spans="1:6" x14ac:dyDescent="0.25">
      <c r="A74824"/>
      <c r="B74824"/>
      <c r="C74824"/>
      <c r="E74824"/>
      <c r="F74824"/>
    </row>
    <row r="74825" spans="1:6" x14ac:dyDescent="0.25">
      <c r="A74825"/>
      <c r="B74825"/>
      <c r="C74825"/>
      <c r="E74825"/>
      <c r="F74825"/>
    </row>
    <row r="74826" spans="1:6" x14ac:dyDescent="0.25">
      <c r="A74826"/>
      <c r="B74826"/>
      <c r="C74826"/>
      <c r="E74826"/>
      <c r="F74826"/>
    </row>
    <row r="74827" spans="1:6" x14ac:dyDescent="0.25">
      <c r="A74827"/>
      <c r="B74827"/>
      <c r="C74827"/>
      <c r="E74827"/>
      <c r="F74827"/>
    </row>
    <row r="74828" spans="1:6" x14ac:dyDescent="0.25">
      <c r="A74828"/>
      <c r="B74828"/>
      <c r="C74828"/>
      <c r="E74828"/>
      <c r="F74828"/>
    </row>
    <row r="74829" spans="1:6" x14ac:dyDescent="0.25">
      <c r="A74829"/>
      <c r="B74829"/>
      <c r="C74829"/>
      <c r="E74829"/>
      <c r="F74829"/>
    </row>
    <row r="74830" spans="1:6" x14ac:dyDescent="0.25">
      <c r="A74830"/>
      <c r="B74830"/>
      <c r="C74830"/>
      <c r="E74830"/>
      <c r="F74830"/>
    </row>
    <row r="74831" spans="1:6" x14ac:dyDescent="0.25">
      <c r="A74831"/>
      <c r="B74831"/>
      <c r="C74831"/>
      <c r="E74831"/>
      <c r="F74831"/>
    </row>
    <row r="74832" spans="1:6" x14ac:dyDescent="0.25">
      <c r="A74832"/>
      <c r="B74832"/>
      <c r="C74832"/>
      <c r="E74832"/>
      <c r="F74832"/>
    </row>
    <row r="74833" spans="1:6" x14ac:dyDescent="0.25">
      <c r="A74833"/>
      <c r="B74833"/>
      <c r="C74833"/>
      <c r="E74833"/>
      <c r="F74833"/>
    </row>
    <row r="74834" spans="1:6" x14ac:dyDescent="0.25">
      <c r="A74834"/>
      <c r="B74834"/>
      <c r="C74834"/>
      <c r="E74834"/>
      <c r="F74834"/>
    </row>
    <row r="74835" spans="1:6" x14ac:dyDescent="0.25">
      <c r="A74835"/>
      <c r="B74835"/>
      <c r="C74835"/>
      <c r="E74835"/>
      <c r="F74835"/>
    </row>
    <row r="74836" spans="1:6" x14ac:dyDescent="0.25">
      <c r="A74836"/>
      <c r="B74836"/>
      <c r="C74836"/>
      <c r="E74836"/>
      <c r="F74836"/>
    </row>
    <row r="74837" spans="1:6" x14ac:dyDescent="0.25">
      <c r="A74837"/>
      <c r="B74837"/>
      <c r="C74837"/>
      <c r="E74837"/>
      <c r="F74837"/>
    </row>
    <row r="74838" spans="1:6" x14ac:dyDescent="0.25">
      <c r="A74838"/>
      <c r="B74838"/>
      <c r="C74838"/>
      <c r="E74838"/>
      <c r="F74838"/>
    </row>
    <row r="74839" spans="1:6" x14ac:dyDescent="0.25">
      <c r="A74839"/>
      <c r="B74839"/>
      <c r="C74839"/>
      <c r="E74839"/>
      <c r="F74839"/>
    </row>
    <row r="74840" spans="1:6" x14ac:dyDescent="0.25">
      <c r="A74840"/>
      <c r="B74840"/>
      <c r="C74840"/>
      <c r="E74840"/>
      <c r="F74840"/>
    </row>
    <row r="74841" spans="1:6" x14ac:dyDescent="0.25">
      <c r="A74841"/>
      <c r="B74841"/>
      <c r="C74841"/>
      <c r="E74841"/>
      <c r="F74841"/>
    </row>
    <row r="74842" spans="1:6" x14ac:dyDescent="0.25">
      <c r="A74842"/>
      <c r="B74842"/>
      <c r="C74842"/>
      <c r="E74842"/>
      <c r="F74842"/>
    </row>
    <row r="74843" spans="1:6" x14ac:dyDescent="0.25">
      <c r="A74843"/>
      <c r="B74843"/>
      <c r="C74843"/>
      <c r="E74843"/>
      <c r="F74843"/>
    </row>
    <row r="74844" spans="1:6" x14ac:dyDescent="0.25">
      <c r="A74844"/>
      <c r="B74844"/>
      <c r="C74844"/>
      <c r="E74844"/>
      <c r="F74844"/>
    </row>
    <row r="74845" spans="1:6" x14ac:dyDescent="0.25">
      <c r="A74845"/>
      <c r="B74845"/>
      <c r="C74845"/>
      <c r="E74845"/>
      <c r="F74845"/>
    </row>
    <row r="74846" spans="1:6" x14ac:dyDescent="0.25">
      <c r="A74846"/>
      <c r="B74846"/>
      <c r="C74846"/>
      <c r="E74846"/>
      <c r="F74846"/>
    </row>
    <row r="74847" spans="1:6" x14ac:dyDescent="0.25">
      <c r="A74847"/>
      <c r="B74847"/>
      <c r="C74847"/>
      <c r="E74847"/>
      <c r="F74847"/>
    </row>
    <row r="74848" spans="1:6" x14ac:dyDescent="0.25">
      <c r="A74848"/>
      <c r="B74848"/>
      <c r="C74848"/>
      <c r="E74848"/>
      <c r="F74848"/>
    </row>
    <row r="74849" spans="1:6" x14ac:dyDescent="0.25">
      <c r="A74849"/>
      <c r="B74849"/>
      <c r="C74849"/>
      <c r="E74849"/>
      <c r="F74849"/>
    </row>
    <row r="74850" spans="1:6" x14ac:dyDescent="0.25">
      <c r="A74850"/>
      <c r="B74850"/>
      <c r="C74850"/>
      <c r="E74850"/>
      <c r="F74850"/>
    </row>
    <row r="74851" spans="1:6" x14ac:dyDescent="0.25">
      <c r="A74851"/>
      <c r="B74851"/>
      <c r="C74851"/>
      <c r="E74851"/>
      <c r="F74851"/>
    </row>
    <row r="74852" spans="1:6" x14ac:dyDescent="0.25">
      <c r="A74852"/>
      <c r="B74852"/>
      <c r="C74852"/>
      <c r="E74852"/>
      <c r="F74852"/>
    </row>
    <row r="74853" spans="1:6" x14ac:dyDescent="0.25">
      <c r="A74853"/>
      <c r="B74853"/>
      <c r="C74853"/>
      <c r="E74853"/>
      <c r="F74853"/>
    </row>
    <row r="74854" spans="1:6" x14ac:dyDescent="0.25">
      <c r="A74854"/>
      <c r="B74854"/>
      <c r="C74854"/>
      <c r="E74854"/>
      <c r="F74854"/>
    </row>
    <row r="74855" spans="1:6" x14ac:dyDescent="0.25">
      <c r="A74855"/>
      <c r="B74855"/>
      <c r="C74855"/>
      <c r="E74855"/>
      <c r="F74855"/>
    </row>
    <row r="74856" spans="1:6" x14ac:dyDescent="0.25">
      <c r="A74856"/>
      <c r="B74856"/>
      <c r="C74856"/>
      <c r="E74856"/>
      <c r="F74856"/>
    </row>
    <row r="74857" spans="1:6" x14ac:dyDescent="0.25">
      <c r="A74857"/>
      <c r="B74857"/>
      <c r="C74857"/>
      <c r="E74857"/>
      <c r="F74857"/>
    </row>
    <row r="74858" spans="1:6" x14ac:dyDescent="0.25">
      <c r="A74858"/>
      <c r="B74858"/>
      <c r="C74858"/>
      <c r="E74858"/>
      <c r="F74858"/>
    </row>
    <row r="74859" spans="1:6" x14ac:dyDescent="0.25">
      <c r="A74859"/>
      <c r="B74859"/>
      <c r="C74859"/>
      <c r="E74859"/>
      <c r="F74859"/>
    </row>
    <row r="74860" spans="1:6" x14ac:dyDescent="0.25">
      <c r="A74860"/>
      <c r="B74860"/>
      <c r="C74860"/>
      <c r="E74860"/>
      <c r="F74860"/>
    </row>
    <row r="74861" spans="1:6" x14ac:dyDescent="0.25">
      <c r="A74861"/>
      <c r="B74861"/>
      <c r="C74861"/>
      <c r="E74861"/>
      <c r="F74861"/>
    </row>
    <row r="74862" spans="1:6" x14ac:dyDescent="0.25">
      <c r="A74862"/>
      <c r="B74862"/>
      <c r="C74862"/>
      <c r="E74862"/>
      <c r="F74862"/>
    </row>
    <row r="74863" spans="1:6" x14ac:dyDescent="0.25">
      <c r="A74863"/>
      <c r="B74863"/>
      <c r="C74863"/>
      <c r="E74863"/>
      <c r="F74863"/>
    </row>
    <row r="74864" spans="1:6" x14ac:dyDescent="0.25">
      <c r="A74864"/>
      <c r="B74864"/>
      <c r="C74864"/>
      <c r="E74864"/>
      <c r="F74864"/>
    </row>
    <row r="74865" spans="1:6" x14ac:dyDescent="0.25">
      <c r="A74865"/>
      <c r="B74865"/>
      <c r="C74865"/>
      <c r="E74865"/>
      <c r="F74865"/>
    </row>
    <row r="74866" spans="1:6" x14ac:dyDescent="0.25">
      <c r="A74866"/>
      <c r="B74866"/>
      <c r="C74866"/>
      <c r="E74866"/>
      <c r="F74866"/>
    </row>
    <row r="74867" spans="1:6" x14ac:dyDescent="0.25">
      <c r="A74867"/>
      <c r="B74867"/>
      <c r="C74867"/>
      <c r="E74867"/>
      <c r="F74867"/>
    </row>
    <row r="74868" spans="1:6" x14ac:dyDescent="0.25">
      <c r="A74868"/>
      <c r="B74868"/>
      <c r="C74868"/>
      <c r="E74868"/>
      <c r="F74868"/>
    </row>
    <row r="74869" spans="1:6" x14ac:dyDescent="0.25">
      <c r="A74869"/>
      <c r="B74869"/>
      <c r="C74869"/>
      <c r="E74869"/>
      <c r="F74869"/>
    </row>
    <row r="74870" spans="1:6" x14ac:dyDescent="0.25">
      <c r="A74870"/>
      <c r="B74870"/>
      <c r="C74870"/>
      <c r="E74870"/>
      <c r="F74870"/>
    </row>
    <row r="74871" spans="1:6" x14ac:dyDescent="0.25">
      <c r="A74871"/>
      <c r="B74871"/>
      <c r="C74871"/>
      <c r="E74871"/>
      <c r="F74871"/>
    </row>
    <row r="74872" spans="1:6" x14ac:dyDescent="0.25">
      <c r="A74872"/>
      <c r="B74872"/>
      <c r="C74872"/>
      <c r="E74872"/>
      <c r="F74872"/>
    </row>
    <row r="74873" spans="1:6" x14ac:dyDescent="0.25">
      <c r="A74873"/>
      <c r="B74873"/>
      <c r="C74873"/>
      <c r="E74873"/>
      <c r="F74873"/>
    </row>
    <row r="74874" spans="1:6" x14ac:dyDescent="0.25">
      <c r="A74874"/>
      <c r="B74874"/>
      <c r="C74874"/>
      <c r="E74874"/>
      <c r="F74874"/>
    </row>
    <row r="74875" spans="1:6" x14ac:dyDescent="0.25">
      <c r="A74875"/>
      <c r="B74875"/>
      <c r="C74875"/>
      <c r="E74875"/>
      <c r="F74875"/>
    </row>
    <row r="74876" spans="1:6" x14ac:dyDescent="0.25">
      <c r="A74876"/>
      <c r="B74876"/>
      <c r="C74876"/>
      <c r="E74876"/>
      <c r="F74876"/>
    </row>
    <row r="74877" spans="1:6" x14ac:dyDescent="0.25">
      <c r="A74877"/>
      <c r="B74877"/>
      <c r="C74877"/>
      <c r="E74877"/>
      <c r="F74877"/>
    </row>
    <row r="74878" spans="1:6" x14ac:dyDescent="0.25">
      <c r="A74878"/>
      <c r="B74878"/>
      <c r="C74878"/>
      <c r="E74878"/>
      <c r="F74878"/>
    </row>
    <row r="74879" spans="1:6" x14ac:dyDescent="0.25">
      <c r="A74879"/>
      <c r="B74879"/>
      <c r="C74879"/>
      <c r="E74879"/>
      <c r="F74879"/>
    </row>
    <row r="74880" spans="1:6" x14ac:dyDescent="0.25">
      <c r="A74880"/>
      <c r="B74880"/>
      <c r="C74880"/>
      <c r="E74880"/>
      <c r="F74880"/>
    </row>
    <row r="74881" spans="1:6" x14ac:dyDescent="0.25">
      <c r="A74881"/>
      <c r="B74881"/>
      <c r="C74881"/>
      <c r="E74881"/>
      <c r="F74881"/>
    </row>
    <row r="74882" spans="1:6" x14ac:dyDescent="0.25">
      <c r="A74882"/>
      <c r="B74882"/>
      <c r="C74882"/>
      <c r="E74882"/>
      <c r="F74882"/>
    </row>
    <row r="74883" spans="1:6" x14ac:dyDescent="0.25">
      <c r="A74883"/>
      <c r="B74883"/>
      <c r="C74883"/>
      <c r="E74883"/>
      <c r="F74883"/>
    </row>
    <row r="74884" spans="1:6" x14ac:dyDescent="0.25">
      <c r="A74884"/>
      <c r="B74884"/>
      <c r="C74884"/>
      <c r="E74884"/>
      <c r="F74884"/>
    </row>
    <row r="74885" spans="1:6" x14ac:dyDescent="0.25">
      <c r="A74885"/>
      <c r="B74885"/>
      <c r="C74885"/>
      <c r="E74885"/>
      <c r="F74885"/>
    </row>
    <row r="74886" spans="1:6" x14ac:dyDescent="0.25">
      <c r="A74886"/>
      <c r="B74886"/>
      <c r="C74886"/>
      <c r="E74886"/>
      <c r="F74886"/>
    </row>
    <row r="74887" spans="1:6" x14ac:dyDescent="0.25">
      <c r="A74887"/>
      <c r="B74887"/>
      <c r="C74887"/>
      <c r="E74887"/>
      <c r="F74887"/>
    </row>
    <row r="74888" spans="1:6" x14ac:dyDescent="0.25">
      <c r="A74888"/>
      <c r="B74888"/>
      <c r="C74888"/>
      <c r="E74888"/>
      <c r="F74888"/>
    </row>
    <row r="74889" spans="1:6" x14ac:dyDescent="0.25">
      <c r="A74889"/>
      <c r="B74889"/>
      <c r="C74889"/>
      <c r="E74889"/>
      <c r="F74889"/>
    </row>
    <row r="74890" spans="1:6" x14ac:dyDescent="0.25">
      <c r="A74890"/>
      <c r="B74890"/>
      <c r="C74890"/>
      <c r="E74890"/>
      <c r="F74890"/>
    </row>
    <row r="74891" spans="1:6" x14ac:dyDescent="0.25">
      <c r="A74891"/>
      <c r="B74891"/>
      <c r="C74891"/>
      <c r="E74891"/>
      <c r="F74891"/>
    </row>
    <row r="74892" spans="1:6" x14ac:dyDescent="0.25">
      <c r="A74892"/>
      <c r="B74892"/>
      <c r="C74892"/>
      <c r="E74892"/>
      <c r="F74892"/>
    </row>
    <row r="74893" spans="1:6" x14ac:dyDescent="0.25">
      <c r="A74893"/>
      <c r="B74893"/>
      <c r="C74893"/>
      <c r="E74893"/>
      <c r="F74893"/>
    </row>
    <row r="74894" spans="1:6" x14ac:dyDescent="0.25">
      <c r="A74894"/>
      <c r="B74894"/>
      <c r="C74894"/>
      <c r="E74894"/>
      <c r="F74894"/>
    </row>
    <row r="74895" spans="1:6" x14ac:dyDescent="0.25">
      <c r="A74895"/>
      <c r="B74895"/>
      <c r="C74895"/>
      <c r="E74895"/>
      <c r="F74895"/>
    </row>
    <row r="74896" spans="1:6" x14ac:dyDescent="0.25">
      <c r="A74896"/>
      <c r="B74896"/>
      <c r="C74896"/>
      <c r="E74896"/>
      <c r="F74896"/>
    </row>
    <row r="74897" spans="1:6" x14ac:dyDescent="0.25">
      <c r="A74897"/>
      <c r="B74897"/>
      <c r="C74897"/>
      <c r="E74897"/>
      <c r="F74897"/>
    </row>
    <row r="74898" spans="1:6" x14ac:dyDescent="0.25">
      <c r="A74898"/>
      <c r="B74898"/>
      <c r="C74898"/>
      <c r="E74898"/>
      <c r="F74898"/>
    </row>
    <row r="74899" spans="1:6" x14ac:dyDescent="0.25">
      <c r="A74899"/>
      <c r="B74899"/>
      <c r="C74899"/>
      <c r="E74899"/>
      <c r="F74899"/>
    </row>
    <row r="74900" spans="1:6" x14ac:dyDescent="0.25">
      <c r="A74900"/>
      <c r="B74900"/>
      <c r="C74900"/>
      <c r="E74900"/>
      <c r="F74900"/>
    </row>
    <row r="74901" spans="1:6" x14ac:dyDescent="0.25">
      <c r="A74901"/>
      <c r="B74901"/>
      <c r="C74901"/>
      <c r="E74901"/>
      <c r="F74901"/>
    </row>
    <row r="74902" spans="1:6" x14ac:dyDescent="0.25">
      <c r="A74902"/>
      <c r="B74902"/>
      <c r="C74902"/>
      <c r="E74902"/>
      <c r="F74902"/>
    </row>
    <row r="74903" spans="1:6" x14ac:dyDescent="0.25">
      <c r="A74903"/>
      <c r="B74903"/>
      <c r="C74903"/>
      <c r="E74903"/>
      <c r="F74903"/>
    </row>
    <row r="74904" spans="1:6" x14ac:dyDescent="0.25">
      <c r="A74904"/>
      <c r="B74904"/>
      <c r="C74904"/>
      <c r="E74904"/>
      <c r="F74904"/>
    </row>
    <row r="74905" spans="1:6" x14ac:dyDescent="0.25">
      <c r="A74905"/>
      <c r="B74905"/>
      <c r="C74905"/>
      <c r="E74905"/>
      <c r="F74905"/>
    </row>
    <row r="74906" spans="1:6" x14ac:dyDescent="0.25">
      <c r="A74906"/>
      <c r="B74906"/>
      <c r="C74906"/>
      <c r="E74906"/>
      <c r="F74906"/>
    </row>
    <row r="74907" spans="1:6" x14ac:dyDescent="0.25">
      <c r="A74907"/>
      <c r="B74907"/>
      <c r="C74907"/>
      <c r="E74907"/>
      <c r="F74907"/>
    </row>
    <row r="74908" spans="1:6" x14ac:dyDescent="0.25">
      <c r="A74908"/>
      <c r="B74908"/>
      <c r="C74908"/>
      <c r="E74908"/>
      <c r="F74908"/>
    </row>
    <row r="74909" spans="1:6" x14ac:dyDescent="0.25">
      <c r="A74909"/>
      <c r="B74909"/>
      <c r="C74909"/>
      <c r="E74909"/>
      <c r="F74909"/>
    </row>
    <row r="74910" spans="1:6" x14ac:dyDescent="0.25">
      <c r="A74910"/>
      <c r="B74910"/>
      <c r="C74910"/>
      <c r="E74910"/>
      <c r="F74910"/>
    </row>
    <row r="74911" spans="1:6" x14ac:dyDescent="0.25">
      <c r="A74911"/>
      <c r="B74911"/>
      <c r="C74911"/>
      <c r="E74911"/>
      <c r="F74911"/>
    </row>
    <row r="74912" spans="1:6" x14ac:dyDescent="0.25">
      <c r="A74912"/>
      <c r="B74912"/>
      <c r="C74912"/>
      <c r="E74912"/>
      <c r="F74912"/>
    </row>
    <row r="74913" spans="1:6" x14ac:dyDescent="0.25">
      <c r="A74913"/>
      <c r="B74913"/>
      <c r="C74913"/>
      <c r="E74913"/>
      <c r="F74913"/>
    </row>
    <row r="74914" spans="1:6" x14ac:dyDescent="0.25">
      <c r="A74914"/>
      <c r="B74914"/>
      <c r="C74914"/>
      <c r="E74914"/>
      <c r="F74914"/>
    </row>
    <row r="74915" spans="1:6" x14ac:dyDescent="0.25">
      <c r="A74915"/>
      <c r="B74915"/>
      <c r="C74915"/>
      <c r="E74915"/>
      <c r="F74915"/>
    </row>
    <row r="74916" spans="1:6" x14ac:dyDescent="0.25">
      <c r="A74916"/>
      <c r="B74916"/>
      <c r="C74916"/>
      <c r="E74916"/>
      <c r="F74916"/>
    </row>
    <row r="74917" spans="1:6" x14ac:dyDescent="0.25">
      <c r="A74917"/>
      <c r="B74917"/>
      <c r="C74917"/>
      <c r="E74917"/>
      <c r="F74917"/>
    </row>
    <row r="74918" spans="1:6" x14ac:dyDescent="0.25">
      <c r="A74918"/>
      <c r="B74918"/>
      <c r="C74918"/>
      <c r="E74918"/>
      <c r="F74918"/>
    </row>
    <row r="74919" spans="1:6" x14ac:dyDescent="0.25">
      <c r="A74919"/>
      <c r="B74919"/>
      <c r="C74919"/>
      <c r="E74919"/>
      <c r="F74919"/>
    </row>
    <row r="74920" spans="1:6" x14ac:dyDescent="0.25">
      <c r="A74920"/>
      <c r="B74920"/>
      <c r="C74920"/>
      <c r="E74920"/>
      <c r="F74920"/>
    </row>
    <row r="74921" spans="1:6" x14ac:dyDescent="0.25">
      <c r="A74921"/>
      <c r="B74921"/>
      <c r="C74921"/>
      <c r="E74921"/>
      <c r="F74921"/>
    </row>
    <row r="74922" spans="1:6" x14ac:dyDescent="0.25">
      <c r="A74922"/>
      <c r="B74922"/>
      <c r="C74922"/>
      <c r="E74922"/>
      <c r="F74922"/>
    </row>
    <row r="74923" spans="1:6" x14ac:dyDescent="0.25">
      <c r="A74923"/>
      <c r="B74923"/>
      <c r="C74923"/>
      <c r="E74923"/>
      <c r="F74923"/>
    </row>
    <row r="74924" spans="1:6" x14ac:dyDescent="0.25">
      <c r="A74924"/>
      <c r="B74924"/>
      <c r="C74924"/>
      <c r="E74924"/>
      <c r="F74924"/>
    </row>
    <row r="74925" spans="1:6" x14ac:dyDescent="0.25">
      <c r="A74925"/>
      <c r="B74925"/>
      <c r="C74925"/>
      <c r="E74925"/>
      <c r="F74925"/>
    </row>
    <row r="74926" spans="1:6" x14ac:dyDescent="0.25">
      <c r="A74926"/>
      <c r="B74926"/>
      <c r="C74926"/>
      <c r="E74926"/>
      <c r="F74926"/>
    </row>
    <row r="74927" spans="1:6" x14ac:dyDescent="0.25">
      <c r="A74927"/>
      <c r="B74927"/>
      <c r="C74927"/>
      <c r="E74927"/>
      <c r="F74927"/>
    </row>
    <row r="74928" spans="1:6" x14ac:dyDescent="0.25">
      <c r="A74928"/>
      <c r="B74928"/>
      <c r="C74928"/>
      <c r="E74928"/>
      <c r="F74928"/>
    </row>
    <row r="74929" spans="1:6" x14ac:dyDescent="0.25">
      <c r="A74929"/>
      <c r="B74929"/>
      <c r="C74929"/>
      <c r="E74929"/>
      <c r="F74929"/>
    </row>
    <row r="74930" spans="1:6" x14ac:dyDescent="0.25">
      <c r="A74930"/>
      <c r="B74930"/>
      <c r="C74930"/>
      <c r="E74930"/>
      <c r="F74930"/>
    </row>
    <row r="74931" spans="1:6" x14ac:dyDescent="0.25">
      <c r="A74931"/>
      <c r="B74931"/>
      <c r="C74931"/>
      <c r="E74931"/>
      <c r="F74931"/>
    </row>
    <row r="74932" spans="1:6" x14ac:dyDescent="0.25">
      <c r="A74932"/>
      <c r="B74932"/>
      <c r="C74932"/>
      <c r="E74932"/>
      <c r="F74932"/>
    </row>
    <row r="74933" spans="1:6" x14ac:dyDescent="0.25">
      <c r="A74933"/>
      <c r="B74933"/>
      <c r="C74933"/>
      <c r="E74933"/>
      <c r="F74933"/>
    </row>
    <row r="74934" spans="1:6" x14ac:dyDescent="0.25">
      <c r="A74934"/>
      <c r="B74934"/>
      <c r="C74934"/>
      <c r="E74934"/>
      <c r="F74934"/>
    </row>
    <row r="74935" spans="1:6" x14ac:dyDescent="0.25">
      <c r="A74935"/>
      <c r="B74935"/>
      <c r="C74935"/>
      <c r="E74935"/>
      <c r="F74935"/>
    </row>
    <row r="74936" spans="1:6" x14ac:dyDescent="0.25">
      <c r="A74936"/>
      <c r="B74936"/>
      <c r="C74936"/>
      <c r="E74936"/>
      <c r="F74936"/>
    </row>
    <row r="74937" spans="1:6" x14ac:dyDescent="0.25">
      <c r="A74937"/>
      <c r="B74937"/>
      <c r="C74937"/>
      <c r="E74937"/>
      <c r="F74937"/>
    </row>
    <row r="74938" spans="1:6" x14ac:dyDescent="0.25">
      <c r="A74938"/>
      <c r="B74938"/>
      <c r="C74938"/>
      <c r="E74938"/>
      <c r="F74938"/>
    </row>
    <row r="74939" spans="1:6" x14ac:dyDescent="0.25">
      <c r="A74939"/>
      <c r="B74939"/>
      <c r="C74939"/>
      <c r="E74939"/>
      <c r="F74939"/>
    </row>
    <row r="74940" spans="1:6" x14ac:dyDescent="0.25">
      <c r="A74940"/>
      <c r="B74940"/>
      <c r="C74940"/>
      <c r="E74940"/>
      <c r="F74940"/>
    </row>
    <row r="74941" spans="1:6" x14ac:dyDescent="0.25">
      <c r="A74941"/>
      <c r="B74941"/>
      <c r="C74941"/>
      <c r="E74941"/>
      <c r="F74941"/>
    </row>
    <row r="74942" spans="1:6" x14ac:dyDescent="0.25">
      <c r="A74942"/>
      <c r="B74942"/>
      <c r="C74942"/>
      <c r="E74942"/>
      <c r="F74942"/>
    </row>
    <row r="74943" spans="1:6" x14ac:dyDescent="0.25">
      <c r="A74943"/>
      <c r="B74943"/>
      <c r="C74943"/>
      <c r="E74943"/>
      <c r="F74943"/>
    </row>
    <row r="74944" spans="1:6" x14ac:dyDescent="0.25">
      <c r="A74944"/>
      <c r="B74944"/>
      <c r="C74944"/>
      <c r="E74944"/>
      <c r="F74944"/>
    </row>
    <row r="74945" spans="1:6" x14ac:dyDescent="0.25">
      <c r="A74945"/>
      <c r="B74945"/>
      <c r="C74945"/>
      <c r="E74945"/>
      <c r="F74945"/>
    </row>
    <row r="74946" spans="1:6" x14ac:dyDescent="0.25">
      <c r="A74946"/>
      <c r="B74946"/>
      <c r="C74946"/>
      <c r="E74946"/>
      <c r="F74946"/>
    </row>
    <row r="74947" spans="1:6" x14ac:dyDescent="0.25">
      <c r="A74947"/>
      <c r="B74947"/>
      <c r="C74947"/>
      <c r="E74947"/>
      <c r="F74947"/>
    </row>
    <row r="74948" spans="1:6" x14ac:dyDescent="0.25">
      <c r="A74948"/>
      <c r="B74948"/>
      <c r="C74948"/>
      <c r="E74948"/>
      <c r="F74948"/>
    </row>
    <row r="74949" spans="1:6" x14ac:dyDescent="0.25">
      <c r="A74949"/>
      <c r="B74949"/>
      <c r="C74949"/>
      <c r="E74949"/>
      <c r="F74949"/>
    </row>
    <row r="74950" spans="1:6" x14ac:dyDescent="0.25">
      <c r="A74950"/>
      <c r="B74950"/>
      <c r="C74950"/>
      <c r="E74950"/>
      <c r="F74950"/>
    </row>
    <row r="74951" spans="1:6" x14ac:dyDescent="0.25">
      <c r="A74951"/>
      <c r="B74951"/>
      <c r="C74951"/>
      <c r="E74951"/>
      <c r="F74951"/>
    </row>
    <row r="74952" spans="1:6" x14ac:dyDescent="0.25">
      <c r="A74952"/>
      <c r="B74952"/>
      <c r="C74952"/>
      <c r="E74952"/>
      <c r="F74952"/>
    </row>
    <row r="74953" spans="1:6" x14ac:dyDescent="0.25">
      <c r="A74953"/>
      <c r="B74953"/>
      <c r="C74953"/>
      <c r="E74953"/>
      <c r="F74953"/>
    </row>
    <row r="74954" spans="1:6" x14ac:dyDescent="0.25">
      <c r="A74954"/>
      <c r="B74954"/>
      <c r="C74954"/>
      <c r="E74954"/>
      <c r="F74954"/>
    </row>
    <row r="74955" spans="1:6" x14ac:dyDescent="0.25">
      <c r="A74955"/>
      <c r="B74955"/>
      <c r="C74955"/>
      <c r="E74955"/>
      <c r="F74955"/>
    </row>
    <row r="74956" spans="1:6" x14ac:dyDescent="0.25">
      <c r="A74956"/>
      <c r="B74956"/>
      <c r="C74956"/>
      <c r="E74956"/>
      <c r="F74956"/>
    </row>
    <row r="74957" spans="1:6" x14ac:dyDescent="0.25">
      <c r="A74957"/>
      <c r="B74957"/>
      <c r="C74957"/>
      <c r="E74957"/>
      <c r="F74957"/>
    </row>
    <row r="74958" spans="1:6" x14ac:dyDescent="0.25">
      <c r="A74958"/>
      <c r="B74958"/>
      <c r="C74958"/>
      <c r="E74958"/>
      <c r="F74958"/>
    </row>
    <row r="74959" spans="1:6" x14ac:dyDescent="0.25">
      <c r="A74959"/>
      <c r="B74959"/>
      <c r="C74959"/>
      <c r="E74959"/>
      <c r="F74959"/>
    </row>
    <row r="74960" spans="1:6" x14ac:dyDescent="0.25">
      <c r="A74960"/>
      <c r="B74960"/>
      <c r="C74960"/>
      <c r="E74960"/>
      <c r="F74960"/>
    </row>
    <row r="74961" spans="1:6" x14ac:dyDescent="0.25">
      <c r="A74961"/>
      <c r="B74961"/>
      <c r="C74961"/>
      <c r="E74961"/>
      <c r="F74961"/>
    </row>
    <row r="74962" spans="1:6" x14ac:dyDescent="0.25">
      <c r="A74962"/>
      <c r="B74962"/>
      <c r="C74962"/>
      <c r="E74962"/>
      <c r="F74962"/>
    </row>
    <row r="74963" spans="1:6" x14ac:dyDescent="0.25">
      <c r="A74963"/>
      <c r="B74963"/>
      <c r="C74963"/>
      <c r="E74963"/>
      <c r="F74963"/>
    </row>
    <row r="74964" spans="1:6" x14ac:dyDescent="0.25">
      <c r="A74964"/>
      <c r="B74964"/>
      <c r="C74964"/>
      <c r="E74964"/>
      <c r="F74964"/>
    </row>
    <row r="74965" spans="1:6" x14ac:dyDescent="0.25">
      <c r="A74965"/>
      <c r="B74965"/>
      <c r="C74965"/>
      <c r="E74965"/>
      <c r="F74965"/>
    </row>
    <row r="74966" spans="1:6" x14ac:dyDescent="0.25">
      <c r="A74966"/>
      <c r="B74966"/>
      <c r="C74966"/>
      <c r="E74966"/>
      <c r="F74966"/>
    </row>
    <row r="74967" spans="1:6" x14ac:dyDescent="0.25">
      <c r="A74967"/>
      <c r="B74967"/>
      <c r="C74967"/>
      <c r="E74967"/>
      <c r="F74967"/>
    </row>
    <row r="74968" spans="1:6" x14ac:dyDescent="0.25">
      <c r="A74968"/>
      <c r="B74968"/>
      <c r="C74968"/>
      <c r="E74968"/>
      <c r="F74968"/>
    </row>
    <row r="74969" spans="1:6" x14ac:dyDescent="0.25">
      <c r="A74969"/>
      <c r="B74969"/>
      <c r="C74969"/>
      <c r="E74969"/>
      <c r="F74969"/>
    </row>
    <row r="74970" spans="1:6" x14ac:dyDescent="0.25">
      <c r="A74970"/>
      <c r="B74970"/>
      <c r="C74970"/>
      <c r="E74970"/>
      <c r="F74970"/>
    </row>
    <row r="74971" spans="1:6" x14ac:dyDescent="0.25">
      <c r="A74971"/>
      <c r="B74971"/>
      <c r="C74971"/>
      <c r="E74971"/>
      <c r="F74971"/>
    </row>
    <row r="74972" spans="1:6" x14ac:dyDescent="0.25">
      <c r="A74972"/>
      <c r="B74972"/>
      <c r="C74972"/>
      <c r="E74972"/>
      <c r="F74972"/>
    </row>
    <row r="74973" spans="1:6" x14ac:dyDescent="0.25">
      <c r="A74973"/>
      <c r="B74973"/>
      <c r="C74973"/>
      <c r="E74973"/>
      <c r="F74973"/>
    </row>
    <row r="74974" spans="1:6" x14ac:dyDescent="0.25">
      <c r="A74974"/>
      <c r="B74974"/>
      <c r="C74974"/>
      <c r="E74974"/>
      <c r="F74974"/>
    </row>
    <row r="74975" spans="1:6" x14ac:dyDescent="0.25">
      <c r="A74975"/>
      <c r="B74975"/>
      <c r="C74975"/>
      <c r="E74975"/>
      <c r="F74975"/>
    </row>
    <row r="74976" spans="1:6" x14ac:dyDescent="0.25">
      <c r="A74976"/>
      <c r="B74976"/>
      <c r="C74976"/>
      <c r="E74976"/>
      <c r="F74976"/>
    </row>
    <row r="74977" spans="1:6" x14ac:dyDescent="0.25">
      <c r="A74977"/>
      <c r="B74977"/>
      <c r="C74977"/>
      <c r="E74977"/>
      <c r="F74977"/>
    </row>
    <row r="74978" spans="1:6" x14ac:dyDescent="0.25">
      <c r="A74978"/>
      <c r="B74978"/>
      <c r="C74978"/>
      <c r="E74978"/>
      <c r="F74978"/>
    </row>
    <row r="74979" spans="1:6" x14ac:dyDescent="0.25">
      <c r="A74979"/>
      <c r="B74979"/>
      <c r="C74979"/>
      <c r="E74979"/>
      <c r="F74979"/>
    </row>
    <row r="74980" spans="1:6" x14ac:dyDescent="0.25">
      <c r="A74980"/>
      <c r="B74980"/>
      <c r="C74980"/>
      <c r="E74980"/>
      <c r="F74980"/>
    </row>
    <row r="74981" spans="1:6" x14ac:dyDescent="0.25">
      <c r="A74981"/>
      <c r="B74981"/>
      <c r="C74981"/>
      <c r="E74981"/>
      <c r="F74981"/>
    </row>
    <row r="74982" spans="1:6" x14ac:dyDescent="0.25">
      <c r="A74982"/>
      <c r="B74982"/>
      <c r="C74982"/>
      <c r="E74982"/>
      <c r="F74982"/>
    </row>
    <row r="74983" spans="1:6" x14ac:dyDescent="0.25">
      <c r="A74983"/>
      <c r="B74983"/>
      <c r="C74983"/>
      <c r="E74983"/>
      <c r="F74983"/>
    </row>
    <row r="74984" spans="1:6" x14ac:dyDescent="0.25">
      <c r="A74984"/>
      <c r="B74984"/>
      <c r="C74984"/>
      <c r="E74984"/>
      <c r="F74984"/>
    </row>
    <row r="74985" spans="1:6" x14ac:dyDescent="0.25">
      <c r="A74985"/>
      <c r="B74985"/>
      <c r="C74985"/>
      <c r="E74985"/>
      <c r="F74985"/>
    </row>
    <row r="74986" spans="1:6" x14ac:dyDescent="0.25">
      <c r="A74986"/>
      <c r="B74986"/>
      <c r="C74986"/>
      <c r="E74986"/>
      <c r="F74986"/>
    </row>
    <row r="74987" spans="1:6" x14ac:dyDescent="0.25">
      <c r="A74987"/>
      <c r="B74987"/>
      <c r="C74987"/>
      <c r="E74987"/>
      <c r="F74987"/>
    </row>
    <row r="74988" spans="1:6" x14ac:dyDescent="0.25">
      <c r="A74988"/>
      <c r="B74988"/>
      <c r="C74988"/>
      <c r="E74988"/>
      <c r="F74988"/>
    </row>
    <row r="74989" spans="1:6" x14ac:dyDescent="0.25">
      <c r="A74989"/>
      <c r="B74989"/>
      <c r="C74989"/>
      <c r="E74989"/>
      <c r="F74989"/>
    </row>
    <row r="74990" spans="1:6" x14ac:dyDescent="0.25">
      <c r="A74990"/>
      <c r="B74990"/>
      <c r="C74990"/>
      <c r="E74990"/>
      <c r="F74990"/>
    </row>
    <row r="74991" spans="1:6" x14ac:dyDescent="0.25">
      <c r="A74991"/>
      <c r="B74991"/>
      <c r="C74991"/>
      <c r="E74991"/>
      <c r="F74991"/>
    </row>
    <row r="74992" spans="1:6" x14ac:dyDescent="0.25">
      <c r="A74992"/>
      <c r="B74992"/>
      <c r="C74992"/>
      <c r="E74992"/>
      <c r="F74992"/>
    </row>
    <row r="74993" spans="1:6" x14ac:dyDescent="0.25">
      <c r="A74993"/>
      <c r="B74993"/>
      <c r="C74993"/>
      <c r="E74993"/>
      <c r="F74993"/>
    </row>
    <row r="74994" spans="1:6" x14ac:dyDescent="0.25">
      <c r="A74994"/>
      <c r="B74994"/>
      <c r="C74994"/>
      <c r="E74994"/>
      <c r="F74994"/>
    </row>
    <row r="74995" spans="1:6" x14ac:dyDescent="0.25">
      <c r="A74995"/>
      <c r="B74995"/>
      <c r="C74995"/>
      <c r="E74995"/>
      <c r="F74995"/>
    </row>
    <row r="74996" spans="1:6" x14ac:dyDescent="0.25">
      <c r="A74996"/>
      <c r="B74996"/>
      <c r="C74996"/>
      <c r="E74996"/>
      <c r="F74996"/>
    </row>
    <row r="74997" spans="1:6" x14ac:dyDescent="0.25">
      <c r="A74997"/>
      <c r="B74997"/>
      <c r="C74997"/>
      <c r="E74997"/>
      <c r="F74997"/>
    </row>
    <row r="74998" spans="1:6" x14ac:dyDescent="0.25">
      <c r="A74998"/>
      <c r="B74998"/>
      <c r="C74998"/>
      <c r="E74998"/>
      <c r="F74998"/>
    </row>
    <row r="74999" spans="1:6" x14ac:dyDescent="0.25">
      <c r="A74999"/>
      <c r="B74999"/>
      <c r="C74999"/>
      <c r="E74999"/>
      <c r="F74999"/>
    </row>
    <row r="75000" spans="1:6" x14ac:dyDescent="0.25">
      <c r="A75000"/>
      <c r="B75000"/>
      <c r="C75000"/>
      <c r="E75000"/>
      <c r="F75000"/>
    </row>
    <row r="75001" spans="1:6" x14ac:dyDescent="0.25">
      <c r="A75001"/>
      <c r="B75001"/>
      <c r="C75001"/>
      <c r="E75001"/>
      <c r="F75001"/>
    </row>
    <row r="75002" spans="1:6" x14ac:dyDescent="0.25">
      <c r="A75002"/>
      <c r="B75002"/>
      <c r="C75002"/>
      <c r="E75002"/>
      <c r="F75002"/>
    </row>
    <row r="75003" spans="1:6" x14ac:dyDescent="0.25">
      <c r="A75003"/>
      <c r="B75003"/>
      <c r="C75003"/>
      <c r="E75003"/>
      <c r="F75003"/>
    </row>
    <row r="75004" spans="1:6" x14ac:dyDescent="0.25">
      <c r="A75004"/>
      <c r="B75004"/>
      <c r="C75004"/>
      <c r="E75004"/>
      <c r="F75004"/>
    </row>
    <row r="75005" spans="1:6" x14ac:dyDescent="0.25">
      <c r="A75005"/>
      <c r="B75005"/>
      <c r="C75005"/>
      <c r="E75005"/>
      <c r="F75005"/>
    </row>
    <row r="75006" spans="1:6" x14ac:dyDescent="0.25">
      <c r="A75006"/>
      <c r="B75006"/>
      <c r="C75006"/>
      <c r="E75006"/>
      <c r="F75006"/>
    </row>
    <row r="75007" spans="1:6" x14ac:dyDescent="0.25">
      <c r="A75007"/>
      <c r="B75007"/>
      <c r="C75007"/>
      <c r="E75007"/>
      <c r="F75007"/>
    </row>
    <row r="75008" spans="1:6" x14ac:dyDescent="0.25">
      <c r="A75008"/>
      <c r="B75008"/>
      <c r="C75008"/>
      <c r="E75008"/>
      <c r="F75008"/>
    </row>
    <row r="75009" spans="1:6" x14ac:dyDescent="0.25">
      <c r="A75009"/>
      <c r="B75009"/>
      <c r="C75009"/>
      <c r="E75009"/>
      <c r="F75009"/>
    </row>
    <row r="75010" spans="1:6" x14ac:dyDescent="0.25">
      <c r="A75010"/>
      <c r="B75010"/>
      <c r="C75010"/>
      <c r="E75010"/>
      <c r="F75010"/>
    </row>
    <row r="75011" spans="1:6" x14ac:dyDescent="0.25">
      <c r="A75011"/>
      <c r="B75011"/>
      <c r="C75011"/>
      <c r="E75011"/>
      <c r="F75011"/>
    </row>
    <row r="75012" spans="1:6" x14ac:dyDescent="0.25">
      <c r="A75012"/>
      <c r="B75012"/>
      <c r="C75012"/>
      <c r="E75012"/>
      <c r="F75012"/>
    </row>
    <row r="75013" spans="1:6" x14ac:dyDescent="0.25">
      <c r="A75013"/>
      <c r="B75013"/>
      <c r="C75013"/>
      <c r="E75013"/>
      <c r="F75013"/>
    </row>
    <row r="75014" spans="1:6" x14ac:dyDescent="0.25">
      <c r="A75014"/>
      <c r="B75014"/>
      <c r="C75014"/>
      <c r="E75014"/>
      <c r="F75014"/>
    </row>
    <row r="75015" spans="1:6" x14ac:dyDescent="0.25">
      <c r="A75015"/>
      <c r="B75015"/>
      <c r="C75015"/>
      <c r="E75015"/>
      <c r="F75015"/>
    </row>
    <row r="75016" spans="1:6" x14ac:dyDescent="0.25">
      <c r="A75016"/>
      <c r="B75016"/>
      <c r="C75016"/>
      <c r="E75016"/>
      <c r="F75016"/>
    </row>
    <row r="75017" spans="1:6" x14ac:dyDescent="0.25">
      <c r="A75017"/>
      <c r="B75017"/>
      <c r="C75017"/>
      <c r="E75017"/>
      <c r="F75017"/>
    </row>
    <row r="75018" spans="1:6" x14ac:dyDescent="0.25">
      <c r="A75018"/>
      <c r="B75018"/>
      <c r="C75018"/>
      <c r="E75018"/>
      <c r="F75018"/>
    </row>
    <row r="75019" spans="1:6" x14ac:dyDescent="0.25">
      <c r="A75019"/>
      <c r="B75019"/>
      <c r="C75019"/>
      <c r="E75019"/>
      <c r="F75019"/>
    </row>
    <row r="75020" spans="1:6" x14ac:dyDescent="0.25">
      <c r="A75020"/>
      <c r="B75020"/>
      <c r="C75020"/>
      <c r="E75020"/>
      <c r="F75020"/>
    </row>
    <row r="75021" spans="1:6" x14ac:dyDescent="0.25">
      <c r="A75021"/>
      <c r="B75021"/>
      <c r="C75021"/>
      <c r="E75021"/>
      <c r="F75021"/>
    </row>
    <row r="75022" spans="1:6" x14ac:dyDescent="0.25">
      <c r="A75022"/>
      <c r="B75022"/>
      <c r="C75022"/>
      <c r="E75022"/>
      <c r="F75022"/>
    </row>
    <row r="75023" spans="1:6" x14ac:dyDescent="0.25">
      <c r="A75023"/>
      <c r="B75023"/>
      <c r="C75023"/>
      <c r="E75023"/>
      <c r="F75023"/>
    </row>
    <row r="75024" spans="1:6" x14ac:dyDescent="0.25">
      <c r="A75024"/>
      <c r="B75024"/>
      <c r="C75024"/>
      <c r="E75024"/>
      <c r="F75024"/>
    </row>
    <row r="75025" spans="1:6" x14ac:dyDescent="0.25">
      <c r="A75025"/>
      <c r="B75025"/>
      <c r="C75025"/>
      <c r="E75025"/>
      <c r="F75025"/>
    </row>
    <row r="75026" spans="1:6" x14ac:dyDescent="0.25">
      <c r="A75026"/>
      <c r="B75026"/>
      <c r="C75026"/>
      <c r="E75026"/>
      <c r="F75026"/>
    </row>
    <row r="75027" spans="1:6" x14ac:dyDescent="0.25">
      <c r="A75027"/>
      <c r="B75027"/>
      <c r="C75027"/>
      <c r="E75027"/>
      <c r="F75027"/>
    </row>
    <row r="75028" spans="1:6" x14ac:dyDescent="0.25">
      <c r="A75028"/>
      <c r="B75028"/>
      <c r="C75028"/>
      <c r="E75028"/>
      <c r="F75028"/>
    </row>
    <row r="75029" spans="1:6" x14ac:dyDescent="0.25">
      <c r="A75029"/>
      <c r="B75029"/>
      <c r="C75029"/>
      <c r="E75029"/>
      <c r="F75029"/>
    </row>
    <row r="75030" spans="1:6" x14ac:dyDescent="0.25">
      <c r="A75030"/>
      <c r="B75030"/>
      <c r="C75030"/>
      <c r="E75030"/>
      <c r="F75030"/>
    </row>
    <row r="75031" spans="1:6" x14ac:dyDescent="0.25">
      <c r="A75031"/>
      <c r="B75031"/>
      <c r="C75031"/>
      <c r="E75031"/>
      <c r="F75031"/>
    </row>
    <row r="75032" spans="1:6" x14ac:dyDescent="0.25">
      <c r="A75032"/>
      <c r="B75032"/>
      <c r="C75032"/>
      <c r="E75032"/>
      <c r="F75032"/>
    </row>
    <row r="75033" spans="1:6" x14ac:dyDescent="0.25">
      <c r="A75033"/>
      <c r="B75033"/>
      <c r="C75033"/>
      <c r="E75033"/>
      <c r="F75033"/>
    </row>
    <row r="75034" spans="1:6" x14ac:dyDescent="0.25">
      <c r="A75034"/>
      <c r="B75034"/>
      <c r="C75034"/>
      <c r="E75034"/>
      <c r="F75034"/>
    </row>
    <row r="75035" spans="1:6" x14ac:dyDescent="0.25">
      <c r="A75035"/>
      <c r="B75035"/>
      <c r="C75035"/>
      <c r="E75035"/>
      <c r="F75035"/>
    </row>
    <row r="75036" spans="1:6" x14ac:dyDescent="0.25">
      <c r="A75036"/>
      <c r="B75036"/>
      <c r="C75036"/>
      <c r="E75036"/>
      <c r="F75036"/>
    </row>
    <row r="75037" spans="1:6" x14ac:dyDescent="0.25">
      <c r="A75037"/>
      <c r="B75037"/>
      <c r="C75037"/>
      <c r="E75037"/>
      <c r="F75037"/>
    </row>
    <row r="75038" spans="1:6" x14ac:dyDescent="0.25">
      <c r="A75038"/>
      <c r="B75038"/>
      <c r="C75038"/>
      <c r="E75038"/>
      <c r="F75038"/>
    </row>
    <row r="75039" spans="1:6" x14ac:dyDescent="0.25">
      <c r="A75039"/>
      <c r="B75039"/>
      <c r="C75039"/>
      <c r="E75039"/>
      <c r="F75039"/>
    </row>
    <row r="75040" spans="1:6" x14ac:dyDescent="0.25">
      <c r="A75040"/>
      <c r="B75040"/>
      <c r="C75040"/>
      <c r="E75040"/>
      <c r="F75040"/>
    </row>
    <row r="75041" spans="1:6" x14ac:dyDescent="0.25">
      <c r="A75041"/>
      <c r="B75041"/>
      <c r="C75041"/>
      <c r="E75041"/>
      <c r="F75041"/>
    </row>
    <row r="75042" spans="1:6" x14ac:dyDescent="0.25">
      <c r="A75042"/>
      <c r="B75042"/>
      <c r="C75042"/>
      <c r="E75042"/>
      <c r="F75042"/>
    </row>
    <row r="75043" spans="1:6" x14ac:dyDescent="0.25">
      <c r="A75043"/>
      <c r="B75043"/>
      <c r="C75043"/>
      <c r="E75043"/>
      <c r="F75043"/>
    </row>
    <row r="75044" spans="1:6" x14ac:dyDescent="0.25">
      <c r="A75044"/>
      <c r="B75044"/>
      <c r="C75044"/>
      <c r="E75044"/>
      <c r="F75044"/>
    </row>
    <row r="75045" spans="1:6" x14ac:dyDescent="0.25">
      <c r="A75045"/>
      <c r="B75045"/>
      <c r="C75045"/>
      <c r="E75045"/>
      <c r="F75045"/>
    </row>
    <row r="75046" spans="1:6" x14ac:dyDescent="0.25">
      <c r="A75046"/>
      <c r="B75046"/>
      <c r="C75046"/>
      <c r="E75046"/>
      <c r="F75046"/>
    </row>
    <row r="75047" spans="1:6" x14ac:dyDescent="0.25">
      <c r="A75047"/>
      <c r="B75047"/>
      <c r="C75047"/>
      <c r="E75047"/>
      <c r="F75047"/>
    </row>
    <row r="75048" spans="1:6" x14ac:dyDescent="0.25">
      <c r="A75048"/>
      <c r="B75048"/>
      <c r="C75048"/>
      <c r="E75048"/>
      <c r="F75048"/>
    </row>
    <row r="75049" spans="1:6" x14ac:dyDescent="0.25">
      <c r="A75049"/>
      <c r="B75049"/>
      <c r="C75049"/>
      <c r="E75049"/>
      <c r="F75049"/>
    </row>
    <row r="75050" spans="1:6" x14ac:dyDescent="0.25">
      <c r="A75050"/>
      <c r="B75050"/>
      <c r="C75050"/>
      <c r="E75050"/>
      <c r="F75050"/>
    </row>
    <row r="75051" spans="1:6" x14ac:dyDescent="0.25">
      <c r="A75051"/>
      <c r="B75051"/>
      <c r="C75051"/>
      <c r="E75051"/>
      <c r="F75051"/>
    </row>
    <row r="75052" spans="1:6" x14ac:dyDescent="0.25">
      <c r="A75052"/>
      <c r="B75052"/>
      <c r="C75052"/>
      <c r="E75052"/>
      <c r="F75052"/>
    </row>
    <row r="75053" spans="1:6" x14ac:dyDescent="0.25">
      <c r="A75053"/>
      <c r="B75053"/>
      <c r="C75053"/>
      <c r="E75053"/>
      <c r="F75053"/>
    </row>
    <row r="75054" spans="1:6" x14ac:dyDescent="0.25">
      <c r="A75054"/>
      <c r="B75054"/>
      <c r="C75054"/>
      <c r="E75054"/>
      <c r="F75054"/>
    </row>
    <row r="75055" spans="1:6" x14ac:dyDescent="0.25">
      <c r="A75055"/>
      <c r="B75055"/>
      <c r="C75055"/>
      <c r="E75055"/>
      <c r="F75055"/>
    </row>
    <row r="75056" spans="1:6" x14ac:dyDescent="0.25">
      <c r="A75056"/>
      <c r="B75056"/>
      <c r="C75056"/>
      <c r="E75056"/>
      <c r="F75056"/>
    </row>
    <row r="75057" spans="1:6" x14ac:dyDescent="0.25">
      <c r="A75057"/>
      <c r="B75057"/>
      <c r="C75057"/>
      <c r="E75057"/>
      <c r="F75057"/>
    </row>
    <row r="75058" spans="1:6" x14ac:dyDescent="0.25">
      <c r="A75058"/>
      <c r="B75058"/>
      <c r="C75058"/>
      <c r="E75058"/>
      <c r="F75058"/>
    </row>
    <row r="75059" spans="1:6" x14ac:dyDescent="0.25">
      <c r="A75059"/>
      <c r="B75059"/>
      <c r="C75059"/>
      <c r="E75059"/>
      <c r="F75059"/>
    </row>
    <row r="75060" spans="1:6" x14ac:dyDescent="0.25">
      <c r="A75060"/>
      <c r="B75060"/>
      <c r="C75060"/>
      <c r="E75060"/>
      <c r="F75060"/>
    </row>
    <row r="75061" spans="1:6" x14ac:dyDescent="0.25">
      <c r="A75061"/>
      <c r="B75061"/>
      <c r="C75061"/>
      <c r="E75061"/>
      <c r="F75061"/>
    </row>
    <row r="75062" spans="1:6" x14ac:dyDescent="0.25">
      <c r="A75062"/>
      <c r="B75062"/>
      <c r="C75062"/>
      <c r="E75062"/>
      <c r="F75062"/>
    </row>
    <row r="75063" spans="1:6" x14ac:dyDescent="0.25">
      <c r="A75063"/>
      <c r="B75063"/>
      <c r="C75063"/>
      <c r="E75063"/>
      <c r="F75063"/>
    </row>
    <row r="75064" spans="1:6" x14ac:dyDescent="0.25">
      <c r="A75064"/>
      <c r="B75064"/>
      <c r="C75064"/>
      <c r="E75064"/>
      <c r="F75064"/>
    </row>
    <row r="75065" spans="1:6" x14ac:dyDescent="0.25">
      <c r="A75065"/>
      <c r="B75065"/>
      <c r="C75065"/>
      <c r="E75065"/>
      <c r="F75065"/>
    </row>
    <row r="75066" spans="1:6" x14ac:dyDescent="0.25">
      <c r="A75066"/>
      <c r="B75066"/>
      <c r="C75066"/>
      <c r="E75066"/>
      <c r="F75066"/>
    </row>
    <row r="75067" spans="1:6" x14ac:dyDescent="0.25">
      <c r="A75067"/>
      <c r="B75067"/>
      <c r="C75067"/>
      <c r="E75067"/>
      <c r="F75067"/>
    </row>
    <row r="75068" spans="1:6" x14ac:dyDescent="0.25">
      <c r="A75068"/>
      <c r="B75068"/>
      <c r="C75068"/>
      <c r="E75068"/>
      <c r="F75068"/>
    </row>
    <row r="75069" spans="1:6" x14ac:dyDescent="0.25">
      <c r="A75069"/>
      <c r="B75069"/>
      <c r="C75069"/>
      <c r="E75069"/>
      <c r="F75069"/>
    </row>
    <row r="75070" spans="1:6" x14ac:dyDescent="0.25">
      <c r="A75070"/>
      <c r="B75070"/>
      <c r="C75070"/>
      <c r="E75070"/>
      <c r="F75070"/>
    </row>
    <row r="75071" spans="1:6" x14ac:dyDescent="0.25">
      <c r="A75071"/>
      <c r="B75071"/>
      <c r="C75071"/>
      <c r="E75071"/>
      <c r="F75071"/>
    </row>
    <row r="75072" spans="1:6" x14ac:dyDescent="0.25">
      <c r="A75072"/>
      <c r="B75072"/>
      <c r="C75072"/>
      <c r="E75072"/>
      <c r="F75072"/>
    </row>
    <row r="75073" spans="1:6" x14ac:dyDescent="0.25">
      <c r="A75073"/>
      <c r="B75073"/>
      <c r="C75073"/>
      <c r="E75073"/>
      <c r="F75073"/>
    </row>
    <row r="75074" spans="1:6" x14ac:dyDescent="0.25">
      <c r="A75074"/>
      <c r="B75074"/>
      <c r="C75074"/>
      <c r="E75074"/>
      <c r="F75074"/>
    </row>
    <row r="75075" spans="1:6" x14ac:dyDescent="0.25">
      <c r="A75075"/>
      <c r="B75075"/>
      <c r="C75075"/>
      <c r="E75075"/>
      <c r="F75075"/>
    </row>
    <row r="75076" spans="1:6" x14ac:dyDescent="0.25">
      <c r="A75076"/>
      <c r="B75076"/>
      <c r="C75076"/>
      <c r="E75076"/>
      <c r="F75076"/>
    </row>
    <row r="75077" spans="1:6" x14ac:dyDescent="0.25">
      <c r="A75077"/>
      <c r="B75077"/>
      <c r="C75077"/>
      <c r="E75077"/>
      <c r="F75077"/>
    </row>
    <row r="75078" spans="1:6" x14ac:dyDescent="0.25">
      <c r="A75078"/>
      <c r="B75078"/>
      <c r="C75078"/>
      <c r="E75078"/>
      <c r="F75078"/>
    </row>
    <row r="75079" spans="1:6" x14ac:dyDescent="0.25">
      <c r="A75079"/>
      <c r="B75079"/>
      <c r="C75079"/>
      <c r="E75079"/>
      <c r="F75079"/>
    </row>
    <row r="75080" spans="1:6" x14ac:dyDescent="0.25">
      <c r="A75080"/>
      <c r="B75080"/>
      <c r="C75080"/>
      <c r="E75080"/>
      <c r="F75080"/>
    </row>
    <row r="75081" spans="1:6" x14ac:dyDescent="0.25">
      <c r="A75081"/>
      <c r="B75081"/>
      <c r="C75081"/>
      <c r="E75081"/>
      <c r="F75081"/>
    </row>
    <row r="75082" spans="1:6" x14ac:dyDescent="0.25">
      <c r="A75082"/>
      <c r="B75082"/>
      <c r="C75082"/>
      <c r="E75082"/>
      <c r="F75082"/>
    </row>
    <row r="75083" spans="1:6" x14ac:dyDescent="0.25">
      <c r="A75083"/>
      <c r="B75083"/>
      <c r="C75083"/>
      <c r="E75083"/>
      <c r="F75083"/>
    </row>
    <row r="75084" spans="1:6" x14ac:dyDescent="0.25">
      <c r="A75084"/>
      <c r="B75084"/>
      <c r="C75084"/>
      <c r="E75084"/>
      <c r="F75084"/>
    </row>
    <row r="75085" spans="1:6" x14ac:dyDescent="0.25">
      <c r="A75085"/>
      <c r="B75085"/>
      <c r="C75085"/>
      <c r="E75085"/>
      <c r="F75085"/>
    </row>
    <row r="75086" spans="1:6" x14ac:dyDescent="0.25">
      <c r="A75086"/>
      <c r="B75086"/>
      <c r="C75086"/>
      <c r="E75086"/>
      <c r="F75086"/>
    </row>
    <row r="75087" spans="1:6" x14ac:dyDescent="0.25">
      <c r="A75087"/>
      <c r="B75087"/>
      <c r="C75087"/>
      <c r="E75087"/>
      <c r="F75087"/>
    </row>
    <row r="75088" spans="1:6" x14ac:dyDescent="0.25">
      <c r="A75088"/>
      <c r="B75088"/>
      <c r="C75088"/>
      <c r="E75088"/>
      <c r="F75088"/>
    </row>
    <row r="75089" spans="1:6" x14ac:dyDescent="0.25">
      <c r="A75089"/>
      <c r="B75089"/>
      <c r="C75089"/>
      <c r="E75089"/>
      <c r="F75089"/>
    </row>
    <row r="75090" spans="1:6" x14ac:dyDescent="0.25">
      <c r="A75090"/>
      <c r="B75090"/>
      <c r="C75090"/>
      <c r="E75090"/>
      <c r="F75090"/>
    </row>
    <row r="75091" spans="1:6" x14ac:dyDescent="0.25">
      <c r="A75091"/>
      <c r="B75091"/>
      <c r="C75091"/>
      <c r="E75091"/>
      <c r="F75091"/>
    </row>
    <row r="75092" spans="1:6" x14ac:dyDescent="0.25">
      <c r="A75092"/>
      <c r="B75092"/>
      <c r="C75092"/>
      <c r="E75092"/>
      <c r="F75092"/>
    </row>
    <row r="75093" spans="1:6" x14ac:dyDescent="0.25">
      <c r="A75093"/>
      <c r="B75093"/>
      <c r="C75093"/>
      <c r="E75093"/>
      <c r="F75093"/>
    </row>
    <row r="75094" spans="1:6" x14ac:dyDescent="0.25">
      <c r="A75094"/>
      <c r="B75094"/>
      <c r="C75094"/>
      <c r="E75094"/>
      <c r="F75094"/>
    </row>
    <row r="75095" spans="1:6" x14ac:dyDescent="0.25">
      <c r="A75095"/>
      <c r="B75095"/>
      <c r="C75095"/>
      <c r="E75095"/>
      <c r="F75095"/>
    </row>
    <row r="75096" spans="1:6" x14ac:dyDescent="0.25">
      <c r="A75096"/>
      <c r="B75096"/>
      <c r="C75096"/>
      <c r="E75096"/>
      <c r="F75096"/>
    </row>
    <row r="75097" spans="1:6" x14ac:dyDescent="0.25">
      <c r="A75097"/>
      <c r="B75097"/>
      <c r="C75097"/>
      <c r="E75097"/>
      <c r="F75097"/>
    </row>
    <row r="75098" spans="1:6" x14ac:dyDescent="0.25">
      <c r="A75098"/>
      <c r="B75098"/>
      <c r="C75098"/>
      <c r="E75098"/>
      <c r="F75098"/>
    </row>
    <row r="75099" spans="1:6" x14ac:dyDescent="0.25">
      <c r="A75099"/>
      <c r="B75099"/>
      <c r="C75099"/>
      <c r="E75099"/>
      <c r="F75099"/>
    </row>
    <row r="75100" spans="1:6" x14ac:dyDescent="0.25">
      <c r="A75100"/>
      <c r="B75100"/>
      <c r="C75100"/>
      <c r="E75100"/>
      <c r="F75100"/>
    </row>
    <row r="75101" spans="1:6" x14ac:dyDescent="0.25">
      <c r="A75101"/>
      <c r="B75101"/>
      <c r="C75101"/>
      <c r="E75101"/>
      <c r="F75101"/>
    </row>
    <row r="75102" spans="1:6" x14ac:dyDescent="0.25">
      <c r="A75102"/>
      <c r="B75102"/>
      <c r="C75102"/>
      <c r="E75102"/>
      <c r="F75102"/>
    </row>
    <row r="75103" spans="1:6" x14ac:dyDescent="0.25">
      <c r="A75103"/>
      <c r="B75103"/>
      <c r="C75103"/>
      <c r="E75103"/>
      <c r="F75103"/>
    </row>
    <row r="75104" spans="1:6" x14ac:dyDescent="0.25">
      <c r="A75104"/>
      <c r="B75104"/>
      <c r="C75104"/>
      <c r="E75104"/>
      <c r="F75104"/>
    </row>
    <row r="75105" spans="1:6" x14ac:dyDescent="0.25">
      <c r="A75105"/>
      <c r="B75105"/>
      <c r="C75105"/>
      <c r="E75105"/>
      <c r="F75105"/>
    </row>
    <row r="75106" spans="1:6" x14ac:dyDescent="0.25">
      <c r="A75106"/>
      <c r="B75106"/>
      <c r="C75106"/>
      <c r="E75106"/>
      <c r="F75106"/>
    </row>
    <row r="75107" spans="1:6" x14ac:dyDescent="0.25">
      <c r="A75107"/>
      <c r="B75107"/>
      <c r="C75107"/>
      <c r="E75107"/>
      <c r="F75107"/>
    </row>
    <row r="75108" spans="1:6" x14ac:dyDescent="0.25">
      <c r="A75108"/>
      <c r="B75108"/>
      <c r="C75108"/>
      <c r="E75108"/>
      <c r="F75108"/>
    </row>
    <row r="75109" spans="1:6" x14ac:dyDescent="0.25">
      <c r="A75109"/>
      <c r="B75109"/>
      <c r="C75109"/>
      <c r="E75109"/>
      <c r="F75109"/>
    </row>
    <row r="75110" spans="1:6" x14ac:dyDescent="0.25">
      <c r="A75110"/>
      <c r="B75110"/>
      <c r="C75110"/>
      <c r="E75110"/>
      <c r="F75110"/>
    </row>
    <row r="75111" spans="1:6" x14ac:dyDescent="0.25">
      <c r="A75111"/>
      <c r="B75111"/>
      <c r="C75111"/>
      <c r="E75111"/>
      <c r="F75111"/>
    </row>
    <row r="75112" spans="1:6" x14ac:dyDescent="0.25">
      <c r="A75112"/>
      <c r="B75112"/>
      <c r="C75112"/>
      <c r="E75112"/>
      <c r="F75112"/>
    </row>
    <row r="75113" spans="1:6" x14ac:dyDescent="0.25">
      <c r="A75113"/>
      <c r="B75113"/>
      <c r="C75113"/>
      <c r="E75113"/>
      <c r="F75113"/>
    </row>
    <row r="75114" spans="1:6" x14ac:dyDescent="0.25">
      <c r="A75114"/>
      <c r="B75114"/>
      <c r="C75114"/>
      <c r="E75114"/>
      <c r="F75114"/>
    </row>
    <row r="75115" spans="1:6" x14ac:dyDescent="0.25">
      <c r="A75115"/>
      <c r="B75115"/>
      <c r="C75115"/>
      <c r="E75115"/>
      <c r="F75115"/>
    </row>
    <row r="75116" spans="1:6" x14ac:dyDescent="0.25">
      <c r="A75116"/>
      <c r="B75116"/>
      <c r="C75116"/>
      <c r="E75116"/>
      <c r="F75116"/>
    </row>
    <row r="75117" spans="1:6" x14ac:dyDescent="0.25">
      <c r="A75117"/>
      <c r="B75117"/>
      <c r="C75117"/>
      <c r="E75117"/>
      <c r="F75117"/>
    </row>
    <row r="75118" spans="1:6" x14ac:dyDescent="0.25">
      <c r="A75118"/>
      <c r="B75118"/>
      <c r="C75118"/>
      <c r="E75118"/>
      <c r="F75118"/>
    </row>
    <row r="75119" spans="1:6" x14ac:dyDescent="0.25">
      <c r="A75119"/>
      <c r="B75119"/>
      <c r="C75119"/>
      <c r="E75119"/>
      <c r="F75119"/>
    </row>
    <row r="75120" spans="1:6" x14ac:dyDescent="0.25">
      <c r="A75120"/>
      <c r="B75120"/>
      <c r="C75120"/>
      <c r="E75120"/>
      <c r="F75120"/>
    </row>
    <row r="75121" spans="1:6" x14ac:dyDescent="0.25">
      <c r="A75121"/>
      <c r="B75121"/>
      <c r="C75121"/>
      <c r="E75121"/>
      <c r="F75121"/>
    </row>
    <row r="75122" spans="1:6" x14ac:dyDescent="0.25">
      <c r="A75122"/>
      <c r="B75122"/>
      <c r="C75122"/>
      <c r="E75122"/>
      <c r="F75122"/>
    </row>
    <row r="75123" spans="1:6" x14ac:dyDescent="0.25">
      <c r="A75123"/>
      <c r="B75123"/>
      <c r="C75123"/>
      <c r="E75123"/>
      <c r="F75123"/>
    </row>
    <row r="75124" spans="1:6" x14ac:dyDescent="0.25">
      <c r="A75124"/>
      <c r="B75124"/>
      <c r="C75124"/>
      <c r="E75124"/>
      <c r="F75124"/>
    </row>
    <row r="75125" spans="1:6" x14ac:dyDescent="0.25">
      <c r="A75125"/>
      <c r="B75125"/>
      <c r="C75125"/>
      <c r="E75125"/>
      <c r="F75125"/>
    </row>
    <row r="75126" spans="1:6" x14ac:dyDescent="0.25">
      <c r="A75126"/>
      <c r="B75126"/>
      <c r="C75126"/>
      <c r="E75126"/>
      <c r="F75126"/>
    </row>
    <row r="75127" spans="1:6" x14ac:dyDescent="0.25">
      <c r="A75127"/>
      <c r="B75127"/>
      <c r="C75127"/>
      <c r="E75127"/>
      <c r="F75127"/>
    </row>
    <row r="75128" spans="1:6" x14ac:dyDescent="0.25">
      <c r="A75128"/>
      <c r="B75128"/>
      <c r="C75128"/>
      <c r="E75128"/>
      <c r="F75128"/>
    </row>
    <row r="75129" spans="1:6" x14ac:dyDescent="0.25">
      <c r="A75129"/>
      <c r="B75129"/>
      <c r="C75129"/>
      <c r="E75129"/>
      <c r="F75129"/>
    </row>
    <row r="75130" spans="1:6" x14ac:dyDescent="0.25">
      <c r="A75130"/>
      <c r="B75130"/>
      <c r="C75130"/>
      <c r="E75130"/>
      <c r="F75130"/>
    </row>
    <row r="75131" spans="1:6" x14ac:dyDescent="0.25">
      <c r="A75131"/>
      <c r="B75131"/>
      <c r="C75131"/>
      <c r="E75131"/>
      <c r="F75131"/>
    </row>
    <row r="75132" spans="1:6" x14ac:dyDescent="0.25">
      <c r="A75132"/>
      <c r="B75132"/>
      <c r="C75132"/>
      <c r="E75132"/>
      <c r="F75132"/>
    </row>
    <row r="75133" spans="1:6" x14ac:dyDescent="0.25">
      <c r="A75133"/>
      <c r="B75133"/>
      <c r="C75133"/>
      <c r="E75133"/>
      <c r="F75133"/>
    </row>
    <row r="75134" spans="1:6" x14ac:dyDescent="0.25">
      <c r="A75134"/>
      <c r="B75134"/>
      <c r="C75134"/>
      <c r="E75134"/>
      <c r="F75134"/>
    </row>
    <row r="75135" spans="1:6" x14ac:dyDescent="0.25">
      <c r="A75135"/>
      <c r="B75135"/>
      <c r="C75135"/>
      <c r="E75135"/>
      <c r="F75135"/>
    </row>
    <row r="75136" spans="1:6" x14ac:dyDescent="0.25">
      <c r="A75136"/>
      <c r="B75136"/>
      <c r="C75136"/>
      <c r="E75136"/>
      <c r="F75136"/>
    </row>
    <row r="75137" spans="1:6" x14ac:dyDescent="0.25">
      <c r="A75137"/>
      <c r="B75137"/>
      <c r="C75137"/>
      <c r="E75137"/>
      <c r="F75137"/>
    </row>
    <row r="75138" spans="1:6" x14ac:dyDescent="0.25">
      <c r="A75138"/>
      <c r="B75138"/>
      <c r="C75138"/>
      <c r="E75138"/>
      <c r="F75138"/>
    </row>
    <row r="75139" spans="1:6" x14ac:dyDescent="0.25">
      <c r="A75139"/>
      <c r="B75139"/>
      <c r="C75139"/>
      <c r="E75139"/>
      <c r="F75139"/>
    </row>
    <row r="75140" spans="1:6" x14ac:dyDescent="0.25">
      <c r="A75140"/>
      <c r="B75140"/>
      <c r="C75140"/>
      <c r="E75140"/>
      <c r="F75140"/>
    </row>
    <row r="75141" spans="1:6" x14ac:dyDescent="0.25">
      <c r="A75141"/>
      <c r="B75141"/>
      <c r="C75141"/>
      <c r="E75141"/>
      <c r="F75141"/>
    </row>
    <row r="75142" spans="1:6" x14ac:dyDescent="0.25">
      <c r="A75142"/>
      <c r="B75142"/>
      <c r="C75142"/>
      <c r="E75142"/>
      <c r="F75142"/>
    </row>
    <row r="75143" spans="1:6" x14ac:dyDescent="0.25">
      <c r="A75143"/>
      <c r="B75143"/>
      <c r="C75143"/>
      <c r="E75143"/>
      <c r="F75143"/>
    </row>
    <row r="75144" spans="1:6" x14ac:dyDescent="0.25">
      <c r="A75144"/>
      <c r="B75144"/>
      <c r="C75144"/>
      <c r="E75144"/>
      <c r="F75144"/>
    </row>
    <row r="75145" spans="1:6" x14ac:dyDescent="0.25">
      <c r="A75145"/>
      <c r="B75145"/>
      <c r="C75145"/>
      <c r="E75145"/>
      <c r="F75145"/>
    </row>
    <row r="75146" spans="1:6" x14ac:dyDescent="0.25">
      <c r="A75146"/>
      <c r="B75146"/>
      <c r="C75146"/>
      <c r="E75146"/>
      <c r="F75146"/>
    </row>
    <row r="75147" spans="1:6" x14ac:dyDescent="0.25">
      <c r="A75147"/>
      <c r="B75147"/>
      <c r="C75147"/>
      <c r="E75147"/>
      <c r="F75147"/>
    </row>
    <row r="75148" spans="1:6" x14ac:dyDescent="0.25">
      <c r="A75148"/>
      <c r="B75148"/>
      <c r="C75148"/>
      <c r="E75148"/>
      <c r="F75148"/>
    </row>
    <row r="75149" spans="1:6" x14ac:dyDescent="0.25">
      <c r="A75149"/>
      <c r="B75149"/>
      <c r="C75149"/>
      <c r="E75149"/>
      <c r="F75149"/>
    </row>
    <row r="75150" spans="1:6" x14ac:dyDescent="0.25">
      <c r="A75150"/>
      <c r="B75150"/>
      <c r="C75150"/>
      <c r="E75150"/>
      <c r="F75150"/>
    </row>
    <row r="75151" spans="1:6" x14ac:dyDescent="0.25">
      <c r="A75151"/>
      <c r="B75151"/>
      <c r="C75151"/>
      <c r="E75151"/>
      <c r="F75151"/>
    </row>
    <row r="75152" spans="1:6" x14ac:dyDescent="0.25">
      <c r="A75152"/>
      <c r="B75152"/>
      <c r="C75152"/>
      <c r="E75152"/>
      <c r="F75152"/>
    </row>
    <row r="75153" spans="1:6" x14ac:dyDescent="0.25">
      <c r="A75153"/>
      <c r="B75153"/>
      <c r="C75153"/>
      <c r="E75153"/>
      <c r="F75153"/>
    </row>
    <row r="75154" spans="1:6" x14ac:dyDescent="0.25">
      <c r="A75154"/>
      <c r="B75154"/>
      <c r="C75154"/>
      <c r="E75154"/>
      <c r="F75154"/>
    </row>
    <row r="75155" spans="1:6" x14ac:dyDescent="0.25">
      <c r="A75155"/>
      <c r="B75155"/>
      <c r="C75155"/>
      <c r="E75155"/>
      <c r="F75155"/>
    </row>
    <row r="75156" spans="1:6" x14ac:dyDescent="0.25">
      <c r="A75156"/>
      <c r="B75156"/>
      <c r="C75156"/>
      <c r="E75156"/>
      <c r="F75156"/>
    </row>
    <row r="75157" spans="1:6" x14ac:dyDescent="0.25">
      <c r="A75157"/>
      <c r="B75157"/>
      <c r="C75157"/>
      <c r="E75157"/>
      <c r="F75157"/>
    </row>
    <row r="75158" spans="1:6" x14ac:dyDescent="0.25">
      <c r="A75158"/>
      <c r="B75158"/>
      <c r="C75158"/>
      <c r="E75158"/>
      <c r="F75158"/>
    </row>
    <row r="75159" spans="1:6" x14ac:dyDescent="0.25">
      <c r="A75159"/>
      <c r="B75159"/>
      <c r="C75159"/>
      <c r="E75159"/>
      <c r="F75159"/>
    </row>
    <row r="75160" spans="1:6" x14ac:dyDescent="0.25">
      <c r="A75160"/>
      <c r="B75160"/>
      <c r="C75160"/>
      <c r="E75160"/>
      <c r="F75160"/>
    </row>
    <row r="75161" spans="1:6" x14ac:dyDescent="0.25">
      <c r="A75161"/>
      <c r="B75161"/>
      <c r="C75161"/>
      <c r="E75161"/>
      <c r="F75161"/>
    </row>
    <row r="75162" spans="1:6" x14ac:dyDescent="0.25">
      <c r="A75162"/>
      <c r="B75162"/>
      <c r="C75162"/>
      <c r="E75162"/>
      <c r="F75162"/>
    </row>
    <row r="75163" spans="1:6" x14ac:dyDescent="0.25">
      <c r="A75163"/>
      <c r="B75163"/>
      <c r="C75163"/>
      <c r="E75163"/>
      <c r="F75163"/>
    </row>
    <row r="75164" spans="1:6" x14ac:dyDescent="0.25">
      <c r="A75164"/>
      <c r="B75164"/>
      <c r="C75164"/>
      <c r="E75164"/>
      <c r="F75164"/>
    </row>
    <row r="75165" spans="1:6" x14ac:dyDescent="0.25">
      <c r="A75165"/>
      <c r="B75165"/>
      <c r="C75165"/>
      <c r="E75165"/>
      <c r="F75165"/>
    </row>
    <row r="75166" spans="1:6" x14ac:dyDescent="0.25">
      <c r="A75166"/>
      <c r="B75166"/>
      <c r="C75166"/>
      <c r="E75166"/>
      <c r="F75166"/>
    </row>
    <row r="75167" spans="1:6" x14ac:dyDescent="0.25">
      <c r="A75167"/>
      <c r="B75167"/>
      <c r="C75167"/>
      <c r="E75167"/>
      <c r="F75167"/>
    </row>
    <row r="75168" spans="1:6" x14ac:dyDescent="0.25">
      <c r="A75168"/>
      <c r="B75168"/>
      <c r="C75168"/>
      <c r="E75168"/>
      <c r="F75168"/>
    </row>
    <row r="75169" spans="1:6" x14ac:dyDescent="0.25">
      <c r="A75169"/>
      <c r="B75169"/>
      <c r="C75169"/>
      <c r="E75169"/>
      <c r="F75169"/>
    </row>
    <row r="75170" spans="1:6" x14ac:dyDescent="0.25">
      <c r="A75170"/>
      <c r="B75170"/>
      <c r="C75170"/>
      <c r="E75170"/>
      <c r="F75170"/>
    </row>
    <row r="75171" spans="1:6" x14ac:dyDescent="0.25">
      <c r="A75171"/>
      <c r="B75171"/>
      <c r="C75171"/>
      <c r="E75171"/>
      <c r="F75171"/>
    </row>
    <row r="75172" spans="1:6" x14ac:dyDescent="0.25">
      <c r="A75172"/>
      <c r="B75172"/>
      <c r="C75172"/>
      <c r="E75172"/>
      <c r="F75172"/>
    </row>
    <row r="75173" spans="1:6" x14ac:dyDescent="0.25">
      <c r="A75173"/>
      <c r="B75173"/>
      <c r="C75173"/>
      <c r="E75173"/>
      <c r="F75173"/>
    </row>
    <row r="75174" spans="1:6" x14ac:dyDescent="0.25">
      <c r="A75174"/>
      <c r="B75174"/>
      <c r="C75174"/>
      <c r="E75174"/>
      <c r="F75174"/>
    </row>
    <row r="75175" spans="1:6" x14ac:dyDescent="0.25">
      <c r="A75175"/>
      <c r="B75175"/>
      <c r="C75175"/>
      <c r="E75175"/>
      <c r="F75175"/>
    </row>
    <row r="75176" spans="1:6" x14ac:dyDescent="0.25">
      <c r="A75176"/>
      <c r="B75176"/>
      <c r="C75176"/>
      <c r="E75176"/>
      <c r="F75176"/>
    </row>
    <row r="75177" spans="1:6" x14ac:dyDescent="0.25">
      <c r="A75177"/>
      <c r="B75177"/>
      <c r="C75177"/>
      <c r="E75177"/>
      <c r="F75177"/>
    </row>
    <row r="75178" spans="1:6" x14ac:dyDescent="0.25">
      <c r="A75178"/>
      <c r="B75178"/>
      <c r="C75178"/>
      <c r="E75178"/>
      <c r="F75178"/>
    </row>
    <row r="75179" spans="1:6" x14ac:dyDescent="0.25">
      <c r="A75179"/>
      <c r="B75179"/>
      <c r="C75179"/>
      <c r="E75179"/>
      <c r="F75179"/>
    </row>
    <row r="75180" spans="1:6" x14ac:dyDescent="0.25">
      <c r="A75180"/>
      <c r="B75180"/>
      <c r="C75180"/>
      <c r="E75180"/>
      <c r="F75180"/>
    </row>
    <row r="75181" spans="1:6" x14ac:dyDescent="0.25">
      <c r="A75181"/>
      <c r="B75181"/>
      <c r="C75181"/>
      <c r="E75181"/>
      <c r="F75181"/>
    </row>
    <row r="75182" spans="1:6" x14ac:dyDescent="0.25">
      <c r="A75182"/>
      <c r="B75182"/>
      <c r="C75182"/>
      <c r="E75182"/>
      <c r="F75182"/>
    </row>
    <row r="75183" spans="1:6" x14ac:dyDescent="0.25">
      <c r="A75183"/>
      <c r="B75183"/>
      <c r="C75183"/>
      <c r="E75183"/>
      <c r="F75183"/>
    </row>
    <row r="75184" spans="1:6" x14ac:dyDescent="0.25">
      <c r="A75184"/>
      <c r="B75184"/>
      <c r="C75184"/>
      <c r="E75184"/>
      <c r="F75184"/>
    </row>
    <row r="75185" spans="1:6" x14ac:dyDescent="0.25">
      <c r="A75185"/>
      <c r="B75185"/>
      <c r="C75185"/>
      <c r="E75185"/>
      <c r="F75185"/>
    </row>
    <row r="75186" spans="1:6" x14ac:dyDescent="0.25">
      <c r="A75186"/>
      <c r="B75186"/>
      <c r="C75186"/>
      <c r="E75186"/>
      <c r="F75186"/>
    </row>
    <row r="75187" spans="1:6" x14ac:dyDescent="0.25">
      <c r="A75187"/>
      <c r="B75187"/>
      <c r="C75187"/>
      <c r="E75187"/>
      <c r="F75187"/>
    </row>
    <row r="75188" spans="1:6" x14ac:dyDescent="0.25">
      <c r="A75188"/>
      <c r="B75188"/>
      <c r="C75188"/>
      <c r="E75188"/>
      <c r="F75188"/>
    </row>
    <row r="75189" spans="1:6" x14ac:dyDescent="0.25">
      <c r="A75189"/>
      <c r="B75189"/>
      <c r="C75189"/>
      <c r="E75189"/>
      <c r="F75189"/>
    </row>
    <row r="75190" spans="1:6" x14ac:dyDescent="0.25">
      <c r="A75190"/>
      <c r="B75190"/>
      <c r="C75190"/>
      <c r="E75190"/>
      <c r="F75190"/>
    </row>
    <row r="75191" spans="1:6" x14ac:dyDescent="0.25">
      <c r="A75191"/>
      <c r="B75191"/>
      <c r="C75191"/>
      <c r="E75191"/>
      <c r="F75191"/>
    </row>
    <row r="75192" spans="1:6" x14ac:dyDescent="0.25">
      <c r="A75192"/>
      <c r="B75192"/>
      <c r="C75192"/>
      <c r="E75192"/>
      <c r="F75192"/>
    </row>
    <row r="75193" spans="1:6" x14ac:dyDescent="0.25">
      <c r="A75193"/>
      <c r="B75193"/>
      <c r="C75193"/>
      <c r="E75193"/>
      <c r="F75193"/>
    </row>
    <row r="75194" spans="1:6" x14ac:dyDescent="0.25">
      <c r="A75194"/>
      <c r="B75194"/>
      <c r="C75194"/>
      <c r="E75194"/>
      <c r="F75194"/>
    </row>
    <row r="75195" spans="1:6" x14ac:dyDescent="0.25">
      <c r="A75195"/>
      <c r="B75195"/>
      <c r="C75195"/>
      <c r="E75195"/>
      <c r="F75195"/>
    </row>
    <row r="75196" spans="1:6" x14ac:dyDescent="0.25">
      <c r="A75196"/>
      <c r="B75196"/>
      <c r="C75196"/>
      <c r="E75196"/>
      <c r="F75196"/>
    </row>
    <row r="75197" spans="1:6" x14ac:dyDescent="0.25">
      <c r="A75197"/>
      <c r="B75197"/>
      <c r="C75197"/>
      <c r="E75197"/>
      <c r="F75197"/>
    </row>
    <row r="75198" spans="1:6" x14ac:dyDescent="0.25">
      <c r="A75198"/>
      <c r="B75198"/>
      <c r="C75198"/>
      <c r="E75198"/>
      <c r="F75198"/>
    </row>
    <row r="75199" spans="1:6" x14ac:dyDescent="0.25">
      <c r="A75199"/>
      <c r="B75199"/>
      <c r="C75199"/>
      <c r="E75199"/>
      <c r="F75199"/>
    </row>
    <row r="75200" spans="1:6" x14ac:dyDescent="0.25">
      <c r="A75200"/>
      <c r="B75200"/>
      <c r="C75200"/>
      <c r="E75200"/>
      <c r="F75200"/>
    </row>
    <row r="75201" spans="1:6" x14ac:dyDescent="0.25">
      <c r="A75201"/>
      <c r="B75201"/>
      <c r="C75201"/>
      <c r="E75201"/>
      <c r="F75201"/>
    </row>
    <row r="75202" spans="1:6" x14ac:dyDescent="0.25">
      <c r="A75202"/>
      <c r="B75202"/>
      <c r="C75202"/>
      <c r="E75202"/>
      <c r="F75202"/>
    </row>
    <row r="75203" spans="1:6" x14ac:dyDescent="0.25">
      <c r="A75203"/>
      <c r="B75203"/>
      <c r="C75203"/>
      <c r="E75203"/>
      <c r="F75203"/>
    </row>
    <row r="75204" spans="1:6" x14ac:dyDescent="0.25">
      <c r="A75204"/>
      <c r="B75204"/>
      <c r="C75204"/>
      <c r="E75204"/>
      <c r="F75204"/>
    </row>
    <row r="75205" spans="1:6" x14ac:dyDescent="0.25">
      <c r="A75205"/>
      <c r="B75205"/>
      <c r="C75205"/>
      <c r="E75205"/>
      <c r="F75205"/>
    </row>
    <row r="75206" spans="1:6" x14ac:dyDescent="0.25">
      <c r="A75206"/>
      <c r="B75206"/>
      <c r="C75206"/>
      <c r="E75206"/>
      <c r="F75206"/>
    </row>
    <row r="75207" spans="1:6" x14ac:dyDescent="0.25">
      <c r="A75207"/>
      <c r="B75207"/>
      <c r="C75207"/>
      <c r="E75207"/>
      <c r="F75207"/>
    </row>
    <row r="75208" spans="1:6" x14ac:dyDescent="0.25">
      <c r="A75208"/>
      <c r="B75208"/>
      <c r="C75208"/>
      <c r="E75208"/>
      <c r="F75208"/>
    </row>
    <row r="75209" spans="1:6" x14ac:dyDescent="0.25">
      <c r="A75209"/>
      <c r="B75209"/>
      <c r="C75209"/>
      <c r="E75209"/>
      <c r="F75209"/>
    </row>
    <row r="75210" spans="1:6" x14ac:dyDescent="0.25">
      <c r="A75210"/>
      <c r="B75210"/>
      <c r="C75210"/>
      <c r="E75210"/>
      <c r="F75210"/>
    </row>
    <row r="75211" spans="1:6" x14ac:dyDescent="0.25">
      <c r="A75211"/>
      <c r="B75211"/>
      <c r="C75211"/>
      <c r="E75211"/>
      <c r="F75211"/>
    </row>
    <row r="75212" spans="1:6" x14ac:dyDescent="0.25">
      <c r="A75212"/>
      <c r="B75212"/>
      <c r="C75212"/>
      <c r="E75212"/>
      <c r="F75212"/>
    </row>
    <row r="75213" spans="1:6" x14ac:dyDescent="0.25">
      <c r="A75213"/>
      <c r="B75213"/>
      <c r="C75213"/>
      <c r="E75213"/>
      <c r="F75213"/>
    </row>
    <row r="75214" spans="1:6" x14ac:dyDescent="0.25">
      <c r="A75214"/>
      <c r="B75214"/>
      <c r="C75214"/>
      <c r="E75214"/>
      <c r="F75214"/>
    </row>
    <row r="75215" spans="1:6" x14ac:dyDescent="0.25">
      <c r="A75215"/>
      <c r="B75215"/>
      <c r="C75215"/>
      <c r="E75215"/>
      <c r="F75215"/>
    </row>
    <row r="75216" spans="1:6" x14ac:dyDescent="0.25">
      <c r="A75216"/>
      <c r="B75216"/>
      <c r="C75216"/>
      <c r="E75216"/>
      <c r="F75216"/>
    </row>
    <row r="75217" spans="1:6" x14ac:dyDescent="0.25">
      <c r="A75217"/>
      <c r="B75217"/>
      <c r="C75217"/>
      <c r="E75217"/>
      <c r="F75217"/>
    </row>
    <row r="75218" spans="1:6" x14ac:dyDescent="0.25">
      <c r="A75218"/>
      <c r="B75218"/>
      <c r="C75218"/>
      <c r="E75218"/>
      <c r="F75218"/>
    </row>
    <row r="75219" spans="1:6" x14ac:dyDescent="0.25">
      <c r="A75219"/>
      <c r="B75219"/>
      <c r="C75219"/>
      <c r="E75219"/>
      <c r="F75219"/>
    </row>
    <row r="75220" spans="1:6" x14ac:dyDescent="0.25">
      <c r="A75220"/>
      <c r="B75220"/>
      <c r="C75220"/>
      <c r="E75220"/>
      <c r="F75220"/>
    </row>
    <row r="75221" spans="1:6" x14ac:dyDescent="0.25">
      <c r="A75221"/>
      <c r="B75221"/>
      <c r="C75221"/>
      <c r="E75221"/>
      <c r="F75221"/>
    </row>
    <row r="75222" spans="1:6" x14ac:dyDescent="0.25">
      <c r="A75222"/>
      <c r="B75222"/>
      <c r="C75222"/>
      <c r="E75222"/>
      <c r="F75222"/>
    </row>
    <row r="75223" spans="1:6" x14ac:dyDescent="0.25">
      <c r="A75223"/>
      <c r="B75223"/>
      <c r="C75223"/>
      <c r="E75223"/>
      <c r="F75223"/>
    </row>
    <row r="75224" spans="1:6" x14ac:dyDescent="0.25">
      <c r="A75224"/>
      <c r="B75224"/>
      <c r="C75224"/>
      <c r="E75224"/>
      <c r="F75224"/>
    </row>
    <row r="75225" spans="1:6" x14ac:dyDescent="0.25">
      <c r="A75225"/>
      <c r="B75225"/>
      <c r="C75225"/>
      <c r="E75225"/>
      <c r="F75225"/>
    </row>
    <row r="75226" spans="1:6" x14ac:dyDescent="0.25">
      <c r="A75226"/>
      <c r="B75226"/>
      <c r="C75226"/>
      <c r="E75226"/>
      <c r="F75226"/>
    </row>
    <row r="75227" spans="1:6" x14ac:dyDescent="0.25">
      <c r="A75227"/>
      <c r="B75227"/>
      <c r="C75227"/>
      <c r="E75227"/>
      <c r="F75227"/>
    </row>
    <row r="75228" spans="1:6" x14ac:dyDescent="0.25">
      <c r="A75228"/>
      <c r="B75228"/>
      <c r="C75228"/>
      <c r="E75228"/>
      <c r="F75228"/>
    </row>
    <row r="75229" spans="1:6" x14ac:dyDescent="0.25">
      <c r="A75229"/>
      <c r="B75229"/>
      <c r="C75229"/>
      <c r="E75229"/>
      <c r="F75229"/>
    </row>
    <row r="75230" spans="1:6" x14ac:dyDescent="0.25">
      <c r="A75230"/>
      <c r="B75230"/>
      <c r="C75230"/>
      <c r="E75230"/>
      <c r="F75230"/>
    </row>
    <row r="75231" spans="1:6" x14ac:dyDescent="0.25">
      <c r="A75231"/>
      <c r="B75231"/>
      <c r="C75231"/>
      <c r="E75231"/>
      <c r="F75231"/>
    </row>
    <row r="75232" spans="1:6" x14ac:dyDescent="0.25">
      <c r="A75232"/>
      <c r="B75232"/>
      <c r="C75232"/>
      <c r="E75232"/>
      <c r="F75232"/>
    </row>
    <row r="75233" spans="1:6" x14ac:dyDescent="0.25">
      <c r="A75233"/>
      <c r="B75233"/>
      <c r="C75233"/>
      <c r="E75233"/>
      <c r="F75233"/>
    </row>
    <row r="75234" spans="1:6" x14ac:dyDescent="0.25">
      <c r="A75234"/>
      <c r="B75234"/>
      <c r="C75234"/>
      <c r="E75234"/>
      <c r="F75234"/>
    </row>
    <row r="75235" spans="1:6" x14ac:dyDescent="0.25">
      <c r="A75235"/>
      <c r="B75235"/>
      <c r="C75235"/>
      <c r="E75235"/>
      <c r="F75235"/>
    </row>
    <row r="75236" spans="1:6" x14ac:dyDescent="0.25">
      <c r="A75236"/>
      <c r="B75236"/>
      <c r="C75236"/>
      <c r="E75236"/>
      <c r="F75236"/>
    </row>
    <row r="75237" spans="1:6" x14ac:dyDescent="0.25">
      <c r="A75237"/>
      <c r="B75237"/>
      <c r="C75237"/>
      <c r="E75237"/>
      <c r="F75237"/>
    </row>
    <row r="75238" spans="1:6" x14ac:dyDescent="0.25">
      <c r="A75238"/>
      <c r="B75238"/>
      <c r="C75238"/>
      <c r="E75238"/>
      <c r="F75238"/>
    </row>
    <row r="75239" spans="1:6" x14ac:dyDescent="0.25">
      <c r="A75239"/>
      <c r="B75239"/>
      <c r="C75239"/>
      <c r="E75239"/>
      <c r="F75239"/>
    </row>
    <row r="75240" spans="1:6" x14ac:dyDescent="0.25">
      <c r="A75240"/>
      <c r="B75240"/>
      <c r="C75240"/>
      <c r="E75240"/>
      <c r="F75240"/>
    </row>
    <row r="75241" spans="1:6" x14ac:dyDescent="0.25">
      <c r="A75241"/>
      <c r="B75241"/>
      <c r="C75241"/>
      <c r="E75241"/>
      <c r="F75241"/>
    </row>
    <row r="75242" spans="1:6" x14ac:dyDescent="0.25">
      <c r="A75242"/>
      <c r="B75242"/>
      <c r="C75242"/>
      <c r="E75242"/>
      <c r="F75242"/>
    </row>
    <row r="75243" spans="1:6" x14ac:dyDescent="0.25">
      <c r="A75243"/>
      <c r="B75243"/>
      <c r="C75243"/>
      <c r="E75243"/>
      <c r="F75243"/>
    </row>
    <row r="75244" spans="1:6" x14ac:dyDescent="0.25">
      <c r="A75244"/>
      <c r="B75244"/>
      <c r="C75244"/>
      <c r="E75244"/>
      <c r="F75244"/>
    </row>
    <row r="75245" spans="1:6" x14ac:dyDescent="0.25">
      <c r="A75245"/>
      <c r="B75245"/>
      <c r="C75245"/>
      <c r="E75245"/>
      <c r="F75245"/>
    </row>
    <row r="75246" spans="1:6" x14ac:dyDescent="0.25">
      <c r="A75246"/>
      <c r="B75246"/>
      <c r="C75246"/>
      <c r="E75246"/>
      <c r="F75246"/>
    </row>
    <row r="75247" spans="1:6" x14ac:dyDescent="0.25">
      <c r="A75247"/>
      <c r="B75247"/>
      <c r="C75247"/>
      <c r="E75247"/>
      <c r="F75247"/>
    </row>
    <row r="75248" spans="1:6" x14ac:dyDescent="0.25">
      <c r="A75248"/>
      <c r="B75248"/>
      <c r="C75248"/>
      <c r="E75248"/>
      <c r="F75248"/>
    </row>
    <row r="75249" spans="1:6" x14ac:dyDescent="0.25">
      <c r="A75249"/>
      <c r="B75249"/>
      <c r="C75249"/>
      <c r="E75249"/>
      <c r="F75249"/>
    </row>
    <row r="75250" spans="1:6" x14ac:dyDescent="0.25">
      <c r="A75250"/>
      <c r="B75250"/>
      <c r="C75250"/>
      <c r="E75250"/>
      <c r="F75250"/>
    </row>
    <row r="75251" spans="1:6" x14ac:dyDescent="0.25">
      <c r="A75251"/>
      <c r="B75251"/>
      <c r="C75251"/>
      <c r="E75251"/>
      <c r="F75251"/>
    </row>
    <row r="75252" spans="1:6" x14ac:dyDescent="0.25">
      <c r="A75252"/>
      <c r="B75252"/>
      <c r="C75252"/>
      <c r="E75252"/>
      <c r="F75252"/>
    </row>
    <row r="75253" spans="1:6" x14ac:dyDescent="0.25">
      <c r="A75253"/>
      <c r="B75253"/>
      <c r="C75253"/>
      <c r="E75253"/>
      <c r="F75253"/>
    </row>
    <row r="75254" spans="1:6" x14ac:dyDescent="0.25">
      <c r="A75254"/>
      <c r="B75254"/>
      <c r="C75254"/>
      <c r="E75254"/>
      <c r="F75254"/>
    </row>
    <row r="75255" spans="1:6" x14ac:dyDescent="0.25">
      <c r="A75255"/>
      <c r="B75255"/>
      <c r="C75255"/>
      <c r="E75255"/>
      <c r="F75255"/>
    </row>
    <row r="75256" spans="1:6" x14ac:dyDescent="0.25">
      <c r="A75256"/>
      <c r="B75256"/>
      <c r="C75256"/>
      <c r="E75256"/>
      <c r="F75256"/>
    </row>
    <row r="75257" spans="1:6" x14ac:dyDescent="0.25">
      <c r="A75257"/>
      <c r="B75257"/>
      <c r="C75257"/>
      <c r="E75257"/>
      <c r="F75257"/>
    </row>
    <row r="75258" spans="1:6" x14ac:dyDescent="0.25">
      <c r="A75258"/>
      <c r="B75258"/>
      <c r="C75258"/>
      <c r="E75258"/>
      <c r="F75258"/>
    </row>
    <row r="75259" spans="1:6" x14ac:dyDescent="0.25">
      <c r="A75259"/>
      <c r="B75259"/>
      <c r="C75259"/>
      <c r="E75259"/>
      <c r="F75259"/>
    </row>
    <row r="75260" spans="1:6" x14ac:dyDescent="0.25">
      <c r="A75260"/>
      <c r="B75260"/>
      <c r="C75260"/>
      <c r="E75260"/>
      <c r="F75260"/>
    </row>
    <row r="75261" spans="1:6" x14ac:dyDescent="0.25">
      <c r="A75261"/>
      <c r="B75261"/>
      <c r="C75261"/>
      <c r="E75261"/>
      <c r="F75261"/>
    </row>
    <row r="75262" spans="1:6" x14ac:dyDescent="0.25">
      <c r="A75262"/>
      <c r="B75262"/>
      <c r="C75262"/>
      <c r="E75262"/>
      <c r="F75262"/>
    </row>
    <row r="75263" spans="1:6" x14ac:dyDescent="0.25">
      <c r="A75263"/>
      <c r="B75263"/>
      <c r="C75263"/>
      <c r="E75263"/>
      <c r="F75263"/>
    </row>
    <row r="75264" spans="1:6" x14ac:dyDescent="0.25">
      <c r="A75264"/>
      <c r="B75264"/>
      <c r="C75264"/>
      <c r="E75264"/>
      <c r="F75264"/>
    </row>
    <row r="75265" spans="1:6" x14ac:dyDescent="0.25">
      <c r="A75265"/>
      <c r="B75265"/>
      <c r="C75265"/>
      <c r="E75265"/>
      <c r="F75265"/>
    </row>
    <row r="75266" spans="1:6" x14ac:dyDescent="0.25">
      <c r="A75266"/>
      <c r="B75266"/>
      <c r="C75266"/>
      <c r="E75266"/>
      <c r="F75266"/>
    </row>
    <row r="75267" spans="1:6" x14ac:dyDescent="0.25">
      <c r="A75267"/>
      <c r="B75267"/>
      <c r="C75267"/>
      <c r="E75267"/>
      <c r="F75267"/>
    </row>
    <row r="75268" spans="1:6" x14ac:dyDescent="0.25">
      <c r="A75268"/>
      <c r="B75268"/>
      <c r="C75268"/>
      <c r="E75268"/>
      <c r="F75268"/>
    </row>
    <row r="75269" spans="1:6" x14ac:dyDescent="0.25">
      <c r="A75269"/>
      <c r="B75269"/>
      <c r="C75269"/>
      <c r="E75269"/>
      <c r="F75269"/>
    </row>
    <row r="75270" spans="1:6" x14ac:dyDescent="0.25">
      <c r="A75270"/>
      <c r="B75270"/>
      <c r="C75270"/>
      <c r="E75270"/>
      <c r="F75270"/>
    </row>
    <row r="75271" spans="1:6" x14ac:dyDescent="0.25">
      <c r="A75271"/>
      <c r="B75271"/>
      <c r="C75271"/>
      <c r="E75271"/>
      <c r="F75271"/>
    </row>
    <row r="75272" spans="1:6" x14ac:dyDescent="0.25">
      <c r="A75272"/>
      <c r="B75272"/>
      <c r="C75272"/>
      <c r="E75272"/>
      <c r="F75272"/>
    </row>
    <row r="75273" spans="1:6" x14ac:dyDescent="0.25">
      <c r="A75273"/>
      <c r="B75273"/>
      <c r="C75273"/>
      <c r="E75273"/>
      <c r="F75273"/>
    </row>
    <row r="75274" spans="1:6" x14ac:dyDescent="0.25">
      <c r="A75274"/>
      <c r="B75274"/>
      <c r="C75274"/>
      <c r="E75274"/>
      <c r="F75274"/>
    </row>
    <row r="75275" spans="1:6" x14ac:dyDescent="0.25">
      <c r="A75275"/>
      <c r="B75275"/>
      <c r="C75275"/>
      <c r="E75275"/>
      <c r="F75275"/>
    </row>
    <row r="75276" spans="1:6" x14ac:dyDescent="0.25">
      <c r="A75276"/>
      <c r="B75276"/>
      <c r="C75276"/>
      <c r="E75276"/>
      <c r="F75276"/>
    </row>
    <row r="75277" spans="1:6" x14ac:dyDescent="0.25">
      <c r="A75277"/>
      <c r="B75277"/>
      <c r="C75277"/>
      <c r="E75277"/>
      <c r="F75277"/>
    </row>
    <row r="75278" spans="1:6" x14ac:dyDescent="0.25">
      <c r="A75278"/>
      <c r="B75278"/>
      <c r="C75278"/>
      <c r="E75278"/>
      <c r="F75278"/>
    </row>
    <row r="75279" spans="1:6" x14ac:dyDescent="0.25">
      <c r="A75279"/>
      <c r="B75279"/>
      <c r="C75279"/>
      <c r="E75279"/>
      <c r="F75279"/>
    </row>
    <row r="75280" spans="1:6" x14ac:dyDescent="0.25">
      <c r="A75280"/>
      <c r="B75280"/>
      <c r="C75280"/>
      <c r="E75280"/>
      <c r="F75280"/>
    </row>
    <row r="75281" spans="1:6" x14ac:dyDescent="0.25">
      <c r="A75281"/>
      <c r="B75281"/>
      <c r="C75281"/>
      <c r="E75281"/>
      <c r="F75281"/>
    </row>
    <row r="75282" spans="1:6" x14ac:dyDescent="0.25">
      <c r="A75282"/>
      <c r="B75282"/>
      <c r="C75282"/>
      <c r="E75282"/>
      <c r="F75282"/>
    </row>
    <row r="75283" spans="1:6" x14ac:dyDescent="0.25">
      <c r="A75283"/>
      <c r="B75283"/>
      <c r="C75283"/>
      <c r="E75283"/>
      <c r="F75283"/>
    </row>
    <row r="75284" spans="1:6" x14ac:dyDescent="0.25">
      <c r="A75284"/>
      <c r="B75284"/>
      <c r="C75284"/>
      <c r="E75284"/>
      <c r="F75284"/>
    </row>
    <row r="75285" spans="1:6" x14ac:dyDescent="0.25">
      <c r="A75285"/>
      <c r="B75285"/>
      <c r="C75285"/>
      <c r="E75285"/>
      <c r="F75285"/>
    </row>
    <row r="75286" spans="1:6" x14ac:dyDescent="0.25">
      <c r="A75286"/>
      <c r="B75286"/>
      <c r="C75286"/>
      <c r="E75286"/>
      <c r="F75286"/>
    </row>
    <row r="75287" spans="1:6" x14ac:dyDescent="0.25">
      <c r="A75287"/>
      <c r="B75287"/>
      <c r="C75287"/>
      <c r="E75287"/>
      <c r="F75287"/>
    </row>
    <row r="75288" spans="1:6" x14ac:dyDescent="0.25">
      <c r="A75288"/>
      <c r="B75288"/>
      <c r="C75288"/>
      <c r="E75288"/>
      <c r="F75288"/>
    </row>
    <row r="75289" spans="1:6" x14ac:dyDescent="0.25">
      <c r="A75289"/>
      <c r="B75289"/>
      <c r="C75289"/>
      <c r="E75289"/>
      <c r="F75289"/>
    </row>
    <row r="75290" spans="1:6" x14ac:dyDescent="0.25">
      <c r="A75290"/>
      <c r="B75290"/>
      <c r="C75290"/>
      <c r="E75290"/>
      <c r="F75290"/>
    </row>
    <row r="75291" spans="1:6" x14ac:dyDescent="0.25">
      <c r="A75291"/>
      <c r="B75291"/>
      <c r="C75291"/>
      <c r="E75291"/>
      <c r="F75291"/>
    </row>
    <row r="75292" spans="1:6" x14ac:dyDescent="0.25">
      <c r="A75292"/>
      <c r="B75292"/>
      <c r="C75292"/>
      <c r="E75292"/>
      <c r="F75292"/>
    </row>
    <row r="75293" spans="1:6" x14ac:dyDescent="0.25">
      <c r="A75293"/>
      <c r="B75293"/>
      <c r="C75293"/>
      <c r="E75293"/>
      <c r="F75293"/>
    </row>
    <row r="75294" spans="1:6" x14ac:dyDescent="0.25">
      <c r="A75294"/>
      <c r="B75294"/>
      <c r="C75294"/>
      <c r="E75294"/>
      <c r="F75294"/>
    </row>
    <row r="75295" spans="1:6" x14ac:dyDescent="0.25">
      <c r="A75295"/>
      <c r="B75295"/>
      <c r="C75295"/>
      <c r="E75295"/>
      <c r="F75295"/>
    </row>
    <row r="75296" spans="1:6" x14ac:dyDescent="0.25">
      <c r="A75296"/>
      <c r="B75296"/>
      <c r="C75296"/>
      <c r="E75296"/>
      <c r="F75296"/>
    </row>
    <row r="75297" spans="1:6" x14ac:dyDescent="0.25">
      <c r="A75297"/>
      <c r="B75297"/>
      <c r="C75297"/>
      <c r="E75297"/>
      <c r="F75297"/>
    </row>
    <row r="75298" spans="1:6" x14ac:dyDescent="0.25">
      <c r="A75298"/>
      <c r="B75298"/>
      <c r="C75298"/>
      <c r="E75298"/>
      <c r="F75298"/>
    </row>
    <row r="75299" spans="1:6" x14ac:dyDescent="0.25">
      <c r="A75299"/>
      <c r="B75299"/>
      <c r="C75299"/>
      <c r="E75299"/>
      <c r="F75299"/>
    </row>
    <row r="75300" spans="1:6" x14ac:dyDescent="0.25">
      <c r="A75300"/>
      <c r="B75300"/>
      <c r="C75300"/>
      <c r="E75300"/>
      <c r="F75300"/>
    </row>
    <row r="75301" spans="1:6" x14ac:dyDescent="0.25">
      <c r="A75301"/>
      <c r="B75301"/>
      <c r="C75301"/>
      <c r="E75301"/>
      <c r="F75301"/>
    </row>
    <row r="75302" spans="1:6" x14ac:dyDescent="0.25">
      <c r="A75302"/>
      <c r="B75302"/>
      <c r="C75302"/>
      <c r="E75302"/>
      <c r="F75302"/>
    </row>
    <row r="75303" spans="1:6" x14ac:dyDescent="0.25">
      <c r="A75303"/>
      <c r="B75303"/>
      <c r="C75303"/>
      <c r="E75303"/>
      <c r="F75303"/>
    </row>
    <row r="75304" spans="1:6" x14ac:dyDescent="0.25">
      <c r="A75304"/>
      <c r="B75304"/>
      <c r="C75304"/>
      <c r="E75304"/>
      <c r="F75304"/>
    </row>
    <row r="75305" spans="1:6" x14ac:dyDescent="0.25">
      <c r="A75305"/>
      <c r="B75305"/>
      <c r="C75305"/>
      <c r="E75305"/>
      <c r="F75305"/>
    </row>
    <row r="75306" spans="1:6" x14ac:dyDescent="0.25">
      <c r="A75306"/>
      <c r="B75306"/>
      <c r="C75306"/>
      <c r="E75306"/>
      <c r="F75306"/>
    </row>
    <row r="75307" spans="1:6" x14ac:dyDescent="0.25">
      <c r="A75307"/>
      <c r="B75307"/>
      <c r="C75307"/>
      <c r="E75307"/>
      <c r="F75307"/>
    </row>
    <row r="75308" spans="1:6" x14ac:dyDescent="0.25">
      <c r="A75308"/>
      <c r="B75308"/>
      <c r="C75308"/>
      <c r="E75308"/>
      <c r="F75308"/>
    </row>
    <row r="75309" spans="1:6" x14ac:dyDescent="0.25">
      <c r="A75309"/>
      <c r="B75309"/>
      <c r="C75309"/>
      <c r="E75309"/>
      <c r="F75309"/>
    </row>
    <row r="75310" spans="1:6" x14ac:dyDescent="0.25">
      <c r="A75310"/>
      <c r="B75310"/>
      <c r="C75310"/>
      <c r="E75310"/>
      <c r="F75310"/>
    </row>
    <row r="75311" spans="1:6" x14ac:dyDescent="0.25">
      <c r="A75311"/>
      <c r="B75311"/>
      <c r="C75311"/>
      <c r="E75311"/>
      <c r="F75311"/>
    </row>
    <row r="75312" spans="1:6" x14ac:dyDescent="0.25">
      <c r="A75312"/>
      <c r="B75312"/>
      <c r="C75312"/>
      <c r="E75312"/>
      <c r="F75312"/>
    </row>
    <row r="75313" spans="1:6" x14ac:dyDescent="0.25">
      <c r="A75313"/>
      <c r="B75313"/>
      <c r="C75313"/>
      <c r="E75313"/>
      <c r="F75313"/>
    </row>
    <row r="75314" spans="1:6" x14ac:dyDescent="0.25">
      <c r="A75314"/>
      <c r="B75314"/>
      <c r="C75314"/>
      <c r="E75314"/>
      <c r="F75314"/>
    </row>
    <row r="75315" spans="1:6" x14ac:dyDescent="0.25">
      <c r="A75315"/>
      <c r="B75315"/>
      <c r="C75315"/>
      <c r="E75315"/>
      <c r="F75315"/>
    </row>
    <row r="75316" spans="1:6" x14ac:dyDescent="0.25">
      <c r="A75316"/>
      <c r="B75316"/>
      <c r="C75316"/>
      <c r="E75316"/>
      <c r="F75316"/>
    </row>
    <row r="75317" spans="1:6" x14ac:dyDescent="0.25">
      <c r="A75317"/>
      <c r="B75317"/>
      <c r="C75317"/>
      <c r="E75317"/>
      <c r="F75317"/>
    </row>
    <row r="75318" spans="1:6" x14ac:dyDescent="0.25">
      <c r="A75318"/>
      <c r="B75318"/>
      <c r="C75318"/>
      <c r="E75318"/>
      <c r="F75318"/>
    </row>
    <row r="75319" spans="1:6" x14ac:dyDescent="0.25">
      <c r="A75319"/>
      <c r="B75319"/>
      <c r="C75319"/>
      <c r="E75319"/>
      <c r="F75319"/>
    </row>
    <row r="75320" spans="1:6" x14ac:dyDescent="0.25">
      <c r="A75320"/>
      <c r="B75320"/>
      <c r="C75320"/>
      <c r="E75320"/>
      <c r="F75320"/>
    </row>
    <row r="75321" spans="1:6" x14ac:dyDescent="0.25">
      <c r="A75321"/>
      <c r="B75321"/>
      <c r="C75321"/>
      <c r="E75321"/>
      <c r="F75321"/>
    </row>
    <row r="75322" spans="1:6" x14ac:dyDescent="0.25">
      <c r="A75322"/>
      <c r="B75322"/>
      <c r="C75322"/>
      <c r="E75322"/>
      <c r="F75322"/>
    </row>
    <row r="75323" spans="1:6" x14ac:dyDescent="0.25">
      <c r="A75323"/>
      <c r="B75323"/>
      <c r="C75323"/>
      <c r="E75323"/>
      <c r="F75323"/>
    </row>
    <row r="75324" spans="1:6" x14ac:dyDescent="0.25">
      <c r="A75324"/>
      <c r="B75324"/>
      <c r="C75324"/>
      <c r="E75324"/>
      <c r="F75324"/>
    </row>
    <row r="75325" spans="1:6" x14ac:dyDescent="0.25">
      <c r="A75325"/>
      <c r="B75325"/>
      <c r="C75325"/>
      <c r="E75325"/>
      <c r="F75325"/>
    </row>
    <row r="75326" spans="1:6" x14ac:dyDescent="0.25">
      <c r="A75326"/>
      <c r="B75326"/>
      <c r="C75326"/>
      <c r="E75326"/>
      <c r="F75326"/>
    </row>
    <row r="75327" spans="1:6" x14ac:dyDescent="0.25">
      <c r="A75327"/>
      <c r="B75327"/>
      <c r="C75327"/>
      <c r="E75327"/>
      <c r="F75327"/>
    </row>
    <row r="75328" spans="1:6" x14ac:dyDescent="0.25">
      <c r="A75328"/>
      <c r="B75328"/>
      <c r="C75328"/>
      <c r="E75328"/>
      <c r="F75328"/>
    </row>
    <row r="75329" spans="1:6" x14ac:dyDescent="0.25">
      <c r="A75329"/>
      <c r="B75329"/>
      <c r="C75329"/>
      <c r="E75329"/>
      <c r="F75329"/>
    </row>
    <row r="75330" spans="1:6" x14ac:dyDescent="0.25">
      <c r="A75330"/>
      <c r="B75330"/>
      <c r="C75330"/>
      <c r="E75330"/>
      <c r="F75330"/>
    </row>
    <row r="75331" spans="1:6" x14ac:dyDescent="0.25">
      <c r="A75331"/>
      <c r="B75331"/>
      <c r="C75331"/>
      <c r="E75331"/>
      <c r="F75331"/>
    </row>
    <row r="75332" spans="1:6" x14ac:dyDescent="0.25">
      <c r="A75332"/>
      <c r="B75332"/>
      <c r="C75332"/>
      <c r="E75332"/>
      <c r="F75332"/>
    </row>
    <row r="75333" spans="1:6" x14ac:dyDescent="0.25">
      <c r="A75333"/>
      <c r="B75333"/>
      <c r="C75333"/>
      <c r="E75333"/>
      <c r="F75333"/>
    </row>
    <row r="75334" spans="1:6" x14ac:dyDescent="0.25">
      <c r="A75334"/>
      <c r="B75334"/>
      <c r="C75334"/>
      <c r="E75334"/>
      <c r="F75334"/>
    </row>
    <row r="75335" spans="1:6" x14ac:dyDescent="0.25">
      <c r="A75335"/>
      <c r="B75335"/>
      <c r="C75335"/>
      <c r="E75335"/>
      <c r="F75335"/>
    </row>
    <row r="75336" spans="1:6" x14ac:dyDescent="0.25">
      <c r="A75336"/>
      <c r="B75336"/>
      <c r="C75336"/>
      <c r="E75336"/>
      <c r="F75336"/>
    </row>
    <row r="75337" spans="1:6" x14ac:dyDescent="0.25">
      <c r="A75337"/>
      <c r="B75337"/>
      <c r="C75337"/>
      <c r="E75337"/>
      <c r="F75337"/>
    </row>
    <row r="75338" spans="1:6" x14ac:dyDescent="0.25">
      <c r="A75338"/>
      <c r="B75338"/>
      <c r="C75338"/>
      <c r="E75338"/>
      <c r="F75338"/>
    </row>
    <row r="75339" spans="1:6" x14ac:dyDescent="0.25">
      <c r="A75339"/>
      <c r="B75339"/>
      <c r="C75339"/>
      <c r="E75339"/>
      <c r="F75339"/>
    </row>
    <row r="75340" spans="1:6" x14ac:dyDescent="0.25">
      <c r="A75340"/>
      <c r="B75340"/>
      <c r="C75340"/>
      <c r="E75340"/>
      <c r="F75340"/>
    </row>
    <row r="75341" spans="1:6" x14ac:dyDescent="0.25">
      <c r="A75341"/>
      <c r="B75341"/>
      <c r="C75341"/>
      <c r="E75341"/>
      <c r="F75341"/>
    </row>
    <row r="75342" spans="1:6" x14ac:dyDescent="0.25">
      <c r="A75342"/>
      <c r="B75342"/>
      <c r="C75342"/>
      <c r="E75342"/>
      <c r="F75342"/>
    </row>
    <row r="75343" spans="1:6" x14ac:dyDescent="0.25">
      <c r="A75343"/>
      <c r="B75343"/>
      <c r="C75343"/>
      <c r="E75343"/>
      <c r="F75343"/>
    </row>
    <row r="75344" spans="1:6" x14ac:dyDescent="0.25">
      <c r="A75344"/>
      <c r="B75344"/>
      <c r="C75344"/>
      <c r="E75344"/>
      <c r="F75344"/>
    </row>
    <row r="75345" spans="1:6" x14ac:dyDescent="0.25">
      <c r="A75345"/>
      <c r="B75345"/>
      <c r="C75345"/>
      <c r="E75345"/>
      <c r="F75345"/>
    </row>
    <row r="75346" spans="1:6" x14ac:dyDescent="0.25">
      <c r="A75346"/>
      <c r="B75346"/>
      <c r="C75346"/>
      <c r="E75346"/>
      <c r="F75346"/>
    </row>
    <row r="75347" spans="1:6" x14ac:dyDescent="0.25">
      <c r="A75347"/>
      <c r="B75347"/>
      <c r="C75347"/>
      <c r="E75347"/>
      <c r="F75347"/>
    </row>
    <row r="75348" spans="1:6" x14ac:dyDescent="0.25">
      <c r="A75348"/>
      <c r="B75348"/>
      <c r="C75348"/>
      <c r="E75348"/>
      <c r="F75348"/>
    </row>
    <row r="75349" spans="1:6" x14ac:dyDescent="0.25">
      <c r="A75349"/>
      <c r="B75349"/>
      <c r="C75349"/>
      <c r="E75349"/>
      <c r="F75349"/>
    </row>
    <row r="75350" spans="1:6" x14ac:dyDescent="0.25">
      <c r="A75350"/>
      <c r="B75350"/>
      <c r="C75350"/>
      <c r="E75350"/>
      <c r="F75350"/>
    </row>
    <row r="75351" spans="1:6" x14ac:dyDescent="0.25">
      <c r="A75351"/>
      <c r="B75351"/>
      <c r="C75351"/>
      <c r="E75351"/>
      <c r="F75351"/>
    </row>
    <row r="75352" spans="1:6" x14ac:dyDescent="0.25">
      <c r="A75352"/>
      <c r="B75352"/>
      <c r="C75352"/>
      <c r="E75352"/>
      <c r="F75352"/>
    </row>
    <row r="75353" spans="1:6" x14ac:dyDescent="0.25">
      <c r="A75353"/>
      <c r="B75353"/>
      <c r="C75353"/>
      <c r="E75353"/>
      <c r="F75353"/>
    </row>
    <row r="75354" spans="1:6" x14ac:dyDescent="0.25">
      <c r="A75354"/>
      <c r="B75354"/>
      <c r="C75354"/>
      <c r="E75354"/>
      <c r="F75354"/>
    </row>
    <row r="75355" spans="1:6" x14ac:dyDescent="0.25">
      <c r="A75355"/>
      <c r="B75355"/>
      <c r="C75355"/>
      <c r="E75355"/>
      <c r="F75355"/>
    </row>
    <row r="75356" spans="1:6" x14ac:dyDescent="0.25">
      <c r="A75356"/>
      <c r="B75356"/>
      <c r="C75356"/>
      <c r="E75356"/>
      <c r="F75356"/>
    </row>
    <row r="75357" spans="1:6" x14ac:dyDescent="0.25">
      <c r="A75357"/>
      <c r="B75357"/>
      <c r="C75357"/>
      <c r="E75357"/>
      <c r="F75357"/>
    </row>
    <row r="75358" spans="1:6" x14ac:dyDescent="0.25">
      <c r="A75358"/>
      <c r="B75358"/>
      <c r="C75358"/>
      <c r="E75358"/>
      <c r="F75358"/>
    </row>
    <row r="75359" spans="1:6" x14ac:dyDescent="0.25">
      <c r="A75359"/>
      <c r="B75359"/>
      <c r="C75359"/>
      <c r="E75359"/>
      <c r="F75359"/>
    </row>
    <row r="75360" spans="1:6" x14ac:dyDescent="0.25">
      <c r="A75360"/>
      <c r="B75360"/>
      <c r="C75360"/>
      <c r="E75360"/>
      <c r="F75360"/>
    </row>
    <row r="75361" spans="1:6" x14ac:dyDescent="0.25">
      <c r="A75361"/>
      <c r="B75361"/>
      <c r="C75361"/>
      <c r="E75361"/>
      <c r="F75361"/>
    </row>
    <row r="75362" spans="1:6" x14ac:dyDescent="0.25">
      <c r="A75362"/>
      <c r="B75362"/>
      <c r="C75362"/>
      <c r="E75362"/>
      <c r="F75362"/>
    </row>
    <row r="75363" spans="1:6" x14ac:dyDescent="0.25">
      <c r="A75363"/>
      <c r="B75363"/>
      <c r="C75363"/>
      <c r="E75363"/>
      <c r="F75363"/>
    </row>
    <row r="75364" spans="1:6" x14ac:dyDescent="0.25">
      <c r="A75364"/>
      <c r="B75364"/>
      <c r="C75364"/>
      <c r="E75364"/>
      <c r="F75364"/>
    </row>
    <row r="75365" spans="1:6" x14ac:dyDescent="0.25">
      <c r="A75365"/>
      <c r="B75365"/>
      <c r="C75365"/>
      <c r="E75365"/>
      <c r="F75365"/>
    </row>
    <row r="75366" spans="1:6" x14ac:dyDescent="0.25">
      <c r="A75366"/>
      <c r="B75366"/>
      <c r="C75366"/>
      <c r="E75366"/>
      <c r="F75366"/>
    </row>
    <row r="75367" spans="1:6" x14ac:dyDescent="0.25">
      <c r="A75367"/>
      <c r="B75367"/>
      <c r="C75367"/>
      <c r="E75367"/>
      <c r="F75367"/>
    </row>
    <row r="75368" spans="1:6" x14ac:dyDescent="0.25">
      <c r="A75368"/>
      <c r="B75368"/>
      <c r="C75368"/>
      <c r="E75368"/>
      <c r="F75368"/>
    </row>
    <row r="75369" spans="1:6" x14ac:dyDescent="0.25">
      <c r="A75369"/>
      <c r="B75369"/>
      <c r="C75369"/>
      <c r="E75369"/>
      <c r="F75369"/>
    </row>
    <row r="75370" spans="1:6" x14ac:dyDescent="0.25">
      <c r="A75370"/>
      <c r="B75370"/>
      <c r="C75370"/>
      <c r="E75370"/>
      <c r="F75370"/>
    </row>
    <row r="75371" spans="1:6" x14ac:dyDescent="0.25">
      <c r="A75371"/>
      <c r="B75371"/>
      <c r="C75371"/>
      <c r="E75371"/>
      <c r="F75371"/>
    </row>
    <row r="75372" spans="1:6" x14ac:dyDescent="0.25">
      <c r="A75372"/>
      <c r="B75372"/>
      <c r="C75372"/>
      <c r="E75372"/>
      <c r="F75372"/>
    </row>
    <row r="75373" spans="1:6" x14ac:dyDescent="0.25">
      <c r="A75373"/>
      <c r="B75373"/>
      <c r="C75373"/>
      <c r="E75373"/>
      <c r="F75373"/>
    </row>
    <row r="75374" spans="1:6" x14ac:dyDescent="0.25">
      <c r="A75374"/>
      <c r="B75374"/>
      <c r="C75374"/>
      <c r="E75374"/>
      <c r="F75374"/>
    </row>
    <row r="75375" spans="1:6" x14ac:dyDescent="0.25">
      <c r="A75375"/>
      <c r="B75375"/>
      <c r="C75375"/>
      <c r="E75375"/>
      <c r="F75375"/>
    </row>
    <row r="75376" spans="1:6" x14ac:dyDescent="0.25">
      <c r="A75376"/>
      <c r="B75376"/>
      <c r="C75376"/>
      <c r="E75376"/>
      <c r="F75376"/>
    </row>
    <row r="75377" spans="1:6" x14ac:dyDescent="0.25">
      <c r="A75377"/>
      <c r="B75377"/>
      <c r="C75377"/>
      <c r="E75377"/>
      <c r="F75377"/>
    </row>
    <row r="75378" spans="1:6" x14ac:dyDescent="0.25">
      <c r="A75378"/>
      <c r="B75378"/>
      <c r="C75378"/>
      <c r="E75378"/>
      <c r="F75378"/>
    </row>
    <row r="75379" spans="1:6" x14ac:dyDescent="0.25">
      <c r="A75379"/>
      <c r="B75379"/>
      <c r="C75379"/>
      <c r="E75379"/>
      <c r="F75379"/>
    </row>
    <row r="75380" spans="1:6" x14ac:dyDescent="0.25">
      <c r="A75380"/>
      <c r="B75380"/>
      <c r="C75380"/>
      <c r="E75380"/>
      <c r="F75380"/>
    </row>
    <row r="75381" spans="1:6" x14ac:dyDescent="0.25">
      <c r="A75381"/>
      <c r="B75381"/>
      <c r="C75381"/>
      <c r="E75381"/>
      <c r="F75381"/>
    </row>
    <row r="75382" spans="1:6" x14ac:dyDescent="0.25">
      <c r="A75382"/>
      <c r="B75382"/>
      <c r="C75382"/>
      <c r="E75382"/>
      <c r="F75382"/>
    </row>
    <row r="75383" spans="1:6" x14ac:dyDescent="0.25">
      <c r="A75383"/>
      <c r="B75383"/>
      <c r="C75383"/>
      <c r="E75383"/>
      <c r="F75383"/>
    </row>
    <row r="75384" spans="1:6" x14ac:dyDescent="0.25">
      <c r="A75384"/>
      <c r="B75384"/>
      <c r="C75384"/>
      <c r="E75384"/>
      <c r="F75384"/>
    </row>
    <row r="75385" spans="1:6" x14ac:dyDescent="0.25">
      <c r="A75385"/>
      <c r="B75385"/>
      <c r="C75385"/>
      <c r="E75385"/>
      <c r="F75385"/>
    </row>
    <row r="75386" spans="1:6" x14ac:dyDescent="0.25">
      <c r="A75386"/>
      <c r="B75386"/>
      <c r="C75386"/>
      <c r="E75386"/>
      <c r="F75386"/>
    </row>
    <row r="75387" spans="1:6" x14ac:dyDescent="0.25">
      <c r="A75387"/>
      <c r="B75387"/>
      <c r="C75387"/>
      <c r="E75387"/>
      <c r="F75387"/>
    </row>
    <row r="75388" spans="1:6" x14ac:dyDescent="0.25">
      <c r="A75388"/>
      <c r="B75388"/>
      <c r="C75388"/>
      <c r="E75388"/>
      <c r="F75388"/>
    </row>
    <row r="75389" spans="1:6" x14ac:dyDescent="0.25">
      <c r="A75389"/>
      <c r="B75389"/>
      <c r="C75389"/>
      <c r="E75389"/>
      <c r="F75389"/>
    </row>
    <row r="75390" spans="1:6" x14ac:dyDescent="0.25">
      <c r="A75390"/>
      <c r="B75390"/>
      <c r="C75390"/>
      <c r="E75390"/>
      <c r="F75390"/>
    </row>
    <row r="75391" spans="1:6" x14ac:dyDescent="0.25">
      <c r="A75391"/>
      <c r="B75391"/>
      <c r="C75391"/>
      <c r="E75391"/>
      <c r="F75391"/>
    </row>
    <row r="75392" spans="1:6" x14ac:dyDescent="0.25">
      <c r="A75392"/>
      <c r="B75392"/>
      <c r="C75392"/>
      <c r="E75392"/>
      <c r="F75392"/>
    </row>
    <row r="75393" spans="1:6" x14ac:dyDescent="0.25">
      <c r="A75393"/>
      <c r="B75393"/>
      <c r="C75393"/>
      <c r="E75393"/>
      <c r="F75393"/>
    </row>
    <row r="75394" spans="1:6" x14ac:dyDescent="0.25">
      <c r="A75394"/>
      <c r="B75394"/>
      <c r="C75394"/>
      <c r="E75394"/>
      <c r="F75394"/>
    </row>
    <row r="75395" spans="1:6" x14ac:dyDescent="0.25">
      <c r="A75395"/>
      <c r="B75395"/>
      <c r="C75395"/>
      <c r="E75395"/>
      <c r="F75395"/>
    </row>
    <row r="75396" spans="1:6" x14ac:dyDescent="0.25">
      <c r="A75396"/>
      <c r="B75396"/>
      <c r="C75396"/>
      <c r="E75396"/>
      <c r="F75396"/>
    </row>
    <row r="75397" spans="1:6" x14ac:dyDescent="0.25">
      <c r="A75397"/>
      <c r="B75397"/>
      <c r="C75397"/>
      <c r="E75397"/>
      <c r="F75397"/>
    </row>
    <row r="75398" spans="1:6" x14ac:dyDescent="0.25">
      <c r="A75398"/>
      <c r="B75398"/>
      <c r="C75398"/>
      <c r="E75398"/>
      <c r="F75398"/>
    </row>
    <row r="75399" spans="1:6" x14ac:dyDescent="0.25">
      <c r="A75399"/>
      <c r="B75399"/>
      <c r="C75399"/>
      <c r="E75399"/>
      <c r="F75399"/>
    </row>
    <row r="75400" spans="1:6" x14ac:dyDescent="0.25">
      <c r="A75400"/>
      <c r="B75400"/>
      <c r="C75400"/>
      <c r="E75400"/>
      <c r="F75400"/>
    </row>
    <row r="75401" spans="1:6" x14ac:dyDescent="0.25">
      <c r="A75401"/>
      <c r="B75401"/>
      <c r="C75401"/>
      <c r="E75401"/>
      <c r="F75401"/>
    </row>
    <row r="75402" spans="1:6" x14ac:dyDescent="0.25">
      <c r="A75402"/>
      <c r="B75402"/>
      <c r="C75402"/>
      <c r="E75402"/>
      <c r="F75402"/>
    </row>
    <row r="75403" spans="1:6" x14ac:dyDescent="0.25">
      <c r="A75403"/>
      <c r="B75403"/>
      <c r="C75403"/>
      <c r="E75403"/>
      <c r="F75403"/>
    </row>
    <row r="75404" spans="1:6" x14ac:dyDescent="0.25">
      <c r="A75404"/>
      <c r="B75404"/>
      <c r="C75404"/>
      <c r="E75404"/>
      <c r="F75404"/>
    </row>
    <row r="75405" spans="1:6" x14ac:dyDescent="0.25">
      <c r="A75405"/>
      <c r="B75405"/>
      <c r="C75405"/>
      <c r="E75405"/>
      <c r="F75405"/>
    </row>
    <row r="75406" spans="1:6" x14ac:dyDescent="0.25">
      <c r="A75406"/>
      <c r="B75406"/>
      <c r="C75406"/>
      <c r="E75406"/>
      <c r="F75406"/>
    </row>
    <row r="75407" spans="1:6" x14ac:dyDescent="0.25">
      <c r="A75407"/>
      <c r="B75407"/>
      <c r="C75407"/>
      <c r="E75407"/>
      <c r="F75407"/>
    </row>
    <row r="75408" spans="1:6" x14ac:dyDescent="0.25">
      <c r="A75408"/>
      <c r="B75408"/>
      <c r="C75408"/>
      <c r="E75408"/>
      <c r="F75408"/>
    </row>
    <row r="75409" spans="1:6" x14ac:dyDescent="0.25">
      <c r="A75409"/>
      <c r="B75409"/>
      <c r="C75409"/>
      <c r="E75409"/>
      <c r="F75409"/>
    </row>
    <row r="75410" spans="1:6" x14ac:dyDescent="0.25">
      <c r="A75410"/>
      <c r="B75410"/>
      <c r="C75410"/>
      <c r="E75410"/>
      <c r="F75410"/>
    </row>
    <row r="75411" spans="1:6" x14ac:dyDescent="0.25">
      <c r="A75411"/>
      <c r="B75411"/>
      <c r="C75411"/>
      <c r="E75411"/>
      <c r="F75411"/>
    </row>
    <row r="75412" spans="1:6" x14ac:dyDescent="0.25">
      <c r="A75412"/>
      <c r="B75412"/>
      <c r="C75412"/>
      <c r="E75412"/>
      <c r="F75412"/>
    </row>
    <row r="75413" spans="1:6" x14ac:dyDescent="0.25">
      <c r="A75413"/>
      <c r="B75413"/>
      <c r="C75413"/>
      <c r="E75413"/>
      <c r="F75413"/>
    </row>
    <row r="75414" spans="1:6" x14ac:dyDescent="0.25">
      <c r="A75414"/>
      <c r="B75414"/>
      <c r="C75414"/>
      <c r="E75414"/>
      <c r="F75414"/>
    </row>
    <row r="75415" spans="1:6" x14ac:dyDescent="0.25">
      <c r="A75415"/>
      <c r="B75415"/>
      <c r="C75415"/>
      <c r="E75415"/>
      <c r="F75415"/>
    </row>
    <row r="75416" spans="1:6" x14ac:dyDescent="0.25">
      <c r="A75416"/>
      <c r="B75416"/>
      <c r="C75416"/>
      <c r="E75416"/>
      <c r="F75416"/>
    </row>
    <row r="75417" spans="1:6" x14ac:dyDescent="0.25">
      <c r="A75417"/>
      <c r="B75417"/>
      <c r="C75417"/>
      <c r="E75417"/>
      <c r="F75417"/>
    </row>
    <row r="75418" spans="1:6" x14ac:dyDescent="0.25">
      <c r="A75418"/>
      <c r="B75418"/>
      <c r="C75418"/>
      <c r="E75418"/>
      <c r="F75418"/>
    </row>
    <row r="75419" spans="1:6" x14ac:dyDescent="0.25">
      <c r="A75419"/>
      <c r="B75419"/>
      <c r="C75419"/>
      <c r="E75419"/>
      <c r="F75419"/>
    </row>
    <row r="75420" spans="1:6" x14ac:dyDescent="0.25">
      <c r="A75420"/>
      <c r="B75420"/>
      <c r="C75420"/>
      <c r="E75420"/>
      <c r="F75420"/>
    </row>
    <row r="75421" spans="1:6" x14ac:dyDescent="0.25">
      <c r="A75421"/>
      <c r="B75421"/>
      <c r="C75421"/>
      <c r="E75421"/>
      <c r="F75421"/>
    </row>
    <row r="75422" spans="1:6" x14ac:dyDescent="0.25">
      <c r="A75422"/>
      <c r="B75422"/>
      <c r="C75422"/>
      <c r="E75422"/>
      <c r="F75422"/>
    </row>
    <row r="75423" spans="1:6" x14ac:dyDescent="0.25">
      <c r="A75423"/>
      <c r="B75423"/>
      <c r="C75423"/>
      <c r="E75423"/>
      <c r="F75423"/>
    </row>
    <row r="75424" spans="1:6" x14ac:dyDescent="0.25">
      <c r="A75424"/>
      <c r="B75424"/>
      <c r="C75424"/>
      <c r="E75424"/>
      <c r="F75424"/>
    </row>
    <row r="75425" spans="1:6" x14ac:dyDescent="0.25">
      <c r="A75425"/>
      <c r="B75425"/>
      <c r="C75425"/>
      <c r="E75425"/>
      <c r="F75425"/>
    </row>
    <row r="75426" spans="1:6" x14ac:dyDescent="0.25">
      <c r="A75426"/>
      <c r="B75426"/>
      <c r="C75426"/>
      <c r="E75426"/>
      <c r="F75426"/>
    </row>
    <row r="75427" spans="1:6" x14ac:dyDescent="0.25">
      <c r="A75427"/>
      <c r="B75427"/>
      <c r="C75427"/>
      <c r="E75427"/>
      <c r="F75427"/>
    </row>
    <row r="75428" spans="1:6" x14ac:dyDescent="0.25">
      <c r="A75428"/>
      <c r="B75428"/>
      <c r="C75428"/>
      <c r="E75428"/>
      <c r="F75428"/>
    </row>
    <row r="75429" spans="1:6" x14ac:dyDescent="0.25">
      <c r="A75429"/>
      <c r="B75429"/>
      <c r="C75429"/>
      <c r="E75429"/>
      <c r="F75429"/>
    </row>
    <row r="75430" spans="1:6" x14ac:dyDescent="0.25">
      <c r="A75430"/>
      <c r="B75430"/>
      <c r="C75430"/>
      <c r="E75430"/>
      <c r="F75430"/>
    </row>
    <row r="75431" spans="1:6" x14ac:dyDescent="0.25">
      <c r="A75431"/>
      <c r="B75431"/>
      <c r="C75431"/>
      <c r="E75431"/>
      <c r="F75431"/>
    </row>
    <row r="75432" spans="1:6" x14ac:dyDescent="0.25">
      <c r="A75432"/>
      <c r="B75432"/>
      <c r="C75432"/>
      <c r="E75432"/>
      <c r="F75432"/>
    </row>
    <row r="75433" spans="1:6" x14ac:dyDescent="0.25">
      <c r="A75433"/>
      <c r="B75433"/>
      <c r="C75433"/>
      <c r="E75433"/>
      <c r="F75433"/>
    </row>
    <row r="75434" spans="1:6" x14ac:dyDescent="0.25">
      <c r="A75434"/>
      <c r="B75434"/>
      <c r="C75434"/>
      <c r="E75434"/>
      <c r="F75434"/>
    </row>
    <row r="75435" spans="1:6" x14ac:dyDescent="0.25">
      <c r="A75435"/>
      <c r="B75435"/>
      <c r="C75435"/>
      <c r="E75435"/>
      <c r="F75435"/>
    </row>
    <row r="75436" spans="1:6" x14ac:dyDescent="0.25">
      <c r="A75436"/>
      <c r="B75436"/>
      <c r="C75436"/>
      <c r="E75436"/>
      <c r="F75436"/>
    </row>
    <row r="75437" spans="1:6" x14ac:dyDescent="0.25">
      <c r="A75437"/>
      <c r="B75437"/>
      <c r="C75437"/>
      <c r="E75437"/>
      <c r="F75437"/>
    </row>
    <row r="75438" spans="1:6" x14ac:dyDescent="0.25">
      <c r="A75438"/>
      <c r="B75438"/>
      <c r="C75438"/>
      <c r="E75438"/>
      <c r="F75438"/>
    </row>
    <row r="75439" spans="1:6" x14ac:dyDescent="0.25">
      <c r="A75439"/>
      <c r="B75439"/>
      <c r="C75439"/>
      <c r="E75439"/>
      <c r="F75439"/>
    </row>
    <row r="75440" spans="1:6" x14ac:dyDescent="0.25">
      <c r="A75440"/>
      <c r="B75440"/>
      <c r="C75440"/>
      <c r="E75440"/>
      <c r="F75440"/>
    </row>
    <row r="75441" spans="1:6" x14ac:dyDescent="0.25">
      <c r="A75441"/>
      <c r="B75441"/>
      <c r="C75441"/>
      <c r="E75441"/>
      <c r="F75441"/>
    </row>
    <row r="75442" spans="1:6" x14ac:dyDescent="0.25">
      <c r="A75442"/>
      <c r="B75442"/>
      <c r="C75442"/>
      <c r="E75442"/>
      <c r="F75442"/>
    </row>
    <row r="75443" spans="1:6" x14ac:dyDescent="0.25">
      <c r="A75443"/>
      <c r="B75443"/>
      <c r="C75443"/>
      <c r="E75443"/>
      <c r="F75443"/>
    </row>
    <row r="75444" spans="1:6" x14ac:dyDescent="0.25">
      <c r="A75444"/>
      <c r="B75444"/>
      <c r="C75444"/>
      <c r="E75444"/>
      <c r="F75444"/>
    </row>
    <row r="75445" spans="1:6" x14ac:dyDescent="0.25">
      <c r="A75445"/>
      <c r="B75445"/>
      <c r="C75445"/>
      <c r="E75445"/>
      <c r="F75445"/>
    </row>
    <row r="75446" spans="1:6" x14ac:dyDescent="0.25">
      <c r="A75446"/>
      <c r="B75446"/>
      <c r="C75446"/>
      <c r="E75446"/>
      <c r="F75446"/>
    </row>
    <row r="75447" spans="1:6" x14ac:dyDescent="0.25">
      <c r="A75447"/>
      <c r="B75447"/>
      <c r="C75447"/>
      <c r="E75447"/>
      <c r="F75447"/>
    </row>
    <row r="75448" spans="1:6" x14ac:dyDescent="0.25">
      <c r="A75448"/>
      <c r="B75448"/>
      <c r="C75448"/>
      <c r="E75448"/>
      <c r="F75448"/>
    </row>
    <row r="75449" spans="1:6" x14ac:dyDescent="0.25">
      <c r="A75449"/>
      <c r="B75449"/>
      <c r="C75449"/>
      <c r="E75449"/>
      <c r="F75449"/>
    </row>
    <row r="75450" spans="1:6" x14ac:dyDescent="0.25">
      <c r="A75450"/>
      <c r="B75450"/>
      <c r="C75450"/>
      <c r="E75450"/>
      <c r="F75450"/>
    </row>
    <row r="75451" spans="1:6" x14ac:dyDescent="0.25">
      <c r="A75451"/>
      <c r="B75451"/>
      <c r="C75451"/>
      <c r="E75451"/>
      <c r="F75451"/>
    </row>
    <row r="75452" spans="1:6" x14ac:dyDescent="0.25">
      <c r="A75452"/>
      <c r="B75452"/>
      <c r="C75452"/>
      <c r="E75452"/>
      <c r="F75452"/>
    </row>
    <row r="75453" spans="1:6" x14ac:dyDescent="0.25">
      <c r="A75453"/>
      <c r="B75453"/>
      <c r="C75453"/>
      <c r="E75453"/>
      <c r="F75453"/>
    </row>
    <row r="75454" spans="1:6" x14ac:dyDescent="0.25">
      <c r="A75454"/>
      <c r="B75454"/>
      <c r="C75454"/>
      <c r="E75454"/>
      <c r="F75454"/>
    </row>
    <row r="75455" spans="1:6" x14ac:dyDescent="0.25">
      <c r="A75455"/>
      <c r="B75455"/>
      <c r="C75455"/>
      <c r="E75455"/>
      <c r="F75455"/>
    </row>
    <row r="75456" spans="1:6" x14ac:dyDescent="0.25">
      <c r="A75456"/>
      <c r="B75456"/>
      <c r="C75456"/>
      <c r="E75456"/>
      <c r="F75456"/>
    </row>
    <row r="75457" spans="1:6" x14ac:dyDescent="0.25">
      <c r="A75457"/>
      <c r="B75457"/>
      <c r="C75457"/>
      <c r="E75457"/>
      <c r="F75457"/>
    </row>
    <row r="75458" spans="1:6" x14ac:dyDescent="0.25">
      <c r="A75458"/>
      <c r="B75458"/>
      <c r="C75458"/>
      <c r="E75458"/>
      <c r="F75458"/>
    </row>
    <row r="75459" spans="1:6" x14ac:dyDescent="0.25">
      <c r="A75459"/>
      <c r="B75459"/>
      <c r="C75459"/>
      <c r="E75459"/>
      <c r="F75459"/>
    </row>
    <row r="75460" spans="1:6" x14ac:dyDescent="0.25">
      <c r="A75460"/>
      <c r="B75460"/>
      <c r="C75460"/>
      <c r="E75460"/>
      <c r="F75460"/>
    </row>
    <row r="75461" spans="1:6" x14ac:dyDescent="0.25">
      <c r="A75461"/>
      <c r="B75461"/>
      <c r="C75461"/>
      <c r="E75461"/>
      <c r="F75461"/>
    </row>
    <row r="75462" spans="1:6" x14ac:dyDescent="0.25">
      <c r="A75462"/>
      <c r="B75462"/>
      <c r="C75462"/>
      <c r="E75462"/>
      <c r="F75462"/>
    </row>
    <row r="75463" spans="1:6" x14ac:dyDescent="0.25">
      <c r="A75463"/>
      <c r="B75463"/>
      <c r="C75463"/>
      <c r="E75463"/>
      <c r="F75463"/>
    </row>
    <row r="75464" spans="1:6" x14ac:dyDescent="0.25">
      <c r="A75464"/>
      <c r="B75464"/>
      <c r="C75464"/>
      <c r="E75464"/>
      <c r="F75464"/>
    </row>
    <row r="75465" spans="1:6" x14ac:dyDescent="0.25">
      <c r="A75465"/>
      <c r="B75465"/>
      <c r="C75465"/>
      <c r="E75465"/>
      <c r="F75465"/>
    </row>
    <row r="75466" spans="1:6" x14ac:dyDescent="0.25">
      <c r="A75466"/>
      <c r="B75466"/>
      <c r="C75466"/>
      <c r="E75466"/>
      <c r="F75466"/>
    </row>
    <row r="75467" spans="1:6" x14ac:dyDescent="0.25">
      <c r="A75467"/>
      <c r="B75467"/>
      <c r="C75467"/>
      <c r="E75467"/>
      <c r="F75467"/>
    </row>
    <row r="75468" spans="1:6" x14ac:dyDescent="0.25">
      <c r="A75468"/>
      <c r="B75468"/>
      <c r="C75468"/>
      <c r="E75468"/>
      <c r="F75468"/>
    </row>
    <row r="75469" spans="1:6" x14ac:dyDescent="0.25">
      <c r="A75469"/>
      <c r="B75469"/>
      <c r="C75469"/>
      <c r="E75469"/>
      <c r="F75469"/>
    </row>
    <row r="75470" spans="1:6" x14ac:dyDescent="0.25">
      <c r="A75470"/>
      <c r="B75470"/>
      <c r="C75470"/>
      <c r="E75470"/>
      <c r="F75470"/>
    </row>
    <row r="75471" spans="1:6" x14ac:dyDescent="0.25">
      <c r="A75471"/>
      <c r="B75471"/>
      <c r="C75471"/>
      <c r="E75471"/>
      <c r="F75471"/>
    </row>
    <row r="75472" spans="1:6" x14ac:dyDescent="0.25">
      <c r="A75472"/>
      <c r="B75472"/>
      <c r="C75472"/>
      <c r="E75472"/>
      <c r="F75472"/>
    </row>
    <row r="75473" spans="1:6" x14ac:dyDescent="0.25">
      <c r="A75473"/>
      <c r="B75473"/>
      <c r="C75473"/>
      <c r="E75473"/>
      <c r="F75473"/>
    </row>
    <row r="75474" spans="1:6" x14ac:dyDescent="0.25">
      <c r="A75474"/>
      <c r="B75474"/>
      <c r="C75474"/>
      <c r="E75474"/>
      <c r="F75474"/>
    </row>
    <row r="75475" spans="1:6" x14ac:dyDescent="0.25">
      <c r="A75475"/>
      <c r="B75475"/>
      <c r="C75475"/>
      <c r="E75475"/>
      <c r="F75475"/>
    </row>
    <row r="75476" spans="1:6" x14ac:dyDescent="0.25">
      <c r="A75476"/>
      <c r="B75476"/>
      <c r="C75476"/>
      <c r="E75476"/>
      <c r="F75476"/>
    </row>
    <row r="75477" spans="1:6" x14ac:dyDescent="0.25">
      <c r="A75477"/>
      <c r="B75477"/>
      <c r="C75477"/>
      <c r="E75477"/>
      <c r="F75477"/>
    </row>
    <row r="75478" spans="1:6" x14ac:dyDescent="0.25">
      <c r="A75478"/>
      <c r="B75478"/>
      <c r="C75478"/>
      <c r="E75478"/>
      <c r="F75478"/>
    </row>
    <row r="75479" spans="1:6" x14ac:dyDescent="0.25">
      <c r="A75479"/>
      <c r="B75479"/>
      <c r="C75479"/>
      <c r="E75479"/>
      <c r="F75479"/>
    </row>
    <row r="75480" spans="1:6" x14ac:dyDescent="0.25">
      <c r="A75480"/>
      <c r="B75480"/>
      <c r="C75480"/>
      <c r="E75480"/>
      <c r="F75480"/>
    </row>
    <row r="75481" spans="1:6" x14ac:dyDescent="0.25">
      <c r="A75481"/>
      <c r="B75481"/>
      <c r="C75481"/>
      <c r="E75481"/>
      <c r="F75481"/>
    </row>
    <row r="75482" spans="1:6" x14ac:dyDescent="0.25">
      <c r="A75482"/>
      <c r="B75482"/>
      <c r="C75482"/>
      <c r="E75482"/>
      <c r="F75482"/>
    </row>
    <row r="75483" spans="1:6" x14ac:dyDescent="0.25">
      <c r="A75483"/>
      <c r="B75483"/>
      <c r="C75483"/>
      <c r="E75483"/>
      <c r="F75483"/>
    </row>
    <row r="75484" spans="1:6" x14ac:dyDescent="0.25">
      <c r="A75484"/>
      <c r="B75484"/>
      <c r="C75484"/>
      <c r="E75484"/>
      <c r="F75484"/>
    </row>
    <row r="75485" spans="1:6" x14ac:dyDescent="0.25">
      <c r="A75485"/>
      <c r="B75485"/>
      <c r="C75485"/>
      <c r="E75485"/>
      <c r="F75485"/>
    </row>
    <row r="75486" spans="1:6" x14ac:dyDescent="0.25">
      <c r="A75486"/>
      <c r="B75486"/>
      <c r="C75486"/>
      <c r="E75486"/>
      <c r="F75486"/>
    </row>
    <row r="75487" spans="1:6" x14ac:dyDescent="0.25">
      <c r="A75487"/>
      <c r="B75487"/>
      <c r="C75487"/>
      <c r="E75487"/>
      <c r="F75487"/>
    </row>
    <row r="75488" spans="1:6" x14ac:dyDescent="0.25">
      <c r="A75488"/>
      <c r="B75488"/>
      <c r="C75488"/>
      <c r="E75488"/>
      <c r="F75488"/>
    </row>
    <row r="75489" spans="1:6" x14ac:dyDescent="0.25">
      <c r="A75489"/>
      <c r="B75489"/>
      <c r="C75489"/>
      <c r="E75489"/>
      <c r="F75489"/>
    </row>
    <row r="75490" spans="1:6" x14ac:dyDescent="0.25">
      <c r="A75490"/>
      <c r="B75490"/>
      <c r="C75490"/>
      <c r="E75490"/>
      <c r="F75490"/>
    </row>
    <row r="75491" spans="1:6" x14ac:dyDescent="0.25">
      <c r="A75491"/>
      <c r="B75491"/>
      <c r="C75491"/>
      <c r="E75491"/>
      <c r="F75491"/>
    </row>
    <row r="75492" spans="1:6" x14ac:dyDescent="0.25">
      <c r="A75492"/>
      <c r="B75492"/>
      <c r="C75492"/>
      <c r="E75492"/>
      <c r="F75492"/>
    </row>
    <row r="75493" spans="1:6" x14ac:dyDescent="0.25">
      <c r="A75493"/>
      <c r="B75493"/>
      <c r="C75493"/>
      <c r="E75493"/>
      <c r="F75493"/>
    </row>
    <row r="75494" spans="1:6" x14ac:dyDescent="0.25">
      <c r="A75494"/>
      <c r="B75494"/>
      <c r="C75494"/>
      <c r="E75494"/>
      <c r="F75494"/>
    </row>
    <row r="75495" spans="1:6" x14ac:dyDescent="0.25">
      <c r="A75495"/>
      <c r="B75495"/>
      <c r="C75495"/>
      <c r="E75495"/>
      <c r="F75495"/>
    </row>
    <row r="75496" spans="1:6" x14ac:dyDescent="0.25">
      <c r="A75496"/>
      <c r="B75496"/>
      <c r="C75496"/>
      <c r="E75496"/>
      <c r="F75496"/>
    </row>
    <row r="75497" spans="1:6" x14ac:dyDescent="0.25">
      <c r="A75497"/>
      <c r="B75497"/>
      <c r="C75497"/>
      <c r="E75497"/>
      <c r="F75497"/>
    </row>
    <row r="75498" spans="1:6" x14ac:dyDescent="0.25">
      <c r="A75498"/>
      <c r="B75498"/>
      <c r="C75498"/>
      <c r="E75498"/>
      <c r="F75498"/>
    </row>
    <row r="75499" spans="1:6" x14ac:dyDescent="0.25">
      <c r="A75499"/>
      <c r="B75499"/>
      <c r="C75499"/>
      <c r="E75499"/>
      <c r="F75499"/>
    </row>
    <row r="75500" spans="1:6" x14ac:dyDescent="0.25">
      <c r="A75500"/>
      <c r="B75500"/>
      <c r="C75500"/>
      <c r="E75500"/>
      <c r="F75500"/>
    </row>
    <row r="75501" spans="1:6" x14ac:dyDescent="0.25">
      <c r="A75501"/>
      <c r="B75501"/>
      <c r="C75501"/>
      <c r="E75501"/>
      <c r="F75501"/>
    </row>
    <row r="75502" spans="1:6" x14ac:dyDescent="0.25">
      <c r="A75502"/>
      <c r="B75502"/>
      <c r="C75502"/>
      <c r="E75502"/>
      <c r="F75502"/>
    </row>
    <row r="75503" spans="1:6" x14ac:dyDescent="0.25">
      <c r="A75503"/>
      <c r="B75503"/>
      <c r="C75503"/>
      <c r="E75503"/>
      <c r="F75503"/>
    </row>
    <row r="75504" spans="1:6" x14ac:dyDescent="0.25">
      <c r="A75504"/>
      <c r="B75504"/>
      <c r="C75504"/>
      <c r="E75504"/>
      <c r="F75504"/>
    </row>
    <row r="75505" spans="1:6" x14ac:dyDescent="0.25">
      <c r="A75505"/>
      <c r="B75505"/>
      <c r="C75505"/>
      <c r="E75505"/>
      <c r="F75505"/>
    </row>
    <row r="75506" spans="1:6" x14ac:dyDescent="0.25">
      <c r="A75506"/>
      <c r="B75506"/>
      <c r="C75506"/>
      <c r="E75506"/>
      <c r="F75506"/>
    </row>
    <row r="75507" spans="1:6" x14ac:dyDescent="0.25">
      <c r="A75507"/>
      <c r="B75507"/>
      <c r="C75507"/>
      <c r="E75507"/>
      <c r="F75507"/>
    </row>
    <row r="75508" spans="1:6" x14ac:dyDescent="0.25">
      <c r="A75508"/>
      <c r="B75508"/>
      <c r="C75508"/>
      <c r="E75508"/>
      <c r="F75508"/>
    </row>
    <row r="75509" spans="1:6" x14ac:dyDescent="0.25">
      <c r="A75509"/>
      <c r="B75509"/>
      <c r="C75509"/>
      <c r="E75509"/>
      <c r="F75509"/>
    </row>
    <row r="75510" spans="1:6" x14ac:dyDescent="0.25">
      <c r="A75510"/>
      <c r="B75510"/>
      <c r="C75510"/>
      <c r="E75510"/>
      <c r="F75510"/>
    </row>
    <row r="75511" spans="1:6" x14ac:dyDescent="0.25">
      <c r="A75511"/>
      <c r="B75511"/>
      <c r="C75511"/>
      <c r="E75511"/>
      <c r="F75511"/>
    </row>
    <row r="75512" spans="1:6" x14ac:dyDescent="0.25">
      <c r="A75512"/>
      <c r="B75512"/>
      <c r="C75512"/>
      <c r="E75512"/>
      <c r="F75512"/>
    </row>
    <row r="75513" spans="1:6" x14ac:dyDescent="0.25">
      <c r="A75513"/>
      <c r="B75513"/>
      <c r="C75513"/>
      <c r="E75513"/>
      <c r="F75513"/>
    </row>
    <row r="75514" spans="1:6" x14ac:dyDescent="0.25">
      <c r="A75514"/>
      <c r="B75514"/>
      <c r="C75514"/>
      <c r="E75514"/>
      <c r="F75514"/>
    </row>
    <row r="75515" spans="1:6" x14ac:dyDescent="0.25">
      <c r="A75515"/>
      <c r="B75515"/>
      <c r="C75515"/>
      <c r="E75515"/>
      <c r="F75515"/>
    </row>
    <row r="75516" spans="1:6" x14ac:dyDescent="0.25">
      <c r="A75516"/>
      <c r="B75516"/>
      <c r="C75516"/>
      <c r="E75516"/>
      <c r="F75516"/>
    </row>
    <row r="75517" spans="1:6" x14ac:dyDescent="0.25">
      <c r="A75517"/>
      <c r="B75517"/>
      <c r="C75517"/>
      <c r="E75517"/>
      <c r="F75517"/>
    </row>
    <row r="75518" spans="1:6" x14ac:dyDescent="0.25">
      <c r="A75518"/>
      <c r="B75518"/>
      <c r="C75518"/>
      <c r="E75518"/>
      <c r="F75518"/>
    </row>
    <row r="75519" spans="1:6" x14ac:dyDescent="0.25">
      <c r="A75519"/>
      <c r="B75519"/>
      <c r="C75519"/>
      <c r="E75519"/>
      <c r="F75519"/>
    </row>
    <row r="75520" spans="1:6" x14ac:dyDescent="0.25">
      <c r="A75520"/>
      <c r="B75520"/>
      <c r="C75520"/>
      <c r="E75520"/>
      <c r="F75520"/>
    </row>
    <row r="75521" spans="1:6" x14ac:dyDescent="0.25">
      <c r="A75521"/>
      <c r="B75521"/>
      <c r="C75521"/>
      <c r="E75521"/>
      <c r="F75521"/>
    </row>
    <row r="75522" spans="1:6" x14ac:dyDescent="0.25">
      <c r="A75522"/>
      <c r="B75522"/>
      <c r="C75522"/>
      <c r="E75522"/>
      <c r="F75522"/>
    </row>
    <row r="75523" spans="1:6" x14ac:dyDescent="0.25">
      <c r="A75523"/>
      <c r="B75523"/>
      <c r="C75523"/>
      <c r="E75523"/>
      <c r="F75523"/>
    </row>
    <row r="75524" spans="1:6" x14ac:dyDescent="0.25">
      <c r="A75524"/>
      <c r="B75524"/>
      <c r="C75524"/>
      <c r="E75524"/>
      <c r="F75524"/>
    </row>
    <row r="75525" spans="1:6" x14ac:dyDescent="0.25">
      <c r="A75525"/>
      <c r="B75525"/>
      <c r="C75525"/>
      <c r="E75525"/>
      <c r="F75525"/>
    </row>
    <row r="75526" spans="1:6" x14ac:dyDescent="0.25">
      <c r="A75526"/>
      <c r="B75526"/>
      <c r="C75526"/>
      <c r="E75526"/>
      <c r="F75526"/>
    </row>
    <row r="75527" spans="1:6" x14ac:dyDescent="0.25">
      <c r="A75527"/>
      <c r="B75527"/>
      <c r="C75527"/>
      <c r="E75527"/>
      <c r="F75527"/>
    </row>
    <row r="75528" spans="1:6" x14ac:dyDescent="0.25">
      <c r="A75528"/>
      <c r="B75528"/>
      <c r="C75528"/>
      <c r="E75528"/>
      <c r="F75528"/>
    </row>
    <row r="75529" spans="1:6" x14ac:dyDescent="0.25">
      <c r="A75529"/>
      <c r="B75529"/>
      <c r="C75529"/>
      <c r="E75529"/>
      <c r="F75529"/>
    </row>
    <row r="75530" spans="1:6" x14ac:dyDescent="0.25">
      <c r="A75530"/>
      <c r="B75530"/>
      <c r="C75530"/>
      <c r="E75530"/>
      <c r="F75530"/>
    </row>
    <row r="75531" spans="1:6" x14ac:dyDescent="0.25">
      <c r="A75531"/>
      <c r="B75531"/>
      <c r="C75531"/>
      <c r="E75531"/>
      <c r="F75531"/>
    </row>
    <row r="75532" spans="1:6" x14ac:dyDescent="0.25">
      <c r="A75532"/>
      <c r="B75532"/>
      <c r="C75532"/>
      <c r="E75532"/>
      <c r="F75532"/>
    </row>
    <row r="75533" spans="1:6" x14ac:dyDescent="0.25">
      <c r="A75533"/>
      <c r="B75533"/>
      <c r="C75533"/>
      <c r="E75533"/>
      <c r="F75533"/>
    </row>
    <row r="75534" spans="1:6" x14ac:dyDescent="0.25">
      <c r="A75534"/>
      <c r="B75534"/>
      <c r="C75534"/>
      <c r="E75534"/>
      <c r="F75534"/>
    </row>
    <row r="75535" spans="1:6" x14ac:dyDescent="0.25">
      <c r="A75535"/>
      <c r="B75535"/>
      <c r="C75535"/>
      <c r="E75535"/>
      <c r="F75535"/>
    </row>
    <row r="75536" spans="1:6" x14ac:dyDescent="0.25">
      <c r="A75536"/>
      <c r="B75536"/>
      <c r="C75536"/>
      <c r="E75536"/>
      <c r="F75536"/>
    </row>
    <row r="75537" spans="1:6" x14ac:dyDescent="0.25">
      <c r="A75537"/>
      <c r="B75537"/>
      <c r="C75537"/>
      <c r="E75537"/>
      <c r="F75537"/>
    </row>
    <row r="75538" spans="1:6" x14ac:dyDescent="0.25">
      <c r="A75538"/>
      <c r="B75538"/>
      <c r="C75538"/>
      <c r="E75538"/>
      <c r="F75538"/>
    </row>
    <row r="75539" spans="1:6" x14ac:dyDescent="0.25">
      <c r="A75539"/>
      <c r="B75539"/>
      <c r="C75539"/>
      <c r="E75539"/>
      <c r="F75539"/>
    </row>
    <row r="75540" spans="1:6" x14ac:dyDescent="0.25">
      <c r="A75540"/>
      <c r="B75540"/>
      <c r="C75540"/>
      <c r="E75540"/>
      <c r="F75540"/>
    </row>
    <row r="75541" spans="1:6" x14ac:dyDescent="0.25">
      <c r="A75541"/>
      <c r="B75541"/>
      <c r="C75541"/>
      <c r="E75541"/>
      <c r="F75541"/>
    </row>
    <row r="75542" spans="1:6" x14ac:dyDescent="0.25">
      <c r="A75542"/>
      <c r="B75542"/>
      <c r="C75542"/>
      <c r="E75542"/>
      <c r="F75542"/>
    </row>
    <row r="75543" spans="1:6" x14ac:dyDescent="0.25">
      <c r="A75543"/>
      <c r="B75543"/>
      <c r="C75543"/>
      <c r="E75543"/>
      <c r="F75543"/>
    </row>
    <row r="75544" spans="1:6" x14ac:dyDescent="0.25">
      <c r="A75544"/>
      <c r="B75544"/>
      <c r="C75544"/>
      <c r="E75544"/>
      <c r="F75544"/>
    </row>
    <row r="75545" spans="1:6" x14ac:dyDescent="0.25">
      <c r="A75545"/>
      <c r="B75545"/>
      <c r="C75545"/>
      <c r="E75545"/>
      <c r="F75545"/>
    </row>
    <row r="75546" spans="1:6" x14ac:dyDescent="0.25">
      <c r="A75546"/>
      <c r="B75546"/>
      <c r="C75546"/>
      <c r="E75546"/>
      <c r="F75546"/>
    </row>
    <row r="75547" spans="1:6" x14ac:dyDescent="0.25">
      <c r="A75547"/>
      <c r="B75547"/>
      <c r="C75547"/>
      <c r="E75547"/>
      <c r="F75547"/>
    </row>
    <row r="75548" spans="1:6" x14ac:dyDescent="0.25">
      <c r="A75548"/>
      <c r="B75548"/>
      <c r="C75548"/>
      <c r="E75548"/>
      <c r="F75548"/>
    </row>
    <row r="75549" spans="1:6" x14ac:dyDescent="0.25">
      <c r="A75549"/>
      <c r="B75549"/>
      <c r="C75549"/>
      <c r="E75549"/>
      <c r="F75549"/>
    </row>
    <row r="75550" spans="1:6" x14ac:dyDescent="0.25">
      <c r="A75550"/>
      <c r="B75550"/>
      <c r="C75550"/>
      <c r="E75550"/>
      <c r="F75550"/>
    </row>
    <row r="75551" spans="1:6" x14ac:dyDescent="0.25">
      <c r="A75551"/>
      <c r="B75551"/>
      <c r="C75551"/>
      <c r="E75551"/>
      <c r="F75551"/>
    </row>
    <row r="75552" spans="1:6" x14ac:dyDescent="0.25">
      <c r="A75552"/>
      <c r="B75552"/>
      <c r="C75552"/>
      <c r="E75552"/>
      <c r="F75552"/>
    </row>
    <row r="75553" spans="1:6" x14ac:dyDescent="0.25">
      <c r="A75553"/>
      <c r="B75553"/>
      <c r="C75553"/>
      <c r="E75553"/>
      <c r="F75553"/>
    </row>
    <row r="75554" spans="1:6" x14ac:dyDescent="0.25">
      <c r="A75554"/>
      <c r="B75554"/>
      <c r="C75554"/>
      <c r="E75554"/>
      <c r="F75554"/>
    </row>
    <row r="75555" spans="1:6" x14ac:dyDescent="0.25">
      <c r="A75555"/>
      <c r="B75555"/>
      <c r="C75555"/>
      <c r="E75555"/>
      <c r="F75555"/>
    </row>
    <row r="75556" spans="1:6" x14ac:dyDescent="0.25">
      <c r="A75556"/>
      <c r="B75556"/>
      <c r="C75556"/>
      <c r="E75556"/>
      <c r="F75556"/>
    </row>
    <row r="75557" spans="1:6" x14ac:dyDescent="0.25">
      <c r="A75557"/>
      <c r="B75557"/>
      <c r="C75557"/>
      <c r="E75557"/>
      <c r="F75557"/>
    </row>
    <row r="75558" spans="1:6" x14ac:dyDescent="0.25">
      <c r="A75558"/>
      <c r="B75558"/>
      <c r="C75558"/>
      <c r="E75558"/>
      <c r="F75558"/>
    </row>
    <row r="75559" spans="1:6" x14ac:dyDescent="0.25">
      <c r="A75559"/>
      <c r="B75559"/>
      <c r="C75559"/>
      <c r="E75559"/>
      <c r="F75559"/>
    </row>
    <row r="75560" spans="1:6" x14ac:dyDescent="0.25">
      <c r="A75560"/>
      <c r="B75560"/>
      <c r="C75560"/>
      <c r="E75560"/>
      <c r="F75560"/>
    </row>
    <row r="75561" spans="1:6" x14ac:dyDescent="0.25">
      <c r="A75561"/>
      <c r="B75561"/>
      <c r="C75561"/>
      <c r="E75561"/>
      <c r="F75561"/>
    </row>
    <row r="75562" spans="1:6" x14ac:dyDescent="0.25">
      <c r="A75562"/>
      <c r="B75562"/>
      <c r="C75562"/>
      <c r="E75562"/>
      <c r="F75562"/>
    </row>
    <row r="75563" spans="1:6" x14ac:dyDescent="0.25">
      <c r="A75563"/>
      <c r="B75563"/>
      <c r="C75563"/>
      <c r="E75563"/>
      <c r="F75563"/>
    </row>
    <row r="75564" spans="1:6" x14ac:dyDescent="0.25">
      <c r="A75564"/>
      <c r="B75564"/>
      <c r="C75564"/>
      <c r="E75564"/>
      <c r="F75564"/>
    </row>
    <row r="75565" spans="1:6" x14ac:dyDescent="0.25">
      <c r="A75565"/>
      <c r="B75565"/>
      <c r="C75565"/>
      <c r="E75565"/>
      <c r="F75565"/>
    </row>
    <row r="75566" spans="1:6" x14ac:dyDescent="0.25">
      <c r="A75566"/>
      <c r="B75566"/>
      <c r="C75566"/>
      <c r="E75566"/>
      <c r="F75566"/>
    </row>
    <row r="75567" spans="1:6" x14ac:dyDescent="0.25">
      <c r="A75567"/>
      <c r="B75567"/>
      <c r="C75567"/>
      <c r="E75567"/>
      <c r="F75567"/>
    </row>
    <row r="75568" spans="1:6" x14ac:dyDescent="0.25">
      <c r="A75568"/>
      <c r="B75568"/>
      <c r="C75568"/>
      <c r="E75568"/>
      <c r="F75568"/>
    </row>
    <row r="75569" spans="1:6" x14ac:dyDescent="0.25">
      <c r="A75569"/>
      <c r="B75569"/>
      <c r="C75569"/>
      <c r="E75569"/>
      <c r="F75569"/>
    </row>
    <row r="75570" spans="1:6" x14ac:dyDescent="0.25">
      <c r="A75570"/>
      <c r="B75570"/>
      <c r="C75570"/>
      <c r="E75570"/>
      <c r="F75570"/>
    </row>
    <row r="75571" spans="1:6" x14ac:dyDescent="0.25">
      <c r="A75571"/>
      <c r="B75571"/>
      <c r="C75571"/>
      <c r="E75571"/>
      <c r="F75571"/>
    </row>
    <row r="75572" spans="1:6" x14ac:dyDescent="0.25">
      <c r="A75572"/>
      <c r="B75572"/>
      <c r="C75572"/>
      <c r="E75572"/>
      <c r="F75572"/>
    </row>
    <row r="75573" spans="1:6" x14ac:dyDescent="0.25">
      <c r="A75573"/>
      <c r="B75573"/>
      <c r="C75573"/>
      <c r="E75573"/>
      <c r="F75573"/>
    </row>
    <row r="75574" spans="1:6" x14ac:dyDescent="0.25">
      <c r="A75574"/>
      <c r="B75574"/>
      <c r="C75574"/>
      <c r="E75574"/>
      <c r="F75574"/>
    </row>
    <row r="75575" spans="1:6" x14ac:dyDescent="0.25">
      <c r="A75575"/>
      <c r="B75575"/>
      <c r="C75575"/>
      <c r="E75575"/>
      <c r="F75575"/>
    </row>
    <row r="75576" spans="1:6" x14ac:dyDescent="0.25">
      <c r="A75576"/>
      <c r="B75576"/>
      <c r="C75576"/>
      <c r="E75576"/>
      <c r="F75576"/>
    </row>
    <row r="75577" spans="1:6" x14ac:dyDescent="0.25">
      <c r="A75577"/>
      <c r="B75577"/>
      <c r="C75577"/>
      <c r="E75577"/>
      <c r="F75577"/>
    </row>
    <row r="75578" spans="1:6" x14ac:dyDescent="0.25">
      <c r="A75578"/>
      <c r="B75578"/>
      <c r="C75578"/>
      <c r="E75578"/>
      <c r="F75578"/>
    </row>
    <row r="75579" spans="1:6" x14ac:dyDescent="0.25">
      <c r="A75579"/>
      <c r="B75579"/>
      <c r="C75579"/>
      <c r="E75579"/>
      <c r="F75579"/>
    </row>
    <row r="75580" spans="1:6" x14ac:dyDescent="0.25">
      <c r="A75580"/>
      <c r="B75580"/>
      <c r="C75580"/>
      <c r="E75580"/>
      <c r="F75580"/>
    </row>
    <row r="75581" spans="1:6" x14ac:dyDescent="0.25">
      <c r="A75581"/>
      <c r="B75581"/>
      <c r="C75581"/>
      <c r="E75581"/>
      <c r="F75581"/>
    </row>
    <row r="75582" spans="1:6" x14ac:dyDescent="0.25">
      <c r="A75582"/>
      <c r="B75582"/>
      <c r="C75582"/>
      <c r="E75582"/>
      <c r="F75582"/>
    </row>
    <row r="75583" spans="1:6" x14ac:dyDescent="0.25">
      <c r="A75583"/>
      <c r="B75583"/>
      <c r="C75583"/>
      <c r="E75583"/>
      <c r="F75583"/>
    </row>
    <row r="75584" spans="1:6" x14ac:dyDescent="0.25">
      <c r="A75584"/>
      <c r="B75584"/>
      <c r="C75584"/>
      <c r="E75584"/>
      <c r="F75584"/>
    </row>
    <row r="75585" spans="1:6" x14ac:dyDescent="0.25">
      <c r="A75585"/>
      <c r="B75585"/>
      <c r="C75585"/>
      <c r="E75585"/>
      <c r="F75585"/>
    </row>
    <row r="75586" spans="1:6" x14ac:dyDescent="0.25">
      <c r="A75586"/>
      <c r="B75586"/>
      <c r="C75586"/>
      <c r="E75586"/>
      <c r="F75586"/>
    </row>
    <row r="75587" spans="1:6" x14ac:dyDescent="0.25">
      <c r="A75587"/>
      <c r="B75587"/>
      <c r="C75587"/>
      <c r="E75587"/>
      <c r="F75587"/>
    </row>
    <row r="75588" spans="1:6" x14ac:dyDescent="0.25">
      <c r="A75588"/>
      <c r="B75588"/>
      <c r="C75588"/>
      <c r="E75588"/>
      <c r="F75588"/>
    </row>
    <row r="75589" spans="1:6" x14ac:dyDescent="0.25">
      <c r="A75589"/>
      <c r="B75589"/>
      <c r="C75589"/>
      <c r="E75589"/>
      <c r="F75589"/>
    </row>
    <row r="75590" spans="1:6" x14ac:dyDescent="0.25">
      <c r="A75590"/>
      <c r="B75590"/>
      <c r="C75590"/>
      <c r="E75590"/>
      <c r="F75590"/>
    </row>
    <row r="75591" spans="1:6" x14ac:dyDescent="0.25">
      <c r="A75591"/>
      <c r="B75591"/>
      <c r="C75591"/>
      <c r="E75591"/>
      <c r="F75591"/>
    </row>
    <row r="75592" spans="1:6" x14ac:dyDescent="0.25">
      <c r="A75592"/>
      <c r="B75592"/>
      <c r="C75592"/>
      <c r="E75592"/>
      <c r="F75592"/>
    </row>
    <row r="75593" spans="1:6" x14ac:dyDescent="0.25">
      <c r="A75593"/>
      <c r="B75593"/>
      <c r="C75593"/>
      <c r="E75593"/>
      <c r="F75593"/>
    </row>
    <row r="75594" spans="1:6" x14ac:dyDescent="0.25">
      <c r="A75594"/>
      <c r="B75594"/>
      <c r="C75594"/>
      <c r="E75594"/>
      <c r="F75594"/>
    </row>
    <row r="75595" spans="1:6" x14ac:dyDescent="0.25">
      <c r="A75595"/>
      <c r="B75595"/>
      <c r="C75595"/>
      <c r="E75595"/>
      <c r="F75595"/>
    </row>
    <row r="75596" spans="1:6" x14ac:dyDescent="0.25">
      <c r="A75596"/>
      <c r="B75596"/>
      <c r="C75596"/>
      <c r="E75596"/>
      <c r="F75596"/>
    </row>
    <row r="75597" spans="1:6" x14ac:dyDescent="0.25">
      <c r="A75597"/>
      <c r="B75597"/>
      <c r="C75597"/>
      <c r="E75597"/>
      <c r="F75597"/>
    </row>
    <row r="75598" spans="1:6" x14ac:dyDescent="0.25">
      <c r="A75598"/>
      <c r="B75598"/>
      <c r="C75598"/>
      <c r="E75598"/>
      <c r="F75598"/>
    </row>
    <row r="75599" spans="1:6" x14ac:dyDescent="0.25">
      <c r="A75599"/>
      <c r="B75599"/>
      <c r="C75599"/>
      <c r="E75599"/>
      <c r="F75599"/>
    </row>
    <row r="75600" spans="1:6" x14ac:dyDescent="0.25">
      <c r="A75600"/>
      <c r="B75600"/>
      <c r="C75600"/>
      <c r="E75600"/>
      <c r="F75600"/>
    </row>
    <row r="75601" spans="1:6" x14ac:dyDescent="0.25">
      <c r="A75601"/>
      <c r="B75601"/>
      <c r="C75601"/>
      <c r="E75601"/>
      <c r="F75601"/>
    </row>
    <row r="75602" spans="1:6" x14ac:dyDescent="0.25">
      <c r="A75602"/>
      <c r="B75602"/>
      <c r="C75602"/>
      <c r="E75602"/>
      <c r="F75602"/>
    </row>
    <row r="75603" spans="1:6" x14ac:dyDescent="0.25">
      <c r="A75603"/>
      <c r="B75603"/>
      <c r="C75603"/>
      <c r="E75603"/>
      <c r="F75603"/>
    </row>
    <row r="75604" spans="1:6" x14ac:dyDescent="0.25">
      <c r="A75604"/>
      <c r="B75604"/>
      <c r="C75604"/>
      <c r="E75604"/>
      <c r="F75604"/>
    </row>
    <row r="75605" spans="1:6" x14ac:dyDescent="0.25">
      <c r="A75605"/>
      <c r="B75605"/>
      <c r="C75605"/>
      <c r="E75605"/>
      <c r="F75605"/>
    </row>
    <row r="75606" spans="1:6" x14ac:dyDescent="0.25">
      <c r="A75606"/>
      <c r="B75606"/>
      <c r="C75606"/>
      <c r="E75606"/>
      <c r="F75606"/>
    </row>
    <row r="75607" spans="1:6" x14ac:dyDescent="0.25">
      <c r="A75607"/>
      <c r="B75607"/>
      <c r="C75607"/>
      <c r="E75607"/>
      <c r="F75607"/>
    </row>
    <row r="75608" spans="1:6" x14ac:dyDescent="0.25">
      <c r="A75608"/>
      <c r="B75608"/>
      <c r="C75608"/>
      <c r="E75608"/>
      <c r="F75608"/>
    </row>
    <row r="75609" spans="1:6" x14ac:dyDescent="0.25">
      <c r="A75609"/>
      <c r="B75609"/>
      <c r="C75609"/>
      <c r="E75609"/>
      <c r="F75609"/>
    </row>
    <row r="75610" spans="1:6" x14ac:dyDescent="0.25">
      <c r="A75610"/>
      <c r="B75610"/>
      <c r="C75610"/>
      <c r="E75610"/>
      <c r="F75610"/>
    </row>
    <row r="75611" spans="1:6" x14ac:dyDescent="0.25">
      <c r="A75611"/>
      <c r="B75611"/>
      <c r="C75611"/>
      <c r="E75611"/>
      <c r="F75611"/>
    </row>
    <row r="75612" spans="1:6" x14ac:dyDescent="0.25">
      <c r="A75612"/>
      <c r="B75612"/>
      <c r="C75612"/>
      <c r="E75612"/>
      <c r="F75612"/>
    </row>
    <row r="75613" spans="1:6" x14ac:dyDescent="0.25">
      <c r="A75613"/>
      <c r="B75613"/>
      <c r="C75613"/>
      <c r="E75613"/>
      <c r="F75613"/>
    </row>
    <row r="75614" spans="1:6" x14ac:dyDescent="0.25">
      <c r="A75614"/>
      <c r="B75614"/>
      <c r="C75614"/>
      <c r="E75614"/>
      <c r="F75614"/>
    </row>
    <row r="75615" spans="1:6" x14ac:dyDescent="0.25">
      <c r="A75615"/>
      <c r="B75615"/>
      <c r="C75615"/>
      <c r="E75615"/>
      <c r="F75615"/>
    </row>
    <row r="75616" spans="1:6" x14ac:dyDescent="0.25">
      <c r="A75616"/>
      <c r="B75616"/>
      <c r="C75616"/>
      <c r="E75616"/>
      <c r="F75616"/>
    </row>
    <row r="75617" spans="1:6" x14ac:dyDescent="0.25">
      <c r="A75617"/>
      <c r="B75617"/>
      <c r="C75617"/>
      <c r="E75617"/>
      <c r="F75617"/>
    </row>
    <row r="75618" spans="1:6" x14ac:dyDescent="0.25">
      <c r="A75618"/>
      <c r="B75618"/>
      <c r="C75618"/>
      <c r="E75618"/>
      <c r="F75618"/>
    </row>
    <row r="75619" spans="1:6" x14ac:dyDescent="0.25">
      <c r="A75619"/>
      <c r="B75619"/>
      <c r="C75619"/>
      <c r="E75619"/>
      <c r="F75619"/>
    </row>
    <row r="75620" spans="1:6" x14ac:dyDescent="0.25">
      <c r="A75620"/>
      <c r="B75620"/>
      <c r="C75620"/>
      <c r="E75620"/>
      <c r="F75620"/>
    </row>
    <row r="75621" spans="1:6" x14ac:dyDescent="0.25">
      <c r="A75621"/>
      <c r="B75621"/>
      <c r="C75621"/>
      <c r="E75621"/>
      <c r="F75621"/>
    </row>
    <row r="75622" spans="1:6" x14ac:dyDescent="0.25">
      <c r="A75622"/>
      <c r="B75622"/>
      <c r="C75622"/>
      <c r="E75622"/>
      <c r="F75622"/>
    </row>
    <row r="75623" spans="1:6" x14ac:dyDescent="0.25">
      <c r="A75623"/>
      <c r="B75623"/>
      <c r="C75623"/>
      <c r="E75623"/>
      <c r="F75623"/>
    </row>
    <row r="75624" spans="1:6" x14ac:dyDescent="0.25">
      <c r="A75624"/>
      <c r="B75624"/>
      <c r="C75624"/>
      <c r="E75624"/>
      <c r="F75624"/>
    </row>
    <row r="75625" spans="1:6" x14ac:dyDescent="0.25">
      <c r="A75625"/>
      <c r="B75625"/>
      <c r="C75625"/>
      <c r="E75625"/>
      <c r="F75625"/>
    </row>
    <row r="75626" spans="1:6" x14ac:dyDescent="0.25">
      <c r="A75626"/>
      <c r="B75626"/>
      <c r="C75626"/>
      <c r="E75626"/>
      <c r="F75626"/>
    </row>
    <row r="75627" spans="1:6" x14ac:dyDescent="0.25">
      <c r="A75627"/>
      <c r="B75627"/>
      <c r="C75627"/>
      <c r="E75627"/>
      <c r="F75627"/>
    </row>
    <row r="75628" spans="1:6" x14ac:dyDescent="0.25">
      <c r="A75628"/>
      <c r="B75628"/>
      <c r="C75628"/>
      <c r="E75628"/>
      <c r="F75628"/>
    </row>
    <row r="75629" spans="1:6" x14ac:dyDescent="0.25">
      <c r="A75629"/>
      <c r="B75629"/>
      <c r="C75629"/>
      <c r="E75629"/>
      <c r="F75629"/>
    </row>
    <row r="75630" spans="1:6" x14ac:dyDescent="0.25">
      <c r="A75630"/>
      <c r="B75630"/>
      <c r="C75630"/>
      <c r="E75630"/>
      <c r="F75630"/>
    </row>
    <row r="75631" spans="1:6" x14ac:dyDescent="0.25">
      <c r="A75631"/>
      <c r="B75631"/>
      <c r="C75631"/>
      <c r="E75631"/>
      <c r="F75631"/>
    </row>
    <row r="75632" spans="1:6" x14ac:dyDescent="0.25">
      <c r="A75632"/>
      <c r="B75632"/>
      <c r="C75632"/>
      <c r="E75632"/>
      <c r="F75632"/>
    </row>
    <row r="75633" spans="1:6" x14ac:dyDescent="0.25">
      <c r="A75633"/>
      <c r="B75633"/>
      <c r="C75633"/>
      <c r="E75633"/>
      <c r="F75633"/>
    </row>
    <row r="75634" spans="1:6" x14ac:dyDescent="0.25">
      <c r="A75634"/>
      <c r="B75634"/>
      <c r="C75634"/>
      <c r="E75634"/>
      <c r="F75634"/>
    </row>
    <row r="75635" spans="1:6" x14ac:dyDescent="0.25">
      <c r="A75635"/>
      <c r="B75635"/>
      <c r="C75635"/>
      <c r="E75635"/>
      <c r="F75635"/>
    </row>
    <row r="75636" spans="1:6" x14ac:dyDescent="0.25">
      <c r="A75636"/>
      <c r="B75636"/>
      <c r="C75636"/>
      <c r="E75636"/>
      <c r="F75636"/>
    </row>
    <row r="75637" spans="1:6" x14ac:dyDescent="0.25">
      <c r="A75637"/>
      <c r="B75637"/>
      <c r="C75637"/>
      <c r="E75637"/>
      <c r="F75637"/>
    </row>
    <row r="75638" spans="1:6" x14ac:dyDescent="0.25">
      <c r="A75638"/>
      <c r="B75638"/>
      <c r="C75638"/>
      <c r="E75638"/>
      <c r="F75638"/>
    </row>
    <row r="75639" spans="1:6" x14ac:dyDescent="0.25">
      <c r="A75639"/>
      <c r="B75639"/>
      <c r="C75639"/>
      <c r="E75639"/>
      <c r="F75639"/>
    </row>
    <row r="75640" spans="1:6" x14ac:dyDescent="0.25">
      <c r="A75640"/>
      <c r="B75640"/>
      <c r="C75640"/>
      <c r="E75640"/>
      <c r="F75640"/>
    </row>
    <row r="75641" spans="1:6" x14ac:dyDescent="0.25">
      <c r="A75641"/>
      <c r="B75641"/>
      <c r="C75641"/>
      <c r="E75641"/>
      <c r="F75641"/>
    </row>
    <row r="75642" spans="1:6" x14ac:dyDescent="0.25">
      <c r="A75642"/>
      <c r="B75642"/>
      <c r="C75642"/>
      <c r="E75642"/>
      <c r="F75642"/>
    </row>
    <row r="75643" spans="1:6" x14ac:dyDescent="0.25">
      <c r="A75643"/>
      <c r="B75643"/>
      <c r="C75643"/>
      <c r="E75643"/>
      <c r="F75643"/>
    </row>
    <row r="75644" spans="1:6" x14ac:dyDescent="0.25">
      <c r="A75644"/>
      <c r="B75644"/>
      <c r="C75644"/>
      <c r="E75644"/>
      <c r="F75644"/>
    </row>
    <row r="75645" spans="1:6" x14ac:dyDescent="0.25">
      <c r="A75645"/>
      <c r="B75645"/>
      <c r="C75645"/>
      <c r="E75645"/>
      <c r="F75645"/>
    </row>
    <row r="75646" spans="1:6" x14ac:dyDescent="0.25">
      <c r="A75646"/>
      <c r="B75646"/>
      <c r="C75646"/>
      <c r="E75646"/>
      <c r="F75646"/>
    </row>
    <row r="75647" spans="1:6" x14ac:dyDescent="0.25">
      <c r="A75647"/>
      <c r="B75647"/>
      <c r="C75647"/>
      <c r="E75647"/>
      <c r="F75647"/>
    </row>
    <row r="75648" spans="1:6" x14ac:dyDescent="0.25">
      <c r="A75648"/>
      <c r="B75648"/>
      <c r="C75648"/>
      <c r="E75648"/>
      <c r="F75648"/>
    </row>
    <row r="75649" spans="1:6" x14ac:dyDescent="0.25">
      <c r="A75649"/>
      <c r="B75649"/>
      <c r="C75649"/>
      <c r="E75649"/>
      <c r="F75649"/>
    </row>
    <row r="75650" spans="1:6" x14ac:dyDescent="0.25">
      <c r="A75650"/>
      <c r="B75650"/>
      <c r="C75650"/>
      <c r="E75650"/>
      <c r="F75650"/>
    </row>
    <row r="75651" spans="1:6" x14ac:dyDescent="0.25">
      <c r="A75651"/>
      <c r="B75651"/>
      <c r="C75651"/>
      <c r="E75651"/>
      <c r="F75651"/>
    </row>
    <row r="75652" spans="1:6" x14ac:dyDescent="0.25">
      <c r="A75652"/>
      <c r="B75652"/>
      <c r="C75652"/>
      <c r="E75652"/>
      <c r="F75652"/>
    </row>
    <row r="75653" spans="1:6" x14ac:dyDescent="0.25">
      <c r="A75653"/>
      <c r="B75653"/>
      <c r="C75653"/>
      <c r="E75653"/>
      <c r="F75653"/>
    </row>
    <row r="75654" spans="1:6" x14ac:dyDescent="0.25">
      <c r="A75654"/>
      <c r="B75654"/>
      <c r="C75654"/>
      <c r="E75654"/>
      <c r="F75654"/>
    </row>
    <row r="75655" spans="1:6" x14ac:dyDescent="0.25">
      <c r="A75655"/>
      <c r="B75655"/>
      <c r="C75655"/>
      <c r="E75655"/>
      <c r="F75655"/>
    </row>
    <row r="75656" spans="1:6" x14ac:dyDescent="0.25">
      <c r="A75656"/>
      <c r="B75656"/>
      <c r="C75656"/>
      <c r="E75656"/>
      <c r="F75656"/>
    </row>
    <row r="75657" spans="1:6" x14ac:dyDescent="0.25">
      <c r="A75657"/>
      <c r="B75657"/>
      <c r="C75657"/>
      <c r="E75657"/>
      <c r="F75657"/>
    </row>
    <row r="75658" spans="1:6" x14ac:dyDescent="0.25">
      <c r="A75658"/>
      <c r="B75658"/>
      <c r="C75658"/>
      <c r="E75658"/>
      <c r="F75658"/>
    </row>
    <row r="75659" spans="1:6" x14ac:dyDescent="0.25">
      <c r="A75659"/>
      <c r="B75659"/>
      <c r="C75659"/>
      <c r="E75659"/>
      <c r="F75659"/>
    </row>
    <row r="75660" spans="1:6" x14ac:dyDescent="0.25">
      <c r="A75660"/>
      <c r="B75660"/>
      <c r="C75660"/>
      <c r="E75660"/>
      <c r="F75660"/>
    </row>
    <row r="75661" spans="1:6" x14ac:dyDescent="0.25">
      <c r="A75661"/>
      <c r="B75661"/>
      <c r="C75661"/>
      <c r="E75661"/>
      <c r="F75661"/>
    </row>
    <row r="75662" spans="1:6" x14ac:dyDescent="0.25">
      <c r="A75662"/>
      <c r="B75662"/>
      <c r="C75662"/>
      <c r="E75662"/>
      <c r="F75662"/>
    </row>
    <row r="75663" spans="1:6" x14ac:dyDescent="0.25">
      <c r="A75663"/>
      <c r="B75663"/>
      <c r="C75663"/>
      <c r="E75663"/>
      <c r="F75663"/>
    </row>
    <row r="75664" spans="1:6" x14ac:dyDescent="0.25">
      <c r="A75664"/>
      <c r="B75664"/>
      <c r="C75664"/>
      <c r="E75664"/>
      <c r="F75664"/>
    </row>
    <row r="75665" spans="1:6" x14ac:dyDescent="0.25">
      <c r="A75665"/>
      <c r="B75665"/>
      <c r="C75665"/>
      <c r="E75665"/>
      <c r="F75665"/>
    </row>
    <row r="75666" spans="1:6" x14ac:dyDescent="0.25">
      <c r="A75666"/>
      <c r="B75666"/>
      <c r="C75666"/>
      <c r="E75666"/>
      <c r="F75666"/>
    </row>
    <row r="75667" spans="1:6" x14ac:dyDescent="0.25">
      <c r="A75667"/>
      <c r="B75667"/>
      <c r="C75667"/>
      <c r="E75667"/>
      <c r="F75667"/>
    </row>
    <row r="75668" spans="1:6" x14ac:dyDescent="0.25">
      <c r="A75668"/>
      <c r="B75668"/>
      <c r="C75668"/>
      <c r="E75668"/>
      <c r="F75668"/>
    </row>
    <row r="75669" spans="1:6" x14ac:dyDescent="0.25">
      <c r="A75669"/>
      <c r="B75669"/>
      <c r="C75669"/>
      <c r="E75669"/>
      <c r="F75669"/>
    </row>
    <row r="75670" spans="1:6" x14ac:dyDescent="0.25">
      <c r="A75670"/>
      <c r="B75670"/>
      <c r="C75670"/>
      <c r="E75670"/>
      <c r="F75670"/>
    </row>
    <row r="75671" spans="1:6" x14ac:dyDescent="0.25">
      <c r="A75671"/>
      <c r="B75671"/>
      <c r="C75671"/>
      <c r="E75671"/>
      <c r="F75671"/>
    </row>
    <row r="75672" spans="1:6" x14ac:dyDescent="0.25">
      <c r="A75672"/>
      <c r="B75672"/>
      <c r="C75672"/>
      <c r="E75672"/>
      <c r="F75672"/>
    </row>
    <row r="75673" spans="1:6" x14ac:dyDescent="0.25">
      <c r="A75673"/>
      <c r="B75673"/>
      <c r="C75673"/>
      <c r="E75673"/>
      <c r="F75673"/>
    </row>
    <row r="75674" spans="1:6" x14ac:dyDescent="0.25">
      <c r="A75674"/>
      <c r="B75674"/>
      <c r="C75674"/>
      <c r="E75674"/>
      <c r="F75674"/>
    </row>
    <row r="75675" spans="1:6" x14ac:dyDescent="0.25">
      <c r="A75675"/>
      <c r="B75675"/>
      <c r="C75675"/>
      <c r="E75675"/>
      <c r="F75675"/>
    </row>
    <row r="75676" spans="1:6" x14ac:dyDescent="0.25">
      <c r="A75676"/>
      <c r="B75676"/>
      <c r="C75676"/>
      <c r="E75676"/>
      <c r="F75676"/>
    </row>
    <row r="75677" spans="1:6" x14ac:dyDescent="0.25">
      <c r="A75677"/>
      <c r="B75677"/>
      <c r="C75677"/>
      <c r="E75677"/>
      <c r="F75677"/>
    </row>
    <row r="75678" spans="1:6" x14ac:dyDescent="0.25">
      <c r="A75678"/>
      <c r="B75678"/>
      <c r="C75678"/>
      <c r="E75678"/>
      <c r="F75678"/>
    </row>
    <row r="75679" spans="1:6" x14ac:dyDescent="0.25">
      <c r="A75679"/>
      <c r="B75679"/>
      <c r="C75679"/>
      <c r="E75679"/>
      <c r="F75679"/>
    </row>
    <row r="75680" spans="1:6" x14ac:dyDescent="0.25">
      <c r="A75680"/>
      <c r="B75680"/>
      <c r="C75680"/>
      <c r="E75680"/>
      <c r="F75680"/>
    </row>
    <row r="75681" spans="1:6" x14ac:dyDescent="0.25">
      <c r="A75681"/>
      <c r="B75681"/>
      <c r="C75681"/>
      <c r="E75681"/>
      <c r="F75681"/>
    </row>
    <row r="75682" spans="1:6" x14ac:dyDescent="0.25">
      <c r="A75682"/>
      <c r="B75682"/>
      <c r="C75682"/>
      <c r="E75682"/>
      <c r="F75682"/>
    </row>
    <row r="75683" spans="1:6" x14ac:dyDescent="0.25">
      <c r="A75683"/>
      <c r="B75683"/>
      <c r="C75683"/>
      <c r="E75683"/>
      <c r="F75683"/>
    </row>
    <row r="75684" spans="1:6" x14ac:dyDescent="0.25">
      <c r="A75684"/>
      <c r="B75684"/>
      <c r="C75684"/>
      <c r="E75684"/>
      <c r="F75684"/>
    </row>
    <row r="75685" spans="1:6" x14ac:dyDescent="0.25">
      <c r="A75685"/>
      <c r="B75685"/>
      <c r="C75685"/>
      <c r="E75685"/>
      <c r="F75685"/>
    </row>
    <row r="75686" spans="1:6" x14ac:dyDescent="0.25">
      <c r="A75686"/>
      <c r="B75686"/>
      <c r="C75686"/>
      <c r="E75686"/>
      <c r="F75686"/>
    </row>
    <row r="75687" spans="1:6" x14ac:dyDescent="0.25">
      <c r="A75687"/>
      <c r="B75687"/>
      <c r="C75687"/>
      <c r="E75687"/>
      <c r="F75687"/>
    </row>
    <row r="75688" spans="1:6" x14ac:dyDescent="0.25">
      <c r="A75688"/>
      <c r="B75688"/>
      <c r="C75688"/>
      <c r="E75688"/>
      <c r="F75688"/>
    </row>
    <row r="75689" spans="1:6" x14ac:dyDescent="0.25">
      <c r="A75689"/>
      <c r="B75689"/>
      <c r="C75689"/>
      <c r="E75689"/>
      <c r="F75689"/>
    </row>
    <row r="75690" spans="1:6" x14ac:dyDescent="0.25">
      <c r="A75690"/>
      <c r="B75690"/>
      <c r="C75690"/>
      <c r="E75690"/>
      <c r="F75690"/>
    </row>
    <row r="75691" spans="1:6" x14ac:dyDescent="0.25">
      <c r="A75691"/>
      <c r="B75691"/>
      <c r="C75691"/>
      <c r="E75691"/>
      <c r="F75691"/>
    </row>
    <row r="75692" spans="1:6" x14ac:dyDescent="0.25">
      <c r="A75692"/>
      <c r="B75692"/>
      <c r="C75692"/>
      <c r="E75692"/>
      <c r="F75692"/>
    </row>
    <row r="75693" spans="1:6" x14ac:dyDescent="0.25">
      <c r="A75693"/>
      <c r="B75693"/>
      <c r="C75693"/>
      <c r="E75693"/>
      <c r="F75693"/>
    </row>
    <row r="75694" spans="1:6" x14ac:dyDescent="0.25">
      <c r="A75694"/>
      <c r="B75694"/>
      <c r="C75694"/>
      <c r="E75694"/>
      <c r="F75694"/>
    </row>
    <row r="75695" spans="1:6" x14ac:dyDescent="0.25">
      <c r="A75695"/>
      <c r="B75695"/>
      <c r="C75695"/>
      <c r="E75695"/>
      <c r="F75695"/>
    </row>
    <row r="75696" spans="1:6" x14ac:dyDescent="0.25">
      <c r="A75696"/>
      <c r="B75696"/>
      <c r="C75696"/>
      <c r="E75696"/>
      <c r="F75696"/>
    </row>
    <row r="75697" spans="1:6" x14ac:dyDescent="0.25">
      <c r="A75697"/>
      <c r="B75697"/>
      <c r="C75697"/>
      <c r="E75697"/>
      <c r="F75697"/>
    </row>
    <row r="75698" spans="1:6" x14ac:dyDescent="0.25">
      <c r="A75698"/>
      <c r="B75698"/>
      <c r="C75698"/>
      <c r="E75698"/>
      <c r="F75698"/>
    </row>
    <row r="75699" spans="1:6" x14ac:dyDescent="0.25">
      <c r="A75699"/>
      <c r="B75699"/>
      <c r="C75699"/>
      <c r="E75699"/>
      <c r="F75699"/>
    </row>
    <row r="75700" spans="1:6" x14ac:dyDescent="0.25">
      <c r="A75700"/>
      <c r="B75700"/>
      <c r="C75700"/>
      <c r="E75700"/>
      <c r="F75700"/>
    </row>
    <row r="75701" spans="1:6" x14ac:dyDescent="0.25">
      <c r="A75701"/>
      <c r="B75701"/>
      <c r="C75701"/>
      <c r="E75701"/>
      <c r="F75701"/>
    </row>
    <row r="75702" spans="1:6" x14ac:dyDescent="0.25">
      <c r="A75702"/>
      <c r="B75702"/>
      <c r="C75702"/>
      <c r="E75702"/>
      <c r="F75702"/>
    </row>
    <row r="75703" spans="1:6" x14ac:dyDescent="0.25">
      <c r="A75703"/>
      <c r="B75703"/>
      <c r="C75703"/>
      <c r="E75703"/>
      <c r="F75703"/>
    </row>
    <row r="75704" spans="1:6" x14ac:dyDescent="0.25">
      <c r="A75704"/>
      <c r="B75704"/>
      <c r="C75704"/>
      <c r="E75704"/>
      <c r="F75704"/>
    </row>
    <row r="75705" spans="1:6" x14ac:dyDescent="0.25">
      <c r="A75705"/>
      <c r="B75705"/>
      <c r="C75705"/>
      <c r="E75705"/>
      <c r="F75705"/>
    </row>
    <row r="75706" spans="1:6" x14ac:dyDescent="0.25">
      <c r="A75706"/>
      <c r="B75706"/>
      <c r="C75706"/>
      <c r="E75706"/>
      <c r="F75706"/>
    </row>
    <row r="75707" spans="1:6" x14ac:dyDescent="0.25">
      <c r="A75707"/>
      <c r="B75707"/>
      <c r="C75707"/>
      <c r="E75707"/>
      <c r="F75707"/>
    </row>
    <row r="75708" spans="1:6" x14ac:dyDescent="0.25">
      <c r="A75708"/>
      <c r="B75708"/>
      <c r="C75708"/>
      <c r="E75708"/>
      <c r="F75708"/>
    </row>
    <row r="75709" spans="1:6" x14ac:dyDescent="0.25">
      <c r="A75709"/>
      <c r="B75709"/>
      <c r="C75709"/>
      <c r="E75709"/>
      <c r="F75709"/>
    </row>
    <row r="75710" spans="1:6" x14ac:dyDescent="0.25">
      <c r="A75710"/>
      <c r="B75710"/>
      <c r="C75710"/>
      <c r="E75710"/>
      <c r="F75710"/>
    </row>
    <row r="75711" spans="1:6" x14ac:dyDescent="0.25">
      <c r="A75711"/>
      <c r="B75711"/>
      <c r="C75711"/>
      <c r="E75711"/>
      <c r="F75711"/>
    </row>
    <row r="75712" spans="1:6" x14ac:dyDescent="0.25">
      <c r="A75712"/>
      <c r="B75712"/>
      <c r="C75712"/>
      <c r="E75712"/>
      <c r="F75712"/>
    </row>
    <row r="75713" spans="1:6" x14ac:dyDescent="0.25">
      <c r="A75713"/>
      <c r="B75713"/>
      <c r="C75713"/>
      <c r="E75713"/>
      <c r="F75713"/>
    </row>
    <row r="75714" spans="1:6" x14ac:dyDescent="0.25">
      <c r="A75714"/>
      <c r="B75714"/>
      <c r="C75714"/>
      <c r="E75714"/>
      <c r="F75714"/>
    </row>
    <row r="75715" spans="1:6" x14ac:dyDescent="0.25">
      <c r="A75715"/>
      <c r="B75715"/>
      <c r="C75715"/>
      <c r="E75715"/>
      <c r="F75715"/>
    </row>
    <row r="75716" spans="1:6" x14ac:dyDescent="0.25">
      <c r="A75716"/>
      <c r="B75716"/>
      <c r="C75716"/>
      <c r="E75716"/>
      <c r="F75716"/>
    </row>
    <row r="75717" spans="1:6" x14ac:dyDescent="0.25">
      <c r="A75717"/>
      <c r="B75717"/>
      <c r="C75717"/>
      <c r="E75717"/>
      <c r="F75717"/>
    </row>
    <row r="75718" spans="1:6" x14ac:dyDescent="0.25">
      <c r="A75718"/>
      <c r="B75718"/>
      <c r="C75718"/>
      <c r="E75718"/>
      <c r="F75718"/>
    </row>
    <row r="75719" spans="1:6" x14ac:dyDescent="0.25">
      <c r="A75719"/>
      <c r="B75719"/>
      <c r="C75719"/>
      <c r="E75719"/>
      <c r="F75719"/>
    </row>
    <row r="75720" spans="1:6" x14ac:dyDescent="0.25">
      <c r="A75720"/>
      <c r="B75720"/>
      <c r="C75720"/>
      <c r="E75720"/>
      <c r="F75720"/>
    </row>
    <row r="75721" spans="1:6" x14ac:dyDescent="0.25">
      <c r="A75721"/>
      <c r="B75721"/>
      <c r="C75721"/>
      <c r="E75721"/>
      <c r="F75721"/>
    </row>
    <row r="75722" spans="1:6" x14ac:dyDescent="0.25">
      <c r="A75722"/>
      <c r="B75722"/>
      <c r="C75722"/>
      <c r="E75722"/>
      <c r="F75722"/>
    </row>
    <row r="75723" spans="1:6" x14ac:dyDescent="0.25">
      <c r="A75723"/>
      <c r="B75723"/>
      <c r="C75723"/>
      <c r="E75723"/>
      <c r="F75723"/>
    </row>
    <row r="75724" spans="1:6" x14ac:dyDescent="0.25">
      <c r="A75724"/>
      <c r="B75724"/>
      <c r="C75724"/>
      <c r="E75724"/>
      <c r="F75724"/>
    </row>
    <row r="75725" spans="1:6" x14ac:dyDescent="0.25">
      <c r="A75725"/>
      <c r="B75725"/>
      <c r="C75725"/>
      <c r="E75725"/>
      <c r="F75725"/>
    </row>
    <row r="75726" spans="1:6" x14ac:dyDescent="0.25">
      <c r="A75726"/>
      <c r="B75726"/>
      <c r="C75726"/>
      <c r="E75726"/>
      <c r="F75726"/>
    </row>
    <row r="75727" spans="1:6" x14ac:dyDescent="0.25">
      <c r="A75727"/>
      <c r="B75727"/>
      <c r="C75727"/>
      <c r="E75727"/>
      <c r="F75727"/>
    </row>
    <row r="75728" spans="1:6" x14ac:dyDescent="0.25">
      <c r="A75728"/>
      <c r="B75728"/>
      <c r="C75728"/>
      <c r="E75728"/>
      <c r="F75728"/>
    </row>
    <row r="75729" spans="1:6" x14ac:dyDescent="0.25">
      <c r="A75729"/>
      <c r="B75729"/>
      <c r="C75729"/>
      <c r="E75729"/>
      <c r="F75729"/>
    </row>
    <row r="75730" spans="1:6" x14ac:dyDescent="0.25">
      <c r="A75730"/>
      <c r="B75730"/>
      <c r="C75730"/>
      <c r="E75730"/>
      <c r="F75730"/>
    </row>
    <row r="75731" spans="1:6" x14ac:dyDescent="0.25">
      <c r="A75731"/>
      <c r="B75731"/>
      <c r="C75731"/>
      <c r="E75731"/>
      <c r="F75731"/>
    </row>
    <row r="75732" spans="1:6" x14ac:dyDescent="0.25">
      <c r="A75732"/>
      <c r="B75732"/>
      <c r="C75732"/>
      <c r="E75732"/>
      <c r="F75732"/>
    </row>
    <row r="75733" spans="1:6" x14ac:dyDescent="0.25">
      <c r="A75733"/>
      <c r="B75733"/>
      <c r="C75733"/>
      <c r="E75733"/>
      <c r="F75733"/>
    </row>
    <row r="75734" spans="1:6" x14ac:dyDescent="0.25">
      <c r="A75734"/>
      <c r="B75734"/>
      <c r="C75734"/>
      <c r="E75734"/>
      <c r="F75734"/>
    </row>
    <row r="75735" spans="1:6" x14ac:dyDescent="0.25">
      <c r="A75735"/>
      <c r="B75735"/>
      <c r="C75735"/>
      <c r="E75735"/>
      <c r="F75735"/>
    </row>
    <row r="75736" spans="1:6" x14ac:dyDescent="0.25">
      <c r="A75736"/>
      <c r="B75736"/>
      <c r="C75736"/>
      <c r="E75736"/>
      <c r="F75736"/>
    </row>
    <row r="75737" spans="1:6" x14ac:dyDescent="0.25">
      <c r="A75737"/>
      <c r="B75737"/>
      <c r="C75737"/>
      <c r="E75737"/>
      <c r="F75737"/>
    </row>
    <row r="75738" spans="1:6" x14ac:dyDescent="0.25">
      <c r="A75738"/>
      <c r="B75738"/>
      <c r="C75738"/>
      <c r="E75738"/>
      <c r="F75738"/>
    </row>
    <row r="75739" spans="1:6" x14ac:dyDescent="0.25">
      <c r="A75739"/>
      <c r="B75739"/>
      <c r="C75739"/>
      <c r="E75739"/>
      <c r="F75739"/>
    </row>
    <row r="75740" spans="1:6" x14ac:dyDescent="0.25">
      <c r="A75740"/>
      <c r="B75740"/>
      <c r="C75740"/>
      <c r="E75740"/>
      <c r="F75740"/>
    </row>
    <row r="75741" spans="1:6" x14ac:dyDescent="0.25">
      <c r="A75741"/>
      <c r="B75741"/>
      <c r="C75741"/>
      <c r="E75741"/>
      <c r="F75741"/>
    </row>
    <row r="75742" spans="1:6" x14ac:dyDescent="0.25">
      <c r="A75742"/>
      <c r="B75742"/>
      <c r="C75742"/>
      <c r="E75742"/>
      <c r="F75742"/>
    </row>
    <row r="75743" spans="1:6" x14ac:dyDescent="0.25">
      <c r="A75743"/>
      <c r="B75743"/>
      <c r="C75743"/>
      <c r="E75743"/>
      <c r="F75743"/>
    </row>
    <row r="75744" spans="1:6" x14ac:dyDescent="0.25">
      <c r="A75744"/>
      <c r="B75744"/>
      <c r="C75744"/>
      <c r="E75744"/>
      <c r="F75744"/>
    </row>
    <row r="75745" spans="1:6" x14ac:dyDescent="0.25">
      <c r="A75745"/>
      <c r="B75745"/>
      <c r="C75745"/>
      <c r="E75745"/>
      <c r="F75745"/>
    </row>
    <row r="75746" spans="1:6" x14ac:dyDescent="0.25">
      <c r="A75746"/>
      <c r="B75746"/>
      <c r="C75746"/>
      <c r="E75746"/>
      <c r="F75746"/>
    </row>
    <row r="75747" spans="1:6" x14ac:dyDescent="0.25">
      <c r="A75747"/>
      <c r="B75747"/>
      <c r="C75747"/>
      <c r="E75747"/>
      <c r="F75747"/>
    </row>
    <row r="75748" spans="1:6" x14ac:dyDescent="0.25">
      <c r="A75748"/>
      <c r="B75748"/>
      <c r="C75748"/>
      <c r="E75748"/>
      <c r="F75748"/>
    </row>
    <row r="75749" spans="1:6" x14ac:dyDescent="0.25">
      <c r="A75749"/>
      <c r="B75749"/>
      <c r="C75749"/>
      <c r="E75749"/>
      <c r="F75749"/>
    </row>
    <row r="75750" spans="1:6" x14ac:dyDescent="0.25">
      <c r="A75750"/>
      <c r="B75750"/>
      <c r="C75750"/>
      <c r="E75750"/>
      <c r="F75750"/>
    </row>
    <row r="75751" spans="1:6" x14ac:dyDescent="0.25">
      <c r="A75751"/>
      <c r="B75751"/>
      <c r="C75751"/>
      <c r="E75751"/>
      <c r="F75751"/>
    </row>
    <row r="75752" spans="1:6" x14ac:dyDescent="0.25">
      <c r="A75752"/>
      <c r="B75752"/>
      <c r="C75752"/>
      <c r="E75752"/>
      <c r="F75752"/>
    </row>
    <row r="75753" spans="1:6" x14ac:dyDescent="0.25">
      <c r="A75753"/>
      <c r="B75753"/>
      <c r="C75753"/>
      <c r="E75753"/>
      <c r="F75753"/>
    </row>
    <row r="75754" spans="1:6" x14ac:dyDescent="0.25">
      <c r="A75754"/>
      <c r="B75754"/>
      <c r="C75754"/>
      <c r="E75754"/>
      <c r="F75754"/>
    </row>
    <row r="75755" spans="1:6" x14ac:dyDescent="0.25">
      <c r="A75755"/>
      <c r="B75755"/>
      <c r="C75755"/>
      <c r="E75755"/>
      <c r="F75755"/>
    </row>
    <row r="75756" spans="1:6" x14ac:dyDescent="0.25">
      <c r="A75756"/>
      <c r="B75756"/>
      <c r="C75756"/>
      <c r="E75756"/>
      <c r="F75756"/>
    </row>
    <row r="75757" spans="1:6" x14ac:dyDescent="0.25">
      <c r="A75757"/>
      <c r="B75757"/>
      <c r="C75757"/>
      <c r="E75757"/>
      <c r="F75757"/>
    </row>
    <row r="75758" spans="1:6" x14ac:dyDescent="0.25">
      <c r="A75758"/>
      <c r="B75758"/>
      <c r="C75758"/>
      <c r="E75758"/>
      <c r="F75758"/>
    </row>
    <row r="75759" spans="1:6" x14ac:dyDescent="0.25">
      <c r="A75759"/>
      <c r="B75759"/>
      <c r="C75759"/>
      <c r="E75759"/>
      <c r="F75759"/>
    </row>
    <row r="75760" spans="1:6" x14ac:dyDescent="0.25">
      <c r="A75760"/>
      <c r="B75760"/>
      <c r="C75760"/>
      <c r="E75760"/>
      <c r="F75760"/>
    </row>
    <row r="75761" spans="1:6" x14ac:dyDescent="0.25">
      <c r="A75761"/>
      <c r="B75761"/>
      <c r="C75761"/>
      <c r="E75761"/>
      <c r="F75761"/>
    </row>
    <row r="75762" spans="1:6" x14ac:dyDescent="0.25">
      <c r="A75762"/>
      <c r="B75762"/>
      <c r="C75762"/>
      <c r="E75762"/>
      <c r="F75762"/>
    </row>
    <row r="75763" spans="1:6" x14ac:dyDescent="0.25">
      <c r="A75763"/>
      <c r="B75763"/>
      <c r="C75763"/>
      <c r="E75763"/>
      <c r="F75763"/>
    </row>
    <row r="75764" spans="1:6" x14ac:dyDescent="0.25">
      <c r="A75764"/>
      <c r="B75764"/>
      <c r="C75764"/>
      <c r="E75764"/>
      <c r="F75764"/>
    </row>
    <row r="75765" spans="1:6" x14ac:dyDescent="0.25">
      <c r="A75765"/>
      <c r="B75765"/>
      <c r="C75765"/>
      <c r="E75765"/>
      <c r="F75765"/>
    </row>
    <row r="75766" spans="1:6" x14ac:dyDescent="0.25">
      <c r="A75766"/>
      <c r="B75766"/>
      <c r="C75766"/>
      <c r="E75766"/>
      <c r="F75766"/>
    </row>
    <row r="75767" spans="1:6" x14ac:dyDescent="0.25">
      <c r="A75767"/>
      <c r="B75767"/>
      <c r="C75767"/>
      <c r="E75767"/>
      <c r="F75767"/>
    </row>
    <row r="75768" spans="1:6" x14ac:dyDescent="0.25">
      <c r="A75768"/>
      <c r="B75768"/>
      <c r="C75768"/>
      <c r="E75768"/>
      <c r="F75768"/>
    </row>
    <row r="75769" spans="1:6" x14ac:dyDescent="0.25">
      <c r="A75769"/>
      <c r="B75769"/>
      <c r="C75769"/>
      <c r="E75769"/>
      <c r="F75769"/>
    </row>
    <row r="75770" spans="1:6" x14ac:dyDescent="0.25">
      <c r="A75770"/>
      <c r="B75770"/>
      <c r="C75770"/>
      <c r="E75770"/>
      <c r="F75770"/>
    </row>
    <row r="75771" spans="1:6" x14ac:dyDescent="0.25">
      <c r="A75771"/>
      <c r="B75771"/>
      <c r="C75771"/>
      <c r="E75771"/>
      <c r="F75771"/>
    </row>
    <row r="75772" spans="1:6" x14ac:dyDescent="0.25">
      <c r="A75772"/>
      <c r="B75772"/>
      <c r="C75772"/>
      <c r="E75772"/>
      <c r="F75772"/>
    </row>
    <row r="75773" spans="1:6" x14ac:dyDescent="0.25">
      <c r="A75773"/>
      <c r="B75773"/>
      <c r="C75773"/>
      <c r="E75773"/>
      <c r="F75773"/>
    </row>
    <row r="75774" spans="1:6" x14ac:dyDescent="0.25">
      <c r="A75774"/>
      <c r="B75774"/>
      <c r="C75774"/>
      <c r="E75774"/>
      <c r="F75774"/>
    </row>
    <row r="75775" spans="1:6" x14ac:dyDescent="0.25">
      <c r="A75775"/>
      <c r="B75775"/>
      <c r="C75775"/>
      <c r="E75775"/>
      <c r="F75775"/>
    </row>
    <row r="75776" spans="1:6" x14ac:dyDescent="0.25">
      <c r="A75776"/>
      <c r="B75776"/>
      <c r="C75776"/>
      <c r="E75776"/>
      <c r="F75776"/>
    </row>
    <row r="75777" spans="1:6" x14ac:dyDescent="0.25">
      <c r="A75777"/>
      <c r="B75777"/>
      <c r="C75777"/>
      <c r="E75777"/>
      <c r="F75777"/>
    </row>
    <row r="75778" spans="1:6" x14ac:dyDescent="0.25">
      <c r="A75778"/>
      <c r="B75778"/>
      <c r="C75778"/>
      <c r="E75778"/>
      <c r="F75778"/>
    </row>
    <row r="75779" spans="1:6" x14ac:dyDescent="0.25">
      <c r="A75779"/>
      <c r="B75779"/>
      <c r="C75779"/>
      <c r="E75779"/>
      <c r="F75779"/>
    </row>
    <row r="75780" spans="1:6" x14ac:dyDescent="0.25">
      <c r="A75780"/>
      <c r="B75780"/>
      <c r="C75780"/>
      <c r="E75780"/>
      <c r="F75780"/>
    </row>
    <row r="75781" spans="1:6" x14ac:dyDescent="0.25">
      <c r="A75781"/>
      <c r="B75781"/>
      <c r="C75781"/>
      <c r="E75781"/>
      <c r="F75781"/>
    </row>
    <row r="75782" spans="1:6" x14ac:dyDescent="0.25">
      <c r="A75782"/>
      <c r="B75782"/>
      <c r="C75782"/>
      <c r="E75782"/>
      <c r="F75782"/>
    </row>
    <row r="75783" spans="1:6" x14ac:dyDescent="0.25">
      <c r="A75783"/>
      <c r="B75783"/>
      <c r="C75783"/>
      <c r="E75783"/>
      <c r="F75783"/>
    </row>
    <row r="75784" spans="1:6" x14ac:dyDescent="0.25">
      <c r="A75784"/>
      <c r="B75784"/>
      <c r="C75784"/>
      <c r="E75784"/>
      <c r="F75784"/>
    </row>
    <row r="75785" spans="1:6" x14ac:dyDescent="0.25">
      <c r="A75785"/>
      <c r="B75785"/>
      <c r="C75785"/>
      <c r="E75785"/>
      <c r="F75785"/>
    </row>
    <row r="75786" spans="1:6" x14ac:dyDescent="0.25">
      <c r="A75786"/>
      <c r="B75786"/>
      <c r="C75786"/>
      <c r="E75786"/>
      <c r="F75786"/>
    </row>
    <row r="75787" spans="1:6" x14ac:dyDescent="0.25">
      <c r="A75787"/>
      <c r="B75787"/>
      <c r="C75787"/>
      <c r="E75787"/>
      <c r="F75787"/>
    </row>
    <row r="75788" spans="1:6" x14ac:dyDescent="0.25">
      <c r="A75788"/>
      <c r="B75788"/>
      <c r="C75788"/>
      <c r="E75788"/>
      <c r="F75788"/>
    </row>
    <row r="75789" spans="1:6" x14ac:dyDescent="0.25">
      <c r="A75789"/>
      <c r="B75789"/>
      <c r="C75789"/>
      <c r="E75789"/>
      <c r="F75789"/>
    </row>
    <row r="75790" spans="1:6" x14ac:dyDescent="0.25">
      <c r="A75790"/>
      <c r="B75790"/>
      <c r="C75790"/>
      <c r="E75790"/>
      <c r="F75790"/>
    </row>
    <row r="75791" spans="1:6" x14ac:dyDescent="0.25">
      <c r="A75791"/>
      <c r="B75791"/>
      <c r="C75791"/>
      <c r="E75791"/>
      <c r="F75791"/>
    </row>
    <row r="75792" spans="1:6" x14ac:dyDescent="0.25">
      <c r="A75792"/>
      <c r="B75792"/>
      <c r="C75792"/>
      <c r="E75792"/>
      <c r="F75792"/>
    </row>
    <row r="75793" spans="1:6" x14ac:dyDescent="0.25">
      <c r="A75793"/>
      <c r="B75793"/>
      <c r="C75793"/>
      <c r="E75793"/>
      <c r="F75793"/>
    </row>
    <row r="75794" spans="1:6" x14ac:dyDescent="0.25">
      <c r="A75794"/>
      <c r="B75794"/>
      <c r="C75794"/>
      <c r="E75794"/>
      <c r="F75794"/>
    </row>
    <row r="75795" spans="1:6" x14ac:dyDescent="0.25">
      <c r="A75795"/>
      <c r="B75795"/>
      <c r="C75795"/>
      <c r="E75795"/>
      <c r="F75795"/>
    </row>
    <row r="75796" spans="1:6" x14ac:dyDescent="0.25">
      <c r="A75796"/>
      <c r="B75796"/>
      <c r="C75796"/>
      <c r="E75796"/>
      <c r="F75796"/>
    </row>
    <row r="75797" spans="1:6" x14ac:dyDescent="0.25">
      <c r="A75797"/>
      <c r="B75797"/>
      <c r="C75797"/>
      <c r="E75797"/>
      <c r="F75797"/>
    </row>
    <row r="75798" spans="1:6" x14ac:dyDescent="0.25">
      <c r="A75798"/>
      <c r="B75798"/>
      <c r="C75798"/>
      <c r="E75798"/>
      <c r="F75798"/>
    </row>
    <row r="75799" spans="1:6" x14ac:dyDescent="0.25">
      <c r="A75799"/>
      <c r="B75799"/>
      <c r="C75799"/>
      <c r="E75799"/>
      <c r="F75799"/>
    </row>
    <row r="75800" spans="1:6" x14ac:dyDescent="0.25">
      <c r="A75800"/>
      <c r="B75800"/>
      <c r="C75800"/>
      <c r="E75800"/>
      <c r="F75800"/>
    </row>
    <row r="75801" spans="1:6" x14ac:dyDescent="0.25">
      <c r="A75801"/>
      <c r="B75801"/>
      <c r="C75801"/>
      <c r="E75801"/>
      <c r="F75801"/>
    </row>
    <row r="75802" spans="1:6" x14ac:dyDescent="0.25">
      <c r="A75802"/>
      <c r="B75802"/>
      <c r="C75802"/>
      <c r="E75802"/>
      <c r="F75802"/>
    </row>
    <row r="75803" spans="1:6" x14ac:dyDescent="0.25">
      <c r="A75803"/>
      <c r="B75803"/>
      <c r="C75803"/>
      <c r="E75803"/>
      <c r="F75803"/>
    </row>
    <row r="75804" spans="1:6" x14ac:dyDescent="0.25">
      <c r="A75804"/>
      <c r="B75804"/>
      <c r="C75804"/>
      <c r="E75804"/>
      <c r="F75804"/>
    </row>
    <row r="75805" spans="1:6" x14ac:dyDescent="0.25">
      <c r="A75805"/>
      <c r="B75805"/>
      <c r="C75805"/>
      <c r="E75805"/>
      <c r="F75805"/>
    </row>
    <row r="75806" spans="1:6" x14ac:dyDescent="0.25">
      <c r="A75806"/>
      <c r="B75806"/>
      <c r="C75806"/>
      <c r="E75806"/>
      <c r="F75806"/>
    </row>
    <row r="75807" spans="1:6" x14ac:dyDescent="0.25">
      <c r="A75807"/>
      <c r="B75807"/>
      <c r="C75807"/>
      <c r="E75807"/>
      <c r="F75807"/>
    </row>
    <row r="75808" spans="1:6" x14ac:dyDescent="0.25">
      <c r="A75808"/>
      <c r="B75808"/>
      <c r="C75808"/>
      <c r="E75808"/>
      <c r="F75808"/>
    </row>
    <row r="75809" spans="1:6" x14ac:dyDescent="0.25">
      <c r="A75809"/>
      <c r="B75809"/>
      <c r="C75809"/>
      <c r="E75809"/>
      <c r="F75809"/>
    </row>
    <row r="75810" spans="1:6" x14ac:dyDescent="0.25">
      <c r="A75810"/>
      <c r="B75810"/>
      <c r="C75810"/>
      <c r="E75810"/>
      <c r="F75810"/>
    </row>
    <row r="75811" spans="1:6" x14ac:dyDescent="0.25">
      <c r="A75811"/>
      <c r="B75811"/>
      <c r="C75811"/>
      <c r="E75811"/>
      <c r="F75811"/>
    </row>
    <row r="75812" spans="1:6" x14ac:dyDescent="0.25">
      <c r="A75812"/>
      <c r="B75812"/>
      <c r="C75812"/>
      <c r="E75812"/>
      <c r="F75812"/>
    </row>
    <row r="75813" spans="1:6" x14ac:dyDescent="0.25">
      <c r="A75813"/>
      <c r="B75813"/>
      <c r="C75813"/>
      <c r="E75813"/>
      <c r="F75813"/>
    </row>
    <row r="75814" spans="1:6" x14ac:dyDescent="0.25">
      <c r="A75814"/>
      <c r="B75814"/>
      <c r="C75814"/>
      <c r="E75814"/>
      <c r="F75814"/>
    </row>
    <row r="75815" spans="1:6" x14ac:dyDescent="0.25">
      <c r="A75815"/>
      <c r="B75815"/>
      <c r="C75815"/>
      <c r="E75815"/>
      <c r="F75815"/>
    </row>
    <row r="75816" spans="1:6" x14ac:dyDescent="0.25">
      <c r="A75816"/>
      <c r="B75816"/>
      <c r="C75816"/>
      <c r="E75816"/>
      <c r="F75816"/>
    </row>
    <row r="75817" spans="1:6" x14ac:dyDescent="0.25">
      <c r="A75817"/>
      <c r="B75817"/>
      <c r="C75817"/>
      <c r="E75817"/>
      <c r="F75817"/>
    </row>
    <row r="75818" spans="1:6" x14ac:dyDescent="0.25">
      <c r="A75818"/>
      <c r="B75818"/>
      <c r="C75818"/>
      <c r="E75818"/>
      <c r="F75818"/>
    </row>
    <row r="75819" spans="1:6" x14ac:dyDescent="0.25">
      <c r="A75819"/>
      <c r="B75819"/>
      <c r="C75819"/>
      <c r="E75819"/>
      <c r="F75819"/>
    </row>
    <row r="75820" spans="1:6" x14ac:dyDescent="0.25">
      <c r="A75820"/>
      <c r="B75820"/>
      <c r="C75820"/>
      <c r="E75820"/>
      <c r="F75820"/>
    </row>
    <row r="75821" spans="1:6" x14ac:dyDescent="0.25">
      <c r="A75821"/>
      <c r="B75821"/>
      <c r="C75821"/>
      <c r="E75821"/>
      <c r="F75821"/>
    </row>
    <row r="75822" spans="1:6" x14ac:dyDescent="0.25">
      <c r="A75822"/>
      <c r="B75822"/>
      <c r="C75822"/>
      <c r="E75822"/>
      <c r="F75822"/>
    </row>
    <row r="75823" spans="1:6" x14ac:dyDescent="0.25">
      <c r="A75823"/>
      <c r="B75823"/>
      <c r="C75823"/>
      <c r="E75823"/>
      <c r="F75823"/>
    </row>
    <row r="75824" spans="1:6" x14ac:dyDescent="0.25">
      <c r="A75824"/>
      <c r="B75824"/>
      <c r="C75824"/>
      <c r="E75824"/>
      <c r="F75824"/>
    </row>
    <row r="75825" spans="1:6" x14ac:dyDescent="0.25">
      <c r="A75825"/>
      <c r="B75825"/>
      <c r="C75825"/>
      <c r="E75825"/>
      <c r="F75825"/>
    </row>
    <row r="75826" spans="1:6" x14ac:dyDescent="0.25">
      <c r="A75826"/>
      <c r="B75826"/>
      <c r="C75826"/>
      <c r="E75826"/>
      <c r="F75826"/>
    </row>
    <row r="75827" spans="1:6" x14ac:dyDescent="0.25">
      <c r="A75827"/>
      <c r="B75827"/>
      <c r="C75827"/>
      <c r="E75827"/>
      <c r="F75827"/>
    </row>
    <row r="75828" spans="1:6" x14ac:dyDescent="0.25">
      <c r="A75828"/>
      <c r="B75828"/>
      <c r="C75828"/>
      <c r="E75828"/>
      <c r="F75828"/>
    </row>
    <row r="75829" spans="1:6" x14ac:dyDescent="0.25">
      <c r="A75829"/>
      <c r="B75829"/>
      <c r="C75829"/>
      <c r="E75829"/>
      <c r="F75829"/>
    </row>
    <row r="75830" spans="1:6" x14ac:dyDescent="0.25">
      <c r="A75830"/>
      <c r="B75830"/>
      <c r="C75830"/>
      <c r="E75830"/>
      <c r="F75830"/>
    </row>
    <row r="75831" spans="1:6" x14ac:dyDescent="0.25">
      <c r="A75831"/>
      <c r="B75831"/>
      <c r="C75831"/>
      <c r="E75831"/>
      <c r="F75831"/>
    </row>
    <row r="75832" spans="1:6" x14ac:dyDescent="0.25">
      <c r="A75832"/>
      <c r="B75832"/>
      <c r="C75832"/>
      <c r="E75832"/>
      <c r="F75832"/>
    </row>
    <row r="75833" spans="1:6" x14ac:dyDescent="0.25">
      <c r="A75833"/>
      <c r="B75833"/>
      <c r="C75833"/>
      <c r="E75833"/>
      <c r="F75833"/>
    </row>
    <row r="75834" spans="1:6" x14ac:dyDescent="0.25">
      <c r="A75834"/>
      <c r="B75834"/>
      <c r="C75834"/>
      <c r="E75834"/>
      <c r="F75834"/>
    </row>
    <row r="75835" spans="1:6" x14ac:dyDescent="0.25">
      <c r="A75835"/>
      <c r="B75835"/>
      <c r="C75835"/>
      <c r="E75835"/>
      <c r="F75835"/>
    </row>
    <row r="75836" spans="1:6" x14ac:dyDescent="0.25">
      <c r="A75836"/>
      <c r="B75836"/>
      <c r="C75836"/>
      <c r="E75836"/>
      <c r="F75836"/>
    </row>
    <row r="75837" spans="1:6" x14ac:dyDescent="0.25">
      <c r="A75837"/>
      <c r="B75837"/>
      <c r="C75837"/>
      <c r="E75837"/>
      <c r="F75837"/>
    </row>
    <row r="75838" spans="1:6" x14ac:dyDescent="0.25">
      <c r="A75838"/>
      <c r="B75838"/>
      <c r="C75838"/>
      <c r="E75838"/>
      <c r="F75838"/>
    </row>
    <row r="75839" spans="1:6" x14ac:dyDescent="0.25">
      <c r="A75839"/>
      <c r="B75839"/>
      <c r="C75839"/>
      <c r="E75839"/>
      <c r="F75839"/>
    </row>
    <row r="75840" spans="1:6" x14ac:dyDescent="0.25">
      <c r="A75840"/>
      <c r="B75840"/>
      <c r="C75840"/>
      <c r="E75840"/>
      <c r="F75840"/>
    </row>
    <row r="75841" spans="1:6" x14ac:dyDescent="0.25">
      <c r="A75841"/>
      <c r="B75841"/>
      <c r="C75841"/>
      <c r="E75841"/>
      <c r="F75841"/>
    </row>
    <row r="75842" spans="1:6" x14ac:dyDescent="0.25">
      <c r="A75842"/>
      <c r="B75842"/>
      <c r="C75842"/>
      <c r="E75842"/>
      <c r="F75842"/>
    </row>
    <row r="75843" spans="1:6" x14ac:dyDescent="0.25">
      <c r="A75843"/>
      <c r="B75843"/>
      <c r="C75843"/>
      <c r="E75843"/>
      <c r="F75843"/>
    </row>
    <row r="75844" spans="1:6" x14ac:dyDescent="0.25">
      <c r="A75844"/>
      <c r="B75844"/>
      <c r="C75844"/>
      <c r="E75844"/>
      <c r="F75844"/>
    </row>
    <row r="75845" spans="1:6" x14ac:dyDescent="0.25">
      <c r="A75845"/>
      <c r="B75845"/>
      <c r="C75845"/>
      <c r="E75845"/>
      <c r="F75845"/>
    </row>
    <row r="75846" spans="1:6" x14ac:dyDescent="0.25">
      <c r="A75846"/>
      <c r="B75846"/>
      <c r="C75846"/>
      <c r="E75846"/>
      <c r="F75846"/>
    </row>
    <row r="75847" spans="1:6" x14ac:dyDescent="0.25">
      <c r="A75847"/>
      <c r="B75847"/>
      <c r="C75847"/>
      <c r="E75847"/>
      <c r="F75847"/>
    </row>
    <row r="75848" spans="1:6" x14ac:dyDescent="0.25">
      <c r="A75848"/>
      <c r="B75848"/>
      <c r="C75848"/>
      <c r="E75848"/>
      <c r="F75848"/>
    </row>
    <row r="75849" spans="1:6" x14ac:dyDescent="0.25">
      <c r="A75849"/>
      <c r="B75849"/>
      <c r="C75849"/>
      <c r="E75849"/>
      <c r="F75849"/>
    </row>
    <row r="75850" spans="1:6" x14ac:dyDescent="0.25">
      <c r="A75850"/>
      <c r="B75850"/>
      <c r="C75850"/>
      <c r="E75850"/>
      <c r="F75850"/>
    </row>
    <row r="75851" spans="1:6" x14ac:dyDescent="0.25">
      <c r="A75851"/>
      <c r="B75851"/>
      <c r="C75851"/>
      <c r="E75851"/>
      <c r="F75851"/>
    </row>
    <row r="75852" spans="1:6" x14ac:dyDescent="0.25">
      <c r="A75852"/>
      <c r="B75852"/>
      <c r="C75852"/>
      <c r="E75852"/>
      <c r="F75852"/>
    </row>
    <row r="75853" spans="1:6" x14ac:dyDescent="0.25">
      <c r="A75853"/>
      <c r="B75853"/>
      <c r="C75853"/>
      <c r="E75853"/>
      <c r="F75853"/>
    </row>
    <row r="75854" spans="1:6" x14ac:dyDescent="0.25">
      <c r="A75854"/>
      <c r="B75854"/>
      <c r="C75854"/>
      <c r="E75854"/>
      <c r="F75854"/>
    </row>
    <row r="75855" spans="1:6" x14ac:dyDescent="0.25">
      <c r="A75855"/>
      <c r="B75855"/>
      <c r="C75855"/>
      <c r="E75855"/>
      <c r="F75855"/>
    </row>
    <row r="75856" spans="1:6" x14ac:dyDescent="0.25">
      <c r="A75856"/>
      <c r="B75856"/>
      <c r="C75856"/>
      <c r="E75856"/>
      <c r="F75856"/>
    </row>
    <row r="75857" spans="1:6" x14ac:dyDescent="0.25">
      <c r="A75857"/>
      <c r="B75857"/>
      <c r="C75857"/>
      <c r="E75857"/>
      <c r="F75857"/>
    </row>
    <row r="75858" spans="1:6" x14ac:dyDescent="0.25">
      <c r="A75858"/>
      <c r="B75858"/>
      <c r="C75858"/>
      <c r="E75858"/>
      <c r="F75858"/>
    </row>
    <row r="75859" spans="1:6" x14ac:dyDescent="0.25">
      <c r="A75859"/>
      <c r="B75859"/>
      <c r="C75859"/>
      <c r="E75859"/>
      <c r="F75859"/>
    </row>
    <row r="75860" spans="1:6" x14ac:dyDescent="0.25">
      <c r="A75860"/>
      <c r="B75860"/>
      <c r="C75860"/>
      <c r="E75860"/>
      <c r="F75860"/>
    </row>
    <row r="75861" spans="1:6" x14ac:dyDescent="0.25">
      <c r="A75861"/>
      <c r="B75861"/>
      <c r="C75861"/>
      <c r="E75861"/>
      <c r="F75861"/>
    </row>
    <row r="75862" spans="1:6" x14ac:dyDescent="0.25">
      <c r="A75862"/>
      <c r="B75862"/>
      <c r="C75862"/>
      <c r="E75862"/>
      <c r="F75862"/>
    </row>
    <row r="75863" spans="1:6" x14ac:dyDescent="0.25">
      <c r="A75863"/>
      <c r="B75863"/>
      <c r="C75863"/>
      <c r="E75863"/>
      <c r="F75863"/>
    </row>
    <row r="75864" spans="1:6" x14ac:dyDescent="0.25">
      <c r="A75864"/>
      <c r="B75864"/>
      <c r="C75864"/>
      <c r="E75864"/>
      <c r="F75864"/>
    </row>
    <row r="75865" spans="1:6" x14ac:dyDescent="0.25">
      <c r="A75865"/>
      <c r="B75865"/>
      <c r="C75865"/>
      <c r="E75865"/>
      <c r="F75865"/>
    </row>
    <row r="75866" spans="1:6" x14ac:dyDescent="0.25">
      <c r="A75866"/>
      <c r="B75866"/>
      <c r="C75866"/>
      <c r="E75866"/>
      <c r="F75866"/>
    </row>
    <row r="75867" spans="1:6" x14ac:dyDescent="0.25">
      <c r="A75867"/>
      <c r="B75867"/>
      <c r="C75867"/>
      <c r="E75867"/>
      <c r="F75867"/>
    </row>
    <row r="75868" spans="1:6" x14ac:dyDescent="0.25">
      <c r="A75868"/>
      <c r="B75868"/>
      <c r="C75868"/>
      <c r="E75868"/>
      <c r="F75868"/>
    </row>
    <row r="75869" spans="1:6" x14ac:dyDescent="0.25">
      <c r="A75869"/>
      <c r="B75869"/>
      <c r="C75869"/>
      <c r="E75869"/>
      <c r="F75869"/>
    </row>
    <row r="75870" spans="1:6" x14ac:dyDescent="0.25">
      <c r="A75870"/>
      <c r="B75870"/>
      <c r="C75870"/>
      <c r="E75870"/>
      <c r="F75870"/>
    </row>
    <row r="75871" spans="1:6" x14ac:dyDescent="0.25">
      <c r="A75871"/>
      <c r="B75871"/>
      <c r="C75871"/>
      <c r="E75871"/>
      <c r="F75871"/>
    </row>
    <row r="75872" spans="1:6" x14ac:dyDescent="0.25">
      <c r="A75872"/>
      <c r="B75872"/>
      <c r="C75872"/>
      <c r="E75872"/>
      <c r="F75872"/>
    </row>
    <row r="75873" spans="1:6" x14ac:dyDescent="0.25">
      <c r="A75873"/>
      <c r="B75873"/>
      <c r="C75873"/>
      <c r="E75873"/>
      <c r="F75873"/>
    </row>
    <row r="75874" spans="1:6" x14ac:dyDescent="0.25">
      <c r="A75874"/>
      <c r="B75874"/>
      <c r="C75874"/>
      <c r="E75874"/>
      <c r="F75874"/>
    </row>
    <row r="75875" spans="1:6" x14ac:dyDescent="0.25">
      <c r="A75875"/>
      <c r="B75875"/>
      <c r="C75875"/>
      <c r="E75875"/>
      <c r="F75875"/>
    </row>
    <row r="75876" spans="1:6" x14ac:dyDescent="0.25">
      <c r="A75876"/>
      <c r="B75876"/>
      <c r="C75876"/>
      <c r="E75876"/>
      <c r="F75876"/>
    </row>
    <row r="75877" spans="1:6" x14ac:dyDescent="0.25">
      <c r="A75877"/>
      <c r="B75877"/>
      <c r="C75877"/>
      <c r="E75877"/>
      <c r="F75877"/>
    </row>
    <row r="75878" spans="1:6" x14ac:dyDescent="0.25">
      <c r="A75878"/>
      <c r="B75878"/>
      <c r="C75878"/>
      <c r="E75878"/>
      <c r="F75878"/>
    </row>
    <row r="75879" spans="1:6" x14ac:dyDescent="0.25">
      <c r="A75879"/>
      <c r="B75879"/>
      <c r="C75879"/>
      <c r="E75879"/>
      <c r="F75879"/>
    </row>
    <row r="75880" spans="1:6" x14ac:dyDescent="0.25">
      <c r="A75880"/>
      <c r="B75880"/>
      <c r="C75880"/>
      <c r="E75880"/>
      <c r="F75880"/>
    </row>
    <row r="75881" spans="1:6" x14ac:dyDescent="0.25">
      <c r="A75881"/>
      <c r="B75881"/>
      <c r="C75881"/>
      <c r="E75881"/>
      <c r="F75881"/>
    </row>
    <row r="75882" spans="1:6" x14ac:dyDescent="0.25">
      <c r="A75882"/>
      <c r="B75882"/>
      <c r="C75882"/>
      <c r="E75882"/>
      <c r="F75882"/>
    </row>
    <row r="75883" spans="1:6" x14ac:dyDescent="0.25">
      <c r="A75883"/>
      <c r="B75883"/>
      <c r="C75883"/>
      <c r="E75883"/>
      <c r="F75883"/>
    </row>
    <row r="75884" spans="1:6" x14ac:dyDescent="0.25">
      <c r="A75884"/>
      <c r="B75884"/>
      <c r="C75884"/>
      <c r="E75884"/>
      <c r="F75884"/>
    </row>
    <row r="75885" spans="1:6" x14ac:dyDescent="0.25">
      <c r="A75885"/>
      <c r="B75885"/>
      <c r="C75885"/>
      <c r="E75885"/>
      <c r="F75885"/>
    </row>
    <row r="75886" spans="1:6" x14ac:dyDescent="0.25">
      <c r="A75886"/>
      <c r="B75886"/>
      <c r="C75886"/>
      <c r="E75886"/>
      <c r="F75886"/>
    </row>
    <row r="75887" spans="1:6" x14ac:dyDescent="0.25">
      <c r="A75887"/>
      <c r="B75887"/>
      <c r="C75887"/>
      <c r="E75887"/>
      <c r="F75887"/>
    </row>
    <row r="75888" spans="1:6" x14ac:dyDescent="0.25">
      <c r="A75888"/>
      <c r="B75888"/>
      <c r="C75888"/>
      <c r="E75888"/>
      <c r="F75888"/>
    </row>
    <row r="75889" spans="1:6" x14ac:dyDescent="0.25">
      <c r="A75889"/>
      <c r="B75889"/>
      <c r="C75889"/>
      <c r="E75889"/>
      <c r="F75889"/>
    </row>
    <row r="75890" spans="1:6" x14ac:dyDescent="0.25">
      <c r="A75890"/>
      <c r="B75890"/>
      <c r="C75890"/>
      <c r="E75890"/>
      <c r="F75890"/>
    </row>
    <row r="75891" spans="1:6" x14ac:dyDescent="0.25">
      <c r="A75891"/>
      <c r="B75891"/>
      <c r="C75891"/>
      <c r="E75891"/>
      <c r="F75891"/>
    </row>
    <row r="75892" spans="1:6" x14ac:dyDescent="0.25">
      <c r="A75892"/>
      <c r="B75892"/>
      <c r="C75892"/>
      <c r="E75892"/>
      <c r="F75892"/>
    </row>
    <row r="75893" spans="1:6" x14ac:dyDescent="0.25">
      <c r="A75893"/>
      <c r="B75893"/>
      <c r="C75893"/>
      <c r="E75893"/>
      <c r="F75893"/>
    </row>
    <row r="75894" spans="1:6" x14ac:dyDescent="0.25">
      <c r="A75894"/>
      <c r="B75894"/>
      <c r="C75894"/>
      <c r="E75894"/>
      <c r="F75894"/>
    </row>
    <row r="75895" spans="1:6" x14ac:dyDescent="0.25">
      <c r="A75895"/>
      <c r="B75895"/>
      <c r="C75895"/>
      <c r="E75895"/>
      <c r="F75895"/>
    </row>
    <row r="75896" spans="1:6" x14ac:dyDescent="0.25">
      <c r="A75896"/>
      <c r="B75896"/>
      <c r="C75896"/>
      <c r="E75896"/>
      <c r="F75896"/>
    </row>
    <row r="75897" spans="1:6" x14ac:dyDescent="0.25">
      <c r="A75897"/>
      <c r="B75897"/>
      <c r="C75897"/>
      <c r="E75897"/>
      <c r="F75897"/>
    </row>
    <row r="75898" spans="1:6" x14ac:dyDescent="0.25">
      <c r="A75898"/>
      <c r="B75898"/>
      <c r="C75898"/>
      <c r="E75898"/>
      <c r="F75898"/>
    </row>
    <row r="75899" spans="1:6" x14ac:dyDescent="0.25">
      <c r="A75899"/>
      <c r="B75899"/>
      <c r="C75899"/>
      <c r="E75899"/>
      <c r="F75899"/>
    </row>
    <row r="75900" spans="1:6" x14ac:dyDescent="0.25">
      <c r="A75900"/>
      <c r="B75900"/>
      <c r="C75900"/>
      <c r="E75900"/>
      <c r="F75900"/>
    </row>
    <row r="75901" spans="1:6" x14ac:dyDescent="0.25">
      <c r="A75901"/>
      <c r="B75901"/>
      <c r="C75901"/>
      <c r="E75901"/>
      <c r="F75901"/>
    </row>
    <row r="75902" spans="1:6" x14ac:dyDescent="0.25">
      <c r="A75902"/>
      <c r="B75902"/>
      <c r="C75902"/>
      <c r="E75902"/>
      <c r="F75902"/>
    </row>
    <row r="75903" spans="1:6" x14ac:dyDescent="0.25">
      <c r="A75903"/>
      <c r="B75903"/>
      <c r="C75903"/>
      <c r="E75903"/>
      <c r="F75903"/>
    </row>
    <row r="75904" spans="1:6" x14ac:dyDescent="0.25">
      <c r="A75904"/>
      <c r="B75904"/>
      <c r="C75904"/>
      <c r="E75904"/>
      <c r="F75904"/>
    </row>
    <row r="75905" spans="1:6" x14ac:dyDescent="0.25">
      <c r="A75905"/>
      <c r="B75905"/>
      <c r="C75905"/>
      <c r="E75905"/>
      <c r="F75905"/>
    </row>
    <row r="75906" spans="1:6" x14ac:dyDescent="0.25">
      <c r="A75906"/>
      <c r="B75906"/>
      <c r="C75906"/>
      <c r="E75906"/>
      <c r="F75906"/>
    </row>
    <row r="75907" spans="1:6" x14ac:dyDescent="0.25">
      <c r="A75907"/>
      <c r="B75907"/>
      <c r="C75907"/>
      <c r="E75907"/>
      <c r="F75907"/>
    </row>
    <row r="75908" spans="1:6" x14ac:dyDescent="0.25">
      <c r="A75908"/>
      <c r="B75908"/>
      <c r="C75908"/>
      <c r="E75908"/>
      <c r="F75908"/>
    </row>
    <row r="75909" spans="1:6" x14ac:dyDescent="0.25">
      <c r="A75909"/>
      <c r="B75909"/>
      <c r="C75909"/>
      <c r="E75909"/>
      <c r="F75909"/>
    </row>
    <row r="75910" spans="1:6" x14ac:dyDescent="0.25">
      <c r="A75910"/>
      <c r="B75910"/>
      <c r="C75910"/>
      <c r="E75910"/>
      <c r="F75910"/>
    </row>
    <row r="75911" spans="1:6" x14ac:dyDescent="0.25">
      <c r="A75911"/>
      <c r="B75911"/>
      <c r="C75911"/>
      <c r="E75911"/>
      <c r="F75911"/>
    </row>
    <row r="75912" spans="1:6" x14ac:dyDescent="0.25">
      <c r="A75912"/>
      <c r="B75912"/>
      <c r="C75912"/>
      <c r="E75912"/>
      <c r="F75912"/>
    </row>
    <row r="75913" spans="1:6" x14ac:dyDescent="0.25">
      <c r="A75913"/>
      <c r="B75913"/>
      <c r="C75913"/>
      <c r="E75913"/>
      <c r="F75913"/>
    </row>
    <row r="75914" spans="1:6" x14ac:dyDescent="0.25">
      <c r="A75914"/>
      <c r="B75914"/>
      <c r="C75914"/>
      <c r="E75914"/>
      <c r="F75914"/>
    </row>
    <row r="75915" spans="1:6" x14ac:dyDescent="0.25">
      <c r="A75915"/>
      <c r="B75915"/>
      <c r="C75915"/>
      <c r="E75915"/>
      <c r="F75915"/>
    </row>
    <row r="75916" spans="1:6" x14ac:dyDescent="0.25">
      <c r="A75916"/>
      <c r="B75916"/>
      <c r="C75916"/>
      <c r="E75916"/>
      <c r="F75916"/>
    </row>
    <row r="75917" spans="1:6" x14ac:dyDescent="0.25">
      <c r="A75917"/>
      <c r="B75917"/>
      <c r="C75917"/>
      <c r="E75917"/>
      <c r="F75917"/>
    </row>
    <row r="75918" spans="1:6" x14ac:dyDescent="0.25">
      <c r="A75918"/>
      <c r="B75918"/>
      <c r="C75918"/>
      <c r="E75918"/>
      <c r="F75918"/>
    </row>
    <row r="75919" spans="1:6" x14ac:dyDescent="0.25">
      <c r="A75919"/>
      <c r="B75919"/>
      <c r="C75919"/>
      <c r="E75919"/>
      <c r="F75919"/>
    </row>
    <row r="75920" spans="1:6" x14ac:dyDescent="0.25">
      <c r="A75920"/>
      <c r="B75920"/>
      <c r="C75920"/>
      <c r="E75920"/>
      <c r="F75920"/>
    </row>
    <row r="75921" spans="1:6" x14ac:dyDescent="0.25">
      <c r="A75921"/>
      <c r="B75921"/>
      <c r="C75921"/>
      <c r="E75921"/>
      <c r="F75921"/>
    </row>
    <row r="75922" spans="1:6" x14ac:dyDescent="0.25">
      <c r="A75922"/>
      <c r="B75922"/>
      <c r="C75922"/>
      <c r="E75922"/>
      <c r="F75922"/>
    </row>
    <row r="75923" spans="1:6" x14ac:dyDescent="0.25">
      <c r="A75923"/>
      <c r="B75923"/>
      <c r="C75923"/>
      <c r="E75923"/>
      <c r="F75923"/>
    </row>
    <row r="75924" spans="1:6" x14ac:dyDescent="0.25">
      <c r="A75924"/>
      <c r="B75924"/>
      <c r="C75924"/>
      <c r="E75924"/>
      <c r="F75924"/>
    </row>
    <row r="75925" spans="1:6" x14ac:dyDescent="0.25">
      <c r="A75925"/>
      <c r="B75925"/>
      <c r="C75925"/>
      <c r="E75925"/>
      <c r="F75925"/>
    </row>
    <row r="75926" spans="1:6" x14ac:dyDescent="0.25">
      <c r="A75926"/>
      <c r="B75926"/>
      <c r="C75926"/>
      <c r="E75926"/>
      <c r="F75926"/>
    </row>
    <row r="75927" spans="1:6" x14ac:dyDescent="0.25">
      <c r="A75927"/>
      <c r="B75927"/>
      <c r="C75927"/>
      <c r="E75927"/>
      <c r="F75927"/>
    </row>
    <row r="75928" spans="1:6" x14ac:dyDescent="0.25">
      <c r="A75928"/>
      <c r="B75928"/>
      <c r="C75928"/>
      <c r="E75928"/>
      <c r="F75928"/>
    </row>
    <row r="75929" spans="1:6" x14ac:dyDescent="0.25">
      <c r="A75929"/>
      <c r="B75929"/>
      <c r="C75929"/>
      <c r="E75929"/>
      <c r="F75929"/>
    </row>
    <row r="75930" spans="1:6" x14ac:dyDescent="0.25">
      <c r="A75930"/>
      <c r="B75930"/>
      <c r="C75930"/>
      <c r="E75930"/>
      <c r="F75930"/>
    </row>
    <row r="75931" spans="1:6" x14ac:dyDescent="0.25">
      <c r="A75931"/>
      <c r="B75931"/>
      <c r="C75931"/>
      <c r="E75931"/>
      <c r="F75931"/>
    </row>
    <row r="75932" spans="1:6" x14ac:dyDescent="0.25">
      <c r="A75932"/>
      <c r="B75932"/>
      <c r="C75932"/>
      <c r="E75932"/>
      <c r="F75932"/>
    </row>
    <row r="75933" spans="1:6" x14ac:dyDescent="0.25">
      <c r="A75933"/>
      <c r="B75933"/>
      <c r="C75933"/>
      <c r="E75933"/>
      <c r="F75933"/>
    </row>
    <row r="75934" spans="1:6" x14ac:dyDescent="0.25">
      <c r="A75934"/>
      <c r="B75934"/>
      <c r="C75934"/>
      <c r="E75934"/>
      <c r="F75934"/>
    </row>
    <row r="75935" spans="1:6" x14ac:dyDescent="0.25">
      <c r="A75935"/>
      <c r="B75935"/>
      <c r="C75935"/>
      <c r="E75935"/>
      <c r="F75935"/>
    </row>
    <row r="75936" spans="1:6" x14ac:dyDescent="0.25">
      <c r="A75936"/>
      <c r="B75936"/>
      <c r="C75936"/>
      <c r="E75936"/>
      <c r="F75936"/>
    </row>
    <row r="75937" spans="1:6" x14ac:dyDescent="0.25">
      <c r="A75937"/>
      <c r="B75937"/>
      <c r="C75937"/>
      <c r="E75937"/>
      <c r="F75937"/>
    </row>
    <row r="75938" spans="1:6" x14ac:dyDescent="0.25">
      <c r="A75938"/>
      <c r="B75938"/>
      <c r="C75938"/>
      <c r="E75938"/>
      <c r="F75938"/>
    </row>
    <row r="75939" spans="1:6" x14ac:dyDescent="0.25">
      <c r="A75939"/>
      <c r="B75939"/>
      <c r="C75939"/>
      <c r="E75939"/>
      <c r="F75939"/>
    </row>
    <row r="75940" spans="1:6" x14ac:dyDescent="0.25">
      <c r="A75940"/>
      <c r="B75940"/>
      <c r="C75940"/>
      <c r="E75940"/>
      <c r="F75940"/>
    </row>
    <row r="75941" spans="1:6" x14ac:dyDescent="0.25">
      <c r="A75941"/>
      <c r="B75941"/>
      <c r="C75941"/>
      <c r="E75941"/>
      <c r="F75941"/>
    </row>
    <row r="75942" spans="1:6" x14ac:dyDescent="0.25">
      <c r="A75942"/>
      <c r="B75942"/>
      <c r="C75942"/>
      <c r="E75942"/>
      <c r="F75942"/>
    </row>
    <row r="75943" spans="1:6" x14ac:dyDescent="0.25">
      <c r="A75943"/>
      <c r="B75943"/>
      <c r="C75943"/>
      <c r="E75943"/>
      <c r="F75943"/>
    </row>
    <row r="75944" spans="1:6" x14ac:dyDescent="0.25">
      <c r="A75944"/>
      <c r="B75944"/>
      <c r="C75944"/>
      <c r="E75944"/>
      <c r="F75944"/>
    </row>
    <row r="75945" spans="1:6" x14ac:dyDescent="0.25">
      <c r="A75945"/>
      <c r="B75945"/>
      <c r="C75945"/>
      <c r="E75945"/>
      <c r="F75945"/>
    </row>
    <row r="75946" spans="1:6" x14ac:dyDescent="0.25">
      <c r="A75946"/>
      <c r="B75946"/>
      <c r="C75946"/>
      <c r="E75946"/>
      <c r="F75946"/>
    </row>
    <row r="75947" spans="1:6" x14ac:dyDescent="0.25">
      <c r="A75947"/>
      <c r="B75947"/>
      <c r="C75947"/>
      <c r="E75947"/>
      <c r="F75947"/>
    </row>
    <row r="75948" spans="1:6" x14ac:dyDescent="0.25">
      <c r="A75948"/>
      <c r="B75948"/>
      <c r="C75948"/>
      <c r="E75948"/>
      <c r="F75948"/>
    </row>
    <row r="75949" spans="1:6" x14ac:dyDescent="0.25">
      <c r="A75949"/>
      <c r="B75949"/>
      <c r="C75949"/>
      <c r="E75949"/>
      <c r="F75949"/>
    </row>
    <row r="75950" spans="1:6" x14ac:dyDescent="0.25">
      <c r="A75950"/>
      <c r="B75950"/>
      <c r="C75950"/>
      <c r="E75950"/>
      <c r="F75950"/>
    </row>
    <row r="75951" spans="1:6" x14ac:dyDescent="0.25">
      <c r="A75951"/>
      <c r="B75951"/>
      <c r="C75951"/>
      <c r="E75951"/>
      <c r="F75951"/>
    </row>
    <row r="75952" spans="1:6" x14ac:dyDescent="0.25">
      <c r="A75952"/>
      <c r="B75952"/>
      <c r="C75952"/>
      <c r="E75952"/>
      <c r="F75952"/>
    </row>
    <row r="75953" spans="1:6" x14ac:dyDescent="0.25">
      <c r="A75953"/>
      <c r="B75953"/>
      <c r="C75953"/>
      <c r="E75953"/>
      <c r="F75953"/>
    </row>
    <row r="75954" spans="1:6" x14ac:dyDescent="0.25">
      <c r="A75954"/>
      <c r="B75954"/>
      <c r="C75954"/>
      <c r="E75954"/>
      <c r="F75954"/>
    </row>
    <row r="75955" spans="1:6" x14ac:dyDescent="0.25">
      <c r="A75955"/>
      <c r="B75955"/>
      <c r="C75955"/>
      <c r="E75955"/>
      <c r="F75955"/>
    </row>
    <row r="75956" spans="1:6" x14ac:dyDescent="0.25">
      <c r="A75956"/>
      <c r="B75956"/>
      <c r="C75956"/>
      <c r="E75956"/>
      <c r="F75956"/>
    </row>
    <row r="75957" spans="1:6" x14ac:dyDescent="0.25">
      <c r="A75957"/>
      <c r="B75957"/>
      <c r="C75957"/>
      <c r="E75957"/>
      <c r="F75957"/>
    </row>
    <row r="75958" spans="1:6" x14ac:dyDescent="0.25">
      <c r="A75958"/>
      <c r="B75958"/>
      <c r="C75958"/>
      <c r="E75958"/>
      <c r="F75958"/>
    </row>
    <row r="75959" spans="1:6" x14ac:dyDescent="0.25">
      <c r="A75959"/>
      <c r="B75959"/>
      <c r="C75959"/>
      <c r="E75959"/>
      <c r="F75959"/>
    </row>
    <row r="75960" spans="1:6" x14ac:dyDescent="0.25">
      <c r="A75960"/>
      <c r="B75960"/>
      <c r="C75960"/>
      <c r="E75960"/>
      <c r="F75960"/>
    </row>
    <row r="75961" spans="1:6" x14ac:dyDescent="0.25">
      <c r="A75961"/>
      <c r="B75961"/>
      <c r="C75961"/>
      <c r="E75961"/>
      <c r="F75961"/>
    </row>
    <row r="75962" spans="1:6" x14ac:dyDescent="0.25">
      <c r="A75962"/>
      <c r="B75962"/>
      <c r="C75962"/>
      <c r="E75962"/>
      <c r="F75962"/>
    </row>
    <row r="75963" spans="1:6" x14ac:dyDescent="0.25">
      <c r="A75963"/>
      <c r="B75963"/>
      <c r="C75963"/>
      <c r="E75963"/>
      <c r="F75963"/>
    </row>
    <row r="75964" spans="1:6" x14ac:dyDescent="0.25">
      <c r="A75964"/>
      <c r="B75964"/>
      <c r="C75964"/>
      <c r="E75964"/>
      <c r="F75964"/>
    </row>
    <row r="75965" spans="1:6" x14ac:dyDescent="0.25">
      <c r="A75965"/>
      <c r="B75965"/>
      <c r="C75965"/>
      <c r="E75965"/>
      <c r="F75965"/>
    </row>
    <row r="75966" spans="1:6" x14ac:dyDescent="0.25">
      <c r="A75966"/>
      <c r="B75966"/>
      <c r="C75966"/>
      <c r="E75966"/>
      <c r="F75966"/>
    </row>
    <row r="75967" spans="1:6" x14ac:dyDescent="0.25">
      <c r="A75967"/>
      <c r="B75967"/>
      <c r="C75967"/>
      <c r="E75967"/>
      <c r="F75967"/>
    </row>
    <row r="75968" spans="1:6" x14ac:dyDescent="0.25">
      <c r="A75968"/>
      <c r="B75968"/>
      <c r="C75968"/>
      <c r="E75968"/>
      <c r="F75968"/>
    </row>
    <row r="75969" spans="1:6" x14ac:dyDescent="0.25">
      <c r="A75969"/>
      <c r="B75969"/>
      <c r="C75969"/>
      <c r="E75969"/>
      <c r="F75969"/>
    </row>
    <row r="75970" spans="1:6" x14ac:dyDescent="0.25">
      <c r="A75970"/>
      <c r="B75970"/>
      <c r="C75970"/>
      <c r="E75970"/>
      <c r="F75970"/>
    </row>
    <row r="75971" spans="1:6" x14ac:dyDescent="0.25">
      <c r="A75971"/>
      <c r="B75971"/>
      <c r="C75971"/>
      <c r="E75971"/>
      <c r="F75971"/>
    </row>
    <row r="75972" spans="1:6" x14ac:dyDescent="0.25">
      <c r="A75972"/>
      <c r="B75972"/>
      <c r="C75972"/>
      <c r="E75972"/>
      <c r="F75972"/>
    </row>
    <row r="75973" spans="1:6" x14ac:dyDescent="0.25">
      <c r="A75973"/>
      <c r="B75973"/>
      <c r="C75973"/>
      <c r="E75973"/>
      <c r="F75973"/>
    </row>
    <row r="75974" spans="1:6" x14ac:dyDescent="0.25">
      <c r="A75974"/>
      <c r="B75974"/>
      <c r="C75974"/>
      <c r="E75974"/>
      <c r="F75974"/>
    </row>
    <row r="75975" spans="1:6" x14ac:dyDescent="0.25">
      <c r="A75975"/>
      <c r="B75975"/>
      <c r="C75975"/>
      <c r="E75975"/>
      <c r="F75975"/>
    </row>
    <row r="75976" spans="1:6" x14ac:dyDescent="0.25">
      <c r="A75976"/>
      <c r="B75976"/>
      <c r="C75976"/>
      <c r="E75976"/>
      <c r="F75976"/>
    </row>
    <row r="75977" spans="1:6" x14ac:dyDescent="0.25">
      <c r="A75977"/>
      <c r="B75977"/>
      <c r="C75977"/>
      <c r="E75977"/>
      <c r="F75977"/>
    </row>
    <row r="75978" spans="1:6" x14ac:dyDescent="0.25">
      <c r="A75978"/>
      <c r="B75978"/>
      <c r="C75978"/>
      <c r="E75978"/>
      <c r="F75978"/>
    </row>
    <row r="75979" spans="1:6" x14ac:dyDescent="0.25">
      <c r="A75979"/>
      <c r="B75979"/>
      <c r="C75979"/>
      <c r="E75979"/>
      <c r="F75979"/>
    </row>
    <row r="75980" spans="1:6" x14ac:dyDescent="0.25">
      <c r="A75980"/>
      <c r="B75980"/>
      <c r="C75980"/>
      <c r="E75980"/>
      <c r="F75980"/>
    </row>
    <row r="75981" spans="1:6" x14ac:dyDescent="0.25">
      <c r="A75981"/>
      <c r="B75981"/>
      <c r="C75981"/>
      <c r="E75981"/>
      <c r="F75981"/>
    </row>
    <row r="75982" spans="1:6" x14ac:dyDescent="0.25">
      <c r="A75982"/>
      <c r="B75982"/>
      <c r="C75982"/>
      <c r="E75982"/>
      <c r="F75982"/>
    </row>
    <row r="75983" spans="1:6" x14ac:dyDescent="0.25">
      <c r="A75983"/>
      <c r="B75983"/>
      <c r="C75983"/>
      <c r="E75983"/>
      <c r="F75983"/>
    </row>
    <row r="75984" spans="1:6" x14ac:dyDescent="0.25">
      <c r="A75984"/>
      <c r="B75984"/>
      <c r="C75984"/>
      <c r="E75984"/>
      <c r="F75984"/>
    </row>
    <row r="75985" spans="1:6" x14ac:dyDescent="0.25">
      <c r="A75985"/>
      <c r="B75985"/>
      <c r="C75985"/>
      <c r="E75985"/>
      <c r="F75985"/>
    </row>
    <row r="75986" spans="1:6" x14ac:dyDescent="0.25">
      <c r="A75986"/>
      <c r="B75986"/>
      <c r="C75986"/>
      <c r="E75986"/>
      <c r="F75986"/>
    </row>
    <row r="75987" spans="1:6" x14ac:dyDescent="0.25">
      <c r="A75987"/>
      <c r="B75987"/>
      <c r="C75987"/>
      <c r="E75987"/>
      <c r="F75987"/>
    </row>
    <row r="75988" spans="1:6" x14ac:dyDescent="0.25">
      <c r="A75988"/>
      <c r="B75988"/>
      <c r="C75988"/>
      <c r="E75988"/>
      <c r="F75988"/>
    </row>
    <row r="75989" spans="1:6" x14ac:dyDescent="0.25">
      <c r="A75989"/>
      <c r="B75989"/>
      <c r="C75989"/>
      <c r="E75989"/>
      <c r="F75989"/>
    </row>
    <row r="75990" spans="1:6" x14ac:dyDescent="0.25">
      <c r="A75990"/>
      <c r="B75990"/>
      <c r="C75990"/>
      <c r="E75990"/>
      <c r="F75990"/>
    </row>
    <row r="75991" spans="1:6" x14ac:dyDescent="0.25">
      <c r="A75991"/>
      <c r="B75991"/>
      <c r="C75991"/>
      <c r="E75991"/>
      <c r="F75991"/>
    </row>
    <row r="75992" spans="1:6" x14ac:dyDescent="0.25">
      <c r="A75992"/>
      <c r="B75992"/>
      <c r="C75992"/>
      <c r="E75992"/>
      <c r="F75992"/>
    </row>
    <row r="75993" spans="1:6" x14ac:dyDescent="0.25">
      <c r="A75993"/>
      <c r="B75993"/>
      <c r="C75993"/>
      <c r="E75993"/>
      <c r="F75993"/>
    </row>
    <row r="75994" spans="1:6" x14ac:dyDescent="0.25">
      <c r="A75994"/>
      <c r="B75994"/>
      <c r="C75994"/>
      <c r="E75994"/>
      <c r="F75994"/>
    </row>
    <row r="75995" spans="1:6" x14ac:dyDescent="0.25">
      <c r="A75995"/>
      <c r="B75995"/>
      <c r="C75995"/>
      <c r="E75995"/>
      <c r="F75995"/>
    </row>
    <row r="75996" spans="1:6" x14ac:dyDescent="0.25">
      <c r="A75996"/>
      <c r="B75996"/>
      <c r="C75996"/>
      <c r="E75996"/>
      <c r="F75996"/>
    </row>
    <row r="75997" spans="1:6" x14ac:dyDescent="0.25">
      <c r="A75997"/>
      <c r="B75997"/>
      <c r="C75997"/>
      <c r="E75997"/>
      <c r="F75997"/>
    </row>
    <row r="75998" spans="1:6" x14ac:dyDescent="0.25">
      <c r="A75998"/>
      <c r="B75998"/>
      <c r="C75998"/>
      <c r="E75998"/>
      <c r="F75998"/>
    </row>
    <row r="75999" spans="1:6" x14ac:dyDescent="0.25">
      <c r="A75999"/>
      <c r="B75999"/>
      <c r="C75999"/>
      <c r="E75999"/>
      <c r="F75999"/>
    </row>
    <row r="76000" spans="1:6" x14ac:dyDescent="0.25">
      <c r="A76000"/>
      <c r="B76000"/>
      <c r="C76000"/>
      <c r="E76000"/>
      <c r="F76000"/>
    </row>
    <row r="76001" spans="1:6" x14ac:dyDescent="0.25">
      <c r="A76001"/>
      <c r="B76001"/>
      <c r="C76001"/>
      <c r="E76001"/>
      <c r="F76001"/>
    </row>
    <row r="76002" spans="1:6" x14ac:dyDescent="0.25">
      <c r="A76002"/>
      <c r="B76002"/>
      <c r="C76002"/>
      <c r="E76002"/>
      <c r="F76002"/>
    </row>
    <row r="76003" spans="1:6" x14ac:dyDescent="0.25">
      <c r="A76003"/>
      <c r="B76003"/>
      <c r="C76003"/>
      <c r="E76003"/>
      <c r="F76003"/>
    </row>
    <row r="76004" spans="1:6" x14ac:dyDescent="0.25">
      <c r="A76004"/>
      <c r="B76004"/>
      <c r="C76004"/>
      <c r="E76004"/>
      <c r="F76004"/>
    </row>
    <row r="76005" spans="1:6" x14ac:dyDescent="0.25">
      <c r="A76005"/>
      <c r="B76005"/>
      <c r="C76005"/>
      <c r="E76005"/>
      <c r="F76005"/>
    </row>
    <row r="76006" spans="1:6" x14ac:dyDescent="0.25">
      <c r="A76006"/>
      <c r="B76006"/>
      <c r="C76006"/>
      <c r="E76006"/>
      <c r="F76006"/>
    </row>
    <row r="76007" spans="1:6" x14ac:dyDescent="0.25">
      <c r="A76007"/>
      <c r="B76007"/>
      <c r="C76007"/>
      <c r="E76007"/>
      <c r="F76007"/>
    </row>
    <row r="76008" spans="1:6" x14ac:dyDescent="0.25">
      <c r="A76008"/>
      <c r="B76008"/>
      <c r="C76008"/>
      <c r="E76008"/>
      <c r="F76008"/>
    </row>
    <row r="76009" spans="1:6" x14ac:dyDescent="0.25">
      <c r="A76009"/>
      <c r="B76009"/>
      <c r="C76009"/>
      <c r="E76009"/>
      <c r="F76009"/>
    </row>
    <row r="76010" spans="1:6" x14ac:dyDescent="0.25">
      <c r="A76010"/>
      <c r="B76010"/>
      <c r="C76010"/>
      <c r="E76010"/>
      <c r="F76010"/>
    </row>
    <row r="76011" spans="1:6" x14ac:dyDescent="0.25">
      <c r="A76011"/>
      <c r="B76011"/>
      <c r="C76011"/>
      <c r="E76011"/>
      <c r="F76011"/>
    </row>
    <row r="76012" spans="1:6" x14ac:dyDescent="0.25">
      <c r="A76012"/>
      <c r="B76012"/>
      <c r="C76012"/>
      <c r="E76012"/>
      <c r="F76012"/>
    </row>
    <row r="76013" spans="1:6" x14ac:dyDescent="0.25">
      <c r="A76013"/>
      <c r="B76013"/>
      <c r="C76013"/>
      <c r="E76013"/>
      <c r="F76013"/>
    </row>
    <row r="76014" spans="1:6" x14ac:dyDescent="0.25">
      <c r="A76014"/>
      <c r="B76014"/>
      <c r="C76014"/>
      <c r="E76014"/>
      <c r="F76014"/>
    </row>
    <row r="76015" spans="1:6" x14ac:dyDescent="0.25">
      <c r="A76015"/>
      <c r="B76015"/>
      <c r="C76015"/>
      <c r="E76015"/>
      <c r="F76015"/>
    </row>
    <row r="76016" spans="1:6" x14ac:dyDescent="0.25">
      <c r="A76016"/>
      <c r="B76016"/>
      <c r="C76016"/>
      <c r="E76016"/>
      <c r="F76016"/>
    </row>
    <row r="76017" spans="1:6" x14ac:dyDescent="0.25">
      <c r="A76017"/>
      <c r="B76017"/>
      <c r="C76017"/>
      <c r="E76017"/>
      <c r="F76017"/>
    </row>
    <row r="76018" spans="1:6" x14ac:dyDescent="0.25">
      <c r="A76018"/>
      <c r="B76018"/>
      <c r="C76018"/>
      <c r="E76018"/>
      <c r="F76018"/>
    </row>
    <row r="76019" spans="1:6" x14ac:dyDescent="0.25">
      <c r="A76019"/>
      <c r="B76019"/>
      <c r="C76019"/>
      <c r="E76019"/>
      <c r="F76019"/>
    </row>
    <row r="76020" spans="1:6" x14ac:dyDescent="0.25">
      <c r="A76020"/>
      <c r="B76020"/>
      <c r="C76020"/>
      <c r="E76020"/>
      <c r="F76020"/>
    </row>
    <row r="76021" spans="1:6" x14ac:dyDescent="0.25">
      <c r="A76021"/>
      <c r="B76021"/>
      <c r="C76021"/>
      <c r="E76021"/>
      <c r="F76021"/>
    </row>
    <row r="76022" spans="1:6" x14ac:dyDescent="0.25">
      <c r="A76022"/>
      <c r="B76022"/>
      <c r="C76022"/>
      <c r="E76022"/>
      <c r="F76022"/>
    </row>
    <row r="76023" spans="1:6" x14ac:dyDescent="0.25">
      <c r="A76023"/>
      <c r="B76023"/>
      <c r="C76023"/>
      <c r="E76023"/>
      <c r="F76023"/>
    </row>
    <row r="76024" spans="1:6" x14ac:dyDescent="0.25">
      <c r="A76024"/>
      <c r="B76024"/>
      <c r="C76024"/>
      <c r="E76024"/>
      <c r="F76024"/>
    </row>
    <row r="76025" spans="1:6" x14ac:dyDescent="0.25">
      <c r="A76025"/>
      <c r="B76025"/>
      <c r="C76025"/>
      <c r="E76025"/>
      <c r="F76025"/>
    </row>
    <row r="76026" spans="1:6" x14ac:dyDescent="0.25">
      <c r="A76026"/>
      <c r="B76026"/>
      <c r="C76026"/>
      <c r="E76026"/>
      <c r="F76026"/>
    </row>
    <row r="76027" spans="1:6" x14ac:dyDescent="0.25">
      <c r="A76027"/>
      <c r="B76027"/>
      <c r="C76027"/>
      <c r="E76027"/>
      <c r="F76027"/>
    </row>
    <row r="76028" spans="1:6" x14ac:dyDescent="0.25">
      <c r="A76028"/>
      <c r="B76028"/>
      <c r="C76028"/>
      <c r="E76028"/>
      <c r="F76028"/>
    </row>
    <row r="76029" spans="1:6" x14ac:dyDescent="0.25">
      <c r="A76029"/>
      <c r="B76029"/>
      <c r="C76029"/>
      <c r="E76029"/>
      <c r="F76029"/>
    </row>
    <row r="76030" spans="1:6" x14ac:dyDescent="0.25">
      <c r="A76030"/>
      <c r="B76030"/>
      <c r="C76030"/>
      <c r="E76030"/>
      <c r="F76030"/>
    </row>
    <row r="76031" spans="1:6" x14ac:dyDescent="0.25">
      <c r="A76031"/>
      <c r="B76031"/>
      <c r="C76031"/>
      <c r="E76031"/>
      <c r="F76031"/>
    </row>
    <row r="76032" spans="1:6" x14ac:dyDescent="0.25">
      <c r="A76032"/>
      <c r="B76032"/>
      <c r="C76032"/>
      <c r="E76032"/>
      <c r="F76032"/>
    </row>
    <row r="76033" spans="1:6" x14ac:dyDescent="0.25">
      <c r="A76033"/>
      <c r="B76033"/>
      <c r="C76033"/>
      <c r="E76033"/>
      <c r="F76033"/>
    </row>
    <row r="76034" spans="1:6" x14ac:dyDescent="0.25">
      <c r="A76034"/>
      <c r="B76034"/>
      <c r="C76034"/>
      <c r="E76034"/>
      <c r="F76034"/>
    </row>
    <row r="76035" spans="1:6" x14ac:dyDescent="0.25">
      <c r="A76035"/>
      <c r="B76035"/>
      <c r="C76035"/>
      <c r="E76035"/>
      <c r="F76035"/>
    </row>
    <row r="76036" spans="1:6" x14ac:dyDescent="0.25">
      <c r="A76036"/>
      <c r="B76036"/>
      <c r="C76036"/>
      <c r="E76036"/>
      <c r="F76036"/>
    </row>
    <row r="76037" spans="1:6" x14ac:dyDescent="0.25">
      <c r="A76037"/>
      <c r="B76037"/>
      <c r="C76037"/>
      <c r="E76037"/>
      <c r="F76037"/>
    </row>
    <row r="76038" spans="1:6" x14ac:dyDescent="0.25">
      <c r="A76038"/>
      <c r="B76038"/>
      <c r="C76038"/>
      <c r="E76038"/>
      <c r="F76038"/>
    </row>
    <row r="76039" spans="1:6" x14ac:dyDescent="0.25">
      <c r="A76039"/>
      <c r="B76039"/>
      <c r="C76039"/>
      <c r="E76039"/>
      <c r="F76039"/>
    </row>
    <row r="76040" spans="1:6" x14ac:dyDescent="0.25">
      <c r="A76040"/>
      <c r="B76040"/>
      <c r="C76040"/>
      <c r="E76040"/>
      <c r="F76040"/>
    </row>
    <row r="76041" spans="1:6" x14ac:dyDescent="0.25">
      <c r="A76041"/>
      <c r="B76041"/>
      <c r="C76041"/>
      <c r="E76041"/>
      <c r="F76041"/>
    </row>
    <row r="76042" spans="1:6" x14ac:dyDescent="0.25">
      <c r="A76042"/>
      <c r="B76042"/>
      <c r="C76042"/>
      <c r="E76042"/>
      <c r="F76042"/>
    </row>
    <row r="76043" spans="1:6" x14ac:dyDescent="0.25">
      <c r="A76043"/>
      <c r="B76043"/>
      <c r="C76043"/>
      <c r="E76043"/>
      <c r="F76043"/>
    </row>
    <row r="76044" spans="1:6" x14ac:dyDescent="0.25">
      <c r="A76044"/>
      <c r="B76044"/>
      <c r="C76044"/>
      <c r="E76044"/>
      <c r="F76044"/>
    </row>
    <row r="76045" spans="1:6" x14ac:dyDescent="0.25">
      <c r="A76045"/>
      <c r="B76045"/>
      <c r="C76045"/>
      <c r="E76045"/>
      <c r="F76045"/>
    </row>
    <row r="76046" spans="1:6" x14ac:dyDescent="0.25">
      <c r="A76046"/>
      <c r="B76046"/>
      <c r="C76046"/>
      <c r="E76046"/>
      <c r="F76046"/>
    </row>
    <row r="76047" spans="1:6" x14ac:dyDescent="0.25">
      <c r="A76047"/>
      <c r="B76047"/>
      <c r="C76047"/>
      <c r="E76047"/>
      <c r="F76047"/>
    </row>
    <row r="76048" spans="1:6" x14ac:dyDescent="0.25">
      <c r="A76048"/>
      <c r="B76048"/>
      <c r="C76048"/>
      <c r="E76048"/>
      <c r="F76048"/>
    </row>
    <row r="76049" spans="1:6" x14ac:dyDescent="0.25">
      <c r="A76049"/>
      <c r="B76049"/>
      <c r="C76049"/>
      <c r="E76049"/>
      <c r="F76049"/>
    </row>
    <row r="76050" spans="1:6" x14ac:dyDescent="0.25">
      <c r="A76050"/>
      <c r="B76050"/>
      <c r="C76050"/>
      <c r="E76050"/>
      <c r="F76050"/>
    </row>
    <row r="76051" spans="1:6" x14ac:dyDescent="0.25">
      <c r="A76051"/>
      <c r="B76051"/>
      <c r="C76051"/>
      <c r="E76051"/>
      <c r="F76051"/>
    </row>
    <row r="76052" spans="1:6" x14ac:dyDescent="0.25">
      <c r="A76052"/>
      <c r="B76052"/>
      <c r="C76052"/>
      <c r="E76052"/>
      <c r="F76052"/>
    </row>
    <row r="76053" spans="1:6" x14ac:dyDescent="0.25">
      <c r="A76053"/>
      <c r="B76053"/>
      <c r="C76053"/>
      <c r="E76053"/>
      <c r="F76053"/>
    </row>
    <row r="76054" spans="1:6" x14ac:dyDescent="0.25">
      <c r="A76054"/>
      <c r="B76054"/>
      <c r="C76054"/>
      <c r="E76054"/>
      <c r="F76054"/>
    </row>
    <row r="76055" spans="1:6" x14ac:dyDescent="0.25">
      <c r="A76055"/>
      <c r="B76055"/>
      <c r="C76055"/>
      <c r="E76055"/>
      <c r="F76055"/>
    </row>
    <row r="76056" spans="1:6" x14ac:dyDescent="0.25">
      <c r="A76056"/>
      <c r="B76056"/>
      <c r="C76056"/>
      <c r="E76056"/>
      <c r="F76056"/>
    </row>
    <row r="76057" spans="1:6" x14ac:dyDescent="0.25">
      <c r="A76057"/>
      <c r="B76057"/>
      <c r="C76057"/>
      <c r="E76057"/>
      <c r="F76057"/>
    </row>
    <row r="76058" spans="1:6" x14ac:dyDescent="0.25">
      <c r="A76058"/>
      <c r="B76058"/>
      <c r="C76058"/>
      <c r="E76058"/>
      <c r="F76058"/>
    </row>
    <row r="76059" spans="1:6" x14ac:dyDescent="0.25">
      <c r="A76059"/>
      <c r="B76059"/>
      <c r="C76059"/>
      <c r="E76059"/>
      <c r="F76059"/>
    </row>
    <row r="76060" spans="1:6" x14ac:dyDescent="0.25">
      <c r="A76060"/>
      <c r="B76060"/>
      <c r="C76060"/>
      <c r="E76060"/>
      <c r="F76060"/>
    </row>
    <row r="76061" spans="1:6" x14ac:dyDescent="0.25">
      <c r="A76061"/>
      <c r="B76061"/>
      <c r="C76061"/>
      <c r="E76061"/>
      <c r="F76061"/>
    </row>
    <row r="76062" spans="1:6" x14ac:dyDescent="0.25">
      <c r="A76062"/>
      <c r="B76062"/>
      <c r="C76062"/>
      <c r="E76062"/>
      <c r="F76062"/>
    </row>
    <row r="76063" spans="1:6" x14ac:dyDescent="0.25">
      <c r="A76063"/>
      <c r="B76063"/>
      <c r="C76063"/>
      <c r="E76063"/>
      <c r="F76063"/>
    </row>
    <row r="76064" spans="1:6" x14ac:dyDescent="0.25">
      <c r="A76064"/>
      <c r="B76064"/>
      <c r="C76064"/>
      <c r="E76064"/>
      <c r="F76064"/>
    </row>
    <row r="76065" spans="1:6" x14ac:dyDescent="0.25">
      <c r="A76065"/>
      <c r="B76065"/>
      <c r="C76065"/>
      <c r="E76065"/>
      <c r="F76065"/>
    </row>
    <row r="76066" spans="1:6" x14ac:dyDescent="0.25">
      <c r="A76066"/>
      <c r="B76066"/>
      <c r="C76066"/>
      <c r="E76066"/>
      <c r="F76066"/>
    </row>
    <row r="76067" spans="1:6" x14ac:dyDescent="0.25">
      <c r="A76067"/>
      <c r="B76067"/>
      <c r="C76067"/>
      <c r="E76067"/>
      <c r="F76067"/>
    </row>
    <row r="76068" spans="1:6" x14ac:dyDescent="0.25">
      <c r="A76068"/>
      <c r="B76068"/>
      <c r="C76068"/>
      <c r="E76068"/>
      <c r="F76068"/>
    </row>
    <row r="76069" spans="1:6" x14ac:dyDescent="0.25">
      <c r="A76069"/>
      <c r="B76069"/>
      <c r="C76069"/>
      <c r="E76069"/>
      <c r="F76069"/>
    </row>
    <row r="76070" spans="1:6" x14ac:dyDescent="0.25">
      <c r="A76070"/>
      <c r="B76070"/>
      <c r="C76070"/>
      <c r="E76070"/>
      <c r="F76070"/>
    </row>
    <row r="76071" spans="1:6" x14ac:dyDescent="0.25">
      <c r="A76071"/>
      <c r="B76071"/>
      <c r="C76071"/>
      <c r="E76071"/>
      <c r="F76071"/>
    </row>
    <row r="76072" spans="1:6" x14ac:dyDescent="0.25">
      <c r="A76072"/>
      <c r="B76072"/>
      <c r="C76072"/>
      <c r="E76072"/>
      <c r="F76072"/>
    </row>
    <row r="76073" spans="1:6" x14ac:dyDescent="0.25">
      <c r="A76073"/>
      <c r="B76073"/>
      <c r="C76073"/>
      <c r="E76073"/>
      <c r="F76073"/>
    </row>
    <row r="76074" spans="1:6" x14ac:dyDescent="0.25">
      <c r="A76074"/>
      <c r="B76074"/>
      <c r="C76074"/>
      <c r="E76074"/>
      <c r="F76074"/>
    </row>
    <row r="76075" spans="1:6" x14ac:dyDescent="0.25">
      <c r="A76075"/>
      <c r="B76075"/>
      <c r="C76075"/>
      <c r="E76075"/>
      <c r="F76075"/>
    </row>
    <row r="76076" spans="1:6" x14ac:dyDescent="0.25">
      <c r="A76076"/>
      <c r="B76076"/>
      <c r="C76076"/>
      <c r="E76076"/>
      <c r="F76076"/>
    </row>
    <row r="76077" spans="1:6" x14ac:dyDescent="0.25">
      <c r="A76077"/>
      <c r="B76077"/>
      <c r="C76077"/>
      <c r="E76077"/>
      <c r="F76077"/>
    </row>
    <row r="76078" spans="1:6" x14ac:dyDescent="0.25">
      <c r="A76078"/>
      <c r="B76078"/>
      <c r="C76078"/>
      <c r="E76078"/>
      <c r="F76078"/>
    </row>
    <row r="76079" spans="1:6" x14ac:dyDescent="0.25">
      <c r="A76079"/>
      <c r="B76079"/>
      <c r="C76079"/>
      <c r="E76079"/>
      <c r="F76079"/>
    </row>
    <row r="76080" spans="1:6" x14ac:dyDescent="0.25">
      <c r="A76080"/>
      <c r="B76080"/>
      <c r="C76080"/>
      <c r="E76080"/>
      <c r="F76080"/>
    </row>
    <row r="76081" spans="1:6" x14ac:dyDescent="0.25">
      <c r="A76081"/>
      <c r="B76081"/>
      <c r="C76081"/>
      <c r="E76081"/>
      <c r="F76081"/>
    </row>
    <row r="76082" spans="1:6" x14ac:dyDescent="0.25">
      <c r="A76082"/>
      <c r="B76082"/>
      <c r="C76082"/>
      <c r="E76082"/>
      <c r="F76082"/>
    </row>
    <row r="76083" spans="1:6" x14ac:dyDescent="0.25">
      <c r="A76083"/>
      <c r="B76083"/>
      <c r="C76083"/>
      <c r="E76083"/>
      <c r="F76083"/>
    </row>
    <row r="76084" spans="1:6" x14ac:dyDescent="0.25">
      <c r="A76084"/>
      <c r="B76084"/>
      <c r="C76084"/>
      <c r="E76084"/>
      <c r="F76084"/>
    </row>
    <row r="76085" spans="1:6" x14ac:dyDescent="0.25">
      <c r="A76085"/>
      <c r="B76085"/>
      <c r="C76085"/>
      <c r="E76085"/>
      <c r="F76085"/>
    </row>
    <row r="76086" spans="1:6" x14ac:dyDescent="0.25">
      <c r="A76086"/>
      <c r="B76086"/>
      <c r="C76086"/>
      <c r="E76086"/>
      <c r="F76086"/>
    </row>
    <row r="76087" spans="1:6" x14ac:dyDescent="0.25">
      <c r="A76087"/>
      <c r="B76087"/>
      <c r="C76087"/>
      <c r="E76087"/>
      <c r="F76087"/>
    </row>
    <row r="76088" spans="1:6" x14ac:dyDescent="0.25">
      <c r="A76088"/>
      <c r="B76088"/>
      <c r="C76088"/>
      <c r="E76088"/>
      <c r="F76088"/>
    </row>
    <row r="76089" spans="1:6" x14ac:dyDescent="0.25">
      <c r="A76089"/>
      <c r="B76089"/>
      <c r="C76089"/>
      <c r="E76089"/>
      <c r="F76089"/>
    </row>
    <row r="76090" spans="1:6" x14ac:dyDescent="0.25">
      <c r="A76090"/>
      <c r="B76090"/>
      <c r="C76090"/>
      <c r="E76090"/>
      <c r="F76090"/>
    </row>
    <row r="76091" spans="1:6" x14ac:dyDescent="0.25">
      <c r="A76091"/>
      <c r="B76091"/>
      <c r="C76091"/>
      <c r="E76091"/>
      <c r="F76091"/>
    </row>
    <row r="76092" spans="1:6" x14ac:dyDescent="0.25">
      <c r="A76092"/>
      <c r="B76092"/>
      <c r="C76092"/>
      <c r="E76092"/>
      <c r="F76092"/>
    </row>
    <row r="76093" spans="1:6" x14ac:dyDescent="0.25">
      <c r="A76093"/>
      <c r="B76093"/>
      <c r="C76093"/>
      <c r="E76093"/>
      <c r="F76093"/>
    </row>
    <row r="76094" spans="1:6" x14ac:dyDescent="0.25">
      <c r="A76094"/>
      <c r="B76094"/>
      <c r="C76094"/>
      <c r="E76094"/>
      <c r="F76094"/>
    </row>
    <row r="76095" spans="1:6" x14ac:dyDescent="0.25">
      <c r="A76095"/>
      <c r="B76095"/>
      <c r="C76095"/>
      <c r="E76095"/>
      <c r="F76095"/>
    </row>
    <row r="76096" spans="1:6" x14ac:dyDescent="0.25">
      <c r="A76096"/>
      <c r="B76096"/>
      <c r="C76096"/>
      <c r="E76096"/>
      <c r="F76096"/>
    </row>
    <row r="76097" spans="1:6" x14ac:dyDescent="0.25">
      <c r="A76097"/>
      <c r="B76097"/>
      <c r="C76097"/>
      <c r="E76097"/>
      <c r="F76097"/>
    </row>
    <row r="76098" spans="1:6" x14ac:dyDescent="0.25">
      <c r="A76098"/>
      <c r="B76098"/>
      <c r="C76098"/>
      <c r="E76098"/>
      <c r="F76098"/>
    </row>
    <row r="76099" spans="1:6" x14ac:dyDescent="0.25">
      <c r="A76099"/>
      <c r="B76099"/>
      <c r="C76099"/>
      <c r="E76099"/>
      <c r="F76099"/>
    </row>
    <row r="76100" spans="1:6" x14ac:dyDescent="0.25">
      <c r="A76100"/>
      <c r="B76100"/>
      <c r="C76100"/>
      <c r="E76100"/>
      <c r="F76100"/>
    </row>
    <row r="76101" spans="1:6" x14ac:dyDescent="0.25">
      <c r="A76101"/>
      <c r="B76101"/>
      <c r="C76101"/>
      <c r="E76101"/>
      <c r="F76101"/>
    </row>
    <row r="76102" spans="1:6" x14ac:dyDescent="0.25">
      <c r="A76102"/>
      <c r="B76102"/>
      <c r="C76102"/>
      <c r="E76102"/>
      <c r="F76102"/>
    </row>
    <row r="76103" spans="1:6" x14ac:dyDescent="0.25">
      <c r="A76103"/>
      <c r="B76103"/>
      <c r="C76103"/>
      <c r="E76103"/>
      <c r="F76103"/>
    </row>
    <row r="76104" spans="1:6" x14ac:dyDescent="0.25">
      <c r="A76104"/>
      <c r="B76104"/>
      <c r="C76104"/>
      <c r="E76104"/>
      <c r="F76104"/>
    </row>
    <row r="76105" spans="1:6" x14ac:dyDescent="0.25">
      <c r="A76105"/>
      <c r="B76105"/>
      <c r="C76105"/>
      <c r="E76105"/>
      <c r="F76105"/>
    </row>
    <row r="76106" spans="1:6" x14ac:dyDescent="0.25">
      <c r="A76106"/>
      <c r="B76106"/>
      <c r="C76106"/>
      <c r="E76106"/>
      <c r="F76106"/>
    </row>
    <row r="76107" spans="1:6" x14ac:dyDescent="0.25">
      <c r="A76107"/>
      <c r="B76107"/>
      <c r="C76107"/>
      <c r="E76107"/>
      <c r="F76107"/>
    </row>
    <row r="76108" spans="1:6" x14ac:dyDescent="0.25">
      <c r="A76108"/>
      <c r="B76108"/>
      <c r="C76108"/>
      <c r="E76108"/>
      <c r="F76108"/>
    </row>
    <row r="76109" spans="1:6" x14ac:dyDescent="0.25">
      <c r="A76109"/>
      <c r="B76109"/>
      <c r="C76109"/>
      <c r="E76109"/>
      <c r="F76109"/>
    </row>
    <row r="76110" spans="1:6" x14ac:dyDescent="0.25">
      <c r="A76110"/>
      <c r="B76110"/>
      <c r="C76110"/>
      <c r="E76110"/>
      <c r="F76110"/>
    </row>
    <row r="76111" spans="1:6" x14ac:dyDescent="0.25">
      <c r="A76111"/>
      <c r="B76111"/>
      <c r="C76111"/>
      <c r="E76111"/>
      <c r="F76111"/>
    </row>
    <row r="76112" spans="1:6" x14ac:dyDescent="0.25">
      <c r="A76112"/>
      <c r="B76112"/>
      <c r="C76112"/>
      <c r="E76112"/>
      <c r="F76112"/>
    </row>
    <row r="76113" spans="1:6" x14ac:dyDescent="0.25">
      <c r="A76113"/>
      <c r="B76113"/>
      <c r="C76113"/>
      <c r="E76113"/>
      <c r="F76113"/>
    </row>
    <row r="76114" spans="1:6" x14ac:dyDescent="0.25">
      <c r="A76114"/>
      <c r="B76114"/>
      <c r="C76114"/>
      <c r="E76114"/>
      <c r="F76114"/>
    </row>
    <row r="76115" spans="1:6" x14ac:dyDescent="0.25">
      <c r="A76115"/>
      <c r="B76115"/>
      <c r="C76115"/>
      <c r="E76115"/>
      <c r="F76115"/>
    </row>
    <row r="76116" spans="1:6" x14ac:dyDescent="0.25">
      <c r="A76116"/>
      <c r="B76116"/>
      <c r="C76116"/>
      <c r="E76116"/>
      <c r="F76116"/>
    </row>
    <row r="76117" spans="1:6" x14ac:dyDescent="0.25">
      <c r="A76117"/>
      <c r="B76117"/>
      <c r="C76117"/>
      <c r="E76117"/>
      <c r="F76117"/>
    </row>
    <row r="76118" spans="1:6" x14ac:dyDescent="0.25">
      <c r="A76118"/>
      <c r="B76118"/>
      <c r="C76118"/>
      <c r="E76118"/>
      <c r="F76118"/>
    </row>
    <row r="76119" spans="1:6" x14ac:dyDescent="0.25">
      <c r="A76119"/>
      <c r="B76119"/>
      <c r="C76119"/>
      <c r="E76119"/>
      <c r="F76119"/>
    </row>
    <row r="76120" spans="1:6" x14ac:dyDescent="0.25">
      <c r="A76120"/>
      <c r="B76120"/>
      <c r="C76120"/>
      <c r="E76120"/>
      <c r="F76120"/>
    </row>
    <row r="76121" spans="1:6" x14ac:dyDescent="0.25">
      <c r="A76121"/>
      <c r="B76121"/>
      <c r="C76121"/>
      <c r="E76121"/>
      <c r="F76121"/>
    </row>
    <row r="76122" spans="1:6" x14ac:dyDescent="0.25">
      <c r="A76122"/>
      <c r="B76122"/>
      <c r="C76122"/>
      <c r="E76122"/>
      <c r="F76122"/>
    </row>
    <row r="76123" spans="1:6" x14ac:dyDescent="0.25">
      <c r="A76123"/>
      <c r="B76123"/>
      <c r="C76123"/>
      <c r="E76123"/>
      <c r="F76123"/>
    </row>
    <row r="76124" spans="1:6" x14ac:dyDescent="0.25">
      <c r="A76124"/>
      <c r="B76124"/>
      <c r="C76124"/>
      <c r="E76124"/>
      <c r="F76124"/>
    </row>
    <row r="76125" spans="1:6" x14ac:dyDescent="0.25">
      <c r="A76125"/>
      <c r="B76125"/>
      <c r="C76125"/>
      <c r="E76125"/>
      <c r="F76125"/>
    </row>
    <row r="76126" spans="1:6" x14ac:dyDescent="0.25">
      <c r="A76126"/>
      <c r="B76126"/>
      <c r="C76126"/>
      <c r="E76126"/>
      <c r="F76126"/>
    </row>
    <row r="76127" spans="1:6" x14ac:dyDescent="0.25">
      <c r="A76127"/>
      <c r="B76127"/>
      <c r="C76127"/>
      <c r="E76127"/>
      <c r="F76127"/>
    </row>
    <row r="76128" spans="1:6" x14ac:dyDescent="0.25">
      <c r="A76128"/>
      <c r="B76128"/>
      <c r="C76128"/>
      <c r="E76128"/>
      <c r="F76128"/>
    </row>
    <row r="76129" spans="1:6" x14ac:dyDescent="0.25">
      <c r="A76129"/>
      <c r="B76129"/>
      <c r="C76129"/>
      <c r="E76129"/>
      <c r="F76129"/>
    </row>
    <row r="76130" spans="1:6" x14ac:dyDescent="0.25">
      <c r="A76130"/>
      <c r="B76130"/>
      <c r="C76130"/>
      <c r="E76130"/>
      <c r="F76130"/>
    </row>
    <row r="76131" spans="1:6" x14ac:dyDescent="0.25">
      <c r="A76131"/>
      <c r="B76131"/>
      <c r="C76131"/>
      <c r="E76131"/>
      <c r="F76131"/>
    </row>
    <row r="76132" spans="1:6" x14ac:dyDescent="0.25">
      <c r="A76132"/>
      <c r="B76132"/>
      <c r="C76132"/>
      <c r="E76132"/>
      <c r="F76132"/>
    </row>
    <row r="76133" spans="1:6" x14ac:dyDescent="0.25">
      <c r="A76133"/>
      <c r="B76133"/>
      <c r="C76133"/>
      <c r="E76133"/>
      <c r="F76133"/>
    </row>
    <row r="76134" spans="1:6" x14ac:dyDescent="0.25">
      <c r="A76134"/>
      <c r="B76134"/>
      <c r="C76134"/>
      <c r="E76134"/>
      <c r="F76134"/>
    </row>
    <row r="76135" spans="1:6" x14ac:dyDescent="0.25">
      <c r="A76135"/>
      <c r="B76135"/>
      <c r="C76135"/>
      <c r="E76135"/>
      <c r="F76135"/>
    </row>
    <row r="76136" spans="1:6" x14ac:dyDescent="0.25">
      <c r="A76136"/>
      <c r="B76136"/>
      <c r="C76136"/>
      <c r="E76136"/>
      <c r="F76136"/>
    </row>
    <row r="76137" spans="1:6" x14ac:dyDescent="0.25">
      <c r="A76137"/>
      <c r="B76137"/>
      <c r="C76137"/>
      <c r="E76137"/>
      <c r="F76137"/>
    </row>
    <row r="76138" spans="1:6" x14ac:dyDescent="0.25">
      <c r="A76138"/>
      <c r="B76138"/>
      <c r="C76138"/>
      <c r="E76138"/>
      <c r="F76138"/>
    </row>
    <row r="76139" spans="1:6" x14ac:dyDescent="0.25">
      <c r="A76139"/>
      <c r="B76139"/>
      <c r="C76139"/>
      <c r="E76139"/>
      <c r="F76139"/>
    </row>
    <row r="76140" spans="1:6" x14ac:dyDescent="0.25">
      <c r="A76140"/>
      <c r="B76140"/>
      <c r="C76140"/>
      <c r="E76140"/>
      <c r="F76140"/>
    </row>
    <row r="76141" spans="1:6" x14ac:dyDescent="0.25">
      <c r="A76141"/>
      <c r="B76141"/>
      <c r="C76141"/>
      <c r="E76141"/>
      <c r="F76141"/>
    </row>
    <row r="76142" spans="1:6" x14ac:dyDescent="0.25">
      <c r="A76142"/>
      <c r="B76142"/>
      <c r="C76142"/>
      <c r="E76142"/>
      <c r="F76142"/>
    </row>
    <row r="76143" spans="1:6" x14ac:dyDescent="0.25">
      <c r="A76143"/>
      <c r="B76143"/>
      <c r="C76143"/>
      <c r="E76143"/>
      <c r="F76143"/>
    </row>
    <row r="76144" spans="1:6" x14ac:dyDescent="0.25">
      <c r="A76144"/>
      <c r="B76144"/>
      <c r="C76144"/>
      <c r="E76144"/>
      <c r="F76144"/>
    </row>
    <row r="76145" spans="1:6" x14ac:dyDescent="0.25">
      <c r="A76145"/>
      <c r="B76145"/>
      <c r="C76145"/>
      <c r="E76145"/>
      <c r="F76145"/>
    </row>
    <row r="76146" spans="1:6" x14ac:dyDescent="0.25">
      <c r="A76146"/>
      <c r="B76146"/>
      <c r="C76146"/>
      <c r="E76146"/>
      <c r="F76146"/>
    </row>
    <row r="76147" spans="1:6" x14ac:dyDescent="0.25">
      <c r="A76147"/>
      <c r="B76147"/>
      <c r="C76147"/>
      <c r="E76147"/>
      <c r="F76147"/>
    </row>
    <row r="76148" spans="1:6" x14ac:dyDescent="0.25">
      <c r="A76148"/>
      <c r="B76148"/>
      <c r="C76148"/>
      <c r="E76148"/>
      <c r="F76148"/>
    </row>
    <row r="76149" spans="1:6" x14ac:dyDescent="0.25">
      <c r="A76149"/>
      <c r="B76149"/>
      <c r="C76149"/>
      <c r="E76149"/>
      <c r="F76149"/>
    </row>
    <row r="76150" spans="1:6" x14ac:dyDescent="0.25">
      <c r="A76150"/>
      <c r="B76150"/>
      <c r="C76150"/>
      <c r="E76150"/>
      <c r="F76150"/>
    </row>
    <row r="76151" spans="1:6" x14ac:dyDescent="0.25">
      <c r="A76151"/>
      <c r="B76151"/>
      <c r="C76151"/>
      <c r="E76151"/>
      <c r="F76151"/>
    </row>
    <row r="76152" spans="1:6" x14ac:dyDescent="0.25">
      <c r="A76152"/>
      <c r="B76152"/>
      <c r="C76152"/>
      <c r="E76152"/>
      <c r="F76152"/>
    </row>
    <row r="76153" spans="1:6" x14ac:dyDescent="0.25">
      <c r="A76153"/>
      <c r="B76153"/>
      <c r="C76153"/>
      <c r="E76153"/>
      <c r="F76153"/>
    </row>
    <row r="76154" spans="1:6" x14ac:dyDescent="0.25">
      <c r="A76154"/>
      <c r="B76154"/>
      <c r="C76154"/>
      <c r="E76154"/>
      <c r="F76154"/>
    </row>
    <row r="76155" spans="1:6" x14ac:dyDescent="0.25">
      <c r="A76155"/>
      <c r="B76155"/>
      <c r="C76155"/>
      <c r="E76155"/>
      <c r="F76155"/>
    </row>
    <row r="76156" spans="1:6" x14ac:dyDescent="0.25">
      <c r="A76156"/>
      <c r="B76156"/>
      <c r="C76156"/>
      <c r="E76156"/>
      <c r="F76156"/>
    </row>
    <row r="76157" spans="1:6" x14ac:dyDescent="0.25">
      <c r="A76157"/>
      <c r="B76157"/>
      <c r="C76157"/>
      <c r="E76157"/>
      <c r="F76157"/>
    </row>
    <row r="76158" spans="1:6" x14ac:dyDescent="0.25">
      <c r="A76158"/>
      <c r="B76158"/>
      <c r="C76158"/>
      <c r="E76158"/>
      <c r="F76158"/>
    </row>
    <row r="76159" spans="1:6" x14ac:dyDescent="0.25">
      <c r="A76159"/>
      <c r="B76159"/>
      <c r="C76159"/>
      <c r="E76159"/>
      <c r="F76159"/>
    </row>
    <row r="76160" spans="1:6" x14ac:dyDescent="0.25">
      <c r="A76160"/>
      <c r="B76160"/>
      <c r="C76160"/>
      <c r="E76160"/>
      <c r="F76160"/>
    </row>
    <row r="76161" spans="1:6" x14ac:dyDescent="0.25">
      <c r="A76161"/>
      <c r="B76161"/>
      <c r="C76161"/>
      <c r="E76161"/>
      <c r="F76161"/>
    </row>
    <row r="76162" spans="1:6" x14ac:dyDescent="0.25">
      <c r="A76162"/>
      <c r="B76162"/>
      <c r="C76162"/>
      <c r="E76162"/>
      <c r="F76162"/>
    </row>
    <row r="76163" spans="1:6" x14ac:dyDescent="0.25">
      <c r="A76163"/>
      <c r="B76163"/>
      <c r="C76163"/>
      <c r="E76163"/>
      <c r="F76163"/>
    </row>
    <row r="76164" spans="1:6" x14ac:dyDescent="0.25">
      <c r="A76164"/>
      <c r="B76164"/>
      <c r="C76164"/>
      <c r="E76164"/>
      <c r="F76164"/>
    </row>
    <row r="76165" spans="1:6" x14ac:dyDescent="0.25">
      <c r="A76165"/>
      <c r="B76165"/>
      <c r="C76165"/>
      <c r="E76165"/>
      <c r="F76165"/>
    </row>
    <row r="76166" spans="1:6" x14ac:dyDescent="0.25">
      <c r="A76166"/>
      <c r="B76166"/>
      <c r="C76166"/>
      <c r="E76166"/>
      <c r="F76166"/>
    </row>
    <row r="76167" spans="1:6" x14ac:dyDescent="0.25">
      <c r="A76167"/>
      <c r="B76167"/>
      <c r="C76167"/>
      <c r="E76167"/>
      <c r="F76167"/>
    </row>
    <row r="76168" spans="1:6" x14ac:dyDescent="0.25">
      <c r="A76168"/>
      <c r="B76168"/>
      <c r="C76168"/>
      <c r="E76168"/>
      <c r="F76168"/>
    </row>
    <row r="76169" spans="1:6" x14ac:dyDescent="0.25">
      <c r="A76169"/>
      <c r="B76169"/>
      <c r="C76169"/>
      <c r="E76169"/>
      <c r="F76169"/>
    </row>
    <row r="76170" spans="1:6" x14ac:dyDescent="0.25">
      <c r="A76170"/>
      <c r="B76170"/>
      <c r="C76170"/>
      <c r="E76170"/>
      <c r="F76170"/>
    </row>
    <row r="76171" spans="1:6" x14ac:dyDescent="0.25">
      <c r="A76171"/>
      <c r="B76171"/>
      <c r="C76171"/>
      <c r="E76171"/>
      <c r="F76171"/>
    </row>
    <row r="76172" spans="1:6" x14ac:dyDescent="0.25">
      <c r="A76172"/>
      <c r="B76172"/>
      <c r="C76172"/>
      <c r="E76172"/>
      <c r="F76172"/>
    </row>
    <row r="76173" spans="1:6" x14ac:dyDescent="0.25">
      <c r="A76173"/>
      <c r="B76173"/>
      <c r="C76173"/>
      <c r="E76173"/>
      <c r="F76173"/>
    </row>
    <row r="76174" spans="1:6" x14ac:dyDescent="0.25">
      <c r="A76174"/>
      <c r="B76174"/>
      <c r="C76174"/>
      <c r="E76174"/>
      <c r="F76174"/>
    </row>
    <row r="76175" spans="1:6" x14ac:dyDescent="0.25">
      <c r="A76175"/>
      <c r="B76175"/>
      <c r="C76175"/>
      <c r="E76175"/>
      <c r="F76175"/>
    </row>
    <row r="76176" spans="1:6" x14ac:dyDescent="0.25">
      <c r="A76176"/>
      <c r="B76176"/>
      <c r="C76176"/>
      <c r="E76176"/>
      <c r="F76176"/>
    </row>
    <row r="76177" spans="1:6" x14ac:dyDescent="0.25">
      <c r="A76177"/>
      <c r="B76177"/>
      <c r="C76177"/>
      <c r="E76177"/>
      <c r="F76177"/>
    </row>
    <row r="76178" spans="1:6" x14ac:dyDescent="0.25">
      <c r="A76178"/>
      <c r="B76178"/>
      <c r="C76178"/>
      <c r="E76178"/>
      <c r="F76178"/>
    </row>
    <row r="76179" spans="1:6" x14ac:dyDescent="0.25">
      <c r="A76179"/>
      <c r="B76179"/>
      <c r="C76179"/>
      <c r="E76179"/>
      <c r="F76179"/>
    </row>
    <row r="76180" spans="1:6" x14ac:dyDescent="0.25">
      <c r="A76180"/>
      <c r="B76180"/>
      <c r="C76180"/>
      <c r="E76180"/>
      <c r="F76180"/>
    </row>
    <row r="76181" spans="1:6" x14ac:dyDescent="0.25">
      <c r="A76181"/>
      <c r="B76181"/>
      <c r="C76181"/>
      <c r="E76181"/>
      <c r="F76181"/>
    </row>
    <row r="76182" spans="1:6" x14ac:dyDescent="0.25">
      <c r="A76182"/>
      <c r="B76182"/>
      <c r="C76182"/>
      <c r="E76182"/>
      <c r="F76182"/>
    </row>
    <row r="76183" spans="1:6" x14ac:dyDescent="0.25">
      <c r="A76183"/>
      <c r="B76183"/>
      <c r="C76183"/>
      <c r="E76183"/>
      <c r="F76183"/>
    </row>
    <row r="76184" spans="1:6" x14ac:dyDescent="0.25">
      <c r="A76184"/>
      <c r="B76184"/>
      <c r="C76184"/>
      <c r="E76184"/>
      <c r="F76184"/>
    </row>
    <row r="76185" spans="1:6" x14ac:dyDescent="0.25">
      <c r="A76185"/>
      <c r="B76185"/>
      <c r="C76185"/>
      <c r="E76185"/>
      <c r="F76185"/>
    </row>
    <row r="76186" spans="1:6" x14ac:dyDescent="0.25">
      <c r="A76186"/>
      <c r="B76186"/>
      <c r="C76186"/>
      <c r="E76186"/>
      <c r="F76186"/>
    </row>
    <row r="76187" spans="1:6" x14ac:dyDescent="0.25">
      <c r="A76187"/>
      <c r="B76187"/>
      <c r="C76187"/>
      <c r="E76187"/>
      <c r="F76187"/>
    </row>
    <row r="76188" spans="1:6" x14ac:dyDescent="0.25">
      <c r="A76188"/>
      <c r="B76188"/>
      <c r="C76188"/>
      <c r="E76188"/>
      <c r="F76188"/>
    </row>
    <row r="76189" spans="1:6" x14ac:dyDescent="0.25">
      <c r="A76189"/>
      <c r="B76189"/>
      <c r="C76189"/>
      <c r="E76189"/>
      <c r="F76189"/>
    </row>
    <row r="76190" spans="1:6" x14ac:dyDescent="0.25">
      <c r="A76190"/>
      <c r="B76190"/>
      <c r="C76190"/>
      <c r="E76190"/>
      <c r="F76190"/>
    </row>
    <row r="76191" spans="1:6" x14ac:dyDescent="0.25">
      <c r="A76191"/>
      <c r="B76191"/>
      <c r="C76191"/>
      <c r="E76191"/>
      <c r="F76191"/>
    </row>
    <row r="76192" spans="1:6" x14ac:dyDescent="0.25">
      <c r="A76192"/>
      <c r="B76192"/>
      <c r="C76192"/>
      <c r="E76192"/>
      <c r="F76192"/>
    </row>
    <row r="76193" spans="1:6" x14ac:dyDescent="0.25">
      <c r="A76193"/>
      <c r="B76193"/>
      <c r="C76193"/>
      <c r="E76193"/>
      <c r="F76193"/>
    </row>
    <row r="76194" spans="1:6" x14ac:dyDescent="0.25">
      <c r="A76194"/>
      <c r="B76194"/>
      <c r="C76194"/>
      <c r="E76194"/>
      <c r="F76194"/>
    </row>
    <row r="76195" spans="1:6" x14ac:dyDescent="0.25">
      <c r="A76195"/>
      <c r="B76195"/>
      <c r="C76195"/>
      <c r="E76195"/>
      <c r="F76195"/>
    </row>
    <row r="76196" spans="1:6" x14ac:dyDescent="0.25">
      <c r="A76196"/>
      <c r="B76196"/>
      <c r="C76196"/>
      <c r="E76196"/>
      <c r="F76196"/>
    </row>
    <row r="76197" spans="1:6" x14ac:dyDescent="0.25">
      <c r="A76197"/>
      <c r="B76197"/>
      <c r="C76197"/>
      <c r="E76197"/>
      <c r="F76197"/>
    </row>
    <row r="76198" spans="1:6" x14ac:dyDescent="0.25">
      <c r="A76198"/>
      <c r="B76198"/>
      <c r="C76198"/>
      <c r="E76198"/>
      <c r="F76198"/>
    </row>
    <row r="76199" spans="1:6" x14ac:dyDescent="0.25">
      <c r="A76199"/>
      <c r="B76199"/>
      <c r="C76199"/>
      <c r="E76199"/>
      <c r="F76199"/>
    </row>
    <row r="76200" spans="1:6" x14ac:dyDescent="0.25">
      <c r="A76200"/>
      <c r="B76200"/>
      <c r="C76200"/>
      <c r="E76200"/>
      <c r="F76200"/>
    </row>
    <row r="76201" spans="1:6" x14ac:dyDescent="0.25">
      <c r="A76201"/>
      <c r="B76201"/>
      <c r="C76201"/>
      <c r="E76201"/>
      <c r="F76201"/>
    </row>
    <row r="76202" spans="1:6" x14ac:dyDescent="0.25">
      <c r="A76202"/>
      <c r="B76202"/>
      <c r="C76202"/>
      <c r="E76202"/>
      <c r="F76202"/>
    </row>
    <row r="76203" spans="1:6" x14ac:dyDescent="0.25">
      <c r="A76203"/>
      <c r="B76203"/>
      <c r="C76203"/>
      <c r="E76203"/>
      <c r="F76203"/>
    </row>
    <row r="76204" spans="1:6" x14ac:dyDescent="0.25">
      <c r="A76204"/>
      <c r="B76204"/>
      <c r="C76204"/>
      <c r="E76204"/>
      <c r="F76204"/>
    </row>
    <row r="76205" spans="1:6" x14ac:dyDescent="0.25">
      <c r="A76205"/>
      <c r="B76205"/>
      <c r="C76205"/>
      <c r="E76205"/>
      <c r="F76205"/>
    </row>
    <row r="76206" spans="1:6" x14ac:dyDescent="0.25">
      <c r="A76206"/>
      <c r="B76206"/>
      <c r="C76206"/>
      <c r="E76206"/>
      <c r="F76206"/>
    </row>
    <row r="76207" spans="1:6" x14ac:dyDescent="0.25">
      <c r="A76207"/>
      <c r="B76207"/>
      <c r="C76207"/>
      <c r="E76207"/>
      <c r="F76207"/>
    </row>
    <row r="76208" spans="1:6" x14ac:dyDescent="0.25">
      <c r="A76208"/>
      <c r="B76208"/>
      <c r="C76208"/>
      <c r="E76208"/>
      <c r="F76208"/>
    </row>
    <row r="76209" spans="1:6" x14ac:dyDescent="0.25">
      <c r="A76209"/>
      <c r="B76209"/>
      <c r="C76209"/>
      <c r="E76209"/>
      <c r="F76209"/>
    </row>
    <row r="76210" spans="1:6" x14ac:dyDescent="0.25">
      <c r="A76210"/>
      <c r="B76210"/>
      <c r="C76210"/>
      <c r="E76210"/>
      <c r="F76210"/>
    </row>
    <row r="76211" spans="1:6" x14ac:dyDescent="0.25">
      <c r="A76211"/>
      <c r="B76211"/>
      <c r="C76211"/>
      <c r="E76211"/>
      <c r="F76211"/>
    </row>
    <row r="76212" spans="1:6" x14ac:dyDescent="0.25">
      <c r="A76212"/>
      <c r="B76212"/>
      <c r="C76212"/>
      <c r="E76212"/>
      <c r="F76212"/>
    </row>
    <row r="76213" spans="1:6" x14ac:dyDescent="0.25">
      <c r="A76213"/>
      <c r="B76213"/>
      <c r="C76213"/>
      <c r="E76213"/>
      <c r="F76213"/>
    </row>
    <row r="76214" spans="1:6" x14ac:dyDescent="0.25">
      <c r="A76214"/>
      <c r="B76214"/>
      <c r="C76214"/>
      <c r="E76214"/>
      <c r="F76214"/>
    </row>
    <row r="76215" spans="1:6" x14ac:dyDescent="0.25">
      <c r="A76215"/>
      <c r="B76215"/>
      <c r="C76215"/>
      <c r="E76215"/>
      <c r="F76215"/>
    </row>
    <row r="76216" spans="1:6" x14ac:dyDescent="0.25">
      <c r="A76216"/>
      <c r="B76216"/>
      <c r="C76216"/>
      <c r="E76216"/>
      <c r="F76216"/>
    </row>
    <row r="76217" spans="1:6" x14ac:dyDescent="0.25">
      <c r="A76217"/>
      <c r="B76217"/>
      <c r="C76217"/>
      <c r="E76217"/>
      <c r="F76217"/>
    </row>
    <row r="76218" spans="1:6" x14ac:dyDescent="0.25">
      <c r="A76218"/>
      <c r="B76218"/>
      <c r="C76218"/>
      <c r="E76218"/>
      <c r="F76218"/>
    </row>
    <row r="76219" spans="1:6" x14ac:dyDescent="0.25">
      <c r="A76219"/>
      <c r="B76219"/>
      <c r="C76219"/>
      <c r="E76219"/>
      <c r="F76219"/>
    </row>
    <row r="76220" spans="1:6" x14ac:dyDescent="0.25">
      <c r="A76220"/>
      <c r="B76220"/>
      <c r="C76220"/>
      <c r="E76220"/>
      <c r="F76220"/>
    </row>
    <row r="76221" spans="1:6" x14ac:dyDescent="0.25">
      <c r="A76221"/>
      <c r="B76221"/>
      <c r="C76221"/>
      <c r="E76221"/>
      <c r="F76221"/>
    </row>
    <row r="76222" spans="1:6" x14ac:dyDescent="0.25">
      <c r="A76222"/>
      <c r="B76222"/>
      <c r="C76222"/>
      <c r="E76222"/>
      <c r="F76222"/>
    </row>
    <row r="76223" spans="1:6" x14ac:dyDescent="0.25">
      <c r="A76223"/>
      <c r="B76223"/>
      <c r="C76223"/>
      <c r="E76223"/>
      <c r="F76223"/>
    </row>
    <row r="76224" spans="1:6" x14ac:dyDescent="0.25">
      <c r="A76224"/>
      <c r="B76224"/>
      <c r="C76224"/>
      <c r="E76224"/>
      <c r="F76224"/>
    </row>
    <row r="76225" spans="1:6" x14ac:dyDescent="0.25">
      <c r="A76225"/>
      <c r="B76225"/>
      <c r="C76225"/>
      <c r="E76225"/>
      <c r="F76225"/>
    </row>
    <row r="76226" spans="1:6" x14ac:dyDescent="0.25">
      <c r="A76226"/>
      <c r="B76226"/>
      <c r="C76226"/>
      <c r="E76226"/>
      <c r="F76226"/>
    </row>
    <row r="76227" spans="1:6" x14ac:dyDescent="0.25">
      <c r="A76227"/>
      <c r="B76227"/>
      <c r="C76227"/>
      <c r="E76227"/>
      <c r="F76227"/>
    </row>
    <row r="76228" spans="1:6" x14ac:dyDescent="0.25">
      <c r="A76228"/>
      <c r="B76228"/>
      <c r="C76228"/>
      <c r="E76228"/>
      <c r="F76228"/>
    </row>
    <row r="76229" spans="1:6" x14ac:dyDescent="0.25">
      <c r="A76229"/>
      <c r="B76229"/>
      <c r="C76229"/>
      <c r="E76229"/>
      <c r="F76229"/>
    </row>
    <row r="76230" spans="1:6" x14ac:dyDescent="0.25">
      <c r="A76230"/>
      <c r="B76230"/>
      <c r="C76230"/>
      <c r="E76230"/>
      <c r="F76230"/>
    </row>
    <row r="76231" spans="1:6" x14ac:dyDescent="0.25">
      <c r="A76231"/>
      <c r="B76231"/>
      <c r="C76231"/>
      <c r="E76231"/>
      <c r="F76231"/>
    </row>
    <row r="76232" spans="1:6" x14ac:dyDescent="0.25">
      <c r="A76232"/>
      <c r="B76232"/>
      <c r="C76232"/>
      <c r="E76232"/>
      <c r="F76232"/>
    </row>
    <row r="76233" spans="1:6" x14ac:dyDescent="0.25">
      <c r="A76233"/>
      <c r="B76233"/>
      <c r="C76233"/>
      <c r="E76233"/>
      <c r="F76233"/>
    </row>
    <row r="76234" spans="1:6" x14ac:dyDescent="0.25">
      <c r="A76234"/>
      <c r="B76234"/>
      <c r="C76234"/>
      <c r="E76234"/>
      <c r="F76234"/>
    </row>
    <row r="76235" spans="1:6" x14ac:dyDescent="0.25">
      <c r="A76235"/>
      <c r="B76235"/>
      <c r="C76235"/>
      <c r="E76235"/>
      <c r="F76235"/>
    </row>
    <row r="76236" spans="1:6" x14ac:dyDescent="0.25">
      <c r="A76236"/>
      <c r="B76236"/>
      <c r="C76236"/>
      <c r="E76236"/>
      <c r="F76236"/>
    </row>
    <row r="76237" spans="1:6" x14ac:dyDescent="0.25">
      <c r="A76237"/>
      <c r="B76237"/>
      <c r="C76237"/>
      <c r="E76237"/>
      <c r="F76237"/>
    </row>
    <row r="76238" spans="1:6" x14ac:dyDescent="0.25">
      <c r="A76238"/>
      <c r="B76238"/>
      <c r="C76238"/>
      <c r="E76238"/>
      <c r="F76238"/>
    </row>
    <row r="76239" spans="1:6" x14ac:dyDescent="0.25">
      <c r="A76239"/>
      <c r="B76239"/>
      <c r="C76239"/>
      <c r="E76239"/>
      <c r="F76239"/>
    </row>
    <row r="76240" spans="1:6" x14ac:dyDescent="0.25">
      <c r="A76240"/>
      <c r="B76240"/>
      <c r="C76240"/>
      <c r="E76240"/>
      <c r="F76240"/>
    </row>
    <row r="76241" spans="1:6" x14ac:dyDescent="0.25">
      <c r="A76241"/>
      <c r="B76241"/>
      <c r="C76241"/>
      <c r="E76241"/>
      <c r="F76241"/>
    </row>
    <row r="76242" spans="1:6" x14ac:dyDescent="0.25">
      <c r="A76242"/>
      <c r="B76242"/>
      <c r="C76242"/>
      <c r="E76242"/>
      <c r="F76242"/>
    </row>
    <row r="76243" spans="1:6" x14ac:dyDescent="0.25">
      <c r="A76243"/>
      <c r="B76243"/>
      <c r="C76243"/>
      <c r="E76243"/>
      <c r="F76243"/>
    </row>
    <row r="76244" spans="1:6" x14ac:dyDescent="0.25">
      <c r="A76244"/>
      <c r="B76244"/>
      <c r="C76244"/>
      <c r="E76244"/>
      <c r="F76244"/>
    </row>
    <row r="76245" spans="1:6" x14ac:dyDescent="0.25">
      <c r="A76245"/>
      <c r="B76245"/>
      <c r="C76245"/>
      <c r="E76245"/>
      <c r="F76245"/>
    </row>
    <row r="76246" spans="1:6" x14ac:dyDescent="0.25">
      <c r="A76246"/>
      <c r="B76246"/>
      <c r="C76246"/>
      <c r="E76246"/>
      <c r="F76246"/>
    </row>
    <row r="76247" spans="1:6" x14ac:dyDescent="0.25">
      <c r="A76247"/>
      <c r="B76247"/>
      <c r="C76247"/>
      <c r="E76247"/>
      <c r="F76247"/>
    </row>
    <row r="76248" spans="1:6" x14ac:dyDescent="0.25">
      <c r="A76248"/>
      <c r="B76248"/>
      <c r="C76248"/>
      <c r="E76248"/>
      <c r="F76248"/>
    </row>
    <row r="76249" spans="1:6" x14ac:dyDescent="0.25">
      <c r="A76249"/>
      <c r="B76249"/>
      <c r="C76249"/>
      <c r="E76249"/>
      <c r="F76249"/>
    </row>
    <row r="76250" spans="1:6" x14ac:dyDescent="0.25">
      <c r="A76250"/>
      <c r="B76250"/>
      <c r="C76250"/>
      <c r="E76250"/>
      <c r="F76250"/>
    </row>
    <row r="76251" spans="1:6" x14ac:dyDescent="0.25">
      <c r="A76251"/>
      <c r="B76251"/>
      <c r="C76251"/>
      <c r="E76251"/>
      <c r="F76251"/>
    </row>
    <row r="76252" spans="1:6" x14ac:dyDescent="0.25">
      <c r="A76252"/>
      <c r="B76252"/>
      <c r="C76252"/>
      <c r="E76252"/>
      <c r="F76252"/>
    </row>
    <row r="76253" spans="1:6" x14ac:dyDescent="0.25">
      <c r="A76253"/>
      <c r="B76253"/>
      <c r="C76253"/>
      <c r="E76253"/>
      <c r="F76253"/>
    </row>
    <row r="76254" spans="1:6" x14ac:dyDescent="0.25">
      <c r="A76254"/>
      <c r="B76254"/>
      <c r="C76254"/>
      <c r="E76254"/>
      <c r="F76254"/>
    </row>
    <row r="76255" spans="1:6" x14ac:dyDescent="0.25">
      <c r="A76255"/>
      <c r="B76255"/>
      <c r="C76255"/>
      <c r="E76255"/>
      <c r="F76255"/>
    </row>
    <row r="76256" spans="1:6" x14ac:dyDescent="0.25">
      <c r="A76256"/>
      <c r="B76256"/>
      <c r="C76256"/>
      <c r="E76256"/>
      <c r="F76256"/>
    </row>
    <row r="76257" spans="1:6" x14ac:dyDescent="0.25">
      <c r="A76257"/>
      <c r="B76257"/>
      <c r="C76257"/>
      <c r="E76257"/>
      <c r="F76257"/>
    </row>
    <row r="76258" spans="1:6" x14ac:dyDescent="0.25">
      <c r="A76258"/>
      <c r="B76258"/>
      <c r="C76258"/>
      <c r="E76258"/>
      <c r="F76258"/>
    </row>
    <row r="76259" spans="1:6" x14ac:dyDescent="0.25">
      <c r="A76259"/>
      <c r="B76259"/>
      <c r="C76259"/>
      <c r="E76259"/>
      <c r="F76259"/>
    </row>
    <row r="76260" spans="1:6" x14ac:dyDescent="0.25">
      <c r="A76260"/>
      <c r="B76260"/>
      <c r="C76260"/>
      <c r="E76260"/>
      <c r="F76260"/>
    </row>
    <row r="76261" spans="1:6" x14ac:dyDescent="0.25">
      <c r="A76261"/>
      <c r="B76261"/>
      <c r="C76261"/>
      <c r="E76261"/>
      <c r="F76261"/>
    </row>
    <row r="76262" spans="1:6" x14ac:dyDescent="0.25">
      <c r="A76262"/>
      <c r="B76262"/>
      <c r="C76262"/>
      <c r="E76262"/>
      <c r="F76262"/>
    </row>
    <row r="76263" spans="1:6" x14ac:dyDescent="0.25">
      <c r="A76263"/>
      <c r="B76263"/>
      <c r="C76263"/>
      <c r="E76263"/>
      <c r="F76263"/>
    </row>
    <row r="76264" spans="1:6" x14ac:dyDescent="0.25">
      <c r="A76264"/>
      <c r="B76264"/>
      <c r="C76264"/>
      <c r="E76264"/>
      <c r="F76264"/>
    </row>
    <row r="76265" spans="1:6" x14ac:dyDescent="0.25">
      <c r="A76265"/>
      <c r="B76265"/>
      <c r="C76265"/>
      <c r="E76265"/>
      <c r="F76265"/>
    </row>
    <row r="76266" spans="1:6" x14ac:dyDescent="0.25">
      <c r="A76266"/>
      <c r="B76266"/>
      <c r="C76266"/>
      <c r="E76266"/>
      <c r="F76266"/>
    </row>
    <row r="76267" spans="1:6" x14ac:dyDescent="0.25">
      <c r="A76267"/>
      <c r="B76267"/>
      <c r="C76267"/>
      <c r="E76267"/>
      <c r="F76267"/>
    </row>
    <row r="76268" spans="1:6" x14ac:dyDescent="0.25">
      <c r="A76268"/>
      <c r="B76268"/>
      <c r="C76268"/>
      <c r="E76268"/>
      <c r="F76268"/>
    </row>
    <row r="76269" spans="1:6" x14ac:dyDescent="0.25">
      <c r="A76269"/>
      <c r="B76269"/>
      <c r="C76269"/>
      <c r="E76269"/>
      <c r="F76269"/>
    </row>
    <row r="76270" spans="1:6" x14ac:dyDescent="0.25">
      <c r="A76270"/>
      <c r="B76270"/>
      <c r="C76270"/>
      <c r="E76270"/>
      <c r="F76270"/>
    </row>
    <row r="76271" spans="1:6" x14ac:dyDescent="0.25">
      <c r="A76271"/>
      <c r="B76271"/>
      <c r="C76271"/>
      <c r="E76271"/>
      <c r="F76271"/>
    </row>
    <row r="76272" spans="1:6" x14ac:dyDescent="0.25">
      <c r="A76272"/>
      <c r="B76272"/>
      <c r="C76272"/>
      <c r="E76272"/>
      <c r="F76272"/>
    </row>
    <row r="76273" spans="1:6" x14ac:dyDescent="0.25">
      <c r="A76273"/>
      <c r="B76273"/>
      <c r="C76273"/>
      <c r="E76273"/>
      <c r="F76273"/>
    </row>
    <row r="76274" spans="1:6" x14ac:dyDescent="0.25">
      <c r="A76274"/>
      <c r="B76274"/>
      <c r="C76274"/>
      <c r="E76274"/>
      <c r="F76274"/>
    </row>
    <row r="76275" spans="1:6" x14ac:dyDescent="0.25">
      <c r="A76275"/>
      <c r="B76275"/>
      <c r="C76275"/>
      <c r="E76275"/>
      <c r="F76275"/>
    </row>
    <row r="76276" spans="1:6" x14ac:dyDescent="0.25">
      <c r="A76276"/>
      <c r="B76276"/>
      <c r="C76276"/>
      <c r="E76276"/>
      <c r="F76276"/>
    </row>
    <row r="76277" spans="1:6" x14ac:dyDescent="0.25">
      <c r="A76277"/>
      <c r="B76277"/>
      <c r="C76277"/>
      <c r="E76277"/>
      <c r="F76277"/>
    </row>
    <row r="76278" spans="1:6" x14ac:dyDescent="0.25">
      <c r="A76278"/>
      <c r="B76278"/>
      <c r="C76278"/>
      <c r="E76278"/>
      <c r="F76278"/>
    </row>
    <row r="76279" spans="1:6" x14ac:dyDescent="0.25">
      <c r="A76279"/>
      <c r="B76279"/>
      <c r="C76279"/>
      <c r="E76279"/>
      <c r="F76279"/>
    </row>
    <row r="76280" spans="1:6" x14ac:dyDescent="0.25">
      <c r="A76280"/>
      <c r="B76280"/>
      <c r="C76280"/>
      <c r="E76280"/>
      <c r="F76280"/>
    </row>
    <row r="76281" spans="1:6" x14ac:dyDescent="0.25">
      <c r="A76281"/>
      <c r="B76281"/>
      <c r="C76281"/>
      <c r="E76281"/>
      <c r="F76281"/>
    </row>
    <row r="76282" spans="1:6" x14ac:dyDescent="0.25">
      <c r="A76282"/>
      <c r="B76282"/>
      <c r="C76282"/>
      <c r="E76282"/>
      <c r="F76282"/>
    </row>
    <row r="76283" spans="1:6" x14ac:dyDescent="0.25">
      <c r="A76283"/>
      <c r="B76283"/>
      <c r="C76283"/>
      <c r="E76283"/>
      <c r="F76283"/>
    </row>
    <row r="76284" spans="1:6" x14ac:dyDescent="0.25">
      <c r="A76284"/>
      <c r="B76284"/>
      <c r="C76284"/>
      <c r="E76284"/>
      <c r="F76284"/>
    </row>
    <row r="76285" spans="1:6" x14ac:dyDescent="0.25">
      <c r="A76285"/>
      <c r="B76285"/>
      <c r="C76285"/>
      <c r="E76285"/>
      <c r="F76285"/>
    </row>
    <row r="76286" spans="1:6" x14ac:dyDescent="0.25">
      <c r="A76286"/>
      <c r="B76286"/>
      <c r="C76286"/>
      <c r="E76286"/>
      <c r="F76286"/>
    </row>
    <row r="76287" spans="1:6" x14ac:dyDescent="0.25">
      <c r="A76287"/>
      <c r="B76287"/>
      <c r="C76287"/>
      <c r="E76287"/>
      <c r="F76287"/>
    </row>
    <row r="76288" spans="1:6" x14ac:dyDescent="0.25">
      <c r="A76288"/>
      <c r="B76288"/>
      <c r="C76288"/>
      <c r="E76288"/>
      <c r="F76288"/>
    </row>
    <row r="76289" spans="1:6" x14ac:dyDescent="0.25">
      <c r="A76289"/>
      <c r="B76289"/>
      <c r="C76289"/>
      <c r="E76289"/>
      <c r="F76289"/>
    </row>
    <row r="76290" spans="1:6" x14ac:dyDescent="0.25">
      <c r="A76290"/>
      <c r="B76290"/>
      <c r="C76290"/>
      <c r="E76290"/>
      <c r="F76290"/>
    </row>
    <row r="76291" spans="1:6" x14ac:dyDescent="0.25">
      <c r="A76291"/>
      <c r="B76291"/>
      <c r="C76291"/>
      <c r="E76291"/>
      <c r="F76291"/>
    </row>
    <row r="76292" spans="1:6" x14ac:dyDescent="0.25">
      <c r="A76292"/>
      <c r="B76292"/>
      <c r="C76292"/>
      <c r="E76292"/>
      <c r="F76292"/>
    </row>
    <row r="76293" spans="1:6" x14ac:dyDescent="0.25">
      <c r="A76293"/>
      <c r="B76293"/>
      <c r="C76293"/>
      <c r="E76293"/>
      <c r="F76293"/>
    </row>
    <row r="76294" spans="1:6" x14ac:dyDescent="0.25">
      <c r="A76294"/>
      <c r="B76294"/>
      <c r="C76294"/>
      <c r="E76294"/>
      <c r="F76294"/>
    </row>
    <row r="76295" spans="1:6" x14ac:dyDescent="0.25">
      <c r="A76295"/>
      <c r="B76295"/>
      <c r="C76295"/>
      <c r="E76295"/>
      <c r="F76295"/>
    </row>
    <row r="76296" spans="1:6" x14ac:dyDescent="0.25">
      <c r="A76296"/>
      <c r="B76296"/>
      <c r="C76296"/>
      <c r="E76296"/>
      <c r="F76296"/>
    </row>
    <row r="76297" spans="1:6" x14ac:dyDescent="0.25">
      <c r="A76297"/>
      <c r="B76297"/>
      <c r="C76297"/>
      <c r="E76297"/>
      <c r="F76297"/>
    </row>
    <row r="76298" spans="1:6" x14ac:dyDescent="0.25">
      <c r="A76298"/>
      <c r="B76298"/>
      <c r="C76298"/>
      <c r="E76298"/>
      <c r="F76298"/>
    </row>
    <row r="76299" spans="1:6" x14ac:dyDescent="0.25">
      <c r="A76299"/>
      <c r="B76299"/>
      <c r="C76299"/>
      <c r="E76299"/>
      <c r="F76299"/>
    </row>
    <row r="76300" spans="1:6" x14ac:dyDescent="0.25">
      <c r="A76300"/>
      <c r="B76300"/>
      <c r="C76300"/>
      <c r="E76300"/>
      <c r="F76300"/>
    </row>
    <row r="76301" spans="1:6" x14ac:dyDescent="0.25">
      <c r="A76301"/>
      <c r="B76301"/>
      <c r="C76301"/>
      <c r="E76301"/>
      <c r="F76301"/>
    </row>
    <row r="76302" spans="1:6" x14ac:dyDescent="0.25">
      <c r="A76302"/>
      <c r="B76302"/>
      <c r="C76302"/>
      <c r="E76302"/>
      <c r="F76302"/>
    </row>
    <row r="76303" spans="1:6" x14ac:dyDescent="0.25">
      <c r="A76303"/>
      <c r="B76303"/>
      <c r="C76303"/>
      <c r="E76303"/>
      <c r="F76303"/>
    </row>
    <row r="76304" spans="1:6" x14ac:dyDescent="0.25">
      <c r="A76304"/>
      <c r="B76304"/>
      <c r="C76304"/>
      <c r="E76304"/>
      <c r="F76304"/>
    </row>
    <row r="76305" spans="1:6" x14ac:dyDescent="0.25">
      <c r="A76305"/>
      <c r="B76305"/>
      <c r="C76305"/>
      <c r="E76305"/>
      <c r="F76305"/>
    </row>
    <row r="76306" spans="1:6" x14ac:dyDescent="0.25">
      <c r="A76306"/>
      <c r="B76306"/>
      <c r="C76306"/>
      <c r="E76306"/>
      <c r="F76306"/>
    </row>
    <row r="76307" spans="1:6" x14ac:dyDescent="0.25">
      <c r="A76307"/>
      <c r="B76307"/>
      <c r="C76307"/>
      <c r="E76307"/>
      <c r="F76307"/>
    </row>
    <row r="76308" spans="1:6" x14ac:dyDescent="0.25">
      <c r="A76308"/>
      <c r="B76308"/>
      <c r="C76308"/>
      <c r="E76308"/>
      <c r="F76308"/>
    </row>
    <row r="76309" spans="1:6" x14ac:dyDescent="0.25">
      <c r="A76309"/>
      <c r="B76309"/>
      <c r="C76309"/>
      <c r="E76309"/>
      <c r="F76309"/>
    </row>
    <row r="76310" spans="1:6" x14ac:dyDescent="0.25">
      <c r="A76310"/>
      <c r="B76310"/>
      <c r="C76310"/>
      <c r="E76310"/>
      <c r="F76310"/>
    </row>
    <row r="76311" spans="1:6" x14ac:dyDescent="0.25">
      <c r="A76311"/>
      <c r="B76311"/>
      <c r="C76311"/>
      <c r="E76311"/>
      <c r="F76311"/>
    </row>
    <row r="76312" spans="1:6" x14ac:dyDescent="0.25">
      <c r="A76312"/>
      <c r="B76312"/>
      <c r="C76312"/>
      <c r="E76312"/>
      <c r="F76312"/>
    </row>
    <row r="76313" spans="1:6" x14ac:dyDescent="0.25">
      <c r="A76313"/>
      <c r="B76313"/>
      <c r="C76313"/>
      <c r="E76313"/>
      <c r="F76313"/>
    </row>
    <row r="76314" spans="1:6" x14ac:dyDescent="0.25">
      <c r="A76314"/>
      <c r="B76314"/>
      <c r="C76314"/>
      <c r="E76314"/>
      <c r="F76314"/>
    </row>
    <row r="76315" spans="1:6" x14ac:dyDescent="0.25">
      <c r="A76315"/>
      <c r="B76315"/>
      <c r="C76315"/>
      <c r="E76315"/>
      <c r="F76315"/>
    </row>
    <row r="76316" spans="1:6" x14ac:dyDescent="0.25">
      <c r="A76316"/>
      <c r="B76316"/>
      <c r="C76316"/>
      <c r="E76316"/>
      <c r="F76316"/>
    </row>
    <row r="76317" spans="1:6" x14ac:dyDescent="0.25">
      <c r="A76317"/>
      <c r="B76317"/>
      <c r="C76317"/>
      <c r="E76317"/>
      <c r="F76317"/>
    </row>
    <row r="76318" spans="1:6" x14ac:dyDescent="0.25">
      <c r="A76318"/>
      <c r="B76318"/>
      <c r="C76318"/>
      <c r="E76318"/>
      <c r="F76318"/>
    </row>
    <row r="76319" spans="1:6" x14ac:dyDescent="0.25">
      <c r="A76319"/>
      <c r="B76319"/>
      <c r="C76319"/>
      <c r="E76319"/>
      <c r="F76319"/>
    </row>
    <row r="76320" spans="1:6" x14ac:dyDescent="0.25">
      <c r="A76320"/>
      <c r="B76320"/>
      <c r="C76320"/>
      <c r="E76320"/>
      <c r="F76320"/>
    </row>
    <row r="76321" spans="1:6" x14ac:dyDescent="0.25">
      <c r="A76321"/>
      <c r="B76321"/>
      <c r="C76321"/>
      <c r="E76321"/>
      <c r="F76321"/>
    </row>
    <row r="76322" spans="1:6" x14ac:dyDescent="0.25">
      <c r="A76322"/>
      <c r="B76322"/>
      <c r="C76322"/>
      <c r="E76322"/>
      <c r="F76322"/>
    </row>
    <row r="76323" spans="1:6" x14ac:dyDescent="0.25">
      <c r="A76323"/>
      <c r="B76323"/>
      <c r="C76323"/>
      <c r="E76323"/>
      <c r="F76323"/>
    </row>
    <row r="76324" spans="1:6" x14ac:dyDescent="0.25">
      <c r="A76324"/>
      <c r="B76324"/>
      <c r="C76324"/>
      <c r="E76324"/>
      <c r="F76324"/>
    </row>
    <row r="76325" spans="1:6" x14ac:dyDescent="0.25">
      <c r="A76325"/>
      <c r="B76325"/>
      <c r="C76325"/>
      <c r="E76325"/>
      <c r="F76325"/>
    </row>
    <row r="76326" spans="1:6" x14ac:dyDescent="0.25">
      <c r="A76326"/>
      <c r="B76326"/>
      <c r="C76326"/>
      <c r="E76326"/>
      <c r="F76326"/>
    </row>
    <row r="76327" spans="1:6" x14ac:dyDescent="0.25">
      <c r="A76327"/>
      <c r="B76327"/>
      <c r="C76327"/>
      <c r="E76327"/>
      <c r="F76327"/>
    </row>
    <row r="76328" spans="1:6" x14ac:dyDescent="0.25">
      <c r="A76328"/>
      <c r="B76328"/>
      <c r="C76328"/>
      <c r="E76328"/>
      <c r="F76328"/>
    </row>
    <row r="76329" spans="1:6" x14ac:dyDescent="0.25">
      <c r="A76329"/>
      <c r="B76329"/>
      <c r="C76329"/>
      <c r="E76329"/>
      <c r="F76329"/>
    </row>
    <row r="76330" spans="1:6" x14ac:dyDescent="0.25">
      <c r="A76330"/>
      <c r="B76330"/>
      <c r="C76330"/>
      <c r="E76330"/>
      <c r="F76330"/>
    </row>
    <row r="76331" spans="1:6" x14ac:dyDescent="0.25">
      <c r="A76331"/>
      <c r="B76331"/>
      <c r="C76331"/>
      <c r="E76331"/>
      <c r="F76331"/>
    </row>
    <row r="76332" spans="1:6" x14ac:dyDescent="0.25">
      <c r="A76332"/>
      <c r="B76332"/>
      <c r="C76332"/>
      <c r="E76332"/>
      <c r="F76332"/>
    </row>
    <row r="76333" spans="1:6" x14ac:dyDescent="0.25">
      <c r="A76333"/>
      <c r="B76333"/>
      <c r="C76333"/>
      <c r="E76333"/>
      <c r="F76333"/>
    </row>
    <row r="76334" spans="1:6" x14ac:dyDescent="0.25">
      <c r="A76334"/>
      <c r="B76334"/>
      <c r="C76334"/>
      <c r="E76334"/>
      <c r="F76334"/>
    </row>
    <row r="76335" spans="1:6" x14ac:dyDescent="0.25">
      <c r="A76335"/>
      <c r="B76335"/>
      <c r="C76335"/>
      <c r="E76335"/>
      <c r="F76335"/>
    </row>
    <row r="76336" spans="1:6" x14ac:dyDescent="0.25">
      <c r="A76336"/>
      <c r="B76336"/>
      <c r="C76336"/>
      <c r="E76336"/>
      <c r="F76336"/>
    </row>
    <row r="76337" spans="1:6" x14ac:dyDescent="0.25">
      <c r="A76337"/>
      <c r="B76337"/>
      <c r="C76337"/>
      <c r="E76337"/>
      <c r="F76337"/>
    </row>
    <row r="76338" spans="1:6" x14ac:dyDescent="0.25">
      <c r="A76338"/>
      <c r="B76338"/>
      <c r="C76338"/>
      <c r="E76338"/>
      <c r="F76338"/>
    </row>
    <row r="76339" spans="1:6" x14ac:dyDescent="0.25">
      <c r="A76339"/>
      <c r="B76339"/>
      <c r="C76339"/>
      <c r="E76339"/>
      <c r="F76339"/>
    </row>
    <row r="76340" spans="1:6" x14ac:dyDescent="0.25">
      <c r="A76340"/>
      <c r="B76340"/>
      <c r="C76340"/>
      <c r="E76340"/>
      <c r="F76340"/>
    </row>
    <row r="76341" spans="1:6" x14ac:dyDescent="0.25">
      <c r="A76341"/>
      <c r="B76341"/>
      <c r="C76341"/>
      <c r="E76341"/>
      <c r="F76341"/>
    </row>
    <row r="76342" spans="1:6" x14ac:dyDescent="0.25">
      <c r="A76342"/>
      <c r="B76342"/>
      <c r="C76342"/>
      <c r="E76342"/>
      <c r="F76342"/>
    </row>
    <row r="76343" spans="1:6" x14ac:dyDescent="0.25">
      <c r="A76343"/>
      <c r="B76343"/>
      <c r="C76343"/>
      <c r="E76343"/>
      <c r="F76343"/>
    </row>
    <row r="76344" spans="1:6" x14ac:dyDescent="0.25">
      <c r="A76344"/>
      <c r="B76344"/>
      <c r="C76344"/>
      <c r="E76344"/>
      <c r="F76344"/>
    </row>
    <row r="76345" spans="1:6" x14ac:dyDescent="0.25">
      <c r="A76345"/>
      <c r="B76345"/>
      <c r="C76345"/>
      <c r="E76345"/>
      <c r="F76345"/>
    </row>
    <row r="76346" spans="1:6" x14ac:dyDescent="0.25">
      <c r="A76346"/>
      <c r="B76346"/>
      <c r="C76346"/>
      <c r="E76346"/>
      <c r="F76346"/>
    </row>
    <row r="76347" spans="1:6" x14ac:dyDescent="0.25">
      <c r="A76347"/>
      <c r="B76347"/>
      <c r="C76347"/>
      <c r="E76347"/>
      <c r="F76347"/>
    </row>
    <row r="76348" spans="1:6" x14ac:dyDescent="0.25">
      <c r="A76348"/>
      <c r="B76348"/>
      <c r="C76348"/>
      <c r="E76348"/>
      <c r="F76348"/>
    </row>
    <row r="76349" spans="1:6" x14ac:dyDescent="0.25">
      <c r="A76349"/>
      <c r="B76349"/>
      <c r="C76349"/>
      <c r="E76349"/>
      <c r="F76349"/>
    </row>
    <row r="76350" spans="1:6" x14ac:dyDescent="0.25">
      <c r="A76350"/>
      <c r="B76350"/>
      <c r="C76350"/>
      <c r="E76350"/>
      <c r="F76350"/>
    </row>
    <row r="76351" spans="1:6" x14ac:dyDescent="0.25">
      <c r="A76351"/>
      <c r="B76351"/>
      <c r="C76351"/>
      <c r="E76351"/>
      <c r="F76351"/>
    </row>
    <row r="76352" spans="1:6" x14ac:dyDescent="0.25">
      <c r="A76352"/>
      <c r="B76352"/>
      <c r="C76352"/>
      <c r="E76352"/>
      <c r="F76352"/>
    </row>
    <row r="76353" spans="1:6" x14ac:dyDescent="0.25">
      <c r="A76353"/>
      <c r="B76353"/>
      <c r="C76353"/>
      <c r="E76353"/>
      <c r="F76353"/>
    </row>
    <row r="76354" spans="1:6" x14ac:dyDescent="0.25">
      <c r="A76354"/>
      <c r="B76354"/>
      <c r="C76354"/>
      <c r="E76354"/>
      <c r="F76354"/>
    </row>
    <row r="76355" spans="1:6" x14ac:dyDescent="0.25">
      <c r="A76355"/>
      <c r="B76355"/>
      <c r="C76355"/>
      <c r="E76355"/>
      <c r="F76355"/>
    </row>
    <row r="76356" spans="1:6" x14ac:dyDescent="0.25">
      <c r="A76356"/>
      <c r="B76356"/>
      <c r="C76356"/>
      <c r="E76356"/>
      <c r="F76356"/>
    </row>
    <row r="76357" spans="1:6" x14ac:dyDescent="0.25">
      <c r="A76357"/>
      <c r="B76357"/>
      <c r="C76357"/>
      <c r="E76357"/>
      <c r="F76357"/>
    </row>
    <row r="76358" spans="1:6" x14ac:dyDescent="0.25">
      <c r="A76358"/>
      <c r="B76358"/>
      <c r="C76358"/>
      <c r="E76358"/>
      <c r="F76358"/>
    </row>
    <row r="76359" spans="1:6" x14ac:dyDescent="0.25">
      <c r="A76359"/>
      <c r="B76359"/>
      <c r="C76359"/>
      <c r="E76359"/>
      <c r="F76359"/>
    </row>
    <row r="76360" spans="1:6" x14ac:dyDescent="0.25">
      <c r="A76360"/>
      <c r="B76360"/>
      <c r="C76360"/>
      <c r="E76360"/>
      <c r="F76360"/>
    </row>
    <row r="76361" spans="1:6" x14ac:dyDescent="0.25">
      <c r="A76361"/>
      <c r="B76361"/>
      <c r="C76361"/>
      <c r="E76361"/>
      <c r="F76361"/>
    </row>
    <row r="76362" spans="1:6" x14ac:dyDescent="0.25">
      <c r="A76362"/>
      <c r="B76362"/>
      <c r="C76362"/>
      <c r="E76362"/>
      <c r="F76362"/>
    </row>
    <row r="76363" spans="1:6" x14ac:dyDescent="0.25">
      <c r="A76363"/>
      <c r="B76363"/>
      <c r="C76363"/>
      <c r="E76363"/>
      <c r="F76363"/>
    </row>
    <row r="76364" spans="1:6" x14ac:dyDescent="0.25">
      <c r="A76364"/>
      <c r="B76364"/>
      <c r="C76364"/>
      <c r="E76364"/>
      <c r="F76364"/>
    </row>
    <row r="76365" spans="1:6" x14ac:dyDescent="0.25">
      <c r="A76365"/>
      <c r="B76365"/>
      <c r="C76365"/>
      <c r="E76365"/>
      <c r="F76365"/>
    </row>
    <row r="76366" spans="1:6" x14ac:dyDescent="0.25">
      <c r="A76366"/>
      <c r="B76366"/>
      <c r="C76366"/>
      <c r="E76366"/>
      <c r="F76366"/>
    </row>
    <row r="76367" spans="1:6" x14ac:dyDescent="0.25">
      <c r="A76367"/>
      <c r="B76367"/>
      <c r="C76367"/>
      <c r="E76367"/>
      <c r="F76367"/>
    </row>
    <row r="76368" spans="1:6" x14ac:dyDescent="0.25">
      <c r="A76368"/>
      <c r="B76368"/>
      <c r="C76368"/>
      <c r="E76368"/>
      <c r="F76368"/>
    </row>
    <row r="76369" spans="1:6" x14ac:dyDescent="0.25">
      <c r="A76369"/>
      <c r="B76369"/>
      <c r="C76369"/>
      <c r="E76369"/>
      <c r="F76369"/>
    </row>
    <row r="76370" spans="1:6" x14ac:dyDescent="0.25">
      <c r="A76370"/>
      <c r="B76370"/>
      <c r="C76370"/>
      <c r="E76370"/>
      <c r="F76370"/>
    </row>
    <row r="76371" spans="1:6" x14ac:dyDescent="0.25">
      <c r="A76371"/>
      <c r="B76371"/>
      <c r="C76371"/>
      <c r="E76371"/>
      <c r="F76371"/>
    </row>
    <row r="76372" spans="1:6" x14ac:dyDescent="0.25">
      <c r="A76372"/>
      <c r="B76372"/>
      <c r="C76372"/>
      <c r="E76372"/>
      <c r="F76372"/>
    </row>
    <row r="76373" spans="1:6" x14ac:dyDescent="0.25">
      <c r="A76373"/>
      <c r="B76373"/>
      <c r="C76373"/>
      <c r="E76373"/>
      <c r="F76373"/>
    </row>
    <row r="76374" spans="1:6" x14ac:dyDescent="0.25">
      <c r="A76374"/>
      <c r="B76374"/>
      <c r="C76374"/>
      <c r="E76374"/>
      <c r="F76374"/>
    </row>
    <row r="76375" spans="1:6" x14ac:dyDescent="0.25">
      <c r="A76375"/>
      <c r="B76375"/>
      <c r="C76375"/>
      <c r="E76375"/>
      <c r="F76375"/>
    </row>
    <row r="76376" spans="1:6" x14ac:dyDescent="0.25">
      <c r="A76376"/>
      <c r="B76376"/>
      <c r="C76376"/>
      <c r="E76376"/>
      <c r="F76376"/>
    </row>
    <row r="76377" spans="1:6" x14ac:dyDescent="0.25">
      <c r="A76377"/>
      <c r="B76377"/>
      <c r="C76377"/>
      <c r="E76377"/>
      <c r="F76377"/>
    </row>
    <row r="76378" spans="1:6" x14ac:dyDescent="0.25">
      <c r="A76378"/>
      <c r="B76378"/>
      <c r="C76378"/>
      <c r="E76378"/>
      <c r="F76378"/>
    </row>
    <row r="76379" spans="1:6" x14ac:dyDescent="0.25">
      <c r="A76379"/>
      <c r="B76379"/>
      <c r="C76379"/>
      <c r="E76379"/>
      <c r="F76379"/>
    </row>
    <row r="76380" spans="1:6" x14ac:dyDescent="0.25">
      <c r="A76380"/>
      <c r="B76380"/>
      <c r="C76380"/>
      <c r="E76380"/>
      <c r="F76380"/>
    </row>
    <row r="76381" spans="1:6" x14ac:dyDescent="0.25">
      <c r="A76381"/>
      <c r="B76381"/>
      <c r="C76381"/>
      <c r="E76381"/>
      <c r="F76381"/>
    </row>
    <row r="76382" spans="1:6" x14ac:dyDescent="0.25">
      <c r="A76382"/>
      <c r="B76382"/>
      <c r="C76382"/>
      <c r="E76382"/>
      <c r="F76382"/>
    </row>
    <row r="76383" spans="1:6" x14ac:dyDescent="0.25">
      <c r="A76383"/>
      <c r="B76383"/>
      <c r="C76383"/>
      <c r="E76383"/>
      <c r="F76383"/>
    </row>
    <row r="76384" spans="1:6" x14ac:dyDescent="0.25">
      <c r="A76384"/>
      <c r="B76384"/>
      <c r="C76384"/>
      <c r="E76384"/>
      <c r="F76384"/>
    </row>
    <row r="76385" spans="1:6" x14ac:dyDescent="0.25">
      <c r="A76385"/>
      <c r="B76385"/>
      <c r="C76385"/>
      <c r="E76385"/>
      <c r="F76385"/>
    </row>
    <row r="76386" spans="1:6" x14ac:dyDescent="0.25">
      <c r="A76386"/>
      <c r="B76386"/>
      <c r="C76386"/>
      <c r="E76386"/>
      <c r="F76386"/>
    </row>
    <row r="76387" spans="1:6" x14ac:dyDescent="0.25">
      <c r="A76387"/>
      <c r="B76387"/>
      <c r="C76387"/>
      <c r="E76387"/>
      <c r="F76387"/>
    </row>
    <row r="76388" spans="1:6" x14ac:dyDescent="0.25">
      <c r="A76388"/>
      <c r="B76388"/>
      <c r="C76388"/>
      <c r="E76388"/>
      <c r="F76388"/>
    </row>
    <row r="76389" spans="1:6" x14ac:dyDescent="0.25">
      <c r="A76389"/>
      <c r="B76389"/>
      <c r="C76389"/>
      <c r="E76389"/>
      <c r="F76389"/>
    </row>
    <row r="76390" spans="1:6" x14ac:dyDescent="0.25">
      <c r="A76390"/>
      <c r="B76390"/>
      <c r="C76390"/>
      <c r="E76390"/>
      <c r="F76390"/>
    </row>
    <row r="76391" spans="1:6" x14ac:dyDescent="0.25">
      <c r="A76391"/>
      <c r="B76391"/>
      <c r="C76391"/>
      <c r="E76391"/>
      <c r="F76391"/>
    </row>
    <row r="76392" spans="1:6" x14ac:dyDescent="0.25">
      <c r="A76392"/>
      <c r="B76392"/>
      <c r="C76392"/>
      <c r="E76392"/>
      <c r="F76392"/>
    </row>
    <row r="76393" spans="1:6" x14ac:dyDescent="0.25">
      <c r="A76393"/>
      <c r="B76393"/>
      <c r="C76393"/>
      <c r="E76393"/>
      <c r="F76393"/>
    </row>
    <row r="76394" spans="1:6" x14ac:dyDescent="0.25">
      <c r="A76394"/>
      <c r="B76394"/>
      <c r="C76394"/>
      <c r="E76394"/>
      <c r="F76394"/>
    </row>
    <row r="76395" spans="1:6" x14ac:dyDescent="0.25">
      <c r="A76395"/>
      <c r="B76395"/>
      <c r="C76395"/>
      <c r="E76395"/>
      <c r="F76395"/>
    </row>
    <row r="76396" spans="1:6" x14ac:dyDescent="0.25">
      <c r="A76396"/>
      <c r="B76396"/>
      <c r="C76396"/>
      <c r="E76396"/>
      <c r="F76396"/>
    </row>
    <row r="76397" spans="1:6" x14ac:dyDescent="0.25">
      <c r="A76397"/>
      <c r="B76397"/>
      <c r="C76397"/>
      <c r="E76397"/>
      <c r="F76397"/>
    </row>
    <row r="76398" spans="1:6" x14ac:dyDescent="0.25">
      <c r="A76398"/>
      <c r="B76398"/>
      <c r="C76398"/>
      <c r="E76398"/>
      <c r="F76398"/>
    </row>
    <row r="76399" spans="1:6" x14ac:dyDescent="0.25">
      <c r="A76399"/>
      <c r="B76399"/>
      <c r="C76399"/>
      <c r="E76399"/>
      <c r="F76399"/>
    </row>
    <row r="76400" spans="1:6" x14ac:dyDescent="0.25">
      <c r="A76400"/>
      <c r="B76400"/>
      <c r="C76400"/>
      <c r="E76400"/>
      <c r="F76400"/>
    </row>
    <row r="76401" spans="1:6" x14ac:dyDescent="0.25">
      <c r="A76401"/>
      <c r="B76401"/>
      <c r="C76401"/>
      <c r="E76401"/>
      <c r="F76401"/>
    </row>
    <row r="76402" spans="1:6" x14ac:dyDescent="0.25">
      <c r="A76402"/>
      <c r="B76402"/>
      <c r="C76402"/>
      <c r="E76402"/>
      <c r="F76402"/>
    </row>
    <row r="76403" spans="1:6" x14ac:dyDescent="0.25">
      <c r="A76403"/>
      <c r="B76403"/>
      <c r="C76403"/>
      <c r="E76403"/>
      <c r="F76403"/>
    </row>
    <row r="76404" spans="1:6" x14ac:dyDescent="0.25">
      <c r="A76404"/>
      <c r="B76404"/>
      <c r="C76404"/>
      <c r="E76404"/>
      <c r="F76404"/>
    </row>
    <row r="76405" spans="1:6" x14ac:dyDescent="0.25">
      <c r="A76405"/>
      <c r="B76405"/>
      <c r="C76405"/>
      <c r="E76405"/>
      <c r="F76405"/>
    </row>
    <row r="76406" spans="1:6" x14ac:dyDescent="0.25">
      <c r="A76406"/>
      <c r="B76406"/>
      <c r="C76406"/>
      <c r="E76406"/>
      <c r="F76406"/>
    </row>
    <row r="76407" spans="1:6" x14ac:dyDescent="0.25">
      <c r="A76407"/>
      <c r="B76407"/>
      <c r="C76407"/>
      <c r="E76407"/>
      <c r="F76407"/>
    </row>
    <row r="76408" spans="1:6" x14ac:dyDescent="0.25">
      <c r="A76408"/>
      <c r="B76408"/>
      <c r="C76408"/>
      <c r="E76408"/>
      <c r="F76408"/>
    </row>
    <row r="76409" spans="1:6" x14ac:dyDescent="0.25">
      <c r="A76409"/>
      <c r="B76409"/>
      <c r="C76409"/>
      <c r="E76409"/>
      <c r="F76409"/>
    </row>
    <row r="76410" spans="1:6" x14ac:dyDescent="0.25">
      <c r="A76410"/>
      <c r="B76410"/>
      <c r="C76410"/>
      <c r="E76410"/>
      <c r="F76410"/>
    </row>
    <row r="76411" spans="1:6" x14ac:dyDescent="0.25">
      <c r="A76411"/>
      <c r="B76411"/>
      <c r="C76411"/>
      <c r="E76411"/>
      <c r="F76411"/>
    </row>
    <row r="76412" spans="1:6" x14ac:dyDescent="0.25">
      <c r="A76412"/>
      <c r="B76412"/>
      <c r="C76412"/>
      <c r="E76412"/>
      <c r="F76412"/>
    </row>
    <row r="76413" spans="1:6" x14ac:dyDescent="0.25">
      <c r="A76413"/>
      <c r="B76413"/>
      <c r="C76413"/>
      <c r="E76413"/>
      <c r="F76413"/>
    </row>
    <row r="76414" spans="1:6" x14ac:dyDescent="0.25">
      <c r="A76414"/>
      <c r="B76414"/>
      <c r="C76414"/>
      <c r="E76414"/>
      <c r="F76414"/>
    </row>
    <row r="76415" spans="1:6" x14ac:dyDescent="0.25">
      <c r="A76415"/>
      <c r="B76415"/>
      <c r="C76415"/>
      <c r="E76415"/>
      <c r="F76415"/>
    </row>
    <row r="76416" spans="1:6" x14ac:dyDescent="0.25">
      <c r="A76416"/>
      <c r="B76416"/>
      <c r="C76416"/>
      <c r="E76416"/>
      <c r="F76416"/>
    </row>
    <row r="76417" spans="1:6" x14ac:dyDescent="0.25">
      <c r="A76417"/>
      <c r="B76417"/>
      <c r="C76417"/>
      <c r="E76417"/>
      <c r="F76417"/>
    </row>
    <row r="76418" spans="1:6" x14ac:dyDescent="0.25">
      <c r="A76418"/>
      <c r="B76418"/>
      <c r="C76418"/>
      <c r="E76418"/>
      <c r="F76418"/>
    </row>
    <row r="76419" spans="1:6" x14ac:dyDescent="0.25">
      <c r="A76419"/>
      <c r="B76419"/>
      <c r="C76419"/>
      <c r="E76419"/>
      <c r="F76419"/>
    </row>
    <row r="76420" spans="1:6" x14ac:dyDescent="0.25">
      <c r="A76420"/>
      <c r="B76420"/>
      <c r="C76420"/>
      <c r="E76420"/>
      <c r="F76420"/>
    </row>
    <row r="76421" spans="1:6" x14ac:dyDescent="0.25">
      <c r="A76421"/>
      <c r="B76421"/>
      <c r="C76421"/>
      <c r="E76421"/>
      <c r="F76421"/>
    </row>
    <row r="76422" spans="1:6" x14ac:dyDescent="0.25">
      <c r="A76422"/>
      <c r="B76422"/>
      <c r="C76422"/>
      <c r="E76422"/>
      <c r="F76422"/>
    </row>
    <row r="76423" spans="1:6" x14ac:dyDescent="0.25">
      <c r="A76423"/>
      <c r="B76423"/>
      <c r="C76423"/>
      <c r="E76423"/>
      <c r="F76423"/>
    </row>
    <row r="76424" spans="1:6" x14ac:dyDescent="0.25">
      <c r="A76424"/>
      <c r="B76424"/>
      <c r="C76424"/>
      <c r="E76424"/>
      <c r="F76424"/>
    </row>
    <row r="76425" spans="1:6" x14ac:dyDescent="0.25">
      <c r="A76425"/>
      <c r="B76425"/>
      <c r="C76425"/>
      <c r="E76425"/>
      <c r="F76425"/>
    </row>
    <row r="76426" spans="1:6" x14ac:dyDescent="0.25">
      <c r="A76426"/>
      <c r="B76426"/>
      <c r="C76426"/>
      <c r="E76426"/>
      <c r="F76426"/>
    </row>
    <row r="76427" spans="1:6" x14ac:dyDescent="0.25">
      <c r="A76427"/>
      <c r="B76427"/>
      <c r="C76427"/>
      <c r="E76427"/>
      <c r="F76427"/>
    </row>
    <row r="76428" spans="1:6" x14ac:dyDescent="0.25">
      <c r="A76428"/>
      <c r="B76428"/>
      <c r="C76428"/>
      <c r="E76428"/>
      <c r="F76428"/>
    </row>
    <row r="76429" spans="1:6" x14ac:dyDescent="0.25">
      <c r="A76429"/>
      <c r="B76429"/>
      <c r="C76429"/>
      <c r="E76429"/>
      <c r="F76429"/>
    </row>
    <row r="76430" spans="1:6" x14ac:dyDescent="0.25">
      <c r="A76430"/>
      <c r="B76430"/>
      <c r="C76430"/>
      <c r="E76430"/>
      <c r="F76430"/>
    </row>
    <row r="76431" spans="1:6" x14ac:dyDescent="0.25">
      <c r="A76431"/>
      <c r="B76431"/>
      <c r="C76431"/>
      <c r="E76431"/>
      <c r="F76431"/>
    </row>
    <row r="76432" spans="1:6" x14ac:dyDescent="0.25">
      <c r="A76432"/>
      <c r="B76432"/>
      <c r="C76432"/>
      <c r="E76432"/>
      <c r="F76432"/>
    </row>
    <row r="76433" spans="1:6" x14ac:dyDescent="0.25">
      <c r="A76433"/>
      <c r="B76433"/>
      <c r="C76433"/>
      <c r="E76433"/>
      <c r="F76433"/>
    </row>
    <row r="76434" spans="1:6" x14ac:dyDescent="0.25">
      <c r="A76434"/>
      <c r="B76434"/>
      <c r="C76434"/>
      <c r="E76434"/>
      <c r="F76434"/>
    </row>
    <row r="76435" spans="1:6" x14ac:dyDescent="0.25">
      <c r="A76435"/>
      <c r="B76435"/>
      <c r="C76435"/>
      <c r="E76435"/>
      <c r="F76435"/>
    </row>
    <row r="76436" spans="1:6" x14ac:dyDescent="0.25">
      <c r="A76436"/>
      <c r="B76436"/>
      <c r="C76436"/>
      <c r="E76436"/>
      <c r="F76436"/>
    </row>
    <row r="76437" spans="1:6" x14ac:dyDescent="0.25">
      <c r="A76437"/>
      <c r="B76437"/>
      <c r="C76437"/>
      <c r="E76437"/>
      <c r="F76437"/>
    </row>
    <row r="76438" spans="1:6" x14ac:dyDescent="0.25">
      <c r="A76438"/>
      <c r="B76438"/>
      <c r="C76438"/>
      <c r="E76438"/>
      <c r="F76438"/>
    </row>
    <row r="76439" spans="1:6" x14ac:dyDescent="0.25">
      <c r="A76439"/>
      <c r="B76439"/>
      <c r="C76439"/>
      <c r="E76439"/>
      <c r="F76439"/>
    </row>
    <row r="76440" spans="1:6" x14ac:dyDescent="0.25">
      <c r="A76440"/>
      <c r="B76440"/>
      <c r="C76440"/>
      <c r="E76440"/>
      <c r="F76440"/>
    </row>
    <row r="76441" spans="1:6" x14ac:dyDescent="0.25">
      <c r="A76441"/>
      <c r="B76441"/>
      <c r="C76441"/>
      <c r="E76441"/>
      <c r="F76441"/>
    </row>
    <row r="76442" spans="1:6" x14ac:dyDescent="0.25">
      <c r="A76442"/>
      <c r="B76442"/>
      <c r="C76442"/>
      <c r="E76442"/>
      <c r="F76442"/>
    </row>
    <row r="76443" spans="1:6" x14ac:dyDescent="0.25">
      <c r="A76443"/>
      <c r="B76443"/>
      <c r="C76443"/>
      <c r="E76443"/>
      <c r="F76443"/>
    </row>
    <row r="76444" spans="1:6" x14ac:dyDescent="0.25">
      <c r="A76444"/>
      <c r="B76444"/>
      <c r="C76444"/>
      <c r="E76444"/>
      <c r="F76444"/>
    </row>
    <row r="76445" spans="1:6" x14ac:dyDescent="0.25">
      <c r="A76445"/>
      <c r="B76445"/>
      <c r="C76445"/>
      <c r="E76445"/>
      <c r="F76445"/>
    </row>
    <row r="76446" spans="1:6" x14ac:dyDescent="0.25">
      <c r="A76446"/>
      <c r="B76446"/>
      <c r="C76446"/>
      <c r="E76446"/>
      <c r="F76446"/>
    </row>
    <row r="76447" spans="1:6" x14ac:dyDescent="0.25">
      <c r="A76447"/>
      <c r="B76447"/>
      <c r="C76447"/>
      <c r="E76447"/>
      <c r="F76447"/>
    </row>
    <row r="76448" spans="1:6" x14ac:dyDescent="0.25">
      <c r="A76448"/>
      <c r="B76448"/>
      <c r="C76448"/>
      <c r="E76448"/>
      <c r="F76448"/>
    </row>
    <row r="76449" spans="1:6" x14ac:dyDescent="0.25">
      <c r="A76449"/>
      <c r="B76449"/>
      <c r="C76449"/>
      <c r="E76449"/>
      <c r="F76449"/>
    </row>
    <row r="76450" spans="1:6" x14ac:dyDescent="0.25">
      <c r="A76450"/>
      <c r="B76450"/>
      <c r="C76450"/>
      <c r="E76450"/>
      <c r="F76450"/>
    </row>
    <row r="76451" spans="1:6" x14ac:dyDescent="0.25">
      <c r="A76451"/>
      <c r="B76451"/>
      <c r="C76451"/>
      <c r="E76451"/>
      <c r="F76451"/>
    </row>
    <row r="76452" spans="1:6" x14ac:dyDescent="0.25">
      <c r="A76452"/>
      <c r="B76452"/>
      <c r="C76452"/>
      <c r="E76452"/>
      <c r="F76452"/>
    </row>
    <row r="76453" spans="1:6" x14ac:dyDescent="0.25">
      <c r="A76453"/>
      <c r="B76453"/>
      <c r="C76453"/>
      <c r="E76453"/>
      <c r="F76453"/>
    </row>
    <row r="76454" spans="1:6" x14ac:dyDescent="0.25">
      <c r="A76454"/>
      <c r="B76454"/>
      <c r="C76454"/>
      <c r="E76454"/>
      <c r="F76454"/>
    </row>
    <row r="76455" spans="1:6" x14ac:dyDescent="0.25">
      <c r="A76455"/>
      <c r="B76455"/>
      <c r="C76455"/>
      <c r="E76455"/>
      <c r="F76455"/>
    </row>
    <row r="76456" spans="1:6" x14ac:dyDescent="0.25">
      <c r="A76456"/>
      <c r="B76456"/>
      <c r="C76456"/>
      <c r="E76456"/>
      <c r="F76456"/>
    </row>
    <row r="76457" spans="1:6" x14ac:dyDescent="0.25">
      <c r="A76457"/>
      <c r="B76457"/>
      <c r="C76457"/>
      <c r="E76457"/>
      <c r="F76457"/>
    </row>
    <row r="76458" spans="1:6" x14ac:dyDescent="0.25">
      <c r="A76458"/>
      <c r="B76458"/>
      <c r="C76458"/>
      <c r="E76458"/>
      <c r="F76458"/>
    </row>
    <row r="76459" spans="1:6" x14ac:dyDescent="0.25">
      <c r="A76459"/>
      <c r="B76459"/>
      <c r="C76459"/>
      <c r="E76459"/>
      <c r="F76459"/>
    </row>
    <row r="76460" spans="1:6" x14ac:dyDescent="0.25">
      <c r="A76460"/>
      <c r="B76460"/>
      <c r="C76460"/>
      <c r="E76460"/>
      <c r="F76460"/>
    </row>
    <row r="76461" spans="1:6" x14ac:dyDescent="0.25">
      <c r="A76461"/>
      <c r="B76461"/>
      <c r="C76461"/>
      <c r="E76461"/>
      <c r="F76461"/>
    </row>
    <row r="76462" spans="1:6" x14ac:dyDescent="0.25">
      <c r="A76462"/>
      <c r="B76462"/>
      <c r="C76462"/>
      <c r="E76462"/>
      <c r="F76462"/>
    </row>
    <row r="76463" spans="1:6" x14ac:dyDescent="0.25">
      <c r="A76463"/>
      <c r="B76463"/>
      <c r="C76463"/>
      <c r="E76463"/>
      <c r="F76463"/>
    </row>
    <row r="76464" spans="1:6" x14ac:dyDescent="0.25">
      <c r="A76464"/>
      <c r="B76464"/>
      <c r="C76464"/>
      <c r="E76464"/>
      <c r="F76464"/>
    </row>
    <row r="76465" spans="1:6" x14ac:dyDescent="0.25">
      <c r="A76465"/>
      <c r="B76465"/>
      <c r="C76465"/>
      <c r="E76465"/>
      <c r="F76465"/>
    </row>
    <row r="76466" spans="1:6" x14ac:dyDescent="0.25">
      <c r="A76466"/>
      <c r="B76466"/>
      <c r="C76466"/>
      <c r="E76466"/>
      <c r="F76466"/>
    </row>
    <row r="76467" spans="1:6" x14ac:dyDescent="0.25">
      <c r="A76467"/>
      <c r="B76467"/>
      <c r="C76467"/>
      <c r="E76467"/>
      <c r="F76467"/>
    </row>
    <row r="76468" spans="1:6" x14ac:dyDescent="0.25">
      <c r="A76468"/>
      <c r="B76468"/>
      <c r="C76468"/>
      <c r="E76468"/>
      <c r="F76468"/>
    </row>
    <row r="76469" spans="1:6" x14ac:dyDescent="0.25">
      <c r="A76469"/>
      <c r="B76469"/>
      <c r="C76469"/>
      <c r="E76469"/>
      <c r="F76469"/>
    </row>
    <row r="76470" spans="1:6" x14ac:dyDescent="0.25">
      <c r="A76470"/>
      <c r="B76470"/>
      <c r="C76470"/>
      <c r="E76470"/>
      <c r="F76470"/>
    </row>
    <row r="76471" spans="1:6" x14ac:dyDescent="0.25">
      <c r="A76471"/>
      <c r="B76471"/>
      <c r="C76471"/>
      <c r="E76471"/>
      <c r="F76471"/>
    </row>
    <row r="76472" spans="1:6" x14ac:dyDescent="0.25">
      <c r="A76472"/>
      <c r="B76472"/>
      <c r="C76472"/>
      <c r="E76472"/>
      <c r="F76472"/>
    </row>
    <row r="76473" spans="1:6" x14ac:dyDescent="0.25">
      <c r="A76473"/>
      <c r="B76473"/>
      <c r="C76473"/>
      <c r="E76473"/>
      <c r="F76473"/>
    </row>
    <row r="76474" spans="1:6" x14ac:dyDescent="0.25">
      <c r="A76474"/>
      <c r="B76474"/>
      <c r="C76474"/>
      <c r="E76474"/>
      <c r="F76474"/>
    </row>
    <row r="76475" spans="1:6" x14ac:dyDescent="0.25">
      <c r="A76475"/>
      <c r="B76475"/>
      <c r="C76475"/>
      <c r="E76475"/>
      <c r="F76475"/>
    </row>
    <row r="76476" spans="1:6" x14ac:dyDescent="0.25">
      <c r="A76476"/>
      <c r="B76476"/>
      <c r="C76476"/>
      <c r="E76476"/>
      <c r="F76476"/>
    </row>
    <row r="76477" spans="1:6" x14ac:dyDescent="0.25">
      <c r="A76477"/>
      <c r="B76477"/>
      <c r="C76477"/>
      <c r="E76477"/>
      <c r="F76477"/>
    </row>
    <row r="76478" spans="1:6" x14ac:dyDescent="0.25">
      <c r="A76478"/>
      <c r="B76478"/>
      <c r="C76478"/>
      <c r="E76478"/>
      <c r="F76478"/>
    </row>
    <row r="76479" spans="1:6" x14ac:dyDescent="0.25">
      <c r="A76479"/>
      <c r="B76479"/>
      <c r="C76479"/>
      <c r="E76479"/>
      <c r="F76479"/>
    </row>
    <row r="76480" spans="1:6" x14ac:dyDescent="0.25">
      <c r="A76480"/>
      <c r="B76480"/>
      <c r="C76480"/>
      <c r="E76480"/>
      <c r="F76480"/>
    </row>
    <row r="76481" spans="1:6" x14ac:dyDescent="0.25">
      <c r="A76481"/>
      <c r="B76481"/>
      <c r="C76481"/>
      <c r="E76481"/>
      <c r="F76481"/>
    </row>
    <row r="76482" spans="1:6" x14ac:dyDescent="0.25">
      <c r="A76482"/>
      <c r="B76482"/>
      <c r="C76482"/>
      <c r="E76482"/>
      <c r="F76482"/>
    </row>
    <row r="76483" spans="1:6" x14ac:dyDescent="0.25">
      <c r="A76483"/>
      <c r="B76483"/>
      <c r="C76483"/>
      <c r="E76483"/>
      <c r="F76483"/>
    </row>
    <row r="76484" spans="1:6" x14ac:dyDescent="0.25">
      <c r="A76484"/>
      <c r="B76484"/>
      <c r="C76484"/>
      <c r="E76484"/>
      <c r="F76484"/>
    </row>
    <row r="76485" spans="1:6" x14ac:dyDescent="0.25">
      <c r="A76485"/>
      <c r="B76485"/>
      <c r="C76485"/>
      <c r="E76485"/>
      <c r="F76485"/>
    </row>
    <row r="76486" spans="1:6" x14ac:dyDescent="0.25">
      <c r="A76486"/>
      <c r="B76486"/>
      <c r="C76486"/>
      <c r="E76486"/>
      <c r="F76486"/>
    </row>
    <row r="76487" spans="1:6" x14ac:dyDescent="0.25">
      <c r="A76487"/>
      <c r="B76487"/>
      <c r="C76487"/>
      <c r="E76487"/>
      <c r="F76487"/>
    </row>
    <row r="76488" spans="1:6" x14ac:dyDescent="0.25">
      <c r="A76488"/>
      <c r="B76488"/>
      <c r="C76488"/>
      <c r="E76488"/>
      <c r="F76488"/>
    </row>
    <row r="76489" spans="1:6" x14ac:dyDescent="0.25">
      <c r="A76489"/>
      <c r="B76489"/>
      <c r="C76489"/>
      <c r="E76489"/>
      <c r="F76489"/>
    </row>
    <row r="76490" spans="1:6" x14ac:dyDescent="0.25">
      <c r="A76490"/>
      <c r="B76490"/>
      <c r="C76490"/>
      <c r="E76490"/>
      <c r="F76490"/>
    </row>
    <row r="76491" spans="1:6" x14ac:dyDescent="0.25">
      <c r="A76491"/>
      <c r="B76491"/>
      <c r="C76491"/>
      <c r="E76491"/>
      <c r="F76491"/>
    </row>
    <row r="76492" spans="1:6" x14ac:dyDescent="0.25">
      <c r="A76492"/>
      <c r="B76492"/>
      <c r="C76492"/>
      <c r="E76492"/>
      <c r="F76492"/>
    </row>
    <row r="76493" spans="1:6" x14ac:dyDescent="0.25">
      <c r="A76493"/>
      <c r="B76493"/>
      <c r="C76493"/>
      <c r="E76493"/>
      <c r="F76493"/>
    </row>
    <row r="76494" spans="1:6" x14ac:dyDescent="0.25">
      <c r="A76494"/>
      <c r="B76494"/>
      <c r="C76494"/>
      <c r="E76494"/>
      <c r="F76494"/>
    </row>
    <row r="76495" spans="1:6" x14ac:dyDescent="0.25">
      <c r="A76495"/>
      <c r="B76495"/>
      <c r="C76495"/>
      <c r="E76495"/>
      <c r="F76495"/>
    </row>
    <row r="76496" spans="1:6" x14ac:dyDescent="0.25">
      <c r="A76496"/>
      <c r="B76496"/>
      <c r="C76496"/>
      <c r="E76496"/>
      <c r="F76496"/>
    </row>
    <row r="76497" spans="1:6" x14ac:dyDescent="0.25">
      <c r="A76497"/>
      <c r="B76497"/>
      <c r="C76497"/>
      <c r="E76497"/>
      <c r="F76497"/>
    </row>
    <row r="76498" spans="1:6" x14ac:dyDescent="0.25">
      <c r="A76498"/>
      <c r="B76498"/>
      <c r="C76498"/>
      <c r="E76498"/>
      <c r="F76498"/>
    </row>
    <row r="76499" spans="1:6" x14ac:dyDescent="0.25">
      <c r="A76499"/>
      <c r="B76499"/>
      <c r="C76499"/>
      <c r="E76499"/>
      <c r="F76499"/>
    </row>
    <row r="76500" spans="1:6" x14ac:dyDescent="0.25">
      <c r="A76500"/>
      <c r="B76500"/>
      <c r="C76500"/>
      <c r="E76500"/>
      <c r="F76500"/>
    </row>
    <row r="76501" spans="1:6" x14ac:dyDescent="0.25">
      <c r="A76501"/>
      <c r="B76501"/>
      <c r="C76501"/>
      <c r="E76501"/>
      <c r="F76501"/>
    </row>
    <row r="76502" spans="1:6" x14ac:dyDescent="0.25">
      <c r="A76502"/>
      <c r="B76502"/>
      <c r="C76502"/>
      <c r="E76502"/>
      <c r="F76502"/>
    </row>
    <row r="76503" spans="1:6" x14ac:dyDescent="0.25">
      <c r="A76503"/>
      <c r="B76503"/>
      <c r="C76503"/>
      <c r="E76503"/>
      <c r="F76503"/>
    </row>
    <row r="76504" spans="1:6" x14ac:dyDescent="0.25">
      <c r="A76504"/>
      <c r="B76504"/>
      <c r="C76504"/>
      <c r="E76504"/>
      <c r="F76504"/>
    </row>
    <row r="76505" spans="1:6" x14ac:dyDescent="0.25">
      <c r="A76505"/>
      <c r="B76505"/>
      <c r="C76505"/>
      <c r="E76505"/>
      <c r="F76505"/>
    </row>
    <row r="76506" spans="1:6" x14ac:dyDescent="0.25">
      <c r="A76506"/>
      <c r="B76506"/>
      <c r="C76506"/>
      <c r="E76506"/>
      <c r="F76506"/>
    </row>
    <row r="76507" spans="1:6" x14ac:dyDescent="0.25">
      <c r="A76507"/>
      <c r="B76507"/>
      <c r="C76507"/>
      <c r="E76507"/>
      <c r="F76507"/>
    </row>
    <row r="76508" spans="1:6" x14ac:dyDescent="0.25">
      <c r="A76508"/>
      <c r="B76508"/>
      <c r="C76508"/>
      <c r="E76508"/>
      <c r="F76508"/>
    </row>
    <row r="76509" spans="1:6" x14ac:dyDescent="0.25">
      <c r="A76509"/>
      <c r="B76509"/>
      <c r="C76509"/>
      <c r="E76509"/>
      <c r="F76509"/>
    </row>
    <row r="76510" spans="1:6" x14ac:dyDescent="0.25">
      <c r="A76510"/>
      <c r="B76510"/>
      <c r="C76510"/>
      <c r="E76510"/>
      <c r="F76510"/>
    </row>
    <row r="76511" spans="1:6" x14ac:dyDescent="0.25">
      <c r="A76511"/>
      <c r="B76511"/>
      <c r="C76511"/>
      <c r="E76511"/>
      <c r="F76511"/>
    </row>
    <row r="76512" spans="1:6" x14ac:dyDescent="0.25">
      <c r="A76512"/>
      <c r="B76512"/>
      <c r="C76512"/>
      <c r="E76512"/>
      <c r="F76512"/>
    </row>
    <row r="76513" spans="1:6" x14ac:dyDescent="0.25">
      <c r="A76513"/>
      <c r="B76513"/>
      <c r="C76513"/>
      <c r="E76513"/>
      <c r="F76513"/>
    </row>
    <row r="76514" spans="1:6" x14ac:dyDescent="0.25">
      <c r="A76514"/>
      <c r="B76514"/>
      <c r="C76514"/>
      <c r="E76514"/>
      <c r="F76514"/>
    </row>
    <row r="76515" spans="1:6" x14ac:dyDescent="0.25">
      <c r="A76515"/>
      <c r="B76515"/>
      <c r="C76515"/>
      <c r="E76515"/>
      <c r="F76515"/>
    </row>
    <row r="76516" spans="1:6" x14ac:dyDescent="0.25">
      <c r="A76516"/>
      <c r="B76516"/>
      <c r="C76516"/>
      <c r="E76516"/>
      <c r="F76516"/>
    </row>
    <row r="76517" spans="1:6" x14ac:dyDescent="0.25">
      <c r="A76517"/>
      <c r="B76517"/>
      <c r="C76517"/>
      <c r="E76517"/>
      <c r="F76517"/>
    </row>
    <row r="76518" spans="1:6" x14ac:dyDescent="0.25">
      <c r="A76518"/>
      <c r="B76518"/>
      <c r="C76518"/>
      <c r="E76518"/>
      <c r="F76518"/>
    </row>
    <row r="76519" spans="1:6" x14ac:dyDescent="0.25">
      <c r="A76519"/>
      <c r="B76519"/>
      <c r="C76519"/>
      <c r="E76519"/>
      <c r="F76519"/>
    </row>
    <row r="76520" spans="1:6" x14ac:dyDescent="0.25">
      <c r="A76520"/>
      <c r="B76520"/>
      <c r="C76520"/>
      <c r="E76520"/>
      <c r="F76520"/>
    </row>
    <row r="76521" spans="1:6" x14ac:dyDescent="0.25">
      <c r="A76521"/>
      <c r="B76521"/>
      <c r="C76521"/>
      <c r="E76521"/>
      <c r="F76521"/>
    </row>
    <row r="76522" spans="1:6" x14ac:dyDescent="0.25">
      <c r="A76522"/>
      <c r="B76522"/>
      <c r="C76522"/>
      <c r="E76522"/>
      <c r="F76522"/>
    </row>
    <row r="76523" spans="1:6" x14ac:dyDescent="0.25">
      <c r="A76523"/>
      <c r="B76523"/>
      <c r="C76523"/>
      <c r="E76523"/>
      <c r="F76523"/>
    </row>
    <row r="76524" spans="1:6" x14ac:dyDescent="0.25">
      <c r="A76524"/>
      <c r="B76524"/>
      <c r="C76524"/>
      <c r="E76524"/>
      <c r="F76524"/>
    </row>
    <row r="76525" spans="1:6" x14ac:dyDescent="0.25">
      <c r="A76525"/>
      <c r="B76525"/>
      <c r="C76525"/>
      <c r="E76525"/>
      <c r="F76525"/>
    </row>
    <row r="76526" spans="1:6" x14ac:dyDescent="0.25">
      <c r="A76526"/>
      <c r="B76526"/>
      <c r="C76526"/>
      <c r="E76526"/>
      <c r="F76526"/>
    </row>
    <row r="76527" spans="1:6" x14ac:dyDescent="0.25">
      <c r="A76527"/>
      <c r="B76527"/>
      <c r="C76527"/>
      <c r="E76527"/>
      <c r="F76527"/>
    </row>
    <row r="76528" spans="1:6" x14ac:dyDescent="0.25">
      <c r="A76528"/>
      <c r="B76528"/>
      <c r="C76528"/>
      <c r="E76528"/>
      <c r="F76528"/>
    </row>
    <row r="76529" spans="1:6" x14ac:dyDescent="0.25">
      <c r="A76529"/>
      <c r="B76529"/>
      <c r="C76529"/>
      <c r="E76529"/>
      <c r="F76529"/>
    </row>
    <row r="76530" spans="1:6" x14ac:dyDescent="0.25">
      <c r="A76530"/>
      <c r="B76530"/>
      <c r="C76530"/>
      <c r="E76530"/>
      <c r="F76530"/>
    </row>
    <row r="76531" spans="1:6" x14ac:dyDescent="0.25">
      <c r="A76531"/>
      <c r="B76531"/>
      <c r="C76531"/>
      <c r="E76531"/>
      <c r="F76531"/>
    </row>
    <row r="76532" spans="1:6" x14ac:dyDescent="0.25">
      <c r="A76532"/>
      <c r="B76532"/>
      <c r="C76532"/>
      <c r="E76532"/>
      <c r="F76532"/>
    </row>
    <row r="76533" spans="1:6" x14ac:dyDescent="0.25">
      <c r="A76533"/>
      <c r="B76533"/>
      <c r="C76533"/>
      <c r="E76533"/>
      <c r="F76533"/>
    </row>
    <row r="76534" spans="1:6" x14ac:dyDescent="0.25">
      <c r="A76534"/>
      <c r="B76534"/>
      <c r="C76534"/>
      <c r="E76534"/>
      <c r="F76534"/>
    </row>
    <row r="76535" spans="1:6" x14ac:dyDescent="0.25">
      <c r="A76535"/>
      <c r="B76535"/>
      <c r="C76535"/>
      <c r="E76535"/>
      <c r="F76535"/>
    </row>
    <row r="76536" spans="1:6" x14ac:dyDescent="0.25">
      <c r="A76536"/>
      <c r="B76536"/>
      <c r="C76536"/>
      <c r="E76536"/>
      <c r="F76536"/>
    </row>
    <row r="76537" spans="1:6" x14ac:dyDescent="0.25">
      <c r="A76537"/>
      <c r="B76537"/>
      <c r="C76537"/>
      <c r="E76537"/>
      <c r="F76537"/>
    </row>
    <row r="76538" spans="1:6" x14ac:dyDescent="0.25">
      <c r="A76538"/>
      <c r="B76538"/>
      <c r="C76538"/>
      <c r="E76538"/>
      <c r="F76538"/>
    </row>
    <row r="76539" spans="1:6" x14ac:dyDescent="0.25">
      <c r="A76539"/>
      <c r="B76539"/>
      <c r="C76539"/>
      <c r="E76539"/>
      <c r="F76539"/>
    </row>
    <row r="76540" spans="1:6" x14ac:dyDescent="0.25">
      <c r="A76540"/>
      <c r="B76540"/>
      <c r="C76540"/>
      <c r="E76540"/>
      <c r="F76540"/>
    </row>
    <row r="76541" spans="1:6" x14ac:dyDescent="0.25">
      <c r="A76541"/>
      <c r="B76541"/>
      <c r="C76541"/>
      <c r="E76541"/>
      <c r="F76541"/>
    </row>
    <row r="76542" spans="1:6" x14ac:dyDescent="0.25">
      <c r="A76542"/>
      <c r="B76542"/>
      <c r="C76542"/>
      <c r="E76542"/>
      <c r="F76542"/>
    </row>
    <row r="76543" spans="1:6" x14ac:dyDescent="0.25">
      <c r="A76543"/>
      <c r="B76543"/>
      <c r="C76543"/>
      <c r="E76543"/>
      <c r="F76543"/>
    </row>
    <row r="76544" spans="1:6" x14ac:dyDescent="0.25">
      <c r="A76544"/>
      <c r="B76544"/>
      <c r="C76544"/>
      <c r="E76544"/>
      <c r="F76544"/>
    </row>
    <row r="76545" spans="1:6" x14ac:dyDescent="0.25">
      <c r="A76545"/>
      <c r="B76545"/>
      <c r="C76545"/>
      <c r="E76545"/>
      <c r="F76545"/>
    </row>
    <row r="76546" spans="1:6" x14ac:dyDescent="0.25">
      <c r="A76546"/>
      <c r="B76546"/>
      <c r="C76546"/>
      <c r="E76546"/>
      <c r="F76546"/>
    </row>
    <row r="76547" spans="1:6" x14ac:dyDescent="0.25">
      <c r="A76547"/>
      <c r="B76547"/>
      <c r="C76547"/>
      <c r="E76547"/>
      <c r="F76547"/>
    </row>
    <row r="76548" spans="1:6" x14ac:dyDescent="0.25">
      <c r="A76548"/>
      <c r="B76548"/>
      <c r="C76548"/>
      <c r="E76548"/>
      <c r="F76548"/>
    </row>
    <row r="76549" spans="1:6" x14ac:dyDescent="0.25">
      <c r="A76549"/>
      <c r="B76549"/>
      <c r="C76549"/>
      <c r="E76549"/>
      <c r="F76549"/>
    </row>
    <row r="76550" spans="1:6" x14ac:dyDescent="0.25">
      <c r="A76550"/>
      <c r="B76550"/>
      <c r="C76550"/>
      <c r="E76550"/>
      <c r="F76550"/>
    </row>
    <row r="76551" spans="1:6" x14ac:dyDescent="0.25">
      <c r="A76551"/>
      <c r="B76551"/>
      <c r="C76551"/>
      <c r="E76551"/>
      <c r="F76551"/>
    </row>
    <row r="76552" spans="1:6" x14ac:dyDescent="0.25">
      <c r="A76552"/>
      <c r="B76552"/>
      <c r="C76552"/>
      <c r="E76552"/>
      <c r="F76552"/>
    </row>
    <row r="76553" spans="1:6" x14ac:dyDescent="0.25">
      <c r="A76553"/>
      <c r="B76553"/>
      <c r="C76553"/>
      <c r="E76553"/>
      <c r="F76553"/>
    </row>
    <row r="76554" spans="1:6" x14ac:dyDescent="0.25">
      <c r="A76554"/>
      <c r="B76554"/>
      <c r="C76554"/>
      <c r="E76554"/>
      <c r="F76554"/>
    </row>
    <row r="76555" spans="1:6" x14ac:dyDescent="0.25">
      <c r="A76555"/>
      <c r="B76555"/>
      <c r="C76555"/>
      <c r="E76555"/>
      <c r="F76555"/>
    </row>
    <row r="76556" spans="1:6" x14ac:dyDescent="0.25">
      <c r="A76556"/>
      <c r="B76556"/>
      <c r="C76556"/>
      <c r="E76556"/>
      <c r="F76556"/>
    </row>
    <row r="76557" spans="1:6" x14ac:dyDescent="0.25">
      <c r="A76557"/>
      <c r="B76557"/>
      <c r="C76557"/>
      <c r="E76557"/>
      <c r="F76557"/>
    </row>
    <row r="76558" spans="1:6" x14ac:dyDescent="0.25">
      <c r="A76558"/>
      <c r="B76558"/>
      <c r="C76558"/>
      <c r="E76558"/>
      <c r="F76558"/>
    </row>
    <row r="76559" spans="1:6" x14ac:dyDescent="0.25">
      <c r="A76559"/>
      <c r="B76559"/>
      <c r="C76559"/>
      <c r="E76559"/>
      <c r="F76559"/>
    </row>
    <row r="76560" spans="1:6" x14ac:dyDescent="0.25">
      <c r="A76560"/>
      <c r="B76560"/>
      <c r="C76560"/>
      <c r="E76560"/>
      <c r="F76560"/>
    </row>
    <row r="76561" spans="1:6" x14ac:dyDescent="0.25">
      <c r="A76561"/>
      <c r="B76561"/>
      <c r="C76561"/>
      <c r="E76561"/>
      <c r="F76561"/>
    </row>
    <row r="76562" spans="1:6" x14ac:dyDescent="0.25">
      <c r="A76562"/>
      <c r="B76562"/>
      <c r="C76562"/>
      <c r="E76562"/>
      <c r="F76562"/>
    </row>
    <row r="76563" spans="1:6" x14ac:dyDescent="0.25">
      <c r="A76563"/>
      <c r="B76563"/>
      <c r="C76563"/>
      <c r="E76563"/>
      <c r="F76563"/>
    </row>
    <row r="76564" spans="1:6" x14ac:dyDescent="0.25">
      <c r="A76564"/>
      <c r="B76564"/>
      <c r="C76564"/>
      <c r="E76564"/>
      <c r="F76564"/>
    </row>
    <row r="76565" spans="1:6" x14ac:dyDescent="0.25">
      <c r="A76565"/>
      <c r="B76565"/>
      <c r="C76565"/>
      <c r="E76565"/>
      <c r="F76565"/>
    </row>
    <row r="76566" spans="1:6" x14ac:dyDescent="0.25">
      <c r="A76566"/>
      <c r="B76566"/>
      <c r="C76566"/>
      <c r="E76566"/>
      <c r="F76566"/>
    </row>
    <row r="76567" spans="1:6" x14ac:dyDescent="0.25">
      <c r="A76567"/>
      <c r="B76567"/>
      <c r="C76567"/>
      <c r="E76567"/>
      <c r="F76567"/>
    </row>
    <row r="76568" spans="1:6" x14ac:dyDescent="0.25">
      <c r="A76568"/>
      <c r="B76568"/>
      <c r="C76568"/>
      <c r="E76568"/>
      <c r="F76568"/>
    </row>
    <row r="76569" spans="1:6" x14ac:dyDescent="0.25">
      <c r="A76569"/>
      <c r="B76569"/>
      <c r="C76569"/>
      <c r="E76569"/>
      <c r="F76569"/>
    </row>
    <row r="76570" spans="1:6" x14ac:dyDescent="0.25">
      <c r="A76570"/>
      <c r="B76570"/>
      <c r="C76570"/>
      <c r="E76570"/>
      <c r="F76570"/>
    </row>
    <row r="76571" spans="1:6" x14ac:dyDescent="0.25">
      <c r="A76571"/>
      <c r="B76571"/>
      <c r="C76571"/>
      <c r="E76571"/>
      <c r="F76571"/>
    </row>
    <row r="76572" spans="1:6" x14ac:dyDescent="0.25">
      <c r="A76572"/>
      <c r="B76572"/>
      <c r="C76572"/>
      <c r="E76572"/>
      <c r="F76572"/>
    </row>
    <row r="76573" spans="1:6" x14ac:dyDescent="0.25">
      <c r="A76573"/>
      <c r="B76573"/>
      <c r="C76573"/>
      <c r="E76573"/>
      <c r="F76573"/>
    </row>
    <row r="76574" spans="1:6" x14ac:dyDescent="0.25">
      <c r="A76574"/>
      <c r="B76574"/>
      <c r="C76574"/>
      <c r="E76574"/>
      <c r="F76574"/>
    </row>
    <row r="76575" spans="1:6" x14ac:dyDescent="0.25">
      <c r="A76575"/>
      <c r="B76575"/>
      <c r="C76575"/>
      <c r="E76575"/>
      <c r="F76575"/>
    </row>
    <row r="76576" spans="1:6" x14ac:dyDescent="0.25">
      <c r="A76576"/>
      <c r="B76576"/>
      <c r="C76576"/>
      <c r="E76576"/>
      <c r="F76576"/>
    </row>
    <row r="76577" spans="1:6" x14ac:dyDescent="0.25">
      <c r="A76577"/>
      <c r="B76577"/>
      <c r="C76577"/>
      <c r="E76577"/>
      <c r="F76577"/>
    </row>
    <row r="76578" spans="1:6" x14ac:dyDescent="0.25">
      <c r="A76578"/>
      <c r="B76578"/>
      <c r="C76578"/>
      <c r="E76578"/>
      <c r="F76578"/>
    </row>
    <row r="76579" spans="1:6" x14ac:dyDescent="0.25">
      <c r="A76579"/>
      <c r="B76579"/>
      <c r="C76579"/>
      <c r="E76579"/>
      <c r="F76579"/>
    </row>
    <row r="76580" spans="1:6" x14ac:dyDescent="0.25">
      <c r="A76580"/>
      <c r="B76580"/>
      <c r="C76580"/>
      <c r="E76580"/>
      <c r="F76580"/>
    </row>
    <row r="76581" spans="1:6" x14ac:dyDescent="0.25">
      <c r="A76581"/>
      <c r="B76581"/>
      <c r="C76581"/>
      <c r="E76581"/>
      <c r="F76581"/>
    </row>
    <row r="76582" spans="1:6" x14ac:dyDescent="0.25">
      <c r="A76582"/>
      <c r="B76582"/>
      <c r="C76582"/>
      <c r="E76582"/>
      <c r="F76582"/>
    </row>
    <row r="76583" spans="1:6" x14ac:dyDescent="0.25">
      <c r="A76583"/>
      <c r="B76583"/>
      <c r="C76583"/>
      <c r="E76583"/>
      <c r="F76583"/>
    </row>
    <row r="76584" spans="1:6" x14ac:dyDescent="0.25">
      <c r="A76584"/>
      <c r="B76584"/>
      <c r="C76584"/>
      <c r="E76584"/>
      <c r="F76584"/>
    </row>
    <row r="76585" spans="1:6" x14ac:dyDescent="0.25">
      <c r="A76585"/>
      <c r="B76585"/>
      <c r="C76585"/>
      <c r="E76585"/>
      <c r="F76585"/>
    </row>
    <row r="76586" spans="1:6" x14ac:dyDescent="0.25">
      <c r="A76586"/>
      <c r="B76586"/>
      <c r="C76586"/>
      <c r="E76586"/>
      <c r="F76586"/>
    </row>
    <row r="76587" spans="1:6" x14ac:dyDescent="0.25">
      <c r="A76587"/>
      <c r="B76587"/>
      <c r="C76587"/>
      <c r="E76587"/>
      <c r="F76587"/>
    </row>
    <row r="76588" spans="1:6" x14ac:dyDescent="0.25">
      <c r="A76588"/>
      <c r="B76588"/>
      <c r="C76588"/>
      <c r="E76588"/>
      <c r="F76588"/>
    </row>
    <row r="76589" spans="1:6" x14ac:dyDescent="0.25">
      <c r="A76589"/>
      <c r="B76589"/>
      <c r="C76589"/>
      <c r="E76589"/>
      <c r="F76589"/>
    </row>
    <row r="76590" spans="1:6" x14ac:dyDescent="0.25">
      <c r="A76590"/>
      <c r="B76590"/>
      <c r="C76590"/>
      <c r="E76590"/>
      <c r="F76590"/>
    </row>
    <row r="76591" spans="1:6" x14ac:dyDescent="0.25">
      <c r="A76591"/>
      <c r="B76591"/>
      <c r="C76591"/>
      <c r="E76591"/>
      <c r="F76591"/>
    </row>
    <row r="76592" spans="1:6" x14ac:dyDescent="0.25">
      <c r="A76592"/>
      <c r="B76592"/>
      <c r="C76592"/>
      <c r="E76592"/>
      <c r="F76592"/>
    </row>
    <row r="76593" spans="1:6" x14ac:dyDescent="0.25">
      <c r="A76593"/>
      <c r="B76593"/>
      <c r="C76593"/>
      <c r="E76593"/>
      <c r="F76593"/>
    </row>
    <row r="76594" spans="1:6" x14ac:dyDescent="0.25">
      <c r="A76594"/>
      <c r="B76594"/>
      <c r="C76594"/>
      <c r="E76594"/>
      <c r="F76594"/>
    </row>
    <row r="76595" spans="1:6" x14ac:dyDescent="0.25">
      <c r="A76595"/>
      <c r="B76595"/>
      <c r="C76595"/>
      <c r="E76595"/>
      <c r="F76595"/>
    </row>
    <row r="76596" spans="1:6" x14ac:dyDescent="0.25">
      <c r="A76596"/>
      <c r="B76596"/>
      <c r="C76596"/>
      <c r="E76596"/>
      <c r="F76596"/>
    </row>
    <row r="76597" spans="1:6" x14ac:dyDescent="0.25">
      <c r="A76597"/>
      <c r="B76597"/>
      <c r="C76597"/>
      <c r="E76597"/>
      <c r="F76597"/>
    </row>
    <row r="76598" spans="1:6" x14ac:dyDescent="0.25">
      <c r="A76598"/>
      <c r="B76598"/>
      <c r="C76598"/>
      <c r="E76598"/>
      <c r="F76598"/>
    </row>
    <row r="76599" spans="1:6" x14ac:dyDescent="0.25">
      <c r="A76599"/>
      <c r="B76599"/>
      <c r="C76599"/>
      <c r="E76599"/>
      <c r="F76599"/>
    </row>
    <row r="76600" spans="1:6" x14ac:dyDescent="0.25">
      <c r="A76600"/>
      <c r="B76600"/>
      <c r="C76600"/>
      <c r="E76600"/>
      <c r="F76600"/>
    </row>
    <row r="76601" spans="1:6" x14ac:dyDescent="0.25">
      <c r="A76601"/>
      <c r="B76601"/>
      <c r="C76601"/>
      <c r="E76601"/>
      <c r="F76601"/>
    </row>
    <row r="76602" spans="1:6" x14ac:dyDescent="0.25">
      <c r="A76602"/>
      <c r="B76602"/>
      <c r="C76602"/>
      <c r="E76602"/>
      <c r="F76602"/>
    </row>
    <row r="76603" spans="1:6" x14ac:dyDescent="0.25">
      <c r="A76603"/>
      <c r="B76603"/>
      <c r="C76603"/>
      <c r="E76603"/>
      <c r="F76603"/>
    </row>
    <row r="76604" spans="1:6" x14ac:dyDescent="0.25">
      <c r="A76604"/>
      <c r="B76604"/>
      <c r="C76604"/>
      <c r="E76604"/>
      <c r="F76604"/>
    </row>
    <row r="76605" spans="1:6" x14ac:dyDescent="0.25">
      <c r="A76605"/>
      <c r="B76605"/>
      <c r="C76605"/>
      <c r="E76605"/>
      <c r="F76605"/>
    </row>
    <row r="76606" spans="1:6" x14ac:dyDescent="0.25">
      <c r="A76606"/>
      <c r="B76606"/>
      <c r="C76606"/>
      <c r="E76606"/>
      <c r="F76606"/>
    </row>
    <row r="76607" spans="1:6" x14ac:dyDescent="0.25">
      <c r="A76607"/>
      <c r="B76607"/>
      <c r="C76607"/>
      <c r="E76607"/>
      <c r="F76607"/>
    </row>
    <row r="76608" spans="1:6" x14ac:dyDescent="0.25">
      <c r="A76608"/>
      <c r="B76608"/>
      <c r="C76608"/>
      <c r="E76608"/>
      <c r="F76608"/>
    </row>
    <row r="76609" spans="1:6" x14ac:dyDescent="0.25">
      <c r="A76609"/>
      <c r="B76609"/>
      <c r="C76609"/>
      <c r="E76609"/>
      <c r="F76609"/>
    </row>
    <row r="76610" spans="1:6" x14ac:dyDescent="0.25">
      <c r="A76610"/>
      <c r="B76610"/>
      <c r="C76610"/>
      <c r="E76610"/>
      <c r="F76610"/>
    </row>
    <row r="76611" spans="1:6" x14ac:dyDescent="0.25">
      <c r="A76611"/>
      <c r="B76611"/>
      <c r="C76611"/>
      <c r="E76611"/>
      <c r="F76611"/>
    </row>
    <row r="76612" spans="1:6" x14ac:dyDescent="0.25">
      <c r="A76612"/>
      <c r="B76612"/>
      <c r="C76612"/>
      <c r="E76612"/>
      <c r="F76612"/>
    </row>
    <row r="76613" spans="1:6" x14ac:dyDescent="0.25">
      <c r="A76613"/>
      <c r="B76613"/>
      <c r="C76613"/>
      <c r="E76613"/>
      <c r="F76613"/>
    </row>
    <row r="76614" spans="1:6" x14ac:dyDescent="0.25">
      <c r="A76614"/>
      <c r="B76614"/>
      <c r="C76614"/>
      <c r="E76614"/>
      <c r="F76614"/>
    </row>
    <row r="76615" spans="1:6" x14ac:dyDescent="0.25">
      <c r="A76615"/>
      <c r="B76615"/>
      <c r="C76615"/>
      <c r="E76615"/>
      <c r="F76615"/>
    </row>
    <row r="76616" spans="1:6" x14ac:dyDescent="0.25">
      <c r="A76616"/>
      <c r="B76616"/>
      <c r="C76616"/>
      <c r="E76616"/>
      <c r="F76616"/>
    </row>
    <row r="76617" spans="1:6" x14ac:dyDescent="0.25">
      <c r="A76617"/>
      <c r="B76617"/>
      <c r="C76617"/>
      <c r="E76617"/>
      <c r="F76617"/>
    </row>
    <row r="76618" spans="1:6" x14ac:dyDescent="0.25">
      <c r="A76618"/>
      <c r="B76618"/>
      <c r="C76618"/>
      <c r="E76618"/>
      <c r="F76618"/>
    </row>
    <row r="76619" spans="1:6" x14ac:dyDescent="0.25">
      <c r="A76619"/>
      <c r="B76619"/>
      <c r="C76619"/>
      <c r="E76619"/>
      <c r="F76619"/>
    </row>
    <row r="76620" spans="1:6" x14ac:dyDescent="0.25">
      <c r="A76620"/>
      <c r="B76620"/>
      <c r="C76620"/>
      <c r="E76620"/>
      <c r="F76620"/>
    </row>
    <row r="76621" spans="1:6" x14ac:dyDescent="0.25">
      <c r="A76621"/>
      <c r="B76621"/>
      <c r="C76621"/>
      <c r="E76621"/>
      <c r="F76621"/>
    </row>
    <row r="76622" spans="1:6" x14ac:dyDescent="0.25">
      <c r="A76622"/>
      <c r="B76622"/>
      <c r="C76622"/>
      <c r="E76622"/>
      <c r="F76622"/>
    </row>
    <row r="76623" spans="1:6" x14ac:dyDescent="0.25">
      <c r="A76623"/>
      <c r="B76623"/>
      <c r="C76623"/>
      <c r="E76623"/>
      <c r="F76623"/>
    </row>
    <row r="76624" spans="1:6" x14ac:dyDescent="0.25">
      <c r="A76624"/>
      <c r="B76624"/>
      <c r="C76624"/>
      <c r="E76624"/>
      <c r="F76624"/>
    </row>
    <row r="76625" spans="1:6" x14ac:dyDescent="0.25">
      <c r="A76625"/>
      <c r="B76625"/>
      <c r="C76625"/>
      <c r="E76625"/>
      <c r="F76625"/>
    </row>
    <row r="76626" spans="1:6" x14ac:dyDescent="0.25">
      <c r="A76626"/>
      <c r="B76626"/>
      <c r="C76626"/>
      <c r="E76626"/>
      <c r="F76626"/>
    </row>
    <row r="76627" spans="1:6" x14ac:dyDescent="0.25">
      <c r="A76627"/>
      <c r="B76627"/>
      <c r="C76627"/>
      <c r="E76627"/>
      <c r="F76627"/>
    </row>
    <row r="76628" spans="1:6" x14ac:dyDescent="0.25">
      <c r="A76628"/>
      <c r="B76628"/>
      <c r="C76628"/>
      <c r="E76628"/>
      <c r="F76628"/>
    </row>
    <row r="76629" spans="1:6" x14ac:dyDescent="0.25">
      <c r="A76629"/>
      <c r="B76629"/>
      <c r="C76629"/>
      <c r="E76629"/>
      <c r="F76629"/>
    </row>
    <row r="76630" spans="1:6" x14ac:dyDescent="0.25">
      <c r="A76630"/>
      <c r="B76630"/>
      <c r="C76630"/>
      <c r="E76630"/>
      <c r="F76630"/>
    </row>
    <row r="76631" spans="1:6" x14ac:dyDescent="0.25">
      <c r="A76631"/>
      <c r="B76631"/>
      <c r="C76631"/>
      <c r="E76631"/>
      <c r="F76631"/>
    </row>
    <row r="76632" spans="1:6" x14ac:dyDescent="0.25">
      <c r="A76632"/>
      <c r="B76632"/>
      <c r="C76632"/>
      <c r="E76632"/>
      <c r="F76632"/>
    </row>
    <row r="76633" spans="1:6" x14ac:dyDescent="0.25">
      <c r="A76633"/>
      <c r="B76633"/>
      <c r="C76633"/>
      <c r="E76633"/>
      <c r="F76633"/>
    </row>
    <row r="76634" spans="1:6" x14ac:dyDescent="0.25">
      <c r="A76634"/>
      <c r="B76634"/>
      <c r="C76634"/>
      <c r="E76634"/>
      <c r="F76634"/>
    </row>
    <row r="76635" spans="1:6" x14ac:dyDescent="0.25">
      <c r="A76635"/>
      <c r="B76635"/>
      <c r="C76635"/>
      <c r="E76635"/>
      <c r="F76635"/>
    </row>
    <row r="76636" spans="1:6" x14ac:dyDescent="0.25">
      <c r="A76636"/>
      <c r="B76636"/>
      <c r="C76636"/>
      <c r="E76636"/>
      <c r="F76636"/>
    </row>
    <row r="76637" spans="1:6" x14ac:dyDescent="0.25">
      <c r="A76637"/>
      <c r="B76637"/>
      <c r="C76637"/>
      <c r="E76637"/>
      <c r="F76637"/>
    </row>
    <row r="76638" spans="1:6" x14ac:dyDescent="0.25">
      <c r="A76638"/>
      <c r="B76638"/>
      <c r="C76638"/>
      <c r="E76638"/>
      <c r="F76638"/>
    </row>
    <row r="76639" spans="1:6" x14ac:dyDescent="0.25">
      <c r="A76639"/>
      <c r="B76639"/>
      <c r="C76639"/>
      <c r="E76639"/>
      <c r="F76639"/>
    </row>
    <row r="76640" spans="1:6" x14ac:dyDescent="0.25">
      <c r="A76640"/>
      <c r="B76640"/>
      <c r="C76640"/>
      <c r="E76640"/>
      <c r="F76640"/>
    </row>
    <row r="76641" spans="1:6" x14ac:dyDescent="0.25">
      <c r="A76641"/>
      <c r="B76641"/>
      <c r="C76641"/>
      <c r="E76641"/>
      <c r="F76641"/>
    </row>
    <row r="76642" spans="1:6" x14ac:dyDescent="0.25">
      <c r="A76642"/>
      <c r="B76642"/>
      <c r="C76642"/>
      <c r="E76642"/>
      <c r="F76642"/>
    </row>
    <row r="76643" spans="1:6" x14ac:dyDescent="0.25">
      <c r="A76643"/>
      <c r="B76643"/>
      <c r="C76643"/>
      <c r="E76643"/>
      <c r="F76643"/>
    </row>
    <row r="76644" spans="1:6" x14ac:dyDescent="0.25">
      <c r="A76644"/>
      <c r="B76644"/>
      <c r="C76644"/>
      <c r="E76644"/>
      <c r="F76644"/>
    </row>
    <row r="76645" spans="1:6" x14ac:dyDescent="0.25">
      <c r="A76645"/>
      <c r="B76645"/>
      <c r="C76645"/>
      <c r="E76645"/>
      <c r="F76645"/>
    </row>
    <row r="76646" spans="1:6" x14ac:dyDescent="0.25">
      <c r="A76646"/>
      <c r="B76646"/>
      <c r="C76646"/>
      <c r="E76646"/>
      <c r="F76646"/>
    </row>
    <row r="76647" spans="1:6" x14ac:dyDescent="0.25">
      <c r="A76647"/>
      <c r="B76647"/>
      <c r="C76647"/>
      <c r="E76647"/>
      <c r="F76647"/>
    </row>
    <row r="76648" spans="1:6" x14ac:dyDescent="0.25">
      <c r="A76648"/>
      <c r="B76648"/>
      <c r="C76648"/>
      <c r="E76648"/>
      <c r="F76648"/>
    </row>
    <row r="76649" spans="1:6" x14ac:dyDescent="0.25">
      <c r="A76649"/>
      <c r="B76649"/>
      <c r="C76649"/>
      <c r="E76649"/>
      <c r="F76649"/>
    </row>
    <row r="76650" spans="1:6" x14ac:dyDescent="0.25">
      <c r="A76650"/>
      <c r="B76650"/>
      <c r="C76650"/>
      <c r="E76650"/>
      <c r="F76650"/>
    </row>
    <row r="76651" spans="1:6" x14ac:dyDescent="0.25">
      <c r="A76651"/>
      <c r="B76651"/>
      <c r="C76651"/>
      <c r="E76651"/>
      <c r="F76651"/>
    </row>
    <row r="76652" spans="1:6" x14ac:dyDescent="0.25">
      <c r="A76652"/>
      <c r="B76652"/>
      <c r="C76652"/>
      <c r="E76652"/>
      <c r="F76652"/>
    </row>
    <row r="76653" spans="1:6" x14ac:dyDescent="0.25">
      <c r="A76653"/>
      <c r="B76653"/>
      <c r="C76653"/>
      <c r="E76653"/>
      <c r="F76653"/>
    </row>
    <row r="76654" spans="1:6" x14ac:dyDescent="0.25">
      <c r="A76654"/>
      <c r="B76654"/>
      <c r="C76654"/>
      <c r="E76654"/>
      <c r="F76654"/>
    </row>
    <row r="76655" spans="1:6" x14ac:dyDescent="0.25">
      <c r="A76655"/>
      <c r="B76655"/>
      <c r="C76655"/>
      <c r="E76655"/>
      <c r="F76655"/>
    </row>
    <row r="76656" spans="1:6" x14ac:dyDescent="0.25">
      <c r="A76656"/>
      <c r="B76656"/>
      <c r="C76656"/>
      <c r="E76656"/>
      <c r="F76656"/>
    </row>
    <row r="76657" spans="1:6" x14ac:dyDescent="0.25">
      <c r="A76657"/>
      <c r="B76657"/>
      <c r="C76657"/>
      <c r="E76657"/>
      <c r="F76657"/>
    </row>
    <row r="76658" spans="1:6" x14ac:dyDescent="0.25">
      <c r="A76658"/>
      <c r="B76658"/>
      <c r="C76658"/>
      <c r="E76658"/>
      <c r="F76658"/>
    </row>
    <row r="76659" spans="1:6" x14ac:dyDescent="0.25">
      <c r="A76659"/>
      <c r="B76659"/>
      <c r="C76659"/>
      <c r="E76659"/>
      <c r="F76659"/>
    </row>
    <row r="76660" spans="1:6" x14ac:dyDescent="0.25">
      <c r="A76660"/>
      <c r="B76660"/>
      <c r="C76660"/>
      <c r="E76660"/>
      <c r="F76660"/>
    </row>
    <row r="76661" spans="1:6" x14ac:dyDescent="0.25">
      <c r="A76661"/>
      <c r="B76661"/>
      <c r="C76661"/>
      <c r="E76661"/>
      <c r="F76661"/>
    </row>
    <row r="76662" spans="1:6" x14ac:dyDescent="0.25">
      <c r="A76662"/>
      <c r="B76662"/>
      <c r="C76662"/>
      <c r="E76662"/>
      <c r="F76662"/>
    </row>
    <row r="76663" spans="1:6" x14ac:dyDescent="0.25">
      <c r="A76663"/>
      <c r="B76663"/>
      <c r="C76663"/>
      <c r="E76663"/>
      <c r="F76663"/>
    </row>
    <row r="76664" spans="1:6" x14ac:dyDescent="0.25">
      <c r="A76664"/>
      <c r="B76664"/>
      <c r="C76664"/>
      <c r="E76664"/>
      <c r="F76664"/>
    </row>
    <row r="76665" spans="1:6" x14ac:dyDescent="0.25">
      <c r="A76665"/>
      <c r="B76665"/>
      <c r="C76665"/>
      <c r="E76665"/>
      <c r="F76665"/>
    </row>
    <row r="76666" spans="1:6" x14ac:dyDescent="0.25">
      <c r="A76666"/>
      <c r="B76666"/>
      <c r="C76666"/>
      <c r="E76666"/>
      <c r="F76666"/>
    </row>
    <row r="76667" spans="1:6" x14ac:dyDescent="0.25">
      <c r="A76667"/>
      <c r="B76667"/>
      <c r="C76667"/>
      <c r="E76667"/>
      <c r="F76667"/>
    </row>
    <row r="76668" spans="1:6" x14ac:dyDescent="0.25">
      <c r="A76668"/>
      <c r="B76668"/>
      <c r="C76668"/>
      <c r="E76668"/>
      <c r="F76668"/>
    </row>
    <row r="76669" spans="1:6" x14ac:dyDescent="0.25">
      <c r="A76669"/>
      <c r="B76669"/>
      <c r="C76669"/>
      <c r="E76669"/>
      <c r="F76669"/>
    </row>
    <row r="76670" spans="1:6" x14ac:dyDescent="0.25">
      <c r="A76670"/>
      <c r="B76670"/>
      <c r="C76670"/>
      <c r="E76670"/>
      <c r="F76670"/>
    </row>
    <row r="76671" spans="1:6" x14ac:dyDescent="0.25">
      <c r="A76671"/>
      <c r="B76671"/>
      <c r="C76671"/>
      <c r="E76671"/>
      <c r="F76671"/>
    </row>
    <row r="76672" spans="1:6" x14ac:dyDescent="0.25">
      <c r="A76672"/>
      <c r="B76672"/>
      <c r="C76672"/>
      <c r="E76672"/>
      <c r="F76672"/>
    </row>
    <row r="76673" spans="1:6" x14ac:dyDescent="0.25">
      <c r="A76673"/>
      <c r="B76673"/>
      <c r="C76673"/>
      <c r="E76673"/>
      <c r="F76673"/>
    </row>
    <row r="76674" spans="1:6" x14ac:dyDescent="0.25">
      <c r="A76674"/>
      <c r="B76674"/>
      <c r="C76674"/>
      <c r="E76674"/>
      <c r="F76674"/>
    </row>
    <row r="76675" spans="1:6" x14ac:dyDescent="0.25">
      <c r="A76675"/>
      <c r="B76675"/>
      <c r="C76675"/>
      <c r="E76675"/>
      <c r="F76675"/>
    </row>
    <row r="76676" spans="1:6" x14ac:dyDescent="0.25">
      <c r="A76676"/>
      <c r="B76676"/>
      <c r="C76676"/>
      <c r="E76676"/>
      <c r="F76676"/>
    </row>
    <row r="76677" spans="1:6" x14ac:dyDescent="0.25">
      <c r="A76677"/>
      <c r="B76677"/>
      <c r="C76677"/>
      <c r="E76677"/>
      <c r="F76677"/>
    </row>
    <row r="76678" spans="1:6" x14ac:dyDescent="0.25">
      <c r="A76678"/>
      <c r="B76678"/>
      <c r="C76678"/>
      <c r="E76678"/>
      <c r="F76678"/>
    </row>
    <row r="76679" spans="1:6" x14ac:dyDescent="0.25">
      <c r="A76679"/>
      <c r="B76679"/>
      <c r="C76679"/>
      <c r="E76679"/>
      <c r="F76679"/>
    </row>
    <row r="76680" spans="1:6" x14ac:dyDescent="0.25">
      <c r="A76680"/>
      <c r="B76680"/>
      <c r="C76680"/>
      <c r="E76680"/>
      <c r="F76680"/>
    </row>
    <row r="76681" spans="1:6" x14ac:dyDescent="0.25">
      <c r="A76681"/>
      <c r="B76681"/>
      <c r="C76681"/>
      <c r="E76681"/>
      <c r="F76681"/>
    </row>
    <row r="76682" spans="1:6" x14ac:dyDescent="0.25">
      <c r="A76682"/>
      <c r="B76682"/>
      <c r="C76682"/>
      <c r="E76682"/>
      <c r="F76682"/>
    </row>
    <row r="76683" spans="1:6" x14ac:dyDescent="0.25">
      <c r="A76683"/>
      <c r="B76683"/>
      <c r="C76683"/>
      <c r="E76683"/>
      <c r="F76683"/>
    </row>
    <row r="76684" spans="1:6" x14ac:dyDescent="0.25">
      <c r="A76684"/>
      <c r="B76684"/>
      <c r="C76684"/>
      <c r="E76684"/>
      <c r="F76684"/>
    </row>
    <row r="76685" spans="1:6" x14ac:dyDescent="0.25">
      <c r="A76685"/>
      <c r="B76685"/>
      <c r="C76685"/>
      <c r="E76685"/>
      <c r="F76685"/>
    </row>
    <row r="76686" spans="1:6" x14ac:dyDescent="0.25">
      <c r="A76686"/>
      <c r="B76686"/>
      <c r="C76686"/>
      <c r="E76686"/>
      <c r="F76686"/>
    </row>
    <row r="76687" spans="1:6" x14ac:dyDescent="0.25">
      <c r="A76687"/>
      <c r="B76687"/>
      <c r="C76687"/>
      <c r="E76687"/>
      <c r="F76687"/>
    </row>
    <row r="76688" spans="1:6" x14ac:dyDescent="0.25">
      <c r="A76688"/>
      <c r="B76688"/>
      <c r="C76688"/>
      <c r="E76688"/>
      <c r="F76688"/>
    </row>
    <row r="76689" spans="1:6" x14ac:dyDescent="0.25">
      <c r="A76689"/>
      <c r="B76689"/>
      <c r="C76689"/>
      <c r="E76689"/>
      <c r="F76689"/>
    </row>
    <row r="76690" spans="1:6" x14ac:dyDescent="0.25">
      <c r="A76690"/>
      <c r="B76690"/>
      <c r="C76690"/>
      <c r="E76690"/>
      <c r="F76690"/>
    </row>
    <row r="76691" spans="1:6" x14ac:dyDescent="0.25">
      <c r="A76691"/>
      <c r="B76691"/>
      <c r="C76691"/>
      <c r="E76691"/>
      <c r="F76691"/>
    </row>
    <row r="76692" spans="1:6" x14ac:dyDescent="0.25">
      <c r="A76692"/>
      <c r="B76692"/>
      <c r="C76692"/>
      <c r="E76692"/>
      <c r="F76692"/>
    </row>
    <row r="76693" spans="1:6" x14ac:dyDescent="0.25">
      <c r="A76693"/>
      <c r="B76693"/>
      <c r="C76693"/>
      <c r="E76693"/>
      <c r="F76693"/>
    </row>
    <row r="76694" spans="1:6" x14ac:dyDescent="0.25">
      <c r="A76694"/>
      <c r="B76694"/>
      <c r="C76694"/>
      <c r="E76694"/>
      <c r="F76694"/>
    </row>
    <row r="76695" spans="1:6" x14ac:dyDescent="0.25">
      <c r="A76695"/>
      <c r="B76695"/>
      <c r="C76695"/>
      <c r="E76695"/>
      <c r="F76695"/>
    </row>
    <row r="76696" spans="1:6" x14ac:dyDescent="0.25">
      <c r="A76696"/>
      <c r="B76696"/>
      <c r="C76696"/>
      <c r="E76696"/>
      <c r="F76696"/>
    </row>
    <row r="76697" spans="1:6" x14ac:dyDescent="0.25">
      <c r="A76697"/>
      <c r="B76697"/>
      <c r="C76697"/>
      <c r="E76697"/>
      <c r="F76697"/>
    </row>
    <row r="76698" spans="1:6" x14ac:dyDescent="0.25">
      <c r="A76698"/>
      <c r="B76698"/>
      <c r="C76698"/>
      <c r="E76698"/>
      <c r="F76698"/>
    </row>
    <row r="76699" spans="1:6" x14ac:dyDescent="0.25">
      <c r="A76699"/>
      <c r="B76699"/>
      <c r="C76699"/>
      <c r="E76699"/>
      <c r="F76699"/>
    </row>
    <row r="76700" spans="1:6" x14ac:dyDescent="0.25">
      <c r="A76700"/>
      <c r="B76700"/>
      <c r="C76700"/>
      <c r="E76700"/>
      <c r="F76700"/>
    </row>
    <row r="76701" spans="1:6" x14ac:dyDescent="0.25">
      <c r="A76701"/>
      <c r="B76701"/>
      <c r="C76701"/>
      <c r="E76701"/>
      <c r="F76701"/>
    </row>
    <row r="76702" spans="1:6" x14ac:dyDescent="0.25">
      <c r="A76702"/>
      <c r="B76702"/>
      <c r="C76702"/>
      <c r="E76702"/>
      <c r="F76702"/>
    </row>
    <row r="76703" spans="1:6" x14ac:dyDescent="0.25">
      <c r="A76703"/>
      <c r="B76703"/>
      <c r="C76703"/>
      <c r="E76703"/>
      <c r="F76703"/>
    </row>
    <row r="76704" spans="1:6" x14ac:dyDescent="0.25">
      <c r="A76704"/>
      <c r="B76704"/>
      <c r="C76704"/>
      <c r="E76704"/>
      <c r="F76704"/>
    </row>
    <row r="76705" spans="1:6" x14ac:dyDescent="0.25">
      <c r="A76705"/>
      <c r="B76705"/>
      <c r="C76705"/>
      <c r="E76705"/>
      <c r="F76705"/>
    </row>
    <row r="76706" spans="1:6" x14ac:dyDescent="0.25">
      <c r="A76706"/>
      <c r="B76706"/>
      <c r="C76706"/>
      <c r="E76706"/>
      <c r="F76706"/>
    </row>
    <row r="76707" spans="1:6" x14ac:dyDescent="0.25">
      <c r="A76707"/>
      <c r="B76707"/>
      <c r="C76707"/>
      <c r="E76707"/>
      <c r="F76707"/>
    </row>
    <row r="76708" spans="1:6" x14ac:dyDescent="0.25">
      <c r="A76708"/>
      <c r="B76708"/>
      <c r="C76708"/>
      <c r="E76708"/>
      <c r="F76708"/>
    </row>
    <row r="76709" spans="1:6" x14ac:dyDescent="0.25">
      <c r="A76709"/>
      <c r="B76709"/>
      <c r="C76709"/>
      <c r="E76709"/>
      <c r="F76709"/>
    </row>
    <row r="76710" spans="1:6" x14ac:dyDescent="0.25">
      <c r="A76710"/>
      <c r="B76710"/>
      <c r="C76710"/>
      <c r="E76710"/>
      <c r="F76710"/>
    </row>
    <row r="76711" spans="1:6" x14ac:dyDescent="0.25">
      <c r="A76711"/>
      <c r="B76711"/>
      <c r="C76711"/>
      <c r="E76711"/>
      <c r="F76711"/>
    </row>
    <row r="76712" spans="1:6" x14ac:dyDescent="0.25">
      <c r="A76712"/>
      <c r="B76712"/>
      <c r="C76712"/>
      <c r="E76712"/>
      <c r="F76712"/>
    </row>
    <row r="76713" spans="1:6" x14ac:dyDescent="0.25">
      <c r="A76713"/>
      <c r="B76713"/>
      <c r="C76713"/>
      <c r="E76713"/>
      <c r="F76713"/>
    </row>
    <row r="76714" spans="1:6" x14ac:dyDescent="0.25">
      <c r="A76714"/>
      <c r="B76714"/>
      <c r="C76714"/>
      <c r="E76714"/>
      <c r="F76714"/>
    </row>
    <row r="76715" spans="1:6" x14ac:dyDescent="0.25">
      <c r="A76715"/>
      <c r="B76715"/>
      <c r="C76715"/>
      <c r="E76715"/>
      <c r="F76715"/>
    </row>
    <row r="76716" spans="1:6" x14ac:dyDescent="0.25">
      <c r="A76716"/>
      <c r="B76716"/>
      <c r="C76716"/>
      <c r="E76716"/>
      <c r="F76716"/>
    </row>
    <row r="76717" spans="1:6" x14ac:dyDescent="0.25">
      <c r="A76717"/>
      <c r="B76717"/>
      <c r="C76717"/>
      <c r="E76717"/>
      <c r="F76717"/>
    </row>
    <row r="76718" spans="1:6" x14ac:dyDescent="0.25">
      <c r="A76718"/>
      <c r="B76718"/>
      <c r="C76718"/>
      <c r="E76718"/>
      <c r="F76718"/>
    </row>
    <row r="76719" spans="1:6" x14ac:dyDescent="0.25">
      <c r="A76719"/>
      <c r="B76719"/>
      <c r="C76719"/>
      <c r="E76719"/>
      <c r="F76719"/>
    </row>
    <row r="76720" spans="1:6" x14ac:dyDescent="0.25">
      <c r="A76720"/>
      <c r="B76720"/>
      <c r="C76720"/>
      <c r="E76720"/>
      <c r="F76720"/>
    </row>
    <row r="76721" spans="1:6" x14ac:dyDescent="0.25">
      <c r="A76721"/>
      <c r="B76721"/>
      <c r="C76721"/>
      <c r="E76721"/>
      <c r="F76721"/>
    </row>
    <row r="76722" spans="1:6" x14ac:dyDescent="0.25">
      <c r="A76722"/>
      <c r="B76722"/>
      <c r="C76722"/>
      <c r="E76722"/>
      <c r="F76722"/>
    </row>
    <row r="76723" spans="1:6" x14ac:dyDescent="0.25">
      <c r="A76723"/>
      <c r="B76723"/>
      <c r="C76723"/>
      <c r="E76723"/>
      <c r="F76723"/>
    </row>
    <row r="76724" spans="1:6" x14ac:dyDescent="0.25">
      <c r="A76724"/>
      <c r="B76724"/>
      <c r="C76724"/>
      <c r="E76724"/>
      <c r="F76724"/>
    </row>
    <row r="76725" spans="1:6" x14ac:dyDescent="0.25">
      <c r="A76725"/>
      <c r="B76725"/>
      <c r="C76725"/>
      <c r="E76725"/>
      <c r="F76725"/>
    </row>
    <row r="76726" spans="1:6" x14ac:dyDescent="0.25">
      <c r="A76726"/>
      <c r="B76726"/>
      <c r="C76726"/>
      <c r="E76726"/>
      <c r="F76726"/>
    </row>
    <row r="76727" spans="1:6" x14ac:dyDescent="0.25">
      <c r="A76727"/>
      <c r="B76727"/>
      <c r="C76727"/>
      <c r="E76727"/>
      <c r="F76727"/>
    </row>
    <row r="76728" spans="1:6" x14ac:dyDescent="0.25">
      <c r="A76728"/>
      <c r="B76728"/>
      <c r="C76728"/>
      <c r="E76728"/>
      <c r="F76728"/>
    </row>
    <row r="76729" spans="1:6" x14ac:dyDescent="0.25">
      <c r="A76729"/>
      <c r="B76729"/>
      <c r="C76729"/>
      <c r="E76729"/>
      <c r="F76729"/>
    </row>
    <row r="76730" spans="1:6" x14ac:dyDescent="0.25">
      <c r="A76730"/>
      <c r="B76730"/>
      <c r="C76730"/>
      <c r="E76730"/>
      <c r="F76730"/>
    </row>
    <row r="76731" spans="1:6" x14ac:dyDescent="0.25">
      <c r="A76731"/>
      <c r="B76731"/>
      <c r="C76731"/>
      <c r="E76731"/>
      <c r="F76731"/>
    </row>
    <row r="76732" spans="1:6" x14ac:dyDescent="0.25">
      <c r="A76732"/>
      <c r="B76732"/>
      <c r="C76732"/>
      <c r="E76732"/>
      <c r="F76732"/>
    </row>
    <row r="76733" spans="1:6" x14ac:dyDescent="0.25">
      <c r="A76733"/>
      <c r="B76733"/>
      <c r="C76733"/>
      <c r="E76733"/>
      <c r="F76733"/>
    </row>
    <row r="76734" spans="1:6" x14ac:dyDescent="0.25">
      <c r="A76734"/>
      <c r="B76734"/>
      <c r="C76734"/>
      <c r="E76734"/>
      <c r="F76734"/>
    </row>
    <row r="76735" spans="1:6" x14ac:dyDescent="0.25">
      <c r="A76735"/>
      <c r="B76735"/>
      <c r="C76735"/>
      <c r="E76735"/>
      <c r="F76735"/>
    </row>
    <row r="76736" spans="1:6" x14ac:dyDescent="0.25">
      <c r="A76736"/>
      <c r="B76736"/>
      <c r="C76736"/>
      <c r="E76736"/>
      <c r="F76736"/>
    </row>
    <row r="76737" spans="1:6" x14ac:dyDescent="0.25">
      <c r="A76737"/>
      <c r="B76737"/>
      <c r="C76737"/>
      <c r="E76737"/>
      <c r="F76737"/>
    </row>
    <row r="76738" spans="1:6" x14ac:dyDescent="0.25">
      <c r="A76738"/>
      <c r="B76738"/>
      <c r="C76738"/>
      <c r="E76738"/>
      <c r="F76738"/>
    </row>
    <row r="76739" spans="1:6" x14ac:dyDescent="0.25">
      <c r="A76739"/>
      <c r="B76739"/>
      <c r="C76739"/>
      <c r="E76739"/>
      <c r="F76739"/>
    </row>
    <row r="76740" spans="1:6" x14ac:dyDescent="0.25">
      <c r="A76740"/>
      <c r="B76740"/>
      <c r="C76740"/>
      <c r="E76740"/>
      <c r="F76740"/>
    </row>
    <row r="76741" spans="1:6" x14ac:dyDescent="0.25">
      <c r="A76741"/>
      <c r="B76741"/>
      <c r="C76741"/>
      <c r="E76741"/>
      <c r="F76741"/>
    </row>
    <row r="76742" spans="1:6" x14ac:dyDescent="0.25">
      <c r="A76742"/>
      <c r="B76742"/>
      <c r="C76742"/>
      <c r="E76742"/>
      <c r="F76742"/>
    </row>
    <row r="76743" spans="1:6" x14ac:dyDescent="0.25">
      <c r="A76743"/>
      <c r="B76743"/>
      <c r="C76743"/>
      <c r="E76743"/>
      <c r="F76743"/>
    </row>
    <row r="76744" spans="1:6" x14ac:dyDescent="0.25">
      <c r="A76744"/>
      <c r="B76744"/>
      <c r="C76744"/>
      <c r="E76744"/>
      <c r="F76744"/>
    </row>
    <row r="76745" spans="1:6" x14ac:dyDescent="0.25">
      <c r="A76745"/>
      <c r="B76745"/>
      <c r="C76745"/>
      <c r="E76745"/>
      <c r="F76745"/>
    </row>
    <row r="76746" spans="1:6" x14ac:dyDescent="0.25">
      <c r="A76746"/>
      <c r="B76746"/>
      <c r="C76746"/>
      <c r="E76746"/>
      <c r="F76746"/>
    </row>
    <row r="76747" spans="1:6" x14ac:dyDescent="0.25">
      <c r="A76747"/>
      <c r="B76747"/>
      <c r="C76747"/>
      <c r="E76747"/>
      <c r="F76747"/>
    </row>
    <row r="76748" spans="1:6" x14ac:dyDescent="0.25">
      <c r="A76748"/>
      <c r="B76748"/>
      <c r="C76748"/>
      <c r="E76748"/>
      <c r="F76748"/>
    </row>
    <row r="76749" spans="1:6" x14ac:dyDescent="0.25">
      <c r="A76749"/>
      <c r="B76749"/>
      <c r="C76749"/>
      <c r="E76749"/>
      <c r="F76749"/>
    </row>
    <row r="76750" spans="1:6" x14ac:dyDescent="0.25">
      <c r="A76750"/>
      <c r="B76750"/>
      <c r="C76750"/>
      <c r="E76750"/>
      <c r="F76750"/>
    </row>
    <row r="76751" spans="1:6" x14ac:dyDescent="0.25">
      <c r="A76751"/>
      <c r="B76751"/>
      <c r="C76751"/>
      <c r="E76751"/>
      <c r="F76751"/>
    </row>
    <row r="76752" spans="1:6" x14ac:dyDescent="0.25">
      <c r="A76752"/>
      <c r="B76752"/>
      <c r="C76752"/>
      <c r="E76752"/>
      <c r="F76752"/>
    </row>
    <row r="76753" spans="1:6" x14ac:dyDescent="0.25">
      <c r="A76753"/>
      <c r="B76753"/>
      <c r="C76753"/>
      <c r="E76753"/>
      <c r="F76753"/>
    </row>
    <row r="76754" spans="1:6" x14ac:dyDescent="0.25">
      <c r="A76754"/>
      <c r="B76754"/>
      <c r="C76754"/>
      <c r="E76754"/>
      <c r="F76754"/>
    </row>
    <row r="76755" spans="1:6" x14ac:dyDescent="0.25">
      <c r="A76755"/>
      <c r="B76755"/>
      <c r="C76755"/>
      <c r="E76755"/>
      <c r="F76755"/>
    </row>
    <row r="76756" spans="1:6" x14ac:dyDescent="0.25">
      <c r="A76756"/>
      <c r="B76756"/>
      <c r="C76756"/>
      <c r="E76756"/>
      <c r="F76756"/>
    </row>
    <row r="76757" spans="1:6" x14ac:dyDescent="0.25">
      <c r="A76757"/>
      <c r="B76757"/>
      <c r="C76757"/>
      <c r="E76757"/>
      <c r="F76757"/>
    </row>
    <row r="76758" spans="1:6" x14ac:dyDescent="0.25">
      <c r="A76758"/>
      <c r="B76758"/>
      <c r="C76758"/>
      <c r="E76758"/>
      <c r="F76758"/>
    </row>
    <row r="76759" spans="1:6" x14ac:dyDescent="0.25">
      <c r="A76759"/>
      <c r="B76759"/>
      <c r="C76759"/>
      <c r="E76759"/>
      <c r="F76759"/>
    </row>
    <row r="76760" spans="1:6" x14ac:dyDescent="0.25">
      <c r="A76760"/>
      <c r="B76760"/>
      <c r="C76760"/>
      <c r="E76760"/>
      <c r="F76760"/>
    </row>
    <row r="76761" spans="1:6" x14ac:dyDescent="0.25">
      <c r="A76761"/>
      <c r="B76761"/>
      <c r="C76761"/>
      <c r="E76761"/>
      <c r="F76761"/>
    </row>
    <row r="76762" spans="1:6" x14ac:dyDescent="0.25">
      <c r="A76762"/>
      <c r="B76762"/>
      <c r="C76762"/>
      <c r="E76762"/>
      <c r="F76762"/>
    </row>
    <row r="76763" spans="1:6" x14ac:dyDescent="0.25">
      <c r="A76763"/>
      <c r="B76763"/>
      <c r="C76763"/>
      <c r="E76763"/>
      <c r="F76763"/>
    </row>
    <row r="76764" spans="1:6" x14ac:dyDescent="0.25">
      <c r="A76764"/>
      <c r="B76764"/>
      <c r="C76764"/>
      <c r="E76764"/>
      <c r="F76764"/>
    </row>
    <row r="76765" spans="1:6" x14ac:dyDescent="0.25">
      <c r="A76765"/>
      <c r="B76765"/>
      <c r="C76765"/>
      <c r="E76765"/>
      <c r="F76765"/>
    </row>
    <row r="76766" spans="1:6" x14ac:dyDescent="0.25">
      <c r="A76766"/>
      <c r="B76766"/>
      <c r="C76766"/>
      <c r="E76766"/>
      <c r="F76766"/>
    </row>
    <row r="76767" spans="1:6" x14ac:dyDescent="0.25">
      <c r="A76767"/>
      <c r="B76767"/>
      <c r="C76767"/>
      <c r="E76767"/>
      <c r="F76767"/>
    </row>
    <row r="76768" spans="1:6" x14ac:dyDescent="0.25">
      <c r="A76768"/>
      <c r="B76768"/>
      <c r="C76768"/>
      <c r="E76768"/>
      <c r="F76768"/>
    </row>
    <row r="76769" spans="1:6" x14ac:dyDescent="0.25">
      <c r="A76769"/>
      <c r="B76769"/>
      <c r="C76769"/>
      <c r="E76769"/>
      <c r="F76769"/>
    </row>
    <row r="76770" spans="1:6" x14ac:dyDescent="0.25">
      <c r="A76770"/>
      <c r="B76770"/>
      <c r="C76770"/>
      <c r="E76770"/>
      <c r="F76770"/>
    </row>
    <row r="76771" spans="1:6" x14ac:dyDescent="0.25">
      <c r="A76771"/>
      <c r="B76771"/>
      <c r="C76771"/>
      <c r="E76771"/>
      <c r="F76771"/>
    </row>
    <row r="76772" spans="1:6" x14ac:dyDescent="0.25">
      <c r="A76772"/>
      <c r="B76772"/>
      <c r="C76772"/>
      <c r="E76772"/>
      <c r="F76772"/>
    </row>
    <row r="76773" spans="1:6" x14ac:dyDescent="0.25">
      <c r="A76773"/>
      <c r="B76773"/>
      <c r="C76773"/>
      <c r="E76773"/>
      <c r="F76773"/>
    </row>
    <row r="76774" spans="1:6" x14ac:dyDescent="0.25">
      <c r="A76774"/>
      <c r="B76774"/>
      <c r="C76774"/>
      <c r="E76774"/>
      <c r="F76774"/>
    </row>
    <row r="76775" spans="1:6" x14ac:dyDescent="0.25">
      <c r="A76775"/>
      <c r="B76775"/>
      <c r="C76775"/>
      <c r="E76775"/>
      <c r="F76775"/>
    </row>
    <row r="76776" spans="1:6" x14ac:dyDescent="0.25">
      <c r="A76776"/>
      <c r="B76776"/>
      <c r="C76776"/>
      <c r="E76776"/>
      <c r="F76776"/>
    </row>
    <row r="76777" spans="1:6" x14ac:dyDescent="0.25">
      <c r="A76777"/>
      <c r="B76777"/>
      <c r="C76777"/>
      <c r="E76777"/>
      <c r="F76777"/>
    </row>
    <row r="76778" spans="1:6" x14ac:dyDescent="0.25">
      <c r="A76778"/>
      <c r="B76778"/>
      <c r="C76778"/>
      <c r="E76778"/>
      <c r="F76778"/>
    </row>
    <row r="76779" spans="1:6" x14ac:dyDescent="0.25">
      <c r="A76779"/>
      <c r="B76779"/>
      <c r="C76779"/>
      <c r="E76779"/>
      <c r="F76779"/>
    </row>
    <row r="76780" spans="1:6" x14ac:dyDescent="0.25">
      <c r="A76780"/>
      <c r="B76780"/>
      <c r="C76780"/>
      <c r="E76780"/>
      <c r="F76780"/>
    </row>
    <row r="76781" spans="1:6" x14ac:dyDescent="0.25">
      <c r="A76781"/>
      <c r="B76781"/>
      <c r="C76781"/>
      <c r="E76781"/>
      <c r="F76781"/>
    </row>
    <row r="76782" spans="1:6" x14ac:dyDescent="0.25">
      <c r="A76782"/>
      <c r="B76782"/>
      <c r="C76782"/>
      <c r="E76782"/>
      <c r="F76782"/>
    </row>
    <row r="76783" spans="1:6" x14ac:dyDescent="0.25">
      <c r="A76783"/>
      <c r="B76783"/>
      <c r="C76783"/>
      <c r="E76783"/>
      <c r="F76783"/>
    </row>
    <row r="76784" spans="1:6" x14ac:dyDescent="0.25">
      <c r="A76784"/>
      <c r="B76784"/>
      <c r="C76784"/>
      <c r="E76784"/>
      <c r="F76784"/>
    </row>
    <row r="76785" spans="1:6" x14ac:dyDescent="0.25">
      <c r="A76785"/>
      <c r="B76785"/>
      <c r="C76785"/>
      <c r="E76785"/>
      <c r="F76785"/>
    </row>
    <row r="76786" spans="1:6" x14ac:dyDescent="0.25">
      <c r="A76786"/>
      <c r="B76786"/>
      <c r="C76786"/>
      <c r="E76786"/>
      <c r="F76786"/>
    </row>
    <row r="76787" spans="1:6" x14ac:dyDescent="0.25">
      <c r="A76787"/>
      <c r="B76787"/>
      <c r="C76787"/>
      <c r="E76787"/>
      <c r="F76787"/>
    </row>
    <row r="76788" spans="1:6" x14ac:dyDescent="0.25">
      <c r="A76788"/>
      <c r="B76788"/>
      <c r="C76788"/>
      <c r="E76788"/>
      <c r="F76788"/>
    </row>
    <row r="76789" spans="1:6" x14ac:dyDescent="0.25">
      <c r="A76789"/>
      <c r="B76789"/>
      <c r="C76789"/>
      <c r="E76789"/>
      <c r="F76789"/>
    </row>
    <row r="76790" spans="1:6" x14ac:dyDescent="0.25">
      <c r="A76790"/>
      <c r="B76790"/>
      <c r="C76790"/>
      <c r="E76790"/>
      <c r="F76790"/>
    </row>
    <row r="76791" spans="1:6" x14ac:dyDescent="0.25">
      <c r="A76791"/>
      <c r="B76791"/>
      <c r="C76791"/>
      <c r="E76791"/>
      <c r="F76791"/>
    </row>
    <row r="76792" spans="1:6" x14ac:dyDescent="0.25">
      <c r="A76792"/>
      <c r="B76792"/>
      <c r="C76792"/>
      <c r="E76792"/>
      <c r="F76792"/>
    </row>
    <row r="76793" spans="1:6" x14ac:dyDescent="0.25">
      <c r="A76793"/>
      <c r="B76793"/>
      <c r="C76793"/>
      <c r="E76793"/>
      <c r="F76793"/>
    </row>
    <row r="76794" spans="1:6" x14ac:dyDescent="0.25">
      <c r="A76794"/>
      <c r="B76794"/>
      <c r="C76794"/>
      <c r="E76794"/>
      <c r="F76794"/>
    </row>
    <row r="76795" spans="1:6" x14ac:dyDescent="0.25">
      <c r="A76795"/>
      <c r="B76795"/>
      <c r="C76795"/>
      <c r="E76795"/>
      <c r="F76795"/>
    </row>
    <row r="76796" spans="1:6" x14ac:dyDescent="0.25">
      <c r="A76796"/>
      <c r="B76796"/>
      <c r="C76796"/>
      <c r="E76796"/>
      <c r="F76796"/>
    </row>
    <row r="76797" spans="1:6" x14ac:dyDescent="0.25">
      <c r="A76797"/>
      <c r="B76797"/>
      <c r="C76797"/>
      <c r="E76797"/>
      <c r="F76797"/>
    </row>
    <row r="76798" spans="1:6" x14ac:dyDescent="0.25">
      <c r="A76798"/>
      <c r="B76798"/>
      <c r="C76798"/>
      <c r="E76798"/>
      <c r="F76798"/>
    </row>
    <row r="76799" spans="1:6" x14ac:dyDescent="0.25">
      <c r="A76799"/>
      <c r="B76799"/>
      <c r="C76799"/>
      <c r="E76799"/>
      <c r="F76799"/>
    </row>
    <row r="76800" spans="1:6" x14ac:dyDescent="0.25">
      <c r="A76800"/>
      <c r="B76800"/>
      <c r="C76800"/>
      <c r="E76800"/>
      <c r="F76800"/>
    </row>
    <row r="76801" spans="1:6" x14ac:dyDescent="0.25">
      <c r="A76801"/>
      <c r="B76801"/>
      <c r="C76801"/>
      <c r="E76801"/>
      <c r="F76801"/>
    </row>
    <row r="76802" spans="1:6" x14ac:dyDescent="0.25">
      <c r="A76802"/>
      <c r="B76802"/>
      <c r="C76802"/>
      <c r="E76802"/>
      <c r="F76802"/>
    </row>
    <row r="76803" spans="1:6" x14ac:dyDescent="0.25">
      <c r="A76803"/>
      <c r="B76803"/>
      <c r="C76803"/>
      <c r="E76803"/>
      <c r="F76803"/>
    </row>
    <row r="76804" spans="1:6" x14ac:dyDescent="0.25">
      <c r="A76804"/>
      <c r="B76804"/>
      <c r="C76804"/>
      <c r="E76804"/>
      <c r="F76804"/>
    </row>
    <row r="76805" spans="1:6" x14ac:dyDescent="0.25">
      <c r="A76805"/>
      <c r="B76805"/>
      <c r="C76805"/>
      <c r="E76805"/>
      <c r="F76805"/>
    </row>
    <row r="76806" spans="1:6" x14ac:dyDescent="0.25">
      <c r="A76806"/>
      <c r="B76806"/>
      <c r="C76806"/>
      <c r="E76806"/>
      <c r="F76806"/>
    </row>
    <row r="76807" spans="1:6" x14ac:dyDescent="0.25">
      <c r="A76807"/>
      <c r="B76807"/>
      <c r="C76807"/>
      <c r="E76807"/>
      <c r="F76807"/>
    </row>
    <row r="76808" spans="1:6" x14ac:dyDescent="0.25">
      <c r="A76808"/>
      <c r="B76808"/>
      <c r="C76808"/>
      <c r="E76808"/>
      <c r="F76808"/>
    </row>
    <row r="76809" spans="1:6" x14ac:dyDescent="0.25">
      <c r="A76809"/>
      <c r="B76809"/>
      <c r="C76809"/>
      <c r="E76809"/>
      <c r="F76809"/>
    </row>
    <row r="76810" spans="1:6" x14ac:dyDescent="0.25">
      <c r="A76810"/>
      <c r="B76810"/>
      <c r="C76810"/>
      <c r="E76810"/>
      <c r="F76810"/>
    </row>
    <row r="76811" spans="1:6" x14ac:dyDescent="0.25">
      <c r="A76811"/>
      <c r="B76811"/>
      <c r="C76811"/>
      <c r="E76811"/>
      <c r="F76811"/>
    </row>
    <row r="76812" spans="1:6" x14ac:dyDescent="0.25">
      <c r="A76812"/>
      <c r="B76812"/>
      <c r="C76812"/>
      <c r="E76812"/>
      <c r="F76812"/>
    </row>
    <row r="76813" spans="1:6" x14ac:dyDescent="0.25">
      <c r="A76813"/>
      <c r="B76813"/>
      <c r="C76813"/>
      <c r="E76813"/>
      <c r="F76813"/>
    </row>
    <row r="76814" spans="1:6" x14ac:dyDescent="0.25">
      <c r="A76814"/>
      <c r="B76814"/>
      <c r="C76814"/>
      <c r="E76814"/>
      <c r="F76814"/>
    </row>
    <row r="76815" spans="1:6" x14ac:dyDescent="0.25">
      <c r="A76815"/>
      <c r="B76815"/>
      <c r="C76815"/>
      <c r="E76815"/>
      <c r="F76815"/>
    </row>
    <row r="76816" spans="1:6" x14ac:dyDescent="0.25">
      <c r="A76816"/>
      <c r="B76816"/>
      <c r="C76816"/>
      <c r="E76816"/>
      <c r="F76816"/>
    </row>
    <row r="76817" spans="1:6" x14ac:dyDescent="0.25">
      <c r="A76817"/>
      <c r="B76817"/>
      <c r="C76817"/>
      <c r="E76817"/>
      <c r="F76817"/>
    </row>
    <row r="76818" spans="1:6" x14ac:dyDescent="0.25">
      <c r="A76818"/>
      <c r="B76818"/>
      <c r="C76818"/>
      <c r="E76818"/>
      <c r="F76818"/>
    </row>
    <row r="76819" spans="1:6" x14ac:dyDescent="0.25">
      <c r="A76819"/>
      <c r="B76819"/>
      <c r="C76819"/>
      <c r="E76819"/>
      <c r="F76819"/>
    </row>
    <row r="76820" spans="1:6" x14ac:dyDescent="0.25">
      <c r="A76820"/>
      <c r="B76820"/>
      <c r="C76820"/>
      <c r="E76820"/>
      <c r="F76820"/>
    </row>
    <row r="76821" spans="1:6" x14ac:dyDescent="0.25">
      <c r="A76821"/>
      <c r="B76821"/>
      <c r="C76821"/>
      <c r="E76821"/>
      <c r="F76821"/>
    </row>
    <row r="76822" spans="1:6" x14ac:dyDescent="0.25">
      <c r="A76822"/>
      <c r="B76822"/>
      <c r="C76822"/>
      <c r="E76822"/>
      <c r="F76822"/>
    </row>
    <row r="76823" spans="1:6" x14ac:dyDescent="0.25">
      <c r="A76823"/>
      <c r="B76823"/>
      <c r="C76823"/>
      <c r="E76823"/>
      <c r="F76823"/>
    </row>
    <row r="76824" spans="1:6" x14ac:dyDescent="0.25">
      <c r="A76824"/>
      <c r="B76824"/>
      <c r="C76824"/>
      <c r="E76824"/>
      <c r="F76824"/>
    </row>
    <row r="76825" spans="1:6" x14ac:dyDescent="0.25">
      <c r="A76825"/>
      <c r="B76825"/>
      <c r="C76825"/>
      <c r="E76825"/>
      <c r="F76825"/>
    </row>
    <row r="76826" spans="1:6" x14ac:dyDescent="0.25">
      <c r="A76826"/>
      <c r="B76826"/>
      <c r="C76826"/>
      <c r="E76826"/>
      <c r="F76826"/>
    </row>
    <row r="76827" spans="1:6" x14ac:dyDescent="0.25">
      <c r="A76827"/>
      <c r="B76827"/>
      <c r="C76827"/>
      <c r="E76827"/>
      <c r="F76827"/>
    </row>
    <row r="76828" spans="1:6" x14ac:dyDescent="0.25">
      <c r="A76828"/>
      <c r="B76828"/>
      <c r="C76828"/>
      <c r="E76828"/>
      <c r="F76828"/>
    </row>
    <row r="76829" spans="1:6" x14ac:dyDescent="0.25">
      <c r="A76829"/>
      <c r="B76829"/>
      <c r="C76829"/>
      <c r="E76829"/>
      <c r="F76829"/>
    </row>
    <row r="76830" spans="1:6" x14ac:dyDescent="0.25">
      <c r="A76830"/>
      <c r="B76830"/>
      <c r="C76830"/>
      <c r="E76830"/>
      <c r="F76830"/>
    </row>
    <row r="76831" spans="1:6" x14ac:dyDescent="0.25">
      <c r="A76831"/>
      <c r="B76831"/>
      <c r="C76831"/>
      <c r="E76831"/>
      <c r="F76831"/>
    </row>
    <row r="76832" spans="1:6" x14ac:dyDescent="0.25">
      <c r="A76832"/>
      <c r="B76832"/>
      <c r="C76832"/>
      <c r="E76832"/>
      <c r="F76832"/>
    </row>
    <row r="76833" spans="1:6" x14ac:dyDescent="0.25">
      <c r="A76833"/>
      <c r="B76833"/>
      <c r="C76833"/>
      <c r="E76833"/>
      <c r="F76833"/>
    </row>
    <row r="76834" spans="1:6" x14ac:dyDescent="0.25">
      <c r="A76834"/>
      <c r="B76834"/>
      <c r="C76834"/>
      <c r="E76834"/>
      <c r="F76834"/>
    </row>
    <row r="76835" spans="1:6" x14ac:dyDescent="0.25">
      <c r="A76835"/>
      <c r="B76835"/>
      <c r="C76835"/>
      <c r="E76835"/>
      <c r="F76835"/>
    </row>
    <row r="76836" spans="1:6" x14ac:dyDescent="0.25">
      <c r="A76836"/>
      <c r="B76836"/>
      <c r="C76836"/>
      <c r="E76836"/>
      <c r="F76836"/>
    </row>
    <row r="76837" spans="1:6" x14ac:dyDescent="0.25">
      <c r="A76837"/>
      <c r="B76837"/>
      <c r="C76837"/>
      <c r="E76837"/>
      <c r="F76837"/>
    </row>
    <row r="76838" spans="1:6" x14ac:dyDescent="0.25">
      <c r="A76838"/>
      <c r="B76838"/>
      <c r="C76838"/>
      <c r="E76838"/>
      <c r="F76838"/>
    </row>
    <row r="76839" spans="1:6" x14ac:dyDescent="0.25">
      <c r="A76839"/>
      <c r="B76839"/>
      <c r="C76839"/>
      <c r="E76839"/>
      <c r="F76839"/>
    </row>
    <row r="76840" spans="1:6" x14ac:dyDescent="0.25">
      <c r="A76840"/>
      <c r="B76840"/>
      <c r="C76840"/>
      <c r="E76840"/>
      <c r="F76840"/>
    </row>
    <row r="76841" spans="1:6" x14ac:dyDescent="0.25">
      <c r="A76841"/>
      <c r="B76841"/>
      <c r="C76841"/>
      <c r="E76841"/>
      <c r="F76841"/>
    </row>
    <row r="76842" spans="1:6" x14ac:dyDescent="0.25">
      <c r="A76842"/>
      <c r="B76842"/>
      <c r="C76842"/>
      <c r="E76842"/>
      <c r="F76842"/>
    </row>
    <row r="76843" spans="1:6" x14ac:dyDescent="0.25">
      <c r="A76843"/>
      <c r="B76843"/>
      <c r="C76843"/>
      <c r="E76843"/>
      <c r="F76843"/>
    </row>
    <row r="76844" spans="1:6" x14ac:dyDescent="0.25">
      <c r="A76844"/>
      <c r="B76844"/>
      <c r="C76844"/>
      <c r="E76844"/>
      <c r="F76844"/>
    </row>
    <row r="76845" spans="1:6" x14ac:dyDescent="0.25">
      <c r="A76845"/>
      <c r="B76845"/>
      <c r="C76845"/>
      <c r="E76845"/>
      <c r="F76845"/>
    </row>
    <row r="76846" spans="1:6" x14ac:dyDescent="0.25">
      <c r="A76846"/>
      <c r="B76846"/>
      <c r="C76846"/>
      <c r="E76846"/>
      <c r="F76846"/>
    </row>
    <row r="76847" spans="1:6" x14ac:dyDescent="0.25">
      <c r="A76847"/>
      <c r="B76847"/>
      <c r="C76847"/>
      <c r="E76847"/>
      <c r="F76847"/>
    </row>
    <row r="76848" spans="1:6" x14ac:dyDescent="0.25">
      <c r="A76848"/>
      <c r="B76848"/>
      <c r="C76848"/>
      <c r="E76848"/>
      <c r="F76848"/>
    </row>
    <row r="76849" spans="1:6" x14ac:dyDescent="0.25">
      <c r="A76849"/>
      <c r="B76849"/>
      <c r="C76849"/>
      <c r="E76849"/>
      <c r="F76849"/>
    </row>
    <row r="76850" spans="1:6" x14ac:dyDescent="0.25">
      <c r="A76850"/>
      <c r="B76850"/>
      <c r="C76850"/>
      <c r="E76850"/>
      <c r="F76850"/>
    </row>
    <row r="76851" spans="1:6" x14ac:dyDescent="0.25">
      <c r="A76851"/>
      <c r="B76851"/>
      <c r="C76851"/>
      <c r="E76851"/>
      <c r="F76851"/>
    </row>
    <row r="76852" spans="1:6" x14ac:dyDescent="0.25">
      <c r="A76852"/>
      <c r="B76852"/>
      <c r="C76852"/>
      <c r="E76852"/>
      <c r="F76852"/>
    </row>
    <row r="76853" spans="1:6" x14ac:dyDescent="0.25">
      <c r="A76853"/>
      <c r="B76853"/>
      <c r="C76853"/>
      <c r="E76853"/>
      <c r="F76853"/>
    </row>
    <row r="76854" spans="1:6" x14ac:dyDescent="0.25">
      <c r="A76854"/>
      <c r="B76854"/>
      <c r="C76854"/>
      <c r="E76854"/>
      <c r="F76854"/>
    </row>
    <row r="76855" spans="1:6" x14ac:dyDescent="0.25">
      <c r="A76855"/>
      <c r="B76855"/>
      <c r="C76855"/>
      <c r="E76855"/>
      <c r="F76855"/>
    </row>
    <row r="76856" spans="1:6" x14ac:dyDescent="0.25">
      <c r="A76856"/>
      <c r="B76856"/>
      <c r="C76856"/>
      <c r="E76856"/>
      <c r="F76856"/>
    </row>
    <row r="76857" spans="1:6" x14ac:dyDescent="0.25">
      <c r="A76857"/>
      <c r="B76857"/>
      <c r="C76857"/>
      <c r="E76857"/>
      <c r="F76857"/>
    </row>
    <row r="76858" spans="1:6" x14ac:dyDescent="0.25">
      <c r="A76858"/>
      <c r="B76858"/>
      <c r="C76858"/>
      <c r="E76858"/>
      <c r="F76858"/>
    </row>
    <row r="76859" spans="1:6" x14ac:dyDescent="0.25">
      <c r="A76859"/>
      <c r="B76859"/>
      <c r="C76859"/>
      <c r="E76859"/>
      <c r="F76859"/>
    </row>
    <row r="76860" spans="1:6" x14ac:dyDescent="0.25">
      <c r="A76860"/>
      <c r="B76860"/>
      <c r="C76860"/>
      <c r="E76860"/>
      <c r="F76860"/>
    </row>
    <row r="76861" spans="1:6" x14ac:dyDescent="0.25">
      <c r="A76861"/>
      <c r="B76861"/>
      <c r="C76861"/>
      <c r="E76861"/>
      <c r="F76861"/>
    </row>
    <row r="76862" spans="1:6" x14ac:dyDescent="0.25">
      <c r="A76862"/>
      <c r="B76862"/>
      <c r="C76862"/>
      <c r="E76862"/>
      <c r="F76862"/>
    </row>
    <row r="76863" spans="1:6" x14ac:dyDescent="0.25">
      <c r="A76863"/>
      <c r="B76863"/>
      <c r="C76863"/>
      <c r="E76863"/>
      <c r="F76863"/>
    </row>
    <row r="76864" spans="1:6" x14ac:dyDescent="0.25">
      <c r="A76864"/>
      <c r="B76864"/>
      <c r="C76864"/>
      <c r="E76864"/>
      <c r="F76864"/>
    </row>
    <row r="76865" spans="1:6" x14ac:dyDescent="0.25">
      <c r="A76865"/>
      <c r="B76865"/>
      <c r="C76865"/>
      <c r="E76865"/>
      <c r="F76865"/>
    </row>
    <row r="76866" spans="1:6" x14ac:dyDescent="0.25">
      <c r="A76866"/>
      <c r="B76866"/>
      <c r="C76866"/>
      <c r="E76866"/>
      <c r="F76866"/>
    </row>
    <row r="76867" spans="1:6" x14ac:dyDescent="0.25">
      <c r="A76867"/>
      <c r="B76867"/>
      <c r="C76867"/>
      <c r="E76867"/>
      <c r="F76867"/>
    </row>
    <row r="76868" spans="1:6" x14ac:dyDescent="0.25">
      <c r="A76868"/>
      <c r="B76868"/>
      <c r="C76868"/>
      <c r="E76868"/>
      <c r="F76868"/>
    </row>
    <row r="76869" spans="1:6" x14ac:dyDescent="0.25">
      <c r="A76869"/>
      <c r="B76869"/>
      <c r="C76869"/>
      <c r="E76869"/>
      <c r="F76869"/>
    </row>
    <row r="76870" spans="1:6" x14ac:dyDescent="0.25">
      <c r="A76870"/>
      <c r="B76870"/>
      <c r="C76870"/>
      <c r="E76870"/>
      <c r="F76870"/>
    </row>
    <row r="76871" spans="1:6" x14ac:dyDescent="0.25">
      <c r="A76871"/>
      <c r="B76871"/>
      <c r="C76871"/>
      <c r="E76871"/>
      <c r="F76871"/>
    </row>
    <row r="76872" spans="1:6" x14ac:dyDescent="0.25">
      <c r="A76872"/>
      <c r="B76872"/>
      <c r="C76872"/>
      <c r="E76872"/>
      <c r="F76872"/>
    </row>
    <row r="76873" spans="1:6" x14ac:dyDescent="0.25">
      <c r="A76873"/>
      <c r="B76873"/>
      <c r="C76873"/>
      <c r="E76873"/>
      <c r="F76873"/>
    </row>
    <row r="76874" spans="1:6" x14ac:dyDescent="0.25">
      <c r="A76874"/>
      <c r="B76874"/>
      <c r="C76874"/>
      <c r="E76874"/>
      <c r="F76874"/>
    </row>
    <row r="76875" spans="1:6" x14ac:dyDescent="0.25">
      <c r="A76875"/>
      <c r="B76875"/>
      <c r="C76875"/>
      <c r="E76875"/>
      <c r="F76875"/>
    </row>
    <row r="76876" spans="1:6" x14ac:dyDescent="0.25">
      <c r="A76876"/>
      <c r="B76876"/>
      <c r="C76876"/>
      <c r="E76876"/>
      <c r="F76876"/>
    </row>
    <row r="76877" spans="1:6" x14ac:dyDescent="0.25">
      <c r="A76877"/>
      <c r="B76877"/>
      <c r="C76877"/>
      <c r="E76877"/>
      <c r="F76877"/>
    </row>
    <row r="76878" spans="1:6" x14ac:dyDescent="0.25">
      <c r="A76878"/>
      <c r="B76878"/>
      <c r="C76878"/>
      <c r="E76878"/>
      <c r="F76878"/>
    </row>
    <row r="76879" spans="1:6" x14ac:dyDescent="0.25">
      <c r="A76879"/>
      <c r="B76879"/>
      <c r="C76879"/>
      <c r="E76879"/>
      <c r="F76879"/>
    </row>
    <row r="76880" spans="1:6" x14ac:dyDescent="0.25">
      <c r="A76880"/>
      <c r="B76880"/>
      <c r="C76880"/>
      <c r="E76880"/>
      <c r="F76880"/>
    </row>
    <row r="76881" spans="1:6" x14ac:dyDescent="0.25">
      <c r="A76881"/>
      <c r="B76881"/>
      <c r="C76881"/>
      <c r="E76881"/>
      <c r="F76881"/>
    </row>
    <row r="76882" spans="1:6" x14ac:dyDescent="0.25">
      <c r="A76882"/>
      <c r="B76882"/>
      <c r="C76882"/>
      <c r="E76882"/>
      <c r="F76882"/>
    </row>
    <row r="76883" spans="1:6" x14ac:dyDescent="0.25">
      <c r="A76883"/>
      <c r="B76883"/>
      <c r="C76883"/>
      <c r="E76883"/>
      <c r="F76883"/>
    </row>
    <row r="76884" spans="1:6" x14ac:dyDescent="0.25">
      <c r="A76884"/>
      <c r="B76884"/>
      <c r="C76884"/>
      <c r="E76884"/>
      <c r="F76884"/>
    </row>
    <row r="76885" spans="1:6" x14ac:dyDescent="0.25">
      <c r="A76885"/>
      <c r="B76885"/>
      <c r="C76885"/>
      <c r="E76885"/>
      <c r="F76885"/>
    </row>
    <row r="76886" spans="1:6" x14ac:dyDescent="0.25">
      <c r="A76886"/>
      <c r="B76886"/>
      <c r="C76886"/>
      <c r="E76886"/>
      <c r="F76886"/>
    </row>
    <row r="76887" spans="1:6" x14ac:dyDescent="0.25">
      <c r="A76887"/>
      <c r="B76887"/>
      <c r="C76887"/>
      <c r="E76887"/>
      <c r="F76887"/>
    </row>
    <row r="76888" spans="1:6" x14ac:dyDescent="0.25">
      <c r="A76888"/>
      <c r="B76888"/>
      <c r="C76888"/>
      <c r="E76888"/>
      <c r="F76888"/>
    </row>
    <row r="76889" spans="1:6" x14ac:dyDescent="0.25">
      <c r="A76889"/>
      <c r="B76889"/>
      <c r="C76889"/>
      <c r="E76889"/>
      <c r="F76889"/>
    </row>
    <row r="76890" spans="1:6" x14ac:dyDescent="0.25">
      <c r="A76890"/>
      <c r="B76890"/>
      <c r="C76890"/>
      <c r="E76890"/>
      <c r="F76890"/>
    </row>
    <row r="76891" spans="1:6" x14ac:dyDescent="0.25">
      <c r="A76891"/>
      <c r="B76891"/>
      <c r="C76891"/>
      <c r="E76891"/>
      <c r="F76891"/>
    </row>
    <row r="76892" spans="1:6" x14ac:dyDescent="0.25">
      <c r="A76892"/>
      <c r="B76892"/>
      <c r="C76892"/>
      <c r="E76892"/>
      <c r="F76892"/>
    </row>
    <row r="76893" spans="1:6" x14ac:dyDescent="0.25">
      <c r="A76893"/>
      <c r="B76893"/>
      <c r="C76893"/>
      <c r="E76893"/>
      <c r="F76893"/>
    </row>
    <row r="76894" spans="1:6" x14ac:dyDescent="0.25">
      <c r="A76894"/>
      <c r="B76894"/>
      <c r="C76894"/>
      <c r="E76894"/>
      <c r="F76894"/>
    </row>
    <row r="76895" spans="1:6" x14ac:dyDescent="0.25">
      <c r="A76895"/>
      <c r="B76895"/>
      <c r="C76895"/>
      <c r="E76895"/>
      <c r="F76895"/>
    </row>
    <row r="76896" spans="1:6" x14ac:dyDescent="0.25">
      <c r="A76896"/>
      <c r="B76896"/>
      <c r="C76896"/>
      <c r="E76896"/>
      <c r="F76896"/>
    </row>
    <row r="76897" spans="1:6" x14ac:dyDescent="0.25">
      <c r="A76897"/>
      <c r="B76897"/>
      <c r="C76897"/>
      <c r="E76897"/>
      <c r="F76897"/>
    </row>
    <row r="76898" spans="1:6" x14ac:dyDescent="0.25">
      <c r="A76898"/>
      <c r="B76898"/>
      <c r="C76898"/>
      <c r="E76898"/>
      <c r="F76898"/>
    </row>
    <row r="76899" spans="1:6" x14ac:dyDescent="0.25">
      <c r="A76899"/>
      <c r="B76899"/>
      <c r="C76899"/>
      <c r="E76899"/>
      <c r="F76899"/>
    </row>
    <row r="76900" spans="1:6" x14ac:dyDescent="0.25">
      <c r="A76900"/>
      <c r="B76900"/>
      <c r="C76900"/>
      <c r="E76900"/>
      <c r="F76900"/>
    </row>
    <row r="76901" spans="1:6" x14ac:dyDescent="0.25">
      <c r="A76901"/>
      <c r="B76901"/>
      <c r="C76901"/>
      <c r="E76901"/>
      <c r="F76901"/>
    </row>
    <row r="76902" spans="1:6" x14ac:dyDescent="0.25">
      <c r="A76902"/>
      <c r="B76902"/>
      <c r="C76902"/>
      <c r="E76902"/>
      <c r="F76902"/>
    </row>
    <row r="76903" spans="1:6" x14ac:dyDescent="0.25">
      <c r="A76903"/>
      <c r="B76903"/>
      <c r="C76903"/>
      <c r="E76903"/>
      <c r="F76903"/>
    </row>
    <row r="76904" spans="1:6" x14ac:dyDescent="0.25">
      <c r="A76904"/>
      <c r="B76904"/>
      <c r="C76904"/>
      <c r="E76904"/>
      <c r="F76904"/>
    </row>
    <row r="76905" spans="1:6" x14ac:dyDescent="0.25">
      <c r="A76905"/>
      <c r="B76905"/>
      <c r="C76905"/>
      <c r="E76905"/>
      <c r="F76905"/>
    </row>
    <row r="76906" spans="1:6" x14ac:dyDescent="0.25">
      <c r="A76906"/>
      <c r="B76906"/>
      <c r="C76906"/>
      <c r="E76906"/>
      <c r="F76906"/>
    </row>
    <row r="76907" spans="1:6" x14ac:dyDescent="0.25">
      <c r="A76907"/>
      <c r="B76907"/>
      <c r="C76907"/>
      <c r="E76907"/>
      <c r="F76907"/>
    </row>
    <row r="76908" spans="1:6" x14ac:dyDescent="0.25">
      <c r="A76908"/>
      <c r="B76908"/>
      <c r="C76908"/>
      <c r="E76908"/>
      <c r="F76908"/>
    </row>
    <row r="76909" spans="1:6" x14ac:dyDescent="0.25">
      <c r="A76909"/>
      <c r="B76909"/>
      <c r="C76909"/>
      <c r="E76909"/>
      <c r="F76909"/>
    </row>
    <row r="76910" spans="1:6" x14ac:dyDescent="0.25">
      <c r="A76910"/>
      <c r="B76910"/>
      <c r="C76910"/>
      <c r="E76910"/>
      <c r="F76910"/>
    </row>
    <row r="76911" spans="1:6" x14ac:dyDescent="0.25">
      <c r="A76911"/>
      <c r="B76911"/>
      <c r="C76911"/>
      <c r="E76911"/>
      <c r="F76911"/>
    </row>
    <row r="76912" spans="1:6" x14ac:dyDescent="0.25">
      <c r="A76912"/>
      <c r="B76912"/>
      <c r="C76912"/>
      <c r="E76912"/>
      <c r="F76912"/>
    </row>
    <row r="76913" spans="1:6" x14ac:dyDescent="0.25">
      <c r="A76913"/>
      <c r="B76913"/>
      <c r="C76913"/>
      <c r="E76913"/>
      <c r="F76913"/>
    </row>
    <row r="76914" spans="1:6" x14ac:dyDescent="0.25">
      <c r="A76914"/>
      <c r="B76914"/>
      <c r="C76914"/>
      <c r="E76914"/>
      <c r="F76914"/>
    </row>
    <row r="76915" spans="1:6" x14ac:dyDescent="0.25">
      <c r="A76915"/>
      <c r="B76915"/>
      <c r="C76915"/>
      <c r="E76915"/>
      <c r="F76915"/>
    </row>
    <row r="76916" spans="1:6" x14ac:dyDescent="0.25">
      <c r="A76916"/>
      <c r="B76916"/>
      <c r="C76916"/>
      <c r="E76916"/>
      <c r="F76916"/>
    </row>
    <row r="76917" spans="1:6" x14ac:dyDescent="0.25">
      <c r="A76917"/>
      <c r="B76917"/>
      <c r="C76917"/>
      <c r="E76917"/>
      <c r="F76917"/>
    </row>
    <row r="76918" spans="1:6" x14ac:dyDescent="0.25">
      <c r="A76918"/>
      <c r="B76918"/>
      <c r="C76918"/>
      <c r="E76918"/>
      <c r="F76918"/>
    </row>
    <row r="76919" spans="1:6" x14ac:dyDescent="0.25">
      <c r="A76919"/>
      <c r="B76919"/>
      <c r="C76919"/>
      <c r="E76919"/>
      <c r="F76919"/>
    </row>
    <row r="76920" spans="1:6" x14ac:dyDescent="0.25">
      <c r="A76920"/>
      <c r="B76920"/>
      <c r="C76920"/>
      <c r="E76920"/>
      <c r="F76920"/>
    </row>
    <row r="76921" spans="1:6" x14ac:dyDescent="0.25">
      <c r="A76921"/>
      <c r="B76921"/>
      <c r="C76921"/>
      <c r="E76921"/>
      <c r="F76921"/>
    </row>
    <row r="76922" spans="1:6" x14ac:dyDescent="0.25">
      <c r="A76922"/>
      <c r="B76922"/>
      <c r="C76922"/>
      <c r="E76922"/>
      <c r="F76922"/>
    </row>
    <row r="76923" spans="1:6" x14ac:dyDescent="0.25">
      <c r="A76923"/>
      <c r="B76923"/>
      <c r="C76923"/>
      <c r="E76923"/>
      <c r="F76923"/>
    </row>
    <row r="76924" spans="1:6" x14ac:dyDescent="0.25">
      <c r="A76924"/>
      <c r="B76924"/>
      <c r="C76924"/>
      <c r="E76924"/>
      <c r="F76924"/>
    </row>
    <row r="76925" spans="1:6" x14ac:dyDescent="0.25">
      <c r="A76925"/>
      <c r="B76925"/>
      <c r="C76925"/>
      <c r="E76925"/>
      <c r="F76925"/>
    </row>
    <row r="76926" spans="1:6" x14ac:dyDescent="0.25">
      <c r="A76926"/>
      <c r="B76926"/>
      <c r="C76926"/>
      <c r="E76926"/>
      <c r="F76926"/>
    </row>
    <row r="76927" spans="1:6" x14ac:dyDescent="0.25">
      <c r="A76927"/>
      <c r="B76927"/>
      <c r="C76927"/>
      <c r="E76927"/>
      <c r="F76927"/>
    </row>
    <row r="76928" spans="1:6" x14ac:dyDescent="0.25">
      <c r="A76928"/>
      <c r="B76928"/>
      <c r="C76928"/>
      <c r="E76928"/>
      <c r="F76928"/>
    </row>
    <row r="76929" spans="1:6" x14ac:dyDescent="0.25">
      <c r="A76929"/>
      <c r="B76929"/>
      <c r="C76929"/>
      <c r="E76929"/>
      <c r="F76929"/>
    </row>
    <row r="76930" spans="1:6" x14ac:dyDescent="0.25">
      <c r="A76930"/>
      <c r="B76930"/>
      <c r="C76930"/>
      <c r="E76930"/>
      <c r="F76930"/>
    </row>
    <row r="76931" spans="1:6" x14ac:dyDescent="0.25">
      <c r="A76931"/>
      <c r="B76931"/>
      <c r="C76931"/>
      <c r="E76931"/>
      <c r="F76931"/>
    </row>
    <row r="76932" spans="1:6" x14ac:dyDescent="0.25">
      <c r="A76932"/>
      <c r="B76932"/>
      <c r="C76932"/>
      <c r="E76932"/>
      <c r="F76932"/>
    </row>
    <row r="76933" spans="1:6" x14ac:dyDescent="0.25">
      <c r="A76933"/>
      <c r="B76933"/>
      <c r="C76933"/>
      <c r="E76933"/>
      <c r="F76933"/>
    </row>
    <row r="76934" spans="1:6" x14ac:dyDescent="0.25">
      <c r="A76934"/>
      <c r="B76934"/>
      <c r="C76934"/>
      <c r="E76934"/>
      <c r="F76934"/>
    </row>
    <row r="76935" spans="1:6" x14ac:dyDescent="0.25">
      <c r="A76935"/>
      <c r="B76935"/>
      <c r="C76935"/>
      <c r="E76935"/>
      <c r="F76935"/>
    </row>
    <row r="76936" spans="1:6" x14ac:dyDescent="0.25">
      <c r="A76936"/>
      <c r="B76936"/>
      <c r="C76936"/>
      <c r="E76936"/>
      <c r="F76936"/>
    </row>
    <row r="76937" spans="1:6" x14ac:dyDescent="0.25">
      <c r="A76937"/>
      <c r="B76937"/>
      <c r="C76937"/>
      <c r="E76937"/>
      <c r="F76937"/>
    </row>
    <row r="76938" spans="1:6" x14ac:dyDescent="0.25">
      <c r="A76938"/>
      <c r="B76938"/>
      <c r="C76938"/>
      <c r="E76938"/>
      <c r="F76938"/>
    </row>
    <row r="76939" spans="1:6" x14ac:dyDescent="0.25">
      <c r="A76939"/>
      <c r="B76939"/>
      <c r="C76939"/>
      <c r="E76939"/>
      <c r="F76939"/>
    </row>
    <row r="76940" spans="1:6" x14ac:dyDescent="0.25">
      <c r="A76940"/>
      <c r="B76940"/>
      <c r="C76940"/>
      <c r="E76940"/>
      <c r="F76940"/>
    </row>
    <row r="76941" spans="1:6" x14ac:dyDescent="0.25">
      <c r="A76941"/>
      <c r="B76941"/>
      <c r="C76941"/>
      <c r="E76941"/>
      <c r="F76941"/>
    </row>
    <row r="76942" spans="1:6" x14ac:dyDescent="0.25">
      <c r="A76942"/>
      <c r="B76942"/>
      <c r="C76942"/>
      <c r="E76942"/>
      <c r="F76942"/>
    </row>
    <row r="76943" spans="1:6" x14ac:dyDescent="0.25">
      <c r="A76943"/>
      <c r="B76943"/>
      <c r="C76943"/>
      <c r="E76943"/>
      <c r="F76943"/>
    </row>
    <row r="76944" spans="1:6" x14ac:dyDescent="0.25">
      <c r="A76944"/>
      <c r="B76944"/>
      <c r="C76944"/>
      <c r="E76944"/>
      <c r="F76944"/>
    </row>
    <row r="76945" spans="1:6" x14ac:dyDescent="0.25">
      <c r="A76945"/>
      <c r="B76945"/>
      <c r="C76945"/>
      <c r="E76945"/>
      <c r="F76945"/>
    </row>
    <row r="76946" spans="1:6" x14ac:dyDescent="0.25">
      <c r="A76946"/>
      <c r="B76946"/>
      <c r="C76946"/>
      <c r="E76946"/>
      <c r="F76946"/>
    </row>
    <row r="76947" spans="1:6" x14ac:dyDescent="0.25">
      <c r="A76947"/>
      <c r="B76947"/>
      <c r="C76947"/>
      <c r="E76947"/>
      <c r="F76947"/>
    </row>
    <row r="76948" spans="1:6" x14ac:dyDescent="0.25">
      <c r="A76948"/>
      <c r="B76948"/>
      <c r="C76948"/>
      <c r="E76948"/>
      <c r="F76948"/>
    </row>
    <row r="76949" spans="1:6" x14ac:dyDescent="0.25">
      <c r="A76949"/>
      <c r="B76949"/>
      <c r="C76949"/>
      <c r="E76949"/>
      <c r="F76949"/>
    </row>
    <row r="76950" spans="1:6" x14ac:dyDescent="0.25">
      <c r="A76950"/>
      <c r="B76950"/>
      <c r="C76950"/>
      <c r="E76950"/>
      <c r="F76950"/>
    </row>
    <row r="76951" spans="1:6" x14ac:dyDescent="0.25">
      <c r="A76951"/>
      <c r="B76951"/>
      <c r="C76951"/>
      <c r="E76951"/>
      <c r="F76951"/>
    </row>
    <row r="76952" spans="1:6" x14ac:dyDescent="0.25">
      <c r="A76952"/>
      <c r="B76952"/>
      <c r="C76952"/>
      <c r="E76952"/>
      <c r="F76952"/>
    </row>
    <row r="76953" spans="1:6" x14ac:dyDescent="0.25">
      <c r="A76953"/>
      <c r="B76953"/>
      <c r="C76953"/>
      <c r="E76953"/>
      <c r="F76953"/>
    </row>
    <row r="76954" spans="1:6" x14ac:dyDescent="0.25">
      <c r="A76954"/>
      <c r="B76954"/>
      <c r="C76954"/>
      <c r="E76954"/>
      <c r="F76954"/>
    </row>
    <row r="76955" spans="1:6" x14ac:dyDescent="0.25">
      <c r="A76955"/>
      <c r="B76955"/>
      <c r="C76955"/>
      <c r="E76955"/>
      <c r="F76955"/>
    </row>
    <row r="76956" spans="1:6" x14ac:dyDescent="0.25">
      <c r="A76956"/>
      <c r="B76956"/>
      <c r="C76956"/>
      <c r="E76956"/>
      <c r="F76956"/>
    </row>
    <row r="76957" spans="1:6" x14ac:dyDescent="0.25">
      <c r="A76957"/>
      <c r="B76957"/>
      <c r="C76957"/>
      <c r="E76957"/>
      <c r="F76957"/>
    </row>
    <row r="76958" spans="1:6" x14ac:dyDescent="0.25">
      <c r="A76958"/>
      <c r="B76958"/>
      <c r="C76958"/>
      <c r="E76958"/>
      <c r="F76958"/>
    </row>
    <row r="76959" spans="1:6" x14ac:dyDescent="0.25">
      <c r="A76959"/>
      <c r="B76959"/>
      <c r="C76959"/>
      <c r="E76959"/>
      <c r="F76959"/>
    </row>
    <row r="76960" spans="1:6" x14ac:dyDescent="0.25">
      <c r="A76960"/>
      <c r="B76960"/>
      <c r="C76960"/>
      <c r="E76960"/>
      <c r="F76960"/>
    </row>
    <row r="76961" spans="1:6" x14ac:dyDescent="0.25">
      <c r="A76961"/>
      <c r="B76961"/>
      <c r="C76961"/>
      <c r="E76961"/>
      <c r="F76961"/>
    </row>
    <row r="76962" spans="1:6" x14ac:dyDescent="0.25">
      <c r="A76962"/>
      <c r="B76962"/>
      <c r="C76962"/>
      <c r="E76962"/>
      <c r="F76962"/>
    </row>
    <row r="76963" spans="1:6" x14ac:dyDescent="0.25">
      <c r="A76963"/>
      <c r="B76963"/>
      <c r="C76963"/>
      <c r="E76963"/>
      <c r="F76963"/>
    </row>
    <row r="76964" spans="1:6" x14ac:dyDescent="0.25">
      <c r="A76964"/>
      <c r="B76964"/>
      <c r="C76964"/>
      <c r="E76964"/>
      <c r="F76964"/>
    </row>
    <row r="76965" spans="1:6" x14ac:dyDescent="0.25">
      <c r="A76965"/>
      <c r="B76965"/>
      <c r="C76965"/>
      <c r="E76965"/>
      <c r="F76965"/>
    </row>
    <row r="76966" spans="1:6" x14ac:dyDescent="0.25">
      <c r="A76966"/>
      <c r="B76966"/>
      <c r="C76966"/>
      <c r="E76966"/>
      <c r="F76966"/>
    </row>
    <row r="76967" spans="1:6" x14ac:dyDescent="0.25">
      <c r="A76967"/>
      <c r="B76967"/>
      <c r="C76967"/>
      <c r="E76967"/>
      <c r="F76967"/>
    </row>
    <row r="76968" spans="1:6" x14ac:dyDescent="0.25">
      <c r="A76968"/>
      <c r="B76968"/>
      <c r="C76968"/>
      <c r="E76968"/>
      <c r="F76968"/>
    </row>
    <row r="76969" spans="1:6" x14ac:dyDescent="0.25">
      <c r="A76969"/>
      <c r="B76969"/>
      <c r="C76969"/>
      <c r="E76969"/>
      <c r="F76969"/>
    </row>
    <row r="76970" spans="1:6" x14ac:dyDescent="0.25">
      <c r="A76970"/>
      <c r="B76970"/>
      <c r="C76970"/>
      <c r="E76970"/>
      <c r="F76970"/>
    </row>
    <row r="76971" spans="1:6" x14ac:dyDescent="0.25">
      <c r="A76971"/>
      <c r="B76971"/>
      <c r="C76971"/>
      <c r="E76971"/>
      <c r="F76971"/>
    </row>
    <row r="76972" spans="1:6" x14ac:dyDescent="0.25">
      <c r="A76972"/>
      <c r="B76972"/>
      <c r="C76972"/>
      <c r="E76972"/>
      <c r="F76972"/>
    </row>
    <row r="76973" spans="1:6" x14ac:dyDescent="0.25">
      <c r="A76973"/>
      <c r="B76973"/>
      <c r="C76973"/>
      <c r="E76973"/>
      <c r="F76973"/>
    </row>
    <row r="76974" spans="1:6" x14ac:dyDescent="0.25">
      <c r="A76974"/>
      <c r="B76974"/>
      <c r="C76974"/>
      <c r="E76974"/>
      <c r="F76974"/>
    </row>
    <row r="76975" spans="1:6" x14ac:dyDescent="0.25">
      <c r="A76975"/>
      <c r="B76975"/>
      <c r="C76975"/>
      <c r="E76975"/>
      <c r="F76975"/>
    </row>
    <row r="76976" spans="1:6" x14ac:dyDescent="0.25">
      <c r="A76976"/>
      <c r="B76976"/>
      <c r="C76976"/>
      <c r="E76976"/>
      <c r="F76976"/>
    </row>
    <row r="76977" spans="1:6" x14ac:dyDescent="0.25">
      <c r="A76977"/>
      <c r="B76977"/>
      <c r="C76977"/>
      <c r="E76977"/>
      <c r="F76977"/>
    </row>
    <row r="76978" spans="1:6" x14ac:dyDescent="0.25">
      <c r="A76978"/>
      <c r="B76978"/>
      <c r="C76978"/>
      <c r="E76978"/>
      <c r="F76978"/>
    </row>
    <row r="76979" spans="1:6" x14ac:dyDescent="0.25">
      <c r="A76979"/>
      <c r="B76979"/>
      <c r="C76979"/>
      <c r="E76979"/>
      <c r="F76979"/>
    </row>
    <row r="76980" spans="1:6" x14ac:dyDescent="0.25">
      <c r="A76980"/>
      <c r="B76980"/>
      <c r="C76980"/>
      <c r="E76980"/>
      <c r="F76980"/>
    </row>
    <row r="76981" spans="1:6" x14ac:dyDescent="0.25">
      <c r="A76981"/>
      <c r="B76981"/>
      <c r="C76981"/>
      <c r="E76981"/>
      <c r="F76981"/>
    </row>
    <row r="76982" spans="1:6" x14ac:dyDescent="0.25">
      <c r="A76982"/>
      <c r="B76982"/>
      <c r="C76982"/>
      <c r="E76982"/>
      <c r="F76982"/>
    </row>
    <row r="76983" spans="1:6" x14ac:dyDescent="0.25">
      <c r="A76983"/>
      <c r="B76983"/>
      <c r="C76983"/>
      <c r="E76983"/>
      <c r="F76983"/>
    </row>
    <row r="76984" spans="1:6" x14ac:dyDescent="0.25">
      <c r="A76984"/>
      <c r="B76984"/>
      <c r="C76984"/>
      <c r="E76984"/>
      <c r="F76984"/>
    </row>
    <row r="76985" spans="1:6" x14ac:dyDescent="0.25">
      <c r="A76985"/>
      <c r="B76985"/>
      <c r="C76985"/>
      <c r="E76985"/>
      <c r="F76985"/>
    </row>
    <row r="76986" spans="1:6" x14ac:dyDescent="0.25">
      <c r="A76986"/>
      <c r="B76986"/>
      <c r="C76986"/>
      <c r="E76986"/>
      <c r="F76986"/>
    </row>
    <row r="76987" spans="1:6" x14ac:dyDescent="0.25">
      <c r="A76987"/>
      <c r="B76987"/>
      <c r="C76987"/>
      <c r="E76987"/>
      <c r="F76987"/>
    </row>
    <row r="76988" spans="1:6" x14ac:dyDescent="0.25">
      <c r="A76988"/>
      <c r="B76988"/>
      <c r="C76988"/>
      <c r="E76988"/>
      <c r="F76988"/>
    </row>
    <row r="76989" spans="1:6" x14ac:dyDescent="0.25">
      <c r="A76989"/>
      <c r="B76989"/>
      <c r="C76989"/>
      <c r="E76989"/>
      <c r="F76989"/>
    </row>
    <row r="76990" spans="1:6" x14ac:dyDescent="0.25">
      <c r="A76990"/>
      <c r="B76990"/>
      <c r="C76990"/>
      <c r="E76990"/>
      <c r="F76990"/>
    </row>
    <row r="76991" spans="1:6" x14ac:dyDescent="0.25">
      <c r="A76991"/>
      <c r="B76991"/>
      <c r="C76991"/>
      <c r="E76991"/>
      <c r="F76991"/>
    </row>
    <row r="76992" spans="1:6" x14ac:dyDescent="0.25">
      <c r="A76992"/>
      <c r="B76992"/>
      <c r="C76992"/>
      <c r="E76992"/>
      <c r="F76992"/>
    </row>
    <row r="76993" spans="1:6" x14ac:dyDescent="0.25">
      <c r="A76993"/>
      <c r="B76993"/>
      <c r="C76993"/>
      <c r="E76993"/>
      <c r="F76993"/>
    </row>
    <row r="76994" spans="1:6" x14ac:dyDescent="0.25">
      <c r="A76994"/>
      <c r="B76994"/>
      <c r="C76994"/>
      <c r="E76994"/>
      <c r="F76994"/>
    </row>
    <row r="76995" spans="1:6" x14ac:dyDescent="0.25">
      <c r="A76995"/>
      <c r="B76995"/>
      <c r="C76995"/>
      <c r="E76995"/>
      <c r="F76995"/>
    </row>
    <row r="76996" spans="1:6" x14ac:dyDescent="0.25">
      <c r="A76996"/>
      <c r="B76996"/>
      <c r="C76996"/>
      <c r="E76996"/>
      <c r="F76996"/>
    </row>
    <row r="76997" spans="1:6" x14ac:dyDescent="0.25">
      <c r="A76997"/>
      <c r="B76997"/>
      <c r="C76997"/>
      <c r="E76997"/>
      <c r="F76997"/>
    </row>
    <row r="76998" spans="1:6" x14ac:dyDescent="0.25">
      <c r="A76998"/>
      <c r="B76998"/>
      <c r="C76998"/>
      <c r="E76998"/>
      <c r="F76998"/>
    </row>
    <row r="76999" spans="1:6" x14ac:dyDescent="0.25">
      <c r="A76999"/>
      <c r="B76999"/>
      <c r="C76999"/>
      <c r="E76999"/>
      <c r="F76999"/>
    </row>
    <row r="77000" spans="1:6" x14ac:dyDescent="0.25">
      <c r="A77000"/>
      <c r="B77000"/>
      <c r="C77000"/>
      <c r="E77000"/>
      <c r="F77000"/>
    </row>
    <row r="77001" spans="1:6" x14ac:dyDescent="0.25">
      <c r="A77001"/>
      <c r="B77001"/>
      <c r="C77001"/>
      <c r="E77001"/>
      <c r="F77001"/>
    </row>
    <row r="77002" spans="1:6" x14ac:dyDescent="0.25">
      <c r="A77002"/>
      <c r="B77002"/>
      <c r="C77002"/>
      <c r="E77002"/>
      <c r="F77002"/>
    </row>
    <row r="77003" spans="1:6" x14ac:dyDescent="0.25">
      <c r="A77003"/>
      <c r="B77003"/>
      <c r="C77003"/>
      <c r="E77003"/>
      <c r="F77003"/>
    </row>
    <row r="77004" spans="1:6" x14ac:dyDescent="0.25">
      <c r="A77004"/>
      <c r="B77004"/>
      <c r="C77004"/>
      <c r="E77004"/>
      <c r="F77004"/>
    </row>
    <row r="77005" spans="1:6" x14ac:dyDescent="0.25">
      <c r="A77005"/>
      <c r="B77005"/>
      <c r="C77005"/>
      <c r="E77005"/>
      <c r="F77005"/>
    </row>
    <row r="77006" spans="1:6" x14ac:dyDescent="0.25">
      <c r="A77006"/>
      <c r="B77006"/>
      <c r="C77006"/>
      <c r="E77006"/>
      <c r="F77006"/>
    </row>
    <row r="77007" spans="1:6" x14ac:dyDescent="0.25">
      <c r="A77007"/>
      <c r="B77007"/>
      <c r="C77007"/>
      <c r="E77007"/>
      <c r="F77007"/>
    </row>
    <row r="77008" spans="1:6" x14ac:dyDescent="0.25">
      <c r="A77008"/>
      <c r="B77008"/>
      <c r="C77008"/>
      <c r="E77008"/>
      <c r="F77008"/>
    </row>
    <row r="77009" spans="1:6" x14ac:dyDescent="0.25">
      <c r="A77009"/>
      <c r="B77009"/>
      <c r="C77009"/>
      <c r="E77009"/>
      <c r="F77009"/>
    </row>
    <row r="77010" spans="1:6" x14ac:dyDescent="0.25">
      <c r="A77010"/>
      <c r="B77010"/>
      <c r="C77010"/>
      <c r="E77010"/>
      <c r="F77010"/>
    </row>
    <row r="77011" spans="1:6" x14ac:dyDescent="0.25">
      <c r="A77011"/>
      <c r="B77011"/>
      <c r="C77011"/>
      <c r="E77011"/>
      <c r="F77011"/>
    </row>
    <row r="77012" spans="1:6" x14ac:dyDescent="0.25">
      <c r="A77012"/>
      <c r="B77012"/>
      <c r="C77012"/>
      <c r="E77012"/>
      <c r="F77012"/>
    </row>
    <row r="77013" spans="1:6" x14ac:dyDescent="0.25">
      <c r="A77013"/>
      <c r="B77013"/>
      <c r="C77013"/>
      <c r="E77013"/>
      <c r="F77013"/>
    </row>
    <row r="77014" spans="1:6" x14ac:dyDescent="0.25">
      <c r="A77014"/>
      <c r="B77014"/>
      <c r="C77014"/>
      <c r="E77014"/>
      <c r="F77014"/>
    </row>
    <row r="77015" spans="1:6" x14ac:dyDescent="0.25">
      <c r="A77015"/>
      <c r="B77015"/>
      <c r="C77015"/>
      <c r="E77015"/>
      <c r="F77015"/>
    </row>
    <row r="77016" spans="1:6" x14ac:dyDescent="0.25">
      <c r="A77016"/>
      <c r="B77016"/>
      <c r="C77016"/>
      <c r="E77016"/>
      <c r="F77016"/>
    </row>
    <row r="77017" spans="1:6" x14ac:dyDescent="0.25">
      <c r="A77017"/>
      <c r="B77017"/>
      <c r="C77017"/>
      <c r="E77017"/>
      <c r="F77017"/>
    </row>
    <row r="77018" spans="1:6" x14ac:dyDescent="0.25">
      <c r="A77018"/>
      <c r="B77018"/>
      <c r="C77018"/>
      <c r="E77018"/>
      <c r="F77018"/>
    </row>
    <row r="77019" spans="1:6" x14ac:dyDescent="0.25">
      <c r="A77019"/>
      <c r="B77019"/>
      <c r="C77019"/>
      <c r="E77019"/>
      <c r="F77019"/>
    </row>
    <row r="77020" spans="1:6" x14ac:dyDescent="0.25">
      <c r="A77020"/>
      <c r="B77020"/>
      <c r="C77020"/>
      <c r="E77020"/>
      <c r="F77020"/>
    </row>
    <row r="77021" spans="1:6" x14ac:dyDescent="0.25">
      <c r="A77021"/>
      <c r="B77021"/>
      <c r="C77021"/>
      <c r="E77021"/>
      <c r="F77021"/>
    </row>
    <row r="77022" spans="1:6" x14ac:dyDescent="0.25">
      <c r="A77022"/>
      <c r="B77022"/>
      <c r="C77022"/>
      <c r="E77022"/>
      <c r="F77022"/>
    </row>
    <row r="77023" spans="1:6" x14ac:dyDescent="0.25">
      <c r="A77023"/>
      <c r="B77023"/>
      <c r="C77023"/>
      <c r="E77023"/>
      <c r="F77023"/>
    </row>
    <row r="77024" spans="1:6" x14ac:dyDescent="0.25">
      <c r="A77024"/>
      <c r="B77024"/>
      <c r="C77024"/>
      <c r="E77024"/>
      <c r="F77024"/>
    </row>
    <row r="77025" spans="1:6" x14ac:dyDescent="0.25">
      <c r="A77025"/>
      <c r="B77025"/>
      <c r="C77025"/>
      <c r="E77025"/>
      <c r="F77025"/>
    </row>
    <row r="77026" spans="1:6" x14ac:dyDescent="0.25">
      <c r="A77026"/>
      <c r="B77026"/>
      <c r="C77026"/>
      <c r="E77026"/>
      <c r="F77026"/>
    </row>
    <row r="77027" spans="1:6" x14ac:dyDescent="0.25">
      <c r="A77027"/>
      <c r="B77027"/>
      <c r="C77027"/>
      <c r="E77027"/>
      <c r="F77027"/>
    </row>
    <row r="77028" spans="1:6" x14ac:dyDescent="0.25">
      <c r="A77028"/>
      <c r="B77028"/>
      <c r="C77028"/>
      <c r="E77028"/>
      <c r="F77028"/>
    </row>
    <row r="77029" spans="1:6" x14ac:dyDescent="0.25">
      <c r="A77029"/>
      <c r="B77029"/>
      <c r="C77029"/>
      <c r="E77029"/>
      <c r="F77029"/>
    </row>
    <row r="77030" spans="1:6" x14ac:dyDescent="0.25">
      <c r="A77030"/>
      <c r="B77030"/>
      <c r="C77030"/>
      <c r="E77030"/>
      <c r="F77030"/>
    </row>
    <row r="77031" spans="1:6" x14ac:dyDescent="0.25">
      <c r="A77031"/>
      <c r="B77031"/>
      <c r="C77031"/>
      <c r="E77031"/>
      <c r="F77031"/>
    </row>
    <row r="77032" spans="1:6" x14ac:dyDescent="0.25">
      <c r="A77032"/>
      <c r="B77032"/>
      <c r="C77032"/>
      <c r="E77032"/>
      <c r="F77032"/>
    </row>
    <row r="77033" spans="1:6" x14ac:dyDescent="0.25">
      <c r="A77033"/>
      <c r="B77033"/>
      <c r="C77033"/>
      <c r="E77033"/>
      <c r="F77033"/>
    </row>
    <row r="77034" spans="1:6" x14ac:dyDescent="0.25">
      <c r="A77034"/>
      <c r="B77034"/>
      <c r="C77034"/>
      <c r="E77034"/>
      <c r="F77034"/>
    </row>
    <row r="77035" spans="1:6" x14ac:dyDescent="0.25">
      <c r="A77035"/>
      <c r="B77035"/>
      <c r="C77035"/>
      <c r="E77035"/>
      <c r="F77035"/>
    </row>
    <row r="77036" spans="1:6" x14ac:dyDescent="0.25">
      <c r="A77036"/>
      <c r="B77036"/>
      <c r="C77036"/>
      <c r="E77036"/>
      <c r="F77036"/>
    </row>
    <row r="77037" spans="1:6" x14ac:dyDescent="0.25">
      <c r="A77037"/>
      <c r="B77037"/>
      <c r="C77037"/>
      <c r="E77037"/>
      <c r="F77037"/>
    </row>
    <row r="77038" spans="1:6" x14ac:dyDescent="0.25">
      <c r="A77038"/>
      <c r="B77038"/>
      <c r="C77038"/>
      <c r="E77038"/>
      <c r="F77038"/>
    </row>
    <row r="77039" spans="1:6" x14ac:dyDescent="0.25">
      <c r="A77039"/>
      <c r="B77039"/>
      <c r="C77039"/>
      <c r="E77039"/>
      <c r="F77039"/>
    </row>
    <row r="77040" spans="1:6" x14ac:dyDescent="0.25">
      <c r="A77040"/>
      <c r="B77040"/>
      <c r="C77040"/>
      <c r="E77040"/>
      <c r="F77040"/>
    </row>
    <row r="77041" spans="1:6" x14ac:dyDescent="0.25">
      <c r="A77041"/>
      <c r="B77041"/>
      <c r="C77041"/>
      <c r="E77041"/>
      <c r="F77041"/>
    </row>
    <row r="77042" spans="1:6" x14ac:dyDescent="0.25">
      <c r="A77042"/>
      <c r="B77042"/>
      <c r="C77042"/>
      <c r="E77042"/>
      <c r="F77042"/>
    </row>
    <row r="77043" spans="1:6" x14ac:dyDescent="0.25">
      <c r="A77043"/>
      <c r="B77043"/>
      <c r="C77043"/>
      <c r="E77043"/>
      <c r="F77043"/>
    </row>
    <row r="77044" spans="1:6" x14ac:dyDescent="0.25">
      <c r="A77044"/>
      <c r="B77044"/>
      <c r="C77044"/>
      <c r="E77044"/>
      <c r="F77044"/>
    </row>
    <row r="77045" spans="1:6" x14ac:dyDescent="0.25">
      <c r="A77045"/>
      <c r="B77045"/>
      <c r="C77045"/>
      <c r="E77045"/>
      <c r="F77045"/>
    </row>
    <row r="77046" spans="1:6" x14ac:dyDescent="0.25">
      <c r="A77046"/>
      <c r="B77046"/>
      <c r="C77046"/>
      <c r="E77046"/>
      <c r="F77046"/>
    </row>
    <row r="77047" spans="1:6" x14ac:dyDescent="0.25">
      <c r="A77047"/>
      <c r="B77047"/>
      <c r="C77047"/>
      <c r="E77047"/>
      <c r="F77047"/>
    </row>
    <row r="77048" spans="1:6" x14ac:dyDescent="0.25">
      <c r="A77048"/>
      <c r="B77048"/>
      <c r="C77048"/>
      <c r="E77048"/>
      <c r="F77048"/>
    </row>
    <row r="77049" spans="1:6" x14ac:dyDescent="0.25">
      <c r="A77049"/>
      <c r="B77049"/>
      <c r="C77049"/>
      <c r="E77049"/>
      <c r="F77049"/>
    </row>
    <row r="77050" spans="1:6" x14ac:dyDescent="0.25">
      <c r="A77050"/>
      <c r="B77050"/>
      <c r="C77050"/>
      <c r="E77050"/>
      <c r="F77050"/>
    </row>
    <row r="77051" spans="1:6" x14ac:dyDescent="0.25">
      <c r="A77051"/>
      <c r="B77051"/>
      <c r="C77051"/>
      <c r="E77051"/>
      <c r="F77051"/>
    </row>
    <row r="77052" spans="1:6" x14ac:dyDescent="0.25">
      <c r="A77052"/>
      <c r="B77052"/>
      <c r="C77052"/>
      <c r="E77052"/>
      <c r="F77052"/>
    </row>
    <row r="77053" spans="1:6" x14ac:dyDescent="0.25">
      <c r="A77053"/>
      <c r="B77053"/>
      <c r="C77053"/>
      <c r="E77053"/>
      <c r="F77053"/>
    </row>
    <row r="77054" spans="1:6" x14ac:dyDescent="0.25">
      <c r="A77054"/>
      <c r="B77054"/>
      <c r="C77054"/>
      <c r="E77054"/>
      <c r="F77054"/>
    </row>
    <row r="77055" spans="1:6" x14ac:dyDescent="0.25">
      <c r="A77055"/>
      <c r="B77055"/>
      <c r="C77055"/>
      <c r="E77055"/>
      <c r="F77055"/>
    </row>
    <row r="77056" spans="1:6" x14ac:dyDescent="0.25">
      <c r="A77056"/>
      <c r="B77056"/>
      <c r="C77056"/>
      <c r="E77056"/>
      <c r="F77056"/>
    </row>
    <row r="77057" spans="1:6" x14ac:dyDescent="0.25">
      <c r="A77057"/>
      <c r="B77057"/>
      <c r="C77057"/>
      <c r="E77057"/>
      <c r="F77057"/>
    </row>
    <row r="77058" spans="1:6" x14ac:dyDescent="0.25">
      <c r="A77058"/>
      <c r="B77058"/>
      <c r="C77058"/>
      <c r="E77058"/>
      <c r="F77058"/>
    </row>
    <row r="77059" spans="1:6" x14ac:dyDescent="0.25">
      <c r="A77059"/>
      <c r="B77059"/>
      <c r="C77059"/>
      <c r="E77059"/>
      <c r="F77059"/>
    </row>
    <row r="77060" spans="1:6" x14ac:dyDescent="0.25">
      <c r="A77060"/>
      <c r="B77060"/>
      <c r="C77060"/>
      <c r="E77060"/>
      <c r="F77060"/>
    </row>
    <row r="77061" spans="1:6" x14ac:dyDescent="0.25">
      <c r="A77061"/>
      <c r="B77061"/>
      <c r="C77061"/>
      <c r="E77061"/>
      <c r="F77061"/>
    </row>
    <row r="77062" spans="1:6" x14ac:dyDescent="0.25">
      <c r="A77062"/>
      <c r="B77062"/>
      <c r="C77062"/>
      <c r="E77062"/>
      <c r="F77062"/>
    </row>
    <row r="77063" spans="1:6" x14ac:dyDescent="0.25">
      <c r="A77063"/>
      <c r="B77063"/>
      <c r="C77063"/>
      <c r="E77063"/>
      <c r="F77063"/>
    </row>
    <row r="77064" spans="1:6" x14ac:dyDescent="0.25">
      <c r="A77064"/>
      <c r="B77064"/>
      <c r="C77064"/>
      <c r="E77064"/>
      <c r="F77064"/>
    </row>
    <row r="77065" spans="1:6" x14ac:dyDescent="0.25">
      <c r="A77065"/>
      <c r="B77065"/>
      <c r="C77065"/>
      <c r="E77065"/>
      <c r="F77065"/>
    </row>
    <row r="77066" spans="1:6" x14ac:dyDescent="0.25">
      <c r="A77066"/>
      <c r="B77066"/>
      <c r="C77066"/>
      <c r="E77066"/>
      <c r="F77066"/>
    </row>
    <row r="77067" spans="1:6" x14ac:dyDescent="0.25">
      <c r="A77067"/>
      <c r="B77067"/>
      <c r="C77067"/>
      <c r="E77067"/>
      <c r="F77067"/>
    </row>
    <row r="77068" spans="1:6" x14ac:dyDescent="0.25">
      <c r="A77068"/>
      <c r="B77068"/>
      <c r="C77068"/>
      <c r="E77068"/>
      <c r="F77068"/>
    </row>
    <row r="77069" spans="1:6" x14ac:dyDescent="0.25">
      <c r="A77069"/>
      <c r="B77069"/>
      <c r="C77069"/>
      <c r="E77069"/>
      <c r="F77069"/>
    </row>
    <row r="77070" spans="1:6" x14ac:dyDescent="0.25">
      <c r="A77070"/>
      <c r="B77070"/>
      <c r="C77070"/>
      <c r="E77070"/>
      <c r="F77070"/>
    </row>
    <row r="77071" spans="1:6" x14ac:dyDescent="0.25">
      <c r="A77071"/>
      <c r="B77071"/>
      <c r="C77071"/>
      <c r="E77071"/>
      <c r="F77071"/>
    </row>
    <row r="77072" spans="1:6" x14ac:dyDescent="0.25">
      <c r="A77072"/>
      <c r="B77072"/>
      <c r="C77072"/>
      <c r="E77072"/>
      <c r="F77072"/>
    </row>
    <row r="77073" spans="1:6" x14ac:dyDescent="0.25">
      <c r="A77073"/>
      <c r="B77073"/>
      <c r="C77073"/>
      <c r="E77073"/>
      <c r="F77073"/>
    </row>
    <row r="77074" spans="1:6" x14ac:dyDescent="0.25">
      <c r="A77074"/>
      <c r="B77074"/>
      <c r="C77074"/>
      <c r="E77074"/>
      <c r="F77074"/>
    </row>
    <row r="77075" spans="1:6" x14ac:dyDescent="0.25">
      <c r="A77075"/>
      <c r="B77075"/>
      <c r="C77075"/>
      <c r="E77075"/>
      <c r="F77075"/>
    </row>
    <row r="77076" spans="1:6" x14ac:dyDescent="0.25">
      <c r="A77076"/>
      <c r="B77076"/>
      <c r="C77076"/>
      <c r="E77076"/>
      <c r="F77076"/>
    </row>
    <row r="77077" spans="1:6" x14ac:dyDescent="0.25">
      <c r="A77077"/>
      <c r="B77077"/>
      <c r="C77077"/>
      <c r="E77077"/>
      <c r="F77077"/>
    </row>
    <row r="77078" spans="1:6" x14ac:dyDescent="0.25">
      <c r="A77078"/>
      <c r="B77078"/>
      <c r="C77078"/>
      <c r="E77078"/>
      <c r="F77078"/>
    </row>
    <row r="77079" spans="1:6" x14ac:dyDescent="0.25">
      <c r="A77079"/>
      <c r="B77079"/>
      <c r="C77079"/>
      <c r="E77079"/>
      <c r="F77079"/>
    </row>
    <row r="77080" spans="1:6" x14ac:dyDescent="0.25">
      <c r="A77080"/>
      <c r="B77080"/>
      <c r="C77080"/>
      <c r="E77080"/>
      <c r="F77080"/>
    </row>
    <row r="77081" spans="1:6" x14ac:dyDescent="0.25">
      <c r="A77081"/>
      <c r="B77081"/>
      <c r="C77081"/>
      <c r="E77081"/>
      <c r="F77081"/>
    </row>
    <row r="77082" spans="1:6" x14ac:dyDescent="0.25">
      <c r="A77082"/>
      <c r="B77082"/>
      <c r="C77082"/>
      <c r="E77082"/>
      <c r="F77082"/>
    </row>
    <row r="77083" spans="1:6" x14ac:dyDescent="0.25">
      <c r="A77083"/>
      <c r="B77083"/>
      <c r="C77083"/>
      <c r="E77083"/>
      <c r="F77083"/>
    </row>
    <row r="77084" spans="1:6" x14ac:dyDescent="0.25">
      <c r="A77084"/>
      <c r="B77084"/>
      <c r="C77084"/>
      <c r="E77084"/>
      <c r="F77084"/>
    </row>
    <row r="77085" spans="1:6" x14ac:dyDescent="0.25">
      <c r="A77085"/>
      <c r="B77085"/>
      <c r="C77085"/>
      <c r="E77085"/>
      <c r="F77085"/>
    </row>
    <row r="77086" spans="1:6" x14ac:dyDescent="0.25">
      <c r="A77086"/>
      <c r="B77086"/>
      <c r="C77086"/>
      <c r="E77086"/>
      <c r="F77086"/>
    </row>
    <row r="77087" spans="1:6" x14ac:dyDescent="0.25">
      <c r="A77087"/>
      <c r="B77087"/>
      <c r="C77087"/>
      <c r="E77087"/>
      <c r="F77087"/>
    </row>
    <row r="77088" spans="1:6" x14ac:dyDescent="0.25">
      <c r="A77088"/>
      <c r="B77088"/>
      <c r="C77088"/>
      <c r="E77088"/>
      <c r="F77088"/>
    </row>
    <row r="77089" spans="1:6" x14ac:dyDescent="0.25">
      <c r="A77089"/>
      <c r="B77089"/>
      <c r="C77089"/>
      <c r="E77089"/>
      <c r="F77089"/>
    </row>
    <row r="77090" spans="1:6" x14ac:dyDescent="0.25">
      <c r="A77090"/>
      <c r="B77090"/>
      <c r="C77090"/>
      <c r="E77090"/>
      <c r="F77090"/>
    </row>
    <row r="77091" spans="1:6" x14ac:dyDescent="0.25">
      <c r="A77091"/>
      <c r="B77091"/>
      <c r="C77091"/>
      <c r="E77091"/>
      <c r="F77091"/>
    </row>
    <row r="77092" spans="1:6" x14ac:dyDescent="0.25">
      <c r="A77092"/>
      <c r="B77092"/>
      <c r="C77092"/>
      <c r="E77092"/>
      <c r="F77092"/>
    </row>
    <row r="77093" spans="1:6" x14ac:dyDescent="0.25">
      <c r="A77093"/>
      <c r="B77093"/>
      <c r="C77093"/>
      <c r="E77093"/>
      <c r="F77093"/>
    </row>
    <row r="77094" spans="1:6" x14ac:dyDescent="0.25">
      <c r="A77094"/>
      <c r="B77094"/>
      <c r="C77094"/>
      <c r="E77094"/>
      <c r="F77094"/>
    </row>
    <row r="77095" spans="1:6" x14ac:dyDescent="0.25">
      <c r="A77095"/>
      <c r="B77095"/>
      <c r="C77095"/>
      <c r="E77095"/>
      <c r="F77095"/>
    </row>
    <row r="77096" spans="1:6" x14ac:dyDescent="0.25">
      <c r="A77096"/>
      <c r="B77096"/>
      <c r="C77096"/>
      <c r="E77096"/>
      <c r="F77096"/>
    </row>
    <row r="77097" spans="1:6" x14ac:dyDescent="0.25">
      <c r="A77097"/>
      <c r="B77097"/>
      <c r="C77097"/>
      <c r="E77097"/>
      <c r="F77097"/>
    </row>
    <row r="77098" spans="1:6" x14ac:dyDescent="0.25">
      <c r="A77098"/>
      <c r="B77098"/>
      <c r="C77098"/>
      <c r="E77098"/>
      <c r="F77098"/>
    </row>
    <row r="77099" spans="1:6" x14ac:dyDescent="0.25">
      <c r="A77099"/>
      <c r="B77099"/>
      <c r="C77099"/>
      <c r="E77099"/>
      <c r="F77099"/>
    </row>
    <row r="77100" spans="1:6" x14ac:dyDescent="0.25">
      <c r="A77100"/>
      <c r="B77100"/>
      <c r="C77100"/>
      <c r="E77100"/>
      <c r="F77100"/>
    </row>
    <row r="77101" spans="1:6" x14ac:dyDescent="0.25">
      <c r="A77101"/>
      <c r="B77101"/>
      <c r="C77101"/>
      <c r="E77101"/>
      <c r="F77101"/>
    </row>
    <row r="77102" spans="1:6" x14ac:dyDescent="0.25">
      <c r="A77102"/>
      <c r="B77102"/>
      <c r="C77102"/>
      <c r="E77102"/>
      <c r="F77102"/>
    </row>
    <row r="77103" spans="1:6" x14ac:dyDescent="0.25">
      <c r="A77103"/>
      <c r="B77103"/>
      <c r="C77103"/>
      <c r="E77103"/>
      <c r="F77103"/>
    </row>
    <row r="77104" spans="1:6" x14ac:dyDescent="0.25">
      <c r="A77104"/>
      <c r="B77104"/>
      <c r="C77104"/>
      <c r="E77104"/>
      <c r="F77104"/>
    </row>
    <row r="77105" spans="1:6" x14ac:dyDescent="0.25">
      <c r="A77105"/>
      <c r="B77105"/>
      <c r="C77105"/>
      <c r="E77105"/>
      <c r="F77105"/>
    </row>
    <row r="77106" spans="1:6" x14ac:dyDescent="0.25">
      <c r="A77106"/>
      <c r="B77106"/>
      <c r="C77106"/>
      <c r="E77106"/>
      <c r="F77106"/>
    </row>
    <row r="77107" spans="1:6" x14ac:dyDescent="0.25">
      <c r="A77107"/>
      <c r="B77107"/>
      <c r="C77107"/>
      <c r="E77107"/>
      <c r="F77107"/>
    </row>
    <row r="77108" spans="1:6" x14ac:dyDescent="0.25">
      <c r="A77108"/>
      <c r="B77108"/>
      <c r="C77108"/>
      <c r="E77108"/>
      <c r="F77108"/>
    </row>
    <row r="77109" spans="1:6" x14ac:dyDescent="0.25">
      <c r="A77109"/>
      <c r="B77109"/>
      <c r="C77109"/>
      <c r="E77109"/>
      <c r="F77109"/>
    </row>
    <row r="77110" spans="1:6" x14ac:dyDescent="0.25">
      <c r="A77110"/>
      <c r="B77110"/>
      <c r="C77110"/>
      <c r="E77110"/>
      <c r="F77110"/>
    </row>
    <row r="77111" spans="1:6" x14ac:dyDescent="0.25">
      <c r="A77111"/>
      <c r="B77111"/>
      <c r="C77111"/>
      <c r="E77111"/>
      <c r="F77111"/>
    </row>
    <row r="77112" spans="1:6" x14ac:dyDescent="0.25">
      <c r="A77112"/>
      <c r="B77112"/>
      <c r="C77112"/>
      <c r="E77112"/>
      <c r="F77112"/>
    </row>
    <row r="77113" spans="1:6" x14ac:dyDescent="0.25">
      <c r="A77113"/>
      <c r="B77113"/>
      <c r="C77113"/>
      <c r="E77113"/>
      <c r="F77113"/>
    </row>
    <row r="77114" spans="1:6" x14ac:dyDescent="0.25">
      <c r="A77114"/>
      <c r="B77114"/>
      <c r="C77114"/>
      <c r="E77114"/>
      <c r="F77114"/>
    </row>
    <row r="77115" spans="1:6" x14ac:dyDescent="0.25">
      <c r="A77115"/>
      <c r="B77115"/>
      <c r="C77115"/>
      <c r="E77115"/>
      <c r="F77115"/>
    </row>
    <row r="77116" spans="1:6" x14ac:dyDescent="0.25">
      <c r="A77116"/>
      <c r="B77116"/>
      <c r="C77116"/>
      <c r="E77116"/>
      <c r="F77116"/>
    </row>
    <row r="77117" spans="1:6" x14ac:dyDescent="0.25">
      <c r="A77117"/>
      <c r="B77117"/>
      <c r="C77117"/>
      <c r="E77117"/>
      <c r="F77117"/>
    </row>
    <row r="77118" spans="1:6" x14ac:dyDescent="0.25">
      <c r="A77118"/>
      <c r="B77118"/>
      <c r="C77118"/>
      <c r="E77118"/>
      <c r="F77118"/>
    </row>
    <row r="77119" spans="1:6" x14ac:dyDescent="0.25">
      <c r="A77119"/>
      <c r="B77119"/>
      <c r="C77119"/>
      <c r="E77119"/>
      <c r="F77119"/>
    </row>
    <row r="77120" spans="1:6" x14ac:dyDescent="0.25">
      <c r="A77120"/>
      <c r="B77120"/>
      <c r="C77120"/>
      <c r="E77120"/>
      <c r="F77120"/>
    </row>
    <row r="77121" spans="1:6" x14ac:dyDescent="0.25">
      <c r="A77121"/>
      <c r="B77121"/>
      <c r="C77121"/>
      <c r="E77121"/>
      <c r="F77121"/>
    </row>
    <row r="77122" spans="1:6" x14ac:dyDescent="0.25">
      <c r="A77122"/>
      <c r="B77122"/>
      <c r="C77122"/>
      <c r="E77122"/>
      <c r="F77122"/>
    </row>
    <row r="77123" spans="1:6" x14ac:dyDescent="0.25">
      <c r="A77123"/>
      <c r="B77123"/>
      <c r="C77123"/>
      <c r="E77123"/>
      <c r="F77123"/>
    </row>
    <row r="77124" spans="1:6" x14ac:dyDescent="0.25">
      <c r="A77124"/>
      <c r="B77124"/>
      <c r="C77124"/>
      <c r="E77124"/>
      <c r="F77124"/>
    </row>
    <row r="77125" spans="1:6" x14ac:dyDescent="0.25">
      <c r="A77125"/>
      <c r="B77125"/>
      <c r="C77125"/>
      <c r="E77125"/>
      <c r="F77125"/>
    </row>
    <row r="77126" spans="1:6" x14ac:dyDescent="0.25">
      <c r="A77126"/>
      <c r="B77126"/>
      <c r="C77126"/>
      <c r="E77126"/>
      <c r="F77126"/>
    </row>
    <row r="77127" spans="1:6" x14ac:dyDescent="0.25">
      <c r="A77127"/>
      <c r="B77127"/>
      <c r="C77127"/>
      <c r="E77127"/>
      <c r="F77127"/>
    </row>
    <row r="77128" spans="1:6" x14ac:dyDescent="0.25">
      <c r="A77128"/>
      <c r="B77128"/>
      <c r="C77128"/>
      <c r="E77128"/>
      <c r="F77128"/>
    </row>
    <row r="77129" spans="1:6" x14ac:dyDescent="0.25">
      <c r="A77129"/>
      <c r="B77129"/>
      <c r="C77129"/>
      <c r="E77129"/>
      <c r="F77129"/>
    </row>
    <row r="77130" spans="1:6" x14ac:dyDescent="0.25">
      <c r="A77130"/>
      <c r="B77130"/>
      <c r="C77130"/>
      <c r="E77130"/>
      <c r="F77130"/>
    </row>
    <row r="77131" spans="1:6" x14ac:dyDescent="0.25">
      <c r="A77131"/>
      <c r="B77131"/>
      <c r="C77131"/>
      <c r="E77131"/>
      <c r="F77131"/>
    </row>
    <row r="77132" spans="1:6" x14ac:dyDescent="0.25">
      <c r="A77132"/>
      <c r="B77132"/>
      <c r="C77132"/>
      <c r="E77132"/>
      <c r="F77132"/>
    </row>
    <row r="77133" spans="1:6" x14ac:dyDescent="0.25">
      <c r="A77133"/>
      <c r="B77133"/>
      <c r="C77133"/>
      <c r="E77133"/>
      <c r="F77133"/>
    </row>
    <row r="77134" spans="1:6" x14ac:dyDescent="0.25">
      <c r="A77134"/>
      <c r="B77134"/>
      <c r="C77134"/>
      <c r="E77134"/>
      <c r="F77134"/>
    </row>
    <row r="77135" spans="1:6" x14ac:dyDescent="0.25">
      <c r="A77135"/>
      <c r="B77135"/>
      <c r="C77135"/>
      <c r="E77135"/>
      <c r="F77135"/>
    </row>
    <row r="77136" spans="1:6" x14ac:dyDescent="0.25">
      <c r="A77136"/>
      <c r="B77136"/>
      <c r="C77136"/>
      <c r="E77136"/>
      <c r="F77136"/>
    </row>
    <row r="77137" spans="1:6" x14ac:dyDescent="0.25">
      <c r="A77137"/>
      <c r="B77137"/>
      <c r="C77137"/>
      <c r="E77137"/>
      <c r="F77137"/>
    </row>
    <row r="77138" spans="1:6" x14ac:dyDescent="0.25">
      <c r="A77138"/>
      <c r="B77138"/>
      <c r="C77138"/>
      <c r="E77138"/>
      <c r="F77138"/>
    </row>
    <row r="77139" spans="1:6" x14ac:dyDescent="0.25">
      <c r="A77139"/>
      <c r="B77139"/>
      <c r="C77139"/>
      <c r="E77139"/>
      <c r="F77139"/>
    </row>
    <row r="77140" spans="1:6" x14ac:dyDescent="0.25">
      <c r="A77140"/>
      <c r="B77140"/>
      <c r="C77140"/>
      <c r="E77140"/>
      <c r="F77140"/>
    </row>
    <row r="77141" spans="1:6" x14ac:dyDescent="0.25">
      <c r="A77141"/>
      <c r="B77141"/>
      <c r="C77141"/>
      <c r="E77141"/>
      <c r="F77141"/>
    </row>
    <row r="77142" spans="1:6" x14ac:dyDescent="0.25">
      <c r="A77142"/>
      <c r="B77142"/>
      <c r="C77142"/>
      <c r="E77142"/>
      <c r="F77142"/>
    </row>
    <row r="77143" spans="1:6" x14ac:dyDescent="0.25">
      <c r="A77143"/>
      <c r="B77143"/>
      <c r="C77143"/>
      <c r="E77143"/>
      <c r="F77143"/>
    </row>
    <row r="77144" spans="1:6" x14ac:dyDescent="0.25">
      <c r="A77144"/>
      <c r="B77144"/>
      <c r="C77144"/>
      <c r="E77144"/>
      <c r="F77144"/>
    </row>
    <row r="77145" spans="1:6" x14ac:dyDescent="0.25">
      <c r="A77145"/>
      <c r="B77145"/>
      <c r="C77145"/>
      <c r="E77145"/>
      <c r="F77145"/>
    </row>
    <row r="77146" spans="1:6" x14ac:dyDescent="0.25">
      <c r="A77146"/>
      <c r="B77146"/>
      <c r="C77146"/>
      <c r="E77146"/>
      <c r="F77146"/>
    </row>
    <row r="77147" spans="1:6" x14ac:dyDescent="0.25">
      <c r="A77147"/>
      <c r="B77147"/>
      <c r="C77147"/>
      <c r="E77147"/>
      <c r="F77147"/>
    </row>
    <row r="77148" spans="1:6" x14ac:dyDescent="0.25">
      <c r="A77148"/>
      <c r="B77148"/>
      <c r="C77148"/>
      <c r="E77148"/>
      <c r="F77148"/>
    </row>
    <row r="77149" spans="1:6" x14ac:dyDescent="0.25">
      <c r="A77149"/>
      <c r="B77149"/>
      <c r="C77149"/>
      <c r="E77149"/>
      <c r="F77149"/>
    </row>
    <row r="77150" spans="1:6" x14ac:dyDescent="0.25">
      <c r="A77150"/>
      <c r="B77150"/>
      <c r="C77150"/>
      <c r="E77150"/>
      <c r="F77150"/>
    </row>
    <row r="77151" spans="1:6" x14ac:dyDescent="0.25">
      <c r="A77151"/>
      <c r="B77151"/>
      <c r="C77151"/>
      <c r="E77151"/>
      <c r="F77151"/>
    </row>
    <row r="77152" spans="1:6" x14ac:dyDescent="0.25">
      <c r="A77152"/>
      <c r="B77152"/>
      <c r="C77152"/>
      <c r="E77152"/>
      <c r="F77152"/>
    </row>
    <row r="77153" spans="1:6" x14ac:dyDescent="0.25">
      <c r="A77153"/>
      <c r="B77153"/>
      <c r="C77153"/>
      <c r="E77153"/>
      <c r="F77153"/>
    </row>
    <row r="77154" spans="1:6" x14ac:dyDescent="0.25">
      <c r="A77154"/>
      <c r="B77154"/>
      <c r="C77154"/>
      <c r="E77154"/>
      <c r="F77154"/>
    </row>
    <row r="77155" spans="1:6" x14ac:dyDescent="0.25">
      <c r="A77155"/>
      <c r="B77155"/>
      <c r="C77155"/>
      <c r="E77155"/>
      <c r="F77155"/>
    </row>
    <row r="77156" spans="1:6" x14ac:dyDescent="0.25">
      <c r="A77156"/>
      <c r="B77156"/>
      <c r="C77156"/>
      <c r="E77156"/>
      <c r="F77156"/>
    </row>
    <row r="77157" spans="1:6" x14ac:dyDescent="0.25">
      <c r="A77157"/>
      <c r="B77157"/>
      <c r="C77157"/>
      <c r="E77157"/>
      <c r="F77157"/>
    </row>
    <row r="77158" spans="1:6" x14ac:dyDescent="0.25">
      <c r="A77158"/>
      <c r="B77158"/>
      <c r="C77158"/>
      <c r="E77158"/>
      <c r="F77158"/>
    </row>
    <row r="77159" spans="1:6" x14ac:dyDescent="0.25">
      <c r="A77159"/>
      <c r="B77159"/>
      <c r="C77159"/>
      <c r="E77159"/>
      <c r="F77159"/>
    </row>
    <row r="77160" spans="1:6" x14ac:dyDescent="0.25">
      <c r="A77160"/>
      <c r="B77160"/>
      <c r="C77160"/>
      <c r="E77160"/>
      <c r="F77160"/>
    </row>
    <row r="77161" spans="1:6" x14ac:dyDescent="0.25">
      <c r="A77161"/>
      <c r="B77161"/>
      <c r="C77161"/>
      <c r="E77161"/>
      <c r="F77161"/>
    </row>
    <row r="77162" spans="1:6" x14ac:dyDescent="0.25">
      <c r="A77162"/>
      <c r="B77162"/>
      <c r="C77162"/>
      <c r="E77162"/>
      <c r="F77162"/>
    </row>
    <row r="77163" spans="1:6" x14ac:dyDescent="0.25">
      <c r="A77163"/>
      <c r="B77163"/>
      <c r="C77163"/>
      <c r="E77163"/>
      <c r="F77163"/>
    </row>
    <row r="77164" spans="1:6" x14ac:dyDescent="0.25">
      <c r="A77164"/>
      <c r="B77164"/>
      <c r="C77164"/>
      <c r="E77164"/>
      <c r="F77164"/>
    </row>
    <row r="77165" spans="1:6" x14ac:dyDescent="0.25">
      <c r="A77165"/>
      <c r="B77165"/>
      <c r="C77165"/>
      <c r="E77165"/>
      <c r="F77165"/>
    </row>
    <row r="77166" spans="1:6" x14ac:dyDescent="0.25">
      <c r="A77166"/>
      <c r="B77166"/>
      <c r="C77166"/>
      <c r="E77166"/>
      <c r="F77166"/>
    </row>
    <row r="77167" spans="1:6" x14ac:dyDescent="0.25">
      <c r="A77167"/>
      <c r="B77167"/>
      <c r="C77167"/>
      <c r="E77167"/>
      <c r="F77167"/>
    </row>
    <row r="77168" spans="1:6" x14ac:dyDescent="0.25">
      <c r="A77168"/>
      <c r="B77168"/>
      <c r="C77168"/>
      <c r="E77168"/>
      <c r="F77168"/>
    </row>
    <row r="77169" spans="1:6" x14ac:dyDescent="0.25">
      <c r="A77169"/>
      <c r="B77169"/>
      <c r="C77169"/>
      <c r="E77169"/>
      <c r="F77169"/>
    </row>
    <row r="77170" spans="1:6" x14ac:dyDescent="0.25">
      <c r="A77170"/>
      <c r="B77170"/>
      <c r="C77170"/>
      <c r="E77170"/>
      <c r="F77170"/>
    </row>
    <row r="77171" spans="1:6" x14ac:dyDescent="0.25">
      <c r="A77171"/>
      <c r="B77171"/>
      <c r="C77171"/>
      <c r="E77171"/>
      <c r="F77171"/>
    </row>
    <row r="77172" spans="1:6" x14ac:dyDescent="0.25">
      <c r="A77172"/>
      <c r="B77172"/>
      <c r="C77172"/>
      <c r="E77172"/>
      <c r="F77172"/>
    </row>
    <row r="77173" spans="1:6" x14ac:dyDescent="0.25">
      <c r="A77173"/>
      <c r="B77173"/>
      <c r="C77173"/>
      <c r="E77173"/>
      <c r="F77173"/>
    </row>
    <row r="77174" spans="1:6" x14ac:dyDescent="0.25">
      <c r="A77174"/>
      <c r="B77174"/>
      <c r="C77174"/>
      <c r="E77174"/>
      <c r="F77174"/>
    </row>
    <row r="77175" spans="1:6" x14ac:dyDescent="0.25">
      <c r="A77175"/>
      <c r="B77175"/>
      <c r="C77175"/>
      <c r="E77175"/>
      <c r="F77175"/>
    </row>
    <row r="77176" spans="1:6" x14ac:dyDescent="0.25">
      <c r="A77176"/>
      <c r="B77176"/>
      <c r="C77176"/>
      <c r="E77176"/>
      <c r="F77176"/>
    </row>
    <row r="77177" spans="1:6" x14ac:dyDescent="0.25">
      <c r="A77177"/>
      <c r="B77177"/>
      <c r="C77177"/>
      <c r="E77177"/>
      <c r="F77177"/>
    </row>
    <row r="77178" spans="1:6" x14ac:dyDescent="0.25">
      <c r="A77178"/>
      <c r="B77178"/>
      <c r="C77178"/>
      <c r="E77178"/>
      <c r="F77178"/>
    </row>
    <row r="77179" spans="1:6" x14ac:dyDescent="0.25">
      <c r="A77179"/>
      <c r="B77179"/>
      <c r="C77179"/>
      <c r="E77179"/>
      <c r="F77179"/>
    </row>
    <row r="77180" spans="1:6" x14ac:dyDescent="0.25">
      <c r="A77180"/>
      <c r="B77180"/>
      <c r="C77180"/>
      <c r="E77180"/>
      <c r="F77180"/>
    </row>
    <row r="77181" spans="1:6" x14ac:dyDescent="0.25">
      <c r="A77181"/>
      <c r="B77181"/>
      <c r="C77181"/>
      <c r="E77181"/>
      <c r="F77181"/>
    </row>
    <row r="77182" spans="1:6" x14ac:dyDescent="0.25">
      <c r="A77182"/>
      <c r="B77182"/>
      <c r="C77182"/>
      <c r="E77182"/>
      <c r="F77182"/>
    </row>
    <row r="77183" spans="1:6" x14ac:dyDescent="0.25">
      <c r="A77183"/>
      <c r="B77183"/>
      <c r="C77183"/>
      <c r="E77183"/>
      <c r="F77183"/>
    </row>
    <row r="77184" spans="1:6" x14ac:dyDescent="0.25">
      <c r="A77184"/>
      <c r="B77184"/>
      <c r="C77184"/>
      <c r="E77184"/>
      <c r="F77184"/>
    </row>
    <row r="77185" spans="1:6" x14ac:dyDescent="0.25">
      <c r="A77185"/>
      <c r="B77185"/>
      <c r="C77185"/>
      <c r="E77185"/>
      <c r="F77185"/>
    </row>
    <row r="77186" spans="1:6" x14ac:dyDescent="0.25">
      <c r="A77186"/>
      <c r="B77186"/>
      <c r="C77186"/>
      <c r="E77186"/>
      <c r="F77186"/>
    </row>
    <row r="77187" spans="1:6" x14ac:dyDescent="0.25">
      <c r="A77187"/>
      <c r="B77187"/>
      <c r="C77187"/>
      <c r="E77187"/>
      <c r="F77187"/>
    </row>
    <row r="77188" spans="1:6" x14ac:dyDescent="0.25">
      <c r="A77188"/>
      <c r="B77188"/>
      <c r="C77188"/>
      <c r="E77188"/>
      <c r="F77188"/>
    </row>
    <row r="77189" spans="1:6" x14ac:dyDescent="0.25">
      <c r="A77189"/>
      <c r="B77189"/>
      <c r="C77189"/>
      <c r="E77189"/>
      <c r="F77189"/>
    </row>
    <row r="77190" spans="1:6" x14ac:dyDescent="0.25">
      <c r="A77190"/>
      <c r="B77190"/>
      <c r="C77190"/>
      <c r="E77190"/>
      <c r="F77190"/>
    </row>
    <row r="77191" spans="1:6" x14ac:dyDescent="0.25">
      <c r="A77191"/>
      <c r="B77191"/>
      <c r="C77191"/>
      <c r="E77191"/>
      <c r="F77191"/>
    </row>
    <row r="77192" spans="1:6" x14ac:dyDescent="0.25">
      <c r="A77192"/>
      <c r="B77192"/>
      <c r="C77192"/>
      <c r="E77192"/>
      <c r="F77192"/>
    </row>
    <row r="77193" spans="1:6" x14ac:dyDescent="0.25">
      <c r="A77193"/>
      <c r="B77193"/>
      <c r="C77193"/>
      <c r="E77193"/>
      <c r="F77193"/>
    </row>
    <row r="77194" spans="1:6" x14ac:dyDescent="0.25">
      <c r="A77194"/>
      <c r="B77194"/>
      <c r="C77194"/>
      <c r="E77194"/>
      <c r="F77194"/>
    </row>
    <row r="77195" spans="1:6" x14ac:dyDescent="0.25">
      <c r="A77195"/>
      <c r="B77195"/>
      <c r="C77195"/>
      <c r="E77195"/>
      <c r="F77195"/>
    </row>
    <row r="77196" spans="1:6" x14ac:dyDescent="0.25">
      <c r="A77196"/>
      <c r="B77196"/>
      <c r="C77196"/>
      <c r="E77196"/>
      <c r="F77196"/>
    </row>
    <row r="77197" spans="1:6" x14ac:dyDescent="0.25">
      <c r="A77197"/>
      <c r="B77197"/>
      <c r="C77197"/>
      <c r="E77197"/>
      <c r="F77197"/>
    </row>
    <row r="77198" spans="1:6" x14ac:dyDescent="0.25">
      <c r="A77198"/>
      <c r="B77198"/>
      <c r="C77198"/>
      <c r="E77198"/>
      <c r="F77198"/>
    </row>
    <row r="77199" spans="1:6" x14ac:dyDescent="0.25">
      <c r="A77199"/>
      <c r="B77199"/>
      <c r="C77199"/>
      <c r="E77199"/>
      <c r="F77199"/>
    </row>
    <row r="77200" spans="1:6" x14ac:dyDescent="0.25">
      <c r="A77200"/>
      <c r="B77200"/>
      <c r="C77200"/>
      <c r="E77200"/>
      <c r="F77200"/>
    </row>
    <row r="77201" spans="1:6" x14ac:dyDescent="0.25">
      <c r="A77201"/>
      <c r="B77201"/>
      <c r="C77201"/>
      <c r="E77201"/>
      <c r="F77201"/>
    </row>
    <row r="77202" spans="1:6" x14ac:dyDescent="0.25">
      <c r="A77202"/>
      <c r="B77202"/>
      <c r="C77202"/>
      <c r="E77202"/>
      <c r="F77202"/>
    </row>
    <row r="77203" spans="1:6" x14ac:dyDescent="0.25">
      <c r="A77203"/>
      <c r="B77203"/>
      <c r="C77203"/>
      <c r="E77203"/>
      <c r="F77203"/>
    </row>
    <row r="77204" spans="1:6" x14ac:dyDescent="0.25">
      <c r="A77204"/>
      <c r="B77204"/>
      <c r="C77204"/>
      <c r="E77204"/>
      <c r="F77204"/>
    </row>
    <row r="77205" spans="1:6" x14ac:dyDescent="0.25">
      <c r="A77205"/>
      <c r="B77205"/>
      <c r="C77205"/>
      <c r="E77205"/>
      <c r="F77205"/>
    </row>
    <row r="77206" spans="1:6" x14ac:dyDescent="0.25">
      <c r="A77206"/>
      <c r="B77206"/>
      <c r="C77206"/>
      <c r="E77206"/>
      <c r="F77206"/>
    </row>
    <row r="77207" spans="1:6" x14ac:dyDescent="0.25">
      <c r="A77207"/>
      <c r="B77207"/>
      <c r="C77207"/>
      <c r="E77207"/>
      <c r="F77207"/>
    </row>
    <row r="77208" spans="1:6" x14ac:dyDescent="0.25">
      <c r="A77208"/>
      <c r="B77208"/>
      <c r="C77208"/>
      <c r="E77208"/>
      <c r="F77208"/>
    </row>
    <row r="77209" spans="1:6" x14ac:dyDescent="0.25">
      <c r="A77209"/>
      <c r="B77209"/>
      <c r="C77209"/>
      <c r="E77209"/>
      <c r="F77209"/>
    </row>
    <row r="77210" spans="1:6" x14ac:dyDescent="0.25">
      <c r="A77210"/>
      <c r="B77210"/>
      <c r="C77210"/>
      <c r="E77210"/>
      <c r="F77210"/>
    </row>
    <row r="77211" spans="1:6" x14ac:dyDescent="0.25">
      <c r="A77211"/>
      <c r="B77211"/>
      <c r="C77211"/>
      <c r="E77211"/>
      <c r="F77211"/>
    </row>
    <row r="77212" spans="1:6" x14ac:dyDescent="0.25">
      <c r="A77212"/>
      <c r="B77212"/>
      <c r="C77212"/>
      <c r="E77212"/>
      <c r="F77212"/>
    </row>
    <row r="77213" spans="1:6" x14ac:dyDescent="0.25">
      <c r="A77213"/>
      <c r="B77213"/>
      <c r="C77213"/>
      <c r="E77213"/>
      <c r="F77213"/>
    </row>
    <row r="77214" spans="1:6" x14ac:dyDescent="0.25">
      <c r="A77214"/>
      <c r="B77214"/>
      <c r="C77214"/>
      <c r="E77214"/>
      <c r="F77214"/>
    </row>
    <row r="77215" spans="1:6" x14ac:dyDescent="0.25">
      <c r="A77215"/>
      <c r="B77215"/>
      <c r="C77215"/>
      <c r="E77215"/>
      <c r="F77215"/>
    </row>
    <row r="77216" spans="1:6" x14ac:dyDescent="0.25">
      <c r="A77216"/>
      <c r="B77216"/>
      <c r="C77216"/>
      <c r="E77216"/>
      <c r="F77216"/>
    </row>
    <row r="77217" spans="1:6" x14ac:dyDescent="0.25">
      <c r="A77217"/>
      <c r="B77217"/>
      <c r="C77217"/>
      <c r="E77217"/>
      <c r="F77217"/>
    </row>
    <row r="77218" spans="1:6" x14ac:dyDescent="0.25">
      <c r="A77218"/>
      <c r="B77218"/>
      <c r="C77218"/>
      <c r="E77218"/>
      <c r="F77218"/>
    </row>
    <row r="77219" spans="1:6" x14ac:dyDescent="0.25">
      <c r="A77219"/>
      <c r="B77219"/>
      <c r="C77219"/>
      <c r="E77219"/>
      <c r="F77219"/>
    </row>
    <row r="77220" spans="1:6" x14ac:dyDescent="0.25">
      <c r="A77220"/>
      <c r="B77220"/>
      <c r="C77220"/>
      <c r="E77220"/>
      <c r="F77220"/>
    </row>
    <row r="77221" spans="1:6" x14ac:dyDescent="0.25">
      <c r="A77221"/>
      <c r="B77221"/>
      <c r="C77221"/>
      <c r="E77221"/>
      <c r="F77221"/>
    </row>
    <row r="77222" spans="1:6" x14ac:dyDescent="0.25">
      <c r="A77222"/>
      <c r="B77222"/>
      <c r="C77222"/>
      <c r="E77222"/>
      <c r="F77222"/>
    </row>
    <row r="77223" spans="1:6" x14ac:dyDescent="0.25">
      <c r="A77223"/>
      <c r="B77223"/>
      <c r="C77223"/>
      <c r="E77223"/>
      <c r="F77223"/>
    </row>
    <row r="77224" spans="1:6" x14ac:dyDescent="0.25">
      <c r="A77224"/>
      <c r="B77224"/>
      <c r="C77224"/>
      <c r="E77224"/>
      <c r="F77224"/>
    </row>
    <row r="77225" spans="1:6" x14ac:dyDescent="0.25">
      <c r="A77225"/>
      <c r="B77225"/>
      <c r="C77225"/>
      <c r="E77225"/>
      <c r="F77225"/>
    </row>
    <row r="77226" spans="1:6" x14ac:dyDescent="0.25">
      <c r="A77226"/>
      <c r="B77226"/>
      <c r="C77226"/>
      <c r="E77226"/>
      <c r="F77226"/>
    </row>
    <row r="77227" spans="1:6" x14ac:dyDescent="0.25">
      <c r="A77227"/>
      <c r="B77227"/>
      <c r="C77227"/>
      <c r="E77227"/>
      <c r="F77227"/>
    </row>
    <row r="77228" spans="1:6" x14ac:dyDescent="0.25">
      <c r="A77228"/>
      <c r="B77228"/>
      <c r="C77228"/>
      <c r="E77228"/>
      <c r="F77228"/>
    </row>
    <row r="77229" spans="1:6" x14ac:dyDescent="0.25">
      <c r="A77229"/>
      <c r="B77229"/>
      <c r="C77229"/>
      <c r="E77229"/>
      <c r="F77229"/>
    </row>
    <row r="77230" spans="1:6" x14ac:dyDescent="0.25">
      <c r="A77230"/>
      <c r="B77230"/>
      <c r="C77230"/>
      <c r="E77230"/>
      <c r="F77230"/>
    </row>
    <row r="77231" spans="1:6" x14ac:dyDescent="0.25">
      <c r="A77231"/>
      <c r="B77231"/>
      <c r="C77231"/>
      <c r="E77231"/>
      <c r="F77231"/>
    </row>
    <row r="77232" spans="1:6" x14ac:dyDescent="0.25">
      <c r="A77232"/>
      <c r="B77232"/>
      <c r="C77232"/>
      <c r="E77232"/>
      <c r="F77232"/>
    </row>
    <row r="77233" spans="1:6" x14ac:dyDescent="0.25">
      <c r="A77233"/>
      <c r="B77233"/>
      <c r="C77233"/>
      <c r="E77233"/>
      <c r="F77233"/>
    </row>
    <row r="77234" spans="1:6" x14ac:dyDescent="0.25">
      <c r="A77234"/>
      <c r="B77234"/>
      <c r="C77234"/>
      <c r="E77234"/>
      <c r="F77234"/>
    </row>
    <row r="77235" spans="1:6" x14ac:dyDescent="0.25">
      <c r="A77235"/>
      <c r="B77235"/>
      <c r="C77235"/>
      <c r="E77235"/>
      <c r="F77235"/>
    </row>
    <row r="77236" spans="1:6" x14ac:dyDescent="0.25">
      <c r="A77236"/>
      <c r="B77236"/>
      <c r="C77236"/>
      <c r="E77236"/>
      <c r="F77236"/>
    </row>
    <row r="77237" spans="1:6" x14ac:dyDescent="0.25">
      <c r="A77237"/>
      <c r="B77237"/>
      <c r="C77237"/>
      <c r="E77237"/>
      <c r="F77237"/>
    </row>
    <row r="77238" spans="1:6" x14ac:dyDescent="0.25">
      <c r="A77238"/>
      <c r="B77238"/>
      <c r="C77238"/>
      <c r="E77238"/>
      <c r="F77238"/>
    </row>
    <row r="77239" spans="1:6" x14ac:dyDescent="0.25">
      <c r="A77239"/>
      <c r="B77239"/>
      <c r="C77239"/>
      <c r="E77239"/>
      <c r="F77239"/>
    </row>
    <row r="77240" spans="1:6" x14ac:dyDescent="0.25">
      <c r="A77240"/>
      <c r="B77240"/>
      <c r="C77240"/>
      <c r="E77240"/>
      <c r="F77240"/>
    </row>
    <row r="77241" spans="1:6" x14ac:dyDescent="0.25">
      <c r="A77241"/>
      <c r="B77241"/>
      <c r="C77241"/>
      <c r="E77241"/>
      <c r="F77241"/>
    </row>
    <row r="77242" spans="1:6" x14ac:dyDescent="0.25">
      <c r="A77242"/>
      <c r="B77242"/>
      <c r="C77242"/>
      <c r="E77242"/>
      <c r="F77242"/>
    </row>
    <row r="77243" spans="1:6" x14ac:dyDescent="0.25">
      <c r="A77243"/>
      <c r="B77243"/>
      <c r="C77243"/>
      <c r="E77243"/>
      <c r="F77243"/>
    </row>
    <row r="77244" spans="1:6" x14ac:dyDescent="0.25">
      <c r="A77244"/>
      <c r="B77244"/>
      <c r="C77244"/>
      <c r="E77244"/>
      <c r="F77244"/>
    </row>
    <row r="77245" spans="1:6" x14ac:dyDescent="0.25">
      <c r="A77245"/>
      <c r="B77245"/>
      <c r="C77245"/>
      <c r="E77245"/>
      <c r="F77245"/>
    </row>
    <row r="77246" spans="1:6" x14ac:dyDescent="0.25">
      <c r="A77246"/>
      <c r="B77246"/>
      <c r="C77246"/>
      <c r="E77246"/>
      <c r="F77246"/>
    </row>
    <row r="77247" spans="1:6" x14ac:dyDescent="0.25">
      <c r="A77247"/>
      <c r="B77247"/>
      <c r="C77247"/>
      <c r="E77247"/>
      <c r="F77247"/>
    </row>
    <row r="77248" spans="1:6" x14ac:dyDescent="0.25">
      <c r="A77248"/>
      <c r="B77248"/>
      <c r="C77248"/>
      <c r="E77248"/>
      <c r="F77248"/>
    </row>
    <row r="77249" spans="1:6" x14ac:dyDescent="0.25">
      <c r="A77249"/>
      <c r="B77249"/>
      <c r="C77249"/>
      <c r="E77249"/>
      <c r="F77249"/>
    </row>
    <row r="77250" spans="1:6" x14ac:dyDescent="0.25">
      <c r="A77250"/>
      <c r="B77250"/>
      <c r="C77250"/>
      <c r="E77250"/>
      <c r="F77250"/>
    </row>
    <row r="77251" spans="1:6" x14ac:dyDescent="0.25">
      <c r="A77251"/>
      <c r="B77251"/>
      <c r="C77251"/>
      <c r="E77251"/>
      <c r="F77251"/>
    </row>
    <row r="77252" spans="1:6" x14ac:dyDescent="0.25">
      <c r="A77252"/>
      <c r="B77252"/>
      <c r="C77252"/>
      <c r="E77252"/>
      <c r="F77252"/>
    </row>
    <row r="77253" spans="1:6" x14ac:dyDescent="0.25">
      <c r="A77253"/>
      <c r="B77253"/>
      <c r="C77253"/>
      <c r="E77253"/>
      <c r="F77253"/>
    </row>
    <row r="77254" spans="1:6" x14ac:dyDescent="0.25">
      <c r="A77254"/>
      <c r="B77254"/>
      <c r="C77254"/>
      <c r="E77254"/>
      <c r="F77254"/>
    </row>
    <row r="77255" spans="1:6" x14ac:dyDescent="0.25">
      <c r="A77255"/>
      <c r="B77255"/>
      <c r="C77255"/>
      <c r="E77255"/>
      <c r="F77255"/>
    </row>
    <row r="77256" spans="1:6" x14ac:dyDescent="0.25">
      <c r="A77256"/>
      <c r="B77256"/>
      <c r="C77256"/>
      <c r="E77256"/>
      <c r="F77256"/>
    </row>
    <row r="77257" spans="1:6" x14ac:dyDescent="0.25">
      <c r="A77257"/>
      <c r="B77257"/>
      <c r="C77257"/>
      <c r="E77257"/>
      <c r="F77257"/>
    </row>
    <row r="77258" spans="1:6" x14ac:dyDescent="0.25">
      <c r="A77258"/>
      <c r="B77258"/>
      <c r="C77258"/>
      <c r="E77258"/>
      <c r="F77258"/>
    </row>
    <row r="77259" spans="1:6" x14ac:dyDescent="0.25">
      <c r="A77259"/>
      <c r="B77259"/>
      <c r="C77259"/>
      <c r="E77259"/>
      <c r="F77259"/>
    </row>
    <row r="77260" spans="1:6" x14ac:dyDescent="0.25">
      <c r="A77260"/>
      <c r="B77260"/>
      <c r="C77260"/>
      <c r="E77260"/>
      <c r="F77260"/>
    </row>
    <row r="77261" spans="1:6" x14ac:dyDescent="0.25">
      <c r="A77261"/>
      <c r="B77261"/>
      <c r="C77261"/>
      <c r="E77261"/>
      <c r="F77261"/>
    </row>
    <row r="77262" spans="1:6" x14ac:dyDescent="0.25">
      <c r="A77262"/>
      <c r="B77262"/>
      <c r="C77262"/>
      <c r="E77262"/>
      <c r="F77262"/>
    </row>
    <row r="77263" spans="1:6" x14ac:dyDescent="0.25">
      <c r="A77263"/>
      <c r="B77263"/>
      <c r="C77263"/>
      <c r="E77263"/>
      <c r="F77263"/>
    </row>
    <row r="77264" spans="1:6" x14ac:dyDescent="0.25">
      <c r="A77264"/>
      <c r="B77264"/>
      <c r="C77264"/>
      <c r="E77264"/>
      <c r="F77264"/>
    </row>
    <row r="77265" spans="1:6" x14ac:dyDescent="0.25">
      <c r="A77265"/>
      <c r="B77265"/>
      <c r="C77265"/>
      <c r="E77265"/>
      <c r="F77265"/>
    </row>
    <row r="77266" spans="1:6" x14ac:dyDescent="0.25">
      <c r="A77266"/>
      <c r="B77266"/>
      <c r="C77266"/>
      <c r="E77266"/>
      <c r="F77266"/>
    </row>
    <row r="77267" spans="1:6" x14ac:dyDescent="0.25">
      <c r="A77267"/>
      <c r="B77267"/>
      <c r="C77267"/>
      <c r="E77267"/>
      <c r="F77267"/>
    </row>
    <row r="77268" spans="1:6" x14ac:dyDescent="0.25">
      <c r="A77268"/>
      <c r="B77268"/>
      <c r="C77268"/>
      <c r="E77268"/>
      <c r="F77268"/>
    </row>
    <row r="77269" spans="1:6" x14ac:dyDescent="0.25">
      <c r="A77269"/>
      <c r="B77269"/>
      <c r="C77269"/>
      <c r="E77269"/>
      <c r="F77269"/>
    </row>
    <row r="77270" spans="1:6" x14ac:dyDescent="0.25">
      <c r="A77270"/>
      <c r="B77270"/>
      <c r="C77270"/>
      <c r="E77270"/>
      <c r="F77270"/>
    </row>
    <row r="77271" spans="1:6" x14ac:dyDescent="0.25">
      <c r="A77271"/>
      <c r="B77271"/>
      <c r="C77271"/>
      <c r="E77271"/>
      <c r="F77271"/>
    </row>
    <row r="77272" spans="1:6" x14ac:dyDescent="0.25">
      <c r="A77272"/>
      <c r="B77272"/>
      <c r="C77272"/>
      <c r="E77272"/>
      <c r="F77272"/>
    </row>
    <row r="77273" spans="1:6" x14ac:dyDescent="0.25">
      <c r="A77273"/>
      <c r="B77273"/>
      <c r="C77273"/>
      <c r="E77273"/>
      <c r="F77273"/>
    </row>
    <row r="77274" spans="1:6" x14ac:dyDescent="0.25">
      <c r="A77274"/>
      <c r="B77274"/>
      <c r="C77274"/>
      <c r="E77274"/>
      <c r="F77274"/>
    </row>
    <row r="77275" spans="1:6" x14ac:dyDescent="0.25">
      <c r="A77275"/>
      <c r="B77275"/>
      <c r="C77275"/>
      <c r="E77275"/>
      <c r="F77275"/>
    </row>
    <row r="77276" spans="1:6" x14ac:dyDescent="0.25">
      <c r="A77276"/>
      <c r="B77276"/>
      <c r="C77276"/>
      <c r="E77276"/>
      <c r="F77276"/>
    </row>
    <row r="77277" spans="1:6" x14ac:dyDescent="0.25">
      <c r="A77277"/>
      <c r="B77277"/>
      <c r="C77277"/>
      <c r="E77277"/>
      <c r="F77277"/>
    </row>
    <row r="77278" spans="1:6" x14ac:dyDescent="0.25">
      <c r="A77278"/>
      <c r="B77278"/>
      <c r="C77278"/>
      <c r="E77278"/>
      <c r="F77278"/>
    </row>
    <row r="77279" spans="1:6" x14ac:dyDescent="0.25">
      <c r="A77279"/>
      <c r="B77279"/>
      <c r="C77279"/>
      <c r="E77279"/>
      <c r="F77279"/>
    </row>
    <row r="77280" spans="1:6" x14ac:dyDescent="0.25">
      <c r="A77280"/>
      <c r="B77280"/>
      <c r="C77280"/>
      <c r="E77280"/>
      <c r="F77280"/>
    </row>
    <row r="77281" spans="1:6" x14ac:dyDescent="0.25">
      <c r="A77281"/>
      <c r="B77281"/>
      <c r="C77281"/>
      <c r="E77281"/>
      <c r="F77281"/>
    </row>
    <row r="77282" spans="1:6" x14ac:dyDescent="0.25">
      <c r="A77282"/>
      <c r="B77282"/>
      <c r="C77282"/>
      <c r="E77282"/>
      <c r="F77282"/>
    </row>
    <row r="77283" spans="1:6" x14ac:dyDescent="0.25">
      <c r="A77283"/>
      <c r="B77283"/>
      <c r="C77283"/>
      <c r="E77283"/>
      <c r="F77283"/>
    </row>
    <row r="77284" spans="1:6" x14ac:dyDescent="0.25">
      <c r="A77284"/>
      <c r="B77284"/>
      <c r="C77284"/>
      <c r="E77284"/>
      <c r="F77284"/>
    </row>
    <row r="77285" spans="1:6" x14ac:dyDescent="0.25">
      <c r="A77285"/>
      <c r="B77285"/>
      <c r="C77285"/>
      <c r="E77285"/>
      <c r="F77285"/>
    </row>
    <row r="77286" spans="1:6" x14ac:dyDescent="0.25">
      <c r="A77286"/>
      <c r="B77286"/>
      <c r="C77286"/>
      <c r="E77286"/>
      <c r="F77286"/>
    </row>
    <row r="77287" spans="1:6" x14ac:dyDescent="0.25">
      <c r="A77287"/>
      <c r="B77287"/>
      <c r="C77287"/>
      <c r="E77287"/>
      <c r="F77287"/>
    </row>
    <row r="77288" spans="1:6" x14ac:dyDescent="0.25">
      <c r="A77288"/>
      <c r="B77288"/>
      <c r="C77288"/>
      <c r="E77288"/>
      <c r="F77288"/>
    </row>
    <row r="77289" spans="1:6" x14ac:dyDescent="0.25">
      <c r="A77289"/>
      <c r="B77289"/>
      <c r="C77289"/>
      <c r="E77289"/>
      <c r="F77289"/>
    </row>
    <row r="77290" spans="1:6" x14ac:dyDescent="0.25">
      <c r="A77290"/>
      <c r="B77290"/>
      <c r="C77290"/>
      <c r="E77290"/>
      <c r="F77290"/>
    </row>
    <row r="77291" spans="1:6" x14ac:dyDescent="0.25">
      <c r="A77291"/>
      <c r="B77291"/>
      <c r="C77291"/>
      <c r="E77291"/>
      <c r="F77291"/>
    </row>
    <row r="77292" spans="1:6" x14ac:dyDescent="0.25">
      <c r="A77292"/>
      <c r="B77292"/>
      <c r="C77292"/>
      <c r="E77292"/>
      <c r="F77292"/>
    </row>
    <row r="77293" spans="1:6" x14ac:dyDescent="0.25">
      <c r="A77293"/>
      <c r="B77293"/>
      <c r="C77293"/>
      <c r="E77293"/>
      <c r="F77293"/>
    </row>
    <row r="77294" spans="1:6" x14ac:dyDescent="0.25">
      <c r="A77294"/>
      <c r="B77294"/>
      <c r="C77294"/>
      <c r="E77294"/>
      <c r="F77294"/>
    </row>
    <row r="77295" spans="1:6" x14ac:dyDescent="0.25">
      <c r="A77295"/>
      <c r="B77295"/>
      <c r="C77295"/>
      <c r="E77295"/>
      <c r="F77295"/>
    </row>
    <row r="77296" spans="1:6" x14ac:dyDescent="0.25">
      <c r="A77296"/>
      <c r="B77296"/>
      <c r="C77296"/>
      <c r="E77296"/>
      <c r="F77296"/>
    </row>
    <row r="77297" spans="1:6" x14ac:dyDescent="0.25">
      <c r="A77297"/>
      <c r="B77297"/>
      <c r="C77297"/>
      <c r="E77297"/>
      <c r="F77297"/>
    </row>
    <row r="77298" spans="1:6" x14ac:dyDescent="0.25">
      <c r="A77298"/>
      <c r="B77298"/>
      <c r="C77298"/>
      <c r="E77298"/>
      <c r="F77298"/>
    </row>
    <row r="77299" spans="1:6" x14ac:dyDescent="0.25">
      <c r="A77299"/>
      <c r="B77299"/>
      <c r="C77299"/>
      <c r="E77299"/>
      <c r="F77299"/>
    </row>
    <row r="77300" spans="1:6" x14ac:dyDescent="0.25">
      <c r="A77300"/>
      <c r="B77300"/>
      <c r="C77300"/>
      <c r="E77300"/>
      <c r="F77300"/>
    </row>
    <row r="77301" spans="1:6" x14ac:dyDescent="0.25">
      <c r="A77301"/>
      <c r="B77301"/>
      <c r="C77301"/>
      <c r="E77301"/>
      <c r="F77301"/>
    </row>
    <row r="77302" spans="1:6" x14ac:dyDescent="0.25">
      <c r="A77302"/>
      <c r="B77302"/>
      <c r="C77302"/>
      <c r="E77302"/>
      <c r="F77302"/>
    </row>
    <row r="77303" spans="1:6" x14ac:dyDescent="0.25">
      <c r="A77303"/>
      <c r="B77303"/>
      <c r="C77303"/>
      <c r="E77303"/>
      <c r="F77303"/>
    </row>
    <row r="77304" spans="1:6" x14ac:dyDescent="0.25">
      <c r="A77304"/>
      <c r="B77304"/>
      <c r="C77304"/>
      <c r="E77304"/>
      <c r="F77304"/>
    </row>
    <row r="77305" spans="1:6" x14ac:dyDescent="0.25">
      <c r="A77305"/>
      <c r="B77305"/>
      <c r="C77305"/>
      <c r="E77305"/>
      <c r="F77305"/>
    </row>
    <row r="77306" spans="1:6" x14ac:dyDescent="0.25">
      <c r="A77306"/>
      <c r="B77306"/>
      <c r="C77306"/>
      <c r="E77306"/>
      <c r="F77306"/>
    </row>
    <row r="77307" spans="1:6" x14ac:dyDescent="0.25">
      <c r="A77307"/>
      <c r="B77307"/>
      <c r="C77307"/>
      <c r="E77307"/>
      <c r="F77307"/>
    </row>
    <row r="77308" spans="1:6" x14ac:dyDescent="0.25">
      <c r="A77308"/>
      <c r="B77308"/>
      <c r="C77308"/>
      <c r="E77308"/>
      <c r="F77308"/>
    </row>
    <row r="77309" spans="1:6" x14ac:dyDescent="0.25">
      <c r="A77309"/>
      <c r="B77309"/>
      <c r="C77309"/>
      <c r="E77309"/>
      <c r="F77309"/>
    </row>
    <row r="77310" spans="1:6" x14ac:dyDescent="0.25">
      <c r="A77310"/>
      <c r="B77310"/>
      <c r="C77310"/>
      <c r="E77310"/>
      <c r="F77310"/>
    </row>
    <row r="77311" spans="1:6" x14ac:dyDescent="0.25">
      <c r="A77311"/>
      <c r="B77311"/>
      <c r="C77311"/>
      <c r="E77311"/>
      <c r="F77311"/>
    </row>
    <row r="77312" spans="1:6" x14ac:dyDescent="0.25">
      <c r="A77312"/>
      <c r="B77312"/>
      <c r="C77312"/>
      <c r="E77312"/>
      <c r="F77312"/>
    </row>
    <row r="77313" spans="1:6" x14ac:dyDescent="0.25">
      <c r="A77313"/>
      <c r="B77313"/>
      <c r="C77313"/>
      <c r="E77313"/>
      <c r="F77313"/>
    </row>
    <row r="77314" spans="1:6" x14ac:dyDescent="0.25">
      <c r="A77314"/>
      <c r="B77314"/>
      <c r="C77314"/>
      <c r="E77314"/>
      <c r="F77314"/>
    </row>
    <row r="77315" spans="1:6" x14ac:dyDescent="0.25">
      <c r="A77315"/>
      <c r="B77315"/>
      <c r="C77315"/>
      <c r="E77315"/>
      <c r="F77315"/>
    </row>
    <row r="77316" spans="1:6" x14ac:dyDescent="0.25">
      <c r="A77316"/>
      <c r="B77316"/>
      <c r="C77316"/>
      <c r="E77316"/>
      <c r="F77316"/>
    </row>
    <row r="77317" spans="1:6" x14ac:dyDescent="0.25">
      <c r="A77317"/>
      <c r="B77317"/>
      <c r="C77317"/>
      <c r="E77317"/>
      <c r="F77317"/>
    </row>
    <row r="77318" spans="1:6" x14ac:dyDescent="0.25">
      <c r="A77318"/>
      <c r="B77318"/>
      <c r="C77318"/>
      <c r="E77318"/>
      <c r="F77318"/>
    </row>
    <row r="77319" spans="1:6" x14ac:dyDescent="0.25">
      <c r="A77319"/>
      <c r="B77319"/>
      <c r="C77319"/>
      <c r="E77319"/>
      <c r="F77319"/>
    </row>
    <row r="77320" spans="1:6" x14ac:dyDescent="0.25">
      <c r="A77320"/>
      <c r="B77320"/>
      <c r="C77320"/>
      <c r="E77320"/>
      <c r="F77320"/>
    </row>
    <row r="77321" spans="1:6" x14ac:dyDescent="0.25">
      <c r="A77321"/>
      <c r="B77321"/>
      <c r="C77321"/>
      <c r="E77321"/>
      <c r="F77321"/>
    </row>
    <row r="77322" spans="1:6" x14ac:dyDescent="0.25">
      <c r="A77322"/>
      <c r="B77322"/>
      <c r="C77322"/>
      <c r="E77322"/>
      <c r="F77322"/>
    </row>
    <row r="77323" spans="1:6" x14ac:dyDescent="0.25">
      <c r="A77323"/>
      <c r="B77323"/>
      <c r="C77323"/>
      <c r="E77323"/>
      <c r="F77323"/>
    </row>
    <row r="77324" spans="1:6" x14ac:dyDescent="0.25">
      <c r="A77324"/>
      <c r="B77324"/>
      <c r="C77324"/>
      <c r="E77324"/>
      <c r="F77324"/>
    </row>
    <row r="77325" spans="1:6" x14ac:dyDescent="0.25">
      <c r="A77325"/>
      <c r="B77325"/>
      <c r="C77325"/>
      <c r="E77325"/>
      <c r="F77325"/>
    </row>
    <row r="77326" spans="1:6" x14ac:dyDescent="0.25">
      <c r="A77326"/>
      <c r="B77326"/>
      <c r="C77326"/>
      <c r="E77326"/>
      <c r="F77326"/>
    </row>
    <row r="77327" spans="1:6" x14ac:dyDescent="0.25">
      <c r="A77327"/>
      <c r="B77327"/>
      <c r="C77327"/>
      <c r="E77327"/>
      <c r="F77327"/>
    </row>
    <row r="77328" spans="1:6" x14ac:dyDescent="0.25">
      <c r="A77328"/>
      <c r="B77328"/>
      <c r="C77328"/>
      <c r="E77328"/>
      <c r="F77328"/>
    </row>
    <row r="77329" spans="1:6" x14ac:dyDescent="0.25">
      <c r="A77329"/>
      <c r="B77329"/>
      <c r="C77329"/>
      <c r="E77329"/>
      <c r="F77329"/>
    </row>
    <row r="77330" spans="1:6" x14ac:dyDescent="0.25">
      <c r="A77330"/>
      <c r="B77330"/>
      <c r="C77330"/>
      <c r="E77330"/>
      <c r="F77330"/>
    </row>
    <row r="77331" spans="1:6" x14ac:dyDescent="0.25">
      <c r="A77331"/>
      <c r="B77331"/>
      <c r="C77331"/>
      <c r="E77331"/>
      <c r="F77331"/>
    </row>
    <row r="77332" spans="1:6" x14ac:dyDescent="0.25">
      <c r="A77332"/>
      <c r="B77332"/>
      <c r="C77332"/>
      <c r="E77332"/>
      <c r="F77332"/>
    </row>
    <row r="77333" spans="1:6" x14ac:dyDescent="0.25">
      <c r="A77333"/>
      <c r="B77333"/>
      <c r="C77333"/>
      <c r="E77333"/>
      <c r="F77333"/>
    </row>
    <row r="77334" spans="1:6" x14ac:dyDescent="0.25">
      <c r="A77334"/>
      <c r="B77334"/>
      <c r="C77334"/>
      <c r="E77334"/>
      <c r="F77334"/>
    </row>
    <row r="77335" spans="1:6" x14ac:dyDescent="0.25">
      <c r="A77335"/>
      <c r="B77335"/>
      <c r="C77335"/>
      <c r="E77335"/>
      <c r="F77335"/>
    </row>
    <row r="77336" spans="1:6" x14ac:dyDescent="0.25">
      <c r="A77336"/>
      <c r="B77336"/>
      <c r="C77336"/>
      <c r="E77336"/>
      <c r="F77336"/>
    </row>
    <row r="77337" spans="1:6" x14ac:dyDescent="0.25">
      <c r="A77337"/>
      <c r="B77337"/>
      <c r="C77337"/>
      <c r="E77337"/>
      <c r="F77337"/>
    </row>
    <row r="77338" spans="1:6" x14ac:dyDescent="0.25">
      <c r="A77338"/>
      <c r="B77338"/>
      <c r="C77338"/>
      <c r="E77338"/>
      <c r="F77338"/>
    </row>
    <row r="77339" spans="1:6" x14ac:dyDescent="0.25">
      <c r="A77339"/>
      <c r="B77339"/>
      <c r="C77339"/>
      <c r="E77339"/>
      <c r="F77339"/>
    </row>
    <row r="77340" spans="1:6" x14ac:dyDescent="0.25">
      <c r="A77340"/>
      <c r="B77340"/>
      <c r="C77340"/>
      <c r="E77340"/>
      <c r="F77340"/>
    </row>
    <row r="77341" spans="1:6" x14ac:dyDescent="0.25">
      <c r="A77341"/>
      <c r="B77341"/>
      <c r="C77341"/>
      <c r="E77341"/>
      <c r="F77341"/>
    </row>
    <row r="77342" spans="1:6" x14ac:dyDescent="0.25">
      <c r="A77342"/>
      <c r="B77342"/>
      <c r="C77342"/>
      <c r="E77342"/>
      <c r="F77342"/>
    </row>
    <row r="77343" spans="1:6" x14ac:dyDescent="0.25">
      <c r="A77343"/>
      <c r="B77343"/>
      <c r="C77343"/>
      <c r="E77343"/>
      <c r="F77343"/>
    </row>
    <row r="77344" spans="1:6" x14ac:dyDescent="0.25">
      <c r="A77344"/>
      <c r="B77344"/>
      <c r="C77344"/>
      <c r="E77344"/>
      <c r="F77344"/>
    </row>
    <row r="77345" spans="1:6" x14ac:dyDescent="0.25">
      <c r="A77345"/>
      <c r="B77345"/>
      <c r="C77345"/>
      <c r="E77345"/>
      <c r="F77345"/>
    </row>
    <row r="77346" spans="1:6" x14ac:dyDescent="0.25">
      <c r="A77346"/>
      <c r="B77346"/>
      <c r="C77346"/>
      <c r="E77346"/>
      <c r="F77346"/>
    </row>
    <row r="77347" spans="1:6" x14ac:dyDescent="0.25">
      <c r="A77347"/>
      <c r="B77347"/>
      <c r="C77347"/>
      <c r="E77347"/>
      <c r="F77347"/>
    </row>
    <row r="77348" spans="1:6" x14ac:dyDescent="0.25">
      <c r="A77348"/>
      <c r="B77348"/>
      <c r="C77348"/>
      <c r="E77348"/>
      <c r="F77348"/>
    </row>
    <row r="77349" spans="1:6" x14ac:dyDescent="0.25">
      <c r="A77349"/>
      <c r="B77349"/>
      <c r="C77349"/>
      <c r="E77349"/>
      <c r="F77349"/>
    </row>
    <row r="77350" spans="1:6" x14ac:dyDescent="0.25">
      <c r="A77350"/>
      <c r="B77350"/>
      <c r="C77350"/>
      <c r="E77350"/>
      <c r="F77350"/>
    </row>
    <row r="77351" spans="1:6" x14ac:dyDescent="0.25">
      <c r="A77351"/>
      <c r="B77351"/>
      <c r="C77351"/>
      <c r="E77351"/>
      <c r="F77351"/>
    </row>
    <row r="77352" spans="1:6" x14ac:dyDescent="0.25">
      <c r="A77352"/>
      <c r="B77352"/>
      <c r="C77352"/>
      <c r="E77352"/>
      <c r="F77352"/>
    </row>
    <row r="77353" spans="1:6" x14ac:dyDescent="0.25">
      <c r="A77353"/>
      <c r="B77353"/>
      <c r="C77353"/>
      <c r="E77353"/>
      <c r="F77353"/>
    </row>
    <row r="77354" spans="1:6" x14ac:dyDescent="0.25">
      <c r="A77354"/>
      <c r="B77354"/>
      <c r="C77354"/>
      <c r="E77354"/>
      <c r="F77354"/>
    </row>
    <row r="77355" spans="1:6" x14ac:dyDescent="0.25">
      <c r="A77355"/>
      <c r="B77355"/>
      <c r="C77355"/>
      <c r="E77355"/>
      <c r="F77355"/>
    </row>
    <row r="77356" spans="1:6" x14ac:dyDescent="0.25">
      <c r="A77356"/>
      <c r="B77356"/>
      <c r="C77356"/>
      <c r="E77356"/>
      <c r="F77356"/>
    </row>
    <row r="77357" spans="1:6" x14ac:dyDescent="0.25">
      <c r="A77357"/>
      <c r="B77357"/>
      <c r="C77357"/>
      <c r="E77357"/>
      <c r="F77357"/>
    </row>
    <row r="77358" spans="1:6" x14ac:dyDescent="0.25">
      <c r="A77358"/>
      <c r="B77358"/>
      <c r="C77358"/>
      <c r="E77358"/>
      <c r="F77358"/>
    </row>
    <row r="77359" spans="1:6" x14ac:dyDescent="0.25">
      <c r="A77359"/>
      <c r="B77359"/>
      <c r="C77359"/>
      <c r="E77359"/>
      <c r="F77359"/>
    </row>
    <row r="77360" spans="1:6" x14ac:dyDescent="0.25">
      <c r="A77360"/>
      <c r="B77360"/>
      <c r="C77360"/>
      <c r="E77360"/>
      <c r="F77360"/>
    </row>
    <row r="77361" spans="1:6" x14ac:dyDescent="0.25">
      <c r="A77361"/>
      <c r="B77361"/>
      <c r="C77361"/>
      <c r="E77361"/>
      <c r="F77361"/>
    </row>
    <row r="77362" spans="1:6" x14ac:dyDescent="0.25">
      <c r="A77362"/>
      <c r="B77362"/>
      <c r="C77362"/>
      <c r="E77362"/>
      <c r="F77362"/>
    </row>
    <row r="77363" spans="1:6" x14ac:dyDescent="0.25">
      <c r="A77363"/>
      <c r="B77363"/>
      <c r="C77363"/>
      <c r="E77363"/>
      <c r="F77363"/>
    </row>
    <row r="77364" spans="1:6" x14ac:dyDescent="0.25">
      <c r="A77364"/>
      <c r="B77364"/>
      <c r="C77364"/>
      <c r="E77364"/>
      <c r="F77364"/>
    </row>
    <row r="77365" spans="1:6" x14ac:dyDescent="0.25">
      <c r="A77365"/>
      <c r="B77365"/>
      <c r="C77365"/>
      <c r="E77365"/>
      <c r="F77365"/>
    </row>
    <row r="77366" spans="1:6" x14ac:dyDescent="0.25">
      <c r="A77366"/>
      <c r="B77366"/>
      <c r="C77366"/>
      <c r="E77366"/>
      <c r="F77366"/>
    </row>
    <row r="77367" spans="1:6" x14ac:dyDescent="0.25">
      <c r="A77367"/>
      <c r="B77367"/>
      <c r="C77367"/>
      <c r="E77367"/>
      <c r="F77367"/>
    </row>
    <row r="77368" spans="1:6" x14ac:dyDescent="0.25">
      <c r="A77368"/>
      <c r="B77368"/>
      <c r="C77368"/>
      <c r="E77368"/>
      <c r="F77368"/>
    </row>
    <row r="77369" spans="1:6" x14ac:dyDescent="0.25">
      <c r="A77369"/>
      <c r="B77369"/>
      <c r="C77369"/>
      <c r="E77369"/>
      <c r="F77369"/>
    </row>
    <row r="77370" spans="1:6" x14ac:dyDescent="0.25">
      <c r="A77370"/>
      <c r="B77370"/>
      <c r="C77370"/>
      <c r="E77370"/>
      <c r="F77370"/>
    </row>
    <row r="77371" spans="1:6" x14ac:dyDescent="0.25">
      <c r="A77371"/>
      <c r="B77371"/>
      <c r="C77371"/>
      <c r="E77371"/>
      <c r="F77371"/>
    </row>
    <row r="77372" spans="1:6" x14ac:dyDescent="0.25">
      <c r="A77372"/>
      <c r="B77372"/>
      <c r="C77372"/>
      <c r="E77372"/>
      <c r="F77372"/>
    </row>
    <row r="77373" spans="1:6" x14ac:dyDescent="0.25">
      <c r="A77373"/>
      <c r="B77373"/>
      <c r="C77373"/>
      <c r="E77373"/>
      <c r="F77373"/>
    </row>
    <row r="77374" spans="1:6" x14ac:dyDescent="0.25">
      <c r="A77374"/>
      <c r="B77374"/>
      <c r="C77374"/>
      <c r="E77374"/>
      <c r="F77374"/>
    </row>
    <row r="77375" spans="1:6" x14ac:dyDescent="0.25">
      <c r="A77375"/>
      <c r="B77375"/>
      <c r="C77375"/>
      <c r="E77375"/>
      <c r="F77375"/>
    </row>
    <row r="77376" spans="1:6" x14ac:dyDescent="0.25">
      <c r="A77376"/>
      <c r="B77376"/>
      <c r="C77376"/>
      <c r="E77376"/>
      <c r="F77376"/>
    </row>
    <row r="77377" spans="1:6" x14ac:dyDescent="0.25">
      <c r="A77377"/>
      <c r="B77377"/>
      <c r="C77377"/>
      <c r="E77377"/>
      <c r="F77377"/>
    </row>
    <row r="77378" spans="1:6" x14ac:dyDescent="0.25">
      <c r="A77378"/>
      <c r="B77378"/>
      <c r="C77378"/>
      <c r="E77378"/>
      <c r="F77378"/>
    </row>
    <row r="77379" spans="1:6" x14ac:dyDescent="0.25">
      <c r="A77379"/>
      <c r="B77379"/>
      <c r="C77379"/>
      <c r="E77379"/>
      <c r="F77379"/>
    </row>
    <row r="77380" spans="1:6" x14ac:dyDescent="0.25">
      <c r="A77380"/>
      <c r="B77380"/>
      <c r="C77380"/>
      <c r="E77380"/>
      <c r="F77380"/>
    </row>
    <row r="77381" spans="1:6" x14ac:dyDescent="0.25">
      <c r="A77381"/>
      <c r="B77381"/>
      <c r="C77381"/>
      <c r="E77381"/>
      <c r="F77381"/>
    </row>
    <row r="77382" spans="1:6" x14ac:dyDescent="0.25">
      <c r="A77382"/>
      <c r="B77382"/>
      <c r="C77382"/>
      <c r="E77382"/>
      <c r="F77382"/>
    </row>
    <row r="77383" spans="1:6" x14ac:dyDescent="0.25">
      <c r="A77383"/>
      <c r="B77383"/>
      <c r="C77383"/>
      <c r="E77383"/>
      <c r="F77383"/>
    </row>
    <row r="77384" spans="1:6" x14ac:dyDescent="0.25">
      <c r="A77384"/>
      <c r="B77384"/>
      <c r="C77384"/>
      <c r="E77384"/>
      <c r="F77384"/>
    </row>
    <row r="77385" spans="1:6" x14ac:dyDescent="0.25">
      <c r="A77385"/>
      <c r="B77385"/>
      <c r="C77385"/>
      <c r="E77385"/>
      <c r="F77385"/>
    </row>
    <row r="77386" spans="1:6" x14ac:dyDescent="0.25">
      <c r="A77386"/>
      <c r="B77386"/>
      <c r="C77386"/>
      <c r="E77386"/>
      <c r="F77386"/>
    </row>
    <row r="77387" spans="1:6" x14ac:dyDescent="0.25">
      <c r="A77387"/>
      <c r="B77387"/>
      <c r="C77387"/>
      <c r="E77387"/>
      <c r="F77387"/>
    </row>
    <row r="77388" spans="1:6" x14ac:dyDescent="0.25">
      <c r="A77388"/>
      <c r="B77388"/>
      <c r="C77388"/>
      <c r="E77388"/>
      <c r="F77388"/>
    </row>
    <row r="77389" spans="1:6" x14ac:dyDescent="0.25">
      <c r="A77389"/>
      <c r="B77389"/>
      <c r="C77389"/>
      <c r="E77389"/>
      <c r="F77389"/>
    </row>
    <row r="77390" spans="1:6" x14ac:dyDescent="0.25">
      <c r="A77390"/>
      <c r="B77390"/>
      <c r="C77390"/>
      <c r="E77390"/>
      <c r="F77390"/>
    </row>
    <row r="77391" spans="1:6" x14ac:dyDescent="0.25">
      <c r="A77391"/>
      <c r="B77391"/>
      <c r="C77391"/>
      <c r="E77391"/>
      <c r="F77391"/>
    </row>
    <row r="77392" spans="1:6" x14ac:dyDescent="0.25">
      <c r="A77392"/>
      <c r="B77392"/>
      <c r="C77392"/>
      <c r="E77392"/>
      <c r="F77392"/>
    </row>
    <row r="77393" spans="1:6" x14ac:dyDescent="0.25">
      <c r="A77393"/>
      <c r="B77393"/>
      <c r="C77393"/>
      <c r="E77393"/>
      <c r="F77393"/>
    </row>
    <row r="77394" spans="1:6" x14ac:dyDescent="0.25">
      <c r="A77394"/>
      <c r="B77394"/>
      <c r="C77394"/>
      <c r="E77394"/>
      <c r="F77394"/>
    </row>
    <row r="77395" spans="1:6" x14ac:dyDescent="0.25">
      <c r="A77395"/>
      <c r="B77395"/>
      <c r="C77395"/>
      <c r="E77395"/>
      <c r="F77395"/>
    </row>
    <row r="77396" spans="1:6" x14ac:dyDescent="0.25">
      <c r="A77396"/>
      <c r="B77396"/>
      <c r="C77396"/>
      <c r="E77396"/>
      <c r="F77396"/>
    </row>
    <row r="77397" spans="1:6" x14ac:dyDescent="0.25">
      <c r="A77397"/>
      <c r="B77397"/>
      <c r="C77397"/>
      <c r="E77397"/>
      <c r="F77397"/>
    </row>
    <row r="77398" spans="1:6" x14ac:dyDescent="0.25">
      <c r="A77398"/>
      <c r="B77398"/>
      <c r="C77398"/>
      <c r="E77398"/>
      <c r="F77398"/>
    </row>
    <row r="77399" spans="1:6" x14ac:dyDescent="0.25">
      <c r="A77399"/>
      <c r="B77399"/>
      <c r="C77399"/>
      <c r="E77399"/>
      <c r="F77399"/>
    </row>
    <row r="77400" spans="1:6" x14ac:dyDescent="0.25">
      <c r="A77400"/>
      <c r="B77400"/>
      <c r="C77400"/>
      <c r="E77400"/>
      <c r="F77400"/>
    </row>
    <row r="77401" spans="1:6" x14ac:dyDescent="0.25">
      <c r="A77401"/>
      <c r="B77401"/>
      <c r="C77401"/>
      <c r="E77401"/>
      <c r="F77401"/>
    </row>
    <row r="77402" spans="1:6" x14ac:dyDescent="0.25">
      <c r="A77402"/>
      <c r="B77402"/>
      <c r="C77402"/>
      <c r="E77402"/>
      <c r="F77402"/>
    </row>
    <row r="77403" spans="1:6" x14ac:dyDescent="0.25">
      <c r="A77403"/>
      <c r="B77403"/>
      <c r="C77403"/>
      <c r="E77403"/>
      <c r="F77403"/>
    </row>
    <row r="77404" spans="1:6" x14ac:dyDescent="0.25">
      <c r="A77404"/>
      <c r="B77404"/>
      <c r="C77404"/>
      <c r="E77404"/>
      <c r="F77404"/>
    </row>
    <row r="77405" spans="1:6" x14ac:dyDescent="0.25">
      <c r="A77405"/>
      <c r="B77405"/>
      <c r="C77405"/>
      <c r="E77405"/>
      <c r="F77405"/>
    </row>
    <row r="77406" spans="1:6" x14ac:dyDescent="0.25">
      <c r="A77406"/>
      <c r="B77406"/>
      <c r="C77406"/>
      <c r="E77406"/>
      <c r="F77406"/>
    </row>
    <row r="77407" spans="1:6" x14ac:dyDescent="0.25">
      <c r="A77407"/>
      <c r="B77407"/>
      <c r="C77407"/>
      <c r="E77407"/>
      <c r="F77407"/>
    </row>
    <row r="77408" spans="1:6" x14ac:dyDescent="0.25">
      <c r="A77408"/>
      <c r="B77408"/>
      <c r="C77408"/>
      <c r="E77408"/>
      <c r="F77408"/>
    </row>
    <row r="77409" spans="1:6" x14ac:dyDescent="0.25">
      <c r="A77409"/>
      <c r="B77409"/>
      <c r="C77409"/>
      <c r="E77409"/>
      <c r="F77409"/>
    </row>
    <row r="77410" spans="1:6" x14ac:dyDescent="0.25">
      <c r="A77410"/>
      <c r="B77410"/>
      <c r="C77410"/>
      <c r="E77410"/>
      <c r="F77410"/>
    </row>
    <row r="77411" spans="1:6" x14ac:dyDescent="0.25">
      <c r="A77411"/>
      <c r="B77411"/>
      <c r="C77411"/>
      <c r="E77411"/>
      <c r="F77411"/>
    </row>
    <row r="77412" spans="1:6" x14ac:dyDescent="0.25">
      <c r="A77412"/>
      <c r="B77412"/>
      <c r="C77412"/>
      <c r="E77412"/>
      <c r="F77412"/>
    </row>
    <row r="77413" spans="1:6" x14ac:dyDescent="0.25">
      <c r="A77413"/>
      <c r="B77413"/>
      <c r="C77413"/>
      <c r="E77413"/>
      <c r="F77413"/>
    </row>
    <row r="77414" spans="1:6" x14ac:dyDescent="0.25">
      <c r="A77414"/>
      <c r="B77414"/>
      <c r="C77414"/>
      <c r="E77414"/>
      <c r="F77414"/>
    </row>
    <row r="77415" spans="1:6" x14ac:dyDescent="0.25">
      <c r="A77415"/>
      <c r="B77415"/>
      <c r="C77415"/>
      <c r="E77415"/>
      <c r="F77415"/>
    </row>
    <row r="77416" spans="1:6" x14ac:dyDescent="0.25">
      <c r="A77416"/>
      <c r="B77416"/>
      <c r="C77416"/>
      <c r="E77416"/>
      <c r="F77416"/>
    </row>
    <row r="77417" spans="1:6" x14ac:dyDescent="0.25">
      <c r="A77417"/>
      <c r="B77417"/>
      <c r="C77417"/>
      <c r="E77417"/>
      <c r="F77417"/>
    </row>
    <row r="77418" spans="1:6" x14ac:dyDescent="0.25">
      <c r="A77418"/>
      <c r="B77418"/>
      <c r="C77418"/>
      <c r="E77418"/>
      <c r="F77418"/>
    </row>
    <row r="77419" spans="1:6" x14ac:dyDescent="0.25">
      <c r="A77419"/>
      <c r="B77419"/>
      <c r="C77419"/>
      <c r="E77419"/>
      <c r="F77419"/>
    </row>
    <row r="77420" spans="1:6" x14ac:dyDescent="0.25">
      <c r="A77420"/>
      <c r="B77420"/>
      <c r="C77420"/>
      <c r="E77420"/>
      <c r="F77420"/>
    </row>
    <row r="77421" spans="1:6" x14ac:dyDescent="0.25">
      <c r="A77421"/>
      <c r="B77421"/>
      <c r="C77421"/>
      <c r="E77421"/>
      <c r="F77421"/>
    </row>
    <row r="77422" spans="1:6" x14ac:dyDescent="0.25">
      <c r="A77422"/>
      <c r="B77422"/>
      <c r="C77422"/>
      <c r="E77422"/>
      <c r="F77422"/>
    </row>
    <row r="77423" spans="1:6" x14ac:dyDescent="0.25">
      <c r="A77423"/>
      <c r="B77423"/>
      <c r="C77423"/>
      <c r="E77423"/>
      <c r="F77423"/>
    </row>
    <row r="77424" spans="1:6" x14ac:dyDescent="0.25">
      <c r="A77424"/>
      <c r="B77424"/>
      <c r="C77424"/>
      <c r="E77424"/>
      <c r="F77424"/>
    </row>
    <row r="77425" spans="1:6" x14ac:dyDescent="0.25">
      <c r="A77425"/>
      <c r="B77425"/>
      <c r="C77425"/>
      <c r="E77425"/>
      <c r="F77425"/>
    </row>
    <row r="77426" spans="1:6" x14ac:dyDescent="0.25">
      <c r="A77426"/>
      <c r="B77426"/>
      <c r="C77426"/>
      <c r="E77426"/>
      <c r="F77426"/>
    </row>
    <row r="77427" spans="1:6" x14ac:dyDescent="0.25">
      <c r="A77427"/>
      <c r="B77427"/>
      <c r="C77427"/>
      <c r="E77427"/>
      <c r="F77427"/>
    </row>
    <row r="77428" spans="1:6" x14ac:dyDescent="0.25">
      <c r="A77428"/>
      <c r="B77428"/>
      <c r="C77428"/>
      <c r="E77428"/>
      <c r="F77428"/>
    </row>
    <row r="77429" spans="1:6" x14ac:dyDescent="0.25">
      <c r="A77429"/>
      <c r="B77429"/>
      <c r="C77429"/>
      <c r="E77429"/>
      <c r="F77429"/>
    </row>
    <row r="77430" spans="1:6" x14ac:dyDescent="0.25">
      <c r="A77430"/>
      <c r="B77430"/>
      <c r="C77430"/>
      <c r="E77430"/>
      <c r="F77430"/>
    </row>
    <row r="77431" spans="1:6" x14ac:dyDescent="0.25">
      <c r="A77431"/>
      <c r="B77431"/>
      <c r="C77431"/>
      <c r="E77431"/>
      <c r="F77431"/>
    </row>
    <row r="77432" spans="1:6" x14ac:dyDescent="0.25">
      <c r="A77432"/>
      <c r="B77432"/>
      <c r="C77432"/>
      <c r="E77432"/>
      <c r="F77432"/>
    </row>
    <row r="77433" spans="1:6" x14ac:dyDescent="0.25">
      <c r="A77433"/>
      <c r="B77433"/>
      <c r="C77433"/>
      <c r="E77433"/>
      <c r="F77433"/>
    </row>
    <row r="77434" spans="1:6" x14ac:dyDescent="0.25">
      <c r="A77434"/>
      <c r="B77434"/>
      <c r="C77434"/>
      <c r="E77434"/>
      <c r="F77434"/>
    </row>
    <row r="77435" spans="1:6" x14ac:dyDescent="0.25">
      <c r="A77435"/>
      <c r="B77435"/>
      <c r="C77435"/>
      <c r="E77435"/>
      <c r="F77435"/>
    </row>
    <row r="77436" spans="1:6" x14ac:dyDescent="0.25">
      <c r="A77436"/>
      <c r="B77436"/>
      <c r="C77436"/>
      <c r="E77436"/>
      <c r="F77436"/>
    </row>
    <row r="77437" spans="1:6" x14ac:dyDescent="0.25">
      <c r="A77437"/>
      <c r="B77437"/>
      <c r="C77437"/>
      <c r="E77437"/>
      <c r="F77437"/>
    </row>
    <row r="77438" spans="1:6" x14ac:dyDescent="0.25">
      <c r="A77438"/>
      <c r="B77438"/>
      <c r="C77438"/>
      <c r="E77438"/>
      <c r="F77438"/>
    </row>
    <row r="77439" spans="1:6" x14ac:dyDescent="0.25">
      <c r="A77439"/>
      <c r="B77439"/>
      <c r="C77439"/>
      <c r="E77439"/>
      <c r="F77439"/>
    </row>
    <row r="77440" spans="1:6" x14ac:dyDescent="0.25">
      <c r="A77440"/>
      <c r="B77440"/>
      <c r="C77440"/>
      <c r="E77440"/>
      <c r="F77440"/>
    </row>
    <row r="77441" spans="1:6" x14ac:dyDescent="0.25">
      <c r="A77441"/>
      <c r="B77441"/>
      <c r="C77441"/>
      <c r="E77441"/>
      <c r="F77441"/>
    </row>
    <row r="77442" spans="1:6" x14ac:dyDescent="0.25">
      <c r="A77442"/>
      <c r="B77442"/>
      <c r="C77442"/>
      <c r="E77442"/>
      <c r="F77442"/>
    </row>
    <row r="77443" spans="1:6" x14ac:dyDescent="0.25">
      <c r="A77443"/>
      <c r="B77443"/>
      <c r="C77443"/>
      <c r="E77443"/>
      <c r="F77443"/>
    </row>
    <row r="77444" spans="1:6" x14ac:dyDescent="0.25">
      <c r="A77444"/>
      <c r="B77444"/>
      <c r="C77444"/>
      <c r="E77444"/>
      <c r="F77444"/>
    </row>
    <row r="77445" spans="1:6" x14ac:dyDescent="0.25">
      <c r="A77445"/>
      <c r="B77445"/>
      <c r="C77445"/>
      <c r="E77445"/>
      <c r="F77445"/>
    </row>
    <row r="77446" spans="1:6" x14ac:dyDescent="0.25">
      <c r="A77446"/>
      <c r="B77446"/>
      <c r="C77446"/>
      <c r="E77446"/>
      <c r="F77446"/>
    </row>
    <row r="77447" spans="1:6" x14ac:dyDescent="0.25">
      <c r="A77447"/>
      <c r="B77447"/>
      <c r="C77447"/>
      <c r="E77447"/>
      <c r="F77447"/>
    </row>
    <row r="77448" spans="1:6" x14ac:dyDescent="0.25">
      <c r="A77448"/>
      <c r="B77448"/>
      <c r="C77448"/>
      <c r="E77448"/>
      <c r="F77448"/>
    </row>
    <row r="77449" spans="1:6" x14ac:dyDescent="0.25">
      <c r="A77449"/>
      <c r="B77449"/>
      <c r="C77449"/>
      <c r="E77449"/>
      <c r="F77449"/>
    </row>
    <row r="77450" spans="1:6" x14ac:dyDescent="0.25">
      <c r="A77450"/>
      <c r="B77450"/>
      <c r="C77450"/>
      <c r="E77450"/>
      <c r="F77450"/>
    </row>
    <row r="77451" spans="1:6" x14ac:dyDescent="0.25">
      <c r="A77451"/>
      <c r="B77451"/>
      <c r="C77451"/>
      <c r="E77451"/>
      <c r="F77451"/>
    </row>
    <row r="77452" spans="1:6" x14ac:dyDescent="0.25">
      <c r="A77452"/>
      <c r="B77452"/>
      <c r="C77452"/>
      <c r="E77452"/>
      <c r="F77452"/>
    </row>
    <row r="77453" spans="1:6" x14ac:dyDescent="0.25">
      <c r="A77453"/>
      <c r="B77453"/>
      <c r="C77453"/>
      <c r="E77453"/>
      <c r="F77453"/>
    </row>
    <row r="77454" spans="1:6" x14ac:dyDescent="0.25">
      <c r="A77454"/>
      <c r="B77454"/>
      <c r="C77454"/>
      <c r="E77454"/>
      <c r="F77454"/>
    </row>
    <row r="77455" spans="1:6" x14ac:dyDescent="0.25">
      <c r="A77455"/>
      <c r="B77455"/>
      <c r="C77455"/>
      <c r="E77455"/>
      <c r="F77455"/>
    </row>
    <row r="77456" spans="1:6" x14ac:dyDescent="0.25">
      <c r="A77456"/>
      <c r="B77456"/>
      <c r="C77456"/>
      <c r="E77456"/>
      <c r="F77456"/>
    </row>
    <row r="77457" spans="1:6" x14ac:dyDescent="0.25">
      <c r="A77457"/>
      <c r="B77457"/>
      <c r="C77457"/>
      <c r="E77457"/>
      <c r="F77457"/>
    </row>
    <row r="77458" spans="1:6" x14ac:dyDescent="0.25">
      <c r="A77458"/>
      <c r="B77458"/>
      <c r="C77458"/>
      <c r="E77458"/>
      <c r="F77458"/>
    </row>
    <row r="77459" spans="1:6" x14ac:dyDescent="0.25">
      <c r="A77459"/>
      <c r="B77459"/>
      <c r="C77459"/>
      <c r="E77459"/>
      <c r="F77459"/>
    </row>
    <row r="77460" spans="1:6" x14ac:dyDescent="0.25">
      <c r="A77460"/>
      <c r="B77460"/>
      <c r="C77460"/>
      <c r="E77460"/>
      <c r="F77460"/>
    </row>
    <row r="77461" spans="1:6" x14ac:dyDescent="0.25">
      <c r="A77461"/>
      <c r="B77461"/>
      <c r="C77461"/>
      <c r="E77461"/>
      <c r="F77461"/>
    </row>
    <row r="77462" spans="1:6" x14ac:dyDescent="0.25">
      <c r="A77462"/>
      <c r="B77462"/>
      <c r="C77462"/>
      <c r="E77462"/>
      <c r="F77462"/>
    </row>
    <row r="77463" spans="1:6" x14ac:dyDescent="0.25">
      <c r="A77463"/>
      <c r="B77463"/>
      <c r="C77463"/>
      <c r="E77463"/>
      <c r="F77463"/>
    </row>
    <row r="77464" spans="1:6" x14ac:dyDescent="0.25">
      <c r="A77464"/>
      <c r="B77464"/>
      <c r="C77464"/>
      <c r="E77464"/>
      <c r="F77464"/>
    </row>
    <row r="77465" spans="1:6" x14ac:dyDescent="0.25">
      <c r="A77465"/>
      <c r="B77465"/>
      <c r="C77465"/>
      <c r="E77465"/>
      <c r="F77465"/>
    </row>
    <row r="77466" spans="1:6" x14ac:dyDescent="0.25">
      <c r="A77466"/>
      <c r="B77466"/>
      <c r="C77466"/>
      <c r="E77466"/>
      <c r="F77466"/>
    </row>
    <row r="77467" spans="1:6" x14ac:dyDescent="0.25">
      <c r="A77467"/>
      <c r="B77467"/>
      <c r="C77467"/>
      <c r="E77467"/>
      <c r="F77467"/>
    </row>
    <row r="77468" spans="1:6" x14ac:dyDescent="0.25">
      <c r="A77468"/>
      <c r="B77468"/>
      <c r="C77468"/>
      <c r="E77468"/>
      <c r="F77468"/>
    </row>
    <row r="77469" spans="1:6" x14ac:dyDescent="0.25">
      <c r="A77469"/>
      <c r="B77469"/>
      <c r="C77469"/>
      <c r="E77469"/>
      <c r="F77469"/>
    </row>
    <row r="77470" spans="1:6" x14ac:dyDescent="0.25">
      <c r="A77470"/>
      <c r="B77470"/>
      <c r="C77470"/>
      <c r="E77470"/>
      <c r="F77470"/>
    </row>
    <row r="77471" spans="1:6" x14ac:dyDescent="0.25">
      <c r="A77471"/>
      <c r="B77471"/>
      <c r="C77471"/>
      <c r="E77471"/>
      <c r="F77471"/>
    </row>
    <row r="77472" spans="1:6" x14ac:dyDescent="0.25">
      <c r="A77472"/>
      <c r="B77472"/>
      <c r="C77472"/>
      <c r="E77472"/>
      <c r="F77472"/>
    </row>
    <row r="77473" spans="1:6" x14ac:dyDescent="0.25">
      <c r="A77473"/>
      <c r="B77473"/>
      <c r="C77473"/>
      <c r="E77473"/>
      <c r="F77473"/>
    </row>
    <row r="77474" spans="1:6" x14ac:dyDescent="0.25">
      <c r="A77474"/>
      <c r="B77474"/>
      <c r="C77474"/>
      <c r="E77474"/>
      <c r="F77474"/>
    </row>
    <row r="77475" spans="1:6" x14ac:dyDescent="0.25">
      <c r="A77475"/>
      <c r="B77475"/>
      <c r="C77475"/>
      <c r="E77475"/>
      <c r="F77475"/>
    </row>
    <row r="77476" spans="1:6" x14ac:dyDescent="0.25">
      <c r="A77476"/>
      <c r="B77476"/>
      <c r="C77476"/>
      <c r="E77476"/>
      <c r="F77476"/>
    </row>
    <row r="77477" spans="1:6" x14ac:dyDescent="0.25">
      <c r="A77477"/>
      <c r="B77477"/>
      <c r="C77477"/>
      <c r="E77477"/>
      <c r="F77477"/>
    </row>
    <row r="77478" spans="1:6" x14ac:dyDescent="0.25">
      <c r="A77478"/>
      <c r="B77478"/>
      <c r="C77478"/>
      <c r="E77478"/>
      <c r="F77478"/>
    </row>
    <row r="77479" spans="1:6" x14ac:dyDescent="0.25">
      <c r="A77479"/>
      <c r="B77479"/>
      <c r="C77479"/>
      <c r="E77479"/>
      <c r="F77479"/>
    </row>
    <row r="77480" spans="1:6" x14ac:dyDescent="0.25">
      <c r="A77480"/>
      <c r="B77480"/>
      <c r="C77480"/>
      <c r="E77480"/>
      <c r="F77480"/>
    </row>
    <row r="77481" spans="1:6" x14ac:dyDescent="0.25">
      <c r="A77481"/>
      <c r="B77481"/>
      <c r="C77481"/>
      <c r="E77481"/>
      <c r="F77481"/>
    </row>
    <row r="77482" spans="1:6" x14ac:dyDescent="0.25">
      <c r="A77482"/>
      <c r="B77482"/>
      <c r="C77482"/>
      <c r="E77482"/>
      <c r="F77482"/>
    </row>
    <row r="77483" spans="1:6" x14ac:dyDescent="0.25">
      <c r="A77483"/>
      <c r="B77483"/>
      <c r="C77483"/>
      <c r="E77483"/>
      <c r="F77483"/>
    </row>
    <row r="77484" spans="1:6" x14ac:dyDescent="0.25">
      <c r="A77484"/>
      <c r="B77484"/>
      <c r="C77484"/>
      <c r="E77484"/>
      <c r="F77484"/>
    </row>
    <row r="77485" spans="1:6" x14ac:dyDescent="0.25">
      <c r="A77485"/>
      <c r="B77485"/>
      <c r="C77485"/>
      <c r="E77485"/>
      <c r="F77485"/>
    </row>
    <row r="77486" spans="1:6" x14ac:dyDescent="0.25">
      <c r="A77486"/>
      <c r="B77486"/>
      <c r="C77486"/>
      <c r="E77486"/>
      <c r="F77486"/>
    </row>
    <row r="77487" spans="1:6" x14ac:dyDescent="0.25">
      <c r="A77487"/>
      <c r="B77487"/>
      <c r="C77487"/>
      <c r="E77487"/>
      <c r="F77487"/>
    </row>
    <row r="77488" spans="1:6" x14ac:dyDescent="0.25">
      <c r="A77488"/>
      <c r="B77488"/>
      <c r="C77488"/>
      <c r="E77488"/>
      <c r="F77488"/>
    </row>
    <row r="77489" spans="1:6" x14ac:dyDescent="0.25">
      <c r="A77489"/>
      <c r="B77489"/>
      <c r="C77489"/>
      <c r="E77489"/>
      <c r="F77489"/>
    </row>
    <row r="77490" spans="1:6" x14ac:dyDescent="0.25">
      <c r="A77490"/>
      <c r="B77490"/>
      <c r="C77490"/>
      <c r="E77490"/>
      <c r="F77490"/>
    </row>
    <row r="77491" spans="1:6" x14ac:dyDescent="0.25">
      <c r="A77491"/>
      <c r="B77491"/>
      <c r="C77491"/>
      <c r="E77491"/>
      <c r="F77491"/>
    </row>
    <row r="77492" spans="1:6" x14ac:dyDescent="0.25">
      <c r="A77492"/>
      <c r="B77492"/>
      <c r="C77492"/>
      <c r="E77492"/>
      <c r="F77492"/>
    </row>
    <row r="77493" spans="1:6" x14ac:dyDescent="0.25">
      <c r="A77493"/>
      <c r="B77493"/>
      <c r="C77493"/>
      <c r="E77493"/>
      <c r="F77493"/>
    </row>
    <row r="77494" spans="1:6" x14ac:dyDescent="0.25">
      <c r="A77494"/>
      <c r="B77494"/>
      <c r="C77494"/>
      <c r="E77494"/>
      <c r="F77494"/>
    </row>
    <row r="77495" spans="1:6" x14ac:dyDescent="0.25">
      <c r="A77495"/>
      <c r="B77495"/>
      <c r="C77495"/>
      <c r="E77495"/>
      <c r="F77495"/>
    </row>
    <row r="77496" spans="1:6" x14ac:dyDescent="0.25">
      <c r="A77496"/>
      <c r="B77496"/>
      <c r="C77496"/>
      <c r="E77496"/>
      <c r="F77496"/>
    </row>
    <row r="77497" spans="1:6" x14ac:dyDescent="0.25">
      <c r="A77497"/>
      <c r="B77497"/>
      <c r="C77497"/>
      <c r="E77497"/>
      <c r="F77497"/>
    </row>
    <row r="77498" spans="1:6" x14ac:dyDescent="0.25">
      <c r="A77498"/>
      <c r="B77498"/>
      <c r="C77498"/>
      <c r="E77498"/>
      <c r="F77498"/>
    </row>
    <row r="77499" spans="1:6" x14ac:dyDescent="0.25">
      <c r="A77499"/>
      <c r="B77499"/>
      <c r="C77499"/>
      <c r="E77499"/>
      <c r="F77499"/>
    </row>
    <row r="77500" spans="1:6" x14ac:dyDescent="0.25">
      <c r="A77500"/>
      <c r="B77500"/>
      <c r="C77500"/>
      <c r="E77500"/>
      <c r="F77500"/>
    </row>
    <row r="77501" spans="1:6" x14ac:dyDescent="0.25">
      <c r="A77501"/>
      <c r="B77501"/>
      <c r="C77501"/>
      <c r="E77501"/>
      <c r="F77501"/>
    </row>
    <row r="77502" spans="1:6" x14ac:dyDescent="0.25">
      <c r="A77502"/>
      <c r="B77502"/>
      <c r="C77502"/>
      <c r="E77502"/>
      <c r="F77502"/>
    </row>
    <row r="77503" spans="1:6" x14ac:dyDescent="0.25">
      <c r="A77503"/>
      <c r="B77503"/>
      <c r="C77503"/>
      <c r="E77503"/>
      <c r="F77503"/>
    </row>
    <row r="77504" spans="1:6" x14ac:dyDescent="0.25">
      <c r="A77504"/>
      <c r="B77504"/>
      <c r="C77504"/>
      <c r="E77504"/>
      <c r="F77504"/>
    </row>
    <row r="77505" spans="1:6" x14ac:dyDescent="0.25">
      <c r="A77505"/>
      <c r="B77505"/>
      <c r="C77505"/>
      <c r="E77505"/>
      <c r="F77505"/>
    </row>
    <row r="77506" spans="1:6" x14ac:dyDescent="0.25">
      <c r="A77506"/>
      <c r="B77506"/>
      <c r="C77506"/>
      <c r="E77506"/>
      <c r="F77506"/>
    </row>
    <row r="77507" spans="1:6" x14ac:dyDescent="0.25">
      <c r="A77507"/>
      <c r="B77507"/>
      <c r="C77507"/>
      <c r="E77507"/>
      <c r="F77507"/>
    </row>
    <row r="77508" spans="1:6" x14ac:dyDescent="0.25">
      <c r="A77508"/>
      <c r="B77508"/>
      <c r="C77508"/>
      <c r="E77508"/>
      <c r="F77508"/>
    </row>
    <row r="77509" spans="1:6" x14ac:dyDescent="0.25">
      <c r="A77509"/>
      <c r="B77509"/>
      <c r="C77509"/>
      <c r="E77509"/>
      <c r="F77509"/>
    </row>
    <row r="77510" spans="1:6" x14ac:dyDescent="0.25">
      <c r="A77510"/>
      <c r="B77510"/>
      <c r="C77510"/>
      <c r="E77510"/>
      <c r="F77510"/>
    </row>
    <row r="77511" spans="1:6" x14ac:dyDescent="0.25">
      <c r="A77511"/>
      <c r="B77511"/>
      <c r="C77511"/>
      <c r="E77511"/>
      <c r="F77511"/>
    </row>
    <row r="77512" spans="1:6" x14ac:dyDescent="0.25">
      <c r="A77512"/>
      <c r="B77512"/>
      <c r="C77512"/>
      <c r="E77512"/>
      <c r="F77512"/>
    </row>
    <row r="77513" spans="1:6" x14ac:dyDescent="0.25">
      <c r="A77513"/>
      <c r="B77513"/>
      <c r="C77513"/>
      <c r="E77513"/>
      <c r="F77513"/>
    </row>
    <row r="77514" spans="1:6" x14ac:dyDescent="0.25">
      <c r="A77514"/>
      <c r="B77514"/>
      <c r="C77514"/>
      <c r="E77514"/>
      <c r="F77514"/>
    </row>
    <row r="77515" spans="1:6" x14ac:dyDescent="0.25">
      <c r="A77515"/>
      <c r="B77515"/>
      <c r="C77515"/>
      <c r="E77515"/>
      <c r="F77515"/>
    </row>
    <row r="77516" spans="1:6" x14ac:dyDescent="0.25">
      <c r="A77516"/>
      <c r="B77516"/>
      <c r="C77516"/>
      <c r="E77516"/>
      <c r="F77516"/>
    </row>
    <row r="77517" spans="1:6" x14ac:dyDescent="0.25">
      <c r="A77517"/>
      <c r="B77517"/>
      <c r="C77517"/>
      <c r="E77517"/>
      <c r="F77517"/>
    </row>
    <row r="77518" spans="1:6" x14ac:dyDescent="0.25">
      <c r="A77518"/>
      <c r="B77518"/>
      <c r="C77518"/>
      <c r="E77518"/>
      <c r="F77518"/>
    </row>
    <row r="77519" spans="1:6" x14ac:dyDescent="0.25">
      <c r="A77519"/>
      <c r="B77519"/>
      <c r="C77519"/>
      <c r="E77519"/>
      <c r="F77519"/>
    </row>
    <row r="77520" spans="1:6" x14ac:dyDescent="0.25">
      <c r="A77520"/>
      <c r="B77520"/>
      <c r="C77520"/>
      <c r="E77520"/>
      <c r="F77520"/>
    </row>
    <row r="77521" spans="1:6" x14ac:dyDescent="0.25">
      <c r="A77521"/>
      <c r="B77521"/>
      <c r="C77521"/>
      <c r="E77521"/>
      <c r="F77521"/>
    </row>
    <row r="77522" spans="1:6" x14ac:dyDescent="0.25">
      <c r="A77522"/>
      <c r="B77522"/>
      <c r="C77522"/>
      <c r="E77522"/>
      <c r="F77522"/>
    </row>
    <row r="77523" spans="1:6" x14ac:dyDescent="0.25">
      <c r="A77523"/>
      <c r="B77523"/>
      <c r="C77523"/>
      <c r="E77523"/>
      <c r="F77523"/>
    </row>
    <row r="77524" spans="1:6" x14ac:dyDescent="0.25">
      <c r="A77524"/>
      <c r="B77524"/>
      <c r="C77524"/>
      <c r="E77524"/>
      <c r="F77524"/>
    </row>
    <row r="77525" spans="1:6" x14ac:dyDescent="0.25">
      <c r="A77525"/>
      <c r="B77525"/>
      <c r="C77525"/>
      <c r="E77525"/>
      <c r="F77525"/>
    </row>
    <row r="77526" spans="1:6" x14ac:dyDescent="0.25">
      <c r="A77526"/>
      <c r="B77526"/>
      <c r="C77526"/>
      <c r="E77526"/>
      <c r="F77526"/>
    </row>
    <row r="77527" spans="1:6" x14ac:dyDescent="0.25">
      <c r="A77527"/>
      <c r="B77527"/>
      <c r="C77527"/>
      <c r="E77527"/>
      <c r="F77527"/>
    </row>
    <row r="77528" spans="1:6" x14ac:dyDescent="0.25">
      <c r="A77528"/>
      <c r="B77528"/>
      <c r="C77528"/>
      <c r="E77528"/>
      <c r="F77528"/>
    </row>
    <row r="77529" spans="1:6" x14ac:dyDescent="0.25">
      <c r="A77529"/>
      <c r="B77529"/>
      <c r="C77529"/>
      <c r="E77529"/>
      <c r="F77529"/>
    </row>
    <row r="77530" spans="1:6" x14ac:dyDescent="0.25">
      <c r="A77530"/>
      <c r="B77530"/>
      <c r="C77530"/>
      <c r="E77530"/>
      <c r="F77530"/>
    </row>
    <row r="77531" spans="1:6" x14ac:dyDescent="0.25">
      <c r="A77531"/>
      <c r="B77531"/>
      <c r="C77531"/>
      <c r="E77531"/>
      <c r="F77531"/>
    </row>
    <row r="77532" spans="1:6" x14ac:dyDescent="0.25">
      <c r="A77532"/>
      <c r="B77532"/>
      <c r="C77532"/>
      <c r="E77532"/>
      <c r="F77532"/>
    </row>
    <row r="77533" spans="1:6" x14ac:dyDescent="0.25">
      <c r="A77533"/>
      <c r="B77533"/>
      <c r="C77533"/>
      <c r="E77533"/>
      <c r="F77533"/>
    </row>
    <row r="77534" spans="1:6" x14ac:dyDescent="0.25">
      <c r="A77534"/>
      <c r="B77534"/>
      <c r="C77534"/>
      <c r="E77534"/>
      <c r="F77534"/>
    </row>
    <row r="77535" spans="1:6" x14ac:dyDescent="0.25">
      <c r="A77535"/>
      <c r="B77535"/>
      <c r="C77535"/>
      <c r="E77535"/>
      <c r="F77535"/>
    </row>
    <row r="77536" spans="1:6" x14ac:dyDescent="0.25">
      <c r="A77536"/>
      <c r="B77536"/>
      <c r="C77536"/>
      <c r="E77536"/>
      <c r="F77536"/>
    </row>
    <row r="77537" spans="1:6" x14ac:dyDescent="0.25">
      <c r="A77537"/>
      <c r="B77537"/>
      <c r="C77537"/>
      <c r="E77537"/>
      <c r="F77537"/>
    </row>
    <row r="77538" spans="1:6" x14ac:dyDescent="0.25">
      <c r="A77538"/>
      <c r="B77538"/>
      <c r="C77538"/>
      <c r="E77538"/>
      <c r="F77538"/>
    </row>
    <row r="77539" spans="1:6" x14ac:dyDescent="0.25">
      <c r="A77539"/>
      <c r="B77539"/>
      <c r="C77539"/>
      <c r="E77539"/>
      <c r="F77539"/>
    </row>
    <row r="77540" spans="1:6" x14ac:dyDescent="0.25">
      <c r="A77540"/>
      <c r="B77540"/>
      <c r="C77540"/>
      <c r="E77540"/>
      <c r="F77540"/>
    </row>
    <row r="77541" spans="1:6" x14ac:dyDescent="0.25">
      <c r="A77541"/>
      <c r="B77541"/>
      <c r="C77541"/>
      <c r="E77541"/>
      <c r="F77541"/>
    </row>
    <row r="77542" spans="1:6" x14ac:dyDescent="0.25">
      <c r="A77542"/>
      <c r="B77542"/>
      <c r="C77542"/>
      <c r="E77542"/>
      <c r="F77542"/>
    </row>
    <row r="77543" spans="1:6" x14ac:dyDescent="0.25">
      <c r="A77543"/>
      <c r="B77543"/>
      <c r="C77543"/>
      <c r="E77543"/>
      <c r="F77543"/>
    </row>
    <row r="77544" spans="1:6" x14ac:dyDescent="0.25">
      <c r="A77544"/>
      <c r="B77544"/>
      <c r="C77544"/>
      <c r="E77544"/>
      <c r="F77544"/>
    </row>
    <row r="77545" spans="1:6" x14ac:dyDescent="0.25">
      <c r="A77545"/>
      <c r="B77545"/>
      <c r="C77545"/>
      <c r="E77545"/>
      <c r="F77545"/>
    </row>
    <row r="77546" spans="1:6" x14ac:dyDescent="0.25">
      <c r="A77546"/>
      <c r="B77546"/>
      <c r="C77546"/>
      <c r="E77546"/>
      <c r="F77546"/>
    </row>
    <row r="77547" spans="1:6" x14ac:dyDescent="0.25">
      <c r="A77547"/>
      <c r="B77547"/>
      <c r="C77547"/>
      <c r="E77547"/>
      <c r="F77547"/>
    </row>
    <row r="77548" spans="1:6" x14ac:dyDescent="0.25">
      <c r="A77548"/>
      <c r="B77548"/>
      <c r="C77548"/>
      <c r="E77548"/>
      <c r="F77548"/>
    </row>
    <row r="77549" spans="1:6" x14ac:dyDescent="0.25">
      <c r="A77549"/>
      <c r="B77549"/>
      <c r="C77549"/>
      <c r="E77549"/>
      <c r="F77549"/>
    </row>
    <row r="77550" spans="1:6" x14ac:dyDescent="0.25">
      <c r="A77550"/>
      <c r="B77550"/>
      <c r="C77550"/>
      <c r="E77550"/>
      <c r="F77550"/>
    </row>
    <row r="77551" spans="1:6" x14ac:dyDescent="0.25">
      <c r="A77551"/>
      <c r="B77551"/>
      <c r="C77551"/>
      <c r="E77551"/>
      <c r="F77551"/>
    </row>
    <row r="77552" spans="1:6" x14ac:dyDescent="0.25">
      <c r="A77552"/>
      <c r="B77552"/>
      <c r="C77552"/>
      <c r="E77552"/>
      <c r="F77552"/>
    </row>
    <row r="77553" spans="1:6" x14ac:dyDescent="0.25">
      <c r="A77553"/>
      <c r="B77553"/>
      <c r="C77553"/>
      <c r="E77553"/>
      <c r="F77553"/>
    </row>
    <row r="77554" spans="1:6" x14ac:dyDescent="0.25">
      <c r="A77554"/>
      <c r="B77554"/>
      <c r="C77554"/>
      <c r="E77554"/>
      <c r="F77554"/>
    </row>
    <row r="77555" spans="1:6" x14ac:dyDescent="0.25">
      <c r="A77555"/>
      <c r="B77555"/>
      <c r="C77555"/>
      <c r="E77555"/>
      <c r="F77555"/>
    </row>
    <row r="77556" spans="1:6" x14ac:dyDescent="0.25">
      <c r="A77556"/>
      <c r="B77556"/>
      <c r="C77556"/>
      <c r="E77556"/>
      <c r="F77556"/>
    </row>
    <row r="77557" spans="1:6" x14ac:dyDescent="0.25">
      <c r="A77557"/>
      <c r="B77557"/>
      <c r="C77557"/>
      <c r="E77557"/>
      <c r="F77557"/>
    </row>
    <row r="77558" spans="1:6" x14ac:dyDescent="0.25">
      <c r="A77558"/>
      <c r="B77558"/>
      <c r="C77558"/>
      <c r="E77558"/>
      <c r="F77558"/>
    </row>
    <row r="77559" spans="1:6" x14ac:dyDescent="0.25">
      <c r="A77559"/>
      <c r="B77559"/>
      <c r="C77559"/>
      <c r="E77559"/>
      <c r="F77559"/>
    </row>
    <row r="77560" spans="1:6" x14ac:dyDescent="0.25">
      <c r="A77560"/>
      <c r="B77560"/>
      <c r="C77560"/>
      <c r="E77560"/>
      <c r="F77560"/>
    </row>
    <row r="77561" spans="1:6" x14ac:dyDescent="0.25">
      <c r="A77561"/>
      <c r="B77561"/>
      <c r="C77561"/>
      <c r="E77561"/>
      <c r="F77561"/>
    </row>
    <row r="77562" spans="1:6" x14ac:dyDescent="0.25">
      <c r="A77562"/>
      <c r="B77562"/>
      <c r="C77562"/>
      <c r="E77562"/>
      <c r="F77562"/>
    </row>
    <row r="77563" spans="1:6" x14ac:dyDescent="0.25">
      <c r="A77563"/>
      <c r="B77563"/>
      <c r="C77563"/>
      <c r="E77563"/>
      <c r="F77563"/>
    </row>
    <row r="77564" spans="1:6" x14ac:dyDescent="0.25">
      <c r="A77564"/>
      <c r="B77564"/>
      <c r="C77564"/>
      <c r="E77564"/>
      <c r="F77564"/>
    </row>
    <row r="77565" spans="1:6" x14ac:dyDescent="0.25">
      <c r="A77565"/>
      <c r="B77565"/>
      <c r="C77565"/>
      <c r="E77565"/>
      <c r="F77565"/>
    </row>
    <row r="77566" spans="1:6" x14ac:dyDescent="0.25">
      <c r="A77566"/>
      <c r="B77566"/>
      <c r="C77566"/>
      <c r="E77566"/>
      <c r="F77566"/>
    </row>
    <row r="77567" spans="1:6" x14ac:dyDescent="0.25">
      <c r="A77567"/>
      <c r="B77567"/>
      <c r="C77567"/>
      <c r="E77567"/>
      <c r="F77567"/>
    </row>
    <row r="77568" spans="1:6" x14ac:dyDescent="0.25">
      <c r="A77568"/>
      <c r="B77568"/>
      <c r="C77568"/>
      <c r="E77568"/>
      <c r="F77568"/>
    </row>
    <row r="77569" spans="1:6" x14ac:dyDescent="0.25">
      <c r="A77569"/>
      <c r="B77569"/>
      <c r="C77569"/>
      <c r="E77569"/>
      <c r="F77569"/>
    </row>
    <row r="77570" spans="1:6" x14ac:dyDescent="0.25">
      <c r="A77570"/>
      <c r="B77570"/>
      <c r="C77570"/>
      <c r="E77570"/>
      <c r="F77570"/>
    </row>
    <row r="77571" spans="1:6" x14ac:dyDescent="0.25">
      <c r="A77571"/>
      <c r="B77571"/>
      <c r="C77571"/>
      <c r="E77571"/>
      <c r="F77571"/>
    </row>
    <row r="77572" spans="1:6" x14ac:dyDescent="0.25">
      <c r="A77572"/>
      <c r="B77572"/>
      <c r="C77572"/>
      <c r="E77572"/>
      <c r="F77572"/>
    </row>
    <row r="77573" spans="1:6" x14ac:dyDescent="0.25">
      <c r="A77573"/>
      <c r="B77573"/>
      <c r="C77573"/>
      <c r="E77573"/>
      <c r="F77573"/>
    </row>
    <row r="77574" spans="1:6" x14ac:dyDescent="0.25">
      <c r="A77574"/>
      <c r="B77574"/>
      <c r="C77574"/>
      <c r="E77574"/>
      <c r="F77574"/>
    </row>
    <row r="77575" spans="1:6" x14ac:dyDescent="0.25">
      <c r="A77575"/>
      <c r="B77575"/>
      <c r="C77575"/>
      <c r="E77575"/>
      <c r="F77575"/>
    </row>
    <row r="77576" spans="1:6" x14ac:dyDescent="0.25">
      <c r="A77576"/>
      <c r="B77576"/>
      <c r="C77576"/>
      <c r="E77576"/>
      <c r="F77576"/>
    </row>
    <row r="77577" spans="1:6" x14ac:dyDescent="0.25">
      <c r="A77577"/>
      <c r="B77577"/>
      <c r="C77577"/>
      <c r="E77577"/>
      <c r="F77577"/>
    </row>
    <row r="77578" spans="1:6" x14ac:dyDescent="0.25">
      <c r="A77578"/>
      <c r="B77578"/>
      <c r="C77578"/>
      <c r="E77578"/>
      <c r="F77578"/>
    </row>
    <row r="77579" spans="1:6" x14ac:dyDescent="0.25">
      <c r="A77579"/>
      <c r="B77579"/>
      <c r="C77579"/>
      <c r="E77579"/>
      <c r="F77579"/>
    </row>
    <row r="77580" spans="1:6" x14ac:dyDescent="0.25">
      <c r="A77580"/>
      <c r="B77580"/>
      <c r="C77580"/>
      <c r="E77580"/>
      <c r="F77580"/>
    </row>
    <row r="77581" spans="1:6" x14ac:dyDescent="0.25">
      <c r="A77581"/>
      <c r="B77581"/>
      <c r="C77581"/>
      <c r="E77581"/>
      <c r="F77581"/>
    </row>
    <row r="77582" spans="1:6" x14ac:dyDescent="0.25">
      <c r="A77582"/>
      <c r="B77582"/>
      <c r="C77582"/>
      <c r="E77582"/>
      <c r="F77582"/>
    </row>
    <row r="77583" spans="1:6" x14ac:dyDescent="0.25">
      <c r="A77583"/>
      <c r="B77583"/>
      <c r="C77583"/>
      <c r="E77583"/>
      <c r="F77583"/>
    </row>
    <row r="77584" spans="1:6" x14ac:dyDescent="0.25">
      <c r="A77584"/>
      <c r="B77584"/>
      <c r="C77584"/>
      <c r="E77584"/>
      <c r="F77584"/>
    </row>
    <row r="77585" spans="1:6" x14ac:dyDescent="0.25">
      <c r="A77585"/>
      <c r="B77585"/>
      <c r="C77585"/>
      <c r="E77585"/>
      <c r="F77585"/>
    </row>
    <row r="77586" spans="1:6" x14ac:dyDescent="0.25">
      <c r="A77586"/>
      <c r="B77586"/>
      <c r="C77586"/>
      <c r="E77586"/>
      <c r="F77586"/>
    </row>
    <row r="77587" spans="1:6" x14ac:dyDescent="0.25">
      <c r="A77587"/>
      <c r="B77587"/>
      <c r="C77587"/>
      <c r="E77587"/>
      <c r="F77587"/>
    </row>
    <row r="77588" spans="1:6" x14ac:dyDescent="0.25">
      <c r="A77588"/>
      <c r="B77588"/>
      <c r="C77588"/>
      <c r="E77588"/>
      <c r="F77588"/>
    </row>
    <row r="77589" spans="1:6" x14ac:dyDescent="0.25">
      <c r="A77589"/>
      <c r="B77589"/>
      <c r="C77589"/>
      <c r="E77589"/>
      <c r="F77589"/>
    </row>
    <row r="77590" spans="1:6" x14ac:dyDescent="0.25">
      <c r="A77590"/>
      <c r="B77590"/>
      <c r="C77590"/>
      <c r="E77590"/>
      <c r="F77590"/>
    </row>
    <row r="77591" spans="1:6" x14ac:dyDescent="0.25">
      <c r="A77591"/>
      <c r="B77591"/>
      <c r="C77591"/>
      <c r="E77591"/>
      <c r="F77591"/>
    </row>
    <row r="77592" spans="1:6" x14ac:dyDescent="0.25">
      <c r="A77592"/>
      <c r="B77592"/>
      <c r="C77592"/>
      <c r="E77592"/>
      <c r="F77592"/>
    </row>
    <row r="77593" spans="1:6" x14ac:dyDescent="0.25">
      <c r="A77593"/>
      <c r="B77593"/>
      <c r="C77593"/>
      <c r="E77593"/>
      <c r="F77593"/>
    </row>
    <row r="77594" spans="1:6" x14ac:dyDescent="0.25">
      <c r="A77594"/>
      <c r="B77594"/>
      <c r="C77594"/>
      <c r="E77594"/>
      <c r="F77594"/>
    </row>
    <row r="77595" spans="1:6" x14ac:dyDescent="0.25">
      <c r="A77595"/>
      <c r="B77595"/>
      <c r="C77595"/>
      <c r="E77595"/>
      <c r="F77595"/>
    </row>
    <row r="77596" spans="1:6" x14ac:dyDescent="0.25">
      <c r="A77596"/>
      <c r="B77596"/>
      <c r="C77596"/>
      <c r="E77596"/>
      <c r="F77596"/>
    </row>
    <row r="77597" spans="1:6" x14ac:dyDescent="0.25">
      <c r="A77597"/>
      <c r="B77597"/>
      <c r="C77597"/>
      <c r="E77597"/>
      <c r="F77597"/>
    </row>
    <row r="77598" spans="1:6" x14ac:dyDescent="0.25">
      <c r="A77598"/>
      <c r="B77598"/>
      <c r="C77598"/>
      <c r="E77598"/>
      <c r="F77598"/>
    </row>
    <row r="77599" spans="1:6" x14ac:dyDescent="0.25">
      <c r="A77599"/>
      <c r="B77599"/>
      <c r="C77599"/>
      <c r="E77599"/>
      <c r="F77599"/>
    </row>
    <row r="77600" spans="1:6" x14ac:dyDescent="0.25">
      <c r="A77600"/>
      <c r="B77600"/>
      <c r="C77600"/>
      <c r="E77600"/>
      <c r="F77600"/>
    </row>
    <row r="77601" spans="1:6" x14ac:dyDescent="0.25">
      <c r="A77601"/>
      <c r="B77601"/>
      <c r="C77601"/>
      <c r="E77601"/>
      <c r="F77601"/>
    </row>
    <row r="77602" spans="1:6" x14ac:dyDescent="0.25">
      <c r="A77602"/>
      <c r="B77602"/>
      <c r="C77602"/>
      <c r="E77602"/>
      <c r="F77602"/>
    </row>
    <row r="77603" spans="1:6" x14ac:dyDescent="0.25">
      <c r="A77603"/>
      <c r="B77603"/>
      <c r="C77603"/>
      <c r="E77603"/>
      <c r="F77603"/>
    </row>
    <row r="77604" spans="1:6" x14ac:dyDescent="0.25">
      <c r="A77604"/>
      <c r="B77604"/>
      <c r="C77604"/>
      <c r="E77604"/>
      <c r="F77604"/>
    </row>
    <row r="77605" spans="1:6" x14ac:dyDescent="0.25">
      <c r="A77605"/>
      <c r="B77605"/>
      <c r="C77605"/>
      <c r="E77605"/>
      <c r="F77605"/>
    </row>
    <row r="77606" spans="1:6" x14ac:dyDescent="0.25">
      <c r="A77606"/>
      <c r="B77606"/>
      <c r="C77606"/>
      <c r="E77606"/>
      <c r="F77606"/>
    </row>
    <row r="77607" spans="1:6" x14ac:dyDescent="0.25">
      <c r="A77607"/>
      <c r="B77607"/>
      <c r="C77607"/>
      <c r="E77607"/>
      <c r="F77607"/>
    </row>
    <row r="77608" spans="1:6" x14ac:dyDescent="0.25">
      <c r="A77608"/>
      <c r="B77608"/>
      <c r="C77608"/>
      <c r="E77608"/>
      <c r="F77608"/>
    </row>
    <row r="77609" spans="1:6" x14ac:dyDescent="0.25">
      <c r="A77609"/>
      <c r="B77609"/>
      <c r="C77609"/>
      <c r="E77609"/>
      <c r="F77609"/>
    </row>
    <row r="77610" spans="1:6" x14ac:dyDescent="0.25">
      <c r="A77610"/>
      <c r="B77610"/>
      <c r="C77610"/>
      <c r="E77610"/>
      <c r="F77610"/>
    </row>
    <row r="77611" spans="1:6" x14ac:dyDescent="0.25">
      <c r="A77611"/>
      <c r="B77611"/>
      <c r="C77611"/>
      <c r="E77611"/>
      <c r="F77611"/>
    </row>
    <row r="77612" spans="1:6" x14ac:dyDescent="0.25">
      <c r="A77612"/>
      <c r="B77612"/>
      <c r="C77612"/>
      <c r="E77612"/>
      <c r="F77612"/>
    </row>
    <row r="77613" spans="1:6" x14ac:dyDescent="0.25">
      <c r="A77613"/>
      <c r="B77613"/>
      <c r="C77613"/>
      <c r="E77613"/>
      <c r="F77613"/>
    </row>
    <row r="77614" spans="1:6" x14ac:dyDescent="0.25">
      <c r="A77614"/>
      <c r="B77614"/>
      <c r="C77614"/>
      <c r="E77614"/>
      <c r="F77614"/>
    </row>
    <row r="77615" spans="1:6" x14ac:dyDescent="0.25">
      <c r="A77615"/>
      <c r="B77615"/>
      <c r="C77615"/>
      <c r="E77615"/>
      <c r="F77615"/>
    </row>
    <row r="77616" spans="1:6" x14ac:dyDescent="0.25">
      <c r="A77616"/>
      <c r="B77616"/>
      <c r="C77616"/>
      <c r="E77616"/>
      <c r="F77616"/>
    </row>
    <row r="77617" spans="1:6" x14ac:dyDescent="0.25">
      <c r="A77617"/>
      <c r="B77617"/>
      <c r="C77617"/>
      <c r="E77617"/>
      <c r="F77617"/>
    </row>
    <row r="77618" spans="1:6" x14ac:dyDescent="0.25">
      <c r="A77618"/>
      <c r="B77618"/>
      <c r="C77618"/>
      <c r="E77618"/>
      <c r="F77618"/>
    </row>
    <row r="77619" spans="1:6" x14ac:dyDescent="0.25">
      <c r="A77619"/>
      <c r="B77619"/>
      <c r="C77619"/>
      <c r="E77619"/>
      <c r="F77619"/>
    </row>
    <row r="77620" spans="1:6" x14ac:dyDescent="0.25">
      <c r="A77620"/>
      <c r="B77620"/>
      <c r="C77620"/>
      <c r="E77620"/>
      <c r="F77620"/>
    </row>
    <row r="77621" spans="1:6" x14ac:dyDescent="0.25">
      <c r="A77621"/>
      <c r="B77621"/>
      <c r="C77621"/>
      <c r="E77621"/>
      <c r="F77621"/>
    </row>
    <row r="77622" spans="1:6" x14ac:dyDescent="0.25">
      <c r="A77622"/>
      <c r="B77622"/>
      <c r="C77622"/>
      <c r="E77622"/>
      <c r="F77622"/>
    </row>
    <row r="77623" spans="1:6" x14ac:dyDescent="0.25">
      <c r="A77623"/>
      <c r="B77623"/>
      <c r="C77623"/>
      <c r="E77623"/>
      <c r="F77623"/>
    </row>
    <row r="77624" spans="1:6" x14ac:dyDescent="0.25">
      <c r="A77624"/>
      <c r="B77624"/>
      <c r="C77624"/>
      <c r="E77624"/>
      <c r="F77624"/>
    </row>
    <row r="77625" spans="1:6" x14ac:dyDescent="0.25">
      <c r="A77625"/>
      <c r="B77625"/>
      <c r="C77625"/>
      <c r="E77625"/>
      <c r="F77625"/>
    </row>
    <row r="77626" spans="1:6" x14ac:dyDescent="0.25">
      <c r="A77626"/>
      <c r="B77626"/>
      <c r="C77626"/>
      <c r="E77626"/>
      <c r="F77626"/>
    </row>
    <row r="77627" spans="1:6" x14ac:dyDescent="0.25">
      <c r="A77627"/>
      <c r="B77627"/>
      <c r="C77627"/>
      <c r="E77627"/>
      <c r="F77627"/>
    </row>
    <row r="77628" spans="1:6" x14ac:dyDescent="0.25">
      <c r="A77628"/>
      <c r="B77628"/>
      <c r="C77628"/>
      <c r="E77628"/>
      <c r="F77628"/>
    </row>
    <row r="77629" spans="1:6" x14ac:dyDescent="0.25">
      <c r="A77629"/>
      <c r="B77629"/>
      <c r="C77629"/>
      <c r="E77629"/>
      <c r="F77629"/>
    </row>
    <row r="77630" spans="1:6" x14ac:dyDescent="0.25">
      <c r="A77630"/>
      <c r="B77630"/>
      <c r="C77630"/>
      <c r="E77630"/>
      <c r="F77630"/>
    </row>
    <row r="77631" spans="1:6" x14ac:dyDescent="0.25">
      <c r="A77631"/>
      <c r="B77631"/>
      <c r="C77631"/>
      <c r="E77631"/>
      <c r="F77631"/>
    </row>
    <row r="77632" spans="1:6" x14ac:dyDescent="0.25">
      <c r="A77632"/>
      <c r="B77632"/>
      <c r="C77632"/>
      <c r="E77632"/>
      <c r="F77632"/>
    </row>
    <row r="77633" spans="1:6" x14ac:dyDescent="0.25">
      <c r="A77633"/>
      <c r="B77633"/>
      <c r="C77633"/>
      <c r="E77633"/>
      <c r="F77633"/>
    </row>
    <row r="77634" spans="1:6" x14ac:dyDescent="0.25">
      <c r="A77634"/>
      <c r="B77634"/>
      <c r="C77634"/>
      <c r="E77634"/>
      <c r="F77634"/>
    </row>
    <row r="77635" spans="1:6" x14ac:dyDescent="0.25">
      <c r="A77635"/>
      <c r="B77635"/>
      <c r="C77635"/>
      <c r="E77635"/>
      <c r="F77635"/>
    </row>
    <row r="77636" spans="1:6" x14ac:dyDescent="0.25">
      <c r="A77636"/>
      <c r="B77636"/>
      <c r="C77636"/>
      <c r="E77636"/>
      <c r="F77636"/>
    </row>
    <row r="77637" spans="1:6" x14ac:dyDescent="0.25">
      <c r="A77637"/>
      <c r="B77637"/>
      <c r="C77637"/>
      <c r="E77637"/>
      <c r="F77637"/>
    </row>
    <row r="77638" spans="1:6" x14ac:dyDescent="0.25">
      <c r="A77638"/>
      <c r="B77638"/>
      <c r="C77638"/>
      <c r="E77638"/>
      <c r="F77638"/>
    </row>
    <row r="77639" spans="1:6" x14ac:dyDescent="0.25">
      <c r="A77639"/>
      <c r="B77639"/>
      <c r="C77639"/>
      <c r="E77639"/>
      <c r="F77639"/>
    </row>
    <row r="77640" spans="1:6" x14ac:dyDescent="0.25">
      <c r="A77640"/>
      <c r="B77640"/>
      <c r="C77640"/>
      <c r="E77640"/>
      <c r="F77640"/>
    </row>
    <row r="77641" spans="1:6" x14ac:dyDescent="0.25">
      <c r="A77641"/>
      <c r="B77641"/>
      <c r="C77641"/>
      <c r="E77641"/>
      <c r="F77641"/>
    </row>
    <row r="77642" spans="1:6" x14ac:dyDescent="0.25">
      <c r="A77642"/>
      <c r="B77642"/>
      <c r="C77642"/>
      <c r="E77642"/>
      <c r="F77642"/>
    </row>
    <row r="77643" spans="1:6" x14ac:dyDescent="0.25">
      <c r="A77643"/>
      <c r="B77643"/>
      <c r="C77643"/>
      <c r="E77643"/>
      <c r="F77643"/>
    </row>
    <row r="77644" spans="1:6" x14ac:dyDescent="0.25">
      <c r="A77644"/>
      <c r="B77644"/>
      <c r="C77644"/>
      <c r="E77644"/>
      <c r="F77644"/>
    </row>
    <row r="77645" spans="1:6" x14ac:dyDescent="0.25">
      <c r="A77645"/>
      <c r="B77645"/>
      <c r="C77645"/>
      <c r="E77645"/>
      <c r="F77645"/>
    </row>
    <row r="77646" spans="1:6" x14ac:dyDescent="0.25">
      <c r="A77646"/>
      <c r="B77646"/>
      <c r="C77646"/>
      <c r="E77646"/>
      <c r="F77646"/>
    </row>
    <row r="77647" spans="1:6" x14ac:dyDescent="0.25">
      <c r="A77647"/>
      <c r="B77647"/>
      <c r="C77647"/>
      <c r="E77647"/>
      <c r="F77647"/>
    </row>
    <row r="77648" spans="1:6" x14ac:dyDescent="0.25">
      <c r="A77648"/>
      <c r="B77648"/>
      <c r="C77648"/>
      <c r="E77648"/>
      <c r="F77648"/>
    </row>
    <row r="77649" spans="1:6" x14ac:dyDescent="0.25">
      <c r="A77649"/>
      <c r="B77649"/>
      <c r="C77649"/>
      <c r="E77649"/>
      <c r="F77649"/>
    </row>
    <row r="77650" spans="1:6" x14ac:dyDescent="0.25">
      <c r="A77650"/>
      <c r="B77650"/>
      <c r="C77650"/>
      <c r="E77650"/>
      <c r="F77650"/>
    </row>
    <row r="77651" spans="1:6" x14ac:dyDescent="0.25">
      <c r="A77651"/>
      <c r="B77651"/>
      <c r="C77651"/>
      <c r="E77651"/>
      <c r="F77651"/>
    </row>
    <row r="77652" spans="1:6" x14ac:dyDescent="0.25">
      <c r="A77652"/>
      <c r="B77652"/>
      <c r="C77652"/>
      <c r="E77652"/>
      <c r="F77652"/>
    </row>
    <row r="77653" spans="1:6" x14ac:dyDescent="0.25">
      <c r="A77653"/>
      <c r="B77653"/>
      <c r="C77653"/>
      <c r="E77653"/>
      <c r="F77653"/>
    </row>
    <row r="77654" spans="1:6" x14ac:dyDescent="0.25">
      <c r="A77654"/>
      <c r="B77654"/>
      <c r="C77654"/>
      <c r="E77654"/>
      <c r="F77654"/>
    </row>
    <row r="77655" spans="1:6" x14ac:dyDescent="0.25">
      <c r="A77655"/>
      <c r="B77655"/>
      <c r="C77655"/>
      <c r="E77655"/>
      <c r="F77655"/>
    </row>
    <row r="77656" spans="1:6" x14ac:dyDescent="0.25">
      <c r="A77656"/>
      <c r="B77656"/>
      <c r="C77656"/>
      <c r="E77656"/>
      <c r="F77656"/>
    </row>
    <row r="77657" spans="1:6" x14ac:dyDescent="0.25">
      <c r="A77657"/>
      <c r="B77657"/>
      <c r="C77657"/>
      <c r="E77657"/>
      <c r="F77657"/>
    </row>
    <row r="77658" spans="1:6" x14ac:dyDescent="0.25">
      <c r="A77658"/>
      <c r="B77658"/>
      <c r="C77658"/>
      <c r="E77658"/>
      <c r="F77658"/>
    </row>
    <row r="77659" spans="1:6" x14ac:dyDescent="0.25">
      <c r="A77659"/>
      <c r="B77659"/>
      <c r="C77659"/>
      <c r="E77659"/>
      <c r="F77659"/>
    </row>
    <row r="77660" spans="1:6" x14ac:dyDescent="0.25">
      <c r="A77660"/>
      <c r="B77660"/>
      <c r="C77660"/>
      <c r="E77660"/>
      <c r="F77660"/>
    </row>
    <row r="77661" spans="1:6" x14ac:dyDescent="0.25">
      <c r="A77661"/>
      <c r="B77661"/>
      <c r="C77661"/>
      <c r="E77661"/>
      <c r="F77661"/>
    </row>
    <row r="77662" spans="1:6" x14ac:dyDescent="0.25">
      <c r="A77662"/>
      <c r="B77662"/>
      <c r="C77662"/>
      <c r="E77662"/>
      <c r="F77662"/>
    </row>
    <row r="77663" spans="1:6" x14ac:dyDescent="0.25">
      <c r="A77663"/>
      <c r="B77663"/>
      <c r="C77663"/>
      <c r="E77663"/>
      <c r="F77663"/>
    </row>
    <row r="77664" spans="1:6" x14ac:dyDescent="0.25">
      <c r="A77664"/>
      <c r="B77664"/>
      <c r="C77664"/>
      <c r="E77664"/>
      <c r="F77664"/>
    </row>
    <row r="77665" spans="1:6" x14ac:dyDescent="0.25">
      <c r="A77665"/>
      <c r="B77665"/>
      <c r="C77665"/>
      <c r="E77665"/>
      <c r="F77665"/>
    </row>
    <row r="77666" spans="1:6" x14ac:dyDescent="0.25">
      <c r="A77666"/>
      <c r="B77666"/>
      <c r="C77666"/>
      <c r="E77666"/>
      <c r="F77666"/>
    </row>
    <row r="77667" spans="1:6" x14ac:dyDescent="0.25">
      <c r="A77667"/>
      <c r="B77667"/>
      <c r="C77667"/>
      <c r="E77667"/>
      <c r="F77667"/>
    </row>
    <row r="77668" spans="1:6" x14ac:dyDescent="0.25">
      <c r="A77668"/>
      <c r="B77668"/>
      <c r="C77668"/>
      <c r="E77668"/>
      <c r="F77668"/>
    </row>
    <row r="77669" spans="1:6" x14ac:dyDescent="0.25">
      <c r="A77669"/>
      <c r="B77669"/>
      <c r="C77669"/>
      <c r="E77669"/>
      <c r="F77669"/>
    </row>
    <row r="77670" spans="1:6" x14ac:dyDescent="0.25">
      <c r="A77670"/>
      <c r="B77670"/>
      <c r="C77670"/>
      <c r="E77670"/>
      <c r="F77670"/>
    </row>
    <row r="77671" spans="1:6" x14ac:dyDescent="0.25">
      <c r="A77671"/>
      <c r="B77671"/>
      <c r="C77671"/>
      <c r="E77671"/>
      <c r="F77671"/>
    </row>
    <row r="77672" spans="1:6" x14ac:dyDescent="0.25">
      <c r="A77672"/>
      <c r="B77672"/>
      <c r="C77672"/>
      <c r="E77672"/>
      <c r="F77672"/>
    </row>
    <row r="77673" spans="1:6" x14ac:dyDescent="0.25">
      <c r="A77673"/>
      <c r="B77673"/>
      <c r="C77673"/>
      <c r="E77673"/>
      <c r="F77673"/>
    </row>
    <row r="77674" spans="1:6" x14ac:dyDescent="0.25">
      <c r="A77674"/>
      <c r="B77674"/>
      <c r="C77674"/>
      <c r="E77674"/>
      <c r="F77674"/>
    </row>
    <row r="77675" spans="1:6" x14ac:dyDescent="0.25">
      <c r="A77675"/>
      <c r="B77675"/>
      <c r="C77675"/>
      <c r="E77675"/>
      <c r="F77675"/>
    </row>
    <row r="77676" spans="1:6" x14ac:dyDescent="0.25">
      <c r="A77676"/>
      <c r="B77676"/>
      <c r="C77676"/>
      <c r="E77676"/>
      <c r="F77676"/>
    </row>
    <row r="77677" spans="1:6" x14ac:dyDescent="0.25">
      <c r="A77677"/>
      <c r="B77677"/>
      <c r="C77677"/>
      <c r="E77677"/>
      <c r="F77677"/>
    </row>
    <row r="77678" spans="1:6" x14ac:dyDescent="0.25">
      <c r="A77678"/>
      <c r="B77678"/>
      <c r="C77678"/>
      <c r="E77678"/>
      <c r="F77678"/>
    </row>
    <row r="77679" spans="1:6" x14ac:dyDescent="0.25">
      <c r="A77679"/>
      <c r="B77679"/>
      <c r="C77679"/>
      <c r="E77679"/>
      <c r="F77679"/>
    </row>
    <row r="77680" spans="1:6" x14ac:dyDescent="0.25">
      <c r="A77680"/>
      <c r="B77680"/>
      <c r="C77680"/>
      <c r="E77680"/>
      <c r="F77680"/>
    </row>
    <row r="77681" spans="1:6" x14ac:dyDescent="0.25">
      <c r="A77681"/>
      <c r="B77681"/>
      <c r="C77681"/>
      <c r="E77681"/>
      <c r="F77681"/>
    </row>
    <row r="77682" spans="1:6" x14ac:dyDescent="0.25">
      <c r="A77682"/>
      <c r="B77682"/>
      <c r="C77682"/>
      <c r="E77682"/>
      <c r="F77682"/>
    </row>
    <row r="77683" spans="1:6" x14ac:dyDescent="0.25">
      <c r="A77683"/>
      <c r="B77683"/>
      <c r="C77683"/>
      <c r="E77683"/>
      <c r="F77683"/>
    </row>
    <row r="77684" spans="1:6" x14ac:dyDescent="0.25">
      <c r="A77684"/>
      <c r="B77684"/>
      <c r="C77684"/>
      <c r="E77684"/>
      <c r="F77684"/>
    </row>
    <row r="77685" spans="1:6" x14ac:dyDescent="0.25">
      <c r="A77685"/>
      <c r="B77685"/>
      <c r="C77685"/>
      <c r="E77685"/>
      <c r="F77685"/>
    </row>
    <row r="77686" spans="1:6" x14ac:dyDescent="0.25">
      <c r="A77686"/>
      <c r="B77686"/>
      <c r="C77686"/>
      <c r="E77686"/>
      <c r="F77686"/>
    </row>
    <row r="77687" spans="1:6" x14ac:dyDescent="0.25">
      <c r="A77687"/>
      <c r="B77687"/>
      <c r="C77687"/>
      <c r="E77687"/>
      <c r="F77687"/>
    </row>
    <row r="77688" spans="1:6" x14ac:dyDescent="0.25">
      <c r="A77688"/>
      <c r="B77688"/>
      <c r="C77688"/>
      <c r="E77688"/>
      <c r="F77688"/>
    </row>
    <row r="77689" spans="1:6" x14ac:dyDescent="0.25">
      <c r="A77689"/>
      <c r="B77689"/>
      <c r="C77689"/>
      <c r="E77689"/>
      <c r="F77689"/>
    </row>
    <row r="77690" spans="1:6" x14ac:dyDescent="0.25">
      <c r="A77690"/>
      <c r="B77690"/>
      <c r="C77690"/>
      <c r="E77690"/>
      <c r="F77690"/>
    </row>
    <row r="77691" spans="1:6" x14ac:dyDescent="0.25">
      <c r="A77691"/>
      <c r="B77691"/>
      <c r="C77691"/>
      <c r="E77691"/>
      <c r="F77691"/>
    </row>
    <row r="77692" spans="1:6" x14ac:dyDescent="0.25">
      <c r="A77692"/>
      <c r="B77692"/>
      <c r="C77692"/>
      <c r="E77692"/>
      <c r="F77692"/>
    </row>
    <row r="77693" spans="1:6" x14ac:dyDescent="0.25">
      <c r="A77693"/>
      <c r="B77693"/>
      <c r="C77693"/>
      <c r="E77693"/>
      <c r="F77693"/>
    </row>
    <row r="77694" spans="1:6" x14ac:dyDescent="0.25">
      <c r="A77694"/>
      <c r="B77694"/>
      <c r="C77694"/>
      <c r="E77694"/>
      <c r="F77694"/>
    </row>
    <row r="77695" spans="1:6" x14ac:dyDescent="0.25">
      <c r="A77695"/>
      <c r="B77695"/>
      <c r="C77695"/>
      <c r="E77695"/>
      <c r="F77695"/>
    </row>
    <row r="77696" spans="1:6" x14ac:dyDescent="0.25">
      <c r="A77696"/>
      <c r="B77696"/>
      <c r="C77696"/>
      <c r="E77696"/>
      <c r="F77696"/>
    </row>
    <row r="77697" spans="1:6" x14ac:dyDescent="0.25">
      <c r="A77697"/>
      <c r="B77697"/>
      <c r="C77697"/>
      <c r="E77697"/>
      <c r="F77697"/>
    </row>
    <row r="77698" spans="1:6" x14ac:dyDescent="0.25">
      <c r="A77698"/>
      <c r="B77698"/>
      <c r="C77698"/>
      <c r="E77698"/>
      <c r="F77698"/>
    </row>
    <row r="77699" spans="1:6" x14ac:dyDescent="0.25">
      <c r="A77699"/>
      <c r="B77699"/>
      <c r="C77699"/>
      <c r="E77699"/>
      <c r="F77699"/>
    </row>
    <row r="77700" spans="1:6" x14ac:dyDescent="0.25">
      <c r="A77700"/>
      <c r="B77700"/>
      <c r="C77700"/>
      <c r="E77700"/>
      <c r="F77700"/>
    </row>
    <row r="77701" spans="1:6" x14ac:dyDescent="0.25">
      <c r="A77701"/>
      <c r="B77701"/>
      <c r="C77701"/>
      <c r="E77701"/>
      <c r="F77701"/>
    </row>
    <row r="77702" spans="1:6" x14ac:dyDescent="0.25">
      <c r="A77702"/>
      <c r="B77702"/>
      <c r="C77702"/>
      <c r="E77702"/>
      <c r="F77702"/>
    </row>
    <row r="77703" spans="1:6" x14ac:dyDescent="0.25">
      <c r="A77703"/>
      <c r="B77703"/>
      <c r="C77703"/>
      <c r="E77703"/>
      <c r="F77703"/>
    </row>
    <row r="77704" spans="1:6" x14ac:dyDescent="0.25">
      <c r="A77704"/>
      <c r="B77704"/>
      <c r="C77704"/>
      <c r="E77704"/>
      <c r="F77704"/>
    </row>
    <row r="77705" spans="1:6" x14ac:dyDescent="0.25">
      <c r="A77705"/>
      <c r="B77705"/>
      <c r="C77705"/>
      <c r="E77705"/>
      <c r="F77705"/>
    </row>
    <row r="77706" spans="1:6" x14ac:dyDescent="0.25">
      <c r="A77706"/>
      <c r="B77706"/>
      <c r="C77706"/>
      <c r="E77706"/>
      <c r="F77706"/>
    </row>
    <row r="77707" spans="1:6" x14ac:dyDescent="0.25">
      <c r="A77707"/>
      <c r="B77707"/>
      <c r="C77707"/>
      <c r="E77707"/>
      <c r="F77707"/>
    </row>
    <row r="77708" spans="1:6" x14ac:dyDescent="0.25">
      <c r="A77708"/>
      <c r="B77708"/>
      <c r="C77708"/>
      <c r="E77708"/>
      <c r="F77708"/>
    </row>
    <row r="77709" spans="1:6" x14ac:dyDescent="0.25">
      <c r="A77709"/>
      <c r="B77709"/>
      <c r="C77709"/>
      <c r="E77709"/>
      <c r="F77709"/>
    </row>
    <row r="77710" spans="1:6" x14ac:dyDescent="0.25">
      <c r="A77710"/>
      <c r="B77710"/>
      <c r="C77710"/>
      <c r="E77710"/>
      <c r="F77710"/>
    </row>
    <row r="77711" spans="1:6" x14ac:dyDescent="0.25">
      <c r="A77711"/>
      <c r="B77711"/>
      <c r="C77711"/>
      <c r="E77711"/>
      <c r="F77711"/>
    </row>
    <row r="77712" spans="1:6" x14ac:dyDescent="0.25">
      <c r="A77712"/>
      <c r="B77712"/>
      <c r="C77712"/>
      <c r="E77712"/>
      <c r="F77712"/>
    </row>
    <row r="77713" spans="1:6" x14ac:dyDescent="0.25">
      <c r="A77713"/>
      <c r="B77713"/>
      <c r="C77713"/>
      <c r="E77713"/>
      <c r="F77713"/>
    </row>
    <row r="77714" spans="1:6" x14ac:dyDescent="0.25">
      <c r="A77714"/>
      <c r="B77714"/>
      <c r="C77714"/>
      <c r="E77714"/>
      <c r="F77714"/>
    </row>
    <row r="77715" spans="1:6" x14ac:dyDescent="0.25">
      <c r="A77715"/>
      <c r="B77715"/>
      <c r="C77715"/>
      <c r="E77715"/>
      <c r="F77715"/>
    </row>
    <row r="77716" spans="1:6" x14ac:dyDescent="0.25">
      <c r="A77716"/>
      <c r="B77716"/>
      <c r="C77716"/>
      <c r="E77716"/>
      <c r="F77716"/>
    </row>
    <row r="77717" spans="1:6" x14ac:dyDescent="0.25">
      <c r="A77717"/>
      <c r="B77717"/>
      <c r="C77717"/>
      <c r="E77717"/>
      <c r="F77717"/>
    </row>
    <row r="77718" spans="1:6" x14ac:dyDescent="0.25">
      <c r="A77718"/>
      <c r="B77718"/>
      <c r="C77718"/>
      <c r="E77718"/>
      <c r="F77718"/>
    </row>
    <row r="77719" spans="1:6" x14ac:dyDescent="0.25">
      <c r="A77719"/>
      <c r="B77719"/>
      <c r="C77719"/>
      <c r="E77719"/>
      <c r="F77719"/>
    </row>
    <row r="77720" spans="1:6" x14ac:dyDescent="0.25">
      <c r="A77720"/>
      <c r="B77720"/>
      <c r="C77720"/>
      <c r="E77720"/>
      <c r="F77720"/>
    </row>
    <row r="77721" spans="1:6" x14ac:dyDescent="0.25">
      <c r="A77721"/>
      <c r="B77721"/>
      <c r="C77721"/>
      <c r="E77721"/>
      <c r="F77721"/>
    </row>
    <row r="77722" spans="1:6" x14ac:dyDescent="0.25">
      <c r="A77722"/>
      <c r="B77722"/>
      <c r="C77722"/>
      <c r="E77722"/>
      <c r="F77722"/>
    </row>
    <row r="77723" spans="1:6" x14ac:dyDescent="0.25">
      <c r="A77723"/>
      <c r="B77723"/>
      <c r="C77723"/>
      <c r="E77723"/>
      <c r="F77723"/>
    </row>
    <row r="77724" spans="1:6" x14ac:dyDescent="0.25">
      <c r="A77724"/>
      <c r="B77724"/>
      <c r="C77724"/>
      <c r="E77724"/>
      <c r="F77724"/>
    </row>
    <row r="77725" spans="1:6" x14ac:dyDescent="0.25">
      <c r="A77725"/>
      <c r="B77725"/>
      <c r="C77725"/>
      <c r="E77725"/>
      <c r="F77725"/>
    </row>
    <row r="77726" spans="1:6" x14ac:dyDescent="0.25">
      <c r="A77726"/>
      <c r="B77726"/>
      <c r="C77726"/>
      <c r="E77726"/>
      <c r="F77726"/>
    </row>
    <row r="77727" spans="1:6" x14ac:dyDescent="0.25">
      <c r="A77727"/>
      <c r="B77727"/>
      <c r="C77727"/>
      <c r="E77727"/>
      <c r="F77727"/>
    </row>
    <row r="77728" spans="1:6" x14ac:dyDescent="0.25">
      <c r="A77728"/>
      <c r="B77728"/>
      <c r="C77728"/>
      <c r="E77728"/>
      <c r="F77728"/>
    </row>
    <row r="77729" spans="1:6" x14ac:dyDescent="0.25">
      <c r="A77729"/>
      <c r="B77729"/>
      <c r="C77729"/>
      <c r="E77729"/>
      <c r="F77729"/>
    </row>
    <row r="77730" spans="1:6" x14ac:dyDescent="0.25">
      <c r="A77730"/>
      <c r="B77730"/>
      <c r="C77730"/>
      <c r="E77730"/>
      <c r="F77730"/>
    </row>
    <row r="77731" spans="1:6" x14ac:dyDescent="0.25">
      <c r="A77731"/>
      <c r="B77731"/>
      <c r="C77731"/>
      <c r="E77731"/>
      <c r="F77731"/>
    </row>
    <row r="77732" spans="1:6" x14ac:dyDescent="0.25">
      <c r="A77732"/>
      <c r="B77732"/>
      <c r="C77732"/>
      <c r="E77732"/>
      <c r="F77732"/>
    </row>
    <row r="77733" spans="1:6" x14ac:dyDescent="0.25">
      <c r="A77733"/>
      <c r="B77733"/>
      <c r="C77733"/>
      <c r="E77733"/>
      <c r="F77733"/>
    </row>
    <row r="77734" spans="1:6" x14ac:dyDescent="0.25">
      <c r="A77734"/>
      <c r="B77734"/>
      <c r="C77734"/>
      <c r="E77734"/>
      <c r="F77734"/>
    </row>
    <row r="77735" spans="1:6" x14ac:dyDescent="0.25">
      <c r="A77735"/>
      <c r="B77735"/>
      <c r="C77735"/>
      <c r="E77735"/>
      <c r="F77735"/>
    </row>
    <row r="77736" spans="1:6" x14ac:dyDescent="0.25">
      <c r="A77736"/>
      <c r="B77736"/>
      <c r="C77736"/>
      <c r="E77736"/>
      <c r="F77736"/>
    </row>
    <row r="77737" spans="1:6" x14ac:dyDescent="0.25">
      <c r="A77737"/>
      <c r="B77737"/>
      <c r="C77737"/>
      <c r="E77737"/>
      <c r="F77737"/>
    </row>
    <row r="77738" spans="1:6" x14ac:dyDescent="0.25">
      <c r="A77738"/>
      <c r="B77738"/>
      <c r="C77738"/>
      <c r="E77738"/>
      <c r="F77738"/>
    </row>
    <row r="77739" spans="1:6" x14ac:dyDescent="0.25">
      <c r="A77739"/>
      <c r="B77739"/>
      <c r="C77739"/>
      <c r="E77739"/>
      <c r="F77739"/>
    </row>
    <row r="77740" spans="1:6" x14ac:dyDescent="0.25">
      <c r="A77740"/>
      <c r="B77740"/>
      <c r="C77740"/>
      <c r="E77740"/>
      <c r="F77740"/>
    </row>
    <row r="77741" spans="1:6" x14ac:dyDescent="0.25">
      <c r="A77741"/>
      <c r="B77741"/>
      <c r="C77741"/>
      <c r="E77741"/>
      <c r="F77741"/>
    </row>
    <row r="77742" spans="1:6" x14ac:dyDescent="0.25">
      <c r="A77742"/>
      <c r="B77742"/>
      <c r="C77742"/>
      <c r="E77742"/>
      <c r="F77742"/>
    </row>
    <row r="77743" spans="1:6" x14ac:dyDescent="0.25">
      <c r="A77743"/>
      <c r="B77743"/>
      <c r="C77743"/>
      <c r="E77743"/>
      <c r="F77743"/>
    </row>
    <row r="77744" spans="1:6" x14ac:dyDescent="0.25">
      <c r="A77744"/>
      <c r="B77744"/>
      <c r="C77744"/>
      <c r="E77744"/>
      <c r="F77744"/>
    </row>
    <row r="77745" spans="1:6" x14ac:dyDescent="0.25">
      <c r="A77745"/>
      <c r="B77745"/>
      <c r="C77745"/>
      <c r="E77745"/>
      <c r="F77745"/>
    </row>
    <row r="77746" spans="1:6" x14ac:dyDescent="0.25">
      <c r="A77746"/>
      <c r="B77746"/>
      <c r="C77746"/>
      <c r="E77746"/>
      <c r="F77746"/>
    </row>
    <row r="77747" spans="1:6" x14ac:dyDescent="0.25">
      <c r="A77747"/>
      <c r="B77747"/>
      <c r="C77747"/>
      <c r="E77747"/>
      <c r="F77747"/>
    </row>
    <row r="77748" spans="1:6" x14ac:dyDescent="0.25">
      <c r="A77748"/>
      <c r="B77748"/>
      <c r="C77748"/>
      <c r="E77748"/>
      <c r="F77748"/>
    </row>
    <row r="77749" spans="1:6" x14ac:dyDescent="0.25">
      <c r="A77749"/>
      <c r="B77749"/>
      <c r="C77749"/>
      <c r="E77749"/>
      <c r="F77749"/>
    </row>
    <row r="77750" spans="1:6" x14ac:dyDescent="0.25">
      <c r="A77750"/>
      <c r="B77750"/>
      <c r="C77750"/>
      <c r="E77750"/>
      <c r="F77750"/>
    </row>
    <row r="77751" spans="1:6" x14ac:dyDescent="0.25">
      <c r="A77751"/>
      <c r="B77751"/>
      <c r="C77751"/>
      <c r="E77751"/>
      <c r="F77751"/>
    </row>
    <row r="77752" spans="1:6" x14ac:dyDescent="0.25">
      <c r="A77752"/>
      <c r="B77752"/>
      <c r="C77752"/>
      <c r="E77752"/>
      <c r="F77752"/>
    </row>
    <row r="77753" spans="1:6" x14ac:dyDescent="0.25">
      <c r="A77753"/>
      <c r="B77753"/>
      <c r="C77753"/>
      <c r="E77753"/>
      <c r="F77753"/>
    </row>
    <row r="77754" spans="1:6" x14ac:dyDescent="0.25">
      <c r="A77754"/>
      <c r="B77754"/>
      <c r="C77754"/>
      <c r="E77754"/>
      <c r="F77754"/>
    </row>
    <row r="77755" spans="1:6" x14ac:dyDescent="0.25">
      <c r="A77755"/>
      <c r="B77755"/>
      <c r="C77755"/>
      <c r="E77755"/>
      <c r="F77755"/>
    </row>
    <row r="77756" spans="1:6" x14ac:dyDescent="0.25">
      <c r="A77756"/>
      <c r="B77756"/>
      <c r="C77756"/>
      <c r="E77756"/>
      <c r="F77756"/>
    </row>
    <row r="77757" spans="1:6" x14ac:dyDescent="0.25">
      <c r="A77757"/>
      <c r="B77757"/>
      <c r="C77757"/>
      <c r="E77757"/>
      <c r="F77757"/>
    </row>
    <row r="77758" spans="1:6" x14ac:dyDescent="0.25">
      <c r="A77758"/>
      <c r="B77758"/>
      <c r="C77758"/>
      <c r="E77758"/>
      <c r="F77758"/>
    </row>
    <row r="77759" spans="1:6" x14ac:dyDescent="0.25">
      <c r="A77759"/>
      <c r="B77759"/>
      <c r="C77759"/>
      <c r="E77759"/>
      <c r="F77759"/>
    </row>
    <row r="77760" spans="1:6" x14ac:dyDescent="0.25">
      <c r="A77760"/>
      <c r="B77760"/>
      <c r="C77760"/>
      <c r="E77760"/>
      <c r="F77760"/>
    </row>
    <row r="77761" spans="1:6" x14ac:dyDescent="0.25">
      <c r="A77761"/>
      <c r="B77761"/>
      <c r="C77761"/>
      <c r="E77761"/>
      <c r="F77761"/>
    </row>
    <row r="77762" spans="1:6" x14ac:dyDescent="0.25">
      <c r="A77762"/>
      <c r="B77762"/>
      <c r="C77762"/>
      <c r="E77762"/>
      <c r="F77762"/>
    </row>
    <row r="77763" spans="1:6" x14ac:dyDescent="0.25">
      <c r="A77763"/>
      <c r="B77763"/>
      <c r="C77763"/>
      <c r="E77763"/>
      <c r="F77763"/>
    </row>
    <row r="77764" spans="1:6" x14ac:dyDescent="0.25">
      <c r="A77764"/>
      <c r="B77764"/>
      <c r="C77764"/>
      <c r="E77764"/>
      <c r="F77764"/>
    </row>
    <row r="77765" spans="1:6" x14ac:dyDescent="0.25">
      <c r="A77765"/>
      <c r="B77765"/>
      <c r="C77765"/>
      <c r="E77765"/>
      <c r="F77765"/>
    </row>
    <row r="77766" spans="1:6" x14ac:dyDescent="0.25">
      <c r="A77766"/>
      <c r="B77766"/>
      <c r="C77766"/>
      <c r="E77766"/>
      <c r="F77766"/>
    </row>
    <row r="77767" spans="1:6" x14ac:dyDescent="0.25">
      <c r="A77767"/>
      <c r="B77767"/>
      <c r="C77767"/>
      <c r="E77767"/>
      <c r="F77767"/>
    </row>
    <row r="77768" spans="1:6" x14ac:dyDescent="0.25">
      <c r="A77768"/>
      <c r="B77768"/>
      <c r="C77768"/>
      <c r="E77768"/>
      <c r="F77768"/>
    </row>
    <row r="77769" spans="1:6" x14ac:dyDescent="0.25">
      <c r="A77769"/>
      <c r="B77769"/>
      <c r="C77769"/>
      <c r="E77769"/>
      <c r="F77769"/>
    </row>
    <row r="77770" spans="1:6" x14ac:dyDescent="0.25">
      <c r="A77770"/>
      <c r="B77770"/>
      <c r="C77770"/>
      <c r="E77770"/>
      <c r="F77770"/>
    </row>
    <row r="77771" spans="1:6" x14ac:dyDescent="0.25">
      <c r="A77771"/>
      <c r="B77771"/>
      <c r="C77771"/>
      <c r="E77771"/>
      <c r="F77771"/>
    </row>
    <row r="77772" spans="1:6" x14ac:dyDescent="0.25">
      <c r="A77772"/>
      <c r="B77772"/>
      <c r="C77772"/>
      <c r="E77772"/>
      <c r="F77772"/>
    </row>
    <row r="77773" spans="1:6" x14ac:dyDescent="0.25">
      <c r="A77773"/>
      <c r="B77773"/>
      <c r="C77773"/>
      <c r="E77773"/>
      <c r="F77773"/>
    </row>
    <row r="77774" spans="1:6" x14ac:dyDescent="0.25">
      <c r="A77774"/>
      <c r="B77774"/>
      <c r="C77774"/>
      <c r="E77774"/>
      <c r="F77774"/>
    </row>
    <row r="77775" spans="1:6" x14ac:dyDescent="0.25">
      <c r="A77775"/>
      <c r="B77775"/>
      <c r="C77775"/>
      <c r="E77775"/>
      <c r="F77775"/>
    </row>
    <row r="77776" spans="1:6" x14ac:dyDescent="0.25">
      <c r="A77776"/>
      <c r="B77776"/>
      <c r="C77776"/>
      <c r="E77776"/>
      <c r="F77776"/>
    </row>
    <row r="77777" spans="1:6" x14ac:dyDescent="0.25">
      <c r="A77777"/>
      <c r="B77777"/>
      <c r="C77777"/>
      <c r="E77777"/>
      <c r="F77777"/>
    </row>
    <row r="77778" spans="1:6" x14ac:dyDescent="0.25">
      <c r="A77778"/>
      <c r="B77778"/>
      <c r="C77778"/>
      <c r="E77778"/>
      <c r="F77778"/>
    </row>
    <row r="77779" spans="1:6" x14ac:dyDescent="0.25">
      <c r="A77779"/>
      <c r="B77779"/>
      <c r="C77779"/>
      <c r="E77779"/>
      <c r="F77779"/>
    </row>
    <row r="77780" spans="1:6" x14ac:dyDescent="0.25">
      <c r="A77780"/>
      <c r="B77780"/>
      <c r="C77780"/>
      <c r="E77780"/>
      <c r="F77780"/>
    </row>
    <row r="77781" spans="1:6" x14ac:dyDescent="0.25">
      <c r="A77781"/>
      <c r="B77781"/>
      <c r="C77781"/>
      <c r="E77781"/>
      <c r="F77781"/>
    </row>
    <row r="77782" spans="1:6" x14ac:dyDescent="0.25">
      <c r="A77782"/>
      <c r="B77782"/>
      <c r="C77782"/>
      <c r="E77782"/>
      <c r="F77782"/>
    </row>
    <row r="77783" spans="1:6" x14ac:dyDescent="0.25">
      <c r="A77783"/>
      <c r="B77783"/>
      <c r="C77783"/>
      <c r="E77783"/>
      <c r="F77783"/>
    </row>
    <row r="77784" spans="1:6" x14ac:dyDescent="0.25">
      <c r="A77784"/>
      <c r="B77784"/>
      <c r="C77784"/>
      <c r="E77784"/>
      <c r="F77784"/>
    </row>
    <row r="77785" spans="1:6" x14ac:dyDescent="0.25">
      <c r="A77785"/>
      <c r="B77785"/>
      <c r="C77785"/>
      <c r="E77785"/>
      <c r="F77785"/>
    </row>
    <row r="77786" spans="1:6" x14ac:dyDescent="0.25">
      <c r="A77786"/>
      <c r="B77786"/>
      <c r="C77786"/>
      <c r="E77786"/>
      <c r="F77786"/>
    </row>
    <row r="77787" spans="1:6" x14ac:dyDescent="0.25">
      <c r="A77787"/>
      <c r="B77787"/>
      <c r="C77787"/>
      <c r="E77787"/>
      <c r="F77787"/>
    </row>
    <row r="77788" spans="1:6" x14ac:dyDescent="0.25">
      <c r="A77788"/>
      <c r="B77788"/>
      <c r="C77788"/>
      <c r="E77788"/>
      <c r="F77788"/>
    </row>
    <row r="77789" spans="1:6" x14ac:dyDescent="0.25">
      <c r="A77789"/>
      <c r="B77789"/>
      <c r="C77789"/>
      <c r="E77789"/>
      <c r="F77789"/>
    </row>
    <row r="77790" spans="1:6" x14ac:dyDescent="0.25">
      <c r="A77790"/>
      <c r="B77790"/>
      <c r="C77790"/>
      <c r="E77790"/>
      <c r="F77790"/>
    </row>
    <row r="77791" spans="1:6" x14ac:dyDescent="0.25">
      <c r="A77791"/>
      <c r="B77791"/>
      <c r="C77791"/>
      <c r="E77791"/>
      <c r="F77791"/>
    </row>
    <row r="77792" spans="1:6" x14ac:dyDescent="0.25">
      <c r="A77792"/>
      <c r="B77792"/>
      <c r="C77792"/>
      <c r="E77792"/>
      <c r="F77792"/>
    </row>
    <row r="77793" spans="1:6" x14ac:dyDescent="0.25">
      <c r="A77793"/>
      <c r="B77793"/>
      <c r="C77793"/>
      <c r="E77793"/>
      <c r="F77793"/>
    </row>
    <row r="77794" spans="1:6" x14ac:dyDescent="0.25">
      <c r="A77794"/>
      <c r="B77794"/>
      <c r="C77794"/>
      <c r="E77794"/>
      <c r="F77794"/>
    </row>
    <row r="77795" spans="1:6" x14ac:dyDescent="0.25">
      <c r="A77795"/>
      <c r="B77795"/>
      <c r="C77795"/>
      <c r="E77795"/>
      <c r="F77795"/>
    </row>
    <row r="77796" spans="1:6" x14ac:dyDescent="0.25">
      <c r="A77796"/>
      <c r="B77796"/>
      <c r="C77796"/>
      <c r="E77796"/>
      <c r="F77796"/>
    </row>
    <row r="77797" spans="1:6" x14ac:dyDescent="0.25">
      <c r="A77797"/>
      <c r="B77797"/>
      <c r="C77797"/>
      <c r="E77797"/>
      <c r="F77797"/>
    </row>
    <row r="77798" spans="1:6" x14ac:dyDescent="0.25">
      <c r="A77798"/>
      <c r="B77798"/>
      <c r="C77798"/>
      <c r="E77798"/>
      <c r="F77798"/>
    </row>
    <row r="77799" spans="1:6" x14ac:dyDescent="0.25">
      <c r="A77799"/>
      <c r="B77799"/>
      <c r="C77799"/>
      <c r="E77799"/>
      <c r="F77799"/>
    </row>
    <row r="77800" spans="1:6" x14ac:dyDescent="0.25">
      <c r="A77800"/>
      <c r="B77800"/>
      <c r="C77800"/>
      <c r="E77800"/>
      <c r="F77800"/>
    </row>
    <row r="77801" spans="1:6" x14ac:dyDescent="0.25">
      <c r="A77801"/>
      <c r="B77801"/>
      <c r="C77801"/>
      <c r="E77801"/>
      <c r="F77801"/>
    </row>
    <row r="77802" spans="1:6" x14ac:dyDescent="0.25">
      <c r="A77802"/>
      <c r="B77802"/>
      <c r="C77802"/>
      <c r="E77802"/>
      <c r="F77802"/>
    </row>
    <row r="77803" spans="1:6" x14ac:dyDescent="0.25">
      <c r="A77803"/>
      <c r="B77803"/>
      <c r="C77803"/>
      <c r="E77803"/>
      <c r="F77803"/>
    </row>
    <row r="77804" spans="1:6" x14ac:dyDescent="0.25">
      <c r="A77804"/>
      <c r="B77804"/>
      <c r="C77804"/>
      <c r="E77804"/>
      <c r="F77804"/>
    </row>
    <row r="77805" spans="1:6" x14ac:dyDescent="0.25">
      <c r="A77805"/>
      <c r="B77805"/>
      <c r="C77805"/>
      <c r="E77805"/>
      <c r="F77805"/>
    </row>
    <row r="77806" spans="1:6" x14ac:dyDescent="0.25">
      <c r="A77806"/>
      <c r="B77806"/>
      <c r="C77806"/>
      <c r="E77806"/>
      <c r="F77806"/>
    </row>
    <row r="77807" spans="1:6" x14ac:dyDescent="0.25">
      <c r="A77807"/>
      <c r="B77807"/>
      <c r="C77807"/>
      <c r="E77807"/>
      <c r="F77807"/>
    </row>
    <row r="77808" spans="1:6" x14ac:dyDescent="0.25">
      <c r="A77808"/>
      <c r="B77808"/>
      <c r="C77808"/>
      <c r="E77808"/>
      <c r="F77808"/>
    </row>
    <row r="77809" spans="1:6" x14ac:dyDescent="0.25">
      <c r="A77809"/>
      <c r="B77809"/>
      <c r="C77809"/>
      <c r="E77809"/>
      <c r="F77809"/>
    </row>
    <row r="77810" spans="1:6" x14ac:dyDescent="0.25">
      <c r="A77810"/>
      <c r="B77810"/>
      <c r="C77810"/>
      <c r="E77810"/>
      <c r="F77810"/>
    </row>
    <row r="77811" spans="1:6" x14ac:dyDescent="0.25">
      <c r="A77811"/>
      <c r="B77811"/>
      <c r="C77811"/>
      <c r="E77811"/>
      <c r="F77811"/>
    </row>
    <row r="77812" spans="1:6" x14ac:dyDescent="0.25">
      <c r="A77812"/>
      <c r="B77812"/>
      <c r="C77812"/>
      <c r="E77812"/>
      <c r="F77812"/>
    </row>
    <row r="77813" spans="1:6" x14ac:dyDescent="0.25">
      <c r="A77813"/>
      <c r="B77813"/>
      <c r="C77813"/>
      <c r="E77813"/>
      <c r="F77813"/>
    </row>
    <row r="77814" spans="1:6" x14ac:dyDescent="0.25">
      <c r="A77814"/>
      <c r="B77814"/>
      <c r="C77814"/>
      <c r="E77814"/>
      <c r="F77814"/>
    </row>
    <row r="77815" spans="1:6" x14ac:dyDescent="0.25">
      <c r="A77815"/>
      <c r="B77815"/>
      <c r="C77815"/>
      <c r="E77815"/>
      <c r="F77815"/>
    </row>
    <row r="77816" spans="1:6" x14ac:dyDescent="0.25">
      <c r="A77816"/>
      <c r="B77816"/>
      <c r="C77816"/>
      <c r="E77816"/>
      <c r="F77816"/>
    </row>
    <row r="77817" spans="1:6" x14ac:dyDescent="0.25">
      <c r="A77817"/>
      <c r="B77817"/>
      <c r="C77817"/>
      <c r="E77817"/>
      <c r="F77817"/>
    </row>
    <row r="77818" spans="1:6" x14ac:dyDescent="0.25">
      <c r="A77818"/>
      <c r="B77818"/>
      <c r="C77818"/>
      <c r="E77818"/>
      <c r="F77818"/>
    </row>
    <row r="77819" spans="1:6" x14ac:dyDescent="0.25">
      <c r="A77819"/>
      <c r="B77819"/>
      <c r="C77819"/>
      <c r="E77819"/>
      <c r="F77819"/>
    </row>
    <row r="77820" spans="1:6" x14ac:dyDescent="0.25">
      <c r="A77820"/>
      <c r="B77820"/>
      <c r="C77820"/>
      <c r="E77820"/>
      <c r="F77820"/>
    </row>
    <row r="77821" spans="1:6" x14ac:dyDescent="0.25">
      <c r="A77821"/>
      <c r="B77821"/>
      <c r="C77821"/>
      <c r="E77821"/>
      <c r="F77821"/>
    </row>
    <row r="77822" spans="1:6" x14ac:dyDescent="0.25">
      <c r="A77822"/>
      <c r="B77822"/>
      <c r="C77822"/>
      <c r="E77822"/>
      <c r="F77822"/>
    </row>
    <row r="77823" spans="1:6" x14ac:dyDescent="0.25">
      <c r="A77823"/>
      <c r="B77823"/>
      <c r="C77823"/>
      <c r="E77823"/>
      <c r="F77823"/>
    </row>
    <row r="77824" spans="1:6" x14ac:dyDescent="0.25">
      <c r="A77824"/>
      <c r="B77824"/>
      <c r="C77824"/>
      <c r="E77824"/>
      <c r="F77824"/>
    </row>
    <row r="77825" spans="1:6" x14ac:dyDescent="0.25">
      <c r="A77825"/>
      <c r="B77825"/>
      <c r="C77825"/>
      <c r="E77825"/>
      <c r="F77825"/>
    </row>
    <row r="77826" spans="1:6" x14ac:dyDescent="0.25">
      <c r="A77826"/>
      <c r="B77826"/>
      <c r="C77826"/>
      <c r="E77826"/>
      <c r="F77826"/>
    </row>
    <row r="77827" spans="1:6" x14ac:dyDescent="0.25">
      <c r="A77827"/>
      <c r="B77827"/>
      <c r="C77827"/>
      <c r="E77827"/>
      <c r="F77827"/>
    </row>
    <row r="77828" spans="1:6" x14ac:dyDescent="0.25">
      <c r="A77828"/>
      <c r="B77828"/>
      <c r="C77828"/>
      <c r="E77828"/>
      <c r="F77828"/>
    </row>
    <row r="77829" spans="1:6" x14ac:dyDescent="0.25">
      <c r="A77829"/>
      <c r="B77829"/>
      <c r="C77829"/>
      <c r="E77829"/>
      <c r="F77829"/>
    </row>
    <row r="77830" spans="1:6" x14ac:dyDescent="0.25">
      <c r="A77830"/>
      <c r="B77830"/>
      <c r="C77830"/>
      <c r="E77830"/>
      <c r="F77830"/>
    </row>
    <row r="77831" spans="1:6" x14ac:dyDescent="0.25">
      <c r="A77831"/>
      <c r="B77831"/>
      <c r="C77831"/>
      <c r="E77831"/>
      <c r="F77831"/>
    </row>
    <row r="77832" spans="1:6" x14ac:dyDescent="0.25">
      <c r="A77832"/>
      <c r="B77832"/>
      <c r="C77832"/>
      <c r="E77832"/>
      <c r="F77832"/>
    </row>
    <row r="77833" spans="1:6" x14ac:dyDescent="0.25">
      <c r="A77833"/>
      <c r="B77833"/>
      <c r="C77833"/>
      <c r="E77833"/>
      <c r="F77833"/>
    </row>
    <row r="77834" spans="1:6" x14ac:dyDescent="0.25">
      <c r="A77834"/>
      <c r="B77834"/>
      <c r="C77834"/>
      <c r="E77834"/>
      <c r="F77834"/>
    </row>
    <row r="77835" spans="1:6" x14ac:dyDescent="0.25">
      <c r="A77835"/>
      <c r="B77835"/>
      <c r="C77835"/>
      <c r="E77835"/>
      <c r="F77835"/>
    </row>
    <row r="77836" spans="1:6" x14ac:dyDescent="0.25">
      <c r="A77836"/>
      <c r="B77836"/>
      <c r="C77836"/>
      <c r="E77836"/>
      <c r="F77836"/>
    </row>
    <row r="77837" spans="1:6" x14ac:dyDescent="0.25">
      <c r="A77837"/>
      <c r="B77837"/>
      <c r="C77837"/>
      <c r="E77837"/>
      <c r="F77837"/>
    </row>
    <row r="77838" spans="1:6" x14ac:dyDescent="0.25">
      <c r="A77838"/>
      <c r="B77838"/>
      <c r="C77838"/>
      <c r="E77838"/>
      <c r="F77838"/>
    </row>
    <row r="77839" spans="1:6" x14ac:dyDescent="0.25">
      <c r="A77839"/>
      <c r="B77839"/>
      <c r="C77839"/>
      <c r="E77839"/>
      <c r="F77839"/>
    </row>
    <row r="77840" spans="1:6" x14ac:dyDescent="0.25">
      <c r="A77840"/>
      <c r="B77840"/>
      <c r="C77840"/>
      <c r="E77840"/>
      <c r="F77840"/>
    </row>
    <row r="77841" spans="1:6" x14ac:dyDescent="0.25">
      <c r="A77841"/>
      <c r="B77841"/>
      <c r="C77841"/>
      <c r="E77841"/>
      <c r="F77841"/>
    </row>
    <row r="77842" spans="1:6" x14ac:dyDescent="0.25">
      <c r="A77842"/>
      <c r="B77842"/>
      <c r="C77842"/>
      <c r="E77842"/>
      <c r="F77842"/>
    </row>
    <row r="77843" spans="1:6" x14ac:dyDescent="0.25">
      <c r="A77843"/>
      <c r="B77843"/>
      <c r="C77843"/>
      <c r="E77843"/>
      <c r="F77843"/>
    </row>
    <row r="77844" spans="1:6" x14ac:dyDescent="0.25">
      <c r="A77844"/>
      <c r="B77844"/>
      <c r="C77844"/>
      <c r="E77844"/>
      <c r="F77844"/>
    </row>
    <row r="77845" spans="1:6" x14ac:dyDescent="0.25">
      <c r="A77845"/>
      <c r="B77845"/>
      <c r="C77845"/>
      <c r="E77845"/>
      <c r="F77845"/>
    </row>
    <row r="77846" spans="1:6" x14ac:dyDescent="0.25">
      <c r="A77846"/>
      <c r="B77846"/>
      <c r="C77846"/>
      <c r="E77846"/>
      <c r="F77846"/>
    </row>
    <row r="77847" spans="1:6" x14ac:dyDescent="0.25">
      <c r="A77847"/>
      <c r="B77847"/>
      <c r="C77847"/>
      <c r="E77847"/>
      <c r="F77847"/>
    </row>
    <row r="77848" spans="1:6" x14ac:dyDescent="0.25">
      <c r="A77848"/>
      <c r="B77848"/>
      <c r="C77848"/>
      <c r="E77848"/>
      <c r="F77848"/>
    </row>
    <row r="77849" spans="1:6" x14ac:dyDescent="0.25">
      <c r="A77849"/>
      <c r="B77849"/>
      <c r="C77849"/>
      <c r="E77849"/>
      <c r="F77849"/>
    </row>
    <row r="77850" spans="1:6" x14ac:dyDescent="0.25">
      <c r="A77850"/>
      <c r="B77850"/>
      <c r="C77850"/>
      <c r="E77850"/>
      <c r="F77850"/>
    </row>
    <row r="77851" spans="1:6" x14ac:dyDescent="0.25">
      <c r="A77851"/>
      <c r="B77851"/>
      <c r="C77851"/>
      <c r="E77851"/>
      <c r="F77851"/>
    </row>
    <row r="77852" spans="1:6" x14ac:dyDescent="0.25">
      <c r="A77852"/>
      <c r="B77852"/>
      <c r="C77852"/>
      <c r="E77852"/>
      <c r="F77852"/>
    </row>
    <row r="77853" spans="1:6" x14ac:dyDescent="0.25">
      <c r="A77853"/>
      <c r="B77853"/>
      <c r="C77853"/>
      <c r="E77853"/>
      <c r="F77853"/>
    </row>
    <row r="77854" spans="1:6" x14ac:dyDescent="0.25">
      <c r="A77854"/>
      <c r="B77854"/>
      <c r="C77854"/>
      <c r="E77854"/>
      <c r="F77854"/>
    </row>
    <row r="77855" spans="1:6" x14ac:dyDescent="0.25">
      <c r="A77855"/>
      <c r="B77855"/>
      <c r="C77855"/>
      <c r="E77855"/>
      <c r="F77855"/>
    </row>
    <row r="77856" spans="1:6" x14ac:dyDescent="0.25">
      <c r="A77856"/>
      <c r="B77856"/>
      <c r="C77856"/>
      <c r="E77856"/>
      <c r="F77856"/>
    </row>
    <row r="77857" spans="1:6" x14ac:dyDescent="0.25">
      <c r="A77857"/>
      <c r="B77857"/>
      <c r="C77857"/>
      <c r="E77857"/>
      <c r="F77857"/>
    </row>
    <row r="77858" spans="1:6" x14ac:dyDescent="0.25">
      <c r="A77858"/>
      <c r="B77858"/>
      <c r="C77858"/>
      <c r="E77858"/>
      <c r="F77858"/>
    </row>
    <row r="77859" spans="1:6" x14ac:dyDescent="0.25">
      <c r="A77859"/>
      <c r="B77859"/>
      <c r="C77859"/>
      <c r="E77859"/>
      <c r="F77859"/>
    </row>
    <row r="77860" spans="1:6" x14ac:dyDescent="0.25">
      <c r="A77860"/>
      <c r="B77860"/>
      <c r="C77860"/>
      <c r="E77860"/>
      <c r="F77860"/>
    </row>
    <row r="77861" spans="1:6" x14ac:dyDescent="0.25">
      <c r="A77861"/>
      <c r="B77861"/>
      <c r="C77861"/>
      <c r="E77861"/>
      <c r="F77861"/>
    </row>
    <row r="77862" spans="1:6" x14ac:dyDescent="0.25">
      <c r="A77862"/>
      <c r="B77862"/>
      <c r="C77862"/>
      <c r="E77862"/>
      <c r="F77862"/>
    </row>
    <row r="77863" spans="1:6" x14ac:dyDescent="0.25">
      <c r="A77863"/>
      <c r="B77863"/>
      <c r="C77863"/>
      <c r="E77863"/>
      <c r="F77863"/>
    </row>
    <row r="77864" spans="1:6" x14ac:dyDescent="0.25">
      <c r="A77864"/>
      <c r="B77864"/>
      <c r="C77864"/>
      <c r="E77864"/>
      <c r="F77864"/>
    </row>
    <row r="77865" spans="1:6" x14ac:dyDescent="0.25">
      <c r="A77865"/>
      <c r="B77865"/>
      <c r="C77865"/>
      <c r="E77865"/>
      <c r="F77865"/>
    </row>
    <row r="77866" spans="1:6" x14ac:dyDescent="0.25">
      <c r="A77866"/>
      <c r="B77866"/>
      <c r="C77866"/>
      <c r="E77866"/>
      <c r="F77866"/>
    </row>
    <row r="77867" spans="1:6" x14ac:dyDescent="0.25">
      <c r="A77867"/>
      <c r="B77867"/>
      <c r="C77867"/>
      <c r="E77867"/>
      <c r="F77867"/>
    </row>
    <row r="77868" spans="1:6" x14ac:dyDescent="0.25">
      <c r="A77868"/>
      <c r="B77868"/>
      <c r="C77868"/>
      <c r="E77868"/>
      <c r="F77868"/>
    </row>
    <row r="77869" spans="1:6" x14ac:dyDescent="0.25">
      <c r="A77869"/>
      <c r="B77869"/>
      <c r="C77869"/>
      <c r="E77869"/>
      <c r="F77869"/>
    </row>
    <row r="77870" spans="1:6" x14ac:dyDescent="0.25">
      <c r="A77870"/>
      <c r="B77870"/>
      <c r="C77870"/>
      <c r="E77870"/>
      <c r="F77870"/>
    </row>
    <row r="77871" spans="1:6" x14ac:dyDescent="0.25">
      <c r="A77871"/>
      <c r="B77871"/>
      <c r="C77871"/>
      <c r="E77871"/>
      <c r="F77871"/>
    </row>
    <row r="77872" spans="1:6" x14ac:dyDescent="0.25">
      <c r="A77872"/>
      <c r="B77872"/>
      <c r="C77872"/>
      <c r="E77872"/>
      <c r="F77872"/>
    </row>
    <row r="77873" spans="1:6" x14ac:dyDescent="0.25">
      <c r="A77873"/>
      <c r="B77873"/>
      <c r="C77873"/>
      <c r="E77873"/>
      <c r="F77873"/>
    </row>
    <row r="77874" spans="1:6" x14ac:dyDescent="0.25">
      <c r="A77874"/>
      <c r="B77874"/>
      <c r="C77874"/>
      <c r="E77874"/>
      <c r="F77874"/>
    </row>
    <row r="77875" spans="1:6" x14ac:dyDescent="0.25">
      <c r="A77875"/>
      <c r="B77875"/>
      <c r="C77875"/>
      <c r="E77875"/>
      <c r="F77875"/>
    </row>
    <row r="77876" spans="1:6" x14ac:dyDescent="0.25">
      <c r="A77876"/>
      <c r="B77876"/>
      <c r="C77876"/>
      <c r="E77876"/>
      <c r="F77876"/>
    </row>
    <row r="77877" spans="1:6" x14ac:dyDescent="0.25">
      <c r="A77877"/>
      <c r="B77877"/>
      <c r="C77877"/>
      <c r="E77877"/>
      <c r="F77877"/>
    </row>
    <row r="77878" spans="1:6" x14ac:dyDescent="0.25">
      <c r="A77878"/>
      <c r="B77878"/>
      <c r="C77878"/>
      <c r="E77878"/>
      <c r="F77878"/>
    </row>
    <row r="77879" spans="1:6" x14ac:dyDescent="0.25">
      <c r="A77879"/>
      <c r="B77879"/>
      <c r="C77879"/>
      <c r="E77879"/>
      <c r="F77879"/>
    </row>
    <row r="77880" spans="1:6" x14ac:dyDescent="0.25">
      <c r="A77880"/>
      <c r="B77880"/>
      <c r="C77880"/>
      <c r="E77880"/>
      <c r="F77880"/>
    </row>
    <row r="77881" spans="1:6" x14ac:dyDescent="0.25">
      <c r="A77881"/>
      <c r="B77881"/>
      <c r="C77881"/>
      <c r="E77881"/>
      <c r="F77881"/>
    </row>
    <row r="77882" spans="1:6" x14ac:dyDescent="0.25">
      <c r="A77882"/>
      <c r="B77882"/>
      <c r="C77882"/>
      <c r="E77882"/>
      <c r="F77882"/>
    </row>
    <row r="77883" spans="1:6" x14ac:dyDescent="0.25">
      <c r="A77883"/>
      <c r="B77883"/>
      <c r="C77883"/>
      <c r="E77883"/>
      <c r="F77883"/>
    </row>
    <row r="77884" spans="1:6" x14ac:dyDescent="0.25">
      <c r="A77884"/>
      <c r="B77884"/>
      <c r="C77884"/>
      <c r="E77884"/>
      <c r="F77884"/>
    </row>
    <row r="77885" spans="1:6" x14ac:dyDescent="0.25">
      <c r="A77885"/>
      <c r="B77885"/>
      <c r="C77885"/>
      <c r="E77885"/>
      <c r="F77885"/>
    </row>
    <row r="77886" spans="1:6" x14ac:dyDescent="0.25">
      <c r="A77886"/>
      <c r="B77886"/>
      <c r="C77886"/>
      <c r="E77886"/>
      <c r="F77886"/>
    </row>
    <row r="77887" spans="1:6" x14ac:dyDescent="0.25">
      <c r="A77887"/>
      <c r="B77887"/>
      <c r="C77887"/>
      <c r="E77887"/>
      <c r="F77887"/>
    </row>
    <row r="77888" spans="1:6" x14ac:dyDescent="0.25">
      <c r="A77888"/>
      <c r="B77888"/>
      <c r="C77888"/>
      <c r="E77888"/>
      <c r="F77888"/>
    </row>
    <row r="77889" spans="1:6" x14ac:dyDescent="0.25">
      <c r="A77889"/>
      <c r="B77889"/>
      <c r="C77889"/>
      <c r="E77889"/>
      <c r="F77889"/>
    </row>
    <row r="77890" spans="1:6" x14ac:dyDescent="0.25">
      <c r="A77890"/>
      <c r="B77890"/>
      <c r="C77890"/>
      <c r="E77890"/>
      <c r="F77890"/>
    </row>
    <row r="77891" spans="1:6" x14ac:dyDescent="0.25">
      <c r="A77891"/>
      <c r="B77891"/>
      <c r="C77891"/>
      <c r="E77891"/>
      <c r="F77891"/>
    </row>
    <row r="77892" spans="1:6" x14ac:dyDescent="0.25">
      <c r="A77892"/>
      <c r="B77892"/>
      <c r="C77892"/>
      <c r="E77892"/>
      <c r="F77892"/>
    </row>
    <row r="77893" spans="1:6" x14ac:dyDescent="0.25">
      <c r="A77893"/>
      <c r="B77893"/>
      <c r="C77893"/>
      <c r="E77893"/>
      <c r="F77893"/>
    </row>
    <row r="77894" spans="1:6" x14ac:dyDescent="0.25">
      <c r="A77894"/>
      <c r="B77894"/>
      <c r="C77894"/>
      <c r="E77894"/>
      <c r="F77894"/>
    </row>
    <row r="77895" spans="1:6" x14ac:dyDescent="0.25">
      <c r="A77895"/>
      <c r="B77895"/>
      <c r="C77895"/>
      <c r="E77895"/>
      <c r="F77895"/>
    </row>
    <row r="77896" spans="1:6" x14ac:dyDescent="0.25">
      <c r="A77896"/>
      <c r="B77896"/>
      <c r="C77896"/>
      <c r="E77896"/>
      <c r="F77896"/>
    </row>
    <row r="77897" spans="1:6" x14ac:dyDescent="0.25">
      <c r="A77897"/>
      <c r="B77897"/>
      <c r="C77897"/>
      <c r="E77897"/>
      <c r="F77897"/>
    </row>
    <row r="77898" spans="1:6" x14ac:dyDescent="0.25">
      <c r="A77898"/>
      <c r="B77898"/>
      <c r="C77898"/>
      <c r="E77898"/>
      <c r="F77898"/>
    </row>
    <row r="77899" spans="1:6" x14ac:dyDescent="0.25">
      <c r="A77899"/>
      <c r="B77899"/>
      <c r="C77899"/>
      <c r="E77899"/>
      <c r="F77899"/>
    </row>
    <row r="77900" spans="1:6" x14ac:dyDescent="0.25">
      <c r="A77900"/>
      <c r="B77900"/>
      <c r="C77900"/>
      <c r="E77900"/>
      <c r="F77900"/>
    </row>
    <row r="77901" spans="1:6" x14ac:dyDescent="0.25">
      <c r="A77901"/>
      <c r="B77901"/>
      <c r="C77901"/>
      <c r="E77901"/>
      <c r="F77901"/>
    </row>
    <row r="77902" spans="1:6" x14ac:dyDescent="0.25">
      <c r="A77902"/>
      <c r="B77902"/>
      <c r="C77902"/>
      <c r="E77902"/>
      <c r="F77902"/>
    </row>
    <row r="77903" spans="1:6" x14ac:dyDescent="0.25">
      <c r="A77903"/>
      <c r="B77903"/>
      <c r="C77903"/>
      <c r="E77903"/>
      <c r="F77903"/>
    </row>
    <row r="77904" spans="1:6" x14ac:dyDescent="0.25">
      <c r="A77904"/>
      <c r="B77904"/>
      <c r="C77904"/>
      <c r="E77904"/>
      <c r="F77904"/>
    </row>
    <row r="77905" spans="1:6" x14ac:dyDescent="0.25">
      <c r="A77905"/>
      <c r="B77905"/>
      <c r="C77905"/>
      <c r="E77905"/>
      <c r="F77905"/>
    </row>
    <row r="77906" spans="1:6" x14ac:dyDescent="0.25">
      <c r="A77906"/>
      <c r="B77906"/>
      <c r="C77906"/>
      <c r="E77906"/>
      <c r="F77906"/>
    </row>
    <row r="77907" spans="1:6" x14ac:dyDescent="0.25">
      <c r="A77907"/>
      <c r="B77907"/>
      <c r="C77907"/>
      <c r="E77907"/>
      <c r="F77907"/>
    </row>
    <row r="77908" spans="1:6" x14ac:dyDescent="0.25">
      <c r="A77908"/>
      <c r="B77908"/>
      <c r="C77908"/>
      <c r="E77908"/>
      <c r="F77908"/>
    </row>
    <row r="77909" spans="1:6" x14ac:dyDescent="0.25">
      <c r="A77909"/>
      <c r="B77909"/>
      <c r="C77909"/>
      <c r="E77909"/>
      <c r="F77909"/>
    </row>
    <row r="77910" spans="1:6" x14ac:dyDescent="0.25">
      <c r="A77910"/>
      <c r="B77910"/>
      <c r="C77910"/>
      <c r="E77910"/>
      <c r="F77910"/>
    </row>
    <row r="77911" spans="1:6" x14ac:dyDescent="0.25">
      <c r="A77911"/>
      <c r="B77911"/>
      <c r="C77911"/>
      <c r="E77911"/>
      <c r="F77911"/>
    </row>
    <row r="77912" spans="1:6" x14ac:dyDescent="0.25">
      <c r="A77912"/>
      <c r="B77912"/>
      <c r="C77912"/>
      <c r="E77912"/>
      <c r="F77912"/>
    </row>
    <row r="77913" spans="1:6" x14ac:dyDescent="0.25">
      <c r="A77913"/>
      <c r="B77913"/>
      <c r="C77913"/>
      <c r="E77913"/>
      <c r="F77913"/>
    </row>
    <row r="77914" spans="1:6" x14ac:dyDescent="0.25">
      <c r="A77914"/>
      <c r="B77914"/>
      <c r="C77914"/>
      <c r="E77914"/>
      <c r="F77914"/>
    </row>
    <row r="77915" spans="1:6" x14ac:dyDescent="0.25">
      <c r="A77915"/>
      <c r="B77915"/>
      <c r="C77915"/>
      <c r="E77915"/>
      <c r="F77915"/>
    </row>
    <row r="77916" spans="1:6" x14ac:dyDescent="0.25">
      <c r="A77916"/>
      <c r="B77916"/>
      <c r="C77916"/>
      <c r="E77916"/>
      <c r="F77916"/>
    </row>
    <row r="77917" spans="1:6" x14ac:dyDescent="0.25">
      <c r="A77917"/>
      <c r="B77917"/>
      <c r="C77917"/>
      <c r="E77917"/>
      <c r="F77917"/>
    </row>
    <row r="77918" spans="1:6" x14ac:dyDescent="0.25">
      <c r="A77918"/>
      <c r="B77918"/>
      <c r="C77918"/>
      <c r="E77918"/>
      <c r="F77918"/>
    </row>
    <row r="77919" spans="1:6" x14ac:dyDescent="0.25">
      <c r="A77919"/>
      <c r="B77919"/>
      <c r="C77919"/>
      <c r="E77919"/>
      <c r="F77919"/>
    </row>
    <row r="77920" spans="1:6" x14ac:dyDescent="0.25">
      <c r="A77920"/>
      <c r="B77920"/>
      <c r="C77920"/>
      <c r="E77920"/>
      <c r="F77920"/>
    </row>
    <row r="77921" spans="1:6" x14ac:dyDescent="0.25">
      <c r="A77921"/>
      <c r="B77921"/>
      <c r="C77921"/>
      <c r="E77921"/>
      <c r="F77921"/>
    </row>
    <row r="77922" spans="1:6" x14ac:dyDescent="0.25">
      <c r="A77922"/>
      <c r="B77922"/>
      <c r="C77922"/>
      <c r="E77922"/>
      <c r="F77922"/>
    </row>
    <row r="77923" spans="1:6" x14ac:dyDescent="0.25">
      <c r="A77923"/>
      <c r="B77923"/>
      <c r="C77923"/>
      <c r="E77923"/>
      <c r="F77923"/>
    </row>
    <row r="77924" spans="1:6" x14ac:dyDescent="0.25">
      <c r="A77924"/>
      <c r="B77924"/>
      <c r="C77924"/>
      <c r="E77924"/>
      <c r="F77924"/>
    </row>
    <row r="77925" spans="1:6" x14ac:dyDescent="0.25">
      <c r="A77925"/>
      <c r="B77925"/>
      <c r="C77925"/>
      <c r="E77925"/>
      <c r="F77925"/>
    </row>
    <row r="77926" spans="1:6" x14ac:dyDescent="0.25">
      <c r="A77926"/>
      <c r="B77926"/>
      <c r="C77926"/>
      <c r="E77926"/>
      <c r="F77926"/>
    </row>
    <row r="77927" spans="1:6" x14ac:dyDescent="0.25">
      <c r="A77927"/>
      <c r="B77927"/>
      <c r="C77927"/>
      <c r="E77927"/>
      <c r="F77927"/>
    </row>
    <row r="77928" spans="1:6" x14ac:dyDescent="0.25">
      <c r="A77928"/>
      <c r="B77928"/>
      <c r="C77928"/>
      <c r="E77928"/>
      <c r="F77928"/>
    </row>
    <row r="77929" spans="1:6" x14ac:dyDescent="0.25">
      <c r="A77929"/>
      <c r="B77929"/>
      <c r="C77929"/>
      <c r="E77929"/>
      <c r="F77929"/>
    </row>
    <row r="77930" spans="1:6" x14ac:dyDescent="0.25">
      <c r="A77930"/>
      <c r="B77930"/>
      <c r="C77930"/>
      <c r="E77930"/>
      <c r="F77930"/>
    </row>
    <row r="77931" spans="1:6" x14ac:dyDescent="0.25">
      <c r="A77931"/>
      <c r="B77931"/>
      <c r="C77931"/>
      <c r="E77931"/>
      <c r="F77931"/>
    </row>
    <row r="77932" spans="1:6" x14ac:dyDescent="0.25">
      <c r="A77932"/>
      <c r="B77932"/>
      <c r="C77932"/>
      <c r="E77932"/>
      <c r="F77932"/>
    </row>
    <row r="77933" spans="1:6" x14ac:dyDescent="0.25">
      <c r="A77933"/>
      <c r="B77933"/>
      <c r="C77933"/>
      <c r="E77933"/>
      <c r="F77933"/>
    </row>
    <row r="77934" spans="1:6" x14ac:dyDescent="0.25">
      <c r="A77934"/>
      <c r="B77934"/>
      <c r="C77934"/>
      <c r="E77934"/>
      <c r="F77934"/>
    </row>
    <row r="77935" spans="1:6" x14ac:dyDescent="0.25">
      <c r="A77935"/>
      <c r="B77935"/>
      <c r="C77935"/>
      <c r="E77935"/>
      <c r="F77935"/>
    </row>
    <row r="77936" spans="1:6" x14ac:dyDescent="0.25">
      <c r="A77936"/>
      <c r="B77936"/>
      <c r="C77936"/>
      <c r="E77936"/>
      <c r="F77936"/>
    </row>
    <row r="77937" spans="1:6" x14ac:dyDescent="0.25">
      <c r="A77937"/>
      <c r="B77937"/>
      <c r="C77937"/>
      <c r="E77937"/>
      <c r="F77937"/>
    </row>
    <row r="77938" spans="1:6" x14ac:dyDescent="0.25">
      <c r="A77938"/>
      <c r="B77938"/>
      <c r="C77938"/>
      <c r="E77938"/>
      <c r="F77938"/>
    </row>
    <row r="77939" spans="1:6" x14ac:dyDescent="0.25">
      <c r="A77939"/>
      <c r="B77939"/>
      <c r="C77939"/>
      <c r="E77939"/>
      <c r="F77939"/>
    </row>
    <row r="77940" spans="1:6" x14ac:dyDescent="0.25">
      <c r="A77940"/>
      <c r="B77940"/>
      <c r="C77940"/>
      <c r="E77940"/>
      <c r="F77940"/>
    </row>
    <row r="77941" spans="1:6" x14ac:dyDescent="0.25">
      <c r="A77941"/>
      <c r="B77941"/>
      <c r="C77941"/>
      <c r="E77941"/>
      <c r="F77941"/>
    </row>
    <row r="77942" spans="1:6" x14ac:dyDescent="0.25">
      <c r="A77942"/>
      <c r="B77942"/>
      <c r="C77942"/>
      <c r="E77942"/>
      <c r="F77942"/>
    </row>
    <row r="77943" spans="1:6" x14ac:dyDescent="0.25">
      <c r="A77943"/>
      <c r="B77943"/>
      <c r="C77943"/>
      <c r="E77943"/>
      <c r="F77943"/>
    </row>
    <row r="77944" spans="1:6" x14ac:dyDescent="0.25">
      <c r="A77944"/>
      <c r="B77944"/>
      <c r="C77944"/>
      <c r="E77944"/>
      <c r="F77944"/>
    </row>
    <row r="77945" spans="1:6" x14ac:dyDescent="0.25">
      <c r="A77945"/>
      <c r="B77945"/>
      <c r="C77945"/>
      <c r="E77945"/>
      <c r="F77945"/>
    </row>
    <row r="77946" spans="1:6" x14ac:dyDescent="0.25">
      <c r="A77946"/>
      <c r="B77946"/>
      <c r="C77946"/>
      <c r="E77946"/>
      <c r="F77946"/>
    </row>
    <row r="77947" spans="1:6" x14ac:dyDescent="0.25">
      <c r="A77947"/>
      <c r="B77947"/>
      <c r="C77947"/>
      <c r="E77947"/>
      <c r="F77947"/>
    </row>
    <row r="77948" spans="1:6" x14ac:dyDescent="0.25">
      <c r="A77948"/>
      <c r="B77948"/>
      <c r="C77948"/>
      <c r="E77948"/>
      <c r="F77948"/>
    </row>
    <row r="77949" spans="1:6" x14ac:dyDescent="0.25">
      <c r="A77949"/>
      <c r="B77949"/>
      <c r="C77949"/>
      <c r="E77949"/>
      <c r="F77949"/>
    </row>
    <row r="77950" spans="1:6" x14ac:dyDescent="0.25">
      <c r="A77950"/>
      <c r="B77950"/>
      <c r="C77950"/>
      <c r="E77950"/>
      <c r="F77950"/>
    </row>
    <row r="77951" spans="1:6" x14ac:dyDescent="0.25">
      <c r="A77951"/>
      <c r="B77951"/>
      <c r="C77951"/>
      <c r="E77951"/>
      <c r="F77951"/>
    </row>
    <row r="77952" spans="1:6" x14ac:dyDescent="0.25">
      <c r="A77952"/>
      <c r="B77952"/>
      <c r="C77952"/>
      <c r="E77952"/>
      <c r="F77952"/>
    </row>
    <row r="77953" spans="1:6" x14ac:dyDescent="0.25">
      <c r="A77953"/>
      <c r="B77953"/>
      <c r="C77953"/>
      <c r="E77953"/>
      <c r="F77953"/>
    </row>
    <row r="77954" spans="1:6" x14ac:dyDescent="0.25">
      <c r="A77954"/>
      <c r="B77954"/>
      <c r="C77954"/>
      <c r="E77954"/>
      <c r="F77954"/>
    </row>
    <row r="77955" spans="1:6" x14ac:dyDescent="0.25">
      <c r="A77955"/>
      <c r="B77955"/>
      <c r="C77955"/>
      <c r="E77955"/>
      <c r="F77955"/>
    </row>
    <row r="77956" spans="1:6" x14ac:dyDescent="0.25">
      <c r="A77956"/>
      <c r="B77956"/>
      <c r="C77956"/>
      <c r="E77956"/>
      <c r="F77956"/>
    </row>
    <row r="77957" spans="1:6" x14ac:dyDescent="0.25">
      <c r="A77957"/>
      <c r="B77957"/>
      <c r="C77957"/>
      <c r="E77957"/>
      <c r="F77957"/>
    </row>
    <row r="77958" spans="1:6" x14ac:dyDescent="0.25">
      <c r="A77958"/>
      <c r="B77958"/>
      <c r="C77958"/>
      <c r="E77958"/>
      <c r="F77958"/>
    </row>
    <row r="77959" spans="1:6" x14ac:dyDescent="0.25">
      <c r="A77959"/>
      <c r="B77959"/>
      <c r="C77959"/>
      <c r="E77959"/>
      <c r="F77959"/>
    </row>
    <row r="77960" spans="1:6" x14ac:dyDescent="0.25">
      <c r="A77960"/>
      <c r="B77960"/>
      <c r="C77960"/>
      <c r="E77960"/>
      <c r="F77960"/>
    </row>
    <row r="77961" spans="1:6" x14ac:dyDescent="0.25">
      <c r="A77961"/>
      <c r="B77961"/>
      <c r="C77961"/>
      <c r="E77961"/>
      <c r="F77961"/>
    </row>
    <row r="77962" spans="1:6" x14ac:dyDescent="0.25">
      <c r="A77962"/>
      <c r="B77962"/>
      <c r="C77962"/>
      <c r="E77962"/>
      <c r="F77962"/>
    </row>
    <row r="77963" spans="1:6" x14ac:dyDescent="0.25">
      <c r="A77963"/>
      <c r="B77963"/>
      <c r="C77963"/>
      <c r="E77963"/>
      <c r="F77963"/>
    </row>
    <row r="77964" spans="1:6" x14ac:dyDescent="0.25">
      <c r="A77964"/>
      <c r="B77964"/>
      <c r="C77964"/>
      <c r="E77964"/>
      <c r="F77964"/>
    </row>
    <row r="77965" spans="1:6" x14ac:dyDescent="0.25">
      <c r="A77965"/>
      <c r="B77965"/>
      <c r="C77965"/>
      <c r="E77965"/>
      <c r="F77965"/>
    </row>
    <row r="77966" spans="1:6" x14ac:dyDescent="0.25">
      <c r="A77966"/>
      <c r="B77966"/>
      <c r="C77966"/>
      <c r="E77966"/>
      <c r="F77966"/>
    </row>
    <row r="77967" spans="1:6" x14ac:dyDescent="0.25">
      <c r="A77967"/>
      <c r="B77967"/>
      <c r="C77967"/>
      <c r="E77967"/>
      <c r="F77967"/>
    </row>
    <row r="77968" spans="1:6" x14ac:dyDescent="0.25">
      <c r="A77968"/>
      <c r="B77968"/>
      <c r="C77968"/>
      <c r="E77968"/>
      <c r="F77968"/>
    </row>
    <row r="77969" spans="1:6" x14ac:dyDescent="0.25">
      <c r="A77969"/>
      <c r="B77969"/>
      <c r="C77969"/>
      <c r="E77969"/>
      <c r="F77969"/>
    </row>
    <row r="77970" spans="1:6" x14ac:dyDescent="0.25">
      <c r="A77970"/>
      <c r="B77970"/>
      <c r="C77970"/>
      <c r="E77970"/>
      <c r="F77970"/>
    </row>
    <row r="77971" spans="1:6" x14ac:dyDescent="0.25">
      <c r="A77971"/>
      <c r="B77971"/>
      <c r="C77971"/>
      <c r="E77971"/>
      <c r="F77971"/>
    </row>
    <row r="77972" spans="1:6" x14ac:dyDescent="0.25">
      <c r="A77972"/>
      <c r="B77972"/>
      <c r="C77972"/>
      <c r="E77972"/>
      <c r="F77972"/>
    </row>
    <row r="77973" spans="1:6" x14ac:dyDescent="0.25">
      <c r="A77973"/>
      <c r="B77973"/>
      <c r="C77973"/>
      <c r="E77973"/>
      <c r="F77973"/>
    </row>
    <row r="77974" spans="1:6" x14ac:dyDescent="0.25">
      <c r="A77974"/>
      <c r="B77974"/>
      <c r="C77974"/>
      <c r="E77974"/>
      <c r="F77974"/>
    </row>
    <row r="77975" spans="1:6" x14ac:dyDescent="0.25">
      <c r="A77975"/>
      <c r="B77975"/>
      <c r="C77975"/>
      <c r="E77975"/>
      <c r="F77975"/>
    </row>
    <row r="77976" spans="1:6" x14ac:dyDescent="0.25">
      <c r="A77976"/>
      <c r="B77976"/>
      <c r="C77976"/>
      <c r="E77976"/>
      <c r="F77976"/>
    </row>
    <row r="77977" spans="1:6" x14ac:dyDescent="0.25">
      <c r="A77977"/>
      <c r="B77977"/>
      <c r="C77977"/>
      <c r="E77977"/>
      <c r="F77977"/>
    </row>
    <row r="77978" spans="1:6" x14ac:dyDescent="0.25">
      <c r="A77978"/>
      <c r="B77978"/>
      <c r="C77978"/>
      <c r="E77978"/>
      <c r="F77978"/>
    </row>
    <row r="77979" spans="1:6" x14ac:dyDescent="0.25">
      <c r="A77979"/>
      <c r="B77979"/>
      <c r="C77979"/>
      <c r="E77979"/>
      <c r="F77979"/>
    </row>
    <row r="77980" spans="1:6" x14ac:dyDescent="0.25">
      <c r="A77980"/>
      <c r="B77980"/>
      <c r="C77980"/>
      <c r="E77980"/>
      <c r="F77980"/>
    </row>
    <row r="77981" spans="1:6" x14ac:dyDescent="0.25">
      <c r="A77981"/>
      <c r="B77981"/>
      <c r="C77981"/>
      <c r="E77981"/>
      <c r="F77981"/>
    </row>
    <row r="77982" spans="1:6" x14ac:dyDescent="0.25">
      <c r="A77982"/>
      <c r="B77982"/>
      <c r="C77982"/>
      <c r="E77982"/>
      <c r="F77982"/>
    </row>
    <row r="77983" spans="1:6" x14ac:dyDescent="0.25">
      <c r="A77983"/>
      <c r="B77983"/>
      <c r="C77983"/>
      <c r="E77983"/>
      <c r="F77983"/>
    </row>
    <row r="77984" spans="1:6" x14ac:dyDescent="0.25">
      <c r="A77984"/>
      <c r="B77984"/>
      <c r="C77984"/>
      <c r="E77984"/>
      <c r="F77984"/>
    </row>
    <row r="77985" spans="1:6" x14ac:dyDescent="0.25">
      <c r="A77985"/>
      <c r="B77985"/>
      <c r="C77985"/>
      <c r="E77985"/>
      <c r="F77985"/>
    </row>
    <row r="77986" spans="1:6" x14ac:dyDescent="0.25">
      <c r="A77986"/>
      <c r="B77986"/>
      <c r="C77986"/>
      <c r="E77986"/>
      <c r="F77986"/>
    </row>
    <row r="77987" spans="1:6" x14ac:dyDescent="0.25">
      <c r="A77987"/>
      <c r="B77987"/>
      <c r="C77987"/>
      <c r="E77987"/>
      <c r="F77987"/>
    </row>
    <row r="77988" spans="1:6" x14ac:dyDescent="0.25">
      <c r="A77988"/>
      <c r="B77988"/>
      <c r="C77988"/>
      <c r="E77988"/>
      <c r="F77988"/>
    </row>
    <row r="77989" spans="1:6" x14ac:dyDescent="0.25">
      <c r="A77989"/>
      <c r="B77989"/>
      <c r="C77989"/>
      <c r="E77989"/>
      <c r="F77989"/>
    </row>
    <row r="77990" spans="1:6" x14ac:dyDescent="0.25">
      <c r="A77990"/>
      <c r="B77990"/>
      <c r="C77990"/>
      <c r="E77990"/>
      <c r="F77990"/>
    </row>
    <row r="77991" spans="1:6" x14ac:dyDescent="0.25">
      <c r="A77991"/>
      <c r="B77991"/>
      <c r="C77991"/>
      <c r="E77991"/>
      <c r="F77991"/>
    </row>
    <row r="77992" spans="1:6" x14ac:dyDescent="0.25">
      <c r="A77992"/>
      <c r="B77992"/>
      <c r="C77992"/>
      <c r="E77992"/>
      <c r="F77992"/>
    </row>
    <row r="77993" spans="1:6" x14ac:dyDescent="0.25">
      <c r="A77993"/>
      <c r="B77993"/>
      <c r="C77993"/>
      <c r="E77993"/>
      <c r="F77993"/>
    </row>
    <row r="77994" spans="1:6" x14ac:dyDescent="0.25">
      <c r="A77994"/>
      <c r="B77994"/>
      <c r="C77994"/>
      <c r="E77994"/>
      <c r="F77994"/>
    </row>
    <row r="77995" spans="1:6" x14ac:dyDescent="0.25">
      <c r="A77995"/>
      <c r="B77995"/>
      <c r="C77995"/>
      <c r="E77995"/>
      <c r="F77995"/>
    </row>
    <row r="77996" spans="1:6" x14ac:dyDescent="0.25">
      <c r="A77996"/>
      <c r="B77996"/>
      <c r="C77996"/>
      <c r="E77996"/>
      <c r="F77996"/>
    </row>
    <row r="77997" spans="1:6" x14ac:dyDescent="0.25">
      <c r="A77997"/>
      <c r="B77997"/>
      <c r="C77997"/>
      <c r="E77997"/>
      <c r="F77997"/>
    </row>
    <row r="77998" spans="1:6" x14ac:dyDescent="0.25">
      <c r="A77998"/>
      <c r="B77998"/>
      <c r="C77998"/>
      <c r="E77998"/>
      <c r="F77998"/>
    </row>
    <row r="77999" spans="1:6" x14ac:dyDescent="0.25">
      <c r="A77999"/>
      <c r="B77999"/>
      <c r="C77999"/>
      <c r="E77999"/>
      <c r="F77999"/>
    </row>
    <row r="78000" spans="1:6" x14ac:dyDescent="0.25">
      <c r="A78000"/>
      <c r="B78000"/>
      <c r="C78000"/>
      <c r="E78000"/>
      <c r="F78000"/>
    </row>
    <row r="78001" spans="1:6" x14ac:dyDescent="0.25">
      <c r="A78001"/>
      <c r="B78001"/>
      <c r="C78001"/>
      <c r="E78001"/>
      <c r="F78001"/>
    </row>
    <row r="78002" spans="1:6" x14ac:dyDescent="0.25">
      <c r="A78002"/>
      <c r="B78002"/>
      <c r="C78002"/>
      <c r="E78002"/>
      <c r="F78002"/>
    </row>
    <row r="78003" spans="1:6" x14ac:dyDescent="0.25">
      <c r="A78003"/>
      <c r="B78003"/>
      <c r="C78003"/>
      <c r="E78003"/>
      <c r="F78003"/>
    </row>
    <row r="78004" spans="1:6" x14ac:dyDescent="0.25">
      <c r="A78004"/>
      <c r="B78004"/>
      <c r="C78004"/>
      <c r="E78004"/>
      <c r="F78004"/>
    </row>
    <row r="78005" spans="1:6" x14ac:dyDescent="0.25">
      <c r="A78005"/>
      <c r="B78005"/>
      <c r="C78005"/>
      <c r="E78005"/>
      <c r="F78005"/>
    </row>
    <row r="78006" spans="1:6" x14ac:dyDescent="0.25">
      <c r="A78006"/>
      <c r="B78006"/>
      <c r="C78006"/>
      <c r="E78006"/>
      <c r="F78006"/>
    </row>
    <row r="78007" spans="1:6" x14ac:dyDescent="0.25">
      <c r="A78007"/>
      <c r="B78007"/>
      <c r="C78007"/>
      <c r="E78007"/>
      <c r="F78007"/>
    </row>
    <row r="78008" spans="1:6" x14ac:dyDescent="0.25">
      <c r="A78008"/>
      <c r="B78008"/>
      <c r="C78008"/>
      <c r="E78008"/>
      <c r="F78008"/>
    </row>
    <row r="78009" spans="1:6" x14ac:dyDescent="0.25">
      <c r="A78009"/>
      <c r="B78009"/>
      <c r="C78009"/>
      <c r="E78009"/>
      <c r="F78009"/>
    </row>
    <row r="78010" spans="1:6" x14ac:dyDescent="0.25">
      <c r="A78010"/>
      <c r="B78010"/>
      <c r="C78010"/>
      <c r="E78010"/>
      <c r="F78010"/>
    </row>
    <row r="78011" spans="1:6" x14ac:dyDescent="0.25">
      <c r="A78011"/>
      <c r="B78011"/>
      <c r="C78011"/>
      <c r="E78011"/>
      <c r="F78011"/>
    </row>
    <row r="78012" spans="1:6" x14ac:dyDescent="0.25">
      <c r="A78012"/>
      <c r="B78012"/>
      <c r="C78012"/>
      <c r="E78012"/>
      <c r="F78012"/>
    </row>
    <row r="78013" spans="1:6" x14ac:dyDescent="0.25">
      <c r="A78013"/>
      <c r="B78013"/>
      <c r="C78013"/>
      <c r="E78013"/>
      <c r="F78013"/>
    </row>
    <row r="78014" spans="1:6" x14ac:dyDescent="0.25">
      <c r="A78014"/>
      <c r="B78014"/>
      <c r="C78014"/>
      <c r="E78014"/>
      <c r="F78014"/>
    </row>
    <row r="78015" spans="1:6" x14ac:dyDescent="0.25">
      <c r="A78015"/>
      <c r="B78015"/>
      <c r="C78015"/>
      <c r="E78015"/>
      <c r="F78015"/>
    </row>
    <row r="78016" spans="1:6" x14ac:dyDescent="0.25">
      <c r="A78016"/>
      <c r="B78016"/>
      <c r="C78016"/>
      <c r="E78016"/>
      <c r="F78016"/>
    </row>
    <row r="78017" spans="1:6" x14ac:dyDescent="0.25">
      <c r="A78017"/>
      <c r="B78017"/>
      <c r="C78017"/>
      <c r="E78017"/>
      <c r="F78017"/>
    </row>
    <row r="78018" spans="1:6" x14ac:dyDescent="0.25">
      <c r="A78018"/>
      <c r="B78018"/>
      <c r="C78018"/>
      <c r="E78018"/>
      <c r="F78018"/>
    </row>
    <row r="78019" spans="1:6" x14ac:dyDescent="0.25">
      <c r="A78019"/>
      <c r="B78019"/>
      <c r="C78019"/>
      <c r="E78019"/>
      <c r="F78019"/>
    </row>
    <row r="78020" spans="1:6" x14ac:dyDescent="0.25">
      <c r="A78020"/>
      <c r="B78020"/>
      <c r="C78020"/>
      <c r="E78020"/>
      <c r="F78020"/>
    </row>
    <row r="78021" spans="1:6" x14ac:dyDescent="0.25">
      <c r="A78021"/>
      <c r="B78021"/>
      <c r="C78021"/>
      <c r="E78021"/>
      <c r="F78021"/>
    </row>
    <row r="78022" spans="1:6" x14ac:dyDescent="0.25">
      <c r="A78022"/>
      <c r="B78022"/>
      <c r="C78022"/>
      <c r="E78022"/>
      <c r="F78022"/>
    </row>
    <row r="78023" spans="1:6" x14ac:dyDescent="0.25">
      <c r="A78023"/>
      <c r="B78023"/>
      <c r="C78023"/>
      <c r="E78023"/>
      <c r="F78023"/>
    </row>
    <row r="78024" spans="1:6" x14ac:dyDescent="0.25">
      <c r="A78024"/>
      <c r="B78024"/>
      <c r="C78024"/>
      <c r="E78024"/>
      <c r="F78024"/>
    </row>
    <row r="78025" spans="1:6" x14ac:dyDescent="0.25">
      <c r="A78025"/>
      <c r="B78025"/>
      <c r="C78025"/>
      <c r="E78025"/>
      <c r="F78025"/>
    </row>
    <row r="78026" spans="1:6" x14ac:dyDescent="0.25">
      <c r="A78026"/>
      <c r="B78026"/>
      <c r="C78026"/>
      <c r="E78026"/>
      <c r="F78026"/>
    </row>
    <row r="78027" spans="1:6" x14ac:dyDescent="0.25">
      <c r="A78027"/>
      <c r="B78027"/>
      <c r="C78027"/>
      <c r="E78027"/>
      <c r="F78027"/>
    </row>
    <row r="78028" spans="1:6" x14ac:dyDescent="0.25">
      <c r="A78028"/>
      <c r="B78028"/>
      <c r="C78028"/>
      <c r="E78028"/>
      <c r="F78028"/>
    </row>
    <row r="78029" spans="1:6" x14ac:dyDescent="0.25">
      <c r="A78029"/>
      <c r="B78029"/>
      <c r="C78029"/>
      <c r="E78029"/>
      <c r="F78029"/>
    </row>
    <row r="78030" spans="1:6" x14ac:dyDescent="0.25">
      <c r="A78030"/>
      <c r="B78030"/>
      <c r="C78030"/>
      <c r="E78030"/>
      <c r="F78030"/>
    </row>
    <row r="78031" spans="1:6" x14ac:dyDescent="0.25">
      <c r="A78031"/>
      <c r="B78031"/>
      <c r="C78031"/>
      <c r="E78031"/>
      <c r="F78031"/>
    </row>
    <row r="78032" spans="1:6" x14ac:dyDescent="0.25">
      <c r="A78032"/>
      <c r="B78032"/>
      <c r="C78032"/>
      <c r="E78032"/>
      <c r="F78032"/>
    </row>
    <row r="78033" spans="1:6" x14ac:dyDescent="0.25">
      <c r="A78033"/>
      <c r="B78033"/>
      <c r="C78033"/>
      <c r="E78033"/>
      <c r="F78033"/>
    </row>
    <row r="78034" spans="1:6" x14ac:dyDescent="0.25">
      <c r="A78034"/>
      <c r="B78034"/>
      <c r="C78034"/>
      <c r="E78034"/>
      <c r="F78034"/>
    </row>
    <row r="78035" spans="1:6" x14ac:dyDescent="0.25">
      <c r="A78035"/>
      <c r="B78035"/>
      <c r="C78035"/>
      <c r="E78035"/>
      <c r="F78035"/>
    </row>
    <row r="78036" spans="1:6" x14ac:dyDescent="0.25">
      <c r="A78036"/>
      <c r="B78036"/>
      <c r="C78036"/>
      <c r="E78036"/>
      <c r="F78036"/>
    </row>
    <row r="78037" spans="1:6" x14ac:dyDescent="0.25">
      <c r="A78037"/>
      <c r="B78037"/>
      <c r="C78037"/>
      <c r="E78037"/>
      <c r="F78037"/>
    </row>
    <row r="78038" spans="1:6" x14ac:dyDescent="0.25">
      <c r="A78038"/>
      <c r="B78038"/>
      <c r="C78038"/>
      <c r="E78038"/>
      <c r="F78038"/>
    </row>
    <row r="78039" spans="1:6" x14ac:dyDescent="0.25">
      <c r="A78039"/>
      <c r="B78039"/>
      <c r="C78039"/>
      <c r="E78039"/>
      <c r="F78039"/>
    </row>
    <row r="78040" spans="1:6" x14ac:dyDescent="0.25">
      <c r="A78040"/>
      <c r="B78040"/>
      <c r="C78040"/>
      <c r="E78040"/>
      <c r="F78040"/>
    </row>
    <row r="78041" spans="1:6" x14ac:dyDescent="0.25">
      <c r="A78041"/>
      <c r="B78041"/>
      <c r="C78041"/>
      <c r="E78041"/>
      <c r="F78041"/>
    </row>
    <row r="78042" spans="1:6" x14ac:dyDescent="0.25">
      <c r="A78042"/>
      <c r="B78042"/>
      <c r="C78042"/>
      <c r="E78042"/>
      <c r="F78042"/>
    </row>
    <row r="78043" spans="1:6" x14ac:dyDescent="0.25">
      <c r="A78043"/>
      <c r="B78043"/>
      <c r="C78043"/>
      <c r="E78043"/>
      <c r="F78043"/>
    </row>
    <row r="78044" spans="1:6" x14ac:dyDescent="0.25">
      <c r="A78044"/>
      <c r="B78044"/>
      <c r="C78044"/>
      <c r="E78044"/>
      <c r="F78044"/>
    </row>
    <row r="78045" spans="1:6" x14ac:dyDescent="0.25">
      <c r="A78045"/>
      <c r="B78045"/>
      <c r="C78045"/>
      <c r="E78045"/>
      <c r="F78045"/>
    </row>
    <row r="78046" spans="1:6" x14ac:dyDescent="0.25">
      <c r="A78046"/>
      <c r="B78046"/>
      <c r="C78046"/>
      <c r="E78046"/>
      <c r="F78046"/>
    </row>
    <row r="78047" spans="1:6" x14ac:dyDescent="0.25">
      <c r="A78047"/>
      <c r="B78047"/>
      <c r="C78047"/>
      <c r="E78047"/>
      <c r="F78047"/>
    </row>
    <row r="78048" spans="1:6" x14ac:dyDescent="0.25">
      <c r="A78048"/>
      <c r="B78048"/>
      <c r="C78048"/>
      <c r="E78048"/>
      <c r="F78048"/>
    </row>
    <row r="78049" spans="1:6" x14ac:dyDescent="0.25">
      <c r="A78049"/>
      <c r="B78049"/>
      <c r="C78049"/>
      <c r="E78049"/>
      <c r="F78049"/>
    </row>
    <row r="78050" spans="1:6" x14ac:dyDescent="0.25">
      <c r="A78050"/>
      <c r="B78050"/>
      <c r="C78050"/>
      <c r="E78050"/>
      <c r="F78050"/>
    </row>
    <row r="78051" spans="1:6" x14ac:dyDescent="0.25">
      <c r="A78051"/>
      <c r="B78051"/>
      <c r="C78051"/>
      <c r="E78051"/>
      <c r="F78051"/>
    </row>
    <row r="78052" spans="1:6" x14ac:dyDescent="0.25">
      <c r="A78052"/>
      <c r="B78052"/>
      <c r="C78052"/>
      <c r="E78052"/>
      <c r="F78052"/>
    </row>
    <row r="78053" spans="1:6" x14ac:dyDescent="0.25">
      <c r="A78053"/>
      <c r="B78053"/>
      <c r="C78053"/>
      <c r="E78053"/>
      <c r="F78053"/>
    </row>
    <row r="78054" spans="1:6" x14ac:dyDescent="0.25">
      <c r="A78054"/>
      <c r="B78054"/>
      <c r="C78054"/>
      <c r="E78054"/>
      <c r="F78054"/>
    </row>
    <row r="78055" spans="1:6" x14ac:dyDescent="0.25">
      <c r="A78055"/>
      <c r="B78055"/>
      <c r="C78055"/>
      <c r="E78055"/>
      <c r="F78055"/>
    </row>
    <row r="78056" spans="1:6" x14ac:dyDescent="0.25">
      <c r="A78056"/>
      <c r="B78056"/>
      <c r="C78056"/>
      <c r="E78056"/>
      <c r="F78056"/>
    </row>
    <row r="78057" spans="1:6" x14ac:dyDescent="0.25">
      <c r="A78057"/>
      <c r="B78057"/>
      <c r="C78057"/>
      <c r="E78057"/>
      <c r="F78057"/>
    </row>
    <row r="78058" spans="1:6" x14ac:dyDescent="0.25">
      <c r="A78058"/>
      <c r="B78058"/>
      <c r="C78058"/>
      <c r="E78058"/>
      <c r="F78058"/>
    </row>
    <row r="78059" spans="1:6" x14ac:dyDescent="0.25">
      <c r="A78059"/>
      <c r="B78059"/>
      <c r="C78059"/>
      <c r="E78059"/>
      <c r="F78059"/>
    </row>
    <row r="78060" spans="1:6" x14ac:dyDescent="0.25">
      <c r="A78060"/>
      <c r="B78060"/>
      <c r="C78060"/>
      <c r="E78060"/>
      <c r="F78060"/>
    </row>
    <row r="78061" spans="1:6" x14ac:dyDescent="0.25">
      <c r="A78061"/>
      <c r="B78061"/>
      <c r="C78061"/>
      <c r="E78061"/>
      <c r="F78061"/>
    </row>
    <row r="78062" spans="1:6" x14ac:dyDescent="0.25">
      <c r="A78062"/>
      <c r="B78062"/>
      <c r="C78062"/>
      <c r="E78062"/>
      <c r="F78062"/>
    </row>
    <row r="78063" spans="1:6" x14ac:dyDescent="0.25">
      <c r="A78063"/>
      <c r="B78063"/>
      <c r="C78063"/>
      <c r="E78063"/>
      <c r="F78063"/>
    </row>
    <row r="78064" spans="1:6" x14ac:dyDescent="0.25">
      <c r="A78064"/>
      <c r="B78064"/>
      <c r="C78064"/>
      <c r="E78064"/>
      <c r="F78064"/>
    </row>
    <row r="78065" spans="1:6" x14ac:dyDescent="0.25">
      <c r="A78065"/>
      <c r="B78065"/>
      <c r="C78065"/>
      <c r="E78065"/>
      <c r="F78065"/>
    </row>
    <row r="78066" spans="1:6" x14ac:dyDescent="0.25">
      <c r="A78066"/>
      <c r="B78066"/>
      <c r="C78066"/>
      <c r="E78066"/>
      <c r="F78066"/>
    </row>
    <row r="78067" spans="1:6" x14ac:dyDescent="0.25">
      <c r="A78067"/>
      <c r="B78067"/>
      <c r="C78067"/>
      <c r="E78067"/>
      <c r="F78067"/>
    </row>
    <row r="78068" spans="1:6" x14ac:dyDescent="0.25">
      <c r="A78068"/>
      <c r="B78068"/>
      <c r="C78068"/>
      <c r="E78068"/>
      <c r="F78068"/>
    </row>
    <row r="78069" spans="1:6" x14ac:dyDescent="0.25">
      <c r="A78069"/>
      <c r="B78069"/>
      <c r="C78069"/>
      <c r="E78069"/>
      <c r="F78069"/>
    </row>
    <row r="78070" spans="1:6" x14ac:dyDescent="0.25">
      <c r="A78070"/>
      <c r="B78070"/>
      <c r="C78070"/>
      <c r="E78070"/>
      <c r="F78070"/>
    </row>
    <row r="78071" spans="1:6" x14ac:dyDescent="0.25">
      <c r="A78071"/>
      <c r="B78071"/>
      <c r="C78071"/>
      <c r="E78071"/>
      <c r="F78071"/>
    </row>
    <row r="78072" spans="1:6" x14ac:dyDescent="0.25">
      <c r="A78072"/>
      <c r="B78072"/>
      <c r="C78072"/>
      <c r="E78072"/>
      <c r="F78072"/>
    </row>
    <row r="78073" spans="1:6" x14ac:dyDescent="0.25">
      <c r="A78073"/>
      <c r="B78073"/>
      <c r="C78073"/>
      <c r="E78073"/>
      <c r="F78073"/>
    </row>
    <row r="78074" spans="1:6" x14ac:dyDescent="0.25">
      <c r="A78074"/>
      <c r="B78074"/>
      <c r="C78074"/>
      <c r="E78074"/>
      <c r="F78074"/>
    </row>
    <row r="78075" spans="1:6" x14ac:dyDescent="0.25">
      <c r="A78075"/>
      <c r="B78075"/>
      <c r="C78075"/>
      <c r="E78075"/>
      <c r="F78075"/>
    </row>
    <row r="78076" spans="1:6" x14ac:dyDescent="0.25">
      <c r="A78076"/>
      <c r="B78076"/>
      <c r="C78076"/>
      <c r="E78076"/>
      <c r="F78076"/>
    </row>
    <row r="78077" spans="1:6" x14ac:dyDescent="0.25">
      <c r="A78077"/>
      <c r="B78077"/>
      <c r="C78077"/>
      <c r="E78077"/>
      <c r="F78077"/>
    </row>
    <row r="78078" spans="1:6" x14ac:dyDescent="0.25">
      <c r="A78078"/>
      <c r="B78078"/>
      <c r="C78078"/>
      <c r="E78078"/>
      <c r="F78078"/>
    </row>
    <row r="78079" spans="1:6" x14ac:dyDescent="0.25">
      <c r="A78079"/>
      <c r="B78079"/>
      <c r="C78079"/>
      <c r="E78079"/>
      <c r="F78079"/>
    </row>
    <row r="78080" spans="1:6" x14ac:dyDescent="0.25">
      <c r="A78080"/>
      <c r="B78080"/>
      <c r="C78080"/>
      <c r="E78080"/>
      <c r="F78080"/>
    </row>
    <row r="78081" spans="1:6" x14ac:dyDescent="0.25">
      <c r="A78081"/>
      <c r="B78081"/>
      <c r="C78081"/>
      <c r="E78081"/>
      <c r="F78081"/>
    </row>
    <row r="78082" spans="1:6" x14ac:dyDescent="0.25">
      <c r="A78082"/>
      <c r="B78082"/>
      <c r="C78082"/>
      <c r="E78082"/>
      <c r="F78082"/>
    </row>
    <row r="78083" spans="1:6" x14ac:dyDescent="0.25">
      <c r="A78083"/>
      <c r="B78083"/>
      <c r="C78083"/>
      <c r="E78083"/>
      <c r="F78083"/>
    </row>
    <row r="78084" spans="1:6" x14ac:dyDescent="0.25">
      <c r="A78084"/>
      <c r="B78084"/>
      <c r="C78084"/>
      <c r="E78084"/>
      <c r="F78084"/>
    </row>
    <row r="78085" spans="1:6" x14ac:dyDescent="0.25">
      <c r="A78085"/>
      <c r="B78085"/>
      <c r="C78085"/>
      <c r="E78085"/>
      <c r="F78085"/>
    </row>
    <row r="78086" spans="1:6" x14ac:dyDescent="0.25">
      <c r="A78086"/>
      <c r="B78086"/>
      <c r="C78086"/>
      <c r="E78086"/>
      <c r="F78086"/>
    </row>
    <row r="78087" spans="1:6" x14ac:dyDescent="0.25">
      <c r="A78087"/>
      <c r="B78087"/>
      <c r="C78087"/>
      <c r="E78087"/>
      <c r="F78087"/>
    </row>
    <row r="78088" spans="1:6" x14ac:dyDescent="0.25">
      <c r="A78088"/>
      <c r="B78088"/>
      <c r="C78088"/>
      <c r="E78088"/>
      <c r="F78088"/>
    </row>
    <row r="78089" spans="1:6" x14ac:dyDescent="0.25">
      <c r="A78089"/>
      <c r="B78089"/>
      <c r="C78089"/>
      <c r="E78089"/>
      <c r="F78089"/>
    </row>
    <row r="78090" spans="1:6" x14ac:dyDescent="0.25">
      <c r="A78090"/>
      <c r="B78090"/>
      <c r="C78090"/>
      <c r="E78090"/>
      <c r="F78090"/>
    </row>
    <row r="78091" spans="1:6" x14ac:dyDescent="0.25">
      <c r="A78091"/>
      <c r="B78091"/>
      <c r="C78091"/>
      <c r="E78091"/>
      <c r="F78091"/>
    </row>
    <row r="78092" spans="1:6" x14ac:dyDescent="0.25">
      <c r="A78092"/>
      <c r="B78092"/>
      <c r="C78092"/>
      <c r="E78092"/>
      <c r="F78092"/>
    </row>
    <row r="78093" spans="1:6" x14ac:dyDescent="0.25">
      <c r="A78093"/>
      <c r="B78093"/>
      <c r="C78093"/>
      <c r="E78093"/>
      <c r="F78093"/>
    </row>
    <row r="78094" spans="1:6" x14ac:dyDescent="0.25">
      <c r="A78094"/>
      <c r="B78094"/>
      <c r="C78094"/>
      <c r="E78094"/>
      <c r="F78094"/>
    </row>
    <row r="78095" spans="1:6" x14ac:dyDescent="0.25">
      <c r="A78095"/>
      <c r="B78095"/>
      <c r="C78095"/>
      <c r="E78095"/>
      <c r="F78095"/>
    </row>
    <row r="78096" spans="1:6" x14ac:dyDescent="0.25">
      <c r="A78096"/>
      <c r="B78096"/>
      <c r="C78096"/>
      <c r="E78096"/>
      <c r="F78096"/>
    </row>
    <row r="78097" spans="1:6" x14ac:dyDescent="0.25">
      <c r="A78097"/>
      <c r="B78097"/>
      <c r="C78097"/>
      <c r="E78097"/>
      <c r="F78097"/>
    </row>
    <row r="78098" spans="1:6" x14ac:dyDescent="0.25">
      <c r="A78098"/>
      <c r="B78098"/>
      <c r="C78098"/>
      <c r="E78098"/>
      <c r="F78098"/>
    </row>
    <row r="78099" spans="1:6" x14ac:dyDescent="0.25">
      <c r="A78099"/>
      <c r="B78099"/>
      <c r="C78099"/>
      <c r="E78099"/>
      <c r="F78099"/>
    </row>
    <row r="78100" spans="1:6" x14ac:dyDescent="0.25">
      <c r="A78100"/>
      <c r="B78100"/>
      <c r="C78100"/>
      <c r="E78100"/>
      <c r="F78100"/>
    </row>
    <row r="78101" spans="1:6" x14ac:dyDescent="0.25">
      <c r="A78101"/>
      <c r="B78101"/>
      <c r="C78101"/>
      <c r="E78101"/>
      <c r="F78101"/>
    </row>
    <row r="78102" spans="1:6" x14ac:dyDescent="0.25">
      <c r="A78102"/>
      <c r="B78102"/>
      <c r="C78102"/>
      <c r="E78102"/>
      <c r="F78102"/>
    </row>
    <row r="78103" spans="1:6" x14ac:dyDescent="0.25">
      <c r="A78103"/>
      <c r="B78103"/>
      <c r="C78103"/>
      <c r="E78103"/>
      <c r="F78103"/>
    </row>
    <row r="78104" spans="1:6" x14ac:dyDescent="0.25">
      <c r="A78104"/>
      <c r="B78104"/>
      <c r="C78104"/>
      <c r="E78104"/>
      <c r="F78104"/>
    </row>
    <row r="78105" spans="1:6" x14ac:dyDescent="0.25">
      <c r="A78105"/>
      <c r="B78105"/>
      <c r="C78105"/>
      <c r="E78105"/>
      <c r="F78105"/>
    </row>
    <row r="78106" spans="1:6" x14ac:dyDescent="0.25">
      <c r="A78106"/>
      <c r="B78106"/>
      <c r="C78106"/>
      <c r="E78106"/>
      <c r="F78106"/>
    </row>
    <row r="78107" spans="1:6" x14ac:dyDescent="0.25">
      <c r="A78107"/>
      <c r="B78107"/>
      <c r="C78107"/>
      <c r="E78107"/>
      <c r="F78107"/>
    </row>
    <row r="78108" spans="1:6" x14ac:dyDescent="0.25">
      <c r="A78108"/>
      <c r="B78108"/>
      <c r="C78108"/>
      <c r="E78108"/>
      <c r="F78108"/>
    </row>
    <row r="78109" spans="1:6" x14ac:dyDescent="0.25">
      <c r="A78109"/>
      <c r="B78109"/>
      <c r="C78109"/>
      <c r="E78109"/>
      <c r="F78109"/>
    </row>
    <row r="78110" spans="1:6" x14ac:dyDescent="0.25">
      <c r="A78110"/>
      <c r="B78110"/>
      <c r="C78110"/>
      <c r="E78110"/>
      <c r="F78110"/>
    </row>
    <row r="78111" spans="1:6" x14ac:dyDescent="0.25">
      <c r="A78111"/>
      <c r="B78111"/>
      <c r="C78111"/>
      <c r="E78111"/>
      <c r="F78111"/>
    </row>
    <row r="78112" spans="1:6" x14ac:dyDescent="0.25">
      <c r="A78112"/>
      <c r="B78112"/>
      <c r="C78112"/>
      <c r="E78112"/>
      <c r="F78112"/>
    </row>
    <row r="78113" spans="1:6" x14ac:dyDescent="0.25">
      <c r="A78113"/>
      <c r="B78113"/>
      <c r="C78113"/>
      <c r="E78113"/>
      <c r="F78113"/>
    </row>
    <row r="78114" spans="1:6" x14ac:dyDescent="0.25">
      <c r="A78114"/>
      <c r="B78114"/>
      <c r="C78114"/>
      <c r="E78114"/>
      <c r="F78114"/>
    </row>
    <row r="78115" spans="1:6" x14ac:dyDescent="0.25">
      <c r="A78115"/>
      <c r="B78115"/>
      <c r="C78115"/>
      <c r="E78115"/>
      <c r="F78115"/>
    </row>
    <row r="78116" spans="1:6" x14ac:dyDescent="0.25">
      <c r="A78116"/>
      <c r="B78116"/>
      <c r="C78116"/>
      <c r="E78116"/>
      <c r="F78116"/>
    </row>
    <row r="78117" spans="1:6" x14ac:dyDescent="0.25">
      <c r="A78117"/>
      <c r="B78117"/>
      <c r="C78117"/>
      <c r="E78117"/>
      <c r="F78117"/>
    </row>
    <row r="78118" spans="1:6" x14ac:dyDescent="0.25">
      <c r="A78118"/>
      <c r="B78118"/>
      <c r="C78118"/>
      <c r="E78118"/>
      <c r="F78118"/>
    </row>
    <row r="78119" spans="1:6" x14ac:dyDescent="0.25">
      <c r="A78119"/>
      <c r="B78119"/>
      <c r="C78119"/>
      <c r="E78119"/>
      <c r="F78119"/>
    </row>
    <row r="78120" spans="1:6" x14ac:dyDescent="0.25">
      <c r="A78120"/>
      <c r="B78120"/>
      <c r="C78120"/>
      <c r="E78120"/>
      <c r="F78120"/>
    </row>
    <row r="78121" spans="1:6" x14ac:dyDescent="0.25">
      <c r="A78121"/>
      <c r="B78121"/>
      <c r="C78121"/>
      <c r="E78121"/>
      <c r="F78121"/>
    </row>
    <row r="78122" spans="1:6" x14ac:dyDescent="0.25">
      <c r="A78122"/>
      <c r="B78122"/>
      <c r="C78122"/>
      <c r="E78122"/>
      <c r="F78122"/>
    </row>
    <row r="78123" spans="1:6" x14ac:dyDescent="0.25">
      <c r="A78123"/>
      <c r="B78123"/>
      <c r="C78123"/>
      <c r="E78123"/>
      <c r="F78123"/>
    </row>
    <row r="78124" spans="1:6" x14ac:dyDescent="0.25">
      <c r="A78124"/>
      <c r="B78124"/>
      <c r="C78124"/>
      <c r="E78124"/>
      <c r="F78124"/>
    </row>
    <row r="78125" spans="1:6" x14ac:dyDescent="0.25">
      <c r="A78125"/>
      <c r="B78125"/>
      <c r="C78125"/>
      <c r="E78125"/>
      <c r="F78125"/>
    </row>
    <row r="78126" spans="1:6" x14ac:dyDescent="0.25">
      <c r="A78126"/>
      <c r="B78126"/>
      <c r="C78126"/>
      <c r="E78126"/>
      <c r="F78126"/>
    </row>
    <row r="78127" spans="1:6" x14ac:dyDescent="0.25">
      <c r="A78127"/>
      <c r="B78127"/>
      <c r="C78127"/>
      <c r="E78127"/>
      <c r="F78127"/>
    </row>
    <row r="78128" spans="1:6" x14ac:dyDescent="0.25">
      <c r="A78128"/>
      <c r="B78128"/>
      <c r="C78128"/>
      <c r="E78128"/>
      <c r="F78128"/>
    </row>
    <row r="78129" spans="1:6" x14ac:dyDescent="0.25">
      <c r="A78129"/>
      <c r="B78129"/>
      <c r="C78129"/>
      <c r="E78129"/>
      <c r="F78129"/>
    </row>
    <row r="78130" spans="1:6" x14ac:dyDescent="0.25">
      <c r="A78130"/>
      <c r="B78130"/>
      <c r="C78130"/>
      <c r="E78130"/>
      <c r="F78130"/>
    </row>
    <row r="78131" spans="1:6" x14ac:dyDescent="0.25">
      <c r="A78131"/>
      <c r="B78131"/>
      <c r="C78131"/>
      <c r="E78131"/>
      <c r="F78131"/>
    </row>
    <row r="78132" spans="1:6" x14ac:dyDescent="0.25">
      <c r="A78132"/>
      <c r="B78132"/>
      <c r="C78132"/>
      <c r="E78132"/>
      <c r="F78132"/>
    </row>
    <row r="78133" spans="1:6" x14ac:dyDescent="0.25">
      <c r="A78133"/>
      <c r="B78133"/>
      <c r="C78133"/>
      <c r="E78133"/>
      <c r="F78133"/>
    </row>
    <row r="78134" spans="1:6" x14ac:dyDescent="0.25">
      <c r="A78134"/>
      <c r="B78134"/>
      <c r="C78134"/>
      <c r="E78134"/>
      <c r="F78134"/>
    </row>
    <row r="78135" spans="1:6" x14ac:dyDescent="0.25">
      <c r="A78135"/>
      <c r="B78135"/>
      <c r="C78135"/>
      <c r="E78135"/>
      <c r="F78135"/>
    </row>
    <row r="78136" spans="1:6" x14ac:dyDescent="0.25">
      <c r="A78136"/>
      <c r="B78136"/>
      <c r="C78136"/>
      <c r="E78136"/>
      <c r="F78136"/>
    </row>
    <row r="78137" spans="1:6" x14ac:dyDescent="0.25">
      <c r="A78137"/>
      <c r="B78137"/>
      <c r="C78137"/>
      <c r="E78137"/>
      <c r="F78137"/>
    </row>
    <row r="78138" spans="1:6" x14ac:dyDescent="0.25">
      <c r="A78138"/>
      <c r="B78138"/>
      <c r="C78138"/>
      <c r="E78138"/>
      <c r="F78138"/>
    </row>
    <row r="78139" spans="1:6" x14ac:dyDescent="0.25">
      <c r="A78139"/>
      <c r="B78139"/>
      <c r="C78139"/>
      <c r="E78139"/>
      <c r="F78139"/>
    </row>
    <row r="78140" spans="1:6" x14ac:dyDescent="0.25">
      <c r="A78140"/>
      <c r="B78140"/>
      <c r="C78140"/>
      <c r="E78140"/>
      <c r="F78140"/>
    </row>
    <row r="78141" spans="1:6" x14ac:dyDescent="0.25">
      <c r="A78141"/>
      <c r="B78141"/>
      <c r="C78141"/>
      <c r="E78141"/>
      <c r="F78141"/>
    </row>
    <row r="78142" spans="1:6" x14ac:dyDescent="0.25">
      <c r="A78142"/>
      <c r="B78142"/>
      <c r="C78142"/>
      <c r="E78142"/>
      <c r="F78142"/>
    </row>
    <row r="78143" spans="1:6" x14ac:dyDescent="0.25">
      <c r="A78143"/>
      <c r="B78143"/>
      <c r="C78143"/>
      <c r="E78143"/>
      <c r="F78143"/>
    </row>
    <row r="78144" spans="1:6" x14ac:dyDescent="0.25">
      <c r="A78144"/>
      <c r="B78144"/>
      <c r="C78144"/>
      <c r="E78144"/>
      <c r="F78144"/>
    </row>
    <row r="78145" spans="1:6" x14ac:dyDescent="0.25">
      <c r="A78145"/>
      <c r="B78145"/>
      <c r="C78145"/>
      <c r="E78145"/>
      <c r="F78145"/>
    </row>
    <row r="78146" spans="1:6" x14ac:dyDescent="0.25">
      <c r="A78146"/>
      <c r="B78146"/>
      <c r="C78146"/>
      <c r="E78146"/>
      <c r="F78146"/>
    </row>
    <row r="78147" spans="1:6" x14ac:dyDescent="0.25">
      <c r="A78147"/>
      <c r="B78147"/>
      <c r="C78147"/>
      <c r="E78147"/>
      <c r="F78147"/>
    </row>
    <row r="78148" spans="1:6" x14ac:dyDescent="0.25">
      <c r="A78148"/>
      <c r="B78148"/>
      <c r="C78148"/>
      <c r="E78148"/>
      <c r="F78148"/>
    </row>
    <row r="78149" spans="1:6" x14ac:dyDescent="0.25">
      <c r="A78149"/>
      <c r="B78149"/>
      <c r="C78149"/>
      <c r="E78149"/>
      <c r="F78149"/>
    </row>
    <row r="78150" spans="1:6" x14ac:dyDescent="0.25">
      <c r="A78150"/>
      <c r="B78150"/>
      <c r="C78150"/>
      <c r="E78150"/>
      <c r="F78150"/>
    </row>
    <row r="78151" spans="1:6" x14ac:dyDescent="0.25">
      <c r="A78151"/>
      <c r="B78151"/>
      <c r="C78151"/>
      <c r="E78151"/>
      <c r="F78151"/>
    </row>
    <row r="78152" spans="1:6" x14ac:dyDescent="0.25">
      <c r="A78152"/>
      <c r="B78152"/>
      <c r="C78152"/>
      <c r="E78152"/>
      <c r="F78152"/>
    </row>
    <row r="78153" spans="1:6" x14ac:dyDescent="0.25">
      <c r="A78153"/>
      <c r="B78153"/>
      <c r="C78153"/>
      <c r="E78153"/>
      <c r="F78153"/>
    </row>
    <row r="78154" spans="1:6" x14ac:dyDescent="0.25">
      <c r="A78154"/>
      <c r="B78154"/>
      <c r="C78154"/>
      <c r="E78154"/>
      <c r="F78154"/>
    </row>
    <row r="78155" spans="1:6" x14ac:dyDescent="0.25">
      <c r="A78155"/>
      <c r="B78155"/>
      <c r="C78155"/>
      <c r="E78155"/>
      <c r="F78155"/>
    </row>
    <row r="78156" spans="1:6" x14ac:dyDescent="0.25">
      <c r="A78156"/>
      <c r="B78156"/>
      <c r="C78156"/>
      <c r="E78156"/>
      <c r="F78156"/>
    </row>
    <row r="78157" spans="1:6" x14ac:dyDescent="0.25">
      <c r="A78157"/>
      <c r="B78157"/>
      <c r="C78157"/>
      <c r="E78157"/>
      <c r="F78157"/>
    </row>
    <row r="78158" spans="1:6" x14ac:dyDescent="0.25">
      <c r="A78158"/>
      <c r="B78158"/>
      <c r="C78158"/>
      <c r="E78158"/>
      <c r="F78158"/>
    </row>
    <row r="78159" spans="1:6" x14ac:dyDescent="0.25">
      <c r="A78159"/>
      <c r="B78159"/>
      <c r="C78159"/>
      <c r="E78159"/>
      <c r="F78159"/>
    </row>
    <row r="78160" spans="1:6" x14ac:dyDescent="0.25">
      <c r="A78160"/>
      <c r="B78160"/>
      <c r="C78160"/>
      <c r="E78160"/>
      <c r="F78160"/>
    </row>
    <row r="78161" spans="1:6" x14ac:dyDescent="0.25">
      <c r="A78161"/>
      <c r="B78161"/>
      <c r="C78161"/>
      <c r="E78161"/>
      <c r="F78161"/>
    </row>
    <row r="78162" spans="1:6" x14ac:dyDescent="0.25">
      <c r="A78162"/>
      <c r="B78162"/>
      <c r="C78162"/>
      <c r="E78162"/>
      <c r="F78162"/>
    </row>
    <row r="78163" spans="1:6" x14ac:dyDescent="0.25">
      <c r="A78163"/>
      <c r="B78163"/>
      <c r="C78163"/>
      <c r="E78163"/>
      <c r="F78163"/>
    </row>
    <row r="78164" spans="1:6" x14ac:dyDescent="0.25">
      <c r="A78164"/>
      <c r="B78164"/>
      <c r="C78164"/>
      <c r="E78164"/>
      <c r="F78164"/>
    </row>
    <row r="78165" spans="1:6" x14ac:dyDescent="0.25">
      <c r="A78165"/>
      <c r="B78165"/>
      <c r="C78165"/>
      <c r="E78165"/>
      <c r="F78165"/>
    </row>
    <row r="78166" spans="1:6" x14ac:dyDescent="0.25">
      <c r="A78166"/>
      <c r="B78166"/>
      <c r="C78166"/>
      <c r="E78166"/>
      <c r="F78166"/>
    </row>
    <row r="78167" spans="1:6" x14ac:dyDescent="0.25">
      <c r="A78167"/>
      <c r="B78167"/>
      <c r="C78167"/>
      <c r="E78167"/>
      <c r="F78167"/>
    </row>
    <row r="78168" spans="1:6" x14ac:dyDescent="0.25">
      <c r="A78168"/>
      <c r="B78168"/>
      <c r="C78168"/>
      <c r="E78168"/>
      <c r="F78168"/>
    </row>
    <row r="78169" spans="1:6" x14ac:dyDescent="0.25">
      <c r="A78169"/>
      <c r="B78169"/>
      <c r="C78169"/>
      <c r="E78169"/>
      <c r="F78169"/>
    </row>
    <row r="78170" spans="1:6" x14ac:dyDescent="0.25">
      <c r="A78170"/>
      <c r="B78170"/>
      <c r="C78170"/>
      <c r="E78170"/>
      <c r="F78170"/>
    </row>
    <row r="78171" spans="1:6" x14ac:dyDescent="0.25">
      <c r="A78171"/>
      <c r="B78171"/>
      <c r="C78171"/>
      <c r="E78171"/>
      <c r="F78171"/>
    </row>
    <row r="78172" spans="1:6" x14ac:dyDescent="0.25">
      <c r="A78172"/>
      <c r="B78172"/>
      <c r="C78172"/>
      <c r="E78172"/>
      <c r="F78172"/>
    </row>
    <row r="78173" spans="1:6" x14ac:dyDescent="0.25">
      <c r="A78173"/>
      <c r="B78173"/>
      <c r="C78173"/>
      <c r="E78173"/>
      <c r="F78173"/>
    </row>
    <row r="78174" spans="1:6" x14ac:dyDescent="0.25">
      <c r="A78174"/>
      <c r="B78174"/>
      <c r="C78174"/>
      <c r="E78174"/>
      <c r="F78174"/>
    </row>
    <row r="78175" spans="1:6" x14ac:dyDescent="0.25">
      <c r="A78175"/>
      <c r="B78175"/>
      <c r="C78175"/>
      <c r="E78175"/>
      <c r="F78175"/>
    </row>
    <row r="78176" spans="1:6" x14ac:dyDescent="0.25">
      <c r="A78176"/>
      <c r="B78176"/>
      <c r="C78176"/>
      <c r="E78176"/>
      <c r="F78176"/>
    </row>
    <row r="78177" spans="1:6" x14ac:dyDescent="0.25">
      <c r="A78177"/>
      <c r="B78177"/>
      <c r="C78177"/>
      <c r="E78177"/>
      <c r="F78177"/>
    </row>
    <row r="78178" spans="1:6" x14ac:dyDescent="0.25">
      <c r="A78178"/>
      <c r="B78178"/>
      <c r="C78178"/>
      <c r="E78178"/>
      <c r="F78178"/>
    </row>
    <row r="78179" spans="1:6" x14ac:dyDescent="0.25">
      <c r="A78179"/>
      <c r="B78179"/>
      <c r="C78179"/>
      <c r="E78179"/>
      <c r="F78179"/>
    </row>
    <row r="78180" spans="1:6" x14ac:dyDescent="0.25">
      <c r="A78180"/>
      <c r="B78180"/>
      <c r="C78180"/>
      <c r="E78180"/>
      <c r="F78180"/>
    </row>
    <row r="78181" spans="1:6" x14ac:dyDescent="0.25">
      <c r="A78181"/>
      <c r="B78181"/>
      <c r="C78181"/>
      <c r="E78181"/>
      <c r="F78181"/>
    </row>
    <row r="78182" spans="1:6" x14ac:dyDescent="0.25">
      <c r="A78182"/>
      <c r="B78182"/>
      <c r="C78182"/>
      <c r="E78182"/>
      <c r="F78182"/>
    </row>
    <row r="78183" spans="1:6" x14ac:dyDescent="0.25">
      <c r="A78183"/>
      <c r="B78183"/>
      <c r="C78183"/>
      <c r="E78183"/>
      <c r="F78183"/>
    </row>
    <row r="78184" spans="1:6" x14ac:dyDescent="0.25">
      <c r="A78184"/>
      <c r="B78184"/>
      <c r="C78184"/>
      <c r="E78184"/>
      <c r="F78184"/>
    </row>
    <row r="78185" spans="1:6" x14ac:dyDescent="0.25">
      <c r="A78185"/>
      <c r="B78185"/>
      <c r="C78185"/>
      <c r="E78185"/>
      <c r="F78185"/>
    </row>
    <row r="78186" spans="1:6" x14ac:dyDescent="0.25">
      <c r="A78186"/>
      <c r="B78186"/>
      <c r="C78186"/>
      <c r="E78186"/>
      <c r="F78186"/>
    </row>
    <row r="78187" spans="1:6" x14ac:dyDescent="0.25">
      <c r="A78187"/>
      <c r="B78187"/>
      <c r="C78187"/>
      <c r="E78187"/>
      <c r="F78187"/>
    </row>
    <row r="78188" spans="1:6" x14ac:dyDescent="0.25">
      <c r="A78188"/>
      <c r="B78188"/>
      <c r="C78188"/>
      <c r="E78188"/>
      <c r="F78188"/>
    </row>
    <row r="78189" spans="1:6" x14ac:dyDescent="0.25">
      <c r="A78189"/>
      <c r="B78189"/>
      <c r="C78189"/>
      <c r="E78189"/>
      <c r="F78189"/>
    </row>
    <row r="78190" spans="1:6" x14ac:dyDescent="0.25">
      <c r="A78190"/>
      <c r="B78190"/>
      <c r="C78190"/>
      <c r="E78190"/>
      <c r="F78190"/>
    </row>
    <row r="78191" spans="1:6" x14ac:dyDescent="0.25">
      <c r="A78191"/>
      <c r="B78191"/>
      <c r="C78191"/>
      <c r="E78191"/>
      <c r="F78191"/>
    </row>
    <row r="78192" spans="1:6" x14ac:dyDescent="0.25">
      <c r="A78192"/>
      <c r="B78192"/>
      <c r="C78192"/>
      <c r="E78192"/>
      <c r="F78192"/>
    </row>
    <row r="78193" spans="1:6" x14ac:dyDescent="0.25">
      <c r="A78193"/>
      <c r="B78193"/>
      <c r="C78193"/>
      <c r="E78193"/>
      <c r="F78193"/>
    </row>
    <row r="78194" spans="1:6" x14ac:dyDescent="0.25">
      <c r="A78194"/>
      <c r="B78194"/>
      <c r="C78194"/>
      <c r="E78194"/>
      <c r="F78194"/>
    </row>
    <row r="78195" spans="1:6" x14ac:dyDescent="0.25">
      <c r="A78195"/>
      <c r="B78195"/>
      <c r="C78195"/>
      <c r="E78195"/>
      <c r="F78195"/>
    </row>
    <row r="78196" spans="1:6" x14ac:dyDescent="0.25">
      <c r="A78196"/>
      <c r="B78196"/>
      <c r="C78196"/>
      <c r="E78196"/>
      <c r="F78196"/>
    </row>
    <row r="78197" spans="1:6" x14ac:dyDescent="0.25">
      <c r="A78197"/>
      <c r="B78197"/>
      <c r="C78197"/>
      <c r="E78197"/>
      <c r="F78197"/>
    </row>
    <row r="78198" spans="1:6" x14ac:dyDescent="0.25">
      <c r="A78198"/>
      <c r="B78198"/>
      <c r="C78198"/>
      <c r="E78198"/>
      <c r="F78198"/>
    </row>
    <row r="78199" spans="1:6" x14ac:dyDescent="0.25">
      <c r="A78199"/>
      <c r="B78199"/>
      <c r="C78199"/>
      <c r="E78199"/>
      <c r="F78199"/>
    </row>
    <row r="78200" spans="1:6" x14ac:dyDescent="0.25">
      <c r="A78200"/>
      <c r="B78200"/>
      <c r="C78200"/>
      <c r="E78200"/>
      <c r="F78200"/>
    </row>
    <row r="78201" spans="1:6" x14ac:dyDescent="0.25">
      <c r="A78201"/>
      <c r="B78201"/>
      <c r="C78201"/>
      <c r="E78201"/>
      <c r="F78201"/>
    </row>
    <row r="78202" spans="1:6" x14ac:dyDescent="0.25">
      <c r="A78202"/>
      <c r="B78202"/>
      <c r="C78202"/>
      <c r="E78202"/>
      <c r="F78202"/>
    </row>
    <row r="78203" spans="1:6" x14ac:dyDescent="0.25">
      <c r="A78203"/>
      <c r="B78203"/>
      <c r="C78203"/>
      <c r="E78203"/>
      <c r="F78203"/>
    </row>
    <row r="78204" spans="1:6" x14ac:dyDescent="0.25">
      <c r="A78204"/>
      <c r="B78204"/>
      <c r="C78204"/>
      <c r="E78204"/>
      <c r="F78204"/>
    </row>
    <row r="78205" spans="1:6" x14ac:dyDescent="0.25">
      <c r="A78205"/>
      <c r="B78205"/>
      <c r="C78205"/>
      <c r="E78205"/>
      <c r="F78205"/>
    </row>
    <row r="78206" spans="1:6" x14ac:dyDescent="0.25">
      <c r="A78206"/>
      <c r="B78206"/>
      <c r="C78206"/>
      <c r="E78206"/>
      <c r="F78206"/>
    </row>
    <row r="78207" spans="1:6" x14ac:dyDescent="0.25">
      <c r="A78207"/>
      <c r="B78207"/>
      <c r="C78207"/>
      <c r="E78207"/>
      <c r="F78207"/>
    </row>
    <row r="78208" spans="1:6" x14ac:dyDescent="0.25">
      <c r="A78208"/>
      <c r="B78208"/>
      <c r="C78208"/>
      <c r="E78208"/>
      <c r="F78208"/>
    </row>
    <row r="78209" spans="1:6" x14ac:dyDescent="0.25">
      <c r="A78209"/>
      <c r="B78209"/>
      <c r="C78209"/>
      <c r="E78209"/>
      <c r="F78209"/>
    </row>
    <row r="78210" spans="1:6" x14ac:dyDescent="0.25">
      <c r="A78210"/>
      <c r="B78210"/>
      <c r="C78210"/>
      <c r="E78210"/>
      <c r="F78210"/>
    </row>
    <row r="78211" spans="1:6" x14ac:dyDescent="0.25">
      <c r="A78211"/>
      <c r="B78211"/>
      <c r="C78211"/>
      <c r="E78211"/>
      <c r="F78211"/>
    </row>
    <row r="78212" spans="1:6" x14ac:dyDescent="0.25">
      <c r="A78212"/>
      <c r="B78212"/>
      <c r="C78212"/>
      <c r="E78212"/>
      <c r="F78212"/>
    </row>
    <row r="78213" spans="1:6" x14ac:dyDescent="0.25">
      <c r="A78213"/>
      <c r="B78213"/>
      <c r="C78213"/>
      <c r="E78213"/>
      <c r="F78213"/>
    </row>
    <row r="78214" spans="1:6" x14ac:dyDescent="0.25">
      <c r="A78214"/>
      <c r="B78214"/>
      <c r="C78214"/>
      <c r="E78214"/>
      <c r="F78214"/>
    </row>
    <row r="78215" spans="1:6" x14ac:dyDescent="0.25">
      <c r="A78215"/>
      <c r="B78215"/>
      <c r="C78215"/>
      <c r="E78215"/>
      <c r="F78215"/>
    </row>
    <row r="78216" spans="1:6" x14ac:dyDescent="0.25">
      <c r="A78216"/>
      <c r="B78216"/>
      <c r="C78216"/>
      <c r="E78216"/>
      <c r="F78216"/>
    </row>
    <row r="78217" spans="1:6" x14ac:dyDescent="0.25">
      <c r="A78217"/>
      <c r="B78217"/>
      <c r="C78217"/>
      <c r="E78217"/>
      <c r="F78217"/>
    </row>
    <row r="78218" spans="1:6" x14ac:dyDescent="0.25">
      <c r="A78218"/>
      <c r="B78218"/>
      <c r="C78218"/>
      <c r="E78218"/>
      <c r="F78218"/>
    </row>
    <row r="78219" spans="1:6" x14ac:dyDescent="0.25">
      <c r="A78219"/>
      <c r="B78219"/>
      <c r="C78219"/>
      <c r="E78219"/>
      <c r="F78219"/>
    </row>
    <row r="78220" spans="1:6" x14ac:dyDescent="0.25">
      <c r="A78220"/>
      <c r="B78220"/>
      <c r="C78220"/>
      <c r="E78220"/>
      <c r="F78220"/>
    </row>
    <row r="78221" spans="1:6" x14ac:dyDescent="0.25">
      <c r="A78221"/>
      <c r="B78221"/>
      <c r="C78221"/>
      <c r="E78221"/>
      <c r="F78221"/>
    </row>
    <row r="78222" spans="1:6" x14ac:dyDescent="0.25">
      <c r="A78222"/>
      <c r="B78222"/>
      <c r="C78222"/>
      <c r="E78222"/>
      <c r="F78222"/>
    </row>
    <row r="78223" spans="1:6" x14ac:dyDescent="0.25">
      <c r="A78223"/>
      <c r="B78223"/>
      <c r="C78223"/>
      <c r="E78223"/>
      <c r="F78223"/>
    </row>
    <row r="78224" spans="1:6" x14ac:dyDescent="0.25">
      <c r="A78224"/>
      <c r="B78224"/>
      <c r="C78224"/>
      <c r="E78224"/>
      <c r="F78224"/>
    </row>
    <row r="78225" spans="1:6" x14ac:dyDescent="0.25">
      <c r="A78225"/>
      <c r="B78225"/>
      <c r="C78225"/>
      <c r="E78225"/>
      <c r="F78225"/>
    </row>
    <row r="78226" spans="1:6" x14ac:dyDescent="0.25">
      <c r="A78226"/>
      <c r="B78226"/>
      <c r="C78226"/>
      <c r="E78226"/>
      <c r="F78226"/>
    </row>
    <row r="78227" spans="1:6" x14ac:dyDescent="0.25">
      <c r="A78227"/>
      <c r="B78227"/>
      <c r="C78227"/>
      <c r="E78227"/>
      <c r="F78227"/>
    </row>
    <row r="78228" spans="1:6" x14ac:dyDescent="0.25">
      <c r="A78228"/>
      <c r="B78228"/>
      <c r="C78228"/>
      <c r="E78228"/>
      <c r="F78228"/>
    </row>
    <row r="78229" spans="1:6" x14ac:dyDescent="0.25">
      <c r="A78229"/>
      <c r="B78229"/>
      <c r="C78229"/>
      <c r="E78229"/>
      <c r="F78229"/>
    </row>
    <row r="78230" spans="1:6" x14ac:dyDescent="0.25">
      <c r="A78230"/>
      <c r="B78230"/>
      <c r="C78230"/>
      <c r="E78230"/>
      <c r="F78230"/>
    </row>
    <row r="78231" spans="1:6" x14ac:dyDescent="0.25">
      <c r="A78231"/>
      <c r="B78231"/>
      <c r="C78231"/>
      <c r="E78231"/>
      <c r="F78231"/>
    </row>
    <row r="78232" spans="1:6" x14ac:dyDescent="0.25">
      <c r="A78232"/>
      <c r="B78232"/>
      <c r="C78232"/>
      <c r="E78232"/>
      <c r="F78232"/>
    </row>
    <row r="78233" spans="1:6" x14ac:dyDescent="0.25">
      <c r="A78233"/>
      <c r="B78233"/>
      <c r="C78233"/>
      <c r="E78233"/>
      <c r="F78233"/>
    </row>
    <row r="78234" spans="1:6" x14ac:dyDescent="0.25">
      <c r="A78234"/>
      <c r="B78234"/>
      <c r="C78234"/>
      <c r="E78234"/>
      <c r="F78234"/>
    </row>
    <row r="78235" spans="1:6" x14ac:dyDescent="0.25">
      <c r="A78235"/>
      <c r="B78235"/>
      <c r="C78235"/>
      <c r="E78235"/>
      <c r="F78235"/>
    </row>
    <row r="78236" spans="1:6" x14ac:dyDescent="0.25">
      <c r="A78236"/>
      <c r="B78236"/>
      <c r="C78236"/>
      <c r="E78236"/>
      <c r="F78236"/>
    </row>
    <row r="78237" spans="1:6" x14ac:dyDescent="0.25">
      <c r="A78237"/>
      <c r="B78237"/>
      <c r="C78237"/>
      <c r="E78237"/>
      <c r="F78237"/>
    </row>
    <row r="78238" spans="1:6" x14ac:dyDescent="0.25">
      <c r="A78238"/>
      <c r="B78238"/>
      <c r="C78238"/>
      <c r="E78238"/>
      <c r="F78238"/>
    </row>
    <row r="78239" spans="1:6" x14ac:dyDescent="0.25">
      <c r="A78239"/>
      <c r="B78239"/>
      <c r="C78239"/>
      <c r="E78239"/>
      <c r="F78239"/>
    </row>
    <row r="78240" spans="1:6" x14ac:dyDescent="0.25">
      <c r="A78240"/>
      <c r="B78240"/>
      <c r="C78240"/>
      <c r="E78240"/>
      <c r="F78240"/>
    </row>
    <row r="78241" spans="1:6" x14ac:dyDescent="0.25">
      <c r="A78241"/>
      <c r="B78241"/>
      <c r="C78241"/>
      <c r="E78241"/>
      <c r="F78241"/>
    </row>
    <row r="78242" spans="1:6" x14ac:dyDescent="0.25">
      <c r="A78242"/>
      <c r="B78242"/>
      <c r="C78242"/>
      <c r="E78242"/>
      <c r="F78242"/>
    </row>
    <row r="78243" spans="1:6" x14ac:dyDescent="0.25">
      <c r="A78243"/>
      <c r="B78243"/>
      <c r="C78243"/>
      <c r="E78243"/>
      <c r="F78243"/>
    </row>
    <row r="78244" spans="1:6" x14ac:dyDescent="0.25">
      <c r="A78244"/>
      <c r="B78244"/>
      <c r="C78244"/>
      <c r="E78244"/>
      <c r="F78244"/>
    </row>
    <row r="78245" spans="1:6" x14ac:dyDescent="0.25">
      <c r="A78245"/>
      <c r="B78245"/>
      <c r="C78245"/>
      <c r="E78245"/>
      <c r="F78245"/>
    </row>
    <row r="78246" spans="1:6" x14ac:dyDescent="0.25">
      <c r="A78246"/>
      <c r="B78246"/>
      <c r="C78246"/>
      <c r="E78246"/>
      <c r="F78246"/>
    </row>
    <row r="78247" spans="1:6" x14ac:dyDescent="0.25">
      <c r="A78247"/>
      <c r="B78247"/>
      <c r="C78247"/>
      <c r="E78247"/>
      <c r="F78247"/>
    </row>
    <row r="78248" spans="1:6" x14ac:dyDescent="0.25">
      <c r="A78248"/>
      <c r="B78248"/>
      <c r="C78248"/>
      <c r="E78248"/>
      <c r="F78248"/>
    </row>
    <row r="78249" spans="1:6" x14ac:dyDescent="0.25">
      <c r="A78249"/>
      <c r="B78249"/>
      <c r="C78249"/>
      <c r="E78249"/>
      <c r="F78249"/>
    </row>
    <row r="78250" spans="1:6" x14ac:dyDescent="0.25">
      <c r="A78250"/>
      <c r="B78250"/>
      <c r="C78250"/>
      <c r="E78250"/>
      <c r="F78250"/>
    </row>
    <row r="78251" spans="1:6" x14ac:dyDescent="0.25">
      <c r="A78251"/>
      <c r="B78251"/>
      <c r="C78251"/>
      <c r="E78251"/>
      <c r="F78251"/>
    </row>
    <row r="78252" spans="1:6" x14ac:dyDescent="0.25">
      <c r="A78252"/>
      <c r="B78252"/>
      <c r="C78252"/>
      <c r="E78252"/>
      <c r="F78252"/>
    </row>
    <row r="78253" spans="1:6" x14ac:dyDescent="0.25">
      <c r="A78253"/>
      <c r="B78253"/>
      <c r="C78253"/>
      <c r="E78253"/>
      <c r="F78253"/>
    </row>
    <row r="78254" spans="1:6" x14ac:dyDescent="0.25">
      <c r="A78254"/>
      <c r="B78254"/>
      <c r="C78254"/>
      <c r="E78254"/>
      <c r="F78254"/>
    </row>
    <row r="78255" spans="1:6" x14ac:dyDescent="0.25">
      <c r="A78255"/>
      <c r="B78255"/>
      <c r="C78255"/>
      <c r="E78255"/>
      <c r="F78255"/>
    </row>
    <row r="78256" spans="1:6" x14ac:dyDescent="0.25">
      <c r="A78256"/>
      <c r="B78256"/>
      <c r="C78256"/>
      <c r="E78256"/>
      <c r="F78256"/>
    </row>
    <row r="78257" spans="1:6" x14ac:dyDescent="0.25">
      <c r="A78257"/>
      <c r="B78257"/>
      <c r="C78257"/>
      <c r="E78257"/>
      <c r="F78257"/>
    </row>
    <row r="78258" spans="1:6" x14ac:dyDescent="0.25">
      <c r="A78258"/>
      <c r="B78258"/>
      <c r="C78258"/>
      <c r="E78258"/>
      <c r="F78258"/>
    </row>
    <row r="78259" spans="1:6" x14ac:dyDescent="0.25">
      <c r="A78259"/>
      <c r="B78259"/>
      <c r="C78259"/>
      <c r="E78259"/>
      <c r="F78259"/>
    </row>
    <row r="78260" spans="1:6" x14ac:dyDescent="0.25">
      <c r="A78260"/>
      <c r="B78260"/>
      <c r="C78260"/>
      <c r="E78260"/>
      <c r="F78260"/>
    </row>
    <row r="78261" spans="1:6" x14ac:dyDescent="0.25">
      <c r="A78261"/>
      <c r="B78261"/>
      <c r="C78261"/>
      <c r="E78261"/>
      <c r="F78261"/>
    </row>
    <row r="78262" spans="1:6" x14ac:dyDescent="0.25">
      <c r="A78262"/>
      <c r="B78262"/>
      <c r="C78262"/>
      <c r="E78262"/>
      <c r="F78262"/>
    </row>
    <row r="78263" spans="1:6" x14ac:dyDescent="0.25">
      <c r="A78263"/>
      <c r="B78263"/>
      <c r="C78263"/>
      <c r="E78263"/>
      <c r="F78263"/>
    </row>
    <row r="78264" spans="1:6" x14ac:dyDescent="0.25">
      <c r="A78264"/>
      <c r="B78264"/>
      <c r="C78264"/>
      <c r="E78264"/>
      <c r="F78264"/>
    </row>
    <row r="78265" spans="1:6" x14ac:dyDescent="0.25">
      <c r="A78265"/>
      <c r="B78265"/>
      <c r="C78265"/>
      <c r="E78265"/>
      <c r="F78265"/>
    </row>
    <row r="78266" spans="1:6" x14ac:dyDescent="0.25">
      <c r="A78266"/>
      <c r="B78266"/>
      <c r="C78266"/>
      <c r="E78266"/>
      <c r="F78266"/>
    </row>
    <row r="78267" spans="1:6" x14ac:dyDescent="0.25">
      <c r="A78267"/>
      <c r="B78267"/>
      <c r="C78267"/>
      <c r="E78267"/>
      <c r="F78267"/>
    </row>
    <row r="78268" spans="1:6" x14ac:dyDescent="0.25">
      <c r="A78268"/>
      <c r="B78268"/>
      <c r="C78268"/>
      <c r="E78268"/>
      <c r="F78268"/>
    </row>
    <row r="78269" spans="1:6" x14ac:dyDescent="0.25">
      <c r="A78269"/>
      <c r="B78269"/>
      <c r="C78269"/>
      <c r="E78269"/>
      <c r="F78269"/>
    </row>
    <row r="78270" spans="1:6" x14ac:dyDescent="0.25">
      <c r="A78270"/>
      <c r="B78270"/>
      <c r="C78270"/>
      <c r="E78270"/>
      <c r="F78270"/>
    </row>
    <row r="78271" spans="1:6" x14ac:dyDescent="0.25">
      <c r="A78271"/>
      <c r="B78271"/>
      <c r="C78271"/>
      <c r="E78271"/>
      <c r="F78271"/>
    </row>
    <row r="78272" spans="1:6" x14ac:dyDescent="0.25">
      <c r="A78272"/>
      <c r="B78272"/>
      <c r="C78272"/>
      <c r="E78272"/>
      <c r="F78272"/>
    </row>
    <row r="78273" spans="1:6" x14ac:dyDescent="0.25">
      <c r="A78273"/>
      <c r="B78273"/>
      <c r="C78273"/>
      <c r="E78273"/>
      <c r="F78273"/>
    </row>
    <row r="78274" spans="1:6" x14ac:dyDescent="0.25">
      <c r="A78274"/>
      <c r="B78274"/>
      <c r="C78274"/>
      <c r="E78274"/>
      <c r="F78274"/>
    </row>
    <row r="78275" spans="1:6" x14ac:dyDescent="0.25">
      <c r="A78275"/>
      <c r="B78275"/>
      <c r="C78275"/>
      <c r="E78275"/>
      <c r="F78275"/>
    </row>
    <row r="78276" spans="1:6" x14ac:dyDescent="0.25">
      <c r="A78276"/>
      <c r="B78276"/>
      <c r="C78276"/>
      <c r="E78276"/>
      <c r="F78276"/>
    </row>
    <row r="78277" spans="1:6" x14ac:dyDescent="0.25">
      <c r="A78277"/>
      <c r="B78277"/>
      <c r="C78277"/>
      <c r="E78277"/>
      <c r="F78277"/>
    </row>
    <row r="78278" spans="1:6" x14ac:dyDescent="0.25">
      <c r="A78278"/>
      <c r="B78278"/>
      <c r="C78278"/>
      <c r="E78278"/>
      <c r="F78278"/>
    </row>
    <row r="78279" spans="1:6" x14ac:dyDescent="0.25">
      <c r="A78279"/>
      <c r="B78279"/>
      <c r="C78279"/>
      <c r="E78279"/>
      <c r="F78279"/>
    </row>
    <row r="78280" spans="1:6" x14ac:dyDescent="0.25">
      <c r="A78280"/>
      <c r="B78280"/>
      <c r="C78280"/>
      <c r="E78280"/>
      <c r="F78280"/>
    </row>
    <row r="78281" spans="1:6" x14ac:dyDescent="0.25">
      <c r="A78281"/>
      <c r="B78281"/>
      <c r="C78281"/>
      <c r="E78281"/>
      <c r="F78281"/>
    </row>
    <row r="78282" spans="1:6" x14ac:dyDescent="0.25">
      <c r="A78282"/>
      <c r="B78282"/>
      <c r="C78282"/>
      <c r="E78282"/>
      <c r="F78282"/>
    </row>
    <row r="78283" spans="1:6" x14ac:dyDescent="0.25">
      <c r="A78283"/>
      <c r="B78283"/>
      <c r="C78283"/>
      <c r="E78283"/>
      <c r="F78283"/>
    </row>
    <row r="78284" spans="1:6" x14ac:dyDescent="0.25">
      <c r="A78284"/>
      <c r="B78284"/>
      <c r="C78284"/>
      <c r="E78284"/>
      <c r="F78284"/>
    </row>
    <row r="78285" spans="1:6" x14ac:dyDescent="0.25">
      <c r="A78285"/>
      <c r="B78285"/>
      <c r="C78285"/>
      <c r="E78285"/>
      <c r="F78285"/>
    </row>
    <row r="78286" spans="1:6" x14ac:dyDescent="0.25">
      <c r="A78286"/>
      <c r="B78286"/>
      <c r="C78286"/>
      <c r="E78286"/>
      <c r="F78286"/>
    </row>
    <row r="78287" spans="1:6" x14ac:dyDescent="0.25">
      <c r="A78287"/>
      <c r="B78287"/>
      <c r="C78287"/>
      <c r="E78287"/>
      <c r="F78287"/>
    </row>
    <row r="78288" spans="1:6" x14ac:dyDescent="0.25">
      <c r="A78288"/>
      <c r="B78288"/>
      <c r="C78288"/>
      <c r="E78288"/>
      <c r="F78288"/>
    </row>
    <row r="78289" spans="1:6" x14ac:dyDescent="0.25">
      <c r="A78289"/>
      <c r="B78289"/>
      <c r="C78289"/>
      <c r="E78289"/>
      <c r="F78289"/>
    </row>
    <row r="78290" spans="1:6" x14ac:dyDescent="0.25">
      <c r="A78290"/>
      <c r="B78290"/>
      <c r="C78290"/>
      <c r="E78290"/>
      <c r="F78290"/>
    </row>
    <row r="78291" spans="1:6" x14ac:dyDescent="0.25">
      <c r="A78291"/>
      <c r="B78291"/>
      <c r="C78291"/>
      <c r="E78291"/>
      <c r="F78291"/>
    </row>
    <row r="78292" spans="1:6" x14ac:dyDescent="0.25">
      <c r="A78292"/>
      <c r="B78292"/>
      <c r="C78292"/>
      <c r="E78292"/>
      <c r="F78292"/>
    </row>
    <row r="78293" spans="1:6" x14ac:dyDescent="0.25">
      <c r="A78293"/>
      <c r="B78293"/>
      <c r="C78293"/>
      <c r="E78293"/>
      <c r="F78293"/>
    </row>
    <row r="78294" spans="1:6" x14ac:dyDescent="0.25">
      <c r="A78294"/>
      <c r="B78294"/>
      <c r="C78294"/>
      <c r="E78294"/>
      <c r="F78294"/>
    </row>
    <row r="78295" spans="1:6" x14ac:dyDescent="0.25">
      <c r="A78295"/>
      <c r="B78295"/>
      <c r="C78295"/>
      <c r="E78295"/>
      <c r="F78295"/>
    </row>
    <row r="78296" spans="1:6" x14ac:dyDescent="0.25">
      <c r="A78296"/>
      <c r="B78296"/>
      <c r="C78296"/>
      <c r="E78296"/>
      <c r="F78296"/>
    </row>
    <row r="78297" spans="1:6" x14ac:dyDescent="0.25">
      <c r="A78297"/>
      <c r="B78297"/>
      <c r="C78297"/>
      <c r="E78297"/>
      <c r="F78297"/>
    </row>
    <row r="78298" spans="1:6" x14ac:dyDescent="0.25">
      <c r="A78298"/>
      <c r="B78298"/>
      <c r="C78298"/>
      <c r="E78298"/>
      <c r="F78298"/>
    </row>
    <row r="78299" spans="1:6" x14ac:dyDescent="0.25">
      <c r="A78299"/>
      <c r="B78299"/>
      <c r="C78299"/>
      <c r="E78299"/>
      <c r="F78299"/>
    </row>
    <row r="78300" spans="1:6" x14ac:dyDescent="0.25">
      <c r="A78300"/>
      <c r="B78300"/>
      <c r="C78300"/>
      <c r="E78300"/>
      <c r="F78300"/>
    </row>
    <row r="78301" spans="1:6" x14ac:dyDescent="0.25">
      <c r="A78301"/>
      <c r="B78301"/>
      <c r="C78301"/>
      <c r="E78301"/>
      <c r="F78301"/>
    </row>
    <row r="78302" spans="1:6" x14ac:dyDescent="0.25">
      <c r="A78302"/>
      <c r="B78302"/>
      <c r="C78302"/>
      <c r="E78302"/>
      <c r="F78302"/>
    </row>
    <row r="78303" spans="1:6" x14ac:dyDescent="0.25">
      <c r="A78303"/>
      <c r="B78303"/>
      <c r="C78303"/>
      <c r="E78303"/>
      <c r="F78303"/>
    </row>
    <row r="78304" spans="1:6" x14ac:dyDescent="0.25">
      <c r="A78304"/>
      <c r="B78304"/>
      <c r="C78304"/>
      <c r="E78304"/>
      <c r="F78304"/>
    </row>
    <row r="78305" spans="1:6" x14ac:dyDescent="0.25">
      <c r="A78305"/>
      <c r="B78305"/>
      <c r="C78305"/>
      <c r="E78305"/>
      <c r="F78305"/>
    </row>
    <row r="78306" spans="1:6" x14ac:dyDescent="0.25">
      <c r="A78306"/>
      <c r="B78306"/>
      <c r="C78306"/>
      <c r="E78306"/>
      <c r="F78306"/>
    </row>
    <row r="78307" spans="1:6" x14ac:dyDescent="0.25">
      <c r="A78307"/>
      <c r="B78307"/>
      <c r="C78307"/>
      <c r="E78307"/>
      <c r="F78307"/>
    </row>
    <row r="78308" spans="1:6" x14ac:dyDescent="0.25">
      <c r="A78308"/>
      <c r="B78308"/>
      <c r="C78308"/>
      <c r="E78308"/>
      <c r="F78308"/>
    </row>
    <row r="78309" spans="1:6" x14ac:dyDescent="0.25">
      <c r="A78309"/>
      <c r="B78309"/>
      <c r="C78309"/>
      <c r="E78309"/>
      <c r="F78309"/>
    </row>
    <row r="78310" spans="1:6" x14ac:dyDescent="0.25">
      <c r="A78310"/>
      <c r="B78310"/>
      <c r="C78310"/>
      <c r="E78310"/>
      <c r="F78310"/>
    </row>
    <row r="78311" spans="1:6" x14ac:dyDescent="0.25">
      <c r="A78311"/>
      <c r="B78311"/>
      <c r="C78311"/>
      <c r="E78311"/>
      <c r="F78311"/>
    </row>
    <row r="78312" spans="1:6" x14ac:dyDescent="0.25">
      <c r="A78312"/>
      <c r="B78312"/>
      <c r="C78312"/>
      <c r="E78312"/>
      <c r="F78312"/>
    </row>
    <row r="78313" spans="1:6" x14ac:dyDescent="0.25">
      <c r="A78313"/>
      <c r="B78313"/>
      <c r="C78313"/>
      <c r="E78313"/>
      <c r="F78313"/>
    </row>
    <row r="78314" spans="1:6" x14ac:dyDescent="0.25">
      <c r="A78314"/>
      <c r="B78314"/>
      <c r="C78314"/>
      <c r="E78314"/>
      <c r="F78314"/>
    </row>
    <row r="78315" spans="1:6" x14ac:dyDescent="0.25">
      <c r="A78315"/>
      <c r="B78315"/>
      <c r="C78315"/>
      <c r="E78315"/>
      <c r="F78315"/>
    </row>
    <row r="78316" spans="1:6" x14ac:dyDescent="0.25">
      <c r="A78316"/>
      <c r="B78316"/>
      <c r="C78316"/>
      <c r="E78316"/>
      <c r="F78316"/>
    </row>
    <row r="78317" spans="1:6" x14ac:dyDescent="0.25">
      <c r="A78317"/>
      <c r="B78317"/>
      <c r="C78317"/>
      <c r="E78317"/>
      <c r="F78317"/>
    </row>
    <row r="78318" spans="1:6" x14ac:dyDescent="0.25">
      <c r="A78318"/>
      <c r="B78318"/>
      <c r="C78318"/>
      <c r="E78318"/>
      <c r="F78318"/>
    </row>
    <row r="78319" spans="1:6" x14ac:dyDescent="0.25">
      <c r="A78319"/>
      <c r="B78319"/>
      <c r="C78319"/>
      <c r="E78319"/>
      <c r="F78319"/>
    </row>
    <row r="78320" spans="1:6" x14ac:dyDescent="0.25">
      <c r="A78320"/>
      <c r="B78320"/>
      <c r="C78320"/>
      <c r="E78320"/>
      <c r="F78320"/>
    </row>
    <row r="78321" spans="1:6" x14ac:dyDescent="0.25">
      <c r="A78321"/>
      <c r="B78321"/>
      <c r="C78321"/>
      <c r="E78321"/>
      <c r="F78321"/>
    </row>
    <row r="78322" spans="1:6" x14ac:dyDescent="0.25">
      <c r="A78322"/>
      <c r="B78322"/>
      <c r="C78322"/>
      <c r="E78322"/>
      <c r="F78322"/>
    </row>
    <row r="78323" spans="1:6" x14ac:dyDescent="0.25">
      <c r="A78323"/>
      <c r="B78323"/>
      <c r="C78323"/>
      <c r="E78323"/>
      <c r="F78323"/>
    </row>
    <row r="78324" spans="1:6" x14ac:dyDescent="0.25">
      <c r="A78324"/>
      <c r="B78324"/>
      <c r="C78324"/>
      <c r="E78324"/>
      <c r="F78324"/>
    </row>
    <row r="78325" spans="1:6" x14ac:dyDescent="0.25">
      <c r="A78325"/>
      <c r="B78325"/>
      <c r="C78325"/>
      <c r="E78325"/>
      <c r="F78325"/>
    </row>
    <row r="78326" spans="1:6" x14ac:dyDescent="0.25">
      <c r="A78326"/>
      <c r="B78326"/>
      <c r="C78326"/>
      <c r="E78326"/>
      <c r="F78326"/>
    </row>
    <row r="78327" spans="1:6" x14ac:dyDescent="0.25">
      <c r="A78327"/>
      <c r="B78327"/>
      <c r="C78327"/>
      <c r="E78327"/>
      <c r="F78327"/>
    </row>
    <row r="78328" spans="1:6" x14ac:dyDescent="0.25">
      <c r="A78328"/>
      <c r="B78328"/>
      <c r="C78328"/>
      <c r="E78328"/>
      <c r="F78328"/>
    </row>
    <row r="78329" spans="1:6" x14ac:dyDescent="0.25">
      <c r="A78329"/>
      <c r="B78329"/>
      <c r="C78329"/>
      <c r="E78329"/>
      <c r="F78329"/>
    </row>
    <row r="78330" spans="1:6" x14ac:dyDescent="0.25">
      <c r="A78330"/>
      <c r="B78330"/>
      <c r="C78330"/>
      <c r="E78330"/>
      <c r="F78330"/>
    </row>
    <row r="78331" spans="1:6" x14ac:dyDescent="0.25">
      <c r="A78331"/>
      <c r="B78331"/>
      <c r="C78331"/>
      <c r="E78331"/>
      <c r="F78331"/>
    </row>
    <row r="78332" spans="1:6" x14ac:dyDescent="0.25">
      <c r="A78332"/>
      <c r="B78332"/>
      <c r="C78332"/>
      <c r="E78332"/>
      <c r="F78332"/>
    </row>
    <row r="78333" spans="1:6" x14ac:dyDescent="0.25">
      <c r="A78333"/>
      <c r="B78333"/>
      <c r="C78333"/>
      <c r="E78333"/>
      <c r="F78333"/>
    </row>
    <row r="78334" spans="1:6" x14ac:dyDescent="0.25">
      <c r="A78334"/>
      <c r="B78334"/>
      <c r="C78334"/>
      <c r="E78334"/>
      <c r="F78334"/>
    </row>
    <row r="78335" spans="1:6" x14ac:dyDescent="0.25">
      <c r="A78335"/>
      <c r="B78335"/>
      <c r="C78335"/>
      <c r="E78335"/>
      <c r="F78335"/>
    </row>
    <row r="78336" spans="1:6" x14ac:dyDescent="0.25">
      <c r="A78336"/>
      <c r="B78336"/>
      <c r="C78336"/>
      <c r="E78336"/>
      <c r="F78336"/>
    </row>
    <row r="78337" spans="1:6" x14ac:dyDescent="0.25">
      <c r="A78337"/>
      <c r="B78337"/>
      <c r="C78337"/>
      <c r="E78337"/>
      <c r="F78337"/>
    </row>
    <row r="78338" spans="1:6" x14ac:dyDescent="0.25">
      <c r="A78338"/>
      <c r="B78338"/>
      <c r="C78338"/>
      <c r="E78338"/>
      <c r="F78338"/>
    </row>
    <row r="78339" spans="1:6" x14ac:dyDescent="0.25">
      <c r="A78339"/>
      <c r="B78339"/>
      <c r="C78339"/>
      <c r="E78339"/>
      <c r="F78339"/>
    </row>
    <row r="78340" spans="1:6" x14ac:dyDescent="0.25">
      <c r="A78340"/>
      <c r="B78340"/>
      <c r="C78340"/>
      <c r="E78340"/>
      <c r="F78340"/>
    </row>
    <row r="78341" spans="1:6" x14ac:dyDescent="0.25">
      <c r="A78341"/>
      <c r="B78341"/>
      <c r="C78341"/>
      <c r="E78341"/>
      <c r="F78341"/>
    </row>
    <row r="78342" spans="1:6" x14ac:dyDescent="0.25">
      <c r="A78342"/>
      <c r="B78342"/>
      <c r="C78342"/>
      <c r="E78342"/>
      <c r="F78342"/>
    </row>
    <row r="78343" spans="1:6" x14ac:dyDescent="0.25">
      <c r="A78343"/>
      <c r="B78343"/>
      <c r="C78343"/>
      <c r="E78343"/>
      <c r="F78343"/>
    </row>
    <row r="78344" spans="1:6" x14ac:dyDescent="0.25">
      <c r="A78344"/>
      <c r="B78344"/>
      <c r="C78344"/>
      <c r="E78344"/>
      <c r="F78344"/>
    </row>
    <row r="78345" spans="1:6" x14ac:dyDescent="0.25">
      <c r="A78345"/>
      <c r="B78345"/>
      <c r="C78345"/>
      <c r="E78345"/>
      <c r="F78345"/>
    </row>
    <row r="78346" spans="1:6" x14ac:dyDescent="0.25">
      <c r="A78346"/>
      <c r="B78346"/>
      <c r="C78346"/>
      <c r="E78346"/>
      <c r="F78346"/>
    </row>
    <row r="78347" spans="1:6" x14ac:dyDescent="0.25">
      <c r="A78347"/>
      <c r="B78347"/>
      <c r="C78347"/>
      <c r="E78347"/>
      <c r="F78347"/>
    </row>
    <row r="78348" spans="1:6" x14ac:dyDescent="0.25">
      <c r="A78348"/>
      <c r="B78348"/>
      <c r="C78348"/>
      <c r="E78348"/>
      <c r="F78348"/>
    </row>
    <row r="78349" spans="1:6" x14ac:dyDescent="0.25">
      <c r="A78349"/>
      <c r="B78349"/>
      <c r="C78349"/>
      <c r="E78349"/>
      <c r="F78349"/>
    </row>
    <row r="78350" spans="1:6" x14ac:dyDescent="0.25">
      <c r="A78350"/>
      <c r="B78350"/>
      <c r="C78350"/>
      <c r="E78350"/>
      <c r="F78350"/>
    </row>
    <row r="78351" spans="1:6" x14ac:dyDescent="0.25">
      <c r="A78351"/>
      <c r="B78351"/>
      <c r="C78351"/>
      <c r="E78351"/>
      <c r="F78351"/>
    </row>
    <row r="78352" spans="1:6" x14ac:dyDescent="0.25">
      <c r="A78352"/>
      <c r="B78352"/>
      <c r="C78352"/>
      <c r="E78352"/>
      <c r="F78352"/>
    </row>
    <row r="78353" spans="1:6" x14ac:dyDescent="0.25">
      <c r="A78353"/>
      <c r="B78353"/>
      <c r="C78353"/>
      <c r="E78353"/>
      <c r="F78353"/>
    </row>
    <row r="78354" spans="1:6" x14ac:dyDescent="0.25">
      <c r="A78354"/>
      <c r="B78354"/>
      <c r="C78354"/>
      <c r="E78354"/>
      <c r="F78354"/>
    </row>
    <row r="78355" spans="1:6" x14ac:dyDescent="0.25">
      <c r="A78355"/>
      <c r="B78355"/>
      <c r="C78355"/>
      <c r="E78355"/>
      <c r="F78355"/>
    </row>
    <row r="78356" spans="1:6" x14ac:dyDescent="0.25">
      <c r="A78356"/>
      <c r="B78356"/>
      <c r="C78356"/>
      <c r="E78356"/>
      <c r="F78356"/>
    </row>
    <row r="78357" spans="1:6" x14ac:dyDescent="0.25">
      <c r="A78357"/>
      <c r="B78357"/>
      <c r="C78357"/>
      <c r="E78357"/>
      <c r="F78357"/>
    </row>
    <row r="78358" spans="1:6" x14ac:dyDescent="0.25">
      <c r="A78358"/>
      <c r="B78358"/>
      <c r="C78358"/>
      <c r="E78358"/>
      <c r="F78358"/>
    </row>
    <row r="78359" spans="1:6" x14ac:dyDescent="0.25">
      <c r="A78359"/>
      <c r="B78359"/>
      <c r="C78359"/>
      <c r="E78359"/>
      <c r="F78359"/>
    </row>
    <row r="78360" spans="1:6" x14ac:dyDescent="0.25">
      <c r="A78360"/>
      <c r="B78360"/>
      <c r="C78360"/>
      <c r="E78360"/>
      <c r="F78360"/>
    </row>
    <row r="78361" spans="1:6" x14ac:dyDescent="0.25">
      <c r="A78361"/>
      <c r="B78361"/>
      <c r="C78361"/>
      <c r="E78361"/>
      <c r="F78361"/>
    </row>
    <row r="78362" spans="1:6" x14ac:dyDescent="0.25">
      <c r="A78362"/>
      <c r="B78362"/>
      <c r="C78362"/>
      <c r="E78362"/>
      <c r="F78362"/>
    </row>
    <row r="78363" spans="1:6" x14ac:dyDescent="0.25">
      <c r="A78363"/>
      <c r="B78363"/>
      <c r="C78363"/>
      <c r="E78363"/>
      <c r="F78363"/>
    </row>
    <row r="78364" spans="1:6" x14ac:dyDescent="0.25">
      <c r="A78364"/>
      <c r="B78364"/>
      <c r="C78364"/>
      <c r="E78364"/>
      <c r="F78364"/>
    </row>
    <row r="78365" spans="1:6" x14ac:dyDescent="0.25">
      <c r="A78365"/>
      <c r="B78365"/>
      <c r="C78365"/>
      <c r="E78365"/>
      <c r="F78365"/>
    </row>
    <row r="78366" spans="1:6" x14ac:dyDescent="0.25">
      <c r="A78366"/>
      <c r="B78366"/>
      <c r="C78366"/>
      <c r="E78366"/>
      <c r="F78366"/>
    </row>
    <row r="78367" spans="1:6" x14ac:dyDescent="0.25">
      <c r="A78367"/>
      <c r="B78367"/>
      <c r="C78367"/>
      <c r="E78367"/>
      <c r="F78367"/>
    </row>
    <row r="78368" spans="1:6" x14ac:dyDescent="0.25">
      <c r="A78368"/>
      <c r="B78368"/>
      <c r="C78368"/>
      <c r="E78368"/>
      <c r="F78368"/>
    </row>
    <row r="78369" spans="1:6" x14ac:dyDescent="0.25">
      <c r="A78369"/>
      <c r="B78369"/>
      <c r="C78369"/>
      <c r="E78369"/>
      <c r="F78369"/>
    </row>
    <row r="78370" spans="1:6" x14ac:dyDescent="0.25">
      <c r="A78370"/>
      <c r="B78370"/>
      <c r="C78370"/>
      <c r="E78370"/>
      <c r="F78370"/>
    </row>
    <row r="78371" spans="1:6" x14ac:dyDescent="0.25">
      <c r="A78371"/>
      <c r="B78371"/>
      <c r="C78371"/>
      <c r="E78371"/>
      <c r="F78371"/>
    </row>
    <row r="78372" spans="1:6" x14ac:dyDescent="0.25">
      <c r="A78372"/>
      <c r="B78372"/>
      <c r="C78372"/>
      <c r="E78372"/>
      <c r="F78372"/>
    </row>
    <row r="78373" spans="1:6" x14ac:dyDescent="0.25">
      <c r="A78373"/>
      <c r="B78373"/>
      <c r="C78373"/>
      <c r="E78373"/>
      <c r="F78373"/>
    </row>
    <row r="78374" spans="1:6" x14ac:dyDescent="0.25">
      <c r="A78374"/>
      <c r="B78374"/>
      <c r="C78374"/>
      <c r="E78374"/>
      <c r="F78374"/>
    </row>
    <row r="78375" spans="1:6" x14ac:dyDescent="0.25">
      <c r="A78375"/>
      <c r="B78375"/>
      <c r="C78375"/>
      <c r="E78375"/>
      <c r="F78375"/>
    </row>
    <row r="78376" spans="1:6" x14ac:dyDescent="0.25">
      <c r="A78376"/>
      <c r="B78376"/>
      <c r="C78376"/>
      <c r="E78376"/>
      <c r="F78376"/>
    </row>
    <row r="78377" spans="1:6" x14ac:dyDescent="0.25">
      <c r="A78377"/>
      <c r="B78377"/>
      <c r="C78377"/>
      <c r="E78377"/>
      <c r="F78377"/>
    </row>
    <row r="78378" spans="1:6" x14ac:dyDescent="0.25">
      <c r="A78378"/>
      <c r="B78378"/>
      <c r="C78378"/>
      <c r="E78378"/>
      <c r="F78378"/>
    </row>
    <row r="78379" spans="1:6" x14ac:dyDescent="0.25">
      <c r="A78379"/>
      <c r="B78379"/>
      <c r="C78379"/>
      <c r="E78379"/>
      <c r="F78379"/>
    </row>
    <row r="78380" spans="1:6" x14ac:dyDescent="0.25">
      <c r="A78380"/>
      <c r="B78380"/>
      <c r="C78380"/>
      <c r="E78380"/>
      <c r="F78380"/>
    </row>
    <row r="78381" spans="1:6" x14ac:dyDescent="0.25">
      <c r="A78381"/>
      <c r="B78381"/>
      <c r="C78381"/>
      <c r="E78381"/>
      <c r="F78381"/>
    </row>
    <row r="78382" spans="1:6" x14ac:dyDescent="0.25">
      <c r="A78382"/>
      <c r="B78382"/>
      <c r="C78382"/>
      <c r="E78382"/>
      <c r="F78382"/>
    </row>
    <row r="78383" spans="1:6" x14ac:dyDescent="0.25">
      <c r="A78383"/>
      <c r="B78383"/>
      <c r="C78383"/>
      <c r="E78383"/>
      <c r="F78383"/>
    </row>
    <row r="78384" spans="1:6" x14ac:dyDescent="0.25">
      <c r="A78384"/>
      <c r="B78384"/>
      <c r="C78384"/>
      <c r="E78384"/>
      <c r="F78384"/>
    </row>
    <row r="78385" spans="1:6" x14ac:dyDescent="0.25">
      <c r="A78385"/>
      <c r="B78385"/>
      <c r="C78385"/>
      <c r="E78385"/>
      <c r="F78385"/>
    </row>
    <row r="78386" spans="1:6" x14ac:dyDescent="0.25">
      <c r="A78386"/>
      <c r="B78386"/>
      <c r="C78386"/>
      <c r="E78386"/>
      <c r="F78386"/>
    </row>
    <row r="78387" spans="1:6" x14ac:dyDescent="0.25">
      <c r="A78387"/>
      <c r="B78387"/>
      <c r="C78387"/>
      <c r="E78387"/>
      <c r="F78387"/>
    </row>
    <row r="78388" spans="1:6" x14ac:dyDescent="0.25">
      <c r="A78388"/>
      <c r="B78388"/>
      <c r="C78388"/>
      <c r="E78388"/>
      <c r="F78388"/>
    </row>
    <row r="78389" spans="1:6" x14ac:dyDescent="0.25">
      <c r="A78389"/>
      <c r="B78389"/>
      <c r="C78389"/>
      <c r="E78389"/>
      <c r="F78389"/>
    </row>
    <row r="78390" spans="1:6" x14ac:dyDescent="0.25">
      <c r="A78390"/>
      <c r="B78390"/>
      <c r="C78390"/>
      <c r="E78390"/>
      <c r="F78390"/>
    </row>
    <row r="78391" spans="1:6" x14ac:dyDescent="0.25">
      <c r="A78391"/>
      <c r="B78391"/>
      <c r="C78391"/>
      <c r="E78391"/>
      <c r="F78391"/>
    </row>
    <row r="78392" spans="1:6" x14ac:dyDescent="0.25">
      <c r="A78392"/>
      <c r="B78392"/>
      <c r="C78392"/>
      <c r="E78392"/>
      <c r="F78392"/>
    </row>
    <row r="78393" spans="1:6" x14ac:dyDescent="0.25">
      <c r="A78393"/>
      <c r="B78393"/>
      <c r="C78393"/>
      <c r="E78393"/>
      <c r="F78393"/>
    </row>
    <row r="78394" spans="1:6" x14ac:dyDescent="0.25">
      <c r="A78394"/>
      <c r="B78394"/>
      <c r="C78394"/>
      <c r="E78394"/>
      <c r="F78394"/>
    </row>
    <row r="78395" spans="1:6" x14ac:dyDescent="0.25">
      <c r="A78395"/>
      <c r="B78395"/>
      <c r="C78395"/>
      <c r="E78395"/>
      <c r="F78395"/>
    </row>
    <row r="78396" spans="1:6" x14ac:dyDescent="0.25">
      <c r="A78396"/>
      <c r="B78396"/>
      <c r="C78396"/>
      <c r="E78396"/>
      <c r="F78396"/>
    </row>
    <row r="78397" spans="1:6" x14ac:dyDescent="0.25">
      <c r="A78397"/>
      <c r="B78397"/>
      <c r="C78397"/>
      <c r="E78397"/>
      <c r="F78397"/>
    </row>
    <row r="78398" spans="1:6" x14ac:dyDescent="0.25">
      <c r="A78398"/>
      <c r="B78398"/>
      <c r="C78398"/>
      <c r="E78398"/>
      <c r="F78398"/>
    </row>
    <row r="78399" spans="1:6" x14ac:dyDescent="0.25">
      <c r="A78399"/>
      <c r="B78399"/>
      <c r="C78399"/>
      <c r="E78399"/>
      <c r="F78399"/>
    </row>
    <row r="78400" spans="1:6" x14ac:dyDescent="0.25">
      <c r="A78400"/>
      <c r="B78400"/>
      <c r="C78400"/>
      <c r="E78400"/>
      <c r="F78400"/>
    </row>
    <row r="78401" spans="1:6" x14ac:dyDescent="0.25">
      <c r="A78401"/>
      <c r="B78401"/>
      <c r="C78401"/>
      <c r="E78401"/>
      <c r="F78401"/>
    </row>
    <row r="78402" spans="1:6" x14ac:dyDescent="0.25">
      <c r="A78402"/>
      <c r="B78402"/>
      <c r="C78402"/>
      <c r="E78402"/>
      <c r="F78402"/>
    </row>
    <row r="78403" spans="1:6" x14ac:dyDescent="0.25">
      <c r="A78403"/>
      <c r="B78403"/>
      <c r="C78403"/>
      <c r="E78403"/>
      <c r="F78403"/>
    </row>
    <row r="78404" spans="1:6" x14ac:dyDescent="0.25">
      <c r="A78404"/>
      <c r="B78404"/>
      <c r="C78404"/>
      <c r="E78404"/>
      <c r="F78404"/>
    </row>
    <row r="78405" spans="1:6" x14ac:dyDescent="0.25">
      <c r="A78405"/>
      <c r="B78405"/>
      <c r="C78405"/>
      <c r="E78405"/>
      <c r="F78405"/>
    </row>
    <row r="78406" spans="1:6" x14ac:dyDescent="0.25">
      <c r="A78406"/>
      <c r="B78406"/>
      <c r="C78406"/>
      <c r="E78406"/>
      <c r="F78406"/>
    </row>
    <row r="78407" spans="1:6" x14ac:dyDescent="0.25">
      <c r="A78407"/>
      <c r="B78407"/>
      <c r="C78407"/>
      <c r="E78407"/>
      <c r="F78407"/>
    </row>
    <row r="78408" spans="1:6" x14ac:dyDescent="0.25">
      <c r="A78408"/>
      <c r="B78408"/>
      <c r="C78408"/>
      <c r="E78408"/>
      <c r="F78408"/>
    </row>
    <row r="78409" spans="1:6" x14ac:dyDescent="0.25">
      <c r="A78409"/>
      <c r="B78409"/>
      <c r="C78409"/>
      <c r="E78409"/>
      <c r="F78409"/>
    </row>
    <row r="78410" spans="1:6" x14ac:dyDescent="0.25">
      <c r="A78410"/>
      <c r="B78410"/>
      <c r="C78410"/>
      <c r="E78410"/>
      <c r="F78410"/>
    </row>
    <row r="78411" spans="1:6" x14ac:dyDescent="0.25">
      <c r="A78411"/>
      <c r="B78411"/>
      <c r="C78411"/>
      <c r="E78411"/>
      <c r="F78411"/>
    </row>
    <row r="78412" spans="1:6" x14ac:dyDescent="0.25">
      <c r="A78412"/>
      <c r="B78412"/>
      <c r="C78412"/>
      <c r="E78412"/>
      <c r="F78412"/>
    </row>
    <row r="78413" spans="1:6" x14ac:dyDescent="0.25">
      <c r="A78413"/>
      <c r="B78413"/>
      <c r="C78413"/>
      <c r="E78413"/>
      <c r="F78413"/>
    </row>
    <row r="78414" spans="1:6" x14ac:dyDescent="0.25">
      <c r="A78414"/>
      <c r="B78414"/>
      <c r="C78414"/>
      <c r="E78414"/>
      <c r="F78414"/>
    </row>
    <row r="78415" spans="1:6" x14ac:dyDescent="0.25">
      <c r="A78415"/>
      <c r="B78415"/>
      <c r="C78415"/>
      <c r="E78415"/>
      <c r="F78415"/>
    </row>
    <row r="78416" spans="1:6" x14ac:dyDescent="0.25">
      <c r="A78416"/>
      <c r="B78416"/>
      <c r="C78416"/>
      <c r="E78416"/>
      <c r="F78416"/>
    </row>
    <row r="78417" spans="1:6" x14ac:dyDescent="0.25">
      <c r="A78417"/>
      <c r="B78417"/>
      <c r="C78417"/>
      <c r="E78417"/>
      <c r="F78417"/>
    </row>
    <row r="78418" spans="1:6" x14ac:dyDescent="0.25">
      <c r="A78418"/>
      <c r="B78418"/>
      <c r="C78418"/>
      <c r="E78418"/>
      <c r="F78418"/>
    </row>
    <row r="78419" spans="1:6" x14ac:dyDescent="0.25">
      <c r="A78419"/>
      <c r="B78419"/>
      <c r="C78419"/>
      <c r="E78419"/>
      <c r="F78419"/>
    </row>
    <row r="78420" spans="1:6" x14ac:dyDescent="0.25">
      <c r="A78420"/>
      <c r="B78420"/>
      <c r="C78420"/>
      <c r="E78420"/>
      <c r="F78420"/>
    </row>
    <row r="78421" spans="1:6" x14ac:dyDescent="0.25">
      <c r="A78421"/>
      <c r="B78421"/>
      <c r="C78421"/>
      <c r="E78421"/>
      <c r="F78421"/>
    </row>
    <row r="78422" spans="1:6" x14ac:dyDescent="0.25">
      <c r="A78422"/>
      <c r="B78422"/>
      <c r="C78422"/>
      <c r="E78422"/>
      <c r="F78422"/>
    </row>
    <row r="78423" spans="1:6" x14ac:dyDescent="0.25">
      <c r="A78423"/>
      <c r="B78423"/>
      <c r="C78423"/>
      <c r="E78423"/>
      <c r="F78423"/>
    </row>
    <row r="78424" spans="1:6" x14ac:dyDescent="0.25">
      <c r="A78424"/>
      <c r="B78424"/>
      <c r="C78424"/>
      <c r="E78424"/>
      <c r="F78424"/>
    </row>
    <row r="78425" spans="1:6" x14ac:dyDescent="0.25">
      <c r="A78425"/>
      <c r="B78425"/>
      <c r="C78425"/>
      <c r="E78425"/>
      <c r="F78425"/>
    </row>
    <row r="78426" spans="1:6" x14ac:dyDescent="0.25">
      <c r="A78426"/>
      <c r="B78426"/>
      <c r="C78426"/>
      <c r="E78426"/>
      <c r="F78426"/>
    </row>
    <row r="78427" spans="1:6" x14ac:dyDescent="0.25">
      <c r="A78427"/>
      <c r="B78427"/>
      <c r="C78427"/>
      <c r="E78427"/>
      <c r="F78427"/>
    </row>
    <row r="78428" spans="1:6" x14ac:dyDescent="0.25">
      <c r="A78428"/>
      <c r="B78428"/>
      <c r="C78428"/>
      <c r="E78428"/>
      <c r="F78428"/>
    </row>
    <row r="78429" spans="1:6" x14ac:dyDescent="0.25">
      <c r="A78429"/>
      <c r="B78429"/>
      <c r="C78429"/>
      <c r="E78429"/>
      <c r="F78429"/>
    </row>
    <row r="78430" spans="1:6" x14ac:dyDescent="0.25">
      <c r="A78430"/>
      <c r="B78430"/>
      <c r="C78430"/>
      <c r="E78430"/>
      <c r="F78430"/>
    </row>
    <row r="78431" spans="1:6" x14ac:dyDescent="0.25">
      <c r="A78431"/>
      <c r="B78431"/>
      <c r="C78431"/>
      <c r="E78431"/>
      <c r="F78431"/>
    </row>
    <row r="78432" spans="1:6" x14ac:dyDescent="0.25">
      <c r="A78432"/>
      <c r="B78432"/>
      <c r="C78432"/>
      <c r="E78432"/>
      <c r="F78432"/>
    </row>
    <row r="78433" spans="1:6" x14ac:dyDescent="0.25">
      <c r="A78433"/>
      <c r="B78433"/>
      <c r="C78433"/>
      <c r="E78433"/>
      <c r="F78433"/>
    </row>
    <row r="78434" spans="1:6" x14ac:dyDescent="0.25">
      <c r="A78434"/>
      <c r="B78434"/>
      <c r="C78434"/>
      <c r="E78434"/>
      <c r="F78434"/>
    </row>
    <row r="78435" spans="1:6" x14ac:dyDescent="0.25">
      <c r="A78435"/>
      <c r="B78435"/>
      <c r="C78435"/>
      <c r="E78435"/>
      <c r="F78435"/>
    </row>
    <row r="78436" spans="1:6" x14ac:dyDescent="0.25">
      <c r="A78436"/>
      <c r="B78436"/>
      <c r="C78436"/>
      <c r="E78436"/>
      <c r="F78436"/>
    </row>
    <row r="78437" spans="1:6" x14ac:dyDescent="0.25">
      <c r="A78437"/>
      <c r="B78437"/>
      <c r="C78437"/>
      <c r="E78437"/>
      <c r="F78437"/>
    </row>
    <row r="78438" spans="1:6" x14ac:dyDescent="0.25">
      <c r="A78438"/>
      <c r="B78438"/>
      <c r="C78438"/>
      <c r="E78438"/>
      <c r="F78438"/>
    </row>
    <row r="78439" spans="1:6" x14ac:dyDescent="0.25">
      <c r="A78439"/>
      <c r="B78439"/>
      <c r="C78439"/>
      <c r="E78439"/>
      <c r="F78439"/>
    </row>
    <row r="78440" spans="1:6" x14ac:dyDescent="0.25">
      <c r="A78440"/>
      <c r="B78440"/>
      <c r="C78440"/>
      <c r="E78440"/>
      <c r="F78440"/>
    </row>
    <row r="78441" spans="1:6" x14ac:dyDescent="0.25">
      <c r="A78441"/>
      <c r="B78441"/>
      <c r="C78441"/>
      <c r="E78441"/>
      <c r="F78441"/>
    </row>
    <row r="78442" spans="1:6" x14ac:dyDescent="0.25">
      <c r="A78442"/>
      <c r="B78442"/>
      <c r="C78442"/>
      <c r="E78442"/>
      <c r="F78442"/>
    </row>
    <row r="78443" spans="1:6" x14ac:dyDescent="0.25">
      <c r="A78443"/>
      <c r="B78443"/>
      <c r="C78443"/>
      <c r="E78443"/>
      <c r="F78443"/>
    </row>
    <row r="78444" spans="1:6" x14ac:dyDescent="0.25">
      <c r="A78444"/>
      <c r="B78444"/>
      <c r="C78444"/>
      <c r="E78444"/>
      <c r="F78444"/>
    </row>
    <row r="78445" spans="1:6" x14ac:dyDescent="0.25">
      <c r="A78445"/>
      <c r="B78445"/>
      <c r="C78445"/>
      <c r="E78445"/>
      <c r="F78445"/>
    </row>
    <row r="78446" spans="1:6" x14ac:dyDescent="0.25">
      <c r="A78446"/>
      <c r="B78446"/>
      <c r="C78446"/>
      <c r="E78446"/>
      <c r="F78446"/>
    </row>
    <row r="78447" spans="1:6" x14ac:dyDescent="0.25">
      <c r="A78447"/>
      <c r="B78447"/>
      <c r="C78447"/>
      <c r="E78447"/>
      <c r="F78447"/>
    </row>
    <row r="78448" spans="1:6" x14ac:dyDescent="0.25">
      <c r="A78448"/>
      <c r="B78448"/>
      <c r="C78448"/>
      <c r="E78448"/>
      <c r="F78448"/>
    </row>
    <row r="78449" spans="1:6" x14ac:dyDescent="0.25">
      <c r="A78449"/>
      <c r="B78449"/>
      <c r="C78449"/>
      <c r="E78449"/>
      <c r="F78449"/>
    </row>
    <row r="78450" spans="1:6" x14ac:dyDescent="0.25">
      <c r="A78450"/>
      <c r="B78450"/>
      <c r="C78450"/>
      <c r="E78450"/>
      <c r="F78450"/>
    </row>
    <row r="78451" spans="1:6" x14ac:dyDescent="0.25">
      <c r="A78451"/>
      <c r="B78451"/>
      <c r="C78451"/>
      <c r="E78451"/>
      <c r="F78451"/>
    </row>
    <row r="78452" spans="1:6" x14ac:dyDescent="0.25">
      <c r="A78452"/>
      <c r="B78452"/>
      <c r="C78452"/>
      <c r="E78452"/>
      <c r="F78452"/>
    </row>
    <row r="78453" spans="1:6" x14ac:dyDescent="0.25">
      <c r="A78453"/>
      <c r="B78453"/>
      <c r="C78453"/>
      <c r="E78453"/>
      <c r="F78453"/>
    </row>
    <row r="78454" spans="1:6" x14ac:dyDescent="0.25">
      <c r="A78454"/>
      <c r="B78454"/>
      <c r="C78454"/>
      <c r="E78454"/>
      <c r="F78454"/>
    </row>
    <row r="78455" spans="1:6" x14ac:dyDescent="0.25">
      <c r="A78455"/>
      <c r="B78455"/>
      <c r="C78455"/>
      <c r="E78455"/>
      <c r="F78455"/>
    </row>
    <row r="78456" spans="1:6" x14ac:dyDescent="0.25">
      <c r="A78456"/>
      <c r="B78456"/>
      <c r="C78456"/>
      <c r="E78456"/>
      <c r="F78456"/>
    </row>
    <row r="78457" spans="1:6" x14ac:dyDescent="0.25">
      <c r="A78457"/>
      <c r="B78457"/>
      <c r="C78457"/>
      <c r="E78457"/>
      <c r="F78457"/>
    </row>
    <row r="78458" spans="1:6" x14ac:dyDescent="0.25">
      <c r="A78458"/>
      <c r="B78458"/>
      <c r="C78458"/>
      <c r="E78458"/>
      <c r="F78458"/>
    </row>
    <row r="78459" spans="1:6" x14ac:dyDescent="0.25">
      <c r="A78459"/>
      <c r="B78459"/>
      <c r="C78459"/>
      <c r="E78459"/>
      <c r="F78459"/>
    </row>
    <row r="78460" spans="1:6" x14ac:dyDescent="0.25">
      <c r="A78460"/>
      <c r="B78460"/>
      <c r="C78460"/>
      <c r="E78460"/>
      <c r="F78460"/>
    </row>
    <row r="78461" spans="1:6" x14ac:dyDescent="0.25">
      <c r="A78461"/>
      <c r="B78461"/>
      <c r="C78461"/>
      <c r="E78461"/>
      <c r="F78461"/>
    </row>
    <row r="78462" spans="1:6" x14ac:dyDescent="0.25">
      <c r="A78462"/>
      <c r="B78462"/>
      <c r="C78462"/>
      <c r="E78462"/>
      <c r="F78462"/>
    </row>
    <row r="78463" spans="1:6" x14ac:dyDescent="0.25">
      <c r="A78463"/>
      <c r="B78463"/>
      <c r="C78463"/>
      <c r="E78463"/>
      <c r="F78463"/>
    </row>
    <row r="78464" spans="1:6" x14ac:dyDescent="0.25">
      <c r="A78464"/>
      <c r="B78464"/>
      <c r="C78464"/>
      <c r="E78464"/>
      <c r="F78464"/>
    </row>
    <row r="78465" spans="1:6" x14ac:dyDescent="0.25">
      <c r="A78465"/>
      <c r="B78465"/>
      <c r="C78465"/>
      <c r="E78465"/>
      <c r="F78465"/>
    </row>
    <row r="78466" spans="1:6" x14ac:dyDescent="0.25">
      <c r="A78466"/>
      <c r="B78466"/>
      <c r="C78466"/>
      <c r="E78466"/>
      <c r="F78466"/>
    </row>
    <row r="78467" spans="1:6" x14ac:dyDescent="0.25">
      <c r="A78467"/>
      <c r="B78467"/>
      <c r="C78467"/>
      <c r="E78467"/>
      <c r="F78467"/>
    </row>
    <row r="78468" spans="1:6" x14ac:dyDescent="0.25">
      <c r="A78468"/>
      <c r="B78468"/>
      <c r="C78468"/>
      <c r="E78468"/>
      <c r="F78468"/>
    </row>
    <row r="78469" spans="1:6" x14ac:dyDescent="0.25">
      <c r="A78469"/>
      <c r="B78469"/>
      <c r="C78469"/>
      <c r="E78469"/>
      <c r="F78469"/>
    </row>
    <row r="78470" spans="1:6" x14ac:dyDescent="0.25">
      <c r="A78470"/>
      <c r="B78470"/>
      <c r="C78470"/>
      <c r="E78470"/>
      <c r="F78470"/>
    </row>
    <row r="78471" spans="1:6" x14ac:dyDescent="0.25">
      <c r="A78471"/>
      <c r="B78471"/>
      <c r="C78471"/>
      <c r="E78471"/>
      <c r="F78471"/>
    </row>
    <row r="78472" spans="1:6" x14ac:dyDescent="0.25">
      <c r="A78472"/>
      <c r="B78472"/>
      <c r="C78472"/>
      <c r="E78472"/>
      <c r="F78472"/>
    </row>
    <row r="78473" spans="1:6" x14ac:dyDescent="0.25">
      <c r="A78473"/>
      <c r="B78473"/>
      <c r="C78473"/>
      <c r="E78473"/>
      <c r="F78473"/>
    </row>
    <row r="78474" spans="1:6" x14ac:dyDescent="0.25">
      <c r="A78474"/>
      <c r="B78474"/>
      <c r="C78474"/>
      <c r="E78474"/>
      <c r="F78474"/>
    </row>
    <row r="78475" spans="1:6" x14ac:dyDescent="0.25">
      <c r="A78475"/>
      <c r="B78475"/>
      <c r="C78475"/>
      <c r="E78475"/>
      <c r="F78475"/>
    </row>
    <row r="78476" spans="1:6" x14ac:dyDescent="0.25">
      <c r="A78476"/>
      <c r="B78476"/>
      <c r="C78476"/>
      <c r="E78476"/>
      <c r="F78476"/>
    </row>
    <row r="78477" spans="1:6" x14ac:dyDescent="0.25">
      <c r="A78477"/>
      <c r="B78477"/>
      <c r="C78477"/>
      <c r="E78477"/>
      <c r="F78477"/>
    </row>
    <row r="78478" spans="1:6" x14ac:dyDescent="0.25">
      <c r="A78478"/>
      <c r="B78478"/>
      <c r="C78478"/>
      <c r="E78478"/>
      <c r="F78478"/>
    </row>
    <row r="78479" spans="1:6" x14ac:dyDescent="0.25">
      <c r="A78479"/>
      <c r="B78479"/>
      <c r="C78479"/>
      <c r="E78479"/>
      <c r="F78479"/>
    </row>
    <row r="78480" spans="1:6" x14ac:dyDescent="0.25">
      <c r="A78480"/>
      <c r="B78480"/>
      <c r="C78480"/>
      <c r="E78480"/>
      <c r="F78480"/>
    </row>
    <row r="78481" spans="1:6" x14ac:dyDescent="0.25">
      <c r="A78481"/>
      <c r="B78481"/>
      <c r="C78481"/>
      <c r="E78481"/>
      <c r="F78481"/>
    </row>
    <row r="78482" spans="1:6" x14ac:dyDescent="0.25">
      <c r="A78482"/>
      <c r="B78482"/>
      <c r="C78482"/>
      <c r="E78482"/>
      <c r="F78482"/>
    </row>
    <row r="78483" spans="1:6" x14ac:dyDescent="0.25">
      <c r="A78483"/>
      <c r="B78483"/>
      <c r="C78483"/>
      <c r="E78483"/>
      <c r="F78483"/>
    </row>
    <row r="78484" spans="1:6" x14ac:dyDescent="0.25">
      <c r="A78484"/>
      <c r="B78484"/>
      <c r="C78484"/>
      <c r="E78484"/>
      <c r="F78484"/>
    </row>
    <row r="78485" spans="1:6" x14ac:dyDescent="0.25">
      <c r="A78485"/>
      <c r="B78485"/>
      <c r="C78485"/>
      <c r="E78485"/>
      <c r="F78485"/>
    </row>
    <row r="78486" spans="1:6" x14ac:dyDescent="0.25">
      <c r="A78486"/>
      <c r="B78486"/>
      <c r="C78486"/>
      <c r="E78486"/>
      <c r="F78486"/>
    </row>
    <row r="78487" spans="1:6" x14ac:dyDescent="0.25">
      <c r="A78487"/>
      <c r="B78487"/>
      <c r="C78487"/>
      <c r="E78487"/>
      <c r="F78487"/>
    </row>
    <row r="78488" spans="1:6" x14ac:dyDescent="0.25">
      <c r="A78488"/>
      <c r="B78488"/>
      <c r="C78488"/>
      <c r="E78488"/>
      <c r="F78488"/>
    </row>
    <row r="78489" spans="1:6" x14ac:dyDescent="0.25">
      <c r="A78489"/>
      <c r="B78489"/>
      <c r="C78489"/>
      <c r="E78489"/>
      <c r="F78489"/>
    </row>
    <row r="78490" spans="1:6" x14ac:dyDescent="0.25">
      <c r="A78490"/>
      <c r="B78490"/>
      <c r="C78490"/>
      <c r="E78490"/>
      <c r="F78490"/>
    </row>
    <row r="78491" spans="1:6" x14ac:dyDescent="0.25">
      <c r="A78491"/>
      <c r="B78491"/>
      <c r="C78491"/>
      <c r="E78491"/>
      <c r="F78491"/>
    </row>
    <row r="78492" spans="1:6" x14ac:dyDescent="0.25">
      <c r="A78492"/>
      <c r="B78492"/>
      <c r="C78492"/>
      <c r="E78492"/>
      <c r="F78492"/>
    </row>
    <row r="78493" spans="1:6" x14ac:dyDescent="0.25">
      <c r="A78493"/>
      <c r="B78493"/>
      <c r="C78493"/>
      <c r="E78493"/>
      <c r="F78493"/>
    </row>
    <row r="78494" spans="1:6" x14ac:dyDescent="0.25">
      <c r="A78494"/>
      <c r="B78494"/>
      <c r="C78494"/>
      <c r="E78494"/>
      <c r="F78494"/>
    </row>
    <row r="78495" spans="1:6" x14ac:dyDescent="0.25">
      <c r="A78495"/>
      <c r="B78495"/>
      <c r="C78495"/>
      <c r="E78495"/>
      <c r="F78495"/>
    </row>
    <row r="78496" spans="1:6" x14ac:dyDescent="0.25">
      <c r="A78496"/>
      <c r="B78496"/>
      <c r="C78496"/>
      <c r="E78496"/>
      <c r="F78496"/>
    </row>
    <row r="78497" spans="1:6" x14ac:dyDescent="0.25">
      <c r="A78497"/>
      <c r="B78497"/>
      <c r="C78497"/>
      <c r="E78497"/>
      <c r="F78497"/>
    </row>
    <row r="78498" spans="1:6" x14ac:dyDescent="0.25">
      <c r="A78498"/>
      <c r="B78498"/>
      <c r="C78498"/>
      <c r="E78498"/>
      <c r="F78498"/>
    </row>
    <row r="78499" spans="1:6" x14ac:dyDescent="0.25">
      <c r="A78499"/>
      <c r="B78499"/>
      <c r="C78499"/>
      <c r="E78499"/>
      <c r="F78499"/>
    </row>
    <row r="78500" spans="1:6" x14ac:dyDescent="0.25">
      <c r="A78500"/>
      <c r="B78500"/>
      <c r="C78500"/>
      <c r="E78500"/>
      <c r="F78500"/>
    </row>
    <row r="78501" spans="1:6" x14ac:dyDescent="0.25">
      <c r="A78501"/>
      <c r="B78501"/>
      <c r="C78501"/>
      <c r="E78501"/>
      <c r="F78501"/>
    </row>
    <row r="78502" spans="1:6" x14ac:dyDescent="0.25">
      <c r="A78502"/>
      <c r="B78502"/>
      <c r="C78502"/>
      <c r="E78502"/>
      <c r="F78502"/>
    </row>
    <row r="78503" spans="1:6" x14ac:dyDescent="0.25">
      <c r="A78503"/>
      <c r="B78503"/>
      <c r="C78503"/>
      <c r="E78503"/>
      <c r="F78503"/>
    </row>
    <row r="78504" spans="1:6" x14ac:dyDescent="0.25">
      <c r="A78504"/>
      <c r="B78504"/>
      <c r="C78504"/>
      <c r="E78504"/>
      <c r="F78504"/>
    </row>
    <row r="78505" spans="1:6" x14ac:dyDescent="0.25">
      <c r="A78505"/>
      <c r="B78505"/>
      <c r="C78505"/>
      <c r="E78505"/>
      <c r="F78505"/>
    </row>
    <row r="78506" spans="1:6" x14ac:dyDescent="0.25">
      <c r="A78506"/>
      <c r="B78506"/>
      <c r="C78506"/>
      <c r="E78506"/>
      <c r="F78506"/>
    </row>
    <row r="78507" spans="1:6" x14ac:dyDescent="0.25">
      <c r="A78507"/>
      <c r="B78507"/>
      <c r="C78507"/>
      <c r="E78507"/>
      <c r="F78507"/>
    </row>
    <row r="78508" spans="1:6" x14ac:dyDescent="0.25">
      <c r="A78508"/>
      <c r="B78508"/>
      <c r="C78508"/>
      <c r="E78508"/>
      <c r="F78508"/>
    </row>
    <row r="78509" spans="1:6" x14ac:dyDescent="0.25">
      <c r="A78509"/>
      <c r="B78509"/>
      <c r="C78509"/>
      <c r="E78509"/>
      <c r="F78509"/>
    </row>
    <row r="78510" spans="1:6" x14ac:dyDescent="0.25">
      <c r="A78510"/>
      <c r="B78510"/>
      <c r="C78510"/>
      <c r="E78510"/>
      <c r="F78510"/>
    </row>
    <row r="78511" spans="1:6" x14ac:dyDescent="0.25">
      <c r="A78511"/>
      <c r="B78511"/>
      <c r="C78511"/>
      <c r="E78511"/>
      <c r="F78511"/>
    </row>
    <row r="78512" spans="1:6" x14ac:dyDescent="0.25">
      <c r="A78512"/>
      <c r="B78512"/>
      <c r="C78512"/>
      <c r="E78512"/>
      <c r="F78512"/>
    </row>
    <row r="78513" spans="1:6" x14ac:dyDescent="0.25">
      <c r="A78513"/>
      <c r="B78513"/>
      <c r="C78513"/>
      <c r="E78513"/>
      <c r="F78513"/>
    </row>
    <row r="78514" spans="1:6" x14ac:dyDescent="0.25">
      <c r="A78514"/>
      <c r="B78514"/>
      <c r="C78514"/>
      <c r="E78514"/>
      <c r="F78514"/>
    </row>
    <row r="78515" spans="1:6" x14ac:dyDescent="0.25">
      <c r="A78515"/>
      <c r="B78515"/>
      <c r="C78515"/>
      <c r="E78515"/>
      <c r="F78515"/>
    </row>
    <row r="78516" spans="1:6" x14ac:dyDescent="0.25">
      <c r="A78516"/>
      <c r="B78516"/>
      <c r="C78516"/>
      <c r="E78516"/>
      <c r="F78516"/>
    </row>
    <row r="78517" spans="1:6" x14ac:dyDescent="0.25">
      <c r="A78517"/>
      <c r="B78517"/>
      <c r="C78517"/>
      <c r="E78517"/>
      <c r="F78517"/>
    </row>
    <row r="78518" spans="1:6" x14ac:dyDescent="0.25">
      <c r="A78518"/>
      <c r="B78518"/>
      <c r="C78518"/>
      <c r="E78518"/>
      <c r="F78518"/>
    </row>
    <row r="78519" spans="1:6" x14ac:dyDescent="0.25">
      <c r="A78519"/>
      <c r="B78519"/>
      <c r="C78519"/>
      <c r="E78519"/>
      <c r="F78519"/>
    </row>
    <row r="78520" spans="1:6" x14ac:dyDescent="0.25">
      <c r="A78520"/>
      <c r="B78520"/>
      <c r="C78520"/>
      <c r="E78520"/>
      <c r="F78520"/>
    </row>
    <row r="78521" spans="1:6" x14ac:dyDescent="0.25">
      <c r="A78521"/>
      <c r="B78521"/>
      <c r="C78521"/>
      <c r="E78521"/>
      <c r="F78521"/>
    </row>
    <row r="78522" spans="1:6" x14ac:dyDescent="0.25">
      <c r="A78522"/>
      <c r="B78522"/>
      <c r="C78522"/>
      <c r="E78522"/>
      <c r="F78522"/>
    </row>
    <row r="78523" spans="1:6" x14ac:dyDescent="0.25">
      <c r="A78523"/>
      <c r="B78523"/>
      <c r="C78523"/>
      <c r="E78523"/>
      <c r="F78523"/>
    </row>
    <row r="78524" spans="1:6" x14ac:dyDescent="0.25">
      <c r="A78524"/>
      <c r="B78524"/>
      <c r="C78524"/>
      <c r="E78524"/>
      <c r="F78524"/>
    </row>
    <row r="78525" spans="1:6" x14ac:dyDescent="0.25">
      <c r="A78525"/>
      <c r="B78525"/>
      <c r="C78525"/>
      <c r="E78525"/>
      <c r="F78525"/>
    </row>
    <row r="78526" spans="1:6" x14ac:dyDescent="0.25">
      <c r="A78526"/>
      <c r="B78526"/>
      <c r="C78526"/>
      <c r="E78526"/>
      <c r="F78526"/>
    </row>
    <row r="78527" spans="1:6" x14ac:dyDescent="0.25">
      <c r="A78527"/>
      <c r="B78527"/>
      <c r="C78527"/>
      <c r="E78527"/>
      <c r="F78527"/>
    </row>
    <row r="78528" spans="1:6" x14ac:dyDescent="0.25">
      <c r="A78528"/>
      <c r="B78528"/>
      <c r="C78528"/>
      <c r="E78528"/>
      <c r="F78528"/>
    </row>
    <row r="78529" spans="1:6" x14ac:dyDescent="0.25">
      <c r="A78529"/>
      <c r="B78529"/>
      <c r="C78529"/>
      <c r="E78529"/>
      <c r="F78529"/>
    </row>
    <row r="78530" spans="1:6" x14ac:dyDescent="0.25">
      <c r="A78530"/>
      <c r="B78530"/>
      <c r="C78530"/>
      <c r="E78530"/>
      <c r="F78530"/>
    </row>
    <row r="78531" spans="1:6" x14ac:dyDescent="0.25">
      <c r="A78531"/>
      <c r="B78531"/>
      <c r="C78531"/>
      <c r="E78531"/>
      <c r="F78531"/>
    </row>
    <row r="78532" spans="1:6" x14ac:dyDescent="0.25">
      <c r="A78532"/>
      <c r="B78532"/>
      <c r="C78532"/>
      <c r="E78532"/>
      <c r="F78532"/>
    </row>
    <row r="78533" spans="1:6" x14ac:dyDescent="0.25">
      <c r="A78533"/>
      <c r="B78533"/>
      <c r="C78533"/>
      <c r="E78533"/>
      <c r="F78533"/>
    </row>
    <row r="78534" spans="1:6" x14ac:dyDescent="0.25">
      <c r="A78534"/>
      <c r="B78534"/>
      <c r="C78534"/>
      <c r="E78534"/>
      <c r="F78534"/>
    </row>
    <row r="78535" spans="1:6" x14ac:dyDescent="0.25">
      <c r="A78535"/>
      <c r="B78535"/>
      <c r="C78535"/>
      <c r="E78535"/>
      <c r="F78535"/>
    </row>
    <row r="78536" spans="1:6" x14ac:dyDescent="0.25">
      <c r="A78536"/>
      <c r="B78536"/>
      <c r="C78536"/>
      <c r="E78536"/>
      <c r="F78536"/>
    </row>
    <row r="78537" spans="1:6" x14ac:dyDescent="0.25">
      <c r="A78537"/>
      <c r="B78537"/>
      <c r="C78537"/>
      <c r="E78537"/>
      <c r="F78537"/>
    </row>
    <row r="78538" spans="1:6" x14ac:dyDescent="0.25">
      <c r="A78538"/>
      <c r="B78538"/>
      <c r="C78538"/>
      <c r="E78538"/>
      <c r="F78538"/>
    </row>
    <row r="78539" spans="1:6" x14ac:dyDescent="0.25">
      <c r="A78539"/>
      <c r="B78539"/>
      <c r="C78539"/>
      <c r="E78539"/>
      <c r="F78539"/>
    </row>
    <row r="78540" spans="1:6" x14ac:dyDescent="0.25">
      <c r="A78540"/>
      <c r="B78540"/>
      <c r="C78540"/>
      <c r="E78540"/>
      <c r="F78540"/>
    </row>
    <row r="78541" spans="1:6" x14ac:dyDescent="0.25">
      <c r="A78541"/>
      <c r="B78541"/>
      <c r="C78541"/>
      <c r="E78541"/>
      <c r="F78541"/>
    </row>
    <row r="78542" spans="1:6" x14ac:dyDescent="0.25">
      <c r="A78542"/>
      <c r="B78542"/>
      <c r="C78542"/>
      <c r="E78542"/>
      <c r="F78542"/>
    </row>
    <row r="78543" spans="1:6" x14ac:dyDescent="0.25">
      <c r="A78543"/>
      <c r="B78543"/>
      <c r="C78543"/>
      <c r="E78543"/>
      <c r="F78543"/>
    </row>
    <row r="78544" spans="1:6" x14ac:dyDescent="0.25">
      <c r="A78544"/>
      <c r="B78544"/>
      <c r="C78544"/>
      <c r="E78544"/>
      <c r="F78544"/>
    </row>
    <row r="78545" spans="1:6" x14ac:dyDescent="0.25">
      <c r="A78545"/>
      <c r="B78545"/>
      <c r="C78545"/>
      <c r="E78545"/>
      <c r="F78545"/>
    </row>
    <row r="78546" spans="1:6" x14ac:dyDescent="0.25">
      <c r="A78546"/>
      <c r="B78546"/>
      <c r="C78546"/>
      <c r="E78546"/>
      <c r="F78546"/>
    </row>
    <row r="78547" spans="1:6" x14ac:dyDescent="0.25">
      <c r="A78547"/>
      <c r="B78547"/>
      <c r="C78547"/>
      <c r="E78547"/>
      <c r="F78547"/>
    </row>
    <row r="78548" spans="1:6" x14ac:dyDescent="0.25">
      <c r="A78548"/>
      <c r="B78548"/>
      <c r="C78548"/>
      <c r="E78548"/>
      <c r="F78548"/>
    </row>
    <row r="78549" spans="1:6" x14ac:dyDescent="0.25">
      <c r="A78549"/>
      <c r="B78549"/>
      <c r="C78549"/>
      <c r="E78549"/>
      <c r="F78549"/>
    </row>
    <row r="78550" spans="1:6" x14ac:dyDescent="0.25">
      <c r="A78550"/>
      <c r="B78550"/>
      <c r="C78550"/>
      <c r="E78550"/>
      <c r="F78550"/>
    </row>
    <row r="78551" spans="1:6" x14ac:dyDescent="0.25">
      <c r="A78551"/>
      <c r="B78551"/>
      <c r="C78551"/>
      <c r="E78551"/>
      <c r="F78551"/>
    </row>
    <row r="78552" spans="1:6" x14ac:dyDescent="0.25">
      <c r="A78552"/>
      <c r="B78552"/>
      <c r="C78552"/>
      <c r="E78552"/>
      <c r="F78552"/>
    </row>
    <row r="78553" spans="1:6" x14ac:dyDescent="0.25">
      <c r="A78553"/>
      <c r="B78553"/>
      <c r="C78553"/>
      <c r="E78553"/>
      <c r="F78553"/>
    </row>
    <row r="78554" spans="1:6" x14ac:dyDescent="0.25">
      <c r="A78554"/>
      <c r="B78554"/>
      <c r="C78554"/>
      <c r="E78554"/>
      <c r="F78554"/>
    </row>
    <row r="78555" spans="1:6" x14ac:dyDescent="0.25">
      <c r="A78555"/>
      <c r="B78555"/>
      <c r="C78555"/>
      <c r="E78555"/>
      <c r="F78555"/>
    </row>
    <row r="78556" spans="1:6" x14ac:dyDescent="0.25">
      <c r="A78556"/>
      <c r="B78556"/>
      <c r="C78556"/>
      <c r="E78556"/>
      <c r="F78556"/>
    </row>
    <row r="78557" spans="1:6" x14ac:dyDescent="0.25">
      <c r="A78557"/>
      <c r="B78557"/>
      <c r="C78557"/>
      <c r="E78557"/>
      <c r="F78557"/>
    </row>
    <row r="78558" spans="1:6" x14ac:dyDescent="0.25">
      <c r="A78558"/>
      <c r="B78558"/>
      <c r="C78558"/>
      <c r="E78558"/>
      <c r="F78558"/>
    </row>
    <row r="78559" spans="1:6" x14ac:dyDescent="0.25">
      <c r="A78559"/>
      <c r="B78559"/>
      <c r="C78559"/>
      <c r="E78559"/>
      <c r="F78559"/>
    </row>
    <row r="78560" spans="1:6" x14ac:dyDescent="0.25">
      <c r="A78560"/>
      <c r="B78560"/>
      <c r="C78560"/>
      <c r="E78560"/>
      <c r="F78560"/>
    </row>
    <row r="78561" spans="1:6" x14ac:dyDescent="0.25">
      <c r="A78561"/>
      <c r="B78561"/>
      <c r="C78561"/>
      <c r="E78561"/>
      <c r="F78561"/>
    </row>
    <row r="78562" spans="1:6" x14ac:dyDescent="0.25">
      <c r="A78562"/>
      <c r="B78562"/>
      <c r="C78562"/>
      <c r="E78562"/>
      <c r="F78562"/>
    </row>
    <row r="78563" spans="1:6" x14ac:dyDescent="0.25">
      <c r="A78563"/>
      <c r="B78563"/>
      <c r="C78563"/>
      <c r="E78563"/>
      <c r="F78563"/>
    </row>
    <row r="78564" spans="1:6" x14ac:dyDescent="0.25">
      <c r="A78564"/>
      <c r="B78564"/>
      <c r="C78564"/>
      <c r="E78564"/>
      <c r="F78564"/>
    </row>
    <row r="78565" spans="1:6" x14ac:dyDescent="0.25">
      <c r="A78565"/>
      <c r="B78565"/>
      <c r="C78565"/>
      <c r="E78565"/>
      <c r="F78565"/>
    </row>
    <row r="78566" spans="1:6" x14ac:dyDescent="0.25">
      <c r="A78566"/>
      <c r="B78566"/>
      <c r="C78566"/>
      <c r="E78566"/>
      <c r="F78566"/>
    </row>
    <row r="78567" spans="1:6" x14ac:dyDescent="0.25">
      <c r="A78567"/>
      <c r="B78567"/>
      <c r="C78567"/>
      <c r="E78567"/>
      <c r="F78567"/>
    </row>
    <row r="78568" spans="1:6" x14ac:dyDescent="0.25">
      <c r="A78568"/>
      <c r="B78568"/>
      <c r="C78568"/>
      <c r="E78568"/>
      <c r="F78568"/>
    </row>
    <row r="78569" spans="1:6" x14ac:dyDescent="0.25">
      <c r="A78569"/>
      <c r="B78569"/>
      <c r="C78569"/>
      <c r="E78569"/>
      <c r="F78569"/>
    </row>
    <row r="78570" spans="1:6" x14ac:dyDescent="0.25">
      <c r="A78570"/>
      <c r="B78570"/>
      <c r="C78570"/>
      <c r="E78570"/>
      <c r="F78570"/>
    </row>
    <row r="78571" spans="1:6" x14ac:dyDescent="0.25">
      <c r="A78571"/>
      <c r="B78571"/>
      <c r="C78571"/>
      <c r="E78571"/>
      <c r="F78571"/>
    </row>
    <row r="78572" spans="1:6" x14ac:dyDescent="0.25">
      <c r="A78572"/>
      <c r="B78572"/>
      <c r="C78572"/>
      <c r="E78572"/>
      <c r="F78572"/>
    </row>
    <row r="78573" spans="1:6" x14ac:dyDescent="0.25">
      <c r="A78573"/>
      <c r="B78573"/>
      <c r="C78573"/>
      <c r="E78573"/>
      <c r="F78573"/>
    </row>
    <row r="78574" spans="1:6" x14ac:dyDescent="0.25">
      <c r="A78574"/>
      <c r="B78574"/>
      <c r="C78574"/>
      <c r="E78574"/>
      <c r="F78574"/>
    </row>
    <row r="78575" spans="1:6" x14ac:dyDescent="0.25">
      <c r="A78575"/>
      <c r="B78575"/>
      <c r="C78575"/>
      <c r="E78575"/>
      <c r="F78575"/>
    </row>
    <row r="78576" spans="1:6" x14ac:dyDescent="0.25">
      <c r="A78576"/>
      <c r="B78576"/>
      <c r="C78576"/>
      <c r="E78576"/>
      <c r="F78576"/>
    </row>
    <row r="78577" spans="1:6" x14ac:dyDescent="0.25">
      <c r="A78577"/>
      <c r="B78577"/>
      <c r="C78577"/>
      <c r="E78577"/>
      <c r="F78577"/>
    </row>
    <row r="78578" spans="1:6" x14ac:dyDescent="0.25">
      <c r="A78578"/>
      <c r="B78578"/>
      <c r="C78578"/>
      <c r="E78578"/>
      <c r="F78578"/>
    </row>
    <row r="78579" spans="1:6" x14ac:dyDescent="0.25">
      <c r="A78579"/>
      <c r="B78579"/>
      <c r="C78579"/>
      <c r="E78579"/>
      <c r="F78579"/>
    </row>
    <row r="78580" spans="1:6" x14ac:dyDescent="0.25">
      <c r="A78580"/>
      <c r="B78580"/>
      <c r="C78580"/>
      <c r="E78580"/>
      <c r="F78580"/>
    </row>
    <row r="78581" spans="1:6" x14ac:dyDescent="0.25">
      <c r="A78581"/>
      <c r="B78581"/>
      <c r="C78581"/>
      <c r="E78581"/>
      <c r="F78581"/>
    </row>
    <row r="78582" spans="1:6" x14ac:dyDescent="0.25">
      <c r="A78582"/>
      <c r="B78582"/>
      <c r="C78582"/>
      <c r="E78582"/>
      <c r="F78582"/>
    </row>
    <row r="78583" spans="1:6" x14ac:dyDescent="0.25">
      <c r="A78583"/>
      <c r="B78583"/>
      <c r="C78583"/>
      <c r="E78583"/>
      <c r="F78583"/>
    </row>
    <row r="78584" spans="1:6" x14ac:dyDescent="0.25">
      <c r="A78584"/>
      <c r="B78584"/>
      <c r="C78584"/>
      <c r="E78584"/>
      <c r="F78584"/>
    </row>
    <row r="78585" spans="1:6" x14ac:dyDescent="0.25">
      <c r="A78585"/>
      <c r="B78585"/>
      <c r="C78585"/>
      <c r="E78585"/>
      <c r="F78585"/>
    </row>
    <row r="78586" spans="1:6" x14ac:dyDescent="0.25">
      <c r="A78586"/>
      <c r="B78586"/>
      <c r="C78586"/>
      <c r="E78586"/>
      <c r="F78586"/>
    </row>
    <row r="78587" spans="1:6" x14ac:dyDescent="0.25">
      <c r="A78587"/>
      <c r="B78587"/>
      <c r="C78587"/>
      <c r="E78587"/>
      <c r="F78587"/>
    </row>
    <row r="78588" spans="1:6" x14ac:dyDescent="0.25">
      <c r="A78588"/>
      <c r="B78588"/>
      <c r="C78588"/>
      <c r="E78588"/>
      <c r="F78588"/>
    </row>
    <row r="78589" spans="1:6" x14ac:dyDescent="0.25">
      <c r="A78589"/>
      <c r="B78589"/>
      <c r="C78589"/>
      <c r="E78589"/>
      <c r="F78589"/>
    </row>
    <row r="78590" spans="1:6" x14ac:dyDescent="0.25">
      <c r="A78590"/>
      <c r="B78590"/>
      <c r="C78590"/>
      <c r="E78590"/>
      <c r="F78590"/>
    </row>
    <row r="78591" spans="1:6" x14ac:dyDescent="0.25">
      <c r="A78591"/>
      <c r="B78591"/>
      <c r="C78591"/>
      <c r="E78591"/>
      <c r="F78591"/>
    </row>
    <row r="78592" spans="1:6" x14ac:dyDescent="0.25">
      <c r="A78592"/>
      <c r="B78592"/>
      <c r="C78592"/>
      <c r="E78592"/>
      <c r="F78592"/>
    </row>
    <row r="78593" spans="1:6" x14ac:dyDescent="0.25">
      <c r="A78593"/>
      <c r="B78593"/>
      <c r="C78593"/>
      <c r="E78593"/>
      <c r="F78593"/>
    </row>
    <row r="78594" spans="1:6" x14ac:dyDescent="0.25">
      <c r="A78594"/>
      <c r="B78594"/>
      <c r="C78594"/>
      <c r="E78594"/>
      <c r="F78594"/>
    </row>
    <row r="78595" spans="1:6" x14ac:dyDescent="0.25">
      <c r="A78595"/>
      <c r="B78595"/>
      <c r="C78595"/>
      <c r="E78595"/>
      <c r="F78595"/>
    </row>
    <row r="78596" spans="1:6" x14ac:dyDescent="0.25">
      <c r="A78596"/>
      <c r="B78596"/>
      <c r="C78596"/>
      <c r="E78596"/>
      <c r="F78596"/>
    </row>
    <row r="78597" spans="1:6" x14ac:dyDescent="0.25">
      <c r="A78597"/>
      <c r="B78597"/>
      <c r="C78597"/>
      <c r="E78597"/>
      <c r="F78597"/>
    </row>
    <row r="78598" spans="1:6" x14ac:dyDescent="0.25">
      <c r="A78598"/>
      <c r="B78598"/>
      <c r="C78598"/>
      <c r="E78598"/>
      <c r="F78598"/>
    </row>
    <row r="78599" spans="1:6" x14ac:dyDescent="0.25">
      <c r="A78599"/>
      <c r="B78599"/>
      <c r="C78599"/>
      <c r="E78599"/>
      <c r="F78599"/>
    </row>
    <row r="78600" spans="1:6" x14ac:dyDescent="0.25">
      <c r="A78600"/>
      <c r="B78600"/>
      <c r="C78600"/>
      <c r="E78600"/>
      <c r="F78600"/>
    </row>
    <row r="78601" spans="1:6" x14ac:dyDescent="0.25">
      <c r="A78601"/>
      <c r="B78601"/>
      <c r="C78601"/>
      <c r="E78601"/>
      <c r="F78601"/>
    </row>
    <row r="78602" spans="1:6" x14ac:dyDescent="0.25">
      <c r="A78602"/>
      <c r="B78602"/>
      <c r="C78602"/>
      <c r="E78602"/>
      <c r="F78602"/>
    </row>
    <row r="78603" spans="1:6" x14ac:dyDescent="0.25">
      <c r="A78603"/>
      <c r="B78603"/>
      <c r="C78603"/>
      <c r="E78603"/>
      <c r="F78603"/>
    </row>
    <row r="78604" spans="1:6" x14ac:dyDescent="0.25">
      <c r="A78604"/>
      <c r="B78604"/>
      <c r="C78604"/>
      <c r="E78604"/>
      <c r="F78604"/>
    </row>
    <row r="78605" spans="1:6" x14ac:dyDescent="0.25">
      <c r="A78605"/>
      <c r="B78605"/>
      <c r="C78605"/>
      <c r="E78605"/>
      <c r="F78605"/>
    </row>
    <row r="78606" spans="1:6" x14ac:dyDescent="0.25">
      <c r="A78606"/>
      <c r="B78606"/>
      <c r="C78606"/>
      <c r="E78606"/>
      <c r="F78606"/>
    </row>
    <row r="78607" spans="1:6" x14ac:dyDescent="0.25">
      <c r="A78607"/>
      <c r="B78607"/>
      <c r="C78607"/>
      <c r="E78607"/>
      <c r="F78607"/>
    </row>
    <row r="78608" spans="1:6" x14ac:dyDescent="0.25">
      <c r="A78608"/>
      <c r="B78608"/>
      <c r="C78608"/>
      <c r="E78608"/>
      <c r="F78608"/>
    </row>
    <row r="78609" spans="1:6" x14ac:dyDescent="0.25">
      <c r="A78609"/>
      <c r="B78609"/>
      <c r="C78609"/>
      <c r="E78609"/>
      <c r="F78609"/>
    </row>
    <row r="78610" spans="1:6" x14ac:dyDescent="0.25">
      <c r="A78610"/>
      <c r="B78610"/>
      <c r="C78610"/>
      <c r="E78610"/>
      <c r="F78610"/>
    </row>
    <row r="78611" spans="1:6" x14ac:dyDescent="0.25">
      <c r="A78611"/>
      <c r="B78611"/>
      <c r="C78611"/>
      <c r="E78611"/>
      <c r="F78611"/>
    </row>
    <row r="78612" spans="1:6" x14ac:dyDescent="0.25">
      <c r="A78612"/>
      <c r="B78612"/>
      <c r="C78612"/>
      <c r="E78612"/>
      <c r="F78612"/>
    </row>
    <row r="78613" spans="1:6" x14ac:dyDescent="0.25">
      <c r="A78613"/>
      <c r="B78613"/>
      <c r="C78613"/>
      <c r="E78613"/>
      <c r="F78613"/>
    </row>
    <row r="78614" spans="1:6" x14ac:dyDescent="0.25">
      <c r="A78614"/>
      <c r="B78614"/>
      <c r="C78614"/>
      <c r="E78614"/>
      <c r="F78614"/>
    </row>
    <row r="78615" spans="1:6" x14ac:dyDescent="0.25">
      <c r="A78615"/>
      <c r="B78615"/>
      <c r="C78615"/>
      <c r="E78615"/>
      <c r="F78615"/>
    </row>
    <row r="78616" spans="1:6" x14ac:dyDescent="0.25">
      <c r="A78616"/>
      <c r="B78616"/>
      <c r="C78616"/>
      <c r="E78616"/>
      <c r="F78616"/>
    </row>
    <row r="78617" spans="1:6" x14ac:dyDescent="0.25">
      <c r="A78617"/>
      <c r="B78617"/>
      <c r="C78617"/>
      <c r="E78617"/>
      <c r="F78617"/>
    </row>
    <row r="78618" spans="1:6" x14ac:dyDescent="0.25">
      <c r="A78618"/>
      <c r="B78618"/>
      <c r="C78618"/>
      <c r="E78618"/>
      <c r="F78618"/>
    </row>
    <row r="78619" spans="1:6" x14ac:dyDescent="0.25">
      <c r="A78619"/>
      <c r="B78619"/>
      <c r="C78619"/>
      <c r="E78619"/>
      <c r="F78619"/>
    </row>
    <row r="78620" spans="1:6" x14ac:dyDescent="0.25">
      <c r="A78620"/>
      <c r="B78620"/>
      <c r="C78620"/>
      <c r="E78620"/>
      <c r="F78620"/>
    </row>
    <row r="78621" spans="1:6" x14ac:dyDescent="0.25">
      <c r="A78621"/>
      <c r="B78621"/>
      <c r="C78621"/>
      <c r="E78621"/>
      <c r="F78621"/>
    </row>
    <row r="78622" spans="1:6" x14ac:dyDescent="0.25">
      <c r="A78622"/>
      <c r="B78622"/>
      <c r="C78622"/>
      <c r="E78622"/>
      <c r="F78622"/>
    </row>
    <row r="78623" spans="1:6" x14ac:dyDescent="0.25">
      <c r="A78623"/>
      <c r="B78623"/>
      <c r="C78623"/>
      <c r="E78623"/>
      <c r="F78623"/>
    </row>
    <row r="78624" spans="1:6" x14ac:dyDescent="0.25">
      <c r="A78624"/>
      <c r="B78624"/>
      <c r="C78624"/>
      <c r="E78624"/>
      <c r="F78624"/>
    </row>
    <row r="78625" spans="1:6" x14ac:dyDescent="0.25">
      <c r="A78625"/>
      <c r="B78625"/>
      <c r="C78625"/>
      <c r="E78625"/>
      <c r="F78625"/>
    </row>
    <row r="78626" spans="1:6" x14ac:dyDescent="0.25">
      <c r="A78626"/>
      <c r="B78626"/>
      <c r="C78626"/>
      <c r="E78626"/>
      <c r="F78626"/>
    </row>
    <row r="78627" spans="1:6" x14ac:dyDescent="0.25">
      <c r="A78627"/>
      <c r="B78627"/>
      <c r="C78627"/>
      <c r="E78627"/>
      <c r="F78627"/>
    </row>
    <row r="78628" spans="1:6" x14ac:dyDescent="0.25">
      <c r="A78628"/>
      <c r="B78628"/>
      <c r="C78628"/>
      <c r="E78628"/>
      <c r="F78628"/>
    </row>
    <row r="78629" spans="1:6" x14ac:dyDescent="0.25">
      <c r="A78629"/>
      <c r="B78629"/>
      <c r="C78629"/>
      <c r="E78629"/>
      <c r="F78629"/>
    </row>
    <row r="78630" spans="1:6" x14ac:dyDescent="0.25">
      <c r="A78630"/>
      <c r="B78630"/>
      <c r="C78630"/>
      <c r="E78630"/>
      <c r="F78630"/>
    </row>
    <row r="78631" spans="1:6" x14ac:dyDescent="0.25">
      <c r="A78631"/>
      <c r="B78631"/>
      <c r="C78631"/>
      <c r="E78631"/>
      <c r="F78631"/>
    </row>
    <row r="78632" spans="1:6" x14ac:dyDescent="0.25">
      <c r="A78632"/>
      <c r="B78632"/>
      <c r="C78632"/>
      <c r="E78632"/>
      <c r="F78632"/>
    </row>
    <row r="78633" spans="1:6" x14ac:dyDescent="0.25">
      <c r="A78633"/>
      <c r="B78633"/>
      <c r="C78633"/>
      <c r="E78633"/>
      <c r="F78633"/>
    </row>
    <row r="78634" spans="1:6" x14ac:dyDescent="0.25">
      <c r="A78634"/>
      <c r="B78634"/>
      <c r="C78634"/>
      <c r="E78634"/>
      <c r="F78634"/>
    </row>
    <row r="78635" spans="1:6" x14ac:dyDescent="0.25">
      <c r="A78635"/>
      <c r="B78635"/>
      <c r="C78635"/>
      <c r="E78635"/>
      <c r="F78635"/>
    </row>
    <row r="78636" spans="1:6" x14ac:dyDescent="0.25">
      <c r="A78636"/>
      <c r="B78636"/>
      <c r="C78636"/>
      <c r="E78636"/>
      <c r="F78636"/>
    </row>
    <row r="78637" spans="1:6" x14ac:dyDescent="0.25">
      <c r="A78637"/>
      <c r="B78637"/>
      <c r="C78637"/>
      <c r="E78637"/>
      <c r="F78637"/>
    </row>
    <row r="78638" spans="1:6" x14ac:dyDescent="0.25">
      <c r="A78638"/>
      <c r="B78638"/>
      <c r="C78638"/>
      <c r="E78638"/>
      <c r="F78638"/>
    </row>
    <row r="78639" spans="1:6" x14ac:dyDescent="0.25">
      <c r="A78639"/>
      <c r="B78639"/>
      <c r="C78639"/>
      <c r="E78639"/>
      <c r="F78639"/>
    </row>
    <row r="78640" spans="1:6" x14ac:dyDescent="0.25">
      <c r="A78640"/>
      <c r="B78640"/>
      <c r="C78640"/>
      <c r="E78640"/>
      <c r="F78640"/>
    </row>
    <row r="78641" spans="1:6" x14ac:dyDescent="0.25">
      <c r="A78641"/>
      <c r="B78641"/>
      <c r="C78641"/>
      <c r="E78641"/>
      <c r="F78641"/>
    </row>
    <row r="78642" spans="1:6" x14ac:dyDescent="0.25">
      <c r="A78642"/>
      <c r="B78642"/>
      <c r="C78642"/>
      <c r="E78642"/>
      <c r="F78642"/>
    </row>
    <row r="78643" spans="1:6" x14ac:dyDescent="0.25">
      <c r="A78643"/>
      <c r="B78643"/>
      <c r="C78643"/>
      <c r="E78643"/>
      <c r="F78643"/>
    </row>
    <row r="78644" spans="1:6" x14ac:dyDescent="0.25">
      <c r="A78644"/>
      <c r="B78644"/>
      <c r="C78644"/>
      <c r="E78644"/>
      <c r="F78644"/>
    </row>
    <row r="78645" spans="1:6" x14ac:dyDescent="0.25">
      <c r="A78645"/>
      <c r="B78645"/>
      <c r="C78645"/>
      <c r="E78645"/>
      <c r="F78645"/>
    </row>
    <row r="78646" spans="1:6" x14ac:dyDescent="0.25">
      <c r="A78646"/>
      <c r="B78646"/>
      <c r="C78646"/>
      <c r="E78646"/>
      <c r="F78646"/>
    </row>
    <row r="78647" spans="1:6" x14ac:dyDescent="0.25">
      <c r="A78647"/>
      <c r="B78647"/>
      <c r="C78647"/>
      <c r="E78647"/>
      <c r="F78647"/>
    </row>
    <row r="78648" spans="1:6" x14ac:dyDescent="0.25">
      <c r="A78648"/>
      <c r="B78648"/>
      <c r="C78648"/>
      <c r="E78648"/>
      <c r="F78648"/>
    </row>
    <row r="78649" spans="1:6" x14ac:dyDescent="0.25">
      <c r="A78649"/>
      <c r="B78649"/>
      <c r="C78649"/>
      <c r="E78649"/>
      <c r="F78649"/>
    </row>
    <row r="78650" spans="1:6" x14ac:dyDescent="0.25">
      <c r="A78650"/>
      <c r="B78650"/>
      <c r="C78650"/>
      <c r="E78650"/>
      <c r="F78650"/>
    </row>
    <row r="78651" spans="1:6" x14ac:dyDescent="0.25">
      <c r="A78651"/>
      <c r="B78651"/>
      <c r="C78651"/>
      <c r="E78651"/>
      <c r="F78651"/>
    </row>
    <row r="78652" spans="1:6" x14ac:dyDescent="0.25">
      <c r="A78652"/>
      <c r="B78652"/>
      <c r="C78652"/>
      <c r="E78652"/>
      <c r="F78652"/>
    </row>
    <row r="78653" spans="1:6" x14ac:dyDescent="0.25">
      <c r="A78653"/>
      <c r="B78653"/>
      <c r="C78653"/>
      <c r="E78653"/>
      <c r="F78653"/>
    </row>
    <row r="78654" spans="1:6" x14ac:dyDescent="0.25">
      <c r="A78654"/>
      <c r="B78654"/>
      <c r="C78654"/>
      <c r="E78654"/>
      <c r="F78654"/>
    </row>
    <row r="78655" spans="1:6" x14ac:dyDescent="0.25">
      <c r="A78655"/>
      <c r="B78655"/>
      <c r="C78655"/>
      <c r="E78655"/>
      <c r="F78655"/>
    </row>
    <row r="78656" spans="1:6" x14ac:dyDescent="0.25">
      <c r="A78656"/>
      <c r="B78656"/>
      <c r="C78656"/>
      <c r="E78656"/>
      <c r="F78656"/>
    </row>
    <row r="78657" spans="1:6" x14ac:dyDescent="0.25">
      <c r="A78657"/>
      <c r="B78657"/>
      <c r="C78657"/>
      <c r="E78657"/>
      <c r="F78657"/>
    </row>
    <row r="78658" spans="1:6" x14ac:dyDescent="0.25">
      <c r="A78658"/>
      <c r="B78658"/>
      <c r="C78658"/>
      <c r="E78658"/>
      <c r="F78658"/>
    </row>
    <row r="78659" spans="1:6" x14ac:dyDescent="0.25">
      <c r="A78659"/>
      <c r="B78659"/>
      <c r="C78659"/>
      <c r="E78659"/>
      <c r="F78659"/>
    </row>
    <row r="78660" spans="1:6" x14ac:dyDescent="0.25">
      <c r="A78660"/>
      <c r="B78660"/>
      <c r="C78660"/>
      <c r="E78660"/>
      <c r="F78660"/>
    </row>
    <row r="78661" spans="1:6" x14ac:dyDescent="0.25">
      <c r="A78661"/>
      <c r="B78661"/>
      <c r="C78661"/>
      <c r="E78661"/>
      <c r="F78661"/>
    </row>
    <row r="78662" spans="1:6" x14ac:dyDescent="0.25">
      <c r="A78662"/>
      <c r="B78662"/>
      <c r="C78662"/>
      <c r="E78662"/>
      <c r="F78662"/>
    </row>
    <row r="78663" spans="1:6" x14ac:dyDescent="0.25">
      <c r="A78663"/>
      <c r="B78663"/>
      <c r="C78663"/>
      <c r="E78663"/>
      <c r="F78663"/>
    </row>
    <row r="78664" spans="1:6" x14ac:dyDescent="0.25">
      <c r="A78664"/>
      <c r="B78664"/>
      <c r="C78664"/>
      <c r="E78664"/>
      <c r="F78664"/>
    </row>
    <row r="78665" spans="1:6" x14ac:dyDescent="0.25">
      <c r="A78665"/>
      <c r="B78665"/>
      <c r="C78665"/>
      <c r="E78665"/>
      <c r="F78665"/>
    </row>
    <row r="78666" spans="1:6" x14ac:dyDescent="0.25">
      <c r="A78666"/>
      <c r="B78666"/>
      <c r="C78666"/>
      <c r="E78666"/>
      <c r="F78666"/>
    </row>
    <row r="78667" spans="1:6" x14ac:dyDescent="0.25">
      <c r="A78667"/>
      <c r="B78667"/>
      <c r="C78667"/>
      <c r="E78667"/>
      <c r="F78667"/>
    </row>
    <row r="78668" spans="1:6" x14ac:dyDescent="0.25">
      <c r="A78668"/>
      <c r="B78668"/>
      <c r="C78668"/>
      <c r="E78668"/>
      <c r="F78668"/>
    </row>
    <row r="78669" spans="1:6" x14ac:dyDescent="0.25">
      <c r="A78669"/>
      <c r="B78669"/>
      <c r="C78669"/>
      <c r="E78669"/>
      <c r="F78669"/>
    </row>
    <row r="78670" spans="1:6" x14ac:dyDescent="0.25">
      <c r="A78670"/>
      <c r="B78670"/>
      <c r="C78670"/>
      <c r="E78670"/>
      <c r="F78670"/>
    </row>
    <row r="78671" spans="1:6" x14ac:dyDescent="0.25">
      <c r="A78671"/>
      <c r="B78671"/>
      <c r="C78671"/>
      <c r="E78671"/>
      <c r="F78671"/>
    </row>
    <row r="78672" spans="1:6" x14ac:dyDescent="0.25">
      <c r="A78672"/>
      <c r="B78672"/>
      <c r="C78672"/>
      <c r="E78672"/>
      <c r="F78672"/>
    </row>
    <row r="78673" spans="1:6" x14ac:dyDescent="0.25">
      <c r="A78673"/>
      <c r="B78673"/>
      <c r="C78673"/>
      <c r="E78673"/>
      <c r="F78673"/>
    </row>
    <row r="78674" spans="1:6" x14ac:dyDescent="0.25">
      <c r="A78674"/>
      <c r="B78674"/>
      <c r="C78674"/>
      <c r="E78674"/>
      <c r="F78674"/>
    </row>
    <row r="78675" spans="1:6" x14ac:dyDescent="0.25">
      <c r="A78675"/>
      <c r="B78675"/>
      <c r="C78675"/>
      <c r="E78675"/>
      <c r="F78675"/>
    </row>
    <row r="78676" spans="1:6" x14ac:dyDescent="0.25">
      <c r="A78676"/>
      <c r="B78676"/>
      <c r="C78676"/>
      <c r="E78676"/>
      <c r="F78676"/>
    </row>
    <row r="78677" spans="1:6" x14ac:dyDescent="0.25">
      <c r="A78677"/>
      <c r="B78677"/>
      <c r="C78677"/>
      <c r="E78677"/>
      <c r="F78677"/>
    </row>
    <row r="78678" spans="1:6" x14ac:dyDescent="0.25">
      <c r="A78678"/>
      <c r="B78678"/>
      <c r="C78678"/>
      <c r="E78678"/>
      <c r="F78678"/>
    </row>
    <row r="78679" spans="1:6" x14ac:dyDescent="0.25">
      <c r="A78679"/>
      <c r="B78679"/>
      <c r="C78679"/>
      <c r="E78679"/>
      <c r="F78679"/>
    </row>
    <row r="78680" spans="1:6" x14ac:dyDescent="0.25">
      <c r="A78680"/>
      <c r="B78680"/>
      <c r="C78680"/>
      <c r="E78680"/>
      <c r="F78680"/>
    </row>
    <row r="78681" spans="1:6" x14ac:dyDescent="0.25">
      <c r="A78681"/>
      <c r="B78681"/>
      <c r="C78681"/>
      <c r="E78681"/>
      <c r="F78681"/>
    </row>
    <row r="78682" spans="1:6" x14ac:dyDescent="0.25">
      <c r="A78682"/>
      <c r="B78682"/>
      <c r="C78682"/>
      <c r="E78682"/>
      <c r="F78682"/>
    </row>
    <row r="78683" spans="1:6" x14ac:dyDescent="0.25">
      <c r="A78683"/>
      <c r="B78683"/>
      <c r="C78683"/>
      <c r="E78683"/>
      <c r="F78683"/>
    </row>
    <row r="78684" spans="1:6" x14ac:dyDescent="0.25">
      <c r="A78684"/>
      <c r="B78684"/>
      <c r="C78684"/>
      <c r="E78684"/>
      <c r="F78684"/>
    </row>
    <row r="78685" spans="1:6" x14ac:dyDescent="0.25">
      <c r="A78685"/>
      <c r="B78685"/>
      <c r="C78685"/>
      <c r="E78685"/>
      <c r="F78685"/>
    </row>
    <row r="78686" spans="1:6" x14ac:dyDescent="0.25">
      <c r="A78686"/>
      <c r="B78686"/>
      <c r="C78686"/>
      <c r="E78686"/>
      <c r="F78686"/>
    </row>
    <row r="78687" spans="1:6" x14ac:dyDescent="0.25">
      <c r="A78687"/>
      <c r="B78687"/>
      <c r="C78687"/>
      <c r="E78687"/>
      <c r="F78687"/>
    </row>
    <row r="78688" spans="1:6" x14ac:dyDescent="0.25">
      <c r="A78688"/>
      <c r="B78688"/>
      <c r="C78688"/>
      <c r="E78688"/>
      <c r="F78688"/>
    </row>
    <row r="78689" spans="1:6" x14ac:dyDescent="0.25">
      <c r="A78689"/>
      <c r="B78689"/>
      <c r="C78689"/>
      <c r="E78689"/>
      <c r="F78689"/>
    </row>
    <row r="78690" spans="1:6" x14ac:dyDescent="0.25">
      <c r="A78690"/>
      <c r="B78690"/>
      <c r="C78690"/>
      <c r="E78690"/>
      <c r="F78690"/>
    </row>
    <row r="78691" spans="1:6" x14ac:dyDescent="0.25">
      <c r="A78691"/>
      <c r="B78691"/>
      <c r="C78691"/>
      <c r="E78691"/>
      <c r="F78691"/>
    </row>
    <row r="78692" spans="1:6" x14ac:dyDescent="0.25">
      <c r="A78692"/>
      <c r="B78692"/>
      <c r="C78692"/>
      <c r="E78692"/>
      <c r="F78692"/>
    </row>
    <row r="78693" spans="1:6" x14ac:dyDescent="0.25">
      <c r="A78693"/>
      <c r="B78693"/>
      <c r="C78693"/>
      <c r="E78693"/>
      <c r="F78693"/>
    </row>
    <row r="78694" spans="1:6" x14ac:dyDescent="0.25">
      <c r="A78694"/>
      <c r="B78694"/>
      <c r="C78694"/>
      <c r="E78694"/>
      <c r="F78694"/>
    </row>
    <row r="78695" spans="1:6" x14ac:dyDescent="0.25">
      <c r="A78695"/>
      <c r="B78695"/>
      <c r="C78695"/>
      <c r="E78695"/>
      <c r="F78695"/>
    </row>
    <row r="78696" spans="1:6" x14ac:dyDescent="0.25">
      <c r="A78696"/>
      <c r="B78696"/>
      <c r="C78696"/>
      <c r="E78696"/>
      <c r="F78696"/>
    </row>
    <row r="78697" spans="1:6" x14ac:dyDescent="0.25">
      <c r="A78697"/>
      <c r="B78697"/>
      <c r="C78697"/>
      <c r="E78697"/>
      <c r="F78697"/>
    </row>
    <row r="78698" spans="1:6" x14ac:dyDescent="0.25">
      <c r="A78698"/>
      <c r="B78698"/>
      <c r="C78698"/>
      <c r="E78698"/>
      <c r="F78698"/>
    </row>
    <row r="78699" spans="1:6" x14ac:dyDescent="0.25">
      <c r="A78699"/>
      <c r="B78699"/>
      <c r="C78699"/>
      <c r="E78699"/>
      <c r="F78699"/>
    </row>
    <row r="78700" spans="1:6" x14ac:dyDescent="0.25">
      <c r="A78700"/>
      <c r="B78700"/>
      <c r="C78700"/>
      <c r="E78700"/>
      <c r="F78700"/>
    </row>
    <row r="78701" spans="1:6" x14ac:dyDescent="0.25">
      <c r="A78701"/>
      <c r="B78701"/>
      <c r="C78701"/>
      <c r="E78701"/>
      <c r="F78701"/>
    </row>
    <row r="78702" spans="1:6" x14ac:dyDescent="0.25">
      <c r="A78702"/>
      <c r="B78702"/>
      <c r="C78702"/>
      <c r="E78702"/>
      <c r="F78702"/>
    </row>
    <row r="78703" spans="1:6" x14ac:dyDescent="0.25">
      <c r="A78703"/>
      <c r="B78703"/>
      <c r="C78703"/>
      <c r="E78703"/>
      <c r="F78703"/>
    </row>
    <row r="78704" spans="1:6" x14ac:dyDescent="0.25">
      <c r="A78704"/>
      <c r="B78704"/>
      <c r="C78704"/>
      <c r="E78704"/>
      <c r="F78704"/>
    </row>
    <row r="78705" spans="1:6" x14ac:dyDescent="0.25">
      <c r="A78705"/>
      <c r="B78705"/>
      <c r="C78705"/>
      <c r="E78705"/>
      <c r="F78705"/>
    </row>
    <row r="78706" spans="1:6" x14ac:dyDescent="0.25">
      <c r="A78706"/>
      <c r="B78706"/>
      <c r="C78706"/>
      <c r="E78706"/>
      <c r="F78706"/>
    </row>
    <row r="78707" spans="1:6" x14ac:dyDescent="0.25">
      <c r="A78707"/>
      <c r="B78707"/>
      <c r="C78707"/>
      <c r="E78707"/>
      <c r="F78707"/>
    </row>
    <row r="78708" spans="1:6" x14ac:dyDescent="0.25">
      <c r="A78708"/>
      <c r="B78708"/>
      <c r="C78708"/>
      <c r="E78708"/>
      <c r="F78708"/>
    </row>
    <row r="78709" spans="1:6" x14ac:dyDescent="0.25">
      <c r="A78709"/>
      <c r="B78709"/>
      <c r="C78709"/>
      <c r="E78709"/>
      <c r="F78709"/>
    </row>
    <row r="78710" spans="1:6" x14ac:dyDescent="0.25">
      <c r="A78710"/>
      <c r="B78710"/>
      <c r="C78710"/>
      <c r="E78710"/>
      <c r="F78710"/>
    </row>
    <row r="78711" spans="1:6" x14ac:dyDescent="0.25">
      <c r="A78711"/>
      <c r="B78711"/>
      <c r="C78711"/>
      <c r="E78711"/>
      <c r="F78711"/>
    </row>
    <row r="78712" spans="1:6" x14ac:dyDescent="0.25">
      <c r="A78712"/>
      <c r="B78712"/>
      <c r="C78712"/>
      <c r="E78712"/>
      <c r="F78712"/>
    </row>
    <row r="78713" spans="1:6" x14ac:dyDescent="0.25">
      <c r="A78713"/>
      <c r="B78713"/>
      <c r="C78713"/>
      <c r="E78713"/>
      <c r="F78713"/>
    </row>
    <row r="78714" spans="1:6" x14ac:dyDescent="0.25">
      <c r="A78714"/>
      <c r="B78714"/>
      <c r="C78714"/>
      <c r="E78714"/>
      <c r="F78714"/>
    </row>
    <row r="78715" spans="1:6" x14ac:dyDescent="0.25">
      <c r="A78715"/>
      <c r="B78715"/>
      <c r="C78715"/>
      <c r="E78715"/>
      <c r="F78715"/>
    </row>
    <row r="78716" spans="1:6" x14ac:dyDescent="0.25">
      <c r="A78716"/>
      <c r="B78716"/>
      <c r="C78716"/>
      <c r="E78716"/>
      <c r="F78716"/>
    </row>
    <row r="78717" spans="1:6" x14ac:dyDescent="0.25">
      <c r="A78717"/>
      <c r="B78717"/>
      <c r="C78717"/>
      <c r="E78717"/>
      <c r="F78717"/>
    </row>
    <row r="78718" spans="1:6" x14ac:dyDescent="0.25">
      <c r="A78718"/>
      <c r="B78718"/>
      <c r="C78718"/>
      <c r="E78718"/>
      <c r="F78718"/>
    </row>
    <row r="78719" spans="1:6" x14ac:dyDescent="0.25">
      <c r="A78719"/>
      <c r="B78719"/>
      <c r="C78719"/>
      <c r="E78719"/>
      <c r="F78719"/>
    </row>
    <row r="78720" spans="1:6" x14ac:dyDescent="0.25">
      <c r="A78720"/>
      <c r="B78720"/>
      <c r="C78720"/>
      <c r="E78720"/>
      <c r="F78720"/>
    </row>
    <row r="78721" spans="1:6" x14ac:dyDescent="0.25">
      <c r="A78721"/>
      <c r="B78721"/>
      <c r="C78721"/>
      <c r="E78721"/>
      <c r="F78721"/>
    </row>
    <row r="78722" spans="1:6" x14ac:dyDescent="0.25">
      <c r="A78722"/>
      <c r="B78722"/>
      <c r="C78722"/>
      <c r="E78722"/>
      <c r="F78722"/>
    </row>
    <row r="78723" spans="1:6" x14ac:dyDescent="0.25">
      <c r="A78723"/>
      <c r="B78723"/>
      <c r="C78723"/>
      <c r="E78723"/>
      <c r="F78723"/>
    </row>
    <row r="78724" spans="1:6" x14ac:dyDescent="0.25">
      <c r="A78724"/>
      <c r="B78724"/>
      <c r="C78724"/>
      <c r="E78724"/>
      <c r="F78724"/>
    </row>
    <row r="78725" spans="1:6" x14ac:dyDescent="0.25">
      <c r="A78725"/>
      <c r="B78725"/>
      <c r="C78725"/>
      <c r="E78725"/>
      <c r="F78725"/>
    </row>
    <row r="78726" spans="1:6" x14ac:dyDescent="0.25">
      <c r="A78726"/>
      <c r="B78726"/>
      <c r="C78726"/>
      <c r="E78726"/>
      <c r="F78726"/>
    </row>
    <row r="78727" spans="1:6" x14ac:dyDescent="0.25">
      <c r="A78727"/>
      <c r="B78727"/>
      <c r="C78727"/>
      <c r="E78727"/>
      <c r="F78727"/>
    </row>
    <row r="78728" spans="1:6" x14ac:dyDescent="0.25">
      <c r="A78728"/>
      <c r="B78728"/>
      <c r="C78728"/>
      <c r="E78728"/>
      <c r="F78728"/>
    </row>
    <row r="78729" spans="1:6" x14ac:dyDescent="0.25">
      <c r="A78729"/>
      <c r="B78729"/>
      <c r="C78729"/>
      <c r="E78729"/>
      <c r="F78729"/>
    </row>
    <row r="78730" spans="1:6" x14ac:dyDescent="0.25">
      <c r="A78730"/>
      <c r="B78730"/>
      <c r="C78730"/>
      <c r="E78730"/>
      <c r="F78730"/>
    </row>
    <row r="78731" spans="1:6" x14ac:dyDescent="0.25">
      <c r="A78731"/>
      <c r="B78731"/>
      <c r="C78731"/>
      <c r="E78731"/>
      <c r="F78731"/>
    </row>
    <row r="78732" spans="1:6" x14ac:dyDescent="0.25">
      <c r="A78732"/>
      <c r="B78732"/>
      <c r="C78732"/>
      <c r="E78732"/>
      <c r="F78732"/>
    </row>
    <row r="78733" spans="1:6" x14ac:dyDescent="0.25">
      <c r="A78733"/>
      <c r="B78733"/>
      <c r="C78733"/>
      <c r="E78733"/>
      <c r="F78733"/>
    </row>
    <row r="78734" spans="1:6" x14ac:dyDescent="0.25">
      <c r="A78734"/>
      <c r="B78734"/>
      <c r="C78734"/>
      <c r="E78734"/>
      <c r="F78734"/>
    </row>
    <row r="78735" spans="1:6" x14ac:dyDescent="0.25">
      <c r="A78735"/>
      <c r="B78735"/>
      <c r="C78735"/>
      <c r="E78735"/>
      <c r="F78735"/>
    </row>
    <row r="78736" spans="1:6" x14ac:dyDescent="0.25">
      <c r="A78736"/>
      <c r="B78736"/>
      <c r="C78736"/>
      <c r="E78736"/>
      <c r="F78736"/>
    </row>
    <row r="78737" spans="1:6" x14ac:dyDescent="0.25">
      <c r="A78737"/>
      <c r="B78737"/>
      <c r="C78737"/>
      <c r="E78737"/>
      <c r="F78737"/>
    </row>
    <row r="78738" spans="1:6" x14ac:dyDescent="0.25">
      <c r="A78738"/>
      <c r="B78738"/>
      <c r="C78738"/>
      <c r="E78738"/>
      <c r="F78738"/>
    </row>
    <row r="78739" spans="1:6" x14ac:dyDescent="0.25">
      <c r="A78739"/>
      <c r="B78739"/>
      <c r="C78739"/>
      <c r="E78739"/>
      <c r="F78739"/>
    </row>
    <row r="78740" spans="1:6" x14ac:dyDescent="0.25">
      <c r="A78740"/>
      <c r="B78740"/>
      <c r="C78740"/>
      <c r="E78740"/>
      <c r="F78740"/>
    </row>
    <row r="78741" spans="1:6" x14ac:dyDescent="0.25">
      <c r="A78741"/>
      <c r="B78741"/>
      <c r="C78741"/>
      <c r="E78741"/>
      <c r="F78741"/>
    </row>
    <row r="78742" spans="1:6" x14ac:dyDescent="0.25">
      <c r="A78742"/>
      <c r="B78742"/>
      <c r="C78742"/>
      <c r="E78742"/>
      <c r="F78742"/>
    </row>
    <row r="78743" spans="1:6" x14ac:dyDescent="0.25">
      <c r="A78743"/>
      <c r="B78743"/>
      <c r="C78743"/>
      <c r="E78743"/>
      <c r="F78743"/>
    </row>
    <row r="78744" spans="1:6" x14ac:dyDescent="0.25">
      <c r="A78744"/>
      <c r="B78744"/>
      <c r="C78744"/>
      <c r="E78744"/>
      <c r="F78744"/>
    </row>
    <row r="78745" spans="1:6" x14ac:dyDescent="0.25">
      <c r="A78745"/>
      <c r="B78745"/>
      <c r="C78745"/>
      <c r="E78745"/>
      <c r="F78745"/>
    </row>
    <row r="78746" spans="1:6" x14ac:dyDescent="0.25">
      <c r="A78746"/>
      <c r="B78746"/>
      <c r="C78746"/>
      <c r="E78746"/>
      <c r="F78746"/>
    </row>
    <row r="78747" spans="1:6" x14ac:dyDescent="0.25">
      <c r="A78747"/>
      <c r="B78747"/>
      <c r="C78747"/>
      <c r="E78747"/>
      <c r="F78747"/>
    </row>
    <row r="78748" spans="1:6" x14ac:dyDescent="0.25">
      <c r="A78748"/>
      <c r="B78748"/>
      <c r="C78748"/>
      <c r="E78748"/>
      <c r="F78748"/>
    </row>
    <row r="78749" spans="1:6" x14ac:dyDescent="0.25">
      <c r="A78749"/>
      <c r="B78749"/>
      <c r="C78749"/>
      <c r="E78749"/>
      <c r="F78749"/>
    </row>
    <row r="78750" spans="1:6" x14ac:dyDescent="0.25">
      <c r="A78750"/>
      <c r="B78750"/>
      <c r="C78750"/>
      <c r="E78750"/>
      <c r="F78750"/>
    </row>
    <row r="78751" spans="1:6" x14ac:dyDescent="0.25">
      <c r="A78751"/>
      <c r="B78751"/>
      <c r="C78751"/>
      <c r="E78751"/>
      <c r="F78751"/>
    </row>
    <row r="78752" spans="1:6" x14ac:dyDescent="0.25">
      <c r="A78752"/>
      <c r="B78752"/>
      <c r="C78752"/>
      <c r="E78752"/>
      <c r="F78752"/>
    </row>
    <row r="78753" spans="1:6" x14ac:dyDescent="0.25">
      <c r="A78753"/>
      <c r="B78753"/>
      <c r="C78753"/>
      <c r="E78753"/>
      <c r="F78753"/>
    </row>
    <row r="78754" spans="1:6" x14ac:dyDescent="0.25">
      <c r="A78754"/>
      <c r="B78754"/>
      <c r="C78754"/>
      <c r="E78754"/>
      <c r="F78754"/>
    </row>
    <row r="78755" spans="1:6" x14ac:dyDescent="0.25">
      <c r="A78755"/>
      <c r="B78755"/>
      <c r="C78755"/>
      <c r="E78755"/>
      <c r="F78755"/>
    </row>
    <row r="78756" spans="1:6" x14ac:dyDescent="0.25">
      <c r="A78756"/>
      <c r="B78756"/>
      <c r="C78756"/>
      <c r="E78756"/>
      <c r="F78756"/>
    </row>
    <row r="78757" spans="1:6" x14ac:dyDescent="0.25">
      <c r="A78757"/>
      <c r="B78757"/>
      <c r="C78757"/>
      <c r="E78757"/>
      <c r="F78757"/>
    </row>
    <row r="78758" spans="1:6" x14ac:dyDescent="0.25">
      <c r="A78758"/>
      <c r="B78758"/>
      <c r="C78758"/>
      <c r="E78758"/>
      <c r="F78758"/>
    </row>
    <row r="78759" spans="1:6" x14ac:dyDescent="0.25">
      <c r="A78759"/>
      <c r="B78759"/>
      <c r="C78759"/>
      <c r="E78759"/>
      <c r="F78759"/>
    </row>
    <row r="78760" spans="1:6" x14ac:dyDescent="0.25">
      <c r="A78760"/>
      <c r="B78760"/>
      <c r="C78760"/>
      <c r="E78760"/>
      <c r="F78760"/>
    </row>
    <row r="78761" spans="1:6" x14ac:dyDescent="0.25">
      <c r="A78761"/>
      <c r="B78761"/>
      <c r="C78761"/>
      <c r="E78761"/>
      <c r="F78761"/>
    </row>
    <row r="78762" spans="1:6" x14ac:dyDescent="0.25">
      <c r="A78762"/>
      <c r="B78762"/>
      <c r="C78762"/>
      <c r="E78762"/>
      <c r="F78762"/>
    </row>
    <row r="78763" spans="1:6" x14ac:dyDescent="0.25">
      <c r="A78763"/>
      <c r="B78763"/>
      <c r="C78763"/>
      <c r="E78763"/>
      <c r="F78763"/>
    </row>
    <row r="78764" spans="1:6" x14ac:dyDescent="0.25">
      <c r="A78764"/>
      <c r="B78764"/>
      <c r="C78764"/>
      <c r="E78764"/>
      <c r="F78764"/>
    </row>
    <row r="78765" spans="1:6" x14ac:dyDescent="0.25">
      <c r="A78765"/>
      <c r="B78765"/>
      <c r="C78765"/>
      <c r="E78765"/>
      <c r="F78765"/>
    </row>
    <row r="78766" spans="1:6" x14ac:dyDescent="0.25">
      <c r="A78766"/>
      <c r="B78766"/>
      <c r="C78766"/>
      <c r="E78766"/>
      <c r="F78766"/>
    </row>
    <row r="78767" spans="1:6" x14ac:dyDescent="0.25">
      <c r="A78767"/>
      <c r="B78767"/>
      <c r="C78767"/>
      <c r="E78767"/>
      <c r="F78767"/>
    </row>
    <row r="78768" spans="1:6" x14ac:dyDescent="0.25">
      <c r="A78768"/>
      <c r="B78768"/>
      <c r="C78768"/>
      <c r="E78768"/>
      <c r="F78768"/>
    </row>
    <row r="78769" spans="1:6" x14ac:dyDescent="0.25">
      <c r="A78769"/>
      <c r="B78769"/>
      <c r="C78769"/>
      <c r="E78769"/>
      <c r="F78769"/>
    </row>
    <row r="78770" spans="1:6" x14ac:dyDescent="0.25">
      <c r="A78770"/>
      <c r="B78770"/>
      <c r="C78770"/>
      <c r="E78770"/>
      <c r="F78770"/>
    </row>
    <row r="78771" spans="1:6" x14ac:dyDescent="0.25">
      <c r="A78771"/>
      <c r="B78771"/>
      <c r="C78771"/>
      <c r="E78771"/>
      <c r="F78771"/>
    </row>
    <row r="78772" spans="1:6" x14ac:dyDescent="0.25">
      <c r="A78772"/>
      <c r="B78772"/>
      <c r="C78772"/>
      <c r="E78772"/>
      <c r="F78772"/>
    </row>
    <row r="78773" spans="1:6" x14ac:dyDescent="0.25">
      <c r="A78773"/>
      <c r="B78773"/>
      <c r="C78773"/>
      <c r="E78773"/>
      <c r="F78773"/>
    </row>
    <row r="78774" spans="1:6" x14ac:dyDescent="0.25">
      <c r="A78774"/>
      <c r="B78774"/>
      <c r="C78774"/>
      <c r="E78774"/>
      <c r="F78774"/>
    </row>
    <row r="78775" spans="1:6" x14ac:dyDescent="0.25">
      <c r="A78775"/>
      <c r="B78775"/>
      <c r="C78775"/>
      <c r="E78775"/>
      <c r="F78775"/>
    </row>
    <row r="78776" spans="1:6" x14ac:dyDescent="0.25">
      <c r="A78776"/>
      <c r="B78776"/>
      <c r="C78776"/>
      <c r="E78776"/>
      <c r="F78776"/>
    </row>
    <row r="78777" spans="1:6" x14ac:dyDescent="0.25">
      <c r="A78777"/>
      <c r="B78777"/>
      <c r="C78777"/>
      <c r="E78777"/>
      <c r="F78777"/>
    </row>
    <row r="78778" spans="1:6" x14ac:dyDescent="0.25">
      <c r="A78778"/>
      <c r="B78778"/>
      <c r="C78778"/>
      <c r="E78778"/>
      <c r="F78778"/>
    </row>
    <row r="78779" spans="1:6" x14ac:dyDescent="0.25">
      <c r="A78779"/>
      <c r="B78779"/>
      <c r="C78779"/>
      <c r="E78779"/>
      <c r="F78779"/>
    </row>
    <row r="78780" spans="1:6" x14ac:dyDescent="0.25">
      <c r="A78780"/>
      <c r="B78780"/>
      <c r="C78780"/>
      <c r="E78780"/>
      <c r="F78780"/>
    </row>
    <row r="78781" spans="1:6" x14ac:dyDescent="0.25">
      <c r="A78781"/>
      <c r="B78781"/>
      <c r="C78781"/>
      <c r="E78781"/>
      <c r="F78781"/>
    </row>
    <row r="78782" spans="1:6" x14ac:dyDescent="0.25">
      <c r="A78782"/>
      <c r="B78782"/>
      <c r="C78782"/>
      <c r="E78782"/>
      <c r="F78782"/>
    </row>
    <row r="78783" spans="1:6" x14ac:dyDescent="0.25">
      <c r="A78783"/>
      <c r="B78783"/>
      <c r="C78783"/>
      <c r="E78783"/>
      <c r="F78783"/>
    </row>
    <row r="78784" spans="1:6" x14ac:dyDescent="0.25">
      <c r="A78784"/>
      <c r="B78784"/>
      <c r="C78784"/>
      <c r="E78784"/>
      <c r="F78784"/>
    </row>
    <row r="78785" spans="1:6" x14ac:dyDescent="0.25">
      <c r="A78785"/>
      <c r="B78785"/>
      <c r="C78785"/>
      <c r="E78785"/>
      <c r="F78785"/>
    </row>
    <row r="78786" spans="1:6" x14ac:dyDescent="0.25">
      <c r="A78786"/>
      <c r="B78786"/>
      <c r="C78786"/>
      <c r="E78786"/>
      <c r="F78786"/>
    </row>
    <row r="78787" spans="1:6" x14ac:dyDescent="0.25">
      <c r="A78787"/>
      <c r="B78787"/>
      <c r="C78787"/>
      <c r="E78787"/>
      <c r="F78787"/>
    </row>
    <row r="78788" spans="1:6" x14ac:dyDescent="0.25">
      <c r="A78788"/>
      <c r="B78788"/>
      <c r="C78788"/>
      <c r="E78788"/>
      <c r="F78788"/>
    </row>
    <row r="78789" spans="1:6" x14ac:dyDescent="0.25">
      <c r="A78789"/>
      <c r="B78789"/>
      <c r="C78789"/>
      <c r="E78789"/>
      <c r="F78789"/>
    </row>
    <row r="78790" spans="1:6" x14ac:dyDescent="0.25">
      <c r="A78790"/>
      <c r="B78790"/>
      <c r="C78790"/>
      <c r="E78790"/>
      <c r="F78790"/>
    </row>
    <row r="78791" spans="1:6" x14ac:dyDescent="0.25">
      <c r="A78791"/>
      <c r="B78791"/>
      <c r="C78791"/>
      <c r="E78791"/>
      <c r="F78791"/>
    </row>
    <row r="78792" spans="1:6" x14ac:dyDescent="0.25">
      <c r="A78792"/>
      <c r="B78792"/>
      <c r="C78792"/>
      <c r="E78792"/>
      <c r="F78792"/>
    </row>
    <row r="78793" spans="1:6" x14ac:dyDescent="0.25">
      <c r="A78793"/>
      <c r="B78793"/>
      <c r="C78793"/>
      <c r="E78793"/>
      <c r="F78793"/>
    </row>
    <row r="78794" spans="1:6" x14ac:dyDescent="0.25">
      <c r="A78794"/>
      <c r="B78794"/>
      <c r="C78794"/>
      <c r="E78794"/>
      <c r="F78794"/>
    </row>
    <row r="78795" spans="1:6" x14ac:dyDescent="0.25">
      <c r="A78795"/>
      <c r="B78795"/>
      <c r="C78795"/>
      <c r="E78795"/>
      <c r="F78795"/>
    </row>
    <row r="78796" spans="1:6" x14ac:dyDescent="0.25">
      <c r="A78796"/>
      <c r="B78796"/>
      <c r="C78796"/>
      <c r="E78796"/>
      <c r="F78796"/>
    </row>
    <row r="78797" spans="1:6" x14ac:dyDescent="0.25">
      <c r="A78797"/>
      <c r="B78797"/>
      <c r="C78797"/>
      <c r="E78797"/>
      <c r="F78797"/>
    </row>
    <row r="78798" spans="1:6" x14ac:dyDescent="0.25">
      <c r="A78798"/>
      <c r="B78798"/>
      <c r="C78798"/>
      <c r="E78798"/>
      <c r="F78798"/>
    </row>
    <row r="78799" spans="1:6" x14ac:dyDescent="0.25">
      <c r="A78799"/>
      <c r="B78799"/>
      <c r="C78799"/>
      <c r="E78799"/>
      <c r="F78799"/>
    </row>
    <row r="78800" spans="1:6" x14ac:dyDescent="0.25">
      <c r="A78800"/>
      <c r="B78800"/>
      <c r="C78800"/>
      <c r="E78800"/>
      <c r="F78800"/>
    </row>
    <row r="78801" spans="1:6" x14ac:dyDescent="0.25">
      <c r="A78801"/>
      <c r="B78801"/>
      <c r="C78801"/>
      <c r="E78801"/>
      <c r="F78801"/>
    </row>
    <row r="78802" spans="1:6" x14ac:dyDescent="0.25">
      <c r="A78802"/>
      <c r="B78802"/>
      <c r="C78802"/>
      <c r="E78802"/>
      <c r="F78802"/>
    </row>
    <row r="78803" spans="1:6" x14ac:dyDescent="0.25">
      <c r="A78803"/>
      <c r="B78803"/>
      <c r="C78803"/>
      <c r="E78803"/>
      <c r="F78803"/>
    </row>
    <row r="78804" spans="1:6" x14ac:dyDescent="0.25">
      <c r="A78804"/>
      <c r="B78804"/>
      <c r="C78804"/>
      <c r="E78804"/>
      <c r="F78804"/>
    </row>
    <row r="78805" spans="1:6" x14ac:dyDescent="0.25">
      <c r="A78805"/>
      <c r="B78805"/>
      <c r="C78805"/>
      <c r="E78805"/>
      <c r="F78805"/>
    </row>
    <row r="78806" spans="1:6" x14ac:dyDescent="0.25">
      <c r="A78806"/>
      <c r="B78806"/>
      <c r="C78806"/>
      <c r="E78806"/>
      <c r="F78806"/>
    </row>
    <row r="78807" spans="1:6" x14ac:dyDescent="0.25">
      <c r="A78807"/>
      <c r="B78807"/>
      <c r="C78807"/>
      <c r="E78807"/>
      <c r="F78807"/>
    </row>
    <row r="78808" spans="1:6" x14ac:dyDescent="0.25">
      <c r="A78808"/>
      <c r="B78808"/>
      <c r="C78808"/>
      <c r="E78808"/>
      <c r="F78808"/>
    </row>
    <row r="78809" spans="1:6" x14ac:dyDescent="0.25">
      <c r="A78809"/>
      <c r="B78809"/>
      <c r="C78809"/>
      <c r="E78809"/>
      <c r="F78809"/>
    </row>
    <row r="78810" spans="1:6" x14ac:dyDescent="0.25">
      <c r="A78810"/>
      <c r="B78810"/>
      <c r="C78810"/>
      <c r="E78810"/>
      <c r="F78810"/>
    </row>
    <row r="78811" spans="1:6" x14ac:dyDescent="0.25">
      <c r="A78811"/>
      <c r="B78811"/>
      <c r="C78811"/>
      <c r="E78811"/>
      <c r="F78811"/>
    </row>
    <row r="78812" spans="1:6" x14ac:dyDescent="0.25">
      <c r="A78812"/>
      <c r="B78812"/>
      <c r="C78812"/>
      <c r="E78812"/>
      <c r="F78812"/>
    </row>
    <row r="78813" spans="1:6" x14ac:dyDescent="0.25">
      <c r="A78813"/>
      <c r="B78813"/>
      <c r="C78813"/>
      <c r="E78813"/>
      <c r="F78813"/>
    </row>
    <row r="78814" spans="1:6" x14ac:dyDescent="0.25">
      <c r="A78814"/>
      <c r="B78814"/>
      <c r="C78814"/>
      <c r="E78814"/>
      <c r="F78814"/>
    </row>
    <row r="78815" spans="1:6" x14ac:dyDescent="0.25">
      <c r="A78815"/>
      <c r="B78815"/>
      <c r="C78815"/>
      <c r="E78815"/>
      <c r="F78815"/>
    </row>
    <row r="78816" spans="1:6" x14ac:dyDescent="0.25">
      <c r="A78816"/>
      <c r="B78816"/>
      <c r="C78816"/>
      <c r="E78816"/>
      <c r="F78816"/>
    </row>
    <row r="78817" spans="1:6" x14ac:dyDescent="0.25">
      <c r="A78817"/>
      <c r="B78817"/>
      <c r="C78817"/>
      <c r="E78817"/>
      <c r="F78817"/>
    </row>
    <row r="78818" spans="1:6" x14ac:dyDescent="0.25">
      <c r="A78818"/>
      <c r="B78818"/>
      <c r="C78818"/>
      <c r="E78818"/>
      <c r="F78818"/>
    </row>
    <row r="78819" spans="1:6" x14ac:dyDescent="0.25">
      <c r="A78819"/>
      <c r="B78819"/>
      <c r="C78819"/>
      <c r="E78819"/>
      <c r="F78819"/>
    </row>
    <row r="78820" spans="1:6" x14ac:dyDescent="0.25">
      <c r="A78820"/>
      <c r="B78820"/>
      <c r="C78820"/>
      <c r="E78820"/>
      <c r="F78820"/>
    </row>
    <row r="78821" spans="1:6" x14ac:dyDescent="0.25">
      <c r="A78821"/>
      <c r="B78821"/>
      <c r="C78821"/>
      <c r="E78821"/>
      <c r="F78821"/>
    </row>
    <row r="78822" spans="1:6" x14ac:dyDescent="0.25">
      <c r="A78822"/>
      <c r="B78822"/>
      <c r="C78822"/>
      <c r="E78822"/>
      <c r="F78822"/>
    </row>
    <row r="78823" spans="1:6" x14ac:dyDescent="0.25">
      <c r="A78823"/>
      <c r="B78823"/>
      <c r="C78823"/>
      <c r="E78823"/>
      <c r="F78823"/>
    </row>
    <row r="78824" spans="1:6" x14ac:dyDescent="0.25">
      <c r="A78824"/>
      <c r="B78824"/>
      <c r="C78824"/>
      <c r="E78824"/>
      <c r="F78824"/>
    </row>
    <row r="78825" spans="1:6" x14ac:dyDescent="0.25">
      <c r="A78825"/>
      <c r="B78825"/>
      <c r="C78825"/>
      <c r="E78825"/>
      <c r="F78825"/>
    </row>
    <row r="78826" spans="1:6" x14ac:dyDescent="0.25">
      <c r="A78826"/>
      <c r="B78826"/>
      <c r="C78826"/>
      <c r="E78826"/>
      <c r="F78826"/>
    </row>
    <row r="78827" spans="1:6" x14ac:dyDescent="0.25">
      <c r="A78827"/>
      <c r="B78827"/>
      <c r="C78827"/>
      <c r="E78827"/>
      <c r="F78827"/>
    </row>
    <row r="78828" spans="1:6" x14ac:dyDescent="0.25">
      <c r="A78828"/>
      <c r="B78828"/>
      <c r="C78828"/>
      <c r="E78828"/>
      <c r="F78828"/>
    </row>
    <row r="78829" spans="1:6" x14ac:dyDescent="0.25">
      <c r="A78829"/>
      <c r="B78829"/>
      <c r="C78829"/>
      <c r="E78829"/>
      <c r="F78829"/>
    </row>
    <row r="78830" spans="1:6" x14ac:dyDescent="0.25">
      <c r="A78830"/>
      <c r="B78830"/>
      <c r="C78830"/>
      <c r="E78830"/>
      <c r="F78830"/>
    </row>
    <row r="78831" spans="1:6" x14ac:dyDescent="0.25">
      <c r="A78831"/>
      <c r="B78831"/>
      <c r="C78831"/>
      <c r="E78831"/>
      <c r="F78831"/>
    </row>
    <row r="78832" spans="1:6" x14ac:dyDescent="0.25">
      <c r="A78832"/>
      <c r="B78832"/>
      <c r="C78832"/>
      <c r="E78832"/>
      <c r="F78832"/>
    </row>
    <row r="78833" spans="1:6" x14ac:dyDescent="0.25">
      <c r="A78833"/>
      <c r="B78833"/>
      <c r="C78833"/>
      <c r="E78833"/>
      <c r="F78833"/>
    </row>
    <row r="78834" spans="1:6" x14ac:dyDescent="0.25">
      <c r="A78834"/>
      <c r="B78834"/>
      <c r="C78834"/>
      <c r="E78834"/>
      <c r="F78834"/>
    </row>
    <row r="78835" spans="1:6" x14ac:dyDescent="0.25">
      <c r="A78835"/>
      <c r="B78835"/>
      <c r="C78835"/>
      <c r="E78835"/>
      <c r="F78835"/>
    </row>
    <row r="78836" spans="1:6" x14ac:dyDescent="0.25">
      <c r="A78836"/>
      <c r="B78836"/>
      <c r="C78836"/>
      <c r="E78836"/>
      <c r="F78836"/>
    </row>
    <row r="78837" spans="1:6" x14ac:dyDescent="0.25">
      <c r="A78837"/>
      <c r="B78837"/>
      <c r="C78837"/>
      <c r="E78837"/>
      <c r="F78837"/>
    </row>
    <row r="78838" spans="1:6" x14ac:dyDescent="0.25">
      <c r="A78838"/>
      <c r="B78838"/>
      <c r="C78838"/>
      <c r="E78838"/>
      <c r="F78838"/>
    </row>
    <row r="78839" spans="1:6" x14ac:dyDescent="0.25">
      <c r="A78839"/>
      <c r="B78839"/>
      <c r="C78839"/>
      <c r="E78839"/>
      <c r="F78839"/>
    </row>
    <row r="78840" spans="1:6" x14ac:dyDescent="0.25">
      <c r="A78840"/>
      <c r="B78840"/>
      <c r="C78840"/>
      <c r="E78840"/>
      <c r="F78840"/>
    </row>
    <row r="78841" spans="1:6" x14ac:dyDescent="0.25">
      <c r="A78841"/>
      <c r="B78841"/>
      <c r="C78841"/>
      <c r="E78841"/>
      <c r="F78841"/>
    </row>
    <row r="78842" spans="1:6" x14ac:dyDescent="0.25">
      <c r="A78842"/>
      <c r="B78842"/>
      <c r="C78842"/>
      <c r="E78842"/>
      <c r="F78842"/>
    </row>
    <row r="78843" spans="1:6" x14ac:dyDescent="0.25">
      <c r="A78843"/>
      <c r="B78843"/>
      <c r="C78843"/>
      <c r="E78843"/>
      <c r="F78843"/>
    </row>
    <row r="78844" spans="1:6" x14ac:dyDescent="0.25">
      <c r="A78844"/>
      <c r="B78844"/>
      <c r="C78844"/>
      <c r="E78844"/>
      <c r="F78844"/>
    </row>
    <row r="78845" spans="1:6" x14ac:dyDescent="0.25">
      <c r="A78845"/>
      <c r="B78845"/>
      <c r="C78845"/>
      <c r="E78845"/>
      <c r="F78845"/>
    </row>
    <row r="78846" spans="1:6" x14ac:dyDescent="0.25">
      <c r="A78846"/>
      <c r="B78846"/>
      <c r="C78846"/>
      <c r="E78846"/>
      <c r="F78846"/>
    </row>
    <row r="78847" spans="1:6" x14ac:dyDescent="0.25">
      <c r="A78847"/>
      <c r="B78847"/>
      <c r="C78847"/>
      <c r="E78847"/>
      <c r="F78847"/>
    </row>
    <row r="78848" spans="1:6" x14ac:dyDescent="0.25">
      <c r="A78848"/>
      <c r="B78848"/>
      <c r="C78848"/>
      <c r="E78848"/>
      <c r="F78848"/>
    </row>
    <row r="78849" spans="1:6" x14ac:dyDescent="0.25">
      <c r="A78849"/>
      <c r="B78849"/>
      <c r="C78849"/>
      <c r="E78849"/>
      <c r="F78849"/>
    </row>
    <row r="78850" spans="1:6" x14ac:dyDescent="0.25">
      <c r="A78850"/>
      <c r="B78850"/>
      <c r="C78850"/>
      <c r="E78850"/>
      <c r="F78850"/>
    </row>
    <row r="78851" spans="1:6" x14ac:dyDescent="0.25">
      <c r="A78851"/>
      <c r="B78851"/>
      <c r="C78851"/>
      <c r="E78851"/>
      <c r="F78851"/>
    </row>
    <row r="78852" spans="1:6" x14ac:dyDescent="0.25">
      <c r="A78852"/>
      <c r="B78852"/>
      <c r="C78852"/>
      <c r="E78852"/>
      <c r="F78852"/>
    </row>
    <row r="78853" spans="1:6" x14ac:dyDescent="0.25">
      <c r="A78853"/>
      <c r="B78853"/>
      <c r="C78853"/>
      <c r="E78853"/>
      <c r="F78853"/>
    </row>
    <row r="78854" spans="1:6" x14ac:dyDescent="0.25">
      <c r="A78854"/>
      <c r="B78854"/>
      <c r="C78854"/>
      <c r="E78854"/>
      <c r="F78854"/>
    </row>
    <row r="78855" spans="1:6" x14ac:dyDescent="0.25">
      <c r="A78855"/>
      <c r="B78855"/>
      <c r="C78855"/>
      <c r="E78855"/>
      <c r="F78855"/>
    </row>
    <row r="78856" spans="1:6" x14ac:dyDescent="0.25">
      <c r="A78856"/>
      <c r="B78856"/>
      <c r="C78856"/>
      <c r="E78856"/>
      <c r="F78856"/>
    </row>
    <row r="78857" spans="1:6" x14ac:dyDescent="0.25">
      <c r="A78857"/>
      <c r="B78857"/>
      <c r="C78857"/>
      <c r="E78857"/>
      <c r="F78857"/>
    </row>
    <row r="78858" spans="1:6" x14ac:dyDescent="0.25">
      <c r="A78858"/>
      <c r="B78858"/>
      <c r="C78858"/>
      <c r="E78858"/>
      <c r="F78858"/>
    </row>
    <row r="78859" spans="1:6" x14ac:dyDescent="0.25">
      <c r="A78859"/>
      <c r="B78859"/>
      <c r="C78859"/>
      <c r="E78859"/>
      <c r="F78859"/>
    </row>
    <row r="78860" spans="1:6" x14ac:dyDescent="0.25">
      <c r="A78860"/>
      <c r="B78860"/>
      <c r="C78860"/>
      <c r="E78860"/>
      <c r="F78860"/>
    </row>
    <row r="78861" spans="1:6" x14ac:dyDescent="0.25">
      <c r="A78861"/>
      <c r="B78861"/>
      <c r="C78861"/>
      <c r="E78861"/>
      <c r="F78861"/>
    </row>
    <row r="78862" spans="1:6" x14ac:dyDescent="0.25">
      <c r="A78862"/>
      <c r="B78862"/>
      <c r="C78862"/>
      <c r="E78862"/>
      <c r="F78862"/>
    </row>
    <row r="78863" spans="1:6" x14ac:dyDescent="0.25">
      <c r="A78863"/>
      <c r="B78863"/>
      <c r="C78863"/>
      <c r="E78863"/>
      <c r="F78863"/>
    </row>
    <row r="78864" spans="1:6" x14ac:dyDescent="0.25">
      <c r="A78864"/>
      <c r="B78864"/>
      <c r="C78864"/>
      <c r="E78864"/>
      <c r="F78864"/>
    </row>
    <row r="78865" spans="1:6" x14ac:dyDescent="0.25">
      <c r="A78865"/>
      <c r="B78865"/>
      <c r="C78865"/>
      <c r="E78865"/>
      <c r="F78865"/>
    </row>
    <row r="78866" spans="1:6" x14ac:dyDescent="0.25">
      <c r="A78866"/>
      <c r="B78866"/>
      <c r="C78866"/>
      <c r="E78866"/>
      <c r="F78866"/>
    </row>
    <row r="78867" spans="1:6" x14ac:dyDescent="0.25">
      <c r="A78867"/>
      <c r="B78867"/>
      <c r="C78867"/>
      <c r="E78867"/>
      <c r="F78867"/>
    </row>
    <row r="78868" spans="1:6" x14ac:dyDescent="0.25">
      <c r="A78868"/>
      <c r="B78868"/>
      <c r="C78868"/>
      <c r="E78868"/>
      <c r="F78868"/>
    </row>
    <row r="78869" spans="1:6" x14ac:dyDescent="0.25">
      <c r="A78869"/>
      <c r="B78869"/>
      <c r="C78869"/>
      <c r="E78869"/>
      <c r="F78869"/>
    </row>
    <row r="78870" spans="1:6" x14ac:dyDescent="0.25">
      <c r="A78870"/>
      <c r="B78870"/>
      <c r="C78870"/>
      <c r="E78870"/>
      <c r="F78870"/>
    </row>
    <row r="78871" spans="1:6" x14ac:dyDescent="0.25">
      <c r="A78871"/>
      <c r="B78871"/>
      <c r="C78871"/>
      <c r="E78871"/>
      <c r="F78871"/>
    </row>
    <row r="78872" spans="1:6" x14ac:dyDescent="0.25">
      <c r="A78872"/>
      <c r="B78872"/>
      <c r="C78872"/>
      <c r="E78872"/>
      <c r="F78872"/>
    </row>
    <row r="78873" spans="1:6" x14ac:dyDescent="0.25">
      <c r="A78873"/>
      <c r="B78873"/>
      <c r="C78873"/>
      <c r="E78873"/>
      <c r="F78873"/>
    </row>
    <row r="78874" spans="1:6" x14ac:dyDescent="0.25">
      <c r="A78874"/>
      <c r="B78874"/>
      <c r="C78874"/>
      <c r="E78874"/>
      <c r="F78874"/>
    </row>
    <row r="78875" spans="1:6" x14ac:dyDescent="0.25">
      <c r="A78875"/>
      <c r="B78875"/>
      <c r="C78875"/>
      <c r="E78875"/>
      <c r="F78875"/>
    </row>
    <row r="78876" spans="1:6" x14ac:dyDescent="0.25">
      <c r="A78876"/>
      <c r="B78876"/>
      <c r="C78876"/>
      <c r="E78876"/>
      <c r="F78876"/>
    </row>
    <row r="78877" spans="1:6" x14ac:dyDescent="0.25">
      <c r="A78877"/>
      <c r="B78877"/>
      <c r="C78877"/>
      <c r="E78877"/>
      <c r="F78877"/>
    </row>
    <row r="78878" spans="1:6" x14ac:dyDescent="0.25">
      <c r="A78878"/>
      <c r="B78878"/>
      <c r="C78878"/>
      <c r="E78878"/>
      <c r="F78878"/>
    </row>
    <row r="78879" spans="1:6" x14ac:dyDescent="0.25">
      <c r="A78879"/>
      <c r="B78879"/>
      <c r="C78879"/>
      <c r="E78879"/>
      <c r="F78879"/>
    </row>
    <row r="78880" spans="1:6" x14ac:dyDescent="0.25">
      <c r="A78880"/>
      <c r="B78880"/>
      <c r="C78880"/>
      <c r="E78880"/>
      <c r="F78880"/>
    </row>
    <row r="78881" spans="1:6" x14ac:dyDescent="0.25">
      <c r="A78881"/>
      <c r="B78881"/>
      <c r="C78881"/>
      <c r="E78881"/>
      <c r="F78881"/>
    </row>
    <row r="78882" spans="1:6" x14ac:dyDescent="0.25">
      <c r="A78882"/>
      <c r="B78882"/>
      <c r="C78882"/>
      <c r="E78882"/>
      <c r="F78882"/>
    </row>
    <row r="78883" spans="1:6" x14ac:dyDescent="0.25">
      <c r="A78883"/>
      <c r="B78883"/>
      <c r="C78883"/>
      <c r="E78883"/>
      <c r="F78883"/>
    </row>
    <row r="78884" spans="1:6" x14ac:dyDescent="0.25">
      <c r="A78884"/>
      <c r="B78884"/>
      <c r="C78884"/>
      <c r="E78884"/>
      <c r="F78884"/>
    </row>
    <row r="78885" spans="1:6" x14ac:dyDescent="0.25">
      <c r="A78885"/>
      <c r="B78885"/>
      <c r="C78885"/>
      <c r="E78885"/>
      <c r="F78885"/>
    </row>
    <row r="78886" spans="1:6" x14ac:dyDescent="0.25">
      <c r="A78886"/>
      <c r="B78886"/>
      <c r="C78886"/>
      <c r="E78886"/>
      <c r="F78886"/>
    </row>
    <row r="78887" spans="1:6" x14ac:dyDescent="0.25">
      <c r="A78887"/>
      <c r="B78887"/>
      <c r="C78887"/>
      <c r="E78887"/>
      <c r="F78887"/>
    </row>
    <row r="78888" spans="1:6" x14ac:dyDescent="0.25">
      <c r="A78888"/>
      <c r="B78888"/>
      <c r="C78888"/>
      <c r="E78888"/>
      <c r="F78888"/>
    </row>
    <row r="78889" spans="1:6" x14ac:dyDescent="0.25">
      <c r="A78889"/>
      <c r="B78889"/>
      <c r="C78889"/>
      <c r="E78889"/>
      <c r="F78889"/>
    </row>
    <row r="78890" spans="1:6" x14ac:dyDescent="0.25">
      <c r="A78890"/>
      <c r="B78890"/>
      <c r="C78890"/>
      <c r="E78890"/>
      <c r="F78890"/>
    </row>
    <row r="78891" spans="1:6" x14ac:dyDescent="0.25">
      <c r="A78891"/>
      <c r="B78891"/>
      <c r="C78891"/>
      <c r="E78891"/>
      <c r="F78891"/>
    </row>
    <row r="78892" spans="1:6" x14ac:dyDescent="0.25">
      <c r="A78892"/>
      <c r="B78892"/>
      <c r="C78892"/>
      <c r="E78892"/>
      <c r="F78892"/>
    </row>
    <row r="78893" spans="1:6" x14ac:dyDescent="0.25">
      <c r="A78893"/>
      <c r="B78893"/>
      <c r="C78893"/>
      <c r="E78893"/>
      <c r="F78893"/>
    </row>
    <row r="78894" spans="1:6" x14ac:dyDescent="0.25">
      <c r="A78894"/>
      <c r="B78894"/>
      <c r="C78894"/>
      <c r="E78894"/>
      <c r="F78894"/>
    </row>
    <row r="78895" spans="1:6" x14ac:dyDescent="0.25">
      <c r="A78895"/>
      <c r="B78895"/>
      <c r="C78895"/>
      <c r="E78895"/>
      <c r="F78895"/>
    </row>
    <row r="78896" spans="1:6" x14ac:dyDescent="0.25">
      <c r="A78896"/>
      <c r="B78896"/>
      <c r="C78896"/>
      <c r="E78896"/>
      <c r="F78896"/>
    </row>
    <row r="78897" spans="1:6" x14ac:dyDescent="0.25">
      <c r="A78897"/>
      <c r="B78897"/>
      <c r="C78897"/>
      <c r="E78897"/>
      <c r="F78897"/>
    </row>
    <row r="78898" spans="1:6" x14ac:dyDescent="0.25">
      <c r="A78898"/>
      <c r="B78898"/>
      <c r="C78898"/>
      <c r="E78898"/>
      <c r="F78898"/>
    </row>
    <row r="78899" spans="1:6" x14ac:dyDescent="0.25">
      <c r="A78899"/>
      <c r="B78899"/>
      <c r="C78899"/>
      <c r="E78899"/>
      <c r="F78899"/>
    </row>
    <row r="78900" spans="1:6" x14ac:dyDescent="0.25">
      <c r="A78900"/>
      <c r="B78900"/>
      <c r="C78900"/>
      <c r="E78900"/>
      <c r="F78900"/>
    </row>
    <row r="78901" spans="1:6" x14ac:dyDescent="0.25">
      <c r="A78901"/>
      <c r="B78901"/>
      <c r="C78901"/>
      <c r="E78901"/>
      <c r="F78901"/>
    </row>
    <row r="78902" spans="1:6" x14ac:dyDescent="0.25">
      <c r="A78902"/>
      <c r="B78902"/>
      <c r="C78902"/>
      <c r="E78902"/>
      <c r="F78902"/>
    </row>
    <row r="78903" spans="1:6" x14ac:dyDescent="0.25">
      <c r="A78903"/>
      <c r="B78903"/>
      <c r="C78903"/>
      <c r="E78903"/>
      <c r="F78903"/>
    </row>
    <row r="78904" spans="1:6" x14ac:dyDescent="0.25">
      <c r="A78904"/>
      <c r="B78904"/>
      <c r="C78904"/>
      <c r="E78904"/>
      <c r="F78904"/>
    </row>
    <row r="78905" spans="1:6" x14ac:dyDescent="0.25">
      <c r="A78905"/>
      <c r="B78905"/>
      <c r="C78905"/>
      <c r="E78905"/>
      <c r="F78905"/>
    </row>
    <row r="78906" spans="1:6" x14ac:dyDescent="0.25">
      <c r="A78906"/>
      <c r="B78906"/>
      <c r="C78906"/>
      <c r="E78906"/>
      <c r="F78906"/>
    </row>
    <row r="78907" spans="1:6" x14ac:dyDescent="0.25">
      <c r="A78907"/>
      <c r="B78907"/>
      <c r="C78907"/>
      <c r="E78907"/>
      <c r="F78907"/>
    </row>
    <row r="78908" spans="1:6" x14ac:dyDescent="0.25">
      <c r="A78908"/>
      <c r="B78908"/>
      <c r="C78908"/>
      <c r="E78908"/>
      <c r="F78908"/>
    </row>
    <row r="78909" spans="1:6" x14ac:dyDescent="0.25">
      <c r="A78909"/>
      <c r="B78909"/>
      <c r="C78909"/>
      <c r="E78909"/>
      <c r="F78909"/>
    </row>
    <row r="78910" spans="1:6" x14ac:dyDescent="0.25">
      <c r="A78910"/>
      <c r="B78910"/>
      <c r="C78910"/>
      <c r="E78910"/>
      <c r="F78910"/>
    </row>
    <row r="78911" spans="1:6" x14ac:dyDescent="0.25">
      <c r="A78911"/>
      <c r="B78911"/>
      <c r="C78911"/>
      <c r="E78911"/>
      <c r="F78911"/>
    </row>
    <row r="78912" spans="1:6" x14ac:dyDescent="0.25">
      <c r="A78912"/>
      <c r="B78912"/>
      <c r="C78912"/>
      <c r="E78912"/>
      <c r="F78912"/>
    </row>
    <row r="78913" spans="1:6" x14ac:dyDescent="0.25">
      <c r="A78913"/>
      <c r="B78913"/>
      <c r="C78913"/>
      <c r="E78913"/>
      <c r="F78913"/>
    </row>
    <row r="78914" spans="1:6" x14ac:dyDescent="0.25">
      <c r="A78914"/>
      <c r="B78914"/>
      <c r="C78914"/>
      <c r="E78914"/>
      <c r="F78914"/>
    </row>
    <row r="78915" spans="1:6" x14ac:dyDescent="0.25">
      <c r="A78915"/>
      <c r="B78915"/>
      <c r="C78915"/>
      <c r="E78915"/>
      <c r="F78915"/>
    </row>
    <row r="78916" spans="1:6" x14ac:dyDescent="0.25">
      <c r="A78916"/>
      <c r="B78916"/>
      <c r="C78916"/>
      <c r="E78916"/>
      <c r="F78916"/>
    </row>
    <row r="78917" spans="1:6" x14ac:dyDescent="0.25">
      <c r="A78917"/>
      <c r="B78917"/>
      <c r="C78917"/>
      <c r="E78917"/>
      <c r="F78917"/>
    </row>
    <row r="78918" spans="1:6" x14ac:dyDescent="0.25">
      <c r="A78918"/>
      <c r="B78918"/>
      <c r="C78918"/>
      <c r="E78918"/>
      <c r="F78918"/>
    </row>
    <row r="78919" spans="1:6" x14ac:dyDescent="0.25">
      <c r="A78919"/>
      <c r="B78919"/>
      <c r="C78919"/>
      <c r="E78919"/>
      <c r="F78919"/>
    </row>
    <row r="78920" spans="1:6" x14ac:dyDescent="0.25">
      <c r="A78920"/>
      <c r="B78920"/>
      <c r="C78920"/>
      <c r="E78920"/>
      <c r="F78920"/>
    </row>
    <row r="78921" spans="1:6" x14ac:dyDescent="0.25">
      <c r="A78921"/>
      <c r="B78921"/>
      <c r="C78921"/>
      <c r="E78921"/>
      <c r="F78921"/>
    </row>
    <row r="78922" spans="1:6" x14ac:dyDescent="0.25">
      <c r="A78922"/>
      <c r="B78922"/>
      <c r="C78922"/>
      <c r="E78922"/>
      <c r="F78922"/>
    </row>
    <row r="78923" spans="1:6" x14ac:dyDescent="0.25">
      <c r="A78923"/>
      <c r="B78923"/>
      <c r="C78923"/>
      <c r="E78923"/>
      <c r="F78923"/>
    </row>
    <row r="78924" spans="1:6" x14ac:dyDescent="0.25">
      <c r="A78924"/>
      <c r="B78924"/>
      <c r="C78924"/>
      <c r="E78924"/>
      <c r="F78924"/>
    </row>
    <row r="78925" spans="1:6" x14ac:dyDescent="0.25">
      <c r="A78925"/>
      <c r="B78925"/>
      <c r="C78925"/>
      <c r="E78925"/>
      <c r="F78925"/>
    </row>
    <row r="78926" spans="1:6" x14ac:dyDescent="0.25">
      <c r="A78926"/>
      <c r="B78926"/>
      <c r="C78926"/>
      <c r="E78926"/>
      <c r="F78926"/>
    </row>
    <row r="78927" spans="1:6" x14ac:dyDescent="0.25">
      <c r="A78927"/>
      <c r="B78927"/>
      <c r="C78927"/>
      <c r="E78927"/>
      <c r="F78927"/>
    </row>
    <row r="78928" spans="1:6" x14ac:dyDescent="0.25">
      <c r="A78928"/>
      <c r="B78928"/>
      <c r="C78928"/>
      <c r="E78928"/>
      <c r="F78928"/>
    </row>
    <row r="78929" spans="1:6" x14ac:dyDescent="0.25">
      <c r="A78929"/>
      <c r="B78929"/>
      <c r="C78929"/>
      <c r="E78929"/>
      <c r="F78929"/>
    </row>
    <row r="78930" spans="1:6" x14ac:dyDescent="0.25">
      <c r="A78930"/>
      <c r="B78930"/>
      <c r="C78930"/>
      <c r="E78930"/>
      <c r="F78930"/>
    </row>
    <row r="78931" spans="1:6" x14ac:dyDescent="0.25">
      <c r="A78931"/>
      <c r="B78931"/>
      <c r="C78931"/>
      <c r="E78931"/>
      <c r="F78931"/>
    </row>
    <row r="78932" spans="1:6" x14ac:dyDescent="0.25">
      <c r="A78932"/>
      <c r="B78932"/>
      <c r="C78932"/>
      <c r="E78932"/>
      <c r="F78932"/>
    </row>
    <row r="78933" spans="1:6" x14ac:dyDescent="0.25">
      <c r="A78933"/>
      <c r="B78933"/>
      <c r="C78933"/>
      <c r="E78933"/>
      <c r="F78933"/>
    </row>
    <row r="78934" spans="1:6" x14ac:dyDescent="0.25">
      <c r="A78934"/>
      <c r="B78934"/>
      <c r="C78934"/>
      <c r="E78934"/>
      <c r="F78934"/>
    </row>
    <row r="78935" spans="1:6" x14ac:dyDescent="0.25">
      <c r="A78935"/>
      <c r="B78935"/>
      <c r="C78935"/>
      <c r="E78935"/>
      <c r="F78935"/>
    </row>
    <row r="78936" spans="1:6" x14ac:dyDescent="0.25">
      <c r="A78936"/>
      <c r="B78936"/>
      <c r="C78936"/>
      <c r="E78936"/>
      <c r="F78936"/>
    </row>
    <row r="78937" spans="1:6" x14ac:dyDescent="0.25">
      <c r="A78937"/>
      <c r="B78937"/>
      <c r="C78937"/>
      <c r="E78937"/>
      <c r="F78937"/>
    </row>
    <row r="78938" spans="1:6" x14ac:dyDescent="0.25">
      <c r="A78938"/>
      <c r="B78938"/>
      <c r="C78938"/>
      <c r="E78938"/>
      <c r="F78938"/>
    </row>
    <row r="78939" spans="1:6" x14ac:dyDescent="0.25">
      <c r="A78939"/>
      <c r="B78939"/>
      <c r="C78939"/>
      <c r="E78939"/>
      <c r="F78939"/>
    </row>
    <row r="78940" spans="1:6" x14ac:dyDescent="0.25">
      <c r="A78940"/>
      <c r="B78940"/>
      <c r="C78940"/>
      <c r="E78940"/>
      <c r="F78940"/>
    </row>
    <row r="78941" spans="1:6" x14ac:dyDescent="0.25">
      <c r="A78941"/>
      <c r="B78941"/>
      <c r="C78941"/>
      <c r="E78941"/>
      <c r="F78941"/>
    </row>
    <row r="78942" spans="1:6" x14ac:dyDescent="0.25">
      <c r="A78942"/>
      <c r="B78942"/>
      <c r="C78942"/>
      <c r="E78942"/>
      <c r="F78942"/>
    </row>
    <row r="78943" spans="1:6" x14ac:dyDescent="0.25">
      <c r="A78943"/>
      <c r="B78943"/>
      <c r="C78943"/>
      <c r="E78943"/>
      <c r="F78943"/>
    </row>
    <row r="78944" spans="1:6" x14ac:dyDescent="0.25">
      <c r="A78944"/>
      <c r="B78944"/>
      <c r="C78944"/>
      <c r="E78944"/>
      <c r="F78944"/>
    </row>
    <row r="78945" spans="1:6" x14ac:dyDescent="0.25">
      <c r="A78945"/>
      <c r="B78945"/>
      <c r="C78945"/>
      <c r="E78945"/>
      <c r="F78945"/>
    </row>
    <row r="78946" spans="1:6" x14ac:dyDescent="0.25">
      <c r="A78946"/>
      <c r="B78946"/>
      <c r="C78946"/>
      <c r="E78946"/>
      <c r="F78946"/>
    </row>
    <row r="78947" spans="1:6" x14ac:dyDescent="0.25">
      <c r="A78947"/>
      <c r="B78947"/>
      <c r="C78947"/>
      <c r="E78947"/>
      <c r="F78947"/>
    </row>
    <row r="78948" spans="1:6" x14ac:dyDescent="0.25">
      <c r="A78948"/>
      <c r="B78948"/>
      <c r="C78948"/>
      <c r="E78948"/>
      <c r="F78948"/>
    </row>
    <row r="78949" spans="1:6" x14ac:dyDescent="0.25">
      <c r="A78949"/>
      <c r="B78949"/>
      <c r="C78949"/>
      <c r="E78949"/>
      <c r="F78949"/>
    </row>
    <row r="78950" spans="1:6" x14ac:dyDescent="0.25">
      <c r="A78950"/>
      <c r="B78950"/>
      <c r="C78950"/>
      <c r="E78950"/>
      <c r="F78950"/>
    </row>
    <row r="78951" spans="1:6" x14ac:dyDescent="0.25">
      <c r="A78951"/>
      <c r="B78951"/>
      <c r="C78951"/>
      <c r="E78951"/>
      <c r="F78951"/>
    </row>
    <row r="78952" spans="1:6" x14ac:dyDescent="0.25">
      <c r="A78952"/>
      <c r="B78952"/>
      <c r="C78952"/>
      <c r="E78952"/>
      <c r="F78952"/>
    </row>
    <row r="78953" spans="1:6" x14ac:dyDescent="0.25">
      <c r="A78953"/>
      <c r="B78953"/>
      <c r="C78953"/>
      <c r="E78953"/>
      <c r="F78953"/>
    </row>
    <row r="78954" spans="1:6" x14ac:dyDescent="0.25">
      <c r="A78954"/>
      <c r="B78954"/>
      <c r="C78954"/>
      <c r="E78954"/>
      <c r="F78954"/>
    </row>
    <row r="78955" spans="1:6" x14ac:dyDescent="0.25">
      <c r="A78955"/>
      <c r="B78955"/>
      <c r="C78955"/>
      <c r="E78955"/>
      <c r="F78955"/>
    </row>
    <row r="78956" spans="1:6" x14ac:dyDescent="0.25">
      <c r="A78956"/>
      <c r="B78956"/>
      <c r="C78956"/>
      <c r="E78956"/>
      <c r="F78956"/>
    </row>
    <row r="78957" spans="1:6" x14ac:dyDescent="0.25">
      <c r="A78957"/>
      <c r="B78957"/>
      <c r="C78957"/>
      <c r="E78957"/>
      <c r="F78957"/>
    </row>
    <row r="78958" spans="1:6" x14ac:dyDescent="0.25">
      <c r="A78958"/>
      <c r="B78958"/>
      <c r="C78958"/>
      <c r="E78958"/>
      <c r="F78958"/>
    </row>
    <row r="78959" spans="1:6" x14ac:dyDescent="0.25">
      <c r="A78959"/>
      <c r="B78959"/>
      <c r="C78959"/>
      <c r="E78959"/>
      <c r="F78959"/>
    </row>
    <row r="78960" spans="1:6" x14ac:dyDescent="0.25">
      <c r="A78960"/>
      <c r="B78960"/>
      <c r="C78960"/>
      <c r="E78960"/>
      <c r="F78960"/>
    </row>
    <row r="78961" spans="1:6" x14ac:dyDescent="0.25">
      <c r="A78961"/>
      <c r="B78961"/>
      <c r="C78961"/>
      <c r="E78961"/>
      <c r="F78961"/>
    </row>
    <row r="78962" spans="1:6" x14ac:dyDescent="0.25">
      <c r="A78962"/>
      <c r="B78962"/>
      <c r="C78962"/>
      <c r="E78962"/>
      <c r="F78962"/>
    </row>
    <row r="78963" spans="1:6" x14ac:dyDescent="0.25">
      <c r="A78963"/>
      <c r="B78963"/>
      <c r="C78963"/>
      <c r="E78963"/>
      <c r="F78963"/>
    </row>
    <row r="78964" spans="1:6" x14ac:dyDescent="0.25">
      <c r="A78964"/>
      <c r="B78964"/>
      <c r="C78964"/>
      <c r="E78964"/>
      <c r="F78964"/>
    </row>
    <row r="78965" spans="1:6" x14ac:dyDescent="0.25">
      <c r="A78965"/>
      <c r="B78965"/>
      <c r="C78965"/>
      <c r="E78965"/>
      <c r="F78965"/>
    </row>
    <row r="78966" spans="1:6" x14ac:dyDescent="0.25">
      <c r="A78966"/>
      <c r="B78966"/>
      <c r="C78966"/>
      <c r="E78966"/>
      <c r="F78966"/>
    </row>
    <row r="78967" spans="1:6" x14ac:dyDescent="0.25">
      <c r="A78967"/>
      <c r="B78967"/>
      <c r="C78967"/>
      <c r="E78967"/>
      <c r="F78967"/>
    </row>
    <row r="78968" spans="1:6" x14ac:dyDescent="0.25">
      <c r="A78968"/>
      <c r="B78968"/>
      <c r="C78968"/>
      <c r="E78968"/>
      <c r="F78968"/>
    </row>
    <row r="78969" spans="1:6" x14ac:dyDescent="0.25">
      <c r="A78969"/>
      <c r="B78969"/>
      <c r="C78969"/>
      <c r="E78969"/>
      <c r="F78969"/>
    </row>
    <row r="78970" spans="1:6" x14ac:dyDescent="0.25">
      <c r="A78970"/>
      <c r="B78970"/>
      <c r="C78970"/>
      <c r="E78970"/>
      <c r="F78970"/>
    </row>
    <row r="78971" spans="1:6" x14ac:dyDescent="0.25">
      <c r="A78971"/>
      <c r="B78971"/>
      <c r="C78971"/>
      <c r="E78971"/>
      <c r="F78971"/>
    </row>
    <row r="78972" spans="1:6" x14ac:dyDescent="0.25">
      <c r="A78972"/>
      <c r="B78972"/>
      <c r="C78972"/>
      <c r="E78972"/>
      <c r="F78972"/>
    </row>
    <row r="78973" spans="1:6" x14ac:dyDescent="0.25">
      <c r="A78973"/>
      <c r="B78973"/>
      <c r="C78973"/>
      <c r="E78973"/>
      <c r="F78973"/>
    </row>
    <row r="78974" spans="1:6" x14ac:dyDescent="0.25">
      <c r="A78974"/>
      <c r="B78974"/>
      <c r="C78974"/>
      <c r="E78974"/>
      <c r="F78974"/>
    </row>
    <row r="78975" spans="1:6" x14ac:dyDescent="0.25">
      <c r="A78975"/>
      <c r="B78975"/>
      <c r="C78975"/>
      <c r="E78975"/>
      <c r="F78975"/>
    </row>
    <row r="78976" spans="1:6" x14ac:dyDescent="0.25">
      <c r="A78976"/>
      <c r="B78976"/>
      <c r="C78976"/>
      <c r="E78976"/>
      <c r="F78976"/>
    </row>
    <row r="78977" spans="1:6" x14ac:dyDescent="0.25">
      <c r="A78977"/>
      <c r="B78977"/>
      <c r="C78977"/>
      <c r="E78977"/>
      <c r="F78977"/>
    </row>
    <row r="78978" spans="1:6" x14ac:dyDescent="0.25">
      <c r="A78978"/>
      <c r="B78978"/>
      <c r="C78978"/>
      <c r="E78978"/>
      <c r="F78978"/>
    </row>
    <row r="78979" spans="1:6" x14ac:dyDescent="0.25">
      <c r="A78979"/>
      <c r="B78979"/>
      <c r="C78979"/>
      <c r="E78979"/>
      <c r="F78979"/>
    </row>
    <row r="78980" spans="1:6" x14ac:dyDescent="0.25">
      <c r="A78980"/>
      <c r="B78980"/>
      <c r="C78980"/>
      <c r="E78980"/>
      <c r="F78980"/>
    </row>
    <row r="78981" spans="1:6" x14ac:dyDescent="0.25">
      <c r="A78981"/>
      <c r="B78981"/>
      <c r="C78981"/>
      <c r="E78981"/>
      <c r="F78981"/>
    </row>
    <row r="78982" spans="1:6" x14ac:dyDescent="0.25">
      <c r="A78982"/>
      <c r="B78982"/>
      <c r="C78982"/>
      <c r="E78982"/>
      <c r="F78982"/>
    </row>
    <row r="78983" spans="1:6" x14ac:dyDescent="0.25">
      <c r="A78983"/>
      <c r="B78983"/>
      <c r="C78983"/>
      <c r="E78983"/>
      <c r="F78983"/>
    </row>
    <row r="78984" spans="1:6" x14ac:dyDescent="0.25">
      <c r="A78984"/>
      <c r="B78984"/>
      <c r="C78984"/>
      <c r="E78984"/>
      <c r="F78984"/>
    </row>
    <row r="78985" spans="1:6" x14ac:dyDescent="0.25">
      <c r="A78985"/>
      <c r="B78985"/>
      <c r="C78985"/>
      <c r="E78985"/>
      <c r="F78985"/>
    </row>
    <row r="78986" spans="1:6" x14ac:dyDescent="0.25">
      <c r="A78986"/>
      <c r="B78986"/>
      <c r="C78986"/>
      <c r="E78986"/>
      <c r="F78986"/>
    </row>
    <row r="78987" spans="1:6" x14ac:dyDescent="0.25">
      <c r="A78987"/>
      <c r="B78987"/>
      <c r="C78987"/>
      <c r="E78987"/>
      <c r="F78987"/>
    </row>
    <row r="78988" spans="1:6" x14ac:dyDescent="0.25">
      <c r="A78988"/>
      <c r="B78988"/>
      <c r="C78988"/>
      <c r="E78988"/>
      <c r="F78988"/>
    </row>
    <row r="78989" spans="1:6" x14ac:dyDescent="0.25">
      <c r="A78989"/>
      <c r="B78989"/>
      <c r="C78989"/>
      <c r="E78989"/>
      <c r="F78989"/>
    </row>
    <row r="78990" spans="1:6" x14ac:dyDescent="0.25">
      <c r="A78990"/>
      <c r="B78990"/>
      <c r="C78990"/>
      <c r="E78990"/>
      <c r="F78990"/>
    </row>
    <row r="78991" spans="1:6" x14ac:dyDescent="0.25">
      <c r="A78991"/>
      <c r="B78991"/>
      <c r="C78991"/>
      <c r="E78991"/>
      <c r="F78991"/>
    </row>
    <row r="78992" spans="1:6" x14ac:dyDescent="0.25">
      <c r="A78992"/>
      <c r="B78992"/>
      <c r="C78992"/>
      <c r="E78992"/>
      <c r="F78992"/>
    </row>
    <row r="78993" spans="1:6" x14ac:dyDescent="0.25">
      <c r="A78993"/>
      <c r="B78993"/>
      <c r="C78993"/>
      <c r="E78993"/>
      <c r="F78993"/>
    </row>
    <row r="78994" spans="1:6" x14ac:dyDescent="0.25">
      <c r="A78994"/>
      <c r="B78994"/>
      <c r="C78994"/>
      <c r="E78994"/>
      <c r="F78994"/>
    </row>
    <row r="78995" spans="1:6" x14ac:dyDescent="0.25">
      <c r="A78995"/>
      <c r="B78995"/>
      <c r="C78995"/>
      <c r="E78995"/>
      <c r="F78995"/>
    </row>
    <row r="78996" spans="1:6" x14ac:dyDescent="0.25">
      <c r="A78996"/>
      <c r="B78996"/>
      <c r="C78996"/>
      <c r="E78996"/>
      <c r="F78996"/>
    </row>
    <row r="78997" spans="1:6" x14ac:dyDescent="0.25">
      <c r="A78997"/>
      <c r="B78997"/>
      <c r="C78997"/>
      <c r="E78997"/>
      <c r="F78997"/>
    </row>
    <row r="78998" spans="1:6" x14ac:dyDescent="0.25">
      <c r="A78998"/>
      <c r="B78998"/>
      <c r="C78998"/>
      <c r="E78998"/>
      <c r="F78998"/>
    </row>
    <row r="78999" spans="1:6" x14ac:dyDescent="0.25">
      <c r="A78999"/>
      <c r="B78999"/>
      <c r="C78999"/>
      <c r="E78999"/>
      <c r="F78999"/>
    </row>
    <row r="79000" spans="1:6" x14ac:dyDescent="0.25">
      <c r="A79000"/>
      <c r="B79000"/>
      <c r="C79000"/>
      <c r="E79000"/>
      <c r="F79000"/>
    </row>
    <row r="79001" spans="1:6" x14ac:dyDescent="0.25">
      <c r="A79001"/>
      <c r="B79001"/>
      <c r="C79001"/>
      <c r="E79001"/>
      <c r="F79001"/>
    </row>
    <row r="79002" spans="1:6" x14ac:dyDescent="0.25">
      <c r="A79002"/>
      <c r="B79002"/>
      <c r="C79002"/>
      <c r="E79002"/>
      <c r="F79002"/>
    </row>
    <row r="79003" spans="1:6" x14ac:dyDescent="0.25">
      <c r="A79003"/>
      <c r="B79003"/>
      <c r="C79003"/>
      <c r="E79003"/>
      <c r="F79003"/>
    </row>
    <row r="79004" spans="1:6" x14ac:dyDescent="0.25">
      <c r="A79004"/>
      <c r="B79004"/>
      <c r="C79004"/>
      <c r="E79004"/>
      <c r="F79004"/>
    </row>
    <row r="79005" spans="1:6" x14ac:dyDescent="0.25">
      <c r="A79005"/>
      <c r="B79005"/>
      <c r="C79005"/>
      <c r="E79005"/>
      <c r="F79005"/>
    </row>
    <row r="79006" spans="1:6" x14ac:dyDescent="0.25">
      <c r="A79006"/>
      <c r="B79006"/>
      <c r="C79006"/>
      <c r="E79006"/>
      <c r="F79006"/>
    </row>
    <row r="79007" spans="1:6" x14ac:dyDescent="0.25">
      <c r="A79007"/>
      <c r="B79007"/>
      <c r="C79007"/>
      <c r="E79007"/>
      <c r="F79007"/>
    </row>
    <row r="79008" spans="1:6" x14ac:dyDescent="0.25">
      <c r="A79008"/>
      <c r="B79008"/>
      <c r="C79008"/>
      <c r="E79008"/>
      <c r="F79008"/>
    </row>
    <row r="79009" spans="1:6" x14ac:dyDescent="0.25">
      <c r="A79009"/>
      <c r="B79009"/>
      <c r="C79009"/>
      <c r="E79009"/>
      <c r="F79009"/>
    </row>
    <row r="79010" spans="1:6" x14ac:dyDescent="0.25">
      <c r="A79010"/>
      <c r="B79010"/>
      <c r="C79010"/>
      <c r="E79010"/>
      <c r="F79010"/>
    </row>
    <row r="79011" spans="1:6" x14ac:dyDescent="0.25">
      <c r="A79011"/>
      <c r="B79011"/>
      <c r="C79011"/>
      <c r="E79011"/>
      <c r="F79011"/>
    </row>
    <row r="79012" spans="1:6" x14ac:dyDescent="0.25">
      <c r="A79012"/>
      <c r="B79012"/>
      <c r="C79012"/>
      <c r="E79012"/>
      <c r="F79012"/>
    </row>
    <row r="79013" spans="1:6" x14ac:dyDescent="0.25">
      <c r="A79013"/>
      <c r="B79013"/>
      <c r="C79013"/>
      <c r="E79013"/>
      <c r="F79013"/>
    </row>
    <row r="79014" spans="1:6" x14ac:dyDescent="0.25">
      <c r="A79014"/>
      <c r="B79014"/>
      <c r="C79014"/>
      <c r="E79014"/>
      <c r="F79014"/>
    </row>
    <row r="79015" spans="1:6" x14ac:dyDescent="0.25">
      <c r="A79015"/>
      <c r="B79015"/>
      <c r="C79015"/>
      <c r="E79015"/>
      <c r="F79015"/>
    </row>
    <row r="79016" spans="1:6" x14ac:dyDescent="0.25">
      <c r="A79016"/>
      <c r="B79016"/>
      <c r="C79016"/>
      <c r="E79016"/>
      <c r="F79016"/>
    </row>
    <row r="79017" spans="1:6" x14ac:dyDescent="0.25">
      <c r="A79017"/>
      <c r="B79017"/>
      <c r="C79017"/>
      <c r="E79017"/>
      <c r="F79017"/>
    </row>
    <row r="79018" spans="1:6" x14ac:dyDescent="0.25">
      <c r="A79018"/>
      <c r="B79018"/>
      <c r="C79018"/>
      <c r="E79018"/>
      <c r="F79018"/>
    </row>
    <row r="79019" spans="1:6" x14ac:dyDescent="0.25">
      <c r="A79019"/>
      <c r="B79019"/>
      <c r="C79019"/>
      <c r="E79019"/>
      <c r="F79019"/>
    </row>
    <row r="79020" spans="1:6" x14ac:dyDescent="0.25">
      <c r="A79020"/>
      <c r="B79020"/>
      <c r="C79020"/>
      <c r="E79020"/>
      <c r="F79020"/>
    </row>
    <row r="79021" spans="1:6" x14ac:dyDescent="0.25">
      <c r="A79021"/>
      <c r="B79021"/>
      <c r="C79021"/>
      <c r="E79021"/>
      <c r="F79021"/>
    </row>
    <row r="79022" spans="1:6" x14ac:dyDescent="0.25">
      <c r="A79022"/>
      <c r="B79022"/>
      <c r="C79022"/>
      <c r="E79022"/>
      <c r="F79022"/>
    </row>
    <row r="79023" spans="1:6" x14ac:dyDescent="0.25">
      <c r="A79023"/>
      <c r="B79023"/>
      <c r="C79023"/>
      <c r="E79023"/>
      <c r="F79023"/>
    </row>
    <row r="79024" spans="1:6" x14ac:dyDescent="0.25">
      <c r="A79024"/>
      <c r="B79024"/>
      <c r="C79024"/>
      <c r="E79024"/>
      <c r="F79024"/>
    </row>
    <row r="79025" spans="1:6" x14ac:dyDescent="0.25">
      <c r="A79025"/>
      <c r="B79025"/>
      <c r="C79025"/>
      <c r="E79025"/>
      <c r="F79025"/>
    </row>
    <row r="79026" spans="1:6" x14ac:dyDescent="0.25">
      <c r="A79026"/>
      <c r="B79026"/>
      <c r="C79026"/>
      <c r="E79026"/>
      <c r="F79026"/>
    </row>
    <row r="79027" spans="1:6" x14ac:dyDescent="0.25">
      <c r="A79027"/>
      <c r="B79027"/>
      <c r="C79027"/>
      <c r="E79027"/>
      <c r="F79027"/>
    </row>
    <row r="79028" spans="1:6" x14ac:dyDescent="0.25">
      <c r="A79028"/>
      <c r="B79028"/>
      <c r="C79028"/>
      <c r="E79028"/>
      <c r="F79028"/>
    </row>
    <row r="79029" spans="1:6" x14ac:dyDescent="0.25">
      <c r="A79029"/>
      <c r="B79029"/>
      <c r="C79029"/>
      <c r="E79029"/>
      <c r="F79029"/>
    </row>
    <row r="79030" spans="1:6" x14ac:dyDescent="0.25">
      <c r="A79030"/>
      <c r="B79030"/>
      <c r="C79030"/>
      <c r="E79030"/>
      <c r="F79030"/>
    </row>
    <row r="79031" spans="1:6" x14ac:dyDescent="0.25">
      <c r="A79031"/>
      <c r="B79031"/>
      <c r="C79031"/>
      <c r="E79031"/>
      <c r="F79031"/>
    </row>
    <row r="79032" spans="1:6" x14ac:dyDescent="0.25">
      <c r="A79032"/>
      <c r="B79032"/>
      <c r="C79032"/>
      <c r="E79032"/>
      <c r="F79032"/>
    </row>
    <row r="79033" spans="1:6" x14ac:dyDescent="0.25">
      <c r="A79033"/>
      <c r="B79033"/>
      <c r="C79033"/>
      <c r="E79033"/>
      <c r="F79033"/>
    </row>
    <row r="79034" spans="1:6" x14ac:dyDescent="0.25">
      <c r="A79034"/>
      <c r="B79034"/>
      <c r="C79034"/>
      <c r="E79034"/>
      <c r="F79034"/>
    </row>
    <row r="79035" spans="1:6" x14ac:dyDescent="0.25">
      <c r="A79035"/>
      <c r="B79035"/>
      <c r="C79035"/>
      <c r="E79035"/>
      <c r="F79035"/>
    </row>
    <row r="79036" spans="1:6" x14ac:dyDescent="0.25">
      <c r="A79036"/>
      <c r="B79036"/>
      <c r="C79036"/>
      <c r="E79036"/>
      <c r="F79036"/>
    </row>
    <row r="79037" spans="1:6" x14ac:dyDescent="0.25">
      <c r="A79037"/>
      <c r="B79037"/>
      <c r="C79037"/>
      <c r="E79037"/>
      <c r="F79037"/>
    </row>
    <row r="79038" spans="1:6" x14ac:dyDescent="0.25">
      <c r="A79038"/>
      <c r="B79038"/>
      <c r="C79038"/>
      <c r="E79038"/>
      <c r="F79038"/>
    </row>
    <row r="79039" spans="1:6" x14ac:dyDescent="0.25">
      <c r="A79039"/>
      <c r="B79039"/>
      <c r="C79039"/>
      <c r="E79039"/>
      <c r="F79039"/>
    </row>
    <row r="79040" spans="1:6" x14ac:dyDescent="0.25">
      <c r="A79040"/>
      <c r="B79040"/>
      <c r="C79040"/>
      <c r="E79040"/>
      <c r="F79040"/>
    </row>
    <row r="79041" spans="1:6" x14ac:dyDescent="0.25">
      <c r="A79041"/>
      <c r="B79041"/>
      <c r="C79041"/>
      <c r="E79041"/>
      <c r="F79041"/>
    </row>
    <row r="79042" spans="1:6" x14ac:dyDescent="0.25">
      <c r="A79042"/>
      <c r="B79042"/>
      <c r="C79042"/>
      <c r="E79042"/>
      <c r="F79042"/>
    </row>
    <row r="79043" spans="1:6" x14ac:dyDescent="0.25">
      <c r="A79043"/>
      <c r="B79043"/>
      <c r="C79043"/>
      <c r="E79043"/>
      <c r="F79043"/>
    </row>
    <row r="79044" spans="1:6" x14ac:dyDescent="0.25">
      <c r="A79044"/>
      <c r="B79044"/>
      <c r="C79044"/>
      <c r="E79044"/>
      <c r="F79044"/>
    </row>
    <row r="79045" spans="1:6" x14ac:dyDescent="0.25">
      <c r="A79045"/>
      <c r="B79045"/>
      <c r="C79045"/>
      <c r="E79045"/>
      <c r="F79045"/>
    </row>
    <row r="79046" spans="1:6" x14ac:dyDescent="0.25">
      <c r="A79046"/>
      <c r="B79046"/>
      <c r="C79046"/>
      <c r="E79046"/>
      <c r="F79046"/>
    </row>
    <row r="79047" spans="1:6" x14ac:dyDescent="0.25">
      <c r="A79047"/>
      <c r="B79047"/>
      <c r="C79047"/>
      <c r="E79047"/>
      <c r="F79047"/>
    </row>
    <row r="79048" spans="1:6" x14ac:dyDescent="0.25">
      <c r="A79048"/>
      <c r="B79048"/>
      <c r="C79048"/>
      <c r="E79048"/>
      <c r="F79048"/>
    </row>
    <row r="79049" spans="1:6" x14ac:dyDescent="0.25">
      <c r="A79049"/>
      <c r="B79049"/>
      <c r="C79049"/>
      <c r="E79049"/>
      <c r="F79049"/>
    </row>
    <row r="79050" spans="1:6" x14ac:dyDescent="0.25">
      <c r="A79050"/>
      <c r="B79050"/>
      <c r="C79050"/>
      <c r="E79050"/>
      <c r="F79050"/>
    </row>
    <row r="79051" spans="1:6" x14ac:dyDescent="0.25">
      <c r="A79051"/>
      <c r="B79051"/>
      <c r="C79051"/>
      <c r="E79051"/>
      <c r="F79051"/>
    </row>
    <row r="79052" spans="1:6" x14ac:dyDescent="0.25">
      <c r="A79052"/>
      <c r="B79052"/>
      <c r="C79052"/>
      <c r="E79052"/>
      <c r="F79052"/>
    </row>
    <row r="79053" spans="1:6" x14ac:dyDescent="0.25">
      <c r="A79053"/>
      <c r="B79053"/>
      <c r="C79053"/>
      <c r="E79053"/>
      <c r="F79053"/>
    </row>
    <row r="79054" spans="1:6" x14ac:dyDescent="0.25">
      <c r="A79054"/>
      <c r="B79054"/>
      <c r="C79054"/>
      <c r="E79054"/>
      <c r="F79054"/>
    </row>
    <row r="79055" spans="1:6" x14ac:dyDescent="0.25">
      <c r="A79055"/>
      <c r="B79055"/>
      <c r="C79055"/>
      <c r="E79055"/>
      <c r="F79055"/>
    </row>
    <row r="79056" spans="1:6" x14ac:dyDescent="0.25">
      <c r="A79056"/>
      <c r="B79056"/>
      <c r="C79056"/>
      <c r="E79056"/>
      <c r="F79056"/>
    </row>
    <row r="79057" spans="1:6" x14ac:dyDescent="0.25">
      <c r="A79057"/>
      <c r="B79057"/>
      <c r="C79057"/>
      <c r="E79057"/>
      <c r="F79057"/>
    </row>
    <row r="79058" spans="1:6" x14ac:dyDescent="0.25">
      <c r="A79058"/>
      <c r="B79058"/>
      <c r="C79058"/>
      <c r="E79058"/>
      <c r="F79058"/>
    </row>
    <row r="79059" spans="1:6" x14ac:dyDescent="0.25">
      <c r="A79059"/>
      <c r="B79059"/>
      <c r="C79059"/>
      <c r="E79059"/>
      <c r="F79059"/>
    </row>
    <row r="79060" spans="1:6" x14ac:dyDescent="0.25">
      <c r="A79060"/>
      <c r="B79060"/>
      <c r="C79060"/>
      <c r="E79060"/>
      <c r="F79060"/>
    </row>
    <row r="79061" spans="1:6" x14ac:dyDescent="0.25">
      <c r="A79061"/>
      <c r="B79061"/>
      <c r="C79061"/>
      <c r="E79061"/>
      <c r="F79061"/>
    </row>
    <row r="79062" spans="1:6" x14ac:dyDescent="0.25">
      <c r="A79062"/>
      <c r="B79062"/>
      <c r="C79062"/>
      <c r="E79062"/>
      <c r="F79062"/>
    </row>
    <row r="79063" spans="1:6" x14ac:dyDescent="0.25">
      <c r="A79063"/>
      <c r="B79063"/>
      <c r="C79063"/>
      <c r="E79063"/>
      <c r="F79063"/>
    </row>
    <row r="79064" spans="1:6" x14ac:dyDescent="0.25">
      <c r="A79064"/>
      <c r="B79064"/>
      <c r="C79064"/>
      <c r="E79064"/>
      <c r="F79064"/>
    </row>
    <row r="79065" spans="1:6" x14ac:dyDescent="0.25">
      <c r="A79065"/>
      <c r="B79065"/>
      <c r="C79065"/>
      <c r="E79065"/>
      <c r="F79065"/>
    </row>
    <row r="79066" spans="1:6" x14ac:dyDescent="0.25">
      <c r="A79066"/>
      <c r="B79066"/>
      <c r="C79066"/>
      <c r="E79066"/>
      <c r="F79066"/>
    </row>
    <row r="79067" spans="1:6" x14ac:dyDescent="0.25">
      <c r="A79067"/>
      <c r="B79067"/>
      <c r="C79067"/>
      <c r="E79067"/>
      <c r="F79067"/>
    </row>
    <row r="79068" spans="1:6" x14ac:dyDescent="0.25">
      <c r="A79068"/>
      <c r="B79068"/>
      <c r="C79068"/>
      <c r="E79068"/>
      <c r="F79068"/>
    </row>
    <row r="79069" spans="1:6" x14ac:dyDescent="0.25">
      <c r="A79069"/>
      <c r="B79069"/>
      <c r="C79069"/>
      <c r="E79069"/>
      <c r="F79069"/>
    </row>
    <row r="79070" spans="1:6" x14ac:dyDescent="0.25">
      <c r="A79070"/>
      <c r="B79070"/>
      <c r="C79070"/>
      <c r="E79070"/>
      <c r="F79070"/>
    </row>
    <row r="79071" spans="1:6" x14ac:dyDescent="0.25">
      <c r="A79071"/>
      <c r="B79071"/>
      <c r="C79071"/>
      <c r="E79071"/>
      <c r="F79071"/>
    </row>
    <row r="79072" spans="1:6" x14ac:dyDescent="0.25">
      <c r="A79072"/>
      <c r="B79072"/>
      <c r="C79072"/>
      <c r="E79072"/>
      <c r="F79072"/>
    </row>
    <row r="79073" spans="1:6" x14ac:dyDescent="0.25">
      <c r="A79073"/>
      <c r="B79073"/>
      <c r="C79073"/>
      <c r="E79073"/>
      <c r="F79073"/>
    </row>
    <row r="79074" spans="1:6" x14ac:dyDescent="0.25">
      <c r="A79074"/>
      <c r="B79074"/>
      <c r="C79074"/>
      <c r="E79074"/>
      <c r="F79074"/>
    </row>
    <row r="79075" spans="1:6" x14ac:dyDescent="0.25">
      <c r="A79075"/>
      <c r="B79075"/>
      <c r="C79075"/>
      <c r="E79075"/>
      <c r="F79075"/>
    </row>
    <row r="79076" spans="1:6" x14ac:dyDescent="0.25">
      <c r="A79076"/>
      <c r="B79076"/>
      <c r="C79076"/>
      <c r="E79076"/>
      <c r="F79076"/>
    </row>
    <row r="79077" spans="1:6" x14ac:dyDescent="0.25">
      <c r="A79077"/>
      <c r="B79077"/>
      <c r="C79077"/>
      <c r="E79077"/>
      <c r="F79077"/>
    </row>
    <row r="79078" spans="1:6" x14ac:dyDescent="0.25">
      <c r="A79078"/>
      <c r="B79078"/>
      <c r="C79078"/>
      <c r="E79078"/>
      <c r="F79078"/>
    </row>
    <row r="79079" spans="1:6" x14ac:dyDescent="0.25">
      <c r="A79079"/>
      <c r="B79079"/>
      <c r="C79079"/>
      <c r="E79079"/>
      <c r="F79079"/>
    </row>
    <row r="79080" spans="1:6" x14ac:dyDescent="0.25">
      <c r="A79080"/>
      <c r="B79080"/>
      <c r="C79080"/>
      <c r="E79080"/>
      <c r="F79080"/>
    </row>
    <row r="79081" spans="1:6" x14ac:dyDescent="0.25">
      <c r="A79081"/>
      <c r="B79081"/>
      <c r="C79081"/>
      <c r="E79081"/>
      <c r="F79081"/>
    </row>
    <row r="79082" spans="1:6" x14ac:dyDescent="0.25">
      <c r="A79082"/>
      <c r="B79082"/>
      <c r="C79082"/>
      <c r="E79082"/>
      <c r="F79082"/>
    </row>
    <row r="79083" spans="1:6" x14ac:dyDescent="0.25">
      <c r="A79083"/>
      <c r="B79083"/>
      <c r="C79083"/>
      <c r="E79083"/>
      <c r="F79083"/>
    </row>
    <row r="79084" spans="1:6" x14ac:dyDescent="0.25">
      <c r="A79084"/>
      <c r="B79084"/>
      <c r="C79084"/>
      <c r="E79084"/>
      <c r="F79084"/>
    </row>
    <row r="79085" spans="1:6" x14ac:dyDescent="0.25">
      <c r="A79085"/>
      <c r="B79085"/>
      <c r="C79085"/>
      <c r="E79085"/>
      <c r="F79085"/>
    </row>
    <row r="79086" spans="1:6" x14ac:dyDescent="0.25">
      <c r="A79086"/>
      <c r="B79086"/>
      <c r="C79086"/>
      <c r="E79086"/>
      <c r="F79086"/>
    </row>
    <row r="79087" spans="1:6" x14ac:dyDescent="0.25">
      <c r="A79087"/>
      <c r="B79087"/>
      <c r="C79087"/>
      <c r="E79087"/>
      <c r="F79087"/>
    </row>
    <row r="79088" spans="1:6" x14ac:dyDescent="0.25">
      <c r="A79088"/>
      <c r="B79088"/>
      <c r="C79088"/>
      <c r="E79088"/>
      <c r="F79088"/>
    </row>
    <row r="79089" spans="1:6" x14ac:dyDescent="0.25">
      <c r="A79089"/>
      <c r="B79089"/>
      <c r="C79089"/>
      <c r="E79089"/>
      <c r="F79089"/>
    </row>
    <row r="79090" spans="1:6" x14ac:dyDescent="0.25">
      <c r="A79090"/>
      <c r="B79090"/>
      <c r="C79090"/>
      <c r="E79090"/>
      <c r="F79090"/>
    </row>
    <row r="79091" spans="1:6" x14ac:dyDescent="0.25">
      <c r="A79091"/>
      <c r="B79091"/>
      <c r="C79091"/>
      <c r="E79091"/>
      <c r="F79091"/>
    </row>
    <row r="79092" spans="1:6" x14ac:dyDescent="0.25">
      <c r="A79092"/>
      <c r="B79092"/>
      <c r="C79092"/>
      <c r="E79092"/>
      <c r="F79092"/>
    </row>
    <row r="79093" spans="1:6" x14ac:dyDescent="0.25">
      <c r="A79093"/>
      <c r="B79093"/>
      <c r="C79093"/>
      <c r="E79093"/>
      <c r="F79093"/>
    </row>
    <row r="79094" spans="1:6" x14ac:dyDescent="0.25">
      <c r="A79094"/>
      <c r="B79094"/>
      <c r="C79094"/>
      <c r="E79094"/>
      <c r="F79094"/>
    </row>
    <row r="79095" spans="1:6" x14ac:dyDescent="0.25">
      <c r="A79095"/>
      <c r="B79095"/>
      <c r="C79095"/>
      <c r="E79095"/>
      <c r="F79095"/>
    </row>
    <row r="79096" spans="1:6" x14ac:dyDescent="0.25">
      <c r="A79096"/>
      <c r="B79096"/>
      <c r="C79096"/>
      <c r="E79096"/>
      <c r="F79096"/>
    </row>
    <row r="79097" spans="1:6" x14ac:dyDescent="0.25">
      <c r="A79097"/>
      <c r="B79097"/>
      <c r="C79097"/>
      <c r="E79097"/>
      <c r="F79097"/>
    </row>
    <row r="79098" spans="1:6" x14ac:dyDescent="0.25">
      <c r="A79098"/>
      <c r="B79098"/>
      <c r="C79098"/>
      <c r="E79098"/>
      <c r="F79098"/>
    </row>
    <row r="79099" spans="1:6" x14ac:dyDescent="0.25">
      <c r="A79099"/>
      <c r="B79099"/>
      <c r="C79099"/>
      <c r="E79099"/>
      <c r="F79099"/>
    </row>
    <row r="79100" spans="1:6" x14ac:dyDescent="0.25">
      <c r="A79100"/>
      <c r="B79100"/>
      <c r="C79100"/>
      <c r="E79100"/>
      <c r="F79100"/>
    </row>
    <row r="79101" spans="1:6" x14ac:dyDescent="0.25">
      <c r="A79101"/>
      <c r="B79101"/>
      <c r="C79101"/>
      <c r="E79101"/>
      <c r="F79101"/>
    </row>
    <row r="79102" spans="1:6" x14ac:dyDescent="0.25">
      <c r="A79102"/>
      <c r="B79102"/>
      <c r="C79102"/>
      <c r="E79102"/>
      <c r="F79102"/>
    </row>
    <row r="79103" spans="1:6" x14ac:dyDescent="0.25">
      <c r="A79103"/>
      <c r="B79103"/>
      <c r="C79103"/>
      <c r="E79103"/>
      <c r="F79103"/>
    </row>
    <row r="79104" spans="1:6" x14ac:dyDescent="0.25">
      <c r="A79104"/>
      <c r="B79104"/>
      <c r="C79104"/>
      <c r="E79104"/>
      <c r="F79104"/>
    </row>
    <row r="79105" spans="1:6" x14ac:dyDescent="0.25">
      <c r="A79105"/>
      <c r="B79105"/>
      <c r="C79105"/>
      <c r="E79105"/>
      <c r="F79105"/>
    </row>
    <row r="79106" spans="1:6" x14ac:dyDescent="0.25">
      <c r="A79106"/>
      <c r="B79106"/>
      <c r="C79106"/>
      <c r="E79106"/>
      <c r="F79106"/>
    </row>
    <row r="79107" spans="1:6" x14ac:dyDescent="0.25">
      <c r="A79107"/>
      <c r="B79107"/>
      <c r="C79107"/>
      <c r="E79107"/>
      <c r="F79107"/>
    </row>
    <row r="79108" spans="1:6" x14ac:dyDescent="0.25">
      <c r="A79108"/>
      <c r="B79108"/>
      <c r="C79108"/>
      <c r="E79108"/>
      <c r="F79108"/>
    </row>
    <row r="79109" spans="1:6" x14ac:dyDescent="0.25">
      <c r="A79109"/>
      <c r="B79109"/>
      <c r="C79109"/>
      <c r="E79109"/>
      <c r="F79109"/>
    </row>
    <row r="79110" spans="1:6" x14ac:dyDescent="0.25">
      <c r="A79110"/>
      <c r="B79110"/>
      <c r="C79110"/>
      <c r="E79110"/>
      <c r="F79110"/>
    </row>
    <row r="79111" spans="1:6" x14ac:dyDescent="0.25">
      <c r="A79111"/>
      <c r="B79111"/>
      <c r="C79111"/>
      <c r="E79111"/>
      <c r="F79111"/>
    </row>
    <row r="79112" spans="1:6" x14ac:dyDescent="0.25">
      <c r="A79112"/>
      <c r="B79112"/>
      <c r="C79112"/>
      <c r="E79112"/>
      <c r="F79112"/>
    </row>
    <row r="79113" spans="1:6" x14ac:dyDescent="0.25">
      <c r="A79113"/>
      <c r="B79113"/>
      <c r="C79113"/>
      <c r="E79113"/>
      <c r="F79113"/>
    </row>
    <row r="79114" spans="1:6" x14ac:dyDescent="0.25">
      <c r="A79114"/>
      <c r="B79114"/>
      <c r="C79114"/>
      <c r="E79114"/>
      <c r="F79114"/>
    </row>
    <row r="79115" spans="1:6" x14ac:dyDescent="0.25">
      <c r="A79115"/>
      <c r="B79115"/>
      <c r="C79115"/>
      <c r="E79115"/>
      <c r="F79115"/>
    </row>
    <row r="79116" spans="1:6" x14ac:dyDescent="0.25">
      <c r="A79116"/>
      <c r="B79116"/>
      <c r="C79116"/>
      <c r="E79116"/>
      <c r="F79116"/>
    </row>
    <row r="79117" spans="1:6" x14ac:dyDescent="0.25">
      <c r="A79117"/>
      <c r="B79117"/>
      <c r="C79117"/>
      <c r="E79117"/>
      <c r="F79117"/>
    </row>
    <row r="79118" spans="1:6" x14ac:dyDescent="0.25">
      <c r="A79118"/>
      <c r="B79118"/>
      <c r="C79118"/>
      <c r="E79118"/>
      <c r="F79118"/>
    </row>
    <row r="79119" spans="1:6" x14ac:dyDescent="0.25">
      <c r="A79119"/>
      <c r="B79119"/>
      <c r="C79119"/>
      <c r="E79119"/>
      <c r="F79119"/>
    </row>
    <row r="79120" spans="1:6" x14ac:dyDescent="0.25">
      <c r="A79120"/>
      <c r="B79120"/>
      <c r="C79120"/>
      <c r="E79120"/>
      <c r="F79120"/>
    </row>
    <row r="79121" spans="1:6" x14ac:dyDescent="0.25">
      <c r="A79121"/>
      <c r="B79121"/>
      <c r="C79121"/>
      <c r="E79121"/>
      <c r="F79121"/>
    </row>
    <row r="79122" spans="1:6" x14ac:dyDescent="0.25">
      <c r="A79122"/>
      <c r="B79122"/>
      <c r="C79122"/>
      <c r="E79122"/>
      <c r="F79122"/>
    </row>
    <row r="79123" spans="1:6" x14ac:dyDescent="0.25">
      <c r="A79123"/>
      <c r="B79123"/>
      <c r="C79123"/>
      <c r="E79123"/>
      <c r="F79123"/>
    </row>
    <row r="79124" spans="1:6" x14ac:dyDescent="0.25">
      <c r="A79124"/>
      <c r="B79124"/>
      <c r="C79124"/>
      <c r="E79124"/>
      <c r="F79124"/>
    </row>
    <row r="79125" spans="1:6" x14ac:dyDescent="0.25">
      <c r="A79125"/>
      <c r="B79125"/>
      <c r="C79125"/>
      <c r="E79125"/>
      <c r="F79125"/>
    </row>
    <row r="79126" spans="1:6" x14ac:dyDescent="0.25">
      <c r="A79126"/>
      <c r="B79126"/>
      <c r="C79126"/>
      <c r="E79126"/>
      <c r="F79126"/>
    </row>
    <row r="79127" spans="1:6" x14ac:dyDescent="0.25">
      <c r="A79127"/>
      <c r="B79127"/>
      <c r="C79127"/>
      <c r="E79127"/>
      <c r="F79127"/>
    </row>
    <row r="79128" spans="1:6" x14ac:dyDescent="0.25">
      <c r="A79128"/>
      <c r="B79128"/>
      <c r="C79128"/>
      <c r="E79128"/>
      <c r="F79128"/>
    </row>
    <row r="79129" spans="1:6" x14ac:dyDescent="0.25">
      <c r="A79129"/>
      <c r="B79129"/>
      <c r="C79129"/>
      <c r="E79129"/>
      <c r="F79129"/>
    </row>
    <row r="79130" spans="1:6" x14ac:dyDescent="0.25">
      <c r="A79130"/>
      <c r="B79130"/>
      <c r="C79130"/>
      <c r="E79130"/>
      <c r="F79130"/>
    </row>
    <row r="79131" spans="1:6" x14ac:dyDescent="0.25">
      <c r="A79131"/>
      <c r="B79131"/>
      <c r="C79131"/>
      <c r="E79131"/>
      <c r="F79131"/>
    </row>
    <row r="79132" spans="1:6" x14ac:dyDescent="0.25">
      <c r="A79132"/>
      <c r="B79132"/>
      <c r="C79132"/>
      <c r="E79132"/>
      <c r="F79132"/>
    </row>
    <row r="79133" spans="1:6" x14ac:dyDescent="0.25">
      <c r="A79133"/>
      <c r="B79133"/>
      <c r="C79133"/>
      <c r="E79133"/>
      <c r="F79133"/>
    </row>
    <row r="79134" spans="1:6" x14ac:dyDescent="0.25">
      <c r="A79134"/>
      <c r="B79134"/>
      <c r="C79134"/>
      <c r="E79134"/>
      <c r="F79134"/>
    </row>
    <row r="79135" spans="1:6" x14ac:dyDescent="0.25">
      <c r="A79135"/>
      <c r="B79135"/>
      <c r="C79135"/>
      <c r="E79135"/>
      <c r="F79135"/>
    </row>
    <row r="79136" spans="1:6" x14ac:dyDescent="0.25">
      <c r="A79136"/>
      <c r="B79136"/>
      <c r="C79136"/>
      <c r="E79136"/>
      <c r="F79136"/>
    </row>
    <row r="79137" spans="1:6" x14ac:dyDescent="0.25">
      <c r="A79137"/>
      <c r="B79137"/>
      <c r="C79137"/>
      <c r="E79137"/>
      <c r="F79137"/>
    </row>
    <row r="79138" spans="1:6" x14ac:dyDescent="0.25">
      <c r="A79138"/>
      <c r="B79138"/>
      <c r="C79138"/>
      <c r="E79138"/>
      <c r="F79138"/>
    </row>
    <row r="79139" spans="1:6" x14ac:dyDescent="0.25">
      <c r="A79139"/>
      <c r="B79139"/>
      <c r="C79139"/>
      <c r="E79139"/>
      <c r="F79139"/>
    </row>
    <row r="79140" spans="1:6" x14ac:dyDescent="0.25">
      <c r="A79140"/>
      <c r="B79140"/>
      <c r="C79140"/>
      <c r="E79140"/>
      <c r="F79140"/>
    </row>
    <row r="79141" spans="1:6" x14ac:dyDescent="0.25">
      <c r="A79141"/>
      <c r="B79141"/>
      <c r="C79141"/>
      <c r="E79141"/>
      <c r="F79141"/>
    </row>
    <row r="79142" spans="1:6" x14ac:dyDescent="0.25">
      <c r="A79142"/>
      <c r="B79142"/>
      <c r="C79142"/>
      <c r="E79142"/>
      <c r="F79142"/>
    </row>
    <row r="79143" spans="1:6" x14ac:dyDescent="0.25">
      <c r="A79143"/>
      <c r="B79143"/>
      <c r="C79143"/>
      <c r="E79143"/>
      <c r="F79143"/>
    </row>
    <row r="79144" spans="1:6" x14ac:dyDescent="0.25">
      <c r="A79144"/>
      <c r="B79144"/>
      <c r="C79144"/>
      <c r="E79144"/>
      <c r="F79144"/>
    </row>
    <row r="79145" spans="1:6" x14ac:dyDescent="0.25">
      <c r="A79145"/>
      <c r="B79145"/>
      <c r="C79145"/>
      <c r="E79145"/>
      <c r="F79145"/>
    </row>
    <row r="79146" spans="1:6" x14ac:dyDescent="0.25">
      <c r="A79146"/>
      <c r="B79146"/>
      <c r="C79146"/>
      <c r="E79146"/>
      <c r="F79146"/>
    </row>
    <row r="79147" spans="1:6" x14ac:dyDescent="0.25">
      <c r="A79147"/>
      <c r="B79147"/>
      <c r="C79147"/>
      <c r="E79147"/>
      <c r="F79147"/>
    </row>
    <row r="79148" spans="1:6" x14ac:dyDescent="0.25">
      <c r="A79148"/>
      <c r="B79148"/>
      <c r="C79148"/>
      <c r="E79148"/>
      <c r="F79148"/>
    </row>
    <row r="79149" spans="1:6" x14ac:dyDescent="0.25">
      <c r="A79149"/>
      <c r="B79149"/>
      <c r="C79149"/>
      <c r="E79149"/>
      <c r="F79149"/>
    </row>
    <row r="79150" spans="1:6" x14ac:dyDescent="0.25">
      <c r="A79150"/>
      <c r="B79150"/>
      <c r="C79150"/>
      <c r="E79150"/>
      <c r="F79150"/>
    </row>
    <row r="79151" spans="1:6" x14ac:dyDescent="0.25">
      <c r="A79151"/>
      <c r="B79151"/>
      <c r="C79151"/>
      <c r="E79151"/>
      <c r="F79151"/>
    </row>
    <row r="79152" spans="1:6" x14ac:dyDescent="0.25">
      <c r="A79152"/>
      <c r="B79152"/>
      <c r="C79152"/>
      <c r="E79152"/>
      <c r="F79152"/>
    </row>
    <row r="79153" spans="1:6" x14ac:dyDescent="0.25">
      <c r="A79153"/>
      <c r="B79153"/>
      <c r="C79153"/>
      <c r="E79153"/>
      <c r="F79153"/>
    </row>
    <row r="79154" spans="1:6" x14ac:dyDescent="0.25">
      <c r="A79154"/>
      <c r="B79154"/>
      <c r="C79154"/>
      <c r="E79154"/>
      <c r="F79154"/>
    </row>
    <row r="79155" spans="1:6" x14ac:dyDescent="0.25">
      <c r="A79155"/>
      <c r="B79155"/>
      <c r="C79155"/>
      <c r="E79155"/>
      <c r="F79155"/>
    </row>
    <row r="79156" spans="1:6" x14ac:dyDescent="0.25">
      <c r="A79156"/>
      <c r="B79156"/>
      <c r="C79156"/>
      <c r="E79156"/>
      <c r="F79156"/>
    </row>
    <row r="79157" spans="1:6" x14ac:dyDescent="0.25">
      <c r="A79157"/>
      <c r="B79157"/>
      <c r="C79157"/>
      <c r="E79157"/>
      <c r="F79157"/>
    </row>
    <row r="79158" spans="1:6" x14ac:dyDescent="0.25">
      <c r="A79158"/>
      <c r="B79158"/>
      <c r="C79158"/>
      <c r="E79158"/>
      <c r="F79158"/>
    </row>
    <row r="79159" spans="1:6" x14ac:dyDescent="0.25">
      <c r="A79159"/>
      <c r="B79159"/>
      <c r="C79159"/>
      <c r="E79159"/>
      <c r="F79159"/>
    </row>
    <row r="79160" spans="1:6" x14ac:dyDescent="0.25">
      <c r="A79160"/>
      <c r="B79160"/>
      <c r="C79160"/>
      <c r="E79160"/>
      <c r="F79160"/>
    </row>
    <row r="79161" spans="1:6" x14ac:dyDescent="0.25">
      <c r="A79161"/>
      <c r="B79161"/>
      <c r="C79161"/>
      <c r="E79161"/>
      <c r="F79161"/>
    </row>
    <row r="79162" spans="1:6" x14ac:dyDescent="0.25">
      <c r="A79162"/>
      <c r="B79162"/>
      <c r="C79162"/>
      <c r="E79162"/>
      <c r="F79162"/>
    </row>
    <row r="79163" spans="1:6" x14ac:dyDescent="0.25">
      <c r="A79163"/>
      <c r="B79163"/>
      <c r="C79163"/>
      <c r="E79163"/>
      <c r="F79163"/>
    </row>
    <row r="79164" spans="1:6" x14ac:dyDescent="0.25">
      <c r="A79164"/>
      <c r="B79164"/>
      <c r="C79164"/>
      <c r="E79164"/>
      <c r="F79164"/>
    </row>
    <row r="79165" spans="1:6" x14ac:dyDescent="0.25">
      <c r="A79165"/>
      <c r="B79165"/>
      <c r="C79165"/>
      <c r="E79165"/>
      <c r="F79165"/>
    </row>
    <row r="79166" spans="1:6" x14ac:dyDescent="0.25">
      <c r="A79166"/>
      <c r="B79166"/>
      <c r="C79166"/>
      <c r="E79166"/>
      <c r="F79166"/>
    </row>
    <row r="79167" spans="1:6" x14ac:dyDescent="0.25">
      <c r="A79167"/>
      <c r="B79167"/>
      <c r="C79167"/>
      <c r="E79167"/>
      <c r="F79167"/>
    </row>
    <row r="79168" spans="1:6" x14ac:dyDescent="0.25">
      <c r="A79168"/>
      <c r="B79168"/>
      <c r="C79168"/>
      <c r="E79168"/>
      <c r="F79168"/>
    </row>
    <row r="79169" spans="1:6" x14ac:dyDescent="0.25">
      <c r="A79169"/>
      <c r="B79169"/>
      <c r="C79169"/>
      <c r="E79169"/>
      <c r="F79169"/>
    </row>
    <row r="79170" spans="1:6" x14ac:dyDescent="0.25">
      <c r="A79170"/>
      <c r="B79170"/>
      <c r="C79170"/>
      <c r="E79170"/>
      <c r="F79170"/>
    </row>
    <row r="79171" spans="1:6" x14ac:dyDescent="0.25">
      <c r="A79171"/>
      <c r="B79171"/>
      <c r="C79171"/>
      <c r="E79171"/>
      <c r="F79171"/>
    </row>
    <row r="79172" spans="1:6" x14ac:dyDescent="0.25">
      <c r="A79172"/>
      <c r="B79172"/>
      <c r="C79172"/>
      <c r="E79172"/>
      <c r="F79172"/>
    </row>
    <row r="79173" spans="1:6" x14ac:dyDescent="0.25">
      <c r="A79173"/>
      <c r="B79173"/>
      <c r="C79173"/>
      <c r="E79173"/>
      <c r="F79173"/>
    </row>
    <row r="79174" spans="1:6" x14ac:dyDescent="0.25">
      <c r="A79174"/>
      <c r="B79174"/>
      <c r="C79174"/>
      <c r="E79174"/>
      <c r="F79174"/>
    </row>
    <row r="79175" spans="1:6" x14ac:dyDescent="0.25">
      <c r="A79175"/>
      <c r="B79175"/>
      <c r="C79175"/>
      <c r="E79175"/>
      <c r="F79175"/>
    </row>
    <row r="79176" spans="1:6" x14ac:dyDescent="0.25">
      <c r="A79176"/>
      <c r="B79176"/>
      <c r="C79176"/>
      <c r="E79176"/>
      <c r="F79176"/>
    </row>
    <row r="79177" spans="1:6" x14ac:dyDescent="0.25">
      <c r="A79177"/>
      <c r="B79177"/>
      <c r="C79177"/>
      <c r="E79177"/>
      <c r="F79177"/>
    </row>
    <row r="79178" spans="1:6" x14ac:dyDescent="0.25">
      <c r="A79178"/>
      <c r="B79178"/>
      <c r="C79178"/>
      <c r="E79178"/>
      <c r="F79178"/>
    </row>
    <row r="79179" spans="1:6" x14ac:dyDescent="0.25">
      <c r="A79179"/>
      <c r="B79179"/>
      <c r="C79179"/>
      <c r="E79179"/>
      <c r="F79179"/>
    </row>
    <row r="79180" spans="1:6" x14ac:dyDescent="0.25">
      <c r="A79180"/>
      <c r="B79180"/>
      <c r="C79180"/>
      <c r="E79180"/>
      <c r="F79180"/>
    </row>
    <row r="79181" spans="1:6" x14ac:dyDescent="0.25">
      <c r="A79181"/>
      <c r="B79181"/>
      <c r="C79181"/>
      <c r="E79181"/>
      <c r="F79181"/>
    </row>
    <row r="79182" spans="1:6" x14ac:dyDescent="0.25">
      <c r="A79182"/>
      <c r="B79182"/>
      <c r="C79182"/>
      <c r="E79182"/>
      <c r="F79182"/>
    </row>
    <row r="79183" spans="1:6" x14ac:dyDescent="0.25">
      <c r="A79183"/>
      <c r="B79183"/>
      <c r="C79183"/>
      <c r="E79183"/>
      <c r="F79183"/>
    </row>
    <row r="79184" spans="1:6" x14ac:dyDescent="0.25">
      <c r="A79184"/>
      <c r="B79184"/>
      <c r="C79184"/>
      <c r="E79184"/>
      <c r="F79184"/>
    </row>
    <row r="79185" spans="1:6" x14ac:dyDescent="0.25">
      <c r="A79185"/>
      <c r="B79185"/>
      <c r="C79185"/>
      <c r="E79185"/>
      <c r="F79185"/>
    </row>
    <row r="79186" spans="1:6" x14ac:dyDescent="0.25">
      <c r="A79186"/>
      <c r="B79186"/>
      <c r="C79186"/>
      <c r="E79186"/>
      <c r="F79186"/>
    </row>
    <row r="79187" spans="1:6" x14ac:dyDescent="0.25">
      <c r="A79187"/>
      <c r="B79187"/>
      <c r="C79187"/>
      <c r="E79187"/>
      <c r="F79187"/>
    </row>
    <row r="79188" spans="1:6" x14ac:dyDescent="0.25">
      <c r="A79188"/>
      <c r="B79188"/>
      <c r="C79188"/>
      <c r="E79188"/>
      <c r="F79188"/>
    </row>
    <row r="79189" spans="1:6" x14ac:dyDescent="0.25">
      <c r="A79189"/>
      <c r="B79189"/>
      <c r="C79189"/>
      <c r="E79189"/>
      <c r="F79189"/>
    </row>
    <row r="79190" spans="1:6" x14ac:dyDescent="0.25">
      <c r="A79190"/>
      <c r="B79190"/>
      <c r="C79190"/>
      <c r="E79190"/>
      <c r="F79190"/>
    </row>
    <row r="79191" spans="1:6" x14ac:dyDescent="0.25">
      <c r="A79191"/>
      <c r="B79191"/>
      <c r="C79191"/>
      <c r="E79191"/>
      <c r="F79191"/>
    </row>
    <row r="79192" spans="1:6" x14ac:dyDescent="0.25">
      <c r="A79192"/>
      <c r="B79192"/>
      <c r="C79192"/>
      <c r="E79192"/>
      <c r="F79192"/>
    </row>
    <row r="79193" spans="1:6" x14ac:dyDescent="0.25">
      <c r="A79193"/>
      <c r="B79193"/>
      <c r="C79193"/>
      <c r="E79193"/>
      <c r="F79193"/>
    </row>
    <row r="79194" spans="1:6" x14ac:dyDescent="0.25">
      <c r="A79194"/>
      <c r="B79194"/>
      <c r="C79194"/>
      <c r="E79194"/>
      <c r="F79194"/>
    </row>
    <row r="79195" spans="1:6" x14ac:dyDescent="0.25">
      <c r="A79195"/>
      <c r="B79195"/>
      <c r="C79195"/>
      <c r="E79195"/>
      <c r="F79195"/>
    </row>
    <row r="79196" spans="1:6" x14ac:dyDescent="0.25">
      <c r="A79196"/>
      <c r="B79196"/>
      <c r="C79196"/>
      <c r="E79196"/>
      <c r="F79196"/>
    </row>
    <row r="79197" spans="1:6" x14ac:dyDescent="0.25">
      <c r="A79197"/>
      <c r="B79197"/>
      <c r="C79197"/>
      <c r="E79197"/>
      <c r="F79197"/>
    </row>
    <row r="79198" spans="1:6" x14ac:dyDescent="0.25">
      <c r="A79198"/>
      <c r="B79198"/>
      <c r="C79198"/>
      <c r="E79198"/>
      <c r="F79198"/>
    </row>
    <row r="79199" spans="1:6" x14ac:dyDescent="0.25">
      <c r="A79199"/>
      <c r="B79199"/>
      <c r="C79199"/>
      <c r="E79199"/>
      <c r="F79199"/>
    </row>
    <row r="79200" spans="1:6" x14ac:dyDescent="0.25">
      <c r="A79200"/>
      <c r="B79200"/>
      <c r="C79200"/>
      <c r="E79200"/>
      <c r="F79200"/>
    </row>
    <row r="79201" spans="1:6" x14ac:dyDescent="0.25">
      <c r="A79201"/>
      <c r="B79201"/>
      <c r="C79201"/>
      <c r="E79201"/>
      <c r="F79201"/>
    </row>
    <row r="79202" spans="1:6" x14ac:dyDescent="0.25">
      <c r="A79202"/>
      <c r="B79202"/>
      <c r="C79202"/>
      <c r="E79202"/>
      <c r="F79202"/>
    </row>
    <row r="79203" spans="1:6" x14ac:dyDescent="0.25">
      <c r="A79203"/>
      <c r="B79203"/>
      <c r="C79203"/>
      <c r="E79203"/>
      <c r="F79203"/>
    </row>
    <row r="79204" spans="1:6" x14ac:dyDescent="0.25">
      <c r="A79204"/>
      <c r="B79204"/>
      <c r="C79204"/>
      <c r="E79204"/>
      <c r="F79204"/>
    </row>
    <row r="79205" spans="1:6" x14ac:dyDescent="0.25">
      <c r="A79205"/>
      <c r="B79205"/>
      <c r="C79205"/>
      <c r="E79205"/>
      <c r="F79205"/>
    </row>
    <row r="79206" spans="1:6" x14ac:dyDescent="0.25">
      <c r="A79206"/>
      <c r="B79206"/>
      <c r="C79206"/>
      <c r="E79206"/>
      <c r="F79206"/>
    </row>
    <row r="79207" spans="1:6" x14ac:dyDescent="0.25">
      <c r="A79207"/>
      <c r="B79207"/>
      <c r="C79207"/>
      <c r="E79207"/>
      <c r="F79207"/>
    </row>
    <row r="79208" spans="1:6" x14ac:dyDescent="0.25">
      <c r="A79208"/>
      <c r="B79208"/>
      <c r="C79208"/>
      <c r="E79208"/>
      <c r="F79208"/>
    </row>
    <row r="79209" spans="1:6" x14ac:dyDescent="0.25">
      <c r="A79209"/>
      <c r="B79209"/>
      <c r="C79209"/>
      <c r="E79209"/>
      <c r="F79209"/>
    </row>
    <row r="79210" spans="1:6" x14ac:dyDescent="0.25">
      <c r="A79210"/>
      <c r="B79210"/>
      <c r="C79210"/>
      <c r="E79210"/>
      <c r="F79210"/>
    </row>
    <row r="79211" spans="1:6" x14ac:dyDescent="0.25">
      <c r="A79211"/>
      <c r="B79211"/>
      <c r="C79211"/>
      <c r="E79211"/>
      <c r="F79211"/>
    </row>
    <row r="79212" spans="1:6" x14ac:dyDescent="0.25">
      <c r="A79212"/>
      <c r="B79212"/>
      <c r="C79212"/>
      <c r="E79212"/>
      <c r="F79212"/>
    </row>
    <row r="79213" spans="1:6" x14ac:dyDescent="0.25">
      <c r="A79213"/>
      <c r="B79213"/>
      <c r="C79213"/>
      <c r="E79213"/>
      <c r="F79213"/>
    </row>
    <row r="79214" spans="1:6" x14ac:dyDescent="0.25">
      <c r="A79214"/>
      <c r="B79214"/>
      <c r="C79214"/>
      <c r="E79214"/>
      <c r="F79214"/>
    </row>
    <row r="79215" spans="1:6" x14ac:dyDescent="0.25">
      <c r="A79215"/>
      <c r="B79215"/>
      <c r="C79215"/>
      <c r="E79215"/>
      <c r="F79215"/>
    </row>
    <row r="79216" spans="1:6" x14ac:dyDescent="0.25">
      <c r="A79216"/>
      <c r="B79216"/>
      <c r="C79216"/>
      <c r="E79216"/>
      <c r="F79216"/>
    </row>
    <row r="79217" spans="1:6" x14ac:dyDescent="0.25">
      <c r="A79217"/>
      <c r="B79217"/>
      <c r="C79217"/>
      <c r="E79217"/>
      <c r="F79217"/>
    </row>
    <row r="79218" spans="1:6" x14ac:dyDescent="0.25">
      <c r="A79218"/>
      <c r="B79218"/>
      <c r="C79218"/>
      <c r="E79218"/>
      <c r="F79218"/>
    </row>
    <row r="79219" spans="1:6" x14ac:dyDescent="0.25">
      <c r="A79219"/>
      <c r="B79219"/>
      <c r="C79219"/>
      <c r="E79219"/>
      <c r="F79219"/>
    </row>
    <row r="79220" spans="1:6" x14ac:dyDescent="0.25">
      <c r="A79220"/>
      <c r="B79220"/>
      <c r="C79220"/>
      <c r="E79220"/>
      <c r="F79220"/>
    </row>
    <row r="79221" spans="1:6" x14ac:dyDescent="0.25">
      <c r="A79221"/>
      <c r="B79221"/>
      <c r="C79221"/>
      <c r="E79221"/>
      <c r="F79221"/>
    </row>
    <row r="79222" spans="1:6" x14ac:dyDescent="0.25">
      <c r="A79222"/>
      <c r="B79222"/>
      <c r="C79222"/>
      <c r="E79222"/>
      <c r="F79222"/>
    </row>
    <row r="79223" spans="1:6" x14ac:dyDescent="0.25">
      <c r="A79223"/>
      <c r="B79223"/>
      <c r="C79223"/>
      <c r="E79223"/>
      <c r="F79223"/>
    </row>
    <row r="79224" spans="1:6" x14ac:dyDescent="0.25">
      <c r="A79224"/>
      <c r="B79224"/>
      <c r="C79224"/>
      <c r="E79224"/>
      <c r="F79224"/>
    </row>
    <row r="79225" spans="1:6" x14ac:dyDescent="0.25">
      <c r="A79225"/>
      <c r="B79225"/>
      <c r="C79225"/>
      <c r="E79225"/>
      <c r="F79225"/>
    </row>
    <row r="79226" spans="1:6" x14ac:dyDescent="0.25">
      <c r="A79226"/>
      <c r="B79226"/>
      <c r="C79226"/>
      <c r="E79226"/>
      <c r="F79226"/>
    </row>
    <row r="79227" spans="1:6" x14ac:dyDescent="0.25">
      <c r="A79227"/>
      <c r="B79227"/>
      <c r="C79227"/>
      <c r="E79227"/>
      <c r="F79227"/>
    </row>
    <row r="79228" spans="1:6" x14ac:dyDescent="0.25">
      <c r="A79228"/>
      <c r="B79228"/>
      <c r="C79228"/>
      <c r="E79228"/>
      <c r="F79228"/>
    </row>
    <row r="79229" spans="1:6" x14ac:dyDescent="0.25">
      <c r="A79229"/>
      <c r="B79229"/>
      <c r="C79229"/>
      <c r="E79229"/>
      <c r="F79229"/>
    </row>
    <row r="79230" spans="1:6" x14ac:dyDescent="0.25">
      <c r="A79230"/>
      <c r="B79230"/>
      <c r="C79230"/>
      <c r="E79230"/>
      <c r="F79230"/>
    </row>
    <row r="79231" spans="1:6" x14ac:dyDescent="0.25">
      <c r="A79231"/>
      <c r="B79231"/>
      <c r="C79231"/>
      <c r="E79231"/>
      <c r="F79231"/>
    </row>
    <row r="79232" spans="1:6" x14ac:dyDescent="0.25">
      <c r="A79232"/>
      <c r="B79232"/>
      <c r="C79232"/>
      <c r="E79232"/>
      <c r="F79232"/>
    </row>
    <row r="79233" spans="1:6" x14ac:dyDescent="0.25">
      <c r="A79233"/>
      <c r="B79233"/>
      <c r="C79233"/>
      <c r="E79233"/>
      <c r="F79233"/>
    </row>
    <row r="79234" spans="1:6" x14ac:dyDescent="0.25">
      <c r="A79234"/>
      <c r="B79234"/>
      <c r="C79234"/>
      <c r="E79234"/>
      <c r="F79234"/>
    </row>
    <row r="79235" spans="1:6" x14ac:dyDescent="0.25">
      <c r="A79235"/>
      <c r="B79235"/>
      <c r="C79235"/>
      <c r="E79235"/>
      <c r="F79235"/>
    </row>
    <row r="79236" spans="1:6" x14ac:dyDescent="0.25">
      <c r="A79236"/>
      <c r="B79236"/>
      <c r="C79236"/>
      <c r="E79236"/>
      <c r="F79236"/>
    </row>
    <row r="79237" spans="1:6" x14ac:dyDescent="0.25">
      <c r="A79237"/>
      <c r="B79237"/>
      <c r="C79237"/>
      <c r="E79237"/>
      <c r="F79237"/>
    </row>
    <row r="79238" spans="1:6" x14ac:dyDescent="0.25">
      <c r="A79238"/>
      <c r="B79238"/>
      <c r="C79238"/>
      <c r="E79238"/>
      <c r="F79238"/>
    </row>
    <row r="79239" spans="1:6" x14ac:dyDescent="0.25">
      <c r="A79239"/>
      <c r="B79239"/>
      <c r="C79239"/>
      <c r="E79239"/>
      <c r="F79239"/>
    </row>
    <row r="79240" spans="1:6" x14ac:dyDescent="0.25">
      <c r="A79240"/>
      <c r="B79240"/>
      <c r="C79240"/>
      <c r="E79240"/>
      <c r="F79240"/>
    </row>
    <row r="79241" spans="1:6" x14ac:dyDescent="0.25">
      <c r="A79241"/>
      <c r="B79241"/>
      <c r="C79241"/>
      <c r="E79241"/>
      <c r="F79241"/>
    </row>
    <row r="79242" spans="1:6" x14ac:dyDescent="0.25">
      <c r="A79242"/>
      <c r="B79242"/>
      <c r="C79242"/>
      <c r="E79242"/>
      <c r="F79242"/>
    </row>
    <row r="79243" spans="1:6" x14ac:dyDescent="0.25">
      <c r="A79243"/>
      <c r="B79243"/>
      <c r="C79243"/>
      <c r="E79243"/>
      <c r="F79243"/>
    </row>
    <row r="79244" spans="1:6" x14ac:dyDescent="0.25">
      <c r="A79244"/>
      <c r="B79244"/>
      <c r="C79244"/>
      <c r="E79244"/>
      <c r="F79244"/>
    </row>
    <row r="79245" spans="1:6" x14ac:dyDescent="0.25">
      <c r="A79245"/>
      <c r="B79245"/>
      <c r="C79245"/>
      <c r="E79245"/>
      <c r="F79245"/>
    </row>
    <row r="79246" spans="1:6" x14ac:dyDescent="0.25">
      <c r="A79246"/>
      <c r="B79246"/>
      <c r="C79246"/>
      <c r="E79246"/>
      <c r="F79246"/>
    </row>
    <row r="79247" spans="1:6" x14ac:dyDescent="0.25">
      <c r="A79247"/>
      <c r="B79247"/>
      <c r="C79247"/>
      <c r="E79247"/>
      <c r="F79247"/>
    </row>
    <row r="79248" spans="1:6" x14ac:dyDescent="0.25">
      <c r="A79248"/>
      <c r="B79248"/>
      <c r="C79248"/>
      <c r="E79248"/>
      <c r="F79248"/>
    </row>
    <row r="79249" spans="1:6" x14ac:dyDescent="0.25">
      <c r="A79249"/>
      <c r="B79249"/>
      <c r="C79249"/>
      <c r="E79249"/>
      <c r="F79249"/>
    </row>
    <row r="79250" spans="1:6" x14ac:dyDescent="0.25">
      <c r="A79250"/>
      <c r="B79250"/>
      <c r="C79250"/>
      <c r="E79250"/>
      <c r="F79250"/>
    </row>
    <row r="79251" spans="1:6" x14ac:dyDescent="0.25">
      <c r="A79251"/>
      <c r="B79251"/>
      <c r="C79251"/>
      <c r="E79251"/>
      <c r="F79251"/>
    </row>
    <row r="79252" spans="1:6" x14ac:dyDescent="0.25">
      <c r="A79252"/>
      <c r="B79252"/>
      <c r="C79252"/>
      <c r="E79252"/>
      <c r="F79252"/>
    </row>
    <row r="79253" spans="1:6" x14ac:dyDescent="0.25">
      <c r="A79253"/>
      <c r="B79253"/>
      <c r="C79253"/>
      <c r="E79253"/>
      <c r="F79253"/>
    </row>
    <row r="79254" spans="1:6" x14ac:dyDescent="0.25">
      <c r="A79254"/>
      <c r="B79254"/>
      <c r="C79254"/>
      <c r="E79254"/>
      <c r="F79254"/>
    </row>
    <row r="79255" spans="1:6" x14ac:dyDescent="0.25">
      <c r="A79255"/>
      <c r="B79255"/>
      <c r="C79255"/>
      <c r="E79255"/>
      <c r="F79255"/>
    </row>
    <row r="79256" spans="1:6" x14ac:dyDescent="0.25">
      <c r="A79256"/>
      <c r="B79256"/>
      <c r="C79256"/>
      <c r="E79256"/>
      <c r="F79256"/>
    </row>
    <row r="79257" spans="1:6" x14ac:dyDescent="0.25">
      <c r="A79257"/>
      <c r="B79257"/>
      <c r="C79257"/>
      <c r="E79257"/>
      <c r="F79257"/>
    </row>
    <row r="79258" spans="1:6" x14ac:dyDescent="0.25">
      <c r="A79258"/>
      <c r="B79258"/>
      <c r="C79258"/>
      <c r="E79258"/>
      <c r="F79258"/>
    </row>
    <row r="79259" spans="1:6" x14ac:dyDescent="0.25">
      <c r="A79259"/>
      <c r="B79259"/>
      <c r="C79259"/>
      <c r="E79259"/>
      <c r="F79259"/>
    </row>
    <row r="79260" spans="1:6" x14ac:dyDescent="0.25">
      <c r="A79260"/>
      <c r="B79260"/>
      <c r="C79260"/>
      <c r="E79260"/>
      <c r="F79260"/>
    </row>
    <row r="79261" spans="1:6" x14ac:dyDescent="0.25">
      <c r="A79261"/>
      <c r="B79261"/>
      <c r="C79261"/>
      <c r="E79261"/>
      <c r="F79261"/>
    </row>
    <row r="79262" spans="1:6" x14ac:dyDescent="0.25">
      <c r="A79262"/>
      <c r="B79262"/>
      <c r="C79262"/>
      <c r="E79262"/>
      <c r="F79262"/>
    </row>
    <row r="79263" spans="1:6" x14ac:dyDescent="0.25">
      <c r="A79263"/>
      <c r="B79263"/>
      <c r="C79263"/>
      <c r="E79263"/>
      <c r="F79263"/>
    </row>
    <row r="79264" spans="1:6" x14ac:dyDescent="0.25">
      <c r="A79264"/>
      <c r="B79264"/>
      <c r="C79264"/>
      <c r="E79264"/>
      <c r="F79264"/>
    </row>
    <row r="79265" spans="1:6" x14ac:dyDescent="0.25">
      <c r="A79265"/>
      <c r="B79265"/>
      <c r="C79265"/>
      <c r="E79265"/>
      <c r="F79265"/>
    </row>
    <row r="79266" spans="1:6" x14ac:dyDescent="0.25">
      <c r="A79266"/>
      <c r="B79266"/>
      <c r="C79266"/>
      <c r="E79266"/>
      <c r="F79266"/>
    </row>
    <row r="79267" spans="1:6" x14ac:dyDescent="0.25">
      <c r="A79267"/>
      <c r="B79267"/>
      <c r="C79267"/>
      <c r="E79267"/>
      <c r="F79267"/>
    </row>
    <row r="79268" spans="1:6" x14ac:dyDescent="0.25">
      <c r="A79268"/>
      <c r="B79268"/>
      <c r="C79268"/>
      <c r="E79268"/>
      <c r="F79268"/>
    </row>
    <row r="79269" spans="1:6" x14ac:dyDescent="0.25">
      <c r="A79269"/>
      <c r="B79269"/>
      <c r="C79269"/>
      <c r="E79269"/>
      <c r="F79269"/>
    </row>
    <row r="79270" spans="1:6" x14ac:dyDescent="0.25">
      <c r="A79270"/>
      <c r="B79270"/>
      <c r="C79270"/>
      <c r="E79270"/>
      <c r="F79270"/>
    </row>
    <row r="79271" spans="1:6" x14ac:dyDescent="0.25">
      <c r="A79271"/>
      <c r="B79271"/>
      <c r="C79271"/>
      <c r="E79271"/>
      <c r="F79271"/>
    </row>
    <row r="79272" spans="1:6" x14ac:dyDescent="0.25">
      <c r="A79272"/>
      <c r="B79272"/>
      <c r="C79272"/>
      <c r="E79272"/>
      <c r="F79272"/>
    </row>
    <row r="79273" spans="1:6" x14ac:dyDescent="0.25">
      <c r="A79273"/>
      <c r="B79273"/>
      <c r="C79273"/>
      <c r="E79273"/>
      <c r="F79273"/>
    </row>
    <row r="79274" spans="1:6" x14ac:dyDescent="0.25">
      <c r="A79274"/>
      <c r="B79274"/>
      <c r="C79274"/>
      <c r="E79274"/>
      <c r="F79274"/>
    </row>
    <row r="79275" spans="1:6" x14ac:dyDescent="0.25">
      <c r="A79275"/>
      <c r="B79275"/>
      <c r="C79275"/>
      <c r="E79275"/>
      <c r="F79275"/>
    </row>
    <row r="79276" spans="1:6" x14ac:dyDescent="0.25">
      <c r="A79276"/>
      <c r="B79276"/>
      <c r="C79276"/>
      <c r="E79276"/>
      <c r="F79276"/>
    </row>
    <row r="79277" spans="1:6" x14ac:dyDescent="0.25">
      <c r="A79277"/>
      <c r="B79277"/>
      <c r="C79277"/>
      <c r="E79277"/>
      <c r="F79277"/>
    </row>
    <row r="79278" spans="1:6" x14ac:dyDescent="0.25">
      <c r="A79278"/>
      <c r="B79278"/>
      <c r="C79278"/>
      <c r="E79278"/>
      <c r="F79278"/>
    </row>
    <row r="79279" spans="1:6" x14ac:dyDescent="0.25">
      <c r="A79279"/>
      <c r="B79279"/>
      <c r="C79279"/>
      <c r="E79279"/>
      <c r="F79279"/>
    </row>
    <row r="79280" spans="1:6" x14ac:dyDescent="0.25">
      <c r="A79280"/>
      <c r="B79280"/>
      <c r="C79280"/>
      <c r="E79280"/>
      <c r="F79280"/>
    </row>
    <row r="79281" spans="1:6" x14ac:dyDescent="0.25">
      <c r="A79281"/>
      <c r="B79281"/>
      <c r="C79281"/>
      <c r="E79281"/>
      <c r="F79281"/>
    </row>
    <row r="79282" spans="1:6" x14ac:dyDescent="0.25">
      <c r="A79282"/>
      <c r="B79282"/>
      <c r="C79282"/>
      <c r="E79282"/>
      <c r="F79282"/>
    </row>
    <row r="79283" spans="1:6" x14ac:dyDescent="0.25">
      <c r="A79283"/>
      <c r="B79283"/>
      <c r="C79283"/>
      <c r="E79283"/>
      <c r="F79283"/>
    </row>
    <row r="79284" spans="1:6" x14ac:dyDescent="0.25">
      <c r="A79284"/>
      <c r="B79284"/>
      <c r="C79284"/>
      <c r="E79284"/>
      <c r="F79284"/>
    </row>
    <row r="79285" spans="1:6" x14ac:dyDescent="0.25">
      <c r="A79285"/>
      <c r="B79285"/>
      <c r="C79285"/>
      <c r="E79285"/>
      <c r="F79285"/>
    </row>
    <row r="79286" spans="1:6" x14ac:dyDescent="0.25">
      <c r="A79286"/>
      <c r="B79286"/>
      <c r="C79286"/>
      <c r="E79286"/>
      <c r="F79286"/>
    </row>
    <row r="79287" spans="1:6" x14ac:dyDescent="0.25">
      <c r="A79287"/>
      <c r="B79287"/>
      <c r="C79287"/>
      <c r="E79287"/>
      <c r="F79287"/>
    </row>
    <row r="79288" spans="1:6" x14ac:dyDescent="0.25">
      <c r="A79288"/>
      <c r="B79288"/>
      <c r="C79288"/>
      <c r="E79288"/>
      <c r="F79288"/>
    </row>
    <row r="79289" spans="1:6" x14ac:dyDescent="0.25">
      <c r="A79289"/>
      <c r="B79289"/>
      <c r="C79289"/>
      <c r="E79289"/>
      <c r="F79289"/>
    </row>
    <row r="79290" spans="1:6" x14ac:dyDescent="0.25">
      <c r="A79290"/>
      <c r="B79290"/>
      <c r="C79290"/>
      <c r="E79290"/>
      <c r="F79290"/>
    </row>
    <row r="79291" spans="1:6" x14ac:dyDescent="0.25">
      <c r="A79291"/>
      <c r="B79291"/>
      <c r="C79291"/>
      <c r="E79291"/>
      <c r="F79291"/>
    </row>
    <row r="79292" spans="1:6" x14ac:dyDescent="0.25">
      <c r="A79292"/>
      <c r="B79292"/>
      <c r="C79292"/>
      <c r="E79292"/>
      <c r="F79292"/>
    </row>
    <row r="79293" spans="1:6" x14ac:dyDescent="0.25">
      <c r="A79293"/>
      <c r="B79293"/>
      <c r="C79293"/>
      <c r="E79293"/>
      <c r="F79293"/>
    </row>
    <row r="79294" spans="1:6" x14ac:dyDescent="0.25">
      <c r="A79294"/>
      <c r="B79294"/>
      <c r="C79294"/>
      <c r="E79294"/>
      <c r="F79294"/>
    </row>
    <row r="79295" spans="1:6" x14ac:dyDescent="0.25">
      <c r="A79295"/>
      <c r="B79295"/>
      <c r="C79295"/>
      <c r="E79295"/>
      <c r="F79295"/>
    </row>
    <row r="79296" spans="1:6" x14ac:dyDescent="0.25">
      <c r="A79296"/>
      <c r="B79296"/>
      <c r="C79296"/>
      <c r="E79296"/>
      <c r="F79296"/>
    </row>
    <row r="79297" spans="1:6" x14ac:dyDescent="0.25">
      <c r="A79297"/>
      <c r="B79297"/>
      <c r="C79297"/>
      <c r="E79297"/>
      <c r="F79297"/>
    </row>
    <row r="79298" spans="1:6" x14ac:dyDescent="0.25">
      <c r="A79298"/>
      <c r="B79298"/>
      <c r="C79298"/>
      <c r="E79298"/>
      <c r="F79298"/>
    </row>
    <row r="79299" spans="1:6" x14ac:dyDescent="0.25">
      <c r="A79299"/>
      <c r="B79299"/>
      <c r="C79299"/>
      <c r="E79299"/>
      <c r="F79299"/>
    </row>
    <row r="79300" spans="1:6" x14ac:dyDescent="0.25">
      <c r="A79300"/>
      <c r="B79300"/>
      <c r="C79300"/>
      <c r="E79300"/>
      <c r="F79300"/>
    </row>
    <row r="79301" spans="1:6" x14ac:dyDescent="0.25">
      <c r="A79301"/>
      <c r="B79301"/>
      <c r="C79301"/>
      <c r="E79301"/>
      <c r="F79301"/>
    </row>
    <row r="79302" spans="1:6" x14ac:dyDescent="0.25">
      <c r="A79302"/>
      <c r="B79302"/>
      <c r="C79302"/>
      <c r="E79302"/>
      <c r="F79302"/>
    </row>
    <row r="79303" spans="1:6" x14ac:dyDescent="0.25">
      <c r="A79303"/>
      <c r="B79303"/>
      <c r="C79303"/>
      <c r="E79303"/>
      <c r="F79303"/>
    </row>
    <row r="79304" spans="1:6" x14ac:dyDescent="0.25">
      <c r="A79304"/>
      <c r="B79304"/>
      <c r="C79304"/>
      <c r="E79304"/>
      <c r="F79304"/>
    </row>
    <row r="79305" spans="1:6" x14ac:dyDescent="0.25">
      <c r="A79305"/>
      <c r="B79305"/>
      <c r="C79305"/>
      <c r="E79305"/>
      <c r="F79305"/>
    </row>
    <row r="79306" spans="1:6" x14ac:dyDescent="0.25">
      <c r="A79306"/>
      <c r="B79306"/>
      <c r="C79306"/>
      <c r="E79306"/>
      <c r="F79306"/>
    </row>
    <row r="79307" spans="1:6" x14ac:dyDescent="0.25">
      <c r="A79307"/>
      <c r="B79307"/>
      <c r="C79307"/>
      <c r="E79307"/>
      <c r="F79307"/>
    </row>
    <row r="79308" spans="1:6" x14ac:dyDescent="0.25">
      <c r="A79308"/>
      <c r="B79308"/>
      <c r="C79308"/>
      <c r="E79308"/>
      <c r="F79308"/>
    </row>
    <row r="79309" spans="1:6" x14ac:dyDescent="0.25">
      <c r="A79309"/>
      <c r="B79309"/>
      <c r="C79309"/>
      <c r="E79309"/>
      <c r="F79309"/>
    </row>
    <row r="79310" spans="1:6" x14ac:dyDescent="0.25">
      <c r="A79310"/>
      <c r="B79310"/>
      <c r="C79310"/>
      <c r="E79310"/>
      <c r="F79310"/>
    </row>
    <row r="79311" spans="1:6" x14ac:dyDescent="0.25">
      <c r="A79311"/>
      <c r="B79311"/>
      <c r="C79311"/>
      <c r="E79311"/>
      <c r="F79311"/>
    </row>
    <row r="79312" spans="1:6" x14ac:dyDescent="0.25">
      <c r="A79312"/>
      <c r="B79312"/>
      <c r="C79312"/>
      <c r="E79312"/>
      <c r="F79312"/>
    </row>
    <row r="79313" spans="1:6" x14ac:dyDescent="0.25">
      <c r="A79313"/>
      <c r="B79313"/>
      <c r="C79313"/>
      <c r="E79313"/>
      <c r="F79313"/>
    </row>
    <row r="79314" spans="1:6" x14ac:dyDescent="0.25">
      <c r="A79314"/>
      <c r="B79314"/>
      <c r="C79314"/>
      <c r="E79314"/>
      <c r="F79314"/>
    </row>
    <row r="79315" spans="1:6" x14ac:dyDescent="0.25">
      <c r="A79315"/>
      <c r="B79315"/>
      <c r="C79315"/>
      <c r="E79315"/>
      <c r="F79315"/>
    </row>
    <row r="79316" spans="1:6" x14ac:dyDescent="0.25">
      <c r="A79316"/>
      <c r="B79316"/>
      <c r="C79316"/>
      <c r="E79316"/>
      <c r="F79316"/>
    </row>
    <row r="79317" spans="1:6" x14ac:dyDescent="0.25">
      <c r="A79317"/>
      <c r="B79317"/>
      <c r="C79317"/>
      <c r="E79317"/>
      <c r="F79317"/>
    </row>
    <row r="79318" spans="1:6" x14ac:dyDescent="0.25">
      <c r="A79318"/>
      <c r="B79318"/>
      <c r="C79318"/>
      <c r="E79318"/>
      <c r="F79318"/>
    </row>
    <row r="79319" spans="1:6" x14ac:dyDescent="0.25">
      <c r="A79319"/>
      <c r="B79319"/>
      <c r="C79319"/>
      <c r="E79319"/>
      <c r="F79319"/>
    </row>
    <row r="79320" spans="1:6" x14ac:dyDescent="0.25">
      <c r="A79320"/>
      <c r="B79320"/>
      <c r="C79320"/>
      <c r="E79320"/>
      <c r="F79320"/>
    </row>
    <row r="79321" spans="1:6" x14ac:dyDescent="0.25">
      <c r="A79321"/>
      <c r="B79321"/>
      <c r="C79321"/>
      <c r="E79321"/>
      <c r="F79321"/>
    </row>
    <row r="79322" spans="1:6" x14ac:dyDescent="0.25">
      <c r="A79322"/>
      <c r="B79322"/>
      <c r="C79322"/>
      <c r="E79322"/>
      <c r="F79322"/>
    </row>
    <row r="79323" spans="1:6" x14ac:dyDescent="0.25">
      <c r="A79323"/>
      <c r="B79323"/>
      <c r="C79323"/>
      <c r="E79323"/>
      <c r="F79323"/>
    </row>
    <row r="79324" spans="1:6" x14ac:dyDescent="0.25">
      <c r="A79324"/>
      <c r="B79324"/>
      <c r="C79324"/>
      <c r="E79324"/>
      <c r="F79324"/>
    </row>
    <row r="79325" spans="1:6" x14ac:dyDescent="0.25">
      <c r="A79325"/>
      <c r="B79325"/>
      <c r="C79325"/>
      <c r="E79325"/>
      <c r="F79325"/>
    </row>
    <row r="79326" spans="1:6" x14ac:dyDescent="0.25">
      <c r="A79326"/>
      <c r="B79326"/>
      <c r="C79326"/>
      <c r="E79326"/>
      <c r="F79326"/>
    </row>
    <row r="79327" spans="1:6" x14ac:dyDescent="0.25">
      <c r="A79327"/>
      <c r="B79327"/>
      <c r="C79327"/>
      <c r="E79327"/>
      <c r="F79327"/>
    </row>
    <row r="79328" spans="1:6" x14ac:dyDescent="0.25">
      <c r="A79328"/>
      <c r="B79328"/>
      <c r="C79328"/>
      <c r="E79328"/>
      <c r="F79328"/>
    </row>
    <row r="79329" spans="1:6" x14ac:dyDescent="0.25">
      <c r="A79329"/>
      <c r="B79329"/>
      <c r="C79329"/>
      <c r="E79329"/>
      <c r="F79329"/>
    </row>
    <row r="79330" spans="1:6" x14ac:dyDescent="0.25">
      <c r="A79330"/>
      <c r="B79330"/>
      <c r="C79330"/>
      <c r="E79330"/>
      <c r="F79330"/>
    </row>
    <row r="79331" spans="1:6" x14ac:dyDescent="0.25">
      <c r="A79331"/>
      <c r="B79331"/>
      <c r="C79331"/>
      <c r="E79331"/>
      <c r="F79331"/>
    </row>
    <row r="79332" spans="1:6" x14ac:dyDescent="0.25">
      <c r="A79332"/>
      <c r="B79332"/>
      <c r="C79332"/>
      <c r="E79332"/>
      <c r="F79332"/>
    </row>
    <row r="79333" spans="1:6" x14ac:dyDescent="0.25">
      <c r="A79333"/>
      <c r="B79333"/>
      <c r="C79333"/>
      <c r="E79333"/>
      <c r="F79333"/>
    </row>
    <row r="79334" spans="1:6" x14ac:dyDescent="0.25">
      <c r="A79334"/>
      <c r="B79334"/>
      <c r="C79334"/>
      <c r="E79334"/>
      <c r="F79334"/>
    </row>
    <row r="79335" spans="1:6" x14ac:dyDescent="0.25">
      <c r="A79335"/>
      <c r="B79335"/>
      <c r="C79335"/>
      <c r="E79335"/>
      <c r="F79335"/>
    </row>
    <row r="79336" spans="1:6" x14ac:dyDescent="0.25">
      <c r="A79336"/>
      <c r="B79336"/>
      <c r="C79336"/>
      <c r="E79336"/>
      <c r="F79336"/>
    </row>
    <row r="79337" spans="1:6" x14ac:dyDescent="0.25">
      <c r="A79337"/>
      <c r="B79337"/>
      <c r="C79337"/>
      <c r="E79337"/>
      <c r="F79337"/>
    </row>
    <row r="79338" spans="1:6" x14ac:dyDescent="0.25">
      <c r="A79338"/>
      <c r="B79338"/>
      <c r="C79338"/>
      <c r="E79338"/>
      <c r="F79338"/>
    </row>
    <row r="79339" spans="1:6" x14ac:dyDescent="0.25">
      <c r="A79339"/>
      <c r="B79339"/>
      <c r="C79339"/>
      <c r="E79339"/>
      <c r="F79339"/>
    </row>
    <row r="79340" spans="1:6" x14ac:dyDescent="0.25">
      <c r="A79340"/>
      <c r="B79340"/>
      <c r="C79340"/>
      <c r="E79340"/>
      <c r="F79340"/>
    </row>
    <row r="79341" spans="1:6" x14ac:dyDescent="0.25">
      <c r="A79341"/>
      <c r="B79341"/>
      <c r="C79341"/>
      <c r="E79341"/>
      <c r="F79341"/>
    </row>
    <row r="79342" spans="1:6" x14ac:dyDescent="0.25">
      <c r="A79342"/>
      <c r="B79342"/>
      <c r="C79342"/>
      <c r="E79342"/>
      <c r="F79342"/>
    </row>
    <row r="79343" spans="1:6" x14ac:dyDescent="0.25">
      <c r="A79343"/>
      <c r="B79343"/>
      <c r="C79343"/>
      <c r="E79343"/>
      <c r="F79343"/>
    </row>
    <row r="79344" spans="1:6" x14ac:dyDescent="0.25">
      <c r="A79344"/>
      <c r="B79344"/>
      <c r="C79344"/>
      <c r="E79344"/>
      <c r="F79344"/>
    </row>
    <row r="79345" spans="1:6" x14ac:dyDescent="0.25">
      <c r="A79345"/>
      <c r="B79345"/>
      <c r="C79345"/>
      <c r="E79345"/>
      <c r="F79345"/>
    </row>
    <row r="79346" spans="1:6" x14ac:dyDescent="0.25">
      <c r="A79346"/>
      <c r="B79346"/>
      <c r="C79346"/>
      <c r="E79346"/>
      <c r="F79346"/>
    </row>
    <row r="79347" spans="1:6" x14ac:dyDescent="0.25">
      <c r="A79347"/>
      <c r="B79347"/>
      <c r="C79347"/>
      <c r="E79347"/>
      <c r="F79347"/>
    </row>
    <row r="79348" spans="1:6" x14ac:dyDescent="0.25">
      <c r="A79348"/>
      <c r="B79348"/>
      <c r="C79348"/>
      <c r="E79348"/>
      <c r="F79348"/>
    </row>
    <row r="79349" spans="1:6" x14ac:dyDescent="0.25">
      <c r="A79349"/>
      <c r="B79349"/>
      <c r="C79349"/>
      <c r="E79349"/>
      <c r="F79349"/>
    </row>
    <row r="79350" spans="1:6" x14ac:dyDescent="0.25">
      <c r="A79350"/>
      <c r="B79350"/>
      <c r="C79350"/>
      <c r="E79350"/>
      <c r="F79350"/>
    </row>
    <row r="79351" spans="1:6" x14ac:dyDescent="0.25">
      <c r="A79351"/>
      <c r="B79351"/>
      <c r="C79351"/>
      <c r="E79351"/>
      <c r="F79351"/>
    </row>
    <row r="79352" spans="1:6" x14ac:dyDescent="0.25">
      <c r="A79352"/>
      <c r="B79352"/>
      <c r="C79352"/>
      <c r="E79352"/>
      <c r="F79352"/>
    </row>
    <row r="79353" spans="1:6" x14ac:dyDescent="0.25">
      <c r="A79353"/>
      <c r="B79353"/>
      <c r="C79353"/>
      <c r="E79353"/>
      <c r="F79353"/>
    </row>
    <row r="79354" spans="1:6" x14ac:dyDescent="0.25">
      <c r="A79354"/>
      <c r="B79354"/>
      <c r="C79354"/>
      <c r="E79354"/>
      <c r="F79354"/>
    </row>
    <row r="79355" spans="1:6" x14ac:dyDescent="0.25">
      <c r="A79355"/>
      <c r="B79355"/>
      <c r="C79355"/>
      <c r="E79355"/>
      <c r="F79355"/>
    </row>
    <row r="79356" spans="1:6" x14ac:dyDescent="0.25">
      <c r="A79356"/>
      <c r="B79356"/>
      <c r="C79356"/>
      <c r="E79356"/>
      <c r="F79356"/>
    </row>
    <row r="79357" spans="1:6" x14ac:dyDescent="0.25">
      <c r="A79357"/>
      <c r="B79357"/>
      <c r="C79357"/>
      <c r="E79357"/>
      <c r="F79357"/>
    </row>
    <row r="79358" spans="1:6" x14ac:dyDescent="0.25">
      <c r="A79358"/>
      <c r="B79358"/>
      <c r="C79358"/>
      <c r="E79358"/>
      <c r="F79358"/>
    </row>
    <row r="79359" spans="1:6" x14ac:dyDescent="0.25">
      <c r="A79359"/>
      <c r="B79359"/>
      <c r="C79359"/>
      <c r="E79359"/>
      <c r="F79359"/>
    </row>
    <row r="79360" spans="1:6" x14ac:dyDescent="0.25">
      <c r="A79360"/>
      <c r="B79360"/>
      <c r="C79360"/>
      <c r="E79360"/>
      <c r="F79360"/>
    </row>
    <row r="79361" spans="1:6" x14ac:dyDescent="0.25">
      <c r="A79361"/>
      <c r="B79361"/>
      <c r="C79361"/>
      <c r="E79361"/>
      <c r="F79361"/>
    </row>
    <row r="79362" spans="1:6" x14ac:dyDescent="0.25">
      <c r="A79362"/>
      <c r="B79362"/>
      <c r="C79362"/>
      <c r="E79362"/>
      <c r="F79362"/>
    </row>
    <row r="79363" spans="1:6" x14ac:dyDescent="0.25">
      <c r="A79363"/>
      <c r="B79363"/>
      <c r="C79363"/>
      <c r="E79363"/>
      <c r="F79363"/>
    </row>
    <row r="79364" spans="1:6" x14ac:dyDescent="0.25">
      <c r="A79364"/>
      <c r="B79364"/>
      <c r="C79364"/>
      <c r="E79364"/>
      <c r="F79364"/>
    </row>
    <row r="79365" spans="1:6" x14ac:dyDescent="0.25">
      <c r="A79365"/>
      <c r="B79365"/>
      <c r="C79365"/>
      <c r="E79365"/>
      <c r="F79365"/>
    </row>
    <row r="79366" spans="1:6" x14ac:dyDescent="0.25">
      <c r="A79366"/>
      <c r="B79366"/>
      <c r="C79366"/>
      <c r="E79366"/>
      <c r="F79366"/>
    </row>
    <row r="79367" spans="1:6" x14ac:dyDescent="0.25">
      <c r="A79367"/>
      <c r="B79367"/>
      <c r="C79367"/>
      <c r="E79367"/>
      <c r="F79367"/>
    </row>
    <row r="79368" spans="1:6" x14ac:dyDescent="0.25">
      <c r="A79368"/>
      <c r="B79368"/>
      <c r="C79368"/>
      <c r="E79368"/>
      <c r="F79368"/>
    </row>
    <row r="79369" spans="1:6" x14ac:dyDescent="0.25">
      <c r="A79369"/>
      <c r="B79369"/>
      <c r="C79369"/>
      <c r="E79369"/>
      <c r="F79369"/>
    </row>
    <row r="79370" spans="1:6" x14ac:dyDescent="0.25">
      <c r="A79370"/>
      <c r="B79370"/>
      <c r="C79370"/>
      <c r="E79370"/>
      <c r="F79370"/>
    </row>
    <row r="79371" spans="1:6" x14ac:dyDescent="0.25">
      <c r="A79371"/>
      <c r="B79371"/>
      <c r="C79371"/>
      <c r="E79371"/>
      <c r="F79371"/>
    </row>
    <row r="79372" spans="1:6" x14ac:dyDescent="0.25">
      <c r="A79372"/>
      <c r="B79372"/>
      <c r="C79372"/>
      <c r="E79372"/>
      <c r="F79372"/>
    </row>
    <row r="79373" spans="1:6" x14ac:dyDescent="0.25">
      <c r="A79373"/>
      <c r="B79373"/>
      <c r="C79373"/>
      <c r="E79373"/>
      <c r="F79373"/>
    </row>
    <row r="79374" spans="1:6" x14ac:dyDescent="0.25">
      <c r="A79374"/>
      <c r="B79374"/>
      <c r="C79374"/>
      <c r="E79374"/>
      <c r="F79374"/>
    </row>
    <row r="79375" spans="1:6" x14ac:dyDescent="0.25">
      <c r="A79375"/>
      <c r="B79375"/>
      <c r="C79375"/>
      <c r="E79375"/>
      <c r="F79375"/>
    </row>
    <row r="79376" spans="1:6" x14ac:dyDescent="0.25">
      <c r="A79376"/>
      <c r="B79376"/>
      <c r="C79376"/>
      <c r="E79376"/>
      <c r="F79376"/>
    </row>
    <row r="79377" spans="1:6" x14ac:dyDescent="0.25">
      <c r="A79377"/>
      <c r="B79377"/>
      <c r="C79377"/>
      <c r="E79377"/>
      <c r="F79377"/>
    </row>
    <row r="79378" spans="1:6" x14ac:dyDescent="0.25">
      <c r="A79378"/>
      <c r="B79378"/>
      <c r="C79378"/>
      <c r="E79378"/>
      <c r="F79378"/>
    </row>
    <row r="79379" spans="1:6" x14ac:dyDescent="0.25">
      <c r="A79379"/>
      <c r="B79379"/>
      <c r="C79379"/>
      <c r="E79379"/>
      <c r="F79379"/>
    </row>
    <row r="79380" spans="1:6" x14ac:dyDescent="0.25">
      <c r="A79380"/>
      <c r="B79380"/>
      <c r="C79380"/>
      <c r="E79380"/>
      <c r="F79380"/>
    </row>
    <row r="79381" spans="1:6" x14ac:dyDescent="0.25">
      <c r="A79381"/>
      <c r="B79381"/>
      <c r="C79381"/>
      <c r="E79381"/>
      <c r="F79381"/>
    </row>
    <row r="79382" spans="1:6" x14ac:dyDescent="0.25">
      <c r="A79382"/>
      <c r="B79382"/>
      <c r="C79382"/>
      <c r="E79382"/>
      <c r="F79382"/>
    </row>
    <row r="79383" spans="1:6" x14ac:dyDescent="0.25">
      <c r="A79383"/>
      <c r="B79383"/>
      <c r="C79383"/>
      <c r="E79383"/>
      <c r="F79383"/>
    </row>
    <row r="79384" spans="1:6" x14ac:dyDescent="0.25">
      <c r="A79384"/>
      <c r="B79384"/>
      <c r="C79384"/>
      <c r="E79384"/>
      <c r="F79384"/>
    </row>
    <row r="79385" spans="1:6" x14ac:dyDescent="0.25">
      <c r="A79385"/>
      <c r="B79385"/>
      <c r="C79385"/>
      <c r="E79385"/>
      <c r="F79385"/>
    </row>
    <row r="79386" spans="1:6" x14ac:dyDescent="0.25">
      <c r="A79386"/>
      <c r="B79386"/>
      <c r="C79386"/>
      <c r="E79386"/>
      <c r="F79386"/>
    </row>
    <row r="79387" spans="1:6" x14ac:dyDescent="0.25">
      <c r="A79387"/>
      <c r="B79387"/>
      <c r="C79387"/>
      <c r="E79387"/>
      <c r="F79387"/>
    </row>
    <row r="79388" spans="1:6" x14ac:dyDescent="0.25">
      <c r="A79388"/>
      <c r="B79388"/>
      <c r="C79388"/>
      <c r="E79388"/>
      <c r="F79388"/>
    </row>
    <row r="79389" spans="1:6" x14ac:dyDescent="0.25">
      <c r="A79389"/>
      <c r="B79389"/>
      <c r="C79389"/>
      <c r="E79389"/>
      <c r="F79389"/>
    </row>
    <row r="79390" spans="1:6" x14ac:dyDescent="0.25">
      <c r="A79390"/>
      <c r="B79390"/>
      <c r="C79390"/>
      <c r="E79390"/>
      <c r="F79390"/>
    </row>
    <row r="79391" spans="1:6" x14ac:dyDescent="0.25">
      <c r="A79391"/>
      <c r="B79391"/>
      <c r="C79391"/>
      <c r="E79391"/>
      <c r="F79391"/>
    </row>
    <row r="79392" spans="1:6" x14ac:dyDescent="0.25">
      <c r="A79392"/>
      <c r="B79392"/>
      <c r="C79392"/>
      <c r="E79392"/>
      <c r="F79392"/>
    </row>
    <row r="79393" spans="1:6" x14ac:dyDescent="0.25">
      <c r="A79393"/>
      <c r="B79393"/>
      <c r="C79393"/>
      <c r="E79393"/>
      <c r="F79393"/>
    </row>
    <row r="79394" spans="1:6" x14ac:dyDescent="0.25">
      <c r="A79394"/>
      <c r="B79394"/>
      <c r="C79394"/>
      <c r="E79394"/>
      <c r="F79394"/>
    </row>
    <row r="79395" spans="1:6" x14ac:dyDescent="0.25">
      <c r="A79395"/>
      <c r="B79395"/>
      <c r="C79395"/>
      <c r="E79395"/>
      <c r="F79395"/>
    </row>
    <row r="79396" spans="1:6" x14ac:dyDescent="0.25">
      <c r="A79396"/>
      <c r="B79396"/>
      <c r="C79396"/>
      <c r="E79396"/>
      <c r="F79396"/>
    </row>
    <row r="79397" spans="1:6" x14ac:dyDescent="0.25">
      <c r="A79397"/>
      <c r="B79397"/>
      <c r="C79397"/>
      <c r="E79397"/>
      <c r="F79397"/>
    </row>
    <row r="79398" spans="1:6" x14ac:dyDescent="0.25">
      <c r="A79398"/>
      <c r="B79398"/>
      <c r="C79398"/>
      <c r="E79398"/>
      <c r="F79398"/>
    </row>
    <row r="79399" spans="1:6" x14ac:dyDescent="0.25">
      <c r="A79399"/>
      <c r="B79399"/>
      <c r="C79399"/>
      <c r="E79399"/>
      <c r="F79399"/>
    </row>
    <row r="79400" spans="1:6" x14ac:dyDescent="0.25">
      <c r="A79400"/>
      <c r="B79400"/>
      <c r="C79400"/>
      <c r="E79400"/>
      <c r="F79400"/>
    </row>
    <row r="79401" spans="1:6" x14ac:dyDescent="0.25">
      <c r="A79401"/>
      <c r="B79401"/>
      <c r="C79401"/>
      <c r="E79401"/>
      <c r="F79401"/>
    </row>
    <row r="79402" spans="1:6" x14ac:dyDescent="0.25">
      <c r="A79402"/>
      <c r="B79402"/>
      <c r="C79402"/>
      <c r="E79402"/>
      <c r="F79402"/>
    </row>
    <row r="79403" spans="1:6" x14ac:dyDescent="0.25">
      <c r="A79403"/>
      <c r="B79403"/>
      <c r="C79403"/>
      <c r="E79403"/>
      <c r="F79403"/>
    </row>
    <row r="79404" spans="1:6" x14ac:dyDescent="0.25">
      <c r="A79404"/>
      <c r="B79404"/>
      <c r="C79404"/>
      <c r="E79404"/>
      <c r="F79404"/>
    </row>
    <row r="79405" spans="1:6" x14ac:dyDescent="0.25">
      <c r="A79405"/>
      <c r="B79405"/>
      <c r="C79405"/>
      <c r="E79405"/>
      <c r="F79405"/>
    </row>
    <row r="79406" spans="1:6" x14ac:dyDescent="0.25">
      <c r="A79406"/>
      <c r="B79406"/>
      <c r="C79406"/>
      <c r="E79406"/>
      <c r="F79406"/>
    </row>
    <row r="79407" spans="1:6" x14ac:dyDescent="0.25">
      <c r="A79407"/>
      <c r="B79407"/>
      <c r="C79407"/>
      <c r="E79407"/>
      <c r="F79407"/>
    </row>
    <row r="79408" spans="1:6" x14ac:dyDescent="0.25">
      <c r="A79408"/>
      <c r="B79408"/>
      <c r="C79408"/>
      <c r="E79408"/>
      <c r="F79408"/>
    </row>
    <row r="79409" spans="1:6" x14ac:dyDescent="0.25">
      <c r="A79409"/>
      <c r="B79409"/>
      <c r="C79409"/>
      <c r="E79409"/>
      <c r="F79409"/>
    </row>
    <row r="79410" spans="1:6" x14ac:dyDescent="0.25">
      <c r="A79410"/>
      <c r="B79410"/>
      <c r="C79410"/>
      <c r="E79410"/>
      <c r="F79410"/>
    </row>
    <row r="79411" spans="1:6" x14ac:dyDescent="0.25">
      <c r="A79411"/>
      <c r="B79411"/>
      <c r="C79411"/>
      <c r="E79411"/>
      <c r="F79411"/>
    </row>
    <row r="79412" spans="1:6" x14ac:dyDescent="0.25">
      <c r="A79412"/>
      <c r="B79412"/>
      <c r="C79412"/>
      <c r="E79412"/>
      <c r="F79412"/>
    </row>
    <row r="79413" spans="1:6" x14ac:dyDescent="0.25">
      <c r="A79413"/>
      <c r="B79413"/>
      <c r="C79413"/>
      <c r="E79413"/>
      <c r="F79413"/>
    </row>
    <row r="79414" spans="1:6" x14ac:dyDescent="0.25">
      <c r="A79414"/>
      <c r="B79414"/>
      <c r="C79414"/>
      <c r="E79414"/>
      <c r="F79414"/>
    </row>
    <row r="79415" spans="1:6" x14ac:dyDescent="0.25">
      <c r="A79415"/>
      <c r="B79415"/>
      <c r="C79415"/>
      <c r="E79415"/>
      <c r="F79415"/>
    </row>
    <row r="79416" spans="1:6" x14ac:dyDescent="0.25">
      <c r="A79416"/>
      <c r="B79416"/>
      <c r="C79416"/>
      <c r="E79416"/>
      <c r="F79416"/>
    </row>
    <row r="79417" spans="1:6" x14ac:dyDescent="0.25">
      <c r="A79417"/>
      <c r="B79417"/>
      <c r="C79417"/>
      <c r="E79417"/>
      <c r="F79417"/>
    </row>
    <row r="79418" spans="1:6" x14ac:dyDescent="0.25">
      <c r="A79418"/>
      <c r="B79418"/>
      <c r="C79418"/>
      <c r="E79418"/>
      <c r="F79418"/>
    </row>
    <row r="79419" spans="1:6" x14ac:dyDescent="0.25">
      <c r="A79419"/>
      <c r="B79419"/>
      <c r="C79419"/>
      <c r="E79419"/>
      <c r="F79419"/>
    </row>
    <row r="79420" spans="1:6" x14ac:dyDescent="0.25">
      <c r="A79420"/>
      <c r="B79420"/>
      <c r="C79420"/>
      <c r="E79420"/>
      <c r="F79420"/>
    </row>
    <row r="79421" spans="1:6" x14ac:dyDescent="0.25">
      <c r="A79421"/>
      <c r="B79421"/>
      <c r="C79421"/>
      <c r="E79421"/>
      <c r="F79421"/>
    </row>
    <row r="79422" spans="1:6" x14ac:dyDescent="0.25">
      <c r="A79422"/>
      <c r="B79422"/>
      <c r="C79422"/>
      <c r="E79422"/>
      <c r="F79422"/>
    </row>
    <row r="79423" spans="1:6" x14ac:dyDescent="0.25">
      <c r="A79423"/>
      <c r="B79423"/>
      <c r="C79423"/>
      <c r="E79423"/>
      <c r="F79423"/>
    </row>
    <row r="79424" spans="1:6" x14ac:dyDescent="0.25">
      <c r="A79424"/>
      <c r="B79424"/>
      <c r="C79424"/>
      <c r="E79424"/>
      <c r="F79424"/>
    </row>
    <row r="79425" spans="1:6" x14ac:dyDescent="0.25">
      <c r="A79425"/>
      <c r="B79425"/>
      <c r="C79425"/>
      <c r="E79425"/>
      <c r="F79425"/>
    </row>
    <row r="79426" spans="1:6" x14ac:dyDescent="0.25">
      <c r="A79426"/>
      <c r="B79426"/>
      <c r="C79426"/>
      <c r="E79426"/>
      <c r="F79426"/>
    </row>
    <row r="79427" spans="1:6" x14ac:dyDescent="0.25">
      <c r="A79427"/>
      <c r="B79427"/>
      <c r="C79427"/>
      <c r="E79427"/>
      <c r="F79427"/>
    </row>
    <row r="79428" spans="1:6" x14ac:dyDescent="0.25">
      <c r="A79428"/>
      <c r="B79428"/>
      <c r="C79428"/>
      <c r="E79428"/>
      <c r="F79428"/>
    </row>
    <row r="79429" spans="1:6" x14ac:dyDescent="0.25">
      <c r="A79429"/>
      <c r="B79429"/>
      <c r="C79429"/>
      <c r="E79429"/>
      <c r="F79429"/>
    </row>
    <row r="79430" spans="1:6" x14ac:dyDescent="0.25">
      <c r="A79430"/>
      <c r="B79430"/>
      <c r="C79430"/>
      <c r="E79430"/>
      <c r="F79430"/>
    </row>
    <row r="79431" spans="1:6" x14ac:dyDescent="0.25">
      <c r="A79431"/>
      <c r="B79431"/>
      <c r="C79431"/>
      <c r="E79431"/>
      <c r="F79431"/>
    </row>
    <row r="79432" spans="1:6" x14ac:dyDescent="0.25">
      <c r="A79432"/>
      <c r="B79432"/>
      <c r="C79432"/>
      <c r="E79432"/>
      <c r="F79432"/>
    </row>
    <row r="79433" spans="1:6" x14ac:dyDescent="0.25">
      <c r="A79433"/>
      <c r="B79433"/>
      <c r="C79433"/>
      <c r="E79433"/>
      <c r="F79433"/>
    </row>
    <row r="79434" spans="1:6" x14ac:dyDescent="0.25">
      <c r="A79434"/>
      <c r="B79434"/>
      <c r="C79434"/>
      <c r="E79434"/>
      <c r="F79434"/>
    </row>
    <row r="79435" spans="1:6" x14ac:dyDescent="0.25">
      <c r="A79435"/>
      <c r="B79435"/>
      <c r="C79435"/>
      <c r="E79435"/>
      <c r="F79435"/>
    </row>
    <row r="79436" spans="1:6" x14ac:dyDescent="0.25">
      <c r="A79436"/>
      <c r="B79436"/>
      <c r="C79436"/>
      <c r="E79436"/>
      <c r="F79436"/>
    </row>
    <row r="79437" spans="1:6" x14ac:dyDescent="0.25">
      <c r="A79437"/>
      <c r="B79437"/>
      <c r="C79437"/>
      <c r="E79437"/>
      <c r="F79437"/>
    </row>
    <row r="79438" spans="1:6" x14ac:dyDescent="0.25">
      <c r="A79438"/>
      <c r="B79438"/>
      <c r="C79438"/>
      <c r="E79438"/>
      <c r="F79438"/>
    </row>
    <row r="79439" spans="1:6" x14ac:dyDescent="0.25">
      <c r="A79439"/>
      <c r="B79439"/>
      <c r="C79439"/>
      <c r="E79439"/>
      <c r="F79439"/>
    </row>
    <row r="79440" spans="1:6" x14ac:dyDescent="0.25">
      <c r="A79440"/>
      <c r="B79440"/>
      <c r="C79440"/>
      <c r="E79440"/>
      <c r="F79440"/>
    </row>
    <row r="79441" spans="1:6" x14ac:dyDescent="0.25">
      <c r="A79441"/>
      <c r="B79441"/>
      <c r="C79441"/>
      <c r="E79441"/>
      <c r="F79441"/>
    </row>
    <row r="79442" spans="1:6" x14ac:dyDescent="0.25">
      <c r="A79442"/>
      <c r="B79442"/>
      <c r="C79442"/>
      <c r="E79442"/>
      <c r="F79442"/>
    </row>
    <row r="79443" spans="1:6" x14ac:dyDescent="0.25">
      <c r="A79443"/>
      <c r="B79443"/>
      <c r="C79443"/>
      <c r="E79443"/>
      <c r="F79443"/>
    </row>
    <row r="79444" spans="1:6" x14ac:dyDescent="0.25">
      <c r="A79444"/>
      <c r="B79444"/>
      <c r="C79444"/>
      <c r="E79444"/>
      <c r="F79444"/>
    </row>
    <row r="79445" spans="1:6" x14ac:dyDescent="0.25">
      <c r="A79445"/>
      <c r="B79445"/>
      <c r="C79445"/>
      <c r="E79445"/>
      <c r="F79445"/>
    </row>
    <row r="79446" spans="1:6" x14ac:dyDescent="0.25">
      <c r="A79446"/>
      <c r="B79446"/>
      <c r="C79446"/>
      <c r="E79446"/>
      <c r="F79446"/>
    </row>
    <row r="79447" spans="1:6" x14ac:dyDescent="0.25">
      <c r="A79447"/>
      <c r="B79447"/>
      <c r="C79447"/>
      <c r="E79447"/>
      <c r="F79447"/>
    </row>
    <row r="79448" spans="1:6" x14ac:dyDescent="0.25">
      <c r="A79448"/>
      <c r="B79448"/>
      <c r="C79448"/>
      <c r="E79448"/>
      <c r="F79448"/>
    </row>
    <row r="79449" spans="1:6" x14ac:dyDescent="0.25">
      <c r="A79449"/>
      <c r="B79449"/>
      <c r="C79449"/>
      <c r="E79449"/>
      <c r="F79449"/>
    </row>
    <row r="79450" spans="1:6" x14ac:dyDescent="0.25">
      <c r="A79450"/>
      <c r="B79450"/>
      <c r="C79450"/>
      <c r="E79450"/>
      <c r="F79450"/>
    </row>
    <row r="79451" spans="1:6" x14ac:dyDescent="0.25">
      <c r="A79451"/>
      <c r="B79451"/>
      <c r="C79451"/>
      <c r="E79451"/>
      <c r="F79451"/>
    </row>
    <row r="79452" spans="1:6" x14ac:dyDescent="0.25">
      <c r="A79452"/>
      <c r="B79452"/>
      <c r="C79452"/>
      <c r="E79452"/>
      <c r="F79452"/>
    </row>
    <row r="79453" spans="1:6" x14ac:dyDescent="0.25">
      <c r="A79453"/>
      <c r="B79453"/>
      <c r="C79453"/>
      <c r="E79453"/>
      <c r="F79453"/>
    </row>
    <row r="79454" spans="1:6" x14ac:dyDescent="0.25">
      <c r="A79454"/>
      <c r="B79454"/>
      <c r="C79454"/>
      <c r="E79454"/>
      <c r="F79454"/>
    </row>
    <row r="79455" spans="1:6" x14ac:dyDescent="0.25">
      <c r="A79455"/>
      <c r="B79455"/>
      <c r="C79455"/>
      <c r="E79455"/>
      <c r="F79455"/>
    </row>
    <row r="79456" spans="1:6" x14ac:dyDescent="0.25">
      <c r="A79456"/>
      <c r="B79456"/>
      <c r="C79456"/>
      <c r="E79456"/>
      <c r="F79456"/>
    </row>
    <row r="79457" spans="1:6" x14ac:dyDescent="0.25">
      <c r="A79457"/>
      <c r="B79457"/>
      <c r="C79457"/>
      <c r="E79457"/>
      <c r="F79457"/>
    </row>
    <row r="79458" spans="1:6" x14ac:dyDescent="0.25">
      <c r="A79458"/>
      <c r="B79458"/>
      <c r="C79458"/>
      <c r="E79458"/>
      <c r="F79458"/>
    </row>
    <row r="79459" spans="1:6" x14ac:dyDescent="0.25">
      <c r="A79459"/>
      <c r="B79459"/>
      <c r="C79459"/>
      <c r="E79459"/>
      <c r="F79459"/>
    </row>
    <row r="79460" spans="1:6" x14ac:dyDescent="0.25">
      <c r="A79460"/>
      <c r="B79460"/>
      <c r="C79460"/>
      <c r="E79460"/>
      <c r="F79460"/>
    </row>
    <row r="79461" spans="1:6" x14ac:dyDescent="0.25">
      <c r="A79461"/>
      <c r="B79461"/>
      <c r="C79461"/>
      <c r="E79461"/>
      <c r="F79461"/>
    </row>
    <row r="79462" spans="1:6" x14ac:dyDescent="0.25">
      <c r="A79462"/>
      <c r="B79462"/>
      <c r="C79462"/>
      <c r="E79462"/>
      <c r="F79462"/>
    </row>
    <row r="79463" spans="1:6" x14ac:dyDescent="0.25">
      <c r="A79463"/>
      <c r="B79463"/>
      <c r="C79463"/>
      <c r="E79463"/>
      <c r="F79463"/>
    </row>
    <row r="79464" spans="1:6" x14ac:dyDescent="0.25">
      <c r="A79464"/>
      <c r="B79464"/>
      <c r="C79464"/>
      <c r="E79464"/>
      <c r="F79464"/>
    </row>
    <row r="79465" spans="1:6" x14ac:dyDescent="0.25">
      <c r="A79465"/>
      <c r="B79465"/>
      <c r="C79465"/>
      <c r="E79465"/>
      <c r="F79465"/>
    </row>
    <row r="79466" spans="1:6" x14ac:dyDescent="0.25">
      <c r="A79466"/>
      <c r="B79466"/>
      <c r="C79466"/>
      <c r="E79466"/>
      <c r="F79466"/>
    </row>
    <row r="79467" spans="1:6" x14ac:dyDescent="0.25">
      <c r="A79467"/>
      <c r="B79467"/>
      <c r="C79467"/>
      <c r="E79467"/>
      <c r="F79467"/>
    </row>
    <row r="79468" spans="1:6" x14ac:dyDescent="0.25">
      <c r="A79468"/>
      <c r="B79468"/>
      <c r="C79468"/>
      <c r="E79468"/>
      <c r="F79468"/>
    </row>
    <row r="79469" spans="1:6" x14ac:dyDescent="0.25">
      <c r="A79469"/>
      <c r="B79469"/>
      <c r="C79469"/>
      <c r="E79469"/>
      <c r="F79469"/>
    </row>
    <row r="79470" spans="1:6" x14ac:dyDescent="0.25">
      <c r="A79470"/>
      <c r="B79470"/>
      <c r="C79470"/>
      <c r="E79470"/>
      <c r="F79470"/>
    </row>
    <row r="79471" spans="1:6" x14ac:dyDescent="0.25">
      <c r="A79471"/>
      <c r="B79471"/>
      <c r="C79471"/>
      <c r="E79471"/>
      <c r="F79471"/>
    </row>
    <row r="79472" spans="1:6" x14ac:dyDescent="0.25">
      <c r="A79472"/>
      <c r="B79472"/>
      <c r="C79472"/>
      <c r="E79472"/>
      <c r="F79472"/>
    </row>
    <row r="79473" spans="1:6" x14ac:dyDescent="0.25">
      <c r="A79473"/>
      <c r="B79473"/>
      <c r="C79473"/>
      <c r="E79473"/>
      <c r="F79473"/>
    </row>
    <row r="79474" spans="1:6" x14ac:dyDescent="0.25">
      <c r="A79474"/>
      <c r="B79474"/>
      <c r="C79474"/>
      <c r="E79474"/>
      <c r="F79474"/>
    </row>
    <row r="79475" spans="1:6" x14ac:dyDescent="0.25">
      <c r="A79475"/>
      <c r="B79475"/>
      <c r="C79475"/>
      <c r="E79475"/>
      <c r="F79475"/>
    </row>
    <row r="79476" spans="1:6" x14ac:dyDescent="0.25">
      <c r="A79476"/>
      <c r="B79476"/>
      <c r="C79476"/>
      <c r="E79476"/>
      <c r="F79476"/>
    </row>
    <row r="79477" spans="1:6" x14ac:dyDescent="0.25">
      <c r="A79477"/>
      <c r="B79477"/>
      <c r="C79477"/>
      <c r="E79477"/>
      <c r="F79477"/>
    </row>
    <row r="79478" spans="1:6" x14ac:dyDescent="0.25">
      <c r="A79478"/>
      <c r="B79478"/>
      <c r="C79478"/>
      <c r="E79478"/>
      <c r="F79478"/>
    </row>
    <row r="79479" spans="1:6" x14ac:dyDescent="0.25">
      <c r="A79479"/>
      <c r="B79479"/>
      <c r="C79479"/>
      <c r="E79479"/>
      <c r="F79479"/>
    </row>
    <row r="79480" spans="1:6" x14ac:dyDescent="0.25">
      <c r="A79480"/>
      <c r="B79480"/>
      <c r="C79480"/>
      <c r="E79480"/>
      <c r="F79480"/>
    </row>
    <row r="79481" spans="1:6" x14ac:dyDescent="0.25">
      <c r="A79481"/>
      <c r="B79481"/>
      <c r="C79481"/>
      <c r="E79481"/>
      <c r="F79481"/>
    </row>
    <row r="79482" spans="1:6" x14ac:dyDescent="0.25">
      <c r="A79482"/>
      <c r="B79482"/>
      <c r="C79482"/>
      <c r="E79482"/>
      <c r="F79482"/>
    </row>
    <row r="79483" spans="1:6" x14ac:dyDescent="0.25">
      <c r="A79483"/>
      <c r="B79483"/>
      <c r="C79483"/>
      <c r="E79483"/>
      <c r="F79483"/>
    </row>
    <row r="79484" spans="1:6" x14ac:dyDescent="0.25">
      <c r="A79484"/>
      <c r="B79484"/>
      <c r="C79484"/>
      <c r="E79484"/>
      <c r="F79484"/>
    </row>
    <row r="79485" spans="1:6" x14ac:dyDescent="0.25">
      <c r="A79485"/>
      <c r="B79485"/>
      <c r="C79485"/>
      <c r="E79485"/>
      <c r="F79485"/>
    </row>
    <row r="79486" spans="1:6" x14ac:dyDescent="0.25">
      <c r="A79486"/>
      <c r="B79486"/>
      <c r="C79486"/>
      <c r="E79486"/>
      <c r="F79486"/>
    </row>
    <row r="79487" spans="1:6" x14ac:dyDescent="0.25">
      <c r="A79487"/>
      <c r="B79487"/>
      <c r="C79487"/>
      <c r="E79487"/>
      <c r="F79487"/>
    </row>
    <row r="79488" spans="1:6" x14ac:dyDescent="0.25">
      <c r="A79488"/>
      <c r="B79488"/>
      <c r="C79488"/>
      <c r="E79488"/>
      <c r="F79488"/>
    </row>
    <row r="79489" spans="1:6" x14ac:dyDescent="0.25">
      <c r="A79489"/>
      <c r="B79489"/>
      <c r="C79489"/>
      <c r="E79489"/>
      <c r="F79489"/>
    </row>
    <row r="79490" spans="1:6" x14ac:dyDescent="0.25">
      <c r="A79490"/>
      <c r="B79490"/>
      <c r="C79490"/>
      <c r="E79490"/>
      <c r="F79490"/>
    </row>
    <row r="79491" spans="1:6" x14ac:dyDescent="0.25">
      <c r="A79491"/>
      <c r="B79491"/>
      <c r="C79491"/>
      <c r="E79491"/>
      <c r="F79491"/>
    </row>
    <row r="79492" spans="1:6" x14ac:dyDescent="0.25">
      <c r="A79492"/>
      <c r="B79492"/>
      <c r="C79492"/>
      <c r="E79492"/>
      <c r="F79492"/>
    </row>
    <row r="79493" spans="1:6" x14ac:dyDescent="0.25">
      <c r="A79493"/>
      <c r="B79493"/>
      <c r="C79493"/>
      <c r="E79493"/>
      <c r="F79493"/>
    </row>
    <row r="79494" spans="1:6" x14ac:dyDescent="0.25">
      <c r="A79494"/>
      <c r="B79494"/>
      <c r="C79494"/>
      <c r="E79494"/>
      <c r="F79494"/>
    </row>
    <row r="79495" spans="1:6" x14ac:dyDescent="0.25">
      <c r="A79495"/>
      <c r="B79495"/>
      <c r="C79495"/>
      <c r="E79495"/>
      <c r="F79495"/>
    </row>
    <row r="79496" spans="1:6" x14ac:dyDescent="0.25">
      <c r="A79496"/>
      <c r="B79496"/>
      <c r="C79496"/>
      <c r="E79496"/>
      <c r="F79496"/>
    </row>
    <row r="79497" spans="1:6" x14ac:dyDescent="0.25">
      <c r="A79497"/>
      <c r="B79497"/>
      <c r="C79497"/>
      <c r="E79497"/>
      <c r="F79497"/>
    </row>
    <row r="79498" spans="1:6" x14ac:dyDescent="0.25">
      <c r="A79498"/>
      <c r="B79498"/>
      <c r="C79498"/>
      <c r="E79498"/>
      <c r="F79498"/>
    </row>
    <row r="79499" spans="1:6" x14ac:dyDescent="0.25">
      <c r="A79499"/>
      <c r="B79499"/>
      <c r="C79499"/>
      <c r="E79499"/>
      <c r="F79499"/>
    </row>
    <row r="79500" spans="1:6" x14ac:dyDescent="0.25">
      <c r="A79500"/>
      <c r="B79500"/>
      <c r="C79500"/>
      <c r="E79500"/>
      <c r="F79500"/>
    </row>
    <row r="79501" spans="1:6" x14ac:dyDescent="0.25">
      <c r="A79501"/>
      <c r="B79501"/>
      <c r="C79501"/>
      <c r="E79501"/>
      <c r="F79501"/>
    </row>
    <row r="79502" spans="1:6" x14ac:dyDescent="0.25">
      <c r="A79502"/>
      <c r="B79502"/>
      <c r="C79502"/>
      <c r="E79502"/>
      <c r="F79502"/>
    </row>
    <row r="79503" spans="1:6" x14ac:dyDescent="0.25">
      <c r="A79503"/>
      <c r="B79503"/>
      <c r="C79503"/>
      <c r="E79503"/>
      <c r="F79503"/>
    </row>
    <row r="79504" spans="1:6" x14ac:dyDescent="0.25">
      <c r="A79504"/>
      <c r="B79504"/>
      <c r="C79504"/>
      <c r="E79504"/>
      <c r="F79504"/>
    </row>
    <row r="79505" spans="1:6" x14ac:dyDescent="0.25">
      <c r="A79505"/>
      <c r="B79505"/>
      <c r="C79505"/>
      <c r="E79505"/>
      <c r="F79505"/>
    </row>
    <row r="79506" spans="1:6" x14ac:dyDescent="0.25">
      <c r="A79506"/>
      <c r="B79506"/>
      <c r="C79506"/>
      <c r="E79506"/>
      <c r="F79506"/>
    </row>
    <row r="79507" spans="1:6" x14ac:dyDescent="0.25">
      <c r="A79507"/>
      <c r="B79507"/>
      <c r="C79507"/>
      <c r="E79507"/>
      <c r="F79507"/>
    </row>
    <row r="79508" spans="1:6" x14ac:dyDescent="0.25">
      <c r="A79508"/>
      <c r="B79508"/>
      <c r="C79508"/>
      <c r="E79508"/>
      <c r="F79508"/>
    </row>
    <row r="79509" spans="1:6" x14ac:dyDescent="0.25">
      <c r="A79509"/>
      <c r="B79509"/>
      <c r="C79509"/>
      <c r="E79509"/>
      <c r="F79509"/>
    </row>
    <row r="79510" spans="1:6" x14ac:dyDescent="0.25">
      <c r="A79510"/>
      <c r="B79510"/>
      <c r="C79510"/>
      <c r="E79510"/>
      <c r="F79510"/>
    </row>
    <row r="79511" spans="1:6" x14ac:dyDescent="0.25">
      <c r="A79511"/>
      <c r="B79511"/>
      <c r="C79511"/>
      <c r="E79511"/>
      <c r="F79511"/>
    </row>
    <row r="79512" spans="1:6" x14ac:dyDescent="0.25">
      <c r="A79512"/>
      <c r="B79512"/>
      <c r="C79512"/>
      <c r="E79512"/>
      <c r="F79512"/>
    </row>
    <row r="79513" spans="1:6" x14ac:dyDescent="0.25">
      <c r="A79513"/>
      <c r="B79513"/>
      <c r="C79513"/>
      <c r="E79513"/>
      <c r="F79513"/>
    </row>
    <row r="79514" spans="1:6" x14ac:dyDescent="0.25">
      <c r="A79514"/>
      <c r="B79514"/>
      <c r="C79514"/>
      <c r="E79514"/>
      <c r="F79514"/>
    </row>
    <row r="79515" spans="1:6" x14ac:dyDescent="0.25">
      <c r="A79515"/>
      <c r="B79515"/>
      <c r="C79515"/>
      <c r="E79515"/>
      <c r="F79515"/>
    </row>
    <row r="79516" spans="1:6" x14ac:dyDescent="0.25">
      <c r="A79516"/>
      <c r="B79516"/>
      <c r="C79516"/>
      <c r="E79516"/>
      <c r="F79516"/>
    </row>
    <row r="79517" spans="1:6" x14ac:dyDescent="0.25">
      <c r="A79517"/>
      <c r="B79517"/>
      <c r="C79517"/>
      <c r="E79517"/>
      <c r="F79517"/>
    </row>
    <row r="79518" spans="1:6" x14ac:dyDescent="0.25">
      <c r="A79518"/>
      <c r="B79518"/>
      <c r="C79518"/>
      <c r="E79518"/>
      <c r="F79518"/>
    </row>
    <row r="79519" spans="1:6" x14ac:dyDescent="0.25">
      <c r="A79519"/>
      <c r="B79519"/>
      <c r="C79519"/>
      <c r="E79519"/>
      <c r="F79519"/>
    </row>
    <row r="79520" spans="1:6" x14ac:dyDescent="0.25">
      <c r="A79520"/>
      <c r="B79520"/>
      <c r="C79520"/>
      <c r="E79520"/>
      <c r="F79520"/>
    </row>
    <row r="79521" spans="1:6" x14ac:dyDescent="0.25">
      <c r="A79521"/>
      <c r="B79521"/>
      <c r="C79521"/>
      <c r="E79521"/>
      <c r="F79521"/>
    </row>
    <row r="79522" spans="1:6" x14ac:dyDescent="0.25">
      <c r="A79522"/>
      <c r="B79522"/>
      <c r="C79522"/>
      <c r="E79522"/>
      <c r="F79522"/>
    </row>
    <row r="79523" spans="1:6" x14ac:dyDescent="0.25">
      <c r="A79523"/>
      <c r="B79523"/>
      <c r="C79523"/>
      <c r="E79523"/>
      <c r="F79523"/>
    </row>
    <row r="79524" spans="1:6" x14ac:dyDescent="0.25">
      <c r="A79524"/>
      <c r="B79524"/>
      <c r="C79524"/>
      <c r="E79524"/>
      <c r="F79524"/>
    </row>
    <row r="79525" spans="1:6" x14ac:dyDescent="0.25">
      <c r="A79525"/>
      <c r="B79525"/>
      <c r="C79525"/>
      <c r="E79525"/>
      <c r="F79525"/>
    </row>
    <row r="79526" spans="1:6" x14ac:dyDescent="0.25">
      <c r="A79526"/>
      <c r="B79526"/>
      <c r="C79526"/>
      <c r="E79526"/>
      <c r="F79526"/>
    </row>
    <row r="79527" spans="1:6" x14ac:dyDescent="0.25">
      <c r="A79527"/>
      <c r="B79527"/>
      <c r="C79527"/>
      <c r="E79527"/>
      <c r="F79527"/>
    </row>
    <row r="79528" spans="1:6" x14ac:dyDescent="0.25">
      <c r="A79528"/>
      <c r="B79528"/>
      <c r="C79528"/>
      <c r="E79528"/>
      <c r="F79528"/>
    </row>
    <row r="79529" spans="1:6" x14ac:dyDescent="0.25">
      <c r="A79529"/>
      <c r="B79529"/>
      <c r="C79529"/>
      <c r="E79529"/>
      <c r="F79529"/>
    </row>
    <row r="79530" spans="1:6" x14ac:dyDescent="0.25">
      <c r="A79530"/>
      <c r="B79530"/>
      <c r="C79530"/>
      <c r="E79530"/>
      <c r="F79530"/>
    </row>
    <row r="79531" spans="1:6" x14ac:dyDescent="0.25">
      <c r="A79531"/>
      <c r="B79531"/>
      <c r="C79531"/>
      <c r="E79531"/>
      <c r="F79531"/>
    </row>
    <row r="79532" spans="1:6" x14ac:dyDescent="0.25">
      <c r="A79532"/>
      <c r="B79532"/>
      <c r="C79532"/>
      <c r="E79532"/>
      <c r="F79532"/>
    </row>
    <row r="79533" spans="1:6" x14ac:dyDescent="0.25">
      <c r="A79533"/>
      <c r="B79533"/>
      <c r="C79533"/>
      <c r="E79533"/>
      <c r="F79533"/>
    </row>
    <row r="79534" spans="1:6" x14ac:dyDescent="0.25">
      <c r="A79534"/>
      <c r="B79534"/>
      <c r="C79534"/>
      <c r="E79534"/>
      <c r="F79534"/>
    </row>
    <row r="79535" spans="1:6" x14ac:dyDescent="0.25">
      <c r="A79535"/>
      <c r="B79535"/>
      <c r="C79535"/>
      <c r="E79535"/>
      <c r="F79535"/>
    </row>
    <row r="79536" spans="1:6" x14ac:dyDescent="0.25">
      <c r="A79536"/>
      <c r="B79536"/>
      <c r="C79536"/>
      <c r="E79536"/>
      <c r="F79536"/>
    </row>
    <row r="79537" spans="1:6" x14ac:dyDescent="0.25">
      <c r="A79537"/>
      <c r="B79537"/>
      <c r="C79537"/>
      <c r="E79537"/>
      <c r="F79537"/>
    </row>
    <row r="79538" spans="1:6" x14ac:dyDescent="0.25">
      <c r="A79538"/>
      <c r="B79538"/>
      <c r="C79538"/>
      <c r="E79538"/>
      <c r="F79538"/>
    </row>
    <row r="79539" spans="1:6" x14ac:dyDescent="0.25">
      <c r="A79539"/>
      <c r="B79539"/>
      <c r="C79539"/>
      <c r="E79539"/>
      <c r="F79539"/>
    </row>
    <row r="79540" spans="1:6" x14ac:dyDescent="0.25">
      <c r="A79540"/>
      <c r="B79540"/>
      <c r="C79540"/>
      <c r="E79540"/>
      <c r="F79540"/>
    </row>
    <row r="79541" spans="1:6" x14ac:dyDescent="0.25">
      <c r="A79541"/>
      <c r="B79541"/>
      <c r="C79541"/>
      <c r="E79541"/>
      <c r="F79541"/>
    </row>
    <row r="79542" spans="1:6" x14ac:dyDescent="0.25">
      <c r="A79542"/>
      <c r="B79542"/>
      <c r="C79542"/>
      <c r="E79542"/>
      <c r="F79542"/>
    </row>
    <row r="79543" spans="1:6" x14ac:dyDescent="0.25">
      <c r="A79543"/>
      <c r="B79543"/>
      <c r="C79543"/>
      <c r="E79543"/>
      <c r="F79543"/>
    </row>
    <row r="79544" spans="1:6" x14ac:dyDescent="0.25">
      <c r="A79544"/>
      <c r="B79544"/>
      <c r="C79544"/>
      <c r="E79544"/>
      <c r="F79544"/>
    </row>
    <row r="79545" spans="1:6" x14ac:dyDescent="0.25">
      <c r="A79545"/>
      <c r="B79545"/>
      <c r="C79545"/>
      <c r="E79545"/>
      <c r="F79545"/>
    </row>
    <row r="79546" spans="1:6" x14ac:dyDescent="0.25">
      <c r="A79546"/>
      <c r="B79546"/>
      <c r="C79546"/>
      <c r="E79546"/>
      <c r="F79546"/>
    </row>
    <row r="79547" spans="1:6" x14ac:dyDescent="0.25">
      <c r="A79547"/>
      <c r="B79547"/>
      <c r="C79547"/>
      <c r="E79547"/>
      <c r="F79547"/>
    </row>
    <row r="79548" spans="1:6" x14ac:dyDescent="0.25">
      <c r="A79548"/>
      <c r="B79548"/>
      <c r="C79548"/>
      <c r="E79548"/>
      <c r="F79548"/>
    </row>
    <row r="79549" spans="1:6" x14ac:dyDescent="0.25">
      <c r="A79549"/>
      <c r="B79549"/>
      <c r="C79549"/>
      <c r="E79549"/>
      <c r="F79549"/>
    </row>
    <row r="79550" spans="1:6" x14ac:dyDescent="0.25">
      <c r="A79550"/>
      <c r="B79550"/>
      <c r="C79550"/>
      <c r="E79550"/>
      <c r="F79550"/>
    </row>
    <row r="79551" spans="1:6" x14ac:dyDescent="0.25">
      <c r="A79551"/>
      <c r="B79551"/>
      <c r="C79551"/>
      <c r="E79551"/>
      <c r="F79551"/>
    </row>
    <row r="79552" spans="1:6" x14ac:dyDescent="0.25">
      <c r="A79552"/>
      <c r="B79552"/>
      <c r="C79552"/>
      <c r="E79552"/>
      <c r="F79552"/>
    </row>
    <row r="79553" spans="1:6" x14ac:dyDescent="0.25">
      <c r="A79553"/>
      <c r="B79553"/>
      <c r="C79553"/>
      <c r="E79553"/>
      <c r="F79553"/>
    </row>
    <row r="79554" spans="1:6" x14ac:dyDescent="0.25">
      <c r="A79554"/>
      <c r="B79554"/>
      <c r="C79554"/>
      <c r="E79554"/>
      <c r="F79554"/>
    </row>
    <row r="79555" spans="1:6" x14ac:dyDescent="0.25">
      <c r="A79555"/>
      <c r="B79555"/>
      <c r="C79555"/>
      <c r="E79555"/>
      <c r="F79555"/>
    </row>
    <row r="79556" spans="1:6" x14ac:dyDescent="0.25">
      <c r="A79556"/>
      <c r="B79556"/>
      <c r="C79556"/>
      <c r="E79556"/>
      <c r="F79556"/>
    </row>
    <row r="79557" spans="1:6" x14ac:dyDescent="0.25">
      <c r="A79557"/>
      <c r="B79557"/>
      <c r="C79557"/>
      <c r="E79557"/>
      <c r="F79557"/>
    </row>
    <row r="79558" spans="1:6" x14ac:dyDescent="0.25">
      <c r="A79558"/>
      <c r="B79558"/>
      <c r="C79558"/>
      <c r="E79558"/>
      <c r="F79558"/>
    </row>
    <row r="79559" spans="1:6" x14ac:dyDescent="0.25">
      <c r="A79559"/>
      <c r="B79559"/>
      <c r="C79559"/>
      <c r="E79559"/>
      <c r="F79559"/>
    </row>
    <row r="79560" spans="1:6" x14ac:dyDescent="0.25">
      <c r="A79560"/>
      <c r="B79560"/>
      <c r="C79560"/>
      <c r="E79560"/>
      <c r="F79560"/>
    </row>
    <row r="79561" spans="1:6" x14ac:dyDescent="0.25">
      <c r="A79561"/>
      <c r="B79561"/>
      <c r="C79561"/>
      <c r="E79561"/>
      <c r="F79561"/>
    </row>
    <row r="79562" spans="1:6" x14ac:dyDescent="0.25">
      <c r="A79562"/>
      <c r="B79562"/>
      <c r="C79562"/>
      <c r="E79562"/>
      <c r="F79562"/>
    </row>
    <row r="79563" spans="1:6" x14ac:dyDescent="0.25">
      <c r="A79563"/>
      <c r="B79563"/>
      <c r="C79563"/>
      <c r="E79563"/>
      <c r="F79563"/>
    </row>
    <row r="79564" spans="1:6" x14ac:dyDescent="0.25">
      <c r="A79564"/>
      <c r="B79564"/>
      <c r="C79564"/>
      <c r="E79564"/>
      <c r="F79564"/>
    </row>
    <row r="79565" spans="1:6" x14ac:dyDescent="0.25">
      <c r="A79565"/>
      <c r="B79565"/>
      <c r="C79565"/>
      <c r="E79565"/>
      <c r="F79565"/>
    </row>
    <row r="79566" spans="1:6" x14ac:dyDescent="0.25">
      <c r="A79566"/>
      <c r="B79566"/>
      <c r="C79566"/>
      <c r="E79566"/>
      <c r="F79566"/>
    </row>
    <row r="79567" spans="1:6" x14ac:dyDescent="0.25">
      <c r="A79567"/>
      <c r="B79567"/>
      <c r="C79567"/>
      <c r="E79567"/>
      <c r="F79567"/>
    </row>
    <row r="79568" spans="1:6" x14ac:dyDescent="0.25">
      <c r="A79568"/>
      <c r="B79568"/>
      <c r="C79568"/>
      <c r="E79568"/>
      <c r="F79568"/>
    </row>
    <row r="79569" spans="1:6" x14ac:dyDescent="0.25">
      <c r="A79569"/>
      <c r="B79569"/>
      <c r="C79569"/>
      <c r="E79569"/>
      <c r="F79569"/>
    </row>
    <row r="79570" spans="1:6" x14ac:dyDescent="0.25">
      <c r="A79570"/>
      <c r="B79570"/>
      <c r="C79570"/>
      <c r="E79570"/>
      <c r="F79570"/>
    </row>
    <row r="79571" spans="1:6" x14ac:dyDescent="0.25">
      <c r="A79571"/>
      <c r="B79571"/>
      <c r="C79571"/>
      <c r="E79571"/>
      <c r="F79571"/>
    </row>
    <row r="79572" spans="1:6" x14ac:dyDescent="0.25">
      <c r="A79572"/>
      <c r="B79572"/>
      <c r="C79572"/>
      <c r="E79572"/>
      <c r="F79572"/>
    </row>
    <row r="79573" spans="1:6" x14ac:dyDescent="0.25">
      <c r="A79573"/>
      <c r="B79573"/>
      <c r="C79573"/>
      <c r="E79573"/>
      <c r="F79573"/>
    </row>
    <row r="79574" spans="1:6" x14ac:dyDescent="0.25">
      <c r="A79574"/>
      <c r="B79574"/>
      <c r="C79574"/>
      <c r="E79574"/>
      <c r="F79574"/>
    </row>
    <row r="79575" spans="1:6" x14ac:dyDescent="0.25">
      <c r="A79575"/>
      <c r="B79575"/>
      <c r="C79575"/>
      <c r="E79575"/>
      <c r="F79575"/>
    </row>
    <row r="79576" spans="1:6" x14ac:dyDescent="0.25">
      <c r="A79576"/>
      <c r="B79576"/>
      <c r="C79576"/>
      <c r="E79576"/>
      <c r="F79576"/>
    </row>
    <row r="79577" spans="1:6" x14ac:dyDescent="0.25">
      <c r="A79577"/>
      <c r="B79577"/>
      <c r="C79577"/>
      <c r="E79577"/>
      <c r="F79577"/>
    </row>
    <row r="79578" spans="1:6" x14ac:dyDescent="0.25">
      <c r="A79578"/>
      <c r="B79578"/>
      <c r="C79578"/>
      <c r="E79578"/>
      <c r="F79578"/>
    </row>
    <row r="79579" spans="1:6" x14ac:dyDescent="0.25">
      <c r="A79579"/>
      <c r="B79579"/>
      <c r="C79579"/>
      <c r="E79579"/>
      <c r="F79579"/>
    </row>
    <row r="79580" spans="1:6" x14ac:dyDescent="0.25">
      <c r="A79580"/>
      <c r="B79580"/>
      <c r="C79580"/>
      <c r="E79580"/>
      <c r="F79580"/>
    </row>
    <row r="79581" spans="1:6" x14ac:dyDescent="0.25">
      <c r="A79581"/>
      <c r="B79581"/>
      <c r="C79581"/>
      <c r="E79581"/>
      <c r="F79581"/>
    </row>
    <row r="79582" spans="1:6" x14ac:dyDescent="0.25">
      <c r="A79582"/>
      <c r="B79582"/>
      <c r="C79582"/>
      <c r="E79582"/>
      <c r="F79582"/>
    </row>
    <row r="79583" spans="1:6" x14ac:dyDescent="0.25">
      <c r="A79583"/>
      <c r="B79583"/>
      <c r="C79583"/>
      <c r="E79583"/>
      <c r="F79583"/>
    </row>
    <row r="79584" spans="1:6" x14ac:dyDescent="0.25">
      <c r="A79584"/>
      <c r="B79584"/>
      <c r="C79584"/>
      <c r="E79584"/>
      <c r="F79584"/>
    </row>
    <row r="79585" spans="1:6" x14ac:dyDescent="0.25">
      <c r="A79585"/>
      <c r="B79585"/>
      <c r="C79585"/>
      <c r="E79585"/>
      <c r="F79585"/>
    </row>
    <row r="79586" spans="1:6" x14ac:dyDescent="0.25">
      <c r="A79586"/>
      <c r="B79586"/>
      <c r="C79586"/>
      <c r="E79586"/>
      <c r="F79586"/>
    </row>
    <row r="79587" spans="1:6" x14ac:dyDescent="0.25">
      <c r="A79587"/>
      <c r="B79587"/>
      <c r="C79587"/>
      <c r="E79587"/>
      <c r="F79587"/>
    </row>
    <row r="79588" spans="1:6" x14ac:dyDescent="0.25">
      <c r="A79588"/>
      <c r="B79588"/>
      <c r="C79588"/>
      <c r="E79588"/>
      <c r="F79588"/>
    </row>
    <row r="79589" spans="1:6" x14ac:dyDescent="0.25">
      <c r="A79589"/>
      <c r="B79589"/>
      <c r="C79589"/>
      <c r="E79589"/>
      <c r="F79589"/>
    </row>
    <row r="79590" spans="1:6" x14ac:dyDescent="0.25">
      <c r="A79590"/>
      <c r="B79590"/>
      <c r="C79590"/>
      <c r="E79590"/>
      <c r="F79590"/>
    </row>
    <row r="79591" spans="1:6" x14ac:dyDescent="0.25">
      <c r="A79591"/>
      <c r="B79591"/>
      <c r="C79591"/>
      <c r="E79591"/>
      <c r="F79591"/>
    </row>
    <row r="79592" spans="1:6" x14ac:dyDescent="0.25">
      <c r="A79592"/>
      <c r="B79592"/>
      <c r="C79592"/>
      <c r="E79592"/>
      <c r="F79592"/>
    </row>
    <row r="79593" spans="1:6" x14ac:dyDescent="0.25">
      <c r="A79593"/>
      <c r="B79593"/>
      <c r="C79593"/>
      <c r="E79593"/>
      <c r="F79593"/>
    </row>
    <row r="79594" spans="1:6" x14ac:dyDescent="0.25">
      <c r="A79594"/>
      <c r="B79594"/>
      <c r="C79594"/>
      <c r="E79594"/>
      <c r="F79594"/>
    </row>
    <row r="79595" spans="1:6" x14ac:dyDescent="0.25">
      <c r="A79595"/>
      <c r="B79595"/>
      <c r="C79595"/>
      <c r="E79595"/>
      <c r="F79595"/>
    </row>
    <row r="79596" spans="1:6" x14ac:dyDescent="0.25">
      <c r="A79596"/>
      <c r="B79596"/>
      <c r="C79596"/>
      <c r="E79596"/>
      <c r="F79596"/>
    </row>
    <row r="79597" spans="1:6" x14ac:dyDescent="0.25">
      <c r="A79597"/>
      <c r="B79597"/>
      <c r="C79597"/>
      <c r="E79597"/>
      <c r="F79597"/>
    </row>
    <row r="79598" spans="1:6" x14ac:dyDescent="0.25">
      <c r="A79598"/>
      <c r="B79598"/>
      <c r="C79598"/>
      <c r="E79598"/>
      <c r="F79598"/>
    </row>
    <row r="79599" spans="1:6" x14ac:dyDescent="0.25">
      <c r="A79599"/>
      <c r="B79599"/>
      <c r="C79599"/>
      <c r="E79599"/>
      <c r="F79599"/>
    </row>
    <row r="79600" spans="1:6" x14ac:dyDescent="0.25">
      <c r="A79600"/>
      <c r="B79600"/>
      <c r="C79600"/>
      <c r="E79600"/>
      <c r="F79600"/>
    </row>
    <row r="79601" spans="1:6" x14ac:dyDescent="0.25">
      <c r="A79601"/>
      <c r="B79601"/>
      <c r="C79601"/>
      <c r="E79601"/>
      <c r="F79601"/>
    </row>
    <row r="79602" spans="1:6" x14ac:dyDescent="0.25">
      <c r="A79602"/>
      <c r="B79602"/>
      <c r="C79602"/>
      <c r="E79602"/>
      <c r="F79602"/>
    </row>
    <row r="79603" spans="1:6" x14ac:dyDescent="0.25">
      <c r="A79603"/>
      <c r="B79603"/>
      <c r="C79603"/>
      <c r="E79603"/>
      <c r="F79603"/>
    </row>
    <row r="79604" spans="1:6" x14ac:dyDescent="0.25">
      <c r="A79604"/>
      <c r="B79604"/>
      <c r="C79604"/>
      <c r="E79604"/>
      <c r="F79604"/>
    </row>
    <row r="79605" spans="1:6" x14ac:dyDescent="0.25">
      <c r="A79605"/>
      <c r="B79605"/>
      <c r="C79605"/>
      <c r="E79605"/>
      <c r="F79605"/>
    </row>
    <row r="79606" spans="1:6" x14ac:dyDescent="0.25">
      <c r="A79606"/>
      <c r="B79606"/>
      <c r="C79606"/>
      <c r="E79606"/>
      <c r="F79606"/>
    </row>
    <row r="79607" spans="1:6" x14ac:dyDescent="0.25">
      <c r="A79607"/>
      <c r="B79607"/>
      <c r="C79607"/>
      <c r="E79607"/>
      <c r="F79607"/>
    </row>
    <row r="79608" spans="1:6" x14ac:dyDescent="0.25">
      <c r="A79608"/>
      <c r="B79608"/>
      <c r="C79608"/>
      <c r="E79608"/>
      <c r="F79608"/>
    </row>
    <row r="79609" spans="1:6" x14ac:dyDescent="0.25">
      <c r="A79609"/>
      <c r="B79609"/>
      <c r="C79609"/>
      <c r="E79609"/>
      <c r="F79609"/>
    </row>
    <row r="79610" spans="1:6" x14ac:dyDescent="0.25">
      <c r="A79610"/>
      <c r="B79610"/>
      <c r="C79610"/>
      <c r="E79610"/>
      <c r="F79610"/>
    </row>
    <row r="79611" spans="1:6" x14ac:dyDescent="0.25">
      <c r="A79611"/>
      <c r="B79611"/>
      <c r="C79611"/>
      <c r="E79611"/>
      <c r="F79611"/>
    </row>
    <row r="79612" spans="1:6" x14ac:dyDescent="0.25">
      <c r="A79612"/>
      <c r="B79612"/>
      <c r="C79612"/>
      <c r="E79612"/>
      <c r="F79612"/>
    </row>
    <row r="79613" spans="1:6" x14ac:dyDescent="0.25">
      <c r="A79613"/>
      <c r="B79613"/>
      <c r="C79613"/>
      <c r="E79613"/>
      <c r="F79613"/>
    </row>
    <row r="79614" spans="1:6" x14ac:dyDescent="0.25">
      <c r="A79614"/>
      <c r="B79614"/>
      <c r="C79614"/>
      <c r="E79614"/>
      <c r="F79614"/>
    </row>
    <row r="79615" spans="1:6" x14ac:dyDescent="0.25">
      <c r="A79615"/>
      <c r="B79615"/>
      <c r="C79615"/>
      <c r="E79615"/>
      <c r="F79615"/>
    </row>
    <row r="79616" spans="1:6" x14ac:dyDescent="0.25">
      <c r="A79616"/>
      <c r="B79616"/>
      <c r="C79616"/>
      <c r="E79616"/>
      <c r="F79616"/>
    </row>
    <row r="79617" spans="1:6" x14ac:dyDescent="0.25">
      <c r="A79617"/>
      <c r="B79617"/>
      <c r="C79617"/>
      <c r="E79617"/>
      <c r="F79617"/>
    </row>
    <row r="79618" spans="1:6" x14ac:dyDescent="0.25">
      <c r="A79618"/>
      <c r="B79618"/>
      <c r="C79618"/>
      <c r="E79618"/>
      <c r="F79618"/>
    </row>
    <row r="79619" spans="1:6" x14ac:dyDescent="0.25">
      <c r="A79619"/>
      <c r="B79619"/>
      <c r="C79619"/>
      <c r="E79619"/>
      <c r="F79619"/>
    </row>
    <row r="79620" spans="1:6" x14ac:dyDescent="0.25">
      <c r="A79620"/>
      <c r="B79620"/>
      <c r="C79620"/>
      <c r="E79620"/>
      <c r="F79620"/>
    </row>
    <row r="79621" spans="1:6" x14ac:dyDescent="0.25">
      <c r="A79621"/>
      <c r="B79621"/>
      <c r="C79621"/>
      <c r="E79621"/>
      <c r="F79621"/>
    </row>
    <row r="79622" spans="1:6" x14ac:dyDescent="0.25">
      <c r="A79622"/>
      <c r="B79622"/>
      <c r="C79622"/>
      <c r="E79622"/>
      <c r="F79622"/>
    </row>
    <row r="79623" spans="1:6" x14ac:dyDescent="0.25">
      <c r="A79623"/>
      <c r="B79623"/>
      <c r="C79623"/>
      <c r="E79623"/>
      <c r="F79623"/>
    </row>
    <row r="79624" spans="1:6" x14ac:dyDescent="0.25">
      <c r="A79624"/>
      <c r="B79624"/>
      <c r="C79624"/>
      <c r="E79624"/>
      <c r="F79624"/>
    </row>
    <row r="79625" spans="1:6" x14ac:dyDescent="0.25">
      <c r="A79625"/>
      <c r="B79625"/>
      <c r="C79625"/>
      <c r="E79625"/>
      <c r="F79625"/>
    </row>
    <row r="79626" spans="1:6" x14ac:dyDescent="0.25">
      <c r="A79626"/>
      <c r="B79626"/>
      <c r="C79626"/>
      <c r="E79626"/>
      <c r="F79626"/>
    </row>
    <row r="79627" spans="1:6" x14ac:dyDescent="0.25">
      <c r="A79627"/>
      <c r="B79627"/>
      <c r="C79627"/>
      <c r="E79627"/>
      <c r="F79627"/>
    </row>
    <row r="79628" spans="1:6" x14ac:dyDescent="0.25">
      <c r="A79628"/>
      <c r="B79628"/>
      <c r="C79628"/>
      <c r="E79628"/>
      <c r="F79628"/>
    </row>
    <row r="79629" spans="1:6" x14ac:dyDescent="0.25">
      <c r="A79629"/>
      <c r="B79629"/>
      <c r="C79629"/>
      <c r="E79629"/>
      <c r="F79629"/>
    </row>
    <row r="79630" spans="1:6" x14ac:dyDescent="0.25">
      <c r="A79630"/>
      <c r="B79630"/>
      <c r="C79630"/>
      <c r="E79630"/>
      <c r="F79630"/>
    </row>
    <row r="79631" spans="1:6" x14ac:dyDescent="0.25">
      <c r="A79631"/>
      <c r="B79631"/>
      <c r="C79631"/>
      <c r="E79631"/>
      <c r="F79631"/>
    </row>
    <row r="79632" spans="1:6" x14ac:dyDescent="0.25">
      <c r="A79632"/>
      <c r="B79632"/>
      <c r="C79632"/>
      <c r="E79632"/>
      <c r="F79632"/>
    </row>
    <row r="79633" spans="1:6" x14ac:dyDescent="0.25">
      <c r="A79633"/>
      <c r="B79633"/>
      <c r="C79633"/>
      <c r="E79633"/>
      <c r="F79633"/>
    </row>
    <row r="79634" spans="1:6" x14ac:dyDescent="0.25">
      <c r="A79634"/>
      <c r="B79634"/>
      <c r="C79634"/>
      <c r="E79634"/>
      <c r="F79634"/>
    </row>
    <row r="79635" spans="1:6" x14ac:dyDescent="0.25">
      <c r="A79635"/>
      <c r="B79635"/>
      <c r="C79635"/>
      <c r="E79635"/>
      <c r="F79635"/>
    </row>
    <row r="79636" spans="1:6" x14ac:dyDescent="0.25">
      <c r="A79636"/>
      <c r="B79636"/>
      <c r="C79636"/>
      <c r="E79636"/>
      <c r="F79636"/>
    </row>
    <row r="79637" spans="1:6" x14ac:dyDescent="0.25">
      <c r="A79637"/>
      <c r="B79637"/>
      <c r="C79637"/>
      <c r="E79637"/>
      <c r="F79637"/>
    </row>
    <row r="79638" spans="1:6" x14ac:dyDescent="0.25">
      <c r="A79638"/>
      <c r="B79638"/>
      <c r="C79638"/>
      <c r="E79638"/>
      <c r="F79638"/>
    </row>
    <row r="79639" spans="1:6" x14ac:dyDescent="0.25">
      <c r="A79639"/>
      <c r="B79639"/>
      <c r="C79639"/>
      <c r="E79639"/>
      <c r="F79639"/>
    </row>
    <row r="79640" spans="1:6" x14ac:dyDescent="0.25">
      <c r="A79640"/>
      <c r="B79640"/>
      <c r="C79640"/>
      <c r="E79640"/>
      <c r="F79640"/>
    </row>
    <row r="79641" spans="1:6" x14ac:dyDescent="0.25">
      <c r="A79641"/>
      <c r="B79641"/>
      <c r="C79641"/>
      <c r="E79641"/>
      <c r="F79641"/>
    </row>
    <row r="79642" spans="1:6" x14ac:dyDescent="0.25">
      <c r="A79642"/>
      <c r="B79642"/>
      <c r="C79642"/>
      <c r="E79642"/>
      <c r="F79642"/>
    </row>
    <row r="79643" spans="1:6" x14ac:dyDescent="0.25">
      <c r="A79643"/>
      <c r="B79643"/>
      <c r="C79643"/>
      <c r="E79643"/>
      <c r="F79643"/>
    </row>
    <row r="79644" spans="1:6" x14ac:dyDescent="0.25">
      <c r="A79644"/>
      <c r="B79644"/>
      <c r="C79644"/>
      <c r="E79644"/>
      <c r="F79644"/>
    </row>
    <row r="79645" spans="1:6" x14ac:dyDescent="0.25">
      <c r="A79645"/>
      <c r="B79645"/>
      <c r="C79645"/>
      <c r="E79645"/>
      <c r="F79645"/>
    </row>
    <row r="79646" spans="1:6" x14ac:dyDescent="0.25">
      <c r="A79646"/>
      <c r="B79646"/>
      <c r="C79646"/>
      <c r="E79646"/>
      <c r="F79646"/>
    </row>
    <row r="79647" spans="1:6" x14ac:dyDescent="0.25">
      <c r="A79647"/>
      <c r="B79647"/>
      <c r="C79647"/>
      <c r="E79647"/>
      <c r="F79647"/>
    </row>
    <row r="79648" spans="1:6" x14ac:dyDescent="0.25">
      <c r="A79648"/>
      <c r="B79648"/>
      <c r="C79648"/>
      <c r="E79648"/>
      <c r="F79648"/>
    </row>
    <row r="79649" spans="1:6" x14ac:dyDescent="0.25">
      <c r="A79649"/>
      <c r="B79649"/>
      <c r="C79649"/>
      <c r="E79649"/>
      <c r="F79649"/>
    </row>
    <row r="79650" spans="1:6" x14ac:dyDescent="0.25">
      <c r="A79650"/>
      <c r="B79650"/>
      <c r="C79650"/>
      <c r="E79650"/>
      <c r="F79650"/>
    </row>
    <row r="79651" spans="1:6" x14ac:dyDescent="0.25">
      <c r="A79651"/>
      <c r="B79651"/>
      <c r="C79651"/>
      <c r="E79651"/>
      <c r="F79651"/>
    </row>
    <row r="79652" spans="1:6" x14ac:dyDescent="0.25">
      <c r="A79652"/>
      <c r="B79652"/>
      <c r="C79652"/>
      <c r="E79652"/>
      <c r="F79652"/>
    </row>
    <row r="79653" spans="1:6" x14ac:dyDescent="0.25">
      <c r="A79653"/>
      <c r="B79653"/>
      <c r="C79653"/>
      <c r="E79653"/>
      <c r="F79653"/>
    </row>
    <row r="79654" spans="1:6" x14ac:dyDescent="0.25">
      <c r="A79654"/>
      <c r="B79654"/>
      <c r="C79654"/>
      <c r="E79654"/>
      <c r="F79654"/>
    </row>
    <row r="79655" spans="1:6" x14ac:dyDescent="0.25">
      <c r="A79655"/>
      <c r="B79655"/>
      <c r="C79655"/>
      <c r="E79655"/>
      <c r="F79655"/>
    </row>
    <row r="79656" spans="1:6" x14ac:dyDescent="0.25">
      <c r="A79656"/>
      <c r="B79656"/>
      <c r="C79656"/>
      <c r="E79656"/>
      <c r="F79656"/>
    </row>
    <row r="79657" spans="1:6" x14ac:dyDescent="0.25">
      <c r="A79657"/>
      <c r="B79657"/>
      <c r="C79657"/>
      <c r="E79657"/>
      <c r="F79657"/>
    </row>
    <row r="79658" spans="1:6" x14ac:dyDescent="0.25">
      <c r="A79658"/>
      <c r="B79658"/>
      <c r="C79658"/>
      <c r="E79658"/>
      <c r="F79658"/>
    </row>
    <row r="79659" spans="1:6" x14ac:dyDescent="0.25">
      <c r="A79659"/>
      <c r="B79659"/>
      <c r="C79659"/>
      <c r="E79659"/>
      <c r="F79659"/>
    </row>
    <row r="79660" spans="1:6" x14ac:dyDescent="0.25">
      <c r="A79660"/>
      <c r="B79660"/>
      <c r="C79660"/>
      <c r="E79660"/>
      <c r="F79660"/>
    </row>
    <row r="79661" spans="1:6" x14ac:dyDescent="0.25">
      <c r="A79661"/>
      <c r="B79661"/>
      <c r="C79661"/>
      <c r="E79661"/>
      <c r="F79661"/>
    </row>
    <row r="79662" spans="1:6" x14ac:dyDescent="0.25">
      <c r="A79662"/>
      <c r="B79662"/>
      <c r="C79662"/>
      <c r="E79662"/>
      <c r="F79662"/>
    </row>
    <row r="79663" spans="1:6" x14ac:dyDescent="0.25">
      <c r="A79663"/>
      <c r="B79663"/>
      <c r="C79663"/>
      <c r="E79663"/>
      <c r="F79663"/>
    </row>
    <row r="79664" spans="1:6" x14ac:dyDescent="0.25">
      <c r="A79664"/>
      <c r="B79664"/>
      <c r="C79664"/>
      <c r="E79664"/>
      <c r="F79664"/>
    </row>
    <row r="79665" spans="1:6" x14ac:dyDescent="0.25">
      <c r="A79665"/>
      <c r="B79665"/>
      <c r="C79665"/>
      <c r="E79665"/>
      <c r="F79665"/>
    </row>
    <row r="79666" spans="1:6" x14ac:dyDescent="0.25">
      <c r="A79666"/>
      <c r="B79666"/>
      <c r="C79666"/>
      <c r="E79666"/>
      <c r="F79666"/>
    </row>
    <row r="79667" spans="1:6" x14ac:dyDescent="0.25">
      <c r="A79667"/>
      <c r="B79667"/>
      <c r="C79667"/>
      <c r="E79667"/>
      <c r="F79667"/>
    </row>
    <row r="79668" spans="1:6" x14ac:dyDescent="0.25">
      <c r="A79668"/>
      <c r="B79668"/>
      <c r="C79668"/>
      <c r="E79668"/>
      <c r="F79668"/>
    </row>
    <row r="79669" spans="1:6" x14ac:dyDescent="0.25">
      <c r="A79669"/>
      <c r="B79669"/>
      <c r="C79669"/>
      <c r="E79669"/>
      <c r="F79669"/>
    </row>
    <row r="79670" spans="1:6" x14ac:dyDescent="0.25">
      <c r="A79670"/>
      <c r="B79670"/>
      <c r="C79670"/>
      <c r="E79670"/>
      <c r="F79670"/>
    </row>
    <row r="79671" spans="1:6" x14ac:dyDescent="0.25">
      <c r="A79671"/>
      <c r="B79671"/>
      <c r="C79671"/>
      <c r="E79671"/>
      <c r="F79671"/>
    </row>
    <row r="79672" spans="1:6" x14ac:dyDescent="0.25">
      <c r="A79672"/>
      <c r="B79672"/>
      <c r="C79672"/>
      <c r="E79672"/>
      <c r="F79672"/>
    </row>
    <row r="79673" spans="1:6" x14ac:dyDescent="0.25">
      <c r="A79673"/>
      <c r="B79673"/>
      <c r="C79673"/>
      <c r="E79673"/>
      <c r="F79673"/>
    </row>
    <row r="79674" spans="1:6" x14ac:dyDescent="0.25">
      <c r="A79674"/>
      <c r="B79674"/>
      <c r="C79674"/>
      <c r="E79674"/>
      <c r="F79674"/>
    </row>
    <row r="79675" spans="1:6" x14ac:dyDescent="0.25">
      <c r="A79675"/>
      <c r="B79675"/>
      <c r="C79675"/>
      <c r="E79675"/>
      <c r="F79675"/>
    </row>
    <row r="79676" spans="1:6" x14ac:dyDescent="0.25">
      <c r="A79676"/>
      <c r="B79676"/>
      <c r="C79676"/>
      <c r="E79676"/>
      <c r="F79676"/>
    </row>
    <row r="79677" spans="1:6" x14ac:dyDescent="0.25">
      <c r="A79677"/>
      <c r="B79677"/>
      <c r="C79677"/>
      <c r="E79677"/>
      <c r="F79677"/>
    </row>
    <row r="79678" spans="1:6" x14ac:dyDescent="0.25">
      <c r="A79678"/>
      <c r="B79678"/>
      <c r="C79678"/>
      <c r="E79678"/>
      <c r="F79678"/>
    </row>
    <row r="79679" spans="1:6" x14ac:dyDescent="0.25">
      <c r="A79679"/>
      <c r="B79679"/>
      <c r="C79679"/>
      <c r="E79679"/>
      <c r="F79679"/>
    </row>
    <row r="79680" spans="1:6" x14ac:dyDescent="0.25">
      <c r="A79680"/>
      <c r="B79680"/>
      <c r="C79680"/>
      <c r="E79680"/>
      <c r="F79680"/>
    </row>
    <row r="79681" spans="1:6" x14ac:dyDescent="0.25">
      <c r="A79681"/>
      <c r="B79681"/>
      <c r="C79681"/>
      <c r="E79681"/>
      <c r="F79681"/>
    </row>
    <row r="79682" spans="1:6" x14ac:dyDescent="0.25">
      <c r="A79682"/>
      <c r="B79682"/>
      <c r="C79682"/>
      <c r="E79682"/>
      <c r="F79682"/>
    </row>
    <row r="79683" spans="1:6" x14ac:dyDescent="0.25">
      <c r="A79683"/>
      <c r="B79683"/>
      <c r="C79683"/>
      <c r="E79683"/>
      <c r="F79683"/>
    </row>
    <row r="79684" spans="1:6" x14ac:dyDescent="0.25">
      <c r="A79684"/>
      <c r="B79684"/>
      <c r="C79684"/>
      <c r="E79684"/>
      <c r="F79684"/>
    </row>
    <row r="79685" spans="1:6" x14ac:dyDescent="0.25">
      <c r="A79685"/>
      <c r="B79685"/>
      <c r="C79685"/>
      <c r="E79685"/>
      <c r="F79685"/>
    </row>
    <row r="79686" spans="1:6" x14ac:dyDescent="0.25">
      <c r="A79686"/>
      <c r="B79686"/>
      <c r="C79686"/>
      <c r="E79686"/>
      <c r="F79686"/>
    </row>
    <row r="79687" spans="1:6" x14ac:dyDescent="0.25">
      <c r="A79687"/>
      <c r="B79687"/>
      <c r="C79687"/>
      <c r="E79687"/>
      <c r="F79687"/>
    </row>
    <row r="79688" spans="1:6" x14ac:dyDescent="0.25">
      <c r="A79688"/>
      <c r="B79688"/>
      <c r="C79688"/>
      <c r="E79688"/>
      <c r="F79688"/>
    </row>
    <row r="79689" spans="1:6" x14ac:dyDescent="0.25">
      <c r="A79689"/>
      <c r="B79689"/>
      <c r="C79689"/>
      <c r="E79689"/>
      <c r="F79689"/>
    </row>
    <row r="79690" spans="1:6" x14ac:dyDescent="0.25">
      <c r="A79690"/>
      <c r="B79690"/>
      <c r="C79690"/>
      <c r="E79690"/>
      <c r="F79690"/>
    </row>
    <row r="79691" spans="1:6" x14ac:dyDescent="0.25">
      <c r="A79691"/>
      <c r="B79691"/>
      <c r="C79691"/>
      <c r="E79691"/>
      <c r="F79691"/>
    </row>
    <row r="79692" spans="1:6" x14ac:dyDescent="0.25">
      <c r="A79692"/>
      <c r="B79692"/>
      <c r="C79692"/>
      <c r="E79692"/>
      <c r="F79692"/>
    </row>
    <row r="79693" spans="1:6" x14ac:dyDescent="0.25">
      <c r="A79693"/>
      <c r="B79693"/>
      <c r="C79693"/>
      <c r="E79693"/>
      <c r="F79693"/>
    </row>
    <row r="79694" spans="1:6" x14ac:dyDescent="0.25">
      <c r="A79694"/>
      <c r="B79694"/>
      <c r="C79694"/>
      <c r="E79694"/>
      <c r="F79694"/>
    </row>
    <row r="79695" spans="1:6" x14ac:dyDescent="0.25">
      <c r="A79695"/>
      <c r="B79695"/>
      <c r="C79695"/>
      <c r="E79695"/>
      <c r="F79695"/>
    </row>
    <row r="79696" spans="1:6" x14ac:dyDescent="0.25">
      <c r="A79696"/>
      <c r="B79696"/>
      <c r="C79696"/>
      <c r="E79696"/>
      <c r="F79696"/>
    </row>
    <row r="79697" spans="1:6" x14ac:dyDescent="0.25">
      <c r="A79697"/>
      <c r="B79697"/>
      <c r="C79697"/>
      <c r="E79697"/>
      <c r="F79697"/>
    </row>
    <row r="79698" spans="1:6" x14ac:dyDescent="0.25">
      <c r="A79698"/>
      <c r="B79698"/>
      <c r="C79698"/>
      <c r="E79698"/>
      <c r="F79698"/>
    </row>
    <row r="79699" spans="1:6" x14ac:dyDescent="0.25">
      <c r="A79699"/>
      <c r="B79699"/>
      <c r="C79699"/>
      <c r="E79699"/>
      <c r="F79699"/>
    </row>
    <row r="79700" spans="1:6" x14ac:dyDescent="0.25">
      <c r="A79700"/>
      <c r="B79700"/>
      <c r="C79700"/>
      <c r="E79700"/>
      <c r="F79700"/>
    </row>
    <row r="79701" spans="1:6" x14ac:dyDescent="0.25">
      <c r="A79701"/>
      <c r="B79701"/>
      <c r="C79701"/>
      <c r="E79701"/>
      <c r="F79701"/>
    </row>
    <row r="79702" spans="1:6" x14ac:dyDescent="0.25">
      <c r="A79702"/>
      <c r="B79702"/>
      <c r="C79702"/>
      <c r="E79702"/>
      <c r="F79702"/>
    </row>
    <row r="79703" spans="1:6" x14ac:dyDescent="0.25">
      <c r="A79703"/>
      <c r="B79703"/>
      <c r="C79703"/>
      <c r="E79703"/>
      <c r="F79703"/>
    </row>
    <row r="79704" spans="1:6" x14ac:dyDescent="0.25">
      <c r="A79704"/>
      <c r="B79704"/>
      <c r="C79704"/>
      <c r="E79704"/>
      <c r="F79704"/>
    </row>
    <row r="79705" spans="1:6" x14ac:dyDescent="0.25">
      <c r="A79705"/>
      <c r="B79705"/>
      <c r="C79705"/>
      <c r="E79705"/>
      <c r="F79705"/>
    </row>
    <row r="79706" spans="1:6" x14ac:dyDescent="0.25">
      <c r="A79706"/>
      <c r="B79706"/>
      <c r="C79706"/>
      <c r="E79706"/>
      <c r="F79706"/>
    </row>
    <row r="79707" spans="1:6" x14ac:dyDescent="0.25">
      <c r="A79707"/>
      <c r="B79707"/>
      <c r="C79707"/>
      <c r="E79707"/>
      <c r="F79707"/>
    </row>
    <row r="79708" spans="1:6" x14ac:dyDescent="0.25">
      <c r="A79708"/>
      <c r="B79708"/>
      <c r="C79708"/>
      <c r="E79708"/>
      <c r="F79708"/>
    </row>
    <row r="79709" spans="1:6" x14ac:dyDescent="0.25">
      <c r="A79709"/>
      <c r="B79709"/>
      <c r="C79709"/>
      <c r="E79709"/>
      <c r="F79709"/>
    </row>
    <row r="79710" spans="1:6" x14ac:dyDescent="0.25">
      <c r="A79710"/>
      <c r="B79710"/>
      <c r="C79710"/>
      <c r="E79710"/>
      <c r="F79710"/>
    </row>
    <row r="79711" spans="1:6" x14ac:dyDescent="0.25">
      <c r="A79711"/>
      <c r="B79711"/>
      <c r="C79711"/>
      <c r="E79711"/>
      <c r="F79711"/>
    </row>
    <row r="79712" spans="1:6" x14ac:dyDescent="0.25">
      <c r="A79712"/>
      <c r="B79712"/>
      <c r="C79712"/>
      <c r="E79712"/>
      <c r="F79712"/>
    </row>
    <row r="79713" spans="1:6" x14ac:dyDescent="0.25">
      <c r="A79713"/>
      <c r="B79713"/>
      <c r="C79713"/>
      <c r="E79713"/>
      <c r="F79713"/>
    </row>
    <row r="79714" spans="1:6" x14ac:dyDescent="0.25">
      <c r="A79714"/>
      <c r="B79714"/>
      <c r="C79714"/>
      <c r="E79714"/>
      <c r="F79714"/>
    </row>
    <row r="79715" spans="1:6" x14ac:dyDescent="0.25">
      <c r="A79715"/>
      <c r="B79715"/>
      <c r="C79715"/>
      <c r="E79715"/>
      <c r="F79715"/>
    </row>
    <row r="79716" spans="1:6" x14ac:dyDescent="0.25">
      <c r="A79716"/>
      <c r="B79716"/>
      <c r="C79716"/>
      <c r="E79716"/>
      <c r="F79716"/>
    </row>
    <row r="79717" spans="1:6" x14ac:dyDescent="0.25">
      <c r="A79717"/>
      <c r="B79717"/>
      <c r="C79717"/>
      <c r="E79717"/>
      <c r="F79717"/>
    </row>
    <row r="79718" spans="1:6" x14ac:dyDescent="0.25">
      <c r="A79718"/>
      <c r="B79718"/>
      <c r="C79718"/>
      <c r="E79718"/>
      <c r="F79718"/>
    </row>
    <row r="79719" spans="1:6" x14ac:dyDescent="0.25">
      <c r="A79719"/>
      <c r="B79719"/>
      <c r="C79719"/>
      <c r="E79719"/>
      <c r="F79719"/>
    </row>
    <row r="79720" spans="1:6" x14ac:dyDescent="0.25">
      <c r="A79720"/>
      <c r="B79720"/>
      <c r="C79720"/>
      <c r="E79720"/>
      <c r="F79720"/>
    </row>
    <row r="79721" spans="1:6" x14ac:dyDescent="0.25">
      <c r="A79721"/>
      <c r="B79721"/>
      <c r="C79721"/>
      <c r="E79721"/>
      <c r="F79721"/>
    </row>
    <row r="79722" spans="1:6" x14ac:dyDescent="0.25">
      <c r="A79722"/>
      <c r="B79722"/>
      <c r="C79722"/>
      <c r="E79722"/>
      <c r="F79722"/>
    </row>
    <row r="79723" spans="1:6" x14ac:dyDescent="0.25">
      <c r="A79723"/>
      <c r="B79723"/>
      <c r="C79723"/>
      <c r="E79723"/>
      <c r="F79723"/>
    </row>
    <row r="79724" spans="1:6" x14ac:dyDescent="0.25">
      <c r="A79724"/>
      <c r="B79724"/>
      <c r="C79724"/>
      <c r="E79724"/>
      <c r="F79724"/>
    </row>
    <row r="79725" spans="1:6" x14ac:dyDescent="0.25">
      <c r="A79725"/>
      <c r="B79725"/>
      <c r="C79725"/>
      <c r="E79725"/>
      <c r="F79725"/>
    </row>
    <row r="79726" spans="1:6" x14ac:dyDescent="0.25">
      <c r="A79726"/>
      <c r="B79726"/>
      <c r="C79726"/>
      <c r="E79726"/>
      <c r="F79726"/>
    </row>
    <row r="79727" spans="1:6" x14ac:dyDescent="0.25">
      <c r="A79727"/>
      <c r="B79727"/>
      <c r="C79727"/>
      <c r="E79727"/>
      <c r="F79727"/>
    </row>
    <row r="79728" spans="1:6" x14ac:dyDescent="0.25">
      <c r="A79728"/>
      <c r="B79728"/>
      <c r="C79728"/>
      <c r="E79728"/>
      <c r="F79728"/>
    </row>
    <row r="79729" spans="1:6" x14ac:dyDescent="0.25">
      <c r="A79729"/>
      <c r="B79729"/>
      <c r="C79729"/>
      <c r="E79729"/>
      <c r="F79729"/>
    </row>
    <row r="79730" spans="1:6" x14ac:dyDescent="0.25">
      <c r="A79730"/>
      <c r="B79730"/>
      <c r="C79730"/>
      <c r="E79730"/>
      <c r="F79730"/>
    </row>
    <row r="79731" spans="1:6" x14ac:dyDescent="0.25">
      <c r="A79731"/>
      <c r="B79731"/>
      <c r="C79731"/>
      <c r="E79731"/>
      <c r="F79731"/>
    </row>
    <row r="79732" spans="1:6" x14ac:dyDescent="0.25">
      <c r="A79732"/>
      <c r="B79732"/>
      <c r="C79732"/>
      <c r="E79732"/>
      <c r="F79732"/>
    </row>
    <row r="79733" spans="1:6" x14ac:dyDescent="0.25">
      <c r="A79733"/>
      <c r="B79733"/>
      <c r="C79733"/>
      <c r="E79733"/>
      <c r="F79733"/>
    </row>
    <row r="79734" spans="1:6" x14ac:dyDescent="0.25">
      <c r="A79734"/>
      <c r="B79734"/>
      <c r="C79734"/>
      <c r="E79734"/>
      <c r="F79734"/>
    </row>
    <row r="79735" spans="1:6" x14ac:dyDescent="0.25">
      <c r="A79735"/>
      <c r="B79735"/>
      <c r="C79735"/>
      <c r="E79735"/>
      <c r="F79735"/>
    </row>
    <row r="79736" spans="1:6" x14ac:dyDescent="0.25">
      <c r="A79736"/>
      <c r="B79736"/>
      <c r="C79736"/>
      <c r="E79736"/>
      <c r="F79736"/>
    </row>
    <row r="79737" spans="1:6" x14ac:dyDescent="0.25">
      <c r="A79737"/>
      <c r="B79737"/>
      <c r="C79737"/>
      <c r="E79737"/>
      <c r="F79737"/>
    </row>
    <row r="79738" spans="1:6" x14ac:dyDescent="0.25">
      <c r="A79738"/>
      <c r="B79738"/>
      <c r="C79738"/>
      <c r="E79738"/>
      <c r="F79738"/>
    </row>
    <row r="79739" spans="1:6" x14ac:dyDescent="0.25">
      <c r="A79739"/>
      <c r="B79739"/>
      <c r="C79739"/>
      <c r="E79739"/>
      <c r="F79739"/>
    </row>
    <row r="79740" spans="1:6" x14ac:dyDescent="0.25">
      <c r="A79740"/>
      <c r="B79740"/>
      <c r="C79740"/>
      <c r="E79740"/>
      <c r="F79740"/>
    </row>
    <row r="79741" spans="1:6" x14ac:dyDescent="0.25">
      <c r="A79741"/>
      <c r="B79741"/>
      <c r="C79741"/>
      <c r="E79741"/>
      <c r="F79741"/>
    </row>
    <row r="79742" spans="1:6" x14ac:dyDescent="0.25">
      <c r="A79742"/>
      <c r="B79742"/>
      <c r="C79742"/>
      <c r="E79742"/>
      <c r="F79742"/>
    </row>
    <row r="79743" spans="1:6" x14ac:dyDescent="0.25">
      <c r="A79743"/>
      <c r="B79743"/>
      <c r="C79743"/>
      <c r="E79743"/>
      <c r="F79743"/>
    </row>
    <row r="79744" spans="1:6" x14ac:dyDescent="0.25">
      <c r="A79744"/>
      <c r="B79744"/>
      <c r="C79744"/>
      <c r="E79744"/>
      <c r="F79744"/>
    </row>
    <row r="79745" spans="1:6" x14ac:dyDescent="0.25">
      <c r="A79745"/>
      <c r="B79745"/>
      <c r="C79745"/>
      <c r="E79745"/>
      <c r="F79745"/>
    </row>
    <row r="79746" spans="1:6" x14ac:dyDescent="0.25">
      <c r="A79746"/>
      <c r="B79746"/>
      <c r="C79746"/>
      <c r="E79746"/>
      <c r="F79746"/>
    </row>
    <row r="79747" spans="1:6" x14ac:dyDescent="0.25">
      <c r="A79747"/>
      <c r="B79747"/>
      <c r="C79747"/>
      <c r="E79747"/>
      <c r="F79747"/>
    </row>
    <row r="79748" spans="1:6" x14ac:dyDescent="0.25">
      <c r="A79748"/>
      <c r="B79748"/>
      <c r="C79748"/>
      <c r="E79748"/>
      <c r="F79748"/>
    </row>
    <row r="79749" spans="1:6" x14ac:dyDescent="0.25">
      <c r="A79749"/>
      <c r="B79749"/>
      <c r="C79749"/>
      <c r="E79749"/>
      <c r="F79749"/>
    </row>
    <row r="79750" spans="1:6" x14ac:dyDescent="0.25">
      <c r="A79750"/>
      <c r="B79750"/>
      <c r="C79750"/>
      <c r="E79750"/>
      <c r="F79750"/>
    </row>
    <row r="79751" spans="1:6" x14ac:dyDescent="0.25">
      <c r="A79751"/>
      <c r="B79751"/>
      <c r="C79751"/>
      <c r="E79751"/>
      <c r="F79751"/>
    </row>
    <row r="79752" spans="1:6" x14ac:dyDescent="0.25">
      <c r="A79752"/>
      <c r="B79752"/>
      <c r="C79752"/>
      <c r="E79752"/>
      <c r="F79752"/>
    </row>
    <row r="79753" spans="1:6" x14ac:dyDescent="0.25">
      <c r="A79753"/>
      <c r="B79753"/>
      <c r="C79753"/>
      <c r="E79753"/>
      <c r="F79753"/>
    </row>
    <row r="79754" spans="1:6" x14ac:dyDescent="0.25">
      <c r="A79754"/>
      <c r="B79754"/>
      <c r="C79754"/>
      <c r="E79754"/>
      <c r="F79754"/>
    </row>
    <row r="79755" spans="1:6" x14ac:dyDescent="0.25">
      <c r="A79755"/>
      <c r="B79755"/>
      <c r="C79755"/>
      <c r="E79755"/>
      <c r="F79755"/>
    </row>
    <row r="79756" spans="1:6" x14ac:dyDescent="0.25">
      <c r="A79756"/>
      <c r="B79756"/>
      <c r="C79756"/>
      <c r="E79756"/>
      <c r="F79756"/>
    </row>
    <row r="79757" spans="1:6" x14ac:dyDescent="0.25">
      <c r="A79757"/>
      <c r="B79757"/>
      <c r="C79757"/>
      <c r="E79757"/>
      <c r="F79757"/>
    </row>
    <row r="79758" spans="1:6" x14ac:dyDescent="0.25">
      <c r="A79758"/>
      <c r="B79758"/>
      <c r="C79758"/>
      <c r="E79758"/>
      <c r="F79758"/>
    </row>
    <row r="79759" spans="1:6" x14ac:dyDescent="0.25">
      <c r="A79759"/>
      <c r="B79759"/>
      <c r="C79759"/>
      <c r="E79759"/>
      <c r="F79759"/>
    </row>
    <row r="79760" spans="1:6" x14ac:dyDescent="0.25">
      <c r="A79760"/>
      <c r="B79760"/>
      <c r="C79760"/>
      <c r="E79760"/>
      <c r="F79760"/>
    </row>
    <row r="79761" spans="1:6" x14ac:dyDescent="0.25">
      <c r="A79761"/>
      <c r="B79761"/>
      <c r="C79761"/>
      <c r="E79761"/>
      <c r="F79761"/>
    </row>
    <row r="79762" spans="1:6" x14ac:dyDescent="0.25">
      <c r="A79762"/>
      <c r="B79762"/>
      <c r="C79762"/>
      <c r="E79762"/>
      <c r="F79762"/>
    </row>
    <row r="79763" spans="1:6" x14ac:dyDescent="0.25">
      <c r="A79763"/>
      <c r="B79763"/>
      <c r="C79763"/>
      <c r="E79763"/>
      <c r="F79763"/>
    </row>
    <row r="79764" spans="1:6" x14ac:dyDescent="0.25">
      <c r="A79764"/>
      <c r="B79764"/>
      <c r="C79764"/>
      <c r="E79764"/>
      <c r="F79764"/>
    </row>
    <row r="79765" spans="1:6" x14ac:dyDescent="0.25">
      <c r="A79765"/>
      <c r="B79765"/>
      <c r="C79765"/>
      <c r="E79765"/>
      <c r="F79765"/>
    </row>
    <row r="79766" spans="1:6" x14ac:dyDescent="0.25">
      <c r="A79766"/>
      <c r="B79766"/>
      <c r="C79766"/>
      <c r="E79766"/>
      <c r="F79766"/>
    </row>
    <row r="79767" spans="1:6" x14ac:dyDescent="0.25">
      <c r="A79767"/>
      <c r="B79767"/>
      <c r="C79767"/>
      <c r="E79767"/>
      <c r="F79767"/>
    </row>
    <row r="79768" spans="1:6" x14ac:dyDescent="0.25">
      <c r="A79768"/>
      <c r="B79768"/>
      <c r="C79768"/>
      <c r="E79768"/>
      <c r="F79768"/>
    </row>
    <row r="79769" spans="1:6" x14ac:dyDescent="0.25">
      <c r="A79769"/>
      <c r="B79769"/>
      <c r="C79769"/>
      <c r="E79769"/>
      <c r="F79769"/>
    </row>
    <row r="79770" spans="1:6" x14ac:dyDescent="0.25">
      <c r="A79770"/>
      <c r="B79770"/>
      <c r="C79770"/>
      <c r="E79770"/>
      <c r="F79770"/>
    </row>
    <row r="79771" spans="1:6" x14ac:dyDescent="0.25">
      <c r="A79771"/>
      <c r="B79771"/>
      <c r="C79771"/>
      <c r="E79771"/>
      <c r="F79771"/>
    </row>
    <row r="79772" spans="1:6" x14ac:dyDescent="0.25">
      <c r="A79772"/>
      <c r="B79772"/>
      <c r="C79772"/>
      <c r="E79772"/>
      <c r="F79772"/>
    </row>
    <row r="79773" spans="1:6" x14ac:dyDescent="0.25">
      <c r="A79773"/>
      <c r="B79773"/>
      <c r="C79773"/>
      <c r="E79773"/>
      <c r="F79773"/>
    </row>
    <row r="79774" spans="1:6" x14ac:dyDescent="0.25">
      <c r="A79774"/>
      <c r="B79774"/>
      <c r="C79774"/>
      <c r="E79774"/>
      <c r="F79774"/>
    </row>
    <row r="79775" spans="1:6" x14ac:dyDescent="0.25">
      <c r="A79775"/>
      <c r="B79775"/>
      <c r="C79775"/>
      <c r="E79775"/>
      <c r="F79775"/>
    </row>
    <row r="79776" spans="1:6" x14ac:dyDescent="0.25">
      <c r="A79776"/>
      <c r="B79776"/>
      <c r="C79776"/>
      <c r="E79776"/>
      <c r="F79776"/>
    </row>
    <row r="79777" spans="1:6" x14ac:dyDescent="0.25">
      <c r="A79777"/>
      <c r="B79777"/>
      <c r="C79777"/>
      <c r="E79777"/>
      <c r="F79777"/>
    </row>
    <row r="79778" spans="1:6" x14ac:dyDescent="0.25">
      <c r="A79778"/>
      <c r="B79778"/>
      <c r="C79778"/>
      <c r="E79778"/>
      <c r="F79778"/>
    </row>
    <row r="79779" spans="1:6" x14ac:dyDescent="0.25">
      <c r="A79779"/>
      <c r="B79779"/>
      <c r="C79779"/>
      <c r="E79779"/>
      <c r="F79779"/>
    </row>
    <row r="79780" spans="1:6" x14ac:dyDescent="0.25">
      <c r="A79780"/>
      <c r="B79780"/>
      <c r="C79780"/>
      <c r="E79780"/>
      <c r="F79780"/>
    </row>
    <row r="79781" spans="1:6" x14ac:dyDescent="0.25">
      <c r="A79781"/>
      <c r="B79781"/>
      <c r="C79781"/>
      <c r="E79781"/>
      <c r="F79781"/>
    </row>
    <row r="79782" spans="1:6" x14ac:dyDescent="0.25">
      <c r="A79782"/>
      <c r="B79782"/>
      <c r="C79782"/>
      <c r="E79782"/>
      <c r="F79782"/>
    </row>
    <row r="79783" spans="1:6" x14ac:dyDescent="0.25">
      <c r="A79783"/>
      <c r="B79783"/>
      <c r="C79783"/>
      <c r="E79783"/>
      <c r="F79783"/>
    </row>
    <row r="79784" spans="1:6" x14ac:dyDescent="0.25">
      <c r="A79784"/>
      <c r="B79784"/>
      <c r="C79784"/>
      <c r="E79784"/>
      <c r="F79784"/>
    </row>
    <row r="79785" spans="1:6" x14ac:dyDescent="0.25">
      <c r="A79785"/>
      <c r="B79785"/>
      <c r="C79785"/>
      <c r="E79785"/>
      <c r="F79785"/>
    </row>
    <row r="79786" spans="1:6" x14ac:dyDescent="0.25">
      <c r="A79786"/>
      <c r="B79786"/>
      <c r="C79786"/>
      <c r="E79786"/>
      <c r="F79786"/>
    </row>
    <row r="79787" spans="1:6" x14ac:dyDescent="0.25">
      <c r="A79787"/>
      <c r="B79787"/>
      <c r="C79787"/>
      <c r="E79787"/>
      <c r="F79787"/>
    </row>
    <row r="79788" spans="1:6" x14ac:dyDescent="0.25">
      <c r="A79788"/>
      <c r="B79788"/>
      <c r="C79788"/>
      <c r="E79788"/>
      <c r="F79788"/>
    </row>
    <row r="79789" spans="1:6" x14ac:dyDescent="0.25">
      <c r="A79789"/>
      <c r="B79789"/>
      <c r="C79789"/>
      <c r="E79789"/>
      <c r="F79789"/>
    </row>
    <row r="79790" spans="1:6" x14ac:dyDescent="0.25">
      <c r="A79790"/>
      <c r="B79790"/>
      <c r="C79790"/>
      <c r="E79790"/>
      <c r="F79790"/>
    </row>
    <row r="79791" spans="1:6" x14ac:dyDescent="0.25">
      <c r="A79791"/>
      <c r="B79791"/>
      <c r="C79791"/>
      <c r="E79791"/>
      <c r="F79791"/>
    </row>
    <row r="79792" spans="1:6" x14ac:dyDescent="0.25">
      <c r="A79792"/>
      <c r="B79792"/>
      <c r="C79792"/>
      <c r="E79792"/>
      <c r="F79792"/>
    </row>
    <row r="79793" spans="1:6" x14ac:dyDescent="0.25">
      <c r="A79793"/>
      <c r="B79793"/>
      <c r="C79793"/>
      <c r="E79793"/>
      <c r="F79793"/>
    </row>
    <row r="79794" spans="1:6" x14ac:dyDescent="0.25">
      <c r="A79794"/>
      <c r="B79794"/>
      <c r="C79794"/>
      <c r="E79794"/>
      <c r="F79794"/>
    </row>
    <row r="79795" spans="1:6" x14ac:dyDescent="0.25">
      <c r="A79795"/>
      <c r="B79795"/>
      <c r="C79795"/>
      <c r="E79795"/>
      <c r="F79795"/>
    </row>
    <row r="79796" spans="1:6" x14ac:dyDescent="0.25">
      <c r="A79796"/>
      <c r="B79796"/>
      <c r="C79796"/>
      <c r="E79796"/>
      <c r="F79796"/>
    </row>
    <row r="79797" spans="1:6" x14ac:dyDescent="0.25">
      <c r="A79797"/>
      <c r="B79797"/>
      <c r="C79797"/>
      <c r="E79797"/>
      <c r="F79797"/>
    </row>
    <row r="79798" spans="1:6" x14ac:dyDescent="0.25">
      <c r="A79798"/>
      <c r="B79798"/>
      <c r="C79798"/>
      <c r="E79798"/>
      <c r="F79798"/>
    </row>
    <row r="79799" spans="1:6" x14ac:dyDescent="0.25">
      <c r="A79799"/>
      <c r="B79799"/>
      <c r="C79799"/>
      <c r="E79799"/>
      <c r="F79799"/>
    </row>
    <row r="79800" spans="1:6" x14ac:dyDescent="0.25">
      <c r="A79800"/>
      <c r="B79800"/>
      <c r="C79800"/>
      <c r="E79800"/>
      <c r="F79800"/>
    </row>
    <row r="79801" spans="1:6" x14ac:dyDescent="0.25">
      <c r="A79801"/>
      <c r="B79801"/>
      <c r="C79801"/>
      <c r="E79801"/>
      <c r="F79801"/>
    </row>
    <row r="79802" spans="1:6" x14ac:dyDescent="0.25">
      <c r="A79802"/>
      <c r="B79802"/>
      <c r="C79802"/>
      <c r="E79802"/>
      <c r="F79802"/>
    </row>
    <row r="79803" spans="1:6" x14ac:dyDescent="0.25">
      <c r="A79803"/>
      <c r="B79803"/>
      <c r="C79803"/>
      <c r="E79803"/>
      <c r="F79803"/>
    </row>
    <row r="79804" spans="1:6" x14ac:dyDescent="0.25">
      <c r="A79804"/>
      <c r="B79804"/>
      <c r="C79804"/>
      <c r="E79804"/>
      <c r="F79804"/>
    </row>
    <row r="79805" spans="1:6" x14ac:dyDescent="0.25">
      <c r="A79805"/>
      <c r="B79805"/>
      <c r="C79805"/>
      <c r="E79805"/>
      <c r="F79805"/>
    </row>
    <row r="79806" spans="1:6" x14ac:dyDescent="0.25">
      <c r="A79806"/>
      <c r="B79806"/>
      <c r="C79806"/>
      <c r="E79806"/>
      <c r="F79806"/>
    </row>
    <row r="79807" spans="1:6" x14ac:dyDescent="0.25">
      <c r="A79807"/>
      <c r="B79807"/>
      <c r="C79807"/>
      <c r="E79807"/>
      <c r="F79807"/>
    </row>
    <row r="79808" spans="1:6" x14ac:dyDescent="0.25">
      <c r="A79808"/>
      <c r="B79808"/>
      <c r="C79808"/>
      <c r="E79808"/>
      <c r="F79808"/>
    </row>
    <row r="79809" spans="1:6" x14ac:dyDescent="0.25">
      <c r="A79809"/>
      <c r="B79809"/>
      <c r="C79809"/>
      <c r="E79809"/>
      <c r="F79809"/>
    </row>
    <row r="79810" spans="1:6" x14ac:dyDescent="0.25">
      <c r="A79810"/>
      <c r="B79810"/>
      <c r="C79810"/>
      <c r="E79810"/>
      <c r="F79810"/>
    </row>
    <row r="79811" spans="1:6" x14ac:dyDescent="0.25">
      <c r="A79811"/>
      <c r="B79811"/>
      <c r="C79811"/>
      <c r="E79811"/>
      <c r="F79811"/>
    </row>
    <row r="79812" spans="1:6" x14ac:dyDescent="0.25">
      <c r="A79812"/>
      <c r="B79812"/>
      <c r="C79812"/>
      <c r="E79812"/>
      <c r="F79812"/>
    </row>
    <row r="79813" spans="1:6" x14ac:dyDescent="0.25">
      <c r="A79813"/>
      <c r="B79813"/>
      <c r="C79813"/>
      <c r="E79813"/>
      <c r="F79813"/>
    </row>
    <row r="79814" spans="1:6" x14ac:dyDescent="0.25">
      <c r="A79814"/>
      <c r="B79814"/>
      <c r="C79814"/>
      <c r="E79814"/>
      <c r="F79814"/>
    </row>
    <row r="79815" spans="1:6" x14ac:dyDescent="0.25">
      <c r="A79815"/>
      <c r="B79815"/>
      <c r="C79815"/>
      <c r="E79815"/>
      <c r="F79815"/>
    </row>
    <row r="79816" spans="1:6" x14ac:dyDescent="0.25">
      <c r="A79816"/>
      <c r="B79816"/>
      <c r="C79816"/>
      <c r="E79816"/>
      <c r="F79816"/>
    </row>
    <row r="79817" spans="1:6" x14ac:dyDescent="0.25">
      <c r="A79817"/>
      <c r="B79817"/>
      <c r="C79817"/>
      <c r="E79817"/>
      <c r="F79817"/>
    </row>
    <row r="79818" spans="1:6" x14ac:dyDescent="0.25">
      <c r="A79818"/>
      <c r="B79818"/>
      <c r="C79818"/>
      <c r="E79818"/>
      <c r="F79818"/>
    </row>
    <row r="79819" spans="1:6" x14ac:dyDescent="0.25">
      <c r="A79819"/>
      <c r="B79819"/>
      <c r="C79819"/>
      <c r="E79819"/>
      <c r="F79819"/>
    </row>
    <row r="79820" spans="1:6" x14ac:dyDescent="0.25">
      <c r="A79820"/>
      <c r="B79820"/>
      <c r="C79820"/>
      <c r="E79820"/>
      <c r="F79820"/>
    </row>
    <row r="79821" spans="1:6" x14ac:dyDescent="0.25">
      <c r="A79821"/>
      <c r="B79821"/>
      <c r="C79821"/>
      <c r="E79821"/>
      <c r="F79821"/>
    </row>
    <row r="79822" spans="1:6" x14ac:dyDescent="0.25">
      <c r="A79822"/>
      <c r="B79822"/>
      <c r="C79822"/>
      <c r="E79822"/>
      <c r="F79822"/>
    </row>
    <row r="79823" spans="1:6" x14ac:dyDescent="0.25">
      <c r="A79823"/>
      <c r="B79823"/>
      <c r="C79823"/>
      <c r="E79823"/>
      <c r="F79823"/>
    </row>
    <row r="79824" spans="1:6" x14ac:dyDescent="0.25">
      <c r="A79824"/>
      <c r="B79824"/>
      <c r="C79824"/>
      <c r="E79824"/>
      <c r="F79824"/>
    </row>
    <row r="79825" spans="1:6" x14ac:dyDescent="0.25">
      <c r="A79825"/>
      <c r="B79825"/>
      <c r="C79825"/>
      <c r="E79825"/>
      <c r="F79825"/>
    </row>
    <row r="79826" spans="1:6" x14ac:dyDescent="0.25">
      <c r="A79826"/>
      <c r="B79826"/>
      <c r="C79826"/>
      <c r="E79826"/>
      <c r="F79826"/>
    </row>
    <row r="79827" spans="1:6" x14ac:dyDescent="0.25">
      <c r="A79827"/>
      <c r="B79827"/>
      <c r="C79827"/>
      <c r="E79827"/>
      <c r="F79827"/>
    </row>
    <row r="79828" spans="1:6" x14ac:dyDescent="0.25">
      <c r="A79828"/>
      <c r="B79828"/>
      <c r="C79828"/>
      <c r="E79828"/>
      <c r="F79828"/>
    </row>
    <row r="79829" spans="1:6" x14ac:dyDescent="0.25">
      <c r="A79829"/>
      <c r="B79829"/>
      <c r="C79829"/>
      <c r="E79829"/>
      <c r="F79829"/>
    </row>
    <row r="79830" spans="1:6" x14ac:dyDescent="0.25">
      <c r="A79830"/>
      <c r="B79830"/>
      <c r="C79830"/>
      <c r="E79830"/>
      <c r="F79830"/>
    </row>
    <row r="79831" spans="1:6" x14ac:dyDescent="0.25">
      <c r="A79831"/>
      <c r="B79831"/>
      <c r="C79831"/>
      <c r="E79831"/>
      <c r="F79831"/>
    </row>
    <row r="79832" spans="1:6" x14ac:dyDescent="0.25">
      <c r="A79832"/>
      <c r="B79832"/>
      <c r="C79832"/>
      <c r="E79832"/>
      <c r="F79832"/>
    </row>
    <row r="79833" spans="1:6" x14ac:dyDescent="0.25">
      <c r="A79833"/>
      <c r="B79833"/>
      <c r="C79833"/>
      <c r="E79833"/>
      <c r="F79833"/>
    </row>
    <row r="79834" spans="1:6" x14ac:dyDescent="0.25">
      <c r="A79834"/>
      <c r="B79834"/>
      <c r="C79834"/>
      <c r="E79834"/>
      <c r="F79834"/>
    </row>
    <row r="79835" spans="1:6" x14ac:dyDescent="0.25">
      <c r="A79835"/>
      <c r="B79835"/>
      <c r="C79835"/>
      <c r="E79835"/>
      <c r="F79835"/>
    </row>
    <row r="79836" spans="1:6" x14ac:dyDescent="0.25">
      <c r="A79836"/>
      <c r="B79836"/>
      <c r="C79836"/>
      <c r="E79836"/>
      <c r="F79836"/>
    </row>
    <row r="79837" spans="1:6" x14ac:dyDescent="0.25">
      <c r="A79837"/>
      <c r="B79837"/>
      <c r="C79837"/>
      <c r="E79837"/>
      <c r="F79837"/>
    </row>
    <row r="79838" spans="1:6" x14ac:dyDescent="0.25">
      <c r="A79838"/>
      <c r="B79838"/>
      <c r="C79838"/>
      <c r="E79838"/>
      <c r="F79838"/>
    </row>
    <row r="79839" spans="1:6" x14ac:dyDescent="0.25">
      <c r="A79839"/>
      <c r="B79839"/>
      <c r="C79839"/>
      <c r="E79839"/>
      <c r="F79839"/>
    </row>
    <row r="79840" spans="1:6" x14ac:dyDescent="0.25">
      <c r="A79840"/>
      <c r="B79840"/>
      <c r="C79840"/>
      <c r="E79840"/>
      <c r="F79840"/>
    </row>
    <row r="79841" spans="1:6" x14ac:dyDescent="0.25">
      <c r="A79841"/>
      <c r="B79841"/>
      <c r="C79841"/>
      <c r="E79841"/>
      <c r="F79841"/>
    </row>
    <row r="79842" spans="1:6" x14ac:dyDescent="0.25">
      <c r="A79842"/>
      <c r="B79842"/>
      <c r="C79842"/>
      <c r="E79842"/>
      <c r="F79842"/>
    </row>
    <row r="79843" spans="1:6" x14ac:dyDescent="0.25">
      <c r="A79843"/>
      <c r="B79843"/>
      <c r="C79843"/>
      <c r="E79843"/>
      <c r="F79843"/>
    </row>
    <row r="79844" spans="1:6" x14ac:dyDescent="0.25">
      <c r="A79844"/>
      <c r="B79844"/>
      <c r="C79844"/>
      <c r="E79844"/>
      <c r="F79844"/>
    </row>
    <row r="79845" spans="1:6" x14ac:dyDescent="0.25">
      <c r="A79845"/>
      <c r="B79845"/>
      <c r="C79845"/>
      <c r="E79845"/>
      <c r="F79845"/>
    </row>
    <row r="79846" spans="1:6" x14ac:dyDescent="0.25">
      <c r="A79846"/>
      <c r="B79846"/>
      <c r="C79846"/>
      <c r="E79846"/>
      <c r="F79846"/>
    </row>
    <row r="79847" spans="1:6" x14ac:dyDescent="0.25">
      <c r="A79847"/>
      <c r="B79847"/>
      <c r="C79847"/>
      <c r="E79847"/>
      <c r="F79847"/>
    </row>
    <row r="79848" spans="1:6" x14ac:dyDescent="0.25">
      <c r="A79848"/>
      <c r="B79848"/>
      <c r="C79848"/>
      <c r="E79848"/>
      <c r="F79848"/>
    </row>
    <row r="79849" spans="1:6" x14ac:dyDescent="0.25">
      <c r="A79849"/>
      <c r="B79849"/>
      <c r="C79849"/>
      <c r="E79849"/>
      <c r="F79849"/>
    </row>
    <row r="79850" spans="1:6" x14ac:dyDescent="0.25">
      <c r="A79850"/>
      <c r="B79850"/>
      <c r="C79850"/>
      <c r="E79850"/>
      <c r="F79850"/>
    </row>
    <row r="79851" spans="1:6" x14ac:dyDescent="0.25">
      <c r="A79851"/>
      <c r="B79851"/>
      <c r="C79851"/>
      <c r="E79851"/>
      <c r="F79851"/>
    </row>
    <row r="79852" spans="1:6" x14ac:dyDescent="0.25">
      <c r="A79852"/>
      <c r="B79852"/>
      <c r="C79852"/>
      <c r="E79852"/>
      <c r="F79852"/>
    </row>
    <row r="79853" spans="1:6" x14ac:dyDescent="0.25">
      <c r="A79853"/>
      <c r="B79853"/>
      <c r="C79853"/>
      <c r="E79853"/>
      <c r="F79853"/>
    </row>
    <row r="79854" spans="1:6" x14ac:dyDescent="0.25">
      <c r="A79854"/>
      <c r="B79854"/>
      <c r="C79854"/>
      <c r="E79854"/>
      <c r="F79854"/>
    </row>
    <row r="79855" spans="1:6" x14ac:dyDescent="0.25">
      <c r="A79855"/>
      <c r="B79855"/>
      <c r="C79855"/>
      <c r="E79855"/>
      <c r="F79855"/>
    </row>
    <row r="79856" spans="1:6" x14ac:dyDescent="0.25">
      <c r="A79856"/>
      <c r="B79856"/>
      <c r="C79856"/>
      <c r="E79856"/>
      <c r="F79856"/>
    </row>
    <row r="79857" spans="1:6" x14ac:dyDescent="0.25">
      <c r="A79857"/>
      <c r="B79857"/>
      <c r="C79857"/>
      <c r="E79857"/>
      <c r="F79857"/>
    </row>
    <row r="79858" spans="1:6" x14ac:dyDescent="0.25">
      <c r="A79858"/>
      <c r="B79858"/>
      <c r="C79858"/>
      <c r="E79858"/>
      <c r="F79858"/>
    </row>
    <row r="79859" spans="1:6" x14ac:dyDescent="0.25">
      <c r="A79859"/>
      <c r="B79859"/>
      <c r="C79859"/>
      <c r="E79859"/>
      <c r="F79859"/>
    </row>
    <row r="79860" spans="1:6" x14ac:dyDescent="0.25">
      <c r="A79860"/>
      <c r="B79860"/>
      <c r="C79860"/>
      <c r="E79860"/>
      <c r="F79860"/>
    </row>
    <row r="79861" spans="1:6" x14ac:dyDescent="0.25">
      <c r="A79861"/>
      <c r="B79861"/>
      <c r="C79861"/>
      <c r="E79861"/>
      <c r="F79861"/>
    </row>
    <row r="79862" spans="1:6" x14ac:dyDescent="0.25">
      <c r="A79862"/>
      <c r="B79862"/>
      <c r="C79862"/>
      <c r="E79862"/>
      <c r="F79862"/>
    </row>
    <row r="79863" spans="1:6" x14ac:dyDescent="0.25">
      <c r="A79863"/>
      <c r="B79863"/>
      <c r="C79863"/>
      <c r="E79863"/>
      <c r="F79863"/>
    </row>
    <row r="79864" spans="1:6" x14ac:dyDescent="0.25">
      <c r="A79864"/>
      <c r="B79864"/>
      <c r="C79864"/>
      <c r="E79864"/>
      <c r="F79864"/>
    </row>
    <row r="79865" spans="1:6" x14ac:dyDescent="0.25">
      <c r="A79865"/>
      <c r="B79865"/>
      <c r="C79865"/>
      <c r="E79865"/>
      <c r="F79865"/>
    </row>
    <row r="79866" spans="1:6" x14ac:dyDescent="0.25">
      <c r="A79866"/>
      <c r="B79866"/>
      <c r="C79866"/>
      <c r="E79866"/>
      <c r="F79866"/>
    </row>
    <row r="79867" spans="1:6" x14ac:dyDescent="0.25">
      <c r="A79867"/>
      <c r="B79867"/>
      <c r="C79867"/>
      <c r="E79867"/>
      <c r="F79867"/>
    </row>
    <row r="79868" spans="1:6" x14ac:dyDescent="0.25">
      <c r="A79868"/>
      <c r="B79868"/>
      <c r="C79868"/>
      <c r="E79868"/>
      <c r="F79868"/>
    </row>
    <row r="79869" spans="1:6" x14ac:dyDescent="0.25">
      <c r="A79869"/>
      <c r="B79869"/>
      <c r="C79869"/>
      <c r="E79869"/>
      <c r="F79869"/>
    </row>
    <row r="79870" spans="1:6" x14ac:dyDescent="0.25">
      <c r="A79870"/>
      <c r="B79870"/>
      <c r="C79870"/>
      <c r="E79870"/>
      <c r="F79870"/>
    </row>
    <row r="79871" spans="1:6" x14ac:dyDescent="0.25">
      <c r="A79871"/>
      <c r="B79871"/>
      <c r="C79871"/>
      <c r="E79871"/>
      <c r="F79871"/>
    </row>
    <row r="79872" spans="1:6" x14ac:dyDescent="0.25">
      <c r="A79872"/>
      <c r="B79872"/>
      <c r="C79872"/>
      <c r="E79872"/>
      <c r="F79872"/>
    </row>
    <row r="79873" spans="1:6" x14ac:dyDescent="0.25">
      <c r="A79873"/>
      <c r="B79873"/>
      <c r="C79873"/>
      <c r="E79873"/>
      <c r="F79873"/>
    </row>
    <row r="79874" spans="1:6" x14ac:dyDescent="0.25">
      <c r="A79874"/>
      <c r="B79874"/>
      <c r="C79874"/>
      <c r="E79874"/>
      <c r="F79874"/>
    </row>
    <row r="79875" spans="1:6" x14ac:dyDescent="0.25">
      <c r="A79875"/>
      <c r="B79875"/>
      <c r="C79875"/>
      <c r="E79875"/>
      <c r="F79875"/>
    </row>
    <row r="79876" spans="1:6" x14ac:dyDescent="0.25">
      <c r="A79876"/>
      <c r="B79876"/>
      <c r="C79876"/>
      <c r="E79876"/>
      <c r="F79876"/>
    </row>
    <row r="79877" spans="1:6" x14ac:dyDescent="0.25">
      <c r="A79877"/>
      <c r="B79877"/>
      <c r="C79877"/>
      <c r="E79877"/>
      <c r="F79877"/>
    </row>
    <row r="79878" spans="1:6" x14ac:dyDescent="0.25">
      <c r="A79878"/>
      <c r="B79878"/>
      <c r="C79878"/>
      <c r="E79878"/>
      <c r="F79878"/>
    </row>
    <row r="79879" spans="1:6" x14ac:dyDescent="0.25">
      <c r="A79879"/>
      <c r="B79879"/>
      <c r="C79879"/>
      <c r="E79879"/>
      <c r="F79879"/>
    </row>
    <row r="79880" spans="1:6" x14ac:dyDescent="0.25">
      <c r="A79880"/>
      <c r="B79880"/>
      <c r="C79880"/>
      <c r="E79880"/>
      <c r="F79880"/>
    </row>
    <row r="79881" spans="1:6" x14ac:dyDescent="0.25">
      <c r="A79881"/>
      <c r="B79881"/>
      <c r="C79881"/>
      <c r="E79881"/>
      <c r="F79881"/>
    </row>
    <row r="79882" spans="1:6" x14ac:dyDescent="0.25">
      <c r="A79882"/>
      <c r="B79882"/>
      <c r="C79882"/>
      <c r="E79882"/>
      <c r="F79882"/>
    </row>
    <row r="79883" spans="1:6" x14ac:dyDescent="0.25">
      <c r="A79883"/>
      <c r="B79883"/>
      <c r="C79883"/>
      <c r="E79883"/>
      <c r="F79883"/>
    </row>
    <row r="79884" spans="1:6" x14ac:dyDescent="0.25">
      <c r="A79884"/>
      <c r="B79884"/>
      <c r="C79884"/>
      <c r="E79884"/>
      <c r="F79884"/>
    </row>
    <row r="79885" spans="1:6" x14ac:dyDescent="0.25">
      <c r="A79885"/>
      <c r="B79885"/>
      <c r="C79885"/>
      <c r="E79885"/>
      <c r="F79885"/>
    </row>
    <row r="79886" spans="1:6" x14ac:dyDescent="0.25">
      <c r="A79886"/>
      <c r="B79886"/>
      <c r="C79886"/>
      <c r="E79886"/>
      <c r="F79886"/>
    </row>
    <row r="79887" spans="1:6" x14ac:dyDescent="0.25">
      <c r="A79887"/>
      <c r="B79887"/>
      <c r="C79887"/>
      <c r="E79887"/>
      <c r="F79887"/>
    </row>
    <row r="79888" spans="1:6" x14ac:dyDescent="0.25">
      <c r="A79888"/>
      <c r="B79888"/>
      <c r="C79888"/>
      <c r="E79888"/>
      <c r="F79888"/>
    </row>
    <row r="79889" spans="1:6" x14ac:dyDescent="0.25">
      <c r="A79889"/>
      <c r="B79889"/>
      <c r="C79889"/>
      <c r="E79889"/>
      <c r="F79889"/>
    </row>
    <row r="79890" spans="1:6" x14ac:dyDescent="0.25">
      <c r="A79890"/>
      <c r="B79890"/>
      <c r="C79890"/>
      <c r="E79890"/>
      <c r="F79890"/>
    </row>
    <row r="79891" spans="1:6" x14ac:dyDescent="0.25">
      <c r="A79891"/>
      <c r="B79891"/>
      <c r="C79891"/>
      <c r="E79891"/>
      <c r="F79891"/>
    </row>
    <row r="79892" spans="1:6" x14ac:dyDescent="0.25">
      <c r="A79892"/>
      <c r="B79892"/>
      <c r="C79892"/>
      <c r="E79892"/>
      <c r="F79892"/>
    </row>
    <row r="79893" spans="1:6" x14ac:dyDescent="0.25">
      <c r="A79893"/>
      <c r="B79893"/>
      <c r="C79893"/>
      <c r="E79893"/>
      <c r="F79893"/>
    </row>
    <row r="79894" spans="1:6" x14ac:dyDescent="0.25">
      <c r="A79894"/>
      <c r="B79894"/>
      <c r="C79894"/>
      <c r="E79894"/>
      <c r="F79894"/>
    </row>
    <row r="79895" spans="1:6" x14ac:dyDescent="0.25">
      <c r="A79895"/>
      <c r="B79895"/>
      <c r="C79895"/>
      <c r="E79895"/>
      <c r="F79895"/>
    </row>
    <row r="79896" spans="1:6" x14ac:dyDescent="0.25">
      <c r="A79896"/>
      <c r="B79896"/>
      <c r="C79896"/>
      <c r="E79896"/>
      <c r="F79896"/>
    </row>
    <row r="79897" spans="1:6" x14ac:dyDescent="0.25">
      <c r="A79897"/>
      <c r="B79897"/>
      <c r="C79897"/>
      <c r="E79897"/>
      <c r="F79897"/>
    </row>
    <row r="79898" spans="1:6" x14ac:dyDescent="0.25">
      <c r="A79898"/>
      <c r="B79898"/>
      <c r="C79898"/>
      <c r="E79898"/>
      <c r="F79898"/>
    </row>
    <row r="79899" spans="1:6" x14ac:dyDescent="0.25">
      <c r="A79899"/>
      <c r="B79899"/>
      <c r="C79899"/>
      <c r="E79899"/>
      <c r="F79899"/>
    </row>
    <row r="79900" spans="1:6" x14ac:dyDescent="0.25">
      <c r="A79900"/>
      <c r="B79900"/>
      <c r="C79900"/>
      <c r="E79900"/>
      <c r="F79900"/>
    </row>
    <row r="79901" spans="1:6" x14ac:dyDescent="0.25">
      <c r="A79901"/>
      <c r="B79901"/>
      <c r="C79901"/>
      <c r="E79901"/>
      <c r="F79901"/>
    </row>
    <row r="79902" spans="1:6" x14ac:dyDescent="0.25">
      <c r="A79902"/>
      <c r="B79902"/>
      <c r="C79902"/>
      <c r="E79902"/>
      <c r="F79902"/>
    </row>
    <row r="79903" spans="1:6" x14ac:dyDescent="0.25">
      <c r="A79903"/>
      <c r="B79903"/>
      <c r="C79903"/>
      <c r="E79903"/>
      <c r="F79903"/>
    </row>
    <row r="79904" spans="1:6" x14ac:dyDescent="0.25">
      <c r="A79904"/>
      <c r="B79904"/>
      <c r="C79904"/>
      <c r="E79904"/>
      <c r="F79904"/>
    </row>
    <row r="79905" spans="1:6" x14ac:dyDescent="0.25">
      <c r="A79905"/>
      <c r="B79905"/>
      <c r="C79905"/>
      <c r="E79905"/>
      <c r="F79905"/>
    </row>
    <row r="79906" spans="1:6" x14ac:dyDescent="0.25">
      <c r="A79906"/>
      <c r="B79906"/>
      <c r="C79906"/>
      <c r="E79906"/>
      <c r="F79906"/>
    </row>
    <row r="79907" spans="1:6" x14ac:dyDescent="0.25">
      <c r="A79907"/>
      <c r="B79907"/>
      <c r="C79907"/>
      <c r="E79907"/>
      <c r="F79907"/>
    </row>
    <row r="79908" spans="1:6" x14ac:dyDescent="0.25">
      <c r="A79908"/>
      <c r="B79908"/>
      <c r="C79908"/>
      <c r="E79908"/>
      <c r="F79908"/>
    </row>
    <row r="79909" spans="1:6" x14ac:dyDescent="0.25">
      <c r="A79909"/>
      <c r="B79909"/>
      <c r="C79909"/>
      <c r="E79909"/>
      <c r="F79909"/>
    </row>
    <row r="79910" spans="1:6" x14ac:dyDescent="0.25">
      <c r="A79910"/>
      <c r="B79910"/>
      <c r="C79910"/>
      <c r="E79910"/>
      <c r="F79910"/>
    </row>
    <row r="79911" spans="1:6" x14ac:dyDescent="0.25">
      <c r="A79911"/>
      <c r="B79911"/>
      <c r="C79911"/>
      <c r="E79911"/>
      <c r="F79911"/>
    </row>
    <row r="79912" spans="1:6" x14ac:dyDescent="0.25">
      <c r="A79912"/>
      <c r="B79912"/>
      <c r="C79912"/>
      <c r="E79912"/>
      <c r="F79912"/>
    </row>
    <row r="79913" spans="1:6" x14ac:dyDescent="0.25">
      <c r="A79913"/>
      <c r="B79913"/>
      <c r="C79913"/>
      <c r="E79913"/>
      <c r="F79913"/>
    </row>
    <row r="79914" spans="1:6" x14ac:dyDescent="0.25">
      <c r="A79914"/>
      <c r="B79914"/>
      <c r="C79914"/>
      <c r="E79914"/>
      <c r="F79914"/>
    </row>
    <row r="79915" spans="1:6" x14ac:dyDescent="0.25">
      <c r="A79915"/>
      <c r="B79915"/>
      <c r="C79915"/>
      <c r="E79915"/>
      <c r="F79915"/>
    </row>
    <row r="79916" spans="1:6" x14ac:dyDescent="0.25">
      <c r="A79916"/>
      <c r="B79916"/>
      <c r="C79916"/>
      <c r="E79916"/>
      <c r="F79916"/>
    </row>
    <row r="79917" spans="1:6" x14ac:dyDescent="0.25">
      <c r="A79917"/>
      <c r="B79917"/>
      <c r="C79917"/>
      <c r="E79917"/>
      <c r="F79917"/>
    </row>
    <row r="79918" spans="1:6" x14ac:dyDescent="0.25">
      <c r="A79918"/>
      <c r="B79918"/>
      <c r="C79918"/>
      <c r="E79918"/>
      <c r="F79918"/>
    </row>
    <row r="79919" spans="1:6" x14ac:dyDescent="0.25">
      <c r="A79919"/>
      <c r="B79919"/>
      <c r="C79919"/>
      <c r="E79919"/>
      <c r="F79919"/>
    </row>
    <row r="79920" spans="1:6" x14ac:dyDescent="0.25">
      <c r="A79920"/>
      <c r="B79920"/>
      <c r="C79920"/>
      <c r="E79920"/>
      <c r="F79920"/>
    </row>
    <row r="79921" spans="1:6" x14ac:dyDescent="0.25">
      <c r="A79921"/>
      <c r="B79921"/>
      <c r="C79921"/>
      <c r="E79921"/>
      <c r="F79921"/>
    </row>
    <row r="79922" spans="1:6" x14ac:dyDescent="0.25">
      <c r="A79922"/>
      <c r="B79922"/>
      <c r="C79922"/>
      <c r="E79922"/>
      <c r="F79922"/>
    </row>
    <row r="79923" spans="1:6" x14ac:dyDescent="0.25">
      <c r="A79923"/>
      <c r="B79923"/>
      <c r="C79923"/>
      <c r="E79923"/>
      <c r="F79923"/>
    </row>
    <row r="79924" spans="1:6" x14ac:dyDescent="0.25">
      <c r="A79924"/>
      <c r="B79924"/>
      <c r="C79924"/>
      <c r="E79924"/>
      <c r="F79924"/>
    </row>
    <row r="79925" spans="1:6" x14ac:dyDescent="0.25">
      <c r="A79925"/>
      <c r="B79925"/>
      <c r="C79925"/>
      <c r="E79925"/>
      <c r="F79925"/>
    </row>
    <row r="79926" spans="1:6" x14ac:dyDescent="0.25">
      <c r="A79926"/>
      <c r="B79926"/>
      <c r="C79926"/>
      <c r="E79926"/>
      <c r="F79926"/>
    </row>
    <row r="79927" spans="1:6" x14ac:dyDescent="0.25">
      <c r="A79927"/>
      <c r="B79927"/>
      <c r="C79927"/>
      <c r="E79927"/>
      <c r="F79927"/>
    </row>
    <row r="79928" spans="1:6" x14ac:dyDescent="0.25">
      <c r="A79928"/>
      <c r="B79928"/>
      <c r="C79928"/>
      <c r="E79928"/>
      <c r="F79928"/>
    </row>
    <row r="79929" spans="1:6" x14ac:dyDescent="0.25">
      <c r="A79929"/>
      <c r="B79929"/>
      <c r="C79929"/>
      <c r="E79929"/>
      <c r="F79929"/>
    </row>
    <row r="79930" spans="1:6" x14ac:dyDescent="0.25">
      <c r="A79930"/>
      <c r="B79930"/>
      <c r="C79930"/>
      <c r="E79930"/>
      <c r="F79930"/>
    </row>
    <row r="79931" spans="1:6" x14ac:dyDescent="0.25">
      <c r="A79931"/>
      <c r="B79931"/>
      <c r="C79931"/>
      <c r="E79931"/>
      <c r="F79931"/>
    </row>
    <row r="79932" spans="1:6" x14ac:dyDescent="0.25">
      <c r="A79932"/>
      <c r="B79932"/>
      <c r="C79932"/>
      <c r="E79932"/>
      <c r="F79932"/>
    </row>
    <row r="79933" spans="1:6" x14ac:dyDescent="0.25">
      <c r="A79933"/>
      <c r="B79933"/>
      <c r="C79933"/>
      <c r="E79933"/>
      <c r="F79933"/>
    </row>
    <row r="79934" spans="1:6" x14ac:dyDescent="0.25">
      <c r="A79934"/>
      <c r="B79934"/>
      <c r="C79934"/>
      <c r="E79934"/>
      <c r="F79934"/>
    </row>
    <row r="79935" spans="1:6" x14ac:dyDescent="0.25">
      <c r="A79935"/>
      <c r="B79935"/>
      <c r="C79935"/>
      <c r="E79935"/>
      <c r="F79935"/>
    </row>
    <row r="79936" spans="1:6" x14ac:dyDescent="0.25">
      <c r="A79936"/>
      <c r="B79936"/>
      <c r="C79936"/>
      <c r="E79936"/>
      <c r="F79936"/>
    </row>
    <row r="79937" spans="1:6" x14ac:dyDescent="0.25">
      <c r="A79937"/>
      <c r="B79937"/>
      <c r="C79937"/>
      <c r="E79937"/>
      <c r="F79937"/>
    </row>
    <row r="79938" spans="1:6" x14ac:dyDescent="0.25">
      <c r="A79938"/>
      <c r="B79938"/>
      <c r="C79938"/>
      <c r="E79938"/>
      <c r="F79938"/>
    </row>
    <row r="79939" spans="1:6" x14ac:dyDescent="0.25">
      <c r="A79939"/>
      <c r="B79939"/>
      <c r="C79939"/>
      <c r="E79939"/>
      <c r="F79939"/>
    </row>
    <row r="79940" spans="1:6" x14ac:dyDescent="0.25">
      <c r="A79940"/>
      <c r="B79940"/>
      <c r="C79940"/>
      <c r="E79940"/>
      <c r="F79940"/>
    </row>
    <row r="79941" spans="1:6" x14ac:dyDescent="0.25">
      <c r="A79941"/>
      <c r="B79941"/>
      <c r="C79941"/>
      <c r="E79941"/>
      <c r="F79941"/>
    </row>
    <row r="79942" spans="1:6" x14ac:dyDescent="0.25">
      <c r="A79942"/>
      <c r="B79942"/>
      <c r="C79942"/>
      <c r="E79942"/>
      <c r="F79942"/>
    </row>
    <row r="79943" spans="1:6" x14ac:dyDescent="0.25">
      <c r="A79943"/>
      <c r="B79943"/>
      <c r="C79943"/>
      <c r="E79943"/>
      <c r="F79943"/>
    </row>
    <row r="79944" spans="1:6" x14ac:dyDescent="0.25">
      <c r="A79944"/>
      <c r="B79944"/>
      <c r="C79944"/>
      <c r="E79944"/>
      <c r="F79944"/>
    </row>
    <row r="79945" spans="1:6" x14ac:dyDescent="0.25">
      <c r="A79945"/>
      <c r="B79945"/>
      <c r="C79945"/>
      <c r="E79945"/>
      <c r="F79945"/>
    </row>
    <row r="79946" spans="1:6" x14ac:dyDescent="0.25">
      <c r="A79946"/>
      <c r="B79946"/>
      <c r="C79946"/>
      <c r="E79946"/>
      <c r="F79946"/>
    </row>
    <row r="79947" spans="1:6" x14ac:dyDescent="0.25">
      <c r="A79947"/>
      <c r="B79947"/>
      <c r="C79947"/>
      <c r="E79947"/>
      <c r="F79947"/>
    </row>
    <row r="79948" spans="1:6" x14ac:dyDescent="0.25">
      <c r="A79948"/>
      <c r="B79948"/>
      <c r="C79948"/>
      <c r="E79948"/>
      <c r="F79948"/>
    </row>
    <row r="79949" spans="1:6" x14ac:dyDescent="0.25">
      <c r="A79949"/>
      <c r="B79949"/>
      <c r="C79949"/>
      <c r="E79949"/>
      <c r="F79949"/>
    </row>
    <row r="79950" spans="1:6" x14ac:dyDescent="0.25">
      <c r="A79950"/>
      <c r="B79950"/>
      <c r="C79950"/>
      <c r="E79950"/>
      <c r="F79950"/>
    </row>
    <row r="79951" spans="1:6" x14ac:dyDescent="0.25">
      <c r="A79951"/>
      <c r="B79951"/>
      <c r="C79951"/>
      <c r="E79951"/>
      <c r="F79951"/>
    </row>
    <row r="79952" spans="1:6" x14ac:dyDescent="0.25">
      <c r="A79952"/>
      <c r="B79952"/>
      <c r="C79952"/>
      <c r="E79952"/>
      <c r="F79952"/>
    </row>
    <row r="79953" spans="1:6" x14ac:dyDescent="0.25">
      <c r="A79953"/>
      <c r="B79953"/>
      <c r="C79953"/>
      <c r="E79953"/>
      <c r="F79953"/>
    </row>
    <row r="79954" spans="1:6" x14ac:dyDescent="0.25">
      <c r="A79954"/>
      <c r="B79954"/>
      <c r="C79954"/>
      <c r="E79954"/>
      <c r="F79954"/>
    </row>
    <row r="79955" spans="1:6" x14ac:dyDescent="0.25">
      <c r="A79955"/>
      <c r="B79955"/>
      <c r="C79955"/>
      <c r="E79955"/>
      <c r="F79955"/>
    </row>
    <row r="79956" spans="1:6" x14ac:dyDescent="0.25">
      <c r="A79956"/>
      <c r="B79956"/>
      <c r="C79956"/>
      <c r="E79956"/>
      <c r="F79956"/>
    </row>
    <row r="79957" spans="1:6" x14ac:dyDescent="0.25">
      <c r="A79957"/>
      <c r="B79957"/>
      <c r="C79957"/>
      <c r="E79957"/>
      <c r="F79957"/>
    </row>
    <row r="79958" spans="1:6" x14ac:dyDescent="0.25">
      <c r="A79958"/>
      <c r="B79958"/>
      <c r="C79958"/>
      <c r="E79958"/>
      <c r="F79958"/>
    </row>
    <row r="79959" spans="1:6" x14ac:dyDescent="0.25">
      <c r="A79959"/>
      <c r="B79959"/>
      <c r="C79959"/>
      <c r="E79959"/>
      <c r="F79959"/>
    </row>
    <row r="79960" spans="1:6" x14ac:dyDescent="0.25">
      <c r="A79960"/>
      <c r="B79960"/>
      <c r="C79960"/>
      <c r="E79960"/>
      <c r="F79960"/>
    </row>
    <row r="79961" spans="1:6" x14ac:dyDescent="0.25">
      <c r="A79961"/>
      <c r="B79961"/>
      <c r="C79961"/>
      <c r="E79961"/>
      <c r="F79961"/>
    </row>
    <row r="79962" spans="1:6" x14ac:dyDescent="0.25">
      <c r="A79962"/>
      <c r="B79962"/>
      <c r="C79962"/>
      <c r="E79962"/>
      <c r="F79962"/>
    </row>
    <row r="79963" spans="1:6" x14ac:dyDescent="0.25">
      <c r="A79963"/>
      <c r="B79963"/>
      <c r="C79963"/>
      <c r="E79963"/>
      <c r="F79963"/>
    </row>
    <row r="79964" spans="1:6" x14ac:dyDescent="0.25">
      <c r="A79964"/>
      <c r="B79964"/>
      <c r="C79964"/>
      <c r="E79964"/>
      <c r="F79964"/>
    </row>
    <row r="79965" spans="1:6" x14ac:dyDescent="0.25">
      <c r="A79965"/>
      <c r="B79965"/>
      <c r="C79965"/>
      <c r="E79965"/>
      <c r="F79965"/>
    </row>
    <row r="79966" spans="1:6" x14ac:dyDescent="0.25">
      <c r="A79966"/>
      <c r="B79966"/>
      <c r="C79966"/>
      <c r="E79966"/>
      <c r="F79966"/>
    </row>
    <row r="79967" spans="1:6" x14ac:dyDescent="0.25">
      <c r="A79967"/>
      <c r="B79967"/>
      <c r="C79967"/>
      <c r="E79967"/>
      <c r="F79967"/>
    </row>
    <row r="79968" spans="1:6" x14ac:dyDescent="0.25">
      <c r="A79968"/>
      <c r="B79968"/>
      <c r="C79968"/>
      <c r="E79968"/>
      <c r="F79968"/>
    </row>
    <row r="79969" spans="1:6" x14ac:dyDescent="0.25">
      <c r="A79969"/>
      <c r="B79969"/>
      <c r="C79969"/>
      <c r="E79969"/>
      <c r="F79969"/>
    </row>
    <row r="79970" spans="1:6" x14ac:dyDescent="0.25">
      <c r="A79970"/>
      <c r="B79970"/>
      <c r="C79970"/>
      <c r="E79970"/>
      <c r="F79970"/>
    </row>
    <row r="79971" spans="1:6" x14ac:dyDescent="0.25">
      <c r="A79971"/>
      <c r="B79971"/>
      <c r="C79971"/>
      <c r="E79971"/>
      <c r="F79971"/>
    </row>
    <row r="79972" spans="1:6" x14ac:dyDescent="0.25">
      <c r="A79972"/>
      <c r="B79972"/>
      <c r="C79972"/>
      <c r="E79972"/>
      <c r="F79972"/>
    </row>
    <row r="79973" spans="1:6" x14ac:dyDescent="0.25">
      <c r="A79973"/>
      <c r="B79973"/>
      <c r="C79973"/>
      <c r="E79973"/>
      <c r="F79973"/>
    </row>
    <row r="79974" spans="1:6" x14ac:dyDescent="0.25">
      <c r="A79974"/>
      <c r="B79974"/>
      <c r="C79974"/>
      <c r="E79974"/>
      <c r="F79974"/>
    </row>
    <row r="79975" spans="1:6" x14ac:dyDescent="0.25">
      <c r="A79975"/>
      <c r="B79975"/>
      <c r="C79975"/>
      <c r="E79975"/>
      <c r="F79975"/>
    </row>
    <row r="79976" spans="1:6" x14ac:dyDescent="0.25">
      <c r="A79976"/>
      <c r="B79976"/>
      <c r="C79976"/>
      <c r="E79976"/>
      <c r="F79976"/>
    </row>
    <row r="79977" spans="1:6" x14ac:dyDescent="0.25">
      <c r="A79977"/>
      <c r="B79977"/>
      <c r="C79977"/>
      <c r="E79977"/>
      <c r="F79977"/>
    </row>
    <row r="79978" spans="1:6" x14ac:dyDescent="0.25">
      <c r="A79978"/>
      <c r="B79978"/>
      <c r="C79978"/>
      <c r="E79978"/>
      <c r="F79978"/>
    </row>
    <row r="79979" spans="1:6" x14ac:dyDescent="0.25">
      <c r="A79979"/>
      <c r="B79979"/>
      <c r="C79979"/>
      <c r="E79979"/>
      <c r="F79979"/>
    </row>
    <row r="79980" spans="1:6" x14ac:dyDescent="0.25">
      <c r="A79980"/>
      <c r="B79980"/>
      <c r="C79980"/>
      <c r="E79980"/>
      <c r="F79980"/>
    </row>
    <row r="79981" spans="1:6" x14ac:dyDescent="0.25">
      <c r="A79981"/>
      <c r="B79981"/>
      <c r="C79981"/>
      <c r="E79981"/>
      <c r="F79981"/>
    </row>
    <row r="79982" spans="1:6" x14ac:dyDescent="0.25">
      <c r="A79982"/>
      <c r="B79982"/>
      <c r="C79982"/>
      <c r="E79982"/>
      <c r="F79982"/>
    </row>
    <row r="79983" spans="1:6" x14ac:dyDescent="0.25">
      <c r="A79983"/>
      <c r="B79983"/>
      <c r="C79983"/>
      <c r="E79983"/>
      <c r="F79983"/>
    </row>
    <row r="79984" spans="1:6" x14ac:dyDescent="0.25">
      <c r="A79984"/>
      <c r="B79984"/>
      <c r="C79984"/>
      <c r="E79984"/>
      <c r="F79984"/>
    </row>
    <row r="79985" spans="1:6" x14ac:dyDescent="0.25">
      <c r="A79985"/>
      <c r="B79985"/>
      <c r="C79985"/>
      <c r="E79985"/>
      <c r="F79985"/>
    </row>
    <row r="79986" spans="1:6" x14ac:dyDescent="0.25">
      <c r="A79986"/>
      <c r="B79986"/>
      <c r="C79986"/>
      <c r="E79986"/>
      <c r="F79986"/>
    </row>
    <row r="79987" spans="1:6" x14ac:dyDescent="0.25">
      <c r="A79987"/>
      <c r="B79987"/>
      <c r="C79987"/>
      <c r="E79987"/>
      <c r="F79987"/>
    </row>
    <row r="79988" spans="1:6" x14ac:dyDescent="0.25">
      <c r="A79988"/>
      <c r="B79988"/>
      <c r="C79988"/>
      <c r="E79988"/>
      <c r="F79988"/>
    </row>
    <row r="79989" spans="1:6" x14ac:dyDescent="0.25">
      <c r="A79989"/>
      <c r="B79989"/>
      <c r="C79989"/>
      <c r="E79989"/>
      <c r="F79989"/>
    </row>
    <row r="79990" spans="1:6" x14ac:dyDescent="0.25">
      <c r="A79990"/>
      <c r="B79990"/>
      <c r="C79990"/>
      <c r="E79990"/>
      <c r="F79990"/>
    </row>
    <row r="79991" spans="1:6" x14ac:dyDescent="0.25">
      <c r="A79991"/>
      <c r="B79991"/>
      <c r="C79991"/>
      <c r="E79991"/>
      <c r="F79991"/>
    </row>
    <row r="79992" spans="1:6" x14ac:dyDescent="0.25">
      <c r="A79992"/>
      <c r="B79992"/>
      <c r="C79992"/>
      <c r="E79992"/>
      <c r="F79992"/>
    </row>
    <row r="79993" spans="1:6" x14ac:dyDescent="0.25">
      <c r="A79993"/>
      <c r="B79993"/>
      <c r="C79993"/>
      <c r="E79993"/>
      <c r="F79993"/>
    </row>
    <row r="79994" spans="1:6" x14ac:dyDescent="0.25">
      <c r="A79994"/>
      <c r="B79994"/>
      <c r="C79994"/>
      <c r="E79994"/>
      <c r="F79994"/>
    </row>
    <row r="79995" spans="1:6" x14ac:dyDescent="0.25">
      <c r="A79995"/>
      <c r="B79995"/>
      <c r="C79995"/>
      <c r="E79995"/>
      <c r="F79995"/>
    </row>
    <row r="79996" spans="1:6" x14ac:dyDescent="0.25">
      <c r="A79996"/>
      <c r="B79996"/>
      <c r="C79996"/>
      <c r="E79996"/>
      <c r="F79996"/>
    </row>
    <row r="79997" spans="1:6" x14ac:dyDescent="0.25">
      <c r="A79997"/>
      <c r="B79997"/>
      <c r="C79997"/>
      <c r="E79997"/>
      <c r="F79997"/>
    </row>
    <row r="79998" spans="1:6" x14ac:dyDescent="0.25">
      <c r="A79998"/>
      <c r="B79998"/>
      <c r="C79998"/>
      <c r="E79998"/>
      <c r="F79998"/>
    </row>
    <row r="79999" spans="1:6" x14ac:dyDescent="0.25">
      <c r="A79999"/>
      <c r="B79999"/>
      <c r="C79999"/>
      <c r="E79999"/>
      <c r="F79999"/>
    </row>
    <row r="80000" spans="1:6" x14ac:dyDescent="0.25">
      <c r="A80000"/>
      <c r="B80000"/>
      <c r="C80000"/>
      <c r="E80000"/>
      <c r="F80000"/>
    </row>
    <row r="80001" spans="1:6" x14ac:dyDescent="0.25">
      <c r="A80001"/>
      <c r="B80001"/>
      <c r="C80001"/>
      <c r="E80001"/>
      <c r="F80001"/>
    </row>
    <row r="80002" spans="1:6" x14ac:dyDescent="0.25">
      <c r="A80002"/>
      <c r="B80002"/>
      <c r="C80002"/>
      <c r="E80002"/>
      <c r="F80002"/>
    </row>
    <row r="80003" spans="1:6" x14ac:dyDescent="0.25">
      <c r="A80003"/>
      <c r="B80003"/>
      <c r="C80003"/>
      <c r="E80003"/>
      <c r="F80003"/>
    </row>
    <row r="80004" spans="1:6" x14ac:dyDescent="0.25">
      <c r="A80004"/>
      <c r="B80004"/>
      <c r="C80004"/>
      <c r="E80004"/>
      <c r="F80004"/>
    </row>
    <row r="80005" spans="1:6" x14ac:dyDescent="0.25">
      <c r="A80005"/>
      <c r="B80005"/>
      <c r="C80005"/>
      <c r="E80005"/>
      <c r="F80005"/>
    </row>
    <row r="80006" spans="1:6" x14ac:dyDescent="0.25">
      <c r="A80006"/>
      <c r="B80006"/>
      <c r="C80006"/>
      <c r="E80006"/>
      <c r="F80006"/>
    </row>
    <row r="80007" spans="1:6" x14ac:dyDescent="0.25">
      <c r="A80007"/>
      <c r="B80007"/>
      <c r="C80007"/>
      <c r="E80007"/>
      <c r="F80007"/>
    </row>
    <row r="80008" spans="1:6" x14ac:dyDescent="0.25">
      <c r="A80008"/>
      <c r="B80008"/>
      <c r="C80008"/>
      <c r="E80008"/>
      <c r="F80008"/>
    </row>
    <row r="80009" spans="1:6" x14ac:dyDescent="0.25">
      <c r="A80009"/>
      <c r="B80009"/>
      <c r="C80009"/>
      <c r="E80009"/>
      <c r="F80009"/>
    </row>
    <row r="80010" spans="1:6" x14ac:dyDescent="0.25">
      <c r="A80010"/>
      <c r="B80010"/>
      <c r="C80010"/>
      <c r="E80010"/>
      <c r="F80010"/>
    </row>
    <row r="80011" spans="1:6" x14ac:dyDescent="0.25">
      <c r="A80011"/>
      <c r="B80011"/>
      <c r="C80011"/>
      <c r="E80011"/>
      <c r="F80011"/>
    </row>
    <row r="80012" spans="1:6" x14ac:dyDescent="0.25">
      <c r="A80012"/>
      <c r="B80012"/>
      <c r="C80012"/>
      <c r="E80012"/>
      <c r="F80012"/>
    </row>
    <row r="80013" spans="1:6" x14ac:dyDescent="0.25">
      <c r="A80013"/>
      <c r="B80013"/>
      <c r="C80013"/>
      <c r="E80013"/>
      <c r="F80013"/>
    </row>
    <row r="80014" spans="1:6" x14ac:dyDescent="0.25">
      <c r="A80014"/>
      <c r="B80014"/>
      <c r="C80014"/>
      <c r="E80014"/>
      <c r="F80014"/>
    </row>
    <row r="80015" spans="1:6" x14ac:dyDescent="0.25">
      <c r="A80015"/>
      <c r="B80015"/>
      <c r="C80015"/>
      <c r="E80015"/>
      <c r="F80015"/>
    </row>
    <row r="80016" spans="1:6" x14ac:dyDescent="0.25">
      <c r="A80016"/>
      <c r="B80016"/>
      <c r="C80016"/>
      <c r="E80016"/>
      <c r="F80016"/>
    </row>
    <row r="80017" spans="1:6" x14ac:dyDescent="0.25">
      <c r="A80017"/>
      <c r="B80017"/>
      <c r="C80017"/>
      <c r="E80017"/>
      <c r="F80017"/>
    </row>
    <row r="80018" spans="1:6" x14ac:dyDescent="0.25">
      <c r="A80018"/>
      <c r="B80018"/>
      <c r="C80018"/>
      <c r="E80018"/>
      <c r="F80018"/>
    </row>
    <row r="80019" spans="1:6" x14ac:dyDescent="0.25">
      <c r="A80019"/>
      <c r="B80019"/>
      <c r="C80019"/>
      <c r="E80019"/>
      <c r="F80019"/>
    </row>
    <row r="80020" spans="1:6" x14ac:dyDescent="0.25">
      <c r="A80020"/>
      <c r="B80020"/>
      <c r="C80020"/>
      <c r="E80020"/>
      <c r="F80020"/>
    </row>
    <row r="80021" spans="1:6" x14ac:dyDescent="0.25">
      <c r="A80021"/>
      <c r="B80021"/>
      <c r="C80021"/>
      <c r="E80021"/>
      <c r="F80021"/>
    </row>
    <row r="80022" spans="1:6" x14ac:dyDescent="0.25">
      <c r="A80022"/>
      <c r="B80022"/>
      <c r="C80022"/>
      <c r="E80022"/>
      <c r="F80022"/>
    </row>
    <row r="80023" spans="1:6" x14ac:dyDescent="0.25">
      <c r="A80023"/>
      <c r="B80023"/>
      <c r="C80023"/>
      <c r="E80023"/>
      <c r="F80023"/>
    </row>
    <row r="80024" spans="1:6" x14ac:dyDescent="0.25">
      <c r="A80024"/>
      <c r="B80024"/>
      <c r="C80024"/>
      <c r="E80024"/>
      <c r="F80024"/>
    </row>
    <row r="80025" spans="1:6" x14ac:dyDescent="0.25">
      <c r="A80025"/>
      <c r="B80025"/>
      <c r="C80025"/>
      <c r="E80025"/>
      <c r="F80025"/>
    </row>
    <row r="80026" spans="1:6" x14ac:dyDescent="0.25">
      <c r="A80026"/>
      <c r="B80026"/>
      <c r="C80026"/>
      <c r="E80026"/>
      <c r="F80026"/>
    </row>
    <row r="80027" spans="1:6" x14ac:dyDescent="0.25">
      <c r="A80027"/>
      <c r="B80027"/>
      <c r="C80027"/>
      <c r="E80027"/>
      <c r="F80027"/>
    </row>
    <row r="80028" spans="1:6" x14ac:dyDescent="0.25">
      <c r="A80028"/>
      <c r="B80028"/>
      <c r="C80028"/>
      <c r="E80028"/>
      <c r="F80028"/>
    </row>
    <row r="80029" spans="1:6" x14ac:dyDescent="0.25">
      <c r="A80029"/>
      <c r="B80029"/>
      <c r="C80029"/>
      <c r="E80029"/>
      <c r="F80029"/>
    </row>
    <row r="80030" spans="1:6" x14ac:dyDescent="0.25">
      <c r="A80030"/>
      <c r="B80030"/>
      <c r="C80030"/>
      <c r="E80030"/>
      <c r="F80030"/>
    </row>
    <row r="80031" spans="1:6" x14ac:dyDescent="0.25">
      <c r="A80031"/>
      <c r="B80031"/>
      <c r="C80031"/>
      <c r="E80031"/>
      <c r="F80031"/>
    </row>
    <row r="80032" spans="1:6" x14ac:dyDescent="0.25">
      <c r="A80032"/>
      <c r="B80032"/>
      <c r="C80032"/>
      <c r="E80032"/>
      <c r="F80032"/>
    </row>
    <row r="80033" spans="1:6" x14ac:dyDescent="0.25">
      <c r="A80033"/>
      <c r="B80033"/>
      <c r="C80033"/>
      <c r="E80033"/>
      <c r="F80033"/>
    </row>
    <row r="80034" spans="1:6" x14ac:dyDescent="0.25">
      <c r="A80034"/>
      <c r="B80034"/>
      <c r="C80034"/>
      <c r="E80034"/>
      <c r="F80034"/>
    </row>
    <row r="80035" spans="1:6" x14ac:dyDescent="0.25">
      <c r="A80035"/>
      <c r="B80035"/>
      <c r="C80035"/>
      <c r="E80035"/>
      <c r="F80035"/>
    </row>
    <row r="80036" spans="1:6" x14ac:dyDescent="0.25">
      <c r="A80036"/>
      <c r="B80036"/>
      <c r="C80036"/>
      <c r="E80036"/>
      <c r="F80036"/>
    </row>
    <row r="80037" spans="1:6" x14ac:dyDescent="0.25">
      <c r="A80037"/>
      <c r="B80037"/>
      <c r="C80037"/>
      <c r="E80037"/>
      <c r="F80037"/>
    </row>
    <row r="80038" spans="1:6" x14ac:dyDescent="0.25">
      <c r="A80038"/>
      <c r="B80038"/>
      <c r="C80038"/>
      <c r="E80038"/>
      <c r="F80038"/>
    </row>
    <row r="80039" spans="1:6" x14ac:dyDescent="0.25">
      <c r="A80039"/>
      <c r="B80039"/>
      <c r="C80039"/>
      <c r="E80039"/>
      <c r="F80039"/>
    </row>
    <row r="80040" spans="1:6" x14ac:dyDescent="0.25">
      <c r="A80040"/>
      <c r="B80040"/>
      <c r="C80040"/>
      <c r="E80040"/>
      <c r="F80040"/>
    </row>
    <row r="80041" spans="1:6" x14ac:dyDescent="0.25">
      <c r="A80041"/>
      <c r="B80041"/>
      <c r="C80041"/>
      <c r="E80041"/>
      <c r="F80041"/>
    </row>
    <row r="80042" spans="1:6" x14ac:dyDescent="0.25">
      <c r="A80042"/>
      <c r="B80042"/>
      <c r="C80042"/>
      <c r="E80042"/>
      <c r="F80042"/>
    </row>
    <row r="80043" spans="1:6" x14ac:dyDescent="0.25">
      <c r="A80043"/>
      <c r="B80043"/>
      <c r="C80043"/>
      <c r="E80043"/>
      <c r="F80043"/>
    </row>
    <row r="80044" spans="1:6" x14ac:dyDescent="0.25">
      <c r="A80044"/>
      <c r="B80044"/>
      <c r="C80044"/>
      <c r="E80044"/>
      <c r="F80044"/>
    </row>
    <row r="80045" spans="1:6" x14ac:dyDescent="0.25">
      <c r="A80045"/>
      <c r="B80045"/>
      <c r="C80045"/>
      <c r="E80045"/>
      <c r="F80045"/>
    </row>
    <row r="80046" spans="1:6" x14ac:dyDescent="0.25">
      <c r="A80046"/>
      <c r="B80046"/>
      <c r="C80046"/>
      <c r="E80046"/>
      <c r="F80046"/>
    </row>
    <row r="80047" spans="1:6" x14ac:dyDescent="0.25">
      <c r="A80047"/>
      <c r="B80047"/>
      <c r="C80047"/>
      <c r="E80047"/>
      <c r="F80047"/>
    </row>
    <row r="80048" spans="1:6" x14ac:dyDescent="0.25">
      <c r="A80048"/>
      <c r="B80048"/>
      <c r="C80048"/>
      <c r="E80048"/>
      <c r="F80048"/>
    </row>
    <row r="80049" spans="1:6" x14ac:dyDescent="0.25">
      <c r="A80049"/>
      <c r="B80049"/>
      <c r="C80049"/>
      <c r="E80049"/>
      <c r="F80049"/>
    </row>
    <row r="80050" spans="1:6" x14ac:dyDescent="0.25">
      <c r="A80050"/>
      <c r="B80050"/>
      <c r="C80050"/>
      <c r="E80050"/>
      <c r="F80050"/>
    </row>
    <row r="80051" spans="1:6" x14ac:dyDescent="0.25">
      <c r="A80051"/>
      <c r="B80051"/>
      <c r="C80051"/>
      <c r="E80051"/>
      <c r="F80051"/>
    </row>
    <row r="80052" spans="1:6" x14ac:dyDescent="0.25">
      <c r="A80052"/>
      <c r="B80052"/>
      <c r="C80052"/>
      <c r="E80052"/>
      <c r="F80052"/>
    </row>
    <row r="80053" spans="1:6" x14ac:dyDescent="0.25">
      <c r="A80053"/>
      <c r="B80053"/>
      <c r="C80053"/>
      <c r="E80053"/>
      <c r="F80053"/>
    </row>
    <row r="80054" spans="1:6" x14ac:dyDescent="0.25">
      <c r="A80054"/>
      <c r="B80054"/>
      <c r="C80054"/>
      <c r="E80054"/>
      <c r="F80054"/>
    </row>
    <row r="80055" spans="1:6" x14ac:dyDescent="0.25">
      <c r="A80055"/>
      <c r="B80055"/>
      <c r="C80055"/>
      <c r="E80055"/>
      <c r="F80055"/>
    </row>
    <row r="80056" spans="1:6" x14ac:dyDescent="0.25">
      <c r="A80056"/>
      <c r="B80056"/>
      <c r="C80056"/>
      <c r="E80056"/>
      <c r="F80056"/>
    </row>
    <row r="80057" spans="1:6" x14ac:dyDescent="0.25">
      <c r="A80057"/>
      <c r="B80057"/>
      <c r="C80057"/>
      <c r="E80057"/>
      <c r="F80057"/>
    </row>
    <row r="80058" spans="1:6" x14ac:dyDescent="0.25">
      <c r="A80058"/>
      <c r="B80058"/>
      <c r="C80058"/>
      <c r="E80058"/>
      <c r="F80058"/>
    </row>
    <row r="80059" spans="1:6" x14ac:dyDescent="0.25">
      <c r="A80059"/>
      <c r="B80059"/>
      <c r="C80059"/>
      <c r="E80059"/>
      <c r="F80059"/>
    </row>
    <row r="80060" spans="1:6" x14ac:dyDescent="0.25">
      <c r="A80060"/>
      <c r="B80060"/>
      <c r="C80060"/>
      <c r="E80060"/>
      <c r="F80060"/>
    </row>
    <row r="80061" spans="1:6" x14ac:dyDescent="0.25">
      <c r="A80061"/>
      <c r="B80061"/>
      <c r="C80061"/>
      <c r="E80061"/>
      <c r="F80061"/>
    </row>
    <row r="80062" spans="1:6" x14ac:dyDescent="0.25">
      <c r="A80062"/>
      <c r="B80062"/>
      <c r="C80062"/>
      <c r="E80062"/>
      <c r="F80062"/>
    </row>
    <row r="80063" spans="1:6" x14ac:dyDescent="0.25">
      <c r="A80063"/>
      <c r="B80063"/>
      <c r="C80063"/>
      <c r="E80063"/>
      <c r="F80063"/>
    </row>
    <row r="80064" spans="1:6" x14ac:dyDescent="0.25">
      <c r="A80064"/>
      <c r="B80064"/>
      <c r="C80064"/>
      <c r="E80064"/>
      <c r="F80064"/>
    </row>
    <row r="80065" spans="1:6" x14ac:dyDescent="0.25">
      <c r="A80065"/>
      <c r="B80065"/>
      <c r="C80065"/>
      <c r="E80065"/>
      <c r="F80065"/>
    </row>
    <row r="80066" spans="1:6" x14ac:dyDescent="0.25">
      <c r="A80066"/>
      <c r="B80066"/>
      <c r="C80066"/>
      <c r="E80066"/>
      <c r="F80066"/>
    </row>
    <row r="80067" spans="1:6" x14ac:dyDescent="0.25">
      <c r="A80067"/>
      <c r="B80067"/>
      <c r="C80067"/>
      <c r="E80067"/>
      <c r="F80067"/>
    </row>
    <row r="80068" spans="1:6" x14ac:dyDescent="0.25">
      <c r="A80068"/>
      <c r="B80068"/>
      <c r="C80068"/>
      <c r="E80068"/>
      <c r="F80068"/>
    </row>
    <row r="80069" spans="1:6" x14ac:dyDescent="0.25">
      <c r="A80069"/>
      <c r="B80069"/>
      <c r="C80069"/>
      <c r="E80069"/>
      <c r="F80069"/>
    </row>
    <row r="80070" spans="1:6" x14ac:dyDescent="0.25">
      <c r="A80070"/>
      <c r="B80070"/>
      <c r="C80070"/>
      <c r="E80070"/>
      <c r="F80070"/>
    </row>
    <row r="80071" spans="1:6" x14ac:dyDescent="0.25">
      <c r="A80071"/>
      <c r="B80071"/>
      <c r="C80071"/>
      <c r="E80071"/>
      <c r="F80071"/>
    </row>
    <row r="80072" spans="1:6" x14ac:dyDescent="0.25">
      <c r="A80072"/>
      <c r="B80072"/>
      <c r="C80072"/>
      <c r="E80072"/>
      <c r="F80072"/>
    </row>
    <row r="80073" spans="1:6" x14ac:dyDescent="0.25">
      <c r="A80073"/>
      <c r="B80073"/>
      <c r="C80073"/>
      <c r="E80073"/>
      <c r="F80073"/>
    </row>
    <row r="80074" spans="1:6" x14ac:dyDescent="0.25">
      <c r="A80074"/>
      <c r="B80074"/>
      <c r="C80074"/>
      <c r="E80074"/>
      <c r="F80074"/>
    </row>
    <row r="80075" spans="1:6" x14ac:dyDescent="0.25">
      <c r="A80075"/>
      <c r="B80075"/>
      <c r="C80075"/>
      <c r="E80075"/>
      <c r="F80075"/>
    </row>
    <row r="80076" spans="1:6" x14ac:dyDescent="0.25">
      <c r="A80076"/>
      <c r="B80076"/>
      <c r="C80076"/>
      <c r="E80076"/>
      <c r="F80076"/>
    </row>
    <row r="80077" spans="1:6" x14ac:dyDescent="0.25">
      <c r="A80077"/>
      <c r="B80077"/>
      <c r="C80077"/>
      <c r="E80077"/>
      <c r="F80077"/>
    </row>
    <row r="80078" spans="1:6" x14ac:dyDescent="0.25">
      <c r="A80078"/>
      <c r="B80078"/>
      <c r="C80078"/>
      <c r="E80078"/>
      <c r="F80078"/>
    </row>
    <row r="80079" spans="1:6" x14ac:dyDescent="0.25">
      <c r="A80079"/>
      <c r="B80079"/>
      <c r="C80079"/>
      <c r="E80079"/>
      <c r="F80079"/>
    </row>
    <row r="80080" spans="1:6" x14ac:dyDescent="0.25">
      <c r="A80080"/>
      <c r="B80080"/>
      <c r="C80080"/>
      <c r="E80080"/>
      <c r="F80080"/>
    </row>
    <row r="80081" spans="1:6" x14ac:dyDescent="0.25">
      <c r="A80081"/>
      <c r="B80081"/>
      <c r="C80081"/>
      <c r="E80081"/>
      <c r="F80081"/>
    </row>
    <row r="80082" spans="1:6" x14ac:dyDescent="0.25">
      <c r="A80082"/>
      <c r="B80082"/>
      <c r="C80082"/>
      <c r="E80082"/>
      <c r="F80082"/>
    </row>
    <row r="80083" spans="1:6" x14ac:dyDescent="0.25">
      <c r="A80083"/>
      <c r="B80083"/>
      <c r="C80083"/>
      <c r="E80083"/>
      <c r="F80083"/>
    </row>
    <row r="80084" spans="1:6" x14ac:dyDescent="0.25">
      <c r="A80084"/>
      <c r="B80084"/>
      <c r="C80084"/>
      <c r="E80084"/>
      <c r="F80084"/>
    </row>
    <row r="80085" spans="1:6" x14ac:dyDescent="0.25">
      <c r="A80085"/>
      <c r="B80085"/>
      <c r="C80085"/>
      <c r="E80085"/>
      <c r="F80085"/>
    </row>
    <row r="80086" spans="1:6" x14ac:dyDescent="0.25">
      <c r="A80086"/>
      <c r="B80086"/>
      <c r="C80086"/>
      <c r="E80086"/>
      <c r="F80086"/>
    </row>
    <row r="80087" spans="1:6" x14ac:dyDescent="0.25">
      <c r="A80087"/>
      <c r="B80087"/>
      <c r="C80087"/>
      <c r="E80087"/>
      <c r="F80087"/>
    </row>
    <row r="80088" spans="1:6" x14ac:dyDescent="0.25">
      <c r="A80088"/>
      <c r="B80088"/>
      <c r="C80088"/>
      <c r="E80088"/>
      <c r="F80088"/>
    </row>
    <row r="80089" spans="1:6" x14ac:dyDescent="0.25">
      <c r="A80089"/>
      <c r="B80089"/>
      <c r="C80089"/>
      <c r="E80089"/>
      <c r="F80089"/>
    </row>
    <row r="80090" spans="1:6" x14ac:dyDescent="0.25">
      <c r="A80090"/>
      <c r="B80090"/>
      <c r="C80090"/>
      <c r="E80090"/>
      <c r="F80090"/>
    </row>
    <row r="80091" spans="1:6" x14ac:dyDescent="0.25">
      <c r="A80091"/>
      <c r="B80091"/>
      <c r="C80091"/>
      <c r="E80091"/>
      <c r="F80091"/>
    </row>
    <row r="80092" spans="1:6" x14ac:dyDescent="0.25">
      <c r="A80092"/>
      <c r="B80092"/>
      <c r="C80092"/>
      <c r="E80092"/>
      <c r="F80092"/>
    </row>
    <row r="80093" spans="1:6" x14ac:dyDescent="0.25">
      <c r="A80093"/>
      <c r="B80093"/>
      <c r="C80093"/>
      <c r="E80093"/>
      <c r="F80093"/>
    </row>
    <row r="80094" spans="1:6" x14ac:dyDescent="0.25">
      <c r="A80094"/>
      <c r="B80094"/>
      <c r="C80094"/>
      <c r="E80094"/>
      <c r="F80094"/>
    </row>
    <row r="80095" spans="1:6" x14ac:dyDescent="0.25">
      <c r="A80095"/>
      <c r="B80095"/>
      <c r="C80095"/>
      <c r="E80095"/>
      <c r="F80095"/>
    </row>
    <row r="80096" spans="1:6" x14ac:dyDescent="0.25">
      <c r="A80096"/>
      <c r="B80096"/>
      <c r="C80096"/>
      <c r="E80096"/>
      <c r="F80096"/>
    </row>
    <row r="80097" spans="1:6" x14ac:dyDescent="0.25">
      <c r="A80097"/>
      <c r="B80097"/>
      <c r="C80097"/>
      <c r="E80097"/>
      <c r="F80097"/>
    </row>
    <row r="80098" spans="1:6" x14ac:dyDescent="0.25">
      <c r="A80098"/>
      <c r="B80098"/>
      <c r="C80098"/>
      <c r="E80098"/>
      <c r="F80098"/>
    </row>
    <row r="80099" spans="1:6" x14ac:dyDescent="0.25">
      <c r="A80099"/>
      <c r="B80099"/>
      <c r="C80099"/>
      <c r="E80099"/>
      <c r="F80099"/>
    </row>
    <row r="80100" spans="1:6" x14ac:dyDescent="0.25">
      <c r="A80100"/>
      <c r="B80100"/>
      <c r="C80100"/>
      <c r="E80100"/>
      <c r="F80100"/>
    </row>
    <row r="80101" spans="1:6" x14ac:dyDescent="0.25">
      <c r="A80101"/>
      <c r="B80101"/>
      <c r="C80101"/>
      <c r="E80101"/>
      <c r="F80101"/>
    </row>
    <row r="80102" spans="1:6" x14ac:dyDescent="0.25">
      <c r="A80102"/>
      <c r="B80102"/>
      <c r="C80102"/>
      <c r="E80102"/>
      <c r="F80102"/>
    </row>
    <row r="80103" spans="1:6" x14ac:dyDescent="0.25">
      <c r="A80103"/>
      <c r="B80103"/>
      <c r="C80103"/>
      <c r="E80103"/>
      <c r="F80103"/>
    </row>
    <row r="80104" spans="1:6" x14ac:dyDescent="0.25">
      <c r="A80104"/>
      <c r="B80104"/>
      <c r="C80104"/>
      <c r="E80104"/>
      <c r="F80104"/>
    </row>
    <row r="80105" spans="1:6" x14ac:dyDescent="0.25">
      <c r="A80105"/>
      <c r="B80105"/>
      <c r="C80105"/>
      <c r="E80105"/>
      <c r="F80105"/>
    </row>
    <row r="80106" spans="1:6" x14ac:dyDescent="0.25">
      <c r="A80106"/>
      <c r="B80106"/>
      <c r="C80106"/>
      <c r="E80106"/>
      <c r="F80106"/>
    </row>
    <row r="80107" spans="1:6" x14ac:dyDescent="0.25">
      <c r="A80107"/>
      <c r="B80107"/>
      <c r="C80107"/>
      <c r="E80107"/>
      <c r="F80107"/>
    </row>
    <row r="80108" spans="1:6" x14ac:dyDescent="0.25">
      <c r="A80108"/>
      <c r="B80108"/>
      <c r="C80108"/>
      <c r="E80108"/>
      <c r="F80108"/>
    </row>
    <row r="80109" spans="1:6" x14ac:dyDescent="0.25">
      <c r="A80109"/>
      <c r="B80109"/>
      <c r="C80109"/>
      <c r="E80109"/>
      <c r="F80109"/>
    </row>
    <row r="80110" spans="1:6" x14ac:dyDescent="0.25">
      <c r="A80110"/>
      <c r="B80110"/>
      <c r="C80110"/>
      <c r="E80110"/>
      <c r="F80110"/>
    </row>
    <row r="80111" spans="1:6" x14ac:dyDescent="0.25">
      <c r="A80111"/>
      <c r="B80111"/>
      <c r="C80111"/>
      <c r="E80111"/>
      <c r="F80111"/>
    </row>
    <row r="80112" spans="1:6" x14ac:dyDescent="0.25">
      <c r="A80112"/>
      <c r="B80112"/>
      <c r="C80112"/>
      <c r="E80112"/>
      <c r="F80112"/>
    </row>
    <row r="80113" spans="1:6" x14ac:dyDescent="0.25">
      <c r="A80113"/>
      <c r="B80113"/>
      <c r="C80113"/>
      <c r="E80113"/>
      <c r="F80113"/>
    </row>
    <row r="80114" spans="1:6" x14ac:dyDescent="0.25">
      <c r="A80114"/>
      <c r="B80114"/>
      <c r="C80114"/>
      <c r="E80114"/>
      <c r="F80114"/>
    </row>
    <row r="80115" spans="1:6" x14ac:dyDescent="0.25">
      <c r="A80115"/>
      <c r="B80115"/>
      <c r="C80115"/>
      <c r="E80115"/>
      <c r="F80115"/>
    </row>
    <row r="80116" spans="1:6" x14ac:dyDescent="0.25">
      <c r="A80116"/>
      <c r="B80116"/>
      <c r="C80116"/>
      <c r="E80116"/>
      <c r="F80116"/>
    </row>
    <row r="80117" spans="1:6" x14ac:dyDescent="0.25">
      <c r="A80117"/>
      <c r="B80117"/>
      <c r="C80117"/>
      <c r="E80117"/>
      <c r="F80117"/>
    </row>
    <row r="80118" spans="1:6" x14ac:dyDescent="0.25">
      <c r="A80118"/>
      <c r="B80118"/>
      <c r="C80118"/>
      <c r="E80118"/>
      <c r="F80118"/>
    </row>
    <row r="80119" spans="1:6" x14ac:dyDescent="0.25">
      <c r="A80119"/>
      <c r="B80119"/>
      <c r="C80119"/>
      <c r="E80119"/>
      <c r="F80119"/>
    </row>
    <row r="80120" spans="1:6" x14ac:dyDescent="0.25">
      <c r="A80120"/>
      <c r="B80120"/>
      <c r="C80120"/>
      <c r="E80120"/>
      <c r="F80120"/>
    </row>
    <row r="80121" spans="1:6" x14ac:dyDescent="0.25">
      <c r="A80121"/>
      <c r="B80121"/>
      <c r="C80121"/>
      <c r="E80121"/>
      <c r="F80121"/>
    </row>
    <row r="80122" spans="1:6" x14ac:dyDescent="0.25">
      <c r="A80122"/>
      <c r="B80122"/>
      <c r="C80122"/>
      <c r="E80122"/>
      <c r="F80122"/>
    </row>
    <row r="80123" spans="1:6" x14ac:dyDescent="0.25">
      <c r="A80123"/>
      <c r="B80123"/>
      <c r="C80123"/>
      <c r="E80123"/>
      <c r="F80123"/>
    </row>
    <row r="80124" spans="1:6" x14ac:dyDescent="0.25">
      <c r="A80124"/>
      <c r="B80124"/>
      <c r="C80124"/>
      <c r="E80124"/>
      <c r="F80124"/>
    </row>
    <row r="80125" spans="1:6" x14ac:dyDescent="0.25">
      <c r="A80125"/>
      <c r="B80125"/>
      <c r="C80125"/>
      <c r="E80125"/>
      <c r="F80125"/>
    </row>
    <row r="80126" spans="1:6" x14ac:dyDescent="0.25">
      <c r="A80126"/>
      <c r="B80126"/>
      <c r="C80126"/>
      <c r="E80126"/>
      <c r="F80126"/>
    </row>
    <row r="80127" spans="1:6" x14ac:dyDescent="0.25">
      <c r="A80127"/>
      <c r="B80127"/>
      <c r="C80127"/>
      <c r="E80127"/>
      <c r="F80127"/>
    </row>
    <row r="80128" spans="1:6" x14ac:dyDescent="0.25">
      <c r="A80128"/>
      <c r="B80128"/>
      <c r="C80128"/>
      <c r="E80128"/>
      <c r="F80128"/>
    </row>
    <row r="80129" spans="1:6" x14ac:dyDescent="0.25">
      <c r="A80129"/>
      <c r="B80129"/>
      <c r="C80129"/>
      <c r="E80129"/>
      <c r="F80129"/>
    </row>
    <row r="80130" spans="1:6" x14ac:dyDescent="0.25">
      <c r="A80130"/>
      <c r="B80130"/>
      <c r="C80130"/>
      <c r="E80130"/>
      <c r="F80130"/>
    </row>
    <row r="80131" spans="1:6" x14ac:dyDescent="0.25">
      <c r="A80131"/>
      <c r="B80131"/>
      <c r="C80131"/>
      <c r="E80131"/>
      <c r="F80131"/>
    </row>
    <row r="80132" spans="1:6" x14ac:dyDescent="0.25">
      <c r="A80132"/>
      <c r="B80132"/>
      <c r="C80132"/>
      <c r="E80132"/>
      <c r="F80132"/>
    </row>
    <row r="80133" spans="1:6" x14ac:dyDescent="0.25">
      <c r="A80133"/>
      <c r="B80133"/>
      <c r="C80133"/>
      <c r="E80133"/>
      <c r="F80133"/>
    </row>
    <row r="80134" spans="1:6" x14ac:dyDescent="0.25">
      <c r="A80134"/>
      <c r="B80134"/>
      <c r="C80134"/>
      <c r="E80134"/>
      <c r="F80134"/>
    </row>
    <row r="80135" spans="1:6" x14ac:dyDescent="0.25">
      <c r="A80135"/>
      <c r="B80135"/>
      <c r="C80135"/>
      <c r="E80135"/>
      <c r="F80135"/>
    </row>
    <row r="80136" spans="1:6" x14ac:dyDescent="0.25">
      <c r="A80136"/>
      <c r="B80136"/>
      <c r="C80136"/>
      <c r="E80136"/>
      <c r="F80136"/>
    </row>
    <row r="80137" spans="1:6" x14ac:dyDescent="0.25">
      <c r="A80137"/>
      <c r="B80137"/>
      <c r="C80137"/>
      <c r="E80137"/>
      <c r="F80137"/>
    </row>
    <row r="80138" spans="1:6" x14ac:dyDescent="0.25">
      <c r="A80138"/>
      <c r="B80138"/>
      <c r="C80138"/>
      <c r="E80138"/>
      <c r="F80138"/>
    </row>
    <row r="80139" spans="1:6" x14ac:dyDescent="0.25">
      <c r="A80139"/>
      <c r="B80139"/>
      <c r="C80139"/>
      <c r="E80139"/>
      <c r="F80139"/>
    </row>
    <row r="80140" spans="1:6" x14ac:dyDescent="0.25">
      <c r="A80140"/>
      <c r="B80140"/>
      <c r="C80140"/>
      <c r="E80140"/>
      <c r="F80140"/>
    </row>
    <row r="80141" spans="1:6" x14ac:dyDescent="0.25">
      <c r="A80141"/>
      <c r="B80141"/>
      <c r="C80141"/>
      <c r="E80141"/>
      <c r="F80141"/>
    </row>
    <row r="80142" spans="1:6" x14ac:dyDescent="0.25">
      <c r="A80142"/>
      <c r="B80142"/>
      <c r="C80142"/>
      <c r="E80142"/>
      <c r="F80142"/>
    </row>
    <row r="80143" spans="1:6" x14ac:dyDescent="0.25">
      <c r="A80143"/>
      <c r="B80143"/>
      <c r="C80143"/>
      <c r="E80143"/>
      <c r="F80143"/>
    </row>
    <row r="80144" spans="1:6" x14ac:dyDescent="0.25">
      <c r="A80144"/>
      <c r="B80144"/>
      <c r="C80144"/>
      <c r="E80144"/>
      <c r="F80144"/>
    </row>
    <row r="80145" spans="1:6" x14ac:dyDescent="0.25">
      <c r="A80145"/>
      <c r="B80145"/>
      <c r="C80145"/>
      <c r="E80145"/>
      <c r="F80145"/>
    </row>
    <row r="80146" spans="1:6" x14ac:dyDescent="0.25">
      <c r="A80146"/>
      <c r="B80146"/>
      <c r="C80146"/>
      <c r="E80146"/>
      <c r="F80146"/>
    </row>
    <row r="80147" spans="1:6" x14ac:dyDescent="0.25">
      <c r="A80147"/>
      <c r="B80147"/>
      <c r="C80147"/>
      <c r="E80147"/>
      <c r="F80147"/>
    </row>
    <row r="80148" spans="1:6" x14ac:dyDescent="0.25">
      <c r="A80148"/>
      <c r="B80148"/>
      <c r="C80148"/>
      <c r="E80148"/>
      <c r="F80148"/>
    </row>
    <row r="80149" spans="1:6" x14ac:dyDescent="0.25">
      <c r="A80149"/>
      <c r="B80149"/>
      <c r="C80149"/>
      <c r="E80149"/>
      <c r="F80149"/>
    </row>
    <row r="80150" spans="1:6" x14ac:dyDescent="0.25">
      <c r="A80150"/>
      <c r="B80150"/>
      <c r="C80150"/>
      <c r="E80150"/>
      <c r="F80150"/>
    </row>
    <row r="80151" spans="1:6" x14ac:dyDescent="0.25">
      <c r="A80151"/>
      <c r="B80151"/>
      <c r="C80151"/>
      <c r="E80151"/>
      <c r="F80151"/>
    </row>
    <row r="80152" spans="1:6" x14ac:dyDescent="0.25">
      <c r="A80152"/>
      <c r="B80152"/>
      <c r="C80152"/>
      <c r="E80152"/>
      <c r="F80152"/>
    </row>
    <row r="80153" spans="1:6" x14ac:dyDescent="0.25">
      <c r="A80153"/>
      <c r="B80153"/>
      <c r="C80153"/>
      <c r="E80153"/>
      <c r="F80153"/>
    </row>
    <row r="80154" spans="1:6" x14ac:dyDescent="0.25">
      <c r="A80154"/>
      <c r="B80154"/>
      <c r="C80154"/>
      <c r="E80154"/>
      <c r="F80154"/>
    </row>
    <row r="80155" spans="1:6" x14ac:dyDescent="0.25">
      <c r="A80155"/>
      <c r="B80155"/>
      <c r="C80155"/>
      <c r="E80155"/>
      <c r="F80155"/>
    </row>
    <row r="80156" spans="1:6" x14ac:dyDescent="0.25">
      <c r="A80156"/>
      <c r="B80156"/>
      <c r="C80156"/>
      <c r="E80156"/>
      <c r="F80156"/>
    </row>
    <row r="80157" spans="1:6" x14ac:dyDescent="0.25">
      <c r="A80157"/>
      <c r="B80157"/>
      <c r="C80157"/>
      <c r="E80157"/>
      <c r="F80157"/>
    </row>
    <row r="80158" spans="1:6" x14ac:dyDescent="0.25">
      <c r="A80158"/>
      <c r="B80158"/>
      <c r="C80158"/>
      <c r="E80158"/>
      <c r="F80158"/>
    </row>
    <row r="80159" spans="1:6" x14ac:dyDescent="0.25">
      <c r="A80159"/>
      <c r="B80159"/>
      <c r="C80159"/>
      <c r="E80159"/>
      <c r="F80159"/>
    </row>
    <row r="80160" spans="1:6" x14ac:dyDescent="0.25">
      <c r="A80160"/>
      <c r="B80160"/>
      <c r="C80160"/>
      <c r="E80160"/>
      <c r="F80160"/>
    </row>
    <row r="80161" spans="1:6" x14ac:dyDescent="0.25">
      <c r="A80161"/>
      <c r="B80161"/>
      <c r="C80161"/>
      <c r="E80161"/>
      <c r="F80161"/>
    </row>
    <row r="80162" spans="1:6" x14ac:dyDescent="0.25">
      <c r="A80162"/>
      <c r="B80162"/>
      <c r="C80162"/>
      <c r="E80162"/>
      <c r="F80162"/>
    </row>
    <row r="80163" spans="1:6" x14ac:dyDescent="0.25">
      <c r="A80163"/>
      <c r="B80163"/>
      <c r="C80163"/>
      <c r="E80163"/>
      <c r="F80163"/>
    </row>
    <row r="80164" spans="1:6" x14ac:dyDescent="0.25">
      <c r="A80164"/>
      <c r="B80164"/>
      <c r="C80164"/>
      <c r="E80164"/>
      <c r="F80164"/>
    </row>
    <row r="80165" spans="1:6" x14ac:dyDescent="0.25">
      <c r="A80165"/>
      <c r="B80165"/>
      <c r="C80165"/>
      <c r="E80165"/>
      <c r="F80165"/>
    </row>
    <row r="80166" spans="1:6" x14ac:dyDescent="0.25">
      <c r="A80166"/>
      <c r="B80166"/>
      <c r="C80166"/>
      <c r="E80166"/>
      <c r="F80166"/>
    </row>
    <row r="80167" spans="1:6" x14ac:dyDescent="0.25">
      <c r="A80167"/>
      <c r="B80167"/>
      <c r="C80167"/>
      <c r="E80167"/>
      <c r="F80167"/>
    </row>
    <row r="80168" spans="1:6" x14ac:dyDescent="0.25">
      <c r="A80168"/>
      <c r="B80168"/>
      <c r="C80168"/>
      <c r="E80168"/>
      <c r="F80168"/>
    </row>
    <row r="80169" spans="1:6" x14ac:dyDescent="0.25">
      <c r="A80169"/>
      <c r="B80169"/>
      <c r="C80169"/>
      <c r="E80169"/>
      <c r="F80169"/>
    </row>
    <row r="80170" spans="1:6" x14ac:dyDescent="0.25">
      <c r="A80170"/>
      <c r="B80170"/>
      <c r="C80170"/>
      <c r="E80170"/>
      <c r="F80170"/>
    </row>
    <row r="80171" spans="1:6" x14ac:dyDescent="0.25">
      <c r="A80171"/>
      <c r="B80171"/>
      <c r="C80171"/>
      <c r="E80171"/>
      <c r="F80171"/>
    </row>
    <row r="80172" spans="1:6" x14ac:dyDescent="0.25">
      <c r="A80172"/>
      <c r="B80172"/>
      <c r="C80172"/>
      <c r="E80172"/>
      <c r="F80172"/>
    </row>
    <row r="80173" spans="1:6" x14ac:dyDescent="0.25">
      <c r="A80173"/>
      <c r="B80173"/>
      <c r="C80173"/>
      <c r="E80173"/>
      <c r="F80173"/>
    </row>
    <row r="80174" spans="1:6" x14ac:dyDescent="0.25">
      <c r="A80174"/>
      <c r="B80174"/>
      <c r="C80174"/>
      <c r="E80174"/>
      <c r="F80174"/>
    </row>
    <row r="80175" spans="1:6" x14ac:dyDescent="0.25">
      <c r="A80175"/>
      <c r="B80175"/>
      <c r="C80175"/>
      <c r="E80175"/>
      <c r="F80175"/>
    </row>
    <row r="80176" spans="1:6" x14ac:dyDescent="0.25">
      <c r="A80176"/>
      <c r="B80176"/>
      <c r="C80176"/>
      <c r="E80176"/>
      <c r="F80176"/>
    </row>
    <row r="80177" spans="1:6" x14ac:dyDescent="0.25">
      <c r="A80177"/>
      <c r="B80177"/>
      <c r="C80177"/>
      <c r="E80177"/>
      <c r="F80177"/>
    </row>
    <row r="80178" spans="1:6" x14ac:dyDescent="0.25">
      <c r="A80178"/>
      <c r="B80178"/>
      <c r="C80178"/>
      <c r="E80178"/>
      <c r="F80178"/>
    </row>
    <row r="80179" spans="1:6" x14ac:dyDescent="0.25">
      <c r="A80179"/>
      <c r="B80179"/>
      <c r="C80179"/>
      <c r="E80179"/>
      <c r="F80179"/>
    </row>
    <row r="80180" spans="1:6" x14ac:dyDescent="0.25">
      <c r="A80180"/>
      <c r="B80180"/>
      <c r="C80180"/>
      <c r="E80180"/>
      <c r="F80180"/>
    </row>
    <row r="80181" spans="1:6" x14ac:dyDescent="0.25">
      <c r="A80181"/>
      <c r="B80181"/>
      <c r="C80181"/>
      <c r="E80181"/>
      <c r="F80181"/>
    </row>
    <row r="80182" spans="1:6" x14ac:dyDescent="0.25">
      <c r="A80182"/>
      <c r="B80182"/>
      <c r="C80182"/>
      <c r="E80182"/>
      <c r="F80182"/>
    </row>
    <row r="80183" spans="1:6" x14ac:dyDescent="0.25">
      <c r="A80183"/>
      <c r="B80183"/>
      <c r="C80183"/>
      <c r="E80183"/>
      <c r="F80183"/>
    </row>
    <row r="80184" spans="1:6" x14ac:dyDescent="0.25">
      <c r="A80184"/>
      <c r="B80184"/>
      <c r="C80184"/>
      <c r="E80184"/>
      <c r="F80184"/>
    </row>
    <row r="80185" spans="1:6" x14ac:dyDescent="0.25">
      <c r="A80185"/>
      <c r="B80185"/>
      <c r="C80185"/>
      <c r="E80185"/>
      <c r="F80185"/>
    </row>
    <row r="80186" spans="1:6" x14ac:dyDescent="0.25">
      <c r="A80186"/>
      <c r="B80186"/>
      <c r="C80186"/>
      <c r="E80186"/>
      <c r="F80186"/>
    </row>
    <row r="80187" spans="1:6" x14ac:dyDescent="0.25">
      <c r="A80187"/>
      <c r="B80187"/>
      <c r="C80187"/>
      <c r="E80187"/>
      <c r="F80187"/>
    </row>
    <row r="80188" spans="1:6" x14ac:dyDescent="0.25">
      <c r="A80188"/>
      <c r="B80188"/>
      <c r="C80188"/>
      <c r="E80188"/>
      <c r="F80188"/>
    </row>
    <row r="80189" spans="1:6" x14ac:dyDescent="0.25">
      <c r="A80189"/>
      <c r="B80189"/>
      <c r="C80189"/>
      <c r="E80189"/>
      <c r="F80189"/>
    </row>
    <row r="80190" spans="1:6" x14ac:dyDescent="0.25">
      <c r="A80190"/>
      <c r="B80190"/>
      <c r="C80190"/>
      <c r="E80190"/>
      <c r="F80190"/>
    </row>
    <row r="80191" spans="1:6" x14ac:dyDescent="0.25">
      <c r="A80191"/>
      <c r="B80191"/>
      <c r="C80191"/>
      <c r="E80191"/>
      <c r="F80191"/>
    </row>
    <row r="80192" spans="1:6" x14ac:dyDescent="0.25">
      <c r="A80192"/>
      <c r="B80192"/>
      <c r="C80192"/>
      <c r="E80192"/>
      <c r="F80192"/>
    </row>
    <row r="80193" spans="1:6" x14ac:dyDescent="0.25">
      <c r="A80193"/>
      <c r="B80193"/>
      <c r="C80193"/>
      <c r="E80193"/>
      <c r="F80193"/>
    </row>
    <row r="80194" spans="1:6" x14ac:dyDescent="0.25">
      <c r="A80194"/>
      <c r="B80194"/>
      <c r="C80194"/>
      <c r="E80194"/>
      <c r="F80194"/>
    </row>
    <row r="80195" spans="1:6" x14ac:dyDescent="0.25">
      <c r="A80195"/>
      <c r="B80195"/>
      <c r="C80195"/>
      <c r="E80195"/>
      <c r="F80195"/>
    </row>
    <row r="80196" spans="1:6" x14ac:dyDescent="0.25">
      <c r="A80196"/>
      <c r="B80196"/>
      <c r="C80196"/>
      <c r="E80196"/>
      <c r="F80196"/>
    </row>
    <row r="80197" spans="1:6" x14ac:dyDescent="0.25">
      <c r="A80197"/>
      <c r="B80197"/>
      <c r="C80197"/>
      <c r="E80197"/>
      <c r="F80197"/>
    </row>
    <row r="80198" spans="1:6" x14ac:dyDescent="0.25">
      <c r="A80198"/>
      <c r="B80198"/>
      <c r="C80198"/>
      <c r="E80198"/>
      <c r="F80198"/>
    </row>
    <row r="80199" spans="1:6" x14ac:dyDescent="0.25">
      <c r="A80199"/>
      <c r="B80199"/>
      <c r="C80199"/>
      <c r="E80199"/>
      <c r="F80199"/>
    </row>
    <row r="80200" spans="1:6" x14ac:dyDescent="0.25">
      <c r="A80200"/>
      <c r="B80200"/>
      <c r="C80200"/>
      <c r="E80200"/>
      <c r="F80200"/>
    </row>
    <row r="80201" spans="1:6" x14ac:dyDescent="0.25">
      <c r="A80201"/>
      <c r="B80201"/>
      <c r="C80201"/>
      <c r="E80201"/>
      <c r="F80201"/>
    </row>
    <row r="80202" spans="1:6" x14ac:dyDescent="0.25">
      <c r="A80202"/>
      <c r="B80202"/>
      <c r="C80202"/>
      <c r="E80202"/>
      <c r="F80202"/>
    </row>
    <row r="80203" spans="1:6" x14ac:dyDescent="0.25">
      <c r="A80203"/>
      <c r="B80203"/>
      <c r="C80203"/>
      <c r="E80203"/>
      <c r="F80203"/>
    </row>
    <row r="80204" spans="1:6" x14ac:dyDescent="0.25">
      <c r="A80204"/>
      <c r="B80204"/>
      <c r="C80204"/>
      <c r="E80204"/>
      <c r="F80204"/>
    </row>
    <row r="80205" spans="1:6" x14ac:dyDescent="0.25">
      <c r="A80205"/>
      <c r="B80205"/>
      <c r="C80205"/>
      <c r="E80205"/>
      <c r="F80205"/>
    </row>
    <row r="80206" spans="1:6" x14ac:dyDescent="0.25">
      <c r="A80206"/>
      <c r="B80206"/>
      <c r="C80206"/>
      <c r="E80206"/>
      <c r="F80206"/>
    </row>
    <row r="80207" spans="1:6" x14ac:dyDescent="0.25">
      <c r="A80207"/>
      <c r="B80207"/>
      <c r="C80207"/>
      <c r="E80207"/>
      <c r="F80207"/>
    </row>
    <row r="80208" spans="1:6" x14ac:dyDescent="0.25">
      <c r="A80208"/>
      <c r="B80208"/>
      <c r="C80208"/>
      <c r="E80208"/>
      <c r="F80208"/>
    </row>
    <row r="80209" spans="1:6" x14ac:dyDescent="0.25">
      <c r="A80209"/>
      <c r="B80209"/>
      <c r="C80209"/>
      <c r="E80209"/>
      <c r="F80209"/>
    </row>
    <row r="80210" spans="1:6" x14ac:dyDescent="0.25">
      <c r="A80210"/>
      <c r="B80210"/>
      <c r="C80210"/>
      <c r="E80210"/>
      <c r="F80210"/>
    </row>
    <row r="80211" spans="1:6" x14ac:dyDescent="0.25">
      <c r="A80211"/>
      <c r="B80211"/>
      <c r="C80211"/>
      <c r="E80211"/>
      <c r="F80211"/>
    </row>
    <row r="80212" spans="1:6" x14ac:dyDescent="0.25">
      <c r="A80212"/>
      <c r="B80212"/>
      <c r="C80212"/>
      <c r="E80212"/>
      <c r="F80212"/>
    </row>
    <row r="80213" spans="1:6" x14ac:dyDescent="0.25">
      <c r="A80213"/>
      <c r="B80213"/>
      <c r="C80213"/>
      <c r="E80213"/>
      <c r="F80213"/>
    </row>
    <row r="80214" spans="1:6" x14ac:dyDescent="0.25">
      <c r="A80214"/>
      <c r="B80214"/>
      <c r="C80214"/>
      <c r="E80214"/>
      <c r="F80214"/>
    </row>
    <row r="80215" spans="1:6" x14ac:dyDescent="0.25">
      <c r="A80215"/>
      <c r="B80215"/>
      <c r="C80215"/>
      <c r="E80215"/>
      <c r="F80215"/>
    </row>
    <row r="80216" spans="1:6" x14ac:dyDescent="0.25">
      <c r="A80216"/>
      <c r="B80216"/>
      <c r="C80216"/>
      <c r="E80216"/>
      <c r="F80216"/>
    </row>
    <row r="80217" spans="1:6" x14ac:dyDescent="0.25">
      <c r="A80217"/>
      <c r="B80217"/>
      <c r="C80217"/>
      <c r="E80217"/>
      <c r="F80217"/>
    </row>
    <row r="80218" spans="1:6" x14ac:dyDescent="0.25">
      <c r="A80218"/>
      <c r="B80218"/>
      <c r="C80218"/>
      <c r="E80218"/>
      <c r="F80218"/>
    </row>
    <row r="80219" spans="1:6" x14ac:dyDescent="0.25">
      <c r="A80219"/>
      <c r="B80219"/>
      <c r="C80219"/>
      <c r="E80219"/>
      <c r="F80219"/>
    </row>
    <row r="80220" spans="1:6" x14ac:dyDescent="0.25">
      <c r="A80220"/>
      <c r="B80220"/>
      <c r="C80220"/>
      <c r="E80220"/>
      <c r="F80220"/>
    </row>
    <row r="80221" spans="1:6" x14ac:dyDescent="0.25">
      <c r="A80221"/>
      <c r="B80221"/>
      <c r="C80221"/>
      <c r="E80221"/>
      <c r="F80221"/>
    </row>
    <row r="80222" spans="1:6" x14ac:dyDescent="0.25">
      <c r="A80222"/>
      <c r="B80222"/>
      <c r="C80222"/>
      <c r="E80222"/>
      <c r="F80222"/>
    </row>
    <row r="80223" spans="1:6" x14ac:dyDescent="0.25">
      <c r="A80223"/>
      <c r="B80223"/>
      <c r="C80223"/>
      <c r="E80223"/>
      <c r="F80223"/>
    </row>
    <row r="80224" spans="1:6" x14ac:dyDescent="0.25">
      <c r="A80224"/>
      <c r="B80224"/>
      <c r="C80224"/>
      <c r="E80224"/>
      <c r="F80224"/>
    </row>
    <row r="80225" spans="1:6" x14ac:dyDescent="0.25">
      <c r="A80225"/>
      <c r="B80225"/>
      <c r="C80225"/>
      <c r="E80225"/>
      <c r="F80225"/>
    </row>
    <row r="80226" spans="1:6" x14ac:dyDescent="0.25">
      <c r="A80226"/>
      <c r="B80226"/>
      <c r="C80226"/>
      <c r="E80226"/>
      <c r="F80226"/>
    </row>
    <row r="80227" spans="1:6" x14ac:dyDescent="0.25">
      <c r="A80227"/>
      <c r="B80227"/>
      <c r="C80227"/>
      <c r="E80227"/>
      <c r="F80227"/>
    </row>
    <row r="80228" spans="1:6" x14ac:dyDescent="0.25">
      <c r="A80228"/>
      <c r="B80228"/>
      <c r="C80228"/>
      <c r="E80228"/>
      <c r="F80228"/>
    </row>
    <row r="80229" spans="1:6" x14ac:dyDescent="0.25">
      <c r="A80229"/>
      <c r="B80229"/>
      <c r="C80229"/>
      <c r="E80229"/>
      <c r="F80229"/>
    </row>
    <row r="80230" spans="1:6" x14ac:dyDescent="0.25">
      <c r="A80230"/>
      <c r="B80230"/>
      <c r="C80230"/>
      <c r="E80230"/>
      <c r="F80230"/>
    </row>
    <row r="80231" spans="1:6" x14ac:dyDescent="0.25">
      <c r="A80231"/>
      <c r="B80231"/>
      <c r="C80231"/>
      <c r="E80231"/>
      <c r="F80231"/>
    </row>
    <row r="80232" spans="1:6" x14ac:dyDescent="0.25">
      <c r="A80232"/>
      <c r="B80232"/>
      <c r="C80232"/>
      <c r="E80232"/>
      <c r="F80232"/>
    </row>
    <row r="80233" spans="1:6" x14ac:dyDescent="0.25">
      <c r="A80233"/>
      <c r="B80233"/>
      <c r="C80233"/>
      <c r="E80233"/>
      <c r="F80233"/>
    </row>
    <row r="80234" spans="1:6" x14ac:dyDescent="0.25">
      <c r="A80234"/>
      <c r="B80234"/>
      <c r="C80234"/>
      <c r="E80234"/>
      <c r="F80234"/>
    </row>
    <row r="80235" spans="1:6" x14ac:dyDescent="0.25">
      <c r="A80235"/>
      <c r="B80235"/>
      <c r="C80235"/>
      <c r="E80235"/>
      <c r="F80235"/>
    </row>
    <row r="80236" spans="1:6" x14ac:dyDescent="0.25">
      <c r="A80236"/>
      <c r="B80236"/>
      <c r="C80236"/>
      <c r="E80236"/>
      <c r="F80236"/>
    </row>
    <row r="80237" spans="1:6" x14ac:dyDescent="0.25">
      <c r="A80237"/>
      <c r="B80237"/>
      <c r="C80237"/>
      <c r="E80237"/>
      <c r="F80237"/>
    </row>
    <row r="80238" spans="1:6" x14ac:dyDescent="0.25">
      <c r="A80238"/>
      <c r="B80238"/>
      <c r="C80238"/>
      <c r="E80238"/>
      <c r="F80238"/>
    </row>
    <row r="80239" spans="1:6" x14ac:dyDescent="0.25">
      <c r="A80239"/>
      <c r="B80239"/>
      <c r="C80239"/>
      <c r="E80239"/>
      <c r="F80239"/>
    </row>
    <row r="80240" spans="1:6" x14ac:dyDescent="0.25">
      <c r="A80240"/>
      <c r="B80240"/>
      <c r="C80240"/>
      <c r="E80240"/>
      <c r="F80240"/>
    </row>
    <row r="80241" spans="1:6" x14ac:dyDescent="0.25">
      <c r="A80241"/>
      <c r="B80241"/>
      <c r="C80241"/>
      <c r="E80241"/>
      <c r="F80241"/>
    </row>
    <row r="80242" spans="1:6" x14ac:dyDescent="0.25">
      <c r="A80242"/>
      <c r="B80242"/>
      <c r="C80242"/>
      <c r="E80242"/>
      <c r="F80242"/>
    </row>
    <row r="80243" spans="1:6" x14ac:dyDescent="0.25">
      <c r="A80243"/>
      <c r="B80243"/>
      <c r="C80243"/>
      <c r="E80243"/>
      <c r="F80243"/>
    </row>
    <row r="80244" spans="1:6" x14ac:dyDescent="0.25">
      <c r="A80244"/>
      <c r="B80244"/>
      <c r="C80244"/>
      <c r="E80244"/>
      <c r="F80244"/>
    </row>
    <row r="80245" spans="1:6" x14ac:dyDescent="0.25">
      <c r="A80245"/>
      <c r="B80245"/>
      <c r="C80245"/>
      <c r="E80245"/>
      <c r="F80245"/>
    </row>
    <row r="80246" spans="1:6" x14ac:dyDescent="0.25">
      <c r="A80246"/>
      <c r="B80246"/>
      <c r="C80246"/>
      <c r="E80246"/>
      <c r="F80246"/>
    </row>
    <row r="80247" spans="1:6" x14ac:dyDescent="0.25">
      <c r="A80247"/>
      <c r="B80247"/>
      <c r="C80247"/>
      <c r="E80247"/>
      <c r="F80247"/>
    </row>
    <row r="80248" spans="1:6" x14ac:dyDescent="0.25">
      <c r="A80248"/>
      <c r="B80248"/>
      <c r="C80248"/>
      <c r="E80248"/>
      <c r="F80248"/>
    </row>
    <row r="80249" spans="1:6" x14ac:dyDescent="0.25">
      <c r="A80249"/>
      <c r="B80249"/>
      <c r="C80249"/>
      <c r="E80249"/>
      <c r="F80249"/>
    </row>
    <row r="80250" spans="1:6" x14ac:dyDescent="0.25">
      <c r="A80250"/>
      <c r="B80250"/>
      <c r="C80250"/>
      <c r="E80250"/>
      <c r="F80250"/>
    </row>
    <row r="80251" spans="1:6" x14ac:dyDescent="0.25">
      <c r="A80251"/>
      <c r="B80251"/>
      <c r="C80251"/>
      <c r="E80251"/>
      <c r="F80251"/>
    </row>
    <row r="80252" spans="1:6" x14ac:dyDescent="0.25">
      <c r="A80252"/>
      <c r="B80252"/>
      <c r="C80252"/>
      <c r="E80252"/>
      <c r="F80252"/>
    </row>
    <row r="80253" spans="1:6" x14ac:dyDescent="0.25">
      <c r="A80253"/>
      <c r="B80253"/>
      <c r="C80253"/>
      <c r="E80253"/>
      <c r="F80253"/>
    </row>
    <row r="80254" spans="1:6" x14ac:dyDescent="0.25">
      <c r="A80254"/>
      <c r="B80254"/>
      <c r="C80254"/>
      <c r="E80254"/>
      <c r="F80254"/>
    </row>
    <row r="80255" spans="1:6" x14ac:dyDescent="0.25">
      <c r="A80255"/>
      <c r="B80255"/>
      <c r="C80255"/>
      <c r="E80255"/>
      <c r="F80255"/>
    </row>
    <row r="80256" spans="1:6" x14ac:dyDescent="0.25">
      <c r="A80256"/>
      <c r="B80256"/>
      <c r="C80256"/>
      <c r="E80256"/>
      <c r="F80256"/>
    </row>
    <row r="80257" spans="1:6" x14ac:dyDescent="0.25">
      <c r="A80257"/>
      <c r="B80257"/>
      <c r="C80257"/>
      <c r="E80257"/>
      <c r="F80257"/>
    </row>
    <row r="80258" spans="1:6" x14ac:dyDescent="0.25">
      <c r="A80258"/>
      <c r="B80258"/>
      <c r="C80258"/>
      <c r="E80258"/>
      <c r="F80258"/>
    </row>
    <row r="80259" spans="1:6" x14ac:dyDescent="0.25">
      <c r="A80259"/>
      <c r="B80259"/>
      <c r="C80259"/>
      <c r="E80259"/>
      <c r="F80259"/>
    </row>
    <row r="80260" spans="1:6" x14ac:dyDescent="0.25">
      <c r="A80260"/>
      <c r="B80260"/>
      <c r="C80260"/>
      <c r="E80260"/>
      <c r="F80260"/>
    </row>
    <row r="80261" spans="1:6" x14ac:dyDescent="0.25">
      <c r="A80261"/>
      <c r="B80261"/>
      <c r="C80261"/>
      <c r="E80261"/>
      <c r="F80261"/>
    </row>
    <row r="80262" spans="1:6" x14ac:dyDescent="0.25">
      <c r="A80262"/>
      <c r="B80262"/>
      <c r="C80262"/>
      <c r="E80262"/>
      <c r="F80262"/>
    </row>
    <row r="80263" spans="1:6" x14ac:dyDescent="0.25">
      <c r="A80263"/>
      <c r="B80263"/>
      <c r="C80263"/>
      <c r="E80263"/>
      <c r="F80263"/>
    </row>
    <row r="80264" spans="1:6" x14ac:dyDescent="0.25">
      <c r="A80264"/>
      <c r="B80264"/>
      <c r="C80264"/>
      <c r="E80264"/>
      <c r="F80264"/>
    </row>
    <row r="80265" spans="1:6" x14ac:dyDescent="0.25">
      <c r="A80265"/>
      <c r="B80265"/>
      <c r="C80265"/>
      <c r="E80265"/>
      <c r="F80265"/>
    </row>
    <row r="80266" spans="1:6" x14ac:dyDescent="0.25">
      <c r="A80266"/>
      <c r="B80266"/>
      <c r="C80266"/>
      <c r="E80266"/>
      <c r="F80266"/>
    </row>
    <row r="80267" spans="1:6" x14ac:dyDescent="0.25">
      <c r="A80267"/>
      <c r="B80267"/>
      <c r="C80267"/>
      <c r="E80267"/>
      <c r="F80267"/>
    </row>
    <row r="80268" spans="1:6" x14ac:dyDescent="0.25">
      <c r="A80268"/>
      <c r="B80268"/>
      <c r="C80268"/>
      <c r="E80268"/>
      <c r="F80268"/>
    </row>
    <row r="80269" spans="1:6" x14ac:dyDescent="0.25">
      <c r="A80269"/>
      <c r="B80269"/>
      <c r="C80269"/>
      <c r="E80269"/>
      <c r="F80269"/>
    </row>
    <row r="80270" spans="1:6" x14ac:dyDescent="0.25">
      <c r="A80270"/>
      <c r="B80270"/>
      <c r="C80270"/>
      <c r="E80270"/>
      <c r="F80270"/>
    </row>
    <row r="80271" spans="1:6" x14ac:dyDescent="0.25">
      <c r="A80271"/>
      <c r="B80271"/>
      <c r="C80271"/>
      <c r="E80271"/>
      <c r="F80271"/>
    </row>
    <row r="80272" spans="1:6" x14ac:dyDescent="0.25">
      <c r="A80272"/>
      <c r="B80272"/>
      <c r="C80272"/>
      <c r="E80272"/>
      <c r="F80272"/>
    </row>
    <row r="80273" spans="1:6" x14ac:dyDescent="0.25">
      <c r="A80273"/>
      <c r="B80273"/>
      <c r="C80273"/>
      <c r="E80273"/>
      <c r="F80273"/>
    </row>
    <row r="80274" spans="1:6" x14ac:dyDescent="0.25">
      <c r="A80274"/>
      <c r="B80274"/>
      <c r="C80274"/>
      <c r="E80274"/>
      <c r="F80274"/>
    </row>
    <row r="80275" spans="1:6" x14ac:dyDescent="0.25">
      <c r="A80275"/>
      <c r="B80275"/>
      <c r="C80275"/>
      <c r="E80275"/>
      <c r="F80275"/>
    </row>
    <row r="80276" spans="1:6" x14ac:dyDescent="0.25">
      <c r="A80276"/>
      <c r="B80276"/>
      <c r="C80276"/>
      <c r="E80276"/>
      <c r="F80276"/>
    </row>
    <row r="80277" spans="1:6" x14ac:dyDescent="0.25">
      <c r="A80277"/>
      <c r="B80277"/>
      <c r="C80277"/>
      <c r="E80277"/>
      <c r="F80277"/>
    </row>
    <row r="80278" spans="1:6" x14ac:dyDescent="0.25">
      <c r="A80278"/>
      <c r="B80278"/>
      <c r="C80278"/>
      <c r="E80278"/>
      <c r="F80278"/>
    </row>
    <row r="80279" spans="1:6" x14ac:dyDescent="0.25">
      <c r="A80279"/>
      <c r="B80279"/>
      <c r="C80279"/>
      <c r="E80279"/>
      <c r="F80279"/>
    </row>
    <row r="80280" spans="1:6" x14ac:dyDescent="0.25">
      <c r="A80280"/>
      <c r="B80280"/>
      <c r="C80280"/>
      <c r="E80280"/>
      <c r="F80280"/>
    </row>
    <row r="80281" spans="1:6" x14ac:dyDescent="0.25">
      <c r="A80281"/>
      <c r="B80281"/>
      <c r="C80281"/>
      <c r="E80281"/>
      <c r="F80281"/>
    </row>
    <row r="80282" spans="1:6" x14ac:dyDescent="0.25">
      <c r="A80282"/>
      <c r="B80282"/>
      <c r="C80282"/>
      <c r="E80282"/>
      <c r="F80282"/>
    </row>
    <row r="80283" spans="1:6" x14ac:dyDescent="0.25">
      <c r="A80283"/>
      <c r="B80283"/>
      <c r="C80283"/>
      <c r="E80283"/>
      <c r="F80283"/>
    </row>
    <row r="80284" spans="1:6" x14ac:dyDescent="0.25">
      <c r="A80284"/>
      <c r="B80284"/>
      <c r="C80284"/>
      <c r="E80284"/>
      <c r="F80284"/>
    </row>
    <row r="80285" spans="1:6" x14ac:dyDescent="0.25">
      <c r="A80285"/>
      <c r="B80285"/>
      <c r="C80285"/>
      <c r="E80285"/>
      <c r="F80285"/>
    </row>
    <row r="80286" spans="1:6" x14ac:dyDescent="0.25">
      <c r="A80286"/>
      <c r="B80286"/>
      <c r="C80286"/>
      <c r="E80286"/>
      <c r="F80286"/>
    </row>
    <row r="80287" spans="1:6" x14ac:dyDescent="0.25">
      <c r="A80287"/>
      <c r="B80287"/>
      <c r="C80287"/>
      <c r="E80287"/>
      <c r="F80287"/>
    </row>
    <row r="80288" spans="1:6" x14ac:dyDescent="0.25">
      <c r="A80288"/>
      <c r="B80288"/>
      <c r="C80288"/>
      <c r="E80288"/>
      <c r="F80288"/>
    </row>
    <row r="80289" spans="1:6" x14ac:dyDescent="0.25">
      <c r="A80289"/>
      <c r="B80289"/>
      <c r="C80289"/>
      <c r="E80289"/>
      <c r="F80289"/>
    </row>
    <row r="80290" spans="1:6" x14ac:dyDescent="0.25">
      <c r="A80290"/>
      <c r="B80290"/>
      <c r="C80290"/>
      <c r="E80290"/>
      <c r="F80290"/>
    </row>
    <row r="80291" spans="1:6" x14ac:dyDescent="0.25">
      <c r="A80291"/>
      <c r="B80291"/>
      <c r="C80291"/>
      <c r="E80291"/>
      <c r="F80291"/>
    </row>
    <row r="80292" spans="1:6" x14ac:dyDescent="0.25">
      <c r="A80292"/>
      <c r="B80292"/>
      <c r="C80292"/>
      <c r="E80292"/>
      <c r="F80292"/>
    </row>
    <row r="80293" spans="1:6" x14ac:dyDescent="0.25">
      <c r="A80293"/>
      <c r="B80293"/>
      <c r="C80293"/>
      <c r="E80293"/>
      <c r="F80293"/>
    </row>
    <row r="80294" spans="1:6" x14ac:dyDescent="0.25">
      <c r="A80294"/>
      <c r="B80294"/>
      <c r="C80294"/>
      <c r="E80294"/>
      <c r="F80294"/>
    </row>
    <row r="80295" spans="1:6" x14ac:dyDescent="0.25">
      <c r="A80295"/>
      <c r="B80295"/>
      <c r="C80295"/>
      <c r="E80295"/>
      <c r="F80295"/>
    </row>
    <row r="80296" spans="1:6" x14ac:dyDescent="0.25">
      <c r="A80296"/>
      <c r="B80296"/>
      <c r="C80296"/>
      <c r="E80296"/>
      <c r="F80296"/>
    </row>
    <row r="80297" spans="1:6" x14ac:dyDescent="0.25">
      <c r="A80297"/>
      <c r="B80297"/>
      <c r="C80297"/>
      <c r="E80297"/>
      <c r="F80297"/>
    </row>
    <row r="80298" spans="1:6" x14ac:dyDescent="0.25">
      <c r="A80298"/>
      <c r="B80298"/>
      <c r="C80298"/>
      <c r="E80298"/>
      <c r="F80298"/>
    </row>
    <row r="80299" spans="1:6" x14ac:dyDescent="0.25">
      <c r="A80299"/>
      <c r="B80299"/>
      <c r="C80299"/>
      <c r="E80299"/>
      <c r="F80299"/>
    </row>
    <row r="80300" spans="1:6" x14ac:dyDescent="0.25">
      <c r="A80300"/>
      <c r="B80300"/>
      <c r="C80300"/>
      <c r="E80300"/>
      <c r="F80300"/>
    </row>
    <row r="80301" spans="1:6" x14ac:dyDescent="0.25">
      <c r="A80301"/>
      <c r="B80301"/>
      <c r="C80301"/>
      <c r="E80301"/>
      <c r="F80301"/>
    </row>
    <row r="80302" spans="1:6" x14ac:dyDescent="0.25">
      <c r="A80302"/>
      <c r="B80302"/>
      <c r="C80302"/>
      <c r="E80302"/>
      <c r="F80302"/>
    </row>
    <row r="80303" spans="1:6" x14ac:dyDescent="0.25">
      <c r="A80303"/>
      <c r="B80303"/>
      <c r="C80303"/>
      <c r="E80303"/>
      <c r="F80303"/>
    </row>
    <row r="80304" spans="1:6" x14ac:dyDescent="0.25">
      <c r="A80304"/>
      <c r="B80304"/>
      <c r="C80304"/>
      <c r="E80304"/>
      <c r="F80304"/>
    </row>
    <row r="80305" spans="1:6" x14ac:dyDescent="0.25">
      <c r="A80305"/>
      <c r="B80305"/>
      <c r="C80305"/>
      <c r="E80305"/>
      <c r="F80305"/>
    </row>
    <row r="80306" spans="1:6" x14ac:dyDescent="0.25">
      <c r="A80306"/>
      <c r="B80306"/>
      <c r="C80306"/>
      <c r="E80306"/>
      <c r="F80306"/>
    </row>
    <row r="80307" spans="1:6" x14ac:dyDescent="0.25">
      <c r="A80307"/>
      <c r="B80307"/>
      <c r="C80307"/>
      <c r="E80307"/>
      <c r="F80307"/>
    </row>
    <row r="80308" spans="1:6" x14ac:dyDescent="0.25">
      <c r="A80308"/>
      <c r="B80308"/>
      <c r="C80308"/>
      <c r="E80308"/>
      <c r="F80308"/>
    </row>
    <row r="80309" spans="1:6" x14ac:dyDescent="0.25">
      <c r="A80309"/>
      <c r="B80309"/>
      <c r="C80309"/>
      <c r="E80309"/>
      <c r="F80309"/>
    </row>
    <row r="80310" spans="1:6" x14ac:dyDescent="0.25">
      <c r="A80310"/>
      <c r="B80310"/>
      <c r="C80310"/>
      <c r="E80310"/>
      <c r="F80310"/>
    </row>
    <row r="80311" spans="1:6" x14ac:dyDescent="0.25">
      <c r="A80311"/>
      <c r="B80311"/>
      <c r="C80311"/>
      <c r="E80311"/>
      <c r="F80311"/>
    </row>
    <row r="80312" spans="1:6" x14ac:dyDescent="0.25">
      <c r="A80312"/>
      <c r="B80312"/>
      <c r="C80312"/>
      <c r="E80312"/>
      <c r="F80312"/>
    </row>
    <row r="80313" spans="1:6" x14ac:dyDescent="0.25">
      <c r="A80313"/>
      <c r="B80313"/>
      <c r="C80313"/>
      <c r="E80313"/>
      <c r="F80313"/>
    </row>
    <row r="80314" spans="1:6" x14ac:dyDescent="0.25">
      <c r="A80314"/>
      <c r="B80314"/>
      <c r="C80314"/>
      <c r="E80314"/>
      <c r="F80314"/>
    </row>
    <row r="80315" spans="1:6" x14ac:dyDescent="0.25">
      <c r="A80315"/>
      <c r="B80315"/>
      <c r="C80315"/>
      <c r="E80315"/>
      <c r="F80315"/>
    </row>
    <row r="80316" spans="1:6" x14ac:dyDescent="0.25">
      <c r="A80316"/>
      <c r="B80316"/>
      <c r="C80316"/>
      <c r="E80316"/>
      <c r="F80316"/>
    </row>
    <row r="80317" spans="1:6" x14ac:dyDescent="0.25">
      <c r="A80317"/>
      <c r="B80317"/>
      <c r="C80317"/>
      <c r="E80317"/>
      <c r="F80317"/>
    </row>
    <row r="80318" spans="1:6" x14ac:dyDescent="0.25">
      <c r="A80318"/>
      <c r="B80318"/>
      <c r="C80318"/>
      <c r="E80318"/>
      <c r="F80318"/>
    </row>
    <row r="80319" spans="1:6" x14ac:dyDescent="0.25">
      <c r="A80319"/>
      <c r="B80319"/>
      <c r="C80319"/>
      <c r="E80319"/>
      <c r="F80319"/>
    </row>
    <row r="80320" spans="1:6" x14ac:dyDescent="0.25">
      <c r="A80320"/>
      <c r="B80320"/>
      <c r="C80320"/>
      <c r="E80320"/>
      <c r="F80320"/>
    </row>
    <row r="80321" spans="1:6" x14ac:dyDescent="0.25">
      <c r="A80321"/>
      <c r="B80321"/>
      <c r="C80321"/>
      <c r="E80321"/>
      <c r="F80321"/>
    </row>
    <row r="80322" spans="1:6" x14ac:dyDescent="0.25">
      <c r="A80322"/>
      <c r="B80322"/>
      <c r="C80322"/>
      <c r="E80322"/>
      <c r="F80322"/>
    </row>
    <row r="80323" spans="1:6" x14ac:dyDescent="0.25">
      <c r="A80323"/>
      <c r="B80323"/>
      <c r="C80323"/>
      <c r="E80323"/>
      <c r="F80323"/>
    </row>
    <row r="80324" spans="1:6" x14ac:dyDescent="0.25">
      <c r="A80324"/>
      <c r="B80324"/>
      <c r="C80324"/>
      <c r="E80324"/>
      <c r="F80324"/>
    </row>
    <row r="80325" spans="1:6" x14ac:dyDescent="0.25">
      <c r="A80325"/>
      <c r="B80325"/>
      <c r="C80325"/>
      <c r="E80325"/>
      <c r="F80325"/>
    </row>
    <row r="80326" spans="1:6" x14ac:dyDescent="0.25">
      <c r="A80326"/>
      <c r="B80326"/>
      <c r="C80326"/>
      <c r="E80326"/>
      <c r="F80326"/>
    </row>
    <row r="80327" spans="1:6" x14ac:dyDescent="0.25">
      <c r="A80327"/>
      <c r="B80327"/>
      <c r="C80327"/>
      <c r="E80327"/>
      <c r="F80327"/>
    </row>
    <row r="80328" spans="1:6" x14ac:dyDescent="0.25">
      <c r="A80328"/>
      <c r="B80328"/>
      <c r="C80328"/>
      <c r="E80328"/>
      <c r="F80328"/>
    </row>
    <row r="80329" spans="1:6" x14ac:dyDescent="0.25">
      <c r="A80329"/>
      <c r="B80329"/>
      <c r="C80329"/>
      <c r="E80329"/>
      <c r="F80329"/>
    </row>
    <row r="80330" spans="1:6" x14ac:dyDescent="0.25">
      <c r="A80330"/>
      <c r="B80330"/>
      <c r="C80330"/>
      <c r="E80330"/>
      <c r="F80330"/>
    </row>
    <row r="80331" spans="1:6" x14ac:dyDescent="0.25">
      <c r="A80331"/>
      <c r="B80331"/>
      <c r="C80331"/>
      <c r="E80331"/>
      <c r="F80331"/>
    </row>
    <row r="80332" spans="1:6" x14ac:dyDescent="0.25">
      <c r="A80332"/>
      <c r="B80332"/>
      <c r="C80332"/>
      <c r="E80332"/>
      <c r="F80332"/>
    </row>
    <row r="80333" spans="1:6" x14ac:dyDescent="0.25">
      <c r="A80333"/>
      <c r="B80333"/>
      <c r="C80333"/>
      <c r="E80333"/>
      <c r="F80333"/>
    </row>
    <row r="80334" spans="1:6" x14ac:dyDescent="0.25">
      <c r="A80334"/>
      <c r="B80334"/>
      <c r="C80334"/>
      <c r="E80334"/>
      <c r="F80334"/>
    </row>
    <row r="80335" spans="1:6" x14ac:dyDescent="0.25">
      <c r="A80335"/>
      <c r="B80335"/>
      <c r="C80335"/>
      <c r="E80335"/>
      <c r="F80335"/>
    </row>
    <row r="80336" spans="1:6" x14ac:dyDescent="0.25">
      <c r="A80336"/>
      <c r="B80336"/>
      <c r="C80336"/>
      <c r="E80336"/>
      <c r="F80336"/>
    </row>
    <row r="80337" spans="1:6" x14ac:dyDescent="0.25">
      <c r="A80337"/>
      <c r="B80337"/>
      <c r="C80337"/>
      <c r="E80337"/>
      <c r="F80337"/>
    </row>
    <row r="80338" spans="1:6" x14ac:dyDescent="0.25">
      <c r="A80338"/>
      <c r="B80338"/>
      <c r="C80338"/>
      <c r="E80338"/>
      <c r="F80338"/>
    </row>
    <row r="80339" spans="1:6" x14ac:dyDescent="0.25">
      <c r="A80339"/>
      <c r="B80339"/>
      <c r="C80339"/>
      <c r="E80339"/>
      <c r="F80339"/>
    </row>
    <row r="80340" spans="1:6" x14ac:dyDescent="0.25">
      <c r="A80340"/>
      <c r="B80340"/>
      <c r="C80340"/>
      <c r="E80340"/>
      <c r="F80340"/>
    </row>
    <row r="80341" spans="1:6" x14ac:dyDescent="0.25">
      <c r="A80341"/>
      <c r="B80341"/>
      <c r="C80341"/>
      <c r="E80341"/>
      <c r="F80341"/>
    </row>
    <row r="80342" spans="1:6" x14ac:dyDescent="0.25">
      <c r="A80342"/>
      <c r="B80342"/>
      <c r="C80342"/>
      <c r="E80342"/>
      <c r="F80342"/>
    </row>
    <row r="80343" spans="1:6" x14ac:dyDescent="0.25">
      <c r="A80343"/>
      <c r="B80343"/>
      <c r="C80343"/>
      <c r="E80343"/>
      <c r="F80343"/>
    </row>
    <row r="80344" spans="1:6" x14ac:dyDescent="0.25">
      <c r="A80344"/>
      <c r="B80344"/>
      <c r="C80344"/>
      <c r="E80344"/>
      <c r="F80344"/>
    </row>
    <row r="80345" spans="1:6" x14ac:dyDescent="0.25">
      <c r="A80345"/>
      <c r="B80345"/>
      <c r="C80345"/>
      <c r="E80345"/>
      <c r="F80345"/>
    </row>
    <row r="80346" spans="1:6" x14ac:dyDescent="0.25">
      <c r="A80346"/>
      <c r="B80346"/>
      <c r="C80346"/>
      <c r="E80346"/>
      <c r="F80346"/>
    </row>
    <row r="80347" spans="1:6" x14ac:dyDescent="0.25">
      <c r="A80347"/>
      <c r="B80347"/>
      <c r="C80347"/>
      <c r="E80347"/>
      <c r="F80347"/>
    </row>
    <row r="80348" spans="1:6" x14ac:dyDescent="0.25">
      <c r="A80348"/>
      <c r="B80348"/>
      <c r="C80348"/>
      <c r="E80348"/>
      <c r="F80348"/>
    </row>
    <row r="80349" spans="1:6" x14ac:dyDescent="0.25">
      <c r="A80349"/>
      <c r="B80349"/>
      <c r="C80349"/>
      <c r="E80349"/>
      <c r="F80349"/>
    </row>
    <row r="80350" spans="1:6" x14ac:dyDescent="0.25">
      <c r="A80350"/>
      <c r="B80350"/>
      <c r="C80350"/>
      <c r="E80350"/>
      <c r="F80350"/>
    </row>
    <row r="80351" spans="1:6" x14ac:dyDescent="0.25">
      <c r="A80351"/>
      <c r="B80351"/>
      <c r="C80351"/>
      <c r="E80351"/>
      <c r="F80351"/>
    </row>
    <row r="80352" spans="1:6" x14ac:dyDescent="0.25">
      <c r="A80352"/>
      <c r="B80352"/>
      <c r="C80352"/>
      <c r="E80352"/>
      <c r="F80352"/>
    </row>
    <row r="80353" spans="1:6" x14ac:dyDescent="0.25">
      <c r="A80353"/>
      <c r="B80353"/>
      <c r="C80353"/>
      <c r="E80353"/>
      <c r="F80353"/>
    </row>
    <row r="80354" spans="1:6" x14ac:dyDescent="0.25">
      <c r="A80354"/>
      <c r="B80354"/>
      <c r="C80354"/>
      <c r="E80354"/>
      <c r="F80354"/>
    </row>
    <row r="80355" spans="1:6" x14ac:dyDescent="0.25">
      <c r="A80355"/>
      <c r="B80355"/>
      <c r="C80355"/>
      <c r="E80355"/>
      <c r="F80355"/>
    </row>
    <row r="80356" spans="1:6" x14ac:dyDescent="0.25">
      <c r="A80356"/>
      <c r="B80356"/>
      <c r="C80356"/>
      <c r="E80356"/>
      <c r="F80356"/>
    </row>
    <row r="80357" spans="1:6" x14ac:dyDescent="0.25">
      <c r="A80357"/>
      <c r="B80357"/>
      <c r="C80357"/>
      <c r="E80357"/>
      <c r="F80357"/>
    </row>
    <row r="80358" spans="1:6" x14ac:dyDescent="0.25">
      <c r="A80358"/>
      <c r="B80358"/>
      <c r="C80358"/>
      <c r="E80358"/>
      <c r="F80358"/>
    </row>
    <row r="80359" spans="1:6" x14ac:dyDescent="0.25">
      <c r="A80359"/>
      <c r="B80359"/>
      <c r="C80359"/>
      <c r="E80359"/>
      <c r="F80359"/>
    </row>
    <row r="80360" spans="1:6" x14ac:dyDescent="0.25">
      <c r="A80360"/>
      <c r="B80360"/>
      <c r="C80360"/>
      <c r="E80360"/>
      <c r="F80360"/>
    </row>
    <row r="80361" spans="1:6" x14ac:dyDescent="0.25">
      <c r="A80361"/>
      <c r="B80361"/>
      <c r="C80361"/>
      <c r="E80361"/>
      <c r="F80361"/>
    </row>
    <row r="80362" spans="1:6" x14ac:dyDescent="0.25">
      <c r="A80362"/>
      <c r="B80362"/>
      <c r="C80362"/>
      <c r="E80362"/>
      <c r="F80362"/>
    </row>
    <row r="80363" spans="1:6" x14ac:dyDescent="0.25">
      <c r="A80363"/>
      <c r="B80363"/>
      <c r="C80363"/>
      <c r="E80363"/>
      <c r="F80363"/>
    </row>
    <row r="80364" spans="1:6" x14ac:dyDescent="0.25">
      <c r="A80364"/>
      <c r="B80364"/>
      <c r="C80364"/>
      <c r="E80364"/>
      <c r="F80364"/>
    </row>
    <row r="80365" spans="1:6" x14ac:dyDescent="0.25">
      <c r="A80365"/>
      <c r="B80365"/>
      <c r="C80365"/>
      <c r="E80365"/>
      <c r="F80365"/>
    </row>
    <row r="80366" spans="1:6" x14ac:dyDescent="0.25">
      <c r="A80366"/>
      <c r="B80366"/>
      <c r="C80366"/>
      <c r="E80366"/>
      <c r="F80366"/>
    </row>
    <row r="80367" spans="1:6" x14ac:dyDescent="0.25">
      <c r="A80367"/>
      <c r="B80367"/>
      <c r="C80367"/>
      <c r="E80367"/>
      <c r="F80367"/>
    </row>
    <row r="80368" spans="1:6" x14ac:dyDescent="0.25">
      <c r="A80368"/>
      <c r="B80368"/>
      <c r="C80368"/>
      <c r="E80368"/>
      <c r="F80368"/>
    </row>
    <row r="80369" spans="1:6" x14ac:dyDescent="0.25">
      <c r="A80369"/>
      <c r="B80369"/>
      <c r="C80369"/>
      <c r="E80369"/>
      <c r="F80369"/>
    </row>
    <row r="80370" spans="1:6" x14ac:dyDescent="0.25">
      <c r="A80370"/>
      <c r="B80370"/>
      <c r="C80370"/>
      <c r="E80370"/>
      <c r="F80370"/>
    </row>
    <row r="80371" spans="1:6" x14ac:dyDescent="0.25">
      <c r="A80371"/>
      <c r="B80371"/>
      <c r="C80371"/>
      <c r="E80371"/>
      <c r="F80371"/>
    </row>
    <row r="80372" spans="1:6" x14ac:dyDescent="0.25">
      <c r="A80372"/>
      <c r="B80372"/>
      <c r="C80372"/>
      <c r="E80372"/>
      <c r="F80372"/>
    </row>
    <row r="80373" spans="1:6" x14ac:dyDescent="0.25">
      <c r="A80373"/>
      <c r="B80373"/>
      <c r="C80373"/>
      <c r="E80373"/>
      <c r="F80373"/>
    </row>
    <row r="80374" spans="1:6" x14ac:dyDescent="0.25">
      <c r="A80374"/>
      <c r="B80374"/>
      <c r="C80374"/>
      <c r="E80374"/>
      <c r="F80374"/>
    </row>
    <row r="80375" spans="1:6" x14ac:dyDescent="0.25">
      <c r="A80375"/>
      <c r="B80375"/>
      <c r="C80375"/>
      <c r="E80375"/>
      <c r="F80375"/>
    </row>
    <row r="80376" spans="1:6" x14ac:dyDescent="0.25">
      <c r="A80376"/>
      <c r="B80376"/>
      <c r="C80376"/>
      <c r="E80376"/>
      <c r="F80376"/>
    </row>
    <row r="80377" spans="1:6" x14ac:dyDescent="0.25">
      <c r="A80377"/>
      <c r="B80377"/>
      <c r="C80377"/>
      <c r="E80377"/>
      <c r="F80377"/>
    </row>
    <row r="80378" spans="1:6" x14ac:dyDescent="0.25">
      <c r="A80378"/>
      <c r="B80378"/>
      <c r="C80378"/>
      <c r="E80378"/>
      <c r="F80378"/>
    </row>
    <row r="80379" spans="1:6" x14ac:dyDescent="0.25">
      <c r="A80379"/>
      <c r="B80379"/>
      <c r="C80379"/>
      <c r="E80379"/>
      <c r="F80379"/>
    </row>
    <row r="80380" spans="1:6" x14ac:dyDescent="0.25">
      <c r="A80380"/>
      <c r="B80380"/>
      <c r="C80380"/>
      <c r="E80380"/>
      <c r="F80380"/>
    </row>
    <row r="80381" spans="1:6" x14ac:dyDescent="0.25">
      <c r="A80381"/>
      <c r="B80381"/>
      <c r="C80381"/>
      <c r="E80381"/>
      <c r="F80381"/>
    </row>
    <row r="80382" spans="1:6" x14ac:dyDescent="0.25">
      <c r="A80382"/>
      <c r="B80382"/>
      <c r="C80382"/>
      <c r="E80382"/>
      <c r="F80382"/>
    </row>
    <row r="80383" spans="1:6" x14ac:dyDescent="0.25">
      <c r="A80383"/>
      <c r="B80383"/>
      <c r="C80383"/>
      <c r="E80383"/>
      <c r="F80383"/>
    </row>
    <row r="80384" spans="1:6" x14ac:dyDescent="0.25">
      <c r="A80384"/>
      <c r="B80384"/>
      <c r="C80384"/>
      <c r="E80384"/>
      <c r="F80384"/>
    </row>
    <row r="80385" spans="1:6" x14ac:dyDescent="0.25">
      <c r="A80385"/>
      <c r="B80385"/>
      <c r="C80385"/>
      <c r="E80385"/>
      <c r="F80385"/>
    </row>
    <row r="80386" spans="1:6" x14ac:dyDescent="0.25">
      <c r="A80386"/>
      <c r="B80386"/>
      <c r="C80386"/>
      <c r="E80386"/>
      <c r="F80386"/>
    </row>
    <row r="80387" spans="1:6" x14ac:dyDescent="0.25">
      <c r="A80387"/>
      <c r="B80387"/>
      <c r="C80387"/>
      <c r="E80387"/>
      <c r="F80387"/>
    </row>
    <row r="80388" spans="1:6" x14ac:dyDescent="0.25">
      <c r="A80388"/>
      <c r="B80388"/>
      <c r="C80388"/>
      <c r="E80388"/>
      <c r="F80388"/>
    </row>
    <row r="80389" spans="1:6" x14ac:dyDescent="0.25">
      <c r="A80389"/>
      <c r="B80389"/>
      <c r="C80389"/>
      <c r="E80389"/>
      <c r="F80389"/>
    </row>
    <row r="80390" spans="1:6" x14ac:dyDescent="0.25">
      <c r="A80390"/>
      <c r="B80390"/>
      <c r="C80390"/>
      <c r="E80390"/>
      <c r="F80390"/>
    </row>
    <row r="80391" spans="1:6" x14ac:dyDescent="0.25">
      <c r="A80391"/>
      <c r="B80391"/>
      <c r="C80391"/>
      <c r="E80391"/>
      <c r="F80391"/>
    </row>
    <row r="80392" spans="1:6" x14ac:dyDescent="0.25">
      <c r="A80392"/>
      <c r="B80392"/>
      <c r="C80392"/>
      <c r="E80392"/>
      <c r="F80392"/>
    </row>
    <row r="80393" spans="1:6" x14ac:dyDescent="0.25">
      <c r="A80393"/>
      <c r="B80393"/>
      <c r="C80393"/>
      <c r="E80393"/>
      <c r="F80393"/>
    </row>
    <row r="80394" spans="1:6" x14ac:dyDescent="0.25">
      <c r="A80394"/>
      <c r="B80394"/>
      <c r="C80394"/>
      <c r="E80394"/>
      <c r="F80394"/>
    </row>
    <row r="80395" spans="1:6" x14ac:dyDescent="0.25">
      <c r="A80395"/>
      <c r="B80395"/>
      <c r="C80395"/>
      <c r="E80395"/>
      <c r="F80395"/>
    </row>
    <row r="80396" spans="1:6" x14ac:dyDescent="0.25">
      <c r="A80396"/>
      <c r="B80396"/>
      <c r="C80396"/>
      <c r="E80396"/>
      <c r="F80396"/>
    </row>
    <row r="80397" spans="1:6" x14ac:dyDescent="0.25">
      <c r="A80397"/>
      <c r="B80397"/>
      <c r="C80397"/>
      <c r="E80397"/>
      <c r="F80397"/>
    </row>
    <row r="80398" spans="1:6" x14ac:dyDescent="0.25">
      <c r="A80398"/>
      <c r="B80398"/>
      <c r="C80398"/>
      <c r="E80398"/>
      <c r="F80398"/>
    </row>
    <row r="80399" spans="1:6" x14ac:dyDescent="0.25">
      <c r="A80399"/>
      <c r="B80399"/>
      <c r="C80399"/>
      <c r="E80399"/>
      <c r="F80399"/>
    </row>
    <row r="80400" spans="1:6" x14ac:dyDescent="0.25">
      <c r="A80400"/>
      <c r="B80400"/>
      <c r="C80400"/>
      <c r="E80400"/>
      <c r="F80400"/>
    </row>
    <row r="80401" spans="1:6" x14ac:dyDescent="0.25">
      <c r="A80401"/>
      <c r="B80401"/>
      <c r="C80401"/>
      <c r="E80401"/>
      <c r="F80401"/>
    </row>
    <row r="80402" spans="1:6" x14ac:dyDescent="0.25">
      <c r="A80402"/>
      <c r="B80402"/>
      <c r="C80402"/>
      <c r="E80402"/>
      <c r="F80402"/>
    </row>
    <row r="80403" spans="1:6" x14ac:dyDescent="0.25">
      <c r="A80403"/>
      <c r="B80403"/>
      <c r="C80403"/>
      <c r="E80403"/>
      <c r="F80403"/>
    </row>
    <row r="80404" spans="1:6" x14ac:dyDescent="0.25">
      <c r="A80404"/>
      <c r="B80404"/>
      <c r="C80404"/>
      <c r="E80404"/>
      <c r="F80404"/>
    </row>
    <row r="80405" spans="1:6" x14ac:dyDescent="0.25">
      <c r="A80405"/>
      <c r="B80405"/>
      <c r="C80405"/>
      <c r="E80405"/>
      <c r="F80405"/>
    </row>
    <row r="80406" spans="1:6" x14ac:dyDescent="0.25">
      <c r="A80406"/>
      <c r="B80406"/>
      <c r="C80406"/>
      <c r="E80406"/>
      <c r="F80406"/>
    </row>
    <row r="80407" spans="1:6" x14ac:dyDescent="0.25">
      <c r="A80407"/>
      <c r="B80407"/>
      <c r="C80407"/>
      <c r="E80407"/>
      <c r="F80407"/>
    </row>
    <row r="80408" spans="1:6" x14ac:dyDescent="0.25">
      <c r="A80408"/>
      <c r="B80408"/>
      <c r="C80408"/>
      <c r="E80408"/>
      <c r="F80408"/>
    </row>
    <row r="80409" spans="1:6" x14ac:dyDescent="0.25">
      <c r="A80409"/>
      <c r="B80409"/>
      <c r="C80409"/>
      <c r="E80409"/>
      <c r="F80409"/>
    </row>
    <row r="80410" spans="1:6" x14ac:dyDescent="0.25">
      <c r="A80410"/>
      <c r="B80410"/>
      <c r="C80410"/>
      <c r="E80410"/>
      <c r="F80410"/>
    </row>
    <row r="80411" spans="1:6" x14ac:dyDescent="0.25">
      <c r="A80411"/>
      <c r="B80411"/>
      <c r="C80411"/>
      <c r="E80411"/>
      <c r="F80411"/>
    </row>
    <row r="80412" spans="1:6" x14ac:dyDescent="0.25">
      <c r="A80412"/>
      <c r="B80412"/>
      <c r="C80412"/>
      <c r="E80412"/>
      <c r="F80412"/>
    </row>
    <row r="80413" spans="1:6" x14ac:dyDescent="0.25">
      <c r="A80413"/>
      <c r="B80413"/>
      <c r="C80413"/>
      <c r="E80413"/>
      <c r="F80413"/>
    </row>
    <row r="80414" spans="1:6" x14ac:dyDescent="0.25">
      <c r="A80414"/>
      <c r="B80414"/>
      <c r="C80414"/>
      <c r="E80414"/>
      <c r="F80414"/>
    </row>
    <row r="80415" spans="1:6" x14ac:dyDescent="0.25">
      <c r="A80415"/>
      <c r="B80415"/>
      <c r="C80415"/>
      <c r="E80415"/>
      <c r="F80415"/>
    </row>
    <row r="80416" spans="1:6" x14ac:dyDescent="0.25">
      <c r="A80416"/>
      <c r="B80416"/>
      <c r="C80416"/>
      <c r="E80416"/>
      <c r="F80416"/>
    </row>
    <row r="80417" spans="1:6" x14ac:dyDescent="0.25">
      <c r="A80417"/>
      <c r="B80417"/>
      <c r="C80417"/>
      <c r="E80417"/>
      <c r="F80417"/>
    </row>
    <row r="80418" spans="1:6" x14ac:dyDescent="0.25">
      <c r="A80418"/>
      <c r="B80418"/>
      <c r="C80418"/>
      <c r="E80418"/>
      <c r="F80418"/>
    </row>
    <row r="80419" spans="1:6" x14ac:dyDescent="0.25">
      <c r="A80419"/>
      <c r="B80419"/>
      <c r="C80419"/>
      <c r="E80419"/>
      <c r="F80419"/>
    </row>
    <row r="80420" spans="1:6" x14ac:dyDescent="0.25">
      <c r="A80420"/>
      <c r="B80420"/>
      <c r="C80420"/>
      <c r="E80420"/>
      <c r="F80420"/>
    </row>
    <row r="80421" spans="1:6" x14ac:dyDescent="0.25">
      <c r="A80421"/>
      <c r="B80421"/>
      <c r="C80421"/>
      <c r="E80421"/>
      <c r="F80421"/>
    </row>
    <row r="80422" spans="1:6" x14ac:dyDescent="0.25">
      <c r="A80422"/>
      <c r="B80422"/>
      <c r="C80422"/>
      <c r="E80422"/>
      <c r="F80422"/>
    </row>
    <row r="80423" spans="1:6" x14ac:dyDescent="0.25">
      <c r="A80423"/>
      <c r="B80423"/>
      <c r="C80423"/>
      <c r="E80423"/>
      <c r="F80423"/>
    </row>
    <row r="80424" spans="1:6" x14ac:dyDescent="0.25">
      <c r="A80424"/>
      <c r="B80424"/>
      <c r="C80424"/>
      <c r="E80424"/>
      <c r="F80424"/>
    </row>
    <row r="80425" spans="1:6" x14ac:dyDescent="0.25">
      <c r="A80425"/>
      <c r="B80425"/>
      <c r="C80425"/>
      <c r="E80425"/>
      <c r="F80425"/>
    </row>
    <row r="80426" spans="1:6" x14ac:dyDescent="0.25">
      <c r="A80426"/>
      <c r="B80426"/>
      <c r="C80426"/>
      <c r="E80426"/>
      <c r="F80426"/>
    </row>
    <row r="80427" spans="1:6" x14ac:dyDescent="0.25">
      <c r="A80427"/>
      <c r="B80427"/>
      <c r="C80427"/>
      <c r="E80427"/>
      <c r="F80427"/>
    </row>
    <row r="80428" spans="1:6" x14ac:dyDescent="0.25">
      <c r="A80428"/>
      <c r="B80428"/>
      <c r="C80428"/>
      <c r="E80428"/>
      <c r="F80428"/>
    </row>
    <row r="80429" spans="1:6" x14ac:dyDescent="0.25">
      <c r="A80429"/>
      <c r="B80429"/>
      <c r="C80429"/>
      <c r="E80429"/>
      <c r="F80429"/>
    </row>
    <row r="80430" spans="1:6" x14ac:dyDescent="0.25">
      <c r="A80430"/>
      <c r="B80430"/>
      <c r="C80430"/>
      <c r="E80430"/>
      <c r="F80430"/>
    </row>
    <row r="80431" spans="1:6" x14ac:dyDescent="0.25">
      <c r="A80431"/>
      <c r="B80431"/>
      <c r="C80431"/>
      <c r="E80431"/>
      <c r="F80431"/>
    </row>
    <row r="80432" spans="1:6" x14ac:dyDescent="0.25">
      <c r="A80432"/>
      <c r="B80432"/>
      <c r="C80432"/>
      <c r="E80432"/>
      <c r="F80432"/>
    </row>
    <row r="80433" spans="1:6" x14ac:dyDescent="0.25">
      <c r="A80433"/>
      <c r="B80433"/>
      <c r="C80433"/>
      <c r="E80433"/>
      <c r="F80433"/>
    </row>
    <row r="80434" spans="1:6" x14ac:dyDescent="0.25">
      <c r="A80434"/>
      <c r="B80434"/>
      <c r="C80434"/>
      <c r="E80434"/>
      <c r="F80434"/>
    </row>
    <row r="80435" spans="1:6" x14ac:dyDescent="0.25">
      <c r="A80435"/>
      <c r="B80435"/>
      <c r="C80435"/>
      <c r="E80435"/>
      <c r="F80435"/>
    </row>
    <row r="80436" spans="1:6" x14ac:dyDescent="0.25">
      <c r="A80436"/>
      <c r="B80436"/>
      <c r="C80436"/>
      <c r="E80436"/>
      <c r="F80436"/>
    </row>
    <row r="80437" spans="1:6" x14ac:dyDescent="0.25">
      <c r="A80437"/>
      <c r="B80437"/>
      <c r="C80437"/>
      <c r="E80437"/>
      <c r="F80437"/>
    </row>
    <row r="80438" spans="1:6" x14ac:dyDescent="0.25">
      <c r="A80438"/>
      <c r="B80438"/>
      <c r="C80438"/>
      <c r="E80438"/>
      <c r="F80438"/>
    </row>
    <row r="80439" spans="1:6" x14ac:dyDescent="0.25">
      <c r="A80439"/>
      <c r="B80439"/>
      <c r="C80439"/>
      <c r="E80439"/>
      <c r="F80439"/>
    </row>
    <row r="80440" spans="1:6" x14ac:dyDescent="0.25">
      <c r="A80440"/>
      <c r="B80440"/>
      <c r="C80440"/>
      <c r="E80440"/>
      <c r="F80440"/>
    </row>
    <row r="80441" spans="1:6" x14ac:dyDescent="0.25">
      <c r="A80441"/>
      <c r="B80441"/>
      <c r="C80441"/>
      <c r="E80441"/>
      <c r="F80441"/>
    </row>
    <row r="80442" spans="1:6" x14ac:dyDescent="0.25">
      <c r="A80442"/>
      <c r="B80442"/>
      <c r="C80442"/>
      <c r="E80442"/>
      <c r="F80442"/>
    </row>
    <row r="80443" spans="1:6" x14ac:dyDescent="0.25">
      <c r="A80443"/>
      <c r="B80443"/>
      <c r="C80443"/>
      <c r="E80443"/>
      <c r="F80443"/>
    </row>
    <row r="80444" spans="1:6" x14ac:dyDescent="0.25">
      <c r="A80444"/>
      <c r="B80444"/>
      <c r="C80444"/>
      <c r="E80444"/>
      <c r="F80444"/>
    </row>
    <row r="80445" spans="1:6" x14ac:dyDescent="0.25">
      <c r="A80445"/>
      <c r="B80445"/>
      <c r="C80445"/>
      <c r="E80445"/>
      <c r="F80445"/>
    </row>
    <row r="80446" spans="1:6" x14ac:dyDescent="0.25">
      <c r="A80446"/>
      <c r="B80446"/>
      <c r="C80446"/>
      <c r="E80446"/>
      <c r="F80446"/>
    </row>
    <row r="80447" spans="1:6" x14ac:dyDescent="0.25">
      <c r="A80447"/>
      <c r="B80447"/>
      <c r="C80447"/>
      <c r="E80447"/>
      <c r="F80447"/>
    </row>
    <row r="80448" spans="1:6" x14ac:dyDescent="0.25">
      <c r="A80448"/>
      <c r="B80448"/>
      <c r="C80448"/>
      <c r="E80448"/>
      <c r="F80448"/>
    </row>
    <row r="80449" spans="1:6" x14ac:dyDescent="0.25">
      <c r="A80449"/>
      <c r="B80449"/>
      <c r="C80449"/>
      <c r="E80449"/>
      <c r="F80449"/>
    </row>
    <row r="80450" spans="1:6" x14ac:dyDescent="0.25">
      <c r="A80450"/>
      <c r="B80450"/>
      <c r="C80450"/>
      <c r="E80450"/>
      <c r="F80450"/>
    </row>
    <row r="80451" spans="1:6" x14ac:dyDescent="0.25">
      <c r="A80451"/>
      <c r="B80451"/>
      <c r="C80451"/>
      <c r="E80451"/>
      <c r="F80451"/>
    </row>
    <row r="80452" spans="1:6" x14ac:dyDescent="0.25">
      <c r="A80452"/>
      <c r="B80452"/>
      <c r="C80452"/>
      <c r="E80452"/>
      <c r="F80452"/>
    </row>
    <row r="80453" spans="1:6" x14ac:dyDescent="0.25">
      <c r="A80453"/>
      <c r="B80453"/>
      <c r="C80453"/>
      <c r="E80453"/>
      <c r="F80453"/>
    </row>
    <row r="80454" spans="1:6" x14ac:dyDescent="0.25">
      <c r="A80454"/>
      <c r="B80454"/>
      <c r="C80454"/>
      <c r="E80454"/>
      <c r="F80454"/>
    </row>
    <row r="80455" spans="1:6" x14ac:dyDescent="0.25">
      <c r="A80455"/>
      <c r="B80455"/>
      <c r="C80455"/>
      <c r="E80455"/>
      <c r="F80455"/>
    </row>
    <row r="80456" spans="1:6" x14ac:dyDescent="0.25">
      <c r="A80456"/>
      <c r="B80456"/>
      <c r="C80456"/>
      <c r="E80456"/>
      <c r="F80456"/>
    </row>
    <row r="80457" spans="1:6" x14ac:dyDescent="0.25">
      <c r="A80457"/>
      <c r="B80457"/>
      <c r="C80457"/>
      <c r="E80457"/>
      <c r="F80457"/>
    </row>
    <row r="80458" spans="1:6" x14ac:dyDescent="0.25">
      <c r="A80458"/>
      <c r="B80458"/>
      <c r="C80458"/>
      <c r="E80458"/>
      <c r="F80458"/>
    </row>
    <row r="80459" spans="1:6" x14ac:dyDescent="0.25">
      <c r="A80459"/>
      <c r="B80459"/>
      <c r="C80459"/>
      <c r="E80459"/>
      <c r="F80459"/>
    </row>
    <row r="80460" spans="1:6" x14ac:dyDescent="0.25">
      <c r="A80460"/>
      <c r="B80460"/>
      <c r="C80460"/>
      <c r="E80460"/>
      <c r="F80460"/>
    </row>
    <row r="80461" spans="1:6" x14ac:dyDescent="0.25">
      <c r="A80461"/>
      <c r="B80461"/>
      <c r="C80461"/>
      <c r="E80461"/>
      <c r="F80461"/>
    </row>
    <row r="80462" spans="1:6" x14ac:dyDescent="0.25">
      <c r="A80462"/>
      <c r="B80462"/>
      <c r="C80462"/>
      <c r="E80462"/>
      <c r="F80462"/>
    </row>
    <row r="80463" spans="1:6" x14ac:dyDescent="0.25">
      <c r="A80463"/>
      <c r="B80463"/>
      <c r="C80463"/>
      <c r="E80463"/>
      <c r="F80463"/>
    </row>
    <row r="80464" spans="1:6" x14ac:dyDescent="0.25">
      <c r="A80464"/>
      <c r="B80464"/>
      <c r="C80464"/>
      <c r="E80464"/>
      <c r="F80464"/>
    </row>
    <row r="80465" spans="1:6" x14ac:dyDescent="0.25">
      <c r="A80465"/>
      <c r="B80465"/>
      <c r="C80465"/>
      <c r="E80465"/>
      <c r="F80465"/>
    </row>
    <row r="80466" spans="1:6" x14ac:dyDescent="0.25">
      <c r="A80466"/>
      <c r="B80466"/>
      <c r="C80466"/>
      <c r="E80466"/>
      <c r="F80466"/>
    </row>
    <row r="80467" spans="1:6" x14ac:dyDescent="0.25">
      <c r="A80467"/>
      <c r="B80467"/>
      <c r="C80467"/>
      <c r="E80467"/>
      <c r="F80467"/>
    </row>
    <row r="80468" spans="1:6" x14ac:dyDescent="0.25">
      <c r="A80468"/>
      <c r="B80468"/>
      <c r="C80468"/>
      <c r="E80468"/>
      <c r="F80468"/>
    </row>
    <row r="80469" spans="1:6" x14ac:dyDescent="0.25">
      <c r="A80469"/>
      <c r="B80469"/>
      <c r="C80469"/>
      <c r="E80469"/>
      <c r="F80469"/>
    </row>
    <row r="80470" spans="1:6" x14ac:dyDescent="0.25">
      <c r="A80470"/>
      <c r="B80470"/>
      <c r="C80470"/>
      <c r="E80470"/>
      <c r="F80470"/>
    </row>
    <row r="80471" spans="1:6" x14ac:dyDescent="0.25">
      <c r="A80471"/>
      <c r="B80471"/>
      <c r="C80471"/>
      <c r="E80471"/>
      <c r="F80471"/>
    </row>
    <row r="80472" spans="1:6" x14ac:dyDescent="0.25">
      <c r="A80472"/>
      <c r="B80472"/>
      <c r="C80472"/>
      <c r="E80472"/>
      <c r="F80472"/>
    </row>
    <row r="80473" spans="1:6" x14ac:dyDescent="0.25">
      <c r="A80473"/>
      <c r="B80473"/>
      <c r="C80473"/>
      <c r="E80473"/>
      <c r="F80473"/>
    </row>
    <row r="80474" spans="1:6" x14ac:dyDescent="0.25">
      <c r="A80474"/>
      <c r="B80474"/>
      <c r="C80474"/>
      <c r="E80474"/>
      <c r="F80474"/>
    </row>
    <row r="80475" spans="1:6" x14ac:dyDescent="0.25">
      <c r="A80475"/>
      <c r="B80475"/>
      <c r="C80475"/>
      <c r="E80475"/>
      <c r="F80475"/>
    </row>
    <row r="80476" spans="1:6" x14ac:dyDescent="0.25">
      <c r="A80476"/>
      <c r="B80476"/>
      <c r="C80476"/>
      <c r="E80476"/>
      <c r="F80476"/>
    </row>
    <row r="80477" spans="1:6" x14ac:dyDescent="0.25">
      <c r="A80477"/>
      <c r="B80477"/>
      <c r="C80477"/>
      <c r="E80477"/>
      <c r="F80477"/>
    </row>
    <row r="80478" spans="1:6" x14ac:dyDescent="0.25">
      <c r="A80478"/>
      <c r="B80478"/>
      <c r="C80478"/>
      <c r="E80478"/>
      <c r="F80478"/>
    </row>
    <row r="80479" spans="1:6" x14ac:dyDescent="0.25">
      <c r="A80479"/>
      <c r="B80479"/>
      <c r="C80479"/>
      <c r="E80479"/>
      <c r="F80479"/>
    </row>
    <row r="80480" spans="1:6" x14ac:dyDescent="0.25">
      <c r="A80480"/>
      <c r="B80480"/>
      <c r="C80480"/>
      <c r="E80480"/>
      <c r="F80480"/>
    </row>
    <row r="80481" spans="1:6" x14ac:dyDescent="0.25">
      <c r="A80481"/>
      <c r="B80481"/>
      <c r="C80481"/>
      <c r="E80481"/>
      <c r="F80481"/>
    </row>
    <row r="80482" spans="1:6" x14ac:dyDescent="0.25">
      <c r="A80482"/>
      <c r="B80482"/>
      <c r="C80482"/>
      <c r="E80482"/>
      <c r="F80482"/>
    </row>
    <row r="80483" spans="1:6" x14ac:dyDescent="0.25">
      <c r="A80483"/>
      <c r="B80483"/>
      <c r="C80483"/>
      <c r="E80483"/>
      <c r="F80483"/>
    </row>
    <row r="80484" spans="1:6" x14ac:dyDescent="0.25">
      <c r="A80484"/>
      <c r="B80484"/>
      <c r="C80484"/>
      <c r="E80484"/>
      <c r="F80484"/>
    </row>
    <row r="80485" spans="1:6" x14ac:dyDescent="0.25">
      <c r="A80485"/>
      <c r="B80485"/>
      <c r="C80485"/>
      <c r="E80485"/>
      <c r="F80485"/>
    </row>
    <row r="80486" spans="1:6" x14ac:dyDescent="0.25">
      <c r="A80486"/>
      <c r="B80486"/>
      <c r="C80486"/>
      <c r="E80486"/>
      <c r="F80486"/>
    </row>
    <row r="80487" spans="1:6" x14ac:dyDescent="0.25">
      <c r="A80487"/>
      <c r="B80487"/>
      <c r="C80487"/>
      <c r="E80487"/>
      <c r="F80487"/>
    </row>
    <row r="80488" spans="1:6" x14ac:dyDescent="0.25">
      <c r="A80488"/>
      <c r="B80488"/>
      <c r="C80488"/>
      <c r="E80488"/>
      <c r="F80488"/>
    </row>
    <row r="80489" spans="1:6" x14ac:dyDescent="0.25">
      <c r="A80489"/>
      <c r="B80489"/>
      <c r="C80489"/>
      <c r="E80489"/>
      <c r="F80489"/>
    </row>
    <row r="80490" spans="1:6" x14ac:dyDescent="0.25">
      <c r="A80490"/>
      <c r="B80490"/>
      <c r="C80490"/>
      <c r="E80490"/>
      <c r="F80490"/>
    </row>
    <row r="80491" spans="1:6" x14ac:dyDescent="0.25">
      <c r="A80491"/>
      <c r="B80491"/>
      <c r="C80491"/>
      <c r="E80491"/>
      <c r="F80491"/>
    </row>
    <row r="80492" spans="1:6" x14ac:dyDescent="0.25">
      <c r="A80492"/>
      <c r="B80492"/>
      <c r="C80492"/>
      <c r="E80492"/>
      <c r="F80492"/>
    </row>
    <row r="80493" spans="1:6" x14ac:dyDescent="0.25">
      <c r="A80493"/>
      <c r="B80493"/>
      <c r="C80493"/>
      <c r="E80493"/>
      <c r="F80493"/>
    </row>
    <row r="80494" spans="1:6" x14ac:dyDescent="0.25">
      <c r="A80494"/>
      <c r="B80494"/>
      <c r="C80494"/>
      <c r="E80494"/>
      <c r="F80494"/>
    </row>
    <row r="80495" spans="1:6" x14ac:dyDescent="0.25">
      <c r="A80495"/>
      <c r="B80495"/>
      <c r="C80495"/>
      <c r="E80495"/>
      <c r="F80495"/>
    </row>
    <row r="80496" spans="1:6" x14ac:dyDescent="0.25">
      <c r="A80496"/>
      <c r="B80496"/>
      <c r="C80496"/>
      <c r="E80496"/>
      <c r="F80496"/>
    </row>
    <row r="80497" spans="1:6" x14ac:dyDescent="0.25">
      <c r="A80497"/>
      <c r="B80497"/>
      <c r="C80497"/>
      <c r="E80497"/>
      <c r="F80497"/>
    </row>
    <row r="80498" spans="1:6" x14ac:dyDescent="0.25">
      <c r="A80498"/>
      <c r="B80498"/>
      <c r="C80498"/>
      <c r="E80498"/>
      <c r="F80498"/>
    </row>
    <row r="80499" spans="1:6" x14ac:dyDescent="0.25">
      <c r="A80499"/>
      <c r="B80499"/>
      <c r="C80499"/>
      <c r="E80499"/>
      <c r="F80499"/>
    </row>
    <row r="80500" spans="1:6" x14ac:dyDescent="0.25">
      <c r="A80500"/>
      <c r="B80500"/>
      <c r="C80500"/>
      <c r="E80500"/>
      <c r="F80500"/>
    </row>
    <row r="80501" spans="1:6" x14ac:dyDescent="0.25">
      <c r="A80501"/>
      <c r="B80501"/>
      <c r="C80501"/>
      <c r="E80501"/>
      <c r="F80501"/>
    </row>
    <row r="80502" spans="1:6" x14ac:dyDescent="0.25">
      <c r="A80502"/>
      <c r="B80502"/>
      <c r="C80502"/>
      <c r="E80502"/>
      <c r="F80502"/>
    </row>
    <row r="80503" spans="1:6" x14ac:dyDescent="0.25">
      <c r="A80503"/>
      <c r="B80503"/>
      <c r="C80503"/>
      <c r="E80503"/>
      <c r="F80503"/>
    </row>
    <row r="80504" spans="1:6" x14ac:dyDescent="0.25">
      <c r="A80504"/>
      <c r="B80504"/>
      <c r="C80504"/>
      <c r="E80504"/>
      <c r="F80504"/>
    </row>
    <row r="80505" spans="1:6" x14ac:dyDescent="0.25">
      <c r="A80505"/>
      <c r="B80505"/>
      <c r="C80505"/>
      <c r="E80505"/>
      <c r="F80505"/>
    </row>
    <row r="80506" spans="1:6" x14ac:dyDescent="0.25">
      <c r="A80506"/>
      <c r="B80506"/>
      <c r="C80506"/>
      <c r="E80506"/>
      <c r="F80506"/>
    </row>
    <row r="80507" spans="1:6" x14ac:dyDescent="0.25">
      <c r="A80507"/>
      <c r="B80507"/>
      <c r="C80507"/>
      <c r="E80507"/>
      <c r="F80507"/>
    </row>
    <row r="80508" spans="1:6" x14ac:dyDescent="0.25">
      <c r="A80508"/>
      <c r="B80508"/>
      <c r="C80508"/>
      <c r="E80508"/>
      <c r="F80508"/>
    </row>
    <row r="80509" spans="1:6" x14ac:dyDescent="0.25">
      <c r="A80509"/>
      <c r="B80509"/>
      <c r="C80509"/>
      <c r="E80509"/>
      <c r="F80509"/>
    </row>
    <row r="80510" spans="1:6" x14ac:dyDescent="0.25">
      <c r="A80510"/>
      <c r="B80510"/>
      <c r="C80510"/>
      <c r="E80510"/>
      <c r="F80510"/>
    </row>
    <row r="80511" spans="1:6" x14ac:dyDescent="0.25">
      <c r="A80511"/>
      <c r="B80511"/>
      <c r="C80511"/>
      <c r="E80511"/>
      <c r="F80511"/>
    </row>
    <row r="80512" spans="1:6" x14ac:dyDescent="0.25">
      <c r="A80512"/>
      <c r="B80512"/>
      <c r="C80512"/>
      <c r="E80512"/>
      <c r="F80512"/>
    </row>
    <row r="80513" spans="1:6" x14ac:dyDescent="0.25">
      <c r="A80513"/>
      <c r="B80513"/>
      <c r="C80513"/>
      <c r="E80513"/>
      <c r="F80513"/>
    </row>
    <row r="80514" spans="1:6" x14ac:dyDescent="0.25">
      <c r="A80514"/>
      <c r="B80514"/>
      <c r="C80514"/>
      <c r="E80514"/>
      <c r="F80514"/>
    </row>
    <row r="80515" spans="1:6" x14ac:dyDescent="0.25">
      <c r="A80515"/>
      <c r="B80515"/>
      <c r="C80515"/>
      <c r="E80515"/>
      <c r="F80515"/>
    </row>
    <row r="80516" spans="1:6" x14ac:dyDescent="0.25">
      <c r="A80516"/>
      <c r="B80516"/>
      <c r="C80516"/>
      <c r="E80516"/>
      <c r="F80516"/>
    </row>
    <row r="80517" spans="1:6" x14ac:dyDescent="0.25">
      <c r="A80517"/>
      <c r="B80517"/>
      <c r="C80517"/>
      <c r="E80517"/>
      <c r="F80517"/>
    </row>
    <row r="80518" spans="1:6" x14ac:dyDescent="0.25">
      <c r="A80518"/>
      <c r="B80518"/>
      <c r="C80518"/>
      <c r="E80518"/>
      <c r="F80518"/>
    </row>
    <row r="80519" spans="1:6" x14ac:dyDescent="0.25">
      <c r="A80519"/>
      <c r="B80519"/>
      <c r="C80519"/>
      <c r="E80519"/>
      <c r="F80519"/>
    </row>
    <row r="80520" spans="1:6" x14ac:dyDescent="0.25">
      <c r="A80520"/>
      <c r="B80520"/>
      <c r="C80520"/>
      <c r="E80520"/>
      <c r="F80520"/>
    </row>
    <row r="80521" spans="1:6" x14ac:dyDescent="0.25">
      <c r="A80521"/>
      <c r="B80521"/>
      <c r="C80521"/>
      <c r="E80521"/>
      <c r="F80521"/>
    </row>
    <row r="80522" spans="1:6" x14ac:dyDescent="0.25">
      <c r="A80522"/>
      <c r="B80522"/>
      <c r="C80522"/>
      <c r="E80522"/>
      <c r="F80522"/>
    </row>
    <row r="80523" spans="1:6" x14ac:dyDescent="0.25">
      <c r="A80523"/>
      <c r="B80523"/>
      <c r="C80523"/>
      <c r="E80523"/>
      <c r="F80523"/>
    </row>
    <row r="80524" spans="1:6" x14ac:dyDescent="0.25">
      <c r="A80524"/>
      <c r="B80524"/>
      <c r="C80524"/>
      <c r="E80524"/>
      <c r="F80524"/>
    </row>
    <row r="80525" spans="1:6" x14ac:dyDescent="0.25">
      <c r="A80525"/>
      <c r="B80525"/>
      <c r="C80525"/>
      <c r="E80525"/>
      <c r="F80525"/>
    </row>
    <row r="80526" spans="1:6" x14ac:dyDescent="0.25">
      <c r="A80526"/>
      <c r="B80526"/>
      <c r="C80526"/>
      <c r="E80526"/>
      <c r="F80526"/>
    </row>
    <row r="80527" spans="1:6" x14ac:dyDescent="0.25">
      <c r="A80527"/>
      <c r="B80527"/>
      <c r="C80527"/>
      <c r="E80527"/>
      <c r="F80527"/>
    </row>
    <row r="80528" spans="1:6" x14ac:dyDescent="0.25">
      <c r="A80528"/>
      <c r="B80528"/>
      <c r="C80528"/>
      <c r="E80528"/>
      <c r="F80528"/>
    </row>
    <row r="80529" spans="1:6" x14ac:dyDescent="0.25">
      <c r="A80529"/>
      <c r="B80529"/>
      <c r="C80529"/>
      <c r="E80529"/>
      <c r="F80529"/>
    </row>
    <row r="80530" spans="1:6" x14ac:dyDescent="0.25">
      <c r="A80530"/>
      <c r="B80530"/>
      <c r="C80530"/>
      <c r="E80530"/>
      <c r="F80530"/>
    </row>
    <row r="80531" spans="1:6" x14ac:dyDescent="0.25">
      <c r="A80531"/>
      <c r="B80531"/>
      <c r="C80531"/>
      <c r="E80531"/>
      <c r="F80531"/>
    </row>
    <row r="80532" spans="1:6" x14ac:dyDescent="0.25">
      <c r="A80532"/>
      <c r="B80532"/>
      <c r="C80532"/>
      <c r="E80532"/>
      <c r="F80532"/>
    </row>
    <row r="80533" spans="1:6" x14ac:dyDescent="0.25">
      <c r="A80533"/>
      <c r="B80533"/>
      <c r="C80533"/>
      <c r="E80533"/>
      <c r="F80533"/>
    </row>
    <row r="80534" spans="1:6" x14ac:dyDescent="0.25">
      <c r="A80534"/>
      <c r="B80534"/>
      <c r="C80534"/>
      <c r="E80534"/>
      <c r="F80534"/>
    </row>
    <row r="80535" spans="1:6" x14ac:dyDescent="0.25">
      <c r="A80535"/>
      <c r="B80535"/>
      <c r="C80535"/>
      <c r="E80535"/>
      <c r="F80535"/>
    </row>
    <row r="80536" spans="1:6" x14ac:dyDescent="0.25">
      <c r="A80536"/>
      <c r="B80536"/>
      <c r="C80536"/>
      <c r="E80536"/>
      <c r="F80536"/>
    </row>
    <row r="80537" spans="1:6" x14ac:dyDescent="0.25">
      <c r="A80537"/>
      <c r="B80537"/>
      <c r="C80537"/>
      <c r="E80537"/>
      <c r="F80537"/>
    </row>
    <row r="80538" spans="1:6" x14ac:dyDescent="0.25">
      <c r="A80538"/>
      <c r="B80538"/>
      <c r="C80538"/>
      <c r="E80538"/>
      <c r="F80538"/>
    </row>
    <row r="80539" spans="1:6" x14ac:dyDescent="0.25">
      <c r="A80539"/>
      <c r="B80539"/>
      <c r="C80539"/>
      <c r="E80539"/>
      <c r="F80539"/>
    </row>
    <row r="80540" spans="1:6" x14ac:dyDescent="0.25">
      <c r="A80540"/>
      <c r="B80540"/>
      <c r="C80540"/>
      <c r="E80540"/>
      <c r="F80540"/>
    </row>
    <row r="80541" spans="1:6" x14ac:dyDescent="0.25">
      <c r="A80541"/>
      <c r="B80541"/>
      <c r="C80541"/>
      <c r="E80541"/>
      <c r="F80541"/>
    </row>
    <row r="80542" spans="1:6" x14ac:dyDescent="0.25">
      <c r="A80542"/>
      <c r="B80542"/>
      <c r="C80542"/>
      <c r="E80542"/>
      <c r="F80542"/>
    </row>
    <row r="80543" spans="1:6" x14ac:dyDescent="0.25">
      <c r="A80543"/>
      <c r="B80543"/>
      <c r="C80543"/>
      <c r="E80543"/>
      <c r="F80543"/>
    </row>
    <row r="80544" spans="1:6" x14ac:dyDescent="0.25">
      <c r="A80544"/>
      <c r="B80544"/>
      <c r="C80544"/>
      <c r="E80544"/>
      <c r="F80544"/>
    </row>
    <row r="80545" spans="1:6" x14ac:dyDescent="0.25">
      <c r="A80545"/>
      <c r="B80545"/>
      <c r="C80545"/>
      <c r="E80545"/>
      <c r="F80545"/>
    </row>
    <row r="80546" spans="1:6" x14ac:dyDescent="0.25">
      <c r="A80546"/>
      <c r="B80546"/>
      <c r="C80546"/>
      <c r="E80546"/>
      <c r="F80546"/>
    </row>
    <row r="80547" spans="1:6" x14ac:dyDescent="0.25">
      <c r="A80547"/>
      <c r="B80547"/>
      <c r="C80547"/>
      <c r="E80547"/>
      <c r="F80547"/>
    </row>
    <row r="80548" spans="1:6" x14ac:dyDescent="0.25">
      <c r="A80548"/>
      <c r="B80548"/>
      <c r="C80548"/>
      <c r="E80548"/>
      <c r="F80548"/>
    </row>
    <row r="80549" spans="1:6" x14ac:dyDescent="0.25">
      <c r="A80549"/>
      <c r="B80549"/>
      <c r="C80549"/>
      <c r="E80549"/>
      <c r="F80549"/>
    </row>
    <row r="80550" spans="1:6" x14ac:dyDescent="0.25">
      <c r="A80550"/>
      <c r="B80550"/>
      <c r="C80550"/>
      <c r="E80550"/>
      <c r="F80550"/>
    </row>
    <row r="80551" spans="1:6" x14ac:dyDescent="0.25">
      <c r="A80551"/>
      <c r="B80551"/>
      <c r="C80551"/>
      <c r="E80551"/>
      <c r="F80551"/>
    </row>
    <row r="80552" spans="1:6" x14ac:dyDescent="0.25">
      <c r="A80552"/>
      <c r="B80552"/>
      <c r="C80552"/>
      <c r="E80552"/>
      <c r="F80552"/>
    </row>
    <row r="80553" spans="1:6" x14ac:dyDescent="0.25">
      <c r="A80553"/>
      <c r="B80553"/>
      <c r="C80553"/>
      <c r="E80553"/>
      <c r="F80553"/>
    </row>
    <row r="80554" spans="1:6" x14ac:dyDescent="0.25">
      <c r="A80554"/>
      <c r="B80554"/>
      <c r="C80554"/>
      <c r="E80554"/>
      <c r="F80554"/>
    </row>
    <row r="80555" spans="1:6" x14ac:dyDescent="0.25">
      <c r="A80555"/>
      <c r="B80555"/>
      <c r="C80555"/>
      <c r="E80555"/>
      <c r="F80555"/>
    </row>
    <row r="80556" spans="1:6" x14ac:dyDescent="0.25">
      <c r="A80556"/>
      <c r="B80556"/>
      <c r="C80556"/>
      <c r="E80556"/>
      <c r="F80556"/>
    </row>
    <row r="80557" spans="1:6" x14ac:dyDescent="0.25">
      <c r="A80557"/>
      <c r="B80557"/>
      <c r="C80557"/>
      <c r="E80557"/>
      <c r="F80557"/>
    </row>
    <row r="80558" spans="1:6" x14ac:dyDescent="0.25">
      <c r="A80558"/>
      <c r="B80558"/>
      <c r="C80558"/>
      <c r="E80558"/>
      <c r="F80558"/>
    </row>
    <row r="80559" spans="1:6" x14ac:dyDescent="0.25">
      <c r="A80559"/>
      <c r="B80559"/>
      <c r="C80559"/>
      <c r="E80559"/>
      <c r="F80559"/>
    </row>
    <row r="80560" spans="1:6" x14ac:dyDescent="0.25">
      <c r="A80560"/>
      <c r="B80560"/>
      <c r="C80560"/>
      <c r="E80560"/>
      <c r="F80560"/>
    </row>
    <row r="80561" spans="1:6" x14ac:dyDescent="0.25">
      <c r="A80561"/>
      <c r="B80561"/>
      <c r="C80561"/>
      <c r="E80561"/>
      <c r="F80561"/>
    </row>
    <row r="80562" spans="1:6" x14ac:dyDescent="0.25">
      <c r="A80562"/>
      <c r="B80562"/>
      <c r="C80562"/>
      <c r="E80562"/>
      <c r="F80562"/>
    </row>
    <row r="80563" spans="1:6" x14ac:dyDescent="0.25">
      <c r="A80563"/>
      <c r="B80563"/>
      <c r="C80563"/>
      <c r="E80563"/>
      <c r="F80563"/>
    </row>
    <row r="80564" spans="1:6" x14ac:dyDescent="0.25">
      <c r="A80564"/>
      <c r="B80564"/>
      <c r="C80564"/>
      <c r="E80564"/>
      <c r="F80564"/>
    </row>
    <row r="80565" spans="1:6" x14ac:dyDescent="0.25">
      <c r="A80565"/>
      <c r="B80565"/>
      <c r="C80565"/>
      <c r="E80565"/>
      <c r="F80565"/>
    </row>
    <row r="80566" spans="1:6" x14ac:dyDescent="0.25">
      <c r="A80566"/>
      <c r="B80566"/>
      <c r="C80566"/>
      <c r="E80566"/>
      <c r="F80566"/>
    </row>
    <row r="80567" spans="1:6" x14ac:dyDescent="0.25">
      <c r="A80567"/>
      <c r="B80567"/>
      <c r="C80567"/>
      <c r="E80567"/>
      <c r="F80567"/>
    </row>
    <row r="80568" spans="1:6" x14ac:dyDescent="0.25">
      <c r="A80568"/>
      <c r="B80568"/>
      <c r="C80568"/>
      <c r="E80568"/>
      <c r="F80568"/>
    </row>
    <row r="80569" spans="1:6" x14ac:dyDescent="0.25">
      <c r="A80569"/>
      <c r="B80569"/>
      <c r="C80569"/>
      <c r="E80569"/>
      <c r="F80569"/>
    </row>
    <row r="80570" spans="1:6" x14ac:dyDescent="0.25">
      <c r="A80570"/>
      <c r="B80570"/>
      <c r="C80570"/>
      <c r="E80570"/>
      <c r="F80570"/>
    </row>
    <row r="80571" spans="1:6" x14ac:dyDescent="0.25">
      <c r="A80571"/>
      <c r="B80571"/>
      <c r="C80571"/>
      <c r="E80571"/>
      <c r="F80571"/>
    </row>
    <row r="80572" spans="1:6" x14ac:dyDescent="0.25">
      <c r="A80572"/>
      <c r="B80572"/>
      <c r="C80572"/>
      <c r="E80572"/>
      <c r="F80572"/>
    </row>
    <row r="80573" spans="1:6" x14ac:dyDescent="0.25">
      <c r="A80573"/>
      <c r="B80573"/>
      <c r="C80573"/>
      <c r="E80573"/>
      <c r="F80573"/>
    </row>
    <row r="80574" spans="1:6" x14ac:dyDescent="0.25">
      <c r="A80574"/>
      <c r="B80574"/>
      <c r="C80574"/>
      <c r="E80574"/>
      <c r="F80574"/>
    </row>
    <row r="80575" spans="1:6" x14ac:dyDescent="0.25">
      <c r="A80575"/>
      <c r="B80575"/>
      <c r="C80575"/>
      <c r="E80575"/>
      <c r="F80575"/>
    </row>
    <row r="80576" spans="1:6" x14ac:dyDescent="0.25">
      <c r="A80576"/>
      <c r="B80576"/>
      <c r="C80576"/>
      <c r="E80576"/>
      <c r="F80576"/>
    </row>
    <row r="80577" spans="1:6" x14ac:dyDescent="0.25">
      <c r="A80577"/>
      <c r="B80577"/>
      <c r="C80577"/>
      <c r="E80577"/>
      <c r="F80577"/>
    </row>
    <row r="80578" spans="1:6" x14ac:dyDescent="0.25">
      <c r="A80578"/>
      <c r="B80578"/>
      <c r="C80578"/>
      <c r="E80578"/>
      <c r="F80578"/>
    </row>
    <row r="80579" spans="1:6" x14ac:dyDescent="0.25">
      <c r="A80579"/>
      <c r="B80579"/>
      <c r="C80579"/>
      <c r="E80579"/>
      <c r="F80579"/>
    </row>
    <row r="80580" spans="1:6" x14ac:dyDescent="0.25">
      <c r="A80580"/>
      <c r="B80580"/>
      <c r="C80580"/>
      <c r="E80580"/>
      <c r="F80580"/>
    </row>
    <row r="80581" spans="1:6" x14ac:dyDescent="0.25">
      <c r="A80581"/>
      <c r="B80581"/>
      <c r="C80581"/>
      <c r="E80581"/>
      <c r="F80581"/>
    </row>
    <row r="80582" spans="1:6" x14ac:dyDescent="0.25">
      <c r="A80582"/>
      <c r="B80582"/>
      <c r="C80582"/>
      <c r="E80582"/>
      <c r="F80582"/>
    </row>
    <row r="80583" spans="1:6" x14ac:dyDescent="0.25">
      <c r="A80583"/>
      <c r="B80583"/>
      <c r="C80583"/>
      <c r="E80583"/>
      <c r="F80583"/>
    </row>
    <row r="80584" spans="1:6" x14ac:dyDescent="0.25">
      <c r="A80584"/>
      <c r="B80584"/>
      <c r="C80584"/>
      <c r="E80584"/>
      <c r="F80584"/>
    </row>
    <row r="80585" spans="1:6" x14ac:dyDescent="0.25">
      <c r="A80585"/>
      <c r="B80585"/>
      <c r="C80585"/>
      <c r="E80585"/>
      <c r="F80585"/>
    </row>
    <row r="80586" spans="1:6" x14ac:dyDescent="0.25">
      <c r="A80586"/>
      <c r="B80586"/>
      <c r="C80586"/>
      <c r="E80586"/>
      <c r="F80586"/>
    </row>
    <row r="80587" spans="1:6" x14ac:dyDescent="0.25">
      <c r="A80587"/>
      <c r="B80587"/>
      <c r="C80587"/>
      <c r="E80587"/>
      <c r="F80587"/>
    </row>
    <row r="80588" spans="1:6" x14ac:dyDescent="0.25">
      <c r="A80588"/>
      <c r="B80588"/>
      <c r="C80588"/>
      <c r="E80588"/>
      <c r="F80588"/>
    </row>
    <row r="80589" spans="1:6" x14ac:dyDescent="0.25">
      <c r="A80589"/>
      <c r="B80589"/>
      <c r="C80589"/>
      <c r="E80589"/>
      <c r="F80589"/>
    </row>
    <row r="80590" spans="1:6" x14ac:dyDescent="0.25">
      <c r="A80590"/>
      <c r="B80590"/>
      <c r="C80590"/>
      <c r="E80590"/>
      <c r="F80590"/>
    </row>
    <row r="80591" spans="1:6" x14ac:dyDescent="0.25">
      <c r="A80591"/>
      <c r="B80591"/>
      <c r="C80591"/>
      <c r="E80591"/>
      <c r="F80591"/>
    </row>
    <row r="80592" spans="1:6" x14ac:dyDescent="0.25">
      <c r="A80592"/>
      <c r="B80592"/>
      <c r="C80592"/>
      <c r="E80592"/>
      <c r="F80592"/>
    </row>
    <row r="80593" spans="1:6" x14ac:dyDescent="0.25">
      <c r="A80593"/>
      <c r="B80593"/>
      <c r="C80593"/>
      <c r="E80593"/>
      <c r="F80593"/>
    </row>
    <row r="80594" spans="1:6" x14ac:dyDescent="0.25">
      <c r="A80594"/>
      <c r="B80594"/>
      <c r="C80594"/>
      <c r="E80594"/>
      <c r="F80594"/>
    </row>
    <row r="80595" spans="1:6" x14ac:dyDescent="0.25">
      <c r="A80595"/>
      <c r="B80595"/>
      <c r="C80595"/>
      <c r="E80595"/>
      <c r="F80595"/>
    </row>
    <row r="80596" spans="1:6" x14ac:dyDescent="0.25">
      <c r="A80596"/>
      <c r="B80596"/>
      <c r="C80596"/>
      <c r="E80596"/>
      <c r="F80596"/>
    </row>
    <row r="80597" spans="1:6" x14ac:dyDescent="0.25">
      <c r="A80597"/>
      <c r="B80597"/>
      <c r="C80597"/>
      <c r="E80597"/>
      <c r="F80597"/>
    </row>
    <row r="80598" spans="1:6" x14ac:dyDescent="0.25">
      <c r="A80598"/>
      <c r="B80598"/>
      <c r="C80598"/>
      <c r="E80598"/>
      <c r="F80598"/>
    </row>
    <row r="80599" spans="1:6" x14ac:dyDescent="0.25">
      <c r="A80599"/>
      <c r="B80599"/>
      <c r="C80599"/>
      <c r="E80599"/>
      <c r="F80599"/>
    </row>
    <row r="80600" spans="1:6" x14ac:dyDescent="0.25">
      <c r="A80600"/>
      <c r="B80600"/>
      <c r="C80600"/>
      <c r="E80600"/>
      <c r="F80600"/>
    </row>
    <row r="80601" spans="1:6" x14ac:dyDescent="0.25">
      <c r="A80601"/>
      <c r="B80601"/>
      <c r="C80601"/>
      <c r="E80601"/>
      <c r="F80601"/>
    </row>
    <row r="80602" spans="1:6" x14ac:dyDescent="0.25">
      <c r="A80602"/>
      <c r="B80602"/>
      <c r="C80602"/>
      <c r="E80602"/>
      <c r="F80602"/>
    </row>
    <row r="80603" spans="1:6" x14ac:dyDescent="0.25">
      <c r="A80603"/>
      <c r="B80603"/>
      <c r="C80603"/>
      <c r="E80603"/>
      <c r="F80603"/>
    </row>
    <row r="80604" spans="1:6" x14ac:dyDescent="0.25">
      <c r="A80604"/>
      <c r="B80604"/>
      <c r="C80604"/>
      <c r="E80604"/>
      <c r="F80604"/>
    </row>
    <row r="80605" spans="1:6" x14ac:dyDescent="0.25">
      <c r="A80605"/>
      <c r="B80605"/>
      <c r="C80605"/>
      <c r="E80605"/>
      <c r="F80605"/>
    </row>
    <row r="80606" spans="1:6" x14ac:dyDescent="0.25">
      <c r="A80606"/>
      <c r="B80606"/>
      <c r="C80606"/>
      <c r="E80606"/>
      <c r="F80606"/>
    </row>
    <row r="80607" spans="1:6" x14ac:dyDescent="0.25">
      <c r="A80607"/>
      <c r="B80607"/>
      <c r="C80607"/>
      <c r="E80607"/>
      <c r="F80607"/>
    </row>
    <row r="80608" spans="1:6" x14ac:dyDescent="0.25">
      <c r="A80608"/>
      <c r="B80608"/>
      <c r="C80608"/>
      <c r="E80608"/>
      <c r="F80608"/>
    </row>
    <row r="80609" spans="1:6" x14ac:dyDescent="0.25">
      <c r="A80609"/>
      <c r="B80609"/>
      <c r="C80609"/>
      <c r="E80609"/>
      <c r="F80609"/>
    </row>
    <row r="80610" spans="1:6" x14ac:dyDescent="0.25">
      <c r="A80610"/>
      <c r="B80610"/>
      <c r="C80610"/>
      <c r="E80610"/>
      <c r="F80610"/>
    </row>
    <row r="80611" spans="1:6" x14ac:dyDescent="0.25">
      <c r="A80611"/>
      <c r="B80611"/>
      <c r="C80611"/>
      <c r="E80611"/>
      <c r="F80611"/>
    </row>
    <row r="80612" spans="1:6" x14ac:dyDescent="0.25">
      <c r="A80612"/>
      <c r="B80612"/>
      <c r="C80612"/>
      <c r="E80612"/>
      <c r="F80612"/>
    </row>
    <row r="80613" spans="1:6" x14ac:dyDescent="0.25">
      <c r="A80613"/>
      <c r="B80613"/>
      <c r="C80613"/>
      <c r="E80613"/>
      <c r="F80613"/>
    </row>
    <row r="80614" spans="1:6" x14ac:dyDescent="0.25">
      <c r="A80614"/>
      <c r="B80614"/>
      <c r="C80614"/>
      <c r="E80614"/>
      <c r="F80614"/>
    </row>
    <row r="80615" spans="1:6" x14ac:dyDescent="0.25">
      <c r="A80615"/>
      <c r="B80615"/>
      <c r="C80615"/>
      <c r="E80615"/>
      <c r="F80615"/>
    </row>
    <row r="80616" spans="1:6" x14ac:dyDescent="0.25">
      <c r="A80616"/>
      <c r="B80616"/>
      <c r="C80616"/>
      <c r="E80616"/>
      <c r="F80616"/>
    </row>
    <row r="80617" spans="1:6" x14ac:dyDescent="0.25">
      <c r="A80617"/>
      <c r="B80617"/>
      <c r="C80617"/>
      <c r="E80617"/>
      <c r="F80617"/>
    </row>
    <row r="80618" spans="1:6" x14ac:dyDescent="0.25">
      <c r="A80618"/>
      <c r="B80618"/>
      <c r="C80618"/>
      <c r="E80618"/>
      <c r="F80618"/>
    </row>
    <row r="80619" spans="1:6" x14ac:dyDescent="0.25">
      <c r="A80619"/>
      <c r="B80619"/>
      <c r="C80619"/>
      <c r="E80619"/>
      <c r="F80619"/>
    </row>
    <row r="80620" spans="1:6" x14ac:dyDescent="0.25">
      <c r="A80620"/>
      <c r="B80620"/>
      <c r="C80620"/>
      <c r="E80620"/>
      <c r="F80620"/>
    </row>
    <row r="80621" spans="1:6" x14ac:dyDescent="0.25">
      <c r="A80621"/>
      <c r="B80621"/>
      <c r="C80621"/>
      <c r="E80621"/>
      <c r="F80621"/>
    </row>
    <row r="80622" spans="1:6" x14ac:dyDescent="0.25">
      <c r="A80622"/>
      <c r="B80622"/>
      <c r="C80622"/>
      <c r="E80622"/>
      <c r="F80622"/>
    </row>
    <row r="80623" spans="1:6" x14ac:dyDescent="0.25">
      <c r="A80623"/>
      <c r="B80623"/>
      <c r="C80623"/>
      <c r="E80623"/>
      <c r="F80623"/>
    </row>
    <row r="80624" spans="1:6" x14ac:dyDescent="0.25">
      <c r="A80624"/>
      <c r="B80624"/>
      <c r="C80624"/>
      <c r="E80624"/>
      <c r="F80624"/>
    </row>
    <row r="80625" spans="1:6" x14ac:dyDescent="0.25">
      <c r="A80625"/>
      <c r="B80625"/>
      <c r="C80625"/>
      <c r="E80625"/>
      <c r="F80625"/>
    </row>
    <row r="80626" spans="1:6" x14ac:dyDescent="0.25">
      <c r="A80626"/>
      <c r="B80626"/>
      <c r="C80626"/>
      <c r="E80626"/>
      <c r="F80626"/>
    </row>
    <row r="80627" spans="1:6" x14ac:dyDescent="0.25">
      <c r="A80627"/>
      <c r="B80627"/>
      <c r="C80627"/>
      <c r="E80627"/>
      <c r="F80627"/>
    </row>
    <row r="80628" spans="1:6" x14ac:dyDescent="0.25">
      <c r="A80628"/>
      <c r="B80628"/>
      <c r="C80628"/>
      <c r="E80628"/>
      <c r="F80628"/>
    </row>
    <row r="80629" spans="1:6" x14ac:dyDescent="0.25">
      <c r="A80629"/>
      <c r="B80629"/>
      <c r="C80629"/>
      <c r="E80629"/>
      <c r="F80629"/>
    </row>
    <row r="80630" spans="1:6" x14ac:dyDescent="0.25">
      <c r="A80630"/>
      <c r="B80630"/>
      <c r="C80630"/>
      <c r="E80630"/>
      <c r="F80630"/>
    </row>
    <row r="80631" spans="1:6" x14ac:dyDescent="0.25">
      <c r="A80631"/>
      <c r="B80631"/>
      <c r="C80631"/>
      <c r="E80631"/>
      <c r="F80631"/>
    </row>
    <row r="80632" spans="1:6" x14ac:dyDescent="0.25">
      <c r="A80632"/>
      <c r="B80632"/>
      <c r="C80632"/>
      <c r="E80632"/>
      <c r="F80632"/>
    </row>
    <row r="80633" spans="1:6" x14ac:dyDescent="0.25">
      <c r="A80633"/>
      <c r="B80633"/>
      <c r="C80633"/>
      <c r="E80633"/>
      <c r="F80633"/>
    </row>
    <row r="80634" spans="1:6" x14ac:dyDescent="0.25">
      <c r="A80634"/>
      <c r="B80634"/>
      <c r="C80634"/>
      <c r="E80634"/>
      <c r="F80634"/>
    </row>
    <row r="80635" spans="1:6" x14ac:dyDescent="0.25">
      <c r="A80635"/>
      <c r="B80635"/>
      <c r="C80635"/>
      <c r="E80635"/>
      <c r="F80635"/>
    </row>
    <row r="80636" spans="1:6" x14ac:dyDescent="0.25">
      <c r="A80636"/>
      <c r="B80636"/>
      <c r="C80636"/>
      <c r="E80636"/>
      <c r="F80636"/>
    </row>
    <row r="80637" spans="1:6" x14ac:dyDescent="0.25">
      <c r="A80637"/>
      <c r="B80637"/>
      <c r="C80637"/>
      <c r="E80637"/>
      <c r="F80637"/>
    </row>
    <row r="80638" spans="1:6" x14ac:dyDescent="0.25">
      <c r="A80638"/>
      <c r="B80638"/>
      <c r="C80638"/>
      <c r="E80638"/>
      <c r="F80638"/>
    </row>
    <row r="80639" spans="1:6" x14ac:dyDescent="0.25">
      <c r="A80639"/>
      <c r="B80639"/>
      <c r="C80639"/>
      <c r="E80639"/>
      <c r="F80639"/>
    </row>
    <row r="80640" spans="1:6" x14ac:dyDescent="0.25">
      <c r="A80640"/>
      <c r="B80640"/>
      <c r="C80640"/>
      <c r="E80640"/>
      <c r="F80640"/>
    </row>
    <row r="80641" spans="1:6" x14ac:dyDescent="0.25">
      <c r="A80641"/>
      <c r="B80641"/>
      <c r="C80641"/>
      <c r="E80641"/>
      <c r="F80641"/>
    </row>
    <row r="80642" spans="1:6" x14ac:dyDescent="0.25">
      <c r="A80642"/>
      <c r="B80642"/>
      <c r="C80642"/>
      <c r="E80642"/>
      <c r="F80642"/>
    </row>
    <row r="80643" spans="1:6" x14ac:dyDescent="0.25">
      <c r="A80643"/>
      <c r="B80643"/>
      <c r="C80643"/>
      <c r="E80643"/>
      <c r="F80643"/>
    </row>
    <row r="80644" spans="1:6" x14ac:dyDescent="0.25">
      <c r="A80644"/>
      <c r="B80644"/>
      <c r="C80644"/>
      <c r="E80644"/>
      <c r="F80644"/>
    </row>
    <row r="80645" spans="1:6" x14ac:dyDescent="0.25">
      <c r="A80645"/>
      <c r="B80645"/>
      <c r="C80645"/>
      <c r="E80645"/>
      <c r="F80645"/>
    </row>
    <row r="80646" spans="1:6" x14ac:dyDescent="0.25">
      <c r="A80646"/>
      <c r="B80646"/>
      <c r="C80646"/>
      <c r="E80646"/>
      <c r="F80646"/>
    </row>
    <row r="80647" spans="1:6" x14ac:dyDescent="0.25">
      <c r="A80647"/>
      <c r="B80647"/>
      <c r="C80647"/>
      <c r="E80647"/>
      <c r="F80647"/>
    </row>
    <row r="80648" spans="1:6" x14ac:dyDescent="0.25">
      <c r="A80648"/>
      <c r="B80648"/>
      <c r="C80648"/>
      <c r="E80648"/>
      <c r="F80648"/>
    </row>
    <row r="80649" spans="1:6" x14ac:dyDescent="0.25">
      <c r="A80649"/>
      <c r="B80649"/>
      <c r="C80649"/>
      <c r="E80649"/>
      <c r="F80649"/>
    </row>
    <row r="80650" spans="1:6" x14ac:dyDescent="0.25">
      <c r="A80650"/>
      <c r="B80650"/>
      <c r="C80650"/>
      <c r="E80650"/>
      <c r="F80650"/>
    </row>
    <row r="80651" spans="1:6" x14ac:dyDescent="0.25">
      <c r="A80651"/>
      <c r="B80651"/>
      <c r="C80651"/>
      <c r="E80651"/>
      <c r="F80651"/>
    </row>
    <row r="80652" spans="1:6" x14ac:dyDescent="0.25">
      <c r="A80652"/>
      <c r="B80652"/>
      <c r="C80652"/>
      <c r="E80652"/>
      <c r="F80652"/>
    </row>
    <row r="80653" spans="1:6" x14ac:dyDescent="0.25">
      <c r="A80653"/>
      <c r="B80653"/>
      <c r="C80653"/>
      <c r="E80653"/>
      <c r="F80653"/>
    </row>
    <row r="80654" spans="1:6" x14ac:dyDescent="0.25">
      <c r="A80654"/>
      <c r="B80654"/>
      <c r="C80654"/>
      <c r="E80654"/>
      <c r="F80654"/>
    </row>
    <row r="80655" spans="1:6" x14ac:dyDescent="0.25">
      <c r="A80655"/>
      <c r="B80655"/>
      <c r="C80655"/>
      <c r="E80655"/>
      <c r="F80655"/>
    </row>
    <row r="80656" spans="1:6" x14ac:dyDescent="0.25">
      <c r="A80656"/>
      <c r="B80656"/>
      <c r="C80656"/>
      <c r="E80656"/>
      <c r="F80656"/>
    </row>
    <row r="80657" spans="1:6" x14ac:dyDescent="0.25">
      <c r="A80657"/>
      <c r="B80657"/>
      <c r="C80657"/>
      <c r="E80657"/>
      <c r="F80657"/>
    </row>
    <row r="80658" spans="1:6" x14ac:dyDescent="0.25">
      <c r="A80658"/>
      <c r="B80658"/>
      <c r="C80658"/>
      <c r="E80658"/>
      <c r="F80658"/>
    </row>
    <row r="80659" spans="1:6" x14ac:dyDescent="0.25">
      <c r="A80659"/>
      <c r="B80659"/>
      <c r="C80659"/>
      <c r="E80659"/>
      <c r="F80659"/>
    </row>
    <row r="80660" spans="1:6" x14ac:dyDescent="0.25">
      <c r="A80660"/>
      <c r="B80660"/>
      <c r="C80660"/>
      <c r="E80660"/>
      <c r="F80660"/>
    </row>
    <row r="80661" spans="1:6" x14ac:dyDescent="0.25">
      <c r="A80661"/>
      <c r="B80661"/>
      <c r="C80661"/>
      <c r="E80661"/>
      <c r="F80661"/>
    </row>
    <row r="80662" spans="1:6" x14ac:dyDescent="0.25">
      <c r="A80662"/>
      <c r="B80662"/>
      <c r="C80662"/>
      <c r="E80662"/>
      <c r="F80662"/>
    </row>
    <row r="80663" spans="1:6" x14ac:dyDescent="0.25">
      <c r="A80663"/>
      <c r="B80663"/>
      <c r="C80663"/>
      <c r="E80663"/>
      <c r="F80663"/>
    </row>
    <row r="80664" spans="1:6" x14ac:dyDescent="0.25">
      <c r="A80664"/>
      <c r="B80664"/>
      <c r="C80664"/>
      <c r="E80664"/>
      <c r="F80664"/>
    </row>
    <row r="80665" spans="1:6" x14ac:dyDescent="0.25">
      <c r="A80665"/>
      <c r="B80665"/>
      <c r="C80665"/>
      <c r="E80665"/>
      <c r="F80665"/>
    </row>
    <row r="80666" spans="1:6" x14ac:dyDescent="0.25">
      <c r="A80666"/>
      <c r="B80666"/>
      <c r="C80666"/>
      <c r="E80666"/>
      <c r="F80666"/>
    </row>
    <row r="80667" spans="1:6" x14ac:dyDescent="0.25">
      <c r="A80667"/>
      <c r="B80667"/>
      <c r="C80667"/>
      <c r="E80667"/>
      <c r="F80667"/>
    </row>
    <row r="80668" spans="1:6" x14ac:dyDescent="0.25">
      <c r="A80668"/>
      <c r="B80668"/>
      <c r="C80668"/>
      <c r="E80668"/>
      <c r="F80668"/>
    </row>
    <row r="80669" spans="1:6" x14ac:dyDescent="0.25">
      <c r="A80669"/>
      <c r="B80669"/>
      <c r="C80669"/>
      <c r="E80669"/>
      <c r="F80669"/>
    </row>
    <row r="80670" spans="1:6" x14ac:dyDescent="0.25">
      <c r="A80670"/>
      <c r="B80670"/>
      <c r="C80670"/>
      <c r="E80670"/>
      <c r="F80670"/>
    </row>
    <row r="80671" spans="1:6" x14ac:dyDescent="0.25">
      <c r="A80671"/>
      <c r="B80671"/>
      <c r="C80671"/>
      <c r="E80671"/>
      <c r="F80671"/>
    </row>
    <row r="80672" spans="1:6" x14ac:dyDescent="0.25">
      <c r="A80672"/>
      <c r="B80672"/>
      <c r="C80672"/>
      <c r="E80672"/>
      <c r="F80672"/>
    </row>
    <row r="80673" spans="1:6" x14ac:dyDescent="0.25">
      <c r="A80673"/>
      <c r="B80673"/>
      <c r="C80673"/>
      <c r="E80673"/>
      <c r="F80673"/>
    </row>
    <row r="80674" spans="1:6" x14ac:dyDescent="0.25">
      <c r="A80674"/>
      <c r="B80674"/>
      <c r="C80674"/>
      <c r="E80674"/>
      <c r="F80674"/>
    </row>
    <row r="80675" spans="1:6" x14ac:dyDescent="0.25">
      <c r="A80675"/>
      <c r="B80675"/>
      <c r="C80675"/>
      <c r="E80675"/>
      <c r="F80675"/>
    </row>
    <row r="80676" spans="1:6" x14ac:dyDescent="0.25">
      <c r="A80676"/>
      <c r="B80676"/>
      <c r="C80676"/>
      <c r="E80676"/>
      <c r="F80676"/>
    </row>
    <row r="80677" spans="1:6" x14ac:dyDescent="0.25">
      <c r="A80677"/>
      <c r="B80677"/>
      <c r="C80677"/>
      <c r="E80677"/>
      <c r="F80677"/>
    </row>
    <row r="80678" spans="1:6" x14ac:dyDescent="0.25">
      <c r="A80678"/>
      <c r="B80678"/>
      <c r="C80678"/>
      <c r="E80678"/>
      <c r="F80678"/>
    </row>
    <row r="80679" spans="1:6" x14ac:dyDescent="0.25">
      <c r="A80679"/>
      <c r="B80679"/>
      <c r="C80679"/>
      <c r="E80679"/>
      <c r="F80679"/>
    </row>
    <row r="80680" spans="1:6" x14ac:dyDescent="0.25">
      <c r="A80680"/>
      <c r="B80680"/>
      <c r="C80680"/>
      <c r="E80680"/>
      <c r="F80680"/>
    </row>
    <row r="80681" spans="1:6" x14ac:dyDescent="0.25">
      <c r="A80681"/>
      <c r="B80681"/>
      <c r="C80681"/>
      <c r="E80681"/>
      <c r="F80681"/>
    </row>
    <row r="80682" spans="1:6" x14ac:dyDescent="0.25">
      <c r="A80682"/>
      <c r="B80682"/>
      <c r="C80682"/>
      <c r="E80682"/>
      <c r="F80682"/>
    </row>
    <row r="80683" spans="1:6" x14ac:dyDescent="0.25">
      <c r="A80683"/>
      <c r="B80683"/>
      <c r="C80683"/>
      <c r="E80683"/>
      <c r="F80683"/>
    </row>
    <row r="80684" spans="1:6" x14ac:dyDescent="0.25">
      <c r="A80684"/>
      <c r="B80684"/>
      <c r="C80684"/>
      <c r="E80684"/>
      <c r="F80684"/>
    </row>
    <row r="80685" spans="1:6" x14ac:dyDescent="0.25">
      <c r="A80685"/>
      <c r="B80685"/>
      <c r="C80685"/>
      <c r="E80685"/>
      <c r="F80685"/>
    </row>
    <row r="80686" spans="1:6" x14ac:dyDescent="0.25">
      <c r="A80686"/>
      <c r="B80686"/>
      <c r="C80686"/>
      <c r="E80686"/>
      <c r="F80686"/>
    </row>
    <row r="80687" spans="1:6" x14ac:dyDescent="0.25">
      <c r="A80687"/>
      <c r="B80687"/>
      <c r="C80687"/>
      <c r="E80687"/>
      <c r="F80687"/>
    </row>
    <row r="80688" spans="1:6" x14ac:dyDescent="0.25">
      <c r="A80688"/>
      <c r="B80688"/>
      <c r="C80688"/>
      <c r="E80688"/>
      <c r="F80688"/>
    </row>
    <row r="80689" spans="1:6" x14ac:dyDescent="0.25">
      <c r="A80689"/>
      <c r="B80689"/>
      <c r="C80689"/>
      <c r="E80689"/>
      <c r="F80689"/>
    </row>
    <row r="80690" spans="1:6" x14ac:dyDescent="0.25">
      <c r="A80690"/>
      <c r="B80690"/>
      <c r="C80690"/>
      <c r="E80690"/>
      <c r="F80690"/>
    </row>
    <row r="80691" spans="1:6" x14ac:dyDescent="0.25">
      <c r="A80691"/>
      <c r="B80691"/>
      <c r="C80691"/>
      <c r="E80691"/>
      <c r="F80691"/>
    </row>
    <row r="80692" spans="1:6" x14ac:dyDescent="0.25">
      <c r="A80692"/>
      <c r="B80692"/>
      <c r="C80692"/>
      <c r="E80692"/>
      <c r="F80692"/>
    </row>
    <row r="80693" spans="1:6" x14ac:dyDescent="0.25">
      <c r="A80693"/>
      <c r="B80693"/>
      <c r="C80693"/>
      <c r="E80693"/>
      <c r="F80693"/>
    </row>
    <row r="80694" spans="1:6" x14ac:dyDescent="0.25">
      <c r="A80694"/>
      <c r="B80694"/>
      <c r="C80694"/>
      <c r="E80694"/>
      <c r="F80694"/>
    </row>
    <row r="80695" spans="1:6" x14ac:dyDescent="0.25">
      <c r="A80695"/>
      <c r="B80695"/>
      <c r="C80695"/>
      <c r="E80695"/>
      <c r="F80695"/>
    </row>
    <row r="80696" spans="1:6" x14ac:dyDescent="0.25">
      <c r="A80696"/>
      <c r="B80696"/>
      <c r="C80696"/>
      <c r="E80696"/>
      <c r="F80696"/>
    </row>
    <row r="80697" spans="1:6" x14ac:dyDescent="0.25">
      <c r="A80697"/>
      <c r="B80697"/>
      <c r="C80697"/>
      <c r="E80697"/>
      <c r="F80697"/>
    </row>
    <row r="80698" spans="1:6" x14ac:dyDescent="0.25">
      <c r="A80698"/>
      <c r="B80698"/>
      <c r="C80698"/>
      <c r="E80698"/>
      <c r="F80698"/>
    </row>
    <row r="80699" spans="1:6" x14ac:dyDescent="0.25">
      <c r="A80699"/>
      <c r="B80699"/>
      <c r="C80699"/>
      <c r="E80699"/>
      <c r="F80699"/>
    </row>
    <row r="80700" spans="1:6" x14ac:dyDescent="0.25">
      <c r="A80700"/>
      <c r="B80700"/>
      <c r="C80700"/>
      <c r="E80700"/>
      <c r="F80700"/>
    </row>
    <row r="80701" spans="1:6" x14ac:dyDescent="0.25">
      <c r="A80701"/>
      <c r="B80701"/>
      <c r="C80701"/>
      <c r="E80701"/>
      <c r="F80701"/>
    </row>
    <row r="80702" spans="1:6" x14ac:dyDescent="0.25">
      <c r="A80702"/>
      <c r="B80702"/>
      <c r="C80702"/>
      <c r="E80702"/>
      <c r="F80702"/>
    </row>
    <row r="80703" spans="1:6" x14ac:dyDescent="0.25">
      <c r="A80703"/>
      <c r="B80703"/>
      <c r="C80703"/>
      <c r="E80703"/>
      <c r="F80703"/>
    </row>
    <row r="80704" spans="1:6" x14ac:dyDescent="0.25">
      <c r="A80704"/>
      <c r="B80704"/>
      <c r="C80704"/>
      <c r="E80704"/>
      <c r="F80704"/>
    </row>
    <row r="80705" spans="1:6" x14ac:dyDescent="0.25">
      <c r="A80705"/>
      <c r="B80705"/>
      <c r="C80705"/>
      <c r="E80705"/>
      <c r="F80705"/>
    </row>
    <row r="80706" spans="1:6" x14ac:dyDescent="0.25">
      <c r="A80706"/>
      <c r="B80706"/>
      <c r="C80706"/>
      <c r="E80706"/>
      <c r="F80706"/>
    </row>
    <row r="80707" spans="1:6" x14ac:dyDescent="0.25">
      <c r="A80707"/>
      <c r="B80707"/>
      <c r="C80707"/>
      <c r="E80707"/>
      <c r="F80707"/>
    </row>
    <row r="80708" spans="1:6" x14ac:dyDescent="0.25">
      <c r="A80708"/>
      <c r="B80708"/>
      <c r="C80708"/>
      <c r="E80708"/>
      <c r="F80708"/>
    </row>
    <row r="80709" spans="1:6" x14ac:dyDescent="0.25">
      <c r="A80709"/>
      <c r="B80709"/>
      <c r="C80709"/>
      <c r="E80709"/>
      <c r="F80709"/>
    </row>
    <row r="80710" spans="1:6" x14ac:dyDescent="0.25">
      <c r="A80710"/>
      <c r="B80710"/>
      <c r="C80710"/>
      <c r="E80710"/>
      <c r="F80710"/>
    </row>
    <row r="80711" spans="1:6" x14ac:dyDescent="0.25">
      <c r="A80711"/>
      <c r="B80711"/>
      <c r="C80711"/>
      <c r="E80711"/>
      <c r="F80711"/>
    </row>
    <row r="80712" spans="1:6" x14ac:dyDescent="0.25">
      <c r="A80712"/>
      <c r="B80712"/>
      <c r="C80712"/>
      <c r="E80712"/>
      <c r="F80712"/>
    </row>
    <row r="80713" spans="1:6" x14ac:dyDescent="0.25">
      <c r="A80713"/>
      <c r="B80713"/>
      <c r="C80713"/>
      <c r="E80713"/>
      <c r="F80713"/>
    </row>
    <row r="80714" spans="1:6" x14ac:dyDescent="0.25">
      <c r="A80714"/>
      <c r="B80714"/>
      <c r="C80714"/>
      <c r="E80714"/>
      <c r="F80714"/>
    </row>
    <row r="80715" spans="1:6" x14ac:dyDescent="0.25">
      <c r="A80715"/>
      <c r="B80715"/>
      <c r="C80715"/>
      <c r="E80715"/>
      <c r="F80715"/>
    </row>
    <row r="80716" spans="1:6" x14ac:dyDescent="0.25">
      <c r="A80716"/>
      <c r="B80716"/>
      <c r="C80716"/>
      <c r="E80716"/>
      <c r="F80716"/>
    </row>
    <row r="80717" spans="1:6" x14ac:dyDescent="0.25">
      <c r="A80717"/>
      <c r="B80717"/>
      <c r="C80717"/>
      <c r="E80717"/>
      <c r="F80717"/>
    </row>
    <row r="80718" spans="1:6" x14ac:dyDescent="0.25">
      <c r="A80718"/>
      <c r="B80718"/>
      <c r="C80718"/>
      <c r="E80718"/>
      <c r="F80718"/>
    </row>
    <row r="80719" spans="1:6" x14ac:dyDescent="0.25">
      <c r="A80719"/>
      <c r="B80719"/>
      <c r="C80719"/>
      <c r="E80719"/>
      <c r="F80719"/>
    </row>
    <row r="80720" spans="1:6" x14ac:dyDescent="0.25">
      <c r="A80720"/>
      <c r="B80720"/>
      <c r="C80720"/>
      <c r="E80720"/>
      <c r="F80720"/>
    </row>
    <row r="80721" spans="1:6" x14ac:dyDescent="0.25">
      <c r="A80721"/>
      <c r="B80721"/>
      <c r="C80721"/>
      <c r="E80721"/>
      <c r="F80721"/>
    </row>
    <row r="80722" spans="1:6" x14ac:dyDescent="0.25">
      <c r="A80722"/>
      <c r="B80722"/>
      <c r="C80722"/>
      <c r="E80722"/>
      <c r="F80722"/>
    </row>
    <row r="80723" spans="1:6" x14ac:dyDescent="0.25">
      <c r="A80723"/>
      <c r="B80723"/>
      <c r="C80723"/>
      <c r="E80723"/>
      <c r="F80723"/>
    </row>
    <row r="80724" spans="1:6" x14ac:dyDescent="0.25">
      <c r="A80724"/>
      <c r="B80724"/>
      <c r="C80724"/>
      <c r="E80724"/>
      <c r="F80724"/>
    </row>
    <row r="80725" spans="1:6" x14ac:dyDescent="0.25">
      <c r="A80725"/>
      <c r="B80725"/>
      <c r="C80725"/>
      <c r="E80725"/>
      <c r="F80725"/>
    </row>
    <row r="80726" spans="1:6" x14ac:dyDescent="0.25">
      <c r="A80726"/>
      <c r="B80726"/>
      <c r="C80726"/>
      <c r="E80726"/>
      <c r="F80726"/>
    </row>
    <row r="80727" spans="1:6" x14ac:dyDescent="0.25">
      <c r="A80727"/>
      <c r="B80727"/>
      <c r="C80727"/>
      <c r="E80727"/>
      <c r="F80727"/>
    </row>
    <row r="80728" spans="1:6" x14ac:dyDescent="0.25">
      <c r="A80728"/>
      <c r="B80728"/>
      <c r="C80728"/>
      <c r="E80728"/>
      <c r="F80728"/>
    </row>
    <row r="80729" spans="1:6" x14ac:dyDescent="0.25">
      <c r="A80729"/>
      <c r="B80729"/>
      <c r="C80729"/>
      <c r="E80729"/>
      <c r="F80729"/>
    </row>
    <row r="80730" spans="1:6" x14ac:dyDescent="0.25">
      <c r="A80730"/>
      <c r="B80730"/>
      <c r="C80730"/>
      <c r="E80730"/>
      <c r="F80730"/>
    </row>
    <row r="80731" spans="1:6" x14ac:dyDescent="0.25">
      <c r="A80731"/>
      <c r="B80731"/>
      <c r="C80731"/>
      <c r="E80731"/>
      <c r="F80731"/>
    </row>
    <row r="80732" spans="1:6" x14ac:dyDescent="0.25">
      <c r="A80732"/>
      <c r="B80732"/>
      <c r="C80732"/>
      <c r="E80732"/>
      <c r="F80732"/>
    </row>
    <row r="80733" spans="1:6" x14ac:dyDescent="0.25">
      <c r="A80733"/>
      <c r="B80733"/>
      <c r="C80733"/>
      <c r="E80733"/>
      <c r="F80733"/>
    </row>
    <row r="80734" spans="1:6" x14ac:dyDescent="0.25">
      <c r="A80734"/>
      <c r="B80734"/>
      <c r="C80734"/>
      <c r="E80734"/>
      <c r="F80734"/>
    </row>
    <row r="80735" spans="1:6" x14ac:dyDescent="0.25">
      <c r="A80735"/>
      <c r="B80735"/>
      <c r="C80735"/>
      <c r="E80735"/>
      <c r="F80735"/>
    </row>
    <row r="80736" spans="1:6" x14ac:dyDescent="0.25">
      <c r="A80736"/>
      <c r="B80736"/>
      <c r="C80736"/>
      <c r="E80736"/>
      <c r="F80736"/>
    </row>
    <row r="80737" spans="1:6" x14ac:dyDescent="0.25">
      <c r="A80737"/>
      <c r="B80737"/>
      <c r="C80737"/>
      <c r="E80737"/>
      <c r="F80737"/>
    </row>
    <row r="80738" spans="1:6" x14ac:dyDescent="0.25">
      <c r="A80738"/>
      <c r="B80738"/>
      <c r="C80738"/>
      <c r="E80738"/>
      <c r="F80738"/>
    </row>
    <row r="80739" spans="1:6" x14ac:dyDescent="0.25">
      <c r="A80739"/>
      <c r="B80739"/>
      <c r="C80739"/>
      <c r="E80739"/>
      <c r="F80739"/>
    </row>
    <row r="80740" spans="1:6" x14ac:dyDescent="0.25">
      <c r="A80740"/>
      <c r="B80740"/>
      <c r="C80740"/>
      <c r="E80740"/>
      <c r="F80740"/>
    </row>
    <row r="80741" spans="1:6" x14ac:dyDescent="0.25">
      <c r="A80741"/>
      <c r="B80741"/>
      <c r="C80741"/>
      <c r="E80741"/>
      <c r="F80741"/>
    </row>
    <row r="80742" spans="1:6" x14ac:dyDescent="0.25">
      <c r="A80742"/>
      <c r="B80742"/>
      <c r="C80742"/>
      <c r="E80742"/>
      <c r="F80742"/>
    </row>
    <row r="80743" spans="1:6" x14ac:dyDescent="0.25">
      <c r="A80743"/>
      <c r="B80743"/>
      <c r="C80743"/>
      <c r="E80743"/>
      <c r="F80743"/>
    </row>
    <row r="80744" spans="1:6" x14ac:dyDescent="0.25">
      <c r="A80744"/>
      <c r="B80744"/>
      <c r="C80744"/>
      <c r="E80744"/>
      <c r="F80744"/>
    </row>
    <row r="80745" spans="1:6" x14ac:dyDescent="0.25">
      <c r="A80745"/>
      <c r="B80745"/>
      <c r="C80745"/>
      <c r="E80745"/>
      <c r="F80745"/>
    </row>
    <row r="80746" spans="1:6" x14ac:dyDescent="0.25">
      <c r="A80746"/>
      <c r="B80746"/>
      <c r="C80746"/>
      <c r="E80746"/>
      <c r="F80746"/>
    </row>
    <row r="80747" spans="1:6" x14ac:dyDescent="0.25">
      <c r="A80747"/>
      <c r="B80747"/>
      <c r="C80747"/>
      <c r="E80747"/>
      <c r="F80747"/>
    </row>
    <row r="80748" spans="1:6" x14ac:dyDescent="0.25">
      <c r="A80748"/>
      <c r="B80748"/>
      <c r="C80748"/>
      <c r="E80748"/>
      <c r="F80748"/>
    </row>
    <row r="80749" spans="1:6" x14ac:dyDescent="0.25">
      <c r="A80749"/>
      <c r="B80749"/>
      <c r="C80749"/>
      <c r="E80749"/>
      <c r="F80749"/>
    </row>
    <row r="80750" spans="1:6" x14ac:dyDescent="0.25">
      <c r="A80750"/>
      <c r="B80750"/>
      <c r="C80750"/>
      <c r="E80750"/>
      <c r="F80750"/>
    </row>
    <row r="80751" spans="1:6" x14ac:dyDescent="0.25">
      <c r="A80751"/>
      <c r="B80751"/>
      <c r="C80751"/>
      <c r="E80751"/>
      <c r="F80751"/>
    </row>
    <row r="80752" spans="1:6" x14ac:dyDescent="0.25">
      <c r="A80752"/>
      <c r="B80752"/>
      <c r="C80752"/>
      <c r="E80752"/>
      <c r="F80752"/>
    </row>
    <row r="80753" spans="1:6" x14ac:dyDescent="0.25">
      <c r="A80753"/>
      <c r="B80753"/>
      <c r="C80753"/>
      <c r="E80753"/>
      <c r="F80753"/>
    </row>
    <row r="80754" spans="1:6" x14ac:dyDescent="0.25">
      <c r="A80754"/>
      <c r="B80754"/>
      <c r="C80754"/>
      <c r="E80754"/>
      <c r="F80754"/>
    </row>
    <row r="80755" spans="1:6" x14ac:dyDescent="0.25">
      <c r="A80755"/>
      <c r="B80755"/>
      <c r="C80755"/>
      <c r="E80755"/>
      <c r="F80755"/>
    </row>
    <row r="80756" spans="1:6" x14ac:dyDescent="0.25">
      <c r="A80756"/>
      <c r="B80756"/>
      <c r="C80756"/>
      <c r="E80756"/>
      <c r="F80756"/>
    </row>
    <row r="80757" spans="1:6" x14ac:dyDescent="0.25">
      <c r="A80757"/>
      <c r="B80757"/>
      <c r="C80757"/>
      <c r="E80757"/>
      <c r="F80757"/>
    </row>
    <row r="80758" spans="1:6" x14ac:dyDescent="0.25">
      <c r="A80758"/>
      <c r="B80758"/>
      <c r="C80758"/>
      <c r="E80758"/>
      <c r="F80758"/>
    </row>
    <row r="80759" spans="1:6" x14ac:dyDescent="0.25">
      <c r="A80759"/>
      <c r="B80759"/>
      <c r="C80759"/>
      <c r="E80759"/>
      <c r="F80759"/>
    </row>
    <row r="80760" spans="1:6" x14ac:dyDescent="0.25">
      <c r="A80760"/>
      <c r="B80760"/>
      <c r="C80760"/>
      <c r="E80760"/>
      <c r="F80760"/>
    </row>
    <row r="80761" spans="1:6" x14ac:dyDescent="0.25">
      <c r="A80761"/>
      <c r="B80761"/>
      <c r="C80761"/>
      <c r="E80761"/>
      <c r="F80761"/>
    </row>
    <row r="80762" spans="1:6" x14ac:dyDescent="0.25">
      <c r="A80762"/>
      <c r="B80762"/>
      <c r="C80762"/>
      <c r="E80762"/>
      <c r="F80762"/>
    </row>
    <row r="80763" spans="1:6" x14ac:dyDescent="0.25">
      <c r="A80763"/>
      <c r="B80763"/>
      <c r="C80763"/>
      <c r="E80763"/>
      <c r="F80763"/>
    </row>
    <row r="80764" spans="1:6" x14ac:dyDescent="0.25">
      <c r="A80764"/>
      <c r="B80764"/>
      <c r="C80764"/>
      <c r="E80764"/>
      <c r="F80764"/>
    </row>
    <row r="80765" spans="1:6" x14ac:dyDescent="0.25">
      <c r="A80765"/>
      <c r="B80765"/>
      <c r="C80765"/>
      <c r="E80765"/>
      <c r="F80765"/>
    </row>
    <row r="80766" spans="1:6" x14ac:dyDescent="0.25">
      <c r="A80766"/>
      <c r="B80766"/>
      <c r="C80766"/>
      <c r="E80766"/>
      <c r="F80766"/>
    </row>
    <row r="80767" spans="1:6" x14ac:dyDescent="0.25">
      <c r="A80767"/>
      <c r="B80767"/>
      <c r="C80767"/>
      <c r="E80767"/>
      <c r="F80767"/>
    </row>
    <row r="80768" spans="1:6" x14ac:dyDescent="0.25">
      <c r="A80768"/>
      <c r="B80768"/>
      <c r="C80768"/>
      <c r="E80768"/>
      <c r="F80768"/>
    </row>
    <row r="80769" spans="1:6" x14ac:dyDescent="0.25">
      <c r="A80769"/>
      <c r="B80769"/>
      <c r="C80769"/>
      <c r="E80769"/>
      <c r="F80769"/>
    </row>
    <row r="80770" spans="1:6" x14ac:dyDescent="0.25">
      <c r="A80770"/>
      <c r="B80770"/>
      <c r="C80770"/>
      <c r="E80770"/>
      <c r="F80770"/>
    </row>
    <row r="80771" spans="1:6" x14ac:dyDescent="0.25">
      <c r="A80771"/>
      <c r="B80771"/>
      <c r="C80771"/>
      <c r="E80771"/>
      <c r="F80771"/>
    </row>
    <row r="80772" spans="1:6" x14ac:dyDescent="0.25">
      <c r="A80772"/>
      <c r="B80772"/>
      <c r="C80772"/>
      <c r="E80772"/>
      <c r="F80772"/>
    </row>
    <row r="80773" spans="1:6" x14ac:dyDescent="0.25">
      <c r="A80773"/>
      <c r="B80773"/>
      <c r="C80773"/>
      <c r="E80773"/>
      <c r="F80773"/>
    </row>
    <row r="80774" spans="1:6" x14ac:dyDescent="0.25">
      <c r="A80774"/>
      <c r="B80774"/>
      <c r="C80774"/>
      <c r="E80774"/>
      <c r="F80774"/>
    </row>
    <row r="80775" spans="1:6" x14ac:dyDescent="0.25">
      <c r="A80775"/>
      <c r="B80775"/>
      <c r="C80775"/>
      <c r="E80775"/>
      <c r="F80775"/>
    </row>
    <row r="80776" spans="1:6" x14ac:dyDescent="0.25">
      <c r="A80776"/>
      <c r="B80776"/>
      <c r="C80776"/>
      <c r="E80776"/>
      <c r="F80776"/>
    </row>
    <row r="80777" spans="1:6" x14ac:dyDescent="0.25">
      <c r="A80777"/>
      <c r="B80777"/>
      <c r="C80777"/>
      <c r="E80777"/>
      <c r="F80777"/>
    </row>
    <row r="80778" spans="1:6" x14ac:dyDescent="0.25">
      <c r="A80778"/>
      <c r="B80778"/>
      <c r="C80778"/>
      <c r="E80778"/>
      <c r="F80778"/>
    </row>
    <row r="80779" spans="1:6" x14ac:dyDescent="0.25">
      <c r="A80779"/>
      <c r="B80779"/>
      <c r="C80779"/>
      <c r="E80779"/>
      <c r="F80779"/>
    </row>
    <row r="80780" spans="1:6" x14ac:dyDescent="0.25">
      <c r="A80780"/>
      <c r="B80780"/>
      <c r="C80780"/>
      <c r="E80780"/>
      <c r="F80780"/>
    </row>
    <row r="80781" spans="1:6" x14ac:dyDescent="0.25">
      <c r="A80781"/>
      <c r="B80781"/>
      <c r="C80781"/>
      <c r="E80781"/>
      <c r="F80781"/>
    </row>
    <row r="80782" spans="1:6" x14ac:dyDescent="0.25">
      <c r="A80782"/>
      <c r="B80782"/>
      <c r="C80782"/>
      <c r="E80782"/>
      <c r="F80782"/>
    </row>
    <row r="80783" spans="1:6" x14ac:dyDescent="0.25">
      <c r="A80783"/>
      <c r="B80783"/>
      <c r="C80783"/>
      <c r="E80783"/>
      <c r="F80783"/>
    </row>
    <row r="80784" spans="1:6" x14ac:dyDescent="0.25">
      <c r="A80784"/>
      <c r="B80784"/>
      <c r="C80784"/>
      <c r="E80784"/>
      <c r="F80784"/>
    </row>
    <row r="80785" spans="1:6" x14ac:dyDescent="0.25">
      <c r="A80785"/>
      <c r="B80785"/>
      <c r="C80785"/>
      <c r="E80785"/>
      <c r="F80785"/>
    </row>
    <row r="80786" spans="1:6" x14ac:dyDescent="0.25">
      <c r="A80786"/>
      <c r="B80786"/>
      <c r="C80786"/>
      <c r="E80786"/>
      <c r="F80786"/>
    </row>
    <row r="80787" spans="1:6" x14ac:dyDescent="0.25">
      <c r="A80787"/>
      <c r="B80787"/>
      <c r="C80787"/>
      <c r="E80787"/>
      <c r="F80787"/>
    </row>
    <row r="80788" spans="1:6" x14ac:dyDescent="0.25">
      <c r="A80788"/>
      <c r="B80788"/>
      <c r="C80788"/>
      <c r="E80788"/>
      <c r="F80788"/>
    </row>
    <row r="80789" spans="1:6" x14ac:dyDescent="0.25">
      <c r="A80789"/>
      <c r="B80789"/>
      <c r="C80789"/>
      <c r="E80789"/>
      <c r="F80789"/>
    </row>
    <row r="80790" spans="1:6" x14ac:dyDescent="0.25">
      <c r="A80790"/>
      <c r="B80790"/>
      <c r="C80790"/>
      <c r="E80790"/>
      <c r="F80790"/>
    </row>
    <row r="80791" spans="1:6" x14ac:dyDescent="0.25">
      <c r="A80791"/>
      <c r="B80791"/>
      <c r="C80791"/>
      <c r="E80791"/>
      <c r="F80791"/>
    </row>
    <row r="80792" spans="1:6" x14ac:dyDescent="0.25">
      <c r="A80792"/>
      <c r="B80792"/>
      <c r="C80792"/>
      <c r="E80792"/>
      <c r="F80792"/>
    </row>
    <row r="80793" spans="1:6" x14ac:dyDescent="0.25">
      <c r="A80793"/>
      <c r="B80793"/>
      <c r="C80793"/>
      <c r="E80793"/>
      <c r="F80793"/>
    </row>
    <row r="80794" spans="1:6" x14ac:dyDescent="0.25">
      <c r="A80794"/>
      <c r="B80794"/>
      <c r="C80794"/>
      <c r="E80794"/>
      <c r="F80794"/>
    </row>
    <row r="80795" spans="1:6" x14ac:dyDescent="0.25">
      <c r="A80795"/>
      <c r="B80795"/>
      <c r="C80795"/>
      <c r="E80795"/>
      <c r="F80795"/>
    </row>
    <row r="80796" spans="1:6" x14ac:dyDescent="0.25">
      <c r="A80796"/>
      <c r="B80796"/>
      <c r="C80796"/>
      <c r="E80796"/>
      <c r="F80796"/>
    </row>
    <row r="80797" spans="1:6" x14ac:dyDescent="0.25">
      <c r="A80797"/>
      <c r="B80797"/>
      <c r="C80797"/>
      <c r="E80797"/>
      <c r="F80797"/>
    </row>
    <row r="80798" spans="1:6" x14ac:dyDescent="0.25">
      <c r="A80798"/>
      <c r="B80798"/>
      <c r="C80798"/>
      <c r="E80798"/>
      <c r="F80798"/>
    </row>
    <row r="80799" spans="1:6" x14ac:dyDescent="0.25">
      <c r="A80799"/>
      <c r="B80799"/>
      <c r="C80799"/>
      <c r="E80799"/>
      <c r="F80799"/>
    </row>
    <row r="80800" spans="1:6" x14ac:dyDescent="0.25">
      <c r="A80800"/>
      <c r="B80800"/>
      <c r="C80800"/>
      <c r="E80800"/>
      <c r="F80800"/>
    </row>
    <row r="80801" spans="1:6" x14ac:dyDescent="0.25">
      <c r="A80801"/>
      <c r="B80801"/>
      <c r="C80801"/>
      <c r="E80801"/>
      <c r="F80801"/>
    </row>
    <row r="80802" spans="1:6" x14ac:dyDescent="0.25">
      <c r="A80802"/>
      <c r="B80802"/>
      <c r="C80802"/>
      <c r="E80802"/>
      <c r="F80802"/>
    </row>
    <row r="80803" spans="1:6" x14ac:dyDescent="0.25">
      <c r="A80803"/>
      <c r="B80803"/>
      <c r="C80803"/>
      <c r="E80803"/>
      <c r="F80803"/>
    </row>
    <row r="80804" spans="1:6" x14ac:dyDescent="0.25">
      <c r="A80804"/>
      <c r="B80804"/>
      <c r="C80804"/>
      <c r="E80804"/>
      <c r="F80804"/>
    </row>
    <row r="80805" spans="1:6" x14ac:dyDescent="0.25">
      <c r="A80805"/>
      <c r="B80805"/>
      <c r="C80805"/>
      <c r="E80805"/>
      <c r="F80805"/>
    </row>
    <row r="80806" spans="1:6" x14ac:dyDescent="0.25">
      <c r="A80806"/>
      <c r="B80806"/>
      <c r="C80806"/>
      <c r="E80806"/>
      <c r="F80806"/>
    </row>
    <row r="80807" spans="1:6" x14ac:dyDescent="0.25">
      <c r="A80807"/>
      <c r="B80807"/>
      <c r="C80807"/>
      <c r="E80807"/>
      <c r="F80807"/>
    </row>
    <row r="80808" spans="1:6" x14ac:dyDescent="0.25">
      <c r="A80808"/>
      <c r="B80808"/>
      <c r="C80808"/>
      <c r="E80808"/>
      <c r="F80808"/>
    </row>
    <row r="80809" spans="1:6" x14ac:dyDescent="0.25">
      <c r="A80809"/>
      <c r="B80809"/>
      <c r="C80809"/>
      <c r="E80809"/>
      <c r="F80809"/>
    </row>
    <row r="80810" spans="1:6" x14ac:dyDescent="0.25">
      <c r="A80810"/>
      <c r="B80810"/>
      <c r="C80810"/>
      <c r="E80810"/>
      <c r="F80810"/>
    </row>
    <row r="80811" spans="1:6" x14ac:dyDescent="0.25">
      <c r="A80811"/>
      <c r="B80811"/>
      <c r="C80811"/>
      <c r="E80811"/>
      <c r="F80811"/>
    </row>
    <row r="80812" spans="1:6" x14ac:dyDescent="0.25">
      <c r="A80812"/>
      <c r="B80812"/>
      <c r="C80812"/>
      <c r="E80812"/>
      <c r="F80812"/>
    </row>
    <row r="80813" spans="1:6" x14ac:dyDescent="0.25">
      <c r="A80813"/>
      <c r="B80813"/>
      <c r="C80813"/>
      <c r="E80813"/>
      <c r="F80813"/>
    </row>
    <row r="80814" spans="1:6" x14ac:dyDescent="0.25">
      <c r="A80814"/>
      <c r="B80814"/>
      <c r="C80814"/>
      <c r="E80814"/>
      <c r="F80814"/>
    </row>
    <row r="80815" spans="1:6" x14ac:dyDescent="0.25">
      <c r="A80815"/>
      <c r="B80815"/>
      <c r="C80815"/>
      <c r="E80815"/>
      <c r="F80815"/>
    </row>
    <row r="80816" spans="1:6" x14ac:dyDescent="0.25">
      <c r="A80816"/>
      <c r="B80816"/>
      <c r="C80816"/>
      <c r="E80816"/>
      <c r="F80816"/>
    </row>
    <row r="80817" spans="1:6" x14ac:dyDescent="0.25">
      <c r="A80817"/>
      <c r="B80817"/>
      <c r="C80817"/>
      <c r="E80817"/>
      <c r="F80817"/>
    </row>
    <row r="80818" spans="1:6" x14ac:dyDescent="0.25">
      <c r="A80818"/>
      <c r="B80818"/>
      <c r="C80818"/>
      <c r="E80818"/>
      <c r="F80818"/>
    </row>
    <row r="80819" spans="1:6" x14ac:dyDescent="0.25">
      <c r="A80819"/>
      <c r="B80819"/>
      <c r="C80819"/>
      <c r="E80819"/>
      <c r="F80819"/>
    </row>
    <row r="80820" spans="1:6" x14ac:dyDescent="0.25">
      <c r="A80820"/>
      <c r="B80820"/>
      <c r="C80820"/>
      <c r="E80820"/>
      <c r="F80820"/>
    </row>
    <row r="80821" spans="1:6" x14ac:dyDescent="0.25">
      <c r="A80821"/>
      <c r="B80821"/>
      <c r="C80821"/>
      <c r="E80821"/>
      <c r="F80821"/>
    </row>
    <row r="80822" spans="1:6" x14ac:dyDescent="0.25">
      <c r="A80822"/>
      <c r="B80822"/>
      <c r="C80822"/>
      <c r="E80822"/>
      <c r="F80822"/>
    </row>
    <row r="80823" spans="1:6" x14ac:dyDescent="0.25">
      <c r="A80823"/>
      <c r="B80823"/>
      <c r="C80823"/>
      <c r="E80823"/>
      <c r="F80823"/>
    </row>
    <row r="80824" spans="1:6" x14ac:dyDescent="0.25">
      <c r="A80824"/>
      <c r="B80824"/>
      <c r="C80824"/>
      <c r="E80824"/>
      <c r="F80824"/>
    </row>
    <row r="80825" spans="1:6" x14ac:dyDescent="0.25">
      <c r="A80825"/>
      <c r="B80825"/>
      <c r="C80825"/>
      <c r="E80825"/>
      <c r="F80825"/>
    </row>
    <row r="80826" spans="1:6" x14ac:dyDescent="0.25">
      <c r="A80826"/>
      <c r="B80826"/>
      <c r="C80826"/>
      <c r="E80826"/>
      <c r="F80826"/>
    </row>
    <row r="80827" spans="1:6" x14ac:dyDescent="0.25">
      <c r="A80827"/>
      <c r="B80827"/>
      <c r="C80827"/>
      <c r="E80827"/>
      <c r="F80827"/>
    </row>
    <row r="80828" spans="1:6" x14ac:dyDescent="0.25">
      <c r="A80828"/>
      <c r="B80828"/>
      <c r="C80828"/>
      <c r="E80828"/>
      <c r="F80828"/>
    </row>
    <row r="80829" spans="1:6" x14ac:dyDescent="0.25">
      <c r="A80829"/>
      <c r="B80829"/>
      <c r="C80829"/>
      <c r="E80829"/>
      <c r="F80829"/>
    </row>
    <row r="80830" spans="1:6" x14ac:dyDescent="0.25">
      <c r="A80830"/>
      <c r="B80830"/>
      <c r="C80830"/>
      <c r="E80830"/>
      <c r="F80830"/>
    </row>
    <row r="80831" spans="1:6" x14ac:dyDescent="0.25">
      <c r="A80831"/>
      <c r="B80831"/>
      <c r="C80831"/>
      <c r="E80831"/>
      <c r="F80831"/>
    </row>
    <row r="80832" spans="1:6" x14ac:dyDescent="0.25">
      <c r="A80832"/>
      <c r="B80832"/>
      <c r="C80832"/>
      <c r="E80832"/>
      <c r="F80832"/>
    </row>
    <row r="80833" spans="1:6" x14ac:dyDescent="0.25">
      <c r="A80833"/>
      <c r="B80833"/>
      <c r="C80833"/>
      <c r="E80833"/>
      <c r="F80833"/>
    </row>
    <row r="80834" spans="1:6" x14ac:dyDescent="0.25">
      <c r="A80834"/>
      <c r="B80834"/>
      <c r="C80834"/>
      <c r="E80834"/>
      <c r="F80834"/>
    </row>
    <row r="80835" spans="1:6" x14ac:dyDescent="0.25">
      <c r="A80835"/>
      <c r="B80835"/>
      <c r="C80835"/>
      <c r="E80835"/>
      <c r="F80835"/>
    </row>
    <row r="80836" spans="1:6" x14ac:dyDescent="0.25">
      <c r="A80836"/>
      <c r="B80836"/>
      <c r="C80836"/>
      <c r="E80836"/>
      <c r="F80836"/>
    </row>
    <row r="80837" spans="1:6" x14ac:dyDescent="0.25">
      <c r="A80837"/>
      <c r="B80837"/>
      <c r="C80837"/>
      <c r="E80837"/>
      <c r="F80837"/>
    </row>
    <row r="80838" spans="1:6" x14ac:dyDescent="0.25">
      <c r="A80838"/>
      <c r="B80838"/>
      <c r="C80838"/>
      <c r="E80838"/>
      <c r="F80838"/>
    </row>
    <row r="80839" spans="1:6" x14ac:dyDescent="0.25">
      <c r="A80839"/>
      <c r="B80839"/>
      <c r="C80839"/>
      <c r="E80839"/>
      <c r="F80839"/>
    </row>
    <row r="80840" spans="1:6" x14ac:dyDescent="0.25">
      <c r="A80840"/>
      <c r="B80840"/>
      <c r="C80840"/>
      <c r="E80840"/>
      <c r="F80840"/>
    </row>
    <row r="80841" spans="1:6" x14ac:dyDescent="0.25">
      <c r="A80841"/>
      <c r="B80841"/>
      <c r="C80841"/>
      <c r="E80841"/>
      <c r="F80841"/>
    </row>
    <row r="80842" spans="1:6" x14ac:dyDescent="0.25">
      <c r="A80842"/>
      <c r="B80842"/>
      <c r="C80842"/>
      <c r="E80842"/>
      <c r="F80842"/>
    </row>
    <row r="80843" spans="1:6" x14ac:dyDescent="0.25">
      <c r="A80843"/>
      <c r="B80843"/>
      <c r="C80843"/>
      <c r="E80843"/>
      <c r="F80843"/>
    </row>
    <row r="80844" spans="1:6" x14ac:dyDescent="0.25">
      <c r="A80844"/>
      <c r="B80844"/>
      <c r="C80844"/>
      <c r="E80844"/>
      <c r="F80844"/>
    </row>
    <row r="80845" spans="1:6" x14ac:dyDescent="0.25">
      <c r="A80845"/>
      <c r="B80845"/>
      <c r="C80845"/>
      <c r="E80845"/>
      <c r="F80845"/>
    </row>
    <row r="80846" spans="1:6" x14ac:dyDescent="0.25">
      <c r="A80846"/>
      <c r="B80846"/>
      <c r="C80846"/>
      <c r="E80846"/>
      <c r="F80846"/>
    </row>
    <row r="80847" spans="1:6" x14ac:dyDescent="0.25">
      <c r="A80847"/>
      <c r="B80847"/>
      <c r="C80847"/>
      <c r="E80847"/>
      <c r="F80847"/>
    </row>
    <row r="80848" spans="1:6" x14ac:dyDescent="0.25">
      <c r="A80848"/>
      <c r="B80848"/>
      <c r="C80848"/>
      <c r="E80848"/>
      <c r="F80848"/>
    </row>
    <row r="80849" spans="1:6" x14ac:dyDescent="0.25">
      <c r="A80849"/>
      <c r="B80849"/>
      <c r="C80849"/>
      <c r="E80849"/>
      <c r="F80849"/>
    </row>
    <row r="80850" spans="1:6" x14ac:dyDescent="0.25">
      <c r="A80850"/>
      <c r="B80850"/>
      <c r="C80850"/>
      <c r="E80850"/>
      <c r="F80850"/>
    </row>
    <row r="80851" spans="1:6" x14ac:dyDescent="0.25">
      <c r="A80851"/>
      <c r="B80851"/>
      <c r="C80851"/>
      <c r="E80851"/>
      <c r="F80851"/>
    </row>
    <row r="80852" spans="1:6" x14ac:dyDescent="0.25">
      <c r="A80852"/>
      <c r="B80852"/>
      <c r="C80852"/>
      <c r="E80852"/>
      <c r="F80852"/>
    </row>
    <row r="80853" spans="1:6" x14ac:dyDescent="0.25">
      <c r="A80853"/>
      <c r="B80853"/>
      <c r="C80853"/>
      <c r="E80853"/>
      <c r="F80853"/>
    </row>
    <row r="80854" spans="1:6" x14ac:dyDescent="0.25">
      <c r="A80854"/>
      <c r="B80854"/>
      <c r="C80854"/>
      <c r="E80854"/>
      <c r="F80854"/>
    </row>
    <row r="80855" spans="1:6" x14ac:dyDescent="0.25">
      <c r="A80855"/>
      <c r="B80855"/>
      <c r="C80855"/>
      <c r="E80855"/>
      <c r="F80855"/>
    </row>
    <row r="80856" spans="1:6" x14ac:dyDescent="0.25">
      <c r="A80856"/>
      <c r="B80856"/>
      <c r="C80856"/>
      <c r="E80856"/>
      <c r="F80856"/>
    </row>
    <row r="80857" spans="1:6" x14ac:dyDescent="0.25">
      <c r="A80857"/>
      <c r="B80857"/>
      <c r="C80857"/>
      <c r="E80857"/>
      <c r="F80857"/>
    </row>
    <row r="80858" spans="1:6" x14ac:dyDescent="0.25">
      <c r="A80858"/>
      <c r="B80858"/>
      <c r="C80858"/>
      <c r="E80858"/>
      <c r="F80858"/>
    </row>
    <row r="80859" spans="1:6" x14ac:dyDescent="0.25">
      <c r="A80859"/>
      <c r="B80859"/>
      <c r="C80859"/>
      <c r="E80859"/>
      <c r="F80859"/>
    </row>
    <row r="80860" spans="1:6" x14ac:dyDescent="0.25">
      <c r="A80860"/>
      <c r="B80860"/>
      <c r="C80860"/>
      <c r="E80860"/>
      <c r="F80860"/>
    </row>
    <row r="80861" spans="1:6" x14ac:dyDescent="0.25">
      <c r="A80861"/>
      <c r="B80861"/>
      <c r="C80861"/>
      <c r="E80861"/>
      <c r="F80861"/>
    </row>
    <row r="80862" spans="1:6" x14ac:dyDescent="0.25">
      <c r="A80862"/>
      <c r="B80862"/>
      <c r="C80862"/>
      <c r="E80862"/>
      <c r="F80862"/>
    </row>
    <row r="80863" spans="1:6" x14ac:dyDescent="0.25">
      <c r="A80863"/>
      <c r="B80863"/>
      <c r="C80863"/>
      <c r="E80863"/>
      <c r="F80863"/>
    </row>
    <row r="80864" spans="1:6" x14ac:dyDescent="0.25">
      <c r="A80864"/>
      <c r="B80864"/>
      <c r="C80864"/>
      <c r="E80864"/>
      <c r="F80864"/>
    </row>
    <row r="80865" spans="1:6" x14ac:dyDescent="0.25">
      <c r="A80865"/>
      <c r="B80865"/>
      <c r="C80865"/>
      <c r="E80865"/>
      <c r="F80865"/>
    </row>
    <row r="80866" spans="1:6" x14ac:dyDescent="0.25">
      <c r="A80866"/>
      <c r="B80866"/>
      <c r="C80866"/>
      <c r="E80866"/>
      <c r="F80866"/>
    </row>
    <row r="80867" spans="1:6" x14ac:dyDescent="0.25">
      <c r="A80867"/>
      <c r="B80867"/>
      <c r="C80867"/>
      <c r="E80867"/>
      <c r="F80867"/>
    </row>
    <row r="80868" spans="1:6" x14ac:dyDescent="0.25">
      <c r="A80868"/>
      <c r="B80868"/>
      <c r="C80868"/>
      <c r="E80868"/>
      <c r="F80868"/>
    </row>
    <row r="80869" spans="1:6" x14ac:dyDescent="0.25">
      <c r="A80869"/>
      <c r="B80869"/>
      <c r="C80869"/>
      <c r="E80869"/>
      <c r="F80869"/>
    </row>
    <row r="80870" spans="1:6" x14ac:dyDescent="0.25">
      <c r="A80870"/>
      <c r="B80870"/>
      <c r="C80870"/>
      <c r="E80870"/>
      <c r="F80870"/>
    </row>
    <row r="80871" spans="1:6" x14ac:dyDescent="0.25">
      <c r="A80871"/>
      <c r="B80871"/>
      <c r="C80871"/>
      <c r="E80871"/>
      <c r="F80871"/>
    </row>
    <row r="80872" spans="1:6" x14ac:dyDescent="0.25">
      <c r="A80872"/>
      <c r="B80872"/>
      <c r="C80872"/>
      <c r="E80872"/>
      <c r="F80872"/>
    </row>
    <row r="80873" spans="1:6" x14ac:dyDescent="0.25">
      <c r="A80873"/>
      <c r="B80873"/>
      <c r="C80873"/>
      <c r="E80873"/>
      <c r="F80873"/>
    </row>
    <row r="80874" spans="1:6" x14ac:dyDescent="0.25">
      <c r="A80874"/>
      <c r="B80874"/>
      <c r="C80874"/>
      <c r="E80874"/>
      <c r="F80874"/>
    </row>
    <row r="80875" spans="1:6" x14ac:dyDescent="0.25">
      <c r="A80875"/>
      <c r="B80875"/>
      <c r="C80875"/>
      <c r="E80875"/>
      <c r="F80875"/>
    </row>
    <row r="80876" spans="1:6" x14ac:dyDescent="0.25">
      <c r="A80876"/>
      <c r="B80876"/>
      <c r="C80876"/>
      <c r="E80876"/>
      <c r="F80876"/>
    </row>
    <row r="80877" spans="1:6" x14ac:dyDescent="0.25">
      <c r="A80877"/>
      <c r="B80877"/>
      <c r="C80877"/>
      <c r="E80877"/>
      <c r="F80877"/>
    </row>
    <row r="80878" spans="1:6" x14ac:dyDescent="0.25">
      <c r="A80878"/>
      <c r="B80878"/>
      <c r="C80878"/>
      <c r="E80878"/>
      <c r="F80878"/>
    </row>
    <row r="80879" spans="1:6" x14ac:dyDescent="0.25">
      <c r="A80879"/>
      <c r="B80879"/>
      <c r="C80879"/>
      <c r="E80879"/>
      <c r="F80879"/>
    </row>
    <row r="80880" spans="1:6" x14ac:dyDescent="0.25">
      <c r="A80880"/>
      <c r="B80880"/>
      <c r="C80880"/>
      <c r="E80880"/>
      <c r="F80880"/>
    </row>
    <row r="80881" spans="1:6" x14ac:dyDescent="0.25">
      <c r="A80881"/>
      <c r="B80881"/>
      <c r="C80881"/>
      <c r="E80881"/>
      <c r="F80881"/>
    </row>
    <row r="80882" spans="1:6" x14ac:dyDescent="0.25">
      <c r="A80882"/>
      <c r="B80882"/>
      <c r="C80882"/>
      <c r="E80882"/>
      <c r="F80882"/>
    </row>
    <row r="80883" spans="1:6" x14ac:dyDescent="0.25">
      <c r="A80883"/>
      <c r="B80883"/>
      <c r="C80883"/>
      <c r="E80883"/>
      <c r="F80883"/>
    </row>
    <row r="80884" spans="1:6" x14ac:dyDescent="0.25">
      <c r="A80884"/>
      <c r="B80884"/>
      <c r="C80884"/>
      <c r="E80884"/>
      <c r="F80884"/>
    </row>
    <row r="80885" spans="1:6" x14ac:dyDescent="0.25">
      <c r="A80885"/>
      <c r="B80885"/>
      <c r="C80885"/>
      <c r="E80885"/>
      <c r="F80885"/>
    </row>
    <row r="80886" spans="1:6" x14ac:dyDescent="0.25">
      <c r="A80886"/>
      <c r="B80886"/>
      <c r="C80886"/>
      <c r="E80886"/>
      <c r="F80886"/>
    </row>
    <row r="80887" spans="1:6" x14ac:dyDescent="0.25">
      <c r="A80887"/>
      <c r="B80887"/>
      <c r="C80887"/>
      <c r="E80887"/>
      <c r="F80887"/>
    </row>
    <row r="80888" spans="1:6" x14ac:dyDescent="0.25">
      <c r="A80888"/>
      <c r="B80888"/>
      <c r="C80888"/>
      <c r="E80888"/>
      <c r="F80888"/>
    </row>
    <row r="80889" spans="1:6" x14ac:dyDescent="0.25">
      <c r="A80889"/>
      <c r="B80889"/>
      <c r="C80889"/>
      <c r="E80889"/>
      <c r="F80889"/>
    </row>
    <row r="80890" spans="1:6" x14ac:dyDescent="0.25">
      <c r="A80890"/>
      <c r="B80890"/>
      <c r="C80890"/>
      <c r="E80890"/>
      <c r="F80890"/>
    </row>
    <row r="80891" spans="1:6" x14ac:dyDescent="0.25">
      <c r="A80891"/>
      <c r="B80891"/>
      <c r="C80891"/>
      <c r="E80891"/>
      <c r="F80891"/>
    </row>
    <row r="80892" spans="1:6" x14ac:dyDescent="0.25">
      <c r="A80892"/>
      <c r="B80892"/>
      <c r="C80892"/>
      <c r="E80892"/>
      <c r="F80892"/>
    </row>
    <row r="80893" spans="1:6" x14ac:dyDescent="0.25">
      <c r="A80893"/>
      <c r="B80893"/>
      <c r="C80893"/>
      <c r="E80893"/>
      <c r="F80893"/>
    </row>
    <row r="80894" spans="1:6" x14ac:dyDescent="0.25">
      <c r="A80894"/>
      <c r="B80894"/>
      <c r="C80894"/>
      <c r="E80894"/>
      <c r="F80894"/>
    </row>
    <row r="80895" spans="1:6" x14ac:dyDescent="0.25">
      <c r="A80895"/>
      <c r="B80895"/>
      <c r="C80895"/>
      <c r="E80895"/>
      <c r="F80895"/>
    </row>
    <row r="80896" spans="1:6" x14ac:dyDescent="0.25">
      <c r="A80896"/>
      <c r="B80896"/>
      <c r="C80896"/>
      <c r="E80896"/>
      <c r="F80896"/>
    </row>
    <row r="80897" spans="1:6" x14ac:dyDescent="0.25">
      <c r="A80897"/>
      <c r="B80897"/>
      <c r="C80897"/>
      <c r="E80897"/>
      <c r="F80897"/>
    </row>
    <row r="80898" spans="1:6" x14ac:dyDescent="0.25">
      <c r="A80898"/>
      <c r="B80898"/>
      <c r="C80898"/>
      <c r="E80898"/>
      <c r="F80898"/>
    </row>
    <row r="80899" spans="1:6" x14ac:dyDescent="0.25">
      <c r="A80899"/>
      <c r="B80899"/>
      <c r="C80899"/>
      <c r="E80899"/>
      <c r="F80899"/>
    </row>
    <row r="80900" spans="1:6" x14ac:dyDescent="0.25">
      <c r="A80900"/>
      <c r="B80900"/>
      <c r="C80900"/>
      <c r="E80900"/>
      <c r="F80900"/>
    </row>
    <row r="80901" spans="1:6" x14ac:dyDescent="0.25">
      <c r="A80901"/>
      <c r="B80901"/>
      <c r="C80901"/>
      <c r="E80901"/>
      <c r="F80901"/>
    </row>
    <row r="80902" spans="1:6" x14ac:dyDescent="0.25">
      <c r="A80902"/>
      <c r="B80902"/>
      <c r="C80902"/>
      <c r="E80902"/>
      <c r="F80902"/>
    </row>
    <row r="80903" spans="1:6" x14ac:dyDescent="0.25">
      <c r="A80903"/>
      <c r="B80903"/>
      <c r="C80903"/>
      <c r="E80903"/>
      <c r="F80903"/>
    </row>
    <row r="80904" spans="1:6" x14ac:dyDescent="0.25">
      <c r="A80904"/>
      <c r="B80904"/>
      <c r="C80904"/>
      <c r="E80904"/>
      <c r="F80904"/>
    </row>
    <row r="80905" spans="1:6" x14ac:dyDescent="0.25">
      <c r="A80905"/>
      <c r="B80905"/>
      <c r="C80905"/>
      <c r="E80905"/>
      <c r="F80905"/>
    </row>
    <row r="80906" spans="1:6" x14ac:dyDescent="0.25">
      <c r="A80906"/>
      <c r="B80906"/>
      <c r="C80906"/>
      <c r="E80906"/>
      <c r="F80906"/>
    </row>
    <row r="80907" spans="1:6" x14ac:dyDescent="0.25">
      <c r="A80907"/>
      <c r="B80907"/>
      <c r="C80907"/>
      <c r="E80907"/>
      <c r="F80907"/>
    </row>
    <row r="80908" spans="1:6" x14ac:dyDescent="0.25">
      <c r="A80908"/>
      <c r="B80908"/>
      <c r="C80908"/>
      <c r="E80908"/>
      <c r="F80908"/>
    </row>
    <row r="80909" spans="1:6" x14ac:dyDescent="0.25">
      <c r="A80909"/>
      <c r="B80909"/>
      <c r="C80909"/>
      <c r="E80909"/>
      <c r="F80909"/>
    </row>
    <row r="80910" spans="1:6" x14ac:dyDescent="0.25">
      <c r="A80910"/>
      <c r="B80910"/>
      <c r="C80910"/>
      <c r="E80910"/>
      <c r="F80910"/>
    </row>
    <row r="80911" spans="1:6" x14ac:dyDescent="0.25">
      <c r="A80911"/>
      <c r="B80911"/>
      <c r="C80911"/>
      <c r="E80911"/>
      <c r="F80911"/>
    </row>
    <row r="80912" spans="1:6" x14ac:dyDescent="0.25">
      <c r="A80912"/>
      <c r="B80912"/>
      <c r="C80912"/>
      <c r="E80912"/>
      <c r="F80912"/>
    </row>
    <row r="80913" spans="1:6" x14ac:dyDescent="0.25">
      <c r="A80913"/>
      <c r="B80913"/>
      <c r="C80913"/>
      <c r="E80913"/>
      <c r="F80913"/>
    </row>
    <row r="80914" spans="1:6" x14ac:dyDescent="0.25">
      <c r="A80914"/>
      <c r="B80914"/>
      <c r="C80914"/>
      <c r="E80914"/>
      <c r="F80914"/>
    </row>
    <row r="80915" spans="1:6" x14ac:dyDescent="0.25">
      <c r="A80915"/>
      <c r="B80915"/>
      <c r="C80915"/>
      <c r="E80915"/>
      <c r="F80915"/>
    </row>
    <row r="80916" spans="1:6" x14ac:dyDescent="0.25">
      <c r="A80916"/>
      <c r="B80916"/>
      <c r="C80916"/>
      <c r="E80916"/>
      <c r="F80916"/>
    </row>
    <row r="80917" spans="1:6" x14ac:dyDescent="0.25">
      <c r="A80917"/>
      <c r="B80917"/>
      <c r="C80917"/>
      <c r="E80917"/>
      <c r="F80917"/>
    </row>
    <row r="80918" spans="1:6" x14ac:dyDescent="0.25">
      <c r="A80918"/>
      <c r="B80918"/>
      <c r="C80918"/>
      <c r="E80918"/>
      <c r="F80918"/>
    </row>
    <row r="80919" spans="1:6" x14ac:dyDescent="0.25">
      <c r="A80919"/>
      <c r="B80919"/>
      <c r="C80919"/>
      <c r="E80919"/>
      <c r="F80919"/>
    </row>
    <row r="80920" spans="1:6" x14ac:dyDescent="0.25">
      <c r="A80920"/>
      <c r="B80920"/>
      <c r="C80920"/>
      <c r="E80920"/>
      <c r="F80920"/>
    </row>
    <row r="80921" spans="1:6" x14ac:dyDescent="0.25">
      <c r="A80921"/>
      <c r="B80921"/>
      <c r="C80921"/>
      <c r="E80921"/>
      <c r="F80921"/>
    </row>
    <row r="80922" spans="1:6" x14ac:dyDescent="0.25">
      <c r="A80922"/>
      <c r="B80922"/>
      <c r="C80922"/>
      <c r="E80922"/>
      <c r="F80922"/>
    </row>
    <row r="80923" spans="1:6" x14ac:dyDescent="0.25">
      <c r="A80923"/>
      <c r="B80923"/>
      <c r="C80923"/>
      <c r="E80923"/>
      <c r="F80923"/>
    </row>
    <row r="80924" spans="1:6" x14ac:dyDescent="0.25">
      <c r="A80924"/>
      <c r="B80924"/>
      <c r="C80924"/>
      <c r="E80924"/>
      <c r="F80924"/>
    </row>
    <row r="80925" spans="1:6" x14ac:dyDescent="0.25">
      <c r="A80925"/>
      <c r="B80925"/>
      <c r="C80925"/>
      <c r="E80925"/>
      <c r="F80925"/>
    </row>
    <row r="80926" spans="1:6" x14ac:dyDescent="0.25">
      <c r="A80926"/>
      <c r="B80926"/>
      <c r="C80926"/>
      <c r="E80926"/>
      <c r="F80926"/>
    </row>
    <row r="80927" spans="1:6" x14ac:dyDescent="0.25">
      <c r="A80927"/>
      <c r="B80927"/>
      <c r="C80927"/>
      <c r="E80927"/>
      <c r="F80927"/>
    </row>
    <row r="80928" spans="1:6" x14ac:dyDescent="0.25">
      <c r="A80928"/>
      <c r="B80928"/>
      <c r="C80928"/>
      <c r="E80928"/>
      <c r="F80928"/>
    </row>
    <row r="80929" spans="1:6" x14ac:dyDescent="0.25">
      <c r="A80929"/>
      <c r="B80929"/>
      <c r="C80929"/>
      <c r="E80929"/>
      <c r="F80929"/>
    </row>
    <row r="80930" spans="1:6" x14ac:dyDescent="0.25">
      <c r="A80930"/>
      <c r="B80930"/>
      <c r="C80930"/>
      <c r="E80930"/>
      <c r="F80930"/>
    </row>
    <row r="80931" spans="1:6" x14ac:dyDescent="0.25">
      <c r="A80931"/>
      <c r="B80931"/>
      <c r="C80931"/>
      <c r="E80931"/>
      <c r="F80931"/>
    </row>
    <row r="80932" spans="1:6" x14ac:dyDescent="0.25">
      <c r="A80932"/>
      <c r="B80932"/>
      <c r="C80932"/>
      <c r="E80932"/>
      <c r="F80932"/>
    </row>
    <row r="80933" spans="1:6" x14ac:dyDescent="0.25">
      <c r="A80933"/>
      <c r="B80933"/>
      <c r="C80933"/>
      <c r="E80933"/>
      <c r="F80933"/>
    </row>
    <row r="80934" spans="1:6" x14ac:dyDescent="0.25">
      <c r="A80934"/>
      <c r="B80934"/>
      <c r="C80934"/>
      <c r="E80934"/>
      <c r="F80934"/>
    </row>
    <row r="80935" spans="1:6" x14ac:dyDescent="0.25">
      <c r="A80935"/>
      <c r="B80935"/>
      <c r="C80935"/>
      <c r="E80935"/>
      <c r="F80935"/>
    </row>
    <row r="80936" spans="1:6" x14ac:dyDescent="0.25">
      <c r="A80936"/>
      <c r="B80936"/>
      <c r="C80936"/>
      <c r="E80936"/>
      <c r="F80936"/>
    </row>
    <row r="80937" spans="1:6" x14ac:dyDescent="0.25">
      <c r="A80937"/>
      <c r="B80937"/>
      <c r="C80937"/>
      <c r="E80937"/>
      <c r="F80937"/>
    </row>
    <row r="80938" spans="1:6" x14ac:dyDescent="0.25">
      <c r="A80938"/>
      <c r="B80938"/>
      <c r="C80938"/>
      <c r="E80938"/>
      <c r="F80938"/>
    </row>
    <row r="80939" spans="1:6" x14ac:dyDescent="0.25">
      <c r="A80939"/>
      <c r="B80939"/>
      <c r="C80939"/>
      <c r="E80939"/>
      <c r="F80939"/>
    </row>
    <row r="80940" spans="1:6" x14ac:dyDescent="0.25">
      <c r="A80940"/>
      <c r="B80940"/>
      <c r="C80940"/>
      <c r="E80940"/>
      <c r="F80940"/>
    </row>
    <row r="80941" spans="1:6" x14ac:dyDescent="0.25">
      <c r="A80941"/>
      <c r="B80941"/>
      <c r="C80941"/>
      <c r="E80941"/>
      <c r="F80941"/>
    </row>
    <row r="80942" spans="1:6" x14ac:dyDescent="0.25">
      <c r="A80942"/>
      <c r="B80942"/>
      <c r="C80942"/>
      <c r="E80942"/>
      <c r="F80942"/>
    </row>
    <row r="80943" spans="1:6" x14ac:dyDescent="0.25">
      <c r="A80943"/>
      <c r="B80943"/>
      <c r="C80943"/>
      <c r="E80943"/>
      <c r="F80943"/>
    </row>
    <row r="80944" spans="1:6" x14ac:dyDescent="0.25">
      <c r="A80944"/>
      <c r="B80944"/>
      <c r="C80944"/>
      <c r="E80944"/>
      <c r="F80944"/>
    </row>
    <row r="80945" spans="1:6" x14ac:dyDescent="0.25">
      <c r="A80945"/>
      <c r="B80945"/>
      <c r="C80945"/>
      <c r="E80945"/>
      <c r="F80945"/>
    </row>
    <row r="80946" spans="1:6" x14ac:dyDescent="0.25">
      <c r="A80946"/>
      <c r="B80946"/>
      <c r="C80946"/>
      <c r="E80946"/>
      <c r="F80946"/>
    </row>
    <row r="80947" spans="1:6" x14ac:dyDescent="0.25">
      <c r="A80947"/>
      <c r="B80947"/>
      <c r="C80947"/>
      <c r="E80947"/>
      <c r="F80947"/>
    </row>
    <row r="80948" spans="1:6" x14ac:dyDescent="0.25">
      <c r="A80948"/>
      <c r="B80948"/>
      <c r="C80948"/>
      <c r="E80948"/>
      <c r="F80948"/>
    </row>
    <row r="80949" spans="1:6" x14ac:dyDescent="0.25">
      <c r="A80949"/>
      <c r="B80949"/>
      <c r="C80949"/>
      <c r="E80949"/>
      <c r="F80949"/>
    </row>
    <row r="80950" spans="1:6" x14ac:dyDescent="0.25">
      <c r="A80950"/>
      <c r="B80950"/>
      <c r="C80950"/>
      <c r="E80950"/>
      <c r="F80950"/>
    </row>
    <row r="80951" spans="1:6" x14ac:dyDescent="0.25">
      <c r="A80951"/>
      <c r="B80951"/>
      <c r="C80951"/>
      <c r="E80951"/>
      <c r="F80951"/>
    </row>
    <row r="80952" spans="1:6" x14ac:dyDescent="0.25">
      <c r="A80952"/>
      <c r="B80952"/>
      <c r="C80952"/>
      <c r="E80952"/>
      <c r="F80952"/>
    </row>
    <row r="80953" spans="1:6" x14ac:dyDescent="0.25">
      <c r="A80953"/>
      <c r="B80953"/>
      <c r="C80953"/>
      <c r="E80953"/>
      <c r="F80953"/>
    </row>
    <row r="80954" spans="1:6" x14ac:dyDescent="0.25">
      <c r="A80954"/>
      <c r="B80954"/>
      <c r="C80954"/>
      <c r="E80954"/>
      <c r="F80954"/>
    </row>
    <row r="80955" spans="1:6" x14ac:dyDescent="0.25">
      <c r="A80955"/>
      <c r="B80955"/>
      <c r="C80955"/>
      <c r="E80955"/>
      <c r="F80955"/>
    </row>
    <row r="80956" spans="1:6" x14ac:dyDescent="0.25">
      <c r="A80956"/>
      <c r="B80956"/>
      <c r="C80956"/>
      <c r="E80956"/>
      <c r="F80956"/>
    </row>
    <row r="80957" spans="1:6" x14ac:dyDescent="0.25">
      <c r="A80957"/>
      <c r="B80957"/>
      <c r="C80957"/>
      <c r="E80957"/>
      <c r="F80957"/>
    </row>
    <row r="80958" spans="1:6" x14ac:dyDescent="0.25">
      <c r="A80958"/>
      <c r="B80958"/>
      <c r="C80958"/>
      <c r="E80958"/>
      <c r="F80958"/>
    </row>
    <row r="80959" spans="1:6" x14ac:dyDescent="0.25">
      <c r="A80959"/>
      <c r="B80959"/>
      <c r="C80959"/>
      <c r="E80959"/>
      <c r="F80959"/>
    </row>
    <row r="80960" spans="1:6" x14ac:dyDescent="0.25">
      <c r="A80960"/>
      <c r="B80960"/>
      <c r="C80960"/>
      <c r="E80960"/>
      <c r="F80960"/>
    </row>
    <row r="80961" spans="1:6" x14ac:dyDescent="0.25">
      <c r="A80961"/>
      <c r="B80961"/>
      <c r="C80961"/>
      <c r="E80961"/>
      <c r="F80961"/>
    </row>
    <row r="80962" spans="1:6" x14ac:dyDescent="0.25">
      <c r="A80962"/>
      <c r="B80962"/>
      <c r="C80962"/>
      <c r="E80962"/>
      <c r="F80962"/>
    </row>
    <row r="80963" spans="1:6" x14ac:dyDescent="0.25">
      <c r="A80963"/>
      <c r="B80963"/>
      <c r="C80963"/>
      <c r="E80963"/>
      <c r="F80963"/>
    </row>
    <row r="80964" spans="1:6" x14ac:dyDescent="0.25">
      <c r="A80964"/>
      <c r="B80964"/>
      <c r="C80964"/>
      <c r="E80964"/>
      <c r="F80964"/>
    </row>
    <row r="80965" spans="1:6" x14ac:dyDescent="0.25">
      <c r="A80965"/>
      <c r="B80965"/>
      <c r="C80965"/>
      <c r="E80965"/>
      <c r="F80965"/>
    </row>
    <row r="80966" spans="1:6" x14ac:dyDescent="0.25">
      <c r="A80966"/>
      <c r="B80966"/>
      <c r="C80966"/>
      <c r="E80966"/>
      <c r="F80966"/>
    </row>
    <row r="80967" spans="1:6" x14ac:dyDescent="0.25">
      <c r="A80967"/>
      <c r="B80967"/>
      <c r="C80967"/>
      <c r="E80967"/>
      <c r="F80967"/>
    </row>
    <row r="80968" spans="1:6" x14ac:dyDescent="0.25">
      <c r="A80968"/>
      <c r="B80968"/>
      <c r="C80968"/>
      <c r="E80968"/>
      <c r="F80968"/>
    </row>
    <row r="80969" spans="1:6" x14ac:dyDescent="0.25">
      <c r="A80969"/>
      <c r="B80969"/>
      <c r="C80969"/>
      <c r="E80969"/>
      <c r="F80969"/>
    </row>
    <row r="80970" spans="1:6" x14ac:dyDescent="0.25">
      <c r="A80970"/>
      <c r="B80970"/>
      <c r="C80970"/>
      <c r="E80970"/>
      <c r="F80970"/>
    </row>
    <row r="80971" spans="1:6" x14ac:dyDescent="0.25">
      <c r="A80971"/>
      <c r="B80971"/>
      <c r="C80971"/>
      <c r="E80971"/>
      <c r="F80971"/>
    </row>
    <row r="80972" spans="1:6" x14ac:dyDescent="0.25">
      <c r="A80972"/>
      <c r="B80972"/>
      <c r="C80972"/>
      <c r="E80972"/>
      <c r="F80972"/>
    </row>
    <row r="80973" spans="1:6" x14ac:dyDescent="0.25">
      <c r="A80973"/>
      <c r="B80973"/>
      <c r="C80973"/>
      <c r="E80973"/>
      <c r="F80973"/>
    </row>
    <row r="80974" spans="1:6" x14ac:dyDescent="0.25">
      <c r="A80974"/>
      <c r="B80974"/>
      <c r="C80974"/>
      <c r="E80974"/>
      <c r="F80974"/>
    </row>
    <row r="80975" spans="1:6" x14ac:dyDescent="0.25">
      <c r="A80975"/>
      <c r="B80975"/>
      <c r="C80975"/>
      <c r="E80975"/>
      <c r="F80975"/>
    </row>
    <row r="80976" spans="1:6" x14ac:dyDescent="0.25">
      <c r="A80976"/>
      <c r="B80976"/>
      <c r="C80976"/>
      <c r="E80976"/>
      <c r="F80976"/>
    </row>
    <row r="80977" spans="1:6" x14ac:dyDescent="0.25">
      <c r="A80977"/>
      <c r="B80977"/>
      <c r="C80977"/>
      <c r="E80977"/>
      <c r="F80977"/>
    </row>
    <row r="80978" spans="1:6" x14ac:dyDescent="0.25">
      <c r="A80978"/>
      <c r="B80978"/>
      <c r="C80978"/>
      <c r="E80978"/>
      <c r="F80978"/>
    </row>
    <row r="80979" spans="1:6" x14ac:dyDescent="0.25">
      <c r="A80979"/>
      <c r="B80979"/>
      <c r="C80979"/>
      <c r="E80979"/>
      <c r="F80979"/>
    </row>
    <row r="80980" spans="1:6" x14ac:dyDescent="0.25">
      <c r="A80980"/>
      <c r="B80980"/>
      <c r="C80980"/>
      <c r="E80980"/>
      <c r="F80980"/>
    </row>
    <row r="80981" spans="1:6" x14ac:dyDescent="0.25">
      <c r="A80981"/>
      <c r="B80981"/>
      <c r="C80981"/>
      <c r="E80981"/>
      <c r="F80981"/>
    </row>
    <row r="80982" spans="1:6" x14ac:dyDescent="0.25">
      <c r="A80982"/>
      <c r="B80982"/>
      <c r="C80982"/>
      <c r="E80982"/>
      <c r="F80982"/>
    </row>
    <row r="80983" spans="1:6" x14ac:dyDescent="0.25">
      <c r="A80983"/>
      <c r="B80983"/>
      <c r="C80983"/>
      <c r="E80983"/>
      <c r="F80983"/>
    </row>
    <row r="80984" spans="1:6" x14ac:dyDescent="0.25">
      <c r="A80984"/>
      <c r="B80984"/>
      <c r="C80984"/>
      <c r="E80984"/>
      <c r="F80984"/>
    </row>
    <row r="80985" spans="1:6" x14ac:dyDescent="0.25">
      <c r="A80985"/>
      <c r="B80985"/>
      <c r="C80985"/>
      <c r="E80985"/>
      <c r="F80985"/>
    </row>
    <row r="80986" spans="1:6" x14ac:dyDescent="0.25">
      <c r="A80986"/>
      <c r="B80986"/>
      <c r="C80986"/>
      <c r="E80986"/>
      <c r="F80986"/>
    </row>
    <row r="80987" spans="1:6" x14ac:dyDescent="0.25">
      <c r="A80987"/>
      <c r="B80987"/>
      <c r="C80987"/>
      <c r="E80987"/>
      <c r="F80987"/>
    </row>
    <row r="80988" spans="1:6" x14ac:dyDescent="0.25">
      <c r="A80988"/>
      <c r="B80988"/>
      <c r="C80988"/>
      <c r="E80988"/>
      <c r="F80988"/>
    </row>
    <row r="80989" spans="1:6" x14ac:dyDescent="0.25">
      <c r="A80989"/>
      <c r="B80989"/>
      <c r="C80989"/>
      <c r="E80989"/>
      <c r="F80989"/>
    </row>
    <row r="80990" spans="1:6" x14ac:dyDescent="0.25">
      <c r="A80990"/>
      <c r="B80990"/>
      <c r="C80990"/>
      <c r="E80990"/>
      <c r="F80990"/>
    </row>
    <row r="80991" spans="1:6" x14ac:dyDescent="0.25">
      <c r="A80991"/>
      <c r="B80991"/>
      <c r="C80991"/>
      <c r="E80991"/>
      <c r="F80991"/>
    </row>
    <row r="80992" spans="1:6" x14ac:dyDescent="0.25">
      <c r="A80992"/>
      <c r="B80992"/>
      <c r="C80992"/>
      <c r="E80992"/>
      <c r="F80992"/>
    </row>
    <row r="80993" spans="1:6" x14ac:dyDescent="0.25">
      <c r="A80993"/>
      <c r="B80993"/>
      <c r="C80993"/>
      <c r="E80993"/>
      <c r="F80993"/>
    </row>
    <row r="80994" spans="1:6" x14ac:dyDescent="0.25">
      <c r="A80994"/>
      <c r="B80994"/>
      <c r="C80994"/>
      <c r="E80994"/>
      <c r="F80994"/>
    </row>
    <row r="80995" spans="1:6" x14ac:dyDescent="0.25">
      <c r="A80995"/>
      <c r="B80995"/>
      <c r="C80995"/>
      <c r="E80995"/>
      <c r="F80995"/>
    </row>
    <row r="80996" spans="1:6" x14ac:dyDescent="0.25">
      <c r="A80996"/>
      <c r="B80996"/>
      <c r="C80996"/>
      <c r="E80996"/>
      <c r="F80996"/>
    </row>
    <row r="80997" spans="1:6" x14ac:dyDescent="0.25">
      <c r="A80997"/>
      <c r="B80997"/>
      <c r="C80997"/>
      <c r="E80997"/>
      <c r="F80997"/>
    </row>
    <row r="80998" spans="1:6" x14ac:dyDescent="0.25">
      <c r="A80998"/>
      <c r="B80998"/>
      <c r="C80998"/>
      <c r="E80998"/>
      <c r="F80998"/>
    </row>
    <row r="80999" spans="1:6" x14ac:dyDescent="0.25">
      <c r="A80999"/>
      <c r="B80999"/>
      <c r="C80999"/>
      <c r="E80999"/>
      <c r="F80999"/>
    </row>
    <row r="81000" spans="1:6" x14ac:dyDescent="0.25">
      <c r="A81000"/>
      <c r="B81000"/>
      <c r="C81000"/>
      <c r="E81000"/>
      <c r="F81000"/>
    </row>
    <row r="81001" spans="1:6" x14ac:dyDescent="0.25">
      <c r="A81001"/>
      <c r="B81001"/>
      <c r="C81001"/>
      <c r="E81001"/>
      <c r="F81001"/>
    </row>
    <row r="81002" spans="1:6" x14ac:dyDescent="0.25">
      <c r="A81002"/>
      <c r="B81002"/>
      <c r="C81002"/>
      <c r="E81002"/>
      <c r="F81002"/>
    </row>
    <row r="81003" spans="1:6" x14ac:dyDescent="0.25">
      <c r="A81003"/>
      <c r="B81003"/>
      <c r="C81003"/>
      <c r="E81003"/>
      <c r="F81003"/>
    </row>
    <row r="81004" spans="1:6" x14ac:dyDescent="0.25">
      <c r="A81004"/>
      <c r="B81004"/>
      <c r="C81004"/>
      <c r="E81004"/>
      <c r="F81004"/>
    </row>
    <row r="81005" spans="1:6" x14ac:dyDescent="0.25">
      <c r="A81005"/>
      <c r="B81005"/>
      <c r="C81005"/>
      <c r="E81005"/>
      <c r="F81005"/>
    </row>
    <row r="81006" spans="1:6" x14ac:dyDescent="0.25">
      <c r="A81006"/>
      <c r="B81006"/>
      <c r="C81006"/>
      <c r="E81006"/>
      <c r="F81006"/>
    </row>
    <row r="81007" spans="1:6" x14ac:dyDescent="0.25">
      <c r="A81007"/>
      <c r="B81007"/>
      <c r="C81007"/>
      <c r="E81007"/>
      <c r="F81007"/>
    </row>
    <row r="81008" spans="1:6" x14ac:dyDescent="0.25">
      <c r="A81008"/>
      <c r="B81008"/>
      <c r="C81008"/>
      <c r="E81008"/>
      <c r="F81008"/>
    </row>
    <row r="81009" spans="1:6" x14ac:dyDescent="0.25">
      <c r="A81009"/>
      <c r="B81009"/>
      <c r="C81009"/>
      <c r="E81009"/>
      <c r="F81009"/>
    </row>
    <row r="81010" spans="1:6" x14ac:dyDescent="0.25">
      <c r="A81010"/>
      <c r="B81010"/>
      <c r="C81010"/>
      <c r="E81010"/>
      <c r="F81010"/>
    </row>
    <row r="81011" spans="1:6" x14ac:dyDescent="0.25">
      <c r="A81011"/>
      <c r="B81011"/>
      <c r="C81011"/>
      <c r="E81011"/>
      <c r="F81011"/>
    </row>
    <row r="81012" spans="1:6" x14ac:dyDescent="0.25">
      <c r="A81012"/>
      <c r="B81012"/>
      <c r="C81012"/>
      <c r="E81012"/>
      <c r="F81012"/>
    </row>
    <row r="81013" spans="1:6" x14ac:dyDescent="0.25">
      <c r="A81013"/>
      <c r="B81013"/>
      <c r="C81013"/>
      <c r="E81013"/>
      <c r="F81013"/>
    </row>
    <row r="81014" spans="1:6" x14ac:dyDescent="0.25">
      <c r="A81014"/>
      <c r="B81014"/>
      <c r="C81014"/>
      <c r="E81014"/>
      <c r="F81014"/>
    </row>
    <row r="81015" spans="1:6" x14ac:dyDescent="0.25">
      <c r="A81015"/>
      <c r="B81015"/>
      <c r="C81015"/>
      <c r="E81015"/>
      <c r="F81015"/>
    </row>
    <row r="81016" spans="1:6" x14ac:dyDescent="0.25">
      <c r="A81016"/>
      <c r="B81016"/>
      <c r="C81016"/>
      <c r="E81016"/>
      <c r="F81016"/>
    </row>
    <row r="81017" spans="1:6" x14ac:dyDescent="0.25">
      <c r="A81017"/>
      <c r="B81017"/>
      <c r="C81017"/>
      <c r="E81017"/>
      <c r="F81017"/>
    </row>
    <row r="81018" spans="1:6" x14ac:dyDescent="0.25">
      <c r="A81018"/>
      <c r="B81018"/>
      <c r="C81018"/>
      <c r="E81018"/>
      <c r="F81018"/>
    </row>
    <row r="81019" spans="1:6" x14ac:dyDescent="0.25">
      <c r="A81019"/>
      <c r="B81019"/>
      <c r="C81019"/>
      <c r="E81019"/>
      <c r="F81019"/>
    </row>
    <row r="81020" spans="1:6" x14ac:dyDescent="0.25">
      <c r="A81020"/>
      <c r="B81020"/>
      <c r="C81020"/>
      <c r="E81020"/>
      <c r="F81020"/>
    </row>
    <row r="81021" spans="1:6" x14ac:dyDescent="0.25">
      <c r="A81021"/>
      <c r="B81021"/>
      <c r="C81021"/>
      <c r="E81021"/>
      <c r="F81021"/>
    </row>
    <row r="81022" spans="1:6" x14ac:dyDescent="0.25">
      <c r="A81022"/>
      <c r="B81022"/>
      <c r="C81022"/>
      <c r="E81022"/>
      <c r="F81022"/>
    </row>
    <row r="81023" spans="1:6" x14ac:dyDescent="0.25">
      <c r="A81023"/>
      <c r="B81023"/>
      <c r="C81023"/>
      <c r="E81023"/>
      <c r="F81023"/>
    </row>
    <row r="81024" spans="1:6" x14ac:dyDescent="0.25">
      <c r="A81024"/>
      <c r="B81024"/>
      <c r="C81024"/>
      <c r="E81024"/>
      <c r="F81024"/>
    </row>
    <row r="81025" spans="1:6" x14ac:dyDescent="0.25">
      <c r="A81025"/>
      <c r="B81025"/>
      <c r="C81025"/>
      <c r="E81025"/>
      <c r="F81025"/>
    </row>
    <row r="81026" spans="1:6" x14ac:dyDescent="0.25">
      <c r="A81026"/>
      <c r="B81026"/>
      <c r="C81026"/>
      <c r="E81026"/>
      <c r="F81026"/>
    </row>
    <row r="81027" spans="1:6" x14ac:dyDescent="0.25">
      <c r="A81027"/>
      <c r="B81027"/>
      <c r="C81027"/>
      <c r="E81027"/>
      <c r="F81027"/>
    </row>
    <row r="81028" spans="1:6" x14ac:dyDescent="0.25">
      <c r="A81028"/>
      <c r="B81028"/>
      <c r="C81028"/>
      <c r="E81028"/>
      <c r="F81028"/>
    </row>
    <row r="81029" spans="1:6" x14ac:dyDescent="0.25">
      <c r="A81029"/>
      <c r="B81029"/>
      <c r="C81029"/>
      <c r="E81029"/>
      <c r="F81029"/>
    </row>
    <row r="81030" spans="1:6" x14ac:dyDescent="0.25">
      <c r="A81030"/>
      <c r="B81030"/>
      <c r="C81030"/>
      <c r="E81030"/>
      <c r="F81030"/>
    </row>
    <row r="81031" spans="1:6" x14ac:dyDescent="0.25">
      <c r="A81031"/>
      <c r="B81031"/>
      <c r="C81031"/>
      <c r="E81031"/>
      <c r="F81031"/>
    </row>
    <row r="81032" spans="1:6" x14ac:dyDescent="0.25">
      <c r="A81032"/>
      <c r="B81032"/>
      <c r="C81032"/>
      <c r="E81032"/>
      <c r="F81032"/>
    </row>
    <row r="81033" spans="1:6" x14ac:dyDescent="0.25">
      <c r="A81033"/>
      <c r="B81033"/>
      <c r="C81033"/>
      <c r="E81033"/>
      <c r="F81033"/>
    </row>
    <row r="81034" spans="1:6" x14ac:dyDescent="0.25">
      <c r="A81034"/>
      <c r="B81034"/>
      <c r="C81034"/>
      <c r="E81034"/>
      <c r="F81034"/>
    </row>
    <row r="81035" spans="1:6" x14ac:dyDescent="0.25">
      <c r="A81035"/>
      <c r="B81035"/>
      <c r="C81035"/>
      <c r="E81035"/>
      <c r="F81035"/>
    </row>
    <row r="81036" spans="1:6" x14ac:dyDescent="0.25">
      <c r="A81036"/>
      <c r="B81036"/>
      <c r="C81036"/>
      <c r="E81036"/>
      <c r="F81036"/>
    </row>
    <row r="81037" spans="1:6" x14ac:dyDescent="0.25">
      <c r="A81037"/>
      <c r="B81037"/>
      <c r="C81037"/>
      <c r="E81037"/>
      <c r="F81037"/>
    </row>
    <row r="81038" spans="1:6" x14ac:dyDescent="0.25">
      <c r="A81038"/>
      <c r="B81038"/>
      <c r="C81038"/>
      <c r="E81038"/>
      <c r="F81038"/>
    </row>
    <row r="81039" spans="1:6" x14ac:dyDescent="0.25">
      <c r="A81039"/>
      <c r="B81039"/>
      <c r="C81039"/>
      <c r="E81039"/>
      <c r="F81039"/>
    </row>
    <row r="81040" spans="1:6" x14ac:dyDescent="0.25">
      <c r="A81040"/>
      <c r="B81040"/>
      <c r="C81040"/>
      <c r="E81040"/>
      <c r="F81040"/>
    </row>
    <row r="81041" spans="1:6" x14ac:dyDescent="0.25">
      <c r="A81041"/>
      <c r="B81041"/>
      <c r="C81041"/>
      <c r="E81041"/>
      <c r="F81041"/>
    </row>
    <row r="81042" spans="1:6" x14ac:dyDescent="0.25">
      <c r="A81042"/>
      <c r="B81042"/>
      <c r="C81042"/>
      <c r="E81042"/>
      <c r="F81042"/>
    </row>
    <row r="81043" spans="1:6" x14ac:dyDescent="0.25">
      <c r="A81043"/>
      <c r="B81043"/>
      <c r="C81043"/>
      <c r="E81043"/>
      <c r="F81043"/>
    </row>
    <row r="81044" spans="1:6" x14ac:dyDescent="0.25">
      <c r="A81044"/>
      <c r="B81044"/>
      <c r="C81044"/>
      <c r="E81044"/>
      <c r="F81044"/>
    </row>
    <row r="81045" spans="1:6" x14ac:dyDescent="0.25">
      <c r="A81045"/>
      <c r="B81045"/>
      <c r="C81045"/>
      <c r="E81045"/>
      <c r="F81045"/>
    </row>
    <row r="81046" spans="1:6" x14ac:dyDescent="0.25">
      <c r="A81046"/>
      <c r="B81046"/>
      <c r="C81046"/>
      <c r="E81046"/>
      <c r="F81046"/>
    </row>
    <row r="81047" spans="1:6" x14ac:dyDescent="0.25">
      <c r="A81047"/>
      <c r="B81047"/>
      <c r="C81047"/>
      <c r="E81047"/>
      <c r="F81047"/>
    </row>
    <row r="81048" spans="1:6" x14ac:dyDescent="0.25">
      <c r="A81048"/>
      <c r="B81048"/>
      <c r="C81048"/>
      <c r="E81048"/>
      <c r="F81048"/>
    </row>
    <row r="81049" spans="1:6" x14ac:dyDescent="0.25">
      <c r="A81049"/>
      <c r="B81049"/>
      <c r="C81049"/>
      <c r="E81049"/>
      <c r="F81049"/>
    </row>
    <row r="81050" spans="1:6" x14ac:dyDescent="0.25">
      <c r="A81050"/>
      <c r="B81050"/>
      <c r="C81050"/>
      <c r="E81050"/>
      <c r="F81050"/>
    </row>
    <row r="81051" spans="1:6" x14ac:dyDescent="0.25">
      <c r="A81051"/>
      <c r="B81051"/>
      <c r="C81051"/>
      <c r="E81051"/>
      <c r="F81051"/>
    </row>
    <row r="81052" spans="1:6" x14ac:dyDescent="0.25">
      <c r="A81052"/>
      <c r="B81052"/>
      <c r="C81052"/>
      <c r="E81052"/>
      <c r="F81052"/>
    </row>
    <row r="81053" spans="1:6" x14ac:dyDescent="0.25">
      <c r="A81053"/>
      <c r="B81053"/>
      <c r="C81053"/>
      <c r="E81053"/>
      <c r="F81053"/>
    </row>
    <row r="81054" spans="1:6" x14ac:dyDescent="0.25">
      <c r="A81054"/>
      <c r="B81054"/>
      <c r="C81054"/>
      <c r="E81054"/>
      <c r="F81054"/>
    </row>
    <row r="81055" spans="1:6" x14ac:dyDescent="0.25">
      <c r="A81055"/>
      <c r="B81055"/>
      <c r="C81055"/>
      <c r="E81055"/>
      <c r="F81055"/>
    </row>
    <row r="81056" spans="1:6" x14ac:dyDescent="0.25">
      <c r="A81056"/>
      <c r="B81056"/>
      <c r="C81056"/>
      <c r="E81056"/>
      <c r="F81056"/>
    </row>
    <row r="81057" spans="1:6" x14ac:dyDescent="0.25">
      <c r="A81057"/>
      <c r="B81057"/>
      <c r="C81057"/>
      <c r="E81057"/>
      <c r="F81057"/>
    </row>
    <row r="81058" spans="1:6" x14ac:dyDescent="0.25">
      <c r="A81058"/>
      <c r="B81058"/>
      <c r="C81058"/>
      <c r="E81058"/>
      <c r="F81058"/>
    </row>
    <row r="81059" spans="1:6" x14ac:dyDescent="0.25">
      <c r="A81059"/>
      <c r="B81059"/>
      <c r="C81059"/>
      <c r="E81059"/>
      <c r="F81059"/>
    </row>
    <row r="81060" spans="1:6" x14ac:dyDescent="0.25">
      <c r="A81060"/>
      <c r="B81060"/>
      <c r="C81060"/>
      <c r="E81060"/>
      <c r="F81060"/>
    </row>
    <row r="81061" spans="1:6" x14ac:dyDescent="0.25">
      <c r="A81061"/>
      <c r="B81061"/>
      <c r="C81061"/>
      <c r="E81061"/>
      <c r="F81061"/>
    </row>
    <row r="81062" spans="1:6" x14ac:dyDescent="0.25">
      <c r="A81062"/>
      <c r="B81062"/>
      <c r="C81062"/>
      <c r="E81062"/>
      <c r="F81062"/>
    </row>
    <row r="81063" spans="1:6" x14ac:dyDescent="0.25">
      <c r="A81063"/>
      <c r="B81063"/>
      <c r="C81063"/>
      <c r="E81063"/>
      <c r="F81063"/>
    </row>
    <row r="81064" spans="1:6" x14ac:dyDescent="0.25">
      <c r="A81064"/>
      <c r="B81064"/>
      <c r="C81064"/>
      <c r="E81064"/>
      <c r="F81064"/>
    </row>
    <row r="81065" spans="1:6" x14ac:dyDescent="0.25">
      <c r="A81065"/>
      <c r="B81065"/>
      <c r="C81065"/>
      <c r="E81065"/>
      <c r="F81065"/>
    </row>
    <row r="81066" spans="1:6" x14ac:dyDescent="0.25">
      <c r="A81066"/>
      <c r="B81066"/>
      <c r="C81066"/>
      <c r="E81066"/>
      <c r="F81066"/>
    </row>
    <row r="81067" spans="1:6" x14ac:dyDescent="0.25">
      <c r="A81067"/>
      <c r="B81067"/>
      <c r="C81067"/>
      <c r="E81067"/>
      <c r="F81067"/>
    </row>
    <row r="81068" spans="1:6" x14ac:dyDescent="0.25">
      <c r="A81068"/>
      <c r="B81068"/>
      <c r="C81068"/>
      <c r="E81068"/>
      <c r="F81068"/>
    </row>
    <row r="81069" spans="1:6" x14ac:dyDescent="0.25">
      <c r="A81069"/>
      <c r="B81069"/>
      <c r="C81069"/>
      <c r="E81069"/>
      <c r="F81069"/>
    </row>
    <row r="81070" spans="1:6" x14ac:dyDescent="0.25">
      <c r="A81070"/>
      <c r="B81070"/>
      <c r="C81070"/>
      <c r="E81070"/>
      <c r="F81070"/>
    </row>
    <row r="81071" spans="1:6" x14ac:dyDescent="0.25">
      <c r="A81071"/>
      <c r="B81071"/>
      <c r="C81071"/>
      <c r="E81071"/>
      <c r="F81071"/>
    </row>
    <row r="81072" spans="1:6" x14ac:dyDescent="0.25">
      <c r="A81072"/>
      <c r="B81072"/>
      <c r="C81072"/>
      <c r="E81072"/>
      <c r="F81072"/>
    </row>
    <row r="81073" spans="1:6" x14ac:dyDescent="0.25">
      <c r="A81073"/>
      <c r="B81073"/>
      <c r="C81073"/>
      <c r="E81073"/>
      <c r="F81073"/>
    </row>
    <row r="81074" spans="1:6" x14ac:dyDescent="0.25">
      <c r="A81074"/>
      <c r="B81074"/>
      <c r="C81074"/>
      <c r="E81074"/>
      <c r="F81074"/>
    </row>
    <row r="81075" spans="1:6" x14ac:dyDescent="0.25">
      <c r="A81075"/>
      <c r="B81075"/>
      <c r="C81075"/>
      <c r="E81075"/>
      <c r="F81075"/>
    </row>
    <row r="81076" spans="1:6" x14ac:dyDescent="0.25">
      <c r="A81076"/>
      <c r="B81076"/>
      <c r="C81076"/>
      <c r="E81076"/>
      <c r="F81076"/>
    </row>
    <row r="81077" spans="1:6" x14ac:dyDescent="0.25">
      <c r="A81077"/>
      <c r="B81077"/>
      <c r="C81077"/>
      <c r="E81077"/>
      <c r="F81077"/>
    </row>
    <row r="81078" spans="1:6" x14ac:dyDescent="0.25">
      <c r="A81078"/>
      <c r="B81078"/>
      <c r="C81078"/>
      <c r="E81078"/>
      <c r="F81078"/>
    </row>
    <row r="81079" spans="1:6" x14ac:dyDescent="0.25">
      <c r="A81079"/>
      <c r="B81079"/>
      <c r="C81079"/>
      <c r="E81079"/>
      <c r="F81079"/>
    </row>
    <row r="81080" spans="1:6" x14ac:dyDescent="0.25">
      <c r="A81080"/>
      <c r="B81080"/>
      <c r="C81080"/>
      <c r="E81080"/>
      <c r="F81080"/>
    </row>
    <row r="81081" spans="1:6" x14ac:dyDescent="0.25">
      <c r="A81081"/>
      <c r="B81081"/>
      <c r="C81081"/>
      <c r="E81081"/>
      <c r="F81081"/>
    </row>
    <row r="81082" spans="1:6" x14ac:dyDescent="0.25">
      <c r="A81082"/>
      <c r="B81082"/>
      <c r="C81082"/>
      <c r="E81082"/>
      <c r="F81082"/>
    </row>
    <row r="81083" spans="1:6" x14ac:dyDescent="0.25">
      <c r="A81083"/>
      <c r="B81083"/>
      <c r="C81083"/>
      <c r="E81083"/>
      <c r="F81083"/>
    </row>
    <row r="81084" spans="1:6" x14ac:dyDescent="0.25">
      <c r="A81084"/>
      <c r="B81084"/>
      <c r="C81084"/>
      <c r="E81084"/>
      <c r="F81084"/>
    </row>
    <row r="81085" spans="1:6" x14ac:dyDescent="0.25">
      <c r="A81085"/>
      <c r="B81085"/>
      <c r="C81085"/>
      <c r="E81085"/>
      <c r="F81085"/>
    </row>
    <row r="81086" spans="1:6" x14ac:dyDescent="0.25">
      <c r="A81086"/>
      <c r="B81086"/>
      <c r="C81086"/>
      <c r="E81086"/>
      <c r="F81086"/>
    </row>
    <row r="81087" spans="1:6" x14ac:dyDescent="0.25">
      <c r="A81087"/>
      <c r="B81087"/>
      <c r="C81087"/>
      <c r="E81087"/>
      <c r="F81087"/>
    </row>
    <row r="81088" spans="1:6" x14ac:dyDescent="0.25">
      <c r="A81088"/>
      <c r="B81088"/>
      <c r="C81088"/>
      <c r="E81088"/>
      <c r="F81088"/>
    </row>
    <row r="81089" spans="1:6" x14ac:dyDescent="0.25">
      <c r="A81089"/>
      <c r="B81089"/>
      <c r="C81089"/>
      <c r="E81089"/>
      <c r="F81089"/>
    </row>
    <row r="81090" spans="1:6" x14ac:dyDescent="0.25">
      <c r="A81090"/>
      <c r="B81090"/>
      <c r="C81090"/>
      <c r="E81090"/>
      <c r="F81090"/>
    </row>
    <row r="81091" spans="1:6" x14ac:dyDescent="0.25">
      <c r="A81091"/>
      <c r="B81091"/>
      <c r="C81091"/>
      <c r="E81091"/>
      <c r="F81091"/>
    </row>
    <row r="81092" spans="1:6" x14ac:dyDescent="0.25">
      <c r="A81092"/>
      <c r="B81092"/>
      <c r="C81092"/>
      <c r="E81092"/>
      <c r="F81092"/>
    </row>
    <row r="81093" spans="1:6" x14ac:dyDescent="0.25">
      <c r="A81093"/>
      <c r="B81093"/>
      <c r="C81093"/>
      <c r="E81093"/>
      <c r="F81093"/>
    </row>
    <row r="81094" spans="1:6" x14ac:dyDescent="0.25">
      <c r="A81094"/>
      <c r="B81094"/>
      <c r="C81094"/>
      <c r="E81094"/>
      <c r="F81094"/>
    </row>
    <row r="81095" spans="1:6" x14ac:dyDescent="0.25">
      <c r="A81095"/>
      <c r="B81095"/>
      <c r="C81095"/>
      <c r="E81095"/>
      <c r="F81095"/>
    </row>
    <row r="81096" spans="1:6" x14ac:dyDescent="0.25">
      <c r="A81096"/>
      <c r="B81096"/>
      <c r="C81096"/>
      <c r="E81096"/>
      <c r="F81096"/>
    </row>
    <row r="81097" spans="1:6" x14ac:dyDescent="0.25">
      <c r="A81097"/>
      <c r="B81097"/>
      <c r="C81097"/>
      <c r="E81097"/>
      <c r="F81097"/>
    </row>
    <row r="81098" spans="1:6" x14ac:dyDescent="0.25">
      <c r="A81098"/>
      <c r="B81098"/>
      <c r="C81098"/>
      <c r="E81098"/>
      <c r="F81098"/>
    </row>
    <row r="81099" spans="1:6" x14ac:dyDescent="0.25">
      <c r="A81099"/>
      <c r="B81099"/>
      <c r="C81099"/>
      <c r="E81099"/>
      <c r="F81099"/>
    </row>
    <row r="81100" spans="1:6" x14ac:dyDescent="0.25">
      <c r="A81100"/>
      <c r="B81100"/>
      <c r="C81100"/>
      <c r="E81100"/>
      <c r="F81100"/>
    </row>
    <row r="81101" spans="1:6" x14ac:dyDescent="0.25">
      <c r="A81101"/>
      <c r="B81101"/>
      <c r="C81101"/>
      <c r="E81101"/>
      <c r="F81101"/>
    </row>
    <row r="81102" spans="1:6" x14ac:dyDescent="0.25">
      <c r="A81102"/>
      <c r="B81102"/>
      <c r="C81102"/>
      <c r="E81102"/>
      <c r="F81102"/>
    </row>
    <row r="81103" spans="1:6" x14ac:dyDescent="0.25">
      <c r="A81103"/>
      <c r="B81103"/>
      <c r="C81103"/>
      <c r="E81103"/>
      <c r="F81103"/>
    </row>
    <row r="81104" spans="1:6" x14ac:dyDescent="0.25">
      <c r="A81104"/>
      <c r="B81104"/>
      <c r="C81104"/>
      <c r="E81104"/>
      <c r="F81104"/>
    </row>
    <row r="81105" spans="1:6" x14ac:dyDescent="0.25">
      <c r="A81105"/>
      <c r="B81105"/>
      <c r="C81105"/>
      <c r="E81105"/>
      <c r="F81105"/>
    </row>
    <row r="81106" spans="1:6" x14ac:dyDescent="0.25">
      <c r="A81106"/>
      <c r="B81106"/>
      <c r="C81106"/>
      <c r="E81106"/>
      <c r="F81106"/>
    </row>
    <row r="81107" spans="1:6" x14ac:dyDescent="0.25">
      <c r="A81107"/>
      <c r="B81107"/>
      <c r="C81107"/>
      <c r="E81107"/>
      <c r="F81107"/>
    </row>
    <row r="81108" spans="1:6" x14ac:dyDescent="0.25">
      <c r="A81108"/>
      <c r="B81108"/>
      <c r="C81108"/>
      <c r="E81108"/>
      <c r="F81108"/>
    </row>
    <row r="81109" spans="1:6" x14ac:dyDescent="0.25">
      <c r="A81109"/>
      <c r="B81109"/>
      <c r="C81109"/>
      <c r="E81109"/>
      <c r="F81109"/>
    </row>
    <row r="81110" spans="1:6" x14ac:dyDescent="0.25">
      <c r="A81110"/>
      <c r="B81110"/>
      <c r="C81110"/>
      <c r="E81110"/>
      <c r="F81110"/>
    </row>
    <row r="81111" spans="1:6" x14ac:dyDescent="0.25">
      <c r="A81111"/>
      <c r="B81111"/>
      <c r="C81111"/>
      <c r="E81111"/>
      <c r="F81111"/>
    </row>
    <row r="81112" spans="1:6" x14ac:dyDescent="0.25">
      <c r="A81112"/>
      <c r="B81112"/>
      <c r="C81112"/>
      <c r="E81112"/>
      <c r="F81112"/>
    </row>
    <row r="81113" spans="1:6" x14ac:dyDescent="0.25">
      <c r="A81113"/>
      <c r="B81113"/>
      <c r="C81113"/>
      <c r="E81113"/>
      <c r="F81113"/>
    </row>
    <row r="81114" spans="1:6" x14ac:dyDescent="0.25">
      <c r="A81114"/>
      <c r="B81114"/>
      <c r="C81114"/>
      <c r="E81114"/>
      <c r="F81114"/>
    </row>
    <row r="81115" spans="1:6" x14ac:dyDescent="0.25">
      <c r="A81115"/>
      <c r="B81115"/>
      <c r="C81115"/>
      <c r="E81115"/>
      <c r="F81115"/>
    </row>
    <row r="81116" spans="1:6" x14ac:dyDescent="0.25">
      <c r="A81116"/>
      <c r="B81116"/>
      <c r="C81116"/>
      <c r="E81116"/>
      <c r="F81116"/>
    </row>
    <row r="81117" spans="1:6" x14ac:dyDescent="0.25">
      <c r="A81117"/>
      <c r="B81117"/>
      <c r="C81117"/>
      <c r="E81117"/>
      <c r="F81117"/>
    </row>
    <row r="81118" spans="1:6" x14ac:dyDescent="0.25">
      <c r="A81118"/>
      <c r="B81118"/>
      <c r="C81118"/>
      <c r="E81118"/>
      <c r="F81118"/>
    </row>
    <row r="81119" spans="1:6" x14ac:dyDescent="0.25">
      <c r="A81119"/>
      <c r="B81119"/>
      <c r="C81119"/>
      <c r="E81119"/>
      <c r="F81119"/>
    </row>
    <row r="81120" spans="1:6" x14ac:dyDescent="0.25">
      <c r="A81120"/>
      <c r="B81120"/>
      <c r="C81120"/>
      <c r="E81120"/>
      <c r="F81120"/>
    </row>
    <row r="81121" spans="1:6" x14ac:dyDescent="0.25">
      <c r="A81121"/>
      <c r="B81121"/>
      <c r="C81121"/>
      <c r="E81121"/>
      <c r="F81121"/>
    </row>
    <row r="81122" spans="1:6" x14ac:dyDescent="0.25">
      <c r="A81122"/>
      <c r="B81122"/>
      <c r="C81122"/>
      <c r="E81122"/>
      <c r="F81122"/>
    </row>
    <row r="81123" spans="1:6" x14ac:dyDescent="0.25">
      <c r="A81123"/>
      <c r="B81123"/>
      <c r="C81123"/>
      <c r="E81123"/>
      <c r="F81123"/>
    </row>
    <row r="81124" spans="1:6" x14ac:dyDescent="0.25">
      <c r="A81124"/>
      <c r="B81124"/>
      <c r="C81124"/>
      <c r="E81124"/>
      <c r="F81124"/>
    </row>
    <row r="81125" spans="1:6" x14ac:dyDescent="0.25">
      <c r="A81125"/>
      <c r="B81125"/>
      <c r="C81125"/>
      <c r="E81125"/>
      <c r="F81125"/>
    </row>
    <row r="81126" spans="1:6" x14ac:dyDescent="0.25">
      <c r="A81126"/>
      <c r="B81126"/>
      <c r="C81126"/>
      <c r="E81126"/>
      <c r="F81126"/>
    </row>
    <row r="81127" spans="1:6" x14ac:dyDescent="0.25">
      <c r="A81127"/>
      <c r="B81127"/>
      <c r="C81127"/>
      <c r="E81127"/>
      <c r="F81127"/>
    </row>
    <row r="81128" spans="1:6" x14ac:dyDescent="0.25">
      <c r="A81128"/>
      <c r="B81128"/>
      <c r="C81128"/>
      <c r="E81128"/>
      <c r="F81128"/>
    </row>
    <row r="81129" spans="1:6" x14ac:dyDescent="0.25">
      <c r="A81129"/>
      <c r="B81129"/>
      <c r="C81129"/>
      <c r="E81129"/>
      <c r="F81129"/>
    </row>
    <row r="81130" spans="1:6" x14ac:dyDescent="0.25">
      <c r="A81130"/>
      <c r="B81130"/>
      <c r="C81130"/>
      <c r="E81130"/>
      <c r="F81130"/>
    </row>
    <row r="81131" spans="1:6" x14ac:dyDescent="0.25">
      <c r="A81131"/>
      <c r="B81131"/>
      <c r="C81131"/>
      <c r="E81131"/>
      <c r="F81131"/>
    </row>
    <row r="81132" spans="1:6" x14ac:dyDescent="0.25">
      <c r="A81132"/>
      <c r="B81132"/>
      <c r="C81132"/>
      <c r="E81132"/>
      <c r="F81132"/>
    </row>
    <row r="81133" spans="1:6" x14ac:dyDescent="0.25">
      <c r="A81133"/>
      <c r="B81133"/>
      <c r="C81133"/>
      <c r="E81133"/>
      <c r="F81133"/>
    </row>
    <row r="81134" spans="1:6" x14ac:dyDescent="0.25">
      <c r="A81134"/>
      <c r="B81134"/>
      <c r="C81134"/>
      <c r="E81134"/>
      <c r="F81134"/>
    </row>
    <row r="81135" spans="1:6" x14ac:dyDescent="0.25">
      <c r="A81135"/>
      <c r="B81135"/>
      <c r="C81135"/>
      <c r="E81135"/>
      <c r="F81135"/>
    </row>
    <row r="81136" spans="1:6" x14ac:dyDescent="0.25">
      <c r="A81136"/>
      <c r="B81136"/>
      <c r="C81136"/>
      <c r="E81136"/>
      <c r="F81136"/>
    </row>
    <row r="81137" spans="1:6" x14ac:dyDescent="0.25">
      <c r="A81137"/>
      <c r="B81137"/>
      <c r="C81137"/>
      <c r="E81137"/>
      <c r="F81137"/>
    </row>
    <row r="81138" spans="1:6" x14ac:dyDescent="0.25">
      <c r="A81138"/>
      <c r="B81138"/>
      <c r="C81138"/>
      <c r="E81138"/>
      <c r="F81138"/>
    </row>
    <row r="81139" spans="1:6" x14ac:dyDescent="0.25">
      <c r="A81139"/>
      <c r="B81139"/>
      <c r="C81139"/>
      <c r="E81139"/>
      <c r="F81139"/>
    </row>
    <row r="81140" spans="1:6" x14ac:dyDescent="0.25">
      <c r="A81140"/>
      <c r="B81140"/>
      <c r="C81140"/>
      <c r="E81140"/>
      <c r="F81140"/>
    </row>
    <row r="81141" spans="1:6" x14ac:dyDescent="0.25">
      <c r="A81141"/>
      <c r="B81141"/>
      <c r="C81141"/>
      <c r="E81141"/>
      <c r="F81141"/>
    </row>
    <row r="81142" spans="1:6" x14ac:dyDescent="0.25">
      <c r="A81142"/>
      <c r="B81142"/>
      <c r="C81142"/>
      <c r="E81142"/>
      <c r="F81142"/>
    </row>
    <row r="81143" spans="1:6" x14ac:dyDescent="0.25">
      <c r="A81143"/>
      <c r="B81143"/>
      <c r="C81143"/>
      <c r="E81143"/>
      <c r="F81143"/>
    </row>
    <row r="81144" spans="1:6" x14ac:dyDescent="0.25">
      <c r="A81144"/>
      <c r="B81144"/>
      <c r="C81144"/>
      <c r="E81144"/>
      <c r="F81144"/>
    </row>
    <row r="81145" spans="1:6" x14ac:dyDescent="0.25">
      <c r="A81145"/>
      <c r="B81145"/>
      <c r="C81145"/>
      <c r="E81145"/>
      <c r="F81145"/>
    </row>
    <row r="81146" spans="1:6" x14ac:dyDescent="0.25">
      <c r="A81146"/>
      <c r="B81146"/>
      <c r="C81146"/>
      <c r="E81146"/>
      <c r="F81146"/>
    </row>
    <row r="81147" spans="1:6" x14ac:dyDescent="0.25">
      <c r="A81147"/>
      <c r="B81147"/>
      <c r="C81147"/>
      <c r="E81147"/>
      <c r="F81147"/>
    </row>
    <row r="81148" spans="1:6" x14ac:dyDescent="0.25">
      <c r="A81148"/>
      <c r="B81148"/>
      <c r="C81148"/>
      <c r="E81148"/>
      <c r="F81148"/>
    </row>
    <row r="81149" spans="1:6" x14ac:dyDescent="0.25">
      <c r="A81149"/>
      <c r="B81149"/>
      <c r="C81149"/>
      <c r="E81149"/>
      <c r="F81149"/>
    </row>
    <row r="81150" spans="1:6" x14ac:dyDescent="0.25">
      <c r="A81150"/>
      <c r="B81150"/>
      <c r="C81150"/>
      <c r="E81150"/>
      <c r="F81150"/>
    </row>
    <row r="81151" spans="1:6" x14ac:dyDescent="0.25">
      <c r="A81151"/>
      <c r="B81151"/>
      <c r="C81151"/>
      <c r="E81151"/>
      <c r="F81151"/>
    </row>
    <row r="81152" spans="1:6" x14ac:dyDescent="0.25">
      <c r="A81152"/>
      <c r="B81152"/>
      <c r="C81152"/>
      <c r="E81152"/>
      <c r="F81152"/>
    </row>
    <row r="81153" spans="1:6" x14ac:dyDescent="0.25">
      <c r="A81153"/>
      <c r="B81153"/>
      <c r="C81153"/>
      <c r="E81153"/>
      <c r="F81153"/>
    </row>
    <row r="81154" spans="1:6" x14ac:dyDescent="0.25">
      <c r="A81154"/>
      <c r="B81154"/>
      <c r="C81154"/>
      <c r="E81154"/>
      <c r="F81154"/>
    </row>
    <row r="81155" spans="1:6" x14ac:dyDescent="0.25">
      <c r="A81155"/>
      <c r="B81155"/>
      <c r="C81155"/>
      <c r="E81155"/>
      <c r="F81155"/>
    </row>
    <row r="81156" spans="1:6" x14ac:dyDescent="0.25">
      <c r="A81156"/>
      <c r="B81156"/>
      <c r="C81156"/>
      <c r="E81156"/>
      <c r="F81156"/>
    </row>
    <row r="81157" spans="1:6" x14ac:dyDescent="0.25">
      <c r="A81157"/>
      <c r="B81157"/>
      <c r="C81157"/>
      <c r="E81157"/>
      <c r="F81157"/>
    </row>
    <row r="81158" spans="1:6" x14ac:dyDescent="0.25">
      <c r="A81158"/>
      <c r="B81158"/>
      <c r="C81158"/>
      <c r="E81158"/>
      <c r="F81158"/>
    </row>
    <row r="81159" spans="1:6" x14ac:dyDescent="0.25">
      <c r="A81159"/>
      <c r="B81159"/>
      <c r="C81159"/>
      <c r="E81159"/>
      <c r="F81159"/>
    </row>
    <row r="81160" spans="1:6" x14ac:dyDescent="0.25">
      <c r="A81160"/>
      <c r="B81160"/>
      <c r="C81160"/>
      <c r="E81160"/>
      <c r="F81160"/>
    </row>
    <row r="81161" spans="1:6" x14ac:dyDescent="0.25">
      <c r="A81161"/>
      <c r="B81161"/>
      <c r="C81161"/>
      <c r="E81161"/>
      <c r="F81161"/>
    </row>
    <row r="81162" spans="1:6" x14ac:dyDescent="0.25">
      <c r="A81162"/>
      <c r="B81162"/>
      <c r="C81162"/>
      <c r="E81162"/>
      <c r="F81162"/>
    </row>
    <row r="81163" spans="1:6" x14ac:dyDescent="0.25">
      <c r="A81163"/>
      <c r="B81163"/>
      <c r="C81163"/>
      <c r="E81163"/>
      <c r="F81163"/>
    </row>
    <row r="81164" spans="1:6" x14ac:dyDescent="0.25">
      <c r="A81164"/>
      <c r="B81164"/>
      <c r="C81164"/>
      <c r="E81164"/>
      <c r="F81164"/>
    </row>
    <row r="81165" spans="1:6" x14ac:dyDescent="0.25">
      <c r="A81165"/>
      <c r="B81165"/>
      <c r="C81165"/>
      <c r="E81165"/>
      <c r="F81165"/>
    </row>
    <row r="81166" spans="1:6" x14ac:dyDescent="0.25">
      <c r="A81166"/>
      <c r="B81166"/>
      <c r="C81166"/>
      <c r="E81166"/>
      <c r="F81166"/>
    </row>
    <row r="81167" spans="1:6" x14ac:dyDescent="0.25">
      <c r="A81167"/>
      <c r="B81167"/>
      <c r="C81167"/>
      <c r="E81167"/>
      <c r="F81167"/>
    </row>
    <row r="81168" spans="1:6" x14ac:dyDescent="0.25">
      <c r="A81168"/>
      <c r="B81168"/>
      <c r="C81168"/>
      <c r="E81168"/>
      <c r="F81168"/>
    </row>
    <row r="81169" spans="1:6" x14ac:dyDescent="0.25">
      <c r="A81169"/>
      <c r="B81169"/>
      <c r="C81169"/>
      <c r="E81169"/>
      <c r="F81169"/>
    </row>
    <row r="81170" spans="1:6" x14ac:dyDescent="0.25">
      <c r="A81170"/>
      <c r="B81170"/>
      <c r="C81170"/>
      <c r="E81170"/>
      <c r="F81170"/>
    </row>
    <row r="81171" spans="1:6" x14ac:dyDescent="0.25">
      <c r="A81171"/>
      <c r="B81171"/>
      <c r="C81171"/>
      <c r="E81171"/>
      <c r="F81171"/>
    </row>
    <row r="81172" spans="1:6" x14ac:dyDescent="0.25">
      <c r="A81172"/>
      <c r="B81172"/>
      <c r="C81172"/>
      <c r="E81172"/>
      <c r="F81172"/>
    </row>
    <row r="81173" spans="1:6" x14ac:dyDescent="0.25">
      <c r="A81173"/>
      <c r="B81173"/>
      <c r="C81173"/>
      <c r="E81173"/>
      <c r="F81173"/>
    </row>
    <row r="81174" spans="1:6" x14ac:dyDescent="0.25">
      <c r="A81174"/>
      <c r="B81174"/>
      <c r="C81174"/>
      <c r="E81174"/>
      <c r="F81174"/>
    </row>
    <row r="81175" spans="1:6" x14ac:dyDescent="0.25">
      <c r="A81175"/>
      <c r="B81175"/>
      <c r="C81175"/>
      <c r="E81175"/>
      <c r="F81175"/>
    </row>
    <row r="81176" spans="1:6" x14ac:dyDescent="0.25">
      <c r="A81176"/>
      <c r="B81176"/>
      <c r="C81176"/>
      <c r="E81176"/>
      <c r="F81176"/>
    </row>
    <row r="81177" spans="1:6" x14ac:dyDescent="0.25">
      <c r="A81177"/>
      <c r="B81177"/>
      <c r="C81177"/>
      <c r="E81177"/>
      <c r="F81177"/>
    </row>
    <row r="81178" spans="1:6" x14ac:dyDescent="0.25">
      <c r="A81178"/>
      <c r="B81178"/>
      <c r="C81178"/>
      <c r="E81178"/>
      <c r="F81178"/>
    </row>
    <row r="81179" spans="1:6" x14ac:dyDescent="0.25">
      <c r="A81179"/>
      <c r="B81179"/>
      <c r="C81179"/>
      <c r="E81179"/>
      <c r="F81179"/>
    </row>
    <row r="81180" spans="1:6" x14ac:dyDescent="0.25">
      <c r="A81180"/>
      <c r="B81180"/>
      <c r="C81180"/>
      <c r="E81180"/>
      <c r="F81180"/>
    </row>
    <row r="81181" spans="1:6" x14ac:dyDescent="0.25">
      <c r="A81181"/>
      <c r="B81181"/>
      <c r="C81181"/>
      <c r="E81181"/>
      <c r="F81181"/>
    </row>
    <row r="81182" spans="1:6" x14ac:dyDescent="0.25">
      <c r="A81182"/>
      <c r="B81182"/>
      <c r="C81182"/>
      <c r="E81182"/>
      <c r="F81182"/>
    </row>
    <row r="81183" spans="1:6" x14ac:dyDescent="0.25">
      <c r="A81183"/>
      <c r="B81183"/>
      <c r="C81183"/>
      <c r="E81183"/>
      <c r="F81183"/>
    </row>
    <row r="81184" spans="1:6" x14ac:dyDescent="0.25">
      <c r="A81184"/>
      <c r="B81184"/>
      <c r="C81184"/>
      <c r="E81184"/>
      <c r="F81184"/>
    </row>
    <row r="81185" spans="1:6" x14ac:dyDescent="0.25">
      <c r="A81185"/>
      <c r="B81185"/>
      <c r="C81185"/>
      <c r="E81185"/>
      <c r="F81185"/>
    </row>
    <row r="81186" spans="1:6" x14ac:dyDescent="0.25">
      <c r="A81186"/>
      <c r="B81186"/>
      <c r="C81186"/>
      <c r="E81186"/>
      <c r="F81186"/>
    </row>
    <row r="81187" spans="1:6" x14ac:dyDescent="0.25">
      <c r="A81187"/>
      <c r="B81187"/>
      <c r="C81187"/>
      <c r="E81187"/>
      <c r="F81187"/>
    </row>
    <row r="81188" spans="1:6" x14ac:dyDescent="0.25">
      <c r="A81188"/>
      <c r="B81188"/>
      <c r="C81188"/>
      <c r="E81188"/>
      <c r="F81188"/>
    </row>
    <row r="81189" spans="1:6" x14ac:dyDescent="0.25">
      <c r="A81189"/>
      <c r="B81189"/>
      <c r="C81189"/>
      <c r="E81189"/>
      <c r="F81189"/>
    </row>
    <row r="81190" spans="1:6" x14ac:dyDescent="0.25">
      <c r="A81190"/>
      <c r="B81190"/>
      <c r="C81190"/>
      <c r="E81190"/>
      <c r="F81190"/>
    </row>
    <row r="81191" spans="1:6" x14ac:dyDescent="0.25">
      <c r="A81191"/>
      <c r="B81191"/>
      <c r="C81191"/>
      <c r="E81191"/>
      <c r="F81191"/>
    </row>
    <row r="81192" spans="1:6" x14ac:dyDescent="0.25">
      <c r="A81192"/>
      <c r="B81192"/>
      <c r="C81192"/>
      <c r="E81192"/>
      <c r="F81192"/>
    </row>
    <row r="81193" spans="1:6" x14ac:dyDescent="0.25">
      <c r="A81193"/>
      <c r="B81193"/>
      <c r="C81193"/>
      <c r="E81193"/>
      <c r="F81193"/>
    </row>
    <row r="81194" spans="1:6" x14ac:dyDescent="0.25">
      <c r="A81194"/>
      <c r="B81194"/>
      <c r="C81194"/>
      <c r="E81194"/>
      <c r="F81194"/>
    </row>
    <row r="81195" spans="1:6" x14ac:dyDescent="0.25">
      <c r="A81195"/>
      <c r="B81195"/>
      <c r="C81195"/>
      <c r="E81195"/>
      <c r="F81195"/>
    </row>
    <row r="81196" spans="1:6" x14ac:dyDescent="0.25">
      <c r="A81196"/>
      <c r="B81196"/>
      <c r="C81196"/>
      <c r="E81196"/>
      <c r="F81196"/>
    </row>
    <row r="81197" spans="1:6" x14ac:dyDescent="0.25">
      <c r="A81197"/>
      <c r="B81197"/>
      <c r="C81197"/>
      <c r="E81197"/>
      <c r="F81197"/>
    </row>
    <row r="81198" spans="1:6" x14ac:dyDescent="0.25">
      <c r="A81198"/>
      <c r="B81198"/>
      <c r="C81198"/>
      <c r="E81198"/>
      <c r="F81198"/>
    </row>
    <row r="81199" spans="1:6" x14ac:dyDescent="0.25">
      <c r="A81199"/>
      <c r="B81199"/>
      <c r="C81199"/>
      <c r="E81199"/>
      <c r="F81199"/>
    </row>
    <row r="81200" spans="1:6" x14ac:dyDescent="0.25">
      <c r="A81200"/>
      <c r="B81200"/>
      <c r="C81200"/>
      <c r="E81200"/>
      <c r="F81200"/>
    </row>
    <row r="81201" spans="1:6" x14ac:dyDescent="0.25">
      <c r="A81201"/>
      <c r="B81201"/>
      <c r="C81201"/>
      <c r="E81201"/>
      <c r="F81201"/>
    </row>
    <row r="81202" spans="1:6" x14ac:dyDescent="0.25">
      <c r="A81202"/>
      <c r="B81202"/>
      <c r="C81202"/>
      <c r="E81202"/>
      <c r="F81202"/>
    </row>
    <row r="81203" spans="1:6" x14ac:dyDescent="0.25">
      <c r="A81203"/>
      <c r="B81203"/>
      <c r="C81203"/>
      <c r="E81203"/>
      <c r="F81203"/>
    </row>
    <row r="81204" spans="1:6" x14ac:dyDescent="0.25">
      <c r="A81204"/>
      <c r="B81204"/>
      <c r="C81204"/>
      <c r="E81204"/>
      <c r="F81204"/>
    </row>
    <row r="81205" spans="1:6" x14ac:dyDescent="0.25">
      <c r="A81205"/>
      <c r="B81205"/>
      <c r="C81205"/>
      <c r="E81205"/>
      <c r="F81205"/>
    </row>
    <row r="81206" spans="1:6" x14ac:dyDescent="0.25">
      <c r="A81206"/>
      <c r="B81206"/>
      <c r="C81206"/>
      <c r="E81206"/>
      <c r="F81206"/>
    </row>
    <row r="81207" spans="1:6" x14ac:dyDescent="0.25">
      <c r="A81207"/>
      <c r="B81207"/>
      <c r="C81207"/>
      <c r="E81207"/>
      <c r="F81207"/>
    </row>
    <row r="81208" spans="1:6" x14ac:dyDescent="0.25">
      <c r="A81208"/>
      <c r="B81208"/>
      <c r="C81208"/>
      <c r="E81208"/>
      <c r="F81208"/>
    </row>
    <row r="81209" spans="1:6" x14ac:dyDescent="0.25">
      <c r="A81209"/>
      <c r="B81209"/>
      <c r="C81209"/>
      <c r="E81209"/>
      <c r="F81209"/>
    </row>
    <row r="81210" spans="1:6" x14ac:dyDescent="0.25">
      <c r="A81210"/>
      <c r="B81210"/>
      <c r="C81210"/>
      <c r="E81210"/>
      <c r="F81210"/>
    </row>
    <row r="81211" spans="1:6" x14ac:dyDescent="0.25">
      <c r="A81211"/>
      <c r="B81211"/>
      <c r="C81211"/>
      <c r="E81211"/>
      <c r="F81211"/>
    </row>
    <row r="81212" spans="1:6" x14ac:dyDescent="0.25">
      <c r="A81212"/>
      <c r="B81212"/>
      <c r="C81212"/>
      <c r="E81212"/>
      <c r="F81212"/>
    </row>
    <row r="81213" spans="1:6" x14ac:dyDescent="0.25">
      <c r="A81213"/>
      <c r="B81213"/>
      <c r="C81213"/>
      <c r="E81213"/>
      <c r="F81213"/>
    </row>
    <row r="81214" spans="1:6" x14ac:dyDescent="0.25">
      <c r="A81214"/>
      <c r="B81214"/>
      <c r="C81214"/>
      <c r="E81214"/>
      <c r="F81214"/>
    </row>
    <row r="81215" spans="1:6" x14ac:dyDescent="0.25">
      <c r="A81215"/>
      <c r="B81215"/>
      <c r="C81215"/>
      <c r="E81215"/>
      <c r="F81215"/>
    </row>
    <row r="81216" spans="1:6" x14ac:dyDescent="0.25">
      <c r="A81216"/>
      <c r="B81216"/>
      <c r="C81216"/>
      <c r="E81216"/>
      <c r="F81216"/>
    </row>
    <row r="81217" spans="1:6" x14ac:dyDescent="0.25">
      <c r="A81217"/>
      <c r="B81217"/>
      <c r="C81217"/>
      <c r="E81217"/>
      <c r="F81217"/>
    </row>
    <row r="81218" spans="1:6" x14ac:dyDescent="0.25">
      <c r="A81218"/>
      <c r="B81218"/>
      <c r="C81218"/>
      <c r="E81218"/>
      <c r="F81218"/>
    </row>
    <row r="81219" spans="1:6" x14ac:dyDescent="0.25">
      <c r="A81219"/>
      <c r="B81219"/>
      <c r="C81219"/>
      <c r="E81219"/>
      <c r="F81219"/>
    </row>
    <row r="81220" spans="1:6" x14ac:dyDescent="0.25">
      <c r="A81220"/>
      <c r="B81220"/>
      <c r="C81220"/>
      <c r="E81220"/>
      <c r="F81220"/>
    </row>
    <row r="81221" spans="1:6" x14ac:dyDescent="0.25">
      <c r="A81221"/>
      <c r="B81221"/>
      <c r="C81221"/>
      <c r="E81221"/>
      <c r="F81221"/>
    </row>
    <row r="81222" spans="1:6" x14ac:dyDescent="0.25">
      <c r="A81222"/>
      <c r="B81222"/>
      <c r="C81222"/>
      <c r="E81222"/>
      <c r="F81222"/>
    </row>
    <row r="81223" spans="1:6" x14ac:dyDescent="0.25">
      <c r="A81223"/>
      <c r="B81223"/>
      <c r="C81223"/>
      <c r="E81223"/>
      <c r="F81223"/>
    </row>
    <row r="81224" spans="1:6" x14ac:dyDescent="0.25">
      <c r="A81224"/>
      <c r="B81224"/>
      <c r="C81224"/>
      <c r="E81224"/>
      <c r="F81224"/>
    </row>
    <row r="81225" spans="1:6" x14ac:dyDescent="0.25">
      <c r="A81225"/>
      <c r="B81225"/>
      <c r="C81225"/>
      <c r="E81225"/>
      <c r="F81225"/>
    </row>
    <row r="81226" spans="1:6" x14ac:dyDescent="0.25">
      <c r="A81226"/>
      <c r="B81226"/>
      <c r="C81226"/>
      <c r="E81226"/>
      <c r="F81226"/>
    </row>
    <row r="81227" spans="1:6" x14ac:dyDescent="0.25">
      <c r="A81227"/>
      <c r="B81227"/>
      <c r="C81227"/>
      <c r="E81227"/>
      <c r="F81227"/>
    </row>
    <row r="81228" spans="1:6" x14ac:dyDescent="0.25">
      <c r="A81228"/>
      <c r="B81228"/>
      <c r="C81228"/>
      <c r="E81228"/>
      <c r="F81228"/>
    </row>
    <row r="81229" spans="1:6" x14ac:dyDescent="0.25">
      <c r="A81229"/>
      <c r="B81229"/>
      <c r="C81229"/>
      <c r="E81229"/>
      <c r="F81229"/>
    </row>
    <row r="81230" spans="1:6" x14ac:dyDescent="0.25">
      <c r="A81230"/>
      <c r="B81230"/>
      <c r="C81230"/>
      <c r="E81230"/>
      <c r="F81230"/>
    </row>
    <row r="81231" spans="1:6" x14ac:dyDescent="0.25">
      <c r="A81231"/>
      <c r="B81231"/>
      <c r="C81231"/>
      <c r="E81231"/>
      <c r="F81231"/>
    </row>
    <row r="81232" spans="1:6" x14ac:dyDescent="0.25">
      <c r="A81232"/>
      <c r="B81232"/>
      <c r="C81232"/>
      <c r="E81232"/>
      <c r="F81232"/>
    </row>
    <row r="81233" spans="1:6" x14ac:dyDescent="0.25">
      <c r="A81233"/>
      <c r="B81233"/>
      <c r="C81233"/>
      <c r="E81233"/>
      <c r="F81233"/>
    </row>
    <row r="81234" spans="1:6" x14ac:dyDescent="0.25">
      <c r="A81234"/>
      <c r="B81234"/>
      <c r="C81234"/>
      <c r="E81234"/>
      <c r="F81234"/>
    </row>
    <row r="81235" spans="1:6" x14ac:dyDescent="0.25">
      <c r="A81235"/>
      <c r="B81235"/>
      <c r="C81235"/>
      <c r="E81235"/>
      <c r="F81235"/>
    </row>
    <row r="81236" spans="1:6" x14ac:dyDescent="0.25">
      <c r="A81236"/>
      <c r="B81236"/>
      <c r="C81236"/>
      <c r="E81236"/>
      <c r="F81236"/>
    </row>
    <row r="81237" spans="1:6" x14ac:dyDescent="0.25">
      <c r="A81237"/>
      <c r="B81237"/>
      <c r="C81237"/>
      <c r="E81237"/>
      <c r="F81237"/>
    </row>
    <row r="81238" spans="1:6" x14ac:dyDescent="0.25">
      <c r="A81238"/>
      <c r="B81238"/>
      <c r="C81238"/>
      <c r="E81238"/>
      <c r="F81238"/>
    </row>
    <row r="81239" spans="1:6" x14ac:dyDescent="0.25">
      <c r="A81239"/>
      <c r="B81239"/>
      <c r="C81239"/>
      <c r="E81239"/>
      <c r="F81239"/>
    </row>
    <row r="81240" spans="1:6" x14ac:dyDescent="0.25">
      <c r="A81240"/>
      <c r="B81240"/>
      <c r="C81240"/>
      <c r="E81240"/>
      <c r="F81240"/>
    </row>
    <row r="81241" spans="1:6" x14ac:dyDescent="0.25">
      <c r="A81241"/>
      <c r="B81241"/>
      <c r="C81241"/>
      <c r="E81241"/>
      <c r="F81241"/>
    </row>
    <row r="81242" spans="1:6" x14ac:dyDescent="0.25">
      <c r="A81242"/>
      <c r="B81242"/>
      <c r="C81242"/>
      <c r="E81242"/>
      <c r="F81242"/>
    </row>
    <row r="81243" spans="1:6" x14ac:dyDescent="0.25">
      <c r="A81243"/>
      <c r="B81243"/>
      <c r="C81243"/>
      <c r="E81243"/>
      <c r="F81243"/>
    </row>
    <row r="81244" spans="1:6" x14ac:dyDescent="0.25">
      <c r="A81244"/>
      <c r="B81244"/>
      <c r="C81244"/>
      <c r="E81244"/>
      <c r="F81244"/>
    </row>
    <row r="81245" spans="1:6" x14ac:dyDescent="0.25">
      <c r="A81245"/>
      <c r="B81245"/>
      <c r="C81245"/>
      <c r="E81245"/>
      <c r="F81245"/>
    </row>
    <row r="81246" spans="1:6" x14ac:dyDescent="0.25">
      <c r="A81246"/>
      <c r="B81246"/>
      <c r="C81246"/>
      <c r="E81246"/>
      <c r="F81246"/>
    </row>
    <row r="81247" spans="1:6" x14ac:dyDescent="0.25">
      <c r="A81247"/>
      <c r="B81247"/>
      <c r="C81247"/>
      <c r="E81247"/>
      <c r="F81247"/>
    </row>
    <row r="81248" spans="1:6" x14ac:dyDescent="0.25">
      <c r="A81248"/>
      <c r="B81248"/>
      <c r="C81248"/>
      <c r="E81248"/>
      <c r="F81248"/>
    </row>
    <row r="81249" spans="1:6" x14ac:dyDescent="0.25">
      <c r="A81249"/>
      <c r="B81249"/>
      <c r="C81249"/>
      <c r="E81249"/>
      <c r="F81249"/>
    </row>
    <row r="81250" spans="1:6" x14ac:dyDescent="0.25">
      <c r="A81250"/>
      <c r="B81250"/>
      <c r="C81250"/>
      <c r="E81250"/>
      <c r="F81250"/>
    </row>
    <row r="81251" spans="1:6" x14ac:dyDescent="0.25">
      <c r="A81251"/>
      <c r="B81251"/>
      <c r="C81251"/>
      <c r="E81251"/>
      <c r="F81251"/>
    </row>
    <row r="81252" spans="1:6" x14ac:dyDescent="0.25">
      <c r="A81252"/>
      <c r="B81252"/>
      <c r="C81252"/>
      <c r="E81252"/>
      <c r="F81252"/>
    </row>
    <row r="81253" spans="1:6" x14ac:dyDescent="0.25">
      <c r="A81253"/>
      <c r="B81253"/>
      <c r="C81253"/>
      <c r="E81253"/>
      <c r="F81253"/>
    </row>
    <row r="81254" spans="1:6" x14ac:dyDescent="0.25">
      <c r="A81254"/>
      <c r="B81254"/>
      <c r="C81254"/>
      <c r="E81254"/>
      <c r="F81254"/>
    </row>
    <row r="81255" spans="1:6" x14ac:dyDescent="0.25">
      <c r="A81255"/>
      <c r="B81255"/>
      <c r="C81255"/>
      <c r="E81255"/>
      <c r="F81255"/>
    </row>
    <row r="81256" spans="1:6" x14ac:dyDescent="0.25">
      <c r="A81256"/>
      <c r="B81256"/>
      <c r="C81256"/>
      <c r="E81256"/>
      <c r="F81256"/>
    </row>
    <row r="81257" spans="1:6" x14ac:dyDescent="0.25">
      <c r="A81257"/>
      <c r="B81257"/>
      <c r="C81257"/>
      <c r="E81257"/>
      <c r="F81257"/>
    </row>
    <row r="81258" spans="1:6" x14ac:dyDescent="0.25">
      <c r="A81258"/>
      <c r="B81258"/>
      <c r="C81258"/>
      <c r="E81258"/>
      <c r="F81258"/>
    </row>
    <row r="81259" spans="1:6" x14ac:dyDescent="0.25">
      <c r="A81259"/>
      <c r="B81259"/>
      <c r="C81259"/>
      <c r="E81259"/>
      <c r="F81259"/>
    </row>
    <row r="81260" spans="1:6" x14ac:dyDescent="0.25">
      <c r="A81260"/>
      <c r="B81260"/>
      <c r="C81260"/>
      <c r="E81260"/>
      <c r="F81260"/>
    </row>
    <row r="81261" spans="1:6" x14ac:dyDescent="0.25">
      <c r="A81261"/>
      <c r="B81261"/>
      <c r="C81261"/>
      <c r="E81261"/>
      <c r="F81261"/>
    </row>
    <row r="81262" spans="1:6" x14ac:dyDescent="0.25">
      <c r="A81262"/>
      <c r="B81262"/>
      <c r="C81262"/>
      <c r="E81262"/>
      <c r="F81262"/>
    </row>
    <row r="81263" spans="1:6" x14ac:dyDescent="0.25">
      <c r="A81263"/>
      <c r="B81263"/>
      <c r="C81263"/>
      <c r="E81263"/>
      <c r="F81263"/>
    </row>
    <row r="81264" spans="1:6" x14ac:dyDescent="0.25">
      <c r="A81264"/>
      <c r="B81264"/>
      <c r="C81264"/>
      <c r="E81264"/>
      <c r="F81264"/>
    </row>
    <row r="81265" spans="1:6" x14ac:dyDescent="0.25">
      <c r="A81265"/>
      <c r="B81265"/>
      <c r="C81265"/>
      <c r="E81265"/>
      <c r="F81265"/>
    </row>
    <row r="81266" spans="1:6" x14ac:dyDescent="0.25">
      <c r="A81266"/>
      <c r="B81266"/>
      <c r="C81266"/>
      <c r="E81266"/>
      <c r="F81266"/>
    </row>
    <row r="81267" spans="1:6" x14ac:dyDescent="0.25">
      <c r="A81267"/>
      <c r="B81267"/>
      <c r="C81267"/>
      <c r="E81267"/>
      <c r="F81267"/>
    </row>
    <row r="81268" spans="1:6" x14ac:dyDescent="0.25">
      <c r="A81268"/>
      <c r="B81268"/>
      <c r="C81268"/>
      <c r="E81268"/>
      <c r="F81268"/>
    </row>
    <row r="81269" spans="1:6" x14ac:dyDescent="0.25">
      <c r="A81269"/>
      <c r="B81269"/>
      <c r="C81269"/>
      <c r="E81269"/>
      <c r="F81269"/>
    </row>
    <row r="81270" spans="1:6" x14ac:dyDescent="0.25">
      <c r="A81270"/>
      <c r="B81270"/>
      <c r="C81270"/>
      <c r="E81270"/>
      <c r="F81270"/>
    </row>
    <row r="81271" spans="1:6" x14ac:dyDescent="0.25">
      <c r="A81271"/>
      <c r="B81271"/>
      <c r="C81271"/>
      <c r="E81271"/>
      <c r="F81271"/>
    </row>
    <row r="81272" spans="1:6" x14ac:dyDescent="0.25">
      <c r="A81272"/>
      <c r="B81272"/>
      <c r="C81272"/>
      <c r="E81272"/>
      <c r="F81272"/>
    </row>
    <row r="81273" spans="1:6" x14ac:dyDescent="0.25">
      <c r="A81273"/>
      <c r="B81273"/>
      <c r="C81273"/>
      <c r="E81273"/>
      <c r="F81273"/>
    </row>
    <row r="81274" spans="1:6" x14ac:dyDescent="0.25">
      <c r="A81274"/>
      <c r="B81274"/>
      <c r="C81274"/>
      <c r="E81274"/>
      <c r="F81274"/>
    </row>
    <row r="81275" spans="1:6" x14ac:dyDescent="0.25">
      <c r="A81275"/>
      <c r="B81275"/>
      <c r="C81275"/>
      <c r="E81275"/>
      <c r="F81275"/>
    </row>
    <row r="81276" spans="1:6" x14ac:dyDescent="0.25">
      <c r="A81276"/>
      <c r="B81276"/>
      <c r="C81276"/>
      <c r="E81276"/>
      <c r="F81276"/>
    </row>
    <row r="81277" spans="1:6" x14ac:dyDescent="0.25">
      <c r="A81277"/>
      <c r="B81277"/>
      <c r="C81277"/>
      <c r="E81277"/>
      <c r="F81277"/>
    </row>
    <row r="81278" spans="1:6" x14ac:dyDescent="0.25">
      <c r="A81278"/>
      <c r="B81278"/>
      <c r="C81278"/>
      <c r="E81278"/>
      <c r="F81278"/>
    </row>
    <row r="81279" spans="1:6" x14ac:dyDescent="0.25">
      <c r="A81279"/>
      <c r="B81279"/>
      <c r="C81279"/>
      <c r="E81279"/>
      <c r="F81279"/>
    </row>
    <row r="81280" spans="1:6" x14ac:dyDescent="0.25">
      <c r="A81280"/>
      <c r="B81280"/>
      <c r="C81280"/>
      <c r="E81280"/>
      <c r="F81280"/>
    </row>
    <row r="81281" spans="1:6" x14ac:dyDescent="0.25">
      <c r="A81281"/>
      <c r="B81281"/>
      <c r="C81281"/>
      <c r="E81281"/>
      <c r="F81281"/>
    </row>
    <row r="81282" spans="1:6" x14ac:dyDescent="0.25">
      <c r="A81282"/>
      <c r="B81282"/>
      <c r="C81282"/>
      <c r="E81282"/>
      <c r="F81282"/>
    </row>
    <row r="81283" spans="1:6" x14ac:dyDescent="0.25">
      <c r="A81283"/>
      <c r="B81283"/>
      <c r="C81283"/>
      <c r="E81283"/>
      <c r="F81283"/>
    </row>
    <row r="81284" spans="1:6" x14ac:dyDescent="0.25">
      <c r="A81284"/>
      <c r="B81284"/>
      <c r="C81284"/>
      <c r="E81284"/>
      <c r="F81284"/>
    </row>
    <row r="81285" spans="1:6" x14ac:dyDescent="0.25">
      <c r="A81285"/>
      <c r="B81285"/>
      <c r="C81285"/>
      <c r="E81285"/>
      <c r="F81285"/>
    </row>
    <row r="81286" spans="1:6" x14ac:dyDescent="0.25">
      <c r="A81286"/>
      <c r="B81286"/>
      <c r="C81286"/>
      <c r="E81286"/>
      <c r="F81286"/>
    </row>
    <row r="81287" spans="1:6" x14ac:dyDescent="0.25">
      <c r="A81287"/>
      <c r="B81287"/>
      <c r="C81287"/>
      <c r="E81287"/>
      <c r="F81287"/>
    </row>
    <row r="81288" spans="1:6" x14ac:dyDescent="0.25">
      <c r="A81288"/>
      <c r="B81288"/>
      <c r="C81288"/>
      <c r="E81288"/>
      <c r="F81288"/>
    </row>
    <row r="81289" spans="1:6" x14ac:dyDescent="0.25">
      <c r="A81289"/>
      <c r="B81289"/>
      <c r="C81289"/>
      <c r="E81289"/>
      <c r="F81289"/>
    </row>
    <row r="81290" spans="1:6" x14ac:dyDescent="0.25">
      <c r="A81290"/>
      <c r="B81290"/>
      <c r="C81290"/>
      <c r="E81290"/>
      <c r="F81290"/>
    </row>
    <row r="81291" spans="1:6" x14ac:dyDescent="0.25">
      <c r="A81291"/>
      <c r="B81291"/>
      <c r="C81291"/>
      <c r="E81291"/>
      <c r="F81291"/>
    </row>
    <row r="81292" spans="1:6" x14ac:dyDescent="0.25">
      <c r="A81292"/>
      <c r="B81292"/>
      <c r="C81292"/>
      <c r="E81292"/>
      <c r="F81292"/>
    </row>
    <row r="81293" spans="1:6" x14ac:dyDescent="0.25">
      <c r="A81293"/>
      <c r="B81293"/>
      <c r="C81293"/>
      <c r="E81293"/>
      <c r="F81293"/>
    </row>
    <row r="81294" spans="1:6" x14ac:dyDescent="0.25">
      <c r="A81294"/>
      <c r="B81294"/>
      <c r="C81294"/>
      <c r="E81294"/>
      <c r="F81294"/>
    </row>
    <row r="81295" spans="1:6" x14ac:dyDescent="0.25">
      <c r="A81295"/>
      <c r="B81295"/>
      <c r="C81295"/>
      <c r="E81295"/>
      <c r="F81295"/>
    </row>
    <row r="81296" spans="1:6" x14ac:dyDescent="0.25">
      <c r="A81296"/>
      <c r="B81296"/>
      <c r="C81296"/>
      <c r="E81296"/>
      <c r="F81296"/>
    </row>
    <row r="81297" spans="1:6" x14ac:dyDescent="0.25">
      <c r="A81297"/>
      <c r="B81297"/>
      <c r="C81297"/>
      <c r="E81297"/>
      <c r="F81297"/>
    </row>
    <row r="81298" spans="1:6" x14ac:dyDescent="0.25">
      <c r="A81298"/>
      <c r="B81298"/>
      <c r="C81298"/>
      <c r="E81298"/>
      <c r="F81298"/>
    </row>
    <row r="81299" spans="1:6" x14ac:dyDescent="0.25">
      <c r="A81299"/>
      <c r="B81299"/>
      <c r="C81299"/>
      <c r="E81299"/>
      <c r="F81299"/>
    </row>
    <row r="81300" spans="1:6" x14ac:dyDescent="0.25">
      <c r="A81300"/>
      <c r="B81300"/>
      <c r="C81300"/>
      <c r="E81300"/>
      <c r="F81300"/>
    </row>
    <row r="81301" spans="1:6" x14ac:dyDescent="0.25">
      <c r="A81301"/>
      <c r="B81301"/>
      <c r="C81301"/>
      <c r="E81301"/>
      <c r="F81301"/>
    </row>
    <row r="81302" spans="1:6" x14ac:dyDescent="0.25">
      <c r="A81302"/>
      <c r="B81302"/>
      <c r="C81302"/>
      <c r="E81302"/>
      <c r="F81302"/>
    </row>
    <row r="81303" spans="1:6" x14ac:dyDescent="0.25">
      <c r="A81303"/>
      <c r="B81303"/>
      <c r="C81303"/>
      <c r="E81303"/>
      <c r="F81303"/>
    </row>
    <row r="81304" spans="1:6" x14ac:dyDescent="0.25">
      <c r="A81304"/>
      <c r="B81304"/>
      <c r="C81304"/>
      <c r="E81304"/>
      <c r="F81304"/>
    </row>
    <row r="81305" spans="1:6" x14ac:dyDescent="0.25">
      <c r="A81305"/>
      <c r="B81305"/>
      <c r="C81305"/>
      <c r="E81305"/>
      <c r="F81305"/>
    </row>
    <row r="81306" spans="1:6" x14ac:dyDescent="0.25">
      <c r="A81306"/>
      <c r="B81306"/>
      <c r="C81306"/>
      <c r="E81306"/>
      <c r="F81306"/>
    </row>
    <row r="81307" spans="1:6" x14ac:dyDescent="0.25">
      <c r="A81307"/>
      <c r="B81307"/>
      <c r="C81307"/>
      <c r="E81307"/>
      <c r="F81307"/>
    </row>
    <row r="81308" spans="1:6" x14ac:dyDescent="0.25">
      <c r="A81308"/>
      <c r="B81308"/>
      <c r="C81308"/>
      <c r="E81308"/>
      <c r="F81308"/>
    </row>
    <row r="81309" spans="1:6" x14ac:dyDescent="0.25">
      <c r="A81309"/>
      <c r="B81309"/>
      <c r="C81309"/>
      <c r="E81309"/>
      <c r="F81309"/>
    </row>
    <row r="81310" spans="1:6" x14ac:dyDescent="0.25">
      <c r="A81310"/>
      <c r="B81310"/>
      <c r="C81310"/>
      <c r="E81310"/>
      <c r="F81310"/>
    </row>
    <row r="81311" spans="1:6" x14ac:dyDescent="0.25">
      <c r="A81311"/>
      <c r="B81311"/>
      <c r="C81311"/>
      <c r="E81311"/>
      <c r="F81311"/>
    </row>
    <row r="81312" spans="1:6" x14ac:dyDescent="0.25">
      <c r="A81312"/>
      <c r="B81312"/>
      <c r="C81312"/>
      <c r="E81312"/>
      <c r="F81312"/>
    </row>
    <row r="81313" spans="1:6" x14ac:dyDescent="0.25">
      <c r="A81313"/>
      <c r="B81313"/>
      <c r="C81313"/>
      <c r="E81313"/>
      <c r="F81313"/>
    </row>
    <row r="81314" spans="1:6" x14ac:dyDescent="0.25">
      <c r="A81314"/>
      <c r="B81314"/>
      <c r="C81314"/>
      <c r="E81314"/>
      <c r="F81314"/>
    </row>
    <row r="81315" spans="1:6" x14ac:dyDescent="0.25">
      <c r="A81315"/>
      <c r="B81315"/>
      <c r="C81315"/>
      <c r="E81315"/>
      <c r="F81315"/>
    </row>
    <row r="81316" spans="1:6" x14ac:dyDescent="0.25">
      <c r="A81316"/>
      <c r="B81316"/>
      <c r="C81316"/>
      <c r="E81316"/>
      <c r="F81316"/>
    </row>
    <row r="81317" spans="1:6" x14ac:dyDescent="0.25">
      <c r="A81317"/>
      <c r="B81317"/>
      <c r="C81317"/>
      <c r="E81317"/>
      <c r="F81317"/>
    </row>
    <row r="81318" spans="1:6" x14ac:dyDescent="0.25">
      <c r="A81318"/>
      <c r="B81318"/>
      <c r="C81318"/>
      <c r="E81318"/>
      <c r="F81318"/>
    </row>
    <row r="81319" spans="1:6" x14ac:dyDescent="0.25">
      <c r="A81319"/>
      <c r="B81319"/>
      <c r="C81319"/>
      <c r="E81319"/>
      <c r="F81319"/>
    </row>
    <row r="81320" spans="1:6" x14ac:dyDescent="0.25">
      <c r="A81320"/>
      <c r="B81320"/>
      <c r="C81320"/>
      <c r="E81320"/>
      <c r="F81320"/>
    </row>
    <row r="81321" spans="1:6" x14ac:dyDescent="0.25">
      <c r="A81321"/>
      <c r="B81321"/>
      <c r="C81321"/>
      <c r="E81321"/>
      <c r="F81321"/>
    </row>
    <row r="81322" spans="1:6" x14ac:dyDescent="0.25">
      <c r="A81322"/>
      <c r="B81322"/>
      <c r="C81322"/>
      <c r="E81322"/>
      <c r="F81322"/>
    </row>
    <row r="81323" spans="1:6" x14ac:dyDescent="0.25">
      <c r="A81323"/>
      <c r="B81323"/>
      <c r="C81323"/>
      <c r="E81323"/>
      <c r="F81323"/>
    </row>
    <row r="81324" spans="1:6" x14ac:dyDescent="0.25">
      <c r="A81324"/>
      <c r="B81324"/>
      <c r="C81324"/>
      <c r="E81324"/>
      <c r="F81324"/>
    </row>
    <row r="81325" spans="1:6" x14ac:dyDescent="0.25">
      <c r="A81325"/>
      <c r="B81325"/>
      <c r="C81325"/>
      <c r="E81325"/>
      <c r="F81325"/>
    </row>
    <row r="81326" spans="1:6" x14ac:dyDescent="0.25">
      <c r="A81326"/>
      <c r="B81326"/>
      <c r="C81326"/>
      <c r="E81326"/>
      <c r="F81326"/>
    </row>
    <row r="81327" spans="1:6" x14ac:dyDescent="0.25">
      <c r="A81327"/>
      <c r="B81327"/>
      <c r="C81327"/>
      <c r="E81327"/>
      <c r="F81327"/>
    </row>
    <row r="81328" spans="1:6" x14ac:dyDescent="0.25">
      <c r="A81328"/>
      <c r="B81328"/>
      <c r="C81328"/>
      <c r="E81328"/>
      <c r="F81328"/>
    </row>
    <row r="81329" spans="1:6" x14ac:dyDescent="0.25">
      <c r="A81329"/>
      <c r="B81329"/>
      <c r="C81329"/>
      <c r="E81329"/>
      <c r="F81329"/>
    </row>
    <row r="81330" spans="1:6" x14ac:dyDescent="0.25">
      <c r="A81330"/>
      <c r="B81330"/>
      <c r="C81330"/>
      <c r="E81330"/>
      <c r="F81330"/>
    </row>
    <row r="81331" spans="1:6" x14ac:dyDescent="0.25">
      <c r="A81331"/>
      <c r="B81331"/>
      <c r="C81331"/>
      <c r="E81331"/>
      <c r="F81331"/>
    </row>
    <row r="81332" spans="1:6" x14ac:dyDescent="0.25">
      <c r="A81332"/>
      <c r="B81332"/>
      <c r="C81332"/>
      <c r="E81332"/>
      <c r="F81332"/>
    </row>
    <row r="81333" spans="1:6" x14ac:dyDescent="0.25">
      <c r="A81333"/>
      <c r="B81333"/>
      <c r="C81333"/>
      <c r="E81333"/>
      <c r="F81333"/>
    </row>
    <row r="81334" spans="1:6" x14ac:dyDescent="0.25">
      <c r="A81334"/>
      <c r="B81334"/>
      <c r="C81334"/>
      <c r="E81334"/>
      <c r="F81334"/>
    </row>
    <row r="81335" spans="1:6" x14ac:dyDescent="0.25">
      <c r="A81335"/>
      <c r="B81335"/>
      <c r="C81335"/>
      <c r="E81335"/>
      <c r="F81335"/>
    </row>
    <row r="81336" spans="1:6" x14ac:dyDescent="0.25">
      <c r="A81336"/>
      <c r="B81336"/>
      <c r="C81336"/>
      <c r="E81336"/>
      <c r="F81336"/>
    </row>
    <row r="81337" spans="1:6" x14ac:dyDescent="0.25">
      <c r="A81337"/>
      <c r="B81337"/>
      <c r="C81337"/>
      <c r="E81337"/>
      <c r="F81337"/>
    </row>
    <row r="81338" spans="1:6" x14ac:dyDescent="0.25">
      <c r="A81338"/>
      <c r="B81338"/>
      <c r="C81338"/>
      <c r="E81338"/>
      <c r="F81338"/>
    </row>
    <row r="81339" spans="1:6" x14ac:dyDescent="0.25">
      <c r="A81339"/>
      <c r="B81339"/>
      <c r="C81339"/>
      <c r="E81339"/>
      <c r="F81339"/>
    </row>
    <row r="81340" spans="1:6" x14ac:dyDescent="0.25">
      <c r="A81340"/>
      <c r="B81340"/>
      <c r="C81340"/>
      <c r="E81340"/>
      <c r="F81340"/>
    </row>
    <row r="81341" spans="1:6" x14ac:dyDescent="0.25">
      <c r="A81341"/>
      <c r="B81341"/>
      <c r="C81341"/>
      <c r="E81341"/>
      <c r="F81341"/>
    </row>
    <row r="81342" spans="1:6" x14ac:dyDescent="0.25">
      <c r="A81342"/>
      <c r="B81342"/>
      <c r="C81342"/>
      <c r="E81342"/>
      <c r="F81342"/>
    </row>
    <row r="81343" spans="1:6" x14ac:dyDescent="0.25">
      <c r="A81343"/>
      <c r="B81343"/>
      <c r="C81343"/>
      <c r="E81343"/>
      <c r="F81343"/>
    </row>
    <row r="81344" spans="1:6" x14ac:dyDescent="0.25">
      <c r="A81344"/>
      <c r="B81344"/>
      <c r="C81344"/>
      <c r="E81344"/>
      <c r="F81344"/>
    </row>
    <row r="81345" spans="1:6" x14ac:dyDescent="0.25">
      <c r="A81345"/>
      <c r="B81345"/>
      <c r="C81345"/>
      <c r="E81345"/>
      <c r="F81345"/>
    </row>
    <row r="81346" spans="1:6" x14ac:dyDescent="0.25">
      <c r="A81346"/>
      <c r="B81346"/>
      <c r="C81346"/>
      <c r="E81346"/>
      <c r="F81346"/>
    </row>
    <row r="81347" spans="1:6" x14ac:dyDescent="0.25">
      <c r="A81347"/>
      <c r="B81347"/>
      <c r="C81347"/>
      <c r="E81347"/>
      <c r="F81347"/>
    </row>
    <row r="81348" spans="1:6" x14ac:dyDescent="0.25">
      <c r="A81348"/>
      <c r="B81348"/>
      <c r="C81348"/>
      <c r="E81348"/>
      <c r="F81348"/>
    </row>
    <row r="81349" spans="1:6" x14ac:dyDescent="0.25">
      <c r="A81349"/>
      <c r="B81349"/>
      <c r="C81349"/>
      <c r="E81349"/>
      <c r="F81349"/>
    </row>
    <row r="81350" spans="1:6" x14ac:dyDescent="0.25">
      <c r="A81350"/>
      <c r="B81350"/>
      <c r="C81350"/>
      <c r="E81350"/>
      <c r="F81350"/>
    </row>
    <row r="81351" spans="1:6" x14ac:dyDescent="0.25">
      <c r="A81351"/>
      <c r="B81351"/>
      <c r="C81351"/>
      <c r="E81351"/>
      <c r="F81351"/>
    </row>
    <row r="81352" spans="1:6" x14ac:dyDescent="0.25">
      <c r="A81352"/>
      <c r="B81352"/>
      <c r="C81352"/>
      <c r="E81352"/>
      <c r="F81352"/>
    </row>
    <row r="81353" spans="1:6" x14ac:dyDescent="0.25">
      <c r="A81353"/>
      <c r="B81353"/>
      <c r="C81353"/>
      <c r="E81353"/>
      <c r="F81353"/>
    </row>
    <row r="81354" spans="1:6" x14ac:dyDescent="0.25">
      <c r="A81354"/>
      <c r="B81354"/>
      <c r="C81354"/>
      <c r="E81354"/>
      <c r="F81354"/>
    </row>
    <row r="81355" spans="1:6" x14ac:dyDescent="0.25">
      <c r="A81355"/>
      <c r="B81355"/>
      <c r="C81355"/>
      <c r="E81355"/>
      <c r="F81355"/>
    </row>
    <row r="81356" spans="1:6" x14ac:dyDescent="0.25">
      <c r="A81356"/>
      <c r="B81356"/>
      <c r="C81356"/>
      <c r="E81356"/>
      <c r="F81356"/>
    </row>
    <row r="81357" spans="1:6" x14ac:dyDescent="0.25">
      <c r="A81357"/>
      <c r="B81357"/>
      <c r="C81357"/>
      <c r="E81357"/>
      <c r="F81357"/>
    </row>
    <row r="81358" spans="1:6" x14ac:dyDescent="0.25">
      <c r="A81358"/>
      <c r="B81358"/>
      <c r="C81358"/>
      <c r="E81358"/>
      <c r="F81358"/>
    </row>
    <row r="81359" spans="1:6" x14ac:dyDescent="0.25">
      <c r="A81359"/>
      <c r="B81359"/>
      <c r="C81359"/>
      <c r="E81359"/>
      <c r="F81359"/>
    </row>
    <row r="81360" spans="1:6" x14ac:dyDescent="0.25">
      <c r="A81360"/>
      <c r="B81360"/>
      <c r="C81360"/>
      <c r="E81360"/>
      <c r="F81360"/>
    </row>
    <row r="81361" spans="1:6" x14ac:dyDescent="0.25">
      <c r="A81361"/>
      <c r="B81361"/>
      <c r="C81361"/>
      <c r="E81361"/>
      <c r="F81361"/>
    </row>
    <row r="81362" spans="1:6" x14ac:dyDescent="0.25">
      <c r="A81362"/>
      <c r="B81362"/>
      <c r="C81362"/>
      <c r="E81362"/>
      <c r="F81362"/>
    </row>
    <row r="81363" spans="1:6" x14ac:dyDescent="0.25">
      <c r="A81363"/>
      <c r="B81363"/>
      <c r="C81363"/>
      <c r="E81363"/>
      <c r="F81363"/>
    </row>
    <row r="81364" spans="1:6" x14ac:dyDescent="0.25">
      <c r="A81364"/>
      <c r="B81364"/>
      <c r="C81364"/>
      <c r="E81364"/>
      <c r="F81364"/>
    </row>
    <row r="81365" spans="1:6" x14ac:dyDescent="0.25">
      <c r="A81365"/>
      <c r="B81365"/>
      <c r="C81365"/>
      <c r="E81365"/>
      <c r="F81365"/>
    </row>
    <row r="81366" spans="1:6" x14ac:dyDescent="0.25">
      <c r="A81366"/>
      <c r="B81366"/>
      <c r="C81366"/>
      <c r="E81366"/>
      <c r="F81366"/>
    </row>
    <row r="81367" spans="1:6" x14ac:dyDescent="0.25">
      <c r="A81367"/>
      <c r="B81367"/>
      <c r="C81367"/>
      <c r="E81367"/>
      <c r="F81367"/>
    </row>
    <row r="81368" spans="1:6" x14ac:dyDescent="0.25">
      <c r="A81368"/>
      <c r="B81368"/>
      <c r="C81368"/>
      <c r="E81368"/>
      <c r="F81368"/>
    </row>
    <row r="81369" spans="1:6" x14ac:dyDescent="0.25">
      <c r="A81369"/>
      <c r="B81369"/>
      <c r="C81369"/>
      <c r="E81369"/>
      <c r="F81369"/>
    </row>
    <row r="81370" spans="1:6" x14ac:dyDescent="0.25">
      <c r="A81370"/>
      <c r="B81370"/>
      <c r="C81370"/>
      <c r="E81370"/>
      <c r="F81370"/>
    </row>
    <row r="81371" spans="1:6" x14ac:dyDescent="0.25">
      <c r="A81371"/>
      <c r="B81371"/>
      <c r="C81371"/>
      <c r="E81371"/>
      <c r="F81371"/>
    </row>
    <row r="81372" spans="1:6" x14ac:dyDescent="0.25">
      <c r="A81372"/>
      <c r="B81372"/>
      <c r="C81372"/>
      <c r="E81372"/>
      <c r="F81372"/>
    </row>
    <row r="81373" spans="1:6" x14ac:dyDescent="0.25">
      <c r="A81373"/>
      <c r="B81373"/>
      <c r="C81373"/>
      <c r="E81373"/>
      <c r="F81373"/>
    </row>
    <row r="81374" spans="1:6" x14ac:dyDescent="0.25">
      <c r="A81374"/>
      <c r="B81374"/>
      <c r="C81374"/>
      <c r="E81374"/>
      <c r="F81374"/>
    </row>
    <row r="81375" spans="1:6" x14ac:dyDescent="0.25">
      <c r="A81375"/>
      <c r="B81375"/>
      <c r="C81375"/>
      <c r="E81375"/>
      <c r="F81375"/>
    </row>
    <row r="81376" spans="1:6" x14ac:dyDescent="0.25">
      <c r="A81376"/>
      <c r="B81376"/>
      <c r="C81376"/>
      <c r="E81376"/>
      <c r="F81376"/>
    </row>
    <row r="81377" spans="1:6" x14ac:dyDescent="0.25">
      <c r="A81377"/>
      <c r="B81377"/>
      <c r="C81377"/>
      <c r="E81377"/>
      <c r="F81377"/>
    </row>
    <row r="81378" spans="1:6" x14ac:dyDescent="0.25">
      <c r="A81378"/>
      <c r="B81378"/>
      <c r="C81378"/>
      <c r="E81378"/>
      <c r="F81378"/>
    </row>
    <row r="81379" spans="1:6" x14ac:dyDescent="0.25">
      <c r="A81379"/>
      <c r="B81379"/>
      <c r="C81379"/>
      <c r="E81379"/>
      <c r="F81379"/>
    </row>
    <row r="81380" spans="1:6" x14ac:dyDescent="0.25">
      <c r="A81380"/>
      <c r="B81380"/>
      <c r="C81380"/>
      <c r="E81380"/>
      <c r="F81380"/>
    </row>
    <row r="81381" spans="1:6" x14ac:dyDescent="0.25">
      <c r="A81381"/>
      <c r="B81381"/>
      <c r="C81381"/>
      <c r="E81381"/>
      <c r="F81381"/>
    </row>
    <row r="81382" spans="1:6" x14ac:dyDescent="0.25">
      <c r="A81382"/>
      <c r="B81382"/>
      <c r="C81382"/>
      <c r="E81382"/>
      <c r="F81382"/>
    </row>
    <row r="81383" spans="1:6" x14ac:dyDescent="0.25">
      <c r="A81383"/>
      <c r="B81383"/>
      <c r="C81383"/>
      <c r="E81383"/>
      <c r="F81383"/>
    </row>
    <row r="81384" spans="1:6" x14ac:dyDescent="0.25">
      <c r="A81384"/>
      <c r="B81384"/>
      <c r="C81384"/>
      <c r="E81384"/>
      <c r="F81384"/>
    </row>
    <row r="81385" spans="1:6" x14ac:dyDescent="0.25">
      <c r="A81385"/>
      <c r="B81385"/>
      <c r="C81385"/>
      <c r="E81385"/>
      <c r="F81385"/>
    </row>
    <row r="81386" spans="1:6" x14ac:dyDescent="0.25">
      <c r="A81386"/>
      <c r="B81386"/>
      <c r="C81386"/>
      <c r="E81386"/>
      <c r="F81386"/>
    </row>
    <row r="81387" spans="1:6" x14ac:dyDescent="0.25">
      <c r="A81387"/>
      <c r="B81387"/>
      <c r="C81387"/>
      <c r="E81387"/>
      <c r="F81387"/>
    </row>
    <row r="81388" spans="1:6" x14ac:dyDescent="0.25">
      <c r="A81388"/>
      <c r="B81388"/>
      <c r="C81388"/>
      <c r="E81388"/>
      <c r="F81388"/>
    </row>
    <row r="81389" spans="1:6" x14ac:dyDescent="0.25">
      <c r="A81389"/>
      <c r="B81389"/>
      <c r="C81389"/>
      <c r="E81389"/>
      <c r="F81389"/>
    </row>
    <row r="81390" spans="1:6" x14ac:dyDescent="0.25">
      <c r="A81390"/>
      <c r="B81390"/>
      <c r="C81390"/>
      <c r="E81390"/>
      <c r="F81390"/>
    </row>
    <row r="81391" spans="1:6" x14ac:dyDescent="0.25">
      <c r="A81391"/>
      <c r="B81391"/>
      <c r="C81391"/>
      <c r="E81391"/>
      <c r="F81391"/>
    </row>
    <row r="81392" spans="1:6" x14ac:dyDescent="0.25">
      <c r="A81392"/>
      <c r="B81392"/>
      <c r="C81392"/>
      <c r="E81392"/>
      <c r="F81392"/>
    </row>
    <row r="81393" spans="1:6" x14ac:dyDescent="0.25">
      <c r="A81393"/>
      <c r="B81393"/>
      <c r="C81393"/>
      <c r="E81393"/>
      <c r="F81393"/>
    </row>
    <row r="81394" spans="1:6" x14ac:dyDescent="0.25">
      <c r="A81394"/>
      <c r="B81394"/>
      <c r="C81394"/>
      <c r="E81394"/>
      <c r="F81394"/>
    </row>
    <row r="81395" spans="1:6" x14ac:dyDescent="0.25">
      <c r="A81395"/>
      <c r="B81395"/>
      <c r="C81395"/>
      <c r="E81395"/>
      <c r="F81395"/>
    </row>
    <row r="81396" spans="1:6" x14ac:dyDescent="0.25">
      <c r="A81396"/>
      <c r="B81396"/>
      <c r="C81396"/>
      <c r="E81396"/>
      <c r="F81396"/>
    </row>
    <row r="81397" spans="1:6" x14ac:dyDescent="0.25">
      <c r="A81397"/>
      <c r="B81397"/>
      <c r="C81397"/>
      <c r="E81397"/>
      <c r="F81397"/>
    </row>
    <row r="81398" spans="1:6" x14ac:dyDescent="0.25">
      <c r="A81398"/>
      <c r="B81398"/>
      <c r="C81398"/>
      <c r="E81398"/>
      <c r="F81398"/>
    </row>
    <row r="81399" spans="1:6" x14ac:dyDescent="0.25">
      <c r="A81399"/>
      <c r="B81399"/>
      <c r="C81399"/>
      <c r="E81399"/>
      <c r="F81399"/>
    </row>
    <row r="81400" spans="1:6" x14ac:dyDescent="0.25">
      <c r="A81400"/>
      <c r="B81400"/>
      <c r="C81400"/>
      <c r="E81400"/>
      <c r="F81400"/>
    </row>
    <row r="81401" spans="1:6" x14ac:dyDescent="0.25">
      <c r="A81401"/>
      <c r="B81401"/>
      <c r="C81401"/>
      <c r="E81401"/>
      <c r="F81401"/>
    </row>
    <row r="81402" spans="1:6" x14ac:dyDescent="0.25">
      <c r="A81402"/>
      <c r="B81402"/>
      <c r="C81402"/>
      <c r="E81402"/>
      <c r="F81402"/>
    </row>
    <row r="81403" spans="1:6" x14ac:dyDescent="0.25">
      <c r="A81403"/>
      <c r="B81403"/>
      <c r="C81403"/>
      <c r="E81403"/>
      <c r="F81403"/>
    </row>
    <row r="81404" spans="1:6" x14ac:dyDescent="0.25">
      <c r="A81404"/>
      <c r="B81404"/>
      <c r="C81404"/>
      <c r="E81404"/>
      <c r="F81404"/>
    </row>
    <row r="81405" spans="1:6" x14ac:dyDescent="0.25">
      <c r="A81405"/>
      <c r="B81405"/>
      <c r="C81405"/>
      <c r="E81405"/>
      <c r="F81405"/>
    </row>
    <row r="81406" spans="1:6" x14ac:dyDescent="0.25">
      <c r="A81406"/>
      <c r="B81406"/>
      <c r="C81406"/>
      <c r="E81406"/>
      <c r="F81406"/>
    </row>
    <row r="81407" spans="1:6" x14ac:dyDescent="0.25">
      <c r="A81407"/>
      <c r="B81407"/>
      <c r="C81407"/>
      <c r="E81407"/>
      <c r="F81407"/>
    </row>
    <row r="81408" spans="1:6" x14ac:dyDescent="0.25">
      <c r="A81408"/>
      <c r="B81408"/>
      <c r="C81408"/>
      <c r="E81408"/>
      <c r="F81408"/>
    </row>
    <row r="81409" spans="1:6" x14ac:dyDescent="0.25">
      <c r="A81409"/>
      <c r="B81409"/>
      <c r="C81409"/>
      <c r="E81409"/>
      <c r="F81409"/>
    </row>
    <row r="81410" spans="1:6" x14ac:dyDescent="0.25">
      <c r="A81410"/>
      <c r="B81410"/>
      <c r="C81410"/>
      <c r="E81410"/>
      <c r="F81410"/>
    </row>
    <row r="81411" spans="1:6" x14ac:dyDescent="0.25">
      <c r="A81411"/>
      <c r="B81411"/>
      <c r="C81411"/>
      <c r="E81411"/>
      <c r="F81411"/>
    </row>
    <row r="81412" spans="1:6" x14ac:dyDescent="0.25">
      <c r="A81412"/>
      <c r="B81412"/>
      <c r="C81412"/>
      <c r="E81412"/>
      <c r="F81412"/>
    </row>
    <row r="81413" spans="1:6" x14ac:dyDescent="0.25">
      <c r="A81413"/>
      <c r="B81413"/>
      <c r="C81413"/>
      <c r="E81413"/>
      <c r="F81413"/>
    </row>
    <row r="81414" spans="1:6" x14ac:dyDescent="0.25">
      <c r="A81414"/>
      <c r="B81414"/>
      <c r="C81414"/>
      <c r="E81414"/>
      <c r="F81414"/>
    </row>
    <row r="81415" spans="1:6" x14ac:dyDescent="0.25">
      <c r="A81415"/>
      <c r="B81415"/>
      <c r="C81415"/>
      <c r="E81415"/>
      <c r="F81415"/>
    </row>
    <row r="81416" spans="1:6" x14ac:dyDescent="0.25">
      <c r="A81416"/>
      <c r="B81416"/>
      <c r="C81416"/>
      <c r="E81416"/>
      <c r="F81416"/>
    </row>
    <row r="81417" spans="1:6" x14ac:dyDescent="0.25">
      <c r="A81417"/>
      <c r="B81417"/>
      <c r="C81417"/>
      <c r="E81417"/>
      <c r="F81417"/>
    </row>
    <row r="81418" spans="1:6" x14ac:dyDescent="0.25">
      <c r="A81418"/>
      <c r="B81418"/>
      <c r="C81418"/>
      <c r="E81418"/>
      <c r="F81418"/>
    </row>
    <row r="81419" spans="1:6" x14ac:dyDescent="0.25">
      <c r="A81419"/>
      <c r="B81419"/>
      <c r="C81419"/>
      <c r="E81419"/>
      <c r="F81419"/>
    </row>
    <row r="81420" spans="1:6" x14ac:dyDescent="0.25">
      <c r="A81420"/>
      <c r="B81420"/>
      <c r="C81420"/>
      <c r="E81420"/>
      <c r="F81420"/>
    </row>
    <row r="81421" spans="1:6" x14ac:dyDescent="0.25">
      <c r="A81421"/>
      <c r="B81421"/>
      <c r="C81421"/>
      <c r="E81421"/>
      <c r="F81421"/>
    </row>
    <row r="81422" spans="1:6" x14ac:dyDescent="0.25">
      <c r="A81422"/>
      <c r="B81422"/>
      <c r="C81422"/>
      <c r="E81422"/>
      <c r="F81422"/>
    </row>
    <row r="81423" spans="1:6" x14ac:dyDescent="0.25">
      <c r="A81423"/>
      <c r="B81423"/>
      <c r="C81423"/>
      <c r="E81423"/>
      <c r="F81423"/>
    </row>
    <row r="81424" spans="1:6" x14ac:dyDescent="0.25">
      <c r="A81424"/>
      <c r="B81424"/>
      <c r="C81424"/>
      <c r="E81424"/>
      <c r="F81424"/>
    </row>
    <row r="81425" spans="1:6" x14ac:dyDescent="0.25">
      <c r="A81425"/>
      <c r="B81425"/>
      <c r="C81425"/>
      <c r="E81425"/>
      <c r="F81425"/>
    </row>
    <row r="81426" spans="1:6" x14ac:dyDescent="0.25">
      <c r="A81426"/>
      <c r="B81426"/>
      <c r="C81426"/>
      <c r="E81426"/>
      <c r="F81426"/>
    </row>
    <row r="81427" spans="1:6" x14ac:dyDescent="0.25">
      <c r="A81427"/>
      <c r="B81427"/>
      <c r="C81427"/>
      <c r="E81427"/>
      <c r="F81427"/>
    </row>
    <row r="81428" spans="1:6" x14ac:dyDescent="0.25">
      <c r="A81428"/>
      <c r="B81428"/>
      <c r="C81428"/>
      <c r="E81428"/>
      <c r="F81428"/>
    </row>
    <row r="81429" spans="1:6" x14ac:dyDescent="0.25">
      <c r="A81429"/>
      <c r="B81429"/>
      <c r="C81429"/>
      <c r="E81429"/>
      <c r="F81429"/>
    </row>
    <row r="81430" spans="1:6" x14ac:dyDescent="0.25">
      <c r="A81430"/>
      <c r="B81430"/>
      <c r="C81430"/>
      <c r="E81430"/>
      <c r="F81430"/>
    </row>
    <row r="81431" spans="1:6" x14ac:dyDescent="0.25">
      <c r="A81431"/>
      <c r="B81431"/>
      <c r="C81431"/>
      <c r="E81431"/>
      <c r="F81431"/>
    </row>
    <row r="81432" spans="1:6" x14ac:dyDescent="0.25">
      <c r="A81432"/>
      <c r="B81432"/>
      <c r="C81432"/>
      <c r="E81432"/>
      <c r="F81432"/>
    </row>
    <row r="81433" spans="1:6" x14ac:dyDescent="0.25">
      <c r="A81433"/>
      <c r="B81433"/>
      <c r="C81433"/>
      <c r="E81433"/>
      <c r="F81433"/>
    </row>
    <row r="81434" spans="1:6" x14ac:dyDescent="0.25">
      <c r="A81434"/>
      <c r="B81434"/>
      <c r="C81434"/>
      <c r="E81434"/>
      <c r="F81434"/>
    </row>
    <row r="81435" spans="1:6" x14ac:dyDescent="0.25">
      <c r="A81435"/>
      <c r="B81435"/>
      <c r="C81435"/>
      <c r="E81435"/>
      <c r="F81435"/>
    </row>
    <row r="81436" spans="1:6" x14ac:dyDescent="0.25">
      <c r="A81436"/>
      <c r="B81436"/>
      <c r="C81436"/>
      <c r="E81436"/>
      <c r="F81436"/>
    </row>
    <row r="81437" spans="1:6" x14ac:dyDescent="0.25">
      <c r="A81437"/>
      <c r="B81437"/>
      <c r="C81437"/>
      <c r="E81437"/>
      <c r="F81437"/>
    </row>
    <row r="81438" spans="1:6" x14ac:dyDescent="0.25">
      <c r="A81438"/>
      <c r="B81438"/>
      <c r="C81438"/>
      <c r="E81438"/>
      <c r="F81438"/>
    </row>
    <row r="81439" spans="1:6" x14ac:dyDescent="0.25">
      <c r="A81439"/>
      <c r="B81439"/>
      <c r="C81439"/>
      <c r="E81439"/>
      <c r="F81439"/>
    </row>
    <row r="81440" spans="1:6" x14ac:dyDescent="0.25">
      <c r="A81440"/>
      <c r="B81440"/>
      <c r="C81440"/>
      <c r="E81440"/>
      <c r="F81440"/>
    </row>
    <row r="81441" spans="1:6" x14ac:dyDescent="0.25">
      <c r="A81441"/>
      <c r="B81441"/>
      <c r="C81441"/>
      <c r="E81441"/>
      <c r="F81441"/>
    </row>
    <row r="81442" spans="1:6" x14ac:dyDescent="0.25">
      <c r="A81442"/>
      <c r="B81442"/>
      <c r="C81442"/>
      <c r="E81442"/>
      <c r="F81442"/>
    </row>
    <row r="81443" spans="1:6" x14ac:dyDescent="0.25">
      <c r="A81443"/>
      <c r="B81443"/>
      <c r="C81443"/>
      <c r="E81443"/>
      <c r="F81443"/>
    </row>
    <row r="81444" spans="1:6" x14ac:dyDescent="0.25">
      <c r="A81444"/>
      <c r="B81444"/>
      <c r="C81444"/>
      <c r="E81444"/>
      <c r="F81444"/>
    </row>
    <row r="81445" spans="1:6" x14ac:dyDescent="0.25">
      <c r="A81445"/>
      <c r="B81445"/>
      <c r="C81445"/>
      <c r="E81445"/>
      <c r="F81445"/>
    </row>
    <row r="81446" spans="1:6" x14ac:dyDescent="0.25">
      <c r="A81446"/>
      <c r="B81446"/>
      <c r="C81446"/>
      <c r="E81446"/>
      <c r="F81446"/>
    </row>
    <row r="81447" spans="1:6" x14ac:dyDescent="0.25">
      <c r="A81447"/>
      <c r="B81447"/>
      <c r="C81447"/>
      <c r="E81447"/>
      <c r="F81447"/>
    </row>
    <row r="81448" spans="1:6" x14ac:dyDescent="0.25">
      <c r="A81448"/>
      <c r="B81448"/>
      <c r="C81448"/>
      <c r="E81448"/>
      <c r="F81448"/>
    </row>
    <row r="81449" spans="1:6" x14ac:dyDescent="0.25">
      <c r="A81449"/>
      <c r="B81449"/>
      <c r="C81449"/>
      <c r="E81449"/>
      <c r="F81449"/>
    </row>
    <row r="81450" spans="1:6" x14ac:dyDescent="0.25">
      <c r="A81450"/>
      <c r="B81450"/>
      <c r="C81450"/>
      <c r="E81450"/>
      <c r="F81450"/>
    </row>
    <row r="81451" spans="1:6" x14ac:dyDescent="0.25">
      <c r="A81451"/>
      <c r="B81451"/>
      <c r="C81451"/>
      <c r="E81451"/>
      <c r="F81451"/>
    </row>
    <row r="81452" spans="1:6" x14ac:dyDescent="0.25">
      <c r="A81452"/>
      <c r="B81452"/>
      <c r="C81452"/>
      <c r="E81452"/>
      <c r="F81452"/>
    </row>
    <row r="81453" spans="1:6" x14ac:dyDescent="0.25">
      <c r="A81453"/>
      <c r="B81453"/>
      <c r="C81453"/>
      <c r="E81453"/>
      <c r="F81453"/>
    </row>
    <row r="81454" spans="1:6" x14ac:dyDescent="0.25">
      <c r="A81454"/>
      <c r="B81454"/>
      <c r="C81454"/>
      <c r="E81454"/>
      <c r="F81454"/>
    </row>
    <row r="81455" spans="1:6" x14ac:dyDescent="0.25">
      <c r="A81455"/>
      <c r="B81455"/>
      <c r="C81455"/>
      <c r="E81455"/>
      <c r="F81455"/>
    </row>
    <row r="81456" spans="1:6" x14ac:dyDescent="0.25">
      <c r="A81456"/>
      <c r="B81456"/>
      <c r="C81456"/>
      <c r="E81456"/>
      <c r="F81456"/>
    </row>
    <row r="81457" spans="1:6" x14ac:dyDescent="0.25">
      <c r="A81457"/>
      <c r="B81457"/>
      <c r="C81457"/>
      <c r="E81457"/>
      <c r="F81457"/>
    </row>
    <row r="81458" spans="1:6" x14ac:dyDescent="0.25">
      <c r="A81458"/>
      <c r="B81458"/>
      <c r="C81458"/>
      <c r="E81458"/>
      <c r="F81458"/>
    </row>
    <row r="81459" spans="1:6" x14ac:dyDescent="0.25">
      <c r="A81459"/>
      <c r="B81459"/>
      <c r="C81459"/>
      <c r="E81459"/>
      <c r="F81459"/>
    </row>
    <row r="81460" spans="1:6" x14ac:dyDescent="0.25">
      <c r="A81460"/>
      <c r="B81460"/>
      <c r="C81460"/>
      <c r="E81460"/>
      <c r="F81460"/>
    </row>
    <row r="81461" spans="1:6" x14ac:dyDescent="0.25">
      <c r="A81461"/>
      <c r="B81461"/>
      <c r="C81461"/>
      <c r="E81461"/>
      <c r="F81461"/>
    </row>
    <row r="81462" spans="1:6" x14ac:dyDescent="0.25">
      <c r="A81462"/>
      <c r="B81462"/>
      <c r="C81462"/>
      <c r="E81462"/>
      <c r="F81462"/>
    </row>
    <row r="81463" spans="1:6" x14ac:dyDescent="0.25">
      <c r="A81463"/>
      <c r="B81463"/>
      <c r="C81463"/>
      <c r="E81463"/>
      <c r="F81463"/>
    </row>
    <row r="81464" spans="1:6" x14ac:dyDescent="0.25">
      <c r="A81464"/>
      <c r="B81464"/>
      <c r="C81464"/>
      <c r="E81464"/>
      <c r="F81464"/>
    </row>
    <row r="81465" spans="1:6" x14ac:dyDescent="0.25">
      <c r="A81465"/>
      <c r="B81465"/>
      <c r="C81465"/>
      <c r="E81465"/>
      <c r="F81465"/>
    </row>
    <row r="81466" spans="1:6" x14ac:dyDescent="0.25">
      <c r="A81466"/>
      <c r="B81466"/>
      <c r="C81466"/>
      <c r="E81466"/>
      <c r="F81466"/>
    </row>
    <row r="81467" spans="1:6" x14ac:dyDescent="0.25">
      <c r="A81467"/>
      <c r="B81467"/>
      <c r="C81467"/>
      <c r="E81467"/>
      <c r="F81467"/>
    </row>
    <row r="81468" spans="1:6" x14ac:dyDescent="0.25">
      <c r="A81468"/>
      <c r="B81468"/>
      <c r="C81468"/>
      <c r="E81468"/>
      <c r="F81468"/>
    </row>
    <row r="81469" spans="1:6" x14ac:dyDescent="0.25">
      <c r="A81469"/>
      <c r="B81469"/>
      <c r="C81469"/>
      <c r="E81469"/>
      <c r="F81469"/>
    </row>
    <row r="81470" spans="1:6" x14ac:dyDescent="0.25">
      <c r="A81470"/>
      <c r="B81470"/>
      <c r="C81470"/>
      <c r="E81470"/>
      <c r="F81470"/>
    </row>
    <row r="81471" spans="1:6" x14ac:dyDescent="0.25">
      <c r="A81471"/>
      <c r="B81471"/>
      <c r="C81471"/>
      <c r="E81471"/>
      <c r="F81471"/>
    </row>
    <row r="81472" spans="1:6" x14ac:dyDescent="0.25">
      <c r="A81472"/>
      <c r="B81472"/>
      <c r="C81472"/>
      <c r="E81472"/>
      <c r="F81472"/>
    </row>
    <row r="81473" spans="1:6" x14ac:dyDescent="0.25">
      <c r="A81473"/>
      <c r="B81473"/>
      <c r="C81473"/>
      <c r="E81473"/>
      <c r="F81473"/>
    </row>
    <row r="81474" spans="1:6" x14ac:dyDescent="0.25">
      <c r="A81474"/>
      <c r="B81474"/>
      <c r="C81474"/>
      <c r="E81474"/>
      <c r="F81474"/>
    </row>
    <row r="81475" spans="1:6" x14ac:dyDescent="0.25">
      <c r="A81475"/>
      <c r="B81475"/>
      <c r="C81475"/>
      <c r="E81475"/>
      <c r="F81475"/>
    </row>
    <row r="81476" spans="1:6" x14ac:dyDescent="0.25">
      <c r="A81476"/>
      <c r="B81476"/>
      <c r="C81476"/>
      <c r="E81476"/>
      <c r="F81476"/>
    </row>
    <row r="81477" spans="1:6" x14ac:dyDescent="0.25">
      <c r="A81477"/>
      <c r="B81477"/>
      <c r="C81477"/>
      <c r="E81477"/>
      <c r="F81477"/>
    </row>
    <row r="81478" spans="1:6" x14ac:dyDescent="0.25">
      <c r="A81478"/>
      <c r="B81478"/>
      <c r="C81478"/>
      <c r="E81478"/>
      <c r="F81478"/>
    </row>
    <row r="81479" spans="1:6" x14ac:dyDescent="0.25">
      <c r="A81479"/>
      <c r="B81479"/>
      <c r="C81479"/>
      <c r="E81479"/>
      <c r="F81479"/>
    </row>
    <row r="81480" spans="1:6" x14ac:dyDescent="0.25">
      <c r="A81480"/>
      <c r="B81480"/>
      <c r="C81480"/>
      <c r="E81480"/>
      <c r="F81480"/>
    </row>
    <row r="81481" spans="1:6" x14ac:dyDescent="0.25">
      <c r="A81481"/>
      <c r="B81481"/>
      <c r="C81481"/>
      <c r="E81481"/>
      <c r="F81481"/>
    </row>
    <row r="81482" spans="1:6" x14ac:dyDescent="0.25">
      <c r="A81482"/>
      <c r="B81482"/>
      <c r="C81482"/>
      <c r="E81482"/>
      <c r="F81482"/>
    </row>
    <row r="81483" spans="1:6" x14ac:dyDescent="0.25">
      <c r="A81483"/>
      <c r="B81483"/>
      <c r="C81483"/>
      <c r="E81483"/>
      <c r="F81483"/>
    </row>
    <row r="81484" spans="1:6" x14ac:dyDescent="0.25">
      <c r="A81484"/>
      <c r="B81484"/>
      <c r="C81484"/>
      <c r="E81484"/>
      <c r="F81484"/>
    </row>
    <row r="81485" spans="1:6" x14ac:dyDescent="0.25">
      <c r="A81485"/>
      <c r="B81485"/>
      <c r="C81485"/>
      <c r="E81485"/>
      <c r="F81485"/>
    </row>
    <row r="81486" spans="1:6" x14ac:dyDescent="0.25">
      <c r="A81486"/>
      <c r="B81486"/>
      <c r="C81486"/>
      <c r="E81486"/>
      <c r="F81486"/>
    </row>
    <row r="81487" spans="1:6" x14ac:dyDescent="0.25">
      <c r="A81487"/>
      <c r="B81487"/>
      <c r="C81487"/>
      <c r="E81487"/>
      <c r="F81487"/>
    </row>
    <row r="81488" spans="1:6" x14ac:dyDescent="0.25">
      <c r="A81488"/>
      <c r="B81488"/>
      <c r="C81488"/>
      <c r="E81488"/>
      <c r="F81488"/>
    </row>
    <row r="81489" spans="1:6" x14ac:dyDescent="0.25">
      <c r="A81489"/>
      <c r="B81489"/>
      <c r="C81489"/>
      <c r="E81489"/>
      <c r="F81489"/>
    </row>
    <row r="81490" spans="1:6" x14ac:dyDescent="0.25">
      <c r="A81490"/>
      <c r="B81490"/>
      <c r="C81490"/>
      <c r="E81490"/>
      <c r="F81490"/>
    </row>
    <row r="81491" spans="1:6" x14ac:dyDescent="0.25">
      <c r="A81491"/>
      <c r="B81491"/>
      <c r="C81491"/>
      <c r="E81491"/>
      <c r="F81491"/>
    </row>
    <row r="81492" spans="1:6" x14ac:dyDescent="0.25">
      <c r="A81492"/>
      <c r="B81492"/>
      <c r="C81492"/>
      <c r="E81492"/>
      <c r="F81492"/>
    </row>
    <row r="81493" spans="1:6" x14ac:dyDescent="0.25">
      <c r="A81493"/>
      <c r="B81493"/>
      <c r="C81493"/>
      <c r="E81493"/>
      <c r="F81493"/>
    </row>
    <row r="81494" spans="1:6" x14ac:dyDescent="0.25">
      <c r="A81494"/>
      <c r="B81494"/>
      <c r="C81494"/>
      <c r="E81494"/>
      <c r="F81494"/>
    </row>
    <row r="81495" spans="1:6" x14ac:dyDescent="0.25">
      <c r="A81495"/>
      <c r="B81495"/>
      <c r="C81495"/>
      <c r="E81495"/>
      <c r="F81495"/>
    </row>
    <row r="81496" spans="1:6" x14ac:dyDescent="0.25">
      <c r="A81496"/>
      <c r="B81496"/>
      <c r="C81496"/>
      <c r="E81496"/>
      <c r="F81496"/>
    </row>
    <row r="81497" spans="1:6" x14ac:dyDescent="0.25">
      <c r="A81497"/>
      <c r="B81497"/>
      <c r="C81497"/>
      <c r="E81497"/>
      <c r="F81497"/>
    </row>
    <row r="81498" spans="1:6" x14ac:dyDescent="0.25">
      <c r="A81498"/>
      <c r="B81498"/>
      <c r="C81498"/>
      <c r="E81498"/>
      <c r="F81498"/>
    </row>
    <row r="81499" spans="1:6" x14ac:dyDescent="0.25">
      <c r="A81499"/>
      <c r="B81499"/>
      <c r="C81499"/>
      <c r="E81499"/>
      <c r="F81499"/>
    </row>
    <row r="81500" spans="1:6" x14ac:dyDescent="0.25">
      <c r="A81500"/>
      <c r="B81500"/>
      <c r="C81500"/>
      <c r="E81500"/>
      <c r="F81500"/>
    </row>
    <row r="81501" spans="1:6" x14ac:dyDescent="0.25">
      <c r="A81501"/>
      <c r="B81501"/>
      <c r="C81501"/>
      <c r="E81501"/>
      <c r="F81501"/>
    </row>
    <row r="81502" spans="1:6" x14ac:dyDescent="0.25">
      <c r="A81502"/>
      <c r="B81502"/>
      <c r="C81502"/>
      <c r="E81502"/>
      <c r="F81502"/>
    </row>
    <row r="81503" spans="1:6" x14ac:dyDescent="0.25">
      <c r="A81503"/>
      <c r="B81503"/>
      <c r="C81503"/>
      <c r="E81503"/>
      <c r="F81503"/>
    </row>
    <row r="81504" spans="1:6" x14ac:dyDescent="0.25">
      <c r="A81504"/>
      <c r="B81504"/>
      <c r="C81504"/>
      <c r="E81504"/>
      <c r="F81504"/>
    </row>
    <row r="81505" spans="1:6" x14ac:dyDescent="0.25">
      <c r="A81505"/>
      <c r="B81505"/>
      <c r="C81505"/>
      <c r="E81505"/>
      <c r="F81505"/>
    </row>
    <row r="81506" spans="1:6" x14ac:dyDescent="0.25">
      <c r="A81506"/>
      <c r="B81506"/>
      <c r="C81506"/>
      <c r="E81506"/>
      <c r="F81506"/>
    </row>
    <row r="81507" spans="1:6" x14ac:dyDescent="0.25">
      <c r="A81507"/>
      <c r="B81507"/>
      <c r="C81507"/>
      <c r="E81507"/>
      <c r="F81507"/>
    </row>
    <row r="81508" spans="1:6" x14ac:dyDescent="0.25">
      <c r="A81508"/>
      <c r="B81508"/>
      <c r="C81508"/>
      <c r="E81508"/>
      <c r="F81508"/>
    </row>
    <row r="81509" spans="1:6" x14ac:dyDescent="0.25">
      <c r="A81509"/>
      <c r="B81509"/>
      <c r="C81509"/>
      <c r="E81509"/>
      <c r="F81509"/>
    </row>
    <row r="81510" spans="1:6" x14ac:dyDescent="0.25">
      <c r="A81510"/>
      <c r="B81510"/>
      <c r="C81510"/>
      <c r="E81510"/>
      <c r="F81510"/>
    </row>
    <row r="81511" spans="1:6" x14ac:dyDescent="0.25">
      <c r="A81511"/>
      <c r="B81511"/>
      <c r="C81511"/>
      <c r="E81511"/>
      <c r="F81511"/>
    </row>
    <row r="81512" spans="1:6" x14ac:dyDescent="0.25">
      <c r="A81512"/>
      <c r="B81512"/>
      <c r="C81512"/>
      <c r="E81512"/>
      <c r="F81512"/>
    </row>
    <row r="81513" spans="1:6" x14ac:dyDescent="0.25">
      <c r="A81513"/>
      <c r="B81513"/>
      <c r="C81513"/>
      <c r="E81513"/>
      <c r="F81513"/>
    </row>
    <row r="81514" spans="1:6" x14ac:dyDescent="0.25">
      <c r="A81514"/>
      <c r="B81514"/>
      <c r="C81514"/>
      <c r="E81514"/>
      <c r="F81514"/>
    </row>
    <row r="81515" spans="1:6" x14ac:dyDescent="0.25">
      <c r="A81515"/>
      <c r="B81515"/>
      <c r="C81515"/>
      <c r="E81515"/>
      <c r="F81515"/>
    </row>
    <row r="81516" spans="1:6" x14ac:dyDescent="0.25">
      <c r="A81516"/>
      <c r="B81516"/>
      <c r="C81516"/>
      <c r="E81516"/>
      <c r="F81516"/>
    </row>
    <row r="81517" spans="1:6" x14ac:dyDescent="0.25">
      <c r="A81517"/>
      <c r="B81517"/>
      <c r="C81517"/>
      <c r="E81517"/>
      <c r="F81517"/>
    </row>
    <row r="81518" spans="1:6" x14ac:dyDescent="0.25">
      <c r="A81518"/>
      <c r="B81518"/>
      <c r="C81518"/>
      <c r="E81518"/>
      <c r="F81518"/>
    </row>
    <row r="81519" spans="1:6" x14ac:dyDescent="0.25">
      <c r="A81519"/>
      <c r="B81519"/>
      <c r="C81519"/>
      <c r="E81519"/>
      <c r="F81519"/>
    </row>
    <row r="81520" spans="1:6" x14ac:dyDescent="0.25">
      <c r="A81520"/>
      <c r="B81520"/>
      <c r="C81520"/>
      <c r="E81520"/>
      <c r="F81520"/>
    </row>
    <row r="81521" spans="1:6" x14ac:dyDescent="0.25">
      <c r="A81521"/>
      <c r="B81521"/>
      <c r="C81521"/>
      <c r="E81521"/>
      <c r="F81521"/>
    </row>
    <row r="81522" spans="1:6" x14ac:dyDescent="0.25">
      <c r="A81522"/>
      <c r="B81522"/>
      <c r="C81522"/>
      <c r="E81522"/>
      <c r="F81522"/>
    </row>
    <row r="81523" spans="1:6" x14ac:dyDescent="0.25">
      <c r="A81523"/>
      <c r="B81523"/>
      <c r="C81523"/>
      <c r="E81523"/>
      <c r="F81523"/>
    </row>
    <row r="81524" spans="1:6" x14ac:dyDescent="0.25">
      <c r="A81524"/>
      <c r="B81524"/>
      <c r="C81524"/>
      <c r="E81524"/>
      <c r="F81524"/>
    </row>
    <row r="81525" spans="1:6" x14ac:dyDescent="0.25">
      <c r="A81525"/>
      <c r="B81525"/>
      <c r="C81525"/>
      <c r="E81525"/>
      <c r="F81525"/>
    </row>
    <row r="81526" spans="1:6" x14ac:dyDescent="0.25">
      <c r="A81526"/>
      <c r="B81526"/>
      <c r="C81526"/>
      <c r="E81526"/>
      <c r="F81526"/>
    </row>
    <row r="81527" spans="1:6" x14ac:dyDescent="0.25">
      <c r="A81527"/>
      <c r="B81527"/>
      <c r="C81527"/>
      <c r="E81527"/>
      <c r="F81527"/>
    </row>
    <row r="81528" spans="1:6" x14ac:dyDescent="0.25">
      <c r="A81528"/>
      <c r="B81528"/>
      <c r="C81528"/>
      <c r="E81528"/>
      <c r="F81528"/>
    </row>
    <row r="81529" spans="1:6" x14ac:dyDescent="0.25">
      <c r="A81529"/>
      <c r="B81529"/>
      <c r="C81529"/>
      <c r="E81529"/>
      <c r="F81529"/>
    </row>
    <row r="81530" spans="1:6" x14ac:dyDescent="0.25">
      <c r="A81530"/>
      <c r="B81530"/>
      <c r="C81530"/>
      <c r="E81530"/>
      <c r="F81530"/>
    </row>
    <row r="81531" spans="1:6" x14ac:dyDescent="0.25">
      <c r="A81531"/>
      <c r="B81531"/>
      <c r="C81531"/>
      <c r="E81531"/>
      <c r="F81531"/>
    </row>
    <row r="81532" spans="1:6" x14ac:dyDescent="0.25">
      <c r="A81532"/>
      <c r="B81532"/>
      <c r="C81532"/>
      <c r="E81532"/>
      <c r="F81532"/>
    </row>
    <row r="81533" spans="1:6" x14ac:dyDescent="0.25">
      <c r="A81533"/>
      <c r="B81533"/>
      <c r="C81533"/>
      <c r="E81533"/>
      <c r="F81533"/>
    </row>
    <row r="81534" spans="1:6" x14ac:dyDescent="0.25">
      <c r="A81534"/>
      <c r="B81534"/>
      <c r="C81534"/>
      <c r="E81534"/>
      <c r="F81534"/>
    </row>
    <row r="81535" spans="1:6" x14ac:dyDescent="0.25">
      <c r="A81535"/>
      <c r="B81535"/>
      <c r="C81535"/>
      <c r="E81535"/>
      <c r="F81535"/>
    </row>
    <row r="81536" spans="1:6" x14ac:dyDescent="0.25">
      <c r="A81536"/>
      <c r="B81536"/>
      <c r="C81536"/>
      <c r="E81536"/>
      <c r="F81536"/>
    </row>
    <row r="81537" spans="1:6" x14ac:dyDescent="0.25">
      <c r="A81537"/>
      <c r="B81537"/>
      <c r="C81537"/>
      <c r="E81537"/>
      <c r="F81537"/>
    </row>
    <row r="81538" spans="1:6" x14ac:dyDescent="0.25">
      <c r="A81538"/>
      <c r="B81538"/>
      <c r="C81538"/>
      <c r="E81538"/>
      <c r="F81538"/>
    </row>
    <row r="81539" spans="1:6" x14ac:dyDescent="0.25">
      <c r="A81539"/>
      <c r="B81539"/>
      <c r="C81539"/>
      <c r="E81539"/>
      <c r="F81539"/>
    </row>
    <row r="81540" spans="1:6" x14ac:dyDescent="0.25">
      <c r="A81540"/>
      <c r="B81540"/>
      <c r="C81540"/>
      <c r="E81540"/>
      <c r="F81540"/>
    </row>
    <row r="81541" spans="1:6" x14ac:dyDescent="0.25">
      <c r="A81541"/>
      <c r="B81541"/>
      <c r="C81541"/>
      <c r="E81541"/>
      <c r="F81541"/>
    </row>
    <row r="81542" spans="1:6" x14ac:dyDescent="0.25">
      <c r="A81542"/>
      <c r="B81542"/>
      <c r="C81542"/>
      <c r="E81542"/>
      <c r="F81542"/>
    </row>
    <row r="81543" spans="1:6" x14ac:dyDescent="0.25">
      <c r="A81543"/>
      <c r="B81543"/>
      <c r="C81543"/>
      <c r="E81543"/>
      <c r="F81543"/>
    </row>
    <row r="81544" spans="1:6" x14ac:dyDescent="0.25">
      <c r="A81544"/>
      <c r="B81544"/>
      <c r="C81544"/>
      <c r="E81544"/>
      <c r="F81544"/>
    </row>
    <row r="81545" spans="1:6" x14ac:dyDescent="0.25">
      <c r="A81545"/>
      <c r="B81545"/>
      <c r="C81545"/>
      <c r="E81545"/>
      <c r="F81545"/>
    </row>
    <row r="81546" spans="1:6" x14ac:dyDescent="0.25">
      <c r="A81546"/>
      <c r="B81546"/>
      <c r="C81546"/>
      <c r="E81546"/>
      <c r="F81546"/>
    </row>
    <row r="81547" spans="1:6" x14ac:dyDescent="0.25">
      <c r="A81547"/>
      <c r="B81547"/>
      <c r="C81547"/>
      <c r="E81547"/>
      <c r="F81547"/>
    </row>
    <row r="81548" spans="1:6" x14ac:dyDescent="0.25">
      <c r="A81548"/>
      <c r="B81548"/>
      <c r="C81548"/>
      <c r="E81548"/>
      <c r="F81548"/>
    </row>
    <row r="81549" spans="1:6" x14ac:dyDescent="0.25">
      <c r="A81549"/>
      <c r="B81549"/>
      <c r="C81549"/>
      <c r="E81549"/>
      <c r="F81549"/>
    </row>
    <row r="81550" spans="1:6" x14ac:dyDescent="0.25">
      <c r="A81550"/>
      <c r="B81550"/>
      <c r="C81550"/>
      <c r="E81550"/>
      <c r="F81550"/>
    </row>
    <row r="81551" spans="1:6" x14ac:dyDescent="0.25">
      <c r="A81551"/>
      <c r="B81551"/>
      <c r="C81551"/>
      <c r="E81551"/>
      <c r="F81551"/>
    </row>
    <row r="81552" spans="1:6" x14ac:dyDescent="0.25">
      <c r="A81552"/>
      <c r="B81552"/>
      <c r="C81552"/>
      <c r="E81552"/>
      <c r="F81552"/>
    </row>
    <row r="81553" spans="1:6" x14ac:dyDescent="0.25">
      <c r="A81553"/>
      <c r="B81553"/>
      <c r="C81553"/>
      <c r="E81553"/>
      <c r="F81553"/>
    </row>
    <row r="81554" spans="1:6" x14ac:dyDescent="0.25">
      <c r="A81554"/>
      <c r="B81554"/>
      <c r="C81554"/>
      <c r="E81554"/>
      <c r="F81554"/>
    </row>
    <row r="81555" spans="1:6" x14ac:dyDescent="0.25">
      <c r="A81555"/>
      <c r="B81555"/>
      <c r="C81555"/>
      <c r="E81555"/>
      <c r="F81555"/>
    </row>
    <row r="81556" spans="1:6" x14ac:dyDescent="0.25">
      <c r="A81556"/>
      <c r="B81556"/>
      <c r="C81556"/>
      <c r="E81556"/>
      <c r="F81556"/>
    </row>
    <row r="81557" spans="1:6" x14ac:dyDescent="0.25">
      <c r="A81557"/>
      <c r="B81557"/>
      <c r="C81557"/>
      <c r="E81557"/>
      <c r="F81557"/>
    </row>
    <row r="81558" spans="1:6" x14ac:dyDescent="0.25">
      <c r="A81558"/>
      <c r="B81558"/>
      <c r="C81558"/>
      <c r="E81558"/>
      <c r="F81558"/>
    </row>
    <row r="81559" spans="1:6" x14ac:dyDescent="0.25">
      <c r="A81559"/>
      <c r="B81559"/>
      <c r="C81559"/>
      <c r="E81559"/>
      <c r="F81559"/>
    </row>
    <row r="81560" spans="1:6" x14ac:dyDescent="0.25">
      <c r="A81560"/>
      <c r="B81560"/>
      <c r="C81560"/>
      <c r="E81560"/>
      <c r="F81560"/>
    </row>
    <row r="81561" spans="1:6" x14ac:dyDescent="0.25">
      <c r="A81561"/>
      <c r="B81561"/>
      <c r="C81561"/>
      <c r="E81561"/>
      <c r="F81561"/>
    </row>
    <row r="81562" spans="1:6" x14ac:dyDescent="0.25">
      <c r="A81562"/>
      <c r="B81562"/>
      <c r="C81562"/>
      <c r="E81562"/>
      <c r="F81562"/>
    </row>
    <row r="81563" spans="1:6" x14ac:dyDescent="0.25">
      <c r="A81563"/>
      <c r="B81563"/>
      <c r="C81563"/>
      <c r="E81563"/>
      <c r="F81563"/>
    </row>
    <row r="81564" spans="1:6" x14ac:dyDescent="0.25">
      <c r="A81564"/>
      <c r="B81564"/>
      <c r="C81564"/>
      <c r="E81564"/>
      <c r="F81564"/>
    </row>
    <row r="81565" spans="1:6" x14ac:dyDescent="0.25">
      <c r="A81565"/>
      <c r="B81565"/>
      <c r="C81565"/>
      <c r="E81565"/>
      <c r="F81565"/>
    </row>
    <row r="81566" spans="1:6" x14ac:dyDescent="0.25">
      <c r="A81566"/>
      <c r="B81566"/>
      <c r="C81566"/>
      <c r="E81566"/>
      <c r="F81566"/>
    </row>
    <row r="81567" spans="1:6" x14ac:dyDescent="0.25">
      <c r="A81567"/>
      <c r="B81567"/>
      <c r="C81567"/>
      <c r="E81567"/>
      <c r="F81567"/>
    </row>
    <row r="81568" spans="1:6" x14ac:dyDescent="0.25">
      <c r="A81568"/>
      <c r="B81568"/>
      <c r="C81568"/>
      <c r="E81568"/>
      <c r="F81568"/>
    </row>
    <row r="81569" spans="1:6" x14ac:dyDescent="0.25">
      <c r="A81569"/>
      <c r="B81569"/>
      <c r="C81569"/>
      <c r="E81569"/>
      <c r="F81569"/>
    </row>
    <row r="81570" spans="1:6" x14ac:dyDescent="0.25">
      <c r="A81570"/>
      <c r="B81570"/>
      <c r="C81570"/>
      <c r="E81570"/>
      <c r="F81570"/>
    </row>
    <row r="81571" spans="1:6" x14ac:dyDescent="0.25">
      <c r="A81571"/>
      <c r="B81571"/>
      <c r="C81571"/>
      <c r="E81571"/>
      <c r="F81571"/>
    </row>
    <row r="81572" spans="1:6" x14ac:dyDescent="0.25">
      <c r="A81572"/>
      <c r="B81572"/>
      <c r="C81572"/>
      <c r="E81572"/>
      <c r="F81572"/>
    </row>
    <row r="81573" spans="1:6" x14ac:dyDescent="0.25">
      <c r="A81573"/>
      <c r="B81573"/>
      <c r="C81573"/>
      <c r="E81573"/>
      <c r="F81573"/>
    </row>
    <row r="81574" spans="1:6" x14ac:dyDescent="0.25">
      <c r="A81574"/>
      <c r="B81574"/>
      <c r="C81574"/>
      <c r="E81574"/>
      <c r="F81574"/>
    </row>
    <row r="81575" spans="1:6" x14ac:dyDescent="0.25">
      <c r="A81575"/>
      <c r="B81575"/>
      <c r="C81575"/>
      <c r="E81575"/>
      <c r="F81575"/>
    </row>
    <row r="81576" spans="1:6" x14ac:dyDescent="0.25">
      <c r="A81576"/>
      <c r="B81576"/>
      <c r="C81576"/>
      <c r="E81576"/>
      <c r="F81576"/>
    </row>
    <row r="81577" spans="1:6" x14ac:dyDescent="0.25">
      <c r="A81577"/>
      <c r="B81577"/>
      <c r="C81577"/>
      <c r="E81577"/>
      <c r="F81577"/>
    </row>
    <row r="81578" spans="1:6" x14ac:dyDescent="0.25">
      <c r="A81578"/>
      <c r="B81578"/>
      <c r="C81578"/>
      <c r="E81578"/>
      <c r="F81578"/>
    </row>
    <row r="81579" spans="1:6" x14ac:dyDescent="0.25">
      <c r="A81579"/>
      <c r="B81579"/>
      <c r="C81579"/>
      <c r="E81579"/>
      <c r="F81579"/>
    </row>
    <row r="81580" spans="1:6" x14ac:dyDescent="0.25">
      <c r="A81580"/>
      <c r="B81580"/>
      <c r="C81580"/>
      <c r="E81580"/>
      <c r="F81580"/>
    </row>
    <row r="81581" spans="1:6" x14ac:dyDescent="0.25">
      <c r="A81581"/>
      <c r="B81581"/>
      <c r="C81581"/>
      <c r="E81581"/>
      <c r="F81581"/>
    </row>
    <row r="81582" spans="1:6" x14ac:dyDescent="0.25">
      <c r="A81582"/>
      <c r="B81582"/>
      <c r="C81582"/>
      <c r="E81582"/>
      <c r="F81582"/>
    </row>
    <row r="81583" spans="1:6" x14ac:dyDescent="0.25">
      <c r="A81583"/>
      <c r="B81583"/>
      <c r="C81583"/>
      <c r="E81583"/>
      <c r="F81583"/>
    </row>
    <row r="81584" spans="1:6" x14ac:dyDescent="0.25">
      <c r="A81584"/>
      <c r="B81584"/>
      <c r="C81584"/>
      <c r="E81584"/>
      <c r="F81584"/>
    </row>
    <row r="81585" spans="1:6" x14ac:dyDescent="0.25">
      <c r="A81585"/>
      <c r="B81585"/>
      <c r="C81585"/>
      <c r="E81585"/>
      <c r="F81585"/>
    </row>
    <row r="81586" spans="1:6" x14ac:dyDescent="0.25">
      <c r="A81586"/>
      <c r="B81586"/>
      <c r="C81586"/>
      <c r="E81586"/>
      <c r="F81586"/>
    </row>
    <row r="81587" spans="1:6" x14ac:dyDescent="0.25">
      <c r="A81587"/>
      <c r="B81587"/>
      <c r="C81587"/>
      <c r="E81587"/>
      <c r="F81587"/>
    </row>
    <row r="81588" spans="1:6" x14ac:dyDescent="0.25">
      <c r="A81588"/>
      <c r="B81588"/>
      <c r="C81588"/>
      <c r="E81588"/>
      <c r="F81588"/>
    </row>
    <row r="81589" spans="1:6" x14ac:dyDescent="0.25">
      <c r="A81589"/>
      <c r="B81589"/>
      <c r="C81589"/>
      <c r="E81589"/>
      <c r="F81589"/>
    </row>
    <row r="81590" spans="1:6" x14ac:dyDescent="0.25">
      <c r="A81590"/>
      <c r="B81590"/>
      <c r="C81590"/>
      <c r="E81590"/>
      <c r="F81590"/>
    </row>
    <row r="81591" spans="1:6" x14ac:dyDescent="0.25">
      <c r="A81591"/>
      <c r="B81591"/>
      <c r="C81591"/>
      <c r="E81591"/>
      <c r="F81591"/>
    </row>
    <row r="81592" spans="1:6" x14ac:dyDescent="0.25">
      <c r="A81592"/>
      <c r="B81592"/>
      <c r="C81592"/>
      <c r="E81592"/>
      <c r="F81592"/>
    </row>
    <row r="81593" spans="1:6" x14ac:dyDescent="0.25">
      <c r="A81593"/>
      <c r="B81593"/>
      <c r="C81593"/>
      <c r="E81593"/>
      <c r="F81593"/>
    </row>
    <row r="81594" spans="1:6" x14ac:dyDescent="0.25">
      <c r="A81594"/>
      <c r="B81594"/>
      <c r="C81594"/>
      <c r="E81594"/>
      <c r="F81594"/>
    </row>
    <row r="81595" spans="1:6" x14ac:dyDescent="0.25">
      <c r="A81595"/>
      <c r="B81595"/>
      <c r="C81595"/>
      <c r="E81595"/>
      <c r="F81595"/>
    </row>
    <row r="81596" spans="1:6" x14ac:dyDescent="0.25">
      <c r="A81596"/>
      <c r="B81596"/>
      <c r="C81596"/>
      <c r="E81596"/>
      <c r="F81596"/>
    </row>
    <row r="81597" spans="1:6" x14ac:dyDescent="0.25">
      <c r="A81597"/>
      <c r="B81597"/>
      <c r="C81597"/>
      <c r="E81597"/>
      <c r="F81597"/>
    </row>
    <row r="81598" spans="1:6" x14ac:dyDescent="0.25">
      <c r="A81598"/>
      <c r="B81598"/>
      <c r="C81598"/>
      <c r="E81598"/>
      <c r="F81598"/>
    </row>
    <row r="81599" spans="1:6" x14ac:dyDescent="0.25">
      <c r="A81599"/>
      <c r="B81599"/>
      <c r="C81599"/>
      <c r="E81599"/>
      <c r="F81599"/>
    </row>
    <row r="81600" spans="1:6" x14ac:dyDescent="0.25">
      <c r="A81600"/>
      <c r="B81600"/>
      <c r="C81600"/>
      <c r="E81600"/>
      <c r="F81600"/>
    </row>
    <row r="81601" spans="1:6" x14ac:dyDescent="0.25">
      <c r="A81601"/>
      <c r="B81601"/>
      <c r="C81601"/>
      <c r="E81601"/>
      <c r="F81601"/>
    </row>
    <row r="81602" spans="1:6" x14ac:dyDescent="0.25">
      <c r="A81602"/>
      <c r="B81602"/>
      <c r="C81602"/>
      <c r="E81602"/>
      <c r="F81602"/>
    </row>
    <row r="81603" spans="1:6" x14ac:dyDescent="0.25">
      <c r="A81603"/>
      <c r="B81603"/>
      <c r="C81603"/>
      <c r="E81603"/>
      <c r="F81603"/>
    </row>
    <row r="81604" spans="1:6" x14ac:dyDescent="0.25">
      <c r="A81604"/>
      <c r="B81604"/>
      <c r="C81604"/>
      <c r="E81604"/>
      <c r="F81604"/>
    </row>
    <row r="81605" spans="1:6" x14ac:dyDescent="0.25">
      <c r="A81605"/>
      <c r="B81605"/>
      <c r="C81605"/>
      <c r="E81605"/>
      <c r="F81605"/>
    </row>
    <row r="81606" spans="1:6" x14ac:dyDescent="0.25">
      <c r="A81606"/>
      <c r="B81606"/>
      <c r="C81606"/>
      <c r="E81606"/>
      <c r="F81606"/>
    </row>
    <row r="81607" spans="1:6" x14ac:dyDescent="0.25">
      <c r="A81607"/>
      <c r="B81607"/>
      <c r="C81607"/>
      <c r="E81607"/>
      <c r="F81607"/>
    </row>
    <row r="81608" spans="1:6" x14ac:dyDescent="0.25">
      <c r="A81608"/>
      <c r="B81608"/>
      <c r="C81608"/>
      <c r="E81608"/>
      <c r="F81608"/>
    </row>
    <row r="81609" spans="1:6" x14ac:dyDescent="0.25">
      <c r="A81609"/>
      <c r="B81609"/>
      <c r="C81609"/>
      <c r="E81609"/>
      <c r="F81609"/>
    </row>
    <row r="81610" spans="1:6" x14ac:dyDescent="0.25">
      <c r="A81610"/>
      <c r="B81610"/>
      <c r="C81610"/>
      <c r="E81610"/>
      <c r="F81610"/>
    </row>
    <row r="81611" spans="1:6" x14ac:dyDescent="0.25">
      <c r="A81611"/>
      <c r="B81611"/>
      <c r="C81611"/>
      <c r="E81611"/>
      <c r="F81611"/>
    </row>
    <row r="81612" spans="1:6" x14ac:dyDescent="0.25">
      <c r="A81612"/>
      <c r="B81612"/>
      <c r="C81612"/>
      <c r="E81612"/>
      <c r="F81612"/>
    </row>
    <row r="81613" spans="1:6" x14ac:dyDescent="0.25">
      <c r="A81613"/>
      <c r="B81613"/>
      <c r="C81613"/>
      <c r="E81613"/>
      <c r="F81613"/>
    </row>
    <row r="81614" spans="1:6" x14ac:dyDescent="0.25">
      <c r="A81614"/>
      <c r="B81614"/>
      <c r="C81614"/>
      <c r="E81614"/>
      <c r="F81614"/>
    </row>
    <row r="81615" spans="1:6" x14ac:dyDescent="0.25">
      <c r="A81615"/>
      <c r="B81615"/>
      <c r="C81615"/>
      <c r="E81615"/>
      <c r="F81615"/>
    </row>
    <row r="81616" spans="1:6" x14ac:dyDescent="0.25">
      <c r="A81616"/>
      <c r="B81616"/>
      <c r="C81616"/>
      <c r="E81616"/>
      <c r="F81616"/>
    </row>
    <row r="81617" spans="1:6" x14ac:dyDescent="0.25">
      <c r="A81617"/>
      <c r="B81617"/>
      <c r="C81617"/>
      <c r="E81617"/>
      <c r="F81617"/>
    </row>
    <row r="81618" spans="1:6" x14ac:dyDescent="0.25">
      <c r="A81618"/>
      <c r="B81618"/>
      <c r="C81618"/>
      <c r="E81618"/>
      <c r="F81618"/>
    </row>
    <row r="81619" spans="1:6" x14ac:dyDescent="0.25">
      <c r="A81619"/>
      <c r="B81619"/>
      <c r="C81619"/>
      <c r="E81619"/>
      <c r="F81619"/>
    </row>
    <row r="81620" spans="1:6" x14ac:dyDescent="0.25">
      <c r="A81620"/>
      <c r="B81620"/>
      <c r="C81620"/>
      <c r="E81620"/>
      <c r="F81620"/>
    </row>
    <row r="81621" spans="1:6" x14ac:dyDescent="0.25">
      <c r="A81621"/>
      <c r="B81621"/>
      <c r="C81621"/>
      <c r="E81621"/>
      <c r="F81621"/>
    </row>
    <row r="81622" spans="1:6" x14ac:dyDescent="0.25">
      <c r="A81622"/>
      <c r="B81622"/>
      <c r="C81622"/>
      <c r="E81622"/>
      <c r="F81622"/>
    </row>
    <row r="81623" spans="1:6" x14ac:dyDescent="0.25">
      <c r="A81623"/>
      <c r="B81623"/>
      <c r="C81623"/>
      <c r="E81623"/>
      <c r="F81623"/>
    </row>
    <row r="81624" spans="1:6" x14ac:dyDescent="0.25">
      <c r="A81624"/>
      <c r="B81624"/>
      <c r="C81624"/>
      <c r="E81624"/>
      <c r="F81624"/>
    </row>
    <row r="81625" spans="1:6" x14ac:dyDescent="0.25">
      <c r="A81625"/>
      <c r="B81625"/>
      <c r="C81625"/>
      <c r="E81625"/>
      <c r="F81625"/>
    </row>
    <row r="81626" spans="1:6" x14ac:dyDescent="0.25">
      <c r="A81626"/>
      <c r="B81626"/>
      <c r="C81626"/>
      <c r="E81626"/>
      <c r="F81626"/>
    </row>
    <row r="81627" spans="1:6" x14ac:dyDescent="0.25">
      <c r="A81627"/>
      <c r="B81627"/>
      <c r="C81627"/>
      <c r="E81627"/>
      <c r="F81627"/>
    </row>
    <row r="81628" spans="1:6" x14ac:dyDescent="0.25">
      <c r="A81628"/>
      <c r="B81628"/>
      <c r="C81628"/>
      <c r="E81628"/>
      <c r="F81628"/>
    </row>
    <row r="81629" spans="1:6" x14ac:dyDescent="0.25">
      <c r="A81629"/>
      <c r="B81629"/>
      <c r="C81629"/>
      <c r="E81629"/>
      <c r="F81629"/>
    </row>
    <row r="81630" spans="1:6" x14ac:dyDescent="0.25">
      <c r="A81630"/>
      <c r="B81630"/>
      <c r="C81630"/>
      <c r="E81630"/>
      <c r="F81630"/>
    </row>
    <row r="81631" spans="1:6" x14ac:dyDescent="0.25">
      <c r="A81631"/>
      <c r="B81631"/>
      <c r="C81631"/>
      <c r="E81631"/>
      <c r="F81631"/>
    </row>
    <row r="81632" spans="1:6" x14ac:dyDescent="0.25">
      <c r="A81632"/>
      <c r="B81632"/>
      <c r="C81632"/>
      <c r="E81632"/>
      <c r="F81632"/>
    </row>
    <row r="81633" spans="1:6" x14ac:dyDescent="0.25">
      <c r="A81633"/>
      <c r="B81633"/>
      <c r="C81633"/>
      <c r="E81633"/>
      <c r="F81633"/>
    </row>
    <row r="81634" spans="1:6" x14ac:dyDescent="0.25">
      <c r="A81634"/>
      <c r="B81634"/>
      <c r="C81634"/>
      <c r="E81634"/>
      <c r="F81634"/>
    </row>
    <row r="81635" spans="1:6" x14ac:dyDescent="0.25">
      <c r="A81635"/>
      <c r="B81635"/>
      <c r="C81635"/>
      <c r="E81635"/>
      <c r="F81635"/>
    </row>
    <row r="81636" spans="1:6" x14ac:dyDescent="0.25">
      <c r="A81636"/>
      <c r="B81636"/>
      <c r="C81636"/>
      <c r="E81636"/>
      <c r="F81636"/>
    </row>
    <row r="81637" spans="1:6" x14ac:dyDescent="0.25">
      <c r="A81637"/>
      <c r="B81637"/>
      <c r="C81637"/>
      <c r="E81637"/>
      <c r="F81637"/>
    </row>
    <row r="81638" spans="1:6" x14ac:dyDescent="0.25">
      <c r="A81638"/>
      <c r="B81638"/>
      <c r="C81638"/>
      <c r="E81638"/>
      <c r="F81638"/>
    </row>
    <row r="81639" spans="1:6" x14ac:dyDescent="0.25">
      <c r="A81639"/>
      <c r="B81639"/>
      <c r="C81639"/>
      <c r="E81639"/>
      <c r="F81639"/>
    </row>
    <row r="81640" spans="1:6" x14ac:dyDescent="0.25">
      <c r="A81640"/>
      <c r="B81640"/>
      <c r="C81640"/>
      <c r="E81640"/>
      <c r="F81640"/>
    </row>
    <row r="81641" spans="1:6" x14ac:dyDescent="0.25">
      <c r="A81641"/>
      <c r="B81641"/>
      <c r="C81641"/>
      <c r="E81641"/>
      <c r="F81641"/>
    </row>
    <row r="81642" spans="1:6" x14ac:dyDescent="0.25">
      <c r="A81642"/>
      <c r="B81642"/>
      <c r="C81642"/>
      <c r="E81642"/>
      <c r="F81642"/>
    </row>
    <row r="81643" spans="1:6" x14ac:dyDescent="0.25">
      <c r="A81643"/>
      <c r="B81643"/>
      <c r="C81643"/>
      <c r="E81643"/>
      <c r="F81643"/>
    </row>
    <row r="81644" spans="1:6" x14ac:dyDescent="0.25">
      <c r="A81644"/>
      <c r="B81644"/>
      <c r="C81644"/>
      <c r="E81644"/>
      <c r="F81644"/>
    </row>
    <row r="81645" spans="1:6" x14ac:dyDescent="0.25">
      <c r="A81645"/>
      <c r="B81645"/>
      <c r="C81645"/>
      <c r="E81645"/>
      <c r="F81645"/>
    </row>
    <row r="81646" spans="1:6" x14ac:dyDescent="0.25">
      <c r="A81646"/>
      <c r="B81646"/>
      <c r="C81646"/>
      <c r="E81646"/>
      <c r="F81646"/>
    </row>
    <row r="81647" spans="1:6" x14ac:dyDescent="0.25">
      <c r="A81647"/>
      <c r="B81647"/>
      <c r="C81647"/>
      <c r="E81647"/>
      <c r="F81647"/>
    </row>
    <row r="81648" spans="1:6" x14ac:dyDescent="0.25">
      <c r="A81648"/>
      <c r="B81648"/>
      <c r="C81648"/>
      <c r="E81648"/>
      <c r="F81648"/>
    </row>
    <row r="81649" spans="1:6" x14ac:dyDescent="0.25">
      <c r="A81649"/>
      <c r="B81649"/>
      <c r="C81649"/>
      <c r="E81649"/>
      <c r="F81649"/>
    </row>
    <row r="81650" spans="1:6" x14ac:dyDescent="0.25">
      <c r="A81650"/>
      <c r="B81650"/>
      <c r="C81650"/>
      <c r="E81650"/>
      <c r="F81650"/>
    </row>
    <row r="81651" spans="1:6" x14ac:dyDescent="0.25">
      <c r="A81651"/>
      <c r="B81651"/>
      <c r="C81651"/>
      <c r="E81651"/>
      <c r="F81651"/>
    </row>
    <row r="81652" spans="1:6" x14ac:dyDescent="0.25">
      <c r="A81652"/>
      <c r="B81652"/>
      <c r="C81652"/>
      <c r="E81652"/>
      <c r="F81652"/>
    </row>
    <row r="81653" spans="1:6" x14ac:dyDescent="0.25">
      <c r="A81653"/>
      <c r="B81653"/>
      <c r="C81653"/>
      <c r="E81653"/>
      <c r="F81653"/>
    </row>
    <row r="81654" spans="1:6" x14ac:dyDescent="0.25">
      <c r="A81654"/>
      <c r="B81654"/>
      <c r="C81654"/>
      <c r="E81654"/>
      <c r="F81654"/>
    </row>
    <row r="81655" spans="1:6" x14ac:dyDescent="0.25">
      <c r="A81655"/>
      <c r="B81655"/>
      <c r="C81655"/>
      <c r="E81655"/>
      <c r="F81655"/>
    </row>
    <row r="81656" spans="1:6" x14ac:dyDescent="0.25">
      <c r="A81656"/>
      <c r="B81656"/>
      <c r="C81656"/>
      <c r="E81656"/>
      <c r="F81656"/>
    </row>
    <row r="81657" spans="1:6" x14ac:dyDescent="0.25">
      <c r="A81657"/>
      <c r="B81657"/>
      <c r="C81657"/>
      <c r="E81657"/>
      <c r="F81657"/>
    </row>
    <row r="81658" spans="1:6" x14ac:dyDescent="0.25">
      <c r="A81658"/>
      <c r="B81658"/>
      <c r="C81658"/>
      <c r="E81658"/>
      <c r="F81658"/>
    </row>
    <row r="81659" spans="1:6" x14ac:dyDescent="0.25">
      <c r="A81659"/>
      <c r="B81659"/>
      <c r="C81659"/>
      <c r="E81659"/>
      <c r="F81659"/>
    </row>
    <row r="81660" spans="1:6" x14ac:dyDescent="0.25">
      <c r="A81660"/>
      <c r="B81660"/>
      <c r="C81660"/>
      <c r="E81660"/>
      <c r="F81660"/>
    </row>
    <row r="81661" spans="1:6" x14ac:dyDescent="0.25">
      <c r="A81661"/>
      <c r="B81661"/>
      <c r="C81661"/>
      <c r="E81661"/>
      <c r="F81661"/>
    </row>
    <row r="81662" spans="1:6" x14ac:dyDescent="0.25">
      <c r="A81662"/>
      <c r="B81662"/>
      <c r="C81662"/>
      <c r="E81662"/>
      <c r="F81662"/>
    </row>
    <row r="81663" spans="1:6" x14ac:dyDescent="0.25">
      <c r="A81663"/>
      <c r="B81663"/>
      <c r="C81663"/>
      <c r="E81663"/>
      <c r="F81663"/>
    </row>
    <row r="81664" spans="1:6" x14ac:dyDescent="0.25">
      <c r="A81664"/>
      <c r="B81664"/>
      <c r="C81664"/>
      <c r="E81664"/>
      <c r="F81664"/>
    </row>
    <row r="81665" spans="1:6" x14ac:dyDescent="0.25">
      <c r="A81665"/>
      <c r="B81665"/>
      <c r="C81665"/>
      <c r="E81665"/>
      <c r="F81665"/>
    </row>
    <row r="81666" spans="1:6" x14ac:dyDescent="0.25">
      <c r="A81666"/>
      <c r="B81666"/>
      <c r="C81666"/>
      <c r="E81666"/>
      <c r="F81666"/>
    </row>
    <row r="81667" spans="1:6" x14ac:dyDescent="0.25">
      <c r="A81667"/>
      <c r="B81667"/>
      <c r="C81667"/>
      <c r="E81667"/>
      <c r="F81667"/>
    </row>
    <row r="81668" spans="1:6" x14ac:dyDescent="0.25">
      <c r="A81668"/>
      <c r="B81668"/>
      <c r="C81668"/>
      <c r="E81668"/>
      <c r="F81668"/>
    </row>
    <row r="81669" spans="1:6" x14ac:dyDescent="0.25">
      <c r="A81669"/>
      <c r="B81669"/>
      <c r="C81669"/>
      <c r="E81669"/>
      <c r="F81669"/>
    </row>
    <row r="81670" spans="1:6" x14ac:dyDescent="0.25">
      <c r="A81670"/>
      <c r="B81670"/>
      <c r="C81670"/>
      <c r="E81670"/>
      <c r="F81670"/>
    </row>
    <row r="81671" spans="1:6" x14ac:dyDescent="0.25">
      <c r="A81671"/>
      <c r="B81671"/>
      <c r="C81671"/>
      <c r="E81671"/>
      <c r="F81671"/>
    </row>
    <row r="81672" spans="1:6" x14ac:dyDescent="0.25">
      <c r="A81672"/>
      <c r="B81672"/>
      <c r="C81672"/>
      <c r="E81672"/>
      <c r="F81672"/>
    </row>
    <row r="81673" spans="1:6" x14ac:dyDescent="0.25">
      <c r="A81673"/>
      <c r="B81673"/>
      <c r="C81673"/>
      <c r="E81673"/>
      <c r="F81673"/>
    </row>
    <row r="81674" spans="1:6" x14ac:dyDescent="0.25">
      <c r="A81674"/>
      <c r="B81674"/>
      <c r="C81674"/>
      <c r="E81674"/>
      <c r="F81674"/>
    </row>
    <row r="81675" spans="1:6" x14ac:dyDescent="0.25">
      <c r="A81675"/>
      <c r="B81675"/>
      <c r="C81675"/>
      <c r="E81675"/>
      <c r="F81675"/>
    </row>
    <row r="81676" spans="1:6" x14ac:dyDescent="0.25">
      <c r="A81676"/>
      <c r="B81676"/>
      <c r="C81676"/>
      <c r="E81676"/>
      <c r="F81676"/>
    </row>
    <row r="81677" spans="1:6" x14ac:dyDescent="0.25">
      <c r="A81677"/>
      <c r="B81677"/>
      <c r="C81677"/>
      <c r="E81677"/>
      <c r="F81677"/>
    </row>
    <row r="81678" spans="1:6" x14ac:dyDescent="0.25">
      <c r="A81678"/>
      <c r="B81678"/>
      <c r="C81678"/>
      <c r="E81678"/>
      <c r="F81678"/>
    </row>
    <row r="81679" spans="1:6" x14ac:dyDescent="0.25">
      <c r="A81679"/>
      <c r="B81679"/>
      <c r="C81679"/>
      <c r="E81679"/>
      <c r="F81679"/>
    </row>
    <row r="81680" spans="1:6" x14ac:dyDescent="0.25">
      <c r="A81680"/>
      <c r="B81680"/>
      <c r="C81680"/>
      <c r="E81680"/>
      <c r="F81680"/>
    </row>
    <row r="81681" spans="1:6" x14ac:dyDescent="0.25">
      <c r="A81681"/>
      <c r="B81681"/>
      <c r="C81681"/>
      <c r="E81681"/>
      <c r="F81681"/>
    </row>
    <row r="81682" spans="1:6" x14ac:dyDescent="0.25">
      <c r="A81682"/>
      <c r="B81682"/>
      <c r="C81682"/>
      <c r="E81682"/>
      <c r="F81682"/>
    </row>
    <row r="81683" spans="1:6" x14ac:dyDescent="0.25">
      <c r="A81683"/>
      <c r="B81683"/>
      <c r="C81683"/>
      <c r="E81683"/>
      <c r="F81683"/>
    </row>
    <row r="81684" spans="1:6" x14ac:dyDescent="0.25">
      <c r="A81684"/>
      <c r="B81684"/>
      <c r="C81684"/>
      <c r="E81684"/>
      <c r="F81684"/>
    </row>
    <row r="81685" spans="1:6" x14ac:dyDescent="0.25">
      <c r="A81685"/>
      <c r="B81685"/>
      <c r="C81685"/>
      <c r="E81685"/>
      <c r="F81685"/>
    </row>
    <row r="81686" spans="1:6" x14ac:dyDescent="0.25">
      <c r="A81686"/>
      <c r="B81686"/>
      <c r="C81686"/>
      <c r="E81686"/>
      <c r="F81686"/>
    </row>
    <row r="81687" spans="1:6" x14ac:dyDescent="0.25">
      <c r="A81687"/>
      <c r="B81687"/>
      <c r="C81687"/>
      <c r="E81687"/>
      <c r="F81687"/>
    </row>
    <row r="81688" spans="1:6" x14ac:dyDescent="0.25">
      <c r="A81688"/>
      <c r="B81688"/>
      <c r="C81688"/>
      <c r="E81688"/>
      <c r="F81688"/>
    </row>
    <row r="81689" spans="1:6" x14ac:dyDescent="0.25">
      <c r="A81689"/>
      <c r="B81689"/>
      <c r="C81689"/>
      <c r="E81689"/>
      <c r="F81689"/>
    </row>
    <row r="81690" spans="1:6" x14ac:dyDescent="0.25">
      <c r="A81690"/>
      <c r="B81690"/>
      <c r="C81690"/>
      <c r="E81690"/>
      <c r="F81690"/>
    </row>
    <row r="81691" spans="1:6" x14ac:dyDescent="0.25">
      <c r="A81691"/>
      <c r="B81691"/>
      <c r="C81691"/>
      <c r="E81691"/>
      <c r="F81691"/>
    </row>
    <row r="81692" spans="1:6" x14ac:dyDescent="0.25">
      <c r="A81692"/>
      <c r="B81692"/>
      <c r="C81692"/>
      <c r="E81692"/>
      <c r="F81692"/>
    </row>
    <row r="81693" spans="1:6" x14ac:dyDescent="0.25">
      <c r="A81693"/>
      <c r="B81693"/>
      <c r="C81693"/>
      <c r="E81693"/>
      <c r="F81693"/>
    </row>
    <row r="81694" spans="1:6" x14ac:dyDescent="0.25">
      <c r="A81694"/>
      <c r="B81694"/>
      <c r="C81694"/>
      <c r="E81694"/>
      <c r="F81694"/>
    </row>
    <row r="81695" spans="1:6" x14ac:dyDescent="0.25">
      <c r="A81695"/>
      <c r="B81695"/>
      <c r="C81695"/>
      <c r="E81695"/>
      <c r="F81695"/>
    </row>
    <row r="81696" spans="1:6" x14ac:dyDescent="0.25">
      <c r="A81696"/>
      <c r="B81696"/>
      <c r="C81696"/>
      <c r="E81696"/>
      <c r="F81696"/>
    </row>
    <row r="81697" spans="1:6" x14ac:dyDescent="0.25">
      <c r="A81697"/>
      <c r="B81697"/>
      <c r="C81697"/>
      <c r="E81697"/>
      <c r="F81697"/>
    </row>
    <row r="81698" spans="1:6" x14ac:dyDescent="0.25">
      <c r="A81698"/>
      <c r="B81698"/>
      <c r="C81698"/>
      <c r="E81698"/>
      <c r="F81698"/>
    </row>
    <row r="81699" spans="1:6" x14ac:dyDescent="0.25">
      <c r="A81699"/>
      <c r="B81699"/>
      <c r="C81699"/>
      <c r="E81699"/>
      <c r="F81699"/>
    </row>
    <row r="81700" spans="1:6" x14ac:dyDescent="0.25">
      <c r="A81700"/>
      <c r="B81700"/>
      <c r="C81700"/>
      <c r="E81700"/>
      <c r="F81700"/>
    </row>
    <row r="81701" spans="1:6" x14ac:dyDescent="0.25">
      <c r="A81701"/>
      <c r="B81701"/>
      <c r="C81701"/>
      <c r="E81701"/>
      <c r="F81701"/>
    </row>
    <row r="81702" spans="1:6" x14ac:dyDescent="0.25">
      <c r="A81702"/>
      <c r="B81702"/>
      <c r="C81702"/>
      <c r="E81702"/>
      <c r="F81702"/>
    </row>
    <row r="81703" spans="1:6" x14ac:dyDescent="0.25">
      <c r="A81703"/>
      <c r="B81703"/>
      <c r="C81703"/>
      <c r="E81703"/>
      <c r="F81703"/>
    </row>
    <row r="81704" spans="1:6" x14ac:dyDescent="0.25">
      <c r="A81704"/>
      <c r="B81704"/>
      <c r="C81704"/>
      <c r="E81704"/>
      <c r="F81704"/>
    </row>
    <row r="81705" spans="1:6" x14ac:dyDescent="0.25">
      <c r="A81705"/>
      <c r="B81705"/>
      <c r="C81705"/>
      <c r="E81705"/>
      <c r="F81705"/>
    </row>
    <row r="81706" spans="1:6" x14ac:dyDescent="0.25">
      <c r="A81706"/>
      <c r="B81706"/>
      <c r="C81706"/>
      <c r="E81706"/>
      <c r="F81706"/>
    </row>
    <row r="81707" spans="1:6" x14ac:dyDescent="0.25">
      <c r="A81707"/>
      <c r="B81707"/>
      <c r="C81707"/>
      <c r="E81707"/>
      <c r="F81707"/>
    </row>
    <row r="81708" spans="1:6" x14ac:dyDescent="0.25">
      <c r="A81708"/>
      <c r="B81708"/>
      <c r="C81708"/>
      <c r="E81708"/>
      <c r="F81708"/>
    </row>
    <row r="81709" spans="1:6" x14ac:dyDescent="0.25">
      <c r="A81709"/>
      <c r="B81709"/>
      <c r="C81709"/>
      <c r="E81709"/>
      <c r="F81709"/>
    </row>
    <row r="81710" spans="1:6" x14ac:dyDescent="0.25">
      <c r="A81710"/>
      <c r="B81710"/>
      <c r="C81710"/>
      <c r="E81710"/>
      <c r="F81710"/>
    </row>
    <row r="81711" spans="1:6" x14ac:dyDescent="0.25">
      <c r="A81711"/>
      <c r="B81711"/>
      <c r="C81711"/>
      <c r="E81711"/>
      <c r="F81711"/>
    </row>
    <row r="81712" spans="1:6" x14ac:dyDescent="0.25">
      <c r="A81712"/>
      <c r="B81712"/>
      <c r="C81712"/>
      <c r="E81712"/>
      <c r="F81712"/>
    </row>
    <row r="81713" spans="1:6" x14ac:dyDescent="0.25">
      <c r="A81713"/>
      <c r="B81713"/>
      <c r="C81713"/>
      <c r="E81713"/>
      <c r="F81713"/>
    </row>
    <row r="81714" spans="1:6" x14ac:dyDescent="0.25">
      <c r="A81714"/>
      <c r="B81714"/>
      <c r="C81714"/>
      <c r="E81714"/>
      <c r="F81714"/>
    </row>
    <row r="81715" spans="1:6" x14ac:dyDescent="0.25">
      <c r="A81715"/>
      <c r="B81715"/>
      <c r="C81715"/>
      <c r="E81715"/>
      <c r="F81715"/>
    </row>
    <row r="81716" spans="1:6" x14ac:dyDescent="0.25">
      <c r="A81716"/>
      <c r="B81716"/>
      <c r="C81716"/>
      <c r="E81716"/>
      <c r="F81716"/>
    </row>
    <row r="81717" spans="1:6" x14ac:dyDescent="0.25">
      <c r="A81717"/>
      <c r="B81717"/>
      <c r="C81717"/>
      <c r="E81717"/>
      <c r="F81717"/>
    </row>
    <row r="81718" spans="1:6" x14ac:dyDescent="0.25">
      <c r="A81718"/>
      <c r="B81718"/>
      <c r="C81718"/>
      <c r="E81718"/>
      <c r="F81718"/>
    </row>
    <row r="81719" spans="1:6" x14ac:dyDescent="0.25">
      <c r="A81719"/>
      <c r="B81719"/>
      <c r="C81719"/>
      <c r="E81719"/>
      <c r="F81719"/>
    </row>
    <row r="81720" spans="1:6" x14ac:dyDescent="0.25">
      <c r="A81720"/>
      <c r="B81720"/>
      <c r="C81720"/>
      <c r="E81720"/>
      <c r="F81720"/>
    </row>
    <row r="81721" spans="1:6" x14ac:dyDescent="0.25">
      <c r="A81721"/>
      <c r="B81721"/>
      <c r="C81721"/>
      <c r="E81721"/>
      <c r="F81721"/>
    </row>
    <row r="81722" spans="1:6" x14ac:dyDescent="0.25">
      <c r="A81722"/>
      <c r="B81722"/>
      <c r="C81722"/>
      <c r="E81722"/>
      <c r="F81722"/>
    </row>
    <row r="81723" spans="1:6" x14ac:dyDescent="0.25">
      <c r="A81723"/>
      <c r="B81723"/>
      <c r="C81723"/>
      <c r="E81723"/>
      <c r="F81723"/>
    </row>
    <row r="81724" spans="1:6" x14ac:dyDescent="0.25">
      <c r="A81724"/>
      <c r="B81724"/>
      <c r="C81724"/>
      <c r="E81724"/>
      <c r="F81724"/>
    </row>
    <row r="81725" spans="1:6" x14ac:dyDescent="0.25">
      <c r="A81725"/>
      <c r="B81725"/>
      <c r="C81725"/>
      <c r="E81725"/>
      <c r="F81725"/>
    </row>
    <row r="81726" spans="1:6" x14ac:dyDescent="0.25">
      <c r="A81726"/>
      <c r="B81726"/>
      <c r="C81726"/>
      <c r="E81726"/>
      <c r="F81726"/>
    </row>
    <row r="81727" spans="1:6" x14ac:dyDescent="0.25">
      <c r="A81727"/>
      <c r="B81727"/>
      <c r="C81727"/>
      <c r="E81727"/>
      <c r="F81727"/>
    </row>
    <row r="81728" spans="1:6" x14ac:dyDescent="0.25">
      <c r="A81728"/>
      <c r="B81728"/>
      <c r="C81728"/>
      <c r="E81728"/>
      <c r="F81728"/>
    </row>
    <row r="81729" spans="1:6" x14ac:dyDescent="0.25">
      <c r="A81729"/>
      <c r="B81729"/>
      <c r="C81729"/>
      <c r="E81729"/>
      <c r="F81729"/>
    </row>
    <row r="81730" spans="1:6" x14ac:dyDescent="0.25">
      <c r="A81730"/>
      <c r="B81730"/>
      <c r="C81730"/>
      <c r="E81730"/>
      <c r="F81730"/>
    </row>
    <row r="81731" spans="1:6" x14ac:dyDescent="0.25">
      <c r="A81731"/>
      <c r="B81731"/>
      <c r="C81731"/>
      <c r="E81731"/>
      <c r="F81731"/>
    </row>
    <row r="81732" spans="1:6" x14ac:dyDescent="0.25">
      <c r="A81732"/>
      <c r="B81732"/>
      <c r="C81732"/>
      <c r="E81732"/>
      <c r="F81732"/>
    </row>
    <row r="81733" spans="1:6" x14ac:dyDescent="0.25">
      <c r="A81733"/>
      <c r="B81733"/>
      <c r="C81733"/>
      <c r="E81733"/>
      <c r="F81733"/>
    </row>
    <row r="81734" spans="1:6" x14ac:dyDescent="0.25">
      <c r="A81734"/>
      <c r="B81734"/>
      <c r="C81734"/>
      <c r="E81734"/>
      <c r="F81734"/>
    </row>
    <row r="81735" spans="1:6" x14ac:dyDescent="0.25">
      <c r="A81735"/>
      <c r="B81735"/>
      <c r="C81735"/>
      <c r="E81735"/>
      <c r="F81735"/>
    </row>
    <row r="81736" spans="1:6" x14ac:dyDescent="0.25">
      <c r="A81736"/>
      <c r="B81736"/>
      <c r="C81736"/>
      <c r="E81736"/>
      <c r="F81736"/>
    </row>
    <row r="81737" spans="1:6" x14ac:dyDescent="0.25">
      <c r="A81737"/>
      <c r="B81737"/>
      <c r="C81737"/>
      <c r="E81737"/>
      <c r="F81737"/>
    </row>
    <row r="81738" spans="1:6" x14ac:dyDescent="0.25">
      <c r="A81738"/>
      <c r="B81738"/>
      <c r="C81738"/>
      <c r="E81738"/>
      <c r="F81738"/>
    </row>
    <row r="81739" spans="1:6" x14ac:dyDescent="0.25">
      <c r="A81739"/>
      <c r="B81739"/>
      <c r="C81739"/>
      <c r="E81739"/>
      <c r="F81739"/>
    </row>
    <row r="81740" spans="1:6" x14ac:dyDescent="0.25">
      <c r="A81740"/>
      <c r="B81740"/>
      <c r="C81740"/>
      <c r="E81740"/>
      <c r="F81740"/>
    </row>
    <row r="81741" spans="1:6" x14ac:dyDescent="0.25">
      <c r="A81741"/>
      <c r="B81741"/>
      <c r="C81741"/>
      <c r="E81741"/>
      <c r="F81741"/>
    </row>
    <row r="81742" spans="1:6" x14ac:dyDescent="0.25">
      <c r="A81742"/>
      <c r="B81742"/>
      <c r="C81742"/>
      <c r="E81742"/>
      <c r="F81742"/>
    </row>
    <row r="81743" spans="1:6" x14ac:dyDescent="0.25">
      <c r="A81743"/>
      <c r="B81743"/>
      <c r="C81743"/>
      <c r="E81743"/>
      <c r="F81743"/>
    </row>
    <row r="81744" spans="1:6" x14ac:dyDescent="0.25">
      <c r="A81744"/>
      <c r="B81744"/>
      <c r="C81744"/>
      <c r="E81744"/>
      <c r="F81744"/>
    </row>
    <row r="81745" spans="1:6" x14ac:dyDescent="0.25">
      <c r="A81745"/>
      <c r="B81745"/>
      <c r="C81745"/>
      <c r="E81745"/>
      <c r="F81745"/>
    </row>
    <row r="81746" spans="1:6" x14ac:dyDescent="0.25">
      <c r="A81746"/>
      <c r="B81746"/>
      <c r="C81746"/>
      <c r="E81746"/>
      <c r="F81746"/>
    </row>
    <row r="81747" spans="1:6" x14ac:dyDescent="0.25">
      <c r="A81747"/>
      <c r="B81747"/>
      <c r="C81747"/>
      <c r="E81747"/>
      <c r="F81747"/>
    </row>
    <row r="81748" spans="1:6" x14ac:dyDescent="0.25">
      <c r="A81748"/>
      <c r="B81748"/>
      <c r="C81748"/>
      <c r="E81748"/>
      <c r="F81748"/>
    </row>
    <row r="81749" spans="1:6" x14ac:dyDescent="0.25">
      <c r="A81749"/>
      <c r="B81749"/>
      <c r="C81749"/>
      <c r="E81749"/>
      <c r="F81749"/>
    </row>
    <row r="81750" spans="1:6" x14ac:dyDescent="0.25">
      <c r="A81750"/>
      <c r="B81750"/>
      <c r="C81750"/>
      <c r="E81750"/>
      <c r="F81750"/>
    </row>
    <row r="81751" spans="1:6" x14ac:dyDescent="0.25">
      <c r="A81751"/>
      <c r="B81751"/>
      <c r="C81751"/>
      <c r="E81751"/>
      <c r="F81751"/>
    </row>
    <row r="81752" spans="1:6" x14ac:dyDescent="0.25">
      <c r="A81752"/>
      <c r="B81752"/>
      <c r="C81752"/>
      <c r="E81752"/>
      <c r="F81752"/>
    </row>
    <row r="81753" spans="1:6" x14ac:dyDescent="0.25">
      <c r="A81753"/>
      <c r="B81753"/>
      <c r="C81753"/>
      <c r="E81753"/>
      <c r="F81753"/>
    </row>
    <row r="81754" spans="1:6" x14ac:dyDescent="0.25">
      <c r="A81754"/>
      <c r="B81754"/>
      <c r="C81754"/>
      <c r="E81754"/>
      <c r="F81754"/>
    </row>
    <row r="81755" spans="1:6" x14ac:dyDescent="0.25">
      <c r="A81755"/>
      <c r="B81755"/>
      <c r="C81755"/>
      <c r="E81755"/>
      <c r="F81755"/>
    </row>
    <row r="81756" spans="1:6" x14ac:dyDescent="0.25">
      <c r="A81756"/>
      <c r="B81756"/>
      <c r="C81756"/>
      <c r="E81756"/>
      <c r="F81756"/>
    </row>
    <row r="81757" spans="1:6" x14ac:dyDescent="0.25">
      <c r="A81757"/>
      <c r="B81757"/>
      <c r="C81757"/>
      <c r="E81757"/>
      <c r="F81757"/>
    </row>
    <row r="81758" spans="1:6" x14ac:dyDescent="0.25">
      <c r="A81758"/>
      <c r="B81758"/>
      <c r="C81758"/>
      <c r="E81758"/>
      <c r="F81758"/>
    </row>
    <row r="81759" spans="1:6" x14ac:dyDescent="0.25">
      <c r="A81759"/>
      <c r="B81759"/>
      <c r="C81759"/>
      <c r="E81759"/>
      <c r="F81759"/>
    </row>
    <row r="81760" spans="1:6" x14ac:dyDescent="0.25">
      <c r="A81760"/>
      <c r="B81760"/>
      <c r="C81760"/>
      <c r="E81760"/>
      <c r="F81760"/>
    </row>
    <row r="81761" spans="1:6" x14ac:dyDescent="0.25">
      <c r="A81761"/>
      <c r="B81761"/>
      <c r="C81761"/>
      <c r="E81761"/>
      <c r="F81761"/>
    </row>
    <row r="81762" spans="1:6" x14ac:dyDescent="0.25">
      <c r="A81762"/>
      <c r="B81762"/>
      <c r="C81762"/>
      <c r="E81762"/>
      <c r="F81762"/>
    </row>
    <row r="81763" spans="1:6" x14ac:dyDescent="0.25">
      <c r="A81763"/>
      <c r="B81763"/>
      <c r="C81763"/>
      <c r="E81763"/>
      <c r="F81763"/>
    </row>
    <row r="81764" spans="1:6" x14ac:dyDescent="0.25">
      <c r="A81764"/>
      <c r="B81764"/>
      <c r="C81764"/>
      <c r="E81764"/>
      <c r="F81764"/>
    </row>
    <row r="81765" spans="1:6" x14ac:dyDescent="0.25">
      <c r="A81765"/>
      <c r="B81765"/>
      <c r="C81765"/>
      <c r="E81765"/>
      <c r="F81765"/>
    </row>
    <row r="81766" spans="1:6" x14ac:dyDescent="0.25">
      <c r="A81766"/>
      <c r="B81766"/>
      <c r="C81766"/>
      <c r="E81766"/>
      <c r="F81766"/>
    </row>
    <row r="81767" spans="1:6" x14ac:dyDescent="0.25">
      <c r="A81767"/>
      <c r="B81767"/>
      <c r="C81767"/>
      <c r="E81767"/>
      <c r="F81767"/>
    </row>
    <row r="81768" spans="1:6" x14ac:dyDescent="0.25">
      <c r="A81768"/>
      <c r="B81768"/>
      <c r="C81768"/>
      <c r="E81768"/>
      <c r="F81768"/>
    </row>
    <row r="81769" spans="1:6" x14ac:dyDescent="0.25">
      <c r="A81769"/>
      <c r="B81769"/>
      <c r="C81769"/>
      <c r="E81769"/>
      <c r="F81769"/>
    </row>
    <row r="81770" spans="1:6" x14ac:dyDescent="0.25">
      <c r="A81770"/>
      <c r="B81770"/>
      <c r="C81770"/>
      <c r="E81770"/>
      <c r="F81770"/>
    </row>
    <row r="81771" spans="1:6" x14ac:dyDescent="0.25">
      <c r="A81771"/>
      <c r="B81771"/>
      <c r="C81771"/>
      <c r="E81771"/>
      <c r="F81771"/>
    </row>
    <row r="81772" spans="1:6" x14ac:dyDescent="0.25">
      <c r="A81772"/>
      <c r="B81772"/>
      <c r="C81772"/>
      <c r="E81772"/>
      <c r="F81772"/>
    </row>
    <row r="81773" spans="1:6" x14ac:dyDescent="0.25">
      <c r="A81773"/>
      <c r="B81773"/>
      <c r="C81773"/>
      <c r="E81773"/>
      <c r="F81773"/>
    </row>
    <row r="81774" spans="1:6" x14ac:dyDescent="0.25">
      <c r="A81774"/>
      <c r="B81774"/>
      <c r="C81774"/>
      <c r="E81774"/>
      <c r="F81774"/>
    </row>
    <row r="81775" spans="1:6" x14ac:dyDescent="0.25">
      <c r="A81775"/>
      <c r="B81775"/>
      <c r="C81775"/>
      <c r="E81775"/>
      <c r="F81775"/>
    </row>
    <row r="81776" spans="1:6" x14ac:dyDescent="0.25">
      <c r="A81776"/>
      <c r="B81776"/>
      <c r="C81776"/>
      <c r="E81776"/>
      <c r="F81776"/>
    </row>
    <row r="81777" spans="1:6" x14ac:dyDescent="0.25">
      <c r="A81777"/>
      <c r="B81777"/>
      <c r="C81777"/>
      <c r="E81777"/>
      <c r="F81777"/>
    </row>
    <row r="81778" spans="1:6" x14ac:dyDescent="0.25">
      <c r="A81778"/>
      <c r="B81778"/>
      <c r="C81778"/>
      <c r="E81778"/>
      <c r="F81778"/>
    </row>
    <row r="81779" spans="1:6" x14ac:dyDescent="0.25">
      <c r="A81779"/>
      <c r="B81779"/>
      <c r="C81779"/>
      <c r="E81779"/>
      <c r="F81779"/>
    </row>
    <row r="81780" spans="1:6" x14ac:dyDescent="0.25">
      <c r="A81780"/>
      <c r="B81780"/>
      <c r="C81780"/>
      <c r="E81780"/>
      <c r="F81780"/>
    </row>
    <row r="81781" spans="1:6" x14ac:dyDescent="0.25">
      <c r="A81781"/>
      <c r="B81781"/>
      <c r="C81781"/>
      <c r="E81781"/>
      <c r="F81781"/>
    </row>
    <row r="81782" spans="1:6" x14ac:dyDescent="0.25">
      <c r="A81782"/>
      <c r="B81782"/>
      <c r="C81782"/>
      <c r="E81782"/>
      <c r="F81782"/>
    </row>
    <row r="81783" spans="1:6" x14ac:dyDescent="0.25">
      <c r="A81783"/>
      <c r="B81783"/>
      <c r="C81783"/>
      <c r="E81783"/>
      <c r="F81783"/>
    </row>
    <row r="81784" spans="1:6" x14ac:dyDescent="0.25">
      <c r="A81784"/>
      <c r="B81784"/>
      <c r="C81784"/>
      <c r="E81784"/>
      <c r="F81784"/>
    </row>
    <row r="81785" spans="1:6" x14ac:dyDescent="0.25">
      <c r="A81785"/>
      <c r="B81785"/>
      <c r="C81785"/>
      <c r="E81785"/>
      <c r="F81785"/>
    </row>
    <row r="81786" spans="1:6" x14ac:dyDescent="0.25">
      <c r="A81786"/>
      <c r="B81786"/>
      <c r="C81786"/>
      <c r="E81786"/>
      <c r="F81786"/>
    </row>
    <row r="81787" spans="1:6" x14ac:dyDescent="0.25">
      <c r="A81787"/>
      <c r="B81787"/>
      <c r="C81787"/>
      <c r="E81787"/>
      <c r="F81787"/>
    </row>
    <row r="81788" spans="1:6" x14ac:dyDescent="0.25">
      <c r="A81788"/>
      <c r="B81788"/>
      <c r="C81788"/>
      <c r="E81788"/>
      <c r="F81788"/>
    </row>
    <row r="81789" spans="1:6" x14ac:dyDescent="0.25">
      <c r="A81789"/>
      <c r="B81789"/>
      <c r="C81789"/>
      <c r="E81789"/>
      <c r="F81789"/>
    </row>
    <row r="81790" spans="1:6" x14ac:dyDescent="0.25">
      <c r="A81790"/>
      <c r="B81790"/>
      <c r="C81790"/>
      <c r="E81790"/>
      <c r="F81790"/>
    </row>
    <row r="81791" spans="1:6" x14ac:dyDescent="0.25">
      <c r="A81791"/>
      <c r="B81791"/>
      <c r="C81791"/>
      <c r="E81791"/>
      <c r="F81791"/>
    </row>
    <row r="81792" spans="1:6" x14ac:dyDescent="0.25">
      <c r="A81792"/>
      <c r="B81792"/>
      <c r="C81792"/>
      <c r="E81792"/>
      <c r="F81792"/>
    </row>
    <row r="81793" spans="1:6" x14ac:dyDescent="0.25">
      <c r="A81793"/>
      <c r="B81793"/>
      <c r="C81793"/>
      <c r="E81793"/>
      <c r="F81793"/>
    </row>
    <row r="81794" spans="1:6" x14ac:dyDescent="0.25">
      <c r="A81794"/>
      <c r="B81794"/>
      <c r="C81794"/>
      <c r="E81794"/>
      <c r="F81794"/>
    </row>
    <row r="81795" spans="1:6" x14ac:dyDescent="0.25">
      <c r="A81795"/>
      <c r="B81795"/>
      <c r="C81795"/>
      <c r="E81795"/>
      <c r="F81795"/>
    </row>
    <row r="81796" spans="1:6" x14ac:dyDescent="0.25">
      <c r="A81796"/>
      <c r="B81796"/>
      <c r="C81796"/>
      <c r="E81796"/>
      <c r="F81796"/>
    </row>
    <row r="81797" spans="1:6" x14ac:dyDescent="0.25">
      <c r="A81797"/>
      <c r="B81797"/>
      <c r="C81797"/>
      <c r="E81797"/>
      <c r="F81797"/>
    </row>
    <row r="81798" spans="1:6" x14ac:dyDescent="0.25">
      <c r="A81798"/>
      <c r="B81798"/>
      <c r="C81798"/>
      <c r="E81798"/>
      <c r="F81798"/>
    </row>
    <row r="81799" spans="1:6" x14ac:dyDescent="0.25">
      <c r="A81799"/>
      <c r="B81799"/>
      <c r="C81799"/>
      <c r="E81799"/>
      <c r="F81799"/>
    </row>
    <row r="81800" spans="1:6" x14ac:dyDescent="0.25">
      <c r="A81800"/>
      <c r="B81800"/>
      <c r="C81800"/>
      <c r="E81800"/>
      <c r="F81800"/>
    </row>
    <row r="81801" spans="1:6" x14ac:dyDescent="0.25">
      <c r="A81801"/>
      <c r="B81801"/>
      <c r="C81801"/>
      <c r="E81801"/>
      <c r="F81801"/>
    </row>
    <row r="81802" spans="1:6" x14ac:dyDescent="0.25">
      <c r="A81802"/>
      <c r="B81802"/>
      <c r="C81802"/>
      <c r="E81802"/>
      <c r="F81802"/>
    </row>
    <row r="81803" spans="1:6" x14ac:dyDescent="0.25">
      <c r="A81803"/>
      <c r="B81803"/>
      <c r="C81803"/>
      <c r="E81803"/>
      <c r="F81803"/>
    </row>
    <row r="81804" spans="1:6" x14ac:dyDescent="0.25">
      <c r="A81804"/>
      <c r="B81804"/>
      <c r="C81804"/>
      <c r="E81804"/>
      <c r="F81804"/>
    </row>
    <row r="81805" spans="1:6" x14ac:dyDescent="0.25">
      <c r="A81805"/>
      <c r="B81805"/>
      <c r="C81805"/>
      <c r="E81805"/>
      <c r="F81805"/>
    </row>
    <row r="81806" spans="1:6" x14ac:dyDescent="0.25">
      <c r="A81806"/>
      <c r="B81806"/>
      <c r="C81806"/>
      <c r="E81806"/>
      <c r="F81806"/>
    </row>
    <row r="81807" spans="1:6" x14ac:dyDescent="0.25">
      <c r="A81807"/>
      <c r="B81807"/>
      <c r="C81807"/>
      <c r="E81807"/>
      <c r="F81807"/>
    </row>
    <row r="81808" spans="1:6" x14ac:dyDescent="0.25">
      <c r="A81808"/>
      <c r="B81808"/>
      <c r="C81808"/>
      <c r="E81808"/>
      <c r="F81808"/>
    </row>
    <row r="81809" spans="1:6" x14ac:dyDescent="0.25">
      <c r="A81809"/>
      <c r="B81809"/>
      <c r="C81809"/>
      <c r="E81809"/>
      <c r="F81809"/>
    </row>
    <row r="81810" spans="1:6" x14ac:dyDescent="0.25">
      <c r="A81810"/>
      <c r="B81810"/>
      <c r="C81810"/>
      <c r="E81810"/>
      <c r="F81810"/>
    </row>
    <row r="81811" spans="1:6" x14ac:dyDescent="0.25">
      <c r="A81811"/>
      <c r="B81811"/>
      <c r="C81811"/>
      <c r="E81811"/>
      <c r="F81811"/>
    </row>
    <row r="81812" spans="1:6" x14ac:dyDescent="0.25">
      <c r="A81812"/>
      <c r="B81812"/>
      <c r="C81812"/>
      <c r="E81812"/>
      <c r="F81812"/>
    </row>
    <row r="81813" spans="1:6" x14ac:dyDescent="0.25">
      <c r="A81813"/>
      <c r="B81813"/>
      <c r="C81813"/>
      <c r="E81813"/>
      <c r="F81813"/>
    </row>
    <row r="81814" spans="1:6" x14ac:dyDescent="0.25">
      <c r="A81814"/>
      <c r="B81814"/>
      <c r="C81814"/>
      <c r="E81814"/>
      <c r="F81814"/>
    </row>
    <row r="81815" spans="1:6" x14ac:dyDescent="0.25">
      <c r="A81815"/>
      <c r="B81815"/>
      <c r="C81815"/>
      <c r="E81815"/>
      <c r="F81815"/>
    </row>
    <row r="81816" spans="1:6" x14ac:dyDescent="0.25">
      <c r="A81816"/>
      <c r="B81816"/>
      <c r="C81816"/>
      <c r="E81816"/>
      <c r="F81816"/>
    </row>
    <row r="81817" spans="1:6" x14ac:dyDescent="0.25">
      <c r="A81817"/>
      <c r="B81817"/>
      <c r="C81817"/>
      <c r="E81817"/>
      <c r="F81817"/>
    </row>
    <row r="81818" spans="1:6" x14ac:dyDescent="0.25">
      <c r="A81818"/>
      <c r="B81818"/>
      <c r="C81818"/>
      <c r="E81818"/>
      <c r="F81818"/>
    </row>
    <row r="81819" spans="1:6" x14ac:dyDescent="0.25">
      <c r="A81819"/>
      <c r="B81819"/>
      <c r="C81819"/>
      <c r="E81819"/>
      <c r="F81819"/>
    </row>
    <row r="81820" spans="1:6" x14ac:dyDescent="0.25">
      <c r="A81820"/>
      <c r="B81820"/>
      <c r="C81820"/>
      <c r="E81820"/>
      <c r="F81820"/>
    </row>
    <row r="81821" spans="1:6" x14ac:dyDescent="0.25">
      <c r="A81821"/>
      <c r="B81821"/>
      <c r="C81821"/>
      <c r="E81821"/>
      <c r="F81821"/>
    </row>
    <row r="81822" spans="1:6" x14ac:dyDescent="0.25">
      <c r="A81822"/>
      <c r="B81822"/>
      <c r="C81822"/>
      <c r="E81822"/>
      <c r="F81822"/>
    </row>
    <row r="81823" spans="1:6" x14ac:dyDescent="0.25">
      <c r="A81823"/>
      <c r="B81823"/>
      <c r="C81823"/>
      <c r="E81823"/>
      <c r="F81823"/>
    </row>
    <row r="81824" spans="1:6" x14ac:dyDescent="0.25">
      <c r="A81824"/>
      <c r="B81824"/>
      <c r="C81824"/>
      <c r="E81824"/>
      <c r="F81824"/>
    </row>
    <row r="81825" spans="1:6" x14ac:dyDescent="0.25">
      <c r="A81825"/>
      <c r="B81825"/>
      <c r="C81825"/>
      <c r="E81825"/>
      <c r="F81825"/>
    </row>
    <row r="81826" spans="1:6" x14ac:dyDescent="0.25">
      <c r="A81826"/>
      <c r="B81826"/>
      <c r="C81826"/>
      <c r="E81826"/>
      <c r="F81826"/>
    </row>
    <row r="81827" spans="1:6" x14ac:dyDescent="0.25">
      <c r="A81827"/>
      <c r="B81827"/>
      <c r="C81827"/>
      <c r="E81827"/>
      <c r="F81827"/>
    </row>
    <row r="81828" spans="1:6" x14ac:dyDescent="0.25">
      <c r="A81828"/>
      <c r="B81828"/>
      <c r="C81828"/>
      <c r="E81828"/>
      <c r="F81828"/>
    </row>
    <row r="81829" spans="1:6" x14ac:dyDescent="0.25">
      <c r="A81829"/>
      <c r="B81829"/>
      <c r="C81829"/>
      <c r="E81829"/>
      <c r="F81829"/>
    </row>
    <row r="81830" spans="1:6" x14ac:dyDescent="0.25">
      <c r="A81830"/>
      <c r="B81830"/>
      <c r="C81830"/>
      <c r="E81830"/>
      <c r="F81830"/>
    </row>
    <row r="81831" spans="1:6" x14ac:dyDescent="0.25">
      <c r="A81831"/>
      <c r="B81831"/>
      <c r="C81831"/>
      <c r="E81831"/>
      <c r="F81831"/>
    </row>
    <row r="81832" spans="1:6" x14ac:dyDescent="0.25">
      <c r="A81832"/>
      <c r="B81832"/>
      <c r="C81832"/>
      <c r="E81832"/>
      <c r="F81832"/>
    </row>
    <row r="81833" spans="1:6" x14ac:dyDescent="0.25">
      <c r="A81833"/>
      <c r="B81833"/>
      <c r="C81833"/>
      <c r="E81833"/>
      <c r="F81833"/>
    </row>
    <row r="81834" spans="1:6" x14ac:dyDescent="0.25">
      <c r="A81834"/>
      <c r="B81834"/>
      <c r="C81834"/>
      <c r="E81834"/>
      <c r="F81834"/>
    </row>
    <row r="81835" spans="1:6" x14ac:dyDescent="0.25">
      <c r="A81835"/>
      <c r="B81835"/>
      <c r="C81835"/>
      <c r="E81835"/>
      <c r="F81835"/>
    </row>
    <row r="81836" spans="1:6" x14ac:dyDescent="0.25">
      <c r="A81836"/>
      <c r="B81836"/>
      <c r="C81836"/>
      <c r="E81836"/>
      <c r="F81836"/>
    </row>
    <row r="81837" spans="1:6" x14ac:dyDescent="0.25">
      <c r="A81837"/>
      <c r="B81837"/>
      <c r="C81837"/>
      <c r="E81837"/>
      <c r="F81837"/>
    </row>
    <row r="81838" spans="1:6" x14ac:dyDescent="0.25">
      <c r="A81838"/>
      <c r="B81838"/>
      <c r="C81838"/>
      <c r="E81838"/>
      <c r="F81838"/>
    </row>
    <row r="81839" spans="1:6" x14ac:dyDescent="0.25">
      <c r="A81839"/>
      <c r="B81839"/>
      <c r="C81839"/>
      <c r="E81839"/>
      <c r="F81839"/>
    </row>
    <row r="81840" spans="1:6" x14ac:dyDescent="0.25">
      <c r="A81840"/>
      <c r="B81840"/>
      <c r="C81840"/>
      <c r="E81840"/>
      <c r="F81840"/>
    </row>
    <row r="81841" spans="1:6" x14ac:dyDescent="0.25">
      <c r="A81841"/>
      <c r="B81841"/>
      <c r="C81841"/>
      <c r="E81841"/>
      <c r="F81841"/>
    </row>
    <row r="81842" spans="1:6" x14ac:dyDescent="0.25">
      <c r="A81842"/>
      <c r="B81842"/>
      <c r="C81842"/>
      <c r="E81842"/>
      <c r="F81842"/>
    </row>
    <row r="81843" spans="1:6" x14ac:dyDescent="0.25">
      <c r="A81843"/>
      <c r="B81843"/>
      <c r="C81843"/>
      <c r="E81843"/>
      <c r="F81843"/>
    </row>
    <row r="81844" spans="1:6" x14ac:dyDescent="0.25">
      <c r="A81844"/>
      <c r="B81844"/>
      <c r="C81844"/>
      <c r="E81844"/>
      <c r="F81844"/>
    </row>
    <row r="81845" spans="1:6" x14ac:dyDescent="0.25">
      <c r="A81845"/>
      <c r="B81845"/>
      <c r="C81845"/>
      <c r="E81845"/>
      <c r="F81845"/>
    </row>
    <row r="81846" spans="1:6" x14ac:dyDescent="0.25">
      <c r="A81846"/>
      <c r="B81846"/>
      <c r="C81846"/>
      <c r="E81846"/>
      <c r="F81846"/>
    </row>
    <row r="81847" spans="1:6" x14ac:dyDescent="0.25">
      <c r="A81847"/>
      <c r="B81847"/>
      <c r="C81847"/>
      <c r="E81847"/>
      <c r="F81847"/>
    </row>
    <row r="81848" spans="1:6" x14ac:dyDescent="0.25">
      <c r="A81848"/>
      <c r="B81848"/>
      <c r="C81848"/>
      <c r="E81848"/>
      <c r="F81848"/>
    </row>
    <row r="81849" spans="1:6" x14ac:dyDescent="0.25">
      <c r="A81849"/>
      <c r="B81849"/>
      <c r="C81849"/>
      <c r="E81849"/>
      <c r="F81849"/>
    </row>
    <row r="81850" spans="1:6" x14ac:dyDescent="0.25">
      <c r="A81850"/>
      <c r="B81850"/>
      <c r="C81850"/>
      <c r="E81850"/>
      <c r="F81850"/>
    </row>
    <row r="81851" spans="1:6" x14ac:dyDescent="0.25">
      <c r="A81851"/>
      <c r="B81851"/>
      <c r="C81851"/>
      <c r="E81851"/>
      <c r="F81851"/>
    </row>
    <row r="81852" spans="1:6" x14ac:dyDescent="0.25">
      <c r="A81852"/>
      <c r="B81852"/>
      <c r="C81852"/>
      <c r="E81852"/>
      <c r="F81852"/>
    </row>
    <row r="81853" spans="1:6" x14ac:dyDescent="0.25">
      <c r="A81853"/>
      <c r="B81853"/>
      <c r="C81853"/>
      <c r="E81853"/>
      <c r="F81853"/>
    </row>
    <row r="81854" spans="1:6" x14ac:dyDescent="0.25">
      <c r="A81854"/>
      <c r="B81854"/>
      <c r="C81854"/>
      <c r="E81854"/>
      <c r="F81854"/>
    </row>
    <row r="81855" spans="1:6" x14ac:dyDescent="0.25">
      <c r="A81855"/>
      <c r="B81855"/>
      <c r="C81855"/>
      <c r="E81855"/>
      <c r="F81855"/>
    </row>
    <row r="81856" spans="1:6" x14ac:dyDescent="0.25">
      <c r="A81856"/>
      <c r="B81856"/>
      <c r="C81856"/>
      <c r="E81856"/>
      <c r="F81856"/>
    </row>
    <row r="81857" spans="1:6" x14ac:dyDescent="0.25">
      <c r="A81857"/>
      <c r="B81857"/>
      <c r="C81857"/>
      <c r="E81857"/>
      <c r="F81857"/>
    </row>
    <row r="81858" spans="1:6" x14ac:dyDescent="0.25">
      <c r="A81858"/>
      <c r="B81858"/>
      <c r="C81858"/>
      <c r="E81858"/>
      <c r="F81858"/>
    </row>
    <row r="81859" spans="1:6" x14ac:dyDescent="0.25">
      <c r="A81859"/>
      <c r="B81859"/>
      <c r="C81859"/>
      <c r="E81859"/>
      <c r="F81859"/>
    </row>
    <row r="81860" spans="1:6" x14ac:dyDescent="0.25">
      <c r="A81860"/>
      <c r="B81860"/>
      <c r="C81860"/>
      <c r="E81860"/>
      <c r="F81860"/>
    </row>
    <row r="81861" spans="1:6" x14ac:dyDescent="0.25">
      <c r="A81861"/>
      <c r="B81861"/>
      <c r="C81861"/>
      <c r="E81861"/>
      <c r="F81861"/>
    </row>
    <row r="81862" spans="1:6" x14ac:dyDescent="0.25">
      <c r="A81862"/>
      <c r="B81862"/>
      <c r="C81862"/>
      <c r="E81862"/>
      <c r="F81862"/>
    </row>
    <row r="81863" spans="1:6" x14ac:dyDescent="0.25">
      <c r="A81863"/>
      <c r="B81863"/>
      <c r="C81863"/>
      <c r="E81863"/>
      <c r="F81863"/>
    </row>
    <row r="81864" spans="1:6" x14ac:dyDescent="0.25">
      <c r="A81864"/>
      <c r="B81864"/>
      <c r="C81864"/>
      <c r="E81864"/>
      <c r="F81864"/>
    </row>
    <row r="81865" spans="1:6" x14ac:dyDescent="0.25">
      <c r="A81865"/>
      <c r="B81865"/>
      <c r="C81865"/>
      <c r="E81865"/>
      <c r="F81865"/>
    </row>
    <row r="81866" spans="1:6" x14ac:dyDescent="0.25">
      <c r="A81866"/>
      <c r="B81866"/>
      <c r="C81866"/>
      <c r="E81866"/>
      <c r="F81866"/>
    </row>
    <row r="81867" spans="1:6" x14ac:dyDescent="0.25">
      <c r="A81867"/>
      <c r="B81867"/>
      <c r="C81867"/>
      <c r="E81867"/>
      <c r="F81867"/>
    </row>
    <row r="81868" spans="1:6" x14ac:dyDescent="0.25">
      <c r="A81868"/>
      <c r="B81868"/>
      <c r="C81868"/>
      <c r="E81868"/>
      <c r="F81868"/>
    </row>
    <row r="81869" spans="1:6" x14ac:dyDescent="0.25">
      <c r="A81869"/>
      <c r="B81869"/>
      <c r="C81869"/>
      <c r="E81869"/>
      <c r="F81869"/>
    </row>
    <row r="81870" spans="1:6" x14ac:dyDescent="0.25">
      <c r="A81870"/>
      <c r="B81870"/>
      <c r="C81870"/>
      <c r="E81870"/>
      <c r="F81870"/>
    </row>
    <row r="81871" spans="1:6" x14ac:dyDescent="0.25">
      <c r="A81871"/>
      <c r="B81871"/>
      <c r="C81871"/>
      <c r="E81871"/>
      <c r="F81871"/>
    </row>
    <row r="81872" spans="1:6" x14ac:dyDescent="0.25">
      <c r="A81872"/>
      <c r="B81872"/>
      <c r="C81872"/>
      <c r="E81872"/>
      <c r="F81872"/>
    </row>
    <row r="81873" spans="1:6" x14ac:dyDescent="0.25">
      <c r="A81873"/>
      <c r="B81873"/>
      <c r="C81873"/>
      <c r="E81873"/>
      <c r="F81873"/>
    </row>
    <row r="81874" spans="1:6" x14ac:dyDescent="0.25">
      <c r="A81874"/>
      <c r="B81874"/>
      <c r="C81874"/>
      <c r="E81874"/>
      <c r="F81874"/>
    </row>
    <row r="81875" spans="1:6" x14ac:dyDescent="0.25">
      <c r="A81875"/>
      <c r="B81875"/>
      <c r="C81875"/>
      <c r="E81875"/>
      <c r="F81875"/>
    </row>
    <row r="81876" spans="1:6" x14ac:dyDescent="0.25">
      <c r="A81876"/>
      <c r="B81876"/>
      <c r="C81876"/>
      <c r="E81876"/>
      <c r="F81876"/>
    </row>
    <row r="81877" spans="1:6" x14ac:dyDescent="0.25">
      <c r="A81877"/>
      <c r="B81877"/>
      <c r="C81877"/>
      <c r="E81877"/>
      <c r="F81877"/>
    </row>
    <row r="81878" spans="1:6" x14ac:dyDescent="0.25">
      <c r="A81878"/>
      <c r="B81878"/>
      <c r="C81878"/>
      <c r="E81878"/>
      <c r="F81878"/>
    </row>
    <row r="81879" spans="1:6" x14ac:dyDescent="0.25">
      <c r="A81879"/>
      <c r="B81879"/>
      <c r="C81879"/>
      <c r="E81879"/>
      <c r="F81879"/>
    </row>
    <row r="81880" spans="1:6" x14ac:dyDescent="0.25">
      <c r="A81880"/>
      <c r="B81880"/>
      <c r="C81880"/>
      <c r="E81880"/>
      <c r="F81880"/>
    </row>
    <row r="81881" spans="1:6" x14ac:dyDescent="0.25">
      <c r="A81881"/>
      <c r="B81881"/>
      <c r="C81881"/>
      <c r="E81881"/>
      <c r="F81881"/>
    </row>
    <row r="81882" spans="1:6" x14ac:dyDescent="0.25">
      <c r="A81882"/>
      <c r="B81882"/>
      <c r="C81882"/>
      <c r="E81882"/>
      <c r="F81882"/>
    </row>
    <row r="81883" spans="1:6" x14ac:dyDescent="0.25">
      <c r="A81883"/>
      <c r="B81883"/>
      <c r="C81883"/>
      <c r="E81883"/>
      <c r="F81883"/>
    </row>
    <row r="81884" spans="1:6" x14ac:dyDescent="0.25">
      <c r="A81884"/>
      <c r="B81884"/>
      <c r="C81884"/>
      <c r="E81884"/>
      <c r="F81884"/>
    </row>
    <row r="81885" spans="1:6" x14ac:dyDescent="0.25">
      <c r="A81885"/>
      <c r="B81885"/>
      <c r="C81885"/>
      <c r="E81885"/>
      <c r="F81885"/>
    </row>
    <row r="81886" spans="1:6" x14ac:dyDescent="0.25">
      <c r="A81886"/>
      <c r="B81886"/>
      <c r="C81886"/>
      <c r="E81886"/>
      <c r="F81886"/>
    </row>
    <row r="81887" spans="1:6" x14ac:dyDescent="0.25">
      <c r="A81887"/>
      <c r="B81887"/>
      <c r="C81887"/>
      <c r="E81887"/>
      <c r="F81887"/>
    </row>
    <row r="81888" spans="1:6" x14ac:dyDescent="0.25">
      <c r="A81888"/>
      <c r="B81888"/>
      <c r="C81888"/>
      <c r="E81888"/>
      <c r="F81888"/>
    </row>
    <row r="81889" spans="1:6" x14ac:dyDescent="0.25">
      <c r="A81889"/>
      <c r="B81889"/>
      <c r="C81889"/>
      <c r="E81889"/>
      <c r="F81889"/>
    </row>
    <row r="81890" spans="1:6" x14ac:dyDescent="0.25">
      <c r="A81890"/>
      <c r="B81890"/>
      <c r="C81890"/>
      <c r="E81890"/>
      <c r="F81890"/>
    </row>
    <row r="81891" spans="1:6" x14ac:dyDescent="0.25">
      <c r="A81891"/>
      <c r="B81891"/>
      <c r="C81891"/>
      <c r="E81891"/>
      <c r="F81891"/>
    </row>
    <row r="81892" spans="1:6" x14ac:dyDescent="0.25">
      <c r="A81892"/>
      <c r="B81892"/>
      <c r="C81892"/>
      <c r="E81892"/>
      <c r="F81892"/>
    </row>
    <row r="81893" spans="1:6" x14ac:dyDescent="0.25">
      <c r="A81893"/>
      <c r="B81893"/>
      <c r="C81893"/>
      <c r="E81893"/>
      <c r="F81893"/>
    </row>
    <row r="81894" spans="1:6" x14ac:dyDescent="0.25">
      <c r="A81894"/>
      <c r="B81894"/>
      <c r="C81894"/>
      <c r="E81894"/>
      <c r="F81894"/>
    </row>
    <row r="81895" spans="1:6" x14ac:dyDescent="0.25">
      <c r="A81895"/>
      <c r="B81895"/>
      <c r="C81895"/>
      <c r="E81895"/>
      <c r="F81895"/>
    </row>
    <row r="81896" spans="1:6" x14ac:dyDescent="0.25">
      <c r="A81896"/>
      <c r="B81896"/>
      <c r="C81896"/>
      <c r="E81896"/>
      <c r="F81896"/>
    </row>
    <row r="81897" spans="1:6" x14ac:dyDescent="0.25">
      <c r="A81897"/>
      <c r="B81897"/>
      <c r="C81897"/>
      <c r="E81897"/>
      <c r="F81897"/>
    </row>
    <row r="81898" spans="1:6" x14ac:dyDescent="0.25">
      <c r="A81898"/>
      <c r="B81898"/>
      <c r="C81898"/>
      <c r="E81898"/>
      <c r="F81898"/>
    </row>
    <row r="81899" spans="1:6" x14ac:dyDescent="0.25">
      <c r="A81899"/>
      <c r="B81899"/>
      <c r="C81899"/>
      <c r="E81899"/>
      <c r="F81899"/>
    </row>
    <row r="81900" spans="1:6" x14ac:dyDescent="0.25">
      <c r="A81900"/>
      <c r="B81900"/>
      <c r="C81900"/>
      <c r="E81900"/>
      <c r="F81900"/>
    </row>
    <row r="81901" spans="1:6" x14ac:dyDescent="0.25">
      <c r="A81901"/>
      <c r="B81901"/>
      <c r="C81901"/>
      <c r="E81901"/>
      <c r="F81901"/>
    </row>
    <row r="81902" spans="1:6" x14ac:dyDescent="0.25">
      <c r="A81902"/>
      <c r="B81902"/>
      <c r="C81902"/>
      <c r="E81902"/>
      <c r="F81902"/>
    </row>
    <row r="81903" spans="1:6" x14ac:dyDescent="0.25">
      <c r="A81903"/>
      <c r="B81903"/>
      <c r="C81903"/>
      <c r="E81903"/>
      <c r="F81903"/>
    </row>
    <row r="81904" spans="1:6" x14ac:dyDescent="0.25">
      <c r="A81904"/>
      <c r="B81904"/>
      <c r="C81904"/>
      <c r="E81904"/>
      <c r="F81904"/>
    </row>
    <row r="81905" spans="1:6" x14ac:dyDescent="0.25">
      <c r="A81905"/>
      <c r="B81905"/>
      <c r="C81905"/>
      <c r="E81905"/>
      <c r="F81905"/>
    </row>
    <row r="81906" spans="1:6" x14ac:dyDescent="0.25">
      <c r="A81906"/>
      <c r="B81906"/>
      <c r="C81906"/>
      <c r="E81906"/>
      <c r="F81906"/>
    </row>
    <row r="81907" spans="1:6" x14ac:dyDescent="0.25">
      <c r="A81907"/>
      <c r="B81907"/>
      <c r="C81907"/>
      <c r="E81907"/>
      <c r="F81907"/>
    </row>
    <row r="81908" spans="1:6" x14ac:dyDescent="0.25">
      <c r="A81908"/>
      <c r="B81908"/>
      <c r="C81908"/>
      <c r="E81908"/>
      <c r="F81908"/>
    </row>
    <row r="81909" spans="1:6" x14ac:dyDescent="0.25">
      <c r="A81909"/>
      <c r="B81909"/>
      <c r="C81909"/>
      <c r="E81909"/>
      <c r="F81909"/>
    </row>
    <row r="81910" spans="1:6" x14ac:dyDescent="0.25">
      <c r="A81910"/>
      <c r="B81910"/>
      <c r="C81910"/>
      <c r="E81910"/>
      <c r="F81910"/>
    </row>
    <row r="81911" spans="1:6" x14ac:dyDescent="0.25">
      <c r="A81911"/>
      <c r="B81911"/>
      <c r="C81911"/>
      <c r="E81911"/>
      <c r="F81911"/>
    </row>
    <row r="81912" spans="1:6" x14ac:dyDescent="0.25">
      <c r="A81912"/>
      <c r="B81912"/>
      <c r="C81912"/>
      <c r="E81912"/>
      <c r="F81912"/>
    </row>
    <row r="81913" spans="1:6" x14ac:dyDescent="0.25">
      <c r="A81913"/>
      <c r="B81913"/>
      <c r="C81913"/>
      <c r="E81913"/>
      <c r="F81913"/>
    </row>
    <row r="81914" spans="1:6" x14ac:dyDescent="0.25">
      <c r="A81914"/>
      <c r="B81914"/>
      <c r="C81914"/>
      <c r="E81914"/>
      <c r="F81914"/>
    </row>
    <row r="81915" spans="1:6" x14ac:dyDescent="0.25">
      <c r="A81915"/>
      <c r="B81915"/>
      <c r="C81915"/>
      <c r="E81915"/>
      <c r="F81915"/>
    </row>
    <row r="81916" spans="1:6" x14ac:dyDescent="0.25">
      <c r="A81916"/>
      <c r="B81916"/>
      <c r="C81916"/>
      <c r="E81916"/>
      <c r="F81916"/>
    </row>
    <row r="81917" spans="1:6" x14ac:dyDescent="0.25">
      <c r="A81917"/>
      <c r="B81917"/>
      <c r="C81917"/>
      <c r="E81917"/>
      <c r="F81917"/>
    </row>
    <row r="81918" spans="1:6" x14ac:dyDescent="0.25">
      <c r="A81918"/>
      <c r="B81918"/>
      <c r="C81918"/>
      <c r="E81918"/>
      <c r="F81918"/>
    </row>
    <row r="81919" spans="1:6" x14ac:dyDescent="0.25">
      <c r="A81919"/>
      <c r="B81919"/>
      <c r="C81919"/>
      <c r="E81919"/>
      <c r="F81919"/>
    </row>
    <row r="81920" spans="1:6" x14ac:dyDescent="0.25">
      <c r="A81920"/>
      <c r="B81920"/>
      <c r="C81920"/>
      <c r="E81920"/>
      <c r="F81920"/>
    </row>
    <row r="81921" spans="1:6" x14ac:dyDescent="0.25">
      <c r="A81921"/>
      <c r="B81921"/>
      <c r="C81921"/>
      <c r="E81921"/>
      <c r="F81921"/>
    </row>
    <row r="81922" spans="1:6" x14ac:dyDescent="0.25">
      <c r="A81922"/>
      <c r="B81922"/>
      <c r="C81922"/>
      <c r="E81922"/>
      <c r="F81922"/>
    </row>
    <row r="81923" spans="1:6" x14ac:dyDescent="0.25">
      <c r="A81923"/>
      <c r="B81923"/>
      <c r="C81923"/>
      <c r="E81923"/>
      <c r="F81923"/>
    </row>
    <row r="81924" spans="1:6" x14ac:dyDescent="0.25">
      <c r="A81924"/>
      <c r="B81924"/>
      <c r="C81924"/>
      <c r="E81924"/>
      <c r="F81924"/>
    </row>
    <row r="81925" spans="1:6" x14ac:dyDescent="0.25">
      <c r="A81925"/>
      <c r="B81925"/>
      <c r="C81925"/>
      <c r="E81925"/>
      <c r="F81925"/>
    </row>
    <row r="81926" spans="1:6" x14ac:dyDescent="0.25">
      <c r="A81926"/>
      <c r="B81926"/>
      <c r="C81926"/>
      <c r="E81926"/>
      <c r="F81926"/>
    </row>
    <row r="81927" spans="1:6" x14ac:dyDescent="0.25">
      <c r="A81927"/>
      <c r="B81927"/>
      <c r="C81927"/>
      <c r="E81927"/>
      <c r="F81927"/>
    </row>
    <row r="81928" spans="1:6" x14ac:dyDescent="0.25">
      <c r="A81928"/>
      <c r="B81928"/>
      <c r="C81928"/>
      <c r="E81928"/>
      <c r="F81928"/>
    </row>
    <row r="81929" spans="1:6" x14ac:dyDescent="0.25">
      <c r="A81929"/>
      <c r="B81929"/>
      <c r="C81929"/>
      <c r="E81929"/>
      <c r="F81929"/>
    </row>
    <row r="81930" spans="1:6" x14ac:dyDescent="0.25">
      <c r="A81930"/>
      <c r="B81930"/>
      <c r="C81930"/>
      <c r="E81930"/>
      <c r="F81930"/>
    </row>
    <row r="81931" spans="1:6" x14ac:dyDescent="0.25">
      <c r="A81931"/>
      <c r="B81931"/>
      <c r="C81931"/>
      <c r="E81931"/>
      <c r="F81931"/>
    </row>
    <row r="81932" spans="1:6" x14ac:dyDescent="0.25">
      <c r="A81932"/>
      <c r="B81932"/>
      <c r="C81932"/>
      <c r="E81932"/>
      <c r="F81932"/>
    </row>
    <row r="81933" spans="1:6" x14ac:dyDescent="0.25">
      <c r="A81933"/>
      <c r="B81933"/>
      <c r="C81933"/>
      <c r="E81933"/>
      <c r="F81933"/>
    </row>
    <row r="81934" spans="1:6" x14ac:dyDescent="0.25">
      <c r="A81934"/>
      <c r="B81934"/>
      <c r="C81934"/>
      <c r="E81934"/>
      <c r="F81934"/>
    </row>
    <row r="81935" spans="1:6" x14ac:dyDescent="0.25">
      <c r="A81935"/>
      <c r="B81935"/>
      <c r="C81935"/>
      <c r="E81935"/>
      <c r="F81935"/>
    </row>
    <row r="81936" spans="1:6" x14ac:dyDescent="0.25">
      <c r="A81936"/>
      <c r="B81936"/>
      <c r="C81936"/>
      <c r="E81936"/>
      <c r="F81936"/>
    </row>
    <row r="81937" spans="1:6" x14ac:dyDescent="0.25">
      <c r="A81937"/>
      <c r="B81937"/>
      <c r="C81937"/>
      <c r="E81937"/>
      <c r="F81937"/>
    </row>
    <row r="81938" spans="1:6" x14ac:dyDescent="0.25">
      <c r="A81938"/>
      <c r="B81938"/>
      <c r="C81938"/>
      <c r="E81938"/>
      <c r="F81938"/>
    </row>
    <row r="81939" spans="1:6" x14ac:dyDescent="0.25">
      <c r="A81939"/>
      <c r="B81939"/>
      <c r="C81939"/>
      <c r="E81939"/>
      <c r="F81939"/>
    </row>
    <row r="81940" spans="1:6" x14ac:dyDescent="0.25">
      <c r="A81940"/>
      <c r="B81940"/>
      <c r="C81940"/>
      <c r="E81940"/>
      <c r="F81940"/>
    </row>
    <row r="81941" spans="1:6" x14ac:dyDescent="0.25">
      <c r="A81941"/>
      <c r="B81941"/>
      <c r="C81941"/>
      <c r="E81941"/>
      <c r="F81941"/>
    </row>
    <row r="81942" spans="1:6" x14ac:dyDescent="0.25">
      <c r="A81942"/>
      <c r="B81942"/>
      <c r="C81942"/>
      <c r="E81942"/>
      <c r="F81942"/>
    </row>
    <row r="81943" spans="1:6" x14ac:dyDescent="0.25">
      <c r="A81943"/>
      <c r="B81943"/>
      <c r="C81943"/>
      <c r="E81943"/>
      <c r="F81943"/>
    </row>
    <row r="81944" spans="1:6" x14ac:dyDescent="0.25">
      <c r="A81944"/>
      <c r="B81944"/>
      <c r="C81944"/>
      <c r="E81944"/>
      <c r="F81944"/>
    </row>
    <row r="81945" spans="1:6" x14ac:dyDescent="0.25">
      <c r="A81945"/>
      <c r="B81945"/>
      <c r="C81945"/>
      <c r="E81945"/>
      <c r="F81945"/>
    </row>
    <row r="81946" spans="1:6" x14ac:dyDescent="0.25">
      <c r="A81946"/>
      <c r="B81946"/>
      <c r="C81946"/>
      <c r="E81946"/>
      <c r="F81946"/>
    </row>
    <row r="81947" spans="1:6" x14ac:dyDescent="0.25">
      <c r="A81947"/>
      <c r="B81947"/>
      <c r="C81947"/>
      <c r="E81947"/>
      <c r="F81947"/>
    </row>
    <row r="81948" spans="1:6" x14ac:dyDescent="0.25">
      <c r="A81948"/>
      <c r="B81948"/>
      <c r="C81948"/>
      <c r="E81948"/>
      <c r="F81948"/>
    </row>
    <row r="81949" spans="1:6" x14ac:dyDescent="0.25">
      <c r="A81949"/>
      <c r="B81949"/>
      <c r="C81949"/>
      <c r="E81949"/>
      <c r="F81949"/>
    </row>
    <row r="81950" spans="1:6" x14ac:dyDescent="0.25">
      <c r="A81950"/>
      <c r="B81950"/>
      <c r="C81950"/>
      <c r="E81950"/>
      <c r="F81950"/>
    </row>
    <row r="81951" spans="1:6" x14ac:dyDescent="0.25">
      <c r="A81951"/>
      <c r="B81951"/>
      <c r="C81951"/>
      <c r="E81951"/>
      <c r="F81951"/>
    </row>
    <row r="81952" spans="1:6" x14ac:dyDescent="0.25">
      <c r="A81952"/>
      <c r="B81952"/>
      <c r="C81952"/>
      <c r="E81952"/>
      <c r="F81952"/>
    </row>
    <row r="81953" spans="1:6" x14ac:dyDescent="0.25">
      <c r="A81953"/>
      <c r="B81953"/>
      <c r="C81953"/>
      <c r="E81953"/>
      <c r="F81953"/>
    </row>
    <row r="81954" spans="1:6" x14ac:dyDescent="0.25">
      <c r="A81954"/>
      <c r="B81954"/>
      <c r="C81954"/>
      <c r="E81954"/>
      <c r="F81954"/>
    </row>
    <row r="81955" spans="1:6" x14ac:dyDescent="0.25">
      <c r="A81955"/>
      <c r="B81955"/>
      <c r="C81955"/>
      <c r="E81955"/>
      <c r="F81955"/>
    </row>
    <row r="81956" spans="1:6" x14ac:dyDescent="0.25">
      <c r="A81956"/>
      <c r="B81956"/>
      <c r="C81956"/>
      <c r="E81956"/>
      <c r="F81956"/>
    </row>
    <row r="81957" spans="1:6" x14ac:dyDescent="0.25">
      <c r="A81957"/>
      <c r="B81957"/>
      <c r="C81957"/>
      <c r="E81957"/>
      <c r="F81957"/>
    </row>
    <row r="81958" spans="1:6" x14ac:dyDescent="0.25">
      <c r="A81958"/>
      <c r="B81958"/>
      <c r="C81958"/>
      <c r="E81958"/>
      <c r="F81958"/>
    </row>
    <row r="81959" spans="1:6" x14ac:dyDescent="0.25">
      <c r="A81959"/>
      <c r="B81959"/>
      <c r="C81959"/>
      <c r="E81959"/>
      <c r="F81959"/>
    </row>
    <row r="81960" spans="1:6" x14ac:dyDescent="0.25">
      <c r="A81960"/>
      <c r="B81960"/>
      <c r="C81960"/>
      <c r="E81960"/>
      <c r="F81960"/>
    </row>
    <row r="81961" spans="1:6" x14ac:dyDescent="0.25">
      <c r="A81961"/>
      <c r="B81961"/>
      <c r="C81961"/>
      <c r="E81961"/>
      <c r="F81961"/>
    </row>
    <row r="81962" spans="1:6" x14ac:dyDescent="0.25">
      <c r="A81962"/>
      <c r="B81962"/>
      <c r="C81962"/>
      <c r="E81962"/>
      <c r="F81962"/>
    </row>
    <row r="81963" spans="1:6" x14ac:dyDescent="0.25">
      <c r="A81963"/>
      <c r="B81963"/>
      <c r="C81963"/>
      <c r="E81963"/>
      <c r="F81963"/>
    </row>
    <row r="81964" spans="1:6" x14ac:dyDescent="0.25">
      <c r="A81964"/>
      <c r="B81964"/>
      <c r="C81964"/>
      <c r="E81964"/>
      <c r="F81964"/>
    </row>
    <row r="81965" spans="1:6" x14ac:dyDescent="0.25">
      <c r="A81965"/>
      <c r="B81965"/>
      <c r="C81965"/>
      <c r="E81965"/>
      <c r="F81965"/>
    </row>
    <row r="81966" spans="1:6" x14ac:dyDescent="0.25">
      <c r="A81966"/>
      <c r="B81966"/>
      <c r="C81966"/>
      <c r="E81966"/>
      <c r="F81966"/>
    </row>
    <row r="81967" spans="1:6" x14ac:dyDescent="0.25">
      <c r="A81967"/>
      <c r="B81967"/>
      <c r="C81967"/>
      <c r="E81967"/>
      <c r="F81967"/>
    </row>
    <row r="81968" spans="1:6" x14ac:dyDescent="0.25">
      <c r="A81968"/>
      <c r="B81968"/>
      <c r="C81968"/>
      <c r="E81968"/>
      <c r="F81968"/>
    </row>
    <row r="81969" spans="1:6" x14ac:dyDescent="0.25">
      <c r="A81969"/>
      <c r="B81969"/>
      <c r="C81969"/>
      <c r="E81969"/>
      <c r="F81969"/>
    </row>
    <row r="81970" spans="1:6" x14ac:dyDescent="0.25">
      <c r="A81970"/>
      <c r="B81970"/>
      <c r="C81970"/>
      <c r="E81970"/>
      <c r="F81970"/>
    </row>
    <row r="81971" spans="1:6" x14ac:dyDescent="0.25">
      <c r="A81971"/>
      <c r="B81971"/>
      <c r="C81971"/>
      <c r="E81971"/>
      <c r="F81971"/>
    </row>
    <row r="81972" spans="1:6" x14ac:dyDescent="0.25">
      <c r="A81972"/>
      <c r="B81972"/>
      <c r="C81972"/>
      <c r="E81972"/>
      <c r="F81972"/>
    </row>
    <row r="81973" spans="1:6" x14ac:dyDescent="0.25">
      <c r="A81973"/>
      <c r="B81973"/>
      <c r="C81973"/>
      <c r="E81973"/>
      <c r="F81973"/>
    </row>
    <row r="81974" spans="1:6" x14ac:dyDescent="0.25">
      <c r="A81974"/>
      <c r="B81974"/>
      <c r="C81974"/>
      <c r="E81974"/>
      <c r="F81974"/>
    </row>
    <row r="81975" spans="1:6" x14ac:dyDescent="0.25">
      <c r="A81975"/>
      <c r="B81975"/>
      <c r="C81975"/>
      <c r="E81975"/>
      <c r="F81975"/>
    </row>
    <row r="81976" spans="1:6" x14ac:dyDescent="0.25">
      <c r="A81976"/>
      <c r="B81976"/>
      <c r="C81976"/>
      <c r="E81976"/>
      <c r="F81976"/>
    </row>
    <row r="81977" spans="1:6" x14ac:dyDescent="0.25">
      <c r="A81977"/>
      <c r="B81977"/>
      <c r="C81977"/>
      <c r="E81977"/>
      <c r="F81977"/>
    </row>
    <row r="81978" spans="1:6" x14ac:dyDescent="0.25">
      <c r="A81978"/>
      <c r="B81978"/>
      <c r="C81978"/>
      <c r="E81978"/>
      <c r="F81978"/>
    </row>
    <row r="81979" spans="1:6" x14ac:dyDescent="0.25">
      <c r="A81979"/>
      <c r="B81979"/>
      <c r="C81979"/>
      <c r="E81979"/>
      <c r="F81979"/>
    </row>
    <row r="81980" spans="1:6" x14ac:dyDescent="0.25">
      <c r="A81980"/>
      <c r="B81980"/>
      <c r="C81980"/>
      <c r="E81980"/>
      <c r="F81980"/>
    </row>
    <row r="81981" spans="1:6" x14ac:dyDescent="0.25">
      <c r="A81981"/>
      <c r="B81981"/>
      <c r="C81981"/>
      <c r="E81981"/>
      <c r="F81981"/>
    </row>
    <row r="81982" spans="1:6" x14ac:dyDescent="0.25">
      <c r="A81982"/>
      <c r="B81982"/>
      <c r="C81982"/>
      <c r="E81982"/>
      <c r="F81982"/>
    </row>
    <row r="81983" spans="1:6" x14ac:dyDescent="0.25">
      <c r="A81983"/>
      <c r="B81983"/>
      <c r="C81983"/>
      <c r="E81983"/>
      <c r="F81983"/>
    </row>
    <row r="81984" spans="1:6" x14ac:dyDescent="0.25">
      <c r="A81984"/>
      <c r="B81984"/>
      <c r="C81984"/>
      <c r="E81984"/>
      <c r="F81984"/>
    </row>
    <row r="81985" spans="1:6" x14ac:dyDescent="0.25">
      <c r="A81985"/>
      <c r="B81985"/>
      <c r="C81985"/>
      <c r="E81985"/>
      <c r="F81985"/>
    </row>
    <row r="81986" spans="1:6" x14ac:dyDescent="0.25">
      <c r="A81986"/>
      <c r="B81986"/>
      <c r="C81986"/>
      <c r="E81986"/>
      <c r="F81986"/>
    </row>
    <row r="81987" spans="1:6" x14ac:dyDescent="0.25">
      <c r="A81987"/>
      <c r="B81987"/>
      <c r="C81987"/>
      <c r="E81987"/>
      <c r="F81987"/>
    </row>
    <row r="81988" spans="1:6" x14ac:dyDescent="0.25">
      <c r="A81988"/>
      <c r="B81988"/>
      <c r="C81988"/>
      <c r="E81988"/>
      <c r="F81988"/>
    </row>
    <row r="81989" spans="1:6" x14ac:dyDescent="0.25">
      <c r="A81989"/>
      <c r="B81989"/>
      <c r="C81989"/>
      <c r="E81989"/>
      <c r="F81989"/>
    </row>
    <row r="81990" spans="1:6" x14ac:dyDescent="0.25">
      <c r="A81990"/>
      <c r="B81990"/>
      <c r="C81990"/>
      <c r="E81990"/>
      <c r="F81990"/>
    </row>
    <row r="81991" spans="1:6" x14ac:dyDescent="0.25">
      <c r="A81991"/>
      <c r="B81991"/>
      <c r="C81991"/>
      <c r="E81991"/>
      <c r="F81991"/>
    </row>
    <row r="81992" spans="1:6" x14ac:dyDescent="0.25">
      <c r="A81992"/>
      <c r="B81992"/>
      <c r="C81992"/>
      <c r="E81992"/>
      <c r="F81992"/>
    </row>
    <row r="81993" spans="1:6" x14ac:dyDescent="0.25">
      <c r="A81993"/>
      <c r="B81993"/>
      <c r="C81993"/>
      <c r="E81993"/>
      <c r="F81993"/>
    </row>
    <row r="81994" spans="1:6" x14ac:dyDescent="0.25">
      <c r="A81994"/>
      <c r="B81994"/>
      <c r="C81994"/>
      <c r="E81994"/>
      <c r="F81994"/>
    </row>
    <row r="81995" spans="1:6" x14ac:dyDescent="0.25">
      <c r="A81995"/>
      <c r="B81995"/>
      <c r="C81995"/>
      <c r="E81995"/>
      <c r="F81995"/>
    </row>
    <row r="81996" spans="1:6" x14ac:dyDescent="0.25">
      <c r="A81996"/>
      <c r="B81996"/>
      <c r="C81996"/>
      <c r="E81996"/>
      <c r="F81996"/>
    </row>
    <row r="81997" spans="1:6" x14ac:dyDescent="0.25">
      <c r="A81997"/>
      <c r="B81997"/>
      <c r="C81997"/>
      <c r="E81997"/>
      <c r="F81997"/>
    </row>
    <row r="81998" spans="1:6" x14ac:dyDescent="0.25">
      <c r="A81998"/>
      <c r="B81998"/>
      <c r="C81998"/>
      <c r="E81998"/>
      <c r="F81998"/>
    </row>
    <row r="81999" spans="1:6" x14ac:dyDescent="0.25">
      <c r="A81999"/>
      <c r="B81999"/>
      <c r="C81999"/>
      <c r="E81999"/>
      <c r="F81999"/>
    </row>
    <row r="82000" spans="1:6" x14ac:dyDescent="0.25">
      <c r="A82000"/>
      <c r="B82000"/>
      <c r="C82000"/>
      <c r="E82000"/>
      <c r="F82000"/>
    </row>
    <row r="82001" spans="1:6" x14ac:dyDescent="0.25">
      <c r="A82001"/>
      <c r="B82001"/>
      <c r="C82001"/>
      <c r="E82001"/>
      <c r="F82001"/>
    </row>
    <row r="82002" spans="1:6" x14ac:dyDescent="0.25">
      <c r="A82002"/>
      <c r="B82002"/>
      <c r="C82002"/>
      <c r="E82002"/>
      <c r="F82002"/>
    </row>
    <row r="82003" spans="1:6" x14ac:dyDescent="0.25">
      <c r="A82003"/>
      <c r="B82003"/>
      <c r="C82003"/>
      <c r="E82003"/>
      <c r="F82003"/>
    </row>
    <row r="82004" spans="1:6" x14ac:dyDescent="0.25">
      <c r="A82004"/>
      <c r="B82004"/>
      <c r="C82004"/>
      <c r="E82004"/>
      <c r="F82004"/>
    </row>
    <row r="82005" spans="1:6" x14ac:dyDescent="0.25">
      <c r="A82005"/>
      <c r="B82005"/>
      <c r="C82005"/>
      <c r="E82005"/>
      <c r="F82005"/>
    </row>
    <row r="82006" spans="1:6" x14ac:dyDescent="0.25">
      <c r="A82006"/>
      <c r="B82006"/>
      <c r="C82006"/>
      <c r="E82006"/>
      <c r="F82006"/>
    </row>
    <row r="82007" spans="1:6" x14ac:dyDescent="0.25">
      <c r="A82007"/>
      <c r="B82007"/>
      <c r="C82007"/>
      <c r="E82007"/>
      <c r="F82007"/>
    </row>
    <row r="82008" spans="1:6" x14ac:dyDescent="0.25">
      <c r="A82008"/>
      <c r="B82008"/>
      <c r="C82008"/>
      <c r="E82008"/>
      <c r="F82008"/>
    </row>
    <row r="82009" spans="1:6" x14ac:dyDescent="0.25">
      <c r="A82009"/>
      <c r="B82009"/>
      <c r="C82009"/>
      <c r="E82009"/>
      <c r="F82009"/>
    </row>
    <row r="82010" spans="1:6" x14ac:dyDescent="0.25">
      <c r="A82010"/>
      <c r="B82010"/>
      <c r="C82010"/>
      <c r="E82010"/>
      <c r="F82010"/>
    </row>
    <row r="82011" spans="1:6" x14ac:dyDescent="0.25">
      <c r="A82011"/>
      <c r="B82011"/>
      <c r="C82011"/>
      <c r="E82011"/>
      <c r="F82011"/>
    </row>
    <row r="82012" spans="1:6" x14ac:dyDescent="0.25">
      <c r="A82012"/>
      <c r="B82012"/>
      <c r="C82012"/>
      <c r="E82012"/>
      <c r="F82012"/>
    </row>
    <row r="82013" spans="1:6" x14ac:dyDescent="0.25">
      <c r="A82013"/>
      <c r="B82013"/>
      <c r="C82013"/>
      <c r="E82013"/>
      <c r="F82013"/>
    </row>
    <row r="82014" spans="1:6" x14ac:dyDescent="0.25">
      <c r="A82014"/>
      <c r="B82014"/>
      <c r="C82014"/>
      <c r="E82014"/>
      <c r="F82014"/>
    </row>
    <row r="82015" spans="1:6" x14ac:dyDescent="0.25">
      <c r="A82015"/>
      <c r="B82015"/>
      <c r="C82015"/>
      <c r="E82015"/>
      <c r="F82015"/>
    </row>
    <row r="82016" spans="1:6" x14ac:dyDescent="0.25">
      <c r="A82016"/>
      <c r="B82016"/>
      <c r="C82016"/>
      <c r="E82016"/>
      <c r="F82016"/>
    </row>
    <row r="82017" spans="1:6" x14ac:dyDescent="0.25">
      <c r="A82017"/>
      <c r="B82017"/>
      <c r="C82017"/>
      <c r="E82017"/>
      <c r="F82017"/>
    </row>
    <row r="82018" spans="1:6" x14ac:dyDescent="0.25">
      <c r="A82018"/>
      <c r="B82018"/>
      <c r="C82018"/>
      <c r="E82018"/>
      <c r="F82018"/>
    </row>
    <row r="82019" spans="1:6" x14ac:dyDescent="0.25">
      <c r="A82019"/>
      <c r="B82019"/>
      <c r="C82019"/>
      <c r="E82019"/>
      <c r="F82019"/>
    </row>
    <row r="82020" spans="1:6" x14ac:dyDescent="0.25">
      <c r="A82020"/>
      <c r="B82020"/>
      <c r="C82020"/>
      <c r="E82020"/>
      <c r="F82020"/>
    </row>
    <row r="82021" spans="1:6" x14ac:dyDescent="0.25">
      <c r="A82021"/>
      <c r="B82021"/>
      <c r="C82021"/>
      <c r="E82021"/>
      <c r="F82021"/>
    </row>
    <row r="82022" spans="1:6" x14ac:dyDescent="0.25">
      <c r="A82022"/>
      <c r="B82022"/>
      <c r="C82022"/>
      <c r="E82022"/>
      <c r="F82022"/>
    </row>
    <row r="82023" spans="1:6" x14ac:dyDescent="0.25">
      <c r="A82023"/>
      <c r="B82023"/>
      <c r="C82023"/>
      <c r="E82023"/>
      <c r="F82023"/>
    </row>
    <row r="82024" spans="1:6" x14ac:dyDescent="0.25">
      <c r="A82024"/>
      <c r="B82024"/>
      <c r="C82024"/>
      <c r="E82024"/>
      <c r="F82024"/>
    </row>
    <row r="82025" spans="1:6" x14ac:dyDescent="0.25">
      <c r="A82025"/>
      <c r="B82025"/>
      <c r="C82025"/>
      <c r="E82025"/>
      <c r="F82025"/>
    </row>
    <row r="82026" spans="1:6" x14ac:dyDescent="0.25">
      <c r="A82026"/>
      <c r="B82026"/>
      <c r="C82026"/>
      <c r="E82026"/>
      <c r="F82026"/>
    </row>
    <row r="82027" spans="1:6" x14ac:dyDescent="0.25">
      <c r="A82027"/>
      <c r="B82027"/>
      <c r="C82027"/>
      <c r="E82027"/>
      <c r="F82027"/>
    </row>
    <row r="82028" spans="1:6" x14ac:dyDescent="0.25">
      <c r="A82028"/>
      <c r="B82028"/>
      <c r="C82028"/>
      <c r="E82028"/>
      <c r="F82028"/>
    </row>
    <row r="82029" spans="1:6" x14ac:dyDescent="0.25">
      <c r="A82029"/>
      <c r="B82029"/>
      <c r="C82029"/>
      <c r="E82029"/>
      <c r="F82029"/>
    </row>
    <row r="82030" spans="1:6" x14ac:dyDescent="0.25">
      <c r="A82030"/>
      <c r="B82030"/>
      <c r="C82030"/>
      <c r="E82030"/>
      <c r="F82030"/>
    </row>
    <row r="82031" spans="1:6" x14ac:dyDescent="0.25">
      <c r="A82031"/>
      <c r="B82031"/>
      <c r="C82031"/>
      <c r="E82031"/>
      <c r="F82031"/>
    </row>
    <row r="82032" spans="1:6" x14ac:dyDescent="0.25">
      <c r="A82032"/>
      <c r="B82032"/>
      <c r="C82032"/>
      <c r="E82032"/>
      <c r="F82032"/>
    </row>
    <row r="82033" spans="1:6" x14ac:dyDescent="0.25">
      <c r="A82033"/>
      <c r="B82033"/>
      <c r="C82033"/>
      <c r="E82033"/>
      <c r="F82033"/>
    </row>
    <row r="82034" spans="1:6" x14ac:dyDescent="0.25">
      <c r="A82034"/>
      <c r="B82034"/>
      <c r="C82034"/>
      <c r="E82034"/>
      <c r="F82034"/>
    </row>
    <row r="82035" spans="1:6" x14ac:dyDescent="0.25">
      <c r="A82035"/>
      <c r="B82035"/>
      <c r="C82035"/>
      <c r="E82035"/>
      <c r="F82035"/>
    </row>
    <row r="82036" spans="1:6" x14ac:dyDescent="0.25">
      <c r="A82036"/>
      <c r="B82036"/>
      <c r="C82036"/>
      <c r="E82036"/>
      <c r="F82036"/>
    </row>
    <row r="82037" spans="1:6" x14ac:dyDescent="0.25">
      <c r="A82037"/>
      <c r="B82037"/>
      <c r="C82037"/>
      <c r="E82037"/>
      <c r="F82037"/>
    </row>
    <row r="82038" spans="1:6" x14ac:dyDescent="0.25">
      <c r="A82038"/>
      <c r="B82038"/>
      <c r="C82038"/>
      <c r="E82038"/>
      <c r="F82038"/>
    </row>
    <row r="82039" spans="1:6" x14ac:dyDescent="0.25">
      <c r="A82039"/>
      <c r="B82039"/>
      <c r="C82039"/>
      <c r="E82039"/>
      <c r="F82039"/>
    </row>
    <row r="82040" spans="1:6" x14ac:dyDescent="0.25">
      <c r="A82040"/>
      <c r="B82040"/>
      <c r="C82040"/>
      <c r="E82040"/>
      <c r="F82040"/>
    </row>
    <row r="82041" spans="1:6" x14ac:dyDescent="0.25">
      <c r="A82041"/>
      <c r="B82041"/>
      <c r="C82041"/>
      <c r="E82041"/>
      <c r="F82041"/>
    </row>
    <row r="82042" spans="1:6" x14ac:dyDescent="0.25">
      <c r="A82042"/>
      <c r="B82042"/>
      <c r="C82042"/>
      <c r="E82042"/>
      <c r="F82042"/>
    </row>
    <row r="82043" spans="1:6" x14ac:dyDescent="0.25">
      <c r="A82043"/>
      <c r="B82043"/>
      <c r="C82043"/>
      <c r="E82043"/>
      <c r="F82043"/>
    </row>
    <row r="82044" spans="1:6" x14ac:dyDescent="0.25">
      <c r="A82044"/>
      <c r="B82044"/>
      <c r="C82044"/>
      <c r="E82044"/>
      <c r="F82044"/>
    </row>
    <row r="82045" spans="1:6" x14ac:dyDescent="0.25">
      <c r="A82045"/>
      <c r="B82045"/>
      <c r="C82045"/>
      <c r="E82045"/>
      <c r="F82045"/>
    </row>
    <row r="82046" spans="1:6" x14ac:dyDescent="0.25">
      <c r="A82046"/>
      <c r="B82046"/>
      <c r="C82046"/>
      <c r="E82046"/>
      <c r="F82046"/>
    </row>
    <row r="82047" spans="1:6" x14ac:dyDescent="0.25">
      <c r="A82047"/>
      <c r="B82047"/>
      <c r="C82047"/>
      <c r="E82047"/>
      <c r="F82047"/>
    </row>
    <row r="82048" spans="1:6" x14ac:dyDescent="0.25">
      <c r="A82048"/>
      <c r="B82048"/>
      <c r="C82048"/>
      <c r="E82048"/>
      <c r="F82048"/>
    </row>
    <row r="82049" spans="1:6" x14ac:dyDescent="0.25">
      <c r="A82049"/>
      <c r="B82049"/>
      <c r="C82049"/>
      <c r="E82049"/>
      <c r="F82049"/>
    </row>
    <row r="82050" spans="1:6" x14ac:dyDescent="0.25">
      <c r="A82050"/>
      <c r="B82050"/>
      <c r="C82050"/>
      <c r="E82050"/>
      <c r="F82050"/>
    </row>
    <row r="82051" spans="1:6" x14ac:dyDescent="0.25">
      <c r="A82051"/>
      <c r="B82051"/>
      <c r="C82051"/>
      <c r="E82051"/>
      <c r="F82051"/>
    </row>
    <row r="82052" spans="1:6" x14ac:dyDescent="0.25">
      <c r="A82052"/>
      <c r="B82052"/>
      <c r="C82052"/>
      <c r="E82052"/>
      <c r="F82052"/>
    </row>
    <row r="82053" spans="1:6" x14ac:dyDescent="0.25">
      <c r="A82053"/>
      <c r="B82053"/>
      <c r="C82053"/>
      <c r="E82053"/>
      <c r="F82053"/>
    </row>
    <row r="82054" spans="1:6" x14ac:dyDescent="0.25">
      <c r="A82054"/>
      <c r="B82054"/>
      <c r="C82054"/>
      <c r="E82054"/>
      <c r="F82054"/>
    </row>
    <row r="82055" spans="1:6" x14ac:dyDescent="0.25">
      <c r="A82055"/>
      <c r="B82055"/>
      <c r="C82055"/>
      <c r="E82055"/>
      <c r="F82055"/>
    </row>
    <row r="82056" spans="1:6" x14ac:dyDescent="0.25">
      <c r="A82056"/>
      <c r="B82056"/>
      <c r="C82056"/>
      <c r="E82056"/>
      <c r="F82056"/>
    </row>
    <row r="82057" spans="1:6" x14ac:dyDescent="0.25">
      <c r="A82057"/>
      <c r="B82057"/>
      <c r="C82057"/>
      <c r="E82057"/>
      <c r="F82057"/>
    </row>
    <row r="82058" spans="1:6" x14ac:dyDescent="0.25">
      <c r="A82058"/>
      <c r="B82058"/>
      <c r="C82058"/>
      <c r="E82058"/>
      <c r="F82058"/>
    </row>
    <row r="82059" spans="1:6" x14ac:dyDescent="0.25">
      <c r="A82059"/>
      <c r="B82059"/>
      <c r="C82059"/>
      <c r="E82059"/>
      <c r="F82059"/>
    </row>
    <row r="82060" spans="1:6" x14ac:dyDescent="0.25">
      <c r="A82060"/>
      <c r="B82060"/>
      <c r="C82060"/>
      <c r="E82060"/>
      <c r="F82060"/>
    </row>
    <row r="82061" spans="1:6" x14ac:dyDescent="0.25">
      <c r="A82061"/>
      <c r="B82061"/>
      <c r="C82061"/>
      <c r="E82061"/>
      <c r="F82061"/>
    </row>
    <row r="82062" spans="1:6" x14ac:dyDescent="0.25">
      <c r="A82062"/>
      <c r="B82062"/>
      <c r="C82062"/>
      <c r="E82062"/>
      <c r="F82062"/>
    </row>
    <row r="82063" spans="1:6" x14ac:dyDescent="0.25">
      <c r="A82063"/>
      <c r="B82063"/>
      <c r="C82063"/>
      <c r="E82063"/>
      <c r="F82063"/>
    </row>
    <row r="82064" spans="1:6" x14ac:dyDescent="0.25">
      <c r="A82064"/>
      <c r="B82064"/>
      <c r="C82064"/>
      <c r="E82064"/>
      <c r="F82064"/>
    </row>
    <row r="82065" spans="1:6" x14ac:dyDescent="0.25">
      <c r="A82065"/>
      <c r="B82065"/>
      <c r="C82065"/>
      <c r="E82065"/>
      <c r="F82065"/>
    </row>
    <row r="82066" spans="1:6" x14ac:dyDescent="0.25">
      <c r="A82066"/>
      <c r="B82066"/>
      <c r="C82066"/>
      <c r="E82066"/>
      <c r="F82066"/>
    </row>
    <row r="82067" spans="1:6" x14ac:dyDescent="0.25">
      <c r="A82067"/>
      <c r="B82067"/>
      <c r="C82067"/>
      <c r="E82067"/>
      <c r="F82067"/>
    </row>
    <row r="82068" spans="1:6" x14ac:dyDescent="0.25">
      <c r="A82068"/>
      <c r="B82068"/>
      <c r="C82068"/>
      <c r="E82068"/>
      <c r="F82068"/>
    </row>
    <row r="82069" spans="1:6" x14ac:dyDescent="0.25">
      <c r="A82069"/>
      <c r="B82069"/>
      <c r="C82069"/>
      <c r="E82069"/>
      <c r="F82069"/>
    </row>
    <row r="82070" spans="1:6" x14ac:dyDescent="0.25">
      <c r="A82070"/>
      <c r="B82070"/>
      <c r="C82070"/>
      <c r="E82070"/>
      <c r="F82070"/>
    </row>
    <row r="82071" spans="1:6" x14ac:dyDescent="0.25">
      <c r="A82071"/>
      <c r="B82071"/>
      <c r="C82071"/>
      <c r="E82071"/>
      <c r="F82071"/>
    </row>
    <row r="82072" spans="1:6" x14ac:dyDescent="0.25">
      <c r="A82072"/>
      <c r="B82072"/>
      <c r="C82072"/>
      <c r="E82072"/>
      <c r="F82072"/>
    </row>
    <row r="82073" spans="1:6" x14ac:dyDescent="0.25">
      <c r="A82073"/>
      <c r="B82073"/>
      <c r="C82073"/>
      <c r="E82073"/>
      <c r="F82073"/>
    </row>
    <row r="82074" spans="1:6" x14ac:dyDescent="0.25">
      <c r="A82074"/>
      <c r="B82074"/>
      <c r="C82074"/>
      <c r="E82074"/>
      <c r="F82074"/>
    </row>
    <row r="82075" spans="1:6" x14ac:dyDescent="0.25">
      <c r="A82075"/>
      <c r="B82075"/>
      <c r="C82075"/>
      <c r="E82075"/>
      <c r="F82075"/>
    </row>
    <row r="82076" spans="1:6" x14ac:dyDescent="0.25">
      <c r="A82076"/>
      <c r="B82076"/>
      <c r="C82076"/>
      <c r="E82076"/>
      <c r="F82076"/>
    </row>
    <row r="82077" spans="1:6" x14ac:dyDescent="0.25">
      <c r="A82077"/>
      <c r="B82077"/>
      <c r="C82077"/>
      <c r="E82077"/>
      <c r="F82077"/>
    </row>
    <row r="82078" spans="1:6" x14ac:dyDescent="0.25">
      <c r="A82078"/>
      <c r="B82078"/>
      <c r="C82078"/>
      <c r="E82078"/>
      <c r="F82078"/>
    </row>
    <row r="82079" spans="1:6" x14ac:dyDescent="0.25">
      <c r="A82079"/>
      <c r="B82079"/>
      <c r="C82079"/>
      <c r="E82079"/>
      <c r="F82079"/>
    </row>
    <row r="82080" spans="1:6" x14ac:dyDescent="0.25">
      <c r="A82080"/>
      <c r="B82080"/>
      <c r="C82080"/>
      <c r="E82080"/>
      <c r="F82080"/>
    </row>
    <row r="82081" spans="1:6" x14ac:dyDescent="0.25">
      <c r="A82081"/>
      <c r="B82081"/>
      <c r="C82081"/>
      <c r="E82081"/>
      <c r="F82081"/>
    </row>
    <row r="82082" spans="1:6" x14ac:dyDescent="0.25">
      <c r="A82082"/>
      <c r="B82082"/>
      <c r="C82082"/>
      <c r="E82082"/>
      <c r="F82082"/>
    </row>
    <row r="82083" spans="1:6" x14ac:dyDescent="0.25">
      <c r="A82083"/>
      <c r="B82083"/>
      <c r="C82083"/>
      <c r="E82083"/>
      <c r="F82083"/>
    </row>
    <row r="82084" spans="1:6" x14ac:dyDescent="0.25">
      <c r="A82084"/>
      <c r="B82084"/>
      <c r="C82084"/>
      <c r="E82084"/>
      <c r="F82084"/>
    </row>
    <row r="82085" spans="1:6" x14ac:dyDescent="0.25">
      <c r="A82085"/>
      <c r="B82085"/>
      <c r="C82085"/>
      <c r="E82085"/>
      <c r="F82085"/>
    </row>
    <row r="82086" spans="1:6" x14ac:dyDescent="0.25">
      <c r="A82086"/>
      <c r="B82086"/>
      <c r="C82086"/>
      <c r="E82086"/>
      <c r="F82086"/>
    </row>
    <row r="82087" spans="1:6" x14ac:dyDescent="0.25">
      <c r="A82087"/>
      <c r="B82087"/>
      <c r="C82087"/>
      <c r="E82087"/>
      <c r="F82087"/>
    </row>
    <row r="82088" spans="1:6" x14ac:dyDescent="0.25">
      <c r="A82088"/>
      <c r="B82088"/>
      <c r="C82088"/>
      <c r="E82088"/>
      <c r="F82088"/>
    </row>
    <row r="82089" spans="1:6" x14ac:dyDescent="0.25">
      <c r="A82089"/>
      <c r="B82089"/>
      <c r="C82089"/>
      <c r="E82089"/>
      <c r="F82089"/>
    </row>
    <row r="82090" spans="1:6" x14ac:dyDescent="0.25">
      <c r="A82090"/>
      <c r="B82090"/>
      <c r="C82090"/>
      <c r="E82090"/>
      <c r="F82090"/>
    </row>
    <row r="82091" spans="1:6" x14ac:dyDescent="0.25">
      <c r="A82091"/>
      <c r="B82091"/>
      <c r="C82091"/>
      <c r="E82091"/>
      <c r="F82091"/>
    </row>
    <row r="82092" spans="1:6" x14ac:dyDescent="0.25">
      <c r="A82092"/>
      <c r="B82092"/>
      <c r="C82092"/>
      <c r="E82092"/>
      <c r="F82092"/>
    </row>
    <row r="82093" spans="1:6" x14ac:dyDescent="0.25">
      <c r="A82093"/>
      <c r="B82093"/>
      <c r="C82093"/>
      <c r="E82093"/>
      <c r="F82093"/>
    </row>
    <row r="82094" spans="1:6" x14ac:dyDescent="0.25">
      <c r="A82094"/>
      <c r="B82094"/>
      <c r="C82094"/>
      <c r="E82094"/>
      <c r="F82094"/>
    </row>
    <row r="82095" spans="1:6" x14ac:dyDescent="0.25">
      <c r="A82095"/>
      <c r="B82095"/>
      <c r="C82095"/>
      <c r="E82095"/>
      <c r="F82095"/>
    </row>
    <row r="82096" spans="1:6" x14ac:dyDescent="0.25">
      <c r="A82096"/>
      <c r="B82096"/>
      <c r="C82096"/>
      <c r="E82096"/>
      <c r="F82096"/>
    </row>
    <row r="82097" spans="1:6" x14ac:dyDescent="0.25">
      <c r="A82097"/>
      <c r="B82097"/>
      <c r="C82097"/>
      <c r="E82097"/>
      <c r="F82097"/>
    </row>
    <row r="82098" spans="1:6" x14ac:dyDescent="0.25">
      <c r="A82098"/>
      <c r="B82098"/>
      <c r="C82098"/>
      <c r="E82098"/>
      <c r="F82098"/>
    </row>
    <row r="82099" spans="1:6" x14ac:dyDescent="0.25">
      <c r="A82099"/>
      <c r="B82099"/>
      <c r="C82099"/>
      <c r="E82099"/>
      <c r="F82099"/>
    </row>
    <row r="82100" spans="1:6" x14ac:dyDescent="0.25">
      <c r="A82100"/>
      <c r="B82100"/>
      <c r="C82100"/>
      <c r="E82100"/>
      <c r="F82100"/>
    </row>
    <row r="82101" spans="1:6" x14ac:dyDescent="0.25">
      <c r="A82101"/>
      <c r="B82101"/>
      <c r="C82101"/>
      <c r="E82101"/>
      <c r="F82101"/>
    </row>
    <row r="82102" spans="1:6" x14ac:dyDescent="0.25">
      <c r="A82102"/>
      <c r="B82102"/>
      <c r="C82102"/>
      <c r="E82102"/>
      <c r="F82102"/>
    </row>
    <row r="82103" spans="1:6" x14ac:dyDescent="0.25">
      <c r="A82103"/>
      <c r="B82103"/>
      <c r="C82103"/>
      <c r="E82103"/>
      <c r="F82103"/>
    </row>
    <row r="82104" spans="1:6" x14ac:dyDescent="0.25">
      <c r="A82104"/>
      <c r="B82104"/>
      <c r="C82104"/>
      <c r="E82104"/>
      <c r="F82104"/>
    </row>
    <row r="82105" spans="1:6" x14ac:dyDescent="0.25">
      <c r="A82105"/>
      <c r="B82105"/>
      <c r="C82105"/>
      <c r="E82105"/>
      <c r="F82105"/>
    </row>
    <row r="82106" spans="1:6" x14ac:dyDescent="0.25">
      <c r="A82106"/>
      <c r="B82106"/>
      <c r="C82106"/>
      <c r="E82106"/>
      <c r="F82106"/>
    </row>
    <row r="82107" spans="1:6" x14ac:dyDescent="0.25">
      <c r="A82107"/>
      <c r="B82107"/>
      <c r="C82107"/>
      <c r="E82107"/>
      <c r="F82107"/>
    </row>
    <row r="82108" spans="1:6" x14ac:dyDescent="0.25">
      <c r="A82108"/>
      <c r="B82108"/>
      <c r="C82108"/>
      <c r="E82108"/>
      <c r="F82108"/>
    </row>
    <row r="82109" spans="1:6" x14ac:dyDescent="0.25">
      <c r="A82109"/>
      <c r="B82109"/>
      <c r="C82109"/>
      <c r="E82109"/>
      <c r="F82109"/>
    </row>
    <row r="82110" spans="1:6" x14ac:dyDescent="0.25">
      <c r="A82110"/>
      <c r="B82110"/>
      <c r="C82110"/>
      <c r="E82110"/>
      <c r="F82110"/>
    </row>
    <row r="82111" spans="1:6" x14ac:dyDescent="0.25">
      <c r="A82111"/>
      <c r="B82111"/>
      <c r="C82111"/>
      <c r="E82111"/>
      <c r="F82111"/>
    </row>
    <row r="82112" spans="1:6" x14ac:dyDescent="0.25">
      <c r="A82112"/>
      <c r="B82112"/>
      <c r="C82112"/>
      <c r="E82112"/>
      <c r="F82112"/>
    </row>
    <row r="82113" spans="1:6" x14ac:dyDescent="0.25">
      <c r="A82113"/>
      <c r="B82113"/>
      <c r="C82113"/>
      <c r="E82113"/>
      <c r="F82113"/>
    </row>
    <row r="82114" spans="1:6" x14ac:dyDescent="0.25">
      <c r="A82114"/>
      <c r="B82114"/>
      <c r="C82114"/>
      <c r="E82114"/>
      <c r="F82114"/>
    </row>
    <row r="82115" spans="1:6" x14ac:dyDescent="0.25">
      <c r="A82115"/>
      <c r="B82115"/>
      <c r="C82115"/>
      <c r="E82115"/>
      <c r="F82115"/>
    </row>
    <row r="82116" spans="1:6" x14ac:dyDescent="0.25">
      <c r="A82116"/>
      <c r="B82116"/>
      <c r="C82116"/>
      <c r="E82116"/>
      <c r="F82116"/>
    </row>
    <row r="82117" spans="1:6" x14ac:dyDescent="0.25">
      <c r="A82117"/>
      <c r="B82117"/>
      <c r="C82117"/>
      <c r="E82117"/>
      <c r="F82117"/>
    </row>
    <row r="82118" spans="1:6" x14ac:dyDescent="0.25">
      <c r="A82118"/>
      <c r="B82118"/>
      <c r="C82118"/>
      <c r="E82118"/>
      <c r="F82118"/>
    </row>
    <row r="82119" spans="1:6" x14ac:dyDescent="0.25">
      <c r="A82119"/>
      <c r="B82119"/>
      <c r="C82119"/>
      <c r="E82119"/>
      <c r="F82119"/>
    </row>
    <row r="82120" spans="1:6" x14ac:dyDescent="0.25">
      <c r="A82120"/>
      <c r="B82120"/>
      <c r="C82120"/>
      <c r="E82120"/>
      <c r="F82120"/>
    </row>
    <row r="82121" spans="1:6" x14ac:dyDescent="0.25">
      <c r="A82121"/>
      <c r="B82121"/>
      <c r="C82121"/>
      <c r="E82121"/>
      <c r="F82121"/>
    </row>
    <row r="82122" spans="1:6" x14ac:dyDescent="0.25">
      <c r="A82122"/>
      <c r="B82122"/>
      <c r="C82122"/>
      <c r="E82122"/>
      <c r="F82122"/>
    </row>
    <row r="82123" spans="1:6" x14ac:dyDescent="0.25">
      <c r="A82123"/>
      <c r="B82123"/>
      <c r="C82123"/>
      <c r="E82123"/>
      <c r="F82123"/>
    </row>
    <row r="82124" spans="1:6" x14ac:dyDescent="0.25">
      <c r="A82124"/>
      <c r="B82124"/>
      <c r="C82124"/>
      <c r="E82124"/>
      <c r="F82124"/>
    </row>
    <row r="82125" spans="1:6" x14ac:dyDescent="0.25">
      <c r="A82125"/>
      <c r="B82125"/>
      <c r="C82125"/>
      <c r="E82125"/>
      <c r="F82125"/>
    </row>
    <row r="82126" spans="1:6" x14ac:dyDescent="0.25">
      <c r="A82126"/>
      <c r="B82126"/>
      <c r="C82126"/>
      <c r="E82126"/>
      <c r="F82126"/>
    </row>
    <row r="82127" spans="1:6" x14ac:dyDescent="0.25">
      <c r="A82127"/>
      <c r="B82127"/>
      <c r="C82127"/>
      <c r="E82127"/>
      <c r="F82127"/>
    </row>
    <row r="82128" spans="1:6" x14ac:dyDescent="0.25">
      <c r="A82128"/>
      <c r="B82128"/>
      <c r="C82128"/>
      <c r="E82128"/>
      <c r="F82128"/>
    </row>
    <row r="82129" spans="1:6" x14ac:dyDescent="0.25">
      <c r="A82129"/>
      <c r="B82129"/>
      <c r="C82129"/>
      <c r="E82129"/>
      <c r="F82129"/>
    </row>
    <row r="82130" spans="1:6" x14ac:dyDescent="0.25">
      <c r="A82130"/>
      <c r="B82130"/>
      <c r="C82130"/>
      <c r="E82130"/>
      <c r="F82130"/>
    </row>
    <row r="82131" spans="1:6" x14ac:dyDescent="0.25">
      <c r="A82131"/>
      <c r="B82131"/>
      <c r="C82131"/>
      <c r="E82131"/>
      <c r="F82131"/>
    </row>
    <row r="82132" spans="1:6" x14ac:dyDescent="0.25">
      <c r="A82132"/>
      <c r="B82132"/>
      <c r="C82132"/>
      <c r="E82132"/>
      <c r="F82132"/>
    </row>
    <row r="82133" spans="1:6" x14ac:dyDescent="0.25">
      <c r="A82133"/>
      <c r="B82133"/>
      <c r="C82133"/>
      <c r="E82133"/>
      <c r="F82133"/>
    </row>
    <row r="82134" spans="1:6" x14ac:dyDescent="0.25">
      <c r="A82134"/>
      <c r="B82134"/>
      <c r="C82134"/>
      <c r="E82134"/>
      <c r="F82134"/>
    </row>
    <row r="82135" spans="1:6" x14ac:dyDescent="0.25">
      <c r="A82135"/>
      <c r="B82135"/>
      <c r="C82135"/>
      <c r="E82135"/>
      <c r="F82135"/>
    </row>
    <row r="82136" spans="1:6" x14ac:dyDescent="0.25">
      <c r="A82136"/>
      <c r="B82136"/>
      <c r="C82136"/>
      <c r="E82136"/>
      <c r="F82136"/>
    </row>
    <row r="82137" spans="1:6" x14ac:dyDescent="0.25">
      <c r="A82137"/>
      <c r="B82137"/>
      <c r="C82137"/>
      <c r="E82137"/>
      <c r="F82137"/>
    </row>
    <row r="82138" spans="1:6" x14ac:dyDescent="0.25">
      <c r="A82138"/>
      <c r="B82138"/>
      <c r="C82138"/>
      <c r="E82138"/>
      <c r="F82138"/>
    </row>
    <row r="82139" spans="1:6" x14ac:dyDescent="0.25">
      <c r="A82139"/>
      <c r="B82139"/>
      <c r="C82139"/>
      <c r="E82139"/>
      <c r="F82139"/>
    </row>
    <row r="82140" spans="1:6" x14ac:dyDescent="0.25">
      <c r="A82140"/>
      <c r="B82140"/>
      <c r="C82140"/>
      <c r="E82140"/>
      <c r="F82140"/>
    </row>
    <row r="82141" spans="1:6" x14ac:dyDescent="0.25">
      <c r="A82141"/>
      <c r="B82141"/>
      <c r="C82141"/>
      <c r="E82141"/>
      <c r="F82141"/>
    </row>
    <row r="82142" spans="1:6" x14ac:dyDescent="0.25">
      <c r="A82142"/>
      <c r="B82142"/>
      <c r="C82142"/>
      <c r="E82142"/>
      <c r="F82142"/>
    </row>
    <row r="82143" spans="1:6" x14ac:dyDescent="0.25">
      <c r="A82143"/>
      <c r="B82143"/>
      <c r="C82143"/>
      <c r="E82143"/>
      <c r="F82143"/>
    </row>
    <row r="82144" spans="1:6" x14ac:dyDescent="0.25">
      <c r="A82144"/>
      <c r="B82144"/>
      <c r="C82144"/>
      <c r="E82144"/>
      <c r="F82144"/>
    </row>
    <row r="82145" spans="1:6" x14ac:dyDescent="0.25">
      <c r="A82145"/>
      <c r="B82145"/>
      <c r="C82145"/>
      <c r="E82145"/>
      <c r="F82145"/>
    </row>
    <row r="82146" spans="1:6" x14ac:dyDescent="0.25">
      <c r="A82146"/>
      <c r="B82146"/>
      <c r="C82146"/>
      <c r="E82146"/>
      <c r="F82146"/>
    </row>
    <row r="82147" spans="1:6" x14ac:dyDescent="0.25">
      <c r="A82147"/>
      <c r="B82147"/>
      <c r="C82147"/>
      <c r="E82147"/>
      <c r="F82147"/>
    </row>
    <row r="82148" spans="1:6" x14ac:dyDescent="0.25">
      <c r="A82148"/>
      <c r="B82148"/>
      <c r="C82148"/>
      <c r="E82148"/>
      <c r="F82148"/>
    </row>
    <row r="82149" spans="1:6" x14ac:dyDescent="0.25">
      <c r="A82149"/>
      <c r="B82149"/>
      <c r="C82149"/>
      <c r="E82149"/>
      <c r="F82149"/>
    </row>
    <row r="82150" spans="1:6" x14ac:dyDescent="0.25">
      <c r="A82150"/>
      <c r="B82150"/>
      <c r="C82150"/>
      <c r="E82150"/>
      <c r="F82150"/>
    </row>
    <row r="82151" spans="1:6" x14ac:dyDescent="0.25">
      <c r="A82151"/>
      <c r="B82151"/>
      <c r="C82151"/>
      <c r="E82151"/>
      <c r="F82151"/>
    </row>
    <row r="82152" spans="1:6" x14ac:dyDescent="0.25">
      <c r="A82152"/>
      <c r="B82152"/>
      <c r="C82152"/>
      <c r="E82152"/>
      <c r="F82152"/>
    </row>
    <row r="82153" spans="1:6" x14ac:dyDescent="0.25">
      <c r="A82153"/>
      <c r="B82153"/>
      <c r="C82153"/>
      <c r="E82153"/>
      <c r="F82153"/>
    </row>
    <row r="82154" spans="1:6" x14ac:dyDescent="0.25">
      <c r="A82154"/>
      <c r="B82154"/>
      <c r="C82154"/>
      <c r="E82154"/>
      <c r="F82154"/>
    </row>
    <row r="82155" spans="1:6" x14ac:dyDescent="0.25">
      <c r="A82155"/>
      <c r="B82155"/>
      <c r="C82155"/>
      <c r="E82155"/>
      <c r="F82155"/>
    </row>
    <row r="82156" spans="1:6" x14ac:dyDescent="0.25">
      <c r="A82156"/>
      <c r="B82156"/>
      <c r="C82156"/>
      <c r="E82156"/>
      <c r="F82156"/>
    </row>
    <row r="82157" spans="1:6" x14ac:dyDescent="0.25">
      <c r="A82157"/>
      <c r="B82157"/>
      <c r="C82157"/>
      <c r="E82157"/>
      <c r="F82157"/>
    </row>
    <row r="82158" spans="1:6" x14ac:dyDescent="0.25">
      <c r="A82158"/>
      <c r="B82158"/>
      <c r="C82158"/>
      <c r="E82158"/>
      <c r="F82158"/>
    </row>
    <row r="82159" spans="1:6" x14ac:dyDescent="0.25">
      <c r="A82159"/>
      <c r="B82159"/>
      <c r="C82159"/>
      <c r="E82159"/>
      <c r="F82159"/>
    </row>
    <row r="82160" spans="1:6" x14ac:dyDescent="0.25">
      <c r="A82160"/>
      <c r="B82160"/>
      <c r="C82160"/>
      <c r="E82160"/>
      <c r="F82160"/>
    </row>
    <row r="82161" spans="1:6" x14ac:dyDescent="0.25">
      <c r="A82161"/>
      <c r="B82161"/>
      <c r="C82161"/>
      <c r="E82161"/>
      <c r="F82161"/>
    </row>
    <row r="82162" spans="1:6" x14ac:dyDescent="0.25">
      <c r="A82162"/>
      <c r="B82162"/>
      <c r="C82162"/>
      <c r="E82162"/>
      <c r="F82162"/>
    </row>
    <row r="82163" spans="1:6" x14ac:dyDescent="0.25">
      <c r="A82163"/>
      <c r="B82163"/>
      <c r="C82163"/>
      <c r="E82163"/>
      <c r="F82163"/>
    </row>
    <row r="82164" spans="1:6" x14ac:dyDescent="0.25">
      <c r="A82164"/>
      <c r="B82164"/>
      <c r="C82164"/>
      <c r="E82164"/>
      <c r="F82164"/>
    </row>
    <row r="82165" spans="1:6" x14ac:dyDescent="0.25">
      <c r="A82165"/>
      <c r="B82165"/>
      <c r="C82165"/>
      <c r="E82165"/>
      <c r="F82165"/>
    </row>
    <row r="82166" spans="1:6" x14ac:dyDescent="0.25">
      <c r="A82166"/>
      <c r="B82166"/>
      <c r="C82166"/>
      <c r="E82166"/>
      <c r="F82166"/>
    </row>
    <row r="82167" spans="1:6" x14ac:dyDescent="0.25">
      <c r="A82167"/>
      <c r="B82167"/>
      <c r="C82167"/>
      <c r="E82167"/>
      <c r="F82167"/>
    </row>
    <row r="82168" spans="1:6" x14ac:dyDescent="0.25">
      <c r="A82168"/>
      <c r="B82168"/>
      <c r="C82168"/>
      <c r="E82168"/>
      <c r="F82168"/>
    </row>
    <row r="82169" spans="1:6" x14ac:dyDescent="0.25">
      <c r="A82169"/>
      <c r="B82169"/>
      <c r="C82169"/>
      <c r="E82169"/>
      <c r="F82169"/>
    </row>
    <row r="82170" spans="1:6" x14ac:dyDescent="0.25">
      <c r="A82170"/>
      <c r="B82170"/>
      <c r="C82170"/>
      <c r="E82170"/>
      <c r="F82170"/>
    </row>
    <row r="82171" spans="1:6" x14ac:dyDescent="0.25">
      <c r="A82171"/>
      <c r="B82171"/>
      <c r="C82171"/>
      <c r="E82171"/>
      <c r="F82171"/>
    </row>
    <row r="82172" spans="1:6" x14ac:dyDescent="0.25">
      <c r="A82172"/>
      <c r="B82172"/>
      <c r="C82172"/>
      <c r="E82172"/>
      <c r="F82172"/>
    </row>
    <row r="82173" spans="1:6" x14ac:dyDescent="0.25">
      <c r="A82173"/>
      <c r="B82173"/>
      <c r="C82173"/>
      <c r="E82173"/>
      <c r="F82173"/>
    </row>
    <row r="82174" spans="1:6" x14ac:dyDescent="0.25">
      <c r="A82174"/>
      <c r="B82174"/>
      <c r="C82174"/>
      <c r="E82174"/>
      <c r="F82174"/>
    </row>
    <row r="82175" spans="1:6" x14ac:dyDescent="0.25">
      <c r="A82175"/>
      <c r="B82175"/>
      <c r="C82175"/>
      <c r="E82175"/>
      <c r="F82175"/>
    </row>
    <row r="82176" spans="1:6" x14ac:dyDescent="0.25">
      <c r="A82176"/>
      <c r="B82176"/>
      <c r="C82176"/>
      <c r="E82176"/>
      <c r="F82176"/>
    </row>
    <row r="82177" spans="1:6" x14ac:dyDescent="0.25">
      <c r="A82177"/>
      <c r="B82177"/>
      <c r="C82177"/>
      <c r="E82177"/>
      <c r="F82177"/>
    </row>
    <row r="82178" spans="1:6" x14ac:dyDescent="0.25">
      <c r="A82178"/>
      <c r="B82178"/>
      <c r="C82178"/>
      <c r="E82178"/>
      <c r="F82178"/>
    </row>
    <row r="82179" spans="1:6" x14ac:dyDescent="0.25">
      <c r="A82179"/>
      <c r="B82179"/>
      <c r="C82179"/>
      <c r="E82179"/>
      <c r="F82179"/>
    </row>
    <row r="82180" spans="1:6" x14ac:dyDescent="0.25">
      <c r="A82180"/>
      <c r="B82180"/>
      <c r="C82180"/>
      <c r="E82180"/>
      <c r="F82180"/>
    </row>
    <row r="82181" spans="1:6" x14ac:dyDescent="0.25">
      <c r="A82181"/>
      <c r="B82181"/>
      <c r="C82181"/>
      <c r="E82181"/>
      <c r="F82181"/>
    </row>
    <row r="82182" spans="1:6" x14ac:dyDescent="0.25">
      <c r="A82182"/>
      <c r="B82182"/>
      <c r="C82182"/>
      <c r="E82182"/>
      <c r="F82182"/>
    </row>
    <row r="82183" spans="1:6" x14ac:dyDescent="0.25">
      <c r="A82183"/>
      <c r="B82183"/>
      <c r="C82183"/>
      <c r="E82183"/>
      <c r="F82183"/>
    </row>
    <row r="82184" spans="1:6" x14ac:dyDescent="0.25">
      <c r="A82184"/>
      <c r="B82184"/>
      <c r="C82184"/>
      <c r="E82184"/>
      <c r="F82184"/>
    </row>
    <row r="82185" spans="1:6" x14ac:dyDescent="0.25">
      <c r="A82185"/>
      <c r="B82185"/>
      <c r="C82185"/>
      <c r="E82185"/>
      <c r="F82185"/>
    </row>
    <row r="82186" spans="1:6" x14ac:dyDescent="0.25">
      <c r="A82186"/>
      <c r="B82186"/>
      <c r="C82186"/>
      <c r="E82186"/>
      <c r="F82186"/>
    </row>
    <row r="82187" spans="1:6" x14ac:dyDescent="0.25">
      <c r="A82187"/>
      <c r="B82187"/>
      <c r="C82187"/>
      <c r="E82187"/>
      <c r="F82187"/>
    </row>
    <row r="82188" spans="1:6" x14ac:dyDescent="0.25">
      <c r="A82188"/>
      <c r="B82188"/>
      <c r="C82188"/>
      <c r="E82188"/>
      <c r="F82188"/>
    </row>
    <row r="82189" spans="1:6" x14ac:dyDescent="0.25">
      <c r="A82189"/>
      <c r="B82189"/>
      <c r="C82189"/>
      <c r="E82189"/>
      <c r="F82189"/>
    </row>
    <row r="82190" spans="1:6" x14ac:dyDescent="0.25">
      <c r="A82190"/>
      <c r="B82190"/>
      <c r="C82190"/>
      <c r="E82190"/>
      <c r="F82190"/>
    </row>
    <row r="82191" spans="1:6" x14ac:dyDescent="0.25">
      <c r="A82191"/>
      <c r="B82191"/>
      <c r="C82191"/>
      <c r="E82191"/>
      <c r="F82191"/>
    </row>
    <row r="82192" spans="1:6" x14ac:dyDescent="0.25">
      <c r="A82192"/>
      <c r="B82192"/>
      <c r="C82192"/>
      <c r="E82192"/>
      <c r="F82192"/>
    </row>
    <row r="82193" spans="1:6" x14ac:dyDescent="0.25">
      <c r="A82193"/>
      <c r="B82193"/>
      <c r="C82193"/>
      <c r="E82193"/>
      <c r="F82193"/>
    </row>
    <row r="82194" spans="1:6" x14ac:dyDescent="0.25">
      <c r="A82194"/>
      <c r="B82194"/>
      <c r="C82194"/>
      <c r="E82194"/>
      <c r="F82194"/>
    </row>
    <row r="82195" spans="1:6" x14ac:dyDescent="0.25">
      <c r="A82195"/>
      <c r="B82195"/>
      <c r="C82195"/>
      <c r="E82195"/>
      <c r="F82195"/>
    </row>
    <row r="82196" spans="1:6" x14ac:dyDescent="0.25">
      <c r="A82196"/>
      <c r="B82196"/>
      <c r="C82196"/>
      <c r="E82196"/>
      <c r="F82196"/>
    </row>
    <row r="82197" spans="1:6" x14ac:dyDescent="0.25">
      <c r="A82197"/>
      <c r="B82197"/>
      <c r="C82197"/>
      <c r="E82197"/>
      <c r="F82197"/>
    </row>
    <row r="82198" spans="1:6" x14ac:dyDescent="0.25">
      <c r="A82198"/>
      <c r="B82198"/>
      <c r="C82198"/>
      <c r="E82198"/>
      <c r="F82198"/>
    </row>
    <row r="82199" spans="1:6" x14ac:dyDescent="0.25">
      <c r="A82199"/>
      <c r="B82199"/>
      <c r="C82199"/>
      <c r="E82199"/>
      <c r="F82199"/>
    </row>
    <row r="82200" spans="1:6" x14ac:dyDescent="0.25">
      <c r="A82200"/>
      <c r="B82200"/>
      <c r="C82200"/>
      <c r="E82200"/>
      <c r="F82200"/>
    </row>
    <row r="82201" spans="1:6" x14ac:dyDescent="0.25">
      <c r="A82201"/>
      <c r="B82201"/>
      <c r="C82201"/>
      <c r="E82201"/>
      <c r="F82201"/>
    </row>
    <row r="82202" spans="1:6" x14ac:dyDescent="0.25">
      <c r="A82202"/>
      <c r="B82202"/>
      <c r="C82202"/>
      <c r="E82202"/>
      <c r="F82202"/>
    </row>
    <row r="82203" spans="1:6" x14ac:dyDescent="0.25">
      <c r="A82203"/>
      <c r="B82203"/>
      <c r="C82203"/>
      <c r="E82203"/>
      <c r="F82203"/>
    </row>
    <row r="82204" spans="1:6" x14ac:dyDescent="0.25">
      <c r="A82204"/>
      <c r="B82204"/>
      <c r="C82204"/>
      <c r="E82204"/>
      <c r="F82204"/>
    </row>
    <row r="82205" spans="1:6" x14ac:dyDescent="0.25">
      <c r="A82205"/>
      <c r="B82205"/>
      <c r="C82205"/>
      <c r="E82205"/>
      <c r="F82205"/>
    </row>
    <row r="82206" spans="1:6" x14ac:dyDescent="0.25">
      <c r="A82206"/>
      <c r="B82206"/>
      <c r="C82206"/>
      <c r="E82206"/>
      <c r="F82206"/>
    </row>
    <row r="82207" spans="1:6" x14ac:dyDescent="0.25">
      <c r="A82207"/>
      <c r="B82207"/>
      <c r="C82207"/>
      <c r="E82207"/>
      <c r="F82207"/>
    </row>
    <row r="82208" spans="1:6" x14ac:dyDescent="0.25">
      <c r="A82208"/>
      <c r="B82208"/>
      <c r="C82208"/>
      <c r="E82208"/>
      <c r="F82208"/>
    </row>
    <row r="82209" spans="1:6" x14ac:dyDescent="0.25">
      <c r="A82209"/>
      <c r="B82209"/>
      <c r="C82209"/>
      <c r="E82209"/>
      <c r="F82209"/>
    </row>
    <row r="82210" spans="1:6" x14ac:dyDescent="0.25">
      <c r="A82210"/>
      <c r="B82210"/>
      <c r="C82210"/>
      <c r="E82210"/>
      <c r="F82210"/>
    </row>
    <row r="82211" spans="1:6" x14ac:dyDescent="0.25">
      <c r="A82211"/>
      <c r="B82211"/>
      <c r="C82211"/>
      <c r="E82211"/>
      <c r="F82211"/>
    </row>
    <row r="82212" spans="1:6" x14ac:dyDescent="0.25">
      <c r="A82212"/>
      <c r="B82212"/>
      <c r="C82212"/>
      <c r="E82212"/>
      <c r="F82212"/>
    </row>
    <row r="82213" spans="1:6" x14ac:dyDescent="0.25">
      <c r="A82213"/>
      <c r="B82213"/>
      <c r="C82213"/>
      <c r="E82213"/>
      <c r="F82213"/>
    </row>
    <row r="82214" spans="1:6" x14ac:dyDescent="0.25">
      <c r="A82214"/>
      <c r="B82214"/>
      <c r="C82214"/>
      <c r="E82214"/>
      <c r="F82214"/>
    </row>
    <row r="82215" spans="1:6" x14ac:dyDescent="0.25">
      <c r="A82215"/>
      <c r="B82215"/>
      <c r="C82215"/>
      <c r="E82215"/>
      <c r="F82215"/>
    </row>
    <row r="82216" spans="1:6" x14ac:dyDescent="0.25">
      <c r="A82216"/>
      <c r="B82216"/>
      <c r="C82216"/>
      <c r="E82216"/>
      <c r="F82216"/>
    </row>
    <row r="82217" spans="1:6" x14ac:dyDescent="0.25">
      <c r="A82217"/>
      <c r="B82217"/>
      <c r="C82217"/>
      <c r="E82217"/>
      <c r="F82217"/>
    </row>
    <row r="82218" spans="1:6" x14ac:dyDescent="0.25">
      <c r="A82218"/>
      <c r="B82218"/>
      <c r="C82218"/>
      <c r="E82218"/>
      <c r="F82218"/>
    </row>
    <row r="82219" spans="1:6" x14ac:dyDescent="0.25">
      <c r="A82219"/>
      <c r="B82219"/>
      <c r="C82219"/>
      <c r="E82219"/>
      <c r="F82219"/>
    </row>
    <row r="82220" spans="1:6" x14ac:dyDescent="0.25">
      <c r="A82220"/>
      <c r="B82220"/>
      <c r="C82220"/>
      <c r="E82220"/>
      <c r="F82220"/>
    </row>
    <row r="82221" spans="1:6" x14ac:dyDescent="0.25">
      <c r="A82221"/>
      <c r="B82221"/>
      <c r="C82221"/>
      <c r="E82221"/>
      <c r="F82221"/>
    </row>
    <row r="82222" spans="1:6" x14ac:dyDescent="0.25">
      <c r="A82222"/>
      <c r="B82222"/>
      <c r="C82222"/>
      <c r="E82222"/>
      <c r="F82222"/>
    </row>
    <row r="82223" spans="1:6" x14ac:dyDescent="0.25">
      <c r="A82223"/>
      <c r="B82223"/>
      <c r="C82223"/>
      <c r="E82223"/>
      <c r="F82223"/>
    </row>
    <row r="82224" spans="1:6" x14ac:dyDescent="0.25">
      <c r="A82224"/>
      <c r="B82224"/>
      <c r="C82224"/>
      <c r="E82224"/>
      <c r="F82224"/>
    </row>
    <row r="82225" spans="1:6" x14ac:dyDescent="0.25">
      <c r="A82225"/>
      <c r="B82225"/>
      <c r="C82225"/>
      <c r="E82225"/>
      <c r="F82225"/>
    </row>
    <row r="82226" spans="1:6" x14ac:dyDescent="0.25">
      <c r="A82226"/>
      <c r="B82226"/>
      <c r="C82226"/>
      <c r="E82226"/>
      <c r="F82226"/>
    </row>
    <row r="82227" spans="1:6" x14ac:dyDescent="0.25">
      <c r="A82227"/>
      <c r="B82227"/>
      <c r="C82227"/>
      <c r="E82227"/>
      <c r="F82227"/>
    </row>
    <row r="82228" spans="1:6" x14ac:dyDescent="0.25">
      <c r="A82228"/>
      <c r="B82228"/>
      <c r="C82228"/>
      <c r="E82228"/>
      <c r="F82228"/>
    </row>
    <row r="82229" spans="1:6" x14ac:dyDescent="0.25">
      <c r="A82229"/>
      <c r="B82229"/>
      <c r="C82229"/>
      <c r="E82229"/>
      <c r="F82229"/>
    </row>
    <row r="82230" spans="1:6" x14ac:dyDescent="0.25">
      <c r="A82230"/>
      <c r="B82230"/>
      <c r="C82230"/>
      <c r="E82230"/>
      <c r="F82230"/>
    </row>
    <row r="82231" spans="1:6" x14ac:dyDescent="0.25">
      <c r="A82231"/>
      <c r="B82231"/>
      <c r="C82231"/>
      <c r="E82231"/>
      <c r="F82231"/>
    </row>
    <row r="82232" spans="1:6" x14ac:dyDescent="0.25">
      <c r="A82232"/>
      <c r="B82232"/>
      <c r="C82232"/>
      <c r="E82232"/>
      <c r="F82232"/>
    </row>
    <row r="82233" spans="1:6" x14ac:dyDescent="0.25">
      <c r="A82233"/>
      <c r="B82233"/>
      <c r="C82233"/>
      <c r="E82233"/>
      <c r="F82233"/>
    </row>
    <row r="82234" spans="1:6" x14ac:dyDescent="0.25">
      <c r="A82234"/>
      <c r="B82234"/>
      <c r="C82234"/>
      <c r="E82234"/>
      <c r="F82234"/>
    </row>
    <row r="82235" spans="1:6" x14ac:dyDescent="0.25">
      <c r="A82235"/>
      <c r="B82235"/>
      <c r="C82235"/>
      <c r="E82235"/>
      <c r="F82235"/>
    </row>
    <row r="82236" spans="1:6" x14ac:dyDescent="0.25">
      <c r="A82236"/>
      <c r="B82236"/>
      <c r="C82236"/>
      <c r="E82236"/>
      <c r="F82236"/>
    </row>
    <row r="82237" spans="1:6" x14ac:dyDescent="0.25">
      <c r="A82237"/>
      <c r="B82237"/>
      <c r="C82237"/>
      <c r="E82237"/>
      <c r="F82237"/>
    </row>
    <row r="82238" spans="1:6" x14ac:dyDescent="0.25">
      <c r="A82238"/>
      <c r="B82238"/>
      <c r="C82238"/>
      <c r="E82238"/>
      <c r="F82238"/>
    </row>
    <row r="82239" spans="1:6" x14ac:dyDescent="0.25">
      <c r="A82239"/>
      <c r="B82239"/>
      <c r="C82239"/>
      <c r="E82239"/>
      <c r="F82239"/>
    </row>
    <row r="82240" spans="1:6" x14ac:dyDescent="0.25">
      <c r="A82240"/>
      <c r="B82240"/>
      <c r="C82240"/>
      <c r="E82240"/>
      <c r="F82240"/>
    </row>
    <row r="82241" spans="1:6" x14ac:dyDescent="0.25">
      <c r="A82241"/>
      <c r="B82241"/>
      <c r="C82241"/>
      <c r="E82241"/>
      <c r="F82241"/>
    </row>
    <row r="82242" spans="1:6" x14ac:dyDescent="0.25">
      <c r="A82242"/>
      <c r="B82242"/>
      <c r="C82242"/>
      <c r="E82242"/>
      <c r="F82242"/>
    </row>
    <row r="82243" spans="1:6" x14ac:dyDescent="0.25">
      <c r="A82243"/>
      <c r="B82243"/>
      <c r="C82243"/>
      <c r="E82243"/>
      <c r="F82243"/>
    </row>
    <row r="82244" spans="1:6" x14ac:dyDescent="0.25">
      <c r="A82244"/>
      <c r="B82244"/>
      <c r="C82244"/>
      <c r="E82244"/>
      <c r="F82244"/>
    </row>
    <row r="82245" spans="1:6" x14ac:dyDescent="0.25">
      <c r="A82245"/>
      <c r="B82245"/>
      <c r="C82245"/>
      <c r="E82245"/>
      <c r="F82245"/>
    </row>
    <row r="82246" spans="1:6" x14ac:dyDescent="0.25">
      <c r="A82246"/>
      <c r="B82246"/>
      <c r="C82246"/>
      <c r="E82246"/>
      <c r="F82246"/>
    </row>
    <row r="82247" spans="1:6" x14ac:dyDescent="0.25">
      <c r="A82247"/>
      <c r="B82247"/>
      <c r="C82247"/>
      <c r="E82247"/>
      <c r="F82247"/>
    </row>
    <row r="82248" spans="1:6" x14ac:dyDescent="0.25">
      <c r="A82248"/>
      <c r="B82248"/>
      <c r="C82248"/>
      <c r="E82248"/>
      <c r="F82248"/>
    </row>
    <row r="82249" spans="1:6" x14ac:dyDescent="0.25">
      <c r="A82249"/>
      <c r="B82249"/>
      <c r="C82249"/>
      <c r="E82249"/>
      <c r="F82249"/>
    </row>
    <row r="82250" spans="1:6" x14ac:dyDescent="0.25">
      <c r="A82250"/>
      <c r="B82250"/>
      <c r="C82250"/>
      <c r="E82250"/>
      <c r="F82250"/>
    </row>
    <row r="82251" spans="1:6" x14ac:dyDescent="0.25">
      <c r="A82251"/>
      <c r="B82251"/>
      <c r="C82251"/>
      <c r="E82251"/>
      <c r="F82251"/>
    </row>
    <row r="82252" spans="1:6" x14ac:dyDescent="0.25">
      <c r="A82252"/>
      <c r="B82252"/>
      <c r="C82252"/>
      <c r="E82252"/>
      <c r="F82252"/>
    </row>
    <row r="82253" spans="1:6" x14ac:dyDescent="0.25">
      <c r="A82253"/>
      <c r="B82253"/>
      <c r="C82253"/>
      <c r="E82253"/>
      <c r="F82253"/>
    </row>
    <row r="82254" spans="1:6" x14ac:dyDescent="0.25">
      <c r="A82254"/>
      <c r="B82254"/>
      <c r="C82254"/>
      <c r="E82254"/>
      <c r="F82254"/>
    </row>
    <row r="82255" spans="1:6" x14ac:dyDescent="0.25">
      <c r="A82255"/>
      <c r="B82255"/>
      <c r="C82255"/>
      <c r="E82255"/>
      <c r="F82255"/>
    </row>
    <row r="82256" spans="1:6" x14ac:dyDescent="0.25">
      <c r="A82256"/>
      <c r="B82256"/>
      <c r="C82256"/>
      <c r="E82256"/>
      <c r="F82256"/>
    </row>
    <row r="82257" spans="1:6" x14ac:dyDescent="0.25">
      <c r="A82257"/>
      <c r="B82257"/>
      <c r="C82257"/>
      <c r="E82257"/>
      <c r="F82257"/>
    </row>
    <row r="82258" spans="1:6" x14ac:dyDescent="0.25">
      <c r="A82258"/>
      <c r="B82258"/>
      <c r="C82258"/>
      <c r="E82258"/>
      <c r="F82258"/>
    </row>
    <row r="82259" spans="1:6" x14ac:dyDescent="0.25">
      <c r="A82259"/>
      <c r="B82259"/>
      <c r="C82259"/>
      <c r="E82259"/>
      <c r="F82259"/>
    </row>
    <row r="82260" spans="1:6" x14ac:dyDescent="0.25">
      <c r="A82260"/>
      <c r="B82260"/>
      <c r="C82260"/>
      <c r="E82260"/>
      <c r="F82260"/>
    </row>
    <row r="82261" spans="1:6" x14ac:dyDescent="0.25">
      <c r="A82261"/>
      <c r="B82261"/>
      <c r="C82261"/>
      <c r="E82261"/>
      <c r="F82261"/>
    </row>
    <row r="82262" spans="1:6" x14ac:dyDescent="0.25">
      <c r="A82262"/>
      <c r="B82262"/>
      <c r="C82262"/>
      <c r="E82262"/>
      <c r="F82262"/>
    </row>
    <row r="82263" spans="1:6" x14ac:dyDescent="0.25">
      <c r="A82263"/>
      <c r="B82263"/>
      <c r="C82263"/>
      <c r="E82263"/>
      <c r="F82263"/>
    </row>
    <row r="82264" spans="1:6" x14ac:dyDescent="0.25">
      <c r="A82264"/>
      <c r="B82264"/>
      <c r="C82264"/>
      <c r="E82264"/>
      <c r="F82264"/>
    </row>
    <row r="82265" spans="1:6" x14ac:dyDescent="0.25">
      <c r="A82265"/>
      <c r="B82265"/>
      <c r="C82265"/>
      <c r="E82265"/>
      <c r="F82265"/>
    </row>
    <row r="82266" spans="1:6" x14ac:dyDescent="0.25">
      <c r="A82266"/>
      <c r="B82266"/>
      <c r="C82266"/>
      <c r="E82266"/>
      <c r="F82266"/>
    </row>
    <row r="82267" spans="1:6" x14ac:dyDescent="0.25">
      <c r="A82267"/>
      <c r="B82267"/>
      <c r="C82267"/>
      <c r="E82267"/>
      <c r="F82267"/>
    </row>
    <row r="82268" spans="1:6" x14ac:dyDescent="0.25">
      <c r="A82268"/>
      <c r="B82268"/>
      <c r="C82268"/>
      <c r="E82268"/>
      <c r="F82268"/>
    </row>
    <row r="82269" spans="1:6" x14ac:dyDescent="0.25">
      <c r="A82269"/>
      <c r="B82269"/>
      <c r="C82269"/>
      <c r="E82269"/>
      <c r="F82269"/>
    </row>
    <row r="82270" spans="1:6" x14ac:dyDescent="0.25">
      <c r="A82270"/>
      <c r="B82270"/>
      <c r="C82270"/>
      <c r="E82270"/>
      <c r="F82270"/>
    </row>
    <row r="82271" spans="1:6" x14ac:dyDescent="0.25">
      <c r="A82271"/>
      <c r="B82271"/>
      <c r="C82271"/>
      <c r="E82271"/>
      <c r="F82271"/>
    </row>
    <row r="82272" spans="1:6" x14ac:dyDescent="0.25">
      <c r="A82272"/>
      <c r="B82272"/>
      <c r="C82272"/>
      <c r="E82272"/>
      <c r="F82272"/>
    </row>
    <row r="82273" spans="1:6" x14ac:dyDescent="0.25">
      <c r="A82273"/>
      <c r="B82273"/>
      <c r="C82273"/>
      <c r="E82273"/>
      <c r="F82273"/>
    </row>
    <row r="82274" spans="1:6" x14ac:dyDescent="0.25">
      <c r="A82274"/>
      <c r="B82274"/>
      <c r="C82274"/>
      <c r="E82274"/>
      <c r="F82274"/>
    </row>
    <row r="82275" spans="1:6" x14ac:dyDescent="0.25">
      <c r="A82275"/>
      <c r="B82275"/>
      <c r="C82275"/>
      <c r="E82275"/>
      <c r="F82275"/>
    </row>
    <row r="82276" spans="1:6" x14ac:dyDescent="0.25">
      <c r="A82276"/>
      <c r="B82276"/>
      <c r="C82276"/>
      <c r="E82276"/>
      <c r="F82276"/>
    </row>
    <row r="82277" spans="1:6" x14ac:dyDescent="0.25">
      <c r="A82277"/>
      <c r="B82277"/>
      <c r="C82277"/>
      <c r="E82277"/>
      <c r="F82277"/>
    </row>
    <row r="82278" spans="1:6" x14ac:dyDescent="0.25">
      <c r="A82278"/>
      <c r="B82278"/>
      <c r="C82278"/>
      <c r="E82278"/>
      <c r="F82278"/>
    </row>
    <row r="82279" spans="1:6" x14ac:dyDescent="0.25">
      <c r="A82279"/>
      <c r="B82279"/>
      <c r="C82279"/>
      <c r="E82279"/>
      <c r="F82279"/>
    </row>
    <row r="82280" spans="1:6" x14ac:dyDescent="0.25">
      <c r="A82280"/>
      <c r="B82280"/>
      <c r="C82280"/>
      <c r="E82280"/>
      <c r="F82280"/>
    </row>
    <row r="82281" spans="1:6" x14ac:dyDescent="0.25">
      <c r="A82281"/>
      <c r="B82281"/>
      <c r="C82281"/>
      <c r="E82281"/>
      <c r="F82281"/>
    </row>
    <row r="82282" spans="1:6" x14ac:dyDescent="0.25">
      <c r="A82282"/>
      <c r="B82282"/>
      <c r="C82282"/>
      <c r="E82282"/>
      <c r="F82282"/>
    </row>
    <row r="82283" spans="1:6" x14ac:dyDescent="0.25">
      <c r="A82283"/>
      <c r="B82283"/>
      <c r="C82283"/>
      <c r="E82283"/>
      <c r="F82283"/>
    </row>
    <row r="82284" spans="1:6" x14ac:dyDescent="0.25">
      <c r="A82284"/>
      <c r="B82284"/>
      <c r="C82284"/>
      <c r="E82284"/>
      <c r="F82284"/>
    </row>
    <row r="82285" spans="1:6" x14ac:dyDescent="0.25">
      <c r="A82285"/>
      <c r="B82285"/>
      <c r="C82285"/>
      <c r="E82285"/>
      <c r="F82285"/>
    </row>
    <row r="82286" spans="1:6" x14ac:dyDescent="0.25">
      <c r="A82286"/>
      <c r="B82286"/>
      <c r="C82286"/>
      <c r="E82286"/>
      <c r="F82286"/>
    </row>
    <row r="82287" spans="1:6" x14ac:dyDescent="0.25">
      <c r="A82287"/>
      <c r="B82287"/>
      <c r="C82287"/>
      <c r="E82287"/>
      <c r="F82287"/>
    </row>
    <row r="82288" spans="1:6" x14ac:dyDescent="0.25">
      <c r="A82288"/>
      <c r="B82288"/>
      <c r="C82288"/>
      <c r="E82288"/>
      <c r="F82288"/>
    </row>
    <row r="82289" spans="1:6" x14ac:dyDescent="0.25">
      <c r="A82289"/>
      <c r="B82289"/>
      <c r="C82289"/>
      <c r="E82289"/>
      <c r="F82289"/>
    </row>
    <row r="82290" spans="1:6" x14ac:dyDescent="0.25">
      <c r="A82290"/>
      <c r="B82290"/>
      <c r="C82290"/>
      <c r="E82290"/>
      <c r="F82290"/>
    </row>
    <row r="82291" spans="1:6" x14ac:dyDescent="0.25">
      <c r="A82291"/>
      <c r="B82291"/>
      <c r="C82291"/>
      <c r="E82291"/>
      <c r="F82291"/>
    </row>
    <row r="82292" spans="1:6" x14ac:dyDescent="0.25">
      <c r="A82292"/>
      <c r="B82292"/>
      <c r="C82292"/>
      <c r="E82292"/>
      <c r="F82292"/>
    </row>
    <row r="82293" spans="1:6" x14ac:dyDescent="0.25">
      <c r="A82293"/>
      <c r="B82293"/>
      <c r="C82293"/>
      <c r="E82293"/>
      <c r="F82293"/>
    </row>
    <row r="82294" spans="1:6" x14ac:dyDescent="0.25">
      <c r="A82294"/>
      <c r="B82294"/>
      <c r="C82294"/>
      <c r="E82294"/>
      <c r="F82294"/>
    </row>
    <row r="82295" spans="1:6" x14ac:dyDescent="0.25">
      <c r="A82295"/>
      <c r="B82295"/>
      <c r="C82295"/>
      <c r="E82295"/>
      <c r="F82295"/>
    </row>
    <row r="82296" spans="1:6" x14ac:dyDescent="0.25">
      <c r="A82296"/>
      <c r="B82296"/>
      <c r="C82296"/>
      <c r="E82296"/>
      <c r="F82296"/>
    </row>
    <row r="82297" spans="1:6" x14ac:dyDescent="0.25">
      <c r="A82297"/>
      <c r="B82297"/>
      <c r="C82297"/>
      <c r="E82297"/>
      <c r="F82297"/>
    </row>
    <row r="82298" spans="1:6" x14ac:dyDescent="0.25">
      <c r="A82298"/>
      <c r="B82298"/>
      <c r="C82298"/>
      <c r="E82298"/>
      <c r="F82298"/>
    </row>
    <row r="82299" spans="1:6" x14ac:dyDescent="0.25">
      <c r="A82299"/>
      <c r="B82299"/>
      <c r="C82299"/>
      <c r="E82299"/>
      <c r="F82299"/>
    </row>
    <row r="82300" spans="1:6" x14ac:dyDescent="0.25">
      <c r="A82300"/>
      <c r="B82300"/>
      <c r="C82300"/>
      <c r="E82300"/>
      <c r="F82300"/>
    </row>
    <row r="82301" spans="1:6" x14ac:dyDescent="0.25">
      <c r="A82301"/>
      <c r="B82301"/>
      <c r="C82301"/>
      <c r="E82301"/>
      <c r="F82301"/>
    </row>
    <row r="82302" spans="1:6" x14ac:dyDescent="0.25">
      <c r="A82302"/>
      <c r="B82302"/>
      <c r="C82302"/>
      <c r="E82302"/>
      <c r="F82302"/>
    </row>
    <row r="82303" spans="1:6" x14ac:dyDescent="0.25">
      <c r="A82303"/>
      <c r="B82303"/>
      <c r="C82303"/>
      <c r="E82303"/>
      <c r="F82303"/>
    </row>
    <row r="82304" spans="1:6" x14ac:dyDescent="0.25">
      <c r="A82304"/>
      <c r="B82304"/>
      <c r="C82304"/>
      <c r="E82304"/>
      <c r="F82304"/>
    </row>
    <row r="82305" spans="1:6" x14ac:dyDescent="0.25">
      <c r="A82305"/>
      <c r="B82305"/>
      <c r="C82305"/>
      <c r="E82305"/>
      <c r="F82305"/>
    </row>
    <row r="82306" spans="1:6" x14ac:dyDescent="0.25">
      <c r="A82306"/>
      <c r="B82306"/>
      <c r="C82306"/>
      <c r="E82306"/>
      <c r="F82306"/>
    </row>
    <row r="82307" spans="1:6" x14ac:dyDescent="0.25">
      <c r="A82307"/>
      <c r="B82307"/>
      <c r="C82307"/>
      <c r="E82307"/>
      <c r="F82307"/>
    </row>
    <row r="82308" spans="1:6" x14ac:dyDescent="0.25">
      <c r="A82308"/>
      <c r="B82308"/>
      <c r="C82308"/>
      <c r="E82308"/>
      <c r="F82308"/>
    </row>
    <row r="82309" spans="1:6" x14ac:dyDescent="0.25">
      <c r="A82309"/>
      <c r="B82309"/>
      <c r="C82309"/>
      <c r="E82309"/>
      <c r="F82309"/>
    </row>
    <row r="82310" spans="1:6" x14ac:dyDescent="0.25">
      <c r="A82310"/>
      <c r="B82310"/>
      <c r="C82310"/>
      <c r="E82310"/>
      <c r="F82310"/>
    </row>
    <row r="82311" spans="1:6" x14ac:dyDescent="0.25">
      <c r="A82311"/>
      <c r="B82311"/>
      <c r="C82311"/>
      <c r="E82311"/>
      <c r="F82311"/>
    </row>
    <row r="82312" spans="1:6" x14ac:dyDescent="0.25">
      <c r="A82312"/>
      <c r="B82312"/>
      <c r="C82312"/>
      <c r="E82312"/>
      <c r="F82312"/>
    </row>
    <row r="82313" spans="1:6" x14ac:dyDescent="0.25">
      <c r="A82313"/>
      <c r="B82313"/>
      <c r="C82313"/>
      <c r="E82313"/>
      <c r="F82313"/>
    </row>
    <row r="82314" spans="1:6" x14ac:dyDescent="0.25">
      <c r="A82314"/>
      <c r="B82314"/>
      <c r="C82314"/>
      <c r="E82314"/>
      <c r="F82314"/>
    </row>
    <row r="82315" spans="1:6" x14ac:dyDescent="0.25">
      <c r="A82315"/>
      <c r="B82315"/>
      <c r="C82315"/>
      <c r="E82315"/>
      <c r="F82315"/>
    </row>
    <row r="82316" spans="1:6" x14ac:dyDescent="0.25">
      <c r="A82316"/>
      <c r="B82316"/>
      <c r="C82316"/>
      <c r="E82316"/>
      <c r="F82316"/>
    </row>
    <row r="82317" spans="1:6" x14ac:dyDescent="0.25">
      <c r="A82317"/>
      <c r="B82317"/>
      <c r="C82317"/>
      <c r="E82317"/>
      <c r="F82317"/>
    </row>
    <row r="82318" spans="1:6" x14ac:dyDescent="0.25">
      <c r="A82318"/>
      <c r="B82318"/>
      <c r="C82318"/>
      <c r="E82318"/>
      <c r="F82318"/>
    </row>
    <row r="82319" spans="1:6" x14ac:dyDescent="0.25">
      <c r="A82319"/>
      <c r="B82319"/>
      <c r="C82319"/>
      <c r="E82319"/>
      <c r="F82319"/>
    </row>
    <row r="82320" spans="1:6" x14ac:dyDescent="0.25">
      <c r="A82320"/>
      <c r="B82320"/>
      <c r="C82320"/>
      <c r="E82320"/>
      <c r="F82320"/>
    </row>
    <row r="82321" spans="1:6" x14ac:dyDescent="0.25">
      <c r="A82321"/>
      <c r="B82321"/>
      <c r="C82321"/>
      <c r="E82321"/>
      <c r="F82321"/>
    </row>
    <row r="82322" spans="1:6" x14ac:dyDescent="0.25">
      <c r="A82322"/>
      <c r="B82322"/>
      <c r="C82322"/>
      <c r="E82322"/>
      <c r="F82322"/>
    </row>
    <row r="82323" spans="1:6" x14ac:dyDescent="0.25">
      <c r="A82323"/>
      <c r="B82323"/>
      <c r="C82323"/>
      <c r="E82323"/>
      <c r="F82323"/>
    </row>
    <row r="82324" spans="1:6" x14ac:dyDescent="0.25">
      <c r="A82324"/>
      <c r="B82324"/>
      <c r="C82324"/>
      <c r="E82324"/>
      <c r="F82324"/>
    </row>
    <row r="82325" spans="1:6" x14ac:dyDescent="0.25">
      <c r="A82325"/>
      <c r="B82325"/>
      <c r="C82325"/>
      <c r="E82325"/>
      <c r="F82325"/>
    </row>
    <row r="82326" spans="1:6" x14ac:dyDescent="0.25">
      <c r="A82326"/>
      <c r="B82326"/>
      <c r="C82326"/>
      <c r="E82326"/>
      <c r="F82326"/>
    </row>
    <row r="82327" spans="1:6" x14ac:dyDescent="0.25">
      <c r="A82327"/>
      <c r="B82327"/>
      <c r="C82327"/>
      <c r="E82327"/>
      <c r="F82327"/>
    </row>
    <row r="82328" spans="1:6" x14ac:dyDescent="0.25">
      <c r="A82328"/>
      <c r="B82328"/>
      <c r="C82328"/>
      <c r="E82328"/>
      <c r="F82328"/>
    </row>
    <row r="82329" spans="1:6" x14ac:dyDescent="0.25">
      <c r="A82329"/>
      <c r="B82329"/>
      <c r="C82329"/>
      <c r="E82329"/>
      <c r="F82329"/>
    </row>
    <row r="82330" spans="1:6" x14ac:dyDescent="0.25">
      <c r="A82330"/>
      <c r="B82330"/>
      <c r="C82330"/>
      <c r="E82330"/>
      <c r="F82330"/>
    </row>
    <row r="82331" spans="1:6" x14ac:dyDescent="0.25">
      <c r="A82331"/>
      <c r="B82331"/>
      <c r="C82331"/>
      <c r="E82331"/>
      <c r="F82331"/>
    </row>
    <row r="82332" spans="1:6" x14ac:dyDescent="0.25">
      <c r="A82332"/>
      <c r="B82332"/>
      <c r="C82332"/>
      <c r="E82332"/>
      <c r="F82332"/>
    </row>
    <row r="82333" spans="1:6" x14ac:dyDescent="0.25">
      <c r="A82333"/>
      <c r="B82333"/>
      <c r="C82333"/>
      <c r="E82333"/>
      <c r="F82333"/>
    </row>
    <row r="82334" spans="1:6" x14ac:dyDescent="0.25">
      <c r="A82334"/>
      <c r="B82334"/>
      <c r="C82334"/>
      <c r="E82334"/>
      <c r="F82334"/>
    </row>
    <row r="82335" spans="1:6" x14ac:dyDescent="0.25">
      <c r="A82335"/>
      <c r="B82335"/>
      <c r="C82335"/>
      <c r="E82335"/>
      <c r="F82335"/>
    </row>
    <row r="82336" spans="1:6" x14ac:dyDescent="0.25">
      <c r="A82336"/>
      <c r="B82336"/>
      <c r="C82336"/>
      <c r="E82336"/>
      <c r="F82336"/>
    </row>
    <row r="82337" spans="1:6" x14ac:dyDescent="0.25">
      <c r="A82337"/>
      <c r="B82337"/>
      <c r="C82337"/>
      <c r="E82337"/>
      <c r="F82337"/>
    </row>
    <row r="82338" spans="1:6" x14ac:dyDescent="0.25">
      <c r="A82338"/>
      <c r="B82338"/>
      <c r="C82338"/>
      <c r="E82338"/>
      <c r="F82338"/>
    </row>
    <row r="82339" spans="1:6" x14ac:dyDescent="0.25">
      <c r="A82339"/>
      <c r="B82339"/>
      <c r="C82339"/>
      <c r="E82339"/>
      <c r="F82339"/>
    </row>
    <row r="82340" spans="1:6" x14ac:dyDescent="0.25">
      <c r="A82340"/>
      <c r="B82340"/>
      <c r="C82340"/>
      <c r="E82340"/>
      <c r="F82340"/>
    </row>
    <row r="82341" spans="1:6" x14ac:dyDescent="0.25">
      <c r="A82341"/>
      <c r="B82341"/>
      <c r="C82341"/>
      <c r="E82341"/>
      <c r="F82341"/>
    </row>
    <row r="82342" spans="1:6" x14ac:dyDescent="0.25">
      <c r="A82342"/>
      <c r="B82342"/>
      <c r="C82342"/>
      <c r="E82342"/>
      <c r="F82342"/>
    </row>
    <row r="82343" spans="1:6" x14ac:dyDescent="0.25">
      <c r="A82343"/>
      <c r="B82343"/>
      <c r="C82343"/>
      <c r="E82343"/>
      <c r="F82343"/>
    </row>
    <row r="82344" spans="1:6" x14ac:dyDescent="0.25">
      <c r="A82344"/>
      <c r="B82344"/>
      <c r="C82344"/>
      <c r="E82344"/>
      <c r="F82344"/>
    </row>
    <row r="82345" spans="1:6" x14ac:dyDescent="0.25">
      <c r="A82345"/>
      <c r="B82345"/>
      <c r="C82345"/>
      <c r="E82345"/>
      <c r="F82345"/>
    </row>
    <row r="82346" spans="1:6" x14ac:dyDescent="0.25">
      <c r="A82346"/>
      <c r="B82346"/>
      <c r="C82346"/>
      <c r="E82346"/>
      <c r="F82346"/>
    </row>
    <row r="82347" spans="1:6" x14ac:dyDescent="0.25">
      <c r="A82347"/>
      <c r="B82347"/>
      <c r="C82347"/>
      <c r="E82347"/>
      <c r="F82347"/>
    </row>
    <row r="82348" spans="1:6" x14ac:dyDescent="0.25">
      <c r="A82348"/>
      <c r="B82348"/>
      <c r="C82348"/>
      <c r="E82348"/>
      <c r="F82348"/>
    </row>
    <row r="82349" spans="1:6" x14ac:dyDescent="0.25">
      <c r="A82349"/>
      <c r="B82349"/>
      <c r="C82349"/>
      <c r="E82349"/>
      <c r="F82349"/>
    </row>
    <row r="82350" spans="1:6" x14ac:dyDescent="0.25">
      <c r="A82350"/>
      <c r="B82350"/>
      <c r="C82350"/>
      <c r="E82350"/>
      <c r="F82350"/>
    </row>
    <row r="82351" spans="1:6" x14ac:dyDescent="0.25">
      <c r="A82351"/>
      <c r="B82351"/>
      <c r="C82351"/>
      <c r="E82351"/>
      <c r="F82351"/>
    </row>
    <row r="82352" spans="1:6" x14ac:dyDescent="0.25">
      <c r="A82352"/>
      <c r="B82352"/>
      <c r="C82352"/>
      <c r="E82352"/>
      <c r="F82352"/>
    </row>
    <row r="82353" spans="1:6" x14ac:dyDescent="0.25">
      <c r="A82353"/>
      <c r="B82353"/>
      <c r="C82353"/>
      <c r="E82353"/>
      <c r="F82353"/>
    </row>
    <row r="82354" spans="1:6" x14ac:dyDescent="0.25">
      <c r="A82354"/>
      <c r="B82354"/>
      <c r="C82354"/>
      <c r="E82354"/>
      <c r="F82354"/>
    </row>
    <row r="82355" spans="1:6" x14ac:dyDescent="0.25">
      <c r="A82355"/>
      <c r="B82355"/>
      <c r="C82355"/>
      <c r="E82355"/>
      <c r="F82355"/>
    </row>
    <row r="82356" spans="1:6" x14ac:dyDescent="0.25">
      <c r="A82356"/>
      <c r="B82356"/>
      <c r="C82356"/>
      <c r="E82356"/>
      <c r="F82356"/>
    </row>
    <row r="82357" spans="1:6" x14ac:dyDescent="0.25">
      <c r="A82357"/>
      <c r="B82357"/>
      <c r="C82357"/>
      <c r="E82357"/>
      <c r="F82357"/>
    </row>
    <row r="82358" spans="1:6" x14ac:dyDescent="0.25">
      <c r="A82358"/>
      <c r="B82358"/>
      <c r="C82358"/>
      <c r="E82358"/>
      <c r="F82358"/>
    </row>
    <row r="82359" spans="1:6" x14ac:dyDescent="0.25">
      <c r="A82359"/>
      <c r="B82359"/>
      <c r="C82359"/>
      <c r="E82359"/>
      <c r="F82359"/>
    </row>
    <row r="82360" spans="1:6" x14ac:dyDescent="0.25">
      <c r="A82360"/>
      <c r="B82360"/>
      <c r="C82360"/>
      <c r="E82360"/>
      <c r="F82360"/>
    </row>
    <row r="82361" spans="1:6" x14ac:dyDescent="0.25">
      <c r="A82361"/>
      <c r="B82361"/>
      <c r="C82361"/>
      <c r="E82361"/>
      <c r="F82361"/>
    </row>
    <row r="82362" spans="1:6" x14ac:dyDescent="0.25">
      <c r="A82362"/>
      <c r="B82362"/>
      <c r="C82362"/>
      <c r="E82362"/>
      <c r="F82362"/>
    </row>
    <row r="82363" spans="1:6" x14ac:dyDescent="0.25">
      <c r="A82363"/>
      <c r="B82363"/>
      <c r="C82363"/>
      <c r="E82363"/>
      <c r="F82363"/>
    </row>
    <row r="82364" spans="1:6" x14ac:dyDescent="0.25">
      <c r="A82364"/>
      <c r="B82364"/>
      <c r="C82364"/>
      <c r="E82364"/>
      <c r="F82364"/>
    </row>
    <row r="82365" spans="1:6" x14ac:dyDescent="0.25">
      <c r="A82365"/>
      <c r="B82365"/>
      <c r="C82365"/>
      <c r="E82365"/>
      <c r="F82365"/>
    </row>
    <row r="82366" spans="1:6" x14ac:dyDescent="0.25">
      <c r="A82366"/>
      <c r="B82366"/>
      <c r="C82366"/>
      <c r="E82366"/>
      <c r="F82366"/>
    </row>
    <row r="82367" spans="1:6" x14ac:dyDescent="0.25">
      <c r="A82367"/>
      <c r="B82367"/>
      <c r="C82367"/>
      <c r="E82367"/>
      <c r="F82367"/>
    </row>
    <row r="82368" spans="1:6" x14ac:dyDescent="0.25">
      <c r="A82368"/>
      <c r="B82368"/>
      <c r="C82368"/>
      <c r="E82368"/>
      <c r="F82368"/>
    </row>
    <row r="82369" spans="1:6" x14ac:dyDescent="0.25">
      <c r="A82369"/>
      <c r="B82369"/>
      <c r="C82369"/>
      <c r="E82369"/>
      <c r="F82369"/>
    </row>
    <row r="82370" spans="1:6" x14ac:dyDescent="0.25">
      <c r="A82370"/>
      <c r="B82370"/>
      <c r="C82370"/>
      <c r="E82370"/>
      <c r="F82370"/>
    </row>
    <row r="82371" spans="1:6" x14ac:dyDescent="0.25">
      <c r="A82371"/>
      <c r="B82371"/>
      <c r="C82371"/>
      <c r="E82371"/>
      <c r="F82371"/>
    </row>
    <row r="82372" spans="1:6" x14ac:dyDescent="0.25">
      <c r="A82372"/>
      <c r="B82372"/>
      <c r="C82372"/>
      <c r="E82372"/>
      <c r="F82372"/>
    </row>
    <row r="82373" spans="1:6" x14ac:dyDescent="0.25">
      <c r="A82373"/>
      <c r="B82373"/>
      <c r="C82373"/>
      <c r="E82373"/>
      <c r="F82373"/>
    </row>
    <row r="82374" spans="1:6" x14ac:dyDescent="0.25">
      <c r="A82374"/>
      <c r="B82374"/>
      <c r="C82374"/>
      <c r="E82374"/>
      <c r="F82374"/>
    </row>
    <row r="82375" spans="1:6" x14ac:dyDescent="0.25">
      <c r="A82375"/>
      <c r="B82375"/>
      <c r="C82375"/>
      <c r="E82375"/>
      <c r="F82375"/>
    </row>
    <row r="82376" spans="1:6" x14ac:dyDescent="0.25">
      <c r="A82376"/>
      <c r="B82376"/>
      <c r="C82376"/>
      <c r="E82376"/>
      <c r="F82376"/>
    </row>
    <row r="82377" spans="1:6" x14ac:dyDescent="0.25">
      <c r="A82377"/>
      <c r="B82377"/>
      <c r="C82377"/>
      <c r="E82377"/>
      <c r="F82377"/>
    </row>
    <row r="82378" spans="1:6" x14ac:dyDescent="0.25">
      <c r="A82378"/>
      <c r="B82378"/>
      <c r="C82378"/>
      <c r="E82378"/>
      <c r="F82378"/>
    </row>
    <row r="82379" spans="1:6" x14ac:dyDescent="0.25">
      <c r="A82379"/>
      <c r="B82379"/>
      <c r="C82379"/>
      <c r="E82379"/>
      <c r="F82379"/>
    </row>
    <row r="82380" spans="1:6" x14ac:dyDescent="0.25">
      <c r="A82380"/>
      <c r="B82380"/>
      <c r="C82380"/>
      <c r="E82380"/>
      <c r="F82380"/>
    </row>
    <row r="82381" spans="1:6" x14ac:dyDescent="0.25">
      <c r="A82381"/>
      <c r="B82381"/>
      <c r="C82381"/>
      <c r="E82381"/>
      <c r="F82381"/>
    </row>
    <row r="82382" spans="1:6" x14ac:dyDescent="0.25">
      <c r="A82382"/>
      <c r="B82382"/>
      <c r="C82382"/>
      <c r="E82382"/>
      <c r="F82382"/>
    </row>
    <row r="82383" spans="1:6" x14ac:dyDescent="0.25">
      <c r="A82383"/>
      <c r="B82383"/>
      <c r="C82383"/>
      <c r="E82383"/>
      <c r="F82383"/>
    </row>
    <row r="82384" spans="1:6" x14ac:dyDescent="0.25">
      <c r="A82384"/>
      <c r="B82384"/>
      <c r="C82384"/>
      <c r="E82384"/>
      <c r="F82384"/>
    </row>
    <row r="82385" spans="1:6" x14ac:dyDescent="0.25">
      <c r="A82385"/>
      <c r="B82385"/>
      <c r="C82385"/>
      <c r="E82385"/>
      <c r="F82385"/>
    </row>
    <row r="82386" spans="1:6" x14ac:dyDescent="0.25">
      <c r="A82386"/>
      <c r="B82386"/>
      <c r="C82386"/>
      <c r="E82386"/>
      <c r="F82386"/>
    </row>
    <row r="82387" spans="1:6" x14ac:dyDescent="0.25">
      <c r="A82387"/>
      <c r="B82387"/>
      <c r="C82387"/>
      <c r="E82387"/>
      <c r="F82387"/>
    </row>
    <row r="82388" spans="1:6" x14ac:dyDescent="0.25">
      <c r="A82388"/>
      <c r="B82388"/>
      <c r="C82388"/>
      <c r="E82388"/>
      <c r="F82388"/>
    </row>
    <row r="82389" spans="1:6" x14ac:dyDescent="0.25">
      <c r="A82389"/>
      <c r="B82389"/>
      <c r="C82389"/>
      <c r="E82389"/>
      <c r="F82389"/>
    </row>
    <row r="82390" spans="1:6" x14ac:dyDescent="0.25">
      <c r="A82390"/>
      <c r="B82390"/>
      <c r="C82390"/>
      <c r="E82390"/>
      <c r="F82390"/>
    </row>
    <row r="82391" spans="1:6" x14ac:dyDescent="0.25">
      <c r="A82391"/>
      <c r="B82391"/>
      <c r="C82391"/>
      <c r="E82391"/>
      <c r="F82391"/>
    </row>
    <row r="82392" spans="1:6" x14ac:dyDescent="0.25">
      <c r="A82392"/>
      <c r="B82392"/>
      <c r="C82392"/>
      <c r="E82392"/>
      <c r="F82392"/>
    </row>
    <row r="82393" spans="1:6" x14ac:dyDescent="0.25">
      <c r="A82393"/>
      <c r="B82393"/>
      <c r="C82393"/>
      <c r="E82393"/>
      <c r="F82393"/>
    </row>
    <row r="82394" spans="1:6" x14ac:dyDescent="0.25">
      <c r="A82394"/>
      <c r="B82394"/>
      <c r="C82394"/>
      <c r="E82394"/>
      <c r="F82394"/>
    </row>
    <row r="82395" spans="1:6" x14ac:dyDescent="0.25">
      <c r="A82395"/>
      <c r="B82395"/>
      <c r="C82395"/>
      <c r="E82395"/>
      <c r="F82395"/>
    </row>
    <row r="82396" spans="1:6" x14ac:dyDescent="0.25">
      <c r="A82396"/>
      <c r="B82396"/>
      <c r="C82396"/>
      <c r="E82396"/>
      <c r="F82396"/>
    </row>
    <row r="82397" spans="1:6" x14ac:dyDescent="0.25">
      <c r="A82397"/>
      <c r="B82397"/>
      <c r="C82397"/>
      <c r="E82397"/>
      <c r="F82397"/>
    </row>
    <row r="82398" spans="1:6" x14ac:dyDescent="0.25">
      <c r="A82398"/>
      <c r="B82398"/>
      <c r="C82398"/>
      <c r="E82398"/>
      <c r="F82398"/>
    </row>
    <row r="82399" spans="1:6" x14ac:dyDescent="0.25">
      <c r="A82399"/>
      <c r="B82399"/>
      <c r="C82399"/>
      <c r="E82399"/>
      <c r="F82399"/>
    </row>
    <row r="82400" spans="1:6" x14ac:dyDescent="0.25">
      <c r="A82400"/>
      <c r="B82400"/>
      <c r="C82400"/>
      <c r="E82400"/>
      <c r="F82400"/>
    </row>
    <row r="82401" spans="1:6" x14ac:dyDescent="0.25">
      <c r="A82401"/>
      <c r="B82401"/>
      <c r="C82401"/>
      <c r="E82401"/>
      <c r="F82401"/>
    </row>
    <row r="82402" spans="1:6" x14ac:dyDescent="0.25">
      <c r="A82402"/>
      <c r="B82402"/>
      <c r="C82402"/>
      <c r="E82402"/>
      <c r="F82402"/>
    </row>
    <row r="82403" spans="1:6" x14ac:dyDescent="0.25">
      <c r="A82403"/>
      <c r="B82403"/>
      <c r="C82403"/>
      <c r="E82403"/>
      <c r="F82403"/>
    </row>
    <row r="82404" spans="1:6" x14ac:dyDescent="0.25">
      <c r="A82404"/>
      <c r="B82404"/>
      <c r="C82404"/>
      <c r="E82404"/>
      <c r="F82404"/>
    </row>
    <row r="82405" spans="1:6" x14ac:dyDescent="0.25">
      <c r="A82405"/>
      <c r="B82405"/>
      <c r="C82405"/>
      <c r="E82405"/>
      <c r="F82405"/>
    </row>
    <row r="82406" spans="1:6" x14ac:dyDescent="0.25">
      <c r="A82406"/>
      <c r="B82406"/>
      <c r="C82406"/>
      <c r="E82406"/>
      <c r="F82406"/>
    </row>
    <row r="82407" spans="1:6" x14ac:dyDescent="0.25">
      <c r="A82407"/>
      <c r="B82407"/>
      <c r="C82407"/>
      <c r="E82407"/>
      <c r="F82407"/>
    </row>
    <row r="82408" spans="1:6" x14ac:dyDescent="0.25">
      <c r="A82408"/>
      <c r="B82408"/>
      <c r="C82408"/>
      <c r="E82408"/>
      <c r="F82408"/>
    </row>
    <row r="82409" spans="1:6" x14ac:dyDescent="0.25">
      <c r="A82409"/>
      <c r="B82409"/>
      <c r="C82409"/>
      <c r="E82409"/>
      <c r="F82409"/>
    </row>
    <row r="82410" spans="1:6" x14ac:dyDescent="0.25">
      <c r="A82410"/>
      <c r="B82410"/>
      <c r="C82410"/>
      <c r="E82410"/>
      <c r="F82410"/>
    </row>
    <row r="82411" spans="1:6" x14ac:dyDescent="0.25">
      <c r="A82411"/>
      <c r="B82411"/>
      <c r="C82411"/>
      <c r="E82411"/>
      <c r="F82411"/>
    </row>
    <row r="82412" spans="1:6" x14ac:dyDescent="0.25">
      <c r="A82412"/>
      <c r="B82412"/>
      <c r="C82412"/>
      <c r="E82412"/>
      <c r="F82412"/>
    </row>
    <row r="82413" spans="1:6" x14ac:dyDescent="0.25">
      <c r="A82413"/>
      <c r="B82413"/>
      <c r="C82413"/>
      <c r="E82413"/>
      <c r="F82413"/>
    </row>
    <row r="82414" spans="1:6" x14ac:dyDescent="0.25">
      <c r="A82414"/>
      <c r="B82414"/>
      <c r="C82414"/>
      <c r="E82414"/>
      <c r="F82414"/>
    </row>
    <row r="82415" spans="1:6" x14ac:dyDescent="0.25">
      <c r="A82415"/>
      <c r="B82415"/>
      <c r="C82415"/>
      <c r="E82415"/>
      <c r="F82415"/>
    </row>
    <row r="82416" spans="1:6" x14ac:dyDescent="0.25">
      <c r="A82416"/>
      <c r="B82416"/>
      <c r="C82416"/>
      <c r="E82416"/>
      <c r="F82416"/>
    </row>
    <row r="82417" spans="1:6" x14ac:dyDescent="0.25">
      <c r="A82417"/>
      <c r="B82417"/>
      <c r="C82417"/>
      <c r="E82417"/>
      <c r="F82417"/>
    </row>
    <row r="82418" spans="1:6" x14ac:dyDescent="0.25">
      <c r="A82418"/>
      <c r="B82418"/>
      <c r="C82418"/>
      <c r="E82418"/>
      <c r="F82418"/>
    </row>
    <row r="82419" spans="1:6" x14ac:dyDescent="0.25">
      <c r="A82419"/>
      <c r="B82419"/>
      <c r="C82419"/>
      <c r="E82419"/>
      <c r="F82419"/>
    </row>
    <row r="82420" spans="1:6" x14ac:dyDescent="0.25">
      <c r="A82420"/>
      <c r="B82420"/>
      <c r="C82420"/>
      <c r="E82420"/>
      <c r="F82420"/>
    </row>
    <row r="82421" spans="1:6" x14ac:dyDescent="0.25">
      <c r="A82421"/>
      <c r="B82421"/>
      <c r="C82421"/>
      <c r="E82421"/>
      <c r="F82421"/>
    </row>
    <row r="82422" spans="1:6" x14ac:dyDescent="0.25">
      <c r="A82422"/>
      <c r="B82422"/>
      <c r="C82422"/>
      <c r="E82422"/>
      <c r="F82422"/>
    </row>
    <row r="82423" spans="1:6" x14ac:dyDescent="0.25">
      <c r="A82423"/>
      <c r="B82423"/>
      <c r="C82423"/>
      <c r="E82423"/>
      <c r="F82423"/>
    </row>
    <row r="82424" spans="1:6" x14ac:dyDescent="0.25">
      <c r="A82424"/>
      <c r="B82424"/>
      <c r="C82424"/>
      <c r="E82424"/>
      <c r="F82424"/>
    </row>
    <row r="82425" spans="1:6" x14ac:dyDescent="0.25">
      <c r="A82425"/>
      <c r="B82425"/>
      <c r="C82425"/>
      <c r="E82425"/>
      <c r="F82425"/>
    </row>
    <row r="82426" spans="1:6" x14ac:dyDescent="0.25">
      <c r="A82426"/>
      <c r="B82426"/>
      <c r="C82426"/>
      <c r="E82426"/>
      <c r="F82426"/>
    </row>
    <row r="82427" spans="1:6" x14ac:dyDescent="0.25">
      <c r="A82427"/>
      <c r="B82427"/>
      <c r="C82427"/>
      <c r="E82427"/>
      <c r="F82427"/>
    </row>
    <row r="82428" spans="1:6" x14ac:dyDescent="0.25">
      <c r="A82428"/>
      <c r="B82428"/>
      <c r="C82428"/>
      <c r="E82428"/>
      <c r="F82428"/>
    </row>
    <row r="82429" spans="1:6" x14ac:dyDescent="0.25">
      <c r="A82429"/>
      <c r="B82429"/>
      <c r="C82429"/>
      <c r="E82429"/>
      <c r="F82429"/>
    </row>
    <row r="82430" spans="1:6" x14ac:dyDescent="0.25">
      <c r="A82430"/>
      <c r="B82430"/>
      <c r="C82430"/>
      <c r="E82430"/>
      <c r="F82430"/>
    </row>
    <row r="82431" spans="1:6" x14ac:dyDescent="0.25">
      <c r="A82431"/>
      <c r="B82431"/>
      <c r="C82431"/>
      <c r="E82431"/>
      <c r="F82431"/>
    </row>
    <row r="82432" spans="1:6" x14ac:dyDescent="0.25">
      <c r="A82432"/>
      <c r="B82432"/>
      <c r="C82432"/>
      <c r="E82432"/>
      <c r="F82432"/>
    </row>
    <row r="82433" spans="1:6" x14ac:dyDescent="0.25">
      <c r="A82433"/>
      <c r="B82433"/>
      <c r="C82433"/>
      <c r="E82433"/>
      <c r="F82433"/>
    </row>
    <row r="82434" spans="1:6" x14ac:dyDescent="0.25">
      <c r="A82434"/>
      <c r="B82434"/>
      <c r="C82434"/>
      <c r="E82434"/>
      <c r="F82434"/>
    </row>
    <row r="82435" spans="1:6" x14ac:dyDescent="0.25">
      <c r="A82435"/>
      <c r="B82435"/>
      <c r="C82435"/>
      <c r="E82435"/>
      <c r="F82435"/>
    </row>
    <row r="82436" spans="1:6" x14ac:dyDescent="0.25">
      <c r="A82436"/>
      <c r="B82436"/>
      <c r="C82436"/>
      <c r="E82436"/>
      <c r="F82436"/>
    </row>
    <row r="82437" spans="1:6" x14ac:dyDescent="0.25">
      <c r="A82437"/>
      <c r="B82437"/>
      <c r="C82437"/>
      <c r="E82437"/>
      <c r="F82437"/>
    </row>
    <row r="82438" spans="1:6" x14ac:dyDescent="0.25">
      <c r="A82438"/>
      <c r="B82438"/>
      <c r="C82438"/>
      <c r="E82438"/>
      <c r="F82438"/>
    </row>
    <row r="82439" spans="1:6" x14ac:dyDescent="0.25">
      <c r="A82439"/>
      <c r="B82439"/>
      <c r="C82439"/>
      <c r="E82439"/>
      <c r="F82439"/>
    </row>
    <row r="82440" spans="1:6" x14ac:dyDescent="0.25">
      <c r="A82440"/>
      <c r="B82440"/>
      <c r="C82440"/>
      <c r="E82440"/>
      <c r="F82440"/>
    </row>
    <row r="82441" spans="1:6" x14ac:dyDescent="0.25">
      <c r="A82441"/>
      <c r="B82441"/>
      <c r="C82441"/>
      <c r="E82441"/>
      <c r="F82441"/>
    </row>
    <row r="82442" spans="1:6" x14ac:dyDescent="0.25">
      <c r="A82442"/>
      <c r="B82442"/>
      <c r="C82442"/>
      <c r="E82442"/>
      <c r="F82442"/>
    </row>
    <row r="82443" spans="1:6" x14ac:dyDescent="0.25">
      <c r="A82443"/>
      <c r="B82443"/>
      <c r="C82443"/>
      <c r="E82443"/>
      <c r="F82443"/>
    </row>
    <row r="82444" spans="1:6" x14ac:dyDescent="0.25">
      <c r="A82444"/>
      <c r="B82444"/>
      <c r="C82444"/>
      <c r="E82444"/>
      <c r="F82444"/>
    </row>
    <row r="82445" spans="1:6" x14ac:dyDescent="0.25">
      <c r="A82445"/>
      <c r="B82445"/>
      <c r="C82445"/>
      <c r="E82445"/>
      <c r="F82445"/>
    </row>
    <row r="82446" spans="1:6" x14ac:dyDescent="0.25">
      <c r="A82446"/>
      <c r="B82446"/>
      <c r="C82446"/>
      <c r="E82446"/>
      <c r="F82446"/>
    </row>
    <row r="82447" spans="1:6" x14ac:dyDescent="0.25">
      <c r="A82447"/>
      <c r="B82447"/>
      <c r="C82447"/>
      <c r="E82447"/>
      <c r="F82447"/>
    </row>
    <row r="82448" spans="1:6" x14ac:dyDescent="0.25">
      <c r="A82448"/>
      <c r="B82448"/>
      <c r="C82448"/>
      <c r="E82448"/>
      <c r="F82448"/>
    </row>
    <row r="82449" spans="1:6" x14ac:dyDescent="0.25">
      <c r="A82449"/>
      <c r="B82449"/>
      <c r="C82449"/>
      <c r="E82449"/>
      <c r="F82449"/>
    </row>
    <row r="82450" spans="1:6" x14ac:dyDescent="0.25">
      <c r="A82450"/>
      <c r="B82450"/>
      <c r="C82450"/>
      <c r="E82450"/>
      <c r="F82450"/>
    </row>
    <row r="82451" spans="1:6" x14ac:dyDescent="0.25">
      <c r="A82451"/>
      <c r="B82451"/>
      <c r="C82451"/>
      <c r="E82451"/>
      <c r="F82451"/>
    </row>
    <row r="82452" spans="1:6" x14ac:dyDescent="0.25">
      <c r="A82452"/>
      <c r="B82452"/>
      <c r="C82452"/>
      <c r="E82452"/>
      <c r="F82452"/>
    </row>
    <row r="82453" spans="1:6" x14ac:dyDescent="0.25">
      <c r="A82453"/>
      <c r="B82453"/>
      <c r="C82453"/>
      <c r="E82453"/>
      <c r="F82453"/>
    </row>
    <row r="82454" spans="1:6" x14ac:dyDescent="0.25">
      <c r="A82454"/>
      <c r="B82454"/>
      <c r="C82454"/>
      <c r="E82454"/>
      <c r="F82454"/>
    </row>
    <row r="82455" spans="1:6" x14ac:dyDescent="0.25">
      <c r="A82455"/>
      <c r="B82455"/>
      <c r="C82455"/>
      <c r="E82455"/>
      <c r="F82455"/>
    </row>
    <row r="82456" spans="1:6" x14ac:dyDescent="0.25">
      <c r="A82456"/>
      <c r="B82456"/>
      <c r="C82456"/>
      <c r="E82456"/>
      <c r="F82456"/>
    </row>
    <row r="82457" spans="1:6" x14ac:dyDescent="0.25">
      <c r="A82457"/>
      <c r="B82457"/>
      <c r="C82457"/>
      <c r="E82457"/>
      <c r="F82457"/>
    </row>
    <row r="82458" spans="1:6" x14ac:dyDescent="0.25">
      <c r="A82458"/>
      <c r="B82458"/>
      <c r="C82458"/>
      <c r="E82458"/>
      <c r="F82458"/>
    </row>
    <row r="82459" spans="1:6" x14ac:dyDescent="0.25">
      <c r="A82459"/>
      <c r="B82459"/>
      <c r="C82459"/>
      <c r="E82459"/>
      <c r="F82459"/>
    </row>
    <row r="82460" spans="1:6" x14ac:dyDescent="0.25">
      <c r="A82460"/>
      <c r="B82460"/>
      <c r="C82460"/>
      <c r="E82460"/>
      <c r="F82460"/>
    </row>
    <row r="82461" spans="1:6" x14ac:dyDescent="0.25">
      <c r="A82461"/>
      <c r="B82461"/>
      <c r="C82461"/>
      <c r="E82461"/>
      <c r="F82461"/>
    </row>
    <row r="82462" spans="1:6" x14ac:dyDescent="0.25">
      <c r="A82462"/>
      <c r="B82462"/>
      <c r="C82462"/>
      <c r="E82462"/>
      <c r="F82462"/>
    </row>
    <row r="82463" spans="1:6" x14ac:dyDescent="0.25">
      <c r="A82463"/>
      <c r="B82463"/>
      <c r="C82463"/>
      <c r="E82463"/>
      <c r="F82463"/>
    </row>
    <row r="82464" spans="1:6" x14ac:dyDescent="0.25">
      <c r="A82464"/>
      <c r="B82464"/>
      <c r="C82464"/>
      <c r="E82464"/>
      <c r="F82464"/>
    </row>
    <row r="82465" spans="1:6" x14ac:dyDescent="0.25">
      <c r="A82465"/>
      <c r="B82465"/>
      <c r="C82465"/>
      <c r="E82465"/>
      <c r="F82465"/>
    </row>
    <row r="82466" spans="1:6" x14ac:dyDescent="0.25">
      <c r="A82466"/>
      <c r="B82466"/>
      <c r="C82466"/>
      <c r="E82466"/>
      <c r="F82466"/>
    </row>
    <row r="82467" spans="1:6" x14ac:dyDescent="0.25">
      <c r="A82467"/>
      <c r="B82467"/>
      <c r="C82467"/>
      <c r="E82467"/>
      <c r="F82467"/>
    </row>
    <row r="82468" spans="1:6" x14ac:dyDescent="0.25">
      <c r="A82468"/>
      <c r="B82468"/>
      <c r="C82468"/>
      <c r="E82468"/>
      <c r="F82468"/>
    </row>
    <row r="82469" spans="1:6" x14ac:dyDescent="0.25">
      <c r="A82469"/>
      <c r="B82469"/>
      <c r="C82469"/>
      <c r="E82469"/>
      <c r="F82469"/>
    </row>
    <row r="82470" spans="1:6" x14ac:dyDescent="0.25">
      <c r="A82470"/>
      <c r="B82470"/>
      <c r="C82470"/>
      <c r="E82470"/>
      <c r="F82470"/>
    </row>
    <row r="82471" spans="1:6" x14ac:dyDescent="0.25">
      <c r="A82471"/>
      <c r="B82471"/>
      <c r="C82471"/>
      <c r="E82471"/>
      <c r="F82471"/>
    </row>
    <row r="82472" spans="1:6" x14ac:dyDescent="0.25">
      <c r="A82472"/>
      <c r="B82472"/>
      <c r="C82472"/>
      <c r="E82472"/>
      <c r="F82472"/>
    </row>
    <row r="82473" spans="1:6" x14ac:dyDescent="0.25">
      <c r="A82473"/>
      <c r="B82473"/>
      <c r="C82473"/>
      <c r="E82473"/>
      <c r="F82473"/>
    </row>
    <row r="82474" spans="1:6" x14ac:dyDescent="0.25">
      <c r="A82474"/>
      <c r="B82474"/>
      <c r="C82474"/>
      <c r="E82474"/>
      <c r="F82474"/>
    </row>
    <row r="82475" spans="1:6" x14ac:dyDescent="0.25">
      <c r="A82475"/>
      <c r="B82475"/>
      <c r="C82475"/>
      <c r="E82475"/>
      <c r="F82475"/>
    </row>
    <row r="82476" spans="1:6" x14ac:dyDescent="0.25">
      <c r="A82476"/>
      <c r="B82476"/>
      <c r="C82476"/>
      <c r="E82476"/>
      <c r="F82476"/>
    </row>
    <row r="82477" spans="1:6" x14ac:dyDescent="0.25">
      <c r="A82477"/>
      <c r="B82477"/>
      <c r="C82477"/>
      <c r="E82477"/>
      <c r="F82477"/>
    </row>
    <row r="82478" spans="1:6" x14ac:dyDescent="0.25">
      <c r="A82478"/>
      <c r="B82478"/>
      <c r="C82478"/>
      <c r="E82478"/>
      <c r="F82478"/>
    </row>
    <row r="82479" spans="1:6" x14ac:dyDescent="0.25">
      <c r="A82479"/>
      <c r="B82479"/>
      <c r="C82479"/>
      <c r="E82479"/>
      <c r="F82479"/>
    </row>
    <row r="82480" spans="1:6" x14ac:dyDescent="0.25">
      <c r="A82480"/>
      <c r="B82480"/>
      <c r="C82480"/>
      <c r="E82480"/>
      <c r="F82480"/>
    </row>
    <row r="82481" spans="1:6" x14ac:dyDescent="0.25">
      <c r="A82481"/>
      <c r="B82481"/>
      <c r="C82481"/>
      <c r="E82481"/>
      <c r="F82481"/>
    </row>
    <row r="82482" spans="1:6" x14ac:dyDescent="0.25">
      <c r="A82482"/>
      <c r="B82482"/>
      <c r="C82482"/>
      <c r="E82482"/>
      <c r="F82482"/>
    </row>
    <row r="82483" spans="1:6" x14ac:dyDescent="0.25">
      <c r="A82483"/>
      <c r="B82483"/>
      <c r="C82483"/>
      <c r="E82483"/>
      <c r="F82483"/>
    </row>
    <row r="82484" spans="1:6" x14ac:dyDescent="0.25">
      <c r="A82484"/>
      <c r="B82484"/>
      <c r="C82484"/>
      <c r="E82484"/>
      <c r="F82484"/>
    </row>
    <row r="82485" spans="1:6" x14ac:dyDescent="0.25">
      <c r="A82485"/>
      <c r="B82485"/>
      <c r="C82485"/>
      <c r="E82485"/>
      <c r="F82485"/>
    </row>
    <row r="82486" spans="1:6" x14ac:dyDescent="0.25">
      <c r="A82486"/>
      <c r="B82486"/>
      <c r="C82486"/>
      <c r="E82486"/>
      <c r="F82486"/>
    </row>
    <row r="82487" spans="1:6" x14ac:dyDescent="0.25">
      <c r="A82487"/>
      <c r="B82487"/>
      <c r="C82487"/>
      <c r="E82487"/>
      <c r="F82487"/>
    </row>
    <row r="82488" spans="1:6" x14ac:dyDescent="0.25">
      <c r="A82488"/>
      <c r="B82488"/>
      <c r="C82488"/>
      <c r="E82488"/>
      <c r="F82488"/>
    </row>
    <row r="82489" spans="1:6" x14ac:dyDescent="0.25">
      <c r="A82489"/>
      <c r="B82489"/>
      <c r="C82489"/>
      <c r="E82489"/>
      <c r="F82489"/>
    </row>
    <row r="82490" spans="1:6" x14ac:dyDescent="0.25">
      <c r="A82490"/>
      <c r="B82490"/>
      <c r="C82490"/>
      <c r="E82490"/>
      <c r="F82490"/>
    </row>
    <row r="82491" spans="1:6" x14ac:dyDescent="0.25">
      <c r="A82491"/>
      <c r="B82491"/>
      <c r="C82491"/>
      <c r="E82491"/>
      <c r="F82491"/>
    </row>
    <row r="82492" spans="1:6" x14ac:dyDescent="0.25">
      <c r="A82492"/>
      <c r="B82492"/>
      <c r="C82492"/>
      <c r="E82492"/>
      <c r="F82492"/>
    </row>
    <row r="82493" spans="1:6" x14ac:dyDescent="0.25">
      <c r="A82493"/>
      <c r="B82493"/>
      <c r="C82493"/>
      <c r="E82493"/>
      <c r="F82493"/>
    </row>
    <row r="82494" spans="1:6" x14ac:dyDescent="0.25">
      <c r="A82494"/>
      <c r="B82494"/>
      <c r="C82494"/>
      <c r="E82494"/>
      <c r="F82494"/>
    </row>
    <row r="82495" spans="1:6" x14ac:dyDescent="0.25">
      <c r="A82495"/>
      <c r="B82495"/>
      <c r="C82495"/>
      <c r="E82495"/>
      <c r="F82495"/>
    </row>
    <row r="82496" spans="1:6" x14ac:dyDescent="0.25">
      <c r="A82496"/>
      <c r="B82496"/>
      <c r="C82496"/>
      <c r="E82496"/>
      <c r="F82496"/>
    </row>
    <row r="82497" spans="1:6" x14ac:dyDescent="0.25">
      <c r="A82497"/>
      <c r="B82497"/>
      <c r="C82497"/>
      <c r="E82497"/>
      <c r="F82497"/>
    </row>
    <row r="82498" spans="1:6" x14ac:dyDescent="0.25">
      <c r="A82498"/>
      <c r="B82498"/>
      <c r="C82498"/>
      <c r="E82498"/>
      <c r="F82498"/>
    </row>
    <row r="82499" spans="1:6" x14ac:dyDescent="0.25">
      <c r="A82499"/>
      <c r="B82499"/>
      <c r="C82499"/>
      <c r="E82499"/>
      <c r="F82499"/>
    </row>
    <row r="82500" spans="1:6" x14ac:dyDescent="0.25">
      <c r="A82500"/>
      <c r="B82500"/>
      <c r="C82500"/>
      <c r="E82500"/>
      <c r="F82500"/>
    </row>
    <row r="82501" spans="1:6" x14ac:dyDescent="0.25">
      <c r="A82501"/>
      <c r="B82501"/>
      <c r="C82501"/>
      <c r="E82501"/>
      <c r="F82501"/>
    </row>
    <row r="82502" spans="1:6" x14ac:dyDescent="0.25">
      <c r="A82502"/>
      <c r="B82502"/>
      <c r="C82502"/>
      <c r="E82502"/>
      <c r="F82502"/>
    </row>
    <row r="82503" spans="1:6" x14ac:dyDescent="0.25">
      <c r="A82503"/>
      <c r="B82503"/>
      <c r="C82503"/>
      <c r="E82503"/>
      <c r="F82503"/>
    </row>
    <row r="82504" spans="1:6" x14ac:dyDescent="0.25">
      <c r="A82504"/>
      <c r="B82504"/>
      <c r="C82504"/>
      <c r="E82504"/>
      <c r="F82504"/>
    </row>
    <row r="82505" spans="1:6" x14ac:dyDescent="0.25">
      <c r="A82505"/>
      <c r="B82505"/>
      <c r="C82505"/>
      <c r="E82505"/>
      <c r="F82505"/>
    </row>
    <row r="82506" spans="1:6" x14ac:dyDescent="0.25">
      <c r="A82506"/>
      <c r="B82506"/>
      <c r="C82506"/>
      <c r="E82506"/>
      <c r="F82506"/>
    </row>
    <row r="82507" spans="1:6" x14ac:dyDescent="0.25">
      <c r="A82507"/>
      <c r="B82507"/>
      <c r="C82507"/>
      <c r="E82507"/>
      <c r="F82507"/>
    </row>
    <row r="82508" spans="1:6" x14ac:dyDescent="0.25">
      <c r="A82508"/>
      <c r="B82508"/>
      <c r="C82508"/>
      <c r="E82508"/>
      <c r="F82508"/>
    </row>
    <row r="82509" spans="1:6" x14ac:dyDescent="0.25">
      <c r="A82509"/>
      <c r="B82509"/>
      <c r="C82509"/>
      <c r="E82509"/>
      <c r="F82509"/>
    </row>
    <row r="82510" spans="1:6" x14ac:dyDescent="0.25">
      <c r="A82510"/>
      <c r="B82510"/>
      <c r="C82510"/>
      <c r="E82510"/>
      <c r="F82510"/>
    </row>
    <row r="82511" spans="1:6" x14ac:dyDescent="0.25">
      <c r="A82511"/>
      <c r="B82511"/>
      <c r="C82511"/>
      <c r="E82511"/>
      <c r="F82511"/>
    </row>
    <row r="82512" spans="1:6" x14ac:dyDescent="0.25">
      <c r="A82512"/>
      <c r="B82512"/>
      <c r="C82512"/>
      <c r="E82512"/>
      <c r="F82512"/>
    </row>
    <row r="82513" spans="1:6" x14ac:dyDescent="0.25">
      <c r="A82513"/>
      <c r="B82513"/>
      <c r="C82513"/>
      <c r="E82513"/>
      <c r="F82513"/>
    </row>
    <row r="82514" spans="1:6" x14ac:dyDescent="0.25">
      <c r="A82514"/>
      <c r="B82514"/>
      <c r="C82514"/>
      <c r="E82514"/>
      <c r="F82514"/>
    </row>
    <row r="82515" spans="1:6" x14ac:dyDescent="0.25">
      <c r="A82515"/>
      <c r="B82515"/>
      <c r="C82515"/>
      <c r="E82515"/>
      <c r="F82515"/>
    </row>
    <row r="82516" spans="1:6" x14ac:dyDescent="0.25">
      <c r="A82516"/>
      <c r="B82516"/>
      <c r="C82516"/>
      <c r="E82516"/>
      <c r="F82516"/>
    </row>
    <row r="82517" spans="1:6" x14ac:dyDescent="0.25">
      <c r="A82517"/>
      <c r="B82517"/>
      <c r="C82517"/>
      <c r="E82517"/>
      <c r="F82517"/>
    </row>
    <row r="82518" spans="1:6" x14ac:dyDescent="0.25">
      <c r="A82518"/>
      <c r="B82518"/>
      <c r="C82518"/>
      <c r="E82518"/>
      <c r="F82518"/>
    </row>
    <row r="82519" spans="1:6" x14ac:dyDescent="0.25">
      <c r="A82519"/>
      <c r="B82519"/>
      <c r="C82519"/>
      <c r="E82519"/>
      <c r="F82519"/>
    </row>
    <row r="82520" spans="1:6" x14ac:dyDescent="0.25">
      <c r="A82520"/>
      <c r="B82520"/>
      <c r="C82520"/>
      <c r="E82520"/>
      <c r="F82520"/>
    </row>
    <row r="82521" spans="1:6" x14ac:dyDescent="0.25">
      <c r="A82521"/>
      <c r="B82521"/>
      <c r="C82521"/>
      <c r="E82521"/>
      <c r="F82521"/>
    </row>
    <row r="82522" spans="1:6" x14ac:dyDescent="0.25">
      <c r="A82522"/>
      <c r="B82522"/>
      <c r="C82522"/>
      <c r="E82522"/>
      <c r="F82522"/>
    </row>
    <row r="82523" spans="1:6" x14ac:dyDescent="0.25">
      <c r="A82523"/>
      <c r="B82523"/>
      <c r="C82523"/>
      <c r="E82523"/>
      <c r="F82523"/>
    </row>
    <row r="82524" spans="1:6" x14ac:dyDescent="0.25">
      <c r="A82524"/>
      <c r="B82524"/>
      <c r="C82524"/>
      <c r="E82524"/>
      <c r="F82524"/>
    </row>
    <row r="82525" spans="1:6" x14ac:dyDescent="0.25">
      <c r="A82525"/>
      <c r="B82525"/>
      <c r="C82525"/>
      <c r="E82525"/>
      <c r="F82525"/>
    </row>
    <row r="82526" spans="1:6" x14ac:dyDescent="0.25">
      <c r="A82526"/>
      <c r="B82526"/>
      <c r="C82526"/>
      <c r="E82526"/>
      <c r="F82526"/>
    </row>
    <row r="82527" spans="1:6" x14ac:dyDescent="0.25">
      <c r="A82527"/>
      <c r="B82527"/>
      <c r="C82527"/>
      <c r="E82527"/>
      <c r="F82527"/>
    </row>
    <row r="82528" spans="1:6" x14ac:dyDescent="0.25">
      <c r="A82528"/>
      <c r="B82528"/>
      <c r="C82528"/>
      <c r="E82528"/>
      <c r="F82528"/>
    </row>
    <row r="82529" spans="1:6" x14ac:dyDescent="0.25">
      <c r="A82529"/>
      <c r="B82529"/>
      <c r="C82529"/>
      <c r="E82529"/>
      <c r="F82529"/>
    </row>
    <row r="82530" spans="1:6" x14ac:dyDescent="0.25">
      <c r="A82530"/>
      <c r="B82530"/>
      <c r="C82530"/>
      <c r="E82530"/>
      <c r="F82530"/>
    </row>
    <row r="82531" spans="1:6" x14ac:dyDescent="0.25">
      <c r="A82531"/>
      <c r="B82531"/>
      <c r="C82531"/>
      <c r="E82531"/>
      <c r="F82531"/>
    </row>
    <row r="82532" spans="1:6" x14ac:dyDescent="0.25">
      <c r="A82532"/>
      <c r="B82532"/>
      <c r="C82532"/>
      <c r="E82532"/>
      <c r="F82532"/>
    </row>
    <row r="82533" spans="1:6" x14ac:dyDescent="0.25">
      <c r="A82533"/>
      <c r="B82533"/>
      <c r="C82533"/>
      <c r="E82533"/>
      <c r="F82533"/>
    </row>
    <row r="82534" spans="1:6" x14ac:dyDescent="0.25">
      <c r="A82534"/>
      <c r="B82534"/>
      <c r="C82534"/>
      <c r="E82534"/>
      <c r="F82534"/>
    </row>
    <row r="82535" spans="1:6" x14ac:dyDescent="0.25">
      <c r="A82535"/>
      <c r="B82535"/>
      <c r="C82535"/>
      <c r="E82535"/>
      <c r="F82535"/>
    </row>
    <row r="82536" spans="1:6" x14ac:dyDescent="0.25">
      <c r="A82536"/>
      <c r="B82536"/>
      <c r="C82536"/>
      <c r="E82536"/>
      <c r="F82536"/>
    </row>
    <row r="82537" spans="1:6" x14ac:dyDescent="0.25">
      <c r="A82537"/>
      <c r="B82537"/>
      <c r="C82537"/>
      <c r="E82537"/>
      <c r="F82537"/>
    </row>
    <row r="82538" spans="1:6" x14ac:dyDescent="0.25">
      <c r="A82538"/>
      <c r="B82538"/>
      <c r="C82538"/>
      <c r="E82538"/>
      <c r="F82538"/>
    </row>
    <row r="82539" spans="1:6" x14ac:dyDescent="0.25">
      <c r="A82539"/>
      <c r="B82539"/>
      <c r="C82539"/>
      <c r="E82539"/>
      <c r="F82539"/>
    </row>
    <row r="82540" spans="1:6" x14ac:dyDescent="0.25">
      <c r="A82540"/>
      <c r="B82540"/>
      <c r="C82540"/>
      <c r="E82540"/>
      <c r="F82540"/>
    </row>
    <row r="82541" spans="1:6" x14ac:dyDescent="0.25">
      <c r="A82541"/>
      <c r="B82541"/>
      <c r="C82541"/>
      <c r="E82541"/>
      <c r="F82541"/>
    </row>
    <row r="82542" spans="1:6" x14ac:dyDescent="0.25">
      <c r="A82542"/>
      <c r="B82542"/>
      <c r="C82542"/>
      <c r="E82542"/>
      <c r="F82542"/>
    </row>
    <row r="82543" spans="1:6" x14ac:dyDescent="0.25">
      <c r="A82543"/>
      <c r="B82543"/>
      <c r="C82543"/>
      <c r="E82543"/>
      <c r="F82543"/>
    </row>
    <row r="82544" spans="1:6" x14ac:dyDescent="0.25">
      <c r="A82544"/>
      <c r="B82544"/>
      <c r="C82544"/>
      <c r="E82544"/>
      <c r="F82544"/>
    </row>
    <row r="82545" spans="1:6" x14ac:dyDescent="0.25">
      <c r="A82545"/>
      <c r="B82545"/>
      <c r="C82545"/>
      <c r="E82545"/>
      <c r="F82545"/>
    </row>
    <row r="82546" spans="1:6" x14ac:dyDescent="0.25">
      <c r="A82546"/>
      <c r="B82546"/>
      <c r="C82546"/>
      <c r="E82546"/>
      <c r="F82546"/>
    </row>
    <row r="82547" spans="1:6" x14ac:dyDescent="0.25">
      <c r="A82547"/>
      <c r="B82547"/>
      <c r="C82547"/>
      <c r="E82547"/>
      <c r="F82547"/>
    </row>
    <row r="82548" spans="1:6" x14ac:dyDescent="0.25">
      <c r="A82548"/>
      <c r="B82548"/>
      <c r="C82548"/>
      <c r="E82548"/>
      <c r="F82548"/>
    </row>
    <row r="82549" spans="1:6" x14ac:dyDescent="0.25">
      <c r="A82549"/>
      <c r="B82549"/>
      <c r="C82549"/>
      <c r="E82549"/>
      <c r="F82549"/>
    </row>
    <row r="82550" spans="1:6" x14ac:dyDescent="0.25">
      <c r="A82550"/>
      <c r="B82550"/>
      <c r="C82550"/>
      <c r="E82550"/>
      <c r="F82550"/>
    </row>
    <row r="82551" spans="1:6" x14ac:dyDescent="0.25">
      <c r="A82551"/>
      <c r="B82551"/>
      <c r="C82551"/>
      <c r="E82551"/>
      <c r="F82551"/>
    </row>
    <row r="82552" spans="1:6" x14ac:dyDescent="0.25">
      <c r="A82552"/>
      <c r="B82552"/>
      <c r="C82552"/>
      <c r="E82552"/>
      <c r="F82552"/>
    </row>
    <row r="82553" spans="1:6" x14ac:dyDescent="0.25">
      <c r="A82553"/>
      <c r="B82553"/>
      <c r="C82553"/>
      <c r="E82553"/>
      <c r="F82553"/>
    </row>
    <row r="82554" spans="1:6" x14ac:dyDescent="0.25">
      <c r="A82554"/>
      <c r="B82554"/>
      <c r="C82554"/>
      <c r="E82554"/>
      <c r="F82554"/>
    </row>
    <row r="82555" spans="1:6" x14ac:dyDescent="0.25">
      <c r="A82555"/>
      <c r="B82555"/>
      <c r="C82555"/>
      <c r="E82555"/>
      <c r="F82555"/>
    </row>
    <row r="82556" spans="1:6" x14ac:dyDescent="0.25">
      <c r="A82556"/>
      <c r="B82556"/>
      <c r="C82556"/>
      <c r="E82556"/>
      <c r="F82556"/>
    </row>
    <row r="82557" spans="1:6" x14ac:dyDescent="0.25">
      <c r="A82557"/>
      <c r="B82557"/>
      <c r="C82557"/>
      <c r="E82557"/>
      <c r="F82557"/>
    </row>
    <row r="82558" spans="1:6" x14ac:dyDescent="0.25">
      <c r="A82558"/>
      <c r="B82558"/>
      <c r="C82558"/>
      <c r="E82558"/>
      <c r="F82558"/>
    </row>
    <row r="82559" spans="1:6" x14ac:dyDescent="0.25">
      <c r="A82559"/>
      <c r="B82559"/>
      <c r="C82559"/>
      <c r="E82559"/>
      <c r="F82559"/>
    </row>
    <row r="82560" spans="1:6" x14ac:dyDescent="0.25">
      <c r="A82560"/>
      <c r="B82560"/>
      <c r="C82560"/>
      <c r="E82560"/>
      <c r="F82560"/>
    </row>
    <row r="82561" spans="1:6" x14ac:dyDescent="0.25">
      <c r="A82561"/>
      <c r="B82561"/>
      <c r="C82561"/>
      <c r="E82561"/>
      <c r="F82561"/>
    </row>
    <row r="82562" spans="1:6" x14ac:dyDescent="0.25">
      <c r="A82562"/>
      <c r="B82562"/>
      <c r="C82562"/>
      <c r="E82562"/>
      <c r="F82562"/>
    </row>
    <row r="82563" spans="1:6" x14ac:dyDescent="0.25">
      <c r="A82563"/>
      <c r="B82563"/>
      <c r="C82563"/>
      <c r="E82563"/>
      <c r="F82563"/>
    </row>
    <row r="82564" spans="1:6" x14ac:dyDescent="0.25">
      <c r="A82564"/>
      <c r="B82564"/>
      <c r="C82564"/>
      <c r="E82564"/>
      <c r="F82564"/>
    </row>
    <row r="82565" spans="1:6" x14ac:dyDescent="0.25">
      <c r="A82565"/>
      <c r="B82565"/>
      <c r="C82565"/>
      <c r="E82565"/>
      <c r="F82565"/>
    </row>
    <row r="82566" spans="1:6" x14ac:dyDescent="0.25">
      <c r="A82566"/>
      <c r="B82566"/>
      <c r="C82566"/>
      <c r="E82566"/>
      <c r="F82566"/>
    </row>
    <row r="82567" spans="1:6" x14ac:dyDescent="0.25">
      <c r="A82567"/>
      <c r="B82567"/>
      <c r="C82567"/>
      <c r="E82567"/>
      <c r="F82567"/>
    </row>
    <row r="82568" spans="1:6" x14ac:dyDescent="0.25">
      <c r="A82568"/>
      <c r="B82568"/>
      <c r="C82568"/>
      <c r="E82568"/>
      <c r="F82568"/>
    </row>
    <row r="82569" spans="1:6" x14ac:dyDescent="0.25">
      <c r="A82569"/>
      <c r="B82569"/>
      <c r="C82569"/>
      <c r="E82569"/>
      <c r="F82569"/>
    </row>
    <row r="82570" spans="1:6" x14ac:dyDescent="0.25">
      <c r="A82570"/>
      <c r="B82570"/>
      <c r="C82570"/>
      <c r="E82570"/>
      <c r="F82570"/>
    </row>
    <row r="82571" spans="1:6" x14ac:dyDescent="0.25">
      <c r="A82571"/>
      <c r="B82571"/>
      <c r="C82571"/>
      <c r="E82571"/>
      <c r="F82571"/>
    </row>
    <row r="82572" spans="1:6" x14ac:dyDescent="0.25">
      <c r="A82572"/>
      <c r="B82572"/>
      <c r="C82572"/>
      <c r="E82572"/>
      <c r="F82572"/>
    </row>
    <row r="82573" spans="1:6" x14ac:dyDescent="0.25">
      <c r="A82573"/>
      <c r="B82573"/>
      <c r="C82573"/>
      <c r="E82573"/>
      <c r="F82573"/>
    </row>
    <row r="82574" spans="1:6" x14ac:dyDescent="0.25">
      <c r="A82574"/>
      <c r="B82574"/>
      <c r="C82574"/>
      <c r="E82574"/>
      <c r="F82574"/>
    </row>
    <row r="82575" spans="1:6" x14ac:dyDescent="0.25">
      <c r="A82575"/>
      <c r="B82575"/>
      <c r="C82575"/>
      <c r="E82575"/>
      <c r="F82575"/>
    </row>
    <row r="82576" spans="1:6" x14ac:dyDescent="0.25">
      <c r="A82576"/>
      <c r="B82576"/>
      <c r="C82576"/>
      <c r="E82576"/>
      <c r="F82576"/>
    </row>
    <row r="82577" spans="1:6" x14ac:dyDescent="0.25">
      <c r="A82577"/>
      <c r="B82577"/>
      <c r="C82577"/>
      <c r="E82577"/>
      <c r="F82577"/>
    </row>
    <row r="82578" spans="1:6" x14ac:dyDescent="0.25">
      <c r="A82578"/>
      <c r="B82578"/>
      <c r="C82578"/>
      <c r="E82578"/>
      <c r="F82578"/>
    </row>
    <row r="82579" spans="1:6" x14ac:dyDescent="0.25">
      <c r="A82579"/>
      <c r="B82579"/>
      <c r="C82579"/>
      <c r="E82579"/>
      <c r="F82579"/>
    </row>
    <row r="82580" spans="1:6" x14ac:dyDescent="0.25">
      <c r="A82580"/>
      <c r="B82580"/>
      <c r="C82580"/>
      <c r="E82580"/>
      <c r="F82580"/>
    </row>
    <row r="82581" spans="1:6" x14ac:dyDescent="0.25">
      <c r="A82581"/>
      <c r="B82581"/>
      <c r="C82581"/>
      <c r="E82581"/>
      <c r="F82581"/>
    </row>
    <row r="82582" spans="1:6" x14ac:dyDescent="0.25">
      <c r="A82582"/>
      <c r="B82582"/>
      <c r="C82582"/>
      <c r="E82582"/>
      <c r="F82582"/>
    </row>
    <row r="82583" spans="1:6" x14ac:dyDescent="0.25">
      <c r="A82583"/>
      <c r="B82583"/>
      <c r="C82583"/>
      <c r="E82583"/>
      <c r="F82583"/>
    </row>
    <row r="82584" spans="1:6" x14ac:dyDescent="0.25">
      <c r="A82584"/>
      <c r="B82584"/>
      <c r="C82584"/>
      <c r="E82584"/>
      <c r="F82584"/>
    </row>
    <row r="82585" spans="1:6" x14ac:dyDescent="0.25">
      <c r="A82585"/>
      <c r="B82585"/>
      <c r="C82585"/>
      <c r="E82585"/>
      <c r="F82585"/>
    </row>
    <row r="82586" spans="1:6" x14ac:dyDescent="0.25">
      <c r="A82586"/>
      <c r="B82586"/>
      <c r="C82586"/>
      <c r="E82586"/>
      <c r="F82586"/>
    </row>
    <row r="82587" spans="1:6" x14ac:dyDescent="0.25">
      <c r="A82587"/>
      <c r="B82587"/>
      <c r="C82587"/>
      <c r="E82587"/>
      <c r="F82587"/>
    </row>
    <row r="82588" spans="1:6" x14ac:dyDescent="0.25">
      <c r="A82588"/>
      <c r="B82588"/>
      <c r="C82588"/>
      <c r="E82588"/>
      <c r="F82588"/>
    </row>
    <row r="82589" spans="1:6" x14ac:dyDescent="0.25">
      <c r="A82589"/>
      <c r="B82589"/>
      <c r="C82589"/>
      <c r="E82589"/>
      <c r="F82589"/>
    </row>
    <row r="82590" spans="1:6" x14ac:dyDescent="0.25">
      <c r="A82590"/>
      <c r="B82590"/>
      <c r="C82590"/>
      <c r="E82590"/>
      <c r="F82590"/>
    </row>
    <row r="82591" spans="1:6" x14ac:dyDescent="0.25">
      <c r="A82591"/>
      <c r="B82591"/>
      <c r="C82591"/>
      <c r="E82591"/>
      <c r="F82591"/>
    </row>
    <row r="82592" spans="1:6" x14ac:dyDescent="0.25">
      <c r="A82592"/>
      <c r="B82592"/>
      <c r="C82592"/>
      <c r="E82592"/>
      <c r="F82592"/>
    </row>
    <row r="82593" spans="1:6" x14ac:dyDescent="0.25">
      <c r="A82593"/>
      <c r="B82593"/>
      <c r="C82593"/>
      <c r="E82593"/>
      <c r="F82593"/>
    </row>
    <row r="82594" spans="1:6" x14ac:dyDescent="0.25">
      <c r="A82594"/>
      <c r="B82594"/>
      <c r="C82594"/>
      <c r="E82594"/>
      <c r="F82594"/>
    </row>
    <row r="82595" spans="1:6" x14ac:dyDescent="0.25">
      <c r="A82595"/>
      <c r="B82595"/>
      <c r="C82595"/>
      <c r="E82595"/>
      <c r="F82595"/>
    </row>
    <row r="82596" spans="1:6" x14ac:dyDescent="0.25">
      <c r="A82596"/>
      <c r="B82596"/>
      <c r="C82596"/>
      <c r="E82596"/>
      <c r="F82596"/>
    </row>
    <row r="82597" spans="1:6" x14ac:dyDescent="0.25">
      <c r="A82597"/>
      <c r="B82597"/>
      <c r="C82597"/>
      <c r="E82597"/>
      <c r="F82597"/>
    </row>
    <row r="82598" spans="1:6" x14ac:dyDescent="0.25">
      <c r="A82598"/>
      <c r="B82598"/>
      <c r="C82598"/>
      <c r="E82598"/>
      <c r="F82598"/>
    </row>
    <row r="82599" spans="1:6" x14ac:dyDescent="0.25">
      <c r="A82599"/>
      <c r="B82599"/>
      <c r="C82599"/>
      <c r="E82599"/>
      <c r="F82599"/>
    </row>
    <row r="82600" spans="1:6" x14ac:dyDescent="0.25">
      <c r="A82600"/>
      <c r="B82600"/>
      <c r="C82600"/>
      <c r="E82600"/>
      <c r="F82600"/>
    </row>
    <row r="82601" spans="1:6" x14ac:dyDescent="0.25">
      <c r="A82601"/>
      <c r="B82601"/>
      <c r="C82601"/>
      <c r="E82601"/>
      <c r="F82601"/>
    </row>
    <row r="82602" spans="1:6" x14ac:dyDescent="0.25">
      <c r="A82602"/>
      <c r="B82602"/>
      <c r="C82602"/>
      <c r="E82602"/>
      <c r="F82602"/>
    </row>
    <row r="82603" spans="1:6" x14ac:dyDescent="0.25">
      <c r="A82603"/>
      <c r="B82603"/>
      <c r="C82603"/>
      <c r="E82603"/>
      <c r="F82603"/>
    </row>
    <row r="82604" spans="1:6" x14ac:dyDescent="0.25">
      <c r="A82604"/>
      <c r="B82604"/>
      <c r="C82604"/>
      <c r="E82604"/>
      <c r="F82604"/>
    </row>
    <row r="82605" spans="1:6" x14ac:dyDescent="0.25">
      <c r="A82605"/>
      <c r="B82605"/>
      <c r="C82605"/>
      <c r="E82605"/>
      <c r="F82605"/>
    </row>
    <row r="82606" spans="1:6" x14ac:dyDescent="0.25">
      <c r="A82606"/>
      <c r="B82606"/>
      <c r="C82606"/>
      <c r="E82606"/>
      <c r="F82606"/>
    </row>
    <row r="82607" spans="1:6" x14ac:dyDescent="0.25">
      <c r="A82607"/>
      <c r="B82607"/>
      <c r="C82607"/>
      <c r="E82607"/>
      <c r="F82607"/>
    </row>
    <row r="82608" spans="1:6" x14ac:dyDescent="0.25">
      <c r="A82608"/>
      <c r="B82608"/>
      <c r="C82608"/>
      <c r="E82608"/>
      <c r="F82608"/>
    </row>
    <row r="82609" spans="1:6" x14ac:dyDescent="0.25">
      <c r="A82609"/>
      <c r="B82609"/>
      <c r="C82609"/>
      <c r="E82609"/>
      <c r="F82609"/>
    </row>
    <row r="82610" spans="1:6" x14ac:dyDescent="0.25">
      <c r="A82610"/>
      <c r="B82610"/>
      <c r="C82610"/>
      <c r="E82610"/>
      <c r="F82610"/>
    </row>
    <row r="82611" spans="1:6" x14ac:dyDescent="0.25">
      <c r="A82611"/>
      <c r="B82611"/>
      <c r="C82611"/>
      <c r="E82611"/>
      <c r="F82611"/>
    </row>
    <row r="82612" spans="1:6" x14ac:dyDescent="0.25">
      <c r="A82612"/>
      <c r="B82612"/>
      <c r="C82612"/>
      <c r="E82612"/>
      <c r="F82612"/>
    </row>
    <row r="82613" spans="1:6" x14ac:dyDescent="0.25">
      <c r="A82613"/>
      <c r="B82613"/>
      <c r="C82613"/>
      <c r="E82613"/>
      <c r="F82613"/>
    </row>
    <row r="82614" spans="1:6" x14ac:dyDescent="0.25">
      <c r="A82614"/>
      <c r="B82614"/>
      <c r="C82614"/>
      <c r="E82614"/>
      <c r="F82614"/>
    </row>
    <row r="82615" spans="1:6" x14ac:dyDescent="0.25">
      <c r="A82615"/>
      <c r="B82615"/>
      <c r="C82615"/>
      <c r="E82615"/>
      <c r="F82615"/>
    </row>
    <row r="82616" spans="1:6" x14ac:dyDescent="0.25">
      <c r="A82616"/>
      <c r="B82616"/>
      <c r="C82616"/>
      <c r="E82616"/>
      <c r="F82616"/>
    </row>
    <row r="82617" spans="1:6" x14ac:dyDescent="0.25">
      <c r="A82617"/>
      <c r="B82617"/>
      <c r="C82617"/>
      <c r="E82617"/>
      <c r="F82617"/>
    </row>
    <row r="82618" spans="1:6" x14ac:dyDescent="0.25">
      <c r="A82618"/>
      <c r="B82618"/>
      <c r="C82618"/>
      <c r="E82618"/>
      <c r="F82618"/>
    </row>
    <row r="82619" spans="1:6" x14ac:dyDescent="0.25">
      <c r="A82619"/>
      <c r="B82619"/>
      <c r="C82619"/>
      <c r="E82619"/>
      <c r="F82619"/>
    </row>
    <row r="82620" spans="1:6" x14ac:dyDescent="0.25">
      <c r="A82620"/>
      <c r="B82620"/>
      <c r="C82620"/>
      <c r="E82620"/>
      <c r="F82620"/>
    </row>
    <row r="82621" spans="1:6" x14ac:dyDescent="0.25">
      <c r="A82621"/>
      <c r="B82621"/>
      <c r="C82621"/>
      <c r="E82621"/>
      <c r="F82621"/>
    </row>
    <row r="82622" spans="1:6" x14ac:dyDescent="0.25">
      <c r="A82622"/>
      <c r="B82622"/>
      <c r="C82622"/>
      <c r="E82622"/>
      <c r="F82622"/>
    </row>
    <row r="82623" spans="1:6" x14ac:dyDescent="0.25">
      <c r="A82623"/>
      <c r="B82623"/>
      <c r="C82623"/>
      <c r="E82623"/>
      <c r="F82623"/>
    </row>
    <row r="82624" spans="1:6" x14ac:dyDescent="0.25">
      <c r="A82624"/>
      <c r="B82624"/>
      <c r="C82624"/>
      <c r="E82624"/>
      <c r="F82624"/>
    </row>
    <row r="82625" spans="1:6" x14ac:dyDescent="0.25">
      <c r="A82625"/>
      <c r="B82625"/>
      <c r="C82625"/>
      <c r="E82625"/>
      <c r="F82625"/>
    </row>
    <row r="82626" spans="1:6" x14ac:dyDescent="0.25">
      <c r="A82626"/>
      <c r="B82626"/>
      <c r="C82626"/>
      <c r="E82626"/>
      <c r="F82626"/>
    </row>
    <row r="82627" spans="1:6" x14ac:dyDescent="0.25">
      <c r="A82627"/>
      <c r="B82627"/>
      <c r="C82627"/>
      <c r="E82627"/>
      <c r="F82627"/>
    </row>
    <row r="82628" spans="1:6" x14ac:dyDescent="0.25">
      <c r="A82628"/>
      <c r="B82628"/>
      <c r="C82628"/>
      <c r="E82628"/>
      <c r="F82628"/>
    </row>
    <row r="82629" spans="1:6" x14ac:dyDescent="0.25">
      <c r="A82629"/>
      <c r="B82629"/>
      <c r="C82629"/>
      <c r="E82629"/>
      <c r="F82629"/>
    </row>
    <row r="82630" spans="1:6" x14ac:dyDescent="0.25">
      <c r="A82630"/>
      <c r="B82630"/>
      <c r="C82630"/>
      <c r="E82630"/>
      <c r="F82630"/>
    </row>
    <row r="82631" spans="1:6" x14ac:dyDescent="0.25">
      <c r="A82631"/>
      <c r="B82631"/>
      <c r="C82631"/>
      <c r="E82631"/>
      <c r="F82631"/>
    </row>
    <row r="82632" spans="1:6" x14ac:dyDescent="0.25">
      <c r="A82632"/>
      <c r="B82632"/>
      <c r="C82632"/>
      <c r="E82632"/>
      <c r="F82632"/>
    </row>
    <row r="82633" spans="1:6" x14ac:dyDescent="0.25">
      <c r="A82633"/>
      <c r="B82633"/>
      <c r="C82633"/>
      <c r="E82633"/>
      <c r="F82633"/>
    </row>
    <row r="82634" spans="1:6" x14ac:dyDescent="0.25">
      <c r="A82634"/>
      <c r="B82634"/>
      <c r="C82634"/>
      <c r="E82634"/>
      <c r="F82634"/>
    </row>
    <row r="82635" spans="1:6" x14ac:dyDescent="0.25">
      <c r="A82635"/>
      <c r="B82635"/>
      <c r="C82635"/>
      <c r="E82635"/>
      <c r="F82635"/>
    </row>
    <row r="82636" spans="1:6" x14ac:dyDescent="0.25">
      <c r="A82636"/>
      <c r="B82636"/>
      <c r="C82636"/>
      <c r="E82636"/>
      <c r="F82636"/>
    </row>
    <row r="82637" spans="1:6" x14ac:dyDescent="0.25">
      <c r="A82637"/>
      <c r="B82637"/>
      <c r="C82637"/>
      <c r="E82637"/>
      <c r="F82637"/>
    </row>
    <row r="82638" spans="1:6" x14ac:dyDescent="0.25">
      <c r="A82638"/>
      <c r="B82638"/>
      <c r="C82638"/>
      <c r="E82638"/>
      <c r="F82638"/>
    </row>
    <row r="82639" spans="1:6" x14ac:dyDescent="0.25">
      <c r="A82639"/>
      <c r="B82639"/>
      <c r="C82639"/>
      <c r="E82639"/>
      <c r="F82639"/>
    </row>
    <row r="82640" spans="1:6" x14ac:dyDescent="0.25">
      <c r="A82640"/>
      <c r="B82640"/>
      <c r="C82640"/>
      <c r="E82640"/>
      <c r="F82640"/>
    </row>
    <row r="82641" spans="1:6" x14ac:dyDescent="0.25">
      <c r="A82641"/>
      <c r="B82641"/>
      <c r="C82641"/>
      <c r="E82641"/>
      <c r="F82641"/>
    </row>
    <row r="82642" spans="1:6" x14ac:dyDescent="0.25">
      <c r="A82642"/>
      <c r="B82642"/>
      <c r="C82642"/>
      <c r="E82642"/>
      <c r="F82642"/>
    </row>
    <row r="82643" spans="1:6" x14ac:dyDescent="0.25">
      <c r="A82643"/>
      <c r="B82643"/>
      <c r="C82643"/>
      <c r="E82643"/>
      <c r="F82643"/>
    </row>
    <row r="82644" spans="1:6" x14ac:dyDescent="0.25">
      <c r="A82644"/>
      <c r="B82644"/>
      <c r="C82644"/>
      <c r="E82644"/>
      <c r="F82644"/>
    </row>
    <row r="82645" spans="1:6" x14ac:dyDescent="0.25">
      <c r="A82645"/>
      <c r="B82645"/>
      <c r="C82645"/>
      <c r="E82645"/>
      <c r="F82645"/>
    </row>
    <row r="82646" spans="1:6" x14ac:dyDescent="0.25">
      <c r="A82646"/>
      <c r="B82646"/>
      <c r="C82646"/>
      <c r="E82646"/>
      <c r="F82646"/>
    </row>
    <row r="82647" spans="1:6" x14ac:dyDescent="0.25">
      <c r="A82647"/>
      <c r="B82647"/>
      <c r="C82647"/>
      <c r="E82647"/>
      <c r="F82647"/>
    </row>
    <row r="82648" spans="1:6" x14ac:dyDescent="0.25">
      <c r="A82648"/>
      <c r="B82648"/>
      <c r="C82648"/>
      <c r="E82648"/>
      <c r="F82648"/>
    </row>
    <row r="82649" spans="1:6" x14ac:dyDescent="0.25">
      <c r="A82649"/>
      <c r="B82649"/>
      <c r="C82649"/>
      <c r="E82649"/>
      <c r="F82649"/>
    </row>
    <row r="82650" spans="1:6" x14ac:dyDescent="0.25">
      <c r="A82650"/>
      <c r="B82650"/>
      <c r="C82650"/>
      <c r="E82650"/>
      <c r="F82650"/>
    </row>
    <row r="82651" spans="1:6" x14ac:dyDescent="0.25">
      <c r="A82651"/>
      <c r="B82651"/>
      <c r="C82651"/>
      <c r="E82651"/>
      <c r="F82651"/>
    </row>
    <row r="82652" spans="1:6" x14ac:dyDescent="0.25">
      <c r="A82652"/>
      <c r="B82652"/>
      <c r="C82652"/>
      <c r="E82652"/>
      <c r="F82652"/>
    </row>
    <row r="82653" spans="1:6" x14ac:dyDescent="0.25">
      <c r="A82653"/>
      <c r="B82653"/>
      <c r="C82653"/>
      <c r="E82653"/>
      <c r="F82653"/>
    </row>
    <row r="82654" spans="1:6" x14ac:dyDescent="0.25">
      <c r="A82654"/>
      <c r="B82654"/>
      <c r="C82654"/>
      <c r="E82654"/>
      <c r="F82654"/>
    </row>
    <row r="82655" spans="1:6" x14ac:dyDescent="0.25">
      <c r="A82655"/>
      <c r="B82655"/>
      <c r="C82655"/>
      <c r="E82655"/>
      <c r="F82655"/>
    </row>
    <row r="82656" spans="1:6" x14ac:dyDescent="0.25">
      <c r="A82656"/>
      <c r="B82656"/>
      <c r="C82656"/>
      <c r="E82656"/>
      <c r="F82656"/>
    </row>
    <row r="82657" spans="1:6" x14ac:dyDescent="0.25">
      <c r="A82657"/>
      <c r="B82657"/>
      <c r="C82657"/>
      <c r="E82657"/>
      <c r="F82657"/>
    </row>
    <row r="82658" spans="1:6" x14ac:dyDescent="0.25">
      <c r="A82658"/>
      <c r="B82658"/>
      <c r="C82658"/>
      <c r="E82658"/>
      <c r="F82658"/>
    </row>
    <row r="82659" spans="1:6" x14ac:dyDescent="0.25">
      <c r="A82659"/>
      <c r="B82659"/>
      <c r="C82659"/>
      <c r="E82659"/>
      <c r="F82659"/>
    </row>
    <row r="82660" spans="1:6" x14ac:dyDescent="0.25">
      <c r="A82660"/>
      <c r="B82660"/>
      <c r="C82660"/>
      <c r="E82660"/>
      <c r="F82660"/>
    </row>
    <row r="82661" spans="1:6" x14ac:dyDescent="0.25">
      <c r="A82661"/>
      <c r="B82661"/>
      <c r="C82661"/>
      <c r="E82661"/>
      <c r="F82661"/>
    </row>
    <row r="82662" spans="1:6" x14ac:dyDescent="0.25">
      <c r="A82662"/>
      <c r="B82662"/>
      <c r="C82662"/>
      <c r="E82662"/>
      <c r="F82662"/>
    </row>
    <row r="82663" spans="1:6" x14ac:dyDescent="0.25">
      <c r="A82663"/>
      <c r="B82663"/>
      <c r="C82663"/>
      <c r="E82663"/>
      <c r="F82663"/>
    </row>
    <row r="82664" spans="1:6" x14ac:dyDescent="0.25">
      <c r="A82664"/>
      <c r="B82664"/>
      <c r="C82664"/>
      <c r="E82664"/>
      <c r="F82664"/>
    </row>
    <row r="82665" spans="1:6" x14ac:dyDescent="0.25">
      <c r="A82665"/>
      <c r="B82665"/>
      <c r="C82665"/>
      <c r="E82665"/>
      <c r="F82665"/>
    </row>
    <row r="82666" spans="1:6" x14ac:dyDescent="0.25">
      <c r="A82666"/>
      <c r="B82666"/>
      <c r="C82666"/>
      <c r="E82666"/>
      <c r="F82666"/>
    </row>
    <row r="82667" spans="1:6" x14ac:dyDescent="0.25">
      <c r="A82667"/>
      <c r="B82667"/>
      <c r="C82667"/>
      <c r="E82667"/>
      <c r="F82667"/>
    </row>
    <row r="82668" spans="1:6" x14ac:dyDescent="0.25">
      <c r="A82668"/>
      <c r="B82668"/>
      <c r="C82668"/>
      <c r="E82668"/>
      <c r="F82668"/>
    </row>
    <row r="82669" spans="1:6" x14ac:dyDescent="0.25">
      <c r="A82669"/>
      <c r="B82669"/>
      <c r="C82669"/>
      <c r="E82669"/>
      <c r="F82669"/>
    </row>
    <row r="82670" spans="1:6" x14ac:dyDescent="0.25">
      <c r="A82670"/>
      <c r="B82670"/>
      <c r="C82670"/>
      <c r="E82670"/>
      <c r="F82670"/>
    </row>
    <row r="82671" spans="1:6" x14ac:dyDescent="0.25">
      <c r="A82671"/>
      <c r="B82671"/>
      <c r="C82671"/>
      <c r="E82671"/>
      <c r="F82671"/>
    </row>
    <row r="82672" spans="1:6" x14ac:dyDescent="0.25">
      <c r="A82672"/>
      <c r="B82672"/>
      <c r="C82672"/>
      <c r="E82672"/>
      <c r="F82672"/>
    </row>
    <row r="82673" spans="1:6" x14ac:dyDescent="0.25">
      <c r="A82673"/>
      <c r="B82673"/>
      <c r="C82673"/>
      <c r="E82673"/>
      <c r="F82673"/>
    </row>
    <row r="82674" spans="1:6" x14ac:dyDescent="0.25">
      <c r="A82674"/>
      <c r="B82674"/>
      <c r="C82674"/>
      <c r="E82674"/>
      <c r="F82674"/>
    </row>
    <row r="82675" spans="1:6" x14ac:dyDescent="0.25">
      <c r="A82675"/>
      <c r="B82675"/>
      <c r="C82675"/>
      <c r="E82675"/>
      <c r="F82675"/>
    </row>
    <row r="82676" spans="1:6" x14ac:dyDescent="0.25">
      <c r="A82676"/>
      <c r="B82676"/>
      <c r="C82676"/>
      <c r="E82676"/>
      <c r="F82676"/>
    </row>
    <row r="82677" spans="1:6" x14ac:dyDescent="0.25">
      <c r="A82677"/>
      <c r="B82677"/>
      <c r="C82677"/>
      <c r="E82677"/>
      <c r="F82677"/>
    </row>
    <row r="82678" spans="1:6" x14ac:dyDescent="0.25">
      <c r="A82678"/>
      <c r="B82678"/>
      <c r="C82678"/>
      <c r="E82678"/>
      <c r="F82678"/>
    </row>
    <row r="82679" spans="1:6" x14ac:dyDescent="0.25">
      <c r="A82679"/>
      <c r="B82679"/>
      <c r="C82679"/>
      <c r="E82679"/>
      <c r="F82679"/>
    </row>
    <row r="82680" spans="1:6" x14ac:dyDescent="0.25">
      <c r="A82680"/>
      <c r="B82680"/>
      <c r="C82680"/>
      <c r="E82680"/>
      <c r="F82680"/>
    </row>
    <row r="82681" spans="1:6" x14ac:dyDescent="0.25">
      <c r="A82681"/>
      <c r="B82681"/>
      <c r="C82681"/>
      <c r="E82681"/>
      <c r="F82681"/>
    </row>
    <row r="82682" spans="1:6" x14ac:dyDescent="0.25">
      <c r="A82682"/>
      <c r="B82682"/>
      <c r="C82682"/>
      <c r="E82682"/>
      <c r="F82682"/>
    </row>
    <row r="82683" spans="1:6" x14ac:dyDescent="0.25">
      <c r="A82683"/>
      <c r="B82683"/>
      <c r="C82683"/>
      <c r="E82683"/>
      <c r="F82683"/>
    </row>
    <row r="82684" spans="1:6" x14ac:dyDescent="0.25">
      <c r="A82684"/>
      <c r="B82684"/>
      <c r="C82684"/>
      <c r="E82684"/>
      <c r="F82684"/>
    </row>
    <row r="82685" spans="1:6" x14ac:dyDescent="0.25">
      <c r="A82685"/>
      <c r="B82685"/>
      <c r="C82685"/>
      <c r="E82685"/>
      <c r="F82685"/>
    </row>
    <row r="82686" spans="1:6" x14ac:dyDescent="0.25">
      <c r="A82686"/>
      <c r="B82686"/>
      <c r="C82686"/>
      <c r="E82686"/>
      <c r="F82686"/>
    </row>
    <row r="82687" spans="1:6" x14ac:dyDescent="0.25">
      <c r="A82687"/>
      <c r="B82687"/>
      <c r="C82687"/>
      <c r="E82687"/>
      <c r="F82687"/>
    </row>
    <row r="82688" spans="1:6" x14ac:dyDescent="0.25">
      <c r="A82688"/>
      <c r="B82688"/>
      <c r="C82688"/>
      <c r="E82688"/>
      <c r="F82688"/>
    </row>
    <row r="82689" spans="1:6" x14ac:dyDescent="0.25">
      <c r="A82689"/>
      <c r="B82689"/>
      <c r="C82689"/>
      <c r="E82689"/>
      <c r="F82689"/>
    </row>
    <row r="82690" spans="1:6" x14ac:dyDescent="0.25">
      <c r="A82690"/>
      <c r="B82690"/>
      <c r="C82690"/>
      <c r="E82690"/>
      <c r="F82690"/>
    </row>
    <row r="82691" spans="1:6" x14ac:dyDescent="0.25">
      <c r="A82691"/>
      <c r="B82691"/>
      <c r="C82691"/>
      <c r="E82691"/>
      <c r="F82691"/>
    </row>
    <row r="82692" spans="1:6" x14ac:dyDescent="0.25">
      <c r="A82692"/>
      <c r="B82692"/>
      <c r="C82692"/>
      <c r="E82692"/>
      <c r="F82692"/>
    </row>
    <row r="82693" spans="1:6" x14ac:dyDescent="0.25">
      <c r="A82693"/>
      <c r="B82693"/>
      <c r="C82693"/>
      <c r="E82693"/>
      <c r="F82693"/>
    </row>
    <row r="82694" spans="1:6" x14ac:dyDescent="0.25">
      <c r="A82694"/>
      <c r="B82694"/>
      <c r="C82694"/>
      <c r="E82694"/>
      <c r="F82694"/>
    </row>
    <row r="82695" spans="1:6" x14ac:dyDescent="0.25">
      <c r="A82695"/>
      <c r="B82695"/>
      <c r="C82695"/>
      <c r="E82695"/>
      <c r="F82695"/>
    </row>
    <row r="82696" spans="1:6" x14ac:dyDescent="0.25">
      <c r="A82696"/>
      <c r="B82696"/>
      <c r="C82696"/>
      <c r="E82696"/>
      <c r="F82696"/>
    </row>
    <row r="82697" spans="1:6" x14ac:dyDescent="0.25">
      <c r="A82697"/>
      <c r="B82697"/>
      <c r="C82697"/>
      <c r="E82697"/>
      <c r="F82697"/>
    </row>
    <row r="82698" spans="1:6" x14ac:dyDescent="0.25">
      <c r="A82698"/>
      <c r="B82698"/>
      <c r="C82698"/>
      <c r="E82698"/>
      <c r="F82698"/>
    </row>
    <row r="82699" spans="1:6" x14ac:dyDescent="0.25">
      <c r="A82699"/>
      <c r="B82699"/>
      <c r="C82699"/>
      <c r="E82699"/>
      <c r="F82699"/>
    </row>
    <row r="82700" spans="1:6" x14ac:dyDescent="0.25">
      <c r="A82700"/>
      <c r="B82700"/>
      <c r="C82700"/>
      <c r="E82700"/>
      <c r="F82700"/>
    </row>
    <row r="82701" spans="1:6" x14ac:dyDescent="0.25">
      <c r="A82701"/>
      <c r="B82701"/>
      <c r="C82701"/>
      <c r="E82701"/>
      <c r="F82701"/>
    </row>
    <row r="82702" spans="1:6" x14ac:dyDescent="0.25">
      <c r="A82702"/>
      <c r="B82702"/>
      <c r="C82702"/>
      <c r="E82702"/>
      <c r="F82702"/>
    </row>
    <row r="82703" spans="1:6" x14ac:dyDescent="0.25">
      <c r="A82703"/>
      <c r="B82703"/>
      <c r="C82703"/>
      <c r="E82703"/>
      <c r="F82703"/>
    </row>
    <row r="82704" spans="1:6" x14ac:dyDescent="0.25">
      <c r="A82704"/>
      <c r="B82704"/>
      <c r="C82704"/>
      <c r="E82704"/>
      <c r="F82704"/>
    </row>
    <row r="82705" spans="1:6" x14ac:dyDescent="0.25">
      <c r="A82705"/>
      <c r="B82705"/>
      <c r="C82705"/>
      <c r="E82705"/>
      <c r="F82705"/>
    </row>
    <row r="82706" spans="1:6" x14ac:dyDescent="0.25">
      <c r="A82706"/>
      <c r="B82706"/>
      <c r="C82706"/>
      <c r="E82706"/>
      <c r="F82706"/>
    </row>
    <row r="82707" spans="1:6" x14ac:dyDescent="0.25">
      <c r="A82707"/>
      <c r="B82707"/>
      <c r="C82707"/>
      <c r="E82707"/>
      <c r="F82707"/>
    </row>
    <row r="82708" spans="1:6" x14ac:dyDescent="0.25">
      <c r="A82708"/>
      <c r="B82708"/>
      <c r="C82708"/>
      <c r="E82708"/>
      <c r="F82708"/>
    </row>
    <row r="82709" spans="1:6" x14ac:dyDescent="0.25">
      <c r="A82709"/>
      <c r="B82709"/>
      <c r="C82709"/>
      <c r="E82709"/>
      <c r="F82709"/>
    </row>
    <row r="82710" spans="1:6" x14ac:dyDescent="0.25">
      <c r="A82710"/>
      <c r="B82710"/>
      <c r="C82710"/>
      <c r="E82710"/>
      <c r="F82710"/>
    </row>
    <row r="82711" spans="1:6" x14ac:dyDescent="0.25">
      <c r="A82711"/>
      <c r="B82711"/>
      <c r="C82711"/>
      <c r="E82711"/>
      <c r="F82711"/>
    </row>
    <row r="82712" spans="1:6" x14ac:dyDescent="0.25">
      <c r="A82712"/>
      <c r="B82712"/>
      <c r="C82712"/>
      <c r="E82712"/>
      <c r="F82712"/>
    </row>
    <row r="82713" spans="1:6" x14ac:dyDescent="0.25">
      <c r="A82713"/>
      <c r="B82713"/>
      <c r="C82713"/>
      <c r="E82713"/>
      <c r="F82713"/>
    </row>
    <row r="82714" spans="1:6" x14ac:dyDescent="0.25">
      <c r="A82714"/>
      <c r="B82714"/>
      <c r="C82714"/>
      <c r="E82714"/>
      <c r="F82714"/>
    </row>
    <row r="82715" spans="1:6" x14ac:dyDescent="0.25">
      <c r="A82715"/>
      <c r="B82715"/>
      <c r="C82715"/>
      <c r="E82715"/>
      <c r="F82715"/>
    </row>
    <row r="82716" spans="1:6" x14ac:dyDescent="0.25">
      <c r="A82716"/>
      <c r="B82716"/>
      <c r="C82716"/>
      <c r="E82716"/>
      <c r="F82716"/>
    </row>
    <row r="82717" spans="1:6" x14ac:dyDescent="0.25">
      <c r="A82717"/>
      <c r="B82717"/>
      <c r="C82717"/>
      <c r="E82717"/>
      <c r="F82717"/>
    </row>
    <row r="82718" spans="1:6" x14ac:dyDescent="0.25">
      <c r="A82718"/>
      <c r="B82718"/>
      <c r="C82718"/>
      <c r="E82718"/>
      <c r="F82718"/>
    </row>
    <row r="82719" spans="1:6" x14ac:dyDescent="0.25">
      <c r="A82719"/>
      <c r="B82719"/>
      <c r="C82719"/>
      <c r="E82719"/>
      <c r="F82719"/>
    </row>
    <row r="82720" spans="1:6" x14ac:dyDescent="0.25">
      <c r="A82720"/>
      <c r="B82720"/>
      <c r="C82720"/>
      <c r="E82720"/>
      <c r="F82720"/>
    </row>
    <row r="82721" spans="1:6" x14ac:dyDescent="0.25">
      <c r="A82721"/>
      <c r="B82721"/>
      <c r="C82721"/>
      <c r="E82721"/>
      <c r="F82721"/>
    </row>
    <row r="82722" spans="1:6" x14ac:dyDescent="0.25">
      <c r="A82722"/>
      <c r="B82722"/>
      <c r="C82722"/>
      <c r="E82722"/>
      <c r="F82722"/>
    </row>
    <row r="82723" spans="1:6" x14ac:dyDescent="0.25">
      <c r="A82723"/>
      <c r="B82723"/>
      <c r="C82723"/>
      <c r="E82723"/>
      <c r="F82723"/>
    </row>
    <row r="82724" spans="1:6" x14ac:dyDescent="0.25">
      <c r="A82724"/>
      <c r="B82724"/>
      <c r="C82724"/>
      <c r="E82724"/>
      <c r="F82724"/>
    </row>
    <row r="82725" spans="1:6" x14ac:dyDescent="0.25">
      <c r="A82725"/>
      <c r="B82725"/>
      <c r="C82725"/>
      <c r="E82725"/>
      <c r="F82725"/>
    </row>
    <row r="82726" spans="1:6" x14ac:dyDescent="0.25">
      <c r="A82726"/>
      <c r="B82726"/>
      <c r="C82726"/>
      <c r="E82726"/>
      <c r="F82726"/>
    </row>
    <row r="82727" spans="1:6" x14ac:dyDescent="0.25">
      <c r="A82727"/>
      <c r="B82727"/>
      <c r="C82727"/>
      <c r="E82727"/>
      <c r="F82727"/>
    </row>
    <row r="82728" spans="1:6" x14ac:dyDescent="0.25">
      <c r="A82728"/>
      <c r="B82728"/>
      <c r="C82728"/>
      <c r="E82728"/>
      <c r="F82728"/>
    </row>
    <row r="82729" spans="1:6" x14ac:dyDescent="0.25">
      <c r="A82729"/>
      <c r="B82729"/>
      <c r="C82729"/>
      <c r="E82729"/>
      <c r="F82729"/>
    </row>
    <row r="82730" spans="1:6" x14ac:dyDescent="0.25">
      <c r="A82730"/>
      <c r="B82730"/>
      <c r="C82730"/>
      <c r="E82730"/>
      <c r="F82730"/>
    </row>
    <row r="82731" spans="1:6" x14ac:dyDescent="0.25">
      <c r="A82731"/>
      <c r="B82731"/>
      <c r="C82731"/>
      <c r="E82731"/>
      <c r="F82731"/>
    </row>
    <row r="82732" spans="1:6" x14ac:dyDescent="0.25">
      <c r="A82732"/>
      <c r="B82732"/>
      <c r="C82732"/>
      <c r="E82732"/>
      <c r="F82732"/>
    </row>
    <row r="82733" spans="1:6" x14ac:dyDescent="0.25">
      <c r="A82733"/>
      <c r="B82733"/>
      <c r="C82733"/>
      <c r="E82733"/>
      <c r="F82733"/>
    </row>
    <row r="82734" spans="1:6" x14ac:dyDescent="0.25">
      <c r="A82734"/>
      <c r="B82734"/>
      <c r="C82734"/>
      <c r="E82734"/>
      <c r="F82734"/>
    </row>
    <row r="82735" spans="1:6" x14ac:dyDescent="0.25">
      <c r="A82735"/>
      <c r="B82735"/>
      <c r="C82735"/>
      <c r="E82735"/>
      <c r="F82735"/>
    </row>
    <row r="82736" spans="1:6" x14ac:dyDescent="0.25">
      <c r="A82736"/>
      <c r="B82736"/>
      <c r="C82736"/>
      <c r="E82736"/>
      <c r="F82736"/>
    </row>
    <row r="82737" spans="1:6" x14ac:dyDescent="0.25">
      <c r="A82737"/>
      <c r="B82737"/>
      <c r="C82737"/>
      <c r="E82737"/>
      <c r="F82737"/>
    </row>
    <row r="82738" spans="1:6" x14ac:dyDescent="0.25">
      <c r="A82738"/>
      <c r="B82738"/>
      <c r="C82738"/>
      <c r="E82738"/>
      <c r="F82738"/>
    </row>
    <row r="82739" spans="1:6" x14ac:dyDescent="0.25">
      <c r="A82739"/>
      <c r="B82739"/>
      <c r="C82739"/>
      <c r="E82739"/>
      <c r="F82739"/>
    </row>
    <row r="82740" spans="1:6" x14ac:dyDescent="0.25">
      <c r="A82740"/>
      <c r="B82740"/>
      <c r="C82740"/>
      <c r="E82740"/>
      <c r="F82740"/>
    </row>
    <row r="82741" spans="1:6" x14ac:dyDescent="0.25">
      <c r="A82741"/>
      <c r="B82741"/>
      <c r="C82741"/>
      <c r="E82741"/>
      <c r="F82741"/>
    </row>
    <row r="82742" spans="1:6" x14ac:dyDescent="0.25">
      <c r="A82742"/>
      <c r="B82742"/>
      <c r="C82742"/>
      <c r="E82742"/>
      <c r="F82742"/>
    </row>
    <row r="82743" spans="1:6" x14ac:dyDescent="0.25">
      <c r="A82743"/>
      <c r="B82743"/>
      <c r="C82743"/>
      <c r="E82743"/>
      <c r="F82743"/>
    </row>
    <row r="82744" spans="1:6" x14ac:dyDescent="0.25">
      <c r="A82744"/>
      <c r="B82744"/>
      <c r="C82744"/>
      <c r="E82744"/>
      <c r="F82744"/>
    </row>
    <row r="82745" spans="1:6" x14ac:dyDescent="0.25">
      <c r="A82745"/>
      <c r="B82745"/>
      <c r="C82745"/>
      <c r="E82745"/>
      <c r="F82745"/>
    </row>
    <row r="82746" spans="1:6" x14ac:dyDescent="0.25">
      <c r="A82746"/>
      <c r="B82746"/>
      <c r="C82746"/>
      <c r="E82746"/>
      <c r="F82746"/>
    </row>
    <row r="82747" spans="1:6" x14ac:dyDescent="0.25">
      <c r="A82747"/>
      <c r="B82747"/>
      <c r="C82747"/>
      <c r="E82747"/>
      <c r="F82747"/>
    </row>
    <row r="82748" spans="1:6" x14ac:dyDescent="0.25">
      <c r="A82748"/>
      <c r="B82748"/>
      <c r="C82748"/>
      <c r="E82748"/>
      <c r="F82748"/>
    </row>
    <row r="82749" spans="1:6" x14ac:dyDescent="0.25">
      <c r="A82749"/>
      <c r="B82749"/>
      <c r="C82749"/>
      <c r="E82749"/>
      <c r="F82749"/>
    </row>
    <row r="82750" spans="1:6" x14ac:dyDescent="0.25">
      <c r="A82750"/>
      <c r="B82750"/>
      <c r="C82750"/>
      <c r="E82750"/>
      <c r="F82750"/>
    </row>
    <row r="82751" spans="1:6" x14ac:dyDescent="0.25">
      <c r="A82751"/>
      <c r="B82751"/>
      <c r="C82751"/>
      <c r="E82751"/>
      <c r="F82751"/>
    </row>
    <row r="82752" spans="1:6" x14ac:dyDescent="0.25">
      <c r="A82752"/>
      <c r="B82752"/>
      <c r="C82752"/>
      <c r="E82752"/>
      <c r="F82752"/>
    </row>
    <row r="82753" spans="1:6" x14ac:dyDescent="0.25">
      <c r="A82753"/>
      <c r="B82753"/>
      <c r="C82753"/>
      <c r="E82753"/>
      <c r="F82753"/>
    </row>
    <row r="82754" spans="1:6" x14ac:dyDescent="0.25">
      <c r="A82754"/>
      <c r="B82754"/>
      <c r="C82754"/>
      <c r="E82754"/>
      <c r="F82754"/>
    </row>
    <row r="82755" spans="1:6" x14ac:dyDescent="0.25">
      <c r="A82755"/>
      <c r="B82755"/>
      <c r="C82755"/>
      <c r="E82755"/>
      <c r="F82755"/>
    </row>
    <row r="82756" spans="1:6" x14ac:dyDescent="0.25">
      <c r="A82756"/>
      <c r="B82756"/>
      <c r="C82756"/>
      <c r="E82756"/>
      <c r="F82756"/>
    </row>
    <row r="82757" spans="1:6" x14ac:dyDescent="0.25">
      <c r="A82757"/>
      <c r="B82757"/>
      <c r="C82757"/>
      <c r="E82757"/>
      <c r="F82757"/>
    </row>
    <row r="82758" spans="1:6" x14ac:dyDescent="0.25">
      <c r="A82758"/>
      <c r="B82758"/>
      <c r="C82758"/>
      <c r="E82758"/>
      <c r="F82758"/>
    </row>
    <row r="82759" spans="1:6" x14ac:dyDescent="0.25">
      <c r="A82759"/>
      <c r="B82759"/>
      <c r="C82759"/>
      <c r="E82759"/>
      <c r="F82759"/>
    </row>
    <row r="82760" spans="1:6" x14ac:dyDescent="0.25">
      <c r="A82760"/>
      <c r="B82760"/>
      <c r="C82760"/>
      <c r="E82760"/>
      <c r="F82760"/>
    </row>
    <row r="82761" spans="1:6" x14ac:dyDescent="0.25">
      <c r="A82761"/>
      <c r="B82761"/>
      <c r="C82761"/>
      <c r="E82761"/>
      <c r="F82761"/>
    </row>
    <row r="82762" spans="1:6" x14ac:dyDescent="0.25">
      <c r="A82762"/>
      <c r="B82762"/>
      <c r="C82762"/>
      <c r="E82762"/>
      <c r="F82762"/>
    </row>
    <row r="82763" spans="1:6" x14ac:dyDescent="0.25">
      <c r="A82763"/>
      <c r="B82763"/>
      <c r="C82763"/>
      <c r="E82763"/>
      <c r="F82763"/>
    </row>
    <row r="82764" spans="1:6" x14ac:dyDescent="0.25">
      <c r="A82764"/>
      <c r="B82764"/>
      <c r="C82764"/>
      <c r="E82764"/>
      <c r="F82764"/>
    </row>
    <row r="82765" spans="1:6" x14ac:dyDescent="0.25">
      <c r="A82765"/>
      <c r="B82765"/>
      <c r="C82765"/>
      <c r="E82765"/>
      <c r="F82765"/>
    </row>
    <row r="82766" spans="1:6" x14ac:dyDescent="0.25">
      <c r="A82766"/>
      <c r="B82766"/>
      <c r="C82766"/>
      <c r="E82766"/>
      <c r="F82766"/>
    </row>
    <row r="82767" spans="1:6" x14ac:dyDescent="0.25">
      <c r="A82767"/>
      <c r="B82767"/>
      <c r="C82767"/>
      <c r="E82767"/>
      <c r="F82767"/>
    </row>
    <row r="82768" spans="1:6" x14ac:dyDescent="0.25">
      <c r="A82768"/>
      <c r="B82768"/>
      <c r="C82768"/>
      <c r="E82768"/>
      <c r="F82768"/>
    </row>
    <row r="82769" spans="1:6" x14ac:dyDescent="0.25">
      <c r="A82769"/>
      <c r="B82769"/>
      <c r="C82769"/>
      <c r="E82769"/>
      <c r="F82769"/>
    </row>
    <row r="82770" spans="1:6" x14ac:dyDescent="0.25">
      <c r="A82770"/>
      <c r="B82770"/>
      <c r="C82770"/>
      <c r="E82770"/>
      <c r="F82770"/>
    </row>
    <row r="82771" spans="1:6" x14ac:dyDescent="0.25">
      <c r="A82771"/>
      <c r="B82771"/>
      <c r="C82771"/>
      <c r="E82771"/>
      <c r="F82771"/>
    </row>
    <row r="82772" spans="1:6" x14ac:dyDescent="0.25">
      <c r="A82772"/>
      <c r="B82772"/>
      <c r="C82772"/>
      <c r="E82772"/>
      <c r="F82772"/>
    </row>
    <row r="82773" spans="1:6" x14ac:dyDescent="0.25">
      <c r="A82773"/>
      <c r="B82773"/>
      <c r="C82773"/>
      <c r="E82773"/>
      <c r="F82773"/>
    </row>
    <row r="82774" spans="1:6" x14ac:dyDescent="0.25">
      <c r="A82774"/>
      <c r="B82774"/>
      <c r="C82774"/>
      <c r="E82774"/>
      <c r="F82774"/>
    </row>
    <row r="82775" spans="1:6" x14ac:dyDescent="0.25">
      <c r="A82775"/>
      <c r="B82775"/>
      <c r="C82775"/>
      <c r="E82775"/>
      <c r="F82775"/>
    </row>
    <row r="82776" spans="1:6" x14ac:dyDescent="0.25">
      <c r="A82776"/>
      <c r="B82776"/>
      <c r="C82776"/>
      <c r="E82776"/>
      <c r="F82776"/>
    </row>
    <row r="82777" spans="1:6" x14ac:dyDescent="0.25">
      <c r="A82777"/>
      <c r="B82777"/>
      <c r="C82777"/>
      <c r="E82777"/>
      <c r="F82777"/>
    </row>
    <row r="82778" spans="1:6" x14ac:dyDescent="0.25">
      <c r="A82778"/>
      <c r="B82778"/>
      <c r="C82778"/>
      <c r="E82778"/>
      <c r="F82778"/>
    </row>
    <row r="82779" spans="1:6" x14ac:dyDescent="0.25">
      <c r="A82779"/>
      <c r="B82779"/>
      <c r="C82779"/>
      <c r="E82779"/>
      <c r="F82779"/>
    </row>
    <row r="82780" spans="1:6" x14ac:dyDescent="0.25">
      <c r="A82780"/>
      <c r="B82780"/>
      <c r="C82780"/>
      <c r="E82780"/>
      <c r="F82780"/>
    </row>
    <row r="82781" spans="1:6" x14ac:dyDescent="0.25">
      <c r="A82781"/>
      <c r="B82781"/>
      <c r="C82781"/>
      <c r="E82781"/>
      <c r="F82781"/>
    </row>
    <row r="82782" spans="1:6" x14ac:dyDescent="0.25">
      <c r="A82782"/>
      <c r="B82782"/>
      <c r="C82782"/>
      <c r="E82782"/>
      <c r="F82782"/>
    </row>
    <row r="82783" spans="1:6" x14ac:dyDescent="0.25">
      <c r="A82783"/>
      <c r="B82783"/>
      <c r="C82783"/>
      <c r="E82783"/>
      <c r="F82783"/>
    </row>
    <row r="82784" spans="1:6" x14ac:dyDescent="0.25">
      <c r="A82784"/>
      <c r="B82784"/>
      <c r="C82784"/>
      <c r="E82784"/>
      <c r="F82784"/>
    </row>
    <row r="82785" spans="1:6" x14ac:dyDescent="0.25">
      <c r="A82785"/>
      <c r="B82785"/>
      <c r="C82785"/>
      <c r="E82785"/>
      <c r="F82785"/>
    </row>
    <row r="82786" spans="1:6" x14ac:dyDescent="0.25">
      <c r="A82786"/>
      <c r="B82786"/>
      <c r="C82786"/>
      <c r="E82786"/>
      <c r="F82786"/>
    </row>
    <row r="82787" spans="1:6" x14ac:dyDescent="0.25">
      <c r="A82787"/>
      <c r="B82787"/>
      <c r="C82787"/>
      <c r="E82787"/>
      <c r="F82787"/>
    </row>
    <row r="82788" spans="1:6" x14ac:dyDescent="0.25">
      <c r="A82788"/>
      <c r="B82788"/>
      <c r="C82788"/>
      <c r="E82788"/>
      <c r="F82788"/>
    </row>
    <row r="82789" spans="1:6" x14ac:dyDescent="0.25">
      <c r="A82789"/>
      <c r="B82789"/>
      <c r="C82789"/>
      <c r="E82789"/>
      <c r="F82789"/>
    </row>
    <row r="82790" spans="1:6" x14ac:dyDescent="0.25">
      <c r="A82790"/>
      <c r="B82790"/>
      <c r="C82790"/>
      <c r="E82790"/>
      <c r="F82790"/>
    </row>
    <row r="82791" spans="1:6" x14ac:dyDescent="0.25">
      <c r="A82791"/>
      <c r="B82791"/>
      <c r="C82791"/>
      <c r="E82791"/>
      <c r="F82791"/>
    </row>
    <row r="82792" spans="1:6" x14ac:dyDescent="0.25">
      <c r="A82792"/>
      <c r="B82792"/>
      <c r="C82792"/>
      <c r="E82792"/>
      <c r="F82792"/>
    </row>
    <row r="82793" spans="1:6" x14ac:dyDescent="0.25">
      <c r="A82793"/>
      <c r="B82793"/>
      <c r="C82793"/>
      <c r="E82793"/>
      <c r="F82793"/>
    </row>
    <row r="82794" spans="1:6" x14ac:dyDescent="0.25">
      <c r="A82794"/>
      <c r="B82794"/>
      <c r="C82794"/>
      <c r="E82794"/>
      <c r="F82794"/>
    </row>
    <row r="82795" spans="1:6" x14ac:dyDescent="0.25">
      <c r="A82795"/>
      <c r="B82795"/>
      <c r="C82795"/>
      <c r="E82795"/>
      <c r="F82795"/>
    </row>
    <row r="82796" spans="1:6" x14ac:dyDescent="0.25">
      <c r="A82796"/>
      <c r="B82796"/>
      <c r="C82796"/>
      <c r="E82796"/>
      <c r="F82796"/>
    </row>
    <row r="82797" spans="1:6" x14ac:dyDescent="0.25">
      <c r="A82797"/>
      <c r="B82797"/>
      <c r="C82797"/>
      <c r="E82797"/>
      <c r="F82797"/>
    </row>
    <row r="82798" spans="1:6" x14ac:dyDescent="0.25">
      <c r="A82798"/>
      <c r="B82798"/>
      <c r="C82798"/>
      <c r="E82798"/>
      <c r="F82798"/>
    </row>
    <row r="82799" spans="1:6" x14ac:dyDescent="0.25">
      <c r="A82799"/>
      <c r="B82799"/>
      <c r="C82799"/>
      <c r="E82799"/>
      <c r="F82799"/>
    </row>
    <row r="82800" spans="1:6" x14ac:dyDescent="0.25">
      <c r="A82800"/>
      <c r="B82800"/>
      <c r="C82800"/>
      <c r="E82800"/>
      <c r="F82800"/>
    </row>
    <row r="82801" spans="1:6" x14ac:dyDescent="0.25">
      <c r="A82801"/>
      <c r="B82801"/>
      <c r="C82801"/>
      <c r="E82801"/>
      <c r="F82801"/>
    </row>
    <row r="82802" spans="1:6" x14ac:dyDescent="0.25">
      <c r="A82802"/>
      <c r="B82802"/>
      <c r="C82802"/>
      <c r="E82802"/>
      <c r="F82802"/>
    </row>
    <row r="82803" spans="1:6" x14ac:dyDescent="0.25">
      <c r="A82803"/>
      <c r="B82803"/>
      <c r="C82803"/>
      <c r="E82803"/>
      <c r="F82803"/>
    </row>
    <row r="82804" spans="1:6" x14ac:dyDescent="0.25">
      <c r="A82804"/>
      <c r="B82804"/>
      <c r="C82804"/>
      <c r="E82804"/>
      <c r="F82804"/>
    </row>
    <row r="82805" spans="1:6" x14ac:dyDescent="0.25">
      <c r="A82805"/>
      <c r="B82805"/>
      <c r="C82805"/>
      <c r="E82805"/>
      <c r="F82805"/>
    </row>
    <row r="82806" spans="1:6" x14ac:dyDescent="0.25">
      <c r="A82806"/>
      <c r="B82806"/>
      <c r="C82806"/>
      <c r="E82806"/>
      <c r="F82806"/>
    </row>
    <row r="82807" spans="1:6" x14ac:dyDescent="0.25">
      <c r="A82807"/>
      <c r="B82807"/>
      <c r="C82807"/>
      <c r="E82807"/>
      <c r="F82807"/>
    </row>
    <row r="82808" spans="1:6" x14ac:dyDescent="0.25">
      <c r="A82808"/>
      <c r="B82808"/>
      <c r="C82808"/>
      <c r="E82808"/>
      <c r="F82808"/>
    </row>
    <row r="82809" spans="1:6" x14ac:dyDescent="0.25">
      <c r="A82809"/>
      <c r="B82809"/>
      <c r="C82809"/>
      <c r="E82809"/>
      <c r="F82809"/>
    </row>
    <row r="82810" spans="1:6" x14ac:dyDescent="0.25">
      <c r="A82810"/>
      <c r="B82810"/>
      <c r="C82810"/>
      <c r="E82810"/>
      <c r="F82810"/>
    </row>
    <row r="82811" spans="1:6" x14ac:dyDescent="0.25">
      <c r="A82811"/>
      <c r="B82811"/>
      <c r="C82811"/>
      <c r="E82811"/>
      <c r="F82811"/>
    </row>
    <row r="82812" spans="1:6" x14ac:dyDescent="0.25">
      <c r="A82812"/>
      <c r="B82812"/>
      <c r="C82812"/>
      <c r="E82812"/>
      <c r="F82812"/>
    </row>
    <row r="82813" spans="1:6" x14ac:dyDescent="0.25">
      <c r="A82813"/>
      <c r="B82813"/>
      <c r="C82813"/>
      <c r="E82813"/>
      <c r="F82813"/>
    </row>
    <row r="82814" spans="1:6" x14ac:dyDescent="0.25">
      <c r="A82814"/>
      <c r="B82814"/>
      <c r="C82814"/>
      <c r="E82814"/>
      <c r="F82814"/>
    </row>
    <row r="82815" spans="1:6" x14ac:dyDescent="0.25">
      <c r="A82815"/>
      <c r="B82815"/>
      <c r="C82815"/>
      <c r="E82815"/>
      <c r="F82815"/>
    </row>
    <row r="82816" spans="1:6" x14ac:dyDescent="0.25">
      <c r="A82816"/>
      <c r="B82816"/>
      <c r="C82816"/>
      <c r="E82816"/>
      <c r="F82816"/>
    </row>
    <row r="82817" spans="1:6" x14ac:dyDescent="0.25">
      <c r="A82817"/>
      <c r="B82817"/>
      <c r="C82817"/>
      <c r="E82817"/>
      <c r="F82817"/>
    </row>
    <row r="82818" spans="1:6" x14ac:dyDescent="0.25">
      <c r="A82818"/>
      <c r="B82818"/>
      <c r="C82818"/>
      <c r="E82818"/>
      <c r="F82818"/>
    </row>
    <row r="82819" spans="1:6" x14ac:dyDescent="0.25">
      <c r="A82819"/>
      <c r="B82819"/>
      <c r="C82819"/>
      <c r="E82819"/>
      <c r="F82819"/>
    </row>
    <row r="82820" spans="1:6" x14ac:dyDescent="0.25">
      <c r="A82820"/>
      <c r="B82820"/>
      <c r="C82820"/>
      <c r="E82820"/>
      <c r="F82820"/>
    </row>
    <row r="82821" spans="1:6" x14ac:dyDescent="0.25">
      <c r="A82821"/>
      <c r="B82821"/>
      <c r="C82821"/>
      <c r="E82821"/>
      <c r="F82821"/>
    </row>
    <row r="82822" spans="1:6" x14ac:dyDescent="0.25">
      <c r="A82822"/>
      <c r="B82822"/>
      <c r="C82822"/>
      <c r="E82822"/>
      <c r="F82822"/>
    </row>
    <row r="82823" spans="1:6" x14ac:dyDescent="0.25">
      <c r="A82823"/>
      <c r="B82823"/>
      <c r="C82823"/>
      <c r="E82823"/>
      <c r="F82823"/>
    </row>
    <row r="82824" spans="1:6" x14ac:dyDescent="0.25">
      <c r="A82824"/>
      <c r="B82824"/>
      <c r="C82824"/>
      <c r="E82824"/>
      <c r="F82824"/>
    </row>
    <row r="82825" spans="1:6" x14ac:dyDescent="0.25">
      <c r="A82825"/>
      <c r="B82825"/>
      <c r="C82825"/>
      <c r="E82825"/>
      <c r="F82825"/>
    </row>
    <row r="82826" spans="1:6" x14ac:dyDescent="0.25">
      <c r="A82826"/>
      <c r="B82826"/>
      <c r="C82826"/>
      <c r="E82826"/>
      <c r="F82826"/>
    </row>
    <row r="82827" spans="1:6" x14ac:dyDescent="0.25">
      <c r="A82827"/>
      <c r="B82827"/>
      <c r="C82827"/>
      <c r="E82827"/>
      <c r="F82827"/>
    </row>
    <row r="82828" spans="1:6" x14ac:dyDescent="0.25">
      <c r="A82828"/>
      <c r="B82828"/>
      <c r="C82828"/>
      <c r="E82828"/>
      <c r="F82828"/>
    </row>
    <row r="82829" spans="1:6" x14ac:dyDescent="0.25">
      <c r="A82829"/>
      <c r="B82829"/>
      <c r="C82829"/>
      <c r="E82829"/>
      <c r="F82829"/>
    </row>
    <row r="82830" spans="1:6" x14ac:dyDescent="0.25">
      <c r="A82830"/>
      <c r="B82830"/>
      <c r="C82830"/>
      <c r="E82830"/>
      <c r="F82830"/>
    </row>
    <row r="82831" spans="1:6" x14ac:dyDescent="0.25">
      <c r="A82831"/>
      <c r="B82831"/>
      <c r="C82831"/>
      <c r="E82831"/>
      <c r="F82831"/>
    </row>
    <row r="82832" spans="1:6" x14ac:dyDescent="0.25">
      <c r="A82832"/>
      <c r="B82832"/>
      <c r="C82832"/>
      <c r="E82832"/>
      <c r="F82832"/>
    </row>
    <row r="82833" spans="1:6" x14ac:dyDescent="0.25">
      <c r="A82833"/>
      <c r="B82833"/>
      <c r="C82833"/>
      <c r="E82833"/>
      <c r="F82833"/>
    </row>
    <row r="82834" spans="1:6" x14ac:dyDescent="0.25">
      <c r="A82834"/>
      <c r="B82834"/>
      <c r="C82834"/>
      <c r="E82834"/>
      <c r="F82834"/>
    </row>
    <row r="82835" spans="1:6" x14ac:dyDescent="0.25">
      <c r="A82835"/>
      <c r="B82835"/>
      <c r="C82835"/>
      <c r="E82835"/>
      <c r="F82835"/>
    </row>
    <row r="82836" spans="1:6" x14ac:dyDescent="0.25">
      <c r="A82836"/>
      <c r="B82836"/>
      <c r="C82836"/>
      <c r="E82836"/>
      <c r="F82836"/>
    </row>
    <row r="82837" spans="1:6" x14ac:dyDescent="0.25">
      <c r="A82837"/>
      <c r="B82837"/>
      <c r="C82837"/>
      <c r="E82837"/>
      <c r="F82837"/>
    </row>
    <row r="82838" spans="1:6" x14ac:dyDescent="0.25">
      <c r="A82838"/>
      <c r="B82838"/>
      <c r="C82838"/>
      <c r="E82838"/>
      <c r="F82838"/>
    </row>
    <row r="82839" spans="1:6" x14ac:dyDescent="0.25">
      <c r="A82839"/>
      <c r="B82839"/>
      <c r="C82839"/>
      <c r="E82839"/>
      <c r="F82839"/>
    </row>
    <row r="82840" spans="1:6" x14ac:dyDescent="0.25">
      <c r="A82840"/>
      <c r="B82840"/>
      <c r="C82840"/>
      <c r="E82840"/>
      <c r="F82840"/>
    </row>
    <row r="82841" spans="1:6" x14ac:dyDescent="0.25">
      <c r="A82841"/>
      <c r="B82841"/>
      <c r="C82841"/>
      <c r="E82841"/>
      <c r="F82841"/>
    </row>
    <row r="82842" spans="1:6" x14ac:dyDescent="0.25">
      <c r="A82842"/>
      <c r="B82842"/>
      <c r="C82842"/>
      <c r="E82842"/>
      <c r="F82842"/>
    </row>
    <row r="82843" spans="1:6" x14ac:dyDescent="0.25">
      <c r="A82843"/>
      <c r="B82843"/>
      <c r="C82843"/>
      <c r="E82843"/>
      <c r="F82843"/>
    </row>
    <row r="82844" spans="1:6" x14ac:dyDescent="0.25">
      <c r="A82844"/>
      <c r="B82844"/>
      <c r="C82844"/>
      <c r="E82844"/>
      <c r="F82844"/>
    </row>
    <row r="82845" spans="1:6" x14ac:dyDescent="0.25">
      <c r="A82845"/>
      <c r="B82845"/>
      <c r="C82845"/>
      <c r="E82845"/>
      <c r="F82845"/>
    </row>
    <row r="82846" spans="1:6" x14ac:dyDescent="0.25">
      <c r="A82846"/>
      <c r="B82846"/>
      <c r="C82846"/>
      <c r="E82846"/>
      <c r="F82846"/>
    </row>
    <row r="82847" spans="1:6" x14ac:dyDescent="0.25">
      <c r="A82847"/>
      <c r="B82847"/>
      <c r="C82847"/>
      <c r="E82847"/>
      <c r="F82847"/>
    </row>
    <row r="82848" spans="1:6" x14ac:dyDescent="0.25">
      <c r="A82848"/>
      <c r="B82848"/>
      <c r="C82848"/>
      <c r="E82848"/>
      <c r="F82848"/>
    </row>
    <row r="82849" spans="1:6" x14ac:dyDescent="0.25">
      <c r="A82849"/>
      <c r="B82849"/>
      <c r="C82849"/>
      <c r="E82849"/>
      <c r="F82849"/>
    </row>
    <row r="82850" spans="1:6" x14ac:dyDescent="0.25">
      <c r="A82850"/>
      <c r="B82850"/>
      <c r="C82850"/>
      <c r="E82850"/>
      <c r="F82850"/>
    </row>
    <row r="82851" spans="1:6" x14ac:dyDescent="0.25">
      <c r="A82851"/>
      <c r="B82851"/>
      <c r="C82851"/>
      <c r="E82851"/>
      <c r="F82851"/>
    </row>
    <row r="82852" spans="1:6" x14ac:dyDescent="0.25">
      <c r="A82852"/>
      <c r="B82852"/>
      <c r="C82852"/>
      <c r="E82852"/>
      <c r="F82852"/>
    </row>
    <row r="82853" spans="1:6" x14ac:dyDescent="0.25">
      <c r="A82853"/>
      <c r="B82853"/>
      <c r="C82853"/>
      <c r="E82853"/>
      <c r="F82853"/>
    </row>
    <row r="82854" spans="1:6" x14ac:dyDescent="0.25">
      <c r="A82854"/>
      <c r="B82854"/>
      <c r="C82854"/>
      <c r="E82854"/>
      <c r="F82854"/>
    </row>
    <row r="82855" spans="1:6" x14ac:dyDescent="0.25">
      <c r="A82855"/>
      <c r="B82855"/>
      <c r="C82855"/>
      <c r="E82855"/>
      <c r="F82855"/>
    </row>
    <row r="82856" spans="1:6" x14ac:dyDescent="0.25">
      <c r="A82856"/>
      <c r="B82856"/>
      <c r="C82856"/>
      <c r="E82856"/>
      <c r="F82856"/>
    </row>
    <row r="82857" spans="1:6" x14ac:dyDescent="0.25">
      <c r="A82857"/>
      <c r="B82857"/>
      <c r="C82857"/>
      <c r="E82857"/>
      <c r="F82857"/>
    </row>
    <row r="82858" spans="1:6" x14ac:dyDescent="0.25">
      <c r="A82858"/>
      <c r="B82858"/>
      <c r="C82858"/>
      <c r="E82858"/>
      <c r="F82858"/>
    </row>
    <row r="82859" spans="1:6" x14ac:dyDescent="0.25">
      <c r="A82859"/>
      <c r="B82859"/>
      <c r="C82859"/>
      <c r="E82859"/>
      <c r="F82859"/>
    </row>
    <row r="82860" spans="1:6" x14ac:dyDescent="0.25">
      <c r="A82860"/>
      <c r="B82860"/>
      <c r="C82860"/>
      <c r="E82860"/>
      <c r="F82860"/>
    </row>
    <row r="82861" spans="1:6" x14ac:dyDescent="0.25">
      <c r="A82861"/>
      <c r="B82861"/>
      <c r="C82861"/>
      <c r="E82861"/>
      <c r="F82861"/>
    </row>
    <row r="82862" spans="1:6" x14ac:dyDescent="0.25">
      <c r="A82862"/>
      <c r="B82862"/>
      <c r="C82862"/>
      <c r="E82862"/>
      <c r="F82862"/>
    </row>
    <row r="82863" spans="1:6" x14ac:dyDescent="0.25">
      <c r="A82863"/>
      <c r="B82863"/>
      <c r="C82863"/>
      <c r="E82863"/>
      <c r="F82863"/>
    </row>
    <row r="82864" spans="1:6" x14ac:dyDescent="0.25">
      <c r="A82864"/>
      <c r="B82864"/>
      <c r="C82864"/>
      <c r="E82864"/>
      <c r="F82864"/>
    </row>
    <row r="82865" spans="1:6" x14ac:dyDescent="0.25">
      <c r="A82865"/>
      <c r="B82865"/>
      <c r="C82865"/>
      <c r="E82865"/>
      <c r="F82865"/>
    </row>
    <row r="82866" spans="1:6" x14ac:dyDescent="0.25">
      <c r="A82866"/>
      <c r="B82866"/>
      <c r="C82866"/>
      <c r="E82866"/>
      <c r="F82866"/>
    </row>
    <row r="82867" spans="1:6" x14ac:dyDescent="0.25">
      <c r="A82867"/>
      <c r="B82867"/>
      <c r="C82867"/>
      <c r="E82867"/>
      <c r="F82867"/>
    </row>
    <row r="82868" spans="1:6" x14ac:dyDescent="0.25">
      <c r="A82868"/>
      <c r="B82868"/>
      <c r="C82868"/>
      <c r="E82868"/>
      <c r="F82868"/>
    </row>
    <row r="82869" spans="1:6" x14ac:dyDescent="0.25">
      <c r="A82869"/>
      <c r="B82869"/>
      <c r="C82869"/>
      <c r="E82869"/>
      <c r="F82869"/>
    </row>
    <row r="82870" spans="1:6" x14ac:dyDescent="0.25">
      <c r="A82870"/>
      <c r="B82870"/>
      <c r="C82870"/>
      <c r="E82870"/>
      <c r="F82870"/>
    </row>
    <row r="82871" spans="1:6" x14ac:dyDescent="0.25">
      <c r="A82871"/>
      <c r="B82871"/>
      <c r="C82871"/>
      <c r="E82871"/>
      <c r="F82871"/>
    </row>
    <row r="82872" spans="1:6" x14ac:dyDescent="0.25">
      <c r="A82872"/>
      <c r="B82872"/>
      <c r="C82872"/>
      <c r="E82872"/>
      <c r="F82872"/>
    </row>
    <row r="82873" spans="1:6" x14ac:dyDescent="0.25">
      <c r="A82873"/>
      <c r="B82873"/>
      <c r="C82873"/>
      <c r="E82873"/>
      <c r="F82873"/>
    </row>
    <row r="82874" spans="1:6" x14ac:dyDescent="0.25">
      <c r="A82874"/>
      <c r="B82874"/>
      <c r="C82874"/>
      <c r="E82874"/>
      <c r="F82874"/>
    </row>
    <row r="82875" spans="1:6" x14ac:dyDescent="0.25">
      <c r="A82875"/>
      <c r="B82875"/>
      <c r="C82875"/>
      <c r="E82875"/>
      <c r="F82875"/>
    </row>
    <row r="82876" spans="1:6" x14ac:dyDescent="0.25">
      <c r="A82876"/>
      <c r="B82876"/>
      <c r="C82876"/>
      <c r="E82876"/>
      <c r="F82876"/>
    </row>
    <row r="82877" spans="1:6" x14ac:dyDescent="0.25">
      <c r="A82877"/>
      <c r="B82877"/>
      <c r="C82877"/>
      <c r="E82877"/>
      <c r="F82877"/>
    </row>
    <row r="82878" spans="1:6" x14ac:dyDescent="0.25">
      <c r="A82878"/>
      <c r="B82878"/>
      <c r="C82878"/>
      <c r="E82878"/>
      <c r="F82878"/>
    </row>
    <row r="82879" spans="1:6" x14ac:dyDescent="0.25">
      <c r="A82879"/>
      <c r="B82879"/>
      <c r="C82879"/>
      <c r="E82879"/>
      <c r="F82879"/>
    </row>
    <row r="82880" spans="1:6" x14ac:dyDescent="0.25">
      <c r="A82880"/>
      <c r="B82880"/>
      <c r="C82880"/>
      <c r="E82880"/>
      <c r="F82880"/>
    </row>
    <row r="82881" spans="1:6" x14ac:dyDescent="0.25">
      <c r="A82881"/>
      <c r="B82881"/>
      <c r="C82881"/>
      <c r="E82881"/>
      <c r="F82881"/>
    </row>
    <row r="82882" spans="1:6" x14ac:dyDescent="0.25">
      <c r="A82882"/>
      <c r="B82882"/>
      <c r="C82882"/>
      <c r="E82882"/>
      <c r="F82882"/>
    </row>
    <row r="82883" spans="1:6" x14ac:dyDescent="0.25">
      <c r="A82883"/>
      <c r="B82883"/>
      <c r="C82883"/>
      <c r="E82883"/>
      <c r="F82883"/>
    </row>
    <row r="82884" spans="1:6" x14ac:dyDescent="0.25">
      <c r="A82884"/>
      <c r="B82884"/>
      <c r="C82884"/>
      <c r="E82884"/>
      <c r="F82884"/>
    </row>
    <row r="82885" spans="1:6" x14ac:dyDescent="0.25">
      <c r="A82885"/>
      <c r="B82885"/>
      <c r="C82885"/>
      <c r="E82885"/>
      <c r="F82885"/>
    </row>
    <row r="82886" spans="1:6" x14ac:dyDescent="0.25">
      <c r="A82886"/>
      <c r="B82886"/>
      <c r="C82886"/>
      <c r="E82886"/>
      <c r="F82886"/>
    </row>
    <row r="82887" spans="1:6" x14ac:dyDescent="0.25">
      <c r="A82887"/>
      <c r="B82887"/>
      <c r="C82887"/>
      <c r="E82887"/>
      <c r="F82887"/>
    </row>
    <row r="82888" spans="1:6" x14ac:dyDescent="0.25">
      <c r="A82888"/>
      <c r="B82888"/>
      <c r="C82888"/>
      <c r="E82888"/>
      <c r="F82888"/>
    </row>
    <row r="82889" spans="1:6" x14ac:dyDescent="0.25">
      <c r="A82889"/>
      <c r="B82889"/>
      <c r="C82889"/>
      <c r="E82889"/>
      <c r="F82889"/>
    </row>
    <row r="82890" spans="1:6" x14ac:dyDescent="0.25">
      <c r="A82890"/>
      <c r="B82890"/>
      <c r="C82890"/>
      <c r="E82890"/>
      <c r="F82890"/>
    </row>
    <row r="82891" spans="1:6" x14ac:dyDescent="0.25">
      <c r="A82891"/>
      <c r="B82891"/>
      <c r="C82891"/>
      <c r="E82891"/>
      <c r="F82891"/>
    </row>
    <row r="82892" spans="1:6" x14ac:dyDescent="0.25">
      <c r="A82892"/>
      <c r="B82892"/>
      <c r="C82892"/>
      <c r="E82892"/>
      <c r="F82892"/>
    </row>
    <row r="82893" spans="1:6" x14ac:dyDescent="0.25">
      <c r="A82893"/>
      <c r="B82893"/>
      <c r="C82893"/>
      <c r="E82893"/>
      <c r="F82893"/>
    </row>
    <row r="82894" spans="1:6" x14ac:dyDescent="0.25">
      <c r="A82894"/>
      <c r="B82894"/>
      <c r="C82894"/>
      <c r="E82894"/>
      <c r="F82894"/>
    </row>
    <row r="82895" spans="1:6" x14ac:dyDescent="0.25">
      <c r="A82895"/>
      <c r="B82895"/>
      <c r="C82895"/>
      <c r="E82895"/>
      <c r="F82895"/>
    </row>
    <row r="82896" spans="1:6" x14ac:dyDescent="0.25">
      <c r="A82896"/>
      <c r="B82896"/>
      <c r="C82896"/>
      <c r="E82896"/>
      <c r="F82896"/>
    </row>
    <row r="82897" spans="1:6" x14ac:dyDescent="0.25">
      <c r="A82897"/>
      <c r="B82897"/>
      <c r="C82897"/>
      <c r="E82897"/>
      <c r="F82897"/>
    </row>
    <row r="82898" spans="1:6" x14ac:dyDescent="0.25">
      <c r="A82898"/>
      <c r="B82898"/>
      <c r="C82898"/>
      <c r="E82898"/>
      <c r="F82898"/>
    </row>
    <row r="82899" spans="1:6" x14ac:dyDescent="0.25">
      <c r="A82899"/>
      <c r="B82899"/>
      <c r="C82899"/>
      <c r="E82899"/>
      <c r="F82899"/>
    </row>
    <row r="82900" spans="1:6" x14ac:dyDescent="0.25">
      <c r="A82900"/>
      <c r="B82900"/>
      <c r="C82900"/>
      <c r="E82900"/>
      <c r="F82900"/>
    </row>
    <row r="82901" spans="1:6" x14ac:dyDescent="0.25">
      <c r="A82901"/>
      <c r="B82901"/>
      <c r="C82901"/>
      <c r="E82901"/>
      <c r="F82901"/>
    </row>
    <row r="82902" spans="1:6" x14ac:dyDescent="0.25">
      <c r="A82902"/>
      <c r="B82902"/>
      <c r="C82902"/>
      <c r="E82902"/>
      <c r="F82902"/>
    </row>
    <row r="82903" spans="1:6" x14ac:dyDescent="0.25">
      <c r="A82903"/>
      <c r="B82903"/>
      <c r="C82903"/>
      <c r="E82903"/>
      <c r="F82903"/>
    </row>
    <row r="82904" spans="1:6" x14ac:dyDescent="0.25">
      <c r="A82904"/>
      <c r="B82904"/>
      <c r="C82904"/>
      <c r="E82904"/>
      <c r="F82904"/>
    </row>
    <row r="82905" spans="1:6" x14ac:dyDescent="0.25">
      <c r="A82905"/>
      <c r="B82905"/>
      <c r="C82905"/>
      <c r="E82905"/>
      <c r="F82905"/>
    </row>
    <row r="82906" spans="1:6" x14ac:dyDescent="0.25">
      <c r="A82906"/>
      <c r="B82906"/>
      <c r="C82906"/>
      <c r="E82906"/>
      <c r="F82906"/>
    </row>
    <row r="82907" spans="1:6" x14ac:dyDescent="0.25">
      <c r="A82907"/>
      <c r="B82907"/>
      <c r="C82907"/>
      <c r="E82907"/>
      <c r="F82907"/>
    </row>
    <row r="82908" spans="1:6" x14ac:dyDescent="0.25">
      <c r="A82908"/>
      <c r="B82908"/>
      <c r="C82908"/>
      <c r="E82908"/>
      <c r="F82908"/>
    </row>
    <row r="82909" spans="1:6" x14ac:dyDescent="0.25">
      <c r="A82909"/>
      <c r="B82909"/>
      <c r="C82909"/>
      <c r="E82909"/>
      <c r="F82909"/>
    </row>
    <row r="82910" spans="1:6" x14ac:dyDescent="0.25">
      <c r="A82910"/>
      <c r="B82910"/>
      <c r="C82910"/>
      <c r="E82910"/>
      <c r="F82910"/>
    </row>
    <row r="82911" spans="1:6" x14ac:dyDescent="0.25">
      <c r="A82911"/>
      <c r="B82911"/>
      <c r="C82911"/>
      <c r="E82911"/>
      <c r="F82911"/>
    </row>
    <row r="82912" spans="1:6" x14ac:dyDescent="0.25">
      <c r="A82912"/>
      <c r="B82912"/>
      <c r="C82912"/>
      <c r="E82912"/>
      <c r="F82912"/>
    </row>
    <row r="82913" spans="1:6" x14ac:dyDescent="0.25">
      <c r="A82913"/>
      <c r="B82913"/>
      <c r="C82913"/>
      <c r="E82913"/>
      <c r="F82913"/>
    </row>
    <row r="82914" spans="1:6" x14ac:dyDescent="0.25">
      <c r="A82914"/>
      <c r="B82914"/>
      <c r="C82914"/>
      <c r="E82914"/>
      <c r="F82914"/>
    </row>
    <row r="82915" spans="1:6" x14ac:dyDescent="0.25">
      <c r="A82915"/>
      <c r="B82915"/>
      <c r="C82915"/>
      <c r="E82915"/>
      <c r="F82915"/>
    </row>
    <row r="82916" spans="1:6" x14ac:dyDescent="0.25">
      <c r="A82916"/>
      <c r="B82916"/>
      <c r="C82916"/>
      <c r="E82916"/>
      <c r="F82916"/>
    </row>
    <row r="82917" spans="1:6" x14ac:dyDescent="0.25">
      <c r="A82917"/>
      <c r="B82917"/>
      <c r="C82917"/>
      <c r="E82917"/>
      <c r="F82917"/>
    </row>
    <row r="82918" spans="1:6" x14ac:dyDescent="0.25">
      <c r="A82918"/>
      <c r="B82918"/>
      <c r="C82918"/>
      <c r="E82918"/>
      <c r="F82918"/>
    </row>
    <row r="82919" spans="1:6" x14ac:dyDescent="0.25">
      <c r="A82919"/>
      <c r="B82919"/>
      <c r="C82919"/>
      <c r="E82919"/>
      <c r="F82919"/>
    </row>
    <row r="82920" spans="1:6" x14ac:dyDescent="0.25">
      <c r="A82920"/>
      <c r="B82920"/>
      <c r="C82920"/>
      <c r="E82920"/>
      <c r="F82920"/>
    </row>
    <row r="82921" spans="1:6" x14ac:dyDescent="0.25">
      <c r="A82921"/>
      <c r="B82921"/>
      <c r="C82921"/>
      <c r="E82921"/>
      <c r="F82921"/>
    </row>
    <row r="82922" spans="1:6" x14ac:dyDescent="0.25">
      <c r="A82922"/>
      <c r="B82922"/>
      <c r="C82922"/>
      <c r="E82922"/>
      <c r="F82922"/>
    </row>
    <row r="82923" spans="1:6" x14ac:dyDescent="0.25">
      <c r="A82923"/>
      <c r="B82923"/>
      <c r="C82923"/>
      <c r="E82923"/>
      <c r="F82923"/>
    </row>
    <row r="82924" spans="1:6" x14ac:dyDescent="0.25">
      <c r="A82924"/>
      <c r="B82924"/>
      <c r="C82924"/>
      <c r="E82924"/>
      <c r="F82924"/>
    </row>
    <row r="82925" spans="1:6" x14ac:dyDescent="0.25">
      <c r="A82925"/>
      <c r="B82925"/>
      <c r="C82925"/>
      <c r="E82925"/>
      <c r="F82925"/>
    </row>
    <row r="82926" spans="1:6" x14ac:dyDescent="0.25">
      <c r="A82926"/>
      <c r="B82926"/>
      <c r="C82926"/>
      <c r="E82926"/>
      <c r="F82926"/>
    </row>
    <row r="82927" spans="1:6" x14ac:dyDescent="0.25">
      <c r="A82927"/>
      <c r="B82927"/>
      <c r="C82927"/>
      <c r="E82927"/>
      <c r="F82927"/>
    </row>
    <row r="82928" spans="1:6" x14ac:dyDescent="0.25">
      <c r="A82928"/>
      <c r="B82928"/>
      <c r="C82928"/>
      <c r="E82928"/>
      <c r="F82928"/>
    </row>
    <row r="82929" spans="1:6" x14ac:dyDescent="0.25">
      <c r="A82929"/>
      <c r="B82929"/>
      <c r="C82929"/>
      <c r="E82929"/>
      <c r="F82929"/>
    </row>
    <row r="82930" spans="1:6" x14ac:dyDescent="0.25">
      <c r="A82930"/>
      <c r="B82930"/>
      <c r="C82930"/>
      <c r="E82930"/>
      <c r="F82930"/>
    </row>
    <row r="82931" spans="1:6" x14ac:dyDescent="0.25">
      <c r="A82931"/>
      <c r="B82931"/>
      <c r="C82931"/>
      <c r="E82931"/>
      <c r="F82931"/>
    </row>
    <row r="82932" spans="1:6" x14ac:dyDescent="0.25">
      <c r="A82932"/>
      <c r="B82932"/>
      <c r="C82932"/>
      <c r="E82932"/>
      <c r="F82932"/>
    </row>
    <row r="82933" spans="1:6" x14ac:dyDescent="0.25">
      <c r="A82933"/>
      <c r="B82933"/>
      <c r="C82933"/>
      <c r="E82933"/>
      <c r="F82933"/>
    </row>
    <row r="82934" spans="1:6" x14ac:dyDescent="0.25">
      <c r="A82934"/>
      <c r="B82934"/>
      <c r="C82934"/>
      <c r="E82934"/>
      <c r="F82934"/>
    </row>
    <row r="82935" spans="1:6" x14ac:dyDescent="0.25">
      <c r="A82935"/>
      <c r="B82935"/>
      <c r="C82935"/>
      <c r="E82935"/>
      <c r="F82935"/>
    </row>
    <row r="82936" spans="1:6" x14ac:dyDescent="0.25">
      <c r="A82936"/>
      <c r="B82936"/>
      <c r="C82936"/>
      <c r="E82936"/>
      <c r="F82936"/>
    </row>
    <row r="82937" spans="1:6" x14ac:dyDescent="0.25">
      <c r="A82937"/>
      <c r="B82937"/>
      <c r="C82937"/>
      <c r="E82937"/>
      <c r="F82937"/>
    </row>
    <row r="82938" spans="1:6" x14ac:dyDescent="0.25">
      <c r="A82938"/>
      <c r="B82938"/>
      <c r="C82938"/>
      <c r="E82938"/>
      <c r="F82938"/>
    </row>
    <row r="82939" spans="1:6" x14ac:dyDescent="0.25">
      <c r="A82939"/>
      <c r="B82939"/>
      <c r="C82939"/>
      <c r="E82939"/>
      <c r="F82939"/>
    </row>
    <row r="82940" spans="1:6" x14ac:dyDescent="0.25">
      <c r="A82940"/>
      <c r="B82940"/>
      <c r="C82940"/>
      <c r="E82940"/>
      <c r="F82940"/>
    </row>
    <row r="82941" spans="1:6" x14ac:dyDescent="0.25">
      <c r="A82941"/>
      <c r="B82941"/>
      <c r="C82941"/>
      <c r="E82941"/>
      <c r="F82941"/>
    </row>
    <row r="82942" spans="1:6" x14ac:dyDescent="0.25">
      <c r="A82942"/>
      <c r="B82942"/>
      <c r="C82942"/>
      <c r="E82942"/>
      <c r="F82942"/>
    </row>
    <row r="82943" spans="1:6" x14ac:dyDescent="0.25">
      <c r="A82943"/>
      <c r="B82943"/>
      <c r="C82943"/>
      <c r="E82943"/>
      <c r="F82943"/>
    </row>
    <row r="82944" spans="1:6" x14ac:dyDescent="0.25">
      <c r="A82944"/>
      <c r="B82944"/>
      <c r="C82944"/>
      <c r="E82944"/>
      <c r="F82944"/>
    </row>
    <row r="82945" spans="1:6" x14ac:dyDescent="0.25">
      <c r="A82945"/>
      <c r="B82945"/>
      <c r="C82945"/>
      <c r="E82945"/>
      <c r="F82945"/>
    </row>
    <row r="82946" spans="1:6" x14ac:dyDescent="0.25">
      <c r="A82946"/>
      <c r="B82946"/>
      <c r="C82946"/>
      <c r="E82946"/>
      <c r="F82946"/>
    </row>
    <row r="82947" spans="1:6" x14ac:dyDescent="0.25">
      <c r="A82947"/>
      <c r="B82947"/>
      <c r="C82947"/>
      <c r="E82947"/>
      <c r="F82947"/>
    </row>
    <row r="82948" spans="1:6" x14ac:dyDescent="0.25">
      <c r="A82948"/>
      <c r="B82948"/>
      <c r="C82948"/>
      <c r="E82948"/>
      <c r="F82948"/>
    </row>
    <row r="82949" spans="1:6" x14ac:dyDescent="0.25">
      <c r="A82949"/>
      <c r="B82949"/>
      <c r="C82949"/>
      <c r="E82949"/>
      <c r="F82949"/>
    </row>
    <row r="82950" spans="1:6" x14ac:dyDescent="0.25">
      <c r="A82950"/>
      <c r="B82950"/>
      <c r="C82950"/>
      <c r="E82950"/>
      <c r="F82950"/>
    </row>
    <row r="82951" spans="1:6" x14ac:dyDescent="0.25">
      <c r="A82951"/>
      <c r="B82951"/>
      <c r="C82951"/>
      <c r="E82951"/>
      <c r="F82951"/>
    </row>
    <row r="82952" spans="1:6" x14ac:dyDescent="0.25">
      <c r="A82952"/>
      <c r="B82952"/>
      <c r="C82952"/>
      <c r="E82952"/>
      <c r="F82952"/>
    </row>
    <row r="82953" spans="1:6" x14ac:dyDescent="0.25">
      <c r="A82953"/>
      <c r="B82953"/>
      <c r="C82953"/>
      <c r="E82953"/>
      <c r="F82953"/>
    </row>
    <row r="82954" spans="1:6" x14ac:dyDescent="0.25">
      <c r="A82954"/>
      <c r="B82954"/>
      <c r="C82954"/>
      <c r="E82954"/>
      <c r="F82954"/>
    </row>
    <row r="82955" spans="1:6" x14ac:dyDescent="0.25">
      <c r="A82955"/>
      <c r="B82955"/>
      <c r="C82955"/>
      <c r="E82955"/>
      <c r="F82955"/>
    </row>
    <row r="82956" spans="1:6" x14ac:dyDescent="0.25">
      <c r="A82956"/>
      <c r="B82956"/>
      <c r="C82956"/>
      <c r="E82956"/>
      <c r="F82956"/>
    </row>
    <row r="82957" spans="1:6" x14ac:dyDescent="0.25">
      <c r="A82957"/>
      <c r="B82957"/>
      <c r="C82957"/>
      <c r="E82957"/>
      <c r="F82957"/>
    </row>
    <row r="82958" spans="1:6" x14ac:dyDescent="0.25">
      <c r="A82958"/>
      <c r="B82958"/>
      <c r="C82958"/>
      <c r="E82958"/>
      <c r="F82958"/>
    </row>
    <row r="82959" spans="1:6" x14ac:dyDescent="0.25">
      <c r="A82959"/>
      <c r="B82959"/>
      <c r="C82959"/>
      <c r="E82959"/>
      <c r="F82959"/>
    </row>
    <row r="82960" spans="1:6" x14ac:dyDescent="0.25">
      <c r="A82960"/>
      <c r="B82960"/>
      <c r="C82960"/>
      <c r="E82960"/>
      <c r="F82960"/>
    </row>
    <row r="82961" spans="1:6" x14ac:dyDescent="0.25">
      <c r="A82961"/>
      <c r="B82961"/>
      <c r="C82961"/>
      <c r="E82961"/>
      <c r="F82961"/>
    </row>
    <row r="82962" spans="1:6" x14ac:dyDescent="0.25">
      <c r="A82962"/>
      <c r="B82962"/>
      <c r="C82962"/>
      <c r="E82962"/>
      <c r="F82962"/>
    </row>
    <row r="82963" spans="1:6" x14ac:dyDescent="0.25">
      <c r="A82963"/>
      <c r="B82963"/>
      <c r="C82963"/>
      <c r="E82963"/>
      <c r="F82963"/>
    </row>
    <row r="82964" spans="1:6" x14ac:dyDescent="0.25">
      <c r="A82964"/>
      <c r="B82964"/>
      <c r="C82964"/>
      <c r="E82964"/>
      <c r="F82964"/>
    </row>
    <row r="82965" spans="1:6" x14ac:dyDescent="0.25">
      <c r="A82965"/>
      <c r="B82965"/>
      <c r="C82965"/>
      <c r="E82965"/>
      <c r="F82965"/>
    </row>
    <row r="82966" spans="1:6" x14ac:dyDescent="0.25">
      <c r="A82966"/>
      <c r="B82966"/>
      <c r="C82966"/>
      <c r="E82966"/>
      <c r="F82966"/>
    </row>
    <row r="82967" spans="1:6" x14ac:dyDescent="0.25">
      <c r="A82967"/>
      <c r="B82967"/>
      <c r="C82967"/>
      <c r="E82967"/>
      <c r="F82967"/>
    </row>
    <row r="82968" spans="1:6" x14ac:dyDescent="0.25">
      <c r="A82968"/>
      <c r="B82968"/>
      <c r="C82968"/>
      <c r="E82968"/>
      <c r="F82968"/>
    </row>
    <row r="82969" spans="1:6" x14ac:dyDescent="0.25">
      <c r="A82969"/>
      <c r="B82969"/>
      <c r="C82969"/>
      <c r="E82969"/>
      <c r="F82969"/>
    </row>
    <row r="82970" spans="1:6" x14ac:dyDescent="0.25">
      <c r="A82970"/>
      <c r="B82970"/>
      <c r="C82970"/>
      <c r="E82970"/>
      <c r="F82970"/>
    </row>
    <row r="82971" spans="1:6" x14ac:dyDescent="0.25">
      <c r="A82971"/>
      <c r="B82971"/>
      <c r="C82971"/>
      <c r="E82971"/>
      <c r="F82971"/>
    </row>
    <row r="82972" spans="1:6" x14ac:dyDescent="0.25">
      <c r="A82972"/>
      <c r="B82972"/>
      <c r="C82972"/>
      <c r="E82972"/>
      <c r="F82972"/>
    </row>
    <row r="82973" spans="1:6" x14ac:dyDescent="0.25">
      <c r="A82973"/>
      <c r="B82973"/>
      <c r="C82973"/>
      <c r="E82973"/>
      <c r="F82973"/>
    </row>
    <row r="82974" spans="1:6" x14ac:dyDescent="0.25">
      <c r="A82974"/>
      <c r="B82974"/>
      <c r="C82974"/>
      <c r="E82974"/>
      <c r="F82974"/>
    </row>
    <row r="82975" spans="1:6" x14ac:dyDescent="0.25">
      <c r="A82975"/>
      <c r="B82975"/>
      <c r="C82975"/>
      <c r="E82975"/>
      <c r="F82975"/>
    </row>
    <row r="82976" spans="1:6" x14ac:dyDescent="0.25">
      <c r="A82976"/>
      <c r="B82976"/>
      <c r="C82976"/>
      <c r="E82976"/>
      <c r="F82976"/>
    </row>
    <row r="82977" spans="1:6" x14ac:dyDescent="0.25">
      <c r="A82977"/>
      <c r="B82977"/>
      <c r="C82977"/>
      <c r="E82977"/>
      <c r="F82977"/>
    </row>
    <row r="82978" spans="1:6" x14ac:dyDescent="0.25">
      <c r="A82978"/>
      <c r="B82978"/>
      <c r="C82978"/>
      <c r="E82978"/>
      <c r="F82978"/>
    </row>
    <row r="82979" spans="1:6" x14ac:dyDescent="0.25">
      <c r="A82979"/>
      <c r="B82979"/>
      <c r="C82979"/>
      <c r="E82979"/>
      <c r="F82979"/>
    </row>
    <row r="82980" spans="1:6" x14ac:dyDescent="0.25">
      <c r="A82980"/>
      <c r="B82980"/>
      <c r="C82980"/>
      <c r="E82980"/>
      <c r="F82980"/>
    </row>
    <row r="82981" spans="1:6" x14ac:dyDescent="0.25">
      <c r="A82981"/>
      <c r="B82981"/>
      <c r="C82981"/>
      <c r="E82981"/>
      <c r="F82981"/>
    </row>
    <row r="82982" spans="1:6" x14ac:dyDescent="0.25">
      <c r="A82982"/>
      <c r="B82982"/>
      <c r="C82982"/>
      <c r="E82982"/>
      <c r="F82982"/>
    </row>
    <row r="82983" spans="1:6" x14ac:dyDescent="0.25">
      <c r="A82983"/>
      <c r="B82983"/>
      <c r="C82983"/>
      <c r="E82983"/>
      <c r="F82983"/>
    </row>
    <row r="82984" spans="1:6" x14ac:dyDescent="0.25">
      <c r="A82984"/>
      <c r="B82984"/>
      <c r="C82984"/>
      <c r="E82984"/>
      <c r="F82984"/>
    </row>
    <row r="82985" spans="1:6" x14ac:dyDescent="0.25">
      <c r="A82985"/>
      <c r="B82985"/>
      <c r="C82985"/>
      <c r="E82985"/>
      <c r="F82985"/>
    </row>
    <row r="82986" spans="1:6" x14ac:dyDescent="0.25">
      <c r="A82986"/>
      <c r="B82986"/>
      <c r="C82986"/>
      <c r="E82986"/>
      <c r="F82986"/>
    </row>
    <row r="82987" spans="1:6" x14ac:dyDescent="0.25">
      <c r="A82987"/>
      <c r="B82987"/>
      <c r="C82987"/>
      <c r="E82987"/>
      <c r="F82987"/>
    </row>
    <row r="82988" spans="1:6" x14ac:dyDescent="0.25">
      <c r="A82988"/>
      <c r="B82988"/>
      <c r="C82988"/>
      <c r="E82988"/>
      <c r="F82988"/>
    </row>
    <row r="82989" spans="1:6" x14ac:dyDescent="0.25">
      <c r="A82989"/>
      <c r="B82989"/>
      <c r="C82989"/>
      <c r="E82989"/>
      <c r="F82989"/>
    </row>
    <row r="82990" spans="1:6" x14ac:dyDescent="0.25">
      <c r="A82990"/>
      <c r="B82990"/>
      <c r="C82990"/>
      <c r="E82990"/>
      <c r="F82990"/>
    </row>
    <row r="82991" spans="1:6" x14ac:dyDescent="0.25">
      <c r="A82991"/>
      <c r="B82991"/>
      <c r="C82991"/>
      <c r="E82991"/>
      <c r="F82991"/>
    </row>
    <row r="82992" spans="1:6" x14ac:dyDescent="0.25">
      <c r="A82992"/>
      <c r="B82992"/>
      <c r="C82992"/>
      <c r="E82992"/>
      <c r="F82992"/>
    </row>
    <row r="82993" spans="1:6" x14ac:dyDescent="0.25">
      <c r="A82993"/>
      <c r="B82993"/>
      <c r="C82993"/>
      <c r="E82993"/>
      <c r="F82993"/>
    </row>
    <row r="82994" spans="1:6" x14ac:dyDescent="0.25">
      <c r="A82994"/>
      <c r="B82994"/>
      <c r="C82994"/>
      <c r="E82994"/>
      <c r="F82994"/>
    </row>
    <row r="82995" spans="1:6" x14ac:dyDescent="0.25">
      <c r="A82995"/>
      <c r="B82995"/>
      <c r="C82995"/>
      <c r="E82995"/>
      <c r="F82995"/>
    </row>
    <row r="82996" spans="1:6" x14ac:dyDescent="0.25">
      <c r="A82996"/>
      <c r="B82996"/>
      <c r="C82996"/>
      <c r="E82996"/>
      <c r="F82996"/>
    </row>
    <row r="82997" spans="1:6" x14ac:dyDescent="0.25">
      <c r="A82997"/>
      <c r="B82997"/>
      <c r="C82997"/>
      <c r="E82997"/>
      <c r="F82997"/>
    </row>
    <row r="82998" spans="1:6" x14ac:dyDescent="0.25">
      <c r="A82998"/>
      <c r="B82998"/>
      <c r="C82998"/>
      <c r="E82998"/>
      <c r="F82998"/>
    </row>
    <row r="82999" spans="1:6" x14ac:dyDescent="0.25">
      <c r="A82999"/>
      <c r="B82999"/>
      <c r="C82999"/>
      <c r="E82999"/>
      <c r="F82999"/>
    </row>
    <row r="83000" spans="1:6" x14ac:dyDescent="0.25">
      <c r="A83000"/>
      <c r="B83000"/>
      <c r="C83000"/>
      <c r="E83000"/>
      <c r="F83000"/>
    </row>
    <row r="83001" spans="1:6" x14ac:dyDescent="0.25">
      <c r="A83001"/>
      <c r="B83001"/>
      <c r="C83001"/>
      <c r="E83001"/>
      <c r="F83001"/>
    </row>
    <row r="83002" spans="1:6" x14ac:dyDescent="0.25">
      <c r="A83002"/>
      <c r="B83002"/>
      <c r="C83002"/>
      <c r="E83002"/>
      <c r="F83002"/>
    </row>
    <row r="83003" spans="1:6" x14ac:dyDescent="0.25">
      <c r="A83003"/>
      <c r="B83003"/>
      <c r="C83003"/>
      <c r="E83003"/>
      <c r="F83003"/>
    </row>
    <row r="83004" spans="1:6" x14ac:dyDescent="0.25">
      <c r="A83004"/>
      <c r="B83004"/>
      <c r="C83004"/>
      <c r="E83004"/>
      <c r="F83004"/>
    </row>
    <row r="83005" spans="1:6" x14ac:dyDescent="0.25">
      <c r="A83005"/>
      <c r="B83005"/>
      <c r="C83005"/>
      <c r="E83005"/>
      <c r="F83005"/>
    </row>
    <row r="83006" spans="1:6" x14ac:dyDescent="0.25">
      <c r="A83006"/>
      <c r="B83006"/>
      <c r="C83006"/>
      <c r="E83006"/>
      <c r="F83006"/>
    </row>
    <row r="83007" spans="1:6" x14ac:dyDescent="0.25">
      <c r="A83007"/>
      <c r="B83007"/>
      <c r="C83007"/>
      <c r="E83007"/>
      <c r="F83007"/>
    </row>
    <row r="83008" spans="1:6" x14ac:dyDescent="0.25">
      <c r="A83008"/>
      <c r="B83008"/>
      <c r="C83008"/>
      <c r="E83008"/>
      <c r="F83008"/>
    </row>
    <row r="83009" spans="1:6" x14ac:dyDescent="0.25">
      <c r="A83009"/>
      <c r="B83009"/>
      <c r="C83009"/>
      <c r="E83009"/>
      <c r="F83009"/>
    </row>
    <row r="83010" spans="1:6" x14ac:dyDescent="0.25">
      <c r="A83010"/>
      <c r="B83010"/>
      <c r="C83010"/>
      <c r="E83010"/>
      <c r="F83010"/>
    </row>
    <row r="83011" spans="1:6" x14ac:dyDescent="0.25">
      <c r="A83011"/>
      <c r="B83011"/>
      <c r="C83011"/>
      <c r="E83011"/>
      <c r="F83011"/>
    </row>
    <row r="83012" spans="1:6" x14ac:dyDescent="0.25">
      <c r="A83012"/>
      <c r="B83012"/>
      <c r="C83012"/>
      <c r="E83012"/>
      <c r="F83012"/>
    </row>
    <row r="83013" spans="1:6" x14ac:dyDescent="0.25">
      <c r="A83013"/>
      <c r="B83013"/>
      <c r="C83013"/>
      <c r="E83013"/>
      <c r="F83013"/>
    </row>
    <row r="83014" spans="1:6" x14ac:dyDescent="0.25">
      <c r="A83014"/>
      <c r="B83014"/>
      <c r="C83014"/>
      <c r="E83014"/>
      <c r="F83014"/>
    </row>
    <row r="83015" spans="1:6" x14ac:dyDescent="0.25">
      <c r="A83015"/>
      <c r="B83015"/>
      <c r="C83015"/>
      <c r="E83015"/>
      <c r="F83015"/>
    </row>
    <row r="83016" spans="1:6" x14ac:dyDescent="0.25">
      <c r="A83016"/>
      <c r="B83016"/>
      <c r="C83016"/>
      <c r="E83016"/>
      <c r="F83016"/>
    </row>
    <row r="83017" spans="1:6" x14ac:dyDescent="0.25">
      <c r="A83017"/>
      <c r="B83017"/>
      <c r="C83017"/>
      <c r="E83017"/>
      <c r="F83017"/>
    </row>
    <row r="83018" spans="1:6" x14ac:dyDescent="0.25">
      <c r="A83018"/>
      <c r="B83018"/>
      <c r="C83018"/>
      <c r="E83018"/>
      <c r="F83018"/>
    </row>
    <row r="83019" spans="1:6" x14ac:dyDescent="0.25">
      <c r="A83019"/>
      <c r="B83019"/>
      <c r="C83019"/>
      <c r="E83019"/>
      <c r="F83019"/>
    </row>
    <row r="83020" spans="1:6" x14ac:dyDescent="0.25">
      <c r="A83020"/>
      <c r="B83020"/>
      <c r="C83020"/>
      <c r="E83020"/>
      <c r="F83020"/>
    </row>
    <row r="83021" spans="1:6" x14ac:dyDescent="0.25">
      <c r="A83021"/>
      <c r="B83021"/>
      <c r="C83021"/>
      <c r="E83021"/>
      <c r="F83021"/>
    </row>
    <row r="83022" spans="1:6" x14ac:dyDescent="0.25">
      <c r="A83022"/>
      <c r="B83022"/>
      <c r="C83022"/>
      <c r="E83022"/>
      <c r="F83022"/>
    </row>
    <row r="83023" spans="1:6" x14ac:dyDescent="0.25">
      <c r="A83023"/>
      <c r="B83023"/>
      <c r="C83023"/>
      <c r="E83023"/>
      <c r="F83023"/>
    </row>
    <row r="83024" spans="1:6" x14ac:dyDescent="0.25">
      <c r="A83024"/>
      <c r="B83024"/>
      <c r="C83024"/>
      <c r="E83024"/>
      <c r="F83024"/>
    </row>
    <row r="83025" spans="1:6" x14ac:dyDescent="0.25">
      <c r="A83025"/>
      <c r="B83025"/>
      <c r="C83025"/>
      <c r="E83025"/>
      <c r="F83025"/>
    </row>
    <row r="83026" spans="1:6" x14ac:dyDescent="0.25">
      <c r="A83026"/>
      <c r="B83026"/>
      <c r="C83026"/>
      <c r="E83026"/>
      <c r="F83026"/>
    </row>
    <row r="83027" spans="1:6" x14ac:dyDescent="0.25">
      <c r="A83027"/>
      <c r="B83027"/>
      <c r="C83027"/>
      <c r="E83027"/>
      <c r="F83027"/>
    </row>
    <row r="83028" spans="1:6" x14ac:dyDescent="0.25">
      <c r="A83028"/>
      <c r="B83028"/>
      <c r="C83028"/>
      <c r="E83028"/>
      <c r="F83028"/>
    </row>
    <row r="83029" spans="1:6" x14ac:dyDescent="0.25">
      <c r="A83029"/>
      <c r="B83029"/>
      <c r="C83029"/>
      <c r="E83029"/>
      <c r="F83029"/>
    </row>
    <row r="83030" spans="1:6" x14ac:dyDescent="0.25">
      <c r="A83030"/>
      <c r="B83030"/>
      <c r="C83030"/>
      <c r="E83030"/>
      <c r="F83030"/>
    </row>
    <row r="83031" spans="1:6" x14ac:dyDescent="0.25">
      <c r="A83031"/>
      <c r="B83031"/>
      <c r="C83031"/>
      <c r="E83031"/>
      <c r="F83031"/>
    </row>
    <row r="83032" spans="1:6" x14ac:dyDescent="0.25">
      <c r="A83032"/>
      <c r="B83032"/>
      <c r="C83032"/>
      <c r="E83032"/>
      <c r="F83032"/>
    </row>
    <row r="83033" spans="1:6" x14ac:dyDescent="0.25">
      <c r="A83033"/>
      <c r="B83033"/>
      <c r="C83033"/>
      <c r="E83033"/>
      <c r="F83033"/>
    </row>
    <row r="83034" spans="1:6" x14ac:dyDescent="0.25">
      <c r="A83034"/>
      <c r="B83034"/>
      <c r="C83034"/>
      <c r="E83034"/>
      <c r="F83034"/>
    </row>
    <row r="83035" spans="1:6" x14ac:dyDescent="0.25">
      <c r="A83035"/>
      <c r="B83035"/>
      <c r="C83035"/>
      <c r="E83035"/>
      <c r="F83035"/>
    </row>
    <row r="83036" spans="1:6" x14ac:dyDescent="0.25">
      <c r="A83036"/>
      <c r="B83036"/>
      <c r="C83036"/>
      <c r="E83036"/>
      <c r="F83036"/>
    </row>
    <row r="83037" spans="1:6" x14ac:dyDescent="0.25">
      <c r="A83037"/>
      <c r="B83037"/>
      <c r="C83037"/>
      <c r="E83037"/>
      <c r="F83037"/>
    </row>
    <row r="83038" spans="1:6" x14ac:dyDescent="0.25">
      <c r="A83038"/>
      <c r="B83038"/>
      <c r="C83038"/>
      <c r="E83038"/>
      <c r="F83038"/>
    </row>
    <row r="83039" spans="1:6" x14ac:dyDescent="0.25">
      <c r="A83039"/>
      <c r="B83039"/>
      <c r="C83039"/>
      <c r="E83039"/>
      <c r="F83039"/>
    </row>
    <row r="83040" spans="1:6" x14ac:dyDescent="0.25">
      <c r="A83040"/>
      <c r="B83040"/>
      <c r="C83040"/>
      <c r="E83040"/>
      <c r="F83040"/>
    </row>
    <row r="83041" spans="1:6" x14ac:dyDescent="0.25">
      <c r="A83041"/>
      <c r="B83041"/>
      <c r="C83041"/>
      <c r="E83041"/>
      <c r="F83041"/>
    </row>
    <row r="83042" spans="1:6" x14ac:dyDescent="0.25">
      <c r="A83042"/>
      <c r="B83042"/>
      <c r="C83042"/>
      <c r="E83042"/>
      <c r="F83042"/>
    </row>
    <row r="83043" spans="1:6" x14ac:dyDescent="0.25">
      <c r="A83043"/>
      <c r="B83043"/>
      <c r="C83043"/>
      <c r="E83043"/>
      <c r="F83043"/>
    </row>
    <row r="83044" spans="1:6" x14ac:dyDescent="0.25">
      <c r="A83044"/>
      <c r="B83044"/>
      <c r="C83044"/>
      <c r="E83044"/>
      <c r="F83044"/>
    </row>
    <row r="83045" spans="1:6" x14ac:dyDescent="0.25">
      <c r="A83045"/>
      <c r="B83045"/>
      <c r="C83045"/>
      <c r="E83045"/>
      <c r="F83045"/>
    </row>
    <row r="83046" spans="1:6" x14ac:dyDescent="0.25">
      <c r="A83046"/>
      <c r="B83046"/>
      <c r="C83046"/>
      <c r="E83046"/>
      <c r="F83046"/>
    </row>
    <row r="83047" spans="1:6" x14ac:dyDescent="0.25">
      <c r="A83047"/>
      <c r="B83047"/>
      <c r="C83047"/>
      <c r="E83047"/>
      <c r="F83047"/>
    </row>
    <row r="83048" spans="1:6" x14ac:dyDescent="0.25">
      <c r="A83048"/>
      <c r="B83048"/>
      <c r="C83048"/>
      <c r="E83048"/>
      <c r="F83048"/>
    </row>
    <row r="83049" spans="1:6" x14ac:dyDescent="0.25">
      <c r="A83049"/>
      <c r="B83049"/>
      <c r="C83049"/>
      <c r="E83049"/>
      <c r="F83049"/>
    </row>
    <row r="83050" spans="1:6" x14ac:dyDescent="0.25">
      <c r="A83050"/>
      <c r="B83050"/>
      <c r="C83050"/>
      <c r="E83050"/>
      <c r="F83050"/>
    </row>
    <row r="83051" spans="1:6" x14ac:dyDescent="0.25">
      <c r="A83051"/>
      <c r="B83051"/>
      <c r="C83051"/>
      <c r="E83051"/>
      <c r="F83051"/>
    </row>
    <row r="83052" spans="1:6" x14ac:dyDescent="0.25">
      <c r="A83052"/>
      <c r="B83052"/>
      <c r="C83052"/>
      <c r="E83052"/>
      <c r="F83052"/>
    </row>
    <row r="83053" spans="1:6" x14ac:dyDescent="0.25">
      <c r="A83053"/>
      <c r="B83053"/>
      <c r="C83053"/>
      <c r="E83053"/>
      <c r="F83053"/>
    </row>
    <row r="83054" spans="1:6" x14ac:dyDescent="0.25">
      <c r="A83054"/>
      <c r="B83054"/>
      <c r="C83054"/>
      <c r="E83054"/>
      <c r="F83054"/>
    </row>
    <row r="83055" spans="1:6" x14ac:dyDescent="0.25">
      <c r="A83055"/>
      <c r="B83055"/>
      <c r="C83055"/>
      <c r="E83055"/>
      <c r="F83055"/>
    </row>
    <row r="83056" spans="1:6" x14ac:dyDescent="0.25">
      <c r="A83056"/>
      <c r="B83056"/>
      <c r="C83056"/>
      <c r="E83056"/>
      <c r="F83056"/>
    </row>
    <row r="83057" spans="1:6" x14ac:dyDescent="0.25">
      <c r="A83057"/>
      <c r="B83057"/>
      <c r="C83057"/>
      <c r="E83057"/>
      <c r="F83057"/>
    </row>
    <row r="83058" spans="1:6" x14ac:dyDescent="0.25">
      <c r="A83058"/>
      <c r="B83058"/>
      <c r="C83058"/>
      <c r="E83058"/>
      <c r="F83058"/>
    </row>
    <row r="83059" spans="1:6" x14ac:dyDescent="0.25">
      <c r="A83059"/>
      <c r="B83059"/>
      <c r="C83059"/>
      <c r="E83059"/>
      <c r="F83059"/>
    </row>
    <row r="83060" spans="1:6" x14ac:dyDescent="0.25">
      <c r="A83060"/>
      <c r="B83060"/>
      <c r="C83060"/>
      <c r="E83060"/>
      <c r="F83060"/>
    </row>
    <row r="83061" spans="1:6" x14ac:dyDescent="0.25">
      <c r="A83061"/>
      <c r="B83061"/>
      <c r="C83061"/>
      <c r="E83061"/>
      <c r="F83061"/>
    </row>
    <row r="83062" spans="1:6" x14ac:dyDescent="0.25">
      <c r="A83062"/>
      <c r="B83062"/>
      <c r="C83062"/>
      <c r="E83062"/>
      <c r="F83062"/>
    </row>
    <row r="83063" spans="1:6" x14ac:dyDescent="0.25">
      <c r="A83063"/>
      <c r="B83063"/>
      <c r="C83063"/>
      <c r="E83063"/>
      <c r="F83063"/>
    </row>
    <row r="83064" spans="1:6" x14ac:dyDescent="0.25">
      <c r="A83064"/>
      <c r="B83064"/>
      <c r="C83064"/>
      <c r="E83064"/>
      <c r="F83064"/>
    </row>
    <row r="83065" spans="1:6" x14ac:dyDescent="0.25">
      <c r="A83065"/>
      <c r="B83065"/>
      <c r="C83065"/>
      <c r="E83065"/>
      <c r="F83065"/>
    </row>
    <row r="83066" spans="1:6" x14ac:dyDescent="0.25">
      <c r="A83066"/>
      <c r="B83066"/>
      <c r="C83066"/>
      <c r="E83066"/>
      <c r="F83066"/>
    </row>
    <row r="83067" spans="1:6" x14ac:dyDescent="0.25">
      <c r="A83067"/>
      <c r="B83067"/>
      <c r="C83067"/>
      <c r="E83067"/>
      <c r="F83067"/>
    </row>
    <row r="83068" spans="1:6" x14ac:dyDescent="0.25">
      <c r="A83068"/>
      <c r="B83068"/>
      <c r="C83068"/>
      <c r="E83068"/>
      <c r="F83068"/>
    </row>
    <row r="83069" spans="1:6" x14ac:dyDescent="0.25">
      <c r="A83069"/>
      <c r="B83069"/>
      <c r="C83069"/>
      <c r="E83069"/>
      <c r="F83069"/>
    </row>
    <row r="83070" spans="1:6" x14ac:dyDescent="0.25">
      <c r="A83070"/>
      <c r="B83070"/>
      <c r="C83070"/>
      <c r="E83070"/>
      <c r="F83070"/>
    </row>
    <row r="83071" spans="1:6" x14ac:dyDescent="0.25">
      <c r="A83071"/>
      <c r="B83071"/>
      <c r="C83071"/>
      <c r="E83071"/>
      <c r="F83071"/>
    </row>
    <row r="83072" spans="1:6" x14ac:dyDescent="0.25">
      <c r="A83072"/>
      <c r="B83072"/>
      <c r="C83072"/>
      <c r="E83072"/>
      <c r="F83072"/>
    </row>
    <row r="83073" spans="1:6" x14ac:dyDescent="0.25">
      <c r="A83073"/>
      <c r="B83073"/>
      <c r="C83073"/>
      <c r="E83073"/>
      <c r="F83073"/>
    </row>
    <row r="83074" spans="1:6" x14ac:dyDescent="0.25">
      <c r="A83074"/>
      <c r="B83074"/>
      <c r="C83074"/>
      <c r="E83074"/>
      <c r="F83074"/>
    </row>
    <row r="83075" spans="1:6" x14ac:dyDescent="0.25">
      <c r="A83075"/>
      <c r="B83075"/>
      <c r="C83075"/>
      <c r="E83075"/>
      <c r="F83075"/>
    </row>
    <row r="83076" spans="1:6" x14ac:dyDescent="0.25">
      <c r="A83076"/>
      <c r="B83076"/>
      <c r="C83076"/>
      <c r="E83076"/>
      <c r="F83076"/>
    </row>
    <row r="83077" spans="1:6" x14ac:dyDescent="0.25">
      <c r="A83077"/>
      <c r="B83077"/>
      <c r="C83077"/>
      <c r="E83077"/>
      <c r="F83077"/>
    </row>
    <row r="83078" spans="1:6" x14ac:dyDescent="0.25">
      <c r="A83078"/>
      <c r="B83078"/>
      <c r="C83078"/>
      <c r="E83078"/>
      <c r="F83078"/>
    </row>
    <row r="83079" spans="1:6" x14ac:dyDescent="0.25">
      <c r="A83079"/>
      <c r="B83079"/>
      <c r="C83079"/>
      <c r="E83079"/>
      <c r="F83079"/>
    </row>
    <row r="83080" spans="1:6" x14ac:dyDescent="0.25">
      <c r="A83080"/>
      <c r="B83080"/>
      <c r="C83080"/>
      <c r="E83080"/>
      <c r="F83080"/>
    </row>
    <row r="83081" spans="1:6" x14ac:dyDescent="0.25">
      <c r="A83081"/>
      <c r="B83081"/>
      <c r="C83081"/>
      <c r="E83081"/>
      <c r="F83081"/>
    </row>
    <row r="83082" spans="1:6" x14ac:dyDescent="0.25">
      <c r="A83082"/>
      <c r="B83082"/>
      <c r="C83082"/>
      <c r="E83082"/>
      <c r="F83082"/>
    </row>
    <row r="83083" spans="1:6" x14ac:dyDescent="0.25">
      <c r="A83083"/>
      <c r="B83083"/>
      <c r="C83083"/>
      <c r="E83083"/>
      <c r="F83083"/>
    </row>
    <row r="83084" spans="1:6" x14ac:dyDescent="0.25">
      <c r="A83084"/>
      <c r="B83084"/>
      <c r="C83084"/>
      <c r="E83084"/>
      <c r="F83084"/>
    </row>
    <row r="83085" spans="1:6" x14ac:dyDescent="0.25">
      <c r="A83085"/>
      <c r="B83085"/>
      <c r="C83085"/>
      <c r="E83085"/>
      <c r="F83085"/>
    </row>
    <row r="83086" spans="1:6" x14ac:dyDescent="0.25">
      <c r="A83086"/>
      <c r="B83086"/>
      <c r="C83086"/>
      <c r="E83086"/>
      <c r="F83086"/>
    </row>
    <row r="83087" spans="1:6" x14ac:dyDescent="0.25">
      <c r="A83087"/>
      <c r="B83087"/>
      <c r="C83087"/>
      <c r="E83087"/>
      <c r="F83087"/>
    </row>
    <row r="83088" spans="1:6" x14ac:dyDescent="0.25">
      <c r="A83088"/>
      <c r="B83088"/>
      <c r="C83088"/>
      <c r="E83088"/>
      <c r="F83088"/>
    </row>
    <row r="83089" spans="1:6" x14ac:dyDescent="0.25">
      <c r="A83089"/>
      <c r="B83089"/>
      <c r="C83089"/>
      <c r="E83089"/>
      <c r="F83089"/>
    </row>
    <row r="83090" spans="1:6" x14ac:dyDescent="0.25">
      <c r="A83090"/>
      <c r="B83090"/>
      <c r="C83090"/>
      <c r="E83090"/>
      <c r="F83090"/>
    </row>
    <row r="83091" spans="1:6" x14ac:dyDescent="0.25">
      <c r="A83091"/>
      <c r="B83091"/>
      <c r="C83091"/>
      <c r="E83091"/>
      <c r="F83091"/>
    </row>
    <row r="83092" spans="1:6" x14ac:dyDescent="0.25">
      <c r="A83092"/>
      <c r="B83092"/>
      <c r="C83092"/>
      <c r="E83092"/>
      <c r="F83092"/>
    </row>
    <row r="83093" spans="1:6" x14ac:dyDescent="0.25">
      <c r="A83093"/>
      <c r="B83093"/>
      <c r="C83093"/>
      <c r="E83093"/>
      <c r="F83093"/>
    </row>
    <row r="83094" spans="1:6" x14ac:dyDescent="0.25">
      <c r="A83094"/>
      <c r="B83094"/>
      <c r="C83094"/>
      <c r="E83094"/>
      <c r="F83094"/>
    </row>
    <row r="83095" spans="1:6" x14ac:dyDescent="0.25">
      <c r="A83095"/>
      <c r="B83095"/>
      <c r="C83095"/>
      <c r="E83095"/>
      <c r="F83095"/>
    </row>
    <row r="83096" spans="1:6" x14ac:dyDescent="0.25">
      <c r="A83096"/>
      <c r="B83096"/>
      <c r="C83096"/>
      <c r="E83096"/>
      <c r="F83096"/>
    </row>
    <row r="83097" spans="1:6" x14ac:dyDescent="0.25">
      <c r="A83097"/>
      <c r="B83097"/>
      <c r="C83097"/>
      <c r="E83097"/>
      <c r="F83097"/>
    </row>
    <row r="83098" spans="1:6" x14ac:dyDescent="0.25">
      <c r="A83098"/>
      <c r="B83098"/>
      <c r="C83098"/>
      <c r="E83098"/>
      <c r="F83098"/>
    </row>
    <row r="83099" spans="1:6" x14ac:dyDescent="0.25">
      <c r="A83099"/>
      <c r="B83099"/>
      <c r="C83099"/>
      <c r="E83099"/>
      <c r="F83099"/>
    </row>
    <row r="83100" spans="1:6" x14ac:dyDescent="0.25">
      <c r="A83100"/>
      <c r="B83100"/>
      <c r="C83100"/>
      <c r="E83100"/>
      <c r="F83100"/>
    </row>
    <row r="83101" spans="1:6" x14ac:dyDescent="0.25">
      <c r="A83101"/>
      <c r="B83101"/>
      <c r="C83101"/>
      <c r="E83101"/>
      <c r="F83101"/>
    </row>
    <row r="83102" spans="1:6" x14ac:dyDescent="0.25">
      <c r="A83102"/>
      <c r="B83102"/>
      <c r="C83102"/>
      <c r="E83102"/>
      <c r="F83102"/>
    </row>
    <row r="83103" spans="1:6" x14ac:dyDescent="0.25">
      <c r="A83103"/>
      <c r="B83103"/>
      <c r="C83103"/>
      <c r="E83103"/>
      <c r="F83103"/>
    </row>
    <row r="83104" spans="1:6" x14ac:dyDescent="0.25">
      <c r="A83104"/>
      <c r="B83104"/>
      <c r="C83104"/>
      <c r="E83104"/>
      <c r="F83104"/>
    </row>
    <row r="83105" spans="1:6" x14ac:dyDescent="0.25">
      <c r="A83105"/>
      <c r="B83105"/>
      <c r="C83105"/>
      <c r="E83105"/>
      <c r="F83105"/>
    </row>
    <row r="83106" spans="1:6" x14ac:dyDescent="0.25">
      <c r="A83106"/>
      <c r="B83106"/>
      <c r="C83106"/>
      <c r="E83106"/>
      <c r="F83106"/>
    </row>
    <row r="83107" spans="1:6" x14ac:dyDescent="0.25">
      <c r="A83107"/>
      <c r="B83107"/>
      <c r="C83107"/>
      <c r="E83107"/>
      <c r="F83107"/>
    </row>
    <row r="83108" spans="1:6" x14ac:dyDescent="0.25">
      <c r="A83108"/>
      <c r="B83108"/>
      <c r="C83108"/>
      <c r="E83108"/>
      <c r="F83108"/>
    </row>
    <row r="83109" spans="1:6" x14ac:dyDescent="0.25">
      <c r="A83109"/>
      <c r="B83109"/>
      <c r="C83109"/>
      <c r="E83109"/>
      <c r="F83109"/>
    </row>
    <row r="83110" spans="1:6" x14ac:dyDescent="0.25">
      <c r="A83110"/>
      <c r="B83110"/>
      <c r="C83110"/>
      <c r="E83110"/>
      <c r="F83110"/>
    </row>
    <row r="83111" spans="1:6" x14ac:dyDescent="0.25">
      <c r="A83111"/>
      <c r="B83111"/>
      <c r="C83111"/>
      <c r="E83111"/>
      <c r="F83111"/>
    </row>
    <row r="83112" spans="1:6" x14ac:dyDescent="0.25">
      <c r="A83112"/>
      <c r="B83112"/>
      <c r="C83112"/>
      <c r="E83112"/>
      <c r="F83112"/>
    </row>
    <row r="83113" spans="1:6" x14ac:dyDescent="0.25">
      <c r="A83113"/>
      <c r="B83113"/>
      <c r="C83113"/>
      <c r="E83113"/>
      <c r="F83113"/>
    </row>
    <row r="83114" spans="1:6" x14ac:dyDescent="0.25">
      <c r="A83114"/>
      <c r="B83114"/>
      <c r="C83114"/>
      <c r="E83114"/>
      <c r="F83114"/>
    </row>
    <row r="83115" spans="1:6" x14ac:dyDescent="0.25">
      <c r="A83115"/>
      <c r="B83115"/>
      <c r="C83115"/>
      <c r="E83115"/>
      <c r="F83115"/>
    </row>
    <row r="83116" spans="1:6" x14ac:dyDescent="0.25">
      <c r="A83116"/>
      <c r="B83116"/>
      <c r="C83116"/>
      <c r="E83116"/>
      <c r="F83116"/>
    </row>
    <row r="83117" spans="1:6" x14ac:dyDescent="0.25">
      <c r="A83117"/>
      <c r="B83117"/>
      <c r="C83117"/>
      <c r="E83117"/>
      <c r="F83117"/>
    </row>
    <row r="83118" spans="1:6" x14ac:dyDescent="0.25">
      <c r="A83118"/>
      <c r="B83118"/>
      <c r="C83118"/>
      <c r="E83118"/>
      <c r="F83118"/>
    </row>
    <row r="83119" spans="1:6" x14ac:dyDescent="0.25">
      <c r="A83119"/>
      <c r="B83119"/>
      <c r="C83119"/>
      <c r="E83119"/>
      <c r="F83119"/>
    </row>
    <row r="83120" spans="1:6" x14ac:dyDescent="0.25">
      <c r="A83120"/>
      <c r="B83120"/>
      <c r="C83120"/>
      <c r="E83120"/>
      <c r="F83120"/>
    </row>
    <row r="83121" spans="1:6" x14ac:dyDescent="0.25">
      <c r="A83121"/>
      <c r="B83121"/>
      <c r="C83121"/>
      <c r="E83121"/>
      <c r="F83121"/>
    </row>
    <row r="83122" spans="1:6" x14ac:dyDescent="0.25">
      <c r="A83122"/>
      <c r="B83122"/>
      <c r="C83122"/>
      <c r="E83122"/>
      <c r="F83122"/>
    </row>
    <row r="83123" spans="1:6" x14ac:dyDescent="0.25">
      <c r="A83123"/>
      <c r="B83123"/>
      <c r="C83123"/>
      <c r="E83123"/>
      <c r="F83123"/>
    </row>
    <row r="83124" spans="1:6" x14ac:dyDescent="0.25">
      <c r="A83124"/>
      <c r="B83124"/>
      <c r="C83124"/>
      <c r="E83124"/>
      <c r="F83124"/>
    </row>
    <row r="83125" spans="1:6" x14ac:dyDescent="0.25">
      <c r="A83125"/>
      <c r="B83125"/>
      <c r="C83125"/>
      <c r="E83125"/>
      <c r="F83125"/>
    </row>
    <row r="83126" spans="1:6" x14ac:dyDescent="0.25">
      <c r="A83126"/>
      <c r="B83126"/>
      <c r="C83126"/>
      <c r="E83126"/>
      <c r="F83126"/>
    </row>
    <row r="83127" spans="1:6" x14ac:dyDescent="0.25">
      <c r="A83127"/>
      <c r="B83127"/>
      <c r="C83127"/>
      <c r="E83127"/>
      <c r="F83127"/>
    </row>
    <row r="83128" spans="1:6" x14ac:dyDescent="0.25">
      <c r="A83128"/>
      <c r="B83128"/>
      <c r="C83128"/>
      <c r="E83128"/>
      <c r="F83128"/>
    </row>
    <row r="83129" spans="1:6" x14ac:dyDescent="0.25">
      <c r="A83129"/>
      <c r="B83129"/>
      <c r="C83129"/>
      <c r="E83129"/>
      <c r="F83129"/>
    </row>
    <row r="83130" spans="1:6" x14ac:dyDescent="0.25">
      <c r="A83130"/>
      <c r="B83130"/>
      <c r="C83130"/>
      <c r="E83130"/>
      <c r="F83130"/>
    </row>
    <row r="83131" spans="1:6" x14ac:dyDescent="0.25">
      <c r="A83131"/>
      <c r="B83131"/>
      <c r="C83131"/>
      <c r="E83131"/>
      <c r="F83131"/>
    </row>
    <row r="83132" spans="1:6" x14ac:dyDescent="0.25">
      <c r="A83132"/>
      <c r="B83132"/>
      <c r="C83132"/>
      <c r="E83132"/>
      <c r="F83132"/>
    </row>
    <row r="83133" spans="1:6" x14ac:dyDescent="0.25">
      <c r="A83133"/>
      <c r="B83133"/>
      <c r="C83133"/>
      <c r="E83133"/>
      <c r="F83133"/>
    </row>
    <row r="83134" spans="1:6" x14ac:dyDescent="0.25">
      <c r="A83134"/>
      <c r="B83134"/>
      <c r="C83134"/>
      <c r="E83134"/>
      <c r="F83134"/>
    </row>
    <row r="83135" spans="1:6" x14ac:dyDescent="0.25">
      <c r="A83135"/>
      <c r="B83135"/>
      <c r="C83135"/>
      <c r="E83135"/>
      <c r="F83135"/>
    </row>
    <row r="83136" spans="1:6" x14ac:dyDescent="0.25">
      <c r="A83136"/>
      <c r="B83136"/>
      <c r="C83136"/>
      <c r="E83136"/>
      <c r="F83136"/>
    </row>
    <row r="83137" spans="1:6" x14ac:dyDescent="0.25">
      <c r="A83137"/>
      <c r="B83137"/>
      <c r="C83137"/>
      <c r="E83137"/>
      <c r="F83137"/>
    </row>
    <row r="83138" spans="1:6" x14ac:dyDescent="0.25">
      <c r="A83138"/>
      <c r="B83138"/>
      <c r="C83138"/>
      <c r="E83138"/>
      <c r="F83138"/>
    </row>
    <row r="83139" spans="1:6" x14ac:dyDescent="0.25">
      <c r="A83139"/>
      <c r="B83139"/>
      <c r="C83139"/>
      <c r="E83139"/>
      <c r="F83139"/>
    </row>
    <row r="83140" spans="1:6" x14ac:dyDescent="0.25">
      <c r="A83140"/>
      <c r="B83140"/>
      <c r="C83140"/>
      <c r="E83140"/>
      <c r="F83140"/>
    </row>
    <row r="83141" spans="1:6" x14ac:dyDescent="0.25">
      <c r="A83141"/>
      <c r="B83141"/>
      <c r="C83141"/>
      <c r="E83141"/>
      <c r="F83141"/>
    </row>
    <row r="83142" spans="1:6" x14ac:dyDescent="0.25">
      <c r="A83142"/>
      <c r="B83142"/>
      <c r="C83142"/>
      <c r="E83142"/>
      <c r="F83142"/>
    </row>
    <row r="83143" spans="1:6" x14ac:dyDescent="0.25">
      <c r="A83143"/>
      <c r="B83143"/>
      <c r="C83143"/>
      <c r="E83143"/>
      <c r="F83143"/>
    </row>
    <row r="83144" spans="1:6" x14ac:dyDescent="0.25">
      <c r="A83144"/>
      <c r="B83144"/>
      <c r="C83144"/>
      <c r="E83144"/>
      <c r="F83144"/>
    </row>
    <row r="83145" spans="1:6" x14ac:dyDescent="0.25">
      <c r="A83145"/>
      <c r="B83145"/>
      <c r="C83145"/>
      <c r="E83145"/>
      <c r="F83145"/>
    </row>
    <row r="83146" spans="1:6" x14ac:dyDescent="0.25">
      <c r="A83146"/>
      <c r="B83146"/>
      <c r="C83146"/>
      <c r="E83146"/>
      <c r="F83146"/>
    </row>
    <row r="83147" spans="1:6" x14ac:dyDescent="0.25">
      <c r="A83147"/>
      <c r="B83147"/>
      <c r="C83147"/>
      <c r="E83147"/>
      <c r="F83147"/>
    </row>
    <row r="83148" spans="1:6" x14ac:dyDescent="0.25">
      <c r="A83148"/>
      <c r="B83148"/>
      <c r="C83148"/>
      <c r="E83148"/>
      <c r="F83148"/>
    </row>
    <row r="83149" spans="1:6" x14ac:dyDescent="0.25">
      <c r="A83149"/>
      <c r="B83149"/>
      <c r="C83149"/>
      <c r="E83149"/>
      <c r="F83149"/>
    </row>
    <row r="83150" spans="1:6" x14ac:dyDescent="0.25">
      <c r="A83150"/>
      <c r="B83150"/>
      <c r="C83150"/>
      <c r="E83150"/>
      <c r="F83150"/>
    </row>
    <row r="83151" spans="1:6" x14ac:dyDescent="0.25">
      <c r="A83151"/>
      <c r="B83151"/>
      <c r="C83151"/>
      <c r="E83151"/>
      <c r="F83151"/>
    </row>
    <row r="83152" spans="1:6" x14ac:dyDescent="0.25">
      <c r="A83152"/>
      <c r="B83152"/>
      <c r="C83152"/>
      <c r="E83152"/>
      <c r="F83152"/>
    </row>
    <row r="83153" spans="1:6" x14ac:dyDescent="0.25">
      <c r="A83153"/>
      <c r="B83153"/>
      <c r="C83153"/>
      <c r="E83153"/>
      <c r="F83153"/>
    </row>
    <row r="83154" spans="1:6" x14ac:dyDescent="0.25">
      <c r="A83154"/>
      <c r="B83154"/>
      <c r="C83154"/>
      <c r="E83154"/>
      <c r="F83154"/>
    </row>
    <row r="83155" spans="1:6" x14ac:dyDescent="0.25">
      <c r="A83155"/>
      <c r="B83155"/>
      <c r="C83155"/>
      <c r="E83155"/>
      <c r="F83155"/>
    </row>
    <row r="83156" spans="1:6" x14ac:dyDescent="0.25">
      <c r="A83156"/>
      <c r="B83156"/>
      <c r="C83156"/>
      <c r="E83156"/>
      <c r="F83156"/>
    </row>
    <row r="83157" spans="1:6" x14ac:dyDescent="0.25">
      <c r="A83157"/>
      <c r="B83157"/>
      <c r="C83157"/>
      <c r="E83157"/>
      <c r="F83157"/>
    </row>
    <row r="83158" spans="1:6" x14ac:dyDescent="0.25">
      <c r="A83158"/>
      <c r="B83158"/>
      <c r="C83158"/>
      <c r="E83158"/>
      <c r="F83158"/>
    </row>
    <row r="83159" spans="1:6" x14ac:dyDescent="0.25">
      <c r="A83159"/>
      <c r="B83159"/>
      <c r="C83159"/>
      <c r="E83159"/>
      <c r="F83159"/>
    </row>
    <row r="83160" spans="1:6" x14ac:dyDescent="0.25">
      <c r="A83160"/>
      <c r="B83160"/>
      <c r="C83160"/>
      <c r="E83160"/>
      <c r="F83160"/>
    </row>
    <row r="83161" spans="1:6" x14ac:dyDescent="0.25">
      <c r="A83161"/>
      <c r="B83161"/>
      <c r="C83161"/>
      <c r="E83161"/>
      <c r="F83161"/>
    </row>
    <row r="83162" spans="1:6" x14ac:dyDescent="0.25">
      <c r="A83162"/>
      <c r="B83162"/>
      <c r="C83162"/>
      <c r="E83162"/>
      <c r="F83162"/>
    </row>
    <row r="83163" spans="1:6" x14ac:dyDescent="0.25">
      <c r="A83163"/>
      <c r="B83163"/>
      <c r="C83163"/>
      <c r="E83163"/>
      <c r="F83163"/>
    </row>
    <row r="83164" spans="1:6" x14ac:dyDescent="0.25">
      <c r="A83164"/>
      <c r="B83164"/>
      <c r="C83164"/>
      <c r="E83164"/>
      <c r="F83164"/>
    </row>
    <row r="83165" spans="1:6" x14ac:dyDescent="0.25">
      <c r="A83165"/>
      <c r="B83165"/>
      <c r="C83165"/>
      <c r="E83165"/>
      <c r="F83165"/>
    </row>
    <row r="83166" spans="1:6" x14ac:dyDescent="0.25">
      <c r="A83166"/>
      <c r="B83166"/>
      <c r="C83166"/>
      <c r="E83166"/>
      <c r="F83166"/>
    </row>
    <row r="83167" spans="1:6" x14ac:dyDescent="0.25">
      <c r="A83167"/>
      <c r="B83167"/>
      <c r="C83167"/>
      <c r="E83167"/>
      <c r="F83167"/>
    </row>
    <row r="83168" spans="1:6" x14ac:dyDescent="0.25">
      <c r="A83168"/>
      <c r="B83168"/>
      <c r="C83168"/>
      <c r="E83168"/>
      <c r="F83168"/>
    </row>
    <row r="83169" spans="1:6" x14ac:dyDescent="0.25">
      <c r="A83169"/>
      <c r="B83169"/>
      <c r="C83169"/>
      <c r="E83169"/>
      <c r="F83169"/>
    </row>
    <row r="83170" spans="1:6" x14ac:dyDescent="0.25">
      <c r="A83170"/>
      <c r="B83170"/>
      <c r="C83170"/>
      <c r="E83170"/>
      <c r="F83170"/>
    </row>
    <row r="83171" spans="1:6" x14ac:dyDescent="0.25">
      <c r="A83171"/>
      <c r="B83171"/>
      <c r="C83171"/>
      <c r="E83171"/>
      <c r="F83171"/>
    </row>
    <row r="83172" spans="1:6" x14ac:dyDescent="0.25">
      <c r="A83172"/>
      <c r="B83172"/>
      <c r="C83172"/>
      <c r="E83172"/>
      <c r="F83172"/>
    </row>
    <row r="83173" spans="1:6" x14ac:dyDescent="0.25">
      <c r="A83173"/>
      <c r="B83173"/>
      <c r="C83173"/>
      <c r="E83173"/>
      <c r="F83173"/>
    </row>
    <row r="83174" spans="1:6" x14ac:dyDescent="0.25">
      <c r="A83174"/>
      <c r="B83174"/>
      <c r="C83174"/>
      <c r="E83174"/>
      <c r="F83174"/>
    </row>
    <row r="83175" spans="1:6" x14ac:dyDescent="0.25">
      <c r="A83175"/>
      <c r="B83175"/>
      <c r="C83175"/>
      <c r="E83175"/>
      <c r="F83175"/>
    </row>
    <row r="83176" spans="1:6" x14ac:dyDescent="0.25">
      <c r="A83176"/>
      <c r="B83176"/>
      <c r="C83176"/>
      <c r="E83176"/>
      <c r="F83176"/>
    </row>
    <row r="83177" spans="1:6" x14ac:dyDescent="0.25">
      <c r="A83177"/>
      <c r="B83177"/>
      <c r="C83177"/>
      <c r="E83177"/>
      <c r="F83177"/>
    </row>
    <row r="83178" spans="1:6" x14ac:dyDescent="0.25">
      <c r="A83178"/>
      <c r="B83178"/>
      <c r="C83178"/>
      <c r="E83178"/>
      <c r="F83178"/>
    </row>
    <row r="83179" spans="1:6" x14ac:dyDescent="0.25">
      <c r="A83179"/>
      <c r="B83179"/>
      <c r="C83179"/>
      <c r="E83179"/>
      <c r="F83179"/>
    </row>
    <row r="83180" spans="1:6" x14ac:dyDescent="0.25">
      <c r="A83180"/>
      <c r="B83180"/>
      <c r="C83180"/>
      <c r="E83180"/>
      <c r="F83180"/>
    </row>
    <row r="83181" spans="1:6" x14ac:dyDescent="0.25">
      <c r="A83181"/>
      <c r="B83181"/>
      <c r="C83181"/>
      <c r="E83181"/>
      <c r="F83181"/>
    </row>
    <row r="83182" spans="1:6" x14ac:dyDescent="0.25">
      <c r="A83182"/>
      <c r="B83182"/>
      <c r="C83182"/>
      <c r="E83182"/>
      <c r="F83182"/>
    </row>
    <row r="83183" spans="1:6" x14ac:dyDescent="0.25">
      <c r="A83183"/>
      <c r="B83183"/>
      <c r="C83183"/>
      <c r="E83183"/>
      <c r="F83183"/>
    </row>
    <row r="83184" spans="1:6" x14ac:dyDescent="0.25">
      <c r="A83184"/>
      <c r="B83184"/>
      <c r="C83184"/>
      <c r="E83184"/>
      <c r="F83184"/>
    </row>
    <row r="83185" spans="1:6" x14ac:dyDescent="0.25">
      <c r="A83185"/>
      <c r="B83185"/>
      <c r="C83185"/>
      <c r="E83185"/>
      <c r="F83185"/>
    </row>
    <row r="83186" spans="1:6" x14ac:dyDescent="0.25">
      <c r="A83186"/>
      <c r="B83186"/>
      <c r="C83186"/>
      <c r="E83186"/>
      <c r="F83186"/>
    </row>
    <row r="83187" spans="1:6" x14ac:dyDescent="0.25">
      <c r="A83187"/>
      <c r="B83187"/>
      <c r="C83187"/>
      <c r="E83187"/>
      <c r="F83187"/>
    </row>
    <row r="83188" spans="1:6" x14ac:dyDescent="0.25">
      <c r="A83188"/>
      <c r="B83188"/>
      <c r="C83188"/>
      <c r="E83188"/>
      <c r="F83188"/>
    </row>
    <row r="83189" spans="1:6" x14ac:dyDescent="0.25">
      <c r="A83189"/>
      <c r="B83189"/>
      <c r="C83189"/>
      <c r="E83189"/>
      <c r="F83189"/>
    </row>
    <row r="83190" spans="1:6" x14ac:dyDescent="0.25">
      <c r="A83190"/>
      <c r="B83190"/>
      <c r="C83190"/>
      <c r="E83190"/>
      <c r="F83190"/>
    </row>
    <row r="83191" spans="1:6" x14ac:dyDescent="0.25">
      <c r="A83191"/>
      <c r="B83191"/>
      <c r="C83191"/>
      <c r="E83191"/>
      <c r="F83191"/>
    </row>
    <row r="83192" spans="1:6" x14ac:dyDescent="0.25">
      <c r="A83192"/>
      <c r="B83192"/>
      <c r="C83192"/>
      <c r="E83192"/>
      <c r="F83192"/>
    </row>
    <row r="83193" spans="1:6" x14ac:dyDescent="0.25">
      <c r="A83193"/>
      <c r="B83193"/>
      <c r="C83193"/>
      <c r="E83193"/>
      <c r="F83193"/>
    </row>
    <row r="83194" spans="1:6" x14ac:dyDescent="0.25">
      <c r="A83194"/>
      <c r="B83194"/>
      <c r="C83194"/>
      <c r="E83194"/>
      <c r="F83194"/>
    </row>
    <row r="83195" spans="1:6" x14ac:dyDescent="0.25">
      <c r="A83195"/>
      <c r="B83195"/>
      <c r="C83195"/>
      <c r="E83195"/>
      <c r="F83195"/>
    </row>
    <row r="83196" spans="1:6" x14ac:dyDescent="0.25">
      <c r="A83196"/>
      <c r="B83196"/>
      <c r="C83196"/>
      <c r="E83196"/>
      <c r="F83196"/>
    </row>
    <row r="83197" spans="1:6" x14ac:dyDescent="0.25">
      <c r="A83197"/>
      <c r="B83197"/>
      <c r="C83197"/>
      <c r="E83197"/>
      <c r="F83197"/>
    </row>
    <row r="83198" spans="1:6" x14ac:dyDescent="0.25">
      <c r="A83198"/>
      <c r="B83198"/>
      <c r="C83198"/>
      <c r="E83198"/>
      <c r="F83198"/>
    </row>
    <row r="83199" spans="1:6" x14ac:dyDescent="0.25">
      <c r="A83199"/>
      <c r="B83199"/>
      <c r="C83199"/>
      <c r="E83199"/>
      <c r="F83199"/>
    </row>
    <row r="83200" spans="1:6" x14ac:dyDescent="0.25">
      <c r="A83200"/>
      <c r="B83200"/>
      <c r="C83200"/>
      <c r="E83200"/>
      <c r="F83200"/>
    </row>
    <row r="83201" spans="1:6" x14ac:dyDescent="0.25">
      <c r="A83201"/>
      <c r="B83201"/>
      <c r="C83201"/>
      <c r="E83201"/>
      <c r="F83201"/>
    </row>
    <row r="83202" spans="1:6" x14ac:dyDescent="0.25">
      <c r="A83202"/>
      <c r="B83202"/>
      <c r="C83202"/>
      <c r="E83202"/>
      <c r="F83202"/>
    </row>
    <row r="83203" spans="1:6" x14ac:dyDescent="0.25">
      <c r="A83203"/>
      <c r="B83203"/>
      <c r="C83203"/>
      <c r="E83203"/>
      <c r="F83203"/>
    </row>
    <row r="83204" spans="1:6" x14ac:dyDescent="0.25">
      <c r="A83204"/>
      <c r="B83204"/>
      <c r="C83204"/>
      <c r="E83204"/>
      <c r="F83204"/>
    </row>
    <row r="83205" spans="1:6" x14ac:dyDescent="0.25">
      <c r="A83205"/>
      <c r="B83205"/>
      <c r="C83205"/>
      <c r="E83205"/>
      <c r="F83205"/>
    </row>
    <row r="83206" spans="1:6" x14ac:dyDescent="0.25">
      <c r="A83206"/>
      <c r="B83206"/>
      <c r="C83206"/>
      <c r="E83206"/>
      <c r="F83206"/>
    </row>
    <row r="83207" spans="1:6" x14ac:dyDescent="0.25">
      <c r="A83207"/>
      <c r="B83207"/>
      <c r="C83207"/>
      <c r="E83207"/>
      <c r="F83207"/>
    </row>
    <row r="83208" spans="1:6" x14ac:dyDescent="0.25">
      <c r="A83208"/>
      <c r="B83208"/>
      <c r="C83208"/>
      <c r="E83208"/>
      <c r="F83208"/>
    </row>
    <row r="83209" spans="1:6" x14ac:dyDescent="0.25">
      <c r="A83209"/>
      <c r="B83209"/>
      <c r="C83209"/>
      <c r="E83209"/>
      <c r="F83209"/>
    </row>
    <row r="83210" spans="1:6" x14ac:dyDescent="0.25">
      <c r="A83210"/>
      <c r="B83210"/>
      <c r="C83210"/>
      <c r="E83210"/>
      <c r="F83210"/>
    </row>
    <row r="83211" spans="1:6" x14ac:dyDescent="0.25">
      <c r="A83211"/>
      <c r="B83211"/>
      <c r="C83211"/>
      <c r="E83211"/>
      <c r="F83211"/>
    </row>
    <row r="83212" spans="1:6" x14ac:dyDescent="0.25">
      <c r="A83212"/>
      <c r="B83212"/>
      <c r="C83212"/>
      <c r="E83212"/>
      <c r="F83212"/>
    </row>
    <row r="83213" spans="1:6" x14ac:dyDescent="0.25">
      <c r="A83213"/>
      <c r="B83213"/>
      <c r="C83213"/>
      <c r="E83213"/>
      <c r="F83213"/>
    </row>
    <row r="83214" spans="1:6" x14ac:dyDescent="0.25">
      <c r="A83214"/>
      <c r="B83214"/>
      <c r="C83214"/>
      <c r="E83214"/>
      <c r="F83214"/>
    </row>
    <row r="83215" spans="1:6" x14ac:dyDescent="0.25">
      <c r="A83215"/>
      <c r="B83215"/>
      <c r="C83215"/>
      <c r="E83215"/>
      <c r="F83215"/>
    </row>
    <row r="83216" spans="1:6" x14ac:dyDescent="0.25">
      <c r="A83216"/>
      <c r="B83216"/>
      <c r="C83216"/>
      <c r="E83216"/>
      <c r="F83216"/>
    </row>
    <row r="83217" spans="1:6" x14ac:dyDescent="0.25">
      <c r="A83217"/>
      <c r="B83217"/>
      <c r="C83217"/>
      <c r="E83217"/>
      <c r="F83217"/>
    </row>
    <row r="83218" spans="1:6" x14ac:dyDescent="0.25">
      <c r="A83218"/>
      <c r="B83218"/>
      <c r="C83218"/>
      <c r="E83218"/>
      <c r="F83218"/>
    </row>
    <row r="83219" spans="1:6" x14ac:dyDescent="0.25">
      <c r="A83219"/>
      <c r="B83219"/>
      <c r="C83219"/>
      <c r="E83219"/>
      <c r="F83219"/>
    </row>
    <row r="83220" spans="1:6" x14ac:dyDescent="0.25">
      <c r="A83220"/>
      <c r="B83220"/>
      <c r="C83220"/>
      <c r="E83220"/>
      <c r="F83220"/>
    </row>
    <row r="83221" spans="1:6" x14ac:dyDescent="0.25">
      <c r="A83221"/>
      <c r="B83221"/>
      <c r="C83221"/>
      <c r="E83221"/>
      <c r="F83221"/>
    </row>
    <row r="83222" spans="1:6" x14ac:dyDescent="0.25">
      <c r="A83222"/>
      <c r="B83222"/>
      <c r="C83222"/>
      <c r="E83222"/>
      <c r="F83222"/>
    </row>
    <row r="83223" spans="1:6" x14ac:dyDescent="0.25">
      <c r="A83223"/>
      <c r="B83223"/>
      <c r="C83223"/>
      <c r="E83223"/>
      <c r="F83223"/>
    </row>
    <row r="83224" spans="1:6" x14ac:dyDescent="0.25">
      <c r="A83224"/>
      <c r="B83224"/>
      <c r="C83224"/>
      <c r="E83224"/>
      <c r="F83224"/>
    </row>
    <row r="83225" spans="1:6" x14ac:dyDescent="0.25">
      <c r="A83225"/>
      <c r="B83225"/>
      <c r="C83225"/>
      <c r="E83225"/>
      <c r="F83225"/>
    </row>
    <row r="83226" spans="1:6" x14ac:dyDescent="0.25">
      <c r="A83226"/>
      <c r="B83226"/>
      <c r="C83226"/>
      <c r="E83226"/>
      <c r="F83226"/>
    </row>
    <row r="83227" spans="1:6" x14ac:dyDescent="0.25">
      <c r="A83227"/>
      <c r="B83227"/>
      <c r="C83227"/>
      <c r="E83227"/>
      <c r="F83227"/>
    </row>
    <row r="83228" spans="1:6" x14ac:dyDescent="0.25">
      <c r="A83228"/>
      <c r="B83228"/>
      <c r="C83228"/>
      <c r="E83228"/>
      <c r="F83228"/>
    </row>
    <row r="83229" spans="1:6" x14ac:dyDescent="0.25">
      <c r="A83229"/>
      <c r="B83229"/>
      <c r="C83229"/>
      <c r="E83229"/>
      <c r="F83229"/>
    </row>
    <row r="83230" spans="1:6" x14ac:dyDescent="0.25">
      <c r="A83230"/>
      <c r="B83230"/>
      <c r="C83230"/>
      <c r="E83230"/>
      <c r="F83230"/>
    </row>
    <row r="83231" spans="1:6" x14ac:dyDescent="0.25">
      <c r="A83231"/>
      <c r="B83231"/>
      <c r="C83231"/>
      <c r="E83231"/>
      <c r="F83231"/>
    </row>
    <row r="83232" spans="1:6" x14ac:dyDescent="0.25">
      <c r="A83232"/>
      <c r="B83232"/>
      <c r="C83232"/>
      <c r="E83232"/>
      <c r="F83232"/>
    </row>
    <row r="83233" spans="1:6" x14ac:dyDescent="0.25">
      <c r="A83233"/>
      <c r="B83233"/>
      <c r="C83233"/>
      <c r="E83233"/>
      <c r="F83233"/>
    </row>
    <row r="83234" spans="1:6" x14ac:dyDescent="0.25">
      <c r="A83234"/>
      <c r="B83234"/>
      <c r="C83234"/>
      <c r="E83234"/>
      <c r="F83234"/>
    </row>
    <row r="83235" spans="1:6" x14ac:dyDescent="0.25">
      <c r="A83235"/>
      <c r="B83235"/>
      <c r="C83235"/>
      <c r="E83235"/>
      <c r="F83235"/>
    </row>
    <row r="83236" spans="1:6" x14ac:dyDescent="0.25">
      <c r="A83236"/>
      <c r="B83236"/>
      <c r="C83236"/>
      <c r="E83236"/>
      <c r="F83236"/>
    </row>
    <row r="83237" spans="1:6" x14ac:dyDescent="0.25">
      <c r="A83237"/>
      <c r="B83237"/>
      <c r="C83237"/>
      <c r="E83237"/>
      <c r="F83237"/>
    </row>
    <row r="83238" spans="1:6" x14ac:dyDescent="0.25">
      <c r="A83238"/>
      <c r="B83238"/>
      <c r="C83238"/>
      <c r="E83238"/>
      <c r="F83238"/>
    </row>
    <row r="83239" spans="1:6" x14ac:dyDescent="0.25">
      <c r="A83239"/>
      <c r="B83239"/>
      <c r="C83239"/>
      <c r="E83239"/>
      <c r="F83239"/>
    </row>
    <row r="83240" spans="1:6" x14ac:dyDescent="0.25">
      <c r="A83240"/>
      <c r="B83240"/>
      <c r="C83240"/>
      <c r="E83240"/>
      <c r="F83240"/>
    </row>
    <row r="83241" spans="1:6" x14ac:dyDescent="0.25">
      <c r="A83241"/>
      <c r="B83241"/>
      <c r="C83241"/>
      <c r="E83241"/>
      <c r="F83241"/>
    </row>
    <row r="83242" spans="1:6" x14ac:dyDescent="0.25">
      <c r="A83242"/>
      <c r="B83242"/>
      <c r="C83242"/>
      <c r="E83242"/>
      <c r="F83242"/>
    </row>
    <row r="83243" spans="1:6" x14ac:dyDescent="0.25">
      <c r="A83243"/>
      <c r="B83243"/>
      <c r="C83243"/>
      <c r="E83243"/>
      <c r="F83243"/>
    </row>
    <row r="83244" spans="1:6" x14ac:dyDescent="0.25">
      <c r="A83244"/>
      <c r="B83244"/>
      <c r="C83244"/>
      <c r="E83244"/>
      <c r="F83244"/>
    </row>
    <row r="83245" spans="1:6" x14ac:dyDescent="0.25">
      <c r="A83245"/>
      <c r="B83245"/>
      <c r="C83245"/>
      <c r="E83245"/>
      <c r="F83245"/>
    </row>
    <row r="83246" spans="1:6" x14ac:dyDescent="0.25">
      <c r="A83246"/>
      <c r="B83246"/>
      <c r="C83246"/>
      <c r="E83246"/>
      <c r="F83246"/>
    </row>
    <row r="83247" spans="1:6" x14ac:dyDescent="0.25">
      <c r="A83247"/>
      <c r="B83247"/>
      <c r="C83247"/>
      <c r="E83247"/>
      <c r="F83247"/>
    </row>
    <row r="83248" spans="1:6" x14ac:dyDescent="0.25">
      <c r="A83248"/>
      <c r="B83248"/>
      <c r="C83248"/>
      <c r="E83248"/>
      <c r="F83248"/>
    </row>
    <row r="83249" spans="1:6" x14ac:dyDescent="0.25">
      <c r="A83249"/>
      <c r="B83249"/>
      <c r="C83249"/>
      <c r="E83249"/>
      <c r="F83249"/>
    </row>
    <row r="83250" spans="1:6" x14ac:dyDescent="0.25">
      <c r="A83250"/>
      <c r="B83250"/>
      <c r="C83250"/>
      <c r="E83250"/>
      <c r="F83250"/>
    </row>
    <row r="83251" spans="1:6" x14ac:dyDescent="0.25">
      <c r="A83251"/>
      <c r="B83251"/>
      <c r="C83251"/>
      <c r="E83251"/>
      <c r="F83251"/>
    </row>
    <row r="83252" spans="1:6" x14ac:dyDescent="0.25">
      <c r="A83252"/>
      <c r="B83252"/>
      <c r="C83252"/>
      <c r="E83252"/>
      <c r="F83252"/>
    </row>
    <row r="83253" spans="1:6" x14ac:dyDescent="0.25">
      <c r="A83253"/>
      <c r="B83253"/>
      <c r="C83253"/>
      <c r="E83253"/>
      <c r="F83253"/>
    </row>
    <row r="83254" spans="1:6" x14ac:dyDescent="0.25">
      <c r="A83254"/>
      <c r="B83254"/>
      <c r="C83254"/>
      <c r="E83254"/>
      <c r="F83254"/>
    </row>
    <row r="83255" spans="1:6" x14ac:dyDescent="0.25">
      <c r="A83255"/>
      <c r="B83255"/>
      <c r="C83255"/>
      <c r="E83255"/>
      <c r="F83255"/>
    </row>
    <row r="83256" spans="1:6" x14ac:dyDescent="0.25">
      <c r="A83256"/>
      <c r="B83256"/>
      <c r="C83256"/>
      <c r="E83256"/>
      <c r="F83256"/>
    </row>
    <row r="83257" spans="1:6" x14ac:dyDescent="0.25">
      <c r="A83257"/>
      <c r="B83257"/>
      <c r="C83257"/>
      <c r="E83257"/>
      <c r="F83257"/>
    </row>
    <row r="83258" spans="1:6" x14ac:dyDescent="0.25">
      <c r="A83258"/>
      <c r="B83258"/>
      <c r="C83258"/>
      <c r="E83258"/>
      <c r="F83258"/>
    </row>
    <row r="83259" spans="1:6" x14ac:dyDescent="0.25">
      <c r="A83259"/>
      <c r="B83259"/>
      <c r="C83259"/>
      <c r="E83259"/>
      <c r="F83259"/>
    </row>
    <row r="83260" spans="1:6" x14ac:dyDescent="0.25">
      <c r="A83260"/>
      <c r="B83260"/>
      <c r="C83260"/>
      <c r="E83260"/>
      <c r="F83260"/>
    </row>
    <row r="83261" spans="1:6" x14ac:dyDescent="0.25">
      <c r="A83261"/>
      <c r="B83261"/>
      <c r="C83261"/>
      <c r="E83261"/>
      <c r="F83261"/>
    </row>
    <row r="83262" spans="1:6" x14ac:dyDescent="0.25">
      <c r="A83262"/>
      <c r="B83262"/>
      <c r="C83262"/>
      <c r="E83262"/>
      <c r="F83262"/>
    </row>
    <row r="83263" spans="1:6" x14ac:dyDescent="0.25">
      <c r="A83263"/>
      <c r="B83263"/>
      <c r="C83263"/>
      <c r="E83263"/>
      <c r="F83263"/>
    </row>
    <row r="83264" spans="1:6" x14ac:dyDescent="0.25">
      <c r="A83264"/>
      <c r="B83264"/>
      <c r="C83264"/>
      <c r="E83264"/>
      <c r="F83264"/>
    </row>
    <row r="83265" spans="1:6" x14ac:dyDescent="0.25">
      <c r="A83265"/>
      <c r="B83265"/>
      <c r="C83265"/>
      <c r="E83265"/>
      <c r="F83265"/>
    </row>
    <row r="83266" spans="1:6" x14ac:dyDescent="0.25">
      <c r="A83266"/>
      <c r="B83266"/>
      <c r="C83266"/>
      <c r="E83266"/>
      <c r="F83266"/>
    </row>
    <row r="83267" spans="1:6" x14ac:dyDescent="0.25">
      <c r="A83267"/>
      <c r="B83267"/>
      <c r="C83267"/>
      <c r="E83267"/>
      <c r="F83267"/>
    </row>
    <row r="83268" spans="1:6" x14ac:dyDescent="0.25">
      <c r="A83268"/>
      <c r="B83268"/>
      <c r="C83268"/>
      <c r="E83268"/>
      <c r="F83268"/>
    </row>
    <row r="83269" spans="1:6" x14ac:dyDescent="0.25">
      <c r="A83269"/>
      <c r="B83269"/>
      <c r="C83269"/>
      <c r="E83269"/>
      <c r="F83269"/>
    </row>
    <row r="83270" spans="1:6" x14ac:dyDescent="0.25">
      <c r="A83270"/>
      <c r="B83270"/>
      <c r="C83270"/>
      <c r="E83270"/>
      <c r="F83270"/>
    </row>
    <row r="83271" spans="1:6" x14ac:dyDescent="0.25">
      <c r="A83271"/>
      <c r="B83271"/>
      <c r="C83271"/>
      <c r="E83271"/>
      <c r="F83271"/>
    </row>
    <row r="83272" spans="1:6" x14ac:dyDescent="0.25">
      <c r="A83272"/>
      <c r="B83272"/>
      <c r="C83272"/>
      <c r="E83272"/>
      <c r="F83272"/>
    </row>
    <row r="83273" spans="1:6" x14ac:dyDescent="0.25">
      <c r="A83273"/>
      <c r="B83273"/>
      <c r="C83273"/>
      <c r="E83273"/>
      <c r="F83273"/>
    </row>
    <row r="83274" spans="1:6" x14ac:dyDescent="0.25">
      <c r="A83274"/>
      <c r="B83274"/>
      <c r="C83274"/>
      <c r="E83274"/>
      <c r="F83274"/>
    </row>
    <row r="83275" spans="1:6" x14ac:dyDescent="0.25">
      <c r="A83275"/>
      <c r="B83275"/>
      <c r="C83275"/>
      <c r="E83275"/>
      <c r="F83275"/>
    </row>
    <row r="83276" spans="1:6" x14ac:dyDescent="0.25">
      <c r="A83276"/>
      <c r="B83276"/>
      <c r="C83276"/>
      <c r="E83276"/>
      <c r="F83276"/>
    </row>
    <row r="83277" spans="1:6" x14ac:dyDescent="0.25">
      <c r="A83277"/>
      <c r="B83277"/>
      <c r="C83277"/>
      <c r="E83277"/>
      <c r="F83277"/>
    </row>
    <row r="83278" spans="1:6" x14ac:dyDescent="0.25">
      <c r="A83278"/>
      <c r="B83278"/>
      <c r="C83278"/>
      <c r="E83278"/>
      <c r="F83278"/>
    </row>
    <row r="83279" spans="1:6" x14ac:dyDescent="0.25">
      <c r="A83279"/>
      <c r="B83279"/>
      <c r="C83279"/>
      <c r="E83279"/>
      <c r="F83279"/>
    </row>
    <row r="83280" spans="1:6" x14ac:dyDescent="0.25">
      <c r="A83280"/>
      <c r="B83280"/>
      <c r="C83280"/>
      <c r="E83280"/>
      <c r="F83280"/>
    </row>
    <row r="83281" spans="1:6" x14ac:dyDescent="0.25">
      <c r="A83281"/>
      <c r="B83281"/>
      <c r="C83281"/>
      <c r="E83281"/>
      <c r="F83281"/>
    </row>
    <row r="83282" spans="1:6" x14ac:dyDescent="0.25">
      <c r="A83282"/>
      <c r="B83282"/>
      <c r="C83282"/>
      <c r="E83282"/>
      <c r="F83282"/>
    </row>
    <row r="83283" spans="1:6" x14ac:dyDescent="0.25">
      <c r="A83283"/>
      <c r="B83283"/>
      <c r="C83283"/>
      <c r="E83283"/>
      <c r="F83283"/>
    </row>
    <row r="83284" spans="1:6" x14ac:dyDescent="0.25">
      <c r="A83284"/>
      <c r="B83284"/>
      <c r="C83284"/>
      <c r="E83284"/>
      <c r="F83284"/>
    </row>
    <row r="83285" spans="1:6" x14ac:dyDescent="0.25">
      <c r="A83285"/>
      <c r="B83285"/>
      <c r="C83285"/>
      <c r="E83285"/>
      <c r="F83285"/>
    </row>
    <row r="83286" spans="1:6" x14ac:dyDescent="0.25">
      <c r="A83286"/>
      <c r="B83286"/>
      <c r="C83286"/>
      <c r="E83286"/>
      <c r="F83286"/>
    </row>
    <row r="83287" spans="1:6" x14ac:dyDescent="0.25">
      <c r="A83287"/>
      <c r="B83287"/>
      <c r="C83287"/>
      <c r="E83287"/>
      <c r="F83287"/>
    </row>
    <row r="83288" spans="1:6" x14ac:dyDescent="0.25">
      <c r="A83288"/>
      <c r="B83288"/>
      <c r="C83288"/>
      <c r="E83288"/>
      <c r="F83288"/>
    </row>
    <row r="83289" spans="1:6" x14ac:dyDescent="0.25">
      <c r="A83289"/>
      <c r="B83289"/>
      <c r="C83289"/>
      <c r="E83289"/>
      <c r="F83289"/>
    </row>
    <row r="83290" spans="1:6" x14ac:dyDescent="0.25">
      <c r="A83290"/>
      <c r="B83290"/>
      <c r="C83290"/>
      <c r="E83290"/>
      <c r="F83290"/>
    </row>
    <row r="83291" spans="1:6" x14ac:dyDescent="0.25">
      <c r="A83291"/>
      <c r="B83291"/>
      <c r="C83291"/>
      <c r="E83291"/>
      <c r="F83291"/>
    </row>
    <row r="83292" spans="1:6" x14ac:dyDescent="0.25">
      <c r="A83292"/>
      <c r="B83292"/>
      <c r="C83292"/>
      <c r="E83292"/>
      <c r="F83292"/>
    </row>
    <row r="83293" spans="1:6" x14ac:dyDescent="0.25">
      <c r="A83293"/>
      <c r="B83293"/>
      <c r="C83293"/>
      <c r="E83293"/>
      <c r="F83293"/>
    </row>
    <row r="83294" spans="1:6" x14ac:dyDescent="0.25">
      <c r="A83294"/>
      <c r="B83294"/>
      <c r="C83294"/>
      <c r="E83294"/>
      <c r="F83294"/>
    </row>
    <row r="83295" spans="1:6" x14ac:dyDescent="0.25">
      <c r="A83295"/>
      <c r="B83295"/>
      <c r="C83295"/>
      <c r="E83295"/>
      <c r="F83295"/>
    </row>
    <row r="83296" spans="1:6" x14ac:dyDescent="0.25">
      <c r="A83296"/>
      <c r="B83296"/>
      <c r="C83296"/>
      <c r="E83296"/>
      <c r="F83296"/>
    </row>
    <row r="83297" spans="1:6" x14ac:dyDescent="0.25">
      <c r="A83297"/>
      <c r="B83297"/>
      <c r="C83297"/>
      <c r="E83297"/>
      <c r="F83297"/>
    </row>
    <row r="83298" spans="1:6" x14ac:dyDescent="0.25">
      <c r="A83298"/>
      <c r="B83298"/>
      <c r="C83298"/>
      <c r="E83298"/>
      <c r="F83298"/>
    </row>
    <row r="83299" spans="1:6" x14ac:dyDescent="0.25">
      <c r="A83299"/>
      <c r="B83299"/>
      <c r="C83299"/>
      <c r="E83299"/>
      <c r="F83299"/>
    </row>
    <row r="83300" spans="1:6" x14ac:dyDescent="0.25">
      <c r="A83300"/>
      <c r="B83300"/>
      <c r="C83300"/>
      <c r="E83300"/>
      <c r="F83300"/>
    </row>
    <row r="83301" spans="1:6" x14ac:dyDescent="0.25">
      <c r="A83301"/>
      <c r="B83301"/>
      <c r="C83301"/>
      <c r="E83301"/>
      <c r="F83301"/>
    </row>
    <row r="83302" spans="1:6" x14ac:dyDescent="0.25">
      <c r="A83302"/>
      <c r="B83302"/>
      <c r="C83302"/>
      <c r="E83302"/>
      <c r="F83302"/>
    </row>
    <row r="83303" spans="1:6" x14ac:dyDescent="0.25">
      <c r="A83303"/>
      <c r="B83303"/>
      <c r="C83303"/>
      <c r="E83303"/>
      <c r="F83303"/>
    </row>
    <row r="83304" spans="1:6" x14ac:dyDescent="0.25">
      <c r="A83304"/>
      <c r="B83304"/>
      <c r="C83304"/>
      <c r="E83304"/>
      <c r="F83304"/>
    </row>
    <row r="83305" spans="1:6" x14ac:dyDescent="0.25">
      <c r="A83305"/>
      <c r="B83305"/>
      <c r="C83305"/>
      <c r="E83305"/>
      <c r="F83305"/>
    </row>
    <row r="83306" spans="1:6" x14ac:dyDescent="0.25">
      <c r="A83306"/>
      <c r="B83306"/>
      <c r="C83306"/>
      <c r="E83306"/>
      <c r="F83306"/>
    </row>
    <row r="83307" spans="1:6" x14ac:dyDescent="0.25">
      <c r="A83307"/>
      <c r="B83307"/>
      <c r="C83307"/>
      <c r="E83307"/>
      <c r="F83307"/>
    </row>
    <row r="83308" spans="1:6" x14ac:dyDescent="0.25">
      <c r="A83308"/>
      <c r="B83308"/>
      <c r="C83308"/>
      <c r="E83308"/>
      <c r="F83308"/>
    </row>
    <row r="83309" spans="1:6" x14ac:dyDescent="0.25">
      <c r="A83309"/>
      <c r="B83309"/>
      <c r="C83309"/>
      <c r="E83309"/>
      <c r="F83309"/>
    </row>
    <row r="83310" spans="1:6" x14ac:dyDescent="0.25">
      <c r="A83310"/>
      <c r="B83310"/>
      <c r="C83310"/>
      <c r="E83310"/>
      <c r="F83310"/>
    </row>
    <row r="83311" spans="1:6" x14ac:dyDescent="0.25">
      <c r="A83311"/>
      <c r="B83311"/>
      <c r="C83311"/>
      <c r="E83311"/>
      <c r="F83311"/>
    </row>
    <row r="83312" spans="1:6" x14ac:dyDescent="0.25">
      <c r="A83312"/>
      <c r="B83312"/>
      <c r="C83312"/>
      <c r="E83312"/>
      <c r="F83312"/>
    </row>
    <row r="83313" spans="1:6" x14ac:dyDescent="0.25">
      <c r="A83313"/>
      <c r="B83313"/>
      <c r="C83313"/>
      <c r="E83313"/>
      <c r="F83313"/>
    </row>
    <row r="83314" spans="1:6" x14ac:dyDescent="0.25">
      <c r="A83314"/>
      <c r="B83314"/>
      <c r="C83314"/>
      <c r="E83314"/>
      <c r="F83314"/>
    </row>
    <row r="83315" spans="1:6" x14ac:dyDescent="0.25">
      <c r="A83315"/>
      <c r="B83315"/>
      <c r="C83315"/>
      <c r="E83315"/>
      <c r="F83315"/>
    </row>
    <row r="83316" spans="1:6" x14ac:dyDescent="0.25">
      <c r="A83316"/>
      <c r="B83316"/>
      <c r="C83316"/>
      <c r="E83316"/>
      <c r="F83316"/>
    </row>
    <row r="83317" spans="1:6" x14ac:dyDescent="0.25">
      <c r="A83317"/>
      <c r="B83317"/>
      <c r="C83317"/>
      <c r="E83317"/>
      <c r="F83317"/>
    </row>
    <row r="83318" spans="1:6" x14ac:dyDescent="0.25">
      <c r="A83318"/>
      <c r="B83318"/>
      <c r="C83318"/>
      <c r="E83318"/>
      <c r="F83318"/>
    </row>
    <row r="83319" spans="1:6" x14ac:dyDescent="0.25">
      <c r="A83319"/>
      <c r="B83319"/>
      <c r="C83319"/>
      <c r="E83319"/>
      <c r="F83319"/>
    </row>
    <row r="83320" spans="1:6" x14ac:dyDescent="0.25">
      <c r="A83320"/>
      <c r="B83320"/>
      <c r="C83320"/>
      <c r="E83320"/>
      <c r="F83320"/>
    </row>
    <row r="83321" spans="1:6" x14ac:dyDescent="0.25">
      <c r="A83321"/>
      <c r="B83321"/>
      <c r="C83321"/>
      <c r="E83321"/>
      <c r="F83321"/>
    </row>
    <row r="83322" spans="1:6" x14ac:dyDescent="0.25">
      <c r="A83322"/>
      <c r="B83322"/>
      <c r="C83322"/>
      <c r="E83322"/>
      <c r="F83322"/>
    </row>
    <row r="83323" spans="1:6" x14ac:dyDescent="0.25">
      <c r="A83323"/>
      <c r="B83323"/>
      <c r="C83323"/>
      <c r="E83323"/>
      <c r="F83323"/>
    </row>
    <row r="83324" spans="1:6" x14ac:dyDescent="0.25">
      <c r="A83324"/>
      <c r="B83324"/>
      <c r="C83324"/>
      <c r="E83324"/>
      <c r="F83324"/>
    </row>
    <row r="83325" spans="1:6" x14ac:dyDescent="0.25">
      <c r="A83325"/>
      <c r="B83325"/>
      <c r="C83325"/>
      <c r="E83325"/>
      <c r="F83325"/>
    </row>
    <row r="83326" spans="1:6" x14ac:dyDescent="0.25">
      <c r="A83326"/>
      <c r="B83326"/>
      <c r="C83326"/>
      <c r="E83326"/>
      <c r="F83326"/>
    </row>
    <row r="83327" spans="1:6" x14ac:dyDescent="0.25">
      <c r="A83327"/>
      <c r="B83327"/>
      <c r="C83327"/>
      <c r="E83327"/>
      <c r="F83327"/>
    </row>
    <row r="83328" spans="1:6" x14ac:dyDescent="0.25">
      <c r="A83328"/>
      <c r="B83328"/>
      <c r="C83328"/>
      <c r="E83328"/>
      <c r="F83328"/>
    </row>
    <row r="83329" spans="1:6" x14ac:dyDescent="0.25">
      <c r="A83329"/>
      <c r="B83329"/>
      <c r="C83329"/>
      <c r="E83329"/>
      <c r="F83329"/>
    </row>
    <row r="83330" spans="1:6" x14ac:dyDescent="0.25">
      <c r="A83330"/>
      <c r="B83330"/>
      <c r="C83330"/>
      <c r="E83330"/>
      <c r="F83330"/>
    </row>
    <row r="83331" spans="1:6" x14ac:dyDescent="0.25">
      <c r="A83331"/>
      <c r="B83331"/>
      <c r="C83331"/>
      <c r="E83331"/>
      <c r="F83331"/>
    </row>
    <row r="83332" spans="1:6" x14ac:dyDescent="0.25">
      <c r="A83332"/>
      <c r="B83332"/>
      <c r="C83332"/>
      <c r="E83332"/>
      <c r="F83332"/>
    </row>
    <row r="83333" spans="1:6" x14ac:dyDescent="0.25">
      <c r="A83333"/>
      <c r="B83333"/>
      <c r="C83333"/>
      <c r="E83333"/>
      <c r="F83333"/>
    </row>
    <row r="83334" spans="1:6" x14ac:dyDescent="0.25">
      <c r="A83334"/>
      <c r="B83334"/>
      <c r="C83334"/>
      <c r="E83334"/>
      <c r="F83334"/>
    </row>
    <row r="83335" spans="1:6" x14ac:dyDescent="0.25">
      <c r="A83335"/>
      <c r="B83335"/>
      <c r="C83335"/>
      <c r="E83335"/>
      <c r="F83335"/>
    </row>
    <row r="83336" spans="1:6" x14ac:dyDescent="0.25">
      <c r="A83336"/>
      <c r="B83336"/>
      <c r="C83336"/>
      <c r="E83336"/>
      <c r="F83336"/>
    </row>
    <row r="83337" spans="1:6" x14ac:dyDescent="0.25">
      <c r="A83337"/>
      <c r="B83337"/>
      <c r="C83337"/>
      <c r="E83337"/>
      <c r="F83337"/>
    </row>
    <row r="83338" spans="1:6" x14ac:dyDescent="0.25">
      <c r="A83338"/>
      <c r="B83338"/>
      <c r="C83338"/>
      <c r="E83338"/>
      <c r="F83338"/>
    </row>
    <row r="83339" spans="1:6" x14ac:dyDescent="0.25">
      <c r="A83339"/>
      <c r="B83339"/>
      <c r="C83339"/>
      <c r="E83339"/>
      <c r="F83339"/>
    </row>
    <row r="83340" spans="1:6" x14ac:dyDescent="0.25">
      <c r="A83340"/>
      <c r="B83340"/>
      <c r="C83340"/>
      <c r="E83340"/>
      <c r="F83340"/>
    </row>
    <row r="83341" spans="1:6" x14ac:dyDescent="0.25">
      <c r="A83341"/>
      <c r="B83341"/>
      <c r="C83341"/>
      <c r="E83341"/>
      <c r="F83341"/>
    </row>
    <row r="83342" spans="1:6" x14ac:dyDescent="0.25">
      <c r="A83342"/>
      <c r="B83342"/>
      <c r="C83342"/>
      <c r="E83342"/>
      <c r="F83342"/>
    </row>
    <row r="83343" spans="1:6" x14ac:dyDescent="0.25">
      <c r="A83343"/>
      <c r="B83343"/>
      <c r="C83343"/>
      <c r="E83343"/>
      <c r="F83343"/>
    </row>
    <row r="83344" spans="1:6" x14ac:dyDescent="0.25">
      <c r="A83344"/>
      <c r="B83344"/>
      <c r="C83344"/>
      <c r="E83344"/>
      <c r="F83344"/>
    </row>
    <row r="83345" spans="1:6" x14ac:dyDescent="0.25">
      <c r="A83345"/>
      <c r="B83345"/>
      <c r="C83345"/>
      <c r="E83345"/>
      <c r="F83345"/>
    </row>
    <row r="83346" spans="1:6" x14ac:dyDescent="0.25">
      <c r="A83346"/>
      <c r="B83346"/>
      <c r="C83346"/>
      <c r="E83346"/>
      <c r="F83346"/>
    </row>
    <row r="83347" spans="1:6" x14ac:dyDescent="0.25">
      <c r="A83347"/>
      <c r="B83347"/>
      <c r="C83347"/>
      <c r="E83347"/>
      <c r="F83347"/>
    </row>
    <row r="83348" spans="1:6" x14ac:dyDescent="0.25">
      <c r="A83348"/>
      <c r="B83348"/>
      <c r="C83348"/>
      <c r="E83348"/>
      <c r="F83348"/>
    </row>
    <row r="83349" spans="1:6" x14ac:dyDescent="0.25">
      <c r="A83349"/>
      <c r="B83349"/>
      <c r="C83349"/>
      <c r="E83349"/>
      <c r="F83349"/>
    </row>
    <row r="83350" spans="1:6" x14ac:dyDescent="0.25">
      <c r="A83350"/>
      <c r="B83350"/>
      <c r="C83350"/>
      <c r="E83350"/>
      <c r="F83350"/>
    </row>
    <row r="83351" spans="1:6" x14ac:dyDescent="0.25">
      <c r="A83351"/>
      <c r="B83351"/>
      <c r="C83351"/>
      <c r="E83351"/>
      <c r="F83351"/>
    </row>
    <row r="83352" spans="1:6" x14ac:dyDescent="0.25">
      <c r="A83352"/>
      <c r="B83352"/>
      <c r="C83352"/>
      <c r="E83352"/>
      <c r="F83352"/>
    </row>
    <row r="83353" spans="1:6" x14ac:dyDescent="0.25">
      <c r="A83353"/>
      <c r="B83353"/>
      <c r="C83353"/>
      <c r="E83353"/>
      <c r="F83353"/>
    </row>
    <row r="83354" spans="1:6" x14ac:dyDescent="0.25">
      <c r="A83354"/>
      <c r="B83354"/>
      <c r="C83354"/>
      <c r="E83354"/>
      <c r="F83354"/>
    </row>
    <row r="83355" spans="1:6" x14ac:dyDescent="0.25">
      <c r="A83355"/>
      <c r="B83355"/>
      <c r="C83355"/>
      <c r="E83355"/>
      <c r="F83355"/>
    </row>
    <row r="83356" spans="1:6" x14ac:dyDescent="0.25">
      <c r="A83356"/>
      <c r="B83356"/>
      <c r="C83356"/>
      <c r="E83356"/>
      <c r="F83356"/>
    </row>
    <row r="83357" spans="1:6" x14ac:dyDescent="0.25">
      <c r="A83357"/>
      <c r="B83357"/>
      <c r="C83357"/>
      <c r="E83357"/>
      <c r="F83357"/>
    </row>
    <row r="83358" spans="1:6" x14ac:dyDescent="0.25">
      <c r="A83358"/>
      <c r="B83358"/>
      <c r="C83358"/>
      <c r="E83358"/>
      <c r="F83358"/>
    </row>
    <row r="83359" spans="1:6" x14ac:dyDescent="0.25">
      <c r="A83359"/>
      <c r="B83359"/>
      <c r="C83359"/>
      <c r="E83359"/>
      <c r="F83359"/>
    </row>
    <row r="83360" spans="1:6" x14ac:dyDescent="0.25">
      <c r="A83360"/>
      <c r="B83360"/>
      <c r="C83360"/>
      <c r="E83360"/>
      <c r="F83360"/>
    </row>
    <row r="83361" spans="1:6" x14ac:dyDescent="0.25">
      <c r="A83361"/>
      <c r="B83361"/>
      <c r="C83361"/>
      <c r="E83361"/>
      <c r="F83361"/>
    </row>
    <row r="83362" spans="1:6" x14ac:dyDescent="0.25">
      <c r="A83362"/>
      <c r="B83362"/>
      <c r="C83362"/>
      <c r="E83362"/>
      <c r="F83362"/>
    </row>
    <row r="83363" spans="1:6" x14ac:dyDescent="0.25">
      <c r="A83363"/>
      <c r="B83363"/>
      <c r="C83363"/>
      <c r="E83363"/>
      <c r="F83363"/>
    </row>
    <row r="83364" spans="1:6" x14ac:dyDescent="0.25">
      <c r="A83364"/>
      <c r="B83364"/>
      <c r="C83364"/>
      <c r="E83364"/>
      <c r="F83364"/>
    </row>
    <row r="83365" spans="1:6" x14ac:dyDescent="0.25">
      <c r="A83365"/>
      <c r="B83365"/>
      <c r="C83365"/>
      <c r="E83365"/>
      <c r="F83365"/>
    </row>
    <row r="83366" spans="1:6" x14ac:dyDescent="0.25">
      <c r="A83366"/>
      <c r="B83366"/>
      <c r="C83366"/>
      <c r="E83366"/>
      <c r="F83366"/>
    </row>
    <row r="83367" spans="1:6" x14ac:dyDescent="0.25">
      <c r="A83367"/>
      <c r="B83367"/>
      <c r="C83367"/>
      <c r="E83367"/>
      <c r="F83367"/>
    </row>
    <row r="83368" spans="1:6" x14ac:dyDescent="0.25">
      <c r="A83368"/>
      <c r="B83368"/>
      <c r="C83368"/>
      <c r="E83368"/>
      <c r="F83368"/>
    </row>
    <row r="83369" spans="1:6" x14ac:dyDescent="0.25">
      <c r="A83369"/>
      <c r="B83369"/>
      <c r="C83369"/>
      <c r="E83369"/>
      <c r="F83369"/>
    </row>
    <row r="83370" spans="1:6" x14ac:dyDescent="0.25">
      <c r="A83370"/>
      <c r="B83370"/>
      <c r="C83370"/>
      <c r="E83370"/>
      <c r="F83370"/>
    </row>
    <row r="83371" spans="1:6" x14ac:dyDescent="0.25">
      <c r="A83371"/>
      <c r="B83371"/>
      <c r="C83371"/>
      <c r="E83371"/>
      <c r="F83371"/>
    </row>
    <row r="83372" spans="1:6" x14ac:dyDescent="0.25">
      <c r="A83372"/>
      <c r="B83372"/>
      <c r="C83372"/>
      <c r="E83372"/>
      <c r="F83372"/>
    </row>
    <row r="83373" spans="1:6" x14ac:dyDescent="0.25">
      <c r="A83373"/>
      <c r="B83373"/>
      <c r="C83373"/>
      <c r="E83373"/>
      <c r="F83373"/>
    </row>
    <row r="83374" spans="1:6" x14ac:dyDescent="0.25">
      <c r="A83374"/>
      <c r="B83374"/>
      <c r="C83374"/>
      <c r="E83374"/>
      <c r="F83374"/>
    </row>
    <row r="83375" spans="1:6" x14ac:dyDescent="0.25">
      <c r="A83375"/>
      <c r="B83375"/>
      <c r="C83375"/>
      <c r="E83375"/>
      <c r="F83375"/>
    </row>
    <row r="83376" spans="1:6" x14ac:dyDescent="0.25">
      <c r="A83376"/>
      <c r="B83376"/>
      <c r="C83376"/>
      <c r="E83376"/>
      <c r="F83376"/>
    </row>
    <row r="83377" spans="1:6" x14ac:dyDescent="0.25">
      <c r="A83377"/>
      <c r="B83377"/>
      <c r="C83377"/>
      <c r="E83377"/>
      <c r="F83377"/>
    </row>
    <row r="83378" spans="1:6" x14ac:dyDescent="0.25">
      <c r="A83378"/>
      <c r="B83378"/>
      <c r="C83378"/>
      <c r="E83378"/>
      <c r="F83378"/>
    </row>
    <row r="83379" spans="1:6" x14ac:dyDescent="0.25">
      <c r="A83379"/>
      <c r="B83379"/>
      <c r="C83379"/>
      <c r="E83379"/>
      <c r="F83379"/>
    </row>
    <row r="83380" spans="1:6" x14ac:dyDescent="0.25">
      <c r="A83380"/>
      <c r="B83380"/>
      <c r="C83380"/>
      <c r="E83380"/>
      <c r="F83380"/>
    </row>
    <row r="83381" spans="1:6" x14ac:dyDescent="0.25">
      <c r="A83381"/>
      <c r="B83381"/>
      <c r="C83381"/>
      <c r="E83381"/>
      <c r="F83381"/>
    </row>
    <row r="83382" spans="1:6" x14ac:dyDescent="0.25">
      <c r="A83382"/>
      <c r="B83382"/>
      <c r="C83382"/>
      <c r="E83382"/>
      <c r="F83382"/>
    </row>
    <row r="83383" spans="1:6" x14ac:dyDescent="0.25">
      <c r="A83383"/>
      <c r="B83383"/>
      <c r="C83383"/>
      <c r="E83383"/>
      <c r="F83383"/>
    </row>
    <row r="83384" spans="1:6" x14ac:dyDescent="0.25">
      <c r="A83384"/>
      <c r="B83384"/>
      <c r="C83384"/>
      <c r="E83384"/>
      <c r="F83384"/>
    </row>
    <row r="83385" spans="1:6" x14ac:dyDescent="0.25">
      <c r="A83385"/>
      <c r="B83385"/>
      <c r="C83385"/>
      <c r="E83385"/>
      <c r="F83385"/>
    </row>
    <row r="83386" spans="1:6" x14ac:dyDescent="0.25">
      <c r="A83386"/>
      <c r="B83386"/>
      <c r="C83386"/>
      <c r="E83386"/>
      <c r="F83386"/>
    </row>
    <row r="83387" spans="1:6" x14ac:dyDescent="0.25">
      <c r="A83387"/>
      <c r="B83387"/>
      <c r="C83387"/>
      <c r="E83387"/>
      <c r="F83387"/>
    </row>
    <row r="83388" spans="1:6" x14ac:dyDescent="0.25">
      <c r="A83388"/>
      <c r="B83388"/>
      <c r="C83388"/>
      <c r="E83388"/>
      <c r="F83388"/>
    </row>
    <row r="83389" spans="1:6" x14ac:dyDescent="0.25">
      <c r="A83389"/>
      <c r="B83389"/>
      <c r="C83389"/>
      <c r="E83389"/>
      <c r="F83389"/>
    </row>
    <row r="83390" spans="1:6" x14ac:dyDescent="0.25">
      <c r="A83390"/>
      <c r="B83390"/>
      <c r="C83390"/>
      <c r="E83390"/>
      <c r="F83390"/>
    </row>
    <row r="83391" spans="1:6" x14ac:dyDescent="0.25">
      <c r="A83391"/>
      <c r="B83391"/>
      <c r="C83391"/>
      <c r="E83391"/>
      <c r="F83391"/>
    </row>
    <row r="83392" spans="1:6" x14ac:dyDescent="0.25">
      <c r="A83392"/>
      <c r="B83392"/>
      <c r="C83392"/>
      <c r="E83392"/>
      <c r="F83392"/>
    </row>
    <row r="83393" spans="1:6" x14ac:dyDescent="0.25">
      <c r="A83393"/>
      <c r="B83393"/>
      <c r="C83393"/>
      <c r="E83393"/>
      <c r="F83393"/>
    </row>
    <row r="83394" spans="1:6" x14ac:dyDescent="0.25">
      <c r="A83394"/>
      <c r="B83394"/>
      <c r="C83394"/>
      <c r="E83394"/>
      <c r="F83394"/>
    </row>
    <row r="83395" spans="1:6" x14ac:dyDescent="0.25">
      <c r="A83395"/>
      <c r="B83395"/>
      <c r="C83395"/>
      <c r="E83395"/>
      <c r="F83395"/>
    </row>
    <row r="83396" spans="1:6" x14ac:dyDescent="0.25">
      <c r="A83396"/>
      <c r="B83396"/>
      <c r="C83396"/>
      <c r="E83396"/>
      <c r="F83396"/>
    </row>
    <row r="83397" spans="1:6" x14ac:dyDescent="0.25">
      <c r="A83397"/>
      <c r="B83397"/>
      <c r="C83397"/>
      <c r="E83397"/>
      <c r="F83397"/>
    </row>
    <row r="83398" spans="1:6" x14ac:dyDescent="0.25">
      <c r="A83398"/>
      <c r="B83398"/>
      <c r="C83398"/>
      <c r="E83398"/>
      <c r="F83398"/>
    </row>
    <row r="83399" spans="1:6" x14ac:dyDescent="0.25">
      <c r="A83399"/>
      <c r="B83399"/>
      <c r="C83399"/>
      <c r="E83399"/>
      <c r="F83399"/>
    </row>
    <row r="83400" spans="1:6" x14ac:dyDescent="0.25">
      <c r="A83400"/>
      <c r="B83400"/>
      <c r="C83400"/>
      <c r="E83400"/>
      <c r="F83400"/>
    </row>
    <row r="83401" spans="1:6" x14ac:dyDescent="0.25">
      <c r="A83401"/>
      <c r="B83401"/>
      <c r="C83401"/>
      <c r="E83401"/>
      <c r="F83401"/>
    </row>
    <row r="83402" spans="1:6" x14ac:dyDescent="0.25">
      <c r="A83402"/>
      <c r="B83402"/>
      <c r="C83402"/>
      <c r="E83402"/>
      <c r="F83402"/>
    </row>
    <row r="83403" spans="1:6" x14ac:dyDescent="0.25">
      <c r="A83403"/>
      <c r="B83403"/>
      <c r="C83403"/>
      <c r="E83403"/>
      <c r="F83403"/>
    </row>
    <row r="83404" spans="1:6" x14ac:dyDescent="0.25">
      <c r="A83404"/>
      <c r="B83404"/>
      <c r="C83404"/>
      <c r="E83404"/>
      <c r="F83404"/>
    </row>
    <row r="83405" spans="1:6" x14ac:dyDescent="0.25">
      <c r="A83405"/>
      <c r="B83405"/>
      <c r="C83405"/>
      <c r="E83405"/>
      <c r="F83405"/>
    </row>
    <row r="83406" spans="1:6" x14ac:dyDescent="0.25">
      <c r="A83406"/>
      <c r="B83406"/>
      <c r="C83406"/>
      <c r="E83406"/>
      <c r="F83406"/>
    </row>
    <row r="83407" spans="1:6" x14ac:dyDescent="0.25">
      <c r="A83407"/>
      <c r="B83407"/>
      <c r="C83407"/>
      <c r="E83407"/>
      <c r="F83407"/>
    </row>
    <row r="83408" spans="1:6" x14ac:dyDescent="0.25">
      <c r="A83408"/>
      <c r="B83408"/>
      <c r="C83408"/>
      <c r="E83408"/>
      <c r="F83408"/>
    </row>
    <row r="83409" spans="1:6" x14ac:dyDescent="0.25">
      <c r="A83409"/>
      <c r="B83409"/>
      <c r="C83409"/>
      <c r="E83409"/>
      <c r="F83409"/>
    </row>
    <row r="83410" spans="1:6" x14ac:dyDescent="0.25">
      <c r="A83410"/>
      <c r="B83410"/>
      <c r="C83410"/>
      <c r="E83410"/>
      <c r="F83410"/>
    </row>
    <row r="83411" spans="1:6" x14ac:dyDescent="0.25">
      <c r="A83411"/>
      <c r="B83411"/>
      <c r="C83411"/>
      <c r="E83411"/>
      <c r="F83411"/>
    </row>
    <row r="83412" spans="1:6" x14ac:dyDescent="0.25">
      <c r="A83412"/>
      <c r="B83412"/>
      <c r="C83412"/>
      <c r="E83412"/>
      <c r="F83412"/>
    </row>
    <row r="83413" spans="1:6" x14ac:dyDescent="0.25">
      <c r="A83413"/>
      <c r="B83413"/>
      <c r="C83413"/>
      <c r="E83413"/>
      <c r="F83413"/>
    </row>
    <row r="83414" spans="1:6" x14ac:dyDescent="0.25">
      <c r="A83414"/>
      <c r="B83414"/>
      <c r="C83414"/>
      <c r="E83414"/>
      <c r="F83414"/>
    </row>
    <row r="83415" spans="1:6" x14ac:dyDescent="0.25">
      <c r="A83415"/>
      <c r="B83415"/>
      <c r="C83415"/>
      <c r="E83415"/>
      <c r="F83415"/>
    </row>
    <row r="83416" spans="1:6" x14ac:dyDescent="0.25">
      <c r="A83416"/>
      <c r="B83416"/>
      <c r="C83416"/>
      <c r="E83416"/>
      <c r="F83416"/>
    </row>
    <row r="83417" spans="1:6" x14ac:dyDescent="0.25">
      <c r="A83417"/>
      <c r="B83417"/>
      <c r="C83417"/>
      <c r="E83417"/>
      <c r="F83417"/>
    </row>
    <row r="83418" spans="1:6" x14ac:dyDescent="0.25">
      <c r="A83418"/>
      <c r="B83418"/>
      <c r="C83418"/>
      <c r="E83418"/>
      <c r="F83418"/>
    </row>
    <row r="83419" spans="1:6" x14ac:dyDescent="0.25">
      <c r="A83419"/>
      <c r="B83419"/>
      <c r="C83419"/>
      <c r="E83419"/>
      <c r="F83419"/>
    </row>
    <row r="83420" spans="1:6" x14ac:dyDescent="0.25">
      <c r="A83420"/>
      <c r="B83420"/>
      <c r="C83420"/>
      <c r="E83420"/>
      <c r="F83420"/>
    </row>
    <row r="83421" spans="1:6" x14ac:dyDescent="0.25">
      <c r="A83421"/>
      <c r="B83421"/>
      <c r="C83421"/>
      <c r="E83421"/>
      <c r="F83421"/>
    </row>
    <row r="83422" spans="1:6" x14ac:dyDescent="0.25">
      <c r="A83422"/>
      <c r="B83422"/>
      <c r="C83422"/>
      <c r="E83422"/>
      <c r="F83422"/>
    </row>
    <row r="83423" spans="1:6" x14ac:dyDescent="0.25">
      <c r="A83423"/>
      <c r="B83423"/>
      <c r="C83423"/>
      <c r="E83423"/>
      <c r="F83423"/>
    </row>
    <row r="83424" spans="1:6" x14ac:dyDescent="0.25">
      <c r="A83424"/>
      <c r="B83424"/>
      <c r="C83424"/>
      <c r="E83424"/>
      <c r="F83424"/>
    </row>
    <row r="83425" spans="1:6" x14ac:dyDescent="0.25">
      <c r="A83425"/>
      <c r="B83425"/>
      <c r="C83425"/>
      <c r="E83425"/>
      <c r="F83425"/>
    </row>
    <row r="83426" spans="1:6" x14ac:dyDescent="0.25">
      <c r="A83426"/>
      <c r="B83426"/>
      <c r="C83426"/>
      <c r="E83426"/>
      <c r="F83426"/>
    </row>
    <row r="83427" spans="1:6" x14ac:dyDescent="0.25">
      <c r="A83427"/>
      <c r="B83427"/>
      <c r="C83427"/>
      <c r="E83427"/>
      <c r="F83427"/>
    </row>
    <row r="83428" spans="1:6" x14ac:dyDescent="0.25">
      <c r="A83428"/>
      <c r="B83428"/>
      <c r="C83428"/>
      <c r="E83428"/>
      <c r="F83428"/>
    </row>
    <row r="83429" spans="1:6" x14ac:dyDescent="0.25">
      <c r="A83429"/>
      <c r="B83429"/>
      <c r="C83429"/>
      <c r="E83429"/>
      <c r="F83429"/>
    </row>
    <row r="83430" spans="1:6" x14ac:dyDescent="0.25">
      <c r="A83430"/>
      <c r="B83430"/>
      <c r="C83430"/>
      <c r="E83430"/>
      <c r="F83430"/>
    </row>
    <row r="83431" spans="1:6" x14ac:dyDescent="0.25">
      <c r="A83431"/>
      <c r="B83431"/>
      <c r="C83431"/>
      <c r="E83431"/>
      <c r="F83431"/>
    </row>
    <row r="83432" spans="1:6" x14ac:dyDescent="0.25">
      <c r="A83432"/>
      <c r="B83432"/>
      <c r="C83432"/>
      <c r="E83432"/>
      <c r="F83432"/>
    </row>
    <row r="83433" spans="1:6" x14ac:dyDescent="0.25">
      <c r="A83433"/>
      <c r="B83433"/>
      <c r="C83433"/>
      <c r="E83433"/>
      <c r="F83433"/>
    </row>
    <row r="83434" spans="1:6" x14ac:dyDescent="0.25">
      <c r="A83434"/>
      <c r="B83434"/>
      <c r="C83434"/>
      <c r="E83434"/>
      <c r="F83434"/>
    </row>
    <row r="83435" spans="1:6" x14ac:dyDescent="0.25">
      <c r="A83435"/>
      <c r="B83435"/>
      <c r="C83435"/>
      <c r="E83435"/>
      <c r="F83435"/>
    </row>
    <row r="83436" spans="1:6" x14ac:dyDescent="0.25">
      <c r="A83436"/>
      <c r="B83436"/>
      <c r="C83436"/>
      <c r="E83436"/>
      <c r="F83436"/>
    </row>
    <row r="83437" spans="1:6" x14ac:dyDescent="0.25">
      <c r="A83437"/>
      <c r="B83437"/>
      <c r="C83437"/>
      <c r="E83437"/>
      <c r="F83437"/>
    </row>
    <row r="83438" spans="1:6" x14ac:dyDescent="0.25">
      <c r="A83438"/>
      <c r="B83438"/>
      <c r="C83438"/>
      <c r="E83438"/>
      <c r="F83438"/>
    </row>
    <row r="83439" spans="1:6" x14ac:dyDescent="0.25">
      <c r="A83439"/>
      <c r="B83439"/>
      <c r="C83439"/>
      <c r="E83439"/>
      <c r="F83439"/>
    </row>
    <row r="83440" spans="1:6" x14ac:dyDescent="0.25">
      <c r="A83440"/>
      <c r="B83440"/>
      <c r="C83440"/>
      <c r="E83440"/>
      <c r="F83440"/>
    </row>
    <row r="83441" spans="1:6" x14ac:dyDescent="0.25">
      <c r="A83441"/>
      <c r="B83441"/>
      <c r="C83441"/>
      <c r="E83441"/>
      <c r="F83441"/>
    </row>
    <row r="83442" spans="1:6" x14ac:dyDescent="0.25">
      <c r="A83442"/>
      <c r="B83442"/>
      <c r="C83442"/>
      <c r="E83442"/>
      <c r="F83442"/>
    </row>
    <row r="83443" spans="1:6" x14ac:dyDescent="0.25">
      <c r="A83443"/>
      <c r="B83443"/>
      <c r="C83443"/>
      <c r="E83443"/>
      <c r="F83443"/>
    </row>
    <row r="83444" spans="1:6" x14ac:dyDescent="0.25">
      <c r="A83444"/>
      <c r="B83444"/>
      <c r="C83444"/>
      <c r="E83444"/>
      <c r="F83444"/>
    </row>
    <row r="83445" spans="1:6" x14ac:dyDescent="0.25">
      <c r="A83445"/>
      <c r="B83445"/>
      <c r="C83445"/>
      <c r="E83445"/>
      <c r="F83445"/>
    </row>
    <row r="83446" spans="1:6" x14ac:dyDescent="0.25">
      <c r="A83446"/>
      <c r="B83446"/>
      <c r="C83446"/>
      <c r="E83446"/>
      <c r="F83446"/>
    </row>
    <row r="83447" spans="1:6" x14ac:dyDescent="0.25">
      <c r="A83447"/>
      <c r="B83447"/>
      <c r="C83447"/>
      <c r="E83447"/>
      <c r="F83447"/>
    </row>
    <row r="83448" spans="1:6" x14ac:dyDescent="0.25">
      <c r="A83448"/>
      <c r="B83448"/>
      <c r="C83448"/>
      <c r="E83448"/>
      <c r="F83448"/>
    </row>
    <row r="83449" spans="1:6" x14ac:dyDescent="0.25">
      <c r="A83449"/>
      <c r="B83449"/>
      <c r="C83449"/>
      <c r="E83449"/>
      <c r="F83449"/>
    </row>
    <row r="83450" spans="1:6" x14ac:dyDescent="0.25">
      <c r="A83450"/>
      <c r="B83450"/>
      <c r="C83450"/>
      <c r="E83450"/>
      <c r="F83450"/>
    </row>
    <row r="83451" spans="1:6" x14ac:dyDescent="0.25">
      <c r="A83451"/>
      <c r="B83451"/>
      <c r="C83451"/>
      <c r="E83451"/>
      <c r="F83451"/>
    </row>
    <row r="83452" spans="1:6" x14ac:dyDescent="0.25">
      <c r="A83452"/>
      <c r="B83452"/>
      <c r="C83452"/>
      <c r="E83452"/>
      <c r="F83452"/>
    </row>
    <row r="83453" spans="1:6" x14ac:dyDescent="0.25">
      <c r="A83453"/>
      <c r="B83453"/>
      <c r="C83453"/>
      <c r="E83453"/>
      <c r="F83453"/>
    </row>
    <row r="83454" spans="1:6" x14ac:dyDescent="0.25">
      <c r="A83454"/>
      <c r="B83454"/>
      <c r="C83454"/>
      <c r="E83454"/>
      <c r="F83454"/>
    </row>
    <row r="83455" spans="1:6" x14ac:dyDescent="0.25">
      <c r="A83455"/>
      <c r="B83455"/>
      <c r="C83455"/>
      <c r="E83455"/>
      <c r="F83455"/>
    </row>
    <row r="83456" spans="1:6" x14ac:dyDescent="0.25">
      <c r="A83456"/>
      <c r="B83456"/>
      <c r="C83456"/>
      <c r="E83456"/>
      <c r="F83456"/>
    </row>
    <row r="83457" spans="1:6" x14ac:dyDescent="0.25">
      <c r="A83457"/>
      <c r="B83457"/>
      <c r="C83457"/>
      <c r="E83457"/>
      <c r="F83457"/>
    </row>
    <row r="83458" spans="1:6" x14ac:dyDescent="0.25">
      <c r="A83458"/>
      <c r="B83458"/>
      <c r="C83458"/>
      <c r="E83458"/>
      <c r="F83458"/>
    </row>
    <row r="83459" spans="1:6" x14ac:dyDescent="0.25">
      <c r="A83459"/>
      <c r="B83459"/>
      <c r="C83459"/>
      <c r="E83459"/>
      <c r="F83459"/>
    </row>
    <row r="83460" spans="1:6" x14ac:dyDescent="0.25">
      <c r="A83460"/>
      <c r="B83460"/>
      <c r="C83460"/>
      <c r="E83460"/>
      <c r="F83460"/>
    </row>
    <row r="83461" spans="1:6" x14ac:dyDescent="0.25">
      <c r="A83461"/>
      <c r="B83461"/>
      <c r="C83461"/>
      <c r="E83461"/>
      <c r="F83461"/>
    </row>
    <row r="83462" spans="1:6" x14ac:dyDescent="0.25">
      <c r="A83462"/>
      <c r="B83462"/>
      <c r="C83462"/>
      <c r="E83462"/>
      <c r="F83462"/>
    </row>
    <row r="83463" spans="1:6" x14ac:dyDescent="0.25">
      <c r="A83463"/>
      <c r="B83463"/>
      <c r="C83463"/>
      <c r="E83463"/>
      <c r="F83463"/>
    </row>
    <row r="83464" spans="1:6" x14ac:dyDescent="0.25">
      <c r="A83464"/>
      <c r="B83464"/>
      <c r="C83464"/>
      <c r="E83464"/>
      <c r="F83464"/>
    </row>
    <row r="83465" spans="1:6" x14ac:dyDescent="0.25">
      <c r="A83465"/>
      <c r="B83465"/>
      <c r="C83465"/>
      <c r="E83465"/>
      <c r="F83465"/>
    </row>
    <row r="83466" spans="1:6" x14ac:dyDescent="0.25">
      <c r="A83466"/>
      <c r="B83466"/>
      <c r="C83466"/>
      <c r="E83466"/>
      <c r="F83466"/>
    </row>
    <row r="83467" spans="1:6" x14ac:dyDescent="0.25">
      <c r="A83467"/>
      <c r="B83467"/>
      <c r="C83467"/>
      <c r="E83467"/>
      <c r="F83467"/>
    </row>
    <row r="83468" spans="1:6" x14ac:dyDescent="0.25">
      <c r="A83468"/>
      <c r="B83468"/>
      <c r="C83468"/>
      <c r="E83468"/>
      <c r="F83468"/>
    </row>
    <row r="83469" spans="1:6" x14ac:dyDescent="0.25">
      <c r="A83469"/>
      <c r="B83469"/>
      <c r="C83469"/>
      <c r="E83469"/>
      <c r="F83469"/>
    </row>
    <row r="83470" spans="1:6" x14ac:dyDescent="0.25">
      <c r="A83470"/>
      <c r="B83470"/>
      <c r="C83470"/>
      <c r="E83470"/>
      <c r="F83470"/>
    </row>
    <row r="83471" spans="1:6" x14ac:dyDescent="0.25">
      <c r="A83471"/>
      <c r="B83471"/>
      <c r="C83471"/>
      <c r="E83471"/>
      <c r="F83471"/>
    </row>
    <row r="83472" spans="1:6" x14ac:dyDescent="0.25">
      <c r="A83472"/>
      <c r="B83472"/>
      <c r="C83472"/>
      <c r="E83472"/>
      <c r="F83472"/>
    </row>
    <row r="83473" spans="1:6" x14ac:dyDescent="0.25">
      <c r="A83473"/>
      <c r="B83473"/>
      <c r="C83473"/>
      <c r="E83473"/>
      <c r="F83473"/>
    </row>
    <row r="83474" spans="1:6" x14ac:dyDescent="0.25">
      <c r="A83474"/>
      <c r="B83474"/>
      <c r="C83474"/>
      <c r="E83474"/>
      <c r="F83474"/>
    </row>
    <row r="83475" spans="1:6" x14ac:dyDescent="0.25">
      <c r="A83475"/>
      <c r="B83475"/>
      <c r="C83475"/>
      <c r="E83475"/>
      <c r="F83475"/>
    </row>
    <row r="83476" spans="1:6" x14ac:dyDescent="0.25">
      <c r="A83476"/>
      <c r="B83476"/>
      <c r="C83476"/>
      <c r="E83476"/>
      <c r="F83476"/>
    </row>
    <row r="83477" spans="1:6" x14ac:dyDescent="0.25">
      <c r="A83477"/>
      <c r="B83477"/>
      <c r="C83477"/>
      <c r="E83477"/>
      <c r="F83477"/>
    </row>
    <row r="83478" spans="1:6" x14ac:dyDescent="0.25">
      <c r="A83478"/>
      <c r="B83478"/>
      <c r="C83478"/>
      <c r="E83478"/>
      <c r="F83478"/>
    </row>
    <row r="83479" spans="1:6" x14ac:dyDescent="0.25">
      <c r="A83479"/>
      <c r="B83479"/>
      <c r="C83479"/>
      <c r="E83479"/>
      <c r="F83479"/>
    </row>
    <row r="83480" spans="1:6" x14ac:dyDescent="0.25">
      <c r="A83480"/>
      <c r="B83480"/>
      <c r="C83480"/>
      <c r="E83480"/>
      <c r="F83480"/>
    </row>
    <row r="83481" spans="1:6" x14ac:dyDescent="0.25">
      <c r="A83481"/>
      <c r="B83481"/>
      <c r="C83481"/>
      <c r="E83481"/>
      <c r="F83481"/>
    </row>
    <row r="83482" spans="1:6" x14ac:dyDescent="0.25">
      <c r="A83482"/>
      <c r="B83482"/>
      <c r="C83482"/>
      <c r="E83482"/>
      <c r="F83482"/>
    </row>
    <row r="83483" spans="1:6" x14ac:dyDescent="0.25">
      <c r="A83483"/>
      <c r="B83483"/>
      <c r="C83483"/>
      <c r="E83483"/>
      <c r="F83483"/>
    </row>
    <row r="83484" spans="1:6" x14ac:dyDescent="0.25">
      <c r="A83484"/>
      <c r="B83484"/>
      <c r="C83484"/>
      <c r="E83484"/>
      <c r="F83484"/>
    </row>
    <row r="83485" spans="1:6" x14ac:dyDescent="0.25">
      <c r="A83485"/>
      <c r="B83485"/>
      <c r="C83485"/>
      <c r="E83485"/>
      <c r="F83485"/>
    </row>
    <row r="83486" spans="1:6" x14ac:dyDescent="0.25">
      <c r="A83486"/>
      <c r="B83486"/>
      <c r="C83486"/>
      <c r="E83486"/>
      <c r="F83486"/>
    </row>
    <row r="83487" spans="1:6" x14ac:dyDescent="0.25">
      <c r="A83487"/>
      <c r="B83487"/>
      <c r="C83487"/>
      <c r="E83487"/>
      <c r="F83487"/>
    </row>
    <row r="83488" spans="1:6" x14ac:dyDescent="0.25">
      <c r="A83488"/>
      <c r="B83488"/>
      <c r="C83488"/>
      <c r="E83488"/>
      <c r="F83488"/>
    </row>
    <row r="83489" spans="1:6" x14ac:dyDescent="0.25">
      <c r="A83489"/>
      <c r="B83489"/>
      <c r="C83489"/>
      <c r="E83489"/>
      <c r="F83489"/>
    </row>
    <row r="83490" spans="1:6" x14ac:dyDescent="0.25">
      <c r="A83490"/>
      <c r="B83490"/>
      <c r="C83490"/>
      <c r="E83490"/>
      <c r="F83490"/>
    </row>
    <row r="83491" spans="1:6" x14ac:dyDescent="0.25">
      <c r="A83491"/>
      <c r="B83491"/>
      <c r="C83491"/>
      <c r="E83491"/>
      <c r="F83491"/>
    </row>
    <row r="83492" spans="1:6" x14ac:dyDescent="0.25">
      <c r="A83492"/>
      <c r="B83492"/>
      <c r="C83492"/>
      <c r="E83492"/>
      <c r="F83492"/>
    </row>
    <row r="83493" spans="1:6" x14ac:dyDescent="0.25">
      <c r="A83493"/>
      <c r="B83493"/>
      <c r="C83493"/>
      <c r="E83493"/>
      <c r="F83493"/>
    </row>
    <row r="83494" spans="1:6" x14ac:dyDescent="0.25">
      <c r="A83494"/>
      <c r="B83494"/>
      <c r="C83494"/>
      <c r="E83494"/>
      <c r="F83494"/>
    </row>
    <row r="83495" spans="1:6" x14ac:dyDescent="0.25">
      <c r="A83495"/>
      <c r="B83495"/>
      <c r="C83495"/>
      <c r="E83495"/>
      <c r="F83495"/>
    </row>
    <row r="83496" spans="1:6" x14ac:dyDescent="0.25">
      <c r="A83496"/>
      <c r="B83496"/>
      <c r="C83496"/>
      <c r="E83496"/>
      <c r="F83496"/>
    </row>
    <row r="83497" spans="1:6" x14ac:dyDescent="0.25">
      <c r="A83497"/>
      <c r="B83497"/>
      <c r="C83497"/>
      <c r="E83497"/>
      <c r="F83497"/>
    </row>
    <row r="83498" spans="1:6" x14ac:dyDescent="0.25">
      <c r="A83498"/>
      <c r="B83498"/>
      <c r="C83498"/>
      <c r="E83498"/>
      <c r="F83498"/>
    </row>
    <row r="83499" spans="1:6" x14ac:dyDescent="0.25">
      <c r="A83499"/>
      <c r="B83499"/>
      <c r="C83499"/>
      <c r="E83499"/>
      <c r="F83499"/>
    </row>
    <row r="83500" spans="1:6" x14ac:dyDescent="0.25">
      <c r="A83500"/>
      <c r="B83500"/>
      <c r="C83500"/>
      <c r="E83500"/>
      <c r="F83500"/>
    </row>
    <row r="83501" spans="1:6" x14ac:dyDescent="0.25">
      <c r="A83501"/>
      <c r="B83501"/>
      <c r="C83501"/>
      <c r="E83501"/>
      <c r="F83501"/>
    </row>
    <row r="83502" spans="1:6" x14ac:dyDescent="0.25">
      <c r="A83502"/>
      <c r="B83502"/>
      <c r="C83502"/>
      <c r="E83502"/>
      <c r="F83502"/>
    </row>
    <row r="83503" spans="1:6" x14ac:dyDescent="0.25">
      <c r="A83503"/>
      <c r="B83503"/>
      <c r="C83503"/>
      <c r="E83503"/>
      <c r="F83503"/>
    </row>
    <row r="83504" spans="1:6" x14ac:dyDescent="0.25">
      <c r="A83504"/>
      <c r="B83504"/>
      <c r="C83504"/>
      <c r="E83504"/>
      <c r="F83504"/>
    </row>
    <row r="83505" spans="1:6" x14ac:dyDescent="0.25">
      <c r="A83505"/>
      <c r="B83505"/>
      <c r="C83505"/>
      <c r="E83505"/>
      <c r="F83505"/>
    </row>
    <row r="83506" spans="1:6" x14ac:dyDescent="0.25">
      <c r="A83506"/>
      <c r="B83506"/>
      <c r="C83506"/>
      <c r="E83506"/>
      <c r="F83506"/>
    </row>
    <row r="83507" spans="1:6" x14ac:dyDescent="0.25">
      <c r="A83507"/>
      <c r="B83507"/>
      <c r="C83507"/>
      <c r="E83507"/>
      <c r="F83507"/>
    </row>
    <row r="83508" spans="1:6" x14ac:dyDescent="0.25">
      <c r="A83508"/>
      <c r="B83508"/>
      <c r="C83508"/>
      <c r="E83508"/>
      <c r="F83508"/>
    </row>
    <row r="83509" spans="1:6" x14ac:dyDescent="0.25">
      <c r="A83509"/>
      <c r="B83509"/>
      <c r="C83509"/>
      <c r="E83509"/>
      <c r="F83509"/>
    </row>
    <row r="83510" spans="1:6" x14ac:dyDescent="0.25">
      <c r="A83510"/>
      <c r="B83510"/>
      <c r="C83510"/>
      <c r="E83510"/>
      <c r="F83510"/>
    </row>
    <row r="83511" spans="1:6" x14ac:dyDescent="0.25">
      <c r="A83511"/>
      <c r="B83511"/>
      <c r="C83511"/>
      <c r="E83511"/>
      <c r="F83511"/>
    </row>
    <row r="83512" spans="1:6" x14ac:dyDescent="0.25">
      <c r="A83512"/>
      <c r="B83512"/>
      <c r="C83512"/>
      <c r="E83512"/>
      <c r="F83512"/>
    </row>
    <row r="83513" spans="1:6" x14ac:dyDescent="0.25">
      <c r="A83513"/>
      <c r="B83513"/>
      <c r="C83513"/>
      <c r="E83513"/>
      <c r="F83513"/>
    </row>
    <row r="83514" spans="1:6" x14ac:dyDescent="0.25">
      <c r="A83514"/>
      <c r="B83514"/>
      <c r="C83514"/>
      <c r="E83514"/>
      <c r="F83514"/>
    </row>
    <row r="83515" spans="1:6" x14ac:dyDescent="0.25">
      <c r="A83515"/>
      <c r="B83515"/>
      <c r="C83515"/>
      <c r="E83515"/>
      <c r="F83515"/>
    </row>
    <row r="83516" spans="1:6" x14ac:dyDescent="0.25">
      <c r="A83516"/>
      <c r="B83516"/>
      <c r="C83516"/>
      <c r="E83516"/>
      <c r="F83516"/>
    </row>
    <row r="83517" spans="1:6" x14ac:dyDescent="0.25">
      <c r="A83517"/>
      <c r="B83517"/>
      <c r="C83517"/>
      <c r="E83517"/>
      <c r="F83517"/>
    </row>
    <row r="83518" spans="1:6" x14ac:dyDescent="0.25">
      <c r="A83518"/>
      <c r="B83518"/>
      <c r="C83518"/>
      <c r="E83518"/>
      <c r="F83518"/>
    </row>
    <row r="83519" spans="1:6" x14ac:dyDescent="0.25">
      <c r="A83519"/>
      <c r="B83519"/>
      <c r="C83519"/>
      <c r="E83519"/>
      <c r="F83519"/>
    </row>
    <row r="83520" spans="1:6" x14ac:dyDescent="0.25">
      <c r="A83520"/>
      <c r="B83520"/>
      <c r="C83520"/>
      <c r="E83520"/>
      <c r="F83520"/>
    </row>
    <row r="83521" spans="1:6" x14ac:dyDescent="0.25">
      <c r="A83521"/>
      <c r="B83521"/>
      <c r="C83521"/>
      <c r="E83521"/>
      <c r="F83521"/>
    </row>
    <row r="83522" spans="1:6" x14ac:dyDescent="0.25">
      <c r="A83522"/>
      <c r="B83522"/>
      <c r="C83522"/>
      <c r="E83522"/>
      <c r="F83522"/>
    </row>
    <row r="83523" spans="1:6" x14ac:dyDescent="0.25">
      <c r="A83523"/>
      <c r="B83523"/>
      <c r="C83523"/>
      <c r="E83523"/>
      <c r="F83523"/>
    </row>
    <row r="83524" spans="1:6" x14ac:dyDescent="0.25">
      <c r="A83524"/>
      <c r="B83524"/>
      <c r="C83524"/>
      <c r="E83524"/>
      <c r="F83524"/>
    </row>
    <row r="83525" spans="1:6" x14ac:dyDescent="0.25">
      <c r="A83525"/>
      <c r="B83525"/>
      <c r="C83525"/>
      <c r="E83525"/>
      <c r="F83525"/>
    </row>
    <row r="83526" spans="1:6" x14ac:dyDescent="0.25">
      <c r="A83526"/>
      <c r="B83526"/>
      <c r="C83526"/>
      <c r="E83526"/>
      <c r="F83526"/>
    </row>
    <row r="83527" spans="1:6" x14ac:dyDescent="0.25">
      <c r="A83527"/>
      <c r="B83527"/>
      <c r="C83527"/>
      <c r="E83527"/>
      <c r="F83527"/>
    </row>
    <row r="83528" spans="1:6" x14ac:dyDescent="0.25">
      <c r="A83528"/>
      <c r="B83528"/>
      <c r="C83528"/>
      <c r="E83528"/>
      <c r="F83528"/>
    </row>
    <row r="83529" spans="1:6" x14ac:dyDescent="0.25">
      <c r="A83529"/>
      <c r="B83529"/>
      <c r="C83529"/>
      <c r="E83529"/>
      <c r="F83529"/>
    </row>
    <row r="83530" spans="1:6" x14ac:dyDescent="0.25">
      <c r="A83530"/>
      <c r="B83530"/>
      <c r="C83530"/>
      <c r="E83530"/>
      <c r="F83530"/>
    </row>
    <row r="83531" spans="1:6" x14ac:dyDescent="0.25">
      <c r="A83531"/>
      <c r="B83531"/>
      <c r="C83531"/>
      <c r="E83531"/>
      <c r="F83531"/>
    </row>
    <row r="83532" spans="1:6" x14ac:dyDescent="0.25">
      <c r="A83532"/>
      <c r="B83532"/>
      <c r="C83532"/>
      <c r="E83532"/>
      <c r="F83532"/>
    </row>
    <row r="83533" spans="1:6" x14ac:dyDescent="0.25">
      <c r="A83533"/>
      <c r="B83533"/>
      <c r="C83533"/>
      <c r="E83533"/>
      <c r="F83533"/>
    </row>
    <row r="83534" spans="1:6" x14ac:dyDescent="0.25">
      <c r="A83534"/>
      <c r="B83534"/>
      <c r="C83534"/>
      <c r="E83534"/>
      <c r="F83534"/>
    </row>
    <row r="83535" spans="1:6" x14ac:dyDescent="0.25">
      <c r="A83535"/>
      <c r="B83535"/>
      <c r="C83535"/>
      <c r="E83535"/>
      <c r="F83535"/>
    </row>
    <row r="83536" spans="1:6" x14ac:dyDescent="0.25">
      <c r="A83536"/>
      <c r="B83536"/>
      <c r="C83536"/>
      <c r="E83536"/>
      <c r="F83536"/>
    </row>
    <row r="83537" spans="1:6" x14ac:dyDescent="0.25">
      <c r="A83537"/>
      <c r="B83537"/>
      <c r="C83537"/>
      <c r="E83537"/>
      <c r="F83537"/>
    </row>
    <row r="83538" spans="1:6" x14ac:dyDescent="0.25">
      <c r="A83538"/>
      <c r="B83538"/>
      <c r="C83538"/>
      <c r="E83538"/>
      <c r="F83538"/>
    </row>
    <row r="83539" spans="1:6" x14ac:dyDescent="0.25">
      <c r="A83539"/>
      <c r="B83539"/>
      <c r="C83539"/>
      <c r="E83539"/>
      <c r="F83539"/>
    </row>
    <row r="83540" spans="1:6" x14ac:dyDescent="0.25">
      <c r="A83540"/>
      <c r="B83540"/>
      <c r="C83540"/>
      <c r="E83540"/>
      <c r="F83540"/>
    </row>
    <row r="83541" spans="1:6" x14ac:dyDescent="0.25">
      <c r="A83541"/>
      <c r="B83541"/>
      <c r="C83541"/>
      <c r="E83541"/>
      <c r="F83541"/>
    </row>
    <row r="83542" spans="1:6" x14ac:dyDescent="0.25">
      <c r="A83542"/>
      <c r="B83542"/>
      <c r="C83542"/>
      <c r="E83542"/>
      <c r="F83542"/>
    </row>
    <row r="83543" spans="1:6" x14ac:dyDescent="0.25">
      <c r="A83543"/>
      <c r="B83543"/>
      <c r="C83543"/>
      <c r="E83543"/>
      <c r="F83543"/>
    </row>
    <row r="83544" spans="1:6" x14ac:dyDescent="0.25">
      <c r="A83544"/>
      <c r="B83544"/>
      <c r="C83544"/>
      <c r="E83544"/>
      <c r="F83544"/>
    </row>
    <row r="83545" spans="1:6" x14ac:dyDescent="0.25">
      <c r="A83545"/>
      <c r="B83545"/>
      <c r="C83545"/>
      <c r="E83545"/>
      <c r="F83545"/>
    </row>
    <row r="83546" spans="1:6" x14ac:dyDescent="0.25">
      <c r="A83546"/>
      <c r="B83546"/>
      <c r="C83546"/>
      <c r="E83546"/>
      <c r="F83546"/>
    </row>
    <row r="83547" spans="1:6" x14ac:dyDescent="0.25">
      <c r="A83547"/>
      <c r="B83547"/>
      <c r="C83547"/>
      <c r="E83547"/>
      <c r="F83547"/>
    </row>
    <row r="83548" spans="1:6" x14ac:dyDescent="0.25">
      <c r="A83548"/>
      <c r="B83548"/>
      <c r="C83548"/>
      <c r="E83548"/>
      <c r="F83548"/>
    </row>
    <row r="83549" spans="1:6" x14ac:dyDescent="0.25">
      <c r="A83549"/>
      <c r="B83549"/>
      <c r="C83549"/>
      <c r="E83549"/>
      <c r="F83549"/>
    </row>
    <row r="83550" spans="1:6" x14ac:dyDescent="0.25">
      <c r="A83550"/>
      <c r="B83550"/>
      <c r="C83550"/>
      <c r="E83550"/>
      <c r="F83550"/>
    </row>
    <row r="83551" spans="1:6" x14ac:dyDescent="0.25">
      <c r="A83551"/>
      <c r="B83551"/>
      <c r="C83551"/>
      <c r="E83551"/>
      <c r="F83551"/>
    </row>
    <row r="83552" spans="1:6" x14ac:dyDescent="0.25">
      <c r="A83552"/>
      <c r="B83552"/>
      <c r="C83552"/>
      <c r="E83552"/>
      <c r="F83552"/>
    </row>
    <row r="83553" spans="1:6" x14ac:dyDescent="0.25">
      <c r="A83553"/>
      <c r="B83553"/>
      <c r="C83553"/>
      <c r="E83553"/>
      <c r="F83553"/>
    </row>
    <row r="83554" spans="1:6" x14ac:dyDescent="0.25">
      <c r="A83554"/>
      <c r="B83554"/>
      <c r="C83554"/>
      <c r="E83554"/>
      <c r="F83554"/>
    </row>
    <row r="83555" spans="1:6" x14ac:dyDescent="0.25">
      <c r="A83555"/>
      <c r="B83555"/>
      <c r="C83555"/>
      <c r="E83555"/>
      <c r="F83555"/>
    </row>
    <row r="83556" spans="1:6" x14ac:dyDescent="0.25">
      <c r="A83556"/>
      <c r="B83556"/>
      <c r="C83556"/>
      <c r="E83556"/>
      <c r="F83556"/>
    </row>
    <row r="83557" spans="1:6" x14ac:dyDescent="0.25">
      <c r="A83557"/>
      <c r="B83557"/>
      <c r="C83557"/>
      <c r="E83557"/>
      <c r="F83557"/>
    </row>
    <row r="83558" spans="1:6" x14ac:dyDescent="0.25">
      <c r="A83558"/>
      <c r="B83558"/>
      <c r="C83558"/>
      <c r="E83558"/>
      <c r="F83558"/>
    </row>
    <row r="83559" spans="1:6" x14ac:dyDescent="0.25">
      <c r="A83559"/>
      <c r="B83559"/>
      <c r="C83559"/>
      <c r="E83559"/>
      <c r="F83559"/>
    </row>
    <row r="83560" spans="1:6" x14ac:dyDescent="0.25">
      <c r="A83560"/>
      <c r="B83560"/>
      <c r="C83560"/>
      <c r="E83560"/>
      <c r="F83560"/>
    </row>
    <row r="83561" spans="1:6" x14ac:dyDescent="0.25">
      <c r="A83561"/>
      <c r="B83561"/>
      <c r="C83561"/>
      <c r="E83561"/>
      <c r="F83561"/>
    </row>
    <row r="83562" spans="1:6" x14ac:dyDescent="0.25">
      <c r="A83562"/>
      <c r="B83562"/>
      <c r="C83562"/>
      <c r="E83562"/>
      <c r="F83562"/>
    </row>
    <row r="83563" spans="1:6" x14ac:dyDescent="0.25">
      <c r="A83563"/>
      <c r="B83563"/>
      <c r="C83563"/>
      <c r="E83563"/>
      <c r="F83563"/>
    </row>
    <row r="83564" spans="1:6" x14ac:dyDescent="0.25">
      <c r="A83564"/>
      <c r="B83564"/>
      <c r="C83564"/>
      <c r="E83564"/>
      <c r="F83564"/>
    </row>
    <row r="83565" spans="1:6" x14ac:dyDescent="0.25">
      <c r="A83565"/>
      <c r="B83565"/>
      <c r="C83565"/>
      <c r="E83565"/>
      <c r="F83565"/>
    </row>
    <row r="83566" spans="1:6" x14ac:dyDescent="0.25">
      <c r="A83566"/>
      <c r="B83566"/>
      <c r="C83566"/>
      <c r="E83566"/>
      <c r="F83566"/>
    </row>
    <row r="83567" spans="1:6" x14ac:dyDescent="0.25">
      <c r="A83567"/>
      <c r="B83567"/>
      <c r="C83567"/>
      <c r="E83567"/>
      <c r="F83567"/>
    </row>
    <row r="83568" spans="1:6" x14ac:dyDescent="0.25">
      <c r="A83568"/>
      <c r="B83568"/>
      <c r="C83568"/>
      <c r="E83568"/>
      <c r="F83568"/>
    </row>
    <row r="83569" spans="1:6" x14ac:dyDescent="0.25">
      <c r="A83569"/>
      <c r="B83569"/>
      <c r="C83569"/>
      <c r="E83569"/>
      <c r="F83569"/>
    </row>
    <row r="83570" spans="1:6" x14ac:dyDescent="0.25">
      <c r="A83570"/>
      <c r="B83570"/>
      <c r="C83570"/>
      <c r="E83570"/>
      <c r="F83570"/>
    </row>
    <row r="83571" spans="1:6" x14ac:dyDescent="0.25">
      <c r="A83571"/>
      <c r="B83571"/>
      <c r="C83571"/>
      <c r="E83571"/>
      <c r="F83571"/>
    </row>
    <row r="83572" spans="1:6" x14ac:dyDescent="0.25">
      <c r="A83572"/>
      <c r="B83572"/>
      <c r="C83572"/>
      <c r="E83572"/>
      <c r="F83572"/>
    </row>
    <row r="83573" spans="1:6" x14ac:dyDescent="0.25">
      <c r="A83573"/>
      <c r="B83573"/>
      <c r="C83573"/>
      <c r="E83573"/>
      <c r="F83573"/>
    </row>
    <row r="83574" spans="1:6" x14ac:dyDescent="0.25">
      <c r="A83574"/>
      <c r="B83574"/>
      <c r="C83574"/>
      <c r="E83574"/>
      <c r="F83574"/>
    </row>
    <row r="83575" spans="1:6" x14ac:dyDescent="0.25">
      <c r="A83575"/>
      <c r="B83575"/>
      <c r="C83575"/>
      <c r="E83575"/>
      <c r="F83575"/>
    </row>
    <row r="83576" spans="1:6" x14ac:dyDescent="0.25">
      <c r="A83576"/>
      <c r="B83576"/>
      <c r="C83576"/>
      <c r="E83576"/>
      <c r="F83576"/>
    </row>
    <row r="83577" spans="1:6" x14ac:dyDescent="0.25">
      <c r="A83577"/>
      <c r="B83577"/>
      <c r="C83577"/>
      <c r="E83577"/>
      <c r="F83577"/>
    </row>
    <row r="83578" spans="1:6" x14ac:dyDescent="0.25">
      <c r="A83578"/>
      <c r="B83578"/>
      <c r="C83578"/>
      <c r="E83578"/>
      <c r="F83578"/>
    </row>
    <row r="83579" spans="1:6" x14ac:dyDescent="0.25">
      <c r="A83579"/>
      <c r="B83579"/>
      <c r="C83579"/>
      <c r="E83579"/>
      <c r="F83579"/>
    </row>
    <row r="83580" spans="1:6" x14ac:dyDescent="0.25">
      <c r="A83580"/>
      <c r="B83580"/>
      <c r="C83580"/>
      <c r="E83580"/>
      <c r="F83580"/>
    </row>
    <row r="83581" spans="1:6" x14ac:dyDescent="0.25">
      <c r="A83581"/>
      <c r="B83581"/>
      <c r="C83581"/>
      <c r="E83581"/>
      <c r="F83581"/>
    </row>
    <row r="83582" spans="1:6" x14ac:dyDescent="0.25">
      <c r="A83582"/>
      <c r="B83582"/>
      <c r="C83582"/>
      <c r="E83582"/>
      <c r="F83582"/>
    </row>
    <row r="83583" spans="1:6" x14ac:dyDescent="0.25">
      <c r="A83583"/>
      <c r="B83583"/>
      <c r="C83583"/>
      <c r="E83583"/>
      <c r="F83583"/>
    </row>
    <row r="83584" spans="1:6" x14ac:dyDescent="0.25">
      <c r="A83584"/>
      <c r="B83584"/>
      <c r="C83584"/>
      <c r="E83584"/>
      <c r="F83584"/>
    </row>
    <row r="83585" spans="1:6" x14ac:dyDescent="0.25">
      <c r="A83585"/>
      <c r="B83585"/>
      <c r="C83585"/>
      <c r="E83585"/>
      <c r="F83585"/>
    </row>
    <row r="83586" spans="1:6" x14ac:dyDescent="0.25">
      <c r="A83586"/>
      <c r="B83586"/>
      <c r="C83586"/>
      <c r="E83586"/>
      <c r="F83586"/>
    </row>
    <row r="83587" spans="1:6" x14ac:dyDescent="0.25">
      <c r="A83587"/>
      <c r="B83587"/>
      <c r="C83587"/>
      <c r="E83587"/>
      <c r="F83587"/>
    </row>
    <row r="83588" spans="1:6" x14ac:dyDescent="0.25">
      <c r="A83588"/>
      <c r="B83588"/>
      <c r="C83588"/>
      <c r="E83588"/>
      <c r="F83588"/>
    </row>
    <row r="83589" spans="1:6" x14ac:dyDescent="0.25">
      <c r="A83589"/>
      <c r="B83589"/>
      <c r="C83589"/>
      <c r="E83589"/>
      <c r="F83589"/>
    </row>
    <row r="83590" spans="1:6" x14ac:dyDescent="0.25">
      <c r="A83590"/>
      <c r="B83590"/>
      <c r="C83590"/>
      <c r="E83590"/>
      <c r="F83590"/>
    </row>
    <row r="83591" spans="1:6" x14ac:dyDescent="0.25">
      <c r="A83591"/>
      <c r="B83591"/>
      <c r="C83591"/>
      <c r="E83591"/>
      <c r="F83591"/>
    </row>
    <row r="83592" spans="1:6" x14ac:dyDescent="0.25">
      <c r="A83592"/>
      <c r="B83592"/>
      <c r="C83592"/>
      <c r="E83592"/>
      <c r="F83592"/>
    </row>
    <row r="83593" spans="1:6" x14ac:dyDescent="0.25">
      <c r="A83593"/>
      <c r="B83593"/>
      <c r="C83593"/>
      <c r="E83593"/>
      <c r="F83593"/>
    </row>
    <row r="83594" spans="1:6" x14ac:dyDescent="0.25">
      <c r="A83594"/>
      <c r="B83594"/>
      <c r="C83594"/>
      <c r="E83594"/>
      <c r="F83594"/>
    </row>
    <row r="83595" spans="1:6" x14ac:dyDescent="0.25">
      <c r="A83595"/>
      <c r="B83595"/>
      <c r="C83595"/>
      <c r="E83595"/>
      <c r="F83595"/>
    </row>
    <row r="83596" spans="1:6" x14ac:dyDescent="0.25">
      <c r="A83596"/>
      <c r="B83596"/>
      <c r="C83596"/>
      <c r="E83596"/>
      <c r="F83596"/>
    </row>
    <row r="83597" spans="1:6" x14ac:dyDescent="0.25">
      <c r="A83597"/>
      <c r="B83597"/>
      <c r="C83597"/>
      <c r="E83597"/>
      <c r="F83597"/>
    </row>
    <row r="83598" spans="1:6" x14ac:dyDescent="0.25">
      <c r="A83598"/>
      <c r="B83598"/>
      <c r="C83598"/>
      <c r="E83598"/>
      <c r="F83598"/>
    </row>
    <row r="83599" spans="1:6" x14ac:dyDescent="0.25">
      <c r="A83599"/>
      <c r="B83599"/>
      <c r="C83599"/>
      <c r="E83599"/>
      <c r="F83599"/>
    </row>
    <row r="83600" spans="1:6" x14ac:dyDescent="0.25">
      <c r="A83600"/>
      <c r="B83600"/>
      <c r="C83600"/>
      <c r="E83600"/>
      <c r="F83600"/>
    </row>
    <row r="83601" spans="1:6" x14ac:dyDescent="0.25">
      <c r="A83601"/>
      <c r="B83601"/>
      <c r="C83601"/>
      <c r="E83601"/>
      <c r="F83601"/>
    </row>
    <row r="83602" spans="1:6" x14ac:dyDescent="0.25">
      <c r="A83602"/>
      <c r="B83602"/>
      <c r="C83602"/>
      <c r="E83602"/>
      <c r="F83602"/>
    </row>
    <row r="83603" spans="1:6" x14ac:dyDescent="0.25">
      <c r="A83603"/>
      <c r="B83603"/>
      <c r="C83603"/>
      <c r="E83603"/>
      <c r="F83603"/>
    </row>
    <row r="83604" spans="1:6" x14ac:dyDescent="0.25">
      <c r="A83604"/>
      <c r="B83604"/>
      <c r="C83604"/>
      <c r="E83604"/>
      <c r="F83604"/>
    </row>
    <row r="83605" spans="1:6" x14ac:dyDescent="0.25">
      <c r="A83605"/>
      <c r="B83605"/>
      <c r="C83605"/>
      <c r="E83605"/>
      <c r="F83605"/>
    </row>
    <row r="83606" spans="1:6" x14ac:dyDescent="0.25">
      <c r="A83606"/>
      <c r="B83606"/>
      <c r="C83606"/>
      <c r="E83606"/>
      <c r="F83606"/>
    </row>
    <row r="83607" spans="1:6" x14ac:dyDescent="0.25">
      <c r="A83607"/>
      <c r="B83607"/>
      <c r="C83607"/>
      <c r="E83607"/>
      <c r="F83607"/>
    </row>
    <row r="83608" spans="1:6" x14ac:dyDescent="0.25">
      <c r="A83608"/>
      <c r="B83608"/>
      <c r="C83608"/>
      <c r="E83608"/>
      <c r="F83608"/>
    </row>
    <row r="83609" spans="1:6" x14ac:dyDescent="0.25">
      <c r="A83609"/>
      <c r="B83609"/>
      <c r="C83609"/>
      <c r="E83609"/>
      <c r="F83609"/>
    </row>
    <row r="83610" spans="1:6" x14ac:dyDescent="0.25">
      <c r="A83610"/>
      <c r="B83610"/>
      <c r="C83610"/>
      <c r="E83610"/>
      <c r="F83610"/>
    </row>
    <row r="83611" spans="1:6" x14ac:dyDescent="0.25">
      <c r="A83611"/>
      <c r="B83611"/>
      <c r="C83611"/>
      <c r="E83611"/>
      <c r="F83611"/>
    </row>
    <row r="83612" spans="1:6" x14ac:dyDescent="0.25">
      <c r="A83612"/>
      <c r="B83612"/>
      <c r="C83612"/>
      <c r="E83612"/>
      <c r="F83612"/>
    </row>
    <row r="83613" spans="1:6" x14ac:dyDescent="0.25">
      <c r="A83613"/>
      <c r="B83613"/>
      <c r="C83613"/>
      <c r="E83613"/>
      <c r="F83613"/>
    </row>
    <row r="83614" spans="1:6" x14ac:dyDescent="0.25">
      <c r="A83614"/>
      <c r="B83614"/>
      <c r="C83614"/>
      <c r="E83614"/>
      <c r="F83614"/>
    </row>
    <row r="83615" spans="1:6" x14ac:dyDescent="0.25">
      <c r="A83615"/>
      <c r="B83615"/>
      <c r="C83615"/>
      <c r="E83615"/>
      <c r="F83615"/>
    </row>
    <row r="83616" spans="1:6" x14ac:dyDescent="0.25">
      <c r="A83616"/>
      <c r="B83616"/>
      <c r="C83616"/>
      <c r="E83616"/>
      <c r="F83616"/>
    </row>
    <row r="83617" spans="1:6" x14ac:dyDescent="0.25">
      <c r="A83617"/>
      <c r="B83617"/>
      <c r="C83617"/>
      <c r="E83617"/>
      <c r="F83617"/>
    </row>
    <row r="83618" spans="1:6" x14ac:dyDescent="0.25">
      <c r="A83618"/>
      <c r="B83618"/>
      <c r="C83618"/>
      <c r="E83618"/>
      <c r="F83618"/>
    </row>
    <row r="83619" spans="1:6" x14ac:dyDescent="0.25">
      <c r="A83619"/>
      <c r="B83619"/>
      <c r="C83619"/>
      <c r="E83619"/>
      <c r="F83619"/>
    </row>
    <row r="83620" spans="1:6" x14ac:dyDescent="0.25">
      <c r="A83620"/>
      <c r="B83620"/>
      <c r="C83620"/>
      <c r="E83620"/>
      <c r="F83620"/>
    </row>
    <row r="83621" spans="1:6" x14ac:dyDescent="0.25">
      <c r="A83621"/>
      <c r="B83621"/>
      <c r="C83621"/>
      <c r="E83621"/>
      <c r="F83621"/>
    </row>
    <row r="83622" spans="1:6" x14ac:dyDescent="0.25">
      <c r="A83622"/>
      <c r="B83622"/>
      <c r="C83622"/>
      <c r="E83622"/>
      <c r="F83622"/>
    </row>
    <row r="83623" spans="1:6" x14ac:dyDescent="0.25">
      <c r="A83623"/>
      <c r="B83623"/>
      <c r="C83623"/>
      <c r="E83623"/>
      <c r="F83623"/>
    </row>
    <row r="83624" spans="1:6" x14ac:dyDescent="0.25">
      <c r="A83624"/>
      <c r="B83624"/>
      <c r="C83624"/>
      <c r="E83624"/>
      <c r="F83624"/>
    </row>
    <row r="83625" spans="1:6" x14ac:dyDescent="0.25">
      <c r="A83625"/>
      <c r="B83625"/>
      <c r="C83625"/>
      <c r="E83625"/>
      <c r="F83625"/>
    </row>
    <row r="83626" spans="1:6" x14ac:dyDescent="0.25">
      <c r="A83626"/>
      <c r="B83626"/>
      <c r="C83626"/>
      <c r="E83626"/>
      <c r="F83626"/>
    </row>
    <row r="83627" spans="1:6" x14ac:dyDescent="0.25">
      <c r="A83627"/>
      <c r="B83627"/>
      <c r="C83627"/>
      <c r="E83627"/>
      <c r="F83627"/>
    </row>
    <row r="83628" spans="1:6" x14ac:dyDescent="0.25">
      <c r="A83628"/>
      <c r="B83628"/>
      <c r="C83628"/>
      <c r="E83628"/>
      <c r="F83628"/>
    </row>
    <row r="83629" spans="1:6" x14ac:dyDescent="0.25">
      <c r="A83629"/>
      <c r="B83629"/>
      <c r="C83629"/>
      <c r="E83629"/>
      <c r="F83629"/>
    </row>
    <row r="83630" spans="1:6" x14ac:dyDescent="0.25">
      <c r="A83630"/>
      <c r="B83630"/>
      <c r="C83630"/>
      <c r="E83630"/>
      <c r="F83630"/>
    </row>
    <row r="83631" spans="1:6" x14ac:dyDescent="0.25">
      <c r="A83631"/>
      <c r="B83631"/>
      <c r="C83631"/>
      <c r="E83631"/>
      <c r="F83631"/>
    </row>
    <row r="83632" spans="1:6" x14ac:dyDescent="0.25">
      <c r="A83632"/>
      <c r="B83632"/>
      <c r="C83632"/>
      <c r="E83632"/>
      <c r="F83632"/>
    </row>
    <row r="83633" spans="1:6" x14ac:dyDescent="0.25">
      <c r="A83633"/>
      <c r="B83633"/>
      <c r="C83633"/>
      <c r="E83633"/>
      <c r="F83633"/>
    </row>
    <row r="83634" spans="1:6" x14ac:dyDescent="0.25">
      <c r="A83634"/>
      <c r="B83634"/>
      <c r="C83634"/>
      <c r="E83634"/>
      <c r="F83634"/>
    </row>
    <row r="83635" spans="1:6" x14ac:dyDescent="0.25">
      <c r="A83635"/>
      <c r="B83635"/>
      <c r="C83635"/>
      <c r="E83635"/>
      <c r="F83635"/>
    </row>
    <row r="83636" spans="1:6" x14ac:dyDescent="0.25">
      <c r="A83636"/>
      <c r="B83636"/>
      <c r="C83636"/>
      <c r="E83636"/>
      <c r="F83636"/>
    </row>
    <row r="83637" spans="1:6" x14ac:dyDescent="0.25">
      <c r="A83637"/>
      <c r="B83637"/>
      <c r="C83637"/>
      <c r="E83637"/>
      <c r="F83637"/>
    </row>
    <row r="83638" spans="1:6" x14ac:dyDescent="0.25">
      <c r="A83638"/>
      <c r="B83638"/>
      <c r="C83638"/>
      <c r="E83638"/>
      <c r="F83638"/>
    </row>
    <row r="83639" spans="1:6" x14ac:dyDescent="0.25">
      <c r="A83639"/>
      <c r="B83639"/>
      <c r="C83639"/>
      <c r="E83639"/>
      <c r="F83639"/>
    </row>
    <row r="83640" spans="1:6" x14ac:dyDescent="0.25">
      <c r="A83640"/>
      <c r="B83640"/>
      <c r="C83640"/>
      <c r="E83640"/>
      <c r="F83640"/>
    </row>
    <row r="83641" spans="1:6" x14ac:dyDescent="0.25">
      <c r="A83641"/>
      <c r="B83641"/>
      <c r="C83641"/>
      <c r="E83641"/>
      <c r="F83641"/>
    </row>
    <row r="83642" spans="1:6" x14ac:dyDescent="0.25">
      <c r="A83642"/>
      <c r="B83642"/>
      <c r="C83642"/>
      <c r="E83642"/>
      <c r="F83642"/>
    </row>
    <row r="83643" spans="1:6" x14ac:dyDescent="0.25">
      <c r="A83643"/>
      <c r="B83643"/>
      <c r="C83643"/>
      <c r="E83643"/>
      <c r="F83643"/>
    </row>
    <row r="83644" spans="1:6" x14ac:dyDescent="0.25">
      <c r="A83644"/>
      <c r="B83644"/>
      <c r="C83644"/>
      <c r="E83644"/>
      <c r="F83644"/>
    </row>
    <row r="83645" spans="1:6" x14ac:dyDescent="0.25">
      <c r="A83645"/>
      <c r="B83645"/>
      <c r="C83645"/>
      <c r="E83645"/>
      <c r="F83645"/>
    </row>
    <row r="83646" spans="1:6" x14ac:dyDescent="0.25">
      <c r="A83646"/>
      <c r="B83646"/>
      <c r="C83646"/>
      <c r="E83646"/>
      <c r="F83646"/>
    </row>
    <row r="83647" spans="1:6" x14ac:dyDescent="0.25">
      <c r="A83647"/>
      <c r="B83647"/>
      <c r="C83647"/>
      <c r="E83647"/>
      <c r="F83647"/>
    </row>
    <row r="83648" spans="1:6" x14ac:dyDescent="0.25">
      <c r="A83648"/>
      <c r="B83648"/>
      <c r="C83648"/>
      <c r="E83648"/>
      <c r="F83648"/>
    </row>
    <row r="83649" spans="1:6" x14ac:dyDescent="0.25">
      <c r="A83649"/>
      <c r="B83649"/>
      <c r="C83649"/>
      <c r="E83649"/>
      <c r="F83649"/>
    </row>
    <row r="83650" spans="1:6" x14ac:dyDescent="0.25">
      <c r="A83650"/>
      <c r="B83650"/>
      <c r="C83650"/>
      <c r="E83650"/>
      <c r="F83650"/>
    </row>
    <row r="83651" spans="1:6" x14ac:dyDescent="0.25">
      <c r="A83651"/>
      <c r="B83651"/>
      <c r="C83651"/>
      <c r="E83651"/>
      <c r="F83651"/>
    </row>
    <row r="83652" spans="1:6" x14ac:dyDescent="0.25">
      <c r="A83652"/>
      <c r="B83652"/>
      <c r="C83652"/>
      <c r="E83652"/>
      <c r="F83652"/>
    </row>
    <row r="83653" spans="1:6" x14ac:dyDescent="0.25">
      <c r="A83653"/>
      <c r="B83653"/>
      <c r="C83653"/>
      <c r="E83653"/>
      <c r="F83653"/>
    </row>
    <row r="83654" spans="1:6" x14ac:dyDescent="0.25">
      <c r="A83654"/>
      <c r="B83654"/>
      <c r="C83654"/>
      <c r="E83654"/>
      <c r="F83654"/>
    </row>
    <row r="83655" spans="1:6" x14ac:dyDescent="0.25">
      <c r="A83655"/>
      <c r="B83655"/>
      <c r="C83655"/>
      <c r="E83655"/>
      <c r="F83655"/>
    </row>
    <row r="83656" spans="1:6" x14ac:dyDescent="0.25">
      <c r="A83656"/>
      <c r="B83656"/>
      <c r="C83656"/>
      <c r="E83656"/>
      <c r="F83656"/>
    </row>
    <row r="83657" spans="1:6" x14ac:dyDescent="0.25">
      <c r="A83657"/>
      <c r="B83657"/>
      <c r="C83657"/>
      <c r="E83657"/>
      <c r="F83657"/>
    </row>
    <row r="83658" spans="1:6" x14ac:dyDescent="0.25">
      <c r="A83658"/>
      <c r="B83658"/>
      <c r="C83658"/>
      <c r="E83658"/>
      <c r="F83658"/>
    </row>
    <row r="83659" spans="1:6" x14ac:dyDescent="0.25">
      <c r="A83659"/>
      <c r="B83659"/>
      <c r="C83659"/>
      <c r="E83659"/>
      <c r="F83659"/>
    </row>
    <row r="83660" spans="1:6" x14ac:dyDescent="0.25">
      <c r="A83660"/>
      <c r="B83660"/>
      <c r="C83660"/>
      <c r="E83660"/>
      <c r="F83660"/>
    </row>
    <row r="83661" spans="1:6" x14ac:dyDescent="0.25">
      <c r="A83661"/>
      <c r="B83661"/>
      <c r="C83661"/>
      <c r="E83661"/>
      <c r="F83661"/>
    </row>
    <row r="83662" spans="1:6" x14ac:dyDescent="0.25">
      <c r="A83662"/>
      <c r="B83662"/>
      <c r="C83662"/>
      <c r="E83662"/>
      <c r="F83662"/>
    </row>
    <row r="83663" spans="1:6" x14ac:dyDescent="0.25">
      <c r="A83663"/>
      <c r="B83663"/>
      <c r="C83663"/>
      <c r="E83663"/>
      <c r="F83663"/>
    </row>
    <row r="83664" spans="1:6" x14ac:dyDescent="0.25">
      <c r="A83664"/>
      <c r="B83664"/>
      <c r="C83664"/>
      <c r="E83664"/>
      <c r="F83664"/>
    </row>
    <row r="83665" spans="1:6" x14ac:dyDescent="0.25">
      <c r="A83665"/>
      <c r="B83665"/>
      <c r="C83665"/>
      <c r="E83665"/>
      <c r="F83665"/>
    </row>
    <row r="83666" spans="1:6" x14ac:dyDescent="0.25">
      <c r="A83666"/>
      <c r="B83666"/>
      <c r="C83666"/>
      <c r="E83666"/>
      <c r="F83666"/>
    </row>
    <row r="83667" spans="1:6" x14ac:dyDescent="0.25">
      <c r="A83667"/>
      <c r="B83667"/>
      <c r="C83667"/>
      <c r="E83667"/>
      <c r="F83667"/>
    </row>
    <row r="83668" spans="1:6" x14ac:dyDescent="0.25">
      <c r="A83668"/>
      <c r="B83668"/>
      <c r="C83668"/>
      <c r="E83668"/>
      <c r="F83668"/>
    </row>
    <row r="83669" spans="1:6" x14ac:dyDescent="0.25">
      <c r="A83669"/>
      <c r="B83669"/>
      <c r="C83669"/>
      <c r="E83669"/>
      <c r="F83669"/>
    </row>
    <row r="83670" spans="1:6" x14ac:dyDescent="0.25">
      <c r="A83670"/>
      <c r="B83670"/>
      <c r="C83670"/>
      <c r="E83670"/>
      <c r="F83670"/>
    </row>
    <row r="83671" spans="1:6" x14ac:dyDescent="0.25">
      <c r="A83671"/>
      <c r="B83671"/>
      <c r="C83671"/>
      <c r="E83671"/>
      <c r="F83671"/>
    </row>
    <row r="83672" spans="1:6" x14ac:dyDescent="0.25">
      <c r="A83672"/>
      <c r="B83672"/>
      <c r="C83672"/>
      <c r="E83672"/>
      <c r="F83672"/>
    </row>
    <row r="83673" spans="1:6" x14ac:dyDescent="0.25">
      <c r="A83673"/>
      <c r="B83673"/>
      <c r="C83673"/>
      <c r="E83673"/>
      <c r="F83673"/>
    </row>
    <row r="83674" spans="1:6" x14ac:dyDescent="0.25">
      <c r="A83674"/>
      <c r="B83674"/>
      <c r="C83674"/>
      <c r="E83674"/>
      <c r="F83674"/>
    </row>
    <row r="83675" spans="1:6" x14ac:dyDescent="0.25">
      <c r="A83675"/>
      <c r="B83675"/>
      <c r="C83675"/>
      <c r="E83675"/>
      <c r="F83675"/>
    </row>
    <row r="83676" spans="1:6" x14ac:dyDescent="0.25">
      <c r="A83676"/>
      <c r="B83676"/>
      <c r="C83676"/>
      <c r="E83676"/>
      <c r="F83676"/>
    </row>
    <row r="83677" spans="1:6" x14ac:dyDescent="0.25">
      <c r="A83677"/>
      <c r="B83677"/>
      <c r="C83677"/>
      <c r="E83677"/>
      <c r="F83677"/>
    </row>
    <row r="83678" spans="1:6" x14ac:dyDescent="0.25">
      <c r="A83678"/>
      <c r="B83678"/>
      <c r="C83678"/>
      <c r="E83678"/>
      <c r="F83678"/>
    </row>
    <row r="83679" spans="1:6" x14ac:dyDescent="0.25">
      <c r="A83679"/>
      <c r="B83679"/>
      <c r="C83679"/>
      <c r="E83679"/>
      <c r="F83679"/>
    </row>
    <row r="83680" spans="1:6" x14ac:dyDescent="0.25">
      <c r="A83680"/>
      <c r="B83680"/>
      <c r="C83680"/>
      <c r="E83680"/>
      <c r="F83680"/>
    </row>
    <row r="83681" spans="1:6" x14ac:dyDescent="0.25">
      <c r="A83681"/>
      <c r="B83681"/>
      <c r="C83681"/>
      <c r="E83681"/>
      <c r="F83681"/>
    </row>
    <row r="83682" spans="1:6" x14ac:dyDescent="0.25">
      <c r="A83682"/>
      <c r="B83682"/>
      <c r="C83682"/>
      <c r="E83682"/>
      <c r="F83682"/>
    </row>
    <row r="83683" spans="1:6" x14ac:dyDescent="0.25">
      <c r="A83683"/>
      <c r="B83683"/>
      <c r="C83683"/>
      <c r="E83683"/>
      <c r="F83683"/>
    </row>
    <row r="83684" spans="1:6" x14ac:dyDescent="0.25">
      <c r="A83684"/>
      <c r="B83684"/>
      <c r="C83684"/>
      <c r="E83684"/>
      <c r="F83684"/>
    </row>
    <row r="83685" spans="1:6" x14ac:dyDescent="0.25">
      <c r="A83685"/>
      <c r="B83685"/>
      <c r="C83685"/>
      <c r="E83685"/>
      <c r="F83685"/>
    </row>
    <row r="83686" spans="1:6" x14ac:dyDescent="0.25">
      <c r="A83686"/>
      <c r="B83686"/>
      <c r="C83686"/>
      <c r="E83686"/>
      <c r="F83686"/>
    </row>
    <row r="83687" spans="1:6" x14ac:dyDescent="0.25">
      <c r="A83687"/>
      <c r="B83687"/>
      <c r="C83687"/>
      <c r="E83687"/>
      <c r="F83687"/>
    </row>
    <row r="83688" spans="1:6" x14ac:dyDescent="0.25">
      <c r="A83688"/>
      <c r="B83688"/>
      <c r="C83688"/>
      <c r="E83688"/>
      <c r="F83688"/>
    </row>
    <row r="83689" spans="1:6" x14ac:dyDescent="0.25">
      <c r="A83689"/>
      <c r="B83689"/>
      <c r="C83689"/>
      <c r="E83689"/>
      <c r="F83689"/>
    </row>
    <row r="83690" spans="1:6" x14ac:dyDescent="0.25">
      <c r="A83690"/>
      <c r="B83690"/>
      <c r="C83690"/>
      <c r="E83690"/>
      <c r="F83690"/>
    </row>
    <row r="83691" spans="1:6" x14ac:dyDescent="0.25">
      <c r="A83691"/>
      <c r="B83691"/>
      <c r="C83691"/>
      <c r="E83691"/>
      <c r="F83691"/>
    </row>
    <row r="83692" spans="1:6" x14ac:dyDescent="0.25">
      <c r="A83692"/>
      <c r="B83692"/>
      <c r="C83692"/>
      <c r="E83692"/>
      <c r="F83692"/>
    </row>
    <row r="83693" spans="1:6" x14ac:dyDescent="0.25">
      <c r="A83693"/>
      <c r="B83693"/>
      <c r="C83693"/>
      <c r="E83693"/>
      <c r="F83693"/>
    </row>
    <row r="83694" spans="1:6" x14ac:dyDescent="0.25">
      <c r="A83694"/>
      <c r="B83694"/>
      <c r="C83694"/>
      <c r="E83694"/>
      <c r="F83694"/>
    </row>
    <row r="83695" spans="1:6" x14ac:dyDescent="0.25">
      <c r="A83695"/>
      <c r="B83695"/>
      <c r="C83695"/>
      <c r="E83695"/>
      <c r="F83695"/>
    </row>
    <row r="83696" spans="1:6" x14ac:dyDescent="0.25">
      <c r="A83696"/>
      <c r="B83696"/>
      <c r="C83696"/>
      <c r="E83696"/>
      <c r="F83696"/>
    </row>
    <row r="83697" spans="1:6" x14ac:dyDescent="0.25">
      <c r="A83697"/>
      <c r="B83697"/>
      <c r="C83697"/>
      <c r="E83697"/>
      <c r="F83697"/>
    </row>
    <row r="83698" spans="1:6" x14ac:dyDescent="0.25">
      <c r="A83698"/>
      <c r="B83698"/>
      <c r="C83698"/>
      <c r="E83698"/>
      <c r="F83698"/>
    </row>
    <row r="83699" spans="1:6" x14ac:dyDescent="0.25">
      <c r="A83699"/>
      <c r="B83699"/>
      <c r="C83699"/>
      <c r="E83699"/>
      <c r="F83699"/>
    </row>
    <row r="83700" spans="1:6" x14ac:dyDescent="0.25">
      <c r="A83700"/>
      <c r="B83700"/>
      <c r="C83700"/>
      <c r="E83700"/>
      <c r="F83700"/>
    </row>
    <row r="83701" spans="1:6" x14ac:dyDescent="0.25">
      <c r="A83701"/>
      <c r="B83701"/>
      <c r="C83701"/>
      <c r="E83701"/>
      <c r="F83701"/>
    </row>
    <row r="83702" spans="1:6" x14ac:dyDescent="0.25">
      <c r="A83702"/>
      <c r="B83702"/>
      <c r="C83702"/>
      <c r="E83702"/>
      <c r="F83702"/>
    </row>
    <row r="83703" spans="1:6" x14ac:dyDescent="0.25">
      <c r="A83703"/>
      <c r="B83703"/>
      <c r="C83703"/>
      <c r="E83703"/>
      <c r="F83703"/>
    </row>
    <row r="83704" spans="1:6" x14ac:dyDescent="0.25">
      <c r="A83704"/>
      <c r="B83704"/>
      <c r="C83704"/>
      <c r="E83704"/>
      <c r="F83704"/>
    </row>
    <row r="83705" spans="1:6" x14ac:dyDescent="0.25">
      <c r="A83705"/>
      <c r="B83705"/>
      <c r="C83705"/>
      <c r="E83705"/>
      <c r="F83705"/>
    </row>
    <row r="83706" spans="1:6" x14ac:dyDescent="0.25">
      <c r="A83706"/>
      <c r="B83706"/>
      <c r="C83706"/>
      <c r="E83706"/>
      <c r="F83706"/>
    </row>
    <row r="83707" spans="1:6" x14ac:dyDescent="0.25">
      <c r="A83707"/>
      <c r="B83707"/>
      <c r="C83707"/>
      <c r="E83707"/>
      <c r="F83707"/>
    </row>
    <row r="83708" spans="1:6" x14ac:dyDescent="0.25">
      <c r="A83708"/>
      <c r="B83708"/>
      <c r="C83708"/>
      <c r="E83708"/>
      <c r="F83708"/>
    </row>
    <row r="83709" spans="1:6" x14ac:dyDescent="0.25">
      <c r="A83709"/>
      <c r="B83709"/>
      <c r="C83709"/>
      <c r="E83709"/>
      <c r="F83709"/>
    </row>
    <row r="83710" spans="1:6" x14ac:dyDescent="0.25">
      <c r="A83710"/>
      <c r="B83710"/>
      <c r="C83710"/>
      <c r="E83710"/>
      <c r="F83710"/>
    </row>
    <row r="83711" spans="1:6" x14ac:dyDescent="0.25">
      <c r="A83711"/>
      <c r="B83711"/>
      <c r="C83711"/>
      <c r="E83711"/>
      <c r="F83711"/>
    </row>
    <row r="83712" spans="1:6" x14ac:dyDescent="0.25">
      <c r="A83712"/>
      <c r="B83712"/>
      <c r="C83712"/>
      <c r="E83712"/>
      <c r="F83712"/>
    </row>
    <row r="83713" spans="1:6" x14ac:dyDescent="0.25">
      <c r="A83713"/>
      <c r="B83713"/>
      <c r="C83713"/>
      <c r="E83713"/>
      <c r="F83713"/>
    </row>
    <row r="83714" spans="1:6" x14ac:dyDescent="0.25">
      <c r="A83714"/>
      <c r="B83714"/>
      <c r="C83714"/>
      <c r="E83714"/>
      <c r="F83714"/>
    </row>
    <row r="83715" spans="1:6" x14ac:dyDescent="0.25">
      <c r="A83715"/>
      <c r="B83715"/>
      <c r="C83715"/>
      <c r="E83715"/>
      <c r="F83715"/>
    </row>
    <row r="83716" spans="1:6" x14ac:dyDescent="0.25">
      <c r="A83716"/>
      <c r="B83716"/>
      <c r="C83716"/>
      <c r="E83716"/>
      <c r="F83716"/>
    </row>
    <row r="83717" spans="1:6" x14ac:dyDescent="0.25">
      <c r="A83717"/>
      <c r="B83717"/>
      <c r="C83717"/>
      <c r="E83717"/>
      <c r="F83717"/>
    </row>
    <row r="83718" spans="1:6" x14ac:dyDescent="0.25">
      <c r="A83718"/>
      <c r="B83718"/>
      <c r="C83718"/>
      <c r="E83718"/>
      <c r="F83718"/>
    </row>
    <row r="83719" spans="1:6" x14ac:dyDescent="0.25">
      <c r="A83719"/>
      <c r="B83719"/>
      <c r="C83719"/>
      <c r="E83719"/>
      <c r="F83719"/>
    </row>
    <row r="83720" spans="1:6" x14ac:dyDescent="0.25">
      <c r="A83720"/>
      <c r="B83720"/>
      <c r="C83720"/>
      <c r="E83720"/>
      <c r="F83720"/>
    </row>
    <row r="83721" spans="1:6" x14ac:dyDescent="0.25">
      <c r="A83721"/>
      <c r="B83721"/>
      <c r="C83721"/>
      <c r="E83721"/>
      <c r="F83721"/>
    </row>
    <row r="83722" spans="1:6" x14ac:dyDescent="0.25">
      <c r="A83722"/>
      <c r="B83722"/>
      <c r="C83722"/>
      <c r="E83722"/>
      <c r="F83722"/>
    </row>
    <row r="83723" spans="1:6" x14ac:dyDescent="0.25">
      <c r="A83723"/>
      <c r="B83723"/>
      <c r="C83723"/>
      <c r="E83723"/>
      <c r="F83723"/>
    </row>
    <row r="83724" spans="1:6" x14ac:dyDescent="0.25">
      <c r="A83724"/>
      <c r="B83724"/>
      <c r="C83724"/>
      <c r="E83724"/>
      <c r="F83724"/>
    </row>
    <row r="83725" spans="1:6" x14ac:dyDescent="0.25">
      <c r="A83725"/>
      <c r="B83725"/>
      <c r="C83725"/>
      <c r="E83725"/>
      <c r="F83725"/>
    </row>
    <row r="83726" spans="1:6" x14ac:dyDescent="0.25">
      <c r="A83726"/>
      <c r="B83726"/>
      <c r="C83726"/>
      <c r="E83726"/>
      <c r="F83726"/>
    </row>
    <row r="83727" spans="1:6" x14ac:dyDescent="0.25">
      <c r="A83727"/>
      <c r="B83727"/>
      <c r="C83727"/>
      <c r="E83727"/>
      <c r="F83727"/>
    </row>
    <row r="83728" spans="1:6" x14ac:dyDescent="0.25">
      <c r="A83728"/>
      <c r="B83728"/>
      <c r="C83728"/>
      <c r="E83728"/>
      <c r="F83728"/>
    </row>
    <row r="83729" spans="1:6" x14ac:dyDescent="0.25">
      <c r="A83729"/>
      <c r="B83729"/>
      <c r="C83729"/>
      <c r="E83729"/>
      <c r="F83729"/>
    </row>
    <row r="83730" spans="1:6" x14ac:dyDescent="0.25">
      <c r="A83730"/>
      <c r="B83730"/>
      <c r="C83730"/>
      <c r="E83730"/>
      <c r="F83730"/>
    </row>
    <row r="83731" spans="1:6" x14ac:dyDescent="0.25">
      <c r="A83731"/>
      <c r="B83731"/>
      <c r="C83731"/>
      <c r="E83731"/>
      <c r="F83731"/>
    </row>
    <row r="83732" spans="1:6" x14ac:dyDescent="0.25">
      <c r="A83732"/>
      <c r="B83732"/>
      <c r="C83732"/>
      <c r="E83732"/>
      <c r="F83732"/>
    </row>
    <row r="83733" spans="1:6" x14ac:dyDescent="0.25">
      <c r="A83733"/>
      <c r="B83733"/>
      <c r="C83733"/>
      <c r="E83733"/>
      <c r="F83733"/>
    </row>
    <row r="83734" spans="1:6" x14ac:dyDescent="0.25">
      <c r="A83734"/>
      <c r="B83734"/>
      <c r="C83734"/>
      <c r="E83734"/>
      <c r="F83734"/>
    </row>
    <row r="83735" spans="1:6" x14ac:dyDescent="0.25">
      <c r="A83735"/>
      <c r="B83735"/>
      <c r="C83735"/>
      <c r="E83735"/>
      <c r="F83735"/>
    </row>
    <row r="83736" spans="1:6" x14ac:dyDescent="0.25">
      <c r="A83736"/>
      <c r="B83736"/>
      <c r="C83736"/>
      <c r="E83736"/>
      <c r="F83736"/>
    </row>
    <row r="83737" spans="1:6" x14ac:dyDescent="0.25">
      <c r="A83737"/>
      <c r="B83737"/>
      <c r="C83737"/>
      <c r="E83737"/>
      <c r="F83737"/>
    </row>
    <row r="83738" spans="1:6" x14ac:dyDescent="0.25">
      <c r="A83738"/>
      <c r="B83738"/>
      <c r="C83738"/>
      <c r="E83738"/>
      <c r="F83738"/>
    </row>
    <row r="83739" spans="1:6" x14ac:dyDescent="0.25">
      <c r="A83739"/>
      <c r="B83739"/>
      <c r="C83739"/>
      <c r="E83739"/>
      <c r="F83739"/>
    </row>
    <row r="83740" spans="1:6" x14ac:dyDescent="0.25">
      <c r="A83740"/>
      <c r="B83740"/>
      <c r="C83740"/>
      <c r="E83740"/>
      <c r="F83740"/>
    </row>
    <row r="83741" spans="1:6" x14ac:dyDescent="0.25">
      <c r="A83741"/>
      <c r="B83741"/>
      <c r="C83741"/>
      <c r="E83741"/>
      <c r="F83741"/>
    </row>
    <row r="83742" spans="1:6" x14ac:dyDescent="0.25">
      <c r="A83742"/>
      <c r="B83742"/>
      <c r="C83742"/>
      <c r="E83742"/>
      <c r="F83742"/>
    </row>
    <row r="83743" spans="1:6" x14ac:dyDescent="0.25">
      <c r="A83743"/>
      <c r="B83743"/>
      <c r="C83743"/>
      <c r="E83743"/>
      <c r="F83743"/>
    </row>
    <row r="83744" spans="1:6" x14ac:dyDescent="0.25">
      <c r="A83744"/>
      <c r="B83744"/>
      <c r="C83744"/>
      <c r="E83744"/>
      <c r="F83744"/>
    </row>
    <row r="83745" spans="1:6" x14ac:dyDescent="0.25">
      <c r="A83745"/>
      <c r="B83745"/>
      <c r="C83745"/>
      <c r="E83745"/>
      <c r="F83745"/>
    </row>
    <row r="83746" spans="1:6" x14ac:dyDescent="0.25">
      <c r="A83746"/>
      <c r="B83746"/>
      <c r="C83746"/>
      <c r="E83746"/>
      <c r="F83746"/>
    </row>
    <row r="83747" spans="1:6" x14ac:dyDescent="0.25">
      <c r="A83747"/>
      <c r="B83747"/>
      <c r="C83747"/>
      <c r="E83747"/>
      <c r="F83747"/>
    </row>
    <row r="83748" spans="1:6" x14ac:dyDescent="0.25">
      <c r="A83748"/>
      <c r="B83748"/>
      <c r="C83748"/>
      <c r="E83748"/>
      <c r="F83748"/>
    </row>
    <row r="83749" spans="1:6" x14ac:dyDescent="0.25">
      <c r="A83749"/>
      <c r="B83749"/>
      <c r="C83749"/>
      <c r="E83749"/>
      <c r="F83749"/>
    </row>
    <row r="83750" spans="1:6" x14ac:dyDescent="0.25">
      <c r="A83750"/>
      <c r="B83750"/>
      <c r="C83750"/>
      <c r="E83750"/>
      <c r="F83750"/>
    </row>
    <row r="83751" spans="1:6" x14ac:dyDescent="0.25">
      <c r="A83751"/>
      <c r="B83751"/>
      <c r="C83751"/>
      <c r="E83751"/>
      <c r="F83751"/>
    </row>
    <row r="83752" spans="1:6" x14ac:dyDescent="0.25">
      <c r="A83752"/>
      <c r="B83752"/>
      <c r="C83752"/>
      <c r="E83752"/>
      <c r="F83752"/>
    </row>
    <row r="83753" spans="1:6" x14ac:dyDescent="0.25">
      <c r="A83753"/>
      <c r="B83753"/>
      <c r="C83753"/>
      <c r="E83753"/>
      <c r="F83753"/>
    </row>
    <row r="83754" spans="1:6" x14ac:dyDescent="0.25">
      <c r="A83754"/>
      <c r="B83754"/>
      <c r="C83754"/>
      <c r="E83754"/>
      <c r="F83754"/>
    </row>
    <row r="83755" spans="1:6" x14ac:dyDescent="0.25">
      <c r="A83755"/>
      <c r="B83755"/>
      <c r="C83755"/>
      <c r="E83755"/>
      <c r="F83755"/>
    </row>
    <row r="83756" spans="1:6" x14ac:dyDescent="0.25">
      <c r="A83756"/>
      <c r="B83756"/>
      <c r="C83756"/>
      <c r="E83756"/>
      <c r="F83756"/>
    </row>
    <row r="83757" spans="1:6" x14ac:dyDescent="0.25">
      <c r="A83757"/>
      <c r="B83757"/>
      <c r="C83757"/>
      <c r="E83757"/>
      <c r="F83757"/>
    </row>
    <row r="83758" spans="1:6" x14ac:dyDescent="0.25">
      <c r="A83758"/>
      <c r="B83758"/>
      <c r="C83758"/>
      <c r="E83758"/>
      <c r="F83758"/>
    </row>
    <row r="83759" spans="1:6" x14ac:dyDescent="0.25">
      <c r="A83759"/>
      <c r="B83759"/>
      <c r="C83759"/>
      <c r="E83759"/>
      <c r="F83759"/>
    </row>
    <row r="83760" spans="1:6" x14ac:dyDescent="0.25">
      <c r="A83760"/>
      <c r="B83760"/>
      <c r="C83760"/>
      <c r="E83760"/>
      <c r="F83760"/>
    </row>
    <row r="83761" spans="1:6" x14ac:dyDescent="0.25">
      <c r="A83761"/>
      <c r="B83761"/>
      <c r="C83761"/>
      <c r="E83761"/>
      <c r="F83761"/>
    </row>
    <row r="83762" spans="1:6" x14ac:dyDescent="0.25">
      <c r="A83762"/>
      <c r="B83762"/>
      <c r="C83762"/>
      <c r="E83762"/>
      <c r="F83762"/>
    </row>
    <row r="83763" spans="1:6" x14ac:dyDescent="0.25">
      <c r="A83763"/>
      <c r="B83763"/>
      <c r="C83763"/>
      <c r="E83763"/>
      <c r="F83763"/>
    </row>
    <row r="83764" spans="1:6" x14ac:dyDescent="0.25">
      <c r="A83764"/>
      <c r="B83764"/>
      <c r="C83764"/>
      <c r="E83764"/>
      <c r="F83764"/>
    </row>
    <row r="83765" spans="1:6" x14ac:dyDescent="0.25">
      <c r="A83765"/>
      <c r="B83765"/>
      <c r="C83765"/>
      <c r="E83765"/>
      <c r="F83765"/>
    </row>
    <row r="83766" spans="1:6" x14ac:dyDescent="0.25">
      <c r="A83766"/>
      <c r="B83766"/>
      <c r="C83766"/>
      <c r="E83766"/>
      <c r="F83766"/>
    </row>
    <row r="83767" spans="1:6" x14ac:dyDescent="0.25">
      <c r="A83767"/>
      <c r="B83767"/>
      <c r="C83767"/>
      <c r="E83767"/>
      <c r="F83767"/>
    </row>
    <row r="83768" spans="1:6" x14ac:dyDescent="0.25">
      <c r="A83768"/>
      <c r="B83768"/>
      <c r="C83768"/>
      <c r="E83768"/>
      <c r="F83768"/>
    </row>
    <row r="83769" spans="1:6" x14ac:dyDescent="0.25">
      <c r="A83769"/>
      <c r="B83769"/>
      <c r="C83769"/>
      <c r="E83769"/>
      <c r="F83769"/>
    </row>
    <row r="83770" spans="1:6" x14ac:dyDescent="0.25">
      <c r="A83770"/>
      <c r="B83770"/>
      <c r="C83770"/>
      <c r="E83770"/>
      <c r="F83770"/>
    </row>
    <row r="83771" spans="1:6" x14ac:dyDescent="0.25">
      <c r="A83771"/>
      <c r="B83771"/>
      <c r="C83771"/>
      <c r="E83771"/>
      <c r="F83771"/>
    </row>
    <row r="83772" spans="1:6" x14ac:dyDescent="0.25">
      <c r="A83772"/>
      <c r="B83772"/>
      <c r="C83772"/>
      <c r="E83772"/>
      <c r="F83772"/>
    </row>
    <row r="83773" spans="1:6" x14ac:dyDescent="0.25">
      <c r="A83773"/>
      <c r="B83773"/>
      <c r="C83773"/>
      <c r="E83773"/>
      <c r="F83773"/>
    </row>
    <row r="83774" spans="1:6" x14ac:dyDescent="0.25">
      <c r="A83774"/>
      <c r="B83774"/>
      <c r="C83774"/>
      <c r="E83774"/>
      <c r="F83774"/>
    </row>
    <row r="83775" spans="1:6" x14ac:dyDescent="0.25">
      <c r="A83775"/>
      <c r="B83775"/>
      <c r="C83775"/>
      <c r="E83775"/>
      <c r="F83775"/>
    </row>
    <row r="83776" spans="1:6" x14ac:dyDescent="0.25">
      <c r="A83776"/>
      <c r="B83776"/>
      <c r="C83776"/>
      <c r="E83776"/>
      <c r="F83776"/>
    </row>
    <row r="83777" spans="1:6" x14ac:dyDescent="0.25">
      <c r="A83777"/>
      <c r="B83777"/>
      <c r="C83777"/>
      <c r="E83777"/>
      <c r="F83777"/>
    </row>
    <row r="83778" spans="1:6" x14ac:dyDescent="0.25">
      <c r="A83778"/>
      <c r="B83778"/>
      <c r="C83778"/>
      <c r="E83778"/>
      <c r="F83778"/>
    </row>
    <row r="83779" spans="1:6" x14ac:dyDescent="0.25">
      <c r="A83779"/>
      <c r="B83779"/>
      <c r="C83779"/>
      <c r="E83779"/>
      <c r="F83779"/>
    </row>
    <row r="83780" spans="1:6" x14ac:dyDescent="0.25">
      <c r="A83780"/>
      <c r="B83780"/>
      <c r="C83780"/>
      <c r="E83780"/>
      <c r="F83780"/>
    </row>
    <row r="83781" spans="1:6" x14ac:dyDescent="0.25">
      <c r="A83781"/>
      <c r="B83781"/>
      <c r="C83781"/>
      <c r="E83781"/>
      <c r="F83781"/>
    </row>
    <row r="83782" spans="1:6" x14ac:dyDescent="0.25">
      <c r="A83782"/>
      <c r="B83782"/>
      <c r="C83782"/>
      <c r="E83782"/>
      <c r="F83782"/>
    </row>
    <row r="83783" spans="1:6" x14ac:dyDescent="0.25">
      <c r="A83783"/>
      <c r="B83783"/>
      <c r="C83783"/>
      <c r="E83783"/>
      <c r="F83783"/>
    </row>
    <row r="83784" spans="1:6" x14ac:dyDescent="0.25">
      <c r="A83784"/>
      <c r="B83784"/>
      <c r="C83784"/>
      <c r="E83784"/>
      <c r="F83784"/>
    </row>
    <row r="83785" spans="1:6" x14ac:dyDescent="0.25">
      <c r="A83785"/>
      <c r="B83785"/>
      <c r="C83785"/>
      <c r="E83785"/>
      <c r="F83785"/>
    </row>
    <row r="83786" spans="1:6" x14ac:dyDescent="0.25">
      <c r="A83786"/>
      <c r="B83786"/>
      <c r="C83786"/>
      <c r="E83786"/>
      <c r="F83786"/>
    </row>
    <row r="83787" spans="1:6" x14ac:dyDescent="0.25">
      <c r="A83787"/>
      <c r="B83787"/>
      <c r="C83787"/>
      <c r="E83787"/>
      <c r="F83787"/>
    </row>
    <row r="83788" spans="1:6" x14ac:dyDescent="0.25">
      <c r="A83788"/>
      <c r="B83788"/>
      <c r="C83788"/>
      <c r="E83788"/>
      <c r="F83788"/>
    </row>
    <row r="83789" spans="1:6" x14ac:dyDescent="0.25">
      <c r="A83789"/>
      <c r="B83789"/>
      <c r="C83789"/>
      <c r="E83789"/>
      <c r="F83789"/>
    </row>
    <row r="83790" spans="1:6" x14ac:dyDescent="0.25">
      <c r="A83790"/>
      <c r="B83790"/>
      <c r="C83790"/>
      <c r="E83790"/>
      <c r="F83790"/>
    </row>
    <row r="83791" spans="1:6" x14ac:dyDescent="0.25">
      <c r="A83791"/>
      <c r="B83791"/>
      <c r="C83791"/>
      <c r="E83791"/>
      <c r="F83791"/>
    </row>
    <row r="83792" spans="1:6" x14ac:dyDescent="0.25">
      <c r="A83792"/>
      <c r="B83792"/>
      <c r="C83792"/>
      <c r="E83792"/>
      <c r="F83792"/>
    </row>
    <row r="83793" spans="1:6" x14ac:dyDescent="0.25">
      <c r="A83793"/>
      <c r="B83793"/>
      <c r="C83793"/>
      <c r="E83793"/>
      <c r="F83793"/>
    </row>
    <row r="83794" spans="1:6" x14ac:dyDescent="0.25">
      <c r="A83794"/>
      <c r="B83794"/>
      <c r="C83794"/>
      <c r="E83794"/>
      <c r="F83794"/>
    </row>
    <row r="83795" spans="1:6" x14ac:dyDescent="0.25">
      <c r="A83795"/>
      <c r="B83795"/>
      <c r="C83795"/>
      <c r="E83795"/>
      <c r="F83795"/>
    </row>
    <row r="83796" spans="1:6" x14ac:dyDescent="0.25">
      <c r="A83796"/>
      <c r="B83796"/>
      <c r="C83796"/>
      <c r="E83796"/>
      <c r="F83796"/>
    </row>
    <row r="83797" spans="1:6" x14ac:dyDescent="0.25">
      <c r="A83797"/>
      <c r="B83797"/>
      <c r="C83797"/>
      <c r="E83797"/>
      <c r="F83797"/>
    </row>
    <row r="83798" spans="1:6" x14ac:dyDescent="0.25">
      <c r="A83798"/>
      <c r="B83798"/>
      <c r="C83798"/>
      <c r="E83798"/>
      <c r="F83798"/>
    </row>
    <row r="83799" spans="1:6" x14ac:dyDescent="0.25">
      <c r="A83799"/>
      <c r="B83799"/>
      <c r="C83799"/>
      <c r="E83799"/>
      <c r="F83799"/>
    </row>
    <row r="83800" spans="1:6" x14ac:dyDescent="0.25">
      <c r="A83800"/>
      <c r="B83800"/>
      <c r="C83800"/>
      <c r="E83800"/>
      <c r="F83800"/>
    </row>
    <row r="83801" spans="1:6" x14ac:dyDescent="0.25">
      <c r="A83801"/>
      <c r="B83801"/>
      <c r="C83801"/>
      <c r="E83801"/>
      <c r="F83801"/>
    </row>
    <row r="83802" spans="1:6" x14ac:dyDescent="0.25">
      <c r="A83802"/>
      <c r="B83802"/>
      <c r="C83802"/>
      <c r="E83802"/>
      <c r="F83802"/>
    </row>
    <row r="83803" spans="1:6" x14ac:dyDescent="0.25">
      <c r="A83803"/>
      <c r="B83803"/>
      <c r="C83803"/>
      <c r="E83803"/>
      <c r="F83803"/>
    </row>
    <row r="83804" spans="1:6" x14ac:dyDescent="0.25">
      <c r="A83804"/>
      <c r="B83804"/>
      <c r="C83804"/>
      <c r="E83804"/>
      <c r="F83804"/>
    </row>
    <row r="83805" spans="1:6" x14ac:dyDescent="0.25">
      <c r="A83805"/>
      <c r="B83805"/>
      <c r="C83805"/>
      <c r="E83805"/>
      <c r="F83805"/>
    </row>
    <row r="83806" spans="1:6" x14ac:dyDescent="0.25">
      <c r="A83806"/>
      <c r="B83806"/>
      <c r="C83806"/>
      <c r="E83806"/>
      <c r="F83806"/>
    </row>
    <row r="83807" spans="1:6" x14ac:dyDescent="0.25">
      <c r="A83807"/>
      <c r="B83807"/>
      <c r="C83807"/>
      <c r="E83807"/>
      <c r="F83807"/>
    </row>
    <row r="83808" spans="1:6" x14ac:dyDescent="0.25">
      <c r="A83808"/>
      <c r="B83808"/>
      <c r="C83808"/>
      <c r="E83808"/>
      <c r="F83808"/>
    </row>
    <row r="83809" spans="1:6" x14ac:dyDescent="0.25">
      <c r="A83809"/>
      <c r="B83809"/>
      <c r="C83809"/>
      <c r="E83809"/>
      <c r="F83809"/>
    </row>
    <row r="83810" spans="1:6" x14ac:dyDescent="0.25">
      <c r="A83810"/>
      <c r="B83810"/>
      <c r="C83810"/>
      <c r="E83810"/>
      <c r="F83810"/>
    </row>
    <row r="83811" spans="1:6" x14ac:dyDescent="0.25">
      <c r="A83811"/>
      <c r="B83811"/>
      <c r="C83811"/>
      <c r="E83811"/>
      <c r="F83811"/>
    </row>
    <row r="83812" spans="1:6" x14ac:dyDescent="0.25">
      <c r="A83812"/>
      <c r="B83812"/>
      <c r="C83812"/>
      <c r="E83812"/>
      <c r="F83812"/>
    </row>
    <row r="83813" spans="1:6" x14ac:dyDescent="0.25">
      <c r="A83813"/>
      <c r="B83813"/>
      <c r="C83813"/>
      <c r="E83813"/>
      <c r="F83813"/>
    </row>
    <row r="83814" spans="1:6" x14ac:dyDescent="0.25">
      <c r="A83814"/>
      <c r="B83814"/>
      <c r="C83814"/>
      <c r="E83814"/>
      <c r="F83814"/>
    </row>
    <row r="83815" spans="1:6" x14ac:dyDescent="0.25">
      <c r="A83815"/>
      <c r="B83815"/>
      <c r="C83815"/>
      <c r="E83815"/>
      <c r="F83815"/>
    </row>
    <row r="83816" spans="1:6" x14ac:dyDescent="0.25">
      <c r="A83816"/>
      <c r="B83816"/>
      <c r="C83816"/>
      <c r="E83816"/>
      <c r="F83816"/>
    </row>
    <row r="83817" spans="1:6" x14ac:dyDescent="0.25">
      <c r="A83817"/>
      <c r="B83817"/>
      <c r="C83817"/>
      <c r="E83817"/>
      <c r="F83817"/>
    </row>
    <row r="83818" spans="1:6" x14ac:dyDescent="0.25">
      <c r="A83818"/>
      <c r="B83818"/>
      <c r="C83818"/>
      <c r="E83818"/>
      <c r="F83818"/>
    </row>
    <row r="83819" spans="1:6" x14ac:dyDescent="0.25">
      <c r="A83819"/>
      <c r="B83819"/>
      <c r="C83819"/>
      <c r="E83819"/>
      <c r="F83819"/>
    </row>
    <row r="83820" spans="1:6" x14ac:dyDescent="0.25">
      <c r="A83820"/>
      <c r="B83820"/>
      <c r="C83820"/>
      <c r="E83820"/>
      <c r="F83820"/>
    </row>
    <row r="83821" spans="1:6" x14ac:dyDescent="0.25">
      <c r="A83821"/>
      <c r="B83821"/>
      <c r="C83821"/>
      <c r="E83821"/>
      <c r="F83821"/>
    </row>
    <row r="83822" spans="1:6" x14ac:dyDescent="0.25">
      <c r="A83822"/>
      <c r="B83822"/>
      <c r="C83822"/>
      <c r="E83822"/>
      <c r="F83822"/>
    </row>
    <row r="83823" spans="1:6" x14ac:dyDescent="0.25">
      <c r="A83823"/>
      <c r="B83823"/>
      <c r="C83823"/>
      <c r="E83823"/>
      <c r="F83823"/>
    </row>
    <row r="83824" spans="1:6" x14ac:dyDescent="0.25">
      <c r="A83824"/>
      <c r="B83824"/>
      <c r="C83824"/>
      <c r="E83824"/>
      <c r="F83824"/>
    </row>
    <row r="83825" spans="1:6" x14ac:dyDescent="0.25">
      <c r="A83825"/>
      <c r="B83825"/>
      <c r="C83825"/>
      <c r="E83825"/>
      <c r="F83825"/>
    </row>
    <row r="83826" spans="1:6" x14ac:dyDescent="0.25">
      <c r="A83826"/>
      <c r="B83826"/>
      <c r="C83826"/>
      <c r="E83826"/>
      <c r="F83826"/>
    </row>
    <row r="83827" spans="1:6" x14ac:dyDescent="0.25">
      <c r="A83827"/>
      <c r="B83827"/>
      <c r="C83827"/>
      <c r="E83827"/>
      <c r="F83827"/>
    </row>
    <row r="83828" spans="1:6" x14ac:dyDescent="0.25">
      <c r="A83828"/>
      <c r="B83828"/>
      <c r="C83828"/>
      <c r="E83828"/>
      <c r="F83828"/>
    </row>
    <row r="83829" spans="1:6" x14ac:dyDescent="0.25">
      <c r="A83829"/>
      <c r="B83829"/>
      <c r="C83829"/>
      <c r="E83829"/>
      <c r="F83829"/>
    </row>
    <row r="83830" spans="1:6" x14ac:dyDescent="0.25">
      <c r="A83830"/>
      <c r="B83830"/>
      <c r="C83830"/>
      <c r="E83830"/>
      <c r="F83830"/>
    </row>
    <row r="83831" spans="1:6" x14ac:dyDescent="0.25">
      <c r="A83831"/>
      <c r="B83831"/>
      <c r="C83831"/>
      <c r="E83831"/>
      <c r="F83831"/>
    </row>
    <row r="83832" spans="1:6" x14ac:dyDescent="0.25">
      <c r="A83832"/>
      <c r="B83832"/>
      <c r="C83832"/>
      <c r="E83832"/>
      <c r="F83832"/>
    </row>
    <row r="83833" spans="1:6" x14ac:dyDescent="0.25">
      <c r="A83833"/>
      <c r="B83833"/>
      <c r="C83833"/>
      <c r="E83833"/>
      <c r="F83833"/>
    </row>
    <row r="83834" spans="1:6" x14ac:dyDescent="0.25">
      <c r="A83834"/>
      <c r="B83834"/>
      <c r="C83834"/>
      <c r="E83834"/>
      <c r="F83834"/>
    </row>
    <row r="83835" spans="1:6" x14ac:dyDescent="0.25">
      <c r="A83835"/>
      <c r="B83835"/>
      <c r="C83835"/>
      <c r="E83835"/>
      <c r="F83835"/>
    </row>
    <row r="83836" spans="1:6" x14ac:dyDescent="0.25">
      <c r="A83836"/>
      <c r="B83836"/>
      <c r="C83836"/>
      <c r="E83836"/>
      <c r="F83836"/>
    </row>
    <row r="83837" spans="1:6" x14ac:dyDescent="0.25">
      <c r="A83837"/>
      <c r="B83837"/>
      <c r="C83837"/>
      <c r="E83837"/>
      <c r="F83837"/>
    </row>
    <row r="83838" spans="1:6" x14ac:dyDescent="0.25">
      <c r="A83838"/>
      <c r="B83838"/>
      <c r="C83838"/>
      <c r="E83838"/>
      <c r="F83838"/>
    </row>
    <row r="83839" spans="1:6" x14ac:dyDescent="0.25">
      <c r="A83839"/>
      <c r="B83839"/>
      <c r="C83839"/>
      <c r="E83839"/>
      <c r="F83839"/>
    </row>
    <row r="83840" spans="1:6" x14ac:dyDescent="0.25">
      <c r="A83840"/>
      <c r="B83840"/>
      <c r="C83840"/>
      <c r="E83840"/>
      <c r="F83840"/>
    </row>
    <row r="83841" spans="1:6" x14ac:dyDescent="0.25">
      <c r="A83841"/>
      <c r="B83841"/>
      <c r="C83841"/>
      <c r="E83841"/>
      <c r="F83841"/>
    </row>
    <row r="83842" spans="1:6" x14ac:dyDescent="0.25">
      <c r="A83842"/>
      <c r="B83842"/>
      <c r="C83842"/>
      <c r="E83842"/>
      <c r="F83842"/>
    </row>
    <row r="83843" spans="1:6" x14ac:dyDescent="0.25">
      <c r="A83843"/>
      <c r="B83843"/>
      <c r="C83843"/>
      <c r="E83843"/>
      <c r="F83843"/>
    </row>
    <row r="83844" spans="1:6" x14ac:dyDescent="0.25">
      <c r="A83844"/>
      <c r="B83844"/>
      <c r="C83844"/>
      <c r="E83844"/>
      <c r="F83844"/>
    </row>
    <row r="83845" spans="1:6" x14ac:dyDescent="0.25">
      <c r="A83845"/>
      <c r="B83845"/>
      <c r="C83845"/>
      <c r="E83845"/>
      <c r="F83845"/>
    </row>
    <row r="83846" spans="1:6" x14ac:dyDescent="0.25">
      <c r="A83846"/>
      <c r="B83846"/>
      <c r="C83846"/>
      <c r="E83846"/>
      <c r="F83846"/>
    </row>
    <row r="83847" spans="1:6" x14ac:dyDescent="0.25">
      <c r="A83847"/>
      <c r="B83847"/>
      <c r="C83847"/>
      <c r="E83847"/>
      <c r="F83847"/>
    </row>
    <row r="83848" spans="1:6" x14ac:dyDescent="0.25">
      <c r="A83848"/>
      <c r="B83848"/>
      <c r="C83848"/>
      <c r="E83848"/>
      <c r="F83848"/>
    </row>
    <row r="83849" spans="1:6" x14ac:dyDescent="0.25">
      <c r="A83849"/>
      <c r="B83849"/>
      <c r="C83849"/>
      <c r="E83849"/>
      <c r="F83849"/>
    </row>
    <row r="83850" spans="1:6" x14ac:dyDescent="0.25">
      <c r="A83850"/>
      <c r="B83850"/>
      <c r="C83850"/>
      <c r="E83850"/>
      <c r="F83850"/>
    </row>
    <row r="83851" spans="1:6" x14ac:dyDescent="0.25">
      <c r="A83851"/>
      <c r="B83851"/>
      <c r="C83851"/>
      <c r="E83851"/>
      <c r="F83851"/>
    </row>
    <row r="83852" spans="1:6" x14ac:dyDescent="0.25">
      <c r="A83852"/>
      <c r="B83852"/>
      <c r="C83852"/>
      <c r="E83852"/>
      <c r="F83852"/>
    </row>
    <row r="83853" spans="1:6" x14ac:dyDescent="0.25">
      <c r="A83853"/>
      <c r="B83853"/>
      <c r="C83853"/>
      <c r="E83853"/>
      <c r="F83853"/>
    </row>
    <row r="83854" spans="1:6" x14ac:dyDescent="0.25">
      <c r="A83854"/>
      <c r="B83854"/>
      <c r="C83854"/>
      <c r="E83854"/>
      <c r="F83854"/>
    </row>
    <row r="83855" spans="1:6" x14ac:dyDescent="0.25">
      <c r="A83855"/>
      <c r="B83855"/>
      <c r="C83855"/>
      <c r="E83855"/>
      <c r="F83855"/>
    </row>
    <row r="83856" spans="1:6" x14ac:dyDescent="0.25">
      <c r="A83856"/>
      <c r="B83856"/>
      <c r="C83856"/>
      <c r="E83856"/>
      <c r="F83856"/>
    </row>
    <row r="83857" spans="1:6" x14ac:dyDescent="0.25">
      <c r="A83857"/>
      <c r="B83857"/>
      <c r="C83857"/>
      <c r="E83857"/>
      <c r="F83857"/>
    </row>
    <row r="83858" spans="1:6" x14ac:dyDescent="0.25">
      <c r="A83858"/>
      <c r="B83858"/>
      <c r="C83858"/>
      <c r="E83858"/>
      <c r="F83858"/>
    </row>
    <row r="83859" spans="1:6" x14ac:dyDescent="0.25">
      <c r="A83859"/>
      <c r="B83859"/>
      <c r="C83859"/>
      <c r="E83859"/>
      <c r="F83859"/>
    </row>
    <row r="83860" spans="1:6" x14ac:dyDescent="0.25">
      <c r="A83860"/>
      <c r="B83860"/>
      <c r="C83860"/>
      <c r="E83860"/>
      <c r="F83860"/>
    </row>
    <row r="83861" spans="1:6" x14ac:dyDescent="0.25">
      <c r="A83861"/>
      <c r="B83861"/>
      <c r="C83861"/>
      <c r="E83861"/>
      <c r="F83861"/>
    </row>
    <row r="83862" spans="1:6" x14ac:dyDescent="0.25">
      <c r="A83862"/>
      <c r="B83862"/>
      <c r="C83862"/>
      <c r="E83862"/>
      <c r="F83862"/>
    </row>
    <row r="83863" spans="1:6" x14ac:dyDescent="0.25">
      <c r="A83863"/>
      <c r="B83863"/>
      <c r="C83863"/>
      <c r="E83863"/>
      <c r="F83863"/>
    </row>
    <row r="83864" spans="1:6" x14ac:dyDescent="0.25">
      <c r="A83864"/>
      <c r="B83864"/>
      <c r="C83864"/>
      <c r="E83864"/>
      <c r="F83864"/>
    </row>
    <row r="83865" spans="1:6" x14ac:dyDescent="0.25">
      <c r="A83865"/>
      <c r="B83865"/>
      <c r="C83865"/>
      <c r="E83865"/>
      <c r="F83865"/>
    </row>
    <row r="83866" spans="1:6" x14ac:dyDescent="0.25">
      <c r="A83866"/>
      <c r="B83866"/>
      <c r="C83866"/>
      <c r="E83866"/>
      <c r="F83866"/>
    </row>
    <row r="83867" spans="1:6" x14ac:dyDescent="0.25">
      <c r="A83867"/>
      <c r="B83867"/>
      <c r="C83867"/>
      <c r="E83867"/>
      <c r="F83867"/>
    </row>
    <row r="83868" spans="1:6" x14ac:dyDescent="0.25">
      <c r="A83868"/>
      <c r="B83868"/>
      <c r="C83868"/>
      <c r="E83868"/>
      <c r="F83868"/>
    </row>
    <row r="83869" spans="1:6" x14ac:dyDescent="0.25">
      <c r="A83869"/>
      <c r="B83869"/>
      <c r="C83869"/>
      <c r="E83869"/>
      <c r="F83869"/>
    </row>
    <row r="83870" spans="1:6" x14ac:dyDescent="0.25">
      <c r="A83870"/>
      <c r="B83870"/>
      <c r="C83870"/>
      <c r="E83870"/>
      <c r="F83870"/>
    </row>
    <row r="83871" spans="1:6" x14ac:dyDescent="0.25">
      <c r="A83871"/>
      <c r="B83871"/>
      <c r="C83871"/>
      <c r="E83871"/>
      <c r="F83871"/>
    </row>
    <row r="83872" spans="1:6" x14ac:dyDescent="0.25">
      <c r="A83872"/>
      <c r="B83872"/>
      <c r="C83872"/>
      <c r="E83872"/>
      <c r="F83872"/>
    </row>
    <row r="83873" spans="1:6" x14ac:dyDescent="0.25">
      <c r="A83873"/>
      <c r="B83873"/>
      <c r="C83873"/>
      <c r="E83873"/>
      <c r="F83873"/>
    </row>
    <row r="83874" spans="1:6" x14ac:dyDescent="0.25">
      <c r="A83874"/>
      <c r="B83874"/>
      <c r="C83874"/>
      <c r="E83874"/>
      <c r="F83874"/>
    </row>
    <row r="83875" spans="1:6" x14ac:dyDescent="0.25">
      <c r="A83875"/>
      <c r="B83875"/>
      <c r="C83875"/>
      <c r="E83875"/>
      <c r="F83875"/>
    </row>
    <row r="83876" spans="1:6" x14ac:dyDescent="0.25">
      <c r="A83876"/>
      <c r="B83876"/>
      <c r="C83876"/>
      <c r="E83876"/>
      <c r="F83876"/>
    </row>
    <row r="83877" spans="1:6" x14ac:dyDescent="0.25">
      <c r="A83877"/>
      <c r="B83877"/>
      <c r="C83877"/>
      <c r="E83877"/>
      <c r="F83877"/>
    </row>
    <row r="83878" spans="1:6" x14ac:dyDescent="0.25">
      <c r="A83878"/>
      <c r="B83878"/>
      <c r="C83878"/>
      <c r="E83878"/>
      <c r="F83878"/>
    </row>
    <row r="83879" spans="1:6" x14ac:dyDescent="0.25">
      <c r="A83879"/>
      <c r="B83879"/>
      <c r="C83879"/>
      <c r="E83879"/>
      <c r="F83879"/>
    </row>
    <row r="83880" spans="1:6" x14ac:dyDescent="0.25">
      <c r="A83880"/>
      <c r="B83880"/>
      <c r="C83880"/>
      <c r="E83880"/>
      <c r="F83880"/>
    </row>
    <row r="83881" spans="1:6" x14ac:dyDescent="0.25">
      <c r="A83881"/>
      <c r="B83881"/>
      <c r="C83881"/>
      <c r="E83881"/>
      <c r="F83881"/>
    </row>
    <row r="83882" spans="1:6" x14ac:dyDescent="0.25">
      <c r="A83882"/>
      <c r="B83882"/>
      <c r="C83882"/>
      <c r="E83882"/>
      <c r="F83882"/>
    </row>
    <row r="83883" spans="1:6" x14ac:dyDescent="0.25">
      <c r="A83883"/>
      <c r="B83883"/>
      <c r="C83883"/>
      <c r="E83883"/>
      <c r="F83883"/>
    </row>
    <row r="83884" spans="1:6" x14ac:dyDescent="0.25">
      <c r="A83884"/>
      <c r="B83884"/>
      <c r="C83884"/>
      <c r="E83884"/>
      <c r="F83884"/>
    </row>
    <row r="83885" spans="1:6" x14ac:dyDescent="0.25">
      <c r="A83885"/>
      <c r="B83885"/>
      <c r="C83885"/>
      <c r="E83885"/>
      <c r="F83885"/>
    </row>
    <row r="83886" spans="1:6" x14ac:dyDescent="0.25">
      <c r="A83886"/>
      <c r="B83886"/>
      <c r="C83886"/>
      <c r="E83886"/>
      <c r="F83886"/>
    </row>
    <row r="83887" spans="1:6" x14ac:dyDescent="0.25">
      <c r="A83887"/>
      <c r="B83887"/>
      <c r="C83887"/>
      <c r="E83887"/>
      <c r="F83887"/>
    </row>
    <row r="83888" spans="1:6" x14ac:dyDescent="0.25">
      <c r="A83888"/>
      <c r="B83888"/>
      <c r="C83888"/>
      <c r="E83888"/>
      <c r="F83888"/>
    </row>
    <row r="83889" spans="1:6" x14ac:dyDescent="0.25">
      <c r="A83889"/>
      <c r="B83889"/>
      <c r="C83889"/>
      <c r="E83889"/>
      <c r="F83889"/>
    </row>
    <row r="83890" spans="1:6" x14ac:dyDescent="0.25">
      <c r="A83890"/>
      <c r="B83890"/>
      <c r="C83890"/>
      <c r="E83890"/>
      <c r="F83890"/>
    </row>
    <row r="83891" spans="1:6" x14ac:dyDescent="0.25">
      <c r="A83891"/>
      <c r="B83891"/>
      <c r="C83891"/>
      <c r="E83891"/>
      <c r="F83891"/>
    </row>
    <row r="83892" spans="1:6" x14ac:dyDescent="0.25">
      <c r="A83892"/>
      <c r="B83892"/>
      <c r="C83892"/>
      <c r="E83892"/>
      <c r="F83892"/>
    </row>
    <row r="83893" spans="1:6" x14ac:dyDescent="0.25">
      <c r="A83893"/>
      <c r="B83893"/>
      <c r="C83893"/>
      <c r="E83893"/>
      <c r="F83893"/>
    </row>
    <row r="83894" spans="1:6" x14ac:dyDescent="0.25">
      <c r="A83894"/>
      <c r="B83894"/>
      <c r="C83894"/>
      <c r="E83894"/>
      <c r="F83894"/>
    </row>
    <row r="83895" spans="1:6" x14ac:dyDescent="0.25">
      <c r="A83895"/>
      <c r="B83895"/>
      <c r="C83895"/>
      <c r="E83895"/>
      <c r="F83895"/>
    </row>
    <row r="83896" spans="1:6" x14ac:dyDescent="0.25">
      <c r="A83896"/>
      <c r="B83896"/>
      <c r="C83896"/>
      <c r="E83896"/>
      <c r="F83896"/>
    </row>
    <row r="83897" spans="1:6" x14ac:dyDescent="0.25">
      <c r="A83897"/>
      <c r="B83897"/>
      <c r="C83897"/>
      <c r="E83897"/>
      <c r="F83897"/>
    </row>
    <row r="83898" spans="1:6" x14ac:dyDescent="0.25">
      <c r="A83898"/>
      <c r="B83898"/>
      <c r="C83898"/>
      <c r="E83898"/>
      <c r="F83898"/>
    </row>
    <row r="83899" spans="1:6" x14ac:dyDescent="0.25">
      <c r="A83899"/>
      <c r="B83899"/>
      <c r="C83899"/>
      <c r="E83899"/>
      <c r="F83899"/>
    </row>
    <row r="83900" spans="1:6" x14ac:dyDescent="0.25">
      <c r="A83900"/>
      <c r="B83900"/>
      <c r="C83900"/>
      <c r="E83900"/>
      <c r="F83900"/>
    </row>
    <row r="83901" spans="1:6" x14ac:dyDescent="0.25">
      <c r="A83901"/>
      <c r="B83901"/>
      <c r="C83901"/>
      <c r="E83901"/>
      <c r="F83901"/>
    </row>
    <row r="83902" spans="1:6" x14ac:dyDescent="0.25">
      <c r="A83902"/>
      <c r="B83902"/>
      <c r="C83902"/>
      <c r="E83902"/>
      <c r="F83902"/>
    </row>
    <row r="83903" spans="1:6" x14ac:dyDescent="0.25">
      <c r="A83903"/>
      <c r="B83903"/>
      <c r="C83903"/>
      <c r="E83903"/>
      <c r="F83903"/>
    </row>
    <row r="83904" spans="1:6" x14ac:dyDescent="0.25">
      <c r="A83904"/>
      <c r="B83904"/>
      <c r="C83904"/>
      <c r="E83904"/>
      <c r="F83904"/>
    </row>
    <row r="83905" spans="1:6" x14ac:dyDescent="0.25">
      <c r="A83905"/>
      <c r="B83905"/>
      <c r="C83905"/>
      <c r="E83905"/>
      <c r="F83905"/>
    </row>
    <row r="83906" spans="1:6" x14ac:dyDescent="0.25">
      <c r="A83906"/>
      <c r="B83906"/>
      <c r="C83906"/>
      <c r="E83906"/>
      <c r="F83906"/>
    </row>
    <row r="83907" spans="1:6" x14ac:dyDescent="0.25">
      <c r="A83907"/>
      <c r="B83907"/>
      <c r="C83907"/>
      <c r="E83907"/>
      <c r="F83907"/>
    </row>
    <row r="83908" spans="1:6" x14ac:dyDescent="0.25">
      <c r="A83908"/>
      <c r="B83908"/>
      <c r="C83908"/>
      <c r="E83908"/>
      <c r="F83908"/>
    </row>
    <row r="83909" spans="1:6" x14ac:dyDescent="0.25">
      <c r="A83909"/>
      <c r="B83909"/>
      <c r="C83909"/>
      <c r="E83909"/>
      <c r="F83909"/>
    </row>
    <row r="83910" spans="1:6" x14ac:dyDescent="0.25">
      <c r="A83910"/>
      <c r="B83910"/>
      <c r="C83910"/>
      <c r="E83910"/>
      <c r="F83910"/>
    </row>
    <row r="83911" spans="1:6" x14ac:dyDescent="0.25">
      <c r="A83911"/>
      <c r="B83911"/>
      <c r="C83911"/>
      <c r="E83911"/>
      <c r="F83911"/>
    </row>
    <row r="83912" spans="1:6" x14ac:dyDescent="0.25">
      <c r="A83912"/>
      <c r="B83912"/>
      <c r="C83912"/>
      <c r="E83912"/>
      <c r="F83912"/>
    </row>
    <row r="83913" spans="1:6" x14ac:dyDescent="0.25">
      <c r="A83913"/>
      <c r="B83913"/>
      <c r="C83913"/>
      <c r="E83913"/>
      <c r="F83913"/>
    </row>
    <row r="83914" spans="1:6" x14ac:dyDescent="0.25">
      <c r="A83914"/>
      <c r="B83914"/>
      <c r="C83914"/>
      <c r="E83914"/>
      <c r="F83914"/>
    </row>
    <row r="83915" spans="1:6" x14ac:dyDescent="0.25">
      <c r="A83915"/>
      <c r="B83915"/>
      <c r="C83915"/>
      <c r="E83915"/>
      <c r="F83915"/>
    </row>
    <row r="83916" spans="1:6" x14ac:dyDescent="0.25">
      <c r="A83916"/>
      <c r="B83916"/>
      <c r="C83916"/>
      <c r="E83916"/>
      <c r="F83916"/>
    </row>
    <row r="83917" spans="1:6" x14ac:dyDescent="0.25">
      <c r="A83917"/>
      <c r="B83917"/>
      <c r="C83917"/>
      <c r="E83917"/>
      <c r="F83917"/>
    </row>
    <row r="83918" spans="1:6" x14ac:dyDescent="0.25">
      <c r="A83918"/>
      <c r="B83918"/>
      <c r="C83918"/>
      <c r="E83918"/>
      <c r="F83918"/>
    </row>
    <row r="83919" spans="1:6" x14ac:dyDescent="0.25">
      <c r="A83919"/>
      <c r="B83919"/>
      <c r="C83919"/>
      <c r="E83919"/>
      <c r="F83919"/>
    </row>
    <row r="83920" spans="1:6" x14ac:dyDescent="0.25">
      <c r="A83920"/>
      <c r="B83920"/>
      <c r="C83920"/>
      <c r="E83920"/>
      <c r="F83920"/>
    </row>
    <row r="83921" spans="1:6" x14ac:dyDescent="0.25">
      <c r="A83921"/>
      <c r="B83921"/>
      <c r="C83921"/>
      <c r="E83921"/>
      <c r="F83921"/>
    </row>
    <row r="83922" spans="1:6" x14ac:dyDescent="0.25">
      <c r="A83922"/>
      <c r="B83922"/>
      <c r="C83922"/>
      <c r="E83922"/>
      <c r="F83922"/>
    </row>
    <row r="83923" spans="1:6" x14ac:dyDescent="0.25">
      <c r="A83923"/>
      <c r="B83923"/>
      <c r="C83923"/>
      <c r="E83923"/>
      <c r="F83923"/>
    </row>
    <row r="83924" spans="1:6" x14ac:dyDescent="0.25">
      <c r="A83924"/>
      <c r="B83924"/>
      <c r="C83924"/>
      <c r="E83924"/>
      <c r="F83924"/>
    </row>
    <row r="83925" spans="1:6" x14ac:dyDescent="0.25">
      <c r="A83925"/>
      <c r="B83925"/>
      <c r="C83925"/>
      <c r="E83925"/>
      <c r="F83925"/>
    </row>
    <row r="83926" spans="1:6" x14ac:dyDescent="0.25">
      <c r="A83926"/>
      <c r="B83926"/>
      <c r="C83926"/>
      <c r="E83926"/>
      <c r="F83926"/>
    </row>
    <row r="83927" spans="1:6" x14ac:dyDescent="0.25">
      <c r="A83927"/>
      <c r="B83927"/>
      <c r="C83927"/>
      <c r="E83927"/>
      <c r="F83927"/>
    </row>
    <row r="83928" spans="1:6" x14ac:dyDescent="0.25">
      <c r="A83928"/>
      <c r="B83928"/>
      <c r="C83928"/>
      <c r="E83928"/>
      <c r="F83928"/>
    </row>
    <row r="83929" spans="1:6" x14ac:dyDescent="0.25">
      <c r="A83929"/>
      <c r="B83929"/>
      <c r="C83929"/>
      <c r="E83929"/>
      <c r="F83929"/>
    </row>
    <row r="83930" spans="1:6" x14ac:dyDescent="0.25">
      <c r="A83930"/>
      <c r="B83930"/>
      <c r="C83930"/>
      <c r="E83930"/>
      <c r="F83930"/>
    </row>
    <row r="83931" spans="1:6" x14ac:dyDescent="0.25">
      <c r="A83931"/>
      <c r="B83931"/>
      <c r="C83931"/>
      <c r="E83931"/>
      <c r="F83931"/>
    </row>
    <row r="83932" spans="1:6" x14ac:dyDescent="0.25">
      <c r="A83932"/>
      <c r="B83932"/>
      <c r="C83932"/>
      <c r="E83932"/>
      <c r="F83932"/>
    </row>
    <row r="83933" spans="1:6" x14ac:dyDescent="0.25">
      <c r="A83933"/>
      <c r="B83933"/>
      <c r="C83933"/>
      <c r="E83933"/>
      <c r="F83933"/>
    </row>
    <row r="83934" spans="1:6" x14ac:dyDescent="0.25">
      <c r="A83934"/>
      <c r="B83934"/>
      <c r="C83934"/>
      <c r="E83934"/>
      <c r="F83934"/>
    </row>
    <row r="83935" spans="1:6" x14ac:dyDescent="0.25">
      <c r="A83935"/>
      <c r="B83935"/>
      <c r="C83935"/>
      <c r="E83935"/>
      <c r="F83935"/>
    </row>
    <row r="83936" spans="1:6" x14ac:dyDescent="0.25">
      <c r="A83936"/>
      <c r="B83936"/>
      <c r="C83936"/>
      <c r="E83936"/>
      <c r="F83936"/>
    </row>
    <row r="83937" spans="1:6" x14ac:dyDescent="0.25">
      <c r="A83937"/>
      <c r="B83937"/>
      <c r="C83937"/>
      <c r="E83937"/>
      <c r="F83937"/>
    </row>
    <row r="83938" spans="1:6" x14ac:dyDescent="0.25">
      <c r="A83938"/>
      <c r="B83938"/>
      <c r="C83938"/>
      <c r="E83938"/>
      <c r="F83938"/>
    </row>
    <row r="83939" spans="1:6" x14ac:dyDescent="0.25">
      <c r="A83939"/>
      <c r="B83939"/>
      <c r="C83939"/>
      <c r="E83939"/>
      <c r="F83939"/>
    </row>
    <row r="83940" spans="1:6" x14ac:dyDescent="0.25">
      <c r="A83940"/>
      <c r="B83940"/>
      <c r="C83940"/>
      <c r="E83940"/>
      <c r="F83940"/>
    </row>
    <row r="83941" spans="1:6" x14ac:dyDescent="0.25">
      <c r="A83941"/>
      <c r="B83941"/>
      <c r="C83941"/>
      <c r="E83941"/>
      <c r="F83941"/>
    </row>
    <row r="83942" spans="1:6" x14ac:dyDescent="0.25">
      <c r="A83942"/>
      <c r="B83942"/>
      <c r="C83942"/>
      <c r="E83942"/>
      <c r="F83942"/>
    </row>
    <row r="83943" spans="1:6" x14ac:dyDescent="0.25">
      <c r="A83943"/>
      <c r="B83943"/>
      <c r="C83943"/>
      <c r="E83943"/>
      <c r="F83943"/>
    </row>
    <row r="83944" spans="1:6" x14ac:dyDescent="0.25">
      <c r="A83944"/>
      <c r="B83944"/>
      <c r="C83944"/>
      <c r="E83944"/>
      <c r="F83944"/>
    </row>
    <row r="83945" spans="1:6" x14ac:dyDescent="0.25">
      <c r="A83945"/>
      <c r="B83945"/>
      <c r="C83945"/>
      <c r="E83945"/>
      <c r="F83945"/>
    </row>
    <row r="83946" spans="1:6" x14ac:dyDescent="0.25">
      <c r="A83946"/>
      <c r="B83946"/>
      <c r="C83946"/>
      <c r="E83946"/>
      <c r="F83946"/>
    </row>
    <row r="83947" spans="1:6" x14ac:dyDescent="0.25">
      <c r="A83947"/>
      <c r="B83947"/>
      <c r="C83947"/>
      <c r="E83947"/>
      <c r="F83947"/>
    </row>
    <row r="83948" spans="1:6" x14ac:dyDescent="0.25">
      <c r="A83948"/>
      <c r="B83948"/>
      <c r="C83948"/>
      <c r="E83948"/>
      <c r="F83948"/>
    </row>
    <row r="83949" spans="1:6" x14ac:dyDescent="0.25">
      <c r="A83949"/>
      <c r="B83949"/>
      <c r="C83949"/>
      <c r="E83949"/>
      <c r="F83949"/>
    </row>
    <row r="83950" spans="1:6" x14ac:dyDescent="0.25">
      <c r="A83950"/>
      <c r="B83950"/>
      <c r="C83950"/>
      <c r="E83950"/>
      <c r="F83950"/>
    </row>
    <row r="83951" spans="1:6" x14ac:dyDescent="0.25">
      <c r="A83951"/>
      <c r="B83951"/>
      <c r="C83951"/>
      <c r="E83951"/>
      <c r="F83951"/>
    </row>
    <row r="83952" spans="1:6" x14ac:dyDescent="0.25">
      <c r="A83952"/>
      <c r="B83952"/>
      <c r="C83952"/>
      <c r="E83952"/>
      <c r="F83952"/>
    </row>
    <row r="83953" spans="1:6" x14ac:dyDescent="0.25">
      <c r="A83953"/>
      <c r="B83953"/>
      <c r="C83953"/>
      <c r="E83953"/>
      <c r="F83953"/>
    </row>
    <row r="83954" spans="1:6" x14ac:dyDescent="0.25">
      <c r="A83954"/>
      <c r="B83954"/>
      <c r="C83954"/>
      <c r="E83954"/>
      <c r="F83954"/>
    </row>
    <row r="83955" spans="1:6" x14ac:dyDescent="0.25">
      <c r="A83955"/>
      <c r="B83955"/>
      <c r="C83955"/>
      <c r="E83955"/>
      <c r="F83955"/>
    </row>
    <row r="83956" spans="1:6" x14ac:dyDescent="0.25">
      <c r="A83956"/>
      <c r="B83956"/>
      <c r="C83956"/>
      <c r="E83956"/>
      <c r="F83956"/>
    </row>
    <row r="83957" spans="1:6" x14ac:dyDescent="0.25">
      <c r="A83957"/>
      <c r="B83957"/>
      <c r="C83957"/>
      <c r="E83957"/>
      <c r="F83957"/>
    </row>
    <row r="83958" spans="1:6" x14ac:dyDescent="0.25">
      <c r="A83958"/>
      <c r="B83958"/>
      <c r="C83958"/>
      <c r="E83958"/>
      <c r="F83958"/>
    </row>
    <row r="83959" spans="1:6" x14ac:dyDescent="0.25">
      <c r="A83959"/>
      <c r="B83959"/>
      <c r="C83959"/>
      <c r="E83959"/>
      <c r="F83959"/>
    </row>
    <row r="83960" spans="1:6" x14ac:dyDescent="0.25">
      <c r="A83960"/>
      <c r="B83960"/>
      <c r="C83960"/>
      <c r="E83960"/>
      <c r="F83960"/>
    </row>
    <row r="83961" spans="1:6" x14ac:dyDescent="0.25">
      <c r="A83961"/>
      <c r="B83961"/>
      <c r="C83961"/>
      <c r="E83961"/>
      <c r="F83961"/>
    </row>
    <row r="83962" spans="1:6" x14ac:dyDescent="0.25">
      <c r="A83962"/>
      <c r="B83962"/>
      <c r="C83962"/>
      <c r="E83962"/>
      <c r="F83962"/>
    </row>
    <row r="83963" spans="1:6" x14ac:dyDescent="0.25">
      <c r="A83963"/>
      <c r="B83963"/>
      <c r="C83963"/>
      <c r="E83963"/>
      <c r="F83963"/>
    </row>
    <row r="83964" spans="1:6" x14ac:dyDescent="0.25">
      <c r="A83964"/>
      <c r="B83964"/>
      <c r="C83964"/>
      <c r="E83964"/>
      <c r="F83964"/>
    </row>
    <row r="83965" spans="1:6" x14ac:dyDescent="0.25">
      <c r="A83965"/>
      <c r="B83965"/>
      <c r="C83965"/>
      <c r="E83965"/>
      <c r="F83965"/>
    </row>
    <row r="83966" spans="1:6" x14ac:dyDescent="0.25">
      <c r="A83966"/>
      <c r="B83966"/>
      <c r="C83966"/>
      <c r="E83966"/>
      <c r="F83966"/>
    </row>
    <row r="83967" spans="1:6" x14ac:dyDescent="0.25">
      <c r="A83967"/>
      <c r="B83967"/>
      <c r="C83967"/>
      <c r="E83967"/>
      <c r="F83967"/>
    </row>
    <row r="83968" spans="1:6" x14ac:dyDescent="0.25">
      <c r="A83968"/>
      <c r="B83968"/>
      <c r="C83968"/>
      <c r="E83968"/>
      <c r="F83968"/>
    </row>
    <row r="83969" spans="1:6" x14ac:dyDescent="0.25">
      <c r="A83969"/>
      <c r="B83969"/>
      <c r="C83969"/>
      <c r="E83969"/>
      <c r="F83969"/>
    </row>
    <row r="83970" spans="1:6" x14ac:dyDescent="0.25">
      <c r="A83970"/>
      <c r="B83970"/>
      <c r="C83970"/>
      <c r="E83970"/>
      <c r="F83970"/>
    </row>
    <row r="83971" spans="1:6" x14ac:dyDescent="0.25">
      <c r="A83971"/>
      <c r="B83971"/>
      <c r="C83971"/>
      <c r="E83971"/>
      <c r="F83971"/>
    </row>
    <row r="83972" spans="1:6" x14ac:dyDescent="0.25">
      <c r="A83972"/>
      <c r="B83972"/>
      <c r="C83972"/>
      <c r="E83972"/>
      <c r="F83972"/>
    </row>
    <row r="83973" spans="1:6" x14ac:dyDescent="0.25">
      <c r="A83973"/>
      <c r="B83973"/>
      <c r="C83973"/>
      <c r="E83973"/>
      <c r="F83973"/>
    </row>
    <row r="83974" spans="1:6" x14ac:dyDescent="0.25">
      <c r="A83974"/>
      <c r="B83974"/>
      <c r="C83974"/>
      <c r="E83974"/>
      <c r="F83974"/>
    </row>
    <row r="83975" spans="1:6" x14ac:dyDescent="0.25">
      <c r="A83975"/>
      <c r="B83975"/>
      <c r="C83975"/>
      <c r="E83975"/>
      <c r="F83975"/>
    </row>
    <row r="83976" spans="1:6" x14ac:dyDescent="0.25">
      <c r="A83976"/>
      <c r="B83976"/>
      <c r="C83976"/>
      <c r="E83976"/>
      <c r="F83976"/>
    </row>
    <row r="83977" spans="1:6" x14ac:dyDescent="0.25">
      <c r="A83977"/>
      <c r="B83977"/>
      <c r="C83977"/>
      <c r="E83977"/>
      <c r="F83977"/>
    </row>
    <row r="83978" spans="1:6" x14ac:dyDescent="0.25">
      <c r="A83978"/>
      <c r="B83978"/>
      <c r="C83978"/>
      <c r="E83978"/>
      <c r="F83978"/>
    </row>
    <row r="83979" spans="1:6" x14ac:dyDescent="0.25">
      <c r="A83979"/>
      <c r="B83979"/>
      <c r="C83979"/>
      <c r="E83979"/>
      <c r="F83979"/>
    </row>
    <row r="83980" spans="1:6" x14ac:dyDescent="0.25">
      <c r="A83980"/>
      <c r="B83980"/>
      <c r="C83980"/>
      <c r="E83980"/>
      <c r="F83980"/>
    </row>
    <row r="83981" spans="1:6" x14ac:dyDescent="0.25">
      <c r="A83981"/>
      <c r="B83981"/>
      <c r="C83981"/>
      <c r="E83981"/>
      <c r="F83981"/>
    </row>
    <row r="83982" spans="1:6" x14ac:dyDescent="0.25">
      <c r="A83982"/>
      <c r="B83982"/>
      <c r="C83982"/>
      <c r="E83982"/>
      <c r="F83982"/>
    </row>
    <row r="83983" spans="1:6" x14ac:dyDescent="0.25">
      <c r="A83983"/>
      <c r="B83983"/>
      <c r="C83983"/>
      <c r="E83983"/>
      <c r="F83983"/>
    </row>
    <row r="83984" spans="1:6" x14ac:dyDescent="0.25">
      <c r="A83984"/>
      <c r="B83984"/>
      <c r="C83984"/>
      <c r="E83984"/>
      <c r="F83984"/>
    </row>
    <row r="83985" spans="1:6" x14ac:dyDescent="0.25">
      <c r="A83985"/>
      <c r="B83985"/>
      <c r="C83985"/>
      <c r="E83985"/>
      <c r="F83985"/>
    </row>
    <row r="83986" spans="1:6" x14ac:dyDescent="0.25">
      <c r="A83986"/>
      <c r="B83986"/>
      <c r="C83986"/>
      <c r="E83986"/>
      <c r="F83986"/>
    </row>
    <row r="83987" spans="1:6" x14ac:dyDescent="0.25">
      <c r="A83987"/>
      <c r="B83987"/>
      <c r="C83987"/>
      <c r="E83987"/>
      <c r="F83987"/>
    </row>
    <row r="83988" spans="1:6" x14ac:dyDescent="0.25">
      <c r="A83988"/>
      <c r="B83988"/>
      <c r="C83988"/>
      <c r="E83988"/>
      <c r="F83988"/>
    </row>
    <row r="83989" spans="1:6" x14ac:dyDescent="0.25">
      <c r="A83989"/>
      <c r="B83989"/>
      <c r="C83989"/>
      <c r="E83989"/>
      <c r="F83989"/>
    </row>
    <row r="83990" spans="1:6" x14ac:dyDescent="0.25">
      <c r="A83990"/>
      <c r="B83990"/>
      <c r="C83990"/>
      <c r="E83990"/>
      <c r="F83990"/>
    </row>
    <row r="83991" spans="1:6" x14ac:dyDescent="0.25">
      <c r="A83991"/>
      <c r="B83991"/>
      <c r="C83991"/>
      <c r="E83991"/>
      <c r="F83991"/>
    </row>
    <row r="83992" spans="1:6" x14ac:dyDescent="0.25">
      <c r="A83992"/>
      <c r="B83992"/>
      <c r="C83992"/>
      <c r="E83992"/>
      <c r="F83992"/>
    </row>
    <row r="83993" spans="1:6" x14ac:dyDescent="0.25">
      <c r="A83993"/>
      <c r="B83993"/>
      <c r="C83993"/>
      <c r="E83993"/>
      <c r="F83993"/>
    </row>
    <row r="83994" spans="1:6" x14ac:dyDescent="0.25">
      <c r="A83994"/>
      <c r="B83994"/>
      <c r="C83994"/>
      <c r="E83994"/>
      <c r="F83994"/>
    </row>
    <row r="83995" spans="1:6" x14ac:dyDescent="0.25">
      <c r="A83995"/>
      <c r="B83995"/>
      <c r="C83995"/>
      <c r="E83995"/>
      <c r="F83995"/>
    </row>
    <row r="83996" spans="1:6" x14ac:dyDescent="0.25">
      <c r="A83996"/>
      <c r="B83996"/>
      <c r="C83996"/>
      <c r="E83996"/>
      <c r="F83996"/>
    </row>
    <row r="83997" spans="1:6" x14ac:dyDescent="0.25">
      <c r="A83997"/>
      <c r="B83997"/>
      <c r="C83997"/>
      <c r="E83997"/>
      <c r="F83997"/>
    </row>
    <row r="83998" spans="1:6" x14ac:dyDescent="0.25">
      <c r="A83998"/>
      <c r="B83998"/>
      <c r="C83998"/>
      <c r="E83998"/>
      <c r="F83998"/>
    </row>
    <row r="83999" spans="1:6" x14ac:dyDescent="0.25">
      <c r="A83999"/>
      <c r="B83999"/>
      <c r="C83999"/>
      <c r="E83999"/>
      <c r="F83999"/>
    </row>
    <row r="84000" spans="1:6" x14ac:dyDescent="0.25">
      <c r="A84000"/>
      <c r="B84000"/>
      <c r="C84000"/>
      <c r="E84000"/>
      <c r="F84000"/>
    </row>
    <row r="84001" spans="1:6" x14ac:dyDescent="0.25">
      <c r="A84001"/>
      <c r="B84001"/>
      <c r="C84001"/>
      <c r="E84001"/>
      <c r="F84001"/>
    </row>
    <row r="84002" spans="1:6" x14ac:dyDescent="0.25">
      <c r="A84002"/>
      <c r="B84002"/>
      <c r="C84002"/>
      <c r="E84002"/>
      <c r="F84002"/>
    </row>
    <row r="84003" spans="1:6" x14ac:dyDescent="0.25">
      <c r="A84003"/>
      <c r="B84003"/>
      <c r="C84003"/>
      <c r="E84003"/>
      <c r="F84003"/>
    </row>
    <row r="84004" spans="1:6" x14ac:dyDescent="0.25">
      <c r="A84004"/>
      <c r="B84004"/>
      <c r="C84004"/>
      <c r="E84004"/>
      <c r="F84004"/>
    </row>
    <row r="84005" spans="1:6" x14ac:dyDescent="0.25">
      <c r="A84005"/>
      <c r="B84005"/>
      <c r="C84005"/>
      <c r="E84005"/>
      <c r="F84005"/>
    </row>
    <row r="84006" spans="1:6" x14ac:dyDescent="0.25">
      <c r="A84006"/>
      <c r="B84006"/>
      <c r="C84006"/>
      <c r="E84006"/>
      <c r="F84006"/>
    </row>
    <row r="84007" spans="1:6" x14ac:dyDescent="0.25">
      <c r="A84007"/>
      <c r="B84007"/>
      <c r="C84007"/>
      <c r="E84007"/>
      <c r="F84007"/>
    </row>
    <row r="84008" spans="1:6" x14ac:dyDescent="0.25">
      <c r="A84008"/>
      <c r="B84008"/>
      <c r="C84008"/>
      <c r="E84008"/>
      <c r="F84008"/>
    </row>
    <row r="84009" spans="1:6" x14ac:dyDescent="0.25">
      <c r="A84009"/>
      <c r="B84009"/>
      <c r="C84009"/>
      <c r="E84009"/>
      <c r="F84009"/>
    </row>
    <row r="84010" spans="1:6" x14ac:dyDescent="0.25">
      <c r="A84010"/>
      <c r="B84010"/>
      <c r="C84010"/>
      <c r="E84010"/>
      <c r="F84010"/>
    </row>
    <row r="84011" spans="1:6" x14ac:dyDescent="0.25">
      <c r="A84011"/>
      <c r="B84011"/>
      <c r="C84011"/>
      <c r="E84011"/>
      <c r="F84011"/>
    </row>
    <row r="84012" spans="1:6" x14ac:dyDescent="0.25">
      <c r="A84012"/>
      <c r="B84012"/>
      <c r="C84012"/>
      <c r="E84012"/>
      <c r="F84012"/>
    </row>
    <row r="84013" spans="1:6" x14ac:dyDescent="0.25">
      <c r="A84013"/>
      <c r="B84013"/>
      <c r="C84013"/>
      <c r="E84013"/>
      <c r="F84013"/>
    </row>
    <row r="84014" spans="1:6" x14ac:dyDescent="0.25">
      <c r="A84014"/>
      <c r="B84014"/>
      <c r="C84014"/>
      <c r="E84014"/>
      <c r="F84014"/>
    </row>
    <row r="84015" spans="1:6" x14ac:dyDescent="0.25">
      <c r="A84015"/>
      <c r="B84015"/>
      <c r="C84015"/>
      <c r="E84015"/>
      <c r="F84015"/>
    </row>
    <row r="84016" spans="1:6" x14ac:dyDescent="0.25">
      <c r="A84016"/>
      <c r="B84016"/>
      <c r="C84016"/>
      <c r="E84016"/>
      <c r="F84016"/>
    </row>
    <row r="84017" spans="1:6" x14ac:dyDescent="0.25">
      <c r="A84017"/>
      <c r="B84017"/>
      <c r="C84017"/>
      <c r="E84017"/>
      <c r="F84017"/>
    </row>
    <row r="84018" spans="1:6" x14ac:dyDescent="0.25">
      <c r="A84018"/>
      <c r="B84018"/>
      <c r="C84018"/>
      <c r="E84018"/>
      <c r="F84018"/>
    </row>
    <row r="84019" spans="1:6" x14ac:dyDescent="0.25">
      <c r="A84019"/>
      <c r="B84019"/>
      <c r="C84019"/>
      <c r="E84019"/>
      <c r="F84019"/>
    </row>
    <row r="84020" spans="1:6" x14ac:dyDescent="0.25">
      <c r="A84020"/>
      <c r="B84020"/>
      <c r="C84020"/>
      <c r="E84020"/>
      <c r="F84020"/>
    </row>
    <row r="84021" spans="1:6" x14ac:dyDescent="0.25">
      <c r="A84021"/>
      <c r="B84021"/>
      <c r="C84021"/>
      <c r="E84021"/>
      <c r="F84021"/>
    </row>
    <row r="84022" spans="1:6" x14ac:dyDescent="0.25">
      <c r="A84022"/>
      <c r="B84022"/>
      <c r="C84022"/>
      <c r="E84022"/>
      <c r="F84022"/>
    </row>
    <row r="84023" spans="1:6" x14ac:dyDescent="0.25">
      <c r="A84023"/>
      <c r="B84023"/>
      <c r="C84023"/>
      <c r="E84023"/>
      <c r="F84023"/>
    </row>
    <row r="84024" spans="1:6" x14ac:dyDescent="0.25">
      <c r="A84024"/>
      <c r="B84024"/>
      <c r="C84024"/>
      <c r="E84024"/>
      <c r="F84024"/>
    </row>
    <row r="84025" spans="1:6" x14ac:dyDescent="0.25">
      <c r="A84025"/>
      <c r="B84025"/>
      <c r="C84025"/>
      <c r="E84025"/>
      <c r="F84025"/>
    </row>
    <row r="84026" spans="1:6" x14ac:dyDescent="0.25">
      <c r="A84026"/>
      <c r="B84026"/>
      <c r="C84026"/>
      <c r="E84026"/>
      <c r="F84026"/>
    </row>
    <row r="84027" spans="1:6" x14ac:dyDescent="0.25">
      <c r="A84027"/>
      <c r="B84027"/>
      <c r="C84027"/>
      <c r="E84027"/>
      <c r="F84027"/>
    </row>
    <row r="84028" spans="1:6" x14ac:dyDescent="0.25">
      <c r="A84028"/>
      <c r="B84028"/>
      <c r="C84028"/>
      <c r="E84028"/>
      <c r="F84028"/>
    </row>
    <row r="84029" spans="1:6" x14ac:dyDescent="0.25">
      <c r="A84029"/>
      <c r="B84029"/>
      <c r="C84029"/>
      <c r="E84029"/>
      <c r="F84029"/>
    </row>
    <row r="84030" spans="1:6" x14ac:dyDescent="0.25">
      <c r="A84030"/>
      <c r="B84030"/>
      <c r="C84030"/>
      <c r="E84030"/>
      <c r="F84030"/>
    </row>
    <row r="84031" spans="1:6" x14ac:dyDescent="0.25">
      <c r="A84031"/>
      <c r="B84031"/>
      <c r="C84031"/>
      <c r="E84031"/>
      <c r="F84031"/>
    </row>
    <row r="84032" spans="1:6" x14ac:dyDescent="0.25">
      <c r="A84032"/>
      <c r="B84032"/>
      <c r="C84032"/>
      <c r="E84032"/>
      <c r="F84032"/>
    </row>
    <row r="84033" spans="1:6" x14ac:dyDescent="0.25">
      <c r="A84033"/>
      <c r="B84033"/>
      <c r="C84033"/>
      <c r="E84033"/>
      <c r="F84033"/>
    </row>
    <row r="84034" spans="1:6" x14ac:dyDescent="0.25">
      <c r="A84034"/>
      <c r="B84034"/>
      <c r="C84034"/>
      <c r="E84034"/>
      <c r="F84034"/>
    </row>
    <row r="84035" spans="1:6" x14ac:dyDescent="0.25">
      <c r="A84035"/>
      <c r="B84035"/>
      <c r="C84035"/>
      <c r="E84035"/>
      <c r="F84035"/>
    </row>
    <row r="84036" spans="1:6" x14ac:dyDescent="0.25">
      <c r="A84036"/>
      <c r="B84036"/>
      <c r="C84036"/>
      <c r="E84036"/>
      <c r="F84036"/>
    </row>
    <row r="84037" spans="1:6" x14ac:dyDescent="0.25">
      <c r="A84037"/>
      <c r="B84037"/>
      <c r="C84037"/>
      <c r="E84037"/>
      <c r="F84037"/>
    </row>
    <row r="84038" spans="1:6" x14ac:dyDescent="0.25">
      <c r="A84038"/>
      <c r="B84038"/>
      <c r="C84038"/>
      <c r="E84038"/>
      <c r="F84038"/>
    </row>
    <row r="84039" spans="1:6" x14ac:dyDescent="0.25">
      <c r="A84039"/>
      <c r="B84039"/>
      <c r="C84039"/>
      <c r="E84039"/>
      <c r="F84039"/>
    </row>
    <row r="84040" spans="1:6" x14ac:dyDescent="0.25">
      <c r="A84040"/>
      <c r="B84040"/>
      <c r="C84040"/>
      <c r="E84040"/>
      <c r="F84040"/>
    </row>
    <row r="84041" spans="1:6" x14ac:dyDescent="0.25">
      <c r="A84041"/>
      <c r="B84041"/>
      <c r="C84041"/>
      <c r="E84041"/>
      <c r="F84041"/>
    </row>
    <row r="84042" spans="1:6" x14ac:dyDescent="0.25">
      <c r="A84042"/>
      <c r="B84042"/>
      <c r="C84042"/>
      <c r="E84042"/>
      <c r="F84042"/>
    </row>
    <row r="84043" spans="1:6" x14ac:dyDescent="0.25">
      <c r="A84043"/>
      <c r="B84043"/>
      <c r="C84043"/>
      <c r="E84043"/>
      <c r="F84043"/>
    </row>
    <row r="84044" spans="1:6" x14ac:dyDescent="0.25">
      <c r="A84044"/>
      <c r="B84044"/>
      <c r="C84044"/>
      <c r="E84044"/>
      <c r="F84044"/>
    </row>
    <row r="84045" spans="1:6" x14ac:dyDescent="0.25">
      <c r="A84045"/>
      <c r="B84045"/>
      <c r="C84045"/>
      <c r="E84045"/>
      <c r="F84045"/>
    </row>
    <row r="84046" spans="1:6" x14ac:dyDescent="0.25">
      <c r="A84046"/>
      <c r="B84046"/>
      <c r="C84046"/>
      <c r="E84046"/>
      <c r="F84046"/>
    </row>
    <row r="84047" spans="1:6" x14ac:dyDescent="0.25">
      <c r="A84047"/>
      <c r="B84047"/>
      <c r="C84047"/>
      <c r="E84047"/>
      <c r="F84047"/>
    </row>
    <row r="84048" spans="1:6" x14ac:dyDescent="0.25">
      <c r="A84048"/>
      <c r="B84048"/>
      <c r="C84048"/>
      <c r="E84048"/>
      <c r="F84048"/>
    </row>
    <row r="84049" spans="1:6" x14ac:dyDescent="0.25">
      <c r="A84049"/>
      <c r="B84049"/>
      <c r="C84049"/>
      <c r="E84049"/>
      <c r="F84049"/>
    </row>
    <row r="84050" spans="1:6" x14ac:dyDescent="0.25">
      <c r="A84050"/>
      <c r="B84050"/>
      <c r="C84050"/>
      <c r="E84050"/>
      <c r="F84050"/>
    </row>
    <row r="84051" spans="1:6" x14ac:dyDescent="0.25">
      <c r="A84051"/>
      <c r="B84051"/>
      <c r="C84051"/>
      <c r="E84051"/>
      <c r="F84051"/>
    </row>
    <row r="84052" spans="1:6" x14ac:dyDescent="0.25">
      <c r="A84052"/>
      <c r="B84052"/>
      <c r="C84052"/>
      <c r="E84052"/>
      <c r="F84052"/>
    </row>
    <row r="84053" spans="1:6" x14ac:dyDescent="0.25">
      <c r="A84053"/>
      <c r="B84053"/>
      <c r="C84053"/>
      <c r="E84053"/>
      <c r="F84053"/>
    </row>
    <row r="84054" spans="1:6" x14ac:dyDescent="0.25">
      <c r="A84054"/>
      <c r="B84054"/>
      <c r="C84054"/>
      <c r="E84054"/>
      <c r="F84054"/>
    </row>
    <row r="84055" spans="1:6" x14ac:dyDescent="0.25">
      <c r="A84055"/>
      <c r="B84055"/>
      <c r="C84055"/>
      <c r="E84055"/>
      <c r="F84055"/>
    </row>
    <row r="84056" spans="1:6" x14ac:dyDescent="0.25">
      <c r="A84056"/>
      <c r="B84056"/>
      <c r="C84056"/>
      <c r="E84056"/>
      <c r="F84056"/>
    </row>
    <row r="84057" spans="1:6" x14ac:dyDescent="0.25">
      <c r="A84057"/>
      <c r="B84057"/>
      <c r="C84057"/>
      <c r="E84057"/>
      <c r="F84057"/>
    </row>
    <row r="84058" spans="1:6" x14ac:dyDescent="0.25">
      <c r="A84058"/>
      <c r="B84058"/>
      <c r="C84058"/>
      <c r="E84058"/>
      <c r="F84058"/>
    </row>
    <row r="84059" spans="1:6" x14ac:dyDescent="0.25">
      <c r="A84059"/>
      <c r="B84059"/>
      <c r="C84059"/>
      <c r="E84059"/>
      <c r="F84059"/>
    </row>
    <row r="84060" spans="1:6" x14ac:dyDescent="0.25">
      <c r="A84060"/>
      <c r="B84060"/>
      <c r="C84060"/>
      <c r="E84060"/>
      <c r="F84060"/>
    </row>
    <row r="84061" spans="1:6" x14ac:dyDescent="0.25">
      <c r="A84061"/>
      <c r="B84061"/>
      <c r="C84061"/>
      <c r="E84061"/>
      <c r="F84061"/>
    </row>
    <row r="84062" spans="1:6" x14ac:dyDescent="0.25">
      <c r="A84062"/>
      <c r="B84062"/>
      <c r="C84062"/>
      <c r="E84062"/>
      <c r="F84062"/>
    </row>
    <row r="84063" spans="1:6" x14ac:dyDescent="0.25">
      <c r="A84063"/>
      <c r="B84063"/>
      <c r="C84063"/>
      <c r="E84063"/>
      <c r="F84063"/>
    </row>
    <row r="84064" spans="1:6" x14ac:dyDescent="0.25">
      <c r="A84064"/>
      <c r="B84064"/>
      <c r="C84064"/>
      <c r="E84064"/>
      <c r="F84064"/>
    </row>
    <row r="84065" spans="1:6" x14ac:dyDescent="0.25">
      <c r="A84065"/>
      <c r="B84065"/>
      <c r="C84065"/>
      <c r="E84065"/>
      <c r="F84065"/>
    </row>
    <row r="84066" spans="1:6" x14ac:dyDescent="0.25">
      <c r="A84066"/>
      <c r="B84066"/>
      <c r="C84066"/>
      <c r="E84066"/>
      <c r="F84066"/>
    </row>
    <row r="84067" spans="1:6" x14ac:dyDescent="0.25">
      <c r="A84067"/>
      <c r="B84067"/>
      <c r="C84067"/>
      <c r="E84067"/>
      <c r="F84067"/>
    </row>
    <row r="84068" spans="1:6" x14ac:dyDescent="0.25">
      <c r="A84068"/>
      <c r="B84068"/>
      <c r="C84068"/>
      <c r="E84068"/>
      <c r="F84068"/>
    </row>
    <row r="84069" spans="1:6" x14ac:dyDescent="0.25">
      <c r="A84069"/>
      <c r="B84069"/>
      <c r="C84069"/>
      <c r="E84069"/>
      <c r="F84069"/>
    </row>
    <row r="84070" spans="1:6" x14ac:dyDescent="0.25">
      <c r="A84070"/>
      <c r="B84070"/>
      <c r="C84070"/>
      <c r="E84070"/>
      <c r="F84070"/>
    </row>
    <row r="84071" spans="1:6" x14ac:dyDescent="0.25">
      <c r="A84071"/>
      <c r="B84071"/>
      <c r="C84071"/>
      <c r="E84071"/>
      <c r="F84071"/>
    </row>
    <row r="84072" spans="1:6" x14ac:dyDescent="0.25">
      <c r="A84072"/>
      <c r="B84072"/>
      <c r="C84072"/>
      <c r="E84072"/>
      <c r="F84072"/>
    </row>
    <row r="84073" spans="1:6" x14ac:dyDescent="0.25">
      <c r="A84073"/>
      <c r="B84073"/>
      <c r="C84073"/>
      <c r="E84073"/>
      <c r="F84073"/>
    </row>
    <row r="84074" spans="1:6" x14ac:dyDescent="0.25">
      <c r="A84074"/>
      <c r="B84074"/>
      <c r="C84074"/>
      <c r="E84074"/>
      <c r="F84074"/>
    </row>
    <row r="84075" spans="1:6" x14ac:dyDescent="0.25">
      <c r="A84075"/>
      <c r="B84075"/>
      <c r="C84075"/>
      <c r="E84075"/>
      <c r="F84075"/>
    </row>
    <row r="84076" spans="1:6" x14ac:dyDescent="0.25">
      <c r="A84076"/>
      <c r="B84076"/>
      <c r="C84076"/>
      <c r="E84076"/>
      <c r="F84076"/>
    </row>
    <row r="84077" spans="1:6" x14ac:dyDescent="0.25">
      <c r="A84077"/>
      <c r="B84077"/>
      <c r="C84077"/>
      <c r="E84077"/>
      <c r="F84077"/>
    </row>
    <row r="84078" spans="1:6" x14ac:dyDescent="0.25">
      <c r="A84078"/>
      <c r="B84078"/>
      <c r="C84078"/>
      <c r="E84078"/>
      <c r="F84078"/>
    </row>
    <row r="84079" spans="1:6" x14ac:dyDescent="0.25">
      <c r="A84079"/>
      <c r="B84079"/>
      <c r="C84079"/>
      <c r="E84079"/>
      <c r="F84079"/>
    </row>
    <row r="84080" spans="1:6" x14ac:dyDescent="0.25">
      <c r="A84080"/>
      <c r="B84080"/>
      <c r="C84080"/>
      <c r="E84080"/>
      <c r="F84080"/>
    </row>
    <row r="84081" spans="1:6" x14ac:dyDescent="0.25">
      <c r="A84081"/>
      <c r="B84081"/>
      <c r="C84081"/>
      <c r="E84081"/>
      <c r="F84081"/>
    </row>
    <row r="84082" spans="1:6" x14ac:dyDescent="0.25">
      <c r="A84082"/>
      <c r="B84082"/>
      <c r="C84082"/>
      <c r="E84082"/>
      <c r="F84082"/>
    </row>
    <row r="84083" spans="1:6" x14ac:dyDescent="0.25">
      <c r="A84083"/>
      <c r="B84083"/>
      <c r="C84083"/>
      <c r="E84083"/>
      <c r="F84083"/>
    </row>
    <row r="84084" spans="1:6" x14ac:dyDescent="0.25">
      <c r="A84084"/>
      <c r="B84084"/>
      <c r="C84084"/>
      <c r="E84084"/>
      <c r="F84084"/>
    </row>
    <row r="84085" spans="1:6" x14ac:dyDescent="0.25">
      <c r="A84085"/>
      <c r="B84085"/>
      <c r="C84085"/>
      <c r="E84085"/>
      <c r="F84085"/>
    </row>
    <row r="84086" spans="1:6" x14ac:dyDescent="0.25">
      <c r="A84086"/>
      <c r="B84086"/>
      <c r="C84086"/>
      <c r="E84086"/>
      <c r="F84086"/>
    </row>
    <row r="84087" spans="1:6" x14ac:dyDescent="0.25">
      <c r="A84087"/>
      <c r="B84087"/>
      <c r="C84087"/>
      <c r="E84087"/>
      <c r="F84087"/>
    </row>
    <row r="84088" spans="1:6" x14ac:dyDescent="0.25">
      <c r="A84088"/>
      <c r="B84088"/>
      <c r="C84088"/>
      <c r="E84088"/>
      <c r="F84088"/>
    </row>
    <row r="84089" spans="1:6" x14ac:dyDescent="0.25">
      <c r="A84089"/>
      <c r="B84089"/>
      <c r="C84089"/>
      <c r="E84089"/>
      <c r="F84089"/>
    </row>
    <row r="84090" spans="1:6" x14ac:dyDescent="0.25">
      <c r="A84090"/>
      <c r="B84090"/>
      <c r="C84090"/>
      <c r="E84090"/>
      <c r="F84090"/>
    </row>
    <row r="84091" spans="1:6" x14ac:dyDescent="0.25">
      <c r="A84091"/>
      <c r="B84091"/>
      <c r="C84091"/>
      <c r="E84091"/>
      <c r="F84091"/>
    </row>
    <row r="84092" spans="1:6" x14ac:dyDescent="0.25">
      <c r="A84092"/>
      <c r="B84092"/>
      <c r="C84092"/>
      <c r="E84092"/>
      <c r="F84092"/>
    </row>
    <row r="84093" spans="1:6" x14ac:dyDescent="0.25">
      <c r="A84093"/>
      <c r="B84093"/>
      <c r="C84093"/>
      <c r="E84093"/>
      <c r="F84093"/>
    </row>
    <row r="84094" spans="1:6" x14ac:dyDescent="0.25">
      <c r="A84094"/>
      <c r="B84094"/>
      <c r="C84094"/>
      <c r="E84094"/>
      <c r="F84094"/>
    </row>
    <row r="84095" spans="1:6" x14ac:dyDescent="0.25">
      <c r="A84095"/>
      <c r="B84095"/>
      <c r="C84095"/>
      <c r="E84095"/>
      <c r="F84095"/>
    </row>
    <row r="84096" spans="1:6" x14ac:dyDescent="0.25">
      <c r="A84096"/>
      <c r="B84096"/>
      <c r="C84096"/>
      <c r="E84096"/>
      <c r="F84096"/>
    </row>
    <row r="84097" spans="1:6" x14ac:dyDescent="0.25">
      <c r="A84097"/>
      <c r="B84097"/>
      <c r="C84097"/>
      <c r="E84097"/>
      <c r="F84097"/>
    </row>
    <row r="84098" spans="1:6" x14ac:dyDescent="0.25">
      <c r="A84098"/>
      <c r="B84098"/>
      <c r="C84098"/>
      <c r="E84098"/>
      <c r="F84098"/>
    </row>
    <row r="84099" spans="1:6" x14ac:dyDescent="0.25">
      <c r="A84099"/>
      <c r="B84099"/>
      <c r="C84099"/>
      <c r="E84099"/>
      <c r="F84099"/>
    </row>
    <row r="84100" spans="1:6" x14ac:dyDescent="0.25">
      <c r="A84100"/>
      <c r="B84100"/>
      <c r="C84100"/>
      <c r="E84100"/>
      <c r="F84100"/>
    </row>
    <row r="84101" spans="1:6" x14ac:dyDescent="0.25">
      <c r="A84101"/>
      <c r="B84101"/>
      <c r="C84101"/>
      <c r="E84101"/>
      <c r="F84101"/>
    </row>
    <row r="84102" spans="1:6" x14ac:dyDescent="0.25">
      <c r="A84102"/>
      <c r="B84102"/>
      <c r="C84102"/>
      <c r="E84102"/>
      <c r="F84102"/>
    </row>
    <row r="84103" spans="1:6" x14ac:dyDescent="0.25">
      <c r="A84103"/>
      <c r="B84103"/>
      <c r="C84103"/>
      <c r="E84103"/>
      <c r="F84103"/>
    </row>
    <row r="84104" spans="1:6" x14ac:dyDescent="0.25">
      <c r="A84104"/>
      <c r="B84104"/>
      <c r="C84104"/>
      <c r="E84104"/>
      <c r="F84104"/>
    </row>
    <row r="84105" spans="1:6" x14ac:dyDescent="0.25">
      <c r="A84105"/>
      <c r="B84105"/>
      <c r="C84105"/>
      <c r="E84105"/>
      <c r="F84105"/>
    </row>
    <row r="84106" spans="1:6" x14ac:dyDescent="0.25">
      <c r="A84106"/>
      <c r="B84106"/>
      <c r="C84106"/>
      <c r="E84106"/>
      <c r="F84106"/>
    </row>
    <row r="84107" spans="1:6" x14ac:dyDescent="0.25">
      <c r="A84107"/>
      <c r="B84107"/>
      <c r="C84107"/>
      <c r="E84107"/>
      <c r="F84107"/>
    </row>
    <row r="84108" spans="1:6" x14ac:dyDescent="0.25">
      <c r="A84108"/>
      <c r="B84108"/>
      <c r="C84108"/>
      <c r="E84108"/>
      <c r="F84108"/>
    </row>
    <row r="84109" spans="1:6" x14ac:dyDescent="0.25">
      <c r="A84109"/>
      <c r="B84109"/>
      <c r="C84109"/>
      <c r="E84109"/>
      <c r="F84109"/>
    </row>
    <row r="84110" spans="1:6" x14ac:dyDescent="0.25">
      <c r="A84110"/>
      <c r="B84110"/>
      <c r="C84110"/>
      <c r="E84110"/>
      <c r="F84110"/>
    </row>
    <row r="84111" spans="1:6" x14ac:dyDescent="0.25">
      <c r="A84111"/>
      <c r="B84111"/>
      <c r="C84111"/>
      <c r="E84111"/>
      <c r="F84111"/>
    </row>
    <row r="84112" spans="1:6" x14ac:dyDescent="0.25">
      <c r="A84112"/>
      <c r="B84112"/>
      <c r="C84112"/>
      <c r="E84112"/>
      <c r="F84112"/>
    </row>
    <row r="84113" spans="1:6" x14ac:dyDescent="0.25">
      <c r="A84113"/>
      <c r="B84113"/>
      <c r="C84113"/>
      <c r="E84113"/>
      <c r="F84113"/>
    </row>
    <row r="84114" spans="1:6" x14ac:dyDescent="0.25">
      <c r="A84114"/>
      <c r="B84114"/>
      <c r="C84114"/>
      <c r="E84114"/>
      <c r="F84114"/>
    </row>
    <row r="84115" spans="1:6" x14ac:dyDescent="0.25">
      <c r="A84115"/>
      <c r="B84115"/>
      <c r="C84115"/>
      <c r="E84115"/>
      <c r="F84115"/>
    </row>
    <row r="84116" spans="1:6" x14ac:dyDescent="0.25">
      <c r="A84116"/>
      <c r="B84116"/>
      <c r="C84116"/>
      <c r="E84116"/>
      <c r="F84116"/>
    </row>
    <row r="84117" spans="1:6" x14ac:dyDescent="0.25">
      <c r="A84117"/>
      <c r="B84117"/>
      <c r="C84117"/>
      <c r="E84117"/>
      <c r="F84117"/>
    </row>
    <row r="84118" spans="1:6" x14ac:dyDescent="0.25">
      <c r="A84118"/>
      <c r="B84118"/>
      <c r="C84118"/>
      <c r="E84118"/>
      <c r="F84118"/>
    </row>
    <row r="84119" spans="1:6" x14ac:dyDescent="0.25">
      <c r="A84119"/>
      <c r="B84119"/>
      <c r="C84119"/>
      <c r="E84119"/>
      <c r="F84119"/>
    </row>
    <row r="84120" spans="1:6" x14ac:dyDescent="0.25">
      <c r="A84120"/>
      <c r="B84120"/>
      <c r="C84120"/>
      <c r="E84120"/>
      <c r="F84120"/>
    </row>
    <row r="84121" spans="1:6" x14ac:dyDescent="0.25">
      <c r="A84121"/>
      <c r="B84121"/>
      <c r="C84121"/>
      <c r="E84121"/>
      <c r="F84121"/>
    </row>
    <row r="84122" spans="1:6" x14ac:dyDescent="0.25">
      <c r="A84122"/>
      <c r="B84122"/>
      <c r="C84122"/>
      <c r="E84122"/>
      <c r="F84122"/>
    </row>
    <row r="84123" spans="1:6" x14ac:dyDescent="0.25">
      <c r="A84123"/>
      <c r="B84123"/>
      <c r="C84123"/>
      <c r="E84123"/>
      <c r="F84123"/>
    </row>
    <row r="84124" spans="1:6" x14ac:dyDescent="0.25">
      <c r="A84124"/>
      <c r="B84124"/>
      <c r="C84124"/>
      <c r="E84124"/>
      <c r="F84124"/>
    </row>
    <row r="84125" spans="1:6" x14ac:dyDescent="0.25">
      <c r="A84125"/>
      <c r="B84125"/>
      <c r="C84125"/>
      <c r="E84125"/>
      <c r="F84125"/>
    </row>
    <row r="84126" spans="1:6" x14ac:dyDescent="0.25">
      <c r="A84126"/>
      <c r="B84126"/>
      <c r="C84126"/>
      <c r="E84126"/>
      <c r="F84126"/>
    </row>
    <row r="84127" spans="1:6" x14ac:dyDescent="0.25">
      <c r="A84127"/>
      <c r="B84127"/>
      <c r="C84127"/>
      <c r="E84127"/>
      <c r="F84127"/>
    </row>
    <row r="84128" spans="1:6" x14ac:dyDescent="0.25">
      <c r="A84128"/>
      <c r="B84128"/>
      <c r="C84128"/>
      <c r="E84128"/>
      <c r="F84128"/>
    </row>
    <row r="84129" spans="1:6" x14ac:dyDescent="0.25">
      <c r="A84129"/>
      <c r="B84129"/>
      <c r="C84129"/>
      <c r="E84129"/>
      <c r="F84129"/>
    </row>
    <row r="84130" spans="1:6" x14ac:dyDescent="0.25">
      <c r="A84130"/>
      <c r="B84130"/>
      <c r="C84130"/>
      <c r="E84130"/>
      <c r="F84130"/>
    </row>
    <row r="84131" spans="1:6" x14ac:dyDescent="0.25">
      <c r="A84131"/>
      <c r="B84131"/>
      <c r="C84131"/>
      <c r="E84131"/>
      <c r="F84131"/>
    </row>
    <row r="84132" spans="1:6" x14ac:dyDescent="0.25">
      <c r="A84132"/>
      <c r="B84132"/>
      <c r="C84132"/>
      <c r="E84132"/>
      <c r="F84132"/>
    </row>
    <row r="84133" spans="1:6" x14ac:dyDescent="0.25">
      <c r="A84133"/>
      <c r="B84133"/>
      <c r="C84133"/>
      <c r="E84133"/>
      <c r="F84133"/>
    </row>
    <row r="84134" spans="1:6" x14ac:dyDescent="0.25">
      <c r="A84134"/>
      <c r="B84134"/>
      <c r="C84134"/>
      <c r="E84134"/>
      <c r="F84134"/>
    </row>
    <row r="84135" spans="1:6" x14ac:dyDescent="0.25">
      <c r="A84135"/>
      <c r="B84135"/>
      <c r="C84135"/>
      <c r="E84135"/>
      <c r="F84135"/>
    </row>
    <row r="84136" spans="1:6" x14ac:dyDescent="0.25">
      <c r="A84136"/>
      <c r="B84136"/>
      <c r="C84136"/>
      <c r="E84136"/>
      <c r="F84136"/>
    </row>
    <row r="84137" spans="1:6" x14ac:dyDescent="0.25">
      <c r="A84137"/>
      <c r="B84137"/>
      <c r="C84137"/>
      <c r="E84137"/>
      <c r="F84137"/>
    </row>
    <row r="84138" spans="1:6" x14ac:dyDescent="0.25">
      <c r="A84138"/>
      <c r="B84138"/>
      <c r="C84138"/>
      <c r="E84138"/>
      <c r="F84138"/>
    </row>
    <row r="84139" spans="1:6" x14ac:dyDescent="0.25">
      <c r="A84139"/>
      <c r="B84139"/>
      <c r="C84139"/>
      <c r="E84139"/>
      <c r="F84139"/>
    </row>
    <row r="84140" spans="1:6" x14ac:dyDescent="0.25">
      <c r="A84140"/>
      <c r="B84140"/>
      <c r="C84140"/>
      <c r="E84140"/>
      <c r="F84140"/>
    </row>
    <row r="84141" spans="1:6" x14ac:dyDescent="0.25">
      <c r="A84141"/>
      <c r="B84141"/>
      <c r="C84141"/>
      <c r="E84141"/>
      <c r="F84141"/>
    </row>
    <row r="84142" spans="1:6" x14ac:dyDescent="0.25">
      <c r="A84142"/>
      <c r="B84142"/>
      <c r="C84142"/>
      <c r="E84142"/>
      <c r="F84142"/>
    </row>
    <row r="84143" spans="1:6" x14ac:dyDescent="0.25">
      <c r="A84143"/>
      <c r="B84143"/>
      <c r="C84143"/>
      <c r="E84143"/>
      <c r="F84143"/>
    </row>
    <row r="84144" spans="1:6" x14ac:dyDescent="0.25">
      <c r="A84144"/>
      <c r="B84144"/>
      <c r="C84144"/>
      <c r="E84144"/>
      <c r="F84144"/>
    </row>
    <row r="84145" spans="1:6" x14ac:dyDescent="0.25">
      <c r="A84145"/>
      <c r="B84145"/>
      <c r="C84145"/>
      <c r="E84145"/>
      <c r="F84145"/>
    </row>
    <row r="84146" spans="1:6" x14ac:dyDescent="0.25">
      <c r="A84146"/>
      <c r="B84146"/>
      <c r="C84146"/>
      <c r="E84146"/>
      <c r="F84146"/>
    </row>
    <row r="84147" spans="1:6" x14ac:dyDescent="0.25">
      <c r="A84147"/>
      <c r="B84147"/>
      <c r="C84147"/>
      <c r="E84147"/>
      <c r="F84147"/>
    </row>
    <row r="84148" spans="1:6" x14ac:dyDescent="0.25">
      <c r="A84148"/>
      <c r="B84148"/>
      <c r="C84148"/>
      <c r="E84148"/>
      <c r="F84148"/>
    </row>
    <row r="84149" spans="1:6" x14ac:dyDescent="0.25">
      <c r="A84149"/>
      <c r="B84149"/>
      <c r="C84149"/>
      <c r="E84149"/>
      <c r="F84149"/>
    </row>
    <row r="84150" spans="1:6" x14ac:dyDescent="0.25">
      <c r="A84150"/>
      <c r="B84150"/>
      <c r="C84150"/>
      <c r="E84150"/>
      <c r="F84150"/>
    </row>
    <row r="84151" spans="1:6" x14ac:dyDescent="0.25">
      <c r="A84151"/>
      <c r="B84151"/>
      <c r="C84151"/>
      <c r="E84151"/>
      <c r="F84151"/>
    </row>
    <row r="84152" spans="1:6" x14ac:dyDescent="0.25">
      <c r="A84152"/>
      <c r="B84152"/>
      <c r="C84152"/>
      <c r="E84152"/>
      <c r="F84152"/>
    </row>
    <row r="84153" spans="1:6" x14ac:dyDescent="0.25">
      <c r="A84153"/>
      <c r="B84153"/>
      <c r="C84153"/>
      <c r="E84153"/>
      <c r="F84153"/>
    </row>
    <row r="84154" spans="1:6" x14ac:dyDescent="0.25">
      <c r="A84154"/>
      <c r="B84154"/>
      <c r="C84154"/>
      <c r="E84154"/>
      <c r="F84154"/>
    </row>
    <row r="84155" spans="1:6" x14ac:dyDescent="0.25">
      <c r="A84155"/>
      <c r="B84155"/>
      <c r="C84155"/>
      <c r="E84155"/>
      <c r="F84155"/>
    </row>
    <row r="84156" spans="1:6" x14ac:dyDescent="0.25">
      <c r="A84156"/>
      <c r="B84156"/>
      <c r="C84156"/>
      <c r="E84156"/>
      <c r="F84156"/>
    </row>
    <row r="84157" spans="1:6" x14ac:dyDescent="0.25">
      <c r="A84157"/>
      <c r="B84157"/>
      <c r="C84157"/>
      <c r="E84157"/>
      <c r="F84157"/>
    </row>
    <row r="84158" spans="1:6" x14ac:dyDescent="0.25">
      <c r="A84158"/>
      <c r="B84158"/>
      <c r="C84158"/>
      <c r="E84158"/>
      <c r="F84158"/>
    </row>
    <row r="84159" spans="1:6" x14ac:dyDescent="0.25">
      <c r="A84159"/>
      <c r="B84159"/>
      <c r="C84159"/>
      <c r="E84159"/>
      <c r="F84159"/>
    </row>
    <row r="84160" spans="1:6" x14ac:dyDescent="0.25">
      <c r="A84160"/>
      <c r="B84160"/>
      <c r="C84160"/>
      <c r="E84160"/>
      <c r="F84160"/>
    </row>
    <row r="84161" spans="1:6" x14ac:dyDescent="0.25">
      <c r="A84161"/>
      <c r="B84161"/>
      <c r="C84161"/>
      <c r="E84161"/>
      <c r="F84161"/>
    </row>
    <row r="84162" spans="1:6" x14ac:dyDescent="0.25">
      <c r="A84162"/>
      <c r="B84162"/>
      <c r="C84162"/>
      <c r="E84162"/>
      <c r="F84162"/>
    </row>
    <row r="84163" spans="1:6" x14ac:dyDescent="0.25">
      <c r="A84163"/>
      <c r="B84163"/>
      <c r="C84163"/>
      <c r="E84163"/>
      <c r="F84163"/>
    </row>
    <row r="84164" spans="1:6" x14ac:dyDescent="0.25">
      <c r="A84164"/>
      <c r="B84164"/>
      <c r="C84164"/>
      <c r="E84164"/>
      <c r="F84164"/>
    </row>
    <row r="84165" spans="1:6" x14ac:dyDescent="0.25">
      <c r="A84165"/>
      <c r="B84165"/>
      <c r="C84165"/>
      <c r="E84165"/>
      <c r="F84165"/>
    </row>
    <row r="84166" spans="1:6" x14ac:dyDescent="0.25">
      <c r="A84166"/>
      <c r="B84166"/>
      <c r="C84166"/>
      <c r="E84166"/>
      <c r="F84166"/>
    </row>
    <row r="84167" spans="1:6" x14ac:dyDescent="0.25">
      <c r="A84167"/>
      <c r="B84167"/>
      <c r="C84167"/>
      <c r="E84167"/>
      <c r="F84167"/>
    </row>
    <row r="84168" spans="1:6" x14ac:dyDescent="0.25">
      <c r="A84168"/>
      <c r="B84168"/>
      <c r="C84168"/>
      <c r="E84168"/>
      <c r="F84168"/>
    </row>
    <row r="84169" spans="1:6" x14ac:dyDescent="0.25">
      <c r="A84169"/>
      <c r="B84169"/>
      <c r="C84169"/>
      <c r="E84169"/>
      <c r="F84169"/>
    </row>
    <row r="84170" spans="1:6" x14ac:dyDescent="0.25">
      <c r="A84170"/>
      <c r="B84170"/>
      <c r="C84170"/>
      <c r="E84170"/>
      <c r="F84170"/>
    </row>
    <row r="84171" spans="1:6" x14ac:dyDescent="0.25">
      <c r="A84171"/>
      <c r="B84171"/>
      <c r="C84171"/>
      <c r="E84171"/>
      <c r="F84171"/>
    </row>
    <row r="84172" spans="1:6" x14ac:dyDescent="0.25">
      <c r="A84172"/>
      <c r="B84172"/>
      <c r="C84172"/>
      <c r="E84172"/>
      <c r="F84172"/>
    </row>
    <row r="84173" spans="1:6" x14ac:dyDescent="0.25">
      <c r="A84173"/>
      <c r="B84173"/>
      <c r="C84173"/>
      <c r="E84173"/>
      <c r="F84173"/>
    </row>
    <row r="84174" spans="1:6" x14ac:dyDescent="0.25">
      <c r="A84174"/>
      <c r="B84174"/>
      <c r="C84174"/>
      <c r="E84174"/>
      <c r="F84174"/>
    </row>
    <row r="84175" spans="1:6" x14ac:dyDescent="0.25">
      <c r="A84175"/>
      <c r="B84175"/>
      <c r="C84175"/>
      <c r="E84175"/>
      <c r="F84175"/>
    </row>
    <row r="84176" spans="1:6" x14ac:dyDescent="0.25">
      <c r="A84176"/>
      <c r="B84176"/>
      <c r="C84176"/>
      <c r="E84176"/>
      <c r="F84176"/>
    </row>
    <row r="84177" spans="1:6" x14ac:dyDescent="0.25">
      <c r="A84177"/>
      <c r="B84177"/>
      <c r="C84177"/>
      <c r="E84177"/>
      <c r="F84177"/>
    </row>
    <row r="84178" spans="1:6" x14ac:dyDescent="0.25">
      <c r="A84178"/>
      <c r="B84178"/>
      <c r="C84178"/>
      <c r="E84178"/>
      <c r="F84178"/>
    </row>
    <row r="84179" spans="1:6" x14ac:dyDescent="0.25">
      <c r="A84179"/>
      <c r="B84179"/>
      <c r="C84179"/>
      <c r="E84179"/>
      <c r="F84179"/>
    </row>
    <row r="84180" spans="1:6" x14ac:dyDescent="0.25">
      <c r="A84180"/>
      <c r="B84180"/>
      <c r="C84180"/>
      <c r="E84180"/>
      <c r="F84180"/>
    </row>
    <row r="84181" spans="1:6" x14ac:dyDescent="0.25">
      <c r="A84181"/>
      <c r="B84181"/>
      <c r="C84181"/>
      <c r="E84181"/>
      <c r="F84181"/>
    </row>
    <row r="84182" spans="1:6" x14ac:dyDescent="0.25">
      <c r="A84182"/>
      <c r="B84182"/>
      <c r="C84182"/>
      <c r="E84182"/>
      <c r="F84182"/>
    </row>
    <row r="84183" spans="1:6" x14ac:dyDescent="0.25">
      <c r="A84183"/>
      <c r="B84183"/>
      <c r="C84183"/>
      <c r="E84183"/>
      <c r="F84183"/>
    </row>
    <row r="84184" spans="1:6" x14ac:dyDescent="0.25">
      <c r="A84184"/>
      <c r="B84184"/>
      <c r="C84184"/>
      <c r="E84184"/>
      <c r="F84184"/>
    </row>
    <row r="84185" spans="1:6" x14ac:dyDescent="0.25">
      <c r="A84185"/>
      <c r="B84185"/>
      <c r="C84185"/>
      <c r="E84185"/>
      <c r="F84185"/>
    </row>
    <row r="84186" spans="1:6" x14ac:dyDescent="0.25">
      <c r="A84186"/>
      <c r="B84186"/>
      <c r="C84186"/>
      <c r="E84186"/>
      <c r="F84186"/>
    </row>
    <row r="84187" spans="1:6" x14ac:dyDescent="0.25">
      <c r="A84187"/>
      <c r="B84187"/>
      <c r="C84187"/>
      <c r="E84187"/>
      <c r="F84187"/>
    </row>
    <row r="84188" spans="1:6" x14ac:dyDescent="0.25">
      <c r="A84188"/>
      <c r="B84188"/>
      <c r="C84188"/>
      <c r="E84188"/>
      <c r="F84188"/>
    </row>
    <row r="84189" spans="1:6" x14ac:dyDescent="0.25">
      <c r="A84189"/>
      <c r="B84189"/>
      <c r="C84189"/>
      <c r="E84189"/>
      <c r="F84189"/>
    </row>
    <row r="84190" spans="1:6" x14ac:dyDescent="0.25">
      <c r="A84190"/>
      <c r="B84190"/>
      <c r="C84190"/>
      <c r="E84190"/>
      <c r="F84190"/>
    </row>
    <row r="84191" spans="1:6" x14ac:dyDescent="0.25">
      <c r="A84191"/>
      <c r="B84191"/>
      <c r="C84191"/>
      <c r="E84191"/>
      <c r="F84191"/>
    </row>
    <row r="84192" spans="1:6" x14ac:dyDescent="0.25">
      <c r="A84192"/>
      <c r="B84192"/>
      <c r="C84192"/>
      <c r="E84192"/>
      <c r="F84192"/>
    </row>
    <row r="84193" spans="1:6" x14ac:dyDescent="0.25">
      <c r="A84193"/>
      <c r="B84193"/>
      <c r="C84193"/>
      <c r="E84193"/>
      <c r="F84193"/>
    </row>
    <row r="84194" spans="1:6" x14ac:dyDescent="0.25">
      <c r="A84194"/>
      <c r="B84194"/>
      <c r="C84194"/>
      <c r="E84194"/>
      <c r="F84194"/>
    </row>
    <row r="84195" spans="1:6" x14ac:dyDescent="0.25">
      <c r="A84195"/>
      <c r="B84195"/>
      <c r="C84195"/>
      <c r="E84195"/>
      <c r="F84195"/>
    </row>
    <row r="84196" spans="1:6" x14ac:dyDescent="0.25">
      <c r="A84196"/>
      <c r="B84196"/>
      <c r="C84196"/>
      <c r="E84196"/>
      <c r="F84196"/>
    </row>
    <row r="84197" spans="1:6" x14ac:dyDescent="0.25">
      <c r="A84197"/>
      <c r="B84197"/>
      <c r="C84197"/>
      <c r="E84197"/>
      <c r="F84197"/>
    </row>
    <row r="84198" spans="1:6" x14ac:dyDescent="0.25">
      <c r="A84198"/>
      <c r="B84198"/>
      <c r="C84198"/>
      <c r="E84198"/>
      <c r="F84198"/>
    </row>
    <row r="84199" spans="1:6" x14ac:dyDescent="0.25">
      <c r="A84199"/>
      <c r="B84199"/>
      <c r="C84199"/>
      <c r="E84199"/>
      <c r="F84199"/>
    </row>
    <row r="84200" spans="1:6" x14ac:dyDescent="0.25">
      <c r="A84200"/>
      <c r="B84200"/>
      <c r="C84200"/>
      <c r="E84200"/>
      <c r="F84200"/>
    </row>
    <row r="84201" spans="1:6" x14ac:dyDescent="0.25">
      <c r="A84201"/>
      <c r="B84201"/>
      <c r="C84201"/>
      <c r="E84201"/>
      <c r="F84201"/>
    </row>
    <row r="84202" spans="1:6" x14ac:dyDescent="0.25">
      <c r="A84202"/>
      <c r="B84202"/>
      <c r="C84202"/>
      <c r="E84202"/>
      <c r="F84202"/>
    </row>
    <row r="84203" spans="1:6" x14ac:dyDescent="0.25">
      <c r="A84203"/>
      <c r="B84203"/>
      <c r="C84203"/>
      <c r="E84203"/>
      <c r="F84203"/>
    </row>
    <row r="84204" spans="1:6" x14ac:dyDescent="0.25">
      <c r="A84204"/>
      <c r="B84204"/>
      <c r="C84204"/>
      <c r="E84204"/>
      <c r="F84204"/>
    </row>
    <row r="84205" spans="1:6" x14ac:dyDescent="0.25">
      <c r="A84205"/>
      <c r="B84205"/>
      <c r="C84205"/>
      <c r="E84205"/>
      <c r="F84205"/>
    </row>
    <row r="84206" spans="1:6" x14ac:dyDescent="0.25">
      <c r="A84206"/>
      <c r="B84206"/>
      <c r="C84206"/>
      <c r="E84206"/>
      <c r="F84206"/>
    </row>
    <row r="84207" spans="1:6" x14ac:dyDescent="0.25">
      <c r="A84207"/>
      <c r="B84207"/>
      <c r="C84207"/>
      <c r="E84207"/>
      <c r="F84207"/>
    </row>
    <row r="84208" spans="1:6" x14ac:dyDescent="0.25">
      <c r="A84208"/>
      <c r="B84208"/>
      <c r="C84208"/>
      <c r="E84208"/>
      <c r="F84208"/>
    </row>
    <row r="84209" spans="1:6" x14ac:dyDescent="0.25">
      <c r="A84209"/>
      <c r="B84209"/>
      <c r="C84209"/>
      <c r="E84209"/>
      <c r="F84209"/>
    </row>
    <row r="84210" spans="1:6" x14ac:dyDescent="0.25">
      <c r="A84210"/>
      <c r="B84210"/>
      <c r="C84210"/>
      <c r="E84210"/>
      <c r="F84210"/>
    </row>
    <row r="84211" spans="1:6" x14ac:dyDescent="0.25">
      <c r="A84211"/>
      <c r="B84211"/>
      <c r="C84211"/>
      <c r="E84211"/>
      <c r="F84211"/>
    </row>
    <row r="84212" spans="1:6" x14ac:dyDescent="0.25">
      <c r="A84212"/>
      <c r="B84212"/>
      <c r="C84212"/>
      <c r="E84212"/>
      <c r="F84212"/>
    </row>
    <row r="84213" spans="1:6" x14ac:dyDescent="0.25">
      <c r="A84213"/>
      <c r="B84213"/>
      <c r="C84213"/>
      <c r="E84213"/>
      <c r="F84213"/>
    </row>
    <row r="84214" spans="1:6" x14ac:dyDescent="0.25">
      <c r="A84214"/>
      <c r="B84214"/>
      <c r="C84214"/>
      <c r="E84214"/>
      <c r="F84214"/>
    </row>
    <row r="84215" spans="1:6" x14ac:dyDescent="0.25">
      <c r="A84215"/>
      <c r="B84215"/>
      <c r="C84215"/>
      <c r="E84215"/>
      <c r="F84215"/>
    </row>
    <row r="84216" spans="1:6" x14ac:dyDescent="0.25">
      <c r="A84216"/>
      <c r="B84216"/>
      <c r="C84216"/>
      <c r="E84216"/>
      <c r="F84216"/>
    </row>
    <row r="84217" spans="1:6" x14ac:dyDescent="0.25">
      <c r="A84217"/>
      <c r="B84217"/>
      <c r="C84217"/>
      <c r="E84217"/>
      <c r="F84217"/>
    </row>
    <row r="84218" spans="1:6" x14ac:dyDescent="0.25">
      <c r="A84218"/>
      <c r="B84218"/>
      <c r="C84218"/>
      <c r="E84218"/>
      <c r="F84218"/>
    </row>
    <row r="84219" spans="1:6" x14ac:dyDescent="0.25">
      <c r="A84219"/>
      <c r="B84219"/>
      <c r="C84219"/>
      <c r="E84219"/>
      <c r="F84219"/>
    </row>
    <row r="84220" spans="1:6" x14ac:dyDescent="0.25">
      <c r="A84220"/>
      <c r="B84220"/>
      <c r="C84220"/>
      <c r="E84220"/>
      <c r="F84220"/>
    </row>
    <row r="84221" spans="1:6" x14ac:dyDescent="0.25">
      <c r="A84221"/>
      <c r="B84221"/>
      <c r="C84221"/>
      <c r="E84221"/>
      <c r="F84221"/>
    </row>
    <row r="84222" spans="1:6" x14ac:dyDescent="0.25">
      <c r="A84222"/>
      <c r="B84222"/>
      <c r="C84222"/>
      <c r="E84222"/>
      <c r="F84222"/>
    </row>
    <row r="84223" spans="1:6" x14ac:dyDescent="0.25">
      <c r="A84223"/>
      <c r="B84223"/>
      <c r="C84223"/>
      <c r="E84223"/>
      <c r="F84223"/>
    </row>
    <row r="84224" spans="1:6" x14ac:dyDescent="0.25">
      <c r="A84224"/>
      <c r="B84224"/>
      <c r="C84224"/>
      <c r="E84224"/>
      <c r="F84224"/>
    </row>
    <row r="84225" spans="1:6" x14ac:dyDescent="0.25">
      <c r="A84225"/>
      <c r="B84225"/>
      <c r="C84225"/>
      <c r="E84225"/>
      <c r="F84225"/>
    </row>
    <row r="84226" spans="1:6" x14ac:dyDescent="0.25">
      <c r="A84226"/>
      <c r="B84226"/>
      <c r="C84226"/>
      <c r="E84226"/>
      <c r="F84226"/>
    </row>
    <row r="84227" spans="1:6" x14ac:dyDescent="0.25">
      <c r="A84227"/>
      <c r="B84227"/>
      <c r="C84227"/>
      <c r="E84227"/>
      <c r="F84227"/>
    </row>
    <row r="84228" spans="1:6" x14ac:dyDescent="0.25">
      <c r="A84228"/>
      <c r="B84228"/>
      <c r="C84228"/>
      <c r="E84228"/>
      <c r="F84228"/>
    </row>
    <row r="84229" spans="1:6" x14ac:dyDescent="0.25">
      <c r="A84229"/>
      <c r="B84229"/>
      <c r="C84229"/>
      <c r="E84229"/>
      <c r="F84229"/>
    </row>
    <row r="84230" spans="1:6" x14ac:dyDescent="0.25">
      <c r="A84230"/>
      <c r="B84230"/>
      <c r="C84230"/>
      <c r="E84230"/>
      <c r="F84230"/>
    </row>
    <row r="84231" spans="1:6" x14ac:dyDescent="0.25">
      <c r="A84231"/>
      <c r="B84231"/>
      <c r="C84231"/>
      <c r="E84231"/>
      <c r="F84231"/>
    </row>
    <row r="84232" spans="1:6" x14ac:dyDescent="0.25">
      <c r="A84232"/>
      <c r="B84232"/>
      <c r="C84232"/>
      <c r="E84232"/>
      <c r="F84232"/>
    </row>
    <row r="84233" spans="1:6" x14ac:dyDescent="0.25">
      <c r="A84233"/>
      <c r="B84233"/>
      <c r="C84233"/>
      <c r="E84233"/>
      <c r="F84233"/>
    </row>
    <row r="84234" spans="1:6" x14ac:dyDescent="0.25">
      <c r="A84234"/>
      <c r="B84234"/>
      <c r="C84234"/>
      <c r="E84234"/>
      <c r="F84234"/>
    </row>
    <row r="84235" spans="1:6" x14ac:dyDescent="0.25">
      <c r="A84235"/>
      <c r="B84235"/>
      <c r="C84235"/>
      <c r="E84235"/>
      <c r="F84235"/>
    </row>
    <row r="84236" spans="1:6" x14ac:dyDescent="0.25">
      <c r="A84236"/>
      <c r="B84236"/>
      <c r="C84236"/>
      <c r="E84236"/>
      <c r="F84236"/>
    </row>
    <row r="84237" spans="1:6" x14ac:dyDescent="0.25">
      <c r="A84237"/>
      <c r="B84237"/>
      <c r="C84237"/>
      <c r="E84237"/>
      <c r="F84237"/>
    </row>
    <row r="84238" spans="1:6" x14ac:dyDescent="0.25">
      <c r="A84238"/>
      <c r="B84238"/>
      <c r="C84238"/>
      <c r="E84238"/>
      <c r="F84238"/>
    </row>
    <row r="84239" spans="1:6" x14ac:dyDescent="0.25">
      <c r="A84239"/>
      <c r="B84239"/>
      <c r="C84239"/>
      <c r="E84239"/>
      <c r="F84239"/>
    </row>
    <row r="84240" spans="1:6" x14ac:dyDescent="0.25">
      <c r="A84240"/>
      <c r="B84240"/>
      <c r="C84240"/>
      <c r="E84240"/>
      <c r="F84240"/>
    </row>
    <row r="84241" spans="1:6" x14ac:dyDescent="0.25">
      <c r="A84241"/>
      <c r="B84241"/>
      <c r="C84241"/>
      <c r="E84241"/>
      <c r="F84241"/>
    </row>
    <row r="84242" spans="1:6" x14ac:dyDescent="0.25">
      <c r="A84242"/>
      <c r="B84242"/>
      <c r="C84242"/>
      <c r="E84242"/>
      <c r="F84242"/>
    </row>
    <row r="84243" spans="1:6" x14ac:dyDescent="0.25">
      <c r="A84243"/>
      <c r="B84243"/>
      <c r="C84243"/>
      <c r="E84243"/>
      <c r="F84243"/>
    </row>
    <row r="84244" spans="1:6" x14ac:dyDescent="0.25">
      <c r="A84244"/>
      <c r="B84244"/>
      <c r="C84244"/>
      <c r="E84244"/>
      <c r="F84244"/>
    </row>
    <row r="84245" spans="1:6" x14ac:dyDescent="0.25">
      <c r="A84245"/>
      <c r="B84245"/>
      <c r="C84245"/>
      <c r="E84245"/>
      <c r="F84245"/>
    </row>
    <row r="84246" spans="1:6" x14ac:dyDescent="0.25">
      <c r="A84246"/>
      <c r="B84246"/>
      <c r="C84246"/>
      <c r="E84246"/>
      <c r="F84246"/>
    </row>
    <row r="84247" spans="1:6" x14ac:dyDescent="0.25">
      <c r="A84247"/>
      <c r="B84247"/>
      <c r="C84247"/>
      <c r="E84247"/>
      <c r="F84247"/>
    </row>
    <row r="84248" spans="1:6" x14ac:dyDescent="0.25">
      <c r="A84248"/>
      <c r="B84248"/>
      <c r="C84248"/>
      <c r="E84248"/>
      <c r="F84248"/>
    </row>
    <row r="84249" spans="1:6" x14ac:dyDescent="0.25">
      <c r="A84249"/>
      <c r="B84249"/>
      <c r="C84249"/>
      <c r="E84249"/>
      <c r="F84249"/>
    </row>
    <row r="84250" spans="1:6" x14ac:dyDescent="0.25">
      <c r="A84250"/>
      <c r="B84250"/>
      <c r="C84250"/>
      <c r="E84250"/>
      <c r="F84250"/>
    </row>
    <row r="84251" spans="1:6" x14ac:dyDescent="0.25">
      <c r="A84251"/>
      <c r="B84251"/>
      <c r="C84251"/>
      <c r="E84251"/>
      <c r="F84251"/>
    </row>
    <row r="84252" spans="1:6" x14ac:dyDescent="0.25">
      <c r="A84252"/>
      <c r="B84252"/>
      <c r="C84252"/>
      <c r="E84252"/>
      <c r="F84252"/>
    </row>
    <row r="84253" spans="1:6" x14ac:dyDescent="0.25">
      <c r="A84253"/>
      <c r="B84253"/>
      <c r="C84253"/>
      <c r="E84253"/>
      <c r="F84253"/>
    </row>
    <row r="84254" spans="1:6" x14ac:dyDescent="0.25">
      <c r="A84254"/>
      <c r="B84254"/>
      <c r="C84254"/>
      <c r="E84254"/>
      <c r="F84254"/>
    </row>
    <row r="84255" spans="1:6" x14ac:dyDescent="0.25">
      <c r="A84255"/>
      <c r="B84255"/>
      <c r="C84255"/>
      <c r="E84255"/>
      <c r="F84255"/>
    </row>
    <row r="84256" spans="1:6" x14ac:dyDescent="0.25">
      <c r="A84256"/>
      <c r="B84256"/>
      <c r="C84256"/>
      <c r="E84256"/>
      <c r="F84256"/>
    </row>
    <row r="84257" spans="1:6" x14ac:dyDescent="0.25">
      <c r="A84257"/>
      <c r="B84257"/>
      <c r="C84257"/>
      <c r="E84257"/>
      <c r="F84257"/>
    </row>
    <row r="84258" spans="1:6" x14ac:dyDescent="0.25">
      <c r="A84258"/>
      <c r="B84258"/>
      <c r="C84258"/>
      <c r="E84258"/>
      <c r="F84258"/>
    </row>
    <row r="84259" spans="1:6" x14ac:dyDescent="0.25">
      <c r="A84259"/>
      <c r="B84259"/>
      <c r="C84259"/>
      <c r="E84259"/>
      <c r="F84259"/>
    </row>
    <row r="84260" spans="1:6" x14ac:dyDescent="0.25">
      <c r="A84260"/>
      <c r="B84260"/>
      <c r="C84260"/>
      <c r="E84260"/>
      <c r="F84260"/>
    </row>
    <row r="84261" spans="1:6" x14ac:dyDescent="0.25">
      <c r="A84261"/>
      <c r="B84261"/>
      <c r="C84261"/>
      <c r="E84261"/>
      <c r="F84261"/>
    </row>
    <row r="84262" spans="1:6" x14ac:dyDescent="0.25">
      <c r="A84262"/>
      <c r="B84262"/>
      <c r="C84262"/>
      <c r="E84262"/>
      <c r="F84262"/>
    </row>
    <row r="84263" spans="1:6" x14ac:dyDescent="0.25">
      <c r="A84263"/>
      <c r="B84263"/>
      <c r="C84263"/>
      <c r="E84263"/>
      <c r="F84263"/>
    </row>
    <row r="84264" spans="1:6" x14ac:dyDescent="0.25">
      <c r="A84264"/>
      <c r="B84264"/>
      <c r="C84264"/>
      <c r="E84264"/>
      <c r="F84264"/>
    </row>
    <row r="84265" spans="1:6" x14ac:dyDescent="0.25">
      <c r="A84265"/>
      <c r="B84265"/>
      <c r="C84265"/>
      <c r="E84265"/>
      <c r="F84265"/>
    </row>
    <row r="84266" spans="1:6" x14ac:dyDescent="0.25">
      <c r="A84266"/>
      <c r="B84266"/>
      <c r="C84266"/>
      <c r="E84266"/>
      <c r="F84266"/>
    </row>
    <row r="84267" spans="1:6" x14ac:dyDescent="0.25">
      <c r="A84267"/>
      <c r="B84267"/>
      <c r="C84267"/>
      <c r="E84267"/>
      <c r="F84267"/>
    </row>
    <row r="84268" spans="1:6" x14ac:dyDescent="0.25">
      <c r="A84268"/>
      <c r="B84268"/>
      <c r="C84268"/>
      <c r="E84268"/>
      <c r="F84268"/>
    </row>
    <row r="84269" spans="1:6" x14ac:dyDescent="0.25">
      <c r="A84269"/>
      <c r="B84269"/>
      <c r="C84269"/>
      <c r="E84269"/>
      <c r="F84269"/>
    </row>
    <row r="84270" spans="1:6" x14ac:dyDescent="0.25">
      <c r="A84270"/>
      <c r="B84270"/>
      <c r="C84270"/>
      <c r="E84270"/>
      <c r="F84270"/>
    </row>
    <row r="84271" spans="1:6" x14ac:dyDescent="0.25">
      <c r="A84271"/>
      <c r="B84271"/>
      <c r="C84271"/>
      <c r="E84271"/>
      <c r="F84271"/>
    </row>
    <row r="84272" spans="1:6" x14ac:dyDescent="0.25">
      <c r="A84272"/>
      <c r="B84272"/>
      <c r="C84272"/>
      <c r="E84272"/>
      <c r="F84272"/>
    </row>
    <row r="84273" spans="1:6" x14ac:dyDescent="0.25">
      <c r="A84273"/>
      <c r="B84273"/>
      <c r="C84273"/>
      <c r="E84273"/>
      <c r="F84273"/>
    </row>
    <row r="84274" spans="1:6" x14ac:dyDescent="0.25">
      <c r="A84274"/>
      <c r="B84274"/>
      <c r="C84274"/>
      <c r="E84274"/>
      <c r="F84274"/>
    </row>
    <row r="84275" spans="1:6" x14ac:dyDescent="0.25">
      <c r="A84275"/>
      <c r="B84275"/>
      <c r="C84275"/>
      <c r="E84275"/>
      <c r="F84275"/>
    </row>
    <row r="84276" spans="1:6" x14ac:dyDescent="0.25">
      <c r="A84276"/>
      <c r="B84276"/>
      <c r="C84276"/>
      <c r="E84276"/>
      <c r="F84276"/>
    </row>
    <row r="84277" spans="1:6" x14ac:dyDescent="0.25">
      <c r="A84277"/>
      <c r="B84277"/>
      <c r="C84277"/>
      <c r="E84277"/>
      <c r="F84277"/>
    </row>
    <row r="84278" spans="1:6" x14ac:dyDescent="0.25">
      <c r="A84278"/>
      <c r="B84278"/>
      <c r="C84278"/>
      <c r="E84278"/>
      <c r="F84278"/>
    </row>
    <row r="84279" spans="1:6" x14ac:dyDescent="0.25">
      <c r="A84279"/>
      <c r="B84279"/>
      <c r="C84279"/>
      <c r="E84279"/>
      <c r="F84279"/>
    </row>
    <row r="84280" spans="1:6" x14ac:dyDescent="0.25">
      <c r="A84280"/>
      <c r="B84280"/>
      <c r="C84280"/>
      <c r="E84280"/>
      <c r="F84280"/>
    </row>
    <row r="84281" spans="1:6" x14ac:dyDescent="0.25">
      <c r="A84281"/>
      <c r="B84281"/>
      <c r="C84281"/>
      <c r="E84281"/>
      <c r="F84281"/>
    </row>
    <row r="84282" spans="1:6" x14ac:dyDescent="0.25">
      <c r="A84282"/>
      <c r="B84282"/>
      <c r="C84282"/>
      <c r="E84282"/>
      <c r="F84282"/>
    </row>
    <row r="84283" spans="1:6" x14ac:dyDescent="0.25">
      <c r="A84283"/>
      <c r="B84283"/>
      <c r="C84283"/>
      <c r="E84283"/>
      <c r="F84283"/>
    </row>
    <row r="84284" spans="1:6" x14ac:dyDescent="0.25">
      <c r="A84284"/>
      <c r="B84284"/>
      <c r="C84284"/>
      <c r="E84284"/>
      <c r="F84284"/>
    </row>
    <row r="84285" spans="1:6" x14ac:dyDescent="0.25">
      <c r="A84285"/>
      <c r="B84285"/>
      <c r="C84285"/>
      <c r="E84285"/>
      <c r="F84285"/>
    </row>
    <row r="84286" spans="1:6" x14ac:dyDescent="0.25">
      <c r="A84286"/>
      <c r="B84286"/>
      <c r="C84286"/>
      <c r="E84286"/>
      <c r="F84286"/>
    </row>
    <row r="84287" spans="1:6" x14ac:dyDescent="0.25">
      <c r="A84287"/>
      <c r="B84287"/>
      <c r="C84287"/>
      <c r="E84287"/>
      <c r="F84287"/>
    </row>
    <row r="84288" spans="1:6" x14ac:dyDescent="0.25">
      <c r="A84288"/>
      <c r="B84288"/>
      <c r="C84288"/>
      <c r="E84288"/>
      <c r="F84288"/>
    </row>
    <row r="84289" spans="1:6" x14ac:dyDescent="0.25">
      <c r="A84289"/>
      <c r="B84289"/>
      <c r="C84289"/>
      <c r="E84289"/>
      <c r="F84289"/>
    </row>
    <row r="84290" spans="1:6" x14ac:dyDescent="0.25">
      <c r="A84290"/>
      <c r="B84290"/>
      <c r="C84290"/>
      <c r="E84290"/>
      <c r="F84290"/>
    </row>
    <row r="84291" spans="1:6" x14ac:dyDescent="0.25">
      <c r="A84291"/>
      <c r="B84291"/>
      <c r="C84291"/>
      <c r="E84291"/>
      <c r="F84291"/>
    </row>
    <row r="84292" spans="1:6" x14ac:dyDescent="0.25">
      <c r="A84292"/>
      <c r="B84292"/>
      <c r="C84292"/>
      <c r="E84292"/>
      <c r="F84292"/>
    </row>
    <row r="84293" spans="1:6" x14ac:dyDescent="0.25">
      <c r="A84293"/>
      <c r="B84293"/>
      <c r="C84293"/>
      <c r="E84293"/>
      <c r="F84293"/>
    </row>
    <row r="84294" spans="1:6" x14ac:dyDescent="0.25">
      <c r="A84294"/>
      <c r="B84294"/>
      <c r="C84294"/>
      <c r="E84294"/>
      <c r="F84294"/>
    </row>
    <row r="84295" spans="1:6" x14ac:dyDescent="0.25">
      <c r="A84295"/>
      <c r="B84295"/>
      <c r="C84295"/>
      <c r="E84295"/>
      <c r="F84295"/>
    </row>
    <row r="84296" spans="1:6" x14ac:dyDescent="0.25">
      <c r="A84296"/>
      <c r="B84296"/>
      <c r="C84296"/>
      <c r="E84296"/>
      <c r="F84296"/>
    </row>
    <row r="84297" spans="1:6" x14ac:dyDescent="0.25">
      <c r="A84297"/>
      <c r="B84297"/>
      <c r="C84297"/>
      <c r="E84297"/>
      <c r="F84297"/>
    </row>
    <row r="84298" spans="1:6" x14ac:dyDescent="0.25">
      <c r="A84298"/>
      <c r="B84298"/>
      <c r="C84298"/>
      <c r="E84298"/>
      <c r="F84298"/>
    </row>
    <row r="84299" spans="1:6" x14ac:dyDescent="0.25">
      <c r="A84299"/>
      <c r="B84299"/>
      <c r="C84299"/>
      <c r="E84299"/>
      <c r="F84299"/>
    </row>
    <row r="84300" spans="1:6" x14ac:dyDescent="0.25">
      <c r="A84300"/>
      <c r="B84300"/>
      <c r="C84300"/>
      <c r="E84300"/>
      <c r="F84300"/>
    </row>
    <row r="84301" spans="1:6" x14ac:dyDescent="0.25">
      <c r="A84301"/>
      <c r="B84301"/>
      <c r="C84301"/>
      <c r="E84301"/>
      <c r="F84301"/>
    </row>
    <row r="84302" spans="1:6" x14ac:dyDescent="0.25">
      <c r="A84302"/>
      <c r="B84302"/>
      <c r="C84302"/>
      <c r="E84302"/>
      <c r="F84302"/>
    </row>
    <row r="84303" spans="1:6" x14ac:dyDescent="0.25">
      <c r="A84303"/>
      <c r="B84303"/>
      <c r="C84303"/>
      <c r="E84303"/>
      <c r="F84303"/>
    </row>
    <row r="84304" spans="1:6" x14ac:dyDescent="0.25">
      <c r="A84304"/>
      <c r="B84304"/>
      <c r="C84304"/>
      <c r="E84304"/>
      <c r="F84304"/>
    </row>
    <row r="84305" spans="1:6" x14ac:dyDescent="0.25">
      <c r="A84305"/>
      <c r="B84305"/>
      <c r="C84305"/>
      <c r="E84305"/>
      <c r="F84305"/>
    </row>
    <row r="84306" spans="1:6" x14ac:dyDescent="0.25">
      <c r="A84306"/>
      <c r="B84306"/>
      <c r="C84306"/>
      <c r="E84306"/>
      <c r="F84306"/>
    </row>
    <row r="84307" spans="1:6" x14ac:dyDescent="0.25">
      <c r="A84307"/>
      <c r="B84307"/>
      <c r="C84307"/>
      <c r="E84307"/>
      <c r="F84307"/>
    </row>
    <row r="84308" spans="1:6" x14ac:dyDescent="0.25">
      <c r="A84308"/>
      <c r="B84308"/>
      <c r="C84308"/>
      <c r="E84308"/>
      <c r="F84308"/>
    </row>
    <row r="84309" spans="1:6" x14ac:dyDescent="0.25">
      <c r="A84309"/>
      <c r="B84309"/>
      <c r="C84309"/>
      <c r="E84309"/>
      <c r="F84309"/>
    </row>
    <row r="84310" spans="1:6" x14ac:dyDescent="0.25">
      <c r="A84310"/>
      <c r="B84310"/>
      <c r="C84310"/>
      <c r="E84310"/>
      <c r="F84310"/>
    </row>
    <row r="84311" spans="1:6" x14ac:dyDescent="0.25">
      <c r="A84311"/>
      <c r="B84311"/>
      <c r="C84311"/>
      <c r="E84311"/>
      <c r="F84311"/>
    </row>
    <row r="84312" spans="1:6" x14ac:dyDescent="0.25">
      <c r="A84312"/>
      <c r="B84312"/>
      <c r="C84312"/>
      <c r="E84312"/>
      <c r="F84312"/>
    </row>
    <row r="84313" spans="1:6" x14ac:dyDescent="0.25">
      <c r="A84313"/>
      <c r="B84313"/>
      <c r="C84313"/>
      <c r="E84313"/>
      <c r="F84313"/>
    </row>
    <row r="84314" spans="1:6" x14ac:dyDescent="0.25">
      <c r="A84314"/>
      <c r="B84314"/>
      <c r="C84314"/>
      <c r="E84314"/>
      <c r="F84314"/>
    </row>
    <row r="84315" spans="1:6" x14ac:dyDescent="0.25">
      <c r="A84315"/>
      <c r="B84315"/>
      <c r="C84315"/>
      <c r="E84315"/>
      <c r="F84315"/>
    </row>
    <row r="84316" spans="1:6" x14ac:dyDescent="0.25">
      <c r="A84316"/>
      <c r="B84316"/>
      <c r="C84316"/>
      <c r="E84316"/>
      <c r="F84316"/>
    </row>
    <row r="84317" spans="1:6" x14ac:dyDescent="0.25">
      <c r="A84317"/>
      <c r="B84317"/>
      <c r="C84317"/>
      <c r="E84317"/>
      <c r="F84317"/>
    </row>
    <row r="84318" spans="1:6" x14ac:dyDescent="0.25">
      <c r="A84318"/>
      <c r="B84318"/>
      <c r="C84318"/>
      <c r="E84318"/>
      <c r="F84318"/>
    </row>
    <row r="84319" spans="1:6" x14ac:dyDescent="0.25">
      <c r="A84319"/>
      <c r="B84319"/>
      <c r="C84319"/>
      <c r="E84319"/>
      <c r="F84319"/>
    </row>
    <row r="84320" spans="1:6" x14ac:dyDescent="0.25">
      <c r="A84320"/>
      <c r="B84320"/>
      <c r="C84320"/>
      <c r="E84320"/>
      <c r="F84320"/>
    </row>
    <row r="84321" spans="1:6" x14ac:dyDescent="0.25">
      <c r="A84321"/>
      <c r="B84321"/>
      <c r="C84321"/>
      <c r="E84321"/>
      <c r="F84321"/>
    </row>
    <row r="84322" spans="1:6" x14ac:dyDescent="0.25">
      <c r="A84322"/>
      <c r="B84322"/>
      <c r="C84322"/>
      <c r="E84322"/>
      <c r="F84322"/>
    </row>
    <row r="84323" spans="1:6" x14ac:dyDescent="0.25">
      <c r="A84323"/>
      <c r="B84323"/>
      <c r="C84323"/>
      <c r="E84323"/>
      <c r="F84323"/>
    </row>
    <row r="84324" spans="1:6" x14ac:dyDescent="0.25">
      <c r="A84324"/>
      <c r="B84324"/>
      <c r="C84324"/>
      <c r="E84324"/>
      <c r="F84324"/>
    </row>
    <row r="84325" spans="1:6" x14ac:dyDescent="0.25">
      <c r="A84325"/>
      <c r="B84325"/>
      <c r="C84325"/>
      <c r="E84325"/>
      <c r="F84325"/>
    </row>
    <row r="84326" spans="1:6" x14ac:dyDescent="0.25">
      <c r="A84326"/>
      <c r="B84326"/>
      <c r="C84326"/>
      <c r="E84326"/>
      <c r="F84326"/>
    </row>
    <row r="84327" spans="1:6" x14ac:dyDescent="0.25">
      <c r="A84327"/>
      <c r="B84327"/>
      <c r="C84327"/>
      <c r="E84327"/>
      <c r="F84327"/>
    </row>
    <row r="84328" spans="1:6" x14ac:dyDescent="0.25">
      <c r="A84328"/>
      <c r="B84328"/>
      <c r="C84328"/>
      <c r="E84328"/>
      <c r="F84328"/>
    </row>
    <row r="84329" spans="1:6" x14ac:dyDescent="0.25">
      <c r="A84329"/>
      <c r="B84329"/>
      <c r="C84329"/>
      <c r="E84329"/>
      <c r="F84329"/>
    </row>
    <row r="84330" spans="1:6" x14ac:dyDescent="0.25">
      <c r="A84330"/>
      <c r="B84330"/>
      <c r="C84330"/>
      <c r="E84330"/>
      <c r="F84330"/>
    </row>
    <row r="84331" spans="1:6" x14ac:dyDescent="0.25">
      <c r="A84331"/>
      <c r="B84331"/>
      <c r="C84331"/>
      <c r="E84331"/>
      <c r="F84331"/>
    </row>
    <row r="84332" spans="1:6" x14ac:dyDescent="0.25">
      <c r="A84332"/>
      <c r="B84332"/>
      <c r="C84332"/>
      <c r="E84332"/>
      <c r="F84332"/>
    </row>
    <row r="84333" spans="1:6" x14ac:dyDescent="0.25">
      <c r="A84333"/>
      <c r="B84333"/>
      <c r="C84333"/>
      <c r="E84333"/>
      <c r="F84333"/>
    </row>
    <row r="84334" spans="1:6" x14ac:dyDescent="0.25">
      <c r="A84334"/>
      <c r="B84334"/>
      <c r="C84334"/>
      <c r="E84334"/>
      <c r="F84334"/>
    </row>
    <row r="84335" spans="1:6" x14ac:dyDescent="0.25">
      <c r="A84335"/>
      <c r="B84335"/>
      <c r="C84335"/>
      <c r="E84335"/>
      <c r="F84335"/>
    </row>
    <row r="84336" spans="1:6" x14ac:dyDescent="0.25">
      <c r="A84336"/>
      <c r="B84336"/>
      <c r="C84336"/>
      <c r="E84336"/>
      <c r="F84336"/>
    </row>
    <row r="84337" spans="1:6" x14ac:dyDescent="0.25">
      <c r="A84337"/>
      <c r="B84337"/>
      <c r="C84337"/>
      <c r="E84337"/>
      <c r="F84337"/>
    </row>
    <row r="84338" spans="1:6" x14ac:dyDescent="0.25">
      <c r="A84338"/>
      <c r="B84338"/>
      <c r="C84338"/>
      <c r="E84338"/>
      <c r="F84338"/>
    </row>
    <row r="84339" spans="1:6" x14ac:dyDescent="0.25">
      <c r="A84339"/>
      <c r="B84339"/>
      <c r="C84339"/>
      <c r="E84339"/>
      <c r="F84339"/>
    </row>
    <row r="84340" spans="1:6" x14ac:dyDescent="0.25">
      <c r="A84340"/>
      <c r="B84340"/>
      <c r="C84340"/>
      <c r="E84340"/>
      <c r="F84340"/>
    </row>
    <row r="84341" spans="1:6" x14ac:dyDescent="0.25">
      <c r="A84341"/>
      <c r="B84341"/>
      <c r="C84341"/>
      <c r="E84341"/>
      <c r="F84341"/>
    </row>
    <row r="84342" spans="1:6" x14ac:dyDescent="0.25">
      <c r="A84342"/>
      <c r="B84342"/>
      <c r="C84342"/>
      <c r="E84342"/>
      <c r="F84342"/>
    </row>
    <row r="84343" spans="1:6" x14ac:dyDescent="0.25">
      <c r="A84343"/>
      <c r="B84343"/>
      <c r="C84343"/>
      <c r="E84343"/>
      <c r="F84343"/>
    </row>
    <row r="84344" spans="1:6" x14ac:dyDescent="0.25">
      <c r="A84344"/>
      <c r="B84344"/>
      <c r="C84344"/>
      <c r="E84344"/>
      <c r="F84344"/>
    </row>
    <row r="84345" spans="1:6" x14ac:dyDescent="0.25">
      <c r="A84345"/>
      <c r="B84345"/>
      <c r="C84345"/>
      <c r="E84345"/>
      <c r="F84345"/>
    </row>
    <row r="84346" spans="1:6" x14ac:dyDescent="0.25">
      <c r="A84346"/>
      <c r="B84346"/>
      <c r="C84346"/>
      <c r="E84346"/>
      <c r="F84346"/>
    </row>
    <row r="84347" spans="1:6" x14ac:dyDescent="0.25">
      <c r="A84347"/>
      <c r="B84347"/>
      <c r="C84347"/>
      <c r="E84347"/>
      <c r="F84347"/>
    </row>
    <row r="84348" spans="1:6" x14ac:dyDescent="0.25">
      <c r="A84348"/>
      <c r="B84348"/>
      <c r="C84348"/>
      <c r="E84348"/>
      <c r="F84348"/>
    </row>
    <row r="84349" spans="1:6" x14ac:dyDescent="0.25">
      <c r="A84349"/>
      <c r="B84349"/>
      <c r="C84349"/>
      <c r="E84349"/>
      <c r="F84349"/>
    </row>
    <row r="84350" spans="1:6" x14ac:dyDescent="0.25">
      <c r="A84350"/>
      <c r="B84350"/>
      <c r="C84350"/>
      <c r="E84350"/>
      <c r="F84350"/>
    </row>
    <row r="84351" spans="1:6" x14ac:dyDescent="0.25">
      <c r="A84351"/>
      <c r="B84351"/>
      <c r="C84351"/>
      <c r="E84351"/>
      <c r="F84351"/>
    </row>
    <row r="84352" spans="1:6" x14ac:dyDescent="0.25">
      <c r="A84352"/>
      <c r="B84352"/>
      <c r="C84352"/>
      <c r="E84352"/>
      <c r="F84352"/>
    </row>
    <row r="84353" spans="1:6" x14ac:dyDescent="0.25">
      <c r="A84353"/>
      <c r="B84353"/>
      <c r="C84353"/>
      <c r="E84353"/>
      <c r="F84353"/>
    </row>
    <row r="84354" spans="1:6" x14ac:dyDescent="0.25">
      <c r="A84354"/>
      <c r="B84354"/>
      <c r="C84354"/>
      <c r="E84354"/>
      <c r="F84354"/>
    </row>
    <row r="84355" spans="1:6" x14ac:dyDescent="0.25">
      <c r="A84355"/>
      <c r="B84355"/>
      <c r="C84355"/>
      <c r="E84355"/>
      <c r="F84355"/>
    </row>
    <row r="84356" spans="1:6" x14ac:dyDescent="0.25">
      <c r="A84356"/>
      <c r="B84356"/>
      <c r="C84356"/>
      <c r="E84356"/>
      <c r="F84356"/>
    </row>
    <row r="84357" spans="1:6" x14ac:dyDescent="0.25">
      <c r="A84357"/>
      <c r="B84357"/>
      <c r="C84357"/>
      <c r="E84357"/>
      <c r="F84357"/>
    </row>
    <row r="84358" spans="1:6" x14ac:dyDescent="0.25">
      <c r="A84358"/>
      <c r="B84358"/>
      <c r="C84358"/>
      <c r="E84358"/>
      <c r="F84358"/>
    </row>
    <row r="84359" spans="1:6" x14ac:dyDescent="0.25">
      <c r="A84359"/>
      <c r="B84359"/>
      <c r="C84359"/>
      <c r="E84359"/>
      <c r="F84359"/>
    </row>
    <row r="84360" spans="1:6" x14ac:dyDescent="0.25">
      <c r="A84360"/>
      <c r="B84360"/>
      <c r="C84360"/>
      <c r="E84360"/>
      <c r="F84360"/>
    </row>
    <row r="84361" spans="1:6" x14ac:dyDescent="0.25">
      <c r="A84361"/>
      <c r="B84361"/>
      <c r="C84361"/>
      <c r="E84361"/>
      <c r="F84361"/>
    </row>
    <row r="84362" spans="1:6" x14ac:dyDescent="0.25">
      <c r="A84362"/>
      <c r="B84362"/>
      <c r="C84362"/>
      <c r="E84362"/>
      <c r="F84362"/>
    </row>
    <row r="84363" spans="1:6" x14ac:dyDescent="0.25">
      <c r="A84363"/>
      <c r="B84363"/>
      <c r="C84363"/>
      <c r="E84363"/>
      <c r="F84363"/>
    </row>
    <row r="84364" spans="1:6" x14ac:dyDescent="0.25">
      <c r="A84364"/>
      <c r="B84364"/>
      <c r="C84364"/>
      <c r="E84364"/>
      <c r="F84364"/>
    </row>
    <row r="84365" spans="1:6" x14ac:dyDescent="0.25">
      <c r="A84365"/>
      <c r="B84365"/>
      <c r="C84365"/>
      <c r="E84365"/>
      <c r="F84365"/>
    </row>
    <row r="84366" spans="1:6" x14ac:dyDescent="0.25">
      <c r="A84366"/>
      <c r="B84366"/>
      <c r="C84366"/>
      <c r="E84366"/>
      <c r="F84366"/>
    </row>
    <row r="84367" spans="1:6" x14ac:dyDescent="0.25">
      <c r="A84367"/>
      <c r="B84367"/>
      <c r="C84367"/>
      <c r="E84367"/>
      <c r="F84367"/>
    </row>
    <row r="84368" spans="1:6" x14ac:dyDescent="0.25">
      <c r="A84368"/>
      <c r="B84368"/>
      <c r="C84368"/>
      <c r="E84368"/>
      <c r="F84368"/>
    </row>
    <row r="84369" spans="1:6" x14ac:dyDescent="0.25">
      <c r="A84369"/>
      <c r="B84369"/>
      <c r="C84369"/>
      <c r="E84369"/>
      <c r="F84369"/>
    </row>
    <row r="84370" spans="1:6" x14ac:dyDescent="0.25">
      <c r="A84370"/>
      <c r="B84370"/>
      <c r="C84370"/>
      <c r="E84370"/>
      <c r="F84370"/>
    </row>
    <row r="84371" spans="1:6" x14ac:dyDescent="0.25">
      <c r="A84371"/>
      <c r="B84371"/>
      <c r="C84371"/>
      <c r="E84371"/>
      <c r="F84371"/>
    </row>
    <row r="84372" spans="1:6" x14ac:dyDescent="0.25">
      <c r="A84372"/>
      <c r="B84372"/>
      <c r="C84372"/>
      <c r="E84372"/>
      <c r="F84372"/>
    </row>
    <row r="84373" spans="1:6" x14ac:dyDescent="0.25">
      <c r="A84373"/>
      <c r="B84373"/>
      <c r="C84373"/>
      <c r="E84373"/>
      <c r="F84373"/>
    </row>
    <row r="84374" spans="1:6" x14ac:dyDescent="0.25">
      <c r="A84374"/>
      <c r="B84374"/>
      <c r="C84374"/>
      <c r="E84374"/>
      <c r="F84374"/>
    </row>
    <row r="84375" spans="1:6" x14ac:dyDescent="0.25">
      <c r="A84375"/>
      <c r="B84375"/>
      <c r="C84375"/>
      <c r="E84375"/>
      <c r="F84375"/>
    </row>
    <row r="84376" spans="1:6" x14ac:dyDescent="0.25">
      <c r="A84376"/>
      <c r="B84376"/>
      <c r="C84376"/>
      <c r="E84376"/>
      <c r="F84376"/>
    </row>
    <row r="84377" spans="1:6" x14ac:dyDescent="0.25">
      <c r="A84377"/>
      <c r="B84377"/>
      <c r="C84377"/>
      <c r="E84377"/>
      <c r="F84377"/>
    </row>
    <row r="84378" spans="1:6" x14ac:dyDescent="0.25">
      <c r="A84378"/>
      <c r="B84378"/>
      <c r="C84378"/>
      <c r="E84378"/>
      <c r="F84378"/>
    </row>
    <row r="84379" spans="1:6" x14ac:dyDescent="0.25">
      <c r="A84379"/>
      <c r="B84379"/>
      <c r="C84379"/>
      <c r="E84379"/>
      <c r="F84379"/>
    </row>
    <row r="84380" spans="1:6" x14ac:dyDescent="0.25">
      <c r="A84380"/>
      <c r="B84380"/>
      <c r="C84380"/>
      <c r="E84380"/>
      <c r="F84380"/>
    </row>
    <row r="84381" spans="1:6" x14ac:dyDescent="0.25">
      <c r="A84381"/>
      <c r="B84381"/>
      <c r="C84381"/>
      <c r="E84381"/>
      <c r="F84381"/>
    </row>
    <row r="84382" spans="1:6" x14ac:dyDescent="0.25">
      <c r="A84382"/>
      <c r="B84382"/>
      <c r="C84382"/>
      <c r="E84382"/>
      <c r="F84382"/>
    </row>
    <row r="84383" spans="1:6" x14ac:dyDescent="0.25">
      <c r="A84383"/>
      <c r="B84383"/>
      <c r="C84383"/>
      <c r="E84383"/>
      <c r="F84383"/>
    </row>
    <row r="84384" spans="1:6" x14ac:dyDescent="0.25">
      <c r="A84384"/>
      <c r="B84384"/>
      <c r="C84384"/>
      <c r="E84384"/>
      <c r="F84384"/>
    </row>
    <row r="84385" spans="1:6" x14ac:dyDescent="0.25">
      <c r="A84385"/>
      <c r="B84385"/>
      <c r="C84385"/>
      <c r="E84385"/>
      <c r="F84385"/>
    </row>
    <row r="84386" spans="1:6" x14ac:dyDescent="0.25">
      <c r="A84386"/>
      <c r="B84386"/>
      <c r="C84386"/>
      <c r="E84386"/>
      <c r="F84386"/>
    </row>
    <row r="84387" spans="1:6" x14ac:dyDescent="0.25">
      <c r="A84387"/>
      <c r="B84387"/>
      <c r="C84387"/>
      <c r="E84387"/>
      <c r="F84387"/>
    </row>
    <row r="84388" spans="1:6" x14ac:dyDescent="0.25">
      <c r="A84388"/>
      <c r="B84388"/>
      <c r="C84388"/>
      <c r="E84388"/>
      <c r="F84388"/>
    </row>
    <row r="84389" spans="1:6" x14ac:dyDescent="0.25">
      <c r="A84389"/>
      <c r="B84389"/>
      <c r="C84389"/>
      <c r="E84389"/>
      <c r="F84389"/>
    </row>
    <row r="84390" spans="1:6" x14ac:dyDescent="0.25">
      <c r="A84390"/>
      <c r="B84390"/>
      <c r="C84390"/>
      <c r="E84390"/>
      <c r="F84390"/>
    </row>
    <row r="84391" spans="1:6" x14ac:dyDescent="0.25">
      <c r="A84391"/>
      <c r="B84391"/>
      <c r="C84391"/>
      <c r="E84391"/>
      <c r="F84391"/>
    </row>
    <row r="84392" spans="1:6" x14ac:dyDescent="0.25">
      <c r="A84392"/>
      <c r="B84392"/>
      <c r="C84392"/>
      <c r="E84392"/>
      <c r="F84392"/>
    </row>
    <row r="84393" spans="1:6" x14ac:dyDescent="0.25">
      <c r="A84393"/>
      <c r="B84393"/>
      <c r="C84393"/>
      <c r="E84393"/>
      <c r="F84393"/>
    </row>
    <row r="84394" spans="1:6" x14ac:dyDescent="0.25">
      <c r="A84394"/>
      <c r="B84394"/>
      <c r="C84394"/>
      <c r="E84394"/>
      <c r="F84394"/>
    </row>
    <row r="84395" spans="1:6" x14ac:dyDescent="0.25">
      <c r="A84395"/>
      <c r="B84395"/>
      <c r="C84395"/>
      <c r="E84395"/>
      <c r="F84395"/>
    </row>
    <row r="84396" spans="1:6" x14ac:dyDescent="0.25">
      <c r="A84396"/>
      <c r="B84396"/>
      <c r="C84396"/>
      <c r="E84396"/>
      <c r="F84396"/>
    </row>
    <row r="84397" spans="1:6" x14ac:dyDescent="0.25">
      <c r="A84397"/>
      <c r="B84397"/>
      <c r="C84397"/>
      <c r="E84397"/>
      <c r="F84397"/>
    </row>
    <row r="84398" spans="1:6" x14ac:dyDescent="0.25">
      <c r="A84398"/>
      <c r="B84398"/>
      <c r="C84398"/>
      <c r="E84398"/>
      <c r="F84398"/>
    </row>
    <row r="84399" spans="1:6" x14ac:dyDescent="0.25">
      <c r="A84399"/>
      <c r="B84399"/>
      <c r="C84399"/>
      <c r="E84399"/>
      <c r="F84399"/>
    </row>
    <row r="84400" spans="1:6" x14ac:dyDescent="0.25">
      <c r="A84400"/>
      <c r="B84400"/>
      <c r="C84400"/>
      <c r="E84400"/>
      <c r="F84400"/>
    </row>
    <row r="84401" spans="1:6" x14ac:dyDescent="0.25">
      <c r="A84401"/>
      <c r="B84401"/>
      <c r="C84401"/>
      <c r="E84401"/>
      <c r="F84401"/>
    </row>
    <row r="84402" spans="1:6" x14ac:dyDescent="0.25">
      <c r="A84402"/>
      <c r="B84402"/>
      <c r="C84402"/>
      <c r="E84402"/>
      <c r="F84402"/>
    </row>
    <row r="84403" spans="1:6" x14ac:dyDescent="0.25">
      <c r="A84403"/>
      <c r="B84403"/>
      <c r="C84403"/>
      <c r="E84403"/>
      <c r="F84403"/>
    </row>
    <row r="84404" spans="1:6" x14ac:dyDescent="0.25">
      <c r="A84404"/>
      <c r="B84404"/>
      <c r="C84404"/>
      <c r="E84404"/>
      <c r="F84404"/>
    </row>
    <row r="84405" spans="1:6" x14ac:dyDescent="0.25">
      <c r="A84405"/>
      <c r="B84405"/>
      <c r="C84405"/>
      <c r="E84405"/>
      <c r="F84405"/>
    </row>
    <row r="84406" spans="1:6" x14ac:dyDescent="0.25">
      <c r="A84406"/>
      <c r="B84406"/>
      <c r="C84406"/>
      <c r="E84406"/>
      <c r="F84406"/>
    </row>
    <row r="84407" spans="1:6" x14ac:dyDescent="0.25">
      <c r="A84407"/>
      <c r="B84407"/>
      <c r="C84407"/>
      <c r="E84407"/>
      <c r="F84407"/>
    </row>
    <row r="84408" spans="1:6" x14ac:dyDescent="0.25">
      <c r="A84408"/>
      <c r="B84408"/>
      <c r="C84408"/>
      <c r="E84408"/>
      <c r="F84408"/>
    </row>
    <row r="84409" spans="1:6" x14ac:dyDescent="0.25">
      <c r="A84409"/>
      <c r="B84409"/>
      <c r="C84409"/>
      <c r="E84409"/>
      <c r="F84409"/>
    </row>
    <row r="84410" spans="1:6" x14ac:dyDescent="0.25">
      <c r="A84410"/>
      <c r="B84410"/>
      <c r="C84410"/>
      <c r="E84410"/>
      <c r="F84410"/>
    </row>
    <row r="84411" spans="1:6" x14ac:dyDescent="0.25">
      <c r="A84411"/>
      <c r="B84411"/>
      <c r="C84411"/>
      <c r="E84411"/>
      <c r="F84411"/>
    </row>
    <row r="84412" spans="1:6" x14ac:dyDescent="0.25">
      <c r="A84412"/>
      <c r="B84412"/>
      <c r="C84412"/>
      <c r="E84412"/>
      <c r="F84412"/>
    </row>
    <row r="84413" spans="1:6" x14ac:dyDescent="0.25">
      <c r="A84413"/>
      <c r="B84413"/>
      <c r="C84413"/>
      <c r="E84413"/>
      <c r="F84413"/>
    </row>
    <row r="84414" spans="1:6" x14ac:dyDescent="0.25">
      <c r="A84414"/>
      <c r="B84414"/>
      <c r="C84414"/>
      <c r="E84414"/>
      <c r="F84414"/>
    </row>
    <row r="84415" spans="1:6" x14ac:dyDescent="0.25">
      <c r="A84415"/>
      <c r="B84415"/>
      <c r="C84415"/>
      <c r="E84415"/>
      <c r="F84415"/>
    </row>
    <row r="84416" spans="1:6" x14ac:dyDescent="0.25">
      <c r="A84416"/>
      <c r="B84416"/>
      <c r="C84416"/>
      <c r="E84416"/>
      <c r="F84416"/>
    </row>
    <row r="84417" spans="1:6" x14ac:dyDescent="0.25">
      <c r="A84417"/>
      <c r="B84417"/>
      <c r="C84417"/>
      <c r="E84417"/>
      <c r="F84417"/>
    </row>
    <row r="84418" spans="1:6" x14ac:dyDescent="0.25">
      <c r="A84418"/>
      <c r="B84418"/>
      <c r="C84418"/>
      <c r="E84418"/>
      <c r="F84418"/>
    </row>
    <row r="84419" spans="1:6" x14ac:dyDescent="0.25">
      <c r="A84419"/>
      <c r="B84419"/>
      <c r="C84419"/>
      <c r="E84419"/>
      <c r="F84419"/>
    </row>
    <row r="84420" spans="1:6" x14ac:dyDescent="0.25">
      <c r="A84420"/>
      <c r="B84420"/>
      <c r="C84420"/>
      <c r="E84420"/>
      <c r="F84420"/>
    </row>
    <row r="84421" spans="1:6" x14ac:dyDescent="0.25">
      <c r="A84421"/>
      <c r="B84421"/>
      <c r="C84421"/>
      <c r="E84421"/>
      <c r="F84421"/>
    </row>
    <row r="84422" spans="1:6" x14ac:dyDescent="0.25">
      <c r="A84422"/>
      <c r="B84422"/>
      <c r="C84422"/>
      <c r="E84422"/>
      <c r="F84422"/>
    </row>
    <row r="84423" spans="1:6" x14ac:dyDescent="0.25">
      <c r="A84423"/>
      <c r="B84423"/>
      <c r="C84423"/>
      <c r="E84423"/>
      <c r="F84423"/>
    </row>
    <row r="84424" spans="1:6" x14ac:dyDescent="0.25">
      <c r="A84424"/>
      <c r="B84424"/>
      <c r="C84424"/>
      <c r="E84424"/>
      <c r="F84424"/>
    </row>
    <row r="84425" spans="1:6" x14ac:dyDescent="0.25">
      <c r="A84425"/>
      <c r="B84425"/>
      <c r="C84425"/>
      <c r="E84425"/>
      <c r="F84425"/>
    </row>
    <row r="84426" spans="1:6" x14ac:dyDescent="0.25">
      <c r="A84426"/>
      <c r="B84426"/>
      <c r="C84426"/>
      <c r="E84426"/>
      <c r="F84426"/>
    </row>
    <row r="84427" spans="1:6" x14ac:dyDescent="0.25">
      <c r="A84427"/>
      <c r="B84427"/>
      <c r="C84427"/>
      <c r="E84427"/>
      <c r="F84427"/>
    </row>
    <row r="84428" spans="1:6" x14ac:dyDescent="0.25">
      <c r="A84428"/>
      <c r="B84428"/>
      <c r="C84428"/>
      <c r="E84428"/>
      <c r="F84428"/>
    </row>
    <row r="84429" spans="1:6" x14ac:dyDescent="0.25">
      <c r="A84429"/>
      <c r="B84429"/>
      <c r="C84429"/>
      <c r="E84429"/>
      <c r="F84429"/>
    </row>
    <row r="84430" spans="1:6" x14ac:dyDescent="0.25">
      <c r="A84430"/>
      <c r="B84430"/>
      <c r="C84430"/>
      <c r="E84430"/>
      <c r="F84430"/>
    </row>
    <row r="84431" spans="1:6" x14ac:dyDescent="0.25">
      <c r="A84431"/>
      <c r="B84431"/>
      <c r="C84431"/>
      <c r="E84431"/>
      <c r="F84431"/>
    </row>
    <row r="84432" spans="1:6" x14ac:dyDescent="0.25">
      <c r="A84432"/>
      <c r="B84432"/>
      <c r="C84432"/>
      <c r="E84432"/>
      <c r="F84432"/>
    </row>
    <row r="84433" spans="1:6" x14ac:dyDescent="0.25">
      <c r="A84433"/>
      <c r="B84433"/>
      <c r="C84433"/>
      <c r="E84433"/>
      <c r="F84433"/>
    </row>
    <row r="84434" spans="1:6" x14ac:dyDescent="0.25">
      <c r="A84434"/>
      <c r="B84434"/>
      <c r="C84434"/>
      <c r="E84434"/>
      <c r="F84434"/>
    </row>
    <row r="84435" spans="1:6" x14ac:dyDescent="0.25">
      <c r="A84435"/>
      <c r="B84435"/>
      <c r="C84435"/>
      <c r="E84435"/>
      <c r="F84435"/>
    </row>
    <row r="84436" spans="1:6" x14ac:dyDescent="0.25">
      <c r="A84436"/>
      <c r="B84436"/>
      <c r="C84436"/>
      <c r="E84436"/>
      <c r="F84436"/>
    </row>
    <row r="84437" spans="1:6" x14ac:dyDescent="0.25">
      <c r="A84437"/>
      <c r="B84437"/>
      <c r="C84437"/>
      <c r="E84437"/>
      <c r="F84437"/>
    </row>
    <row r="84438" spans="1:6" x14ac:dyDescent="0.25">
      <c r="A84438"/>
      <c r="B84438"/>
      <c r="C84438"/>
      <c r="E84438"/>
      <c r="F84438"/>
    </row>
    <row r="84439" spans="1:6" x14ac:dyDescent="0.25">
      <c r="A84439"/>
      <c r="B84439"/>
      <c r="C84439"/>
      <c r="E84439"/>
      <c r="F84439"/>
    </row>
    <row r="84440" spans="1:6" x14ac:dyDescent="0.25">
      <c r="A84440"/>
      <c r="B84440"/>
      <c r="C84440"/>
      <c r="E84440"/>
      <c r="F84440"/>
    </row>
    <row r="84441" spans="1:6" x14ac:dyDescent="0.25">
      <c r="A84441"/>
      <c r="B84441"/>
      <c r="C84441"/>
      <c r="E84441"/>
      <c r="F84441"/>
    </row>
    <row r="84442" spans="1:6" x14ac:dyDescent="0.25">
      <c r="A84442"/>
      <c r="B84442"/>
      <c r="C84442"/>
      <c r="E84442"/>
      <c r="F84442"/>
    </row>
    <row r="84443" spans="1:6" x14ac:dyDescent="0.25">
      <c r="A84443"/>
      <c r="B84443"/>
      <c r="C84443"/>
      <c r="E84443"/>
      <c r="F84443"/>
    </row>
    <row r="84444" spans="1:6" x14ac:dyDescent="0.25">
      <c r="A84444"/>
      <c r="B84444"/>
      <c r="C84444"/>
      <c r="E84444"/>
      <c r="F84444"/>
    </row>
    <row r="84445" spans="1:6" x14ac:dyDescent="0.25">
      <c r="A84445"/>
      <c r="B84445"/>
      <c r="C84445"/>
      <c r="E84445"/>
      <c r="F84445"/>
    </row>
    <row r="84446" spans="1:6" x14ac:dyDescent="0.25">
      <c r="A84446"/>
      <c r="B84446"/>
      <c r="C84446"/>
      <c r="E84446"/>
      <c r="F84446"/>
    </row>
    <row r="84447" spans="1:6" x14ac:dyDescent="0.25">
      <c r="A84447"/>
      <c r="B84447"/>
      <c r="C84447"/>
      <c r="E84447"/>
      <c r="F84447"/>
    </row>
    <row r="84448" spans="1:6" x14ac:dyDescent="0.25">
      <c r="A84448"/>
      <c r="B84448"/>
      <c r="C84448"/>
      <c r="E84448"/>
      <c r="F84448"/>
    </row>
    <row r="84449" spans="1:6" x14ac:dyDescent="0.25">
      <c r="A84449"/>
      <c r="B84449"/>
      <c r="C84449"/>
      <c r="E84449"/>
      <c r="F84449"/>
    </row>
    <row r="84450" spans="1:6" x14ac:dyDescent="0.25">
      <c r="A84450"/>
      <c r="B84450"/>
      <c r="C84450"/>
      <c r="E84450"/>
      <c r="F84450"/>
    </row>
    <row r="84451" spans="1:6" x14ac:dyDescent="0.25">
      <c r="A84451"/>
      <c r="B84451"/>
      <c r="C84451"/>
      <c r="E84451"/>
      <c r="F84451"/>
    </row>
    <row r="84452" spans="1:6" x14ac:dyDescent="0.25">
      <c r="A84452"/>
      <c r="B84452"/>
      <c r="C84452"/>
      <c r="E84452"/>
      <c r="F84452"/>
    </row>
    <row r="84453" spans="1:6" x14ac:dyDescent="0.25">
      <c r="A84453"/>
      <c r="B84453"/>
      <c r="C84453"/>
      <c r="E84453"/>
      <c r="F84453"/>
    </row>
    <row r="84454" spans="1:6" x14ac:dyDescent="0.25">
      <c r="A84454"/>
      <c r="B84454"/>
      <c r="C84454"/>
      <c r="E84454"/>
      <c r="F84454"/>
    </row>
    <row r="84455" spans="1:6" x14ac:dyDescent="0.25">
      <c r="A84455"/>
      <c r="B84455"/>
      <c r="C84455"/>
      <c r="E84455"/>
      <c r="F84455"/>
    </row>
    <row r="84456" spans="1:6" x14ac:dyDescent="0.25">
      <c r="A84456"/>
      <c r="B84456"/>
      <c r="C84456"/>
      <c r="E84456"/>
      <c r="F84456"/>
    </row>
    <row r="84457" spans="1:6" x14ac:dyDescent="0.25">
      <c r="A84457"/>
      <c r="B84457"/>
      <c r="C84457"/>
      <c r="E84457"/>
      <c r="F84457"/>
    </row>
    <row r="84458" spans="1:6" x14ac:dyDescent="0.25">
      <c r="A84458"/>
      <c r="B84458"/>
      <c r="C84458"/>
      <c r="E84458"/>
      <c r="F84458"/>
    </row>
    <row r="84459" spans="1:6" x14ac:dyDescent="0.25">
      <c r="A84459"/>
      <c r="B84459"/>
      <c r="C84459"/>
      <c r="E84459"/>
      <c r="F84459"/>
    </row>
    <row r="84460" spans="1:6" x14ac:dyDescent="0.25">
      <c r="A84460"/>
      <c r="B84460"/>
      <c r="C84460"/>
      <c r="E84460"/>
      <c r="F84460"/>
    </row>
    <row r="84461" spans="1:6" x14ac:dyDescent="0.25">
      <c r="A84461"/>
      <c r="B84461"/>
      <c r="C84461"/>
      <c r="E84461"/>
      <c r="F84461"/>
    </row>
    <row r="84462" spans="1:6" x14ac:dyDescent="0.25">
      <c r="A84462"/>
      <c r="B84462"/>
      <c r="C84462"/>
      <c r="E84462"/>
      <c r="F84462"/>
    </row>
    <row r="84463" spans="1:6" x14ac:dyDescent="0.25">
      <c r="A84463"/>
      <c r="B84463"/>
      <c r="C84463"/>
      <c r="E84463"/>
      <c r="F84463"/>
    </row>
    <row r="84464" spans="1:6" x14ac:dyDescent="0.25">
      <c r="A84464"/>
      <c r="B84464"/>
      <c r="C84464"/>
      <c r="E84464"/>
      <c r="F84464"/>
    </row>
    <row r="84465" spans="1:6" x14ac:dyDescent="0.25">
      <c r="A84465"/>
      <c r="B84465"/>
      <c r="C84465"/>
      <c r="E84465"/>
      <c r="F84465"/>
    </row>
    <row r="84466" spans="1:6" x14ac:dyDescent="0.25">
      <c r="A84466"/>
      <c r="B84466"/>
      <c r="C84466"/>
      <c r="E84466"/>
      <c r="F84466"/>
    </row>
    <row r="84467" spans="1:6" x14ac:dyDescent="0.25">
      <c r="A84467"/>
      <c r="B84467"/>
      <c r="C84467"/>
      <c r="E84467"/>
      <c r="F84467"/>
    </row>
    <row r="84468" spans="1:6" x14ac:dyDescent="0.25">
      <c r="A84468"/>
      <c r="B84468"/>
      <c r="C84468"/>
      <c r="E84468"/>
      <c r="F84468"/>
    </row>
    <row r="84469" spans="1:6" x14ac:dyDescent="0.25">
      <c r="A84469"/>
      <c r="B84469"/>
      <c r="C84469"/>
      <c r="E84469"/>
      <c r="F84469"/>
    </row>
    <row r="84470" spans="1:6" x14ac:dyDescent="0.25">
      <c r="A84470"/>
      <c r="B84470"/>
      <c r="C84470"/>
      <c r="E84470"/>
      <c r="F84470"/>
    </row>
    <row r="84471" spans="1:6" x14ac:dyDescent="0.25">
      <c r="A84471"/>
      <c r="B84471"/>
      <c r="C84471"/>
      <c r="E84471"/>
      <c r="F84471"/>
    </row>
    <row r="84472" spans="1:6" x14ac:dyDescent="0.25">
      <c r="A84472"/>
      <c r="B84472"/>
      <c r="C84472"/>
      <c r="E84472"/>
      <c r="F84472"/>
    </row>
    <row r="84473" spans="1:6" x14ac:dyDescent="0.25">
      <c r="A84473"/>
      <c r="B84473"/>
      <c r="C84473"/>
      <c r="E84473"/>
      <c r="F84473"/>
    </row>
    <row r="84474" spans="1:6" x14ac:dyDescent="0.25">
      <c r="A84474"/>
      <c r="B84474"/>
      <c r="C84474"/>
      <c r="E84474"/>
      <c r="F84474"/>
    </row>
    <row r="84475" spans="1:6" x14ac:dyDescent="0.25">
      <c r="A84475"/>
      <c r="B84475"/>
      <c r="C84475"/>
      <c r="E84475"/>
      <c r="F84475"/>
    </row>
    <row r="84476" spans="1:6" x14ac:dyDescent="0.25">
      <c r="A84476"/>
      <c r="B84476"/>
      <c r="C84476"/>
      <c r="E84476"/>
      <c r="F84476"/>
    </row>
    <row r="84477" spans="1:6" x14ac:dyDescent="0.25">
      <c r="A84477"/>
      <c r="B84477"/>
      <c r="C84477"/>
      <c r="E84477"/>
      <c r="F84477"/>
    </row>
    <row r="84478" spans="1:6" x14ac:dyDescent="0.25">
      <c r="A84478"/>
      <c r="B84478"/>
      <c r="C84478"/>
      <c r="E84478"/>
      <c r="F84478"/>
    </row>
    <row r="84479" spans="1:6" x14ac:dyDescent="0.25">
      <c r="A84479"/>
      <c r="B84479"/>
      <c r="C84479"/>
      <c r="E84479"/>
      <c r="F84479"/>
    </row>
    <row r="84480" spans="1:6" x14ac:dyDescent="0.25">
      <c r="A84480"/>
      <c r="B84480"/>
      <c r="C84480"/>
      <c r="E84480"/>
      <c r="F84480"/>
    </row>
    <row r="84481" spans="1:6" x14ac:dyDescent="0.25">
      <c r="A84481"/>
      <c r="B84481"/>
      <c r="C84481"/>
      <c r="E84481"/>
      <c r="F84481"/>
    </row>
    <row r="84482" spans="1:6" x14ac:dyDescent="0.25">
      <c r="A84482"/>
      <c r="B84482"/>
      <c r="C84482"/>
      <c r="E84482"/>
      <c r="F84482"/>
    </row>
    <row r="84483" spans="1:6" x14ac:dyDescent="0.25">
      <c r="A84483"/>
      <c r="B84483"/>
      <c r="C84483"/>
      <c r="E84483"/>
      <c r="F84483"/>
    </row>
    <row r="84484" spans="1:6" x14ac:dyDescent="0.25">
      <c r="A84484"/>
      <c r="B84484"/>
      <c r="C84484"/>
      <c r="E84484"/>
      <c r="F84484"/>
    </row>
    <row r="84485" spans="1:6" x14ac:dyDescent="0.25">
      <c r="A84485"/>
      <c r="B84485"/>
      <c r="C84485"/>
      <c r="E84485"/>
      <c r="F84485"/>
    </row>
    <row r="84486" spans="1:6" x14ac:dyDescent="0.25">
      <c r="A84486"/>
      <c r="B84486"/>
      <c r="C84486"/>
      <c r="E84486"/>
      <c r="F84486"/>
    </row>
    <row r="84487" spans="1:6" x14ac:dyDescent="0.25">
      <c r="A84487"/>
      <c r="B84487"/>
      <c r="C84487"/>
      <c r="E84487"/>
      <c r="F84487"/>
    </row>
    <row r="84488" spans="1:6" x14ac:dyDescent="0.25">
      <c r="A84488"/>
      <c r="B84488"/>
      <c r="C84488"/>
      <c r="E84488"/>
      <c r="F84488"/>
    </row>
    <row r="84489" spans="1:6" x14ac:dyDescent="0.25">
      <c r="A84489"/>
      <c r="B84489"/>
      <c r="C84489"/>
      <c r="E84489"/>
      <c r="F84489"/>
    </row>
    <row r="84490" spans="1:6" x14ac:dyDescent="0.25">
      <c r="A84490"/>
      <c r="B84490"/>
      <c r="C84490"/>
      <c r="E84490"/>
      <c r="F84490"/>
    </row>
    <row r="84491" spans="1:6" x14ac:dyDescent="0.25">
      <c r="A84491"/>
      <c r="B84491"/>
      <c r="C84491"/>
      <c r="E84491"/>
      <c r="F84491"/>
    </row>
    <row r="84492" spans="1:6" x14ac:dyDescent="0.25">
      <c r="A84492"/>
      <c r="B84492"/>
      <c r="C84492"/>
      <c r="E84492"/>
      <c r="F84492"/>
    </row>
    <row r="84493" spans="1:6" x14ac:dyDescent="0.25">
      <c r="A84493"/>
      <c r="B84493"/>
      <c r="C84493"/>
      <c r="E84493"/>
      <c r="F84493"/>
    </row>
    <row r="84494" spans="1:6" x14ac:dyDescent="0.25">
      <c r="A84494"/>
      <c r="B84494"/>
      <c r="C84494"/>
      <c r="E84494"/>
      <c r="F84494"/>
    </row>
    <row r="84495" spans="1:6" x14ac:dyDescent="0.25">
      <c r="A84495"/>
      <c r="B84495"/>
      <c r="C84495"/>
      <c r="E84495"/>
      <c r="F84495"/>
    </row>
    <row r="84496" spans="1:6" x14ac:dyDescent="0.25">
      <c r="A84496"/>
      <c r="B84496"/>
      <c r="C84496"/>
      <c r="E84496"/>
      <c r="F84496"/>
    </row>
    <row r="84497" spans="1:6" x14ac:dyDescent="0.25">
      <c r="A84497"/>
      <c r="B84497"/>
      <c r="C84497"/>
      <c r="E84497"/>
      <c r="F84497"/>
    </row>
    <row r="84498" spans="1:6" x14ac:dyDescent="0.25">
      <c r="A84498"/>
      <c r="B84498"/>
      <c r="C84498"/>
      <c r="E84498"/>
      <c r="F84498"/>
    </row>
    <row r="84499" spans="1:6" x14ac:dyDescent="0.25">
      <c r="A84499"/>
      <c r="B84499"/>
      <c r="C84499"/>
      <c r="E84499"/>
      <c r="F84499"/>
    </row>
    <row r="84500" spans="1:6" x14ac:dyDescent="0.25">
      <c r="A84500"/>
      <c r="B84500"/>
      <c r="C84500"/>
      <c r="E84500"/>
      <c r="F84500"/>
    </row>
    <row r="84501" spans="1:6" x14ac:dyDescent="0.25">
      <c r="A84501"/>
      <c r="B84501"/>
      <c r="C84501"/>
      <c r="E84501"/>
      <c r="F84501"/>
    </row>
    <row r="84502" spans="1:6" x14ac:dyDescent="0.25">
      <c r="A84502"/>
      <c r="B84502"/>
      <c r="C84502"/>
      <c r="E84502"/>
      <c r="F84502"/>
    </row>
    <row r="84503" spans="1:6" x14ac:dyDescent="0.25">
      <c r="A84503"/>
      <c r="B84503"/>
      <c r="C84503"/>
      <c r="E84503"/>
      <c r="F84503"/>
    </row>
    <row r="84504" spans="1:6" x14ac:dyDescent="0.25">
      <c r="A84504"/>
      <c r="B84504"/>
      <c r="C84504"/>
      <c r="E84504"/>
      <c r="F84504"/>
    </row>
    <row r="84505" spans="1:6" x14ac:dyDescent="0.25">
      <c r="A84505"/>
      <c r="B84505"/>
      <c r="C84505"/>
      <c r="E84505"/>
      <c r="F84505"/>
    </row>
    <row r="84506" spans="1:6" x14ac:dyDescent="0.25">
      <c r="A84506"/>
      <c r="B84506"/>
      <c r="C84506"/>
      <c r="E84506"/>
      <c r="F84506"/>
    </row>
    <row r="84507" spans="1:6" x14ac:dyDescent="0.25">
      <c r="A84507"/>
      <c r="B84507"/>
      <c r="C84507"/>
      <c r="E84507"/>
      <c r="F84507"/>
    </row>
    <row r="84508" spans="1:6" x14ac:dyDescent="0.25">
      <c r="A84508"/>
      <c r="B84508"/>
      <c r="C84508"/>
      <c r="E84508"/>
      <c r="F84508"/>
    </row>
    <row r="84509" spans="1:6" x14ac:dyDescent="0.25">
      <c r="A84509"/>
      <c r="B84509"/>
      <c r="C84509"/>
      <c r="E84509"/>
      <c r="F84509"/>
    </row>
    <row r="84510" spans="1:6" x14ac:dyDescent="0.25">
      <c r="A84510"/>
      <c r="B84510"/>
      <c r="C84510"/>
      <c r="E84510"/>
      <c r="F84510"/>
    </row>
    <row r="84511" spans="1:6" x14ac:dyDescent="0.25">
      <c r="A84511"/>
      <c r="B84511"/>
      <c r="C84511"/>
      <c r="E84511"/>
      <c r="F84511"/>
    </row>
    <row r="84512" spans="1:6" x14ac:dyDescent="0.25">
      <c r="A84512"/>
      <c r="B84512"/>
      <c r="C84512"/>
      <c r="E84512"/>
      <c r="F84512"/>
    </row>
    <row r="84513" spans="1:6" x14ac:dyDescent="0.25">
      <c r="A84513"/>
      <c r="B84513"/>
      <c r="C84513"/>
      <c r="E84513"/>
      <c r="F84513"/>
    </row>
    <row r="84514" spans="1:6" x14ac:dyDescent="0.25">
      <c r="A84514"/>
      <c r="B84514"/>
      <c r="C84514"/>
      <c r="E84514"/>
      <c r="F84514"/>
    </row>
    <row r="84515" spans="1:6" x14ac:dyDescent="0.25">
      <c r="A84515"/>
      <c r="B84515"/>
      <c r="C84515"/>
      <c r="E84515"/>
      <c r="F84515"/>
    </row>
    <row r="84516" spans="1:6" x14ac:dyDescent="0.25">
      <c r="A84516"/>
      <c r="B84516"/>
      <c r="C84516"/>
      <c r="E84516"/>
      <c r="F84516"/>
    </row>
    <row r="84517" spans="1:6" x14ac:dyDescent="0.25">
      <c r="A84517"/>
      <c r="B84517"/>
      <c r="C84517"/>
      <c r="E84517"/>
      <c r="F84517"/>
    </row>
    <row r="84518" spans="1:6" x14ac:dyDescent="0.25">
      <c r="A84518"/>
      <c r="B84518"/>
      <c r="C84518"/>
      <c r="E84518"/>
      <c r="F84518"/>
    </row>
    <row r="84519" spans="1:6" x14ac:dyDescent="0.25">
      <c r="A84519"/>
      <c r="B84519"/>
      <c r="C84519"/>
      <c r="E84519"/>
      <c r="F84519"/>
    </row>
    <row r="84520" spans="1:6" x14ac:dyDescent="0.25">
      <c r="A84520"/>
      <c r="B84520"/>
      <c r="C84520"/>
      <c r="E84520"/>
      <c r="F84520"/>
    </row>
    <row r="84521" spans="1:6" x14ac:dyDescent="0.25">
      <c r="A84521"/>
      <c r="B84521"/>
      <c r="C84521"/>
      <c r="E84521"/>
      <c r="F84521"/>
    </row>
    <row r="84522" spans="1:6" x14ac:dyDescent="0.25">
      <c r="A84522"/>
      <c r="B84522"/>
      <c r="C84522"/>
      <c r="E84522"/>
      <c r="F84522"/>
    </row>
    <row r="84523" spans="1:6" x14ac:dyDescent="0.25">
      <c r="A84523"/>
      <c r="B84523"/>
      <c r="C84523"/>
      <c r="E84523"/>
      <c r="F84523"/>
    </row>
    <row r="84524" spans="1:6" x14ac:dyDescent="0.25">
      <c r="A84524"/>
      <c r="B84524"/>
      <c r="C84524"/>
      <c r="E84524"/>
      <c r="F84524"/>
    </row>
    <row r="84525" spans="1:6" x14ac:dyDescent="0.25">
      <c r="A84525"/>
      <c r="B84525"/>
      <c r="C84525"/>
      <c r="E84525"/>
      <c r="F84525"/>
    </row>
    <row r="84526" spans="1:6" x14ac:dyDescent="0.25">
      <c r="A84526"/>
      <c r="B84526"/>
      <c r="C84526"/>
      <c r="E84526"/>
      <c r="F84526"/>
    </row>
    <row r="84527" spans="1:6" x14ac:dyDescent="0.25">
      <c r="A84527"/>
      <c r="B84527"/>
      <c r="C84527"/>
      <c r="E84527"/>
      <c r="F84527"/>
    </row>
    <row r="84528" spans="1:6" x14ac:dyDescent="0.25">
      <c r="A84528"/>
      <c r="B84528"/>
      <c r="C84528"/>
      <c r="E84528"/>
      <c r="F84528"/>
    </row>
    <row r="84529" spans="1:6" x14ac:dyDescent="0.25">
      <c r="A84529"/>
      <c r="B84529"/>
      <c r="C84529"/>
      <c r="E84529"/>
      <c r="F84529"/>
    </row>
    <row r="84530" spans="1:6" x14ac:dyDescent="0.25">
      <c r="A84530"/>
      <c r="B84530"/>
      <c r="C84530"/>
      <c r="E84530"/>
      <c r="F84530"/>
    </row>
    <row r="84531" spans="1:6" x14ac:dyDescent="0.25">
      <c r="A84531"/>
      <c r="B84531"/>
      <c r="C84531"/>
      <c r="E84531"/>
      <c r="F84531"/>
    </row>
    <row r="84532" spans="1:6" x14ac:dyDescent="0.25">
      <c r="A84532"/>
      <c r="B84532"/>
      <c r="C84532"/>
      <c r="E84532"/>
      <c r="F84532"/>
    </row>
    <row r="84533" spans="1:6" x14ac:dyDescent="0.25">
      <c r="A84533"/>
      <c r="B84533"/>
      <c r="C84533"/>
      <c r="E84533"/>
      <c r="F84533"/>
    </row>
    <row r="84534" spans="1:6" x14ac:dyDescent="0.25">
      <c r="A84534"/>
      <c r="B84534"/>
      <c r="C84534"/>
      <c r="E84534"/>
      <c r="F84534"/>
    </row>
    <row r="84535" spans="1:6" x14ac:dyDescent="0.25">
      <c r="A84535"/>
      <c r="B84535"/>
      <c r="C84535"/>
      <c r="E84535"/>
      <c r="F84535"/>
    </row>
    <row r="84536" spans="1:6" x14ac:dyDescent="0.25">
      <c r="A84536"/>
      <c r="B84536"/>
      <c r="C84536"/>
      <c r="E84536"/>
      <c r="F84536"/>
    </row>
    <row r="84537" spans="1:6" x14ac:dyDescent="0.25">
      <c r="A84537"/>
      <c r="B84537"/>
      <c r="C84537"/>
      <c r="E84537"/>
      <c r="F84537"/>
    </row>
    <row r="84538" spans="1:6" x14ac:dyDescent="0.25">
      <c r="A84538"/>
      <c r="B84538"/>
      <c r="C84538"/>
      <c r="E84538"/>
      <c r="F84538"/>
    </row>
    <row r="84539" spans="1:6" x14ac:dyDescent="0.25">
      <c r="A84539"/>
      <c r="B84539"/>
      <c r="C84539"/>
      <c r="E84539"/>
      <c r="F84539"/>
    </row>
    <row r="84540" spans="1:6" x14ac:dyDescent="0.25">
      <c r="A84540"/>
      <c r="B84540"/>
      <c r="C84540"/>
      <c r="E84540"/>
      <c r="F84540"/>
    </row>
    <row r="84541" spans="1:6" x14ac:dyDescent="0.25">
      <c r="A84541"/>
      <c r="B84541"/>
      <c r="C84541"/>
      <c r="E84541"/>
      <c r="F84541"/>
    </row>
    <row r="84542" spans="1:6" x14ac:dyDescent="0.25">
      <c r="A84542"/>
      <c r="B84542"/>
      <c r="C84542"/>
      <c r="E84542"/>
      <c r="F84542"/>
    </row>
    <row r="84543" spans="1:6" x14ac:dyDescent="0.25">
      <c r="A84543"/>
      <c r="B84543"/>
      <c r="C84543"/>
      <c r="E84543"/>
      <c r="F84543"/>
    </row>
    <row r="84544" spans="1:6" x14ac:dyDescent="0.25">
      <c r="A84544"/>
      <c r="B84544"/>
      <c r="C84544"/>
      <c r="E84544"/>
      <c r="F84544"/>
    </row>
    <row r="84545" spans="1:6" x14ac:dyDescent="0.25">
      <c r="A84545"/>
      <c r="B84545"/>
      <c r="C84545"/>
      <c r="E84545"/>
      <c r="F84545"/>
    </row>
    <row r="84546" spans="1:6" x14ac:dyDescent="0.25">
      <c r="A84546"/>
      <c r="B84546"/>
      <c r="C84546"/>
      <c r="E84546"/>
      <c r="F84546"/>
    </row>
    <row r="84547" spans="1:6" x14ac:dyDescent="0.25">
      <c r="A84547"/>
      <c r="B84547"/>
      <c r="C84547"/>
      <c r="E84547"/>
      <c r="F84547"/>
    </row>
    <row r="84548" spans="1:6" x14ac:dyDescent="0.25">
      <c r="A84548"/>
      <c r="B84548"/>
      <c r="C84548"/>
      <c r="E84548"/>
      <c r="F84548"/>
    </row>
    <row r="84549" spans="1:6" x14ac:dyDescent="0.25">
      <c r="A84549"/>
      <c r="B84549"/>
      <c r="C84549"/>
      <c r="E84549"/>
      <c r="F84549"/>
    </row>
    <row r="84550" spans="1:6" x14ac:dyDescent="0.25">
      <c r="A84550"/>
      <c r="B84550"/>
      <c r="C84550"/>
      <c r="E84550"/>
      <c r="F84550"/>
    </row>
    <row r="84551" spans="1:6" x14ac:dyDescent="0.25">
      <c r="A84551"/>
      <c r="B84551"/>
      <c r="C84551"/>
      <c r="E84551"/>
      <c r="F84551"/>
    </row>
    <row r="84552" spans="1:6" x14ac:dyDescent="0.25">
      <c r="A84552"/>
      <c r="B84552"/>
      <c r="C84552"/>
      <c r="E84552"/>
      <c r="F84552"/>
    </row>
    <row r="84553" spans="1:6" x14ac:dyDescent="0.25">
      <c r="A84553"/>
      <c r="B84553"/>
      <c r="C84553"/>
      <c r="E84553"/>
      <c r="F84553"/>
    </row>
    <row r="84554" spans="1:6" x14ac:dyDescent="0.25">
      <c r="A84554"/>
      <c r="B84554"/>
      <c r="C84554"/>
      <c r="E84554"/>
      <c r="F84554"/>
    </row>
    <row r="84555" spans="1:6" x14ac:dyDescent="0.25">
      <c r="A84555"/>
      <c r="B84555"/>
      <c r="C84555"/>
      <c r="E84555"/>
      <c r="F84555"/>
    </row>
    <row r="84556" spans="1:6" x14ac:dyDescent="0.25">
      <c r="A84556"/>
      <c r="B84556"/>
      <c r="C84556"/>
      <c r="E84556"/>
      <c r="F84556"/>
    </row>
    <row r="84557" spans="1:6" x14ac:dyDescent="0.25">
      <c r="A84557"/>
      <c r="B84557"/>
      <c r="C84557"/>
      <c r="E84557"/>
      <c r="F84557"/>
    </row>
    <row r="84558" spans="1:6" x14ac:dyDescent="0.25">
      <c r="A84558"/>
      <c r="B84558"/>
      <c r="C84558"/>
      <c r="E84558"/>
      <c r="F84558"/>
    </row>
    <row r="84559" spans="1:6" x14ac:dyDescent="0.25">
      <c r="A84559"/>
      <c r="B84559"/>
      <c r="C84559"/>
      <c r="E84559"/>
      <c r="F84559"/>
    </row>
    <row r="84560" spans="1:6" x14ac:dyDescent="0.25">
      <c r="A84560"/>
      <c r="B84560"/>
      <c r="C84560"/>
      <c r="E84560"/>
      <c r="F84560"/>
    </row>
    <row r="84561" spans="1:6" x14ac:dyDescent="0.25">
      <c r="A84561"/>
      <c r="B84561"/>
      <c r="C84561"/>
      <c r="E84561"/>
      <c r="F84561"/>
    </row>
    <row r="84562" spans="1:6" x14ac:dyDescent="0.25">
      <c r="A84562"/>
      <c r="B84562"/>
      <c r="C84562"/>
      <c r="E84562"/>
      <c r="F84562"/>
    </row>
    <row r="84563" spans="1:6" x14ac:dyDescent="0.25">
      <c r="A84563"/>
      <c r="B84563"/>
      <c r="C84563"/>
      <c r="E84563"/>
      <c r="F84563"/>
    </row>
    <row r="84564" spans="1:6" x14ac:dyDescent="0.25">
      <c r="A84564"/>
      <c r="B84564"/>
      <c r="C84564"/>
      <c r="E84564"/>
      <c r="F84564"/>
    </row>
    <row r="84565" spans="1:6" x14ac:dyDescent="0.25">
      <c r="A84565"/>
      <c r="B84565"/>
      <c r="C84565"/>
      <c r="E84565"/>
      <c r="F84565"/>
    </row>
    <row r="84566" spans="1:6" x14ac:dyDescent="0.25">
      <c r="A84566"/>
      <c r="B84566"/>
      <c r="C84566"/>
      <c r="E84566"/>
      <c r="F84566"/>
    </row>
    <row r="84567" spans="1:6" x14ac:dyDescent="0.25">
      <c r="A84567"/>
      <c r="B84567"/>
      <c r="C84567"/>
      <c r="E84567"/>
      <c r="F84567"/>
    </row>
    <row r="84568" spans="1:6" x14ac:dyDescent="0.25">
      <c r="A84568"/>
      <c r="B84568"/>
      <c r="C84568"/>
      <c r="E84568"/>
      <c r="F84568"/>
    </row>
    <row r="84569" spans="1:6" x14ac:dyDescent="0.25">
      <c r="A84569"/>
      <c r="B84569"/>
      <c r="C84569"/>
      <c r="E84569"/>
      <c r="F84569"/>
    </row>
    <row r="84570" spans="1:6" x14ac:dyDescent="0.25">
      <c r="A84570"/>
      <c r="B84570"/>
      <c r="C84570"/>
      <c r="E84570"/>
      <c r="F84570"/>
    </row>
    <row r="84571" spans="1:6" x14ac:dyDescent="0.25">
      <c r="A84571"/>
      <c r="B84571"/>
      <c r="C84571"/>
      <c r="E84571"/>
      <c r="F84571"/>
    </row>
    <row r="84572" spans="1:6" x14ac:dyDescent="0.25">
      <c r="A84572"/>
      <c r="B84572"/>
      <c r="C84572"/>
      <c r="E84572"/>
      <c r="F84572"/>
    </row>
    <row r="84573" spans="1:6" x14ac:dyDescent="0.25">
      <c r="A84573"/>
      <c r="B84573"/>
      <c r="C84573"/>
      <c r="E84573"/>
      <c r="F84573"/>
    </row>
    <row r="84574" spans="1:6" x14ac:dyDescent="0.25">
      <c r="A84574"/>
      <c r="B84574"/>
      <c r="C84574"/>
      <c r="E84574"/>
      <c r="F84574"/>
    </row>
    <row r="84575" spans="1:6" x14ac:dyDescent="0.25">
      <c r="A84575"/>
      <c r="B84575"/>
      <c r="C84575"/>
      <c r="E84575"/>
      <c r="F84575"/>
    </row>
    <row r="84576" spans="1:6" x14ac:dyDescent="0.25">
      <c r="A84576"/>
      <c r="B84576"/>
      <c r="C84576"/>
      <c r="E84576"/>
      <c r="F84576"/>
    </row>
    <row r="84577" spans="1:6" x14ac:dyDescent="0.25">
      <c r="A84577"/>
      <c r="B84577"/>
      <c r="C84577"/>
      <c r="E84577"/>
      <c r="F84577"/>
    </row>
    <row r="84578" spans="1:6" x14ac:dyDescent="0.25">
      <c r="A84578"/>
      <c r="B84578"/>
      <c r="C84578"/>
      <c r="E84578"/>
      <c r="F84578"/>
    </row>
    <row r="84579" spans="1:6" x14ac:dyDescent="0.25">
      <c r="A84579"/>
      <c r="B84579"/>
      <c r="C84579"/>
      <c r="E84579"/>
      <c r="F84579"/>
    </row>
    <row r="84580" spans="1:6" x14ac:dyDescent="0.25">
      <c r="A84580"/>
      <c r="B84580"/>
      <c r="C84580"/>
      <c r="E84580"/>
      <c r="F84580"/>
    </row>
    <row r="84581" spans="1:6" x14ac:dyDescent="0.25">
      <c r="A84581"/>
      <c r="B84581"/>
      <c r="C84581"/>
      <c r="E84581"/>
      <c r="F84581"/>
    </row>
    <row r="84582" spans="1:6" x14ac:dyDescent="0.25">
      <c r="A84582"/>
      <c r="B84582"/>
      <c r="C84582"/>
      <c r="E84582"/>
      <c r="F84582"/>
    </row>
    <row r="84583" spans="1:6" x14ac:dyDescent="0.25">
      <c r="A84583"/>
      <c r="B84583"/>
      <c r="C84583"/>
      <c r="E84583"/>
      <c r="F84583"/>
    </row>
    <row r="84584" spans="1:6" x14ac:dyDescent="0.25">
      <c r="A84584"/>
      <c r="B84584"/>
      <c r="C84584"/>
      <c r="E84584"/>
      <c r="F84584"/>
    </row>
    <row r="84585" spans="1:6" x14ac:dyDescent="0.25">
      <c r="A84585"/>
      <c r="B84585"/>
      <c r="C84585"/>
      <c r="E84585"/>
      <c r="F84585"/>
    </row>
    <row r="84586" spans="1:6" x14ac:dyDescent="0.25">
      <c r="A84586"/>
      <c r="B84586"/>
      <c r="C84586"/>
      <c r="E84586"/>
      <c r="F84586"/>
    </row>
    <row r="84587" spans="1:6" x14ac:dyDescent="0.25">
      <c r="A84587"/>
      <c r="B84587"/>
      <c r="C84587"/>
      <c r="E84587"/>
      <c r="F84587"/>
    </row>
    <row r="84588" spans="1:6" x14ac:dyDescent="0.25">
      <c r="A84588"/>
      <c r="B84588"/>
      <c r="C84588"/>
      <c r="E84588"/>
      <c r="F84588"/>
    </row>
    <row r="84589" spans="1:6" x14ac:dyDescent="0.25">
      <c r="A84589"/>
      <c r="B84589"/>
      <c r="C84589"/>
      <c r="E84589"/>
      <c r="F84589"/>
    </row>
    <row r="84590" spans="1:6" x14ac:dyDescent="0.25">
      <c r="A84590"/>
      <c r="B84590"/>
      <c r="C84590"/>
      <c r="E84590"/>
      <c r="F84590"/>
    </row>
    <row r="84591" spans="1:6" x14ac:dyDescent="0.25">
      <c r="A84591"/>
      <c r="B84591"/>
      <c r="C84591"/>
      <c r="E84591"/>
      <c r="F84591"/>
    </row>
    <row r="84592" spans="1:6" x14ac:dyDescent="0.25">
      <c r="A84592"/>
      <c r="B84592"/>
      <c r="C84592"/>
      <c r="E84592"/>
      <c r="F84592"/>
    </row>
    <row r="84593" spans="1:6" x14ac:dyDescent="0.25">
      <c r="A84593"/>
      <c r="B84593"/>
      <c r="C84593"/>
      <c r="E84593"/>
      <c r="F84593"/>
    </row>
    <row r="84594" spans="1:6" x14ac:dyDescent="0.25">
      <c r="A84594"/>
      <c r="B84594"/>
      <c r="C84594"/>
      <c r="E84594"/>
      <c r="F84594"/>
    </row>
    <row r="84595" spans="1:6" x14ac:dyDescent="0.25">
      <c r="A84595"/>
      <c r="B84595"/>
      <c r="C84595"/>
      <c r="E84595"/>
      <c r="F84595"/>
    </row>
    <row r="84596" spans="1:6" x14ac:dyDescent="0.25">
      <c r="A84596"/>
      <c r="B84596"/>
      <c r="C84596"/>
      <c r="E84596"/>
      <c r="F84596"/>
    </row>
    <row r="84597" spans="1:6" x14ac:dyDescent="0.25">
      <c r="A84597"/>
      <c r="B84597"/>
      <c r="C84597"/>
      <c r="E84597"/>
      <c r="F84597"/>
    </row>
    <row r="84598" spans="1:6" x14ac:dyDescent="0.25">
      <c r="A84598"/>
      <c r="B84598"/>
      <c r="C84598"/>
      <c r="E84598"/>
      <c r="F84598"/>
    </row>
    <row r="84599" spans="1:6" x14ac:dyDescent="0.25">
      <c r="A84599"/>
      <c r="B84599"/>
      <c r="C84599"/>
      <c r="E84599"/>
      <c r="F84599"/>
    </row>
    <row r="84600" spans="1:6" x14ac:dyDescent="0.25">
      <c r="A84600"/>
      <c r="B84600"/>
      <c r="C84600"/>
      <c r="E84600"/>
      <c r="F84600"/>
    </row>
    <row r="84601" spans="1:6" x14ac:dyDescent="0.25">
      <c r="A84601"/>
      <c r="B84601"/>
      <c r="C84601"/>
      <c r="E84601"/>
      <c r="F84601"/>
    </row>
    <row r="84602" spans="1:6" x14ac:dyDescent="0.25">
      <c r="A84602"/>
      <c r="B84602"/>
      <c r="C84602"/>
      <c r="E84602"/>
      <c r="F84602"/>
    </row>
    <row r="84603" spans="1:6" x14ac:dyDescent="0.25">
      <c r="A84603"/>
      <c r="B84603"/>
      <c r="C84603"/>
      <c r="E84603"/>
      <c r="F84603"/>
    </row>
    <row r="84604" spans="1:6" x14ac:dyDescent="0.25">
      <c r="A84604"/>
      <c r="B84604"/>
      <c r="C84604"/>
      <c r="E84604"/>
      <c r="F84604"/>
    </row>
    <row r="84605" spans="1:6" x14ac:dyDescent="0.25">
      <c r="A84605"/>
      <c r="B84605"/>
      <c r="C84605"/>
      <c r="E84605"/>
      <c r="F84605"/>
    </row>
    <row r="84606" spans="1:6" x14ac:dyDescent="0.25">
      <c r="A84606"/>
      <c r="B84606"/>
      <c r="C84606"/>
      <c r="E84606"/>
      <c r="F84606"/>
    </row>
    <row r="84607" spans="1:6" x14ac:dyDescent="0.25">
      <c r="A84607"/>
      <c r="B84607"/>
      <c r="C84607"/>
      <c r="E84607"/>
      <c r="F84607"/>
    </row>
    <row r="84608" spans="1:6" x14ac:dyDescent="0.25">
      <c r="A84608"/>
      <c r="B84608"/>
      <c r="C84608"/>
      <c r="E84608"/>
      <c r="F84608"/>
    </row>
    <row r="84609" spans="1:6" x14ac:dyDescent="0.25">
      <c r="A84609"/>
      <c r="B84609"/>
      <c r="C84609"/>
      <c r="E84609"/>
      <c r="F84609"/>
    </row>
    <row r="84610" spans="1:6" x14ac:dyDescent="0.25">
      <c r="A84610"/>
      <c r="B84610"/>
      <c r="C84610"/>
      <c r="E84610"/>
      <c r="F84610"/>
    </row>
    <row r="84611" spans="1:6" x14ac:dyDescent="0.25">
      <c r="A84611"/>
      <c r="B84611"/>
      <c r="C84611"/>
      <c r="E84611"/>
      <c r="F84611"/>
    </row>
    <row r="84612" spans="1:6" x14ac:dyDescent="0.25">
      <c r="A84612"/>
      <c r="B84612"/>
      <c r="C84612"/>
      <c r="E84612"/>
      <c r="F84612"/>
    </row>
    <row r="84613" spans="1:6" x14ac:dyDescent="0.25">
      <c r="A84613"/>
      <c r="B84613"/>
      <c r="C84613"/>
      <c r="E84613"/>
      <c r="F84613"/>
    </row>
    <row r="84614" spans="1:6" x14ac:dyDescent="0.25">
      <c r="A84614"/>
      <c r="B84614"/>
      <c r="C84614"/>
      <c r="E84614"/>
      <c r="F84614"/>
    </row>
    <row r="84615" spans="1:6" x14ac:dyDescent="0.25">
      <c r="A84615"/>
      <c r="B84615"/>
      <c r="C84615"/>
      <c r="E84615"/>
      <c r="F84615"/>
    </row>
    <row r="84616" spans="1:6" x14ac:dyDescent="0.25">
      <c r="A84616"/>
      <c r="B84616"/>
      <c r="C84616"/>
      <c r="E84616"/>
      <c r="F84616"/>
    </row>
    <row r="84617" spans="1:6" x14ac:dyDescent="0.25">
      <c r="A84617"/>
      <c r="B84617"/>
      <c r="C84617"/>
      <c r="E84617"/>
      <c r="F84617"/>
    </row>
    <row r="84618" spans="1:6" x14ac:dyDescent="0.25">
      <c r="A84618"/>
      <c r="B84618"/>
      <c r="C84618"/>
      <c r="E84618"/>
      <c r="F84618"/>
    </row>
    <row r="84619" spans="1:6" x14ac:dyDescent="0.25">
      <c r="A84619"/>
      <c r="B84619"/>
      <c r="C84619"/>
      <c r="E84619"/>
      <c r="F84619"/>
    </row>
    <row r="84620" spans="1:6" x14ac:dyDescent="0.25">
      <c r="A84620"/>
      <c r="B84620"/>
      <c r="C84620"/>
      <c r="E84620"/>
      <c r="F84620"/>
    </row>
    <row r="84621" spans="1:6" x14ac:dyDescent="0.25">
      <c r="A84621"/>
      <c r="B84621"/>
      <c r="C84621"/>
      <c r="E84621"/>
      <c r="F84621"/>
    </row>
    <row r="84622" spans="1:6" x14ac:dyDescent="0.25">
      <c r="A84622"/>
      <c r="B84622"/>
      <c r="C84622"/>
      <c r="E84622"/>
      <c r="F84622"/>
    </row>
    <row r="84623" spans="1:6" x14ac:dyDescent="0.25">
      <c r="A84623"/>
      <c r="B84623"/>
      <c r="C84623"/>
      <c r="E84623"/>
      <c r="F84623"/>
    </row>
    <row r="84624" spans="1:6" x14ac:dyDescent="0.25">
      <c r="A84624"/>
      <c r="B84624"/>
      <c r="C84624"/>
      <c r="E84624"/>
      <c r="F84624"/>
    </row>
    <row r="84625" spans="1:6" x14ac:dyDescent="0.25">
      <c r="A84625"/>
      <c r="B84625"/>
      <c r="C84625"/>
      <c r="E84625"/>
      <c r="F84625"/>
    </row>
    <row r="84626" spans="1:6" x14ac:dyDescent="0.25">
      <c r="A84626"/>
      <c r="B84626"/>
      <c r="C84626"/>
      <c r="E84626"/>
      <c r="F84626"/>
    </row>
    <row r="84627" spans="1:6" x14ac:dyDescent="0.25">
      <c r="A84627"/>
      <c r="B84627"/>
      <c r="C84627"/>
      <c r="E84627"/>
      <c r="F84627"/>
    </row>
    <row r="84628" spans="1:6" x14ac:dyDescent="0.25">
      <c r="A84628"/>
      <c r="B84628"/>
      <c r="C84628"/>
      <c r="E84628"/>
      <c r="F84628"/>
    </row>
    <row r="84629" spans="1:6" x14ac:dyDescent="0.25">
      <c r="A84629"/>
      <c r="B84629"/>
      <c r="C84629"/>
      <c r="E84629"/>
      <c r="F84629"/>
    </row>
    <row r="84630" spans="1:6" x14ac:dyDescent="0.25">
      <c r="A84630"/>
      <c r="B84630"/>
      <c r="C84630"/>
      <c r="E84630"/>
      <c r="F84630"/>
    </row>
    <row r="84631" spans="1:6" x14ac:dyDescent="0.25">
      <c r="A84631"/>
      <c r="B84631"/>
      <c r="C84631"/>
      <c r="E84631"/>
      <c r="F84631"/>
    </row>
    <row r="84632" spans="1:6" x14ac:dyDescent="0.25">
      <c r="A84632"/>
      <c r="B84632"/>
      <c r="C84632"/>
      <c r="E84632"/>
      <c r="F84632"/>
    </row>
    <row r="84633" spans="1:6" x14ac:dyDescent="0.25">
      <c r="A84633"/>
      <c r="B84633"/>
      <c r="C84633"/>
      <c r="E84633"/>
      <c r="F84633"/>
    </row>
    <row r="84634" spans="1:6" x14ac:dyDescent="0.25">
      <c r="A84634"/>
      <c r="B84634"/>
      <c r="C84634"/>
      <c r="E84634"/>
      <c r="F84634"/>
    </row>
    <row r="84635" spans="1:6" x14ac:dyDescent="0.25">
      <c r="A84635"/>
      <c r="B84635"/>
      <c r="C84635"/>
      <c r="E84635"/>
      <c r="F84635"/>
    </row>
    <row r="84636" spans="1:6" x14ac:dyDescent="0.25">
      <c r="A84636"/>
      <c r="B84636"/>
      <c r="C84636"/>
      <c r="E84636"/>
      <c r="F84636"/>
    </row>
    <row r="84637" spans="1:6" x14ac:dyDescent="0.25">
      <c r="A84637"/>
      <c r="B84637"/>
      <c r="C84637"/>
      <c r="E84637"/>
      <c r="F84637"/>
    </row>
    <row r="84638" spans="1:6" x14ac:dyDescent="0.25">
      <c r="A84638"/>
      <c r="B84638"/>
      <c r="C84638"/>
      <c r="E84638"/>
      <c r="F84638"/>
    </row>
    <row r="84639" spans="1:6" x14ac:dyDescent="0.25">
      <c r="A84639"/>
      <c r="B84639"/>
      <c r="C84639"/>
      <c r="E84639"/>
      <c r="F84639"/>
    </row>
    <row r="84640" spans="1:6" x14ac:dyDescent="0.25">
      <c r="A84640"/>
      <c r="B84640"/>
      <c r="C84640"/>
      <c r="E84640"/>
      <c r="F84640"/>
    </row>
    <row r="84641" spans="1:6" x14ac:dyDescent="0.25">
      <c r="A84641"/>
      <c r="B84641"/>
      <c r="C84641"/>
      <c r="E84641"/>
      <c r="F84641"/>
    </row>
    <row r="84642" spans="1:6" x14ac:dyDescent="0.25">
      <c r="A84642"/>
      <c r="B84642"/>
      <c r="C84642"/>
      <c r="E84642"/>
      <c r="F84642"/>
    </row>
    <row r="84643" spans="1:6" x14ac:dyDescent="0.25">
      <c r="A84643"/>
      <c r="B84643"/>
      <c r="C84643"/>
      <c r="E84643"/>
      <c r="F84643"/>
    </row>
    <row r="84644" spans="1:6" x14ac:dyDescent="0.25">
      <c r="A84644"/>
      <c r="B84644"/>
      <c r="C84644"/>
      <c r="E84644"/>
      <c r="F84644"/>
    </row>
    <row r="84645" spans="1:6" x14ac:dyDescent="0.25">
      <c r="A84645"/>
      <c r="B84645"/>
      <c r="C84645"/>
      <c r="E84645"/>
      <c r="F84645"/>
    </row>
    <row r="84646" spans="1:6" x14ac:dyDescent="0.25">
      <c r="A84646"/>
      <c r="B84646"/>
      <c r="C84646"/>
      <c r="E84646"/>
      <c r="F84646"/>
    </row>
    <row r="84647" spans="1:6" x14ac:dyDescent="0.25">
      <c r="A84647"/>
      <c r="B84647"/>
      <c r="C84647"/>
      <c r="E84647"/>
      <c r="F84647"/>
    </row>
    <row r="84648" spans="1:6" x14ac:dyDescent="0.25">
      <c r="A84648"/>
      <c r="B84648"/>
      <c r="C84648"/>
      <c r="E84648"/>
      <c r="F84648"/>
    </row>
    <row r="84649" spans="1:6" x14ac:dyDescent="0.25">
      <c r="A84649"/>
      <c r="B84649"/>
      <c r="C84649"/>
      <c r="E84649"/>
      <c r="F84649"/>
    </row>
    <row r="84650" spans="1:6" x14ac:dyDescent="0.25">
      <c r="A84650"/>
      <c r="B84650"/>
      <c r="C84650"/>
      <c r="E84650"/>
      <c r="F84650"/>
    </row>
    <row r="84651" spans="1:6" x14ac:dyDescent="0.25">
      <c r="A84651"/>
      <c r="B84651"/>
      <c r="C84651"/>
      <c r="E84651"/>
      <c r="F84651"/>
    </row>
    <row r="84652" spans="1:6" x14ac:dyDescent="0.25">
      <c r="A84652"/>
      <c r="B84652"/>
      <c r="C84652"/>
      <c r="E84652"/>
      <c r="F84652"/>
    </row>
    <row r="84653" spans="1:6" x14ac:dyDescent="0.25">
      <c r="A84653"/>
      <c r="B84653"/>
      <c r="C84653"/>
      <c r="E84653"/>
      <c r="F84653"/>
    </row>
    <row r="84654" spans="1:6" x14ac:dyDescent="0.25">
      <c r="A84654"/>
      <c r="B84654"/>
      <c r="C84654"/>
      <c r="E84654"/>
      <c r="F84654"/>
    </row>
    <row r="84655" spans="1:6" x14ac:dyDescent="0.25">
      <c r="A84655"/>
      <c r="B84655"/>
      <c r="C84655"/>
      <c r="E84655"/>
      <c r="F84655"/>
    </row>
    <row r="84656" spans="1:6" x14ac:dyDescent="0.25">
      <c r="A84656"/>
      <c r="B84656"/>
      <c r="C84656"/>
      <c r="E84656"/>
      <c r="F84656"/>
    </row>
    <row r="84657" spans="1:6" x14ac:dyDescent="0.25">
      <c r="A84657"/>
      <c r="B84657"/>
      <c r="C84657"/>
      <c r="E84657"/>
      <c r="F84657"/>
    </row>
    <row r="84658" spans="1:6" x14ac:dyDescent="0.25">
      <c r="A84658"/>
      <c r="B84658"/>
      <c r="C84658"/>
      <c r="E84658"/>
      <c r="F84658"/>
    </row>
    <row r="84659" spans="1:6" x14ac:dyDescent="0.25">
      <c r="A84659"/>
      <c r="B84659"/>
      <c r="C84659"/>
      <c r="E84659"/>
      <c r="F84659"/>
    </row>
    <row r="84660" spans="1:6" x14ac:dyDescent="0.25">
      <c r="A84660"/>
      <c r="B84660"/>
      <c r="C84660"/>
      <c r="E84660"/>
      <c r="F84660"/>
    </row>
    <row r="84661" spans="1:6" x14ac:dyDescent="0.25">
      <c r="A84661"/>
      <c r="B84661"/>
      <c r="C84661"/>
      <c r="E84661"/>
      <c r="F84661"/>
    </row>
    <row r="84662" spans="1:6" x14ac:dyDescent="0.25">
      <c r="A84662"/>
      <c r="B84662"/>
      <c r="C84662"/>
      <c r="E84662"/>
      <c r="F84662"/>
    </row>
    <row r="84663" spans="1:6" x14ac:dyDescent="0.25">
      <c r="A84663"/>
      <c r="B84663"/>
      <c r="C84663"/>
      <c r="E84663"/>
      <c r="F84663"/>
    </row>
    <row r="84664" spans="1:6" x14ac:dyDescent="0.25">
      <c r="A84664"/>
      <c r="B84664"/>
      <c r="C84664"/>
      <c r="E84664"/>
      <c r="F84664"/>
    </row>
    <row r="84665" spans="1:6" x14ac:dyDescent="0.25">
      <c r="A84665"/>
      <c r="B84665"/>
      <c r="C84665"/>
      <c r="E84665"/>
      <c r="F84665"/>
    </row>
    <row r="84666" spans="1:6" x14ac:dyDescent="0.25">
      <c r="A84666"/>
      <c r="B84666"/>
      <c r="C84666"/>
      <c r="E84666"/>
      <c r="F84666"/>
    </row>
    <row r="84667" spans="1:6" x14ac:dyDescent="0.25">
      <c r="A84667"/>
      <c r="B84667"/>
      <c r="C84667"/>
      <c r="E84667"/>
      <c r="F84667"/>
    </row>
    <row r="84668" spans="1:6" x14ac:dyDescent="0.25">
      <c r="A84668"/>
      <c r="B84668"/>
      <c r="C84668"/>
      <c r="E84668"/>
      <c r="F84668"/>
    </row>
    <row r="84669" spans="1:6" x14ac:dyDescent="0.25">
      <c r="A84669"/>
      <c r="B84669"/>
      <c r="C84669"/>
      <c r="E84669"/>
      <c r="F84669"/>
    </row>
    <row r="84670" spans="1:6" x14ac:dyDescent="0.25">
      <c r="A84670"/>
      <c r="B84670"/>
      <c r="C84670"/>
      <c r="E84670"/>
      <c r="F84670"/>
    </row>
    <row r="84671" spans="1:6" x14ac:dyDescent="0.25">
      <c r="A84671"/>
      <c r="B84671"/>
      <c r="C84671"/>
      <c r="E84671"/>
      <c r="F84671"/>
    </row>
    <row r="84672" spans="1:6" x14ac:dyDescent="0.25">
      <c r="A84672"/>
      <c r="B84672"/>
      <c r="C84672"/>
      <c r="E84672"/>
      <c r="F84672"/>
    </row>
    <row r="84673" spans="1:6" x14ac:dyDescent="0.25">
      <c r="A84673"/>
      <c r="B84673"/>
      <c r="C84673"/>
      <c r="E84673"/>
      <c r="F84673"/>
    </row>
    <row r="84674" spans="1:6" x14ac:dyDescent="0.25">
      <c r="A84674"/>
      <c r="B84674"/>
      <c r="C84674"/>
      <c r="E84674"/>
      <c r="F84674"/>
    </row>
    <row r="84675" spans="1:6" x14ac:dyDescent="0.25">
      <c r="A84675"/>
      <c r="B84675"/>
      <c r="C84675"/>
      <c r="E84675"/>
      <c r="F84675"/>
    </row>
    <row r="84676" spans="1:6" x14ac:dyDescent="0.25">
      <c r="A84676"/>
      <c r="B84676"/>
      <c r="C84676"/>
      <c r="E84676"/>
      <c r="F84676"/>
    </row>
    <row r="84677" spans="1:6" x14ac:dyDescent="0.25">
      <c r="A84677"/>
      <c r="B84677"/>
      <c r="C84677"/>
      <c r="E84677"/>
      <c r="F84677"/>
    </row>
    <row r="84678" spans="1:6" x14ac:dyDescent="0.25">
      <c r="A84678"/>
      <c r="B84678"/>
      <c r="C84678"/>
      <c r="E84678"/>
      <c r="F84678"/>
    </row>
    <row r="84679" spans="1:6" x14ac:dyDescent="0.25">
      <c r="A84679"/>
      <c r="B84679"/>
      <c r="C84679"/>
      <c r="E84679"/>
      <c r="F84679"/>
    </row>
    <row r="84680" spans="1:6" x14ac:dyDescent="0.25">
      <c r="A84680"/>
      <c r="B84680"/>
      <c r="C84680"/>
      <c r="E84680"/>
      <c r="F84680"/>
    </row>
    <row r="84681" spans="1:6" x14ac:dyDescent="0.25">
      <c r="A84681"/>
      <c r="B84681"/>
      <c r="C84681"/>
      <c r="E84681"/>
      <c r="F84681"/>
    </row>
    <row r="84682" spans="1:6" x14ac:dyDescent="0.25">
      <c r="A84682"/>
      <c r="B84682"/>
      <c r="C84682"/>
      <c r="E84682"/>
      <c r="F84682"/>
    </row>
    <row r="84683" spans="1:6" x14ac:dyDescent="0.25">
      <c r="A84683"/>
      <c r="B84683"/>
      <c r="C84683"/>
      <c r="E84683"/>
      <c r="F84683"/>
    </row>
    <row r="84684" spans="1:6" x14ac:dyDescent="0.25">
      <c r="A84684"/>
      <c r="B84684"/>
      <c r="C84684"/>
      <c r="E84684"/>
      <c r="F84684"/>
    </row>
    <row r="84685" spans="1:6" x14ac:dyDescent="0.25">
      <c r="A84685"/>
      <c r="B84685"/>
      <c r="C84685"/>
      <c r="E84685"/>
      <c r="F84685"/>
    </row>
    <row r="84686" spans="1:6" x14ac:dyDescent="0.25">
      <c r="A84686"/>
      <c r="B84686"/>
      <c r="C84686"/>
      <c r="E84686"/>
      <c r="F84686"/>
    </row>
    <row r="84687" spans="1:6" x14ac:dyDescent="0.25">
      <c r="A84687"/>
      <c r="B84687"/>
      <c r="C84687"/>
      <c r="E84687"/>
      <c r="F84687"/>
    </row>
    <row r="84688" spans="1:6" x14ac:dyDescent="0.25">
      <c r="A84688"/>
      <c r="B84688"/>
      <c r="C84688"/>
      <c r="E84688"/>
      <c r="F84688"/>
    </row>
    <row r="84689" spans="1:6" x14ac:dyDescent="0.25">
      <c r="A84689"/>
      <c r="B84689"/>
      <c r="C84689"/>
      <c r="E84689"/>
      <c r="F84689"/>
    </row>
    <row r="84690" spans="1:6" x14ac:dyDescent="0.25">
      <c r="A84690"/>
      <c r="B84690"/>
      <c r="C84690"/>
      <c r="E84690"/>
      <c r="F84690"/>
    </row>
    <row r="84691" spans="1:6" x14ac:dyDescent="0.25">
      <c r="A84691"/>
      <c r="B84691"/>
      <c r="C84691"/>
      <c r="E84691"/>
      <c r="F84691"/>
    </row>
    <row r="84692" spans="1:6" x14ac:dyDescent="0.25">
      <c r="A84692"/>
      <c r="B84692"/>
      <c r="C84692"/>
      <c r="E84692"/>
      <c r="F84692"/>
    </row>
    <row r="84693" spans="1:6" x14ac:dyDescent="0.25">
      <c r="A84693"/>
      <c r="B84693"/>
      <c r="C84693"/>
      <c r="E84693"/>
      <c r="F84693"/>
    </row>
    <row r="84694" spans="1:6" x14ac:dyDescent="0.25">
      <c r="A84694"/>
      <c r="B84694"/>
      <c r="C84694"/>
      <c r="E84694"/>
      <c r="F84694"/>
    </row>
    <row r="84695" spans="1:6" x14ac:dyDescent="0.25">
      <c r="A84695"/>
      <c r="B84695"/>
      <c r="C84695"/>
      <c r="E84695"/>
      <c r="F84695"/>
    </row>
    <row r="84696" spans="1:6" x14ac:dyDescent="0.25">
      <c r="A84696"/>
      <c r="B84696"/>
      <c r="C84696"/>
      <c r="E84696"/>
      <c r="F84696"/>
    </row>
    <row r="84697" spans="1:6" x14ac:dyDescent="0.25">
      <c r="A84697"/>
      <c r="B84697"/>
      <c r="C84697"/>
      <c r="E84697"/>
      <c r="F84697"/>
    </row>
    <row r="84698" spans="1:6" x14ac:dyDescent="0.25">
      <c r="A84698"/>
      <c r="B84698"/>
      <c r="C84698"/>
      <c r="E84698"/>
      <c r="F84698"/>
    </row>
    <row r="84699" spans="1:6" x14ac:dyDescent="0.25">
      <c r="A84699"/>
      <c r="B84699"/>
      <c r="C84699"/>
      <c r="E84699"/>
      <c r="F84699"/>
    </row>
    <row r="84700" spans="1:6" x14ac:dyDescent="0.25">
      <c r="A84700"/>
      <c r="B84700"/>
      <c r="C84700"/>
      <c r="E84700"/>
      <c r="F84700"/>
    </row>
    <row r="84701" spans="1:6" x14ac:dyDescent="0.25">
      <c r="A84701"/>
      <c r="B84701"/>
      <c r="C84701"/>
      <c r="E84701"/>
      <c r="F84701"/>
    </row>
    <row r="84702" spans="1:6" x14ac:dyDescent="0.25">
      <c r="A84702"/>
      <c r="B84702"/>
      <c r="C84702"/>
      <c r="E84702"/>
      <c r="F84702"/>
    </row>
    <row r="84703" spans="1:6" x14ac:dyDescent="0.25">
      <c r="A84703"/>
      <c r="B84703"/>
      <c r="C84703"/>
      <c r="E84703"/>
      <c r="F84703"/>
    </row>
    <row r="84704" spans="1:6" x14ac:dyDescent="0.25">
      <c r="A84704"/>
      <c r="B84704"/>
      <c r="C84704"/>
      <c r="E84704"/>
      <c r="F84704"/>
    </row>
    <row r="84705" spans="1:6" x14ac:dyDescent="0.25">
      <c r="A84705"/>
      <c r="B84705"/>
      <c r="C84705"/>
      <c r="E84705"/>
      <c r="F84705"/>
    </row>
    <row r="84706" spans="1:6" x14ac:dyDescent="0.25">
      <c r="A84706"/>
      <c r="B84706"/>
      <c r="C84706"/>
      <c r="E84706"/>
      <c r="F84706"/>
    </row>
    <row r="84707" spans="1:6" x14ac:dyDescent="0.25">
      <c r="A84707"/>
      <c r="B84707"/>
      <c r="C84707"/>
      <c r="E84707"/>
      <c r="F84707"/>
    </row>
    <row r="84708" spans="1:6" x14ac:dyDescent="0.25">
      <c r="A84708"/>
      <c r="B84708"/>
      <c r="C84708"/>
      <c r="E84708"/>
      <c r="F84708"/>
    </row>
    <row r="84709" spans="1:6" x14ac:dyDescent="0.25">
      <c r="A84709"/>
      <c r="B84709"/>
      <c r="C84709"/>
      <c r="E84709"/>
      <c r="F84709"/>
    </row>
    <row r="84710" spans="1:6" x14ac:dyDescent="0.25">
      <c r="A84710"/>
      <c r="B84710"/>
      <c r="C84710"/>
      <c r="E84710"/>
      <c r="F84710"/>
    </row>
    <row r="84711" spans="1:6" x14ac:dyDescent="0.25">
      <c r="A84711"/>
      <c r="B84711"/>
      <c r="C84711"/>
      <c r="E84711"/>
      <c r="F84711"/>
    </row>
    <row r="84712" spans="1:6" x14ac:dyDescent="0.25">
      <c r="A84712"/>
      <c r="B84712"/>
      <c r="C84712"/>
      <c r="E84712"/>
      <c r="F84712"/>
    </row>
    <row r="84713" spans="1:6" x14ac:dyDescent="0.25">
      <c r="A84713"/>
      <c r="B84713"/>
      <c r="C84713"/>
      <c r="E84713"/>
      <c r="F84713"/>
    </row>
    <row r="84714" spans="1:6" x14ac:dyDescent="0.25">
      <c r="A84714"/>
      <c r="B84714"/>
      <c r="C84714"/>
      <c r="E84714"/>
      <c r="F84714"/>
    </row>
    <row r="84715" spans="1:6" x14ac:dyDescent="0.25">
      <c r="A84715"/>
      <c r="B84715"/>
      <c r="C84715"/>
      <c r="E84715"/>
      <c r="F84715"/>
    </row>
    <row r="84716" spans="1:6" x14ac:dyDescent="0.25">
      <c r="A84716"/>
      <c r="B84716"/>
      <c r="C84716"/>
      <c r="E84716"/>
      <c r="F84716"/>
    </row>
    <row r="84717" spans="1:6" x14ac:dyDescent="0.25">
      <c r="A84717"/>
      <c r="B84717"/>
      <c r="C84717"/>
      <c r="E84717"/>
      <c r="F84717"/>
    </row>
    <row r="84718" spans="1:6" x14ac:dyDescent="0.25">
      <c r="A84718"/>
      <c r="B84718"/>
      <c r="C84718"/>
      <c r="E84718"/>
      <c r="F84718"/>
    </row>
    <row r="84719" spans="1:6" x14ac:dyDescent="0.25">
      <c r="A84719"/>
      <c r="B84719"/>
      <c r="C84719"/>
      <c r="E84719"/>
      <c r="F84719"/>
    </row>
    <row r="84720" spans="1:6" x14ac:dyDescent="0.25">
      <c r="A84720"/>
      <c r="B84720"/>
      <c r="C84720"/>
      <c r="E84720"/>
      <c r="F84720"/>
    </row>
    <row r="84721" spans="1:6" x14ac:dyDescent="0.25">
      <c r="A84721"/>
      <c r="B84721"/>
      <c r="C84721"/>
      <c r="E84721"/>
      <c r="F84721"/>
    </row>
    <row r="84722" spans="1:6" x14ac:dyDescent="0.25">
      <c r="A84722"/>
      <c r="B84722"/>
      <c r="C84722"/>
      <c r="E84722"/>
      <c r="F84722"/>
    </row>
    <row r="84723" spans="1:6" x14ac:dyDescent="0.25">
      <c r="A84723"/>
      <c r="B84723"/>
      <c r="C84723"/>
      <c r="E84723"/>
      <c r="F84723"/>
    </row>
    <row r="84724" spans="1:6" x14ac:dyDescent="0.25">
      <c r="A84724"/>
      <c r="B84724"/>
      <c r="C84724"/>
      <c r="E84724"/>
      <c r="F84724"/>
    </row>
    <row r="84725" spans="1:6" x14ac:dyDescent="0.25">
      <c r="A84725"/>
      <c r="B84725"/>
      <c r="C84725"/>
      <c r="E84725"/>
      <c r="F84725"/>
    </row>
    <row r="84726" spans="1:6" x14ac:dyDescent="0.25">
      <c r="A84726"/>
      <c r="B84726"/>
      <c r="C84726"/>
      <c r="E84726"/>
      <c r="F84726"/>
    </row>
    <row r="84727" spans="1:6" x14ac:dyDescent="0.25">
      <c r="A84727"/>
      <c r="B84727"/>
      <c r="C84727"/>
      <c r="E84727"/>
      <c r="F84727"/>
    </row>
    <row r="84728" spans="1:6" x14ac:dyDescent="0.25">
      <c r="A84728"/>
      <c r="B84728"/>
      <c r="C84728"/>
      <c r="E84728"/>
      <c r="F84728"/>
    </row>
    <row r="84729" spans="1:6" x14ac:dyDescent="0.25">
      <c r="A84729"/>
      <c r="B84729"/>
      <c r="C84729"/>
      <c r="E84729"/>
      <c r="F84729"/>
    </row>
    <row r="84730" spans="1:6" x14ac:dyDescent="0.25">
      <c r="A84730"/>
      <c r="B84730"/>
      <c r="C84730"/>
      <c r="E84730"/>
      <c r="F84730"/>
    </row>
    <row r="84731" spans="1:6" x14ac:dyDescent="0.25">
      <c r="A84731"/>
      <c r="B84731"/>
      <c r="C84731"/>
      <c r="E84731"/>
      <c r="F84731"/>
    </row>
    <row r="84732" spans="1:6" x14ac:dyDescent="0.25">
      <c r="A84732"/>
      <c r="B84732"/>
      <c r="C84732"/>
      <c r="E84732"/>
      <c r="F84732"/>
    </row>
    <row r="84733" spans="1:6" x14ac:dyDescent="0.25">
      <c r="A84733"/>
      <c r="B84733"/>
      <c r="C84733"/>
      <c r="E84733"/>
      <c r="F84733"/>
    </row>
    <row r="84734" spans="1:6" x14ac:dyDescent="0.25">
      <c r="A84734"/>
      <c r="B84734"/>
      <c r="C84734"/>
      <c r="E84734"/>
      <c r="F84734"/>
    </row>
    <row r="84735" spans="1:6" x14ac:dyDescent="0.25">
      <c r="A84735"/>
      <c r="B84735"/>
      <c r="C84735"/>
      <c r="E84735"/>
      <c r="F84735"/>
    </row>
    <row r="84736" spans="1:6" x14ac:dyDescent="0.25">
      <c r="A84736"/>
      <c r="B84736"/>
      <c r="C84736"/>
      <c r="E84736"/>
      <c r="F84736"/>
    </row>
    <row r="84737" spans="1:6" x14ac:dyDescent="0.25">
      <c r="A84737"/>
      <c r="B84737"/>
      <c r="C84737"/>
      <c r="E84737"/>
      <c r="F84737"/>
    </row>
    <row r="84738" spans="1:6" x14ac:dyDescent="0.25">
      <c r="A84738"/>
      <c r="B84738"/>
      <c r="C84738"/>
      <c r="E84738"/>
      <c r="F84738"/>
    </row>
    <row r="84739" spans="1:6" x14ac:dyDescent="0.25">
      <c r="A84739"/>
      <c r="B84739"/>
      <c r="C84739"/>
      <c r="E84739"/>
      <c r="F84739"/>
    </row>
    <row r="84740" spans="1:6" x14ac:dyDescent="0.25">
      <c r="A84740"/>
      <c r="B84740"/>
      <c r="C84740"/>
      <c r="E84740"/>
      <c r="F84740"/>
    </row>
    <row r="84741" spans="1:6" x14ac:dyDescent="0.25">
      <c r="A84741"/>
      <c r="B84741"/>
      <c r="C84741"/>
      <c r="E84741"/>
      <c r="F84741"/>
    </row>
    <row r="84742" spans="1:6" x14ac:dyDescent="0.25">
      <c r="A84742"/>
      <c r="B84742"/>
      <c r="C84742"/>
      <c r="E84742"/>
      <c r="F84742"/>
    </row>
    <row r="84743" spans="1:6" x14ac:dyDescent="0.25">
      <c r="A84743"/>
      <c r="B84743"/>
      <c r="C84743"/>
      <c r="E84743"/>
      <c r="F84743"/>
    </row>
    <row r="84744" spans="1:6" x14ac:dyDescent="0.25">
      <c r="A84744"/>
      <c r="B84744"/>
      <c r="C84744"/>
      <c r="E84744"/>
      <c r="F84744"/>
    </row>
    <row r="84745" spans="1:6" x14ac:dyDescent="0.25">
      <c r="A84745"/>
      <c r="B84745"/>
      <c r="C84745"/>
      <c r="E84745"/>
      <c r="F84745"/>
    </row>
    <row r="84746" spans="1:6" x14ac:dyDescent="0.25">
      <c r="A84746"/>
      <c r="B84746"/>
      <c r="C84746"/>
      <c r="E84746"/>
      <c r="F84746"/>
    </row>
    <row r="84747" spans="1:6" x14ac:dyDescent="0.25">
      <c r="A84747"/>
      <c r="B84747"/>
      <c r="C84747"/>
      <c r="E84747"/>
      <c r="F84747"/>
    </row>
    <row r="84748" spans="1:6" x14ac:dyDescent="0.25">
      <c r="A84748"/>
      <c r="B84748"/>
      <c r="C84748"/>
      <c r="E84748"/>
      <c r="F84748"/>
    </row>
    <row r="84749" spans="1:6" x14ac:dyDescent="0.25">
      <c r="A84749"/>
      <c r="B84749"/>
      <c r="C84749"/>
      <c r="E84749"/>
      <c r="F84749"/>
    </row>
    <row r="84750" spans="1:6" x14ac:dyDescent="0.25">
      <c r="A84750"/>
      <c r="B84750"/>
      <c r="C84750"/>
      <c r="E84750"/>
      <c r="F84750"/>
    </row>
    <row r="84751" spans="1:6" x14ac:dyDescent="0.25">
      <c r="A84751"/>
      <c r="B84751"/>
      <c r="C84751"/>
      <c r="E84751"/>
      <c r="F84751"/>
    </row>
    <row r="84752" spans="1:6" x14ac:dyDescent="0.25">
      <c r="A84752"/>
      <c r="B84752"/>
      <c r="C84752"/>
      <c r="E84752"/>
      <c r="F84752"/>
    </row>
    <row r="84753" spans="1:6" x14ac:dyDescent="0.25">
      <c r="A84753"/>
      <c r="B84753"/>
      <c r="C84753"/>
      <c r="E84753"/>
      <c r="F84753"/>
    </row>
    <row r="84754" spans="1:6" x14ac:dyDescent="0.25">
      <c r="A84754"/>
      <c r="B84754"/>
      <c r="C84754"/>
      <c r="E84754"/>
      <c r="F84754"/>
    </row>
    <row r="84755" spans="1:6" x14ac:dyDescent="0.25">
      <c r="A84755"/>
      <c r="B84755"/>
      <c r="C84755"/>
      <c r="E84755"/>
      <c r="F84755"/>
    </row>
    <row r="84756" spans="1:6" x14ac:dyDescent="0.25">
      <c r="A84756"/>
      <c r="B84756"/>
      <c r="C84756"/>
      <c r="E84756"/>
      <c r="F84756"/>
    </row>
    <row r="84757" spans="1:6" x14ac:dyDescent="0.25">
      <c r="A84757"/>
      <c r="B84757"/>
      <c r="C84757"/>
      <c r="E84757"/>
      <c r="F84757"/>
    </row>
    <row r="84758" spans="1:6" x14ac:dyDescent="0.25">
      <c r="A84758"/>
      <c r="B84758"/>
      <c r="C84758"/>
      <c r="E84758"/>
      <c r="F84758"/>
    </row>
    <row r="84759" spans="1:6" x14ac:dyDescent="0.25">
      <c r="A84759"/>
      <c r="B84759"/>
      <c r="C84759"/>
      <c r="E84759"/>
      <c r="F84759"/>
    </row>
    <row r="84760" spans="1:6" x14ac:dyDescent="0.25">
      <c r="A84760"/>
      <c r="B84760"/>
      <c r="C84760"/>
      <c r="E84760"/>
      <c r="F84760"/>
    </row>
    <row r="84761" spans="1:6" x14ac:dyDescent="0.25">
      <c r="A84761"/>
      <c r="B84761"/>
      <c r="C84761"/>
      <c r="E84761"/>
      <c r="F84761"/>
    </row>
    <row r="84762" spans="1:6" x14ac:dyDescent="0.25">
      <c r="A84762"/>
      <c r="B84762"/>
      <c r="C84762"/>
      <c r="E84762"/>
      <c r="F84762"/>
    </row>
    <row r="84763" spans="1:6" x14ac:dyDescent="0.25">
      <c r="A84763"/>
      <c r="B84763"/>
      <c r="C84763"/>
      <c r="E84763"/>
      <c r="F84763"/>
    </row>
    <row r="84764" spans="1:6" x14ac:dyDescent="0.25">
      <c r="A84764"/>
      <c r="B84764"/>
      <c r="C84764"/>
      <c r="E84764"/>
      <c r="F84764"/>
    </row>
    <row r="84765" spans="1:6" x14ac:dyDescent="0.25">
      <c r="A84765"/>
      <c r="B84765"/>
      <c r="C84765"/>
      <c r="E84765"/>
      <c r="F84765"/>
    </row>
    <row r="84766" spans="1:6" x14ac:dyDescent="0.25">
      <c r="A84766"/>
      <c r="B84766"/>
      <c r="C84766"/>
      <c r="E84766"/>
      <c r="F84766"/>
    </row>
    <row r="84767" spans="1:6" x14ac:dyDescent="0.25">
      <c r="A84767"/>
      <c r="B84767"/>
      <c r="C84767"/>
      <c r="E84767"/>
      <c r="F84767"/>
    </row>
    <row r="84768" spans="1:6" x14ac:dyDescent="0.25">
      <c r="A84768"/>
      <c r="B84768"/>
      <c r="C84768"/>
      <c r="E84768"/>
      <c r="F84768"/>
    </row>
    <row r="84769" spans="1:6" x14ac:dyDescent="0.25">
      <c r="A84769"/>
      <c r="B84769"/>
      <c r="C84769"/>
      <c r="E84769"/>
      <c r="F84769"/>
    </row>
    <row r="84770" spans="1:6" x14ac:dyDescent="0.25">
      <c r="A84770"/>
      <c r="B84770"/>
      <c r="C84770"/>
      <c r="E84770"/>
      <c r="F84770"/>
    </row>
    <row r="84771" spans="1:6" x14ac:dyDescent="0.25">
      <c r="A84771"/>
      <c r="B84771"/>
      <c r="C84771"/>
      <c r="E84771"/>
      <c r="F84771"/>
    </row>
    <row r="84772" spans="1:6" x14ac:dyDescent="0.25">
      <c r="A84772"/>
      <c r="B84772"/>
      <c r="C84772"/>
      <c r="E84772"/>
      <c r="F84772"/>
    </row>
    <row r="84773" spans="1:6" x14ac:dyDescent="0.25">
      <c r="A84773"/>
      <c r="B84773"/>
      <c r="C84773"/>
      <c r="E84773"/>
      <c r="F84773"/>
    </row>
    <row r="84774" spans="1:6" x14ac:dyDescent="0.25">
      <c r="A84774"/>
      <c r="B84774"/>
      <c r="C84774"/>
      <c r="E84774"/>
      <c r="F84774"/>
    </row>
    <row r="84775" spans="1:6" x14ac:dyDescent="0.25">
      <c r="A84775"/>
      <c r="B84775"/>
      <c r="C84775"/>
      <c r="E84775"/>
      <c r="F84775"/>
    </row>
    <row r="84776" spans="1:6" x14ac:dyDescent="0.25">
      <c r="A84776"/>
      <c r="B84776"/>
      <c r="C84776"/>
      <c r="E84776"/>
      <c r="F84776"/>
    </row>
    <row r="84777" spans="1:6" x14ac:dyDescent="0.25">
      <c r="A84777"/>
      <c r="B84777"/>
      <c r="C84777"/>
      <c r="E84777"/>
      <c r="F84777"/>
    </row>
    <row r="84778" spans="1:6" x14ac:dyDescent="0.25">
      <c r="A84778"/>
      <c r="B84778"/>
      <c r="C84778"/>
      <c r="E84778"/>
      <c r="F84778"/>
    </row>
    <row r="84779" spans="1:6" x14ac:dyDescent="0.25">
      <c r="A84779"/>
      <c r="B84779"/>
      <c r="C84779"/>
      <c r="E84779"/>
      <c r="F84779"/>
    </row>
    <row r="84780" spans="1:6" x14ac:dyDescent="0.25">
      <c r="A84780"/>
      <c r="B84780"/>
      <c r="C84780"/>
      <c r="E84780"/>
      <c r="F84780"/>
    </row>
    <row r="84781" spans="1:6" x14ac:dyDescent="0.25">
      <c r="A84781"/>
      <c r="B84781"/>
      <c r="C84781"/>
      <c r="E84781"/>
      <c r="F84781"/>
    </row>
    <row r="84782" spans="1:6" x14ac:dyDescent="0.25">
      <c r="A84782"/>
      <c r="B84782"/>
      <c r="C84782"/>
      <c r="E84782"/>
      <c r="F84782"/>
    </row>
    <row r="84783" spans="1:6" x14ac:dyDescent="0.25">
      <c r="A84783"/>
      <c r="B84783"/>
      <c r="C84783"/>
      <c r="E84783"/>
      <c r="F84783"/>
    </row>
    <row r="84784" spans="1:6" x14ac:dyDescent="0.25">
      <c r="A84784"/>
      <c r="B84784"/>
      <c r="C84784"/>
      <c r="E84784"/>
      <c r="F84784"/>
    </row>
    <row r="84785" spans="1:6" x14ac:dyDescent="0.25">
      <c r="A84785"/>
      <c r="B84785"/>
      <c r="C84785"/>
      <c r="E84785"/>
      <c r="F84785"/>
    </row>
    <row r="84786" spans="1:6" x14ac:dyDescent="0.25">
      <c r="A84786"/>
      <c r="B84786"/>
      <c r="C84786"/>
      <c r="E84786"/>
      <c r="F84786"/>
    </row>
    <row r="84787" spans="1:6" x14ac:dyDescent="0.25">
      <c r="A84787"/>
      <c r="B84787"/>
      <c r="C84787"/>
      <c r="E84787"/>
      <c r="F84787"/>
    </row>
    <row r="84788" spans="1:6" x14ac:dyDescent="0.25">
      <c r="A84788"/>
      <c r="B84788"/>
      <c r="C84788"/>
      <c r="E84788"/>
      <c r="F84788"/>
    </row>
    <row r="84789" spans="1:6" x14ac:dyDescent="0.25">
      <c r="A84789"/>
      <c r="B84789"/>
      <c r="C84789"/>
      <c r="E84789"/>
      <c r="F84789"/>
    </row>
    <row r="84790" spans="1:6" x14ac:dyDescent="0.25">
      <c r="A84790"/>
      <c r="B84790"/>
      <c r="C84790"/>
      <c r="E84790"/>
      <c r="F84790"/>
    </row>
    <row r="84791" spans="1:6" x14ac:dyDescent="0.25">
      <c r="A84791"/>
      <c r="B84791"/>
      <c r="C84791"/>
      <c r="E84791"/>
      <c r="F84791"/>
    </row>
    <row r="84792" spans="1:6" x14ac:dyDescent="0.25">
      <c r="A84792"/>
      <c r="B84792"/>
      <c r="C84792"/>
      <c r="E84792"/>
      <c r="F84792"/>
    </row>
    <row r="84793" spans="1:6" x14ac:dyDescent="0.25">
      <c r="A84793"/>
      <c r="B84793"/>
      <c r="C84793"/>
      <c r="E84793"/>
      <c r="F84793"/>
    </row>
    <row r="84794" spans="1:6" x14ac:dyDescent="0.25">
      <c r="A84794"/>
      <c r="B84794"/>
      <c r="C84794"/>
      <c r="E84794"/>
      <c r="F84794"/>
    </row>
    <row r="84795" spans="1:6" x14ac:dyDescent="0.25">
      <c r="A84795"/>
      <c r="B84795"/>
      <c r="C84795"/>
      <c r="E84795"/>
      <c r="F84795"/>
    </row>
    <row r="84796" spans="1:6" x14ac:dyDescent="0.25">
      <c r="A84796"/>
      <c r="B84796"/>
      <c r="C84796"/>
      <c r="E84796"/>
      <c r="F84796"/>
    </row>
    <row r="84797" spans="1:6" x14ac:dyDescent="0.25">
      <c r="A84797"/>
      <c r="B84797"/>
      <c r="C84797"/>
      <c r="E84797"/>
      <c r="F84797"/>
    </row>
    <row r="84798" spans="1:6" x14ac:dyDescent="0.25">
      <c r="A84798"/>
      <c r="B84798"/>
      <c r="C84798"/>
      <c r="E84798"/>
      <c r="F84798"/>
    </row>
    <row r="84799" spans="1:6" x14ac:dyDescent="0.25">
      <c r="A84799"/>
      <c r="B84799"/>
      <c r="C84799"/>
      <c r="E84799"/>
      <c r="F84799"/>
    </row>
    <row r="84800" spans="1:6" x14ac:dyDescent="0.25">
      <c r="A84800"/>
      <c r="B84800"/>
      <c r="C84800"/>
      <c r="E84800"/>
      <c r="F84800"/>
    </row>
    <row r="84801" spans="1:6" x14ac:dyDescent="0.25">
      <c r="A84801"/>
      <c r="B84801"/>
      <c r="C84801"/>
      <c r="E84801"/>
      <c r="F84801"/>
    </row>
    <row r="84802" spans="1:6" x14ac:dyDescent="0.25">
      <c r="A84802"/>
      <c r="B84802"/>
      <c r="C84802"/>
      <c r="E84802"/>
      <c r="F84802"/>
    </row>
    <row r="84803" spans="1:6" x14ac:dyDescent="0.25">
      <c r="A84803"/>
      <c r="B84803"/>
      <c r="C84803"/>
      <c r="E84803"/>
      <c r="F84803"/>
    </row>
    <row r="84804" spans="1:6" x14ac:dyDescent="0.25">
      <c r="A84804"/>
      <c r="B84804"/>
      <c r="C84804"/>
      <c r="E84804"/>
      <c r="F84804"/>
    </row>
    <row r="84805" spans="1:6" x14ac:dyDescent="0.25">
      <c r="A84805"/>
      <c r="B84805"/>
      <c r="C84805"/>
      <c r="E84805"/>
      <c r="F84805"/>
    </row>
    <row r="84806" spans="1:6" x14ac:dyDescent="0.25">
      <c r="A84806"/>
      <c r="B84806"/>
      <c r="C84806"/>
      <c r="E84806"/>
      <c r="F84806"/>
    </row>
    <row r="84807" spans="1:6" x14ac:dyDescent="0.25">
      <c r="A84807"/>
      <c r="B84807"/>
      <c r="C84807"/>
      <c r="E84807"/>
      <c r="F84807"/>
    </row>
    <row r="84808" spans="1:6" x14ac:dyDescent="0.25">
      <c r="A84808"/>
      <c r="B84808"/>
      <c r="C84808"/>
      <c r="E84808"/>
      <c r="F84808"/>
    </row>
    <row r="84809" spans="1:6" x14ac:dyDescent="0.25">
      <c r="A84809"/>
      <c r="B84809"/>
      <c r="C84809"/>
      <c r="E84809"/>
      <c r="F84809"/>
    </row>
    <row r="84810" spans="1:6" x14ac:dyDescent="0.25">
      <c r="A84810"/>
      <c r="B84810"/>
      <c r="C84810"/>
      <c r="E84810"/>
      <c r="F84810"/>
    </row>
    <row r="84811" spans="1:6" x14ac:dyDescent="0.25">
      <c r="A84811"/>
      <c r="B84811"/>
      <c r="C84811"/>
      <c r="E84811"/>
      <c r="F84811"/>
    </row>
    <row r="84812" spans="1:6" x14ac:dyDescent="0.25">
      <c r="A84812"/>
      <c r="B84812"/>
      <c r="C84812"/>
      <c r="E84812"/>
      <c r="F84812"/>
    </row>
    <row r="84813" spans="1:6" x14ac:dyDescent="0.25">
      <c r="A84813"/>
      <c r="B84813"/>
      <c r="C84813"/>
      <c r="E84813"/>
      <c r="F84813"/>
    </row>
    <row r="84814" spans="1:6" x14ac:dyDescent="0.25">
      <c r="A84814"/>
      <c r="B84814"/>
      <c r="C84814"/>
      <c r="E84814"/>
      <c r="F84814"/>
    </row>
    <row r="84815" spans="1:6" x14ac:dyDescent="0.25">
      <c r="A84815"/>
      <c r="B84815"/>
      <c r="C84815"/>
      <c r="E84815"/>
      <c r="F84815"/>
    </row>
    <row r="84816" spans="1:6" x14ac:dyDescent="0.25">
      <c r="A84816"/>
      <c r="B84816"/>
      <c r="C84816"/>
      <c r="E84816"/>
      <c r="F84816"/>
    </row>
    <row r="84817" spans="1:6" x14ac:dyDescent="0.25">
      <c r="A84817"/>
      <c r="B84817"/>
      <c r="C84817"/>
      <c r="E84817"/>
      <c r="F84817"/>
    </row>
    <row r="84818" spans="1:6" x14ac:dyDescent="0.25">
      <c r="A84818"/>
      <c r="B84818"/>
      <c r="C84818"/>
      <c r="E84818"/>
      <c r="F84818"/>
    </row>
    <row r="84819" spans="1:6" x14ac:dyDescent="0.25">
      <c r="A84819"/>
      <c r="B84819"/>
      <c r="C84819"/>
      <c r="E84819"/>
      <c r="F84819"/>
    </row>
    <row r="84820" spans="1:6" x14ac:dyDescent="0.25">
      <c r="A84820"/>
      <c r="B84820"/>
      <c r="C84820"/>
      <c r="E84820"/>
      <c r="F84820"/>
    </row>
    <row r="84821" spans="1:6" x14ac:dyDescent="0.25">
      <c r="A84821"/>
      <c r="B84821"/>
      <c r="C84821"/>
      <c r="E84821"/>
      <c r="F84821"/>
    </row>
    <row r="84822" spans="1:6" x14ac:dyDescent="0.25">
      <c r="A84822"/>
      <c r="B84822"/>
      <c r="C84822"/>
      <c r="E84822"/>
      <c r="F84822"/>
    </row>
    <row r="84823" spans="1:6" x14ac:dyDescent="0.25">
      <c r="A84823"/>
      <c r="B84823"/>
      <c r="C84823"/>
      <c r="E84823"/>
      <c r="F84823"/>
    </row>
    <row r="84824" spans="1:6" x14ac:dyDescent="0.25">
      <c r="A84824"/>
      <c r="B84824"/>
      <c r="C84824"/>
      <c r="E84824"/>
      <c r="F84824"/>
    </row>
    <row r="84825" spans="1:6" x14ac:dyDescent="0.25">
      <c r="A84825"/>
      <c r="B84825"/>
      <c r="C84825"/>
      <c r="E84825"/>
      <c r="F84825"/>
    </row>
    <row r="84826" spans="1:6" x14ac:dyDescent="0.25">
      <c r="A84826"/>
      <c r="B84826"/>
      <c r="C84826"/>
      <c r="E84826"/>
      <c r="F84826"/>
    </row>
    <row r="84827" spans="1:6" x14ac:dyDescent="0.25">
      <c r="A84827"/>
      <c r="B84827"/>
      <c r="C84827"/>
      <c r="E84827"/>
      <c r="F84827"/>
    </row>
    <row r="84828" spans="1:6" x14ac:dyDescent="0.25">
      <c r="A84828"/>
      <c r="B84828"/>
      <c r="C84828"/>
      <c r="E84828"/>
      <c r="F84828"/>
    </row>
    <row r="84829" spans="1:6" x14ac:dyDescent="0.25">
      <c r="A84829"/>
      <c r="B84829"/>
      <c r="C84829"/>
      <c r="E84829"/>
      <c r="F84829"/>
    </row>
    <row r="84830" spans="1:6" x14ac:dyDescent="0.25">
      <c r="A84830"/>
      <c r="B84830"/>
      <c r="C84830"/>
      <c r="E84830"/>
      <c r="F84830"/>
    </row>
    <row r="84831" spans="1:6" x14ac:dyDescent="0.25">
      <c r="A84831"/>
      <c r="B84831"/>
      <c r="C84831"/>
      <c r="E84831"/>
      <c r="F84831"/>
    </row>
    <row r="84832" spans="1:6" x14ac:dyDescent="0.25">
      <c r="A84832"/>
      <c r="B84832"/>
      <c r="C84832"/>
      <c r="E84832"/>
      <c r="F84832"/>
    </row>
    <row r="84833" spans="1:6" x14ac:dyDescent="0.25">
      <c r="A84833"/>
      <c r="B84833"/>
      <c r="C84833"/>
      <c r="E84833"/>
      <c r="F84833"/>
    </row>
    <row r="84834" spans="1:6" x14ac:dyDescent="0.25">
      <c r="A84834"/>
      <c r="B84834"/>
      <c r="C84834"/>
      <c r="E84834"/>
      <c r="F84834"/>
    </row>
    <row r="84835" spans="1:6" x14ac:dyDescent="0.25">
      <c r="A84835"/>
      <c r="B84835"/>
      <c r="C84835"/>
      <c r="E84835"/>
      <c r="F84835"/>
    </row>
    <row r="84836" spans="1:6" x14ac:dyDescent="0.25">
      <c r="A84836"/>
      <c r="B84836"/>
      <c r="C84836"/>
      <c r="E84836"/>
      <c r="F84836"/>
    </row>
    <row r="84837" spans="1:6" x14ac:dyDescent="0.25">
      <c r="A84837"/>
      <c r="B84837"/>
      <c r="C84837"/>
      <c r="E84837"/>
      <c r="F84837"/>
    </row>
    <row r="84838" spans="1:6" x14ac:dyDescent="0.25">
      <c r="A84838"/>
      <c r="B84838"/>
      <c r="C84838"/>
      <c r="E84838"/>
      <c r="F84838"/>
    </row>
    <row r="84839" spans="1:6" x14ac:dyDescent="0.25">
      <c r="A84839"/>
      <c r="B84839"/>
      <c r="C84839"/>
      <c r="E84839"/>
      <c r="F84839"/>
    </row>
    <row r="84840" spans="1:6" x14ac:dyDescent="0.25">
      <c r="A84840"/>
      <c r="B84840"/>
      <c r="C84840"/>
      <c r="E84840"/>
      <c r="F84840"/>
    </row>
    <row r="84841" spans="1:6" x14ac:dyDescent="0.25">
      <c r="A84841"/>
      <c r="B84841"/>
      <c r="C84841"/>
      <c r="E84841"/>
      <c r="F84841"/>
    </row>
    <row r="84842" spans="1:6" x14ac:dyDescent="0.25">
      <c r="A84842"/>
      <c r="B84842"/>
      <c r="C84842"/>
      <c r="E84842"/>
      <c r="F84842"/>
    </row>
    <row r="84843" spans="1:6" x14ac:dyDescent="0.25">
      <c r="A84843"/>
      <c r="B84843"/>
      <c r="C84843"/>
      <c r="E84843"/>
      <c r="F84843"/>
    </row>
    <row r="84844" spans="1:6" x14ac:dyDescent="0.25">
      <c r="A84844"/>
      <c r="B84844"/>
      <c r="C84844"/>
      <c r="E84844"/>
      <c r="F84844"/>
    </row>
    <row r="84845" spans="1:6" x14ac:dyDescent="0.25">
      <c r="A84845"/>
      <c r="B84845"/>
      <c r="C84845"/>
      <c r="E84845"/>
      <c r="F84845"/>
    </row>
    <row r="84846" spans="1:6" x14ac:dyDescent="0.25">
      <c r="A84846"/>
      <c r="B84846"/>
      <c r="C84846"/>
      <c r="E84846"/>
      <c r="F84846"/>
    </row>
    <row r="84847" spans="1:6" x14ac:dyDescent="0.25">
      <c r="A84847"/>
      <c r="B84847"/>
      <c r="C84847"/>
      <c r="E84847"/>
      <c r="F84847"/>
    </row>
    <row r="84848" spans="1:6" x14ac:dyDescent="0.25">
      <c r="A84848"/>
      <c r="B84848"/>
      <c r="C84848"/>
      <c r="E84848"/>
      <c r="F84848"/>
    </row>
    <row r="84849" spans="1:6" x14ac:dyDescent="0.25">
      <c r="A84849"/>
      <c r="B84849"/>
      <c r="C84849"/>
      <c r="E84849"/>
      <c r="F84849"/>
    </row>
    <row r="84850" spans="1:6" x14ac:dyDescent="0.25">
      <c r="A84850"/>
      <c r="B84850"/>
      <c r="C84850"/>
      <c r="E84850"/>
      <c r="F84850"/>
    </row>
    <row r="84851" spans="1:6" x14ac:dyDescent="0.25">
      <c r="A84851"/>
      <c r="B84851"/>
      <c r="C84851"/>
      <c r="E84851"/>
      <c r="F84851"/>
    </row>
    <row r="84852" spans="1:6" x14ac:dyDescent="0.25">
      <c r="A84852"/>
      <c r="B84852"/>
      <c r="C84852"/>
      <c r="E84852"/>
      <c r="F84852"/>
    </row>
    <row r="84853" spans="1:6" x14ac:dyDescent="0.25">
      <c r="A84853"/>
      <c r="B84853"/>
      <c r="C84853"/>
      <c r="E84853"/>
      <c r="F84853"/>
    </row>
    <row r="84854" spans="1:6" x14ac:dyDescent="0.25">
      <c r="A84854"/>
      <c r="B84854"/>
      <c r="C84854"/>
      <c r="E84854"/>
      <c r="F84854"/>
    </row>
    <row r="84855" spans="1:6" x14ac:dyDescent="0.25">
      <c r="A84855"/>
      <c r="B84855"/>
      <c r="C84855"/>
      <c r="E84855"/>
      <c r="F84855"/>
    </row>
    <row r="84856" spans="1:6" x14ac:dyDescent="0.25">
      <c r="A84856"/>
      <c r="B84856"/>
      <c r="C84856"/>
      <c r="E84856"/>
      <c r="F84856"/>
    </row>
    <row r="84857" spans="1:6" x14ac:dyDescent="0.25">
      <c r="A84857"/>
      <c r="B84857"/>
      <c r="C84857"/>
      <c r="E84857"/>
      <c r="F84857"/>
    </row>
    <row r="84858" spans="1:6" x14ac:dyDescent="0.25">
      <c r="A84858"/>
      <c r="B84858"/>
      <c r="C84858"/>
      <c r="E84858"/>
      <c r="F84858"/>
    </row>
    <row r="84859" spans="1:6" x14ac:dyDescent="0.25">
      <c r="A84859"/>
      <c r="B84859"/>
      <c r="C84859"/>
      <c r="E84859"/>
      <c r="F84859"/>
    </row>
    <row r="84860" spans="1:6" x14ac:dyDescent="0.25">
      <c r="A84860"/>
      <c r="B84860"/>
      <c r="C84860"/>
      <c r="E84860"/>
      <c r="F84860"/>
    </row>
    <row r="84861" spans="1:6" x14ac:dyDescent="0.25">
      <c r="A84861"/>
      <c r="B84861"/>
      <c r="C84861"/>
      <c r="E84861"/>
      <c r="F84861"/>
    </row>
    <row r="84862" spans="1:6" x14ac:dyDescent="0.25">
      <c r="A84862"/>
      <c r="B84862"/>
      <c r="C84862"/>
      <c r="E84862"/>
      <c r="F84862"/>
    </row>
    <row r="84863" spans="1:6" x14ac:dyDescent="0.25">
      <c r="A84863"/>
      <c r="B84863"/>
      <c r="C84863"/>
      <c r="E84863"/>
      <c r="F84863"/>
    </row>
    <row r="84864" spans="1:6" x14ac:dyDescent="0.25">
      <c r="A84864"/>
      <c r="B84864"/>
      <c r="C84864"/>
      <c r="E84864"/>
      <c r="F84864"/>
    </row>
    <row r="84865" spans="1:6" x14ac:dyDescent="0.25">
      <c r="A84865"/>
      <c r="B84865"/>
      <c r="C84865"/>
      <c r="E84865"/>
      <c r="F84865"/>
    </row>
    <row r="84866" spans="1:6" x14ac:dyDescent="0.25">
      <c r="A84866"/>
      <c r="B84866"/>
      <c r="C84866"/>
      <c r="E84866"/>
      <c r="F84866"/>
    </row>
    <row r="84867" spans="1:6" x14ac:dyDescent="0.25">
      <c r="A84867"/>
      <c r="B84867"/>
      <c r="C84867"/>
      <c r="E84867"/>
      <c r="F84867"/>
    </row>
    <row r="84868" spans="1:6" x14ac:dyDescent="0.25">
      <c r="A84868"/>
      <c r="B84868"/>
      <c r="C84868"/>
      <c r="E84868"/>
      <c r="F84868"/>
    </row>
    <row r="84869" spans="1:6" x14ac:dyDescent="0.25">
      <c r="A84869"/>
      <c r="B84869"/>
      <c r="C84869"/>
      <c r="E84869"/>
      <c r="F84869"/>
    </row>
    <row r="84870" spans="1:6" x14ac:dyDescent="0.25">
      <c r="A84870"/>
      <c r="B84870"/>
      <c r="C84870"/>
      <c r="E84870"/>
      <c r="F84870"/>
    </row>
    <row r="84871" spans="1:6" x14ac:dyDescent="0.25">
      <c r="A84871"/>
      <c r="B84871"/>
      <c r="C84871"/>
      <c r="E84871"/>
      <c r="F84871"/>
    </row>
    <row r="84872" spans="1:6" x14ac:dyDescent="0.25">
      <c r="A84872"/>
      <c r="B84872"/>
      <c r="C84872"/>
      <c r="E84872"/>
      <c r="F84872"/>
    </row>
    <row r="84873" spans="1:6" x14ac:dyDescent="0.25">
      <c r="A84873"/>
      <c r="B84873"/>
      <c r="C84873"/>
      <c r="E84873"/>
      <c r="F84873"/>
    </row>
    <row r="84874" spans="1:6" x14ac:dyDescent="0.25">
      <c r="A84874"/>
      <c r="B84874"/>
      <c r="C84874"/>
      <c r="E84874"/>
      <c r="F84874"/>
    </row>
    <row r="84875" spans="1:6" x14ac:dyDescent="0.25">
      <c r="A84875"/>
      <c r="B84875"/>
      <c r="C84875"/>
      <c r="E84875"/>
      <c r="F84875"/>
    </row>
    <row r="84876" spans="1:6" x14ac:dyDescent="0.25">
      <c r="A84876"/>
      <c r="B84876"/>
      <c r="C84876"/>
      <c r="E84876"/>
      <c r="F84876"/>
    </row>
    <row r="84877" spans="1:6" x14ac:dyDescent="0.25">
      <c r="A84877"/>
      <c r="B84877"/>
      <c r="C84877"/>
      <c r="E84877"/>
      <c r="F84877"/>
    </row>
    <row r="84878" spans="1:6" x14ac:dyDescent="0.25">
      <c r="A84878"/>
      <c r="B84878"/>
      <c r="C84878"/>
      <c r="E84878"/>
      <c r="F84878"/>
    </row>
    <row r="84879" spans="1:6" x14ac:dyDescent="0.25">
      <c r="A84879"/>
      <c r="B84879"/>
      <c r="C84879"/>
      <c r="E84879"/>
      <c r="F84879"/>
    </row>
    <row r="84880" spans="1:6" x14ac:dyDescent="0.25">
      <c r="A84880"/>
      <c r="B84880"/>
      <c r="C84880"/>
      <c r="E84880"/>
      <c r="F84880"/>
    </row>
    <row r="84881" spans="1:6" x14ac:dyDescent="0.25">
      <c r="A84881"/>
      <c r="B84881"/>
      <c r="C84881"/>
      <c r="E84881"/>
      <c r="F84881"/>
    </row>
    <row r="84882" spans="1:6" x14ac:dyDescent="0.25">
      <c r="A84882"/>
      <c r="B84882"/>
      <c r="C84882"/>
      <c r="E84882"/>
      <c r="F84882"/>
    </row>
    <row r="84883" spans="1:6" x14ac:dyDescent="0.25">
      <c r="A84883"/>
      <c r="B84883"/>
      <c r="C84883"/>
      <c r="E84883"/>
      <c r="F84883"/>
    </row>
    <row r="84884" spans="1:6" x14ac:dyDescent="0.25">
      <c r="A84884"/>
      <c r="B84884"/>
      <c r="C84884"/>
      <c r="E84884"/>
      <c r="F84884"/>
    </row>
    <row r="84885" spans="1:6" x14ac:dyDescent="0.25">
      <c r="A84885"/>
      <c r="B84885"/>
      <c r="C84885"/>
      <c r="E84885"/>
      <c r="F84885"/>
    </row>
    <row r="84886" spans="1:6" x14ac:dyDescent="0.25">
      <c r="A84886"/>
      <c r="B84886"/>
      <c r="C84886"/>
      <c r="E84886"/>
      <c r="F84886"/>
    </row>
    <row r="84887" spans="1:6" x14ac:dyDescent="0.25">
      <c r="A84887"/>
      <c r="B84887"/>
      <c r="C84887"/>
      <c r="E84887"/>
      <c r="F84887"/>
    </row>
    <row r="84888" spans="1:6" x14ac:dyDescent="0.25">
      <c r="A84888"/>
      <c r="B84888"/>
      <c r="C84888"/>
      <c r="E84888"/>
      <c r="F84888"/>
    </row>
    <row r="84889" spans="1:6" x14ac:dyDescent="0.25">
      <c r="A84889"/>
      <c r="B84889"/>
      <c r="C84889"/>
      <c r="E84889"/>
      <c r="F84889"/>
    </row>
    <row r="84890" spans="1:6" x14ac:dyDescent="0.25">
      <c r="A84890"/>
      <c r="B84890"/>
      <c r="C84890"/>
      <c r="E84890"/>
      <c r="F84890"/>
    </row>
    <row r="84891" spans="1:6" x14ac:dyDescent="0.25">
      <c r="A84891"/>
      <c r="B84891"/>
      <c r="C84891"/>
      <c r="E84891"/>
      <c r="F84891"/>
    </row>
    <row r="84892" spans="1:6" x14ac:dyDescent="0.25">
      <c r="A84892"/>
      <c r="B84892"/>
      <c r="C84892"/>
      <c r="E84892"/>
      <c r="F84892"/>
    </row>
    <row r="84893" spans="1:6" x14ac:dyDescent="0.25">
      <c r="A84893"/>
      <c r="B84893"/>
      <c r="C84893"/>
      <c r="E84893"/>
      <c r="F84893"/>
    </row>
    <row r="84894" spans="1:6" x14ac:dyDescent="0.25">
      <c r="A84894"/>
      <c r="B84894"/>
      <c r="C84894"/>
      <c r="E84894"/>
      <c r="F84894"/>
    </row>
    <row r="84895" spans="1:6" x14ac:dyDescent="0.25">
      <c r="A84895"/>
      <c r="B84895"/>
      <c r="C84895"/>
      <c r="E84895"/>
      <c r="F84895"/>
    </row>
    <row r="84896" spans="1:6" x14ac:dyDescent="0.25">
      <c r="A84896"/>
      <c r="B84896"/>
      <c r="C84896"/>
      <c r="E84896"/>
      <c r="F84896"/>
    </row>
    <row r="84897" spans="1:6" x14ac:dyDescent="0.25">
      <c r="A84897"/>
      <c r="B84897"/>
      <c r="C84897"/>
      <c r="E84897"/>
      <c r="F84897"/>
    </row>
    <row r="84898" spans="1:6" x14ac:dyDescent="0.25">
      <c r="A84898"/>
      <c r="B84898"/>
      <c r="C84898"/>
      <c r="E84898"/>
      <c r="F84898"/>
    </row>
    <row r="84899" spans="1:6" x14ac:dyDescent="0.25">
      <c r="A84899"/>
      <c r="B84899"/>
      <c r="C84899"/>
      <c r="E84899"/>
      <c r="F84899"/>
    </row>
    <row r="84900" spans="1:6" x14ac:dyDescent="0.25">
      <c r="A84900"/>
      <c r="B84900"/>
      <c r="C84900"/>
      <c r="E84900"/>
      <c r="F84900"/>
    </row>
    <row r="84901" spans="1:6" x14ac:dyDescent="0.25">
      <c r="A84901"/>
      <c r="B84901"/>
      <c r="C84901"/>
      <c r="E84901"/>
      <c r="F84901"/>
    </row>
    <row r="84902" spans="1:6" x14ac:dyDescent="0.25">
      <c r="A84902"/>
      <c r="B84902"/>
      <c r="C84902"/>
      <c r="E84902"/>
      <c r="F84902"/>
    </row>
    <row r="84903" spans="1:6" x14ac:dyDescent="0.25">
      <c r="A84903"/>
      <c r="B84903"/>
      <c r="C84903"/>
      <c r="E84903"/>
      <c r="F84903"/>
    </row>
    <row r="84904" spans="1:6" x14ac:dyDescent="0.25">
      <c r="A84904"/>
      <c r="B84904"/>
      <c r="C84904"/>
      <c r="E84904"/>
      <c r="F84904"/>
    </row>
    <row r="84905" spans="1:6" x14ac:dyDescent="0.25">
      <c r="A84905"/>
      <c r="B84905"/>
      <c r="C84905"/>
      <c r="E84905"/>
      <c r="F84905"/>
    </row>
    <row r="84906" spans="1:6" x14ac:dyDescent="0.25">
      <c r="A84906"/>
      <c r="B84906"/>
      <c r="C84906"/>
      <c r="E84906"/>
      <c r="F84906"/>
    </row>
    <row r="84907" spans="1:6" x14ac:dyDescent="0.25">
      <c r="A84907"/>
      <c r="B84907"/>
      <c r="C84907"/>
      <c r="E84907"/>
      <c r="F84907"/>
    </row>
    <row r="84908" spans="1:6" x14ac:dyDescent="0.25">
      <c r="A84908"/>
      <c r="B84908"/>
      <c r="C84908"/>
      <c r="E84908"/>
      <c r="F84908"/>
    </row>
    <row r="84909" spans="1:6" x14ac:dyDescent="0.25">
      <c r="A84909"/>
      <c r="B84909"/>
      <c r="C84909"/>
      <c r="E84909"/>
      <c r="F84909"/>
    </row>
    <row r="84910" spans="1:6" x14ac:dyDescent="0.25">
      <c r="A84910"/>
      <c r="B84910"/>
      <c r="C84910"/>
      <c r="E84910"/>
      <c r="F84910"/>
    </row>
    <row r="84911" spans="1:6" x14ac:dyDescent="0.25">
      <c r="A84911"/>
      <c r="B84911"/>
      <c r="C84911"/>
      <c r="E84911"/>
      <c r="F84911"/>
    </row>
    <row r="84912" spans="1:6" x14ac:dyDescent="0.25">
      <c r="A84912"/>
      <c r="B84912"/>
      <c r="C84912"/>
      <c r="E84912"/>
      <c r="F84912"/>
    </row>
    <row r="84913" spans="1:6" x14ac:dyDescent="0.25">
      <c r="A84913"/>
      <c r="B84913"/>
      <c r="C84913"/>
      <c r="E84913"/>
      <c r="F84913"/>
    </row>
    <row r="84914" spans="1:6" x14ac:dyDescent="0.25">
      <c r="A84914"/>
      <c r="B84914"/>
      <c r="C84914"/>
      <c r="E84914"/>
      <c r="F84914"/>
    </row>
    <row r="84915" spans="1:6" x14ac:dyDescent="0.25">
      <c r="A84915"/>
      <c r="B84915"/>
      <c r="C84915"/>
      <c r="E84915"/>
      <c r="F84915"/>
    </row>
    <row r="84916" spans="1:6" x14ac:dyDescent="0.25">
      <c r="A84916"/>
      <c r="B84916"/>
      <c r="C84916"/>
      <c r="E84916"/>
      <c r="F84916"/>
    </row>
    <row r="84917" spans="1:6" x14ac:dyDescent="0.25">
      <c r="A84917"/>
      <c r="B84917"/>
      <c r="C84917"/>
      <c r="E84917"/>
      <c r="F84917"/>
    </row>
    <row r="84918" spans="1:6" x14ac:dyDescent="0.25">
      <c r="A84918"/>
      <c r="B84918"/>
      <c r="C84918"/>
      <c r="E84918"/>
      <c r="F84918"/>
    </row>
    <row r="84919" spans="1:6" x14ac:dyDescent="0.25">
      <c r="A84919"/>
      <c r="B84919"/>
      <c r="C84919"/>
      <c r="E84919"/>
      <c r="F84919"/>
    </row>
    <row r="84920" spans="1:6" x14ac:dyDescent="0.25">
      <c r="A84920"/>
      <c r="B84920"/>
      <c r="C84920"/>
      <c r="E84920"/>
      <c r="F84920"/>
    </row>
    <row r="84921" spans="1:6" x14ac:dyDescent="0.25">
      <c r="A84921"/>
      <c r="B84921"/>
      <c r="C84921"/>
      <c r="E84921"/>
      <c r="F84921"/>
    </row>
    <row r="84922" spans="1:6" x14ac:dyDescent="0.25">
      <c r="A84922"/>
      <c r="B84922"/>
      <c r="C84922"/>
      <c r="E84922"/>
      <c r="F84922"/>
    </row>
    <row r="84923" spans="1:6" x14ac:dyDescent="0.25">
      <c r="A84923"/>
      <c r="B84923"/>
      <c r="C84923"/>
      <c r="E84923"/>
      <c r="F84923"/>
    </row>
    <row r="84924" spans="1:6" x14ac:dyDescent="0.25">
      <c r="A84924"/>
      <c r="B84924"/>
      <c r="C84924"/>
      <c r="E84924"/>
      <c r="F84924"/>
    </row>
    <row r="84925" spans="1:6" x14ac:dyDescent="0.25">
      <c r="A84925"/>
      <c r="B84925"/>
      <c r="C84925"/>
      <c r="E84925"/>
      <c r="F84925"/>
    </row>
    <row r="84926" spans="1:6" x14ac:dyDescent="0.25">
      <c r="A84926"/>
      <c r="B84926"/>
      <c r="C84926"/>
      <c r="E84926"/>
      <c r="F84926"/>
    </row>
    <row r="84927" spans="1:6" x14ac:dyDescent="0.25">
      <c r="A84927"/>
      <c r="B84927"/>
      <c r="C84927"/>
      <c r="E84927"/>
      <c r="F84927"/>
    </row>
    <row r="84928" spans="1:6" x14ac:dyDescent="0.25">
      <c r="A84928"/>
      <c r="B84928"/>
      <c r="C84928"/>
      <c r="E84928"/>
      <c r="F84928"/>
    </row>
    <row r="84929" spans="1:6" x14ac:dyDescent="0.25">
      <c r="A84929"/>
      <c r="B84929"/>
      <c r="C84929"/>
      <c r="E84929"/>
      <c r="F84929"/>
    </row>
    <row r="84930" spans="1:6" x14ac:dyDescent="0.25">
      <c r="A84930"/>
      <c r="B84930"/>
      <c r="C84930"/>
      <c r="E84930"/>
      <c r="F84930"/>
    </row>
    <row r="84931" spans="1:6" x14ac:dyDescent="0.25">
      <c r="A84931"/>
      <c r="B84931"/>
      <c r="C84931"/>
      <c r="E84931"/>
      <c r="F84931"/>
    </row>
    <row r="84932" spans="1:6" x14ac:dyDescent="0.25">
      <c r="A84932"/>
      <c r="B84932"/>
      <c r="C84932"/>
      <c r="E84932"/>
      <c r="F84932"/>
    </row>
    <row r="84933" spans="1:6" x14ac:dyDescent="0.25">
      <c r="A84933"/>
      <c r="B84933"/>
      <c r="C84933"/>
      <c r="E84933"/>
      <c r="F84933"/>
    </row>
    <row r="84934" spans="1:6" x14ac:dyDescent="0.25">
      <c r="A84934"/>
      <c r="B84934"/>
      <c r="C84934"/>
      <c r="E84934"/>
      <c r="F84934"/>
    </row>
    <row r="84935" spans="1:6" x14ac:dyDescent="0.25">
      <c r="A84935"/>
      <c r="B84935"/>
      <c r="C84935"/>
      <c r="E84935"/>
      <c r="F84935"/>
    </row>
    <row r="84936" spans="1:6" x14ac:dyDescent="0.25">
      <c r="A84936"/>
      <c r="B84936"/>
      <c r="C84936"/>
      <c r="E84936"/>
      <c r="F84936"/>
    </row>
    <row r="84937" spans="1:6" x14ac:dyDescent="0.25">
      <c r="A84937"/>
      <c r="B84937"/>
      <c r="C84937"/>
      <c r="E84937"/>
      <c r="F84937"/>
    </row>
    <row r="84938" spans="1:6" x14ac:dyDescent="0.25">
      <c r="A84938"/>
      <c r="B84938"/>
      <c r="C84938"/>
      <c r="E84938"/>
      <c r="F84938"/>
    </row>
    <row r="84939" spans="1:6" x14ac:dyDescent="0.25">
      <c r="A84939"/>
      <c r="B84939"/>
      <c r="C84939"/>
      <c r="E84939"/>
      <c r="F84939"/>
    </row>
    <row r="84940" spans="1:6" x14ac:dyDescent="0.25">
      <c r="A84940"/>
      <c r="B84940"/>
      <c r="C84940"/>
      <c r="E84940"/>
      <c r="F84940"/>
    </row>
    <row r="84941" spans="1:6" x14ac:dyDescent="0.25">
      <c r="A84941"/>
      <c r="B84941"/>
      <c r="C84941"/>
      <c r="E84941"/>
      <c r="F84941"/>
    </row>
    <row r="84942" spans="1:6" x14ac:dyDescent="0.25">
      <c r="A84942"/>
      <c r="B84942"/>
      <c r="C84942"/>
      <c r="E84942"/>
      <c r="F84942"/>
    </row>
    <row r="84943" spans="1:6" x14ac:dyDescent="0.25">
      <c r="A84943"/>
      <c r="B84943"/>
      <c r="C84943"/>
      <c r="E84943"/>
      <c r="F84943"/>
    </row>
    <row r="84944" spans="1:6" x14ac:dyDescent="0.25">
      <c r="A84944"/>
      <c r="B84944"/>
      <c r="C84944"/>
      <c r="E84944"/>
      <c r="F84944"/>
    </row>
    <row r="84945" spans="1:6" x14ac:dyDescent="0.25">
      <c r="A84945"/>
      <c r="B84945"/>
      <c r="C84945"/>
      <c r="E84945"/>
      <c r="F84945"/>
    </row>
    <row r="84946" spans="1:6" x14ac:dyDescent="0.25">
      <c r="A84946"/>
      <c r="B84946"/>
      <c r="C84946"/>
      <c r="E84946"/>
      <c r="F84946"/>
    </row>
    <row r="84947" spans="1:6" x14ac:dyDescent="0.25">
      <c r="A84947"/>
      <c r="B84947"/>
      <c r="C84947"/>
      <c r="E84947"/>
      <c r="F84947"/>
    </row>
    <row r="84948" spans="1:6" x14ac:dyDescent="0.25">
      <c r="A84948"/>
      <c r="B84948"/>
      <c r="C84948"/>
      <c r="E84948"/>
      <c r="F84948"/>
    </row>
    <row r="84949" spans="1:6" x14ac:dyDescent="0.25">
      <c r="A84949"/>
      <c r="B84949"/>
      <c r="C84949"/>
      <c r="E84949"/>
      <c r="F84949"/>
    </row>
    <row r="84950" spans="1:6" x14ac:dyDescent="0.25">
      <c r="A84950"/>
      <c r="B84950"/>
      <c r="C84950"/>
      <c r="E84950"/>
      <c r="F84950"/>
    </row>
    <row r="84951" spans="1:6" x14ac:dyDescent="0.25">
      <c r="A84951"/>
      <c r="B84951"/>
      <c r="C84951"/>
      <c r="E84951"/>
      <c r="F84951"/>
    </row>
    <row r="84952" spans="1:6" x14ac:dyDescent="0.25">
      <c r="A84952"/>
      <c r="B84952"/>
      <c r="C84952"/>
      <c r="E84952"/>
      <c r="F84952"/>
    </row>
    <row r="84953" spans="1:6" x14ac:dyDescent="0.25">
      <c r="A84953"/>
      <c r="B84953"/>
      <c r="C84953"/>
      <c r="E84953"/>
      <c r="F84953"/>
    </row>
    <row r="84954" spans="1:6" x14ac:dyDescent="0.25">
      <c r="A84954"/>
      <c r="B84954"/>
      <c r="C84954"/>
      <c r="E84954"/>
      <c r="F84954"/>
    </row>
    <row r="84955" spans="1:6" x14ac:dyDescent="0.25">
      <c r="A84955"/>
      <c r="B84955"/>
      <c r="C84955"/>
      <c r="E84955"/>
      <c r="F84955"/>
    </row>
    <row r="84956" spans="1:6" x14ac:dyDescent="0.25">
      <c r="A84956"/>
      <c r="B84956"/>
      <c r="C84956"/>
      <c r="E84956"/>
      <c r="F84956"/>
    </row>
    <row r="84957" spans="1:6" x14ac:dyDescent="0.25">
      <c r="A84957"/>
      <c r="B84957"/>
      <c r="C84957"/>
      <c r="E84957"/>
      <c r="F84957"/>
    </row>
    <row r="84958" spans="1:6" x14ac:dyDescent="0.25">
      <c r="A84958"/>
      <c r="B84958"/>
      <c r="C84958"/>
      <c r="E84958"/>
      <c r="F84958"/>
    </row>
    <row r="84959" spans="1:6" x14ac:dyDescent="0.25">
      <c r="A84959"/>
      <c r="B84959"/>
      <c r="C84959"/>
      <c r="E84959"/>
      <c r="F84959"/>
    </row>
    <row r="84960" spans="1:6" x14ac:dyDescent="0.25">
      <c r="A84960"/>
      <c r="B84960"/>
      <c r="C84960"/>
      <c r="E84960"/>
      <c r="F84960"/>
    </row>
    <row r="84961" spans="1:6" x14ac:dyDescent="0.25">
      <c r="A84961"/>
      <c r="B84961"/>
      <c r="C84961"/>
      <c r="E84961"/>
      <c r="F84961"/>
    </row>
    <row r="84962" spans="1:6" x14ac:dyDescent="0.25">
      <c r="A84962"/>
      <c r="B84962"/>
      <c r="C84962"/>
      <c r="E84962"/>
      <c r="F84962"/>
    </row>
    <row r="84963" spans="1:6" x14ac:dyDescent="0.25">
      <c r="A84963"/>
      <c r="B84963"/>
      <c r="C84963"/>
      <c r="E84963"/>
      <c r="F84963"/>
    </row>
    <row r="84964" spans="1:6" x14ac:dyDescent="0.25">
      <c r="A84964"/>
      <c r="B84964"/>
      <c r="C84964"/>
      <c r="E84964"/>
      <c r="F84964"/>
    </row>
    <row r="84965" spans="1:6" x14ac:dyDescent="0.25">
      <c r="A84965"/>
      <c r="B84965"/>
      <c r="C84965"/>
      <c r="E84965"/>
      <c r="F84965"/>
    </row>
    <row r="84966" spans="1:6" x14ac:dyDescent="0.25">
      <c r="A84966"/>
      <c r="B84966"/>
      <c r="C84966"/>
      <c r="E84966"/>
      <c r="F84966"/>
    </row>
    <row r="84967" spans="1:6" x14ac:dyDescent="0.25">
      <c r="A84967"/>
      <c r="B84967"/>
      <c r="C84967"/>
      <c r="E84967"/>
      <c r="F84967"/>
    </row>
    <row r="84968" spans="1:6" x14ac:dyDescent="0.25">
      <c r="A84968"/>
      <c r="B84968"/>
      <c r="C84968"/>
      <c r="E84968"/>
      <c r="F84968"/>
    </row>
    <row r="84969" spans="1:6" x14ac:dyDescent="0.25">
      <c r="A84969"/>
      <c r="B84969"/>
      <c r="C84969"/>
      <c r="E84969"/>
      <c r="F84969"/>
    </row>
    <row r="84970" spans="1:6" x14ac:dyDescent="0.25">
      <c r="A84970"/>
      <c r="B84970"/>
      <c r="C84970"/>
      <c r="E84970"/>
      <c r="F84970"/>
    </row>
    <row r="84971" spans="1:6" x14ac:dyDescent="0.25">
      <c r="A84971"/>
      <c r="B84971"/>
      <c r="C84971"/>
      <c r="E84971"/>
      <c r="F84971"/>
    </row>
    <row r="84972" spans="1:6" x14ac:dyDescent="0.25">
      <c r="A84972"/>
      <c r="B84972"/>
      <c r="C84972"/>
      <c r="E84972"/>
      <c r="F84972"/>
    </row>
    <row r="84973" spans="1:6" x14ac:dyDescent="0.25">
      <c r="A84973"/>
      <c r="B84973"/>
      <c r="C84973"/>
      <c r="E84973"/>
      <c r="F84973"/>
    </row>
    <row r="84974" spans="1:6" x14ac:dyDescent="0.25">
      <c r="A84974"/>
      <c r="B84974"/>
      <c r="C84974"/>
      <c r="E84974"/>
      <c r="F84974"/>
    </row>
    <row r="84975" spans="1:6" x14ac:dyDescent="0.25">
      <c r="A84975"/>
      <c r="B84975"/>
      <c r="C84975"/>
      <c r="E84975"/>
      <c r="F84975"/>
    </row>
    <row r="84976" spans="1:6" x14ac:dyDescent="0.25">
      <c r="A84976"/>
      <c r="B84976"/>
      <c r="C84976"/>
      <c r="E84976"/>
      <c r="F84976"/>
    </row>
    <row r="84977" spans="1:6" x14ac:dyDescent="0.25">
      <c r="A84977"/>
      <c r="B84977"/>
      <c r="C84977"/>
      <c r="E84977"/>
      <c r="F84977"/>
    </row>
    <row r="84978" spans="1:6" x14ac:dyDescent="0.25">
      <c r="A84978"/>
      <c r="B84978"/>
      <c r="C84978"/>
      <c r="E84978"/>
      <c r="F84978"/>
    </row>
    <row r="84979" spans="1:6" x14ac:dyDescent="0.25">
      <c r="A84979"/>
      <c r="B84979"/>
      <c r="C84979"/>
      <c r="E84979"/>
      <c r="F84979"/>
    </row>
    <row r="84980" spans="1:6" x14ac:dyDescent="0.25">
      <c r="A84980"/>
      <c r="B84980"/>
      <c r="C84980"/>
      <c r="E84980"/>
      <c r="F84980"/>
    </row>
    <row r="84981" spans="1:6" x14ac:dyDescent="0.25">
      <c r="A84981"/>
      <c r="B84981"/>
      <c r="C84981"/>
      <c r="E84981"/>
      <c r="F84981"/>
    </row>
    <row r="84982" spans="1:6" x14ac:dyDescent="0.25">
      <c r="A84982"/>
      <c r="B84982"/>
      <c r="C84982"/>
      <c r="E84982"/>
      <c r="F84982"/>
    </row>
    <row r="84983" spans="1:6" x14ac:dyDescent="0.25">
      <c r="A84983"/>
      <c r="B84983"/>
      <c r="C84983"/>
      <c r="E84983"/>
      <c r="F84983"/>
    </row>
    <row r="84984" spans="1:6" x14ac:dyDescent="0.25">
      <c r="A84984"/>
      <c r="B84984"/>
      <c r="C84984"/>
      <c r="E84984"/>
      <c r="F84984"/>
    </row>
    <row r="84985" spans="1:6" x14ac:dyDescent="0.25">
      <c r="A84985"/>
      <c r="B84985"/>
      <c r="C84985"/>
      <c r="E84985"/>
      <c r="F84985"/>
    </row>
    <row r="84986" spans="1:6" x14ac:dyDescent="0.25">
      <c r="A84986"/>
      <c r="B84986"/>
      <c r="C84986"/>
      <c r="E84986"/>
      <c r="F84986"/>
    </row>
    <row r="84987" spans="1:6" x14ac:dyDescent="0.25">
      <c r="A84987"/>
      <c r="B84987"/>
      <c r="C84987"/>
      <c r="E84987"/>
      <c r="F84987"/>
    </row>
    <row r="84988" spans="1:6" x14ac:dyDescent="0.25">
      <c r="A84988"/>
      <c r="B84988"/>
      <c r="C84988"/>
      <c r="E84988"/>
      <c r="F84988"/>
    </row>
    <row r="84989" spans="1:6" x14ac:dyDescent="0.25">
      <c r="A84989"/>
      <c r="B84989"/>
      <c r="C84989"/>
      <c r="E84989"/>
      <c r="F84989"/>
    </row>
    <row r="84990" spans="1:6" x14ac:dyDescent="0.25">
      <c r="A84990"/>
      <c r="B84990"/>
      <c r="C84990"/>
      <c r="E84990"/>
      <c r="F84990"/>
    </row>
    <row r="84991" spans="1:6" x14ac:dyDescent="0.25">
      <c r="A84991"/>
      <c r="B84991"/>
      <c r="C84991"/>
      <c r="E84991"/>
      <c r="F84991"/>
    </row>
    <row r="84992" spans="1:6" x14ac:dyDescent="0.25">
      <c r="A84992"/>
      <c r="B84992"/>
      <c r="C84992"/>
      <c r="E84992"/>
      <c r="F84992"/>
    </row>
    <row r="84993" spans="1:6" x14ac:dyDescent="0.25">
      <c r="A84993"/>
      <c r="B84993"/>
      <c r="C84993"/>
      <c r="E84993"/>
      <c r="F84993"/>
    </row>
    <row r="84994" spans="1:6" x14ac:dyDescent="0.25">
      <c r="A84994"/>
      <c r="B84994"/>
      <c r="C84994"/>
      <c r="E84994"/>
      <c r="F84994"/>
    </row>
    <row r="84995" spans="1:6" x14ac:dyDescent="0.25">
      <c r="A84995"/>
      <c r="B84995"/>
      <c r="C84995"/>
      <c r="E84995"/>
      <c r="F84995"/>
    </row>
    <row r="84996" spans="1:6" x14ac:dyDescent="0.25">
      <c r="A84996"/>
      <c r="B84996"/>
      <c r="C84996"/>
      <c r="E84996"/>
      <c r="F84996"/>
    </row>
    <row r="84997" spans="1:6" x14ac:dyDescent="0.25">
      <c r="A84997"/>
      <c r="B84997"/>
      <c r="C84997"/>
      <c r="E84997"/>
      <c r="F84997"/>
    </row>
    <row r="84998" spans="1:6" x14ac:dyDescent="0.25">
      <c r="A84998"/>
      <c r="B84998"/>
      <c r="C84998"/>
      <c r="E84998"/>
      <c r="F84998"/>
    </row>
    <row r="84999" spans="1:6" x14ac:dyDescent="0.25">
      <c r="A84999"/>
      <c r="B84999"/>
      <c r="C84999"/>
      <c r="E84999"/>
      <c r="F84999"/>
    </row>
    <row r="85000" spans="1:6" x14ac:dyDescent="0.25">
      <c r="A85000"/>
      <c r="B85000"/>
      <c r="C85000"/>
      <c r="E85000"/>
      <c r="F85000"/>
    </row>
    <row r="85001" spans="1:6" x14ac:dyDescent="0.25">
      <c r="A85001"/>
      <c r="B85001"/>
      <c r="C85001"/>
      <c r="E85001"/>
      <c r="F85001"/>
    </row>
    <row r="85002" spans="1:6" x14ac:dyDescent="0.25">
      <c r="A85002"/>
      <c r="B85002"/>
      <c r="C85002"/>
      <c r="E85002"/>
      <c r="F85002"/>
    </row>
    <row r="85003" spans="1:6" x14ac:dyDescent="0.25">
      <c r="A85003"/>
      <c r="B85003"/>
      <c r="C85003"/>
      <c r="E85003"/>
      <c r="F85003"/>
    </row>
    <row r="85004" spans="1:6" x14ac:dyDescent="0.25">
      <c r="A85004"/>
      <c r="B85004"/>
      <c r="C85004"/>
      <c r="E85004"/>
      <c r="F85004"/>
    </row>
    <row r="85005" spans="1:6" x14ac:dyDescent="0.25">
      <c r="A85005"/>
      <c r="B85005"/>
      <c r="C85005"/>
      <c r="E85005"/>
      <c r="F85005"/>
    </row>
    <row r="85006" spans="1:6" x14ac:dyDescent="0.25">
      <c r="A85006"/>
      <c r="B85006"/>
      <c r="C85006"/>
      <c r="E85006"/>
      <c r="F85006"/>
    </row>
    <row r="85007" spans="1:6" x14ac:dyDescent="0.25">
      <c r="A85007"/>
      <c r="B85007"/>
      <c r="C85007"/>
      <c r="E85007"/>
      <c r="F85007"/>
    </row>
    <row r="85008" spans="1:6" x14ac:dyDescent="0.25">
      <c r="A85008"/>
      <c r="B85008"/>
      <c r="C85008"/>
      <c r="E85008"/>
      <c r="F85008"/>
    </row>
    <row r="85009" spans="1:6" x14ac:dyDescent="0.25">
      <c r="A85009"/>
      <c r="B85009"/>
      <c r="C85009"/>
      <c r="E85009"/>
      <c r="F85009"/>
    </row>
    <row r="85010" spans="1:6" x14ac:dyDescent="0.25">
      <c r="A85010"/>
      <c r="B85010"/>
      <c r="C85010"/>
      <c r="E85010"/>
      <c r="F85010"/>
    </row>
    <row r="85011" spans="1:6" x14ac:dyDescent="0.25">
      <c r="A85011"/>
      <c r="B85011"/>
      <c r="C85011"/>
      <c r="E85011"/>
      <c r="F85011"/>
    </row>
    <row r="85012" spans="1:6" x14ac:dyDescent="0.25">
      <c r="A85012"/>
      <c r="B85012"/>
      <c r="C85012"/>
      <c r="E85012"/>
      <c r="F85012"/>
    </row>
    <row r="85013" spans="1:6" x14ac:dyDescent="0.25">
      <c r="A85013"/>
      <c r="B85013"/>
      <c r="C85013"/>
      <c r="E85013"/>
      <c r="F85013"/>
    </row>
    <row r="85014" spans="1:6" x14ac:dyDescent="0.25">
      <c r="A85014"/>
      <c r="B85014"/>
      <c r="C85014"/>
      <c r="E85014"/>
      <c r="F85014"/>
    </row>
    <row r="85015" spans="1:6" x14ac:dyDescent="0.25">
      <c r="A85015"/>
      <c r="B85015"/>
      <c r="C85015"/>
      <c r="E85015"/>
      <c r="F85015"/>
    </row>
    <row r="85016" spans="1:6" x14ac:dyDescent="0.25">
      <c r="A85016"/>
      <c r="B85016"/>
      <c r="C85016"/>
      <c r="E85016"/>
      <c r="F85016"/>
    </row>
    <row r="85017" spans="1:6" x14ac:dyDescent="0.25">
      <c r="A85017"/>
      <c r="B85017"/>
      <c r="C85017"/>
      <c r="E85017"/>
      <c r="F85017"/>
    </row>
    <row r="85018" spans="1:6" x14ac:dyDescent="0.25">
      <c r="A85018"/>
      <c r="B85018"/>
      <c r="C85018"/>
      <c r="E85018"/>
      <c r="F85018"/>
    </row>
    <row r="85019" spans="1:6" x14ac:dyDescent="0.25">
      <c r="A85019"/>
      <c r="B85019"/>
      <c r="C85019"/>
      <c r="E85019"/>
      <c r="F85019"/>
    </row>
    <row r="85020" spans="1:6" x14ac:dyDescent="0.25">
      <c r="A85020"/>
      <c r="B85020"/>
      <c r="C85020"/>
      <c r="E85020"/>
      <c r="F85020"/>
    </row>
    <row r="85021" spans="1:6" x14ac:dyDescent="0.25">
      <c r="A85021"/>
      <c r="B85021"/>
      <c r="C85021"/>
      <c r="E85021"/>
      <c r="F85021"/>
    </row>
    <row r="85022" spans="1:6" x14ac:dyDescent="0.25">
      <c r="A85022"/>
      <c r="B85022"/>
      <c r="C85022"/>
      <c r="E85022"/>
      <c r="F85022"/>
    </row>
    <row r="85023" spans="1:6" x14ac:dyDescent="0.25">
      <c r="A85023"/>
      <c r="B85023"/>
      <c r="C85023"/>
      <c r="E85023"/>
      <c r="F85023"/>
    </row>
    <row r="85024" spans="1:6" x14ac:dyDescent="0.25">
      <c r="A85024"/>
      <c r="B85024"/>
      <c r="C85024"/>
      <c r="E85024"/>
      <c r="F85024"/>
    </row>
    <row r="85025" spans="1:6" x14ac:dyDescent="0.25">
      <c r="A85025"/>
      <c r="B85025"/>
      <c r="C85025"/>
      <c r="E85025"/>
      <c r="F85025"/>
    </row>
    <row r="85026" spans="1:6" x14ac:dyDescent="0.25">
      <c r="A85026"/>
      <c r="B85026"/>
      <c r="C85026"/>
      <c r="E85026"/>
      <c r="F85026"/>
    </row>
    <row r="85027" spans="1:6" x14ac:dyDescent="0.25">
      <c r="A85027"/>
      <c r="B85027"/>
      <c r="C85027"/>
      <c r="E85027"/>
      <c r="F85027"/>
    </row>
    <row r="85028" spans="1:6" x14ac:dyDescent="0.25">
      <c r="A85028"/>
      <c r="B85028"/>
      <c r="C85028"/>
      <c r="E85028"/>
      <c r="F85028"/>
    </row>
    <row r="85029" spans="1:6" x14ac:dyDescent="0.25">
      <c r="A85029"/>
      <c r="B85029"/>
      <c r="C85029"/>
      <c r="E85029"/>
      <c r="F85029"/>
    </row>
    <row r="85030" spans="1:6" x14ac:dyDescent="0.25">
      <c r="A85030"/>
      <c r="B85030"/>
      <c r="C85030"/>
      <c r="E85030"/>
      <c r="F85030"/>
    </row>
    <row r="85031" spans="1:6" x14ac:dyDescent="0.25">
      <c r="A85031"/>
      <c r="B85031"/>
      <c r="C85031"/>
      <c r="E85031"/>
      <c r="F85031"/>
    </row>
    <row r="85032" spans="1:6" x14ac:dyDescent="0.25">
      <c r="A85032"/>
      <c r="B85032"/>
      <c r="C85032"/>
      <c r="E85032"/>
      <c r="F85032"/>
    </row>
    <row r="85033" spans="1:6" x14ac:dyDescent="0.25">
      <c r="A85033"/>
      <c r="B85033"/>
      <c r="C85033"/>
      <c r="E85033"/>
      <c r="F85033"/>
    </row>
    <row r="85034" spans="1:6" x14ac:dyDescent="0.25">
      <c r="A85034"/>
      <c r="B85034"/>
      <c r="C85034"/>
      <c r="E85034"/>
      <c r="F85034"/>
    </row>
    <row r="85035" spans="1:6" x14ac:dyDescent="0.25">
      <c r="A85035"/>
      <c r="B85035"/>
      <c r="C85035"/>
      <c r="E85035"/>
      <c r="F85035"/>
    </row>
    <row r="85036" spans="1:6" x14ac:dyDescent="0.25">
      <c r="A85036"/>
      <c r="B85036"/>
      <c r="C85036"/>
      <c r="E85036"/>
      <c r="F85036"/>
    </row>
    <row r="85037" spans="1:6" x14ac:dyDescent="0.25">
      <c r="A85037"/>
      <c r="B85037"/>
      <c r="C85037"/>
      <c r="E85037"/>
      <c r="F85037"/>
    </row>
    <row r="85038" spans="1:6" x14ac:dyDescent="0.25">
      <c r="A85038"/>
      <c r="B85038"/>
      <c r="C85038"/>
      <c r="E85038"/>
      <c r="F85038"/>
    </row>
    <row r="85039" spans="1:6" x14ac:dyDescent="0.25">
      <c r="A85039"/>
      <c r="B85039"/>
      <c r="C85039"/>
      <c r="E85039"/>
      <c r="F85039"/>
    </row>
    <row r="85040" spans="1:6" x14ac:dyDescent="0.25">
      <c r="A85040"/>
      <c r="B85040"/>
      <c r="C85040"/>
      <c r="E85040"/>
      <c r="F85040"/>
    </row>
    <row r="85041" spans="1:6" x14ac:dyDescent="0.25">
      <c r="A85041"/>
      <c r="B85041"/>
      <c r="C85041"/>
      <c r="E85041"/>
      <c r="F85041"/>
    </row>
    <row r="85042" spans="1:6" x14ac:dyDescent="0.25">
      <c r="A85042"/>
      <c r="B85042"/>
      <c r="C85042"/>
      <c r="E85042"/>
      <c r="F85042"/>
    </row>
    <row r="85043" spans="1:6" x14ac:dyDescent="0.25">
      <c r="A85043"/>
      <c r="B85043"/>
      <c r="C85043"/>
      <c r="E85043"/>
      <c r="F85043"/>
    </row>
    <row r="85044" spans="1:6" x14ac:dyDescent="0.25">
      <c r="A85044"/>
      <c r="B85044"/>
      <c r="C85044"/>
      <c r="E85044"/>
      <c r="F85044"/>
    </row>
    <row r="85045" spans="1:6" x14ac:dyDescent="0.25">
      <c r="A85045"/>
      <c r="B85045"/>
      <c r="C85045"/>
      <c r="E85045"/>
      <c r="F85045"/>
    </row>
    <row r="85046" spans="1:6" x14ac:dyDescent="0.25">
      <c r="A85046"/>
      <c r="B85046"/>
      <c r="C85046"/>
      <c r="E85046"/>
      <c r="F85046"/>
    </row>
    <row r="85047" spans="1:6" x14ac:dyDescent="0.25">
      <c r="A85047"/>
      <c r="B85047"/>
      <c r="C85047"/>
      <c r="E85047"/>
      <c r="F85047"/>
    </row>
    <row r="85048" spans="1:6" x14ac:dyDescent="0.25">
      <c r="A85048"/>
      <c r="B85048"/>
      <c r="C85048"/>
      <c r="E85048"/>
      <c r="F85048"/>
    </row>
    <row r="85049" spans="1:6" x14ac:dyDescent="0.25">
      <c r="A85049"/>
      <c r="B85049"/>
      <c r="C85049"/>
      <c r="E85049"/>
      <c r="F85049"/>
    </row>
    <row r="85050" spans="1:6" x14ac:dyDescent="0.25">
      <c r="A85050"/>
      <c r="B85050"/>
      <c r="C85050"/>
      <c r="E85050"/>
      <c r="F85050"/>
    </row>
    <row r="85051" spans="1:6" x14ac:dyDescent="0.25">
      <c r="A85051"/>
      <c r="B85051"/>
      <c r="C85051"/>
      <c r="E85051"/>
      <c r="F85051"/>
    </row>
    <row r="85052" spans="1:6" x14ac:dyDescent="0.25">
      <c r="A85052"/>
      <c r="B85052"/>
      <c r="C85052"/>
      <c r="E85052"/>
      <c r="F85052"/>
    </row>
    <row r="85053" spans="1:6" x14ac:dyDescent="0.25">
      <c r="A85053"/>
      <c r="B85053"/>
      <c r="C85053"/>
      <c r="E85053"/>
      <c r="F85053"/>
    </row>
    <row r="85054" spans="1:6" x14ac:dyDescent="0.25">
      <c r="A85054"/>
      <c r="B85054"/>
      <c r="C85054"/>
      <c r="E85054"/>
      <c r="F85054"/>
    </row>
    <row r="85055" spans="1:6" x14ac:dyDescent="0.25">
      <c r="A85055"/>
      <c r="B85055"/>
      <c r="C85055"/>
      <c r="E85055"/>
      <c r="F85055"/>
    </row>
    <row r="85056" spans="1:6" x14ac:dyDescent="0.25">
      <c r="A85056"/>
      <c r="B85056"/>
      <c r="C85056"/>
      <c r="E85056"/>
      <c r="F85056"/>
    </row>
    <row r="85057" spans="1:6" x14ac:dyDescent="0.25">
      <c r="A85057"/>
      <c r="B85057"/>
      <c r="C85057"/>
      <c r="E85057"/>
      <c r="F85057"/>
    </row>
    <row r="85058" spans="1:6" x14ac:dyDescent="0.25">
      <c r="A85058"/>
      <c r="B85058"/>
      <c r="C85058"/>
      <c r="E85058"/>
      <c r="F85058"/>
    </row>
    <row r="85059" spans="1:6" x14ac:dyDescent="0.25">
      <c r="A85059"/>
      <c r="B85059"/>
      <c r="C85059"/>
      <c r="E85059"/>
      <c r="F85059"/>
    </row>
    <row r="85060" spans="1:6" x14ac:dyDescent="0.25">
      <c r="A85060"/>
      <c r="B85060"/>
      <c r="C85060"/>
      <c r="E85060"/>
      <c r="F85060"/>
    </row>
    <row r="85061" spans="1:6" x14ac:dyDescent="0.25">
      <c r="A85061"/>
      <c r="B85061"/>
      <c r="C85061"/>
      <c r="E85061"/>
      <c r="F85061"/>
    </row>
    <row r="85062" spans="1:6" x14ac:dyDescent="0.25">
      <c r="A85062"/>
      <c r="B85062"/>
      <c r="C85062"/>
      <c r="E85062"/>
      <c r="F85062"/>
    </row>
    <row r="85063" spans="1:6" x14ac:dyDescent="0.25">
      <c r="A85063"/>
      <c r="B85063"/>
      <c r="C85063"/>
      <c r="E85063"/>
      <c r="F85063"/>
    </row>
    <row r="85064" spans="1:6" x14ac:dyDescent="0.25">
      <c r="A85064"/>
      <c r="B85064"/>
      <c r="C85064"/>
      <c r="E85064"/>
      <c r="F85064"/>
    </row>
    <row r="85065" spans="1:6" x14ac:dyDescent="0.25">
      <c r="A85065"/>
      <c r="B85065"/>
      <c r="C85065"/>
      <c r="E85065"/>
      <c r="F85065"/>
    </row>
    <row r="85066" spans="1:6" x14ac:dyDescent="0.25">
      <c r="A85066"/>
      <c r="B85066"/>
      <c r="C85066"/>
      <c r="E85066"/>
      <c r="F85066"/>
    </row>
    <row r="85067" spans="1:6" x14ac:dyDescent="0.25">
      <c r="A85067"/>
      <c r="B85067"/>
      <c r="C85067"/>
      <c r="E85067"/>
      <c r="F85067"/>
    </row>
    <row r="85068" spans="1:6" x14ac:dyDescent="0.25">
      <c r="A85068"/>
      <c r="B85068"/>
      <c r="C85068"/>
      <c r="E85068"/>
      <c r="F85068"/>
    </row>
    <row r="85069" spans="1:6" x14ac:dyDescent="0.25">
      <c r="A85069"/>
      <c r="B85069"/>
      <c r="C85069"/>
      <c r="E85069"/>
      <c r="F85069"/>
    </row>
    <row r="85070" spans="1:6" x14ac:dyDescent="0.25">
      <c r="A85070"/>
      <c r="B85070"/>
      <c r="C85070"/>
      <c r="E85070"/>
      <c r="F85070"/>
    </row>
    <row r="85071" spans="1:6" x14ac:dyDescent="0.25">
      <c r="A85071"/>
      <c r="B85071"/>
      <c r="C85071"/>
      <c r="E85071"/>
      <c r="F85071"/>
    </row>
    <row r="85072" spans="1:6" x14ac:dyDescent="0.25">
      <c r="A85072"/>
      <c r="B85072"/>
      <c r="C85072"/>
      <c r="E85072"/>
      <c r="F85072"/>
    </row>
    <row r="85073" spans="1:6" x14ac:dyDescent="0.25">
      <c r="A85073"/>
      <c r="B85073"/>
      <c r="C85073"/>
      <c r="E85073"/>
      <c r="F85073"/>
    </row>
    <row r="85074" spans="1:6" x14ac:dyDescent="0.25">
      <c r="A85074"/>
      <c r="B85074"/>
      <c r="C85074"/>
      <c r="E85074"/>
      <c r="F85074"/>
    </row>
    <row r="85075" spans="1:6" x14ac:dyDescent="0.25">
      <c r="A85075"/>
      <c r="B85075"/>
      <c r="C85075"/>
      <c r="E85075"/>
      <c r="F85075"/>
    </row>
    <row r="85076" spans="1:6" x14ac:dyDescent="0.25">
      <c r="A85076"/>
      <c r="B85076"/>
      <c r="C85076"/>
      <c r="E85076"/>
      <c r="F85076"/>
    </row>
    <row r="85077" spans="1:6" x14ac:dyDescent="0.25">
      <c r="A85077"/>
      <c r="B85077"/>
      <c r="C85077"/>
      <c r="E85077"/>
      <c r="F85077"/>
    </row>
    <row r="85078" spans="1:6" x14ac:dyDescent="0.25">
      <c r="A85078"/>
      <c r="B85078"/>
      <c r="C85078"/>
      <c r="E85078"/>
      <c r="F85078"/>
    </row>
    <row r="85079" spans="1:6" x14ac:dyDescent="0.25">
      <c r="A85079"/>
      <c r="B85079"/>
      <c r="C85079"/>
      <c r="E85079"/>
      <c r="F85079"/>
    </row>
    <row r="85080" spans="1:6" x14ac:dyDescent="0.25">
      <c r="A85080"/>
      <c r="B85080"/>
      <c r="C85080"/>
      <c r="E85080"/>
      <c r="F85080"/>
    </row>
    <row r="85081" spans="1:6" x14ac:dyDescent="0.25">
      <c r="A85081"/>
      <c r="B85081"/>
      <c r="C85081"/>
      <c r="E85081"/>
      <c r="F85081"/>
    </row>
    <row r="85082" spans="1:6" x14ac:dyDescent="0.25">
      <c r="A85082"/>
      <c r="B85082"/>
      <c r="C85082"/>
      <c r="E85082"/>
      <c r="F85082"/>
    </row>
    <row r="85083" spans="1:6" x14ac:dyDescent="0.25">
      <c r="A85083"/>
      <c r="B85083"/>
      <c r="C85083"/>
      <c r="E85083"/>
      <c r="F85083"/>
    </row>
    <row r="85084" spans="1:6" x14ac:dyDescent="0.25">
      <c r="A85084"/>
      <c r="B85084"/>
      <c r="C85084"/>
      <c r="E85084"/>
      <c r="F85084"/>
    </row>
    <row r="85085" spans="1:6" x14ac:dyDescent="0.25">
      <c r="A85085"/>
      <c r="B85085"/>
      <c r="C85085"/>
      <c r="E85085"/>
      <c r="F85085"/>
    </row>
    <row r="85086" spans="1:6" x14ac:dyDescent="0.25">
      <c r="A85086"/>
      <c r="B85086"/>
      <c r="C85086"/>
      <c r="E85086"/>
      <c r="F85086"/>
    </row>
    <row r="85087" spans="1:6" x14ac:dyDescent="0.25">
      <c r="A85087"/>
      <c r="B85087"/>
      <c r="C85087"/>
      <c r="E85087"/>
      <c r="F85087"/>
    </row>
    <row r="85088" spans="1:6" x14ac:dyDescent="0.25">
      <c r="A85088"/>
      <c r="B85088"/>
      <c r="C85088"/>
      <c r="E85088"/>
      <c r="F85088"/>
    </row>
    <row r="85089" spans="1:6" x14ac:dyDescent="0.25">
      <c r="A85089"/>
      <c r="B85089"/>
      <c r="C85089"/>
      <c r="E85089"/>
      <c r="F85089"/>
    </row>
    <row r="85090" spans="1:6" x14ac:dyDescent="0.25">
      <c r="A85090"/>
      <c r="B85090"/>
      <c r="C85090"/>
      <c r="E85090"/>
      <c r="F85090"/>
    </row>
    <row r="85091" spans="1:6" x14ac:dyDescent="0.25">
      <c r="A85091"/>
      <c r="B85091"/>
      <c r="C85091"/>
      <c r="E85091"/>
      <c r="F85091"/>
    </row>
    <row r="85092" spans="1:6" x14ac:dyDescent="0.25">
      <c r="A85092"/>
      <c r="B85092"/>
      <c r="C85092"/>
      <c r="E85092"/>
      <c r="F85092"/>
    </row>
    <row r="85093" spans="1:6" x14ac:dyDescent="0.25">
      <c r="A85093"/>
      <c r="B85093"/>
      <c r="C85093"/>
      <c r="E85093"/>
      <c r="F85093"/>
    </row>
    <row r="85094" spans="1:6" x14ac:dyDescent="0.25">
      <c r="A85094"/>
      <c r="B85094"/>
      <c r="C85094"/>
      <c r="E85094"/>
      <c r="F85094"/>
    </row>
    <row r="85095" spans="1:6" x14ac:dyDescent="0.25">
      <c r="A85095"/>
      <c r="B85095"/>
      <c r="C85095"/>
      <c r="E85095"/>
      <c r="F85095"/>
    </row>
    <row r="85096" spans="1:6" x14ac:dyDescent="0.25">
      <c r="A85096"/>
      <c r="B85096"/>
      <c r="C85096"/>
      <c r="E85096"/>
      <c r="F85096"/>
    </row>
    <row r="85097" spans="1:6" x14ac:dyDescent="0.25">
      <c r="A85097"/>
      <c r="B85097"/>
      <c r="C85097"/>
      <c r="E85097"/>
      <c r="F85097"/>
    </row>
    <row r="85098" spans="1:6" x14ac:dyDescent="0.25">
      <c r="A85098"/>
      <c r="B85098"/>
      <c r="C85098"/>
      <c r="E85098"/>
      <c r="F85098"/>
    </row>
    <row r="85099" spans="1:6" x14ac:dyDescent="0.25">
      <c r="A85099"/>
      <c r="B85099"/>
      <c r="C85099"/>
      <c r="E85099"/>
      <c r="F85099"/>
    </row>
    <row r="85100" spans="1:6" x14ac:dyDescent="0.25">
      <c r="A85100"/>
      <c r="B85100"/>
      <c r="C85100"/>
      <c r="E85100"/>
      <c r="F85100"/>
    </row>
    <row r="85101" spans="1:6" x14ac:dyDescent="0.25">
      <c r="A85101"/>
      <c r="B85101"/>
      <c r="C85101"/>
      <c r="E85101"/>
      <c r="F85101"/>
    </row>
    <row r="85102" spans="1:6" x14ac:dyDescent="0.25">
      <c r="A85102"/>
      <c r="B85102"/>
      <c r="C85102"/>
      <c r="E85102"/>
      <c r="F85102"/>
    </row>
    <row r="85103" spans="1:6" x14ac:dyDescent="0.25">
      <c r="A85103"/>
      <c r="B85103"/>
      <c r="C85103"/>
      <c r="E85103"/>
      <c r="F85103"/>
    </row>
    <row r="85104" spans="1:6" x14ac:dyDescent="0.25">
      <c r="A85104"/>
      <c r="B85104"/>
      <c r="C85104"/>
      <c r="E85104"/>
      <c r="F85104"/>
    </row>
    <row r="85105" spans="1:6" x14ac:dyDescent="0.25">
      <c r="A85105"/>
      <c r="B85105"/>
      <c r="C85105"/>
      <c r="E85105"/>
      <c r="F85105"/>
    </row>
    <row r="85106" spans="1:6" x14ac:dyDescent="0.25">
      <c r="A85106"/>
      <c r="B85106"/>
      <c r="C85106"/>
      <c r="E85106"/>
      <c r="F85106"/>
    </row>
    <row r="85107" spans="1:6" x14ac:dyDescent="0.25">
      <c r="A85107"/>
      <c r="B85107"/>
      <c r="C85107"/>
      <c r="E85107"/>
      <c r="F85107"/>
    </row>
    <row r="85108" spans="1:6" x14ac:dyDescent="0.25">
      <c r="A85108"/>
      <c r="B85108"/>
      <c r="C85108"/>
      <c r="E85108"/>
      <c r="F85108"/>
    </row>
    <row r="85109" spans="1:6" x14ac:dyDescent="0.25">
      <c r="A85109"/>
      <c r="B85109"/>
      <c r="C85109"/>
      <c r="E85109"/>
      <c r="F85109"/>
    </row>
    <row r="85110" spans="1:6" x14ac:dyDescent="0.25">
      <c r="A85110"/>
      <c r="B85110"/>
      <c r="C85110"/>
      <c r="E85110"/>
      <c r="F85110"/>
    </row>
    <row r="85111" spans="1:6" x14ac:dyDescent="0.25">
      <c r="A85111"/>
      <c r="B85111"/>
      <c r="C85111"/>
      <c r="E85111"/>
      <c r="F85111"/>
    </row>
    <row r="85112" spans="1:6" x14ac:dyDescent="0.25">
      <c r="A85112"/>
      <c r="B85112"/>
      <c r="C85112"/>
      <c r="E85112"/>
      <c r="F85112"/>
    </row>
    <row r="85113" spans="1:6" x14ac:dyDescent="0.25">
      <c r="A85113"/>
      <c r="B85113"/>
      <c r="C85113"/>
      <c r="E85113"/>
      <c r="F85113"/>
    </row>
    <row r="85114" spans="1:6" x14ac:dyDescent="0.25">
      <c r="A85114"/>
      <c r="B85114"/>
      <c r="C85114"/>
      <c r="E85114"/>
      <c r="F85114"/>
    </row>
    <row r="85115" spans="1:6" x14ac:dyDescent="0.25">
      <c r="A85115"/>
      <c r="B85115"/>
      <c r="C85115"/>
      <c r="E85115"/>
      <c r="F85115"/>
    </row>
    <row r="85116" spans="1:6" x14ac:dyDescent="0.25">
      <c r="A85116"/>
      <c r="B85116"/>
      <c r="C85116"/>
      <c r="E85116"/>
      <c r="F85116"/>
    </row>
    <row r="85117" spans="1:6" x14ac:dyDescent="0.25">
      <c r="A85117"/>
      <c r="B85117"/>
      <c r="C85117"/>
      <c r="E85117"/>
      <c r="F85117"/>
    </row>
    <row r="85118" spans="1:6" x14ac:dyDescent="0.25">
      <c r="A85118"/>
      <c r="B85118"/>
      <c r="C85118"/>
      <c r="E85118"/>
      <c r="F85118"/>
    </row>
    <row r="85119" spans="1:6" x14ac:dyDescent="0.25">
      <c r="A85119"/>
      <c r="B85119"/>
      <c r="C85119"/>
      <c r="E85119"/>
      <c r="F85119"/>
    </row>
    <row r="85120" spans="1:6" x14ac:dyDescent="0.25">
      <c r="A85120"/>
      <c r="B85120"/>
      <c r="C85120"/>
      <c r="E85120"/>
      <c r="F85120"/>
    </row>
    <row r="85121" spans="1:6" x14ac:dyDescent="0.25">
      <c r="A85121"/>
      <c r="B85121"/>
      <c r="C85121"/>
      <c r="E85121"/>
      <c r="F85121"/>
    </row>
    <row r="85122" spans="1:6" x14ac:dyDescent="0.25">
      <c r="A85122"/>
      <c r="B85122"/>
      <c r="C85122"/>
      <c r="E85122"/>
      <c r="F85122"/>
    </row>
    <row r="85123" spans="1:6" x14ac:dyDescent="0.25">
      <c r="A85123"/>
      <c r="B85123"/>
      <c r="C85123"/>
      <c r="E85123"/>
      <c r="F85123"/>
    </row>
    <row r="85124" spans="1:6" x14ac:dyDescent="0.25">
      <c r="A85124"/>
      <c r="B85124"/>
      <c r="C85124"/>
      <c r="E85124"/>
      <c r="F85124"/>
    </row>
    <row r="85125" spans="1:6" x14ac:dyDescent="0.25">
      <c r="A85125"/>
      <c r="B85125"/>
      <c r="C85125"/>
      <c r="E85125"/>
      <c r="F85125"/>
    </row>
    <row r="85126" spans="1:6" x14ac:dyDescent="0.25">
      <c r="A85126"/>
      <c r="B85126"/>
      <c r="C85126"/>
      <c r="E85126"/>
      <c r="F85126"/>
    </row>
    <row r="85127" spans="1:6" x14ac:dyDescent="0.25">
      <c r="A85127"/>
      <c r="B85127"/>
      <c r="C85127"/>
      <c r="E85127"/>
      <c r="F85127"/>
    </row>
    <row r="85128" spans="1:6" x14ac:dyDescent="0.25">
      <c r="A85128"/>
      <c r="B85128"/>
      <c r="C85128"/>
      <c r="E85128"/>
      <c r="F85128"/>
    </row>
    <row r="85129" spans="1:6" x14ac:dyDescent="0.25">
      <c r="A85129"/>
      <c r="B85129"/>
      <c r="C85129"/>
      <c r="E85129"/>
      <c r="F85129"/>
    </row>
    <row r="85130" spans="1:6" x14ac:dyDescent="0.25">
      <c r="A85130"/>
      <c r="B85130"/>
      <c r="C85130"/>
      <c r="E85130"/>
      <c r="F85130"/>
    </row>
    <row r="85131" spans="1:6" x14ac:dyDescent="0.25">
      <c r="A85131"/>
      <c r="B85131"/>
      <c r="C85131"/>
      <c r="E85131"/>
      <c r="F85131"/>
    </row>
    <row r="85132" spans="1:6" x14ac:dyDescent="0.25">
      <c r="A85132"/>
      <c r="B85132"/>
      <c r="C85132"/>
      <c r="E85132"/>
      <c r="F85132"/>
    </row>
    <row r="85133" spans="1:6" x14ac:dyDescent="0.25">
      <c r="A85133"/>
      <c r="B85133"/>
      <c r="C85133"/>
      <c r="E85133"/>
      <c r="F85133"/>
    </row>
    <row r="85134" spans="1:6" x14ac:dyDescent="0.25">
      <c r="A85134"/>
      <c r="B85134"/>
      <c r="C85134"/>
      <c r="E85134"/>
      <c r="F85134"/>
    </row>
    <row r="85135" spans="1:6" x14ac:dyDescent="0.25">
      <c r="A85135"/>
      <c r="B85135"/>
      <c r="C85135"/>
      <c r="E85135"/>
      <c r="F85135"/>
    </row>
    <row r="85136" spans="1:6" x14ac:dyDescent="0.25">
      <c r="A85136"/>
      <c r="B85136"/>
      <c r="C85136"/>
      <c r="E85136"/>
      <c r="F85136"/>
    </row>
    <row r="85137" spans="1:6" x14ac:dyDescent="0.25">
      <c r="A85137"/>
      <c r="B85137"/>
      <c r="C85137"/>
      <c r="E85137"/>
      <c r="F85137"/>
    </row>
    <row r="85138" spans="1:6" x14ac:dyDescent="0.25">
      <c r="A85138"/>
      <c r="B85138"/>
      <c r="C85138"/>
      <c r="E85138"/>
      <c r="F85138"/>
    </row>
    <row r="85139" spans="1:6" x14ac:dyDescent="0.25">
      <c r="A85139"/>
      <c r="B85139"/>
      <c r="C85139"/>
      <c r="E85139"/>
      <c r="F85139"/>
    </row>
    <row r="85140" spans="1:6" x14ac:dyDescent="0.25">
      <c r="A85140"/>
      <c r="B85140"/>
      <c r="C85140"/>
      <c r="E85140"/>
      <c r="F85140"/>
    </row>
    <row r="85141" spans="1:6" x14ac:dyDescent="0.25">
      <c r="A85141"/>
      <c r="B85141"/>
      <c r="C85141"/>
      <c r="E85141"/>
      <c r="F85141"/>
    </row>
    <row r="85142" spans="1:6" x14ac:dyDescent="0.25">
      <c r="A85142"/>
      <c r="B85142"/>
      <c r="C85142"/>
      <c r="E85142"/>
      <c r="F85142"/>
    </row>
    <row r="85143" spans="1:6" x14ac:dyDescent="0.25">
      <c r="A85143"/>
      <c r="B85143"/>
      <c r="C85143"/>
      <c r="E85143"/>
      <c r="F85143"/>
    </row>
    <row r="85144" spans="1:6" x14ac:dyDescent="0.25">
      <c r="A85144"/>
      <c r="B85144"/>
      <c r="C85144"/>
      <c r="E85144"/>
      <c r="F85144"/>
    </row>
    <row r="85145" spans="1:6" x14ac:dyDescent="0.25">
      <c r="A85145"/>
      <c r="B85145"/>
      <c r="C85145"/>
      <c r="E85145"/>
      <c r="F85145"/>
    </row>
    <row r="85146" spans="1:6" x14ac:dyDescent="0.25">
      <c r="A85146"/>
      <c r="B85146"/>
      <c r="C85146"/>
      <c r="E85146"/>
      <c r="F85146"/>
    </row>
    <row r="85147" spans="1:6" x14ac:dyDescent="0.25">
      <c r="A85147"/>
      <c r="B85147"/>
      <c r="C85147"/>
      <c r="E85147"/>
      <c r="F85147"/>
    </row>
    <row r="85148" spans="1:6" x14ac:dyDescent="0.25">
      <c r="A85148"/>
      <c r="B85148"/>
      <c r="C85148"/>
      <c r="E85148"/>
      <c r="F85148"/>
    </row>
    <row r="85149" spans="1:6" x14ac:dyDescent="0.25">
      <c r="A85149"/>
      <c r="B85149"/>
      <c r="C85149"/>
      <c r="E85149"/>
      <c r="F85149"/>
    </row>
    <row r="85150" spans="1:6" x14ac:dyDescent="0.25">
      <c r="A85150"/>
      <c r="B85150"/>
      <c r="C85150"/>
      <c r="E85150"/>
      <c r="F85150"/>
    </row>
    <row r="85151" spans="1:6" x14ac:dyDescent="0.25">
      <c r="A85151"/>
      <c r="B85151"/>
      <c r="C85151"/>
      <c r="E85151"/>
      <c r="F85151"/>
    </row>
    <row r="85152" spans="1:6" x14ac:dyDescent="0.25">
      <c r="A85152"/>
      <c r="B85152"/>
      <c r="C85152"/>
      <c r="E85152"/>
      <c r="F85152"/>
    </row>
    <row r="85153" spans="1:6" x14ac:dyDescent="0.25">
      <c r="A85153"/>
      <c r="B85153"/>
      <c r="C85153"/>
      <c r="E85153"/>
      <c r="F85153"/>
    </row>
    <row r="85154" spans="1:6" x14ac:dyDescent="0.25">
      <c r="A85154"/>
      <c r="B85154"/>
      <c r="C85154"/>
      <c r="E85154"/>
      <c r="F85154"/>
    </row>
    <row r="85155" spans="1:6" x14ac:dyDescent="0.25">
      <c r="A85155"/>
      <c r="B85155"/>
      <c r="C85155"/>
      <c r="E85155"/>
      <c r="F85155"/>
    </row>
    <row r="85156" spans="1:6" x14ac:dyDescent="0.25">
      <c r="A85156"/>
      <c r="B85156"/>
      <c r="C85156"/>
      <c r="E85156"/>
      <c r="F85156"/>
    </row>
    <row r="85157" spans="1:6" x14ac:dyDescent="0.25">
      <c r="A85157"/>
      <c r="B85157"/>
      <c r="C85157"/>
      <c r="E85157"/>
      <c r="F85157"/>
    </row>
    <row r="85158" spans="1:6" x14ac:dyDescent="0.25">
      <c r="A85158"/>
      <c r="B85158"/>
      <c r="C85158"/>
      <c r="E85158"/>
      <c r="F85158"/>
    </row>
    <row r="85159" spans="1:6" x14ac:dyDescent="0.25">
      <c r="A85159"/>
      <c r="B85159"/>
      <c r="C85159"/>
      <c r="E85159"/>
      <c r="F85159"/>
    </row>
    <row r="85160" spans="1:6" x14ac:dyDescent="0.25">
      <c r="A85160"/>
      <c r="B85160"/>
      <c r="C85160"/>
      <c r="E85160"/>
      <c r="F85160"/>
    </row>
    <row r="85161" spans="1:6" x14ac:dyDescent="0.25">
      <c r="A85161"/>
      <c r="B85161"/>
      <c r="C85161"/>
      <c r="E85161"/>
      <c r="F85161"/>
    </row>
    <row r="85162" spans="1:6" x14ac:dyDescent="0.25">
      <c r="A85162"/>
      <c r="B85162"/>
      <c r="C85162"/>
      <c r="E85162"/>
      <c r="F85162"/>
    </row>
    <row r="85163" spans="1:6" x14ac:dyDescent="0.25">
      <c r="A85163"/>
      <c r="B85163"/>
      <c r="C85163"/>
      <c r="E85163"/>
      <c r="F85163"/>
    </row>
    <row r="85164" spans="1:6" x14ac:dyDescent="0.25">
      <c r="A85164"/>
      <c r="B85164"/>
      <c r="C85164"/>
      <c r="E85164"/>
      <c r="F85164"/>
    </row>
    <row r="85165" spans="1:6" x14ac:dyDescent="0.25">
      <c r="A85165"/>
      <c r="B85165"/>
      <c r="C85165"/>
      <c r="E85165"/>
      <c r="F85165"/>
    </row>
    <row r="85166" spans="1:6" x14ac:dyDescent="0.25">
      <c r="A85166"/>
      <c r="B85166"/>
      <c r="C85166"/>
      <c r="E85166"/>
      <c r="F85166"/>
    </row>
    <row r="85167" spans="1:6" x14ac:dyDescent="0.25">
      <c r="A85167"/>
      <c r="B85167"/>
      <c r="C85167"/>
      <c r="E85167"/>
      <c r="F85167"/>
    </row>
    <row r="85168" spans="1:6" x14ac:dyDescent="0.25">
      <c r="A85168"/>
      <c r="B85168"/>
      <c r="C85168"/>
      <c r="E85168"/>
      <c r="F85168"/>
    </row>
    <row r="85169" spans="1:6" x14ac:dyDescent="0.25">
      <c r="A85169"/>
      <c r="B85169"/>
      <c r="C85169"/>
      <c r="E85169"/>
      <c r="F85169"/>
    </row>
    <row r="85170" spans="1:6" x14ac:dyDescent="0.25">
      <c r="A85170"/>
      <c r="B85170"/>
      <c r="C85170"/>
      <c r="E85170"/>
      <c r="F85170"/>
    </row>
    <row r="85171" spans="1:6" x14ac:dyDescent="0.25">
      <c r="A85171"/>
      <c r="B85171"/>
      <c r="C85171"/>
      <c r="E85171"/>
      <c r="F85171"/>
    </row>
    <row r="85172" spans="1:6" x14ac:dyDescent="0.25">
      <c r="A85172"/>
      <c r="B85172"/>
      <c r="C85172"/>
      <c r="E85172"/>
      <c r="F85172"/>
    </row>
    <row r="85173" spans="1:6" x14ac:dyDescent="0.25">
      <c r="A85173"/>
      <c r="B85173"/>
      <c r="C85173"/>
      <c r="E85173"/>
      <c r="F85173"/>
    </row>
    <row r="85174" spans="1:6" x14ac:dyDescent="0.25">
      <c r="A85174"/>
      <c r="B85174"/>
      <c r="C85174"/>
      <c r="E85174"/>
      <c r="F85174"/>
    </row>
    <row r="85175" spans="1:6" x14ac:dyDescent="0.25">
      <c r="A85175"/>
      <c r="B85175"/>
      <c r="C85175"/>
      <c r="E85175"/>
      <c r="F85175"/>
    </row>
    <row r="85176" spans="1:6" x14ac:dyDescent="0.25">
      <c r="A85176"/>
      <c r="B85176"/>
      <c r="C85176"/>
      <c r="E85176"/>
      <c r="F85176"/>
    </row>
    <row r="85177" spans="1:6" x14ac:dyDescent="0.25">
      <c r="A85177"/>
      <c r="B85177"/>
      <c r="C85177"/>
      <c r="E85177"/>
      <c r="F85177"/>
    </row>
    <row r="85178" spans="1:6" x14ac:dyDescent="0.25">
      <c r="A85178"/>
      <c r="B85178"/>
      <c r="C85178"/>
      <c r="E85178"/>
      <c r="F85178"/>
    </row>
    <row r="85179" spans="1:6" x14ac:dyDescent="0.25">
      <c r="A85179"/>
      <c r="B85179"/>
      <c r="C85179"/>
      <c r="E85179"/>
      <c r="F85179"/>
    </row>
    <row r="85180" spans="1:6" x14ac:dyDescent="0.25">
      <c r="A85180"/>
      <c r="B85180"/>
      <c r="C85180"/>
      <c r="E85180"/>
      <c r="F85180"/>
    </row>
    <row r="85181" spans="1:6" x14ac:dyDescent="0.25">
      <c r="A85181"/>
      <c r="B85181"/>
      <c r="C85181"/>
      <c r="E85181"/>
      <c r="F85181"/>
    </row>
    <row r="85182" spans="1:6" x14ac:dyDescent="0.25">
      <c r="A85182"/>
      <c r="B85182"/>
      <c r="C85182"/>
      <c r="E85182"/>
      <c r="F85182"/>
    </row>
    <row r="85183" spans="1:6" x14ac:dyDescent="0.25">
      <c r="A85183"/>
      <c r="B85183"/>
      <c r="C85183"/>
      <c r="E85183"/>
      <c r="F85183"/>
    </row>
    <row r="85184" spans="1:6" x14ac:dyDescent="0.25">
      <c r="A85184"/>
      <c r="B85184"/>
      <c r="C85184"/>
      <c r="E85184"/>
      <c r="F85184"/>
    </row>
    <row r="85185" spans="1:6" x14ac:dyDescent="0.25">
      <c r="A85185"/>
      <c r="B85185"/>
      <c r="C85185"/>
      <c r="E85185"/>
      <c r="F85185"/>
    </row>
    <row r="85186" spans="1:6" x14ac:dyDescent="0.25">
      <c r="A85186"/>
      <c r="B85186"/>
      <c r="C85186"/>
      <c r="E85186"/>
      <c r="F85186"/>
    </row>
    <row r="85187" spans="1:6" x14ac:dyDescent="0.25">
      <c r="A85187"/>
      <c r="B85187"/>
      <c r="C85187"/>
      <c r="E85187"/>
      <c r="F85187"/>
    </row>
    <row r="85188" spans="1:6" x14ac:dyDescent="0.25">
      <c r="A85188"/>
      <c r="B85188"/>
      <c r="C85188"/>
      <c r="E85188"/>
      <c r="F85188"/>
    </row>
    <row r="85189" spans="1:6" x14ac:dyDescent="0.25">
      <c r="A85189"/>
      <c r="B85189"/>
      <c r="C85189"/>
      <c r="E85189"/>
      <c r="F85189"/>
    </row>
    <row r="85190" spans="1:6" x14ac:dyDescent="0.25">
      <c r="A85190"/>
      <c r="B85190"/>
      <c r="C85190"/>
      <c r="E85190"/>
      <c r="F85190"/>
    </row>
    <row r="85191" spans="1:6" x14ac:dyDescent="0.25">
      <c r="A85191"/>
      <c r="B85191"/>
      <c r="C85191"/>
      <c r="E85191"/>
      <c r="F85191"/>
    </row>
    <row r="85192" spans="1:6" x14ac:dyDescent="0.25">
      <c r="A85192"/>
      <c r="B85192"/>
      <c r="C85192"/>
      <c r="E85192"/>
      <c r="F85192"/>
    </row>
    <row r="85193" spans="1:6" x14ac:dyDescent="0.25">
      <c r="A85193"/>
      <c r="B85193"/>
      <c r="C85193"/>
      <c r="E85193"/>
      <c r="F85193"/>
    </row>
    <row r="85194" spans="1:6" x14ac:dyDescent="0.25">
      <c r="A85194"/>
      <c r="B85194"/>
      <c r="C85194"/>
      <c r="E85194"/>
      <c r="F85194"/>
    </row>
    <row r="85195" spans="1:6" x14ac:dyDescent="0.25">
      <c r="A85195"/>
      <c r="B85195"/>
      <c r="C85195"/>
      <c r="E85195"/>
      <c r="F85195"/>
    </row>
    <row r="85196" spans="1:6" x14ac:dyDescent="0.25">
      <c r="A85196"/>
      <c r="B85196"/>
      <c r="C85196"/>
      <c r="E85196"/>
      <c r="F85196"/>
    </row>
    <row r="85197" spans="1:6" x14ac:dyDescent="0.25">
      <c r="A85197"/>
      <c r="B85197"/>
      <c r="C85197"/>
      <c r="E85197"/>
      <c r="F85197"/>
    </row>
    <row r="85198" spans="1:6" x14ac:dyDescent="0.25">
      <c r="A85198"/>
      <c r="B85198"/>
      <c r="C85198"/>
      <c r="E85198"/>
      <c r="F85198"/>
    </row>
    <row r="85199" spans="1:6" x14ac:dyDescent="0.25">
      <c r="A85199"/>
      <c r="B85199"/>
      <c r="C85199"/>
      <c r="E85199"/>
      <c r="F85199"/>
    </row>
    <row r="85200" spans="1:6" x14ac:dyDescent="0.25">
      <c r="A85200"/>
      <c r="B85200"/>
      <c r="C85200"/>
      <c r="E85200"/>
      <c r="F85200"/>
    </row>
    <row r="85201" spans="1:6" x14ac:dyDescent="0.25">
      <c r="A85201"/>
      <c r="B85201"/>
      <c r="C85201"/>
      <c r="E85201"/>
      <c r="F85201"/>
    </row>
    <row r="85202" spans="1:6" x14ac:dyDescent="0.25">
      <c r="A85202"/>
      <c r="B85202"/>
      <c r="C85202"/>
      <c r="E85202"/>
      <c r="F85202"/>
    </row>
    <row r="85203" spans="1:6" x14ac:dyDescent="0.25">
      <c r="A85203"/>
      <c r="B85203"/>
      <c r="C85203"/>
      <c r="E85203"/>
      <c r="F85203"/>
    </row>
    <row r="85204" spans="1:6" x14ac:dyDescent="0.25">
      <c r="A85204"/>
      <c r="B85204"/>
      <c r="C85204"/>
      <c r="E85204"/>
      <c r="F85204"/>
    </row>
    <row r="85205" spans="1:6" x14ac:dyDescent="0.25">
      <c r="A85205"/>
      <c r="B85205"/>
      <c r="C85205"/>
      <c r="E85205"/>
      <c r="F85205"/>
    </row>
    <row r="85206" spans="1:6" x14ac:dyDescent="0.25">
      <c r="A85206"/>
      <c r="B85206"/>
      <c r="C85206"/>
      <c r="E85206"/>
      <c r="F85206"/>
    </row>
    <row r="85207" spans="1:6" x14ac:dyDescent="0.25">
      <c r="A85207"/>
      <c r="B85207"/>
      <c r="C85207"/>
      <c r="E85207"/>
      <c r="F85207"/>
    </row>
    <row r="85208" spans="1:6" x14ac:dyDescent="0.25">
      <c r="A85208"/>
      <c r="B85208"/>
      <c r="C85208"/>
      <c r="E85208"/>
      <c r="F85208"/>
    </row>
    <row r="85209" spans="1:6" x14ac:dyDescent="0.25">
      <c r="A85209"/>
      <c r="B85209"/>
      <c r="C85209"/>
      <c r="E85209"/>
      <c r="F85209"/>
    </row>
    <row r="85210" spans="1:6" x14ac:dyDescent="0.25">
      <c r="A85210"/>
      <c r="B85210"/>
      <c r="C85210"/>
      <c r="E85210"/>
      <c r="F85210"/>
    </row>
    <row r="85211" spans="1:6" x14ac:dyDescent="0.25">
      <c r="A85211"/>
      <c r="B85211"/>
      <c r="C85211"/>
      <c r="E85211"/>
      <c r="F85211"/>
    </row>
    <row r="85212" spans="1:6" x14ac:dyDescent="0.25">
      <c r="A85212"/>
      <c r="B85212"/>
      <c r="C85212"/>
      <c r="E85212"/>
      <c r="F85212"/>
    </row>
    <row r="85213" spans="1:6" x14ac:dyDescent="0.25">
      <c r="A85213"/>
      <c r="B85213"/>
      <c r="C85213"/>
      <c r="E85213"/>
      <c r="F85213"/>
    </row>
    <row r="85214" spans="1:6" x14ac:dyDescent="0.25">
      <c r="A85214"/>
      <c r="B85214"/>
      <c r="C85214"/>
      <c r="E85214"/>
      <c r="F85214"/>
    </row>
    <row r="85215" spans="1:6" x14ac:dyDescent="0.25">
      <c r="A85215"/>
      <c r="B85215"/>
      <c r="C85215"/>
      <c r="E85215"/>
      <c r="F85215"/>
    </row>
    <row r="85216" spans="1:6" x14ac:dyDescent="0.25">
      <c r="A85216"/>
      <c r="B85216"/>
      <c r="C85216"/>
      <c r="E85216"/>
      <c r="F85216"/>
    </row>
    <row r="85217" spans="1:6" x14ac:dyDescent="0.25">
      <c r="A85217"/>
      <c r="B85217"/>
      <c r="C85217"/>
      <c r="E85217"/>
      <c r="F85217"/>
    </row>
    <row r="85218" spans="1:6" x14ac:dyDescent="0.25">
      <c r="A85218"/>
      <c r="B85218"/>
      <c r="C85218"/>
      <c r="E85218"/>
      <c r="F85218"/>
    </row>
    <row r="85219" spans="1:6" x14ac:dyDescent="0.25">
      <c r="A85219"/>
      <c r="B85219"/>
      <c r="C85219"/>
      <c r="E85219"/>
      <c r="F85219"/>
    </row>
    <row r="85220" spans="1:6" x14ac:dyDescent="0.25">
      <c r="A85220"/>
      <c r="B85220"/>
      <c r="C85220"/>
      <c r="E85220"/>
      <c r="F85220"/>
    </row>
    <row r="85221" spans="1:6" x14ac:dyDescent="0.25">
      <c r="A85221"/>
      <c r="B85221"/>
      <c r="C85221"/>
      <c r="E85221"/>
      <c r="F85221"/>
    </row>
    <row r="85222" spans="1:6" x14ac:dyDescent="0.25">
      <c r="A85222"/>
      <c r="B85222"/>
      <c r="C85222"/>
      <c r="E85222"/>
      <c r="F85222"/>
    </row>
    <row r="85223" spans="1:6" x14ac:dyDescent="0.25">
      <c r="A85223"/>
      <c r="B85223"/>
      <c r="C85223"/>
      <c r="E85223"/>
      <c r="F85223"/>
    </row>
    <row r="85224" spans="1:6" x14ac:dyDescent="0.25">
      <c r="A85224"/>
      <c r="B85224"/>
      <c r="C85224"/>
      <c r="E85224"/>
      <c r="F85224"/>
    </row>
    <row r="85225" spans="1:6" x14ac:dyDescent="0.25">
      <c r="A85225"/>
      <c r="B85225"/>
      <c r="C85225"/>
      <c r="E85225"/>
      <c r="F85225"/>
    </row>
    <row r="85226" spans="1:6" x14ac:dyDescent="0.25">
      <c r="A85226"/>
      <c r="B85226"/>
      <c r="C85226"/>
      <c r="E85226"/>
      <c r="F85226"/>
    </row>
    <row r="85227" spans="1:6" x14ac:dyDescent="0.25">
      <c r="A85227"/>
      <c r="B85227"/>
      <c r="C85227"/>
      <c r="E85227"/>
      <c r="F85227"/>
    </row>
    <row r="85228" spans="1:6" x14ac:dyDescent="0.25">
      <c r="A85228"/>
      <c r="B85228"/>
      <c r="C85228"/>
      <c r="E85228"/>
      <c r="F85228"/>
    </row>
    <row r="85229" spans="1:6" x14ac:dyDescent="0.25">
      <c r="A85229"/>
      <c r="B85229"/>
      <c r="C85229"/>
      <c r="E85229"/>
      <c r="F85229"/>
    </row>
    <row r="85230" spans="1:6" x14ac:dyDescent="0.25">
      <c r="A85230"/>
      <c r="B85230"/>
      <c r="C85230"/>
      <c r="E85230"/>
      <c r="F85230"/>
    </row>
    <row r="85231" spans="1:6" x14ac:dyDescent="0.25">
      <c r="A85231"/>
      <c r="B85231"/>
      <c r="C85231"/>
      <c r="E85231"/>
      <c r="F85231"/>
    </row>
    <row r="85232" spans="1:6" x14ac:dyDescent="0.25">
      <c r="A85232"/>
      <c r="B85232"/>
      <c r="C85232"/>
      <c r="E85232"/>
      <c r="F85232"/>
    </row>
    <row r="85233" spans="1:6" x14ac:dyDescent="0.25">
      <c r="A85233"/>
      <c r="B85233"/>
      <c r="C85233"/>
      <c r="E85233"/>
      <c r="F85233"/>
    </row>
    <row r="85234" spans="1:6" x14ac:dyDescent="0.25">
      <c r="A85234"/>
      <c r="B85234"/>
      <c r="C85234"/>
      <c r="E85234"/>
      <c r="F85234"/>
    </row>
    <row r="85235" spans="1:6" x14ac:dyDescent="0.25">
      <c r="A85235"/>
      <c r="B85235"/>
      <c r="C85235"/>
      <c r="E85235"/>
      <c r="F85235"/>
    </row>
    <row r="85236" spans="1:6" x14ac:dyDescent="0.25">
      <c r="A85236"/>
      <c r="B85236"/>
      <c r="C85236"/>
      <c r="E85236"/>
      <c r="F85236"/>
    </row>
    <row r="85237" spans="1:6" x14ac:dyDescent="0.25">
      <c r="A85237"/>
      <c r="B85237"/>
      <c r="C85237"/>
      <c r="E85237"/>
      <c r="F85237"/>
    </row>
    <row r="85238" spans="1:6" x14ac:dyDescent="0.25">
      <c r="A85238"/>
      <c r="B85238"/>
      <c r="C85238"/>
      <c r="E85238"/>
      <c r="F85238"/>
    </row>
    <row r="85239" spans="1:6" x14ac:dyDescent="0.25">
      <c r="A85239"/>
      <c r="B85239"/>
      <c r="C85239"/>
      <c r="E85239"/>
      <c r="F85239"/>
    </row>
    <row r="85240" spans="1:6" x14ac:dyDescent="0.25">
      <c r="A85240"/>
      <c r="B85240"/>
      <c r="C85240"/>
      <c r="E85240"/>
      <c r="F85240"/>
    </row>
    <row r="85241" spans="1:6" x14ac:dyDescent="0.25">
      <c r="A85241"/>
      <c r="B85241"/>
      <c r="C85241"/>
      <c r="E85241"/>
      <c r="F85241"/>
    </row>
    <row r="85242" spans="1:6" x14ac:dyDescent="0.25">
      <c r="A85242"/>
      <c r="B85242"/>
      <c r="C85242"/>
      <c r="E85242"/>
      <c r="F85242"/>
    </row>
    <row r="85243" spans="1:6" x14ac:dyDescent="0.25">
      <c r="A85243"/>
      <c r="B85243"/>
      <c r="C85243"/>
      <c r="E85243"/>
      <c r="F85243"/>
    </row>
    <row r="85244" spans="1:6" x14ac:dyDescent="0.25">
      <c r="A85244"/>
      <c r="B85244"/>
      <c r="C85244"/>
      <c r="E85244"/>
      <c r="F85244"/>
    </row>
    <row r="85245" spans="1:6" x14ac:dyDescent="0.25">
      <c r="A85245"/>
      <c r="B85245"/>
      <c r="C85245"/>
      <c r="E85245"/>
      <c r="F85245"/>
    </row>
    <row r="85246" spans="1:6" x14ac:dyDescent="0.25">
      <c r="A85246"/>
      <c r="B85246"/>
      <c r="C85246"/>
      <c r="E85246"/>
      <c r="F85246"/>
    </row>
    <row r="85247" spans="1:6" x14ac:dyDescent="0.25">
      <c r="A85247"/>
      <c r="B85247"/>
      <c r="C85247"/>
      <c r="E85247"/>
      <c r="F85247"/>
    </row>
    <row r="85248" spans="1:6" x14ac:dyDescent="0.25">
      <c r="A85248"/>
      <c r="B85248"/>
      <c r="C85248"/>
      <c r="E85248"/>
      <c r="F85248"/>
    </row>
    <row r="85249" spans="1:6" x14ac:dyDescent="0.25">
      <c r="A85249"/>
      <c r="B85249"/>
      <c r="C85249"/>
      <c r="E85249"/>
      <c r="F85249"/>
    </row>
    <row r="85250" spans="1:6" x14ac:dyDescent="0.25">
      <c r="A85250"/>
      <c r="B85250"/>
      <c r="C85250"/>
      <c r="E85250"/>
      <c r="F85250"/>
    </row>
    <row r="85251" spans="1:6" x14ac:dyDescent="0.25">
      <c r="A85251"/>
      <c r="B85251"/>
      <c r="C85251"/>
      <c r="E85251"/>
      <c r="F85251"/>
    </row>
    <row r="85252" spans="1:6" x14ac:dyDescent="0.25">
      <c r="A85252"/>
      <c r="B85252"/>
      <c r="C85252"/>
      <c r="E85252"/>
      <c r="F85252"/>
    </row>
    <row r="85253" spans="1:6" x14ac:dyDescent="0.25">
      <c r="A85253"/>
      <c r="B85253"/>
      <c r="C85253"/>
      <c r="E85253"/>
      <c r="F85253"/>
    </row>
    <row r="85254" spans="1:6" x14ac:dyDescent="0.25">
      <c r="A85254"/>
      <c r="B85254"/>
      <c r="C85254"/>
      <c r="E85254"/>
      <c r="F85254"/>
    </row>
    <row r="85255" spans="1:6" x14ac:dyDescent="0.25">
      <c r="A85255"/>
      <c r="B85255"/>
      <c r="C85255"/>
      <c r="E85255"/>
      <c r="F85255"/>
    </row>
    <row r="85256" spans="1:6" x14ac:dyDescent="0.25">
      <c r="A85256"/>
      <c r="B85256"/>
      <c r="C85256"/>
      <c r="E85256"/>
      <c r="F85256"/>
    </row>
    <row r="85257" spans="1:6" x14ac:dyDescent="0.25">
      <c r="A85257"/>
      <c r="B85257"/>
      <c r="C85257"/>
      <c r="E85257"/>
      <c r="F85257"/>
    </row>
    <row r="85258" spans="1:6" x14ac:dyDescent="0.25">
      <c r="A85258"/>
      <c r="B85258"/>
      <c r="C85258"/>
      <c r="E85258"/>
      <c r="F85258"/>
    </row>
    <row r="85259" spans="1:6" x14ac:dyDescent="0.25">
      <c r="A85259"/>
      <c r="B85259"/>
      <c r="C85259"/>
      <c r="E85259"/>
      <c r="F85259"/>
    </row>
    <row r="85260" spans="1:6" x14ac:dyDescent="0.25">
      <c r="A85260"/>
      <c r="B85260"/>
      <c r="C85260"/>
      <c r="E85260"/>
      <c r="F85260"/>
    </row>
    <row r="85261" spans="1:6" x14ac:dyDescent="0.25">
      <c r="A85261"/>
      <c r="B85261"/>
      <c r="C85261"/>
      <c r="E85261"/>
      <c r="F85261"/>
    </row>
    <row r="85262" spans="1:6" x14ac:dyDescent="0.25">
      <c r="A85262"/>
      <c r="B85262"/>
      <c r="C85262"/>
      <c r="E85262"/>
      <c r="F85262"/>
    </row>
    <row r="85263" spans="1:6" x14ac:dyDescent="0.25">
      <c r="A85263"/>
      <c r="B85263"/>
      <c r="C85263"/>
      <c r="E85263"/>
      <c r="F85263"/>
    </row>
    <row r="85264" spans="1:6" x14ac:dyDescent="0.25">
      <c r="A85264"/>
      <c r="B85264"/>
      <c r="C85264"/>
      <c r="E85264"/>
      <c r="F85264"/>
    </row>
    <row r="85265" spans="1:6" x14ac:dyDescent="0.25">
      <c r="A85265"/>
      <c r="B85265"/>
      <c r="C85265"/>
      <c r="E85265"/>
      <c r="F85265"/>
    </row>
    <row r="85266" spans="1:6" x14ac:dyDescent="0.25">
      <c r="A85266"/>
      <c r="B85266"/>
      <c r="C85266"/>
      <c r="E85266"/>
      <c r="F85266"/>
    </row>
    <row r="85267" spans="1:6" x14ac:dyDescent="0.25">
      <c r="A85267"/>
      <c r="B85267"/>
      <c r="C85267"/>
      <c r="E85267"/>
      <c r="F85267"/>
    </row>
    <row r="85268" spans="1:6" x14ac:dyDescent="0.25">
      <c r="A85268"/>
      <c r="B85268"/>
      <c r="C85268"/>
      <c r="E85268"/>
      <c r="F85268"/>
    </row>
    <row r="85269" spans="1:6" x14ac:dyDescent="0.25">
      <c r="A85269"/>
      <c r="B85269"/>
      <c r="C85269"/>
      <c r="E85269"/>
      <c r="F85269"/>
    </row>
    <row r="85270" spans="1:6" x14ac:dyDescent="0.25">
      <c r="A85270"/>
      <c r="B85270"/>
      <c r="C85270"/>
      <c r="E85270"/>
      <c r="F85270"/>
    </row>
    <row r="85271" spans="1:6" x14ac:dyDescent="0.25">
      <c r="A85271"/>
      <c r="B85271"/>
      <c r="C85271"/>
      <c r="E85271"/>
      <c r="F85271"/>
    </row>
    <row r="85272" spans="1:6" x14ac:dyDescent="0.25">
      <c r="A85272"/>
      <c r="B85272"/>
      <c r="C85272"/>
      <c r="E85272"/>
      <c r="F85272"/>
    </row>
    <row r="85273" spans="1:6" x14ac:dyDescent="0.25">
      <c r="A85273"/>
      <c r="B85273"/>
      <c r="C85273"/>
      <c r="E85273"/>
      <c r="F85273"/>
    </row>
    <row r="85274" spans="1:6" x14ac:dyDescent="0.25">
      <c r="A85274"/>
      <c r="B85274"/>
      <c r="C85274"/>
      <c r="E85274"/>
      <c r="F85274"/>
    </row>
    <row r="85275" spans="1:6" x14ac:dyDescent="0.25">
      <c r="A85275"/>
      <c r="B85275"/>
      <c r="C85275"/>
      <c r="E85275"/>
      <c r="F85275"/>
    </row>
    <row r="85276" spans="1:6" x14ac:dyDescent="0.25">
      <c r="A85276"/>
      <c r="B85276"/>
      <c r="C85276"/>
      <c r="E85276"/>
      <c r="F85276"/>
    </row>
    <row r="85277" spans="1:6" x14ac:dyDescent="0.25">
      <c r="A85277"/>
      <c r="B85277"/>
      <c r="C85277"/>
      <c r="E85277"/>
      <c r="F85277"/>
    </row>
    <row r="85278" spans="1:6" x14ac:dyDescent="0.25">
      <c r="A85278"/>
      <c r="B85278"/>
      <c r="C85278"/>
      <c r="E85278"/>
      <c r="F85278"/>
    </row>
    <row r="85279" spans="1:6" x14ac:dyDescent="0.25">
      <c r="A85279"/>
      <c r="B85279"/>
      <c r="C85279"/>
      <c r="E85279"/>
      <c r="F85279"/>
    </row>
    <row r="85280" spans="1:6" x14ac:dyDescent="0.25">
      <c r="A85280"/>
      <c r="B85280"/>
      <c r="C85280"/>
      <c r="E85280"/>
      <c r="F85280"/>
    </row>
    <row r="85281" spans="1:6" x14ac:dyDescent="0.25">
      <c r="A85281"/>
      <c r="B85281"/>
      <c r="C85281"/>
      <c r="E85281"/>
      <c r="F85281"/>
    </row>
    <row r="85282" spans="1:6" x14ac:dyDescent="0.25">
      <c r="A85282"/>
      <c r="B85282"/>
      <c r="C85282"/>
      <c r="E85282"/>
      <c r="F85282"/>
    </row>
    <row r="85283" spans="1:6" x14ac:dyDescent="0.25">
      <c r="A85283"/>
      <c r="B85283"/>
      <c r="C85283"/>
      <c r="E85283"/>
      <c r="F85283"/>
    </row>
    <row r="85284" spans="1:6" x14ac:dyDescent="0.25">
      <c r="A85284"/>
      <c r="B85284"/>
      <c r="C85284"/>
      <c r="E85284"/>
      <c r="F85284"/>
    </row>
    <row r="85285" spans="1:6" x14ac:dyDescent="0.25">
      <c r="A85285"/>
      <c r="B85285"/>
      <c r="C85285"/>
      <c r="E85285"/>
      <c r="F85285"/>
    </row>
    <row r="85286" spans="1:6" x14ac:dyDescent="0.25">
      <c r="A85286"/>
      <c r="B85286"/>
      <c r="C85286"/>
      <c r="E85286"/>
      <c r="F85286"/>
    </row>
    <row r="85287" spans="1:6" x14ac:dyDescent="0.25">
      <c r="A85287"/>
      <c r="B85287"/>
      <c r="C85287"/>
      <c r="E85287"/>
      <c r="F85287"/>
    </row>
    <row r="85288" spans="1:6" x14ac:dyDescent="0.25">
      <c r="A85288"/>
      <c r="B85288"/>
      <c r="C85288"/>
      <c r="E85288"/>
      <c r="F85288"/>
    </row>
    <row r="85289" spans="1:6" x14ac:dyDescent="0.25">
      <c r="A85289"/>
      <c r="B85289"/>
      <c r="C85289"/>
      <c r="E85289"/>
      <c r="F85289"/>
    </row>
    <row r="85290" spans="1:6" x14ac:dyDescent="0.25">
      <c r="A85290"/>
      <c r="B85290"/>
      <c r="C85290"/>
      <c r="E85290"/>
      <c r="F85290"/>
    </row>
    <row r="85291" spans="1:6" x14ac:dyDescent="0.25">
      <c r="A85291"/>
      <c r="B85291"/>
      <c r="C85291"/>
      <c r="E85291"/>
      <c r="F85291"/>
    </row>
    <row r="85292" spans="1:6" x14ac:dyDescent="0.25">
      <c r="A85292"/>
      <c r="B85292"/>
      <c r="C85292"/>
      <c r="E85292"/>
      <c r="F85292"/>
    </row>
    <row r="85293" spans="1:6" x14ac:dyDescent="0.25">
      <c r="A85293"/>
      <c r="B85293"/>
      <c r="C85293"/>
      <c r="E85293"/>
      <c r="F85293"/>
    </row>
    <row r="85294" spans="1:6" x14ac:dyDescent="0.25">
      <c r="A85294"/>
      <c r="B85294"/>
      <c r="C85294"/>
      <c r="E85294"/>
      <c r="F85294"/>
    </row>
    <row r="85295" spans="1:6" x14ac:dyDescent="0.25">
      <c r="A85295"/>
      <c r="B85295"/>
      <c r="C85295"/>
      <c r="E85295"/>
      <c r="F85295"/>
    </row>
    <row r="85296" spans="1:6" x14ac:dyDescent="0.25">
      <c r="A85296"/>
      <c r="B85296"/>
      <c r="C85296"/>
      <c r="E85296"/>
      <c r="F85296"/>
    </row>
    <row r="85297" spans="1:6" x14ac:dyDescent="0.25">
      <c r="A85297"/>
      <c r="B85297"/>
      <c r="C85297"/>
      <c r="E85297"/>
      <c r="F85297"/>
    </row>
    <row r="85298" spans="1:6" x14ac:dyDescent="0.25">
      <c r="A85298"/>
      <c r="B85298"/>
      <c r="C85298"/>
      <c r="E85298"/>
      <c r="F85298"/>
    </row>
    <row r="85299" spans="1:6" x14ac:dyDescent="0.25">
      <c r="A85299"/>
      <c r="B85299"/>
      <c r="C85299"/>
      <c r="E85299"/>
      <c r="F85299"/>
    </row>
    <row r="85300" spans="1:6" x14ac:dyDescent="0.25">
      <c r="A85300"/>
      <c r="B85300"/>
      <c r="C85300"/>
      <c r="E85300"/>
      <c r="F85300"/>
    </row>
    <row r="85301" spans="1:6" x14ac:dyDescent="0.25">
      <c r="A85301"/>
      <c r="B85301"/>
      <c r="C85301"/>
      <c r="E85301"/>
      <c r="F85301"/>
    </row>
    <row r="85302" spans="1:6" x14ac:dyDescent="0.25">
      <c r="A85302"/>
      <c r="B85302"/>
      <c r="C85302"/>
      <c r="E85302"/>
      <c r="F85302"/>
    </row>
    <row r="85303" spans="1:6" x14ac:dyDescent="0.25">
      <c r="A85303"/>
      <c r="B85303"/>
      <c r="C85303"/>
      <c r="E85303"/>
      <c r="F85303"/>
    </row>
    <row r="85304" spans="1:6" x14ac:dyDescent="0.25">
      <c r="A85304"/>
      <c r="B85304"/>
      <c r="C85304"/>
      <c r="E85304"/>
      <c r="F85304"/>
    </row>
    <row r="85305" spans="1:6" x14ac:dyDescent="0.25">
      <c r="A85305"/>
      <c r="B85305"/>
      <c r="C85305"/>
      <c r="E85305"/>
      <c r="F85305"/>
    </row>
    <row r="85306" spans="1:6" x14ac:dyDescent="0.25">
      <c r="A85306"/>
      <c r="B85306"/>
      <c r="C85306"/>
      <c r="E85306"/>
      <c r="F85306"/>
    </row>
    <row r="85307" spans="1:6" x14ac:dyDescent="0.25">
      <c r="A85307"/>
      <c r="B85307"/>
      <c r="C85307"/>
      <c r="E85307"/>
      <c r="F85307"/>
    </row>
    <row r="85308" spans="1:6" x14ac:dyDescent="0.25">
      <c r="A85308"/>
      <c r="B85308"/>
      <c r="C85308"/>
      <c r="E85308"/>
      <c r="F85308"/>
    </row>
    <row r="85309" spans="1:6" x14ac:dyDescent="0.25">
      <c r="A85309"/>
      <c r="B85309"/>
      <c r="C85309"/>
      <c r="E85309"/>
      <c r="F85309"/>
    </row>
    <row r="85310" spans="1:6" x14ac:dyDescent="0.25">
      <c r="A85310"/>
      <c r="B85310"/>
      <c r="C85310"/>
      <c r="E85310"/>
      <c r="F85310"/>
    </row>
    <row r="85311" spans="1:6" x14ac:dyDescent="0.25">
      <c r="A85311"/>
      <c r="B85311"/>
      <c r="C85311"/>
      <c r="E85311"/>
      <c r="F85311"/>
    </row>
    <row r="85312" spans="1:6" x14ac:dyDescent="0.25">
      <c r="A85312"/>
      <c r="B85312"/>
      <c r="C85312"/>
      <c r="E85312"/>
      <c r="F85312"/>
    </row>
    <row r="85313" spans="1:6" x14ac:dyDescent="0.25">
      <c r="A85313"/>
      <c r="B85313"/>
      <c r="C85313"/>
      <c r="E85313"/>
      <c r="F85313"/>
    </row>
    <row r="85314" spans="1:6" x14ac:dyDescent="0.25">
      <c r="A85314"/>
      <c r="B85314"/>
      <c r="C85314"/>
      <c r="E85314"/>
      <c r="F85314"/>
    </row>
    <row r="85315" spans="1:6" x14ac:dyDescent="0.25">
      <c r="A85315"/>
      <c r="B85315"/>
      <c r="C85315"/>
      <c r="E85315"/>
      <c r="F85315"/>
    </row>
    <row r="85316" spans="1:6" x14ac:dyDescent="0.25">
      <c r="A85316"/>
      <c r="B85316"/>
      <c r="C85316"/>
      <c r="E85316"/>
      <c r="F85316"/>
    </row>
    <row r="85317" spans="1:6" x14ac:dyDescent="0.25">
      <c r="A85317"/>
      <c r="B85317"/>
      <c r="C85317"/>
      <c r="E85317"/>
      <c r="F85317"/>
    </row>
    <row r="85318" spans="1:6" x14ac:dyDescent="0.25">
      <c r="A85318"/>
      <c r="B85318"/>
      <c r="C85318"/>
      <c r="E85318"/>
      <c r="F85318"/>
    </row>
    <row r="85319" spans="1:6" x14ac:dyDescent="0.25">
      <c r="A85319"/>
      <c r="B85319"/>
      <c r="C85319"/>
      <c r="E85319"/>
      <c r="F85319"/>
    </row>
    <row r="85320" spans="1:6" x14ac:dyDescent="0.25">
      <c r="A85320"/>
      <c r="B85320"/>
      <c r="C85320"/>
      <c r="E85320"/>
      <c r="F85320"/>
    </row>
    <row r="85321" spans="1:6" x14ac:dyDescent="0.25">
      <c r="A85321"/>
      <c r="B85321"/>
      <c r="C85321"/>
      <c r="E85321"/>
      <c r="F85321"/>
    </row>
    <row r="85322" spans="1:6" x14ac:dyDescent="0.25">
      <c r="A85322"/>
      <c r="B85322"/>
      <c r="C85322"/>
      <c r="E85322"/>
      <c r="F85322"/>
    </row>
    <row r="85323" spans="1:6" x14ac:dyDescent="0.25">
      <c r="A85323"/>
      <c r="B85323"/>
      <c r="C85323"/>
      <c r="E85323"/>
      <c r="F85323"/>
    </row>
    <row r="85324" spans="1:6" x14ac:dyDescent="0.25">
      <c r="A85324"/>
      <c r="B85324"/>
      <c r="C85324"/>
      <c r="E85324"/>
      <c r="F85324"/>
    </row>
    <row r="85325" spans="1:6" x14ac:dyDescent="0.25">
      <c r="A85325"/>
      <c r="B85325"/>
      <c r="C85325"/>
      <c r="E85325"/>
      <c r="F85325"/>
    </row>
    <row r="85326" spans="1:6" x14ac:dyDescent="0.25">
      <c r="A85326"/>
      <c r="B85326"/>
      <c r="C85326"/>
      <c r="E85326"/>
      <c r="F85326"/>
    </row>
    <row r="85327" spans="1:6" x14ac:dyDescent="0.25">
      <c r="A85327"/>
      <c r="B85327"/>
      <c r="C85327"/>
      <c r="E85327"/>
      <c r="F85327"/>
    </row>
    <row r="85328" spans="1:6" x14ac:dyDescent="0.25">
      <c r="A85328"/>
      <c r="B85328"/>
      <c r="C85328"/>
      <c r="E85328"/>
      <c r="F85328"/>
    </row>
    <row r="85329" spans="1:6" x14ac:dyDescent="0.25">
      <c r="A85329"/>
      <c r="B85329"/>
      <c r="C85329"/>
      <c r="E85329"/>
      <c r="F85329"/>
    </row>
    <row r="85330" spans="1:6" x14ac:dyDescent="0.25">
      <c r="A85330"/>
      <c r="B85330"/>
      <c r="C85330"/>
      <c r="E85330"/>
      <c r="F85330"/>
    </row>
    <row r="85331" spans="1:6" x14ac:dyDescent="0.25">
      <c r="A85331"/>
      <c r="B85331"/>
      <c r="C85331"/>
      <c r="E85331"/>
      <c r="F85331"/>
    </row>
    <row r="85332" spans="1:6" x14ac:dyDescent="0.25">
      <c r="A85332"/>
      <c r="B85332"/>
      <c r="C85332"/>
      <c r="E85332"/>
      <c r="F85332"/>
    </row>
    <row r="85333" spans="1:6" x14ac:dyDescent="0.25">
      <c r="A85333"/>
      <c r="B85333"/>
      <c r="C85333"/>
      <c r="E85333"/>
      <c r="F85333"/>
    </row>
    <row r="85334" spans="1:6" x14ac:dyDescent="0.25">
      <c r="A85334"/>
      <c r="B85334"/>
      <c r="C85334"/>
      <c r="E85334"/>
      <c r="F85334"/>
    </row>
    <row r="85335" spans="1:6" x14ac:dyDescent="0.25">
      <c r="A85335"/>
      <c r="B85335"/>
      <c r="C85335"/>
      <c r="E85335"/>
      <c r="F85335"/>
    </row>
    <row r="85336" spans="1:6" x14ac:dyDescent="0.25">
      <c r="A85336"/>
      <c r="B85336"/>
      <c r="C85336"/>
      <c r="E85336"/>
      <c r="F85336"/>
    </row>
    <row r="85337" spans="1:6" x14ac:dyDescent="0.25">
      <c r="A85337"/>
      <c r="B85337"/>
      <c r="C85337"/>
      <c r="E85337"/>
      <c r="F85337"/>
    </row>
    <row r="85338" spans="1:6" x14ac:dyDescent="0.25">
      <c r="A85338"/>
      <c r="B85338"/>
      <c r="C85338"/>
      <c r="E85338"/>
      <c r="F85338"/>
    </row>
    <row r="85339" spans="1:6" x14ac:dyDescent="0.25">
      <c r="A85339"/>
      <c r="B85339"/>
      <c r="C85339"/>
      <c r="E85339"/>
      <c r="F85339"/>
    </row>
    <row r="85340" spans="1:6" x14ac:dyDescent="0.25">
      <c r="A85340"/>
      <c r="B85340"/>
      <c r="C85340"/>
      <c r="E85340"/>
      <c r="F85340"/>
    </row>
    <row r="85341" spans="1:6" x14ac:dyDescent="0.25">
      <c r="A85341"/>
      <c r="B85341"/>
      <c r="C85341"/>
      <c r="E85341"/>
      <c r="F85341"/>
    </row>
    <row r="85342" spans="1:6" x14ac:dyDescent="0.25">
      <c r="A85342"/>
      <c r="B85342"/>
      <c r="C85342"/>
      <c r="E85342"/>
      <c r="F85342"/>
    </row>
    <row r="85343" spans="1:6" x14ac:dyDescent="0.25">
      <c r="A85343"/>
      <c r="B85343"/>
      <c r="C85343"/>
      <c r="E85343"/>
      <c r="F85343"/>
    </row>
    <row r="85344" spans="1:6" x14ac:dyDescent="0.25">
      <c r="A85344"/>
      <c r="B85344"/>
      <c r="C85344"/>
      <c r="E85344"/>
      <c r="F85344"/>
    </row>
    <row r="85345" spans="1:6" x14ac:dyDescent="0.25">
      <c r="A85345"/>
      <c r="B85345"/>
      <c r="C85345"/>
      <c r="E85345"/>
      <c r="F85345"/>
    </row>
    <row r="85346" spans="1:6" x14ac:dyDescent="0.25">
      <c r="A85346"/>
      <c r="B85346"/>
      <c r="C85346"/>
      <c r="E85346"/>
      <c r="F85346"/>
    </row>
    <row r="85347" spans="1:6" x14ac:dyDescent="0.25">
      <c r="A85347"/>
      <c r="B85347"/>
      <c r="C85347"/>
      <c r="E85347"/>
      <c r="F85347"/>
    </row>
    <row r="85348" spans="1:6" x14ac:dyDescent="0.25">
      <c r="A85348"/>
      <c r="B85348"/>
      <c r="C85348"/>
      <c r="E85348"/>
      <c r="F85348"/>
    </row>
    <row r="85349" spans="1:6" x14ac:dyDescent="0.25">
      <c r="A85349"/>
      <c r="B85349"/>
      <c r="C85349"/>
      <c r="E85349"/>
      <c r="F85349"/>
    </row>
    <row r="85350" spans="1:6" x14ac:dyDescent="0.25">
      <c r="A85350"/>
      <c r="B85350"/>
      <c r="C85350"/>
      <c r="E85350"/>
      <c r="F85350"/>
    </row>
    <row r="85351" spans="1:6" x14ac:dyDescent="0.25">
      <c r="A85351"/>
      <c r="B85351"/>
      <c r="C85351"/>
      <c r="E85351"/>
      <c r="F85351"/>
    </row>
    <row r="85352" spans="1:6" x14ac:dyDescent="0.25">
      <c r="A85352"/>
      <c r="B85352"/>
      <c r="C85352"/>
      <c r="E85352"/>
      <c r="F85352"/>
    </row>
    <row r="85353" spans="1:6" x14ac:dyDescent="0.25">
      <c r="A85353"/>
      <c r="B85353"/>
      <c r="C85353"/>
      <c r="E85353"/>
      <c r="F85353"/>
    </row>
    <row r="85354" spans="1:6" x14ac:dyDescent="0.25">
      <c r="A85354"/>
      <c r="B85354"/>
      <c r="C85354"/>
      <c r="E85354"/>
      <c r="F85354"/>
    </row>
    <row r="85355" spans="1:6" x14ac:dyDescent="0.25">
      <c r="A85355"/>
      <c r="B85355"/>
      <c r="C85355"/>
      <c r="E85355"/>
      <c r="F85355"/>
    </row>
    <row r="85356" spans="1:6" x14ac:dyDescent="0.25">
      <c r="A85356"/>
      <c r="B85356"/>
      <c r="C85356"/>
      <c r="E85356"/>
      <c r="F85356"/>
    </row>
    <row r="85357" spans="1:6" x14ac:dyDescent="0.25">
      <c r="A85357"/>
      <c r="B85357"/>
      <c r="C85357"/>
      <c r="E85357"/>
      <c r="F85357"/>
    </row>
    <row r="85358" spans="1:6" x14ac:dyDescent="0.25">
      <c r="A85358"/>
      <c r="B85358"/>
      <c r="C85358"/>
      <c r="E85358"/>
      <c r="F85358"/>
    </row>
    <row r="85359" spans="1:6" x14ac:dyDescent="0.25">
      <c r="A85359"/>
      <c r="B85359"/>
      <c r="C85359"/>
      <c r="E85359"/>
      <c r="F85359"/>
    </row>
    <row r="85360" spans="1:6" x14ac:dyDescent="0.25">
      <c r="A85360"/>
      <c r="B85360"/>
      <c r="C85360"/>
      <c r="E85360"/>
      <c r="F85360"/>
    </row>
    <row r="85361" spans="1:6" x14ac:dyDescent="0.25">
      <c r="A85361"/>
      <c r="B85361"/>
      <c r="C85361"/>
      <c r="E85361"/>
      <c r="F85361"/>
    </row>
    <row r="85362" spans="1:6" x14ac:dyDescent="0.25">
      <c r="A85362"/>
      <c r="B85362"/>
      <c r="C85362"/>
      <c r="E85362"/>
      <c r="F85362"/>
    </row>
    <row r="85363" spans="1:6" x14ac:dyDescent="0.25">
      <c r="A85363"/>
      <c r="B85363"/>
      <c r="C85363"/>
      <c r="E85363"/>
      <c r="F85363"/>
    </row>
    <row r="85364" spans="1:6" x14ac:dyDescent="0.25">
      <c r="A85364"/>
      <c r="B85364"/>
      <c r="C85364"/>
      <c r="E85364"/>
      <c r="F85364"/>
    </row>
    <row r="85365" spans="1:6" x14ac:dyDescent="0.25">
      <c r="A85365"/>
      <c r="B85365"/>
      <c r="C85365"/>
      <c r="E85365"/>
      <c r="F85365"/>
    </row>
    <row r="85366" spans="1:6" x14ac:dyDescent="0.25">
      <c r="A85366"/>
      <c r="B85366"/>
      <c r="C85366"/>
      <c r="E85366"/>
      <c r="F85366"/>
    </row>
    <row r="85367" spans="1:6" x14ac:dyDescent="0.25">
      <c r="A85367"/>
      <c r="B85367"/>
      <c r="C85367"/>
      <c r="E85367"/>
      <c r="F85367"/>
    </row>
    <row r="85368" spans="1:6" x14ac:dyDescent="0.25">
      <c r="A85368"/>
      <c r="B85368"/>
      <c r="C85368"/>
      <c r="E85368"/>
      <c r="F85368"/>
    </row>
    <row r="85369" spans="1:6" x14ac:dyDescent="0.25">
      <c r="A85369"/>
      <c r="B85369"/>
      <c r="C85369"/>
      <c r="E85369"/>
      <c r="F85369"/>
    </row>
    <row r="85370" spans="1:6" x14ac:dyDescent="0.25">
      <c r="A85370"/>
      <c r="B85370"/>
      <c r="C85370"/>
      <c r="E85370"/>
      <c r="F85370"/>
    </row>
    <row r="85371" spans="1:6" x14ac:dyDescent="0.25">
      <c r="A85371"/>
      <c r="B85371"/>
      <c r="C85371"/>
      <c r="E85371"/>
      <c r="F85371"/>
    </row>
    <row r="85372" spans="1:6" x14ac:dyDescent="0.25">
      <c r="A85372"/>
      <c r="B85372"/>
      <c r="C85372"/>
      <c r="E85372"/>
      <c r="F85372"/>
    </row>
    <row r="85373" spans="1:6" x14ac:dyDescent="0.25">
      <c r="A85373"/>
      <c r="B85373"/>
      <c r="C85373"/>
      <c r="E85373"/>
      <c r="F85373"/>
    </row>
    <row r="85374" spans="1:6" x14ac:dyDescent="0.25">
      <c r="A85374"/>
      <c r="B85374"/>
      <c r="C85374"/>
      <c r="E85374"/>
      <c r="F85374"/>
    </row>
    <row r="85375" spans="1:6" x14ac:dyDescent="0.25">
      <c r="A85375"/>
      <c r="B85375"/>
      <c r="C85375"/>
      <c r="E85375"/>
      <c r="F85375"/>
    </row>
    <row r="85376" spans="1:6" x14ac:dyDescent="0.25">
      <c r="A85376"/>
      <c r="B85376"/>
      <c r="C85376"/>
      <c r="E85376"/>
      <c r="F85376"/>
    </row>
    <row r="85377" spans="1:6" x14ac:dyDescent="0.25">
      <c r="A85377"/>
      <c r="B85377"/>
      <c r="C85377"/>
      <c r="E85377"/>
      <c r="F85377"/>
    </row>
    <row r="85378" spans="1:6" x14ac:dyDescent="0.25">
      <c r="A85378"/>
      <c r="B85378"/>
      <c r="C85378"/>
      <c r="E85378"/>
      <c r="F85378"/>
    </row>
    <row r="85379" spans="1:6" x14ac:dyDescent="0.25">
      <c r="A85379"/>
      <c r="B85379"/>
      <c r="C85379"/>
      <c r="E85379"/>
      <c r="F85379"/>
    </row>
    <row r="85380" spans="1:6" x14ac:dyDescent="0.25">
      <c r="A85380"/>
      <c r="B85380"/>
      <c r="C85380"/>
      <c r="E85380"/>
      <c r="F85380"/>
    </row>
    <row r="85381" spans="1:6" x14ac:dyDescent="0.25">
      <c r="A85381"/>
      <c r="B85381"/>
      <c r="C85381"/>
      <c r="E85381"/>
      <c r="F85381"/>
    </row>
    <row r="85382" spans="1:6" x14ac:dyDescent="0.25">
      <c r="A85382"/>
      <c r="B85382"/>
      <c r="C85382"/>
      <c r="E85382"/>
      <c r="F85382"/>
    </row>
    <row r="85383" spans="1:6" x14ac:dyDescent="0.25">
      <c r="A85383"/>
      <c r="B85383"/>
      <c r="C85383"/>
      <c r="E85383"/>
      <c r="F85383"/>
    </row>
    <row r="85384" spans="1:6" x14ac:dyDescent="0.25">
      <c r="A85384"/>
      <c r="B85384"/>
      <c r="C85384"/>
      <c r="E85384"/>
      <c r="F85384"/>
    </row>
    <row r="85385" spans="1:6" x14ac:dyDescent="0.25">
      <c r="A85385"/>
      <c r="B85385"/>
      <c r="C85385"/>
      <c r="E85385"/>
      <c r="F85385"/>
    </row>
    <row r="85386" spans="1:6" x14ac:dyDescent="0.25">
      <c r="A85386"/>
      <c r="B85386"/>
      <c r="C85386"/>
      <c r="E85386"/>
      <c r="F85386"/>
    </row>
    <row r="85387" spans="1:6" x14ac:dyDescent="0.25">
      <c r="A85387"/>
      <c r="B85387"/>
      <c r="C85387"/>
      <c r="E85387"/>
      <c r="F85387"/>
    </row>
    <row r="85388" spans="1:6" x14ac:dyDescent="0.25">
      <c r="A85388"/>
      <c r="B85388"/>
      <c r="C85388"/>
      <c r="E85388"/>
      <c r="F85388"/>
    </row>
    <row r="85389" spans="1:6" x14ac:dyDescent="0.25">
      <c r="A85389"/>
      <c r="B85389"/>
      <c r="C85389"/>
      <c r="E85389"/>
      <c r="F85389"/>
    </row>
    <row r="85390" spans="1:6" x14ac:dyDescent="0.25">
      <c r="A85390"/>
      <c r="B85390"/>
      <c r="C85390"/>
      <c r="E85390"/>
      <c r="F85390"/>
    </row>
    <row r="85391" spans="1:6" x14ac:dyDescent="0.25">
      <c r="A85391"/>
      <c r="B85391"/>
      <c r="C85391"/>
      <c r="E85391"/>
      <c r="F85391"/>
    </row>
    <row r="85392" spans="1:6" x14ac:dyDescent="0.25">
      <c r="A85392"/>
      <c r="B85392"/>
      <c r="C85392"/>
      <c r="E85392"/>
      <c r="F85392"/>
    </row>
    <row r="85393" spans="1:6" x14ac:dyDescent="0.25">
      <c r="A85393"/>
      <c r="B85393"/>
      <c r="C85393"/>
      <c r="E85393"/>
      <c r="F85393"/>
    </row>
    <row r="85394" spans="1:6" x14ac:dyDescent="0.25">
      <c r="A85394"/>
      <c r="B85394"/>
      <c r="C85394"/>
      <c r="E85394"/>
      <c r="F85394"/>
    </row>
    <row r="85395" spans="1:6" x14ac:dyDescent="0.25">
      <c r="A85395"/>
      <c r="B85395"/>
      <c r="C85395"/>
      <c r="E85395"/>
      <c r="F85395"/>
    </row>
    <row r="85396" spans="1:6" x14ac:dyDescent="0.25">
      <c r="A85396"/>
      <c r="B85396"/>
      <c r="C85396"/>
      <c r="E85396"/>
      <c r="F85396"/>
    </row>
    <row r="85397" spans="1:6" x14ac:dyDescent="0.25">
      <c r="A85397"/>
      <c r="B85397"/>
      <c r="C85397"/>
      <c r="E85397"/>
      <c r="F85397"/>
    </row>
    <row r="85398" spans="1:6" x14ac:dyDescent="0.25">
      <c r="A85398"/>
      <c r="B85398"/>
      <c r="C85398"/>
      <c r="E85398"/>
      <c r="F85398"/>
    </row>
    <row r="85399" spans="1:6" x14ac:dyDescent="0.25">
      <c r="A85399"/>
      <c r="B85399"/>
      <c r="C85399"/>
      <c r="E85399"/>
      <c r="F85399"/>
    </row>
    <row r="85400" spans="1:6" x14ac:dyDescent="0.25">
      <c r="A85400"/>
      <c r="B85400"/>
      <c r="C85400"/>
      <c r="E85400"/>
      <c r="F85400"/>
    </row>
    <row r="85401" spans="1:6" x14ac:dyDescent="0.25">
      <c r="A85401"/>
      <c r="B85401"/>
      <c r="C85401"/>
      <c r="E85401"/>
      <c r="F85401"/>
    </row>
    <row r="85402" spans="1:6" x14ac:dyDescent="0.25">
      <c r="A85402"/>
      <c r="B85402"/>
      <c r="C85402"/>
      <c r="E85402"/>
      <c r="F85402"/>
    </row>
    <row r="85403" spans="1:6" x14ac:dyDescent="0.25">
      <c r="A85403"/>
      <c r="B85403"/>
      <c r="C85403"/>
      <c r="E85403"/>
      <c r="F85403"/>
    </row>
    <row r="85404" spans="1:6" x14ac:dyDescent="0.25">
      <c r="A85404"/>
      <c r="B85404"/>
      <c r="C85404"/>
      <c r="E85404"/>
      <c r="F85404"/>
    </row>
    <row r="85405" spans="1:6" x14ac:dyDescent="0.25">
      <c r="A85405"/>
      <c r="B85405"/>
      <c r="C85405"/>
      <c r="E85405"/>
      <c r="F85405"/>
    </row>
    <row r="85406" spans="1:6" x14ac:dyDescent="0.25">
      <c r="A85406"/>
      <c r="B85406"/>
      <c r="C85406"/>
      <c r="E85406"/>
      <c r="F85406"/>
    </row>
    <row r="85407" spans="1:6" x14ac:dyDescent="0.25">
      <c r="A85407"/>
      <c r="B85407"/>
      <c r="C85407"/>
      <c r="E85407"/>
      <c r="F85407"/>
    </row>
    <row r="85408" spans="1:6" x14ac:dyDescent="0.25">
      <c r="A85408"/>
      <c r="B85408"/>
      <c r="C85408"/>
      <c r="E85408"/>
      <c r="F85408"/>
    </row>
    <row r="85409" spans="1:6" x14ac:dyDescent="0.25">
      <c r="A85409"/>
      <c r="B85409"/>
      <c r="C85409"/>
      <c r="E85409"/>
      <c r="F85409"/>
    </row>
    <row r="85410" spans="1:6" x14ac:dyDescent="0.25">
      <c r="A85410"/>
      <c r="B85410"/>
      <c r="C85410"/>
      <c r="E85410"/>
      <c r="F85410"/>
    </row>
    <row r="85411" spans="1:6" x14ac:dyDescent="0.25">
      <c r="A85411"/>
      <c r="B85411"/>
      <c r="C85411"/>
      <c r="E85411"/>
      <c r="F85411"/>
    </row>
    <row r="85412" spans="1:6" x14ac:dyDescent="0.25">
      <c r="A85412"/>
      <c r="B85412"/>
      <c r="C85412"/>
      <c r="E85412"/>
      <c r="F85412"/>
    </row>
    <row r="85413" spans="1:6" x14ac:dyDescent="0.25">
      <c r="A85413"/>
      <c r="B85413"/>
      <c r="C85413"/>
      <c r="E85413"/>
      <c r="F85413"/>
    </row>
    <row r="85414" spans="1:6" x14ac:dyDescent="0.25">
      <c r="A85414"/>
      <c r="B85414"/>
      <c r="C85414"/>
      <c r="E85414"/>
      <c r="F85414"/>
    </row>
    <row r="85415" spans="1:6" x14ac:dyDescent="0.25">
      <c r="A85415"/>
      <c r="B85415"/>
      <c r="C85415"/>
      <c r="E85415"/>
      <c r="F85415"/>
    </row>
    <row r="85416" spans="1:6" x14ac:dyDescent="0.25">
      <c r="A85416"/>
      <c r="B85416"/>
      <c r="C85416"/>
      <c r="E85416"/>
      <c r="F85416"/>
    </row>
    <row r="85417" spans="1:6" x14ac:dyDescent="0.25">
      <c r="A85417"/>
      <c r="B85417"/>
      <c r="C85417"/>
      <c r="E85417"/>
      <c r="F85417"/>
    </row>
    <row r="85418" spans="1:6" x14ac:dyDescent="0.25">
      <c r="A85418"/>
      <c r="B85418"/>
      <c r="C85418"/>
      <c r="E85418"/>
      <c r="F85418"/>
    </row>
    <row r="85419" spans="1:6" x14ac:dyDescent="0.25">
      <c r="A85419"/>
      <c r="B85419"/>
      <c r="C85419"/>
      <c r="E85419"/>
      <c r="F85419"/>
    </row>
    <row r="85420" spans="1:6" x14ac:dyDescent="0.25">
      <c r="A85420"/>
      <c r="B85420"/>
      <c r="C85420"/>
      <c r="E85420"/>
      <c r="F85420"/>
    </row>
    <row r="85421" spans="1:6" x14ac:dyDescent="0.25">
      <c r="A85421"/>
      <c r="B85421"/>
      <c r="C85421"/>
      <c r="E85421"/>
      <c r="F85421"/>
    </row>
    <row r="85422" spans="1:6" x14ac:dyDescent="0.25">
      <c r="A85422"/>
      <c r="B85422"/>
      <c r="C85422"/>
      <c r="E85422"/>
      <c r="F85422"/>
    </row>
    <row r="85423" spans="1:6" x14ac:dyDescent="0.25">
      <c r="A85423"/>
      <c r="B85423"/>
      <c r="C85423"/>
      <c r="E85423"/>
      <c r="F85423"/>
    </row>
    <row r="85424" spans="1:6" x14ac:dyDescent="0.25">
      <c r="A85424"/>
      <c r="B85424"/>
      <c r="C85424"/>
      <c r="E85424"/>
      <c r="F85424"/>
    </row>
    <row r="85425" spans="1:6" x14ac:dyDescent="0.25">
      <c r="A85425"/>
      <c r="B85425"/>
      <c r="C85425"/>
      <c r="E85425"/>
      <c r="F85425"/>
    </row>
    <row r="85426" spans="1:6" x14ac:dyDescent="0.25">
      <c r="A85426"/>
      <c r="B85426"/>
      <c r="C85426"/>
      <c r="E85426"/>
      <c r="F85426"/>
    </row>
    <row r="85427" spans="1:6" x14ac:dyDescent="0.25">
      <c r="A85427"/>
      <c r="B85427"/>
      <c r="C85427"/>
      <c r="E85427"/>
      <c r="F85427"/>
    </row>
    <row r="85428" spans="1:6" x14ac:dyDescent="0.25">
      <c r="A85428"/>
      <c r="B85428"/>
      <c r="C85428"/>
      <c r="E85428"/>
      <c r="F85428"/>
    </row>
    <row r="85429" spans="1:6" x14ac:dyDescent="0.25">
      <c r="A85429"/>
      <c r="B85429"/>
      <c r="C85429"/>
      <c r="E85429"/>
      <c r="F85429"/>
    </row>
    <row r="85430" spans="1:6" x14ac:dyDescent="0.25">
      <c r="A85430"/>
      <c r="B85430"/>
      <c r="C85430"/>
      <c r="E85430"/>
      <c r="F85430"/>
    </row>
    <row r="85431" spans="1:6" x14ac:dyDescent="0.25">
      <c r="A85431"/>
      <c r="B85431"/>
      <c r="C85431"/>
      <c r="E85431"/>
      <c r="F85431"/>
    </row>
    <row r="85432" spans="1:6" x14ac:dyDescent="0.25">
      <c r="A85432"/>
      <c r="B85432"/>
      <c r="C85432"/>
      <c r="E85432"/>
      <c r="F85432"/>
    </row>
    <row r="85433" spans="1:6" x14ac:dyDescent="0.25">
      <c r="A85433"/>
      <c r="B85433"/>
      <c r="C85433"/>
      <c r="E85433"/>
      <c r="F85433"/>
    </row>
    <row r="85434" spans="1:6" x14ac:dyDescent="0.25">
      <c r="A85434"/>
      <c r="B85434"/>
      <c r="C85434"/>
      <c r="E85434"/>
      <c r="F85434"/>
    </row>
    <row r="85435" spans="1:6" x14ac:dyDescent="0.25">
      <c r="A85435"/>
      <c r="B85435"/>
      <c r="C85435"/>
      <c r="E85435"/>
      <c r="F85435"/>
    </row>
    <row r="85436" spans="1:6" x14ac:dyDescent="0.25">
      <c r="A85436"/>
      <c r="B85436"/>
      <c r="C85436"/>
      <c r="E85436"/>
      <c r="F85436"/>
    </row>
    <row r="85437" spans="1:6" x14ac:dyDescent="0.25">
      <c r="A85437"/>
      <c r="B85437"/>
      <c r="C85437"/>
      <c r="E85437"/>
      <c r="F85437"/>
    </row>
    <row r="85438" spans="1:6" x14ac:dyDescent="0.25">
      <c r="A85438"/>
      <c r="B85438"/>
      <c r="C85438"/>
      <c r="E85438"/>
      <c r="F85438"/>
    </row>
    <row r="85439" spans="1:6" x14ac:dyDescent="0.25">
      <c r="A85439"/>
      <c r="B85439"/>
      <c r="C85439"/>
      <c r="E85439"/>
      <c r="F85439"/>
    </row>
    <row r="85440" spans="1:6" x14ac:dyDescent="0.25">
      <c r="A85440"/>
      <c r="B85440"/>
      <c r="C85440"/>
      <c r="E85440"/>
      <c r="F85440"/>
    </row>
    <row r="85441" spans="1:6" x14ac:dyDescent="0.25">
      <c r="A85441"/>
      <c r="B85441"/>
      <c r="C85441"/>
      <c r="E85441"/>
      <c r="F85441"/>
    </row>
    <row r="85442" spans="1:6" x14ac:dyDescent="0.25">
      <c r="A85442"/>
      <c r="B85442"/>
      <c r="C85442"/>
      <c r="E85442"/>
      <c r="F85442"/>
    </row>
    <row r="85443" spans="1:6" x14ac:dyDescent="0.25">
      <c r="A85443"/>
      <c r="B85443"/>
      <c r="C85443"/>
      <c r="E85443"/>
      <c r="F85443"/>
    </row>
    <row r="85444" spans="1:6" x14ac:dyDescent="0.25">
      <c r="A85444"/>
      <c r="B85444"/>
      <c r="C85444"/>
      <c r="E85444"/>
      <c r="F85444"/>
    </row>
    <row r="85445" spans="1:6" x14ac:dyDescent="0.25">
      <c r="A85445"/>
      <c r="B85445"/>
      <c r="C85445"/>
      <c r="E85445"/>
      <c r="F85445"/>
    </row>
    <row r="85446" spans="1:6" x14ac:dyDescent="0.25">
      <c r="A85446"/>
      <c r="B85446"/>
      <c r="C85446"/>
      <c r="E85446"/>
      <c r="F85446"/>
    </row>
    <row r="85447" spans="1:6" x14ac:dyDescent="0.25">
      <c r="A85447"/>
      <c r="B85447"/>
      <c r="C85447"/>
      <c r="E85447"/>
      <c r="F85447"/>
    </row>
    <row r="85448" spans="1:6" x14ac:dyDescent="0.25">
      <c r="A85448"/>
      <c r="B85448"/>
      <c r="C85448"/>
      <c r="E85448"/>
      <c r="F85448"/>
    </row>
    <row r="85449" spans="1:6" x14ac:dyDescent="0.25">
      <c r="A85449"/>
      <c r="B85449"/>
      <c r="C85449"/>
      <c r="E85449"/>
      <c r="F85449"/>
    </row>
    <row r="85450" spans="1:6" x14ac:dyDescent="0.25">
      <c r="A85450"/>
      <c r="B85450"/>
      <c r="C85450"/>
      <c r="E85450"/>
      <c r="F85450"/>
    </row>
    <row r="85451" spans="1:6" x14ac:dyDescent="0.25">
      <c r="A85451"/>
      <c r="B85451"/>
      <c r="C85451"/>
      <c r="E85451"/>
      <c r="F85451"/>
    </row>
    <row r="85452" spans="1:6" x14ac:dyDescent="0.25">
      <c r="A85452"/>
      <c r="B85452"/>
      <c r="C85452"/>
      <c r="E85452"/>
      <c r="F85452"/>
    </row>
    <row r="85453" spans="1:6" x14ac:dyDescent="0.25">
      <c r="A85453"/>
      <c r="B85453"/>
      <c r="C85453"/>
      <c r="E85453"/>
      <c r="F85453"/>
    </row>
    <row r="85454" spans="1:6" x14ac:dyDescent="0.25">
      <c r="A85454"/>
      <c r="B85454"/>
      <c r="C85454"/>
      <c r="E85454"/>
      <c r="F85454"/>
    </row>
    <row r="85455" spans="1:6" x14ac:dyDescent="0.25">
      <c r="A85455"/>
      <c r="B85455"/>
      <c r="C85455"/>
      <c r="E85455"/>
      <c r="F85455"/>
    </row>
    <row r="85456" spans="1:6" x14ac:dyDescent="0.25">
      <c r="A85456"/>
      <c r="B85456"/>
      <c r="C85456"/>
      <c r="E85456"/>
      <c r="F85456"/>
    </row>
    <row r="85457" spans="1:6" x14ac:dyDescent="0.25">
      <c r="A85457"/>
      <c r="B85457"/>
      <c r="C85457"/>
      <c r="E85457"/>
      <c r="F85457"/>
    </row>
    <row r="85458" spans="1:6" x14ac:dyDescent="0.25">
      <c r="A85458"/>
      <c r="B85458"/>
      <c r="C85458"/>
      <c r="E85458"/>
      <c r="F85458"/>
    </row>
    <row r="85459" spans="1:6" x14ac:dyDescent="0.25">
      <c r="A85459"/>
      <c r="B85459"/>
      <c r="C85459"/>
      <c r="E85459"/>
      <c r="F85459"/>
    </row>
    <row r="85460" spans="1:6" x14ac:dyDescent="0.25">
      <c r="A85460"/>
      <c r="B85460"/>
      <c r="C85460"/>
      <c r="E85460"/>
      <c r="F85460"/>
    </row>
    <row r="85461" spans="1:6" x14ac:dyDescent="0.25">
      <c r="A85461"/>
      <c r="B85461"/>
      <c r="C85461"/>
      <c r="E85461"/>
      <c r="F85461"/>
    </row>
    <row r="85462" spans="1:6" x14ac:dyDescent="0.25">
      <c r="A85462"/>
      <c r="B85462"/>
      <c r="C85462"/>
      <c r="E85462"/>
      <c r="F85462"/>
    </row>
    <row r="85463" spans="1:6" x14ac:dyDescent="0.25">
      <c r="A85463"/>
      <c r="B85463"/>
      <c r="C85463"/>
      <c r="E85463"/>
      <c r="F85463"/>
    </row>
    <row r="85464" spans="1:6" x14ac:dyDescent="0.25">
      <c r="A85464"/>
      <c r="B85464"/>
      <c r="C85464"/>
      <c r="E85464"/>
      <c r="F85464"/>
    </row>
    <row r="85465" spans="1:6" x14ac:dyDescent="0.25">
      <c r="A85465"/>
      <c r="B85465"/>
      <c r="C85465"/>
      <c r="E85465"/>
      <c r="F85465"/>
    </row>
    <row r="85466" spans="1:6" x14ac:dyDescent="0.25">
      <c r="A85466"/>
      <c r="B85466"/>
      <c r="C85466"/>
      <c r="E85466"/>
      <c r="F85466"/>
    </row>
    <row r="85467" spans="1:6" x14ac:dyDescent="0.25">
      <c r="A85467"/>
      <c r="B85467"/>
      <c r="C85467"/>
      <c r="E85467"/>
      <c r="F85467"/>
    </row>
    <row r="85468" spans="1:6" x14ac:dyDescent="0.25">
      <c r="A85468"/>
      <c r="B85468"/>
      <c r="C85468"/>
      <c r="E85468"/>
      <c r="F85468"/>
    </row>
    <row r="85469" spans="1:6" x14ac:dyDescent="0.25">
      <c r="A85469"/>
      <c r="B85469"/>
      <c r="C85469"/>
      <c r="E85469"/>
      <c r="F85469"/>
    </row>
    <row r="85470" spans="1:6" x14ac:dyDescent="0.25">
      <c r="A85470"/>
      <c r="B85470"/>
      <c r="C85470"/>
      <c r="E85470"/>
      <c r="F85470"/>
    </row>
    <row r="85471" spans="1:6" x14ac:dyDescent="0.25">
      <c r="A85471"/>
      <c r="B85471"/>
      <c r="C85471"/>
      <c r="E85471"/>
      <c r="F85471"/>
    </row>
    <row r="85472" spans="1:6" x14ac:dyDescent="0.25">
      <c r="A85472"/>
      <c r="B85472"/>
      <c r="C85472"/>
      <c r="E85472"/>
      <c r="F85472"/>
    </row>
    <row r="85473" spans="1:6" x14ac:dyDescent="0.25">
      <c r="A85473"/>
      <c r="B85473"/>
      <c r="C85473"/>
      <c r="E85473"/>
      <c r="F85473"/>
    </row>
    <row r="85474" spans="1:6" x14ac:dyDescent="0.25">
      <c r="A85474"/>
      <c r="B85474"/>
      <c r="C85474"/>
      <c r="E85474"/>
      <c r="F85474"/>
    </row>
    <row r="85475" spans="1:6" x14ac:dyDescent="0.25">
      <c r="A85475"/>
      <c r="B85475"/>
      <c r="C85475"/>
      <c r="E85475"/>
      <c r="F85475"/>
    </row>
    <row r="85476" spans="1:6" x14ac:dyDescent="0.25">
      <c r="A85476"/>
      <c r="B85476"/>
      <c r="C85476"/>
      <c r="E85476"/>
      <c r="F85476"/>
    </row>
    <row r="85477" spans="1:6" x14ac:dyDescent="0.25">
      <c r="A85477"/>
      <c r="B85477"/>
      <c r="C85477"/>
      <c r="E85477"/>
      <c r="F85477"/>
    </row>
    <row r="85478" spans="1:6" x14ac:dyDescent="0.25">
      <c r="A85478"/>
      <c r="B85478"/>
      <c r="C85478"/>
      <c r="E85478"/>
      <c r="F85478"/>
    </row>
    <row r="85479" spans="1:6" x14ac:dyDescent="0.25">
      <c r="A85479"/>
      <c r="B85479"/>
      <c r="C85479"/>
      <c r="E85479"/>
      <c r="F85479"/>
    </row>
    <row r="85480" spans="1:6" x14ac:dyDescent="0.25">
      <c r="A85480"/>
      <c r="B85480"/>
      <c r="C85480"/>
      <c r="E85480"/>
      <c r="F85480"/>
    </row>
    <row r="85481" spans="1:6" x14ac:dyDescent="0.25">
      <c r="A85481"/>
      <c r="B85481"/>
      <c r="C85481"/>
      <c r="E85481"/>
      <c r="F85481"/>
    </row>
    <row r="85482" spans="1:6" x14ac:dyDescent="0.25">
      <c r="A85482"/>
      <c r="B85482"/>
      <c r="C85482"/>
      <c r="E85482"/>
      <c r="F85482"/>
    </row>
    <row r="85483" spans="1:6" x14ac:dyDescent="0.25">
      <c r="A85483"/>
      <c r="B85483"/>
      <c r="C85483"/>
      <c r="E85483"/>
      <c r="F85483"/>
    </row>
    <row r="85484" spans="1:6" x14ac:dyDescent="0.25">
      <c r="A85484"/>
      <c r="B85484"/>
      <c r="C85484"/>
      <c r="E85484"/>
      <c r="F85484"/>
    </row>
    <row r="85485" spans="1:6" x14ac:dyDescent="0.25">
      <c r="A85485"/>
      <c r="B85485"/>
      <c r="C85485"/>
      <c r="E85485"/>
      <c r="F85485"/>
    </row>
    <row r="85486" spans="1:6" x14ac:dyDescent="0.25">
      <c r="A85486"/>
      <c r="B85486"/>
      <c r="C85486"/>
      <c r="E85486"/>
      <c r="F85486"/>
    </row>
    <row r="85487" spans="1:6" x14ac:dyDescent="0.25">
      <c r="A85487"/>
      <c r="B85487"/>
      <c r="C85487"/>
      <c r="E85487"/>
      <c r="F85487"/>
    </row>
    <row r="85488" spans="1:6" x14ac:dyDescent="0.25">
      <c r="A85488"/>
      <c r="B85488"/>
      <c r="C85488"/>
      <c r="E85488"/>
      <c r="F85488"/>
    </row>
    <row r="85489" spans="1:6" x14ac:dyDescent="0.25">
      <c r="A85489"/>
      <c r="B85489"/>
      <c r="C85489"/>
      <c r="E85489"/>
      <c r="F85489"/>
    </row>
    <row r="85490" spans="1:6" x14ac:dyDescent="0.25">
      <c r="A85490"/>
      <c r="B85490"/>
      <c r="C85490"/>
      <c r="E85490"/>
      <c r="F85490"/>
    </row>
    <row r="85491" spans="1:6" x14ac:dyDescent="0.25">
      <c r="A85491"/>
      <c r="B85491"/>
      <c r="C85491"/>
      <c r="E85491"/>
      <c r="F85491"/>
    </row>
    <row r="85492" spans="1:6" x14ac:dyDescent="0.25">
      <c r="A85492"/>
      <c r="B85492"/>
      <c r="C85492"/>
      <c r="E85492"/>
      <c r="F85492"/>
    </row>
    <row r="85493" spans="1:6" x14ac:dyDescent="0.25">
      <c r="A85493"/>
      <c r="B85493"/>
      <c r="C85493"/>
      <c r="E85493"/>
      <c r="F85493"/>
    </row>
    <row r="85494" spans="1:6" x14ac:dyDescent="0.25">
      <c r="A85494"/>
      <c r="B85494"/>
      <c r="C85494"/>
      <c r="E85494"/>
      <c r="F85494"/>
    </row>
    <row r="85495" spans="1:6" x14ac:dyDescent="0.25">
      <c r="A85495"/>
      <c r="B85495"/>
      <c r="C85495"/>
      <c r="E85495"/>
      <c r="F85495"/>
    </row>
    <row r="85496" spans="1:6" x14ac:dyDescent="0.25">
      <c r="A85496"/>
      <c r="B85496"/>
      <c r="C85496"/>
      <c r="E85496"/>
      <c r="F85496"/>
    </row>
    <row r="85497" spans="1:6" x14ac:dyDescent="0.25">
      <c r="A85497"/>
      <c r="B85497"/>
      <c r="C85497"/>
      <c r="E85497"/>
      <c r="F85497"/>
    </row>
    <row r="85498" spans="1:6" x14ac:dyDescent="0.25">
      <c r="A85498"/>
      <c r="B85498"/>
      <c r="C85498"/>
      <c r="E85498"/>
      <c r="F85498"/>
    </row>
    <row r="85499" spans="1:6" x14ac:dyDescent="0.25">
      <c r="A85499"/>
      <c r="B85499"/>
      <c r="C85499"/>
      <c r="E85499"/>
      <c r="F85499"/>
    </row>
    <row r="85500" spans="1:6" x14ac:dyDescent="0.25">
      <c r="A85500"/>
      <c r="B85500"/>
      <c r="C85500"/>
      <c r="E85500"/>
      <c r="F85500"/>
    </row>
    <row r="85501" spans="1:6" x14ac:dyDescent="0.25">
      <c r="A85501"/>
      <c r="B85501"/>
      <c r="C85501"/>
      <c r="E85501"/>
      <c r="F85501"/>
    </row>
    <row r="85502" spans="1:6" x14ac:dyDescent="0.25">
      <c r="A85502"/>
      <c r="B85502"/>
      <c r="C85502"/>
      <c r="E85502"/>
      <c r="F85502"/>
    </row>
    <row r="85503" spans="1:6" x14ac:dyDescent="0.25">
      <c r="A85503"/>
      <c r="B85503"/>
      <c r="C85503"/>
      <c r="E85503"/>
      <c r="F85503"/>
    </row>
    <row r="85504" spans="1:6" x14ac:dyDescent="0.25">
      <c r="A85504"/>
      <c r="B85504"/>
      <c r="C85504"/>
      <c r="E85504"/>
      <c r="F85504"/>
    </row>
    <row r="85505" spans="1:6" x14ac:dyDescent="0.25">
      <c r="A85505"/>
      <c r="B85505"/>
      <c r="C85505"/>
      <c r="E85505"/>
      <c r="F85505"/>
    </row>
    <row r="85506" spans="1:6" x14ac:dyDescent="0.25">
      <c r="A85506"/>
      <c r="B85506"/>
      <c r="C85506"/>
      <c r="E85506"/>
      <c r="F85506"/>
    </row>
    <row r="85507" spans="1:6" x14ac:dyDescent="0.25">
      <c r="A85507"/>
      <c r="B85507"/>
      <c r="C85507"/>
      <c r="E85507"/>
      <c r="F85507"/>
    </row>
    <row r="85508" spans="1:6" x14ac:dyDescent="0.25">
      <c r="A85508"/>
      <c r="B85508"/>
      <c r="C85508"/>
      <c r="E85508"/>
      <c r="F85508"/>
    </row>
    <row r="85509" spans="1:6" x14ac:dyDescent="0.25">
      <c r="A85509"/>
      <c r="B85509"/>
      <c r="C85509"/>
      <c r="E85509"/>
      <c r="F85509"/>
    </row>
    <row r="85510" spans="1:6" x14ac:dyDescent="0.25">
      <c r="A85510"/>
      <c r="B85510"/>
      <c r="C85510"/>
      <c r="E85510"/>
      <c r="F85510"/>
    </row>
    <row r="85511" spans="1:6" x14ac:dyDescent="0.25">
      <c r="A85511"/>
      <c r="B85511"/>
      <c r="C85511"/>
      <c r="E85511"/>
      <c r="F85511"/>
    </row>
    <row r="85512" spans="1:6" x14ac:dyDescent="0.25">
      <c r="A85512"/>
      <c r="B85512"/>
      <c r="C85512"/>
      <c r="E85512"/>
      <c r="F85512"/>
    </row>
    <row r="85513" spans="1:6" x14ac:dyDescent="0.25">
      <c r="A85513"/>
      <c r="B85513"/>
      <c r="C85513"/>
      <c r="E85513"/>
      <c r="F85513"/>
    </row>
    <row r="85514" spans="1:6" x14ac:dyDescent="0.25">
      <c r="A85514"/>
      <c r="B85514"/>
      <c r="C85514"/>
      <c r="E85514"/>
      <c r="F85514"/>
    </row>
    <row r="85515" spans="1:6" x14ac:dyDescent="0.25">
      <c r="A85515"/>
      <c r="B85515"/>
      <c r="C85515"/>
      <c r="E85515"/>
      <c r="F85515"/>
    </row>
    <row r="85516" spans="1:6" x14ac:dyDescent="0.25">
      <c r="A85516"/>
      <c r="B85516"/>
      <c r="C85516"/>
      <c r="E85516"/>
      <c r="F85516"/>
    </row>
    <row r="85517" spans="1:6" x14ac:dyDescent="0.25">
      <c r="A85517"/>
      <c r="B85517"/>
      <c r="C85517"/>
      <c r="E85517"/>
      <c r="F85517"/>
    </row>
    <row r="85518" spans="1:6" x14ac:dyDescent="0.25">
      <c r="A85518"/>
      <c r="B85518"/>
      <c r="C85518"/>
      <c r="E85518"/>
      <c r="F85518"/>
    </row>
    <row r="85519" spans="1:6" x14ac:dyDescent="0.25">
      <c r="A85519"/>
      <c r="B85519"/>
      <c r="C85519"/>
      <c r="E85519"/>
      <c r="F85519"/>
    </row>
    <row r="85520" spans="1:6" x14ac:dyDescent="0.25">
      <c r="A85520"/>
      <c r="B85520"/>
      <c r="C85520"/>
      <c r="E85520"/>
      <c r="F85520"/>
    </row>
    <row r="85521" spans="1:6" x14ac:dyDescent="0.25">
      <c r="A85521"/>
      <c r="B85521"/>
      <c r="C85521"/>
      <c r="E85521"/>
      <c r="F85521"/>
    </row>
    <row r="85522" spans="1:6" x14ac:dyDescent="0.25">
      <c r="A85522"/>
      <c r="B85522"/>
      <c r="C85522"/>
      <c r="E85522"/>
      <c r="F85522"/>
    </row>
    <row r="85523" spans="1:6" x14ac:dyDescent="0.25">
      <c r="A85523"/>
      <c r="B85523"/>
      <c r="C85523"/>
      <c r="E85523"/>
      <c r="F85523"/>
    </row>
    <row r="85524" spans="1:6" x14ac:dyDescent="0.25">
      <c r="A85524"/>
      <c r="B85524"/>
      <c r="C85524"/>
      <c r="E85524"/>
      <c r="F85524"/>
    </row>
    <row r="85525" spans="1:6" x14ac:dyDescent="0.25">
      <c r="A85525"/>
      <c r="B85525"/>
      <c r="C85525"/>
      <c r="E85525"/>
      <c r="F85525"/>
    </row>
    <row r="85526" spans="1:6" x14ac:dyDescent="0.25">
      <c r="A85526"/>
      <c r="B85526"/>
      <c r="C85526"/>
      <c r="E85526"/>
      <c r="F85526"/>
    </row>
    <row r="85527" spans="1:6" x14ac:dyDescent="0.25">
      <c r="A85527"/>
      <c r="B85527"/>
      <c r="C85527"/>
      <c r="E85527"/>
      <c r="F85527"/>
    </row>
    <row r="85528" spans="1:6" x14ac:dyDescent="0.25">
      <c r="A85528"/>
      <c r="B85528"/>
      <c r="C85528"/>
      <c r="E85528"/>
      <c r="F85528"/>
    </row>
    <row r="85529" spans="1:6" x14ac:dyDescent="0.25">
      <c r="A85529"/>
      <c r="B85529"/>
      <c r="C85529"/>
      <c r="E85529"/>
      <c r="F85529"/>
    </row>
    <row r="85530" spans="1:6" x14ac:dyDescent="0.25">
      <c r="A85530"/>
      <c r="B85530"/>
      <c r="C85530"/>
      <c r="E85530"/>
      <c r="F85530"/>
    </row>
    <row r="85531" spans="1:6" x14ac:dyDescent="0.25">
      <c r="A85531"/>
      <c r="B85531"/>
      <c r="C85531"/>
      <c r="E85531"/>
      <c r="F85531"/>
    </row>
    <row r="85532" spans="1:6" x14ac:dyDescent="0.25">
      <c r="A85532"/>
      <c r="B85532"/>
      <c r="C85532"/>
      <c r="E85532"/>
      <c r="F85532"/>
    </row>
    <row r="85533" spans="1:6" x14ac:dyDescent="0.25">
      <c r="A85533"/>
      <c r="B85533"/>
      <c r="C85533"/>
      <c r="E85533"/>
      <c r="F85533"/>
    </row>
    <row r="85534" spans="1:6" x14ac:dyDescent="0.25">
      <c r="A85534"/>
      <c r="B85534"/>
      <c r="C85534"/>
      <c r="E85534"/>
      <c r="F85534"/>
    </row>
    <row r="85535" spans="1:6" x14ac:dyDescent="0.25">
      <c r="A85535"/>
      <c r="B85535"/>
      <c r="C85535"/>
      <c r="E85535"/>
      <c r="F85535"/>
    </row>
    <row r="85536" spans="1:6" x14ac:dyDescent="0.25">
      <c r="A85536"/>
      <c r="B85536"/>
      <c r="C85536"/>
      <c r="E85536"/>
      <c r="F85536"/>
    </row>
    <row r="85537" spans="1:6" x14ac:dyDescent="0.25">
      <c r="A85537"/>
      <c r="B85537"/>
      <c r="C85537"/>
      <c r="E85537"/>
      <c r="F85537"/>
    </row>
    <row r="85538" spans="1:6" x14ac:dyDescent="0.25">
      <c r="A85538"/>
      <c r="B85538"/>
      <c r="C85538"/>
      <c r="E85538"/>
      <c r="F85538"/>
    </row>
    <row r="85539" spans="1:6" x14ac:dyDescent="0.25">
      <c r="A85539"/>
      <c r="B85539"/>
      <c r="C85539"/>
      <c r="E85539"/>
      <c r="F85539"/>
    </row>
    <row r="85540" spans="1:6" x14ac:dyDescent="0.25">
      <c r="A85540"/>
      <c r="B85540"/>
      <c r="C85540"/>
      <c r="E85540"/>
      <c r="F85540"/>
    </row>
    <row r="85541" spans="1:6" x14ac:dyDescent="0.25">
      <c r="A85541"/>
      <c r="B85541"/>
      <c r="C85541"/>
      <c r="E85541"/>
      <c r="F85541"/>
    </row>
    <row r="85542" spans="1:6" x14ac:dyDescent="0.25">
      <c r="A85542"/>
      <c r="B85542"/>
      <c r="C85542"/>
      <c r="E85542"/>
      <c r="F85542"/>
    </row>
    <row r="85543" spans="1:6" x14ac:dyDescent="0.25">
      <c r="A85543"/>
      <c r="B85543"/>
      <c r="C85543"/>
      <c r="E85543"/>
      <c r="F85543"/>
    </row>
    <row r="85544" spans="1:6" x14ac:dyDescent="0.25">
      <c r="A85544"/>
      <c r="B85544"/>
      <c r="C85544"/>
      <c r="E85544"/>
      <c r="F85544"/>
    </row>
    <row r="85545" spans="1:6" x14ac:dyDescent="0.25">
      <c r="A85545"/>
      <c r="B85545"/>
      <c r="C85545"/>
      <c r="E85545"/>
      <c r="F85545"/>
    </row>
    <row r="85546" spans="1:6" x14ac:dyDescent="0.25">
      <c r="A85546"/>
      <c r="B85546"/>
      <c r="C85546"/>
      <c r="E85546"/>
      <c r="F85546"/>
    </row>
    <row r="85547" spans="1:6" x14ac:dyDescent="0.25">
      <c r="A85547"/>
      <c r="B85547"/>
      <c r="C85547"/>
      <c r="E85547"/>
      <c r="F85547"/>
    </row>
    <row r="85548" spans="1:6" x14ac:dyDescent="0.25">
      <c r="A85548"/>
      <c r="B85548"/>
      <c r="C85548"/>
      <c r="E85548"/>
      <c r="F85548"/>
    </row>
    <row r="85549" spans="1:6" x14ac:dyDescent="0.25">
      <c r="A85549"/>
      <c r="B85549"/>
      <c r="C85549"/>
      <c r="E85549"/>
      <c r="F85549"/>
    </row>
    <row r="85550" spans="1:6" x14ac:dyDescent="0.25">
      <c r="A85550"/>
      <c r="B85550"/>
      <c r="C85550"/>
      <c r="E85550"/>
      <c r="F85550"/>
    </row>
    <row r="85551" spans="1:6" x14ac:dyDescent="0.25">
      <c r="A85551"/>
      <c r="B85551"/>
      <c r="C85551"/>
      <c r="E85551"/>
      <c r="F85551"/>
    </row>
    <row r="85552" spans="1:6" x14ac:dyDescent="0.25">
      <c r="A85552"/>
      <c r="B85552"/>
      <c r="C85552"/>
      <c r="E85552"/>
      <c r="F85552"/>
    </row>
    <row r="85553" spans="1:6" x14ac:dyDescent="0.25">
      <c r="A85553"/>
      <c r="B85553"/>
      <c r="C85553"/>
      <c r="E85553"/>
      <c r="F85553"/>
    </row>
    <row r="85554" spans="1:6" x14ac:dyDescent="0.25">
      <c r="A85554"/>
      <c r="B85554"/>
      <c r="C85554"/>
      <c r="E85554"/>
      <c r="F85554"/>
    </row>
    <row r="85555" spans="1:6" x14ac:dyDescent="0.25">
      <c r="A85555"/>
      <c r="B85555"/>
      <c r="C85555"/>
      <c r="E85555"/>
      <c r="F85555"/>
    </row>
    <row r="85556" spans="1:6" x14ac:dyDescent="0.25">
      <c r="A85556"/>
      <c r="B85556"/>
      <c r="C85556"/>
      <c r="E85556"/>
      <c r="F85556"/>
    </row>
    <row r="85557" spans="1:6" x14ac:dyDescent="0.25">
      <c r="A85557"/>
      <c r="B85557"/>
      <c r="C85557"/>
      <c r="E85557"/>
      <c r="F85557"/>
    </row>
    <row r="85558" spans="1:6" x14ac:dyDescent="0.25">
      <c r="A85558"/>
      <c r="B85558"/>
      <c r="C85558"/>
      <c r="E85558"/>
      <c r="F85558"/>
    </row>
    <row r="85559" spans="1:6" x14ac:dyDescent="0.25">
      <c r="A85559"/>
      <c r="B85559"/>
      <c r="C85559"/>
      <c r="E85559"/>
      <c r="F85559"/>
    </row>
    <row r="85560" spans="1:6" x14ac:dyDescent="0.25">
      <c r="A85560"/>
      <c r="B85560"/>
      <c r="C85560"/>
      <c r="E85560"/>
      <c r="F85560"/>
    </row>
    <row r="85561" spans="1:6" x14ac:dyDescent="0.25">
      <c r="A85561"/>
      <c r="B85561"/>
      <c r="C85561"/>
      <c r="E85561"/>
      <c r="F85561"/>
    </row>
    <row r="85562" spans="1:6" x14ac:dyDescent="0.25">
      <c r="A85562"/>
      <c r="B85562"/>
      <c r="C85562"/>
      <c r="E85562"/>
      <c r="F85562"/>
    </row>
    <row r="85563" spans="1:6" x14ac:dyDescent="0.25">
      <c r="A85563"/>
      <c r="B85563"/>
      <c r="C85563"/>
      <c r="E85563"/>
      <c r="F85563"/>
    </row>
    <row r="85564" spans="1:6" x14ac:dyDescent="0.25">
      <c r="A85564"/>
      <c r="B85564"/>
      <c r="C85564"/>
      <c r="E85564"/>
      <c r="F85564"/>
    </row>
    <row r="85565" spans="1:6" x14ac:dyDescent="0.25">
      <c r="A85565"/>
      <c r="B85565"/>
      <c r="C85565"/>
      <c r="E85565"/>
      <c r="F85565"/>
    </row>
    <row r="85566" spans="1:6" x14ac:dyDescent="0.25">
      <c r="A85566"/>
      <c r="B85566"/>
      <c r="C85566"/>
      <c r="E85566"/>
      <c r="F85566"/>
    </row>
    <row r="85567" spans="1:6" x14ac:dyDescent="0.25">
      <c r="A85567"/>
      <c r="B85567"/>
      <c r="C85567"/>
      <c r="E85567"/>
      <c r="F85567"/>
    </row>
    <row r="85568" spans="1:6" x14ac:dyDescent="0.25">
      <c r="A85568"/>
      <c r="B85568"/>
      <c r="C85568"/>
      <c r="E85568"/>
      <c r="F85568"/>
    </row>
    <row r="85569" spans="1:6" x14ac:dyDescent="0.25">
      <c r="A85569"/>
      <c r="B85569"/>
      <c r="C85569"/>
      <c r="E85569"/>
      <c r="F85569"/>
    </row>
    <row r="85570" spans="1:6" x14ac:dyDescent="0.25">
      <c r="A85570"/>
      <c r="B85570"/>
      <c r="C85570"/>
      <c r="E85570"/>
      <c r="F85570"/>
    </row>
    <row r="85571" spans="1:6" x14ac:dyDescent="0.25">
      <c r="A85571"/>
      <c r="B85571"/>
      <c r="C85571"/>
      <c r="E85571"/>
      <c r="F85571"/>
    </row>
    <row r="85572" spans="1:6" x14ac:dyDescent="0.25">
      <c r="A85572"/>
      <c r="B85572"/>
      <c r="C85572"/>
      <c r="E85572"/>
      <c r="F85572"/>
    </row>
    <row r="85573" spans="1:6" x14ac:dyDescent="0.25">
      <c r="A85573"/>
      <c r="B85573"/>
      <c r="C85573"/>
      <c r="E85573"/>
      <c r="F85573"/>
    </row>
    <row r="85574" spans="1:6" x14ac:dyDescent="0.25">
      <c r="A85574"/>
      <c r="B85574"/>
      <c r="C85574"/>
      <c r="E85574"/>
      <c r="F85574"/>
    </row>
    <row r="85575" spans="1:6" x14ac:dyDescent="0.25">
      <c r="A85575"/>
      <c r="B85575"/>
      <c r="C85575"/>
      <c r="E85575"/>
      <c r="F85575"/>
    </row>
    <row r="85576" spans="1:6" x14ac:dyDescent="0.25">
      <c r="A85576"/>
      <c r="B85576"/>
      <c r="C85576"/>
      <c r="E85576"/>
      <c r="F85576"/>
    </row>
    <row r="85577" spans="1:6" x14ac:dyDescent="0.25">
      <c r="A85577"/>
      <c r="B85577"/>
      <c r="C85577"/>
      <c r="E85577"/>
      <c r="F85577"/>
    </row>
    <row r="85578" spans="1:6" x14ac:dyDescent="0.25">
      <c r="A85578"/>
      <c r="B85578"/>
      <c r="C85578"/>
      <c r="E85578"/>
      <c r="F85578"/>
    </row>
    <row r="85579" spans="1:6" x14ac:dyDescent="0.25">
      <c r="A85579"/>
      <c r="B85579"/>
      <c r="C85579"/>
      <c r="E85579"/>
      <c r="F85579"/>
    </row>
    <row r="85580" spans="1:6" x14ac:dyDescent="0.25">
      <c r="A85580"/>
      <c r="B85580"/>
      <c r="C85580"/>
      <c r="E85580"/>
      <c r="F85580"/>
    </row>
    <row r="85581" spans="1:6" x14ac:dyDescent="0.25">
      <c r="A85581"/>
      <c r="B85581"/>
      <c r="C85581"/>
      <c r="E85581"/>
      <c r="F85581"/>
    </row>
    <row r="85582" spans="1:6" x14ac:dyDescent="0.25">
      <c r="A85582"/>
      <c r="B85582"/>
      <c r="C85582"/>
      <c r="E85582"/>
      <c r="F85582"/>
    </row>
    <row r="85583" spans="1:6" x14ac:dyDescent="0.25">
      <c r="A85583"/>
      <c r="B85583"/>
      <c r="C85583"/>
      <c r="E85583"/>
      <c r="F85583"/>
    </row>
    <row r="85584" spans="1:6" x14ac:dyDescent="0.25">
      <c r="A85584"/>
      <c r="B85584"/>
      <c r="C85584"/>
      <c r="E85584"/>
      <c r="F85584"/>
    </row>
    <row r="85585" spans="1:6" x14ac:dyDescent="0.25">
      <c r="A85585"/>
      <c r="B85585"/>
      <c r="C85585"/>
      <c r="E85585"/>
      <c r="F85585"/>
    </row>
    <row r="85586" spans="1:6" x14ac:dyDescent="0.25">
      <c r="A85586"/>
      <c r="B85586"/>
      <c r="C85586"/>
      <c r="E85586"/>
      <c r="F85586"/>
    </row>
    <row r="85587" spans="1:6" x14ac:dyDescent="0.25">
      <c r="A85587"/>
      <c r="B85587"/>
      <c r="C85587"/>
      <c r="E85587"/>
      <c r="F85587"/>
    </row>
    <row r="85588" spans="1:6" x14ac:dyDescent="0.25">
      <c r="A85588"/>
      <c r="B85588"/>
      <c r="C85588"/>
      <c r="E85588"/>
      <c r="F85588"/>
    </row>
    <row r="85589" spans="1:6" x14ac:dyDescent="0.25">
      <c r="A85589"/>
      <c r="B85589"/>
      <c r="C85589"/>
      <c r="E85589"/>
      <c r="F85589"/>
    </row>
    <row r="85590" spans="1:6" x14ac:dyDescent="0.25">
      <c r="A85590"/>
      <c r="B85590"/>
      <c r="C85590"/>
      <c r="E85590"/>
      <c r="F85590"/>
    </row>
    <row r="85591" spans="1:6" x14ac:dyDescent="0.25">
      <c r="A85591"/>
      <c r="B85591"/>
      <c r="C85591"/>
      <c r="E85591"/>
      <c r="F85591"/>
    </row>
    <row r="85592" spans="1:6" x14ac:dyDescent="0.25">
      <c r="A85592"/>
      <c r="B85592"/>
      <c r="C85592"/>
      <c r="E85592"/>
      <c r="F85592"/>
    </row>
    <row r="85593" spans="1:6" x14ac:dyDescent="0.25">
      <c r="A85593"/>
      <c r="B85593"/>
      <c r="C85593"/>
      <c r="E85593"/>
      <c r="F85593"/>
    </row>
    <row r="85594" spans="1:6" x14ac:dyDescent="0.25">
      <c r="A85594"/>
      <c r="B85594"/>
      <c r="C85594"/>
      <c r="E85594"/>
      <c r="F85594"/>
    </row>
    <row r="85595" spans="1:6" x14ac:dyDescent="0.25">
      <c r="A85595"/>
      <c r="B85595"/>
      <c r="C85595"/>
      <c r="E85595"/>
      <c r="F85595"/>
    </row>
    <row r="85596" spans="1:6" x14ac:dyDescent="0.25">
      <c r="A85596"/>
      <c r="B85596"/>
      <c r="C85596"/>
      <c r="E85596"/>
      <c r="F85596"/>
    </row>
    <row r="85597" spans="1:6" x14ac:dyDescent="0.25">
      <c r="A85597"/>
      <c r="B85597"/>
      <c r="C85597"/>
      <c r="E85597"/>
      <c r="F85597"/>
    </row>
    <row r="85598" spans="1:6" x14ac:dyDescent="0.25">
      <c r="A85598"/>
      <c r="B85598"/>
      <c r="C85598"/>
      <c r="E85598"/>
      <c r="F85598"/>
    </row>
    <row r="85599" spans="1:6" x14ac:dyDescent="0.25">
      <c r="A85599"/>
      <c r="B85599"/>
      <c r="C85599"/>
      <c r="E85599"/>
      <c r="F85599"/>
    </row>
    <row r="85600" spans="1:6" x14ac:dyDescent="0.25">
      <c r="A85600"/>
      <c r="B85600"/>
      <c r="C85600"/>
      <c r="E85600"/>
      <c r="F85600"/>
    </row>
    <row r="85601" spans="1:6" x14ac:dyDescent="0.25">
      <c r="A85601"/>
      <c r="B85601"/>
      <c r="C85601"/>
      <c r="E85601"/>
      <c r="F85601"/>
    </row>
    <row r="85602" spans="1:6" x14ac:dyDescent="0.25">
      <c r="A85602"/>
      <c r="B85602"/>
      <c r="C85602"/>
      <c r="E85602"/>
      <c r="F85602"/>
    </row>
    <row r="85603" spans="1:6" x14ac:dyDescent="0.25">
      <c r="A85603"/>
      <c r="B85603"/>
      <c r="C85603"/>
      <c r="E85603"/>
      <c r="F85603"/>
    </row>
    <row r="85604" spans="1:6" x14ac:dyDescent="0.25">
      <c r="A85604"/>
      <c r="B85604"/>
      <c r="C85604"/>
      <c r="E85604"/>
      <c r="F85604"/>
    </row>
    <row r="85605" spans="1:6" x14ac:dyDescent="0.25">
      <c r="A85605"/>
      <c r="B85605"/>
      <c r="C85605"/>
      <c r="E85605"/>
      <c r="F85605"/>
    </row>
    <row r="85606" spans="1:6" x14ac:dyDescent="0.25">
      <c r="A85606"/>
      <c r="B85606"/>
      <c r="C85606"/>
      <c r="E85606"/>
      <c r="F85606"/>
    </row>
    <row r="85607" spans="1:6" x14ac:dyDescent="0.25">
      <c r="A85607"/>
      <c r="B85607"/>
      <c r="C85607"/>
      <c r="E85607"/>
      <c r="F85607"/>
    </row>
    <row r="85608" spans="1:6" x14ac:dyDescent="0.25">
      <c r="A85608"/>
      <c r="B85608"/>
      <c r="C85608"/>
      <c r="E85608"/>
      <c r="F85608"/>
    </row>
    <row r="85609" spans="1:6" x14ac:dyDescent="0.25">
      <c r="A85609"/>
      <c r="B85609"/>
      <c r="C85609"/>
      <c r="E85609"/>
      <c r="F85609"/>
    </row>
    <row r="85610" spans="1:6" x14ac:dyDescent="0.25">
      <c r="A85610"/>
      <c r="B85610"/>
      <c r="C85610"/>
      <c r="E85610"/>
      <c r="F85610"/>
    </row>
    <row r="85611" spans="1:6" x14ac:dyDescent="0.25">
      <c r="A85611"/>
      <c r="B85611"/>
      <c r="C85611"/>
      <c r="E85611"/>
      <c r="F85611"/>
    </row>
    <row r="85612" spans="1:6" x14ac:dyDescent="0.25">
      <c r="A85612"/>
      <c r="B85612"/>
      <c r="C85612"/>
      <c r="E85612"/>
      <c r="F85612"/>
    </row>
    <row r="85613" spans="1:6" x14ac:dyDescent="0.25">
      <c r="A85613"/>
      <c r="B85613"/>
      <c r="C85613"/>
      <c r="E85613"/>
      <c r="F85613"/>
    </row>
    <row r="85614" spans="1:6" x14ac:dyDescent="0.25">
      <c r="A85614"/>
      <c r="B85614"/>
      <c r="C85614"/>
      <c r="E85614"/>
      <c r="F85614"/>
    </row>
    <row r="85615" spans="1:6" x14ac:dyDescent="0.25">
      <c r="A85615"/>
      <c r="B85615"/>
      <c r="C85615"/>
      <c r="E85615"/>
      <c r="F85615"/>
    </row>
    <row r="85616" spans="1:6" x14ac:dyDescent="0.25">
      <c r="A85616"/>
      <c r="B85616"/>
      <c r="C85616"/>
      <c r="E85616"/>
      <c r="F85616"/>
    </row>
    <row r="85617" spans="1:6" x14ac:dyDescent="0.25">
      <c r="A85617"/>
      <c r="B85617"/>
      <c r="C85617"/>
      <c r="E85617"/>
      <c r="F85617"/>
    </row>
    <row r="85618" spans="1:6" x14ac:dyDescent="0.25">
      <c r="A85618"/>
      <c r="B85618"/>
      <c r="C85618"/>
      <c r="E85618"/>
      <c r="F85618"/>
    </row>
    <row r="85619" spans="1:6" x14ac:dyDescent="0.25">
      <c r="A85619"/>
      <c r="B85619"/>
      <c r="C85619"/>
      <c r="E85619"/>
      <c r="F85619"/>
    </row>
    <row r="85620" spans="1:6" x14ac:dyDescent="0.25">
      <c r="A85620"/>
      <c r="B85620"/>
      <c r="C85620"/>
      <c r="E85620"/>
      <c r="F85620"/>
    </row>
    <row r="85621" spans="1:6" x14ac:dyDescent="0.25">
      <c r="A85621"/>
      <c r="B85621"/>
      <c r="C85621"/>
      <c r="E85621"/>
      <c r="F85621"/>
    </row>
    <row r="85622" spans="1:6" x14ac:dyDescent="0.25">
      <c r="A85622"/>
      <c r="B85622"/>
      <c r="C85622"/>
      <c r="E85622"/>
      <c r="F85622"/>
    </row>
    <row r="85623" spans="1:6" x14ac:dyDescent="0.25">
      <c r="A85623"/>
      <c r="B85623"/>
      <c r="C85623"/>
      <c r="E85623"/>
      <c r="F85623"/>
    </row>
    <row r="85624" spans="1:6" x14ac:dyDescent="0.25">
      <c r="A85624"/>
      <c r="B85624"/>
      <c r="C85624"/>
      <c r="E85624"/>
      <c r="F85624"/>
    </row>
    <row r="85625" spans="1:6" x14ac:dyDescent="0.25">
      <c r="A85625"/>
      <c r="B85625"/>
      <c r="C85625"/>
      <c r="E85625"/>
      <c r="F85625"/>
    </row>
    <row r="85626" spans="1:6" x14ac:dyDescent="0.25">
      <c r="A85626"/>
      <c r="B85626"/>
      <c r="C85626"/>
      <c r="E85626"/>
      <c r="F85626"/>
    </row>
    <row r="85627" spans="1:6" x14ac:dyDescent="0.25">
      <c r="A85627"/>
      <c r="B85627"/>
      <c r="C85627"/>
      <c r="E85627"/>
      <c r="F85627"/>
    </row>
    <row r="85628" spans="1:6" x14ac:dyDescent="0.25">
      <c r="A85628"/>
      <c r="B85628"/>
      <c r="C85628"/>
      <c r="E85628"/>
      <c r="F85628"/>
    </row>
    <row r="85629" spans="1:6" x14ac:dyDescent="0.25">
      <c r="A85629"/>
      <c r="B85629"/>
      <c r="C85629"/>
      <c r="E85629"/>
      <c r="F85629"/>
    </row>
    <row r="85630" spans="1:6" x14ac:dyDescent="0.25">
      <c r="A85630"/>
      <c r="B85630"/>
      <c r="C85630"/>
      <c r="E85630"/>
      <c r="F85630"/>
    </row>
    <row r="85631" spans="1:6" x14ac:dyDescent="0.25">
      <c r="A85631"/>
      <c r="B85631"/>
      <c r="C85631"/>
      <c r="E85631"/>
      <c r="F85631"/>
    </row>
    <row r="85632" spans="1:6" x14ac:dyDescent="0.25">
      <c r="A85632"/>
      <c r="B85632"/>
      <c r="C85632"/>
      <c r="E85632"/>
      <c r="F85632"/>
    </row>
    <row r="85633" spans="1:6" x14ac:dyDescent="0.25">
      <c r="A85633"/>
      <c r="B85633"/>
      <c r="C85633"/>
      <c r="E85633"/>
      <c r="F85633"/>
    </row>
    <row r="85634" spans="1:6" x14ac:dyDescent="0.25">
      <c r="A85634"/>
      <c r="B85634"/>
      <c r="C85634"/>
      <c r="E85634"/>
      <c r="F85634"/>
    </row>
    <row r="85635" spans="1:6" x14ac:dyDescent="0.25">
      <c r="A85635"/>
      <c r="B85635"/>
      <c r="C85635"/>
      <c r="E85635"/>
      <c r="F85635"/>
    </row>
    <row r="85636" spans="1:6" x14ac:dyDescent="0.25">
      <c r="A85636"/>
      <c r="B85636"/>
      <c r="C85636"/>
      <c r="E85636"/>
      <c r="F85636"/>
    </row>
    <row r="85637" spans="1:6" x14ac:dyDescent="0.25">
      <c r="A85637"/>
      <c r="B85637"/>
      <c r="C85637"/>
      <c r="E85637"/>
      <c r="F85637"/>
    </row>
    <row r="85638" spans="1:6" x14ac:dyDescent="0.25">
      <c r="A85638"/>
      <c r="B85638"/>
      <c r="C85638"/>
      <c r="E85638"/>
      <c r="F85638"/>
    </row>
    <row r="85639" spans="1:6" x14ac:dyDescent="0.25">
      <c r="A85639"/>
      <c r="B85639"/>
      <c r="C85639"/>
      <c r="E85639"/>
      <c r="F85639"/>
    </row>
    <row r="85640" spans="1:6" x14ac:dyDescent="0.25">
      <c r="A85640"/>
      <c r="B85640"/>
      <c r="C85640"/>
      <c r="E85640"/>
      <c r="F85640"/>
    </row>
    <row r="85641" spans="1:6" x14ac:dyDescent="0.25">
      <c r="A85641"/>
      <c r="B85641"/>
      <c r="C85641"/>
      <c r="E85641"/>
      <c r="F85641"/>
    </row>
    <row r="85642" spans="1:6" x14ac:dyDescent="0.25">
      <c r="A85642"/>
      <c r="B85642"/>
      <c r="C85642"/>
      <c r="E85642"/>
      <c r="F85642"/>
    </row>
    <row r="85643" spans="1:6" x14ac:dyDescent="0.25">
      <c r="A85643"/>
      <c r="B85643"/>
      <c r="C85643"/>
      <c r="E85643"/>
      <c r="F85643"/>
    </row>
    <row r="85644" spans="1:6" x14ac:dyDescent="0.25">
      <c r="A85644"/>
      <c r="B85644"/>
      <c r="C85644"/>
      <c r="E85644"/>
      <c r="F85644"/>
    </row>
    <row r="85645" spans="1:6" x14ac:dyDescent="0.25">
      <c r="A85645"/>
      <c r="B85645"/>
      <c r="C85645"/>
      <c r="E85645"/>
      <c r="F85645"/>
    </row>
    <row r="85646" spans="1:6" x14ac:dyDescent="0.25">
      <c r="A85646"/>
      <c r="B85646"/>
      <c r="C85646"/>
      <c r="E85646"/>
      <c r="F85646"/>
    </row>
    <row r="85647" spans="1:6" x14ac:dyDescent="0.25">
      <c r="A85647"/>
      <c r="B85647"/>
      <c r="C85647"/>
      <c r="E85647"/>
      <c r="F85647"/>
    </row>
    <row r="85648" spans="1:6" x14ac:dyDescent="0.25">
      <c r="A85648"/>
      <c r="B85648"/>
      <c r="C85648"/>
      <c r="E85648"/>
      <c r="F85648"/>
    </row>
    <row r="85649" spans="1:6" x14ac:dyDescent="0.25">
      <c r="A85649"/>
      <c r="B85649"/>
      <c r="C85649"/>
      <c r="E85649"/>
      <c r="F85649"/>
    </row>
    <row r="85650" spans="1:6" x14ac:dyDescent="0.25">
      <c r="A85650"/>
      <c r="B85650"/>
      <c r="C85650"/>
      <c r="E85650"/>
      <c r="F85650"/>
    </row>
    <row r="85651" spans="1:6" x14ac:dyDescent="0.25">
      <c r="A85651"/>
      <c r="B85651"/>
      <c r="C85651"/>
      <c r="E85651"/>
      <c r="F85651"/>
    </row>
    <row r="85652" spans="1:6" x14ac:dyDescent="0.25">
      <c r="A85652"/>
      <c r="B85652"/>
      <c r="C85652"/>
      <c r="E85652"/>
      <c r="F85652"/>
    </row>
    <row r="85653" spans="1:6" x14ac:dyDescent="0.25">
      <c r="A85653"/>
      <c r="B85653"/>
      <c r="C85653"/>
      <c r="E85653"/>
      <c r="F85653"/>
    </row>
    <row r="85654" spans="1:6" x14ac:dyDescent="0.25">
      <c r="A85654"/>
      <c r="B85654"/>
      <c r="C85654"/>
      <c r="E85654"/>
      <c r="F85654"/>
    </row>
    <row r="85655" spans="1:6" x14ac:dyDescent="0.25">
      <c r="A85655"/>
      <c r="B85655"/>
      <c r="C85655"/>
      <c r="E85655"/>
      <c r="F85655"/>
    </row>
    <row r="85656" spans="1:6" x14ac:dyDescent="0.25">
      <c r="A85656"/>
      <c r="B85656"/>
      <c r="C85656"/>
      <c r="E85656"/>
      <c r="F85656"/>
    </row>
    <row r="85657" spans="1:6" x14ac:dyDescent="0.25">
      <c r="A85657"/>
      <c r="B85657"/>
      <c r="C85657"/>
      <c r="E85657"/>
      <c r="F85657"/>
    </row>
    <row r="85658" spans="1:6" x14ac:dyDescent="0.25">
      <c r="A85658"/>
      <c r="B85658"/>
      <c r="C85658"/>
      <c r="E85658"/>
      <c r="F85658"/>
    </row>
    <row r="85659" spans="1:6" x14ac:dyDescent="0.25">
      <c r="A85659"/>
      <c r="B85659"/>
      <c r="C85659"/>
      <c r="E85659"/>
      <c r="F85659"/>
    </row>
    <row r="85660" spans="1:6" x14ac:dyDescent="0.25">
      <c r="A85660"/>
      <c r="B85660"/>
      <c r="C85660"/>
      <c r="E85660"/>
      <c r="F85660"/>
    </row>
    <row r="85661" spans="1:6" x14ac:dyDescent="0.25">
      <c r="A85661"/>
      <c r="B85661"/>
      <c r="C85661"/>
      <c r="E85661"/>
      <c r="F85661"/>
    </row>
    <row r="85662" spans="1:6" x14ac:dyDescent="0.25">
      <c r="A85662"/>
      <c r="B85662"/>
      <c r="C85662"/>
      <c r="E85662"/>
      <c r="F85662"/>
    </row>
    <row r="85663" spans="1:6" x14ac:dyDescent="0.25">
      <c r="A85663"/>
      <c r="B85663"/>
      <c r="C85663"/>
      <c r="E85663"/>
      <c r="F85663"/>
    </row>
    <row r="85664" spans="1:6" x14ac:dyDescent="0.25">
      <c r="A85664"/>
      <c r="B85664"/>
      <c r="C85664"/>
      <c r="E85664"/>
      <c r="F85664"/>
    </row>
    <row r="85665" spans="1:6" x14ac:dyDescent="0.25">
      <c r="A85665"/>
      <c r="B85665"/>
      <c r="C85665"/>
      <c r="E85665"/>
      <c r="F85665"/>
    </row>
    <row r="85666" spans="1:6" x14ac:dyDescent="0.25">
      <c r="A85666"/>
      <c r="B85666"/>
      <c r="C85666"/>
      <c r="E85666"/>
      <c r="F85666"/>
    </row>
    <row r="85667" spans="1:6" x14ac:dyDescent="0.25">
      <c r="A85667"/>
      <c r="B85667"/>
      <c r="C85667"/>
      <c r="E85667"/>
      <c r="F85667"/>
    </row>
    <row r="85668" spans="1:6" x14ac:dyDescent="0.25">
      <c r="A85668"/>
      <c r="B85668"/>
      <c r="C85668"/>
      <c r="E85668"/>
      <c r="F85668"/>
    </row>
    <row r="85669" spans="1:6" x14ac:dyDescent="0.25">
      <c r="A85669"/>
      <c r="B85669"/>
      <c r="C85669"/>
      <c r="E85669"/>
      <c r="F85669"/>
    </row>
    <row r="85670" spans="1:6" x14ac:dyDescent="0.25">
      <c r="A85670"/>
      <c r="B85670"/>
      <c r="C85670"/>
      <c r="E85670"/>
      <c r="F85670"/>
    </row>
    <row r="85671" spans="1:6" x14ac:dyDescent="0.25">
      <c r="A85671"/>
      <c r="B85671"/>
      <c r="C85671"/>
      <c r="E85671"/>
      <c r="F85671"/>
    </row>
    <row r="85672" spans="1:6" x14ac:dyDescent="0.25">
      <c r="A85672"/>
      <c r="B85672"/>
      <c r="C85672"/>
      <c r="E85672"/>
      <c r="F85672"/>
    </row>
    <row r="85673" spans="1:6" x14ac:dyDescent="0.25">
      <c r="A85673"/>
      <c r="B85673"/>
      <c r="C85673"/>
      <c r="E85673"/>
      <c r="F85673"/>
    </row>
    <row r="85674" spans="1:6" x14ac:dyDescent="0.25">
      <c r="A85674"/>
      <c r="B85674"/>
      <c r="C85674"/>
      <c r="E85674"/>
      <c r="F85674"/>
    </row>
    <row r="85675" spans="1:6" x14ac:dyDescent="0.25">
      <c r="A85675"/>
      <c r="B85675"/>
      <c r="C85675"/>
      <c r="E85675"/>
      <c r="F85675"/>
    </row>
    <row r="85676" spans="1:6" x14ac:dyDescent="0.25">
      <c r="A85676"/>
      <c r="B85676"/>
      <c r="C85676"/>
      <c r="E85676"/>
      <c r="F85676"/>
    </row>
    <row r="85677" spans="1:6" x14ac:dyDescent="0.25">
      <c r="A85677"/>
      <c r="B85677"/>
      <c r="C85677"/>
      <c r="E85677"/>
      <c r="F85677"/>
    </row>
    <row r="85678" spans="1:6" x14ac:dyDescent="0.25">
      <c r="A85678"/>
      <c r="B85678"/>
      <c r="C85678"/>
      <c r="E85678"/>
      <c r="F85678"/>
    </row>
    <row r="85679" spans="1:6" x14ac:dyDescent="0.25">
      <c r="A85679"/>
      <c r="B85679"/>
      <c r="C85679"/>
      <c r="E85679"/>
      <c r="F85679"/>
    </row>
    <row r="85680" spans="1:6" x14ac:dyDescent="0.25">
      <c r="A85680"/>
      <c r="B85680"/>
      <c r="C85680"/>
      <c r="E85680"/>
      <c r="F85680"/>
    </row>
    <row r="85681" spans="1:6" x14ac:dyDescent="0.25">
      <c r="A85681"/>
      <c r="B85681"/>
      <c r="C85681"/>
      <c r="E85681"/>
      <c r="F85681"/>
    </row>
    <row r="85682" spans="1:6" x14ac:dyDescent="0.25">
      <c r="A85682"/>
      <c r="B85682"/>
      <c r="C85682"/>
      <c r="E85682"/>
      <c r="F85682"/>
    </row>
    <row r="85683" spans="1:6" x14ac:dyDescent="0.25">
      <c r="A85683"/>
      <c r="B85683"/>
      <c r="C85683"/>
      <c r="E85683"/>
      <c r="F85683"/>
    </row>
    <row r="85684" spans="1:6" x14ac:dyDescent="0.25">
      <c r="A85684"/>
      <c r="B85684"/>
      <c r="C85684"/>
      <c r="E85684"/>
      <c r="F85684"/>
    </row>
    <row r="85685" spans="1:6" x14ac:dyDescent="0.25">
      <c r="A85685"/>
      <c r="B85685"/>
      <c r="C85685"/>
      <c r="E85685"/>
      <c r="F85685"/>
    </row>
    <row r="85686" spans="1:6" x14ac:dyDescent="0.25">
      <c r="A85686"/>
      <c r="B85686"/>
      <c r="C85686"/>
      <c r="E85686"/>
      <c r="F85686"/>
    </row>
    <row r="85687" spans="1:6" x14ac:dyDescent="0.25">
      <c r="A85687"/>
      <c r="B85687"/>
      <c r="C85687"/>
      <c r="E85687"/>
      <c r="F85687"/>
    </row>
    <row r="85688" spans="1:6" x14ac:dyDescent="0.25">
      <c r="A85688"/>
      <c r="B85688"/>
      <c r="C85688"/>
      <c r="E85688"/>
      <c r="F85688"/>
    </row>
    <row r="85689" spans="1:6" x14ac:dyDescent="0.25">
      <c r="A85689"/>
      <c r="B85689"/>
      <c r="C85689"/>
      <c r="E85689"/>
      <c r="F85689"/>
    </row>
    <row r="85690" spans="1:6" x14ac:dyDescent="0.25">
      <c r="A85690"/>
      <c r="B85690"/>
      <c r="C85690"/>
      <c r="E85690"/>
      <c r="F85690"/>
    </row>
    <row r="85691" spans="1:6" x14ac:dyDescent="0.25">
      <c r="A85691"/>
      <c r="B85691"/>
      <c r="C85691"/>
      <c r="E85691"/>
      <c r="F85691"/>
    </row>
    <row r="85692" spans="1:6" x14ac:dyDescent="0.25">
      <c r="A85692"/>
      <c r="B85692"/>
      <c r="C85692"/>
      <c r="E85692"/>
      <c r="F85692"/>
    </row>
    <row r="85693" spans="1:6" x14ac:dyDescent="0.25">
      <c r="A85693"/>
      <c r="B85693"/>
      <c r="C85693"/>
      <c r="E85693"/>
      <c r="F85693"/>
    </row>
    <row r="85694" spans="1:6" x14ac:dyDescent="0.25">
      <c r="A85694"/>
      <c r="B85694"/>
      <c r="C85694"/>
      <c r="E85694"/>
      <c r="F85694"/>
    </row>
    <row r="85695" spans="1:6" x14ac:dyDescent="0.25">
      <c r="A85695"/>
      <c r="B85695"/>
      <c r="C85695"/>
      <c r="E85695"/>
      <c r="F85695"/>
    </row>
    <row r="85696" spans="1:6" x14ac:dyDescent="0.25">
      <c r="A85696"/>
      <c r="B85696"/>
      <c r="C85696"/>
      <c r="E85696"/>
      <c r="F85696"/>
    </row>
    <row r="85697" spans="1:6" x14ac:dyDescent="0.25">
      <c r="A85697"/>
      <c r="B85697"/>
      <c r="C85697"/>
      <c r="E85697"/>
      <c r="F85697"/>
    </row>
    <row r="85698" spans="1:6" x14ac:dyDescent="0.25">
      <c r="A85698"/>
      <c r="B85698"/>
      <c r="C85698"/>
      <c r="E85698"/>
      <c r="F85698"/>
    </row>
    <row r="85699" spans="1:6" x14ac:dyDescent="0.25">
      <c r="A85699"/>
      <c r="B85699"/>
      <c r="C85699"/>
      <c r="E85699"/>
      <c r="F85699"/>
    </row>
    <row r="85700" spans="1:6" x14ac:dyDescent="0.25">
      <c r="A85700"/>
      <c r="B85700"/>
      <c r="C85700"/>
      <c r="E85700"/>
      <c r="F85700"/>
    </row>
    <row r="85701" spans="1:6" x14ac:dyDescent="0.25">
      <c r="A85701"/>
      <c r="B85701"/>
      <c r="C85701"/>
      <c r="E85701"/>
      <c r="F85701"/>
    </row>
    <row r="85702" spans="1:6" x14ac:dyDescent="0.25">
      <c r="A85702"/>
      <c r="B85702"/>
      <c r="C85702"/>
      <c r="E85702"/>
      <c r="F85702"/>
    </row>
    <row r="85703" spans="1:6" x14ac:dyDescent="0.25">
      <c r="A85703"/>
      <c r="B85703"/>
      <c r="C85703"/>
      <c r="E85703"/>
      <c r="F85703"/>
    </row>
    <row r="85704" spans="1:6" x14ac:dyDescent="0.25">
      <c r="A85704"/>
      <c r="B85704"/>
      <c r="C85704"/>
      <c r="E85704"/>
      <c r="F85704"/>
    </row>
    <row r="85705" spans="1:6" x14ac:dyDescent="0.25">
      <c r="A85705"/>
      <c r="B85705"/>
      <c r="C85705"/>
      <c r="E85705"/>
      <c r="F85705"/>
    </row>
    <row r="85706" spans="1:6" x14ac:dyDescent="0.25">
      <c r="A85706"/>
      <c r="B85706"/>
      <c r="C85706"/>
      <c r="E85706"/>
      <c r="F85706"/>
    </row>
    <row r="85707" spans="1:6" x14ac:dyDescent="0.25">
      <c r="A85707"/>
      <c r="B85707"/>
      <c r="C85707"/>
      <c r="E85707"/>
      <c r="F85707"/>
    </row>
    <row r="85708" spans="1:6" x14ac:dyDescent="0.25">
      <c r="A85708"/>
      <c r="B85708"/>
      <c r="C85708"/>
      <c r="E85708"/>
      <c r="F85708"/>
    </row>
    <row r="85709" spans="1:6" x14ac:dyDescent="0.25">
      <c r="A85709"/>
      <c r="B85709"/>
      <c r="C85709"/>
      <c r="E85709"/>
      <c r="F85709"/>
    </row>
    <row r="85710" spans="1:6" x14ac:dyDescent="0.25">
      <c r="A85710"/>
      <c r="B85710"/>
      <c r="C85710"/>
      <c r="E85710"/>
      <c r="F85710"/>
    </row>
    <row r="85711" spans="1:6" x14ac:dyDescent="0.25">
      <c r="A85711"/>
      <c r="B85711"/>
      <c r="C85711"/>
      <c r="E85711"/>
      <c r="F85711"/>
    </row>
    <row r="85712" spans="1:6" x14ac:dyDescent="0.25">
      <c r="A85712"/>
      <c r="B85712"/>
      <c r="C85712"/>
      <c r="E85712"/>
      <c r="F85712"/>
    </row>
    <row r="85713" spans="1:6" x14ac:dyDescent="0.25">
      <c r="A85713"/>
      <c r="B85713"/>
      <c r="C85713"/>
      <c r="E85713"/>
      <c r="F85713"/>
    </row>
    <row r="85714" spans="1:6" x14ac:dyDescent="0.25">
      <c r="A85714"/>
      <c r="B85714"/>
      <c r="C85714"/>
      <c r="E85714"/>
      <c r="F85714"/>
    </row>
    <row r="85715" spans="1:6" x14ac:dyDescent="0.25">
      <c r="A85715"/>
      <c r="B85715"/>
      <c r="C85715"/>
      <c r="E85715"/>
      <c r="F85715"/>
    </row>
    <row r="85716" spans="1:6" x14ac:dyDescent="0.25">
      <c r="A85716"/>
      <c r="B85716"/>
      <c r="C85716"/>
      <c r="E85716"/>
      <c r="F85716"/>
    </row>
    <row r="85717" spans="1:6" x14ac:dyDescent="0.25">
      <c r="A85717"/>
      <c r="B85717"/>
      <c r="C85717"/>
      <c r="E85717"/>
      <c r="F85717"/>
    </row>
    <row r="85718" spans="1:6" x14ac:dyDescent="0.25">
      <c r="A85718"/>
      <c r="B85718"/>
      <c r="C85718"/>
      <c r="E85718"/>
      <c r="F85718"/>
    </row>
    <row r="85719" spans="1:6" x14ac:dyDescent="0.25">
      <c r="A85719"/>
      <c r="B85719"/>
      <c r="C85719"/>
      <c r="E85719"/>
      <c r="F85719"/>
    </row>
    <row r="85720" spans="1:6" x14ac:dyDescent="0.25">
      <c r="A85720"/>
      <c r="B85720"/>
      <c r="C85720"/>
      <c r="E85720"/>
      <c r="F85720"/>
    </row>
    <row r="85721" spans="1:6" x14ac:dyDescent="0.25">
      <c r="A85721"/>
      <c r="B85721"/>
      <c r="C85721"/>
      <c r="E85721"/>
      <c r="F85721"/>
    </row>
    <row r="85722" spans="1:6" x14ac:dyDescent="0.25">
      <c r="A85722"/>
      <c r="B85722"/>
      <c r="C85722"/>
      <c r="E85722"/>
      <c r="F85722"/>
    </row>
    <row r="85723" spans="1:6" x14ac:dyDescent="0.25">
      <c r="A85723"/>
      <c r="B85723"/>
      <c r="C85723"/>
      <c r="E85723"/>
      <c r="F85723"/>
    </row>
    <row r="85724" spans="1:6" x14ac:dyDescent="0.25">
      <c r="A85724"/>
      <c r="B85724"/>
      <c r="C85724"/>
      <c r="E85724"/>
      <c r="F85724"/>
    </row>
    <row r="85725" spans="1:6" x14ac:dyDescent="0.25">
      <c r="A85725"/>
      <c r="B85725"/>
      <c r="C85725"/>
      <c r="E85725"/>
      <c r="F85725"/>
    </row>
    <row r="85726" spans="1:6" x14ac:dyDescent="0.25">
      <c r="A85726"/>
      <c r="B85726"/>
      <c r="C85726"/>
      <c r="E85726"/>
      <c r="F85726"/>
    </row>
    <row r="85727" spans="1:6" x14ac:dyDescent="0.25">
      <c r="A85727"/>
      <c r="B85727"/>
      <c r="C85727"/>
      <c r="E85727"/>
      <c r="F85727"/>
    </row>
    <row r="85728" spans="1:6" x14ac:dyDescent="0.25">
      <c r="A85728"/>
      <c r="B85728"/>
      <c r="C85728"/>
      <c r="E85728"/>
      <c r="F85728"/>
    </row>
    <row r="85729" spans="1:6" x14ac:dyDescent="0.25">
      <c r="A85729"/>
      <c r="B85729"/>
      <c r="C85729"/>
      <c r="E85729"/>
      <c r="F85729"/>
    </row>
    <row r="85730" spans="1:6" x14ac:dyDescent="0.25">
      <c r="A85730"/>
      <c r="B85730"/>
      <c r="C85730"/>
      <c r="E85730"/>
      <c r="F85730"/>
    </row>
    <row r="85731" spans="1:6" x14ac:dyDescent="0.25">
      <c r="A85731"/>
      <c r="B85731"/>
      <c r="C85731"/>
      <c r="E85731"/>
      <c r="F85731"/>
    </row>
    <row r="85732" spans="1:6" x14ac:dyDescent="0.25">
      <c r="A85732"/>
      <c r="B85732"/>
      <c r="C85732"/>
      <c r="E85732"/>
      <c r="F85732"/>
    </row>
    <row r="85733" spans="1:6" x14ac:dyDescent="0.25">
      <c r="A85733"/>
      <c r="B85733"/>
      <c r="C85733"/>
      <c r="E85733"/>
      <c r="F85733"/>
    </row>
    <row r="85734" spans="1:6" x14ac:dyDescent="0.25">
      <c r="A85734"/>
      <c r="B85734"/>
      <c r="C85734"/>
      <c r="E85734"/>
      <c r="F85734"/>
    </row>
    <row r="85735" spans="1:6" x14ac:dyDescent="0.25">
      <c r="A85735"/>
      <c r="B85735"/>
      <c r="C85735"/>
      <c r="E85735"/>
      <c r="F85735"/>
    </row>
    <row r="85736" spans="1:6" x14ac:dyDescent="0.25">
      <c r="A85736"/>
      <c r="B85736"/>
      <c r="C85736"/>
      <c r="E85736"/>
      <c r="F85736"/>
    </row>
    <row r="85737" spans="1:6" x14ac:dyDescent="0.25">
      <c r="A85737"/>
      <c r="B85737"/>
      <c r="C85737"/>
      <c r="E85737"/>
      <c r="F85737"/>
    </row>
    <row r="85738" spans="1:6" x14ac:dyDescent="0.25">
      <c r="A85738"/>
      <c r="B85738"/>
      <c r="C85738"/>
      <c r="E85738"/>
      <c r="F85738"/>
    </row>
    <row r="85739" spans="1:6" x14ac:dyDescent="0.25">
      <c r="A85739"/>
      <c r="B85739"/>
      <c r="C85739"/>
      <c r="E85739"/>
      <c r="F85739"/>
    </row>
    <row r="85740" spans="1:6" x14ac:dyDescent="0.25">
      <c r="A85740"/>
      <c r="B85740"/>
      <c r="C85740"/>
      <c r="E85740"/>
      <c r="F85740"/>
    </row>
    <row r="85741" spans="1:6" x14ac:dyDescent="0.25">
      <c r="A85741"/>
      <c r="B85741"/>
      <c r="C85741"/>
      <c r="E85741"/>
      <c r="F85741"/>
    </row>
    <row r="85742" spans="1:6" x14ac:dyDescent="0.25">
      <c r="A85742"/>
      <c r="B85742"/>
      <c r="C85742"/>
      <c r="E85742"/>
      <c r="F85742"/>
    </row>
    <row r="85743" spans="1:6" x14ac:dyDescent="0.25">
      <c r="A85743"/>
      <c r="B85743"/>
      <c r="C85743"/>
      <c r="E85743"/>
      <c r="F85743"/>
    </row>
    <row r="85744" spans="1:6" x14ac:dyDescent="0.25">
      <c r="A85744"/>
      <c r="B85744"/>
      <c r="C85744"/>
      <c r="E85744"/>
      <c r="F85744"/>
    </row>
    <row r="85745" spans="1:6" x14ac:dyDescent="0.25">
      <c r="A85745"/>
      <c r="B85745"/>
      <c r="C85745"/>
      <c r="E85745"/>
      <c r="F85745"/>
    </row>
    <row r="85746" spans="1:6" x14ac:dyDescent="0.25">
      <c r="A85746"/>
      <c r="B85746"/>
      <c r="C85746"/>
      <c r="E85746"/>
      <c r="F85746"/>
    </row>
    <row r="85747" spans="1:6" x14ac:dyDescent="0.25">
      <c r="A85747"/>
      <c r="B85747"/>
      <c r="C85747"/>
      <c r="E85747"/>
      <c r="F85747"/>
    </row>
    <row r="85748" spans="1:6" x14ac:dyDescent="0.25">
      <c r="A85748"/>
      <c r="B85748"/>
      <c r="C85748"/>
      <c r="E85748"/>
      <c r="F85748"/>
    </row>
    <row r="85749" spans="1:6" x14ac:dyDescent="0.25">
      <c r="A85749"/>
      <c r="B85749"/>
      <c r="C85749"/>
      <c r="E85749"/>
      <c r="F85749"/>
    </row>
    <row r="85750" spans="1:6" x14ac:dyDescent="0.25">
      <c r="A85750"/>
      <c r="B85750"/>
      <c r="C85750"/>
      <c r="E85750"/>
      <c r="F85750"/>
    </row>
    <row r="85751" spans="1:6" x14ac:dyDescent="0.25">
      <c r="A85751"/>
      <c r="B85751"/>
      <c r="C85751"/>
      <c r="E85751"/>
      <c r="F85751"/>
    </row>
    <row r="85752" spans="1:6" x14ac:dyDescent="0.25">
      <c r="A85752"/>
      <c r="B85752"/>
      <c r="C85752"/>
      <c r="E85752"/>
      <c r="F85752"/>
    </row>
    <row r="85753" spans="1:6" x14ac:dyDescent="0.25">
      <c r="A85753"/>
      <c r="B85753"/>
      <c r="C85753"/>
      <c r="E85753"/>
      <c r="F85753"/>
    </row>
    <row r="85754" spans="1:6" x14ac:dyDescent="0.25">
      <c r="A85754"/>
      <c r="B85754"/>
      <c r="C85754"/>
      <c r="E85754"/>
      <c r="F85754"/>
    </row>
    <row r="85755" spans="1:6" x14ac:dyDescent="0.25">
      <c r="A85755"/>
      <c r="B85755"/>
      <c r="C85755"/>
      <c r="E85755"/>
      <c r="F85755"/>
    </row>
    <row r="85756" spans="1:6" x14ac:dyDescent="0.25">
      <c r="A85756"/>
      <c r="B85756"/>
      <c r="C85756"/>
      <c r="E85756"/>
      <c r="F85756"/>
    </row>
    <row r="85757" spans="1:6" x14ac:dyDescent="0.25">
      <c r="A85757"/>
      <c r="B85757"/>
      <c r="C85757"/>
      <c r="E85757"/>
      <c r="F85757"/>
    </row>
    <row r="85758" spans="1:6" x14ac:dyDescent="0.25">
      <c r="A85758"/>
      <c r="B85758"/>
      <c r="C85758"/>
      <c r="E85758"/>
      <c r="F85758"/>
    </row>
    <row r="85759" spans="1:6" x14ac:dyDescent="0.25">
      <c r="A85759"/>
      <c r="B85759"/>
      <c r="C85759"/>
      <c r="E85759"/>
      <c r="F85759"/>
    </row>
    <row r="85760" spans="1:6" x14ac:dyDescent="0.25">
      <c r="A85760"/>
      <c r="B85760"/>
      <c r="C85760"/>
      <c r="E85760"/>
      <c r="F85760"/>
    </row>
    <row r="85761" spans="1:6" x14ac:dyDescent="0.25">
      <c r="A85761"/>
      <c r="B85761"/>
      <c r="C85761"/>
      <c r="E85761"/>
      <c r="F85761"/>
    </row>
    <row r="85762" spans="1:6" x14ac:dyDescent="0.25">
      <c r="A85762"/>
      <c r="B85762"/>
      <c r="C85762"/>
      <c r="E85762"/>
      <c r="F85762"/>
    </row>
    <row r="85763" spans="1:6" x14ac:dyDescent="0.25">
      <c r="A85763"/>
      <c r="B85763"/>
      <c r="C85763"/>
      <c r="E85763"/>
      <c r="F85763"/>
    </row>
    <row r="85764" spans="1:6" x14ac:dyDescent="0.25">
      <c r="A85764"/>
      <c r="B85764"/>
      <c r="C85764"/>
      <c r="E85764"/>
      <c r="F85764"/>
    </row>
    <row r="85765" spans="1:6" x14ac:dyDescent="0.25">
      <c r="A85765"/>
      <c r="B85765"/>
      <c r="C85765"/>
      <c r="E85765"/>
      <c r="F85765"/>
    </row>
    <row r="85766" spans="1:6" x14ac:dyDescent="0.25">
      <c r="A85766"/>
      <c r="B85766"/>
      <c r="C85766"/>
      <c r="E85766"/>
      <c r="F85766"/>
    </row>
    <row r="85767" spans="1:6" x14ac:dyDescent="0.25">
      <c r="A85767"/>
      <c r="B85767"/>
      <c r="C85767"/>
      <c r="E85767"/>
      <c r="F85767"/>
    </row>
    <row r="85768" spans="1:6" x14ac:dyDescent="0.25">
      <c r="A85768"/>
      <c r="B85768"/>
      <c r="C85768"/>
      <c r="E85768"/>
      <c r="F85768"/>
    </row>
    <row r="85769" spans="1:6" x14ac:dyDescent="0.25">
      <c r="A85769"/>
      <c r="B85769"/>
      <c r="C85769"/>
      <c r="E85769"/>
      <c r="F85769"/>
    </row>
    <row r="85770" spans="1:6" x14ac:dyDescent="0.25">
      <c r="A85770"/>
      <c r="B85770"/>
      <c r="C85770"/>
      <c r="E85770"/>
      <c r="F85770"/>
    </row>
    <row r="85771" spans="1:6" x14ac:dyDescent="0.25">
      <c r="A85771"/>
      <c r="B85771"/>
      <c r="C85771"/>
      <c r="E85771"/>
      <c r="F85771"/>
    </row>
    <row r="85772" spans="1:6" x14ac:dyDescent="0.25">
      <c r="A85772"/>
      <c r="B85772"/>
      <c r="C85772"/>
      <c r="E85772"/>
      <c r="F85772"/>
    </row>
    <row r="85773" spans="1:6" x14ac:dyDescent="0.25">
      <c r="A85773"/>
      <c r="B85773"/>
      <c r="C85773"/>
      <c r="E85773"/>
      <c r="F85773"/>
    </row>
    <row r="85774" spans="1:6" x14ac:dyDescent="0.25">
      <c r="A85774"/>
      <c r="B85774"/>
      <c r="C85774"/>
      <c r="E85774"/>
      <c r="F85774"/>
    </row>
    <row r="85775" spans="1:6" x14ac:dyDescent="0.25">
      <c r="A85775"/>
      <c r="B85775"/>
      <c r="C85775"/>
      <c r="E85775"/>
      <c r="F85775"/>
    </row>
    <row r="85776" spans="1:6" x14ac:dyDescent="0.25">
      <c r="A85776"/>
      <c r="B85776"/>
      <c r="C85776"/>
      <c r="E85776"/>
      <c r="F85776"/>
    </row>
    <row r="85777" spans="1:6" x14ac:dyDescent="0.25">
      <c r="A85777"/>
      <c r="B85777"/>
      <c r="C85777"/>
      <c r="E85777"/>
      <c r="F85777"/>
    </row>
    <row r="85778" spans="1:6" x14ac:dyDescent="0.25">
      <c r="A85778"/>
      <c r="B85778"/>
      <c r="C85778"/>
      <c r="E85778"/>
      <c r="F85778"/>
    </row>
    <row r="85779" spans="1:6" x14ac:dyDescent="0.25">
      <c r="A85779"/>
      <c r="B85779"/>
      <c r="C85779"/>
      <c r="E85779"/>
      <c r="F85779"/>
    </row>
    <row r="85780" spans="1:6" x14ac:dyDescent="0.25">
      <c r="A85780"/>
      <c r="B85780"/>
      <c r="C85780"/>
      <c r="E85780"/>
      <c r="F85780"/>
    </row>
    <row r="85781" spans="1:6" x14ac:dyDescent="0.25">
      <c r="A85781"/>
      <c r="B85781"/>
      <c r="C85781"/>
      <c r="E85781"/>
      <c r="F85781"/>
    </row>
    <row r="85782" spans="1:6" x14ac:dyDescent="0.25">
      <c r="A85782"/>
      <c r="B85782"/>
      <c r="C85782"/>
      <c r="E85782"/>
      <c r="F85782"/>
    </row>
    <row r="85783" spans="1:6" x14ac:dyDescent="0.25">
      <c r="A85783"/>
      <c r="B85783"/>
      <c r="C85783"/>
      <c r="E85783"/>
      <c r="F85783"/>
    </row>
    <row r="85784" spans="1:6" x14ac:dyDescent="0.25">
      <c r="A85784"/>
      <c r="B85784"/>
      <c r="C85784"/>
      <c r="E85784"/>
      <c r="F85784"/>
    </row>
    <row r="85785" spans="1:6" x14ac:dyDescent="0.25">
      <c r="A85785"/>
      <c r="B85785"/>
      <c r="C85785"/>
      <c r="E85785"/>
      <c r="F85785"/>
    </row>
    <row r="85786" spans="1:6" x14ac:dyDescent="0.25">
      <c r="A85786"/>
      <c r="B85786"/>
      <c r="C85786"/>
      <c r="E85786"/>
      <c r="F85786"/>
    </row>
    <row r="85787" spans="1:6" x14ac:dyDescent="0.25">
      <c r="A85787"/>
      <c r="B85787"/>
      <c r="C85787"/>
      <c r="E85787"/>
      <c r="F85787"/>
    </row>
    <row r="85788" spans="1:6" x14ac:dyDescent="0.25">
      <c r="A85788"/>
      <c r="B85788"/>
      <c r="C85788"/>
      <c r="E85788"/>
      <c r="F85788"/>
    </row>
    <row r="85789" spans="1:6" x14ac:dyDescent="0.25">
      <c r="A85789"/>
      <c r="B85789"/>
      <c r="C85789"/>
      <c r="E85789"/>
      <c r="F85789"/>
    </row>
    <row r="85790" spans="1:6" x14ac:dyDescent="0.25">
      <c r="A85790"/>
      <c r="B85790"/>
      <c r="C85790"/>
      <c r="E85790"/>
      <c r="F85790"/>
    </row>
    <row r="85791" spans="1:6" x14ac:dyDescent="0.25">
      <c r="A85791"/>
      <c r="B85791"/>
      <c r="C85791"/>
      <c r="E85791"/>
      <c r="F85791"/>
    </row>
    <row r="85792" spans="1:6" x14ac:dyDescent="0.25">
      <c r="A85792"/>
      <c r="B85792"/>
      <c r="C85792"/>
      <c r="E85792"/>
      <c r="F85792"/>
    </row>
    <row r="85793" spans="1:6" x14ac:dyDescent="0.25">
      <c r="A85793"/>
      <c r="B85793"/>
      <c r="C85793"/>
      <c r="E85793"/>
      <c r="F85793"/>
    </row>
    <row r="85794" spans="1:6" x14ac:dyDescent="0.25">
      <c r="A85794"/>
      <c r="B85794"/>
      <c r="C85794"/>
      <c r="E85794"/>
      <c r="F85794"/>
    </row>
    <row r="85795" spans="1:6" x14ac:dyDescent="0.25">
      <c r="A85795"/>
      <c r="B85795"/>
      <c r="C85795"/>
      <c r="E85795"/>
      <c r="F85795"/>
    </row>
    <row r="85796" spans="1:6" x14ac:dyDescent="0.25">
      <c r="A85796"/>
      <c r="B85796"/>
      <c r="C85796"/>
      <c r="E85796"/>
      <c r="F85796"/>
    </row>
    <row r="85797" spans="1:6" x14ac:dyDescent="0.25">
      <c r="A85797"/>
      <c r="B85797"/>
      <c r="C85797"/>
      <c r="E85797"/>
      <c r="F85797"/>
    </row>
    <row r="85798" spans="1:6" x14ac:dyDescent="0.25">
      <c r="A85798"/>
      <c r="B85798"/>
      <c r="C85798"/>
      <c r="E85798"/>
      <c r="F85798"/>
    </row>
    <row r="85799" spans="1:6" x14ac:dyDescent="0.25">
      <c r="A85799"/>
      <c r="B85799"/>
      <c r="C85799"/>
      <c r="E85799"/>
      <c r="F85799"/>
    </row>
    <row r="85800" spans="1:6" x14ac:dyDescent="0.25">
      <c r="A85800"/>
      <c r="B85800"/>
      <c r="C85800"/>
      <c r="E85800"/>
      <c r="F85800"/>
    </row>
    <row r="85801" spans="1:6" x14ac:dyDescent="0.25">
      <c r="A85801"/>
      <c r="B85801"/>
      <c r="C85801"/>
      <c r="E85801"/>
      <c r="F85801"/>
    </row>
    <row r="85802" spans="1:6" x14ac:dyDescent="0.25">
      <c r="A85802"/>
      <c r="B85802"/>
      <c r="C85802"/>
      <c r="E85802"/>
      <c r="F85802"/>
    </row>
    <row r="85803" spans="1:6" x14ac:dyDescent="0.25">
      <c r="A85803"/>
      <c r="B85803"/>
      <c r="C85803"/>
      <c r="E85803"/>
      <c r="F85803"/>
    </row>
    <row r="85804" spans="1:6" x14ac:dyDescent="0.25">
      <c r="A85804"/>
      <c r="B85804"/>
      <c r="C85804"/>
      <c r="E85804"/>
      <c r="F85804"/>
    </row>
    <row r="85805" spans="1:6" x14ac:dyDescent="0.25">
      <c r="A85805"/>
      <c r="B85805"/>
      <c r="C85805"/>
      <c r="E85805"/>
      <c r="F85805"/>
    </row>
    <row r="85806" spans="1:6" x14ac:dyDescent="0.25">
      <c r="A85806"/>
      <c r="B85806"/>
      <c r="C85806"/>
      <c r="E85806"/>
      <c r="F85806"/>
    </row>
    <row r="85807" spans="1:6" x14ac:dyDescent="0.25">
      <c r="A85807"/>
      <c r="B85807"/>
      <c r="C85807"/>
      <c r="E85807"/>
      <c r="F85807"/>
    </row>
    <row r="85808" spans="1:6" x14ac:dyDescent="0.25">
      <c r="A85808"/>
      <c r="B85808"/>
      <c r="C85808"/>
      <c r="E85808"/>
      <c r="F85808"/>
    </row>
    <row r="85809" spans="1:6" x14ac:dyDescent="0.25">
      <c r="A85809"/>
      <c r="B85809"/>
      <c r="C85809"/>
      <c r="E85809"/>
      <c r="F85809"/>
    </row>
    <row r="85810" spans="1:6" x14ac:dyDescent="0.25">
      <c r="A85810"/>
      <c r="B85810"/>
      <c r="C85810"/>
      <c r="E85810"/>
      <c r="F85810"/>
    </row>
    <row r="85811" spans="1:6" x14ac:dyDescent="0.25">
      <c r="A85811"/>
      <c r="B85811"/>
      <c r="C85811"/>
      <c r="E85811"/>
      <c r="F85811"/>
    </row>
    <row r="85812" spans="1:6" x14ac:dyDescent="0.25">
      <c r="A85812"/>
      <c r="B85812"/>
      <c r="C85812"/>
      <c r="E85812"/>
      <c r="F85812"/>
    </row>
    <row r="85813" spans="1:6" x14ac:dyDescent="0.25">
      <c r="A85813"/>
      <c r="B85813"/>
      <c r="C85813"/>
      <c r="E85813"/>
      <c r="F85813"/>
    </row>
    <row r="85814" spans="1:6" x14ac:dyDescent="0.25">
      <c r="A85814"/>
      <c r="B85814"/>
      <c r="C85814"/>
      <c r="E85814"/>
      <c r="F85814"/>
    </row>
    <row r="85815" spans="1:6" x14ac:dyDescent="0.25">
      <c r="A85815"/>
      <c r="B85815"/>
      <c r="C85815"/>
      <c r="E85815"/>
      <c r="F85815"/>
    </row>
    <row r="85816" spans="1:6" x14ac:dyDescent="0.25">
      <c r="A85816"/>
      <c r="B85816"/>
      <c r="C85816"/>
      <c r="E85816"/>
      <c r="F85816"/>
    </row>
    <row r="85817" spans="1:6" x14ac:dyDescent="0.25">
      <c r="A85817"/>
      <c r="B85817"/>
      <c r="C85817"/>
      <c r="E85817"/>
      <c r="F85817"/>
    </row>
    <row r="85818" spans="1:6" x14ac:dyDescent="0.25">
      <c r="A85818"/>
      <c r="B85818"/>
      <c r="C85818"/>
      <c r="E85818"/>
      <c r="F85818"/>
    </row>
    <row r="85819" spans="1:6" x14ac:dyDescent="0.25">
      <c r="A85819"/>
      <c r="B85819"/>
      <c r="C85819"/>
      <c r="E85819"/>
      <c r="F85819"/>
    </row>
    <row r="85820" spans="1:6" x14ac:dyDescent="0.25">
      <c r="A85820"/>
      <c r="B85820"/>
      <c r="C85820"/>
      <c r="E85820"/>
      <c r="F85820"/>
    </row>
    <row r="85821" spans="1:6" x14ac:dyDescent="0.25">
      <c r="A85821"/>
      <c r="B85821"/>
      <c r="C85821"/>
      <c r="E85821"/>
      <c r="F85821"/>
    </row>
    <row r="85822" spans="1:6" x14ac:dyDescent="0.25">
      <c r="A85822"/>
      <c r="B85822"/>
      <c r="C85822"/>
      <c r="E85822"/>
      <c r="F85822"/>
    </row>
    <row r="85823" spans="1:6" x14ac:dyDescent="0.25">
      <c r="A85823"/>
      <c r="B85823"/>
      <c r="C85823"/>
      <c r="E85823"/>
      <c r="F85823"/>
    </row>
    <row r="85824" spans="1:6" x14ac:dyDescent="0.25">
      <c r="A85824"/>
      <c r="B85824"/>
      <c r="C85824"/>
      <c r="E85824"/>
      <c r="F85824"/>
    </row>
    <row r="85825" spans="1:6" x14ac:dyDescent="0.25">
      <c r="A85825"/>
      <c r="B85825"/>
      <c r="C85825"/>
      <c r="E85825"/>
      <c r="F85825"/>
    </row>
    <row r="85826" spans="1:6" x14ac:dyDescent="0.25">
      <c r="A85826"/>
      <c r="B85826"/>
      <c r="C85826"/>
      <c r="E85826"/>
      <c r="F85826"/>
    </row>
    <row r="85827" spans="1:6" x14ac:dyDescent="0.25">
      <c r="A85827"/>
      <c r="B85827"/>
      <c r="C85827"/>
      <c r="E85827"/>
      <c r="F85827"/>
    </row>
    <row r="85828" spans="1:6" x14ac:dyDescent="0.25">
      <c r="A85828"/>
      <c r="B85828"/>
      <c r="C85828"/>
      <c r="E85828"/>
      <c r="F85828"/>
    </row>
    <row r="85829" spans="1:6" x14ac:dyDescent="0.25">
      <c r="A85829"/>
      <c r="B85829"/>
      <c r="C85829"/>
      <c r="E85829"/>
      <c r="F85829"/>
    </row>
    <row r="85830" spans="1:6" x14ac:dyDescent="0.25">
      <c r="A85830"/>
      <c r="B85830"/>
      <c r="C85830"/>
      <c r="E85830"/>
      <c r="F85830"/>
    </row>
    <row r="85831" spans="1:6" x14ac:dyDescent="0.25">
      <c r="A85831"/>
      <c r="B85831"/>
      <c r="C85831"/>
      <c r="E85831"/>
      <c r="F85831"/>
    </row>
    <row r="85832" spans="1:6" x14ac:dyDescent="0.25">
      <c r="A85832"/>
      <c r="B85832"/>
      <c r="C85832"/>
      <c r="E85832"/>
      <c r="F85832"/>
    </row>
    <row r="85833" spans="1:6" x14ac:dyDescent="0.25">
      <c r="A85833"/>
      <c r="B85833"/>
      <c r="C85833"/>
      <c r="E85833"/>
      <c r="F85833"/>
    </row>
    <row r="85834" spans="1:6" x14ac:dyDescent="0.25">
      <c r="A85834"/>
      <c r="B85834"/>
      <c r="C85834"/>
      <c r="E85834"/>
      <c r="F85834"/>
    </row>
    <row r="85835" spans="1:6" x14ac:dyDescent="0.25">
      <c r="A85835"/>
      <c r="B85835"/>
      <c r="C85835"/>
      <c r="E85835"/>
      <c r="F85835"/>
    </row>
    <row r="85836" spans="1:6" x14ac:dyDescent="0.25">
      <c r="A85836"/>
      <c r="B85836"/>
      <c r="C85836"/>
      <c r="E85836"/>
      <c r="F85836"/>
    </row>
    <row r="85837" spans="1:6" x14ac:dyDescent="0.25">
      <c r="A85837"/>
      <c r="B85837"/>
      <c r="C85837"/>
      <c r="E85837"/>
      <c r="F85837"/>
    </row>
    <row r="85838" spans="1:6" x14ac:dyDescent="0.25">
      <c r="A85838"/>
      <c r="B85838"/>
      <c r="C85838"/>
      <c r="E85838"/>
      <c r="F85838"/>
    </row>
    <row r="85839" spans="1:6" x14ac:dyDescent="0.25">
      <c r="A85839"/>
      <c r="B85839"/>
      <c r="C85839"/>
      <c r="E85839"/>
      <c r="F85839"/>
    </row>
    <row r="85840" spans="1:6" x14ac:dyDescent="0.25">
      <c r="A85840"/>
      <c r="B85840"/>
      <c r="C85840"/>
      <c r="E85840"/>
      <c r="F85840"/>
    </row>
    <row r="85841" spans="1:6" x14ac:dyDescent="0.25">
      <c r="A85841"/>
      <c r="B85841"/>
      <c r="C85841"/>
      <c r="E85841"/>
      <c r="F85841"/>
    </row>
    <row r="85842" spans="1:6" x14ac:dyDescent="0.25">
      <c r="A85842"/>
      <c r="B85842"/>
      <c r="C85842"/>
      <c r="E85842"/>
      <c r="F85842"/>
    </row>
    <row r="85843" spans="1:6" x14ac:dyDescent="0.25">
      <c r="A85843"/>
      <c r="B85843"/>
      <c r="C85843"/>
      <c r="E85843"/>
      <c r="F85843"/>
    </row>
    <row r="85844" spans="1:6" x14ac:dyDescent="0.25">
      <c r="A85844"/>
      <c r="B85844"/>
      <c r="C85844"/>
      <c r="E85844"/>
      <c r="F85844"/>
    </row>
    <row r="85845" spans="1:6" x14ac:dyDescent="0.25">
      <c r="A85845"/>
      <c r="B85845"/>
      <c r="C85845"/>
      <c r="E85845"/>
      <c r="F85845"/>
    </row>
    <row r="85846" spans="1:6" x14ac:dyDescent="0.25">
      <c r="A85846"/>
      <c r="B85846"/>
      <c r="C85846"/>
      <c r="E85846"/>
      <c r="F85846"/>
    </row>
    <row r="85847" spans="1:6" x14ac:dyDescent="0.25">
      <c r="A85847"/>
      <c r="B85847"/>
      <c r="C85847"/>
      <c r="E85847"/>
      <c r="F85847"/>
    </row>
    <row r="85848" spans="1:6" x14ac:dyDescent="0.25">
      <c r="A85848"/>
      <c r="B85848"/>
      <c r="C85848"/>
      <c r="E85848"/>
      <c r="F85848"/>
    </row>
    <row r="85849" spans="1:6" x14ac:dyDescent="0.25">
      <c r="A85849"/>
      <c r="B85849"/>
      <c r="C85849"/>
      <c r="E85849"/>
      <c r="F85849"/>
    </row>
    <row r="85850" spans="1:6" x14ac:dyDescent="0.25">
      <c r="A85850"/>
      <c r="B85850"/>
      <c r="C85850"/>
      <c r="E85850"/>
      <c r="F85850"/>
    </row>
    <row r="85851" spans="1:6" x14ac:dyDescent="0.25">
      <c r="A85851"/>
      <c r="B85851"/>
      <c r="C85851"/>
      <c r="E85851"/>
      <c r="F85851"/>
    </row>
    <row r="85852" spans="1:6" x14ac:dyDescent="0.25">
      <c r="A85852"/>
      <c r="B85852"/>
      <c r="C85852"/>
      <c r="E85852"/>
      <c r="F85852"/>
    </row>
    <row r="85853" spans="1:6" x14ac:dyDescent="0.25">
      <c r="A85853"/>
      <c r="B85853"/>
      <c r="C85853"/>
      <c r="E85853"/>
      <c r="F85853"/>
    </row>
    <row r="85854" spans="1:6" x14ac:dyDescent="0.25">
      <c r="A85854"/>
      <c r="B85854"/>
      <c r="C85854"/>
      <c r="E85854"/>
      <c r="F85854"/>
    </row>
    <row r="85855" spans="1:6" x14ac:dyDescent="0.25">
      <c r="A85855"/>
      <c r="B85855"/>
      <c r="C85855"/>
      <c r="E85855"/>
      <c r="F85855"/>
    </row>
    <row r="85856" spans="1:6" x14ac:dyDescent="0.25">
      <c r="A85856"/>
      <c r="B85856"/>
      <c r="C85856"/>
      <c r="E85856"/>
      <c r="F85856"/>
    </row>
    <row r="85857" spans="1:6" x14ac:dyDescent="0.25">
      <c r="A85857"/>
      <c r="B85857"/>
      <c r="C85857"/>
      <c r="E85857"/>
      <c r="F85857"/>
    </row>
    <row r="85858" spans="1:6" x14ac:dyDescent="0.25">
      <c r="A85858"/>
      <c r="B85858"/>
      <c r="C85858"/>
      <c r="E85858"/>
      <c r="F85858"/>
    </row>
    <row r="85859" spans="1:6" x14ac:dyDescent="0.25">
      <c r="A85859"/>
      <c r="B85859"/>
      <c r="C85859"/>
      <c r="E85859"/>
      <c r="F85859"/>
    </row>
    <row r="85860" spans="1:6" x14ac:dyDescent="0.25">
      <c r="A85860"/>
      <c r="B85860"/>
      <c r="C85860"/>
      <c r="E85860"/>
      <c r="F85860"/>
    </row>
    <row r="85861" spans="1:6" x14ac:dyDescent="0.25">
      <c r="A85861"/>
      <c r="B85861"/>
      <c r="C85861"/>
      <c r="E85861"/>
      <c r="F85861"/>
    </row>
    <row r="85862" spans="1:6" x14ac:dyDescent="0.25">
      <c r="A85862"/>
      <c r="B85862"/>
      <c r="C85862"/>
      <c r="E85862"/>
      <c r="F85862"/>
    </row>
    <row r="85863" spans="1:6" x14ac:dyDescent="0.25">
      <c r="A85863"/>
      <c r="B85863"/>
      <c r="C85863"/>
      <c r="E85863"/>
      <c r="F85863"/>
    </row>
    <row r="85864" spans="1:6" x14ac:dyDescent="0.25">
      <c r="A85864"/>
      <c r="B85864"/>
      <c r="C85864"/>
      <c r="E85864"/>
      <c r="F85864"/>
    </row>
    <row r="85865" spans="1:6" x14ac:dyDescent="0.25">
      <c r="A85865"/>
      <c r="B85865"/>
      <c r="C85865"/>
      <c r="E85865"/>
      <c r="F85865"/>
    </row>
    <row r="85866" spans="1:6" x14ac:dyDescent="0.25">
      <c r="A85866"/>
      <c r="B85866"/>
      <c r="C85866"/>
      <c r="E85866"/>
      <c r="F85866"/>
    </row>
    <row r="85867" spans="1:6" x14ac:dyDescent="0.25">
      <c r="A85867"/>
      <c r="B85867"/>
      <c r="C85867"/>
      <c r="E85867"/>
      <c r="F85867"/>
    </row>
    <row r="85868" spans="1:6" x14ac:dyDescent="0.25">
      <c r="A85868"/>
      <c r="B85868"/>
      <c r="C85868"/>
      <c r="E85868"/>
      <c r="F85868"/>
    </row>
    <row r="85869" spans="1:6" x14ac:dyDescent="0.25">
      <c r="A85869"/>
      <c r="B85869"/>
      <c r="C85869"/>
      <c r="E85869"/>
      <c r="F85869"/>
    </row>
    <row r="85870" spans="1:6" x14ac:dyDescent="0.25">
      <c r="A85870"/>
      <c r="B85870"/>
      <c r="C85870"/>
      <c r="E85870"/>
      <c r="F85870"/>
    </row>
    <row r="85871" spans="1:6" x14ac:dyDescent="0.25">
      <c r="A85871"/>
      <c r="B85871"/>
      <c r="C85871"/>
      <c r="E85871"/>
      <c r="F85871"/>
    </row>
    <row r="85872" spans="1:6" x14ac:dyDescent="0.25">
      <c r="A85872"/>
      <c r="B85872"/>
      <c r="C85872"/>
      <c r="E85872"/>
      <c r="F85872"/>
    </row>
    <row r="85873" spans="1:6" x14ac:dyDescent="0.25">
      <c r="A85873"/>
      <c r="B85873"/>
      <c r="C85873"/>
      <c r="E85873"/>
      <c r="F85873"/>
    </row>
    <row r="85874" spans="1:6" x14ac:dyDescent="0.25">
      <c r="A85874"/>
      <c r="B85874"/>
      <c r="C85874"/>
      <c r="E85874"/>
      <c r="F85874"/>
    </row>
    <row r="85875" spans="1:6" x14ac:dyDescent="0.25">
      <c r="A85875"/>
      <c r="B85875"/>
      <c r="C85875"/>
      <c r="E85875"/>
      <c r="F85875"/>
    </row>
    <row r="85876" spans="1:6" x14ac:dyDescent="0.25">
      <c r="A85876"/>
      <c r="B85876"/>
      <c r="C85876"/>
      <c r="E85876"/>
      <c r="F85876"/>
    </row>
    <row r="85877" spans="1:6" x14ac:dyDescent="0.25">
      <c r="A85877"/>
      <c r="B85877"/>
      <c r="C85877"/>
      <c r="E85877"/>
      <c r="F85877"/>
    </row>
    <row r="85878" spans="1:6" x14ac:dyDescent="0.25">
      <c r="A85878"/>
      <c r="B85878"/>
      <c r="C85878"/>
      <c r="E85878"/>
      <c r="F85878"/>
    </row>
    <row r="85879" spans="1:6" x14ac:dyDescent="0.25">
      <c r="A85879"/>
      <c r="B85879"/>
      <c r="C85879"/>
      <c r="E85879"/>
      <c r="F85879"/>
    </row>
    <row r="85880" spans="1:6" x14ac:dyDescent="0.25">
      <c r="A85880"/>
      <c r="B85880"/>
      <c r="C85880"/>
      <c r="E85880"/>
      <c r="F85880"/>
    </row>
    <row r="85881" spans="1:6" x14ac:dyDescent="0.25">
      <c r="A85881"/>
      <c r="B85881"/>
      <c r="C85881"/>
      <c r="E85881"/>
      <c r="F85881"/>
    </row>
    <row r="85882" spans="1:6" x14ac:dyDescent="0.25">
      <c r="A85882"/>
      <c r="B85882"/>
      <c r="C85882"/>
      <c r="E85882"/>
      <c r="F85882"/>
    </row>
    <row r="85883" spans="1:6" x14ac:dyDescent="0.25">
      <c r="A85883"/>
      <c r="B85883"/>
      <c r="C85883"/>
      <c r="E85883"/>
      <c r="F85883"/>
    </row>
    <row r="85884" spans="1:6" x14ac:dyDescent="0.25">
      <c r="A85884"/>
      <c r="B85884"/>
      <c r="C85884"/>
      <c r="E85884"/>
      <c r="F85884"/>
    </row>
    <row r="85885" spans="1:6" x14ac:dyDescent="0.25">
      <c r="A85885"/>
      <c r="B85885"/>
      <c r="C85885"/>
      <c r="E85885"/>
      <c r="F85885"/>
    </row>
    <row r="85886" spans="1:6" x14ac:dyDescent="0.25">
      <c r="A85886"/>
      <c r="B85886"/>
      <c r="C85886"/>
      <c r="E85886"/>
      <c r="F85886"/>
    </row>
    <row r="85887" spans="1:6" x14ac:dyDescent="0.25">
      <c r="A85887"/>
      <c r="B85887"/>
      <c r="C85887"/>
      <c r="E85887"/>
      <c r="F85887"/>
    </row>
    <row r="85888" spans="1:6" x14ac:dyDescent="0.25">
      <c r="A85888"/>
      <c r="B85888"/>
      <c r="C85888"/>
      <c r="E85888"/>
      <c r="F85888"/>
    </row>
    <row r="85889" spans="1:6" x14ac:dyDescent="0.25">
      <c r="A85889"/>
      <c r="B85889"/>
      <c r="C85889"/>
      <c r="E85889"/>
      <c r="F85889"/>
    </row>
    <row r="85890" spans="1:6" x14ac:dyDescent="0.25">
      <c r="A85890"/>
      <c r="B85890"/>
      <c r="C85890"/>
      <c r="E85890"/>
      <c r="F85890"/>
    </row>
    <row r="85891" spans="1:6" x14ac:dyDescent="0.25">
      <c r="A85891"/>
      <c r="B85891"/>
      <c r="C85891"/>
      <c r="E85891"/>
      <c r="F85891"/>
    </row>
    <row r="85892" spans="1:6" x14ac:dyDescent="0.25">
      <c r="A85892"/>
      <c r="B85892"/>
      <c r="C85892"/>
      <c r="E85892"/>
      <c r="F85892"/>
    </row>
    <row r="85893" spans="1:6" x14ac:dyDescent="0.25">
      <c r="A85893"/>
      <c r="B85893"/>
      <c r="C85893"/>
      <c r="E85893"/>
      <c r="F85893"/>
    </row>
    <row r="85894" spans="1:6" x14ac:dyDescent="0.25">
      <c r="A85894"/>
      <c r="B85894"/>
      <c r="C85894"/>
      <c r="E85894"/>
      <c r="F85894"/>
    </row>
    <row r="85895" spans="1:6" x14ac:dyDescent="0.25">
      <c r="A85895"/>
      <c r="B85895"/>
      <c r="C85895"/>
      <c r="E85895"/>
      <c r="F85895"/>
    </row>
    <row r="85896" spans="1:6" x14ac:dyDescent="0.25">
      <c r="A85896"/>
      <c r="B85896"/>
      <c r="C85896"/>
      <c r="E85896"/>
      <c r="F85896"/>
    </row>
    <row r="85897" spans="1:6" x14ac:dyDescent="0.25">
      <c r="A85897"/>
      <c r="B85897"/>
      <c r="C85897"/>
      <c r="E85897"/>
      <c r="F85897"/>
    </row>
    <row r="85898" spans="1:6" x14ac:dyDescent="0.25">
      <c r="A85898"/>
      <c r="B85898"/>
      <c r="C85898"/>
      <c r="E85898"/>
      <c r="F85898"/>
    </row>
    <row r="85899" spans="1:6" x14ac:dyDescent="0.25">
      <c r="A85899"/>
      <c r="B85899"/>
      <c r="C85899"/>
      <c r="E85899"/>
      <c r="F85899"/>
    </row>
    <row r="85900" spans="1:6" x14ac:dyDescent="0.25">
      <c r="A85900"/>
      <c r="B85900"/>
      <c r="C85900"/>
      <c r="E85900"/>
      <c r="F85900"/>
    </row>
    <row r="85901" spans="1:6" x14ac:dyDescent="0.25">
      <c r="A85901"/>
      <c r="B85901"/>
      <c r="C85901"/>
      <c r="E85901"/>
      <c r="F85901"/>
    </row>
    <row r="85902" spans="1:6" x14ac:dyDescent="0.25">
      <c r="A85902"/>
      <c r="B85902"/>
      <c r="C85902"/>
      <c r="E85902"/>
      <c r="F85902"/>
    </row>
    <row r="85903" spans="1:6" x14ac:dyDescent="0.25">
      <c r="A85903"/>
      <c r="B85903"/>
      <c r="C85903"/>
      <c r="E85903"/>
      <c r="F85903"/>
    </row>
    <row r="85904" spans="1:6" x14ac:dyDescent="0.25">
      <c r="A85904"/>
      <c r="B85904"/>
      <c r="C85904"/>
      <c r="E85904"/>
      <c r="F85904"/>
    </row>
    <row r="85905" spans="1:6" x14ac:dyDescent="0.25">
      <c r="A85905"/>
      <c r="B85905"/>
      <c r="C85905"/>
      <c r="E85905"/>
      <c r="F85905"/>
    </row>
    <row r="85906" spans="1:6" x14ac:dyDescent="0.25">
      <c r="A85906"/>
      <c r="B85906"/>
      <c r="C85906"/>
      <c r="E85906"/>
      <c r="F85906"/>
    </row>
    <row r="85907" spans="1:6" x14ac:dyDescent="0.25">
      <c r="A85907"/>
      <c r="B85907"/>
      <c r="C85907"/>
      <c r="E85907"/>
      <c r="F85907"/>
    </row>
    <row r="85908" spans="1:6" x14ac:dyDescent="0.25">
      <c r="A85908"/>
      <c r="B85908"/>
      <c r="C85908"/>
      <c r="E85908"/>
      <c r="F85908"/>
    </row>
    <row r="85909" spans="1:6" x14ac:dyDescent="0.25">
      <c r="A85909"/>
      <c r="B85909"/>
      <c r="C85909"/>
      <c r="E85909"/>
      <c r="F85909"/>
    </row>
    <row r="85910" spans="1:6" x14ac:dyDescent="0.25">
      <c r="A85910"/>
      <c r="B85910"/>
      <c r="C85910"/>
      <c r="E85910"/>
      <c r="F85910"/>
    </row>
    <row r="85911" spans="1:6" x14ac:dyDescent="0.25">
      <c r="A85911"/>
      <c r="B85911"/>
      <c r="C85911"/>
      <c r="E85911"/>
      <c r="F85911"/>
    </row>
    <row r="85912" spans="1:6" x14ac:dyDescent="0.25">
      <c r="A85912"/>
      <c r="B85912"/>
      <c r="C85912"/>
      <c r="E85912"/>
      <c r="F85912"/>
    </row>
    <row r="85913" spans="1:6" x14ac:dyDescent="0.25">
      <c r="A85913"/>
      <c r="B85913"/>
      <c r="C85913"/>
      <c r="E85913"/>
      <c r="F85913"/>
    </row>
    <row r="85914" spans="1:6" x14ac:dyDescent="0.25">
      <c r="A85914"/>
      <c r="B85914"/>
      <c r="C85914"/>
      <c r="E85914"/>
      <c r="F85914"/>
    </row>
    <row r="85915" spans="1:6" x14ac:dyDescent="0.25">
      <c r="A85915"/>
      <c r="B85915"/>
      <c r="C85915"/>
      <c r="E85915"/>
      <c r="F85915"/>
    </row>
    <row r="85916" spans="1:6" x14ac:dyDescent="0.25">
      <c r="A85916"/>
      <c r="B85916"/>
      <c r="C85916"/>
      <c r="E85916"/>
      <c r="F85916"/>
    </row>
    <row r="85917" spans="1:6" x14ac:dyDescent="0.25">
      <c r="A85917"/>
      <c r="B85917"/>
      <c r="C85917"/>
      <c r="E85917"/>
      <c r="F85917"/>
    </row>
    <row r="85918" spans="1:6" x14ac:dyDescent="0.25">
      <c r="A85918"/>
      <c r="B85918"/>
      <c r="C85918"/>
      <c r="E85918"/>
      <c r="F85918"/>
    </row>
    <row r="85919" spans="1:6" x14ac:dyDescent="0.25">
      <c r="A85919"/>
      <c r="B85919"/>
      <c r="C85919"/>
      <c r="E85919"/>
      <c r="F85919"/>
    </row>
    <row r="85920" spans="1:6" x14ac:dyDescent="0.25">
      <c r="A85920"/>
      <c r="B85920"/>
      <c r="C85920"/>
      <c r="E85920"/>
      <c r="F85920"/>
    </row>
    <row r="85921" spans="1:6" x14ac:dyDescent="0.25">
      <c r="A85921"/>
      <c r="B85921"/>
      <c r="C85921"/>
      <c r="E85921"/>
      <c r="F85921"/>
    </row>
    <row r="85922" spans="1:6" x14ac:dyDescent="0.25">
      <c r="A85922"/>
      <c r="B85922"/>
      <c r="C85922"/>
      <c r="E85922"/>
      <c r="F85922"/>
    </row>
    <row r="85923" spans="1:6" x14ac:dyDescent="0.25">
      <c r="A85923"/>
      <c r="B85923"/>
      <c r="C85923"/>
      <c r="E85923"/>
      <c r="F85923"/>
    </row>
    <row r="85924" spans="1:6" x14ac:dyDescent="0.25">
      <c r="A85924"/>
      <c r="B85924"/>
      <c r="C85924"/>
      <c r="E85924"/>
      <c r="F85924"/>
    </row>
    <row r="85925" spans="1:6" x14ac:dyDescent="0.25">
      <c r="A85925"/>
      <c r="B85925"/>
      <c r="C85925"/>
      <c r="E85925"/>
      <c r="F85925"/>
    </row>
    <row r="85926" spans="1:6" x14ac:dyDescent="0.25">
      <c r="A85926"/>
      <c r="B85926"/>
      <c r="C85926"/>
      <c r="E85926"/>
      <c r="F85926"/>
    </row>
    <row r="85927" spans="1:6" x14ac:dyDescent="0.25">
      <c r="A85927"/>
      <c r="B85927"/>
      <c r="C85927"/>
      <c r="E85927"/>
      <c r="F85927"/>
    </row>
    <row r="85928" spans="1:6" x14ac:dyDescent="0.25">
      <c r="A85928"/>
      <c r="B85928"/>
      <c r="C85928"/>
      <c r="E85928"/>
      <c r="F85928"/>
    </row>
    <row r="85929" spans="1:6" x14ac:dyDescent="0.25">
      <c r="A85929"/>
      <c r="B85929"/>
      <c r="C85929"/>
      <c r="E85929"/>
      <c r="F85929"/>
    </row>
    <row r="85930" spans="1:6" x14ac:dyDescent="0.25">
      <c r="A85930"/>
      <c r="B85930"/>
      <c r="C85930"/>
      <c r="E85930"/>
      <c r="F85930"/>
    </row>
    <row r="85931" spans="1:6" x14ac:dyDescent="0.25">
      <c r="A85931"/>
      <c r="B85931"/>
      <c r="C85931"/>
      <c r="E85931"/>
      <c r="F85931"/>
    </row>
    <row r="85932" spans="1:6" x14ac:dyDescent="0.25">
      <c r="A85932"/>
      <c r="B85932"/>
      <c r="C85932"/>
      <c r="E85932"/>
      <c r="F85932"/>
    </row>
    <row r="85933" spans="1:6" x14ac:dyDescent="0.25">
      <c r="A85933"/>
      <c r="B85933"/>
      <c r="C85933"/>
      <c r="E85933"/>
      <c r="F85933"/>
    </row>
    <row r="85934" spans="1:6" x14ac:dyDescent="0.25">
      <c r="A85934"/>
      <c r="B85934"/>
      <c r="C85934"/>
      <c r="E85934"/>
      <c r="F85934"/>
    </row>
    <row r="85935" spans="1:6" x14ac:dyDescent="0.25">
      <c r="A85935"/>
      <c r="B85935"/>
      <c r="C85935"/>
      <c r="E85935"/>
      <c r="F85935"/>
    </row>
    <row r="85936" spans="1:6" x14ac:dyDescent="0.25">
      <c r="A85936"/>
      <c r="B85936"/>
      <c r="C85936"/>
      <c r="E85936"/>
      <c r="F85936"/>
    </row>
    <row r="85937" spans="1:6" x14ac:dyDescent="0.25">
      <c r="A85937"/>
      <c r="B85937"/>
      <c r="C85937"/>
      <c r="E85937"/>
      <c r="F85937"/>
    </row>
    <row r="85938" spans="1:6" x14ac:dyDescent="0.25">
      <c r="A85938"/>
      <c r="B85938"/>
      <c r="C85938"/>
      <c r="E85938"/>
      <c r="F85938"/>
    </row>
    <row r="85939" spans="1:6" x14ac:dyDescent="0.25">
      <c r="A85939"/>
      <c r="B85939"/>
      <c r="C85939"/>
      <c r="E85939"/>
      <c r="F85939"/>
    </row>
    <row r="85940" spans="1:6" x14ac:dyDescent="0.25">
      <c r="A85940"/>
      <c r="B85940"/>
      <c r="C85940"/>
      <c r="E85940"/>
      <c r="F85940"/>
    </row>
    <row r="85941" spans="1:6" x14ac:dyDescent="0.25">
      <c r="A85941"/>
      <c r="B85941"/>
      <c r="C85941"/>
      <c r="E85941"/>
      <c r="F85941"/>
    </row>
    <row r="85942" spans="1:6" x14ac:dyDescent="0.25">
      <c r="A85942"/>
      <c r="B85942"/>
      <c r="C85942"/>
      <c r="E85942"/>
      <c r="F85942"/>
    </row>
    <row r="85943" spans="1:6" x14ac:dyDescent="0.25">
      <c r="A85943"/>
      <c r="B85943"/>
      <c r="C85943"/>
      <c r="E85943"/>
      <c r="F85943"/>
    </row>
    <row r="85944" spans="1:6" x14ac:dyDescent="0.25">
      <c r="A85944"/>
      <c r="B85944"/>
      <c r="C85944"/>
      <c r="E85944"/>
      <c r="F85944"/>
    </row>
    <row r="85945" spans="1:6" x14ac:dyDescent="0.25">
      <c r="A85945"/>
      <c r="B85945"/>
      <c r="C85945"/>
      <c r="E85945"/>
      <c r="F85945"/>
    </row>
    <row r="85946" spans="1:6" x14ac:dyDescent="0.25">
      <c r="A85946"/>
      <c r="B85946"/>
      <c r="C85946"/>
      <c r="E85946"/>
      <c r="F85946"/>
    </row>
    <row r="85947" spans="1:6" x14ac:dyDescent="0.25">
      <c r="A85947"/>
      <c r="B85947"/>
      <c r="C85947"/>
      <c r="E85947"/>
      <c r="F85947"/>
    </row>
    <row r="85948" spans="1:6" x14ac:dyDescent="0.25">
      <c r="A85948"/>
      <c r="B85948"/>
      <c r="C85948"/>
      <c r="E85948"/>
      <c r="F85948"/>
    </row>
    <row r="85949" spans="1:6" x14ac:dyDescent="0.25">
      <c r="A85949"/>
      <c r="B85949"/>
      <c r="C85949"/>
      <c r="E85949"/>
      <c r="F85949"/>
    </row>
    <row r="85950" spans="1:6" x14ac:dyDescent="0.25">
      <c r="A85950"/>
      <c r="B85950"/>
      <c r="C85950"/>
      <c r="E85950"/>
      <c r="F85950"/>
    </row>
    <row r="85951" spans="1:6" x14ac:dyDescent="0.25">
      <c r="A85951"/>
      <c r="B85951"/>
      <c r="C85951"/>
      <c r="E85951"/>
      <c r="F85951"/>
    </row>
    <row r="85952" spans="1:6" x14ac:dyDescent="0.25">
      <c r="A85952"/>
      <c r="B85952"/>
      <c r="C85952"/>
      <c r="E85952"/>
      <c r="F85952"/>
    </row>
    <row r="85953" spans="1:6" x14ac:dyDescent="0.25">
      <c r="A85953"/>
      <c r="B85953"/>
      <c r="C85953"/>
      <c r="E85953"/>
      <c r="F85953"/>
    </row>
    <row r="85954" spans="1:6" x14ac:dyDescent="0.25">
      <c r="A85954"/>
      <c r="B85954"/>
      <c r="C85954"/>
      <c r="E85954"/>
      <c r="F85954"/>
    </row>
    <row r="85955" spans="1:6" x14ac:dyDescent="0.25">
      <c r="A85955"/>
      <c r="B85955"/>
      <c r="C85955"/>
      <c r="E85955"/>
      <c r="F85955"/>
    </row>
    <row r="85956" spans="1:6" x14ac:dyDescent="0.25">
      <c r="A85956"/>
      <c r="B85956"/>
      <c r="C85956"/>
      <c r="E85956"/>
      <c r="F85956"/>
    </row>
    <row r="85957" spans="1:6" x14ac:dyDescent="0.25">
      <c r="A85957"/>
      <c r="B85957"/>
      <c r="C85957"/>
      <c r="E85957"/>
      <c r="F85957"/>
    </row>
    <row r="85958" spans="1:6" x14ac:dyDescent="0.25">
      <c r="A85958"/>
      <c r="B85958"/>
      <c r="C85958"/>
      <c r="E85958"/>
      <c r="F85958"/>
    </row>
    <row r="85959" spans="1:6" x14ac:dyDescent="0.25">
      <c r="A85959"/>
      <c r="B85959"/>
      <c r="C85959"/>
      <c r="E85959"/>
      <c r="F85959"/>
    </row>
    <row r="85960" spans="1:6" x14ac:dyDescent="0.25">
      <c r="A85960"/>
      <c r="B85960"/>
      <c r="C85960"/>
      <c r="E85960"/>
      <c r="F85960"/>
    </row>
    <row r="85961" spans="1:6" x14ac:dyDescent="0.25">
      <c r="A85961"/>
      <c r="B85961"/>
      <c r="C85961"/>
      <c r="E85961"/>
      <c r="F85961"/>
    </row>
    <row r="85962" spans="1:6" x14ac:dyDescent="0.25">
      <c r="A85962"/>
      <c r="B85962"/>
      <c r="C85962"/>
      <c r="E85962"/>
      <c r="F85962"/>
    </row>
    <row r="85963" spans="1:6" x14ac:dyDescent="0.25">
      <c r="A85963"/>
      <c r="B85963"/>
      <c r="C85963"/>
      <c r="E85963"/>
      <c r="F85963"/>
    </row>
    <row r="85964" spans="1:6" x14ac:dyDescent="0.25">
      <c r="A85964"/>
      <c r="B85964"/>
      <c r="C85964"/>
      <c r="E85964"/>
      <c r="F85964"/>
    </row>
    <row r="85965" spans="1:6" x14ac:dyDescent="0.25">
      <c r="A85965"/>
      <c r="B85965"/>
      <c r="C85965"/>
      <c r="E85965"/>
      <c r="F85965"/>
    </row>
    <row r="85966" spans="1:6" x14ac:dyDescent="0.25">
      <c r="A85966"/>
      <c r="B85966"/>
      <c r="C85966"/>
      <c r="E85966"/>
      <c r="F85966"/>
    </row>
    <row r="85967" spans="1:6" x14ac:dyDescent="0.25">
      <c r="A85967"/>
      <c r="B85967"/>
      <c r="C85967"/>
      <c r="E85967"/>
      <c r="F85967"/>
    </row>
    <row r="85968" spans="1:6" x14ac:dyDescent="0.25">
      <c r="A85968"/>
      <c r="B85968"/>
      <c r="C85968"/>
      <c r="E85968"/>
      <c r="F85968"/>
    </row>
    <row r="85969" spans="1:6" x14ac:dyDescent="0.25">
      <c r="A85969"/>
      <c r="B85969"/>
      <c r="C85969"/>
      <c r="E85969"/>
      <c r="F85969"/>
    </row>
    <row r="85970" spans="1:6" x14ac:dyDescent="0.25">
      <c r="A85970"/>
      <c r="B85970"/>
      <c r="C85970"/>
      <c r="E85970"/>
      <c r="F85970"/>
    </row>
    <row r="85971" spans="1:6" x14ac:dyDescent="0.25">
      <c r="A85971"/>
      <c r="B85971"/>
      <c r="C85971"/>
      <c r="E85971"/>
      <c r="F85971"/>
    </row>
    <row r="85972" spans="1:6" x14ac:dyDescent="0.25">
      <c r="A85972"/>
      <c r="B85972"/>
      <c r="C85972"/>
      <c r="E85972"/>
      <c r="F85972"/>
    </row>
    <row r="85973" spans="1:6" x14ac:dyDescent="0.25">
      <c r="A85973"/>
      <c r="B85973"/>
      <c r="C85973"/>
      <c r="E85973"/>
      <c r="F85973"/>
    </row>
    <row r="85974" spans="1:6" x14ac:dyDescent="0.25">
      <c r="A85974"/>
      <c r="B85974"/>
      <c r="C85974"/>
      <c r="E85974"/>
      <c r="F85974"/>
    </row>
    <row r="85975" spans="1:6" x14ac:dyDescent="0.25">
      <c r="A85975"/>
      <c r="B85975"/>
      <c r="C85975"/>
      <c r="E85975"/>
      <c r="F85975"/>
    </row>
    <row r="85976" spans="1:6" x14ac:dyDescent="0.25">
      <c r="A85976"/>
      <c r="B85976"/>
      <c r="C85976"/>
      <c r="E85976"/>
      <c r="F85976"/>
    </row>
    <row r="85977" spans="1:6" x14ac:dyDescent="0.25">
      <c r="A85977"/>
      <c r="B85977"/>
      <c r="C85977"/>
      <c r="E85977"/>
      <c r="F85977"/>
    </row>
    <row r="85978" spans="1:6" x14ac:dyDescent="0.25">
      <c r="A85978"/>
      <c r="B85978"/>
      <c r="C85978"/>
      <c r="E85978"/>
      <c r="F85978"/>
    </row>
    <row r="85979" spans="1:6" x14ac:dyDescent="0.25">
      <c r="A85979"/>
      <c r="B85979"/>
      <c r="C85979"/>
      <c r="E85979"/>
      <c r="F85979"/>
    </row>
    <row r="85980" spans="1:6" x14ac:dyDescent="0.25">
      <c r="A85980"/>
      <c r="B85980"/>
      <c r="C85980"/>
      <c r="E85980"/>
      <c r="F85980"/>
    </row>
    <row r="85981" spans="1:6" x14ac:dyDescent="0.25">
      <c r="A85981"/>
      <c r="B85981"/>
      <c r="C85981"/>
      <c r="E85981"/>
      <c r="F85981"/>
    </row>
    <row r="85982" spans="1:6" x14ac:dyDescent="0.25">
      <c r="A85982"/>
      <c r="B85982"/>
      <c r="C85982"/>
      <c r="E85982"/>
      <c r="F85982"/>
    </row>
    <row r="85983" spans="1:6" x14ac:dyDescent="0.25">
      <c r="A85983"/>
      <c r="B85983"/>
      <c r="C85983"/>
      <c r="E85983"/>
      <c r="F85983"/>
    </row>
    <row r="85984" spans="1:6" x14ac:dyDescent="0.25">
      <c r="A85984"/>
      <c r="B85984"/>
      <c r="C85984"/>
      <c r="E85984"/>
      <c r="F85984"/>
    </row>
    <row r="85985" spans="1:6" x14ac:dyDescent="0.25">
      <c r="A85985"/>
      <c r="B85985"/>
      <c r="C85985"/>
      <c r="E85985"/>
      <c r="F85985"/>
    </row>
    <row r="85986" spans="1:6" x14ac:dyDescent="0.25">
      <c r="A85986"/>
      <c r="B85986"/>
      <c r="C85986"/>
      <c r="E85986"/>
      <c r="F85986"/>
    </row>
    <row r="85987" spans="1:6" x14ac:dyDescent="0.25">
      <c r="A85987"/>
      <c r="B85987"/>
      <c r="C85987"/>
      <c r="E85987"/>
      <c r="F85987"/>
    </row>
    <row r="85988" spans="1:6" x14ac:dyDescent="0.25">
      <c r="A85988"/>
      <c r="B85988"/>
      <c r="C85988"/>
      <c r="E85988"/>
      <c r="F85988"/>
    </row>
    <row r="85989" spans="1:6" x14ac:dyDescent="0.25">
      <c r="A85989"/>
      <c r="B85989"/>
      <c r="C85989"/>
      <c r="E85989"/>
      <c r="F85989"/>
    </row>
    <row r="85990" spans="1:6" x14ac:dyDescent="0.25">
      <c r="A85990"/>
      <c r="B85990"/>
      <c r="C85990"/>
      <c r="E85990"/>
      <c r="F85990"/>
    </row>
    <row r="85991" spans="1:6" x14ac:dyDescent="0.25">
      <c r="A85991"/>
      <c r="B85991"/>
      <c r="C85991"/>
      <c r="E85991"/>
      <c r="F85991"/>
    </row>
    <row r="85992" spans="1:6" x14ac:dyDescent="0.25">
      <c r="A85992"/>
      <c r="B85992"/>
      <c r="C85992"/>
      <c r="E85992"/>
      <c r="F85992"/>
    </row>
    <row r="85993" spans="1:6" x14ac:dyDescent="0.25">
      <c r="A85993"/>
      <c r="B85993"/>
      <c r="C85993"/>
      <c r="E85993"/>
      <c r="F85993"/>
    </row>
    <row r="85994" spans="1:6" x14ac:dyDescent="0.25">
      <c r="A85994"/>
      <c r="B85994"/>
      <c r="C85994"/>
      <c r="E85994"/>
      <c r="F85994"/>
    </row>
    <row r="85995" spans="1:6" x14ac:dyDescent="0.25">
      <c r="A85995"/>
      <c r="B85995"/>
      <c r="C85995"/>
      <c r="E85995"/>
      <c r="F85995"/>
    </row>
    <row r="85996" spans="1:6" x14ac:dyDescent="0.25">
      <c r="A85996"/>
      <c r="B85996"/>
      <c r="C85996"/>
      <c r="E85996"/>
      <c r="F85996"/>
    </row>
    <row r="85997" spans="1:6" x14ac:dyDescent="0.25">
      <c r="A85997"/>
      <c r="B85997"/>
      <c r="C85997"/>
      <c r="E85997"/>
      <c r="F85997"/>
    </row>
    <row r="85998" spans="1:6" x14ac:dyDescent="0.25">
      <c r="A85998"/>
      <c r="B85998"/>
      <c r="C85998"/>
      <c r="E85998"/>
      <c r="F85998"/>
    </row>
    <row r="85999" spans="1:6" x14ac:dyDescent="0.25">
      <c r="A85999"/>
      <c r="B85999"/>
      <c r="C85999"/>
      <c r="E85999"/>
      <c r="F85999"/>
    </row>
    <row r="86000" spans="1:6" x14ac:dyDescent="0.25">
      <c r="A86000"/>
      <c r="B86000"/>
      <c r="C86000"/>
      <c r="E86000"/>
      <c r="F86000"/>
    </row>
    <row r="86001" spans="1:6" x14ac:dyDescent="0.25">
      <c r="A86001"/>
      <c r="B86001"/>
      <c r="C86001"/>
      <c r="E86001"/>
      <c r="F86001"/>
    </row>
    <row r="86002" spans="1:6" x14ac:dyDescent="0.25">
      <c r="A86002"/>
      <c r="B86002"/>
      <c r="C86002"/>
      <c r="E86002"/>
      <c r="F86002"/>
    </row>
    <row r="86003" spans="1:6" x14ac:dyDescent="0.25">
      <c r="A86003"/>
      <c r="B86003"/>
      <c r="C86003"/>
      <c r="E86003"/>
      <c r="F86003"/>
    </row>
    <row r="86004" spans="1:6" x14ac:dyDescent="0.25">
      <c r="A86004"/>
      <c r="B86004"/>
      <c r="C86004"/>
      <c r="E86004"/>
      <c r="F86004"/>
    </row>
    <row r="86005" spans="1:6" x14ac:dyDescent="0.25">
      <c r="A86005"/>
      <c r="B86005"/>
      <c r="C86005"/>
      <c r="E86005"/>
      <c r="F86005"/>
    </row>
    <row r="86006" spans="1:6" x14ac:dyDescent="0.25">
      <c r="A86006"/>
      <c r="B86006"/>
      <c r="C86006"/>
      <c r="E86006"/>
      <c r="F86006"/>
    </row>
    <row r="86007" spans="1:6" x14ac:dyDescent="0.25">
      <c r="A86007"/>
      <c r="B86007"/>
      <c r="C86007"/>
      <c r="E86007"/>
      <c r="F86007"/>
    </row>
    <row r="86008" spans="1:6" x14ac:dyDescent="0.25">
      <c r="A86008"/>
      <c r="B86008"/>
      <c r="C86008"/>
      <c r="E86008"/>
      <c r="F86008"/>
    </row>
    <row r="86009" spans="1:6" x14ac:dyDescent="0.25">
      <c r="A86009"/>
      <c r="B86009"/>
      <c r="C86009"/>
      <c r="E86009"/>
      <c r="F86009"/>
    </row>
    <row r="86010" spans="1:6" x14ac:dyDescent="0.25">
      <c r="A86010"/>
      <c r="B86010"/>
      <c r="C86010"/>
      <c r="E86010"/>
      <c r="F86010"/>
    </row>
    <row r="86011" spans="1:6" x14ac:dyDescent="0.25">
      <c r="A86011"/>
      <c r="B86011"/>
      <c r="C86011"/>
      <c r="E86011"/>
      <c r="F86011"/>
    </row>
    <row r="86012" spans="1:6" x14ac:dyDescent="0.25">
      <c r="A86012"/>
      <c r="B86012"/>
      <c r="C86012"/>
      <c r="E86012"/>
      <c r="F86012"/>
    </row>
    <row r="86013" spans="1:6" x14ac:dyDescent="0.25">
      <c r="A86013"/>
      <c r="B86013"/>
      <c r="C86013"/>
      <c r="E86013"/>
      <c r="F86013"/>
    </row>
    <row r="86014" spans="1:6" x14ac:dyDescent="0.25">
      <c r="A86014"/>
      <c r="B86014"/>
      <c r="C86014"/>
      <c r="E86014"/>
      <c r="F86014"/>
    </row>
    <row r="86015" spans="1:6" x14ac:dyDescent="0.25">
      <c r="A86015"/>
      <c r="B86015"/>
      <c r="C86015"/>
      <c r="E86015"/>
      <c r="F86015"/>
    </row>
    <row r="86016" spans="1:6" x14ac:dyDescent="0.25">
      <c r="A86016"/>
      <c r="B86016"/>
      <c r="C86016"/>
      <c r="E86016"/>
      <c r="F86016"/>
    </row>
    <row r="86017" spans="1:6" x14ac:dyDescent="0.25">
      <c r="A86017"/>
      <c r="B86017"/>
      <c r="C86017"/>
      <c r="E86017"/>
      <c r="F86017"/>
    </row>
    <row r="86018" spans="1:6" x14ac:dyDescent="0.25">
      <c r="A86018"/>
      <c r="B86018"/>
      <c r="C86018"/>
      <c r="E86018"/>
      <c r="F86018"/>
    </row>
    <row r="86019" spans="1:6" x14ac:dyDescent="0.25">
      <c r="A86019"/>
      <c r="B86019"/>
      <c r="C86019"/>
      <c r="E86019"/>
      <c r="F86019"/>
    </row>
    <row r="86020" spans="1:6" x14ac:dyDescent="0.25">
      <c r="A86020"/>
      <c r="B86020"/>
      <c r="C86020"/>
      <c r="E86020"/>
      <c r="F86020"/>
    </row>
    <row r="86021" spans="1:6" x14ac:dyDescent="0.25">
      <c r="A86021"/>
      <c r="B86021"/>
      <c r="C86021"/>
      <c r="E86021"/>
      <c r="F86021"/>
    </row>
    <row r="86022" spans="1:6" x14ac:dyDescent="0.25">
      <c r="A86022"/>
      <c r="B86022"/>
      <c r="C86022"/>
      <c r="E86022"/>
      <c r="F86022"/>
    </row>
    <row r="86023" spans="1:6" x14ac:dyDescent="0.25">
      <c r="A86023"/>
      <c r="B86023"/>
      <c r="C86023"/>
      <c r="E86023"/>
      <c r="F86023"/>
    </row>
    <row r="86024" spans="1:6" x14ac:dyDescent="0.25">
      <c r="A86024"/>
      <c r="B86024"/>
      <c r="C86024"/>
      <c r="E86024"/>
      <c r="F86024"/>
    </row>
    <row r="86025" spans="1:6" x14ac:dyDescent="0.25">
      <c r="A86025"/>
      <c r="B86025"/>
      <c r="C86025"/>
      <c r="E86025"/>
      <c r="F86025"/>
    </row>
    <row r="86026" spans="1:6" x14ac:dyDescent="0.25">
      <c r="A86026"/>
      <c r="B86026"/>
      <c r="C86026"/>
      <c r="E86026"/>
      <c r="F86026"/>
    </row>
    <row r="86027" spans="1:6" x14ac:dyDescent="0.25">
      <c r="A86027"/>
      <c r="B86027"/>
      <c r="C86027"/>
      <c r="E86027"/>
      <c r="F86027"/>
    </row>
    <row r="86028" spans="1:6" x14ac:dyDescent="0.25">
      <c r="A86028"/>
      <c r="B86028"/>
      <c r="C86028"/>
      <c r="E86028"/>
      <c r="F86028"/>
    </row>
    <row r="86029" spans="1:6" x14ac:dyDescent="0.25">
      <c r="A86029"/>
      <c r="B86029"/>
      <c r="C86029"/>
      <c r="E86029"/>
      <c r="F86029"/>
    </row>
    <row r="86030" spans="1:6" x14ac:dyDescent="0.25">
      <c r="A86030"/>
      <c r="B86030"/>
      <c r="C86030"/>
      <c r="E86030"/>
      <c r="F86030"/>
    </row>
    <row r="86031" spans="1:6" x14ac:dyDescent="0.25">
      <c r="A86031"/>
      <c r="B86031"/>
      <c r="C86031"/>
      <c r="E86031"/>
      <c r="F86031"/>
    </row>
    <row r="86032" spans="1:6" x14ac:dyDescent="0.25">
      <c r="A86032"/>
      <c r="B86032"/>
      <c r="C86032"/>
      <c r="E86032"/>
      <c r="F86032"/>
    </row>
    <row r="86033" spans="1:6" x14ac:dyDescent="0.25">
      <c r="A86033"/>
      <c r="B86033"/>
      <c r="C86033"/>
      <c r="E86033"/>
      <c r="F86033"/>
    </row>
    <row r="86034" spans="1:6" x14ac:dyDescent="0.25">
      <c r="A86034"/>
      <c r="B86034"/>
      <c r="C86034"/>
      <c r="E86034"/>
      <c r="F86034"/>
    </row>
    <row r="86035" spans="1:6" x14ac:dyDescent="0.25">
      <c r="A86035"/>
      <c r="B86035"/>
      <c r="C86035"/>
      <c r="E86035"/>
      <c r="F86035"/>
    </row>
    <row r="86036" spans="1:6" x14ac:dyDescent="0.25">
      <c r="A86036"/>
      <c r="B86036"/>
      <c r="C86036"/>
      <c r="E86036"/>
      <c r="F86036"/>
    </row>
    <row r="86037" spans="1:6" x14ac:dyDescent="0.25">
      <c r="A86037"/>
      <c r="B86037"/>
      <c r="C86037"/>
      <c r="E86037"/>
      <c r="F86037"/>
    </row>
    <row r="86038" spans="1:6" x14ac:dyDescent="0.25">
      <c r="A86038"/>
      <c r="B86038"/>
      <c r="C86038"/>
      <c r="E86038"/>
      <c r="F86038"/>
    </row>
    <row r="86039" spans="1:6" x14ac:dyDescent="0.25">
      <c r="A86039"/>
      <c r="B86039"/>
      <c r="C86039"/>
      <c r="E86039"/>
      <c r="F86039"/>
    </row>
    <row r="86040" spans="1:6" x14ac:dyDescent="0.25">
      <c r="A86040"/>
      <c r="B86040"/>
      <c r="C86040"/>
      <c r="E86040"/>
      <c r="F86040"/>
    </row>
    <row r="86041" spans="1:6" x14ac:dyDescent="0.25">
      <c r="A86041"/>
      <c r="B86041"/>
      <c r="C86041"/>
      <c r="E86041"/>
      <c r="F86041"/>
    </row>
    <row r="86042" spans="1:6" x14ac:dyDescent="0.25">
      <c r="A86042"/>
      <c r="B86042"/>
      <c r="C86042"/>
      <c r="E86042"/>
      <c r="F86042"/>
    </row>
    <row r="86043" spans="1:6" x14ac:dyDescent="0.25">
      <c r="A86043"/>
      <c r="B86043"/>
      <c r="C86043"/>
      <c r="E86043"/>
      <c r="F86043"/>
    </row>
    <row r="86044" spans="1:6" x14ac:dyDescent="0.25">
      <c r="A86044"/>
      <c r="B86044"/>
      <c r="C86044"/>
      <c r="E86044"/>
      <c r="F86044"/>
    </row>
    <row r="86045" spans="1:6" x14ac:dyDescent="0.25">
      <c r="A86045"/>
      <c r="B86045"/>
      <c r="C86045"/>
      <c r="E86045"/>
      <c r="F86045"/>
    </row>
    <row r="86046" spans="1:6" x14ac:dyDescent="0.25">
      <c r="A86046"/>
      <c r="B86046"/>
      <c r="C86046"/>
      <c r="E86046"/>
      <c r="F86046"/>
    </row>
    <row r="86047" spans="1:6" x14ac:dyDescent="0.25">
      <c r="A86047"/>
      <c r="B86047"/>
      <c r="C86047"/>
      <c r="E86047"/>
      <c r="F86047"/>
    </row>
    <row r="86048" spans="1:6" x14ac:dyDescent="0.25">
      <c r="A86048"/>
      <c r="B86048"/>
      <c r="C86048"/>
      <c r="E86048"/>
      <c r="F86048"/>
    </row>
    <row r="86049" spans="1:6" x14ac:dyDescent="0.25">
      <c r="A86049"/>
      <c r="B86049"/>
      <c r="C86049"/>
      <c r="E86049"/>
      <c r="F86049"/>
    </row>
    <row r="86050" spans="1:6" x14ac:dyDescent="0.25">
      <c r="A86050"/>
      <c r="B86050"/>
      <c r="C86050"/>
      <c r="E86050"/>
      <c r="F86050"/>
    </row>
    <row r="86051" spans="1:6" x14ac:dyDescent="0.25">
      <c r="A86051"/>
      <c r="B86051"/>
      <c r="C86051"/>
      <c r="E86051"/>
      <c r="F86051"/>
    </row>
    <row r="86052" spans="1:6" x14ac:dyDescent="0.25">
      <c r="A86052"/>
      <c r="B86052"/>
      <c r="C86052"/>
      <c r="E86052"/>
      <c r="F86052"/>
    </row>
    <row r="86053" spans="1:6" x14ac:dyDescent="0.25">
      <c r="A86053"/>
      <c r="B86053"/>
      <c r="C86053"/>
      <c r="E86053"/>
      <c r="F86053"/>
    </row>
    <row r="86054" spans="1:6" x14ac:dyDescent="0.25">
      <c r="A86054"/>
      <c r="B86054"/>
      <c r="C86054"/>
      <c r="E86054"/>
      <c r="F86054"/>
    </row>
    <row r="86055" spans="1:6" x14ac:dyDescent="0.25">
      <c r="A86055"/>
      <c r="B86055"/>
      <c r="C86055"/>
      <c r="E86055"/>
      <c r="F86055"/>
    </row>
    <row r="86056" spans="1:6" x14ac:dyDescent="0.25">
      <c r="A86056"/>
      <c r="B86056"/>
      <c r="C86056"/>
      <c r="E86056"/>
      <c r="F86056"/>
    </row>
    <row r="86057" spans="1:6" x14ac:dyDescent="0.25">
      <c r="A86057"/>
      <c r="B86057"/>
      <c r="C86057"/>
      <c r="E86057"/>
      <c r="F86057"/>
    </row>
    <row r="86058" spans="1:6" x14ac:dyDescent="0.25">
      <c r="A86058"/>
      <c r="B86058"/>
      <c r="C86058"/>
      <c r="E86058"/>
      <c r="F86058"/>
    </row>
    <row r="86059" spans="1:6" x14ac:dyDescent="0.25">
      <c r="A86059"/>
      <c r="B86059"/>
      <c r="C86059"/>
      <c r="E86059"/>
      <c r="F86059"/>
    </row>
    <row r="86060" spans="1:6" x14ac:dyDescent="0.25">
      <c r="A86060"/>
      <c r="B86060"/>
      <c r="C86060"/>
      <c r="E86060"/>
      <c r="F86060"/>
    </row>
    <row r="86061" spans="1:6" x14ac:dyDescent="0.25">
      <c r="A86061"/>
      <c r="B86061"/>
      <c r="C86061"/>
      <c r="E86061"/>
      <c r="F86061"/>
    </row>
    <row r="86062" spans="1:6" x14ac:dyDescent="0.25">
      <c r="A86062"/>
      <c r="B86062"/>
      <c r="C86062"/>
      <c r="E86062"/>
      <c r="F86062"/>
    </row>
    <row r="86063" spans="1:6" x14ac:dyDescent="0.25">
      <c r="A86063"/>
      <c r="B86063"/>
      <c r="C86063"/>
      <c r="E86063"/>
      <c r="F86063"/>
    </row>
    <row r="86064" spans="1:6" x14ac:dyDescent="0.25">
      <c r="A86064"/>
      <c r="B86064"/>
      <c r="C86064"/>
      <c r="E86064"/>
      <c r="F86064"/>
    </row>
    <row r="86065" spans="1:6" x14ac:dyDescent="0.25">
      <c r="A86065"/>
      <c r="B86065"/>
      <c r="C86065"/>
      <c r="E86065"/>
      <c r="F86065"/>
    </row>
    <row r="86066" spans="1:6" x14ac:dyDescent="0.25">
      <c r="A86066"/>
      <c r="B86066"/>
      <c r="C86066"/>
      <c r="E86066"/>
      <c r="F86066"/>
    </row>
    <row r="86067" spans="1:6" x14ac:dyDescent="0.25">
      <c r="A86067"/>
      <c r="B86067"/>
      <c r="C86067"/>
      <c r="E86067"/>
      <c r="F86067"/>
    </row>
    <row r="86068" spans="1:6" x14ac:dyDescent="0.25">
      <c r="A86068"/>
      <c r="B86068"/>
      <c r="C86068"/>
      <c r="E86068"/>
      <c r="F86068"/>
    </row>
    <row r="86069" spans="1:6" x14ac:dyDescent="0.25">
      <c r="A86069"/>
      <c r="B86069"/>
      <c r="C86069"/>
      <c r="E86069"/>
      <c r="F86069"/>
    </row>
    <row r="86070" spans="1:6" x14ac:dyDescent="0.25">
      <c r="A86070"/>
      <c r="B86070"/>
      <c r="C86070"/>
      <c r="E86070"/>
      <c r="F86070"/>
    </row>
    <row r="86071" spans="1:6" x14ac:dyDescent="0.25">
      <c r="A86071"/>
      <c r="B86071"/>
      <c r="C86071"/>
      <c r="E86071"/>
      <c r="F86071"/>
    </row>
    <row r="86072" spans="1:6" x14ac:dyDescent="0.25">
      <c r="A86072"/>
      <c r="B86072"/>
      <c r="C86072"/>
      <c r="E86072"/>
      <c r="F86072"/>
    </row>
    <row r="86073" spans="1:6" x14ac:dyDescent="0.25">
      <c r="A86073"/>
      <c r="B86073"/>
      <c r="C86073"/>
      <c r="E86073"/>
      <c r="F86073"/>
    </row>
    <row r="86074" spans="1:6" x14ac:dyDescent="0.25">
      <c r="A86074"/>
      <c r="B86074"/>
      <c r="C86074"/>
      <c r="E86074"/>
      <c r="F86074"/>
    </row>
    <row r="86075" spans="1:6" x14ac:dyDescent="0.25">
      <c r="A86075"/>
      <c r="B86075"/>
      <c r="C86075"/>
      <c r="E86075"/>
      <c r="F86075"/>
    </row>
    <row r="86076" spans="1:6" x14ac:dyDescent="0.25">
      <c r="A86076"/>
      <c r="B86076"/>
      <c r="C86076"/>
      <c r="E86076"/>
      <c r="F86076"/>
    </row>
    <row r="86077" spans="1:6" x14ac:dyDescent="0.25">
      <c r="A86077"/>
      <c r="B86077"/>
      <c r="C86077"/>
      <c r="E86077"/>
      <c r="F86077"/>
    </row>
    <row r="86078" spans="1:6" x14ac:dyDescent="0.25">
      <c r="A86078"/>
      <c r="B86078"/>
      <c r="C86078"/>
      <c r="E86078"/>
      <c r="F86078"/>
    </row>
    <row r="86079" spans="1:6" x14ac:dyDescent="0.25">
      <c r="A86079"/>
      <c r="B86079"/>
      <c r="C86079"/>
      <c r="E86079"/>
      <c r="F86079"/>
    </row>
    <row r="86080" spans="1:6" x14ac:dyDescent="0.25">
      <c r="A86080"/>
      <c r="B86080"/>
      <c r="C86080"/>
      <c r="E86080"/>
      <c r="F86080"/>
    </row>
    <row r="86081" spans="1:6" x14ac:dyDescent="0.25">
      <c r="A86081"/>
      <c r="B86081"/>
      <c r="C86081"/>
      <c r="E86081"/>
      <c r="F86081"/>
    </row>
    <row r="86082" spans="1:6" x14ac:dyDescent="0.25">
      <c r="A86082"/>
      <c r="B86082"/>
      <c r="C86082"/>
      <c r="E86082"/>
      <c r="F86082"/>
    </row>
    <row r="86083" spans="1:6" x14ac:dyDescent="0.25">
      <c r="A86083"/>
      <c r="B86083"/>
      <c r="C86083"/>
      <c r="E86083"/>
      <c r="F86083"/>
    </row>
    <row r="86084" spans="1:6" x14ac:dyDescent="0.25">
      <c r="A86084"/>
      <c r="B86084"/>
      <c r="C86084"/>
      <c r="E86084"/>
      <c r="F86084"/>
    </row>
    <row r="86085" spans="1:6" x14ac:dyDescent="0.25">
      <c r="A86085"/>
      <c r="B86085"/>
      <c r="C86085"/>
      <c r="E86085"/>
      <c r="F86085"/>
    </row>
    <row r="86086" spans="1:6" x14ac:dyDescent="0.25">
      <c r="A86086"/>
      <c r="B86086"/>
      <c r="C86086"/>
      <c r="E86086"/>
      <c r="F86086"/>
    </row>
    <row r="86087" spans="1:6" x14ac:dyDescent="0.25">
      <c r="A86087"/>
      <c r="B86087"/>
      <c r="C86087"/>
      <c r="E86087"/>
      <c r="F86087"/>
    </row>
    <row r="86088" spans="1:6" x14ac:dyDescent="0.25">
      <c r="A86088"/>
      <c r="B86088"/>
      <c r="C86088"/>
      <c r="E86088"/>
      <c r="F86088"/>
    </row>
    <row r="86089" spans="1:6" x14ac:dyDescent="0.25">
      <c r="A86089"/>
      <c r="B86089"/>
      <c r="C86089"/>
      <c r="E86089"/>
      <c r="F86089"/>
    </row>
    <row r="86090" spans="1:6" x14ac:dyDescent="0.25">
      <c r="A86090"/>
      <c r="B86090"/>
      <c r="C86090"/>
      <c r="E86090"/>
      <c r="F86090"/>
    </row>
    <row r="86091" spans="1:6" x14ac:dyDescent="0.25">
      <c r="A86091"/>
      <c r="B86091"/>
      <c r="C86091"/>
      <c r="E86091"/>
      <c r="F86091"/>
    </row>
    <row r="86092" spans="1:6" x14ac:dyDescent="0.25">
      <c r="A86092"/>
      <c r="B86092"/>
      <c r="C86092"/>
      <c r="E86092"/>
      <c r="F86092"/>
    </row>
    <row r="86093" spans="1:6" x14ac:dyDescent="0.25">
      <c r="A86093"/>
      <c r="B86093"/>
      <c r="C86093"/>
      <c r="E86093"/>
      <c r="F86093"/>
    </row>
    <row r="86094" spans="1:6" x14ac:dyDescent="0.25">
      <c r="A86094"/>
      <c r="B86094"/>
      <c r="C86094"/>
      <c r="E86094"/>
      <c r="F86094"/>
    </row>
    <row r="86095" spans="1:6" x14ac:dyDescent="0.25">
      <c r="A86095"/>
      <c r="B86095"/>
      <c r="C86095"/>
      <c r="E86095"/>
      <c r="F86095"/>
    </row>
    <row r="86096" spans="1:6" x14ac:dyDescent="0.25">
      <c r="A86096"/>
      <c r="B86096"/>
      <c r="C86096"/>
      <c r="E86096"/>
      <c r="F86096"/>
    </row>
    <row r="86097" spans="1:6" x14ac:dyDescent="0.25">
      <c r="A86097"/>
      <c r="B86097"/>
      <c r="C86097"/>
      <c r="E86097"/>
      <c r="F86097"/>
    </row>
    <row r="86098" spans="1:6" x14ac:dyDescent="0.25">
      <c r="A86098"/>
      <c r="B86098"/>
      <c r="C86098"/>
      <c r="E86098"/>
      <c r="F86098"/>
    </row>
    <row r="86099" spans="1:6" x14ac:dyDescent="0.25">
      <c r="A86099"/>
      <c r="B86099"/>
      <c r="C86099"/>
      <c r="E86099"/>
      <c r="F86099"/>
    </row>
    <row r="86100" spans="1:6" x14ac:dyDescent="0.25">
      <c r="A86100"/>
      <c r="B86100"/>
      <c r="C86100"/>
      <c r="E86100"/>
      <c r="F86100"/>
    </row>
    <row r="86101" spans="1:6" x14ac:dyDescent="0.25">
      <c r="A86101"/>
      <c r="B86101"/>
      <c r="C86101"/>
      <c r="E86101"/>
      <c r="F86101"/>
    </row>
    <row r="86102" spans="1:6" x14ac:dyDescent="0.25">
      <c r="A86102"/>
      <c r="B86102"/>
      <c r="C86102"/>
      <c r="E86102"/>
      <c r="F86102"/>
    </row>
    <row r="86103" spans="1:6" x14ac:dyDescent="0.25">
      <c r="A86103"/>
      <c r="B86103"/>
      <c r="C86103"/>
      <c r="E86103"/>
      <c r="F86103"/>
    </row>
    <row r="86104" spans="1:6" x14ac:dyDescent="0.25">
      <c r="A86104"/>
      <c r="B86104"/>
      <c r="C86104"/>
      <c r="E86104"/>
      <c r="F86104"/>
    </row>
    <row r="86105" spans="1:6" x14ac:dyDescent="0.25">
      <c r="A86105"/>
      <c r="B86105"/>
      <c r="C86105"/>
      <c r="E86105"/>
      <c r="F86105"/>
    </row>
    <row r="86106" spans="1:6" x14ac:dyDescent="0.25">
      <c r="A86106"/>
      <c r="B86106"/>
      <c r="C86106"/>
      <c r="E86106"/>
      <c r="F86106"/>
    </row>
    <row r="86107" spans="1:6" x14ac:dyDescent="0.25">
      <c r="A86107"/>
      <c r="B86107"/>
      <c r="C86107"/>
      <c r="E86107"/>
      <c r="F86107"/>
    </row>
    <row r="86108" spans="1:6" x14ac:dyDescent="0.25">
      <c r="A86108"/>
      <c r="B86108"/>
      <c r="C86108"/>
      <c r="E86108"/>
      <c r="F86108"/>
    </row>
    <row r="86109" spans="1:6" x14ac:dyDescent="0.25">
      <c r="A86109"/>
      <c r="B86109"/>
      <c r="C86109"/>
      <c r="E86109"/>
      <c r="F86109"/>
    </row>
    <row r="86110" spans="1:6" x14ac:dyDescent="0.25">
      <c r="A86110"/>
      <c r="B86110"/>
      <c r="C86110"/>
      <c r="E86110"/>
      <c r="F86110"/>
    </row>
    <row r="86111" spans="1:6" x14ac:dyDescent="0.25">
      <c r="A86111"/>
      <c r="B86111"/>
      <c r="C86111"/>
      <c r="E86111"/>
      <c r="F86111"/>
    </row>
    <row r="86112" spans="1:6" x14ac:dyDescent="0.25">
      <c r="A86112"/>
      <c r="B86112"/>
      <c r="C86112"/>
      <c r="E86112"/>
      <c r="F86112"/>
    </row>
    <row r="86113" spans="1:6" x14ac:dyDescent="0.25">
      <c r="A86113"/>
      <c r="B86113"/>
      <c r="C86113"/>
      <c r="E86113"/>
      <c r="F86113"/>
    </row>
    <row r="86114" spans="1:6" x14ac:dyDescent="0.25">
      <c r="A86114"/>
      <c r="B86114"/>
      <c r="C86114"/>
      <c r="E86114"/>
      <c r="F86114"/>
    </row>
    <row r="86115" spans="1:6" x14ac:dyDescent="0.25">
      <c r="A86115"/>
      <c r="B86115"/>
      <c r="C86115"/>
      <c r="E86115"/>
      <c r="F86115"/>
    </row>
    <row r="86116" spans="1:6" x14ac:dyDescent="0.25">
      <c r="A86116"/>
      <c r="B86116"/>
      <c r="C86116"/>
      <c r="E86116"/>
      <c r="F86116"/>
    </row>
    <row r="86117" spans="1:6" x14ac:dyDescent="0.25">
      <c r="A86117"/>
      <c r="B86117"/>
      <c r="C86117"/>
      <c r="E86117"/>
      <c r="F86117"/>
    </row>
    <row r="86118" spans="1:6" x14ac:dyDescent="0.25">
      <c r="A86118"/>
      <c r="B86118"/>
      <c r="C86118"/>
      <c r="E86118"/>
      <c r="F86118"/>
    </row>
    <row r="86119" spans="1:6" x14ac:dyDescent="0.25">
      <c r="A86119"/>
      <c r="B86119"/>
      <c r="C86119"/>
      <c r="E86119"/>
      <c r="F86119"/>
    </row>
    <row r="86120" spans="1:6" x14ac:dyDescent="0.25">
      <c r="A86120"/>
      <c r="B86120"/>
      <c r="C86120"/>
      <c r="E86120"/>
      <c r="F86120"/>
    </row>
    <row r="86121" spans="1:6" x14ac:dyDescent="0.25">
      <c r="A86121"/>
      <c r="B86121"/>
      <c r="C86121"/>
      <c r="E86121"/>
      <c r="F86121"/>
    </row>
    <row r="86122" spans="1:6" x14ac:dyDescent="0.25">
      <c r="A86122"/>
      <c r="B86122"/>
      <c r="C86122"/>
      <c r="E86122"/>
      <c r="F86122"/>
    </row>
    <row r="86123" spans="1:6" x14ac:dyDescent="0.25">
      <c r="A86123"/>
      <c r="B86123"/>
      <c r="C86123"/>
      <c r="E86123"/>
      <c r="F86123"/>
    </row>
    <row r="86124" spans="1:6" x14ac:dyDescent="0.25">
      <c r="A86124"/>
      <c r="B86124"/>
      <c r="C86124"/>
      <c r="E86124"/>
      <c r="F86124"/>
    </row>
    <row r="86125" spans="1:6" x14ac:dyDescent="0.25">
      <c r="A86125"/>
      <c r="B86125"/>
      <c r="C86125"/>
      <c r="E86125"/>
      <c r="F86125"/>
    </row>
    <row r="86126" spans="1:6" x14ac:dyDescent="0.25">
      <c r="A86126"/>
      <c r="B86126"/>
      <c r="C86126"/>
      <c r="E86126"/>
      <c r="F86126"/>
    </row>
    <row r="86127" spans="1:6" x14ac:dyDescent="0.25">
      <c r="A86127"/>
      <c r="B86127"/>
      <c r="C86127"/>
      <c r="E86127"/>
      <c r="F86127"/>
    </row>
    <row r="86128" spans="1:6" x14ac:dyDescent="0.25">
      <c r="A86128"/>
      <c r="B86128"/>
      <c r="C86128"/>
      <c r="E86128"/>
      <c r="F86128"/>
    </row>
    <row r="86129" spans="1:6" x14ac:dyDescent="0.25">
      <c r="A86129"/>
      <c r="B86129"/>
      <c r="C86129"/>
      <c r="E86129"/>
      <c r="F86129"/>
    </row>
    <row r="86130" spans="1:6" x14ac:dyDescent="0.25">
      <c r="A86130"/>
      <c r="B86130"/>
      <c r="C86130"/>
      <c r="E86130"/>
      <c r="F86130"/>
    </row>
    <row r="86131" spans="1:6" x14ac:dyDescent="0.25">
      <c r="A86131"/>
      <c r="B86131"/>
      <c r="C86131"/>
      <c r="E86131"/>
      <c r="F86131"/>
    </row>
    <row r="86132" spans="1:6" x14ac:dyDescent="0.25">
      <c r="A86132"/>
      <c r="B86132"/>
      <c r="C86132"/>
      <c r="E86132"/>
      <c r="F86132"/>
    </row>
    <row r="86133" spans="1:6" x14ac:dyDescent="0.25">
      <c r="A86133"/>
      <c r="B86133"/>
      <c r="C86133"/>
      <c r="E86133"/>
      <c r="F86133"/>
    </row>
    <row r="86134" spans="1:6" x14ac:dyDescent="0.25">
      <c r="A86134"/>
      <c r="B86134"/>
      <c r="C86134"/>
      <c r="E86134"/>
      <c r="F86134"/>
    </row>
    <row r="86135" spans="1:6" x14ac:dyDescent="0.25">
      <c r="A86135"/>
      <c r="B86135"/>
      <c r="C86135"/>
      <c r="E86135"/>
      <c r="F86135"/>
    </row>
    <row r="86136" spans="1:6" x14ac:dyDescent="0.25">
      <c r="A86136"/>
      <c r="B86136"/>
      <c r="C86136"/>
      <c r="E86136"/>
      <c r="F86136"/>
    </row>
    <row r="86137" spans="1:6" x14ac:dyDescent="0.25">
      <c r="A86137"/>
      <c r="B86137"/>
      <c r="C86137"/>
      <c r="E86137"/>
      <c r="F86137"/>
    </row>
    <row r="86138" spans="1:6" x14ac:dyDescent="0.25">
      <c r="A86138"/>
      <c r="B86138"/>
      <c r="C86138"/>
      <c r="E86138"/>
      <c r="F86138"/>
    </row>
    <row r="86139" spans="1:6" x14ac:dyDescent="0.25">
      <c r="A86139"/>
      <c r="B86139"/>
      <c r="C86139"/>
      <c r="E86139"/>
      <c r="F86139"/>
    </row>
    <row r="86140" spans="1:6" x14ac:dyDescent="0.25">
      <c r="A86140"/>
      <c r="B86140"/>
      <c r="C86140"/>
      <c r="E86140"/>
      <c r="F86140"/>
    </row>
    <row r="86141" spans="1:6" x14ac:dyDescent="0.25">
      <c r="A86141"/>
      <c r="B86141"/>
      <c r="C86141"/>
      <c r="E86141"/>
      <c r="F86141"/>
    </row>
    <row r="86142" spans="1:6" x14ac:dyDescent="0.25">
      <c r="A86142"/>
      <c r="B86142"/>
      <c r="C86142"/>
      <c r="E86142"/>
      <c r="F86142"/>
    </row>
    <row r="86143" spans="1:6" x14ac:dyDescent="0.25">
      <c r="A86143"/>
      <c r="B86143"/>
      <c r="C86143"/>
      <c r="E86143"/>
      <c r="F86143"/>
    </row>
    <row r="86144" spans="1:6" x14ac:dyDescent="0.25">
      <c r="A86144"/>
      <c r="B86144"/>
      <c r="C86144"/>
      <c r="E86144"/>
      <c r="F86144"/>
    </row>
    <row r="86145" spans="1:6" x14ac:dyDescent="0.25">
      <c r="A86145"/>
      <c r="B86145"/>
      <c r="C86145"/>
      <c r="E86145"/>
      <c r="F86145"/>
    </row>
    <row r="86146" spans="1:6" x14ac:dyDescent="0.25">
      <c r="A86146"/>
      <c r="B86146"/>
      <c r="C86146"/>
      <c r="E86146"/>
      <c r="F86146"/>
    </row>
    <row r="86147" spans="1:6" x14ac:dyDescent="0.25">
      <c r="A86147"/>
      <c r="B86147"/>
      <c r="C86147"/>
      <c r="E86147"/>
      <c r="F86147"/>
    </row>
    <row r="86148" spans="1:6" x14ac:dyDescent="0.25">
      <c r="A86148"/>
      <c r="B86148"/>
      <c r="C86148"/>
      <c r="E86148"/>
      <c r="F86148"/>
    </row>
    <row r="86149" spans="1:6" x14ac:dyDescent="0.25">
      <c r="A86149"/>
      <c r="B86149"/>
      <c r="C86149"/>
      <c r="E86149"/>
      <c r="F86149"/>
    </row>
    <row r="86150" spans="1:6" x14ac:dyDescent="0.25">
      <c r="A86150"/>
      <c r="B86150"/>
      <c r="C86150"/>
      <c r="E86150"/>
      <c r="F86150"/>
    </row>
    <row r="86151" spans="1:6" x14ac:dyDescent="0.25">
      <c r="A86151"/>
      <c r="B86151"/>
      <c r="C86151"/>
      <c r="E86151"/>
      <c r="F86151"/>
    </row>
    <row r="86152" spans="1:6" x14ac:dyDescent="0.25">
      <c r="A86152"/>
      <c r="B86152"/>
      <c r="C86152"/>
      <c r="E86152"/>
      <c r="F86152"/>
    </row>
    <row r="86153" spans="1:6" x14ac:dyDescent="0.25">
      <c r="A86153"/>
      <c r="B86153"/>
      <c r="C86153"/>
      <c r="E86153"/>
      <c r="F86153"/>
    </row>
    <row r="86154" spans="1:6" x14ac:dyDescent="0.25">
      <c r="A86154"/>
      <c r="B86154"/>
      <c r="C86154"/>
      <c r="E86154"/>
      <c r="F86154"/>
    </row>
    <row r="86155" spans="1:6" x14ac:dyDescent="0.25">
      <c r="A86155"/>
      <c r="B86155"/>
      <c r="C86155"/>
      <c r="E86155"/>
      <c r="F86155"/>
    </row>
    <row r="86156" spans="1:6" x14ac:dyDescent="0.25">
      <c r="A86156"/>
      <c r="B86156"/>
      <c r="C86156"/>
      <c r="E86156"/>
      <c r="F86156"/>
    </row>
    <row r="86157" spans="1:6" x14ac:dyDescent="0.25">
      <c r="A86157"/>
      <c r="B86157"/>
      <c r="C86157"/>
      <c r="E86157"/>
      <c r="F86157"/>
    </row>
    <row r="86158" spans="1:6" x14ac:dyDescent="0.25">
      <c r="A86158"/>
      <c r="B86158"/>
      <c r="C86158"/>
      <c r="E86158"/>
      <c r="F86158"/>
    </row>
    <row r="86159" spans="1:6" x14ac:dyDescent="0.25">
      <c r="A86159"/>
      <c r="B86159"/>
      <c r="C86159"/>
      <c r="E86159"/>
      <c r="F86159"/>
    </row>
    <row r="86160" spans="1:6" x14ac:dyDescent="0.25">
      <c r="A86160"/>
      <c r="B86160"/>
      <c r="C86160"/>
      <c r="E86160"/>
      <c r="F86160"/>
    </row>
    <row r="86161" spans="1:6" x14ac:dyDescent="0.25">
      <c r="A86161"/>
      <c r="B86161"/>
      <c r="C86161"/>
      <c r="E86161"/>
      <c r="F86161"/>
    </row>
    <row r="86162" spans="1:6" x14ac:dyDescent="0.25">
      <c r="A86162"/>
      <c r="B86162"/>
      <c r="C86162"/>
      <c r="E86162"/>
      <c r="F86162"/>
    </row>
    <row r="86163" spans="1:6" x14ac:dyDescent="0.25">
      <c r="A86163"/>
      <c r="B86163"/>
      <c r="C86163"/>
      <c r="E86163"/>
      <c r="F86163"/>
    </row>
    <row r="86164" spans="1:6" x14ac:dyDescent="0.25">
      <c r="A86164"/>
      <c r="B86164"/>
      <c r="C86164"/>
      <c r="E86164"/>
      <c r="F86164"/>
    </row>
    <row r="86165" spans="1:6" x14ac:dyDescent="0.25">
      <c r="A86165"/>
      <c r="B86165"/>
      <c r="C86165"/>
      <c r="E86165"/>
      <c r="F86165"/>
    </row>
    <row r="86166" spans="1:6" x14ac:dyDescent="0.25">
      <c r="A86166"/>
      <c r="B86166"/>
      <c r="C86166"/>
      <c r="E86166"/>
      <c r="F86166"/>
    </row>
    <row r="86167" spans="1:6" x14ac:dyDescent="0.25">
      <c r="A86167"/>
      <c r="B86167"/>
      <c r="C86167"/>
      <c r="E86167"/>
      <c r="F86167"/>
    </row>
    <row r="86168" spans="1:6" x14ac:dyDescent="0.25">
      <c r="A86168"/>
      <c r="B86168"/>
      <c r="C86168"/>
      <c r="E86168"/>
      <c r="F86168"/>
    </row>
    <row r="86169" spans="1:6" x14ac:dyDescent="0.25">
      <c r="A86169"/>
      <c r="B86169"/>
      <c r="C86169"/>
      <c r="E86169"/>
      <c r="F86169"/>
    </row>
    <row r="86170" spans="1:6" x14ac:dyDescent="0.25">
      <c r="A86170"/>
      <c r="B86170"/>
      <c r="C86170"/>
      <c r="E86170"/>
      <c r="F86170"/>
    </row>
    <row r="86171" spans="1:6" x14ac:dyDescent="0.25">
      <c r="A86171"/>
      <c r="B86171"/>
      <c r="C86171"/>
      <c r="E86171"/>
      <c r="F86171"/>
    </row>
    <row r="86172" spans="1:6" x14ac:dyDescent="0.25">
      <c r="A86172"/>
      <c r="B86172"/>
      <c r="C86172"/>
      <c r="E86172"/>
      <c r="F86172"/>
    </row>
    <row r="86173" spans="1:6" x14ac:dyDescent="0.25">
      <c r="A86173"/>
      <c r="B86173"/>
      <c r="C86173"/>
      <c r="E86173"/>
      <c r="F86173"/>
    </row>
    <row r="86174" spans="1:6" x14ac:dyDescent="0.25">
      <c r="A86174"/>
      <c r="B86174"/>
      <c r="C86174"/>
      <c r="E86174"/>
      <c r="F86174"/>
    </row>
    <row r="86175" spans="1:6" x14ac:dyDescent="0.25">
      <c r="A86175"/>
      <c r="B86175"/>
      <c r="C86175"/>
      <c r="E86175"/>
      <c r="F86175"/>
    </row>
    <row r="86176" spans="1:6" x14ac:dyDescent="0.25">
      <c r="A86176"/>
      <c r="B86176"/>
      <c r="C86176"/>
      <c r="E86176"/>
      <c r="F86176"/>
    </row>
    <row r="86177" spans="1:6" x14ac:dyDescent="0.25">
      <c r="A86177"/>
      <c r="B86177"/>
      <c r="C86177"/>
      <c r="E86177"/>
      <c r="F86177"/>
    </row>
    <row r="86178" spans="1:6" x14ac:dyDescent="0.25">
      <c r="A86178"/>
      <c r="B86178"/>
      <c r="C86178"/>
      <c r="E86178"/>
      <c r="F86178"/>
    </row>
    <row r="86179" spans="1:6" x14ac:dyDescent="0.25">
      <c r="A86179"/>
      <c r="B86179"/>
      <c r="C86179"/>
      <c r="E86179"/>
      <c r="F86179"/>
    </row>
    <row r="86180" spans="1:6" x14ac:dyDescent="0.25">
      <c r="A86180"/>
      <c r="B86180"/>
      <c r="C86180"/>
      <c r="E86180"/>
      <c r="F86180"/>
    </row>
    <row r="86181" spans="1:6" x14ac:dyDescent="0.25">
      <c r="A86181"/>
      <c r="B86181"/>
      <c r="C86181"/>
      <c r="E86181"/>
      <c r="F86181"/>
    </row>
    <row r="86182" spans="1:6" x14ac:dyDescent="0.25">
      <c r="A86182"/>
      <c r="B86182"/>
      <c r="C86182"/>
      <c r="E86182"/>
      <c r="F86182"/>
    </row>
    <row r="86183" spans="1:6" x14ac:dyDescent="0.25">
      <c r="A86183"/>
      <c r="B86183"/>
      <c r="C86183"/>
      <c r="E86183"/>
      <c r="F86183"/>
    </row>
    <row r="86184" spans="1:6" x14ac:dyDescent="0.25">
      <c r="A86184"/>
      <c r="B86184"/>
      <c r="C86184"/>
      <c r="E86184"/>
      <c r="F86184"/>
    </row>
    <row r="86185" spans="1:6" x14ac:dyDescent="0.25">
      <c r="A86185"/>
      <c r="B86185"/>
      <c r="C86185"/>
      <c r="E86185"/>
      <c r="F86185"/>
    </row>
    <row r="86186" spans="1:6" x14ac:dyDescent="0.25">
      <c r="A86186"/>
      <c r="B86186"/>
      <c r="C86186"/>
      <c r="E86186"/>
      <c r="F86186"/>
    </row>
    <row r="86187" spans="1:6" x14ac:dyDescent="0.25">
      <c r="A86187"/>
      <c r="B86187"/>
      <c r="C86187"/>
      <c r="E86187"/>
      <c r="F86187"/>
    </row>
    <row r="86188" spans="1:6" x14ac:dyDescent="0.25">
      <c r="A86188"/>
      <c r="B86188"/>
      <c r="C86188"/>
      <c r="E86188"/>
      <c r="F86188"/>
    </row>
    <row r="86189" spans="1:6" x14ac:dyDescent="0.25">
      <c r="A86189"/>
      <c r="B86189"/>
      <c r="C86189"/>
      <c r="E86189"/>
      <c r="F86189"/>
    </row>
    <row r="86190" spans="1:6" x14ac:dyDescent="0.25">
      <c r="A86190"/>
      <c r="B86190"/>
      <c r="C86190"/>
      <c r="E86190"/>
      <c r="F86190"/>
    </row>
    <row r="86191" spans="1:6" x14ac:dyDescent="0.25">
      <c r="A86191"/>
      <c r="B86191"/>
      <c r="C86191"/>
      <c r="E86191"/>
      <c r="F86191"/>
    </row>
    <row r="86192" spans="1:6" x14ac:dyDescent="0.25">
      <c r="A86192"/>
      <c r="B86192"/>
      <c r="C86192"/>
      <c r="E86192"/>
      <c r="F86192"/>
    </row>
    <row r="86193" spans="1:6" x14ac:dyDescent="0.25">
      <c r="A86193"/>
      <c r="B86193"/>
      <c r="C86193"/>
      <c r="E86193"/>
      <c r="F86193"/>
    </row>
    <row r="86194" spans="1:6" x14ac:dyDescent="0.25">
      <c r="A86194"/>
      <c r="B86194"/>
      <c r="C86194"/>
      <c r="E86194"/>
      <c r="F86194"/>
    </row>
    <row r="86195" spans="1:6" x14ac:dyDescent="0.25">
      <c r="A86195"/>
      <c r="B86195"/>
      <c r="C86195"/>
      <c r="E86195"/>
      <c r="F86195"/>
    </row>
    <row r="86196" spans="1:6" x14ac:dyDescent="0.25">
      <c r="A86196"/>
      <c r="B86196"/>
      <c r="C86196"/>
      <c r="E86196"/>
      <c r="F86196"/>
    </row>
    <row r="86197" spans="1:6" x14ac:dyDescent="0.25">
      <c r="A86197"/>
      <c r="B86197"/>
      <c r="C86197"/>
      <c r="E86197"/>
      <c r="F86197"/>
    </row>
    <row r="86198" spans="1:6" x14ac:dyDescent="0.25">
      <c r="A86198"/>
      <c r="B86198"/>
      <c r="C86198"/>
      <c r="E86198"/>
      <c r="F86198"/>
    </row>
    <row r="86199" spans="1:6" x14ac:dyDescent="0.25">
      <c r="A86199"/>
      <c r="B86199"/>
      <c r="C86199"/>
      <c r="E86199"/>
      <c r="F86199"/>
    </row>
    <row r="86200" spans="1:6" x14ac:dyDescent="0.25">
      <c r="A86200"/>
      <c r="B86200"/>
      <c r="C86200"/>
      <c r="E86200"/>
      <c r="F86200"/>
    </row>
    <row r="86201" spans="1:6" x14ac:dyDescent="0.25">
      <c r="A86201"/>
      <c r="B86201"/>
      <c r="C86201"/>
      <c r="E86201"/>
      <c r="F86201"/>
    </row>
    <row r="86202" spans="1:6" x14ac:dyDescent="0.25">
      <c r="A86202"/>
      <c r="B86202"/>
      <c r="C86202"/>
      <c r="E86202"/>
      <c r="F86202"/>
    </row>
    <row r="86203" spans="1:6" x14ac:dyDescent="0.25">
      <c r="A86203"/>
      <c r="B86203"/>
      <c r="C86203"/>
      <c r="E86203"/>
      <c r="F86203"/>
    </row>
    <row r="86204" spans="1:6" x14ac:dyDescent="0.25">
      <c r="A86204"/>
      <c r="B86204"/>
      <c r="C86204"/>
      <c r="E86204"/>
      <c r="F86204"/>
    </row>
    <row r="86205" spans="1:6" x14ac:dyDescent="0.25">
      <c r="A86205"/>
      <c r="B86205"/>
      <c r="C86205"/>
      <c r="E86205"/>
      <c r="F86205"/>
    </row>
    <row r="86206" spans="1:6" x14ac:dyDescent="0.25">
      <c r="A86206"/>
      <c r="B86206"/>
      <c r="C86206"/>
      <c r="E86206"/>
      <c r="F86206"/>
    </row>
    <row r="86207" spans="1:6" x14ac:dyDescent="0.25">
      <c r="A86207"/>
      <c r="B86207"/>
      <c r="C86207"/>
      <c r="E86207"/>
      <c r="F86207"/>
    </row>
    <row r="86208" spans="1:6" x14ac:dyDescent="0.25">
      <c r="A86208"/>
      <c r="B86208"/>
      <c r="C86208"/>
      <c r="E86208"/>
      <c r="F86208"/>
    </row>
    <row r="86209" spans="1:6" x14ac:dyDescent="0.25">
      <c r="A86209"/>
      <c r="B86209"/>
      <c r="C86209"/>
      <c r="E86209"/>
      <c r="F86209"/>
    </row>
    <row r="86210" spans="1:6" x14ac:dyDescent="0.25">
      <c r="A86210"/>
      <c r="B86210"/>
      <c r="C86210"/>
      <c r="E86210"/>
      <c r="F86210"/>
    </row>
    <row r="86211" spans="1:6" x14ac:dyDescent="0.25">
      <c r="A86211"/>
      <c r="B86211"/>
      <c r="C86211"/>
      <c r="E86211"/>
      <c r="F86211"/>
    </row>
    <row r="86212" spans="1:6" x14ac:dyDescent="0.25">
      <c r="A86212"/>
      <c r="B86212"/>
      <c r="C86212"/>
      <c r="E86212"/>
      <c r="F86212"/>
    </row>
    <row r="86213" spans="1:6" x14ac:dyDescent="0.25">
      <c r="A86213"/>
      <c r="B86213"/>
      <c r="C86213"/>
      <c r="E86213"/>
      <c r="F86213"/>
    </row>
    <row r="86214" spans="1:6" x14ac:dyDescent="0.25">
      <c r="A86214"/>
      <c r="B86214"/>
      <c r="C86214"/>
      <c r="E86214"/>
      <c r="F86214"/>
    </row>
    <row r="86215" spans="1:6" x14ac:dyDescent="0.25">
      <c r="A86215"/>
      <c r="B86215"/>
      <c r="C86215"/>
      <c r="E86215"/>
      <c r="F86215"/>
    </row>
    <row r="86216" spans="1:6" x14ac:dyDescent="0.25">
      <c r="A86216"/>
      <c r="B86216"/>
      <c r="C86216"/>
      <c r="E86216"/>
      <c r="F86216"/>
    </row>
    <row r="86217" spans="1:6" x14ac:dyDescent="0.25">
      <c r="A86217"/>
      <c r="B86217"/>
      <c r="C86217"/>
      <c r="E86217"/>
      <c r="F86217"/>
    </row>
    <row r="86218" spans="1:6" x14ac:dyDescent="0.25">
      <c r="A86218"/>
      <c r="B86218"/>
      <c r="C86218"/>
      <c r="E86218"/>
      <c r="F86218"/>
    </row>
    <row r="86219" spans="1:6" x14ac:dyDescent="0.25">
      <c r="A86219"/>
      <c r="B86219"/>
      <c r="C86219"/>
      <c r="E86219"/>
      <c r="F86219"/>
    </row>
    <row r="86220" spans="1:6" x14ac:dyDescent="0.25">
      <c r="A86220"/>
      <c r="B86220"/>
      <c r="C86220"/>
      <c r="E86220"/>
      <c r="F86220"/>
    </row>
    <row r="86221" spans="1:6" x14ac:dyDescent="0.25">
      <c r="A86221"/>
      <c r="B86221"/>
      <c r="C86221"/>
      <c r="E86221"/>
      <c r="F86221"/>
    </row>
    <row r="86222" spans="1:6" x14ac:dyDescent="0.25">
      <c r="A86222"/>
      <c r="B86222"/>
      <c r="C86222"/>
      <c r="E86222"/>
      <c r="F86222"/>
    </row>
    <row r="86223" spans="1:6" x14ac:dyDescent="0.25">
      <c r="A86223"/>
      <c r="B86223"/>
      <c r="C86223"/>
      <c r="E86223"/>
      <c r="F86223"/>
    </row>
    <row r="86224" spans="1:6" x14ac:dyDescent="0.25">
      <c r="A86224"/>
      <c r="B86224"/>
      <c r="C86224"/>
      <c r="E86224"/>
      <c r="F86224"/>
    </row>
    <row r="86225" spans="1:6" x14ac:dyDescent="0.25">
      <c r="A86225"/>
      <c r="B86225"/>
      <c r="C86225"/>
      <c r="E86225"/>
      <c r="F86225"/>
    </row>
    <row r="86226" spans="1:6" x14ac:dyDescent="0.25">
      <c r="A86226"/>
      <c r="B86226"/>
      <c r="C86226"/>
      <c r="E86226"/>
      <c r="F86226"/>
    </row>
    <row r="86227" spans="1:6" x14ac:dyDescent="0.25">
      <c r="A86227"/>
      <c r="B86227"/>
      <c r="C86227"/>
      <c r="E86227"/>
      <c r="F86227"/>
    </row>
    <row r="86228" spans="1:6" x14ac:dyDescent="0.25">
      <c r="A86228"/>
      <c r="B86228"/>
      <c r="C86228"/>
      <c r="E86228"/>
      <c r="F86228"/>
    </row>
    <row r="86229" spans="1:6" x14ac:dyDescent="0.25">
      <c r="A86229"/>
      <c r="B86229"/>
      <c r="C86229"/>
      <c r="E86229"/>
      <c r="F86229"/>
    </row>
    <row r="86230" spans="1:6" x14ac:dyDescent="0.25">
      <c r="A86230"/>
      <c r="B86230"/>
      <c r="C86230"/>
      <c r="E86230"/>
      <c r="F86230"/>
    </row>
    <row r="86231" spans="1:6" x14ac:dyDescent="0.25">
      <c r="A86231"/>
      <c r="B86231"/>
      <c r="C86231"/>
      <c r="E86231"/>
      <c r="F86231"/>
    </row>
    <row r="86232" spans="1:6" x14ac:dyDescent="0.25">
      <c r="A86232"/>
      <c r="B86232"/>
      <c r="C86232"/>
      <c r="E86232"/>
      <c r="F86232"/>
    </row>
    <row r="86233" spans="1:6" x14ac:dyDescent="0.25">
      <c r="A86233"/>
      <c r="B86233"/>
      <c r="C86233"/>
      <c r="E86233"/>
      <c r="F86233"/>
    </row>
    <row r="86234" spans="1:6" x14ac:dyDescent="0.25">
      <c r="A86234"/>
      <c r="B86234"/>
      <c r="C86234"/>
      <c r="E86234"/>
      <c r="F86234"/>
    </row>
    <row r="86235" spans="1:6" x14ac:dyDescent="0.25">
      <c r="A86235"/>
      <c r="B86235"/>
      <c r="C86235"/>
      <c r="E86235"/>
      <c r="F86235"/>
    </row>
    <row r="86236" spans="1:6" x14ac:dyDescent="0.25">
      <c r="A86236"/>
      <c r="B86236"/>
      <c r="C86236"/>
      <c r="E86236"/>
      <c r="F86236"/>
    </row>
    <row r="86237" spans="1:6" x14ac:dyDescent="0.25">
      <c r="A86237"/>
      <c r="B86237"/>
      <c r="C86237"/>
      <c r="E86237"/>
      <c r="F86237"/>
    </row>
    <row r="86238" spans="1:6" x14ac:dyDescent="0.25">
      <c r="A86238"/>
      <c r="B86238"/>
      <c r="C86238"/>
      <c r="E86238"/>
      <c r="F86238"/>
    </row>
    <row r="86239" spans="1:6" x14ac:dyDescent="0.25">
      <c r="A86239"/>
      <c r="B86239"/>
      <c r="C86239"/>
      <c r="E86239"/>
      <c r="F86239"/>
    </row>
    <row r="86240" spans="1:6" x14ac:dyDescent="0.25">
      <c r="A86240"/>
      <c r="B86240"/>
      <c r="C86240"/>
      <c r="E86240"/>
      <c r="F86240"/>
    </row>
    <row r="86241" spans="1:6" x14ac:dyDescent="0.25">
      <c r="A86241"/>
      <c r="B86241"/>
      <c r="C86241"/>
      <c r="E86241"/>
      <c r="F86241"/>
    </row>
    <row r="86242" spans="1:6" x14ac:dyDescent="0.25">
      <c r="A86242"/>
      <c r="B86242"/>
      <c r="C86242"/>
      <c r="E86242"/>
      <c r="F86242"/>
    </row>
    <row r="86243" spans="1:6" x14ac:dyDescent="0.25">
      <c r="A86243"/>
      <c r="B86243"/>
      <c r="C86243"/>
      <c r="E86243"/>
      <c r="F86243"/>
    </row>
    <row r="86244" spans="1:6" x14ac:dyDescent="0.25">
      <c r="A86244"/>
      <c r="B86244"/>
      <c r="C86244"/>
      <c r="E86244"/>
      <c r="F86244"/>
    </row>
    <row r="86245" spans="1:6" x14ac:dyDescent="0.25">
      <c r="A86245"/>
      <c r="B86245"/>
      <c r="C86245"/>
      <c r="E86245"/>
      <c r="F86245"/>
    </row>
    <row r="86246" spans="1:6" x14ac:dyDescent="0.25">
      <c r="A86246"/>
      <c r="B86246"/>
      <c r="C86246"/>
      <c r="E86246"/>
      <c r="F86246"/>
    </row>
    <row r="86247" spans="1:6" x14ac:dyDescent="0.25">
      <c r="A86247"/>
      <c r="B86247"/>
      <c r="C86247"/>
      <c r="E86247"/>
      <c r="F86247"/>
    </row>
    <row r="86248" spans="1:6" x14ac:dyDescent="0.25">
      <c r="A86248"/>
      <c r="B86248"/>
      <c r="C86248"/>
      <c r="E86248"/>
      <c r="F86248"/>
    </row>
    <row r="86249" spans="1:6" x14ac:dyDescent="0.25">
      <c r="A86249"/>
      <c r="B86249"/>
      <c r="C86249"/>
      <c r="E86249"/>
      <c r="F86249"/>
    </row>
    <row r="86250" spans="1:6" x14ac:dyDescent="0.25">
      <c r="A86250"/>
      <c r="B86250"/>
      <c r="C86250"/>
      <c r="E86250"/>
      <c r="F86250"/>
    </row>
    <row r="86251" spans="1:6" x14ac:dyDescent="0.25">
      <c r="A86251"/>
      <c r="B86251"/>
      <c r="C86251"/>
      <c r="E86251"/>
      <c r="F86251"/>
    </row>
    <row r="86252" spans="1:6" x14ac:dyDescent="0.25">
      <c r="A86252"/>
      <c r="B86252"/>
      <c r="C86252"/>
      <c r="E86252"/>
      <c r="F86252"/>
    </row>
    <row r="86253" spans="1:6" x14ac:dyDescent="0.25">
      <c r="A86253"/>
      <c r="B86253"/>
      <c r="C86253"/>
      <c r="E86253"/>
      <c r="F86253"/>
    </row>
    <row r="86254" spans="1:6" x14ac:dyDescent="0.25">
      <c r="A86254"/>
      <c r="B86254"/>
      <c r="C86254"/>
      <c r="E86254"/>
      <c r="F86254"/>
    </row>
    <row r="86255" spans="1:6" x14ac:dyDescent="0.25">
      <c r="A86255"/>
      <c r="B86255"/>
      <c r="C86255"/>
      <c r="E86255"/>
      <c r="F86255"/>
    </row>
    <row r="86256" spans="1:6" x14ac:dyDescent="0.25">
      <c r="A86256"/>
      <c r="B86256"/>
      <c r="C86256"/>
      <c r="E86256"/>
      <c r="F86256"/>
    </row>
    <row r="86257" spans="1:6" x14ac:dyDescent="0.25">
      <c r="A86257"/>
      <c r="B86257"/>
      <c r="C86257"/>
      <c r="E86257"/>
      <c r="F86257"/>
    </row>
    <row r="86258" spans="1:6" x14ac:dyDescent="0.25">
      <c r="A86258"/>
      <c r="B86258"/>
      <c r="C86258"/>
      <c r="E86258"/>
      <c r="F86258"/>
    </row>
    <row r="86259" spans="1:6" x14ac:dyDescent="0.25">
      <c r="A86259"/>
      <c r="B86259"/>
      <c r="C86259"/>
      <c r="E86259"/>
      <c r="F86259"/>
    </row>
    <row r="86260" spans="1:6" x14ac:dyDescent="0.25">
      <c r="A86260"/>
      <c r="B86260"/>
      <c r="C86260"/>
      <c r="E86260"/>
      <c r="F86260"/>
    </row>
    <row r="86261" spans="1:6" x14ac:dyDescent="0.25">
      <c r="A86261"/>
      <c r="B86261"/>
      <c r="C86261"/>
      <c r="E86261"/>
      <c r="F86261"/>
    </row>
    <row r="86262" spans="1:6" x14ac:dyDescent="0.25">
      <c r="A86262"/>
      <c r="B86262"/>
      <c r="C86262"/>
      <c r="E86262"/>
      <c r="F86262"/>
    </row>
    <row r="86263" spans="1:6" x14ac:dyDescent="0.25">
      <c r="A86263"/>
      <c r="B86263"/>
      <c r="C86263"/>
      <c r="E86263"/>
      <c r="F86263"/>
    </row>
    <row r="86264" spans="1:6" x14ac:dyDescent="0.25">
      <c r="A86264"/>
      <c r="B86264"/>
      <c r="C86264"/>
      <c r="E86264"/>
      <c r="F86264"/>
    </row>
    <row r="86265" spans="1:6" x14ac:dyDescent="0.25">
      <c r="A86265"/>
      <c r="B86265"/>
      <c r="C86265"/>
      <c r="E86265"/>
      <c r="F86265"/>
    </row>
    <row r="86266" spans="1:6" x14ac:dyDescent="0.25">
      <c r="A86266"/>
      <c r="B86266"/>
      <c r="C86266"/>
      <c r="E86266"/>
      <c r="F86266"/>
    </row>
    <row r="86267" spans="1:6" x14ac:dyDescent="0.25">
      <c r="A86267"/>
      <c r="B86267"/>
      <c r="C86267"/>
      <c r="E86267"/>
      <c r="F86267"/>
    </row>
    <row r="86268" spans="1:6" x14ac:dyDescent="0.25">
      <c r="A86268"/>
      <c r="B86268"/>
      <c r="C86268"/>
      <c r="E86268"/>
      <c r="F86268"/>
    </row>
    <row r="86269" spans="1:6" x14ac:dyDescent="0.25">
      <c r="A86269"/>
      <c r="B86269"/>
      <c r="C86269"/>
      <c r="E86269"/>
      <c r="F86269"/>
    </row>
    <row r="86270" spans="1:6" x14ac:dyDescent="0.25">
      <c r="A86270"/>
      <c r="B86270"/>
      <c r="C86270"/>
      <c r="E86270"/>
      <c r="F86270"/>
    </row>
    <row r="86271" spans="1:6" x14ac:dyDescent="0.25">
      <c r="A86271"/>
      <c r="B86271"/>
      <c r="C86271"/>
      <c r="E86271"/>
      <c r="F86271"/>
    </row>
    <row r="86272" spans="1:6" x14ac:dyDescent="0.25">
      <c r="A86272"/>
      <c r="B86272"/>
      <c r="C86272"/>
      <c r="E86272"/>
      <c r="F86272"/>
    </row>
    <row r="86273" spans="1:6" x14ac:dyDescent="0.25">
      <c r="A86273"/>
      <c r="B86273"/>
      <c r="C86273"/>
      <c r="E86273"/>
      <c r="F86273"/>
    </row>
    <row r="86274" spans="1:6" x14ac:dyDescent="0.25">
      <c r="A86274"/>
      <c r="B86274"/>
      <c r="C86274"/>
      <c r="E86274"/>
      <c r="F86274"/>
    </row>
    <row r="86275" spans="1:6" x14ac:dyDescent="0.25">
      <c r="A86275"/>
      <c r="B86275"/>
      <c r="C86275"/>
      <c r="E86275"/>
      <c r="F86275"/>
    </row>
    <row r="86276" spans="1:6" x14ac:dyDescent="0.25">
      <c r="A86276"/>
      <c r="B86276"/>
      <c r="C86276"/>
      <c r="E86276"/>
      <c r="F86276"/>
    </row>
    <row r="86277" spans="1:6" x14ac:dyDescent="0.25">
      <c r="A86277"/>
      <c r="B86277"/>
      <c r="C86277"/>
      <c r="E86277"/>
      <c r="F86277"/>
    </row>
    <row r="86278" spans="1:6" x14ac:dyDescent="0.25">
      <c r="A86278"/>
      <c r="B86278"/>
      <c r="C86278"/>
      <c r="E86278"/>
      <c r="F86278"/>
    </row>
    <row r="86279" spans="1:6" x14ac:dyDescent="0.25">
      <c r="A86279"/>
      <c r="B86279"/>
      <c r="C86279"/>
      <c r="E86279"/>
      <c r="F86279"/>
    </row>
    <row r="86280" spans="1:6" x14ac:dyDescent="0.25">
      <c r="A86280"/>
      <c r="B86280"/>
      <c r="C86280"/>
      <c r="E86280"/>
      <c r="F86280"/>
    </row>
    <row r="86281" spans="1:6" x14ac:dyDescent="0.25">
      <c r="A86281"/>
      <c r="B86281"/>
      <c r="C86281"/>
      <c r="E86281"/>
      <c r="F86281"/>
    </row>
    <row r="86282" spans="1:6" x14ac:dyDescent="0.25">
      <c r="A86282"/>
      <c r="B86282"/>
      <c r="C86282"/>
      <c r="E86282"/>
      <c r="F86282"/>
    </row>
    <row r="86283" spans="1:6" x14ac:dyDescent="0.25">
      <c r="A86283"/>
      <c r="B86283"/>
      <c r="C86283"/>
      <c r="E86283"/>
      <c r="F86283"/>
    </row>
    <row r="86284" spans="1:6" x14ac:dyDescent="0.25">
      <c r="A86284"/>
      <c r="B86284"/>
      <c r="C86284"/>
      <c r="E86284"/>
      <c r="F86284"/>
    </row>
    <row r="86285" spans="1:6" x14ac:dyDescent="0.25">
      <c r="A86285"/>
      <c r="B86285"/>
      <c r="C86285"/>
      <c r="E86285"/>
      <c r="F86285"/>
    </row>
    <row r="86286" spans="1:6" x14ac:dyDescent="0.25">
      <c r="A86286"/>
      <c r="B86286"/>
      <c r="C86286"/>
      <c r="E86286"/>
      <c r="F86286"/>
    </row>
    <row r="86287" spans="1:6" x14ac:dyDescent="0.25">
      <c r="A86287"/>
      <c r="B86287"/>
      <c r="C86287"/>
      <c r="E86287"/>
      <c r="F86287"/>
    </row>
    <row r="86288" spans="1:6" x14ac:dyDescent="0.25">
      <c r="A86288"/>
      <c r="B86288"/>
      <c r="C86288"/>
      <c r="E86288"/>
      <c r="F86288"/>
    </row>
    <row r="86289" spans="1:6" x14ac:dyDescent="0.25">
      <c r="A86289"/>
      <c r="B86289"/>
      <c r="C86289"/>
      <c r="E86289"/>
      <c r="F86289"/>
    </row>
    <row r="86290" spans="1:6" x14ac:dyDescent="0.25">
      <c r="A86290"/>
      <c r="B86290"/>
      <c r="C86290"/>
      <c r="E86290"/>
      <c r="F86290"/>
    </row>
    <row r="86291" spans="1:6" x14ac:dyDescent="0.25">
      <c r="A86291"/>
      <c r="B86291"/>
      <c r="C86291"/>
      <c r="E86291"/>
      <c r="F86291"/>
    </row>
    <row r="86292" spans="1:6" x14ac:dyDescent="0.25">
      <c r="A86292"/>
      <c r="B86292"/>
      <c r="C86292"/>
      <c r="E86292"/>
      <c r="F86292"/>
    </row>
    <row r="86293" spans="1:6" x14ac:dyDescent="0.25">
      <c r="A86293"/>
      <c r="B86293"/>
      <c r="C86293"/>
      <c r="E86293"/>
      <c r="F86293"/>
    </row>
    <row r="86294" spans="1:6" x14ac:dyDescent="0.25">
      <c r="A86294"/>
      <c r="B86294"/>
      <c r="C86294"/>
      <c r="E86294"/>
      <c r="F86294"/>
    </row>
    <row r="86295" spans="1:6" x14ac:dyDescent="0.25">
      <c r="A86295"/>
      <c r="B86295"/>
      <c r="C86295"/>
      <c r="E86295"/>
      <c r="F86295"/>
    </row>
    <row r="86296" spans="1:6" x14ac:dyDescent="0.25">
      <c r="A86296"/>
      <c r="B86296"/>
      <c r="C86296"/>
      <c r="E86296"/>
      <c r="F86296"/>
    </row>
    <row r="86297" spans="1:6" x14ac:dyDescent="0.25">
      <c r="A86297"/>
      <c r="B86297"/>
      <c r="C86297"/>
      <c r="E86297"/>
      <c r="F86297"/>
    </row>
    <row r="86298" spans="1:6" x14ac:dyDescent="0.25">
      <c r="A86298"/>
      <c r="B86298"/>
      <c r="C86298"/>
      <c r="E86298"/>
      <c r="F86298"/>
    </row>
    <row r="86299" spans="1:6" x14ac:dyDescent="0.25">
      <c r="A86299"/>
      <c r="B86299"/>
      <c r="C86299"/>
      <c r="E86299"/>
      <c r="F86299"/>
    </row>
    <row r="86300" spans="1:6" x14ac:dyDescent="0.25">
      <c r="A86300"/>
      <c r="B86300"/>
      <c r="C86300"/>
      <c r="E86300"/>
      <c r="F86300"/>
    </row>
    <row r="86301" spans="1:6" x14ac:dyDescent="0.25">
      <c r="A86301"/>
      <c r="B86301"/>
      <c r="C86301"/>
      <c r="E86301"/>
      <c r="F86301"/>
    </row>
    <row r="86302" spans="1:6" x14ac:dyDescent="0.25">
      <c r="A86302"/>
      <c r="B86302"/>
      <c r="C86302"/>
      <c r="E86302"/>
      <c r="F86302"/>
    </row>
    <row r="86303" spans="1:6" x14ac:dyDescent="0.25">
      <c r="A86303"/>
      <c r="B86303"/>
      <c r="C86303"/>
      <c r="E86303"/>
      <c r="F86303"/>
    </row>
    <row r="86304" spans="1:6" x14ac:dyDescent="0.25">
      <c r="A86304"/>
      <c r="B86304"/>
      <c r="C86304"/>
      <c r="E86304"/>
      <c r="F86304"/>
    </row>
    <row r="86305" spans="1:6" x14ac:dyDescent="0.25">
      <c r="A86305"/>
      <c r="B86305"/>
      <c r="C86305"/>
      <c r="E86305"/>
      <c r="F86305"/>
    </row>
    <row r="86306" spans="1:6" x14ac:dyDescent="0.25">
      <c r="A86306"/>
      <c r="B86306"/>
      <c r="C86306"/>
      <c r="E86306"/>
      <c r="F86306"/>
    </row>
    <row r="86307" spans="1:6" x14ac:dyDescent="0.25">
      <c r="A86307"/>
      <c r="B86307"/>
      <c r="C86307"/>
      <c r="E86307"/>
      <c r="F86307"/>
    </row>
    <row r="86308" spans="1:6" x14ac:dyDescent="0.25">
      <c r="A86308"/>
      <c r="B86308"/>
      <c r="C86308"/>
      <c r="E86308"/>
      <c r="F86308"/>
    </row>
    <row r="86309" spans="1:6" x14ac:dyDescent="0.25">
      <c r="A86309"/>
      <c r="B86309"/>
      <c r="C86309"/>
      <c r="E86309"/>
      <c r="F86309"/>
    </row>
    <row r="86310" spans="1:6" x14ac:dyDescent="0.25">
      <c r="A86310"/>
      <c r="B86310"/>
      <c r="C86310"/>
      <c r="E86310"/>
      <c r="F86310"/>
    </row>
    <row r="86311" spans="1:6" x14ac:dyDescent="0.25">
      <c r="A86311"/>
      <c r="B86311"/>
      <c r="C86311"/>
      <c r="E86311"/>
      <c r="F86311"/>
    </row>
    <row r="86312" spans="1:6" x14ac:dyDescent="0.25">
      <c r="A86312"/>
      <c r="B86312"/>
      <c r="C86312"/>
      <c r="E86312"/>
      <c r="F86312"/>
    </row>
    <row r="86313" spans="1:6" x14ac:dyDescent="0.25">
      <c r="A86313"/>
      <c r="B86313"/>
      <c r="C86313"/>
      <c r="E86313"/>
      <c r="F86313"/>
    </row>
    <row r="86314" spans="1:6" x14ac:dyDescent="0.25">
      <c r="A86314"/>
      <c r="B86314"/>
      <c r="C86314"/>
      <c r="E86314"/>
      <c r="F86314"/>
    </row>
    <row r="86315" spans="1:6" x14ac:dyDescent="0.25">
      <c r="A86315"/>
      <c r="B86315"/>
      <c r="C86315"/>
      <c r="E86315"/>
      <c r="F86315"/>
    </row>
    <row r="86316" spans="1:6" x14ac:dyDescent="0.25">
      <c r="A86316"/>
      <c r="B86316"/>
      <c r="C86316"/>
      <c r="E86316"/>
      <c r="F86316"/>
    </row>
    <row r="86317" spans="1:6" x14ac:dyDescent="0.25">
      <c r="A86317"/>
      <c r="B86317"/>
      <c r="C86317"/>
      <c r="E86317"/>
      <c r="F86317"/>
    </row>
    <row r="86318" spans="1:6" x14ac:dyDescent="0.25">
      <c r="A86318"/>
      <c r="B86318"/>
      <c r="C86318"/>
      <c r="E86318"/>
      <c r="F86318"/>
    </row>
    <row r="86319" spans="1:6" x14ac:dyDescent="0.25">
      <c r="A86319"/>
      <c r="B86319"/>
      <c r="C86319"/>
      <c r="E86319"/>
      <c r="F86319"/>
    </row>
    <row r="86320" spans="1:6" x14ac:dyDescent="0.25">
      <c r="A86320"/>
      <c r="B86320"/>
      <c r="C86320"/>
      <c r="E86320"/>
      <c r="F86320"/>
    </row>
    <row r="86321" spans="1:6" x14ac:dyDescent="0.25">
      <c r="A86321"/>
      <c r="B86321"/>
      <c r="C86321"/>
      <c r="E86321"/>
      <c r="F86321"/>
    </row>
    <row r="86322" spans="1:6" x14ac:dyDescent="0.25">
      <c r="A86322"/>
      <c r="B86322"/>
      <c r="C86322"/>
      <c r="E86322"/>
      <c r="F86322"/>
    </row>
    <row r="86323" spans="1:6" x14ac:dyDescent="0.25">
      <c r="A86323"/>
      <c r="B86323"/>
      <c r="C86323"/>
      <c r="E86323"/>
      <c r="F86323"/>
    </row>
    <row r="86324" spans="1:6" x14ac:dyDescent="0.25">
      <c r="A86324"/>
      <c r="B86324"/>
      <c r="C86324"/>
      <c r="E86324"/>
      <c r="F86324"/>
    </row>
    <row r="86325" spans="1:6" x14ac:dyDescent="0.25">
      <c r="A86325"/>
      <c r="B86325"/>
      <c r="C86325"/>
      <c r="E86325"/>
      <c r="F86325"/>
    </row>
    <row r="86326" spans="1:6" x14ac:dyDescent="0.25">
      <c r="A86326"/>
      <c r="B86326"/>
      <c r="C86326"/>
      <c r="E86326"/>
      <c r="F86326"/>
    </row>
    <row r="86327" spans="1:6" x14ac:dyDescent="0.25">
      <c r="A86327"/>
      <c r="B86327"/>
      <c r="C86327"/>
      <c r="E86327"/>
      <c r="F86327"/>
    </row>
    <row r="86328" spans="1:6" x14ac:dyDescent="0.25">
      <c r="A86328"/>
      <c r="B86328"/>
      <c r="C86328"/>
      <c r="E86328"/>
      <c r="F86328"/>
    </row>
    <row r="86329" spans="1:6" x14ac:dyDescent="0.25">
      <c r="A86329"/>
      <c r="B86329"/>
      <c r="C86329"/>
      <c r="E86329"/>
      <c r="F86329"/>
    </row>
    <row r="86330" spans="1:6" x14ac:dyDescent="0.25">
      <c r="A86330"/>
      <c r="B86330"/>
      <c r="C86330"/>
      <c r="E86330"/>
      <c r="F86330"/>
    </row>
    <row r="86331" spans="1:6" x14ac:dyDescent="0.25">
      <c r="A86331"/>
      <c r="B86331"/>
      <c r="C86331"/>
      <c r="E86331"/>
      <c r="F86331"/>
    </row>
    <row r="86332" spans="1:6" x14ac:dyDescent="0.25">
      <c r="A86332"/>
      <c r="B86332"/>
      <c r="C86332"/>
      <c r="E86332"/>
      <c r="F86332"/>
    </row>
    <row r="86333" spans="1:6" x14ac:dyDescent="0.25">
      <c r="A86333"/>
      <c r="B86333"/>
      <c r="C86333"/>
      <c r="E86333"/>
      <c r="F86333"/>
    </row>
    <row r="86334" spans="1:6" x14ac:dyDescent="0.25">
      <c r="A86334"/>
      <c r="B86334"/>
      <c r="C86334"/>
      <c r="E86334"/>
      <c r="F86334"/>
    </row>
    <row r="86335" spans="1:6" x14ac:dyDescent="0.25">
      <c r="A86335"/>
      <c r="B86335"/>
      <c r="C86335"/>
      <c r="E86335"/>
      <c r="F86335"/>
    </row>
    <row r="86336" spans="1:6" x14ac:dyDescent="0.25">
      <c r="A86336"/>
      <c r="B86336"/>
      <c r="C86336"/>
      <c r="E86336"/>
      <c r="F86336"/>
    </row>
    <row r="86337" spans="1:6" x14ac:dyDescent="0.25">
      <c r="A86337"/>
      <c r="B86337"/>
      <c r="C86337"/>
      <c r="E86337"/>
      <c r="F86337"/>
    </row>
    <row r="86338" spans="1:6" x14ac:dyDescent="0.25">
      <c r="A86338"/>
      <c r="B86338"/>
      <c r="C86338"/>
      <c r="E86338"/>
      <c r="F86338"/>
    </row>
    <row r="86339" spans="1:6" x14ac:dyDescent="0.25">
      <c r="A86339"/>
      <c r="B86339"/>
      <c r="C86339"/>
      <c r="E86339"/>
      <c r="F86339"/>
    </row>
    <row r="86340" spans="1:6" x14ac:dyDescent="0.25">
      <c r="A86340"/>
      <c r="B86340"/>
      <c r="C86340"/>
      <c r="E86340"/>
      <c r="F86340"/>
    </row>
    <row r="86341" spans="1:6" x14ac:dyDescent="0.25">
      <c r="A86341"/>
      <c r="B86341"/>
      <c r="C86341"/>
      <c r="E86341"/>
      <c r="F86341"/>
    </row>
    <row r="86342" spans="1:6" x14ac:dyDescent="0.25">
      <c r="A86342"/>
      <c r="B86342"/>
      <c r="C86342"/>
      <c r="E86342"/>
      <c r="F86342"/>
    </row>
    <row r="86343" spans="1:6" x14ac:dyDescent="0.25">
      <c r="A86343"/>
      <c r="B86343"/>
      <c r="C86343"/>
      <c r="E86343"/>
      <c r="F86343"/>
    </row>
    <row r="86344" spans="1:6" x14ac:dyDescent="0.25">
      <c r="A86344"/>
      <c r="B86344"/>
      <c r="C86344"/>
      <c r="E86344"/>
      <c r="F86344"/>
    </row>
    <row r="86345" spans="1:6" x14ac:dyDescent="0.25">
      <c r="A86345"/>
      <c r="B86345"/>
      <c r="C86345"/>
      <c r="E86345"/>
      <c r="F86345"/>
    </row>
    <row r="86346" spans="1:6" x14ac:dyDescent="0.25">
      <c r="A86346"/>
      <c r="B86346"/>
      <c r="C86346"/>
      <c r="E86346"/>
      <c r="F86346"/>
    </row>
    <row r="86347" spans="1:6" x14ac:dyDescent="0.25">
      <c r="A86347"/>
      <c r="B86347"/>
      <c r="C86347"/>
      <c r="E86347"/>
      <c r="F86347"/>
    </row>
    <row r="86348" spans="1:6" x14ac:dyDescent="0.25">
      <c r="A86348"/>
      <c r="B86348"/>
      <c r="C86348"/>
      <c r="E86348"/>
      <c r="F86348"/>
    </row>
    <row r="86349" spans="1:6" x14ac:dyDescent="0.25">
      <c r="A86349"/>
      <c r="B86349"/>
      <c r="C86349"/>
      <c r="E86349"/>
      <c r="F86349"/>
    </row>
    <row r="86350" spans="1:6" x14ac:dyDescent="0.25">
      <c r="A86350"/>
      <c r="B86350"/>
      <c r="C86350"/>
      <c r="E86350"/>
      <c r="F86350"/>
    </row>
    <row r="86351" spans="1:6" x14ac:dyDescent="0.25">
      <c r="A86351"/>
      <c r="B86351"/>
      <c r="C86351"/>
      <c r="E86351"/>
      <c r="F86351"/>
    </row>
    <row r="86352" spans="1:6" x14ac:dyDescent="0.25">
      <c r="A86352"/>
      <c r="B86352"/>
      <c r="C86352"/>
      <c r="E86352"/>
      <c r="F86352"/>
    </row>
    <row r="86353" spans="1:6" x14ac:dyDescent="0.25">
      <c r="A86353"/>
      <c r="B86353"/>
      <c r="C86353"/>
      <c r="E86353"/>
      <c r="F86353"/>
    </row>
    <row r="86354" spans="1:6" x14ac:dyDescent="0.25">
      <c r="A86354"/>
      <c r="B86354"/>
      <c r="C86354"/>
      <c r="E86354"/>
      <c r="F86354"/>
    </row>
    <row r="86355" spans="1:6" x14ac:dyDescent="0.25">
      <c r="A86355"/>
      <c r="B86355"/>
      <c r="C86355"/>
      <c r="E86355"/>
      <c r="F86355"/>
    </row>
    <row r="86356" spans="1:6" x14ac:dyDescent="0.25">
      <c r="A86356"/>
      <c r="B86356"/>
      <c r="C86356"/>
      <c r="E86356"/>
      <c r="F86356"/>
    </row>
    <row r="86357" spans="1:6" x14ac:dyDescent="0.25">
      <c r="A86357"/>
      <c r="B86357"/>
      <c r="C86357"/>
      <c r="E86357"/>
      <c r="F86357"/>
    </row>
    <row r="86358" spans="1:6" x14ac:dyDescent="0.25">
      <c r="A86358"/>
      <c r="B86358"/>
      <c r="C86358"/>
      <c r="E86358"/>
      <c r="F86358"/>
    </row>
    <row r="86359" spans="1:6" x14ac:dyDescent="0.25">
      <c r="A86359"/>
      <c r="B86359"/>
      <c r="C86359"/>
      <c r="E86359"/>
      <c r="F86359"/>
    </row>
    <row r="86360" spans="1:6" x14ac:dyDescent="0.25">
      <c r="A86360"/>
      <c r="B86360"/>
      <c r="C86360"/>
      <c r="E86360"/>
      <c r="F86360"/>
    </row>
    <row r="86361" spans="1:6" x14ac:dyDescent="0.25">
      <c r="A86361"/>
      <c r="B86361"/>
      <c r="C86361"/>
      <c r="E86361"/>
      <c r="F86361"/>
    </row>
    <row r="86362" spans="1:6" x14ac:dyDescent="0.25">
      <c r="A86362"/>
      <c r="B86362"/>
      <c r="C86362"/>
      <c r="E86362"/>
      <c r="F86362"/>
    </row>
    <row r="86363" spans="1:6" x14ac:dyDescent="0.25">
      <c r="A86363"/>
      <c r="B86363"/>
      <c r="C86363"/>
      <c r="E86363"/>
      <c r="F86363"/>
    </row>
    <row r="86364" spans="1:6" x14ac:dyDescent="0.25">
      <c r="A86364"/>
      <c r="B86364"/>
      <c r="C86364"/>
      <c r="E86364"/>
      <c r="F86364"/>
    </row>
    <row r="86365" spans="1:6" x14ac:dyDescent="0.25">
      <c r="A86365"/>
      <c r="B86365"/>
      <c r="C86365"/>
      <c r="E86365"/>
      <c r="F86365"/>
    </row>
    <row r="86366" spans="1:6" x14ac:dyDescent="0.25">
      <c r="A86366"/>
      <c r="B86366"/>
      <c r="C86366"/>
      <c r="E86366"/>
      <c r="F86366"/>
    </row>
    <row r="86367" spans="1:6" x14ac:dyDescent="0.25">
      <c r="A86367"/>
      <c r="B86367"/>
      <c r="C86367"/>
      <c r="E86367"/>
      <c r="F86367"/>
    </row>
    <row r="86368" spans="1:6" x14ac:dyDescent="0.25">
      <c r="A86368"/>
      <c r="B86368"/>
      <c r="C86368"/>
      <c r="E86368"/>
      <c r="F86368"/>
    </row>
    <row r="86369" spans="1:6" x14ac:dyDescent="0.25">
      <c r="A86369"/>
      <c r="B86369"/>
      <c r="C86369"/>
      <c r="E86369"/>
      <c r="F86369"/>
    </row>
    <row r="86370" spans="1:6" x14ac:dyDescent="0.25">
      <c r="A86370"/>
      <c r="B86370"/>
      <c r="C86370"/>
      <c r="E86370"/>
      <c r="F86370"/>
    </row>
    <row r="86371" spans="1:6" x14ac:dyDescent="0.25">
      <c r="A86371"/>
      <c r="B86371"/>
      <c r="C86371"/>
      <c r="E86371"/>
      <c r="F86371"/>
    </row>
    <row r="86372" spans="1:6" x14ac:dyDescent="0.25">
      <c r="A86372"/>
      <c r="B86372"/>
      <c r="C86372"/>
      <c r="E86372"/>
      <c r="F86372"/>
    </row>
    <row r="86373" spans="1:6" x14ac:dyDescent="0.25">
      <c r="A86373"/>
      <c r="B86373"/>
      <c r="C86373"/>
      <c r="E86373"/>
      <c r="F86373"/>
    </row>
    <row r="86374" spans="1:6" x14ac:dyDescent="0.25">
      <c r="A86374"/>
      <c r="B86374"/>
      <c r="C86374"/>
      <c r="E86374"/>
      <c r="F86374"/>
    </row>
    <row r="86375" spans="1:6" x14ac:dyDescent="0.25">
      <c r="A86375"/>
      <c r="B86375"/>
      <c r="C86375"/>
      <c r="E86375"/>
      <c r="F86375"/>
    </row>
    <row r="86376" spans="1:6" x14ac:dyDescent="0.25">
      <c r="A86376"/>
      <c r="B86376"/>
      <c r="C86376"/>
      <c r="E86376"/>
      <c r="F86376"/>
    </row>
    <row r="86377" spans="1:6" x14ac:dyDescent="0.25">
      <c r="A86377"/>
      <c r="B86377"/>
      <c r="C86377"/>
      <c r="E86377"/>
      <c r="F86377"/>
    </row>
    <row r="86378" spans="1:6" x14ac:dyDescent="0.25">
      <c r="A86378"/>
      <c r="B86378"/>
      <c r="C86378"/>
      <c r="E86378"/>
      <c r="F86378"/>
    </row>
    <row r="86379" spans="1:6" x14ac:dyDescent="0.25">
      <c r="A86379"/>
      <c r="B86379"/>
      <c r="C86379"/>
      <c r="E86379"/>
      <c r="F86379"/>
    </row>
    <row r="86380" spans="1:6" x14ac:dyDescent="0.25">
      <c r="A86380"/>
      <c r="B86380"/>
      <c r="C86380"/>
      <c r="E86380"/>
      <c r="F86380"/>
    </row>
    <row r="86381" spans="1:6" x14ac:dyDescent="0.25">
      <c r="A86381"/>
      <c r="B86381"/>
      <c r="C86381"/>
      <c r="E86381"/>
      <c r="F86381"/>
    </row>
    <row r="86382" spans="1:6" x14ac:dyDescent="0.25">
      <c r="A86382"/>
      <c r="B86382"/>
      <c r="C86382"/>
      <c r="E86382"/>
      <c r="F86382"/>
    </row>
    <row r="86383" spans="1:6" x14ac:dyDescent="0.25">
      <c r="A86383"/>
      <c r="B86383"/>
      <c r="C86383"/>
      <c r="E86383"/>
      <c r="F86383"/>
    </row>
    <row r="86384" spans="1:6" x14ac:dyDescent="0.25">
      <c r="A86384"/>
      <c r="B86384"/>
      <c r="C86384"/>
      <c r="E86384"/>
      <c r="F86384"/>
    </row>
    <row r="86385" spans="1:6" x14ac:dyDescent="0.25">
      <c r="A86385"/>
      <c r="B86385"/>
      <c r="C86385"/>
      <c r="E86385"/>
      <c r="F86385"/>
    </row>
    <row r="86386" spans="1:6" x14ac:dyDescent="0.25">
      <c r="A86386"/>
      <c r="B86386"/>
      <c r="C86386"/>
      <c r="E86386"/>
      <c r="F86386"/>
    </row>
    <row r="86387" spans="1:6" x14ac:dyDescent="0.25">
      <c r="A86387"/>
      <c r="B86387"/>
      <c r="C86387"/>
      <c r="E86387"/>
      <c r="F86387"/>
    </row>
    <row r="86388" spans="1:6" x14ac:dyDescent="0.25">
      <c r="A86388"/>
      <c r="B86388"/>
      <c r="C86388"/>
      <c r="E86388"/>
      <c r="F86388"/>
    </row>
    <row r="86389" spans="1:6" x14ac:dyDescent="0.25">
      <c r="A86389"/>
      <c r="B86389"/>
      <c r="C86389"/>
      <c r="E86389"/>
      <c r="F86389"/>
    </row>
    <row r="86390" spans="1:6" x14ac:dyDescent="0.25">
      <c r="A86390"/>
      <c r="B86390"/>
      <c r="C86390"/>
      <c r="E86390"/>
      <c r="F86390"/>
    </row>
    <row r="86391" spans="1:6" x14ac:dyDescent="0.25">
      <c r="A86391"/>
      <c r="B86391"/>
      <c r="C86391"/>
      <c r="E86391"/>
      <c r="F86391"/>
    </row>
    <row r="86392" spans="1:6" x14ac:dyDescent="0.25">
      <c r="A86392"/>
      <c r="B86392"/>
      <c r="C86392"/>
      <c r="E86392"/>
      <c r="F86392"/>
    </row>
    <row r="86393" spans="1:6" x14ac:dyDescent="0.25">
      <c r="A86393"/>
      <c r="B86393"/>
      <c r="C86393"/>
      <c r="E86393"/>
      <c r="F86393"/>
    </row>
    <row r="86394" spans="1:6" x14ac:dyDescent="0.25">
      <c r="A86394"/>
      <c r="B86394"/>
      <c r="C86394"/>
      <c r="E86394"/>
      <c r="F86394"/>
    </row>
    <row r="86395" spans="1:6" x14ac:dyDescent="0.25">
      <c r="A86395"/>
      <c r="B86395"/>
      <c r="C86395"/>
      <c r="E86395"/>
      <c r="F86395"/>
    </row>
    <row r="86396" spans="1:6" x14ac:dyDescent="0.25">
      <c r="A86396"/>
      <c r="B86396"/>
      <c r="C86396"/>
      <c r="E86396"/>
      <c r="F86396"/>
    </row>
    <row r="86397" spans="1:6" x14ac:dyDescent="0.25">
      <c r="A86397"/>
      <c r="B86397"/>
      <c r="C86397"/>
      <c r="E86397"/>
      <c r="F86397"/>
    </row>
    <row r="86398" spans="1:6" x14ac:dyDescent="0.25">
      <c r="A86398"/>
      <c r="B86398"/>
      <c r="C86398"/>
      <c r="E86398"/>
      <c r="F86398"/>
    </row>
    <row r="86399" spans="1:6" x14ac:dyDescent="0.25">
      <c r="A86399"/>
      <c r="B86399"/>
      <c r="C86399"/>
      <c r="E86399"/>
      <c r="F86399"/>
    </row>
    <row r="86400" spans="1:6" x14ac:dyDescent="0.25">
      <c r="A86400"/>
      <c r="B86400"/>
      <c r="C86400"/>
      <c r="E86400"/>
      <c r="F86400"/>
    </row>
    <row r="86401" spans="1:6" x14ac:dyDescent="0.25">
      <c r="A86401"/>
      <c r="B86401"/>
      <c r="C86401"/>
      <c r="E86401"/>
      <c r="F86401"/>
    </row>
    <row r="86402" spans="1:6" x14ac:dyDescent="0.25">
      <c r="A86402"/>
      <c r="B86402"/>
      <c r="C86402"/>
      <c r="E86402"/>
      <c r="F86402"/>
    </row>
    <row r="86403" spans="1:6" x14ac:dyDescent="0.25">
      <c r="A86403"/>
      <c r="B86403"/>
      <c r="C86403"/>
      <c r="E86403"/>
      <c r="F86403"/>
    </row>
    <row r="86404" spans="1:6" x14ac:dyDescent="0.25">
      <c r="A86404"/>
      <c r="B86404"/>
      <c r="C86404"/>
      <c r="E86404"/>
      <c r="F86404"/>
    </row>
    <row r="86405" spans="1:6" x14ac:dyDescent="0.25">
      <c r="A86405"/>
      <c r="B86405"/>
      <c r="C86405"/>
      <c r="E86405"/>
      <c r="F86405"/>
    </row>
    <row r="86406" spans="1:6" x14ac:dyDescent="0.25">
      <c r="A86406"/>
      <c r="B86406"/>
      <c r="C86406"/>
      <c r="E86406"/>
      <c r="F86406"/>
    </row>
    <row r="86407" spans="1:6" x14ac:dyDescent="0.25">
      <c r="A86407"/>
      <c r="B86407"/>
      <c r="C86407"/>
      <c r="E86407"/>
      <c r="F86407"/>
    </row>
    <row r="86408" spans="1:6" x14ac:dyDescent="0.25">
      <c r="A86408"/>
      <c r="B86408"/>
      <c r="C86408"/>
      <c r="E86408"/>
      <c r="F86408"/>
    </row>
    <row r="86409" spans="1:6" x14ac:dyDescent="0.25">
      <c r="A86409"/>
      <c r="B86409"/>
      <c r="C86409"/>
      <c r="E86409"/>
      <c r="F86409"/>
    </row>
    <row r="86410" spans="1:6" x14ac:dyDescent="0.25">
      <c r="A86410"/>
      <c r="B86410"/>
      <c r="C86410"/>
      <c r="E86410"/>
      <c r="F86410"/>
    </row>
    <row r="86411" spans="1:6" x14ac:dyDescent="0.25">
      <c r="A86411"/>
      <c r="B86411"/>
      <c r="C86411"/>
      <c r="E86411"/>
      <c r="F86411"/>
    </row>
    <row r="86412" spans="1:6" x14ac:dyDescent="0.25">
      <c r="A86412"/>
      <c r="B86412"/>
      <c r="C86412"/>
      <c r="E86412"/>
      <c r="F86412"/>
    </row>
    <row r="86413" spans="1:6" x14ac:dyDescent="0.25">
      <c r="A86413"/>
      <c r="B86413"/>
      <c r="C86413"/>
      <c r="E86413"/>
      <c r="F86413"/>
    </row>
    <row r="86414" spans="1:6" x14ac:dyDescent="0.25">
      <c r="A86414"/>
      <c r="B86414"/>
      <c r="C86414"/>
      <c r="E86414"/>
      <c r="F86414"/>
    </row>
    <row r="86415" spans="1:6" x14ac:dyDescent="0.25">
      <c r="A86415"/>
      <c r="B86415"/>
      <c r="C86415"/>
      <c r="E86415"/>
      <c r="F86415"/>
    </row>
    <row r="86416" spans="1:6" x14ac:dyDescent="0.25">
      <c r="A86416"/>
      <c r="B86416"/>
      <c r="C86416"/>
      <c r="E86416"/>
      <c r="F86416"/>
    </row>
    <row r="86417" spans="1:6" x14ac:dyDescent="0.25">
      <c r="A86417"/>
      <c r="B86417"/>
      <c r="C86417"/>
      <c r="E86417"/>
      <c r="F86417"/>
    </row>
    <row r="86418" spans="1:6" x14ac:dyDescent="0.25">
      <c r="A86418"/>
      <c r="B86418"/>
      <c r="C86418"/>
      <c r="E86418"/>
      <c r="F86418"/>
    </row>
    <row r="86419" spans="1:6" x14ac:dyDescent="0.25">
      <c r="A86419"/>
      <c r="B86419"/>
      <c r="C86419"/>
      <c r="E86419"/>
      <c r="F86419"/>
    </row>
    <row r="86420" spans="1:6" x14ac:dyDescent="0.25">
      <c r="A86420"/>
      <c r="B86420"/>
      <c r="C86420"/>
      <c r="E86420"/>
      <c r="F86420"/>
    </row>
    <row r="86421" spans="1:6" x14ac:dyDescent="0.25">
      <c r="A86421"/>
      <c r="B86421"/>
      <c r="C86421"/>
      <c r="E86421"/>
      <c r="F86421"/>
    </row>
    <row r="86422" spans="1:6" x14ac:dyDescent="0.25">
      <c r="A86422"/>
      <c r="B86422"/>
      <c r="C86422"/>
      <c r="E86422"/>
      <c r="F86422"/>
    </row>
    <row r="86423" spans="1:6" x14ac:dyDescent="0.25">
      <c r="A86423"/>
      <c r="B86423"/>
      <c r="C86423"/>
      <c r="E86423"/>
      <c r="F86423"/>
    </row>
    <row r="86424" spans="1:6" x14ac:dyDescent="0.25">
      <c r="A86424"/>
      <c r="B86424"/>
      <c r="C86424"/>
      <c r="E86424"/>
      <c r="F86424"/>
    </row>
    <row r="86425" spans="1:6" x14ac:dyDescent="0.25">
      <c r="A86425"/>
      <c r="B86425"/>
      <c r="C86425"/>
      <c r="E86425"/>
      <c r="F86425"/>
    </row>
    <row r="86426" spans="1:6" x14ac:dyDescent="0.25">
      <c r="A86426"/>
      <c r="B86426"/>
      <c r="C86426"/>
      <c r="E86426"/>
      <c r="F86426"/>
    </row>
    <row r="86427" spans="1:6" x14ac:dyDescent="0.25">
      <c r="A86427"/>
      <c r="B86427"/>
      <c r="C86427"/>
      <c r="E86427"/>
      <c r="F86427"/>
    </row>
    <row r="86428" spans="1:6" x14ac:dyDescent="0.25">
      <c r="A86428"/>
      <c r="B86428"/>
      <c r="C86428"/>
      <c r="E86428"/>
      <c r="F86428"/>
    </row>
    <row r="86429" spans="1:6" x14ac:dyDescent="0.25">
      <c r="A86429"/>
      <c r="B86429"/>
      <c r="C86429"/>
      <c r="E86429"/>
      <c r="F86429"/>
    </row>
    <row r="86430" spans="1:6" x14ac:dyDescent="0.25">
      <c r="A86430"/>
      <c r="B86430"/>
      <c r="C86430"/>
      <c r="E86430"/>
      <c r="F86430"/>
    </row>
    <row r="86431" spans="1:6" x14ac:dyDescent="0.25">
      <c r="A86431"/>
      <c r="B86431"/>
      <c r="C86431"/>
      <c r="E86431"/>
      <c r="F86431"/>
    </row>
    <row r="86432" spans="1:6" x14ac:dyDescent="0.25">
      <c r="A86432"/>
      <c r="B86432"/>
      <c r="C86432"/>
      <c r="E86432"/>
      <c r="F86432"/>
    </row>
    <row r="86433" spans="1:6" x14ac:dyDescent="0.25">
      <c r="A86433"/>
      <c r="B86433"/>
      <c r="C86433"/>
      <c r="E86433"/>
      <c r="F86433"/>
    </row>
    <row r="86434" spans="1:6" x14ac:dyDescent="0.25">
      <c r="A86434"/>
      <c r="B86434"/>
      <c r="C86434"/>
      <c r="E86434"/>
      <c r="F86434"/>
    </row>
    <row r="86435" spans="1:6" x14ac:dyDescent="0.25">
      <c r="A86435"/>
      <c r="B86435"/>
      <c r="C86435"/>
      <c r="E86435"/>
      <c r="F86435"/>
    </row>
    <row r="86436" spans="1:6" x14ac:dyDescent="0.25">
      <c r="A86436"/>
      <c r="B86436"/>
      <c r="C86436"/>
      <c r="E86436"/>
      <c r="F86436"/>
    </row>
    <row r="86437" spans="1:6" x14ac:dyDescent="0.25">
      <c r="A86437"/>
      <c r="B86437"/>
      <c r="C86437"/>
      <c r="E86437"/>
      <c r="F86437"/>
    </row>
    <row r="86438" spans="1:6" x14ac:dyDescent="0.25">
      <c r="A86438"/>
      <c r="B86438"/>
      <c r="C86438"/>
      <c r="E86438"/>
      <c r="F86438"/>
    </row>
    <row r="86439" spans="1:6" x14ac:dyDescent="0.25">
      <c r="A86439"/>
      <c r="B86439"/>
      <c r="C86439"/>
      <c r="E86439"/>
      <c r="F86439"/>
    </row>
    <row r="86440" spans="1:6" x14ac:dyDescent="0.25">
      <c r="A86440"/>
      <c r="B86440"/>
      <c r="C86440"/>
      <c r="E86440"/>
      <c r="F86440"/>
    </row>
    <row r="86441" spans="1:6" x14ac:dyDescent="0.25">
      <c r="A86441"/>
      <c r="B86441"/>
      <c r="C86441"/>
      <c r="E86441"/>
      <c r="F86441"/>
    </row>
    <row r="86442" spans="1:6" x14ac:dyDescent="0.25">
      <c r="A86442"/>
      <c r="B86442"/>
      <c r="C86442"/>
      <c r="E86442"/>
      <c r="F86442"/>
    </row>
    <row r="86443" spans="1:6" x14ac:dyDescent="0.25">
      <c r="A86443"/>
      <c r="B86443"/>
      <c r="C86443"/>
      <c r="E86443"/>
      <c r="F86443"/>
    </row>
    <row r="86444" spans="1:6" x14ac:dyDescent="0.25">
      <c r="A86444"/>
      <c r="B86444"/>
      <c r="C86444"/>
      <c r="E86444"/>
      <c r="F86444"/>
    </row>
    <row r="86445" spans="1:6" x14ac:dyDescent="0.25">
      <c r="A86445"/>
      <c r="B86445"/>
      <c r="C86445"/>
      <c r="E86445"/>
      <c r="F86445"/>
    </row>
    <row r="86446" spans="1:6" x14ac:dyDescent="0.25">
      <c r="A86446"/>
      <c r="B86446"/>
      <c r="C86446"/>
      <c r="E86446"/>
      <c r="F86446"/>
    </row>
    <row r="86447" spans="1:6" x14ac:dyDescent="0.25">
      <c r="A86447"/>
      <c r="B86447"/>
      <c r="C86447"/>
      <c r="E86447"/>
      <c r="F86447"/>
    </row>
    <row r="86448" spans="1:6" x14ac:dyDescent="0.25">
      <c r="A86448"/>
      <c r="B86448"/>
      <c r="C86448"/>
      <c r="E86448"/>
      <c r="F86448"/>
    </row>
    <row r="86449" spans="1:6" x14ac:dyDescent="0.25">
      <c r="A86449"/>
      <c r="B86449"/>
      <c r="C86449"/>
      <c r="E86449"/>
      <c r="F86449"/>
    </row>
    <row r="86450" spans="1:6" x14ac:dyDescent="0.25">
      <c r="A86450"/>
      <c r="B86450"/>
      <c r="C86450"/>
      <c r="E86450"/>
      <c r="F86450"/>
    </row>
    <row r="86451" spans="1:6" x14ac:dyDescent="0.25">
      <c r="A86451"/>
      <c r="B86451"/>
      <c r="C86451"/>
      <c r="E86451"/>
      <c r="F86451"/>
    </row>
    <row r="86452" spans="1:6" x14ac:dyDescent="0.25">
      <c r="A86452"/>
      <c r="B86452"/>
      <c r="C86452"/>
      <c r="E86452"/>
      <c r="F86452"/>
    </row>
    <row r="86453" spans="1:6" x14ac:dyDescent="0.25">
      <c r="A86453"/>
      <c r="B86453"/>
      <c r="C86453"/>
      <c r="E86453"/>
      <c r="F86453"/>
    </row>
    <row r="86454" spans="1:6" x14ac:dyDescent="0.25">
      <c r="A86454"/>
      <c r="B86454"/>
      <c r="C86454"/>
      <c r="E86454"/>
      <c r="F86454"/>
    </row>
    <row r="86455" spans="1:6" x14ac:dyDescent="0.25">
      <c r="A86455"/>
      <c r="B86455"/>
      <c r="C86455"/>
      <c r="E86455"/>
      <c r="F86455"/>
    </row>
    <row r="86456" spans="1:6" x14ac:dyDescent="0.25">
      <c r="A86456"/>
      <c r="B86456"/>
      <c r="C86456"/>
      <c r="E86456"/>
      <c r="F86456"/>
    </row>
    <row r="86457" spans="1:6" x14ac:dyDescent="0.25">
      <c r="A86457"/>
      <c r="B86457"/>
      <c r="C86457"/>
      <c r="E86457"/>
      <c r="F86457"/>
    </row>
    <row r="86458" spans="1:6" x14ac:dyDescent="0.25">
      <c r="A86458"/>
      <c r="B86458"/>
      <c r="C86458"/>
      <c r="E86458"/>
      <c r="F86458"/>
    </row>
    <row r="86459" spans="1:6" x14ac:dyDescent="0.25">
      <c r="A86459"/>
      <c r="B86459"/>
      <c r="C86459"/>
      <c r="E86459"/>
      <c r="F86459"/>
    </row>
    <row r="86460" spans="1:6" x14ac:dyDescent="0.25">
      <c r="A86460"/>
      <c r="B86460"/>
      <c r="C86460"/>
      <c r="E86460"/>
      <c r="F86460"/>
    </row>
    <row r="86461" spans="1:6" x14ac:dyDescent="0.25">
      <c r="A86461"/>
      <c r="B86461"/>
      <c r="C86461"/>
      <c r="E86461"/>
      <c r="F86461"/>
    </row>
    <row r="86462" spans="1:6" x14ac:dyDescent="0.25">
      <c r="A86462"/>
      <c r="B86462"/>
      <c r="C86462"/>
      <c r="E86462"/>
      <c r="F86462"/>
    </row>
    <row r="86463" spans="1:6" x14ac:dyDescent="0.25">
      <c r="A86463"/>
      <c r="B86463"/>
      <c r="C86463"/>
      <c r="E86463"/>
      <c r="F86463"/>
    </row>
    <row r="86464" spans="1:6" x14ac:dyDescent="0.25">
      <c r="A86464"/>
      <c r="B86464"/>
      <c r="C86464"/>
      <c r="E86464"/>
      <c r="F86464"/>
    </row>
    <row r="86465" spans="1:6" x14ac:dyDescent="0.25">
      <c r="A86465"/>
      <c r="B86465"/>
      <c r="C86465"/>
      <c r="E86465"/>
      <c r="F86465"/>
    </row>
    <row r="86466" spans="1:6" x14ac:dyDescent="0.25">
      <c r="A86466"/>
      <c r="B86466"/>
      <c r="C86466"/>
      <c r="E86466"/>
      <c r="F86466"/>
    </row>
    <row r="86467" spans="1:6" x14ac:dyDescent="0.25">
      <c r="A86467"/>
      <c r="B86467"/>
      <c r="C86467"/>
      <c r="E86467"/>
      <c r="F86467"/>
    </row>
    <row r="86468" spans="1:6" x14ac:dyDescent="0.25">
      <c r="A86468"/>
      <c r="B86468"/>
      <c r="C86468"/>
      <c r="E86468"/>
      <c r="F86468"/>
    </row>
    <row r="86469" spans="1:6" x14ac:dyDescent="0.25">
      <c r="A86469"/>
      <c r="B86469"/>
      <c r="C86469"/>
      <c r="E86469"/>
      <c r="F86469"/>
    </row>
    <row r="86470" spans="1:6" x14ac:dyDescent="0.25">
      <c r="A86470"/>
      <c r="B86470"/>
      <c r="C86470"/>
      <c r="E86470"/>
      <c r="F86470"/>
    </row>
    <row r="86471" spans="1:6" x14ac:dyDescent="0.25">
      <c r="A86471"/>
      <c r="B86471"/>
      <c r="C86471"/>
      <c r="E86471"/>
      <c r="F86471"/>
    </row>
    <row r="86472" spans="1:6" x14ac:dyDescent="0.25">
      <c r="A86472"/>
      <c r="B86472"/>
      <c r="C86472"/>
      <c r="E86472"/>
      <c r="F86472"/>
    </row>
    <row r="86473" spans="1:6" x14ac:dyDescent="0.25">
      <c r="A86473"/>
      <c r="B86473"/>
      <c r="C86473"/>
      <c r="E86473"/>
      <c r="F86473"/>
    </row>
    <row r="86474" spans="1:6" x14ac:dyDescent="0.25">
      <c r="A86474"/>
      <c r="B86474"/>
      <c r="C86474"/>
      <c r="E86474"/>
      <c r="F86474"/>
    </row>
    <row r="86475" spans="1:6" x14ac:dyDescent="0.25">
      <c r="A86475"/>
      <c r="B86475"/>
      <c r="C86475"/>
      <c r="E86475"/>
      <c r="F86475"/>
    </row>
    <row r="86476" spans="1:6" x14ac:dyDescent="0.25">
      <c r="A86476"/>
      <c r="B86476"/>
      <c r="C86476"/>
      <c r="E86476"/>
      <c r="F86476"/>
    </row>
    <row r="86477" spans="1:6" x14ac:dyDescent="0.25">
      <c r="A86477"/>
      <c r="B86477"/>
      <c r="C86477"/>
      <c r="E86477"/>
      <c r="F86477"/>
    </row>
    <row r="86478" spans="1:6" x14ac:dyDescent="0.25">
      <c r="A86478"/>
      <c r="B86478"/>
      <c r="C86478"/>
      <c r="E86478"/>
      <c r="F86478"/>
    </row>
    <row r="86479" spans="1:6" x14ac:dyDescent="0.25">
      <c r="A86479"/>
      <c r="B86479"/>
      <c r="C86479"/>
      <c r="E86479"/>
      <c r="F86479"/>
    </row>
    <row r="86480" spans="1:6" x14ac:dyDescent="0.25">
      <c r="A86480"/>
      <c r="B86480"/>
      <c r="C86480"/>
      <c r="E86480"/>
      <c r="F86480"/>
    </row>
    <row r="86481" spans="1:6" x14ac:dyDescent="0.25">
      <c r="A86481"/>
      <c r="B86481"/>
      <c r="C86481"/>
      <c r="E86481"/>
      <c r="F86481"/>
    </row>
    <row r="86482" spans="1:6" x14ac:dyDescent="0.25">
      <c r="A86482"/>
      <c r="B86482"/>
      <c r="C86482"/>
      <c r="E86482"/>
      <c r="F86482"/>
    </row>
    <row r="86483" spans="1:6" x14ac:dyDescent="0.25">
      <c r="A86483"/>
      <c r="B86483"/>
      <c r="C86483"/>
      <c r="E86483"/>
      <c r="F86483"/>
    </row>
    <row r="86484" spans="1:6" x14ac:dyDescent="0.25">
      <c r="A86484"/>
      <c r="B86484"/>
      <c r="C86484"/>
      <c r="E86484"/>
      <c r="F86484"/>
    </row>
    <row r="86485" spans="1:6" x14ac:dyDescent="0.25">
      <c r="A86485"/>
      <c r="B86485"/>
      <c r="C86485"/>
      <c r="E86485"/>
      <c r="F86485"/>
    </row>
    <row r="86486" spans="1:6" x14ac:dyDescent="0.25">
      <c r="A86486"/>
      <c r="B86486"/>
      <c r="C86486"/>
      <c r="E86486"/>
      <c r="F86486"/>
    </row>
    <row r="86487" spans="1:6" x14ac:dyDescent="0.25">
      <c r="A86487"/>
      <c r="B86487"/>
      <c r="C86487"/>
      <c r="E86487"/>
      <c r="F86487"/>
    </row>
    <row r="86488" spans="1:6" x14ac:dyDescent="0.25">
      <c r="A86488"/>
      <c r="B86488"/>
      <c r="C86488"/>
      <c r="E86488"/>
      <c r="F86488"/>
    </row>
    <row r="86489" spans="1:6" x14ac:dyDescent="0.25">
      <c r="A86489"/>
      <c r="B86489"/>
      <c r="C86489"/>
      <c r="E86489"/>
      <c r="F86489"/>
    </row>
    <row r="86490" spans="1:6" x14ac:dyDescent="0.25">
      <c r="A86490"/>
      <c r="B86490"/>
      <c r="C86490"/>
      <c r="E86490"/>
      <c r="F86490"/>
    </row>
    <row r="86491" spans="1:6" x14ac:dyDescent="0.25">
      <c r="A86491"/>
      <c r="B86491"/>
      <c r="C86491"/>
      <c r="E86491"/>
      <c r="F86491"/>
    </row>
    <row r="86492" spans="1:6" x14ac:dyDescent="0.25">
      <c r="A86492"/>
      <c r="B86492"/>
      <c r="C86492"/>
      <c r="E86492"/>
      <c r="F86492"/>
    </row>
    <row r="86493" spans="1:6" x14ac:dyDescent="0.25">
      <c r="A86493"/>
      <c r="B86493"/>
      <c r="C86493"/>
      <c r="E86493"/>
      <c r="F86493"/>
    </row>
    <row r="86494" spans="1:6" x14ac:dyDescent="0.25">
      <c r="A86494"/>
      <c r="B86494"/>
      <c r="C86494"/>
      <c r="E86494"/>
      <c r="F86494"/>
    </row>
    <row r="86495" spans="1:6" x14ac:dyDescent="0.25">
      <c r="A86495"/>
      <c r="B86495"/>
      <c r="C86495"/>
      <c r="E86495"/>
      <c r="F86495"/>
    </row>
    <row r="86496" spans="1:6" x14ac:dyDescent="0.25">
      <c r="A86496"/>
      <c r="B86496"/>
      <c r="C86496"/>
      <c r="E86496"/>
      <c r="F86496"/>
    </row>
    <row r="86497" spans="1:6" x14ac:dyDescent="0.25">
      <c r="A86497"/>
      <c r="B86497"/>
      <c r="C86497"/>
      <c r="E86497"/>
      <c r="F86497"/>
    </row>
    <row r="86498" spans="1:6" x14ac:dyDescent="0.25">
      <c r="A86498"/>
      <c r="B86498"/>
      <c r="C86498"/>
      <c r="E86498"/>
      <c r="F86498"/>
    </row>
    <row r="86499" spans="1:6" x14ac:dyDescent="0.25">
      <c r="A86499"/>
      <c r="B86499"/>
      <c r="C86499"/>
      <c r="E86499"/>
      <c r="F86499"/>
    </row>
    <row r="86500" spans="1:6" x14ac:dyDescent="0.25">
      <c r="A86500"/>
      <c r="B86500"/>
      <c r="C86500"/>
      <c r="E86500"/>
      <c r="F86500"/>
    </row>
    <row r="86501" spans="1:6" x14ac:dyDescent="0.25">
      <c r="A86501"/>
      <c r="B86501"/>
      <c r="C86501"/>
      <c r="E86501"/>
      <c r="F86501"/>
    </row>
    <row r="86502" spans="1:6" x14ac:dyDescent="0.25">
      <c r="A86502"/>
      <c r="B86502"/>
      <c r="C86502"/>
      <c r="E86502"/>
      <c r="F86502"/>
    </row>
    <row r="86503" spans="1:6" x14ac:dyDescent="0.25">
      <c r="A86503"/>
      <c r="B86503"/>
      <c r="C86503"/>
      <c r="E86503"/>
      <c r="F86503"/>
    </row>
    <row r="86504" spans="1:6" x14ac:dyDescent="0.25">
      <c r="A86504"/>
      <c r="B86504"/>
      <c r="C86504"/>
      <c r="E86504"/>
      <c r="F86504"/>
    </row>
    <row r="86505" spans="1:6" x14ac:dyDescent="0.25">
      <c r="A86505"/>
      <c r="B86505"/>
      <c r="C86505"/>
      <c r="E86505"/>
      <c r="F86505"/>
    </row>
    <row r="86506" spans="1:6" x14ac:dyDescent="0.25">
      <c r="A86506"/>
      <c r="B86506"/>
      <c r="C86506"/>
      <c r="E86506"/>
      <c r="F86506"/>
    </row>
    <row r="86507" spans="1:6" x14ac:dyDescent="0.25">
      <c r="A86507"/>
      <c r="B86507"/>
      <c r="C86507"/>
      <c r="E86507"/>
      <c r="F86507"/>
    </row>
    <row r="86508" spans="1:6" x14ac:dyDescent="0.25">
      <c r="A86508"/>
      <c r="B86508"/>
      <c r="C86508"/>
      <c r="E86508"/>
      <c r="F86508"/>
    </row>
    <row r="86509" spans="1:6" x14ac:dyDescent="0.25">
      <c r="A86509"/>
      <c r="B86509"/>
      <c r="C86509"/>
      <c r="E86509"/>
      <c r="F86509"/>
    </row>
    <row r="86510" spans="1:6" x14ac:dyDescent="0.25">
      <c r="A86510"/>
      <c r="B86510"/>
      <c r="C86510"/>
      <c r="E86510"/>
      <c r="F86510"/>
    </row>
    <row r="86511" spans="1:6" x14ac:dyDescent="0.25">
      <c r="A86511"/>
      <c r="B86511"/>
      <c r="C86511"/>
      <c r="E86511"/>
      <c r="F86511"/>
    </row>
    <row r="86512" spans="1:6" x14ac:dyDescent="0.25">
      <c r="A86512"/>
      <c r="B86512"/>
      <c r="C86512"/>
      <c r="E86512"/>
      <c r="F86512"/>
    </row>
    <row r="86513" spans="1:6" x14ac:dyDescent="0.25">
      <c r="A86513"/>
      <c r="B86513"/>
      <c r="C86513"/>
      <c r="E86513"/>
      <c r="F86513"/>
    </row>
    <row r="86514" spans="1:6" x14ac:dyDescent="0.25">
      <c r="A86514"/>
      <c r="B86514"/>
      <c r="C86514"/>
      <c r="E86514"/>
      <c r="F86514"/>
    </row>
    <row r="86515" spans="1:6" x14ac:dyDescent="0.25">
      <c r="A86515"/>
      <c r="B86515"/>
      <c r="C86515"/>
      <c r="E86515"/>
      <c r="F86515"/>
    </row>
    <row r="86516" spans="1:6" x14ac:dyDescent="0.25">
      <c r="A86516"/>
      <c r="B86516"/>
      <c r="C86516"/>
      <c r="E86516"/>
      <c r="F86516"/>
    </row>
    <row r="86517" spans="1:6" x14ac:dyDescent="0.25">
      <c r="A86517"/>
      <c r="B86517"/>
      <c r="C86517"/>
      <c r="E86517"/>
      <c r="F86517"/>
    </row>
    <row r="86518" spans="1:6" x14ac:dyDescent="0.25">
      <c r="A86518"/>
      <c r="B86518"/>
      <c r="C86518"/>
      <c r="E86518"/>
      <c r="F86518"/>
    </row>
    <row r="86519" spans="1:6" x14ac:dyDescent="0.25">
      <c r="A86519"/>
      <c r="B86519"/>
      <c r="C86519"/>
      <c r="E86519"/>
      <c r="F86519"/>
    </row>
    <row r="86520" spans="1:6" x14ac:dyDescent="0.25">
      <c r="A86520"/>
      <c r="B86520"/>
      <c r="C86520"/>
      <c r="E86520"/>
      <c r="F86520"/>
    </row>
    <row r="86521" spans="1:6" x14ac:dyDescent="0.25">
      <c r="A86521"/>
      <c r="B86521"/>
      <c r="C86521"/>
      <c r="E86521"/>
      <c r="F86521"/>
    </row>
    <row r="86522" spans="1:6" x14ac:dyDescent="0.25">
      <c r="A86522"/>
      <c r="B86522"/>
      <c r="C86522"/>
      <c r="E86522"/>
      <c r="F86522"/>
    </row>
    <row r="86523" spans="1:6" x14ac:dyDescent="0.25">
      <c r="A86523"/>
      <c r="B86523"/>
      <c r="C86523"/>
      <c r="E86523"/>
      <c r="F86523"/>
    </row>
    <row r="86524" spans="1:6" x14ac:dyDescent="0.25">
      <c r="A86524"/>
      <c r="B86524"/>
      <c r="C86524"/>
      <c r="E86524"/>
      <c r="F86524"/>
    </row>
    <row r="86525" spans="1:6" x14ac:dyDescent="0.25">
      <c r="A86525"/>
      <c r="B86525"/>
      <c r="C86525"/>
      <c r="E86525"/>
      <c r="F86525"/>
    </row>
    <row r="86526" spans="1:6" x14ac:dyDescent="0.25">
      <c r="A86526"/>
      <c r="B86526"/>
      <c r="C86526"/>
      <c r="E86526"/>
      <c r="F86526"/>
    </row>
    <row r="86527" spans="1:6" x14ac:dyDescent="0.25">
      <c r="A86527"/>
      <c r="B86527"/>
      <c r="C86527"/>
      <c r="E86527"/>
      <c r="F86527"/>
    </row>
    <row r="86528" spans="1:6" x14ac:dyDescent="0.25">
      <c r="A86528"/>
      <c r="B86528"/>
      <c r="C86528"/>
      <c r="E86528"/>
      <c r="F86528"/>
    </row>
    <row r="86529" spans="1:6" x14ac:dyDescent="0.25">
      <c r="A86529"/>
      <c r="B86529"/>
      <c r="C86529"/>
      <c r="E86529"/>
      <c r="F86529"/>
    </row>
    <row r="86530" spans="1:6" x14ac:dyDescent="0.25">
      <c r="A86530"/>
      <c r="B86530"/>
      <c r="C86530"/>
      <c r="E86530"/>
      <c r="F86530"/>
    </row>
    <row r="86531" spans="1:6" x14ac:dyDescent="0.25">
      <c r="A86531"/>
      <c r="B86531"/>
      <c r="C86531"/>
      <c r="E86531"/>
      <c r="F86531"/>
    </row>
    <row r="86532" spans="1:6" x14ac:dyDescent="0.25">
      <c r="A86532"/>
      <c r="B86532"/>
      <c r="C86532"/>
      <c r="E86532"/>
      <c r="F86532"/>
    </row>
    <row r="86533" spans="1:6" x14ac:dyDescent="0.25">
      <c r="A86533"/>
      <c r="B86533"/>
      <c r="C86533"/>
      <c r="E86533"/>
      <c r="F86533"/>
    </row>
    <row r="86534" spans="1:6" x14ac:dyDescent="0.25">
      <c r="A86534"/>
      <c r="B86534"/>
      <c r="C86534"/>
      <c r="E86534"/>
      <c r="F86534"/>
    </row>
    <row r="86535" spans="1:6" x14ac:dyDescent="0.25">
      <c r="A86535"/>
      <c r="B86535"/>
      <c r="C86535"/>
      <c r="E86535"/>
      <c r="F86535"/>
    </row>
    <row r="86536" spans="1:6" x14ac:dyDescent="0.25">
      <c r="A86536"/>
      <c r="B86536"/>
      <c r="C86536"/>
      <c r="E86536"/>
      <c r="F86536"/>
    </row>
    <row r="86537" spans="1:6" x14ac:dyDescent="0.25">
      <c r="A86537"/>
      <c r="B86537"/>
      <c r="C86537"/>
      <c r="E86537"/>
      <c r="F86537"/>
    </row>
    <row r="86538" spans="1:6" x14ac:dyDescent="0.25">
      <c r="A86538"/>
      <c r="B86538"/>
      <c r="C86538"/>
      <c r="E86538"/>
      <c r="F86538"/>
    </row>
    <row r="86539" spans="1:6" x14ac:dyDescent="0.25">
      <c r="A86539"/>
      <c r="B86539"/>
      <c r="C86539"/>
      <c r="E86539"/>
      <c r="F86539"/>
    </row>
    <row r="86540" spans="1:6" x14ac:dyDescent="0.25">
      <c r="A86540"/>
      <c r="B86540"/>
      <c r="C86540"/>
      <c r="E86540"/>
      <c r="F86540"/>
    </row>
    <row r="86541" spans="1:6" x14ac:dyDescent="0.25">
      <c r="A86541"/>
      <c r="B86541"/>
      <c r="C86541"/>
      <c r="E86541"/>
      <c r="F86541"/>
    </row>
    <row r="86542" spans="1:6" x14ac:dyDescent="0.25">
      <c r="A86542"/>
      <c r="B86542"/>
      <c r="C86542"/>
      <c r="E86542"/>
      <c r="F86542"/>
    </row>
    <row r="86543" spans="1:6" x14ac:dyDescent="0.25">
      <c r="A86543"/>
      <c r="B86543"/>
      <c r="C86543"/>
      <c r="E86543"/>
      <c r="F86543"/>
    </row>
    <row r="86544" spans="1:6" x14ac:dyDescent="0.25">
      <c r="A86544"/>
      <c r="B86544"/>
      <c r="C86544"/>
      <c r="E86544"/>
      <c r="F86544"/>
    </row>
    <row r="86545" spans="1:6" x14ac:dyDescent="0.25">
      <c r="A86545"/>
      <c r="B86545"/>
      <c r="C86545"/>
      <c r="E86545"/>
      <c r="F86545"/>
    </row>
    <row r="86546" spans="1:6" x14ac:dyDescent="0.25">
      <c r="A86546"/>
      <c r="B86546"/>
      <c r="C86546"/>
      <c r="E86546"/>
      <c r="F86546"/>
    </row>
    <row r="86547" spans="1:6" x14ac:dyDescent="0.25">
      <c r="A86547"/>
      <c r="B86547"/>
      <c r="C86547"/>
      <c r="E86547"/>
      <c r="F86547"/>
    </row>
    <row r="86548" spans="1:6" x14ac:dyDescent="0.25">
      <c r="A86548"/>
      <c r="B86548"/>
      <c r="C86548"/>
      <c r="E86548"/>
      <c r="F86548"/>
    </row>
    <row r="86549" spans="1:6" x14ac:dyDescent="0.25">
      <c r="A86549"/>
      <c r="B86549"/>
      <c r="C86549"/>
      <c r="E86549"/>
      <c r="F86549"/>
    </row>
    <row r="86550" spans="1:6" x14ac:dyDescent="0.25">
      <c r="A86550"/>
      <c r="B86550"/>
      <c r="C86550"/>
      <c r="E86550"/>
      <c r="F86550"/>
    </row>
    <row r="86551" spans="1:6" x14ac:dyDescent="0.25">
      <c r="A86551"/>
      <c r="B86551"/>
      <c r="C86551"/>
      <c r="E86551"/>
      <c r="F86551"/>
    </row>
    <row r="86552" spans="1:6" x14ac:dyDescent="0.25">
      <c r="A86552"/>
      <c r="B86552"/>
      <c r="C86552"/>
      <c r="E86552"/>
      <c r="F86552"/>
    </row>
    <row r="86553" spans="1:6" x14ac:dyDescent="0.25">
      <c r="A86553"/>
      <c r="B86553"/>
      <c r="C86553"/>
      <c r="E86553"/>
      <c r="F86553"/>
    </row>
    <row r="86554" spans="1:6" x14ac:dyDescent="0.25">
      <c r="A86554"/>
      <c r="B86554"/>
      <c r="C86554"/>
      <c r="E86554"/>
      <c r="F86554"/>
    </row>
    <row r="86555" spans="1:6" x14ac:dyDescent="0.25">
      <c r="A86555"/>
      <c r="B86555"/>
      <c r="C86555"/>
      <c r="E86555"/>
      <c r="F86555"/>
    </row>
    <row r="86556" spans="1:6" x14ac:dyDescent="0.25">
      <c r="A86556"/>
      <c r="B86556"/>
      <c r="C86556"/>
      <c r="E86556"/>
      <c r="F86556"/>
    </row>
    <row r="86557" spans="1:6" x14ac:dyDescent="0.25">
      <c r="A86557"/>
      <c r="B86557"/>
      <c r="C86557"/>
      <c r="E86557"/>
      <c r="F86557"/>
    </row>
    <row r="86558" spans="1:6" x14ac:dyDescent="0.25">
      <c r="A86558"/>
      <c r="B86558"/>
      <c r="C86558"/>
      <c r="E86558"/>
      <c r="F86558"/>
    </row>
    <row r="86559" spans="1:6" x14ac:dyDescent="0.25">
      <c r="A86559"/>
      <c r="B86559"/>
      <c r="C86559"/>
      <c r="E86559"/>
      <c r="F86559"/>
    </row>
    <row r="86560" spans="1:6" x14ac:dyDescent="0.25">
      <c r="A86560"/>
      <c r="B86560"/>
      <c r="C86560"/>
      <c r="E86560"/>
      <c r="F86560"/>
    </row>
    <row r="86561" spans="1:6" x14ac:dyDescent="0.25">
      <c r="A86561"/>
      <c r="B86561"/>
      <c r="C86561"/>
      <c r="E86561"/>
      <c r="F86561"/>
    </row>
    <row r="86562" spans="1:6" x14ac:dyDescent="0.25">
      <c r="A86562"/>
      <c r="B86562"/>
      <c r="C86562"/>
      <c r="E86562"/>
      <c r="F86562"/>
    </row>
    <row r="86563" spans="1:6" x14ac:dyDescent="0.25">
      <c r="A86563"/>
      <c r="B86563"/>
      <c r="C86563"/>
      <c r="E86563"/>
      <c r="F86563"/>
    </row>
    <row r="86564" spans="1:6" x14ac:dyDescent="0.25">
      <c r="A86564"/>
      <c r="B86564"/>
      <c r="C86564"/>
      <c r="E86564"/>
      <c r="F86564"/>
    </row>
    <row r="86565" spans="1:6" x14ac:dyDescent="0.25">
      <c r="A86565"/>
      <c r="B86565"/>
      <c r="C86565"/>
      <c r="E86565"/>
      <c r="F86565"/>
    </row>
    <row r="86566" spans="1:6" x14ac:dyDescent="0.25">
      <c r="A86566"/>
      <c r="B86566"/>
      <c r="C86566"/>
      <c r="E86566"/>
      <c r="F86566"/>
    </row>
    <row r="86567" spans="1:6" x14ac:dyDescent="0.25">
      <c r="A86567"/>
      <c r="B86567"/>
      <c r="C86567"/>
      <c r="E86567"/>
      <c r="F86567"/>
    </row>
    <row r="86568" spans="1:6" x14ac:dyDescent="0.25">
      <c r="A86568"/>
      <c r="B86568"/>
      <c r="C86568"/>
      <c r="E86568"/>
      <c r="F86568"/>
    </row>
    <row r="86569" spans="1:6" x14ac:dyDescent="0.25">
      <c r="A86569"/>
      <c r="B86569"/>
      <c r="C86569"/>
      <c r="E86569"/>
      <c r="F86569"/>
    </row>
    <row r="86570" spans="1:6" x14ac:dyDescent="0.25">
      <c r="A86570"/>
      <c r="B86570"/>
      <c r="C86570"/>
      <c r="E86570"/>
      <c r="F86570"/>
    </row>
    <row r="86571" spans="1:6" x14ac:dyDescent="0.25">
      <c r="A86571"/>
      <c r="B86571"/>
      <c r="C86571"/>
      <c r="E86571"/>
      <c r="F86571"/>
    </row>
    <row r="86572" spans="1:6" x14ac:dyDescent="0.25">
      <c r="A86572"/>
      <c r="B86572"/>
      <c r="C86572"/>
      <c r="E86572"/>
      <c r="F86572"/>
    </row>
    <row r="86573" spans="1:6" x14ac:dyDescent="0.25">
      <c r="A86573"/>
      <c r="B86573"/>
      <c r="C86573"/>
      <c r="E86573"/>
      <c r="F86573"/>
    </row>
    <row r="86574" spans="1:6" x14ac:dyDescent="0.25">
      <c r="A86574"/>
      <c r="B86574"/>
      <c r="C86574"/>
      <c r="E86574"/>
      <c r="F86574"/>
    </row>
    <row r="86575" spans="1:6" x14ac:dyDescent="0.25">
      <c r="A86575"/>
      <c r="B86575"/>
      <c r="C86575"/>
      <c r="E86575"/>
      <c r="F86575"/>
    </row>
    <row r="86576" spans="1:6" x14ac:dyDescent="0.25">
      <c r="A86576"/>
      <c r="B86576"/>
      <c r="C86576"/>
      <c r="E86576"/>
      <c r="F86576"/>
    </row>
    <row r="86577" spans="1:6" x14ac:dyDescent="0.25">
      <c r="A86577"/>
      <c r="B86577"/>
      <c r="C86577"/>
      <c r="E86577"/>
      <c r="F86577"/>
    </row>
    <row r="86578" spans="1:6" x14ac:dyDescent="0.25">
      <c r="A86578"/>
      <c r="B86578"/>
      <c r="C86578"/>
      <c r="E86578"/>
      <c r="F86578"/>
    </row>
    <row r="86579" spans="1:6" x14ac:dyDescent="0.25">
      <c r="A86579"/>
      <c r="B86579"/>
      <c r="C86579"/>
      <c r="E86579"/>
      <c r="F86579"/>
    </row>
    <row r="86580" spans="1:6" x14ac:dyDescent="0.25">
      <c r="A86580"/>
      <c r="B86580"/>
      <c r="C86580"/>
      <c r="E86580"/>
      <c r="F86580"/>
    </row>
    <row r="86581" spans="1:6" x14ac:dyDescent="0.25">
      <c r="A86581"/>
      <c r="B86581"/>
      <c r="C86581"/>
      <c r="E86581"/>
      <c r="F86581"/>
    </row>
    <row r="86582" spans="1:6" x14ac:dyDescent="0.25">
      <c r="A86582"/>
      <c r="B86582"/>
      <c r="C86582"/>
      <c r="E86582"/>
      <c r="F86582"/>
    </row>
    <row r="86583" spans="1:6" x14ac:dyDescent="0.25">
      <c r="A86583"/>
      <c r="B86583"/>
      <c r="C86583"/>
      <c r="E86583"/>
      <c r="F86583"/>
    </row>
    <row r="86584" spans="1:6" x14ac:dyDescent="0.25">
      <c r="A86584"/>
      <c r="B86584"/>
      <c r="C86584"/>
      <c r="E86584"/>
      <c r="F86584"/>
    </row>
    <row r="86585" spans="1:6" x14ac:dyDescent="0.25">
      <c r="A86585"/>
      <c r="B86585"/>
      <c r="C86585"/>
      <c r="E86585"/>
      <c r="F86585"/>
    </row>
    <row r="86586" spans="1:6" x14ac:dyDescent="0.25">
      <c r="A86586"/>
      <c r="B86586"/>
      <c r="C86586"/>
      <c r="E86586"/>
      <c r="F86586"/>
    </row>
    <row r="86587" spans="1:6" x14ac:dyDescent="0.25">
      <c r="A86587"/>
      <c r="B86587"/>
      <c r="C86587"/>
      <c r="E86587"/>
      <c r="F86587"/>
    </row>
    <row r="86588" spans="1:6" x14ac:dyDescent="0.25">
      <c r="A86588"/>
      <c r="B86588"/>
      <c r="C86588"/>
      <c r="E86588"/>
      <c r="F86588"/>
    </row>
    <row r="86589" spans="1:6" x14ac:dyDescent="0.25">
      <c r="A86589"/>
      <c r="B86589"/>
      <c r="C86589"/>
      <c r="E86589"/>
      <c r="F86589"/>
    </row>
    <row r="86590" spans="1:6" x14ac:dyDescent="0.25">
      <c r="A86590"/>
      <c r="B86590"/>
      <c r="C86590"/>
      <c r="E86590"/>
      <c r="F86590"/>
    </row>
    <row r="86591" spans="1:6" x14ac:dyDescent="0.25">
      <c r="A86591"/>
      <c r="B86591"/>
      <c r="C86591"/>
      <c r="E86591"/>
      <c r="F86591"/>
    </row>
    <row r="86592" spans="1:6" x14ac:dyDescent="0.25">
      <c r="A86592"/>
      <c r="B86592"/>
      <c r="C86592"/>
      <c r="E86592"/>
      <c r="F86592"/>
    </row>
    <row r="86593" spans="1:6" x14ac:dyDescent="0.25">
      <c r="A86593"/>
      <c r="B86593"/>
      <c r="C86593"/>
      <c r="E86593"/>
      <c r="F86593"/>
    </row>
    <row r="86594" spans="1:6" x14ac:dyDescent="0.25">
      <c r="A86594"/>
      <c r="B86594"/>
      <c r="C86594"/>
      <c r="E86594"/>
      <c r="F86594"/>
    </row>
    <row r="86595" spans="1:6" x14ac:dyDescent="0.25">
      <c r="A86595"/>
      <c r="B86595"/>
      <c r="C86595"/>
      <c r="E86595"/>
      <c r="F86595"/>
    </row>
    <row r="86596" spans="1:6" x14ac:dyDescent="0.25">
      <c r="A86596"/>
      <c r="B86596"/>
      <c r="C86596"/>
      <c r="E86596"/>
      <c r="F86596"/>
    </row>
    <row r="86597" spans="1:6" x14ac:dyDescent="0.25">
      <c r="A86597"/>
      <c r="B86597"/>
      <c r="C86597"/>
      <c r="E86597"/>
      <c r="F86597"/>
    </row>
    <row r="86598" spans="1:6" x14ac:dyDescent="0.25">
      <c r="A86598"/>
      <c r="B86598"/>
      <c r="C86598"/>
      <c r="E86598"/>
      <c r="F86598"/>
    </row>
    <row r="86599" spans="1:6" x14ac:dyDescent="0.25">
      <c r="A86599"/>
      <c r="B86599"/>
      <c r="C86599"/>
      <c r="E86599"/>
      <c r="F86599"/>
    </row>
    <row r="86600" spans="1:6" x14ac:dyDescent="0.25">
      <c r="A86600"/>
      <c r="B86600"/>
      <c r="C86600"/>
      <c r="E86600"/>
      <c r="F86600"/>
    </row>
    <row r="86601" spans="1:6" x14ac:dyDescent="0.25">
      <c r="A86601"/>
      <c r="B86601"/>
      <c r="C86601"/>
      <c r="E86601"/>
      <c r="F86601"/>
    </row>
    <row r="86602" spans="1:6" x14ac:dyDescent="0.25">
      <c r="A86602"/>
      <c r="B86602"/>
      <c r="C86602"/>
      <c r="E86602"/>
      <c r="F86602"/>
    </row>
    <row r="86603" spans="1:6" x14ac:dyDescent="0.25">
      <c r="A86603"/>
      <c r="B86603"/>
      <c r="C86603"/>
      <c r="E86603"/>
      <c r="F86603"/>
    </row>
    <row r="86604" spans="1:6" x14ac:dyDescent="0.25">
      <c r="A86604"/>
      <c r="B86604"/>
      <c r="C86604"/>
      <c r="E86604"/>
      <c r="F86604"/>
    </row>
    <row r="86605" spans="1:6" x14ac:dyDescent="0.25">
      <c r="A86605"/>
      <c r="B86605"/>
      <c r="C86605"/>
      <c r="E86605"/>
      <c r="F86605"/>
    </row>
    <row r="86606" spans="1:6" x14ac:dyDescent="0.25">
      <c r="A86606"/>
      <c r="B86606"/>
      <c r="C86606"/>
      <c r="E86606"/>
      <c r="F86606"/>
    </row>
    <row r="86607" spans="1:6" x14ac:dyDescent="0.25">
      <c r="A86607"/>
      <c r="B86607"/>
      <c r="C86607"/>
      <c r="E86607"/>
      <c r="F86607"/>
    </row>
    <row r="86608" spans="1:6" x14ac:dyDescent="0.25">
      <c r="A86608"/>
      <c r="B86608"/>
      <c r="C86608"/>
      <c r="E86608"/>
      <c r="F86608"/>
    </row>
    <row r="86609" spans="1:6" x14ac:dyDescent="0.25">
      <c r="A86609"/>
      <c r="B86609"/>
      <c r="C86609"/>
      <c r="E86609"/>
      <c r="F86609"/>
    </row>
    <row r="86610" spans="1:6" x14ac:dyDescent="0.25">
      <c r="A86610"/>
      <c r="B86610"/>
      <c r="C86610"/>
      <c r="E86610"/>
      <c r="F86610"/>
    </row>
    <row r="86611" spans="1:6" x14ac:dyDescent="0.25">
      <c r="A86611"/>
      <c r="B86611"/>
      <c r="C86611"/>
      <c r="E86611"/>
      <c r="F86611"/>
    </row>
    <row r="86612" spans="1:6" x14ac:dyDescent="0.25">
      <c r="A86612"/>
      <c r="B86612"/>
      <c r="C86612"/>
      <c r="E86612"/>
      <c r="F86612"/>
    </row>
    <row r="86613" spans="1:6" x14ac:dyDescent="0.25">
      <c r="A86613"/>
      <c r="B86613"/>
      <c r="C86613"/>
      <c r="E86613"/>
      <c r="F86613"/>
    </row>
    <row r="86614" spans="1:6" x14ac:dyDescent="0.25">
      <c r="A86614"/>
      <c r="B86614"/>
      <c r="C86614"/>
      <c r="E86614"/>
      <c r="F86614"/>
    </row>
    <row r="86615" spans="1:6" x14ac:dyDescent="0.25">
      <c r="A86615"/>
      <c r="B86615"/>
      <c r="C86615"/>
      <c r="E86615"/>
      <c r="F86615"/>
    </row>
    <row r="86616" spans="1:6" x14ac:dyDescent="0.25">
      <c r="A86616"/>
      <c r="B86616"/>
      <c r="C86616"/>
      <c r="E86616"/>
      <c r="F86616"/>
    </row>
    <row r="86617" spans="1:6" x14ac:dyDescent="0.25">
      <c r="A86617"/>
      <c r="B86617"/>
      <c r="C86617"/>
      <c r="E86617"/>
      <c r="F86617"/>
    </row>
    <row r="86618" spans="1:6" x14ac:dyDescent="0.25">
      <c r="A86618"/>
      <c r="B86618"/>
      <c r="C86618"/>
      <c r="E86618"/>
      <c r="F86618"/>
    </row>
    <row r="86619" spans="1:6" x14ac:dyDescent="0.25">
      <c r="A86619"/>
      <c r="B86619"/>
      <c r="C86619"/>
      <c r="E86619"/>
      <c r="F86619"/>
    </row>
    <row r="86620" spans="1:6" x14ac:dyDescent="0.25">
      <c r="A86620"/>
      <c r="B86620"/>
      <c r="C86620"/>
      <c r="E86620"/>
      <c r="F86620"/>
    </row>
    <row r="86621" spans="1:6" x14ac:dyDescent="0.25">
      <c r="A86621"/>
      <c r="B86621"/>
      <c r="C86621"/>
      <c r="E86621"/>
      <c r="F86621"/>
    </row>
    <row r="86622" spans="1:6" x14ac:dyDescent="0.25">
      <c r="A86622"/>
      <c r="B86622"/>
      <c r="C86622"/>
      <c r="E86622"/>
      <c r="F86622"/>
    </row>
    <row r="86623" spans="1:6" x14ac:dyDescent="0.25">
      <c r="A86623"/>
      <c r="B86623"/>
      <c r="C86623"/>
      <c r="E86623"/>
      <c r="F86623"/>
    </row>
    <row r="86624" spans="1:6" x14ac:dyDescent="0.25">
      <c r="A86624"/>
      <c r="B86624"/>
      <c r="C86624"/>
      <c r="E86624"/>
      <c r="F86624"/>
    </row>
    <row r="86625" spans="1:6" x14ac:dyDescent="0.25">
      <c r="A86625"/>
      <c r="B86625"/>
      <c r="C86625"/>
      <c r="E86625"/>
      <c r="F86625"/>
    </row>
    <row r="86626" spans="1:6" x14ac:dyDescent="0.25">
      <c r="A86626"/>
      <c r="B86626"/>
      <c r="C86626"/>
      <c r="E86626"/>
      <c r="F86626"/>
    </row>
    <row r="86627" spans="1:6" x14ac:dyDescent="0.25">
      <c r="A86627"/>
      <c r="B86627"/>
      <c r="C86627"/>
      <c r="E86627"/>
      <c r="F86627"/>
    </row>
    <row r="86628" spans="1:6" x14ac:dyDescent="0.25">
      <c r="A86628"/>
      <c r="B86628"/>
      <c r="C86628"/>
      <c r="E86628"/>
      <c r="F86628"/>
    </row>
    <row r="86629" spans="1:6" x14ac:dyDescent="0.25">
      <c r="A86629"/>
      <c r="B86629"/>
      <c r="C86629"/>
      <c r="E86629"/>
      <c r="F86629"/>
    </row>
    <row r="86630" spans="1:6" x14ac:dyDescent="0.25">
      <c r="A86630"/>
      <c r="B86630"/>
      <c r="C86630"/>
      <c r="E86630"/>
      <c r="F86630"/>
    </row>
    <row r="86631" spans="1:6" x14ac:dyDescent="0.25">
      <c r="A86631"/>
      <c r="B86631"/>
      <c r="C86631"/>
      <c r="E86631"/>
      <c r="F86631"/>
    </row>
    <row r="86632" spans="1:6" x14ac:dyDescent="0.25">
      <c r="A86632"/>
      <c r="B86632"/>
      <c r="C86632"/>
      <c r="E86632"/>
      <c r="F86632"/>
    </row>
    <row r="86633" spans="1:6" x14ac:dyDescent="0.25">
      <c r="A86633"/>
      <c r="B86633"/>
      <c r="C86633"/>
      <c r="E86633"/>
      <c r="F86633"/>
    </row>
    <row r="86634" spans="1:6" x14ac:dyDescent="0.25">
      <c r="A86634"/>
      <c r="B86634"/>
      <c r="C86634"/>
      <c r="E86634"/>
      <c r="F86634"/>
    </row>
    <row r="86635" spans="1:6" x14ac:dyDescent="0.25">
      <c r="A86635"/>
      <c r="B86635"/>
      <c r="C86635"/>
      <c r="E86635"/>
      <c r="F86635"/>
    </row>
    <row r="86636" spans="1:6" x14ac:dyDescent="0.25">
      <c r="A86636"/>
      <c r="B86636"/>
      <c r="C86636"/>
      <c r="E86636"/>
      <c r="F86636"/>
    </row>
    <row r="86637" spans="1:6" x14ac:dyDescent="0.25">
      <c r="A86637"/>
      <c r="B86637"/>
      <c r="C86637"/>
      <c r="E86637"/>
      <c r="F86637"/>
    </row>
    <row r="86638" spans="1:6" x14ac:dyDescent="0.25">
      <c r="A86638"/>
      <c r="B86638"/>
      <c r="C86638"/>
      <c r="E86638"/>
      <c r="F86638"/>
    </row>
    <row r="86639" spans="1:6" x14ac:dyDescent="0.25">
      <c r="A86639"/>
      <c r="B86639"/>
      <c r="C86639"/>
      <c r="E86639"/>
      <c r="F86639"/>
    </row>
    <row r="86640" spans="1:6" x14ac:dyDescent="0.25">
      <c r="A86640"/>
      <c r="B86640"/>
      <c r="C86640"/>
      <c r="E86640"/>
      <c r="F86640"/>
    </row>
    <row r="86641" spans="1:6" x14ac:dyDescent="0.25">
      <c r="A86641"/>
      <c r="B86641"/>
      <c r="C86641"/>
      <c r="E86641"/>
      <c r="F86641"/>
    </row>
    <row r="86642" spans="1:6" x14ac:dyDescent="0.25">
      <c r="A86642"/>
      <c r="B86642"/>
      <c r="C86642"/>
      <c r="E86642"/>
      <c r="F86642"/>
    </row>
    <row r="86643" spans="1:6" x14ac:dyDescent="0.25">
      <c r="A86643"/>
      <c r="B86643"/>
      <c r="C86643"/>
      <c r="E86643"/>
      <c r="F86643"/>
    </row>
    <row r="86644" spans="1:6" x14ac:dyDescent="0.25">
      <c r="A86644"/>
      <c r="B86644"/>
      <c r="C86644"/>
      <c r="E86644"/>
      <c r="F86644"/>
    </row>
    <row r="86645" spans="1:6" x14ac:dyDescent="0.25">
      <c r="A86645"/>
      <c r="B86645"/>
      <c r="C86645"/>
      <c r="E86645"/>
      <c r="F86645"/>
    </row>
    <row r="86646" spans="1:6" x14ac:dyDescent="0.25">
      <c r="A86646"/>
      <c r="B86646"/>
      <c r="C86646"/>
      <c r="E86646"/>
      <c r="F86646"/>
    </row>
    <row r="86647" spans="1:6" x14ac:dyDescent="0.25">
      <c r="A86647"/>
      <c r="B86647"/>
      <c r="C86647"/>
      <c r="E86647"/>
      <c r="F86647"/>
    </row>
    <row r="86648" spans="1:6" x14ac:dyDescent="0.25">
      <c r="A86648"/>
      <c r="B86648"/>
      <c r="C86648"/>
      <c r="E86648"/>
      <c r="F86648"/>
    </row>
    <row r="86649" spans="1:6" x14ac:dyDescent="0.25">
      <c r="A86649"/>
      <c r="B86649"/>
      <c r="C86649"/>
      <c r="E86649"/>
      <c r="F86649"/>
    </row>
    <row r="86650" spans="1:6" x14ac:dyDescent="0.25">
      <c r="A86650"/>
      <c r="B86650"/>
      <c r="C86650"/>
      <c r="E86650"/>
      <c r="F86650"/>
    </row>
    <row r="86651" spans="1:6" x14ac:dyDescent="0.25">
      <c r="A86651"/>
      <c r="B86651"/>
      <c r="C86651"/>
      <c r="E86651"/>
      <c r="F86651"/>
    </row>
    <row r="86652" spans="1:6" x14ac:dyDescent="0.25">
      <c r="A86652"/>
      <c r="B86652"/>
      <c r="C86652"/>
      <c r="E86652"/>
      <c r="F86652"/>
    </row>
    <row r="86653" spans="1:6" x14ac:dyDescent="0.25">
      <c r="A86653"/>
      <c r="B86653"/>
      <c r="C86653"/>
      <c r="E86653"/>
      <c r="F86653"/>
    </row>
    <row r="86654" spans="1:6" x14ac:dyDescent="0.25">
      <c r="A86654"/>
      <c r="B86654"/>
      <c r="C86654"/>
      <c r="E86654"/>
      <c r="F86654"/>
    </row>
    <row r="86655" spans="1:6" x14ac:dyDescent="0.25">
      <c r="A86655"/>
      <c r="B86655"/>
      <c r="C86655"/>
      <c r="E86655"/>
      <c r="F86655"/>
    </row>
    <row r="86656" spans="1:6" x14ac:dyDescent="0.25">
      <c r="A86656"/>
      <c r="B86656"/>
      <c r="C86656"/>
      <c r="E86656"/>
      <c r="F86656"/>
    </row>
    <row r="86657" spans="1:6" x14ac:dyDescent="0.25">
      <c r="A86657"/>
      <c r="B86657"/>
      <c r="C86657"/>
      <c r="E86657"/>
      <c r="F86657"/>
    </row>
    <row r="86658" spans="1:6" x14ac:dyDescent="0.25">
      <c r="A86658"/>
      <c r="B86658"/>
      <c r="C86658"/>
      <c r="E86658"/>
      <c r="F86658"/>
    </row>
    <row r="86659" spans="1:6" x14ac:dyDescent="0.25">
      <c r="A86659"/>
      <c r="B86659"/>
      <c r="C86659"/>
      <c r="E86659"/>
      <c r="F86659"/>
    </row>
    <row r="86660" spans="1:6" x14ac:dyDescent="0.25">
      <c r="A86660"/>
      <c r="B86660"/>
      <c r="C86660"/>
      <c r="E86660"/>
      <c r="F86660"/>
    </row>
    <row r="86661" spans="1:6" x14ac:dyDescent="0.25">
      <c r="A86661"/>
      <c r="B86661"/>
      <c r="C86661"/>
      <c r="E86661"/>
      <c r="F86661"/>
    </row>
    <row r="86662" spans="1:6" x14ac:dyDescent="0.25">
      <c r="A86662"/>
      <c r="B86662"/>
      <c r="C86662"/>
      <c r="E86662"/>
      <c r="F86662"/>
    </row>
    <row r="86663" spans="1:6" x14ac:dyDescent="0.25">
      <c r="A86663"/>
      <c r="B86663"/>
      <c r="C86663"/>
      <c r="E86663"/>
      <c r="F86663"/>
    </row>
    <row r="86664" spans="1:6" x14ac:dyDescent="0.25">
      <c r="A86664"/>
      <c r="B86664"/>
      <c r="C86664"/>
      <c r="E86664"/>
      <c r="F86664"/>
    </row>
    <row r="86665" spans="1:6" x14ac:dyDescent="0.25">
      <c r="A86665"/>
      <c r="B86665"/>
      <c r="C86665"/>
      <c r="E86665"/>
      <c r="F86665"/>
    </row>
    <row r="86666" spans="1:6" x14ac:dyDescent="0.25">
      <c r="A86666"/>
      <c r="B86666"/>
      <c r="C86666"/>
      <c r="E86666"/>
      <c r="F86666"/>
    </row>
    <row r="86667" spans="1:6" x14ac:dyDescent="0.25">
      <c r="A86667"/>
      <c r="B86667"/>
      <c r="C86667"/>
      <c r="E86667"/>
      <c r="F86667"/>
    </row>
    <row r="86668" spans="1:6" x14ac:dyDescent="0.25">
      <c r="A86668"/>
      <c r="B86668"/>
      <c r="C86668"/>
      <c r="E86668"/>
      <c r="F86668"/>
    </row>
    <row r="86669" spans="1:6" x14ac:dyDescent="0.25">
      <c r="A86669"/>
      <c r="B86669"/>
      <c r="C86669"/>
      <c r="E86669"/>
      <c r="F86669"/>
    </row>
    <row r="86670" spans="1:6" x14ac:dyDescent="0.25">
      <c r="A86670"/>
      <c r="B86670"/>
      <c r="C86670"/>
      <c r="E86670"/>
      <c r="F86670"/>
    </row>
    <row r="86671" spans="1:6" x14ac:dyDescent="0.25">
      <c r="A86671"/>
      <c r="B86671"/>
      <c r="C86671"/>
      <c r="E86671"/>
      <c r="F86671"/>
    </row>
    <row r="86672" spans="1:6" x14ac:dyDescent="0.25">
      <c r="A86672"/>
      <c r="B86672"/>
      <c r="C86672"/>
      <c r="E86672"/>
      <c r="F86672"/>
    </row>
    <row r="86673" spans="1:6" x14ac:dyDescent="0.25">
      <c r="A86673"/>
      <c r="B86673"/>
      <c r="C86673"/>
      <c r="E86673"/>
      <c r="F86673"/>
    </row>
    <row r="86674" spans="1:6" x14ac:dyDescent="0.25">
      <c r="A86674"/>
      <c r="B86674"/>
      <c r="C86674"/>
      <c r="E86674"/>
      <c r="F86674"/>
    </row>
    <row r="86675" spans="1:6" x14ac:dyDescent="0.25">
      <c r="A86675"/>
      <c r="B86675"/>
      <c r="C86675"/>
      <c r="E86675"/>
      <c r="F86675"/>
    </row>
    <row r="86676" spans="1:6" x14ac:dyDescent="0.25">
      <c r="A86676"/>
      <c r="B86676"/>
      <c r="C86676"/>
      <c r="E86676"/>
      <c r="F86676"/>
    </row>
    <row r="86677" spans="1:6" x14ac:dyDescent="0.25">
      <c r="A86677"/>
      <c r="B86677"/>
      <c r="C86677"/>
      <c r="E86677"/>
      <c r="F86677"/>
    </row>
    <row r="86678" spans="1:6" x14ac:dyDescent="0.25">
      <c r="A86678"/>
      <c r="B86678"/>
      <c r="C86678"/>
      <c r="E86678"/>
      <c r="F86678"/>
    </row>
    <row r="86679" spans="1:6" x14ac:dyDescent="0.25">
      <c r="A86679"/>
      <c r="B86679"/>
      <c r="C86679"/>
      <c r="E86679"/>
      <c r="F86679"/>
    </row>
    <row r="86680" spans="1:6" x14ac:dyDescent="0.25">
      <c r="A86680"/>
      <c r="B86680"/>
      <c r="C86680"/>
      <c r="E86680"/>
      <c r="F86680"/>
    </row>
    <row r="86681" spans="1:6" x14ac:dyDescent="0.25">
      <c r="A86681"/>
      <c r="B86681"/>
      <c r="C86681"/>
      <c r="E86681"/>
      <c r="F86681"/>
    </row>
    <row r="86682" spans="1:6" x14ac:dyDescent="0.25">
      <c r="A86682"/>
      <c r="B86682"/>
      <c r="C86682"/>
      <c r="E86682"/>
      <c r="F86682"/>
    </row>
    <row r="86683" spans="1:6" x14ac:dyDescent="0.25">
      <c r="A86683"/>
      <c r="B86683"/>
      <c r="C86683"/>
      <c r="E86683"/>
      <c r="F86683"/>
    </row>
    <row r="86684" spans="1:6" x14ac:dyDescent="0.25">
      <c r="A86684"/>
      <c r="B86684"/>
      <c r="C86684"/>
      <c r="E86684"/>
      <c r="F86684"/>
    </row>
    <row r="86685" spans="1:6" x14ac:dyDescent="0.25">
      <c r="A86685"/>
      <c r="B86685"/>
      <c r="C86685"/>
      <c r="E86685"/>
      <c r="F86685"/>
    </row>
    <row r="86686" spans="1:6" x14ac:dyDescent="0.25">
      <c r="A86686"/>
      <c r="B86686"/>
      <c r="C86686"/>
      <c r="E86686"/>
      <c r="F86686"/>
    </row>
    <row r="86687" spans="1:6" x14ac:dyDescent="0.25">
      <c r="A86687"/>
      <c r="B86687"/>
      <c r="C86687"/>
      <c r="E86687"/>
      <c r="F86687"/>
    </row>
    <row r="86688" spans="1:6" x14ac:dyDescent="0.25">
      <c r="A86688"/>
      <c r="B86688"/>
      <c r="C86688"/>
      <c r="E86688"/>
      <c r="F86688"/>
    </row>
    <row r="86689" spans="1:6" x14ac:dyDescent="0.25">
      <c r="A86689"/>
      <c r="B86689"/>
      <c r="C86689"/>
      <c r="E86689"/>
      <c r="F86689"/>
    </row>
    <row r="86690" spans="1:6" x14ac:dyDescent="0.25">
      <c r="A86690"/>
      <c r="B86690"/>
      <c r="C86690"/>
      <c r="E86690"/>
      <c r="F86690"/>
    </row>
    <row r="86691" spans="1:6" x14ac:dyDescent="0.25">
      <c r="A86691"/>
      <c r="B86691"/>
      <c r="C86691"/>
      <c r="E86691"/>
      <c r="F86691"/>
    </row>
    <row r="86692" spans="1:6" x14ac:dyDescent="0.25">
      <c r="A86692"/>
      <c r="B86692"/>
      <c r="C86692"/>
      <c r="E86692"/>
      <c r="F86692"/>
    </row>
    <row r="86693" spans="1:6" x14ac:dyDescent="0.25">
      <c r="A86693"/>
      <c r="B86693"/>
      <c r="C86693"/>
      <c r="E86693"/>
      <c r="F86693"/>
    </row>
    <row r="86694" spans="1:6" x14ac:dyDescent="0.25">
      <c r="A86694"/>
      <c r="B86694"/>
      <c r="C86694"/>
      <c r="E86694"/>
      <c r="F86694"/>
    </row>
    <row r="86695" spans="1:6" x14ac:dyDescent="0.25">
      <c r="A86695"/>
      <c r="B86695"/>
      <c r="C86695"/>
      <c r="E86695"/>
      <c r="F86695"/>
    </row>
    <row r="86696" spans="1:6" x14ac:dyDescent="0.25">
      <c r="A86696"/>
      <c r="B86696"/>
      <c r="C86696"/>
      <c r="E86696"/>
      <c r="F86696"/>
    </row>
    <row r="86697" spans="1:6" x14ac:dyDescent="0.25">
      <c r="A86697"/>
      <c r="B86697"/>
      <c r="C86697"/>
      <c r="E86697"/>
      <c r="F86697"/>
    </row>
    <row r="86698" spans="1:6" x14ac:dyDescent="0.25">
      <c r="A86698"/>
      <c r="B86698"/>
      <c r="C86698"/>
      <c r="E86698"/>
      <c r="F86698"/>
    </row>
    <row r="86699" spans="1:6" x14ac:dyDescent="0.25">
      <c r="A86699"/>
      <c r="B86699"/>
      <c r="C86699"/>
      <c r="E86699"/>
      <c r="F86699"/>
    </row>
    <row r="86700" spans="1:6" x14ac:dyDescent="0.25">
      <c r="A86700"/>
      <c r="B86700"/>
      <c r="C86700"/>
      <c r="E86700"/>
      <c r="F86700"/>
    </row>
    <row r="86701" spans="1:6" x14ac:dyDescent="0.25">
      <c r="A86701"/>
      <c r="B86701"/>
      <c r="C86701"/>
      <c r="E86701"/>
      <c r="F86701"/>
    </row>
    <row r="86702" spans="1:6" x14ac:dyDescent="0.25">
      <c r="A86702"/>
      <c r="B86702"/>
      <c r="C86702"/>
      <c r="E86702"/>
      <c r="F86702"/>
    </row>
    <row r="86703" spans="1:6" x14ac:dyDescent="0.25">
      <c r="A86703"/>
      <c r="B86703"/>
      <c r="C86703"/>
      <c r="E86703"/>
      <c r="F86703"/>
    </row>
    <row r="86704" spans="1:6" x14ac:dyDescent="0.25">
      <c r="A86704"/>
      <c r="B86704"/>
      <c r="C86704"/>
      <c r="E86704"/>
      <c r="F86704"/>
    </row>
    <row r="86705" spans="1:6" x14ac:dyDescent="0.25">
      <c r="A86705"/>
      <c r="B86705"/>
      <c r="C86705"/>
      <c r="E86705"/>
      <c r="F86705"/>
    </row>
    <row r="86706" spans="1:6" x14ac:dyDescent="0.25">
      <c r="A86706"/>
      <c r="B86706"/>
      <c r="C86706"/>
      <c r="E86706"/>
      <c r="F86706"/>
    </row>
    <row r="86707" spans="1:6" x14ac:dyDescent="0.25">
      <c r="A86707"/>
      <c r="B86707"/>
      <c r="C86707"/>
      <c r="E86707"/>
      <c r="F86707"/>
    </row>
    <row r="86708" spans="1:6" x14ac:dyDescent="0.25">
      <c r="A86708"/>
      <c r="B86708"/>
      <c r="C86708"/>
      <c r="E86708"/>
      <c r="F86708"/>
    </row>
    <row r="86709" spans="1:6" x14ac:dyDescent="0.25">
      <c r="A86709"/>
      <c r="B86709"/>
      <c r="C86709"/>
      <c r="E86709"/>
      <c r="F86709"/>
    </row>
    <row r="86710" spans="1:6" x14ac:dyDescent="0.25">
      <c r="A86710"/>
      <c r="B86710"/>
      <c r="C86710"/>
      <c r="E86710"/>
      <c r="F86710"/>
    </row>
    <row r="86711" spans="1:6" x14ac:dyDescent="0.25">
      <c r="A86711"/>
      <c r="B86711"/>
      <c r="C86711"/>
      <c r="E86711"/>
      <c r="F86711"/>
    </row>
    <row r="86712" spans="1:6" x14ac:dyDescent="0.25">
      <c r="A86712"/>
      <c r="B86712"/>
      <c r="C86712"/>
      <c r="E86712"/>
      <c r="F86712"/>
    </row>
    <row r="86713" spans="1:6" x14ac:dyDescent="0.25">
      <c r="A86713"/>
      <c r="B86713"/>
      <c r="C86713"/>
      <c r="E86713"/>
      <c r="F86713"/>
    </row>
    <row r="86714" spans="1:6" x14ac:dyDescent="0.25">
      <c r="A86714"/>
      <c r="B86714"/>
      <c r="C86714"/>
      <c r="E86714"/>
      <c r="F86714"/>
    </row>
    <row r="86715" spans="1:6" x14ac:dyDescent="0.25">
      <c r="A86715"/>
      <c r="B86715"/>
      <c r="C86715"/>
      <c r="E86715"/>
      <c r="F86715"/>
    </row>
    <row r="86716" spans="1:6" x14ac:dyDescent="0.25">
      <c r="A86716"/>
      <c r="B86716"/>
      <c r="C86716"/>
      <c r="E86716"/>
      <c r="F86716"/>
    </row>
    <row r="86717" spans="1:6" x14ac:dyDescent="0.25">
      <c r="A86717"/>
      <c r="B86717"/>
      <c r="C86717"/>
      <c r="E86717"/>
      <c r="F86717"/>
    </row>
    <row r="86718" spans="1:6" x14ac:dyDescent="0.25">
      <c r="A86718"/>
      <c r="B86718"/>
      <c r="C86718"/>
      <c r="E86718"/>
      <c r="F86718"/>
    </row>
    <row r="86719" spans="1:6" x14ac:dyDescent="0.25">
      <c r="A86719"/>
      <c r="B86719"/>
      <c r="C86719"/>
      <c r="E86719"/>
      <c r="F86719"/>
    </row>
    <row r="86720" spans="1:6" x14ac:dyDescent="0.25">
      <c r="A86720"/>
      <c r="B86720"/>
      <c r="C86720"/>
      <c r="E86720"/>
      <c r="F86720"/>
    </row>
    <row r="86721" spans="1:6" x14ac:dyDescent="0.25">
      <c r="A86721"/>
      <c r="B86721"/>
      <c r="C86721"/>
      <c r="E86721"/>
      <c r="F86721"/>
    </row>
    <row r="86722" spans="1:6" x14ac:dyDescent="0.25">
      <c r="A86722"/>
      <c r="B86722"/>
      <c r="C86722"/>
      <c r="E86722"/>
      <c r="F86722"/>
    </row>
    <row r="86723" spans="1:6" x14ac:dyDescent="0.25">
      <c r="A86723"/>
      <c r="B86723"/>
      <c r="C86723"/>
      <c r="E86723"/>
      <c r="F86723"/>
    </row>
    <row r="86724" spans="1:6" x14ac:dyDescent="0.25">
      <c r="A86724"/>
      <c r="B86724"/>
      <c r="C86724"/>
      <c r="E86724"/>
      <c r="F86724"/>
    </row>
    <row r="86725" spans="1:6" x14ac:dyDescent="0.25">
      <c r="A86725"/>
      <c r="B86725"/>
      <c r="C86725"/>
      <c r="E86725"/>
      <c r="F86725"/>
    </row>
    <row r="86726" spans="1:6" x14ac:dyDescent="0.25">
      <c r="A86726"/>
      <c r="B86726"/>
      <c r="C86726"/>
      <c r="E86726"/>
      <c r="F86726"/>
    </row>
    <row r="86727" spans="1:6" x14ac:dyDescent="0.25">
      <c r="A86727"/>
      <c r="B86727"/>
      <c r="C86727"/>
      <c r="E86727"/>
      <c r="F86727"/>
    </row>
    <row r="86728" spans="1:6" x14ac:dyDescent="0.25">
      <c r="A86728"/>
      <c r="B86728"/>
      <c r="C86728"/>
      <c r="E86728"/>
      <c r="F86728"/>
    </row>
    <row r="86729" spans="1:6" x14ac:dyDescent="0.25">
      <c r="A86729"/>
      <c r="B86729"/>
      <c r="C86729"/>
      <c r="E86729"/>
      <c r="F86729"/>
    </row>
    <row r="86730" spans="1:6" x14ac:dyDescent="0.25">
      <c r="A86730"/>
      <c r="B86730"/>
      <c r="C86730"/>
      <c r="E86730"/>
      <c r="F86730"/>
    </row>
    <row r="86731" spans="1:6" x14ac:dyDescent="0.25">
      <c r="A86731"/>
      <c r="B86731"/>
      <c r="C86731"/>
      <c r="E86731"/>
      <c r="F86731"/>
    </row>
    <row r="86732" spans="1:6" x14ac:dyDescent="0.25">
      <c r="A86732"/>
      <c r="B86732"/>
      <c r="C86732"/>
      <c r="E86732"/>
      <c r="F86732"/>
    </row>
    <row r="86733" spans="1:6" x14ac:dyDescent="0.25">
      <c r="A86733"/>
      <c r="B86733"/>
      <c r="C86733"/>
      <c r="E86733"/>
      <c r="F86733"/>
    </row>
    <row r="86734" spans="1:6" x14ac:dyDescent="0.25">
      <c r="A86734"/>
      <c r="B86734"/>
      <c r="C86734"/>
      <c r="E86734"/>
      <c r="F86734"/>
    </row>
    <row r="86735" spans="1:6" x14ac:dyDescent="0.25">
      <c r="A86735"/>
      <c r="B86735"/>
      <c r="C86735"/>
      <c r="E86735"/>
      <c r="F86735"/>
    </row>
    <row r="86736" spans="1:6" x14ac:dyDescent="0.25">
      <c r="A86736"/>
      <c r="B86736"/>
      <c r="C86736"/>
      <c r="E86736"/>
      <c r="F86736"/>
    </row>
    <row r="86737" spans="1:6" x14ac:dyDescent="0.25">
      <c r="A86737"/>
      <c r="B86737"/>
      <c r="C86737"/>
      <c r="E86737"/>
      <c r="F86737"/>
    </row>
    <row r="86738" spans="1:6" x14ac:dyDescent="0.25">
      <c r="A86738"/>
      <c r="B86738"/>
      <c r="C86738"/>
      <c r="E86738"/>
      <c r="F86738"/>
    </row>
    <row r="86739" spans="1:6" x14ac:dyDescent="0.25">
      <c r="A86739"/>
      <c r="B86739"/>
      <c r="C86739"/>
      <c r="E86739"/>
      <c r="F86739"/>
    </row>
    <row r="86740" spans="1:6" x14ac:dyDescent="0.25">
      <c r="A86740"/>
      <c r="B86740"/>
      <c r="C86740"/>
      <c r="E86740"/>
      <c r="F86740"/>
    </row>
    <row r="86741" spans="1:6" x14ac:dyDescent="0.25">
      <c r="A86741"/>
      <c r="B86741"/>
      <c r="C86741"/>
      <c r="E86741"/>
      <c r="F86741"/>
    </row>
    <row r="86742" spans="1:6" x14ac:dyDescent="0.25">
      <c r="A86742"/>
      <c r="B86742"/>
      <c r="C86742"/>
      <c r="E86742"/>
      <c r="F86742"/>
    </row>
    <row r="86743" spans="1:6" x14ac:dyDescent="0.25">
      <c r="A86743"/>
      <c r="B86743"/>
      <c r="C86743"/>
      <c r="E86743"/>
      <c r="F86743"/>
    </row>
    <row r="86744" spans="1:6" x14ac:dyDescent="0.25">
      <c r="A86744"/>
      <c r="B86744"/>
      <c r="C86744"/>
      <c r="E86744"/>
      <c r="F86744"/>
    </row>
    <row r="86745" spans="1:6" x14ac:dyDescent="0.25">
      <c r="A86745"/>
      <c r="B86745"/>
      <c r="C86745"/>
      <c r="E86745"/>
      <c r="F86745"/>
    </row>
    <row r="86746" spans="1:6" x14ac:dyDescent="0.25">
      <c r="A86746"/>
      <c r="B86746"/>
      <c r="C86746"/>
      <c r="E86746"/>
      <c r="F86746"/>
    </row>
    <row r="86747" spans="1:6" x14ac:dyDescent="0.25">
      <c r="A86747"/>
      <c r="B86747"/>
      <c r="C86747"/>
      <c r="E86747"/>
      <c r="F86747"/>
    </row>
    <row r="86748" spans="1:6" x14ac:dyDescent="0.25">
      <c r="A86748"/>
      <c r="B86748"/>
      <c r="C86748"/>
      <c r="E86748"/>
      <c r="F86748"/>
    </row>
    <row r="86749" spans="1:6" x14ac:dyDescent="0.25">
      <c r="A86749"/>
      <c r="B86749"/>
      <c r="C86749"/>
      <c r="E86749"/>
      <c r="F86749"/>
    </row>
    <row r="86750" spans="1:6" x14ac:dyDescent="0.25">
      <c r="A86750"/>
      <c r="B86750"/>
      <c r="C86750"/>
      <c r="E86750"/>
      <c r="F86750"/>
    </row>
    <row r="86751" spans="1:6" x14ac:dyDescent="0.25">
      <c r="A86751"/>
      <c r="B86751"/>
      <c r="C86751"/>
      <c r="E86751"/>
      <c r="F86751"/>
    </row>
    <row r="86752" spans="1:6" x14ac:dyDescent="0.25">
      <c r="A86752"/>
      <c r="B86752"/>
      <c r="C86752"/>
      <c r="E86752"/>
      <c r="F86752"/>
    </row>
    <row r="86753" spans="1:6" x14ac:dyDescent="0.25">
      <c r="A86753"/>
      <c r="B86753"/>
      <c r="C86753"/>
      <c r="E86753"/>
      <c r="F86753"/>
    </row>
    <row r="86754" spans="1:6" x14ac:dyDescent="0.25">
      <c r="A86754"/>
      <c r="B86754"/>
      <c r="C86754"/>
      <c r="E86754"/>
      <c r="F86754"/>
    </row>
    <row r="86755" spans="1:6" x14ac:dyDescent="0.25">
      <c r="A86755"/>
      <c r="B86755"/>
      <c r="C86755"/>
      <c r="E86755"/>
      <c r="F86755"/>
    </row>
    <row r="86756" spans="1:6" x14ac:dyDescent="0.25">
      <c r="A86756"/>
      <c r="B86756"/>
      <c r="C86756"/>
      <c r="E86756"/>
      <c r="F86756"/>
    </row>
    <row r="86757" spans="1:6" x14ac:dyDescent="0.25">
      <c r="A86757"/>
      <c r="B86757"/>
      <c r="C86757"/>
      <c r="E86757"/>
      <c r="F86757"/>
    </row>
    <row r="86758" spans="1:6" x14ac:dyDescent="0.25">
      <c r="A86758"/>
      <c r="B86758"/>
      <c r="C86758"/>
      <c r="E86758"/>
      <c r="F86758"/>
    </row>
    <row r="86759" spans="1:6" x14ac:dyDescent="0.25">
      <c r="A86759"/>
      <c r="B86759"/>
      <c r="C86759"/>
      <c r="E86759"/>
      <c r="F86759"/>
    </row>
    <row r="86760" spans="1:6" x14ac:dyDescent="0.25">
      <c r="A86760"/>
      <c r="B86760"/>
      <c r="C86760"/>
      <c r="E86760"/>
      <c r="F86760"/>
    </row>
    <row r="86761" spans="1:6" x14ac:dyDescent="0.25">
      <c r="A86761"/>
      <c r="B86761"/>
      <c r="C86761"/>
      <c r="E86761"/>
      <c r="F86761"/>
    </row>
    <row r="86762" spans="1:6" x14ac:dyDescent="0.25">
      <c r="A86762"/>
      <c r="B86762"/>
      <c r="C86762"/>
      <c r="E86762"/>
      <c r="F86762"/>
    </row>
    <row r="86763" spans="1:6" x14ac:dyDescent="0.25">
      <c r="A86763"/>
      <c r="B86763"/>
      <c r="C86763"/>
      <c r="E86763"/>
      <c r="F86763"/>
    </row>
    <row r="86764" spans="1:6" x14ac:dyDescent="0.25">
      <c r="A86764"/>
      <c r="B86764"/>
      <c r="C86764"/>
      <c r="E86764"/>
      <c r="F86764"/>
    </row>
    <row r="86765" spans="1:6" x14ac:dyDescent="0.25">
      <c r="A86765"/>
      <c r="B86765"/>
      <c r="C86765"/>
      <c r="E86765"/>
      <c r="F86765"/>
    </row>
    <row r="86766" spans="1:6" x14ac:dyDescent="0.25">
      <c r="A86766"/>
      <c r="B86766"/>
      <c r="C86766"/>
      <c r="E86766"/>
      <c r="F86766"/>
    </row>
    <row r="86767" spans="1:6" x14ac:dyDescent="0.25">
      <c r="A86767"/>
      <c r="B86767"/>
      <c r="C86767"/>
      <c r="E86767"/>
      <c r="F86767"/>
    </row>
    <row r="86768" spans="1:6" x14ac:dyDescent="0.25">
      <c r="A86768"/>
      <c r="B86768"/>
      <c r="C86768"/>
      <c r="E86768"/>
      <c r="F86768"/>
    </row>
    <row r="86769" spans="1:6" x14ac:dyDescent="0.25">
      <c r="A86769"/>
      <c r="B86769"/>
      <c r="C86769"/>
      <c r="E86769"/>
      <c r="F86769"/>
    </row>
    <row r="86770" spans="1:6" x14ac:dyDescent="0.25">
      <c r="A86770"/>
      <c r="B86770"/>
      <c r="C86770"/>
      <c r="E86770"/>
      <c r="F86770"/>
    </row>
    <row r="86771" spans="1:6" x14ac:dyDescent="0.25">
      <c r="A86771"/>
      <c r="B86771"/>
      <c r="C86771"/>
      <c r="E86771"/>
      <c r="F86771"/>
    </row>
    <row r="86772" spans="1:6" x14ac:dyDescent="0.25">
      <c r="A86772"/>
      <c r="B86772"/>
      <c r="C86772"/>
      <c r="E86772"/>
      <c r="F86772"/>
    </row>
    <row r="86773" spans="1:6" x14ac:dyDescent="0.25">
      <c r="A86773"/>
      <c r="B86773"/>
      <c r="C86773"/>
      <c r="E86773"/>
      <c r="F86773"/>
    </row>
    <row r="86774" spans="1:6" x14ac:dyDescent="0.25">
      <c r="A86774"/>
      <c r="B86774"/>
      <c r="C86774"/>
      <c r="E86774"/>
      <c r="F86774"/>
    </row>
    <row r="86775" spans="1:6" x14ac:dyDescent="0.25">
      <c r="A86775"/>
      <c r="B86775"/>
      <c r="C86775"/>
      <c r="E86775"/>
      <c r="F86775"/>
    </row>
    <row r="86776" spans="1:6" x14ac:dyDescent="0.25">
      <c r="A86776"/>
      <c r="B86776"/>
      <c r="C86776"/>
      <c r="E86776"/>
      <c r="F86776"/>
    </row>
    <row r="86777" spans="1:6" x14ac:dyDescent="0.25">
      <c r="A86777"/>
      <c r="B86777"/>
      <c r="C86777"/>
      <c r="E86777"/>
      <c r="F86777"/>
    </row>
    <row r="86778" spans="1:6" x14ac:dyDescent="0.25">
      <c r="A86778"/>
      <c r="B86778"/>
      <c r="C86778"/>
      <c r="E86778"/>
      <c r="F86778"/>
    </row>
    <row r="86779" spans="1:6" x14ac:dyDescent="0.25">
      <c r="A86779"/>
      <c r="B86779"/>
      <c r="C86779"/>
      <c r="E86779"/>
      <c r="F86779"/>
    </row>
    <row r="86780" spans="1:6" x14ac:dyDescent="0.25">
      <c r="A86780"/>
      <c r="B86780"/>
      <c r="C86780"/>
      <c r="E86780"/>
      <c r="F86780"/>
    </row>
    <row r="86781" spans="1:6" x14ac:dyDescent="0.25">
      <c r="A86781"/>
      <c r="B86781"/>
      <c r="C86781"/>
      <c r="E86781"/>
      <c r="F86781"/>
    </row>
    <row r="86782" spans="1:6" x14ac:dyDescent="0.25">
      <c r="A86782"/>
      <c r="B86782"/>
      <c r="C86782"/>
      <c r="E86782"/>
      <c r="F86782"/>
    </row>
    <row r="86783" spans="1:6" x14ac:dyDescent="0.25">
      <c r="A86783"/>
      <c r="B86783"/>
      <c r="C86783"/>
      <c r="E86783"/>
      <c r="F86783"/>
    </row>
    <row r="86784" spans="1:6" x14ac:dyDescent="0.25">
      <c r="A86784"/>
      <c r="B86784"/>
      <c r="C86784"/>
      <c r="E86784"/>
      <c r="F86784"/>
    </row>
    <row r="86785" spans="1:6" x14ac:dyDescent="0.25">
      <c r="A86785"/>
      <c r="B86785"/>
      <c r="C86785"/>
      <c r="E86785"/>
      <c r="F86785"/>
    </row>
    <row r="86786" spans="1:6" x14ac:dyDescent="0.25">
      <c r="A86786"/>
      <c r="B86786"/>
      <c r="C86786"/>
      <c r="E86786"/>
      <c r="F86786"/>
    </row>
    <row r="86787" spans="1:6" x14ac:dyDescent="0.25">
      <c r="A86787"/>
      <c r="B86787"/>
      <c r="C86787"/>
      <c r="E86787"/>
      <c r="F86787"/>
    </row>
    <row r="86788" spans="1:6" x14ac:dyDescent="0.25">
      <c r="A86788"/>
      <c r="B86788"/>
      <c r="C86788"/>
      <c r="E86788"/>
      <c r="F86788"/>
    </row>
    <row r="86789" spans="1:6" x14ac:dyDescent="0.25">
      <c r="A86789"/>
      <c r="B86789"/>
      <c r="C86789"/>
      <c r="E86789"/>
      <c r="F86789"/>
    </row>
    <row r="86790" spans="1:6" x14ac:dyDescent="0.25">
      <c r="A86790"/>
      <c r="B86790"/>
      <c r="C86790"/>
      <c r="E86790"/>
      <c r="F86790"/>
    </row>
    <row r="86791" spans="1:6" x14ac:dyDescent="0.25">
      <c r="A86791"/>
      <c r="B86791"/>
      <c r="C86791"/>
      <c r="E86791"/>
      <c r="F86791"/>
    </row>
    <row r="86792" spans="1:6" x14ac:dyDescent="0.25">
      <c r="A86792"/>
      <c r="B86792"/>
      <c r="C86792"/>
      <c r="E86792"/>
      <c r="F86792"/>
    </row>
    <row r="86793" spans="1:6" x14ac:dyDescent="0.25">
      <c r="A86793"/>
      <c r="B86793"/>
      <c r="C86793"/>
      <c r="E86793"/>
      <c r="F86793"/>
    </row>
    <row r="86794" spans="1:6" x14ac:dyDescent="0.25">
      <c r="A86794"/>
      <c r="B86794"/>
      <c r="C86794"/>
      <c r="E86794"/>
      <c r="F86794"/>
    </row>
    <row r="86795" spans="1:6" x14ac:dyDescent="0.25">
      <c r="A86795"/>
      <c r="B86795"/>
      <c r="C86795"/>
      <c r="E86795"/>
      <c r="F86795"/>
    </row>
    <row r="86796" spans="1:6" x14ac:dyDescent="0.25">
      <c r="A86796"/>
      <c r="B86796"/>
      <c r="C86796"/>
      <c r="E86796"/>
      <c r="F86796"/>
    </row>
    <row r="86797" spans="1:6" x14ac:dyDescent="0.25">
      <c r="A86797"/>
      <c r="B86797"/>
      <c r="C86797"/>
      <c r="E86797"/>
      <c r="F86797"/>
    </row>
    <row r="86798" spans="1:6" x14ac:dyDescent="0.25">
      <c r="A86798"/>
      <c r="B86798"/>
      <c r="C86798"/>
      <c r="E86798"/>
      <c r="F86798"/>
    </row>
    <row r="86799" spans="1:6" x14ac:dyDescent="0.25">
      <c r="A86799"/>
      <c r="B86799"/>
      <c r="C86799"/>
      <c r="E86799"/>
      <c r="F86799"/>
    </row>
    <row r="86800" spans="1:6" x14ac:dyDescent="0.25">
      <c r="A86800"/>
      <c r="B86800"/>
      <c r="C86800"/>
      <c r="E86800"/>
      <c r="F86800"/>
    </row>
    <row r="86801" spans="1:6" x14ac:dyDescent="0.25">
      <c r="A86801"/>
      <c r="B86801"/>
      <c r="C86801"/>
      <c r="E86801"/>
      <c r="F86801"/>
    </row>
    <row r="86802" spans="1:6" x14ac:dyDescent="0.25">
      <c r="A86802"/>
      <c r="B86802"/>
      <c r="C86802"/>
      <c r="E86802"/>
      <c r="F86802"/>
    </row>
    <row r="86803" spans="1:6" x14ac:dyDescent="0.25">
      <c r="A86803"/>
      <c r="B86803"/>
      <c r="C86803"/>
      <c r="E86803"/>
      <c r="F86803"/>
    </row>
    <row r="86804" spans="1:6" x14ac:dyDescent="0.25">
      <c r="A86804"/>
      <c r="B86804"/>
      <c r="C86804"/>
      <c r="E86804"/>
      <c r="F86804"/>
    </row>
    <row r="86805" spans="1:6" x14ac:dyDescent="0.25">
      <c r="A86805"/>
      <c r="B86805"/>
      <c r="C86805"/>
      <c r="E86805"/>
      <c r="F86805"/>
    </row>
    <row r="86806" spans="1:6" x14ac:dyDescent="0.25">
      <c r="A86806"/>
      <c r="B86806"/>
      <c r="C86806"/>
      <c r="E86806"/>
      <c r="F86806"/>
    </row>
    <row r="86807" spans="1:6" x14ac:dyDescent="0.25">
      <c r="A86807"/>
      <c r="B86807"/>
      <c r="C86807"/>
      <c r="E86807"/>
      <c r="F86807"/>
    </row>
    <row r="86808" spans="1:6" x14ac:dyDescent="0.25">
      <c r="A86808"/>
      <c r="B86808"/>
      <c r="C86808"/>
      <c r="E86808"/>
      <c r="F86808"/>
    </row>
    <row r="86809" spans="1:6" x14ac:dyDescent="0.25">
      <c r="A86809"/>
      <c r="B86809"/>
      <c r="C86809"/>
      <c r="E86809"/>
      <c r="F86809"/>
    </row>
    <row r="86810" spans="1:6" x14ac:dyDescent="0.25">
      <c r="A86810"/>
      <c r="B86810"/>
      <c r="C86810"/>
      <c r="E86810"/>
      <c r="F86810"/>
    </row>
    <row r="86811" spans="1:6" x14ac:dyDescent="0.25">
      <c r="A86811"/>
      <c r="B86811"/>
      <c r="C86811"/>
      <c r="E86811"/>
      <c r="F86811"/>
    </row>
    <row r="86812" spans="1:6" x14ac:dyDescent="0.25">
      <c r="A86812"/>
      <c r="B86812"/>
      <c r="C86812"/>
      <c r="E86812"/>
      <c r="F86812"/>
    </row>
    <row r="86813" spans="1:6" x14ac:dyDescent="0.25">
      <c r="A86813"/>
      <c r="B86813"/>
      <c r="C86813"/>
      <c r="E86813"/>
      <c r="F86813"/>
    </row>
    <row r="86814" spans="1:6" x14ac:dyDescent="0.25">
      <c r="A86814"/>
      <c r="B86814"/>
      <c r="C86814"/>
      <c r="E86814"/>
      <c r="F86814"/>
    </row>
    <row r="86815" spans="1:6" x14ac:dyDescent="0.25">
      <c r="A86815"/>
      <c r="B86815"/>
      <c r="C86815"/>
      <c r="E86815"/>
      <c r="F86815"/>
    </row>
    <row r="86816" spans="1:6" x14ac:dyDescent="0.25">
      <c r="A86816"/>
      <c r="B86816"/>
      <c r="C86816"/>
      <c r="E86816"/>
      <c r="F86816"/>
    </row>
    <row r="86817" spans="1:6" x14ac:dyDescent="0.25">
      <c r="A86817"/>
      <c r="B86817"/>
      <c r="C86817"/>
      <c r="E86817"/>
      <c r="F86817"/>
    </row>
    <row r="86818" spans="1:6" x14ac:dyDescent="0.25">
      <c r="A86818"/>
      <c r="B86818"/>
      <c r="C86818"/>
      <c r="E86818"/>
      <c r="F86818"/>
    </row>
    <row r="86819" spans="1:6" x14ac:dyDescent="0.25">
      <c r="A86819"/>
      <c r="B86819"/>
      <c r="C86819"/>
      <c r="E86819"/>
      <c r="F86819"/>
    </row>
    <row r="86820" spans="1:6" x14ac:dyDescent="0.25">
      <c r="A86820"/>
      <c r="B86820"/>
      <c r="C86820"/>
      <c r="E86820"/>
      <c r="F86820"/>
    </row>
    <row r="86821" spans="1:6" x14ac:dyDescent="0.25">
      <c r="A86821"/>
      <c r="B86821"/>
      <c r="C86821"/>
      <c r="E86821"/>
      <c r="F86821"/>
    </row>
    <row r="86822" spans="1:6" x14ac:dyDescent="0.25">
      <c r="A86822"/>
      <c r="B86822"/>
      <c r="C86822"/>
      <c r="E86822"/>
      <c r="F86822"/>
    </row>
    <row r="86823" spans="1:6" x14ac:dyDescent="0.25">
      <c r="A86823"/>
      <c r="B86823"/>
      <c r="C86823"/>
      <c r="E86823"/>
      <c r="F86823"/>
    </row>
    <row r="86824" spans="1:6" x14ac:dyDescent="0.25">
      <c r="A86824"/>
      <c r="B86824"/>
      <c r="C86824"/>
      <c r="E86824"/>
      <c r="F86824"/>
    </row>
    <row r="86825" spans="1:6" x14ac:dyDescent="0.25">
      <c r="A86825"/>
      <c r="B86825"/>
      <c r="C86825"/>
      <c r="E86825"/>
      <c r="F86825"/>
    </row>
    <row r="86826" spans="1:6" x14ac:dyDescent="0.25">
      <c r="A86826"/>
      <c r="B86826"/>
      <c r="C86826"/>
      <c r="E86826"/>
      <c r="F86826"/>
    </row>
    <row r="86827" spans="1:6" x14ac:dyDescent="0.25">
      <c r="A86827"/>
      <c r="B86827"/>
      <c r="C86827"/>
      <c r="E86827"/>
      <c r="F86827"/>
    </row>
    <row r="86828" spans="1:6" x14ac:dyDescent="0.25">
      <c r="A86828"/>
      <c r="B86828"/>
      <c r="C86828"/>
      <c r="E86828"/>
      <c r="F86828"/>
    </row>
    <row r="86829" spans="1:6" x14ac:dyDescent="0.25">
      <c r="A86829"/>
      <c r="B86829"/>
      <c r="C86829"/>
      <c r="E86829"/>
      <c r="F86829"/>
    </row>
    <row r="86830" spans="1:6" x14ac:dyDescent="0.25">
      <c r="A86830"/>
      <c r="B86830"/>
      <c r="C86830"/>
      <c r="E86830"/>
      <c r="F86830"/>
    </row>
    <row r="86831" spans="1:6" x14ac:dyDescent="0.25">
      <c r="A86831"/>
      <c r="B86831"/>
      <c r="C86831"/>
      <c r="E86831"/>
      <c r="F86831"/>
    </row>
    <row r="86832" spans="1:6" x14ac:dyDescent="0.25">
      <c r="A86832"/>
      <c r="B86832"/>
      <c r="C86832"/>
      <c r="E86832"/>
      <c r="F86832"/>
    </row>
    <row r="86833" spans="1:6" x14ac:dyDescent="0.25">
      <c r="A86833"/>
      <c r="B86833"/>
      <c r="C86833"/>
      <c r="E86833"/>
      <c r="F86833"/>
    </row>
    <row r="86834" spans="1:6" x14ac:dyDescent="0.25">
      <c r="A86834"/>
      <c r="B86834"/>
      <c r="C86834"/>
      <c r="E86834"/>
      <c r="F86834"/>
    </row>
    <row r="86835" spans="1:6" x14ac:dyDescent="0.25">
      <c r="A86835"/>
      <c r="B86835"/>
      <c r="C86835"/>
      <c r="E86835"/>
      <c r="F86835"/>
    </row>
    <row r="86836" spans="1:6" x14ac:dyDescent="0.25">
      <c r="A86836"/>
      <c r="B86836"/>
      <c r="C86836"/>
      <c r="E86836"/>
      <c r="F86836"/>
    </row>
    <row r="86837" spans="1:6" x14ac:dyDescent="0.25">
      <c r="A86837"/>
      <c r="B86837"/>
      <c r="C86837"/>
      <c r="E86837"/>
      <c r="F86837"/>
    </row>
    <row r="86838" spans="1:6" x14ac:dyDescent="0.25">
      <c r="A86838"/>
      <c r="B86838"/>
      <c r="C86838"/>
      <c r="E86838"/>
      <c r="F86838"/>
    </row>
    <row r="86839" spans="1:6" x14ac:dyDescent="0.25">
      <c r="A86839"/>
      <c r="B86839"/>
      <c r="C86839"/>
      <c r="E86839"/>
      <c r="F86839"/>
    </row>
    <row r="86840" spans="1:6" x14ac:dyDescent="0.25">
      <c r="A86840"/>
      <c r="B86840"/>
      <c r="C86840"/>
      <c r="E86840"/>
      <c r="F86840"/>
    </row>
    <row r="86841" spans="1:6" x14ac:dyDescent="0.25">
      <c r="A86841"/>
      <c r="B86841"/>
      <c r="C86841"/>
      <c r="E86841"/>
      <c r="F86841"/>
    </row>
    <row r="86842" spans="1:6" x14ac:dyDescent="0.25">
      <c r="A86842"/>
      <c r="B86842"/>
      <c r="C86842"/>
      <c r="E86842"/>
      <c r="F86842"/>
    </row>
    <row r="86843" spans="1:6" x14ac:dyDescent="0.25">
      <c r="A86843"/>
      <c r="B86843"/>
      <c r="C86843"/>
      <c r="E86843"/>
      <c r="F86843"/>
    </row>
    <row r="86844" spans="1:6" x14ac:dyDescent="0.25">
      <c r="A86844"/>
      <c r="B86844"/>
      <c r="C86844"/>
      <c r="E86844"/>
      <c r="F86844"/>
    </row>
    <row r="86845" spans="1:6" x14ac:dyDescent="0.25">
      <c r="A86845"/>
      <c r="B86845"/>
      <c r="C86845"/>
      <c r="E86845"/>
      <c r="F86845"/>
    </row>
    <row r="86846" spans="1:6" x14ac:dyDescent="0.25">
      <c r="A86846"/>
      <c r="B86846"/>
      <c r="C86846"/>
      <c r="E86846"/>
      <c r="F86846"/>
    </row>
    <row r="86847" spans="1:6" x14ac:dyDescent="0.25">
      <c r="A86847"/>
      <c r="B86847"/>
      <c r="C86847"/>
      <c r="E86847"/>
      <c r="F86847"/>
    </row>
    <row r="86848" spans="1:6" x14ac:dyDescent="0.25">
      <c r="A86848"/>
      <c r="B86848"/>
      <c r="C86848"/>
      <c r="E86848"/>
      <c r="F86848"/>
    </row>
    <row r="86849" spans="1:6" x14ac:dyDescent="0.25">
      <c r="A86849"/>
      <c r="B86849"/>
      <c r="C86849"/>
      <c r="E86849"/>
      <c r="F86849"/>
    </row>
    <row r="86850" spans="1:6" x14ac:dyDescent="0.25">
      <c r="A86850"/>
      <c r="B86850"/>
      <c r="C86850"/>
      <c r="E86850"/>
      <c r="F86850"/>
    </row>
    <row r="86851" spans="1:6" x14ac:dyDescent="0.25">
      <c r="A86851"/>
      <c r="B86851"/>
      <c r="C86851"/>
      <c r="E86851"/>
      <c r="F86851"/>
    </row>
    <row r="86852" spans="1:6" x14ac:dyDescent="0.25">
      <c r="A86852"/>
      <c r="B86852"/>
      <c r="C86852"/>
      <c r="E86852"/>
      <c r="F86852"/>
    </row>
    <row r="86853" spans="1:6" x14ac:dyDescent="0.25">
      <c r="A86853"/>
      <c r="B86853"/>
      <c r="C86853"/>
      <c r="E86853"/>
      <c r="F86853"/>
    </row>
    <row r="86854" spans="1:6" x14ac:dyDescent="0.25">
      <c r="A86854"/>
      <c r="B86854"/>
      <c r="C86854"/>
      <c r="E86854"/>
      <c r="F86854"/>
    </row>
    <row r="86855" spans="1:6" x14ac:dyDescent="0.25">
      <c r="A86855"/>
      <c r="B86855"/>
      <c r="C86855"/>
      <c r="E86855"/>
      <c r="F86855"/>
    </row>
    <row r="86856" spans="1:6" x14ac:dyDescent="0.25">
      <c r="A86856"/>
      <c r="B86856"/>
      <c r="C86856"/>
      <c r="E86856"/>
      <c r="F86856"/>
    </row>
    <row r="86857" spans="1:6" x14ac:dyDescent="0.25">
      <c r="A86857"/>
      <c r="B86857"/>
      <c r="C86857"/>
      <c r="E86857"/>
      <c r="F86857"/>
    </row>
    <row r="86858" spans="1:6" x14ac:dyDescent="0.25">
      <c r="A86858"/>
      <c r="B86858"/>
      <c r="C86858"/>
      <c r="E86858"/>
      <c r="F86858"/>
    </row>
    <row r="86859" spans="1:6" x14ac:dyDescent="0.25">
      <c r="A86859"/>
      <c r="B86859"/>
      <c r="C86859"/>
      <c r="E86859"/>
      <c r="F86859"/>
    </row>
    <row r="86860" spans="1:6" x14ac:dyDescent="0.25">
      <c r="A86860"/>
      <c r="B86860"/>
      <c r="C86860"/>
      <c r="E86860"/>
      <c r="F86860"/>
    </row>
    <row r="86861" spans="1:6" x14ac:dyDescent="0.25">
      <c r="A86861"/>
      <c r="B86861"/>
      <c r="C86861"/>
      <c r="E86861"/>
      <c r="F86861"/>
    </row>
    <row r="86862" spans="1:6" x14ac:dyDescent="0.25">
      <c r="A86862"/>
      <c r="B86862"/>
      <c r="C86862"/>
      <c r="E86862"/>
      <c r="F86862"/>
    </row>
    <row r="86863" spans="1:6" x14ac:dyDescent="0.25">
      <c r="A86863"/>
      <c r="B86863"/>
      <c r="C86863"/>
      <c r="E86863"/>
      <c r="F86863"/>
    </row>
    <row r="86864" spans="1:6" x14ac:dyDescent="0.25">
      <c r="A86864"/>
      <c r="B86864"/>
      <c r="C86864"/>
      <c r="E86864"/>
      <c r="F86864"/>
    </row>
    <row r="86865" spans="1:6" x14ac:dyDescent="0.25">
      <c r="A86865"/>
      <c r="B86865"/>
      <c r="C86865"/>
      <c r="E86865"/>
      <c r="F86865"/>
    </row>
    <row r="86866" spans="1:6" x14ac:dyDescent="0.25">
      <c r="A86866"/>
      <c r="B86866"/>
      <c r="C86866"/>
      <c r="E86866"/>
      <c r="F86866"/>
    </row>
    <row r="86867" spans="1:6" x14ac:dyDescent="0.25">
      <c r="A86867"/>
      <c r="B86867"/>
      <c r="C86867"/>
      <c r="E86867"/>
      <c r="F86867"/>
    </row>
    <row r="86868" spans="1:6" x14ac:dyDescent="0.25">
      <c r="A86868"/>
      <c r="B86868"/>
      <c r="C86868"/>
      <c r="E86868"/>
      <c r="F86868"/>
    </row>
    <row r="86869" spans="1:6" x14ac:dyDescent="0.25">
      <c r="A86869"/>
      <c r="B86869"/>
      <c r="C86869"/>
      <c r="E86869"/>
      <c r="F86869"/>
    </row>
    <row r="86870" spans="1:6" x14ac:dyDescent="0.25">
      <c r="A86870"/>
      <c r="B86870"/>
      <c r="C86870"/>
      <c r="E86870"/>
      <c r="F86870"/>
    </row>
    <row r="86871" spans="1:6" x14ac:dyDescent="0.25">
      <c r="A86871"/>
      <c r="B86871"/>
      <c r="C86871"/>
      <c r="E86871"/>
      <c r="F86871"/>
    </row>
    <row r="86872" spans="1:6" x14ac:dyDescent="0.25">
      <c r="A86872"/>
      <c r="B86872"/>
      <c r="C86872"/>
      <c r="E86872"/>
      <c r="F86872"/>
    </row>
    <row r="86873" spans="1:6" x14ac:dyDescent="0.25">
      <c r="A86873"/>
      <c r="B86873"/>
      <c r="C86873"/>
      <c r="E86873"/>
      <c r="F86873"/>
    </row>
    <row r="86874" spans="1:6" x14ac:dyDescent="0.25">
      <c r="A86874"/>
      <c r="B86874"/>
      <c r="C86874"/>
      <c r="E86874"/>
      <c r="F86874"/>
    </row>
    <row r="86875" spans="1:6" x14ac:dyDescent="0.25">
      <c r="A86875"/>
      <c r="B86875"/>
      <c r="C86875"/>
      <c r="E86875"/>
      <c r="F86875"/>
    </row>
    <row r="86876" spans="1:6" x14ac:dyDescent="0.25">
      <c r="A86876"/>
      <c r="B86876"/>
      <c r="C86876"/>
      <c r="E86876"/>
      <c r="F86876"/>
    </row>
    <row r="86877" spans="1:6" x14ac:dyDescent="0.25">
      <c r="A86877"/>
      <c r="B86877"/>
      <c r="C86877"/>
      <c r="E86877"/>
      <c r="F86877"/>
    </row>
    <row r="86878" spans="1:6" x14ac:dyDescent="0.25">
      <c r="A86878"/>
      <c r="B86878"/>
      <c r="C86878"/>
      <c r="E86878"/>
      <c r="F86878"/>
    </row>
    <row r="86879" spans="1:6" x14ac:dyDescent="0.25">
      <c r="A86879"/>
      <c r="B86879"/>
      <c r="C86879"/>
      <c r="E86879"/>
      <c r="F86879"/>
    </row>
    <row r="86880" spans="1:6" x14ac:dyDescent="0.25">
      <c r="A86880"/>
      <c r="B86880"/>
      <c r="C86880"/>
      <c r="E86880"/>
      <c r="F86880"/>
    </row>
    <row r="86881" spans="1:6" x14ac:dyDescent="0.25">
      <c r="A86881"/>
      <c r="B86881"/>
      <c r="C86881"/>
      <c r="E86881"/>
      <c r="F86881"/>
    </row>
    <row r="86882" spans="1:6" x14ac:dyDescent="0.25">
      <c r="A86882"/>
      <c r="B86882"/>
      <c r="C86882"/>
      <c r="E86882"/>
      <c r="F86882"/>
    </row>
    <row r="86883" spans="1:6" x14ac:dyDescent="0.25">
      <c r="A86883"/>
      <c r="B86883"/>
      <c r="C86883"/>
      <c r="E86883"/>
      <c r="F86883"/>
    </row>
    <row r="86884" spans="1:6" x14ac:dyDescent="0.25">
      <c r="A86884"/>
      <c r="B86884"/>
      <c r="C86884"/>
      <c r="E86884"/>
      <c r="F86884"/>
    </row>
    <row r="86885" spans="1:6" x14ac:dyDescent="0.25">
      <c r="A86885"/>
      <c r="B86885"/>
      <c r="C86885"/>
      <c r="E86885"/>
      <c r="F86885"/>
    </row>
    <row r="86886" spans="1:6" x14ac:dyDescent="0.25">
      <c r="A86886"/>
      <c r="B86886"/>
      <c r="C86886"/>
      <c r="E86886"/>
      <c r="F86886"/>
    </row>
    <row r="86887" spans="1:6" x14ac:dyDescent="0.25">
      <c r="A86887"/>
      <c r="B86887"/>
      <c r="C86887"/>
      <c r="E86887"/>
      <c r="F86887"/>
    </row>
    <row r="86888" spans="1:6" x14ac:dyDescent="0.25">
      <c r="A86888"/>
      <c r="B86888"/>
      <c r="C86888"/>
      <c r="E86888"/>
      <c r="F86888"/>
    </row>
    <row r="86889" spans="1:6" x14ac:dyDescent="0.25">
      <c r="A86889"/>
      <c r="B86889"/>
      <c r="C86889"/>
      <c r="E86889"/>
      <c r="F86889"/>
    </row>
    <row r="86890" spans="1:6" x14ac:dyDescent="0.25">
      <c r="A86890"/>
      <c r="B86890"/>
      <c r="C86890"/>
      <c r="E86890"/>
      <c r="F86890"/>
    </row>
    <row r="86891" spans="1:6" x14ac:dyDescent="0.25">
      <c r="A86891"/>
      <c r="B86891"/>
      <c r="C86891"/>
      <c r="E86891"/>
      <c r="F86891"/>
    </row>
    <row r="86892" spans="1:6" x14ac:dyDescent="0.25">
      <c r="A86892"/>
      <c r="B86892"/>
      <c r="C86892"/>
      <c r="E86892"/>
      <c r="F86892"/>
    </row>
    <row r="86893" spans="1:6" x14ac:dyDescent="0.25">
      <c r="A86893"/>
      <c r="B86893"/>
      <c r="C86893"/>
      <c r="E86893"/>
      <c r="F86893"/>
    </row>
    <row r="86894" spans="1:6" x14ac:dyDescent="0.25">
      <c r="A86894"/>
      <c r="B86894"/>
      <c r="C86894"/>
      <c r="E86894"/>
      <c r="F86894"/>
    </row>
    <row r="86895" spans="1:6" x14ac:dyDescent="0.25">
      <c r="A86895"/>
      <c r="B86895"/>
      <c r="C86895"/>
      <c r="E86895"/>
      <c r="F86895"/>
    </row>
    <row r="86896" spans="1:6" x14ac:dyDescent="0.25">
      <c r="A86896"/>
      <c r="B86896"/>
      <c r="C86896"/>
      <c r="E86896"/>
      <c r="F86896"/>
    </row>
    <row r="86897" spans="1:6" x14ac:dyDescent="0.25">
      <c r="A86897"/>
      <c r="B86897"/>
      <c r="C86897"/>
      <c r="E86897"/>
      <c r="F86897"/>
    </row>
    <row r="86898" spans="1:6" x14ac:dyDescent="0.25">
      <c r="A86898"/>
      <c r="B86898"/>
      <c r="C86898"/>
      <c r="E86898"/>
      <c r="F86898"/>
    </row>
    <row r="86899" spans="1:6" x14ac:dyDescent="0.25">
      <c r="A86899"/>
      <c r="B86899"/>
      <c r="C86899"/>
      <c r="E86899"/>
      <c r="F86899"/>
    </row>
    <row r="86900" spans="1:6" x14ac:dyDescent="0.25">
      <c r="A86900"/>
      <c r="B86900"/>
      <c r="C86900"/>
      <c r="E86900"/>
      <c r="F86900"/>
    </row>
    <row r="86901" spans="1:6" x14ac:dyDescent="0.25">
      <c r="A86901"/>
      <c r="B86901"/>
      <c r="C86901"/>
      <c r="E86901"/>
      <c r="F86901"/>
    </row>
    <row r="86902" spans="1:6" x14ac:dyDescent="0.25">
      <c r="A86902"/>
      <c r="B86902"/>
      <c r="C86902"/>
      <c r="E86902"/>
      <c r="F86902"/>
    </row>
    <row r="86903" spans="1:6" x14ac:dyDescent="0.25">
      <c r="A86903"/>
      <c r="B86903"/>
      <c r="C86903"/>
      <c r="E86903"/>
      <c r="F86903"/>
    </row>
    <row r="86904" spans="1:6" x14ac:dyDescent="0.25">
      <c r="A86904"/>
      <c r="B86904"/>
      <c r="C86904"/>
      <c r="E86904"/>
      <c r="F86904"/>
    </row>
    <row r="86905" spans="1:6" x14ac:dyDescent="0.25">
      <c r="A86905"/>
      <c r="B86905"/>
      <c r="C86905"/>
      <c r="E86905"/>
      <c r="F86905"/>
    </row>
    <row r="86906" spans="1:6" x14ac:dyDescent="0.25">
      <c r="A86906"/>
      <c r="B86906"/>
      <c r="C86906"/>
      <c r="E86906"/>
      <c r="F86906"/>
    </row>
    <row r="86907" spans="1:6" x14ac:dyDescent="0.25">
      <c r="A86907"/>
      <c r="B86907"/>
      <c r="C86907"/>
      <c r="E86907"/>
      <c r="F86907"/>
    </row>
    <row r="86908" spans="1:6" x14ac:dyDescent="0.25">
      <c r="A86908"/>
      <c r="B86908"/>
      <c r="C86908"/>
      <c r="E86908"/>
      <c r="F86908"/>
    </row>
    <row r="86909" spans="1:6" x14ac:dyDescent="0.25">
      <c r="A86909"/>
      <c r="B86909"/>
      <c r="C86909"/>
      <c r="E86909"/>
      <c r="F86909"/>
    </row>
    <row r="86910" spans="1:6" x14ac:dyDescent="0.25">
      <c r="A86910"/>
      <c r="B86910"/>
      <c r="C86910"/>
      <c r="E86910"/>
      <c r="F86910"/>
    </row>
    <row r="86911" spans="1:6" x14ac:dyDescent="0.25">
      <c r="A86911"/>
      <c r="B86911"/>
      <c r="C86911"/>
      <c r="E86911"/>
      <c r="F86911"/>
    </row>
    <row r="86912" spans="1:6" x14ac:dyDescent="0.25">
      <c r="A86912"/>
      <c r="B86912"/>
      <c r="C86912"/>
      <c r="E86912"/>
      <c r="F86912"/>
    </row>
    <row r="86913" spans="1:6" x14ac:dyDescent="0.25">
      <c r="A86913"/>
      <c r="B86913"/>
      <c r="C86913"/>
      <c r="E86913"/>
      <c r="F86913"/>
    </row>
    <row r="86914" spans="1:6" x14ac:dyDescent="0.25">
      <c r="A86914"/>
      <c r="B86914"/>
      <c r="C86914"/>
      <c r="E86914"/>
      <c r="F86914"/>
    </row>
    <row r="86915" spans="1:6" x14ac:dyDescent="0.25">
      <c r="A86915"/>
      <c r="B86915"/>
      <c r="C86915"/>
      <c r="E86915"/>
      <c r="F86915"/>
    </row>
    <row r="86916" spans="1:6" x14ac:dyDescent="0.25">
      <c r="A86916"/>
      <c r="B86916"/>
      <c r="C86916"/>
      <c r="E86916"/>
      <c r="F86916"/>
    </row>
    <row r="86917" spans="1:6" x14ac:dyDescent="0.25">
      <c r="A86917"/>
      <c r="B86917"/>
      <c r="C86917"/>
      <c r="E86917"/>
      <c r="F86917"/>
    </row>
    <row r="86918" spans="1:6" x14ac:dyDescent="0.25">
      <c r="A86918"/>
      <c r="B86918"/>
      <c r="C86918"/>
      <c r="E86918"/>
      <c r="F86918"/>
    </row>
    <row r="86919" spans="1:6" x14ac:dyDescent="0.25">
      <c r="A86919"/>
      <c r="B86919"/>
      <c r="C86919"/>
      <c r="E86919"/>
      <c r="F86919"/>
    </row>
    <row r="86920" spans="1:6" x14ac:dyDescent="0.25">
      <c r="A86920"/>
      <c r="B86920"/>
      <c r="C86920"/>
      <c r="E86920"/>
      <c r="F86920"/>
    </row>
    <row r="86921" spans="1:6" x14ac:dyDescent="0.25">
      <c r="A86921"/>
      <c r="B86921"/>
      <c r="C86921"/>
      <c r="E86921"/>
      <c r="F86921"/>
    </row>
    <row r="86922" spans="1:6" x14ac:dyDescent="0.25">
      <c r="A86922"/>
      <c r="B86922"/>
      <c r="C86922"/>
      <c r="E86922"/>
      <c r="F86922"/>
    </row>
    <row r="86923" spans="1:6" x14ac:dyDescent="0.25">
      <c r="A86923"/>
      <c r="B86923"/>
      <c r="C86923"/>
      <c r="E86923"/>
      <c r="F86923"/>
    </row>
    <row r="86924" spans="1:6" x14ac:dyDescent="0.25">
      <c r="A86924"/>
      <c r="B86924"/>
      <c r="C86924"/>
      <c r="E86924"/>
      <c r="F86924"/>
    </row>
    <row r="86925" spans="1:6" x14ac:dyDescent="0.25">
      <c r="A86925"/>
      <c r="B86925"/>
      <c r="C86925"/>
      <c r="E86925"/>
      <c r="F86925"/>
    </row>
    <row r="86926" spans="1:6" x14ac:dyDescent="0.25">
      <c r="A86926"/>
      <c r="B86926"/>
      <c r="C86926"/>
      <c r="E86926"/>
      <c r="F86926"/>
    </row>
    <row r="86927" spans="1:6" x14ac:dyDescent="0.25">
      <c r="A86927"/>
      <c r="B86927"/>
      <c r="C86927"/>
      <c r="E86927"/>
      <c r="F86927"/>
    </row>
    <row r="86928" spans="1:6" x14ac:dyDescent="0.25">
      <c r="A86928"/>
      <c r="B86928"/>
      <c r="C86928"/>
      <c r="E86928"/>
      <c r="F86928"/>
    </row>
    <row r="86929" spans="1:6" x14ac:dyDescent="0.25">
      <c r="A86929"/>
      <c r="B86929"/>
      <c r="C86929"/>
      <c r="E86929"/>
      <c r="F86929"/>
    </row>
    <row r="86930" spans="1:6" x14ac:dyDescent="0.25">
      <c r="A86930"/>
      <c r="B86930"/>
      <c r="C86930"/>
      <c r="E86930"/>
      <c r="F86930"/>
    </row>
    <row r="86931" spans="1:6" x14ac:dyDescent="0.25">
      <c r="A86931"/>
      <c r="B86931"/>
      <c r="C86931"/>
      <c r="E86931"/>
      <c r="F86931"/>
    </row>
    <row r="86932" spans="1:6" x14ac:dyDescent="0.25">
      <c r="A86932"/>
      <c r="B86932"/>
      <c r="C86932"/>
      <c r="E86932"/>
      <c r="F86932"/>
    </row>
    <row r="86933" spans="1:6" x14ac:dyDescent="0.25">
      <c r="A86933"/>
      <c r="B86933"/>
      <c r="C86933"/>
      <c r="E86933"/>
      <c r="F86933"/>
    </row>
    <row r="86934" spans="1:6" x14ac:dyDescent="0.25">
      <c r="A86934"/>
      <c r="B86934"/>
      <c r="C86934"/>
      <c r="E86934"/>
      <c r="F86934"/>
    </row>
    <row r="86935" spans="1:6" x14ac:dyDescent="0.25">
      <c r="A86935"/>
      <c r="B86935"/>
      <c r="C86935"/>
      <c r="E86935"/>
      <c r="F86935"/>
    </row>
    <row r="86936" spans="1:6" x14ac:dyDescent="0.25">
      <c r="A86936"/>
      <c r="B86936"/>
      <c r="C86936"/>
      <c r="E86936"/>
      <c r="F86936"/>
    </row>
    <row r="86937" spans="1:6" x14ac:dyDescent="0.25">
      <c r="A86937"/>
      <c r="B86937"/>
      <c r="C86937"/>
      <c r="E86937"/>
      <c r="F86937"/>
    </row>
    <row r="86938" spans="1:6" x14ac:dyDescent="0.25">
      <c r="A86938"/>
      <c r="B86938"/>
      <c r="C86938"/>
      <c r="E86938"/>
      <c r="F86938"/>
    </row>
    <row r="86939" spans="1:6" x14ac:dyDescent="0.25">
      <c r="A86939"/>
      <c r="B86939"/>
      <c r="C86939"/>
      <c r="E86939"/>
      <c r="F86939"/>
    </row>
    <row r="86940" spans="1:6" x14ac:dyDescent="0.25">
      <c r="A86940"/>
      <c r="B86940"/>
      <c r="C86940"/>
      <c r="E86940"/>
      <c r="F86940"/>
    </row>
    <row r="86941" spans="1:6" x14ac:dyDescent="0.25">
      <c r="A86941"/>
      <c r="B86941"/>
      <c r="C86941"/>
      <c r="E86941"/>
      <c r="F86941"/>
    </row>
    <row r="86942" spans="1:6" x14ac:dyDescent="0.25">
      <c r="A86942"/>
      <c r="B86942"/>
      <c r="C86942"/>
      <c r="E86942"/>
      <c r="F86942"/>
    </row>
    <row r="86943" spans="1:6" x14ac:dyDescent="0.25">
      <c r="A86943"/>
      <c r="B86943"/>
      <c r="C86943"/>
      <c r="E86943"/>
      <c r="F86943"/>
    </row>
    <row r="86944" spans="1:6" x14ac:dyDescent="0.25">
      <c r="A86944"/>
      <c r="B86944"/>
      <c r="C86944"/>
      <c r="E86944"/>
      <c r="F86944"/>
    </row>
    <row r="86945" spans="1:6" x14ac:dyDescent="0.25">
      <c r="A86945"/>
      <c r="B86945"/>
      <c r="C86945"/>
      <c r="E86945"/>
      <c r="F86945"/>
    </row>
    <row r="86946" spans="1:6" x14ac:dyDescent="0.25">
      <c r="A86946"/>
      <c r="B86946"/>
      <c r="C86946"/>
      <c r="E86946"/>
      <c r="F86946"/>
    </row>
    <row r="86947" spans="1:6" x14ac:dyDescent="0.25">
      <c r="A86947"/>
      <c r="B86947"/>
      <c r="C86947"/>
      <c r="E86947"/>
      <c r="F86947"/>
    </row>
    <row r="86948" spans="1:6" x14ac:dyDescent="0.25">
      <c r="A86948"/>
      <c r="B86948"/>
      <c r="C86948"/>
      <c r="E86948"/>
      <c r="F86948"/>
    </row>
    <row r="86949" spans="1:6" x14ac:dyDescent="0.25">
      <c r="A86949"/>
      <c r="B86949"/>
      <c r="C86949"/>
      <c r="E86949"/>
      <c r="F86949"/>
    </row>
    <row r="86950" spans="1:6" x14ac:dyDescent="0.25">
      <c r="A86950"/>
      <c r="B86950"/>
      <c r="C86950"/>
      <c r="E86950"/>
      <c r="F86950"/>
    </row>
    <row r="86951" spans="1:6" x14ac:dyDescent="0.25">
      <c r="A86951"/>
      <c r="B86951"/>
      <c r="C86951"/>
      <c r="E86951"/>
      <c r="F86951"/>
    </row>
    <row r="86952" spans="1:6" x14ac:dyDescent="0.25">
      <c r="A86952"/>
      <c r="B86952"/>
      <c r="C86952"/>
      <c r="E86952"/>
      <c r="F86952"/>
    </row>
    <row r="86953" spans="1:6" x14ac:dyDescent="0.25">
      <c r="A86953"/>
      <c r="B86953"/>
      <c r="C86953"/>
      <c r="E86953"/>
      <c r="F86953"/>
    </row>
    <row r="86954" spans="1:6" x14ac:dyDescent="0.25">
      <c r="A86954"/>
      <c r="B86954"/>
      <c r="C86954"/>
      <c r="E86954"/>
      <c r="F86954"/>
    </row>
    <row r="86955" spans="1:6" x14ac:dyDescent="0.25">
      <c r="A86955"/>
      <c r="B86955"/>
      <c r="C86955"/>
      <c r="E86955"/>
      <c r="F86955"/>
    </row>
    <row r="86956" spans="1:6" x14ac:dyDescent="0.25">
      <c r="A86956"/>
      <c r="B86956"/>
      <c r="C86956"/>
      <c r="E86956"/>
      <c r="F86956"/>
    </row>
    <row r="86957" spans="1:6" x14ac:dyDescent="0.25">
      <c r="A86957"/>
      <c r="B86957"/>
      <c r="C86957"/>
      <c r="E86957"/>
      <c r="F86957"/>
    </row>
    <row r="86958" spans="1:6" x14ac:dyDescent="0.25">
      <c r="A86958"/>
      <c r="B86958"/>
      <c r="C86958"/>
      <c r="E86958"/>
      <c r="F86958"/>
    </row>
    <row r="86959" spans="1:6" x14ac:dyDescent="0.25">
      <c r="A86959"/>
      <c r="B86959"/>
      <c r="C86959"/>
      <c r="E86959"/>
      <c r="F86959"/>
    </row>
    <row r="86960" spans="1:6" x14ac:dyDescent="0.25">
      <c r="A86960"/>
      <c r="B86960"/>
      <c r="C86960"/>
      <c r="E86960"/>
      <c r="F86960"/>
    </row>
    <row r="86961" spans="1:6" x14ac:dyDescent="0.25">
      <c r="A86961"/>
      <c r="B86961"/>
      <c r="C86961"/>
      <c r="E86961"/>
      <c r="F86961"/>
    </row>
    <row r="86962" spans="1:6" x14ac:dyDescent="0.25">
      <c r="A86962"/>
      <c r="B86962"/>
      <c r="C86962"/>
      <c r="E86962"/>
      <c r="F86962"/>
    </row>
    <row r="86963" spans="1:6" x14ac:dyDescent="0.25">
      <c r="A86963"/>
      <c r="B86963"/>
      <c r="C86963"/>
      <c r="E86963"/>
      <c r="F86963"/>
    </row>
    <row r="86964" spans="1:6" x14ac:dyDescent="0.25">
      <c r="A86964"/>
      <c r="B86964"/>
      <c r="C86964"/>
      <c r="E86964"/>
      <c r="F86964"/>
    </row>
    <row r="86965" spans="1:6" x14ac:dyDescent="0.25">
      <c r="A86965"/>
      <c r="B86965"/>
      <c r="C86965"/>
      <c r="E86965"/>
      <c r="F86965"/>
    </row>
    <row r="86966" spans="1:6" x14ac:dyDescent="0.25">
      <c r="A86966"/>
      <c r="B86966"/>
      <c r="C86966"/>
      <c r="E86966"/>
      <c r="F86966"/>
    </row>
    <row r="86967" spans="1:6" x14ac:dyDescent="0.25">
      <c r="A86967"/>
      <c r="B86967"/>
      <c r="C86967"/>
      <c r="E86967"/>
      <c r="F86967"/>
    </row>
    <row r="86968" spans="1:6" x14ac:dyDescent="0.25">
      <c r="A86968"/>
      <c r="B86968"/>
      <c r="C86968"/>
      <c r="E86968"/>
      <c r="F86968"/>
    </row>
    <row r="86969" spans="1:6" x14ac:dyDescent="0.25">
      <c r="A86969"/>
      <c r="B86969"/>
      <c r="C86969"/>
      <c r="E86969"/>
      <c r="F86969"/>
    </row>
    <row r="86970" spans="1:6" x14ac:dyDescent="0.25">
      <c r="A86970"/>
      <c r="B86970"/>
      <c r="C86970"/>
      <c r="E86970"/>
      <c r="F86970"/>
    </row>
    <row r="86971" spans="1:6" x14ac:dyDescent="0.25">
      <c r="A86971"/>
      <c r="B86971"/>
      <c r="C86971"/>
      <c r="E86971"/>
      <c r="F86971"/>
    </row>
    <row r="86972" spans="1:6" x14ac:dyDescent="0.25">
      <c r="A86972"/>
      <c r="B86972"/>
      <c r="C86972"/>
      <c r="E86972"/>
      <c r="F86972"/>
    </row>
    <row r="86973" spans="1:6" x14ac:dyDescent="0.25">
      <c r="A86973"/>
      <c r="B86973"/>
      <c r="C86973"/>
      <c r="E86973"/>
      <c r="F86973"/>
    </row>
    <row r="86974" spans="1:6" x14ac:dyDescent="0.25">
      <c r="A86974"/>
      <c r="B86974"/>
      <c r="C86974"/>
      <c r="E86974"/>
      <c r="F86974"/>
    </row>
    <row r="86975" spans="1:6" x14ac:dyDescent="0.25">
      <c r="A86975"/>
      <c r="B86975"/>
      <c r="C86975"/>
      <c r="E86975"/>
      <c r="F86975"/>
    </row>
    <row r="86976" spans="1:6" x14ac:dyDescent="0.25">
      <c r="A86976"/>
      <c r="B86976"/>
      <c r="C86976"/>
      <c r="E86976"/>
      <c r="F86976"/>
    </row>
    <row r="86977" spans="1:6" x14ac:dyDescent="0.25">
      <c r="A86977"/>
      <c r="B86977"/>
      <c r="C86977"/>
      <c r="E86977"/>
      <c r="F86977"/>
    </row>
    <row r="86978" spans="1:6" x14ac:dyDescent="0.25">
      <c r="A86978"/>
      <c r="B86978"/>
      <c r="C86978"/>
      <c r="E86978"/>
      <c r="F86978"/>
    </row>
    <row r="86979" spans="1:6" x14ac:dyDescent="0.25">
      <c r="A86979"/>
      <c r="B86979"/>
      <c r="C86979"/>
      <c r="E86979"/>
      <c r="F86979"/>
    </row>
    <row r="86980" spans="1:6" x14ac:dyDescent="0.25">
      <c r="A86980"/>
      <c r="B86980"/>
      <c r="C86980"/>
      <c r="E86980"/>
      <c r="F86980"/>
    </row>
    <row r="86981" spans="1:6" x14ac:dyDescent="0.25">
      <c r="A86981"/>
      <c r="B86981"/>
      <c r="C86981"/>
      <c r="E86981"/>
      <c r="F86981"/>
    </row>
    <row r="86982" spans="1:6" x14ac:dyDescent="0.25">
      <c r="A86982"/>
      <c r="B86982"/>
      <c r="C86982"/>
      <c r="E86982"/>
      <c r="F86982"/>
    </row>
    <row r="86983" spans="1:6" x14ac:dyDescent="0.25">
      <c r="A86983"/>
      <c r="B86983"/>
      <c r="C86983"/>
      <c r="E86983"/>
      <c r="F86983"/>
    </row>
    <row r="86984" spans="1:6" x14ac:dyDescent="0.25">
      <c r="A86984"/>
      <c r="B86984"/>
      <c r="C86984"/>
      <c r="E86984"/>
      <c r="F86984"/>
    </row>
    <row r="86985" spans="1:6" x14ac:dyDescent="0.25">
      <c r="A86985"/>
      <c r="B86985"/>
      <c r="C86985"/>
      <c r="E86985"/>
      <c r="F86985"/>
    </row>
    <row r="86986" spans="1:6" x14ac:dyDescent="0.25">
      <c r="A86986"/>
      <c r="B86986"/>
      <c r="C86986"/>
      <c r="E86986"/>
      <c r="F86986"/>
    </row>
    <row r="86987" spans="1:6" x14ac:dyDescent="0.25">
      <c r="A86987"/>
      <c r="B86987"/>
      <c r="C86987"/>
      <c r="E86987"/>
      <c r="F86987"/>
    </row>
    <row r="86988" spans="1:6" x14ac:dyDescent="0.25">
      <c r="A86988"/>
      <c r="B86988"/>
      <c r="C86988"/>
      <c r="E86988"/>
      <c r="F86988"/>
    </row>
    <row r="86989" spans="1:6" x14ac:dyDescent="0.25">
      <c r="A86989"/>
      <c r="B86989"/>
      <c r="C86989"/>
      <c r="E86989"/>
      <c r="F86989"/>
    </row>
    <row r="86990" spans="1:6" x14ac:dyDescent="0.25">
      <c r="A86990"/>
      <c r="B86990"/>
      <c r="C86990"/>
      <c r="E86990"/>
      <c r="F86990"/>
    </row>
    <row r="86991" spans="1:6" x14ac:dyDescent="0.25">
      <c r="A86991"/>
      <c r="B86991"/>
      <c r="C86991"/>
      <c r="E86991"/>
      <c r="F86991"/>
    </row>
    <row r="86992" spans="1:6" x14ac:dyDescent="0.25">
      <c r="A86992"/>
      <c r="B86992"/>
      <c r="C86992"/>
      <c r="E86992"/>
      <c r="F86992"/>
    </row>
    <row r="86993" spans="1:6" x14ac:dyDescent="0.25">
      <c r="A86993"/>
      <c r="B86993"/>
      <c r="C86993"/>
      <c r="E86993"/>
      <c r="F86993"/>
    </row>
    <row r="86994" spans="1:6" x14ac:dyDescent="0.25">
      <c r="A86994"/>
      <c r="B86994"/>
      <c r="C86994"/>
      <c r="E86994"/>
      <c r="F86994"/>
    </row>
    <row r="86995" spans="1:6" x14ac:dyDescent="0.25">
      <c r="A86995"/>
      <c r="B86995"/>
      <c r="C86995"/>
      <c r="E86995"/>
      <c r="F86995"/>
    </row>
    <row r="86996" spans="1:6" x14ac:dyDescent="0.25">
      <c r="A86996"/>
      <c r="B86996"/>
      <c r="C86996"/>
      <c r="E86996"/>
      <c r="F86996"/>
    </row>
    <row r="86997" spans="1:6" x14ac:dyDescent="0.25">
      <c r="A86997"/>
      <c r="B86997"/>
      <c r="C86997"/>
      <c r="E86997"/>
      <c r="F86997"/>
    </row>
    <row r="86998" spans="1:6" x14ac:dyDescent="0.25">
      <c r="A86998"/>
      <c r="B86998"/>
      <c r="C86998"/>
      <c r="E86998"/>
      <c r="F86998"/>
    </row>
    <row r="86999" spans="1:6" x14ac:dyDescent="0.25">
      <c r="A86999"/>
      <c r="B86999"/>
      <c r="C86999"/>
      <c r="E86999"/>
      <c r="F86999"/>
    </row>
    <row r="87000" spans="1:6" x14ac:dyDescent="0.25">
      <c r="A87000"/>
      <c r="B87000"/>
      <c r="C87000"/>
      <c r="E87000"/>
      <c r="F87000"/>
    </row>
    <row r="87001" spans="1:6" x14ac:dyDescent="0.25">
      <c r="A87001"/>
      <c r="B87001"/>
      <c r="C87001"/>
      <c r="E87001"/>
      <c r="F87001"/>
    </row>
    <row r="87002" spans="1:6" x14ac:dyDescent="0.25">
      <c r="A87002"/>
      <c r="B87002"/>
      <c r="C87002"/>
      <c r="E87002"/>
      <c r="F87002"/>
    </row>
    <row r="87003" spans="1:6" x14ac:dyDescent="0.25">
      <c r="A87003"/>
      <c r="B87003"/>
      <c r="C87003"/>
      <c r="E87003"/>
      <c r="F87003"/>
    </row>
    <row r="87004" spans="1:6" x14ac:dyDescent="0.25">
      <c r="A87004"/>
      <c r="B87004"/>
      <c r="C87004"/>
      <c r="E87004"/>
      <c r="F87004"/>
    </row>
    <row r="87005" spans="1:6" x14ac:dyDescent="0.25">
      <c r="A87005"/>
      <c r="B87005"/>
      <c r="C87005"/>
      <c r="E87005"/>
      <c r="F87005"/>
    </row>
    <row r="87006" spans="1:6" x14ac:dyDescent="0.25">
      <c r="A87006"/>
      <c r="B87006"/>
      <c r="C87006"/>
      <c r="E87006"/>
      <c r="F87006"/>
    </row>
    <row r="87007" spans="1:6" x14ac:dyDescent="0.25">
      <c r="A87007"/>
      <c r="B87007"/>
      <c r="C87007"/>
      <c r="E87007"/>
      <c r="F87007"/>
    </row>
    <row r="87008" spans="1:6" x14ac:dyDescent="0.25">
      <c r="A87008"/>
      <c r="B87008"/>
      <c r="C87008"/>
      <c r="E87008"/>
      <c r="F87008"/>
    </row>
    <row r="87009" spans="1:6" x14ac:dyDescent="0.25">
      <c r="A87009"/>
      <c r="B87009"/>
      <c r="C87009"/>
      <c r="E87009"/>
      <c r="F87009"/>
    </row>
    <row r="87010" spans="1:6" x14ac:dyDescent="0.25">
      <c r="A87010"/>
      <c r="B87010"/>
      <c r="C87010"/>
      <c r="E87010"/>
      <c r="F87010"/>
    </row>
    <row r="87011" spans="1:6" x14ac:dyDescent="0.25">
      <c r="A87011"/>
      <c r="B87011"/>
      <c r="C87011"/>
      <c r="E87011"/>
      <c r="F87011"/>
    </row>
    <row r="87012" spans="1:6" x14ac:dyDescent="0.25">
      <c r="A87012"/>
      <c r="B87012"/>
      <c r="C87012"/>
      <c r="E87012"/>
      <c r="F87012"/>
    </row>
    <row r="87013" spans="1:6" x14ac:dyDescent="0.25">
      <c r="A87013"/>
      <c r="B87013"/>
      <c r="C87013"/>
      <c r="E87013"/>
      <c r="F87013"/>
    </row>
    <row r="87014" spans="1:6" x14ac:dyDescent="0.25">
      <c r="A87014"/>
      <c r="B87014"/>
      <c r="C87014"/>
      <c r="E87014"/>
      <c r="F87014"/>
    </row>
    <row r="87015" spans="1:6" x14ac:dyDescent="0.25">
      <c r="A87015"/>
      <c r="B87015"/>
      <c r="C87015"/>
      <c r="E87015"/>
      <c r="F87015"/>
    </row>
    <row r="87016" spans="1:6" x14ac:dyDescent="0.25">
      <c r="A87016"/>
      <c r="B87016"/>
      <c r="C87016"/>
      <c r="E87016"/>
      <c r="F87016"/>
    </row>
    <row r="87017" spans="1:6" x14ac:dyDescent="0.25">
      <c r="A87017"/>
      <c r="B87017"/>
      <c r="C87017"/>
      <c r="E87017"/>
      <c r="F87017"/>
    </row>
    <row r="87018" spans="1:6" x14ac:dyDescent="0.25">
      <c r="A87018"/>
      <c r="B87018"/>
      <c r="C87018"/>
      <c r="E87018"/>
      <c r="F87018"/>
    </row>
    <row r="87019" spans="1:6" x14ac:dyDescent="0.25">
      <c r="A87019"/>
      <c r="B87019"/>
      <c r="C87019"/>
      <c r="E87019"/>
      <c r="F87019"/>
    </row>
    <row r="87020" spans="1:6" x14ac:dyDescent="0.25">
      <c r="A87020"/>
      <c r="B87020"/>
      <c r="C87020"/>
      <c r="E87020"/>
      <c r="F87020"/>
    </row>
    <row r="87021" spans="1:6" x14ac:dyDescent="0.25">
      <c r="A87021"/>
      <c r="B87021"/>
      <c r="C87021"/>
      <c r="E87021"/>
      <c r="F87021"/>
    </row>
    <row r="87022" spans="1:6" x14ac:dyDescent="0.25">
      <c r="A87022"/>
      <c r="B87022"/>
      <c r="C87022"/>
      <c r="E87022"/>
      <c r="F87022"/>
    </row>
    <row r="87023" spans="1:6" x14ac:dyDescent="0.25">
      <c r="A87023"/>
      <c r="B87023"/>
      <c r="C87023"/>
      <c r="E87023"/>
      <c r="F87023"/>
    </row>
    <row r="87024" spans="1:6" x14ac:dyDescent="0.25">
      <c r="A87024"/>
      <c r="B87024"/>
      <c r="C87024"/>
      <c r="E87024"/>
      <c r="F87024"/>
    </row>
    <row r="87025" spans="1:6" x14ac:dyDescent="0.25">
      <c r="A87025"/>
      <c r="B87025"/>
      <c r="C87025"/>
      <c r="E87025"/>
      <c r="F87025"/>
    </row>
    <row r="87026" spans="1:6" x14ac:dyDescent="0.25">
      <c r="A87026"/>
      <c r="B87026"/>
      <c r="C87026"/>
      <c r="E87026"/>
      <c r="F87026"/>
    </row>
    <row r="87027" spans="1:6" x14ac:dyDescent="0.25">
      <c r="A87027"/>
      <c r="B87027"/>
      <c r="C87027"/>
      <c r="E87027"/>
      <c r="F87027"/>
    </row>
    <row r="87028" spans="1:6" x14ac:dyDescent="0.25">
      <c r="A87028"/>
      <c r="B87028"/>
      <c r="C87028"/>
      <c r="E87028"/>
      <c r="F87028"/>
    </row>
    <row r="87029" spans="1:6" x14ac:dyDescent="0.25">
      <c r="A87029"/>
      <c r="B87029"/>
      <c r="C87029"/>
      <c r="E87029"/>
      <c r="F87029"/>
    </row>
    <row r="87030" spans="1:6" x14ac:dyDescent="0.25">
      <c r="A87030"/>
      <c r="B87030"/>
      <c r="C87030"/>
      <c r="E87030"/>
      <c r="F87030"/>
    </row>
    <row r="87031" spans="1:6" x14ac:dyDescent="0.25">
      <c r="A87031"/>
      <c r="B87031"/>
      <c r="C87031"/>
      <c r="E87031"/>
      <c r="F87031"/>
    </row>
    <row r="87032" spans="1:6" x14ac:dyDescent="0.25">
      <c r="A87032"/>
      <c r="B87032"/>
      <c r="C87032"/>
      <c r="E87032"/>
      <c r="F87032"/>
    </row>
    <row r="87033" spans="1:6" x14ac:dyDescent="0.25">
      <c r="A87033"/>
      <c r="B87033"/>
      <c r="C87033"/>
      <c r="E87033"/>
      <c r="F87033"/>
    </row>
    <row r="87034" spans="1:6" x14ac:dyDescent="0.25">
      <c r="A87034"/>
      <c r="B87034"/>
      <c r="C87034"/>
      <c r="E87034"/>
      <c r="F87034"/>
    </row>
    <row r="87035" spans="1:6" x14ac:dyDescent="0.25">
      <c r="A87035"/>
      <c r="B87035"/>
      <c r="C87035"/>
      <c r="E87035"/>
      <c r="F87035"/>
    </row>
    <row r="87036" spans="1:6" x14ac:dyDescent="0.25">
      <c r="A87036"/>
      <c r="B87036"/>
      <c r="C87036"/>
      <c r="E87036"/>
      <c r="F87036"/>
    </row>
    <row r="87037" spans="1:6" x14ac:dyDescent="0.25">
      <c r="A87037"/>
      <c r="B87037"/>
      <c r="C87037"/>
      <c r="E87037"/>
      <c r="F87037"/>
    </row>
    <row r="87038" spans="1:6" x14ac:dyDescent="0.25">
      <c r="A87038"/>
      <c r="B87038"/>
      <c r="C87038"/>
      <c r="E87038"/>
      <c r="F87038"/>
    </row>
    <row r="87039" spans="1:6" x14ac:dyDescent="0.25">
      <c r="A87039"/>
      <c r="B87039"/>
      <c r="C87039"/>
      <c r="E87039"/>
      <c r="F87039"/>
    </row>
    <row r="87040" spans="1:6" x14ac:dyDescent="0.25">
      <c r="A87040"/>
      <c r="B87040"/>
      <c r="C87040"/>
      <c r="E87040"/>
      <c r="F87040"/>
    </row>
    <row r="87041" spans="1:6" x14ac:dyDescent="0.25">
      <c r="A87041"/>
      <c r="B87041"/>
      <c r="C87041"/>
      <c r="E87041"/>
      <c r="F87041"/>
    </row>
    <row r="87042" spans="1:6" x14ac:dyDescent="0.25">
      <c r="A87042"/>
      <c r="B87042"/>
      <c r="C87042"/>
      <c r="E87042"/>
      <c r="F87042"/>
    </row>
    <row r="87043" spans="1:6" x14ac:dyDescent="0.25">
      <c r="A87043"/>
      <c r="B87043"/>
      <c r="C87043"/>
      <c r="E87043"/>
      <c r="F87043"/>
    </row>
    <row r="87044" spans="1:6" x14ac:dyDescent="0.25">
      <c r="A87044"/>
      <c r="B87044"/>
      <c r="C87044"/>
      <c r="E87044"/>
      <c r="F87044"/>
    </row>
    <row r="87045" spans="1:6" x14ac:dyDescent="0.25">
      <c r="A87045"/>
      <c r="B87045"/>
      <c r="C87045"/>
      <c r="E87045"/>
      <c r="F87045"/>
    </row>
    <row r="87046" spans="1:6" x14ac:dyDescent="0.25">
      <c r="A87046"/>
      <c r="B87046"/>
      <c r="C87046"/>
      <c r="E87046"/>
      <c r="F87046"/>
    </row>
    <row r="87047" spans="1:6" x14ac:dyDescent="0.25">
      <c r="A87047"/>
      <c r="B87047"/>
      <c r="C87047"/>
      <c r="E87047"/>
      <c r="F87047"/>
    </row>
    <row r="87048" spans="1:6" x14ac:dyDescent="0.25">
      <c r="A87048"/>
      <c r="B87048"/>
      <c r="C87048"/>
      <c r="E87048"/>
      <c r="F87048"/>
    </row>
    <row r="87049" spans="1:6" x14ac:dyDescent="0.25">
      <c r="A87049"/>
      <c r="B87049"/>
      <c r="C87049"/>
      <c r="E87049"/>
      <c r="F87049"/>
    </row>
    <row r="87050" spans="1:6" x14ac:dyDescent="0.25">
      <c r="A87050"/>
      <c r="B87050"/>
      <c r="C87050"/>
      <c r="E87050"/>
      <c r="F87050"/>
    </row>
    <row r="87051" spans="1:6" x14ac:dyDescent="0.25">
      <c r="A87051"/>
      <c r="B87051"/>
      <c r="C87051"/>
      <c r="E87051"/>
      <c r="F87051"/>
    </row>
    <row r="87052" spans="1:6" x14ac:dyDescent="0.25">
      <c r="A87052"/>
      <c r="B87052"/>
      <c r="C87052"/>
      <c r="E87052"/>
      <c r="F87052"/>
    </row>
    <row r="87053" spans="1:6" x14ac:dyDescent="0.25">
      <c r="A87053"/>
      <c r="B87053"/>
      <c r="C87053"/>
      <c r="E87053"/>
      <c r="F87053"/>
    </row>
    <row r="87054" spans="1:6" x14ac:dyDescent="0.25">
      <c r="A87054"/>
      <c r="B87054"/>
      <c r="C87054"/>
      <c r="E87054"/>
      <c r="F87054"/>
    </row>
    <row r="87055" spans="1:6" x14ac:dyDescent="0.25">
      <c r="A87055"/>
      <c r="B87055"/>
      <c r="C87055"/>
      <c r="E87055"/>
      <c r="F87055"/>
    </row>
    <row r="87056" spans="1:6" x14ac:dyDescent="0.25">
      <c r="A87056"/>
      <c r="B87056"/>
      <c r="C87056"/>
      <c r="E87056"/>
      <c r="F87056"/>
    </row>
    <row r="87057" spans="1:6" x14ac:dyDescent="0.25">
      <c r="A87057"/>
      <c r="B87057"/>
      <c r="C87057"/>
      <c r="E87057"/>
      <c r="F87057"/>
    </row>
    <row r="87058" spans="1:6" x14ac:dyDescent="0.25">
      <c r="A87058"/>
      <c r="B87058"/>
      <c r="C87058"/>
      <c r="E87058"/>
      <c r="F87058"/>
    </row>
    <row r="87059" spans="1:6" x14ac:dyDescent="0.25">
      <c r="A87059"/>
      <c r="B87059"/>
      <c r="C87059"/>
      <c r="E87059"/>
      <c r="F87059"/>
    </row>
    <row r="87060" spans="1:6" x14ac:dyDescent="0.25">
      <c r="A87060"/>
      <c r="B87060"/>
      <c r="C87060"/>
      <c r="E87060"/>
      <c r="F87060"/>
    </row>
    <row r="87061" spans="1:6" x14ac:dyDescent="0.25">
      <c r="A87061"/>
      <c r="B87061"/>
      <c r="C87061"/>
      <c r="E87061"/>
      <c r="F87061"/>
    </row>
    <row r="87062" spans="1:6" x14ac:dyDescent="0.25">
      <c r="A87062"/>
      <c r="B87062"/>
      <c r="C87062"/>
      <c r="E87062"/>
      <c r="F87062"/>
    </row>
    <row r="87063" spans="1:6" x14ac:dyDescent="0.25">
      <c r="A87063"/>
      <c r="B87063"/>
      <c r="C87063"/>
      <c r="E87063"/>
      <c r="F87063"/>
    </row>
    <row r="87064" spans="1:6" x14ac:dyDescent="0.25">
      <c r="A87064"/>
      <c r="B87064"/>
      <c r="C87064"/>
      <c r="E87064"/>
      <c r="F87064"/>
    </row>
    <row r="87065" spans="1:6" x14ac:dyDescent="0.25">
      <c r="A87065"/>
      <c r="B87065"/>
      <c r="C87065"/>
      <c r="E87065"/>
      <c r="F87065"/>
    </row>
    <row r="87066" spans="1:6" x14ac:dyDescent="0.25">
      <c r="A87066"/>
      <c r="B87066"/>
      <c r="C87066"/>
      <c r="E87066"/>
      <c r="F87066"/>
    </row>
    <row r="87067" spans="1:6" x14ac:dyDescent="0.25">
      <c r="A87067"/>
      <c r="B87067"/>
      <c r="C87067"/>
      <c r="E87067"/>
      <c r="F87067"/>
    </row>
    <row r="87068" spans="1:6" x14ac:dyDescent="0.25">
      <c r="A87068"/>
      <c r="B87068"/>
      <c r="C87068"/>
      <c r="E87068"/>
      <c r="F87068"/>
    </row>
    <row r="87069" spans="1:6" x14ac:dyDescent="0.25">
      <c r="A87069"/>
      <c r="B87069"/>
      <c r="C87069"/>
      <c r="E87069"/>
      <c r="F87069"/>
    </row>
    <row r="87070" spans="1:6" x14ac:dyDescent="0.25">
      <c r="A87070"/>
      <c r="B87070"/>
      <c r="C87070"/>
      <c r="E87070"/>
      <c r="F87070"/>
    </row>
    <row r="87071" spans="1:6" x14ac:dyDescent="0.25">
      <c r="A87071"/>
      <c r="B87071"/>
      <c r="C87071"/>
      <c r="E87071"/>
      <c r="F87071"/>
    </row>
    <row r="87072" spans="1:6" x14ac:dyDescent="0.25">
      <c r="A87072"/>
      <c r="B87072"/>
      <c r="C87072"/>
      <c r="E87072"/>
      <c r="F87072"/>
    </row>
    <row r="87073" spans="1:6" x14ac:dyDescent="0.25">
      <c r="A87073"/>
      <c r="B87073"/>
      <c r="C87073"/>
      <c r="E87073"/>
      <c r="F87073"/>
    </row>
    <row r="87074" spans="1:6" x14ac:dyDescent="0.25">
      <c r="A87074"/>
      <c r="B87074"/>
      <c r="C87074"/>
      <c r="E87074"/>
      <c r="F87074"/>
    </row>
    <row r="87075" spans="1:6" x14ac:dyDescent="0.25">
      <c r="A87075"/>
      <c r="B87075"/>
      <c r="C87075"/>
      <c r="E87075"/>
      <c r="F87075"/>
    </row>
    <row r="87076" spans="1:6" x14ac:dyDescent="0.25">
      <c r="A87076"/>
      <c r="B87076"/>
      <c r="C87076"/>
      <c r="E87076"/>
      <c r="F87076"/>
    </row>
    <row r="87077" spans="1:6" x14ac:dyDescent="0.25">
      <c r="A87077"/>
      <c r="B87077"/>
      <c r="C87077"/>
      <c r="E87077"/>
      <c r="F87077"/>
    </row>
    <row r="87078" spans="1:6" x14ac:dyDescent="0.25">
      <c r="A87078"/>
      <c r="B87078"/>
      <c r="C87078"/>
      <c r="E87078"/>
      <c r="F87078"/>
    </row>
    <row r="87079" spans="1:6" x14ac:dyDescent="0.25">
      <c r="A87079"/>
      <c r="B87079"/>
      <c r="C87079"/>
      <c r="E87079"/>
      <c r="F87079"/>
    </row>
    <row r="87080" spans="1:6" x14ac:dyDescent="0.25">
      <c r="A87080"/>
      <c r="B87080"/>
      <c r="C87080"/>
      <c r="E87080"/>
      <c r="F87080"/>
    </row>
    <row r="87081" spans="1:6" x14ac:dyDescent="0.25">
      <c r="A87081"/>
      <c r="B87081"/>
      <c r="C87081"/>
      <c r="E87081"/>
      <c r="F87081"/>
    </row>
    <row r="87082" spans="1:6" x14ac:dyDescent="0.25">
      <c r="A87082"/>
      <c r="B87082"/>
      <c r="C87082"/>
      <c r="E87082"/>
      <c r="F87082"/>
    </row>
    <row r="87083" spans="1:6" x14ac:dyDescent="0.25">
      <c r="A87083"/>
      <c r="B87083"/>
      <c r="C87083"/>
      <c r="E87083"/>
      <c r="F87083"/>
    </row>
    <row r="87084" spans="1:6" x14ac:dyDescent="0.25">
      <c r="A87084"/>
      <c r="B87084"/>
      <c r="C87084"/>
      <c r="E87084"/>
      <c r="F87084"/>
    </row>
    <row r="87085" spans="1:6" x14ac:dyDescent="0.25">
      <c r="A87085"/>
      <c r="B87085"/>
      <c r="C87085"/>
      <c r="E87085"/>
      <c r="F87085"/>
    </row>
    <row r="87086" spans="1:6" x14ac:dyDescent="0.25">
      <c r="A87086"/>
      <c r="B87086"/>
      <c r="C87086"/>
      <c r="E87086"/>
      <c r="F87086"/>
    </row>
    <row r="87087" spans="1:6" x14ac:dyDescent="0.25">
      <c r="A87087"/>
      <c r="B87087"/>
      <c r="C87087"/>
      <c r="E87087"/>
      <c r="F87087"/>
    </row>
    <row r="87088" spans="1:6" x14ac:dyDescent="0.25">
      <c r="A87088"/>
      <c r="B87088"/>
      <c r="C87088"/>
      <c r="E87088"/>
      <c r="F87088"/>
    </row>
    <row r="87089" spans="1:6" x14ac:dyDescent="0.25">
      <c r="A87089"/>
      <c r="B87089"/>
      <c r="C87089"/>
      <c r="E87089"/>
      <c r="F87089"/>
    </row>
    <row r="87090" spans="1:6" x14ac:dyDescent="0.25">
      <c r="A87090"/>
      <c r="B87090"/>
      <c r="C87090"/>
      <c r="E87090"/>
      <c r="F87090"/>
    </row>
    <row r="87091" spans="1:6" x14ac:dyDescent="0.25">
      <c r="A87091"/>
      <c r="B87091"/>
      <c r="C87091"/>
      <c r="E87091"/>
      <c r="F87091"/>
    </row>
    <row r="87092" spans="1:6" x14ac:dyDescent="0.25">
      <c r="A87092"/>
      <c r="B87092"/>
      <c r="C87092"/>
      <c r="E87092"/>
      <c r="F87092"/>
    </row>
    <row r="87093" spans="1:6" x14ac:dyDescent="0.25">
      <c r="A87093"/>
      <c r="B87093"/>
      <c r="C87093"/>
      <c r="E87093"/>
      <c r="F87093"/>
    </row>
    <row r="87094" spans="1:6" x14ac:dyDescent="0.25">
      <c r="A87094"/>
      <c r="B87094"/>
      <c r="C87094"/>
      <c r="E87094"/>
      <c r="F87094"/>
    </row>
    <row r="87095" spans="1:6" x14ac:dyDescent="0.25">
      <c r="A87095"/>
      <c r="B87095"/>
      <c r="C87095"/>
      <c r="E87095"/>
      <c r="F87095"/>
    </row>
    <row r="87096" spans="1:6" x14ac:dyDescent="0.25">
      <c r="A87096"/>
      <c r="B87096"/>
      <c r="C87096"/>
      <c r="E87096"/>
      <c r="F87096"/>
    </row>
    <row r="87097" spans="1:6" x14ac:dyDescent="0.25">
      <c r="A87097"/>
      <c r="B87097"/>
      <c r="C87097"/>
      <c r="E87097"/>
      <c r="F87097"/>
    </row>
    <row r="87098" spans="1:6" x14ac:dyDescent="0.25">
      <c r="A87098"/>
      <c r="B87098"/>
      <c r="C87098"/>
      <c r="E87098"/>
      <c r="F87098"/>
    </row>
    <row r="87099" spans="1:6" x14ac:dyDescent="0.25">
      <c r="A87099"/>
      <c r="B87099"/>
      <c r="C87099"/>
      <c r="E87099"/>
      <c r="F87099"/>
    </row>
    <row r="87100" spans="1:6" x14ac:dyDescent="0.25">
      <c r="A87100"/>
      <c r="B87100"/>
      <c r="C87100"/>
      <c r="E87100"/>
      <c r="F87100"/>
    </row>
    <row r="87101" spans="1:6" x14ac:dyDescent="0.25">
      <c r="A87101"/>
      <c r="B87101"/>
      <c r="C87101"/>
      <c r="E87101"/>
      <c r="F87101"/>
    </row>
    <row r="87102" spans="1:6" x14ac:dyDescent="0.25">
      <c r="A87102"/>
      <c r="B87102"/>
      <c r="C87102"/>
      <c r="E87102"/>
      <c r="F87102"/>
    </row>
    <row r="87103" spans="1:6" x14ac:dyDescent="0.25">
      <c r="A87103"/>
      <c r="B87103"/>
      <c r="C87103"/>
      <c r="E87103"/>
      <c r="F87103"/>
    </row>
    <row r="87104" spans="1:6" x14ac:dyDescent="0.25">
      <c r="A87104"/>
      <c r="B87104"/>
      <c r="C87104"/>
      <c r="E87104"/>
      <c r="F87104"/>
    </row>
    <row r="87105" spans="1:6" x14ac:dyDescent="0.25">
      <c r="A87105"/>
      <c r="B87105"/>
      <c r="C87105"/>
      <c r="E87105"/>
      <c r="F87105"/>
    </row>
    <row r="87106" spans="1:6" x14ac:dyDescent="0.25">
      <c r="A87106"/>
      <c r="B87106"/>
      <c r="C87106"/>
      <c r="E87106"/>
      <c r="F87106"/>
    </row>
    <row r="87107" spans="1:6" x14ac:dyDescent="0.25">
      <c r="A87107"/>
      <c r="B87107"/>
      <c r="C87107"/>
      <c r="E87107"/>
      <c r="F87107"/>
    </row>
    <row r="87108" spans="1:6" x14ac:dyDescent="0.25">
      <c r="A87108"/>
      <c r="B87108"/>
      <c r="C87108"/>
      <c r="E87108"/>
      <c r="F87108"/>
    </row>
    <row r="87109" spans="1:6" x14ac:dyDescent="0.25">
      <c r="A87109"/>
      <c r="B87109"/>
      <c r="C87109"/>
      <c r="E87109"/>
      <c r="F87109"/>
    </row>
    <row r="87110" spans="1:6" x14ac:dyDescent="0.25">
      <c r="A87110"/>
      <c r="B87110"/>
      <c r="C87110"/>
      <c r="E87110"/>
      <c r="F87110"/>
    </row>
    <row r="87111" spans="1:6" x14ac:dyDescent="0.25">
      <c r="A87111"/>
      <c r="B87111"/>
      <c r="C87111"/>
      <c r="E87111"/>
      <c r="F87111"/>
    </row>
    <row r="87112" spans="1:6" x14ac:dyDescent="0.25">
      <c r="A87112"/>
      <c r="B87112"/>
      <c r="C87112"/>
      <c r="E87112"/>
      <c r="F87112"/>
    </row>
    <row r="87113" spans="1:6" x14ac:dyDescent="0.25">
      <c r="A87113"/>
      <c r="B87113"/>
      <c r="C87113"/>
      <c r="E87113"/>
      <c r="F87113"/>
    </row>
    <row r="87114" spans="1:6" x14ac:dyDescent="0.25">
      <c r="A87114"/>
      <c r="B87114"/>
      <c r="C87114"/>
      <c r="E87114"/>
      <c r="F87114"/>
    </row>
    <row r="87115" spans="1:6" x14ac:dyDescent="0.25">
      <c r="A87115"/>
      <c r="B87115"/>
      <c r="C87115"/>
      <c r="E87115"/>
      <c r="F87115"/>
    </row>
    <row r="87116" spans="1:6" x14ac:dyDescent="0.25">
      <c r="A87116"/>
      <c r="B87116"/>
      <c r="C87116"/>
      <c r="E87116"/>
      <c r="F87116"/>
    </row>
    <row r="87117" spans="1:6" x14ac:dyDescent="0.25">
      <c r="A87117"/>
      <c r="B87117"/>
      <c r="C87117"/>
      <c r="E87117"/>
      <c r="F87117"/>
    </row>
    <row r="87118" spans="1:6" x14ac:dyDescent="0.25">
      <c r="A87118"/>
      <c r="B87118"/>
      <c r="C87118"/>
      <c r="E87118"/>
      <c r="F87118"/>
    </row>
    <row r="87119" spans="1:6" x14ac:dyDescent="0.25">
      <c r="A87119"/>
      <c r="B87119"/>
      <c r="C87119"/>
      <c r="E87119"/>
      <c r="F87119"/>
    </row>
    <row r="87120" spans="1:6" x14ac:dyDescent="0.25">
      <c r="A87120"/>
      <c r="B87120"/>
      <c r="C87120"/>
      <c r="E87120"/>
      <c r="F87120"/>
    </row>
    <row r="87121" spans="1:6" x14ac:dyDescent="0.25">
      <c r="A87121"/>
      <c r="B87121"/>
      <c r="C87121"/>
      <c r="E87121"/>
      <c r="F87121"/>
    </row>
    <row r="87122" spans="1:6" x14ac:dyDescent="0.25">
      <c r="A87122"/>
      <c r="B87122"/>
      <c r="C87122"/>
      <c r="E87122"/>
      <c r="F87122"/>
    </row>
    <row r="87123" spans="1:6" x14ac:dyDescent="0.25">
      <c r="A87123"/>
      <c r="B87123"/>
      <c r="C87123"/>
      <c r="E87123"/>
      <c r="F87123"/>
    </row>
    <row r="87124" spans="1:6" x14ac:dyDescent="0.25">
      <c r="A87124"/>
      <c r="B87124"/>
      <c r="C87124"/>
      <c r="E87124"/>
      <c r="F87124"/>
    </row>
    <row r="87125" spans="1:6" x14ac:dyDescent="0.25">
      <c r="A87125"/>
      <c r="B87125"/>
      <c r="C87125"/>
      <c r="E87125"/>
      <c r="F87125"/>
    </row>
    <row r="87126" spans="1:6" x14ac:dyDescent="0.25">
      <c r="A87126"/>
      <c r="B87126"/>
      <c r="C87126"/>
      <c r="E87126"/>
      <c r="F87126"/>
    </row>
    <row r="87127" spans="1:6" x14ac:dyDescent="0.25">
      <c r="A87127"/>
      <c r="B87127"/>
      <c r="C87127"/>
      <c r="E87127"/>
      <c r="F87127"/>
    </row>
    <row r="87128" spans="1:6" x14ac:dyDescent="0.25">
      <c r="A87128"/>
      <c r="B87128"/>
      <c r="C87128"/>
      <c r="E87128"/>
      <c r="F87128"/>
    </row>
    <row r="87129" spans="1:6" x14ac:dyDescent="0.25">
      <c r="A87129"/>
      <c r="B87129"/>
      <c r="C87129"/>
      <c r="E87129"/>
      <c r="F87129"/>
    </row>
    <row r="87130" spans="1:6" x14ac:dyDescent="0.25">
      <c r="A87130"/>
      <c r="B87130"/>
      <c r="C87130"/>
      <c r="E87130"/>
      <c r="F87130"/>
    </row>
    <row r="87131" spans="1:6" x14ac:dyDescent="0.25">
      <c r="A87131"/>
      <c r="B87131"/>
      <c r="C87131"/>
      <c r="E87131"/>
      <c r="F87131"/>
    </row>
    <row r="87132" spans="1:6" x14ac:dyDescent="0.25">
      <c r="A87132"/>
      <c r="B87132"/>
      <c r="C87132"/>
      <c r="E87132"/>
      <c r="F87132"/>
    </row>
    <row r="87133" spans="1:6" x14ac:dyDescent="0.25">
      <c r="A87133"/>
      <c r="B87133"/>
      <c r="C87133"/>
      <c r="E87133"/>
      <c r="F87133"/>
    </row>
    <row r="87134" spans="1:6" x14ac:dyDescent="0.25">
      <c r="A87134"/>
      <c r="B87134"/>
      <c r="C87134"/>
      <c r="E87134"/>
      <c r="F87134"/>
    </row>
    <row r="87135" spans="1:6" x14ac:dyDescent="0.25">
      <c r="A87135"/>
      <c r="B87135"/>
      <c r="C87135"/>
      <c r="E87135"/>
      <c r="F87135"/>
    </row>
    <row r="87136" spans="1:6" x14ac:dyDescent="0.25">
      <c r="A87136"/>
      <c r="B87136"/>
      <c r="C87136"/>
      <c r="E87136"/>
      <c r="F87136"/>
    </row>
    <row r="87137" spans="1:6" x14ac:dyDescent="0.25">
      <c r="A87137"/>
      <c r="B87137"/>
      <c r="C87137"/>
      <c r="E87137"/>
      <c r="F87137"/>
    </row>
    <row r="87138" spans="1:6" x14ac:dyDescent="0.25">
      <c r="A87138"/>
      <c r="B87138"/>
      <c r="C87138"/>
      <c r="E87138"/>
      <c r="F87138"/>
    </row>
    <row r="87139" spans="1:6" x14ac:dyDescent="0.25">
      <c r="A87139"/>
      <c r="B87139"/>
      <c r="C87139"/>
      <c r="E87139"/>
      <c r="F87139"/>
    </row>
    <row r="87140" spans="1:6" x14ac:dyDescent="0.25">
      <c r="A87140"/>
      <c r="B87140"/>
      <c r="C87140"/>
      <c r="E87140"/>
      <c r="F87140"/>
    </row>
    <row r="87141" spans="1:6" x14ac:dyDescent="0.25">
      <c r="A87141"/>
      <c r="B87141"/>
      <c r="C87141"/>
      <c r="E87141"/>
      <c r="F87141"/>
    </row>
    <row r="87142" spans="1:6" x14ac:dyDescent="0.25">
      <c r="A87142"/>
      <c r="B87142"/>
      <c r="C87142"/>
      <c r="E87142"/>
      <c r="F87142"/>
    </row>
    <row r="87143" spans="1:6" x14ac:dyDescent="0.25">
      <c r="A87143"/>
      <c r="B87143"/>
      <c r="C87143"/>
      <c r="E87143"/>
      <c r="F87143"/>
    </row>
    <row r="87144" spans="1:6" x14ac:dyDescent="0.25">
      <c r="A87144"/>
      <c r="B87144"/>
      <c r="C87144"/>
      <c r="E87144"/>
      <c r="F87144"/>
    </row>
    <row r="87145" spans="1:6" x14ac:dyDescent="0.25">
      <c r="A87145"/>
      <c r="B87145"/>
      <c r="C87145"/>
      <c r="E87145"/>
      <c r="F87145"/>
    </row>
    <row r="87146" spans="1:6" x14ac:dyDescent="0.25">
      <c r="A87146"/>
      <c r="B87146"/>
      <c r="C87146"/>
      <c r="E87146"/>
      <c r="F87146"/>
    </row>
    <row r="87147" spans="1:6" x14ac:dyDescent="0.25">
      <c r="A87147"/>
      <c r="B87147"/>
      <c r="C87147"/>
      <c r="E87147"/>
      <c r="F87147"/>
    </row>
    <row r="87148" spans="1:6" x14ac:dyDescent="0.25">
      <c r="A87148"/>
      <c r="B87148"/>
      <c r="C87148"/>
      <c r="E87148"/>
      <c r="F87148"/>
    </row>
    <row r="87149" spans="1:6" x14ac:dyDescent="0.25">
      <c r="A87149"/>
      <c r="B87149"/>
      <c r="C87149"/>
      <c r="E87149"/>
      <c r="F87149"/>
    </row>
    <row r="87150" spans="1:6" x14ac:dyDescent="0.25">
      <c r="A87150"/>
      <c r="B87150"/>
      <c r="C87150"/>
      <c r="E87150"/>
      <c r="F87150"/>
    </row>
    <row r="87151" spans="1:6" x14ac:dyDescent="0.25">
      <c r="A87151"/>
      <c r="B87151"/>
      <c r="C87151"/>
      <c r="E87151"/>
      <c r="F87151"/>
    </row>
    <row r="87152" spans="1:6" x14ac:dyDescent="0.25">
      <c r="A87152"/>
      <c r="B87152"/>
      <c r="C87152"/>
      <c r="E87152"/>
      <c r="F87152"/>
    </row>
    <row r="87153" spans="1:6" x14ac:dyDescent="0.25">
      <c r="A87153"/>
      <c r="B87153"/>
      <c r="C87153"/>
      <c r="E87153"/>
      <c r="F87153"/>
    </row>
    <row r="87154" spans="1:6" x14ac:dyDescent="0.25">
      <c r="A87154"/>
      <c r="B87154"/>
      <c r="C87154"/>
      <c r="E87154"/>
      <c r="F87154"/>
    </row>
    <row r="87155" spans="1:6" x14ac:dyDescent="0.25">
      <c r="A87155"/>
      <c r="B87155"/>
      <c r="C87155"/>
      <c r="E87155"/>
      <c r="F87155"/>
    </row>
    <row r="87156" spans="1:6" x14ac:dyDescent="0.25">
      <c r="A87156"/>
      <c r="B87156"/>
      <c r="C87156"/>
      <c r="E87156"/>
      <c r="F87156"/>
    </row>
    <row r="87157" spans="1:6" x14ac:dyDescent="0.25">
      <c r="A87157"/>
      <c r="B87157"/>
      <c r="C87157"/>
      <c r="E87157"/>
      <c r="F87157"/>
    </row>
    <row r="87158" spans="1:6" x14ac:dyDescent="0.25">
      <c r="A87158"/>
      <c r="B87158"/>
      <c r="C87158"/>
      <c r="E87158"/>
      <c r="F87158"/>
    </row>
    <row r="87159" spans="1:6" x14ac:dyDescent="0.25">
      <c r="A87159"/>
      <c r="B87159"/>
      <c r="C87159"/>
      <c r="E87159"/>
      <c r="F87159"/>
    </row>
    <row r="87160" spans="1:6" x14ac:dyDescent="0.25">
      <c r="A87160"/>
      <c r="B87160"/>
      <c r="C87160"/>
      <c r="E87160"/>
      <c r="F87160"/>
    </row>
    <row r="87161" spans="1:6" x14ac:dyDescent="0.25">
      <c r="A87161"/>
      <c r="B87161"/>
      <c r="C87161"/>
      <c r="E87161"/>
      <c r="F87161"/>
    </row>
    <row r="87162" spans="1:6" x14ac:dyDescent="0.25">
      <c r="A87162"/>
      <c r="B87162"/>
      <c r="C87162"/>
      <c r="E87162"/>
      <c r="F87162"/>
    </row>
    <row r="87163" spans="1:6" x14ac:dyDescent="0.25">
      <c r="A87163"/>
      <c r="B87163"/>
      <c r="C87163"/>
      <c r="E87163"/>
      <c r="F87163"/>
    </row>
    <row r="87164" spans="1:6" x14ac:dyDescent="0.25">
      <c r="A87164"/>
      <c r="B87164"/>
      <c r="C87164"/>
      <c r="E87164"/>
      <c r="F87164"/>
    </row>
    <row r="87165" spans="1:6" x14ac:dyDescent="0.25">
      <c r="A87165"/>
      <c r="B87165"/>
      <c r="C87165"/>
      <c r="E87165"/>
      <c r="F87165"/>
    </row>
    <row r="87166" spans="1:6" x14ac:dyDescent="0.25">
      <c r="A87166"/>
      <c r="B87166"/>
      <c r="C87166"/>
      <c r="E87166"/>
      <c r="F87166"/>
    </row>
    <row r="87167" spans="1:6" x14ac:dyDescent="0.25">
      <c r="A87167"/>
      <c r="B87167"/>
      <c r="C87167"/>
      <c r="E87167"/>
      <c r="F87167"/>
    </row>
    <row r="87168" spans="1:6" x14ac:dyDescent="0.25">
      <c r="A87168"/>
      <c r="B87168"/>
      <c r="C87168"/>
      <c r="E87168"/>
      <c r="F87168"/>
    </row>
    <row r="87169" spans="1:6" x14ac:dyDescent="0.25">
      <c r="A87169"/>
      <c r="B87169"/>
      <c r="C87169"/>
      <c r="E87169"/>
      <c r="F87169"/>
    </row>
    <row r="87170" spans="1:6" x14ac:dyDescent="0.25">
      <c r="A87170"/>
      <c r="B87170"/>
      <c r="C87170"/>
      <c r="E87170"/>
      <c r="F87170"/>
    </row>
    <row r="87171" spans="1:6" x14ac:dyDescent="0.25">
      <c r="A87171"/>
      <c r="B87171"/>
      <c r="C87171"/>
      <c r="E87171"/>
      <c r="F87171"/>
    </row>
    <row r="87172" spans="1:6" x14ac:dyDescent="0.25">
      <c r="A87172"/>
      <c r="B87172"/>
      <c r="C87172"/>
      <c r="E87172"/>
      <c r="F87172"/>
    </row>
    <row r="87173" spans="1:6" x14ac:dyDescent="0.25">
      <c r="A87173"/>
      <c r="B87173"/>
      <c r="C87173"/>
      <c r="E87173"/>
      <c r="F87173"/>
    </row>
    <row r="87174" spans="1:6" x14ac:dyDescent="0.25">
      <c r="A87174"/>
      <c r="B87174"/>
      <c r="C87174"/>
      <c r="E87174"/>
      <c r="F87174"/>
    </row>
    <row r="87175" spans="1:6" x14ac:dyDescent="0.25">
      <c r="A87175"/>
      <c r="B87175"/>
      <c r="C87175"/>
      <c r="E87175"/>
      <c r="F87175"/>
    </row>
    <row r="87176" spans="1:6" x14ac:dyDescent="0.25">
      <c r="A87176"/>
      <c r="B87176"/>
      <c r="C87176"/>
      <c r="E87176"/>
      <c r="F87176"/>
    </row>
    <row r="87177" spans="1:6" x14ac:dyDescent="0.25">
      <c r="A87177"/>
      <c r="B87177"/>
      <c r="C87177"/>
      <c r="E87177"/>
      <c r="F87177"/>
    </row>
    <row r="87178" spans="1:6" x14ac:dyDescent="0.25">
      <c r="A87178"/>
      <c r="B87178"/>
      <c r="C87178"/>
      <c r="E87178"/>
      <c r="F87178"/>
    </row>
    <row r="87179" spans="1:6" x14ac:dyDescent="0.25">
      <c r="A87179"/>
      <c r="B87179"/>
      <c r="C87179"/>
      <c r="E87179"/>
      <c r="F87179"/>
    </row>
    <row r="87180" spans="1:6" x14ac:dyDescent="0.25">
      <c r="A87180"/>
      <c r="B87180"/>
      <c r="C87180"/>
      <c r="E87180"/>
      <c r="F87180"/>
    </row>
    <row r="87181" spans="1:6" x14ac:dyDescent="0.25">
      <c r="A87181"/>
      <c r="B87181"/>
      <c r="C87181"/>
      <c r="E87181"/>
      <c r="F87181"/>
    </row>
    <row r="87182" spans="1:6" x14ac:dyDescent="0.25">
      <c r="A87182"/>
      <c r="B87182"/>
      <c r="C87182"/>
      <c r="E87182"/>
      <c r="F87182"/>
    </row>
    <row r="87183" spans="1:6" x14ac:dyDescent="0.25">
      <c r="A87183"/>
      <c r="B87183"/>
      <c r="C87183"/>
      <c r="E87183"/>
      <c r="F87183"/>
    </row>
    <row r="87184" spans="1:6" x14ac:dyDescent="0.25">
      <c r="A87184"/>
      <c r="B87184"/>
      <c r="C87184"/>
      <c r="E87184"/>
      <c r="F87184"/>
    </row>
    <row r="87185" spans="1:6" x14ac:dyDescent="0.25">
      <c r="A87185"/>
      <c r="B87185"/>
      <c r="C87185"/>
      <c r="E87185"/>
      <c r="F87185"/>
    </row>
    <row r="87186" spans="1:6" x14ac:dyDescent="0.25">
      <c r="A87186"/>
      <c r="B87186"/>
      <c r="C87186"/>
      <c r="E87186"/>
      <c r="F87186"/>
    </row>
    <row r="87187" spans="1:6" x14ac:dyDescent="0.25">
      <c r="A87187"/>
      <c r="B87187"/>
      <c r="C87187"/>
      <c r="E87187"/>
      <c r="F87187"/>
    </row>
    <row r="87188" spans="1:6" x14ac:dyDescent="0.25">
      <c r="A87188"/>
      <c r="B87188"/>
      <c r="C87188"/>
      <c r="E87188"/>
      <c r="F87188"/>
    </row>
    <row r="87189" spans="1:6" x14ac:dyDescent="0.25">
      <c r="A87189"/>
      <c r="B87189"/>
      <c r="C87189"/>
      <c r="E87189"/>
      <c r="F87189"/>
    </row>
    <row r="87190" spans="1:6" x14ac:dyDescent="0.25">
      <c r="A87190"/>
      <c r="B87190"/>
      <c r="C87190"/>
      <c r="E87190"/>
      <c r="F87190"/>
    </row>
    <row r="87191" spans="1:6" x14ac:dyDescent="0.25">
      <c r="A87191"/>
      <c r="B87191"/>
      <c r="C87191"/>
      <c r="E87191"/>
      <c r="F87191"/>
    </row>
    <row r="87192" spans="1:6" x14ac:dyDescent="0.25">
      <c r="A87192"/>
      <c r="B87192"/>
      <c r="C87192"/>
      <c r="E87192"/>
      <c r="F87192"/>
    </row>
    <row r="87193" spans="1:6" x14ac:dyDescent="0.25">
      <c r="A87193"/>
      <c r="B87193"/>
      <c r="C87193"/>
      <c r="E87193"/>
      <c r="F87193"/>
    </row>
    <row r="87194" spans="1:6" x14ac:dyDescent="0.25">
      <c r="A87194"/>
      <c r="B87194"/>
      <c r="C87194"/>
      <c r="E87194"/>
      <c r="F87194"/>
    </row>
    <row r="87195" spans="1:6" x14ac:dyDescent="0.25">
      <c r="A87195"/>
      <c r="B87195"/>
      <c r="C87195"/>
      <c r="E87195"/>
      <c r="F87195"/>
    </row>
    <row r="87196" spans="1:6" x14ac:dyDescent="0.25">
      <c r="A87196"/>
      <c r="B87196"/>
      <c r="C87196"/>
      <c r="E87196"/>
      <c r="F87196"/>
    </row>
    <row r="87197" spans="1:6" x14ac:dyDescent="0.25">
      <c r="A87197"/>
      <c r="B87197"/>
      <c r="C87197"/>
      <c r="E87197"/>
      <c r="F87197"/>
    </row>
    <row r="87198" spans="1:6" x14ac:dyDescent="0.25">
      <c r="A87198"/>
      <c r="B87198"/>
      <c r="C87198"/>
      <c r="E87198"/>
      <c r="F87198"/>
    </row>
    <row r="87199" spans="1:6" x14ac:dyDescent="0.25">
      <c r="A87199"/>
      <c r="B87199"/>
      <c r="C87199"/>
      <c r="E87199"/>
      <c r="F87199"/>
    </row>
    <row r="87200" spans="1:6" x14ac:dyDescent="0.25">
      <c r="A87200"/>
      <c r="B87200"/>
      <c r="C87200"/>
      <c r="E87200"/>
      <c r="F87200"/>
    </row>
    <row r="87201" spans="1:6" x14ac:dyDescent="0.25">
      <c r="A87201"/>
      <c r="B87201"/>
      <c r="C87201"/>
      <c r="E87201"/>
      <c r="F87201"/>
    </row>
    <row r="87202" spans="1:6" x14ac:dyDescent="0.25">
      <c r="A87202"/>
      <c r="B87202"/>
      <c r="C87202"/>
      <c r="E87202"/>
      <c r="F87202"/>
    </row>
    <row r="87203" spans="1:6" x14ac:dyDescent="0.25">
      <c r="A87203"/>
      <c r="B87203"/>
      <c r="C87203"/>
      <c r="E87203"/>
      <c r="F87203"/>
    </row>
    <row r="87204" spans="1:6" x14ac:dyDescent="0.25">
      <c r="A87204"/>
      <c r="B87204"/>
      <c r="C87204"/>
      <c r="E87204"/>
      <c r="F87204"/>
    </row>
    <row r="87205" spans="1:6" x14ac:dyDescent="0.25">
      <c r="A87205"/>
      <c r="B87205"/>
      <c r="C87205"/>
      <c r="E87205"/>
      <c r="F87205"/>
    </row>
    <row r="87206" spans="1:6" x14ac:dyDescent="0.25">
      <c r="A87206"/>
      <c r="B87206"/>
      <c r="C87206"/>
      <c r="E87206"/>
      <c r="F87206"/>
    </row>
    <row r="87207" spans="1:6" x14ac:dyDescent="0.25">
      <c r="A87207"/>
      <c r="B87207"/>
      <c r="C87207"/>
      <c r="E87207"/>
      <c r="F87207"/>
    </row>
    <row r="87208" spans="1:6" x14ac:dyDescent="0.25">
      <c r="A87208"/>
      <c r="B87208"/>
      <c r="C87208"/>
      <c r="E87208"/>
      <c r="F87208"/>
    </row>
    <row r="87209" spans="1:6" x14ac:dyDescent="0.25">
      <c r="A87209"/>
      <c r="B87209"/>
      <c r="C87209"/>
      <c r="E87209"/>
      <c r="F87209"/>
    </row>
    <row r="87210" spans="1:6" x14ac:dyDescent="0.25">
      <c r="A87210"/>
      <c r="B87210"/>
      <c r="C87210"/>
      <c r="E87210"/>
      <c r="F87210"/>
    </row>
    <row r="87211" spans="1:6" x14ac:dyDescent="0.25">
      <c r="A87211"/>
      <c r="B87211"/>
      <c r="C87211"/>
      <c r="E87211"/>
      <c r="F87211"/>
    </row>
    <row r="87212" spans="1:6" x14ac:dyDescent="0.25">
      <c r="A87212"/>
      <c r="B87212"/>
      <c r="C87212"/>
      <c r="E87212"/>
      <c r="F87212"/>
    </row>
    <row r="87213" spans="1:6" x14ac:dyDescent="0.25">
      <c r="A87213"/>
      <c r="B87213"/>
      <c r="C87213"/>
      <c r="E87213"/>
      <c r="F87213"/>
    </row>
    <row r="87214" spans="1:6" x14ac:dyDescent="0.25">
      <c r="A87214"/>
      <c r="B87214"/>
      <c r="C87214"/>
      <c r="E87214"/>
      <c r="F87214"/>
    </row>
    <row r="87215" spans="1:6" x14ac:dyDescent="0.25">
      <c r="A87215"/>
      <c r="B87215"/>
      <c r="C87215"/>
      <c r="E87215"/>
      <c r="F87215"/>
    </row>
    <row r="87216" spans="1:6" x14ac:dyDescent="0.25">
      <c r="A87216"/>
      <c r="B87216"/>
      <c r="C87216"/>
      <c r="E87216"/>
      <c r="F87216"/>
    </row>
    <row r="87217" spans="1:6" x14ac:dyDescent="0.25">
      <c r="A87217"/>
      <c r="B87217"/>
      <c r="C87217"/>
      <c r="E87217"/>
      <c r="F87217"/>
    </row>
    <row r="87218" spans="1:6" x14ac:dyDescent="0.25">
      <c r="A87218"/>
      <c r="B87218"/>
      <c r="C87218"/>
      <c r="E87218"/>
      <c r="F87218"/>
    </row>
    <row r="87219" spans="1:6" x14ac:dyDescent="0.25">
      <c r="A87219"/>
      <c r="B87219"/>
      <c r="C87219"/>
      <c r="E87219"/>
      <c r="F87219"/>
    </row>
    <row r="87220" spans="1:6" x14ac:dyDescent="0.25">
      <c r="A87220"/>
      <c r="B87220"/>
      <c r="C87220"/>
      <c r="E87220"/>
      <c r="F87220"/>
    </row>
    <row r="87221" spans="1:6" x14ac:dyDescent="0.25">
      <c r="A87221"/>
      <c r="B87221"/>
      <c r="C87221"/>
      <c r="E87221"/>
      <c r="F87221"/>
    </row>
    <row r="87222" spans="1:6" x14ac:dyDescent="0.25">
      <c r="A87222"/>
      <c r="B87222"/>
      <c r="C87222"/>
      <c r="E87222"/>
      <c r="F87222"/>
    </row>
    <row r="87223" spans="1:6" x14ac:dyDescent="0.25">
      <c r="A87223"/>
      <c r="B87223"/>
      <c r="C87223"/>
      <c r="E87223"/>
      <c r="F87223"/>
    </row>
    <row r="87224" spans="1:6" x14ac:dyDescent="0.25">
      <c r="A87224"/>
      <c r="B87224"/>
      <c r="C87224"/>
      <c r="E87224"/>
      <c r="F87224"/>
    </row>
    <row r="87225" spans="1:6" x14ac:dyDescent="0.25">
      <c r="A87225"/>
      <c r="B87225"/>
      <c r="C87225"/>
      <c r="E87225"/>
      <c r="F87225"/>
    </row>
    <row r="87226" spans="1:6" x14ac:dyDescent="0.25">
      <c r="A87226"/>
      <c r="B87226"/>
      <c r="C87226"/>
      <c r="E87226"/>
      <c r="F87226"/>
    </row>
    <row r="87227" spans="1:6" x14ac:dyDescent="0.25">
      <c r="A87227"/>
      <c r="B87227"/>
      <c r="C87227"/>
      <c r="E87227"/>
      <c r="F87227"/>
    </row>
    <row r="87228" spans="1:6" x14ac:dyDescent="0.25">
      <c r="A87228"/>
      <c r="B87228"/>
      <c r="C87228"/>
      <c r="E87228"/>
      <c r="F87228"/>
    </row>
    <row r="87229" spans="1:6" x14ac:dyDescent="0.25">
      <c r="A87229"/>
      <c r="B87229"/>
      <c r="C87229"/>
      <c r="E87229"/>
      <c r="F87229"/>
    </row>
    <row r="87230" spans="1:6" x14ac:dyDescent="0.25">
      <c r="A87230"/>
      <c r="B87230"/>
      <c r="C87230"/>
      <c r="E87230"/>
      <c r="F87230"/>
    </row>
    <row r="87231" spans="1:6" x14ac:dyDescent="0.25">
      <c r="A87231"/>
      <c r="B87231"/>
      <c r="C87231"/>
      <c r="E87231"/>
      <c r="F87231"/>
    </row>
    <row r="87232" spans="1:6" x14ac:dyDescent="0.25">
      <c r="A87232"/>
      <c r="B87232"/>
      <c r="C87232"/>
      <c r="E87232"/>
      <c r="F87232"/>
    </row>
    <row r="87233" spans="1:6" x14ac:dyDescent="0.25">
      <c r="A87233"/>
      <c r="B87233"/>
      <c r="C87233"/>
      <c r="E87233"/>
      <c r="F87233"/>
    </row>
    <row r="87234" spans="1:6" x14ac:dyDescent="0.25">
      <c r="A87234"/>
      <c r="B87234"/>
      <c r="C87234"/>
      <c r="E87234"/>
      <c r="F87234"/>
    </row>
    <row r="87235" spans="1:6" x14ac:dyDescent="0.25">
      <c r="A87235"/>
      <c r="B87235"/>
      <c r="C87235"/>
      <c r="E87235"/>
      <c r="F87235"/>
    </row>
    <row r="87236" spans="1:6" x14ac:dyDescent="0.25">
      <c r="A87236"/>
      <c r="B87236"/>
      <c r="C87236"/>
      <c r="E87236"/>
      <c r="F87236"/>
    </row>
    <row r="87237" spans="1:6" x14ac:dyDescent="0.25">
      <c r="A87237"/>
      <c r="B87237"/>
      <c r="C87237"/>
      <c r="E87237"/>
      <c r="F87237"/>
    </row>
    <row r="87238" spans="1:6" x14ac:dyDescent="0.25">
      <c r="A87238"/>
      <c r="B87238"/>
      <c r="C87238"/>
      <c r="E87238"/>
      <c r="F87238"/>
    </row>
    <row r="87239" spans="1:6" x14ac:dyDescent="0.25">
      <c r="A87239"/>
      <c r="B87239"/>
      <c r="C87239"/>
      <c r="E87239"/>
      <c r="F87239"/>
    </row>
    <row r="87240" spans="1:6" x14ac:dyDescent="0.25">
      <c r="A87240"/>
      <c r="B87240"/>
      <c r="C87240"/>
      <c r="E87240"/>
      <c r="F87240"/>
    </row>
    <row r="87241" spans="1:6" x14ac:dyDescent="0.25">
      <c r="A87241"/>
      <c r="B87241"/>
      <c r="C87241"/>
      <c r="E87241"/>
      <c r="F87241"/>
    </row>
    <row r="87242" spans="1:6" x14ac:dyDescent="0.25">
      <c r="A87242"/>
      <c r="B87242"/>
      <c r="C87242"/>
      <c r="E87242"/>
      <c r="F87242"/>
    </row>
    <row r="87243" spans="1:6" x14ac:dyDescent="0.25">
      <c r="A87243"/>
      <c r="B87243"/>
      <c r="C87243"/>
      <c r="E87243"/>
      <c r="F87243"/>
    </row>
    <row r="87244" spans="1:6" x14ac:dyDescent="0.25">
      <c r="A87244"/>
      <c r="B87244"/>
      <c r="C87244"/>
      <c r="E87244"/>
      <c r="F87244"/>
    </row>
    <row r="87245" spans="1:6" x14ac:dyDescent="0.25">
      <c r="A87245"/>
      <c r="B87245"/>
      <c r="C87245"/>
      <c r="E87245"/>
      <c r="F87245"/>
    </row>
    <row r="87246" spans="1:6" x14ac:dyDescent="0.25">
      <c r="A87246"/>
      <c r="B87246"/>
      <c r="C87246"/>
      <c r="E87246"/>
      <c r="F87246"/>
    </row>
    <row r="87247" spans="1:6" x14ac:dyDescent="0.25">
      <c r="A87247"/>
      <c r="B87247"/>
      <c r="C87247"/>
      <c r="E87247"/>
      <c r="F87247"/>
    </row>
    <row r="87248" spans="1:6" x14ac:dyDescent="0.25">
      <c r="A87248"/>
      <c r="B87248"/>
      <c r="C87248"/>
      <c r="E87248"/>
      <c r="F87248"/>
    </row>
    <row r="87249" spans="1:6" x14ac:dyDescent="0.25">
      <c r="A87249"/>
      <c r="B87249"/>
      <c r="C87249"/>
      <c r="E87249"/>
      <c r="F87249"/>
    </row>
    <row r="87250" spans="1:6" x14ac:dyDescent="0.25">
      <c r="A87250"/>
      <c r="B87250"/>
      <c r="C87250"/>
      <c r="E87250"/>
      <c r="F87250"/>
    </row>
    <row r="87251" spans="1:6" x14ac:dyDescent="0.25">
      <c r="A87251"/>
      <c r="B87251"/>
      <c r="C87251"/>
      <c r="E87251"/>
      <c r="F87251"/>
    </row>
    <row r="87252" spans="1:6" x14ac:dyDescent="0.25">
      <c r="A87252"/>
      <c r="B87252"/>
      <c r="C87252"/>
      <c r="E87252"/>
      <c r="F87252"/>
    </row>
    <row r="87253" spans="1:6" x14ac:dyDescent="0.25">
      <c r="A87253"/>
      <c r="B87253"/>
      <c r="C87253"/>
      <c r="E87253"/>
      <c r="F87253"/>
    </row>
    <row r="87254" spans="1:6" x14ac:dyDescent="0.25">
      <c r="A87254"/>
      <c r="B87254"/>
      <c r="C87254"/>
      <c r="E87254"/>
      <c r="F87254"/>
    </row>
    <row r="87255" spans="1:6" x14ac:dyDescent="0.25">
      <c r="A87255"/>
      <c r="B87255"/>
      <c r="C87255"/>
      <c r="E87255"/>
      <c r="F87255"/>
    </row>
    <row r="87256" spans="1:6" x14ac:dyDescent="0.25">
      <c r="A87256"/>
      <c r="B87256"/>
      <c r="C87256"/>
      <c r="E87256"/>
      <c r="F87256"/>
    </row>
    <row r="87257" spans="1:6" x14ac:dyDescent="0.25">
      <c r="A87257"/>
      <c r="B87257"/>
      <c r="C87257"/>
      <c r="E87257"/>
      <c r="F87257"/>
    </row>
    <row r="87258" spans="1:6" x14ac:dyDescent="0.25">
      <c r="A87258"/>
      <c r="B87258"/>
      <c r="C87258"/>
      <c r="E87258"/>
      <c r="F87258"/>
    </row>
    <row r="87259" spans="1:6" x14ac:dyDescent="0.25">
      <c r="A87259"/>
      <c r="B87259"/>
      <c r="C87259"/>
      <c r="E87259"/>
      <c r="F87259"/>
    </row>
    <row r="87260" spans="1:6" x14ac:dyDescent="0.25">
      <c r="A87260"/>
      <c r="B87260"/>
      <c r="C87260"/>
      <c r="E87260"/>
      <c r="F87260"/>
    </row>
    <row r="87261" spans="1:6" x14ac:dyDescent="0.25">
      <c r="A87261"/>
      <c r="B87261"/>
      <c r="C87261"/>
      <c r="E87261"/>
      <c r="F87261"/>
    </row>
    <row r="87262" spans="1:6" x14ac:dyDescent="0.25">
      <c r="A87262"/>
      <c r="B87262"/>
      <c r="C87262"/>
      <c r="E87262"/>
      <c r="F87262"/>
    </row>
    <row r="87263" spans="1:6" x14ac:dyDescent="0.25">
      <c r="A87263"/>
      <c r="B87263"/>
      <c r="C87263"/>
      <c r="E87263"/>
      <c r="F87263"/>
    </row>
    <row r="87264" spans="1:6" x14ac:dyDescent="0.25">
      <c r="A87264"/>
      <c r="B87264"/>
      <c r="C87264"/>
      <c r="E87264"/>
      <c r="F87264"/>
    </row>
    <row r="87265" spans="1:6" x14ac:dyDescent="0.25">
      <c r="A87265"/>
      <c r="B87265"/>
      <c r="C87265"/>
      <c r="E87265"/>
      <c r="F87265"/>
    </row>
    <row r="87266" spans="1:6" x14ac:dyDescent="0.25">
      <c r="A87266"/>
      <c r="B87266"/>
      <c r="C87266"/>
      <c r="E87266"/>
      <c r="F87266"/>
    </row>
    <row r="87267" spans="1:6" x14ac:dyDescent="0.25">
      <c r="A87267"/>
      <c r="B87267"/>
      <c r="C87267"/>
      <c r="E87267"/>
      <c r="F87267"/>
    </row>
    <row r="87268" spans="1:6" x14ac:dyDescent="0.25">
      <c r="A87268"/>
      <c r="B87268"/>
      <c r="C87268"/>
      <c r="E87268"/>
      <c r="F87268"/>
    </row>
    <row r="87269" spans="1:6" x14ac:dyDescent="0.25">
      <c r="A87269"/>
      <c r="B87269"/>
      <c r="C87269"/>
      <c r="E87269"/>
      <c r="F87269"/>
    </row>
    <row r="87270" spans="1:6" x14ac:dyDescent="0.25">
      <c r="A87270"/>
      <c r="B87270"/>
      <c r="C87270"/>
      <c r="E87270"/>
      <c r="F87270"/>
    </row>
    <row r="87271" spans="1:6" x14ac:dyDescent="0.25">
      <c r="A87271"/>
      <c r="B87271"/>
      <c r="C87271"/>
      <c r="E87271"/>
      <c r="F87271"/>
    </row>
    <row r="87272" spans="1:6" x14ac:dyDescent="0.25">
      <c r="A87272"/>
      <c r="B87272"/>
      <c r="C87272"/>
      <c r="E87272"/>
      <c r="F87272"/>
    </row>
    <row r="87273" spans="1:6" x14ac:dyDescent="0.25">
      <c r="A87273"/>
      <c r="B87273"/>
      <c r="C87273"/>
      <c r="E87273"/>
      <c r="F87273"/>
    </row>
    <row r="87274" spans="1:6" x14ac:dyDescent="0.25">
      <c r="A87274"/>
      <c r="B87274"/>
      <c r="C87274"/>
      <c r="E87274"/>
      <c r="F87274"/>
    </row>
    <row r="87275" spans="1:6" x14ac:dyDescent="0.25">
      <c r="A87275"/>
      <c r="B87275"/>
      <c r="C87275"/>
      <c r="E87275"/>
      <c r="F87275"/>
    </row>
    <row r="87276" spans="1:6" x14ac:dyDescent="0.25">
      <c r="A87276"/>
      <c r="B87276"/>
      <c r="C87276"/>
      <c r="E87276"/>
      <c r="F87276"/>
    </row>
    <row r="87277" spans="1:6" x14ac:dyDescent="0.25">
      <c r="A87277"/>
      <c r="B87277"/>
      <c r="C87277"/>
      <c r="E87277"/>
      <c r="F87277"/>
    </row>
    <row r="87278" spans="1:6" x14ac:dyDescent="0.25">
      <c r="A87278"/>
      <c r="B87278"/>
      <c r="C87278"/>
      <c r="E87278"/>
      <c r="F87278"/>
    </row>
    <row r="87279" spans="1:6" x14ac:dyDescent="0.25">
      <c r="A87279"/>
      <c r="B87279"/>
      <c r="C87279"/>
      <c r="E87279"/>
      <c r="F87279"/>
    </row>
    <row r="87280" spans="1:6" x14ac:dyDescent="0.25">
      <c r="A87280"/>
      <c r="B87280"/>
      <c r="C87280"/>
      <c r="E87280"/>
      <c r="F87280"/>
    </row>
    <row r="87281" spans="1:6" x14ac:dyDescent="0.25">
      <c r="A87281"/>
      <c r="B87281"/>
      <c r="C87281"/>
      <c r="E87281"/>
      <c r="F87281"/>
    </row>
    <row r="87282" spans="1:6" x14ac:dyDescent="0.25">
      <c r="A87282"/>
      <c r="B87282"/>
      <c r="C87282"/>
      <c r="E87282"/>
      <c r="F87282"/>
    </row>
    <row r="87283" spans="1:6" x14ac:dyDescent="0.25">
      <c r="A87283"/>
      <c r="B87283"/>
      <c r="C87283"/>
      <c r="E87283"/>
      <c r="F87283"/>
    </row>
    <row r="87284" spans="1:6" x14ac:dyDescent="0.25">
      <c r="A87284"/>
      <c r="B87284"/>
      <c r="C87284"/>
      <c r="E87284"/>
      <c r="F87284"/>
    </row>
    <row r="87285" spans="1:6" x14ac:dyDescent="0.25">
      <c r="A87285"/>
      <c r="B87285"/>
      <c r="C87285"/>
      <c r="E87285"/>
      <c r="F87285"/>
    </row>
    <row r="87286" spans="1:6" x14ac:dyDescent="0.25">
      <c r="A87286"/>
      <c r="B87286"/>
      <c r="C87286"/>
      <c r="E87286"/>
      <c r="F87286"/>
    </row>
    <row r="87287" spans="1:6" x14ac:dyDescent="0.25">
      <c r="A87287"/>
      <c r="B87287"/>
      <c r="C87287"/>
      <c r="E87287"/>
      <c r="F87287"/>
    </row>
    <row r="87288" spans="1:6" x14ac:dyDescent="0.25">
      <c r="A87288"/>
      <c r="B87288"/>
      <c r="C87288"/>
      <c r="E87288"/>
      <c r="F87288"/>
    </row>
    <row r="87289" spans="1:6" x14ac:dyDescent="0.25">
      <c r="A87289"/>
      <c r="B87289"/>
      <c r="C87289"/>
      <c r="E87289"/>
      <c r="F87289"/>
    </row>
    <row r="87290" spans="1:6" x14ac:dyDescent="0.25">
      <c r="A87290"/>
      <c r="B87290"/>
      <c r="C87290"/>
      <c r="E87290"/>
      <c r="F87290"/>
    </row>
    <row r="87291" spans="1:6" x14ac:dyDescent="0.25">
      <c r="A87291"/>
      <c r="B87291"/>
      <c r="C87291"/>
      <c r="E87291"/>
      <c r="F87291"/>
    </row>
    <row r="87292" spans="1:6" x14ac:dyDescent="0.25">
      <c r="A87292"/>
      <c r="B87292"/>
      <c r="C87292"/>
      <c r="E87292"/>
      <c r="F87292"/>
    </row>
    <row r="87293" spans="1:6" x14ac:dyDescent="0.25">
      <c r="A87293"/>
      <c r="B87293"/>
      <c r="C87293"/>
      <c r="E87293"/>
      <c r="F87293"/>
    </row>
    <row r="87294" spans="1:6" x14ac:dyDescent="0.25">
      <c r="A87294"/>
      <c r="B87294"/>
      <c r="C87294"/>
      <c r="E87294"/>
      <c r="F87294"/>
    </row>
    <row r="87295" spans="1:6" x14ac:dyDescent="0.25">
      <c r="A87295"/>
      <c r="B87295"/>
      <c r="C87295"/>
      <c r="E87295"/>
      <c r="F87295"/>
    </row>
    <row r="87296" spans="1:6" x14ac:dyDescent="0.25">
      <c r="A87296"/>
      <c r="B87296"/>
      <c r="C87296"/>
      <c r="E87296"/>
      <c r="F87296"/>
    </row>
    <row r="87297" spans="1:6" x14ac:dyDescent="0.25">
      <c r="A87297"/>
      <c r="B87297"/>
      <c r="C87297"/>
      <c r="E87297"/>
      <c r="F87297"/>
    </row>
    <row r="87298" spans="1:6" x14ac:dyDescent="0.25">
      <c r="A87298"/>
      <c r="B87298"/>
      <c r="C87298"/>
      <c r="E87298"/>
      <c r="F87298"/>
    </row>
    <row r="87299" spans="1:6" x14ac:dyDescent="0.25">
      <c r="A87299"/>
      <c r="B87299"/>
      <c r="C87299"/>
      <c r="E87299"/>
      <c r="F87299"/>
    </row>
    <row r="87300" spans="1:6" x14ac:dyDescent="0.25">
      <c r="A87300"/>
      <c r="B87300"/>
      <c r="C87300"/>
      <c r="E87300"/>
      <c r="F87300"/>
    </row>
    <row r="87301" spans="1:6" x14ac:dyDescent="0.25">
      <c r="A87301"/>
      <c r="B87301"/>
      <c r="C87301"/>
      <c r="E87301"/>
      <c r="F87301"/>
    </row>
    <row r="87302" spans="1:6" x14ac:dyDescent="0.25">
      <c r="A87302"/>
      <c r="B87302"/>
      <c r="C87302"/>
      <c r="E87302"/>
      <c r="F87302"/>
    </row>
    <row r="87303" spans="1:6" x14ac:dyDescent="0.25">
      <c r="A87303"/>
      <c r="B87303"/>
      <c r="C87303"/>
      <c r="E87303"/>
      <c r="F87303"/>
    </row>
    <row r="87304" spans="1:6" x14ac:dyDescent="0.25">
      <c r="A87304"/>
      <c r="B87304"/>
      <c r="C87304"/>
      <c r="E87304"/>
      <c r="F87304"/>
    </row>
    <row r="87305" spans="1:6" x14ac:dyDescent="0.25">
      <c r="A87305"/>
      <c r="B87305"/>
      <c r="C87305"/>
      <c r="E87305"/>
      <c r="F87305"/>
    </row>
    <row r="87306" spans="1:6" x14ac:dyDescent="0.25">
      <c r="A87306"/>
      <c r="B87306"/>
      <c r="C87306"/>
      <c r="E87306"/>
      <c r="F87306"/>
    </row>
    <row r="87307" spans="1:6" x14ac:dyDescent="0.25">
      <c r="A87307"/>
      <c r="B87307"/>
      <c r="C87307"/>
      <c r="E87307"/>
      <c r="F87307"/>
    </row>
    <row r="87308" spans="1:6" x14ac:dyDescent="0.25">
      <c r="A87308"/>
      <c r="B87308"/>
      <c r="C87308"/>
      <c r="E87308"/>
      <c r="F87308"/>
    </row>
    <row r="87309" spans="1:6" x14ac:dyDescent="0.25">
      <c r="A87309"/>
      <c r="B87309"/>
      <c r="C87309"/>
      <c r="E87309"/>
      <c r="F87309"/>
    </row>
    <row r="87310" spans="1:6" x14ac:dyDescent="0.25">
      <c r="A87310"/>
      <c r="B87310"/>
      <c r="C87310"/>
      <c r="E87310"/>
      <c r="F87310"/>
    </row>
    <row r="87311" spans="1:6" x14ac:dyDescent="0.25">
      <c r="A87311"/>
      <c r="B87311"/>
      <c r="C87311"/>
      <c r="E87311"/>
      <c r="F87311"/>
    </row>
    <row r="87312" spans="1:6" x14ac:dyDescent="0.25">
      <c r="A87312"/>
      <c r="B87312"/>
      <c r="C87312"/>
      <c r="E87312"/>
      <c r="F87312"/>
    </row>
    <row r="87313" spans="1:6" x14ac:dyDescent="0.25">
      <c r="A87313"/>
      <c r="B87313"/>
      <c r="C87313"/>
      <c r="E87313"/>
      <c r="F87313"/>
    </row>
    <row r="87314" spans="1:6" x14ac:dyDescent="0.25">
      <c r="A87314"/>
      <c r="B87314"/>
      <c r="C87314"/>
      <c r="E87314"/>
      <c r="F87314"/>
    </row>
    <row r="87315" spans="1:6" x14ac:dyDescent="0.25">
      <c r="A87315"/>
      <c r="B87315"/>
      <c r="C87315"/>
      <c r="E87315"/>
      <c r="F87315"/>
    </row>
    <row r="87316" spans="1:6" x14ac:dyDescent="0.25">
      <c r="A87316"/>
      <c r="B87316"/>
      <c r="C87316"/>
      <c r="E87316"/>
      <c r="F87316"/>
    </row>
    <row r="87317" spans="1:6" x14ac:dyDescent="0.25">
      <c r="A87317"/>
      <c r="B87317"/>
      <c r="C87317"/>
      <c r="E87317"/>
      <c r="F87317"/>
    </row>
    <row r="87318" spans="1:6" x14ac:dyDescent="0.25">
      <c r="A87318"/>
      <c r="B87318"/>
      <c r="C87318"/>
      <c r="E87318"/>
      <c r="F87318"/>
    </row>
    <row r="87319" spans="1:6" x14ac:dyDescent="0.25">
      <c r="A87319"/>
      <c r="B87319"/>
      <c r="C87319"/>
      <c r="E87319"/>
      <c r="F87319"/>
    </row>
    <row r="87320" spans="1:6" x14ac:dyDescent="0.25">
      <c r="A87320"/>
      <c r="B87320"/>
      <c r="C87320"/>
      <c r="E87320"/>
      <c r="F87320"/>
    </row>
    <row r="87321" spans="1:6" x14ac:dyDescent="0.25">
      <c r="A87321"/>
      <c r="B87321"/>
      <c r="C87321"/>
      <c r="E87321"/>
      <c r="F87321"/>
    </row>
    <row r="87322" spans="1:6" x14ac:dyDescent="0.25">
      <c r="A87322"/>
      <c r="B87322"/>
      <c r="C87322"/>
      <c r="E87322"/>
      <c r="F87322"/>
    </row>
    <row r="87323" spans="1:6" x14ac:dyDescent="0.25">
      <c r="A87323"/>
      <c r="B87323"/>
      <c r="C87323"/>
      <c r="E87323"/>
      <c r="F87323"/>
    </row>
    <row r="87324" spans="1:6" x14ac:dyDescent="0.25">
      <c r="A87324"/>
      <c r="B87324"/>
      <c r="C87324"/>
      <c r="E87324"/>
      <c r="F87324"/>
    </row>
    <row r="87325" spans="1:6" x14ac:dyDescent="0.25">
      <c r="A87325"/>
      <c r="B87325"/>
      <c r="C87325"/>
      <c r="E87325"/>
      <c r="F87325"/>
    </row>
    <row r="87326" spans="1:6" x14ac:dyDescent="0.25">
      <c r="A87326"/>
      <c r="B87326"/>
      <c r="C87326"/>
      <c r="E87326"/>
      <c r="F87326"/>
    </row>
    <row r="87327" spans="1:6" x14ac:dyDescent="0.25">
      <c r="A87327"/>
      <c r="B87327"/>
      <c r="C87327"/>
      <c r="E87327"/>
      <c r="F87327"/>
    </row>
    <row r="87328" spans="1:6" x14ac:dyDescent="0.25">
      <c r="A87328"/>
      <c r="B87328"/>
      <c r="C87328"/>
      <c r="E87328"/>
      <c r="F87328"/>
    </row>
    <row r="87329" spans="1:6" x14ac:dyDescent="0.25">
      <c r="A87329"/>
      <c r="B87329"/>
      <c r="C87329"/>
      <c r="E87329"/>
      <c r="F87329"/>
    </row>
    <row r="87330" spans="1:6" x14ac:dyDescent="0.25">
      <c r="A87330"/>
      <c r="B87330"/>
      <c r="C87330"/>
      <c r="E87330"/>
      <c r="F87330"/>
    </row>
    <row r="87331" spans="1:6" x14ac:dyDescent="0.25">
      <c r="A87331"/>
      <c r="B87331"/>
      <c r="C87331"/>
      <c r="E87331"/>
      <c r="F87331"/>
    </row>
    <row r="87332" spans="1:6" x14ac:dyDescent="0.25">
      <c r="A87332"/>
      <c r="B87332"/>
      <c r="C87332"/>
      <c r="E87332"/>
      <c r="F87332"/>
    </row>
    <row r="87333" spans="1:6" x14ac:dyDescent="0.25">
      <c r="A87333"/>
      <c r="B87333"/>
      <c r="C87333"/>
      <c r="E87333"/>
      <c r="F87333"/>
    </row>
    <row r="87334" spans="1:6" x14ac:dyDescent="0.25">
      <c r="A87334"/>
      <c r="B87334"/>
      <c r="C87334"/>
      <c r="E87334"/>
      <c r="F87334"/>
    </row>
    <row r="87335" spans="1:6" x14ac:dyDescent="0.25">
      <c r="A87335"/>
      <c r="B87335"/>
      <c r="C87335"/>
      <c r="E87335"/>
      <c r="F87335"/>
    </row>
    <row r="87336" spans="1:6" x14ac:dyDescent="0.25">
      <c r="A87336"/>
      <c r="B87336"/>
      <c r="C87336"/>
      <c r="E87336"/>
      <c r="F87336"/>
    </row>
    <row r="87337" spans="1:6" x14ac:dyDescent="0.25">
      <c r="A87337"/>
      <c r="B87337"/>
      <c r="C87337"/>
      <c r="E87337"/>
      <c r="F87337"/>
    </row>
    <row r="87338" spans="1:6" x14ac:dyDescent="0.25">
      <c r="A87338"/>
      <c r="B87338"/>
      <c r="C87338"/>
      <c r="E87338"/>
      <c r="F87338"/>
    </row>
    <row r="87339" spans="1:6" x14ac:dyDescent="0.25">
      <c r="A87339"/>
      <c r="B87339"/>
      <c r="C87339"/>
      <c r="E87339"/>
      <c r="F87339"/>
    </row>
    <row r="87340" spans="1:6" x14ac:dyDescent="0.25">
      <c r="A87340"/>
      <c r="B87340"/>
      <c r="C87340"/>
      <c r="E87340"/>
      <c r="F87340"/>
    </row>
    <row r="87341" spans="1:6" x14ac:dyDescent="0.25">
      <c r="A87341"/>
      <c r="B87341"/>
      <c r="C87341"/>
      <c r="E87341"/>
      <c r="F87341"/>
    </row>
    <row r="87342" spans="1:6" x14ac:dyDescent="0.25">
      <c r="A87342"/>
      <c r="B87342"/>
      <c r="C87342"/>
      <c r="E87342"/>
      <c r="F87342"/>
    </row>
    <row r="87343" spans="1:6" x14ac:dyDescent="0.25">
      <c r="A87343"/>
      <c r="B87343"/>
      <c r="C87343"/>
      <c r="E87343"/>
      <c r="F87343"/>
    </row>
    <row r="87344" spans="1:6" x14ac:dyDescent="0.25">
      <c r="A87344"/>
      <c r="B87344"/>
      <c r="C87344"/>
      <c r="E87344"/>
      <c r="F87344"/>
    </row>
    <row r="87345" spans="1:6" x14ac:dyDescent="0.25">
      <c r="A87345"/>
      <c r="B87345"/>
      <c r="C87345"/>
      <c r="E87345"/>
      <c r="F87345"/>
    </row>
    <row r="87346" spans="1:6" x14ac:dyDescent="0.25">
      <c r="A87346"/>
      <c r="B87346"/>
      <c r="C87346"/>
      <c r="E87346"/>
      <c r="F87346"/>
    </row>
    <row r="87347" spans="1:6" x14ac:dyDescent="0.25">
      <c r="A87347"/>
      <c r="B87347"/>
      <c r="C87347"/>
      <c r="E87347"/>
      <c r="F87347"/>
    </row>
    <row r="87348" spans="1:6" x14ac:dyDescent="0.25">
      <c r="A87348"/>
      <c r="B87348"/>
      <c r="C87348"/>
      <c r="E87348"/>
      <c r="F87348"/>
    </row>
    <row r="87349" spans="1:6" x14ac:dyDescent="0.25">
      <c r="A87349"/>
      <c r="B87349"/>
      <c r="C87349"/>
      <c r="E87349"/>
      <c r="F87349"/>
    </row>
    <row r="87350" spans="1:6" x14ac:dyDescent="0.25">
      <c r="A87350"/>
      <c r="B87350"/>
      <c r="C87350"/>
      <c r="E87350"/>
      <c r="F87350"/>
    </row>
    <row r="87351" spans="1:6" x14ac:dyDescent="0.25">
      <c r="A87351"/>
      <c r="B87351"/>
      <c r="C87351"/>
      <c r="E87351"/>
      <c r="F87351"/>
    </row>
    <row r="87352" spans="1:6" x14ac:dyDescent="0.25">
      <c r="A87352"/>
      <c r="B87352"/>
      <c r="C87352"/>
      <c r="E87352"/>
      <c r="F87352"/>
    </row>
    <row r="87353" spans="1:6" x14ac:dyDescent="0.25">
      <c r="A87353"/>
      <c r="B87353"/>
      <c r="C87353"/>
      <c r="E87353"/>
      <c r="F87353"/>
    </row>
    <row r="87354" spans="1:6" x14ac:dyDescent="0.25">
      <c r="A87354"/>
      <c r="B87354"/>
      <c r="C87354"/>
      <c r="E87354"/>
      <c r="F87354"/>
    </row>
    <row r="87355" spans="1:6" x14ac:dyDescent="0.25">
      <c r="A87355"/>
      <c r="B87355"/>
      <c r="C87355"/>
      <c r="E87355"/>
      <c r="F87355"/>
    </row>
    <row r="87356" spans="1:6" x14ac:dyDescent="0.25">
      <c r="A87356"/>
      <c r="B87356"/>
      <c r="C87356"/>
      <c r="E87356"/>
      <c r="F87356"/>
    </row>
    <row r="87357" spans="1:6" x14ac:dyDescent="0.25">
      <c r="A87357"/>
      <c r="B87357"/>
      <c r="C87357"/>
      <c r="E87357"/>
      <c r="F87357"/>
    </row>
    <row r="87358" spans="1:6" x14ac:dyDescent="0.25">
      <c r="A87358"/>
      <c r="B87358"/>
      <c r="C87358"/>
      <c r="E87358"/>
      <c r="F87358"/>
    </row>
    <row r="87359" spans="1:6" x14ac:dyDescent="0.25">
      <c r="A87359"/>
      <c r="B87359"/>
      <c r="C87359"/>
      <c r="E87359"/>
      <c r="F87359"/>
    </row>
    <row r="87360" spans="1:6" x14ac:dyDescent="0.25">
      <c r="A87360"/>
      <c r="B87360"/>
      <c r="C87360"/>
      <c r="E87360"/>
      <c r="F87360"/>
    </row>
    <row r="87361" spans="1:6" x14ac:dyDescent="0.25">
      <c r="A87361"/>
      <c r="B87361"/>
      <c r="C87361"/>
      <c r="E87361"/>
      <c r="F87361"/>
    </row>
    <row r="87362" spans="1:6" x14ac:dyDescent="0.25">
      <c r="A87362"/>
      <c r="B87362"/>
      <c r="C87362"/>
      <c r="E87362"/>
      <c r="F87362"/>
    </row>
    <row r="87363" spans="1:6" x14ac:dyDescent="0.25">
      <c r="A87363"/>
      <c r="B87363"/>
      <c r="C87363"/>
      <c r="E87363"/>
      <c r="F87363"/>
    </row>
    <row r="87364" spans="1:6" x14ac:dyDescent="0.25">
      <c r="A87364"/>
      <c r="B87364"/>
      <c r="C87364"/>
      <c r="E87364"/>
      <c r="F87364"/>
    </row>
    <row r="87365" spans="1:6" x14ac:dyDescent="0.25">
      <c r="A87365"/>
      <c r="B87365"/>
      <c r="C87365"/>
      <c r="E87365"/>
      <c r="F87365"/>
    </row>
    <row r="87366" spans="1:6" x14ac:dyDescent="0.25">
      <c r="A87366"/>
      <c r="B87366"/>
      <c r="C87366"/>
      <c r="E87366"/>
      <c r="F87366"/>
    </row>
    <row r="87367" spans="1:6" x14ac:dyDescent="0.25">
      <c r="A87367"/>
      <c r="B87367"/>
      <c r="C87367"/>
      <c r="E87367"/>
      <c r="F87367"/>
    </row>
    <row r="87368" spans="1:6" x14ac:dyDescent="0.25">
      <c r="A87368"/>
      <c r="B87368"/>
      <c r="C87368"/>
      <c r="E87368"/>
      <c r="F87368"/>
    </row>
    <row r="87369" spans="1:6" x14ac:dyDescent="0.25">
      <c r="A87369"/>
      <c r="B87369"/>
      <c r="C87369"/>
      <c r="E87369"/>
      <c r="F87369"/>
    </row>
    <row r="87370" spans="1:6" x14ac:dyDescent="0.25">
      <c r="A87370"/>
      <c r="B87370"/>
      <c r="C87370"/>
      <c r="E87370"/>
      <c r="F87370"/>
    </row>
    <row r="87371" spans="1:6" x14ac:dyDescent="0.25">
      <c r="A87371"/>
      <c r="B87371"/>
      <c r="C87371"/>
      <c r="E87371"/>
      <c r="F87371"/>
    </row>
    <row r="87372" spans="1:6" x14ac:dyDescent="0.25">
      <c r="A87372"/>
      <c r="B87372"/>
      <c r="C87372"/>
      <c r="E87372"/>
      <c r="F87372"/>
    </row>
    <row r="87373" spans="1:6" x14ac:dyDescent="0.25">
      <c r="A87373"/>
      <c r="B87373"/>
      <c r="C87373"/>
      <c r="E87373"/>
      <c r="F87373"/>
    </row>
    <row r="87374" spans="1:6" x14ac:dyDescent="0.25">
      <c r="A87374"/>
      <c r="B87374"/>
      <c r="C87374"/>
      <c r="E87374"/>
      <c r="F87374"/>
    </row>
    <row r="87375" spans="1:6" x14ac:dyDescent="0.25">
      <c r="A87375"/>
      <c r="B87375"/>
      <c r="C87375"/>
      <c r="E87375"/>
      <c r="F87375"/>
    </row>
    <row r="87376" spans="1:6" x14ac:dyDescent="0.25">
      <c r="A87376"/>
      <c r="B87376"/>
      <c r="C87376"/>
      <c r="E87376"/>
      <c r="F87376"/>
    </row>
    <row r="87377" spans="1:6" x14ac:dyDescent="0.25">
      <c r="A87377"/>
      <c r="B87377"/>
      <c r="C87377"/>
      <c r="E87377"/>
      <c r="F87377"/>
    </row>
    <row r="87378" spans="1:6" x14ac:dyDescent="0.25">
      <c r="A87378"/>
      <c r="B87378"/>
      <c r="C87378"/>
      <c r="E87378"/>
      <c r="F87378"/>
    </row>
    <row r="87379" spans="1:6" x14ac:dyDescent="0.25">
      <c r="A87379"/>
      <c r="B87379"/>
      <c r="C87379"/>
      <c r="E87379"/>
      <c r="F87379"/>
    </row>
    <row r="87380" spans="1:6" x14ac:dyDescent="0.25">
      <c r="A87380"/>
      <c r="B87380"/>
      <c r="C87380"/>
      <c r="E87380"/>
      <c r="F87380"/>
    </row>
    <row r="87381" spans="1:6" x14ac:dyDescent="0.25">
      <c r="A87381"/>
      <c r="B87381"/>
      <c r="C87381"/>
      <c r="E87381"/>
      <c r="F87381"/>
    </row>
    <row r="87382" spans="1:6" x14ac:dyDescent="0.25">
      <c r="A87382"/>
      <c r="B87382"/>
      <c r="C87382"/>
      <c r="E87382"/>
      <c r="F87382"/>
    </row>
    <row r="87383" spans="1:6" x14ac:dyDescent="0.25">
      <c r="A87383"/>
      <c r="B87383"/>
      <c r="C87383"/>
      <c r="E87383"/>
      <c r="F87383"/>
    </row>
    <row r="87384" spans="1:6" x14ac:dyDescent="0.25">
      <c r="A87384"/>
      <c r="B87384"/>
      <c r="C87384"/>
      <c r="E87384"/>
      <c r="F87384"/>
    </row>
    <row r="87385" spans="1:6" x14ac:dyDescent="0.25">
      <c r="A87385"/>
      <c r="B87385"/>
      <c r="C87385"/>
      <c r="E87385"/>
      <c r="F87385"/>
    </row>
    <row r="87386" spans="1:6" x14ac:dyDescent="0.25">
      <c r="A87386"/>
      <c r="B87386"/>
      <c r="C87386"/>
      <c r="E87386"/>
      <c r="F87386"/>
    </row>
    <row r="87387" spans="1:6" x14ac:dyDescent="0.25">
      <c r="A87387"/>
      <c r="B87387"/>
      <c r="C87387"/>
      <c r="E87387"/>
      <c r="F87387"/>
    </row>
    <row r="87388" spans="1:6" x14ac:dyDescent="0.25">
      <c r="A87388"/>
      <c r="B87388"/>
      <c r="C87388"/>
      <c r="E87388"/>
      <c r="F87388"/>
    </row>
    <row r="87389" spans="1:6" x14ac:dyDescent="0.25">
      <c r="A87389"/>
      <c r="B87389"/>
      <c r="C87389"/>
      <c r="E87389"/>
      <c r="F87389"/>
    </row>
    <row r="87390" spans="1:6" x14ac:dyDescent="0.25">
      <c r="A87390"/>
      <c r="B87390"/>
      <c r="C87390"/>
      <c r="E87390"/>
      <c r="F87390"/>
    </row>
    <row r="87391" spans="1:6" x14ac:dyDescent="0.25">
      <c r="A87391"/>
      <c r="B87391"/>
      <c r="C87391"/>
      <c r="E87391"/>
      <c r="F87391"/>
    </row>
    <row r="87392" spans="1:6" x14ac:dyDescent="0.25">
      <c r="A87392"/>
      <c r="B87392"/>
      <c r="C87392"/>
      <c r="E87392"/>
      <c r="F87392"/>
    </row>
    <row r="87393" spans="1:6" x14ac:dyDescent="0.25">
      <c r="A87393"/>
      <c r="B87393"/>
      <c r="C87393"/>
      <c r="E87393"/>
      <c r="F87393"/>
    </row>
    <row r="87394" spans="1:6" x14ac:dyDescent="0.25">
      <c r="A87394"/>
      <c r="B87394"/>
      <c r="C87394"/>
      <c r="E87394"/>
      <c r="F87394"/>
    </row>
    <row r="87395" spans="1:6" x14ac:dyDescent="0.25">
      <c r="A87395"/>
      <c r="B87395"/>
      <c r="C87395"/>
      <c r="E87395"/>
      <c r="F87395"/>
    </row>
    <row r="87396" spans="1:6" x14ac:dyDescent="0.25">
      <c r="A87396"/>
      <c r="B87396"/>
      <c r="C87396"/>
      <c r="E87396"/>
      <c r="F87396"/>
    </row>
    <row r="87397" spans="1:6" x14ac:dyDescent="0.25">
      <c r="A87397"/>
      <c r="B87397"/>
      <c r="C87397"/>
      <c r="E87397"/>
      <c r="F87397"/>
    </row>
    <row r="87398" spans="1:6" x14ac:dyDescent="0.25">
      <c r="A87398"/>
      <c r="B87398"/>
      <c r="C87398"/>
      <c r="E87398"/>
      <c r="F87398"/>
    </row>
    <row r="87399" spans="1:6" x14ac:dyDescent="0.25">
      <c r="A87399"/>
      <c r="B87399"/>
      <c r="C87399"/>
      <c r="E87399"/>
      <c r="F87399"/>
    </row>
    <row r="87400" spans="1:6" x14ac:dyDescent="0.25">
      <c r="A87400"/>
      <c r="B87400"/>
      <c r="C87400"/>
      <c r="E87400"/>
      <c r="F87400"/>
    </row>
    <row r="87401" spans="1:6" x14ac:dyDescent="0.25">
      <c r="A87401"/>
      <c r="B87401"/>
      <c r="C87401"/>
      <c r="E87401"/>
      <c r="F87401"/>
    </row>
    <row r="87402" spans="1:6" x14ac:dyDescent="0.25">
      <c r="A87402"/>
      <c r="B87402"/>
      <c r="C87402"/>
      <c r="E87402"/>
      <c r="F87402"/>
    </row>
    <row r="87403" spans="1:6" x14ac:dyDescent="0.25">
      <c r="A87403"/>
      <c r="B87403"/>
      <c r="C87403"/>
      <c r="E87403"/>
      <c r="F87403"/>
    </row>
    <row r="87404" spans="1:6" x14ac:dyDescent="0.25">
      <c r="A87404"/>
      <c r="B87404"/>
      <c r="C87404"/>
      <c r="E87404"/>
      <c r="F87404"/>
    </row>
    <row r="87405" spans="1:6" x14ac:dyDescent="0.25">
      <c r="A87405"/>
      <c r="B87405"/>
      <c r="C87405"/>
      <c r="E87405"/>
      <c r="F87405"/>
    </row>
    <row r="87406" spans="1:6" x14ac:dyDescent="0.25">
      <c r="A87406"/>
      <c r="B87406"/>
      <c r="C87406"/>
      <c r="E87406"/>
      <c r="F87406"/>
    </row>
    <row r="87407" spans="1:6" x14ac:dyDescent="0.25">
      <c r="A87407"/>
      <c r="B87407"/>
      <c r="C87407"/>
      <c r="E87407"/>
      <c r="F87407"/>
    </row>
    <row r="87408" spans="1:6" x14ac:dyDescent="0.25">
      <c r="A87408"/>
      <c r="B87408"/>
      <c r="C87408"/>
      <c r="E87408"/>
      <c r="F87408"/>
    </row>
    <row r="87409" spans="1:6" x14ac:dyDescent="0.25">
      <c r="A87409"/>
      <c r="B87409"/>
      <c r="C87409"/>
      <c r="E87409"/>
      <c r="F87409"/>
    </row>
    <row r="87410" spans="1:6" x14ac:dyDescent="0.25">
      <c r="A87410"/>
      <c r="B87410"/>
      <c r="C87410"/>
      <c r="E87410"/>
      <c r="F87410"/>
    </row>
    <row r="87411" spans="1:6" x14ac:dyDescent="0.25">
      <c r="A87411"/>
      <c r="B87411"/>
      <c r="C87411"/>
      <c r="E87411"/>
      <c r="F87411"/>
    </row>
    <row r="87412" spans="1:6" x14ac:dyDescent="0.25">
      <c r="A87412"/>
      <c r="B87412"/>
      <c r="C87412"/>
      <c r="E87412"/>
      <c r="F87412"/>
    </row>
    <row r="87413" spans="1:6" x14ac:dyDescent="0.25">
      <c r="A87413"/>
      <c r="B87413"/>
      <c r="C87413"/>
      <c r="E87413"/>
      <c r="F87413"/>
    </row>
    <row r="87414" spans="1:6" x14ac:dyDescent="0.25">
      <c r="A87414"/>
      <c r="B87414"/>
      <c r="C87414"/>
      <c r="E87414"/>
      <c r="F87414"/>
    </row>
    <row r="87415" spans="1:6" x14ac:dyDescent="0.25">
      <c r="A87415"/>
      <c r="B87415"/>
      <c r="C87415"/>
      <c r="E87415"/>
      <c r="F87415"/>
    </row>
    <row r="87416" spans="1:6" x14ac:dyDescent="0.25">
      <c r="A87416"/>
      <c r="B87416"/>
      <c r="C87416"/>
      <c r="E87416"/>
      <c r="F87416"/>
    </row>
    <row r="87417" spans="1:6" x14ac:dyDescent="0.25">
      <c r="A87417"/>
      <c r="B87417"/>
      <c r="C87417"/>
      <c r="E87417"/>
      <c r="F87417"/>
    </row>
    <row r="87418" spans="1:6" x14ac:dyDescent="0.25">
      <c r="A87418"/>
      <c r="B87418"/>
      <c r="C87418"/>
      <c r="E87418"/>
      <c r="F87418"/>
    </row>
    <row r="87419" spans="1:6" x14ac:dyDescent="0.25">
      <c r="A87419"/>
      <c r="B87419"/>
      <c r="C87419"/>
      <c r="E87419"/>
      <c r="F87419"/>
    </row>
    <row r="87420" spans="1:6" x14ac:dyDescent="0.25">
      <c r="A87420"/>
      <c r="B87420"/>
      <c r="C87420"/>
      <c r="E87420"/>
      <c r="F87420"/>
    </row>
    <row r="87421" spans="1:6" x14ac:dyDescent="0.25">
      <c r="A87421"/>
      <c r="B87421"/>
      <c r="C87421"/>
      <c r="E87421"/>
      <c r="F87421"/>
    </row>
    <row r="87422" spans="1:6" x14ac:dyDescent="0.25">
      <c r="A87422"/>
      <c r="B87422"/>
      <c r="C87422"/>
      <c r="E87422"/>
      <c r="F87422"/>
    </row>
    <row r="87423" spans="1:6" x14ac:dyDescent="0.25">
      <c r="A87423"/>
      <c r="B87423"/>
      <c r="C87423"/>
      <c r="E87423"/>
      <c r="F87423"/>
    </row>
    <row r="87424" spans="1:6" x14ac:dyDescent="0.25">
      <c r="A87424"/>
      <c r="B87424"/>
      <c r="C87424"/>
      <c r="E87424"/>
      <c r="F87424"/>
    </row>
    <row r="87425" spans="1:6" x14ac:dyDescent="0.25">
      <c r="A87425"/>
      <c r="B87425"/>
      <c r="C87425"/>
      <c r="E87425"/>
      <c r="F87425"/>
    </row>
    <row r="87426" spans="1:6" x14ac:dyDescent="0.25">
      <c r="A87426"/>
      <c r="B87426"/>
      <c r="C87426"/>
      <c r="E87426"/>
      <c r="F87426"/>
    </row>
    <row r="87427" spans="1:6" x14ac:dyDescent="0.25">
      <c r="A87427"/>
      <c r="B87427"/>
      <c r="C87427"/>
      <c r="E87427"/>
      <c r="F87427"/>
    </row>
    <row r="87428" spans="1:6" x14ac:dyDescent="0.25">
      <c r="A87428"/>
      <c r="B87428"/>
      <c r="C87428"/>
      <c r="E87428"/>
      <c r="F87428"/>
    </row>
    <row r="87429" spans="1:6" x14ac:dyDescent="0.25">
      <c r="A87429"/>
      <c r="B87429"/>
      <c r="C87429"/>
      <c r="E87429"/>
      <c r="F87429"/>
    </row>
    <row r="87430" spans="1:6" x14ac:dyDescent="0.25">
      <c r="A87430"/>
      <c r="B87430"/>
      <c r="C87430"/>
      <c r="E87430"/>
      <c r="F87430"/>
    </row>
    <row r="87431" spans="1:6" x14ac:dyDescent="0.25">
      <c r="A87431"/>
      <c r="B87431"/>
      <c r="C87431"/>
      <c r="E87431"/>
      <c r="F87431"/>
    </row>
    <row r="87432" spans="1:6" x14ac:dyDescent="0.25">
      <c r="A87432"/>
      <c r="B87432"/>
      <c r="C87432"/>
      <c r="E87432"/>
      <c r="F87432"/>
    </row>
    <row r="87433" spans="1:6" x14ac:dyDescent="0.25">
      <c r="A87433"/>
      <c r="B87433"/>
      <c r="C87433"/>
      <c r="E87433"/>
      <c r="F87433"/>
    </row>
    <row r="87434" spans="1:6" x14ac:dyDescent="0.25">
      <c r="A87434"/>
      <c r="B87434"/>
      <c r="C87434"/>
      <c r="E87434"/>
      <c r="F87434"/>
    </row>
    <row r="87435" spans="1:6" x14ac:dyDescent="0.25">
      <c r="A87435"/>
      <c r="B87435"/>
      <c r="C87435"/>
      <c r="E87435"/>
      <c r="F87435"/>
    </row>
    <row r="87436" spans="1:6" x14ac:dyDescent="0.25">
      <c r="A87436"/>
      <c r="B87436"/>
      <c r="C87436"/>
      <c r="E87436"/>
      <c r="F87436"/>
    </row>
    <row r="87437" spans="1:6" x14ac:dyDescent="0.25">
      <c r="A87437"/>
      <c r="B87437"/>
      <c r="C87437"/>
      <c r="E87437"/>
      <c r="F87437"/>
    </row>
    <row r="87438" spans="1:6" x14ac:dyDescent="0.25">
      <c r="A87438"/>
      <c r="B87438"/>
      <c r="C87438"/>
      <c r="E87438"/>
      <c r="F87438"/>
    </row>
    <row r="87439" spans="1:6" x14ac:dyDescent="0.25">
      <c r="A87439"/>
      <c r="B87439"/>
      <c r="C87439"/>
      <c r="E87439"/>
      <c r="F87439"/>
    </row>
    <row r="87440" spans="1:6" x14ac:dyDescent="0.25">
      <c r="A87440"/>
      <c r="B87440"/>
      <c r="C87440"/>
      <c r="E87440"/>
      <c r="F87440"/>
    </row>
    <row r="87441" spans="1:6" x14ac:dyDescent="0.25">
      <c r="A87441"/>
      <c r="B87441"/>
      <c r="C87441"/>
      <c r="E87441"/>
      <c r="F87441"/>
    </row>
    <row r="87442" spans="1:6" x14ac:dyDescent="0.25">
      <c r="A87442"/>
      <c r="B87442"/>
      <c r="C87442"/>
      <c r="E87442"/>
      <c r="F87442"/>
    </row>
    <row r="87443" spans="1:6" x14ac:dyDescent="0.25">
      <c r="A87443"/>
      <c r="B87443"/>
      <c r="C87443"/>
      <c r="E87443"/>
      <c r="F87443"/>
    </row>
    <row r="87444" spans="1:6" x14ac:dyDescent="0.25">
      <c r="A87444"/>
      <c r="B87444"/>
      <c r="C87444"/>
      <c r="E87444"/>
      <c r="F87444"/>
    </row>
    <row r="87445" spans="1:6" x14ac:dyDescent="0.25">
      <c r="A87445"/>
      <c r="B87445"/>
      <c r="C87445"/>
      <c r="E87445"/>
      <c r="F87445"/>
    </row>
    <row r="87446" spans="1:6" x14ac:dyDescent="0.25">
      <c r="A87446"/>
      <c r="B87446"/>
      <c r="C87446"/>
      <c r="E87446"/>
      <c r="F87446"/>
    </row>
    <row r="87447" spans="1:6" x14ac:dyDescent="0.25">
      <c r="A87447"/>
      <c r="B87447"/>
      <c r="C87447"/>
      <c r="E87447"/>
      <c r="F87447"/>
    </row>
    <row r="87448" spans="1:6" x14ac:dyDescent="0.25">
      <c r="A87448"/>
      <c r="B87448"/>
      <c r="C87448"/>
      <c r="E87448"/>
      <c r="F87448"/>
    </row>
    <row r="87449" spans="1:6" x14ac:dyDescent="0.25">
      <c r="A87449"/>
      <c r="B87449"/>
      <c r="C87449"/>
      <c r="E87449"/>
      <c r="F87449"/>
    </row>
    <row r="87450" spans="1:6" x14ac:dyDescent="0.25">
      <c r="A87450"/>
      <c r="B87450"/>
      <c r="C87450"/>
      <c r="E87450"/>
      <c r="F87450"/>
    </row>
    <row r="87451" spans="1:6" x14ac:dyDescent="0.25">
      <c r="A87451"/>
      <c r="B87451"/>
      <c r="C87451"/>
      <c r="E87451"/>
      <c r="F87451"/>
    </row>
    <row r="87452" spans="1:6" x14ac:dyDescent="0.25">
      <c r="A87452"/>
      <c r="B87452"/>
      <c r="C87452"/>
      <c r="E87452"/>
      <c r="F87452"/>
    </row>
    <row r="87453" spans="1:6" x14ac:dyDescent="0.25">
      <c r="A87453"/>
      <c r="B87453"/>
      <c r="C87453"/>
      <c r="E87453"/>
      <c r="F87453"/>
    </row>
    <row r="87454" spans="1:6" x14ac:dyDescent="0.25">
      <c r="A87454"/>
      <c r="B87454"/>
      <c r="C87454"/>
      <c r="E87454"/>
      <c r="F87454"/>
    </row>
    <row r="87455" spans="1:6" x14ac:dyDescent="0.25">
      <c r="A87455"/>
      <c r="B87455"/>
      <c r="C87455"/>
      <c r="E87455"/>
      <c r="F87455"/>
    </row>
    <row r="87456" spans="1:6" x14ac:dyDescent="0.25">
      <c r="A87456"/>
      <c r="B87456"/>
      <c r="C87456"/>
      <c r="E87456"/>
      <c r="F87456"/>
    </row>
    <row r="87457" spans="1:6" x14ac:dyDescent="0.25">
      <c r="A87457"/>
      <c r="B87457"/>
      <c r="C87457"/>
      <c r="E87457"/>
      <c r="F87457"/>
    </row>
    <row r="87458" spans="1:6" x14ac:dyDescent="0.25">
      <c r="A87458"/>
      <c r="B87458"/>
      <c r="C87458"/>
      <c r="E87458"/>
      <c r="F87458"/>
    </row>
    <row r="87459" spans="1:6" x14ac:dyDescent="0.25">
      <c r="A87459"/>
      <c r="B87459"/>
      <c r="C87459"/>
      <c r="E87459"/>
      <c r="F87459"/>
    </row>
    <row r="87460" spans="1:6" x14ac:dyDescent="0.25">
      <c r="A87460"/>
      <c r="B87460"/>
      <c r="C87460"/>
      <c r="E87460"/>
      <c r="F87460"/>
    </row>
    <row r="87461" spans="1:6" x14ac:dyDescent="0.25">
      <c r="A87461"/>
      <c r="B87461"/>
      <c r="C87461"/>
      <c r="E87461"/>
      <c r="F87461"/>
    </row>
    <row r="87462" spans="1:6" x14ac:dyDescent="0.25">
      <c r="A87462"/>
      <c r="B87462"/>
      <c r="C87462"/>
      <c r="E87462"/>
      <c r="F87462"/>
    </row>
    <row r="87463" spans="1:6" x14ac:dyDescent="0.25">
      <c r="A87463"/>
      <c r="B87463"/>
      <c r="C87463"/>
      <c r="E87463"/>
      <c r="F87463"/>
    </row>
    <row r="87464" spans="1:6" x14ac:dyDescent="0.25">
      <c r="A87464"/>
      <c r="B87464"/>
      <c r="C87464"/>
      <c r="E87464"/>
      <c r="F87464"/>
    </row>
    <row r="87465" spans="1:6" x14ac:dyDescent="0.25">
      <c r="A87465"/>
      <c r="B87465"/>
      <c r="C87465"/>
      <c r="E87465"/>
      <c r="F87465"/>
    </row>
    <row r="87466" spans="1:6" x14ac:dyDescent="0.25">
      <c r="A87466"/>
      <c r="B87466"/>
      <c r="C87466"/>
      <c r="E87466"/>
      <c r="F87466"/>
    </row>
    <row r="87467" spans="1:6" x14ac:dyDescent="0.25">
      <c r="A87467"/>
      <c r="B87467"/>
      <c r="C87467"/>
      <c r="E87467"/>
      <c r="F87467"/>
    </row>
    <row r="87468" spans="1:6" x14ac:dyDescent="0.25">
      <c r="A87468"/>
      <c r="B87468"/>
      <c r="C87468"/>
      <c r="E87468"/>
      <c r="F87468"/>
    </row>
    <row r="87469" spans="1:6" x14ac:dyDescent="0.25">
      <c r="A87469"/>
      <c r="B87469"/>
      <c r="C87469"/>
      <c r="E87469"/>
      <c r="F87469"/>
    </row>
    <row r="87470" spans="1:6" x14ac:dyDescent="0.25">
      <c r="A87470"/>
      <c r="B87470"/>
      <c r="C87470"/>
      <c r="E87470"/>
      <c r="F87470"/>
    </row>
    <row r="87471" spans="1:6" x14ac:dyDescent="0.25">
      <c r="A87471"/>
      <c r="B87471"/>
      <c r="C87471"/>
      <c r="E87471"/>
      <c r="F87471"/>
    </row>
    <row r="87472" spans="1:6" x14ac:dyDescent="0.25">
      <c r="A87472"/>
      <c r="B87472"/>
      <c r="C87472"/>
      <c r="E87472"/>
      <c r="F87472"/>
    </row>
    <row r="87473" spans="1:6" x14ac:dyDescent="0.25">
      <c r="A87473"/>
      <c r="B87473"/>
      <c r="C87473"/>
      <c r="E87473"/>
      <c r="F87473"/>
    </row>
    <row r="87474" spans="1:6" x14ac:dyDescent="0.25">
      <c r="A87474"/>
      <c r="B87474"/>
      <c r="C87474"/>
      <c r="E87474"/>
      <c r="F87474"/>
    </row>
    <row r="87475" spans="1:6" x14ac:dyDescent="0.25">
      <c r="A87475"/>
      <c r="B87475"/>
      <c r="C87475"/>
      <c r="E87475"/>
      <c r="F87475"/>
    </row>
    <row r="87476" spans="1:6" x14ac:dyDescent="0.25">
      <c r="A87476"/>
      <c r="B87476"/>
      <c r="C87476"/>
      <c r="E87476"/>
      <c r="F87476"/>
    </row>
    <row r="87477" spans="1:6" x14ac:dyDescent="0.25">
      <c r="A87477"/>
      <c r="B87477"/>
      <c r="C87477"/>
      <c r="E87477"/>
      <c r="F87477"/>
    </row>
    <row r="87478" spans="1:6" x14ac:dyDescent="0.25">
      <c r="A87478"/>
      <c r="B87478"/>
      <c r="C87478"/>
      <c r="E87478"/>
      <c r="F87478"/>
    </row>
    <row r="87479" spans="1:6" x14ac:dyDescent="0.25">
      <c r="A87479"/>
      <c r="B87479"/>
      <c r="C87479"/>
      <c r="E87479"/>
      <c r="F87479"/>
    </row>
    <row r="87480" spans="1:6" x14ac:dyDescent="0.25">
      <c r="A87480"/>
      <c r="B87480"/>
      <c r="C87480"/>
      <c r="E87480"/>
      <c r="F87480"/>
    </row>
    <row r="87481" spans="1:6" x14ac:dyDescent="0.25">
      <c r="A87481"/>
      <c r="B87481"/>
      <c r="C87481"/>
      <c r="E87481"/>
      <c r="F87481"/>
    </row>
    <row r="87482" spans="1:6" x14ac:dyDescent="0.25">
      <c r="A87482"/>
      <c r="B87482"/>
      <c r="C87482"/>
      <c r="E87482"/>
      <c r="F87482"/>
    </row>
    <row r="87483" spans="1:6" x14ac:dyDescent="0.25">
      <c r="A87483"/>
      <c r="B87483"/>
      <c r="C87483"/>
      <c r="E87483"/>
      <c r="F87483"/>
    </row>
    <row r="87484" spans="1:6" x14ac:dyDescent="0.25">
      <c r="A87484"/>
      <c r="B87484"/>
      <c r="C87484"/>
      <c r="E87484"/>
      <c r="F87484"/>
    </row>
    <row r="87485" spans="1:6" x14ac:dyDescent="0.25">
      <c r="A87485"/>
      <c r="B87485"/>
      <c r="C87485"/>
      <c r="E87485"/>
      <c r="F87485"/>
    </row>
    <row r="87486" spans="1:6" x14ac:dyDescent="0.25">
      <c r="A87486"/>
      <c r="B87486"/>
      <c r="C87486"/>
      <c r="E87486"/>
      <c r="F87486"/>
    </row>
    <row r="87487" spans="1:6" x14ac:dyDescent="0.25">
      <c r="A87487"/>
      <c r="B87487"/>
      <c r="C87487"/>
      <c r="E87487"/>
      <c r="F87487"/>
    </row>
    <row r="87488" spans="1:6" x14ac:dyDescent="0.25">
      <c r="A87488"/>
      <c r="B87488"/>
      <c r="C87488"/>
      <c r="E87488"/>
      <c r="F87488"/>
    </row>
    <row r="87489" spans="1:6" x14ac:dyDescent="0.25">
      <c r="A87489"/>
      <c r="B87489"/>
      <c r="C87489"/>
      <c r="E87489"/>
      <c r="F87489"/>
    </row>
    <row r="87490" spans="1:6" x14ac:dyDescent="0.25">
      <c r="A87490"/>
      <c r="B87490"/>
      <c r="C87490"/>
      <c r="E87490"/>
      <c r="F87490"/>
    </row>
    <row r="87491" spans="1:6" x14ac:dyDescent="0.25">
      <c r="A87491"/>
      <c r="B87491"/>
      <c r="C87491"/>
      <c r="E87491"/>
      <c r="F87491"/>
    </row>
    <row r="87492" spans="1:6" x14ac:dyDescent="0.25">
      <c r="A87492"/>
      <c r="B87492"/>
      <c r="C87492"/>
      <c r="E87492"/>
      <c r="F87492"/>
    </row>
    <row r="87493" spans="1:6" x14ac:dyDescent="0.25">
      <c r="A87493"/>
      <c r="B87493"/>
      <c r="C87493"/>
      <c r="E87493"/>
      <c r="F87493"/>
    </row>
    <row r="87494" spans="1:6" x14ac:dyDescent="0.25">
      <c r="A87494"/>
      <c r="B87494"/>
      <c r="C87494"/>
      <c r="E87494"/>
      <c r="F87494"/>
    </row>
    <row r="87495" spans="1:6" x14ac:dyDescent="0.25">
      <c r="A87495"/>
      <c r="B87495"/>
      <c r="C87495"/>
      <c r="E87495"/>
      <c r="F87495"/>
    </row>
    <row r="87496" spans="1:6" x14ac:dyDescent="0.25">
      <c r="A87496"/>
      <c r="B87496"/>
      <c r="C87496"/>
      <c r="E87496"/>
      <c r="F87496"/>
    </row>
    <row r="87497" spans="1:6" x14ac:dyDescent="0.25">
      <c r="A87497"/>
      <c r="B87497"/>
      <c r="C87497"/>
      <c r="E87497"/>
      <c r="F87497"/>
    </row>
    <row r="87498" spans="1:6" x14ac:dyDescent="0.25">
      <c r="A87498"/>
      <c r="B87498"/>
      <c r="C87498"/>
      <c r="E87498"/>
      <c r="F87498"/>
    </row>
    <row r="87499" spans="1:6" x14ac:dyDescent="0.25">
      <c r="A87499"/>
      <c r="B87499"/>
      <c r="C87499"/>
      <c r="E87499"/>
      <c r="F87499"/>
    </row>
    <row r="87500" spans="1:6" x14ac:dyDescent="0.25">
      <c r="A87500"/>
      <c r="B87500"/>
      <c r="C87500"/>
      <c r="E87500"/>
      <c r="F87500"/>
    </row>
    <row r="87501" spans="1:6" x14ac:dyDescent="0.25">
      <c r="A87501"/>
      <c r="B87501"/>
      <c r="C87501"/>
      <c r="E87501"/>
      <c r="F87501"/>
    </row>
    <row r="87502" spans="1:6" x14ac:dyDescent="0.25">
      <c r="A87502"/>
      <c r="B87502"/>
      <c r="C87502"/>
      <c r="E87502"/>
      <c r="F87502"/>
    </row>
    <row r="87503" spans="1:6" x14ac:dyDescent="0.25">
      <c r="A87503"/>
      <c r="B87503"/>
      <c r="C87503"/>
      <c r="E87503"/>
      <c r="F87503"/>
    </row>
    <row r="87504" spans="1:6" x14ac:dyDescent="0.25">
      <c r="A87504"/>
      <c r="B87504"/>
      <c r="C87504"/>
      <c r="E87504"/>
      <c r="F87504"/>
    </row>
    <row r="87505" spans="1:6" x14ac:dyDescent="0.25">
      <c r="A87505"/>
      <c r="B87505"/>
      <c r="C87505"/>
      <c r="E87505"/>
      <c r="F87505"/>
    </row>
    <row r="87506" spans="1:6" x14ac:dyDescent="0.25">
      <c r="A87506"/>
      <c r="B87506"/>
      <c r="C87506"/>
      <c r="E87506"/>
      <c r="F87506"/>
    </row>
    <row r="87507" spans="1:6" x14ac:dyDescent="0.25">
      <c r="A87507"/>
      <c r="B87507"/>
      <c r="C87507"/>
      <c r="E87507"/>
      <c r="F87507"/>
    </row>
    <row r="87508" spans="1:6" x14ac:dyDescent="0.25">
      <c r="A87508"/>
      <c r="B87508"/>
      <c r="C87508"/>
      <c r="E87508"/>
      <c r="F87508"/>
    </row>
    <row r="87509" spans="1:6" x14ac:dyDescent="0.25">
      <c r="A87509"/>
      <c r="B87509"/>
      <c r="C87509"/>
      <c r="E87509"/>
      <c r="F87509"/>
    </row>
    <row r="87510" spans="1:6" x14ac:dyDescent="0.25">
      <c r="A87510"/>
      <c r="B87510"/>
      <c r="C87510"/>
      <c r="E87510"/>
      <c r="F87510"/>
    </row>
    <row r="87511" spans="1:6" x14ac:dyDescent="0.25">
      <c r="A87511"/>
      <c r="B87511"/>
      <c r="C87511"/>
      <c r="E87511"/>
      <c r="F87511"/>
    </row>
    <row r="87512" spans="1:6" x14ac:dyDescent="0.25">
      <c r="A87512"/>
      <c r="B87512"/>
      <c r="C87512"/>
      <c r="E87512"/>
      <c r="F87512"/>
    </row>
    <row r="87513" spans="1:6" x14ac:dyDescent="0.25">
      <c r="A87513"/>
      <c r="B87513"/>
      <c r="C87513"/>
      <c r="E87513"/>
      <c r="F87513"/>
    </row>
    <row r="87514" spans="1:6" x14ac:dyDescent="0.25">
      <c r="A87514"/>
      <c r="B87514"/>
      <c r="C87514"/>
      <c r="E87514"/>
      <c r="F87514"/>
    </row>
    <row r="87515" spans="1:6" x14ac:dyDescent="0.25">
      <c r="A87515"/>
      <c r="B87515"/>
      <c r="C87515"/>
      <c r="E87515"/>
      <c r="F87515"/>
    </row>
    <row r="87516" spans="1:6" x14ac:dyDescent="0.25">
      <c r="A87516"/>
      <c r="B87516"/>
      <c r="C87516"/>
      <c r="E87516"/>
      <c r="F87516"/>
    </row>
    <row r="87517" spans="1:6" x14ac:dyDescent="0.25">
      <c r="A87517"/>
      <c r="B87517"/>
      <c r="C87517"/>
      <c r="E87517"/>
      <c r="F87517"/>
    </row>
    <row r="87518" spans="1:6" x14ac:dyDescent="0.25">
      <c r="A87518"/>
      <c r="B87518"/>
      <c r="C87518"/>
      <c r="E87518"/>
      <c r="F87518"/>
    </row>
    <row r="87519" spans="1:6" x14ac:dyDescent="0.25">
      <c r="A87519"/>
      <c r="B87519"/>
      <c r="C87519"/>
      <c r="E87519"/>
      <c r="F87519"/>
    </row>
    <row r="87520" spans="1:6" x14ac:dyDescent="0.25">
      <c r="A87520"/>
      <c r="B87520"/>
      <c r="C87520"/>
      <c r="E87520"/>
      <c r="F87520"/>
    </row>
    <row r="87521" spans="1:6" x14ac:dyDescent="0.25">
      <c r="A87521"/>
      <c r="B87521"/>
      <c r="C87521"/>
      <c r="E87521"/>
      <c r="F87521"/>
    </row>
    <row r="87522" spans="1:6" x14ac:dyDescent="0.25">
      <c r="A87522"/>
      <c r="B87522"/>
      <c r="C87522"/>
      <c r="E87522"/>
      <c r="F87522"/>
    </row>
    <row r="87523" spans="1:6" x14ac:dyDescent="0.25">
      <c r="A87523"/>
      <c r="B87523"/>
      <c r="C87523"/>
      <c r="E87523"/>
      <c r="F87523"/>
    </row>
    <row r="87524" spans="1:6" x14ac:dyDescent="0.25">
      <c r="A87524"/>
      <c r="B87524"/>
      <c r="C87524"/>
      <c r="E87524"/>
      <c r="F87524"/>
    </row>
    <row r="87525" spans="1:6" x14ac:dyDescent="0.25">
      <c r="A87525"/>
      <c r="B87525"/>
      <c r="C87525"/>
      <c r="E87525"/>
      <c r="F87525"/>
    </row>
    <row r="87526" spans="1:6" x14ac:dyDescent="0.25">
      <c r="A87526"/>
      <c r="B87526"/>
      <c r="C87526"/>
      <c r="E87526"/>
      <c r="F87526"/>
    </row>
    <row r="87527" spans="1:6" x14ac:dyDescent="0.25">
      <c r="A87527"/>
      <c r="B87527"/>
      <c r="C87527"/>
      <c r="E87527"/>
      <c r="F87527"/>
    </row>
    <row r="87528" spans="1:6" x14ac:dyDescent="0.25">
      <c r="A87528"/>
      <c r="B87528"/>
      <c r="C87528"/>
      <c r="E87528"/>
      <c r="F87528"/>
    </row>
    <row r="87529" spans="1:6" x14ac:dyDescent="0.25">
      <c r="A87529"/>
      <c r="B87529"/>
      <c r="C87529"/>
      <c r="E87529"/>
      <c r="F87529"/>
    </row>
    <row r="87530" spans="1:6" x14ac:dyDescent="0.25">
      <c r="A87530"/>
      <c r="B87530"/>
      <c r="C87530"/>
      <c r="E87530"/>
      <c r="F87530"/>
    </row>
    <row r="87531" spans="1:6" x14ac:dyDescent="0.25">
      <c r="A87531"/>
      <c r="B87531"/>
      <c r="C87531"/>
      <c r="E87531"/>
      <c r="F87531"/>
    </row>
    <row r="87532" spans="1:6" x14ac:dyDescent="0.25">
      <c r="A87532"/>
      <c r="B87532"/>
      <c r="C87532"/>
      <c r="E87532"/>
      <c r="F87532"/>
    </row>
    <row r="87533" spans="1:6" x14ac:dyDescent="0.25">
      <c r="A87533"/>
      <c r="B87533"/>
      <c r="C87533"/>
      <c r="E87533"/>
      <c r="F87533"/>
    </row>
    <row r="87534" spans="1:6" x14ac:dyDescent="0.25">
      <c r="A87534"/>
      <c r="B87534"/>
      <c r="C87534"/>
      <c r="E87534"/>
      <c r="F87534"/>
    </row>
    <row r="87535" spans="1:6" x14ac:dyDescent="0.25">
      <c r="A87535"/>
      <c r="B87535"/>
      <c r="C87535"/>
      <c r="E87535"/>
      <c r="F87535"/>
    </row>
    <row r="87536" spans="1:6" x14ac:dyDescent="0.25">
      <c r="A87536"/>
      <c r="B87536"/>
      <c r="C87536"/>
      <c r="E87536"/>
      <c r="F87536"/>
    </row>
    <row r="87537" spans="1:6" x14ac:dyDescent="0.25">
      <c r="A87537"/>
      <c r="B87537"/>
      <c r="C87537"/>
      <c r="E87537"/>
      <c r="F87537"/>
    </row>
    <row r="87538" spans="1:6" x14ac:dyDescent="0.25">
      <c r="A87538"/>
      <c r="B87538"/>
      <c r="C87538"/>
      <c r="E87538"/>
      <c r="F87538"/>
    </row>
    <row r="87539" spans="1:6" x14ac:dyDescent="0.25">
      <c r="A87539"/>
      <c r="B87539"/>
      <c r="C87539"/>
      <c r="E87539"/>
      <c r="F87539"/>
    </row>
    <row r="87540" spans="1:6" x14ac:dyDescent="0.25">
      <c r="A87540"/>
      <c r="B87540"/>
      <c r="C87540"/>
      <c r="E87540"/>
      <c r="F87540"/>
    </row>
    <row r="87541" spans="1:6" x14ac:dyDescent="0.25">
      <c r="A87541"/>
      <c r="B87541"/>
      <c r="C87541"/>
      <c r="E87541"/>
      <c r="F87541"/>
    </row>
    <row r="87542" spans="1:6" x14ac:dyDescent="0.25">
      <c r="A87542"/>
      <c r="B87542"/>
      <c r="C87542"/>
      <c r="E87542"/>
      <c r="F87542"/>
    </row>
    <row r="87543" spans="1:6" x14ac:dyDescent="0.25">
      <c r="A87543"/>
      <c r="B87543"/>
      <c r="C87543"/>
      <c r="E87543"/>
      <c r="F87543"/>
    </row>
    <row r="87544" spans="1:6" x14ac:dyDescent="0.25">
      <c r="A87544"/>
      <c r="B87544"/>
      <c r="C87544"/>
      <c r="E87544"/>
      <c r="F87544"/>
    </row>
    <row r="87545" spans="1:6" x14ac:dyDescent="0.25">
      <c r="A87545"/>
      <c r="B87545"/>
      <c r="C87545"/>
      <c r="E87545"/>
      <c r="F87545"/>
    </row>
    <row r="87546" spans="1:6" x14ac:dyDescent="0.25">
      <c r="A87546"/>
      <c r="B87546"/>
      <c r="C87546"/>
      <c r="E87546"/>
      <c r="F87546"/>
    </row>
    <row r="87547" spans="1:6" x14ac:dyDescent="0.25">
      <c r="A87547"/>
      <c r="B87547"/>
      <c r="C87547"/>
      <c r="E87547"/>
      <c r="F87547"/>
    </row>
    <row r="87548" spans="1:6" x14ac:dyDescent="0.25">
      <c r="A87548"/>
      <c r="B87548"/>
      <c r="C87548"/>
      <c r="E87548"/>
      <c r="F87548"/>
    </row>
    <row r="87549" spans="1:6" x14ac:dyDescent="0.25">
      <c r="A87549"/>
      <c r="B87549"/>
      <c r="C87549"/>
      <c r="E87549"/>
      <c r="F87549"/>
    </row>
    <row r="87550" spans="1:6" x14ac:dyDescent="0.25">
      <c r="A87550"/>
      <c r="B87550"/>
      <c r="C87550"/>
      <c r="E87550"/>
      <c r="F87550"/>
    </row>
    <row r="87551" spans="1:6" x14ac:dyDescent="0.25">
      <c r="A87551"/>
      <c r="B87551"/>
      <c r="C87551"/>
      <c r="E87551"/>
      <c r="F87551"/>
    </row>
    <row r="87552" spans="1:6" x14ac:dyDescent="0.25">
      <c r="A87552"/>
      <c r="B87552"/>
      <c r="C87552"/>
      <c r="E87552"/>
      <c r="F87552"/>
    </row>
    <row r="87553" spans="1:6" x14ac:dyDescent="0.25">
      <c r="A87553"/>
      <c r="B87553"/>
      <c r="C87553"/>
      <c r="E87553"/>
      <c r="F87553"/>
    </row>
    <row r="87554" spans="1:6" x14ac:dyDescent="0.25">
      <c r="A87554"/>
      <c r="B87554"/>
      <c r="C87554"/>
      <c r="E87554"/>
      <c r="F87554"/>
    </row>
    <row r="87555" spans="1:6" x14ac:dyDescent="0.25">
      <c r="A87555"/>
      <c r="B87555"/>
      <c r="C87555"/>
      <c r="E87555"/>
      <c r="F87555"/>
    </row>
    <row r="87556" spans="1:6" x14ac:dyDescent="0.25">
      <c r="A87556"/>
      <c r="B87556"/>
      <c r="C87556"/>
      <c r="E87556"/>
      <c r="F87556"/>
    </row>
    <row r="87557" spans="1:6" x14ac:dyDescent="0.25">
      <c r="A87557"/>
      <c r="B87557"/>
      <c r="C87557"/>
      <c r="E87557"/>
      <c r="F87557"/>
    </row>
    <row r="87558" spans="1:6" x14ac:dyDescent="0.25">
      <c r="A87558"/>
      <c r="B87558"/>
      <c r="C87558"/>
      <c r="E87558"/>
      <c r="F87558"/>
    </row>
    <row r="87559" spans="1:6" x14ac:dyDescent="0.25">
      <c r="A87559"/>
      <c r="B87559"/>
      <c r="C87559"/>
      <c r="E87559"/>
      <c r="F87559"/>
    </row>
    <row r="87560" spans="1:6" x14ac:dyDescent="0.25">
      <c r="A87560"/>
      <c r="B87560"/>
      <c r="C87560"/>
      <c r="E87560"/>
      <c r="F87560"/>
    </row>
    <row r="87561" spans="1:6" x14ac:dyDescent="0.25">
      <c r="A87561"/>
      <c r="B87561"/>
      <c r="C87561"/>
      <c r="E87561"/>
      <c r="F87561"/>
    </row>
    <row r="87562" spans="1:6" x14ac:dyDescent="0.25">
      <c r="A87562"/>
      <c r="B87562"/>
      <c r="C87562"/>
      <c r="E87562"/>
      <c r="F87562"/>
    </row>
    <row r="87563" spans="1:6" x14ac:dyDescent="0.25">
      <c r="A87563"/>
      <c r="B87563"/>
      <c r="C87563"/>
      <c r="E87563"/>
      <c r="F87563"/>
    </row>
    <row r="87564" spans="1:6" x14ac:dyDescent="0.25">
      <c r="A87564"/>
      <c r="B87564"/>
      <c r="C87564"/>
      <c r="E87564"/>
      <c r="F87564"/>
    </row>
    <row r="87565" spans="1:6" x14ac:dyDescent="0.25">
      <c r="A87565"/>
      <c r="B87565"/>
      <c r="C87565"/>
      <c r="E87565"/>
      <c r="F87565"/>
    </row>
    <row r="87566" spans="1:6" x14ac:dyDescent="0.25">
      <c r="A87566"/>
      <c r="B87566"/>
      <c r="C87566"/>
      <c r="E87566"/>
      <c r="F87566"/>
    </row>
    <row r="87567" spans="1:6" x14ac:dyDescent="0.25">
      <c r="A87567"/>
      <c r="B87567"/>
      <c r="C87567"/>
      <c r="E87567"/>
      <c r="F87567"/>
    </row>
    <row r="87568" spans="1:6" x14ac:dyDescent="0.25">
      <c r="A87568"/>
      <c r="B87568"/>
      <c r="C87568"/>
      <c r="E87568"/>
      <c r="F87568"/>
    </row>
    <row r="87569" spans="1:6" x14ac:dyDescent="0.25">
      <c r="A87569"/>
      <c r="B87569"/>
      <c r="C87569"/>
      <c r="E87569"/>
      <c r="F87569"/>
    </row>
    <row r="87570" spans="1:6" x14ac:dyDescent="0.25">
      <c r="A87570"/>
      <c r="B87570"/>
      <c r="C87570"/>
      <c r="E87570"/>
      <c r="F87570"/>
    </row>
    <row r="87571" spans="1:6" x14ac:dyDescent="0.25">
      <c r="A87571"/>
      <c r="B87571"/>
      <c r="C87571"/>
      <c r="E87571"/>
      <c r="F87571"/>
    </row>
    <row r="87572" spans="1:6" x14ac:dyDescent="0.25">
      <c r="A87572"/>
      <c r="B87572"/>
      <c r="C87572"/>
      <c r="E87572"/>
      <c r="F87572"/>
    </row>
    <row r="87573" spans="1:6" x14ac:dyDescent="0.25">
      <c r="A87573"/>
      <c r="B87573"/>
      <c r="C87573"/>
      <c r="E87573"/>
      <c r="F87573"/>
    </row>
    <row r="87574" spans="1:6" x14ac:dyDescent="0.25">
      <c r="A87574"/>
      <c r="B87574"/>
      <c r="C87574"/>
      <c r="E87574"/>
      <c r="F87574"/>
    </row>
    <row r="87575" spans="1:6" x14ac:dyDescent="0.25">
      <c r="A87575"/>
      <c r="B87575"/>
      <c r="C87575"/>
      <c r="E87575"/>
      <c r="F87575"/>
    </row>
    <row r="87576" spans="1:6" x14ac:dyDescent="0.25">
      <c r="A87576"/>
      <c r="B87576"/>
      <c r="C87576"/>
      <c r="E87576"/>
      <c r="F87576"/>
    </row>
    <row r="87577" spans="1:6" x14ac:dyDescent="0.25">
      <c r="A87577"/>
      <c r="B87577"/>
      <c r="C87577"/>
      <c r="E87577"/>
      <c r="F87577"/>
    </row>
    <row r="87578" spans="1:6" x14ac:dyDescent="0.25">
      <c r="A87578"/>
      <c r="B87578"/>
      <c r="C87578"/>
      <c r="E87578"/>
      <c r="F87578"/>
    </row>
    <row r="87579" spans="1:6" x14ac:dyDescent="0.25">
      <c r="A87579"/>
      <c r="B87579"/>
      <c r="C87579"/>
      <c r="E87579"/>
      <c r="F87579"/>
    </row>
    <row r="87580" spans="1:6" x14ac:dyDescent="0.25">
      <c r="A87580"/>
      <c r="B87580"/>
      <c r="C87580"/>
      <c r="E87580"/>
      <c r="F87580"/>
    </row>
    <row r="87581" spans="1:6" x14ac:dyDescent="0.25">
      <c r="A87581"/>
      <c r="B87581"/>
      <c r="C87581"/>
      <c r="E87581"/>
      <c r="F87581"/>
    </row>
    <row r="87582" spans="1:6" x14ac:dyDescent="0.25">
      <c r="A87582"/>
      <c r="B87582"/>
      <c r="C87582"/>
      <c r="E87582"/>
      <c r="F87582"/>
    </row>
    <row r="87583" spans="1:6" x14ac:dyDescent="0.25">
      <c r="A87583"/>
      <c r="B87583"/>
      <c r="C87583"/>
      <c r="E87583"/>
      <c r="F87583"/>
    </row>
    <row r="87584" spans="1:6" x14ac:dyDescent="0.25">
      <c r="A87584"/>
      <c r="B87584"/>
      <c r="C87584"/>
      <c r="E87584"/>
      <c r="F87584"/>
    </row>
    <row r="87585" spans="1:6" x14ac:dyDescent="0.25">
      <c r="A87585"/>
      <c r="B87585"/>
      <c r="C87585"/>
      <c r="E87585"/>
      <c r="F87585"/>
    </row>
    <row r="87586" spans="1:6" x14ac:dyDescent="0.25">
      <c r="A87586"/>
      <c r="B87586"/>
      <c r="C87586"/>
      <c r="E87586"/>
      <c r="F87586"/>
    </row>
    <row r="87587" spans="1:6" x14ac:dyDescent="0.25">
      <c r="A87587"/>
      <c r="B87587"/>
      <c r="C87587"/>
      <c r="E87587"/>
      <c r="F87587"/>
    </row>
    <row r="87588" spans="1:6" x14ac:dyDescent="0.25">
      <c r="A87588"/>
      <c r="B87588"/>
      <c r="C87588"/>
      <c r="E87588"/>
      <c r="F87588"/>
    </row>
    <row r="87589" spans="1:6" x14ac:dyDescent="0.25">
      <c r="A87589"/>
      <c r="B87589"/>
      <c r="C87589"/>
      <c r="E87589"/>
      <c r="F87589"/>
    </row>
    <row r="87590" spans="1:6" x14ac:dyDescent="0.25">
      <c r="A87590"/>
      <c r="B87590"/>
      <c r="C87590"/>
      <c r="E87590"/>
      <c r="F87590"/>
    </row>
    <row r="87591" spans="1:6" x14ac:dyDescent="0.25">
      <c r="A87591"/>
      <c r="B87591"/>
      <c r="C87591"/>
      <c r="E87591"/>
      <c r="F87591"/>
    </row>
    <row r="87592" spans="1:6" x14ac:dyDescent="0.25">
      <c r="A87592"/>
      <c r="B87592"/>
      <c r="C87592"/>
      <c r="E87592"/>
      <c r="F87592"/>
    </row>
    <row r="87593" spans="1:6" x14ac:dyDescent="0.25">
      <c r="A87593"/>
      <c r="B87593"/>
      <c r="C87593"/>
      <c r="E87593"/>
      <c r="F87593"/>
    </row>
    <row r="87594" spans="1:6" x14ac:dyDescent="0.25">
      <c r="A87594"/>
      <c r="B87594"/>
      <c r="C87594"/>
      <c r="E87594"/>
      <c r="F87594"/>
    </row>
    <row r="87595" spans="1:6" x14ac:dyDescent="0.25">
      <c r="A87595"/>
      <c r="B87595"/>
      <c r="C87595"/>
      <c r="E87595"/>
      <c r="F87595"/>
    </row>
    <row r="87596" spans="1:6" x14ac:dyDescent="0.25">
      <c r="A87596"/>
      <c r="B87596"/>
      <c r="C87596"/>
      <c r="E87596"/>
      <c r="F87596"/>
    </row>
    <row r="87597" spans="1:6" x14ac:dyDescent="0.25">
      <c r="A87597"/>
      <c r="B87597"/>
      <c r="C87597"/>
      <c r="E87597"/>
      <c r="F87597"/>
    </row>
    <row r="87598" spans="1:6" x14ac:dyDescent="0.25">
      <c r="A87598"/>
      <c r="B87598"/>
      <c r="C87598"/>
      <c r="E87598"/>
      <c r="F87598"/>
    </row>
    <row r="87599" spans="1:6" x14ac:dyDescent="0.25">
      <c r="A87599"/>
      <c r="B87599"/>
      <c r="C87599"/>
      <c r="E87599"/>
      <c r="F87599"/>
    </row>
    <row r="87600" spans="1:6" x14ac:dyDescent="0.25">
      <c r="A87600"/>
      <c r="B87600"/>
      <c r="C87600"/>
      <c r="E87600"/>
      <c r="F87600"/>
    </row>
    <row r="87601" spans="1:6" x14ac:dyDescent="0.25">
      <c r="A87601"/>
      <c r="B87601"/>
      <c r="C87601"/>
      <c r="E87601"/>
      <c r="F87601"/>
    </row>
    <row r="87602" spans="1:6" x14ac:dyDescent="0.25">
      <c r="A87602"/>
      <c r="B87602"/>
      <c r="C87602"/>
      <c r="E87602"/>
      <c r="F87602"/>
    </row>
    <row r="87603" spans="1:6" x14ac:dyDescent="0.25">
      <c r="A87603"/>
      <c r="B87603"/>
      <c r="C87603"/>
      <c r="E87603"/>
      <c r="F87603"/>
    </row>
    <row r="87604" spans="1:6" x14ac:dyDescent="0.25">
      <c r="A87604"/>
      <c r="B87604"/>
      <c r="C87604"/>
      <c r="E87604"/>
      <c r="F87604"/>
    </row>
    <row r="87605" spans="1:6" x14ac:dyDescent="0.25">
      <c r="A87605"/>
      <c r="B87605"/>
      <c r="C87605"/>
      <c r="E87605"/>
      <c r="F87605"/>
    </row>
    <row r="87606" spans="1:6" x14ac:dyDescent="0.25">
      <c r="A87606"/>
      <c r="B87606"/>
      <c r="C87606"/>
      <c r="E87606"/>
      <c r="F87606"/>
    </row>
    <row r="87607" spans="1:6" x14ac:dyDescent="0.25">
      <c r="A87607"/>
      <c r="B87607"/>
      <c r="C87607"/>
      <c r="E87607"/>
      <c r="F87607"/>
    </row>
    <row r="87608" spans="1:6" x14ac:dyDescent="0.25">
      <c r="A87608"/>
      <c r="B87608"/>
      <c r="C87608"/>
      <c r="E87608"/>
      <c r="F87608"/>
    </row>
    <row r="87609" spans="1:6" x14ac:dyDescent="0.25">
      <c r="A87609"/>
      <c r="B87609"/>
      <c r="C87609"/>
      <c r="E87609"/>
      <c r="F87609"/>
    </row>
    <row r="87610" spans="1:6" x14ac:dyDescent="0.25">
      <c r="A87610"/>
      <c r="B87610"/>
      <c r="C87610"/>
      <c r="E87610"/>
      <c r="F87610"/>
    </row>
    <row r="87611" spans="1:6" x14ac:dyDescent="0.25">
      <c r="A87611"/>
      <c r="B87611"/>
      <c r="C87611"/>
      <c r="E87611"/>
      <c r="F87611"/>
    </row>
    <row r="87612" spans="1:6" x14ac:dyDescent="0.25">
      <c r="A87612"/>
      <c r="B87612"/>
      <c r="C87612"/>
      <c r="E87612"/>
      <c r="F87612"/>
    </row>
    <row r="87613" spans="1:6" x14ac:dyDescent="0.25">
      <c r="A87613"/>
      <c r="B87613"/>
      <c r="C87613"/>
      <c r="E87613"/>
      <c r="F87613"/>
    </row>
    <row r="87614" spans="1:6" x14ac:dyDescent="0.25">
      <c r="A87614"/>
      <c r="B87614"/>
      <c r="C87614"/>
      <c r="E87614"/>
      <c r="F87614"/>
    </row>
    <row r="87615" spans="1:6" x14ac:dyDescent="0.25">
      <c r="A87615"/>
      <c r="B87615"/>
      <c r="C87615"/>
      <c r="E87615"/>
      <c r="F87615"/>
    </row>
    <row r="87616" spans="1:6" x14ac:dyDescent="0.25">
      <c r="A87616"/>
      <c r="B87616"/>
      <c r="C87616"/>
      <c r="E87616"/>
      <c r="F87616"/>
    </row>
    <row r="87617" spans="1:6" x14ac:dyDescent="0.25">
      <c r="A87617"/>
      <c r="B87617"/>
      <c r="C87617"/>
      <c r="E87617"/>
      <c r="F87617"/>
    </row>
    <row r="87618" spans="1:6" x14ac:dyDescent="0.25">
      <c r="A87618"/>
      <c r="B87618"/>
      <c r="C87618"/>
      <c r="E87618"/>
      <c r="F87618"/>
    </row>
    <row r="87619" spans="1:6" x14ac:dyDescent="0.25">
      <c r="A87619"/>
      <c r="B87619"/>
      <c r="C87619"/>
      <c r="E87619"/>
      <c r="F87619"/>
    </row>
    <row r="87620" spans="1:6" x14ac:dyDescent="0.25">
      <c r="A87620"/>
      <c r="B87620"/>
      <c r="C87620"/>
      <c r="E87620"/>
      <c r="F87620"/>
    </row>
    <row r="87621" spans="1:6" x14ac:dyDescent="0.25">
      <c r="A87621"/>
      <c r="B87621"/>
      <c r="C87621"/>
      <c r="E87621"/>
      <c r="F87621"/>
    </row>
    <row r="87622" spans="1:6" x14ac:dyDescent="0.25">
      <c r="A87622"/>
      <c r="B87622"/>
      <c r="C87622"/>
      <c r="E87622"/>
      <c r="F87622"/>
    </row>
    <row r="87623" spans="1:6" x14ac:dyDescent="0.25">
      <c r="A87623"/>
      <c r="B87623"/>
      <c r="C87623"/>
      <c r="E87623"/>
      <c r="F87623"/>
    </row>
    <row r="87624" spans="1:6" x14ac:dyDescent="0.25">
      <c r="A87624"/>
      <c r="B87624"/>
      <c r="C87624"/>
      <c r="E87624"/>
      <c r="F87624"/>
    </row>
    <row r="87625" spans="1:6" x14ac:dyDescent="0.25">
      <c r="A87625"/>
      <c r="B87625"/>
      <c r="C87625"/>
      <c r="E87625"/>
      <c r="F87625"/>
    </row>
    <row r="87626" spans="1:6" x14ac:dyDescent="0.25">
      <c r="A87626"/>
      <c r="B87626"/>
      <c r="C87626"/>
      <c r="E87626"/>
      <c r="F87626"/>
    </row>
    <row r="87627" spans="1:6" x14ac:dyDescent="0.25">
      <c r="A87627"/>
      <c r="B87627"/>
      <c r="C87627"/>
      <c r="E87627"/>
      <c r="F87627"/>
    </row>
    <row r="87628" spans="1:6" x14ac:dyDescent="0.25">
      <c r="A87628"/>
      <c r="B87628"/>
      <c r="C87628"/>
      <c r="E87628"/>
      <c r="F87628"/>
    </row>
    <row r="87629" spans="1:6" x14ac:dyDescent="0.25">
      <c r="A87629"/>
      <c r="B87629"/>
      <c r="C87629"/>
      <c r="E87629"/>
      <c r="F87629"/>
    </row>
    <row r="87630" spans="1:6" x14ac:dyDescent="0.25">
      <c r="A87630"/>
      <c r="B87630"/>
      <c r="C87630"/>
      <c r="E87630"/>
      <c r="F87630"/>
    </row>
    <row r="87631" spans="1:6" x14ac:dyDescent="0.25">
      <c r="A87631"/>
      <c r="B87631"/>
      <c r="C87631"/>
      <c r="E87631"/>
      <c r="F87631"/>
    </row>
    <row r="87632" spans="1:6" x14ac:dyDescent="0.25">
      <c r="A87632"/>
      <c r="B87632"/>
      <c r="C87632"/>
      <c r="E87632"/>
      <c r="F87632"/>
    </row>
    <row r="87633" spans="1:6" x14ac:dyDescent="0.25">
      <c r="A87633"/>
      <c r="B87633"/>
      <c r="C87633"/>
      <c r="E87633"/>
      <c r="F87633"/>
    </row>
    <row r="87634" spans="1:6" x14ac:dyDescent="0.25">
      <c r="A87634"/>
      <c r="B87634"/>
      <c r="C87634"/>
      <c r="E87634"/>
      <c r="F87634"/>
    </row>
    <row r="87635" spans="1:6" x14ac:dyDescent="0.25">
      <c r="A87635"/>
      <c r="B87635"/>
      <c r="C87635"/>
      <c r="E87635"/>
      <c r="F87635"/>
    </row>
    <row r="87636" spans="1:6" x14ac:dyDescent="0.25">
      <c r="A87636"/>
      <c r="B87636"/>
      <c r="C87636"/>
      <c r="E87636"/>
      <c r="F87636"/>
    </row>
    <row r="87637" spans="1:6" x14ac:dyDescent="0.25">
      <c r="A87637"/>
      <c r="B87637"/>
      <c r="C87637"/>
      <c r="E87637"/>
      <c r="F87637"/>
    </row>
    <row r="87638" spans="1:6" x14ac:dyDescent="0.25">
      <c r="A87638"/>
      <c r="B87638"/>
      <c r="C87638"/>
      <c r="E87638"/>
      <c r="F87638"/>
    </row>
    <row r="87639" spans="1:6" x14ac:dyDescent="0.25">
      <c r="A87639"/>
      <c r="B87639"/>
      <c r="C87639"/>
      <c r="E87639"/>
      <c r="F87639"/>
    </row>
    <row r="87640" spans="1:6" x14ac:dyDescent="0.25">
      <c r="A87640"/>
      <c r="B87640"/>
      <c r="C87640"/>
      <c r="E87640"/>
      <c r="F87640"/>
    </row>
    <row r="87641" spans="1:6" x14ac:dyDescent="0.25">
      <c r="A87641"/>
      <c r="B87641"/>
      <c r="C87641"/>
      <c r="E87641"/>
      <c r="F87641"/>
    </row>
    <row r="87642" spans="1:6" x14ac:dyDescent="0.25">
      <c r="A87642"/>
      <c r="B87642"/>
      <c r="C87642"/>
      <c r="E87642"/>
      <c r="F87642"/>
    </row>
    <row r="87643" spans="1:6" x14ac:dyDescent="0.25">
      <c r="A87643"/>
      <c r="B87643"/>
      <c r="C87643"/>
      <c r="E87643"/>
      <c r="F87643"/>
    </row>
    <row r="87644" spans="1:6" x14ac:dyDescent="0.25">
      <c r="A87644"/>
      <c r="B87644"/>
      <c r="C87644"/>
      <c r="E87644"/>
      <c r="F87644"/>
    </row>
    <row r="87645" spans="1:6" x14ac:dyDescent="0.25">
      <c r="A87645"/>
      <c r="B87645"/>
      <c r="C87645"/>
      <c r="E87645"/>
      <c r="F87645"/>
    </row>
    <row r="87646" spans="1:6" x14ac:dyDescent="0.25">
      <c r="A87646"/>
      <c r="B87646"/>
      <c r="C87646"/>
      <c r="E87646"/>
      <c r="F87646"/>
    </row>
    <row r="87647" spans="1:6" x14ac:dyDescent="0.25">
      <c r="A87647"/>
      <c r="B87647"/>
      <c r="C87647"/>
      <c r="E87647"/>
      <c r="F87647"/>
    </row>
    <row r="87648" spans="1:6" x14ac:dyDescent="0.25">
      <c r="A87648"/>
      <c r="B87648"/>
      <c r="C87648"/>
      <c r="E87648"/>
      <c r="F87648"/>
    </row>
    <row r="87649" spans="1:6" x14ac:dyDescent="0.25">
      <c r="A87649"/>
      <c r="B87649"/>
      <c r="C87649"/>
      <c r="E87649"/>
      <c r="F87649"/>
    </row>
    <row r="87650" spans="1:6" x14ac:dyDescent="0.25">
      <c r="A87650"/>
      <c r="B87650"/>
      <c r="C87650"/>
      <c r="E87650"/>
      <c r="F87650"/>
    </row>
    <row r="87651" spans="1:6" x14ac:dyDescent="0.25">
      <c r="A87651"/>
      <c r="B87651"/>
      <c r="C87651"/>
      <c r="E87651"/>
      <c r="F87651"/>
    </row>
    <row r="87652" spans="1:6" x14ac:dyDescent="0.25">
      <c r="A87652"/>
      <c r="B87652"/>
      <c r="C87652"/>
      <c r="E87652"/>
      <c r="F87652"/>
    </row>
    <row r="87653" spans="1:6" x14ac:dyDescent="0.25">
      <c r="A87653"/>
      <c r="B87653"/>
      <c r="C87653"/>
      <c r="E87653"/>
      <c r="F87653"/>
    </row>
    <row r="87654" spans="1:6" x14ac:dyDescent="0.25">
      <c r="A87654"/>
      <c r="B87654"/>
      <c r="C87654"/>
      <c r="E87654"/>
      <c r="F87654"/>
    </row>
    <row r="87655" spans="1:6" x14ac:dyDescent="0.25">
      <c r="A87655"/>
      <c r="B87655"/>
      <c r="C87655"/>
      <c r="E87655"/>
      <c r="F87655"/>
    </row>
    <row r="87656" spans="1:6" x14ac:dyDescent="0.25">
      <c r="A87656"/>
      <c r="B87656"/>
      <c r="C87656"/>
      <c r="E87656"/>
      <c r="F87656"/>
    </row>
    <row r="87657" spans="1:6" x14ac:dyDescent="0.25">
      <c r="A87657"/>
      <c r="B87657"/>
      <c r="C87657"/>
      <c r="E87657"/>
      <c r="F87657"/>
    </row>
    <row r="87658" spans="1:6" x14ac:dyDescent="0.25">
      <c r="A87658"/>
      <c r="B87658"/>
      <c r="C87658"/>
      <c r="E87658"/>
      <c r="F87658"/>
    </row>
    <row r="87659" spans="1:6" x14ac:dyDescent="0.25">
      <c r="A87659"/>
      <c r="B87659"/>
      <c r="C87659"/>
      <c r="E87659"/>
      <c r="F87659"/>
    </row>
    <row r="87660" spans="1:6" x14ac:dyDescent="0.25">
      <c r="A87660"/>
      <c r="B87660"/>
      <c r="C87660"/>
      <c r="E87660"/>
      <c r="F87660"/>
    </row>
    <row r="87661" spans="1:6" x14ac:dyDescent="0.25">
      <c r="A87661"/>
      <c r="B87661"/>
      <c r="C87661"/>
      <c r="E87661"/>
      <c r="F87661"/>
    </row>
    <row r="87662" spans="1:6" x14ac:dyDescent="0.25">
      <c r="A87662"/>
      <c r="B87662"/>
      <c r="C87662"/>
      <c r="E87662"/>
      <c r="F87662"/>
    </row>
    <row r="87663" spans="1:6" x14ac:dyDescent="0.25">
      <c r="A87663"/>
      <c r="B87663"/>
      <c r="C87663"/>
      <c r="E87663"/>
      <c r="F87663"/>
    </row>
    <row r="87664" spans="1:6" x14ac:dyDescent="0.25">
      <c r="A87664"/>
      <c r="B87664"/>
      <c r="C87664"/>
      <c r="E87664"/>
      <c r="F87664"/>
    </row>
    <row r="87665" spans="1:6" x14ac:dyDescent="0.25">
      <c r="A87665"/>
      <c r="B87665"/>
      <c r="C87665"/>
      <c r="E87665"/>
      <c r="F87665"/>
    </row>
    <row r="87666" spans="1:6" x14ac:dyDescent="0.25">
      <c r="A87666"/>
      <c r="B87666"/>
      <c r="C87666"/>
      <c r="E87666"/>
      <c r="F87666"/>
    </row>
    <row r="87667" spans="1:6" x14ac:dyDescent="0.25">
      <c r="A87667"/>
      <c r="B87667"/>
      <c r="C87667"/>
      <c r="E87667"/>
      <c r="F87667"/>
    </row>
    <row r="87668" spans="1:6" x14ac:dyDescent="0.25">
      <c r="A87668"/>
      <c r="B87668"/>
      <c r="C87668"/>
      <c r="E87668"/>
      <c r="F87668"/>
    </row>
    <row r="87669" spans="1:6" x14ac:dyDescent="0.25">
      <c r="A87669"/>
      <c r="B87669"/>
      <c r="C87669"/>
      <c r="E87669"/>
      <c r="F87669"/>
    </row>
    <row r="87670" spans="1:6" x14ac:dyDescent="0.25">
      <c r="A87670"/>
      <c r="B87670"/>
      <c r="C87670"/>
      <c r="E87670"/>
      <c r="F87670"/>
    </row>
    <row r="87671" spans="1:6" x14ac:dyDescent="0.25">
      <c r="A87671"/>
      <c r="B87671"/>
      <c r="C87671"/>
      <c r="E87671"/>
      <c r="F87671"/>
    </row>
    <row r="87672" spans="1:6" x14ac:dyDescent="0.25">
      <c r="A87672"/>
      <c r="B87672"/>
      <c r="C87672"/>
      <c r="E87672"/>
      <c r="F87672"/>
    </row>
    <row r="87673" spans="1:6" x14ac:dyDescent="0.25">
      <c r="A87673"/>
      <c r="B87673"/>
      <c r="C87673"/>
      <c r="E87673"/>
      <c r="F87673"/>
    </row>
    <row r="87674" spans="1:6" x14ac:dyDescent="0.25">
      <c r="A87674"/>
      <c r="B87674"/>
      <c r="C87674"/>
      <c r="E87674"/>
      <c r="F87674"/>
    </row>
    <row r="87675" spans="1:6" x14ac:dyDescent="0.25">
      <c r="A87675"/>
      <c r="B87675"/>
      <c r="C87675"/>
      <c r="E87675"/>
      <c r="F87675"/>
    </row>
    <row r="87676" spans="1:6" x14ac:dyDescent="0.25">
      <c r="A87676"/>
      <c r="B87676"/>
      <c r="C87676"/>
      <c r="E87676"/>
      <c r="F87676"/>
    </row>
    <row r="87677" spans="1:6" x14ac:dyDescent="0.25">
      <c r="A87677"/>
      <c r="B87677"/>
      <c r="C87677"/>
      <c r="E87677"/>
      <c r="F87677"/>
    </row>
    <row r="87678" spans="1:6" x14ac:dyDescent="0.25">
      <c r="A87678"/>
      <c r="B87678"/>
      <c r="C87678"/>
      <c r="E87678"/>
      <c r="F87678"/>
    </row>
    <row r="87679" spans="1:6" x14ac:dyDescent="0.25">
      <c r="A87679"/>
      <c r="B87679"/>
      <c r="C87679"/>
      <c r="E87679"/>
      <c r="F87679"/>
    </row>
    <row r="87680" spans="1:6" x14ac:dyDescent="0.25">
      <c r="A87680"/>
      <c r="B87680"/>
      <c r="C87680"/>
      <c r="E87680"/>
      <c r="F87680"/>
    </row>
    <row r="87681" spans="1:6" x14ac:dyDescent="0.25">
      <c r="A87681"/>
      <c r="B87681"/>
      <c r="C87681"/>
      <c r="E87681"/>
      <c r="F87681"/>
    </row>
    <row r="87682" spans="1:6" x14ac:dyDescent="0.25">
      <c r="A87682"/>
      <c r="B87682"/>
      <c r="C87682"/>
      <c r="E87682"/>
      <c r="F87682"/>
    </row>
    <row r="87683" spans="1:6" x14ac:dyDescent="0.25">
      <c r="A87683"/>
      <c r="B87683"/>
      <c r="C87683"/>
      <c r="E87683"/>
      <c r="F87683"/>
    </row>
    <row r="87684" spans="1:6" x14ac:dyDescent="0.25">
      <c r="A87684"/>
      <c r="B87684"/>
      <c r="C87684"/>
      <c r="E87684"/>
      <c r="F87684"/>
    </row>
    <row r="87685" spans="1:6" x14ac:dyDescent="0.25">
      <c r="A87685"/>
      <c r="B87685"/>
      <c r="C87685"/>
      <c r="E87685"/>
      <c r="F87685"/>
    </row>
    <row r="87686" spans="1:6" x14ac:dyDescent="0.25">
      <c r="A87686"/>
      <c r="B87686"/>
      <c r="C87686"/>
      <c r="E87686"/>
      <c r="F87686"/>
    </row>
    <row r="87687" spans="1:6" x14ac:dyDescent="0.25">
      <c r="A87687"/>
      <c r="B87687"/>
      <c r="C87687"/>
      <c r="E87687"/>
      <c r="F87687"/>
    </row>
    <row r="87688" spans="1:6" x14ac:dyDescent="0.25">
      <c r="A87688"/>
      <c r="B87688"/>
      <c r="C87688"/>
      <c r="E87688"/>
      <c r="F87688"/>
    </row>
    <row r="87689" spans="1:6" x14ac:dyDescent="0.25">
      <c r="A87689"/>
      <c r="B87689"/>
      <c r="C87689"/>
      <c r="E87689"/>
      <c r="F87689"/>
    </row>
    <row r="87690" spans="1:6" x14ac:dyDescent="0.25">
      <c r="A87690"/>
      <c r="B87690"/>
      <c r="C87690"/>
      <c r="E87690"/>
      <c r="F87690"/>
    </row>
    <row r="87691" spans="1:6" x14ac:dyDescent="0.25">
      <c r="A87691"/>
      <c r="B87691"/>
      <c r="C87691"/>
      <c r="E87691"/>
      <c r="F87691"/>
    </row>
    <row r="87692" spans="1:6" x14ac:dyDescent="0.25">
      <c r="A87692"/>
      <c r="B87692"/>
      <c r="C87692"/>
      <c r="E87692"/>
      <c r="F87692"/>
    </row>
    <row r="87693" spans="1:6" x14ac:dyDescent="0.25">
      <c r="A87693"/>
      <c r="B87693"/>
      <c r="C87693"/>
      <c r="E87693"/>
      <c r="F87693"/>
    </row>
    <row r="87694" spans="1:6" x14ac:dyDescent="0.25">
      <c r="A87694"/>
      <c r="B87694"/>
      <c r="C87694"/>
      <c r="E87694"/>
      <c r="F87694"/>
    </row>
    <row r="87695" spans="1:6" x14ac:dyDescent="0.25">
      <c r="A87695"/>
      <c r="B87695"/>
      <c r="C87695"/>
      <c r="E87695"/>
      <c r="F87695"/>
    </row>
    <row r="87696" spans="1:6" x14ac:dyDescent="0.25">
      <c r="A87696"/>
      <c r="B87696"/>
      <c r="C87696"/>
      <c r="E87696"/>
      <c r="F87696"/>
    </row>
    <row r="87697" spans="1:6" x14ac:dyDescent="0.25">
      <c r="A87697"/>
      <c r="B87697"/>
      <c r="C87697"/>
      <c r="E87697"/>
      <c r="F87697"/>
    </row>
    <row r="87698" spans="1:6" x14ac:dyDescent="0.25">
      <c r="A87698"/>
      <c r="B87698"/>
      <c r="C87698"/>
      <c r="E87698"/>
      <c r="F87698"/>
    </row>
    <row r="87699" spans="1:6" x14ac:dyDescent="0.25">
      <c r="A87699"/>
      <c r="B87699"/>
      <c r="C87699"/>
      <c r="E87699"/>
      <c r="F87699"/>
    </row>
    <row r="87700" spans="1:6" x14ac:dyDescent="0.25">
      <c r="A87700"/>
      <c r="B87700"/>
      <c r="C87700"/>
      <c r="E87700"/>
      <c r="F87700"/>
    </row>
    <row r="87701" spans="1:6" x14ac:dyDescent="0.25">
      <c r="A87701"/>
      <c r="B87701"/>
      <c r="C87701"/>
      <c r="E87701"/>
      <c r="F87701"/>
    </row>
    <row r="87702" spans="1:6" x14ac:dyDescent="0.25">
      <c r="A87702"/>
      <c r="B87702"/>
      <c r="C87702"/>
      <c r="E87702"/>
      <c r="F87702"/>
    </row>
    <row r="87703" spans="1:6" x14ac:dyDescent="0.25">
      <c r="A87703"/>
      <c r="B87703"/>
      <c r="C87703"/>
      <c r="E87703"/>
      <c r="F87703"/>
    </row>
    <row r="87704" spans="1:6" x14ac:dyDescent="0.25">
      <c r="A87704"/>
      <c r="B87704"/>
      <c r="C87704"/>
      <c r="E87704"/>
      <c r="F87704"/>
    </row>
    <row r="87705" spans="1:6" x14ac:dyDescent="0.25">
      <c r="A87705"/>
      <c r="B87705"/>
      <c r="C87705"/>
      <c r="E87705"/>
      <c r="F87705"/>
    </row>
    <row r="87706" spans="1:6" x14ac:dyDescent="0.25">
      <c r="A87706"/>
      <c r="B87706"/>
      <c r="C87706"/>
      <c r="E87706"/>
      <c r="F87706"/>
    </row>
    <row r="87707" spans="1:6" x14ac:dyDescent="0.25">
      <c r="A87707"/>
      <c r="B87707"/>
      <c r="C87707"/>
      <c r="E87707"/>
      <c r="F87707"/>
    </row>
    <row r="87708" spans="1:6" x14ac:dyDescent="0.25">
      <c r="A87708"/>
      <c r="B87708"/>
      <c r="C87708"/>
      <c r="E87708"/>
      <c r="F87708"/>
    </row>
    <row r="87709" spans="1:6" x14ac:dyDescent="0.25">
      <c r="A87709"/>
      <c r="B87709"/>
      <c r="C87709"/>
      <c r="E87709"/>
      <c r="F87709"/>
    </row>
    <row r="87710" spans="1:6" x14ac:dyDescent="0.25">
      <c r="A87710"/>
      <c r="B87710"/>
      <c r="C87710"/>
      <c r="E87710"/>
      <c r="F87710"/>
    </row>
    <row r="87711" spans="1:6" x14ac:dyDescent="0.25">
      <c r="A87711"/>
      <c r="B87711"/>
      <c r="C87711"/>
      <c r="E87711"/>
      <c r="F87711"/>
    </row>
    <row r="87712" spans="1:6" x14ac:dyDescent="0.25">
      <c r="A87712"/>
      <c r="B87712"/>
      <c r="C87712"/>
      <c r="E87712"/>
      <c r="F87712"/>
    </row>
    <row r="87713" spans="1:6" x14ac:dyDescent="0.25">
      <c r="A87713"/>
      <c r="B87713"/>
      <c r="C87713"/>
      <c r="E87713"/>
      <c r="F87713"/>
    </row>
    <row r="87714" spans="1:6" x14ac:dyDescent="0.25">
      <c r="A87714"/>
      <c r="B87714"/>
      <c r="C87714"/>
      <c r="E87714"/>
      <c r="F87714"/>
    </row>
    <row r="87715" spans="1:6" x14ac:dyDescent="0.25">
      <c r="A87715"/>
      <c r="B87715"/>
      <c r="C87715"/>
      <c r="E87715"/>
      <c r="F87715"/>
    </row>
    <row r="87716" spans="1:6" x14ac:dyDescent="0.25">
      <c r="A87716"/>
      <c r="B87716"/>
      <c r="C87716"/>
      <c r="E87716"/>
      <c r="F87716"/>
    </row>
    <row r="87717" spans="1:6" x14ac:dyDescent="0.25">
      <c r="A87717"/>
      <c r="B87717"/>
      <c r="C87717"/>
      <c r="E87717"/>
      <c r="F87717"/>
    </row>
    <row r="87718" spans="1:6" x14ac:dyDescent="0.25">
      <c r="A87718"/>
      <c r="B87718"/>
      <c r="C87718"/>
      <c r="E87718"/>
      <c r="F87718"/>
    </row>
    <row r="87719" spans="1:6" x14ac:dyDescent="0.25">
      <c r="A87719"/>
      <c r="B87719"/>
      <c r="C87719"/>
      <c r="E87719"/>
      <c r="F87719"/>
    </row>
    <row r="87720" spans="1:6" x14ac:dyDescent="0.25">
      <c r="A87720"/>
      <c r="B87720"/>
      <c r="C87720"/>
      <c r="E87720"/>
      <c r="F87720"/>
    </row>
    <row r="87721" spans="1:6" x14ac:dyDescent="0.25">
      <c r="A87721"/>
      <c r="B87721"/>
      <c r="C87721"/>
      <c r="E87721"/>
      <c r="F87721"/>
    </row>
    <row r="87722" spans="1:6" x14ac:dyDescent="0.25">
      <c r="A87722"/>
      <c r="B87722"/>
      <c r="C87722"/>
      <c r="E87722"/>
      <c r="F87722"/>
    </row>
    <row r="87723" spans="1:6" x14ac:dyDescent="0.25">
      <c r="A87723"/>
      <c r="B87723"/>
      <c r="C87723"/>
      <c r="E87723"/>
      <c r="F87723"/>
    </row>
    <row r="87724" spans="1:6" x14ac:dyDescent="0.25">
      <c r="A87724"/>
      <c r="B87724"/>
      <c r="C87724"/>
      <c r="E87724"/>
      <c r="F87724"/>
    </row>
    <row r="87725" spans="1:6" x14ac:dyDescent="0.25">
      <c r="A87725"/>
      <c r="B87725"/>
      <c r="C87725"/>
      <c r="E87725"/>
      <c r="F87725"/>
    </row>
    <row r="87726" spans="1:6" x14ac:dyDescent="0.25">
      <c r="A87726"/>
      <c r="B87726"/>
      <c r="C87726"/>
      <c r="E87726"/>
      <c r="F87726"/>
    </row>
    <row r="87727" spans="1:6" x14ac:dyDescent="0.25">
      <c r="A87727"/>
      <c r="B87727"/>
      <c r="C87727"/>
      <c r="E87727"/>
      <c r="F87727"/>
    </row>
    <row r="87728" spans="1:6" x14ac:dyDescent="0.25">
      <c r="A87728"/>
      <c r="B87728"/>
      <c r="C87728"/>
      <c r="E87728"/>
      <c r="F87728"/>
    </row>
    <row r="87729" spans="1:6" x14ac:dyDescent="0.25">
      <c r="A87729"/>
      <c r="B87729"/>
      <c r="C87729"/>
      <c r="E87729"/>
      <c r="F87729"/>
    </row>
    <row r="87730" spans="1:6" x14ac:dyDescent="0.25">
      <c r="A87730"/>
      <c r="B87730"/>
      <c r="C87730"/>
      <c r="E87730"/>
      <c r="F87730"/>
    </row>
    <row r="87731" spans="1:6" x14ac:dyDescent="0.25">
      <c r="A87731"/>
      <c r="B87731"/>
      <c r="C87731"/>
      <c r="E87731"/>
      <c r="F87731"/>
    </row>
    <row r="87732" spans="1:6" x14ac:dyDescent="0.25">
      <c r="A87732"/>
      <c r="B87732"/>
      <c r="C87732"/>
      <c r="E87732"/>
      <c r="F87732"/>
    </row>
    <row r="87733" spans="1:6" x14ac:dyDescent="0.25">
      <c r="A87733"/>
      <c r="B87733"/>
      <c r="C87733"/>
      <c r="E87733"/>
      <c r="F87733"/>
    </row>
    <row r="87734" spans="1:6" x14ac:dyDescent="0.25">
      <c r="A87734"/>
      <c r="B87734"/>
      <c r="C87734"/>
      <c r="E87734"/>
      <c r="F87734"/>
    </row>
    <row r="87735" spans="1:6" x14ac:dyDescent="0.25">
      <c r="A87735"/>
      <c r="B87735"/>
      <c r="C87735"/>
      <c r="E87735"/>
      <c r="F87735"/>
    </row>
    <row r="87736" spans="1:6" x14ac:dyDescent="0.25">
      <c r="A87736"/>
      <c r="B87736"/>
      <c r="C87736"/>
      <c r="E87736"/>
      <c r="F87736"/>
    </row>
    <row r="87737" spans="1:6" x14ac:dyDescent="0.25">
      <c r="A87737"/>
      <c r="B87737"/>
      <c r="C87737"/>
      <c r="E87737"/>
      <c r="F87737"/>
    </row>
    <row r="87738" spans="1:6" x14ac:dyDescent="0.25">
      <c r="A87738"/>
      <c r="B87738"/>
      <c r="C87738"/>
      <c r="E87738"/>
      <c r="F87738"/>
    </row>
    <row r="87739" spans="1:6" x14ac:dyDescent="0.25">
      <c r="A87739"/>
      <c r="B87739"/>
      <c r="C87739"/>
      <c r="E87739"/>
      <c r="F87739"/>
    </row>
    <row r="87740" spans="1:6" x14ac:dyDescent="0.25">
      <c r="A87740"/>
      <c r="B87740"/>
      <c r="C87740"/>
      <c r="E87740"/>
      <c r="F87740"/>
    </row>
    <row r="87741" spans="1:6" x14ac:dyDescent="0.25">
      <c r="A87741"/>
      <c r="B87741"/>
      <c r="C87741"/>
      <c r="E87741"/>
      <c r="F87741"/>
    </row>
    <row r="87742" spans="1:6" x14ac:dyDescent="0.25">
      <c r="A87742"/>
      <c r="B87742"/>
      <c r="C87742"/>
      <c r="E87742"/>
      <c r="F87742"/>
    </row>
    <row r="87743" spans="1:6" x14ac:dyDescent="0.25">
      <c r="A87743"/>
      <c r="B87743"/>
      <c r="C87743"/>
      <c r="E87743"/>
      <c r="F87743"/>
    </row>
    <row r="87744" spans="1:6" x14ac:dyDescent="0.25">
      <c r="A87744"/>
      <c r="B87744"/>
      <c r="C87744"/>
      <c r="E87744"/>
      <c r="F87744"/>
    </row>
    <row r="87745" spans="1:6" x14ac:dyDescent="0.25">
      <c r="A87745"/>
      <c r="B87745"/>
      <c r="C87745"/>
      <c r="E87745"/>
      <c r="F87745"/>
    </row>
    <row r="87746" spans="1:6" x14ac:dyDescent="0.25">
      <c r="A87746"/>
      <c r="B87746"/>
      <c r="C87746"/>
      <c r="E87746"/>
      <c r="F87746"/>
    </row>
    <row r="87747" spans="1:6" x14ac:dyDescent="0.25">
      <c r="A87747"/>
      <c r="B87747"/>
      <c r="C87747"/>
      <c r="E87747"/>
      <c r="F87747"/>
    </row>
    <row r="87748" spans="1:6" x14ac:dyDescent="0.25">
      <c r="A87748"/>
      <c r="B87748"/>
      <c r="C87748"/>
      <c r="E87748"/>
      <c r="F87748"/>
    </row>
    <row r="87749" spans="1:6" x14ac:dyDescent="0.25">
      <c r="A87749"/>
      <c r="B87749"/>
      <c r="C87749"/>
      <c r="E87749"/>
      <c r="F87749"/>
    </row>
    <row r="87750" spans="1:6" x14ac:dyDescent="0.25">
      <c r="A87750"/>
      <c r="B87750"/>
      <c r="C87750"/>
      <c r="E87750"/>
      <c r="F87750"/>
    </row>
    <row r="87751" spans="1:6" x14ac:dyDescent="0.25">
      <c r="A87751"/>
      <c r="B87751"/>
      <c r="C87751"/>
      <c r="E87751"/>
      <c r="F87751"/>
    </row>
    <row r="87752" spans="1:6" x14ac:dyDescent="0.25">
      <c r="A87752"/>
      <c r="B87752"/>
      <c r="C87752"/>
      <c r="E87752"/>
      <c r="F87752"/>
    </row>
    <row r="87753" spans="1:6" x14ac:dyDescent="0.25">
      <c r="A87753"/>
      <c r="B87753"/>
      <c r="C87753"/>
      <c r="E87753"/>
      <c r="F87753"/>
    </row>
    <row r="87754" spans="1:6" x14ac:dyDescent="0.25">
      <c r="A87754"/>
      <c r="B87754"/>
      <c r="C87754"/>
      <c r="E87754"/>
      <c r="F87754"/>
    </row>
    <row r="87755" spans="1:6" x14ac:dyDescent="0.25">
      <c r="A87755"/>
      <c r="B87755"/>
      <c r="C87755"/>
      <c r="E87755"/>
      <c r="F87755"/>
    </row>
    <row r="87756" spans="1:6" x14ac:dyDescent="0.25">
      <c r="A87756"/>
      <c r="B87756"/>
      <c r="C87756"/>
      <c r="E87756"/>
      <c r="F87756"/>
    </row>
    <row r="87757" spans="1:6" x14ac:dyDescent="0.25">
      <c r="A87757"/>
      <c r="B87757"/>
      <c r="C87757"/>
      <c r="E87757"/>
      <c r="F87757"/>
    </row>
    <row r="87758" spans="1:6" x14ac:dyDescent="0.25">
      <c r="A87758"/>
      <c r="B87758"/>
      <c r="C87758"/>
      <c r="E87758"/>
      <c r="F87758"/>
    </row>
    <row r="87759" spans="1:6" x14ac:dyDescent="0.25">
      <c r="A87759"/>
      <c r="B87759"/>
      <c r="C87759"/>
      <c r="E87759"/>
      <c r="F87759"/>
    </row>
    <row r="87760" spans="1:6" x14ac:dyDescent="0.25">
      <c r="A87760"/>
      <c r="B87760"/>
      <c r="C87760"/>
      <c r="E87760"/>
      <c r="F87760"/>
    </row>
    <row r="87761" spans="1:6" x14ac:dyDescent="0.25">
      <c r="A87761"/>
      <c r="B87761"/>
      <c r="C87761"/>
      <c r="E87761"/>
      <c r="F87761"/>
    </row>
    <row r="87762" spans="1:6" x14ac:dyDescent="0.25">
      <c r="A87762"/>
      <c r="B87762"/>
      <c r="C87762"/>
      <c r="E87762"/>
      <c r="F87762"/>
    </row>
    <row r="87763" spans="1:6" x14ac:dyDescent="0.25">
      <c r="A87763"/>
      <c r="B87763"/>
      <c r="C87763"/>
      <c r="E87763"/>
      <c r="F87763"/>
    </row>
    <row r="87764" spans="1:6" x14ac:dyDescent="0.25">
      <c r="A87764"/>
      <c r="B87764"/>
      <c r="C87764"/>
      <c r="E87764"/>
      <c r="F87764"/>
    </row>
    <row r="87765" spans="1:6" x14ac:dyDescent="0.25">
      <c r="A87765"/>
      <c r="B87765"/>
      <c r="C87765"/>
      <c r="E87765"/>
      <c r="F87765"/>
    </row>
    <row r="87766" spans="1:6" x14ac:dyDescent="0.25">
      <c r="A87766"/>
      <c r="B87766"/>
      <c r="C87766"/>
      <c r="E87766"/>
      <c r="F87766"/>
    </row>
    <row r="87767" spans="1:6" x14ac:dyDescent="0.25">
      <c r="A87767"/>
      <c r="B87767"/>
      <c r="C87767"/>
      <c r="E87767"/>
      <c r="F87767"/>
    </row>
    <row r="87768" spans="1:6" x14ac:dyDescent="0.25">
      <c r="A87768"/>
      <c r="B87768"/>
      <c r="C87768"/>
      <c r="E87768"/>
      <c r="F87768"/>
    </row>
    <row r="87769" spans="1:6" x14ac:dyDescent="0.25">
      <c r="A87769"/>
      <c r="B87769"/>
      <c r="C87769"/>
      <c r="E87769"/>
      <c r="F87769"/>
    </row>
    <row r="87770" spans="1:6" x14ac:dyDescent="0.25">
      <c r="A87770"/>
      <c r="B87770"/>
      <c r="C87770"/>
      <c r="E87770"/>
      <c r="F87770"/>
    </row>
    <row r="87771" spans="1:6" x14ac:dyDescent="0.25">
      <c r="A87771"/>
      <c r="B87771"/>
      <c r="C87771"/>
      <c r="E87771"/>
      <c r="F87771"/>
    </row>
    <row r="87772" spans="1:6" x14ac:dyDescent="0.25">
      <c r="A87772"/>
      <c r="B87772"/>
      <c r="C87772"/>
      <c r="E87772"/>
      <c r="F87772"/>
    </row>
    <row r="87773" spans="1:6" x14ac:dyDescent="0.25">
      <c r="A87773"/>
      <c r="B87773"/>
      <c r="C87773"/>
      <c r="E87773"/>
      <c r="F87773"/>
    </row>
    <row r="87774" spans="1:6" x14ac:dyDescent="0.25">
      <c r="A87774"/>
      <c r="B87774"/>
      <c r="C87774"/>
      <c r="E87774"/>
      <c r="F87774"/>
    </row>
    <row r="87775" spans="1:6" x14ac:dyDescent="0.25">
      <c r="A87775"/>
      <c r="B87775"/>
      <c r="C87775"/>
      <c r="E87775"/>
      <c r="F87775"/>
    </row>
    <row r="87776" spans="1:6" x14ac:dyDescent="0.25">
      <c r="A87776"/>
      <c r="B87776"/>
      <c r="C87776"/>
      <c r="E87776"/>
      <c r="F87776"/>
    </row>
    <row r="87777" spans="1:6" x14ac:dyDescent="0.25">
      <c r="A87777"/>
      <c r="B87777"/>
      <c r="C87777"/>
      <c r="E87777"/>
      <c r="F87777"/>
    </row>
    <row r="87778" spans="1:6" x14ac:dyDescent="0.25">
      <c r="A87778"/>
      <c r="B87778"/>
      <c r="C87778"/>
      <c r="E87778"/>
      <c r="F87778"/>
    </row>
    <row r="87779" spans="1:6" x14ac:dyDescent="0.25">
      <c r="A87779"/>
      <c r="B87779"/>
      <c r="C87779"/>
      <c r="E87779"/>
      <c r="F87779"/>
    </row>
    <row r="87780" spans="1:6" x14ac:dyDescent="0.25">
      <c r="A87780"/>
      <c r="B87780"/>
      <c r="C87780"/>
      <c r="E87780"/>
      <c r="F87780"/>
    </row>
    <row r="87781" spans="1:6" x14ac:dyDescent="0.25">
      <c r="A87781"/>
      <c r="B87781"/>
      <c r="C87781"/>
      <c r="E87781"/>
      <c r="F87781"/>
    </row>
    <row r="87782" spans="1:6" x14ac:dyDescent="0.25">
      <c r="A87782"/>
      <c r="B87782"/>
      <c r="C87782"/>
      <c r="E87782"/>
      <c r="F87782"/>
    </row>
    <row r="87783" spans="1:6" x14ac:dyDescent="0.25">
      <c r="A87783"/>
      <c r="B87783"/>
      <c r="C87783"/>
      <c r="E87783"/>
      <c r="F87783"/>
    </row>
    <row r="87784" spans="1:6" x14ac:dyDescent="0.25">
      <c r="A87784"/>
      <c r="B87784"/>
      <c r="C87784"/>
      <c r="E87784"/>
      <c r="F87784"/>
    </row>
    <row r="87785" spans="1:6" x14ac:dyDescent="0.25">
      <c r="A87785"/>
      <c r="B87785"/>
      <c r="C87785"/>
      <c r="E87785"/>
      <c r="F87785"/>
    </row>
    <row r="87786" spans="1:6" x14ac:dyDescent="0.25">
      <c r="A87786"/>
      <c r="B87786"/>
      <c r="C87786"/>
      <c r="E87786"/>
      <c r="F87786"/>
    </row>
    <row r="87787" spans="1:6" x14ac:dyDescent="0.25">
      <c r="A87787"/>
      <c r="B87787"/>
      <c r="C87787"/>
      <c r="E87787"/>
      <c r="F87787"/>
    </row>
    <row r="87788" spans="1:6" x14ac:dyDescent="0.25">
      <c r="A87788"/>
      <c r="B87788"/>
      <c r="C87788"/>
      <c r="E87788"/>
      <c r="F87788"/>
    </row>
    <row r="87789" spans="1:6" x14ac:dyDescent="0.25">
      <c r="A87789"/>
      <c r="B87789"/>
      <c r="C87789"/>
      <c r="E87789"/>
      <c r="F87789"/>
    </row>
    <row r="87790" spans="1:6" x14ac:dyDescent="0.25">
      <c r="A87790"/>
      <c r="B87790"/>
      <c r="C87790"/>
      <c r="E87790"/>
      <c r="F87790"/>
    </row>
    <row r="87791" spans="1:6" x14ac:dyDescent="0.25">
      <c r="A87791"/>
      <c r="B87791"/>
      <c r="C87791"/>
      <c r="E87791"/>
      <c r="F87791"/>
    </row>
    <row r="87792" spans="1:6" x14ac:dyDescent="0.25">
      <c r="A87792"/>
      <c r="B87792"/>
      <c r="C87792"/>
      <c r="E87792"/>
      <c r="F87792"/>
    </row>
    <row r="87793" spans="1:6" x14ac:dyDescent="0.25">
      <c r="A87793"/>
      <c r="B87793"/>
      <c r="C87793"/>
      <c r="E87793"/>
      <c r="F87793"/>
    </row>
    <row r="87794" spans="1:6" x14ac:dyDescent="0.25">
      <c r="A87794"/>
      <c r="B87794"/>
      <c r="C87794"/>
      <c r="E87794"/>
      <c r="F87794"/>
    </row>
    <row r="87795" spans="1:6" x14ac:dyDescent="0.25">
      <c r="A87795"/>
      <c r="B87795"/>
      <c r="C87795"/>
      <c r="E87795"/>
      <c r="F87795"/>
    </row>
    <row r="87796" spans="1:6" x14ac:dyDescent="0.25">
      <c r="A87796"/>
      <c r="B87796"/>
      <c r="C87796"/>
      <c r="E87796"/>
      <c r="F87796"/>
    </row>
    <row r="87797" spans="1:6" x14ac:dyDescent="0.25">
      <c r="A87797"/>
      <c r="B87797"/>
      <c r="C87797"/>
      <c r="E87797"/>
      <c r="F87797"/>
    </row>
    <row r="87798" spans="1:6" x14ac:dyDescent="0.25">
      <c r="A87798"/>
      <c r="B87798"/>
      <c r="C87798"/>
      <c r="E87798"/>
      <c r="F87798"/>
    </row>
    <row r="87799" spans="1:6" x14ac:dyDescent="0.25">
      <c r="A87799"/>
      <c r="B87799"/>
      <c r="C87799"/>
      <c r="E87799"/>
      <c r="F87799"/>
    </row>
    <row r="87800" spans="1:6" x14ac:dyDescent="0.25">
      <c r="A87800"/>
      <c r="B87800"/>
      <c r="C87800"/>
      <c r="E87800"/>
      <c r="F87800"/>
    </row>
    <row r="87801" spans="1:6" x14ac:dyDescent="0.25">
      <c r="A87801"/>
      <c r="B87801"/>
      <c r="C87801"/>
      <c r="E87801"/>
      <c r="F87801"/>
    </row>
    <row r="87802" spans="1:6" x14ac:dyDescent="0.25">
      <c r="A87802"/>
      <c r="B87802"/>
      <c r="C87802"/>
      <c r="E87802"/>
      <c r="F87802"/>
    </row>
    <row r="87803" spans="1:6" x14ac:dyDescent="0.25">
      <c r="A87803"/>
      <c r="B87803"/>
      <c r="C87803"/>
      <c r="E87803"/>
      <c r="F87803"/>
    </row>
    <row r="87804" spans="1:6" x14ac:dyDescent="0.25">
      <c r="A87804"/>
      <c r="B87804"/>
      <c r="C87804"/>
      <c r="E87804"/>
      <c r="F87804"/>
    </row>
    <row r="87805" spans="1:6" x14ac:dyDescent="0.25">
      <c r="A87805"/>
      <c r="B87805"/>
      <c r="C87805"/>
      <c r="E87805"/>
      <c r="F87805"/>
    </row>
    <row r="87806" spans="1:6" x14ac:dyDescent="0.25">
      <c r="A87806"/>
      <c r="B87806"/>
      <c r="C87806"/>
      <c r="E87806"/>
      <c r="F87806"/>
    </row>
    <row r="87807" spans="1:6" x14ac:dyDescent="0.25">
      <c r="A87807"/>
      <c r="B87807"/>
      <c r="C87807"/>
      <c r="E87807"/>
      <c r="F87807"/>
    </row>
    <row r="87808" spans="1:6" x14ac:dyDescent="0.25">
      <c r="A87808"/>
      <c r="B87808"/>
      <c r="C87808"/>
      <c r="E87808"/>
      <c r="F87808"/>
    </row>
    <row r="87809" spans="1:6" x14ac:dyDescent="0.25">
      <c r="A87809"/>
      <c r="B87809"/>
      <c r="C87809"/>
      <c r="E87809"/>
      <c r="F87809"/>
    </row>
    <row r="87810" spans="1:6" x14ac:dyDescent="0.25">
      <c r="A87810"/>
      <c r="B87810"/>
      <c r="C87810"/>
      <c r="E87810"/>
      <c r="F87810"/>
    </row>
    <row r="87811" spans="1:6" x14ac:dyDescent="0.25">
      <c r="A87811"/>
      <c r="B87811"/>
      <c r="C87811"/>
      <c r="E87811"/>
      <c r="F87811"/>
    </row>
    <row r="87812" spans="1:6" x14ac:dyDescent="0.25">
      <c r="A87812"/>
      <c r="B87812"/>
      <c r="C87812"/>
      <c r="E87812"/>
      <c r="F87812"/>
    </row>
    <row r="87813" spans="1:6" x14ac:dyDescent="0.25">
      <c r="A87813"/>
      <c r="B87813"/>
      <c r="C87813"/>
      <c r="E87813"/>
      <c r="F87813"/>
    </row>
    <row r="87814" spans="1:6" x14ac:dyDescent="0.25">
      <c r="A87814"/>
      <c r="B87814"/>
      <c r="C87814"/>
      <c r="E87814"/>
      <c r="F87814"/>
    </row>
    <row r="87815" spans="1:6" x14ac:dyDescent="0.25">
      <c r="A87815"/>
      <c r="B87815"/>
      <c r="C87815"/>
      <c r="E87815"/>
      <c r="F87815"/>
    </row>
    <row r="87816" spans="1:6" x14ac:dyDescent="0.25">
      <c r="A87816"/>
      <c r="B87816"/>
      <c r="C87816"/>
      <c r="E87816"/>
      <c r="F87816"/>
    </row>
    <row r="87817" spans="1:6" x14ac:dyDescent="0.25">
      <c r="A87817"/>
      <c r="B87817"/>
      <c r="C87817"/>
      <c r="E87817"/>
      <c r="F87817"/>
    </row>
    <row r="87818" spans="1:6" x14ac:dyDescent="0.25">
      <c r="A87818"/>
      <c r="B87818"/>
      <c r="C87818"/>
      <c r="E87818"/>
      <c r="F87818"/>
    </row>
    <row r="87819" spans="1:6" x14ac:dyDescent="0.25">
      <c r="A87819"/>
      <c r="B87819"/>
      <c r="C87819"/>
      <c r="E87819"/>
      <c r="F87819"/>
    </row>
    <row r="87820" spans="1:6" x14ac:dyDescent="0.25">
      <c r="A87820"/>
      <c r="B87820"/>
      <c r="C87820"/>
      <c r="E87820"/>
      <c r="F87820"/>
    </row>
    <row r="87821" spans="1:6" x14ac:dyDescent="0.25">
      <c r="A87821"/>
      <c r="B87821"/>
      <c r="C87821"/>
      <c r="E87821"/>
      <c r="F87821"/>
    </row>
    <row r="87822" spans="1:6" x14ac:dyDescent="0.25">
      <c r="A87822"/>
      <c r="B87822"/>
      <c r="C87822"/>
      <c r="E87822"/>
      <c r="F87822"/>
    </row>
    <row r="87823" spans="1:6" x14ac:dyDescent="0.25">
      <c r="A87823"/>
      <c r="B87823"/>
      <c r="C87823"/>
      <c r="E87823"/>
      <c r="F87823"/>
    </row>
    <row r="87824" spans="1:6" x14ac:dyDescent="0.25">
      <c r="A87824"/>
      <c r="B87824"/>
      <c r="C87824"/>
      <c r="E87824"/>
      <c r="F87824"/>
    </row>
    <row r="87825" spans="1:6" x14ac:dyDescent="0.25">
      <c r="A87825"/>
      <c r="B87825"/>
      <c r="C87825"/>
      <c r="E87825"/>
      <c r="F87825"/>
    </row>
    <row r="87826" spans="1:6" x14ac:dyDescent="0.25">
      <c r="A87826"/>
      <c r="B87826"/>
      <c r="C87826"/>
      <c r="E87826"/>
      <c r="F87826"/>
    </row>
    <row r="87827" spans="1:6" x14ac:dyDescent="0.25">
      <c r="A87827"/>
      <c r="B87827"/>
      <c r="C87827"/>
      <c r="E87827"/>
      <c r="F87827"/>
    </row>
    <row r="87828" spans="1:6" x14ac:dyDescent="0.25">
      <c r="A87828"/>
      <c r="B87828"/>
      <c r="C87828"/>
      <c r="E87828"/>
      <c r="F87828"/>
    </row>
    <row r="87829" spans="1:6" x14ac:dyDescent="0.25">
      <c r="A87829"/>
      <c r="B87829"/>
      <c r="C87829"/>
      <c r="E87829"/>
      <c r="F87829"/>
    </row>
    <row r="87830" spans="1:6" x14ac:dyDescent="0.25">
      <c r="A87830"/>
      <c r="B87830"/>
      <c r="C87830"/>
      <c r="E87830"/>
      <c r="F87830"/>
    </row>
    <row r="87831" spans="1:6" x14ac:dyDescent="0.25">
      <c r="A87831"/>
      <c r="B87831"/>
      <c r="C87831"/>
      <c r="E87831"/>
      <c r="F87831"/>
    </row>
    <row r="87832" spans="1:6" x14ac:dyDescent="0.25">
      <c r="A87832"/>
      <c r="B87832"/>
      <c r="C87832"/>
      <c r="E87832"/>
      <c r="F87832"/>
    </row>
    <row r="87833" spans="1:6" x14ac:dyDescent="0.25">
      <c r="A87833"/>
      <c r="B87833"/>
      <c r="C87833"/>
      <c r="E87833"/>
      <c r="F87833"/>
    </row>
    <row r="87834" spans="1:6" x14ac:dyDescent="0.25">
      <c r="A87834"/>
      <c r="B87834"/>
      <c r="C87834"/>
      <c r="E87834"/>
      <c r="F87834"/>
    </row>
    <row r="87835" spans="1:6" x14ac:dyDescent="0.25">
      <c r="A87835"/>
      <c r="B87835"/>
      <c r="C87835"/>
      <c r="E87835"/>
      <c r="F87835"/>
    </row>
    <row r="87836" spans="1:6" x14ac:dyDescent="0.25">
      <c r="A87836"/>
      <c r="B87836"/>
      <c r="C87836"/>
      <c r="E87836"/>
      <c r="F87836"/>
    </row>
    <row r="87837" spans="1:6" x14ac:dyDescent="0.25">
      <c r="A87837"/>
      <c r="B87837"/>
      <c r="C87837"/>
      <c r="E87837"/>
      <c r="F87837"/>
    </row>
    <row r="87838" spans="1:6" x14ac:dyDescent="0.25">
      <c r="A87838"/>
      <c r="B87838"/>
      <c r="C87838"/>
      <c r="E87838"/>
      <c r="F87838"/>
    </row>
    <row r="87839" spans="1:6" x14ac:dyDescent="0.25">
      <c r="A87839"/>
      <c r="B87839"/>
      <c r="C87839"/>
      <c r="E87839"/>
      <c r="F87839"/>
    </row>
    <row r="87840" spans="1:6" x14ac:dyDescent="0.25">
      <c r="A87840"/>
      <c r="B87840"/>
      <c r="C87840"/>
      <c r="E87840"/>
      <c r="F87840"/>
    </row>
    <row r="87841" spans="1:6" x14ac:dyDescent="0.25">
      <c r="A87841"/>
      <c r="B87841"/>
      <c r="C87841"/>
      <c r="E87841"/>
      <c r="F87841"/>
    </row>
    <row r="87842" spans="1:6" x14ac:dyDescent="0.25">
      <c r="A87842"/>
      <c r="B87842"/>
      <c r="C87842"/>
      <c r="E87842"/>
      <c r="F87842"/>
    </row>
    <row r="87843" spans="1:6" x14ac:dyDescent="0.25">
      <c r="A87843"/>
      <c r="B87843"/>
      <c r="C87843"/>
      <c r="E87843"/>
      <c r="F87843"/>
    </row>
    <row r="87844" spans="1:6" x14ac:dyDescent="0.25">
      <c r="A87844"/>
      <c r="B87844"/>
      <c r="C87844"/>
      <c r="E87844"/>
      <c r="F87844"/>
    </row>
    <row r="87845" spans="1:6" x14ac:dyDescent="0.25">
      <c r="A87845"/>
      <c r="B87845"/>
      <c r="C87845"/>
      <c r="E87845"/>
      <c r="F87845"/>
    </row>
    <row r="87846" spans="1:6" x14ac:dyDescent="0.25">
      <c r="A87846"/>
      <c r="B87846"/>
      <c r="C87846"/>
      <c r="E87846"/>
      <c r="F87846"/>
    </row>
    <row r="87847" spans="1:6" x14ac:dyDescent="0.25">
      <c r="A87847"/>
      <c r="B87847"/>
      <c r="C87847"/>
      <c r="E87847"/>
      <c r="F87847"/>
    </row>
    <row r="87848" spans="1:6" x14ac:dyDescent="0.25">
      <c r="A87848"/>
      <c r="B87848"/>
      <c r="C87848"/>
      <c r="E87848"/>
      <c r="F87848"/>
    </row>
    <row r="87849" spans="1:6" x14ac:dyDescent="0.25">
      <c r="A87849"/>
      <c r="B87849"/>
      <c r="C87849"/>
      <c r="E87849"/>
      <c r="F87849"/>
    </row>
    <row r="87850" spans="1:6" x14ac:dyDescent="0.25">
      <c r="A87850"/>
      <c r="B87850"/>
      <c r="C87850"/>
      <c r="E87850"/>
      <c r="F87850"/>
    </row>
    <row r="87851" spans="1:6" x14ac:dyDescent="0.25">
      <c r="A87851"/>
      <c r="B87851"/>
      <c r="C87851"/>
      <c r="E87851"/>
      <c r="F87851"/>
    </row>
    <row r="87852" spans="1:6" x14ac:dyDescent="0.25">
      <c r="A87852"/>
      <c r="B87852"/>
      <c r="C87852"/>
      <c r="E87852"/>
      <c r="F87852"/>
    </row>
    <row r="87853" spans="1:6" x14ac:dyDescent="0.25">
      <c r="A87853"/>
      <c r="B87853"/>
      <c r="C87853"/>
      <c r="E87853"/>
      <c r="F87853"/>
    </row>
    <row r="87854" spans="1:6" x14ac:dyDescent="0.25">
      <c r="A87854"/>
      <c r="B87854"/>
      <c r="C87854"/>
      <c r="E87854"/>
      <c r="F87854"/>
    </row>
    <row r="87855" spans="1:6" x14ac:dyDescent="0.25">
      <c r="A87855"/>
      <c r="B87855"/>
      <c r="C87855"/>
      <c r="E87855"/>
      <c r="F87855"/>
    </row>
    <row r="87856" spans="1:6" x14ac:dyDescent="0.25">
      <c r="A87856"/>
      <c r="B87856"/>
      <c r="C87856"/>
      <c r="E87856"/>
      <c r="F87856"/>
    </row>
    <row r="87857" spans="1:6" x14ac:dyDescent="0.25">
      <c r="A87857"/>
      <c r="B87857"/>
      <c r="C87857"/>
      <c r="E87857"/>
      <c r="F87857"/>
    </row>
    <row r="87858" spans="1:6" x14ac:dyDescent="0.25">
      <c r="A87858"/>
      <c r="B87858"/>
      <c r="C87858"/>
      <c r="E87858"/>
      <c r="F87858"/>
    </row>
    <row r="87859" spans="1:6" x14ac:dyDescent="0.25">
      <c r="A87859"/>
      <c r="B87859"/>
      <c r="C87859"/>
      <c r="E87859"/>
      <c r="F87859"/>
    </row>
    <row r="87860" spans="1:6" x14ac:dyDescent="0.25">
      <c r="A87860"/>
      <c r="B87860"/>
      <c r="C87860"/>
      <c r="E87860"/>
      <c r="F87860"/>
    </row>
    <row r="87861" spans="1:6" x14ac:dyDescent="0.25">
      <c r="A87861"/>
      <c r="B87861"/>
      <c r="C87861"/>
      <c r="E87861"/>
      <c r="F87861"/>
    </row>
    <row r="87862" spans="1:6" x14ac:dyDescent="0.25">
      <c r="A87862"/>
      <c r="B87862"/>
      <c r="C87862"/>
      <c r="E87862"/>
      <c r="F87862"/>
    </row>
    <row r="87863" spans="1:6" x14ac:dyDescent="0.25">
      <c r="A87863"/>
      <c r="B87863"/>
      <c r="C87863"/>
      <c r="E87863"/>
      <c r="F87863"/>
    </row>
    <row r="87864" spans="1:6" x14ac:dyDescent="0.25">
      <c r="A87864"/>
      <c r="B87864"/>
      <c r="C87864"/>
      <c r="E87864"/>
      <c r="F87864"/>
    </row>
    <row r="87865" spans="1:6" x14ac:dyDescent="0.25">
      <c r="A87865"/>
      <c r="B87865"/>
      <c r="C87865"/>
      <c r="E87865"/>
      <c r="F87865"/>
    </row>
    <row r="87866" spans="1:6" x14ac:dyDescent="0.25">
      <c r="A87866"/>
      <c r="B87866"/>
      <c r="C87866"/>
      <c r="E87866"/>
      <c r="F87866"/>
    </row>
    <row r="87867" spans="1:6" x14ac:dyDescent="0.25">
      <c r="A87867"/>
      <c r="B87867"/>
      <c r="C87867"/>
      <c r="E87867"/>
      <c r="F87867"/>
    </row>
    <row r="87868" spans="1:6" x14ac:dyDescent="0.25">
      <c r="A87868"/>
      <c r="B87868"/>
      <c r="C87868"/>
      <c r="E87868"/>
      <c r="F87868"/>
    </row>
    <row r="87869" spans="1:6" x14ac:dyDescent="0.25">
      <c r="A87869"/>
      <c r="B87869"/>
      <c r="C87869"/>
      <c r="E87869"/>
      <c r="F87869"/>
    </row>
    <row r="87870" spans="1:6" x14ac:dyDescent="0.25">
      <c r="A87870"/>
      <c r="B87870"/>
      <c r="C87870"/>
      <c r="E87870"/>
      <c r="F87870"/>
    </row>
    <row r="87871" spans="1:6" x14ac:dyDescent="0.25">
      <c r="A87871"/>
      <c r="B87871"/>
      <c r="C87871"/>
      <c r="E87871"/>
      <c r="F87871"/>
    </row>
    <row r="87872" spans="1:6" x14ac:dyDescent="0.25">
      <c r="A87872"/>
      <c r="B87872"/>
      <c r="C87872"/>
      <c r="E87872"/>
      <c r="F87872"/>
    </row>
    <row r="87873" spans="1:6" x14ac:dyDescent="0.25">
      <c r="A87873"/>
      <c r="B87873"/>
      <c r="C87873"/>
      <c r="E87873"/>
      <c r="F87873"/>
    </row>
    <row r="87874" spans="1:6" x14ac:dyDescent="0.25">
      <c r="A87874"/>
      <c r="B87874"/>
      <c r="C87874"/>
      <c r="E87874"/>
      <c r="F87874"/>
    </row>
    <row r="87875" spans="1:6" x14ac:dyDescent="0.25">
      <c r="A87875"/>
      <c r="B87875"/>
      <c r="C87875"/>
      <c r="E87875"/>
      <c r="F87875"/>
    </row>
    <row r="87876" spans="1:6" x14ac:dyDescent="0.25">
      <c r="A87876"/>
      <c r="B87876"/>
      <c r="C87876"/>
      <c r="E87876"/>
      <c r="F87876"/>
    </row>
    <row r="87877" spans="1:6" x14ac:dyDescent="0.25">
      <c r="A87877"/>
      <c r="B87877"/>
      <c r="C87877"/>
      <c r="E87877"/>
      <c r="F87877"/>
    </row>
    <row r="87878" spans="1:6" x14ac:dyDescent="0.25">
      <c r="A87878"/>
      <c r="B87878"/>
      <c r="C87878"/>
      <c r="E87878"/>
      <c r="F87878"/>
    </row>
    <row r="87879" spans="1:6" x14ac:dyDescent="0.25">
      <c r="A87879"/>
      <c r="B87879"/>
      <c r="C87879"/>
      <c r="E87879"/>
      <c r="F87879"/>
    </row>
    <row r="87880" spans="1:6" x14ac:dyDescent="0.25">
      <c r="A87880"/>
      <c r="B87880"/>
      <c r="C87880"/>
      <c r="E87880"/>
      <c r="F87880"/>
    </row>
    <row r="87881" spans="1:6" x14ac:dyDescent="0.25">
      <c r="A87881"/>
      <c r="B87881"/>
      <c r="C87881"/>
      <c r="E87881"/>
      <c r="F87881"/>
    </row>
    <row r="87882" spans="1:6" x14ac:dyDescent="0.25">
      <c r="A87882"/>
      <c r="B87882"/>
      <c r="C87882"/>
      <c r="E87882"/>
      <c r="F87882"/>
    </row>
    <row r="87883" spans="1:6" x14ac:dyDescent="0.25">
      <c r="A87883"/>
      <c r="B87883"/>
      <c r="C87883"/>
      <c r="E87883"/>
      <c r="F87883"/>
    </row>
    <row r="87884" spans="1:6" x14ac:dyDescent="0.25">
      <c r="A87884"/>
      <c r="B87884"/>
      <c r="C87884"/>
      <c r="E87884"/>
      <c r="F87884"/>
    </row>
    <row r="87885" spans="1:6" x14ac:dyDescent="0.25">
      <c r="A87885"/>
      <c r="B87885"/>
      <c r="C87885"/>
      <c r="E87885"/>
      <c r="F87885"/>
    </row>
    <row r="87886" spans="1:6" x14ac:dyDescent="0.25">
      <c r="A87886"/>
      <c r="B87886"/>
      <c r="C87886"/>
      <c r="E87886"/>
      <c r="F87886"/>
    </row>
    <row r="87887" spans="1:6" x14ac:dyDescent="0.25">
      <c r="A87887"/>
      <c r="B87887"/>
      <c r="C87887"/>
      <c r="E87887"/>
      <c r="F87887"/>
    </row>
    <row r="87888" spans="1:6" x14ac:dyDescent="0.25">
      <c r="A87888"/>
      <c r="B87888"/>
      <c r="C87888"/>
      <c r="E87888"/>
      <c r="F87888"/>
    </row>
    <row r="87889" spans="1:6" x14ac:dyDescent="0.25">
      <c r="A87889"/>
      <c r="B87889"/>
      <c r="C87889"/>
      <c r="E87889"/>
      <c r="F87889"/>
    </row>
    <row r="87890" spans="1:6" x14ac:dyDescent="0.25">
      <c r="A87890"/>
      <c r="B87890"/>
      <c r="C87890"/>
      <c r="E87890"/>
      <c r="F87890"/>
    </row>
    <row r="87891" spans="1:6" x14ac:dyDescent="0.25">
      <c r="A87891"/>
      <c r="B87891"/>
      <c r="C87891"/>
      <c r="E87891"/>
      <c r="F87891"/>
    </row>
    <row r="87892" spans="1:6" x14ac:dyDescent="0.25">
      <c r="A87892"/>
      <c r="B87892"/>
      <c r="C87892"/>
      <c r="E87892"/>
      <c r="F87892"/>
    </row>
    <row r="87893" spans="1:6" x14ac:dyDescent="0.25">
      <c r="A87893"/>
      <c r="B87893"/>
      <c r="C87893"/>
      <c r="E87893"/>
      <c r="F87893"/>
    </row>
    <row r="87894" spans="1:6" x14ac:dyDescent="0.25">
      <c r="A87894"/>
      <c r="B87894"/>
      <c r="C87894"/>
      <c r="E87894"/>
      <c r="F87894"/>
    </row>
    <row r="87895" spans="1:6" x14ac:dyDescent="0.25">
      <c r="A87895"/>
      <c r="B87895"/>
      <c r="C87895"/>
      <c r="E87895"/>
      <c r="F87895"/>
    </row>
    <row r="87896" spans="1:6" x14ac:dyDescent="0.25">
      <c r="A87896"/>
      <c r="B87896"/>
      <c r="C87896"/>
      <c r="E87896"/>
      <c r="F87896"/>
    </row>
    <row r="87897" spans="1:6" x14ac:dyDescent="0.25">
      <c r="A87897"/>
      <c r="B87897"/>
      <c r="C87897"/>
      <c r="E87897"/>
      <c r="F87897"/>
    </row>
    <row r="87898" spans="1:6" x14ac:dyDescent="0.25">
      <c r="A87898"/>
      <c r="B87898"/>
      <c r="C87898"/>
      <c r="E87898"/>
      <c r="F87898"/>
    </row>
    <row r="87899" spans="1:6" x14ac:dyDescent="0.25">
      <c r="A87899"/>
      <c r="B87899"/>
      <c r="C87899"/>
      <c r="E87899"/>
      <c r="F87899"/>
    </row>
    <row r="87900" spans="1:6" x14ac:dyDescent="0.25">
      <c r="A87900"/>
      <c r="B87900"/>
      <c r="C87900"/>
      <c r="E87900"/>
      <c r="F87900"/>
    </row>
    <row r="87901" spans="1:6" x14ac:dyDescent="0.25">
      <c r="A87901"/>
      <c r="B87901"/>
      <c r="C87901"/>
      <c r="E87901"/>
      <c r="F87901"/>
    </row>
    <row r="87902" spans="1:6" x14ac:dyDescent="0.25">
      <c r="A87902"/>
      <c r="B87902"/>
      <c r="C87902"/>
      <c r="E87902"/>
      <c r="F87902"/>
    </row>
    <row r="87903" spans="1:6" x14ac:dyDescent="0.25">
      <c r="A87903"/>
      <c r="B87903"/>
      <c r="C87903"/>
      <c r="E87903"/>
      <c r="F87903"/>
    </row>
    <row r="87904" spans="1:6" x14ac:dyDescent="0.25">
      <c r="A87904"/>
      <c r="B87904"/>
      <c r="C87904"/>
      <c r="E87904"/>
      <c r="F87904"/>
    </row>
    <row r="87905" spans="1:6" x14ac:dyDescent="0.25">
      <c r="A87905"/>
      <c r="B87905"/>
      <c r="C87905"/>
      <c r="E87905"/>
      <c r="F87905"/>
    </row>
    <row r="87906" spans="1:6" x14ac:dyDescent="0.25">
      <c r="A87906"/>
      <c r="B87906"/>
      <c r="C87906"/>
      <c r="E87906"/>
      <c r="F87906"/>
    </row>
    <row r="87907" spans="1:6" x14ac:dyDescent="0.25">
      <c r="A87907"/>
      <c r="B87907"/>
      <c r="C87907"/>
      <c r="E87907"/>
      <c r="F87907"/>
    </row>
    <row r="87908" spans="1:6" x14ac:dyDescent="0.25">
      <c r="A87908"/>
      <c r="B87908"/>
      <c r="C87908"/>
      <c r="E87908"/>
      <c r="F87908"/>
    </row>
    <row r="87909" spans="1:6" x14ac:dyDescent="0.25">
      <c r="A87909"/>
      <c r="B87909"/>
      <c r="C87909"/>
      <c r="E87909"/>
      <c r="F87909"/>
    </row>
    <row r="87910" spans="1:6" x14ac:dyDescent="0.25">
      <c r="A87910"/>
      <c r="B87910"/>
      <c r="C87910"/>
      <c r="E87910"/>
      <c r="F87910"/>
    </row>
    <row r="87911" spans="1:6" x14ac:dyDescent="0.25">
      <c r="A87911"/>
      <c r="B87911"/>
      <c r="C87911"/>
      <c r="E87911"/>
      <c r="F87911"/>
    </row>
    <row r="87912" spans="1:6" x14ac:dyDescent="0.25">
      <c r="A87912"/>
      <c r="B87912"/>
      <c r="C87912"/>
      <c r="E87912"/>
      <c r="F87912"/>
    </row>
    <row r="87913" spans="1:6" x14ac:dyDescent="0.25">
      <c r="A87913"/>
      <c r="B87913"/>
      <c r="C87913"/>
      <c r="E87913"/>
      <c r="F87913"/>
    </row>
    <row r="87914" spans="1:6" x14ac:dyDescent="0.25">
      <c r="A87914"/>
      <c r="B87914"/>
      <c r="C87914"/>
      <c r="E87914"/>
      <c r="F87914"/>
    </row>
    <row r="87915" spans="1:6" x14ac:dyDescent="0.25">
      <c r="A87915"/>
      <c r="B87915"/>
      <c r="C87915"/>
      <c r="E87915"/>
      <c r="F87915"/>
    </row>
    <row r="87916" spans="1:6" x14ac:dyDescent="0.25">
      <c r="A87916"/>
      <c r="B87916"/>
      <c r="C87916"/>
      <c r="E87916"/>
      <c r="F87916"/>
    </row>
    <row r="87917" spans="1:6" x14ac:dyDescent="0.25">
      <c r="A87917"/>
      <c r="B87917"/>
      <c r="C87917"/>
      <c r="E87917"/>
      <c r="F87917"/>
    </row>
    <row r="87918" spans="1:6" x14ac:dyDescent="0.25">
      <c r="A87918"/>
      <c r="B87918"/>
      <c r="C87918"/>
      <c r="E87918"/>
      <c r="F87918"/>
    </row>
    <row r="87919" spans="1:6" x14ac:dyDescent="0.25">
      <c r="A87919"/>
      <c r="B87919"/>
      <c r="C87919"/>
      <c r="E87919"/>
      <c r="F87919"/>
    </row>
    <row r="87920" spans="1:6" x14ac:dyDescent="0.25">
      <c r="A87920"/>
      <c r="B87920"/>
      <c r="C87920"/>
      <c r="E87920"/>
      <c r="F87920"/>
    </row>
    <row r="87921" spans="1:6" x14ac:dyDescent="0.25">
      <c r="A87921"/>
      <c r="B87921"/>
      <c r="C87921"/>
      <c r="E87921"/>
      <c r="F87921"/>
    </row>
    <row r="87922" spans="1:6" x14ac:dyDescent="0.25">
      <c r="A87922"/>
      <c r="B87922"/>
      <c r="C87922"/>
      <c r="E87922"/>
      <c r="F87922"/>
    </row>
    <row r="87923" spans="1:6" x14ac:dyDescent="0.25">
      <c r="A87923"/>
      <c r="B87923"/>
      <c r="C87923"/>
      <c r="E87923"/>
      <c r="F87923"/>
    </row>
    <row r="87924" spans="1:6" x14ac:dyDescent="0.25">
      <c r="A87924"/>
      <c r="B87924"/>
      <c r="C87924"/>
      <c r="E87924"/>
      <c r="F87924"/>
    </row>
    <row r="87925" spans="1:6" x14ac:dyDescent="0.25">
      <c r="A87925"/>
      <c r="B87925"/>
      <c r="C87925"/>
      <c r="E87925"/>
      <c r="F87925"/>
    </row>
    <row r="87926" spans="1:6" x14ac:dyDescent="0.25">
      <c r="A87926"/>
      <c r="B87926"/>
      <c r="C87926"/>
      <c r="E87926"/>
      <c r="F87926"/>
    </row>
    <row r="87927" spans="1:6" x14ac:dyDescent="0.25">
      <c r="A87927"/>
      <c r="B87927"/>
      <c r="C87927"/>
      <c r="E87927"/>
      <c r="F87927"/>
    </row>
    <row r="87928" spans="1:6" x14ac:dyDescent="0.25">
      <c r="A87928"/>
      <c r="B87928"/>
      <c r="C87928"/>
      <c r="E87928"/>
      <c r="F87928"/>
    </row>
    <row r="87929" spans="1:6" x14ac:dyDescent="0.25">
      <c r="A87929"/>
      <c r="B87929"/>
      <c r="C87929"/>
      <c r="E87929"/>
      <c r="F87929"/>
    </row>
    <row r="87930" spans="1:6" x14ac:dyDescent="0.25">
      <c r="A87930"/>
      <c r="B87930"/>
      <c r="C87930"/>
      <c r="E87930"/>
      <c r="F87930"/>
    </row>
    <row r="87931" spans="1:6" x14ac:dyDescent="0.25">
      <c r="A87931"/>
      <c r="B87931"/>
      <c r="C87931"/>
      <c r="E87931"/>
      <c r="F87931"/>
    </row>
    <row r="87932" spans="1:6" x14ac:dyDescent="0.25">
      <c r="A87932"/>
      <c r="B87932"/>
      <c r="C87932"/>
      <c r="E87932"/>
      <c r="F87932"/>
    </row>
    <row r="87933" spans="1:6" x14ac:dyDescent="0.25">
      <c r="A87933"/>
      <c r="B87933"/>
      <c r="C87933"/>
      <c r="E87933"/>
      <c r="F87933"/>
    </row>
    <row r="87934" spans="1:6" x14ac:dyDescent="0.25">
      <c r="A87934"/>
      <c r="B87934"/>
      <c r="C87934"/>
      <c r="E87934"/>
      <c r="F87934"/>
    </row>
    <row r="87935" spans="1:6" x14ac:dyDescent="0.25">
      <c r="A87935"/>
      <c r="B87935"/>
      <c r="C87935"/>
      <c r="E87935"/>
      <c r="F87935"/>
    </row>
    <row r="87936" spans="1:6" x14ac:dyDescent="0.25">
      <c r="A87936"/>
      <c r="B87936"/>
      <c r="C87936"/>
      <c r="E87936"/>
      <c r="F87936"/>
    </row>
    <row r="87937" spans="1:6" x14ac:dyDescent="0.25">
      <c r="A87937"/>
      <c r="B87937"/>
      <c r="C87937"/>
      <c r="E87937"/>
      <c r="F87937"/>
    </row>
    <row r="87938" spans="1:6" x14ac:dyDescent="0.25">
      <c r="A87938"/>
      <c r="B87938"/>
      <c r="C87938"/>
      <c r="E87938"/>
      <c r="F87938"/>
    </row>
    <row r="87939" spans="1:6" x14ac:dyDescent="0.25">
      <c r="A87939"/>
      <c r="B87939"/>
      <c r="C87939"/>
      <c r="E87939"/>
      <c r="F87939"/>
    </row>
    <row r="87940" spans="1:6" x14ac:dyDescent="0.25">
      <c r="A87940"/>
      <c r="B87940"/>
      <c r="C87940"/>
      <c r="E87940"/>
      <c r="F87940"/>
    </row>
    <row r="87941" spans="1:6" x14ac:dyDescent="0.25">
      <c r="A87941"/>
      <c r="B87941"/>
      <c r="C87941"/>
      <c r="E87941"/>
      <c r="F87941"/>
    </row>
    <row r="87942" spans="1:6" x14ac:dyDescent="0.25">
      <c r="A87942"/>
      <c r="B87942"/>
      <c r="C87942"/>
      <c r="E87942"/>
      <c r="F87942"/>
    </row>
    <row r="87943" spans="1:6" x14ac:dyDescent="0.25">
      <c r="A87943"/>
      <c r="B87943"/>
      <c r="C87943"/>
      <c r="E87943"/>
      <c r="F87943"/>
    </row>
    <row r="87944" spans="1:6" x14ac:dyDescent="0.25">
      <c r="A87944"/>
      <c r="B87944"/>
      <c r="C87944"/>
      <c r="E87944"/>
      <c r="F87944"/>
    </row>
    <row r="87945" spans="1:6" x14ac:dyDescent="0.25">
      <c r="A87945"/>
      <c r="B87945"/>
      <c r="C87945"/>
      <c r="E87945"/>
      <c r="F87945"/>
    </row>
    <row r="87946" spans="1:6" x14ac:dyDescent="0.25">
      <c r="A87946"/>
      <c r="B87946"/>
      <c r="C87946"/>
      <c r="E87946"/>
      <c r="F87946"/>
    </row>
    <row r="87947" spans="1:6" x14ac:dyDescent="0.25">
      <c r="A87947"/>
      <c r="B87947"/>
      <c r="C87947"/>
      <c r="E87947"/>
      <c r="F87947"/>
    </row>
    <row r="87948" spans="1:6" x14ac:dyDescent="0.25">
      <c r="A87948"/>
      <c r="B87948"/>
      <c r="C87948"/>
      <c r="E87948"/>
      <c r="F87948"/>
    </row>
    <row r="87949" spans="1:6" x14ac:dyDescent="0.25">
      <c r="A87949"/>
      <c r="B87949"/>
      <c r="C87949"/>
      <c r="E87949"/>
      <c r="F87949"/>
    </row>
    <row r="87950" spans="1:6" x14ac:dyDescent="0.25">
      <c r="A87950"/>
      <c r="B87950"/>
      <c r="C87950"/>
      <c r="E87950"/>
      <c r="F87950"/>
    </row>
    <row r="87951" spans="1:6" x14ac:dyDescent="0.25">
      <c r="A87951"/>
      <c r="B87951"/>
      <c r="C87951"/>
      <c r="E87951"/>
      <c r="F87951"/>
    </row>
    <row r="87952" spans="1:6" x14ac:dyDescent="0.25">
      <c r="A87952"/>
      <c r="B87952"/>
      <c r="C87952"/>
      <c r="E87952"/>
      <c r="F87952"/>
    </row>
    <row r="87953" spans="1:6" x14ac:dyDescent="0.25">
      <c r="A87953"/>
      <c r="B87953"/>
      <c r="C87953"/>
      <c r="E87953"/>
      <c r="F87953"/>
    </row>
    <row r="87954" spans="1:6" x14ac:dyDescent="0.25">
      <c r="A87954"/>
      <c r="B87954"/>
      <c r="C87954"/>
      <c r="E87954"/>
      <c r="F87954"/>
    </row>
    <row r="87955" spans="1:6" x14ac:dyDescent="0.25">
      <c r="A87955"/>
      <c r="B87955"/>
      <c r="C87955"/>
      <c r="E87955"/>
      <c r="F87955"/>
    </row>
    <row r="87956" spans="1:6" x14ac:dyDescent="0.25">
      <c r="A87956"/>
      <c r="B87956"/>
      <c r="C87956"/>
      <c r="E87956"/>
      <c r="F87956"/>
    </row>
    <row r="87957" spans="1:6" x14ac:dyDescent="0.25">
      <c r="A87957"/>
      <c r="B87957"/>
      <c r="C87957"/>
      <c r="E87957"/>
      <c r="F87957"/>
    </row>
    <row r="87958" spans="1:6" x14ac:dyDescent="0.25">
      <c r="A87958"/>
      <c r="B87958"/>
      <c r="C87958"/>
      <c r="E87958"/>
      <c r="F87958"/>
    </row>
    <row r="87959" spans="1:6" x14ac:dyDescent="0.25">
      <c r="A87959"/>
      <c r="B87959"/>
      <c r="C87959"/>
      <c r="E87959"/>
      <c r="F87959"/>
    </row>
    <row r="87960" spans="1:6" x14ac:dyDescent="0.25">
      <c r="A87960"/>
      <c r="B87960"/>
      <c r="C87960"/>
      <c r="E87960"/>
      <c r="F87960"/>
    </row>
    <row r="87961" spans="1:6" x14ac:dyDescent="0.25">
      <c r="A87961"/>
      <c r="B87961"/>
      <c r="C87961"/>
      <c r="E87961"/>
      <c r="F87961"/>
    </row>
    <row r="87962" spans="1:6" x14ac:dyDescent="0.25">
      <c r="A87962"/>
      <c r="B87962"/>
      <c r="C87962"/>
      <c r="E87962"/>
      <c r="F87962"/>
    </row>
    <row r="87963" spans="1:6" x14ac:dyDescent="0.25">
      <c r="A87963"/>
      <c r="B87963"/>
      <c r="C87963"/>
      <c r="E87963"/>
      <c r="F87963"/>
    </row>
    <row r="87964" spans="1:6" x14ac:dyDescent="0.25">
      <c r="A87964"/>
      <c r="B87964"/>
      <c r="C87964"/>
      <c r="E87964"/>
      <c r="F87964"/>
    </row>
    <row r="87965" spans="1:6" x14ac:dyDescent="0.25">
      <c r="A87965"/>
      <c r="B87965"/>
      <c r="C87965"/>
      <c r="E87965"/>
      <c r="F87965"/>
    </row>
    <row r="87966" spans="1:6" x14ac:dyDescent="0.25">
      <c r="A87966"/>
      <c r="B87966"/>
      <c r="C87966"/>
      <c r="E87966"/>
      <c r="F87966"/>
    </row>
    <row r="87967" spans="1:6" x14ac:dyDescent="0.25">
      <c r="A87967"/>
      <c r="B87967"/>
      <c r="C87967"/>
      <c r="E87967"/>
      <c r="F87967"/>
    </row>
    <row r="87968" spans="1:6" x14ac:dyDescent="0.25">
      <c r="A87968"/>
      <c r="B87968"/>
      <c r="C87968"/>
      <c r="E87968"/>
      <c r="F87968"/>
    </row>
    <row r="87969" spans="1:6" x14ac:dyDescent="0.25">
      <c r="A87969"/>
      <c r="B87969"/>
      <c r="C87969"/>
      <c r="E87969"/>
      <c r="F87969"/>
    </row>
    <row r="87970" spans="1:6" x14ac:dyDescent="0.25">
      <c r="A87970"/>
      <c r="B87970"/>
      <c r="C87970"/>
      <c r="E87970"/>
      <c r="F87970"/>
    </row>
    <row r="87971" spans="1:6" x14ac:dyDescent="0.25">
      <c r="A87971"/>
      <c r="B87971"/>
      <c r="C87971"/>
      <c r="E87971"/>
      <c r="F87971"/>
    </row>
    <row r="87972" spans="1:6" x14ac:dyDescent="0.25">
      <c r="A87972"/>
      <c r="B87972"/>
      <c r="C87972"/>
      <c r="E87972"/>
      <c r="F87972"/>
    </row>
    <row r="87973" spans="1:6" x14ac:dyDescent="0.25">
      <c r="A87973"/>
      <c r="B87973"/>
      <c r="C87973"/>
      <c r="E87973"/>
      <c r="F87973"/>
    </row>
    <row r="87974" spans="1:6" x14ac:dyDescent="0.25">
      <c r="A87974"/>
      <c r="B87974"/>
      <c r="C87974"/>
      <c r="E87974"/>
      <c r="F87974"/>
    </row>
    <row r="87975" spans="1:6" x14ac:dyDescent="0.25">
      <c r="A87975"/>
      <c r="B87975"/>
      <c r="C87975"/>
      <c r="E87975"/>
      <c r="F87975"/>
    </row>
    <row r="87976" spans="1:6" x14ac:dyDescent="0.25">
      <c r="A87976"/>
      <c r="B87976"/>
      <c r="C87976"/>
      <c r="E87976"/>
      <c r="F87976"/>
    </row>
    <row r="87977" spans="1:6" x14ac:dyDescent="0.25">
      <c r="A87977"/>
      <c r="B87977"/>
      <c r="C87977"/>
      <c r="E87977"/>
      <c r="F87977"/>
    </row>
    <row r="87978" spans="1:6" x14ac:dyDescent="0.25">
      <c r="A87978"/>
      <c r="B87978"/>
      <c r="C87978"/>
      <c r="E87978"/>
      <c r="F87978"/>
    </row>
    <row r="87979" spans="1:6" x14ac:dyDescent="0.25">
      <c r="A87979"/>
      <c r="B87979"/>
      <c r="C87979"/>
      <c r="E87979"/>
      <c r="F87979"/>
    </row>
    <row r="87980" spans="1:6" x14ac:dyDescent="0.25">
      <c r="A87980"/>
      <c r="B87980"/>
      <c r="C87980"/>
      <c r="E87980"/>
      <c r="F87980"/>
    </row>
    <row r="87981" spans="1:6" x14ac:dyDescent="0.25">
      <c r="A87981"/>
      <c r="B87981"/>
      <c r="C87981"/>
      <c r="E87981"/>
      <c r="F87981"/>
    </row>
    <row r="87982" spans="1:6" x14ac:dyDescent="0.25">
      <c r="A87982"/>
      <c r="B87982"/>
      <c r="C87982"/>
      <c r="E87982"/>
      <c r="F87982"/>
    </row>
    <row r="87983" spans="1:6" x14ac:dyDescent="0.25">
      <c r="A87983"/>
      <c r="B87983"/>
      <c r="C87983"/>
      <c r="E87983"/>
      <c r="F87983"/>
    </row>
    <row r="87984" spans="1:6" x14ac:dyDescent="0.25">
      <c r="A87984"/>
      <c r="B87984"/>
      <c r="C87984"/>
      <c r="E87984"/>
      <c r="F87984"/>
    </row>
    <row r="87985" spans="1:6" x14ac:dyDescent="0.25">
      <c r="A87985"/>
      <c r="B87985"/>
      <c r="C87985"/>
      <c r="E87985"/>
      <c r="F87985"/>
    </row>
    <row r="87986" spans="1:6" x14ac:dyDescent="0.25">
      <c r="A87986"/>
      <c r="B87986"/>
      <c r="C87986"/>
      <c r="E87986"/>
      <c r="F87986"/>
    </row>
    <row r="87987" spans="1:6" x14ac:dyDescent="0.25">
      <c r="A87987"/>
      <c r="B87987"/>
      <c r="C87987"/>
      <c r="E87987"/>
      <c r="F87987"/>
    </row>
    <row r="87988" spans="1:6" x14ac:dyDescent="0.25">
      <c r="A87988"/>
      <c r="B87988"/>
      <c r="C87988"/>
      <c r="E87988"/>
      <c r="F87988"/>
    </row>
    <row r="87989" spans="1:6" x14ac:dyDescent="0.25">
      <c r="A87989"/>
      <c r="B87989"/>
      <c r="C87989"/>
      <c r="E87989"/>
      <c r="F87989"/>
    </row>
    <row r="87990" spans="1:6" x14ac:dyDescent="0.25">
      <c r="A87990"/>
      <c r="B87990"/>
      <c r="C87990"/>
      <c r="E87990"/>
      <c r="F87990"/>
    </row>
    <row r="87991" spans="1:6" x14ac:dyDescent="0.25">
      <c r="A87991"/>
      <c r="B87991"/>
      <c r="C87991"/>
      <c r="E87991"/>
      <c r="F87991"/>
    </row>
    <row r="87992" spans="1:6" x14ac:dyDescent="0.25">
      <c r="A87992"/>
      <c r="B87992"/>
      <c r="C87992"/>
      <c r="E87992"/>
      <c r="F87992"/>
    </row>
    <row r="87993" spans="1:6" x14ac:dyDescent="0.25">
      <c r="A87993"/>
      <c r="B87993"/>
      <c r="C87993"/>
      <c r="E87993"/>
      <c r="F87993"/>
    </row>
    <row r="87994" spans="1:6" x14ac:dyDescent="0.25">
      <c r="A87994"/>
      <c r="B87994"/>
      <c r="C87994"/>
      <c r="E87994"/>
      <c r="F87994"/>
    </row>
    <row r="87995" spans="1:6" x14ac:dyDescent="0.25">
      <c r="A87995"/>
      <c r="B87995"/>
      <c r="C87995"/>
      <c r="E87995"/>
      <c r="F87995"/>
    </row>
    <row r="87996" spans="1:6" x14ac:dyDescent="0.25">
      <c r="A87996"/>
      <c r="B87996"/>
      <c r="C87996"/>
      <c r="E87996"/>
      <c r="F87996"/>
    </row>
    <row r="87997" spans="1:6" x14ac:dyDescent="0.25">
      <c r="A87997"/>
      <c r="B87997"/>
      <c r="C87997"/>
      <c r="E87997"/>
      <c r="F87997"/>
    </row>
    <row r="87998" spans="1:6" x14ac:dyDescent="0.25">
      <c r="A87998"/>
      <c r="B87998"/>
      <c r="C87998"/>
      <c r="E87998"/>
      <c r="F87998"/>
    </row>
    <row r="87999" spans="1:6" x14ac:dyDescent="0.25">
      <c r="A87999"/>
      <c r="B87999"/>
      <c r="C87999"/>
      <c r="E87999"/>
      <c r="F87999"/>
    </row>
    <row r="88000" spans="1:6" x14ac:dyDescent="0.25">
      <c r="A88000"/>
      <c r="B88000"/>
      <c r="C88000"/>
      <c r="E88000"/>
      <c r="F88000"/>
    </row>
    <row r="88001" spans="1:6" x14ac:dyDescent="0.25">
      <c r="A88001"/>
      <c r="B88001"/>
      <c r="C88001"/>
      <c r="E88001"/>
      <c r="F88001"/>
    </row>
    <row r="88002" spans="1:6" x14ac:dyDescent="0.25">
      <c r="A88002"/>
      <c r="B88002"/>
      <c r="C88002"/>
      <c r="E88002"/>
      <c r="F88002"/>
    </row>
    <row r="88003" spans="1:6" x14ac:dyDescent="0.25">
      <c r="A88003"/>
      <c r="B88003"/>
      <c r="C88003"/>
      <c r="E88003"/>
      <c r="F88003"/>
    </row>
    <row r="88004" spans="1:6" x14ac:dyDescent="0.25">
      <c r="A88004"/>
      <c r="B88004"/>
      <c r="C88004"/>
      <c r="E88004"/>
      <c r="F88004"/>
    </row>
    <row r="88005" spans="1:6" x14ac:dyDescent="0.25">
      <c r="A88005"/>
      <c r="B88005"/>
      <c r="C88005"/>
      <c r="E88005"/>
      <c r="F88005"/>
    </row>
    <row r="88006" spans="1:6" x14ac:dyDescent="0.25">
      <c r="A88006"/>
      <c r="B88006"/>
      <c r="C88006"/>
      <c r="E88006"/>
      <c r="F88006"/>
    </row>
    <row r="88007" spans="1:6" x14ac:dyDescent="0.25">
      <c r="A88007"/>
      <c r="B88007"/>
      <c r="C88007"/>
      <c r="E88007"/>
      <c r="F88007"/>
    </row>
    <row r="88008" spans="1:6" x14ac:dyDescent="0.25">
      <c r="A88008"/>
      <c r="B88008"/>
      <c r="C88008"/>
      <c r="E88008"/>
      <c r="F88008"/>
    </row>
    <row r="88009" spans="1:6" x14ac:dyDescent="0.25">
      <c r="A88009"/>
      <c r="B88009"/>
      <c r="C88009"/>
      <c r="E88009"/>
      <c r="F88009"/>
    </row>
    <row r="88010" spans="1:6" x14ac:dyDescent="0.25">
      <c r="A88010"/>
      <c r="B88010"/>
      <c r="C88010"/>
      <c r="E88010"/>
      <c r="F88010"/>
    </row>
    <row r="88011" spans="1:6" x14ac:dyDescent="0.25">
      <c r="A88011"/>
      <c r="B88011"/>
      <c r="C88011"/>
      <c r="E88011"/>
      <c r="F88011"/>
    </row>
    <row r="88012" spans="1:6" x14ac:dyDescent="0.25">
      <c r="A88012"/>
      <c r="B88012"/>
      <c r="C88012"/>
      <c r="E88012"/>
      <c r="F88012"/>
    </row>
    <row r="88013" spans="1:6" x14ac:dyDescent="0.25">
      <c r="A88013"/>
      <c r="B88013"/>
      <c r="C88013"/>
      <c r="E88013"/>
      <c r="F88013"/>
    </row>
    <row r="88014" spans="1:6" x14ac:dyDescent="0.25">
      <c r="A88014"/>
      <c r="B88014"/>
      <c r="C88014"/>
      <c r="E88014"/>
      <c r="F88014"/>
    </row>
    <row r="88015" spans="1:6" x14ac:dyDescent="0.25">
      <c r="A88015"/>
      <c r="B88015"/>
      <c r="C88015"/>
      <c r="E88015"/>
      <c r="F88015"/>
    </row>
    <row r="88016" spans="1:6" x14ac:dyDescent="0.25">
      <c r="A88016"/>
      <c r="B88016"/>
      <c r="C88016"/>
      <c r="E88016"/>
      <c r="F88016"/>
    </row>
    <row r="88017" spans="1:6" x14ac:dyDescent="0.25">
      <c r="A88017"/>
      <c r="B88017"/>
      <c r="C88017"/>
      <c r="E88017"/>
      <c r="F88017"/>
    </row>
    <row r="88018" spans="1:6" x14ac:dyDescent="0.25">
      <c r="A88018"/>
      <c r="B88018"/>
      <c r="C88018"/>
      <c r="E88018"/>
      <c r="F88018"/>
    </row>
    <row r="88019" spans="1:6" x14ac:dyDescent="0.25">
      <c r="A88019"/>
      <c r="B88019"/>
      <c r="C88019"/>
      <c r="E88019"/>
      <c r="F88019"/>
    </row>
    <row r="88020" spans="1:6" x14ac:dyDescent="0.25">
      <c r="A88020"/>
      <c r="B88020"/>
      <c r="C88020"/>
      <c r="E88020"/>
      <c r="F88020"/>
    </row>
    <row r="88021" spans="1:6" x14ac:dyDescent="0.25">
      <c r="A88021"/>
      <c r="B88021"/>
      <c r="C88021"/>
      <c r="E88021"/>
      <c r="F88021"/>
    </row>
    <row r="88022" spans="1:6" x14ac:dyDescent="0.25">
      <c r="A88022"/>
      <c r="B88022"/>
      <c r="C88022"/>
      <c r="E88022"/>
      <c r="F88022"/>
    </row>
    <row r="88023" spans="1:6" x14ac:dyDescent="0.25">
      <c r="A88023"/>
      <c r="B88023"/>
      <c r="C88023"/>
      <c r="E88023"/>
      <c r="F88023"/>
    </row>
    <row r="88024" spans="1:6" x14ac:dyDescent="0.25">
      <c r="A88024"/>
      <c r="B88024"/>
      <c r="C88024"/>
      <c r="E88024"/>
      <c r="F88024"/>
    </row>
    <row r="88025" spans="1:6" x14ac:dyDescent="0.25">
      <c r="A88025"/>
      <c r="B88025"/>
      <c r="C88025"/>
      <c r="E88025"/>
      <c r="F88025"/>
    </row>
    <row r="88026" spans="1:6" x14ac:dyDescent="0.25">
      <c r="A88026"/>
      <c r="B88026"/>
      <c r="C88026"/>
      <c r="E88026"/>
      <c r="F88026"/>
    </row>
    <row r="88027" spans="1:6" x14ac:dyDescent="0.25">
      <c r="A88027"/>
      <c r="B88027"/>
      <c r="C88027"/>
      <c r="E88027"/>
      <c r="F88027"/>
    </row>
    <row r="88028" spans="1:6" x14ac:dyDescent="0.25">
      <c r="A88028"/>
      <c r="B88028"/>
      <c r="C88028"/>
      <c r="E88028"/>
      <c r="F88028"/>
    </row>
    <row r="88029" spans="1:6" x14ac:dyDescent="0.25">
      <c r="A88029"/>
      <c r="B88029"/>
      <c r="C88029"/>
      <c r="E88029"/>
      <c r="F88029"/>
    </row>
    <row r="88030" spans="1:6" x14ac:dyDescent="0.25">
      <c r="A88030"/>
      <c r="B88030"/>
      <c r="C88030"/>
      <c r="E88030"/>
      <c r="F88030"/>
    </row>
    <row r="88031" spans="1:6" x14ac:dyDescent="0.25">
      <c r="A88031"/>
      <c r="B88031"/>
      <c r="C88031"/>
      <c r="E88031"/>
      <c r="F88031"/>
    </row>
    <row r="88032" spans="1:6" x14ac:dyDescent="0.25">
      <c r="A88032"/>
      <c r="B88032"/>
      <c r="C88032"/>
      <c r="E88032"/>
      <c r="F88032"/>
    </row>
    <row r="88033" spans="1:6" x14ac:dyDescent="0.25">
      <c r="A88033"/>
      <c r="B88033"/>
      <c r="C88033"/>
      <c r="E88033"/>
      <c r="F88033"/>
    </row>
    <row r="88034" spans="1:6" x14ac:dyDescent="0.25">
      <c r="A88034"/>
      <c r="B88034"/>
      <c r="C88034"/>
      <c r="E88034"/>
      <c r="F88034"/>
    </row>
    <row r="88035" spans="1:6" x14ac:dyDescent="0.25">
      <c r="A88035"/>
      <c r="B88035"/>
      <c r="C88035"/>
      <c r="E88035"/>
      <c r="F88035"/>
    </row>
    <row r="88036" spans="1:6" x14ac:dyDescent="0.25">
      <c r="A88036"/>
      <c r="B88036"/>
      <c r="C88036"/>
      <c r="E88036"/>
      <c r="F88036"/>
    </row>
    <row r="88037" spans="1:6" x14ac:dyDescent="0.25">
      <c r="A88037"/>
      <c r="B88037"/>
      <c r="C88037"/>
      <c r="E88037"/>
      <c r="F88037"/>
    </row>
    <row r="88038" spans="1:6" x14ac:dyDescent="0.25">
      <c r="A88038"/>
      <c r="B88038"/>
      <c r="C88038"/>
      <c r="E88038"/>
      <c r="F88038"/>
    </row>
    <row r="88039" spans="1:6" x14ac:dyDescent="0.25">
      <c r="A88039"/>
      <c r="B88039"/>
      <c r="C88039"/>
      <c r="E88039"/>
      <c r="F88039"/>
    </row>
    <row r="88040" spans="1:6" x14ac:dyDescent="0.25">
      <c r="A88040"/>
      <c r="B88040"/>
      <c r="C88040"/>
      <c r="E88040"/>
      <c r="F88040"/>
    </row>
    <row r="88041" spans="1:6" x14ac:dyDescent="0.25">
      <c r="A88041"/>
      <c r="B88041"/>
      <c r="C88041"/>
      <c r="E88041"/>
      <c r="F88041"/>
    </row>
    <row r="88042" spans="1:6" x14ac:dyDescent="0.25">
      <c r="A88042"/>
      <c r="B88042"/>
      <c r="C88042"/>
      <c r="E88042"/>
      <c r="F88042"/>
    </row>
    <row r="88043" spans="1:6" x14ac:dyDescent="0.25">
      <c r="A88043"/>
      <c r="B88043"/>
      <c r="C88043"/>
      <c r="E88043"/>
      <c r="F88043"/>
    </row>
    <row r="88044" spans="1:6" x14ac:dyDescent="0.25">
      <c r="A88044"/>
      <c r="B88044"/>
      <c r="C88044"/>
      <c r="E88044"/>
      <c r="F88044"/>
    </row>
    <row r="88045" spans="1:6" x14ac:dyDescent="0.25">
      <c r="A88045"/>
      <c r="B88045"/>
      <c r="C88045"/>
      <c r="E88045"/>
      <c r="F88045"/>
    </row>
    <row r="88046" spans="1:6" x14ac:dyDescent="0.25">
      <c r="A88046"/>
      <c r="B88046"/>
      <c r="C88046"/>
      <c r="E88046"/>
      <c r="F88046"/>
    </row>
    <row r="88047" spans="1:6" x14ac:dyDescent="0.25">
      <c r="A88047"/>
      <c r="B88047"/>
      <c r="C88047"/>
      <c r="E88047"/>
      <c r="F88047"/>
    </row>
    <row r="88048" spans="1:6" x14ac:dyDescent="0.25">
      <c r="A88048"/>
      <c r="B88048"/>
      <c r="C88048"/>
      <c r="E88048"/>
      <c r="F88048"/>
    </row>
    <row r="88049" spans="1:6" x14ac:dyDescent="0.25">
      <c r="A88049"/>
      <c r="B88049"/>
      <c r="C88049"/>
      <c r="E88049"/>
      <c r="F88049"/>
    </row>
    <row r="88050" spans="1:6" x14ac:dyDescent="0.25">
      <c r="A88050"/>
      <c r="B88050"/>
      <c r="C88050"/>
      <c r="E88050"/>
      <c r="F88050"/>
    </row>
    <row r="88051" spans="1:6" x14ac:dyDescent="0.25">
      <c r="A88051"/>
      <c r="B88051"/>
      <c r="C88051"/>
      <c r="E88051"/>
      <c r="F88051"/>
    </row>
    <row r="88052" spans="1:6" x14ac:dyDescent="0.25">
      <c r="A88052"/>
      <c r="B88052"/>
      <c r="C88052"/>
      <c r="E88052"/>
      <c r="F88052"/>
    </row>
    <row r="88053" spans="1:6" x14ac:dyDescent="0.25">
      <c r="A88053"/>
      <c r="B88053"/>
      <c r="C88053"/>
      <c r="E88053"/>
      <c r="F88053"/>
    </row>
    <row r="88054" spans="1:6" x14ac:dyDescent="0.25">
      <c r="A88054"/>
      <c r="B88054"/>
      <c r="C88054"/>
      <c r="E88054"/>
      <c r="F88054"/>
    </row>
    <row r="88055" spans="1:6" x14ac:dyDescent="0.25">
      <c r="A88055"/>
      <c r="B88055"/>
      <c r="C88055"/>
      <c r="E88055"/>
      <c r="F88055"/>
    </row>
    <row r="88056" spans="1:6" x14ac:dyDescent="0.25">
      <c r="A88056"/>
      <c r="B88056"/>
      <c r="C88056"/>
      <c r="E88056"/>
      <c r="F88056"/>
    </row>
    <row r="88057" spans="1:6" x14ac:dyDescent="0.25">
      <c r="A88057"/>
      <c r="B88057"/>
      <c r="C88057"/>
      <c r="E88057"/>
      <c r="F88057"/>
    </row>
    <row r="88058" spans="1:6" x14ac:dyDescent="0.25">
      <c r="A88058"/>
      <c r="B88058"/>
      <c r="C88058"/>
      <c r="E88058"/>
      <c r="F88058"/>
    </row>
    <row r="88059" spans="1:6" x14ac:dyDescent="0.25">
      <c r="A88059"/>
      <c r="B88059"/>
      <c r="C88059"/>
      <c r="E88059"/>
      <c r="F88059"/>
    </row>
    <row r="88060" spans="1:6" x14ac:dyDescent="0.25">
      <c r="A88060"/>
      <c r="B88060"/>
      <c r="C88060"/>
      <c r="E88060"/>
      <c r="F88060"/>
    </row>
    <row r="88061" spans="1:6" x14ac:dyDescent="0.25">
      <c r="A88061"/>
      <c r="B88061"/>
      <c r="C88061"/>
      <c r="E88061"/>
      <c r="F88061"/>
    </row>
    <row r="88062" spans="1:6" x14ac:dyDescent="0.25">
      <c r="A88062"/>
      <c r="B88062"/>
      <c r="C88062"/>
      <c r="E88062"/>
      <c r="F88062"/>
    </row>
    <row r="88063" spans="1:6" x14ac:dyDescent="0.25">
      <c r="A88063"/>
      <c r="B88063"/>
      <c r="C88063"/>
      <c r="E88063"/>
      <c r="F88063"/>
    </row>
    <row r="88064" spans="1:6" x14ac:dyDescent="0.25">
      <c r="A88064"/>
      <c r="B88064"/>
      <c r="C88064"/>
      <c r="E88064"/>
      <c r="F88064"/>
    </row>
    <row r="88065" spans="1:6" x14ac:dyDescent="0.25">
      <c r="A88065"/>
      <c r="B88065"/>
      <c r="C88065"/>
      <c r="E88065"/>
      <c r="F88065"/>
    </row>
    <row r="88066" spans="1:6" x14ac:dyDescent="0.25">
      <c r="A88066"/>
      <c r="B88066"/>
      <c r="C88066"/>
      <c r="E88066"/>
      <c r="F88066"/>
    </row>
    <row r="88067" spans="1:6" x14ac:dyDescent="0.25">
      <c r="A88067"/>
      <c r="B88067"/>
      <c r="C88067"/>
      <c r="E88067"/>
      <c r="F88067"/>
    </row>
    <row r="88068" spans="1:6" x14ac:dyDescent="0.25">
      <c r="A88068"/>
      <c r="B88068"/>
      <c r="C88068"/>
      <c r="E88068"/>
      <c r="F88068"/>
    </row>
    <row r="88069" spans="1:6" x14ac:dyDescent="0.25">
      <c r="A88069"/>
      <c r="B88069"/>
      <c r="C88069"/>
      <c r="E88069"/>
      <c r="F88069"/>
    </row>
    <row r="88070" spans="1:6" x14ac:dyDescent="0.25">
      <c r="A88070"/>
      <c r="B88070"/>
      <c r="C88070"/>
      <c r="E88070"/>
      <c r="F88070"/>
    </row>
    <row r="88071" spans="1:6" x14ac:dyDescent="0.25">
      <c r="A88071"/>
      <c r="B88071"/>
      <c r="C88071"/>
      <c r="E88071"/>
      <c r="F88071"/>
    </row>
    <row r="88072" spans="1:6" x14ac:dyDescent="0.25">
      <c r="A88072"/>
      <c r="B88072"/>
      <c r="C88072"/>
      <c r="E88072"/>
      <c r="F88072"/>
    </row>
    <row r="88073" spans="1:6" x14ac:dyDescent="0.25">
      <c r="A88073"/>
      <c r="B88073"/>
      <c r="C88073"/>
      <c r="E88073"/>
      <c r="F88073"/>
    </row>
    <row r="88074" spans="1:6" x14ac:dyDescent="0.25">
      <c r="A88074"/>
      <c r="B88074"/>
      <c r="C88074"/>
      <c r="E88074"/>
      <c r="F88074"/>
    </row>
    <row r="88075" spans="1:6" x14ac:dyDescent="0.25">
      <c r="A88075"/>
      <c r="B88075"/>
      <c r="C88075"/>
      <c r="E88075"/>
      <c r="F88075"/>
    </row>
    <row r="88076" spans="1:6" x14ac:dyDescent="0.25">
      <c r="A88076"/>
      <c r="B88076"/>
      <c r="C88076"/>
      <c r="E88076"/>
      <c r="F88076"/>
    </row>
    <row r="88077" spans="1:6" x14ac:dyDescent="0.25">
      <c r="A88077"/>
      <c r="B88077"/>
      <c r="C88077"/>
      <c r="E88077"/>
      <c r="F88077"/>
    </row>
    <row r="88078" spans="1:6" x14ac:dyDescent="0.25">
      <c r="A88078"/>
      <c r="B88078"/>
      <c r="C88078"/>
      <c r="E88078"/>
      <c r="F88078"/>
    </row>
    <row r="88079" spans="1:6" x14ac:dyDescent="0.25">
      <c r="A88079"/>
      <c r="B88079"/>
      <c r="C88079"/>
      <c r="E88079"/>
      <c r="F88079"/>
    </row>
    <row r="88080" spans="1:6" x14ac:dyDescent="0.25">
      <c r="A88080"/>
      <c r="B88080"/>
      <c r="C88080"/>
      <c r="E88080"/>
      <c r="F88080"/>
    </row>
    <row r="88081" spans="1:6" x14ac:dyDescent="0.25">
      <c r="A88081"/>
      <c r="B88081"/>
      <c r="C88081"/>
      <c r="E88081"/>
      <c r="F88081"/>
    </row>
    <row r="88082" spans="1:6" x14ac:dyDescent="0.25">
      <c r="A88082"/>
      <c r="B88082"/>
      <c r="C88082"/>
      <c r="E88082"/>
      <c r="F88082"/>
    </row>
    <row r="88083" spans="1:6" x14ac:dyDescent="0.25">
      <c r="A88083"/>
      <c r="B88083"/>
      <c r="C88083"/>
      <c r="E88083"/>
      <c r="F88083"/>
    </row>
    <row r="88084" spans="1:6" x14ac:dyDescent="0.25">
      <c r="A88084"/>
      <c r="B88084"/>
      <c r="C88084"/>
      <c r="E88084"/>
      <c r="F88084"/>
    </row>
    <row r="88085" spans="1:6" x14ac:dyDescent="0.25">
      <c r="A88085"/>
      <c r="B88085"/>
      <c r="C88085"/>
      <c r="E88085"/>
      <c r="F88085"/>
    </row>
    <row r="88086" spans="1:6" x14ac:dyDescent="0.25">
      <c r="A88086"/>
      <c r="B88086"/>
      <c r="C88086"/>
      <c r="E88086"/>
      <c r="F88086"/>
    </row>
    <row r="88087" spans="1:6" x14ac:dyDescent="0.25">
      <c r="A88087"/>
      <c r="B88087"/>
      <c r="C88087"/>
      <c r="E88087"/>
      <c r="F88087"/>
    </row>
    <row r="88088" spans="1:6" x14ac:dyDescent="0.25">
      <c r="A88088"/>
      <c r="B88088"/>
      <c r="C88088"/>
      <c r="E88088"/>
      <c r="F88088"/>
    </row>
    <row r="88089" spans="1:6" x14ac:dyDescent="0.25">
      <c r="A88089"/>
      <c r="B88089"/>
      <c r="C88089"/>
      <c r="E88089"/>
      <c r="F88089"/>
    </row>
    <row r="88090" spans="1:6" x14ac:dyDescent="0.25">
      <c r="A88090"/>
      <c r="B88090"/>
      <c r="C88090"/>
      <c r="E88090"/>
      <c r="F88090"/>
    </row>
    <row r="88091" spans="1:6" x14ac:dyDescent="0.25">
      <c r="A88091"/>
      <c r="B88091"/>
      <c r="C88091"/>
      <c r="E88091"/>
      <c r="F88091"/>
    </row>
    <row r="88092" spans="1:6" x14ac:dyDescent="0.25">
      <c r="A88092"/>
      <c r="B88092"/>
      <c r="C88092"/>
      <c r="E88092"/>
      <c r="F88092"/>
    </row>
    <row r="88093" spans="1:6" x14ac:dyDescent="0.25">
      <c r="A88093"/>
      <c r="B88093"/>
      <c r="C88093"/>
      <c r="E88093"/>
      <c r="F88093"/>
    </row>
    <row r="88094" spans="1:6" x14ac:dyDescent="0.25">
      <c r="A88094"/>
      <c r="B88094"/>
      <c r="C88094"/>
      <c r="E88094"/>
      <c r="F88094"/>
    </row>
    <row r="88095" spans="1:6" x14ac:dyDescent="0.25">
      <c r="A88095"/>
      <c r="B88095"/>
      <c r="C88095"/>
      <c r="E88095"/>
      <c r="F88095"/>
    </row>
    <row r="88096" spans="1:6" x14ac:dyDescent="0.25">
      <c r="A88096"/>
      <c r="B88096"/>
      <c r="C88096"/>
      <c r="E88096"/>
      <c r="F88096"/>
    </row>
    <row r="88097" spans="1:6" x14ac:dyDescent="0.25">
      <c r="A88097"/>
      <c r="B88097"/>
      <c r="C88097"/>
      <c r="E88097"/>
      <c r="F88097"/>
    </row>
    <row r="88098" spans="1:6" x14ac:dyDescent="0.25">
      <c r="A88098"/>
      <c r="B88098"/>
      <c r="C88098"/>
      <c r="E88098"/>
      <c r="F88098"/>
    </row>
    <row r="88099" spans="1:6" x14ac:dyDescent="0.25">
      <c r="A88099"/>
      <c r="B88099"/>
      <c r="C88099"/>
      <c r="E88099"/>
      <c r="F88099"/>
    </row>
    <row r="88100" spans="1:6" x14ac:dyDescent="0.25">
      <c r="A88100"/>
      <c r="B88100"/>
      <c r="C88100"/>
      <c r="E88100"/>
      <c r="F88100"/>
    </row>
    <row r="88101" spans="1:6" x14ac:dyDescent="0.25">
      <c r="A88101"/>
      <c r="B88101"/>
      <c r="C88101"/>
      <c r="E88101"/>
      <c r="F88101"/>
    </row>
    <row r="88102" spans="1:6" x14ac:dyDescent="0.25">
      <c r="A88102"/>
      <c r="B88102"/>
      <c r="C88102"/>
      <c r="E88102"/>
      <c r="F88102"/>
    </row>
    <row r="88103" spans="1:6" x14ac:dyDescent="0.25">
      <c r="A88103"/>
      <c r="B88103"/>
      <c r="C88103"/>
      <c r="E88103"/>
      <c r="F88103"/>
    </row>
    <row r="88104" spans="1:6" x14ac:dyDescent="0.25">
      <c r="A88104"/>
      <c r="B88104"/>
      <c r="C88104"/>
      <c r="E88104"/>
      <c r="F88104"/>
    </row>
    <row r="88105" spans="1:6" x14ac:dyDescent="0.25">
      <c r="A88105"/>
      <c r="B88105"/>
      <c r="C88105"/>
      <c r="E88105"/>
      <c r="F88105"/>
    </row>
    <row r="88106" spans="1:6" x14ac:dyDescent="0.25">
      <c r="A88106"/>
      <c r="B88106"/>
      <c r="C88106"/>
      <c r="E88106"/>
      <c r="F88106"/>
    </row>
    <row r="88107" spans="1:6" x14ac:dyDescent="0.25">
      <c r="A88107"/>
      <c r="B88107"/>
      <c r="C88107"/>
      <c r="E88107"/>
      <c r="F88107"/>
    </row>
    <row r="88108" spans="1:6" x14ac:dyDescent="0.25">
      <c r="A88108"/>
      <c r="B88108"/>
      <c r="C88108"/>
      <c r="E88108"/>
      <c r="F88108"/>
    </row>
    <row r="88109" spans="1:6" x14ac:dyDescent="0.25">
      <c r="A88109"/>
      <c r="B88109"/>
      <c r="C88109"/>
      <c r="E88109"/>
      <c r="F88109"/>
    </row>
    <row r="88110" spans="1:6" x14ac:dyDescent="0.25">
      <c r="A88110"/>
      <c r="B88110"/>
      <c r="C88110"/>
      <c r="E88110"/>
      <c r="F88110"/>
    </row>
    <row r="88111" spans="1:6" x14ac:dyDescent="0.25">
      <c r="A88111"/>
      <c r="B88111"/>
      <c r="C88111"/>
      <c r="E88111"/>
      <c r="F88111"/>
    </row>
    <row r="88112" spans="1:6" x14ac:dyDescent="0.25">
      <c r="A88112"/>
      <c r="B88112"/>
      <c r="C88112"/>
      <c r="E88112"/>
      <c r="F88112"/>
    </row>
    <row r="88113" spans="1:6" x14ac:dyDescent="0.25">
      <c r="A88113"/>
      <c r="B88113"/>
      <c r="C88113"/>
      <c r="E88113"/>
      <c r="F88113"/>
    </row>
    <row r="88114" spans="1:6" x14ac:dyDescent="0.25">
      <c r="A88114"/>
      <c r="B88114"/>
      <c r="C88114"/>
      <c r="E88114"/>
      <c r="F88114"/>
    </row>
    <row r="88115" spans="1:6" x14ac:dyDescent="0.25">
      <c r="A88115"/>
      <c r="B88115"/>
      <c r="C88115"/>
      <c r="E88115"/>
      <c r="F88115"/>
    </row>
    <row r="88116" spans="1:6" x14ac:dyDescent="0.25">
      <c r="A88116"/>
      <c r="B88116"/>
      <c r="C88116"/>
      <c r="E88116"/>
      <c r="F88116"/>
    </row>
    <row r="88117" spans="1:6" x14ac:dyDescent="0.25">
      <c r="A88117"/>
      <c r="B88117"/>
      <c r="C88117"/>
      <c r="E88117"/>
      <c r="F88117"/>
    </row>
    <row r="88118" spans="1:6" x14ac:dyDescent="0.25">
      <c r="A88118"/>
      <c r="B88118"/>
      <c r="C88118"/>
      <c r="E88118"/>
      <c r="F88118"/>
    </row>
    <row r="88119" spans="1:6" x14ac:dyDescent="0.25">
      <c r="A88119"/>
      <c r="B88119"/>
      <c r="C88119"/>
      <c r="E88119"/>
      <c r="F88119"/>
    </row>
    <row r="88120" spans="1:6" x14ac:dyDescent="0.25">
      <c r="A88120"/>
      <c r="B88120"/>
      <c r="C88120"/>
      <c r="E88120"/>
      <c r="F88120"/>
    </row>
    <row r="88121" spans="1:6" x14ac:dyDescent="0.25">
      <c r="A88121"/>
      <c r="B88121"/>
      <c r="C88121"/>
      <c r="E88121"/>
      <c r="F88121"/>
    </row>
    <row r="88122" spans="1:6" x14ac:dyDescent="0.25">
      <c r="A88122"/>
      <c r="B88122"/>
      <c r="C88122"/>
      <c r="E88122"/>
      <c r="F88122"/>
    </row>
    <row r="88123" spans="1:6" x14ac:dyDescent="0.25">
      <c r="A88123"/>
      <c r="B88123"/>
      <c r="C88123"/>
      <c r="E88123"/>
      <c r="F88123"/>
    </row>
    <row r="88124" spans="1:6" x14ac:dyDescent="0.25">
      <c r="A88124"/>
      <c r="B88124"/>
      <c r="C88124"/>
      <c r="E88124"/>
      <c r="F88124"/>
    </row>
    <row r="88125" spans="1:6" x14ac:dyDescent="0.25">
      <c r="A88125"/>
      <c r="B88125"/>
      <c r="C88125"/>
      <c r="E88125"/>
      <c r="F88125"/>
    </row>
    <row r="88126" spans="1:6" x14ac:dyDescent="0.25">
      <c r="A88126"/>
      <c r="B88126"/>
      <c r="C88126"/>
      <c r="E88126"/>
      <c r="F88126"/>
    </row>
    <row r="88127" spans="1:6" x14ac:dyDescent="0.25">
      <c r="A88127"/>
      <c r="B88127"/>
      <c r="C88127"/>
      <c r="E88127"/>
      <c r="F88127"/>
    </row>
    <row r="88128" spans="1:6" x14ac:dyDescent="0.25">
      <c r="A88128"/>
      <c r="B88128"/>
      <c r="C88128"/>
      <c r="E88128"/>
      <c r="F88128"/>
    </row>
    <row r="88129" spans="1:6" x14ac:dyDescent="0.25">
      <c r="A88129"/>
      <c r="B88129"/>
      <c r="C88129"/>
      <c r="E88129"/>
      <c r="F88129"/>
    </row>
    <row r="88130" spans="1:6" x14ac:dyDescent="0.25">
      <c r="A88130"/>
      <c r="B88130"/>
      <c r="C88130"/>
      <c r="E88130"/>
      <c r="F88130"/>
    </row>
    <row r="88131" spans="1:6" x14ac:dyDescent="0.25">
      <c r="A88131"/>
      <c r="B88131"/>
      <c r="C88131"/>
      <c r="E88131"/>
      <c r="F88131"/>
    </row>
    <row r="88132" spans="1:6" x14ac:dyDescent="0.25">
      <c r="A88132"/>
      <c r="B88132"/>
      <c r="C88132"/>
      <c r="E88132"/>
      <c r="F88132"/>
    </row>
    <row r="88133" spans="1:6" x14ac:dyDescent="0.25">
      <c r="A88133"/>
      <c r="B88133"/>
      <c r="C88133"/>
      <c r="E88133"/>
      <c r="F88133"/>
    </row>
    <row r="88134" spans="1:6" x14ac:dyDescent="0.25">
      <c r="A88134"/>
      <c r="B88134"/>
      <c r="C88134"/>
      <c r="E88134"/>
      <c r="F88134"/>
    </row>
    <row r="88135" spans="1:6" x14ac:dyDescent="0.25">
      <c r="A88135"/>
      <c r="B88135"/>
      <c r="C88135"/>
      <c r="E88135"/>
      <c r="F88135"/>
    </row>
    <row r="88136" spans="1:6" x14ac:dyDescent="0.25">
      <c r="A88136"/>
      <c r="B88136"/>
      <c r="C88136"/>
      <c r="E88136"/>
      <c r="F88136"/>
    </row>
    <row r="88137" spans="1:6" x14ac:dyDescent="0.25">
      <c r="A88137"/>
      <c r="B88137"/>
      <c r="C88137"/>
      <c r="E88137"/>
      <c r="F88137"/>
    </row>
    <row r="88138" spans="1:6" x14ac:dyDescent="0.25">
      <c r="A88138"/>
      <c r="B88138"/>
      <c r="C88138"/>
      <c r="E88138"/>
      <c r="F88138"/>
    </row>
    <row r="88139" spans="1:6" x14ac:dyDescent="0.25">
      <c r="A88139"/>
      <c r="B88139"/>
      <c r="C88139"/>
      <c r="E88139"/>
      <c r="F88139"/>
    </row>
    <row r="88140" spans="1:6" x14ac:dyDescent="0.25">
      <c r="A88140"/>
      <c r="B88140"/>
      <c r="C88140"/>
      <c r="E88140"/>
      <c r="F88140"/>
    </row>
    <row r="88141" spans="1:6" x14ac:dyDescent="0.25">
      <c r="A88141"/>
      <c r="B88141"/>
      <c r="C88141"/>
      <c r="E88141"/>
      <c r="F88141"/>
    </row>
    <row r="88142" spans="1:6" x14ac:dyDescent="0.25">
      <c r="A88142"/>
      <c r="B88142"/>
      <c r="C88142"/>
      <c r="E88142"/>
      <c r="F88142"/>
    </row>
    <row r="88143" spans="1:6" x14ac:dyDescent="0.25">
      <c r="A88143"/>
      <c r="B88143"/>
      <c r="C88143"/>
      <c r="E88143"/>
      <c r="F88143"/>
    </row>
    <row r="88144" spans="1:6" x14ac:dyDescent="0.25">
      <c r="A88144"/>
      <c r="B88144"/>
      <c r="C88144"/>
      <c r="E88144"/>
      <c r="F88144"/>
    </row>
    <row r="88145" spans="1:6" x14ac:dyDescent="0.25">
      <c r="A88145"/>
      <c r="B88145"/>
      <c r="C88145"/>
      <c r="E88145"/>
      <c r="F88145"/>
    </row>
    <row r="88146" spans="1:6" x14ac:dyDescent="0.25">
      <c r="A88146"/>
      <c r="B88146"/>
      <c r="C88146"/>
      <c r="E88146"/>
      <c r="F88146"/>
    </row>
    <row r="88147" spans="1:6" x14ac:dyDescent="0.25">
      <c r="A88147"/>
      <c r="B88147"/>
      <c r="C88147"/>
      <c r="E88147"/>
      <c r="F88147"/>
    </row>
    <row r="88148" spans="1:6" x14ac:dyDescent="0.25">
      <c r="A88148"/>
      <c r="B88148"/>
      <c r="C88148"/>
      <c r="E88148"/>
      <c r="F88148"/>
    </row>
    <row r="88149" spans="1:6" x14ac:dyDescent="0.25">
      <c r="A88149"/>
      <c r="B88149"/>
      <c r="C88149"/>
      <c r="E88149"/>
      <c r="F88149"/>
    </row>
    <row r="88150" spans="1:6" x14ac:dyDescent="0.25">
      <c r="A88150"/>
      <c r="B88150"/>
      <c r="C88150"/>
      <c r="E88150"/>
      <c r="F88150"/>
    </row>
    <row r="88151" spans="1:6" x14ac:dyDescent="0.25">
      <c r="A88151"/>
      <c r="B88151"/>
      <c r="C88151"/>
      <c r="E88151"/>
      <c r="F88151"/>
    </row>
    <row r="88152" spans="1:6" x14ac:dyDescent="0.25">
      <c r="A88152"/>
      <c r="B88152"/>
      <c r="C88152"/>
      <c r="E88152"/>
      <c r="F88152"/>
    </row>
    <row r="88153" spans="1:6" x14ac:dyDescent="0.25">
      <c r="A88153"/>
      <c r="B88153"/>
      <c r="C88153"/>
      <c r="E88153"/>
      <c r="F88153"/>
    </row>
    <row r="88154" spans="1:6" x14ac:dyDescent="0.25">
      <c r="A88154"/>
      <c r="B88154"/>
      <c r="C88154"/>
      <c r="E88154"/>
      <c r="F88154"/>
    </row>
    <row r="88155" spans="1:6" x14ac:dyDescent="0.25">
      <c r="A88155"/>
      <c r="B88155"/>
      <c r="C88155"/>
      <c r="E88155"/>
      <c r="F88155"/>
    </row>
    <row r="88156" spans="1:6" x14ac:dyDescent="0.25">
      <c r="A88156"/>
      <c r="B88156"/>
      <c r="C88156"/>
      <c r="E88156"/>
      <c r="F88156"/>
    </row>
    <row r="88157" spans="1:6" x14ac:dyDescent="0.25">
      <c r="A88157"/>
      <c r="B88157"/>
      <c r="C88157"/>
      <c r="E88157"/>
      <c r="F88157"/>
    </row>
    <row r="88158" spans="1:6" x14ac:dyDescent="0.25">
      <c r="A88158"/>
      <c r="B88158"/>
      <c r="C88158"/>
      <c r="E88158"/>
      <c r="F88158"/>
    </row>
    <row r="88159" spans="1:6" x14ac:dyDescent="0.25">
      <c r="A88159"/>
      <c r="B88159"/>
      <c r="C88159"/>
      <c r="E88159"/>
      <c r="F88159"/>
    </row>
    <row r="88160" spans="1:6" x14ac:dyDescent="0.25">
      <c r="A88160"/>
      <c r="B88160"/>
      <c r="C88160"/>
      <c r="E88160"/>
      <c r="F88160"/>
    </row>
    <row r="88161" spans="1:6" x14ac:dyDescent="0.25">
      <c r="A88161"/>
      <c r="B88161"/>
      <c r="C88161"/>
      <c r="E88161"/>
      <c r="F88161"/>
    </row>
    <row r="88162" spans="1:6" x14ac:dyDescent="0.25">
      <c r="A88162"/>
      <c r="B88162"/>
      <c r="C88162"/>
      <c r="E88162"/>
      <c r="F88162"/>
    </row>
    <row r="88163" spans="1:6" x14ac:dyDescent="0.25">
      <c r="A88163"/>
      <c r="B88163"/>
      <c r="C88163"/>
      <c r="E88163"/>
      <c r="F88163"/>
    </row>
    <row r="88164" spans="1:6" x14ac:dyDescent="0.25">
      <c r="A88164"/>
      <c r="B88164"/>
      <c r="C88164"/>
      <c r="E88164"/>
      <c r="F88164"/>
    </row>
    <row r="88165" spans="1:6" x14ac:dyDescent="0.25">
      <c r="A88165"/>
      <c r="B88165"/>
      <c r="C88165"/>
      <c r="E88165"/>
      <c r="F88165"/>
    </row>
    <row r="88166" spans="1:6" x14ac:dyDescent="0.25">
      <c r="A88166"/>
      <c r="B88166"/>
      <c r="C88166"/>
      <c r="E88166"/>
      <c r="F88166"/>
    </row>
    <row r="88167" spans="1:6" x14ac:dyDescent="0.25">
      <c r="A88167"/>
      <c r="B88167"/>
      <c r="C88167"/>
      <c r="E88167"/>
      <c r="F88167"/>
    </row>
    <row r="88168" spans="1:6" x14ac:dyDescent="0.25">
      <c r="A88168"/>
      <c r="B88168"/>
      <c r="C88168"/>
      <c r="E88168"/>
      <c r="F88168"/>
    </row>
    <row r="88169" spans="1:6" x14ac:dyDescent="0.25">
      <c r="A88169"/>
      <c r="B88169"/>
      <c r="C88169"/>
      <c r="E88169"/>
      <c r="F88169"/>
    </row>
    <row r="88170" spans="1:6" x14ac:dyDescent="0.25">
      <c r="A88170"/>
      <c r="B88170"/>
      <c r="C88170"/>
      <c r="E88170"/>
      <c r="F88170"/>
    </row>
    <row r="88171" spans="1:6" x14ac:dyDescent="0.25">
      <c r="A88171"/>
      <c r="B88171"/>
      <c r="C88171"/>
      <c r="E88171"/>
      <c r="F88171"/>
    </row>
    <row r="88172" spans="1:6" x14ac:dyDescent="0.25">
      <c r="A88172"/>
      <c r="B88172"/>
      <c r="C88172"/>
      <c r="E88172"/>
      <c r="F88172"/>
    </row>
    <row r="88173" spans="1:6" x14ac:dyDescent="0.25">
      <c r="A88173"/>
      <c r="B88173"/>
      <c r="C88173"/>
      <c r="E88173"/>
      <c r="F88173"/>
    </row>
    <row r="88174" spans="1:6" x14ac:dyDescent="0.25">
      <c r="A88174"/>
      <c r="B88174"/>
      <c r="C88174"/>
      <c r="E88174"/>
      <c r="F88174"/>
    </row>
    <row r="88175" spans="1:6" x14ac:dyDescent="0.25">
      <c r="A88175"/>
      <c r="B88175"/>
      <c r="C88175"/>
      <c r="E88175"/>
      <c r="F88175"/>
    </row>
    <row r="88176" spans="1:6" x14ac:dyDescent="0.25">
      <c r="A88176"/>
      <c r="B88176"/>
      <c r="C88176"/>
      <c r="E88176"/>
      <c r="F88176"/>
    </row>
    <row r="88177" spans="1:6" x14ac:dyDescent="0.25">
      <c r="A88177"/>
      <c r="B88177"/>
      <c r="C88177"/>
      <c r="E88177"/>
      <c r="F88177"/>
    </row>
    <row r="88178" spans="1:6" x14ac:dyDescent="0.25">
      <c r="A88178"/>
      <c r="B88178"/>
      <c r="C88178"/>
      <c r="E88178"/>
      <c r="F88178"/>
    </row>
    <row r="88179" spans="1:6" x14ac:dyDescent="0.25">
      <c r="A88179"/>
      <c r="B88179"/>
      <c r="C88179"/>
      <c r="E88179"/>
      <c r="F88179"/>
    </row>
    <row r="88180" spans="1:6" x14ac:dyDescent="0.25">
      <c r="A88180"/>
      <c r="B88180"/>
      <c r="C88180"/>
      <c r="E88180"/>
      <c r="F88180"/>
    </row>
    <row r="88181" spans="1:6" x14ac:dyDescent="0.25">
      <c r="A88181"/>
      <c r="B88181"/>
      <c r="C88181"/>
      <c r="E88181"/>
      <c r="F88181"/>
    </row>
    <row r="88182" spans="1:6" x14ac:dyDescent="0.25">
      <c r="A88182"/>
      <c r="B88182"/>
      <c r="C88182"/>
      <c r="E88182"/>
      <c r="F88182"/>
    </row>
    <row r="88183" spans="1:6" x14ac:dyDescent="0.25">
      <c r="A88183"/>
      <c r="B88183"/>
      <c r="C88183"/>
      <c r="E88183"/>
      <c r="F88183"/>
    </row>
    <row r="88184" spans="1:6" x14ac:dyDescent="0.25">
      <c r="A88184"/>
      <c r="B88184"/>
      <c r="C88184"/>
      <c r="E88184"/>
      <c r="F88184"/>
    </row>
    <row r="88185" spans="1:6" x14ac:dyDescent="0.25">
      <c r="A88185"/>
      <c r="B88185"/>
      <c r="C88185"/>
      <c r="E88185"/>
      <c r="F88185"/>
    </row>
    <row r="88186" spans="1:6" x14ac:dyDescent="0.25">
      <c r="A88186"/>
      <c r="B88186"/>
      <c r="C88186"/>
      <c r="E88186"/>
      <c r="F88186"/>
    </row>
    <row r="88187" spans="1:6" x14ac:dyDescent="0.25">
      <c r="A88187"/>
      <c r="B88187"/>
      <c r="C88187"/>
      <c r="E88187"/>
      <c r="F88187"/>
    </row>
    <row r="88188" spans="1:6" x14ac:dyDescent="0.25">
      <c r="A88188"/>
      <c r="B88188"/>
      <c r="C88188"/>
      <c r="E88188"/>
      <c r="F88188"/>
    </row>
    <row r="88189" spans="1:6" x14ac:dyDescent="0.25">
      <c r="A88189"/>
      <c r="B88189"/>
      <c r="C88189"/>
      <c r="E88189"/>
      <c r="F88189"/>
    </row>
    <row r="88190" spans="1:6" x14ac:dyDescent="0.25">
      <c r="A88190"/>
      <c r="B88190"/>
      <c r="C88190"/>
      <c r="E88190"/>
      <c r="F88190"/>
    </row>
    <row r="88191" spans="1:6" x14ac:dyDescent="0.25">
      <c r="A88191"/>
      <c r="B88191"/>
      <c r="C88191"/>
      <c r="E88191"/>
      <c r="F88191"/>
    </row>
    <row r="88192" spans="1:6" x14ac:dyDescent="0.25">
      <c r="A88192"/>
      <c r="B88192"/>
      <c r="C88192"/>
      <c r="E88192"/>
      <c r="F88192"/>
    </row>
    <row r="88193" spans="1:6" x14ac:dyDescent="0.25">
      <c r="A88193"/>
      <c r="B88193"/>
      <c r="C88193"/>
      <c r="E88193"/>
      <c r="F88193"/>
    </row>
    <row r="88194" spans="1:6" x14ac:dyDescent="0.25">
      <c r="A88194"/>
      <c r="B88194"/>
      <c r="C88194"/>
      <c r="E88194"/>
      <c r="F88194"/>
    </row>
    <row r="88195" spans="1:6" x14ac:dyDescent="0.25">
      <c r="A88195"/>
      <c r="B88195"/>
      <c r="C88195"/>
      <c r="E88195"/>
      <c r="F88195"/>
    </row>
    <row r="88196" spans="1:6" x14ac:dyDescent="0.25">
      <c r="A88196"/>
      <c r="B88196"/>
      <c r="C88196"/>
      <c r="E88196"/>
      <c r="F88196"/>
    </row>
    <row r="88197" spans="1:6" x14ac:dyDescent="0.25">
      <c r="A88197"/>
      <c r="B88197"/>
      <c r="C88197"/>
      <c r="E88197"/>
      <c r="F88197"/>
    </row>
    <row r="88198" spans="1:6" x14ac:dyDescent="0.25">
      <c r="A88198"/>
      <c r="B88198"/>
      <c r="C88198"/>
      <c r="E88198"/>
      <c r="F88198"/>
    </row>
    <row r="88199" spans="1:6" x14ac:dyDescent="0.25">
      <c r="A88199"/>
      <c r="B88199"/>
      <c r="C88199"/>
      <c r="E88199"/>
      <c r="F88199"/>
    </row>
    <row r="88200" spans="1:6" x14ac:dyDescent="0.25">
      <c r="A88200"/>
      <c r="B88200"/>
      <c r="C88200"/>
      <c r="E88200"/>
      <c r="F88200"/>
    </row>
    <row r="88201" spans="1:6" x14ac:dyDescent="0.25">
      <c r="A88201"/>
      <c r="B88201"/>
      <c r="C88201"/>
      <c r="E88201"/>
      <c r="F88201"/>
    </row>
    <row r="88202" spans="1:6" x14ac:dyDescent="0.25">
      <c r="A88202"/>
      <c r="B88202"/>
      <c r="C88202"/>
      <c r="E88202"/>
      <c r="F88202"/>
    </row>
    <row r="88203" spans="1:6" x14ac:dyDescent="0.25">
      <c r="A88203"/>
      <c r="B88203"/>
      <c r="C88203"/>
      <c r="E88203"/>
      <c r="F88203"/>
    </row>
    <row r="88204" spans="1:6" x14ac:dyDescent="0.25">
      <c r="A88204"/>
      <c r="B88204"/>
      <c r="C88204"/>
      <c r="E88204"/>
      <c r="F88204"/>
    </row>
    <row r="88205" spans="1:6" x14ac:dyDescent="0.25">
      <c r="A88205"/>
      <c r="B88205"/>
      <c r="C88205"/>
      <c r="E88205"/>
      <c r="F88205"/>
    </row>
    <row r="88206" spans="1:6" x14ac:dyDescent="0.25">
      <c r="A88206"/>
      <c r="B88206"/>
      <c r="C88206"/>
      <c r="E88206"/>
      <c r="F88206"/>
    </row>
    <row r="88207" spans="1:6" x14ac:dyDescent="0.25">
      <c r="A88207"/>
      <c r="B88207"/>
      <c r="C88207"/>
      <c r="E88207"/>
      <c r="F88207"/>
    </row>
    <row r="88208" spans="1:6" x14ac:dyDescent="0.25">
      <c r="A88208"/>
      <c r="B88208"/>
      <c r="C88208"/>
      <c r="E88208"/>
      <c r="F88208"/>
    </row>
    <row r="88209" spans="1:6" x14ac:dyDescent="0.25">
      <c r="A88209"/>
      <c r="B88209"/>
      <c r="C88209"/>
      <c r="E88209"/>
      <c r="F88209"/>
    </row>
    <row r="88210" spans="1:6" x14ac:dyDescent="0.25">
      <c r="A88210"/>
      <c r="B88210"/>
      <c r="C88210"/>
      <c r="E88210"/>
      <c r="F88210"/>
    </row>
    <row r="88211" spans="1:6" x14ac:dyDescent="0.25">
      <c r="A88211"/>
      <c r="B88211"/>
      <c r="C88211"/>
      <c r="E88211"/>
      <c r="F88211"/>
    </row>
    <row r="88212" spans="1:6" x14ac:dyDescent="0.25">
      <c r="A88212"/>
      <c r="B88212"/>
      <c r="C88212"/>
      <c r="E88212"/>
      <c r="F88212"/>
    </row>
    <row r="88213" spans="1:6" x14ac:dyDescent="0.25">
      <c r="A88213"/>
      <c r="B88213"/>
      <c r="C88213"/>
      <c r="E88213"/>
      <c r="F88213"/>
    </row>
    <row r="88214" spans="1:6" x14ac:dyDescent="0.25">
      <c r="A88214"/>
      <c r="B88214"/>
      <c r="C88214"/>
      <c r="E88214"/>
      <c r="F88214"/>
    </row>
    <row r="88215" spans="1:6" x14ac:dyDescent="0.25">
      <c r="A88215"/>
      <c r="B88215"/>
      <c r="C88215"/>
      <c r="E88215"/>
      <c r="F88215"/>
    </row>
    <row r="88216" spans="1:6" x14ac:dyDescent="0.25">
      <c r="A88216"/>
      <c r="B88216"/>
      <c r="C88216"/>
      <c r="E88216"/>
      <c r="F88216"/>
    </row>
    <row r="88217" spans="1:6" x14ac:dyDescent="0.25">
      <c r="A88217"/>
      <c r="B88217"/>
      <c r="C88217"/>
      <c r="E88217"/>
      <c r="F88217"/>
    </row>
    <row r="88218" spans="1:6" x14ac:dyDescent="0.25">
      <c r="A88218"/>
      <c r="B88218"/>
      <c r="C88218"/>
      <c r="E88218"/>
      <c r="F88218"/>
    </row>
    <row r="88219" spans="1:6" x14ac:dyDescent="0.25">
      <c r="A88219"/>
      <c r="B88219"/>
      <c r="C88219"/>
      <c r="E88219"/>
      <c r="F88219"/>
    </row>
    <row r="88220" spans="1:6" x14ac:dyDescent="0.25">
      <c r="A88220"/>
      <c r="B88220"/>
      <c r="C88220"/>
      <c r="E88220"/>
      <c r="F88220"/>
    </row>
    <row r="88221" spans="1:6" x14ac:dyDescent="0.25">
      <c r="A88221"/>
      <c r="B88221"/>
      <c r="C88221"/>
      <c r="E88221"/>
      <c r="F88221"/>
    </row>
    <row r="88222" spans="1:6" x14ac:dyDescent="0.25">
      <c r="A88222"/>
      <c r="B88222"/>
      <c r="C88222"/>
      <c r="E88222"/>
      <c r="F88222"/>
    </row>
    <row r="88223" spans="1:6" x14ac:dyDescent="0.25">
      <c r="A88223"/>
      <c r="B88223"/>
      <c r="C88223"/>
      <c r="E88223"/>
      <c r="F88223"/>
    </row>
    <row r="88224" spans="1:6" x14ac:dyDescent="0.25">
      <c r="A88224"/>
      <c r="B88224"/>
      <c r="C88224"/>
      <c r="E88224"/>
      <c r="F88224"/>
    </row>
    <row r="88225" spans="1:6" x14ac:dyDescent="0.25">
      <c r="A88225"/>
      <c r="B88225"/>
      <c r="C88225"/>
      <c r="E88225"/>
      <c r="F88225"/>
    </row>
    <row r="88226" spans="1:6" x14ac:dyDescent="0.25">
      <c r="A88226"/>
      <c r="B88226"/>
      <c r="C88226"/>
      <c r="E88226"/>
      <c r="F88226"/>
    </row>
    <row r="88227" spans="1:6" x14ac:dyDescent="0.25">
      <c r="A88227"/>
      <c r="B88227"/>
      <c r="C88227"/>
      <c r="E88227"/>
      <c r="F88227"/>
    </row>
    <row r="88228" spans="1:6" x14ac:dyDescent="0.25">
      <c r="A88228"/>
      <c r="B88228"/>
      <c r="C88228"/>
      <c r="E88228"/>
      <c r="F88228"/>
    </row>
    <row r="88229" spans="1:6" x14ac:dyDescent="0.25">
      <c r="A88229"/>
      <c r="B88229"/>
      <c r="C88229"/>
      <c r="E88229"/>
      <c r="F88229"/>
    </row>
    <row r="88230" spans="1:6" x14ac:dyDescent="0.25">
      <c r="A88230"/>
      <c r="B88230"/>
      <c r="C88230"/>
      <c r="E88230"/>
      <c r="F88230"/>
    </row>
    <row r="88231" spans="1:6" x14ac:dyDescent="0.25">
      <c r="A88231"/>
      <c r="B88231"/>
      <c r="C88231"/>
      <c r="E88231"/>
      <c r="F88231"/>
    </row>
    <row r="88232" spans="1:6" x14ac:dyDescent="0.25">
      <c r="A88232"/>
      <c r="B88232"/>
      <c r="C88232"/>
      <c r="E88232"/>
      <c r="F88232"/>
    </row>
    <row r="88233" spans="1:6" x14ac:dyDescent="0.25">
      <c r="A88233"/>
      <c r="B88233"/>
      <c r="C88233"/>
      <c r="E88233"/>
      <c r="F88233"/>
    </row>
    <row r="88234" spans="1:6" x14ac:dyDescent="0.25">
      <c r="A88234"/>
      <c r="B88234"/>
      <c r="C88234"/>
      <c r="E88234"/>
      <c r="F88234"/>
    </row>
    <row r="88235" spans="1:6" x14ac:dyDescent="0.25">
      <c r="A88235"/>
      <c r="B88235"/>
      <c r="C88235"/>
      <c r="E88235"/>
      <c r="F88235"/>
    </row>
    <row r="88236" spans="1:6" x14ac:dyDescent="0.25">
      <c r="A88236"/>
      <c r="B88236"/>
      <c r="C88236"/>
      <c r="E88236"/>
      <c r="F88236"/>
    </row>
    <row r="88237" spans="1:6" x14ac:dyDescent="0.25">
      <c r="A88237"/>
      <c r="B88237"/>
      <c r="C88237"/>
      <c r="E88237"/>
      <c r="F88237"/>
    </row>
    <row r="88238" spans="1:6" x14ac:dyDescent="0.25">
      <c r="A88238"/>
      <c r="B88238"/>
      <c r="C88238"/>
      <c r="E88238"/>
      <c r="F88238"/>
    </row>
    <row r="88239" spans="1:6" x14ac:dyDescent="0.25">
      <c r="A88239"/>
      <c r="B88239"/>
      <c r="C88239"/>
      <c r="E88239"/>
      <c r="F88239"/>
    </row>
    <row r="88240" spans="1:6" x14ac:dyDescent="0.25">
      <c r="A88240"/>
      <c r="B88240"/>
      <c r="C88240"/>
      <c r="E88240"/>
      <c r="F88240"/>
    </row>
    <row r="88241" spans="1:6" x14ac:dyDescent="0.25">
      <c r="A88241"/>
      <c r="B88241"/>
      <c r="C88241"/>
      <c r="E88241"/>
      <c r="F88241"/>
    </row>
    <row r="88242" spans="1:6" x14ac:dyDescent="0.25">
      <c r="A88242"/>
      <c r="B88242"/>
      <c r="C88242"/>
      <c r="E88242"/>
      <c r="F88242"/>
    </row>
    <row r="88243" spans="1:6" x14ac:dyDescent="0.25">
      <c r="A88243"/>
      <c r="B88243"/>
      <c r="C88243"/>
      <c r="E88243"/>
      <c r="F88243"/>
    </row>
    <row r="88244" spans="1:6" x14ac:dyDescent="0.25">
      <c r="A88244"/>
      <c r="B88244"/>
      <c r="C88244"/>
      <c r="E88244"/>
      <c r="F88244"/>
    </row>
    <row r="88245" spans="1:6" x14ac:dyDescent="0.25">
      <c r="A88245"/>
      <c r="B88245"/>
      <c r="C88245"/>
      <c r="E88245"/>
      <c r="F88245"/>
    </row>
    <row r="88246" spans="1:6" x14ac:dyDescent="0.25">
      <c r="A88246"/>
      <c r="B88246"/>
      <c r="C88246"/>
      <c r="E88246"/>
      <c r="F88246"/>
    </row>
    <row r="88247" spans="1:6" x14ac:dyDescent="0.25">
      <c r="A88247"/>
      <c r="B88247"/>
      <c r="C88247"/>
      <c r="E88247"/>
      <c r="F88247"/>
    </row>
    <row r="88248" spans="1:6" x14ac:dyDescent="0.25">
      <c r="A88248"/>
      <c r="B88248"/>
      <c r="C88248"/>
      <c r="E88248"/>
      <c r="F88248"/>
    </row>
    <row r="88249" spans="1:6" x14ac:dyDescent="0.25">
      <c r="A88249"/>
      <c r="B88249"/>
      <c r="C88249"/>
      <c r="E88249"/>
      <c r="F88249"/>
    </row>
    <row r="88250" spans="1:6" x14ac:dyDescent="0.25">
      <c r="A88250"/>
      <c r="B88250"/>
      <c r="C88250"/>
      <c r="E88250"/>
      <c r="F88250"/>
    </row>
    <row r="88251" spans="1:6" x14ac:dyDescent="0.25">
      <c r="A88251"/>
      <c r="B88251"/>
      <c r="C88251"/>
      <c r="E88251"/>
      <c r="F88251"/>
    </row>
    <row r="88252" spans="1:6" x14ac:dyDescent="0.25">
      <c r="A88252"/>
      <c r="B88252"/>
      <c r="C88252"/>
      <c r="E88252"/>
      <c r="F88252"/>
    </row>
    <row r="88253" spans="1:6" x14ac:dyDescent="0.25">
      <c r="A88253"/>
      <c r="B88253"/>
      <c r="C88253"/>
      <c r="E88253"/>
      <c r="F88253"/>
    </row>
    <row r="88254" spans="1:6" x14ac:dyDescent="0.25">
      <c r="A88254"/>
      <c r="B88254"/>
      <c r="C88254"/>
      <c r="E88254"/>
      <c r="F88254"/>
    </row>
    <row r="88255" spans="1:6" x14ac:dyDescent="0.25">
      <c r="A88255"/>
      <c r="B88255"/>
      <c r="C88255"/>
      <c r="E88255"/>
      <c r="F88255"/>
    </row>
    <row r="88256" spans="1:6" x14ac:dyDescent="0.25">
      <c r="A88256"/>
      <c r="B88256"/>
      <c r="C88256"/>
      <c r="E88256"/>
      <c r="F88256"/>
    </row>
    <row r="88257" spans="1:6" x14ac:dyDescent="0.25">
      <c r="A88257"/>
      <c r="B88257"/>
      <c r="C88257"/>
      <c r="E88257"/>
      <c r="F88257"/>
    </row>
    <row r="88258" spans="1:6" x14ac:dyDescent="0.25">
      <c r="A88258"/>
      <c r="B88258"/>
      <c r="C88258"/>
      <c r="E88258"/>
      <c r="F88258"/>
    </row>
    <row r="88259" spans="1:6" x14ac:dyDescent="0.25">
      <c r="A88259"/>
      <c r="B88259"/>
      <c r="C88259"/>
      <c r="E88259"/>
      <c r="F88259"/>
    </row>
    <row r="88260" spans="1:6" x14ac:dyDescent="0.25">
      <c r="A88260"/>
      <c r="B88260"/>
      <c r="C88260"/>
      <c r="E88260"/>
      <c r="F88260"/>
    </row>
    <row r="88261" spans="1:6" x14ac:dyDescent="0.25">
      <c r="A88261"/>
      <c r="B88261"/>
      <c r="C88261"/>
      <c r="E88261"/>
      <c r="F88261"/>
    </row>
    <row r="88262" spans="1:6" x14ac:dyDescent="0.25">
      <c r="A88262"/>
      <c r="B88262"/>
      <c r="C88262"/>
      <c r="E88262"/>
      <c r="F88262"/>
    </row>
    <row r="88263" spans="1:6" x14ac:dyDescent="0.25">
      <c r="A88263"/>
      <c r="B88263"/>
      <c r="C88263"/>
      <c r="E88263"/>
      <c r="F88263"/>
    </row>
    <row r="88264" spans="1:6" x14ac:dyDescent="0.25">
      <c r="A88264"/>
      <c r="B88264"/>
      <c r="C88264"/>
      <c r="E88264"/>
      <c r="F88264"/>
    </row>
    <row r="88265" spans="1:6" x14ac:dyDescent="0.25">
      <c r="A88265"/>
      <c r="B88265"/>
      <c r="C88265"/>
      <c r="E88265"/>
      <c r="F88265"/>
    </row>
    <row r="88266" spans="1:6" x14ac:dyDescent="0.25">
      <c r="A88266"/>
      <c r="B88266"/>
      <c r="C88266"/>
      <c r="E88266"/>
      <c r="F88266"/>
    </row>
    <row r="88267" spans="1:6" x14ac:dyDescent="0.25">
      <c r="A88267"/>
      <c r="B88267"/>
      <c r="C88267"/>
      <c r="E88267"/>
      <c r="F88267"/>
    </row>
    <row r="88268" spans="1:6" x14ac:dyDescent="0.25">
      <c r="A88268"/>
      <c r="B88268"/>
      <c r="C88268"/>
      <c r="E88268"/>
      <c r="F88268"/>
    </row>
    <row r="88269" spans="1:6" x14ac:dyDescent="0.25">
      <c r="A88269"/>
      <c r="B88269"/>
      <c r="C88269"/>
      <c r="E88269"/>
      <c r="F88269"/>
    </row>
    <row r="88270" spans="1:6" x14ac:dyDescent="0.25">
      <c r="A88270"/>
      <c r="B88270"/>
      <c r="C88270"/>
      <c r="E88270"/>
      <c r="F88270"/>
    </row>
    <row r="88271" spans="1:6" x14ac:dyDescent="0.25">
      <c r="A88271"/>
      <c r="B88271"/>
      <c r="C88271"/>
      <c r="E88271"/>
      <c r="F88271"/>
    </row>
    <row r="88272" spans="1:6" x14ac:dyDescent="0.25">
      <c r="A88272"/>
      <c r="B88272"/>
      <c r="C88272"/>
      <c r="E88272"/>
      <c r="F88272"/>
    </row>
    <row r="88273" spans="1:6" x14ac:dyDescent="0.25">
      <c r="A88273"/>
      <c r="B88273"/>
      <c r="C88273"/>
      <c r="E88273"/>
      <c r="F88273"/>
    </row>
    <row r="88274" spans="1:6" x14ac:dyDescent="0.25">
      <c r="A88274"/>
      <c r="B88274"/>
      <c r="C88274"/>
      <c r="E88274"/>
      <c r="F88274"/>
    </row>
    <row r="88275" spans="1:6" x14ac:dyDescent="0.25">
      <c r="A88275"/>
      <c r="B88275"/>
      <c r="C88275"/>
      <c r="E88275"/>
      <c r="F88275"/>
    </row>
    <row r="88276" spans="1:6" x14ac:dyDescent="0.25">
      <c r="A88276"/>
      <c r="B88276"/>
      <c r="C88276"/>
      <c r="E88276"/>
      <c r="F88276"/>
    </row>
    <row r="88277" spans="1:6" x14ac:dyDescent="0.25">
      <c r="A88277"/>
      <c r="B88277"/>
      <c r="C88277"/>
      <c r="E88277"/>
      <c r="F88277"/>
    </row>
    <row r="88278" spans="1:6" x14ac:dyDescent="0.25">
      <c r="A88278"/>
      <c r="B88278"/>
      <c r="C88278"/>
      <c r="E88278"/>
      <c r="F88278"/>
    </row>
    <row r="88279" spans="1:6" x14ac:dyDescent="0.25">
      <c r="A88279"/>
      <c r="B88279"/>
      <c r="C88279"/>
      <c r="E88279"/>
      <c r="F88279"/>
    </row>
    <row r="88280" spans="1:6" x14ac:dyDescent="0.25">
      <c r="A88280"/>
      <c r="B88280"/>
      <c r="C88280"/>
      <c r="E88280"/>
      <c r="F88280"/>
    </row>
    <row r="88281" spans="1:6" x14ac:dyDescent="0.25">
      <c r="A88281"/>
      <c r="B88281"/>
      <c r="C88281"/>
      <c r="E88281"/>
      <c r="F88281"/>
    </row>
    <row r="88282" spans="1:6" x14ac:dyDescent="0.25">
      <c r="A88282"/>
      <c r="B88282"/>
      <c r="C88282"/>
      <c r="E88282"/>
      <c r="F88282"/>
    </row>
    <row r="88283" spans="1:6" x14ac:dyDescent="0.25">
      <c r="A88283"/>
      <c r="B88283"/>
      <c r="C88283"/>
      <c r="E88283"/>
      <c r="F88283"/>
    </row>
    <row r="88284" spans="1:6" x14ac:dyDescent="0.25">
      <c r="A88284"/>
      <c r="B88284"/>
      <c r="C88284"/>
      <c r="E88284"/>
      <c r="F88284"/>
    </row>
    <row r="88285" spans="1:6" x14ac:dyDescent="0.25">
      <c r="A88285"/>
      <c r="B88285"/>
      <c r="C88285"/>
      <c r="E88285"/>
      <c r="F88285"/>
    </row>
    <row r="88286" spans="1:6" x14ac:dyDescent="0.25">
      <c r="A88286"/>
      <c r="B88286"/>
      <c r="C88286"/>
      <c r="E88286"/>
      <c r="F88286"/>
    </row>
    <row r="88287" spans="1:6" x14ac:dyDescent="0.25">
      <c r="A88287"/>
      <c r="B88287"/>
      <c r="C88287"/>
      <c r="E88287"/>
      <c r="F88287"/>
    </row>
    <row r="88288" spans="1:6" x14ac:dyDescent="0.25">
      <c r="A88288"/>
      <c r="B88288"/>
      <c r="C88288"/>
      <c r="E88288"/>
      <c r="F88288"/>
    </row>
    <row r="88289" spans="1:6" x14ac:dyDescent="0.25">
      <c r="A88289"/>
      <c r="B88289"/>
      <c r="C88289"/>
      <c r="E88289"/>
      <c r="F88289"/>
    </row>
    <row r="88290" spans="1:6" x14ac:dyDescent="0.25">
      <c r="A88290"/>
      <c r="B88290"/>
      <c r="C88290"/>
      <c r="E88290"/>
      <c r="F88290"/>
    </row>
    <row r="88291" spans="1:6" x14ac:dyDescent="0.25">
      <c r="A88291"/>
      <c r="B88291"/>
      <c r="C88291"/>
      <c r="E88291"/>
      <c r="F88291"/>
    </row>
    <row r="88292" spans="1:6" x14ac:dyDescent="0.25">
      <c r="A88292"/>
      <c r="B88292"/>
      <c r="C88292"/>
      <c r="E88292"/>
      <c r="F88292"/>
    </row>
    <row r="88293" spans="1:6" x14ac:dyDescent="0.25">
      <c r="A88293"/>
      <c r="B88293"/>
      <c r="C88293"/>
      <c r="E88293"/>
      <c r="F88293"/>
    </row>
    <row r="88294" spans="1:6" x14ac:dyDescent="0.25">
      <c r="A88294"/>
      <c r="B88294"/>
      <c r="C88294"/>
      <c r="E88294"/>
      <c r="F88294"/>
    </row>
    <row r="88295" spans="1:6" x14ac:dyDescent="0.25">
      <c r="A88295"/>
      <c r="B88295"/>
      <c r="C88295"/>
      <c r="E88295"/>
      <c r="F88295"/>
    </row>
    <row r="88296" spans="1:6" x14ac:dyDescent="0.25">
      <c r="A88296"/>
      <c r="B88296"/>
      <c r="C88296"/>
      <c r="E88296"/>
      <c r="F88296"/>
    </row>
    <row r="88297" spans="1:6" x14ac:dyDescent="0.25">
      <c r="A88297"/>
      <c r="B88297"/>
      <c r="C88297"/>
      <c r="E88297"/>
      <c r="F88297"/>
    </row>
    <row r="88298" spans="1:6" x14ac:dyDescent="0.25">
      <c r="A88298"/>
      <c r="B88298"/>
      <c r="C88298"/>
      <c r="E88298"/>
      <c r="F88298"/>
    </row>
    <row r="88299" spans="1:6" x14ac:dyDescent="0.25">
      <c r="A88299"/>
      <c r="B88299"/>
      <c r="C88299"/>
      <c r="E88299"/>
      <c r="F88299"/>
    </row>
    <row r="88300" spans="1:6" x14ac:dyDescent="0.25">
      <c r="A88300"/>
      <c r="B88300"/>
      <c r="C88300"/>
      <c r="E88300"/>
      <c r="F88300"/>
    </row>
    <row r="88301" spans="1:6" x14ac:dyDescent="0.25">
      <c r="A88301"/>
      <c r="B88301"/>
      <c r="C88301"/>
      <c r="E88301"/>
      <c r="F88301"/>
    </row>
    <row r="88302" spans="1:6" x14ac:dyDescent="0.25">
      <c r="A88302"/>
      <c r="B88302"/>
      <c r="C88302"/>
      <c r="E88302"/>
      <c r="F88302"/>
    </row>
    <row r="88303" spans="1:6" x14ac:dyDescent="0.25">
      <c r="A88303"/>
      <c r="B88303"/>
      <c r="C88303"/>
      <c r="E88303"/>
      <c r="F88303"/>
    </row>
    <row r="88304" spans="1:6" x14ac:dyDescent="0.25">
      <c r="A88304"/>
      <c r="B88304"/>
      <c r="C88304"/>
      <c r="E88304"/>
      <c r="F88304"/>
    </row>
    <row r="88305" spans="1:6" x14ac:dyDescent="0.25">
      <c r="A88305"/>
      <c r="B88305"/>
      <c r="C88305"/>
      <c r="E88305"/>
      <c r="F88305"/>
    </row>
    <row r="88306" spans="1:6" x14ac:dyDescent="0.25">
      <c r="A88306"/>
      <c r="B88306"/>
      <c r="C88306"/>
      <c r="E88306"/>
      <c r="F88306"/>
    </row>
    <row r="88307" spans="1:6" x14ac:dyDescent="0.25">
      <c r="A88307"/>
      <c r="B88307"/>
      <c r="C88307"/>
      <c r="E88307"/>
      <c r="F88307"/>
    </row>
    <row r="88308" spans="1:6" x14ac:dyDescent="0.25">
      <c r="A88308"/>
      <c r="B88308"/>
      <c r="C88308"/>
      <c r="E88308"/>
      <c r="F88308"/>
    </row>
    <row r="88309" spans="1:6" x14ac:dyDescent="0.25">
      <c r="A88309"/>
      <c r="B88309"/>
      <c r="C88309"/>
      <c r="E88309"/>
      <c r="F88309"/>
    </row>
    <row r="88310" spans="1:6" x14ac:dyDescent="0.25">
      <c r="A88310"/>
      <c r="B88310"/>
      <c r="C88310"/>
      <c r="E88310"/>
      <c r="F88310"/>
    </row>
    <row r="88311" spans="1:6" x14ac:dyDescent="0.25">
      <c r="A88311"/>
      <c r="B88311"/>
      <c r="C88311"/>
      <c r="E88311"/>
      <c r="F88311"/>
    </row>
    <row r="88312" spans="1:6" x14ac:dyDescent="0.25">
      <c r="A88312"/>
      <c r="B88312"/>
      <c r="C88312"/>
      <c r="E88312"/>
      <c r="F88312"/>
    </row>
    <row r="88313" spans="1:6" x14ac:dyDescent="0.25">
      <c r="A88313"/>
      <c r="B88313"/>
      <c r="C88313"/>
      <c r="E88313"/>
      <c r="F88313"/>
    </row>
    <row r="88314" spans="1:6" x14ac:dyDescent="0.25">
      <c r="A88314"/>
      <c r="B88314"/>
      <c r="C88314"/>
      <c r="E88314"/>
      <c r="F88314"/>
    </row>
    <row r="88315" spans="1:6" x14ac:dyDescent="0.25">
      <c r="A88315"/>
      <c r="B88315"/>
      <c r="C88315"/>
      <c r="E88315"/>
      <c r="F88315"/>
    </row>
    <row r="88316" spans="1:6" x14ac:dyDescent="0.25">
      <c r="A88316"/>
      <c r="B88316"/>
      <c r="C88316"/>
      <c r="E88316"/>
      <c r="F88316"/>
    </row>
    <row r="88317" spans="1:6" x14ac:dyDescent="0.25">
      <c r="A88317"/>
      <c r="B88317"/>
      <c r="C88317"/>
      <c r="E88317"/>
      <c r="F88317"/>
    </row>
    <row r="88318" spans="1:6" x14ac:dyDescent="0.25">
      <c r="A88318"/>
      <c r="B88318"/>
      <c r="C88318"/>
      <c r="E88318"/>
      <c r="F88318"/>
    </row>
    <row r="88319" spans="1:6" x14ac:dyDescent="0.25">
      <c r="A88319"/>
      <c r="B88319"/>
      <c r="C88319"/>
      <c r="E88319"/>
      <c r="F88319"/>
    </row>
    <row r="88320" spans="1:6" x14ac:dyDescent="0.25">
      <c r="A88320"/>
      <c r="B88320"/>
      <c r="C88320"/>
      <c r="E88320"/>
      <c r="F88320"/>
    </row>
    <row r="88321" spans="1:6" x14ac:dyDescent="0.25">
      <c r="A88321"/>
      <c r="B88321"/>
      <c r="C88321"/>
      <c r="E88321"/>
      <c r="F88321"/>
    </row>
    <row r="88322" spans="1:6" x14ac:dyDescent="0.25">
      <c r="A88322"/>
      <c r="B88322"/>
      <c r="C88322"/>
      <c r="E88322"/>
      <c r="F88322"/>
    </row>
    <row r="88323" spans="1:6" x14ac:dyDescent="0.25">
      <c r="A88323"/>
      <c r="B88323"/>
      <c r="C88323"/>
      <c r="E88323"/>
      <c r="F88323"/>
    </row>
    <row r="88324" spans="1:6" x14ac:dyDescent="0.25">
      <c r="A88324"/>
      <c r="B88324"/>
      <c r="C88324"/>
      <c r="E88324"/>
      <c r="F88324"/>
    </row>
    <row r="88325" spans="1:6" x14ac:dyDescent="0.25">
      <c r="A88325"/>
      <c r="B88325"/>
      <c r="C88325"/>
      <c r="E88325"/>
      <c r="F88325"/>
    </row>
    <row r="88326" spans="1:6" x14ac:dyDescent="0.25">
      <c r="A88326"/>
      <c r="B88326"/>
      <c r="C88326"/>
      <c r="E88326"/>
      <c r="F88326"/>
    </row>
    <row r="88327" spans="1:6" x14ac:dyDescent="0.25">
      <c r="A88327"/>
      <c r="B88327"/>
      <c r="C88327"/>
      <c r="E88327"/>
      <c r="F88327"/>
    </row>
    <row r="88328" spans="1:6" x14ac:dyDescent="0.25">
      <c r="A88328"/>
      <c r="B88328"/>
      <c r="C88328"/>
      <c r="E88328"/>
      <c r="F88328"/>
    </row>
    <row r="88329" spans="1:6" x14ac:dyDescent="0.25">
      <c r="A88329"/>
      <c r="B88329"/>
      <c r="C88329"/>
      <c r="E88329"/>
      <c r="F88329"/>
    </row>
    <row r="88330" spans="1:6" x14ac:dyDescent="0.25">
      <c r="A88330"/>
      <c r="B88330"/>
      <c r="C88330"/>
      <c r="E88330"/>
      <c r="F88330"/>
    </row>
    <row r="88331" spans="1:6" x14ac:dyDescent="0.25">
      <c r="A88331"/>
      <c r="B88331"/>
      <c r="C88331"/>
      <c r="E88331"/>
      <c r="F88331"/>
    </row>
    <row r="88332" spans="1:6" x14ac:dyDescent="0.25">
      <c r="A88332"/>
      <c r="B88332"/>
      <c r="C88332"/>
      <c r="E88332"/>
      <c r="F88332"/>
    </row>
    <row r="88333" spans="1:6" x14ac:dyDescent="0.25">
      <c r="A88333"/>
      <c r="B88333"/>
      <c r="C88333"/>
      <c r="E88333"/>
      <c r="F88333"/>
    </row>
    <row r="88334" spans="1:6" x14ac:dyDescent="0.25">
      <c r="A88334"/>
      <c r="B88334"/>
      <c r="C88334"/>
      <c r="E88334"/>
      <c r="F88334"/>
    </row>
    <row r="88335" spans="1:6" x14ac:dyDescent="0.25">
      <c r="A88335"/>
      <c r="B88335"/>
      <c r="C88335"/>
      <c r="E88335"/>
      <c r="F88335"/>
    </row>
    <row r="88336" spans="1:6" x14ac:dyDescent="0.25">
      <c r="A88336"/>
      <c r="B88336"/>
      <c r="C88336"/>
      <c r="E88336"/>
      <c r="F88336"/>
    </row>
    <row r="88337" spans="1:6" x14ac:dyDescent="0.25">
      <c r="A88337"/>
      <c r="B88337"/>
      <c r="C88337"/>
      <c r="E88337"/>
      <c r="F88337"/>
    </row>
    <row r="88338" spans="1:6" x14ac:dyDescent="0.25">
      <c r="A88338"/>
      <c r="B88338"/>
      <c r="C88338"/>
      <c r="E88338"/>
      <c r="F88338"/>
    </row>
    <row r="88339" spans="1:6" x14ac:dyDescent="0.25">
      <c r="A88339"/>
      <c r="B88339"/>
      <c r="C88339"/>
      <c r="E88339"/>
      <c r="F88339"/>
    </row>
    <row r="88340" spans="1:6" x14ac:dyDescent="0.25">
      <c r="A88340"/>
      <c r="B88340"/>
      <c r="C88340"/>
      <c r="E88340"/>
      <c r="F88340"/>
    </row>
    <row r="88341" spans="1:6" x14ac:dyDescent="0.25">
      <c r="A88341"/>
      <c r="B88341"/>
      <c r="C88341"/>
      <c r="E88341"/>
      <c r="F88341"/>
    </row>
    <row r="88342" spans="1:6" x14ac:dyDescent="0.25">
      <c r="A88342"/>
      <c r="B88342"/>
      <c r="C88342"/>
      <c r="E88342"/>
      <c r="F88342"/>
    </row>
    <row r="88343" spans="1:6" x14ac:dyDescent="0.25">
      <c r="A88343"/>
      <c r="B88343"/>
      <c r="C88343"/>
      <c r="E88343"/>
      <c r="F88343"/>
    </row>
    <row r="88344" spans="1:6" x14ac:dyDescent="0.25">
      <c r="A88344"/>
      <c r="B88344"/>
      <c r="C88344"/>
      <c r="E88344"/>
      <c r="F88344"/>
    </row>
    <row r="88345" spans="1:6" x14ac:dyDescent="0.25">
      <c r="A88345"/>
      <c r="B88345"/>
      <c r="C88345"/>
      <c r="E88345"/>
      <c r="F88345"/>
    </row>
    <row r="88346" spans="1:6" x14ac:dyDescent="0.25">
      <c r="A88346"/>
      <c r="B88346"/>
      <c r="C88346"/>
      <c r="E88346"/>
      <c r="F88346"/>
    </row>
    <row r="88347" spans="1:6" x14ac:dyDescent="0.25">
      <c r="A88347"/>
      <c r="B88347"/>
      <c r="C88347"/>
      <c r="E88347"/>
      <c r="F88347"/>
    </row>
    <row r="88348" spans="1:6" x14ac:dyDescent="0.25">
      <c r="A88348"/>
      <c r="B88348"/>
      <c r="C88348"/>
      <c r="E88348"/>
      <c r="F88348"/>
    </row>
    <row r="88349" spans="1:6" x14ac:dyDescent="0.25">
      <c r="A88349"/>
      <c r="B88349"/>
      <c r="C88349"/>
      <c r="E88349"/>
      <c r="F88349"/>
    </row>
    <row r="88350" spans="1:6" x14ac:dyDescent="0.25">
      <c r="A88350"/>
      <c r="B88350"/>
      <c r="C88350"/>
      <c r="E88350"/>
      <c r="F88350"/>
    </row>
    <row r="88351" spans="1:6" x14ac:dyDescent="0.25">
      <c r="A88351"/>
      <c r="B88351"/>
      <c r="C88351"/>
      <c r="E88351"/>
      <c r="F88351"/>
    </row>
    <row r="88352" spans="1:6" x14ac:dyDescent="0.25">
      <c r="A88352"/>
      <c r="B88352"/>
      <c r="C88352"/>
      <c r="E88352"/>
      <c r="F88352"/>
    </row>
    <row r="88353" spans="1:6" x14ac:dyDescent="0.25">
      <c r="A88353"/>
      <c r="B88353"/>
      <c r="C88353"/>
      <c r="E88353"/>
      <c r="F88353"/>
    </row>
    <row r="88354" spans="1:6" x14ac:dyDescent="0.25">
      <c r="A88354"/>
      <c r="B88354"/>
      <c r="C88354"/>
      <c r="E88354"/>
      <c r="F88354"/>
    </row>
    <row r="88355" spans="1:6" x14ac:dyDescent="0.25">
      <c r="A88355"/>
      <c r="B88355"/>
      <c r="C88355"/>
      <c r="E88355"/>
      <c r="F88355"/>
    </row>
    <row r="88356" spans="1:6" x14ac:dyDescent="0.25">
      <c r="A88356"/>
      <c r="B88356"/>
      <c r="C88356"/>
      <c r="E88356"/>
      <c r="F88356"/>
    </row>
    <row r="88357" spans="1:6" x14ac:dyDescent="0.25">
      <c r="A88357"/>
      <c r="B88357"/>
      <c r="C88357"/>
      <c r="E88357"/>
      <c r="F88357"/>
    </row>
    <row r="88358" spans="1:6" x14ac:dyDescent="0.25">
      <c r="A88358"/>
      <c r="B88358"/>
      <c r="C88358"/>
      <c r="E88358"/>
      <c r="F88358"/>
    </row>
    <row r="88359" spans="1:6" x14ac:dyDescent="0.25">
      <c r="A88359"/>
      <c r="B88359"/>
      <c r="C88359"/>
      <c r="E88359"/>
      <c r="F88359"/>
    </row>
    <row r="88360" spans="1:6" x14ac:dyDescent="0.25">
      <c r="A88360"/>
      <c r="B88360"/>
      <c r="C88360"/>
      <c r="E88360"/>
      <c r="F88360"/>
    </row>
    <row r="88361" spans="1:6" x14ac:dyDescent="0.25">
      <c r="A88361"/>
      <c r="B88361"/>
      <c r="C88361"/>
      <c r="E88361"/>
      <c r="F88361"/>
    </row>
    <row r="88362" spans="1:6" x14ac:dyDescent="0.25">
      <c r="A88362"/>
      <c r="B88362"/>
      <c r="C88362"/>
      <c r="E88362"/>
      <c r="F88362"/>
    </row>
    <row r="88363" spans="1:6" x14ac:dyDescent="0.25">
      <c r="A88363"/>
      <c r="B88363"/>
      <c r="C88363"/>
      <c r="E88363"/>
      <c r="F88363"/>
    </row>
    <row r="88364" spans="1:6" x14ac:dyDescent="0.25">
      <c r="A88364"/>
      <c r="B88364"/>
      <c r="C88364"/>
      <c r="E88364"/>
      <c r="F88364"/>
    </row>
    <row r="88365" spans="1:6" x14ac:dyDescent="0.25">
      <c r="A88365"/>
      <c r="B88365"/>
      <c r="C88365"/>
      <c r="E88365"/>
      <c r="F88365"/>
    </row>
    <row r="88366" spans="1:6" x14ac:dyDescent="0.25">
      <c r="A88366"/>
      <c r="B88366"/>
      <c r="C88366"/>
      <c r="E88366"/>
      <c r="F88366"/>
    </row>
    <row r="88367" spans="1:6" x14ac:dyDescent="0.25">
      <c r="A88367"/>
      <c r="B88367"/>
      <c r="C88367"/>
      <c r="E88367"/>
      <c r="F88367"/>
    </row>
    <row r="88368" spans="1:6" x14ac:dyDescent="0.25">
      <c r="A88368"/>
      <c r="B88368"/>
      <c r="C88368"/>
      <c r="E88368"/>
      <c r="F88368"/>
    </row>
    <row r="88369" spans="1:6" x14ac:dyDescent="0.25">
      <c r="A88369"/>
      <c r="B88369"/>
      <c r="C88369"/>
      <c r="E88369"/>
      <c r="F88369"/>
    </row>
    <row r="88370" spans="1:6" x14ac:dyDescent="0.25">
      <c r="A88370"/>
      <c r="B88370"/>
      <c r="C88370"/>
      <c r="E88370"/>
      <c r="F88370"/>
    </row>
    <row r="88371" spans="1:6" x14ac:dyDescent="0.25">
      <c r="A88371"/>
      <c r="B88371"/>
      <c r="C88371"/>
      <c r="E88371"/>
      <c r="F88371"/>
    </row>
    <row r="88372" spans="1:6" x14ac:dyDescent="0.25">
      <c r="A88372"/>
      <c r="B88372"/>
      <c r="C88372"/>
      <c r="E88372"/>
      <c r="F88372"/>
    </row>
    <row r="88373" spans="1:6" x14ac:dyDescent="0.25">
      <c r="A88373"/>
      <c r="B88373"/>
      <c r="C88373"/>
      <c r="E88373"/>
      <c r="F88373"/>
    </row>
    <row r="88374" spans="1:6" x14ac:dyDescent="0.25">
      <c r="A88374"/>
      <c r="B88374"/>
      <c r="C88374"/>
      <c r="E88374"/>
      <c r="F88374"/>
    </row>
    <row r="88375" spans="1:6" x14ac:dyDescent="0.25">
      <c r="A88375"/>
      <c r="B88375"/>
      <c r="C88375"/>
      <c r="E88375"/>
      <c r="F88375"/>
    </row>
    <row r="88376" spans="1:6" x14ac:dyDescent="0.25">
      <c r="A88376"/>
      <c r="B88376"/>
      <c r="C88376"/>
      <c r="E88376"/>
      <c r="F88376"/>
    </row>
    <row r="88377" spans="1:6" x14ac:dyDescent="0.25">
      <c r="A88377"/>
      <c r="B88377"/>
      <c r="C88377"/>
      <c r="E88377"/>
      <c r="F88377"/>
    </row>
    <row r="88378" spans="1:6" x14ac:dyDescent="0.25">
      <c r="A88378"/>
      <c r="B88378"/>
      <c r="C88378"/>
      <c r="E88378"/>
      <c r="F88378"/>
    </row>
    <row r="88379" spans="1:6" x14ac:dyDescent="0.25">
      <c r="A88379"/>
      <c r="B88379"/>
      <c r="C88379"/>
      <c r="E88379"/>
      <c r="F88379"/>
    </row>
    <row r="88380" spans="1:6" x14ac:dyDescent="0.25">
      <c r="A88380"/>
      <c r="B88380"/>
      <c r="C88380"/>
      <c r="E88380"/>
      <c r="F88380"/>
    </row>
    <row r="88381" spans="1:6" x14ac:dyDescent="0.25">
      <c r="A88381"/>
      <c r="B88381"/>
      <c r="C88381"/>
      <c r="E88381"/>
      <c r="F88381"/>
    </row>
    <row r="88382" spans="1:6" x14ac:dyDescent="0.25">
      <c r="A88382"/>
      <c r="B88382"/>
      <c r="C88382"/>
      <c r="E88382"/>
      <c r="F88382"/>
    </row>
    <row r="88383" spans="1:6" x14ac:dyDescent="0.25">
      <c r="A88383"/>
      <c r="B88383"/>
      <c r="C88383"/>
      <c r="E88383"/>
      <c r="F88383"/>
    </row>
    <row r="88384" spans="1:6" x14ac:dyDescent="0.25">
      <c r="A88384"/>
      <c r="B88384"/>
      <c r="C88384"/>
      <c r="E88384"/>
      <c r="F88384"/>
    </row>
    <row r="88385" spans="1:6" x14ac:dyDescent="0.25">
      <c r="A88385"/>
      <c r="B88385"/>
      <c r="C88385"/>
      <c r="E88385"/>
      <c r="F88385"/>
    </row>
    <row r="88386" spans="1:6" x14ac:dyDescent="0.25">
      <c r="A88386"/>
      <c r="B88386"/>
      <c r="C88386"/>
      <c r="E88386"/>
      <c r="F88386"/>
    </row>
    <row r="88387" spans="1:6" x14ac:dyDescent="0.25">
      <c r="A88387"/>
      <c r="B88387"/>
      <c r="C88387"/>
      <c r="E88387"/>
      <c r="F88387"/>
    </row>
    <row r="88388" spans="1:6" x14ac:dyDescent="0.25">
      <c r="A88388"/>
      <c r="B88388"/>
      <c r="C88388"/>
      <c r="E88388"/>
      <c r="F88388"/>
    </row>
    <row r="88389" spans="1:6" x14ac:dyDescent="0.25">
      <c r="A88389"/>
      <c r="B88389"/>
      <c r="C88389"/>
      <c r="E88389"/>
      <c r="F88389"/>
    </row>
    <row r="88390" spans="1:6" x14ac:dyDescent="0.25">
      <c r="A88390"/>
      <c r="B88390"/>
      <c r="C88390"/>
      <c r="E88390"/>
      <c r="F88390"/>
    </row>
    <row r="88391" spans="1:6" x14ac:dyDescent="0.25">
      <c r="A88391"/>
      <c r="B88391"/>
      <c r="C88391"/>
      <c r="E88391"/>
      <c r="F88391"/>
    </row>
    <row r="88392" spans="1:6" x14ac:dyDescent="0.25">
      <c r="A88392"/>
      <c r="B88392"/>
      <c r="C88392"/>
      <c r="E88392"/>
      <c r="F88392"/>
    </row>
    <row r="88393" spans="1:6" x14ac:dyDescent="0.25">
      <c r="A88393"/>
      <c r="B88393"/>
      <c r="C88393"/>
      <c r="E88393"/>
      <c r="F88393"/>
    </row>
    <row r="88394" spans="1:6" x14ac:dyDescent="0.25">
      <c r="A88394"/>
      <c r="B88394"/>
      <c r="C88394"/>
      <c r="E88394"/>
      <c r="F88394"/>
    </row>
    <row r="88395" spans="1:6" x14ac:dyDescent="0.25">
      <c r="A88395"/>
      <c r="B88395"/>
      <c r="C88395"/>
      <c r="E88395"/>
      <c r="F88395"/>
    </row>
    <row r="88396" spans="1:6" x14ac:dyDescent="0.25">
      <c r="A88396"/>
      <c r="B88396"/>
      <c r="C88396"/>
      <c r="E88396"/>
      <c r="F88396"/>
    </row>
    <row r="88397" spans="1:6" x14ac:dyDescent="0.25">
      <c r="A88397"/>
      <c r="B88397"/>
      <c r="C88397"/>
      <c r="E88397"/>
      <c r="F88397"/>
    </row>
    <row r="88398" spans="1:6" x14ac:dyDescent="0.25">
      <c r="A88398"/>
      <c r="B88398"/>
      <c r="C88398"/>
      <c r="E88398"/>
      <c r="F88398"/>
    </row>
    <row r="88399" spans="1:6" x14ac:dyDescent="0.25">
      <c r="A88399"/>
      <c r="B88399"/>
      <c r="C88399"/>
      <c r="E88399"/>
      <c r="F88399"/>
    </row>
    <row r="88400" spans="1:6" x14ac:dyDescent="0.25">
      <c r="A88400"/>
      <c r="B88400"/>
      <c r="C88400"/>
      <c r="E88400"/>
      <c r="F88400"/>
    </row>
    <row r="88401" spans="1:6" x14ac:dyDescent="0.25">
      <c r="A88401"/>
      <c r="B88401"/>
      <c r="C88401"/>
      <c r="E88401"/>
      <c r="F88401"/>
    </row>
    <row r="88402" spans="1:6" x14ac:dyDescent="0.25">
      <c r="A88402"/>
      <c r="B88402"/>
      <c r="C88402"/>
      <c r="E88402"/>
      <c r="F88402"/>
    </row>
    <row r="88403" spans="1:6" x14ac:dyDescent="0.25">
      <c r="A88403"/>
      <c r="B88403"/>
      <c r="C88403"/>
      <c r="E88403"/>
      <c r="F88403"/>
    </row>
    <row r="88404" spans="1:6" x14ac:dyDescent="0.25">
      <c r="A88404"/>
      <c r="B88404"/>
      <c r="C88404"/>
      <c r="E88404"/>
      <c r="F88404"/>
    </row>
    <row r="88405" spans="1:6" x14ac:dyDescent="0.25">
      <c r="A88405"/>
      <c r="B88405"/>
      <c r="C88405"/>
      <c r="E88405"/>
      <c r="F88405"/>
    </row>
    <row r="88406" spans="1:6" x14ac:dyDescent="0.25">
      <c r="A88406"/>
      <c r="B88406"/>
      <c r="C88406"/>
      <c r="E88406"/>
      <c r="F88406"/>
    </row>
    <row r="88407" spans="1:6" x14ac:dyDescent="0.25">
      <c r="A88407"/>
      <c r="B88407"/>
      <c r="C88407"/>
      <c r="E88407"/>
      <c r="F88407"/>
    </row>
    <row r="88408" spans="1:6" x14ac:dyDescent="0.25">
      <c r="A88408"/>
      <c r="B88408"/>
      <c r="C88408"/>
      <c r="E88408"/>
      <c r="F88408"/>
    </row>
    <row r="88409" spans="1:6" x14ac:dyDescent="0.25">
      <c r="A88409"/>
      <c r="B88409"/>
      <c r="C88409"/>
      <c r="E88409"/>
      <c r="F88409"/>
    </row>
    <row r="88410" spans="1:6" x14ac:dyDescent="0.25">
      <c r="A88410"/>
      <c r="B88410"/>
      <c r="C88410"/>
      <c r="E88410"/>
      <c r="F88410"/>
    </row>
    <row r="88411" spans="1:6" x14ac:dyDescent="0.25">
      <c r="A88411"/>
      <c r="B88411"/>
      <c r="C88411"/>
      <c r="E88411"/>
      <c r="F88411"/>
    </row>
    <row r="88412" spans="1:6" x14ac:dyDescent="0.25">
      <c r="A88412"/>
      <c r="B88412"/>
      <c r="C88412"/>
      <c r="E88412"/>
      <c r="F88412"/>
    </row>
    <row r="88413" spans="1:6" x14ac:dyDescent="0.25">
      <c r="A88413"/>
      <c r="B88413"/>
      <c r="C88413"/>
      <c r="E88413"/>
      <c r="F88413"/>
    </row>
    <row r="88414" spans="1:6" x14ac:dyDescent="0.25">
      <c r="A88414"/>
      <c r="B88414"/>
      <c r="C88414"/>
      <c r="E88414"/>
      <c r="F88414"/>
    </row>
    <row r="88415" spans="1:6" x14ac:dyDescent="0.25">
      <c r="A88415"/>
      <c r="B88415"/>
      <c r="C88415"/>
      <c r="E88415"/>
      <c r="F88415"/>
    </row>
    <row r="88416" spans="1:6" x14ac:dyDescent="0.25">
      <c r="A88416"/>
      <c r="B88416"/>
      <c r="C88416"/>
      <c r="E88416"/>
      <c r="F88416"/>
    </row>
    <row r="88417" spans="1:6" x14ac:dyDescent="0.25">
      <c r="A88417"/>
      <c r="B88417"/>
      <c r="C88417"/>
      <c r="E88417"/>
      <c r="F88417"/>
    </row>
    <row r="88418" spans="1:6" x14ac:dyDescent="0.25">
      <c r="A88418"/>
      <c r="B88418"/>
      <c r="C88418"/>
      <c r="E88418"/>
      <c r="F88418"/>
    </row>
    <row r="88419" spans="1:6" x14ac:dyDescent="0.25">
      <c r="A88419"/>
      <c r="B88419"/>
      <c r="C88419"/>
      <c r="E88419"/>
      <c r="F88419"/>
    </row>
    <row r="88420" spans="1:6" x14ac:dyDescent="0.25">
      <c r="A88420"/>
      <c r="B88420"/>
      <c r="C88420"/>
      <c r="E88420"/>
      <c r="F88420"/>
    </row>
    <row r="88421" spans="1:6" x14ac:dyDescent="0.25">
      <c r="A88421"/>
      <c r="B88421"/>
      <c r="C88421"/>
      <c r="E88421"/>
      <c r="F88421"/>
    </row>
    <row r="88422" spans="1:6" x14ac:dyDescent="0.25">
      <c r="A88422"/>
      <c r="B88422"/>
      <c r="C88422"/>
      <c r="E88422"/>
      <c r="F88422"/>
    </row>
    <row r="88423" spans="1:6" x14ac:dyDescent="0.25">
      <c r="A88423"/>
      <c r="B88423"/>
      <c r="C88423"/>
      <c r="E88423"/>
      <c r="F88423"/>
    </row>
    <row r="88424" spans="1:6" x14ac:dyDescent="0.25">
      <c r="A88424"/>
      <c r="B88424"/>
      <c r="C88424"/>
      <c r="E88424"/>
      <c r="F88424"/>
    </row>
    <row r="88425" spans="1:6" x14ac:dyDescent="0.25">
      <c r="A88425"/>
      <c r="B88425"/>
      <c r="C88425"/>
      <c r="E88425"/>
      <c r="F88425"/>
    </row>
    <row r="88426" spans="1:6" x14ac:dyDescent="0.25">
      <c r="A88426"/>
      <c r="B88426"/>
      <c r="C88426"/>
      <c r="E88426"/>
      <c r="F88426"/>
    </row>
    <row r="88427" spans="1:6" x14ac:dyDescent="0.25">
      <c r="A88427"/>
      <c r="B88427"/>
      <c r="C88427"/>
      <c r="E88427"/>
      <c r="F88427"/>
    </row>
    <row r="88428" spans="1:6" x14ac:dyDescent="0.25">
      <c r="A88428"/>
      <c r="B88428"/>
      <c r="C88428"/>
      <c r="E88428"/>
      <c r="F88428"/>
    </row>
    <row r="88429" spans="1:6" x14ac:dyDescent="0.25">
      <c r="A88429"/>
      <c r="B88429"/>
      <c r="C88429"/>
      <c r="E88429"/>
      <c r="F88429"/>
    </row>
    <row r="88430" spans="1:6" x14ac:dyDescent="0.25">
      <c r="A88430"/>
      <c r="B88430"/>
      <c r="C88430"/>
      <c r="E88430"/>
      <c r="F88430"/>
    </row>
    <row r="88431" spans="1:6" x14ac:dyDescent="0.25">
      <c r="A88431"/>
      <c r="B88431"/>
      <c r="C88431"/>
      <c r="E88431"/>
      <c r="F88431"/>
    </row>
    <row r="88432" spans="1:6" x14ac:dyDescent="0.25">
      <c r="A88432"/>
      <c r="B88432"/>
      <c r="C88432"/>
      <c r="E88432"/>
      <c r="F88432"/>
    </row>
    <row r="88433" spans="1:6" x14ac:dyDescent="0.25">
      <c r="A88433"/>
      <c r="B88433"/>
      <c r="C88433"/>
      <c r="E88433"/>
      <c r="F88433"/>
    </row>
    <row r="88434" spans="1:6" x14ac:dyDescent="0.25">
      <c r="A88434"/>
      <c r="B88434"/>
      <c r="C88434"/>
      <c r="E88434"/>
      <c r="F88434"/>
    </row>
    <row r="88435" spans="1:6" x14ac:dyDescent="0.25">
      <c r="A88435"/>
      <c r="B88435"/>
      <c r="C88435"/>
      <c r="E88435"/>
      <c r="F88435"/>
    </row>
    <row r="88436" spans="1:6" x14ac:dyDescent="0.25">
      <c r="A88436"/>
      <c r="B88436"/>
      <c r="C88436"/>
      <c r="E88436"/>
      <c r="F88436"/>
    </row>
    <row r="88437" spans="1:6" x14ac:dyDescent="0.25">
      <c r="A88437"/>
      <c r="B88437"/>
      <c r="C88437"/>
      <c r="E88437"/>
      <c r="F88437"/>
    </row>
    <row r="88438" spans="1:6" x14ac:dyDescent="0.25">
      <c r="A88438"/>
      <c r="B88438"/>
      <c r="C88438"/>
      <c r="E88438"/>
      <c r="F88438"/>
    </row>
    <row r="88439" spans="1:6" x14ac:dyDescent="0.25">
      <c r="A88439"/>
      <c r="B88439"/>
      <c r="C88439"/>
      <c r="E88439"/>
      <c r="F88439"/>
    </row>
    <row r="88440" spans="1:6" x14ac:dyDescent="0.25">
      <c r="A88440"/>
      <c r="B88440"/>
      <c r="C88440"/>
      <c r="E88440"/>
      <c r="F88440"/>
    </row>
    <row r="88441" spans="1:6" x14ac:dyDescent="0.25">
      <c r="A88441"/>
      <c r="B88441"/>
      <c r="C88441"/>
      <c r="E88441"/>
      <c r="F88441"/>
    </row>
    <row r="88442" spans="1:6" x14ac:dyDescent="0.25">
      <c r="A88442"/>
      <c r="B88442"/>
      <c r="C88442"/>
      <c r="E88442"/>
      <c r="F88442"/>
    </row>
    <row r="88443" spans="1:6" x14ac:dyDescent="0.25">
      <c r="A88443"/>
      <c r="B88443"/>
      <c r="C88443"/>
      <c r="E88443"/>
      <c r="F88443"/>
    </row>
    <row r="88444" spans="1:6" x14ac:dyDescent="0.25">
      <c r="A88444"/>
      <c r="B88444"/>
      <c r="C88444"/>
      <c r="E88444"/>
      <c r="F88444"/>
    </row>
    <row r="88445" spans="1:6" x14ac:dyDescent="0.25">
      <c r="A88445"/>
      <c r="B88445"/>
      <c r="C88445"/>
      <c r="E88445"/>
      <c r="F88445"/>
    </row>
    <row r="88446" spans="1:6" x14ac:dyDescent="0.25">
      <c r="A88446"/>
      <c r="B88446"/>
      <c r="C88446"/>
      <c r="E88446"/>
      <c r="F88446"/>
    </row>
    <row r="88447" spans="1:6" x14ac:dyDescent="0.25">
      <c r="A88447"/>
      <c r="B88447"/>
      <c r="C88447"/>
      <c r="E88447"/>
      <c r="F88447"/>
    </row>
    <row r="88448" spans="1:6" x14ac:dyDescent="0.25">
      <c r="A88448"/>
      <c r="B88448"/>
      <c r="C88448"/>
      <c r="E88448"/>
      <c r="F88448"/>
    </row>
    <row r="88449" spans="1:6" x14ac:dyDescent="0.25">
      <c r="A88449"/>
      <c r="B88449"/>
      <c r="C88449"/>
      <c r="E88449"/>
      <c r="F88449"/>
    </row>
    <row r="88450" spans="1:6" x14ac:dyDescent="0.25">
      <c r="A88450"/>
      <c r="B88450"/>
      <c r="C88450"/>
      <c r="E88450"/>
      <c r="F88450"/>
    </row>
    <row r="88451" spans="1:6" x14ac:dyDescent="0.25">
      <c r="A88451"/>
      <c r="B88451"/>
      <c r="C88451"/>
      <c r="E88451"/>
      <c r="F88451"/>
    </row>
    <row r="88452" spans="1:6" x14ac:dyDescent="0.25">
      <c r="A88452"/>
      <c r="B88452"/>
      <c r="C88452"/>
      <c r="E88452"/>
      <c r="F88452"/>
    </row>
    <row r="88453" spans="1:6" x14ac:dyDescent="0.25">
      <c r="A88453"/>
      <c r="B88453"/>
      <c r="C88453"/>
      <c r="E88453"/>
      <c r="F88453"/>
    </row>
    <row r="88454" spans="1:6" x14ac:dyDescent="0.25">
      <c r="A88454"/>
      <c r="B88454"/>
      <c r="C88454"/>
      <c r="E88454"/>
      <c r="F88454"/>
    </row>
    <row r="88455" spans="1:6" x14ac:dyDescent="0.25">
      <c r="A88455"/>
      <c r="B88455"/>
      <c r="C88455"/>
      <c r="E88455"/>
      <c r="F88455"/>
    </row>
    <row r="88456" spans="1:6" x14ac:dyDescent="0.25">
      <c r="A88456"/>
      <c r="B88456"/>
      <c r="C88456"/>
      <c r="E88456"/>
      <c r="F88456"/>
    </row>
    <row r="88457" spans="1:6" x14ac:dyDescent="0.25">
      <c r="A88457"/>
      <c r="B88457"/>
      <c r="C88457"/>
      <c r="E88457"/>
      <c r="F88457"/>
    </row>
    <row r="88458" spans="1:6" x14ac:dyDescent="0.25">
      <c r="A88458"/>
      <c r="B88458"/>
      <c r="C88458"/>
      <c r="E88458"/>
      <c r="F88458"/>
    </row>
    <row r="88459" spans="1:6" x14ac:dyDescent="0.25">
      <c r="A88459"/>
      <c r="B88459"/>
      <c r="C88459"/>
      <c r="E88459"/>
      <c r="F88459"/>
    </row>
    <row r="88460" spans="1:6" x14ac:dyDescent="0.25">
      <c r="A88460"/>
      <c r="B88460"/>
      <c r="C88460"/>
      <c r="E88460"/>
      <c r="F88460"/>
    </row>
    <row r="88461" spans="1:6" x14ac:dyDescent="0.25">
      <c r="A88461"/>
      <c r="B88461"/>
      <c r="C88461"/>
      <c r="E88461"/>
      <c r="F88461"/>
    </row>
    <row r="88462" spans="1:6" x14ac:dyDescent="0.25">
      <c r="A88462"/>
      <c r="B88462"/>
      <c r="C88462"/>
      <c r="E88462"/>
      <c r="F88462"/>
    </row>
    <row r="88463" spans="1:6" x14ac:dyDescent="0.25">
      <c r="A88463"/>
      <c r="B88463"/>
      <c r="C88463"/>
      <c r="E88463"/>
      <c r="F88463"/>
    </row>
    <row r="88464" spans="1:6" x14ac:dyDescent="0.25">
      <c r="A88464"/>
      <c r="B88464"/>
      <c r="C88464"/>
      <c r="E88464"/>
      <c r="F88464"/>
    </row>
    <row r="88465" spans="1:6" x14ac:dyDescent="0.25">
      <c r="A88465"/>
      <c r="B88465"/>
      <c r="C88465"/>
      <c r="E88465"/>
      <c r="F88465"/>
    </row>
    <row r="88466" spans="1:6" x14ac:dyDescent="0.25">
      <c r="A88466"/>
      <c r="B88466"/>
      <c r="C88466"/>
      <c r="E88466"/>
      <c r="F88466"/>
    </row>
    <row r="88467" spans="1:6" x14ac:dyDescent="0.25">
      <c r="A88467"/>
      <c r="B88467"/>
      <c r="C88467"/>
      <c r="E88467"/>
      <c r="F88467"/>
    </row>
    <row r="88468" spans="1:6" x14ac:dyDescent="0.25">
      <c r="A88468"/>
      <c r="B88468"/>
      <c r="C88468"/>
      <c r="E88468"/>
      <c r="F88468"/>
    </row>
    <row r="88469" spans="1:6" x14ac:dyDescent="0.25">
      <c r="A88469"/>
      <c r="B88469"/>
      <c r="C88469"/>
      <c r="E88469"/>
      <c r="F88469"/>
    </row>
    <row r="88470" spans="1:6" x14ac:dyDescent="0.25">
      <c r="A88470"/>
      <c r="B88470"/>
      <c r="C88470"/>
      <c r="E88470"/>
      <c r="F88470"/>
    </row>
    <row r="88471" spans="1:6" x14ac:dyDescent="0.25">
      <c r="A88471"/>
      <c r="B88471"/>
      <c r="C88471"/>
      <c r="E88471"/>
      <c r="F88471"/>
    </row>
    <row r="88472" spans="1:6" x14ac:dyDescent="0.25">
      <c r="A88472"/>
      <c r="B88472"/>
      <c r="C88472"/>
      <c r="E88472"/>
      <c r="F88472"/>
    </row>
    <row r="88473" spans="1:6" x14ac:dyDescent="0.25">
      <c r="A88473"/>
      <c r="B88473"/>
      <c r="C88473"/>
      <c r="E88473"/>
      <c r="F88473"/>
    </row>
    <row r="88474" spans="1:6" x14ac:dyDescent="0.25">
      <c r="A88474"/>
      <c r="B88474"/>
      <c r="C88474"/>
      <c r="E88474"/>
      <c r="F88474"/>
    </row>
    <row r="88475" spans="1:6" x14ac:dyDescent="0.25">
      <c r="A88475"/>
      <c r="B88475"/>
      <c r="C88475"/>
      <c r="E88475"/>
      <c r="F88475"/>
    </row>
    <row r="88476" spans="1:6" x14ac:dyDescent="0.25">
      <c r="A88476"/>
      <c r="B88476"/>
      <c r="C88476"/>
      <c r="E88476"/>
      <c r="F88476"/>
    </row>
    <row r="88477" spans="1:6" x14ac:dyDescent="0.25">
      <c r="A88477"/>
      <c r="B88477"/>
      <c r="C88477"/>
      <c r="E88477"/>
      <c r="F88477"/>
    </row>
    <row r="88478" spans="1:6" x14ac:dyDescent="0.25">
      <c r="A88478"/>
      <c r="B88478"/>
      <c r="C88478"/>
      <c r="E88478"/>
      <c r="F88478"/>
    </row>
    <row r="88479" spans="1:6" x14ac:dyDescent="0.25">
      <c r="A88479"/>
      <c r="B88479"/>
      <c r="C88479"/>
      <c r="E88479"/>
      <c r="F88479"/>
    </row>
    <row r="88480" spans="1:6" x14ac:dyDescent="0.25">
      <c r="A88480"/>
      <c r="B88480"/>
      <c r="C88480"/>
      <c r="E88480"/>
      <c r="F88480"/>
    </row>
    <row r="88481" spans="1:6" x14ac:dyDescent="0.25">
      <c r="A88481"/>
      <c r="B88481"/>
      <c r="C88481"/>
      <c r="E88481"/>
      <c r="F88481"/>
    </row>
    <row r="88482" spans="1:6" x14ac:dyDescent="0.25">
      <c r="A88482"/>
      <c r="B88482"/>
      <c r="C88482"/>
      <c r="E88482"/>
      <c r="F88482"/>
    </row>
    <row r="88483" spans="1:6" x14ac:dyDescent="0.25">
      <c r="A88483"/>
      <c r="B88483"/>
      <c r="C88483"/>
      <c r="E88483"/>
      <c r="F88483"/>
    </row>
    <row r="88484" spans="1:6" x14ac:dyDescent="0.25">
      <c r="A88484"/>
      <c r="B88484"/>
      <c r="C88484"/>
      <c r="E88484"/>
      <c r="F88484"/>
    </row>
    <row r="88485" spans="1:6" x14ac:dyDescent="0.25">
      <c r="A88485"/>
      <c r="B88485"/>
      <c r="C88485"/>
      <c r="E88485"/>
      <c r="F88485"/>
    </row>
    <row r="88486" spans="1:6" x14ac:dyDescent="0.25">
      <c r="A88486"/>
      <c r="B88486"/>
      <c r="C88486"/>
      <c r="E88486"/>
      <c r="F88486"/>
    </row>
    <row r="88487" spans="1:6" x14ac:dyDescent="0.25">
      <c r="A88487"/>
      <c r="B88487"/>
      <c r="C88487"/>
      <c r="E88487"/>
      <c r="F88487"/>
    </row>
    <row r="88488" spans="1:6" x14ac:dyDescent="0.25">
      <c r="A88488"/>
      <c r="B88488"/>
      <c r="C88488"/>
      <c r="E88488"/>
      <c r="F88488"/>
    </row>
    <row r="88489" spans="1:6" x14ac:dyDescent="0.25">
      <c r="A88489"/>
      <c r="B88489"/>
      <c r="C88489"/>
      <c r="E88489"/>
      <c r="F88489"/>
    </row>
    <row r="88490" spans="1:6" x14ac:dyDescent="0.25">
      <c r="A88490"/>
      <c r="B88490"/>
      <c r="C88490"/>
      <c r="E88490"/>
      <c r="F88490"/>
    </row>
    <row r="88491" spans="1:6" x14ac:dyDescent="0.25">
      <c r="A88491"/>
      <c r="B88491"/>
      <c r="C88491"/>
      <c r="E88491"/>
      <c r="F88491"/>
    </row>
    <row r="88492" spans="1:6" x14ac:dyDescent="0.25">
      <c r="A88492"/>
      <c r="B88492"/>
      <c r="C88492"/>
      <c r="E88492"/>
      <c r="F88492"/>
    </row>
    <row r="88493" spans="1:6" x14ac:dyDescent="0.25">
      <c r="A88493"/>
      <c r="B88493"/>
      <c r="C88493"/>
      <c r="E88493"/>
      <c r="F88493"/>
    </row>
    <row r="88494" spans="1:6" x14ac:dyDescent="0.25">
      <c r="A88494"/>
      <c r="B88494"/>
      <c r="C88494"/>
      <c r="E88494"/>
      <c r="F88494"/>
    </row>
    <row r="88495" spans="1:6" x14ac:dyDescent="0.25">
      <c r="A88495"/>
      <c r="B88495"/>
      <c r="C88495"/>
      <c r="E88495"/>
      <c r="F88495"/>
    </row>
    <row r="88496" spans="1:6" x14ac:dyDescent="0.25">
      <c r="A88496"/>
      <c r="B88496"/>
      <c r="C88496"/>
      <c r="E88496"/>
      <c r="F88496"/>
    </row>
    <row r="88497" spans="1:6" x14ac:dyDescent="0.25">
      <c r="A88497"/>
      <c r="B88497"/>
      <c r="C88497"/>
      <c r="E88497"/>
      <c r="F88497"/>
    </row>
    <row r="88498" spans="1:6" x14ac:dyDescent="0.25">
      <c r="A88498"/>
      <c r="B88498"/>
      <c r="C88498"/>
      <c r="E88498"/>
      <c r="F88498"/>
    </row>
    <row r="88499" spans="1:6" x14ac:dyDescent="0.25">
      <c r="A88499"/>
      <c r="B88499"/>
      <c r="C88499"/>
      <c r="E88499"/>
      <c r="F88499"/>
    </row>
    <row r="88500" spans="1:6" x14ac:dyDescent="0.25">
      <c r="A88500"/>
      <c r="B88500"/>
      <c r="C88500"/>
      <c r="E88500"/>
      <c r="F88500"/>
    </row>
    <row r="88501" spans="1:6" x14ac:dyDescent="0.25">
      <c r="A88501"/>
      <c r="B88501"/>
      <c r="C88501"/>
      <c r="E88501"/>
      <c r="F88501"/>
    </row>
    <row r="88502" spans="1:6" x14ac:dyDescent="0.25">
      <c r="A88502"/>
      <c r="B88502"/>
      <c r="C88502"/>
      <c r="E88502"/>
      <c r="F88502"/>
    </row>
    <row r="88503" spans="1:6" x14ac:dyDescent="0.25">
      <c r="A88503"/>
      <c r="B88503"/>
      <c r="C88503"/>
      <c r="E88503"/>
      <c r="F88503"/>
    </row>
    <row r="88504" spans="1:6" x14ac:dyDescent="0.25">
      <c r="A88504"/>
      <c r="B88504"/>
      <c r="C88504"/>
      <c r="E88504"/>
      <c r="F88504"/>
    </row>
    <row r="88505" spans="1:6" x14ac:dyDescent="0.25">
      <c r="A88505"/>
      <c r="B88505"/>
      <c r="C88505"/>
      <c r="E88505"/>
      <c r="F88505"/>
    </row>
    <row r="88506" spans="1:6" x14ac:dyDescent="0.25">
      <c r="A88506"/>
      <c r="B88506"/>
      <c r="C88506"/>
      <c r="E88506"/>
      <c r="F88506"/>
    </row>
    <row r="88507" spans="1:6" x14ac:dyDescent="0.25">
      <c r="A88507"/>
      <c r="B88507"/>
      <c r="C88507"/>
      <c r="E88507"/>
      <c r="F88507"/>
    </row>
    <row r="88508" spans="1:6" x14ac:dyDescent="0.25">
      <c r="A88508"/>
      <c r="B88508"/>
      <c r="C88508"/>
      <c r="E88508"/>
      <c r="F88508"/>
    </row>
    <row r="88509" spans="1:6" x14ac:dyDescent="0.25">
      <c r="A88509"/>
      <c r="B88509"/>
      <c r="C88509"/>
      <c r="E88509"/>
      <c r="F88509"/>
    </row>
    <row r="88510" spans="1:6" x14ac:dyDescent="0.25">
      <c r="A88510"/>
      <c r="B88510"/>
      <c r="C88510"/>
      <c r="E88510"/>
      <c r="F88510"/>
    </row>
    <row r="88511" spans="1:6" x14ac:dyDescent="0.25">
      <c r="A88511"/>
      <c r="B88511"/>
      <c r="C88511"/>
      <c r="E88511"/>
      <c r="F88511"/>
    </row>
    <row r="88512" spans="1:6" x14ac:dyDescent="0.25">
      <c r="A88512"/>
      <c r="B88512"/>
      <c r="C88512"/>
      <c r="E88512"/>
      <c r="F88512"/>
    </row>
    <row r="88513" spans="1:6" x14ac:dyDescent="0.25">
      <c r="A88513"/>
      <c r="B88513"/>
      <c r="C88513"/>
      <c r="E88513"/>
      <c r="F88513"/>
    </row>
    <row r="88514" spans="1:6" x14ac:dyDescent="0.25">
      <c r="A88514"/>
      <c r="B88514"/>
      <c r="C88514"/>
      <c r="E88514"/>
      <c r="F88514"/>
    </row>
    <row r="88515" spans="1:6" x14ac:dyDescent="0.25">
      <c r="A88515"/>
      <c r="B88515"/>
      <c r="C88515"/>
      <c r="E88515"/>
      <c r="F88515"/>
    </row>
    <row r="88516" spans="1:6" x14ac:dyDescent="0.25">
      <c r="A88516"/>
      <c r="B88516"/>
      <c r="C88516"/>
      <c r="E88516"/>
      <c r="F88516"/>
    </row>
    <row r="88517" spans="1:6" x14ac:dyDescent="0.25">
      <c r="A88517"/>
      <c r="B88517"/>
      <c r="C88517"/>
      <c r="E88517"/>
      <c r="F88517"/>
    </row>
    <row r="88518" spans="1:6" x14ac:dyDescent="0.25">
      <c r="A88518"/>
      <c r="B88518"/>
      <c r="C88518"/>
      <c r="E88518"/>
      <c r="F88518"/>
    </row>
    <row r="88519" spans="1:6" x14ac:dyDescent="0.25">
      <c r="A88519"/>
      <c r="B88519"/>
      <c r="C88519"/>
      <c r="E88519"/>
      <c r="F88519"/>
    </row>
    <row r="88520" spans="1:6" x14ac:dyDescent="0.25">
      <c r="A88520"/>
      <c r="B88520"/>
      <c r="C88520"/>
      <c r="E88520"/>
      <c r="F88520"/>
    </row>
    <row r="88521" spans="1:6" x14ac:dyDescent="0.25">
      <c r="A88521"/>
      <c r="B88521"/>
      <c r="C88521"/>
      <c r="E88521"/>
      <c r="F88521"/>
    </row>
    <row r="88522" spans="1:6" x14ac:dyDescent="0.25">
      <c r="A88522"/>
      <c r="B88522"/>
      <c r="C88522"/>
      <c r="E88522"/>
      <c r="F88522"/>
    </row>
    <row r="88523" spans="1:6" x14ac:dyDescent="0.25">
      <c r="A88523"/>
      <c r="B88523"/>
      <c r="C88523"/>
      <c r="E88523"/>
      <c r="F88523"/>
    </row>
    <row r="88524" spans="1:6" x14ac:dyDescent="0.25">
      <c r="A88524"/>
      <c r="B88524"/>
      <c r="C88524"/>
      <c r="E88524"/>
      <c r="F88524"/>
    </row>
    <row r="88525" spans="1:6" x14ac:dyDescent="0.25">
      <c r="A88525"/>
      <c r="B88525"/>
      <c r="C88525"/>
      <c r="E88525"/>
      <c r="F88525"/>
    </row>
    <row r="88526" spans="1:6" x14ac:dyDescent="0.25">
      <c r="A88526"/>
      <c r="B88526"/>
      <c r="C88526"/>
      <c r="E88526"/>
      <c r="F88526"/>
    </row>
    <row r="88527" spans="1:6" x14ac:dyDescent="0.25">
      <c r="A88527"/>
      <c r="B88527"/>
      <c r="C88527"/>
      <c r="E88527"/>
      <c r="F88527"/>
    </row>
    <row r="88528" spans="1:6" x14ac:dyDescent="0.25">
      <c r="A88528"/>
      <c r="B88528"/>
      <c r="C88528"/>
      <c r="E88528"/>
      <c r="F88528"/>
    </row>
    <row r="88529" spans="1:6" x14ac:dyDescent="0.25">
      <c r="A88529"/>
      <c r="B88529"/>
      <c r="C88529"/>
      <c r="E88529"/>
      <c r="F88529"/>
    </row>
    <row r="88530" spans="1:6" x14ac:dyDescent="0.25">
      <c r="A88530"/>
      <c r="B88530"/>
      <c r="C88530"/>
      <c r="E88530"/>
      <c r="F88530"/>
    </row>
    <row r="88531" spans="1:6" x14ac:dyDescent="0.25">
      <c r="A88531"/>
      <c r="B88531"/>
      <c r="C88531"/>
      <c r="E88531"/>
      <c r="F88531"/>
    </row>
    <row r="88532" spans="1:6" x14ac:dyDescent="0.25">
      <c r="A88532"/>
      <c r="B88532"/>
      <c r="C88532"/>
      <c r="E88532"/>
      <c r="F88532"/>
    </row>
    <row r="88533" spans="1:6" x14ac:dyDescent="0.25">
      <c r="A88533"/>
      <c r="B88533"/>
      <c r="C88533"/>
      <c r="E88533"/>
      <c r="F88533"/>
    </row>
    <row r="88534" spans="1:6" x14ac:dyDescent="0.25">
      <c r="A88534"/>
      <c r="B88534"/>
      <c r="C88534"/>
      <c r="E88534"/>
      <c r="F88534"/>
    </row>
    <row r="88535" spans="1:6" x14ac:dyDescent="0.25">
      <c r="A88535"/>
      <c r="B88535"/>
      <c r="C88535"/>
      <c r="E88535"/>
      <c r="F88535"/>
    </row>
    <row r="88536" spans="1:6" x14ac:dyDescent="0.25">
      <c r="A88536"/>
      <c r="B88536"/>
      <c r="C88536"/>
      <c r="E88536"/>
      <c r="F88536"/>
    </row>
    <row r="88537" spans="1:6" x14ac:dyDescent="0.25">
      <c r="A88537"/>
      <c r="B88537"/>
      <c r="C88537"/>
      <c r="E88537"/>
      <c r="F88537"/>
    </row>
    <row r="88538" spans="1:6" x14ac:dyDescent="0.25">
      <c r="A88538"/>
      <c r="B88538"/>
      <c r="C88538"/>
      <c r="E88538"/>
      <c r="F88538"/>
    </row>
    <row r="88539" spans="1:6" x14ac:dyDescent="0.25">
      <c r="A88539"/>
      <c r="B88539"/>
      <c r="C88539"/>
      <c r="E88539"/>
      <c r="F88539"/>
    </row>
    <row r="88540" spans="1:6" x14ac:dyDescent="0.25">
      <c r="A88540"/>
      <c r="B88540"/>
      <c r="C88540"/>
      <c r="E88540"/>
      <c r="F88540"/>
    </row>
    <row r="88541" spans="1:6" x14ac:dyDescent="0.25">
      <c r="A88541"/>
      <c r="B88541"/>
      <c r="C88541"/>
      <c r="E88541"/>
      <c r="F88541"/>
    </row>
    <row r="88542" spans="1:6" x14ac:dyDescent="0.25">
      <c r="A88542"/>
      <c r="B88542"/>
      <c r="C88542"/>
      <c r="E88542"/>
      <c r="F88542"/>
    </row>
    <row r="88543" spans="1:6" x14ac:dyDescent="0.25">
      <c r="A88543"/>
      <c r="B88543"/>
      <c r="C88543"/>
      <c r="E88543"/>
      <c r="F88543"/>
    </row>
    <row r="88544" spans="1:6" x14ac:dyDescent="0.25">
      <c r="A88544"/>
      <c r="B88544"/>
      <c r="C88544"/>
      <c r="E88544"/>
      <c r="F88544"/>
    </row>
    <row r="88545" spans="1:6" x14ac:dyDescent="0.25">
      <c r="A88545"/>
      <c r="B88545"/>
      <c r="C88545"/>
      <c r="E88545"/>
      <c r="F88545"/>
    </row>
    <row r="88546" spans="1:6" x14ac:dyDescent="0.25">
      <c r="A88546"/>
      <c r="B88546"/>
      <c r="C88546"/>
      <c r="E88546"/>
      <c r="F88546"/>
    </row>
    <row r="88547" spans="1:6" x14ac:dyDescent="0.25">
      <c r="A88547"/>
      <c r="B88547"/>
      <c r="C88547"/>
      <c r="E88547"/>
      <c r="F88547"/>
    </row>
    <row r="88548" spans="1:6" x14ac:dyDescent="0.25">
      <c r="A88548"/>
      <c r="B88548"/>
      <c r="C88548"/>
      <c r="E88548"/>
      <c r="F88548"/>
    </row>
    <row r="88549" spans="1:6" x14ac:dyDescent="0.25">
      <c r="A88549"/>
      <c r="B88549"/>
      <c r="C88549"/>
      <c r="E88549"/>
      <c r="F88549"/>
    </row>
    <row r="88550" spans="1:6" x14ac:dyDescent="0.25">
      <c r="A88550"/>
      <c r="B88550"/>
      <c r="C88550"/>
      <c r="E88550"/>
      <c r="F88550"/>
    </row>
    <row r="88551" spans="1:6" x14ac:dyDescent="0.25">
      <c r="A88551"/>
      <c r="B88551"/>
      <c r="C88551"/>
      <c r="E88551"/>
      <c r="F88551"/>
    </row>
    <row r="88552" spans="1:6" x14ac:dyDescent="0.25">
      <c r="A88552"/>
      <c r="B88552"/>
      <c r="C88552"/>
      <c r="E88552"/>
      <c r="F88552"/>
    </row>
    <row r="88553" spans="1:6" x14ac:dyDescent="0.25">
      <c r="A88553"/>
      <c r="B88553"/>
      <c r="C88553"/>
      <c r="E88553"/>
      <c r="F88553"/>
    </row>
    <row r="88554" spans="1:6" x14ac:dyDescent="0.25">
      <c r="A88554"/>
      <c r="B88554"/>
      <c r="C88554"/>
      <c r="E88554"/>
      <c r="F88554"/>
    </row>
    <row r="88555" spans="1:6" x14ac:dyDescent="0.25">
      <c r="A88555"/>
      <c r="B88555"/>
      <c r="C88555"/>
      <c r="E88555"/>
      <c r="F88555"/>
    </row>
    <row r="88556" spans="1:6" x14ac:dyDescent="0.25">
      <c r="A88556"/>
      <c r="B88556"/>
      <c r="C88556"/>
      <c r="E88556"/>
      <c r="F88556"/>
    </row>
    <row r="88557" spans="1:6" x14ac:dyDescent="0.25">
      <c r="A88557"/>
      <c r="B88557"/>
      <c r="C88557"/>
      <c r="E88557"/>
      <c r="F88557"/>
    </row>
    <row r="88558" spans="1:6" x14ac:dyDescent="0.25">
      <c r="A88558"/>
      <c r="B88558"/>
      <c r="C88558"/>
      <c r="E88558"/>
      <c r="F88558"/>
    </row>
    <row r="88559" spans="1:6" x14ac:dyDescent="0.25">
      <c r="A88559"/>
      <c r="B88559"/>
      <c r="C88559"/>
      <c r="E88559"/>
      <c r="F88559"/>
    </row>
    <row r="88560" spans="1:6" x14ac:dyDescent="0.25">
      <c r="A88560"/>
      <c r="B88560"/>
      <c r="C88560"/>
      <c r="E88560"/>
      <c r="F88560"/>
    </row>
    <row r="88561" spans="1:6" x14ac:dyDescent="0.25">
      <c r="A88561"/>
      <c r="B88561"/>
      <c r="C88561"/>
      <c r="E88561"/>
      <c r="F88561"/>
    </row>
    <row r="88562" spans="1:6" x14ac:dyDescent="0.25">
      <c r="A88562"/>
      <c r="B88562"/>
      <c r="C88562"/>
      <c r="E88562"/>
      <c r="F88562"/>
    </row>
    <row r="88563" spans="1:6" x14ac:dyDescent="0.25">
      <c r="A88563"/>
      <c r="B88563"/>
      <c r="C88563"/>
      <c r="E88563"/>
      <c r="F88563"/>
    </row>
    <row r="88564" spans="1:6" x14ac:dyDescent="0.25">
      <c r="A88564"/>
      <c r="B88564"/>
      <c r="C88564"/>
      <c r="E88564"/>
      <c r="F88564"/>
    </row>
    <row r="88565" spans="1:6" x14ac:dyDescent="0.25">
      <c r="A88565"/>
      <c r="B88565"/>
      <c r="C88565"/>
      <c r="E88565"/>
      <c r="F88565"/>
    </row>
    <row r="88566" spans="1:6" x14ac:dyDescent="0.25">
      <c r="A88566"/>
      <c r="B88566"/>
      <c r="C88566"/>
      <c r="E88566"/>
      <c r="F88566"/>
    </row>
    <row r="88567" spans="1:6" x14ac:dyDescent="0.25">
      <c r="A88567"/>
      <c r="B88567"/>
      <c r="C88567"/>
      <c r="E88567"/>
      <c r="F88567"/>
    </row>
    <row r="88568" spans="1:6" x14ac:dyDescent="0.25">
      <c r="A88568"/>
      <c r="B88568"/>
      <c r="C88568"/>
      <c r="E88568"/>
      <c r="F88568"/>
    </row>
    <row r="88569" spans="1:6" x14ac:dyDescent="0.25">
      <c r="A88569"/>
      <c r="B88569"/>
      <c r="C88569"/>
      <c r="E88569"/>
      <c r="F88569"/>
    </row>
    <row r="88570" spans="1:6" x14ac:dyDescent="0.25">
      <c r="A88570"/>
      <c r="B88570"/>
      <c r="C88570"/>
      <c r="E88570"/>
      <c r="F88570"/>
    </row>
    <row r="88571" spans="1:6" x14ac:dyDescent="0.25">
      <c r="A88571"/>
      <c r="B88571"/>
      <c r="C88571"/>
      <c r="E88571"/>
      <c r="F88571"/>
    </row>
    <row r="88572" spans="1:6" x14ac:dyDescent="0.25">
      <c r="A88572"/>
      <c r="B88572"/>
      <c r="C88572"/>
      <c r="E88572"/>
      <c r="F88572"/>
    </row>
    <row r="88573" spans="1:6" x14ac:dyDescent="0.25">
      <c r="A88573"/>
      <c r="B88573"/>
      <c r="C88573"/>
      <c r="E88573"/>
      <c r="F88573"/>
    </row>
    <row r="88574" spans="1:6" x14ac:dyDescent="0.25">
      <c r="A88574"/>
      <c r="B88574"/>
      <c r="C88574"/>
      <c r="E88574"/>
      <c r="F88574"/>
    </row>
    <row r="88575" spans="1:6" x14ac:dyDescent="0.25">
      <c r="A88575"/>
      <c r="B88575"/>
      <c r="C88575"/>
      <c r="E88575"/>
      <c r="F88575"/>
    </row>
    <row r="88576" spans="1:6" x14ac:dyDescent="0.25">
      <c r="A88576"/>
      <c r="B88576"/>
      <c r="C88576"/>
      <c r="E88576"/>
      <c r="F88576"/>
    </row>
    <row r="88577" spans="1:6" x14ac:dyDescent="0.25">
      <c r="A88577"/>
      <c r="B88577"/>
      <c r="C88577"/>
      <c r="E88577"/>
      <c r="F88577"/>
    </row>
    <row r="88578" spans="1:6" x14ac:dyDescent="0.25">
      <c r="A88578"/>
      <c r="B88578"/>
      <c r="C88578"/>
      <c r="E88578"/>
      <c r="F88578"/>
    </row>
    <row r="88579" spans="1:6" x14ac:dyDescent="0.25">
      <c r="A88579"/>
      <c r="B88579"/>
      <c r="C88579"/>
      <c r="E88579"/>
      <c r="F88579"/>
    </row>
    <row r="88580" spans="1:6" x14ac:dyDescent="0.25">
      <c r="A88580"/>
      <c r="B88580"/>
      <c r="C88580"/>
      <c r="E88580"/>
      <c r="F88580"/>
    </row>
    <row r="88581" spans="1:6" x14ac:dyDescent="0.25">
      <c r="A88581"/>
      <c r="B88581"/>
      <c r="C88581"/>
      <c r="E88581"/>
      <c r="F88581"/>
    </row>
    <row r="88582" spans="1:6" x14ac:dyDescent="0.25">
      <c r="A88582"/>
      <c r="B88582"/>
      <c r="C88582"/>
      <c r="E88582"/>
      <c r="F88582"/>
    </row>
    <row r="88583" spans="1:6" x14ac:dyDescent="0.25">
      <c r="A88583"/>
      <c r="B88583"/>
      <c r="C88583"/>
      <c r="E88583"/>
      <c r="F88583"/>
    </row>
    <row r="88584" spans="1:6" x14ac:dyDescent="0.25">
      <c r="A88584"/>
      <c r="B88584"/>
      <c r="C88584"/>
      <c r="E88584"/>
      <c r="F88584"/>
    </row>
    <row r="88585" spans="1:6" x14ac:dyDescent="0.25">
      <c r="A88585"/>
      <c r="B88585"/>
      <c r="C88585"/>
      <c r="E88585"/>
      <c r="F88585"/>
    </row>
    <row r="88586" spans="1:6" x14ac:dyDescent="0.25">
      <c r="A88586"/>
      <c r="B88586"/>
      <c r="C88586"/>
      <c r="E88586"/>
      <c r="F88586"/>
    </row>
    <row r="88587" spans="1:6" x14ac:dyDescent="0.25">
      <c r="A88587"/>
      <c r="B88587"/>
      <c r="C88587"/>
      <c r="E88587"/>
      <c r="F88587"/>
    </row>
    <row r="88588" spans="1:6" x14ac:dyDescent="0.25">
      <c r="A88588"/>
      <c r="B88588"/>
      <c r="C88588"/>
      <c r="E88588"/>
      <c r="F88588"/>
    </row>
    <row r="88589" spans="1:6" x14ac:dyDescent="0.25">
      <c r="A88589"/>
      <c r="B88589"/>
      <c r="C88589"/>
      <c r="E88589"/>
      <c r="F88589"/>
    </row>
    <row r="88590" spans="1:6" x14ac:dyDescent="0.25">
      <c r="A88590"/>
      <c r="B88590"/>
      <c r="C88590"/>
      <c r="E88590"/>
      <c r="F88590"/>
    </row>
    <row r="88591" spans="1:6" x14ac:dyDescent="0.25">
      <c r="A88591"/>
      <c r="B88591"/>
      <c r="C88591"/>
      <c r="E88591"/>
      <c r="F88591"/>
    </row>
    <row r="88592" spans="1:6" x14ac:dyDescent="0.25">
      <c r="A88592"/>
      <c r="B88592"/>
      <c r="C88592"/>
      <c r="E88592"/>
      <c r="F88592"/>
    </row>
    <row r="88593" spans="1:6" x14ac:dyDescent="0.25">
      <c r="A88593"/>
      <c r="B88593"/>
      <c r="C88593"/>
      <c r="E88593"/>
      <c r="F88593"/>
    </row>
    <row r="88594" spans="1:6" x14ac:dyDescent="0.25">
      <c r="A88594"/>
      <c r="B88594"/>
      <c r="C88594"/>
      <c r="E88594"/>
      <c r="F88594"/>
    </row>
    <row r="88595" spans="1:6" x14ac:dyDescent="0.25">
      <c r="A88595"/>
      <c r="B88595"/>
      <c r="C88595"/>
      <c r="E88595"/>
      <c r="F88595"/>
    </row>
    <row r="88596" spans="1:6" x14ac:dyDescent="0.25">
      <c r="A88596"/>
      <c r="B88596"/>
      <c r="C88596"/>
      <c r="E88596"/>
      <c r="F88596"/>
    </row>
    <row r="88597" spans="1:6" x14ac:dyDescent="0.25">
      <c r="A88597"/>
      <c r="B88597"/>
      <c r="C88597"/>
      <c r="E88597"/>
      <c r="F88597"/>
    </row>
    <row r="88598" spans="1:6" x14ac:dyDescent="0.25">
      <c r="A88598"/>
      <c r="B88598"/>
      <c r="C88598"/>
      <c r="E88598"/>
      <c r="F88598"/>
    </row>
    <row r="88599" spans="1:6" x14ac:dyDescent="0.25">
      <c r="A88599"/>
      <c r="B88599"/>
      <c r="C88599"/>
      <c r="E88599"/>
      <c r="F88599"/>
    </row>
    <row r="88600" spans="1:6" x14ac:dyDescent="0.25">
      <c r="A88600"/>
      <c r="B88600"/>
      <c r="C88600"/>
      <c r="E88600"/>
      <c r="F88600"/>
    </row>
    <row r="88601" spans="1:6" x14ac:dyDescent="0.25">
      <c r="A88601"/>
      <c r="B88601"/>
      <c r="C88601"/>
      <c r="E88601"/>
      <c r="F88601"/>
    </row>
    <row r="88602" spans="1:6" x14ac:dyDescent="0.25">
      <c r="A88602"/>
      <c r="B88602"/>
      <c r="C88602"/>
      <c r="E88602"/>
      <c r="F88602"/>
    </row>
    <row r="88603" spans="1:6" x14ac:dyDescent="0.25">
      <c r="A88603"/>
      <c r="B88603"/>
      <c r="C88603"/>
      <c r="E88603"/>
      <c r="F88603"/>
    </row>
    <row r="88604" spans="1:6" x14ac:dyDescent="0.25">
      <c r="A88604"/>
      <c r="B88604"/>
      <c r="C88604"/>
      <c r="E88604"/>
      <c r="F88604"/>
    </row>
    <row r="88605" spans="1:6" x14ac:dyDescent="0.25">
      <c r="A88605"/>
      <c r="B88605"/>
      <c r="C88605"/>
      <c r="E88605"/>
      <c r="F88605"/>
    </row>
    <row r="88606" spans="1:6" x14ac:dyDescent="0.25">
      <c r="A88606"/>
      <c r="B88606"/>
      <c r="C88606"/>
      <c r="E88606"/>
      <c r="F88606"/>
    </row>
    <row r="88607" spans="1:6" x14ac:dyDescent="0.25">
      <c r="A88607"/>
      <c r="B88607"/>
      <c r="C88607"/>
      <c r="E88607"/>
      <c r="F88607"/>
    </row>
    <row r="88608" spans="1:6" x14ac:dyDescent="0.25">
      <c r="A88608"/>
      <c r="B88608"/>
      <c r="C88608"/>
      <c r="E88608"/>
      <c r="F88608"/>
    </row>
    <row r="88609" spans="1:6" x14ac:dyDescent="0.25">
      <c r="A88609"/>
      <c r="B88609"/>
      <c r="C88609"/>
      <c r="E88609"/>
      <c r="F88609"/>
    </row>
    <row r="88610" spans="1:6" x14ac:dyDescent="0.25">
      <c r="A88610"/>
      <c r="B88610"/>
      <c r="C88610"/>
      <c r="E88610"/>
      <c r="F88610"/>
    </row>
    <row r="88611" spans="1:6" x14ac:dyDescent="0.25">
      <c r="A88611"/>
      <c r="B88611"/>
      <c r="C88611"/>
      <c r="E88611"/>
      <c r="F88611"/>
    </row>
    <row r="88612" spans="1:6" x14ac:dyDescent="0.25">
      <c r="A88612"/>
      <c r="B88612"/>
      <c r="C88612"/>
      <c r="E88612"/>
      <c r="F88612"/>
    </row>
    <row r="88613" spans="1:6" x14ac:dyDescent="0.25">
      <c r="A88613"/>
      <c r="B88613"/>
      <c r="C88613"/>
      <c r="E88613"/>
      <c r="F88613"/>
    </row>
    <row r="88614" spans="1:6" x14ac:dyDescent="0.25">
      <c r="A88614"/>
      <c r="B88614"/>
      <c r="C88614"/>
      <c r="E88614"/>
      <c r="F88614"/>
    </row>
    <row r="88615" spans="1:6" x14ac:dyDescent="0.25">
      <c r="A88615"/>
      <c r="B88615"/>
      <c r="C88615"/>
      <c r="E88615"/>
      <c r="F88615"/>
    </row>
    <row r="88616" spans="1:6" x14ac:dyDescent="0.25">
      <c r="A88616"/>
      <c r="B88616"/>
      <c r="C88616"/>
      <c r="E88616"/>
      <c r="F88616"/>
    </row>
    <row r="88617" spans="1:6" x14ac:dyDescent="0.25">
      <c r="A88617"/>
      <c r="B88617"/>
      <c r="C88617"/>
      <c r="E88617"/>
      <c r="F88617"/>
    </row>
    <row r="88618" spans="1:6" x14ac:dyDescent="0.25">
      <c r="A88618"/>
      <c r="B88618"/>
      <c r="C88618"/>
      <c r="E88618"/>
      <c r="F88618"/>
    </row>
    <row r="88619" spans="1:6" x14ac:dyDescent="0.25">
      <c r="A88619"/>
      <c r="B88619"/>
      <c r="C88619"/>
      <c r="E88619"/>
      <c r="F88619"/>
    </row>
    <row r="88620" spans="1:6" x14ac:dyDescent="0.25">
      <c r="A88620"/>
      <c r="B88620"/>
      <c r="C88620"/>
      <c r="E88620"/>
      <c r="F88620"/>
    </row>
    <row r="88621" spans="1:6" x14ac:dyDescent="0.25">
      <c r="A88621"/>
      <c r="B88621"/>
      <c r="C88621"/>
      <c r="E88621"/>
      <c r="F88621"/>
    </row>
    <row r="88622" spans="1:6" x14ac:dyDescent="0.25">
      <c r="A88622"/>
      <c r="B88622"/>
      <c r="C88622"/>
      <c r="E88622"/>
      <c r="F88622"/>
    </row>
    <row r="88623" spans="1:6" x14ac:dyDescent="0.25">
      <c r="A88623"/>
      <c r="B88623"/>
      <c r="C88623"/>
      <c r="E88623"/>
      <c r="F88623"/>
    </row>
    <row r="88624" spans="1:6" x14ac:dyDescent="0.25">
      <c r="A88624"/>
      <c r="B88624"/>
      <c r="C88624"/>
      <c r="E88624"/>
      <c r="F88624"/>
    </row>
    <row r="88625" spans="1:6" x14ac:dyDescent="0.25">
      <c r="A88625"/>
      <c r="B88625"/>
      <c r="C88625"/>
      <c r="E88625"/>
      <c r="F88625"/>
    </row>
    <row r="88626" spans="1:6" x14ac:dyDescent="0.25">
      <c r="A88626"/>
      <c r="B88626"/>
      <c r="C88626"/>
      <c r="E88626"/>
      <c r="F88626"/>
    </row>
    <row r="88627" spans="1:6" x14ac:dyDescent="0.25">
      <c r="A88627"/>
      <c r="B88627"/>
      <c r="C88627"/>
      <c r="E88627"/>
      <c r="F88627"/>
    </row>
    <row r="88628" spans="1:6" x14ac:dyDescent="0.25">
      <c r="A88628"/>
      <c r="B88628"/>
      <c r="C88628"/>
      <c r="E88628"/>
      <c r="F88628"/>
    </row>
    <row r="88629" spans="1:6" x14ac:dyDescent="0.25">
      <c r="A88629"/>
      <c r="B88629"/>
      <c r="C88629"/>
      <c r="E88629"/>
      <c r="F88629"/>
    </row>
    <row r="88630" spans="1:6" x14ac:dyDescent="0.25">
      <c r="A88630"/>
      <c r="B88630"/>
      <c r="C88630"/>
      <c r="E88630"/>
      <c r="F88630"/>
    </row>
    <row r="88631" spans="1:6" x14ac:dyDescent="0.25">
      <c r="A88631"/>
      <c r="B88631"/>
      <c r="C88631"/>
      <c r="E88631"/>
      <c r="F88631"/>
    </row>
    <row r="88632" spans="1:6" x14ac:dyDescent="0.25">
      <c r="A88632"/>
      <c r="B88632"/>
      <c r="C88632"/>
      <c r="E88632"/>
      <c r="F88632"/>
    </row>
    <row r="88633" spans="1:6" x14ac:dyDescent="0.25">
      <c r="A88633"/>
      <c r="B88633"/>
      <c r="C88633"/>
      <c r="E88633"/>
      <c r="F88633"/>
    </row>
    <row r="88634" spans="1:6" x14ac:dyDescent="0.25">
      <c r="A88634"/>
      <c r="B88634"/>
      <c r="C88634"/>
      <c r="E88634"/>
      <c r="F88634"/>
    </row>
    <row r="88635" spans="1:6" x14ac:dyDescent="0.25">
      <c r="A88635"/>
      <c r="B88635"/>
      <c r="C88635"/>
      <c r="E88635"/>
      <c r="F88635"/>
    </row>
    <row r="88636" spans="1:6" x14ac:dyDescent="0.25">
      <c r="A88636"/>
      <c r="B88636"/>
      <c r="C88636"/>
      <c r="E88636"/>
      <c r="F88636"/>
    </row>
    <row r="88637" spans="1:6" x14ac:dyDescent="0.25">
      <c r="A88637"/>
      <c r="B88637"/>
      <c r="C88637"/>
      <c r="E88637"/>
      <c r="F88637"/>
    </row>
    <row r="88638" spans="1:6" x14ac:dyDescent="0.25">
      <c r="A88638"/>
      <c r="B88638"/>
      <c r="C88638"/>
      <c r="E88638"/>
      <c r="F88638"/>
    </row>
    <row r="88639" spans="1:6" x14ac:dyDescent="0.25">
      <c r="A88639"/>
      <c r="B88639"/>
      <c r="C88639"/>
      <c r="E88639"/>
      <c r="F88639"/>
    </row>
    <row r="88640" spans="1:6" x14ac:dyDescent="0.25">
      <c r="A88640"/>
      <c r="B88640"/>
      <c r="C88640"/>
      <c r="E88640"/>
      <c r="F88640"/>
    </row>
    <row r="88641" spans="1:6" x14ac:dyDescent="0.25">
      <c r="A88641"/>
      <c r="B88641"/>
      <c r="C88641"/>
      <c r="E88641"/>
      <c r="F88641"/>
    </row>
    <row r="88642" spans="1:6" x14ac:dyDescent="0.25">
      <c r="A88642"/>
      <c r="B88642"/>
      <c r="C88642"/>
      <c r="E88642"/>
      <c r="F88642"/>
    </row>
    <row r="88643" spans="1:6" x14ac:dyDescent="0.25">
      <c r="A88643"/>
      <c r="B88643"/>
      <c r="C88643"/>
      <c r="E88643"/>
      <c r="F88643"/>
    </row>
    <row r="88644" spans="1:6" x14ac:dyDescent="0.25">
      <c r="A88644"/>
      <c r="B88644"/>
      <c r="C88644"/>
      <c r="E88644"/>
      <c r="F88644"/>
    </row>
    <row r="88645" spans="1:6" x14ac:dyDescent="0.25">
      <c r="A88645"/>
      <c r="B88645"/>
      <c r="C88645"/>
      <c r="E88645"/>
      <c r="F88645"/>
    </row>
    <row r="88646" spans="1:6" x14ac:dyDescent="0.25">
      <c r="A88646"/>
      <c r="B88646"/>
      <c r="C88646"/>
      <c r="E88646"/>
      <c r="F88646"/>
    </row>
    <row r="88647" spans="1:6" x14ac:dyDescent="0.25">
      <c r="A88647"/>
      <c r="B88647"/>
      <c r="C88647"/>
      <c r="E88647"/>
      <c r="F88647"/>
    </row>
    <row r="88648" spans="1:6" x14ac:dyDescent="0.25">
      <c r="A88648"/>
      <c r="B88648"/>
      <c r="C88648"/>
      <c r="E88648"/>
      <c r="F88648"/>
    </row>
    <row r="88649" spans="1:6" x14ac:dyDescent="0.25">
      <c r="A88649"/>
      <c r="B88649"/>
      <c r="C88649"/>
      <c r="E88649"/>
      <c r="F88649"/>
    </row>
    <row r="88650" spans="1:6" x14ac:dyDescent="0.25">
      <c r="A88650"/>
      <c r="B88650"/>
      <c r="C88650"/>
      <c r="E88650"/>
      <c r="F88650"/>
    </row>
    <row r="88651" spans="1:6" x14ac:dyDescent="0.25">
      <c r="A88651"/>
      <c r="B88651"/>
      <c r="C88651"/>
      <c r="E88651"/>
      <c r="F88651"/>
    </row>
    <row r="88652" spans="1:6" x14ac:dyDescent="0.25">
      <c r="A88652"/>
      <c r="B88652"/>
      <c r="C88652"/>
      <c r="E88652"/>
      <c r="F88652"/>
    </row>
    <row r="88653" spans="1:6" x14ac:dyDescent="0.25">
      <c r="A88653"/>
      <c r="B88653"/>
      <c r="C88653"/>
      <c r="E88653"/>
      <c r="F88653"/>
    </row>
    <row r="88654" spans="1:6" x14ac:dyDescent="0.25">
      <c r="A88654"/>
      <c r="B88654"/>
      <c r="C88654"/>
      <c r="E88654"/>
      <c r="F88654"/>
    </row>
    <row r="88655" spans="1:6" x14ac:dyDescent="0.25">
      <c r="A88655"/>
      <c r="B88655"/>
      <c r="C88655"/>
      <c r="E88655"/>
      <c r="F88655"/>
    </row>
    <row r="88656" spans="1:6" x14ac:dyDescent="0.25">
      <c r="A88656"/>
      <c r="B88656"/>
      <c r="C88656"/>
      <c r="E88656"/>
      <c r="F88656"/>
    </row>
    <row r="88657" spans="1:6" x14ac:dyDescent="0.25">
      <c r="A88657"/>
      <c r="B88657"/>
      <c r="C88657"/>
      <c r="E88657"/>
      <c r="F88657"/>
    </row>
    <row r="88658" spans="1:6" x14ac:dyDescent="0.25">
      <c r="A88658"/>
      <c r="B88658"/>
      <c r="C88658"/>
      <c r="E88658"/>
      <c r="F88658"/>
    </row>
    <row r="88659" spans="1:6" x14ac:dyDescent="0.25">
      <c r="A88659"/>
      <c r="B88659"/>
      <c r="C88659"/>
      <c r="E88659"/>
      <c r="F88659"/>
    </row>
    <row r="88660" spans="1:6" x14ac:dyDescent="0.25">
      <c r="A88660"/>
      <c r="B88660"/>
      <c r="C88660"/>
      <c r="E88660"/>
      <c r="F88660"/>
    </row>
    <row r="88661" spans="1:6" x14ac:dyDescent="0.25">
      <c r="A88661"/>
      <c r="B88661"/>
      <c r="C88661"/>
      <c r="E88661"/>
      <c r="F88661"/>
    </row>
    <row r="88662" spans="1:6" x14ac:dyDescent="0.25">
      <c r="A88662"/>
      <c r="B88662"/>
      <c r="C88662"/>
      <c r="E88662"/>
      <c r="F88662"/>
    </row>
    <row r="88663" spans="1:6" x14ac:dyDescent="0.25">
      <c r="A88663"/>
      <c r="B88663"/>
      <c r="C88663"/>
      <c r="E88663"/>
      <c r="F88663"/>
    </row>
    <row r="88664" spans="1:6" x14ac:dyDescent="0.25">
      <c r="A88664"/>
      <c r="B88664"/>
      <c r="C88664"/>
      <c r="E88664"/>
      <c r="F88664"/>
    </row>
    <row r="88665" spans="1:6" x14ac:dyDescent="0.25">
      <c r="A88665"/>
      <c r="B88665"/>
      <c r="C88665"/>
      <c r="E88665"/>
      <c r="F88665"/>
    </row>
    <row r="88666" spans="1:6" x14ac:dyDescent="0.25">
      <c r="A88666"/>
      <c r="B88666"/>
      <c r="C88666"/>
      <c r="E88666"/>
      <c r="F88666"/>
    </row>
    <row r="88667" spans="1:6" x14ac:dyDescent="0.25">
      <c r="A88667"/>
      <c r="B88667"/>
      <c r="C88667"/>
      <c r="E88667"/>
      <c r="F88667"/>
    </row>
    <row r="88668" spans="1:6" x14ac:dyDescent="0.25">
      <c r="A88668"/>
      <c r="B88668"/>
      <c r="C88668"/>
      <c r="E88668"/>
      <c r="F88668"/>
    </row>
    <row r="88669" spans="1:6" x14ac:dyDescent="0.25">
      <c r="A88669"/>
      <c r="B88669"/>
      <c r="C88669"/>
      <c r="E88669"/>
      <c r="F88669"/>
    </row>
    <row r="88670" spans="1:6" x14ac:dyDescent="0.25">
      <c r="A88670"/>
      <c r="B88670"/>
      <c r="C88670"/>
      <c r="E88670"/>
      <c r="F88670"/>
    </row>
    <row r="88671" spans="1:6" x14ac:dyDescent="0.25">
      <c r="A88671"/>
      <c r="B88671"/>
      <c r="C88671"/>
      <c r="E88671"/>
      <c r="F88671"/>
    </row>
    <row r="88672" spans="1:6" x14ac:dyDescent="0.25">
      <c r="A88672"/>
      <c r="B88672"/>
      <c r="C88672"/>
      <c r="E88672"/>
      <c r="F88672"/>
    </row>
    <row r="88673" spans="1:6" x14ac:dyDescent="0.25">
      <c r="A88673"/>
      <c r="B88673"/>
      <c r="C88673"/>
      <c r="E88673"/>
      <c r="F88673"/>
    </row>
    <row r="88674" spans="1:6" x14ac:dyDescent="0.25">
      <c r="A88674"/>
      <c r="B88674"/>
      <c r="C88674"/>
      <c r="E88674"/>
      <c r="F88674"/>
    </row>
    <row r="88675" spans="1:6" x14ac:dyDescent="0.25">
      <c r="A88675"/>
      <c r="B88675"/>
      <c r="C88675"/>
      <c r="E88675"/>
      <c r="F88675"/>
    </row>
    <row r="88676" spans="1:6" x14ac:dyDescent="0.25">
      <c r="A88676"/>
      <c r="B88676"/>
      <c r="C88676"/>
      <c r="E88676"/>
      <c r="F88676"/>
    </row>
    <row r="88677" spans="1:6" x14ac:dyDescent="0.25">
      <c r="A88677"/>
      <c r="B88677"/>
      <c r="C88677"/>
      <c r="E88677"/>
      <c r="F88677"/>
    </row>
    <row r="88678" spans="1:6" x14ac:dyDescent="0.25">
      <c r="A88678"/>
      <c r="B88678"/>
      <c r="C88678"/>
      <c r="E88678"/>
      <c r="F88678"/>
    </row>
    <row r="88679" spans="1:6" x14ac:dyDescent="0.25">
      <c r="A88679"/>
      <c r="B88679"/>
      <c r="C88679"/>
      <c r="E88679"/>
      <c r="F88679"/>
    </row>
    <row r="88680" spans="1:6" x14ac:dyDescent="0.25">
      <c r="A88680"/>
      <c r="B88680"/>
      <c r="C88680"/>
      <c r="E88680"/>
      <c r="F88680"/>
    </row>
    <row r="88681" spans="1:6" x14ac:dyDescent="0.25">
      <c r="A88681"/>
      <c r="B88681"/>
      <c r="C88681"/>
      <c r="E88681"/>
      <c r="F88681"/>
    </row>
    <row r="88682" spans="1:6" x14ac:dyDescent="0.25">
      <c r="A88682"/>
      <c r="B88682"/>
      <c r="C88682"/>
      <c r="E88682"/>
      <c r="F88682"/>
    </row>
    <row r="88683" spans="1:6" x14ac:dyDescent="0.25">
      <c r="A88683"/>
      <c r="B88683"/>
      <c r="C88683"/>
      <c r="E88683"/>
      <c r="F88683"/>
    </row>
    <row r="88684" spans="1:6" x14ac:dyDescent="0.25">
      <c r="A88684"/>
      <c r="B88684"/>
      <c r="C88684"/>
      <c r="E88684"/>
      <c r="F88684"/>
    </row>
    <row r="88685" spans="1:6" x14ac:dyDescent="0.25">
      <c r="A88685"/>
      <c r="B88685"/>
      <c r="C88685"/>
      <c r="E88685"/>
      <c r="F88685"/>
    </row>
    <row r="88686" spans="1:6" x14ac:dyDescent="0.25">
      <c r="A88686"/>
      <c r="B88686"/>
      <c r="C88686"/>
      <c r="E88686"/>
      <c r="F88686"/>
    </row>
    <row r="88687" spans="1:6" x14ac:dyDescent="0.25">
      <c r="A88687"/>
      <c r="B88687"/>
      <c r="C88687"/>
      <c r="E88687"/>
      <c r="F88687"/>
    </row>
    <row r="88688" spans="1:6" x14ac:dyDescent="0.25">
      <c r="A88688"/>
      <c r="B88688"/>
      <c r="C88688"/>
      <c r="E88688"/>
      <c r="F88688"/>
    </row>
    <row r="88689" spans="1:6" x14ac:dyDescent="0.25">
      <c r="A88689"/>
      <c r="B88689"/>
      <c r="C88689"/>
      <c r="E88689"/>
      <c r="F88689"/>
    </row>
    <row r="88690" spans="1:6" x14ac:dyDescent="0.25">
      <c r="A88690"/>
      <c r="B88690"/>
      <c r="C88690"/>
      <c r="E88690"/>
      <c r="F88690"/>
    </row>
    <row r="88691" spans="1:6" x14ac:dyDescent="0.25">
      <c r="A88691"/>
      <c r="B88691"/>
      <c r="C88691"/>
      <c r="E88691"/>
      <c r="F88691"/>
    </row>
    <row r="88692" spans="1:6" x14ac:dyDescent="0.25">
      <c r="A88692"/>
      <c r="B88692"/>
      <c r="C88692"/>
      <c r="E88692"/>
      <c r="F88692"/>
    </row>
    <row r="88693" spans="1:6" x14ac:dyDescent="0.25">
      <c r="A88693"/>
      <c r="B88693"/>
      <c r="C88693"/>
      <c r="E88693"/>
      <c r="F88693"/>
    </row>
    <row r="88694" spans="1:6" x14ac:dyDescent="0.25">
      <c r="A88694"/>
      <c r="B88694"/>
      <c r="C88694"/>
      <c r="E88694"/>
      <c r="F88694"/>
    </row>
    <row r="88695" spans="1:6" x14ac:dyDescent="0.25">
      <c r="A88695"/>
      <c r="B88695"/>
      <c r="C88695"/>
      <c r="E88695"/>
      <c r="F88695"/>
    </row>
    <row r="88696" spans="1:6" x14ac:dyDescent="0.25">
      <c r="A88696"/>
      <c r="B88696"/>
      <c r="C88696"/>
      <c r="E88696"/>
      <c r="F88696"/>
    </row>
    <row r="88697" spans="1:6" x14ac:dyDescent="0.25">
      <c r="A88697"/>
      <c r="B88697"/>
      <c r="C88697"/>
      <c r="E88697"/>
      <c r="F88697"/>
    </row>
    <row r="88698" spans="1:6" x14ac:dyDescent="0.25">
      <c r="A88698"/>
      <c r="B88698"/>
      <c r="C88698"/>
      <c r="E88698"/>
      <c r="F88698"/>
    </row>
    <row r="88699" spans="1:6" x14ac:dyDescent="0.25">
      <c r="A88699"/>
      <c r="B88699"/>
      <c r="C88699"/>
      <c r="E88699"/>
      <c r="F88699"/>
    </row>
    <row r="88700" spans="1:6" x14ac:dyDescent="0.25">
      <c r="A88700"/>
      <c r="B88700"/>
      <c r="C88700"/>
      <c r="E88700"/>
      <c r="F88700"/>
    </row>
    <row r="88701" spans="1:6" x14ac:dyDescent="0.25">
      <c r="A88701"/>
      <c r="B88701"/>
      <c r="C88701"/>
      <c r="E88701"/>
      <c r="F88701"/>
    </row>
    <row r="88702" spans="1:6" x14ac:dyDescent="0.25">
      <c r="A88702"/>
      <c r="B88702"/>
      <c r="C88702"/>
      <c r="E88702"/>
      <c r="F88702"/>
    </row>
    <row r="88703" spans="1:6" x14ac:dyDescent="0.25">
      <c r="A88703"/>
      <c r="B88703"/>
      <c r="C88703"/>
      <c r="E88703"/>
      <c r="F88703"/>
    </row>
    <row r="88704" spans="1:6" x14ac:dyDescent="0.25">
      <c r="A88704"/>
      <c r="B88704"/>
      <c r="C88704"/>
      <c r="E88704"/>
      <c r="F88704"/>
    </row>
    <row r="88705" spans="1:6" x14ac:dyDescent="0.25">
      <c r="A88705"/>
      <c r="B88705"/>
      <c r="C88705"/>
      <c r="E88705"/>
      <c r="F88705"/>
    </row>
    <row r="88706" spans="1:6" x14ac:dyDescent="0.25">
      <c r="A88706"/>
      <c r="B88706"/>
      <c r="C88706"/>
      <c r="E88706"/>
      <c r="F88706"/>
    </row>
    <row r="88707" spans="1:6" x14ac:dyDescent="0.25">
      <c r="A88707"/>
      <c r="B88707"/>
      <c r="C88707"/>
      <c r="E88707"/>
      <c r="F88707"/>
    </row>
    <row r="88708" spans="1:6" x14ac:dyDescent="0.25">
      <c r="A88708"/>
      <c r="B88708"/>
      <c r="C88708"/>
      <c r="E88708"/>
      <c r="F88708"/>
    </row>
    <row r="88709" spans="1:6" x14ac:dyDescent="0.25">
      <c r="A88709"/>
      <c r="B88709"/>
      <c r="C88709"/>
      <c r="E88709"/>
      <c r="F88709"/>
    </row>
    <row r="88710" spans="1:6" x14ac:dyDescent="0.25">
      <c r="A88710"/>
      <c r="B88710"/>
      <c r="C88710"/>
      <c r="E88710"/>
      <c r="F88710"/>
    </row>
    <row r="88711" spans="1:6" x14ac:dyDescent="0.25">
      <c r="A88711"/>
      <c r="B88711"/>
      <c r="C88711"/>
      <c r="E88711"/>
      <c r="F88711"/>
    </row>
    <row r="88712" spans="1:6" x14ac:dyDescent="0.25">
      <c r="A88712"/>
      <c r="B88712"/>
      <c r="C88712"/>
      <c r="E88712"/>
      <c r="F88712"/>
    </row>
    <row r="88713" spans="1:6" x14ac:dyDescent="0.25">
      <c r="A88713"/>
      <c r="B88713"/>
      <c r="C88713"/>
      <c r="E88713"/>
      <c r="F88713"/>
    </row>
    <row r="88714" spans="1:6" x14ac:dyDescent="0.25">
      <c r="A88714"/>
      <c r="B88714"/>
      <c r="C88714"/>
      <c r="E88714"/>
      <c r="F88714"/>
    </row>
    <row r="88715" spans="1:6" x14ac:dyDescent="0.25">
      <c r="A88715"/>
      <c r="B88715"/>
      <c r="C88715"/>
      <c r="E88715"/>
      <c r="F88715"/>
    </row>
    <row r="88716" spans="1:6" x14ac:dyDescent="0.25">
      <c r="A88716"/>
      <c r="B88716"/>
      <c r="C88716"/>
      <c r="E88716"/>
      <c r="F88716"/>
    </row>
    <row r="88717" spans="1:6" x14ac:dyDescent="0.25">
      <c r="A88717"/>
      <c r="B88717"/>
      <c r="C88717"/>
      <c r="E88717"/>
      <c r="F88717"/>
    </row>
    <row r="88718" spans="1:6" x14ac:dyDescent="0.25">
      <c r="A88718"/>
      <c r="B88718"/>
      <c r="C88718"/>
      <c r="E88718"/>
      <c r="F88718"/>
    </row>
    <row r="88719" spans="1:6" x14ac:dyDescent="0.25">
      <c r="A88719"/>
      <c r="B88719"/>
      <c r="C88719"/>
      <c r="E88719"/>
      <c r="F88719"/>
    </row>
    <row r="88720" spans="1:6" x14ac:dyDescent="0.25">
      <c r="A88720"/>
      <c r="B88720"/>
      <c r="C88720"/>
      <c r="E88720"/>
      <c r="F88720"/>
    </row>
    <row r="88721" spans="1:6" x14ac:dyDescent="0.25">
      <c r="A88721"/>
      <c r="B88721"/>
      <c r="C88721"/>
      <c r="E88721"/>
      <c r="F88721"/>
    </row>
    <row r="88722" spans="1:6" x14ac:dyDescent="0.25">
      <c r="A88722"/>
      <c r="B88722"/>
      <c r="C88722"/>
      <c r="E88722"/>
      <c r="F88722"/>
    </row>
    <row r="88723" spans="1:6" x14ac:dyDescent="0.25">
      <c r="A88723"/>
      <c r="B88723"/>
      <c r="C88723"/>
      <c r="E88723"/>
      <c r="F88723"/>
    </row>
    <row r="88724" spans="1:6" x14ac:dyDescent="0.25">
      <c r="A88724"/>
      <c r="B88724"/>
      <c r="C88724"/>
      <c r="E88724"/>
      <c r="F88724"/>
    </row>
    <row r="88725" spans="1:6" x14ac:dyDescent="0.25">
      <c r="A88725"/>
      <c r="B88725"/>
      <c r="C88725"/>
      <c r="E88725"/>
      <c r="F88725"/>
    </row>
    <row r="88726" spans="1:6" x14ac:dyDescent="0.25">
      <c r="A88726"/>
      <c r="B88726"/>
      <c r="C88726"/>
      <c r="E88726"/>
      <c r="F88726"/>
    </row>
    <row r="88727" spans="1:6" x14ac:dyDescent="0.25">
      <c r="A88727"/>
      <c r="B88727"/>
      <c r="C88727"/>
      <c r="E88727"/>
      <c r="F88727"/>
    </row>
    <row r="88728" spans="1:6" x14ac:dyDescent="0.25">
      <c r="A88728"/>
      <c r="B88728"/>
      <c r="C88728"/>
      <c r="E88728"/>
      <c r="F88728"/>
    </row>
    <row r="88729" spans="1:6" x14ac:dyDescent="0.25">
      <c r="A88729"/>
      <c r="B88729"/>
      <c r="C88729"/>
      <c r="E88729"/>
      <c r="F88729"/>
    </row>
    <row r="88730" spans="1:6" x14ac:dyDescent="0.25">
      <c r="A88730"/>
      <c r="B88730"/>
      <c r="C88730"/>
      <c r="E88730"/>
      <c r="F88730"/>
    </row>
    <row r="88731" spans="1:6" x14ac:dyDescent="0.25">
      <c r="A88731"/>
      <c r="B88731"/>
      <c r="C88731"/>
      <c r="E88731"/>
      <c r="F88731"/>
    </row>
    <row r="88732" spans="1:6" x14ac:dyDescent="0.25">
      <c r="A88732"/>
      <c r="B88732"/>
      <c r="C88732"/>
      <c r="E88732"/>
      <c r="F88732"/>
    </row>
    <row r="88733" spans="1:6" x14ac:dyDescent="0.25">
      <c r="A88733"/>
      <c r="B88733"/>
      <c r="C88733"/>
      <c r="E88733"/>
      <c r="F88733"/>
    </row>
    <row r="88734" spans="1:6" x14ac:dyDescent="0.25">
      <c r="A88734"/>
      <c r="B88734"/>
      <c r="C88734"/>
      <c r="E88734"/>
      <c r="F88734"/>
    </row>
    <row r="88735" spans="1:6" x14ac:dyDescent="0.25">
      <c r="A88735"/>
      <c r="B88735"/>
      <c r="C88735"/>
      <c r="E88735"/>
      <c r="F88735"/>
    </row>
    <row r="88736" spans="1:6" x14ac:dyDescent="0.25">
      <c r="A88736"/>
      <c r="B88736"/>
      <c r="C88736"/>
      <c r="E88736"/>
      <c r="F88736"/>
    </row>
    <row r="88737" spans="1:6" x14ac:dyDescent="0.25">
      <c r="A88737"/>
      <c r="B88737"/>
      <c r="C88737"/>
      <c r="E88737"/>
      <c r="F88737"/>
    </row>
    <row r="88738" spans="1:6" x14ac:dyDescent="0.25">
      <c r="A88738"/>
      <c r="B88738"/>
      <c r="C88738"/>
      <c r="E88738"/>
      <c r="F88738"/>
    </row>
    <row r="88739" spans="1:6" x14ac:dyDescent="0.25">
      <c r="A88739"/>
      <c r="B88739"/>
      <c r="C88739"/>
      <c r="E88739"/>
      <c r="F88739"/>
    </row>
    <row r="88740" spans="1:6" x14ac:dyDescent="0.25">
      <c r="A88740"/>
      <c r="B88740"/>
      <c r="C88740"/>
      <c r="E88740"/>
      <c r="F88740"/>
    </row>
    <row r="88741" spans="1:6" x14ac:dyDescent="0.25">
      <c r="A88741"/>
      <c r="B88741"/>
      <c r="C88741"/>
      <c r="E88741"/>
      <c r="F88741"/>
    </row>
    <row r="88742" spans="1:6" x14ac:dyDescent="0.25">
      <c r="A88742"/>
      <c r="B88742"/>
      <c r="C88742"/>
      <c r="E88742"/>
      <c r="F88742"/>
    </row>
    <row r="88743" spans="1:6" x14ac:dyDescent="0.25">
      <c r="A88743"/>
      <c r="B88743"/>
      <c r="C88743"/>
      <c r="E88743"/>
      <c r="F88743"/>
    </row>
    <row r="88744" spans="1:6" x14ac:dyDescent="0.25">
      <c r="A88744"/>
      <c r="B88744"/>
      <c r="C88744"/>
      <c r="E88744"/>
      <c r="F88744"/>
    </row>
    <row r="88745" spans="1:6" x14ac:dyDescent="0.25">
      <c r="A88745"/>
      <c r="B88745"/>
      <c r="C88745"/>
      <c r="E88745"/>
      <c r="F88745"/>
    </row>
    <row r="88746" spans="1:6" x14ac:dyDescent="0.25">
      <c r="A88746"/>
      <c r="B88746"/>
      <c r="C88746"/>
      <c r="E88746"/>
      <c r="F88746"/>
    </row>
    <row r="88747" spans="1:6" x14ac:dyDescent="0.25">
      <c r="A88747"/>
      <c r="B88747"/>
      <c r="C88747"/>
      <c r="E88747"/>
      <c r="F88747"/>
    </row>
    <row r="88748" spans="1:6" x14ac:dyDescent="0.25">
      <c r="A88748"/>
      <c r="B88748"/>
      <c r="C88748"/>
      <c r="E88748"/>
      <c r="F88748"/>
    </row>
    <row r="88749" spans="1:6" x14ac:dyDescent="0.25">
      <c r="A88749"/>
      <c r="B88749"/>
      <c r="C88749"/>
      <c r="E88749"/>
      <c r="F88749"/>
    </row>
    <row r="88750" spans="1:6" x14ac:dyDescent="0.25">
      <c r="A88750"/>
      <c r="B88750"/>
      <c r="C88750"/>
      <c r="E88750"/>
      <c r="F88750"/>
    </row>
    <row r="88751" spans="1:6" x14ac:dyDescent="0.25">
      <c r="A88751"/>
      <c r="B88751"/>
      <c r="C88751"/>
      <c r="E88751"/>
      <c r="F88751"/>
    </row>
    <row r="88752" spans="1:6" x14ac:dyDescent="0.25">
      <c r="A88752"/>
      <c r="B88752"/>
      <c r="C88752"/>
      <c r="E88752"/>
      <c r="F88752"/>
    </row>
    <row r="88753" spans="1:6" x14ac:dyDescent="0.25">
      <c r="A88753"/>
      <c r="B88753"/>
      <c r="C88753"/>
      <c r="E88753"/>
      <c r="F88753"/>
    </row>
    <row r="88754" spans="1:6" x14ac:dyDescent="0.25">
      <c r="A88754"/>
      <c r="B88754"/>
      <c r="C88754"/>
      <c r="E88754"/>
      <c r="F88754"/>
    </row>
    <row r="88755" spans="1:6" x14ac:dyDescent="0.25">
      <c r="A88755"/>
      <c r="B88755"/>
      <c r="C88755"/>
      <c r="E88755"/>
      <c r="F88755"/>
    </row>
    <row r="88756" spans="1:6" x14ac:dyDescent="0.25">
      <c r="A88756"/>
      <c r="B88756"/>
      <c r="C88756"/>
      <c r="E88756"/>
      <c r="F88756"/>
    </row>
    <row r="88757" spans="1:6" x14ac:dyDescent="0.25">
      <c r="A88757"/>
      <c r="B88757"/>
      <c r="C88757"/>
      <c r="E88757"/>
      <c r="F88757"/>
    </row>
    <row r="88758" spans="1:6" x14ac:dyDescent="0.25">
      <c r="A88758"/>
      <c r="B88758"/>
      <c r="C88758"/>
      <c r="E88758"/>
      <c r="F88758"/>
    </row>
    <row r="88759" spans="1:6" x14ac:dyDescent="0.25">
      <c r="A88759"/>
      <c r="B88759"/>
      <c r="C88759"/>
      <c r="E88759"/>
      <c r="F88759"/>
    </row>
    <row r="88760" spans="1:6" x14ac:dyDescent="0.25">
      <c r="A88760"/>
      <c r="B88760"/>
      <c r="C88760"/>
      <c r="E88760"/>
      <c r="F88760"/>
    </row>
    <row r="88761" spans="1:6" x14ac:dyDescent="0.25">
      <c r="A88761"/>
      <c r="B88761"/>
      <c r="C88761"/>
      <c r="E88761"/>
      <c r="F88761"/>
    </row>
    <row r="88762" spans="1:6" x14ac:dyDescent="0.25">
      <c r="A88762"/>
      <c r="B88762"/>
      <c r="C88762"/>
      <c r="E88762"/>
      <c r="F88762"/>
    </row>
    <row r="88763" spans="1:6" x14ac:dyDescent="0.25">
      <c r="A88763"/>
      <c r="B88763"/>
      <c r="C88763"/>
      <c r="E88763"/>
      <c r="F88763"/>
    </row>
    <row r="88764" spans="1:6" x14ac:dyDescent="0.25">
      <c r="A88764"/>
      <c r="B88764"/>
      <c r="C88764"/>
      <c r="E88764"/>
      <c r="F88764"/>
    </row>
    <row r="88765" spans="1:6" x14ac:dyDescent="0.25">
      <c r="A88765"/>
      <c r="B88765"/>
      <c r="C88765"/>
      <c r="E88765"/>
      <c r="F88765"/>
    </row>
    <row r="88766" spans="1:6" x14ac:dyDescent="0.25">
      <c r="A88766"/>
      <c r="B88766"/>
      <c r="C88766"/>
      <c r="E88766"/>
      <c r="F88766"/>
    </row>
    <row r="88767" spans="1:6" x14ac:dyDescent="0.25">
      <c r="A88767"/>
      <c r="B88767"/>
      <c r="C88767"/>
      <c r="E88767"/>
      <c r="F88767"/>
    </row>
    <row r="88768" spans="1:6" x14ac:dyDescent="0.25">
      <c r="A88768"/>
      <c r="B88768"/>
      <c r="C88768"/>
      <c r="E88768"/>
      <c r="F88768"/>
    </row>
    <row r="88769" spans="1:6" x14ac:dyDescent="0.25">
      <c r="A88769"/>
      <c r="B88769"/>
      <c r="C88769"/>
      <c r="E88769"/>
      <c r="F88769"/>
    </row>
    <row r="88770" spans="1:6" x14ac:dyDescent="0.25">
      <c r="A88770"/>
      <c r="B88770"/>
      <c r="C88770"/>
      <c r="E88770"/>
      <c r="F88770"/>
    </row>
    <row r="88771" spans="1:6" x14ac:dyDescent="0.25">
      <c r="A88771"/>
      <c r="B88771"/>
      <c r="C88771"/>
      <c r="E88771"/>
      <c r="F88771"/>
    </row>
    <row r="88772" spans="1:6" x14ac:dyDescent="0.25">
      <c r="A88772"/>
      <c r="B88772"/>
      <c r="C88772"/>
      <c r="E88772"/>
      <c r="F88772"/>
    </row>
    <row r="88773" spans="1:6" x14ac:dyDescent="0.25">
      <c r="A88773"/>
      <c r="B88773"/>
      <c r="C88773"/>
      <c r="E88773"/>
      <c r="F88773"/>
    </row>
    <row r="88774" spans="1:6" x14ac:dyDescent="0.25">
      <c r="A88774"/>
      <c r="B88774"/>
      <c r="C88774"/>
      <c r="E88774"/>
      <c r="F88774"/>
    </row>
    <row r="88775" spans="1:6" x14ac:dyDescent="0.25">
      <c r="A88775"/>
      <c r="B88775"/>
      <c r="C88775"/>
      <c r="E88775"/>
      <c r="F88775"/>
    </row>
    <row r="88776" spans="1:6" x14ac:dyDescent="0.25">
      <c r="A88776"/>
      <c r="B88776"/>
      <c r="C88776"/>
      <c r="E88776"/>
      <c r="F88776"/>
    </row>
    <row r="88777" spans="1:6" x14ac:dyDescent="0.25">
      <c r="A88777"/>
      <c r="B88777"/>
      <c r="C88777"/>
      <c r="E88777"/>
      <c r="F88777"/>
    </row>
    <row r="88778" spans="1:6" x14ac:dyDescent="0.25">
      <c r="A88778"/>
      <c r="B88778"/>
      <c r="C88778"/>
      <c r="E88778"/>
      <c r="F88778"/>
    </row>
    <row r="88779" spans="1:6" x14ac:dyDescent="0.25">
      <c r="A88779"/>
      <c r="B88779"/>
      <c r="C88779"/>
      <c r="E88779"/>
      <c r="F88779"/>
    </row>
    <row r="88780" spans="1:6" x14ac:dyDescent="0.25">
      <c r="A88780"/>
      <c r="B88780"/>
      <c r="C88780"/>
      <c r="E88780"/>
      <c r="F88780"/>
    </row>
    <row r="88781" spans="1:6" x14ac:dyDescent="0.25">
      <c r="A88781"/>
      <c r="B88781"/>
      <c r="C88781"/>
      <c r="E88781"/>
      <c r="F88781"/>
    </row>
    <row r="88782" spans="1:6" x14ac:dyDescent="0.25">
      <c r="A88782"/>
      <c r="B88782"/>
      <c r="C88782"/>
      <c r="E88782"/>
      <c r="F88782"/>
    </row>
    <row r="88783" spans="1:6" x14ac:dyDescent="0.25">
      <c r="A88783"/>
      <c r="B88783"/>
      <c r="C88783"/>
      <c r="E88783"/>
      <c r="F88783"/>
    </row>
    <row r="88784" spans="1:6" x14ac:dyDescent="0.25">
      <c r="A88784"/>
      <c r="B88784"/>
      <c r="C88784"/>
      <c r="E88784"/>
      <c r="F88784"/>
    </row>
    <row r="88785" spans="1:6" x14ac:dyDescent="0.25">
      <c r="A88785"/>
      <c r="B88785"/>
      <c r="C88785"/>
      <c r="E88785"/>
      <c r="F88785"/>
    </row>
    <row r="88786" spans="1:6" x14ac:dyDescent="0.25">
      <c r="A88786"/>
      <c r="B88786"/>
      <c r="C88786"/>
      <c r="E88786"/>
      <c r="F88786"/>
    </row>
    <row r="88787" spans="1:6" x14ac:dyDescent="0.25">
      <c r="A88787"/>
      <c r="B88787"/>
      <c r="C88787"/>
      <c r="E88787"/>
      <c r="F88787"/>
    </row>
    <row r="88788" spans="1:6" x14ac:dyDescent="0.25">
      <c r="A88788"/>
      <c r="B88788"/>
      <c r="C88788"/>
      <c r="E88788"/>
      <c r="F88788"/>
    </row>
    <row r="88789" spans="1:6" x14ac:dyDescent="0.25">
      <c r="A88789"/>
      <c r="B88789"/>
      <c r="C88789"/>
      <c r="E88789"/>
      <c r="F88789"/>
    </row>
    <row r="88790" spans="1:6" x14ac:dyDescent="0.25">
      <c r="A88790"/>
      <c r="B88790"/>
      <c r="C88790"/>
      <c r="E88790"/>
      <c r="F88790"/>
    </row>
    <row r="88791" spans="1:6" x14ac:dyDescent="0.25">
      <c r="A88791"/>
      <c r="B88791"/>
      <c r="C88791"/>
      <c r="E88791"/>
      <c r="F88791"/>
    </row>
    <row r="88792" spans="1:6" x14ac:dyDescent="0.25">
      <c r="A88792"/>
      <c r="B88792"/>
      <c r="C88792"/>
      <c r="E88792"/>
      <c r="F88792"/>
    </row>
    <row r="88793" spans="1:6" x14ac:dyDescent="0.25">
      <c r="A88793"/>
      <c r="B88793"/>
      <c r="C88793"/>
      <c r="E88793"/>
      <c r="F88793"/>
    </row>
    <row r="88794" spans="1:6" x14ac:dyDescent="0.25">
      <c r="A88794"/>
      <c r="B88794"/>
      <c r="C88794"/>
      <c r="E88794"/>
      <c r="F88794"/>
    </row>
    <row r="88795" spans="1:6" x14ac:dyDescent="0.25">
      <c r="A88795"/>
      <c r="B88795"/>
      <c r="C88795"/>
      <c r="E88795"/>
      <c r="F88795"/>
    </row>
    <row r="88796" spans="1:6" x14ac:dyDescent="0.25">
      <c r="A88796"/>
      <c r="B88796"/>
      <c r="C88796"/>
      <c r="E88796"/>
      <c r="F88796"/>
    </row>
    <row r="88797" spans="1:6" x14ac:dyDescent="0.25">
      <c r="A88797"/>
      <c r="B88797"/>
      <c r="C88797"/>
      <c r="E88797"/>
      <c r="F88797"/>
    </row>
    <row r="88798" spans="1:6" x14ac:dyDescent="0.25">
      <c r="A88798"/>
      <c r="B88798"/>
      <c r="C88798"/>
      <c r="E88798"/>
      <c r="F88798"/>
    </row>
    <row r="88799" spans="1:6" x14ac:dyDescent="0.25">
      <c r="A88799"/>
      <c r="B88799"/>
      <c r="C88799"/>
      <c r="E88799"/>
      <c r="F88799"/>
    </row>
    <row r="88800" spans="1:6" x14ac:dyDescent="0.25">
      <c r="A88800"/>
      <c r="B88800"/>
      <c r="C88800"/>
      <c r="E88800"/>
      <c r="F88800"/>
    </row>
    <row r="88801" spans="1:6" x14ac:dyDescent="0.25">
      <c r="A88801"/>
      <c r="B88801"/>
      <c r="C88801"/>
      <c r="E88801"/>
      <c r="F88801"/>
    </row>
    <row r="88802" spans="1:6" x14ac:dyDescent="0.25">
      <c r="A88802"/>
      <c r="B88802"/>
      <c r="C88802"/>
      <c r="E88802"/>
      <c r="F88802"/>
    </row>
    <row r="88803" spans="1:6" x14ac:dyDescent="0.25">
      <c r="A88803"/>
      <c r="B88803"/>
      <c r="C88803"/>
      <c r="E88803"/>
      <c r="F88803"/>
    </row>
    <row r="88804" spans="1:6" x14ac:dyDescent="0.25">
      <c r="A88804"/>
      <c r="B88804"/>
      <c r="C88804"/>
      <c r="E88804"/>
      <c r="F88804"/>
    </row>
    <row r="88805" spans="1:6" x14ac:dyDescent="0.25">
      <c r="A88805"/>
      <c r="B88805"/>
      <c r="C88805"/>
      <c r="E88805"/>
      <c r="F88805"/>
    </row>
    <row r="88806" spans="1:6" x14ac:dyDescent="0.25">
      <c r="A88806"/>
      <c r="B88806"/>
      <c r="C88806"/>
      <c r="E88806"/>
      <c r="F88806"/>
    </row>
    <row r="88807" spans="1:6" x14ac:dyDescent="0.25">
      <c r="A88807"/>
      <c r="B88807"/>
      <c r="C88807"/>
      <c r="E88807"/>
      <c r="F88807"/>
    </row>
    <row r="88808" spans="1:6" x14ac:dyDescent="0.25">
      <c r="A88808"/>
      <c r="B88808"/>
      <c r="C88808"/>
      <c r="E88808"/>
      <c r="F88808"/>
    </row>
    <row r="88809" spans="1:6" x14ac:dyDescent="0.25">
      <c r="A88809"/>
      <c r="B88809"/>
      <c r="C88809"/>
      <c r="E88809"/>
      <c r="F88809"/>
    </row>
    <row r="88810" spans="1:6" x14ac:dyDescent="0.25">
      <c r="A88810"/>
      <c r="B88810"/>
      <c r="C88810"/>
      <c r="E88810"/>
      <c r="F88810"/>
    </row>
    <row r="88811" spans="1:6" x14ac:dyDescent="0.25">
      <c r="A88811"/>
      <c r="B88811"/>
      <c r="C88811"/>
      <c r="E88811"/>
      <c r="F88811"/>
    </row>
    <row r="88812" spans="1:6" x14ac:dyDescent="0.25">
      <c r="A88812"/>
      <c r="B88812"/>
      <c r="C88812"/>
      <c r="E88812"/>
      <c r="F88812"/>
    </row>
    <row r="88813" spans="1:6" x14ac:dyDescent="0.25">
      <c r="A88813"/>
      <c r="B88813"/>
      <c r="C88813"/>
      <c r="E88813"/>
      <c r="F88813"/>
    </row>
    <row r="88814" spans="1:6" x14ac:dyDescent="0.25">
      <c r="A88814"/>
      <c r="B88814"/>
      <c r="C88814"/>
      <c r="E88814"/>
      <c r="F88814"/>
    </row>
    <row r="88815" spans="1:6" x14ac:dyDescent="0.25">
      <c r="A88815"/>
      <c r="B88815"/>
      <c r="C88815"/>
      <c r="E88815"/>
      <c r="F88815"/>
    </row>
    <row r="88816" spans="1:6" x14ac:dyDescent="0.25">
      <c r="A88816"/>
      <c r="B88816"/>
      <c r="C88816"/>
      <c r="E88816"/>
      <c r="F88816"/>
    </row>
    <row r="88817" spans="1:6" x14ac:dyDescent="0.25">
      <c r="A88817"/>
      <c r="B88817"/>
      <c r="C88817"/>
      <c r="E88817"/>
      <c r="F88817"/>
    </row>
    <row r="88818" spans="1:6" x14ac:dyDescent="0.25">
      <c r="A88818"/>
      <c r="B88818"/>
      <c r="C88818"/>
      <c r="E88818"/>
      <c r="F88818"/>
    </row>
    <row r="88819" spans="1:6" x14ac:dyDescent="0.25">
      <c r="A88819"/>
      <c r="B88819"/>
      <c r="C88819"/>
      <c r="E88819"/>
      <c r="F88819"/>
    </row>
    <row r="88820" spans="1:6" x14ac:dyDescent="0.25">
      <c r="A88820"/>
      <c r="B88820"/>
      <c r="C88820"/>
      <c r="E88820"/>
      <c r="F88820"/>
    </row>
    <row r="88821" spans="1:6" x14ac:dyDescent="0.25">
      <c r="A88821"/>
      <c r="B88821"/>
      <c r="C88821"/>
      <c r="E88821"/>
      <c r="F88821"/>
    </row>
    <row r="88822" spans="1:6" x14ac:dyDescent="0.25">
      <c r="A88822"/>
      <c r="B88822"/>
      <c r="C88822"/>
      <c r="E88822"/>
      <c r="F88822"/>
    </row>
    <row r="88823" spans="1:6" x14ac:dyDescent="0.25">
      <c r="A88823"/>
      <c r="B88823"/>
      <c r="C88823"/>
      <c r="E88823"/>
      <c r="F88823"/>
    </row>
    <row r="88824" spans="1:6" x14ac:dyDescent="0.25">
      <c r="A88824"/>
      <c r="B88824"/>
      <c r="C88824"/>
      <c r="E88824"/>
      <c r="F88824"/>
    </row>
    <row r="88825" spans="1:6" x14ac:dyDescent="0.25">
      <c r="A88825"/>
      <c r="B88825"/>
      <c r="C88825"/>
      <c r="E88825"/>
      <c r="F88825"/>
    </row>
    <row r="88826" spans="1:6" x14ac:dyDescent="0.25">
      <c r="A88826"/>
      <c r="B88826"/>
      <c r="C88826"/>
      <c r="E88826"/>
      <c r="F88826"/>
    </row>
    <row r="88827" spans="1:6" x14ac:dyDescent="0.25">
      <c r="A88827"/>
      <c r="B88827"/>
      <c r="C88827"/>
      <c r="E88827"/>
      <c r="F88827"/>
    </row>
    <row r="88828" spans="1:6" x14ac:dyDescent="0.25">
      <c r="A88828"/>
      <c r="B88828"/>
      <c r="C88828"/>
      <c r="E88828"/>
      <c r="F88828"/>
    </row>
    <row r="88829" spans="1:6" x14ac:dyDescent="0.25">
      <c r="A88829"/>
      <c r="B88829"/>
      <c r="C88829"/>
      <c r="E88829"/>
      <c r="F88829"/>
    </row>
    <row r="88830" spans="1:6" x14ac:dyDescent="0.25">
      <c r="A88830"/>
      <c r="B88830"/>
      <c r="C88830"/>
      <c r="E88830"/>
      <c r="F88830"/>
    </row>
    <row r="88831" spans="1:6" x14ac:dyDescent="0.25">
      <c r="A88831"/>
      <c r="B88831"/>
      <c r="C88831"/>
      <c r="E88831"/>
      <c r="F88831"/>
    </row>
    <row r="88832" spans="1:6" x14ac:dyDescent="0.25">
      <c r="A88832"/>
      <c r="B88832"/>
      <c r="C88832"/>
      <c r="E88832"/>
      <c r="F88832"/>
    </row>
    <row r="88833" spans="1:6" x14ac:dyDescent="0.25">
      <c r="A88833"/>
      <c r="B88833"/>
      <c r="C88833"/>
      <c r="E88833"/>
      <c r="F88833"/>
    </row>
    <row r="88834" spans="1:6" x14ac:dyDescent="0.25">
      <c r="A88834"/>
      <c r="B88834"/>
      <c r="C88834"/>
      <c r="E88834"/>
      <c r="F88834"/>
    </row>
    <row r="88835" spans="1:6" x14ac:dyDescent="0.25">
      <c r="A88835"/>
      <c r="B88835"/>
      <c r="C88835"/>
      <c r="E88835"/>
      <c r="F88835"/>
    </row>
    <row r="88836" spans="1:6" x14ac:dyDescent="0.25">
      <c r="A88836"/>
      <c r="B88836"/>
      <c r="C88836"/>
      <c r="E88836"/>
      <c r="F88836"/>
    </row>
    <row r="88837" spans="1:6" x14ac:dyDescent="0.25">
      <c r="A88837"/>
      <c r="B88837"/>
      <c r="C88837"/>
      <c r="E88837"/>
      <c r="F88837"/>
    </row>
    <row r="88838" spans="1:6" x14ac:dyDescent="0.25">
      <c r="A88838"/>
      <c r="B88838"/>
      <c r="C88838"/>
      <c r="E88838"/>
      <c r="F88838"/>
    </row>
    <row r="88839" spans="1:6" x14ac:dyDescent="0.25">
      <c r="A88839"/>
      <c r="B88839"/>
      <c r="C88839"/>
      <c r="E88839"/>
      <c r="F88839"/>
    </row>
    <row r="88840" spans="1:6" x14ac:dyDescent="0.25">
      <c r="A88840"/>
      <c r="B88840"/>
      <c r="C88840"/>
      <c r="E88840"/>
      <c r="F88840"/>
    </row>
    <row r="88841" spans="1:6" x14ac:dyDescent="0.25">
      <c r="A88841"/>
      <c r="B88841"/>
      <c r="C88841"/>
      <c r="E88841"/>
      <c r="F88841"/>
    </row>
    <row r="88842" spans="1:6" x14ac:dyDescent="0.25">
      <c r="A88842"/>
      <c r="B88842"/>
      <c r="C88842"/>
      <c r="E88842"/>
      <c r="F88842"/>
    </row>
    <row r="88843" spans="1:6" x14ac:dyDescent="0.25">
      <c r="A88843"/>
      <c r="B88843"/>
      <c r="C88843"/>
      <c r="E88843"/>
      <c r="F88843"/>
    </row>
    <row r="88844" spans="1:6" x14ac:dyDescent="0.25">
      <c r="A88844"/>
      <c r="B88844"/>
      <c r="C88844"/>
      <c r="E88844"/>
      <c r="F88844"/>
    </row>
    <row r="88845" spans="1:6" x14ac:dyDescent="0.25">
      <c r="A88845"/>
      <c r="B88845"/>
      <c r="C88845"/>
      <c r="E88845"/>
      <c r="F88845"/>
    </row>
    <row r="88846" spans="1:6" x14ac:dyDescent="0.25">
      <c r="A88846"/>
      <c r="B88846"/>
      <c r="C88846"/>
      <c r="E88846"/>
      <c r="F88846"/>
    </row>
    <row r="88847" spans="1:6" x14ac:dyDescent="0.25">
      <c r="A88847"/>
      <c r="B88847"/>
      <c r="C88847"/>
      <c r="E88847"/>
      <c r="F88847"/>
    </row>
    <row r="88848" spans="1:6" x14ac:dyDescent="0.25">
      <c r="A88848"/>
      <c r="B88848"/>
      <c r="C88848"/>
      <c r="E88848"/>
      <c r="F88848"/>
    </row>
    <row r="88849" spans="1:6" x14ac:dyDescent="0.25">
      <c r="A88849"/>
      <c r="B88849"/>
      <c r="C88849"/>
      <c r="E88849"/>
      <c r="F88849"/>
    </row>
    <row r="88850" spans="1:6" x14ac:dyDescent="0.25">
      <c r="A88850"/>
      <c r="B88850"/>
      <c r="C88850"/>
      <c r="E88850"/>
      <c r="F88850"/>
    </row>
    <row r="88851" spans="1:6" x14ac:dyDescent="0.25">
      <c r="A88851"/>
      <c r="B88851"/>
      <c r="C88851"/>
      <c r="E88851"/>
      <c r="F88851"/>
    </row>
    <row r="88852" spans="1:6" x14ac:dyDescent="0.25">
      <c r="A88852"/>
      <c r="B88852"/>
      <c r="C88852"/>
      <c r="E88852"/>
      <c r="F88852"/>
    </row>
    <row r="88853" spans="1:6" x14ac:dyDescent="0.25">
      <c r="A88853"/>
      <c r="B88853"/>
      <c r="C88853"/>
      <c r="E88853"/>
      <c r="F88853"/>
    </row>
    <row r="88854" spans="1:6" x14ac:dyDescent="0.25">
      <c r="A88854"/>
      <c r="B88854"/>
      <c r="C88854"/>
      <c r="E88854"/>
      <c r="F88854"/>
    </row>
    <row r="88855" spans="1:6" x14ac:dyDescent="0.25">
      <c r="A88855"/>
      <c r="B88855"/>
      <c r="C88855"/>
      <c r="E88855"/>
      <c r="F88855"/>
    </row>
    <row r="88856" spans="1:6" x14ac:dyDescent="0.25">
      <c r="A88856"/>
      <c r="B88856"/>
      <c r="C88856"/>
      <c r="E88856"/>
      <c r="F88856"/>
    </row>
    <row r="88857" spans="1:6" x14ac:dyDescent="0.25">
      <c r="A88857"/>
      <c r="B88857"/>
      <c r="C88857"/>
      <c r="E88857"/>
      <c r="F88857"/>
    </row>
    <row r="88858" spans="1:6" x14ac:dyDescent="0.25">
      <c r="A88858"/>
      <c r="B88858"/>
      <c r="C88858"/>
      <c r="E88858"/>
      <c r="F88858"/>
    </row>
    <row r="88859" spans="1:6" x14ac:dyDescent="0.25">
      <c r="A88859"/>
      <c r="B88859"/>
      <c r="C88859"/>
      <c r="E88859"/>
      <c r="F88859"/>
    </row>
    <row r="88860" spans="1:6" x14ac:dyDescent="0.25">
      <c r="A88860"/>
      <c r="B88860"/>
      <c r="C88860"/>
      <c r="E88860"/>
      <c r="F88860"/>
    </row>
    <row r="88861" spans="1:6" x14ac:dyDescent="0.25">
      <c r="A88861"/>
      <c r="B88861"/>
      <c r="C88861"/>
      <c r="E88861"/>
      <c r="F88861"/>
    </row>
    <row r="88862" spans="1:6" x14ac:dyDescent="0.25">
      <c r="A88862"/>
      <c r="B88862"/>
      <c r="C88862"/>
      <c r="E88862"/>
      <c r="F88862"/>
    </row>
    <row r="88863" spans="1:6" x14ac:dyDescent="0.25">
      <c r="A88863"/>
      <c r="B88863"/>
      <c r="C88863"/>
      <c r="E88863"/>
      <c r="F88863"/>
    </row>
    <row r="88864" spans="1:6" x14ac:dyDescent="0.25">
      <c r="A88864"/>
      <c r="B88864"/>
      <c r="C88864"/>
      <c r="E88864"/>
      <c r="F88864"/>
    </row>
    <row r="88865" spans="1:6" x14ac:dyDescent="0.25">
      <c r="A88865"/>
      <c r="B88865"/>
      <c r="C88865"/>
      <c r="E88865"/>
      <c r="F88865"/>
    </row>
    <row r="88866" spans="1:6" x14ac:dyDescent="0.25">
      <c r="A88866"/>
      <c r="B88866"/>
      <c r="C88866"/>
      <c r="E88866"/>
      <c r="F88866"/>
    </row>
    <row r="88867" spans="1:6" x14ac:dyDescent="0.25">
      <c r="A88867"/>
      <c r="B88867"/>
      <c r="C88867"/>
      <c r="E88867"/>
      <c r="F88867"/>
    </row>
    <row r="88868" spans="1:6" x14ac:dyDescent="0.25">
      <c r="A88868"/>
      <c r="B88868"/>
      <c r="C88868"/>
      <c r="E88868"/>
      <c r="F88868"/>
    </row>
    <row r="88869" spans="1:6" x14ac:dyDescent="0.25">
      <c r="A88869"/>
      <c r="B88869"/>
      <c r="C88869"/>
      <c r="E88869"/>
      <c r="F88869"/>
    </row>
    <row r="88870" spans="1:6" x14ac:dyDescent="0.25">
      <c r="A88870"/>
      <c r="B88870"/>
      <c r="C88870"/>
      <c r="E88870"/>
      <c r="F88870"/>
    </row>
    <row r="88871" spans="1:6" x14ac:dyDescent="0.25">
      <c r="A88871"/>
      <c r="B88871"/>
      <c r="C88871"/>
      <c r="E88871"/>
      <c r="F88871"/>
    </row>
    <row r="88872" spans="1:6" x14ac:dyDescent="0.25">
      <c r="A88872"/>
      <c r="B88872"/>
      <c r="C88872"/>
      <c r="E88872"/>
      <c r="F88872"/>
    </row>
    <row r="88873" spans="1:6" x14ac:dyDescent="0.25">
      <c r="A88873"/>
      <c r="B88873"/>
      <c r="C88873"/>
      <c r="E88873"/>
      <c r="F88873"/>
    </row>
    <row r="88874" spans="1:6" x14ac:dyDescent="0.25">
      <c r="A88874"/>
      <c r="B88874"/>
      <c r="C88874"/>
      <c r="E88874"/>
      <c r="F88874"/>
    </row>
    <row r="88875" spans="1:6" x14ac:dyDescent="0.25">
      <c r="A88875"/>
      <c r="B88875"/>
      <c r="C88875"/>
      <c r="E88875"/>
      <c r="F88875"/>
    </row>
    <row r="88876" spans="1:6" x14ac:dyDescent="0.25">
      <c r="A88876"/>
      <c r="B88876"/>
      <c r="C88876"/>
      <c r="E88876"/>
      <c r="F88876"/>
    </row>
    <row r="88877" spans="1:6" x14ac:dyDescent="0.25">
      <c r="A88877"/>
      <c r="B88877"/>
      <c r="C88877"/>
      <c r="E88877"/>
      <c r="F88877"/>
    </row>
    <row r="88878" spans="1:6" x14ac:dyDescent="0.25">
      <c r="A88878"/>
      <c r="B88878"/>
      <c r="C88878"/>
      <c r="E88878"/>
      <c r="F88878"/>
    </row>
    <row r="88879" spans="1:6" x14ac:dyDescent="0.25">
      <c r="A88879"/>
      <c r="B88879"/>
      <c r="C88879"/>
      <c r="E88879"/>
      <c r="F88879"/>
    </row>
    <row r="88880" spans="1:6" x14ac:dyDescent="0.25">
      <c r="A88880"/>
      <c r="B88880"/>
      <c r="C88880"/>
      <c r="E88880"/>
      <c r="F88880"/>
    </row>
    <row r="88881" spans="1:6" x14ac:dyDescent="0.25">
      <c r="A88881"/>
      <c r="B88881"/>
      <c r="C88881"/>
      <c r="E88881"/>
      <c r="F88881"/>
    </row>
    <row r="88882" spans="1:6" x14ac:dyDescent="0.25">
      <c r="A88882"/>
      <c r="B88882"/>
      <c r="C88882"/>
      <c r="E88882"/>
      <c r="F88882"/>
    </row>
    <row r="88883" spans="1:6" x14ac:dyDescent="0.25">
      <c r="A88883"/>
      <c r="B88883"/>
      <c r="C88883"/>
      <c r="E88883"/>
      <c r="F88883"/>
    </row>
    <row r="88884" spans="1:6" x14ac:dyDescent="0.25">
      <c r="A88884"/>
      <c r="B88884"/>
      <c r="C88884"/>
      <c r="E88884"/>
      <c r="F88884"/>
    </row>
    <row r="88885" spans="1:6" x14ac:dyDescent="0.25">
      <c r="A88885"/>
      <c r="B88885"/>
      <c r="C88885"/>
      <c r="E88885"/>
      <c r="F88885"/>
    </row>
    <row r="88886" spans="1:6" x14ac:dyDescent="0.25">
      <c r="A88886"/>
      <c r="B88886"/>
      <c r="C88886"/>
      <c r="E88886"/>
      <c r="F88886"/>
    </row>
    <row r="88887" spans="1:6" x14ac:dyDescent="0.25">
      <c r="A88887"/>
      <c r="B88887"/>
      <c r="C88887"/>
      <c r="E88887"/>
      <c r="F88887"/>
    </row>
    <row r="88888" spans="1:6" x14ac:dyDescent="0.25">
      <c r="A88888"/>
      <c r="B88888"/>
      <c r="C88888"/>
      <c r="E88888"/>
      <c r="F88888"/>
    </row>
    <row r="88889" spans="1:6" x14ac:dyDescent="0.25">
      <c r="A88889"/>
      <c r="B88889"/>
      <c r="C88889"/>
      <c r="E88889"/>
      <c r="F88889"/>
    </row>
    <row r="88890" spans="1:6" x14ac:dyDescent="0.25">
      <c r="A88890"/>
      <c r="B88890"/>
      <c r="C88890"/>
      <c r="E88890"/>
      <c r="F88890"/>
    </row>
    <row r="88891" spans="1:6" x14ac:dyDescent="0.25">
      <c r="A88891"/>
      <c r="B88891"/>
      <c r="C88891"/>
      <c r="E88891"/>
      <c r="F88891"/>
    </row>
    <row r="88892" spans="1:6" x14ac:dyDescent="0.25">
      <c r="A88892"/>
      <c r="B88892"/>
      <c r="C88892"/>
      <c r="E88892"/>
      <c r="F88892"/>
    </row>
    <row r="88893" spans="1:6" x14ac:dyDescent="0.25">
      <c r="A88893"/>
      <c r="B88893"/>
      <c r="C88893"/>
      <c r="E88893"/>
      <c r="F88893"/>
    </row>
    <row r="88894" spans="1:6" x14ac:dyDescent="0.25">
      <c r="A88894"/>
      <c r="B88894"/>
      <c r="C88894"/>
      <c r="E88894"/>
      <c r="F88894"/>
    </row>
    <row r="88895" spans="1:6" x14ac:dyDescent="0.25">
      <c r="A88895"/>
      <c r="B88895"/>
      <c r="C88895"/>
      <c r="E88895"/>
      <c r="F88895"/>
    </row>
    <row r="88896" spans="1:6" x14ac:dyDescent="0.25">
      <c r="A88896"/>
      <c r="B88896"/>
      <c r="C88896"/>
      <c r="E88896"/>
      <c r="F88896"/>
    </row>
    <row r="88897" spans="1:6" x14ac:dyDescent="0.25">
      <c r="A88897"/>
      <c r="B88897"/>
      <c r="C88897"/>
      <c r="E88897"/>
      <c r="F88897"/>
    </row>
    <row r="88898" spans="1:6" x14ac:dyDescent="0.25">
      <c r="A88898"/>
      <c r="B88898"/>
      <c r="C88898"/>
      <c r="E88898"/>
      <c r="F88898"/>
    </row>
    <row r="88899" spans="1:6" x14ac:dyDescent="0.25">
      <c r="A88899"/>
      <c r="B88899"/>
      <c r="C88899"/>
      <c r="E88899"/>
      <c r="F88899"/>
    </row>
    <row r="88900" spans="1:6" x14ac:dyDescent="0.25">
      <c r="A88900"/>
      <c r="B88900"/>
      <c r="C88900"/>
      <c r="E88900"/>
      <c r="F88900"/>
    </row>
    <row r="88901" spans="1:6" x14ac:dyDescent="0.25">
      <c r="A88901"/>
      <c r="B88901"/>
      <c r="C88901"/>
      <c r="E88901"/>
      <c r="F88901"/>
    </row>
    <row r="88902" spans="1:6" x14ac:dyDescent="0.25">
      <c r="A88902"/>
      <c r="B88902"/>
      <c r="C88902"/>
      <c r="E88902"/>
      <c r="F88902"/>
    </row>
    <row r="88903" spans="1:6" x14ac:dyDescent="0.25">
      <c r="A88903"/>
      <c r="B88903"/>
      <c r="C88903"/>
      <c r="E88903"/>
      <c r="F88903"/>
    </row>
    <row r="88904" spans="1:6" x14ac:dyDescent="0.25">
      <c r="A88904"/>
      <c r="B88904"/>
      <c r="C88904"/>
      <c r="E88904"/>
      <c r="F88904"/>
    </row>
    <row r="88905" spans="1:6" x14ac:dyDescent="0.25">
      <c r="A88905"/>
      <c r="B88905"/>
      <c r="C88905"/>
      <c r="E88905"/>
      <c r="F88905"/>
    </row>
    <row r="88906" spans="1:6" x14ac:dyDescent="0.25">
      <c r="A88906"/>
      <c r="B88906"/>
      <c r="C88906"/>
      <c r="E88906"/>
      <c r="F88906"/>
    </row>
    <row r="88907" spans="1:6" x14ac:dyDescent="0.25">
      <c r="A88907"/>
      <c r="B88907"/>
      <c r="C88907"/>
      <c r="E88907"/>
      <c r="F88907"/>
    </row>
    <row r="88908" spans="1:6" x14ac:dyDescent="0.25">
      <c r="A88908"/>
      <c r="B88908"/>
      <c r="C88908"/>
      <c r="E88908"/>
      <c r="F88908"/>
    </row>
    <row r="88909" spans="1:6" x14ac:dyDescent="0.25">
      <c r="A88909"/>
      <c r="B88909"/>
      <c r="C88909"/>
      <c r="E88909"/>
      <c r="F88909"/>
    </row>
    <row r="88910" spans="1:6" x14ac:dyDescent="0.25">
      <c r="A88910"/>
      <c r="B88910"/>
      <c r="C88910"/>
      <c r="E88910"/>
      <c r="F88910"/>
    </row>
    <row r="88911" spans="1:6" x14ac:dyDescent="0.25">
      <c r="A88911"/>
      <c r="B88911"/>
      <c r="C88911"/>
      <c r="E88911"/>
      <c r="F88911"/>
    </row>
    <row r="88912" spans="1:6" x14ac:dyDescent="0.25">
      <c r="A88912"/>
      <c r="B88912"/>
      <c r="C88912"/>
      <c r="E88912"/>
      <c r="F88912"/>
    </row>
    <row r="88913" spans="1:6" x14ac:dyDescent="0.25">
      <c r="A88913"/>
      <c r="B88913"/>
      <c r="C88913"/>
      <c r="E88913"/>
      <c r="F88913"/>
    </row>
    <row r="88914" spans="1:6" x14ac:dyDescent="0.25">
      <c r="A88914"/>
      <c r="B88914"/>
      <c r="C88914"/>
      <c r="E88914"/>
      <c r="F88914"/>
    </row>
    <row r="88915" spans="1:6" x14ac:dyDescent="0.25">
      <c r="A88915"/>
      <c r="B88915"/>
      <c r="C88915"/>
      <c r="E88915"/>
      <c r="F88915"/>
    </row>
    <row r="88916" spans="1:6" x14ac:dyDescent="0.25">
      <c r="A88916"/>
      <c r="B88916"/>
      <c r="C88916"/>
      <c r="E88916"/>
      <c r="F88916"/>
    </row>
    <row r="88917" spans="1:6" x14ac:dyDescent="0.25">
      <c r="A88917"/>
      <c r="B88917"/>
      <c r="C88917"/>
      <c r="E88917"/>
      <c r="F88917"/>
    </row>
    <row r="88918" spans="1:6" x14ac:dyDescent="0.25">
      <c r="A88918"/>
      <c r="B88918"/>
      <c r="C88918"/>
      <c r="E88918"/>
      <c r="F88918"/>
    </row>
    <row r="88919" spans="1:6" x14ac:dyDescent="0.25">
      <c r="A88919"/>
      <c r="B88919"/>
      <c r="C88919"/>
      <c r="E88919"/>
      <c r="F88919"/>
    </row>
    <row r="88920" spans="1:6" x14ac:dyDescent="0.25">
      <c r="A88920"/>
      <c r="B88920"/>
      <c r="C88920"/>
      <c r="E88920"/>
      <c r="F88920"/>
    </row>
    <row r="88921" spans="1:6" x14ac:dyDescent="0.25">
      <c r="A88921"/>
      <c r="B88921"/>
      <c r="C88921"/>
      <c r="E88921"/>
      <c r="F88921"/>
    </row>
    <row r="88922" spans="1:6" x14ac:dyDescent="0.25">
      <c r="A88922"/>
      <c r="B88922"/>
      <c r="C88922"/>
      <c r="E88922"/>
      <c r="F88922"/>
    </row>
    <row r="88923" spans="1:6" x14ac:dyDescent="0.25">
      <c r="A88923"/>
      <c r="B88923"/>
      <c r="C88923"/>
      <c r="E88923"/>
      <c r="F88923"/>
    </row>
    <row r="88924" spans="1:6" x14ac:dyDescent="0.25">
      <c r="A88924"/>
      <c r="B88924"/>
      <c r="C88924"/>
      <c r="E88924"/>
      <c r="F88924"/>
    </row>
    <row r="88925" spans="1:6" x14ac:dyDescent="0.25">
      <c r="A88925"/>
      <c r="B88925"/>
      <c r="C88925"/>
      <c r="E88925"/>
      <c r="F88925"/>
    </row>
    <row r="88926" spans="1:6" x14ac:dyDescent="0.25">
      <c r="A88926"/>
      <c r="B88926"/>
      <c r="C88926"/>
      <c r="E88926"/>
      <c r="F88926"/>
    </row>
    <row r="88927" spans="1:6" x14ac:dyDescent="0.25">
      <c r="A88927"/>
      <c r="B88927"/>
      <c r="C88927"/>
      <c r="E88927"/>
      <c r="F88927"/>
    </row>
    <row r="88928" spans="1:6" x14ac:dyDescent="0.25">
      <c r="A88928"/>
      <c r="B88928"/>
      <c r="C88928"/>
      <c r="E88928"/>
      <c r="F88928"/>
    </row>
    <row r="88929" spans="1:6" x14ac:dyDescent="0.25">
      <c r="A88929"/>
      <c r="B88929"/>
      <c r="C88929"/>
      <c r="E88929"/>
      <c r="F88929"/>
    </row>
    <row r="88930" spans="1:6" x14ac:dyDescent="0.25">
      <c r="A88930"/>
      <c r="B88930"/>
      <c r="C88930"/>
      <c r="E88930"/>
      <c r="F88930"/>
    </row>
    <row r="88931" spans="1:6" x14ac:dyDescent="0.25">
      <c r="A88931"/>
      <c r="B88931"/>
      <c r="C88931"/>
      <c r="E88931"/>
      <c r="F88931"/>
    </row>
    <row r="88932" spans="1:6" x14ac:dyDescent="0.25">
      <c r="A88932"/>
      <c r="B88932"/>
      <c r="C88932"/>
      <c r="E88932"/>
      <c r="F88932"/>
    </row>
    <row r="88933" spans="1:6" x14ac:dyDescent="0.25">
      <c r="A88933"/>
      <c r="B88933"/>
      <c r="C88933"/>
      <c r="E88933"/>
      <c r="F88933"/>
    </row>
    <row r="88934" spans="1:6" x14ac:dyDescent="0.25">
      <c r="A88934"/>
      <c r="B88934"/>
      <c r="C88934"/>
      <c r="E88934"/>
      <c r="F88934"/>
    </row>
    <row r="88935" spans="1:6" x14ac:dyDescent="0.25">
      <c r="A88935"/>
      <c r="B88935"/>
      <c r="C88935"/>
      <c r="E88935"/>
      <c r="F88935"/>
    </row>
    <row r="88936" spans="1:6" x14ac:dyDescent="0.25">
      <c r="A88936"/>
      <c r="B88936"/>
      <c r="C88936"/>
      <c r="E88936"/>
      <c r="F88936"/>
    </row>
    <row r="88937" spans="1:6" x14ac:dyDescent="0.25">
      <c r="A88937"/>
      <c r="B88937"/>
      <c r="C88937"/>
      <c r="E88937"/>
      <c r="F88937"/>
    </row>
    <row r="88938" spans="1:6" x14ac:dyDescent="0.25">
      <c r="A88938"/>
      <c r="B88938"/>
      <c r="C88938"/>
      <c r="E88938"/>
      <c r="F88938"/>
    </row>
    <row r="88939" spans="1:6" x14ac:dyDescent="0.25">
      <c r="A88939"/>
      <c r="B88939"/>
      <c r="C88939"/>
      <c r="E88939"/>
      <c r="F88939"/>
    </row>
    <row r="88940" spans="1:6" x14ac:dyDescent="0.25">
      <c r="A88940"/>
      <c r="B88940"/>
      <c r="C88940"/>
      <c r="E88940"/>
      <c r="F88940"/>
    </row>
    <row r="88941" spans="1:6" x14ac:dyDescent="0.25">
      <c r="A88941"/>
      <c r="B88941"/>
      <c r="C88941"/>
      <c r="E88941"/>
      <c r="F88941"/>
    </row>
    <row r="88942" spans="1:6" x14ac:dyDescent="0.25">
      <c r="A88942"/>
      <c r="B88942"/>
      <c r="C88942"/>
      <c r="E88942"/>
      <c r="F88942"/>
    </row>
    <row r="88943" spans="1:6" x14ac:dyDescent="0.25">
      <c r="A88943"/>
      <c r="B88943"/>
      <c r="C88943"/>
      <c r="E88943"/>
      <c r="F88943"/>
    </row>
    <row r="88944" spans="1:6" x14ac:dyDescent="0.25">
      <c r="A88944"/>
      <c r="B88944"/>
      <c r="C88944"/>
      <c r="E88944"/>
      <c r="F88944"/>
    </row>
    <row r="88945" spans="1:6" x14ac:dyDescent="0.25">
      <c r="A88945"/>
      <c r="B88945"/>
      <c r="C88945"/>
      <c r="E88945"/>
      <c r="F88945"/>
    </row>
    <row r="88946" spans="1:6" x14ac:dyDescent="0.25">
      <c r="A88946"/>
      <c r="B88946"/>
      <c r="C88946"/>
      <c r="E88946"/>
      <c r="F88946"/>
    </row>
    <row r="88947" spans="1:6" x14ac:dyDescent="0.25">
      <c r="A88947"/>
      <c r="B88947"/>
      <c r="C88947"/>
      <c r="E88947"/>
      <c r="F88947"/>
    </row>
    <row r="88948" spans="1:6" x14ac:dyDescent="0.25">
      <c r="A88948"/>
      <c r="B88948"/>
      <c r="C88948"/>
      <c r="E88948"/>
      <c r="F88948"/>
    </row>
    <row r="88949" spans="1:6" x14ac:dyDescent="0.25">
      <c r="A88949"/>
      <c r="B88949"/>
      <c r="C88949"/>
      <c r="E88949"/>
      <c r="F88949"/>
    </row>
    <row r="88950" spans="1:6" x14ac:dyDescent="0.25">
      <c r="A88950"/>
      <c r="B88950"/>
      <c r="C88950"/>
      <c r="E88950"/>
      <c r="F88950"/>
    </row>
    <row r="88951" spans="1:6" x14ac:dyDescent="0.25">
      <c r="A88951"/>
      <c r="B88951"/>
      <c r="C88951"/>
      <c r="E88951"/>
      <c r="F88951"/>
    </row>
    <row r="88952" spans="1:6" x14ac:dyDescent="0.25">
      <c r="A88952"/>
      <c r="B88952"/>
      <c r="C88952"/>
      <c r="E88952"/>
      <c r="F88952"/>
    </row>
    <row r="88953" spans="1:6" x14ac:dyDescent="0.25">
      <c r="A88953"/>
      <c r="B88953"/>
      <c r="C88953"/>
      <c r="E88953"/>
      <c r="F88953"/>
    </row>
    <row r="88954" spans="1:6" x14ac:dyDescent="0.25">
      <c r="A88954"/>
      <c r="B88954"/>
      <c r="C88954"/>
      <c r="E88954"/>
      <c r="F88954"/>
    </row>
    <row r="88955" spans="1:6" x14ac:dyDescent="0.25">
      <c r="A88955"/>
      <c r="B88955"/>
      <c r="C88955"/>
      <c r="E88955"/>
      <c r="F88955"/>
    </row>
    <row r="88956" spans="1:6" x14ac:dyDescent="0.25">
      <c r="A88956"/>
      <c r="B88956"/>
      <c r="C88956"/>
      <c r="E88956"/>
      <c r="F88956"/>
    </row>
    <row r="88957" spans="1:6" x14ac:dyDescent="0.25">
      <c r="A88957"/>
      <c r="B88957"/>
      <c r="C88957"/>
      <c r="E88957"/>
      <c r="F88957"/>
    </row>
    <row r="88958" spans="1:6" x14ac:dyDescent="0.25">
      <c r="A88958"/>
      <c r="B88958"/>
      <c r="C88958"/>
      <c r="E88958"/>
      <c r="F88958"/>
    </row>
    <row r="88959" spans="1:6" x14ac:dyDescent="0.25">
      <c r="A88959"/>
      <c r="B88959"/>
      <c r="C88959"/>
      <c r="E88959"/>
      <c r="F88959"/>
    </row>
    <row r="88960" spans="1:6" x14ac:dyDescent="0.25">
      <c r="A88960"/>
      <c r="B88960"/>
      <c r="C88960"/>
      <c r="E88960"/>
      <c r="F88960"/>
    </row>
    <row r="88961" spans="1:6" x14ac:dyDescent="0.25">
      <c r="A88961"/>
      <c r="B88961"/>
      <c r="C88961"/>
      <c r="E88961"/>
      <c r="F88961"/>
    </row>
    <row r="88962" spans="1:6" x14ac:dyDescent="0.25">
      <c r="A88962"/>
      <c r="B88962"/>
      <c r="C88962"/>
      <c r="E88962"/>
      <c r="F88962"/>
    </row>
    <row r="88963" spans="1:6" x14ac:dyDescent="0.25">
      <c r="A88963"/>
      <c r="B88963"/>
      <c r="C88963"/>
      <c r="E88963"/>
      <c r="F88963"/>
    </row>
    <row r="88964" spans="1:6" x14ac:dyDescent="0.25">
      <c r="A88964"/>
      <c r="B88964"/>
      <c r="C88964"/>
      <c r="E88964"/>
      <c r="F88964"/>
    </row>
    <row r="88965" spans="1:6" x14ac:dyDescent="0.25">
      <c r="A88965"/>
      <c r="B88965"/>
      <c r="C88965"/>
      <c r="E88965"/>
      <c r="F88965"/>
    </row>
    <row r="88966" spans="1:6" x14ac:dyDescent="0.25">
      <c r="A88966"/>
      <c r="B88966"/>
      <c r="C88966"/>
      <c r="E88966"/>
      <c r="F88966"/>
    </row>
    <row r="88967" spans="1:6" x14ac:dyDescent="0.25">
      <c r="A88967"/>
      <c r="B88967"/>
      <c r="C88967"/>
      <c r="E88967"/>
      <c r="F88967"/>
    </row>
    <row r="88968" spans="1:6" x14ac:dyDescent="0.25">
      <c r="A88968"/>
      <c r="B88968"/>
      <c r="C88968"/>
      <c r="E88968"/>
      <c r="F88968"/>
    </row>
    <row r="88969" spans="1:6" x14ac:dyDescent="0.25">
      <c r="A88969"/>
      <c r="B88969"/>
      <c r="C88969"/>
      <c r="E88969"/>
      <c r="F88969"/>
    </row>
    <row r="88970" spans="1:6" x14ac:dyDescent="0.25">
      <c r="A88970"/>
      <c r="B88970"/>
      <c r="C88970"/>
      <c r="E88970"/>
      <c r="F88970"/>
    </row>
    <row r="88971" spans="1:6" x14ac:dyDescent="0.25">
      <c r="A88971"/>
      <c r="B88971"/>
      <c r="C88971"/>
      <c r="E88971"/>
      <c r="F88971"/>
    </row>
    <row r="88972" spans="1:6" x14ac:dyDescent="0.25">
      <c r="A88972"/>
      <c r="B88972"/>
      <c r="C88972"/>
      <c r="E88972"/>
      <c r="F88972"/>
    </row>
    <row r="88973" spans="1:6" x14ac:dyDescent="0.25">
      <c r="A88973"/>
      <c r="B88973"/>
      <c r="C88973"/>
      <c r="E88973"/>
      <c r="F88973"/>
    </row>
    <row r="88974" spans="1:6" x14ac:dyDescent="0.25">
      <c r="A88974"/>
      <c r="B88974"/>
      <c r="C88974"/>
      <c r="E88974"/>
      <c r="F88974"/>
    </row>
    <row r="88975" spans="1:6" x14ac:dyDescent="0.25">
      <c r="A88975"/>
      <c r="B88975"/>
      <c r="C88975"/>
      <c r="E88975"/>
      <c r="F88975"/>
    </row>
    <row r="88976" spans="1:6" x14ac:dyDescent="0.25">
      <c r="A88976"/>
      <c r="B88976"/>
      <c r="C88976"/>
      <c r="E88976"/>
      <c r="F88976"/>
    </row>
    <row r="88977" spans="1:6" x14ac:dyDescent="0.25">
      <c r="A88977"/>
      <c r="B88977"/>
      <c r="C88977"/>
      <c r="E88977"/>
      <c r="F88977"/>
    </row>
    <row r="88978" spans="1:6" x14ac:dyDescent="0.25">
      <c r="A88978"/>
      <c r="B88978"/>
      <c r="C88978"/>
      <c r="E88978"/>
      <c r="F88978"/>
    </row>
    <row r="88979" spans="1:6" x14ac:dyDescent="0.25">
      <c r="A88979"/>
      <c r="B88979"/>
      <c r="C88979"/>
      <c r="E88979"/>
      <c r="F88979"/>
    </row>
    <row r="88980" spans="1:6" x14ac:dyDescent="0.25">
      <c r="A88980"/>
      <c r="B88980"/>
      <c r="C88980"/>
      <c r="E88980"/>
      <c r="F88980"/>
    </row>
    <row r="88981" spans="1:6" x14ac:dyDescent="0.25">
      <c r="A88981"/>
      <c r="B88981"/>
      <c r="C88981"/>
      <c r="E88981"/>
      <c r="F88981"/>
    </row>
    <row r="88982" spans="1:6" x14ac:dyDescent="0.25">
      <c r="A88982"/>
      <c r="B88982"/>
      <c r="C88982"/>
      <c r="E88982"/>
      <c r="F88982"/>
    </row>
    <row r="88983" spans="1:6" x14ac:dyDescent="0.25">
      <c r="A88983"/>
      <c r="B88983"/>
      <c r="C88983"/>
      <c r="E88983"/>
      <c r="F88983"/>
    </row>
    <row r="88984" spans="1:6" x14ac:dyDescent="0.25">
      <c r="A88984"/>
      <c r="B88984"/>
      <c r="C88984"/>
      <c r="E88984"/>
      <c r="F88984"/>
    </row>
    <row r="88985" spans="1:6" x14ac:dyDescent="0.25">
      <c r="A88985"/>
      <c r="B88985"/>
      <c r="C88985"/>
      <c r="E88985"/>
      <c r="F88985"/>
    </row>
    <row r="88986" spans="1:6" x14ac:dyDescent="0.25">
      <c r="A88986"/>
      <c r="B88986"/>
      <c r="C88986"/>
      <c r="E88986"/>
      <c r="F88986"/>
    </row>
    <row r="88987" spans="1:6" x14ac:dyDescent="0.25">
      <c r="A88987"/>
      <c r="B88987"/>
      <c r="C88987"/>
      <c r="E88987"/>
      <c r="F88987"/>
    </row>
    <row r="88988" spans="1:6" x14ac:dyDescent="0.25">
      <c r="A88988"/>
      <c r="B88988"/>
      <c r="C88988"/>
      <c r="E88988"/>
      <c r="F88988"/>
    </row>
    <row r="88989" spans="1:6" x14ac:dyDescent="0.25">
      <c r="A88989"/>
      <c r="B88989"/>
      <c r="C88989"/>
      <c r="E88989"/>
      <c r="F88989"/>
    </row>
    <row r="88990" spans="1:6" x14ac:dyDescent="0.25">
      <c r="A88990"/>
      <c r="B88990"/>
      <c r="C88990"/>
      <c r="E88990"/>
      <c r="F88990"/>
    </row>
    <row r="88991" spans="1:6" x14ac:dyDescent="0.25">
      <c r="A88991"/>
      <c r="B88991"/>
      <c r="C88991"/>
      <c r="E88991"/>
      <c r="F88991"/>
    </row>
    <row r="88992" spans="1:6" x14ac:dyDescent="0.25">
      <c r="A88992"/>
      <c r="B88992"/>
      <c r="C88992"/>
      <c r="E88992"/>
      <c r="F88992"/>
    </row>
    <row r="88993" spans="1:6" x14ac:dyDescent="0.25">
      <c r="A88993"/>
      <c r="B88993"/>
      <c r="C88993"/>
      <c r="E88993"/>
      <c r="F88993"/>
    </row>
    <row r="88994" spans="1:6" x14ac:dyDescent="0.25">
      <c r="A88994"/>
      <c r="B88994"/>
      <c r="C88994"/>
      <c r="E88994"/>
      <c r="F88994"/>
    </row>
    <row r="88995" spans="1:6" x14ac:dyDescent="0.25">
      <c r="A88995"/>
      <c r="B88995"/>
      <c r="C88995"/>
      <c r="E88995"/>
      <c r="F88995"/>
    </row>
    <row r="88996" spans="1:6" x14ac:dyDescent="0.25">
      <c r="A88996"/>
      <c r="B88996"/>
      <c r="C88996"/>
      <c r="E88996"/>
      <c r="F88996"/>
    </row>
    <row r="88997" spans="1:6" x14ac:dyDescent="0.25">
      <c r="A88997"/>
      <c r="B88997"/>
      <c r="C88997"/>
      <c r="E88997"/>
      <c r="F88997"/>
    </row>
    <row r="88998" spans="1:6" x14ac:dyDescent="0.25">
      <c r="A88998"/>
      <c r="B88998"/>
      <c r="C88998"/>
      <c r="E88998"/>
      <c r="F88998"/>
    </row>
    <row r="88999" spans="1:6" x14ac:dyDescent="0.25">
      <c r="A88999"/>
      <c r="B88999"/>
      <c r="C88999"/>
      <c r="E88999"/>
      <c r="F88999"/>
    </row>
    <row r="89000" spans="1:6" x14ac:dyDescent="0.25">
      <c r="A89000"/>
      <c r="B89000"/>
      <c r="C89000"/>
      <c r="E89000"/>
      <c r="F89000"/>
    </row>
    <row r="89001" spans="1:6" x14ac:dyDescent="0.25">
      <c r="A89001"/>
      <c r="B89001"/>
      <c r="C89001"/>
      <c r="E89001"/>
      <c r="F89001"/>
    </row>
    <row r="89002" spans="1:6" x14ac:dyDescent="0.25">
      <c r="A89002"/>
      <c r="B89002"/>
      <c r="C89002"/>
      <c r="E89002"/>
      <c r="F89002"/>
    </row>
    <row r="89003" spans="1:6" x14ac:dyDescent="0.25">
      <c r="A89003"/>
      <c r="B89003"/>
      <c r="C89003"/>
      <c r="E89003"/>
      <c r="F89003"/>
    </row>
    <row r="89004" spans="1:6" x14ac:dyDescent="0.25">
      <c r="A89004"/>
      <c r="B89004"/>
      <c r="C89004"/>
      <c r="E89004"/>
      <c r="F89004"/>
    </row>
    <row r="89005" spans="1:6" x14ac:dyDescent="0.25">
      <c r="A89005"/>
      <c r="B89005"/>
      <c r="C89005"/>
      <c r="E89005"/>
      <c r="F89005"/>
    </row>
    <row r="89006" spans="1:6" x14ac:dyDescent="0.25">
      <c r="A89006"/>
      <c r="B89006"/>
      <c r="C89006"/>
      <c r="E89006"/>
      <c r="F89006"/>
    </row>
    <row r="89007" spans="1:6" x14ac:dyDescent="0.25">
      <c r="A89007"/>
      <c r="B89007"/>
      <c r="C89007"/>
      <c r="E89007"/>
      <c r="F89007"/>
    </row>
    <row r="89008" spans="1:6" x14ac:dyDescent="0.25">
      <c r="A89008"/>
      <c r="B89008"/>
      <c r="C89008"/>
      <c r="E89008"/>
      <c r="F89008"/>
    </row>
    <row r="89009" spans="1:6" x14ac:dyDescent="0.25">
      <c r="A89009"/>
      <c r="B89009"/>
      <c r="C89009"/>
      <c r="E89009"/>
      <c r="F89009"/>
    </row>
    <row r="89010" spans="1:6" x14ac:dyDescent="0.25">
      <c r="A89010"/>
      <c r="B89010"/>
      <c r="C89010"/>
      <c r="E89010"/>
      <c r="F89010"/>
    </row>
    <row r="89011" spans="1:6" x14ac:dyDescent="0.25">
      <c r="A89011"/>
      <c r="B89011"/>
      <c r="C89011"/>
      <c r="E89011"/>
      <c r="F89011"/>
    </row>
    <row r="89012" spans="1:6" x14ac:dyDescent="0.25">
      <c r="A89012"/>
      <c r="B89012"/>
      <c r="C89012"/>
      <c r="E89012"/>
      <c r="F89012"/>
    </row>
    <row r="89013" spans="1:6" x14ac:dyDescent="0.25">
      <c r="A89013"/>
      <c r="B89013"/>
      <c r="C89013"/>
      <c r="E89013"/>
      <c r="F89013"/>
    </row>
    <row r="89014" spans="1:6" x14ac:dyDescent="0.25">
      <c r="A89014"/>
      <c r="B89014"/>
      <c r="C89014"/>
      <c r="E89014"/>
      <c r="F89014"/>
    </row>
    <row r="89015" spans="1:6" x14ac:dyDescent="0.25">
      <c r="A89015"/>
      <c r="B89015"/>
      <c r="C89015"/>
      <c r="E89015"/>
      <c r="F89015"/>
    </row>
    <row r="89016" spans="1:6" x14ac:dyDescent="0.25">
      <c r="A89016"/>
      <c r="B89016"/>
      <c r="C89016"/>
      <c r="E89016"/>
      <c r="F89016"/>
    </row>
    <row r="89017" spans="1:6" x14ac:dyDescent="0.25">
      <c r="A89017"/>
      <c r="B89017"/>
      <c r="C89017"/>
      <c r="E89017"/>
      <c r="F89017"/>
    </row>
    <row r="89018" spans="1:6" x14ac:dyDescent="0.25">
      <c r="A89018"/>
      <c r="B89018"/>
      <c r="C89018"/>
      <c r="E89018"/>
      <c r="F89018"/>
    </row>
    <row r="89019" spans="1:6" x14ac:dyDescent="0.25">
      <c r="A89019"/>
      <c r="B89019"/>
      <c r="C89019"/>
      <c r="E89019"/>
      <c r="F89019"/>
    </row>
    <row r="89020" spans="1:6" x14ac:dyDescent="0.25">
      <c r="A89020"/>
      <c r="B89020"/>
      <c r="C89020"/>
      <c r="E89020"/>
      <c r="F89020"/>
    </row>
    <row r="89021" spans="1:6" x14ac:dyDescent="0.25">
      <c r="A89021"/>
      <c r="B89021"/>
      <c r="C89021"/>
      <c r="E89021"/>
      <c r="F89021"/>
    </row>
    <row r="89022" spans="1:6" x14ac:dyDescent="0.25">
      <c r="A89022"/>
      <c r="B89022"/>
      <c r="C89022"/>
      <c r="E89022"/>
      <c r="F89022"/>
    </row>
    <row r="89023" spans="1:6" x14ac:dyDescent="0.25">
      <c r="A89023"/>
      <c r="B89023"/>
      <c r="C89023"/>
      <c r="E89023"/>
      <c r="F89023"/>
    </row>
    <row r="89024" spans="1:6" x14ac:dyDescent="0.25">
      <c r="A89024"/>
      <c r="B89024"/>
      <c r="C89024"/>
      <c r="E89024"/>
      <c r="F89024"/>
    </row>
    <row r="89025" spans="1:6" x14ac:dyDescent="0.25">
      <c r="A89025"/>
      <c r="B89025"/>
      <c r="C89025"/>
      <c r="E89025"/>
      <c r="F89025"/>
    </row>
    <row r="89026" spans="1:6" x14ac:dyDescent="0.25">
      <c r="A89026"/>
      <c r="B89026"/>
      <c r="C89026"/>
      <c r="E89026"/>
      <c r="F89026"/>
    </row>
    <row r="89027" spans="1:6" x14ac:dyDescent="0.25">
      <c r="A89027"/>
      <c r="B89027"/>
      <c r="C89027"/>
      <c r="E89027"/>
      <c r="F89027"/>
    </row>
    <row r="89028" spans="1:6" x14ac:dyDescent="0.25">
      <c r="A89028"/>
      <c r="B89028"/>
      <c r="C89028"/>
      <c r="E89028"/>
      <c r="F89028"/>
    </row>
    <row r="89029" spans="1:6" x14ac:dyDescent="0.25">
      <c r="A89029"/>
      <c r="B89029"/>
      <c r="C89029"/>
      <c r="E89029"/>
      <c r="F89029"/>
    </row>
    <row r="89030" spans="1:6" x14ac:dyDescent="0.25">
      <c r="A89030"/>
      <c r="B89030"/>
      <c r="C89030"/>
      <c r="E89030"/>
      <c r="F89030"/>
    </row>
    <row r="89031" spans="1:6" x14ac:dyDescent="0.25">
      <c r="A89031"/>
      <c r="B89031"/>
      <c r="C89031"/>
      <c r="E89031"/>
      <c r="F89031"/>
    </row>
    <row r="89032" spans="1:6" x14ac:dyDescent="0.25">
      <c r="A89032"/>
      <c r="B89032"/>
      <c r="C89032"/>
      <c r="E89032"/>
      <c r="F89032"/>
    </row>
    <row r="89033" spans="1:6" x14ac:dyDescent="0.25">
      <c r="A89033"/>
      <c r="B89033"/>
      <c r="C89033"/>
      <c r="E89033"/>
      <c r="F89033"/>
    </row>
    <row r="89034" spans="1:6" x14ac:dyDescent="0.25">
      <c r="A89034"/>
      <c r="B89034"/>
      <c r="C89034"/>
      <c r="E89034"/>
      <c r="F89034"/>
    </row>
    <row r="89035" spans="1:6" x14ac:dyDescent="0.25">
      <c r="A89035"/>
      <c r="B89035"/>
      <c r="C89035"/>
      <c r="E89035"/>
      <c r="F89035"/>
    </row>
    <row r="89036" spans="1:6" x14ac:dyDescent="0.25">
      <c r="A89036"/>
      <c r="B89036"/>
      <c r="C89036"/>
      <c r="E89036"/>
      <c r="F89036"/>
    </row>
    <row r="89037" spans="1:6" x14ac:dyDescent="0.25">
      <c r="A89037"/>
      <c r="B89037"/>
      <c r="C89037"/>
      <c r="E89037"/>
      <c r="F89037"/>
    </row>
    <row r="89038" spans="1:6" x14ac:dyDescent="0.25">
      <c r="A89038"/>
      <c r="B89038"/>
      <c r="C89038"/>
      <c r="E89038"/>
      <c r="F89038"/>
    </row>
    <row r="89039" spans="1:6" x14ac:dyDescent="0.25">
      <c r="A89039"/>
      <c r="B89039"/>
      <c r="C89039"/>
      <c r="E89039"/>
      <c r="F89039"/>
    </row>
    <row r="89040" spans="1:6" x14ac:dyDescent="0.25">
      <c r="A89040"/>
      <c r="B89040"/>
      <c r="C89040"/>
      <c r="E89040"/>
      <c r="F89040"/>
    </row>
    <row r="89041" spans="1:6" x14ac:dyDescent="0.25">
      <c r="A89041"/>
      <c r="B89041"/>
      <c r="C89041"/>
      <c r="E89041"/>
      <c r="F89041"/>
    </row>
    <row r="89042" spans="1:6" x14ac:dyDescent="0.25">
      <c r="A89042"/>
      <c r="B89042"/>
      <c r="C89042"/>
      <c r="E89042"/>
      <c r="F89042"/>
    </row>
    <row r="89043" spans="1:6" x14ac:dyDescent="0.25">
      <c r="A89043"/>
      <c r="B89043"/>
      <c r="C89043"/>
      <c r="E89043"/>
      <c r="F89043"/>
    </row>
    <row r="89044" spans="1:6" x14ac:dyDescent="0.25">
      <c r="A89044"/>
      <c r="B89044"/>
      <c r="C89044"/>
      <c r="E89044"/>
      <c r="F89044"/>
    </row>
    <row r="89045" spans="1:6" x14ac:dyDescent="0.25">
      <c r="A89045"/>
      <c r="B89045"/>
      <c r="C89045"/>
      <c r="E89045"/>
      <c r="F89045"/>
    </row>
    <row r="89046" spans="1:6" x14ac:dyDescent="0.25">
      <c r="A89046"/>
      <c r="B89046"/>
      <c r="C89046"/>
      <c r="E89046"/>
      <c r="F89046"/>
    </row>
    <row r="89047" spans="1:6" x14ac:dyDescent="0.25">
      <c r="A89047"/>
      <c r="B89047"/>
      <c r="C89047"/>
      <c r="E89047"/>
      <c r="F89047"/>
    </row>
    <row r="89048" spans="1:6" x14ac:dyDescent="0.25">
      <c r="A89048"/>
      <c r="B89048"/>
      <c r="C89048"/>
      <c r="E89048"/>
      <c r="F89048"/>
    </row>
    <row r="89049" spans="1:6" x14ac:dyDescent="0.25">
      <c r="A89049"/>
      <c r="B89049"/>
      <c r="C89049"/>
      <c r="E89049"/>
      <c r="F89049"/>
    </row>
    <row r="89050" spans="1:6" x14ac:dyDescent="0.25">
      <c r="A89050"/>
      <c r="B89050"/>
      <c r="C89050"/>
      <c r="E89050"/>
      <c r="F89050"/>
    </row>
    <row r="89051" spans="1:6" x14ac:dyDescent="0.25">
      <c r="A89051"/>
      <c r="B89051"/>
      <c r="C89051"/>
      <c r="E89051"/>
      <c r="F89051"/>
    </row>
    <row r="89052" spans="1:6" x14ac:dyDescent="0.25">
      <c r="A89052"/>
      <c r="B89052"/>
      <c r="C89052"/>
      <c r="E89052"/>
      <c r="F89052"/>
    </row>
    <row r="89053" spans="1:6" x14ac:dyDescent="0.25">
      <c r="A89053"/>
      <c r="B89053"/>
      <c r="C89053"/>
      <c r="E89053"/>
      <c r="F89053"/>
    </row>
    <row r="89054" spans="1:6" x14ac:dyDescent="0.25">
      <c r="A89054"/>
      <c r="B89054"/>
      <c r="C89054"/>
      <c r="E89054"/>
      <c r="F89054"/>
    </row>
    <row r="89055" spans="1:6" x14ac:dyDescent="0.25">
      <c r="A89055"/>
      <c r="B89055"/>
      <c r="C89055"/>
      <c r="E89055"/>
      <c r="F89055"/>
    </row>
    <row r="89056" spans="1:6" x14ac:dyDescent="0.25">
      <c r="A89056"/>
      <c r="B89056"/>
      <c r="C89056"/>
      <c r="E89056"/>
      <c r="F89056"/>
    </row>
    <row r="89057" spans="1:6" x14ac:dyDescent="0.25">
      <c r="A89057"/>
      <c r="B89057"/>
      <c r="C89057"/>
      <c r="E89057"/>
      <c r="F89057"/>
    </row>
    <row r="89058" spans="1:6" x14ac:dyDescent="0.25">
      <c r="A89058"/>
      <c r="B89058"/>
      <c r="C89058"/>
      <c r="E89058"/>
      <c r="F89058"/>
    </row>
    <row r="89059" spans="1:6" x14ac:dyDescent="0.25">
      <c r="A89059"/>
      <c r="B89059"/>
      <c r="C89059"/>
      <c r="E89059"/>
      <c r="F89059"/>
    </row>
    <row r="89060" spans="1:6" x14ac:dyDescent="0.25">
      <c r="A89060"/>
      <c r="B89060"/>
      <c r="C89060"/>
      <c r="E89060"/>
      <c r="F89060"/>
    </row>
    <row r="89061" spans="1:6" x14ac:dyDescent="0.25">
      <c r="A89061"/>
      <c r="B89061"/>
      <c r="C89061"/>
      <c r="E89061"/>
      <c r="F89061"/>
    </row>
    <row r="89062" spans="1:6" x14ac:dyDescent="0.25">
      <c r="A89062"/>
      <c r="B89062"/>
      <c r="C89062"/>
      <c r="E89062"/>
      <c r="F89062"/>
    </row>
    <row r="89063" spans="1:6" x14ac:dyDescent="0.25">
      <c r="A89063"/>
      <c r="B89063"/>
      <c r="C89063"/>
      <c r="E89063"/>
      <c r="F89063"/>
    </row>
    <row r="89064" spans="1:6" x14ac:dyDescent="0.25">
      <c r="A89064"/>
      <c r="B89064"/>
      <c r="C89064"/>
      <c r="E89064"/>
      <c r="F89064"/>
    </row>
    <row r="89065" spans="1:6" x14ac:dyDescent="0.25">
      <c r="A89065"/>
      <c r="B89065"/>
      <c r="C89065"/>
      <c r="E89065"/>
      <c r="F89065"/>
    </row>
    <row r="89066" spans="1:6" x14ac:dyDescent="0.25">
      <c r="A89066"/>
      <c r="B89066"/>
      <c r="C89066"/>
      <c r="E89066"/>
      <c r="F89066"/>
    </row>
    <row r="89067" spans="1:6" x14ac:dyDescent="0.25">
      <c r="A89067"/>
      <c r="B89067"/>
      <c r="C89067"/>
      <c r="E89067"/>
      <c r="F89067"/>
    </row>
    <row r="89068" spans="1:6" x14ac:dyDescent="0.25">
      <c r="A89068"/>
      <c r="B89068"/>
      <c r="C89068"/>
      <c r="E89068"/>
      <c r="F89068"/>
    </row>
    <row r="89069" spans="1:6" x14ac:dyDescent="0.25">
      <c r="A89069"/>
      <c r="B89069"/>
      <c r="C89069"/>
      <c r="E89069"/>
      <c r="F89069"/>
    </row>
    <row r="89070" spans="1:6" x14ac:dyDescent="0.25">
      <c r="A89070"/>
      <c r="B89070"/>
      <c r="C89070"/>
      <c r="E89070"/>
      <c r="F89070"/>
    </row>
    <row r="89071" spans="1:6" x14ac:dyDescent="0.25">
      <c r="A89071"/>
      <c r="B89071"/>
      <c r="C89071"/>
      <c r="E89071"/>
      <c r="F89071"/>
    </row>
    <row r="89072" spans="1:6" x14ac:dyDescent="0.25">
      <c r="A89072"/>
      <c r="B89072"/>
      <c r="C89072"/>
      <c r="E89072"/>
      <c r="F89072"/>
    </row>
    <row r="89073" spans="1:6" x14ac:dyDescent="0.25">
      <c r="A89073"/>
      <c r="B89073"/>
      <c r="C89073"/>
      <c r="E89073"/>
      <c r="F89073"/>
    </row>
    <row r="89074" spans="1:6" x14ac:dyDescent="0.25">
      <c r="A89074"/>
      <c r="B89074"/>
      <c r="C89074"/>
      <c r="E89074"/>
      <c r="F89074"/>
    </row>
    <row r="89075" spans="1:6" x14ac:dyDescent="0.25">
      <c r="A89075"/>
      <c r="B89075"/>
      <c r="C89075"/>
      <c r="E89075"/>
      <c r="F89075"/>
    </row>
    <row r="89076" spans="1:6" x14ac:dyDescent="0.25">
      <c r="A89076"/>
      <c r="B89076"/>
      <c r="C89076"/>
      <c r="E89076"/>
      <c r="F89076"/>
    </row>
    <row r="89077" spans="1:6" x14ac:dyDescent="0.25">
      <c r="A89077"/>
      <c r="B89077"/>
      <c r="C89077"/>
      <c r="E89077"/>
      <c r="F89077"/>
    </row>
    <row r="89078" spans="1:6" x14ac:dyDescent="0.25">
      <c r="A89078"/>
      <c r="B89078"/>
      <c r="C89078"/>
      <c r="E89078"/>
      <c r="F89078"/>
    </row>
    <row r="89079" spans="1:6" x14ac:dyDescent="0.25">
      <c r="A89079"/>
      <c r="B89079"/>
      <c r="C89079"/>
      <c r="E89079"/>
      <c r="F89079"/>
    </row>
    <row r="89080" spans="1:6" x14ac:dyDescent="0.25">
      <c r="A89080"/>
      <c r="B89080"/>
      <c r="C89080"/>
      <c r="E89080"/>
      <c r="F89080"/>
    </row>
    <row r="89081" spans="1:6" x14ac:dyDescent="0.25">
      <c r="A89081"/>
      <c r="B89081"/>
      <c r="C89081"/>
      <c r="E89081"/>
      <c r="F89081"/>
    </row>
    <row r="89082" spans="1:6" x14ac:dyDescent="0.25">
      <c r="A89082"/>
      <c r="B89082"/>
      <c r="C89082"/>
      <c r="E89082"/>
      <c r="F89082"/>
    </row>
    <row r="89083" spans="1:6" x14ac:dyDescent="0.25">
      <c r="A89083"/>
      <c r="B89083"/>
      <c r="C89083"/>
      <c r="E89083"/>
      <c r="F89083"/>
    </row>
    <row r="89084" spans="1:6" x14ac:dyDescent="0.25">
      <c r="A89084"/>
      <c r="B89084"/>
      <c r="C89084"/>
      <c r="E89084"/>
      <c r="F89084"/>
    </row>
    <row r="89085" spans="1:6" x14ac:dyDescent="0.25">
      <c r="A89085"/>
      <c r="B89085"/>
      <c r="C89085"/>
      <c r="E89085"/>
      <c r="F89085"/>
    </row>
    <row r="89086" spans="1:6" x14ac:dyDescent="0.25">
      <c r="A89086"/>
      <c r="B89086"/>
      <c r="C89086"/>
      <c r="E89086"/>
      <c r="F89086"/>
    </row>
    <row r="89087" spans="1:6" x14ac:dyDescent="0.25">
      <c r="A89087"/>
      <c r="B89087"/>
      <c r="C89087"/>
      <c r="E89087"/>
      <c r="F89087"/>
    </row>
    <row r="89088" spans="1:6" x14ac:dyDescent="0.25">
      <c r="A89088"/>
      <c r="B89088"/>
      <c r="C89088"/>
      <c r="E89088"/>
      <c r="F89088"/>
    </row>
    <row r="89089" spans="1:6" x14ac:dyDescent="0.25">
      <c r="A89089"/>
      <c r="B89089"/>
      <c r="C89089"/>
      <c r="E89089"/>
      <c r="F89089"/>
    </row>
    <row r="89090" spans="1:6" x14ac:dyDescent="0.25">
      <c r="A89090"/>
      <c r="B89090"/>
      <c r="C89090"/>
      <c r="E89090"/>
      <c r="F89090"/>
    </row>
    <row r="89091" spans="1:6" x14ac:dyDescent="0.25">
      <c r="A89091"/>
      <c r="B89091"/>
      <c r="C89091"/>
      <c r="E89091"/>
      <c r="F89091"/>
    </row>
    <row r="89092" spans="1:6" x14ac:dyDescent="0.25">
      <c r="A89092"/>
      <c r="B89092"/>
      <c r="C89092"/>
      <c r="E89092"/>
      <c r="F89092"/>
    </row>
    <row r="89093" spans="1:6" x14ac:dyDescent="0.25">
      <c r="A89093"/>
      <c r="B89093"/>
      <c r="C89093"/>
      <c r="E89093"/>
      <c r="F89093"/>
    </row>
    <row r="89094" spans="1:6" x14ac:dyDescent="0.25">
      <c r="A89094"/>
      <c r="B89094"/>
      <c r="C89094"/>
      <c r="E89094"/>
      <c r="F89094"/>
    </row>
    <row r="89095" spans="1:6" x14ac:dyDescent="0.25">
      <c r="A89095"/>
      <c r="B89095"/>
      <c r="C89095"/>
      <c r="E89095"/>
      <c r="F89095"/>
    </row>
    <row r="89096" spans="1:6" x14ac:dyDescent="0.25">
      <c r="A89096"/>
      <c r="B89096"/>
      <c r="C89096"/>
      <c r="E89096"/>
      <c r="F89096"/>
    </row>
    <row r="89097" spans="1:6" x14ac:dyDescent="0.25">
      <c r="A89097"/>
      <c r="B89097"/>
      <c r="C89097"/>
      <c r="E89097"/>
      <c r="F89097"/>
    </row>
    <row r="89098" spans="1:6" x14ac:dyDescent="0.25">
      <c r="A89098"/>
      <c r="B89098"/>
      <c r="C89098"/>
      <c r="E89098"/>
      <c r="F89098"/>
    </row>
    <row r="89099" spans="1:6" x14ac:dyDescent="0.25">
      <c r="A89099"/>
      <c r="B89099"/>
      <c r="C89099"/>
      <c r="E89099"/>
      <c r="F89099"/>
    </row>
    <row r="89100" spans="1:6" x14ac:dyDescent="0.25">
      <c r="A89100"/>
      <c r="B89100"/>
      <c r="C89100"/>
      <c r="E89100"/>
      <c r="F89100"/>
    </row>
    <row r="89101" spans="1:6" x14ac:dyDescent="0.25">
      <c r="A89101"/>
      <c r="B89101"/>
      <c r="C89101"/>
      <c r="E89101"/>
      <c r="F89101"/>
    </row>
    <row r="89102" spans="1:6" x14ac:dyDescent="0.25">
      <c r="A89102"/>
      <c r="B89102"/>
      <c r="C89102"/>
      <c r="E89102"/>
      <c r="F89102"/>
    </row>
    <row r="89103" spans="1:6" x14ac:dyDescent="0.25">
      <c r="A89103"/>
      <c r="B89103"/>
      <c r="C89103"/>
      <c r="E89103"/>
      <c r="F89103"/>
    </row>
    <row r="89104" spans="1:6" x14ac:dyDescent="0.25">
      <c r="A89104"/>
      <c r="B89104"/>
      <c r="C89104"/>
      <c r="E89104"/>
      <c r="F89104"/>
    </row>
    <row r="89105" spans="1:6" x14ac:dyDescent="0.25">
      <c r="A89105"/>
      <c r="B89105"/>
      <c r="C89105"/>
      <c r="E89105"/>
      <c r="F89105"/>
    </row>
    <row r="89106" spans="1:6" x14ac:dyDescent="0.25">
      <c r="A89106"/>
      <c r="B89106"/>
      <c r="C89106"/>
      <c r="E89106"/>
      <c r="F89106"/>
    </row>
    <row r="89107" spans="1:6" x14ac:dyDescent="0.25">
      <c r="A89107"/>
      <c r="B89107"/>
      <c r="C89107"/>
      <c r="E89107"/>
      <c r="F89107"/>
    </row>
    <row r="89108" spans="1:6" x14ac:dyDescent="0.25">
      <c r="A89108"/>
      <c r="B89108"/>
      <c r="C89108"/>
      <c r="E89108"/>
      <c r="F89108"/>
    </row>
    <row r="89109" spans="1:6" x14ac:dyDescent="0.25">
      <c r="A89109"/>
      <c r="B89109"/>
      <c r="C89109"/>
      <c r="E89109"/>
      <c r="F89109"/>
    </row>
    <row r="89110" spans="1:6" x14ac:dyDescent="0.25">
      <c r="A89110"/>
      <c r="B89110"/>
      <c r="C89110"/>
      <c r="E89110"/>
      <c r="F89110"/>
    </row>
    <row r="89111" spans="1:6" x14ac:dyDescent="0.25">
      <c r="A89111"/>
      <c r="B89111"/>
      <c r="C89111"/>
      <c r="E89111"/>
      <c r="F89111"/>
    </row>
    <row r="89112" spans="1:6" x14ac:dyDescent="0.25">
      <c r="A89112"/>
      <c r="B89112"/>
      <c r="C89112"/>
      <c r="E89112"/>
      <c r="F89112"/>
    </row>
    <row r="89113" spans="1:6" x14ac:dyDescent="0.25">
      <c r="A89113"/>
      <c r="B89113"/>
      <c r="C89113"/>
      <c r="E89113"/>
      <c r="F89113"/>
    </row>
    <row r="89114" spans="1:6" x14ac:dyDescent="0.25">
      <c r="A89114"/>
      <c r="B89114"/>
      <c r="C89114"/>
      <c r="E89114"/>
      <c r="F89114"/>
    </row>
    <row r="89115" spans="1:6" x14ac:dyDescent="0.25">
      <c r="A89115"/>
      <c r="B89115"/>
      <c r="C89115"/>
      <c r="E89115"/>
      <c r="F89115"/>
    </row>
    <row r="89116" spans="1:6" x14ac:dyDescent="0.25">
      <c r="A89116"/>
      <c r="B89116"/>
      <c r="C89116"/>
      <c r="E89116"/>
      <c r="F89116"/>
    </row>
    <row r="89117" spans="1:6" x14ac:dyDescent="0.25">
      <c r="A89117"/>
      <c r="B89117"/>
      <c r="C89117"/>
      <c r="E89117"/>
      <c r="F89117"/>
    </row>
    <row r="89118" spans="1:6" x14ac:dyDescent="0.25">
      <c r="A89118"/>
      <c r="B89118"/>
      <c r="C89118"/>
      <c r="E89118"/>
      <c r="F89118"/>
    </row>
    <row r="89119" spans="1:6" x14ac:dyDescent="0.25">
      <c r="A89119"/>
      <c r="B89119"/>
      <c r="C89119"/>
      <c r="E89119"/>
      <c r="F89119"/>
    </row>
    <row r="89120" spans="1:6" x14ac:dyDescent="0.25">
      <c r="A89120"/>
      <c r="B89120"/>
      <c r="C89120"/>
      <c r="E89120"/>
      <c r="F89120"/>
    </row>
    <row r="89121" spans="1:6" x14ac:dyDescent="0.25">
      <c r="A89121"/>
      <c r="B89121"/>
      <c r="C89121"/>
      <c r="E89121"/>
      <c r="F89121"/>
    </row>
    <row r="89122" spans="1:6" x14ac:dyDescent="0.25">
      <c r="A89122"/>
      <c r="B89122"/>
      <c r="C89122"/>
      <c r="E89122"/>
      <c r="F89122"/>
    </row>
    <row r="89123" spans="1:6" x14ac:dyDescent="0.25">
      <c r="A89123"/>
      <c r="B89123"/>
      <c r="C89123"/>
      <c r="E89123"/>
      <c r="F89123"/>
    </row>
    <row r="89124" spans="1:6" x14ac:dyDescent="0.25">
      <c r="A89124"/>
      <c r="B89124"/>
      <c r="C89124"/>
      <c r="E89124"/>
      <c r="F89124"/>
    </row>
    <row r="89125" spans="1:6" x14ac:dyDescent="0.25">
      <c r="A89125"/>
      <c r="B89125"/>
      <c r="C89125"/>
      <c r="E89125"/>
      <c r="F89125"/>
    </row>
    <row r="89126" spans="1:6" x14ac:dyDescent="0.25">
      <c r="A89126"/>
      <c r="B89126"/>
      <c r="C89126"/>
      <c r="E89126"/>
      <c r="F89126"/>
    </row>
    <row r="89127" spans="1:6" x14ac:dyDescent="0.25">
      <c r="A89127"/>
      <c r="B89127"/>
      <c r="C89127"/>
      <c r="E89127"/>
      <c r="F89127"/>
    </row>
    <row r="89128" spans="1:6" x14ac:dyDescent="0.25">
      <c r="A89128"/>
      <c r="B89128"/>
      <c r="C89128"/>
      <c r="E89128"/>
      <c r="F89128"/>
    </row>
    <row r="89129" spans="1:6" x14ac:dyDescent="0.25">
      <c r="A89129"/>
      <c r="B89129"/>
      <c r="C89129"/>
      <c r="E89129"/>
      <c r="F89129"/>
    </row>
    <row r="89130" spans="1:6" x14ac:dyDescent="0.25">
      <c r="A89130"/>
      <c r="B89130"/>
      <c r="C89130"/>
      <c r="E89130"/>
      <c r="F89130"/>
    </row>
    <row r="89131" spans="1:6" x14ac:dyDescent="0.25">
      <c r="A89131"/>
      <c r="B89131"/>
      <c r="C89131"/>
      <c r="E89131"/>
      <c r="F89131"/>
    </row>
    <row r="89132" spans="1:6" x14ac:dyDescent="0.25">
      <c r="A89132"/>
      <c r="B89132"/>
      <c r="C89132"/>
      <c r="E89132"/>
      <c r="F89132"/>
    </row>
    <row r="89133" spans="1:6" x14ac:dyDescent="0.25">
      <c r="A89133"/>
      <c r="B89133"/>
      <c r="C89133"/>
      <c r="E89133"/>
      <c r="F89133"/>
    </row>
    <row r="89134" spans="1:6" x14ac:dyDescent="0.25">
      <c r="A89134"/>
      <c r="B89134"/>
      <c r="C89134"/>
      <c r="E89134"/>
      <c r="F89134"/>
    </row>
    <row r="89135" spans="1:6" x14ac:dyDescent="0.25">
      <c r="A89135"/>
      <c r="B89135"/>
      <c r="C89135"/>
      <c r="E89135"/>
      <c r="F89135"/>
    </row>
    <row r="89136" spans="1:6" x14ac:dyDescent="0.25">
      <c r="A89136"/>
      <c r="B89136"/>
      <c r="C89136"/>
      <c r="E89136"/>
      <c r="F89136"/>
    </row>
    <row r="89137" spans="1:6" x14ac:dyDescent="0.25">
      <c r="A89137"/>
      <c r="B89137"/>
      <c r="C89137"/>
      <c r="E89137"/>
      <c r="F89137"/>
    </row>
    <row r="89138" spans="1:6" x14ac:dyDescent="0.25">
      <c r="A89138"/>
      <c r="B89138"/>
      <c r="C89138"/>
      <c r="E89138"/>
      <c r="F89138"/>
    </row>
    <row r="89139" spans="1:6" x14ac:dyDescent="0.25">
      <c r="A89139"/>
      <c r="B89139"/>
      <c r="C89139"/>
      <c r="E89139"/>
      <c r="F89139"/>
    </row>
    <row r="89140" spans="1:6" x14ac:dyDescent="0.25">
      <c r="A89140"/>
      <c r="B89140"/>
      <c r="C89140"/>
      <c r="E89140"/>
      <c r="F89140"/>
    </row>
    <row r="89141" spans="1:6" x14ac:dyDescent="0.25">
      <c r="A89141"/>
      <c r="B89141"/>
      <c r="C89141"/>
      <c r="E89141"/>
      <c r="F89141"/>
    </row>
    <row r="89142" spans="1:6" x14ac:dyDescent="0.25">
      <c r="A89142"/>
      <c r="B89142"/>
      <c r="C89142"/>
      <c r="E89142"/>
      <c r="F89142"/>
    </row>
    <row r="89143" spans="1:6" x14ac:dyDescent="0.25">
      <c r="A89143"/>
      <c r="B89143"/>
      <c r="C89143"/>
      <c r="E89143"/>
      <c r="F89143"/>
    </row>
    <row r="89144" spans="1:6" x14ac:dyDescent="0.25">
      <c r="A89144"/>
      <c r="B89144"/>
      <c r="C89144"/>
      <c r="E89144"/>
      <c r="F89144"/>
    </row>
    <row r="89145" spans="1:6" x14ac:dyDescent="0.25">
      <c r="A89145"/>
      <c r="B89145"/>
      <c r="C89145"/>
      <c r="E89145"/>
      <c r="F89145"/>
    </row>
    <row r="89146" spans="1:6" x14ac:dyDescent="0.25">
      <c r="A89146"/>
      <c r="B89146"/>
      <c r="C89146"/>
      <c r="E89146"/>
      <c r="F89146"/>
    </row>
    <row r="89147" spans="1:6" x14ac:dyDescent="0.25">
      <c r="A89147"/>
      <c r="B89147"/>
      <c r="C89147"/>
      <c r="E89147"/>
      <c r="F89147"/>
    </row>
    <row r="89148" spans="1:6" x14ac:dyDescent="0.25">
      <c r="A89148"/>
      <c r="B89148"/>
      <c r="C89148"/>
      <c r="E89148"/>
      <c r="F89148"/>
    </row>
    <row r="89149" spans="1:6" x14ac:dyDescent="0.25">
      <c r="A89149"/>
      <c r="B89149"/>
      <c r="C89149"/>
      <c r="E89149"/>
      <c r="F89149"/>
    </row>
    <row r="89150" spans="1:6" x14ac:dyDescent="0.25">
      <c r="A89150"/>
      <c r="B89150"/>
      <c r="C89150"/>
      <c r="E89150"/>
      <c r="F89150"/>
    </row>
    <row r="89151" spans="1:6" x14ac:dyDescent="0.25">
      <c r="A89151"/>
      <c r="B89151"/>
      <c r="C89151"/>
      <c r="E89151"/>
      <c r="F89151"/>
    </row>
    <row r="89152" spans="1:6" x14ac:dyDescent="0.25">
      <c r="A89152"/>
      <c r="B89152"/>
      <c r="C89152"/>
      <c r="E89152"/>
      <c r="F89152"/>
    </row>
    <row r="89153" spans="1:6" x14ac:dyDescent="0.25">
      <c r="A89153"/>
      <c r="B89153"/>
      <c r="C89153"/>
      <c r="E89153"/>
      <c r="F89153"/>
    </row>
    <row r="89154" spans="1:6" x14ac:dyDescent="0.25">
      <c r="A89154"/>
      <c r="B89154"/>
      <c r="C89154"/>
      <c r="E89154"/>
      <c r="F89154"/>
    </row>
    <row r="89155" spans="1:6" x14ac:dyDescent="0.25">
      <c r="A89155"/>
      <c r="B89155"/>
      <c r="C89155"/>
      <c r="E89155"/>
      <c r="F89155"/>
    </row>
    <row r="89156" spans="1:6" x14ac:dyDescent="0.25">
      <c r="A89156"/>
      <c r="B89156"/>
      <c r="C89156"/>
      <c r="E89156"/>
      <c r="F89156"/>
    </row>
    <row r="89157" spans="1:6" x14ac:dyDescent="0.25">
      <c r="A89157"/>
      <c r="B89157"/>
      <c r="C89157"/>
      <c r="E89157"/>
      <c r="F89157"/>
    </row>
    <row r="89158" spans="1:6" x14ac:dyDescent="0.25">
      <c r="A89158"/>
      <c r="B89158"/>
      <c r="C89158"/>
      <c r="E89158"/>
      <c r="F89158"/>
    </row>
    <row r="89159" spans="1:6" x14ac:dyDescent="0.25">
      <c r="A89159"/>
      <c r="B89159"/>
      <c r="C89159"/>
      <c r="E89159"/>
      <c r="F89159"/>
    </row>
    <row r="89160" spans="1:6" x14ac:dyDescent="0.25">
      <c r="A89160"/>
      <c r="B89160"/>
      <c r="C89160"/>
      <c r="E89160"/>
      <c r="F89160"/>
    </row>
    <row r="89161" spans="1:6" x14ac:dyDescent="0.25">
      <c r="A89161"/>
      <c r="B89161"/>
      <c r="C89161"/>
      <c r="E89161"/>
      <c r="F89161"/>
    </row>
    <row r="89162" spans="1:6" x14ac:dyDescent="0.25">
      <c r="A89162"/>
      <c r="B89162"/>
      <c r="C89162"/>
      <c r="E89162"/>
      <c r="F89162"/>
    </row>
    <row r="89163" spans="1:6" x14ac:dyDescent="0.25">
      <c r="A89163"/>
      <c r="B89163"/>
      <c r="C89163"/>
      <c r="E89163"/>
      <c r="F89163"/>
    </row>
    <row r="89164" spans="1:6" x14ac:dyDescent="0.25">
      <c r="A89164"/>
      <c r="B89164"/>
      <c r="C89164"/>
      <c r="E89164"/>
      <c r="F89164"/>
    </row>
    <row r="89165" spans="1:6" x14ac:dyDescent="0.25">
      <c r="A89165"/>
      <c r="B89165"/>
      <c r="C89165"/>
      <c r="E89165"/>
      <c r="F89165"/>
    </row>
    <row r="89166" spans="1:6" x14ac:dyDescent="0.25">
      <c r="A89166"/>
      <c r="B89166"/>
      <c r="C89166"/>
      <c r="E89166"/>
      <c r="F89166"/>
    </row>
    <row r="89167" spans="1:6" x14ac:dyDescent="0.25">
      <c r="A89167"/>
      <c r="B89167"/>
      <c r="C89167"/>
      <c r="E89167"/>
      <c r="F89167"/>
    </row>
    <row r="89168" spans="1:6" x14ac:dyDescent="0.25">
      <c r="A89168"/>
      <c r="B89168"/>
      <c r="C89168"/>
      <c r="E89168"/>
      <c r="F89168"/>
    </row>
    <row r="89169" spans="1:6" x14ac:dyDescent="0.25">
      <c r="A89169"/>
      <c r="B89169"/>
      <c r="C89169"/>
      <c r="E89169"/>
      <c r="F89169"/>
    </row>
    <row r="89170" spans="1:6" x14ac:dyDescent="0.25">
      <c r="A89170"/>
      <c r="B89170"/>
      <c r="C89170"/>
      <c r="E89170"/>
      <c r="F89170"/>
    </row>
    <row r="89171" spans="1:6" x14ac:dyDescent="0.25">
      <c r="A89171"/>
      <c r="B89171"/>
      <c r="C89171"/>
      <c r="E89171"/>
      <c r="F89171"/>
    </row>
    <row r="89172" spans="1:6" x14ac:dyDescent="0.25">
      <c r="A89172"/>
      <c r="B89172"/>
      <c r="C89172"/>
      <c r="E89172"/>
      <c r="F89172"/>
    </row>
    <row r="89173" spans="1:6" x14ac:dyDescent="0.25">
      <c r="A89173"/>
      <c r="B89173"/>
      <c r="C89173"/>
      <c r="E89173"/>
      <c r="F89173"/>
    </row>
    <row r="89174" spans="1:6" x14ac:dyDescent="0.25">
      <c r="A89174"/>
      <c r="B89174"/>
      <c r="C89174"/>
      <c r="E89174"/>
      <c r="F89174"/>
    </row>
    <row r="89175" spans="1:6" x14ac:dyDescent="0.25">
      <c r="A89175"/>
      <c r="B89175"/>
      <c r="C89175"/>
      <c r="E89175"/>
      <c r="F89175"/>
    </row>
    <row r="89176" spans="1:6" x14ac:dyDescent="0.25">
      <c r="A89176"/>
      <c r="B89176"/>
      <c r="C89176"/>
      <c r="E89176"/>
      <c r="F89176"/>
    </row>
    <row r="89177" spans="1:6" x14ac:dyDescent="0.25">
      <c r="A89177"/>
      <c r="B89177"/>
      <c r="C89177"/>
      <c r="E89177"/>
      <c r="F89177"/>
    </row>
    <row r="89178" spans="1:6" x14ac:dyDescent="0.25">
      <c r="A89178"/>
      <c r="B89178"/>
      <c r="C89178"/>
      <c r="E89178"/>
      <c r="F89178"/>
    </row>
    <row r="89179" spans="1:6" x14ac:dyDescent="0.25">
      <c r="A89179"/>
      <c r="B89179"/>
      <c r="C89179"/>
      <c r="E89179"/>
      <c r="F89179"/>
    </row>
    <row r="89180" spans="1:6" x14ac:dyDescent="0.25">
      <c r="A89180"/>
      <c r="B89180"/>
      <c r="C89180"/>
      <c r="E89180"/>
      <c r="F89180"/>
    </row>
    <row r="89181" spans="1:6" x14ac:dyDescent="0.25">
      <c r="A89181"/>
      <c r="B89181"/>
      <c r="C89181"/>
      <c r="E89181"/>
      <c r="F89181"/>
    </row>
    <row r="89182" spans="1:6" x14ac:dyDescent="0.25">
      <c r="A89182"/>
      <c r="B89182"/>
      <c r="C89182"/>
      <c r="E89182"/>
      <c r="F89182"/>
    </row>
    <row r="89183" spans="1:6" x14ac:dyDescent="0.25">
      <c r="A89183"/>
      <c r="B89183"/>
      <c r="C89183"/>
      <c r="E89183"/>
      <c r="F89183"/>
    </row>
    <row r="89184" spans="1:6" x14ac:dyDescent="0.25">
      <c r="A89184"/>
      <c r="B89184"/>
      <c r="C89184"/>
      <c r="E89184"/>
      <c r="F89184"/>
    </row>
    <row r="89185" spans="1:6" x14ac:dyDescent="0.25">
      <c r="A89185"/>
      <c r="B89185"/>
      <c r="C89185"/>
      <c r="E89185"/>
      <c r="F89185"/>
    </row>
    <row r="89186" spans="1:6" x14ac:dyDescent="0.25">
      <c r="A89186"/>
      <c r="B89186"/>
      <c r="C89186"/>
      <c r="E89186"/>
      <c r="F89186"/>
    </row>
    <row r="89187" spans="1:6" x14ac:dyDescent="0.25">
      <c r="A89187"/>
      <c r="B89187"/>
      <c r="C89187"/>
      <c r="E89187"/>
      <c r="F89187"/>
    </row>
    <row r="89188" spans="1:6" x14ac:dyDescent="0.25">
      <c r="A89188"/>
      <c r="B89188"/>
      <c r="C89188"/>
      <c r="E89188"/>
      <c r="F89188"/>
    </row>
    <row r="89189" spans="1:6" x14ac:dyDescent="0.25">
      <c r="A89189"/>
      <c r="B89189"/>
      <c r="C89189"/>
      <c r="E89189"/>
      <c r="F89189"/>
    </row>
    <row r="89190" spans="1:6" x14ac:dyDescent="0.25">
      <c r="A89190"/>
      <c r="B89190"/>
      <c r="C89190"/>
      <c r="E89190"/>
      <c r="F89190"/>
    </row>
    <row r="89191" spans="1:6" x14ac:dyDescent="0.25">
      <c r="A89191"/>
      <c r="B89191"/>
      <c r="C89191"/>
      <c r="E89191"/>
      <c r="F89191"/>
    </row>
    <row r="89192" spans="1:6" x14ac:dyDescent="0.25">
      <c r="A89192"/>
      <c r="B89192"/>
      <c r="C89192"/>
      <c r="E89192"/>
      <c r="F89192"/>
    </row>
    <row r="89193" spans="1:6" x14ac:dyDescent="0.25">
      <c r="A89193"/>
      <c r="B89193"/>
      <c r="C89193"/>
      <c r="E89193"/>
      <c r="F89193"/>
    </row>
    <row r="89194" spans="1:6" x14ac:dyDescent="0.25">
      <c r="A89194"/>
      <c r="B89194"/>
      <c r="C89194"/>
      <c r="E89194"/>
      <c r="F89194"/>
    </row>
    <row r="89195" spans="1:6" x14ac:dyDescent="0.25">
      <c r="A89195"/>
      <c r="B89195"/>
      <c r="C89195"/>
      <c r="E89195"/>
      <c r="F89195"/>
    </row>
    <row r="89196" spans="1:6" x14ac:dyDescent="0.25">
      <c r="A89196"/>
      <c r="B89196"/>
      <c r="C89196"/>
      <c r="E89196"/>
      <c r="F89196"/>
    </row>
    <row r="89197" spans="1:6" x14ac:dyDescent="0.25">
      <c r="A89197"/>
      <c r="B89197"/>
      <c r="C89197"/>
      <c r="E89197"/>
      <c r="F89197"/>
    </row>
    <row r="89198" spans="1:6" x14ac:dyDescent="0.25">
      <c r="A89198"/>
      <c r="B89198"/>
      <c r="C89198"/>
      <c r="E89198"/>
      <c r="F89198"/>
    </row>
    <row r="89199" spans="1:6" x14ac:dyDescent="0.25">
      <c r="A89199"/>
      <c r="B89199"/>
      <c r="C89199"/>
      <c r="E89199"/>
      <c r="F89199"/>
    </row>
    <row r="89200" spans="1:6" x14ac:dyDescent="0.25">
      <c r="A89200"/>
      <c r="B89200"/>
      <c r="C89200"/>
      <c r="E89200"/>
      <c r="F89200"/>
    </row>
    <row r="89201" spans="1:6" x14ac:dyDescent="0.25">
      <c r="A89201"/>
      <c r="B89201"/>
      <c r="C89201"/>
      <c r="E89201"/>
      <c r="F89201"/>
    </row>
    <row r="89202" spans="1:6" x14ac:dyDescent="0.25">
      <c r="A89202"/>
      <c r="B89202"/>
      <c r="C89202"/>
      <c r="E89202"/>
      <c r="F89202"/>
    </row>
    <row r="89203" spans="1:6" x14ac:dyDescent="0.25">
      <c r="A89203"/>
      <c r="B89203"/>
      <c r="C89203"/>
      <c r="E89203"/>
      <c r="F89203"/>
    </row>
    <row r="89204" spans="1:6" x14ac:dyDescent="0.25">
      <c r="A89204"/>
      <c r="B89204"/>
      <c r="C89204"/>
      <c r="E89204"/>
      <c r="F89204"/>
    </row>
    <row r="89205" spans="1:6" x14ac:dyDescent="0.25">
      <c r="A89205"/>
      <c r="B89205"/>
      <c r="C89205"/>
      <c r="E89205"/>
      <c r="F89205"/>
    </row>
    <row r="89206" spans="1:6" x14ac:dyDescent="0.25">
      <c r="A89206"/>
      <c r="B89206"/>
      <c r="C89206"/>
      <c r="E89206"/>
      <c r="F89206"/>
    </row>
    <row r="89207" spans="1:6" x14ac:dyDescent="0.25">
      <c r="A89207"/>
      <c r="B89207"/>
      <c r="C89207"/>
      <c r="E89207"/>
      <c r="F89207"/>
    </row>
    <row r="89208" spans="1:6" x14ac:dyDescent="0.25">
      <c r="A89208"/>
      <c r="B89208"/>
      <c r="C89208"/>
      <c r="E89208"/>
      <c r="F89208"/>
    </row>
    <row r="89209" spans="1:6" x14ac:dyDescent="0.25">
      <c r="A89209"/>
      <c r="B89209"/>
      <c r="C89209"/>
      <c r="E89209"/>
      <c r="F89209"/>
    </row>
    <row r="89210" spans="1:6" x14ac:dyDescent="0.25">
      <c r="A89210"/>
      <c r="B89210"/>
      <c r="C89210"/>
      <c r="E89210"/>
      <c r="F89210"/>
    </row>
    <row r="89211" spans="1:6" x14ac:dyDescent="0.25">
      <c r="A89211"/>
      <c r="B89211"/>
      <c r="C89211"/>
      <c r="E89211"/>
      <c r="F89211"/>
    </row>
    <row r="89212" spans="1:6" x14ac:dyDescent="0.25">
      <c r="A89212"/>
      <c r="B89212"/>
      <c r="C89212"/>
      <c r="E89212"/>
      <c r="F89212"/>
    </row>
    <row r="89213" spans="1:6" x14ac:dyDescent="0.25">
      <c r="A89213"/>
      <c r="B89213"/>
      <c r="C89213"/>
      <c r="E89213"/>
      <c r="F89213"/>
    </row>
    <row r="89214" spans="1:6" x14ac:dyDescent="0.25">
      <c r="A89214"/>
      <c r="B89214"/>
      <c r="C89214"/>
      <c r="E89214"/>
      <c r="F89214"/>
    </row>
    <row r="89215" spans="1:6" x14ac:dyDescent="0.25">
      <c r="A89215"/>
      <c r="B89215"/>
      <c r="C89215"/>
      <c r="E89215"/>
      <c r="F89215"/>
    </row>
    <row r="89216" spans="1:6" x14ac:dyDescent="0.25">
      <c r="A89216"/>
      <c r="B89216"/>
      <c r="C89216"/>
      <c r="E89216"/>
      <c r="F89216"/>
    </row>
    <row r="89217" spans="1:6" x14ac:dyDescent="0.25">
      <c r="A89217"/>
      <c r="B89217"/>
      <c r="C89217"/>
      <c r="E89217"/>
      <c r="F89217"/>
    </row>
    <row r="89218" spans="1:6" x14ac:dyDescent="0.25">
      <c r="A89218"/>
      <c r="B89218"/>
      <c r="C89218"/>
      <c r="E89218"/>
      <c r="F89218"/>
    </row>
    <row r="89219" spans="1:6" x14ac:dyDescent="0.25">
      <c r="A89219"/>
      <c r="B89219"/>
      <c r="C89219"/>
      <c r="E89219"/>
      <c r="F89219"/>
    </row>
    <row r="89220" spans="1:6" x14ac:dyDescent="0.25">
      <c r="A89220"/>
      <c r="B89220"/>
      <c r="C89220"/>
      <c r="E89220"/>
      <c r="F89220"/>
    </row>
    <row r="89221" spans="1:6" x14ac:dyDescent="0.25">
      <c r="A89221"/>
      <c r="B89221"/>
      <c r="C89221"/>
      <c r="E89221"/>
      <c r="F89221"/>
    </row>
    <row r="89222" spans="1:6" x14ac:dyDescent="0.25">
      <c r="A89222"/>
      <c r="B89222"/>
      <c r="C89222"/>
      <c r="E89222"/>
      <c r="F89222"/>
    </row>
    <row r="89223" spans="1:6" x14ac:dyDescent="0.25">
      <c r="A89223"/>
      <c r="B89223"/>
      <c r="C89223"/>
      <c r="E89223"/>
      <c r="F89223"/>
    </row>
    <row r="89224" spans="1:6" x14ac:dyDescent="0.25">
      <c r="A89224"/>
      <c r="B89224"/>
      <c r="C89224"/>
      <c r="E89224"/>
      <c r="F89224"/>
    </row>
    <row r="89225" spans="1:6" x14ac:dyDescent="0.25">
      <c r="A89225"/>
      <c r="B89225"/>
      <c r="C89225"/>
      <c r="E89225"/>
      <c r="F89225"/>
    </row>
    <row r="89226" spans="1:6" x14ac:dyDescent="0.25">
      <c r="A89226"/>
      <c r="B89226"/>
      <c r="C89226"/>
      <c r="E89226"/>
      <c r="F89226"/>
    </row>
    <row r="89227" spans="1:6" x14ac:dyDescent="0.25">
      <c r="A89227"/>
      <c r="B89227"/>
      <c r="C89227"/>
      <c r="E89227"/>
      <c r="F89227"/>
    </row>
    <row r="89228" spans="1:6" x14ac:dyDescent="0.25">
      <c r="A89228"/>
      <c r="B89228"/>
      <c r="C89228"/>
      <c r="E89228"/>
      <c r="F89228"/>
    </row>
    <row r="89229" spans="1:6" x14ac:dyDescent="0.25">
      <c r="A89229"/>
      <c r="B89229"/>
      <c r="C89229"/>
      <c r="E89229"/>
      <c r="F89229"/>
    </row>
    <row r="89230" spans="1:6" x14ac:dyDescent="0.25">
      <c r="A89230"/>
      <c r="B89230"/>
      <c r="C89230"/>
      <c r="E89230"/>
      <c r="F89230"/>
    </row>
    <row r="89231" spans="1:6" x14ac:dyDescent="0.25">
      <c r="A89231"/>
      <c r="B89231"/>
      <c r="C89231"/>
      <c r="E89231"/>
      <c r="F89231"/>
    </row>
    <row r="89232" spans="1:6" x14ac:dyDescent="0.25">
      <c r="A89232"/>
      <c r="B89232"/>
      <c r="C89232"/>
      <c r="E89232"/>
      <c r="F89232"/>
    </row>
    <row r="89233" spans="1:6" x14ac:dyDescent="0.25">
      <c r="A89233"/>
      <c r="B89233"/>
      <c r="C89233"/>
      <c r="E89233"/>
      <c r="F89233"/>
    </row>
    <row r="89234" spans="1:6" x14ac:dyDescent="0.25">
      <c r="A89234"/>
      <c r="B89234"/>
      <c r="C89234"/>
      <c r="E89234"/>
      <c r="F89234"/>
    </row>
    <row r="89235" spans="1:6" x14ac:dyDescent="0.25">
      <c r="A89235"/>
      <c r="B89235"/>
      <c r="C89235"/>
      <c r="E89235"/>
      <c r="F89235"/>
    </row>
    <row r="89236" spans="1:6" x14ac:dyDescent="0.25">
      <c r="A89236"/>
      <c r="B89236"/>
      <c r="C89236"/>
      <c r="E89236"/>
      <c r="F89236"/>
    </row>
    <row r="89237" spans="1:6" x14ac:dyDescent="0.25">
      <c r="A89237"/>
      <c r="B89237"/>
      <c r="C89237"/>
      <c r="E89237"/>
      <c r="F89237"/>
    </row>
    <row r="89238" spans="1:6" x14ac:dyDescent="0.25">
      <c r="A89238"/>
      <c r="B89238"/>
      <c r="C89238"/>
      <c r="E89238"/>
      <c r="F89238"/>
    </row>
    <row r="89239" spans="1:6" x14ac:dyDescent="0.25">
      <c r="A89239"/>
      <c r="B89239"/>
      <c r="C89239"/>
      <c r="E89239"/>
      <c r="F89239"/>
    </row>
    <row r="89240" spans="1:6" x14ac:dyDescent="0.25">
      <c r="A89240"/>
      <c r="B89240"/>
      <c r="C89240"/>
      <c r="E89240"/>
      <c r="F89240"/>
    </row>
    <row r="89241" spans="1:6" x14ac:dyDescent="0.25">
      <c r="A89241"/>
      <c r="B89241"/>
      <c r="C89241"/>
      <c r="E89241"/>
      <c r="F89241"/>
    </row>
    <row r="89242" spans="1:6" x14ac:dyDescent="0.25">
      <c r="A89242"/>
      <c r="B89242"/>
      <c r="C89242"/>
      <c r="E89242"/>
      <c r="F89242"/>
    </row>
    <row r="89243" spans="1:6" x14ac:dyDescent="0.25">
      <c r="A89243"/>
      <c r="B89243"/>
      <c r="C89243"/>
      <c r="E89243"/>
      <c r="F89243"/>
    </row>
    <row r="89244" spans="1:6" x14ac:dyDescent="0.25">
      <c r="A89244"/>
      <c r="B89244"/>
      <c r="C89244"/>
      <c r="E89244"/>
      <c r="F89244"/>
    </row>
    <row r="89245" spans="1:6" x14ac:dyDescent="0.25">
      <c r="A89245"/>
      <c r="B89245"/>
      <c r="C89245"/>
      <c r="E89245"/>
      <c r="F89245"/>
    </row>
    <row r="89246" spans="1:6" x14ac:dyDescent="0.25">
      <c r="A89246"/>
      <c r="B89246"/>
      <c r="C89246"/>
      <c r="E89246"/>
      <c r="F89246"/>
    </row>
    <row r="89247" spans="1:6" x14ac:dyDescent="0.25">
      <c r="A89247"/>
      <c r="B89247"/>
      <c r="C89247"/>
      <c r="E89247"/>
      <c r="F89247"/>
    </row>
    <row r="89248" spans="1:6" x14ac:dyDescent="0.25">
      <c r="A89248"/>
      <c r="B89248"/>
      <c r="C89248"/>
      <c r="E89248"/>
      <c r="F89248"/>
    </row>
    <row r="89249" spans="1:6" x14ac:dyDescent="0.25">
      <c r="A89249"/>
      <c r="B89249"/>
      <c r="C89249"/>
      <c r="E89249"/>
      <c r="F89249"/>
    </row>
    <row r="89250" spans="1:6" x14ac:dyDescent="0.25">
      <c r="A89250"/>
      <c r="B89250"/>
      <c r="C89250"/>
      <c r="E89250"/>
      <c r="F89250"/>
    </row>
    <row r="89251" spans="1:6" x14ac:dyDescent="0.25">
      <c r="A89251"/>
      <c r="B89251"/>
      <c r="C89251"/>
      <c r="E89251"/>
      <c r="F89251"/>
    </row>
    <row r="89252" spans="1:6" x14ac:dyDescent="0.25">
      <c r="A89252"/>
      <c r="B89252"/>
      <c r="C89252"/>
      <c r="E89252"/>
      <c r="F89252"/>
    </row>
    <row r="89253" spans="1:6" x14ac:dyDescent="0.25">
      <c r="A89253"/>
      <c r="B89253"/>
      <c r="C89253"/>
      <c r="E89253"/>
      <c r="F89253"/>
    </row>
    <row r="89254" spans="1:6" x14ac:dyDescent="0.25">
      <c r="A89254"/>
      <c r="B89254"/>
      <c r="C89254"/>
      <c r="E89254"/>
      <c r="F89254"/>
    </row>
    <row r="89255" spans="1:6" x14ac:dyDescent="0.25">
      <c r="A89255"/>
      <c r="B89255"/>
      <c r="C89255"/>
      <c r="E89255"/>
      <c r="F89255"/>
    </row>
    <row r="89256" spans="1:6" x14ac:dyDescent="0.25">
      <c r="A89256"/>
      <c r="B89256"/>
      <c r="C89256"/>
      <c r="E89256"/>
      <c r="F89256"/>
    </row>
    <row r="89257" spans="1:6" x14ac:dyDescent="0.25">
      <c r="A89257"/>
      <c r="B89257"/>
      <c r="C89257"/>
      <c r="E89257"/>
      <c r="F89257"/>
    </row>
    <row r="89258" spans="1:6" x14ac:dyDescent="0.25">
      <c r="A89258"/>
      <c r="B89258"/>
      <c r="C89258"/>
      <c r="E89258"/>
      <c r="F89258"/>
    </row>
    <row r="89259" spans="1:6" x14ac:dyDescent="0.25">
      <c r="A89259"/>
      <c r="B89259"/>
      <c r="C89259"/>
      <c r="E89259"/>
      <c r="F89259"/>
    </row>
    <row r="89260" spans="1:6" x14ac:dyDescent="0.25">
      <c r="A89260"/>
      <c r="B89260"/>
      <c r="C89260"/>
      <c r="E89260"/>
      <c r="F89260"/>
    </row>
    <row r="89261" spans="1:6" x14ac:dyDescent="0.25">
      <c r="A89261"/>
      <c r="B89261"/>
      <c r="C89261"/>
      <c r="E89261"/>
      <c r="F89261"/>
    </row>
    <row r="89262" spans="1:6" x14ac:dyDescent="0.25">
      <c r="A89262"/>
      <c r="B89262"/>
      <c r="C89262"/>
      <c r="E89262"/>
      <c r="F89262"/>
    </row>
    <row r="89263" spans="1:6" x14ac:dyDescent="0.25">
      <c r="A89263"/>
      <c r="B89263"/>
      <c r="C89263"/>
      <c r="E89263"/>
      <c r="F89263"/>
    </row>
    <row r="89264" spans="1:6" x14ac:dyDescent="0.25">
      <c r="A89264"/>
      <c r="B89264"/>
      <c r="C89264"/>
      <c r="E89264"/>
      <c r="F89264"/>
    </row>
    <row r="89265" spans="1:6" x14ac:dyDescent="0.25">
      <c r="A89265"/>
      <c r="B89265"/>
      <c r="C89265"/>
      <c r="E89265"/>
      <c r="F89265"/>
    </row>
    <row r="89266" spans="1:6" x14ac:dyDescent="0.25">
      <c r="A89266"/>
      <c r="B89266"/>
      <c r="C89266"/>
      <c r="E89266"/>
      <c r="F89266"/>
    </row>
    <row r="89267" spans="1:6" x14ac:dyDescent="0.25">
      <c r="A89267"/>
      <c r="B89267"/>
      <c r="C89267"/>
      <c r="E89267"/>
      <c r="F89267"/>
    </row>
    <row r="89268" spans="1:6" x14ac:dyDescent="0.25">
      <c r="A89268"/>
      <c r="B89268"/>
      <c r="C89268"/>
      <c r="E89268"/>
      <c r="F89268"/>
    </row>
    <row r="89269" spans="1:6" x14ac:dyDescent="0.25">
      <c r="A89269"/>
      <c r="B89269"/>
      <c r="C89269"/>
      <c r="E89269"/>
      <c r="F89269"/>
    </row>
    <row r="89270" spans="1:6" x14ac:dyDescent="0.25">
      <c r="A89270"/>
      <c r="B89270"/>
      <c r="C89270"/>
      <c r="E89270"/>
      <c r="F89270"/>
    </row>
    <row r="89271" spans="1:6" x14ac:dyDescent="0.25">
      <c r="A89271"/>
      <c r="B89271"/>
      <c r="C89271"/>
      <c r="E89271"/>
      <c r="F89271"/>
    </row>
    <row r="89272" spans="1:6" x14ac:dyDescent="0.25">
      <c r="A89272"/>
      <c r="B89272"/>
      <c r="C89272"/>
      <c r="E89272"/>
      <c r="F89272"/>
    </row>
    <row r="89273" spans="1:6" x14ac:dyDescent="0.25">
      <c r="A89273"/>
      <c r="B89273"/>
      <c r="C89273"/>
      <c r="E89273"/>
      <c r="F89273"/>
    </row>
    <row r="89274" spans="1:6" x14ac:dyDescent="0.25">
      <c r="A89274"/>
      <c r="B89274"/>
      <c r="C89274"/>
      <c r="E89274"/>
      <c r="F89274"/>
    </row>
    <row r="89275" spans="1:6" x14ac:dyDescent="0.25">
      <c r="A89275"/>
      <c r="B89275"/>
      <c r="C89275"/>
      <c r="E89275"/>
      <c r="F89275"/>
    </row>
    <row r="89276" spans="1:6" x14ac:dyDescent="0.25">
      <c r="A89276"/>
      <c r="B89276"/>
      <c r="C89276"/>
      <c r="E89276"/>
      <c r="F89276"/>
    </row>
    <row r="89277" spans="1:6" x14ac:dyDescent="0.25">
      <c r="A89277"/>
      <c r="B89277"/>
      <c r="C89277"/>
      <c r="E89277"/>
      <c r="F89277"/>
    </row>
    <row r="89278" spans="1:6" x14ac:dyDescent="0.25">
      <c r="A89278"/>
      <c r="B89278"/>
      <c r="C89278"/>
      <c r="E89278"/>
      <c r="F89278"/>
    </row>
    <row r="89279" spans="1:6" x14ac:dyDescent="0.25">
      <c r="A89279"/>
      <c r="B89279"/>
      <c r="C89279"/>
      <c r="E89279"/>
      <c r="F89279"/>
    </row>
    <row r="89280" spans="1:6" x14ac:dyDescent="0.25">
      <c r="A89280"/>
      <c r="B89280"/>
      <c r="C89280"/>
      <c r="E89280"/>
      <c r="F89280"/>
    </row>
    <row r="89281" spans="1:6" x14ac:dyDescent="0.25">
      <c r="A89281"/>
      <c r="B89281"/>
      <c r="C89281"/>
      <c r="E89281"/>
      <c r="F89281"/>
    </row>
    <row r="89282" spans="1:6" x14ac:dyDescent="0.25">
      <c r="A89282"/>
      <c r="B89282"/>
      <c r="C89282"/>
      <c r="E89282"/>
      <c r="F89282"/>
    </row>
    <row r="89283" spans="1:6" x14ac:dyDescent="0.25">
      <c r="A89283"/>
      <c r="B89283"/>
      <c r="C89283"/>
      <c r="E89283"/>
      <c r="F89283"/>
    </row>
    <row r="89284" spans="1:6" x14ac:dyDescent="0.25">
      <c r="A89284"/>
      <c r="B89284"/>
      <c r="C89284"/>
      <c r="E89284"/>
      <c r="F89284"/>
    </row>
    <row r="89285" spans="1:6" x14ac:dyDescent="0.25">
      <c r="A89285"/>
      <c r="B89285"/>
      <c r="C89285"/>
      <c r="E89285"/>
      <c r="F89285"/>
    </row>
    <row r="89286" spans="1:6" x14ac:dyDescent="0.25">
      <c r="A89286"/>
      <c r="B89286"/>
      <c r="C89286"/>
      <c r="E89286"/>
      <c r="F89286"/>
    </row>
    <row r="89287" spans="1:6" x14ac:dyDescent="0.25">
      <c r="A89287"/>
      <c r="B89287"/>
      <c r="C89287"/>
      <c r="E89287"/>
      <c r="F89287"/>
    </row>
    <row r="89288" spans="1:6" x14ac:dyDescent="0.25">
      <c r="A89288"/>
      <c r="B89288"/>
      <c r="C89288"/>
      <c r="E89288"/>
      <c r="F89288"/>
    </row>
    <row r="89289" spans="1:6" x14ac:dyDescent="0.25">
      <c r="A89289"/>
      <c r="B89289"/>
      <c r="C89289"/>
      <c r="E89289"/>
      <c r="F89289"/>
    </row>
    <row r="89290" spans="1:6" x14ac:dyDescent="0.25">
      <c r="A89290"/>
      <c r="B89290"/>
      <c r="C89290"/>
      <c r="E89290"/>
      <c r="F89290"/>
    </row>
    <row r="89291" spans="1:6" x14ac:dyDescent="0.25">
      <c r="A89291"/>
      <c r="B89291"/>
      <c r="C89291"/>
      <c r="E89291"/>
      <c r="F89291"/>
    </row>
    <row r="89292" spans="1:6" x14ac:dyDescent="0.25">
      <c r="A89292"/>
      <c r="B89292"/>
      <c r="C89292"/>
      <c r="E89292"/>
      <c r="F89292"/>
    </row>
    <row r="89293" spans="1:6" x14ac:dyDescent="0.25">
      <c r="A89293"/>
      <c r="B89293"/>
      <c r="C89293"/>
      <c r="E89293"/>
      <c r="F89293"/>
    </row>
    <row r="89294" spans="1:6" x14ac:dyDescent="0.25">
      <c r="A89294"/>
      <c r="B89294"/>
      <c r="C89294"/>
      <c r="E89294"/>
      <c r="F89294"/>
    </row>
    <row r="89295" spans="1:6" x14ac:dyDescent="0.25">
      <c r="A89295"/>
      <c r="B89295"/>
      <c r="C89295"/>
      <c r="E89295"/>
      <c r="F89295"/>
    </row>
    <row r="89296" spans="1:6" x14ac:dyDescent="0.25">
      <c r="A89296"/>
      <c r="B89296"/>
      <c r="C89296"/>
      <c r="E89296"/>
      <c r="F89296"/>
    </row>
    <row r="89297" spans="1:6" x14ac:dyDescent="0.25">
      <c r="A89297"/>
      <c r="B89297"/>
      <c r="C89297"/>
      <c r="E89297"/>
      <c r="F89297"/>
    </row>
    <row r="89298" spans="1:6" x14ac:dyDescent="0.25">
      <c r="A89298"/>
      <c r="B89298"/>
      <c r="C89298"/>
      <c r="E89298"/>
      <c r="F89298"/>
    </row>
    <row r="89299" spans="1:6" x14ac:dyDescent="0.25">
      <c r="A89299"/>
      <c r="B89299"/>
      <c r="C89299"/>
      <c r="E89299"/>
      <c r="F89299"/>
    </row>
    <row r="89300" spans="1:6" x14ac:dyDescent="0.25">
      <c r="A89300"/>
      <c r="B89300"/>
      <c r="C89300"/>
      <c r="E89300"/>
      <c r="F89300"/>
    </row>
    <row r="89301" spans="1:6" x14ac:dyDescent="0.25">
      <c r="A89301"/>
      <c r="B89301"/>
      <c r="C89301"/>
      <c r="E89301"/>
      <c r="F89301"/>
    </row>
    <row r="89302" spans="1:6" x14ac:dyDescent="0.25">
      <c r="A89302"/>
      <c r="B89302"/>
      <c r="C89302"/>
      <c r="E89302"/>
      <c r="F89302"/>
    </row>
    <row r="89303" spans="1:6" x14ac:dyDescent="0.25">
      <c r="A89303"/>
      <c r="B89303"/>
      <c r="C89303"/>
      <c r="E89303"/>
      <c r="F89303"/>
    </row>
    <row r="89304" spans="1:6" x14ac:dyDescent="0.25">
      <c r="A89304"/>
      <c r="B89304"/>
      <c r="C89304"/>
      <c r="E89304"/>
      <c r="F89304"/>
    </row>
    <row r="89305" spans="1:6" x14ac:dyDescent="0.25">
      <c r="A89305"/>
      <c r="B89305"/>
      <c r="C89305"/>
      <c r="E89305"/>
      <c r="F89305"/>
    </row>
    <row r="89306" spans="1:6" x14ac:dyDescent="0.25">
      <c r="A89306"/>
      <c r="B89306"/>
      <c r="C89306"/>
      <c r="E89306"/>
      <c r="F89306"/>
    </row>
    <row r="89307" spans="1:6" x14ac:dyDescent="0.25">
      <c r="A89307"/>
      <c r="B89307"/>
      <c r="C89307"/>
      <c r="E89307"/>
      <c r="F89307"/>
    </row>
    <row r="89308" spans="1:6" x14ac:dyDescent="0.25">
      <c r="A89308"/>
      <c r="B89308"/>
      <c r="C89308"/>
      <c r="E89308"/>
      <c r="F89308"/>
    </row>
    <row r="89309" spans="1:6" x14ac:dyDescent="0.25">
      <c r="A89309"/>
      <c r="B89309"/>
      <c r="C89309"/>
      <c r="E89309"/>
      <c r="F89309"/>
    </row>
    <row r="89310" spans="1:6" x14ac:dyDescent="0.25">
      <c r="A89310"/>
      <c r="B89310"/>
      <c r="C89310"/>
      <c r="E89310"/>
      <c r="F89310"/>
    </row>
    <row r="89311" spans="1:6" x14ac:dyDescent="0.25">
      <c r="A89311"/>
      <c r="B89311"/>
      <c r="C89311"/>
      <c r="E89311"/>
      <c r="F89311"/>
    </row>
    <row r="89312" spans="1:6" x14ac:dyDescent="0.25">
      <c r="A89312"/>
      <c r="B89312"/>
      <c r="C89312"/>
      <c r="E89312"/>
      <c r="F89312"/>
    </row>
    <row r="89313" spans="1:6" x14ac:dyDescent="0.25">
      <c r="A89313"/>
      <c r="B89313"/>
      <c r="C89313"/>
      <c r="E89313"/>
      <c r="F89313"/>
    </row>
    <row r="89314" spans="1:6" x14ac:dyDescent="0.25">
      <c r="A89314"/>
      <c r="B89314"/>
      <c r="C89314"/>
      <c r="E89314"/>
      <c r="F89314"/>
    </row>
    <row r="89315" spans="1:6" x14ac:dyDescent="0.25">
      <c r="A89315"/>
      <c r="B89315"/>
      <c r="C89315"/>
      <c r="E89315"/>
      <c r="F89315"/>
    </row>
    <row r="89316" spans="1:6" x14ac:dyDescent="0.25">
      <c r="A89316"/>
      <c r="B89316"/>
      <c r="C89316"/>
      <c r="E89316"/>
      <c r="F89316"/>
    </row>
    <row r="89317" spans="1:6" x14ac:dyDescent="0.25">
      <c r="A89317"/>
      <c r="B89317"/>
      <c r="C89317"/>
      <c r="E89317"/>
      <c r="F89317"/>
    </row>
    <row r="89318" spans="1:6" x14ac:dyDescent="0.25">
      <c r="A89318"/>
      <c r="B89318"/>
      <c r="C89318"/>
      <c r="E89318"/>
      <c r="F89318"/>
    </row>
    <row r="89319" spans="1:6" x14ac:dyDescent="0.25">
      <c r="A89319"/>
      <c r="B89319"/>
      <c r="C89319"/>
      <c r="E89319"/>
      <c r="F89319"/>
    </row>
    <row r="89320" spans="1:6" x14ac:dyDescent="0.25">
      <c r="A89320"/>
      <c r="B89320"/>
      <c r="C89320"/>
      <c r="E89320"/>
      <c r="F89320"/>
    </row>
    <row r="89321" spans="1:6" x14ac:dyDescent="0.25">
      <c r="A89321"/>
      <c r="B89321"/>
      <c r="C89321"/>
      <c r="E89321"/>
      <c r="F89321"/>
    </row>
    <row r="89322" spans="1:6" x14ac:dyDescent="0.25">
      <c r="A89322"/>
      <c r="B89322"/>
      <c r="C89322"/>
      <c r="E89322"/>
      <c r="F89322"/>
    </row>
    <row r="89323" spans="1:6" x14ac:dyDescent="0.25">
      <c r="A89323"/>
      <c r="B89323"/>
      <c r="C89323"/>
      <c r="E89323"/>
      <c r="F89323"/>
    </row>
    <row r="89324" spans="1:6" x14ac:dyDescent="0.25">
      <c r="A89324"/>
      <c r="B89324"/>
      <c r="C89324"/>
      <c r="E89324"/>
      <c r="F89324"/>
    </row>
    <row r="89325" spans="1:6" x14ac:dyDescent="0.25">
      <c r="A89325"/>
      <c r="B89325"/>
      <c r="C89325"/>
      <c r="E89325"/>
      <c r="F89325"/>
    </row>
    <row r="89326" spans="1:6" x14ac:dyDescent="0.25">
      <c r="A89326"/>
      <c r="B89326"/>
      <c r="C89326"/>
      <c r="E89326"/>
      <c r="F89326"/>
    </row>
    <row r="89327" spans="1:6" x14ac:dyDescent="0.25">
      <c r="A89327"/>
      <c r="B89327"/>
      <c r="C89327"/>
      <c r="E89327"/>
      <c r="F89327"/>
    </row>
    <row r="89328" spans="1:6" x14ac:dyDescent="0.25">
      <c r="A89328"/>
      <c r="B89328"/>
      <c r="C89328"/>
      <c r="E89328"/>
      <c r="F89328"/>
    </row>
    <row r="89329" spans="1:6" x14ac:dyDescent="0.25">
      <c r="A89329"/>
      <c r="B89329"/>
      <c r="C89329"/>
      <c r="E89329"/>
      <c r="F89329"/>
    </row>
    <row r="89330" spans="1:6" x14ac:dyDescent="0.25">
      <c r="A89330"/>
      <c r="B89330"/>
      <c r="C89330"/>
      <c r="E89330"/>
      <c r="F89330"/>
    </row>
    <row r="89331" spans="1:6" x14ac:dyDescent="0.25">
      <c r="A89331"/>
      <c r="B89331"/>
      <c r="C89331"/>
      <c r="E89331"/>
      <c r="F89331"/>
    </row>
    <row r="89332" spans="1:6" x14ac:dyDescent="0.25">
      <c r="A89332"/>
      <c r="B89332"/>
      <c r="C89332"/>
      <c r="E89332"/>
      <c r="F89332"/>
    </row>
    <row r="89333" spans="1:6" x14ac:dyDescent="0.25">
      <c r="A89333"/>
      <c r="B89333"/>
      <c r="C89333"/>
      <c r="E89333"/>
      <c r="F89333"/>
    </row>
    <row r="89334" spans="1:6" x14ac:dyDescent="0.25">
      <c r="A89334"/>
      <c r="B89334"/>
      <c r="C89334"/>
      <c r="E89334"/>
      <c r="F89334"/>
    </row>
    <row r="89335" spans="1:6" x14ac:dyDescent="0.25">
      <c r="A89335"/>
      <c r="B89335"/>
      <c r="C89335"/>
      <c r="E89335"/>
      <c r="F89335"/>
    </row>
    <row r="89336" spans="1:6" x14ac:dyDescent="0.25">
      <c r="A89336"/>
      <c r="B89336"/>
      <c r="C89336"/>
      <c r="E89336"/>
      <c r="F89336"/>
    </row>
    <row r="89337" spans="1:6" x14ac:dyDescent="0.25">
      <c r="A89337"/>
      <c r="B89337"/>
      <c r="C89337"/>
      <c r="E89337"/>
      <c r="F89337"/>
    </row>
    <row r="89338" spans="1:6" x14ac:dyDescent="0.25">
      <c r="A89338"/>
      <c r="B89338"/>
      <c r="C89338"/>
      <c r="E89338"/>
      <c r="F89338"/>
    </row>
    <row r="89339" spans="1:6" x14ac:dyDescent="0.25">
      <c r="A89339"/>
      <c r="B89339"/>
      <c r="C89339"/>
      <c r="E89339"/>
      <c r="F89339"/>
    </row>
    <row r="89340" spans="1:6" x14ac:dyDescent="0.25">
      <c r="A89340"/>
      <c r="B89340"/>
      <c r="C89340"/>
      <c r="E89340"/>
      <c r="F89340"/>
    </row>
    <row r="89341" spans="1:6" x14ac:dyDescent="0.25">
      <c r="A89341"/>
      <c r="B89341"/>
      <c r="C89341"/>
      <c r="E89341"/>
      <c r="F89341"/>
    </row>
    <row r="89342" spans="1:6" x14ac:dyDescent="0.25">
      <c r="A89342"/>
      <c r="B89342"/>
      <c r="C89342"/>
      <c r="E89342"/>
      <c r="F89342"/>
    </row>
    <row r="89343" spans="1:6" x14ac:dyDescent="0.25">
      <c r="A89343"/>
      <c r="B89343"/>
      <c r="C89343"/>
      <c r="E89343"/>
      <c r="F89343"/>
    </row>
    <row r="89344" spans="1:6" x14ac:dyDescent="0.25">
      <c r="A89344"/>
      <c r="B89344"/>
      <c r="C89344"/>
      <c r="E89344"/>
      <c r="F89344"/>
    </row>
    <row r="89345" spans="1:6" x14ac:dyDescent="0.25">
      <c r="A89345"/>
      <c r="B89345"/>
      <c r="C89345"/>
      <c r="E89345"/>
      <c r="F89345"/>
    </row>
    <row r="89346" spans="1:6" x14ac:dyDescent="0.25">
      <c r="A89346"/>
      <c r="B89346"/>
      <c r="C89346"/>
      <c r="E89346"/>
      <c r="F89346"/>
    </row>
    <row r="89347" spans="1:6" x14ac:dyDescent="0.25">
      <c r="A89347"/>
      <c r="B89347"/>
      <c r="C89347"/>
      <c r="E89347"/>
      <c r="F89347"/>
    </row>
    <row r="89348" spans="1:6" x14ac:dyDescent="0.25">
      <c r="A89348"/>
      <c r="B89348"/>
      <c r="C89348"/>
      <c r="E89348"/>
      <c r="F89348"/>
    </row>
    <row r="89349" spans="1:6" x14ac:dyDescent="0.25">
      <c r="A89349"/>
      <c r="B89349"/>
      <c r="C89349"/>
      <c r="E89349"/>
      <c r="F89349"/>
    </row>
    <row r="89350" spans="1:6" x14ac:dyDescent="0.25">
      <c r="A89350"/>
      <c r="B89350"/>
      <c r="C89350"/>
      <c r="E89350"/>
      <c r="F89350"/>
    </row>
    <row r="89351" spans="1:6" x14ac:dyDescent="0.25">
      <c r="A89351"/>
      <c r="B89351"/>
      <c r="C89351"/>
      <c r="E89351"/>
      <c r="F89351"/>
    </row>
    <row r="89352" spans="1:6" x14ac:dyDescent="0.25">
      <c r="A89352"/>
      <c r="B89352"/>
      <c r="C89352"/>
      <c r="E89352"/>
      <c r="F89352"/>
    </row>
    <row r="89353" spans="1:6" x14ac:dyDescent="0.25">
      <c r="A89353"/>
      <c r="B89353"/>
      <c r="C89353"/>
      <c r="E89353"/>
      <c r="F89353"/>
    </row>
    <row r="89354" spans="1:6" x14ac:dyDescent="0.25">
      <c r="A89354"/>
      <c r="B89354"/>
      <c r="C89354"/>
      <c r="E89354"/>
      <c r="F89354"/>
    </row>
    <row r="89355" spans="1:6" x14ac:dyDescent="0.25">
      <c r="A89355"/>
      <c r="B89355"/>
      <c r="C89355"/>
      <c r="E89355"/>
      <c r="F89355"/>
    </row>
    <row r="89356" spans="1:6" x14ac:dyDescent="0.25">
      <c r="A89356"/>
      <c r="B89356"/>
      <c r="C89356"/>
      <c r="E89356"/>
      <c r="F89356"/>
    </row>
    <row r="89357" spans="1:6" x14ac:dyDescent="0.25">
      <c r="A89357"/>
      <c r="B89357"/>
      <c r="C89357"/>
      <c r="E89357"/>
      <c r="F89357"/>
    </row>
    <row r="89358" spans="1:6" x14ac:dyDescent="0.25">
      <c r="A89358"/>
      <c r="B89358"/>
      <c r="C89358"/>
      <c r="E89358"/>
      <c r="F89358"/>
    </row>
    <row r="89359" spans="1:6" x14ac:dyDescent="0.25">
      <c r="A89359"/>
      <c r="B89359"/>
      <c r="C89359"/>
      <c r="E89359"/>
      <c r="F89359"/>
    </row>
    <row r="89360" spans="1:6" x14ac:dyDescent="0.25">
      <c r="A89360"/>
      <c r="B89360"/>
      <c r="C89360"/>
      <c r="E89360"/>
      <c r="F89360"/>
    </row>
    <row r="89361" spans="1:6" x14ac:dyDescent="0.25">
      <c r="A89361"/>
      <c r="B89361"/>
      <c r="C89361"/>
      <c r="E89361"/>
      <c r="F89361"/>
    </row>
    <row r="89362" spans="1:6" x14ac:dyDescent="0.25">
      <c r="A89362"/>
      <c r="B89362"/>
      <c r="C89362"/>
      <c r="E89362"/>
      <c r="F89362"/>
    </row>
    <row r="89363" spans="1:6" x14ac:dyDescent="0.25">
      <c r="A89363"/>
      <c r="B89363"/>
      <c r="C89363"/>
      <c r="E89363"/>
      <c r="F89363"/>
    </row>
    <row r="89364" spans="1:6" x14ac:dyDescent="0.25">
      <c r="A89364"/>
      <c r="B89364"/>
      <c r="C89364"/>
      <c r="E89364"/>
      <c r="F89364"/>
    </row>
    <row r="89365" spans="1:6" x14ac:dyDescent="0.25">
      <c r="A89365"/>
      <c r="B89365"/>
      <c r="C89365"/>
      <c r="E89365"/>
      <c r="F89365"/>
    </row>
    <row r="89366" spans="1:6" x14ac:dyDescent="0.25">
      <c r="A89366"/>
      <c r="B89366"/>
      <c r="C89366"/>
      <c r="E89366"/>
      <c r="F89366"/>
    </row>
    <row r="89367" spans="1:6" x14ac:dyDescent="0.25">
      <c r="A89367"/>
      <c r="B89367"/>
      <c r="C89367"/>
      <c r="E89367"/>
      <c r="F89367"/>
    </row>
    <row r="89368" spans="1:6" x14ac:dyDescent="0.25">
      <c r="A89368"/>
      <c r="B89368"/>
      <c r="C89368"/>
      <c r="E89368"/>
      <c r="F89368"/>
    </row>
    <row r="89369" spans="1:6" x14ac:dyDescent="0.25">
      <c r="A89369"/>
      <c r="B89369"/>
      <c r="C89369"/>
      <c r="E89369"/>
      <c r="F89369"/>
    </row>
    <row r="89370" spans="1:6" x14ac:dyDescent="0.25">
      <c r="A89370"/>
      <c r="B89370"/>
      <c r="C89370"/>
      <c r="E89370"/>
      <c r="F89370"/>
    </row>
    <row r="89371" spans="1:6" x14ac:dyDescent="0.25">
      <c r="A89371"/>
      <c r="B89371"/>
      <c r="C89371"/>
      <c r="E89371"/>
      <c r="F89371"/>
    </row>
    <row r="89372" spans="1:6" x14ac:dyDescent="0.25">
      <c r="A89372"/>
      <c r="B89372"/>
      <c r="C89372"/>
      <c r="E89372"/>
      <c r="F89372"/>
    </row>
    <row r="89373" spans="1:6" x14ac:dyDescent="0.25">
      <c r="A89373"/>
      <c r="B89373"/>
      <c r="C89373"/>
      <c r="E89373"/>
      <c r="F89373"/>
    </row>
    <row r="89374" spans="1:6" x14ac:dyDescent="0.25">
      <c r="A89374"/>
      <c r="B89374"/>
      <c r="C89374"/>
      <c r="E89374"/>
      <c r="F89374"/>
    </row>
    <row r="89375" spans="1:6" x14ac:dyDescent="0.25">
      <c r="A89375"/>
      <c r="B89375"/>
      <c r="C89375"/>
      <c r="E89375"/>
      <c r="F89375"/>
    </row>
    <row r="89376" spans="1:6" x14ac:dyDescent="0.25">
      <c r="A89376"/>
      <c r="B89376"/>
      <c r="C89376"/>
      <c r="E89376"/>
      <c r="F89376"/>
    </row>
    <row r="89377" spans="1:6" x14ac:dyDescent="0.25">
      <c r="A89377"/>
      <c r="B89377"/>
      <c r="C89377"/>
      <c r="E89377"/>
      <c r="F89377"/>
    </row>
    <row r="89378" spans="1:6" x14ac:dyDescent="0.25">
      <c r="A89378"/>
      <c r="B89378"/>
      <c r="C89378"/>
      <c r="E89378"/>
      <c r="F89378"/>
    </row>
    <row r="89379" spans="1:6" x14ac:dyDescent="0.25">
      <c r="A89379"/>
      <c r="B89379"/>
      <c r="C89379"/>
      <c r="E89379"/>
      <c r="F89379"/>
    </row>
    <row r="89380" spans="1:6" x14ac:dyDescent="0.25">
      <c r="A89380"/>
      <c r="B89380"/>
      <c r="C89380"/>
      <c r="E89380"/>
      <c r="F89380"/>
    </row>
    <row r="89381" spans="1:6" x14ac:dyDescent="0.25">
      <c r="A89381"/>
      <c r="B89381"/>
      <c r="C89381"/>
      <c r="E89381"/>
      <c r="F89381"/>
    </row>
    <row r="89382" spans="1:6" x14ac:dyDescent="0.25">
      <c r="A89382"/>
      <c r="B89382"/>
      <c r="C89382"/>
      <c r="E89382"/>
      <c r="F89382"/>
    </row>
    <row r="89383" spans="1:6" x14ac:dyDescent="0.25">
      <c r="A89383"/>
      <c r="B89383"/>
      <c r="C89383"/>
      <c r="E89383"/>
      <c r="F89383"/>
    </row>
    <row r="89384" spans="1:6" x14ac:dyDescent="0.25">
      <c r="A89384"/>
      <c r="B89384"/>
      <c r="C89384"/>
      <c r="E89384"/>
      <c r="F89384"/>
    </row>
    <row r="89385" spans="1:6" x14ac:dyDescent="0.25">
      <c r="A89385"/>
      <c r="B89385"/>
      <c r="C89385"/>
      <c r="E89385"/>
      <c r="F89385"/>
    </row>
    <row r="89386" spans="1:6" x14ac:dyDescent="0.25">
      <c r="A89386"/>
      <c r="B89386"/>
      <c r="C89386"/>
      <c r="E89386"/>
      <c r="F89386"/>
    </row>
    <row r="89387" spans="1:6" x14ac:dyDescent="0.25">
      <c r="A89387"/>
      <c r="B89387"/>
      <c r="C89387"/>
      <c r="E89387"/>
      <c r="F89387"/>
    </row>
    <row r="89388" spans="1:6" x14ac:dyDescent="0.25">
      <c r="A89388"/>
      <c r="B89388"/>
      <c r="C89388"/>
      <c r="E89388"/>
      <c r="F89388"/>
    </row>
    <row r="89389" spans="1:6" x14ac:dyDescent="0.25">
      <c r="A89389"/>
      <c r="B89389"/>
      <c r="C89389"/>
      <c r="E89389"/>
      <c r="F89389"/>
    </row>
    <row r="89390" spans="1:6" x14ac:dyDescent="0.25">
      <c r="A89390"/>
      <c r="B89390"/>
      <c r="C89390"/>
      <c r="E89390"/>
      <c r="F89390"/>
    </row>
    <row r="89391" spans="1:6" x14ac:dyDescent="0.25">
      <c r="A89391"/>
      <c r="B89391"/>
      <c r="C89391"/>
      <c r="E89391"/>
      <c r="F89391"/>
    </row>
    <row r="89392" spans="1:6" x14ac:dyDescent="0.25">
      <c r="A89392"/>
      <c r="B89392"/>
      <c r="C89392"/>
      <c r="E89392"/>
      <c r="F89392"/>
    </row>
    <row r="89393" spans="1:6" x14ac:dyDescent="0.25">
      <c r="A89393"/>
      <c r="B89393"/>
      <c r="C89393"/>
      <c r="E89393"/>
      <c r="F89393"/>
    </row>
    <row r="89394" spans="1:6" x14ac:dyDescent="0.25">
      <c r="A89394"/>
      <c r="B89394"/>
      <c r="C89394"/>
      <c r="E89394"/>
      <c r="F89394"/>
    </row>
    <row r="89395" spans="1:6" x14ac:dyDescent="0.25">
      <c r="A89395"/>
      <c r="B89395"/>
      <c r="C89395"/>
      <c r="E89395"/>
      <c r="F89395"/>
    </row>
    <row r="89396" spans="1:6" x14ac:dyDescent="0.25">
      <c r="A89396"/>
      <c r="B89396"/>
      <c r="C89396"/>
      <c r="E89396"/>
      <c r="F89396"/>
    </row>
    <row r="89397" spans="1:6" x14ac:dyDescent="0.25">
      <c r="A89397"/>
      <c r="B89397"/>
      <c r="C89397"/>
      <c r="E89397"/>
      <c r="F89397"/>
    </row>
    <row r="89398" spans="1:6" x14ac:dyDescent="0.25">
      <c r="A89398"/>
      <c r="B89398"/>
      <c r="C89398"/>
      <c r="E89398"/>
      <c r="F89398"/>
    </row>
    <row r="89399" spans="1:6" x14ac:dyDescent="0.25">
      <c r="A89399"/>
      <c r="B89399"/>
      <c r="C89399"/>
      <c r="E89399"/>
      <c r="F89399"/>
    </row>
    <row r="89400" spans="1:6" x14ac:dyDescent="0.25">
      <c r="A89400"/>
      <c r="B89400"/>
      <c r="C89400"/>
      <c r="E89400"/>
      <c r="F89400"/>
    </row>
    <row r="89401" spans="1:6" x14ac:dyDescent="0.25">
      <c r="A89401"/>
      <c r="B89401"/>
      <c r="C89401"/>
      <c r="E89401"/>
      <c r="F89401"/>
    </row>
    <row r="89402" spans="1:6" x14ac:dyDescent="0.25">
      <c r="A89402"/>
      <c r="B89402"/>
      <c r="C89402"/>
      <c r="E89402"/>
      <c r="F89402"/>
    </row>
    <row r="89403" spans="1:6" x14ac:dyDescent="0.25">
      <c r="A89403"/>
      <c r="B89403"/>
      <c r="C89403"/>
      <c r="E89403"/>
      <c r="F89403"/>
    </row>
    <row r="89404" spans="1:6" x14ac:dyDescent="0.25">
      <c r="A89404"/>
      <c r="B89404"/>
      <c r="C89404"/>
      <c r="E89404"/>
      <c r="F89404"/>
    </row>
    <row r="89405" spans="1:6" x14ac:dyDescent="0.25">
      <c r="A89405"/>
      <c r="B89405"/>
      <c r="C89405"/>
      <c r="E89405"/>
      <c r="F89405"/>
    </row>
    <row r="89406" spans="1:6" x14ac:dyDescent="0.25">
      <c r="A89406"/>
      <c r="B89406"/>
      <c r="C89406"/>
      <c r="E89406"/>
      <c r="F89406"/>
    </row>
    <row r="89407" spans="1:6" x14ac:dyDescent="0.25">
      <c r="A89407"/>
      <c r="B89407"/>
      <c r="C89407"/>
      <c r="E89407"/>
      <c r="F89407"/>
    </row>
    <row r="89408" spans="1:6" x14ac:dyDescent="0.25">
      <c r="A89408"/>
      <c r="B89408"/>
      <c r="C89408"/>
      <c r="E89408"/>
      <c r="F89408"/>
    </row>
    <row r="89409" spans="1:6" x14ac:dyDescent="0.25">
      <c r="A89409"/>
      <c r="B89409"/>
      <c r="C89409"/>
      <c r="E89409"/>
      <c r="F89409"/>
    </row>
    <row r="89410" spans="1:6" x14ac:dyDescent="0.25">
      <c r="A89410"/>
      <c r="B89410"/>
      <c r="C89410"/>
      <c r="E89410"/>
      <c r="F89410"/>
    </row>
    <row r="89411" spans="1:6" x14ac:dyDescent="0.25">
      <c r="A89411"/>
      <c r="B89411"/>
      <c r="C89411"/>
      <c r="E89411"/>
      <c r="F89411"/>
    </row>
    <row r="89412" spans="1:6" x14ac:dyDescent="0.25">
      <c r="A89412"/>
      <c r="B89412"/>
      <c r="C89412"/>
      <c r="E89412"/>
      <c r="F89412"/>
    </row>
    <row r="89413" spans="1:6" x14ac:dyDescent="0.25">
      <c r="A89413"/>
      <c r="B89413"/>
      <c r="C89413"/>
      <c r="E89413"/>
      <c r="F89413"/>
    </row>
    <row r="89414" spans="1:6" x14ac:dyDescent="0.25">
      <c r="A89414"/>
      <c r="B89414"/>
      <c r="C89414"/>
      <c r="E89414"/>
      <c r="F89414"/>
    </row>
    <row r="89415" spans="1:6" x14ac:dyDescent="0.25">
      <c r="A89415"/>
      <c r="B89415"/>
      <c r="C89415"/>
      <c r="E89415"/>
      <c r="F89415"/>
    </row>
    <row r="89416" spans="1:6" x14ac:dyDescent="0.25">
      <c r="A89416"/>
      <c r="B89416"/>
      <c r="C89416"/>
      <c r="E89416"/>
      <c r="F89416"/>
    </row>
    <row r="89417" spans="1:6" x14ac:dyDescent="0.25">
      <c r="A89417"/>
      <c r="B89417"/>
      <c r="C89417"/>
      <c r="E89417"/>
      <c r="F89417"/>
    </row>
    <row r="89418" spans="1:6" x14ac:dyDescent="0.25">
      <c r="A89418"/>
      <c r="B89418"/>
      <c r="C89418"/>
      <c r="E89418"/>
      <c r="F89418"/>
    </row>
    <row r="89419" spans="1:6" x14ac:dyDescent="0.25">
      <c r="A89419"/>
      <c r="B89419"/>
      <c r="C89419"/>
      <c r="E89419"/>
      <c r="F89419"/>
    </row>
    <row r="89420" spans="1:6" x14ac:dyDescent="0.25">
      <c r="A89420"/>
      <c r="B89420"/>
      <c r="C89420"/>
      <c r="E89420"/>
      <c r="F89420"/>
    </row>
    <row r="89421" spans="1:6" x14ac:dyDescent="0.25">
      <c r="A89421"/>
      <c r="B89421"/>
      <c r="C89421"/>
      <c r="E89421"/>
      <c r="F89421"/>
    </row>
    <row r="89422" spans="1:6" x14ac:dyDescent="0.25">
      <c r="A89422"/>
      <c r="B89422"/>
      <c r="C89422"/>
      <c r="E89422"/>
      <c r="F89422"/>
    </row>
    <row r="89423" spans="1:6" x14ac:dyDescent="0.25">
      <c r="A89423"/>
      <c r="B89423"/>
      <c r="C89423"/>
      <c r="E89423"/>
      <c r="F89423"/>
    </row>
    <row r="89424" spans="1:6" x14ac:dyDescent="0.25">
      <c r="A89424"/>
      <c r="B89424"/>
      <c r="C89424"/>
      <c r="E89424"/>
      <c r="F89424"/>
    </row>
    <row r="89425" spans="1:6" x14ac:dyDescent="0.25">
      <c r="A89425"/>
      <c r="B89425"/>
      <c r="C89425"/>
      <c r="E89425"/>
      <c r="F89425"/>
    </row>
    <row r="89426" spans="1:6" x14ac:dyDescent="0.25">
      <c r="A89426"/>
      <c r="B89426"/>
      <c r="C89426"/>
      <c r="E89426"/>
      <c r="F89426"/>
    </row>
    <row r="89427" spans="1:6" x14ac:dyDescent="0.25">
      <c r="A89427"/>
      <c r="B89427"/>
      <c r="C89427"/>
      <c r="E89427"/>
      <c r="F89427"/>
    </row>
    <row r="89428" spans="1:6" x14ac:dyDescent="0.25">
      <c r="A89428"/>
      <c r="B89428"/>
      <c r="C89428"/>
      <c r="E89428"/>
      <c r="F89428"/>
    </row>
    <row r="89429" spans="1:6" x14ac:dyDescent="0.25">
      <c r="A89429"/>
      <c r="B89429"/>
      <c r="C89429"/>
      <c r="E89429"/>
      <c r="F89429"/>
    </row>
    <row r="89430" spans="1:6" x14ac:dyDescent="0.25">
      <c r="A89430"/>
      <c r="B89430"/>
      <c r="C89430"/>
      <c r="E89430"/>
      <c r="F89430"/>
    </row>
    <row r="89431" spans="1:6" x14ac:dyDescent="0.25">
      <c r="A89431"/>
      <c r="B89431"/>
      <c r="C89431"/>
      <c r="E89431"/>
      <c r="F89431"/>
    </row>
    <row r="89432" spans="1:6" x14ac:dyDescent="0.25">
      <c r="A89432"/>
      <c r="B89432"/>
      <c r="C89432"/>
      <c r="E89432"/>
      <c r="F89432"/>
    </row>
    <row r="89433" spans="1:6" x14ac:dyDescent="0.25">
      <c r="A89433"/>
      <c r="B89433"/>
      <c r="C89433"/>
      <c r="E89433"/>
      <c r="F89433"/>
    </row>
    <row r="89434" spans="1:6" x14ac:dyDescent="0.25">
      <c r="A89434"/>
      <c r="B89434"/>
      <c r="C89434"/>
      <c r="E89434"/>
      <c r="F89434"/>
    </row>
    <row r="89435" spans="1:6" x14ac:dyDescent="0.25">
      <c r="A89435"/>
      <c r="B89435"/>
      <c r="C89435"/>
      <c r="E89435"/>
      <c r="F89435"/>
    </row>
    <row r="89436" spans="1:6" x14ac:dyDescent="0.25">
      <c r="A89436"/>
      <c r="B89436"/>
      <c r="C89436"/>
      <c r="E89436"/>
      <c r="F89436"/>
    </row>
    <row r="89437" spans="1:6" x14ac:dyDescent="0.25">
      <c r="A89437"/>
      <c r="B89437"/>
      <c r="C89437"/>
      <c r="E89437"/>
      <c r="F89437"/>
    </row>
    <row r="89438" spans="1:6" x14ac:dyDescent="0.25">
      <c r="A89438"/>
      <c r="B89438"/>
      <c r="C89438"/>
      <c r="E89438"/>
      <c r="F89438"/>
    </row>
    <row r="89439" spans="1:6" x14ac:dyDescent="0.25">
      <c r="A89439"/>
      <c r="B89439"/>
      <c r="C89439"/>
      <c r="E89439"/>
      <c r="F89439"/>
    </row>
    <row r="89440" spans="1:6" x14ac:dyDescent="0.25">
      <c r="A89440"/>
      <c r="B89440"/>
      <c r="C89440"/>
      <c r="E89440"/>
      <c r="F89440"/>
    </row>
    <row r="89441" spans="1:6" x14ac:dyDescent="0.25">
      <c r="A89441"/>
      <c r="B89441"/>
      <c r="C89441"/>
      <c r="E89441"/>
      <c r="F89441"/>
    </row>
    <row r="89442" spans="1:6" x14ac:dyDescent="0.25">
      <c r="A89442"/>
      <c r="B89442"/>
      <c r="C89442"/>
      <c r="E89442"/>
      <c r="F89442"/>
    </row>
    <row r="89443" spans="1:6" x14ac:dyDescent="0.25">
      <c r="A89443"/>
      <c r="B89443"/>
      <c r="C89443"/>
      <c r="E89443"/>
      <c r="F89443"/>
    </row>
    <row r="89444" spans="1:6" x14ac:dyDescent="0.25">
      <c r="A89444"/>
      <c r="B89444"/>
      <c r="C89444"/>
      <c r="E89444"/>
      <c r="F89444"/>
    </row>
    <row r="89445" spans="1:6" x14ac:dyDescent="0.25">
      <c r="A89445"/>
      <c r="B89445"/>
      <c r="C89445"/>
      <c r="E89445"/>
      <c r="F89445"/>
    </row>
    <row r="89446" spans="1:6" x14ac:dyDescent="0.25">
      <c r="A89446"/>
      <c r="B89446"/>
      <c r="C89446"/>
      <c r="E89446"/>
      <c r="F89446"/>
    </row>
    <row r="89447" spans="1:6" x14ac:dyDescent="0.25">
      <c r="A89447"/>
      <c r="B89447"/>
      <c r="C89447"/>
      <c r="E89447"/>
      <c r="F89447"/>
    </row>
    <row r="89448" spans="1:6" x14ac:dyDescent="0.25">
      <c r="A89448"/>
      <c r="B89448"/>
      <c r="C89448"/>
      <c r="E89448"/>
      <c r="F89448"/>
    </row>
    <row r="89449" spans="1:6" x14ac:dyDescent="0.25">
      <c r="A89449"/>
      <c r="B89449"/>
      <c r="C89449"/>
      <c r="E89449"/>
      <c r="F89449"/>
    </row>
    <row r="89450" spans="1:6" x14ac:dyDescent="0.25">
      <c r="A89450"/>
      <c r="B89450"/>
      <c r="C89450"/>
      <c r="E89450"/>
      <c r="F89450"/>
    </row>
    <row r="89451" spans="1:6" x14ac:dyDescent="0.25">
      <c r="A89451"/>
      <c r="B89451"/>
      <c r="C89451"/>
      <c r="E89451"/>
      <c r="F89451"/>
    </row>
    <row r="89452" spans="1:6" x14ac:dyDescent="0.25">
      <c r="A89452"/>
      <c r="B89452"/>
      <c r="C89452"/>
      <c r="E89452"/>
      <c r="F89452"/>
    </row>
    <row r="89453" spans="1:6" x14ac:dyDescent="0.25">
      <c r="A89453"/>
      <c r="B89453"/>
      <c r="C89453"/>
      <c r="E89453"/>
      <c r="F89453"/>
    </row>
    <row r="89454" spans="1:6" x14ac:dyDescent="0.25">
      <c r="A89454"/>
      <c r="B89454"/>
      <c r="C89454"/>
      <c r="E89454"/>
      <c r="F89454"/>
    </row>
    <row r="89455" spans="1:6" x14ac:dyDescent="0.25">
      <c r="A89455"/>
      <c r="B89455"/>
      <c r="C89455"/>
      <c r="E89455"/>
      <c r="F89455"/>
    </row>
    <row r="89456" spans="1:6" x14ac:dyDescent="0.25">
      <c r="A89456"/>
      <c r="B89456"/>
      <c r="C89456"/>
      <c r="E89456"/>
      <c r="F89456"/>
    </row>
    <row r="89457" spans="1:6" x14ac:dyDescent="0.25">
      <c r="A89457"/>
      <c r="B89457"/>
      <c r="C89457"/>
      <c r="E89457"/>
      <c r="F89457"/>
    </row>
    <row r="89458" spans="1:6" x14ac:dyDescent="0.25">
      <c r="A89458"/>
      <c r="B89458"/>
      <c r="C89458"/>
      <c r="E89458"/>
      <c r="F89458"/>
    </row>
    <row r="89459" spans="1:6" x14ac:dyDescent="0.25">
      <c r="A89459"/>
      <c r="B89459"/>
      <c r="C89459"/>
      <c r="E89459"/>
      <c r="F89459"/>
    </row>
    <row r="89460" spans="1:6" x14ac:dyDescent="0.25">
      <c r="A89460"/>
      <c r="B89460"/>
      <c r="C89460"/>
      <c r="E89460"/>
      <c r="F89460"/>
    </row>
    <row r="89461" spans="1:6" x14ac:dyDescent="0.25">
      <c r="A89461"/>
      <c r="B89461"/>
      <c r="C89461"/>
      <c r="E89461"/>
      <c r="F89461"/>
    </row>
    <row r="89462" spans="1:6" x14ac:dyDescent="0.25">
      <c r="A89462"/>
      <c r="B89462"/>
      <c r="C89462"/>
      <c r="E89462"/>
      <c r="F89462"/>
    </row>
    <row r="89463" spans="1:6" x14ac:dyDescent="0.25">
      <c r="A89463"/>
      <c r="B89463"/>
      <c r="C89463"/>
      <c r="E89463"/>
      <c r="F89463"/>
    </row>
    <row r="89464" spans="1:6" x14ac:dyDescent="0.25">
      <c r="A89464"/>
      <c r="B89464"/>
      <c r="C89464"/>
      <c r="E89464"/>
      <c r="F89464"/>
    </row>
    <row r="89465" spans="1:6" x14ac:dyDescent="0.25">
      <c r="A89465"/>
      <c r="B89465"/>
      <c r="C89465"/>
      <c r="E89465"/>
      <c r="F89465"/>
    </row>
    <row r="89466" spans="1:6" x14ac:dyDescent="0.25">
      <c r="A89466"/>
      <c r="B89466"/>
      <c r="C89466"/>
      <c r="E89466"/>
      <c r="F89466"/>
    </row>
    <row r="89467" spans="1:6" x14ac:dyDescent="0.25">
      <c r="A89467"/>
      <c r="B89467"/>
      <c r="C89467"/>
      <c r="E89467"/>
      <c r="F89467"/>
    </row>
    <row r="89468" spans="1:6" x14ac:dyDescent="0.25">
      <c r="A89468"/>
      <c r="B89468"/>
      <c r="C89468"/>
      <c r="E89468"/>
      <c r="F89468"/>
    </row>
    <row r="89469" spans="1:6" x14ac:dyDescent="0.25">
      <c r="A89469"/>
      <c r="B89469"/>
      <c r="C89469"/>
      <c r="E89469"/>
      <c r="F89469"/>
    </row>
    <row r="89470" spans="1:6" x14ac:dyDescent="0.25">
      <c r="A89470"/>
      <c r="B89470"/>
      <c r="C89470"/>
      <c r="E89470"/>
      <c r="F89470"/>
    </row>
    <row r="89471" spans="1:6" x14ac:dyDescent="0.25">
      <c r="A89471"/>
      <c r="B89471"/>
      <c r="C89471"/>
      <c r="E89471"/>
      <c r="F89471"/>
    </row>
    <row r="89472" spans="1:6" x14ac:dyDescent="0.25">
      <c r="A89472"/>
      <c r="B89472"/>
      <c r="C89472"/>
      <c r="E89472"/>
      <c r="F89472"/>
    </row>
    <row r="89473" spans="1:6" x14ac:dyDescent="0.25">
      <c r="A89473"/>
      <c r="B89473"/>
      <c r="C89473"/>
      <c r="E89473"/>
      <c r="F89473"/>
    </row>
    <row r="89474" spans="1:6" x14ac:dyDescent="0.25">
      <c r="A89474"/>
      <c r="B89474"/>
      <c r="C89474"/>
      <c r="E89474"/>
      <c r="F89474"/>
    </row>
    <row r="89475" spans="1:6" x14ac:dyDescent="0.25">
      <c r="A89475"/>
      <c r="B89475"/>
      <c r="C89475"/>
      <c r="E89475"/>
      <c r="F89475"/>
    </row>
    <row r="89476" spans="1:6" x14ac:dyDescent="0.25">
      <c r="A89476"/>
      <c r="B89476"/>
      <c r="C89476"/>
      <c r="E89476"/>
      <c r="F89476"/>
    </row>
    <row r="89477" spans="1:6" x14ac:dyDescent="0.25">
      <c r="A89477"/>
      <c r="B89477"/>
      <c r="C89477"/>
      <c r="E89477"/>
      <c r="F89477"/>
    </row>
    <row r="89478" spans="1:6" x14ac:dyDescent="0.25">
      <c r="A89478"/>
      <c r="B89478"/>
      <c r="C89478"/>
      <c r="E89478"/>
      <c r="F89478"/>
    </row>
    <row r="89479" spans="1:6" x14ac:dyDescent="0.25">
      <c r="A89479"/>
      <c r="B89479"/>
      <c r="C89479"/>
      <c r="E89479"/>
      <c r="F89479"/>
    </row>
    <row r="89480" spans="1:6" x14ac:dyDescent="0.25">
      <c r="A89480"/>
      <c r="B89480"/>
      <c r="C89480"/>
      <c r="E89480"/>
      <c r="F89480"/>
    </row>
    <row r="89481" spans="1:6" x14ac:dyDescent="0.25">
      <c r="A89481"/>
      <c r="B89481"/>
      <c r="C89481"/>
      <c r="E89481"/>
      <c r="F89481"/>
    </row>
    <row r="89482" spans="1:6" x14ac:dyDescent="0.25">
      <c r="A89482"/>
      <c r="B89482"/>
      <c r="C89482"/>
      <c r="E89482"/>
      <c r="F89482"/>
    </row>
    <row r="89483" spans="1:6" x14ac:dyDescent="0.25">
      <c r="A89483"/>
      <c r="B89483"/>
      <c r="C89483"/>
      <c r="E89483"/>
      <c r="F89483"/>
    </row>
    <row r="89484" spans="1:6" x14ac:dyDescent="0.25">
      <c r="A89484"/>
      <c r="B89484"/>
      <c r="C89484"/>
      <c r="E89484"/>
      <c r="F89484"/>
    </row>
    <row r="89485" spans="1:6" x14ac:dyDescent="0.25">
      <c r="A89485"/>
      <c r="B89485"/>
      <c r="C89485"/>
      <c r="E89485"/>
      <c r="F89485"/>
    </row>
    <row r="89486" spans="1:6" x14ac:dyDescent="0.25">
      <c r="A89486"/>
      <c r="B89486"/>
      <c r="C89486"/>
      <c r="E89486"/>
      <c r="F89486"/>
    </row>
    <row r="89487" spans="1:6" x14ac:dyDescent="0.25">
      <c r="A89487"/>
      <c r="B89487"/>
      <c r="C89487"/>
      <c r="E89487"/>
      <c r="F89487"/>
    </row>
    <row r="89488" spans="1:6" x14ac:dyDescent="0.25">
      <c r="A89488"/>
      <c r="B89488"/>
      <c r="C89488"/>
      <c r="E89488"/>
      <c r="F89488"/>
    </row>
    <row r="89489" spans="1:6" x14ac:dyDescent="0.25">
      <c r="A89489"/>
      <c r="B89489"/>
      <c r="C89489"/>
      <c r="E89489"/>
      <c r="F89489"/>
    </row>
    <row r="89490" spans="1:6" x14ac:dyDescent="0.25">
      <c r="A89490"/>
      <c r="B89490"/>
      <c r="C89490"/>
      <c r="E89490"/>
      <c r="F89490"/>
    </row>
    <row r="89491" spans="1:6" x14ac:dyDescent="0.25">
      <c r="A89491"/>
      <c r="B89491"/>
      <c r="C89491"/>
      <c r="E89491"/>
      <c r="F89491"/>
    </row>
    <row r="89492" spans="1:6" x14ac:dyDescent="0.25">
      <c r="A89492"/>
      <c r="B89492"/>
      <c r="C89492"/>
      <c r="E89492"/>
      <c r="F89492"/>
    </row>
    <row r="89493" spans="1:6" x14ac:dyDescent="0.25">
      <c r="A89493"/>
      <c r="B89493"/>
      <c r="C89493"/>
      <c r="E89493"/>
      <c r="F89493"/>
    </row>
    <row r="89494" spans="1:6" x14ac:dyDescent="0.25">
      <c r="A89494"/>
      <c r="B89494"/>
      <c r="C89494"/>
      <c r="E89494"/>
      <c r="F89494"/>
    </row>
    <row r="89495" spans="1:6" x14ac:dyDescent="0.25">
      <c r="A89495"/>
      <c r="B89495"/>
      <c r="C89495"/>
      <c r="E89495"/>
      <c r="F89495"/>
    </row>
    <row r="89496" spans="1:6" x14ac:dyDescent="0.25">
      <c r="A89496"/>
      <c r="B89496"/>
      <c r="C89496"/>
      <c r="E89496"/>
      <c r="F89496"/>
    </row>
    <row r="89497" spans="1:6" x14ac:dyDescent="0.25">
      <c r="A89497"/>
      <c r="B89497"/>
      <c r="C89497"/>
      <c r="E89497"/>
      <c r="F89497"/>
    </row>
    <row r="89498" spans="1:6" x14ac:dyDescent="0.25">
      <c r="A89498"/>
      <c r="B89498"/>
      <c r="C89498"/>
      <c r="E89498"/>
      <c r="F89498"/>
    </row>
    <row r="89499" spans="1:6" x14ac:dyDescent="0.25">
      <c r="A89499"/>
      <c r="B89499"/>
      <c r="C89499"/>
      <c r="E89499"/>
      <c r="F89499"/>
    </row>
    <row r="89500" spans="1:6" x14ac:dyDescent="0.25">
      <c r="A89500"/>
      <c r="B89500"/>
      <c r="C89500"/>
      <c r="E89500"/>
      <c r="F89500"/>
    </row>
    <row r="89501" spans="1:6" x14ac:dyDescent="0.25">
      <c r="A89501"/>
      <c r="B89501"/>
      <c r="C89501"/>
      <c r="E89501"/>
      <c r="F89501"/>
    </row>
    <row r="89502" spans="1:6" x14ac:dyDescent="0.25">
      <c r="A89502"/>
      <c r="B89502"/>
      <c r="C89502"/>
      <c r="E89502"/>
      <c r="F89502"/>
    </row>
    <row r="89503" spans="1:6" x14ac:dyDescent="0.25">
      <c r="A89503"/>
      <c r="B89503"/>
      <c r="C89503"/>
      <c r="E89503"/>
      <c r="F89503"/>
    </row>
    <row r="89504" spans="1:6" x14ac:dyDescent="0.25">
      <c r="A89504"/>
      <c r="B89504"/>
      <c r="C89504"/>
      <c r="E89504"/>
      <c r="F89504"/>
    </row>
    <row r="89505" spans="1:6" x14ac:dyDescent="0.25">
      <c r="A89505"/>
      <c r="B89505"/>
      <c r="C89505"/>
      <c r="E89505"/>
      <c r="F89505"/>
    </row>
    <row r="89506" spans="1:6" x14ac:dyDescent="0.25">
      <c r="A89506"/>
      <c r="B89506"/>
      <c r="C89506"/>
      <c r="E89506"/>
      <c r="F89506"/>
    </row>
    <row r="89507" spans="1:6" x14ac:dyDescent="0.25">
      <c r="A89507"/>
      <c r="B89507"/>
      <c r="C89507"/>
      <c r="E89507"/>
      <c r="F89507"/>
    </row>
    <row r="89508" spans="1:6" x14ac:dyDescent="0.25">
      <c r="A89508"/>
      <c r="B89508"/>
      <c r="C89508"/>
      <c r="E89508"/>
      <c r="F89508"/>
    </row>
    <row r="89509" spans="1:6" x14ac:dyDescent="0.25">
      <c r="A89509"/>
      <c r="B89509"/>
      <c r="C89509"/>
      <c r="E89509"/>
      <c r="F89509"/>
    </row>
    <row r="89510" spans="1:6" x14ac:dyDescent="0.25">
      <c r="A89510"/>
      <c r="B89510"/>
      <c r="C89510"/>
      <c r="E89510"/>
      <c r="F89510"/>
    </row>
    <row r="89511" spans="1:6" x14ac:dyDescent="0.25">
      <c r="A89511"/>
      <c r="B89511"/>
      <c r="C89511"/>
      <c r="E89511"/>
      <c r="F89511"/>
    </row>
    <row r="89512" spans="1:6" x14ac:dyDescent="0.25">
      <c r="A89512"/>
      <c r="B89512"/>
      <c r="C89512"/>
      <c r="E89512"/>
      <c r="F89512"/>
    </row>
    <row r="89513" spans="1:6" x14ac:dyDescent="0.25">
      <c r="A89513"/>
      <c r="B89513"/>
      <c r="C89513"/>
      <c r="E89513"/>
      <c r="F89513"/>
    </row>
    <row r="89514" spans="1:6" x14ac:dyDescent="0.25">
      <c r="A89514"/>
      <c r="B89514"/>
      <c r="C89514"/>
      <c r="E89514"/>
      <c r="F89514"/>
    </row>
    <row r="89515" spans="1:6" x14ac:dyDescent="0.25">
      <c r="A89515"/>
      <c r="B89515"/>
      <c r="C89515"/>
      <c r="E89515"/>
      <c r="F89515"/>
    </row>
    <row r="89516" spans="1:6" x14ac:dyDescent="0.25">
      <c r="A89516"/>
      <c r="B89516"/>
      <c r="C89516"/>
      <c r="E89516"/>
      <c r="F89516"/>
    </row>
    <row r="89517" spans="1:6" x14ac:dyDescent="0.25">
      <c r="A89517"/>
      <c r="B89517"/>
      <c r="C89517"/>
      <c r="E89517"/>
      <c r="F89517"/>
    </row>
    <row r="89518" spans="1:6" x14ac:dyDescent="0.25">
      <c r="A89518"/>
      <c r="B89518"/>
      <c r="C89518"/>
      <c r="E89518"/>
      <c r="F89518"/>
    </row>
    <row r="89519" spans="1:6" x14ac:dyDescent="0.25">
      <c r="A89519"/>
      <c r="B89519"/>
      <c r="C89519"/>
      <c r="E89519"/>
      <c r="F89519"/>
    </row>
    <row r="89520" spans="1:6" x14ac:dyDescent="0.25">
      <c r="A89520"/>
      <c r="B89520"/>
      <c r="C89520"/>
      <c r="E89520"/>
      <c r="F89520"/>
    </row>
    <row r="89521" spans="1:6" x14ac:dyDescent="0.25">
      <c r="A89521"/>
      <c r="B89521"/>
      <c r="C89521"/>
      <c r="E89521"/>
      <c r="F89521"/>
    </row>
    <row r="89522" spans="1:6" x14ac:dyDescent="0.25">
      <c r="A89522"/>
      <c r="B89522"/>
      <c r="C89522"/>
      <c r="E89522"/>
      <c r="F89522"/>
    </row>
    <row r="89523" spans="1:6" x14ac:dyDescent="0.25">
      <c r="A89523"/>
      <c r="B89523"/>
      <c r="C89523"/>
      <c r="E89523"/>
      <c r="F89523"/>
    </row>
    <row r="89524" spans="1:6" x14ac:dyDescent="0.25">
      <c r="A89524"/>
      <c r="B89524"/>
      <c r="C89524"/>
      <c r="E89524"/>
      <c r="F89524"/>
    </row>
    <row r="89525" spans="1:6" x14ac:dyDescent="0.25">
      <c r="A89525"/>
      <c r="B89525"/>
      <c r="C89525"/>
      <c r="E89525"/>
      <c r="F89525"/>
    </row>
    <row r="89526" spans="1:6" x14ac:dyDescent="0.25">
      <c r="A89526"/>
      <c r="B89526"/>
      <c r="C89526"/>
      <c r="E89526"/>
      <c r="F89526"/>
    </row>
    <row r="89527" spans="1:6" x14ac:dyDescent="0.25">
      <c r="A89527"/>
      <c r="B89527"/>
      <c r="C89527"/>
      <c r="E89527"/>
      <c r="F89527"/>
    </row>
    <row r="89528" spans="1:6" x14ac:dyDescent="0.25">
      <c r="A89528"/>
      <c r="B89528"/>
      <c r="C89528"/>
      <c r="E89528"/>
      <c r="F89528"/>
    </row>
    <row r="89529" spans="1:6" x14ac:dyDescent="0.25">
      <c r="A89529"/>
      <c r="B89529"/>
      <c r="C89529"/>
      <c r="E89529"/>
      <c r="F89529"/>
    </row>
    <row r="89530" spans="1:6" x14ac:dyDescent="0.25">
      <c r="A89530"/>
      <c r="B89530"/>
      <c r="C89530"/>
      <c r="E89530"/>
      <c r="F89530"/>
    </row>
    <row r="89531" spans="1:6" x14ac:dyDescent="0.25">
      <c r="A89531"/>
      <c r="B89531"/>
      <c r="C89531"/>
      <c r="E89531"/>
      <c r="F89531"/>
    </row>
    <row r="89532" spans="1:6" x14ac:dyDescent="0.25">
      <c r="A89532"/>
      <c r="B89532"/>
      <c r="C89532"/>
      <c r="E89532"/>
      <c r="F89532"/>
    </row>
    <row r="89533" spans="1:6" x14ac:dyDescent="0.25">
      <c r="A89533"/>
      <c r="B89533"/>
      <c r="C89533"/>
      <c r="E89533"/>
      <c r="F89533"/>
    </row>
    <row r="89534" spans="1:6" x14ac:dyDescent="0.25">
      <c r="A89534"/>
      <c r="B89534"/>
      <c r="C89534"/>
      <c r="E89534"/>
      <c r="F89534"/>
    </row>
    <row r="89535" spans="1:6" x14ac:dyDescent="0.25">
      <c r="A89535"/>
      <c r="B89535"/>
      <c r="C89535"/>
      <c r="E89535"/>
      <c r="F89535"/>
    </row>
    <row r="89536" spans="1:6" x14ac:dyDescent="0.25">
      <c r="A89536"/>
      <c r="B89536"/>
      <c r="C89536"/>
      <c r="E89536"/>
      <c r="F89536"/>
    </row>
    <row r="89537" spans="1:6" x14ac:dyDescent="0.25">
      <c r="A89537"/>
      <c r="B89537"/>
      <c r="C89537"/>
      <c r="E89537"/>
      <c r="F89537"/>
    </row>
    <row r="89538" spans="1:6" x14ac:dyDescent="0.25">
      <c r="A89538"/>
      <c r="B89538"/>
      <c r="C89538"/>
      <c r="E89538"/>
      <c r="F89538"/>
    </row>
    <row r="89539" spans="1:6" x14ac:dyDescent="0.25">
      <c r="A89539"/>
      <c r="B89539"/>
      <c r="C89539"/>
      <c r="E89539"/>
      <c r="F89539"/>
    </row>
    <row r="89540" spans="1:6" x14ac:dyDescent="0.25">
      <c r="A89540"/>
      <c r="B89540"/>
      <c r="C89540"/>
      <c r="E89540"/>
      <c r="F89540"/>
    </row>
    <row r="89541" spans="1:6" x14ac:dyDescent="0.25">
      <c r="A89541"/>
      <c r="B89541"/>
      <c r="C89541"/>
      <c r="E89541"/>
      <c r="F89541"/>
    </row>
    <row r="89542" spans="1:6" x14ac:dyDescent="0.25">
      <c r="A89542"/>
      <c r="B89542"/>
      <c r="C89542"/>
      <c r="E89542"/>
      <c r="F89542"/>
    </row>
    <row r="89543" spans="1:6" x14ac:dyDescent="0.25">
      <c r="A89543"/>
      <c r="B89543"/>
      <c r="C89543"/>
      <c r="E89543"/>
      <c r="F89543"/>
    </row>
    <row r="89544" spans="1:6" x14ac:dyDescent="0.25">
      <c r="A89544"/>
      <c r="B89544"/>
      <c r="C89544"/>
      <c r="E89544"/>
      <c r="F89544"/>
    </row>
    <row r="89545" spans="1:6" x14ac:dyDescent="0.25">
      <c r="A89545"/>
      <c r="B89545"/>
      <c r="C89545"/>
      <c r="E89545"/>
      <c r="F89545"/>
    </row>
    <row r="89546" spans="1:6" x14ac:dyDescent="0.25">
      <c r="A89546"/>
      <c r="B89546"/>
      <c r="C89546"/>
      <c r="E89546"/>
      <c r="F89546"/>
    </row>
    <row r="89547" spans="1:6" x14ac:dyDescent="0.25">
      <c r="A89547"/>
      <c r="B89547"/>
      <c r="C89547"/>
      <c r="E89547"/>
      <c r="F89547"/>
    </row>
    <row r="89548" spans="1:6" x14ac:dyDescent="0.25">
      <c r="A89548"/>
      <c r="B89548"/>
      <c r="C89548"/>
      <c r="E89548"/>
      <c r="F89548"/>
    </row>
    <row r="89549" spans="1:6" x14ac:dyDescent="0.25">
      <c r="A89549"/>
      <c r="B89549"/>
      <c r="C89549"/>
      <c r="E89549"/>
      <c r="F89549"/>
    </row>
    <row r="89550" spans="1:6" x14ac:dyDescent="0.25">
      <c r="A89550"/>
      <c r="B89550"/>
      <c r="C89550"/>
      <c r="E89550"/>
      <c r="F89550"/>
    </row>
    <row r="89551" spans="1:6" x14ac:dyDescent="0.25">
      <c r="A89551"/>
      <c r="B89551"/>
      <c r="C89551"/>
      <c r="E89551"/>
      <c r="F89551"/>
    </row>
    <row r="89552" spans="1:6" x14ac:dyDescent="0.25">
      <c r="A89552"/>
      <c r="B89552"/>
      <c r="C89552"/>
      <c r="E89552"/>
      <c r="F89552"/>
    </row>
    <row r="89553" spans="1:6" x14ac:dyDescent="0.25">
      <c r="A89553"/>
      <c r="B89553"/>
      <c r="C89553"/>
      <c r="E89553"/>
      <c r="F89553"/>
    </row>
    <row r="89554" spans="1:6" x14ac:dyDescent="0.25">
      <c r="A89554"/>
      <c r="B89554"/>
      <c r="C89554"/>
      <c r="E89554"/>
      <c r="F89554"/>
    </row>
    <row r="89555" spans="1:6" x14ac:dyDescent="0.25">
      <c r="A89555"/>
      <c r="B89555"/>
      <c r="C89555"/>
      <c r="E89555"/>
      <c r="F89555"/>
    </row>
    <row r="89556" spans="1:6" x14ac:dyDescent="0.25">
      <c r="A89556"/>
      <c r="B89556"/>
      <c r="C89556"/>
      <c r="E89556"/>
      <c r="F89556"/>
    </row>
    <row r="89557" spans="1:6" x14ac:dyDescent="0.25">
      <c r="A89557"/>
      <c r="B89557"/>
      <c r="C89557"/>
      <c r="E89557"/>
      <c r="F89557"/>
    </row>
    <row r="89558" spans="1:6" x14ac:dyDescent="0.25">
      <c r="A89558"/>
      <c r="B89558"/>
      <c r="C89558"/>
      <c r="E89558"/>
      <c r="F89558"/>
    </row>
    <row r="89559" spans="1:6" x14ac:dyDescent="0.25">
      <c r="A89559"/>
      <c r="B89559"/>
      <c r="C89559"/>
      <c r="E89559"/>
      <c r="F89559"/>
    </row>
    <row r="89560" spans="1:6" x14ac:dyDescent="0.25">
      <c r="A89560"/>
      <c r="B89560"/>
      <c r="C89560"/>
      <c r="E89560"/>
      <c r="F89560"/>
    </row>
    <row r="89561" spans="1:6" x14ac:dyDescent="0.25">
      <c r="A89561"/>
      <c r="B89561"/>
      <c r="C89561"/>
      <c r="E89561"/>
      <c r="F89561"/>
    </row>
    <row r="89562" spans="1:6" x14ac:dyDescent="0.25">
      <c r="A89562"/>
      <c r="B89562"/>
      <c r="C89562"/>
      <c r="E89562"/>
      <c r="F89562"/>
    </row>
    <row r="89563" spans="1:6" x14ac:dyDescent="0.25">
      <c r="A89563"/>
      <c r="B89563"/>
      <c r="C89563"/>
      <c r="E89563"/>
      <c r="F89563"/>
    </row>
    <row r="89564" spans="1:6" x14ac:dyDescent="0.25">
      <c r="A89564"/>
      <c r="B89564"/>
      <c r="C89564"/>
      <c r="E89564"/>
      <c r="F89564"/>
    </row>
    <row r="89565" spans="1:6" x14ac:dyDescent="0.25">
      <c r="A89565"/>
      <c r="B89565"/>
      <c r="C89565"/>
      <c r="E89565"/>
      <c r="F89565"/>
    </row>
    <row r="89566" spans="1:6" x14ac:dyDescent="0.25">
      <c r="A89566"/>
      <c r="B89566"/>
      <c r="C89566"/>
      <c r="E89566"/>
      <c r="F89566"/>
    </row>
    <row r="89567" spans="1:6" x14ac:dyDescent="0.25">
      <c r="A89567"/>
      <c r="B89567"/>
      <c r="C89567"/>
      <c r="E89567"/>
      <c r="F89567"/>
    </row>
    <row r="89568" spans="1:6" x14ac:dyDescent="0.25">
      <c r="A89568"/>
      <c r="B89568"/>
      <c r="C89568"/>
      <c r="E89568"/>
      <c r="F89568"/>
    </row>
    <row r="89569" spans="1:6" x14ac:dyDescent="0.25">
      <c r="A89569"/>
      <c r="B89569"/>
      <c r="C89569"/>
      <c r="E89569"/>
      <c r="F89569"/>
    </row>
    <row r="89570" spans="1:6" x14ac:dyDescent="0.25">
      <c r="A89570"/>
      <c r="B89570"/>
      <c r="C89570"/>
      <c r="E89570"/>
      <c r="F89570"/>
    </row>
    <row r="89571" spans="1:6" x14ac:dyDescent="0.25">
      <c r="A89571"/>
      <c r="B89571"/>
      <c r="C89571"/>
      <c r="E89571"/>
      <c r="F89571"/>
    </row>
    <row r="89572" spans="1:6" x14ac:dyDescent="0.25">
      <c r="A89572"/>
      <c r="B89572"/>
      <c r="C89572"/>
      <c r="E89572"/>
      <c r="F89572"/>
    </row>
    <row r="89573" spans="1:6" x14ac:dyDescent="0.25">
      <c r="A89573"/>
      <c r="B89573"/>
      <c r="C89573"/>
      <c r="E89573"/>
      <c r="F89573"/>
    </row>
    <row r="89574" spans="1:6" x14ac:dyDescent="0.25">
      <c r="A89574"/>
      <c r="B89574"/>
      <c r="C89574"/>
      <c r="E89574"/>
      <c r="F89574"/>
    </row>
    <row r="89575" spans="1:6" x14ac:dyDescent="0.25">
      <c r="A89575"/>
      <c r="B89575"/>
      <c r="C89575"/>
      <c r="E89575"/>
      <c r="F89575"/>
    </row>
    <row r="89576" spans="1:6" x14ac:dyDescent="0.25">
      <c r="A89576"/>
      <c r="B89576"/>
      <c r="C89576"/>
      <c r="E89576"/>
      <c r="F89576"/>
    </row>
    <row r="89577" spans="1:6" x14ac:dyDescent="0.25">
      <c r="A89577"/>
      <c r="B89577"/>
      <c r="C89577"/>
      <c r="E89577"/>
      <c r="F89577"/>
    </row>
    <row r="89578" spans="1:6" x14ac:dyDescent="0.25">
      <c r="A89578"/>
      <c r="B89578"/>
      <c r="C89578"/>
      <c r="E89578"/>
      <c r="F89578"/>
    </row>
    <row r="89579" spans="1:6" x14ac:dyDescent="0.25">
      <c r="A89579"/>
      <c r="B89579"/>
      <c r="C89579"/>
      <c r="E89579"/>
      <c r="F89579"/>
    </row>
    <row r="89580" spans="1:6" x14ac:dyDescent="0.25">
      <c r="A89580"/>
      <c r="B89580"/>
      <c r="C89580"/>
      <c r="E89580"/>
      <c r="F89580"/>
    </row>
    <row r="89581" spans="1:6" x14ac:dyDescent="0.25">
      <c r="A89581"/>
      <c r="B89581"/>
      <c r="C89581"/>
      <c r="E89581"/>
      <c r="F89581"/>
    </row>
    <row r="89582" spans="1:6" x14ac:dyDescent="0.25">
      <c r="A89582"/>
      <c r="B89582"/>
      <c r="C89582"/>
      <c r="E89582"/>
      <c r="F89582"/>
    </row>
    <row r="89583" spans="1:6" x14ac:dyDescent="0.25">
      <c r="A89583"/>
      <c r="B89583"/>
      <c r="C89583"/>
      <c r="E89583"/>
      <c r="F89583"/>
    </row>
    <row r="89584" spans="1:6" x14ac:dyDescent="0.25">
      <c r="A89584"/>
      <c r="B89584"/>
      <c r="C89584"/>
      <c r="E89584"/>
      <c r="F89584"/>
    </row>
    <row r="89585" spans="1:6" x14ac:dyDescent="0.25">
      <c r="A89585"/>
      <c r="B89585"/>
      <c r="C89585"/>
      <c r="E89585"/>
      <c r="F89585"/>
    </row>
    <row r="89586" spans="1:6" x14ac:dyDescent="0.25">
      <c r="A89586"/>
      <c r="B89586"/>
      <c r="C89586"/>
      <c r="E89586"/>
      <c r="F89586"/>
    </row>
    <row r="89587" spans="1:6" x14ac:dyDescent="0.25">
      <c r="A89587"/>
      <c r="B89587"/>
      <c r="C89587"/>
      <c r="E89587"/>
      <c r="F89587"/>
    </row>
    <row r="89588" spans="1:6" x14ac:dyDescent="0.25">
      <c r="A89588"/>
      <c r="B89588"/>
      <c r="C89588"/>
      <c r="E89588"/>
      <c r="F89588"/>
    </row>
    <row r="89589" spans="1:6" x14ac:dyDescent="0.25">
      <c r="A89589"/>
      <c r="B89589"/>
      <c r="C89589"/>
      <c r="E89589"/>
      <c r="F89589"/>
    </row>
    <row r="89590" spans="1:6" x14ac:dyDescent="0.25">
      <c r="A89590"/>
      <c r="B89590"/>
      <c r="C89590"/>
      <c r="E89590"/>
      <c r="F89590"/>
    </row>
    <row r="89591" spans="1:6" x14ac:dyDescent="0.25">
      <c r="A89591"/>
      <c r="B89591"/>
      <c r="C89591"/>
      <c r="E89591"/>
      <c r="F89591"/>
    </row>
    <row r="89592" spans="1:6" x14ac:dyDescent="0.25">
      <c r="A89592"/>
      <c r="B89592"/>
      <c r="C89592"/>
      <c r="E89592"/>
      <c r="F89592"/>
    </row>
    <row r="89593" spans="1:6" x14ac:dyDescent="0.25">
      <c r="A89593"/>
      <c r="B89593"/>
      <c r="C89593"/>
      <c r="E89593"/>
      <c r="F89593"/>
    </row>
    <row r="89594" spans="1:6" x14ac:dyDescent="0.25">
      <c r="A89594"/>
      <c r="B89594"/>
      <c r="C89594"/>
      <c r="E89594"/>
      <c r="F89594"/>
    </row>
    <row r="89595" spans="1:6" x14ac:dyDescent="0.25">
      <c r="A89595"/>
      <c r="B89595"/>
      <c r="C89595"/>
      <c r="E89595"/>
      <c r="F89595"/>
    </row>
    <row r="89596" spans="1:6" x14ac:dyDescent="0.25">
      <c r="A89596"/>
      <c r="B89596"/>
      <c r="C89596"/>
      <c r="E89596"/>
      <c r="F89596"/>
    </row>
    <row r="89597" spans="1:6" x14ac:dyDescent="0.25">
      <c r="A89597"/>
      <c r="B89597"/>
      <c r="C89597"/>
      <c r="E89597"/>
      <c r="F89597"/>
    </row>
    <row r="89598" spans="1:6" x14ac:dyDescent="0.25">
      <c r="A89598"/>
      <c r="B89598"/>
      <c r="C89598"/>
      <c r="E89598"/>
      <c r="F89598"/>
    </row>
    <row r="89599" spans="1:6" x14ac:dyDescent="0.25">
      <c r="A89599"/>
      <c r="B89599"/>
      <c r="C89599"/>
      <c r="E89599"/>
      <c r="F89599"/>
    </row>
    <row r="89600" spans="1:6" x14ac:dyDescent="0.25">
      <c r="A89600"/>
      <c r="B89600"/>
      <c r="C89600"/>
      <c r="E89600"/>
      <c r="F89600"/>
    </row>
    <row r="89601" spans="1:6" x14ac:dyDescent="0.25">
      <c r="A89601"/>
      <c r="B89601"/>
      <c r="C89601"/>
      <c r="E89601"/>
      <c r="F89601"/>
    </row>
    <row r="89602" spans="1:6" x14ac:dyDescent="0.25">
      <c r="A89602"/>
      <c r="B89602"/>
      <c r="C89602"/>
      <c r="E89602"/>
      <c r="F89602"/>
    </row>
    <row r="89603" spans="1:6" x14ac:dyDescent="0.25">
      <c r="A89603"/>
      <c r="B89603"/>
      <c r="C89603"/>
      <c r="E89603"/>
      <c r="F89603"/>
    </row>
    <row r="89604" spans="1:6" x14ac:dyDescent="0.25">
      <c r="A89604"/>
      <c r="B89604"/>
      <c r="C89604"/>
      <c r="E89604"/>
      <c r="F89604"/>
    </row>
    <row r="89605" spans="1:6" x14ac:dyDescent="0.25">
      <c r="A89605"/>
      <c r="B89605"/>
      <c r="C89605"/>
      <c r="E89605"/>
      <c r="F89605"/>
    </row>
    <row r="89606" spans="1:6" x14ac:dyDescent="0.25">
      <c r="A89606"/>
      <c r="B89606"/>
      <c r="C89606"/>
      <c r="E89606"/>
      <c r="F89606"/>
    </row>
    <row r="89607" spans="1:6" x14ac:dyDescent="0.25">
      <c r="A89607"/>
      <c r="B89607"/>
      <c r="C89607"/>
      <c r="E89607"/>
      <c r="F89607"/>
    </row>
    <row r="89608" spans="1:6" x14ac:dyDescent="0.25">
      <c r="A89608"/>
      <c r="B89608"/>
      <c r="C89608"/>
      <c r="E89608"/>
      <c r="F89608"/>
    </row>
    <row r="89609" spans="1:6" x14ac:dyDescent="0.25">
      <c r="A89609"/>
      <c r="B89609"/>
      <c r="C89609"/>
      <c r="E89609"/>
      <c r="F89609"/>
    </row>
    <row r="89610" spans="1:6" x14ac:dyDescent="0.25">
      <c r="A89610"/>
      <c r="B89610"/>
      <c r="C89610"/>
      <c r="E89610"/>
      <c r="F89610"/>
    </row>
    <row r="89611" spans="1:6" x14ac:dyDescent="0.25">
      <c r="A89611"/>
      <c r="B89611"/>
      <c r="C89611"/>
      <c r="E89611"/>
      <c r="F89611"/>
    </row>
    <row r="89612" spans="1:6" x14ac:dyDescent="0.25">
      <c r="A89612"/>
      <c r="B89612"/>
      <c r="C89612"/>
      <c r="E89612"/>
      <c r="F89612"/>
    </row>
    <row r="89613" spans="1:6" x14ac:dyDescent="0.25">
      <c r="A89613"/>
      <c r="B89613"/>
      <c r="C89613"/>
      <c r="E89613"/>
      <c r="F89613"/>
    </row>
    <row r="89614" spans="1:6" x14ac:dyDescent="0.25">
      <c r="A89614"/>
      <c r="B89614"/>
      <c r="C89614"/>
      <c r="E89614"/>
      <c r="F89614"/>
    </row>
    <row r="89615" spans="1:6" x14ac:dyDescent="0.25">
      <c r="A89615"/>
      <c r="B89615"/>
      <c r="C89615"/>
      <c r="E89615"/>
      <c r="F89615"/>
    </row>
    <row r="89616" spans="1:6" x14ac:dyDescent="0.25">
      <c r="A89616"/>
      <c r="B89616"/>
      <c r="C89616"/>
      <c r="E89616"/>
      <c r="F89616"/>
    </row>
    <row r="89617" spans="1:6" x14ac:dyDescent="0.25">
      <c r="A89617"/>
      <c r="B89617"/>
      <c r="C89617"/>
      <c r="E89617"/>
      <c r="F89617"/>
    </row>
    <row r="89618" spans="1:6" x14ac:dyDescent="0.25">
      <c r="A89618"/>
      <c r="B89618"/>
      <c r="C89618"/>
      <c r="E89618"/>
      <c r="F89618"/>
    </row>
    <row r="89619" spans="1:6" x14ac:dyDescent="0.25">
      <c r="A89619"/>
      <c r="B89619"/>
      <c r="C89619"/>
      <c r="E89619"/>
      <c r="F89619"/>
    </row>
    <row r="89620" spans="1:6" x14ac:dyDescent="0.25">
      <c r="A89620"/>
      <c r="B89620"/>
      <c r="C89620"/>
      <c r="E89620"/>
      <c r="F89620"/>
    </row>
    <row r="89621" spans="1:6" x14ac:dyDescent="0.25">
      <c r="A89621"/>
      <c r="B89621"/>
      <c r="C89621"/>
      <c r="E89621"/>
      <c r="F89621"/>
    </row>
    <row r="89622" spans="1:6" x14ac:dyDescent="0.25">
      <c r="A89622"/>
      <c r="B89622"/>
      <c r="C89622"/>
      <c r="E89622"/>
      <c r="F89622"/>
    </row>
    <row r="89623" spans="1:6" x14ac:dyDescent="0.25">
      <c r="A89623"/>
      <c r="B89623"/>
      <c r="C89623"/>
      <c r="E89623"/>
      <c r="F89623"/>
    </row>
    <row r="89624" spans="1:6" x14ac:dyDescent="0.25">
      <c r="A89624"/>
      <c r="B89624"/>
      <c r="C89624"/>
      <c r="E89624"/>
      <c r="F89624"/>
    </row>
    <row r="89625" spans="1:6" x14ac:dyDescent="0.25">
      <c r="A89625"/>
      <c r="B89625"/>
      <c r="C89625"/>
      <c r="E89625"/>
      <c r="F89625"/>
    </row>
    <row r="89626" spans="1:6" x14ac:dyDescent="0.25">
      <c r="A89626"/>
      <c r="B89626"/>
      <c r="C89626"/>
      <c r="E89626"/>
      <c r="F89626"/>
    </row>
    <row r="89627" spans="1:6" x14ac:dyDescent="0.25">
      <c r="A89627"/>
      <c r="B89627"/>
      <c r="C89627"/>
      <c r="E89627"/>
      <c r="F89627"/>
    </row>
    <row r="89628" spans="1:6" x14ac:dyDescent="0.25">
      <c r="A89628"/>
      <c r="B89628"/>
      <c r="C89628"/>
      <c r="E89628"/>
      <c r="F89628"/>
    </row>
    <row r="89629" spans="1:6" x14ac:dyDescent="0.25">
      <c r="A89629"/>
      <c r="B89629"/>
      <c r="C89629"/>
      <c r="E89629"/>
      <c r="F89629"/>
    </row>
    <row r="89630" spans="1:6" x14ac:dyDescent="0.25">
      <c r="A89630"/>
      <c r="B89630"/>
      <c r="C89630"/>
      <c r="E89630"/>
      <c r="F89630"/>
    </row>
    <row r="89631" spans="1:6" x14ac:dyDescent="0.25">
      <c r="A89631"/>
      <c r="B89631"/>
      <c r="C89631"/>
      <c r="E89631"/>
      <c r="F89631"/>
    </row>
    <row r="89632" spans="1:6" x14ac:dyDescent="0.25">
      <c r="A89632"/>
      <c r="B89632"/>
      <c r="C89632"/>
      <c r="E89632"/>
      <c r="F89632"/>
    </row>
    <row r="89633" spans="1:6" x14ac:dyDescent="0.25">
      <c r="A89633"/>
      <c r="B89633"/>
      <c r="C89633"/>
      <c r="E89633"/>
      <c r="F89633"/>
    </row>
    <row r="89634" spans="1:6" x14ac:dyDescent="0.25">
      <c r="A89634"/>
      <c r="B89634"/>
      <c r="C89634"/>
      <c r="E89634"/>
      <c r="F89634"/>
    </row>
    <row r="89635" spans="1:6" x14ac:dyDescent="0.25">
      <c r="A89635"/>
      <c r="B89635"/>
      <c r="C89635"/>
      <c r="E89635"/>
      <c r="F89635"/>
    </row>
    <row r="89636" spans="1:6" x14ac:dyDescent="0.25">
      <c r="A89636"/>
      <c r="B89636"/>
      <c r="C89636"/>
      <c r="E89636"/>
      <c r="F89636"/>
    </row>
    <row r="89637" spans="1:6" x14ac:dyDescent="0.25">
      <c r="A89637"/>
      <c r="B89637"/>
      <c r="C89637"/>
      <c r="E89637"/>
      <c r="F89637"/>
    </row>
    <row r="89638" spans="1:6" x14ac:dyDescent="0.25">
      <c r="A89638"/>
      <c r="B89638"/>
      <c r="C89638"/>
      <c r="E89638"/>
      <c r="F89638"/>
    </row>
    <row r="89639" spans="1:6" x14ac:dyDescent="0.25">
      <c r="A89639"/>
      <c r="B89639"/>
      <c r="C89639"/>
      <c r="E89639"/>
      <c r="F89639"/>
    </row>
    <row r="89640" spans="1:6" x14ac:dyDescent="0.25">
      <c r="A89640"/>
      <c r="B89640"/>
      <c r="C89640"/>
      <c r="E89640"/>
      <c r="F89640"/>
    </row>
    <row r="89641" spans="1:6" x14ac:dyDescent="0.25">
      <c r="A89641"/>
      <c r="B89641"/>
      <c r="C89641"/>
      <c r="E89641"/>
      <c r="F89641"/>
    </row>
    <row r="89642" spans="1:6" x14ac:dyDescent="0.25">
      <c r="A89642"/>
      <c r="B89642"/>
      <c r="C89642"/>
      <c r="E89642"/>
      <c r="F89642"/>
    </row>
    <row r="89643" spans="1:6" x14ac:dyDescent="0.25">
      <c r="A89643"/>
      <c r="B89643"/>
      <c r="C89643"/>
      <c r="E89643"/>
      <c r="F89643"/>
    </row>
    <row r="89644" spans="1:6" x14ac:dyDescent="0.25">
      <c r="A89644"/>
      <c r="B89644"/>
      <c r="C89644"/>
      <c r="E89644"/>
      <c r="F89644"/>
    </row>
    <row r="89645" spans="1:6" x14ac:dyDescent="0.25">
      <c r="A89645"/>
      <c r="B89645"/>
      <c r="C89645"/>
      <c r="E89645"/>
      <c r="F89645"/>
    </row>
    <row r="89646" spans="1:6" x14ac:dyDescent="0.25">
      <c r="A89646"/>
      <c r="B89646"/>
      <c r="C89646"/>
      <c r="E89646"/>
      <c r="F89646"/>
    </row>
    <row r="89647" spans="1:6" x14ac:dyDescent="0.25">
      <c r="A89647"/>
      <c r="B89647"/>
      <c r="C89647"/>
      <c r="E89647"/>
      <c r="F89647"/>
    </row>
    <row r="89648" spans="1:6" x14ac:dyDescent="0.25">
      <c r="A89648"/>
      <c r="B89648"/>
      <c r="C89648"/>
      <c r="E89648"/>
      <c r="F89648"/>
    </row>
    <row r="89649" spans="1:6" x14ac:dyDescent="0.25">
      <c r="A89649"/>
      <c r="B89649"/>
      <c r="C89649"/>
      <c r="E89649"/>
      <c r="F89649"/>
    </row>
    <row r="89650" spans="1:6" x14ac:dyDescent="0.25">
      <c r="A89650"/>
      <c r="B89650"/>
      <c r="C89650"/>
      <c r="E89650"/>
      <c r="F89650"/>
    </row>
    <row r="89651" spans="1:6" x14ac:dyDescent="0.25">
      <c r="A89651"/>
      <c r="B89651"/>
      <c r="C89651"/>
      <c r="E89651"/>
      <c r="F89651"/>
    </row>
    <row r="89652" spans="1:6" x14ac:dyDescent="0.25">
      <c r="A89652"/>
      <c r="B89652"/>
      <c r="C89652"/>
      <c r="E89652"/>
      <c r="F89652"/>
    </row>
    <row r="89653" spans="1:6" x14ac:dyDescent="0.25">
      <c r="A89653"/>
      <c r="B89653"/>
      <c r="C89653"/>
      <c r="E89653"/>
      <c r="F89653"/>
    </row>
    <row r="89654" spans="1:6" x14ac:dyDescent="0.25">
      <c r="A89654"/>
      <c r="B89654"/>
      <c r="C89654"/>
      <c r="E89654"/>
      <c r="F89654"/>
    </row>
    <row r="89655" spans="1:6" x14ac:dyDescent="0.25">
      <c r="A89655"/>
      <c r="B89655"/>
      <c r="C89655"/>
      <c r="E89655"/>
      <c r="F89655"/>
    </row>
    <row r="89656" spans="1:6" x14ac:dyDescent="0.25">
      <c r="A89656"/>
      <c r="B89656"/>
      <c r="C89656"/>
      <c r="E89656"/>
      <c r="F89656"/>
    </row>
    <row r="89657" spans="1:6" x14ac:dyDescent="0.25">
      <c r="A89657"/>
      <c r="B89657"/>
      <c r="C89657"/>
      <c r="E89657"/>
      <c r="F89657"/>
    </row>
    <row r="89658" spans="1:6" x14ac:dyDescent="0.25">
      <c r="A89658"/>
      <c r="B89658"/>
      <c r="C89658"/>
      <c r="E89658"/>
      <c r="F89658"/>
    </row>
    <row r="89659" spans="1:6" x14ac:dyDescent="0.25">
      <c r="A89659"/>
      <c r="B89659"/>
      <c r="C89659"/>
      <c r="E89659"/>
      <c r="F89659"/>
    </row>
    <row r="89660" spans="1:6" x14ac:dyDescent="0.25">
      <c r="A89660"/>
      <c r="B89660"/>
      <c r="C89660"/>
      <c r="E89660"/>
      <c r="F89660"/>
    </row>
    <row r="89661" spans="1:6" x14ac:dyDescent="0.25">
      <c r="A89661"/>
      <c r="B89661"/>
      <c r="C89661"/>
      <c r="E89661"/>
      <c r="F89661"/>
    </row>
    <row r="89662" spans="1:6" x14ac:dyDescent="0.25">
      <c r="A89662"/>
      <c r="B89662"/>
      <c r="C89662"/>
      <c r="E89662"/>
      <c r="F89662"/>
    </row>
    <row r="89663" spans="1:6" x14ac:dyDescent="0.25">
      <c r="A89663"/>
      <c r="B89663"/>
      <c r="C89663"/>
      <c r="E89663"/>
      <c r="F89663"/>
    </row>
    <row r="89664" spans="1:6" x14ac:dyDescent="0.25">
      <c r="A89664"/>
      <c r="B89664"/>
      <c r="C89664"/>
      <c r="E89664"/>
      <c r="F89664"/>
    </row>
    <row r="89665" spans="1:6" x14ac:dyDescent="0.25">
      <c r="A89665"/>
      <c r="B89665"/>
      <c r="C89665"/>
      <c r="E89665"/>
      <c r="F89665"/>
    </row>
    <row r="89666" spans="1:6" x14ac:dyDescent="0.25">
      <c r="A89666"/>
      <c r="B89666"/>
      <c r="C89666"/>
      <c r="E89666"/>
      <c r="F89666"/>
    </row>
    <row r="89667" spans="1:6" x14ac:dyDescent="0.25">
      <c r="A89667"/>
      <c r="B89667"/>
      <c r="C89667"/>
      <c r="E89667"/>
      <c r="F89667"/>
    </row>
    <row r="89668" spans="1:6" x14ac:dyDescent="0.25">
      <c r="A89668"/>
      <c r="B89668"/>
      <c r="C89668"/>
      <c r="E89668"/>
      <c r="F89668"/>
    </row>
    <row r="89669" spans="1:6" x14ac:dyDescent="0.25">
      <c r="A89669"/>
      <c r="B89669"/>
      <c r="C89669"/>
      <c r="E89669"/>
      <c r="F89669"/>
    </row>
    <row r="89670" spans="1:6" x14ac:dyDescent="0.25">
      <c r="A89670"/>
      <c r="B89670"/>
      <c r="C89670"/>
      <c r="E89670"/>
      <c r="F89670"/>
    </row>
    <row r="89671" spans="1:6" x14ac:dyDescent="0.25">
      <c r="A89671"/>
      <c r="B89671"/>
      <c r="C89671"/>
      <c r="E89671"/>
      <c r="F89671"/>
    </row>
    <row r="89672" spans="1:6" x14ac:dyDescent="0.25">
      <c r="A89672"/>
      <c r="B89672"/>
      <c r="C89672"/>
      <c r="E89672"/>
      <c r="F89672"/>
    </row>
    <row r="89673" spans="1:6" x14ac:dyDescent="0.25">
      <c r="A89673"/>
      <c r="B89673"/>
      <c r="C89673"/>
      <c r="E89673"/>
      <c r="F89673"/>
    </row>
    <row r="89674" spans="1:6" x14ac:dyDescent="0.25">
      <c r="A89674"/>
      <c r="B89674"/>
      <c r="C89674"/>
      <c r="E89674"/>
      <c r="F89674"/>
    </row>
    <row r="89675" spans="1:6" x14ac:dyDescent="0.25">
      <c r="A89675"/>
      <c r="B89675"/>
      <c r="C89675"/>
      <c r="E89675"/>
      <c r="F89675"/>
    </row>
    <row r="89676" spans="1:6" x14ac:dyDescent="0.25">
      <c r="A89676"/>
      <c r="B89676"/>
      <c r="C89676"/>
      <c r="E89676"/>
      <c r="F89676"/>
    </row>
    <row r="89677" spans="1:6" x14ac:dyDescent="0.25">
      <c r="A89677"/>
      <c r="B89677"/>
      <c r="C89677"/>
      <c r="E89677"/>
      <c r="F89677"/>
    </row>
    <row r="89678" spans="1:6" x14ac:dyDescent="0.25">
      <c r="A89678"/>
      <c r="B89678"/>
      <c r="C89678"/>
      <c r="E89678"/>
      <c r="F89678"/>
    </row>
    <row r="89679" spans="1:6" x14ac:dyDescent="0.25">
      <c r="A89679"/>
      <c r="B89679"/>
      <c r="C89679"/>
      <c r="E89679"/>
      <c r="F89679"/>
    </row>
    <row r="89680" spans="1:6" x14ac:dyDescent="0.25">
      <c r="A89680"/>
      <c r="B89680"/>
      <c r="C89680"/>
      <c r="E89680"/>
      <c r="F89680"/>
    </row>
    <row r="89681" spans="1:6" x14ac:dyDescent="0.25">
      <c r="A89681"/>
      <c r="B89681"/>
      <c r="C89681"/>
      <c r="E89681"/>
      <c r="F89681"/>
    </row>
    <row r="89682" spans="1:6" x14ac:dyDescent="0.25">
      <c r="A89682"/>
      <c r="B89682"/>
      <c r="C89682"/>
      <c r="E89682"/>
      <c r="F89682"/>
    </row>
    <row r="89683" spans="1:6" x14ac:dyDescent="0.25">
      <c r="A89683"/>
      <c r="B89683"/>
      <c r="C89683"/>
      <c r="E89683"/>
      <c r="F89683"/>
    </row>
    <row r="89684" spans="1:6" x14ac:dyDescent="0.25">
      <c r="A89684"/>
      <c r="B89684"/>
      <c r="C89684"/>
      <c r="E89684"/>
      <c r="F89684"/>
    </row>
    <row r="89685" spans="1:6" x14ac:dyDescent="0.25">
      <c r="A89685"/>
      <c r="B89685"/>
      <c r="C89685"/>
      <c r="E89685"/>
      <c r="F89685"/>
    </row>
    <row r="89686" spans="1:6" x14ac:dyDescent="0.25">
      <c r="A89686"/>
      <c r="B89686"/>
      <c r="C89686"/>
      <c r="E89686"/>
      <c r="F89686"/>
    </row>
    <row r="89687" spans="1:6" x14ac:dyDescent="0.25">
      <c r="A89687"/>
      <c r="B89687"/>
      <c r="C89687"/>
      <c r="E89687"/>
      <c r="F89687"/>
    </row>
    <row r="89688" spans="1:6" x14ac:dyDescent="0.25">
      <c r="A89688"/>
      <c r="B89688"/>
      <c r="C89688"/>
      <c r="E89688"/>
      <c r="F89688"/>
    </row>
    <row r="89689" spans="1:6" x14ac:dyDescent="0.25">
      <c r="A89689"/>
      <c r="B89689"/>
      <c r="C89689"/>
      <c r="E89689"/>
      <c r="F89689"/>
    </row>
    <row r="89690" spans="1:6" x14ac:dyDescent="0.25">
      <c r="A89690"/>
      <c r="B89690"/>
      <c r="C89690"/>
      <c r="E89690"/>
      <c r="F89690"/>
    </row>
    <row r="89691" spans="1:6" x14ac:dyDescent="0.25">
      <c r="A89691"/>
      <c r="B89691"/>
      <c r="C89691"/>
      <c r="E89691"/>
      <c r="F89691"/>
    </row>
    <row r="89692" spans="1:6" x14ac:dyDescent="0.25">
      <c r="A89692"/>
      <c r="B89692"/>
      <c r="C89692"/>
      <c r="E89692"/>
      <c r="F89692"/>
    </row>
    <row r="89693" spans="1:6" x14ac:dyDescent="0.25">
      <c r="A89693"/>
      <c r="B89693"/>
      <c r="C89693"/>
      <c r="E89693"/>
      <c r="F89693"/>
    </row>
    <row r="89694" spans="1:6" x14ac:dyDescent="0.25">
      <c r="A89694"/>
      <c r="B89694"/>
      <c r="C89694"/>
      <c r="E89694"/>
      <c r="F89694"/>
    </row>
    <row r="89695" spans="1:6" x14ac:dyDescent="0.25">
      <c r="A89695"/>
      <c r="B89695"/>
      <c r="C89695"/>
      <c r="E89695"/>
      <c r="F89695"/>
    </row>
    <row r="89696" spans="1:6" x14ac:dyDescent="0.25">
      <c r="A89696"/>
      <c r="B89696"/>
      <c r="C89696"/>
      <c r="E89696"/>
      <c r="F89696"/>
    </row>
    <row r="89697" spans="1:6" x14ac:dyDescent="0.25">
      <c r="A89697"/>
      <c r="B89697"/>
      <c r="C89697"/>
      <c r="E89697"/>
      <c r="F89697"/>
    </row>
    <row r="89698" spans="1:6" x14ac:dyDescent="0.25">
      <c r="A89698"/>
      <c r="B89698"/>
      <c r="C89698"/>
      <c r="E89698"/>
      <c r="F89698"/>
    </row>
    <row r="89699" spans="1:6" x14ac:dyDescent="0.25">
      <c r="A89699"/>
      <c r="B89699"/>
      <c r="C89699"/>
      <c r="E89699"/>
      <c r="F89699"/>
    </row>
    <row r="89700" spans="1:6" x14ac:dyDescent="0.25">
      <c r="A89700"/>
      <c r="B89700"/>
      <c r="C89700"/>
      <c r="E89700"/>
      <c r="F89700"/>
    </row>
    <row r="89701" spans="1:6" x14ac:dyDescent="0.25">
      <c r="A89701"/>
      <c r="B89701"/>
      <c r="C89701"/>
      <c r="E89701"/>
      <c r="F89701"/>
    </row>
    <row r="89702" spans="1:6" x14ac:dyDescent="0.25">
      <c r="A89702"/>
      <c r="B89702"/>
      <c r="C89702"/>
      <c r="E89702"/>
      <c r="F89702"/>
    </row>
    <row r="89703" spans="1:6" x14ac:dyDescent="0.25">
      <c r="A89703"/>
      <c r="B89703"/>
      <c r="C89703"/>
      <c r="E89703"/>
      <c r="F89703"/>
    </row>
    <row r="89704" spans="1:6" x14ac:dyDescent="0.25">
      <c r="A89704"/>
      <c r="B89704"/>
      <c r="C89704"/>
      <c r="E89704"/>
      <c r="F89704"/>
    </row>
    <row r="89705" spans="1:6" x14ac:dyDescent="0.25">
      <c r="A89705"/>
      <c r="B89705"/>
      <c r="C89705"/>
      <c r="E89705"/>
      <c r="F89705"/>
    </row>
    <row r="89706" spans="1:6" x14ac:dyDescent="0.25">
      <c r="A89706"/>
      <c r="B89706"/>
      <c r="C89706"/>
      <c r="E89706"/>
      <c r="F89706"/>
    </row>
    <row r="89707" spans="1:6" x14ac:dyDescent="0.25">
      <c r="A89707"/>
      <c r="B89707"/>
      <c r="C89707"/>
      <c r="E89707"/>
      <c r="F89707"/>
    </row>
    <row r="89708" spans="1:6" x14ac:dyDescent="0.25">
      <c r="A89708"/>
      <c r="B89708"/>
      <c r="C89708"/>
      <c r="E89708"/>
      <c r="F89708"/>
    </row>
    <row r="89709" spans="1:6" x14ac:dyDescent="0.25">
      <c r="A89709"/>
      <c r="B89709"/>
      <c r="C89709"/>
      <c r="E89709"/>
      <c r="F89709"/>
    </row>
    <row r="89710" spans="1:6" x14ac:dyDescent="0.25">
      <c r="A89710"/>
      <c r="B89710"/>
      <c r="C89710"/>
      <c r="E89710"/>
      <c r="F89710"/>
    </row>
    <row r="89711" spans="1:6" x14ac:dyDescent="0.25">
      <c r="A89711"/>
      <c r="B89711"/>
      <c r="C89711"/>
      <c r="E89711"/>
      <c r="F89711"/>
    </row>
    <row r="89712" spans="1:6" x14ac:dyDescent="0.25">
      <c r="A89712"/>
      <c r="B89712"/>
      <c r="C89712"/>
      <c r="E89712"/>
      <c r="F89712"/>
    </row>
    <row r="89713" spans="1:6" x14ac:dyDescent="0.25">
      <c r="A89713"/>
      <c r="B89713"/>
      <c r="C89713"/>
      <c r="E89713"/>
      <c r="F89713"/>
    </row>
    <row r="89714" spans="1:6" x14ac:dyDescent="0.25">
      <c r="A89714"/>
      <c r="B89714"/>
      <c r="C89714"/>
      <c r="E89714"/>
      <c r="F89714"/>
    </row>
    <row r="89715" spans="1:6" x14ac:dyDescent="0.25">
      <c r="A89715"/>
      <c r="B89715"/>
      <c r="C89715"/>
      <c r="E89715"/>
      <c r="F89715"/>
    </row>
    <row r="89716" spans="1:6" x14ac:dyDescent="0.25">
      <c r="A89716"/>
      <c r="B89716"/>
      <c r="C89716"/>
      <c r="E89716"/>
      <c r="F89716"/>
    </row>
    <row r="89717" spans="1:6" x14ac:dyDescent="0.25">
      <c r="A89717"/>
      <c r="B89717"/>
      <c r="C89717"/>
      <c r="E89717"/>
      <c r="F89717"/>
    </row>
    <row r="89718" spans="1:6" x14ac:dyDescent="0.25">
      <c r="A89718"/>
      <c r="B89718"/>
      <c r="C89718"/>
      <c r="E89718"/>
      <c r="F89718"/>
    </row>
    <row r="89719" spans="1:6" x14ac:dyDescent="0.25">
      <c r="A89719"/>
      <c r="B89719"/>
      <c r="C89719"/>
      <c r="E89719"/>
      <c r="F89719"/>
    </row>
    <row r="89720" spans="1:6" x14ac:dyDescent="0.25">
      <c r="A89720"/>
      <c r="B89720"/>
      <c r="C89720"/>
      <c r="E89720"/>
      <c r="F89720"/>
    </row>
    <row r="89721" spans="1:6" x14ac:dyDescent="0.25">
      <c r="A89721"/>
      <c r="B89721"/>
      <c r="C89721"/>
      <c r="E89721"/>
      <c r="F89721"/>
    </row>
    <row r="89722" spans="1:6" x14ac:dyDescent="0.25">
      <c r="A89722"/>
      <c r="B89722"/>
      <c r="C89722"/>
      <c r="E89722"/>
      <c r="F89722"/>
    </row>
    <row r="89723" spans="1:6" x14ac:dyDescent="0.25">
      <c r="A89723"/>
      <c r="B89723"/>
      <c r="C89723"/>
      <c r="E89723"/>
      <c r="F89723"/>
    </row>
    <row r="89724" spans="1:6" x14ac:dyDescent="0.25">
      <c r="A89724"/>
      <c r="B89724"/>
      <c r="C89724"/>
      <c r="E89724"/>
      <c r="F89724"/>
    </row>
    <row r="89725" spans="1:6" x14ac:dyDescent="0.25">
      <c r="A89725"/>
      <c r="B89725"/>
      <c r="C89725"/>
      <c r="E89725"/>
      <c r="F89725"/>
    </row>
    <row r="89726" spans="1:6" x14ac:dyDescent="0.25">
      <c r="A89726"/>
      <c r="B89726"/>
      <c r="C89726"/>
      <c r="E89726"/>
      <c r="F89726"/>
    </row>
    <row r="89727" spans="1:6" x14ac:dyDescent="0.25">
      <c r="A89727"/>
      <c r="B89727"/>
      <c r="C89727"/>
      <c r="E89727"/>
      <c r="F89727"/>
    </row>
    <row r="89728" spans="1:6" x14ac:dyDescent="0.25">
      <c r="A89728"/>
      <c r="B89728"/>
      <c r="C89728"/>
      <c r="E89728"/>
      <c r="F89728"/>
    </row>
    <row r="89729" spans="1:6" x14ac:dyDescent="0.25">
      <c r="A89729"/>
      <c r="B89729"/>
      <c r="C89729"/>
      <c r="E89729"/>
      <c r="F89729"/>
    </row>
    <row r="89730" spans="1:6" x14ac:dyDescent="0.25">
      <c r="A89730"/>
      <c r="B89730"/>
      <c r="C89730"/>
      <c r="E89730"/>
      <c r="F89730"/>
    </row>
    <row r="89731" spans="1:6" x14ac:dyDescent="0.25">
      <c r="A89731"/>
      <c r="B89731"/>
      <c r="C89731"/>
      <c r="E89731"/>
      <c r="F89731"/>
    </row>
    <row r="89732" spans="1:6" x14ac:dyDescent="0.25">
      <c r="A89732"/>
      <c r="B89732"/>
      <c r="C89732"/>
      <c r="E89732"/>
      <c r="F89732"/>
    </row>
    <row r="89733" spans="1:6" x14ac:dyDescent="0.25">
      <c r="A89733"/>
      <c r="B89733"/>
      <c r="C89733"/>
      <c r="E89733"/>
      <c r="F89733"/>
    </row>
    <row r="89734" spans="1:6" x14ac:dyDescent="0.25">
      <c r="A89734"/>
      <c r="B89734"/>
      <c r="C89734"/>
      <c r="E89734"/>
      <c r="F89734"/>
    </row>
    <row r="89735" spans="1:6" x14ac:dyDescent="0.25">
      <c r="A89735"/>
      <c r="B89735"/>
      <c r="C89735"/>
      <c r="E89735"/>
      <c r="F89735"/>
    </row>
    <row r="89736" spans="1:6" x14ac:dyDescent="0.25">
      <c r="A89736"/>
      <c r="B89736"/>
      <c r="C89736"/>
      <c r="E89736"/>
      <c r="F89736"/>
    </row>
    <row r="89737" spans="1:6" x14ac:dyDescent="0.25">
      <c r="A89737"/>
      <c r="B89737"/>
      <c r="C89737"/>
      <c r="E89737"/>
      <c r="F89737"/>
    </row>
    <row r="89738" spans="1:6" x14ac:dyDescent="0.25">
      <c r="A89738"/>
      <c r="B89738"/>
      <c r="C89738"/>
      <c r="E89738"/>
      <c r="F89738"/>
    </row>
    <row r="89739" spans="1:6" x14ac:dyDescent="0.25">
      <c r="A89739"/>
      <c r="B89739"/>
      <c r="C89739"/>
      <c r="E89739"/>
      <c r="F89739"/>
    </row>
    <row r="89740" spans="1:6" x14ac:dyDescent="0.25">
      <c r="A89740"/>
      <c r="B89740"/>
      <c r="C89740"/>
      <c r="E89740"/>
      <c r="F89740"/>
    </row>
    <row r="89741" spans="1:6" x14ac:dyDescent="0.25">
      <c r="A89741"/>
      <c r="B89741"/>
      <c r="C89741"/>
      <c r="E89741"/>
      <c r="F89741"/>
    </row>
    <row r="89742" spans="1:6" x14ac:dyDescent="0.25">
      <c r="A89742"/>
      <c r="B89742"/>
      <c r="C89742"/>
      <c r="E89742"/>
      <c r="F89742"/>
    </row>
    <row r="89743" spans="1:6" x14ac:dyDescent="0.25">
      <c r="A89743"/>
      <c r="B89743"/>
      <c r="C89743"/>
      <c r="E89743"/>
      <c r="F89743"/>
    </row>
    <row r="89744" spans="1:6" x14ac:dyDescent="0.25">
      <c r="A89744"/>
      <c r="B89744"/>
      <c r="C89744"/>
      <c r="E89744"/>
      <c r="F89744"/>
    </row>
    <row r="89745" spans="1:6" x14ac:dyDescent="0.25">
      <c r="A89745"/>
      <c r="B89745"/>
      <c r="C89745"/>
      <c r="E89745"/>
      <c r="F89745"/>
    </row>
    <row r="89746" spans="1:6" x14ac:dyDescent="0.25">
      <c r="A89746"/>
      <c r="B89746"/>
      <c r="C89746"/>
      <c r="E89746"/>
      <c r="F89746"/>
    </row>
    <row r="89747" spans="1:6" x14ac:dyDescent="0.25">
      <c r="A89747"/>
      <c r="B89747"/>
      <c r="C89747"/>
      <c r="E89747"/>
      <c r="F89747"/>
    </row>
    <row r="89748" spans="1:6" x14ac:dyDescent="0.25">
      <c r="A89748"/>
      <c r="B89748"/>
      <c r="C89748"/>
      <c r="E89748"/>
      <c r="F89748"/>
    </row>
    <row r="89749" spans="1:6" x14ac:dyDescent="0.25">
      <c r="A89749"/>
      <c r="B89749"/>
      <c r="C89749"/>
      <c r="E89749"/>
      <c r="F89749"/>
    </row>
    <row r="89750" spans="1:6" x14ac:dyDescent="0.25">
      <c r="A89750"/>
      <c r="B89750"/>
      <c r="C89750"/>
      <c r="E89750"/>
      <c r="F89750"/>
    </row>
    <row r="89751" spans="1:6" x14ac:dyDescent="0.25">
      <c r="A89751"/>
      <c r="B89751"/>
      <c r="C89751"/>
      <c r="E89751"/>
      <c r="F89751"/>
    </row>
    <row r="89752" spans="1:6" x14ac:dyDescent="0.25">
      <c r="A89752"/>
      <c r="B89752"/>
      <c r="C89752"/>
      <c r="E89752"/>
      <c r="F89752"/>
    </row>
    <row r="89753" spans="1:6" x14ac:dyDescent="0.25">
      <c r="A89753"/>
      <c r="B89753"/>
      <c r="C89753"/>
      <c r="E89753"/>
      <c r="F89753"/>
    </row>
    <row r="89754" spans="1:6" x14ac:dyDescent="0.25">
      <c r="A89754"/>
      <c r="B89754"/>
      <c r="C89754"/>
      <c r="E89754"/>
      <c r="F89754"/>
    </row>
    <row r="89755" spans="1:6" x14ac:dyDescent="0.25">
      <c r="A89755"/>
      <c r="B89755"/>
      <c r="C89755"/>
      <c r="E89755"/>
      <c r="F89755"/>
    </row>
    <row r="89756" spans="1:6" x14ac:dyDescent="0.25">
      <c r="A89756"/>
      <c r="B89756"/>
      <c r="C89756"/>
      <c r="E89756"/>
      <c r="F89756"/>
    </row>
    <row r="89757" spans="1:6" x14ac:dyDescent="0.25">
      <c r="A89757"/>
      <c r="B89757"/>
      <c r="C89757"/>
      <c r="E89757"/>
      <c r="F89757"/>
    </row>
    <row r="89758" spans="1:6" x14ac:dyDescent="0.25">
      <c r="A89758"/>
      <c r="B89758"/>
      <c r="C89758"/>
      <c r="E89758"/>
      <c r="F89758"/>
    </row>
    <row r="89759" spans="1:6" x14ac:dyDescent="0.25">
      <c r="A89759"/>
      <c r="B89759"/>
      <c r="C89759"/>
      <c r="E89759"/>
      <c r="F89759"/>
    </row>
    <row r="89760" spans="1:6" x14ac:dyDescent="0.25">
      <c r="A89760"/>
      <c r="B89760"/>
      <c r="C89760"/>
      <c r="E89760"/>
      <c r="F89760"/>
    </row>
    <row r="89761" spans="1:6" x14ac:dyDescent="0.25">
      <c r="A89761"/>
      <c r="B89761"/>
      <c r="C89761"/>
      <c r="E89761"/>
      <c r="F89761"/>
    </row>
    <row r="89762" spans="1:6" x14ac:dyDescent="0.25">
      <c r="A89762"/>
      <c r="B89762"/>
      <c r="C89762"/>
      <c r="E89762"/>
      <c r="F89762"/>
    </row>
    <row r="89763" spans="1:6" x14ac:dyDescent="0.25">
      <c r="A89763"/>
      <c r="B89763"/>
      <c r="C89763"/>
      <c r="E89763"/>
      <c r="F89763"/>
    </row>
    <row r="89764" spans="1:6" x14ac:dyDescent="0.25">
      <c r="A89764"/>
      <c r="B89764"/>
      <c r="C89764"/>
      <c r="E89764"/>
      <c r="F89764"/>
    </row>
    <row r="89765" spans="1:6" x14ac:dyDescent="0.25">
      <c r="A89765"/>
      <c r="B89765"/>
      <c r="C89765"/>
      <c r="E89765"/>
      <c r="F89765"/>
    </row>
    <row r="89766" spans="1:6" x14ac:dyDescent="0.25">
      <c r="A89766"/>
      <c r="B89766"/>
      <c r="C89766"/>
      <c r="E89766"/>
      <c r="F89766"/>
    </row>
    <row r="89767" spans="1:6" x14ac:dyDescent="0.25">
      <c r="A89767"/>
      <c r="B89767"/>
      <c r="C89767"/>
      <c r="E89767"/>
      <c r="F89767"/>
    </row>
    <row r="89768" spans="1:6" x14ac:dyDescent="0.25">
      <c r="A89768"/>
      <c r="B89768"/>
      <c r="C89768"/>
      <c r="E89768"/>
      <c r="F89768"/>
    </row>
    <row r="89769" spans="1:6" x14ac:dyDescent="0.25">
      <c r="A89769"/>
      <c r="B89769"/>
      <c r="C89769"/>
      <c r="E89769"/>
      <c r="F89769"/>
    </row>
    <row r="89770" spans="1:6" x14ac:dyDescent="0.25">
      <c r="A89770"/>
      <c r="B89770"/>
      <c r="C89770"/>
      <c r="E89770"/>
      <c r="F89770"/>
    </row>
    <row r="89771" spans="1:6" x14ac:dyDescent="0.25">
      <c r="A89771"/>
      <c r="B89771"/>
      <c r="C89771"/>
      <c r="E89771"/>
      <c r="F89771"/>
    </row>
    <row r="89772" spans="1:6" x14ac:dyDescent="0.25">
      <c r="A89772"/>
      <c r="B89772"/>
      <c r="C89772"/>
      <c r="E89772"/>
      <c r="F89772"/>
    </row>
    <row r="89773" spans="1:6" x14ac:dyDescent="0.25">
      <c r="A89773"/>
      <c r="B89773"/>
      <c r="C89773"/>
      <c r="E89773"/>
      <c r="F89773"/>
    </row>
    <row r="89774" spans="1:6" x14ac:dyDescent="0.25">
      <c r="A89774"/>
      <c r="B89774"/>
      <c r="C89774"/>
      <c r="E89774"/>
      <c r="F89774"/>
    </row>
    <row r="89775" spans="1:6" x14ac:dyDescent="0.25">
      <c r="A89775"/>
      <c r="B89775"/>
      <c r="C89775"/>
      <c r="E89775"/>
      <c r="F89775"/>
    </row>
    <row r="89776" spans="1:6" x14ac:dyDescent="0.25">
      <c r="A89776"/>
      <c r="B89776"/>
      <c r="C89776"/>
      <c r="E89776"/>
      <c r="F89776"/>
    </row>
    <row r="89777" spans="1:6" x14ac:dyDescent="0.25">
      <c r="A89777"/>
      <c r="B89777"/>
      <c r="C89777"/>
      <c r="E89777"/>
      <c r="F89777"/>
    </row>
    <row r="89778" spans="1:6" x14ac:dyDescent="0.25">
      <c r="A89778"/>
      <c r="B89778"/>
      <c r="C89778"/>
      <c r="E89778"/>
      <c r="F89778"/>
    </row>
    <row r="89779" spans="1:6" x14ac:dyDescent="0.25">
      <c r="A89779"/>
      <c r="B89779"/>
      <c r="C89779"/>
      <c r="E89779"/>
      <c r="F89779"/>
    </row>
    <row r="89780" spans="1:6" x14ac:dyDescent="0.25">
      <c r="A89780"/>
      <c r="B89780"/>
      <c r="C89780"/>
      <c r="E89780"/>
      <c r="F89780"/>
    </row>
    <row r="89781" spans="1:6" x14ac:dyDescent="0.25">
      <c r="A89781"/>
      <c r="B89781"/>
      <c r="C89781"/>
      <c r="E89781"/>
      <c r="F89781"/>
    </row>
    <row r="89782" spans="1:6" x14ac:dyDescent="0.25">
      <c r="A89782"/>
      <c r="B89782"/>
      <c r="C89782"/>
      <c r="E89782"/>
      <c r="F89782"/>
    </row>
    <row r="89783" spans="1:6" x14ac:dyDescent="0.25">
      <c r="A89783"/>
      <c r="B89783"/>
      <c r="C89783"/>
      <c r="E89783"/>
      <c r="F89783"/>
    </row>
    <row r="89784" spans="1:6" x14ac:dyDescent="0.25">
      <c r="A89784"/>
      <c r="B89784"/>
      <c r="C89784"/>
      <c r="E89784"/>
      <c r="F89784"/>
    </row>
    <row r="89785" spans="1:6" x14ac:dyDescent="0.25">
      <c r="A89785"/>
      <c r="B89785"/>
      <c r="C89785"/>
      <c r="E89785"/>
      <c r="F89785"/>
    </row>
    <row r="89786" spans="1:6" x14ac:dyDescent="0.25">
      <c r="A89786"/>
      <c r="B89786"/>
      <c r="C89786"/>
      <c r="E89786"/>
      <c r="F89786"/>
    </row>
    <row r="89787" spans="1:6" x14ac:dyDescent="0.25">
      <c r="A89787"/>
      <c r="B89787"/>
      <c r="C89787"/>
      <c r="E89787"/>
      <c r="F89787"/>
    </row>
    <row r="89788" spans="1:6" x14ac:dyDescent="0.25">
      <c r="A89788"/>
      <c r="B89788"/>
      <c r="C89788"/>
      <c r="E89788"/>
      <c r="F89788"/>
    </row>
    <row r="89789" spans="1:6" x14ac:dyDescent="0.25">
      <c r="A89789"/>
      <c r="B89789"/>
      <c r="C89789"/>
      <c r="E89789"/>
      <c r="F89789"/>
    </row>
    <row r="89790" spans="1:6" x14ac:dyDescent="0.25">
      <c r="A89790"/>
      <c r="B89790"/>
      <c r="C89790"/>
      <c r="E89790"/>
      <c r="F89790"/>
    </row>
    <row r="89791" spans="1:6" x14ac:dyDescent="0.25">
      <c r="A89791"/>
      <c r="B89791"/>
      <c r="C89791"/>
      <c r="E89791"/>
      <c r="F89791"/>
    </row>
    <row r="89792" spans="1:6" x14ac:dyDescent="0.25">
      <c r="A89792"/>
      <c r="B89792"/>
      <c r="C89792"/>
      <c r="E89792"/>
      <c r="F89792"/>
    </row>
    <row r="89793" spans="1:6" x14ac:dyDescent="0.25">
      <c r="A89793"/>
      <c r="B89793"/>
      <c r="C89793"/>
      <c r="E89793"/>
      <c r="F89793"/>
    </row>
    <row r="89794" spans="1:6" x14ac:dyDescent="0.25">
      <c r="A89794"/>
      <c r="B89794"/>
      <c r="C89794"/>
      <c r="E89794"/>
      <c r="F89794"/>
    </row>
    <row r="89795" spans="1:6" x14ac:dyDescent="0.25">
      <c r="A89795"/>
      <c r="B89795"/>
      <c r="C89795"/>
      <c r="E89795"/>
      <c r="F89795"/>
    </row>
    <row r="89796" spans="1:6" x14ac:dyDescent="0.25">
      <c r="A89796"/>
      <c r="B89796"/>
      <c r="C89796"/>
      <c r="E89796"/>
      <c r="F89796"/>
    </row>
    <row r="89797" spans="1:6" x14ac:dyDescent="0.25">
      <c r="A89797"/>
      <c r="B89797"/>
      <c r="C89797"/>
      <c r="E89797"/>
      <c r="F89797"/>
    </row>
    <row r="89798" spans="1:6" x14ac:dyDescent="0.25">
      <c r="A89798"/>
      <c r="B89798"/>
      <c r="C89798"/>
      <c r="E89798"/>
      <c r="F89798"/>
    </row>
    <row r="89799" spans="1:6" x14ac:dyDescent="0.25">
      <c r="A89799"/>
      <c r="B89799"/>
      <c r="C89799"/>
      <c r="E89799"/>
      <c r="F89799"/>
    </row>
    <row r="89800" spans="1:6" x14ac:dyDescent="0.25">
      <c r="A89800"/>
      <c r="B89800"/>
      <c r="C89800"/>
      <c r="E89800"/>
      <c r="F89800"/>
    </row>
    <row r="89801" spans="1:6" x14ac:dyDescent="0.25">
      <c r="A89801"/>
      <c r="B89801"/>
      <c r="C89801"/>
      <c r="E89801"/>
      <c r="F89801"/>
    </row>
    <row r="89802" spans="1:6" x14ac:dyDescent="0.25">
      <c r="A89802"/>
      <c r="B89802"/>
      <c r="C89802"/>
      <c r="E89802"/>
      <c r="F89802"/>
    </row>
    <row r="89803" spans="1:6" x14ac:dyDescent="0.25">
      <c r="A89803"/>
      <c r="B89803"/>
      <c r="C89803"/>
      <c r="E89803"/>
      <c r="F89803"/>
    </row>
    <row r="89804" spans="1:6" x14ac:dyDescent="0.25">
      <c r="A89804"/>
      <c r="B89804"/>
      <c r="C89804"/>
      <c r="E89804"/>
      <c r="F89804"/>
    </row>
    <row r="89805" spans="1:6" x14ac:dyDescent="0.25">
      <c r="A89805"/>
      <c r="B89805"/>
      <c r="C89805"/>
      <c r="E89805"/>
      <c r="F89805"/>
    </row>
    <row r="89806" spans="1:6" x14ac:dyDescent="0.25">
      <c r="A89806"/>
      <c r="B89806"/>
      <c r="C89806"/>
      <c r="E89806"/>
      <c r="F89806"/>
    </row>
    <row r="89807" spans="1:6" x14ac:dyDescent="0.25">
      <c r="A89807"/>
      <c r="B89807"/>
      <c r="C89807"/>
      <c r="E89807"/>
      <c r="F89807"/>
    </row>
    <row r="89808" spans="1:6" x14ac:dyDescent="0.25">
      <c r="A89808"/>
      <c r="B89808"/>
      <c r="C89808"/>
      <c r="E89808"/>
      <c r="F89808"/>
    </row>
    <row r="89809" spans="1:6" x14ac:dyDescent="0.25">
      <c r="A89809"/>
      <c r="B89809"/>
      <c r="C89809"/>
      <c r="E89809"/>
      <c r="F89809"/>
    </row>
    <row r="89810" spans="1:6" x14ac:dyDescent="0.25">
      <c r="A89810"/>
      <c r="B89810"/>
      <c r="C89810"/>
      <c r="E89810"/>
      <c r="F89810"/>
    </row>
    <row r="89811" spans="1:6" x14ac:dyDescent="0.25">
      <c r="A89811"/>
      <c r="B89811"/>
      <c r="C89811"/>
      <c r="E89811"/>
      <c r="F89811"/>
    </row>
    <row r="89812" spans="1:6" x14ac:dyDescent="0.25">
      <c r="A89812"/>
      <c r="B89812"/>
      <c r="C89812"/>
      <c r="E89812"/>
      <c r="F89812"/>
    </row>
    <row r="89813" spans="1:6" x14ac:dyDescent="0.25">
      <c r="A89813"/>
      <c r="B89813"/>
      <c r="C89813"/>
      <c r="E89813"/>
      <c r="F89813"/>
    </row>
    <row r="89814" spans="1:6" x14ac:dyDescent="0.25">
      <c r="A89814"/>
      <c r="B89814"/>
      <c r="C89814"/>
      <c r="E89814"/>
      <c r="F89814"/>
    </row>
    <row r="89815" spans="1:6" x14ac:dyDescent="0.25">
      <c r="A89815"/>
      <c r="B89815"/>
      <c r="C89815"/>
      <c r="E89815"/>
      <c r="F89815"/>
    </row>
    <row r="89816" spans="1:6" x14ac:dyDescent="0.25">
      <c r="A89816"/>
      <c r="B89816"/>
      <c r="C89816"/>
      <c r="E89816"/>
      <c r="F89816"/>
    </row>
    <row r="89817" spans="1:6" x14ac:dyDescent="0.25">
      <c r="A89817"/>
      <c r="B89817"/>
      <c r="C89817"/>
      <c r="E89817"/>
      <c r="F89817"/>
    </row>
    <row r="89818" spans="1:6" x14ac:dyDescent="0.25">
      <c r="A89818"/>
      <c r="B89818"/>
      <c r="C89818"/>
      <c r="E89818"/>
      <c r="F89818"/>
    </row>
    <row r="89819" spans="1:6" x14ac:dyDescent="0.25">
      <c r="A89819"/>
      <c r="B89819"/>
      <c r="C89819"/>
      <c r="E89819"/>
      <c r="F89819"/>
    </row>
    <row r="89820" spans="1:6" x14ac:dyDescent="0.25">
      <c r="A89820"/>
      <c r="B89820"/>
      <c r="C89820"/>
      <c r="E89820"/>
      <c r="F89820"/>
    </row>
    <row r="89821" spans="1:6" x14ac:dyDescent="0.25">
      <c r="A89821"/>
      <c r="B89821"/>
      <c r="C89821"/>
      <c r="E89821"/>
      <c r="F89821"/>
    </row>
    <row r="89822" spans="1:6" x14ac:dyDescent="0.25">
      <c r="A89822"/>
      <c r="B89822"/>
      <c r="C89822"/>
      <c r="E89822"/>
      <c r="F89822"/>
    </row>
    <row r="89823" spans="1:6" x14ac:dyDescent="0.25">
      <c r="A89823"/>
      <c r="B89823"/>
      <c r="C89823"/>
      <c r="E89823"/>
      <c r="F89823"/>
    </row>
    <row r="89824" spans="1:6" x14ac:dyDescent="0.25">
      <c r="A89824"/>
      <c r="B89824"/>
      <c r="C89824"/>
      <c r="E89824"/>
      <c r="F89824"/>
    </row>
    <row r="89825" spans="1:6" x14ac:dyDescent="0.25">
      <c r="A89825"/>
      <c r="B89825"/>
      <c r="C89825"/>
      <c r="E89825"/>
      <c r="F89825"/>
    </row>
    <row r="89826" spans="1:6" x14ac:dyDescent="0.25">
      <c r="A89826"/>
      <c r="B89826"/>
      <c r="C89826"/>
      <c r="E89826"/>
      <c r="F89826"/>
    </row>
    <row r="89827" spans="1:6" x14ac:dyDescent="0.25">
      <c r="A89827"/>
      <c r="B89827"/>
      <c r="C89827"/>
      <c r="E89827"/>
      <c r="F89827"/>
    </row>
    <row r="89828" spans="1:6" x14ac:dyDescent="0.25">
      <c r="A89828"/>
      <c r="B89828"/>
      <c r="C89828"/>
      <c r="E89828"/>
      <c r="F89828"/>
    </row>
    <row r="89829" spans="1:6" x14ac:dyDescent="0.25">
      <c r="A89829"/>
      <c r="B89829"/>
      <c r="C89829"/>
      <c r="E89829"/>
      <c r="F89829"/>
    </row>
    <row r="89830" spans="1:6" x14ac:dyDescent="0.25">
      <c r="A89830"/>
      <c r="B89830"/>
      <c r="C89830"/>
      <c r="E89830"/>
      <c r="F89830"/>
    </row>
    <row r="89831" spans="1:6" x14ac:dyDescent="0.25">
      <c r="A89831"/>
      <c r="B89831"/>
      <c r="C89831"/>
      <c r="E89831"/>
      <c r="F89831"/>
    </row>
    <row r="89832" spans="1:6" x14ac:dyDescent="0.25">
      <c r="A89832"/>
      <c r="B89832"/>
      <c r="C89832"/>
      <c r="E89832"/>
      <c r="F89832"/>
    </row>
    <row r="89833" spans="1:6" x14ac:dyDescent="0.25">
      <c r="A89833"/>
      <c r="B89833"/>
      <c r="C89833"/>
      <c r="E89833"/>
      <c r="F89833"/>
    </row>
    <row r="89834" spans="1:6" x14ac:dyDescent="0.25">
      <c r="A89834"/>
      <c r="B89834"/>
      <c r="C89834"/>
      <c r="E89834"/>
      <c r="F89834"/>
    </row>
    <row r="89835" spans="1:6" x14ac:dyDescent="0.25">
      <c r="A89835"/>
      <c r="B89835"/>
      <c r="C89835"/>
      <c r="E89835"/>
      <c r="F89835"/>
    </row>
    <row r="89836" spans="1:6" x14ac:dyDescent="0.25">
      <c r="A89836"/>
      <c r="B89836"/>
      <c r="C89836"/>
      <c r="E89836"/>
      <c r="F89836"/>
    </row>
    <row r="89837" spans="1:6" x14ac:dyDescent="0.25">
      <c r="A89837"/>
      <c r="B89837"/>
      <c r="C89837"/>
      <c r="E89837"/>
      <c r="F89837"/>
    </row>
    <row r="89838" spans="1:6" x14ac:dyDescent="0.25">
      <c r="A89838"/>
      <c r="B89838"/>
      <c r="C89838"/>
      <c r="E89838"/>
      <c r="F89838"/>
    </row>
    <row r="89839" spans="1:6" x14ac:dyDescent="0.25">
      <c r="A89839"/>
      <c r="B89839"/>
      <c r="C89839"/>
      <c r="E89839"/>
      <c r="F89839"/>
    </row>
    <row r="89840" spans="1:6" x14ac:dyDescent="0.25">
      <c r="A89840"/>
      <c r="B89840"/>
      <c r="C89840"/>
      <c r="E89840"/>
      <c r="F89840"/>
    </row>
    <row r="89841" spans="1:6" x14ac:dyDescent="0.25">
      <c r="A89841"/>
      <c r="B89841"/>
      <c r="C89841"/>
      <c r="E89841"/>
      <c r="F89841"/>
    </row>
    <row r="89842" spans="1:6" x14ac:dyDescent="0.25">
      <c r="A89842"/>
      <c r="B89842"/>
      <c r="C89842"/>
      <c r="E89842"/>
      <c r="F89842"/>
    </row>
    <row r="89843" spans="1:6" x14ac:dyDescent="0.25">
      <c r="A89843"/>
      <c r="B89843"/>
      <c r="C89843"/>
      <c r="E89843"/>
      <c r="F89843"/>
    </row>
    <row r="89844" spans="1:6" x14ac:dyDescent="0.25">
      <c r="A89844"/>
      <c r="B89844"/>
      <c r="C89844"/>
      <c r="E89844"/>
      <c r="F89844"/>
    </row>
    <row r="89845" spans="1:6" x14ac:dyDescent="0.25">
      <c r="A89845"/>
      <c r="B89845"/>
      <c r="C89845"/>
      <c r="E89845"/>
      <c r="F89845"/>
    </row>
    <row r="89846" spans="1:6" x14ac:dyDescent="0.25">
      <c r="A89846"/>
      <c r="B89846"/>
      <c r="C89846"/>
      <c r="E89846"/>
      <c r="F89846"/>
    </row>
    <row r="89847" spans="1:6" x14ac:dyDescent="0.25">
      <c r="A89847"/>
      <c r="B89847"/>
      <c r="C89847"/>
      <c r="E89847"/>
      <c r="F89847"/>
    </row>
    <row r="89848" spans="1:6" x14ac:dyDescent="0.25">
      <c r="A89848"/>
      <c r="B89848"/>
      <c r="C89848"/>
      <c r="E89848"/>
      <c r="F89848"/>
    </row>
    <row r="89849" spans="1:6" x14ac:dyDescent="0.25">
      <c r="A89849"/>
      <c r="B89849"/>
      <c r="C89849"/>
      <c r="E89849"/>
      <c r="F89849"/>
    </row>
    <row r="89850" spans="1:6" x14ac:dyDescent="0.25">
      <c r="A89850"/>
      <c r="B89850"/>
      <c r="C89850"/>
      <c r="E89850"/>
      <c r="F89850"/>
    </row>
    <row r="89851" spans="1:6" x14ac:dyDescent="0.25">
      <c r="A89851"/>
      <c r="B89851"/>
      <c r="C89851"/>
      <c r="E89851"/>
      <c r="F89851"/>
    </row>
    <row r="89852" spans="1:6" x14ac:dyDescent="0.25">
      <c r="A89852"/>
      <c r="B89852"/>
      <c r="C89852"/>
      <c r="E89852"/>
      <c r="F89852"/>
    </row>
    <row r="89853" spans="1:6" x14ac:dyDescent="0.25">
      <c r="A89853"/>
      <c r="B89853"/>
      <c r="C89853"/>
      <c r="E89853"/>
      <c r="F89853"/>
    </row>
    <row r="89854" spans="1:6" x14ac:dyDescent="0.25">
      <c r="A89854"/>
      <c r="B89854"/>
      <c r="C89854"/>
      <c r="E89854"/>
      <c r="F89854"/>
    </row>
    <row r="89855" spans="1:6" x14ac:dyDescent="0.25">
      <c r="A89855"/>
      <c r="B89855"/>
      <c r="C89855"/>
      <c r="E89855"/>
      <c r="F89855"/>
    </row>
    <row r="89856" spans="1:6" x14ac:dyDescent="0.25">
      <c r="A89856"/>
      <c r="B89856"/>
      <c r="C89856"/>
      <c r="E89856"/>
      <c r="F89856"/>
    </row>
    <row r="89857" spans="1:6" x14ac:dyDescent="0.25">
      <c r="A89857"/>
      <c r="B89857"/>
      <c r="C89857"/>
      <c r="E89857"/>
      <c r="F89857"/>
    </row>
    <row r="89858" spans="1:6" x14ac:dyDescent="0.25">
      <c r="A89858"/>
      <c r="B89858"/>
      <c r="C89858"/>
      <c r="E89858"/>
      <c r="F89858"/>
    </row>
    <row r="89859" spans="1:6" x14ac:dyDescent="0.25">
      <c r="A89859"/>
      <c r="B89859"/>
      <c r="C89859"/>
      <c r="E89859"/>
      <c r="F89859"/>
    </row>
    <row r="89860" spans="1:6" x14ac:dyDescent="0.25">
      <c r="A89860"/>
      <c r="B89860"/>
      <c r="C89860"/>
      <c r="E89860"/>
      <c r="F89860"/>
    </row>
    <row r="89861" spans="1:6" x14ac:dyDescent="0.25">
      <c r="A89861"/>
      <c r="B89861"/>
      <c r="C89861"/>
      <c r="E89861"/>
      <c r="F89861"/>
    </row>
    <row r="89862" spans="1:6" x14ac:dyDescent="0.25">
      <c r="A89862"/>
      <c r="B89862"/>
      <c r="C89862"/>
      <c r="E89862"/>
      <c r="F89862"/>
    </row>
    <row r="89863" spans="1:6" x14ac:dyDescent="0.25">
      <c r="A89863"/>
      <c r="B89863"/>
      <c r="C89863"/>
      <c r="E89863"/>
      <c r="F89863"/>
    </row>
    <row r="89864" spans="1:6" x14ac:dyDescent="0.25">
      <c r="A89864"/>
      <c r="B89864"/>
      <c r="C89864"/>
      <c r="E89864"/>
      <c r="F89864"/>
    </row>
    <row r="89865" spans="1:6" x14ac:dyDescent="0.25">
      <c r="A89865"/>
      <c r="B89865"/>
      <c r="C89865"/>
      <c r="E89865"/>
      <c r="F89865"/>
    </row>
    <row r="89866" spans="1:6" x14ac:dyDescent="0.25">
      <c r="A89866"/>
      <c r="B89866"/>
      <c r="C89866"/>
      <c r="E89866"/>
      <c r="F89866"/>
    </row>
    <row r="89867" spans="1:6" x14ac:dyDescent="0.25">
      <c r="A89867"/>
      <c r="B89867"/>
      <c r="C89867"/>
      <c r="E89867"/>
      <c r="F89867"/>
    </row>
    <row r="89868" spans="1:6" x14ac:dyDescent="0.25">
      <c r="A89868"/>
      <c r="B89868"/>
      <c r="C89868"/>
      <c r="E89868"/>
      <c r="F89868"/>
    </row>
    <row r="89869" spans="1:6" x14ac:dyDescent="0.25">
      <c r="A89869"/>
      <c r="B89869"/>
      <c r="C89869"/>
      <c r="E89869"/>
      <c r="F89869"/>
    </row>
    <row r="89870" spans="1:6" x14ac:dyDescent="0.25">
      <c r="A89870"/>
      <c r="B89870"/>
      <c r="C89870"/>
      <c r="E89870"/>
      <c r="F89870"/>
    </row>
    <row r="89871" spans="1:6" x14ac:dyDescent="0.25">
      <c r="A89871"/>
      <c r="B89871"/>
      <c r="C89871"/>
      <c r="E89871"/>
      <c r="F89871"/>
    </row>
    <row r="89872" spans="1:6" x14ac:dyDescent="0.25">
      <c r="A89872"/>
      <c r="B89872"/>
      <c r="C89872"/>
      <c r="E89872"/>
      <c r="F89872"/>
    </row>
    <row r="89873" spans="1:6" x14ac:dyDescent="0.25">
      <c r="A89873"/>
      <c r="B89873"/>
      <c r="C89873"/>
      <c r="E89873"/>
      <c r="F89873"/>
    </row>
    <row r="89874" spans="1:6" x14ac:dyDescent="0.25">
      <c r="A89874"/>
      <c r="B89874"/>
      <c r="C89874"/>
      <c r="E89874"/>
      <c r="F89874"/>
    </row>
    <row r="89875" spans="1:6" x14ac:dyDescent="0.25">
      <c r="A89875"/>
      <c r="B89875"/>
      <c r="C89875"/>
      <c r="E89875"/>
      <c r="F89875"/>
    </row>
    <row r="89876" spans="1:6" x14ac:dyDescent="0.25">
      <c r="A89876"/>
      <c r="B89876"/>
      <c r="C89876"/>
      <c r="E89876"/>
      <c r="F89876"/>
    </row>
    <row r="89877" spans="1:6" x14ac:dyDescent="0.25">
      <c r="A89877"/>
      <c r="B89877"/>
      <c r="C89877"/>
      <c r="E89877"/>
      <c r="F89877"/>
    </row>
    <row r="89878" spans="1:6" x14ac:dyDescent="0.25">
      <c r="A89878"/>
      <c r="B89878"/>
      <c r="C89878"/>
      <c r="E89878"/>
      <c r="F89878"/>
    </row>
    <row r="89879" spans="1:6" x14ac:dyDescent="0.25">
      <c r="A89879"/>
      <c r="B89879"/>
      <c r="C89879"/>
      <c r="E89879"/>
      <c r="F89879"/>
    </row>
    <row r="89880" spans="1:6" x14ac:dyDescent="0.25">
      <c r="A89880"/>
      <c r="B89880"/>
      <c r="C89880"/>
      <c r="E89880"/>
      <c r="F89880"/>
    </row>
    <row r="89881" spans="1:6" x14ac:dyDescent="0.25">
      <c r="A89881"/>
      <c r="B89881"/>
      <c r="C89881"/>
      <c r="E89881"/>
      <c r="F89881"/>
    </row>
    <row r="89882" spans="1:6" x14ac:dyDescent="0.25">
      <c r="A89882"/>
      <c r="B89882"/>
      <c r="C89882"/>
      <c r="E89882"/>
      <c r="F89882"/>
    </row>
    <row r="89883" spans="1:6" x14ac:dyDescent="0.25">
      <c r="A89883"/>
      <c r="B89883"/>
      <c r="C89883"/>
      <c r="E89883"/>
      <c r="F89883"/>
    </row>
    <row r="89884" spans="1:6" x14ac:dyDescent="0.25">
      <c r="A89884"/>
      <c r="B89884"/>
      <c r="C89884"/>
      <c r="E89884"/>
      <c r="F89884"/>
    </row>
    <row r="89885" spans="1:6" x14ac:dyDescent="0.25">
      <c r="A89885"/>
      <c r="B89885"/>
      <c r="C89885"/>
      <c r="E89885"/>
      <c r="F89885"/>
    </row>
    <row r="89886" spans="1:6" x14ac:dyDescent="0.25">
      <c r="A89886"/>
      <c r="B89886"/>
      <c r="C89886"/>
      <c r="E89886"/>
      <c r="F89886"/>
    </row>
    <row r="89887" spans="1:6" x14ac:dyDescent="0.25">
      <c r="A89887"/>
      <c r="B89887"/>
      <c r="C89887"/>
      <c r="E89887"/>
      <c r="F89887"/>
    </row>
    <row r="89888" spans="1:6" x14ac:dyDescent="0.25">
      <c r="A89888"/>
      <c r="B89888"/>
      <c r="C89888"/>
      <c r="E89888"/>
      <c r="F89888"/>
    </row>
    <row r="89889" spans="1:6" x14ac:dyDescent="0.25">
      <c r="A89889"/>
      <c r="B89889"/>
      <c r="C89889"/>
      <c r="E89889"/>
      <c r="F89889"/>
    </row>
    <row r="89890" spans="1:6" x14ac:dyDescent="0.25">
      <c r="A89890"/>
      <c r="B89890"/>
      <c r="C89890"/>
      <c r="E89890"/>
      <c r="F89890"/>
    </row>
    <row r="89891" spans="1:6" x14ac:dyDescent="0.25">
      <c r="A89891"/>
      <c r="B89891"/>
      <c r="C89891"/>
      <c r="E89891"/>
      <c r="F89891"/>
    </row>
    <row r="89892" spans="1:6" x14ac:dyDescent="0.25">
      <c r="A89892"/>
      <c r="B89892"/>
      <c r="C89892"/>
      <c r="E89892"/>
      <c r="F89892"/>
    </row>
    <row r="89893" spans="1:6" x14ac:dyDescent="0.25">
      <c r="A89893"/>
      <c r="B89893"/>
      <c r="C89893"/>
      <c r="E89893"/>
      <c r="F89893"/>
    </row>
    <row r="89894" spans="1:6" x14ac:dyDescent="0.25">
      <c r="A89894"/>
      <c r="B89894"/>
      <c r="C89894"/>
      <c r="E89894"/>
      <c r="F89894"/>
    </row>
    <row r="89895" spans="1:6" x14ac:dyDescent="0.25">
      <c r="A89895"/>
      <c r="B89895"/>
      <c r="C89895"/>
      <c r="E89895"/>
      <c r="F89895"/>
    </row>
    <row r="89896" spans="1:6" x14ac:dyDescent="0.25">
      <c r="A89896"/>
      <c r="B89896"/>
      <c r="C89896"/>
      <c r="E89896"/>
      <c r="F89896"/>
    </row>
    <row r="89897" spans="1:6" x14ac:dyDescent="0.25">
      <c r="A89897"/>
      <c r="B89897"/>
      <c r="C89897"/>
      <c r="E89897"/>
      <c r="F89897"/>
    </row>
    <row r="89898" spans="1:6" x14ac:dyDescent="0.25">
      <c r="A89898"/>
      <c r="B89898"/>
      <c r="C89898"/>
      <c r="E89898"/>
      <c r="F89898"/>
    </row>
    <row r="89899" spans="1:6" x14ac:dyDescent="0.25">
      <c r="A89899"/>
      <c r="B89899"/>
      <c r="C89899"/>
      <c r="E89899"/>
      <c r="F89899"/>
    </row>
    <row r="89900" spans="1:6" x14ac:dyDescent="0.25">
      <c r="A89900"/>
      <c r="B89900"/>
      <c r="C89900"/>
      <c r="E89900"/>
      <c r="F89900"/>
    </row>
    <row r="89901" spans="1:6" x14ac:dyDescent="0.25">
      <c r="A89901"/>
      <c r="B89901"/>
      <c r="C89901"/>
      <c r="E89901"/>
      <c r="F89901"/>
    </row>
    <row r="89902" spans="1:6" x14ac:dyDescent="0.25">
      <c r="A89902"/>
      <c r="B89902"/>
      <c r="C89902"/>
      <c r="E89902"/>
      <c r="F89902"/>
    </row>
    <row r="89903" spans="1:6" x14ac:dyDescent="0.25">
      <c r="A89903"/>
      <c r="B89903"/>
      <c r="C89903"/>
      <c r="E89903"/>
      <c r="F89903"/>
    </row>
    <row r="89904" spans="1:6" x14ac:dyDescent="0.25">
      <c r="A89904"/>
      <c r="B89904"/>
      <c r="C89904"/>
      <c r="E89904"/>
      <c r="F89904"/>
    </row>
    <row r="89905" spans="1:6" x14ac:dyDescent="0.25">
      <c r="A89905"/>
      <c r="B89905"/>
      <c r="C89905"/>
      <c r="E89905"/>
      <c r="F89905"/>
    </row>
    <row r="89906" spans="1:6" x14ac:dyDescent="0.25">
      <c r="A89906"/>
      <c r="B89906"/>
      <c r="C89906"/>
      <c r="E89906"/>
      <c r="F89906"/>
    </row>
    <row r="89907" spans="1:6" x14ac:dyDescent="0.25">
      <c r="A89907"/>
      <c r="B89907"/>
      <c r="C89907"/>
      <c r="E89907"/>
      <c r="F89907"/>
    </row>
    <row r="89908" spans="1:6" x14ac:dyDescent="0.25">
      <c r="A89908"/>
      <c r="B89908"/>
      <c r="C89908"/>
      <c r="E89908"/>
      <c r="F89908"/>
    </row>
    <row r="89909" spans="1:6" x14ac:dyDescent="0.25">
      <c r="A89909"/>
      <c r="B89909"/>
      <c r="C89909"/>
      <c r="E89909"/>
      <c r="F89909"/>
    </row>
    <row r="89910" spans="1:6" x14ac:dyDescent="0.25">
      <c r="A89910"/>
      <c r="B89910"/>
      <c r="C89910"/>
      <c r="E89910"/>
      <c r="F89910"/>
    </row>
    <row r="89911" spans="1:6" x14ac:dyDescent="0.25">
      <c r="A89911"/>
      <c r="B89911"/>
      <c r="C89911"/>
      <c r="E89911"/>
      <c r="F89911"/>
    </row>
    <row r="89912" spans="1:6" x14ac:dyDescent="0.25">
      <c r="A89912"/>
      <c r="B89912"/>
      <c r="C89912"/>
      <c r="E89912"/>
      <c r="F89912"/>
    </row>
    <row r="89913" spans="1:6" x14ac:dyDescent="0.25">
      <c r="A89913"/>
      <c r="B89913"/>
      <c r="C89913"/>
      <c r="E89913"/>
      <c r="F89913"/>
    </row>
    <row r="89914" spans="1:6" x14ac:dyDescent="0.25">
      <c r="A89914"/>
      <c r="B89914"/>
      <c r="C89914"/>
      <c r="E89914"/>
      <c r="F89914"/>
    </row>
    <row r="89915" spans="1:6" x14ac:dyDescent="0.25">
      <c r="A89915"/>
      <c r="B89915"/>
      <c r="C89915"/>
      <c r="E89915"/>
      <c r="F89915"/>
    </row>
    <row r="89916" spans="1:6" x14ac:dyDescent="0.25">
      <c r="A89916"/>
      <c r="B89916"/>
      <c r="C89916"/>
      <c r="E89916"/>
      <c r="F89916"/>
    </row>
    <row r="89917" spans="1:6" x14ac:dyDescent="0.25">
      <c r="A89917"/>
      <c r="B89917"/>
      <c r="C89917"/>
      <c r="E89917"/>
      <c r="F89917"/>
    </row>
    <row r="89918" spans="1:6" x14ac:dyDescent="0.25">
      <c r="A89918"/>
      <c r="B89918"/>
      <c r="C89918"/>
      <c r="E89918"/>
      <c r="F89918"/>
    </row>
    <row r="89919" spans="1:6" x14ac:dyDescent="0.25">
      <c r="A89919"/>
      <c r="B89919"/>
      <c r="C89919"/>
      <c r="E89919"/>
      <c r="F89919"/>
    </row>
    <row r="89920" spans="1:6" x14ac:dyDescent="0.25">
      <c r="A89920"/>
      <c r="B89920"/>
      <c r="C89920"/>
      <c r="E89920"/>
      <c r="F89920"/>
    </row>
    <row r="89921" spans="1:6" x14ac:dyDescent="0.25">
      <c r="A89921"/>
      <c r="B89921"/>
      <c r="C89921"/>
      <c r="E89921"/>
      <c r="F89921"/>
    </row>
    <row r="89922" spans="1:6" x14ac:dyDescent="0.25">
      <c r="A89922"/>
      <c r="B89922"/>
      <c r="C89922"/>
      <c r="E89922"/>
      <c r="F89922"/>
    </row>
    <row r="89923" spans="1:6" x14ac:dyDescent="0.25">
      <c r="A89923"/>
      <c r="B89923"/>
      <c r="C89923"/>
      <c r="E89923"/>
      <c r="F89923"/>
    </row>
    <row r="89924" spans="1:6" x14ac:dyDescent="0.25">
      <c r="A89924"/>
      <c r="B89924"/>
      <c r="C89924"/>
      <c r="E89924"/>
      <c r="F89924"/>
    </row>
    <row r="89925" spans="1:6" x14ac:dyDescent="0.25">
      <c r="A89925"/>
      <c r="B89925"/>
      <c r="C89925"/>
      <c r="E89925"/>
      <c r="F89925"/>
    </row>
    <row r="89926" spans="1:6" x14ac:dyDescent="0.25">
      <c r="A89926"/>
      <c r="B89926"/>
      <c r="C89926"/>
      <c r="E89926"/>
      <c r="F89926"/>
    </row>
    <row r="89927" spans="1:6" x14ac:dyDescent="0.25">
      <c r="A89927"/>
      <c r="B89927"/>
      <c r="C89927"/>
      <c r="E89927"/>
      <c r="F89927"/>
    </row>
    <row r="89928" spans="1:6" x14ac:dyDescent="0.25">
      <c r="A89928"/>
      <c r="B89928"/>
      <c r="C89928"/>
      <c r="E89928"/>
      <c r="F89928"/>
    </row>
    <row r="89929" spans="1:6" x14ac:dyDescent="0.25">
      <c r="A89929"/>
      <c r="B89929"/>
      <c r="C89929"/>
      <c r="E89929"/>
      <c r="F89929"/>
    </row>
    <row r="89930" spans="1:6" x14ac:dyDescent="0.25">
      <c r="A89930"/>
      <c r="B89930"/>
      <c r="C89930"/>
      <c r="E89930"/>
      <c r="F89930"/>
    </row>
    <row r="89931" spans="1:6" x14ac:dyDescent="0.25">
      <c r="A89931"/>
      <c r="B89931"/>
      <c r="C89931"/>
      <c r="E89931"/>
      <c r="F89931"/>
    </row>
    <row r="89932" spans="1:6" x14ac:dyDescent="0.25">
      <c r="A89932"/>
      <c r="B89932"/>
      <c r="C89932"/>
      <c r="E89932"/>
      <c r="F89932"/>
    </row>
    <row r="89933" spans="1:6" x14ac:dyDescent="0.25">
      <c r="A89933"/>
      <c r="B89933"/>
      <c r="C89933"/>
      <c r="E89933"/>
      <c r="F89933"/>
    </row>
    <row r="89934" spans="1:6" x14ac:dyDescent="0.25">
      <c r="A89934"/>
      <c r="B89934"/>
      <c r="C89934"/>
      <c r="E89934"/>
      <c r="F89934"/>
    </row>
    <row r="89935" spans="1:6" x14ac:dyDescent="0.25">
      <c r="A89935"/>
      <c r="B89935"/>
      <c r="C89935"/>
      <c r="E89935"/>
      <c r="F89935"/>
    </row>
    <row r="89936" spans="1:6" x14ac:dyDescent="0.25">
      <c r="A89936"/>
      <c r="B89936"/>
      <c r="C89936"/>
      <c r="E89936"/>
      <c r="F89936"/>
    </row>
    <row r="89937" spans="1:6" x14ac:dyDescent="0.25">
      <c r="A89937"/>
      <c r="B89937"/>
      <c r="C89937"/>
      <c r="E89937"/>
      <c r="F89937"/>
    </row>
    <row r="89938" spans="1:6" x14ac:dyDescent="0.25">
      <c r="A89938"/>
      <c r="B89938"/>
      <c r="C89938"/>
      <c r="E89938"/>
      <c r="F89938"/>
    </row>
    <row r="89939" spans="1:6" x14ac:dyDescent="0.25">
      <c r="A89939"/>
      <c r="B89939"/>
      <c r="C89939"/>
      <c r="E89939"/>
      <c r="F89939"/>
    </row>
    <row r="89940" spans="1:6" x14ac:dyDescent="0.25">
      <c r="A89940"/>
      <c r="B89940"/>
      <c r="C89940"/>
      <c r="E89940"/>
      <c r="F89940"/>
    </row>
    <row r="89941" spans="1:6" x14ac:dyDescent="0.25">
      <c r="A89941"/>
      <c r="B89941"/>
      <c r="C89941"/>
      <c r="E89941"/>
      <c r="F89941"/>
    </row>
    <row r="89942" spans="1:6" x14ac:dyDescent="0.25">
      <c r="A89942"/>
      <c r="B89942"/>
      <c r="C89942"/>
      <c r="E89942"/>
      <c r="F89942"/>
    </row>
    <row r="89943" spans="1:6" x14ac:dyDescent="0.25">
      <c r="A89943"/>
      <c r="B89943"/>
      <c r="C89943"/>
      <c r="E89943"/>
      <c r="F89943"/>
    </row>
    <row r="89944" spans="1:6" x14ac:dyDescent="0.25">
      <c r="A89944"/>
      <c r="B89944"/>
      <c r="C89944"/>
      <c r="E89944"/>
      <c r="F89944"/>
    </row>
    <row r="89945" spans="1:6" x14ac:dyDescent="0.25">
      <c r="A89945"/>
      <c r="B89945"/>
      <c r="C89945"/>
      <c r="E89945"/>
      <c r="F89945"/>
    </row>
    <row r="89946" spans="1:6" x14ac:dyDescent="0.25">
      <c r="A89946"/>
      <c r="B89946"/>
      <c r="C89946"/>
      <c r="E89946"/>
      <c r="F89946"/>
    </row>
    <row r="89947" spans="1:6" x14ac:dyDescent="0.25">
      <c r="A89947"/>
      <c r="B89947"/>
      <c r="C89947"/>
      <c r="E89947"/>
      <c r="F89947"/>
    </row>
    <row r="89948" spans="1:6" x14ac:dyDescent="0.25">
      <c r="A89948"/>
      <c r="B89948"/>
      <c r="C89948"/>
      <c r="E89948"/>
      <c r="F89948"/>
    </row>
    <row r="89949" spans="1:6" x14ac:dyDescent="0.25">
      <c r="A89949"/>
      <c r="B89949"/>
      <c r="C89949"/>
      <c r="E89949"/>
      <c r="F89949"/>
    </row>
    <row r="89950" spans="1:6" x14ac:dyDescent="0.25">
      <c r="A89950"/>
      <c r="B89950"/>
      <c r="C89950"/>
      <c r="E89950"/>
      <c r="F89950"/>
    </row>
    <row r="89951" spans="1:6" x14ac:dyDescent="0.25">
      <c r="A89951"/>
      <c r="B89951"/>
      <c r="C89951"/>
      <c r="E89951"/>
      <c r="F89951"/>
    </row>
    <row r="89952" spans="1:6" x14ac:dyDescent="0.25">
      <c r="A89952"/>
      <c r="B89952"/>
      <c r="C89952"/>
      <c r="E89952"/>
      <c r="F89952"/>
    </row>
    <row r="89953" spans="1:6" x14ac:dyDescent="0.25">
      <c r="A89953"/>
      <c r="B89953"/>
      <c r="C89953"/>
      <c r="E89953"/>
      <c r="F89953"/>
    </row>
    <row r="89954" spans="1:6" x14ac:dyDescent="0.25">
      <c r="A89954"/>
      <c r="B89954"/>
      <c r="C89954"/>
      <c r="E89954"/>
      <c r="F89954"/>
    </row>
    <row r="89955" spans="1:6" x14ac:dyDescent="0.25">
      <c r="A89955"/>
      <c r="B89955"/>
      <c r="C89955"/>
      <c r="E89955"/>
      <c r="F89955"/>
    </row>
    <row r="89956" spans="1:6" x14ac:dyDescent="0.25">
      <c r="A89956"/>
      <c r="B89956"/>
      <c r="C89956"/>
      <c r="E89956"/>
      <c r="F89956"/>
    </row>
    <row r="89957" spans="1:6" x14ac:dyDescent="0.25">
      <c r="A89957"/>
      <c r="B89957"/>
      <c r="C89957"/>
      <c r="E89957"/>
      <c r="F89957"/>
    </row>
    <row r="89958" spans="1:6" x14ac:dyDescent="0.25">
      <c r="A89958"/>
      <c r="B89958"/>
      <c r="C89958"/>
      <c r="E89958"/>
      <c r="F89958"/>
    </row>
    <row r="89959" spans="1:6" x14ac:dyDescent="0.25">
      <c r="A89959"/>
      <c r="B89959"/>
      <c r="C89959"/>
      <c r="E89959"/>
      <c r="F89959"/>
    </row>
    <row r="89960" spans="1:6" x14ac:dyDescent="0.25">
      <c r="A89960"/>
      <c r="B89960"/>
      <c r="C89960"/>
      <c r="E89960"/>
      <c r="F89960"/>
    </row>
    <row r="89961" spans="1:6" x14ac:dyDescent="0.25">
      <c r="A89961"/>
      <c r="B89961"/>
      <c r="C89961"/>
      <c r="E89961"/>
      <c r="F89961"/>
    </row>
    <row r="89962" spans="1:6" x14ac:dyDescent="0.25">
      <c r="A89962"/>
      <c r="B89962"/>
      <c r="C89962"/>
      <c r="E89962"/>
      <c r="F89962"/>
    </row>
    <row r="89963" spans="1:6" x14ac:dyDescent="0.25">
      <c r="A89963"/>
      <c r="B89963"/>
      <c r="C89963"/>
      <c r="E89963"/>
      <c r="F89963"/>
    </row>
    <row r="89964" spans="1:6" x14ac:dyDescent="0.25">
      <c r="A89964"/>
      <c r="B89964"/>
      <c r="C89964"/>
      <c r="E89964"/>
      <c r="F89964"/>
    </row>
    <row r="89965" spans="1:6" x14ac:dyDescent="0.25">
      <c r="A89965"/>
      <c r="B89965"/>
      <c r="C89965"/>
      <c r="E89965"/>
      <c r="F89965"/>
    </row>
    <row r="89966" spans="1:6" x14ac:dyDescent="0.25">
      <c r="A89966"/>
      <c r="B89966"/>
      <c r="C89966"/>
      <c r="E89966"/>
      <c r="F89966"/>
    </row>
    <row r="89967" spans="1:6" x14ac:dyDescent="0.25">
      <c r="A89967"/>
      <c r="B89967"/>
      <c r="C89967"/>
      <c r="E89967"/>
      <c r="F89967"/>
    </row>
    <row r="89968" spans="1:6" x14ac:dyDescent="0.25">
      <c r="A89968"/>
      <c r="B89968"/>
      <c r="C89968"/>
      <c r="E89968"/>
      <c r="F89968"/>
    </row>
    <row r="89969" spans="1:6" x14ac:dyDescent="0.25">
      <c r="A89969"/>
      <c r="B89969"/>
      <c r="C89969"/>
      <c r="E89969"/>
      <c r="F89969"/>
    </row>
    <row r="89970" spans="1:6" x14ac:dyDescent="0.25">
      <c r="A89970"/>
      <c r="B89970"/>
      <c r="C89970"/>
      <c r="E89970"/>
      <c r="F89970"/>
    </row>
    <row r="89971" spans="1:6" x14ac:dyDescent="0.25">
      <c r="A89971"/>
      <c r="B89971"/>
      <c r="C89971"/>
      <c r="E89971"/>
      <c r="F89971"/>
    </row>
    <row r="89972" spans="1:6" x14ac:dyDescent="0.25">
      <c r="A89972"/>
      <c r="B89972"/>
      <c r="C89972"/>
      <c r="E89972"/>
      <c r="F89972"/>
    </row>
    <row r="89973" spans="1:6" x14ac:dyDescent="0.25">
      <c r="A89973"/>
      <c r="B89973"/>
      <c r="C89973"/>
      <c r="E89973"/>
      <c r="F89973"/>
    </row>
    <row r="89974" spans="1:6" x14ac:dyDescent="0.25">
      <c r="A89974"/>
      <c r="B89974"/>
      <c r="C89974"/>
      <c r="E89974"/>
      <c r="F89974"/>
    </row>
    <row r="89975" spans="1:6" x14ac:dyDescent="0.25">
      <c r="A89975"/>
      <c r="B89975"/>
      <c r="C89975"/>
      <c r="E89975"/>
      <c r="F89975"/>
    </row>
    <row r="89976" spans="1:6" x14ac:dyDescent="0.25">
      <c r="A89976"/>
      <c r="B89976"/>
      <c r="C89976"/>
      <c r="E89976"/>
      <c r="F89976"/>
    </row>
    <row r="89977" spans="1:6" x14ac:dyDescent="0.25">
      <c r="A89977"/>
      <c r="B89977"/>
      <c r="C89977"/>
      <c r="E89977"/>
      <c r="F89977"/>
    </row>
    <row r="89978" spans="1:6" x14ac:dyDescent="0.25">
      <c r="A89978"/>
      <c r="B89978"/>
      <c r="C89978"/>
      <c r="E89978"/>
      <c r="F89978"/>
    </row>
    <row r="89979" spans="1:6" x14ac:dyDescent="0.25">
      <c r="A89979"/>
      <c r="B89979"/>
      <c r="C89979"/>
      <c r="E89979"/>
      <c r="F89979"/>
    </row>
    <row r="89980" spans="1:6" x14ac:dyDescent="0.25">
      <c r="A89980"/>
      <c r="B89980"/>
      <c r="C89980"/>
      <c r="E89980"/>
      <c r="F89980"/>
    </row>
    <row r="89981" spans="1:6" x14ac:dyDescent="0.25">
      <c r="A89981"/>
      <c r="B89981"/>
      <c r="C89981"/>
      <c r="E89981"/>
      <c r="F89981"/>
    </row>
    <row r="89982" spans="1:6" x14ac:dyDescent="0.25">
      <c r="A89982"/>
      <c r="B89982"/>
      <c r="C89982"/>
      <c r="E89982"/>
      <c r="F89982"/>
    </row>
    <row r="89983" spans="1:6" x14ac:dyDescent="0.25">
      <c r="A89983"/>
      <c r="B89983"/>
      <c r="C89983"/>
      <c r="E89983"/>
      <c r="F89983"/>
    </row>
    <row r="89984" spans="1:6" x14ac:dyDescent="0.25">
      <c r="A89984"/>
      <c r="B89984"/>
      <c r="C89984"/>
      <c r="E89984"/>
      <c r="F89984"/>
    </row>
    <row r="89985" spans="1:6" x14ac:dyDescent="0.25">
      <c r="A89985"/>
      <c r="B89985"/>
      <c r="C89985"/>
      <c r="E89985"/>
      <c r="F89985"/>
    </row>
    <row r="89986" spans="1:6" x14ac:dyDescent="0.25">
      <c r="A89986"/>
      <c r="B89986"/>
      <c r="C89986"/>
      <c r="E89986"/>
      <c r="F89986"/>
    </row>
    <row r="89987" spans="1:6" x14ac:dyDescent="0.25">
      <c r="A89987"/>
      <c r="B89987"/>
      <c r="C89987"/>
      <c r="E89987"/>
      <c r="F89987"/>
    </row>
    <row r="89988" spans="1:6" x14ac:dyDescent="0.25">
      <c r="A89988"/>
      <c r="B89988"/>
      <c r="C89988"/>
      <c r="E89988"/>
      <c r="F89988"/>
    </row>
    <row r="89989" spans="1:6" x14ac:dyDescent="0.25">
      <c r="A89989"/>
      <c r="B89989"/>
      <c r="C89989"/>
      <c r="E89989"/>
      <c r="F89989"/>
    </row>
    <row r="89990" spans="1:6" x14ac:dyDescent="0.25">
      <c r="A89990"/>
      <c r="B89990"/>
      <c r="C89990"/>
      <c r="E89990"/>
      <c r="F89990"/>
    </row>
    <row r="89991" spans="1:6" x14ac:dyDescent="0.25">
      <c r="A89991"/>
      <c r="B89991"/>
      <c r="C89991"/>
      <c r="E89991"/>
      <c r="F89991"/>
    </row>
    <row r="89992" spans="1:6" x14ac:dyDescent="0.25">
      <c r="A89992"/>
      <c r="B89992"/>
      <c r="C89992"/>
      <c r="E89992"/>
      <c r="F89992"/>
    </row>
    <row r="89993" spans="1:6" x14ac:dyDescent="0.25">
      <c r="A89993"/>
      <c r="B89993"/>
      <c r="C89993"/>
      <c r="E89993"/>
      <c r="F89993"/>
    </row>
    <row r="89994" spans="1:6" x14ac:dyDescent="0.25">
      <c r="A89994"/>
      <c r="B89994"/>
      <c r="C89994"/>
      <c r="E89994"/>
      <c r="F89994"/>
    </row>
    <row r="89995" spans="1:6" x14ac:dyDescent="0.25">
      <c r="A89995"/>
      <c r="B89995"/>
      <c r="C89995"/>
      <c r="E89995"/>
      <c r="F89995"/>
    </row>
    <row r="89996" spans="1:6" x14ac:dyDescent="0.25">
      <c r="A89996"/>
      <c r="B89996"/>
      <c r="C89996"/>
      <c r="E89996"/>
      <c r="F89996"/>
    </row>
    <row r="89997" spans="1:6" x14ac:dyDescent="0.25">
      <c r="A89997"/>
      <c r="B89997"/>
      <c r="C89997"/>
      <c r="E89997"/>
      <c r="F89997"/>
    </row>
    <row r="89998" spans="1:6" x14ac:dyDescent="0.25">
      <c r="A89998"/>
      <c r="B89998"/>
      <c r="C89998"/>
      <c r="E89998"/>
      <c r="F89998"/>
    </row>
    <row r="89999" spans="1:6" x14ac:dyDescent="0.25">
      <c r="A89999"/>
      <c r="B89999"/>
      <c r="C89999"/>
      <c r="E89999"/>
      <c r="F89999"/>
    </row>
    <row r="90000" spans="1:6" x14ac:dyDescent="0.25">
      <c r="A90000"/>
      <c r="B90000"/>
      <c r="C90000"/>
      <c r="E90000"/>
      <c r="F90000"/>
    </row>
    <row r="90001" spans="1:6" x14ac:dyDescent="0.25">
      <c r="A90001"/>
      <c r="B90001"/>
      <c r="C90001"/>
      <c r="E90001"/>
      <c r="F90001"/>
    </row>
    <row r="90002" spans="1:6" x14ac:dyDescent="0.25">
      <c r="A90002"/>
      <c r="B90002"/>
      <c r="C90002"/>
      <c r="E90002"/>
      <c r="F90002"/>
    </row>
    <row r="90003" spans="1:6" x14ac:dyDescent="0.25">
      <c r="A90003"/>
      <c r="B90003"/>
      <c r="C90003"/>
      <c r="E90003"/>
      <c r="F90003"/>
    </row>
    <row r="90004" spans="1:6" x14ac:dyDescent="0.25">
      <c r="A90004"/>
      <c r="B90004"/>
      <c r="C90004"/>
      <c r="E90004"/>
      <c r="F90004"/>
    </row>
    <row r="90005" spans="1:6" x14ac:dyDescent="0.25">
      <c r="A90005"/>
      <c r="B90005"/>
      <c r="C90005"/>
      <c r="E90005"/>
      <c r="F90005"/>
    </row>
    <row r="90006" spans="1:6" x14ac:dyDescent="0.25">
      <c r="A90006"/>
      <c r="B90006"/>
      <c r="C90006"/>
      <c r="E90006"/>
      <c r="F90006"/>
    </row>
    <row r="90007" spans="1:6" x14ac:dyDescent="0.25">
      <c r="A90007"/>
      <c r="B90007"/>
      <c r="C90007"/>
      <c r="E90007"/>
      <c r="F90007"/>
    </row>
    <row r="90008" spans="1:6" x14ac:dyDescent="0.25">
      <c r="A90008"/>
      <c r="B90008"/>
      <c r="C90008"/>
      <c r="E90008"/>
      <c r="F90008"/>
    </row>
    <row r="90009" spans="1:6" x14ac:dyDescent="0.25">
      <c r="A90009"/>
      <c r="B90009"/>
      <c r="C90009"/>
      <c r="E90009"/>
      <c r="F90009"/>
    </row>
    <row r="90010" spans="1:6" x14ac:dyDescent="0.25">
      <c r="A90010"/>
      <c r="B90010"/>
      <c r="C90010"/>
      <c r="E90010"/>
      <c r="F90010"/>
    </row>
    <row r="90011" spans="1:6" x14ac:dyDescent="0.25">
      <c r="A90011"/>
      <c r="B90011"/>
      <c r="C90011"/>
      <c r="E90011"/>
      <c r="F90011"/>
    </row>
    <row r="90012" spans="1:6" x14ac:dyDescent="0.25">
      <c r="A90012"/>
      <c r="B90012"/>
      <c r="C90012"/>
      <c r="E90012"/>
      <c r="F90012"/>
    </row>
    <row r="90013" spans="1:6" x14ac:dyDescent="0.25">
      <c r="A90013"/>
      <c r="B90013"/>
      <c r="C90013"/>
      <c r="E90013"/>
      <c r="F90013"/>
    </row>
    <row r="90014" spans="1:6" x14ac:dyDescent="0.25">
      <c r="A90014"/>
      <c r="B90014"/>
      <c r="C90014"/>
      <c r="E90014"/>
      <c r="F90014"/>
    </row>
    <row r="90015" spans="1:6" x14ac:dyDescent="0.25">
      <c r="A90015"/>
      <c r="B90015"/>
      <c r="C90015"/>
      <c r="E90015"/>
      <c r="F90015"/>
    </row>
    <row r="90016" spans="1:6" x14ac:dyDescent="0.25">
      <c r="A90016"/>
      <c r="B90016"/>
      <c r="C90016"/>
      <c r="E90016"/>
      <c r="F90016"/>
    </row>
    <row r="90017" spans="1:6" x14ac:dyDescent="0.25">
      <c r="A90017"/>
      <c r="B90017"/>
      <c r="C90017"/>
      <c r="E90017"/>
      <c r="F90017"/>
    </row>
    <row r="90018" spans="1:6" x14ac:dyDescent="0.25">
      <c r="A90018"/>
      <c r="B90018"/>
      <c r="C90018"/>
      <c r="E90018"/>
      <c r="F90018"/>
    </row>
    <row r="90019" spans="1:6" x14ac:dyDescent="0.25">
      <c r="A90019"/>
      <c r="B90019"/>
      <c r="C90019"/>
      <c r="E90019"/>
      <c r="F90019"/>
    </row>
    <row r="90020" spans="1:6" x14ac:dyDescent="0.25">
      <c r="A90020"/>
      <c r="B90020"/>
      <c r="C90020"/>
      <c r="E90020"/>
      <c r="F90020"/>
    </row>
    <row r="90021" spans="1:6" x14ac:dyDescent="0.25">
      <c r="A90021"/>
      <c r="B90021"/>
      <c r="C90021"/>
      <c r="E90021"/>
      <c r="F90021"/>
    </row>
    <row r="90022" spans="1:6" x14ac:dyDescent="0.25">
      <c r="A90022"/>
      <c r="B90022"/>
      <c r="C90022"/>
      <c r="E90022"/>
      <c r="F90022"/>
    </row>
    <row r="90023" spans="1:6" x14ac:dyDescent="0.25">
      <c r="A90023"/>
      <c r="B90023"/>
      <c r="C90023"/>
      <c r="E90023"/>
      <c r="F90023"/>
    </row>
    <row r="90024" spans="1:6" x14ac:dyDescent="0.25">
      <c r="A90024"/>
      <c r="B90024"/>
      <c r="C90024"/>
      <c r="E90024"/>
      <c r="F90024"/>
    </row>
    <row r="90025" spans="1:6" x14ac:dyDescent="0.25">
      <c r="A90025"/>
      <c r="B90025"/>
      <c r="C90025"/>
      <c r="E90025"/>
      <c r="F90025"/>
    </row>
    <row r="90026" spans="1:6" x14ac:dyDescent="0.25">
      <c r="A90026"/>
      <c r="B90026"/>
      <c r="C90026"/>
      <c r="E90026"/>
      <c r="F90026"/>
    </row>
    <row r="90027" spans="1:6" x14ac:dyDescent="0.25">
      <c r="A90027"/>
      <c r="B90027"/>
      <c r="C90027"/>
      <c r="E90027"/>
      <c r="F90027"/>
    </row>
    <row r="90028" spans="1:6" x14ac:dyDescent="0.25">
      <c r="A90028"/>
      <c r="B90028"/>
      <c r="C90028"/>
      <c r="E90028"/>
      <c r="F90028"/>
    </row>
    <row r="90029" spans="1:6" x14ac:dyDescent="0.25">
      <c r="A90029"/>
      <c r="B90029"/>
      <c r="C90029"/>
      <c r="E90029"/>
      <c r="F90029"/>
    </row>
    <row r="90030" spans="1:6" x14ac:dyDescent="0.25">
      <c r="A90030"/>
      <c r="B90030"/>
      <c r="C90030"/>
      <c r="E90030"/>
      <c r="F90030"/>
    </row>
    <row r="90031" spans="1:6" x14ac:dyDescent="0.25">
      <c r="A90031"/>
      <c r="B90031"/>
      <c r="C90031"/>
      <c r="E90031"/>
      <c r="F90031"/>
    </row>
    <row r="90032" spans="1:6" x14ac:dyDescent="0.25">
      <c r="A90032"/>
      <c r="B90032"/>
      <c r="C90032"/>
      <c r="E90032"/>
      <c r="F90032"/>
    </row>
    <row r="90033" spans="1:6" x14ac:dyDescent="0.25">
      <c r="A90033"/>
      <c r="B90033"/>
      <c r="C90033"/>
      <c r="E90033"/>
      <c r="F90033"/>
    </row>
    <row r="90034" spans="1:6" x14ac:dyDescent="0.25">
      <c r="A90034"/>
      <c r="B90034"/>
      <c r="C90034"/>
      <c r="E90034"/>
      <c r="F90034"/>
    </row>
    <row r="90035" spans="1:6" x14ac:dyDescent="0.25">
      <c r="A90035"/>
      <c r="B90035"/>
      <c r="C90035"/>
      <c r="E90035"/>
      <c r="F90035"/>
    </row>
    <row r="90036" spans="1:6" x14ac:dyDescent="0.25">
      <c r="A90036"/>
      <c r="B90036"/>
      <c r="C90036"/>
      <c r="E90036"/>
      <c r="F90036"/>
    </row>
    <row r="90037" spans="1:6" x14ac:dyDescent="0.25">
      <c r="A90037"/>
      <c r="B90037"/>
      <c r="C90037"/>
      <c r="E90037"/>
      <c r="F90037"/>
    </row>
    <row r="90038" spans="1:6" x14ac:dyDescent="0.25">
      <c r="A90038"/>
      <c r="B90038"/>
      <c r="C90038"/>
      <c r="E90038"/>
      <c r="F90038"/>
    </row>
    <row r="90039" spans="1:6" x14ac:dyDescent="0.25">
      <c r="A90039"/>
      <c r="B90039"/>
      <c r="C90039"/>
      <c r="E90039"/>
      <c r="F90039"/>
    </row>
    <row r="90040" spans="1:6" x14ac:dyDescent="0.25">
      <c r="A90040"/>
      <c r="B90040"/>
      <c r="C90040"/>
      <c r="E90040"/>
      <c r="F90040"/>
    </row>
    <row r="90041" spans="1:6" x14ac:dyDescent="0.25">
      <c r="A90041"/>
      <c r="B90041"/>
      <c r="C90041"/>
      <c r="E90041"/>
      <c r="F90041"/>
    </row>
    <row r="90042" spans="1:6" x14ac:dyDescent="0.25">
      <c r="A90042"/>
      <c r="B90042"/>
      <c r="C90042"/>
      <c r="E90042"/>
      <c r="F90042"/>
    </row>
    <row r="90043" spans="1:6" x14ac:dyDescent="0.25">
      <c r="A90043"/>
      <c r="B90043"/>
      <c r="C90043"/>
      <c r="E90043"/>
      <c r="F90043"/>
    </row>
    <row r="90044" spans="1:6" x14ac:dyDescent="0.25">
      <c r="A90044"/>
      <c r="B90044"/>
      <c r="C90044"/>
      <c r="E90044"/>
      <c r="F90044"/>
    </row>
    <row r="90045" spans="1:6" x14ac:dyDescent="0.25">
      <c r="A90045"/>
      <c r="B90045"/>
      <c r="C90045"/>
      <c r="E90045"/>
      <c r="F90045"/>
    </row>
    <row r="90046" spans="1:6" x14ac:dyDescent="0.25">
      <c r="A90046"/>
      <c r="B90046"/>
      <c r="C90046"/>
      <c r="E90046"/>
      <c r="F90046"/>
    </row>
    <row r="90047" spans="1:6" x14ac:dyDescent="0.25">
      <c r="A90047"/>
      <c r="B90047"/>
      <c r="C90047"/>
      <c r="E90047"/>
      <c r="F90047"/>
    </row>
    <row r="90048" spans="1:6" x14ac:dyDescent="0.25">
      <c r="A90048"/>
      <c r="B90048"/>
      <c r="C90048"/>
      <c r="E90048"/>
      <c r="F90048"/>
    </row>
    <row r="90049" spans="1:6" x14ac:dyDescent="0.25">
      <c r="A90049"/>
      <c r="B90049"/>
      <c r="C90049"/>
      <c r="E90049"/>
      <c r="F90049"/>
    </row>
    <row r="90050" spans="1:6" x14ac:dyDescent="0.25">
      <c r="A90050"/>
      <c r="B90050"/>
      <c r="C90050"/>
      <c r="E90050"/>
      <c r="F90050"/>
    </row>
    <row r="90051" spans="1:6" x14ac:dyDescent="0.25">
      <c r="A90051"/>
      <c r="B90051"/>
      <c r="C90051"/>
      <c r="E90051"/>
      <c r="F90051"/>
    </row>
    <row r="90052" spans="1:6" x14ac:dyDescent="0.25">
      <c r="A90052"/>
      <c r="B90052"/>
      <c r="C90052"/>
      <c r="E90052"/>
      <c r="F90052"/>
    </row>
    <row r="90053" spans="1:6" x14ac:dyDescent="0.25">
      <c r="A90053"/>
      <c r="B90053"/>
      <c r="C90053"/>
      <c r="E90053"/>
      <c r="F90053"/>
    </row>
    <row r="90054" spans="1:6" x14ac:dyDescent="0.25">
      <c r="A90054"/>
      <c r="B90054"/>
      <c r="C90054"/>
      <c r="E90054"/>
      <c r="F90054"/>
    </row>
    <row r="90055" spans="1:6" x14ac:dyDescent="0.25">
      <c r="A90055"/>
      <c r="B90055"/>
      <c r="C90055"/>
      <c r="E90055"/>
      <c r="F90055"/>
    </row>
    <row r="90056" spans="1:6" x14ac:dyDescent="0.25">
      <c r="A90056"/>
      <c r="B90056"/>
      <c r="C90056"/>
      <c r="E90056"/>
      <c r="F90056"/>
    </row>
    <row r="90057" spans="1:6" x14ac:dyDescent="0.25">
      <c r="A90057"/>
      <c r="B90057"/>
      <c r="C90057"/>
      <c r="E90057"/>
      <c r="F90057"/>
    </row>
    <row r="90058" spans="1:6" x14ac:dyDescent="0.25">
      <c r="A90058"/>
      <c r="B90058"/>
      <c r="C90058"/>
      <c r="E90058"/>
      <c r="F90058"/>
    </row>
    <row r="90059" spans="1:6" x14ac:dyDescent="0.25">
      <c r="A90059"/>
      <c r="B90059"/>
      <c r="C90059"/>
      <c r="E90059"/>
      <c r="F90059"/>
    </row>
    <row r="90060" spans="1:6" x14ac:dyDescent="0.25">
      <c r="A90060"/>
      <c r="B90060"/>
      <c r="C90060"/>
      <c r="E90060"/>
      <c r="F90060"/>
    </row>
    <row r="90061" spans="1:6" x14ac:dyDescent="0.25">
      <c r="A90061"/>
      <c r="B90061"/>
      <c r="C90061"/>
      <c r="E90061"/>
      <c r="F90061"/>
    </row>
    <row r="90062" spans="1:6" x14ac:dyDescent="0.25">
      <c r="A90062"/>
      <c r="B90062"/>
      <c r="C90062"/>
      <c r="E90062"/>
      <c r="F90062"/>
    </row>
    <row r="90063" spans="1:6" x14ac:dyDescent="0.25">
      <c r="A90063"/>
      <c r="B90063"/>
      <c r="C90063"/>
      <c r="E90063"/>
      <c r="F90063"/>
    </row>
    <row r="90064" spans="1:6" x14ac:dyDescent="0.25">
      <c r="A90064"/>
      <c r="B90064"/>
      <c r="C90064"/>
      <c r="E90064"/>
      <c r="F90064"/>
    </row>
    <row r="90065" spans="1:6" x14ac:dyDescent="0.25">
      <c r="A90065"/>
      <c r="B90065"/>
      <c r="C90065"/>
      <c r="E90065"/>
      <c r="F90065"/>
    </row>
    <row r="90066" spans="1:6" x14ac:dyDescent="0.25">
      <c r="A90066"/>
      <c r="B90066"/>
      <c r="C90066"/>
      <c r="E90066"/>
      <c r="F90066"/>
    </row>
    <row r="90067" spans="1:6" x14ac:dyDescent="0.25">
      <c r="A90067"/>
      <c r="B90067"/>
      <c r="C90067"/>
      <c r="E90067"/>
      <c r="F90067"/>
    </row>
    <row r="90068" spans="1:6" x14ac:dyDescent="0.25">
      <c r="A90068"/>
      <c r="B90068"/>
      <c r="C90068"/>
      <c r="E90068"/>
      <c r="F90068"/>
    </row>
    <row r="90069" spans="1:6" x14ac:dyDescent="0.25">
      <c r="A90069"/>
      <c r="B90069"/>
      <c r="C90069"/>
      <c r="E90069"/>
      <c r="F90069"/>
    </row>
    <row r="90070" spans="1:6" x14ac:dyDescent="0.25">
      <c r="A90070"/>
      <c r="B90070"/>
      <c r="C90070"/>
      <c r="E90070"/>
      <c r="F90070"/>
    </row>
    <row r="90071" spans="1:6" x14ac:dyDescent="0.25">
      <c r="A90071"/>
      <c r="B90071"/>
      <c r="C90071"/>
      <c r="E90071"/>
      <c r="F90071"/>
    </row>
    <row r="90072" spans="1:6" x14ac:dyDescent="0.25">
      <c r="A90072"/>
      <c r="B90072"/>
      <c r="C90072"/>
      <c r="E90072"/>
      <c r="F90072"/>
    </row>
    <row r="90073" spans="1:6" x14ac:dyDescent="0.25">
      <c r="A90073"/>
      <c r="B90073"/>
      <c r="C90073"/>
      <c r="E90073"/>
      <c r="F90073"/>
    </row>
    <row r="90074" spans="1:6" x14ac:dyDescent="0.25">
      <c r="A90074"/>
      <c r="B90074"/>
      <c r="C90074"/>
      <c r="E90074"/>
      <c r="F90074"/>
    </row>
    <row r="90075" spans="1:6" x14ac:dyDescent="0.25">
      <c r="A90075"/>
      <c r="B90075"/>
      <c r="C90075"/>
      <c r="E90075"/>
      <c r="F90075"/>
    </row>
    <row r="90076" spans="1:6" x14ac:dyDescent="0.25">
      <c r="A90076"/>
      <c r="B90076"/>
      <c r="C90076"/>
      <c r="E90076"/>
      <c r="F90076"/>
    </row>
    <row r="90077" spans="1:6" x14ac:dyDescent="0.25">
      <c r="A90077"/>
      <c r="B90077"/>
      <c r="C90077"/>
      <c r="E90077"/>
      <c r="F90077"/>
    </row>
    <row r="90078" spans="1:6" x14ac:dyDescent="0.25">
      <c r="A90078"/>
      <c r="B90078"/>
      <c r="C90078"/>
      <c r="E90078"/>
      <c r="F90078"/>
    </row>
    <row r="90079" spans="1:6" x14ac:dyDescent="0.25">
      <c r="A90079"/>
      <c r="B90079"/>
      <c r="C90079"/>
      <c r="E90079"/>
      <c r="F90079"/>
    </row>
    <row r="90080" spans="1:6" x14ac:dyDescent="0.25">
      <c r="A90080"/>
      <c r="B90080"/>
      <c r="C90080"/>
      <c r="E90080"/>
      <c r="F90080"/>
    </row>
    <row r="90081" spans="1:6" x14ac:dyDescent="0.25">
      <c r="A90081"/>
      <c r="B90081"/>
      <c r="C90081"/>
      <c r="E90081"/>
      <c r="F90081"/>
    </row>
    <row r="90082" spans="1:6" x14ac:dyDescent="0.25">
      <c r="A90082"/>
      <c r="B90082"/>
      <c r="C90082"/>
      <c r="E90082"/>
      <c r="F90082"/>
    </row>
    <row r="90083" spans="1:6" x14ac:dyDescent="0.25">
      <c r="A90083"/>
      <c r="B90083"/>
      <c r="C90083"/>
      <c r="E90083"/>
      <c r="F90083"/>
    </row>
    <row r="90084" spans="1:6" x14ac:dyDescent="0.25">
      <c r="A90084"/>
      <c r="B90084"/>
      <c r="C90084"/>
      <c r="E90084"/>
      <c r="F90084"/>
    </row>
    <row r="90085" spans="1:6" x14ac:dyDescent="0.25">
      <c r="A90085"/>
      <c r="B90085"/>
      <c r="C90085"/>
      <c r="E90085"/>
      <c r="F90085"/>
    </row>
    <row r="90086" spans="1:6" x14ac:dyDescent="0.25">
      <c r="A90086"/>
      <c r="B90086"/>
      <c r="C90086"/>
      <c r="E90086"/>
      <c r="F90086"/>
    </row>
    <row r="90087" spans="1:6" x14ac:dyDescent="0.25">
      <c r="A90087"/>
      <c r="B90087"/>
      <c r="C90087"/>
      <c r="E90087"/>
      <c r="F90087"/>
    </row>
    <row r="90088" spans="1:6" x14ac:dyDescent="0.25">
      <c r="A90088"/>
      <c r="B90088"/>
      <c r="C90088"/>
      <c r="E90088"/>
      <c r="F90088"/>
    </row>
    <row r="90089" spans="1:6" x14ac:dyDescent="0.25">
      <c r="A90089"/>
      <c r="B90089"/>
      <c r="C90089"/>
      <c r="E90089"/>
      <c r="F90089"/>
    </row>
    <row r="90090" spans="1:6" x14ac:dyDescent="0.25">
      <c r="A90090"/>
      <c r="B90090"/>
      <c r="C90090"/>
      <c r="E90090"/>
      <c r="F90090"/>
    </row>
    <row r="90091" spans="1:6" x14ac:dyDescent="0.25">
      <c r="A90091"/>
      <c r="B90091"/>
      <c r="C90091"/>
      <c r="E90091"/>
      <c r="F90091"/>
    </row>
    <row r="90092" spans="1:6" x14ac:dyDescent="0.25">
      <c r="A90092"/>
      <c r="B90092"/>
      <c r="C90092"/>
      <c r="E90092"/>
      <c r="F90092"/>
    </row>
    <row r="90093" spans="1:6" x14ac:dyDescent="0.25">
      <c r="A90093"/>
      <c r="B90093"/>
      <c r="C90093"/>
      <c r="E90093"/>
      <c r="F90093"/>
    </row>
    <row r="90094" spans="1:6" x14ac:dyDescent="0.25">
      <c r="A90094"/>
      <c r="B90094"/>
      <c r="C90094"/>
      <c r="E90094"/>
      <c r="F90094"/>
    </row>
    <row r="90095" spans="1:6" x14ac:dyDescent="0.25">
      <c r="A90095"/>
      <c r="B90095"/>
      <c r="C90095"/>
      <c r="E90095"/>
      <c r="F90095"/>
    </row>
    <row r="90096" spans="1:6" x14ac:dyDescent="0.25">
      <c r="A90096"/>
      <c r="B90096"/>
      <c r="C90096"/>
      <c r="E90096"/>
      <c r="F90096"/>
    </row>
    <row r="90097" spans="1:6" x14ac:dyDescent="0.25">
      <c r="A90097"/>
      <c r="B90097"/>
      <c r="C90097"/>
      <c r="E90097"/>
      <c r="F90097"/>
    </row>
    <row r="90098" spans="1:6" x14ac:dyDescent="0.25">
      <c r="A90098"/>
      <c r="B90098"/>
      <c r="C90098"/>
      <c r="E90098"/>
      <c r="F90098"/>
    </row>
    <row r="90099" spans="1:6" x14ac:dyDescent="0.25">
      <c r="A90099"/>
      <c r="B90099"/>
      <c r="C90099"/>
      <c r="E90099"/>
      <c r="F90099"/>
    </row>
    <row r="90100" spans="1:6" x14ac:dyDescent="0.25">
      <c r="A90100"/>
      <c r="B90100"/>
      <c r="C90100"/>
      <c r="E90100"/>
      <c r="F90100"/>
    </row>
    <row r="90101" spans="1:6" x14ac:dyDescent="0.25">
      <c r="A90101"/>
      <c r="B90101"/>
      <c r="C90101"/>
      <c r="E90101"/>
      <c r="F90101"/>
    </row>
    <row r="90102" spans="1:6" x14ac:dyDescent="0.25">
      <c r="A90102"/>
      <c r="B90102"/>
      <c r="C90102"/>
      <c r="E90102"/>
      <c r="F90102"/>
    </row>
    <row r="90103" spans="1:6" x14ac:dyDescent="0.25">
      <c r="A90103"/>
      <c r="B90103"/>
      <c r="C90103"/>
      <c r="E90103"/>
      <c r="F90103"/>
    </row>
    <row r="90104" spans="1:6" x14ac:dyDescent="0.25">
      <c r="A90104"/>
      <c r="B90104"/>
      <c r="C90104"/>
      <c r="E90104"/>
      <c r="F90104"/>
    </row>
    <row r="90105" spans="1:6" x14ac:dyDescent="0.25">
      <c r="A90105"/>
      <c r="B90105"/>
      <c r="C90105"/>
      <c r="E90105"/>
      <c r="F90105"/>
    </row>
    <row r="90106" spans="1:6" x14ac:dyDescent="0.25">
      <c r="A90106"/>
      <c r="B90106"/>
      <c r="C90106"/>
      <c r="E90106"/>
      <c r="F90106"/>
    </row>
    <row r="90107" spans="1:6" x14ac:dyDescent="0.25">
      <c r="A90107"/>
      <c r="B90107"/>
      <c r="C90107"/>
      <c r="E90107"/>
      <c r="F90107"/>
    </row>
    <row r="90108" spans="1:6" x14ac:dyDescent="0.25">
      <c r="A90108"/>
      <c r="B90108"/>
      <c r="C90108"/>
      <c r="E90108"/>
      <c r="F90108"/>
    </row>
    <row r="90109" spans="1:6" x14ac:dyDescent="0.25">
      <c r="A90109"/>
      <c r="B90109"/>
      <c r="C90109"/>
      <c r="E90109"/>
      <c r="F90109"/>
    </row>
    <row r="90110" spans="1:6" x14ac:dyDescent="0.25">
      <c r="A90110"/>
      <c r="B90110"/>
      <c r="C90110"/>
      <c r="E90110"/>
      <c r="F90110"/>
    </row>
    <row r="90111" spans="1:6" x14ac:dyDescent="0.25">
      <c r="A90111"/>
      <c r="B90111"/>
      <c r="C90111"/>
      <c r="E90111"/>
      <c r="F90111"/>
    </row>
    <row r="90112" spans="1:6" x14ac:dyDescent="0.25">
      <c r="A90112"/>
      <c r="B90112"/>
      <c r="C90112"/>
      <c r="E90112"/>
      <c r="F90112"/>
    </row>
    <row r="90113" spans="1:6" x14ac:dyDescent="0.25">
      <c r="A90113"/>
      <c r="B90113"/>
      <c r="C90113"/>
      <c r="E90113"/>
      <c r="F90113"/>
    </row>
    <row r="90114" spans="1:6" x14ac:dyDescent="0.25">
      <c r="A90114"/>
      <c r="B90114"/>
      <c r="C90114"/>
      <c r="E90114"/>
      <c r="F90114"/>
    </row>
    <row r="90115" spans="1:6" x14ac:dyDescent="0.25">
      <c r="A90115"/>
      <c r="B90115"/>
      <c r="C90115"/>
      <c r="E90115"/>
      <c r="F90115"/>
    </row>
    <row r="90116" spans="1:6" x14ac:dyDescent="0.25">
      <c r="A90116"/>
      <c r="B90116"/>
      <c r="C90116"/>
      <c r="E90116"/>
      <c r="F90116"/>
    </row>
    <row r="90117" spans="1:6" x14ac:dyDescent="0.25">
      <c r="A90117"/>
      <c r="B90117"/>
      <c r="C90117"/>
      <c r="E90117"/>
      <c r="F90117"/>
    </row>
    <row r="90118" spans="1:6" x14ac:dyDescent="0.25">
      <c r="A90118"/>
      <c r="B90118"/>
      <c r="C90118"/>
      <c r="E90118"/>
      <c r="F90118"/>
    </row>
    <row r="90119" spans="1:6" x14ac:dyDescent="0.25">
      <c r="A90119"/>
      <c r="B90119"/>
      <c r="C90119"/>
      <c r="E90119"/>
      <c r="F90119"/>
    </row>
    <row r="90120" spans="1:6" x14ac:dyDescent="0.25">
      <c r="A90120"/>
      <c r="B90120"/>
      <c r="C90120"/>
      <c r="E90120"/>
      <c r="F90120"/>
    </row>
    <row r="90121" spans="1:6" x14ac:dyDescent="0.25">
      <c r="A90121"/>
      <c r="B90121"/>
      <c r="C90121"/>
      <c r="E90121"/>
      <c r="F90121"/>
    </row>
    <row r="90122" spans="1:6" x14ac:dyDescent="0.25">
      <c r="A90122"/>
      <c r="B90122"/>
      <c r="C90122"/>
      <c r="E90122"/>
      <c r="F90122"/>
    </row>
    <row r="90123" spans="1:6" x14ac:dyDescent="0.25">
      <c r="A90123"/>
      <c r="B90123"/>
      <c r="C90123"/>
      <c r="E90123"/>
      <c r="F90123"/>
    </row>
    <row r="90124" spans="1:6" x14ac:dyDescent="0.25">
      <c r="A90124"/>
      <c r="B90124"/>
      <c r="C90124"/>
      <c r="E90124"/>
      <c r="F90124"/>
    </row>
    <row r="90125" spans="1:6" x14ac:dyDescent="0.25">
      <c r="A90125"/>
      <c r="B90125"/>
      <c r="C90125"/>
      <c r="E90125"/>
      <c r="F90125"/>
    </row>
    <row r="90126" spans="1:6" x14ac:dyDescent="0.25">
      <c r="A90126"/>
      <c r="B90126"/>
      <c r="C90126"/>
      <c r="E90126"/>
      <c r="F90126"/>
    </row>
    <row r="90127" spans="1:6" x14ac:dyDescent="0.25">
      <c r="A90127"/>
      <c r="B90127"/>
      <c r="C90127"/>
      <c r="E90127"/>
      <c r="F90127"/>
    </row>
    <row r="90128" spans="1:6" x14ac:dyDescent="0.25">
      <c r="A90128"/>
      <c r="B90128"/>
      <c r="C90128"/>
      <c r="E90128"/>
      <c r="F90128"/>
    </row>
    <row r="90129" spans="1:6" x14ac:dyDescent="0.25">
      <c r="A90129"/>
      <c r="B90129"/>
      <c r="C90129"/>
      <c r="E90129"/>
      <c r="F90129"/>
    </row>
    <row r="90130" spans="1:6" x14ac:dyDescent="0.25">
      <c r="A90130"/>
      <c r="B90130"/>
      <c r="C90130"/>
      <c r="E90130"/>
      <c r="F90130"/>
    </row>
    <row r="90131" spans="1:6" x14ac:dyDescent="0.25">
      <c r="A90131"/>
      <c r="B90131"/>
      <c r="C90131"/>
      <c r="E90131"/>
      <c r="F90131"/>
    </row>
    <row r="90132" spans="1:6" x14ac:dyDescent="0.25">
      <c r="A90132"/>
      <c r="B90132"/>
      <c r="C90132"/>
      <c r="E90132"/>
      <c r="F90132"/>
    </row>
    <row r="90133" spans="1:6" x14ac:dyDescent="0.25">
      <c r="A90133"/>
      <c r="B90133"/>
      <c r="C90133"/>
      <c r="E90133"/>
      <c r="F90133"/>
    </row>
    <row r="90134" spans="1:6" x14ac:dyDescent="0.25">
      <c r="A90134"/>
      <c r="B90134"/>
      <c r="C90134"/>
      <c r="E90134"/>
      <c r="F90134"/>
    </row>
    <row r="90135" spans="1:6" x14ac:dyDescent="0.25">
      <c r="A90135"/>
      <c r="B90135"/>
      <c r="C90135"/>
      <c r="E90135"/>
      <c r="F90135"/>
    </row>
    <row r="90136" spans="1:6" x14ac:dyDescent="0.25">
      <c r="A90136"/>
      <c r="B90136"/>
      <c r="C90136"/>
      <c r="E90136"/>
      <c r="F90136"/>
    </row>
    <row r="90137" spans="1:6" x14ac:dyDescent="0.25">
      <c r="A90137"/>
      <c r="B90137"/>
      <c r="C90137"/>
      <c r="E90137"/>
      <c r="F90137"/>
    </row>
    <row r="90138" spans="1:6" x14ac:dyDescent="0.25">
      <c r="A90138"/>
      <c r="B90138"/>
      <c r="C90138"/>
      <c r="E90138"/>
      <c r="F90138"/>
    </row>
    <row r="90139" spans="1:6" x14ac:dyDescent="0.25">
      <c r="A90139"/>
      <c r="B90139"/>
      <c r="C90139"/>
      <c r="E90139"/>
      <c r="F90139"/>
    </row>
    <row r="90140" spans="1:6" x14ac:dyDescent="0.25">
      <c r="A90140"/>
      <c r="B90140"/>
      <c r="C90140"/>
      <c r="E90140"/>
      <c r="F90140"/>
    </row>
    <row r="90141" spans="1:6" x14ac:dyDescent="0.25">
      <c r="A90141"/>
      <c r="B90141"/>
      <c r="C90141"/>
      <c r="E90141"/>
      <c r="F90141"/>
    </row>
    <row r="90142" spans="1:6" x14ac:dyDescent="0.25">
      <c r="A90142"/>
      <c r="B90142"/>
      <c r="C90142"/>
      <c r="E90142"/>
      <c r="F90142"/>
    </row>
    <row r="90143" spans="1:6" x14ac:dyDescent="0.25">
      <c r="A90143"/>
      <c r="B90143"/>
      <c r="C90143"/>
      <c r="E90143"/>
      <c r="F90143"/>
    </row>
    <row r="90144" spans="1:6" x14ac:dyDescent="0.25">
      <c r="A90144"/>
      <c r="B90144"/>
      <c r="C90144"/>
      <c r="E90144"/>
      <c r="F90144"/>
    </row>
    <row r="90145" spans="1:6" x14ac:dyDescent="0.25">
      <c r="A90145"/>
      <c r="B90145"/>
      <c r="C90145"/>
      <c r="E90145"/>
      <c r="F90145"/>
    </row>
    <row r="90146" spans="1:6" x14ac:dyDescent="0.25">
      <c r="A90146"/>
      <c r="B90146"/>
      <c r="C90146"/>
      <c r="E90146"/>
      <c r="F90146"/>
    </row>
    <row r="90147" spans="1:6" x14ac:dyDescent="0.25">
      <c r="A90147"/>
      <c r="B90147"/>
      <c r="C90147"/>
      <c r="E90147"/>
      <c r="F90147"/>
    </row>
    <row r="90148" spans="1:6" x14ac:dyDescent="0.25">
      <c r="A90148"/>
      <c r="B90148"/>
      <c r="C90148"/>
      <c r="E90148"/>
      <c r="F90148"/>
    </row>
    <row r="90149" spans="1:6" x14ac:dyDescent="0.25">
      <c r="A90149"/>
      <c r="B90149"/>
      <c r="C90149"/>
      <c r="E90149"/>
      <c r="F90149"/>
    </row>
    <row r="90150" spans="1:6" x14ac:dyDescent="0.25">
      <c r="A90150"/>
      <c r="B90150"/>
      <c r="C90150"/>
      <c r="E90150"/>
      <c r="F90150"/>
    </row>
    <row r="90151" spans="1:6" x14ac:dyDescent="0.25">
      <c r="A90151"/>
      <c r="B90151"/>
      <c r="C90151"/>
      <c r="E90151"/>
      <c r="F90151"/>
    </row>
    <row r="90152" spans="1:6" x14ac:dyDescent="0.25">
      <c r="A90152"/>
      <c r="B90152"/>
      <c r="C90152"/>
      <c r="E90152"/>
      <c r="F90152"/>
    </row>
    <row r="90153" spans="1:6" x14ac:dyDescent="0.25">
      <c r="A90153"/>
      <c r="B90153"/>
      <c r="C90153"/>
      <c r="E90153"/>
      <c r="F90153"/>
    </row>
    <row r="90154" spans="1:6" x14ac:dyDescent="0.25">
      <c r="A90154"/>
      <c r="B90154"/>
      <c r="C90154"/>
      <c r="E90154"/>
      <c r="F90154"/>
    </row>
    <row r="90155" spans="1:6" x14ac:dyDescent="0.25">
      <c r="A90155"/>
      <c r="B90155"/>
      <c r="C90155"/>
      <c r="E90155"/>
      <c r="F90155"/>
    </row>
    <row r="90156" spans="1:6" x14ac:dyDescent="0.25">
      <c r="A90156"/>
      <c r="B90156"/>
      <c r="C90156"/>
      <c r="E90156"/>
      <c r="F90156"/>
    </row>
    <row r="90157" spans="1:6" x14ac:dyDescent="0.25">
      <c r="A90157"/>
      <c r="B90157"/>
      <c r="C90157"/>
      <c r="E90157"/>
      <c r="F90157"/>
    </row>
    <row r="90158" spans="1:6" x14ac:dyDescent="0.25">
      <c r="A90158"/>
      <c r="B90158"/>
      <c r="C90158"/>
      <c r="E90158"/>
      <c r="F90158"/>
    </row>
    <row r="90159" spans="1:6" x14ac:dyDescent="0.25">
      <c r="A90159"/>
      <c r="B90159"/>
      <c r="C90159"/>
      <c r="E90159"/>
      <c r="F90159"/>
    </row>
    <row r="90160" spans="1:6" x14ac:dyDescent="0.25">
      <c r="A90160"/>
      <c r="B90160"/>
      <c r="C90160"/>
      <c r="E90160"/>
      <c r="F90160"/>
    </row>
    <row r="90161" spans="1:6" x14ac:dyDescent="0.25">
      <c r="A90161"/>
      <c r="B90161"/>
      <c r="C90161"/>
      <c r="E90161"/>
      <c r="F90161"/>
    </row>
    <row r="90162" spans="1:6" x14ac:dyDescent="0.25">
      <c r="A90162"/>
      <c r="B90162"/>
      <c r="C90162"/>
      <c r="E90162"/>
      <c r="F90162"/>
    </row>
    <row r="90163" spans="1:6" x14ac:dyDescent="0.25">
      <c r="A90163"/>
      <c r="B90163"/>
      <c r="C90163"/>
      <c r="E90163"/>
      <c r="F90163"/>
    </row>
    <row r="90164" spans="1:6" x14ac:dyDescent="0.25">
      <c r="A90164"/>
      <c r="B90164"/>
      <c r="C90164"/>
      <c r="E90164"/>
      <c r="F90164"/>
    </row>
    <row r="90165" spans="1:6" x14ac:dyDescent="0.25">
      <c r="A90165"/>
      <c r="B90165"/>
      <c r="C90165"/>
      <c r="E90165"/>
      <c r="F90165"/>
    </row>
    <row r="90166" spans="1:6" x14ac:dyDescent="0.25">
      <c r="A90166"/>
      <c r="B90166"/>
      <c r="C90166"/>
      <c r="E90166"/>
      <c r="F90166"/>
    </row>
    <row r="90167" spans="1:6" x14ac:dyDescent="0.25">
      <c r="A90167"/>
      <c r="B90167"/>
      <c r="C90167"/>
      <c r="E90167"/>
      <c r="F90167"/>
    </row>
    <row r="90168" spans="1:6" x14ac:dyDescent="0.25">
      <c r="A90168"/>
      <c r="B90168"/>
      <c r="C90168"/>
      <c r="E90168"/>
      <c r="F90168"/>
    </row>
    <row r="90169" spans="1:6" x14ac:dyDescent="0.25">
      <c r="A90169"/>
      <c r="B90169"/>
      <c r="C90169"/>
      <c r="E90169"/>
      <c r="F90169"/>
    </row>
    <row r="90170" spans="1:6" x14ac:dyDescent="0.25">
      <c r="A90170"/>
      <c r="B90170"/>
      <c r="C90170"/>
      <c r="E90170"/>
      <c r="F90170"/>
    </row>
    <row r="90171" spans="1:6" x14ac:dyDescent="0.25">
      <c r="A90171"/>
      <c r="B90171"/>
      <c r="C90171"/>
      <c r="E90171"/>
      <c r="F90171"/>
    </row>
    <row r="90172" spans="1:6" x14ac:dyDescent="0.25">
      <c r="A90172"/>
      <c r="B90172"/>
      <c r="C90172"/>
      <c r="E90172"/>
      <c r="F90172"/>
    </row>
    <row r="90173" spans="1:6" x14ac:dyDescent="0.25">
      <c r="A90173"/>
      <c r="B90173"/>
      <c r="C90173"/>
      <c r="E90173"/>
      <c r="F90173"/>
    </row>
    <row r="90174" spans="1:6" x14ac:dyDescent="0.25">
      <c r="A90174"/>
      <c r="B90174"/>
      <c r="C90174"/>
      <c r="E90174"/>
      <c r="F90174"/>
    </row>
    <row r="90175" spans="1:6" x14ac:dyDescent="0.25">
      <c r="A90175"/>
      <c r="B90175"/>
      <c r="C90175"/>
      <c r="E90175"/>
      <c r="F90175"/>
    </row>
    <row r="90176" spans="1:6" x14ac:dyDescent="0.25">
      <c r="A90176"/>
      <c r="B90176"/>
      <c r="C90176"/>
      <c r="E90176"/>
      <c r="F90176"/>
    </row>
    <row r="90177" spans="1:6" x14ac:dyDescent="0.25">
      <c r="A90177"/>
      <c r="B90177"/>
      <c r="C90177"/>
      <c r="E90177"/>
      <c r="F90177"/>
    </row>
    <row r="90178" spans="1:6" x14ac:dyDescent="0.25">
      <c r="A90178"/>
      <c r="B90178"/>
      <c r="C90178"/>
      <c r="E90178"/>
      <c r="F90178"/>
    </row>
    <row r="90179" spans="1:6" x14ac:dyDescent="0.25">
      <c r="A90179"/>
      <c r="B90179"/>
      <c r="C90179"/>
      <c r="E90179"/>
      <c r="F90179"/>
    </row>
    <row r="90180" spans="1:6" x14ac:dyDescent="0.25">
      <c r="A90180"/>
      <c r="B90180"/>
      <c r="C90180"/>
      <c r="E90180"/>
      <c r="F90180"/>
    </row>
    <row r="90181" spans="1:6" x14ac:dyDescent="0.25">
      <c r="A90181"/>
      <c r="B90181"/>
      <c r="C90181"/>
      <c r="E90181"/>
      <c r="F90181"/>
    </row>
    <row r="90182" spans="1:6" x14ac:dyDescent="0.25">
      <c r="A90182"/>
      <c r="B90182"/>
      <c r="C90182"/>
      <c r="E90182"/>
      <c r="F90182"/>
    </row>
    <row r="90183" spans="1:6" x14ac:dyDescent="0.25">
      <c r="A90183"/>
      <c r="B90183"/>
      <c r="C90183"/>
      <c r="E90183"/>
      <c r="F90183"/>
    </row>
    <row r="90184" spans="1:6" x14ac:dyDescent="0.25">
      <c r="A90184"/>
      <c r="B90184"/>
      <c r="C90184"/>
      <c r="E90184"/>
      <c r="F90184"/>
    </row>
    <row r="90185" spans="1:6" x14ac:dyDescent="0.25">
      <c r="A90185"/>
      <c r="B90185"/>
      <c r="C90185"/>
      <c r="E90185"/>
      <c r="F90185"/>
    </row>
    <row r="90186" spans="1:6" x14ac:dyDescent="0.25">
      <c r="A90186"/>
      <c r="B90186"/>
      <c r="C90186"/>
      <c r="E90186"/>
      <c r="F90186"/>
    </row>
    <row r="90187" spans="1:6" x14ac:dyDescent="0.25">
      <c r="A90187"/>
      <c r="B90187"/>
      <c r="C90187"/>
      <c r="E90187"/>
      <c r="F90187"/>
    </row>
    <row r="90188" spans="1:6" x14ac:dyDescent="0.25">
      <c r="A90188"/>
      <c r="B90188"/>
      <c r="C90188"/>
      <c r="E90188"/>
      <c r="F90188"/>
    </row>
    <row r="90189" spans="1:6" x14ac:dyDescent="0.25">
      <c r="A90189"/>
      <c r="B90189"/>
      <c r="C90189"/>
      <c r="E90189"/>
      <c r="F90189"/>
    </row>
    <row r="90190" spans="1:6" x14ac:dyDescent="0.25">
      <c r="A90190"/>
      <c r="B90190"/>
      <c r="C90190"/>
      <c r="E90190"/>
      <c r="F90190"/>
    </row>
    <row r="90191" spans="1:6" x14ac:dyDescent="0.25">
      <c r="A90191"/>
      <c r="B90191"/>
      <c r="C90191"/>
      <c r="E90191"/>
      <c r="F90191"/>
    </row>
    <row r="90192" spans="1:6" x14ac:dyDescent="0.25">
      <c r="A90192"/>
      <c r="B90192"/>
      <c r="C90192"/>
      <c r="E90192"/>
      <c r="F90192"/>
    </row>
    <row r="90193" spans="1:6" x14ac:dyDescent="0.25">
      <c r="A90193"/>
      <c r="B90193"/>
      <c r="C90193"/>
      <c r="E90193"/>
      <c r="F90193"/>
    </row>
    <row r="90194" spans="1:6" x14ac:dyDescent="0.25">
      <c r="A90194"/>
      <c r="B90194"/>
      <c r="C90194"/>
      <c r="E90194"/>
      <c r="F90194"/>
    </row>
    <row r="90195" spans="1:6" x14ac:dyDescent="0.25">
      <c r="A90195"/>
      <c r="B90195"/>
      <c r="C90195"/>
      <c r="E90195"/>
      <c r="F90195"/>
    </row>
    <row r="90196" spans="1:6" x14ac:dyDescent="0.25">
      <c r="A90196"/>
      <c r="B90196"/>
      <c r="C90196"/>
      <c r="E90196"/>
      <c r="F90196"/>
    </row>
    <row r="90197" spans="1:6" x14ac:dyDescent="0.25">
      <c r="A90197"/>
      <c r="B90197"/>
      <c r="C90197"/>
      <c r="E90197"/>
      <c r="F90197"/>
    </row>
    <row r="90198" spans="1:6" x14ac:dyDescent="0.25">
      <c r="A90198"/>
      <c r="B90198"/>
      <c r="C90198"/>
      <c r="E90198"/>
      <c r="F90198"/>
    </row>
    <row r="90199" spans="1:6" x14ac:dyDescent="0.25">
      <c r="A90199"/>
      <c r="B90199"/>
      <c r="C90199"/>
      <c r="E90199"/>
      <c r="F90199"/>
    </row>
    <row r="90200" spans="1:6" x14ac:dyDescent="0.25">
      <c r="A90200"/>
      <c r="B90200"/>
      <c r="C90200"/>
      <c r="E90200"/>
      <c r="F90200"/>
    </row>
    <row r="90201" spans="1:6" x14ac:dyDescent="0.25">
      <c r="A90201"/>
      <c r="B90201"/>
      <c r="C90201"/>
      <c r="E90201"/>
      <c r="F90201"/>
    </row>
    <row r="90202" spans="1:6" x14ac:dyDescent="0.25">
      <c r="A90202"/>
      <c r="B90202"/>
      <c r="C90202"/>
      <c r="E90202"/>
      <c r="F90202"/>
    </row>
    <row r="90203" spans="1:6" x14ac:dyDescent="0.25">
      <c r="A90203"/>
      <c r="B90203"/>
      <c r="C90203"/>
      <c r="E90203"/>
      <c r="F90203"/>
    </row>
    <row r="90204" spans="1:6" x14ac:dyDescent="0.25">
      <c r="A90204"/>
      <c r="B90204"/>
      <c r="C90204"/>
      <c r="E90204"/>
      <c r="F90204"/>
    </row>
    <row r="90205" spans="1:6" x14ac:dyDescent="0.25">
      <c r="A90205"/>
      <c r="B90205"/>
      <c r="C90205"/>
      <c r="E90205"/>
      <c r="F90205"/>
    </row>
    <row r="90206" spans="1:6" x14ac:dyDescent="0.25">
      <c r="A90206"/>
      <c r="B90206"/>
      <c r="C90206"/>
      <c r="E90206"/>
      <c r="F90206"/>
    </row>
    <row r="90207" spans="1:6" x14ac:dyDescent="0.25">
      <c r="A90207"/>
      <c r="B90207"/>
      <c r="C90207"/>
      <c r="E90207"/>
      <c r="F90207"/>
    </row>
    <row r="90208" spans="1:6" x14ac:dyDescent="0.25">
      <c r="A90208"/>
      <c r="B90208"/>
      <c r="C90208"/>
      <c r="E90208"/>
      <c r="F90208"/>
    </row>
    <row r="90209" spans="1:6" x14ac:dyDescent="0.25">
      <c r="A90209"/>
      <c r="B90209"/>
      <c r="C90209"/>
      <c r="E90209"/>
      <c r="F90209"/>
    </row>
    <row r="90210" spans="1:6" x14ac:dyDescent="0.25">
      <c r="A90210"/>
      <c r="B90210"/>
      <c r="C90210"/>
      <c r="E90210"/>
      <c r="F90210"/>
    </row>
    <row r="90211" spans="1:6" x14ac:dyDescent="0.25">
      <c r="A90211"/>
      <c r="B90211"/>
      <c r="C90211"/>
      <c r="E90211"/>
      <c r="F90211"/>
    </row>
    <row r="90212" spans="1:6" x14ac:dyDescent="0.25">
      <c r="A90212"/>
      <c r="B90212"/>
      <c r="C90212"/>
      <c r="E90212"/>
      <c r="F90212"/>
    </row>
    <row r="90213" spans="1:6" x14ac:dyDescent="0.25">
      <c r="A90213"/>
      <c r="B90213"/>
      <c r="C90213"/>
      <c r="E90213"/>
      <c r="F90213"/>
    </row>
    <row r="90214" spans="1:6" x14ac:dyDescent="0.25">
      <c r="A90214"/>
      <c r="B90214"/>
      <c r="C90214"/>
      <c r="E90214"/>
      <c r="F90214"/>
    </row>
    <row r="90215" spans="1:6" x14ac:dyDescent="0.25">
      <c r="A90215"/>
      <c r="B90215"/>
      <c r="C90215"/>
      <c r="E90215"/>
      <c r="F90215"/>
    </row>
    <row r="90216" spans="1:6" x14ac:dyDescent="0.25">
      <c r="A90216"/>
      <c r="B90216"/>
      <c r="C90216"/>
      <c r="E90216"/>
      <c r="F90216"/>
    </row>
    <row r="90217" spans="1:6" x14ac:dyDescent="0.25">
      <c r="A90217"/>
      <c r="B90217"/>
      <c r="C90217"/>
      <c r="E90217"/>
      <c r="F90217"/>
    </row>
    <row r="90218" spans="1:6" x14ac:dyDescent="0.25">
      <c r="A90218"/>
      <c r="B90218"/>
      <c r="C90218"/>
      <c r="E90218"/>
      <c r="F90218"/>
    </row>
    <row r="90219" spans="1:6" x14ac:dyDescent="0.25">
      <c r="A90219"/>
      <c r="B90219"/>
      <c r="C90219"/>
      <c r="E90219"/>
      <c r="F90219"/>
    </row>
    <row r="90220" spans="1:6" x14ac:dyDescent="0.25">
      <c r="A90220"/>
      <c r="B90220"/>
      <c r="C90220"/>
      <c r="E90220"/>
      <c r="F90220"/>
    </row>
    <row r="90221" spans="1:6" x14ac:dyDescent="0.25">
      <c r="A90221"/>
      <c r="B90221"/>
      <c r="C90221"/>
      <c r="E90221"/>
      <c r="F90221"/>
    </row>
    <row r="90222" spans="1:6" x14ac:dyDescent="0.25">
      <c r="A90222"/>
      <c r="B90222"/>
      <c r="C90222"/>
      <c r="E90222"/>
      <c r="F90222"/>
    </row>
    <row r="90223" spans="1:6" x14ac:dyDescent="0.25">
      <c r="A90223"/>
      <c r="B90223"/>
      <c r="C90223"/>
      <c r="E90223"/>
      <c r="F90223"/>
    </row>
    <row r="90224" spans="1:6" x14ac:dyDescent="0.25">
      <c r="A90224"/>
      <c r="B90224"/>
      <c r="C90224"/>
      <c r="E90224"/>
      <c r="F90224"/>
    </row>
    <row r="90225" spans="1:6" x14ac:dyDescent="0.25">
      <c r="A90225"/>
      <c r="B90225"/>
      <c r="C90225"/>
      <c r="E90225"/>
      <c r="F90225"/>
    </row>
    <row r="90226" spans="1:6" x14ac:dyDescent="0.25">
      <c r="A90226"/>
      <c r="B90226"/>
      <c r="C90226"/>
      <c r="E90226"/>
      <c r="F90226"/>
    </row>
    <row r="90227" spans="1:6" x14ac:dyDescent="0.25">
      <c r="A90227"/>
      <c r="B90227"/>
      <c r="C90227"/>
      <c r="E90227"/>
      <c r="F90227"/>
    </row>
    <row r="90228" spans="1:6" x14ac:dyDescent="0.25">
      <c r="A90228"/>
      <c r="B90228"/>
      <c r="C90228"/>
      <c r="E90228"/>
      <c r="F90228"/>
    </row>
    <row r="90229" spans="1:6" x14ac:dyDescent="0.25">
      <c r="A90229"/>
      <c r="B90229"/>
      <c r="C90229"/>
      <c r="E90229"/>
      <c r="F90229"/>
    </row>
    <row r="90230" spans="1:6" x14ac:dyDescent="0.25">
      <c r="A90230"/>
      <c r="B90230"/>
      <c r="C90230"/>
      <c r="E90230"/>
      <c r="F90230"/>
    </row>
    <row r="90231" spans="1:6" x14ac:dyDescent="0.25">
      <c r="A90231"/>
      <c r="B90231"/>
      <c r="C90231"/>
      <c r="E90231"/>
      <c r="F90231"/>
    </row>
    <row r="90232" spans="1:6" x14ac:dyDescent="0.25">
      <c r="A90232"/>
      <c r="B90232"/>
      <c r="C90232"/>
      <c r="E90232"/>
      <c r="F90232"/>
    </row>
    <row r="90233" spans="1:6" x14ac:dyDescent="0.25">
      <c r="A90233"/>
      <c r="B90233"/>
      <c r="C90233"/>
      <c r="E90233"/>
      <c r="F90233"/>
    </row>
    <row r="90234" spans="1:6" x14ac:dyDescent="0.25">
      <c r="A90234"/>
      <c r="B90234"/>
      <c r="C90234"/>
      <c r="E90234"/>
      <c r="F90234"/>
    </row>
    <row r="90235" spans="1:6" x14ac:dyDescent="0.25">
      <c r="A90235"/>
      <c r="B90235"/>
      <c r="C90235"/>
      <c r="E90235"/>
      <c r="F90235"/>
    </row>
    <row r="90236" spans="1:6" x14ac:dyDescent="0.25">
      <c r="A90236"/>
      <c r="B90236"/>
      <c r="C90236"/>
      <c r="E90236"/>
      <c r="F90236"/>
    </row>
    <row r="90237" spans="1:6" x14ac:dyDescent="0.25">
      <c r="A90237"/>
      <c r="B90237"/>
      <c r="C90237"/>
      <c r="E90237"/>
      <c r="F90237"/>
    </row>
    <row r="90238" spans="1:6" x14ac:dyDescent="0.25">
      <c r="A90238"/>
      <c r="B90238"/>
      <c r="C90238"/>
      <c r="E90238"/>
      <c r="F90238"/>
    </row>
    <row r="90239" spans="1:6" x14ac:dyDescent="0.25">
      <c r="A90239"/>
      <c r="B90239"/>
      <c r="C90239"/>
      <c r="E90239"/>
      <c r="F90239"/>
    </row>
    <row r="90240" spans="1:6" x14ac:dyDescent="0.25">
      <c r="A90240"/>
      <c r="B90240"/>
      <c r="C90240"/>
      <c r="E90240"/>
      <c r="F90240"/>
    </row>
    <row r="90241" spans="1:6" x14ac:dyDescent="0.25">
      <c r="A90241"/>
      <c r="B90241"/>
      <c r="C90241"/>
      <c r="E90241"/>
      <c r="F90241"/>
    </row>
    <row r="90242" spans="1:6" x14ac:dyDescent="0.25">
      <c r="A90242"/>
      <c r="B90242"/>
      <c r="C90242"/>
      <c r="E90242"/>
      <c r="F90242"/>
    </row>
    <row r="90243" spans="1:6" x14ac:dyDescent="0.25">
      <c r="A90243"/>
      <c r="B90243"/>
      <c r="C90243"/>
      <c r="E90243"/>
      <c r="F90243"/>
    </row>
    <row r="90244" spans="1:6" x14ac:dyDescent="0.25">
      <c r="A90244"/>
      <c r="B90244"/>
      <c r="C90244"/>
      <c r="E90244"/>
      <c r="F90244"/>
    </row>
    <row r="90245" spans="1:6" x14ac:dyDescent="0.25">
      <c r="A90245"/>
      <c r="B90245"/>
      <c r="C90245"/>
      <c r="E90245"/>
      <c r="F90245"/>
    </row>
    <row r="90246" spans="1:6" x14ac:dyDescent="0.25">
      <c r="A90246"/>
      <c r="B90246"/>
      <c r="C90246"/>
      <c r="E90246"/>
      <c r="F90246"/>
    </row>
    <row r="90247" spans="1:6" x14ac:dyDescent="0.25">
      <c r="A90247"/>
      <c r="B90247"/>
      <c r="C90247"/>
      <c r="E90247"/>
      <c r="F90247"/>
    </row>
    <row r="90248" spans="1:6" x14ac:dyDescent="0.25">
      <c r="A90248"/>
      <c r="B90248"/>
      <c r="C90248"/>
      <c r="E90248"/>
      <c r="F90248"/>
    </row>
    <row r="90249" spans="1:6" x14ac:dyDescent="0.25">
      <c r="A90249"/>
      <c r="B90249"/>
      <c r="C90249"/>
      <c r="E90249"/>
      <c r="F90249"/>
    </row>
    <row r="90250" spans="1:6" x14ac:dyDescent="0.25">
      <c r="A90250"/>
      <c r="B90250"/>
      <c r="C90250"/>
      <c r="E90250"/>
      <c r="F90250"/>
    </row>
    <row r="90251" spans="1:6" x14ac:dyDescent="0.25">
      <c r="A90251"/>
      <c r="B90251"/>
      <c r="C90251"/>
      <c r="E90251"/>
      <c r="F90251"/>
    </row>
    <row r="90252" spans="1:6" x14ac:dyDescent="0.25">
      <c r="A90252"/>
      <c r="B90252"/>
      <c r="C90252"/>
      <c r="E90252"/>
      <c r="F90252"/>
    </row>
    <row r="90253" spans="1:6" x14ac:dyDescent="0.25">
      <c r="A90253"/>
      <c r="B90253"/>
      <c r="C90253"/>
      <c r="E90253"/>
      <c r="F90253"/>
    </row>
    <row r="90254" spans="1:6" x14ac:dyDescent="0.25">
      <c r="A90254"/>
      <c r="B90254"/>
      <c r="C90254"/>
      <c r="E90254"/>
      <c r="F90254"/>
    </row>
    <row r="90255" spans="1:6" x14ac:dyDescent="0.25">
      <c r="A90255"/>
      <c r="B90255"/>
      <c r="C90255"/>
      <c r="E90255"/>
      <c r="F90255"/>
    </row>
    <row r="90256" spans="1:6" x14ac:dyDescent="0.25">
      <c r="A90256"/>
      <c r="B90256"/>
      <c r="C90256"/>
      <c r="E90256"/>
      <c r="F90256"/>
    </row>
    <row r="90257" spans="1:6" x14ac:dyDescent="0.25">
      <c r="A90257"/>
      <c r="B90257"/>
      <c r="C90257"/>
      <c r="E90257"/>
      <c r="F90257"/>
    </row>
    <row r="90258" spans="1:6" x14ac:dyDescent="0.25">
      <c r="A90258"/>
      <c r="B90258"/>
      <c r="C90258"/>
      <c r="E90258"/>
      <c r="F90258"/>
    </row>
    <row r="90259" spans="1:6" x14ac:dyDescent="0.25">
      <c r="A90259"/>
      <c r="B90259"/>
      <c r="C90259"/>
      <c r="E90259"/>
      <c r="F90259"/>
    </row>
    <row r="90260" spans="1:6" x14ac:dyDescent="0.25">
      <c r="A90260"/>
      <c r="B90260"/>
      <c r="C90260"/>
      <c r="E90260"/>
      <c r="F90260"/>
    </row>
    <row r="90261" spans="1:6" x14ac:dyDescent="0.25">
      <c r="A90261"/>
      <c r="B90261"/>
      <c r="C90261"/>
      <c r="E90261"/>
      <c r="F90261"/>
    </row>
    <row r="90262" spans="1:6" x14ac:dyDescent="0.25">
      <c r="A90262"/>
      <c r="B90262"/>
      <c r="C90262"/>
      <c r="E90262"/>
      <c r="F90262"/>
    </row>
    <row r="90263" spans="1:6" x14ac:dyDescent="0.25">
      <c r="A90263"/>
      <c r="B90263"/>
      <c r="C90263"/>
      <c r="E90263"/>
      <c r="F90263"/>
    </row>
    <row r="90264" spans="1:6" x14ac:dyDescent="0.25">
      <c r="A90264"/>
      <c r="B90264"/>
      <c r="C90264"/>
      <c r="E90264"/>
      <c r="F90264"/>
    </row>
    <row r="90265" spans="1:6" x14ac:dyDescent="0.25">
      <c r="A90265"/>
      <c r="B90265"/>
      <c r="C90265"/>
      <c r="E90265"/>
      <c r="F90265"/>
    </row>
    <row r="90266" spans="1:6" x14ac:dyDescent="0.25">
      <c r="A90266"/>
      <c r="B90266"/>
      <c r="C90266"/>
      <c r="E90266"/>
      <c r="F90266"/>
    </row>
    <row r="90267" spans="1:6" x14ac:dyDescent="0.25">
      <c r="A90267"/>
      <c r="B90267"/>
      <c r="C90267"/>
      <c r="E90267"/>
      <c r="F90267"/>
    </row>
    <row r="90268" spans="1:6" x14ac:dyDescent="0.25">
      <c r="A90268"/>
      <c r="B90268"/>
      <c r="C90268"/>
      <c r="E90268"/>
      <c r="F90268"/>
    </row>
    <row r="90269" spans="1:6" x14ac:dyDescent="0.25">
      <c r="A90269"/>
      <c r="B90269"/>
      <c r="C90269"/>
      <c r="E90269"/>
      <c r="F90269"/>
    </row>
    <row r="90270" spans="1:6" x14ac:dyDescent="0.25">
      <c r="A90270"/>
      <c r="B90270"/>
      <c r="C90270"/>
      <c r="E90270"/>
      <c r="F90270"/>
    </row>
    <row r="90271" spans="1:6" x14ac:dyDescent="0.25">
      <c r="A90271"/>
      <c r="B90271"/>
      <c r="C90271"/>
      <c r="E90271"/>
      <c r="F90271"/>
    </row>
    <row r="90272" spans="1:6" x14ac:dyDescent="0.25">
      <c r="A90272"/>
      <c r="B90272"/>
      <c r="C90272"/>
      <c r="E90272"/>
      <c r="F90272"/>
    </row>
    <row r="90273" spans="1:6" x14ac:dyDescent="0.25">
      <c r="A90273"/>
      <c r="B90273"/>
      <c r="C90273"/>
      <c r="E90273"/>
      <c r="F90273"/>
    </row>
    <row r="90274" spans="1:6" x14ac:dyDescent="0.25">
      <c r="A90274"/>
      <c r="B90274"/>
      <c r="C90274"/>
      <c r="E90274"/>
      <c r="F90274"/>
    </row>
    <row r="90275" spans="1:6" x14ac:dyDescent="0.25">
      <c r="A90275"/>
      <c r="B90275"/>
      <c r="C90275"/>
      <c r="E90275"/>
      <c r="F90275"/>
    </row>
    <row r="90276" spans="1:6" x14ac:dyDescent="0.25">
      <c r="A90276"/>
      <c r="B90276"/>
      <c r="C90276"/>
      <c r="E90276"/>
      <c r="F90276"/>
    </row>
    <row r="90277" spans="1:6" x14ac:dyDescent="0.25">
      <c r="A90277"/>
      <c r="B90277"/>
      <c r="C90277"/>
      <c r="E90277"/>
      <c r="F90277"/>
    </row>
    <row r="90278" spans="1:6" x14ac:dyDescent="0.25">
      <c r="A90278"/>
      <c r="B90278"/>
      <c r="C90278"/>
      <c r="E90278"/>
      <c r="F90278"/>
    </row>
    <row r="90279" spans="1:6" x14ac:dyDescent="0.25">
      <c r="A90279"/>
      <c r="B90279"/>
      <c r="C90279"/>
      <c r="E90279"/>
      <c r="F90279"/>
    </row>
    <row r="90280" spans="1:6" x14ac:dyDescent="0.25">
      <c r="A90280"/>
      <c r="B90280"/>
      <c r="C90280"/>
      <c r="E90280"/>
      <c r="F90280"/>
    </row>
    <row r="90281" spans="1:6" x14ac:dyDescent="0.25">
      <c r="A90281"/>
      <c r="B90281"/>
      <c r="C90281"/>
      <c r="E90281"/>
      <c r="F90281"/>
    </row>
    <row r="90282" spans="1:6" x14ac:dyDescent="0.25">
      <c r="A90282"/>
      <c r="B90282"/>
      <c r="C90282"/>
      <c r="E90282"/>
      <c r="F90282"/>
    </row>
    <row r="90283" spans="1:6" x14ac:dyDescent="0.25">
      <c r="A90283"/>
      <c r="B90283"/>
      <c r="C90283"/>
      <c r="E90283"/>
      <c r="F90283"/>
    </row>
    <row r="90284" spans="1:6" x14ac:dyDescent="0.25">
      <c r="A90284"/>
      <c r="B90284"/>
      <c r="C90284"/>
      <c r="E90284"/>
      <c r="F90284"/>
    </row>
    <row r="90285" spans="1:6" x14ac:dyDescent="0.25">
      <c r="A90285"/>
      <c r="B90285"/>
      <c r="C90285"/>
      <c r="E90285"/>
      <c r="F90285"/>
    </row>
    <row r="90286" spans="1:6" x14ac:dyDescent="0.25">
      <c r="A90286"/>
      <c r="B90286"/>
      <c r="C90286"/>
      <c r="E90286"/>
      <c r="F90286"/>
    </row>
    <row r="90287" spans="1:6" x14ac:dyDescent="0.25">
      <c r="A90287"/>
      <c r="B90287"/>
      <c r="C90287"/>
      <c r="E90287"/>
      <c r="F90287"/>
    </row>
    <row r="90288" spans="1:6" x14ac:dyDescent="0.25">
      <c r="A90288"/>
      <c r="B90288"/>
      <c r="C90288"/>
      <c r="E90288"/>
      <c r="F90288"/>
    </row>
    <row r="90289" spans="1:6" x14ac:dyDescent="0.25">
      <c r="A90289"/>
      <c r="B90289"/>
      <c r="C90289"/>
      <c r="E90289"/>
      <c r="F90289"/>
    </row>
    <row r="90290" spans="1:6" x14ac:dyDescent="0.25">
      <c r="A90290"/>
      <c r="B90290"/>
      <c r="C90290"/>
      <c r="E90290"/>
      <c r="F90290"/>
    </row>
    <row r="90291" spans="1:6" x14ac:dyDescent="0.25">
      <c r="A90291"/>
      <c r="B90291"/>
      <c r="C90291"/>
      <c r="E90291"/>
      <c r="F90291"/>
    </row>
    <row r="90292" spans="1:6" x14ac:dyDescent="0.25">
      <c r="A90292"/>
      <c r="B90292"/>
      <c r="C90292"/>
      <c r="E90292"/>
      <c r="F90292"/>
    </row>
    <row r="90293" spans="1:6" x14ac:dyDescent="0.25">
      <c r="A90293"/>
      <c r="B90293"/>
      <c r="C90293"/>
      <c r="E90293"/>
      <c r="F90293"/>
    </row>
    <row r="90294" spans="1:6" x14ac:dyDescent="0.25">
      <c r="A90294"/>
      <c r="B90294"/>
      <c r="C90294"/>
      <c r="E90294"/>
      <c r="F90294"/>
    </row>
    <row r="90295" spans="1:6" x14ac:dyDescent="0.25">
      <c r="A90295"/>
      <c r="B90295"/>
      <c r="C90295"/>
      <c r="E90295"/>
      <c r="F90295"/>
    </row>
    <row r="90296" spans="1:6" x14ac:dyDescent="0.25">
      <c r="A90296"/>
      <c r="B90296"/>
      <c r="C90296"/>
      <c r="E90296"/>
      <c r="F90296"/>
    </row>
    <row r="90297" spans="1:6" x14ac:dyDescent="0.25">
      <c r="A90297"/>
      <c r="B90297"/>
      <c r="C90297"/>
      <c r="E90297"/>
      <c r="F90297"/>
    </row>
    <row r="90298" spans="1:6" x14ac:dyDescent="0.25">
      <c r="A90298"/>
      <c r="B90298"/>
      <c r="C90298"/>
      <c r="E90298"/>
      <c r="F90298"/>
    </row>
    <row r="90299" spans="1:6" x14ac:dyDescent="0.25">
      <c r="A90299"/>
      <c r="B90299"/>
      <c r="C90299"/>
      <c r="E90299"/>
      <c r="F90299"/>
    </row>
    <row r="90300" spans="1:6" x14ac:dyDescent="0.25">
      <c r="A90300"/>
      <c r="B90300"/>
      <c r="C90300"/>
      <c r="E90300"/>
      <c r="F90300"/>
    </row>
    <row r="90301" spans="1:6" x14ac:dyDescent="0.25">
      <c r="A90301"/>
      <c r="B90301"/>
      <c r="C90301"/>
      <c r="E90301"/>
      <c r="F90301"/>
    </row>
    <row r="90302" spans="1:6" x14ac:dyDescent="0.25">
      <c r="A90302"/>
      <c r="B90302"/>
      <c r="C90302"/>
      <c r="E90302"/>
      <c r="F90302"/>
    </row>
    <row r="90303" spans="1:6" x14ac:dyDescent="0.25">
      <c r="A90303"/>
      <c r="B90303"/>
      <c r="C90303"/>
      <c r="E90303"/>
      <c r="F90303"/>
    </row>
    <row r="90304" spans="1:6" x14ac:dyDescent="0.25">
      <c r="A90304"/>
      <c r="B90304"/>
      <c r="C90304"/>
      <c r="E90304"/>
      <c r="F90304"/>
    </row>
    <row r="90305" spans="1:6" x14ac:dyDescent="0.25">
      <c r="A90305"/>
      <c r="B90305"/>
      <c r="C90305"/>
      <c r="E90305"/>
      <c r="F90305"/>
    </row>
    <row r="90306" spans="1:6" x14ac:dyDescent="0.25">
      <c r="A90306"/>
      <c r="B90306"/>
      <c r="C90306"/>
      <c r="E90306"/>
      <c r="F90306"/>
    </row>
    <row r="90307" spans="1:6" x14ac:dyDescent="0.25">
      <c r="A90307"/>
      <c r="B90307"/>
      <c r="C90307"/>
      <c r="E90307"/>
      <c r="F90307"/>
    </row>
    <row r="90308" spans="1:6" x14ac:dyDescent="0.25">
      <c r="A90308"/>
      <c r="B90308"/>
      <c r="C90308"/>
      <c r="E90308"/>
      <c r="F90308"/>
    </row>
    <row r="90309" spans="1:6" x14ac:dyDescent="0.25">
      <c r="A90309"/>
      <c r="B90309"/>
      <c r="C90309"/>
      <c r="E90309"/>
      <c r="F90309"/>
    </row>
    <row r="90310" spans="1:6" x14ac:dyDescent="0.25">
      <c r="A90310"/>
      <c r="B90310"/>
      <c r="C90310"/>
      <c r="E90310"/>
      <c r="F90310"/>
    </row>
    <row r="90311" spans="1:6" x14ac:dyDescent="0.25">
      <c r="A90311"/>
      <c r="B90311"/>
      <c r="C90311"/>
      <c r="E90311"/>
      <c r="F90311"/>
    </row>
    <row r="90312" spans="1:6" x14ac:dyDescent="0.25">
      <c r="A90312"/>
      <c r="B90312"/>
      <c r="C90312"/>
      <c r="E90312"/>
      <c r="F90312"/>
    </row>
    <row r="90313" spans="1:6" x14ac:dyDescent="0.25">
      <c r="A90313"/>
      <c r="B90313"/>
      <c r="C90313"/>
      <c r="E90313"/>
      <c r="F90313"/>
    </row>
    <row r="90314" spans="1:6" x14ac:dyDescent="0.25">
      <c r="A90314"/>
      <c r="B90314"/>
      <c r="C90314"/>
      <c r="E90314"/>
      <c r="F90314"/>
    </row>
    <row r="90315" spans="1:6" x14ac:dyDescent="0.25">
      <c r="A90315"/>
      <c r="B90315"/>
      <c r="C90315"/>
      <c r="E90315"/>
      <c r="F90315"/>
    </row>
    <row r="90316" spans="1:6" x14ac:dyDescent="0.25">
      <c r="A90316"/>
      <c r="B90316"/>
      <c r="C90316"/>
      <c r="E90316"/>
      <c r="F90316"/>
    </row>
    <row r="90317" spans="1:6" x14ac:dyDescent="0.25">
      <c r="A90317"/>
      <c r="B90317"/>
      <c r="C90317"/>
      <c r="E90317"/>
      <c r="F90317"/>
    </row>
    <row r="90318" spans="1:6" x14ac:dyDescent="0.25">
      <c r="A90318"/>
      <c r="B90318"/>
      <c r="C90318"/>
      <c r="E90318"/>
      <c r="F90318"/>
    </row>
    <row r="90319" spans="1:6" x14ac:dyDescent="0.25">
      <c r="A90319"/>
      <c r="B90319"/>
      <c r="C90319"/>
      <c r="E90319"/>
      <c r="F90319"/>
    </row>
    <row r="90320" spans="1:6" x14ac:dyDescent="0.25">
      <c r="A90320"/>
      <c r="B90320"/>
      <c r="C90320"/>
      <c r="E90320"/>
      <c r="F90320"/>
    </row>
    <row r="90321" spans="1:6" x14ac:dyDescent="0.25">
      <c r="A90321"/>
      <c r="B90321"/>
      <c r="C90321"/>
      <c r="E90321"/>
      <c r="F90321"/>
    </row>
    <row r="90322" spans="1:6" x14ac:dyDescent="0.25">
      <c r="A90322"/>
      <c r="B90322"/>
      <c r="C90322"/>
      <c r="E90322"/>
      <c r="F90322"/>
    </row>
    <row r="90323" spans="1:6" x14ac:dyDescent="0.25">
      <c r="A90323"/>
      <c r="B90323"/>
      <c r="C90323"/>
      <c r="E90323"/>
      <c r="F90323"/>
    </row>
    <row r="90324" spans="1:6" x14ac:dyDescent="0.25">
      <c r="A90324"/>
      <c r="B90324"/>
      <c r="C90324"/>
      <c r="E90324"/>
      <c r="F90324"/>
    </row>
    <row r="90325" spans="1:6" x14ac:dyDescent="0.25">
      <c r="A90325"/>
      <c r="B90325"/>
      <c r="C90325"/>
      <c r="E90325"/>
      <c r="F90325"/>
    </row>
    <row r="90326" spans="1:6" x14ac:dyDescent="0.25">
      <c r="A90326"/>
      <c r="B90326"/>
      <c r="C90326"/>
      <c r="E90326"/>
      <c r="F90326"/>
    </row>
    <row r="90327" spans="1:6" x14ac:dyDescent="0.25">
      <c r="A90327"/>
      <c r="B90327"/>
      <c r="C90327"/>
      <c r="E90327"/>
      <c r="F90327"/>
    </row>
    <row r="90328" spans="1:6" x14ac:dyDescent="0.25">
      <c r="A90328"/>
      <c r="B90328"/>
      <c r="C90328"/>
      <c r="E90328"/>
      <c r="F90328"/>
    </row>
    <row r="90329" spans="1:6" x14ac:dyDescent="0.25">
      <c r="A90329"/>
      <c r="B90329"/>
      <c r="C90329"/>
      <c r="E90329"/>
      <c r="F90329"/>
    </row>
    <row r="90330" spans="1:6" x14ac:dyDescent="0.25">
      <c r="A90330"/>
      <c r="B90330"/>
      <c r="C90330"/>
      <c r="E90330"/>
      <c r="F90330"/>
    </row>
    <row r="90331" spans="1:6" x14ac:dyDescent="0.25">
      <c r="A90331"/>
      <c r="B90331"/>
      <c r="C90331"/>
      <c r="E90331"/>
      <c r="F90331"/>
    </row>
    <row r="90332" spans="1:6" x14ac:dyDescent="0.25">
      <c r="A90332"/>
      <c r="B90332"/>
      <c r="C90332"/>
      <c r="E90332"/>
      <c r="F90332"/>
    </row>
    <row r="90333" spans="1:6" x14ac:dyDescent="0.25">
      <c r="A90333"/>
      <c r="B90333"/>
      <c r="C90333"/>
      <c r="E90333"/>
      <c r="F90333"/>
    </row>
    <row r="90334" spans="1:6" x14ac:dyDescent="0.25">
      <c r="A90334"/>
      <c r="B90334"/>
      <c r="C90334"/>
      <c r="E90334"/>
      <c r="F90334"/>
    </row>
    <row r="90335" spans="1:6" x14ac:dyDescent="0.25">
      <c r="A90335"/>
      <c r="B90335"/>
      <c r="C90335"/>
      <c r="E90335"/>
      <c r="F90335"/>
    </row>
    <row r="90336" spans="1:6" x14ac:dyDescent="0.25">
      <c r="A90336"/>
      <c r="B90336"/>
      <c r="C90336"/>
      <c r="E90336"/>
      <c r="F90336"/>
    </row>
    <row r="90337" spans="1:6" x14ac:dyDescent="0.25">
      <c r="A90337"/>
      <c r="B90337"/>
      <c r="C90337"/>
      <c r="E90337"/>
      <c r="F90337"/>
    </row>
    <row r="90338" spans="1:6" x14ac:dyDescent="0.25">
      <c r="A90338"/>
      <c r="B90338"/>
      <c r="C90338"/>
      <c r="E90338"/>
      <c r="F90338"/>
    </row>
    <row r="90339" spans="1:6" x14ac:dyDescent="0.25">
      <c r="A90339"/>
      <c r="B90339"/>
      <c r="C90339"/>
      <c r="E90339"/>
      <c r="F90339"/>
    </row>
    <row r="90340" spans="1:6" x14ac:dyDescent="0.25">
      <c r="A90340"/>
      <c r="B90340"/>
      <c r="C90340"/>
      <c r="E90340"/>
      <c r="F90340"/>
    </row>
    <row r="90341" spans="1:6" x14ac:dyDescent="0.25">
      <c r="A90341"/>
      <c r="B90341"/>
      <c r="C90341"/>
      <c r="E90341"/>
      <c r="F90341"/>
    </row>
    <row r="90342" spans="1:6" x14ac:dyDescent="0.25">
      <c r="A90342"/>
      <c r="B90342"/>
      <c r="C90342"/>
      <c r="E90342"/>
      <c r="F90342"/>
    </row>
    <row r="90343" spans="1:6" x14ac:dyDescent="0.25">
      <c r="A90343"/>
      <c r="B90343"/>
      <c r="C90343"/>
      <c r="E90343"/>
      <c r="F90343"/>
    </row>
    <row r="90344" spans="1:6" x14ac:dyDescent="0.25">
      <c r="A90344"/>
      <c r="B90344"/>
      <c r="C90344"/>
      <c r="E90344"/>
      <c r="F90344"/>
    </row>
    <row r="90345" spans="1:6" x14ac:dyDescent="0.25">
      <c r="A90345"/>
      <c r="B90345"/>
      <c r="C90345"/>
      <c r="E90345"/>
      <c r="F90345"/>
    </row>
    <row r="90346" spans="1:6" x14ac:dyDescent="0.25">
      <c r="A90346"/>
      <c r="B90346"/>
      <c r="C90346"/>
      <c r="E90346"/>
      <c r="F90346"/>
    </row>
    <row r="90347" spans="1:6" x14ac:dyDescent="0.25">
      <c r="A90347"/>
      <c r="B90347"/>
      <c r="C90347"/>
      <c r="E90347"/>
      <c r="F90347"/>
    </row>
    <row r="90348" spans="1:6" x14ac:dyDescent="0.25">
      <c r="A90348"/>
      <c r="B90348"/>
      <c r="C90348"/>
      <c r="E90348"/>
      <c r="F90348"/>
    </row>
    <row r="90349" spans="1:6" x14ac:dyDescent="0.25">
      <c r="A90349"/>
      <c r="B90349"/>
      <c r="C90349"/>
      <c r="E90349"/>
      <c r="F90349"/>
    </row>
    <row r="90350" spans="1:6" x14ac:dyDescent="0.25">
      <c r="A90350"/>
      <c r="B90350"/>
      <c r="C90350"/>
      <c r="E90350"/>
      <c r="F90350"/>
    </row>
    <row r="90351" spans="1:6" x14ac:dyDescent="0.25">
      <c r="A90351"/>
      <c r="B90351"/>
      <c r="C90351"/>
      <c r="E90351"/>
      <c r="F90351"/>
    </row>
    <row r="90352" spans="1:6" x14ac:dyDescent="0.25">
      <c r="A90352"/>
      <c r="B90352"/>
      <c r="C90352"/>
      <c r="E90352"/>
      <c r="F90352"/>
    </row>
    <row r="90353" spans="1:6" x14ac:dyDescent="0.25">
      <c r="A90353"/>
      <c r="B90353"/>
      <c r="C90353"/>
      <c r="E90353"/>
      <c r="F90353"/>
    </row>
    <row r="90354" spans="1:6" x14ac:dyDescent="0.25">
      <c r="A90354"/>
      <c r="B90354"/>
      <c r="C90354"/>
      <c r="E90354"/>
      <c r="F90354"/>
    </row>
    <row r="90355" spans="1:6" x14ac:dyDescent="0.25">
      <c r="A90355"/>
      <c r="B90355"/>
      <c r="C90355"/>
      <c r="E90355"/>
      <c r="F90355"/>
    </row>
    <row r="90356" spans="1:6" x14ac:dyDescent="0.25">
      <c r="A90356"/>
      <c r="B90356"/>
      <c r="C90356"/>
      <c r="E90356"/>
      <c r="F90356"/>
    </row>
    <row r="90357" spans="1:6" x14ac:dyDescent="0.25">
      <c r="A90357"/>
      <c r="B90357"/>
      <c r="C90357"/>
      <c r="E90357"/>
      <c r="F90357"/>
    </row>
    <row r="90358" spans="1:6" x14ac:dyDescent="0.25">
      <c r="A90358"/>
      <c r="B90358"/>
      <c r="C90358"/>
      <c r="E90358"/>
      <c r="F90358"/>
    </row>
    <row r="90359" spans="1:6" x14ac:dyDescent="0.25">
      <c r="A90359"/>
      <c r="B90359"/>
      <c r="C90359"/>
      <c r="E90359"/>
      <c r="F90359"/>
    </row>
    <row r="90360" spans="1:6" x14ac:dyDescent="0.25">
      <c r="A90360"/>
      <c r="B90360"/>
      <c r="C90360"/>
      <c r="E90360"/>
      <c r="F90360"/>
    </row>
    <row r="90361" spans="1:6" x14ac:dyDescent="0.25">
      <c r="A90361"/>
      <c r="B90361"/>
      <c r="C90361"/>
      <c r="E90361"/>
      <c r="F90361"/>
    </row>
    <row r="90362" spans="1:6" x14ac:dyDescent="0.25">
      <c r="A90362"/>
      <c r="B90362"/>
      <c r="C90362"/>
      <c r="E90362"/>
      <c r="F90362"/>
    </row>
    <row r="90363" spans="1:6" x14ac:dyDescent="0.25">
      <c r="A90363"/>
      <c r="B90363"/>
      <c r="C90363"/>
      <c r="E90363"/>
      <c r="F90363"/>
    </row>
    <row r="90364" spans="1:6" x14ac:dyDescent="0.25">
      <c r="A90364"/>
      <c r="B90364"/>
      <c r="C90364"/>
      <c r="E90364"/>
      <c r="F90364"/>
    </row>
    <row r="90365" spans="1:6" x14ac:dyDescent="0.25">
      <c r="A90365"/>
      <c r="B90365"/>
      <c r="C90365"/>
      <c r="E90365"/>
      <c r="F90365"/>
    </row>
    <row r="90366" spans="1:6" x14ac:dyDescent="0.25">
      <c r="A90366"/>
      <c r="B90366"/>
      <c r="C90366"/>
      <c r="E90366"/>
      <c r="F90366"/>
    </row>
    <row r="90367" spans="1:6" x14ac:dyDescent="0.25">
      <c r="A90367"/>
      <c r="B90367"/>
      <c r="C90367"/>
      <c r="E90367"/>
      <c r="F90367"/>
    </row>
    <row r="90368" spans="1:6" x14ac:dyDescent="0.25">
      <c r="A90368"/>
      <c r="B90368"/>
      <c r="C90368"/>
      <c r="E90368"/>
      <c r="F90368"/>
    </row>
    <row r="90369" spans="1:6" x14ac:dyDescent="0.25">
      <c r="A90369"/>
      <c r="B90369"/>
      <c r="C90369"/>
      <c r="E90369"/>
      <c r="F90369"/>
    </row>
    <row r="90370" spans="1:6" x14ac:dyDescent="0.25">
      <c r="A90370"/>
      <c r="B90370"/>
      <c r="C90370"/>
      <c r="E90370"/>
      <c r="F90370"/>
    </row>
    <row r="90371" spans="1:6" x14ac:dyDescent="0.25">
      <c r="A90371"/>
      <c r="B90371"/>
      <c r="C90371"/>
      <c r="E90371"/>
      <c r="F90371"/>
    </row>
    <row r="90372" spans="1:6" x14ac:dyDescent="0.25">
      <c r="A90372"/>
      <c r="B90372"/>
      <c r="C90372"/>
      <c r="E90372"/>
      <c r="F90372"/>
    </row>
    <row r="90373" spans="1:6" x14ac:dyDescent="0.25">
      <c r="A90373"/>
      <c r="B90373"/>
      <c r="C90373"/>
      <c r="E90373"/>
      <c r="F90373"/>
    </row>
    <row r="90374" spans="1:6" x14ac:dyDescent="0.25">
      <c r="A90374"/>
      <c r="B90374"/>
      <c r="C90374"/>
      <c r="E90374"/>
      <c r="F90374"/>
    </row>
    <row r="90375" spans="1:6" x14ac:dyDescent="0.25">
      <c r="A90375"/>
      <c r="B90375"/>
      <c r="C90375"/>
      <c r="E90375"/>
      <c r="F90375"/>
    </row>
    <row r="90376" spans="1:6" x14ac:dyDescent="0.25">
      <c r="A90376"/>
      <c r="B90376"/>
      <c r="C90376"/>
      <c r="E90376"/>
      <c r="F90376"/>
    </row>
    <row r="90377" spans="1:6" x14ac:dyDescent="0.25">
      <c r="A90377"/>
      <c r="B90377"/>
      <c r="C90377"/>
      <c r="E90377"/>
      <c r="F90377"/>
    </row>
    <row r="90378" spans="1:6" x14ac:dyDescent="0.25">
      <c r="A90378"/>
      <c r="B90378"/>
      <c r="C90378"/>
      <c r="E90378"/>
      <c r="F90378"/>
    </row>
    <row r="90379" spans="1:6" x14ac:dyDescent="0.25">
      <c r="A90379"/>
      <c r="B90379"/>
      <c r="C90379"/>
      <c r="E90379"/>
      <c r="F90379"/>
    </row>
    <row r="90380" spans="1:6" x14ac:dyDescent="0.25">
      <c r="A90380"/>
      <c r="B90380"/>
      <c r="C90380"/>
      <c r="E90380"/>
      <c r="F90380"/>
    </row>
    <row r="90381" spans="1:6" x14ac:dyDescent="0.25">
      <c r="A90381"/>
      <c r="B90381"/>
      <c r="C90381"/>
      <c r="E90381"/>
      <c r="F90381"/>
    </row>
    <row r="90382" spans="1:6" x14ac:dyDescent="0.25">
      <c r="A90382"/>
      <c r="B90382"/>
      <c r="C90382"/>
      <c r="E90382"/>
      <c r="F90382"/>
    </row>
    <row r="90383" spans="1:6" x14ac:dyDescent="0.25">
      <c r="A90383"/>
      <c r="B90383"/>
      <c r="C90383"/>
      <c r="E90383"/>
      <c r="F90383"/>
    </row>
    <row r="90384" spans="1:6" x14ac:dyDescent="0.25">
      <c r="A90384"/>
      <c r="B90384"/>
      <c r="C90384"/>
      <c r="E90384"/>
      <c r="F90384"/>
    </row>
    <row r="90385" spans="1:6" x14ac:dyDescent="0.25">
      <c r="A90385"/>
      <c r="B90385"/>
      <c r="C90385"/>
      <c r="E90385"/>
      <c r="F90385"/>
    </row>
    <row r="90386" spans="1:6" x14ac:dyDescent="0.25">
      <c r="A90386"/>
      <c r="B90386"/>
      <c r="C90386"/>
      <c r="E90386"/>
      <c r="F90386"/>
    </row>
    <row r="90387" spans="1:6" x14ac:dyDescent="0.25">
      <c r="A90387"/>
      <c r="B90387"/>
      <c r="C90387"/>
      <c r="E90387"/>
      <c r="F90387"/>
    </row>
    <row r="90388" spans="1:6" x14ac:dyDescent="0.25">
      <c r="A90388"/>
      <c r="B90388"/>
      <c r="C90388"/>
      <c r="E90388"/>
      <c r="F90388"/>
    </row>
    <row r="90389" spans="1:6" x14ac:dyDescent="0.25">
      <c r="A90389"/>
      <c r="B90389"/>
      <c r="C90389"/>
      <c r="E90389"/>
      <c r="F90389"/>
    </row>
    <row r="90390" spans="1:6" x14ac:dyDescent="0.25">
      <c r="A90390"/>
      <c r="B90390"/>
      <c r="C90390"/>
      <c r="E90390"/>
      <c r="F90390"/>
    </row>
    <row r="90391" spans="1:6" x14ac:dyDescent="0.25">
      <c r="A90391"/>
      <c r="B90391"/>
      <c r="C90391"/>
      <c r="E90391"/>
      <c r="F90391"/>
    </row>
    <row r="90392" spans="1:6" x14ac:dyDescent="0.25">
      <c r="A90392"/>
      <c r="B90392"/>
      <c r="C90392"/>
      <c r="E90392"/>
      <c r="F90392"/>
    </row>
    <row r="90393" spans="1:6" x14ac:dyDescent="0.25">
      <c r="A90393"/>
      <c r="B90393"/>
      <c r="C90393"/>
      <c r="E90393"/>
      <c r="F90393"/>
    </row>
    <row r="90394" spans="1:6" x14ac:dyDescent="0.25">
      <c r="A90394"/>
      <c r="B90394"/>
      <c r="C90394"/>
      <c r="E90394"/>
      <c r="F90394"/>
    </row>
    <row r="90395" spans="1:6" x14ac:dyDescent="0.25">
      <c r="A90395"/>
      <c r="B90395"/>
      <c r="C90395"/>
      <c r="E90395"/>
      <c r="F90395"/>
    </row>
    <row r="90396" spans="1:6" x14ac:dyDescent="0.25">
      <c r="A90396"/>
      <c r="B90396"/>
      <c r="C90396"/>
      <c r="E90396"/>
      <c r="F90396"/>
    </row>
    <row r="90397" spans="1:6" x14ac:dyDescent="0.25">
      <c r="A90397"/>
      <c r="B90397"/>
      <c r="C90397"/>
      <c r="E90397"/>
      <c r="F90397"/>
    </row>
    <row r="90398" spans="1:6" x14ac:dyDescent="0.25">
      <c r="A90398"/>
      <c r="B90398"/>
      <c r="C90398"/>
      <c r="E90398"/>
      <c r="F90398"/>
    </row>
    <row r="90399" spans="1:6" x14ac:dyDescent="0.25">
      <c r="A90399"/>
      <c r="B90399"/>
      <c r="C90399"/>
      <c r="E90399"/>
      <c r="F90399"/>
    </row>
    <row r="90400" spans="1:6" x14ac:dyDescent="0.25">
      <c r="A90400"/>
      <c r="B90400"/>
      <c r="C90400"/>
      <c r="E90400"/>
      <c r="F90400"/>
    </row>
    <row r="90401" spans="1:6" x14ac:dyDescent="0.25">
      <c r="A90401"/>
      <c r="B90401"/>
      <c r="C90401"/>
      <c r="E90401"/>
      <c r="F90401"/>
    </row>
    <row r="90402" spans="1:6" x14ac:dyDescent="0.25">
      <c r="A90402"/>
      <c r="B90402"/>
      <c r="C90402"/>
      <c r="E90402"/>
      <c r="F90402"/>
    </row>
    <row r="90403" spans="1:6" x14ac:dyDescent="0.25">
      <c r="A90403"/>
      <c r="B90403"/>
      <c r="C90403"/>
      <c r="E90403"/>
      <c r="F90403"/>
    </row>
    <row r="90404" spans="1:6" x14ac:dyDescent="0.25">
      <c r="A90404"/>
      <c r="B90404"/>
      <c r="C90404"/>
      <c r="E90404"/>
      <c r="F90404"/>
    </row>
    <row r="90405" spans="1:6" x14ac:dyDescent="0.25">
      <c r="A90405"/>
      <c r="B90405"/>
      <c r="C90405"/>
      <c r="E90405"/>
      <c r="F90405"/>
    </row>
    <row r="90406" spans="1:6" x14ac:dyDescent="0.25">
      <c r="A90406"/>
      <c r="B90406"/>
      <c r="C90406"/>
      <c r="E90406"/>
      <c r="F90406"/>
    </row>
    <row r="90407" spans="1:6" x14ac:dyDescent="0.25">
      <c r="A90407"/>
      <c r="B90407"/>
      <c r="C90407"/>
      <c r="E90407"/>
      <c r="F90407"/>
    </row>
    <row r="90408" spans="1:6" x14ac:dyDescent="0.25">
      <c r="A90408"/>
      <c r="B90408"/>
      <c r="C90408"/>
      <c r="E90408"/>
      <c r="F90408"/>
    </row>
    <row r="90409" spans="1:6" x14ac:dyDescent="0.25">
      <c r="A90409"/>
      <c r="B90409"/>
      <c r="C90409"/>
      <c r="E90409"/>
      <c r="F90409"/>
    </row>
    <row r="90410" spans="1:6" x14ac:dyDescent="0.25">
      <c r="A90410"/>
      <c r="B90410"/>
      <c r="C90410"/>
      <c r="E90410"/>
      <c r="F90410"/>
    </row>
    <row r="90411" spans="1:6" x14ac:dyDescent="0.25">
      <c r="A90411"/>
      <c r="B90411"/>
      <c r="C90411"/>
      <c r="E90411"/>
      <c r="F90411"/>
    </row>
    <row r="90412" spans="1:6" x14ac:dyDescent="0.25">
      <c r="A90412"/>
      <c r="B90412"/>
      <c r="C90412"/>
      <c r="E90412"/>
      <c r="F90412"/>
    </row>
    <row r="90413" spans="1:6" x14ac:dyDescent="0.25">
      <c r="A90413"/>
      <c r="B90413"/>
      <c r="C90413"/>
      <c r="E90413"/>
      <c r="F90413"/>
    </row>
    <row r="90414" spans="1:6" x14ac:dyDescent="0.25">
      <c r="A90414"/>
      <c r="B90414"/>
      <c r="C90414"/>
      <c r="E90414"/>
      <c r="F90414"/>
    </row>
    <row r="90415" spans="1:6" x14ac:dyDescent="0.25">
      <c r="A90415"/>
      <c r="B90415"/>
      <c r="C90415"/>
      <c r="E90415"/>
      <c r="F90415"/>
    </row>
    <row r="90416" spans="1:6" x14ac:dyDescent="0.25">
      <c r="A90416"/>
      <c r="B90416"/>
      <c r="C90416"/>
      <c r="E90416"/>
      <c r="F90416"/>
    </row>
    <row r="90417" spans="1:6" x14ac:dyDescent="0.25">
      <c r="A90417"/>
      <c r="B90417"/>
      <c r="C90417"/>
      <c r="E90417"/>
      <c r="F90417"/>
    </row>
    <row r="90418" spans="1:6" x14ac:dyDescent="0.25">
      <c r="A90418"/>
      <c r="B90418"/>
      <c r="C90418"/>
      <c r="E90418"/>
      <c r="F90418"/>
    </row>
    <row r="90419" spans="1:6" x14ac:dyDescent="0.25">
      <c r="A90419"/>
      <c r="B90419"/>
      <c r="C90419"/>
      <c r="E90419"/>
      <c r="F90419"/>
    </row>
    <row r="90420" spans="1:6" x14ac:dyDescent="0.25">
      <c r="A90420"/>
      <c r="B90420"/>
      <c r="C90420"/>
      <c r="E90420"/>
      <c r="F90420"/>
    </row>
    <row r="90421" spans="1:6" x14ac:dyDescent="0.25">
      <c r="A90421"/>
      <c r="B90421"/>
      <c r="C90421"/>
      <c r="E90421"/>
      <c r="F90421"/>
    </row>
    <row r="90422" spans="1:6" x14ac:dyDescent="0.25">
      <c r="A90422"/>
      <c r="B90422"/>
      <c r="C90422"/>
      <c r="E90422"/>
      <c r="F90422"/>
    </row>
    <row r="90423" spans="1:6" x14ac:dyDescent="0.25">
      <c r="A90423"/>
      <c r="B90423"/>
      <c r="C90423"/>
      <c r="E90423"/>
      <c r="F90423"/>
    </row>
    <row r="90424" spans="1:6" x14ac:dyDescent="0.25">
      <c r="A90424"/>
      <c r="B90424"/>
      <c r="C90424"/>
      <c r="E90424"/>
      <c r="F90424"/>
    </row>
    <row r="90425" spans="1:6" x14ac:dyDescent="0.25">
      <c r="A90425"/>
      <c r="B90425"/>
      <c r="C90425"/>
      <c r="E90425"/>
      <c r="F90425"/>
    </row>
    <row r="90426" spans="1:6" x14ac:dyDescent="0.25">
      <c r="A90426"/>
      <c r="B90426"/>
      <c r="C90426"/>
      <c r="E90426"/>
      <c r="F90426"/>
    </row>
    <row r="90427" spans="1:6" x14ac:dyDescent="0.25">
      <c r="A90427"/>
      <c r="B90427"/>
      <c r="C90427"/>
      <c r="E90427"/>
      <c r="F90427"/>
    </row>
    <row r="90428" spans="1:6" x14ac:dyDescent="0.25">
      <c r="A90428"/>
      <c r="B90428"/>
      <c r="C90428"/>
      <c r="E90428"/>
      <c r="F90428"/>
    </row>
    <row r="90429" spans="1:6" x14ac:dyDescent="0.25">
      <c r="A90429"/>
      <c r="B90429"/>
      <c r="C90429"/>
      <c r="E90429"/>
      <c r="F90429"/>
    </row>
    <row r="90430" spans="1:6" x14ac:dyDescent="0.25">
      <c r="A90430"/>
      <c r="B90430"/>
      <c r="C90430"/>
      <c r="E90430"/>
      <c r="F90430"/>
    </row>
    <row r="90431" spans="1:6" x14ac:dyDescent="0.25">
      <c r="A90431"/>
      <c r="B90431"/>
      <c r="C90431"/>
      <c r="E90431"/>
      <c r="F90431"/>
    </row>
    <row r="90432" spans="1:6" x14ac:dyDescent="0.25">
      <c r="A90432"/>
      <c r="B90432"/>
      <c r="C90432"/>
      <c r="E90432"/>
      <c r="F90432"/>
    </row>
    <row r="90433" spans="1:6" x14ac:dyDescent="0.25">
      <c r="A90433"/>
      <c r="B90433"/>
      <c r="C90433"/>
      <c r="E90433"/>
      <c r="F90433"/>
    </row>
    <row r="90434" spans="1:6" x14ac:dyDescent="0.25">
      <c r="A90434"/>
      <c r="B90434"/>
      <c r="C90434"/>
      <c r="E90434"/>
      <c r="F90434"/>
    </row>
    <row r="90435" spans="1:6" x14ac:dyDescent="0.25">
      <c r="A90435"/>
      <c r="B90435"/>
      <c r="C90435"/>
      <c r="E90435"/>
      <c r="F90435"/>
    </row>
    <row r="90436" spans="1:6" x14ac:dyDescent="0.25">
      <c r="A90436"/>
      <c r="B90436"/>
      <c r="C90436"/>
      <c r="E90436"/>
      <c r="F90436"/>
    </row>
    <row r="90437" spans="1:6" x14ac:dyDescent="0.25">
      <c r="A90437"/>
      <c r="B90437"/>
      <c r="C90437"/>
      <c r="E90437"/>
      <c r="F90437"/>
    </row>
    <row r="90438" spans="1:6" x14ac:dyDescent="0.25">
      <c r="A90438"/>
      <c r="B90438"/>
      <c r="C90438"/>
      <c r="E90438"/>
      <c r="F90438"/>
    </row>
    <row r="90439" spans="1:6" x14ac:dyDescent="0.25">
      <c r="A90439"/>
      <c r="B90439"/>
      <c r="C90439"/>
      <c r="E90439"/>
      <c r="F90439"/>
    </row>
    <row r="90440" spans="1:6" x14ac:dyDescent="0.25">
      <c r="A90440"/>
      <c r="B90440"/>
      <c r="C90440"/>
      <c r="E90440"/>
      <c r="F90440"/>
    </row>
    <row r="90441" spans="1:6" x14ac:dyDescent="0.25">
      <c r="A90441"/>
      <c r="B90441"/>
      <c r="C90441"/>
      <c r="E90441"/>
      <c r="F90441"/>
    </row>
    <row r="90442" spans="1:6" x14ac:dyDescent="0.25">
      <c r="A90442"/>
      <c r="B90442"/>
      <c r="C90442"/>
      <c r="E90442"/>
      <c r="F90442"/>
    </row>
    <row r="90443" spans="1:6" x14ac:dyDescent="0.25">
      <c r="A90443"/>
      <c r="B90443"/>
      <c r="C90443"/>
      <c r="E90443"/>
      <c r="F90443"/>
    </row>
    <row r="90444" spans="1:6" x14ac:dyDescent="0.25">
      <c r="A90444"/>
      <c r="B90444"/>
      <c r="C90444"/>
      <c r="E90444"/>
      <c r="F90444"/>
    </row>
    <row r="90445" spans="1:6" x14ac:dyDescent="0.25">
      <c r="A90445"/>
      <c r="B90445"/>
      <c r="C90445"/>
      <c r="E90445"/>
      <c r="F90445"/>
    </row>
    <row r="90446" spans="1:6" x14ac:dyDescent="0.25">
      <c r="A90446"/>
      <c r="B90446"/>
      <c r="C90446"/>
      <c r="E90446"/>
      <c r="F90446"/>
    </row>
    <row r="90447" spans="1:6" x14ac:dyDescent="0.25">
      <c r="A90447"/>
      <c r="B90447"/>
      <c r="C90447"/>
      <c r="E90447"/>
      <c r="F90447"/>
    </row>
    <row r="90448" spans="1:6" x14ac:dyDescent="0.25">
      <c r="A90448"/>
      <c r="B90448"/>
      <c r="C90448"/>
      <c r="E90448"/>
      <c r="F90448"/>
    </row>
    <row r="90449" spans="1:6" x14ac:dyDescent="0.25">
      <c r="A90449"/>
      <c r="B90449"/>
      <c r="C90449"/>
      <c r="E90449"/>
      <c r="F90449"/>
    </row>
    <row r="90450" spans="1:6" x14ac:dyDescent="0.25">
      <c r="A90450"/>
      <c r="B90450"/>
      <c r="C90450"/>
      <c r="E90450"/>
      <c r="F90450"/>
    </row>
    <row r="90451" spans="1:6" x14ac:dyDescent="0.25">
      <c r="A90451"/>
      <c r="B90451"/>
      <c r="C90451"/>
      <c r="E90451"/>
      <c r="F90451"/>
    </row>
    <row r="90452" spans="1:6" x14ac:dyDescent="0.25">
      <c r="A90452"/>
      <c r="B90452"/>
      <c r="C90452"/>
      <c r="E90452"/>
      <c r="F90452"/>
    </row>
    <row r="90453" spans="1:6" x14ac:dyDescent="0.25">
      <c r="A90453"/>
      <c r="B90453"/>
      <c r="C90453"/>
      <c r="E90453"/>
      <c r="F90453"/>
    </row>
    <row r="90454" spans="1:6" x14ac:dyDescent="0.25">
      <c r="A90454"/>
      <c r="B90454"/>
      <c r="C90454"/>
      <c r="E90454"/>
      <c r="F90454"/>
    </row>
    <row r="90455" spans="1:6" x14ac:dyDescent="0.25">
      <c r="A90455"/>
      <c r="B90455"/>
      <c r="C90455"/>
      <c r="E90455"/>
      <c r="F90455"/>
    </row>
    <row r="90456" spans="1:6" x14ac:dyDescent="0.25">
      <c r="A90456"/>
      <c r="B90456"/>
      <c r="C90456"/>
      <c r="E90456"/>
      <c r="F90456"/>
    </row>
    <row r="90457" spans="1:6" x14ac:dyDescent="0.25">
      <c r="A90457"/>
      <c r="B90457"/>
      <c r="C90457"/>
      <c r="E90457"/>
      <c r="F90457"/>
    </row>
    <row r="90458" spans="1:6" x14ac:dyDescent="0.25">
      <c r="A90458"/>
      <c r="B90458"/>
      <c r="C90458"/>
      <c r="E90458"/>
      <c r="F90458"/>
    </row>
    <row r="90459" spans="1:6" x14ac:dyDescent="0.25">
      <c r="A90459"/>
      <c r="B90459"/>
      <c r="C90459"/>
      <c r="E90459"/>
      <c r="F90459"/>
    </row>
    <row r="90460" spans="1:6" x14ac:dyDescent="0.25">
      <c r="A90460"/>
      <c r="B90460"/>
      <c r="C90460"/>
      <c r="E90460"/>
      <c r="F90460"/>
    </row>
    <row r="90461" spans="1:6" x14ac:dyDescent="0.25">
      <c r="A90461"/>
      <c r="B90461"/>
      <c r="C90461"/>
      <c r="E90461"/>
      <c r="F90461"/>
    </row>
    <row r="90462" spans="1:6" x14ac:dyDescent="0.25">
      <c r="A90462"/>
      <c r="B90462"/>
      <c r="C90462"/>
      <c r="E90462"/>
      <c r="F90462"/>
    </row>
    <row r="90463" spans="1:6" x14ac:dyDescent="0.25">
      <c r="A90463"/>
      <c r="B90463"/>
      <c r="C90463"/>
      <c r="E90463"/>
      <c r="F90463"/>
    </row>
    <row r="90464" spans="1:6" x14ac:dyDescent="0.25">
      <c r="A90464"/>
      <c r="B90464"/>
      <c r="C90464"/>
      <c r="E90464"/>
      <c r="F90464"/>
    </row>
    <row r="90465" spans="1:6" x14ac:dyDescent="0.25">
      <c r="A90465"/>
      <c r="B90465"/>
      <c r="C90465"/>
      <c r="E90465"/>
      <c r="F90465"/>
    </row>
    <row r="90466" spans="1:6" x14ac:dyDescent="0.25">
      <c r="A90466"/>
      <c r="B90466"/>
      <c r="C90466"/>
      <c r="E90466"/>
      <c r="F90466"/>
    </row>
    <row r="90467" spans="1:6" x14ac:dyDescent="0.25">
      <c r="A90467"/>
      <c r="B90467"/>
      <c r="C90467"/>
      <c r="E90467"/>
      <c r="F90467"/>
    </row>
    <row r="90468" spans="1:6" x14ac:dyDescent="0.25">
      <c r="A90468"/>
      <c r="B90468"/>
      <c r="C90468"/>
      <c r="E90468"/>
      <c r="F90468"/>
    </row>
    <row r="90469" spans="1:6" x14ac:dyDescent="0.25">
      <c r="A90469"/>
      <c r="B90469"/>
      <c r="C90469"/>
      <c r="E90469"/>
      <c r="F90469"/>
    </row>
    <row r="90470" spans="1:6" x14ac:dyDescent="0.25">
      <c r="A90470"/>
      <c r="B90470"/>
      <c r="C90470"/>
      <c r="E90470"/>
      <c r="F90470"/>
    </row>
    <row r="90471" spans="1:6" x14ac:dyDescent="0.25">
      <c r="A90471"/>
      <c r="B90471"/>
      <c r="C90471"/>
      <c r="E90471"/>
      <c r="F90471"/>
    </row>
    <row r="90472" spans="1:6" x14ac:dyDescent="0.25">
      <c r="A90472"/>
      <c r="B90472"/>
      <c r="C90472"/>
      <c r="E90472"/>
      <c r="F90472"/>
    </row>
    <row r="90473" spans="1:6" x14ac:dyDescent="0.25">
      <c r="A90473"/>
      <c r="B90473"/>
      <c r="C90473"/>
      <c r="E90473"/>
      <c r="F90473"/>
    </row>
    <row r="90474" spans="1:6" x14ac:dyDescent="0.25">
      <c r="A90474"/>
      <c r="B90474"/>
      <c r="C90474"/>
      <c r="E90474"/>
      <c r="F90474"/>
    </row>
    <row r="90475" spans="1:6" x14ac:dyDescent="0.25">
      <c r="A90475"/>
      <c r="B90475"/>
      <c r="C90475"/>
      <c r="E90475"/>
      <c r="F90475"/>
    </row>
    <row r="90476" spans="1:6" x14ac:dyDescent="0.25">
      <c r="A90476"/>
      <c r="B90476"/>
      <c r="C90476"/>
      <c r="E90476"/>
      <c r="F90476"/>
    </row>
    <row r="90477" spans="1:6" x14ac:dyDescent="0.25">
      <c r="A90477"/>
      <c r="B90477"/>
      <c r="C90477"/>
      <c r="E90477"/>
      <c r="F90477"/>
    </row>
    <row r="90478" spans="1:6" x14ac:dyDescent="0.25">
      <c r="A90478"/>
      <c r="B90478"/>
      <c r="C90478"/>
      <c r="E90478"/>
      <c r="F90478"/>
    </row>
    <row r="90479" spans="1:6" x14ac:dyDescent="0.25">
      <c r="A90479"/>
      <c r="B90479"/>
      <c r="C90479"/>
      <c r="E90479"/>
      <c r="F90479"/>
    </row>
    <row r="90480" spans="1:6" x14ac:dyDescent="0.25">
      <c r="A90480"/>
      <c r="B90480"/>
      <c r="C90480"/>
      <c r="E90480"/>
      <c r="F90480"/>
    </row>
    <row r="90481" spans="1:6" x14ac:dyDescent="0.25">
      <c r="A90481"/>
      <c r="B90481"/>
      <c r="C90481"/>
      <c r="E90481"/>
      <c r="F90481"/>
    </row>
    <row r="90482" spans="1:6" x14ac:dyDescent="0.25">
      <c r="A90482"/>
      <c r="B90482"/>
      <c r="C90482"/>
      <c r="E90482"/>
      <c r="F90482"/>
    </row>
    <row r="90483" spans="1:6" x14ac:dyDescent="0.25">
      <c r="A90483"/>
      <c r="B90483"/>
      <c r="C90483"/>
      <c r="E90483"/>
      <c r="F90483"/>
    </row>
    <row r="90484" spans="1:6" x14ac:dyDescent="0.25">
      <c r="A90484"/>
      <c r="B90484"/>
      <c r="C90484"/>
      <c r="E90484"/>
      <c r="F90484"/>
    </row>
    <row r="90485" spans="1:6" x14ac:dyDescent="0.25">
      <c r="A90485"/>
      <c r="B90485"/>
      <c r="C90485"/>
      <c r="E90485"/>
      <c r="F90485"/>
    </row>
    <row r="90486" spans="1:6" x14ac:dyDescent="0.25">
      <c r="A90486"/>
      <c r="B90486"/>
      <c r="C90486"/>
      <c r="E90486"/>
      <c r="F90486"/>
    </row>
    <row r="90487" spans="1:6" x14ac:dyDescent="0.25">
      <c r="A90487"/>
      <c r="B90487"/>
      <c r="C90487"/>
      <c r="E90487"/>
      <c r="F90487"/>
    </row>
    <row r="90488" spans="1:6" x14ac:dyDescent="0.25">
      <c r="A90488"/>
      <c r="B90488"/>
      <c r="C90488"/>
      <c r="E90488"/>
      <c r="F90488"/>
    </row>
    <row r="90489" spans="1:6" x14ac:dyDescent="0.25">
      <c r="A90489"/>
      <c r="B90489"/>
      <c r="C90489"/>
      <c r="E90489"/>
      <c r="F90489"/>
    </row>
    <row r="90490" spans="1:6" x14ac:dyDescent="0.25">
      <c r="A90490"/>
      <c r="B90490"/>
      <c r="C90490"/>
      <c r="E90490"/>
      <c r="F90490"/>
    </row>
    <row r="90491" spans="1:6" x14ac:dyDescent="0.25">
      <c r="A90491"/>
      <c r="B90491"/>
      <c r="C90491"/>
      <c r="E90491"/>
      <c r="F90491"/>
    </row>
    <row r="90492" spans="1:6" x14ac:dyDescent="0.25">
      <c r="A90492"/>
      <c r="B90492"/>
      <c r="C90492"/>
      <c r="E90492"/>
      <c r="F90492"/>
    </row>
    <row r="90493" spans="1:6" x14ac:dyDescent="0.25">
      <c r="A90493"/>
      <c r="B90493"/>
      <c r="C90493"/>
      <c r="E90493"/>
      <c r="F90493"/>
    </row>
    <row r="90494" spans="1:6" x14ac:dyDescent="0.25">
      <c r="A90494"/>
      <c r="B90494"/>
      <c r="C90494"/>
      <c r="E90494"/>
      <c r="F90494"/>
    </row>
    <row r="90495" spans="1:6" x14ac:dyDescent="0.25">
      <c r="A90495"/>
      <c r="B90495"/>
      <c r="C90495"/>
      <c r="E90495"/>
      <c r="F90495"/>
    </row>
    <row r="90496" spans="1:6" x14ac:dyDescent="0.25">
      <c r="A90496"/>
      <c r="B90496"/>
      <c r="C90496"/>
      <c r="E90496"/>
      <c r="F90496"/>
    </row>
    <row r="90497" spans="1:6" x14ac:dyDescent="0.25">
      <c r="A90497"/>
      <c r="B90497"/>
      <c r="C90497"/>
      <c r="E90497"/>
      <c r="F90497"/>
    </row>
    <row r="90498" spans="1:6" x14ac:dyDescent="0.25">
      <c r="A90498"/>
      <c r="B90498"/>
      <c r="C90498"/>
      <c r="E90498"/>
      <c r="F90498"/>
    </row>
    <row r="90499" spans="1:6" x14ac:dyDescent="0.25">
      <c r="A90499"/>
      <c r="B90499"/>
      <c r="C90499"/>
      <c r="E90499"/>
      <c r="F90499"/>
    </row>
    <row r="90500" spans="1:6" x14ac:dyDescent="0.25">
      <c r="A90500"/>
      <c r="B90500"/>
      <c r="C90500"/>
      <c r="E90500"/>
      <c r="F90500"/>
    </row>
    <row r="90501" spans="1:6" x14ac:dyDescent="0.25">
      <c r="A90501"/>
      <c r="B90501"/>
      <c r="C90501"/>
      <c r="E90501"/>
      <c r="F90501"/>
    </row>
    <row r="90502" spans="1:6" x14ac:dyDescent="0.25">
      <c r="A90502"/>
      <c r="B90502"/>
      <c r="C90502"/>
      <c r="E90502"/>
      <c r="F90502"/>
    </row>
    <row r="90503" spans="1:6" x14ac:dyDescent="0.25">
      <c r="A90503"/>
      <c r="B90503"/>
      <c r="C90503"/>
      <c r="E90503"/>
      <c r="F90503"/>
    </row>
    <row r="90504" spans="1:6" x14ac:dyDescent="0.25">
      <c r="A90504"/>
      <c r="B90504"/>
      <c r="C90504"/>
      <c r="E90504"/>
      <c r="F90504"/>
    </row>
    <row r="90505" spans="1:6" x14ac:dyDescent="0.25">
      <c r="A90505"/>
      <c r="B90505"/>
      <c r="C90505"/>
      <c r="E90505"/>
      <c r="F90505"/>
    </row>
    <row r="90506" spans="1:6" x14ac:dyDescent="0.25">
      <c r="A90506"/>
      <c r="B90506"/>
      <c r="C90506"/>
      <c r="E90506"/>
      <c r="F90506"/>
    </row>
    <row r="90507" spans="1:6" x14ac:dyDescent="0.25">
      <c r="A90507"/>
      <c r="B90507"/>
      <c r="C90507"/>
      <c r="E90507"/>
      <c r="F90507"/>
    </row>
    <row r="90508" spans="1:6" x14ac:dyDescent="0.25">
      <c r="A90508"/>
      <c r="B90508"/>
      <c r="C90508"/>
      <c r="E90508"/>
      <c r="F90508"/>
    </row>
    <row r="90509" spans="1:6" x14ac:dyDescent="0.25">
      <c r="A90509"/>
      <c r="B90509"/>
      <c r="C90509"/>
      <c r="E90509"/>
      <c r="F90509"/>
    </row>
    <row r="90510" spans="1:6" x14ac:dyDescent="0.25">
      <c r="A90510"/>
      <c r="B90510"/>
      <c r="C90510"/>
      <c r="E90510"/>
      <c r="F90510"/>
    </row>
    <row r="90511" spans="1:6" x14ac:dyDescent="0.25">
      <c r="A90511"/>
      <c r="B90511"/>
      <c r="C90511"/>
      <c r="E90511"/>
      <c r="F90511"/>
    </row>
    <row r="90512" spans="1:6" x14ac:dyDescent="0.25">
      <c r="A90512"/>
      <c r="B90512"/>
      <c r="C90512"/>
      <c r="E90512"/>
      <c r="F90512"/>
    </row>
    <row r="90513" spans="1:6" x14ac:dyDescent="0.25">
      <c r="A90513"/>
      <c r="B90513"/>
      <c r="C90513"/>
      <c r="E90513"/>
      <c r="F90513"/>
    </row>
    <row r="90514" spans="1:6" x14ac:dyDescent="0.25">
      <c r="A90514"/>
      <c r="B90514"/>
      <c r="C90514"/>
      <c r="E90514"/>
      <c r="F90514"/>
    </row>
    <row r="90515" spans="1:6" x14ac:dyDescent="0.25">
      <c r="A90515"/>
      <c r="B90515"/>
      <c r="C90515"/>
      <c r="E90515"/>
      <c r="F90515"/>
    </row>
    <row r="90516" spans="1:6" x14ac:dyDescent="0.25">
      <c r="A90516"/>
      <c r="B90516"/>
      <c r="C90516"/>
      <c r="E90516"/>
      <c r="F90516"/>
    </row>
    <row r="90517" spans="1:6" x14ac:dyDescent="0.25">
      <c r="A90517"/>
      <c r="B90517"/>
      <c r="C90517"/>
      <c r="E90517"/>
      <c r="F90517"/>
    </row>
    <row r="90518" spans="1:6" x14ac:dyDescent="0.25">
      <c r="A90518"/>
      <c r="B90518"/>
      <c r="C90518"/>
      <c r="E90518"/>
      <c r="F90518"/>
    </row>
    <row r="90519" spans="1:6" x14ac:dyDescent="0.25">
      <c r="A90519"/>
      <c r="B90519"/>
      <c r="C90519"/>
      <c r="E90519"/>
      <c r="F90519"/>
    </row>
    <row r="90520" spans="1:6" x14ac:dyDescent="0.25">
      <c r="A90520"/>
      <c r="B90520"/>
      <c r="C90520"/>
      <c r="E90520"/>
      <c r="F90520"/>
    </row>
    <row r="90521" spans="1:6" x14ac:dyDescent="0.25">
      <c r="A90521"/>
      <c r="B90521"/>
      <c r="C90521"/>
      <c r="E90521"/>
      <c r="F90521"/>
    </row>
    <row r="90522" spans="1:6" x14ac:dyDescent="0.25">
      <c r="A90522"/>
      <c r="B90522"/>
      <c r="C90522"/>
      <c r="E90522"/>
      <c r="F90522"/>
    </row>
    <row r="90523" spans="1:6" x14ac:dyDescent="0.25">
      <c r="A90523"/>
      <c r="B90523"/>
      <c r="C90523"/>
      <c r="E90523"/>
      <c r="F90523"/>
    </row>
    <row r="90524" spans="1:6" x14ac:dyDescent="0.25">
      <c r="A90524"/>
      <c r="B90524"/>
      <c r="C90524"/>
      <c r="E90524"/>
      <c r="F90524"/>
    </row>
    <row r="90525" spans="1:6" x14ac:dyDescent="0.25">
      <c r="A90525"/>
      <c r="B90525"/>
      <c r="C90525"/>
      <c r="E90525"/>
      <c r="F90525"/>
    </row>
    <row r="90526" spans="1:6" x14ac:dyDescent="0.25">
      <c r="A90526"/>
      <c r="B90526"/>
      <c r="C90526"/>
      <c r="E90526"/>
      <c r="F90526"/>
    </row>
    <row r="90527" spans="1:6" x14ac:dyDescent="0.25">
      <c r="A90527"/>
      <c r="B90527"/>
      <c r="C90527"/>
      <c r="E90527"/>
      <c r="F90527"/>
    </row>
    <row r="90528" spans="1:6" x14ac:dyDescent="0.25">
      <c r="A90528"/>
      <c r="B90528"/>
      <c r="C90528"/>
      <c r="E90528"/>
      <c r="F90528"/>
    </row>
    <row r="90529" spans="1:6" x14ac:dyDescent="0.25">
      <c r="A90529"/>
      <c r="B90529"/>
      <c r="C90529"/>
      <c r="E90529"/>
      <c r="F90529"/>
    </row>
    <row r="90530" spans="1:6" x14ac:dyDescent="0.25">
      <c r="A90530"/>
      <c r="B90530"/>
      <c r="C90530"/>
      <c r="E90530"/>
      <c r="F90530"/>
    </row>
    <row r="90531" spans="1:6" x14ac:dyDescent="0.25">
      <c r="A90531"/>
      <c r="B90531"/>
      <c r="C90531"/>
      <c r="E90531"/>
      <c r="F90531"/>
    </row>
    <row r="90532" spans="1:6" x14ac:dyDescent="0.25">
      <c r="A90532"/>
      <c r="B90532"/>
      <c r="C90532"/>
      <c r="E90532"/>
      <c r="F90532"/>
    </row>
    <row r="90533" spans="1:6" x14ac:dyDescent="0.25">
      <c r="A90533"/>
      <c r="B90533"/>
      <c r="C90533"/>
      <c r="E90533"/>
      <c r="F90533"/>
    </row>
    <row r="90534" spans="1:6" x14ac:dyDescent="0.25">
      <c r="A90534"/>
      <c r="B90534"/>
      <c r="C90534"/>
      <c r="E90534"/>
      <c r="F90534"/>
    </row>
    <row r="90535" spans="1:6" x14ac:dyDescent="0.25">
      <c r="A90535"/>
      <c r="B90535"/>
      <c r="C90535"/>
      <c r="E90535"/>
      <c r="F90535"/>
    </row>
    <row r="90536" spans="1:6" x14ac:dyDescent="0.25">
      <c r="A90536"/>
      <c r="B90536"/>
      <c r="C90536"/>
      <c r="E90536"/>
      <c r="F90536"/>
    </row>
    <row r="90537" spans="1:6" x14ac:dyDescent="0.25">
      <c r="A90537"/>
      <c r="B90537"/>
      <c r="C90537"/>
      <c r="E90537"/>
      <c r="F90537"/>
    </row>
    <row r="90538" spans="1:6" x14ac:dyDescent="0.25">
      <c r="A90538"/>
      <c r="B90538"/>
      <c r="C90538"/>
      <c r="E90538"/>
      <c r="F90538"/>
    </row>
    <row r="90539" spans="1:6" x14ac:dyDescent="0.25">
      <c r="A90539"/>
      <c r="B90539"/>
      <c r="C90539"/>
      <c r="E90539"/>
      <c r="F90539"/>
    </row>
    <row r="90540" spans="1:6" x14ac:dyDescent="0.25">
      <c r="A90540"/>
      <c r="B90540"/>
      <c r="C90540"/>
      <c r="E90540"/>
      <c r="F90540"/>
    </row>
    <row r="90541" spans="1:6" x14ac:dyDescent="0.25">
      <c r="A90541"/>
      <c r="B90541"/>
      <c r="C90541"/>
      <c r="E90541"/>
      <c r="F90541"/>
    </row>
    <row r="90542" spans="1:6" x14ac:dyDescent="0.25">
      <c r="A90542"/>
      <c r="B90542"/>
      <c r="C90542"/>
      <c r="E90542"/>
      <c r="F90542"/>
    </row>
    <row r="90543" spans="1:6" x14ac:dyDescent="0.25">
      <c r="A90543"/>
      <c r="B90543"/>
      <c r="C90543"/>
      <c r="E90543"/>
      <c r="F90543"/>
    </row>
    <row r="90544" spans="1:6" x14ac:dyDescent="0.25">
      <c r="A90544"/>
      <c r="B90544"/>
      <c r="C90544"/>
      <c r="E90544"/>
      <c r="F90544"/>
    </row>
    <row r="90545" spans="1:6" x14ac:dyDescent="0.25">
      <c r="A90545"/>
      <c r="B90545"/>
      <c r="C90545"/>
      <c r="E90545"/>
      <c r="F90545"/>
    </row>
    <row r="90546" spans="1:6" x14ac:dyDescent="0.25">
      <c r="A90546"/>
      <c r="B90546"/>
      <c r="C90546"/>
      <c r="E90546"/>
      <c r="F90546"/>
    </row>
    <row r="90547" spans="1:6" x14ac:dyDescent="0.25">
      <c r="A90547"/>
      <c r="B90547"/>
      <c r="C90547"/>
      <c r="E90547"/>
      <c r="F90547"/>
    </row>
    <row r="90548" spans="1:6" x14ac:dyDescent="0.25">
      <c r="A90548"/>
      <c r="B90548"/>
      <c r="C90548"/>
      <c r="E90548"/>
      <c r="F90548"/>
    </row>
    <row r="90549" spans="1:6" x14ac:dyDescent="0.25">
      <c r="A90549"/>
      <c r="B90549"/>
      <c r="C90549"/>
      <c r="E90549"/>
      <c r="F90549"/>
    </row>
    <row r="90550" spans="1:6" x14ac:dyDescent="0.25">
      <c r="A90550"/>
      <c r="B90550"/>
      <c r="C90550"/>
      <c r="E90550"/>
      <c r="F90550"/>
    </row>
    <row r="90551" spans="1:6" x14ac:dyDescent="0.25">
      <c r="A90551"/>
      <c r="B90551"/>
      <c r="C90551"/>
      <c r="E90551"/>
      <c r="F90551"/>
    </row>
    <row r="90552" spans="1:6" x14ac:dyDescent="0.25">
      <c r="A90552"/>
      <c r="B90552"/>
      <c r="C90552"/>
      <c r="E90552"/>
      <c r="F90552"/>
    </row>
    <row r="90553" spans="1:6" x14ac:dyDescent="0.25">
      <c r="A90553"/>
      <c r="B90553"/>
      <c r="C90553"/>
      <c r="E90553"/>
      <c r="F90553"/>
    </row>
    <row r="90554" spans="1:6" x14ac:dyDescent="0.25">
      <c r="A90554"/>
      <c r="B90554"/>
      <c r="C90554"/>
      <c r="E90554"/>
      <c r="F90554"/>
    </row>
    <row r="90555" spans="1:6" x14ac:dyDescent="0.25">
      <c r="A90555"/>
      <c r="B90555"/>
      <c r="C90555"/>
      <c r="E90555"/>
      <c r="F90555"/>
    </row>
    <row r="90556" spans="1:6" x14ac:dyDescent="0.25">
      <c r="A90556"/>
      <c r="B90556"/>
      <c r="C90556"/>
      <c r="E90556"/>
      <c r="F90556"/>
    </row>
    <row r="90557" spans="1:6" x14ac:dyDescent="0.25">
      <c r="A90557"/>
      <c r="B90557"/>
      <c r="C90557"/>
      <c r="E90557"/>
      <c r="F90557"/>
    </row>
    <row r="90558" spans="1:6" x14ac:dyDescent="0.25">
      <c r="A90558"/>
      <c r="B90558"/>
      <c r="C90558"/>
      <c r="E90558"/>
      <c r="F90558"/>
    </row>
    <row r="90559" spans="1:6" x14ac:dyDescent="0.25">
      <c r="A90559"/>
      <c r="B90559"/>
      <c r="C90559"/>
      <c r="E90559"/>
      <c r="F90559"/>
    </row>
    <row r="90560" spans="1:6" x14ac:dyDescent="0.25">
      <c r="A90560"/>
      <c r="B90560"/>
      <c r="C90560"/>
      <c r="E90560"/>
      <c r="F90560"/>
    </row>
    <row r="90561" spans="1:6" x14ac:dyDescent="0.25">
      <c r="A90561"/>
      <c r="B90561"/>
      <c r="C90561"/>
      <c r="E90561"/>
      <c r="F90561"/>
    </row>
    <row r="90562" spans="1:6" x14ac:dyDescent="0.25">
      <c r="A90562"/>
      <c r="B90562"/>
      <c r="C90562"/>
      <c r="E90562"/>
      <c r="F90562"/>
    </row>
    <row r="90563" spans="1:6" x14ac:dyDescent="0.25">
      <c r="A90563"/>
      <c r="B90563"/>
      <c r="C90563"/>
      <c r="E90563"/>
      <c r="F90563"/>
    </row>
    <row r="90564" spans="1:6" x14ac:dyDescent="0.25">
      <c r="A90564"/>
      <c r="B90564"/>
      <c r="C90564"/>
      <c r="E90564"/>
      <c r="F90564"/>
    </row>
    <row r="90565" spans="1:6" x14ac:dyDescent="0.25">
      <c r="A90565"/>
      <c r="B90565"/>
      <c r="C90565"/>
      <c r="E90565"/>
      <c r="F90565"/>
    </row>
    <row r="90566" spans="1:6" x14ac:dyDescent="0.25">
      <c r="A90566"/>
      <c r="B90566"/>
      <c r="C90566"/>
      <c r="E90566"/>
      <c r="F90566"/>
    </row>
    <row r="90567" spans="1:6" x14ac:dyDescent="0.25">
      <c r="A90567"/>
      <c r="B90567"/>
      <c r="C90567"/>
      <c r="E90567"/>
      <c r="F90567"/>
    </row>
    <row r="90568" spans="1:6" x14ac:dyDescent="0.25">
      <c r="A90568"/>
      <c r="B90568"/>
      <c r="C90568"/>
      <c r="E90568"/>
      <c r="F90568"/>
    </row>
    <row r="90569" spans="1:6" x14ac:dyDescent="0.25">
      <c r="A90569"/>
      <c r="B90569"/>
      <c r="C90569"/>
      <c r="E90569"/>
      <c r="F90569"/>
    </row>
    <row r="90570" spans="1:6" x14ac:dyDescent="0.25">
      <c r="A90570"/>
      <c r="B90570"/>
      <c r="C90570"/>
      <c r="E90570"/>
      <c r="F90570"/>
    </row>
    <row r="90571" spans="1:6" x14ac:dyDescent="0.25">
      <c r="A90571"/>
      <c r="B90571"/>
      <c r="C90571"/>
      <c r="E90571"/>
      <c r="F90571"/>
    </row>
    <row r="90572" spans="1:6" x14ac:dyDescent="0.25">
      <c r="A90572"/>
      <c r="B90572"/>
      <c r="C90572"/>
      <c r="E90572"/>
      <c r="F90572"/>
    </row>
    <row r="90573" spans="1:6" x14ac:dyDescent="0.25">
      <c r="A90573"/>
      <c r="B90573"/>
      <c r="C90573"/>
      <c r="E90573"/>
      <c r="F90573"/>
    </row>
    <row r="90574" spans="1:6" x14ac:dyDescent="0.25">
      <c r="A90574"/>
      <c r="B90574"/>
      <c r="C90574"/>
      <c r="E90574"/>
      <c r="F90574"/>
    </row>
    <row r="90575" spans="1:6" x14ac:dyDescent="0.25">
      <c r="A90575"/>
      <c r="B90575"/>
      <c r="C90575"/>
      <c r="E90575"/>
      <c r="F90575"/>
    </row>
    <row r="90576" spans="1:6" x14ac:dyDescent="0.25">
      <c r="A90576"/>
      <c r="B90576"/>
      <c r="C90576"/>
      <c r="E90576"/>
      <c r="F90576"/>
    </row>
    <row r="90577" spans="1:6" x14ac:dyDescent="0.25">
      <c r="A90577"/>
      <c r="B90577"/>
      <c r="C90577"/>
      <c r="E90577"/>
      <c r="F90577"/>
    </row>
    <row r="90578" spans="1:6" x14ac:dyDescent="0.25">
      <c r="A90578"/>
      <c r="B90578"/>
      <c r="C90578"/>
      <c r="E90578"/>
      <c r="F90578"/>
    </row>
    <row r="90579" spans="1:6" x14ac:dyDescent="0.25">
      <c r="A90579"/>
      <c r="B90579"/>
      <c r="C90579"/>
      <c r="E90579"/>
      <c r="F90579"/>
    </row>
    <row r="90580" spans="1:6" x14ac:dyDescent="0.25">
      <c r="A90580"/>
      <c r="B90580"/>
      <c r="C90580"/>
      <c r="E90580"/>
      <c r="F90580"/>
    </row>
    <row r="90581" spans="1:6" x14ac:dyDescent="0.25">
      <c r="A90581"/>
      <c r="B90581"/>
      <c r="C90581"/>
      <c r="E90581"/>
      <c r="F90581"/>
    </row>
    <row r="90582" spans="1:6" x14ac:dyDescent="0.25">
      <c r="A90582"/>
      <c r="B90582"/>
      <c r="C90582"/>
      <c r="E90582"/>
      <c r="F90582"/>
    </row>
    <row r="90583" spans="1:6" x14ac:dyDescent="0.25">
      <c r="A90583"/>
      <c r="B90583"/>
      <c r="C90583"/>
      <c r="E90583"/>
      <c r="F90583"/>
    </row>
    <row r="90584" spans="1:6" x14ac:dyDescent="0.25">
      <c r="A90584"/>
      <c r="B90584"/>
      <c r="C90584"/>
      <c r="E90584"/>
      <c r="F90584"/>
    </row>
    <row r="90585" spans="1:6" x14ac:dyDescent="0.25">
      <c r="A90585"/>
      <c r="B90585"/>
      <c r="C90585"/>
      <c r="E90585"/>
      <c r="F90585"/>
    </row>
    <row r="90586" spans="1:6" x14ac:dyDescent="0.25">
      <c r="A90586"/>
      <c r="B90586"/>
      <c r="C90586"/>
      <c r="E90586"/>
      <c r="F90586"/>
    </row>
    <row r="90587" spans="1:6" x14ac:dyDescent="0.25">
      <c r="A90587"/>
      <c r="B90587"/>
      <c r="C90587"/>
      <c r="E90587"/>
      <c r="F90587"/>
    </row>
    <row r="90588" spans="1:6" x14ac:dyDescent="0.25">
      <c r="A90588"/>
      <c r="B90588"/>
      <c r="C90588"/>
      <c r="E90588"/>
      <c r="F90588"/>
    </row>
    <row r="90589" spans="1:6" x14ac:dyDescent="0.25">
      <c r="A90589"/>
      <c r="B90589"/>
      <c r="C90589"/>
      <c r="E90589"/>
      <c r="F90589"/>
    </row>
    <row r="90590" spans="1:6" x14ac:dyDescent="0.25">
      <c r="A90590"/>
      <c r="B90590"/>
      <c r="C90590"/>
      <c r="E90590"/>
      <c r="F90590"/>
    </row>
    <row r="90591" spans="1:6" x14ac:dyDescent="0.25">
      <c r="A90591"/>
      <c r="B90591"/>
      <c r="C90591"/>
      <c r="E90591"/>
      <c r="F90591"/>
    </row>
    <row r="90592" spans="1:6" x14ac:dyDescent="0.25">
      <c r="A90592"/>
      <c r="B90592"/>
      <c r="C90592"/>
      <c r="E90592"/>
      <c r="F90592"/>
    </row>
    <row r="90593" spans="1:6" x14ac:dyDescent="0.25">
      <c r="A90593"/>
      <c r="B90593"/>
      <c r="C90593"/>
      <c r="E90593"/>
      <c r="F90593"/>
    </row>
    <row r="90594" spans="1:6" x14ac:dyDescent="0.25">
      <c r="A90594"/>
      <c r="B90594"/>
      <c r="C90594"/>
      <c r="E90594"/>
      <c r="F90594"/>
    </row>
    <row r="90595" spans="1:6" x14ac:dyDescent="0.25">
      <c r="A90595"/>
      <c r="B90595"/>
      <c r="C90595"/>
      <c r="E90595"/>
      <c r="F90595"/>
    </row>
    <row r="90596" spans="1:6" x14ac:dyDescent="0.25">
      <c r="A90596"/>
      <c r="B90596"/>
      <c r="C90596"/>
      <c r="E90596"/>
      <c r="F90596"/>
    </row>
    <row r="90597" spans="1:6" x14ac:dyDescent="0.25">
      <c r="A90597"/>
      <c r="B90597"/>
      <c r="C90597"/>
      <c r="E90597"/>
      <c r="F90597"/>
    </row>
    <row r="90598" spans="1:6" x14ac:dyDescent="0.25">
      <c r="A90598"/>
      <c r="B90598"/>
      <c r="C90598"/>
      <c r="E90598"/>
      <c r="F90598"/>
    </row>
    <row r="90599" spans="1:6" x14ac:dyDescent="0.25">
      <c r="A90599"/>
      <c r="B90599"/>
      <c r="C90599"/>
      <c r="E90599"/>
      <c r="F90599"/>
    </row>
    <row r="90600" spans="1:6" x14ac:dyDescent="0.25">
      <c r="A90600"/>
      <c r="B90600"/>
      <c r="C90600"/>
      <c r="E90600"/>
      <c r="F90600"/>
    </row>
    <row r="90601" spans="1:6" x14ac:dyDescent="0.25">
      <c r="A90601"/>
      <c r="B90601"/>
      <c r="C90601"/>
      <c r="E90601"/>
      <c r="F90601"/>
    </row>
    <row r="90602" spans="1:6" x14ac:dyDescent="0.25">
      <c r="A90602"/>
      <c r="B90602"/>
      <c r="C90602"/>
      <c r="E90602"/>
      <c r="F90602"/>
    </row>
    <row r="90603" spans="1:6" x14ac:dyDescent="0.25">
      <c r="A90603"/>
      <c r="B90603"/>
      <c r="C90603"/>
      <c r="E90603"/>
      <c r="F90603"/>
    </row>
    <row r="90604" spans="1:6" x14ac:dyDescent="0.25">
      <c r="A90604"/>
      <c r="B90604"/>
      <c r="C90604"/>
      <c r="E90604"/>
      <c r="F90604"/>
    </row>
    <row r="90605" spans="1:6" x14ac:dyDescent="0.25">
      <c r="A90605"/>
      <c r="B90605"/>
      <c r="C90605"/>
      <c r="E90605"/>
      <c r="F90605"/>
    </row>
    <row r="90606" spans="1:6" x14ac:dyDescent="0.25">
      <c r="A90606"/>
      <c r="B90606"/>
      <c r="C90606"/>
      <c r="E90606"/>
      <c r="F90606"/>
    </row>
    <row r="90607" spans="1:6" x14ac:dyDescent="0.25">
      <c r="A90607"/>
      <c r="B90607"/>
      <c r="C90607"/>
      <c r="E90607"/>
      <c r="F90607"/>
    </row>
    <row r="90608" spans="1:6" x14ac:dyDescent="0.25">
      <c r="A90608"/>
      <c r="B90608"/>
      <c r="C90608"/>
      <c r="E90608"/>
      <c r="F90608"/>
    </row>
    <row r="90609" spans="1:6" x14ac:dyDescent="0.25">
      <c r="A90609"/>
      <c r="B90609"/>
      <c r="C90609"/>
      <c r="E90609"/>
      <c r="F90609"/>
    </row>
    <row r="90610" spans="1:6" x14ac:dyDescent="0.25">
      <c r="A90610"/>
      <c r="B90610"/>
      <c r="C90610"/>
      <c r="E90610"/>
      <c r="F90610"/>
    </row>
    <row r="90611" spans="1:6" x14ac:dyDescent="0.25">
      <c r="A90611"/>
      <c r="B90611"/>
      <c r="C90611"/>
      <c r="E90611"/>
      <c r="F90611"/>
    </row>
    <row r="90612" spans="1:6" x14ac:dyDescent="0.25">
      <c r="A90612"/>
      <c r="B90612"/>
      <c r="C90612"/>
      <c r="E90612"/>
      <c r="F90612"/>
    </row>
    <row r="90613" spans="1:6" x14ac:dyDescent="0.25">
      <c r="A90613"/>
      <c r="B90613"/>
      <c r="C90613"/>
      <c r="E90613"/>
      <c r="F90613"/>
    </row>
    <row r="90614" spans="1:6" x14ac:dyDescent="0.25">
      <c r="A90614"/>
      <c r="B90614"/>
      <c r="C90614"/>
      <c r="E90614"/>
      <c r="F90614"/>
    </row>
    <row r="90615" spans="1:6" x14ac:dyDescent="0.25">
      <c r="A90615"/>
      <c r="B90615"/>
      <c r="C90615"/>
      <c r="E90615"/>
      <c r="F90615"/>
    </row>
    <row r="90616" spans="1:6" x14ac:dyDescent="0.25">
      <c r="A90616"/>
      <c r="B90616"/>
      <c r="C90616"/>
      <c r="E90616"/>
      <c r="F90616"/>
    </row>
    <row r="90617" spans="1:6" x14ac:dyDescent="0.25">
      <c r="A90617"/>
      <c r="B90617"/>
      <c r="C90617"/>
      <c r="E90617"/>
      <c r="F90617"/>
    </row>
    <row r="90618" spans="1:6" x14ac:dyDescent="0.25">
      <c r="A90618"/>
      <c r="B90618"/>
      <c r="C90618"/>
      <c r="E90618"/>
      <c r="F90618"/>
    </row>
    <row r="90619" spans="1:6" x14ac:dyDescent="0.25">
      <c r="A90619"/>
      <c r="B90619"/>
      <c r="C90619"/>
      <c r="E90619"/>
      <c r="F90619"/>
    </row>
    <row r="90620" spans="1:6" x14ac:dyDescent="0.25">
      <c r="A90620"/>
      <c r="B90620"/>
      <c r="C90620"/>
      <c r="E90620"/>
      <c r="F90620"/>
    </row>
    <row r="90621" spans="1:6" x14ac:dyDescent="0.25">
      <c r="A90621"/>
      <c r="B90621"/>
      <c r="C90621"/>
      <c r="E90621"/>
      <c r="F90621"/>
    </row>
    <row r="90622" spans="1:6" x14ac:dyDescent="0.25">
      <c r="A90622"/>
      <c r="B90622"/>
      <c r="C90622"/>
      <c r="E90622"/>
      <c r="F90622"/>
    </row>
    <row r="90623" spans="1:6" x14ac:dyDescent="0.25">
      <c r="A90623"/>
      <c r="B90623"/>
      <c r="C90623"/>
      <c r="E90623"/>
      <c r="F90623"/>
    </row>
    <row r="90624" spans="1:6" x14ac:dyDescent="0.25">
      <c r="A90624"/>
      <c r="B90624"/>
      <c r="C90624"/>
      <c r="E90624"/>
      <c r="F90624"/>
    </row>
    <row r="90625" spans="1:6" x14ac:dyDescent="0.25">
      <c r="A90625"/>
      <c r="B90625"/>
      <c r="C90625"/>
      <c r="E90625"/>
      <c r="F90625"/>
    </row>
    <row r="90626" spans="1:6" x14ac:dyDescent="0.25">
      <c r="A90626"/>
      <c r="B90626"/>
      <c r="C90626"/>
      <c r="E90626"/>
      <c r="F90626"/>
    </row>
    <row r="90627" spans="1:6" x14ac:dyDescent="0.25">
      <c r="A90627"/>
      <c r="B90627"/>
      <c r="C90627"/>
      <c r="E90627"/>
      <c r="F90627"/>
    </row>
    <row r="90628" spans="1:6" x14ac:dyDescent="0.25">
      <c r="A90628"/>
      <c r="B90628"/>
      <c r="C90628"/>
      <c r="E90628"/>
      <c r="F90628"/>
    </row>
    <row r="90629" spans="1:6" x14ac:dyDescent="0.25">
      <c r="A90629"/>
      <c r="B90629"/>
      <c r="C90629"/>
      <c r="E90629"/>
      <c r="F90629"/>
    </row>
    <row r="90630" spans="1:6" x14ac:dyDescent="0.25">
      <c r="A90630"/>
      <c r="B90630"/>
      <c r="C90630"/>
      <c r="E90630"/>
      <c r="F90630"/>
    </row>
    <row r="90631" spans="1:6" x14ac:dyDescent="0.25">
      <c r="A90631"/>
      <c r="B90631"/>
      <c r="C90631"/>
      <c r="E90631"/>
      <c r="F90631"/>
    </row>
    <row r="90632" spans="1:6" x14ac:dyDescent="0.25">
      <c r="A90632"/>
      <c r="B90632"/>
      <c r="C90632"/>
      <c r="E90632"/>
      <c r="F90632"/>
    </row>
    <row r="90633" spans="1:6" x14ac:dyDescent="0.25">
      <c r="A90633"/>
      <c r="B90633"/>
      <c r="C90633"/>
      <c r="E90633"/>
      <c r="F90633"/>
    </row>
    <row r="90634" spans="1:6" x14ac:dyDescent="0.25">
      <c r="A90634"/>
      <c r="B90634"/>
      <c r="C90634"/>
      <c r="E90634"/>
      <c r="F90634"/>
    </row>
    <row r="90635" spans="1:6" x14ac:dyDescent="0.25">
      <c r="A90635"/>
      <c r="B90635"/>
      <c r="C90635"/>
      <c r="E90635"/>
      <c r="F90635"/>
    </row>
    <row r="90636" spans="1:6" x14ac:dyDescent="0.25">
      <c r="A90636"/>
      <c r="B90636"/>
      <c r="C90636"/>
      <c r="E90636"/>
      <c r="F90636"/>
    </row>
    <row r="90637" spans="1:6" x14ac:dyDescent="0.25">
      <c r="A90637"/>
      <c r="B90637"/>
      <c r="C90637"/>
      <c r="E90637"/>
      <c r="F90637"/>
    </row>
    <row r="90638" spans="1:6" x14ac:dyDescent="0.25">
      <c r="A90638"/>
      <c r="B90638"/>
      <c r="C90638"/>
      <c r="E90638"/>
      <c r="F90638"/>
    </row>
    <row r="90639" spans="1:6" x14ac:dyDescent="0.25">
      <c r="A90639"/>
      <c r="B90639"/>
      <c r="C90639"/>
      <c r="E90639"/>
      <c r="F90639"/>
    </row>
    <row r="90640" spans="1:6" x14ac:dyDescent="0.25">
      <c r="A90640"/>
      <c r="B90640"/>
      <c r="C90640"/>
      <c r="E90640"/>
      <c r="F90640"/>
    </row>
    <row r="90641" spans="1:6" x14ac:dyDescent="0.25">
      <c r="A90641"/>
      <c r="B90641"/>
      <c r="C90641"/>
      <c r="E90641"/>
      <c r="F90641"/>
    </row>
    <row r="90642" spans="1:6" x14ac:dyDescent="0.25">
      <c r="A90642"/>
      <c r="B90642"/>
      <c r="C90642"/>
      <c r="E90642"/>
      <c r="F90642"/>
    </row>
    <row r="90643" spans="1:6" x14ac:dyDescent="0.25">
      <c r="A90643"/>
      <c r="B90643"/>
      <c r="C90643"/>
      <c r="E90643"/>
      <c r="F90643"/>
    </row>
    <row r="90644" spans="1:6" x14ac:dyDescent="0.25">
      <c r="A90644"/>
      <c r="B90644"/>
      <c r="C90644"/>
      <c r="E90644"/>
      <c r="F90644"/>
    </row>
    <row r="90645" spans="1:6" x14ac:dyDescent="0.25">
      <c r="A90645"/>
      <c r="B90645"/>
      <c r="C90645"/>
      <c r="E90645"/>
      <c r="F90645"/>
    </row>
    <row r="90646" spans="1:6" x14ac:dyDescent="0.25">
      <c r="A90646"/>
      <c r="B90646"/>
      <c r="C90646"/>
      <c r="E90646"/>
      <c r="F90646"/>
    </row>
    <row r="90647" spans="1:6" x14ac:dyDescent="0.25">
      <c r="A90647"/>
      <c r="B90647"/>
      <c r="C90647"/>
      <c r="E90647"/>
      <c r="F90647"/>
    </row>
    <row r="90648" spans="1:6" x14ac:dyDescent="0.25">
      <c r="A90648"/>
      <c r="B90648"/>
      <c r="C90648"/>
      <c r="E90648"/>
      <c r="F90648"/>
    </row>
    <row r="90649" spans="1:6" x14ac:dyDescent="0.25">
      <c r="A90649"/>
      <c r="B90649"/>
      <c r="C90649"/>
      <c r="E90649"/>
      <c r="F90649"/>
    </row>
    <row r="90650" spans="1:6" x14ac:dyDescent="0.25">
      <c r="A90650"/>
      <c r="B90650"/>
      <c r="C90650"/>
      <c r="E90650"/>
      <c r="F90650"/>
    </row>
    <row r="90651" spans="1:6" x14ac:dyDescent="0.25">
      <c r="A90651"/>
      <c r="B90651"/>
      <c r="C90651"/>
      <c r="E90651"/>
      <c r="F90651"/>
    </row>
    <row r="90652" spans="1:6" x14ac:dyDescent="0.25">
      <c r="A90652"/>
      <c r="B90652"/>
      <c r="C90652"/>
      <c r="E90652"/>
      <c r="F90652"/>
    </row>
    <row r="90653" spans="1:6" x14ac:dyDescent="0.25">
      <c r="A90653"/>
      <c r="B90653"/>
      <c r="C90653"/>
      <c r="E90653"/>
      <c r="F90653"/>
    </row>
    <row r="90654" spans="1:6" x14ac:dyDescent="0.25">
      <c r="A90654"/>
      <c r="B90654"/>
      <c r="C90654"/>
      <c r="E90654"/>
      <c r="F90654"/>
    </row>
    <row r="90655" spans="1:6" x14ac:dyDescent="0.25">
      <c r="A90655"/>
      <c r="B90655"/>
      <c r="C90655"/>
      <c r="E90655"/>
      <c r="F90655"/>
    </row>
    <row r="90656" spans="1:6" x14ac:dyDescent="0.25">
      <c r="A90656"/>
      <c r="B90656"/>
      <c r="C90656"/>
      <c r="E90656"/>
      <c r="F90656"/>
    </row>
    <row r="90657" spans="1:6" x14ac:dyDescent="0.25">
      <c r="A90657"/>
      <c r="B90657"/>
      <c r="C90657"/>
      <c r="E90657"/>
      <c r="F90657"/>
    </row>
    <row r="90658" spans="1:6" x14ac:dyDescent="0.25">
      <c r="A90658"/>
      <c r="B90658"/>
      <c r="C90658"/>
      <c r="E90658"/>
      <c r="F90658"/>
    </row>
    <row r="90659" spans="1:6" x14ac:dyDescent="0.25">
      <c r="A90659"/>
      <c r="B90659"/>
      <c r="C90659"/>
      <c r="E90659"/>
      <c r="F90659"/>
    </row>
    <row r="90660" spans="1:6" x14ac:dyDescent="0.25">
      <c r="A90660"/>
      <c r="B90660"/>
      <c r="C90660"/>
      <c r="E90660"/>
      <c r="F90660"/>
    </row>
    <row r="90661" spans="1:6" x14ac:dyDescent="0.25">
      <c r="A90661"/>
      <c r="B90661"/>
      <c r="C90661"/>
      <c r="E90661"/>
      <c r="F90661"/>
    </row>
    <row r="90662" spans="1:6" x14ac:dyDescent="0.25">
      <c r="A90662"/>
      <c r="B90662"/>
      <c r="C90662"/>
      <c r="E90662"/>
      <c r="F90662"/>
    </row>
    <row r="90663" spans="1:6" x14ac:dyDescent="0.25">
      <c r="A90663"/>
      <c r="B90663"/>
      <c r="C90663"/>
      <c r="E90663"/>
      <c r="F90663"/>
    </row>
    <row r="90664" spans="1:6" x14ac:dyDescent="0.25">
      <c r="A90664"/>
      <c r="B90664"/>
      <c r="C90664"/>
      <c r="E90664"/>
      <c r="F90664"/>
    </row>
    <row r="90665" spans="1:6" x14ac:dyDescent="0.25">
      <c r="A90665"/>
      <c r="B90665"/>
      <c r="C90665"/>
      <c r="E90665"/>
      <c r="F90665"/>
    </row>
    <row r="90666" spans="1:6" x14ac:dyDescent="0.25">
      <c r="A90666"/>
      <c r="B90666"/>
      <c r="C90666"/>
      <c r="E90666"/>
      <c r="F90666"/>
    </row>
    <row r="90667" spans="1:6" x14ac:dyDescent="0.25">
      <c r="A90667"/>
      <c r="B90667"/>
      <c r="C90667"/>
      <c r="E90667"/>
      <c r="F90667"/>
    </row>
    <row r="90668" spans="1:6" x14ac:dyDescent="0.25">
      <c r="A90668"/>
      <c r="B90668"/>
      <c r="C90668"/>
      <c r="E90668"/>
      <c r="F90668"/>
    </row>
    <row r="90669" spans="1:6" x14ac:dyDescent="0.25">
      <c r="A90669"/>
      <c r="B90669"/>
      <c r="C90669"/>
      <c r="E90669"/>
      <c r="F90669"/>
    </row>
    <row r="90670" spans="1:6" x14ac:dyDescent="0.25">
      <c r="A90670"/>
      <c r="B90670"/>
      <c r="C90670"/>
      <c r="E90670"/>
      <c r="F90670"/>
    </row>
    <row r="90671" spans="1:6" x14ac:dyDescent="0.25">
      <c r="A90671"/>
      <c r="B90671"/>
      <c r="C90671"/>
      <c r="E90671"/>
      <c r="F90671"/>
    </row>
    <row r="90672" spans="1:6" x14ac:dyDescent="0.25">
      <c r="A90672"/>
      <c r="B90672"/>
      <c r="C90672"/>
      <c r="E90672"/>
      <c r="F90672"/>
    </row>
    <row r="90673" spans="1:6" x14ac:dyDescent="0.25">
      <c r="A90673"/>
      <c r="B90673"/>
      <c r="C90673"/>
      <c r="E90673"/>
      <c r="F90673"/>
    </row>
    <row r="90674" spans="1:6" x14ac:dyDescent="0.25">
      <c r="A90674"/>
      <c r="B90674"/>
      <c r="C90674"/>
      <c r="E90674"/>
      <c r="F90674"/>
    </row>
    <row r="90675" spans="1:6" x14ac:dyDescent="0.25">
      <c r="A90675"/>
      <c r="B90675"/>
      <c r="C90675"/>
      <c r="E90675"/>
      <c r="F90675"/>
    </row>
    <row r="90676" spans="1:6" x14ac:dyDescent="0.25">
      <c r="A90676"/>
      <c r="B90676"/>
      <c r="C90676"/>
      <c r="E90676"/>
      <c r="F90676"/>
    </row>
    <row r="90677" spans="1:6" x14ac:dyDescent="0.25">
      <c r="A90677"/>
      <c r="B90677"/>
      <c r="C90677"/>
      <c r="E90677"/>
      <c r="F90677"/>
    </row>
    <row r="90678" spans="1:6" x14ac:dyDescent="0.25">
      <c r="A90678"/>
      <c r="B90678"/>
      <c r="C90678"/>
      <c r="E90678"/>
      <c r="F90678"/>
    </row>
    <row r="90679" spans="1:6" x14ac:dyDescent="0.25">
      <c r="A90679"/>
      <c r="B90679"/>
      <c r="C90679"/>
      <c r="E90679"/>
      <c r="F90679"/>
    </row>
    <row r="90680" spans="1:6" x14ac:dyDescent="0.25">
      <c r="A90680"/>
      <c r="B90680"/>
      <c r="C90680"/>
      <c r="E90680"/>
      <c r="F90680"/>
    </row>
    <row r="90681" spans="1:6" x14ac:dyDescent="0.25">
      <c r="A90681"/>
      <c r="B90681"/>
      <c r="C90681"/>
      <c r="E90681"/>
      <c r="F90681"/>
    </row>
    <row r="90682" spans="1:6" x14ac:dyDescent="0.25">
      <c r="A90682"/>
      <c r="B90682"/>
      <c r="C90682"/>
      <c r="E90682"/>
      <c r="F90682"/>
    </row>
    <row r="90683" spans="1:6" x14ac:dyDescent="0.25">
      <c r="A90683"/>
      <c r="B90683"/>
      <c r="C90683"/>
      <c r="E90683"/>
      <c r="F90683"/>
    </row>
    <row r="90684" spans="1:6" x14ac:dyDescent="0.25">
      <c r="A90684"/>
      <c r="B90684"/>
      <c r="C90684"/>
      <c r="E90684"/>
      <c r="F90684"/>
    </row>
    <row r="90685" spans="1:6" x14ac:dyDescent="0.25">
      <c r="A90685"/>
      <c r="B90685"/>
      <c r="C90685"/>
      <c r="E90685"/>
      <c r="F90685"/>
    </row>
    <row r="90686" spans="1:6" x14ac:dyDescent="0.25">
      <c r="A90686"/>
      <c r="B90686"/>
      <c r="C90686"/>
      <c r="E90686"/>
      <c r="F90686"/>
    </row>
    <row r="90687" spans="1:6" x14ac:dyDescent="0.25">
      <c r="A90687"/>
      <c r="B90687"/>
      <c r="C90687"/>
      <c r="E90687"/>
      <c r="F90687"/>
    </row>
    <row r="90688" spans="1:6" x14ac:dyDescent="0.25">
      <c r="A90688"/>
      <c r="B90688"/>
      <c r="C90688"/>
      <c r="E90688"/>
      <c r="F90688"/>
    </row>
    <row r="90689" spans="1:6" x14ac:dyDescent="0.25">
      <c r="A90689"/>
      <c r="B90689"/>
      <c r="C90689"/>
      <c r="E90689"/>
      <c r="F90689"/>
    </row>
    <row r="90690" spans="1:6" x14ac:dyDescent="0.25">
      <c r="A90690"/>
      <c r="B90690"/>
      <c r="C90690"/>
      <c r="E90690"/>
      <c r="F90690"/>
    </row>
    <row r="90691" spans="1:6" x14ac:dyDescent="0.25">
      <c r="A90691"/>
      <c r="B90691"/>
      <c r="C90691"/>
      <c r="E90691"/>
      <c r="F90691"/>
    </row>
    <row r="90692" spans="1:6" x14ac:dyDescent="0.25">
      <c r="A90692"/>
      <c r="B90692"/>
      <c r="C90692"/>
      <c r="E90692"/>
      <c r="F90692"/>
    </row>
    <row r="90693" spans="1:6" x14ac:dyDescent="0.25">
      <c r="A90693"/>
      <c r="B90693"/>
      <c r="C90693"/>
      <c r="E90693"/>
      <c r="F90693"/>
    </row>
    <row r="90694" spans="1:6" x14ac:dyDescent="0.25">
      <c r="A90694"/>
      <c r="B90694"/>
      <c r="C90694"/>
      <c r="E90694"/>
      <c r="F90694"/>
    </row>
    <row r="90695" spans="1:6" x14ac:dyDescent="0.25">
      <c r="A90695"/>
      <c r="B90695"/>
      <c r="C90695"/>
      <c r="E90695"/>
      <c r="F90695"/>
    </row>
    <row r="90696" spans="1:6" x14ac:dyDescent="0.25">
      <c r="A90696"/>
      <c r="B90696"/>
      <c r="C90696"/>
      <c r="E90696"/>
      <c r="F90696"/>
    </row>
    <row r="90697" spans="1:6" x14ac:dyDescent="0.25">
      <c r="A90697"/>
      <c r="B90697"/>
      <c r="C90697"/>
      <c r="E90697"/>
      <c r="F90697"/>
    </row>
    <row r="90698" spans="1:6" x14ac:dyDescent="0.25">
      <c r="A90698"/>
      <c r="B90698"/>
      <c r="C90698"/>
      <c r="E90698"/>
      <c r="F90698"/>
    </row>
    <row r="90699" spans="1:6" x14ac:dyDescent="0.25">
      <c r="A90699"/>
      <c r="B90699"/>
      <c r="C90699"/>
      <c r="E90699"/>
      <c r="F90699"/>
    </row>
    <row r="90700" spans="1:6" x14ac:dyDescent="0.25">
      <c r="A90700"/>
      <c r="B90700"/>
      <c r="C90700"/>
      <c r="E90700"/>
      <c r="F90700"/>
    </row>
    <row r="90701" spans="1:6" x14ac:dyDescent="0.25">
      <c r="A90701"/>
      <c r="B90701"/>
      <c r="C90701"/>
      <c r="E90701"/>
      <c r="F90701"/>
    </row>
    <row r="90702" spans="1:6" x14ac:dyDescent="0.25">
      <c r="A90702"/>
      <c r="B90702"/>
      <c r="C90702"/>
      <c r="E90702"/>
      <c r="F90702"/>
    </row>
    <row r="90703" spans="1:6" x14ac:dyDescent="0.25">
      <c r="A90703"/>
      <c r="B90703"/>
      <c r="C90703"/>
      <c r="E90703"/>
      <c r="F90703"/>
    </row>
    <row r="90704" spans="1:6" x14ac:dyDescent="0.25">
      <c r="A90704"/>
      <c r="B90704"/>
      <c r="C90704"/>
      <c r="E90704"/>
      <c r="F90704"/>
    </row>
    <row r="90705" spans="1:6" x14ac:dyDescent="0.25">
      <c r="A90705"/>
      <c r="B90705"/>
      <c r="C90705"/>
      <c r="E90705"/>
      <c r="F90705"/>
    </row>
    <row r="90706" spans="1:6" x14ac:dyDescent="0.25">
      <c r="A90706"/>
      <c r="B90706"/>
      <c r="C90706"/>
      <c r="E90706"/>
      <c r="F90706"/>
    </row>
    <row r="90707" spans="1:6" x14ac:dyDescent="0.25">
      <c r="A90707"/>
      <c r="B90707"/>
      <c r="C90707"/>
      <c r="E90707"/>
      <c r="F90707"/>
    </row>
    <row r="90708" spans="1:6" x14ac:dyDescent="0.25">
      <c r="A90708"/>
      <c r="B90708"/>
      <c r="C90708"/>
      <c r="E90708"/>
      <c r="F90708"/>
    </row>
    <row r="90709" spans="1:6" x14ac:dyDescent="0.25">
      <c r="A90709"/>
      <c r="B90709"/>
      <c r="C90709"/>
      <c r="E90709"/>
      <c r="F90709"/>
    </row>
    <row r="90710" spans="1:6" x14ac:dyDescent="0.25">
      <c r="A90710"/>
      <c r="B90710"/>
      <c r="C90710"/>
      <c r="E90710"/>
      <c r="F90710"/>
    </row>
    <row r="90711" spans="1:6" x14ac:dyDescent="0.25">
      <c r="A90711"/>
      <c r="B90711"/>
      <c r="C90711"/>
      <c r="E90711"/>
      <c r="F90711"/>
    </row>
    <row r="90712" spans="1:6" x14ac:dyDescent="0.25">
      <c r="A90712"/>
      <c r="B90712"/>
      <c r="C90712"/>
      <c r="E90712"/>
      <c r="F90712"/>
    </row>
    <row r="90713" spans="1:6" x14ac:dyDescent="0.25">
      <c r="A90713"/>
      <c r="B90713"/>
      <c r="C90713"/>
      <c r="E90713"/>
      <c r="F90713"/>
    </row>
    <row r="90714" spans="1:6" x14ac:dyDescent="0.25">
      <c r="A90714"/>
      <c r="B90714"/>
      <c r="C90714"/>
      <c r="E90714"/>
      <c r="F90714"/>
    </row>
    <row r="90715" spans="1:6" x14ac:dyDescent="0.25">
      <c r="A90715"/>
      <c r="B90715"/>
      <c r="C90715"/>
      <c r="E90715"/>
      <c r="F90715"/>
    </row>
    <row r="90716" spans="1:6" x14ac:dyDescent="0.25">
      <c r="A90716"/>
      <c r="B90716"/>
      <c r="C90716"/>
      <c r="E90716"/>
      <c r="F90716"/>
    </row>
    <row r="90717" spans="1:6" x14ac:dyDescent="0.25">
      <c r="A90717"/>
      <c r="B90717"/>
      <c r="C90717"/>
      <c r="E90717"/>
      <c r="F90717"/>
    </row>
    <row r="90718" spans="1:6" x14ac:dyDescent="0.25">
      <c r="A90718"/>
      <c r="B90718"/>
      <c r="C90718"/>
      <c r="E90718"/>
      <c r="F90718"/>
    </row>
    <row r="90719" spans="1:6" x14ac:dyDescent="0.25">
      <c r="A90719"/>
      <c r="B90719"/>
      <c r="C90719"/>
      <c r="E90719"/>
      <c r="F90719"/>
    </row>
    <row r="90720" spans="1:6" x14ac:dyDescent="0.25">
      <c r="A90720"/>
      <c r="B90720"/>
      <c r="C90720"/>
      <c r="E90720"/>
      <c r="F90720"/>
    </row>
    <row r="90721" spans="1:6" x14ac:dyDescent="0.25">
      <c r="A90721"/>
      <c r="B90721"/>
      <c r="C90721"/>
      <c r="E90721"/>
      <c r="F90721"/>
    </row>
    <row r="90722" spans="1:6" x14ac:dyDescent="0.25">
      <c r="A90722"/>
      <c r="B90722"/>
      <c r="C90722"/>
      <c r="E90722"/>
      <c r="F90722"/>
    </row>
    <row r="90723" spans="1:6" x14ac:dyDescent="0.25">
      <c r="A90723"/>
      <c r="B90723"/>
      <c r="C90723"/>
      <c r="E90723"/>
      <c r="F90723"/>
    </row>
    <row r="90724" spans="1:6" x14ac:dyDescent="0.25">
      <c r="A90724"/>
      <c r="B90724"/>
      <c r="C90724"/>
      <c r="E90724"/>
      <c r="F90724"/>
    </row>
    <row r="90725" spans="1:6" x14ac:dyDescent="0.25">
      <c r="A90725"/>
      <c r="B90725"/>
      <c r="C90725"/>
      <c r="E90725"/>
      <c r="F90725"/>
    </row>
    <row r="90726" spans="1:6" x14ac:dyDescent="0.25">
      <c r="A90726"/>
      <c r="B90726"/>
      <c r="C90726"/>
      <c r="E90726"/>
      <c r="F90726"/>
    </row>
    <row r="90727" spans="1:6" x14ac:dyDescent="0.25">
      <c r="A90727"/>
      <c r="B90727"/>
      <c r="C90727"/>
      <c r="E90727"/>
      <c r="F90727"/>
    </row>
    <row r="90728" spans="1:6" x14ac:dyDescent="0.25">
      <c r="A90728"/>
      <c r="B90728"/>
      <c r="C90728"/>
      <c r="E90728"/>
      <c r="F90728"/>
    </row>
    <row r="90729" spans="1:6" x14ac:dyDescent="0.25">
      <c r="A90729"/>
      <c r="B90729"/>
      <c r="C90729"/>
      <c r="E90729"/>
      <c r="F90729"/>
    </row>
    <row r="90730" spans="1:6" x14ac:dyDescent="0.25">
      <c r="A90730"/>
      <c r="B90730"/>
      <c r="C90730"/>
      <c r="E90730"/>
      <c r="F90730"/>
    </row>
    <row r="90731" spans="1:6" x14ac:dyDescent="0.25">
      <c r="A90731"/>
      <c r="B90731"/>
      <c r="C90731"/>
      <c r="E90731"/>
      <c r="F90731"/>
    </row>
    <row r="90732" spans="1:6" x14ac:dyDescent="0.25">
      <c r="A90732"/>
      <c r="B90732"/>
      <c r="C90732"/>
      <c r="E90732"/>
      <c r="F90732"/>
    </row>
    <row r="90733" spans="1:6" x14ac:dyDescent="0.25">
      <c r="A90733"/>
      <c r="B90733"/>
      <c r="C90733"/>
      <c r="E90733"/>
      <c r="F90733"/>
    </row>
    <row r="90734" spans="1:6" x14ac:dyDescent="0.25">
      <c r="A90734"/>
      <c r="B90734"/>
      <c r="C90734"/>
      <c r="E90734"/>
      <c r="F90734"/>
    </row>
    <row r="90735" spans="1:6" x14ac:dyDescent="0.25">
      <c r="A90735"/>
      <c r="B90735"/>
      <c r="C90735"/>
      <c r="E90735"/>
      <c r="F90735"/>
    </row>
    <row r="90736" spans="1:6" x14ac:dyDescent="0.25">
      <c r="A90736"/>
      <c r="B90736"/>
      <c r="C90736"/>
      <c r="E90736"/>
      <c r="F90736"/>
    </row>
    <row r="90737" spans="1:6" x14ac:dyDescent="0.25">
      <c r="A90737"/>
      <c r="B90737"/>
      <c r="C90737"/>
      <c r="E90737"/>
      <c r="F90737"/>
    </row>
    <row r="90738" spans="1:6" x14ac:dyDescent="0.25">
      <c r="A90738"/>
      <c r="B90738"/>
      <c r="C90738"/>
      <c r="E90738"/>
      <c r="F90738"/>
    </row>
    <row r="90739" spans="1:6" x14ac:dyDescent="0.25">
      <c r="A90739"/>
      <c r="B90739"/>
      <c r="C90739"/>
      <c r="E90739"/>
      <c r="F90739"/>
    </row>
    <row r="90740" spans="1:6" x14ac:dyDescent="0.25">
      <c r="A90740"/>
      <c r="B90740"/>
      <c r="C90740"/>
      <c r="E90740"/>
      <c r="F90740"/>
    </row>
    <row r="90741" spans="1:6" x14ac:dyDescent="0.25">
      <c r="A90741"/>
      <c r="B90741"/>
      <c r="C90741"/>
      <c r="E90741"/>
      <c r="F90741"/>
    </row>
    <row r="90742" spans="1:6" x14ac:dyDescent="0.25">
      <c r="A90742"/>
      <c r="B90742"/>
      <c r="C90742"/>
      <c r="E90742"/>
      <c r="F90742"/>
    </row>
    <row r="90743" spans="1:6" x14ac:dyDescent="0.25">
      <c r="A90743"/>
      <c r="B90743"/>
      <c r="C90743"/>
      <c r="E90743"/>
      <c r="F90743"/>
    </row>
    <row r="90744" spans="1:6" x14ac:dyDescent="0.25">
      <c r="A90744"/>
      <c r="B90744"/>
      <c r="C90744"/>
      <c r="E90744"/>
      <c r="F90744"/>
    </row>
    <row r="90745" spans="1:6" x14ac:dyDescent="0.25">
      <c r="A90745"/>
      <c r="B90745"/>
      <c r="C90745"/>
      <c r="E90745"/>
      <c r="F90745"/>
    </row>
    <row r="90746" spans="1:6" x14ac:dyDescent="0.25">
      <c r="A90746"/>
      <c r="B90746"/>
      <c r="C90746"/>
      <c r="E90746"/>
      <c r="F90746"/>
    </row>
    <row r="90747" spans="1:6" x14ac:dyDescent="0.25">
      <c r="A90747"/>
      <c r="B90747"/>
      <c r="C90747"/>
      <c r="E90747"/>
      <c r="F90747"/>
    </row>
    <row r="90748" spans="1:6" x14ac:dyDescent="0.25">
      <c r="A90748"/>
      <c r="B90748"/>
      <c r="C90748"/>
      <c r="E90748"/>
      <c r="F90748"/>
    </row>
    <row r="90749" spans="1:6" x14ac:dyDescent="0.25">
      <c r="A90749"/>
      <c r="B90749"/>
      <c r="C90749"/>
      <c r="E90749"/>
      <c r="F90749"/>
    </row>
    <row r="90750" spans="1:6" x14ac:dyDescent="0.25">
      <c r="A90750"/>
      <c r="B90750"/>
      <c r="C90750"/>
      <c r="E90750"/>
      <c r="F90750"/>
    </row>
    <row r="90751" spans="1:6" x14ac:dyDescent="0.25">
      <c r="A90751"/>
      <c r="B90751"/>
      <c r="C90751"/>
      <c r="E90751"/>
      <c r="F90751"/>
    </row>
    <row r="90752" spans="1:6" x14ac:dyDescent="0.25">
      <c r="A90752"/>
      <c r="B90752"/>
      <c r="C90752"/>
      <c r="E90752"/>
      <c r="F90752"/>
    </row>
    <row r="90753" spans="1:6" x14ac:dyDescent="0.25">
      <c r="A90753"/>
      <c r="B90753"/>
      <c r="C90753"/>
      <c r="E90753"/>
      <c r="F90753"/>
    </row>
    <row r="90754" spans="1:6" x14ac:dyDescent="0.25">
      <c r="A90754"/>
      <c r="B90754"/>
      <c r="C90754"/>
      <c r="E90754"/>
      <c r="F90754"/>
    </row>
    <row r="90755" spans="1:6" x14ac:dyDescent="0.25">
      <c r="A90755"/>
      <c r="B90755"/>
      <c r="C90755"/>
      <c r="E90755"/>
      <c r="F90755"/>
    </row>
    <row r="90756" spans="1:6" x14ac:dyDescent="0.25">
      <c r="A90756"/>
      <c r="B90756"/>
      <c r="C90756"/>
      <c r="E90756"/>
      <c r="F90756"/>
    </row>
    <row r="90757" spans="1:6" x14ac:dyDescent="0.25">
      <c r="A90757"/>
      <c r="B90757"/>
      <c r="C90757"/>
      <c r="E90757"/>
      <c r="F90757"/>
    </row>
    <row r="90758" spans="1:6" x14ac:dyDescent="0.25">
      <c r="A90758"/>
      <c r="B90758"/>
      <c r="C90758"/>
      <c r="E90758"/>
      <c r="F90758"/>
    </row>
    <row r="90759" spans="1:6" x14ac:dyDescent="0.25">
      <c r="A90759"/>
      <c r="B90759"/>
      <c r="C90759"/>
      <c r="E90759"/>
      <c r="F90759"/>
    </row>
    <row r="90760" spans="1:6" x14ac:dyDescent="0.25">
      <c r="A90760"/>
      <c r="B90760"/>
      <c r="C90760"/>
      <c r="E90760"/>
      <c r="F90760"/>
    </row>
    <row r="90761" spans="1:6" x14ac:dyDescent="0.25">
      <c r="A90761"/>
      <c r="B90761"/>
      <c r="C90761"/>
      <c r="E90761"/>
      <c r="F90761"/>
    </row>
    <row r="90762" spans="1:6" x14ac:dyDescent="0.25">
      <c r="A90762"/>
      <c r="B90762"/>
      <c r="C90762"/>
      <c r="E90762"/>
      <c r="F90762"/>
    </row>
    <row r="90763" spans="1:6" x14ac:dyDescent="0.25">
      <c r="A90763"/>
      <c r="B90763"/>
      <c r="C90763"/>
      <c r="E90763"/>
      <c r="F90763"/>
    </row>
    <row r="90764" spans="1:6" x14ac:dyDescent="0.25">
      <c r="A90764"/>
      <c r="B90764"/>
      <c r="C90764"/>
      <c r="E90764"/>
      <c r="F90764"/>
    </row>
    <row r="90765" spans="1:6" x14ac:dyDescent="0.25">
      <c r="A90765"/>
      <c r="B90765"/>
      <c r="C90765"/>
      <c r="E90765"/>
      <c r="F90765"/>
    </row>
    <row r="90766" spans="1:6" x14ac:dyDescent="0.25">
      <c r="A90766"/>
      <c r="B90766"/>
      <c r="C90766"/>
      <c r="E90766"/>
      <c r="F90766"/>
    </row>
    <row r="90767" spans="1:6" x14ac:dyDescent="0.25">
      <c r="A90767"/>
      <c r="B90767"/>
      <c r="C90767"/>
      <c r="E90767"/>
      <c r="F90767"/>
    </row>
    <row r="90768" spans="1:6" x14ac:dyDescent="0.25">
      <c r="A90768"/>
      <c r="B90768"/>
      <c r="C90768"/>
      <c r="E90768"/>
      <c r="F90768"/>
    </row>
    <row r="90769" spans="1:6" x14ac:dyDescent="0.25">
      <c r="A90769"/>
      <c r="B90769"/>
      <c r="C90769"/>
      <c r="E90769"/>
      <c r="F90769"/>
    </row>
    <row r="90770" spans="1:6" x14ac:dyDescent="0.25">
      <c r="A90770"/>
      <c r="B90770"/>
      <c r="C90770"/>
      <c r="E90770"/>
      <c r="F90770"/>
    </row>
    <row r="90771" spans="1:6" x14ac:dyDescent="0.25">
      <c r="A90771"/>
      <c r="B90771"/>
      <c r="C90771"/>
      <c r="E90771"/>
      <c r="F90771"/>
    </row>
    <row r="90772" spans="1:6" x14ac:dyDescent="0.25">
      <c r="A90772"/>
      <c r="B90772"/>
      <c r="C90772"/>
      <c r="E90772"/>
      <c r="F90772"/>
    </row>
    <row r="90773" spans="1:6" x14ac:dyDescent="0.25">
      <c r="A90773"/>
      <c r="B90773"/>
      <c r="C90773"/>
      <c r="E90773"/>
      <c r="F90773"/>
    </row>
    <row r="90774" spans="1:6" x14ac:dyDescent="0.25">
      <c r="A90774"/>
      <c r="B90774"/>
      <c r="C90774"/>
      <c r="E90774"/>
      <c r="F90774"/>
    </row>
    <row r="90775" spans="1:6" x14ac:dyDescent="0.25">
      <c r="A90775"/>
      <c r="B90775"/>
      <c r="C90775"/>
      <c r="E90775"/>
      <c r="F90775"/>
    </row>
    <row r="90776" spans="1:6" x14ac:dyDescent="0.25">
      <c r="A90776"/>
      <c r="B90776"/>
      <c r="C90776"/>
      <c r="E90776"/>
      <c r="F90776"/>
    </row>
    <row r="90777" spans="1:6" x14ac:dyDescent="0.25">
      <c r="A90777"/>
      <c r="B90777"/>
      <c r="C90777"/>
      <c r="E90777"/>
      <c r="F90777"/>
    </row>
    <row r="90778" spans="1:6" x14ac:dyDescent="0.25">
      <c r="A90778"/>
      <c r="B90778"/>
      <c r="C90778"/>
      <c r="E90778"/>
      <c r="F90778"/>
    </row>
    <row r="90779" spans="1:6" x14ac:dyDescent="0.25">
      <c r="A90779"/>
      <c r="B90779"/>
      <c r="C90779"/>
      <c r="E90779"/>
      <c r="F90779"/>
    </row>
    <row r="90780" spans="1:6" x14ac:dyDescent="0.25">
      <c r="A90780"/>
      <c r="B90780"/>
      <c r="C90780"/>
      <c r="E90780"/>
      <c r="F90780"/>
    </row>
    <row r="90781" spans="1:6" x14ac:dyDescent="0.25">
      <c r="A90781"/>
      <c r="B90781"/>
      <c r="C90781"/>
      <c r="E90781"/>
      <c r="F90781"/>
    </row>
    <row r="90782" spans="1:6" x14ac:dyDescent="0.25">
      <c r="A90782"/>
      <c r="B90782"/>
      <c r="C90782"/>
      <c r="E90782"/>
      <c r="F90782"/>
    </row>
    <row r="90783" spans="1:6" x14ac:dyDescent="0.25">
      <c r="A90783"/>
      <c r="B90783"/>
      <c r="C90783"/>
      <c r="E90783"/>
      <c r="F90783"/>
    </row>
    <row r="90784" spans="1:6" x14ac:dyDescent="0.25">
      <c r="A90784"/>
      <c r="B90784"/>
      <c r="C90784"/>
      <c r="E90784"/>
      <c r="F90784"/>
    </row>
    <row r="90785" spans="1:6" x14ac:dyDescent="0.25">
      <c r="A90785"/>
      <c r="B90785"/>
      <c r="C90785"/>
      <c r="E90785"/>
      <c r="F90785"/>
    </row>
    <row r="90786" spans="1:6" x14ac:dyDescent="0.25">
      <c r="A90786"/>
      <c r="B90786"/>
      <c r="C90786"/>
      <c r="E90786"/>
      <c r="F90786"/>
    </row>
    <row r="90787" spans="1:6" x14ac:dyDescent="0.25">
      <c r="A90787"/>
      <c r="B90787"/>
      <c r="C90787"/>
      <c r="E90787"/>
      <c r="F90787"/>
    </row>
    <row r="90788" spans="1:6" x14ac:dyDescent="0.25">
      <c r="A90788"/>
      <c r="B90788"/>
      <c r="C90788"/>
      <c r="E90788"/>
      <c r="F90788"/>
    </row>
    <row r="90789" spans="1:6" x14ac:dyDescent="0.25">
      <c r="A90789"/>
      <c r="B90789"/>
      <c r="C90789"/>
      <c r="E90789"/>
      <c r="F90789"/>
    </row>
    <row r="90790" spans="1:6" x14ac:dyDescent="0.25">
      <c r="A90790"/>
      <c r="B90790"/>
      <c r="C90790"/>
      <c r="E90790"/>
      <c r="F90790"/>
    </row>
    <row r="90791" spans="1:6" x14ac:dyDescent="0.25">
      <c r="A90791"/>
      <c r="B90791"/>
      <c r="C90791"/>
      <c r="E90791"/>
      <c r="F90791"/>
    </row>
    <row r="90792" spans="1:6" x14ac:dyDescent="0.25">
      <c r="A90792"/>
      <c r="B90792"/>
      <c r="C90792"/>
      <c r="E90792"/>
      <c r="F90792"/>
    </row>
    <row r="90793" spans="1:6" x14ac:dyDescent="0.25">
      <c r="A90793"/>
      <c r="B90793"/>
      <c r="C90793"/>
      <c r="E90793"/>
      <c r="F90793"/>
    </row>
    <row r="90794" spans="1:6" x14ac:dyDescent="0.25">
      <c r="A90794"/>
      <c r="B90794"/>
      <c r="C90794"/>
      <c r="E90794"/>
      <c r="F90794"/>
    </row>
    <row r="90795" spans="1:6" x14ac:dyDescent="0.25">
      <c r="A90795"/>
      <c r="B90795"/>
      <c r="C90795"/>
      <c r="E90795"/>
      <c r="F90795"/>
    </row>
    <row r="90796" spans="1:6" x14ac:dyDescent="0.25">
      <c r="A90796"/>
      <c r="B90796"/>
      <c r="C90796"/>
      <c r="E90796"/>
      <c r="F90796"/>
    </row>
    <row r="90797" spans="1:6" x14ac:dyDescent="0.25">
      <c r="A90797"/>
      <c r="B90797"/>
      <c r="C90797"/>
      <c r="E90797"/>
      <c r="F90797"/>
    </row>
    <row r="90798" spans="1:6" x14ac:dyDescent="0.25">
      <c r="A90798"/>
      <c r="B90798"/>
      <c r="C90798"/>
      <c r="E90798"/>
      <c r="F90798"/>
    </row>
    <row r="90799" spans="1:6" x14ac:dyDescent="0.25">
      <c r="A90799"/>
      <c r="B90799"/>
      <c r="C90799"/>
      <c r="E90799"/>
      <c r="F90799"/>
    </row>
    <row r="90800" spans="1:6" x14ac:dyDescent="0.25">
      <c r="A90800"/>
      <c r="B90800"/>
      <c r="C90800"/>
      <c r="E90800"/>
      <c r="F90800"/>
    </row>
    <row r="90801" spans="1:6" x14ac:dyDescent="0.25">
      <c r="A90801"/>
      <c r="B90801"/>
      <c r="C90801"/>
      <c r="E90801"/>
      <c r="F90801"/>
    </row>
    <row r="90802" spans="1:6" x14ac:dyDescent="0.25">
      <c r="A90802"/>
      <c r="B90802"/>
      <c r="C90802"/>
      <c r="E90802"/>
      <c r="F90802"/>
    </row>
    <row r="90803" spans="1:6" x14ac:dyDescent="0.25">
      <c r="A90803"/>
      <c r="B90803"/>
      <c r="C90803"/>
      <c r="E90803"/>
      <c r="F90803"/>
    </row>
    <row r="90804" spans="1:6" x14ac:dyDescent="0.25">
      <c r="A90804"/>
      <c r="B90804"/>
      <c r="C90804"/>
      <c r="E90804"/>
      <c r="F90804"/>
    </row>
    <row r="90805" spans="1:6" x14ac:dyDescent="0.25">
      <c r="A90805"/>
      <c r="B90805"/>
      <c r="C90805"/>
      <c r="E90805"/>
      <c r="F90805"/>
    </row>
    <row r="90806" spans="1:6" x14ac:dyDescent="0.25">
      <c r="A90806"/>
      <c r="B90806"/>
      <c r="C90806"/>
      <c r="E90806"/>
      <c r="F90806"/>
    </row>
    <row r="90807" spans="1:6" x14ac:dyDescent="0.25">
      <c r="A90807"/>
      <c r="B90807"/>
      <c r="C90807"/>
      <c r="E90807"/>
      <c r="F90807"/>
    </row>
    <row r="90808" spans="1:6" x14ac:dyDescent="0.25">
      <c r="A90808"/>
      <c r="B90808"/>
      <c r="C90808"/>
      <c r="E90808"/>
      <c r="F90808"/>
    </row>
    <row r="90809" spans="1:6" x14ac:dyDescent="0.25">
      <c r="A90809"/>
      <c r="B90809"/>
      <c r="C90809"/>
      <c r="E90809"/>
      <c r="F90809"/>
    </row>
    <row r="90810" spans="1:6" x14ac:dyDescent="0.25">
      <c r="A90810"/>
      <c r="B90810"/>
      <c r="C90810"/>
      <c r="E90810"/>
      <c r="F90810"/>
    </row>
    <row r="90811" spans="1:6" x14ac:dyDescent="0.25">
      <c r="A90811"/>
      <c r="B90811"/>
      <c r="C90811"/>
      <c r="E90811"/>
      <c r="F90811"/>
    </row>
    <row r="90812" spans="1:6" x14ac:dyDescent="0.25">
      <c r="A90812"/>
      <c r="B90812"/>
      <c r="C90812"/>
      <c r="E90812"/>
      <c r="F90812"/>
    </row>
    <row r="90813" spans="1:6" x14ac:dyDescent="0.25">
      <c r="A90813"/>
      <c r="B90813"/>
      <c r="C90813"/>
      <c r="E90813"/>
      <c r="F90813"/>
    </row>
    <row r="90814" spans="1:6" x14ac:dyDescent="0.25">
      <c r="A90814"/>
      <c r="B90814"/>
      <c r="C90814"/>
      <c r="E90814"/>
      <c r="F90814"/>
    </row>
    <row r="90815" spans="1:6" x14ac:dyDescent="0.25">
      <c r="A90815"/>
      <c r="B90815"/>
      <c r="C90815"/>
      <c r="E90815"/>
      <c r="F90815"/>
    </row>
    <row r="90816" spans="1:6" x14ac:dyDescent="0.25">
      <c r="A90816"/>
      <c r="B90816"/>
      <c r="C90816"/>
      <c r="E90816"/>
      <c r="F90816"/>
    </row>
    <row r="90817" spans="1:6" x14ac:dyDescent="0.25">
      <c r="A90817"/>
      <c r="B90817"/>
      <c r="C90817"/>
      <c r="E90817"/>
      <c r="F90817"/>
    </row>
    <row r="90818" spans="1:6" x14ac:dyDescent="0.25">
      <c r="A90818"/>
      <c r="B90818"/>
      <c r="C90818"/>
      <c r="E90818"/>
      <c r="F90818"/>
    </row>
    <row r="90819" spans="1:6" x14ac:dyDescent="0.25">
      <c r="A90819"/>
      <c r="B90819"/>
      <c r="C90819"/>
      <c r="E90819"/>
      <c r="F90819"/>
    </row>
    <row r="90820" spans="1:6" x14ac:dyDescent="0.25">
      <c r="A90820"/>
      <c r="B90820"/>
      <c r="C90820"/>
      <c r="E90820"/>
      <c r="F90820"/>
    </row>
    <row r="90821" spans="1:6" x14ac:dyDescent="0.25">
      <c r="A90821"/>
      <c r="B90821"/>
      <c r="C90821"/>
      <c r="E90821"/>
      <c r="F90821"/>
    </row>
    <row r="90822" spans="1:6" x14ac:dyDescent="0.25">
      <c r="A90822"/>
      <c r="B90822"/>
      <c r="C90822"/>
      <c r="E90822"/>
      <c r="F90822"/>
    </row>
    <row r="90823" spans="1:6" x14ac:dyDescent="0.25">
      <c r="A90823"/>
      <c r="B90823"/>
      <c r="C90823"/>
      <c r="E90823"/>
      <c r="F90823"/>
    </row>
    <row r="90824" spans="1:6" x14ac:dyDescent="0.25">
      <c r="A90824"/>
      <c r="B90824"/>
      <c r="C90824"/>
      <c r="E90824"/>
      <c r="F90824"/>
    </row>
    <row r="90825" spans="1:6" x14ac:dyDescent="0.25">
      <c r="A90825"/>
      <c r="B90825"/>
      <c r="C90825"/>
      <c r="E90825"/>
      <c r="F90825"/>
    </row>
    <row r="90826" spans="1:6" x14ac:dyDescent="0.25">
      <c r="A90826"/>
      <c r="B90826"/>
      <c r="C90826"/>
      <c r="E90826"/>
      <c r="F90826"/>
    </row>
    <row r="90827" spans="1:6" x14ac:dyDescent="0.25">
      <c r="A90827"/>
      <c r="B90827"/>
      <c r="C90827"/>
      <c r="E90827"/>
      <c r="F90827"/>
    </row>
    <row r="90828" spans="1:6" x14ac:dyDescent="0.25">
      <c r="A90828"/>
      <c r="B90828"/>
      <c r="C90828"/>
      <c r="E90828"/>
      <c r="F90828"/>
    </row>
    <row r="90829" spans="1:6" x14ac:dyDescent="0.25">
      <c r="A90829"/>
      <c r="B90829"/>
      <c r="C90829"/>
      <c r="E90829"/>
      <c r="F90829"/>
    </row>
    <row r="90830" spans="1:6" x14ac:dyDescent="0.25">
      <c r="A90830"/>
      <c r="B90830"/>
      <c r="C90830"/>
      <c r="E90830"/>
      <c r="F90830"/>
    </row>
    <row r="90831" spans="1:6" x14ac:dyDescent="0.25">
      <c r="A90831"/>
      <c r="B90831"/>
      <c r="C90831"/>
      <c r="E90831"/>
      <c r="F90831"/>
    </row>
    <row r="90832" spans="1:6" x14ac:dyDescent="0.25">
      <c r="A90832"/>
      <c r="B90832"/>
      <c r="C90832"/>
      <c r="E90832"/>
      <c r="F90832"/>
    </row>
    <row r="90833" spans="1:6" x14ac:dyDescent="0.25">
      <c r="A90833"/>
      <c r="B90833"/>
      <c r="C90833"/>
      <c r="E90833"/>
      <c r="F90833"/>
    </row>
    <row r="90834" spans="1:6" x14ac:dyDescent="0.25">
      <c r="A90834"/>
      <c r="B90834"/>
      <c r="C90834"/>
      <c r="E90834"/>
      <c r="F90834"/>
    </row>
    <row r="90835" spans="1:6" x14ac:dyDescent="0.25">
      <c r="A90835"/>
      <c r="B90835"/>
      <c r="C90835"/>
      <c r="E90835"/>
      <c r="F90835"/>
    </row>
    <row r="90836" spans="1:6" x14ac:dyDescent="0.25">
      <c r="A90836"/>
      <c r="B90836"/>
      <c r="C90836"/>
      <c r="E90836"/>
      <c r="F90836"/>
    </row>
    <row r="90837" spans="1:6" x14ac:dyDescent="0.25">
      <c r="A90837"/>
      <c r="B90837"/>
      <c r="C90837"/>
      <c r="E90837"/>
      <c r="F90837"/>
    </row>
    <row r="90838" spans="1:6" x14ac:dyDescent="0.25">
      <c r="A90838"/>
      <c r="B90838"/>
      <c r="C90838"/>
      <c r="E90838"/>
      <c r="F90838"/>
    </row>
    <row r="90839" spans="1:6" x14ac:dyDescent="0.25">
      <c r="A90839"/>
      <c r="B90839"/>
      <c r="C90839"/>
      <c r="E90839"/>
      <c r="F90839"/>
    </row>
    <row r="90840" spans="1:6" x14ac:dyDescent="0.25">
      <c r="A90840"/>
      <c r="B90840"/>
      <c r="C90840"/>
      <c r="E90840"/>
      <c r="F90840"/>
    </row>
    <row r="90841" spans="1:6" x14ac:dyDescent="0.25">
      <c r="A90841"/>
      <c r="B90841"/>
      <c r="C90841"/>
      <c r="E90841"/>
      <c r="F90841"/>
    </row>
    <row r="90842" spans="1:6" x14ac:dyDescent="0.25">
      <c r="A90842"/>
      <c r="B90842"/>
      <c r="C90842"/>
      <c r="E90842"/>
      <c r="F90842"/>
    </row>
    <row r="90843" spans="1:6" x14ac:dyDescent="0.25">
      <c r="A90843"/>
      <c r="B90843"/>
      <c r="C90843"/>
      <c r="E90843"/>
      <c r="F90843"/>
    </row>
    <row r="90844" spans="1:6" x14ac:dyDescent="0.25">
      <c r="A90844"/>
      <c r="B90844"/>
      <c r="C90844"/>
      <c r="E90844"/>
      <c r="F90844"/>
    </row>
    <row r="90845" spans="1:6" x14ac:dyDescent="0.25">
      <c r="A90845"/>
      <c r="B90845"/>
      <c r="C90845"/>
      <c r="E90845"/>
      <c r="F90845"/>
    </row>
    <row r="90846" spans="1:6" x14ac:dyDescent="0.25">
      <c r="A90846"/>
      <c r="B90846"/>
      <c r="C90846"/>
      <c r="E90846"/>
      <c r="F90846"/>
    </row>
    <row r="90847" spans="1:6" x14ac:dyDescent="0.25">
      <c r="A90847"/>
      <c r="B90847"/>
      <c r="C90847"/>
      <c r="E90847"/>
      <c r="F90847"/>
    </row>
    <row r="90848" spans="1:6" x14ac:dyDescent="0.25">
      <c r="A90848"/>
      <c r="B90848"/>
      <c r="C90848"/>
      <c r="E90848"/>
      <c r="F90848"/>
    </row>
    <row r="90849" spans="1:6" x14ac:dyDescent="0.25">
      <c r="A90849"/>
      <c r="B90849"/>
      <c r="C90849"/>
      <c r="E90849"/>
      <c r="F90849"/>
    </row>
    <row r="90850" spans="1:6" x14ac:dyDescent="0.25">
      <c r="A90850"/>
      <c r="B90850"/>
      <c r="C90850"/>
      <c r="E90850"/>
      <c r="F90850"/>
    </row>
    <row r="90851" spans="1:6" x14ac:dyDescent="0.25">
      <c r="A90851"/>
      <c r="B90851"/>
      <c r="C90851"/>
      <c r="E90851"/>
      <c r="F90851"/>
    </row>
    <row r="90852" spans="1:6" x14ac:dyDescent="0.25">
      <c r="A90852"/>
      <c r="B90852"/>
      <c r="C90852"/>
      <c r="E90852"/>
      <c r="F90852"/>
    </row>
    <row r="90853" spans="1:6" x14ac:dyDescent="0.25">
      <c r="A90853"/>
      <c r="B90853"/>
      <c r="C90853"/>
      <c r="E90853"/>
      <c r="F90853"/>
    </row>
    <row r="90854" spans="1:6" x14ac:dyDescent="0.25">
      <c r="A90854"/>
      <c r="B90854"/>
      <c r="C90854"/>
      <c r="E90854"/>
      <c r="F90854"/>
    </row>
    <row r="90855" spans="1:6" x14ac:dyDescent="0.25">
      <c r="A90855"/>
      <c r="B90855"/>
      <c r="C90855"/>
      <c r="E90855"/>
      <c r="F90855"/>
    </row>
    <row r="90856" spans="1:6" x14ac:dyDescent="0.25">
      <c r="A90856"/>
      <c r="B90856"/>
      <c r="C90856"/>
      <c r="E90856"/>
      <c r="F90856"/>
    </row>
    <row r="90857" spans="1:6" x14ac:dyDescent="0.25">
      <c r="A90857"/>
      <c r="B90857"/>
      <c r="C90857"/>
      <c r="E90857"/>
      <c r="F90857"/>
    </row>
    <row r="90858" spans="1:6" x14ac:dyDescent="0.25">
      <c r="A90858"/>
      <c r="B90858"/>
      <c r="C90858"/>
      <c r="E90858"/>
      <c r="F90858"/>
    </row>
    <row r="90859" spans="1:6" x14ac:dyDescent="0.25">
      <c r="A90859"/>
      <c r="B90859"/>
      <c r="C90859"/>
      <c r="E90859"/>
      <c r="F90859"/>
    </row>
    <row r="90860" spans="1:6" x14ac:dyDescent="0.25">
      <c r="A90860"/>
      <c r="B90860"/>
      <c r="C90860"/>
      <c r="E90860"/>
      <c r="F90860"/>
    </row>
    <row r="90861" spans="1:6" x14ac:dyDescent="0.25">
      <c r="A90861"/>
      <c r="B90861"/>
      <c r="C90861"/>
      <c r="E90861"/>
      <c r="F90861"/>
    </row>
    <row r="90862" spans="1:6" x14ac:dyDescent="0.25">
      <c r="A90862"/>
      <c r="B90862"/>
      <c r="C90862"/>
      <c r="E90862"/>
      <c r="F90862"/>
    </row>
    <row r="90863" spans="1:6" x14ac:dyDescent="0.25">
      <c r="A90863"/>
      <c r="B90863"/>
      <c r="C90863"/>
      <c r="E90863"/>
      <c r="F90863"/>
    </row>
    <row r="90864" spans="1:6" x14ac:dyDescent="0.25">
      <c r="A90864"/>
      <c r="B90864"/>
      <c r="C90864"/>
      <c r="E90864"/>
      <c r="F90864"/>
    </row>
    <row r="90865" spans="1:6" x14ac:dyDescent="0.25">
      <c r="A90865"/>
      <c r="B90865"/>
      <c r="C90865"/>
      <c r="E90865"/>
      <c r="F90865"/>
    </row>
    <row r="90866" spans="1:6" x14ac:dyDescent="0.25">
      <c r="A90866"/>
      <c r="B90866"/>
      <c r="C90866"/>
      <c r="E90866"/>
      <c r="F90866"/>
    </row>
    <row r="90867" spans="1:6" x14ac:dyDescent="0.25">
      <c r="A90867"/>
      <c r="B90867"/>
      <c r="C90867"/>
      <c r="E90867"/>
      <c r="F90867"/>
    </row>
    <row r="90868" spans="1:6" x14ac:dyDescent="0.25">
      <c r="A90868"/>
      <c r="B90868"/>
      <c r="C90868"/>
      <c r="E90868"/>
      <c r="F90868"/>
    </row>
    <row r="90869" spans="1:6" x14ac:dyDescent="0.25">
      <c r="A90869"/>
      <c r="B90869"/>
      <c r="C90869"/>
      <c r="E90869"/>
      <c r="F90869"/>
    </row>
    <row r="90870" spans="1:6" x14ac:dyDescent="0.25">
      <c r="A90870"/>
      <c r="B90870"/>
      <c r="C90870"/>
      <c r="E90870"/>
      <c r="F90870"/>
    </row>
    <row r="90871" spans="1:6" x14ac:dyDescent="0.25">
      <c r="A90871"/>
      <c r="B90871"/>
      <c r="C90871"/>
      <c r="E90871"/>
      <c r="F90871"/>
    </row>
    <row r="90872" spans="1:6" x14ac:dyDescent="0.25">
      <c r="A90872"/>
      <c r="B90872"/>
      <c r="C90872"/>
      <c r="E90872"/>
      <c r="F90872"/>
    </row>
    <row r="90873" spans="1:6" x14ac:dyDescent="0.25">
      <c r="A90873"/>
      <c r="B90873"/>
      <c r="C90873"/>
      <c r="E90873"/>
      <c r="F90873"/>
    </row>
    <row r="90874" spans="1:6" x14ac:dyDescent="0.25">
      <c r="A90874"/>
      <c r="B90874"/>
      <c r="C90874"/>
      <c r="E90874"/>
      <c r="F90874"/>
    </row>
    <row r="90875" spans="1:6" x14ac:dyDescent="0.25">
      <c r="A90875"/>
      <c r="B90875"/>
      <c r="C90875"/>
      <c r="E90875"/>
      <c r="F90875"/>
    </row>
    <row r="90876" spans="1:6" x14ac:dyDescent="0.25">
      <c r="A90876"/>
      <c r="B90876"/>
      <c r="C90876"/>
      <c r="E90876"/>
      <c r="F90876"/>
    </row>
    <row r="90877" spans="1:6" x14ac:dyDescent="0.25">
      <c r="A90877"/>
      <c r="B90877"/>
      <c r="C90877"/>
      <c r="E90877"/>
      <c r="F90877"/>
    </row>
    <row r="90878" spans="1:6" x14ac:dyDescent="0.25">
      <c r="A90878"/>
      <c r="B90878"/>
      <c r="C90878"/>
      <c r="E90878"/>
      <c r="F90878"/>
    </row>
    <row r="90879" spans="1:6" x14ac:dyDescent="0.25">
      <c r="A90879"/>
      <c r="B90879"/>
      <c r="C90879"/>
      <c r="E90879"/>
      <c r="F90879"/>
    </row>
    <row r="90880" spans="1:6" x14ac:dyDescent="0.25">
      <c r="A90880"/>
      <c r="B90880"/>
      <c r="C90880"/>
      <c r="E90880"/>
      <c r="F90880"/>
    </row>
    <row r="90881" spans="1:6" x14ac:dyDescent="0.25">
      <c r="A90881"/>
      <c r="B90881"/>
      <c r="C90881"/>
      <c r="E90881"/>
      <c r="F90881"/>
    </row>
    <row r="90882" spans="1:6" x14ac:dyDescent="0.25">
      <c r="A90882"/>
      <c r="B90882"/>
      <c r="C90882"/>
      <c r="E90882"/>
      <c r="F90882"/>
    </row>
    <row r="90883" spans="1:6" x14ac:dyDescent="0.25">
      <c r="A90883"/>
      <c r="B90883"/>
      <c r="C90883"/>
      <c r="E90883"/>
      <c r="F90883"/>
    </row>
    <row r="90884" spans="1:6" x14ac:dyDescent="0.25">
      <c r="A90884"/>
      <c r="B90884"/>
      <c r="C90884"/>
      <c r="E90884"/>
      <c r="F90884"/>
    </row>
    <row r="90885" spans="1:6" x14ac:dyDescent="0.25">
      <c r="A90885"/>
      <c r="B90885"/>
      <c r="C90885"/>
      <c r="E90885"/>
      <c r="F90885"/>
    </row>
    <row r="90886" spans="1:6" x14ac:dyDescent="0.25">
      <c r="A90886"/>
      <c r="B90886"/>
      <c r="C90886"/>
      <c r="E90886"/>
      <c r="F90886"/>
    </row>
    <row r="90887" spans="1:6" x14ac:dyDescent="0.25">
      <c r="A90887"/>
      <c r="B90887"/>
      <c r="C90887"/>
      <c r="E90887"/>
      <c r="F90887"/>
    </row>
    <row r="90888" spans="1:6" x14ac:dyDescent="0.25">
      <c r="A90888"/>
      <c r="B90888"/>
      <c r="C90888"/>
      <c r="E90888"/>
      <c r="F90888"/>
    </row>
    <row r="90889" spans="1:6" x14ac:dyDescent="0.25">
      <c r="A90889"/>
      <c r="B90889"/>
      <c r="C90889"/>
      <c r="E90889"/>
      <c r="F90889"/>
    </row>
    <row r="90890" spans="1:6" x14ac:dyDescent="0.25">
      <c r="A90890"/>
      <c r="B90890"/>
      <c r="C90890"/>
      <c r="E90890"/>
      <c r="F90890"/>
    </row>
    <row r="90891" spans="1:6" x14ac:dyDescent="0.25">
      <c r="A90891"/>
      <c r="B90891"/>
      <c r="C90891"/>
      <c r="E90891"/>
      <c r="F90891"/>
    </row>
    <row r="90892" spans="1:6" x14ac:dyDescent="0.25">
      <c r="A90892"/>
      <c r="B90892"/>
      <c r="C90892"/>
      <c r="E90892"/>
      <c r="F90892"/>
    </row>
    <row r="90893" spans="1:6" x14ac:dyDescent="0.25">
      <c r="A90893"/>
      <c r="B90893"/>
      <c r="C90893"/>
      <c r="E90893"/>
      <c r="F90893"/>
    </row>
    <row r="90894" spans="1:6" x14ac:dyDescent="0.25">
      <c r="A90894"/>
      <c r="B90894"/>
      <c r="C90894"/>
      <c r="E90894"/>
      <c r="F90894"/>
    </row>
    <row r="90895" spans="1:6" x14ac:dyDescent="0.25">
      <c r="A90895"/>
      <c r="B90895"/>
      <c r="C90895"/>
      <c r="E90895"/>
      <c r="F90895"/>
    </row>
    <row r="90896" spans="1:6" x14ac:dyDescent="0.25">
      <c r="A90896"/>
      <c r="B90896"/>
      <c r="C90896"/>
      <c r="E90896"/>
      <c r="F90896"/>
    </row>
    <row r="90897" spans="1:6" x14ac:dyDescent="0.25">
      <c r="A90897"/>
      <c r="B90897"/>
      <c r="C90897"/>
      <c r="E90897"/>
      <c r="F90897"/>
    </row>
    <row r="90898" spans="1:6" x14ac:dyDescent="0.25">
      <c r="A90898"/>
      <c r="B90898"/>
      <c r="C90898"/>
      <c r="E90898"/>
      <c r="F90898"/>
    </row>
    <row r="90899" spans="1:6" x14ac:dyDescent="0.25">
      <c r="A90899"/>
      <c r="B90899"/>
      <c r="C90899"/>
      <c r="E90899"/>
      <c r="F90899"/>
    </row>
    <row r="90900" spans="1:6" x14ac:dyDescent="0.25">
      <c r="A90900"/>
      <c r="B90900"/>
      <c r="C90900"/>
      <c r="E90900"/>
      <c r="F90900"/>
    </row>
    <row r="90901" spans="1:6" x14ac:dyDescent="0.25">
      <c r="A90901"/>
      <c r="B90901"/>
      <c r="C90901"/>
      <c r="E90901"/>
      <c r="F90901"/>
    </row>
    <row r="90902" spans="1:6" x14ac:dyDescent="0.25">
      <c r="A90902"/>
      <c r="B90902"/>
      <c r="C90902"/>
      <c r="E90902"/>
      <c r="F90902"/>
    </row>
    <row r="90903" spans="1:6" x14ac:dyDescent="0.25">
      <c r="A90903"/>
      <c r="B90903"/>
      <c r="C90903"/>
      <c r="E90903"/>
      <c r="F90903"/>
    </row>
    <row r="90904" spans="1:6" x14ac:dyDescent="0.25">
      <c r="A90904"/>
      <c r="B90904"/>
      <c r="C90904"/>
      <c r="E90904"/>
      <c r="F90904"/>
    </row>
    <row r="90905" spans="1:6" x14ac:dyDescent="0.25">
      <c r="A90905"/>
      <c r="B90905"/>
      <c r="C90905"/>
      <c r="E90905"/>
      <c r="F90905"/>
    </row>
    <row r="90906" spans="1:6" x14ac:dyDescent="0.25">
      <c r="A90906"/>
      <c r="B90906"/>
      <c r="C90906"/>
      <c r="E90906"/>
      <c r="F90906"/>
    </row>
    <row r="90907" spans="1:6" x14ac:dyDescent="0.25">
      <c r="A90907"/>
      <c r="B90907"/>
      <c r="C90907"/>
      <c r="E90907"/>
      <c r="F90907"/>
    </row>
    <row r="90908" spans="1:6" x14ac:dyDescent="0.25">
      <c r="A90908"/>
      <c r="B90908"/>
      <c r="C90908"/>
      <c r="E90908"/>
      <c r="F90908"/>
    </row>
    <row r="90909" spans="1:6" x14ac:dyDescent="0.25">
      <c r="A90909"/>
      <c r="B90909"/>
      <c r="C90909"/>
      <c r="E90909"/>
      <c r="F90909"/>
    </row>
    <row r="90910" spans="1:6" x14ac:dyDescent="0.25">
      <c r="A90910"/>
      <c r="B90910"/>
      <c r="C90910"/>
      <c r="E90910"/>
      <c r="F90910"/>
    </row>
    <row r="90911" spans="1:6" x14ac:dyDescent="0.25">
      <c r="A90911"/>
      <c r="B90911"/>
      <c r="C90911"/>
      <c r="E90911"/>
      <c r="F90911"/>
    </row>
    <row r="90912" spans="1:6" x14ac:dyDescent="0.25">
      <c r="A90912"/>
      <c r="B90912"/>
      <c r="C90912"/>
      <c r="E90912"/>
      <c r="F90912"/>
    </row>
    <row r="90913" spans="1:6" x14ac:dyDescent="0.25">
      <c r="A90913"/>
      <c r="B90913"/>
      <c r="C90913"/>
      <c r="E90913"/>
      <c r="F90913"/>
    </row>
    <row r="90914" spans="1:6" x14ac:dyDescent="0.25">
      <c r="A90914"/>
      <c r="B90914"/>
      <c r="C90914"/>
      <c r="E90914"/>
      <c r="F90914"/>
    </row>
    <row r="90915" spans="1:6" x14ac:dyDescent="0.25">
      <c r="A90915"/>
      <c r="B90915"/>
      <c r="C90915"/>
      <c r="E90915"/>
      <c r="F90915"/>
    </row>
    <row r="90916" spans="1:6" x14ac:dyDescent="0.25">
      <c r="A90916"/>
      <c r="B90916"/>
      <c r="C90916"/>
      <c r="E90916"/>
      <c r="F90916"/>
    </row>
    <row r="90917" spans="1:6" x14ac:dyDescent="0.25">
      <c r="A90917"/>
      <c r="B90917"/>
      <c r="C90917"/>
      <c r="E90917"/>
      <c r="F90917"/>
    </row>
    <row r="90918" spans="1:6" x14ac:dyDescent="0.25">
      <c r="A90918"/>
      <c r="B90918"/>
      <c r="C90918"/>
      <c r="E90918"/>
      <c r="F90918"/>
    </row>
    <row r="90919" spans="1:6" x14ac:dyDescent="0.25">
      <c r="A90919"/>
      <c r="B90919"/>
      <c r="C90919"/>
      <c r="E90919"/>
      <c r="F90919"/>
    </row>
    <row r="90920" spans="1:6" x14ac:dyDescent="0.25">
      <c r="A90920"/>
      <c r="B90920"/>
      <c r="C90920"/>
      <c r="E90920"/>
      <c r="F90920"/>
    </row>
    <row r="90921" spans="1:6" x14ac:dyDescent="0.25">
      <c r="A90921"/>
      <c r="B90921"/>
      <c r="C90921"/>
      <c r="E90921"/>
      <c r="F90921"/>
    </row>
    <row r="90922" spans="1:6" x14ac:dyDescent="0.25">
      <c r="A90922"/>
      <c r="B90922"/>
      <c r="C90922"/>
      <c r="E90922"/>
      <c r="F90922"/>
    </row>
    <row r="90923" spans="1:6" x14ac:dyDescent="0.25">
      <c r="A90923"/>
      <c r="B90923"/>
      <c r="C90923"/>
      <c r="E90923"/>
      <c r="F90923"/>
    </row>
    <row r="90924" spans="1:6" x14ac:dyDescent="0.25">
      <c r="A90924"/>
      <c r="B90924"/>
      <c r="C90924"/>
      <c r="E90924"/>
      <c r="F90924"/>
    </row>
    <row r="90925" spans="1:6" x14ac:dyDescent="0.25">
      <c r="A90925"/>
      <c r="B90925"/>
      <c r="C90925"/>
      <c r="E90925"/>
      <c r="F90925"/>
    </row>
    <row r="90926" spans="1:6" x14ac:dyDescent="0.25">
      <c r="A90926"/>
      <c r="B90926"/>
      <c r="C90926"/>
      <c r="E90926"/>
      <c r="F90926"/>
    </row>
    <row r="90927" spans="1:6" x14ac:dyDescent="0.25">
      <c r="A90927"/>
      <c r="B90927"/>
      <c r="C90927"/>
      <c r="E90927"/>
      <c r="F90927"/>
    </row>
    <row r="90928" spans="1:6" x14ac:dyDescent="0.25">
      <c r="A90928"/>
      <c r="B90928"/>
      <c r="C90928"/>
      <c r="E90928"/>
      <c r="F90928"/>
    </row>
    <row r="90929" spans="1:6" x14ac:dyDescent="0.25">
      <c r="A90929"/>
      <c r="B90929"/>
      <c r="C90929"/>
      <c r="E90929"/>
      <c r="F90929"/>
    </row>
    <row r="90930" spans="1:6" x14ac:dyDescent="0.25">
      <c r="A90930"/>
      <c r="B90930"/>
      <c r="C90930"/>
      <c r="E90930"/>
      <c r="F90930"/>
    </row>
    <row r="90931" spans="1:6" x14ac:dyDescent="0.25">
      <c r="A90931"/>
      <c r="B90931"/>
      <c r="C90931"/>
      <c r="E90931"/>
      <c r="F90931"/>
    </row>
    <row r="90932" spans="1:6" x14ac:dyDescent="0.25">
      <c r="A90932"/>
      <c r="B90932"/>
      <c r="C90932"/>
      <c r="E90932"/>
      <c r="F90932"/>
    </row>
    <row r="90933" spans="1:6" x14ac:dyDescent="0.25">
      <c r="A90933"/>
      <c r="B90933"/>
      <c r="C90933"/>
      <c r="E90933"/>
      <c r="F90933"/>
    </row>
    <row r="90934" spans="1:6" x14ac:dyDescent="0.25">
      <c r="A90934"/>
      <c r="B90934"/>
      <c r="C90934"/>
      <c r="E90934"/>
      <c r="F90934"/>
    </row>
    <row r="90935" spans="1:6" x14ac:dyDescent="0.25">
      <c r="A90935"/>
      <c r="B90935"/>
      <c r="C90935"/>
      <c r="E90935"/>
      <c r="F90935"/>
    </row>
    <row r="90936" spans="1:6" x14ac:dyDescent="0.25">
      <c r="A90936"/>
      <c r="B90936"/>
      <c r="C90936"/>
      <c r="E90936"/>
      <c r="F90936"/>
    </row>
    <row r="90937" spans="1:6" x14ac:dyDescent="0.25">
      <c r="A90937"/>
      <c r="B90937"/>
      <c r="C90937"/>
      <c r="E90937"/>
      <c r="F90937"/>
    </row>
    <row r="90938" spans="1:6" x14ac:dyDescent="0.25">
      <c r="A90938"/>
      <c r="B90938"/>
      <c r="C90938"/>
      <c r="E90938"/>
      <c r="F90938"/>
    </row>
    <row r="90939" spans="1:6" x14ac:dyDescent="0.25">
      <c r="A90939"/>
      <c r="B90939"/>
      <c r="C90939"/>
      <c r="E90939"/>
      <c r="F90939"/>
    </row>
    <row r="90940" spans="1:6" x14ac:dyDescent="0.25">
      <c r="A90940"/>
      <c r="B90940"/>
      <c r="C90940"/>
      <c r="E90940"/>
      <c r="F90940"/>
    </row>
    <row r="90941" spans="1:6" x14ac:dyDescent="0.25">
      <c r="A90941"/>
      <c r="B90941"/>
      <c r="C90941"/>
      <c r="E90941"/>
      <c r="F90941"/>
    </row>
    <row r="90942" spans="1:6" x14ac:dyDescent="0.25">
      <c r="A90942"/>
      <c r="B90942"/>
      <c r="C90942"/>
      <c r="E90942"/>
      <c r="F90942"/>
    </row>
    <row r="90943" spans="1:6" x14ac:dyDescent="0.25">
      <c r="A90943"/>
      <c r="B90943"/>
      <c r="C90943"/>
      <c r="E90943"/>
      <c r="F90943"/>
    </row>
    <row r="90944" spans="1:6" x14ac:dyDescent="0.25">
      <c r="A90944"/>
      <c r="B90944"/>
      <c r="C90944"/>
      <c r="E90944"/>
      <c r="F90944"/>
    </row>
    <row r="90945" spans="1:6" x14ac:dyDescent="0.25">
      <c r="A90945"/>
      <c r="B90945"/>
      <c r="C90945"/>
      <c r="E90945"/>
      <c r="F90945"/>
    </row>
    <row r="90946" spans="1:6" x14ac:dyDescent="0.25">
      <c r="A90946"/>
      <c r="B90946"/>
      <c r="C90946"/>
      <c r="E90946"/>
      <c r="F90946"/>
    </row>
    <row r="90947" spans="1:6" x14ac:dyDescent="0.25">
      <c r="A90947"/>
      <c r="B90947"/>
      <c r="C90947"/>
      <c r="E90947"/>
      <c r="F90947"/>
    </row>
    <row r="90948" spans="1:6" x14ac:dyDescent="0.25">
      <c r="A90948"/>
      <c r="B90948"/>
      <c r="C90948"/>
      <c r="E90948"/>
      <c r="F90948"/>
    </row>
    <row r="90949" spans="1:6" x14ac:dyDescent="0.25">
      <c r="A90949"/>
      <c r="B90949"/>
      <c r="C90949"/>
      <c r="E90949"/>
      <c r="F90949"/>
    </row>
    <row r="90950" spans="1:6" x14ac:dyDescent="0.25">
      <c r="A90950"/>
      <c r="B90950"/>
      <c r="C90950"/>
      <c r="E90950"/>
      <c r="F90950"/>
    </row>
    <row r="90951" spans="1:6" x14ac:dyDescent="0.25">
      <c r="A90951"/>
      <c r="B90951"/>
      <c r="C90951"/>
      <c r="E90951"/>
      <c r="F90951"/>
    </row>
    <row r="90952" spans="1:6" x14ac:dyDescent="0.25">
      <c r="A90952"/>
      <c r="B90952"/>
      <c r="C90952"/>
      <c r="E90952"/>
      <c r="F90952"/>
    </row>
    <row r="90953" spans="1:6" x14ac:dyDescent="0.25">
      <c r="A90953"/>
      <c r="B90953"/>
      <c r="C90953"/>
      <c r="E90953"/>
      <c r="F90953"/>
    </row>
    <row r="90954" spans="1:6" x14ac:dyDescent="0.25">
      <c r="A90954"/>
      <c r="B90954"/>
      <c r="C90954"/>
      <c r="E90954"/>
      <c r="F90954"/>
    </row>
    <row r="90955" spans="1:6" x14ac:dyDescent="0.25">
      <c r="A90955"/>
      <c r="B90955"/>
      <c r="C90955"/>
      <c r="E90955"/>
      <c r="F90955"/>
    </row>
    <row r="90956" spans="1:6" x14ac:dyDescent="0.25">
      <c r="A90956"/>
      <c r="B90956"/>
      <c r="C90956"/>
      <c r="E90956"/>
      <c r="F90956"/>
    </row>
    <row r="90957" spans="1:6" x14ac:dyDescent="0.25">
      <c r="A90957"/>
      <c r="B90957"/>
      <c r="C90957"/>
      <c r="E90957"/>
      <c r="F90957"/>
    </row>
    <row r="90958" spans="1:6" x14ac:dyDescent="0.25">
      <c r="A90958"/>
      <c r="B90958"/>
      <c r="C90958"/>
      <c r="E90958"/>
      <c r="F90958"/>
    </row>
    <row r="90959" spans="1:6" x14ac:dyDescent="0.25">
      <c r="A90959"/>
      <c r="B90959"/>
      <c r="C90959"/>
      <c r="E90959"/>
      <c r="F90959"/>
    </row>
    <row r="90960" spans="1:6" x14ac:dyDescent="0.25">
      <c r="A90960"/>
      <c r="B90960"/>
      <c r="C90960"/>
      <c r="E90960"/>
      <c r="F90960"/>
    </row>
    <row r="90961" spans="1:6" x14ac:dyDescent="0.25">
      <c r="A90961"/>
      <c r="B90961"/>
      <c r="C90961"/>
      <c r="E90961"/>
      <c r="F90961"/>
    </row>
    <row r="90962" spans="1:6" x14ac:dyDescent="0.25">
      <c r="A90962"/>
      <c r="B90962"/>
      <c r="C90962"/>
      <c r="E90962"/>
      <c r="F90962"/>
    </row>
    <row r="90963" spans="1:6" x14ac:dyDescent="0.25">
      <c r="A90963"/>
      <c r="B90963"/>
      <c r="C90963"/>
      <c r="E90963"/>
      <c r="F90963"/>
    </row>
    <row r="90964" spans="1:6" x14ac:dyDescent="0.25">
      <c r="A90964"/>
      <c r="B90964"/>
      <c r="C90964"/>
      <c r="E90964"/>
      <c r="F90964"/>
    </row>
    <row r="90965" spans="1:6" x14ac:dyDescent="0.25">
      <c r="A90965"/>
      <c r="B90965"/>
      <c r="C90965"/>
      <c r="E90965"/>
      <c r="F90965"/>
    </row>
    <row r="90966" spans="1:6" x14ac:dyDescent="0.25">
      <c r="A90966"/>
      <c r="B90966"/>
      <c r="C90966"/>
      <c r="E90966"/>
      <c r="F90966"/>
    </row>
    <row r="90967" spans="1:6" x14ac:dyDescent="0.25">
      <c r="A90967"/>
      <c r="B90967"/>
      <c r="C90967"/>
      <c r="E90967"/>
      <c r="F90967"/>
    </row>
    <row r="90968" spans="1:6" x14ac:dyDescent="0.25">
      <c r="A90968"/>
      <c r="B90968"/>
      <c r="C90968"/>
      <c r="E90968"/>
      <c r="F90968"/>
    </row>
    <row r="90969" spans="1:6" x14ac:dyDescent="0.25">
      <c r="A90969"/>
      <c r="B90969"/>
      <c r="C90969"/>
      <c r="E90969"/>
      <c r="F90969"/>
    </row>
    <row r="90970" spans="1:6" x14ac:dyDescent="0.25">
      <c r="A90970"/>
      <c r="B90970"/>
      <c r="C90970"/>
      <c r="E90970"/>
      <c r="F90970"/>
    </row>
    <row r="90971" spans="1:6" x14ac:dyDescent="0.25">
      <c r="A90971"/>
      <c r="B90971"/>
      <c r="C90971"/>
      <c r="E90971"/>
      <c r="F90971"/>
    </row>
    <row r="90972" spans="1:6" x14ac:dyDescent="0.25">
      <c r="A90972"/>
      <c r="B90972"/>
      <c r="C90972"/>
      <c r="E90972"/>
      <c r="F90972"/>
    </row>
    <row r="90973" spans="1:6" x14ac:dyDescent="0.25">
      <c r="A90973"/>
      <c r="B90973"/>
      <c r="C90973"/>
      <c r="E90973"/>
      <c r="F90973"/>
    </row>
    <row r="90974" spans="1:6" x14ac:dyDescent="0.25">
      <c r="A90974"/>
      <c r="B90974"/>
      <c r="C90974"/>
      <c r="E90974"/>
      <c r="F90974"/>
    </row>
    <row r="90975" spans="1:6" x14ac:dyDescent="0.25">
      <c r="A90975"/>
      <c r="B90975"/>
      <c r="C90975"/>
      <c r="E90975"/>
      <c r="F90975"/>
    </row>
    <row r="90976" spans="1:6" x14ac:dyDescent="0.25">
      <c r="A90976"/>
      <c r="B90976"/>
      <c r="C90976"/>
      <c r="E90976"/>
      <c r="F90976"/>
    </row>
    <row r="90977" spans="1:6" x14ac:dyDescent="0.25">
      <c r="A90977"/>
      <c r="B90977"/>
      <c r="C90977"/>
      <c r="E90977"/>
      <c r="F90977"/>
    </row>
    <row r="90978" spans="1:6" x14ac:dyDescent="0.25">
      <c r="A90978"/>
      <c r="B90978"/>
      <c r="C90978"/>
      <c r="E90978"/>
      <c r="F90978"/>
    </row>
    <row r="90979" spans="1:6" x14ac:dyDescent="0.25">
      <c r="A90979"/>
      <c r="B90979"/>
      <c r="C90979"/>
      <c r="E90979"/>
      <c r="F90979"/>
    </row>
    <row r="90980" spans="1:6" x14ac:dyDescent="0.25">
      <c r="A90980"/>
      <c r="B90980"/>
      <c r="C90980"/>
      <c r="E90980"/>
      <c r="F90980"/>
    </row>
    <row r="90981" spans="1:6" x14ac:dyDescent="0.25">
      <c r="A90981"/>
      <c r="B90981"/>
      <c r="C90981"/>
      <c r="E90981"/>
      <c r="F90981"/>
    </row>
    <row r="90982" spans="1:6" x14ac:dyDescent="0.25">
      <c r="A90982"/>
      <c r="B90982"/>
      <c r="C90982"/>
      <c r="E90982"/>
      <c r="F90982"/>
    </row>
    <row r="90983" spans="1:6" x14ac:dyDescent="0.25">
      <c r="A90983"/>
      <c r="B90983"/>
      <c r="C90983"/>
      <c r="E90983"/>
      <c r="F90983"/>
    </row>
    <row r="90984" spans="1:6" x14ac:dyDescent="0.25">
      <c r="A90984"/>
      <c r="B90984"/>
      <c r="C90984"/>
      <c r="E90984"/>
      <c r="F90984"/>
    </row>
    <row r="90985" spans="1:6" x14ac:dyDescent="0.25">
      <c r="A90985"/>
      <c r="B90985"/>
      <c r="C90985"/>
      <c r="E90985"/>
      <c r="F90985"/>
    </row>
    <row r="90986" spans="1:6" x14ac:dyDescent="0.25">
      <c r="A90986"/>
      <c r="B90986"/>
      <c r="C90986"/>
      <c r="E90986"/>
      <c r="F90986"/>
    </row>
    <row r="90987" spans="1:6" x14ac:dyDescent="0.25">
      <c r="A90987"/>
      <c r="B90987"/>
      <c r="C90987"/>
      <c r="E90987"/>
      <c r="F90987"/>
    </row>
    <row r="90988" spans="1:6" x14ac:dyDescent="0.25">
      <c r="A90988"/>
      <c r="B90988"/>
      <c r="C90988"/>
      <c r="E90988"/>
      <c r="F90988"/>
    </row>
    <row r="90989" spans="1:6" x14ac:dyDescent="0.25">
      <c r="A90989"/>
      <c r="B90989"/>
      <c r="C90989"/>
      <c r="E90989"/>
      <c r="F90989"/>
    </row>
    <row r="90990" spans="1:6" x14ac:dyDescent="0.25">
      <c r="A90990"/>
      <c r="B90990"/>
      <c r="C90990"/>
      <c r="E90990"/>
      <c r="F90990"/>
    </row>
    <row r="90991" spans="1:6" x14ac:dyDescent="0.25">
      <c r="A90991"/>
      <c r="B90991"/>
      <c r="C90991"/>
      <c r="E90991"/>
      <c r="F90991"/>
    </row>
    <row r="90992" spans="1:6" x14ac:dyDescent="0.25">
      <c r="A90992"/>
      <c r="B90992"/>
      <c r="C90992"/>
      <c r="E90992"/>
      <c r="F90992"/>
    </row>
    <row r="90993" spans="1:6" x14ac:dyDescent="0.25">
      <c r="A90993"/>
      <c r="B90993"/>
      <c r="C90993"/>
      <c r="E90993"/>
      <c r="F90993"/>
    </row>
    <row r="90994" spans="1:6" x14ac:dyDescent="0.25">
      <c r="A90994"/>
      <c r="B90994"/>
      <c r="C90994"/>
      <c r="E90994"/>
      <c r="F90994"/>
    </row>
    <row r="90995" spans="1:6" x14ac:dyDescent="0.25">
      <c r="A90995"/>
      <c r="B90995"/>
      <c r="C90995"/>
      <c r="E90995"/>
      <c r="F90995"/>
    </row>
    <row r="90996" spans="1:6" x14ac:dyDescent="0.25">
      <c r="A90996"/>
      <c r="B90996"/>
      <c r="C90996"/>
      <c r="E90996"/>
      <c r="F90996"/>
    </row>
    <row r="90997" spans="1:6" x14ac:dyDescent="0.25">
      <c r="A90997"/>
      <c r="B90997"/>
      <c r="C90997"/>
      <c r="E90997"/>
      <c r="F90997"/>
    </row>
    <row r="90998" spans="1:6" x14ac:dyDescent="0.25">
      <c r="A90998"/>
      <c r="B90998"/>
      <c r="C90998"/>
      <c r="E90998"/>
      <c r="F90998"/>
    </row>
    <row r="90999" spans="1:6" x14ac:dyDescent="0.25">
      <c r="A90999"/>
      <c r="B90999"/>
      <c r="C90999"/>
      <c r="E90999"/>
      <c r="F90999"/>
    </row>
    <row r="91000" spans="1:6" x14ac:dyDescent="0.25">
      <c r="A91000"/>
      <c r="B91000"/>
      <c r="C91000"/>
      <c r="E91000"/>
      <c r="F91000"/>
    </row>
    <row r="91001" spans="1:6" x14ac:dyDescent="0.25">
      <c r="A91001"/>
      <c r="B91001"/>
      <c r="C91001"/>
      <c r="E91001"/>
      <c r="F91001"/>
    </row>
    <row r="91002" spans="1:6" x14ac:dyDescent="0.25">
      <c r="A91002"/>
      <c r="B91002"/>
      <c r="C91002"/>
      <c r="E91002"/>
      <c r="F91002"/>
    </row>
    <row r="91003" spans="1:6" x14ac:dyDescent="0.25">
      <c r="A91003"/>
      <c r="B91003"/>
      <c r="C91003"/>
      <c r="E91003"/>
      <c r="F91003"/>
    </row>
    <row r="91004" spans="1:6" x14ac:dyDescent="0.25">
      <c r="A91004"/>
      <c r="B91004"/>
      <c r="C91004"/>
      <c r="E91004"/>
      <c r="F91004"/>
    </row>
    <row r="91005" spans="1:6" x14ac:dyDescent="0.25">
      <c r="A91005"/>
      <c r="B91005"/>
      <c r="C91005"/>
      <c r="E91005"/>
      <c r="F91005"/>
    </row>
    <row r="91006" spans="1:6" x14ac:dyDescent="0.25">
      <c r="A91006"/>
      <c r="B91006"/>
      <c r="C91006"/>
      <c r="E91006"/>
      <c r="F91006"/>
    </row>
    <row r="91007" spans="1:6" x14ac:dyDescent="0.25">
      <c r="A91007"/>
      <c r="B91007"/>
      <c r="C91007"/>
      <c r="E91007"/>
      <c r="F91007"/>
    </row>
    <row r="91008" spans="1:6" x14ac:dyDescent="0.25">
      <c r="A91008"/>
      <c r="B91008"/>
      <c r="C91008"/>
      <c r="E91008"/>
      <c r="F91008"/>
    </row>
    <row r="91009" spans="1:6" x14ac:dyDescent="0.25">
      <c r="A91009"/>
      <c r="B91009"/>
      <c r="C91009"/>
      <c r="E91009"/>
      <c r="F91009"/>
    </row>
    <row r="91010" spans="1:6" x14ac:dyDescent="0.25">
      <c r="A91010"/>
      <c r="B91010"/>
      <c r="C91010"/>
      <c r="E91010"/>
      <c r="F91010"/>
    </row>
    <row r="91011" spans="1:6" x14ac:dyDescent="0.25">
      <c r="A91011"/>
      <c r="B91011"/>
      <c r="C91011"/>
      <c r="E91011"/>
      <c r="F91011"/>
    </row>
    <row r="91012" spans="1:6" x14ac:dyDescent="0.25">
      <c r="A91012"/>
      <c r="B91012"/>
      <c r="C91012"/>
      <c r="E91012"/>
      <c r="F91012"/>
    </row>
    <row r="91013" spans="1:6" x14ac:dyDescent="0.25">
      <c r="A91013"/>
      <c r="B91013"/>
      <c r="C91013"/>
      <c r="E91013"/>
      <c r="F91013"/>
    </row>
    <row r="91014" spans="1:6" x14ac:dyDescent="0.25">
      <c r="A91014"/>
      <c r="B91014"/>
      <c r="C91014"/>
      <c r="E91014"/>
      <c r="F91014"/>
    </row>
    <row r="91015" spans="1:6" x14ac:dyDescent="0.25">
      <c r="A91015"/>
      <c r="B91015"/>
      <c r="C91015"/>
      <c r="E91015"/>
      <c r="F91015"/>
    </row>
    <row r="91016" spans="1:6" x14ac:dyDescent="0.25">
      <c r="A91016"/>
      <c r="B91016"/>
      <c r="C91016"/>
      <c r="E91016"/>
      <c r="F91016"/>
    </row>
    <row r="91017" spans="1:6" x14ac:dyDescent="0.25">
      <c r="A91017"/>
      <c r="B91017"/>
      <c r="C91017"/>
      <c r="E91017"/>
      <c r="F91017"/>
    </row>
    <row r="91018" spans="1:6" x14ac:dyDescent="0.25">
      <c r="A91018"/>
      <c r="B91018"/>
      <c r="C91018"/>
      <c r="E91018"/>
      <c r="F91018"/>
    </row>
    <row r="91019" spans="1:6" x14ac:dyDescent="0.25">
      <c r="A91019"/>
      <c r="B91019"/>
      <c r="C91019"/>
      <c r="E91019"/>
      <c r="F91019"/>
    </row>
    <row r="91020" spans="1:6" x14ac:dyDescent="0.25">
      <c r="A91020"/>
      <c r="B91020"/>
      <c r="C91020"/>
      <c r="E91020"/>
      <c r="F91020"/>
    </row>
    <row r="91021" spans="1:6" x14ac:dyDescent="0.25">
      <c r="A91021"/>
      <c r="B91021"/>
      <c r="C91021"/>
      <c r="E91021"/>
      <c r="F91021"/>
    </row>
    <row r="91022" spans="1:6" x14ac:dyDescent="0.25">
      <c r="A91022"/>
      <c r="B91022"/>
      <c r="C91022"/>
      <c r="E91022"/>
      <c r="F91022"/>
    </row>
    <row r="91023" spans="1:6" x14ac:dyDescent="0.25">
      <c r="A91023"/>
      <c r="B91023"/>
      <c r="C91023"/>
      <c r="E91023"/>
      <c r="F91023"/>
    </row>
    <row r="91024" spans="1:6" x14ac:dyDescent="0.25">
      <c r="A91024"/>
      <c r="B91024"/>
      <c r="C91024"/>
      <c r="E91024"/>
      <c r="F91024"/>
    </row>
    <row r="91025" spans="1:6" x14ac:dyDescent="0.25">
      <c r="A91025"/>
      <c r="B91025"/>
      <c r="C91025"/>
      <c r="E91025"/>
      <c r="F91025"/>
    </row>
    <row r="91026" spans="1:6" x14ac:dyDescent="0.25">
      <c r="A91026"/>
      <c r="B91026"/>
      <c r="C91026"/>
      <c r="E91026"/>
      <c r="F91026"/>
    </row>
    <row r="91027" spans="1:6" x14ac:dyDescent="0.25">
      <c r="A91027"/>
      <c r="B91027"/>
      <c r="C91027"/>
      <c r="E91027"/>
      <c r="F91027"/>
    </row>
    <row r="91028" spans="1:6" x14ac:dyDescent="0.25">
      <c r="A91028"/>
      <c r="B91028"/>
      <c r="C91028"/>
      <c r="E91028"/>
      <c r="F91028"/>
    </row>
    <row r="91029" spans="1:6" x14ac:dyDescent="0.25">
      <c r="A91029"/>
      <c r="B91029"/>
      <c r="C91029"/>
      <c r="E91029"/>
      <c r="F91029"/>
    </row>
    <row r="91030" spans="1:6" x14ac:dyDescent="0.25">
      <c r="A91030"/>
      <c r="B91030"/>
      <c r="C91030"/>
      <c r="E91030"/>
      <c r="F91030"/>
    </row>
    <row r="91031" spans="1:6" x14ac:dyDescent="0.25">
      <c r="A91031"/>
      <c r="B91031"/>
      <c r="C91031"/>
      <c r="E91031"/>
      <c r="F91031"/>
    </row>
    <row r="91032" spans="1:6" x14ac:dyDescent="0.25">
      <c r="A91032"/>
      <c r="B91032"/>
      <c r="C91032"/>
      <c r="E91032"/>
      <c r="F91032"/>
    </row>
    <row r="91033" spans="1:6" x14ac:dyDescent="0.25">
      <c r="A91033"/>
      <c r="B91033"/>
      <c r="C91033"/>
      <c r="E91033"/>
      <c r="F91033"/>
    </row>
    <row r="91034" spans="1:6" x14ac:dyDescent="0.25">
      <c r="A91034"/>
      <c r="B91034"/>
      <c r="C91034"/>
      <c r="E91034"/>
      <c r="F91034"/>
    </row>
    <row r="91035" spans="1:6" x14ac:dyDescent="0.25">
      <c r="A91035"/>
      <c r="B91035"/>
      <c r="C91035"/>
      <c r="E91035"/>
      <c r="F91035"/>
    </row>
    <row r="91036" spans="1:6" x14ac:dyDescent="0.25">
      <c r="A91036"/>
      <c r="B91036"/>
      <c r="C91036"/>
      <c r="E91036"/>
      <c r="F91036"/>
    </row>
    <row r="91037" spans="1:6" x14ac:dyDescent="0.25">
      <c r="A91037"/>
      <c r="B91037"/>
      <c r="C91037"/>
      <c r="E91037"/>
      <c r="F91037"/>
    </row>
    <row r="91038" spans="1:6" x14ac:dyDescent="0.25">
      <c r="A91038"/>
      <c r="B91038"/>
      <c r="C91038"/>
      <c r="E91038"/>
      <c r="F91038"/>
    </row>
    <row r="91039" spans="1:6" x14ac:dyDescent="0.25">
      <c r="A91039"/>
      <c r="B91039"/>
      <c r="C91039"/>
      <c r="E91039"/>
      <c r="F91039"/>
    </row>
    <row r="91040" spans="1:6" x14ac:dyDescent="0.25">
      <c r="A91040"/>
      <c r="B91040"/>
      <c r="C91040"/>
      <c r="E91040"/>
      <c r="F91040"/>
    </row>
    <row r="91041" spans="1:6" x14ac:dyDescent="0.25">
      <c r="A91041"/>
      <c r="B91041"/>
      <c r="C91041"/>
      <c r="E91041"/>
      <c r="F91041"/>
    </row>
    <row r="91042" spans="1:6" x14ac:dyDescent="0.25">
      <c r="A91042"/>
      <c r="B91042"/>
      <c r="C91042"/>
      <c r="E91042"/>
      <c r="F91042"/>
    </row>
    <row r="91043" spans="1:6" x14ac:dyDescent="0.25">
      <c r="A91043"/>
      <c r="B91043"/>
      <c r="C91043"/>
      <c r="E91043"/>
      <c r="F91043"/>
    </row>
    <row r="91044" spans="1:6" x14ac:dyDescent="0.25">
      <c r="A91044"/>
      <c r="B91044"/>
      <c r="C91044"/>
      <c r="E91044"/>
      <c r="F91044"/>
    </row>
    <row r="91045" spans="1:6" x14ac:dyDescent="0.25">
      <c r="A91045"/>
      <c r="B91045"/>
      <c r="C91045"/>
      <c r="E91045"/>
      <c r="F91045"/>
    </row>
    <row r="91046" spans="1:6" x14ac:dyDescent="0.25">
      <c r="A91046"/>
      <c r="B91046"/>
      <c r="C91046"/>
      <c r="E91046"/>
      <c r="F91046"/>
    </row>
    <row r="91047" spans="1:6" x14ac:dyDescent="0.25">
      <c r="A91047"/>
      <c r="B91047"/>
      <c r="C91047"/>
      <c r="E91047"/>
      <c r="F91047"/>
    </row>
    <row r="91048" spans="1:6" x14ac:dyDescent="0.25">
      <c r="A91048"/>
      <c r="B91048"/>
      <c r="C91048"/>
      <c r="E91048"/>
      <c r="F91048"/>
    </row>
    <row r="91049" spans="1:6" x14ac:dyDescent="0.25">
      <c r="A91049"/>
      <c r="B91049"/>
      <c r="C91049"/>
      <c r="E91049"/>
      <c r="F91049"/>
    </row>
    <row r="91050" spans="1:6" x14ac:dyDescent="0.25">
      <c r="A91050"/>
      <c r="B91050"/>
      <c r="C91050"/>
      <c r="E91050"/>
      <c r="F91050"/>
    </row>
    <row r="91051" spans="1:6" x14ac:dyDescent="0.25">
      <c r="A91051"/>
      <c r="B91051"/>
      <c r="C91051"/>
      <c r="E91051"/>
      <c r="F91051"/>
    </row>
    <row r="91052" spans="1:6" x14ac:dyDescent="0.25">
      <c r="A91052"/>
      <c r="B91052"/>
      <c r="C91052"/>
      <c r="E91052"/>
      <c r="F91052"/>
    </row>
    <row r="91053" spans="1:6" x14ac:dyDescent="0.25">
      <c r="A91053"/>
      <c r="B91053"/>
      <c r="C91053"/>
      <c r="E91053"/>
      <c r="F91053"/>
    </row>
    <row r="91054" spans="1:6" x14ac:dyDescent="0.25">
      <c r="A91054"/>
      <c r="B91054"/>
      <c r="C91054"/>
      <c r="E91054"/>
      <c r="F91054"/>
    </row>
    <row r="91055" spans="1:6" x14ac:dyDescent="0.25">
      <c r="A91055"/>
      <c r="B91055"/>
      <c r="C91055"/>
      <c r="E91055"/>
      <c r="F91055"/>
    </row>
    <row r="91056" spans="1:6" x14ac:dyDescent="0.25">
      <c r="A91056"/>
      <c r="B91056"/>
      <c r="C91056"/>
      <c r="E91056"/>
      <c r="F91056"/>
    </row>
    <row r="91057" spans="1:6" x14ac:dyDescent="0.25">
      <c r="A91057"/>
      <c r="B91057"/>
      <c r="C91057"/>
      <c r="E91057"/>
      <c r="F91057"/>
    </row>
    <row r="91058" spans="1:6" x14ac:dyDescent="0.25">
      <c r="A91058"/>
      <c r="B91058"/>
      <c r="C91058"/>
      <c r="E91058"/>
      <c r="F91058"/>
    </row>
    <row r="91059" spans="1:6" x14ac:dyDescent="0.25">
      <c r="A91059"/>
      <c r="B91059"/>
      <c r="C91059"/>
      <c r="E91059"/>
      <c r="F91059"/>
    </row>
    <row r="91060" spans="1:6" x14ac:dyDescent="0.25">
      <c r="A91060"/>
      <c r="B91060"/>
      <c r="C91060"/>
      <c r="E91060"/>
      <c r="F91060"/>
    </row>
    <row r="91061" spans="1:6" x14ac:dyDescent="0.25">
      <c r="A91061"/>
      <c r="B91061"/>
      <c r="C91061"/>
      <c r="E91061"/>
      <c r="F91061"/>
    </row>
    <row r="91062" spans="1:6" x14ac:dyDescent="0.25">
      <c r="A91062"/>
      <c r="B91062"/>
      <c r="C91062"/>
      <c r="E91062"/>
      <c r="F91062"/>
    </row>
    <row r="91063" spans="1:6" x14ac:dyDescent="0.25">
      <c r="A91063"/>
      <c r="B91063"/>
      <c r="C91063"/>
      <c r="E91063"/>
      <c r="F91063"/>
    </row>
    <row r="91064" spans="1:6" x14ac:dyDescent="0.25">
      <c r="A91064"/>
      <c r="B91064"/>
      <c r="C91064"/>
      <c r="E91064"/>
      <c r="F91064"/>
    </row>
    <row r="91065" spans="1:6" x14ac:dyDescent="0.25">
      <c r="A91065"/>
      <c r="B91065"/>
      <c r="C91065"/>
      <c r="E91065"/>
      <c r="F91065"/>
    </row>
    <row r="91066" spans="1:6" x14ac:dyDescent="0.25">
      <c r="A91066"/>
      <c r="B91066"/>
      <c r="C91066"/>
      <c r="E91066"/>
      <c r="F91066"/>
    </row>
    <row r="91067" spans="1:6" x14ac:dyDescent="0.25">
      <c r="A91067"/>
      <c r="B91067"/>
      <c r="C91067"/>
      <c r="E91067"/>
      <c r="F91067"/>
    </row>
    <row r="91068" spans="1:6" x14ac:dyDescent="0.25">
      <c r="A91068"/>
      <c r="B91068"/>
      <c r="C91068"/>
      <c r="E91068"/>
      <c r="F91068"/>
    </row>
    <row r="91069" spans="1:6" x14ac:dyDescent="0.25">
      <c r="A91069"/>
      <c r="B91069"/>
      <c r="C91069"/>
      <c r="E91069"/>
      <c r="F91069"/>
    </row>
    <row r="91070" spans="1:6" x14ac:dyDescent="0.25">
      <c r="A91070"/>
      <c r="B91070"/>
      <c r="C91070"/>
      <c r="E91070"/>
      <c r="F91070"/>
    </row>
    <row r="91071" spans="1:6" x14ac:dyDescent="0.25">
      <c r="A91071"/>
      <c r="B91071"/>
      <c r="C91071"/>
      <c r="E91071"/>
      <c r="F91071"/>
    </row>
    <row r="91072" spans="1:6" x14ac:dyDescent="0.25">
      <c r="A91072"/>
      <c r="B91072"/>
      <c r="C91072"/>
      <c r="E91072"/>
      <c r="F91072"/>
    </row>
    <row r="91073" spans="1:6" x14ac:dyDescent="0.25">
      <c r="A91073"/>
      <c r="B91073"/>
      <c r="C91073"/>
      <c r="E91073"/>
      <c r="F91073"/>
    </row>
    <row r="91074" spans="1:6" x14ac:dyDescent="0.25">
      <c r="A91074"/>
      <c r="B91074"/>
      <c r="C91074"/>
      <c r="E91074"/>
      <c r="F91074"/>
    </row>
    <row r="91075" spans="1:6" x14ac:dyDescent="0.25">
      <c r="A91075"/>
      <c r="B91075"/>
      <c r="C91075"/>
      <c r="E91075"/>
      <c r="F91075"/>
    </row>
    <row r="91076" spans="1:6" x14ac:dyDescent="0.25">
      <c r="A91076"/>
      <c r="B91076"/>
      <c r="C91076"/>
      <c r="E91076"/>
      <c r="F91076"/>
    </row>
    <row r="91077" spans="1:6" x14ac:dyDescent="0.25">
      <c r="A91077"/>
      <c r="B91077"/>
      <c r="C91077"/>
      <c r="E91077"/>
      <c r="F91077"/>
    </row>
    <row r="91078" spans="1:6" x14ac:dyDescent="0.25">
      <c r="A91078"/>
      <c r="B91078"/>
      <c r="C91078"/>
      <c r="E91078"/>
      <c r="F91078"/>
    </row>
    <row r="91079" spans="1:6" x14ac:dyDescent="0.25">
      <c r="A91079"/>
      <c r="B91079"/>
      <c r="C91079"/>
      <c r="E91079"/>
      <c r="F91079"/>
    </row>
    <row r="91080" spans="1:6" x14ac:dyDescent="0.25">
      <c r="A91080"/>
      <c r="B91080"/>
      <c r="C91080"/>
      <c r="E91080"/>
      <c r="F91080"/>
    </row>
    <row r="91081" spans="1:6" x14ac:dyDescent="0.25">
      <c r="A91081"/>
      <c r="B91081"/>
      <c r="C91081"/>
      <c r="E91081"/>
      <c r="F91081"/>
    </row>
    <row r="91082" spans="1:6" x14ac:dyDescent="0.25">
      <c r="A91082"/>
      <c r="B91082"/>
      <c r="C91082"/>
      <c r="E91082"/>
      <c r="F91082"/>
    </row>
    <row r="91083" spans="1:6" x14ac:dyDescent="0.25">
      <c r="A91083"/>
      <c r="B91083"/>
      <c r="C91083"/>
      <c r="E91083"/>
      <c r="F91083"/>
    </row>
    <row r="91084" spans="1:6" x14ac:dyDescent="0.25">
      <c r="A91084"/>
      <c r="B91084"/>
      <c r="C91084"/>
      <c r="E91084"/>
      <c r="F91084"/>
    </row>
    <row r="91085" spans="1:6" x14ac:dyDescent="0.25">
      <c r="A91085"/>
      <c r="B91085"/>
      <c r="C91085"/>
      <c r="E91085"/>
      <c r="F91085"/>
    </row>
    <row r="91086" spans="1:6" x14ac:dyDescent="0.25">
      <c r="A91086"/>
      <c r="B91086"/>
      <c r="C91086"/>
      <c r="E91086"/>
      <c r="F91086"/>
    </row>
    <row r="91087" spans="1:6" x14ac:dyDescent="0.25">
      <c r="A91087"/>
      <c r="B91087"/>
      <c r="C91087"/>
      <c r="E91087"/>
      <c r="F91087"/>
    </row>
    <row r="91088" spans="1:6" x14ac:dyDescent="0.25">
      <c r="A91088"/>
      <c r="B91088"/>
      <c r="C91088"/>
      <c r="E91088"/>
      <c r="F91088"/>
    </row>
    <row r="91089" spans="1:6" x14ac:dyDescent="0.25">
      <c r="A91089"/>
      <c r="B91089"/>
      <c r="C91089"/>
      <c r="E91089"/>
      <c r="F91089"/>
    </row>
    <row r="91090" spans="1:6" x14ac:dyDescent="0.25">
      <c r="A91090"/>
      <c r="B91090"/>
      <c r="C91090"/>
      <c r="E91090"/>
      <c r="F91090"/>
    </row>
    <row r="91091" spans="1:6" x14ac:dyDescent="0.25">
      <c r="A91091"/>
      <c r="B91091"/>
      <c r="C91091"/>
      <c r="E91091"/>
      <c r="F91091"/>
    </row>
    <row r="91092" spans="1:6" x14ac:dyDescent="0.25">
      <c r="A91092"/>
      <c r="B91092"/>
      <c r="C91092"/>
      <c r="E91092"/>
      <c r="F91092"/>
    </row>
    <row r="91093" spans="1:6" x14ac:dyDescent="0.25">
      <c r="A91093"/>
      <c r="B91093"/>
      <c r="C91093"/>
      <c r="E91093"/>
      <c r="F91093"/>
    </row>
    <row r="91094" spans="1:6" x14ac:dyDescent="0.25">
      <c r="A91094"/>
      <c r="B91094"/>
      <c r="C91094"/>
      <c r="E91094"/>
      <c r="F91094"/>
    </row>
    <row r="91095" spans="1:6" x14ac:dyDescent="0.25">
      <c r="A91095"/>
      <c r="B91095"/>
      <c r="C91095"/>
      <c r="E91095"/>
      <c r="F91095"/>
    </row>
    <row r="91096" spans="1:6" x14ac:dyDescent="0.25">
      <c r="A91096"/>
      <c r="B91096"/>
      <c r="C91096"/>
      <c r="E91096"/>
      <c r="F91096"/>
    </row>
    <row r="91097" spans="1:6" x14ac:dyDescent="0.25">
      <c r="A91097"/>
      <c r="B91097"/>
      <c r="C91097"/>
      <c r="E91097"/>
      <c r="F91097"/>
    </row>
    <row r="91098" spans="1:6" x14ac:dyDescent="0.25">
      <c r="A91098"/>
      <c r="B91098"/>
      <c r="C91098"/>
      <c r="E91098"/>
      <c r="F91098"/>
    </row>
    <row r="91099" spans="1:6" x14ac:dyDescent="0.25">
      <c r="A91099"/>
      <c r="B91099"/>
      <c r="C91099"/>
      <c r="E91099"/>
      <c r="F91099"/>
    </row>
    <row r="91100" spans="1:6" x14ac:dyDescent="0.25">
      <c r="A91100"/>
      <c r="B91100"/>
      <c r="C91100"/>
      <c r="E91100"/>
      <c r="F91100"/>
    </row>
    <row r="91101" spans="1:6" x14ac:dyDescent="0.25">
      <c r="A91101"/>
      <c r="B91101"/>
      <c r="C91101"/>
      <c r="E91101"/>
      <c r="F91101"/>
    </row>
    <row r="91102" spans="1:6" x14ac:dyDescent="0.25">
      <c r="A91102"/>
      <c r="B91102"/>
      <c r="C91102"/>
      <c r="E91102"/>
      <c r="F91102"/>
    </row>
    <row r="91103" spans="1:6" x14ac:dyDescent="0.25">
      <c r="A91103"/>
      <c r="B91103"/>
      <c r="C91103"/>
      <c r="E91103"/>
      <c r="F91103"/>
    </row>
    <row r="91104" spans="1:6" x14ac:dyDescent="0.25">
      <c r="A91104"/>
      <c r="B91104"/>
      <c r="C91104"/>
      <c r="E91104"/>
      <c r="F91104"/>
    </row>
    <row r="91105" spans="1:6" x14ac:dyDescent="0.25">
      <c r="A91105"/>
      <c r="B91105"/>
      <c r="C91105"/>
      <c r="E91105"/>
      <c r="F91105"/>
    </row>
    <row r="91106" spans="1:6" x14ac:dyDescent="0.25">
      <c r="A91106"/>
      <c r="B91106"/>
      <c r="C91106"/>
      <c r="E91106"/>
      <c r="F91106"/>
    </row>
    <row r="91107" spans="1:6" x14ac:dyDescent="0.25">
      <c r="A91107"/>
      <c r="B91107"/>
      <c r="C91107"/>
      <c r="E91107"/>
      <c r="F91107"/>
    </row>
    <row r="91108" spans="1:6" x14ac:dyDescent="0.25">
      <c r="A91108"/>
      <c r="B91108"/>
      <c r="C91108"/>
      <c r="E91108"/>
      <c r="F91108"/>
    </row>
    <row r="91109" spans="1:6" x14ac:dyDescent="0.25">
      <c r="A91109"/>
      <c r="B91109"/>
      <c r="C91109"/>
      <c r="E91109"/>
      <c r="F91109"/>
    </row>
    <row r="91110" spans="1:6" x14ac:dyDescent="0.25">
      <c r="A91110"/>
      <c r="B91110"/>
      <c r="C91110"/>
      <c r="E91110"/>
      <c r="F91110"/>
    </row>
    <row r="91111" spans="1:6" x14ac:dyDescent="0.25">
      <c r="A91111"/>
      <c r="B91111"/>
      <c r="C91111"/>
      <c r="E91111"/>
      <c r="F91111"/>
    </row>
    <row r="91112" spans="1:6" x14ac:dyDescent="0.25">
      <c r="A91112"/>
      <c r="B91112"/>
      <c r="C91112"/>
      <c r="E91112"/>
      <c r="F91112"/>
    </row>
    <row r="91113" spans="1:6" x14ac:dyDescent="0.25">
      <c r="A91113"/>
      <c r="B91113"/>
      <c r="C91113"/>
      <c r="E91113"/>
      <c r="F91113"/>
    </row>
    <row r="91114" spans="1:6" x14ac:dyDescent="0.25">
      <c r="A91114"/>
      <c r="B91114"/>
      <c r="C91114"/>
      <c r="E91114"/>
      <c r="F91114"/>
    </row>
    <row r="91115" spans="1:6" x14ac:dyDescent="0.25">
      <c r="A91115"/>
      <c r="B91115"/>
      <c r="C91115"/>
      <c r="E91115"/>
      <c r="F91115"/>
    </row>
    <row r="91116" spans="1:6" x14ac:dyDescent="0.25">
      <c r="A91116"/>
      <c r="B91116"/>
      <c r="C91116"/>
      <c r="E91116"/>
      <c r="F91116"/>
    </row>
    <row r="91117" spans="1:6" x14ac:dyDescent="0.25">
      <c r="A91117"/>
      <c r="B91117"/>
      <c r="C91117"/>
      <c r="E91117"/>
      <c r="F91117"/>
    </row>
    <row r="91118" spans="1:6" x14ac:dyDescent="0.25">
      <c r="A91118"/>
      <c r="B91118"/>
      <c r="C91118"/>
      <c r="E91118"/>
      <c r="F91118"/>
    </row>
    <row r="91119" spans="1:6" x14ac:dyDescent="0.25">
      <c r="A91119"/>
      <c r="B91119"/>
      <c r="C91119"/>
      <c r="E91119"/>
      <c r="F91119"/>
    </row>
    <row r="91120" spans="1:6" x14ac:dyDescent="0.25">
      <c r="A91120"/>
      <c r="B91120"/>
      <c r="C91120"/>
      <c r="E91120"/>
      <c r="F91120"/>
    </row>
    <row r="91121" spans="1:6" x14ac:dyDescent="0.25">
      <c r="A91121"/>
      <c r="B91121"/>
      <c r="C91121"/>
      <c r="E91121"/>
      <c r="F91121"/>
    </row>
    <row r="91122" spans="1:6" x14ac:dyDescent="0.25">
      <c r="A91122"/>
      <c r="B91122"/>
      <c r="C91122"/>
      <c r="E91122"/>
      <c r="F91122"/>
    </row>
    <row r="91123" spans="1:6" x14ac:dyDescent="0.25">
      <c r="A91123"/>
      <c r="B91123"/>
      <c r="C91123"/>
      <c r="E91123"/>
      <c r="F91123"/>
    </row>
    <row r="91124" spans="1:6" x14ac:dyDescent="0.25">
      <c r="A91124"/>
      <c r="B91124"/>
      <c r="C91124"/>
      <c r="E91124"/>
      <c r="F91124"/>
    </row>
    <row r="91125" spans="1:6" x14ac:dyDescent="0.25">
      <c r="A91125"/>
      <c r="B91125"/>
      <c r="C91125"/>
      <c r="E91125"/>
      <c r="F91125"/>
    </row>
    <row r="91126" spans="1:6" x14ac:dyDescent="0.25">
      <c r="A91126"/>
      <c r="B91126"/>
      <c r="C91126"/>
      <c r="E91126"/>
      <c r="F91126"/>
    </row>
    <row r="91127" spans="1:6" x14ac:dyDescent="0.25">
      <c r="A91127"/>
      <c r="B91127"/>
      <c r="C91127"/>
      <c r="E91127"/>
      <c r="F91127"/>
    </row>
    <row r="91128" spans="1:6" x14ac:dyDescent="0.25">
      <c r="A91128"/>
      <c r="B91128"/>
      <c r="C91128"/>
      <c r="E91128"/>
      <c r="F91128"/>
    </row>
    <row r="91129" spans="1:6" x14ac:dyDescent="0.25">
      <c r="A91129"/>
      <c r="B91129"/>
      <c r="C91129"/>
      <c r="E91129"/>
      <c r="F91129"/>
    </row>
    <row r="91130" spans="1:6" x14ac:dyDescent="0.25">
      <c r="A91130"/>
      <c r="B91130"/>
      <c r="C91130"/>
      <c r="E91130"/>
      <c r="F91130"/>
    </row>
    <row r="91131" spans="1:6" x14ac:dyDescent="0.25">
      <c r="A91131"/>
      <c r="B91131"/>
      <c r="C91131"/>
      <c r="E91131"/>
      <c r="F91131"/>
    </row>
    <row r="91132" spans="1:6" x14ac:dyDescent="0.25">
      <c r="A91132"/>
      <c r="B91132"/>
      <c r="C91132"/>
      <c r="E91132"/>
      <c r="F91132"/>
    </row>
    <row r="91133" spans="1:6" x14ac:dyDescent="0.25">
      <c r="A91133"/>
      <c r="B91133"/>
      <c r="C91133"/>
      <c r="E91133"/>
      <c r="F91133"/>
    </row>
    <row r="91134" spans="1:6" x14ac:dyDescent="0.25">
      <c r="A91134"/>
      <c r="B91134"/>
      <c r="C91134"/>
      <c r="E91134"/>
      <c r="F91134"/>
    </row>
    <row r="91135" spans="1:6" x14ac:dyDescent="0.25">
      <c r="A91135"/>
      <c r="B91135"/>
      <c r="C91135"/>
      <c r="E91135"/>
      <c r="F91135"/>
    </row>
    <row r="91136" spans="1:6" x14ac:dyDescent="0.25">
      <c r="A91136"/>
      <c r="B91136"/>
      <c r="C91136"/>
      <c r="E91136"/>
      <c r="F91136"/>
    </row>
    <row r="91137" spans="1:6" x14ac:dyDescent="0.25">
      <c r="A91137"/>
      <c r="B91137"/>
      <c r="C91137"/>
      <c r="E91137"/>
      <c r="F91137"/>
    </row>
    <row r="91138" spans="1:6" x14ac:dyDescent="0.25">
      <c r="A91138"/>
      <c r="B91138"/>
      <c r="C91138"/>
      <c r="E91138"/>
      <c r="F91138"/>
    </row>
    <row r="91139" spans="1:6" x14ac:dyDescent="0.25">
      <c r="A91139"/>
      <c r="B91139"/>
      <c r="C91139"/>
      <c r="E91139"/>
      <c r="F91139"/>
    </row>
    <row r="91140" spans="1:6" x14ac:dyDescent="0.25">
      <c r="A91140"/>
      <c r="B91140"/>
      <c r="C91140"/>
      <c r="E91140"/>
      <c r="F91140"/>
    </row>
    <row r="91141" spans="1:6" x14ac:dyDescent="0.25">
      <c r="A91141"/>
      <c r="B91141"/>
      <c r="C91141"/>
      <c r="E91141"/>
      <c r="F91141"/>
    </row>
    <row r="91142" spans="1:6" x14ac:dyDescent="0.25">
      <c r="A91142"/>
      <c r="B91142"/>
      <c r="C91142"/>
      <c r="E91142"/>
      <c r="F91142"/>
    </row>
    <row r="91143" spans="1:6" x14ac:dyDescent="0.25">
      <c r="A91143"/>
      <c r="B91143"/>
      <c r="C91143"/>
      <c r="E91143"/>
      <c r="F91143"/>
    </row>
    <row r="91144" spans="1:6" x14ac:dyDescent="0.25">
      <c r="A91144"/>
      <c r="B91144"/>
      <c r="C91144"/>
      <c r="E91144"/>
      <c r="F91144"/>
    </row>
    <row r="91145" spans="1:6" x14ac:dyDescent="0.25">
      <c r="A91145"/>
      <c r="B91145"/>
      <c r="C91145"/>
      <c r="E91145"/>
      <c r="F91145"/>
    </row>
    <row r="91146" spans="1:6" x14ac:dyDescent="0.25">
      <c r="A91146"/>
      <c r="B91146"/>
      <c r="C91146"/>
      <c r="E91146"/>
      <c r="F91146"/>
    </row>
    <row r="91147" spans="1:6" x14ac:dyDescent="0.25">
      <c r="A91147"/>
      <c r="B91147"/>
      <c r="C91147"/>
      <c r="E91147"/>
      <c r="F91147"/>
    </row>
    <row r="91148" spans="1:6" x14ac:dyDescent="0.25">
      <c r="A91148"/>
      <c r="B91148"/>
      <c r="C91148"/>
      <c r="E91148"/>
      <c r="F91148"/>
    </row>
    <row r="91149" spans="1:6" x14ac:dyDescent="0.25">
      <c r="A91149"/>
      <c r="B91149"/>
      <c r="C91149"/>
      <c r="E91149"/>
      <c r="F91149"/>
    </row>
    <row r="91150" spans="1:6" x14ac:dyDescent="0.25">
      <c r="A91150"/>
      <c r="B91150"/>
      <c r="C91150"/>
      <c r="E91150"/>
      <c r="F91150"/>
    </row>
    <row r="91151" spans="1:6" x14ac:dyDescent="0.25">
      <c r="A91151"/>
      <c r="B91151"/>
      <c r="C91151"/>
      <c r="E91151"/>
      <c r="F91151"/>
    </row>
    <row r="91152" spans="1:6" x14ac:dyDescent="0.25">
      <c r="A91152"/>
      <c r="B91152"/>
      <c r="C91152"/>
      <c r="E91152"/>
      <c r="F91152"/>
    </row>
    <row r="91153" spans="1:6" x14ac:dyDescent="0.25">
      <c r="A91153"/>
      <c r="B91153"/>
      <c r="C91153"/>
      <c r="E91153"/>
      <c r="F91153"/>
    </row>
    <row r="91154" spans="1:6" x14ac:dyDescent="0.25">
      <c r="A91154"/>
      <c r="B91154"/>
      <c r="C91154"/>
      <c r="E91154"/>
      <c r="F91154"/>
    </row>
    <row r="91155" spans="1:6" x14ac:dyDescent="0.25">
      <c r="A91155"/>
      <c r="B91155"/>
      <c r="C91155"/>
      <c r="E91155"/>
      <c r="F91155"/>
    </row>
    <row r="91156" spans="1:6" x14ac:dyDescent="0.25">
      <c r="A91156"/>
      <c r="B91156"/>
      <c r="C91156"/>
      <c r="E91156"/>
      <c r="F91156"/>
    </row>
    <row r="91157" spans="1:6" x14ac:dyDescent="0.25">
      <c r="A91157"/>
      <c r="B91157"/>
      <c r="C91157"/>
      <c r="E91157"/>
      <c r="F91157"/>
    </row>
    <row r="91158" spans="1:6" x14ac:dyDescent="0.25">
      <c r="A91158"/>
      <c r="B91158"/>
      <c r="C91158"/>
      <c r="E91158"/>
      <c r="F91158"/>
    </row>
    <row r="91159" spans="1:6" x14ac:dyDescent="0.25">
      <c r="A91159"/>
      <c r="B91159"/>
      <c r="C91159"/>
      <c r="E91159"/>
      <c r="F91159"/>
    </row>
    <row r="91160" spans="1:6" x14ac:dyDescent="0.25">
      <c r="A91160"/>
      <c r="B91160"/>
      <c r="C91160"/>
      <c r="E91160"/>
      <c r="F91160"/>
    </row>
    <row r="91161" spans="1:6" x14ac:dyDescent="0.25">
      <c r="A91161"/>
      <c r="B91161"/>
      <c r="C91161"/>
      <c r="E91161"/>
      <c r="F91161"/>
    </row>
    <row r="91162" spans="1:6" x14ac:dyDescent="0.25">
      <c r="A91162"/>
      <c r="B91162"/>
      <c r="C91162"/>
      <c r="E91162"/>
      <c r="F91162"/>
    </row>
    <row r="91163" spans="1:6" x14ac:dyDescent="0.25">
      <c r="A91163"/>
      <c r="B91163"/>
      <c r="C91163"/>
      <c r="E91163"/>
      <c r="F91163"/>
    </row>
    <row r="91164" spans="1:6" x14ac:dyDescent="0.25">
      <c r="A91164"/>
      <c r="B91164"/>
      <c r="C91164"/>
      <c r="E91164"/>
      <c r="F91164"/>
    </row>
    <row r="91165" spans="1:6" x14ac:dyDescent="0.25">
      <c r="A91165"/>
      <c r="B91165"/>
      <c r="C91165"/>
      <c r="E91165"/>
      <c r="F91165"/>
    </row>
    <row r="91166" spans="1:6" x14ac:dyDescent="0.25">
      <c r="A91166"/>
      <c r="B91166"/>
      <c r="C91166"/>
      <c r="E91166"/>
      <c r="F91166"/>
    </row>
    <row r="91167" spans="1:6" x14ac:dyDescent="0.25">
      <c r="A91167"/>
      <c r="B91167"/>
      <c r="C91167"/>
      <c r="E91167"/>
      <c r="F91167"/>
    </row>
    <row r="91168" spans="1:6" x14ac:dyDescent="0.25">
      <c r="A91168"/>
      <c r="B91168"/>
      <c r="C91168"/>
      <c r="E91168"/>
      <c r="F91168"/>
    </row>
    <row r="91169" spans="1:6" x14ac:dyDescent="0.25">
      <c r="A91169"/>
      <c r="B91169"/>
      <c r="C91169"/>
      <c r="E91169"/>
      <c r="F91169"/>
    </row>
    <row r="91170" spans="1:6" x14ac:dyDescent="0.25">
      <c r="A91170"/>
      <c r="B91170"/>
      <c r="C91170"/>
      <c r="E91170"/>
      <c r="F91170"/>
    </row>
    <row r="91171" spans="1:6" x14ac:dyDescent="0.25">
      <c r="A91171"/>
      <c r="B91171"/>
      <c r="C91171"/>
      <c r="E91171"/>
      <c r="F91171"/>
    </row>
    <row r="91172" spans="1:6" x14ac:dyDescent="0.25">
      <c r="A91172"/>
      <c r="B91172"/>
      <c r="C91172"/>
      <c r="E91172"/>
      <c r="F91172"/>
    </row>
    <row r="91173" spans="1:6" x14ac:dyDescent="0.25">
      <c r="A91173"/>
      <c r="B91173"/>
      <c r="C91173"/>
      <c r="E91173"/>
      <c r="F91173"/>
    </row>
    <row r="91174" spans="1:6" x14ac:dyDescent="0.25">
      <c r="A91174"/>
      <c r="B91174"/>
      <c r="C91174"/>
      <c r="E91174"/>
      <c r="F91174"/>
    </row>
    <row r="91175" spans="1:6" x14ac:dyDescent="0.25">
      <c r="A91175"/>
      <c r="B91175"/>
      <c r="C91175"/>
      <c r="E91175"/>
      <c r="F91175"/>
    </row>
    <row r="91176" spans="1:6" x14ac:dyDescent="0.25">
      <c r="A91176"/>
      <c r="B91176"/>
      <c r="C91176"/>
      <c r="E91176"/>
      <c r="F91176"/>
    </row>
    <row r="91177" spans="1:6" x14ac:dyDescent="0.25">
      <c r="A91177"/>
      <c r="B91177"/>
      <c r="C91177"/>
      <c r="E91177"/>
      <c r="F91177"/>
    </row>
    <row r="91178" spans="1:6" x14ac:dyDescent="0.25">
      <c r="A91178"/>
      <c r="B91178"/>
      <c r="C91178"/>
      <c r="E91178"/>
      <c r="F91178"/>
    </row>
    <row r="91179" spans="1:6" x14ac:dyDescent="0.25">
      <c r="A91179"/>
      <c r="B91179"/>
      <c r="C91179"/>
      <c r="E91179"/>
      <c r="F91179"/>
    </row>
    <row r="91180" spans="1:6" x14ac:dyDescent="0.25">
      <c r="A91180"/>
      <c r="B91180"/>
      <c r="C91180"/>
      <c r="E91180"/>
      <c r="F91180"/>
    </row>
    <row r="91181" spans="1:6" x14ac:dyDescent="0.25">
      <c r="A91181"/>
      <c r="B91181"/>
      <c r="C91181"/>
      <c r="E91181"/>
      <c r="F91181"/>
    </row>
    <row r="91182" spans="1:6" x14ac:dyDescent="0.25">
      <c r="A91182"/>
      <c r="B91182"/>
      <c r="C91182"/>
      <c r="E91182"/>
      <c r="F91182"/>
    </row>
    <row r="91183" spans="1:6" x14ac:dyDescent="0.25">
      <c r="A91183"/>
      <c r="B91183"/>
      <c r="C91183"/>
      <c r="E91183"/>
      <c r="F91183"/>
    </row>
    <row r="91184" spans="1:6" x14ac:dyDescent="0.25">
      <c r="A91184"/>
      <c r="B91184"/>
      <c r="C91184"/>
      <c r="E91184"/>
      <c r="F91184"/>
    </row>
    <row r="91185" spans="1:6" x14ac:dyDescent="0.25">
      <c r="A91185"/>
      <c r="B91185"/>
      <c r="C91185"/>
      <c r="E91185"/>
      <c r="F91185"/>
    </row>
    <row r="91186" spans="1:6" x14ac:dyDescent="0.25">
      <c r="A91186"/>
      <c r="B91186"/>
      <c r="C91186"/>
      <c r="E91186"/>
      <c r="F91186"/>
    </row>
    <row r="91187" spans="1:6" x14ac:dyDescent="0.25">
      <c r="A91187"/>
      <c r="B91187"/>
      <c r="C91187"/>
      <c r="E91187"/>
      <c r="F91187"/>
    </row>
    <row r="91188" spans="1:6" x14ac:dyDescent="0.25">
      <c r="A91188"/>
      <c r="B91188"/>
      <c r="C91188"/>
      <c r="E91188"/>
      <c r="F91188"/>
    </row>
    <row r="91189" spans="1:6" x14ac:dyDescent="0.25">
      <c r="A91189"/>
      <c r="B91189"/>
      <c r="C91189"/>
      <c r="E91189"/>
      <c r="F91189"/>
    </row>
    <row r="91190" spans="1:6" x14ac:dyDescent="0.25">
      <c r="A91190"/>
      <c r="B91190"/>
      <c r="C91190"/>
      <c r="E91190"/>
      <c r="F91190"/>
    </row>
    <row r="91191" spans="1:6" x14ac:dyDescent="0.25">
      <c r="A91191"/>
      <c r="B91191"/>
      <c r="C91191"/>
      <c r="E91191"/>
      <c r="F91191"/>
    </row>
    <row r="91192" spans="1:6" x14ac:dyDescent="0.25">
      <c r="A91192"/>
      <c r="B91192"/>
      <c r="C91192"/>
      <c r="E91192"/>
      <c r="F91192"/>
    </row>
    <row r="91193" spans="1:6" x14ac:dyDescent="0.25">
      <c r="A91193"/>
      <c r="B91193"/>
      <c r="C91193"/>
      <c r="E91193"/>
      <c r="F91193"/>
    </row>
    <row r="91194" spans="1:6" x14ac:dyDescent="0.25">
      <c r="A91194"/>
      <c r="B91194"/>
      <c r="C91194"/>
      <c r="E91194"/>
      <c r="F91194"/>
    </row>
    <row r="91195" spans="1:6" x14ac:dyDescent="0.25">
      <c r="A91195"/>
      <c r="B91195"/>
      <c r="C91195"/>
      <c r="E91195"/>
      <c r="F91195"/>
    </row>
    <row r="91196" spans="1:6" x14ac:dyDescent="0.25">
      <c r="A91196"/>
      <c r="B91196"/>
      <c r="C91196"/>
      <c r="E91196"/>
      <c r="F91196"/>
    </row>
    <row r="91197" spans="1:6" x14ac:dyDescent="0.25">
      <c r="A91197"/>
      <c r="B91197"/>
      <c r="C91197"/>
      <c r="E91197"/>
      <c r="F91197"/>
    </row>
    <row r="91198" spans="1:6" x14ac:dyDescent="0.25">
      <c r="A91198"/>
      <c r="B91198"/>
      <c r="C91198"/>
      <c r="E91198"/>
      <c r="F91198"/>
    </row>
    <row r="91199" spans="1:6" x14ac:dyDescent="0.25">
      <c r="A91199"/>
      <c r="B91199"/>
      <c r="C91199"/>
      <c r="E91199"/>
      <c r="F91199"/>
    </row>
    <row r="91200" spans="1:6" x14ac:dyDescent="0.25">
      <c r="A91200"/>
      <c r="B91200"/>
      <c r="C91200"/>
      <c r="E91200"/>
      <c r="F91200"/>
    </row>
    <row r="91201" spans="1:6" x14ac:dyDescent="0.25">
      <c r="A91201"/>
      <c r="B91201"/>
      <c r="C91201"/>
      <c r="E91201"/>
      <c r="F91201"/>
    </row>
    <row r="91202" spans="1:6" x14ac:dyDescent="0.25">
      <c r="A91202"/>
      <c r="B91202"/>
      <c r="C91202"/>
      <c r="E91202"/>
      <c r="F91202"/>
    </row>
    <row r="91203" spans="1:6" x14ac:dyDescent="0.25">
      <c r="A91203"/>
      <c r="B91203"/>
      <c r="C91203"/>
      <c r="E91203"/>
      <c r="F91203"/>
    </row>
    <row r="91204" spans="1:6" x14ac:dyDescent="0.25">
      <c r="A91204"/>
      <c r="B91204"/>
      <c r="C91204"/>
      <c r="E91204"/>
      <c r="F91204"/>
    </row>
    <row r="91205" spans="1:6" x14ac:dyDescent="0.25">
      <c r="A91205"/>
      <c r="B91205"/>
      <c r="C91205"/>
      <c r="E91205"/>
      <c r="F91205"/>
    </row>
    <row r="91206" spans="1:6" x14ac:dyDescent="0.25">
      <c r="A91206"/>
      <c r="B91206"/>
      <c r="C91206"/>
      <c r="E91206"/>
      <c r="F91206"/>
    </row>
    <row r="91207" spans="1:6" x14ac:dyDescent="0.25">
      <c r="A91207"/>
      <c r="B91207"/>
      <c r="C91207"/>
      <c r="E91207"/>
      <c r="F91207"/>
    </row>
    <row r="91208" spans="1:6" x14ac:dyDescent="0.25">
      <c r="A91208"/>
      <c r="B91208"/>
      <c r="C91208"/>
      <c r="E91208"/>
      <c r="F91208"/>
    </row>
    <row r="91209" spans="1:6" x14ac:dyDescent="0.25">
      <c r="A91209"/>
      <c r="B91209"/>
      <c r="C91209"/>
      <c r="E91209"/>
      <c r="F91209"/>
    </row>
    <row r="91210" spans="1:6" x14ac:dyDescent="0.25">
      <c r="A91210"/>
      <c r="B91210"/>
      <c r="C91210"/>
      <c r="E91210"/>
      <c r="F91210"/>
    </row>
    <row r="91211" spans="1:6" x14ac:dyDescent="0.25">
      <c r="A91211"/>
      <c r="B91211"/>
      <c r="C91211"/>
      <c r="E91211"/>
      <c r="F91211"/>
    </row>
    <row r="91212" spans="1:6" x14ac:dyDescent="0.25">
      <c r="A91212"/>
      <c r="B91212"/>
      <c r="C91212"/>
      <c r="E91212"/>
      <c r="F91212"/>
    </row>
    <row r="91213" spans="1:6" x14ac:dyDescent="0.25">
      <c r="A91213"/>
      <c r="B91213"/>
      <c r="C91213"/>
      <c r="E91213"/>
      <c r="F91213"/>
    </row>
    <row r="91214" spans="1:6" x14ac:dyDescent="0.25">
      <c r="A91214"/>
      <c r="B91214"/>
      <c r="C91214"/>
      <c r="E91214"/>
      <c r="F91214"/>
    </row>
    <row r="91215" spans="1:6" x14ac:dyDescent="0.25">
      <c r="A91215"/>
      <c r="B91215"/>
      <c r="C91215"/>
      <c r="E91215"/>
      <c r="F91215"/>
    </row>
    <row r="91216" spans="1:6" x14ac:dyDescent="0.25">
      <c r="A91216"/>
      <c r="B91216"/>
      <c r="C91216"/>
      <c r="E91216"/>
      <c r="F91216"/>
    </row>
    <row r="91217" spans="1:6" x14ac:dyDescent="0.25">
      <c r="A91217"/>
      <c r="B91217"/>
      <c r="C91217"/>
      <c r="E91217"/>
      <c r="F91217"/>
    </row>
    <row r="91218" spans="1:6" x14ac:dyDescent="0.25">
      <c r="A91218"/>
      <c r="B91218"/>
      <c r="C91218"/>
      <c r="E91218"/>
      <c r="F91218"/>
    </row>
    <row r="91219" spans="1:6" x14ac:dyDescent="0.25">
      <c r="A91219"/>
      <c r="B91219"/>
      <c r="C91219"/>
      <c r="E91219"/>
      <c r="F91219"/>
    </row>
    <row r="91220" spans="1:6" x14ac:dyDescent="0.25">
      <c r="A91220"/>
      <c r="B91220"/>
      <c r="C91220"/>
      <c r="E91220"/>
      <c r="F91220"/>
    </row>
    <row r="91221" spans="1:6" x14ac:dyDescent="0.25">
      <c r="A91221"/>
      <c r="B91221"/>
      <c r="C91221"/>
      <c r="E91221"/>
      <c r="F91221"/>
    </row>
    <row r="91222" spans="1:6" x14ac:dyDescent="0.25">
      <c r="A91222"/>
      <c r="B91222"/>
      <c r="C91222"/>
      <c r="E91222"/>
      <c r="F91222"/>
    </row>
    <row r="91223" spans="1:6" x14ac:dyDescent="0.25">
      <c r="A91223"/>
      <c r="B91223"/>
      <c r="C91223"/>
      <c r="E91223"/>
      <c r="F91223"/>
    </row>
    <row r="91224" spans="1:6" x14ac:dyDescent="0.25">
      <c r="A91224"/>
      <c r="B91224"/>
      <c r="C91224"/>
      <c r="E91224"/>
      <c r="F91224"/>
    </row>
    <row r="91225" spans="1:6" x14ac:dyDescent="0.25">
      <c r="A91225"/>
      <c r="B91225"/>
      <c r="C91225"/>
      <c r="E91225"/>
      <c r="F91225"/>
    </row>
    <row r="91226" spans="1:6" x14ac:dyDescent="0.25">
      <c r="A91226"/>
      <c r="B91226"/>
      <c r="C91226"/>
      <c r="E91226"/>
      <c r="F91226"/>
    </row>
    <row r="91227" spans="1:6" x14ac:dyDescent="0.25">
      <c r="A91227"/>
      <c r="B91227"/>
      <c r="C91227"/>
      <c r="E91227"/>
      <c r="F91227"/>
    </row>
    <row r="91228" spans="1:6" x14ac:dyDescent="0.25">
      <c r="A91228"/>
      <c r="B91228"/>
      <c r="C91228"/>
      <c r="E91228"/>
      <c r="F91228"/>
    </row>
    <row r="91229" spans="1:6" x14ac:dyDescent="0.25">
      <c r="A91229"/>
      <c r="B91229"/>
      <c r="C91229"/>
      <c r="E91229"/>
      <c r="F91229"/>
    </row>
    <row r="91230" spans="1:6" x14ac:dyDescent="0.25">
      <c r="A91230"/>
      <c r="B91230"/>
      <c r="C91230"/>
      <c r="E91230"/>
      <c r="F91230"/>
    </row>
    <row r="91231" spans="1:6" x14ac:dyDescent="0.25">
      <c r="A91231"/>
      <c r="B91231"/>
      <c r="C91231"/>
      <c r="E91231"/>
      <c r="F91231"/>
    </row>
    <row r="91232" spans="1:6" x14ac:dyDescent="0.25">
      <c r="A91232"/>
      <c r="B91232"/>
      <c r="C91232"/>
      <c r="E91232"/>
      <c r="F91232"/>
    </row>
    <row r="91233" spans="1:6" x14ac:dyDescent="0.25">
      <c r="A91233"/>
      <c r="B91233"/>
      <c r="C91233"/>
      <c r="E91233"/>
      <c r="F91233"/>
    </row>
    <row r="91234" spans="1:6" x14ac:dyDescent="0.25">
      <c r="A91234"/>
      <c r="B91234"/>
      <c r="C91234"/>
      <c r="E91234"/>
      <c r="F91234"/>
    </row>
    <row r="91235" spans="1:6" x14ac:dyDescent="0.25">
      <c r="A91235"/>
      <c r="B91235"/>
      <c r="C91235"/>
      <c r="E91235"/>
      <c r="F91235"/>
    </row>
    <row r="91236" spans="1:6" x14ac:dyDescent="0.25">
      <c r="A91236"/>
      <c r="B91236"/>
      <c r="C91236"/>
      <c r="E91236"/>
      <c r="F91236"/>
    </row>
    <row r="91237" spans="1:6" x14ac:dyDescent="0.25">
      <c r="A91237"/>
      <c r="B91237"/>
      <c r="C91237"/>
      <c r="E91237"/>
      <c r="F91237"/>
    </row>
    <row r="91238" spans="1:6" x14ac:dyDescent="0.25">
      <c r="A91238"/>
      <c r="B91238"/>
      <c r="C91238"/>
      <c r="E91238"/>
      <c r="F91238"/>
    </row>
    <row r="91239" spans="1:6" x14ac:dyDescent="0.25">
      <c r="A91239"/>
      <c r="B91239"/>
      <c r="C91239"/>
      <c r="E91239"/>
      <c r="F91239"/>
    </row>
    <row r="91240" spans="1:6" x14ac:dyDescent="0.25">
      <c r="A91240"/>
      <c r="B91240"/>
      <c r="C91240"/>
      <c r="E91240"/>
      <c r="F91240"/>
    </row>
    <row r="91241" spans="1:6" x14ac:dyDescent="0.25">
      <c r="A91241"/>
      <c r="B91241"/>
      <c r="C91241"/>
      <c r="E91241"/>
      <c r="F91241"/>
    </row>
    <row r="91242" spans="1:6" x14ac:dyDescent="0.25">
      <c r="A91242"/>
      <c r="B91242"/>
      <c r="C91242"/>
      <c r="E91242"/>
      <c r="F91242"/>
    </row>
    <row r="91243" spans="1:6" x14ac:dyDescent="0.25">
      <c r="A91243"/>
      <c r="B91243"/>
      <c r="C91243"/>
      <c r="E91243"/>
      <c r="F91243"/>
    </row>
    <row r="91244" spans="1:6" x14ac:dyDescent="0.25">
      <c r="A91244"/>
      <c r="B91244"/>
      <c r="C91244"/>
      <c r="E91244"/>
      <c r="F91244"/>
    </row>
    <row r="91245" spans="1:6" x14ac:dyDescent="0.25">
      <c r="A91245"/>
      <c r="B91245"/>
      <c r="C91245"/>
      <c r="E91245"/>
      <c r="F91245"/>
    </row>
    <row r="91246" spans="1:6" x14ac:dyDescent="0.25">
      <c r="A91246"/>
      <c r="B91246"/>
      <c r="C91246"/>
      <c r="E91246"/>
      <c r="F91246"/>
    </row>
    <row r="91247" spans="1:6" x14ac:dyDescent="0.25">
      <c r="A91247"/>
      <c r="B91247"/>
      <c r="C91247"/>
      <c r="E91247"/>
      <c r="F91247"/>
    </row>
    <row r="91248" spans="1:6" x14ac:dyDescent="0.25">
      <c r="A91248"/>
      <c r="B91248"/>
      <c r="C91248"/>
      <c r="E91248"/>
      <c r="F91248"/>
    </row>
    <row r="91249" spans="1:6" x14ac:dyDescent="0.25">
      <c r="A91249"/>
      <c r="B91249"/>
      <c r="C91249"/>
      <c r="E91249"/>
      <c r="F91249"/>
    </row>
    <row r="91250" spans="1:6" x14ac:dyDescent="0.25">
      <c r="A91250"/>
      <c r="B91250"/>
      <c r="C91250"/>
      <c r="E91250"/>
      <c r="F91250"/>
    </row>
    <row r="91251" spans="1:6" x14ac:dyDescent="0.25">
      <c r="A91251"/>
      <c r="B91251"/>
      <c r="C91251"/>
      <c r="E91251"/>
      <c r="F91251"/>
    </row>
    <row r="91252" spans="1:6" x14ac:dyDescent="0.25">
      <c r="A91252"/>
      <c r="B91252"/>
      <c r="C91252"/>
      <c r="E91252"/>
      <c r="F91252"/>
    </row>
    <row r="91253" spans="1:6" x14ac:dyDescent="0.25">
      <c r="A91253"/>
      <c r="B91253"/>
      <c r="C91253"/>
      <c r="E91253"/>
      <c r="F91253"/>
    </row>
    <row r="91254" spans="1:6" x14ac:dyDescent="0.25">
      <c r="A91254"/>
      <c r="B91254"/>
      <c r="C91254"/>
      <c r="E91254"/>
      <c r="F91254"/>
    </row>
    <row r="91255" spans="1:6" x14ac:dyDescent="0.25">
      <c r="A91255"/>
      <c r="B91255"/>
      <c r="C91255"/>
      <c r="E91255"/>
      <c r="F91255"/>
    </row>
    <row r="91256" spans="1:6" x14ac:dyDescent="0.25">
      <c r="A91256"/>
      <c r="B91256"/>
      <c r="C91256"/>
      <c r="E91256"/>
      <c r="F91256"/>
    </row>
    <row r="91257" spans="1:6" x14ac:dyDescent="0.25">
      <c r="A91257"/>
      <c r="B91257"/>
      <c r="C91257"/>
      <c r="E91257"/>
      <c r="F91257"/>
    </row>
    <row r="91258" spans="1:6" x14ac:dyDescent="0.25">
      <c r="A91258"/>
      <c r="B91258"/>
      <c r="C91258"/>
      <c r="E91258"/>
      <c r="F91258"/>
    </row>
    <row r="91259" spans="1:6" x14ac:dyDescent="0.25">
      <c r="A91259"/>
      <c r="B91259"/>
      <c r="C91259"/>
      <c r="E91259"/>
      <c r="F91259"/>
    </row>
    <row r="91260" spans="1:6" x14ac:dyDescent="0.25">
      <c r="A91260"/>
      <c r="B91260"/>
      <c r="C91260"/>
      <c r="E91260"/>
      <c r="F91260"/>
    </row>
    <row r="91261" spans="1:6" x14ac:dyDescent="0.25">
      <c r="A91261"/>
      <c r="B91261"/>
      <c r="C91261"/>
      <c r="E91261"/>
      <c r="F91261"/>
    </row>
    <row r="91262" spans="1:6" x14ac:dyDescent="0.25">
      <c r="A91262"/>
      <c r="B91262"/>
      <c r="C91262"/>
      <c r="E91262"/>
      <c r="F91262"/>
    </row>
    <row r="91263" spans="1:6" x14ac:dyDescent="0.25">
      <c r="A91263"/>
      <c r="B91263"/>
      <c r="C91263"/>
      <c r="E91263"/>
      <c r="F91263"/>
    </row>
    <row r="91264" spans="1:6" x14ac:dyDescent="0.25">
      <c r="A91264"/>
      <c r="B91264"/>
      <c r="C91264"/>
      <c r="E91264"/>
      <c r="F91264"/>
    </row>
    <row r="91265" spans="1:6" x14ac:dyDescent="0.25">
      <c r="A91265"/>
      <c r="B91265"/>
      <c r="C91265"/>
      <c r="E91265"/>
      <c r="F91265"/>
    </row>
    <row r="91266" spans="1:6" x14ac:dyDescent="0.25">
      <c r="A91266"/>
      <c r="B91266"/>
      <c r="C91266"/>
      <c r="E91266"/>
      <c r="F91266"/>
    </row>
    <row r="91267" spans="1:6" x14ac:dyDescent="0.25">
      <c r="A91267"/>
      <c r="B91267"/>
      <c r="C91267"/>
      <c r="E91267"/>
      <c r="F91267"/>
    </row>
    <row r="91268" spans="1:6" x14ac:dyDescent="0.25">
      <c r="A91268"/>
      <c r="B91268"/>
      <c r="C91268"/>
      <c r="E91268"/>
      <c r="F91268"/>
    </row>
    <row r="91269" spans="1:6" x14ac:dyDescent="0.25">
      <c r="A91269"/>
      <c r="B91269"/>
      <c r="C91269"/>
      <c r="E91269"/>
      <c r="F91269"/>
    </row>
    <row r="91270" spans="1:6" x14ac:dyDescent="0.25">
      <c r="A91270"/>
      <c r="B91270"/>
      <c r="C91270"/>
      <c r="E91270"/>
      <c r="F91270"/>
    </row>
    <row r="91271" spans="1:6" x14ac:dyDescent="0.25">
      <c r="A91271"/>
      <c r="B91271"/>
      <c r="C91271"/>
      <c r="E91271"/>
      <c r="F91271"/>
    </row>
    <row r="91272" spans="1:6" x14ac:dyDescent="0.25">
      <c r="A91272"/>
      <c r="B91272"/>
      <c r="C91272"/>
      <c r="E91272"/>
      <c r="F91272"/>
    </row>
    <row r="91273" spans="1:6" x14ac:dyDescent="0.25">
      <c r="A91273"/>
      <c r="B91273"/>
      <c r="C91273"/>
      <c r="E91273"/>
      <c r="F91273"/>
    </row>
    <row r="91274" spans="1:6" x14ac:dyDescent="0.25">
      <c r="A91274"/>
      <c r="B91274"/>
      <c r="C91274"/>
      <c r="E91274"/>
      <c r="F91274"/>
    </row>
    <row r="91275" spans="1:6" x14ac:dyDescent="0.25">
      <c r="A91275"/>
      <c r="B91275"/>
      <c r="C91275"/>
      <c r="E91275"/>
      <c r="F91275"/>
    </row>
    <row r="91276" spans="1:6" x14ac:dyDescent="0.25">
      <c r="A91276"/>
      <c r="B91276"/>
      <c r="C91276"/>
      <c r="E91276"/>
      <c r="F91276"/>
    </row>
    <row r="91277" spans="1:6" x14ac:dyDescent="0.25">
      <c r="A91277"/>
      <c r="B91277"/>
      <c r="C91277"/>
      <c r="E91277"/>
      <c r="F91277"/>
    </row>
    <row r="91278" spans="1:6" x14ac:dyDescent="0.25">
      <c r="A91278"/>
      <c r="B91278"/>
      <c r="C91278"/>
      <c r="E91278"/>
      <c r="F91278"/>
    </row>
    <row r="91279" spans="1:6" x14ac:dyDescent="0.25">
      <c r="A91279"/>
      <c r="B91279"/>
      <c r="C91279"/>
      <c r="E91279"/>
      <c r="F91279"/>
    </row>
    <row r="91280" spans="1:6" x14ac:dyDescent="0.25">
      <c r="A91280"/>
      <c r="B91280"/>
      <c r="C91280"/>
      <c r="E91280"/>
      <c r="F91280"/>
    </row>
    <row r="91281" spans="1:6" x14ac:dyDescent="0.25">
      <c r="A91281"/>
      <c r="B91281"/>
      <c r="C91281"/>
      <c r="E91281"/>
      <c r="F91281"/>
    </row>
    <row r="91282" spans="1:6" x14ac:dyDescent="0.25">
      <c r="A91282"/>
      <c r="B91282"/>
      <c r="C91282"/>
      <c r="E91282"/>
      <c r="F91282"/>
    </row>
    <row r="91283" spans="1:6" x14ac:dyDescent="0.25">
      <c r="A91283"/>
      <c r="B91283"/>
      <c r="C91283"/>
      <c r="E91283"/>
      <c r="F91283"/>
    </row>
    <row r="91284" spans="1:6" x14ac:dyDescent="0.25">
      <c r="A91284"/>
      <c r="B91284"/>
      <c r="C91284"/>
      <c r="E91284"/>
      <c r="F91284"/>
    </row>
    <row r="91285" spans="1:6" x14ac:dyDescent="0.25">
      <c r="A91285"/>
      <c r="B91285"/>
      <c r="C91285"/>
      <c r="E91285"/>
      <c r="F91285"/>
    </row>
    <row r="91286" spans="1:6" x14ac:dyDescent="0.25">
      <c r="A91286"/>
      <c r="B91286"/>
      <c r="C91286"/>
      <c r="E91286"/>
      <c r="F91286"/>
    </row>
    <row r="91287" spans="1:6" x14ac:dyDescent="0.25">
      <c r="A91287"/>
      <c r="B91287"/>
      <c r="C91287"/>
      <c r="E91287"/>
      <c r="F91287"/>
    </row>
    <row r="91288" spans="1:6" x14ac:dyDescent="0.25">
      <c r="A91288"/>
      <c r="B91288"/>
      <c r="C91288"/>
      <c r="E91288"/>
      <c r="F91288"/>
    </row>
    <row r="91289" spans="1:6" x14ac:dyDescent="0.25">
      <c r="A91289"/>
      <c r="B91289"/>
      <c r="C91289"/>
      <c r="E91289"/>
      <c r="F91289"/>
    </row>
    <row r="91290" spans="1:6" x14ac:dyDescent="0.25">
      <c r="A91290"/>
      <c r="B91290"/>
      <c r="C91290"/>
      <c r="E91290"/>
      <c r="F91290"/>
    </row>
    <row r="91291" spans="1:6" x14ac:dyDescent="0.25">
      <c r="A91291"/>
      <c r="B91291"/>
      <c r="C91291"/>
      <c r="E91291"/>
      <c r="F91291"/>
    </row>
    <row r="91292" spans="1:6" x14ac:dyDescent="0.25">
      <c r="A91292"/>
      <c r="B91292"/>
      <c r="C91292"/>
      <c r="E91292"/>
      <c r="F91292"/>
    </row>
    <row r="91293" spans="1:6" x14ac:dyDescent="0.25">
      <c r="A91293"/>
      <c r="B91293"/>
      <c r="C91293"/>
      <c r="E91293"/>
      <c r="F91293"/>
    </row>
    <row r="91294" spans="1:6" x14ac:dyDescent="0.25">
      <c r="A91294"/>
      <c r="B91294"/>
      <c r="C91294"/>
      <c r="E91294"/>
      <c r="F91294"/>
    </row>
    <row r="91295" spans="1:6" x14ac:dyDescent="0.25">
      <c r="A91295"/>
      <c r="B91295"/>
      <c r="C91295"/>
      <c r="E91295"/>
      <c r="F91295"/>
    </row>
    <row r="91296" spans="1:6" x14ac:dyDescent="0.25">
      <c r="A91296"/>
      <c r="B91296"/>
      <c r="C91296"/>
      <c r="E91296"/>
      <c r="F91296"/>
    </row>
    <row r="91297" spans="1:6" x14ac:dyDescent="0.25">
      <c r="A91297"/>
      <c r="B91297"/>
      <c r="C91297"/>
      <c r="E91297"/>
      <c r="F91297"/>
    </row>
    <row r="91298" spans="1:6" x14ac:dyDescent="0.25">
      <c r="A91298"/>
      <c r="B91298"/>
      <c r="C91298"/>
      <c r="E91298"/>
      <c r="F91298"/>
    </row>
    <row r="91299" spans="1:6" x14ac:dyDescent="0.25">
      <c r="A91299"/>
      <c r="B91299"/>
      <c r="C91299"/>
      <c r="E91299"/>
      <c r="F91299"/>
    </row>
    <row r="91300" spans="1:6" x14ac:dyDescent="0.25">
      <c r="A91300"/>
      <c r="B91300"/>
      <c r="C91300"/>
      <c r="E91300"/>
      <c r="F91300"/>
    </row>
    <row r="91301" spans="1:6" x14ac:dyDescent="0.25">
      <c r="A91301"/>
      <c r="B91301"/>
      <c r="C91301"/>
      <c r="E91301"/>
      <c r="F91301"/>
    </row>
    <row r="91302" spans="1:6" x14ac:dyDescent="0.25">
      <c r="A91302"/>
      <c r="B91302"/>
      <c r="C91302"/>
      <c r="E91302"/>
      <c r="F91302"/>
    </row>
    <row r="91303" spans="1:6" x14ac:dyDescent="0.25">
      <c r="A91303"/>
      <c r="B91303"/>
      <c r="C91303"/>
      <c r="E91303"/>
      <c r="F91303"/>
    </row>
    <row r="91304" spans="1:6" x14ac:dyDescent="0.25">
      <c r="A91304"/>
      <c r="B91304"/>
      <c r="C91304"/>
      <c r="E91304"/>
      <c r="F91304"/>
    </row>
    <row r="91305" spans="1:6" x14ac:dyDescent="0.25">
      <c r="A91305"/>
      <c r="B91305"/>
      <c r="C91305"/>
      <c r="E91305"/>
      <c r="F91305"/>
    </row>
    <row r="91306" spans="1:6" x14ac:dyDescent="0.25">
      <c r="A91306"/>
      <c r="B91306"/>
      <c r="C91306"/>
      <c r="E91306"/>
      <c r="F91306"/>
    </row>
    <row r="91307" spans="1:6" x14ac:dyDescent="0.25">
      <c r="A91307"/>
      <c r="B91307"/>
      <c r="C91307"/>
      <c r="E91307"/>
      <c r="F91307"/>
    </row>
    <row r="91308" spans="1:6" x14ac:dyDescent="0.25">
      <c r="A91308"/>
      <c r="B91308"/>
      <c r="C91308"/>
      <c r="E91308"/>
      <c r="F91308"/>
    </row>
    <row r="91309" spans="1:6" x14ac:dyDescent="0.25">
      <c r="A91309"/>
      <c r="B91309"/>
      <c r="C91309"/>
      <c r="E91309"/>
      <c r="F91309"/>
    </row>
    <row r="91310" spans="1:6" x14ac:dyDescent="0.25">
      <c r="A91310"/>
      <c r="B91310"/>
      <c r="C91310"/>
      <c r="E91310"/>
      <c r="F91310"/>
    </row>
    <row r="91311" spans="1:6" x14ac:dyDescent="0.25">
      <c r="A91311"/>
      <c r="B91311"/>
      <c r="C91311"/>
      <c r="E91311"/>
      <c r="F91311"/>
    </row>
    <row r="91312" spans="1:6" x14ac:dyDescent="0.25">
      <c r="A91312"/>
      <c r="B91312"/>
      <c r="C91312"/>
      <c r="E91312"/>
      <c r="F91312"/>
    </row>
    <row r="91313" spans="1:6" x14ac:dyDescent="0.25">
      <c r="A91313"/>
      <c r="B91313"/>
      <c r="C91313"/>
      <c r="E91313"/>
      <c r="F91313"/>
    </row>
    <row r="91314" spans="1:6" x14ac:dyDescent="0.25">
      <c r="A91314"/>
      <c r="B91314"/>
      <c r="C91314"/>
      <c r="E91314"/>
      <c r="F91314"/>
    </row>
    <row r="91315" spans="1:6" x14ac:dyDescent="0.25">
      <c r="A91315"/>
      <c r="B91315"/>
      <c r="C91315"/>
      <c r="E91315"/>
      <c r="F91315"/>
    </row>
    <row r="91316" spans="1:6" x14ac:dyDescent="0.25">
      <c r="A91316"/>
      <c r="B91316"/>
      <c r="C91316"/>
      <c r="E91316"/>
      <c r="F91316"/>
    </row>
    <row r="91317" spans="1:6" x14ac:dyDescent="0.25">
      <c r="A91317"/>
      <c r="B91317"/>
      <c r="C91317"/>
      <c r="E91317"/>
      <c r="F91317"/>
    </row>
    <row r="91318" spans="1:6" x14ac:dyDescent="0.25">
      <c r="A91318"/>
      <c r="B91318"/>
      <c r="C91318"/>
      <c r="E91318"/>
      <c r="F91318"/>
    </row>
    <row r="91319" spans="1:6" x14ac:dyDescent="0.25">
      <c r="A91319"/>
      <c r="B91319"/>
      <c r="C91319"/>
      <c r="E91319"/>
      <c r="F91319"/>
    </row>
    <row r="91320" spans="1:6" x14ac:dyDescent="0.25">
      <c r="A91320"/>
      <c r="B91320"/>
      <c r="C91320"/>
      <c r="E91320"/>
      <c r="F91320"/>
    </row>
    <row r="91321" spans="1:6" x14ac:dyDescent="0.25">
      <c r="A91321"/>
      <c r="B91321"/>
      <c r="C91321"/>
      <c r="E91321"/>
      <c r="F91321"/>
    </row>
    <row r="91322" spans="1:6" x14ac:dyDescent="0.25">
      <c r="A91322"/>
      <c r="B91322"/>
      <c r="C91322"/>
      <c r="E91322"/>
      <c r="F91322"/>
    </row>
    <row r="91323" spans="1:6" x14ac:dyDescent="0.25">
      <c r="A91323"/>
      <c r="B91323"/>
      <c r="C91323"/>
      <c r="E91323"/>
      <c r="F91323"/>
    </row>
    <row r="91324" spans="1:6" x14ac:dyDescent="0.25">
      <c r="A91324"/>
      <c r="B91324"/>
      <c r="C91324"/>
      <c r="E91324"/>
      <c r="F91324"/>
    </row>
    <row r="91325" spans="1:6" x14ac:dyDescent="0.25">
      <c r="A91325"/>
      <c r="B91325"/>
      <c r="C91325"/>
      <c r="E91325"/>
      <c r="F91325"/>
    </row>
    <row r="91326" spans="1:6" x14ac:dyDescent="0.25">
      <c r="A91326"/>
      <c r="B91326"/>
      <c r="C91326"/>
      <c r="E91326"/>
      <c r="F91326"/>
    </row>
    <row r="91327" spans="1:6" x14ac:dyDescent="0.25">
      <c r="A91327"/>
      <c r="B91327"/>
      <c r="C91327"/>
      <c r="E91327"/>
      <c r="F91327"/>
    </row>
    <row r="91328" spans="1:6" x14ac:dyDescent="0.25">
      <c r="A91328"/>
      <c r="B91328"/>
      <c r="C91328"/>
      <c r="E91328"/>
      <c r="F91328"/>
    </row>
    <row r="91329" spans="1:6" x14ac:dyDescent="0.25">
      <c r="A91329"/>
      <c r="B91329"/>
      <c r="C91329"/>
      <c r="E91329"/>
      <c r="F91329"/>
    </row>
    <row r="91330" spans="1:6" x14ac:dyDescent="0.25">
      <c r="A91330"/>
      <c r="B91330"/>
      <c r="C91330"/>
      <c r="E91330"/>
      <c r="F91330"/>
    </row>
    <row r="91331" spans="1:6" x14ac:dyDescent="0.25">
      <c r="A91331"/>
      <c r="B91331"/>
      <c r="C91331"/>
      <c r="E91331"/>
      <c r="F91331"/>
    </row>
    <row r="91332" spans="1:6" x14ac:dyDescent="0.25">
      <c r="A91332"/>
      <c r="B91332"/>
      <c r="C91332"/>
      <c r="E91332"/>
      <c r="F91332"/>
    </row>
    <row r="91333" spans="1:6" x14ac:dyDescent="0.25">
      <c r="A91333"/>
      <c r="B91333"/>
      <c r="C91333"/>
      <c r="E91333"/>
      <c r="F91333"/>
    </row>
    <row r="91334" spans="1:6" x14ac:dyDescent="0.25">
      <c r="A91334"/>
      <c r="B91334"/>
      <c r="C91334"/>
      <c r="E91334"/>
      <c r="F91334"/>
    </row>
    <row r="91335" spans="1:6" x14ac:dyDescent="0.25">
      <c r="A91335"/>
      <c r="B91335"/>
      <c r="C91335"/>
      <c r="E91335"/>
      <c r="F91335"/>
    </row>
    <row r="91336" spans="1:6" x14ac:dyDescent="0.25">
      <c r="A91336"/>
      <c r="B91336"/>
      <c r="C91336"/>
      <c r="E91336"/>
      <c r="F91336"/>
    </row>
    <row r="91337" spans="1:6" x14ac:dyDescent="0.25">
      <c r="A91337"/>
      <c r="B91337"/>
      <c r="C91337"/>
      <c r="E91337"/>
      <c r="F91337"/>
    </row>
    <row r="91338" spans="1:6" x14ac:dyDescent="0.25">
      <c r="A91338"/>
      <c r="B91338"/>
      <c r="C91338"/>
      <c r="E91338"/>
      <c r="F91338"/>
    </row>
    <row r="91339" spans="1:6" x14ac:dyDescent="0.25">
      <c r="A91339"/>
      <c r="B91339"/>
      <c r="C91339"/>
      <c r="E91339"/>
      <c r="F91339"/>
    </row>
    <row r="91340" spans="1:6" x14ac:dyDescent="0.25">
      <c r="A91340"/>
      <c r="B91340"/>
      <c r="C91340"/>
      <c r="E91340"/>
      <c r="F91340"/>
    </row>
    <row r="91341" spans="1:6" x14ac:dyDescent="0.25">
      <c r="A91341"/>
      <c r="B91341"/>
      <c r="C91341"/>
      <c r="E91341"/>
      <c r="F91341"/>
    </row>
    <row r="91342" spans="1:6" x14ac:dyDescent="0.25">
      <c r="A91342"/>
      <c r="B91342"/>
      <c r="C91342"/>
      <c r="E91342"/>
      <c r="F91342"/>
    </row>
    <row r="91343" spans="1:6" x14ac:dyDescent="0.25">
      <c r="A91343"/>
      <c r="B91343"/>
      <c r="C91343"/>
      <c r="E91343"/>
      <c r="F91343"/>
    </row>
    <row r="91344" spans="1:6" x14ac:dyDescent="0.25">
      <c r="A91344"/>
      <c r="B91344"/>
      <c r="C91344"/>
      <c r="E91344"/>
      <c r="F91344"/>
    </row>
    <row r="91345" spans="1:6" x14ac:dyDescent="0.25">
      <c r="A91345"/>
      <c r="B91345"/>
      <c r="C91345"/>
      <c r="E91345"/>
      <c r="F91345"/>
    </row>
    <row r="91346" spans="1:6" x14ac:dyDescent="0.25">
      <c r="A91346"/>
      <c r="B91346"/>
      <c r="C91346"/>
      <c r="E91346"/>
      <c r="F91346"/>
    </row>
    <row r="91347" spans="1:6" x14ac:dyDescent="0.25">
      <c r="A91347"/>
      <c r="B91347"/>
      <c r="C91347"/>
      <c r="E91347"/>
      <c r="F91347"/>
    </row>
    <row r="91348" spans="1:6" x14ac:dyDescent="0.25">
      <c r="A91348"/>
      <c r="B91348"/>
      <c r="C91348"/>
      <c r="E91348"/>
      <c r="F91348"/>
    </row>
    <row r="91349" spans="1:6" x14ac:dyDescent="0.25">
      <c r="A91349"/>
      <c r="B91349"/>
      <c r="C91349"/>
      <c r="E91349"/>
      <c r="F91349"/>
    </row>
    <row r="91350" spans="1:6" x14ac:dyDescent="0.25">
      <c r="A91350"/>
      <c r="B91350"/>
      <c r="C91350"/>
      <c r="E91350"/>
      <c r="F91350"/>
    </row>
    <row r="91351" spans="1:6" x14ac:dyDescent="0.25">
      <c r="A91351"/>
      <c r="B91351"/>
      <c r="C91351"/>
      <c r="E91351"/>
      <c r="F91351"/>
    </row>
    <row r="91352" spans="1:6" x14ac:dyDescent="0.25">
      <c r="A91352"/>
      <c r="B91352"/>
      <c r="C91352"/>
      <c r="E91352"/>
      <c r="F91352"/>
    </row>
    <row r="91353" spans="1:6" x14ac:dyDescent="0.25">
      <c r="A91353"/>
      <c r="B91353"/>
      <c r="C91353"/>
      <c r="E91353"/>
      <c r="F91353"/>
    </row>
    <row r="91354" spans="1:6" x14ac:dyDescent="0.25">
      <c r="A91354"/>
      <c r="B91354"/>
      <c r="C91354"/>
      <c r="E91354"/>
      <c r="F91354"/>
    </row>
    <row r="91355" spans="1:6" x14ac:dyDescent="0.25">
      <c r="A91355"/>
      <c r="B91355"/>
      <c r="C91355"/>
      <c r="E91355"/>
      <c r="F91355"/>
    </row>
    <row r="91356" spans="1:6" x14ac:dyDescent="0.25">
      <c r="A91356"/>
      <c r="B91356"/>
      <c r="C91356"/>
      <c r="E91356"/>
      <c r="F91356"/>
    </row>
    <row r="91357" spans="1:6" x14ac:dyDescent="0.25">
      <c r="A91357"/>
      <c r="B91357"/>
      <c r="C91357"/>
      <c r="E91357"/>
      <c r="F91357"/>
    </row>
    <row r="91358" spans="1:6" x14ac:dyDescent="0.25">
      <c r="A91358"/>
      <c r="B91358"/>
      <c r="C91358"/>
      <c r="E91358"/>
      <c r="F91358"/>
    </row>
    <row r="91359" spans="1:6" x14ac:dyDescent="0.25">
      <c r="A91359"/>
      <c r="B91359"/>
      <c r="C91359"/>
      <c r="E91359"/>
      <c r="F91359"/>
    </row>
    <row r="91360" spans="1:6" x14ac:dyDescent="0.25">
      <c r="A91360"/>
      <c r="B91360"/>
      <c r="C91360"/>
      <c r="E91360"/>
      <c r="F91360"/>
    </row>
    <row r="91361" spans="1:6" x14ac:dyDescent="0.25">
      <c r="A91361"/>
      <c r="B91361"/>
      <c r="C91361"/>
      <c r="E91361"/>
      <c r="F91361"/>
    </row>
    <row r="91362" spans="1:6" x14ac:dyDescent="0.25">
      <c r="A91362"/>
      <c r="B91362"/>
      <c r="C91362"/>
      <c r="E91362"/>
      <c r="F91362"/>
    </row>
    <row r="91363" spans="1:6" x14ac:dyDescent="0.25">
      <c r="A91363"/>
      <c r="B91363"/>
      <c r="C91363"/>
      <c r="E91363"/>
      <c r="F91363"/>
    </row>
    <row r="91364" spans="1:6" x14ac:dyDescent="0.25">
      <c r="A91364"/>
      <c r="B91364"/>
      <c r="C91364"/>
      <c r="E91364"/>
      <c r="F91364"/>
    </row>
    <row r="91365" spans="1:6" x14ac:dyDescent="0.25">
      <c r="A91365"/>
      <c r="B91365"/>
      <c r="C91365"/>
      <c r="E91365"/>
      <c r="F91365"/>
    </row>
    <row r="91366" spans="1:6" x14ac:dyDescent="0.25">
      <c r="A91366"/>
      <c r="B91366"/>
      <c r="C91366"/>
      <c r="E91366"/>
      <c r="F91366"/>
    </row>
    <row r="91367" spans="1:6" x14ac:dyDescent="0.25">
      <c r="A91367"/>
      <c r="B91367"/>
      <c r="C91367"/>
      <c r="E91367"/>
      <c r="F91367"/>
    </row>
    <row r="91368" spans="1:6" x14ac:dyDescent="0.25">
      <c r="A91368"/>
      <c r="B91368"/>
      <c r="C91368"/>
      <c r="E91368"/>
      <c r="F91368"/>
    </row>
    <row r="91369" spans="1:6" x14ac:dyDescent="0.25">
      <c r="A91369"/>
      <c r="B91369"/>
      <c r="C91369"/>
      <c r="E91369"/>
      <c r="F91369"/>
    </row>
    <row r="91370" spans="1:6" x14ac:dyDescent="0.25">
      <c r="A91370"/>
      <c r="B91370"/>
      <c r="C91370"/>
      <c r="E91370"/>
      <c r="F91370"/>
    </row>
    <row r="91371" spans="1:6" x14ac:dyDescent="0.25">
      <c r="A91371"/>
      <c r="B91371"/>
      <c r="C91371"/>
      <c r="E91371"/>
      <c r="F91371"/>
    </row>
    <row r="91372" spans="1:6" x14ac:dyDescent="0.25">
      <c r="A91372"/>
      <c r="B91372"/>
      <c r="C91372"/>
      <c r="E91372"/>
      <c r="F91372"/>
    </row>
    <row r="91373" spans="1:6" x14ac:dyDescent="0.25">
      <c r="A91373"/>
      <c r="B91373"/>
      <c r="C91373"/>
      <c r="E91373"/>
      <c r="F91373"/>
    </row>
    <row r="91374" spans="1:6" x14ac:dyDescent="0.25">
      <c r="A91374"/>
      <c r="B91374"/>
      <c r="C91374"/>
      <c r="E91374"/>
      <c r="F91374"/>
    </row>
    <row r="91375" spans="1:6" x14ac:dyDescent="0.25">
      <c r="A91375"/>
      <c r="B91375"/>
      <c r="C91375"/>
      <c r="E91375"/>
      <c r="F91375"/>
    </row>
    <row r="91376" spans="1:6" x14ac:dyDescent="0.25">
      <c r="A91376"/>
      <c r="B91376"/>
      <c r="C91376"/>
      <c r="E91376"/>
      <c r="F91376"/>
    </row>
    <row r="91377" spans="1:6" x14ac:dyDescent="0.25">
      <c r="A91377"/>
      <c r="B91377"/>
      <c r="C91377"/>
      <c r="E91377"/>
      <c r="F91377"/>
    </row>
    <row r="91378" spans="1:6" x14ac:dyDescent="0.25">
      <c r="A91378"/>
      <c r="B91378"/>
      <c r="C91378"/>
      <c r="E91378"/>
      <c r="F91378"/>
    </row>
    <row r="91379" spans="1:6" x14ac:dyDescent="0.25">
      <c r="A91379"/>
      <c r="B91379"/>
      <c r="C91379"/>
      <c r="E91379"/>
      <c r="F91379"/>
    </row>
    <row r="91380" spans="1:6" x14ac:dyDescent="0.25">
      <c r="A91380"/>
      <c r="B91380"/>
      <c r="C91380"/>
      <c r="E91380"/>
      <c r="F91380"/>
    </row>
    <row r="91381" spans="1:6" x14ac:dyDescent="0.25">
      <c r="A91381"/>
      <c r="B91381"/>
      <c r="C91381"/>
      <c r="E91381"/>
      <c r="F91381"/>
    </row>
    <row r="91382" spans="1:6" x14ac:dyDescent="0.25">
      <c r="A91382"/>
      <c r="B91382"/>
      <c r="C91382"/>
      <c r="E91382"/>
      <c r="F91382"/>
    </row>
    <row r="91383" spans="1:6" x14ac:dyDescent="0.25">
      <c r="A91383"/>
      <c r="B91383"/>
      <c r="C91383"/>
      <c r="E91383"/>
      <c r="F91383"/>
    </row>
    <row r="91384" spans="1:6" x14ac:dyDescent="0.25">
      <c r="A91384"/>
      <c r="B91384"/>
      <c r="C91384"/>
      <c r="E91384"/>
      <c r="F91384"/>
    </row>
    <row r="91385" spans="1:6" x14ac:dyDescent="0.25">
      <c r="A91385"/>
      <c r="B91385"/>
      <c r="C91385"/>
      <c r="E91385"/>
      <c r="F91385"/>
    </row>
    <row r="91386" spans="1:6" x14ac:dyDescent="0.25">
      <c r="A91386"/>
      <c r="B91386"/>
      <c r="C91386"/>
      <c r="E91386"/>
      <c r="F91386"/>
    </row>
    <row r="91387" spans="1:6" x14ac:dyDescent="0.25">
      <c r="A91387"/>
      <c r="B91387"/>
      <c r="C91387"/>
      <c r="E91387"/>
      <c r="F91387"/>
    </row>
    <row r="91388" spans="1:6" x14ac:dyDescent="0.25">
      <c r="A91388"/>
      <c r="B91388"/>
      <c r="C91388"/>
      <c r="E91388"/>
      <c r="F91388"/>
    </row>
    <row r="91389" spans="1:6" x14ac:dyDescent="0.25">
      <c r="A91389"/>
      <c r="B91389"/>
      <c r="C91389"/>
      <c r="E91389"/>
      <c r="F91389"/>
    </row>
    <row r="91390" spans="1:6" x14ac:dyDescent="0.25">
      <c r="A91390"/>
      <c r="B91390"/>
      <c r="C91390"/>
      <c r="E91390"/>
      <c r="F91390"/>
    </row>
    <row r="91391" spans="1:6" x14ac:dyDescent="0.25">
      <c r="A91391"/>
      <c r="B91391"/>
      <c r="C91391"/>
      <c r="E91391"/>
      <c r="F91391"/>
    </row>
    <row r="91392" spans="1:6" x14ac:dyDescent="0.25">
      <c r="A91392"/>
      <c r="B91392"/>
      <c r="C91392"/>
      <c r="E91392"/>
      <c r="F91392"/>
    </row>
    <row r="91393" spans="1:6" x14ac:dyDescent="0.25">
      <c r="A91393"/>
      <c r="B91393"/>
      <c r="C91393"/>
      <c r="E91393"/>
      <c r="F91393"/>
    </row>
    <row r="91394" spans="1:6" x14ac:dyDescent="0.25">
      <c r="A91394"/>
      <c r="B91394"/>
      <c r="C91394"/>
      <c r="E91394"/>
      <c r="F91394"/>
    </row>
    <row r="91395" spans="1:6" x14ac:dyDescent="0.25">
      <c r="A91395"/>
      <c r="B91395"/>
      <c r="C91395"/>
      <c r="E91395"/>
      <c r="F91395"/>
    </row>
    <row r="91396" spans="1:6" x14ac:dyDescent="0.25">
      <c r="A91396"/>
      <c r="B91396"/>
      <c r="C91396"/>
      <c r="E91396"/>
      <c r="F91396"/>
    </row>
    <row r="91397" spans="1:6" x14ac:dyDescent="0.25">
      <c r="A91397"/>
      <c r="B91397"/>
      <c r="C91397"/>
      <c r="E91397"/>
      <c r="F91397"/>
    </row>
    <row r="91398" spans="1:6" x14ac:dyDescent="0.25">
      <c r="A91398"/>
      <c r="B91398"/>
      <c r="C91398"/>
      <c r="E91398"/>
      <c r="F91398"/>
    </row>
    <row r="91399" spans="1:6" x14ac:dyDescent="0.25">
      <c r="A91399"/>
      <c r="B91399"/>
      <c r="C91399"/>
      <c r="E91399"/>
      <c r="F91399"/>
    </row>
    <row r="91400" spans="1:6" x14ac:dyDescent="0.25">
      <c r="A91400"/>
      <c r="B91400"/>
      <c r="C91400"/>
      <c r="E91400"/>
      <c r="F91400"/>
    </row>
    <row r="91401" spans="1:6" x14ac:dyDescent="0.25">
      <c r="A91401"/>
      <c r="B91401"/>
      <c r="C91401"/>
      <c r="E91401"/>
      <c r="F91401"/>
    </row>
    <row r="91402" spans="1:6" x14ac:dyDescent="0.25">
      <c r="A91402"/>
      <c r="B91402"/>
      <c r="C91402"/>
      <c r="E91402"/>
      <c r="F91402"/>
    </row>
    <row r="91403" spans="1:6" x14ac:dyDescent="0.25">
      <c r="A91403"/>
      <c r="B91403"/>
      <c r="C91403"/>
      <c r="E91403"/>
      <c r="F91403"/>
    </row>
    <row r="91404" spans="1:6" x14ac:dyDescent="0.25">
      <c r="A91404"/>
      <c r="B91404"/>
      <c r="C91404"/>
      <c r="E91404"/>
      <c r="F91404"/>
    </row>
    <row r="91405" spans="1:6" x14ac:dyDescent="0.25">
      <c r="A91405"/>
      <c r="B91405"/>
      <c r="C91405"/>
      <c r="E91405"/>
      <c r="F91405"/>
    </row>
    <row r="91406" spans="1:6" x14ac:dyDescent="0.25">
      <c r="A91406"/>
      <c r="B91406"/>
      <c r="C91406"/>
      <c r="E91406"/>
      <c r="F91406"/>
    </row>
    <row r="91407" spans="1:6" x14ac:dyDescent="0.25">
      <c r="A91407"/>
      <c r="B91407"/>
      <c r="C91407"/>
      <c r="E91407"/>
      <c r="F91407"/>
    </row>
    <row r="91408" spans="1:6" x14ac:dyDescent="0.25">
      <c r="A91408"/>
      <c r="B91408"/>
      <c r="C91408"/>
      <c r="E91408"/>
      <c r="F91408"/>
    </row>
    <row r="91409" spans="1:6" x14ac:dyDescent="0.25">
      <c r="A91409"/>
      <c r="B91409"/>
      <c r="C91409"/>
      <c r="E91409"/>
      <c r="F91409"/>
    </row>
    <row r="91410" spans="1:6" x14ac:dyDescent="0.25">
      <c r="A91410"/>
      <c r="B91410"/>
      <c r="C91410"/>
      <c r="E91410"/>
      <c r="F91410"/>
    </row>
    <row r="91411" spans="1:6" x14ac:dyDescent="0.25">
      <c r="A91411"/>
      <c r="B91411"/>
      <c r="C91411"/>
      <c r="E91411"/>
      <c r="F91411"/>
    </row>
    <row r="91412" spans="1:6" x14ac:dyDescent="0.25">
      <c r="A91412"/>
      <c r="B91412"/>
      <c r="C91412"/>
      <c r="E91412"/>
      <c r="F91412"/>
    </row>
    <row r="91413" spans="1:6" x14ac:dyDescent="0.25">
      <c r="A91413"/>
      <c r="B91413"/>
      <c r="C91413"/>
      <c r="E91413"/>
      <c r="F91413"/>
    </row>
    <row r="91414" spans="1:6" x14ac:dyDescent="0.25">
      <c r="A91414"/>
      <c r="B91414"/>
      <c r="C91414"/>
      <c r="E91414"/>
      <c r="F91414"/>
    </row>
    <row r="91415" spans="1:6" x14ac:dyDescent="0.25">
      <c r="A91415"/>
      <c r="B91415"/>
      <c r="C91415"/>
      <c r="E91415"/>
      <c r="F91415"/>
    </row>
    <row r="91416" spans="1:6" x14ac:dyDescent="0.25">
      <c r="A91416"/>
      <c r="B91416"/>
      <c r="C91416"/>
      <c r="E91416"/>
      <c r="F91416"/>
    </row>
    <row r="91417" spans="1:6" x14ac:dyDescent="0.25">
      <c r="A91417"/>
      <c r="B91417"/>
      <c r="C91417"/>
      <c r="E91417"/>
      <c r="F91417"/>
    </row>
    <row r="91418" spans="1:6" x14ac:dyDescent="0.25">
      <c r="A91418"/>
      <c r="B91418"/>
      <c r="C91418"/>
      <c r="E91418"/>
      <c r="F91418"/>
    </row>
    <row r="91419" spans="1:6" x14ac:dyDescent="0.25">
      <c r="A91419"/>
      <c r="B91419"/>
      <c r="C91419"/>
      <c r="E91419"/>
      <c r="F91419"/>
    </row>
    <row r="91420" spans="1:6" x14ac:dyDescent="0.25">
      <c r="A91420"/>
      <c r="B91420"/>
      <c r="C91420"/>
      <c r="E91420"/>
      <c r="F91420"/>
    </row>
    <row r="91421" spans="1:6" x14ac:dyDescent="0.25">
      <c r="A91421"/>
      <c r="B91421"/>
      <c r="C91421"/>
      <c r="E91421"/>
      <c r="F91421"/>
    </row>
    <row r="91422" spans="1:6" x14ac:dyDescent="0.25">
      <c r="A91422"/>
      <c r="B91422"/>
      <c r="C91422"/>
      <c r="E91422"/>
      <c r="F91422"/>
    </row>
    <row r="91423" spans="1:6" x14ac:dyDescent="0.25">
      <c r="A91423"/>
      <c r="B91423"/>
      <c r="C91423"/>
      <c r="E91423"/>
      <c r="F91423"/>
    </row>
    <row r="91424" spans="1:6" x14ac:dyDescent="0.25">
      <c r="A91424"/>
      <c r="B91424"/>
      <c r="C91424"/>
      <c r="E91424"/>
      <c r="F91424"/>
    </row>
    <row r="91425" spans="1:6" x14ac:dyDescent="0.25">
      <c r="A91425"/>
      <c r="B91425"/>
      <c r="C91425"/>
      <c r="E91425"/>
      <c r="F91425"/>
    </row>
    <row r="91426" spans="1:6" x14ac:dyDescent="0.25">
      <c r="A91426"/>
      <c r="B91426"/>
      <c r="C91426"/>
      <c r="E91426"/>
      <c r="F91426"/>
    </row>
    <row r="91427" spans="1:6" x14ac:dyDescent="0.25">
      <c r="A91427"/>
      <c r="B91427"/>
      <c r="C91427"/>
      <c r="E91427"/>
      <c r="F91427"/>
    </row>
    <row r="91428" spans="1:6" x14ac:dyDescent="0.25">
      <c r="A91428"/>
      <c r="B91428"/>
      <c r="C91428"/>
      <c r="E91428"/>
      <c r="F91428"/>
    </row>
    <row r="91429" spans="1:6" x14ac:dyDescent="0.25">
      <c r="A91429"/>
      <c r="B91429"/>
      <c r="C91429"/>
      <c r="E91429"/>
      <c r="F91429"/>
    </row>
    <row r="91430" spans="1:6" x14ac:dyDescent="0.25">
      <c r="A91430"/>
      <c r="B91430"/>
      <c r="C91430"/>
      <c r="E91430"/>
      <c r="F91430"/>
    </row>
    <row r="91431" spans="1:6" x14ac:dyDescent="0.25">
      <c r="A91431"/>
      <c r="B91431"/>
      <c r="C91431"/>
      <c r="E91431"/>
      <c r="F91431"/>
    </row>
    <row r="91432" spans="1:6" x14ac:dyDescent="0.25">
      <c r="A91432"/>
      <c r="B91432"/>
      <c r="C91432"/>
      <c r="E91432"/>
      <c r="F91432"/>
    </row>
    <row r="91433" spans="1:6" x14ac:dyDescent="0.25">
      <c r="A91433"/>
      <c r="B91433"/>
      <c r="C91433"/>
      <c r="E91433"/>
      <c r="F91433"/>
    </row>
    <row r="91434" spans="1:6" x14ac:dyDescent="0.25">
      <c r="A91434"/>
      <c r="B91434"/>
      <c r="C91434"/>
      <c r="E91434"/>
      <c r="F91434"/>
    </row>
    <row r="91435" spans="1:6" x14ac:dyDescent="0.25">
      <c r="A91435"/>
      <c r="B91435"/>
      <c r="C91435"/>
      <c r="E91435"/>
      <c r="F91435"/>
    </row>
    <row r="91436" spans="1:6" x14ac:dyDescent="0.25">
      <c r="A91436"/>
      <c r="B91436"/>
      <c r="C91436"/>
      <c r="E91436"/>
      <c r="F91436"/>
    </row>
    <row r="91437" spans="1:6" x14ac:dyDescent="0.25">
      <c r="A91437"/>
      <c r="B91437"/>
      <c r="C91437"/>
      <c r="E91437"/>
      <c r="F91437"/>
    </row>
    <row r="91438" spans="1:6" x14ac:dyDescent="0.25">
      <c r="A91438"/>
      <c r="B91438"/>
      <c r="C91438"/>
      <c r="E91438"/>
      <c r="F91438"/>
    </row>
    <row r="91439" spans="1:6" x14ac:dyDescent="0.25">
      <c r="A91439"/>
      <c r="B91439"/>
      <c r="C91439"/>
      <c r="E91439"/>
      <c r="F91439"/>
    </row>
    <row r="91440" spans="1:6" x14ac:dyDescent="0.25">
      <c r="A91440"/>
      <c r="B91440"/>
      <c r="C91440"/>
      <c r="E91440"/>
      <c r="F91440"/>
    </row>
    <row r="91441" spans="1:6" x14ac:dyDescent="0.25">
      <c r="A91441"/>
      <c r="B91441"/>
      <c r="C91441"/>
      <c r="E91441"/>
      <c r="F91441"/>
    </row>
    <row r="91442" spans="1:6" x14ac:dyDescent="0.25">
      <c r="A91442"/>
      <c r="B91442"/>
      <c r="C91442"/>
      <c r="E91442"/>
      <c r="F91442"/>
    </row>
    <row r="91443" spans="1:6" x14ac:dyDescent="0.25">
      <c r="A91443"/>
      <c r="B91443"/>
      <c r="C91443"/>
      <c r="E91443"/>
      <c r="F91443"/>
    </row>
    <row r="91444" spans="1:6" x14ac:dyDescent="0.25">
      <c r="A91444"/>
      <c r="B91444"/>
      <c r="C91444"/>
      <c r="E91444"/>
      <c r="F91444"/>
    </row>
    <row r="91445" spans="1:6" x14ac:dyDescent="0.25">
      <c r="A91445"/>
      <c r="B91445"/>
      <c r="C91445"/>
      <c r="E91445"/>
      <c r="F91445"/>
    </row>
    <row r="91446" spans="1:6" x14ac:dyDescent="0.25">
      <c r="A91446"/>
      <c r="B91446"/>
      <c r="C91446"/>
      <c r="E91446"/>
      <c r="F91446"/>
    </row>
    <row r="91447" spans="1:6" x14ac:dyDescent="0.25">
      <c r="A91447"/>
      <c r="B91447"/>
      <c r="C91447"/>
      <c r="E91447"/>
      <c r="F91447"/>
    </row>
    <row r="91448" spans="1:6" x14ac:dyDescent="0.25">
      <c r="A91448"/>
      <c r="B91448"/>
      <c r="C91448"/>
      <c r="E91448"/>
      <c r="F91448"/>
    </row>
    <row r="91449" spans="1:6" x14ac:dyDescent="0.25">
      <c r="A91449"/>
      <c r="B91449"/>
      <c r="C91449"/>
      <c r="E91449"/>
      <c r="F91449"/>
    </row>
    <row r="91450" spans="1:6" x14ac:dyDescent="0.25">
      <c r="A91450"/>
      <c r="B91450"/>
      <c r="C91450"/>
      <c r="E91450"/>
      <c r="F91450"/>
    </row>
    <row r="91451" spans="1:6" x14ac:dyDescent="0.25">
      <c r="A91451"/>
      <c r="B91451"/>
      <c r="C91451"/>
      <c r="E91451"/>
      <c r="F91451"/>
    </row>
    <row r="91452" spans="1:6" x14ac:dyDescent="0.25">
      <c r="A91452"/>
      <c r="B91452"/>
      <c r="C91452"/>
      <c r="E91452"/>
      <c r="F91452"/>
    </row>
    <row r="91453" spans="1:6" x14ac:dyDescent="0.25">
      <c r="A91453"/>
      <c r="B91453"/>
      <c r="C91453"/>
      <c r="E91453"/>
      <c r="F91453"/>
    </row>
    <row r="91454" spans="1:6" x14ac:dyDescent="0.25">
      <c r="A91454"/>
      <c r="B91454"/>
      <c r="C91454"/>
      <c r="E91454"/>
      <c r="F91454"/>
    </row>
    <row r="91455" spans="1:6" x14ac:dyDescent="0.25">
      <c r="A91455"/>
      <c r="B91455"/>
      <c r="C91455"/>
      <c r="E91455"/>
      <c r="F91455"/>
    </row>
    <row r="91456" spans="1:6" x14ac:dyDescent="0.25">
      <c r="A91456"/>
      <c r="B91456"/>
      <c r="C91456"/>
      <c r="E91456"/>
      <c r="F91456"/>
    </row>
    <row r="91457" spans="1:6" x14ac:dyDescent="0.25">
      <c r="A91457"/>
      <c r="B91457"/>
      <c r="C91457"/>
      <c r="E91457"/>
      <c r="F91457"/>
    </row>
    <row r="91458" spans="1:6" x14ac:dyDescent="0.25">
      <c r="A91458"/>
      <c r="B91458"/>
      <c r="C91458"/>
      <c r="E91458"/>
      <c r="F91458"/>
    </row>
    <row r="91459" spans="1:6" x14ac:dyDescent="0.25">
      <c r="A91459"/>
      <c r="B91459"/>
      <c r="C91459"/>
      <c r="E91459"/>
      <c r="F91459"/>
    </row>
    <row r="91460" spans="1:6" x14ac:dyDescent="0.25">
      <c r="A91460"/>
      <c r="B91460"/>
      <c r="C91460"/>
      <c r="E91460"/>
      <c r="F91460"/>
    </row>
    <row r="91461" spans="1:6" x14ac:dyDescent="0.25">
      <c r="A91461"/>
      <c r="B91461"/>
      <c r="C91461"/>
      <c r="E91461"/>
      <c r="F91461"/>
    </row>
    <row r="91462" spans="1:6" x14ac:dyDescent="0.25">
      <c r="A91462"/>
      <c r="B91462"/>
      <c r="C91462"/>
      <c r="E91462"/>
      <c r="F91462"/>
    </row>
    <row r="91463" spans="1:6" x14ac:dyDescent="0.25">
      <c r="A91463"/>
      <c r="B91463"/>
      <c r="C91463"/>
      <c r="E91463"/>
      <c r="F91463"/>
    </row>
    <row r="91464" spans="1:6" x14ac:dyDescent="0.25">
      <c r="A91464"/>
      <c r="B91464"/>
      <c r="C91464"/>
      <c r="E91464"/>
      <c r="F91464"/>
    </row>
    <row r="91465" spans="1:6" x14ac:dyDescent="0.25">
      <c r="A91465"/>
      <c r="B91465"/>
      <c r="C91465"/>
      <c r="E91465"/>
      <c r="F91465"/>
    </row>
    <row r="91466" spans="1:6" x14ac:dyDescent="0.25">
      <c r="A91466"/>
      <c r="B91466"/>
      <c r="C91466"/>
      <c r="E91466"/>
      <c r="F91466"/>
    </row>
    <row r="91467" spans="1:6" x14ac:dyDescent="0.25">
      <c r="A91467"/>
      <c r="B91467"/>
      <c r="C91467"/>
      <c r="E91467"/>
      <c r="F91467"/>
    </row>
    <row r="91468" spans="1:6" x14ac:dyDescent="0.25">
      <c r="A91468"/>
      <c r="B91468"/>
      <c r="C91468"/>
      <c r="E91468"/>
      <c r="F91468"/>
    </row>
    <row r="91469" spans="1:6" x14ac:dyDescent="0.25">
      <c r="A91469"/>
      <c r="B91469"/>
      <c r="C91469"/>
      <c r="E91469"/>
      <c r="F91469"/>
    </row>
    <row r="91470" spans="1:6" x14ac:dyDescent="0.25">
      <c r="A91470"/>
      <c r="B91470"/>
      <c r="C91470"/>
      <c r="E91470"/>
      <c r="F91470"/>
    </row>
    <row r="91471" spans="1:6" x14ac:dyDescent="0.25">
      <c r="A91471"/>
      <c r="B91471"/>
      <c r="C91471"/>
      <c r="E91471"/>
      <c r="F91471"/>
    </row>
    <row r="91472" spans="1:6" x14ac:dyDescent="0.25">
      <c r="A91472"/>
      <c r="B91472"/>
      <c r="C91472"/>
      <c r="E91472"/>
      <c r="F91472"/>
    </row>
    <row r="91473" spans="1:6" x14ac:dyDescent="0.25">
      <c r="A91473"/>
      <c r="B91473"/>
      <c r="C91473"/>
      <c r="E91473"/>
      <c r="F91473"/>
    </row>
    <row r="91474" spans="1:6" x14ac:dyDescent="0.25">
      <c r="A91474"/>
      <c r="B91474"/>
      <c r="C91474"/>
      <c r="E91474"/>
      <c r="F91474"/>
    </row>
    <row r="91475" spans="1:6" x14ac:dyDescent="0.25">
      <c r="A91475"/>
      <c r="B91475"/>
      <c r="C91475"/>
      <c r="E91475"/>
      <c r="F91475"/>
    </row>
    <row r="91476" spans="1:6" x14ac:dyDescent="0.25">
      <c r="A91476"/>
      <c r="B91476"/>
      <c r="C91476"/>
      <c r="E91476"/>
      <c r="F91476"/>
    </row>
    <row r="91477" spans="1:6" x14ac:dyDescent="0.25">
      <c r="A91477"/>
      <c r="B91477"/>
      <c r="C91477"/>
      <c r="E91477"/>
      <c r="F91477"/>
    </row>
    <row r="91478" spans="1:6" x14ac:dyDescent="0.25">
      <c r="A91478"/>
      <c r="B91478"/>
      <c r="C91478"/>
      <c r="E91478"/>
      <c r="F91478"/>
    </row>
    <row r="91479" spans="1:6" x14ac:dyDescent="0.25">
      <c r="A91479"/>
      <c r="B91479"/>
      <c r="C91479"/>
      <c r="E91479"/>
      <c r="F91479"/>
    </row>
    <row r="91480" spans="1:6" x14ac:dyDescent="0.25">
      <c r="A91480"/>
      <c r="B91480"/>
      <c r="C91480"/>
      <c r="E91480"/>
      <c r="F91480"/>
    </row>
    <row r="91481" spans="1:6" x14ac:dyDescent="0.25">
      <c r="A91481"/>
      <c r="B91481"/>
      <c r="C91481"/>
      <c r="E91481"/>
      <c r="F91481"/>
    </row>
    <row r="91482" spans="1:6" x14ac:dyDescent="0.25">
      <c r="A91482"/>
      <c r="B91482"/>
      <c r="C91482"/>
      <c r="E91482"/>
      <c r="F91482"/>
    </row>
    <row r="91483" spans="1:6" x14ac:dyDescent="0.25">
      <c r="A91483"/>
      <c r="B91483"/>
      <c r="C91483"/>
      <c r="E91483"/>
      <c r="F91483"/>
    </row>
    <row r="91484" spans="1:6" x14ac:dyDescent="0.25">
      <c r="A91484"/>
      <c r="B91484"/>
      <c r="C91484"/>
      <c r="E91484"/>
      <c r="F91484"/>
    </row>
    <row r="91485" spans="1:6" x14ac:dyDescent="0.25">
      <c r="A91485"/>
      <c r="B91485"/>
      <c r="C91485"/>
      <c r="E91485"/>
      <c r="F91485"/>
    </row>
    <row r="91486" spans="1:6" x14ac:dyDescent="0.25">
      <c r="A91486"/>
      <c r="B91486"/>
      <c r="C91486"/>
      <c r="E91486"/>
      <c r="F91486"/>
    </row>
    <row r="91487" spans="1:6" x14ac:dyDescent="0.25">
      <c r="A91487"/>
      <c r="B91487"/>
      <c r="C91487"/>
      <c r="E91487"/>
      <c r="F91487"/>
    </row>
    <row r="91488" spans="1:6" x14ac:dyDescent="0.25">
      <c r="A91488"/>
      <c r="B91488"/>
      <c r="C91488"/>
      <c r="E91488"/>
      <c r="F91488"/>
    </row>
    <row r="91489" spans="1:6" x14ac:dyDescent="0.25">
      <c r="A91489"/>
      <c r="B91489"/>
      <c r="C91489"/>
      <c r="E91489"/>
      <c r="F91489"/>
    </row>
    <row r="91490" spans="1:6" x14ac:dyDescent="0.25">
      <c r="A91490"/>
      <c r="B91490"/>
      <c r="C91490"/>
      <c r="E91490"/>
      <c r="F91490"/>
    </row>
    <row r="91491" spans="1:6" x14ac:dyDescent="0.25">
      <c r="A91491"/>
      <c r="B91491"/>
      <c r="C91491"/>
      <c r="E91491"/>
      <c r="F91491"/>
    </row>
    <row r="91492" spans="1:6" x14ac:dyDescent="0.25">
      <c r="A91492"/>
      <c r="B91492"/>
      <c r="C91492"/>
      <c r="E91492"/>
      <c r="F91492"/>
    </row>
    <row r="91493" spans="1:6" x14ac:dyDescent="0.25">
      <c r="A91493"/>
      <c r="B91493"/>
      <c r="C91493"/>
      <c r="E91493"/>
      <c r="F91493"/>
    </row>
    <row r="91494" spans="1:6" x14ac:dyDescent="0.25">
      <c r="A91494"/>
      <c r="B91494"/>
      <c r="C91494"/>
      <c r="E91494"/>
      <c r="F91494"/>
    </row>
    <row r="91495" spans="1:6" x14ac:dyDescent="0.25">
      <c r="A91495"/>
      <c r="B91495"/>
      <c r="C91495"/>
      <c r="E91495"/>
      <c r="F91495"/>
    </row>
    <row r="91496" spans="1:6" x14ac:dyDescent="0.25">
      <c r="A91496"/>
      <c r="B91496"/>
      <c r="C91496"/>
      <c r="E91496"/>
      <c r="F91496"/>
    </row>
    <row r="91497" spans="1:6" x14ac:dyDescent="0.25">
      <c r="A91497"/>
      <c r="B91497"/>
      <c r="C91497"/>
      <c r="E91497"/>
      <c r="F91497"/>
    </row>
    <row r="91498" spans="1:6" x14ac:dyDescent="0.25">
      <c r="A91498"/>
      <c r="B91498"/>
      <c r="C91498"/>
      <c r="E91498"/>
      <c r="F91498"/>
    </row>
    <row r="91499" spans="1:6" x14ac:dyDescent="0.25">
      <c r="A91499"/>
      <c r="B91499"/>
      <c r="C91499"/>
      <c r="E91499"/>
      <c r="F91499"/>
    </row>
    <row r="91500" spans="1:6" x14ac:dyDescent="0.25">
      <c r="A91500"/>
      <c r="B91500"/>
      <c r="C91500"/>
      <c r="E91500"/>
      <c r="F91500"/>
    </row>
    <row r="91501" spans="1:6" x14ac:dyDescent="0.25">
      <c r="A91501"/>
      <c r="B91501"/>
      <c r="C91501"/>
      <c r="E91501"/>
      <c r="F91501"/>
    </row>
    <row r="91502" spans="1:6" x14ac:dyDescent="0.25">
      <c r="A91502"/>
      <c r="B91502"/>
      <c r="C91502"/>
      <c r="E91502"/>
      <c r="F91502"/>
    </row>
    <row r="91503" spans="1:6" x14ac:dyDescent="0.25">
      <c r="A91503"/>
      <c r="B91503"/>
      <c r="C91503"/>
      <c r="E91503"/>
      <c r="F91503"/>
    </row>
    <row r="91504" spans="1:6" x14ac:dyDescent="0.25">
      <c r="A91504"/>
      <c r="B91504"/>
      <c r="C91504"/>
      <c r="E91504"/>
      <c r="F91504"/>
    </row>
    <row r="91505" spans="1:6" x14ac:dyDescent="0.25">
      <c r="A91505"/>
      <c r="B91505"/>
      <c r="C91505"/>
      <c r="E91505"/>
      <c r="F91505"/>
    </row>
    <row r="91506" spans="1:6" x14ac:dyDescent="0.25">
      <c r="A91506"/>
      <c r="B91506"/>
      <c r="C91506"/>
      <c r="E91506"/>
      <c r="F91506"/>
    </row>
    <row r="91507" spans="1:6" x14ac:dyDescent="0.25">
      <c r="A91507"/>
      <c r="B91507"/>
      <c r="C91507"/>
      <c r="E91507"/>
      <c r="F91507"/>
    </row>
    <row r="91508" spans="1:6" x14ac:dyDescent="0.25">
      <c r="A91508"/>
      <c r="B91508"/>
      <c r="C91508"/>
      <c r="E91508"/>
      <c r="F91508"/>
    </row>
    <row r="91509" spans="1:6" x14ac:dyDescent="0.25">
      <c r="A91509"/>
      <c r="B91509"/>
      <c r="C91509"/>
      <c r="E91509"/>
      <c r="F91509"/>
    </row>
    <row r="91510" spans="1:6" x14ac:dyDescent="0.25">
      <c r="A91510"/>
      <c r="B91510"/>
      <c r="C91510"/>
      <c r="E91510"/>
      <c r="F91510"/>
    </row>
    <row r="91511" spans="1:6" x14ac:dyDescent="0.25">
      <c r="A91511"/>
      <c r="B91511"/>
      <c r="C91511"/>
      <c r="E91511"/>
      <c r="F91511"/>
    </row>
    <row r="91512" spans="1:6" x14ac:dyDescent="0.25">
      <c r="A91512"/>
      <c r="B91512"/>
      <c r="C91512"/>
      <c r="E91512"/>
      <c r="F91512"/>
    </row>
    <row r="91513" spans="1:6" x14ac:dyDescent="0.25">
      <c r="A91513"/>
      <c r="B91513"/>
      <c r="C91513"/>
      <c r="E91513"/>
      <c r="F91513"/>
    </row>
    <row r="91514" spans="1:6" x14ac:dyDescent="0.25">
      <c r="A91514"/>
      <c r="B91514"/>
      <c r="C91514"/>
      <c r="E91514"/>
      <c r="F91514"/>
    </row>
    <row r="91515" spans="1:6" x14ac:dyDescent="0.25">
      <c r="A91515"/>
      <c r="B91515"/>
      <c r="C91515"/>
      <c r="E91515"/>
      <c r="F91515"/>
    </row>
    <row r="91516" spans="1:6" x14ac:dyDescent="0.25">
      <c r="A91516"/>
      <c r="B91516"/>
      <c r="C91516"/>
      <c r="E91516"/>
      <c r="F91516"/>
    </row>
    <row r="91517" spans="1:6" x14ac:dyDescent="0.25">
      <c r="A91517"/>
      <c r="B91517"/>
      <c r="C91517"/>
      <c r="E91517"/>
      <c r="F91517"/>
    </row>
    <row r="91518" spans="1:6" x14ac:dyDescent="0.25">
      <c r="A91518"/>
      <c r="B91518"/>
      <c r="C91518"/>
      <c r="E91518"/>
      <c r="F91518"/>
    </row>
    <row r="91519" spans="1:6" x14ac:dyDescent="0.25">
      <c r="A91519"/>
      <c r="B91519"/>
      <c r="C91519"/>
      <c r="E91519"/>
      <c r="F91519"/>
    </row>
    <row r="91520" spans="1:6" x14ac:dyDescent="0.25">
      <c r="A91520"/>
      <c r="B91520"/>
      <c r="C91520"/>
      <c r="E91520"/>
      <c r="F91520"/>
    </row>
    <row r="91521" spans="1:6" x14ac:dyDescent="0.25">
      <c r="A91521"/>
      <c r="B91521"/>
      <c r="C91521"/>
      <c r="E91521"/>
      <c r="F91521"/>
    </row>
    <row r="91522" spans="1:6" x14ac:dyDescent="0.25">
      <c r="A91522"/>
      <c r="B91522"/>
      <c r="C91522"/>
      <c r="E91522"/>
      <c r="F91522"/>
    </row>
    <row r="91523" spans="1:6" x14ac:dyDescent="0.25">
      <c r="A91523"/>
      <c r="B91523"/>
      <c r="C91523"/>
      <c r="E91523"/>
      <c r="F91523"/>
    </row>
    <row r="91524" spans="1:6" x14ac:dyDescent="0.25">
      <c r="A91524"/>
      <c r="B91524"/>
      <c r="C91524"/>
      <c r="E91524"/>
      <c r="F91524"/>
    </row>
    <row r="91525" spans="1:6" x14ac:dyDescent="0.25">
      <c r="A91525"/>
      <c r="B91525"/>
      <c r="C91525"/>
      <c r="E91525"/>
      <c r="F91525"/>
    </row>
    <row r="91526" spans="1:6" x14ac:dyDescent="0.25">
      <c r="A91526"/>
      <c r="B91526"/>
      <c r="C91526"/>
      <c r="E91526"/>
      <c r="F91526"/>
    </row>
    <row r="91527" spans="1:6" x14ac:dyDescent="0.25">
      <c r="A91527"/>
      <c r="B91527"/>
      <c r="C91527"/>
      <c r="E91527"/>
      <c r="F91527"/>
    </row>
    <row r="91528" spans="1:6" x14ac:dyDescent="0.25">
      <c r="A91528"/>
      <c r="B91528"/>
      <c r="C91528"/>
      <c r="E91528"/>
      <c r="F91528"/>
    </row>
    <row r="91529" spans="1:6" x14ac:dyDescent="0.25">
      <c r="A91529"/>
      <c r="B91529"/>
      <c r="C91529"/>
      <c r="E91529"/>
      <c r="F91529"/>
    </row>
    <row r="91530" spans="1:6" x14ac:dyDescent="0.25">
      <c r="A91530"/>
      <c r="B91530"/>
      <c r="C91530"/>
      <c r="E91530"/>
      <c r="F91530"/>
    </row>
    <row r="91531" spans="1:6" x14ac:dyDescent="0.25">
      <c r="A91531"/>
      <c r="B91531"/>
      <c r="C91531"/>
      <c r="E91531"/>
      <c r="F91531"/>
    </row>
    <row r="91532" spans="1:6" x14ac:dyDescent="0.25">
      <c r="A91532"/>
      <c r="B91532"/>
      <c r="C91532"/>
      <c r="E91532"/>
      <c r="F91532"/>
    </row>
    <row r="91533" spans="1:6" x14ac:dyDescent="0.25">
      <c r="A91533"/>
      <c r="B91533"/>
      <c r="C91533"/>
      <c r="E91533"/>
      <c r="F91533"/>
    </row>
    <row r="91534" spans="1:6" x14ac:dyDescent="0.25">
      <c r="A91534"/>
      <c r="B91534"/>
      <c r="C91534"/>
      <c r="E91534"/>
      <c r="F91534"/>
    </row>
    <row r="91535" spans="1:6" x14ac:dyDescent="0.25">
      <c r="A91535"/>
      <c r="B91535"/>
      <c r="C91535"/>
      <c r="E91535"/>
      <c r="F91535"/>
    </row>
    <row r="91536" spans="1:6" x14ac:dyDescent="0.25">
      <c r="A91536"/>
      <c r="B91536"/>
      <c r="C91536"/>
      <c r="E91536"/>
      <c r="F91536"/>
    </row>
    <row r="91537" spans="1:6" x14ac:dyDescent="0.25">
      <c r="A91537"/>
      <c r="B91537"/>
      <c r="C91537"/>
      <c r="E91537"/>
      <c r="F91537"/>
    </row>
    <row r="91538" spans="1:6" x14ac:dyDescent="0.25">
      <c r="A91538"/>
      <c r="B91538"/>
      <c r="C91538"/>
      <c r="E91538"/>
      <c r="F91538"/>
    </row>
    <row r="91539" spans="1:6" x14ac:dyDescent="0.25">
      <c r="A91539"/>
      <c r="B91539"/>
      <c r="C91539"/>
      <c r="E91539"/>
      <c r="F91539"/>
    </row>
    <row r="91540" spans="1:6" x14ac:dyDescent="0.25">
      <c r="A91540"/>
      <c r="B91540"/>
      <c r="C91540"/>
      <c r="E91540"/>
      <c r="F91540"/>
    </row>
    <row r="91541" spans="1:6" x14ac:dyDescent="0.25">
      <c r="A91541"/>
      <c r="B91541"/>
      <c r="C91541"/>
      <c r="E91541"/>
      <c r="F91541"/>
    </row>
    <row r="91542" spans="1:6" x14ac:dyDescent="0.25">
      <c r="A91542"/>
      <c r="B91542"/>
      <c r="C91542"/>
      <c r="E91542"/>
      <c r="F91542"/>
    </row>
    <row r="91543" spans="1:6" x14ac:dyDescent="0.25">
      <c r="A91543"/>
      <c r="B91543"/>
      <c r="C91543"/>
      <c r="E91543"/>
      <c r="F91543"/>
    </row>
    <row r="91544" spans="1:6" x14ac:dyDescent="0.25">
      <c r="A91544"/>
      <c r="B91544"/>
      <c r="C91544"/>
      <c r="E91544"/>
      <c r="F91544"/>
    </row>
    <row r="91545" spans="1:6" x14ac:dyDescent="0.25">
      <c r="A91545"/>
      <c r="B91545"/>
      <c r="C91545"/>
      <c r="E91545"/>
      <c r="F91545"/>
    </row>
    <row r="91546" spans="1:6" x14ac:dyDescent="0.25">
      <c r="A91546"/>
      <c r="B91546"/>
      <c r="C91546"/>
      <c r="E91546"/>
      <c r="F91546"/>
    </row>
    <row r="91547" spans="1:6" x14ac:dyDescent="0.25">
      <c r="A91547"/>
      <c r="B91547"/>
      <c r="C91547"/>
      <c r="E91547"/>
      <c r="F91547"/>
    </row>
    <row r="91548" spans="1:6" x14ac:dyDescent="0.25">
      <c r="A91548"/>
      <c r="B91548"/>
      <c r="C91548"/>
      <c r="E91548"/>
      <c r="F91548"/>
    </row>
    <row r="91549" spans="1:6" x14ac:dyDescent="0.25">
      <c r="A91549"/>
      <c r="B91549"/>
      <c r="C91549"/>
      <c r="E91549"/>
      <c r="F91549"/>
    </row>
    <row r="91550" spans="1:6" x14ac:dyDescent="0.25">
      <c r="A91550"/>
      <c r="B91550"/>
      <c r="C91550"/>
      <c r="E91550"/>
      <c r="F91550"/>
    </row>
    <row r="91551" spans="1:6" x14ac:dyDescent="0.25">
      <c r="A91551"/>
      <c r="B91551"/>
      <c r="C91551"/>
      <c r="E91551"/>
      <c r="F91551"/>
    </row>
    <row r="91552" spans="1:6" x14ac:dyDescent="0.25">
      <c r="A91552"/>
      <c r="B91552"/>
      <c r="C91552"/>
      <c r="E91552"/>
      <c r="F91552"/>
    </row>
    <row r="91553" spans="1:6" x14ac:dyDescent="0.25">
      <c r="A91553"/>
      <c r="B91553"/>
      <c r="C91553"/>
      <c r="E91553"/>
      <c r="F91553"/>
    </row>
    <row r="91554" spans="1:6" x14ac:dyDescent="0.25">
      <c r="A91554"/>
      <c r="B91554"/>
      <c r="C91554"/>
      <c r="E91554"/>
      <c r="F91554"/>
    </row>
    <row r="91555" spans="1:6" x14ac:dyDescent="0.25">
      <c r="A91555"/>
      <c r="B91555"/>
      <c r="C91555"/>
      <c r="E91555"/>
      <c r="F91555"/>
    </row>
    <row r="91556" spans="1:6" x14ac:dyDescent="0.25">
      <c r="A91556"/>
      <c r="B91556"/>
      <c r="C91556"/>
      <c r="E91556"/>
      <c r="F91556"/>
    </row>
    <row r="91557" spans="1:6" x14ac:dyDescent="0.25">
      <c r="A91557"/>
      <c r="B91557"/>
      <c r="C91557"/>
      <c r="E91557"/>
      <c r="F91557"/>
    </row>
    <row r="91558" spans="1:6" x14ac:dyDescent="0.25">
      <c r="A91558"/>
      <c r="B91558"/>
      <c r="C91558"/>
      <c r="E91558"/>
      <c r="F91558"/>
    </row>
    <row r="91559" spans="1:6" x14ac:dyDescent="0.25">
      <c r="A91559"/>
      <c r="B91559"/>
      <c r="C91559"/>
      <c r="E91559"/>
      <c r="F91559"/>
    </row>
    <row r="91560" spans="1:6" x14ac:dyDescent="0.25">
      <c r="A91560"/>
      <c r="B91560"/>
      <c r="C91560"/>
      <c r="E91560"/>
      <c r="F91560"/>
    </row>
    <row r="91561" spans="1:6" x14ac:dyDescent="0.25">
      <c r="A91561"/>
      <c r="B91561"/>
      <c r="C91561"/>
      <c r="E91561"/>
      <c r="F91561"/>
    </row>
    <row r="91562" spans="1:6" x14ac:dyDescent="0.25">
      <c r="A91562"/>
      <c r="B91562"/>
      <c r="C91562"/>
      <c r="E91562"/>
      <c r="F91562"/>
    </row>
    <row r="91563" spans="1:6" x14ac:dyDescent="0.25">
      <c r="A91563"/>
      <c r="B91563"/>
      <c r="C91563"/>
      <c r="E91563"/>
      <c r="F91563"/>
    </row>
    <row r="91564" spans="1:6" x14ac:dyDescent="0.25">
      <c r="A91564"/>
      <c r="B91564"/>
      <c r="C91564"/>
      <c r="E91564"/>
      <c r="F91564"/>
    </row>
    <row r="91565" spans="1:6" x14ac:dyDescent="0.25">
      <c r="A91565"/>
      <c r="B91565"/>
      <c r="C91565"/>
      <c r="E91565"/>
      <c r="F91565"/>
    </row>
    <row r="91566" spans="1:6" x14ac:dyDescent="0.25">
      <c r="A91566"/>
      <c r="B91566"/>
      <c r="C91566"/>
      <c r="E91566"/>
      <c r="F91566"/>
    </row>
    <row r="91567" spans="1:6" x14ac:dyDescent="0.25">
      <c r="A91567"/>
      <c r="B91567"/>
      <c r="C91567"/>
      <c r="E91567"/>
      <c r="F91567"/>
    </row>
    <row r="91568" spans="1:6" x14ac:dyDescent="0.25">
      <c r="A91568"/>
      <c r="B91568"/>
      <c r="C91568"/>
      <c r="E91568"/>
      <c r="F91568"/>
    </row>
    <row r="91569" spans="1:6" x14ac:dyDescent="0.25">
      <c r="A91569"/>
      <c r="B91569"/>
      <c r="C91569"/>
      <c r="E91569"/>
      <c r="F91569"/>
    </row>
    <row r="91570" spans="1:6" x14ac:dyDescent="0.25">
      <c r="A91570"/>
      <c r="B91570"/>
      <c r="C91570"/>
      <c r="E91570"/>
      <c r="F91570"/>
    </row>
    <row r="91571" spans="1:6" x14ac:dyDescent="0.25">
      <c r="A91571"/>
      <c r="B91571"/>
      <c r="C91571"/>
      <c r="E91571"/>
      <c r="F91571"/>
    </row>
    <row r="91572" spans="1:6" x14ac:dyDescent="0.25">
      <c r="A91572"/>
      <c r="B91572"/>
      <c r="C91572"/>
      <c r="E91572"/>
      <c r="F91572"/>
    </row>
    <row r="91573" spans="1:6" x14ac:dyDescent="0.25">
      <c r="A91573"/>
      <c r="B91573"/>
      <c r="C91573"/>
      <c r="E91573"/>
      <c r="F91573"/>
    </row>
    <row r="91574" spans="1:6" x14ac:dyDescent="0.25">
      <c r="A91574"/>
      <c r="B91574"/>
      <c r="C91574"/>
      <c r="E91574"/>
      <c r="F91574"/>
    </row>
    <row r="91575" spans="1:6" x14ac:dyDescent="0.25">
      <c r="A91575"/>
      <c r="B91575"/>
      <c r="C91575"/>
      <c r="E91575"/>
      <c r="F91575"/>
    </row>
    <row r="91576" spans="1:6" x14ac:dyDescent="0.25">
      <c r="A91576"/>
      <c r="B91576"/>
      <c r="C91576"/>
      <c r="E91576"/>
      <c r="F91576"/>
    </row>
    <row r="91577" spans="1:6" x14ac:dyDescent="0.25">
      <c r="A91577"/>
      <c r="B91577"/>
      <c r="C91577"/>
      <c r="E91577"/>
      <c r="F91577"/>
    </row>
    <row r="91578" spans="1:6" x14ac:dyDescent="0.25">
      <c r="A91578"/>
      <c r="B91578"/>
      <c r="C91578"/>
      <c r="E91578"/>
      <c r="F91578"/>
    </row>
    <row r="91579" spans="1:6" x14ac:dyDescent="0.25">
      <c r="A91579"/>
      <c r="B91579"/>
      <c r="C91579"/>
      <c r="E91579"/>
      <c r="F91579"/>
    </row>
    <row r="91580" spans="1:6" x14ac:dyDescent="0.25">
      <c r="A91580"/>
      <c r="B91580"/>
      <c r="C91580"/>
      <c r="E91580"/>
      <c r="F91580"/>
    </row>
    <row r="91581" spans="1:6" x14ac:dyDescent="0.25">
      <c r="A91581"/>
      <c r="B91581"/>
      <c r="C91581"/>
      <c r="E91581"/>
      <c r="F91581"/>
    </row>
    <row r="91582" spans="1:6" x14ac:dyDescent="0.25">
      <c r="A91582"/>
      <c r="B91582"/>
      <c r="C91582"/>
      <c r="E91582"/>
      <c r="F91582"/>
    </row>
    <row r="91583" spans="1:6" x14ac:dyDescent="0.25">
      <c r="A91583"/>
      <c r="B91583"/>
      <c r="C91583"/>
      <c r="E91583"/>
      <c r="F91583"/>
    </row>
    <row r="91584" spans="1:6" x14ac:dyDescent="0.25">
      <c r="A91584"/>
      <c r="B91584"/>
      <c r="C91584"/>
      <c r="E91584"/>
      <c r="F91584"/>
    </row>
    <row r="91585" spans="1:6" x14ac:dyDescent="0.25">
      <c r="A91585"/>
      <c r="B91585"/>
      <c r="C91585"/>
      <c r="E91585"/>
      <c r="F91585"/>
    </row>
    <row r="91586" spans="1:6" x14ac:dyDescent="0.25">
      <c r="A91586"/>
      <c r="B91586"/>
      <c r="C91586"/>
      <c r="E91586"/>
      <c r="F91586"/>
    </row>
    <row r="91587" spans="1:6" x14ac:dyDescent="0.25">
      <c r="A91587"/>
      <c r="B91587"/>
      <c r="C91587"/>
      <c r="E91587"/>
      <c r="F91587"/>
    </row>
    <row r="91588" spans="1:6" x14ac:dyDescent="0.25">
      <c r="A91588"/>
      <c r="B91588"/>
      <c r="C91588"/>
      <c r="E91588"/>
      <c r="F91588"/>
    </row>
    <row r="91589" spans="1:6" x14ac:dyDescent="0.25">
      <c r="A91589"/>
      <c r="B91589"/>
      <c r="C91589"/>
      <c r="E91589"/>
      <c r="F91589"/>
    </row>
    <row r="91590" spans="1:6" x14ac:dyDescent="0.25">
      <c r="A91590"/>
      <c r="B91590"/>
      <c r="C91590"/>
      <c r="E91590"/>
      <c r="F91590"/>
    </row>
    <row r="91591" spans="1:6" x14ac:dyDescent="0.25">
      <c r="A91591"/>
      <c r="B91591"/>
      <c r="C91591"/>
      <c r="E91591"/>
      <c r="F91591"/>
    </row>
    <row r="91592" spans="1:6" x14ac:dyDescent="0.25">
      <c r="A91592"/>
      <c r="B91592"/>
      <c r="C91592"/>
      <c r="E91592"/>
      <c r="F91592"/>
    </row>
    <row r="91593" spans="1:6" x14ac:dyDescent="0.25">
      <c r="A91593"/>
      <c r="B91593"/>
      <c r="C91593"/>
      <c r="E91593"/>
      <c r="F91593"/>
    </row>
    <row r="91594" spans="1:6" x14ac:dyDescent="0.25">
      <c r="A91594"/>
      <c r="B91594"/>
      <c r="C91594"/>
      <c r="E91594"/>
      <c r="F91594"/>
    </row>
    <row r="91595" spans="1:6" x14ac:dyDescent="0.25">
      <c r="A91595"/>
      <c r="B91595"/>
      <c r="C91595"/>
      <c r="E91595"/>
      <c r="F91595"/>
    </row>
    <row r="91596" spans="1:6" x14ac:dyDescent="0.25">
      <c r="A91596"/>
      <c r="B91596"/>
      <c r="C91596"/>
      <c r="E91596"/>
      <c r="F91596"/>
    </row>
    <row r="91597" spans="1:6" x14ac:dyDescent="0.25">
      <c r="A91597"/>
      <c r="B91597"/>
      <c r="C91597"/>
      <c r="E91597"/>
      <c r="F91597"/>
    </row>
    <row r="91598" spans="1:6" x14ac:dyDescent="0.25">
      <c r="A91598"/>
      <c r="B91598"/>
      <c r="C91598"/>
      <c r="E91598"/>
      <c r="F91598"/>
    </row>
    <row r="91599" spans="1:6" x14ac:dyDescent="0.25">
      <c r="A91599"/>
      <c r="B91599"/>
      <c r="C91599"/>
      <c r="E91599"/>
      <c r="F91599"/>
    </row>
    <row r="91600" spans="1:6" x14ac:dyDescent="0.25">
      <c r="A91600"/>
      <c r="B91600"/>
      <c r="C91600"/>
      <c r="E91600"/>
      <c r="F91600"/>
    </row>
    <row r="91601" spans="1:6" x14ac:dyDescent="0.25">
      <c r="A91601"/>
      <c r="B91601"/>
      <c r="C91601"/>
      <c r="E91601"/>
      <c r="F91601"/>
    </row>
    <row r="91602" spans="1:6" x14ac:dyDescent="0.25">
      <c r="A91602"/>
      <c r="B91602"/>
      <c r="C91602"/>
      <c r="E91602"/>
      <c r="F91602"/>
    </row>
    <row r="91603" spans="1:6" x14ac:dyDescent="0.25">
      <c r="A91603"/>
      <c r="B91603"/>
      <c r="C91603"/>
      <c r="E91603"/>
      <c r="F91603"/>
    </row>
    <row r="91604" spans="1:6" x14ac:dyDescent="0.25">
      <c r="A91604"/>
      <c r="B91604"/>
      <c r="C91604"/>
      <c r="E91604"/>
      <c r="F91604"/>
    </row>
    <row r="91605" spans="1:6" x14ac:dyDescent="0.25">
      <c r="A91605"/>
      <c r="B91605"/>
      <c r="C91605"/>
      <c r="E91605"/>
      <c r="F91605"/>
    </row>
    <row r="91606" spans="1:6" x14ac:dyDescent="0.25">
      <c r="A91606"/>
      <c r="B91606"/>
      <c r="C91606"/>
      <c r="E91606"/>
      <c r="F91606"/>
    </row>
    <row r="91607" spans="1:6" x14ac:dyDescent="0.25">
      <c r="A91607"/>
      <c r="B91607"/>
      <c r="C91607"/>
      <c r="E91607"/>
      <c r="F91607"/>
    </row>
    <row r="91608" spans="1:6" x14ac:dyDescent="0.25">
      <c r="A91608"/>
      <c r="B91608"/>
      <c r="C91608"/>
      <c r="E91608"/>
      <c r="F91608"/>
    </row>
    <row r="91609" spans="1:6" x14ac:dyDescent="0.25">
      <c r="A91609"/>
      <c r="B91609"/>
      <c r="C91609"/>
      <c r="E91609"/>
      <c r="F91609"/>
    </row>
    <row r="91610" spans="1:6" x14ac:dyDescent="0.25">
      <c r="A91610"/>
      <c r="B91610"/>
      <c r="C91610"/>
      <c r="E91610"/>
      <c r="F91610"/>
    </row>
    <row r="91611" spans="1:6" x14ac:dyDescent="0.25">
      <c r="A91611"/>
      <c r="B91611"/>
      <c r="C91611"/>
      <c r="E91611"/>
      <c r="F91611"/>
    </row>
    <row r="91612" spans="1:6" x14ac:dyDescent="0.25">
      <c r="A91612"/>
      <c r="B91612"/>
      <c r="C91612"/>
      <c r="E91612"/>
      <c r="F91612"/>
    </row>
    <row r="91613" spans="1:6" x14ac:dyDescent="0.25">
      <c r="A91613"/>
      <c r="B91613"/>
      <c r="C91613"/>
      <c r="E91613"/>
      <c r="F91613"/>
    </row>
    <row r="91614" spans="1:6" x14ac:dyDescent="0.25">
      <c r="A91614"/>
      <c r="B91614"/>
      <c r="C91614"/>
      <c r="E91614"/>
      <c r="F91614"/>
    </row>
    <row r="91615" spans="1:6" x14ac:dyDescent="0.25">
      <c r="A91615"/>
      <c r="B91615"/>
      <c r="C91615"/>
      <c r="E91615"/>
      <c r="F91615"/>
    </row>
    <row r="91616" spans="1:6" x14ac:dyDescent="0.25">
      <c r="A91616"/>
      <c r="B91616"/>
      <c r="C91616"/>
      <c r="E91616"/>
      <c r="F91616"/>
    </row>
    <row r="91617" spans="1:6" x14ac:dyDescent="0.25">
      <c r="A91617"/>
      <c r="B91617"/>
      <c r="C91617"/>
      <c r="E91617"/>
      <c r="F91617"/>
    </row>
    <row r="91618" spans="1:6" x14ac:dyDescent="0.25">
      <c r="A91618"/>
      <c r="B91618"/>
      <c r="C91618"/>
      <c r="E91618"/>
      <c r="F91618"/>
    </row>
    <row r="91619" spans="1:6" x14ac:dyDescent="0.25">
      <c r="A91619"/>
      <c r="B91619"/>
      <c r="C91619"/>
      <c r="E91619"/>
      <c r="F91619"/>
    </row>
    <row r="91620" spans="1:6" x14ac:dyDescent="0.25">
      <c r="A91620"/>
      <c r="B91620"/>
      <c r="C91620"/>
      <c r="E91620"/>
      <c r="F91620"/>
    </row>
    <row r="91621" spans="1:6" x14ac:dyDescent="0.25">
      <c r="A91621"/>
      <c r="B91621"/>
      <c r="C91621"/>
      <c r="E91621"/>
      <c r="F91621"/>
    </row>
    <row r="91622" spans="1:6" x14ac:dyDescent="0.25">
      <c r="A91622"/>
      <c r="B91622"/>
      <c r="C91622"/>
      <c r="E91622"/>
      <c r="F91622"/>
    </row>
    <row r="91623" spans="1:6" x14ac:dyDescent="0.25">
      <c r="A91623"/>
      <c r="B91623"/>
      <c r="C91623"/>
      <c r="E91623"/>
      <c r="F91623"/>
    </row>
    <row r="91624" spans="1:6" x14ac:dyDescent="0.25">
      <c r="A91624"/>
      <c r="B91624"/>
      <c r="C91624"/>
      <c r="E91624"/>
      <c r="F91624"/>
    </row>
    <row r="91625" spans="1:6" x14ac:dyDescent="0.25">
      <c r="A91625"/>
      <c r="B91625"/>
      <c r="C91625"/>
      <c r="E91625"/>
      <c r="F91625"/>
    </row>
    <row r="91626" spans="1:6" x14ac:dyDescent="0.25">
      <c r="A91626"/>
      <c r="B91626"/>
      <c r="C91626"/>
      <c r="E91626"/>
      <c r="F91626"/>
    </row>
    <row r="91627" spans="1:6" x14ac:dyDescent="0.25">
      <c r="A91627"/>
      <c r="B91627"/>
      <c r="C91627"/>
      <c r="E91627"/>
      <c r="F91627"/>
    </row>
    <row r="91628" spans="1:6" x14ac:dyDescent="0.25">
      <c r="A91628"/>
      <c r="B91628"/>
      <c r="C91628"/>
      <c r="E91628"/>
      <c r="F91628"/>
    </row>
    <row r="91629" spans="1:6" x14ac:dyDescent="0.25">
      <c r="A91629"/>
      <c r="B91629"/>
      <c r="C91629"/>
      <c r="E91629"/>
      <c r="F91629"/>
    </row>
    <row r="91630" spans="1:6" x14ac:dyDescent="0.25">
      <c r="A91630"/>
      <c r="B91630"/>
      <c r="C91630"/>
      <c r="E91630"/>
      <c r="F91630"/>
    </row>
    <row r="91631" spans="1:6" x14ac:dyDescent="0.25">
      <c r="A91631"/>
      <c r="B91631"/>
      <c r="C91631"/>
      <c r="E91631"/>
      <c r="F91631"/>
    </row>
    <row r="91632" spans="1:6" x14ac:dyDescent="0.25">
      <c r="A91632"/>
      <c r="B91632"/>
      <c r="C91632"/>
      <c r="E91632"/>
      <c r="F91632"/>
    </row>
    <row r="91633" spans="1:6" x14ac:dyDescent="0.25">
      <c r="A91633"/>
      <c r="B91633"/>
      <c r="C91633"/>
      <c r="E91633"/>
      <c r="F91633"/>
    </row>
    <row r="91634" spans="1:6" x14ac:dyDescent="0.25">
      <c r="A91634"/>
      <c r="B91634"/>
      <c r="C91634"/>
      <c r="E91634"/>
      <c r="F91634"/>
    </row>
    <row r="91635" spans="1:6" x14ac:dyDescent="0.25">
      <c r="A91635"/>
      <c r="B91635"/>
      <c r="C91635"/>
      <c r="E91635"/>
      <c r="F91635"/>
    </row>
    <row r="91636" spans="1:6" x14ac:dyDescent="0.25">
      <c r="A91636"/>
      <c r="B91636"/>
      <c r="C91636"/>
      <c r="E91636"/>
      <c r="F91636"/>
    </row>
    <row r="91637" spans="1:6" x14ac:dyDescent="0.25">
      <c r="A91637"/>
      <c r="B91637"/>
      <c r="C91637"/>
      <c r="E91637"/>
      <c r="F91637"/>
    </row>
    <row r="91638" spans="1:6" x14ac:dyDescent="0.25">
      <c r="A91638"/>
      <c r="B91638"/>
      <c r="C91638"/>
      <c r="E91638"/>
      <c r="F91638"/>
    </row>
    <row r="91639" spans="1:6" x14ac:dyDescent="0.25">
      <c r="A91639"/>
      <c r="B91639"/>
      <c r="C91639"/>
      <c r="E91639"/>
      <c r="F91639"/>
    </row>
    <row r="91640" spans="1:6" x14ac:dyDescent="0.25">
      <c r="A91640"/>
      <c r="B91640"/>
      <c r="C91640"/>
      <c r="E91640"/>
      <c r="F91640"/>
    </row>
    <row r="91641" spans="1:6" x14ac:dyDescent="0.25">
      <c r="A91641"/>
      <c r="B91641"/>
      <c r="C91641"/>
      <c r="E91641"/>
      <c r="F91641"/>
    </row>
    <row r="91642" spans="1:6" x14ac:dyDescent="0.25">
      <c r="A91642"/>
      <c r="B91642"/>
      <c r="C91642"/>
      <c r="E91642"/>
      <c r="F91642"/>
    </row>
    <row r="91643" spans="1:6" x14ac:dyDescent="0.25">
      <c r="A91643"/>
      <c r="B91643"/>
      <c r="C91643"/>
      <c r="E91643"/>
      <c r="F91643"/>
    </row>
    <row r="91644" spans="1:6" x14ac:dyDescent="0.25">
      <c r="A91644"/>
      <c r="B91644"/>
      <c r="C91644"/>
      <c r="E91644"/>
      <c r="F91644"/>
    </row>
    <row r="91645" spans="1:6" x14ac:dyDescent="0.25">
      <c r="A91645"/>
      <c r="B91645"/>
      <c r="C91645"/>
      <c r="E91645"/>
      <c r="F91645"/>
    </row>
    <row r="91646" spans="1:6" x14ac:dyDescent="0.25">
      <c r="A91646"/>
      <c r="B91646"/>
      <c r="C91646"/>
      <c r="E91646"/>
      <c r="F91646"/>
    </row>
    <row r="91647" spans="1:6" x14ac:dyDescent="0.25">
      <c r="A91647"/>
      <c r="B91647"/>
      <c r="C91647"/>
      <c r="E91647"/>
      <c r="F91647"/>
    </row>
    <row r="91648" spans="1:6" x14ac:dyDescent="0.25">
      <c r="A91648"/>
      <c r="B91648"/>
      <c r="C91648"/>
      <c r="E91648"/>
      <c r="F91648"/>
    </row>
    <row r="91649" spans="1:6" x14ac:dyDescent="0.25">
      <c r="A91649"/>
      <c r="B91649"/>
      <c r="C91649"/>
      <c r="E91649"/>
      <c r="F91649"/>
    </row>
    <row r="91650" spans="1:6" x14ac:dyDescent="0.25">
      <c r="A91650"/>
      <c r="B91650"/>
      <c r="C91650"/>
      <c r="E91650"/>
      <c r="F91650"/>
    </row>
    <row r="91651" spans="1:6" x14ac:dyDescent="0.25">
      <c r="A91651"/>
      <c r="B91651"/>
      <c r="C91651"/>
      <c r="E91651"/>
      <c r="F91651"/>
    </row>
    <row r="91652" spans="1:6" x14ac:dyDescent="0.25">
      <c r="A91652"/>
      <c r="B91652"/>
      <c r="C91652"/>
      <c r="E91652"/>
      <c r="F91652"/>
    </row>
    <row r="91653" spans="1:6" x14ac:dyDescent="0.25">
      <c r="A91653"/>
      <c r="B91653"/>
      <c r="C91653"/>
      <c r="E91653"/>
      <c r="F91653"/>
    </row>
    <row r="91654" spans="1:6" x14ac:dyDescent="0.25">
      <c r="A91654"/>
      <c r="B91654"/>
      <c r="C91654"/>
      <c r="E91654"/>
      <c r="F91654"/>
    </row>
    <row r="91655" spans="1:6" x14ac:dyDescent="0.25">
      <c r="A91655"/>
      <c r="B91655"/>
      <c r="C91655"/>
      <c r="E91655"/>
      <c r="F91655"/>
    </row>
    <row r="91656" spans="1:6" x14ac:dyDescent="0.25">
      <c r="A91656"/>
      <c r="B91656"/>
      <c r="C91656"/>
      <c r="E91656"/>
      <c r="F91656"/>
    </row>
    <row r="91657" spans="1:6" x14ac:dyDescent="0.25">
      <c r="A91657"/>
      <c r="B91657"/>
      <c r="C91657"/>
      <c r="E91657"/>
      <c r="F91657"/>
    </row>
    <row r="91658" spans="1:6" x14ac:dyDescent="0.25">
      <c r="A91658"/>
      <c r="B91658"/>
      <c r="C91658"/>
      <c r="E91658"/>
      <c r="F91658"/>
    </row>
    <row r="91659" spans="1:6" x14ac:dyDescent="0.25">
      <c r="A91659"/>
      <c r="B91659"/>
      <c r="C91659"/>
      <c r="E91659"/>
      <c r="F91659"/>
    </row>
    <row r="91660" spans="1:6" x14ac:dyDescent="0.25">
      <c r="A91660"/>
      <c r="B91660"/>
      <c r="C91660"/>
      <c r="E91660"/>
      <c r="F91660"/>
    </row>
    <row r="91661" spans="1:6" x14ac:dyDescent="0.25">
      <c r="A91661"/>
      <c r="B91661"/>
      <c r="C91661"/>
      <c r="E91661"/>
      <c r="F91661"/>
    </row>
    <row r="91662" spans="1:6" x14ac:dyDescent="0.25">
      <c r="A91662"/>
      <c r="B91662"/>
      <c r="C91662"/>
      <c r="E91662"/>
      <c r="F91662"/>
    </row>
    <row r="91663" spans="1:6" x14ac:dyDescent="0.25">
      <c r="A91663"/>
      <c r="B91663"/>
      <c r="C91663"/>
      <c r="E91663"/>
      <c r="F91663"/>
    </row>
    <row r="91664" spans="1:6" x14ac:dyDescent="0.25">
      <c r="A91664"/>
      <c r="B91664"/>
      <c r="C91664"/>
      <c r="E91664"/>
      <c r="F91664"/>
    </row>
    <row r="91665" spans="1:6" x14ac:dyDescent="0.25">
      <c r="A91665"/>
      <c r="B91665"/>
      <c r="C91665"/>
      <c r="E91665"/>
      <c r="F91665"/>
    </row>
    <row r="91666" spans="1:6" x14ac:dyDescent="0.25">
      <c r="A91666"/>
      <c r="B91666"/>
      <c r="C91666"/>
      <c r="E91666"/>
      <c r="F91666"/>
    </row>
    <row r="91667" spans="1:6" x14ac:dyDescent="0.25">
      <c r="A91667"/>
      <c r="B91667"/>
      <c r="C91667"/>
      <c r="E91667"/>
      <c r="F91667"/>
    </row>
    <row r="91668" spans="1:6" x14ac:dyDescent="0.25">
      <c r="A91668"/>
      <c r="B91668"/>
      <c r="C91668"/>
      <c r="E91668"/>
      <c r="F91668"/>
    </row>
    <row r="91669" spans="1:6" x14ac:dyDescent="0.25">
      <c r="A91669"/>
      <c r="B91669"/>
      <c r="C91669"/>
      <c r="E91669"/>
      <c r="F91669"/>
    </row>
    <row r="91670" spans="1:6" x14ac:dyDescent="0.25">
      <c r="A91670"/>
      <c r="B91670"/>
      <c r="C91670"/>
      <c r="E91670"/>
      <c r="F91670"/>
    </row>
    <row r="91671" spans="1:6" x14ac:dyDescent="0.25">
      <c r="A91671"/>
      <c r="B91671"/>
      <c r="C91671"/>
      <c r="E91671"/>
      <c r="F91671"/>
    </row>
    <row r="91672" spans="1:6" x14ac:dyDescent="0.25">
      <c r="A91672"/>
      <c r="B91672"/>
      <c r="C91672"/>
      <c r="E91672"/>
      <c r="F91672"/>
    </row>
    <row r="91673" spans="1:6" x14ac:dyDescent="0.25">
      <c r="A91673"/>
      <c r="B91673"/>
      <c r="C91673"/>
      <c r="E91673"/>
      <c r="F91673"/>
    </row>
    <row r="91674" spans="1:6" x14ac:dyDescent="0.25">
      <c r="A91674"/>
      <c r="B91674"/>
      <c r="C91674"/>
      <c r="E91674"/>
      <c r="F91674"/>
    </row>
    <row r="91675" spans="1:6" x14ac:dyDescent="0.25">
      <c r="A91675"/>
      <c r="B91675"/>
      <c r="C91675"/>
      <c r="E91675"/>
      <c r="F91675"/>
    </row>
    <row r="91676" spans="1:6" x14ac:dyDescent="0.25">
      <c r="A91676"/>
      <c r="B91676"/>
      <c r="C91676"/>
      <c r="E91676"/>
      <c r="F91676"/>
    </row>
    <row r="91677" spans="1:6" x14ac:dyDescent="0.25">
      <c r="A91677"/>
      <c r="B91677"/>
      <c r="C91677"/>
      <c r="E91677"/>
      <c r="F91677"/>
    </row>
    <row r="91678" spans="1:6" x14ac:dyDescent="0.25">
      <c r="A91678"/>
      <c r="B91678"/>
      <c r="C91678"/>
      <c r="E91678"/>
      <c r="F91678"/>
    </row>
    <row r="91679" spans="1:6" x14ac:dyDescent="0.25">
      <c r="A91679"/>
      <c r="B91679"/>
      <c r="C91679"/>
      <c r="E91679"/>
      <c r="F91679"/>
    </row>
    <row r="91680" spans="1:6" x14ac:dyDescent="0.25">
      <c r="A91680"/>
      <c r="B91680"/>
      <c r="C91680"/>
      <c r="E91680"/>
      <c r="F91680"/>
    </row>
    <row r="91681" spans="1:6" x14ac:dyDescent="0.25">
      <c r="A91681"/>
      <c r="B91681"/>
      <c r="C91681"/>
      <c r="E91681"/>
      <c r="F91681"/>
    </row>
    <row r="91682" spans="1:6" x14ac:dyDescent="0.25">
      <c r="A91682"/>
      <c r="B91682"/>
      <c r="C91682"/>
      <c r="E91682"/>
      <c r="F91682"/>
    </row>
    <row r="91683" spans="1:6" x14ac:dyDescent="0.25">
      <c r="A91683"/>
      <c r="B91683"/>
      <c r="C91683"/>
      <c r="E91683"/>
      <c r="F91683"/>
    </row>
    <row r="91684" spans="1:6" x14ac:dyDescent="0.25">
      <c r="A91684"/>
      <c r="B91684"/>
      <c r="C91684"/>
      <c r="E91684"/>
      <c r="F91684"/>
    </row>
    <row r="91685" spans="1:6" x14ac:dyDescent="0.25">
      <c r="A91685"/>
      <c r="B91685"/>
      <c r="C91685"/>
      <c r="E91685"/>
      <c r="F91685"/>
    </row>
    <row r="91686" spans="1:6" x14ac:dyDescent="0.25">
      <c r="A91686"/>
      <c r="B91686"/>
      <c r="C91686"/>
      <c r="E91686"/>
      <c r="F91686"/>
    </row>
    <row r="91687" spans="1:6" x14ac:dyDescent="0.25">
      <c r="A91687"/>
      <c r="B91687"/>
      <c r="C91687"/>
      <c r="E91687"/>
      <c r="F91687"/>
    </row>
    <row r="91688" spans="1:6" x14ac:dyDescent="0.25">
      <c r="A91688"/>
      <c r="B91688"/>
      <c r="C91688"/>
      <c r="E91688"/>
      <c r="F91688"/>
    </row>
    <row r="91689" spans="1:6" x14ac:dyDescent="0.25">
      <c r="A91689"/>
      <c r="B91689"/>
      <c r="C91689"/>
      <c r="E91689"/>
      <c r="F91689"/>
    </row>
    <row r="91690" spans="1:6" x14ac:dyDescent="0.25">
      <c r="A91690"/>
      <c r="B91690"/>
      <c r="C91690"/>
      <c r="E91690"/>
      <c r="F91690"/>
    </row>
    <row r="91691" spans="1:6" x14ac:dyDescent="0.25">
      <c r="A91691"/>
      <c r="B91691"/>
      <c r="C91691"/>
      <c r="E91691"/>
      <c r="F91691"/>
    </row>
    <row r="91692" spans="1:6" x14ac:dyDescent="0.25">
      <c r="A91692"/>
      <c r="B91692"/>
      <c r="C91692"/>
      <c r="E91692"/>
      <c r="F91692"/>
    </row>
    <row r="91693" spans="1:6" x14ac:dyDescent="0.25">
      <c r="A91693"/>
      <c r="B91693"/>
      <c r="C91693"/>
      <c r="E91693"/>
      <c r="F91693"/>
    </row>
    <row r="91694" spans="1:6" x14ac:dyDescent="0.25">
      <c r="A91694"/>
      <c r="B91694"/>
      <c r="C91694"/>
      <c r="E91694"/>
      <c r="F91694"/>
    </row>
    <row r="91695" spans="1:6" x14ac:dyDescent="0.25">
      <c r="A91695"/>
      <c r="B91695"/>
      <c r="C91695"/>
      <c r="E91695"/>
      <c r="F91695"/>
    </row>
    <row r="91696" spans="1:6" x14ac:dyDescent="0.25">
      <c r="A91696"/>
      <c r="B91696"/>
      <c r="C91696"/>
      <c r="E91696"/>
      <c r="F91696"/>
    </row>
    <row r="91697" spans="1:6" x14ac:dyDescent="0.25">
      <c r="A91697"/>
      <c r="B91697"/>
      <c r="C91697"/>
      <c r="E91697"/>
      <c r="F91697"/>
    </row>
    <row r="91698" spans="1:6" x14ac:dyDescent="0.25">
      <c r="A91698"/>
      <c r="B91698"/>
      <c r="C91698"/>
      <c r="E91698"/>
      <c r="F91698"/>
    </row>
    <row r="91699" spans="1:6" x14ac:dyDescent="0.25">
      <c r="A91699"/>
      <c r="B91699"/>
      <c r="C91699"/>
      <c r="E91699"/>
      <c r="F91699"/>
    </row>
    <row r="91700" spans="1:6" x14ac:dyDescent="0.25">
      <c r="A91700"/>
      <c r="B91700"/>
      <c r="C91700"/>
      <c r="E91700"/>
      <c r="F91700"/>
    </row>
    <row r="91701" spans="1:6" x14ac:dyDescent="0.25">
      <c r="A91701"/>
      <c r="B91701"/>
      <c r="C91701"/>
      <c r="E91701"/>
      <c r="F91701"/>
    </row>
    <row r="91702" spans="1:6" x14ac:dyDescent="0.25">
      <c r="A91702"/>
      <c r="B91702"/>
      <c r="C91702"/>
      <c r="E91702"/>
      <c r="F91702"/>
    </row>
    <row r="91703" spans="1:6" x14ac:dyDescent="0.25">
      <c r="A91703"/>
      <c r="B91703"/>
      <c r="C91703"/>
      <c r="E91703"/>
      <c r="F91703"/>
    </row>
    <row r="91704" spans="1:6" x14ac:dyDescent="0.25">
      <c r="A91704"/>
      <c r="B91704"/>
      <c r="C91704"/>
      <c r="E91704"/>
      <c r="F91704"/>
    </row>
    <row r="91705" spans="1:6" x14ac:dyDescent="0.25">
      <c r="A91705"/>
      <c r="B91705"/>
      <c r="C91705"/>
      <c r="E91705"/>
      <c r="F91705"/>
    </row>
    <row r="91706" spans="1:6" x14ac:dyDescent="0.25">
      <c r="A91706"/>
      <c r="B91706"/>
      <c r="C91706"/>
      <c r="E91706"/>
      <c r="F91706"/>
    </row>
    <row r="91707" spans="1:6" x14ac:dyDescent="0.25">
      <c r="A91707"/>
      <c r="B91707"/>
      <c r="C91707"/>
      <c r="E91707"/>
      <c r="F91707"/>
    </row>
    <row r="91708" spans="1:6" x14ac:dyDescent="0.25">
      <c r="A91708"/>
      <c r="B91708"/>
      <c r="C91708"/>
      <c r="E91708"/>
      <c r="F91708"/>
    </row>
    <row r="91709" spans="1:6" x14ac:dyDescent="0.25">
      <c r="A91709"/>
      <c r="B91709"/>
      <c r="C91709"/>
      <c r="E91709"/>
      <c r="F91709"/>
    </row>
    <row r="91710" spans="1:6" x14ac:dyDescent="0.25">
      <c r="A91710"/>
      <c r="B91710"/>
      <c r="C91710"/>
      <c r="E91710"/>
      <c r="F91710"/>
    </row>
    <row r="91711" spans="1:6" x14ac:dyDescent="0.25">
      <c r="A91711"/>
      <c r="B91711"/>
      <c r="C91711"/>
      <c r="E91711"/>
      <c r="F91711"/>
    </row>
    <row r="91712" spans="1:6" x14ac:dyDescent="0.25">
      <c r="A91712"/>
      <c r="B91712"/>
      <c r="C91712"/>
      <c r="E91712"/>
      <c r="F91712"/>
    </row>
    <row r="91713" spans="1:6" x14ac:dyDescent="0.25">
      <c r="A91713"/>
      <c r="B91713"/>
      <c r="C91713"/>
      <c r="E91713"/>
      <c r="F91713"/>
    </row>
    <row r="91714" spans="1:6" x14ac:dyDescent="0.25">
      <c r="A91714"/>
      <c r="B91714"/>
      <c r="C91714"/>
      <c r="E91714"/>
      <c r="F91714"/>
    </row>
    <row r="91715" spans="1:6" x14ac:dyDescent="0.25">
      <c r="A91715"/>
      <c r="B91715"/>
      <c r="C91715"/>
      <c r="E91715"/>
      <c r="F91715"/>
    </row>
    <row r="91716" spans="1:6" x14ac:dyDescent="0.25">
      <c r="A91716"/>
      <c r="B91716"/>
      <c r="C91716"/>
      <c r="E91716"/>
      <c r="F91716"/>
    </row>
    <row r="91717" spans="1:6" x14ac:dyDescent="0.25">
      <c r="A91717"/>
      <c r="B91717"/>
      <c r="C91717"/>
      <c r="E91717"/>
      <c r="F91717"/>
    </row>
    <row r="91718" spans="1:6" x14ac:dyDescent="0.25">
      <c r="A91718"/>
      <c r="B91718"/>
      <c r="C91718"/>
      <c r="E91718"/>
      <c r="F91718"/>
    </row>
    <row r="91719" spans="1:6" x14ac:dyDescent="0.25">
      <c r="A91719"/>
      <c r="B91719"/>
      <c r="C91719"/>
      <c r="E91719"/>
      <c r="F91719"/>
    </row>
    <row r="91720" spans="1:6" x14ac:dyDescent="0.25">
      <c r="A91720"/>
      <c r="B91720"/>
      <c r="C91720"/>
      <c r="E91720"/>
      <c r="F91720"/>
    </row>
    <row r="91721" spans="1:6" x14ac:dyDescent="0.25">
      <c r="A91721"/>
      <c r="B91721"/>
      <c r="C91721"/>
      <c r="E91721"/>
      <c r="F91721"/>
    </row>
    <row r="91722" spans="1:6" x14ac:dyDescent="0.25">
      <c r="A91722"/>
      <c r="B91722"/>
      <c r="C91722"/>
      <c r="E91722"/>
      <c r="F91722"/>
    </row>
    <row r="91723" spans="1:6" x14ac:dyDescent="0.25">
      <c r="A91723"/>
      <c r="B91723"/>
      <c r="C91723"/>
      <c r="E91723"/>
      <c r="F91723"/>
    </row>
    <row r="91724" spans="1:6" x14ac:dyDescent="0.25">
      <c r="A91724"/>
      <c r="B91724"/>
      <c r="C91724"/>
      <c r="E91724"/>
      <c r="F91724"/>
    </row>
    <row r="91725" spans="1:6" x14ac:dyDescent="0.25">
      <c r="A91725"/>
      <c r="B91725"/>
      <c r="C91725"/>
      <c r="E91725"/>
      <c r="F91725"/>
    </row>
    <row r="91726" spans="1:6" x14ac:dyDescent="0.25">
      <c r="A91726"/>
      <c r="B91726"/>
      <c r="C91726"/>
      <c r="E91726"/>
      <c r="F91726"/>
    </row>
    <row r="91727" spans="1:6" x14ac:dyDescent="0.25">
      <c r="A91727"/>
      <c r="B91727"/>
      <c r="C91727"/>
      <c r="E91727"/>
      <c r="F91727"/>
    </row>
    <row r="91728" spans="1:6" x14ac:dyDescent="0.25">
      <c r="A91728"/>
      <c r="B91728"/>
      <c r="C91728"/>
      <c r="E91728"/>
      <c r="F91728"/>
    </row>
    <row r="91729" spans="1:6" x14ac:dyDescent="0.25">
      <c r="A91729"/>
      <c r="B91729"/>
      <c r="C91729"/>
      <c r="E91729"/>
      <c r="F91729"/>
    </row>
    <row r="91730" spans="1:6" x14ac:dyDescent="0.25">
      <c r="A91730"/>
      <c r="B91730"/>
      <c r="C91730"/>
      <c r="E91730"/>
      <c r="F91730"/>
    </row>
    <row r="91731" spans="1:6" x14ac:dyDescent="0.25">
      <c r="A91731"/>
      <c r="B91731"/>
      <c r="C91731"/>
      <c r="E91731"/>
      <c r="F91731"/>
    </row>
    <row r="91732" spans="1:6" x14ac:dyDescent="0.25">
      <c r="A91732"/>
      <c r="B91732"/>
      <c r="C91732"/>
      <c r="E91732"/>
      <c r="F91732"/>
    </row>
    <row r="91733" spans="1:6" x14ac:dyDescent="0.25">
      <c r="A91733"/>
      <c r="B91733"/>
      <c r="C91733"/>
      <c r="E91733"/>
      <c r="F91733"/>
    </row>
    <row r="91734" spans="1:6" x14ac:dyDescent="0.25">
      <c r="A91734"/>
      <c r="B91734"/>
      <c r="C91734"/>
      <c r="E91734"/>
      <c r="F91734"/>
    </row>
    <row r="91735" spans="1:6" x14ac:dyDescent="0.25">
      <c r="A91735"/>
      <c r="B91735"/>
      <c r="C91735"/>
      <c r="E91735"/>
      <c r="F91735"/>
    </row>
    <row r="91736" spans="1:6" x14ac:dyDescent="0.25">
      <c r="A91736"/>
      <c r="B91736"/>
      <c r="C91736"/>
      <c r="E91736"/>
      <c r="F91736"/>
    </row>
    <row r="91737" spans="1:6" x14ac:dyDescent="0.25">
      <c r="A91737"/>
      <c r="B91737"/>
      <c r="C91737"/>
      <c r="E91737"/>
      <c r="F91737"/>
    </row>
    <row r="91738" spans="1:6" x14ac:dyDescent="0.25">
      <c r="A91738"/>
      <c r="B91738"/>
      <c r="C91738"/>
      <c r="E91738"/>
      <c r="F91738"/>
    </row>
    <row r="91739" spans="1:6" x14ac:dyDescent="0.25">
      <c r="A91739"/>
      <c r="B91739"/>
      <c r="C91739"/>
      <c r="E91739"/>
      <c r="F91739"/>
    </row>
    <row r="91740" spans="1:6" x14ac:dyDescent="0.25">
      <c r="A91740"/>
      <c r="B91740"/>
      <c r="C91740"/>
      <c r="E91740"/>
      <c r="F91740"/>
    </row>
    <row r="91741" spans="1:6" x14ac:dyDescent="0.25">
      <c r="A91741"/>
      <c r="B91741"/>
      <c r="C91741"/>
      <c r="E91741"/>
      <c r="F91741"/>
    </row>
    <row r="91742" spans="1:6" x14ac:dyDescent="0.25">
      <c r="A91742"/>
      <c r="B91742"/>
      <c r="C91742"/>
      <c r="E91742"/>
      <c r="F91742"/>
    </row>
    <row r="91743" spans="1:6" x14ac:dyDescent="0.25">
      <c r="A91743"/>
      <c r="B91743"/>
      <c r="C91743"/>
      <c r="E91743"/>
      <c r="F91743"/>
    </row>
    <row r="91744" spans="1:6" x14ac:dyDescent="0.25">
      <c r="A91744"/>
      <c r="B91744"/>
      <c r="C91744"/>
      <c r="E91744"/>
      <c r="F91744"/>
    </row>
    <row r="91745" spans="1:6" x14ac:dyDescent="0.25">
      <c r="A91745"/>
      <c r="B91745"/>
      <c r="C91745"/>
      <c r="E91745"/>
      <c r="F91745"/>
    </row>
    <row r="91746" spans="1:6" x14ac:dyDescent="0.25">
      <c r="A91746"/>
      <c r="B91746"/>
      <c r="C91746"/>
      <c r="E91746"/>
      <c r="F91746"/>
    </row>
    <row r="91747" spans="1:6" x14ac:dyDescent="0.25">
      <c r="A91747"/>
      <c r="B91747"/>
      <c r="C91747"/>
      <c r="E91747"/>
      <c r="F91747"/>
    </row>
    <row r="91748" spans="1:6" x14ac:dyDescent="0.25">
      <c r="A91748"/>
      <c r="B91748"/>
      <c r="C91748"/>
      <c r="E91748"/>
      <c r="F91748"/>
    </row>
    <row r="91749" spans="1:6" x14ac:dyDescent="0.25">
      <c r="A91749"/>
      <c r="B91749"/>
      <c r="C91749"/>
      <c r="E91749"/>
      <c r="F91749"/>
    </row>
    <row r="91750" spans="1:6" x14ac:dyDescent="0.25">
      <c r="A91750"/>
      <c r="B91750"/>
      <c r="C91750"/>
      <c r="E91750"/>
      <c r="F91750"/>
    </row>
    <row r="91751" spans="1:6" x14ac:dyDescent="0.25">
      <c r="A91751"/>
      <c r="B91751"/>
      <c r="C91751"/>
      <c r="E91751"/>
      <c r="F91751"/>
    </row>
    <row r="91752" spans="1:6" x14ac:dyDescent="0.25">
      <c r="A91752"/>
      <c r="B91752"/>
      <c r="C91752"/>
      <c r="E91752"/>
      <c r="F91752"/>
    </row>
    <row r="91753" spans="1:6" x14ac:dyDescent="0.25">
      <c r="A91753"/>
      <c r="B91753"/>
      <c r="C91753"/>
      <c r="E91753"/>
      <c r="F91753"/>
    </row>
    <row r="91754" spans="1:6" x14ac:dyDescent="0.25">
      <c r="A91754"/>
      <c r="B91754"/>
      <c r="C91754"/>
      <c r="E91754"/>
      <c r="F91754"/>
    </row>
    <row r="91755" spans="1:6" x14ac:dyDescent="0.25">
      <c r="A91755"/>
      <c r="B91755"/>
      <c r="C91755"/>
      <c r="E91755"/>
      <c r="F91755"/>
    </row>
    <row r="91756" spans="1:6" x14ac:dyDescent="0.25">
      <c r="A91756"/>
      <c r="B91756"/>
      <c r="C91756"/>
      <c r="E91756"/>
      <c r="F91756"/>
    </row>
    <row r="91757" spans="1:6" x14ac:dyDescent="0.25">
      <c r="A91757"/>
      <c r="B91757"/>
      <c r="C91757"/>
      <c r="E91757"/>
      <c r="F91757"/>
    </row>
    <row r="91758" spans="1:6" x14ac:dyDescent="0.25">
      <c r="A91758"/>
      <c r="B91758"/>
      <c r="C91758"/>
      <c r="E91758"/>
      <c r="F91758"/>
    </row>
    <row r="91759" spans="1:6" x14ac:dyDescent="0.25">
      <c r="A91759"/>
      <c r="B91759"/>
      <c r="C91759"/>
      <c r="E91759"/>
      <c r="F91759"/>
    </row>
    <row r="91760" spans="1:6" x14ac:dyDescent="0.25">
      <c r="A91760"/>
      <c r="B91760"/>
      <c r="C91760"/>
      <c r="E91760"/>
      <c r="F91760"/>
    </row>
    <row r="91761" spans="1:6" x14ac:dyDescent="0.25">
      <c r="A91761"/>
      <c r="B91761"/>
      <c r="C91761"/>
      <c r="E91761"/>
      <c r="F91761"/>
    </row>
    <row r="91762" spans="1:6" x14ac:dyDescent="0.25">
      <c r="A91762"/>
      <c r="B91762"/>
      <c r="C91762"/>
      <c r="E91762"/>
      <c r="F91762"/>
    </row>
    <row r="91763" spans="1:6" x14ac:dyDescent="0.25">
      <c r="A91763"/>
      <c r="B91763"/>
      <c r="C91763"/>
      <c r="E91763"/>
      <c r="F91763"/>
    </row>
    <row r="91764" spans="1:6" x14ac:dyDescent="0.25">
      <c r="A91764"/>
      <c r="B91764"/>
      <c r="C91764"/>
      <c r="E91764"/>
      <c r="F91764"/>
    </row>
    <row r="91765" spans="1:6" x14ac:dyDescent="0.25">
      <c r="A91765"/>
      <c r="B91765"/>
      <c r="C91765"/>
      <c r="E91765"/>
      <c r="F91765"/>
    </row>
    <row r="91766" spans="1:6" x14ac:dyDescent="0.25">
      <c r="A91766"/>
      <c r="B91766"/>
      <c r="C91766"/>
      <c r="E91766"/>
      <c r="F91766"/>
    </row>
    <row r="91767" spans="1:6" x14ac:dyDescent="0.25">
      <c r="A91767"/>
      <c r="B91767"/>
      <c r="C91767"/>
      <c r="E91767"/>
      <c r="F91767"/>
    </row>
    <row r="91768" spans="1:6" x14ac:dyDescent="0.25">
      <c r="A91768"/>
      <c r="B91768"/>
      <c r="C91768"/>
      <c r="E91768"/>
      <c r="F91768"/>
    </row>
    <row r="91769" spans="1:6" x14ac:dyDescent="0.25">
      <c r="A91769"/>
      <c r="B91769"/>
      <c r="C91769"/>
      <c r="E91769"/>
      <c r="F91769"/>
    </row>
    <row r="91770" spans="1:6" x14ac:dyDescent="0.25">
      <c r="A91770"/>
      <c r="B91770"/>
      <c r="C91770"/>
      <c r="E91770"/>
      <c r="F91770"/>
    </row>
    <row r="91771" spans="1:6" x14ac:dyDescent="0.25">
      <c r="A91771"/>
      <c r="B91771"/>
      <c r="C91771"/>
      <c r="E91771"/>
      <c r="F91771"/>
    </row>
    <row r="91772" spans="1:6" x14ac:dyDescent="0.25">
      <c r="A91772"/>
      <c r="B91772"/>
      <c r="C91772"/>
      <c r="E91772"/>
      <c r="F91772"/>
    </row>
    <row r="91773" spans="1:6" x14ac:dyDescent="0.25">
      <c r="A91773"/>
      <c r="B91773"/>
      <c r="C91773"/>
      <c r="E91773"/>
      <c r="F91773"/>
    </row>
    <row r="91774" spans="1:6" x14ac:dyDescent="0.25">
      <c r="A91774"/>
      <c r="B91774"/>
      <c r="C91774"/>
      <c r="E91774"/>
      <c r="F91774"/>
    </row>
    <row r="91775" spans="1:6" x14ac:dyDescent="0.25">
      <c r="A91775"/>
      <c r="B91775"/>
      <c r="C91775"/>
      <c r="E91775"/>
      <c r="F91775"/>
    </row>
    <row r="91776" spans="1:6" x14ac:dyDescent="0.25">
      <c r="A91776"/>
      <c r="B91776"/>
      <c r="C91776"/>
      <c r="E91776"/>
      <c r="F91776"/>
    </row>
    <row r="91777" spans="1:6" x14ac:dyDescent="0.25">
      <c r="A91777"/>
      <c r="B91777"/>
      <c r="C91777"/>
      <c r="E91777"/>
      <c r="F91777"/>
    </row>
    <row r="91778" spans="1:6" x14ac:dyDescent="0.25">
      <c r="A91778"/>
      <c r="B91778"/>
      <c r="C91778"/>
      <c r="E91778"/>
      <c r="F91778"/>
    </row>
    <row r="91779" spans="1:6" x14ac:dyDescent="0.25">
      <c r="A91779"/>
      <c r="B91779"/>
      <c r="C91779"/>
      <c r="E91779"/>
      <c r="F91779"/>
    </row>
    <row r="91780" spans="1:6" x14ac:dyDescent="0.25">
      <c r="A91780"/>
      <c r="B91780"/>
      <c r="C91780"/>
      <c r="E91780"/>
      <c r="F91780"/>
    </row>
    <row r="91781" spans="1:6" x14ac:dyDescent="0.25">
      <c r="A91781"/>
      <c r="B91781"/>
      <c r="C91781"/>
      <c r="E91781"/>
      <c r="F91781"/>
    </row>
    <row r="91782" spans="1:6" x14ac:dyDescent="0.25">
      <c r="A91782"/>
      <c r="B91782"/>
      <c r="C91782"/>
      <c r="E91782"/>
      <c r="F91782"/>
    </row>
    <row r="91783" spans="1:6" x14ac:dyDescent="0.25">
      <c r="A91783"/>
      <c r="B91783"/>
      <c r="C91783"/>
      <c r="E91783"/>
      <c r="F91783"/>
    </row>
    <row r="91784" spans="1:6" x14ac:dyDescent="0.25">
      <c r="A91784"/>
      <c r="B91784"/>
      <c r="C91784"/>
      <c r="E91784"/>
      <c r="F91784"/>
    </row>
    <row r="91785" spans="1:6" x14ac:dyDescent="0.25">
      <c r="A91785"/>
      <c r="B91785"/>
      <c r="C91785"/>
      <c r="E91785"/>
      <c r="F91785"/>
    </row>
    <row r="91786" spans="1:6" x14ac:dyDescent="0.25">
      <c r="A91786"/>
      <c r="B91786"/>
      <c r="C91786"/>
      <c r="E91786"/>
      <c r="F91786"/>
    </row>
    <row r="91787" spans="1:6" x14ac:dyDescent="0.25">
      <c r="A91787"/>
      <c r="B91787"/>
      <c r="C91787"/>
      <c r="E91787"/>
      <c r="F91787"/>
    </row>
    <row r="91788" spans="1:6" x14ac:dyDescent="0.25">
      <c r="A91788"/>
      <c r="B91788"/>
      <c r="C91788"/>
      <c r="E91788"/>
      <c r="F91788"/>
    </row>
    <row r="91789" spans="1:6" x14ac:dyDescent="0.25">
      <c r="A91789"/>
      <c r="B91789"/>
      <c r="C91789"/>
      <c r="E91789"/>
      <c r="F91789"/>
    </row>
    <row r="91790" spans="1:6" x14ac:dyDescent="0.25">
      <c r="A91790"/>
      <c r="B91790"/>
      <c r="C91790"/>
      <c r="E91790"/>
      <c r="F91790"/>
    </row>
    <row r="91791" spans="1:6" x14ac:dyDescent="0.25">
      <c r="A91791"/>
      <c r="B91791"/>
      <c r="C91791"/>
      <c r="E91791"/>
      <c r="F91791"/>
    </row>
    <row r="91792" spans="1:6" x14ac:dyDescent="0.25">
      <c r="A91792"/>
      <c r="B91792"/>
      <c r="C91792"/>
      <c r="E91792"/>
      <c r="F91792"/>
    </row>
    <row r="91793" spans="1:6" x14ac:dyDescent="0.25">
      <c r="A91793"/>
      <c r="B91793"/>
      <c r="C91793"/>
      <c r="E91793"/>
      <c r="F91793"/>
    </row>
    <row r="91794" spans="1:6" x14ac:dyDescent="0.25">
      <c r="A91794"/>
      <c r="B91794"/>
      <c r="C91794"/>
      <c r="E91794"/>
      <c r="F91794"/>
    </row>
    <row r="91795" spans="1:6" x14ac:dyDescent="0.25">
      <c r="A91795"/>
      <c r="B91795"/>
      <c r="C91795"/>
      <c r="E91795"/>
      <c r="F91795"/>
    </row>
    <row r="91796" spans="1:6" x14ac:dyDescent="0.25">
      <c r="A91796"/>
      <c r="B91796"/>
      <c r="C91796"/>
      <c r="E91796"/>
      <c r="F91796"/>
    </row>
    <row r="91797" spans="1:6" x14ac:dyDescent="0.25">
      <c r="A91797"/>
      <c r="B91797"/>
      <c r="C91797"/>
      <c r="E91797"/>
      <c r="F91797"/>
    </row>
    <row r="91798" spans="1:6" x14ac:dyDescent="0.25">
      <c r="A91798"/>
      <c r="B91798"/>
      <c r="C91798"/>
      <c r="E91798"/>
      <c r="F91798"/>
    </row>
    <row r="91799" spans="1:6" x14ac:dyDescent="0.25">
      <c r="A91799"/>
      <c r="B91799"/>
      <c r="C91799"/>
      <c r="E91799"/>
      <c r="F91799"/>
    </row>
    <row r="91800" spans="1:6" x14ac:dyDescent="0.25">
      <c r="A91800"/>
      <c r="B91800"/>
      <c r="C91800"/>
      <c r="E91800"/>
      <c r="F91800"/>
    </row>
    <row r="91801" spans="1:6" x14ac:dyDescent="0.25">
      <c r="A91801"/>
      <c r="B91801"/>
      <c r="C91801"/>
      <c r="E91801"/>
      <c r="F91801"/>
    </row>
    <row r="91802" spans="1:6" x14ac:dyDescent="0.25">
      <c r="A91802"/>
      <c r="B91802"/>
      <c r="C91802"/>
      <c r="E91802"/>
      <c r="F91802"/>
    </row>
    <row r="91803" spans="1:6" x14ac:dyDescent="0.25">
      <c r="A91803"/>
      <c r="B91803"/>
      <c r="C91803"/>
      <c r="E91803"/>
      <c r="F91803"/>
    </row>
    <row r="91804" spans="1:6" x14ac:dyDescent="0.25">
      <c r="A91804"/>
      <c r="B91804"/>
      <c r="C91804"/>
      <c r="E91804"/>
      <c r="F91804"/>
    </row>
    <row r="91805" spans="1:6" x14ac:dyDescent="0.25">
      <c r="A91805"/>
      <c r="B91805"/>
      <c r="C91805"/>
      <c r="E91805"/>
      <c r="F91805"/>
    </row>
    <row r="91806" spans="1:6" x14ac:dyDescent="0.25">
      <c r="A91806"/>
      <c r="B91806"/>
      <c r="C91806"/>
      <c r="E91806"/>
      <c r="F91806"/>
    </row>
    <row r="91807" spans="1:6" x14ac:dyDescent="0.25">
      <c r="A91807"/>
      <c r="B91807"/>
      <c r="C91807"/>
      <c r="E91807"/>
      <c r="F91807"/>
    </row>
    <row r="91808" spans="1:6" x14ac:dyDescent="0.25">
      <c r="A91808"/>
      <c r="B91808"/>
      <c r="C91808"/>
      <c r="E91808"/>
      <c r="F91808"/>
    </row>
    <row r="91809" spans="1:6" x14ac:dyDescent="0.25">
      <c r="A91809"/>
      <c r="B91809"/>
      <c r="C91809"/>
      <c r="E91809"/>
      <c r="F91809"/>
    </row>
    <row r="91810" spans="1:6" x14ac:dyDescent="0.25">
      <c r="A91810"/>
      <c r="B91810"/>
      <c r="C91810"/>
      <c r="E91810"/>
      <c r="F91810"/>
    </row>
    <row r="91811" spans="1:6" x14ac:dyDescent="0.25">
      <c r="A91811"/>
      <c r="B91811"/>
      <c r="C91811"/>
      <c r="E91811"/>
      <c r="F91811"/>
    </row>
    <row r="91812" spans="1:6" x14ac:dyDescent="0.25">
      <c r="A91812"/>
      <c r="B91812"/>
      <c r="C91812"/>
      <c r="E91812"/>
      <c r="F91812"/>
    </row>
    <row r="91813" spans="1:6" x14ac:dyDescent="0.25">
      <c r="A91813"/>
      <c r="B91813"/>
      <c r="C91813"/>
      <c r="E91813"/>
      <c r="F91813"/>
    </row>
    <row r="91814" spans="1:6" x14ac:dyDescent="0.25">
      <c r="A91814"/>
      <c r="B91814"/>
      <c r="C91814"/>
      <c r="E91814"/>
      <c r="F91814"/>
    </row>
    <row r="91815" spans="1:6" x14ac:dyDescent="0.25">
      <c r="A91815"/>
      <c r="B91815"/>
      <c r="C91815"/>
      <c r="E91815"/>
      <c r="F91815"/>
    </row>
    <row r="91816" spans="1:6" x14ac:dyDescent="0.25">
      <c r="A91816"/>
      <c r="B91816"/>
      <c r="C91816"/>
      <c r="E91816"/>
      <c r="F91816"/>
    </row>
    <row r="91817" spans="1:6" x14ac:dyDescent="0.25">
      <c r="A91817"/>
      <c r="B91817"/>
      <c r="C91817"/>
      <c r="E91817"/>
      <c r="F91817"/>
    </row>
    <row r="91818" spans="1:6" x14ac:dyDescent="0.25">
      <c r="A91818"/>
      <c r="B91818"/>
      <c r="C91818"/>
      <c r="E91818"/>
      <c r="F91818"/>
    </row>
    <row r="91819" spans="1:6" x14ac:dyDescent="0.25">
      <c r="A91819"/>
      <c r="B91819"/>
      <c r="C91819"/>
      <c r="E91819"/>
      <c r="F91819"/>
    </row>
    <row r="91820" spans="1:6" x14ac:dyDescent="0.25">
      <c r="A91820"/>
      <c r="B91820"/>
      <c r="C91820"/>
      <c r="E91820"/>
      <c r="F91820"/>
    </row>
    <row r="91821" spans="1:6" x14ac:dyDescent="0.25">
      <c r="A91821"/>
      <c r="B91821"/>
      <c r="C91821"/>
      <c r="E91821"/>
      <c r="F91821"/>
    </row>
    <row r="91822" spans="1:6" x14ac:dyDescent="0.25">
      <c r="A91822"/>
      <c r="B91822"/>
      <c r="C91822"/>
      <c r="E91822"/>
      <c r="F91822"/>
    </row>
    <row r="91823" spans="1:6" x14ac:dyDescent="0.25">
      <c r="A91823"/>
      <c r="B91823"/>
      <c r="C91823"/>
      <c r="E91823"/>
      <c r="F91823"/>
    </row>
    <row r="91824" spans="1:6" x14ac:dyDescent="0.25">
      <c r="A91824"/>
      <c r="B91824"/>
      <c r="C91824"/>
      <c r="E91824"/>
      <c r="F91824"/>
    </row>
    <row r="91825" spans="1:6" x14ac:dyDescent="0.25">
      <c r="A91825"/>
      <c r="B91825"/>
      <c r="C91825"/>
      <c r="E91825"/>
      <c r="F91825"/>
    </row>
    <row r="91826" spans="1:6" x14ac:dyDescent="0.25">
      <c r="A91826"/>
      <c r="B91826"/>
      <c r="C91826"/>
      <c r="E91826"/>
      <c r="F91826"/>
    </row>
    <row r="91827" spans="1:6" x14ac:dyDescent="0.25">
      <c r="A91827"/>
      <c r="B91827"/>
      <c r="C91827"/>
      <c r="E91827"/>
      <c r="F91827"/>
    </row>
    <row r="91828" spans="1:6" x14ac:dyDescent="0.25">
      <c r="A91828"/>
      <c r="B91828"/>
      <c r="C91828"/>
      <c r="E91828"/>
      <c r="F91828"/>
    </row>
    <row r="91829" spans="1:6" x14ac:dyDescent="0.25">
      <c r="A91829"/>
      <c r="B91829"/>
      <c r="C91829"/>
      <c r="E91829"/>
      <c r="F91829"/>
    </row>
    <row r="91830" spans="1:6" x14ac:dyDescent="0.25">
      <c r="A91830"/>
      <c r="B91830"/>
      <c r="C91830"/>
      <c r="E91830"/>
      <c r="F91830"/>
    </row>
    <row r="91831" spans="1:6" x14ac:dyDescent="0.25">
      <c r="A91831"/>
      <c r="B91831"/>
      <c r="C91831"/>
      <c r="E91831"/>
      <c r="F91831"/>
    </row>
    <row r="91832" spans="1:6" x14ac:dyDescent="0.25">
      <c r="A91832"/>
      <c r="B91832"/>
      <c r="C91832"/>
      <c r="E91832"/>
      <c r="F91832"/>
    </row>
    <row r="91833" spans="1:6" x14ac:dyDescent="0.25">
      <c r="A91833"/>
      <c r="B91833"/>
      <c r="C91833"/>
      <c r="E91833"/>
      <c r="F91833"/>
    </row>
    <row r="91834" spans="1:6" x14ac:dyDescent="0.25">
      <c r="A91834"/>
      <c r="B91834"/>
      <c r="C91834"/>
      <c r="E91834"/>
      <c r="F91834"/>
    </row>
    <row r="91835" spans="1:6" x14ac:dyDescent="0.25">
      <c r="A91835"/>
      <c r="B91835"/>
      <c r="C91835"/>
      <c r="E91835"/>
      <c r="F91835"/>
    </row>
    <row r="91836" spans="1:6" x14ac:dyDescent="0.25">
      <c r="A91836"/>
      <c r="B91836"/>
      <c r="C91836"/>
      <c r="E91836"/>
      <c r="F91836"/>
    </row>
    <row r="91837" spans="1:6" x14ac:dyDescent="0.25">
      <c r="A91837"/>
      <c r="B91837"/>
      <c r="C91837"/>
      <c r="E91837"/>
      <c r="F91837"/>
    </row>
    <row r="91838" spans="1:6" x14ac:dyDescent="0.25">
      <c r="A91838"/>
      <c r="B91838"/>
      <c r="C91838"/>
      <c r="E91838"/>
      <c r="F91838"/>
    </row>
    <row r="91839" spans="1:6" x14ac:dyDescent="0.25">
      <c r="A91839"/>
      <c r="B91839"/>
      <c r="C91839"/>
      <c r="E91839"/>
      <c r="F91839"/>
    </row>
    <row r="91840" spans="1:6" x14ac:dyDescent="0.25">
      <c r="A91840"/>
      <c r="B91840"/>
      <c r="C91840"/>
      <c r="E91840"/>
      <c r="F91840"/>
    </row>
    <row r="91841" spans="1:6" x14ac:dyDescent="0.25">
      <c r="A91841"/>
      <c r="B91841"/>
      <c r="C91841"/>
      <c r="E91841"/>
      <c r="F91841"/>
    </row>
    <row r="91842" spans="1:6" x14ac:dyDescent="0.25">
      <c r="A91842"/>
      <c r="B91842"/>
      <c r="C91842"/>
      <c r="E91842"/>
      <c r="F91842"/>
    </row>
    <row r="91843" spans="1:6" x14ac:dyDescent="0.25">
      <c r="A91843"/>
      <c r="B91843"/>
      <c r="C91843"/>
      <c r="E91843"/>
      <c r="F91843"/>
    </row>
    <row r="91844" spans="1:6" x14ac:dyDescent="0.25">
      <c r="A91844"/>
      <c r="B91844"/>
      <c r="C91844"/>
      <c r="E91844"/>
      <c r="F91844"/>
    </row>
    <row r="91845" spans="1:6" x14ac:dyDescent="0.25">
      <c r="A91845"/>
      <c r="B91845"/>
      <c r="C91845"/>
      <c r="E91845"/>
      <c r="F91845"/>
    </row>
    <row r="91846" spans="1:6" x14ac:dyDescent="0.25">
      <c r="A91846"/>
      <c r="B91846"/>
      <c r="C91846"/>
      <c r="E91846"/>
      <c r="F91846"/>
    </row>
    <row r="91847" spans="1:6" x14ac:dyDescent="0.25">
      <c r="A91847"/>
      <c r="B91847"/>
      <c r="C91847"/>
      <c r="E91847"/>
      <c r="F91847"/>
    </row>
    <row r="91848" spans="1:6" x14ac:dyDescent="0.25">
      <c r="A91848"/>
      <c r="B91848"/>
      <c r="C91848"/>
      <c r="E91848"/>
      <c r="F91848"/>
    </row>
    <row r="91849" spans="1:6" x14ac:dyDescent="0.25">
      <c r="A91849"/>
      <c r="B91849"/>
      <c r="C91849"/>
      <c r="E91849"/>
      <c r="F91849"/>
    </row>
    <row r="91850" spans="1:6" x14ac:dyDescent="0.25">
      <c r="A91850"/>
      <c r="B91850"/>
      <c r="C91850"/>
      <c r="E91850"/>
      <c r="F91850"/>
    </row>
    <row r="91851" spans="1:6" x14ac:dyDescent="0.25">
      <c r="A91851"/>
      <c r="B91851"/>
      <c r="C91851"/>
      <c r="E91851"/>
      <c r="F91851"/>
    </row>
    <row r="91852" spans="1:6" x14ac:dyDescent="0.25">
      <c r="A91852"/>
      <c r="B91852"/>
      <c r="C91852"/>
      <c r="E91852"/>
      <c r="F91852"/>
    </row>
    <row r="91853" spans="1:6" x14ac:dyDescent="0.25">
      <c r="A91853"/>
      <c r="B91853"/>
      <c r="C91853"/>
      <c r="E91853"/>
      <c r="F91853"/>
    </row>
    <row r="91854" spans="1:6" x14ac:dyDescent="0.25">
      <c r="A91854"/>
      <c r="B91854"/>
      <c r="C91854"/>
      <c r="E91854"/>
      <c r="F91854"/>
    </row>
    <row r="91855" spans="1:6" x14ac:dyDescent="0.25">
      <c r="A91855"/>
      <c r="B91855"/>
      <c r="C91855"/>
      <c r="E91855"/>
      <c r="F91855"/>
    </row>
    <row r="91856" spans="1:6" x14ac:dyDescent="0.25">
      <c r="A91856"/>
      <c r="B91856"/>
      <c r="C91856"/>
      <c r="E91856"/>
      <c r="F91856"/>
    </row>
    <row r="91857" spans="1:6" x14ac:dyDescent="0.25">
      <c r="A91857"/>
      <c r="B91857"/>
      <c r="C91857"/>
      <c r="E91857"/>
      <c r="F91857"/>
    </row>
    <row r="91858" spans="1:6" x14ac:dyDescent="0.25">
      <c r="A91858"/>
      <c r="B91858"/>
      <c r="C91858"/>
      <c r="E91858"/>
      <c r="F91858"/>
    </row>
    <row r="91859" spans="1:6" x14ac:dyDescent="0.25">
      <c r="A91859"/>
      <c r="B91859"/>
      <c r="C91859"/>
      <c r="E91859"/>
      <c r="F91859"/>
    </row>
    <row r="91860" spans="1:6" x14ac:dyDescent="0.25">
      <c r="A91860"/>
      <c r="B91860"/>
      <c r="C91860"/>
      <c r="E91860"/>
      <c r="F91860"/>
    </row>
    <row r="91861" spans="1:6" x14ac:dyDescent="0.25">
      <c r="A91861"/>
      <c r="B91861"/>
      <c r="C91861"/>
      <c r="E91861"/>
      <c r="F91861"/>
    </row>
    <row r="91862" spans="1:6" x14ac:dyDescent="0.25">
      <c r="A91862"/>
      <c r="B91862"/>
      <c r="C91862"/>
      <c r="E91862"/>
      <c r="F91862"/>
    </row>
    <row r="91863" spans="1:6" x14ac:dyDescent="0.25">
      <c r="A91863"/>
      <c r="B91863"/>
      <c r="C91863"/>
      <c r="E91863"/>
      <c r="F91863"/>
    </row>
    <row r="91864" spans="1:6" x14ac:dyDescent="0.25">
      <c r="A91864"/>
      <c r="B91864"/>
      <c r="C91864"/>
      <c r="E91864"/>
      <c r="F91864"/>
    </row>
    <row r="91865" spans="1:6" x14ac:dyDescent="0.25">
      <c r="A91865"/>
      <c r="B91865"/>
      <c r="C91865"/>
      <c r="E91865"/>
      <c r="F91865"/>
    </row>
    <row r="91866" spans="1:6" x14ac:dyDescent="0.25">
      <c r="A91866"/>
      <c r="B91866"/>
      <c r="C91866"/>
      <c r="E91866"/>
      <c r="F91866"/>
    </row>
    <row r="91867" spans="1:6" x14ac:dyDescent="0.25">
      <c r="A91867"/>
      <c r="B91867"/>
      <c r="C91867"/>
      <c r="E91867"/>
      <c r="F91867"/>
    </row>
    <row r="91868" spans="1:6" x14ac:dyDescent="0.25">
      <c r="A91868"/>
      <c r="B91868"/>
      <c r="C91868"/>
      <c r="E91868"/>
      <c r="F91868"/>
    </row>
    <row r="91869" spans="1:6" x14ac:dyDescent="0.25">
      <c r="A91869"/>
      <c r="B91869"/>
      <c r="C91869"/>
      <c r="E91869"/>
      <c r="F91869"/>
    </row>
    <row r="91870" spans="1:6" x14ac:dyDescent="0.25">
      <c r="A91870"/>
      <c r="B91870"/>
      <c r="C91870"/>
      <c r="E91870"/>
      <c r="F91870"/>
    </row>
    <row r="91871" spans="1:6" x14ac:dyDescent="0.25">
      <c r="A91871"/>
      <c r="B91871"/>
      <c r="C91871"/>
      <c r="E91871"/>
      <c r="F91871"/>
    </row>
    <row r="91872" spans="1:6" x14ac:dyDescent="0.25">
      <c r="A91872"/>
      <c r="B91872"/>
      <c r="C91872"/>
      <c r="E91872"/>
      <c r="F91872"/>
    </row>
    <row r="91873" spans="1:6" x14ac:dyDescent="0.25">
      <c r="A91873"/>
      <c r="B91873"/>
      <c r="C91873"/>
      <c r="E91873"/>
      <c r="F91873"/>
    </row>
    <row r="91874" spans="1:6" x14ac:dyDescent="0.25">
      <c r="A91874"/>
      <c r="B91874"/>
      <c r="C91874"/>
      <c r="E91874"/>
      <c r="F91874"/>
    </row>
    <row r="91875" spans="1:6" x14ac:dyDescent="0.25">
      <c r="A91875"/>
      <c r="B91875"/>
      <c r="C91875"/>
      <c r="E91875"/>
      <c r="F91875"/>
    </row>
    <row r="91876" spans="1:6" x14ac:dyDescent="0.25">
      <c r="A91876"/>
      <c r="B91876"/>
      <c r="C91876"/>
      <c r="E91876"/>
      <c r="F91876"/>
    </row>
    <row r="91877" spans="1:6" x14ac:dyDescent="0.25">
      <c r="A91877"/>
      <c r="B91877"/>
      <c r="C91877"/>
      <c r="E91877"/>
      <c r="F91877"/>
    </row>
    <row r="91878" spans="1:6" x14ac:dyDescent="0.25">
      <c r="A91878"/>
      <c r="B91878"/>
      <c r="C91878"/>
      <c r="E91878"/>
      <c r="F91878"/>
    </row>
    <row r="91879" spans="1:6" x14ac:dyDescent="0.25">
      <c r="A91879"/>
      <c r="B91879"/>
      <c r="C91879"/>
      <c r="E91879"/>
      <c r="F91879"/>
    </row>
    <row r="91880" spans="1:6" x14ac:dyDescent="0.25">
      <c r="A91880"/>
      <c r="B91880"/>
      <c r="C91880"/>
      <c r="E91880"/>
      <c r="F91880"/>
    </row>
    <row r="91881" spans="1:6" x14ac:dyDescent="0.25">
      <c r="A91881"/>
      <c r="B91881"/>
      <c r="C91881"/>
      <c r="E91881"/>
      <c r="F91881"/>
    </row>
    <row r="91882" spans="1:6" x14ac:dyDescent="0.25">
      <c r="A91882"/>
      <c r="B91882"/>
      <c r="C91882"/>
      <c r="E91882"/>
      <c r="F91882"/>
    </row>
    <row r="91883" spans="1:6" x14ac:dyDescent="0.25">
      <c r="A91883"/>
      <c r="B91883"/>
      <c r="C91883"/>
      <c r="E91883"/>
      <c r="F91883"/>
    </row>
    <row r="91884" spans="1:6" x14ac:dyDescent="0.25">
      <c r="A91884"/>
      <c r="B91884"/>
      <c r="C91884"/>
      <c r="E91884"/>
      <c r="F91884"/>
    </row>
    <row r="91885" spans="1:6" x14ac:dyDescent="0.25">
      <c r="A91885"/>
      <c r="B91885"/>
      <c r="C91885"/>
      <c r="E91885"/>
      <c r="F91885"/>
    </row>
    <row r="91886" spans="1:6" x14ac:dyDescent="0.25">
      <c r="A91886"/>
      <c r="B91886"/>
      <c r="C91886"/>
      <c r="E91886"/>
      <c r="F91886"/>
    </row>
    <row r="91887" spans="1:6" x14ac:dyDescent="0.25">
      <c r="A91887"/>
      <c r="B91887"/>
      <c r="C91887"/>
      <c r="E91887"/>
      <c r="F91887"/>
    </row>
    <row r="91888" spans="1:6" x14ac:dyDescent="0.25">
      <c r="A91888"/>
      <c r="B91888"/>
      <c r="C91888"/>
      <c r="E91888"/>
      <c r="F91888"/>
    </row>
    <row r="91889" spans="1:6" x14ac:dyDescent="0.25">
      <c r="A91889"/>
      <c r="B91889"/>
      <c r="C91889"/>
      <c r="E91889"/>
      <c r="F91889"/>
    </row>
    <row r="91890" spans="1:6" x14ac:dyDescent="0.25">
      <c r="A91890"/>
      <c r="B91890"/>
      <c r="C91890"/>
      <c r="E91890"/>
      <c r="F91890"/>
    </row>
    <row r="91891" spans="1:6" x14ac:dyDescent="0.25">
      <c r="A91891"/>
      <c r="B91891"/>
      <c r="C91891"/>
      <c r="E91891"/>
      <c r="F91891"/>
    </row>
    <row r="91892" spans="1:6" x14ac:dyDescent="0.25">
      <c r="A91892"/>
      <c r="B91892"/>
      <c r="C91892"/>
      <c r="E91892"/>
      <c r="F91892"/>
    </row>
    <row r="91893" spans="1:6" x14ac:dyDescent="0.25">
      <c r="A91893"/>
      <c r="B91893"/>
      <c r="C91893"/>
      <c r="E91893"/>
      <c r="F91893"/>
    </row>
    <row r="91894" spans="1:6" x14ac:dyDescent="0.25">
      <c r="A91894"/>
      <c r="B91894"/>
      <c r="C91894"/>
      <c r="E91894"/>
      <c r="F91894"/>
    </row>
    <row r="91895" spans="1:6" x14ac:dyDescent="0.25">
      <c r="A91895"/>
      <c r="B91895"/>
      <c r="C91895"/>
      <c r="E91895"/>
      <c r="F91895"/>
    </row>
    <row r="91896" spans="1:6" x14ac:dyDescent="0.25">
      <c r="A91896"/>
      <c r="B91896"/>
      <c r="C91896"/>
      <c r="E91896"/>
      <c r="F91896"/>
    </row>
    <row r="91897" spans="1:6" x14ac:dyDescent="0.25">
      <c r="A91897"/>
      <c r="B91897"/>
      <c r="C91897"/>
      <c r="E91897"/>
      <c r="F91897"/>
    </row>
    <row r="91898" spans="1:6" x14ac:dyDescent="0.25">
      <c r="A91898"/>
      <c r="B91898"/>
      <c r="C91898"/>
      <c r="E91898"/>
      <c r="F91898"/>
    </row>
    <row r="91899" spans="1:6" x14ac:dyDescent="0.25">
      <c r="A91899"/>
      <c r="B91899"/>
      <c r="C91899"/>
      <c r="E91899"/>
      <c r="F91899"/>
    </row>
    <row r="91900" spans="1:6" x14ac:dyDescent="0.25">
      <c r="A91900"/>
      <c r="B91900"/>
      <c r="C91900"/>
      <c r="E91900"/>
      <c r="F91900"/>
    </row>
    <row r="91901" spans="1:6" x14ac:dyDescent="0.25">
      <c r="A91901"/>
      <c r="B91901"/>
      <c r="C91901"/>
      <c r="E91901"/>
      <c r="F91901"/>
    </row>
    <row r="91902" spans="1:6" x14ac:dyDescent="0.25">
      <c r="A91902"/>
      <c r="B91902"/>
      <c r="C91902"/>
      <c r="E91902"/>
      <c r="F91902"/>
    </row>
    <row r="91903" spans="1:6" x14ac:dyDescent="0.25">
      <c r="A91903"/>
      <c r="B91903"/>
      <c r="C91903"/>
      <c r="E91903"/>
      <c r="F91903"/>
    </row>
    <row r="91904" spans="1:6" x14ac:dyDescent="0.25">
      <c r="A91904"/>
      <c r="B91904"/>
      <c r="C91904"/>
      <c r="E91904"/>
      <c r="F91904"/>
    </row>
    <row r="91905" spans="1:6" x14ac:dyDescent="0.25">
      <c r="A91905"/>
      <c r="B91905"/>
      <c r="C91905"/>
      <c r="E91905"/>
      <c r="F91905"/>
    </row>
    <row r="91906" spans="1:6" x14ac:dyDescent="0.25">
      <c r="A91906"/>
      <c r="B91906"/>
      <c r="C91906"/>
      <c r="E91906"/>
      <c r="F91906"/>
    </row>
    <row r="91907" spans="1:6" x14ac:dyDescent="0.25">
      <c r="A91907"/>
      <c r="B91907"/>
      <c r="C91907"/>
      <c r="E91907"/>
      <c r="F91907"/>
    </row>
    <row r="91908" spans="1:6" x14ac:dyDescent="0.25">
      <c r="A91908"/>
      <c r="B91908"/>
      <c r="C91908"/>
      <c r="E91908"/>
      <c r="F91908"/>
    </row>
    <row r="91909" spans="1:6" x14ac:dyDescent="0.25">
      <c r="A91909"/>
      <c r="B91909"/>
      <c r="C91909"/>
      <c r="E91909"/>
      <c r="F91909"/>
    </row>
    <row r="91910" spans="1:6" x14ac:dyDescent="0.25">
      <c r="A91910"/>
      <c r="B91910"/>
      <c r="C91910"/>
      <c r="E91910"/>
      <c r="F91910"/>
    </row>
    <row r="91911" spans="1:6" x14ac:dyDescent="0.25">
      <c r="A91911"/>
      <c r="B91911"/>
      <c r="C91911"/>
      <c r="E91911"/>
      <c r="F91911"/>
    </row>
    <row r="91912" spans="1:6" x14ac:dyDescent="0.25">
      <c r="A91912"/>
      <c r="B91912"/>
      <c r="C91912"/>
      <c r="E91912"/>
      <c r="F91912"/>
    </row>
    <row r="91913" spans="1:6" x14ac:dyDescent="0.25">
      <c r="A91913"/>
      <c r="B91913"/>
      <c r="C91913"/>
      <c r="E91913"/>
      <c r="F91913"/>
    </row>
    <row r="91914" spans="1:6" x14ac:dyDescent="0.25">
      <c r="A91914"/>
      <c r="B91914"/>
      <c r="C91914"/>
      <c r="E91914"/>
      <c r="F91914"/>
    </row>
    <row r="91915" spans="1:6" x14ac:dyDescent="0.25">
      <c r="A91915"/>
      <c r="B91915"/>
      <c r="C91915"/>
      <c r="E91915"/>
      <c r="F91915"/>
    </row>
    <row r="91916" spans="1:6" x14ac:dyDescent="0.25">
      <c r="A91916"/>
      <c r="B91916"/>
      <c r="C91916"/>
      <c r="E91916"/>
      <c r="F91916"/>
    </row>
    <row r="91917" spans="1:6" x14ac:dyDescent="0.25">
      <c r="A91917"/>
      <c r="B91917"/>
      <c r="C91917"/>
      <c r="E91917"/>
      <c r="F91917"/>
    </row>
    <row r="91918" spans="1:6" x14ac:dyDescent="0.25">
      <c r="A91918"/>
      <c r="B91918"/>
      <c r="C91918"/>
      <c r="E91918"/>
      <c r="F91918"/>
    </row>
    <row r="91919" spans="1:6" x14ac:dyDescent="0.25">
      <c r="A91919"/>
      <c r="B91919"/>
      <c r="C91919"/>
      <c r="E91919"/>
      <c r="F91919"/>
    </row>
    <row r="91920" spans="1:6" x14ac:dyDescent="0.25">
      <c r="A91920"/>
      <c r="B91920"/>
      <c r="C91920"/>
      <c r="E91920"/>
      <c r="F91920"/>
    </row>
    <row r="91921" spans="1:6" x14ac:dyDescent="0.25">
      <c r="A91921"/>
      <c r="B91921"/>
      <c r="C91921"/>
      <c r="E91921"/>
      <c r="F91921"/>
    </row>
    <row r="91922" spans="1:6" x14ac:dyDescent="0.25">
      <c r="A91922"/>
      <c r="B91922"/>
      <c r="C91922"/>
      <c r="E91922"/>
      <c r="F91922"/>
    </row>
    <row r="91923" spans="1:6" x14ac:dyDescent="0.25">
      <c r="A91923"/>
      <c r="B91923"/>
      <c r="C91923"/>
      <c r="E91923"/>
      <c r="F91923"/>
    </row>
    <row r="91924" spans="1:6" x14ac:dyDescent="0.25">
      <c r="A91924"/>
      <c r="B91924"/>
      <c r="C91924"/>
      <c r="E91924"/>
      <c r="F91924"/>
    </row>
    <row r="91925" spans="1:6" x14ac:dyDescent="0.25">
      <c r="A91925"/>
      <c r="B91925"/>
      <c r="C91925"/>
      <c r="E91925"/>
      <c r="F91925"/>
    </row>
    <row r="91926" spans="1:6" x14ac:dyDescent="0.25">
      <c r="A91926"/>
      <c r="B91926"/>
      <c r="C91926"/>
      <c r="E91926"/>
      <c r="F91926"/>
    </row>
    <row r="91927" spans="1:6" x14ac:dyDescent="0.25">
      <c r="A91927"/>
      <c r="B91927"/>
      <c r="C91927"/>
      <c r="E91927"/>
      <c r="F91927"/>
    </row>
    <row r="91928" spans="1:6" x14ac:dyDescent="0.25">
      <c r="A91928"/>
      <c r="B91928"/>
      <c r="C91928"/>
      <c r="E91928"/>
      <c r="F91928"/>
    </row>
    <row r="91929" spans="1:6" x14ac:dyDescent="0.25">
      <c r="A91929"/>
      <c r="B91929"/>
      <c r="C91929"/>
      <c r="E91929"/>
      <c r="F91929"/>
    </row>
    <row r="91930" spans="1:6" x14ac:dyDescent="0.25">
      <c r="A91930"/>
      <c r="B91930"/>
      <c r="C91930"/>
      <c r="E91930"/>
      <c r="F91930"/>
    </row>
    <row r="91931" spans="1:6" x14ac:dyDescent="0.25">
      <c r="A91931"/>
      <c r="B91931"/>
      <c r="C91931"/>
      <c r="E91931"/>
      <c r="F91931"/>
    </row>
    <row r="91932" spans="1:6" x14ac:dyDescent="0.25">
      <c r="A91932"/>
      <c r="B91932"/>
      <c r="C91932"/>
      <c r="E91932"/>
      <c r="F91932"/>
    </row>
    <row r="91933" spans="1:6" x14ac:dyDescent="0.25">
      <c r="A91933"/>
      <c r="B91933"/>
      <c r="C91933"/>
      <c r="E91933"/>
      <c r="F91933"/>
    </row>
    <row r="91934" spans="1:6" x14ac:dyDescent="0.25">
      <c r="A91934"/>
      <c r="B91934"/>
      <c r="C91934"/>
      <c r="E91934"/>
      <c r="F91934"/>
    </row>
    <row r="91935" spans="1:6" x14ac:dyDescent="0.25">
      <c r="A91935"/>
      <c r="B91935"/>
      <c r="C91935"/>
      <c r="E91935"/>
      <c r="F91935"/>
    </row>
    <row r="91936" spans="1:6" x14ac:dyDescent="0.25">
      <c r="A91936"/>
      <c r="B91936"/>
      <c r="C91936"/>
      <c r="E91936"/>
      <c r="F91936"/>
    </row>
    <row r="91937" spans="1:6" x14ac:dyDescent="0.25">
      <c r="A91937"/>
      <c r="B91937"/>
      <c r="C91937"/>
      <c r="E91937"/>
      <c r="F91937"/>
    </row>
    <row r="91938" spans="1:6" x14ac:dyDescent="0.25">
      <c r="A91938"/>
      <c r="B91938"/>
      <c r="C91938"/>
      <c r="E91938"/>
      <c r="F91938"/>
    </row>
    <row r="91939" spans="1:6" x14ac:dyDescent="0.25">
      <c r="A91939"/>
      <c r="B91939"/>
      <c r="C91939"/>
      <c r="E91939"/>
      <c r="F91939"/>
    </row>
    <row r="91940" spans="1:6" x14ac:dyDescent="0.25">
      <c r="A91940"/>
      <c r="B91940"/>
      <c r="C91940"/>
      <c r="E91940"/>
      <c r="F91940"/>
    </row>
    <row r="91941" spans="1:6" x14ac:dyDescent="0.25">
      <c r="A91941"/>
      <c r="B91941"/>
      <c r="C91941"/>
      <c r="E91941"/>
      <c r="F91941"/>
    </row>
    <row r="91942" spans="1:6" x14ac:dyDescent="0.25">
      <c r="A91942"/>
      <c r="B91942"/>
      <c r="C91942"/>
      <c r="E91942"/>
      <c r="F91942"/>
    </row>
    <row r="91943" spans="1:6" x14ac:dyDescent="0.25">
      <c r="A91943"/>
      <c r="B91943"/>
      <c r="C91943"/>
      <c r="E91943"/>
      <c r="F91943"/>
    </row>
    <row r="91944" spans="1:6" x14ac:dyDescent="0.25">
      <c r="A91944"/>
      <c r="B91944"/>
      <c r="C91944"/>
      <c r="E91944"/>
      <c r="F91944"/>
    </row>
    <row r="91945" spans="1:6" x14ac:dyDescent="0.25">
      <c r="A91945"/>
      <c r="B91945"/>
      <c r="C91945"/>
      <c r="E91945"/>
      <c r="F91945"/>
    </row>
    <row r="91946" spans="1:6" x14ac:dyDescent="0.25">
      <c r="A91946"/>
      <c r="B91946"/>
      <c r="C91946"/>
      <c r="E91946"/>
      <c r="F91946"/>
    </row>
    <row r="91947" spans="1:6" x14ac:dyDescent="0.25">
      <c r="A91947"/>
      <c r="B91947"/>
      <c r="C91947"/>
      <c r="E91947"/>
      <c r="F91947"/>
    </row>
    <row r="91948" spans="1:6" x14ac:dyDescent="0.25">
      <c r="A91948"/>
      <c r="B91948"/>
      <c r="C91948"/>
      <c r="E91948"/>
      <c r="F91948"/>
    </row>
    <row r="91949" spans="1:6" x14ac:dyDescent="0.25">
      <c r="A91949"/>
      <c r="B91949"/>
      <c r="C91949"/>
      <c r="E91949"/>
      <c r="F91949"/>
    </row>
    <row r="91950" spans="1:6" x14ac:dyDescent="0.25">
      <c r="A91950"/>
      <c r="B91950"/>
      <c r="C91950"/>
      <c r="E91950"/>
      <c r="F91950"/>
    </row>
    <row r="91951" spans="1:6" x14ac:dyDescent="0.25">
      <c r="A91951"/>
      <c r="B91951"/>
      <c r="C91951"/>
      <c r="E91951"/>
      <c r="F91951"/>
    </row>
    <row r="91952" spans="1:6" x14ac:dyDescent="0.25">
      <c r="A91952"/>
      <c r="B91952"/>
      <c r="C91952"/>
      <c r="E91952"/>
      <c r="F91952"/>
    </row>
    <row r="91953" spans="1:6" x14ac:dyDescent="0.25">
      <c r="A91953"/>
      <c r="B91953"/>
      <c r="C91953"/>
      <c r="E91953"/>
      <c r="F91953"/>
    </row>
    <row r="91954" spans="1:6" x14ac:dyDescent="0.25">
      <c r="A91954"/>
      <c r="B91954"/>
      <c r="C91954"/>
      <c r="E91954"/>
      <c r="F91954"/>
    </row>
    <row r="91955" spans="1:6" x14ac:dyDescent="0.25">
      <c r="A91955"/>
      <c r="B91955"/>
      <c r="C91955"/>
      <c r="E91955"/>
      <c r="F91955"/>
    </row>
    <row r="91956" spans="1:6" x14ac:dyDescent="0.25">
      <c r="A91956"/>
      <c r="B91956"/>
      <c r="C91956"/>
      <c r="E91956"/>
      <c r="F91956"/>
    </row>
    <row r="91957" spans="1:6" x14ac:dyDescent="0.25">
      <c r="A91957"/>
      <c r="B91957"/>
      <c r="C91957"/>
      <c r="E91957"/>
      <c r="F91957"/>
    </row>
    <row r="91958" spans="1:6" x14ac:dyDescent="0.25">
      <c r="A91958"/>
      <c r="B91958"/>
      <c r="C91958"/>
      <c r="E91958"/>
      <c r="F91958"/>
    </row>
    <row r="91959" spans="1:6" x14ac:dyDescent="0.25">
      <c r="A91959"/>
      <c r="B91959"/>
      <c r="C91959"/>
      <c r="E91959"/>
      <c r="F91959"/>
    </row>
    <row r="91960" spans="1:6" x14ac:dyDescent="0.25">
      <c r="A91960"/>
      <c r="B91960"/>
      <c r="C91960"/>
      <c r="E91960"/>
      <c r="F91960"/>
    </row>
    <row r="91961" spans="1:6" x14ac:dyDescent="0.25">
      <c r="A91961"/>
      <c r="B91961"/>
      <c r="C91961"/>
      <c r="E91961"/>
      <c r="F91961"/>
    </row>
    <row r="91962" spans="1:6" x14ac:dyDescent="0.25">
      <c r="A91962"/>
      <c r="B91962"/>
      <c r="C91962"/>
      <c r="E91962"/>
      <c r="F91962"/>
    </row>
    <row r="91963" spans="1:6" x14ac:dyDescent="0.25">
      <c r="A91963"/>
      <c r="B91963"/>
      <c r="C91963"/>
      <c r="E91963"/>
      <c r="F91963"/>
    </row>
    <row r="91964" spans="1:6" x14ac:dyDescent="0.25">
      <c r="A91964"/>
      <c r="B91964"/>
      <c r="C91964"/>
      <c r="E91964"/>
      <c r="F91964"/>
    </row>
    <row r="91965" spans="1:6" x14ac:dyDescent="0.25">
      <c r="A91965"/>
      <c r="B91965"/>
      <c r="C91965"/>
      <c r="E91965"/>
      <c r="F91965"/>
    </row>
    <row r="91966" spans="1:6" x14ac:dyDescent="0.25">
      <c r="A91966"/>
      <c r="B91966"/>
      <c r="C91966"/>
      <c r="E91966"/>
      <c r="F91966"/>
    </row>
    <row r="91967" spans="1:6" x14ac:dyDescent="0.25">
      <c r="A91967"/>
      <c r="B91967"/>
      <c r="C91967"/>
      <c r="E91967"/>
      <c r="F91967"/>
    </row>
    <row r="91968" spans="1:6" x14ac:dyDescent="0.25">
      <c r="A91968"/>
      <c r="B91968"/>
      <c r="C91968"/>
      <c r="E91968"/>
      <c r="F91968"/>
    </row>
    <row r="91969" spans="1:6" x14ac:dyDescent="0.25">
      <c r="A91969"/>
      <c r="B91969"/>
      <c r="C91969"/>
      <c r="E91969"/>
      <c r="F91969"/>
    </row>
    <row r="91970" spans="1:6" x14ac:dyDescent="0.25">
      <c r="A91970"/>
      <c r="B91970"/>
      <c r="C91970"/>
      <c r="E91970"/>
      <c r="F91970"/>
    </row>
    <row r="91971" spans="1:6" x14ac:dyDescent="0.25">
      <c r="A91971"/>
      <c r="B91971"/>
      <c r="C91971"/>
      <c r="E91971"/>
      <c r="F91971"/>
    </row>
    <row r="91972" spans="1:6" x14ac:dyDescent="0.25">
      <c r="A91972"/>
      <c r="B91972"/>
      <c r="C91972"/>
      <c r="E91972"/>
      <c r="F91972"/>
    </row>
    <row r="91973" spans="1:6" x14ac:dyDescent="0.25">
      <c r="A91973"/>
      <c r="B91973"/>
      <c r="C91973"/>
      <c r="E91973"/>
      <c r="F91973"/>
    </row>
    <row r="91974" spans="1:6" x14ac:dyDescent="0.25">
      <c r="A91974"/>
      <c r="B91974"/>
      <c r="C91974"/>
      <c r="E91974"/>
      <c r="F91974"/>
    </row>
    <row r="91975" spans="1:6" x14ac:dyDescent="0.25">
      <c r="A91975"/>
      <c r="B91975"/>
      <c r="C91975"/>
      <c r="E91975"/>
      <c r="F91975"/>
    </row>
    <row r="91976" spans="1:6" x14ac:dyDescent="0.25">
      <c r="A91976"/>
      <c r="B91976"/>
      <c r="C91976"/>
      <c r="E91976"/>
      <c r="F91976"/>
    </row>
    <row r="91977" spans="1:6" x14ac:dyDescent="0.25">
      <c r="A91977"/>
      <c r="B91977"/>
      <c r="C91977"/>
      <c r="E91977"/>
      <c r="F91977"/>
    </row>
    <row r="91978" spans="1:6" x14ac:dyDescent="0.25">
      <c r="A91978"/>
      <c r="B91978"/>
      <c r="C91978"/>
      <c r="E91978"/>
      <c r="F91978"/>
    </row>
    <row r="91979" spans="1:6" x14ac:dyDescent="0.25">
      <c r="A91979"/>
      <c r="B91979"/>
      <c r="C91979"/>
      <c r="E91979"/>
      <c r="F91979"/>
    </row>
    <row r="91980" spans="1:6" x14ac:dyDescent="0.25">
      <c r="A91980"/>
      <c r="B91980"/>
      <c r="C91980"/>
      <c r="E91980"/>
      <c r="F91980"/>
    </row>
    <row r="91981" spans="1:6" x14ac:dyDescent="0.25">
      <c r="A91981"/>
      <c r="B91981"/>
      <c r="C91981"/>
      <c r="E91981"/>
      <c r="F91981"/>
    </row>
    <row r="91982" spans="1:6" x14ac:dyDescent="0.25">
      <c r="A91982"/>
      <c r="B91982"/>
      <c r="C91982"/>
      <c r="E91982"/>
      <c r="F91982"/>
    </row>
    <row r="91983" spans="1:6" x14ac:dyDescent="0.25">
      <c r="A91983"/>
      <c r="B91983"/>
      <c r="C91983"/>
      <c r="E91983"/>
      <c r="F91983"/>
    </row>
    <row r="91984" spans="1:6" x14ac:dyDescent="0.25">
      <c r="A91984"/>
      <c r="B91984"/>
      <c r="C91984"/>
      <c r="E91984"/>
      <c r="F91984"/>
    </row>
    <row r="91985" spans="1:6" x14ac:dyDescent="0.25">
      <c r="A91985"/>
      <c r="B91985"/>
      <c r="C91985"/>
      <c r="E91985"/>
      <c r="F91985"/>
    </row>
    <row r="91986" spans="1:6" x14ac:dyDescent="0.25">
      <c r="A91986"/>
      <c r="B91986"/>
      <c r="C91986"/>
      <c r="E91986"/>
      <c r="F91986"/>
    </row>
    <row r="91987" spans="1:6" x14ac:dyDescent="0.25">
      <c r="A91987"/>
      <c r="B91987"/>
      <c r="C91987"/>
      <c r="E91987"/>
      <c r="F91987"/>
    </row>
    <row r="91988" spans="1:6" x14ac:dyDescent="0.25">
      <c r="A91988"/>
      <c r="B91988"/>
      <c r="C91988"/>
      <c r="E91988"/>
      <c r="F91988"/>
    </row>
    <row r="91989" spans="1:6" x14ac:dyDescent="0.25">
      <c r="A91989"/>
      <c r="B91989"/>
      <c r="C91989"/>
      <c r="E91989"/>
      <c r="F91989"/>
    </row>
    <row r="91990" spans="1:6" x14ac:dyDescent="0.25">
      <c r="A91990"/>
      <c r="B91990"/>
      <c r="C91990"/>
      <c r="E91990"/>
      <c r="F91990"/>
    </row>
    <row r="91991" spans="1:6" x14ac:dyDescent="0.25">
      <c r="A91991"/>
      <c r="B91991"/>
      <c r="C91991"/>
      <c r="E91991"/>
      <c r="F91991"/>
    </row>
    <row r="91992" spans="1:6" x14ac:dyDescent="0.25">
      <c r="A91992"/>
      <c r="B91992"/>
      <c r="C91992"/>
      <c r="E91992"/>
      <c r="F91992"/>
    </row>
    <row r="91993" spans="1:6" x14ac:dyDescent="0.25">
      <c r="A91993"/>
      <c r="B91993"/>
      <c r="C91993"/>
      <c r="E91993"/>
      <c r="F91993"/>
    </row>
    <row r="91994" spans="1:6" x14ac:dyDescent="0.25">
      <c r="A91994"/>
      <c r="B91994"/>
      <c r="C91994"/>
      <c r="E91994"/>
      <c r="F91994"/>
    </row>
    <row r="91995" spans="1:6" x14ac:dyDescent="0.25">
      <c r="A91995"/>
      <c r="B91995"/>
      <c r="C91995"/>
      <c r="E91995"/>
      <c r="F91995"/>
    </row>
    <row r="91996" spans="1:6" x14ac:dyDescent="0.25">
      <c r="A91996"/>
      <c r="B91996"/>
      <c r="C91996"/>
      <c r="E91996"/>
      <c r="F91996"/>
    </row>
    <row r="91997" spans="1:6" x14ac:dyDescent="0.25">
      <c r="A91997"/>
      <c r="B91997"/>
      <c r="C91997"/>
      <c r="E91997"/>
      <c r="F91997"/>
    </row>
    <row r="91998" spans="1:6" x14ac:dyDescent="0.25">
      <c r="A91998"/>
      <c r="B91998"/>
      <c r="C91998"/>
      <c r="E91998"/>
      <c r="F91998"/>
    </row>
    <row r="91999" spans="1:6" x14ac:dyDescent="0.25">
      <c r="A91999"/>
      <c r="B91999"/>
      <c r="C91999"/>
      <c r="E91999"/>
      <c r="F91999"/>
    </row>
    <row r="92000" spans="1:6" x14ac:dyDescent="0.25">
      <c r="A92000"/>
      <c r="B92000"/>
      <c r="C92000"/>
      <c r="E92000"/>
      <c r="F92000"/>
    </row>
    <row r="92001" spans="1:6" x14ac:dyDescent="0.25">
      <c r="A92001"/>
      <c r="B92001"/>
      <c r="C92001"/>
      <c r="E92001"/>
      <c r="F92001"/>
    </row>
    <row r="92002" spans="1:6" x14ac:dyDescent="0.25">
      <c r="A92002"/>
      <c r="B92002"/>
      <c r="C92002"/>
      <c r="E92002"/>
      <c r="F92002"/>
    </row>
    <row r="92003" spans="1:6" x14ac:dyDescent="0.25">
      <c r="A92003"/>
      <c r="B92003"/>
      <c r="C92003"/>
      <c r="E92003"/>
      <c r="F92003"/>
    </row>
    <row r="92004" spans="1:6" x14ac:dyDescent="0.25">
      <c r="A92004"/>
      <c r="B92004"/>
      <c r="C92004"/>
      <c r="E92004"/>
      <c r="F92004"/>
    </row>
    <row r="92005" spans="1:6" x14ac:dyDescent="0.25">
      <c r="A92005"/>
      <c r="B92005"/>
      <c r="C92005"/>
      <c r="E92005"/>
      <c r="F92005"/>
    </row>
    <row r="92006" spans="1:6" x14ac:dyDescent="0.25">
      <c r="A92006"/>
      <c r="B92006"/>
      <c r="C92006"/>
      <c r="E92006"/>
      <c r="F92006"/>
    </row>
    <row r="92007" spans="1:6" x14ac:dyDescent="0.25">
      <c r="A92007"/>
      <c r="B92007"/>
      <c r="C92007"/>
      <c r="E92007"/>
      <c r="F92007"/>
    </row>
    <row r="92008" spans="1:6" x14ac:dyDescent="0.25">
      <c r="A92008"/>
      <c r="B92008"/>
      <c r="C92008"/>
      <c r="E92008"/>
      <c r="F92008"/>
    </row>
    <row r="92009" spans="1:6" x14ac:dyDescent="0.25">
      <c r="A92009"/>
      <c r="B92009"/>
      <c r="C92009"/>
      <c r="E92009"/>
      <c r="F92009"/>
    </row>
    <row r="92010" spans="1:6" x14ac:dyDescent="0.25">
      <c r="A92010"/>
      <c r="B92010"/>
      <c r="C92010"/>
      <c r="E92010"/>
      <c r="F92010"/>
    </row>
    <row r="92011" spans="1:6" x14ac:dyDescent="0.25">
      <c r="A92011"/>
      <c r="B92011"/>
      <c r="C92011"/>
      <c r="E92011"/>
      <c r="F92011"/>
    </row>
    <row r="92012" spans="1:6" x14ac:dyDescent="0.25">
      <c r="A92012"/>
      <c r="B92012"/>
      <c r="C92012"/>
      <c r="E92012"/>
      <c r="F92012"/>
    </row>
    <row r="92013" spans="1:6" x14ac:dyDescent="0.25">
      <c r="A92013"/>
      <c r="B92013"/>
      <c r="C92013"/>
      <c r="E92013"/>
      <c r="F92013"/>
    </row>
    <row r="92014" spans="1:6" x14ac:dyDescent="0.25">
      <c r="A92014"/>
      <c r="B92014"/>
      <c r="C92014"/>
      <c r="E92014"/>
      <c r="F92014"/>
    </row>
    <row r="92015" spans="1:6" x14ac:dyDescent="0.25">
      <c r="A92015"/>
      <c r="B92015"/>
      <c r="C92015"/>
      <c r="E92015"/>
      <c r="F92015"/>
    </row>
    <row r="92016" spans="1:6" x14ac:dyDescent="0.25">
      <c r="A92016"/>
      <c r="B92016"/>
      <c r="C92016"/>
      <c r="E92016"/>
      <c r="F92016"/>
    </row>
    <row r="92017" spans="1:6" x14ac:dyDescent="0.25">
      <c r="A92017"/>
      <c r="B92017"/>
      <c r="C92017"/>
      <c r="E92017"/>
      <c r="F92017"/>
    </row>
    <row r="92018" spans="1:6" x14ac:dyDescent="0.25">
      <c r="A92018"/>
      <c r="B92018"/>
      <c r="C92018"/>
      <c r="E92018"/>
      <c r="F92018"/>
    </row>
    <row r="92019" spans="1:6" x14ac:dyDescent="0.25">
      <c r="A92019"/>
      <c r="B92019"/>
      <c r="C92019"/>
      <c r="E92019"/>
      <c r="F92019"/>
    </row>
    <row r="92020" spans="1:6" x14ac:dyDescent="0.25">
      <c r="A92020"/>
      <c r="B92020"/>
      <c r="C92020"/>
      <c r="E92020"/>
      <c r="F92020"/>
    </row>
    <row r="92021" spans="1:6" x14ac:dyDescent="0.25">
      <c r="A92021"/>
      <c r="B92021"/>
      <c r="C92021"/>
      <c r="E92021"/>
      <c r="F92021"/>
    </row>
    <row r="92022" spans="1:6" x14ac:dyDescent="0.25">
      <c r="A92022"/>
      <c r="B92022"/>
      <c r="C92022"/>
      <c r="E92022"/>
      <c r="F92022"/>
    </row>
    <row r="92023" spans="1:6" x14ac:dyDescent="0.25">
      <c r="A92023"/>
      <c r="B92023"/>
      <c r="C92023"/>
      <c r="E92023"/>
      <c r="F92023"/>
    </row>
    <row r="92024" spans="1:6" x14ac:dyDescent="0.25">
      <c r="A92024"/>
      <c r="B92024"/>
      <c r="C92024"/>
      <c r="E92024"/>
      <c r="F92024"/>
    </row>
    <row r="92025" spans="1:6" x14ac:dyDescent="0.25">
      <c r="A92025"/>
      <c r="B92025"/>
      <c r="C92025"/>
      <c r="E92025"/>
      <c r="F92025"/>
    </row>
    <row r="92026" spans="1:6" x14ac:dyDescent="0.25">
      <c r="A92026"/>
      <c r="B92026"/>
      <c r="C92026"/>
      <c r="E92026"/>
      <c r="F92026"/>
    </row>
    <row r="92027" spans="1:6" x14ac:dyDescent="0.25">
      <c r="A92027"/>
      <c r="B92027"/>
      <c r="C92027"/>
      <c r="E92027"/>
      <c r="F92027"/>
    </row>
    <row r="92028" spans="1:6" x14ac:dyDescent="0.25">
      <c r="A92028"/>
      <c r="B92028"/>
      <c r="C92028"/>
      <c r="E92028"/>
      <c r="F92028"/>
    </row>
    <row r="92029" spans="1:6" x14ac:dyDescent="0.25">
      <c r="A92029"/>
      <c r="B92029"/>
      <c r="C92029"/>
      <c r="E92029"/>
      <c r="F92029"/>
    </row>
    <row r="92030" spans="1:6" x14ac:dyDescent="0.25">
      <c r="A92030"/>
      <c r="B92030"/>
      <c r="C92030"/>
      <c r="E92030"/>
      <c r="F92030"/>
    </row>
    <row r="92031" spans="1:6" x14ac:dyDescent="0.25">
      <c r="A92031"/>
      <c r="B92031"/>
      <c r="C92031"/>
      <c r="E92031"/>
      <c r="F92031"/>
    </row>
    <row r="92032" spans="1:6" x14ac:dyDescent="0.25">
      <c r="A92032"/>
      <c r="B92032"/>
      <c r="C92032"/>
      <c r="E92032"/>
      <c r="F92032"/>
    </row>
    <row r="92033" spans="1:6" x14ac:dyDescent="0.25">
      <c r="A92033"/>
      <c r="B92033"/>
      <c r="C92033"/>
      <c r="E92033"/>
      <c r="F92033"/>
    </row>
    <row r="92034" spans="1:6" x14ac:dyDescent="0.25">
      <c r="A92034"/>
      <c r="B92034"/>
      <c r="C92034"/>
      <c r="E92034"/>
      <c r="F92034"/>
    </row>
    <row r="92035" spans="1:6" x14ac:dyDescent="0.25">
      <c r="A92035"/>
      <c r="B92035"/>
      <c r="C92035"/>
      <c r="E92035"/>
      <c r="F92035"/>
    </row>
    <row r="92036" spans="1:6" x14ac:dyDescent="0.25">
      <c r="A92036"/>
      <c r="B92036"/>
      <c r="C92036"/>
      <c r="E92036"/>
      <c r="F92036"/>
    </row>
    <row r="92037" spans="1:6" x14ac:dyDescent="0.25">
      <c r="A92037"/>
      <c r="B92037"/>
      <c r="C92037"/>
      <c r="E92037"/>
      <c r="F92037"/>
    </row>
    <row r="92038" spans="1:6" x14ac:dyDescent="0.25">
      <c r="A92038"/>
      <c r="B92038"/>
      <c r="C92038"/>
      <c r="E92038"/>
      <c r="F92038"/>
    </row>
    <row r="92039" spans="1:6" x14ac:dyDescent="0.25">
      <c r="A92039"/>
      <c r="B92039"/>
      <c r="C92039"/>
      <c r="E92039"/>
      <c r="F92039"/>
    </row>
    <row r="92040" spans="1:6" x14ac:dyDescent="0.25">
      <c r="A92040"/>
      <c r="B92040"/>
      <c r="C92040"/>
      <c r="E92040"/>
      <c r="F92040"/>
    </row>
    <row r="92041" spans="1:6" x14ac:dyDescent="0.25">
      <c r="A92041"/>
      <c r="B92041"/>
      <c r="C92041"/>
      <c r="E92041"/>
      <c r="F92041"/>
    </row>
    <row r="92042" spans="1:6" x14ac:dyDescent="0.25">
      <c r="A92042"/>
      <c r="B92042"/>
      <c r="C92042"/>
      <c r="E92042"/>
      <c r="F92042"/>
    </row>
    <row r="92043" spans="1:6" x14ac:dyDescent="0.25">
      <c r="A92043"/>
      <c r="B92043"/>
      <c r="C92043"/>
      <c r="E92043"/>
      <c r="F92043"/>
    </row>
    <row r="92044" spans="1:6" x14ac:dyDescent="0.25">
      <c r="A92044"/>
      <c r="B92044"/>
      <c r="C92044"/>
      <c r="E92044"/>
      <c r="F92044"/>
    </row>
    <row r="92045" spans="1:6" x14ac:dyDescent="0.25">
      <c r="A92045"/>
      <c r="B92045"/>
      <c r="C92045"/>
      <c r="E92045"/>
      <c r="F92045"/>
    </row>
    <row r="92046" spans="1:6" x14ac:dyDescent="0.25">
      <c r="A92046"/>
      <c r="B92046"/>
      <c r="C92046"/>
      <c r="E92046"/>
      <c r="F92046"/>
    </row>
    <row r="92047" spans="1:6" x14ac:dyDescent="0.25">
      <c r="A92047"/>
      <c r="B92047"/>
      <c r="C92047"/>
      <c r="E92047"/>
      <c r="F92047"/>
    </row>
    <row r="92048" spans="1:6" x14ac:dyDescent="0.25">
      <c r="A92048"/>
      <c r="B92048"/>
      <c r="C92048"/>
      <c r="E92048"/>
      <c r="F92048"/>
    </row>
    <row r="92049" spans="1:6" x14ac:dyDescent="0.25">
      <c r="A92049"/>
      <c r="B92049"/>
      <c r="C92049"/>
      <c r="E92049"/>
      <c r="F92049"/>
    </row>
    <row r="92050" spans="1:6" x14ac:dyDescent="0.25">
      <c r="A92050"/>
      <c r="B92050"/>
      <c r="C92050"/>
      <c r="E92050"/>
      <c r="F92050"/>
    </row>
    <row r="92051" spans="1:6" x14ac:dyDescent="0.25">
      <c r="A92051"/>
      <c r="B92051"/>
      <c r="C92051"/>
      <c r="E92051"/>
      <c r="F92051"/>
    </row>
    <row r="92052" spans="1:6" x14ac:dyDescent="0.25">
      <c r="A92052"/>
      <c r="B92052"/>
      <c r="C92052"/>
      <c r="E92052"/>
      <c r="F92052"/>
    </row>
    <row r="92053" spans="1:6" x14ac:dyDescent="0.25">
      <c r="A92053"/>
      <c r="B92053"/>
      <c r="C92053"/>
      <c r="E92053"/>
      <c r="F92053"/>
    </row>
    <row r="92054" spans="1:6" x14ac:dyDescent="0.25">
      <c r="A92054"/>
      <c r="B92054"/>
      <c r="C92054"/>
      <c r="E92054"/>
      <c r="F92054"/>
    </row>
    <row r="92055" spans="1:6" x14ac:dyDescent="0.25">
      <c r="A92055"/>
      <c r="B92055"/>
      <c r="C92055"/>
      <c r="E92055"/>
      <c r="F92055"/>
    </row>
    <row r="92056" spans="1:6" x14ac:dyDescent="0.25">
      <c r="A92056"/>
      <c r="B92056"/>
      <c r="C92056"/>
      <c r="E92056"/>
      <c r="F92056"/>
    </row>
    <row r="92057" spans="1:6" x14ac:dyDescent="0.25">
      <c r="A92057"/>
      <c r="B92057"/>
      <c r="C92057"/>
      <c r="E92057"/>
      <c r="F92057"/>
    </row>
    <row r="92058" spans="1:6" x14ac:dyDescent="0.25">
      <c r="A92058"/>
      <c r="B92058"/>
      <c r="C92058"/>
      <c r="E92058"/>
      <c r="F92058"/>
    </row>
    <row r="92059" spans="1:6" x14ac:dyDescent="0.25">
      <c r="A92059"/>
      <c r="B92059"/>
      <c r="C92059"/>
      <c r="E92059"/>
      <c r="F92059"/>
    </row>
    <row r="92060" spans="1:6" x14ac:dyDescent="0.25">
      <c r="A92060"/>
      <c r="B92060"/>
      <c r="C92060"/>
      <c r="E92060"/>
      <c r="F92060"/>
    </row>
    <row r="92061" spans="1:6" x14ac:dyDescent="0.25">
      <c r="A92061"/>
      <c r="B92061"/>
      <c r="C92061"/>
      <c r="E92061"/>
      <c r="F92061"/>
    </row>
    <row r="92062" spans="1:6" x14ac:dyDescent="0.25">
      <c r="A92062"/>
      <c r="B92062"/>
      <c r="C92062"/>
      <c r="E92062"/>
      <c r="F92062"/>
    </row>
    <row r="92063" spans="1:6" x14ac:dyDescent="0.25">
      <c r="A92063"/>
      <c r="B92063"/>
      <c r="C92063"/>
      <c r="E92063"/>
      <c r="F92063"/>
    </row>
    <row r="92064" spans="1:6" x14ac:dyDescent="0.25">
      <c r="A92064"/>
      <c r="B92064"/>
      <c r="C92064"/>
      <c r="E92064"/>
      <c r="F92064"/>
    </row>
    <row r="92065" spans="1:6" x14ac:dyDescent="0.25">
      <c r="A92065"/>
      <c r="B92065"/>
      <c r="C92065"/>
      <c r="E92065"/>
      <c r="F92065"/>
    </row>
    <row r="92066" spans="1:6" x14ac:dyDescent="0.25">
      <c r="A92066"/>
      <c r="B92066"/>
      <c r="C92066"/>
      <c r="E92066"/>
      <c r="F92066"/>
    </row>
    <row r="92067" spans="1:6" x14ac:dyDescent="0.25">
      <c r="A92067"/>
      <c r="B92067"/>
      <c r="C92067"/>
      <c r="E92067"/>
      <c r="F92067"/>
    </row>
    <row r="92068" spans="1:6" x14ac:dyDescent="0.25">
      <c r="A92068"/>
      <c r="B92068"/>
      <c r="C92068"/>
      <c r="E92068"/>
      <c r="F92068"/>
    </row>
    <row r="92069" spans="1:6" x14ac:dyDescent="0.25">
      <c r="A92069"/>
      <c r="B92069"/>
      <c r="C92069"/>
      <c r="E92069"/>
      <c r="F92069"/>
    </row>
    <row r="92070" spans="1:6" x14ac:dyDescent="0.25">
      <c r="A92070"/>
      <c r="B92070"/>
      <c r="C92070"/>
      <c r="E92070"/>
      <c r="F92070"/>
    </row>
    <row r="92071" spans="1:6" x14ac:dyDescent="0.25">
      <c r="A92071"/>
      <c r="B92071"/>
      <c r="C92071"/>
      <c r="E92071"/>
      <c r="F92071"/>
    </row>
    <row r="92072" spans="1:6" x14ac:dyDescent="0.25">
      <c r="A92072"/>
      <c r="B92072"/>
      <c r="C92072"/>
      <c r="E92072"/>
      <c r="F92072"/>
    </row>
    <row r="92073" spans="1:6" x14ac:dyDescent="0.25">
      <c r="A92073"/>
      <c r="B92073"/>
      <c r="C92073"/>
      <c r="E92073"/>
      <c r="F92073"/>
    </row>
    <row r="92074" spans="1:6" x14ac:dyDescent="0.25">
      <c r="A92074"/>
      <c r="B92074"/>
      <c r="C92074"/>
      <c r="E92074"/>
      <c r="F92074"/>
    </row>
    <row r="92075" spans="1:6" x14ac:dyDescent="0.25">
      <c r="A92075"/>
      <c r="B92075"/>
      <c r="C92075"/>
      <c r="E92075"/>
      <c r="F92075"/>
    </row>
    <row r="92076" spans="1:6" x14ac:dyDescent="0.25">
      <c r="A92076"/>
      <c r="B92076"/>
      <c r="C92076"/>
      <c r="E92076"/>
      <c r="F92076"/>
    </row>
    <row r="92077" spans="1:6" x14ac:dyDescent="0.25">
      <c r="A92077"/>
      <c r="B92077"/>
      <c r="C92077"/>
      <c r="E92077"/>
      <c r="F92077"/>
    </row>
    <row r="92078" spans="1:6" x14ac:dyDescent="0.25">
      <c r="A92078"/>
      <c r="B92078"/>
      <c r="C92078"/>
      <c r="E92078"/>
      <c r="F92078"/>
    </row>
    <row r="92079" spans="1:6" x14ac:dyDescent="0.25">
      <c r="A92079"/>
      <c r="B92079"/>
      <c r="C92079"/>
      <c r="E92079"/>
      <c r="F92079"/>
    </row>
    <row r="92080" spans="1:6" x14ac:dyDescent="0.25">
      <c r="A92080"/>
      <c r="B92080"/>
      <c r="C92080"/>
      <c r="E92080"/>
      <c r="F92080"/>
    </row>
    <row r="92081" spans="1:6" x14ac:dyDescent="0.25">
      <c r="A92081"/>
      <c r="B92081"/>
      <c r="C92081"/>
      <c r="E92081"/>
      <c r="F92081"/>
    </row>
    <row r="92082" spans="1:6" x14ac:dyDescent="0.25">
      <c r="A92082"/>
      <c r="B92082"/>
      <c r="C92082"/>
      <c r="E92082"/>
      <c r="F92082"/>
    </row>
    <row r="92083" spans="1:6" x14ac:dyDescent="0.25">
      <c r="A92083"/>
      <c r="B92083"/>
      <c r="C92083"/>
      <c r="E92083"/>
      <c r="F92083"/>
    </row>
    <row r="92084" spans="1:6" x14ac:dyDescent="0.25">
      <c r="A92084"/>
      <c r="B92084"/>
      <c r="C92084"/>
      <c r="E92084"/>
      <c r="F92084"/>
    </row>
    <row r="92085" spans="1:6" x14ac:dyDescent="0.25">
      <c r="A92085"/>
      <c r="B92085"/>
      <c r="C92085"/>
      <c r="E92085"/>
      <c r="F92085"/>
    </row>
    <row r="92086" spans="1:6" x14ac:dyDescent="0.25">
      <c r="A92086"/>
      <c r="B92086"/>
      <c r="C92086"/>
      <c r="E92086"/>
      <c r="F92086"/>
    </row>
    <row r="92087" spans="1:6" x14ac:dyDescent="0.25">
      <c r="A92087"/>
      <c r="B92087"/>
      <c r="C92087"/>
      <c r="E92087"/>
      <c r="F92087"/>
    </row>
    <row r="92088" spans="1:6" x14ac:dyDescent="0.25">
      <c r="A92088"/>
      <c r="B92088"/>
      <c r="C92088"/>
      <c r="E92088"/>
      <c r="F92088"/>
    </row>
    <row r="92089" spans="1:6" x14ac:dyDescent="0.25">
      <c r="A92089"/>
      <c r="B92089"/>
      <c r="C92089"/>
      <c r="E92089"/>
      <c r="F92089"/>
    </row>
    <row r="92090" spans="1:6" x14ac:dyDescent="0.25">
      <c r="A92090"/>
      <c r="B92090"/>
      <c r="C92090"/>
      <c r="E92090"/>
      <c r="F92090"/>
    </row>
    <row r="92091" spans="1:6" x14ac:dyDescent="0.25">
      <c r="A92091"/>
      <c r="B92091"/>
      <c r="C92091"/>
      <c r="E92091"/>
      <c r="F92091"/>
    </row>
    <row r="92092" spans="1:6" x14ac:dyDescent="0.25">
      <c r="A92092"/>
      <c r="B92092"/>
      <c r="C92092"/>
      <c r="E92092"/>
      <c r="F92092"/>
    </row>
    <row r="92093" spans="1:6" x14ac:dyDescent="0.25">
      <c r="A92093"/>
      <c r="B92093"/>
      <c r="C92093"/>
      <c r="E92093"/>
      <c r="F92093"/>
    </row>
    <row r="92094" spans="1:6" x14ac:dyDescent="0.25">
      <c r="A92094"/>
      <c r="B92094"/>
      <c r="C92094"/>
      <c r="E92094"/>
      <c r="F92094"/>
    </row>
    <row r="92095" spans="1:6" x14ac:dyDescent="0.25">
      <c r="A92095"/>
      <c r="B92095"/>
      <c r="C92095"/>
      <c r="E92095"/>
      <c r="F92095"/>
    </row>
    <row r="92096" spans="1:6" x14ac:dyDescent="0.25">
      <c r="A92096"/>
      <c r="B92096"/>
      <c r="C92096"/>
      <c r="E92096"/>
      <c r="F92096"/>
    </row>
    <row r="92097" spans="1:6" x14ac:dyDescent="0.25">
      <c r="A92097"/>
      <c r="B92097"/>
      <c r="C92097"/>
      <c r="E92097"/>
      <c r="F92097"/>
    </row>
    <row r="92098" spans="1:6" x14ac:dyDescent="0.25">
      <c r="A92098"/>
      <c r="B92098"/>
      <c r="C92098"/>
      <c r="E92098"/>
      <c r="F92098"/>
    </row>
    <row r="92099" spans="1:6" x14ac:dyDescent="0.25">
      <c r="A92099"/>
      <c r="B92099"/>
      <c r="C92099"/>
      <c r="E92099"/>
      <c r="F92099"/>
    </row>
    <row r="92100" spans="1:6" x14ac:dyDescent="0.25">
      <c r="A92100"/>
      <c r="B92100"/>
      <c r="C92100"/>
      <c r="E92100"/>
      <c r="F92100"/>
    </row>
    <row r="92101" spans="1:6" x14ac:dyDescent="0.25">
      <c r="A92101"/>
      <c r="B92101"/>
      <c r="C92101"/>
      <c r="E92101"/>
      <c r="F92101"/>
    </row>
    <row r="92102" spans="1:6" x14ac:dyDescent="0.25">
      <c r="A92102"/>
      <c r="B92102"/>
      <c r="C92102"/>
      <c r="E92102"/>
      <c r="F92102"/>
    </row>
    <row r="92103" spans="1:6" x14ac:dyDescent="0.25">
      <c r="A92103"/>
      <c r="B92103"/>
      <c r="C92103"/>
      <c r="E92103"/>
      <c r="F92103"/>
    </row>
    <row r="92104" spans="1:6" x14ac:dyDescent="0.25">
      <c r="A92104"/>
      <c r="B92104"/>
      <c r="C92104"/>
      <c r="E92104"/>
      <c r="F92104"/>
    </row>
    <row r="92105" spans="1:6" x14ac:dyDescent="0.25">
      <c r="A92105"/>
      <c r="B92105"/>
      <c r="C92105"/>
      <c r="E92105"/>
      <c r="F92105"/>
    </row>
    <row r="92106" spans="1:6" x14ac:dyDescent="0.25">
      <c r="A92106"/>
      <c r="B92106"/>
      <c r="C92106"/>
      <c r="E92106"/>
      <c r="F92106"/>
    </row>
    <row r="92107" spans="1:6" x14ac:dyDescent="0.25">
      <c r="A92107"/>
      <c r="B92107"/>
      <c r="C92107"/>
      <c r="E92107"/>
      <c r="F92107"/>
    </row>
    <row r="92108" spans="1:6" x14ac:dyDescent="0.25">
      <c r="A92108"/>
      <c r="B92108"/>
      <c r="C92108"/>
      <c r="E92108"/>
      <c r="F92108"/>
    </row>
    <row r="92109" spans="1:6" x14ac:dyDescent="0.25">
      <c r="A92109"/>
      <c r="B92109"/>
      <c r="C92109"/>
      <c r="E92109"/>
      <c r="F92109"/>
    </row>
    <row r="92110" spans="1:6" x14ac:dyDescent="0.25">
      <c r="A92110"/>
      <c r="B92110"/>
      <c r="C92110"/>
      <c r="E92110"/>
      <c r="F92110"/>
    </row>
    <row r="92111" spans="1:6" x14ac:dyDescent="0.25">
      <c r="A92111"/>
      <c r="B92111"/>
      <c r="C92111"/>
      <c r="E92111"/>
      <c r="F92111"/>
    </row>
    <row r="92112" spans="1:6" x14ac:dyDescent="0.25">
      <c r="A92112"/>
      <c r="B92112"/>
      <c r="C92112"/>
      <c r="E92112"/>
      <c r="F92112"/>
    </row>
    <row r="92113" spans="1:6" x14ac:dyDescent="0.25">
      <c r="A92113"/>
      <c r="B92113"/>
      <c r="C92113"/>
      <c r="E92113"/>
      <c r="F92113"/>
    </row>
    <row r="92114" spans="1:6" x14ac:dyDescent="0.25">
      <c r="A92114"/>
      <c r="B92114"/>
      <c r="C92114"/>
      <c r="E92114"/>
      <c r="F92114"/>
    </row>
    <row r="92115" spans="1:6" x14ac:dyDescent="0.25">
      <c r="A92115"/>
      <c r="B92115"/>
      <c r="C92115"/>
      <c r="E92115"/>
      <c r="F92115"/>
    </row>
    <row r="92116" spans="1:6" x14ac:dyDescent="0.25">
      <c r="A92116"/>
      <c r="B92116"/>
      <c r="C92116"/>
      <c r="E92116"/>
      <c r="F92116"/>
    </row>
    <row r="92117" spans="1:6" x14ac:dyDescent="0.25">
      <c r="A92117"/>
      <c r="B92117"/>
      <c r="C92117"/>
      <c r="E92117"/>
      <c r="F92117"/>
    </row>
    <row r="92118" spans="1:6" x14ac:dyDescent="0.25">
      <c r="A92118"/>
      <c r="B92118"/>
      <c r="C92118"/>
      <c r="E92118"/>
      <c r="F92118"/>
    </row>
    <row r="92119" spans="1:6" x14ac:dyDescent="0.25">
      <c r="A92119"/>
      <c r="B92119"/>
      <c r="C92119"/>
      <c r="E92119"/>
      <c r="F92119"/>
    </row>
    <row r="92120" spans="1:6" x14ac:dyDescent="0.25">
      <c r="A92120"/>
      <c r="B92120"/>
      <c r="C92120"/>
      <c r="E92120"/>
      <c r="F92120"/>
    </row>
    <row r="92121" spans="1:6" x14ac:dyDescent="0.25">
      <c r="A92121"/>
      <c r="B92121"/>
      <c r="C92121"/>
      <c r="E92121"/>
      <c r="F92121"/>
    </row>
    <row r="92122" spans="1:6" x14ac:dyDescent="0.25">
      <c r="A92122"/>
      <c r="B92122"/>
      <c r="C92122"/>
      <c r="E92122"/>
      <c r="F92122"/>
    </row>
    <row r="92123" spans="1:6" x14ac:dyDescent="0.25">
      <c r="A92123"/>
      <c r="B92123"/>
      <c r="C92123"/>
      <c r="E92123"/>
      <c r="F92123"/>
    </row>
    <row r="92124" spans="1:6" x14ac:dyDescent="0.25">
      <c r="A92124"/>
      <c r="B92124"/>
      <c r="C92124"/>
      <c r="E92124"/>
      <c r="F92124"/>
    </row>
    <row r="92125" spans="1:6" x14ac:dyDescent="0.25">
      <c r="A92125"/>
      <c r="B92125"/>
      <c r="C92125"/>
      <c r="E92125"/>
      <c r="F92125"/>
    </row>
    <row r="92126" spans="1:6" x14ac:dyDescent="0.25">
      <c r="A92126"/>
      <c r="B92126"/>
      <c r="C92126"/>
      <c r="E92126"/>
      <c r="F92126"/>
    </row>
    <row r="92127" spans="1:6" x14ac:dyDescent="0.25">
      <c r="A92127"/>
      <c r="B92127"/>
      <c r="C92127"/>
      <c r="E92127"/>
      <c r="F92127"/>
    </row>
    <row r="92128" spans="1:6" x14ac:dyDescent="0.25">
      <c r="A92128"/>
      <c r="B92128"/>
      <c r="C92128"/>
      <c r="E92128"/>
      <c r="F92128"/>
    </row>
    <row r="92129" spans="1:6" x14ac:dyDescent="0.25">
      <c r="A92129"/>
      <c r="B92129"/>
      <c r="C92129"/>
      <c r="E92129"/>
      <c r="F92129"/>
    </row>
    <row r="92130" spans="1:6" x14ac:dyDescent="0.25">
      <c r="A92130"/>
      <c r="B92130"/>
      <c r="C92130"/>
      <c r="E92130"/>
      <c r="F92130"/>
    </row>
    <row r="92131" spans="1:6" x14ac:dyDescent="0.25">
      <c r="A92131"/>
      <c r="B92131"/>
      <c r="C92131"/>
      <c r="E92131"/>
      <c r="F92131"/>
    </row>
    <row r="92132" spans="1:6" x14ac:dyDescent="0.25">
      <c r="A92132"/>
      <c r="B92132"/>
      <c r="C92132"/>
      <c r="E92132"/>
      <c r="F92132"/>
    </row>
    <row r="92133" spans="1:6" x14ac:dyDescent="0.25">
      <c r="A92133"/>
      <c r="B92133"/>
      <c r="C92133"/>
      <c r="E92133"/>
      <c r="F92133"/>
    </row>
    <row r="92134" spans="1:6" x14ac:dyDescent="0.25">
      <c r="A92134"/>
      <c r="B92134"/>
      <c r="C92134"/>
      <c r="E92134"/>
      <c r="F92134"/>
    </row>
    <row r="92135" spans="1:6" x14ac:dyDescent="0.25">
      <c r="A92135"/>
      <c r="B92135"/>
      <c r="C92135"/>
      <c r="E92135"/>
      <c r="F92135"/>
    </row>
    <row r="92136" spans="1:6" x14ac:dyDescent="0.25">
      <c r="A92136"/>
      <c r="B92136"/>
      <c r="C92136"/>
      <c r="E92136"/>
      <c r="F92136"/>
    </row>
    <row r="92137" spans="1:6" x14ac:dyDescent="0.25">
      <c r="A92137"/>
      <c r="B92137"/>
      <c r="C92137"/>
      <c r="E92137"/>
      <c r="F92137"/>
    </row>
    <row r="92138" spans="1:6" x14ac:dyDescent="0.25">
      <c r="A92138"/>
      <c r="B92138"/>
      <c r="C92138"/>
      <c r="E92138"/>
      <c r="F92138"/>
    </row>
    <row r="92139" spans="1:6" x14ac:dyDescent="0.25">
      <c r="A92139"/>
      <c r="B92139"/>
      <c r="C92139"/>
      <c r="E92139"/>
      <c r="F92139"/>
    </row>
    <row r="92140" spans="1:6" x14ac:dyDescent="0.25">
      <c r="A92140"/>
      <c r="B92140"/>
      <c r="C92140"/>
      <c r="E92140"/>
      <c r="F92140"/>
    </row>
    <row r="92141" spans="1:6" x14ac:dyDescent="0.25">
      <c r="A92141"/>
      <c r="B92141"/>
      <c r="C92141"/>
      <c r="E92141"/>
      <c r="F92141"/>
    </row>
    <row r="92142" spans="1:6" x14ac:dyDescent="0.25">
      <c r="A92142"/>
      <c r="B92142"/>
      <c r="C92142"/>
      <c r="E92142"/>
      <c r="F92142"/>
    </row>
    <row r="92143" spans="1:6" x14ac:dyDescent="0.25">
      <c r="A92143"/>
      <c r="B92143"/>
      <c r="C92143"/>
      <c r="E92143"/>
      <c r="F92143"/>
    </row>
    <row r="92144" spans="1:6" x14ac:dyDescent="0.25">
      <c r="A92144"/>
      <c r="B92144"/>
      <c r="C92144"/>
      <c r="E92144"/>
      <c r="F92144"/>
    </row>
    <row r="92145" spans="1:6" x14ac:dyDescent="0.25">
      <c r="A92145"/>
      <c r="B92145"/>
      <c r="C92145"/>
      <c r="E92145"/>
      <c r="F92145"/>
    </row>
    <row r="92146" spans="1:6" x14ac:dyDescent="0.25">
      <c r="A92146"/>
      <c r="B92146"/>
      <c r="C92146"/>
      <c r="E92146"/>
      <c r="F92146"/>
    </row>
    <row r="92147" spans="1:6" x14ac:dyDescent="0.25">
      <c r="A92147"/>
      <c r="B92147"/>
      <c r="C92147"/>
      <c r="E92147"/>
      <c r="F92147"/>
    </row>
    <row r="92148" spans="1:6" x14ac:dyDescent="0.25">
      <c r="A92148"/>
      <c r="B92148"/>
      <c r="C92148"/>
      <c r="E92148"/>
      <c r="F92148"/>
    </row>
    <row r="92149" spans="1:6" x14ac:dyDescent="0.25">
      <c r="A92149"/>
      <c r="B92149"/>
      <c r="C92149"/>
      <c r="E92149"/>
      <c r="F92149"/>
    </row>
    <row r="92150" spans="1:6" x14ac:dyDescent="0.25">
      <c r="A92150"/>
      <c r="B92150"/>
      <c r="C92150"/>
      <c r="E92150"/>
      <c r="F92150"/>
    </row>
    <row r="92151" spans="1:6" x14ac:dyDescent="0.25">
      <c r="A92151"/>
      <c r="B92151"/>
      <c r="C92151"/>
      <c r="E92151"/>
      <c r="F92151"/>
    </row>
    <row r="92152" spans="1:6" x14ac:dyDescent="0.25">
      <c r="A92152"/>
      <c r="B92152"/>
      <c r="C92152"/>
      <c r="E92152"/>
      <c r="F92152"/>
    </row>
    <row r="92153" spans="1:6" x14ac:dyDescent="0.25">
      <c r="A92153"/>
      <c r="B92153"/>
      <c r="C92153"/>
      <c r="E92153"/>
      <c r="F92153"/>
    </row>
    <row r="92154" spans="1:6" x14ac:dyDescent="0.25">
      <c r="A92154"/>
      <c r="B92154"/>
      <c r="C92154"/>
      <c r="E92154"/>
      <c r="F92154"/>
    </row>
    <row r="92155" spans="1:6" x14ac:dyDescent="0.25">
      <c r="A92155"/>
      <c r="B92155"/>
      <c r="C92155"/>
      <c r="E92155"/>
      <c r="F92155"/>
    </row>
    <row r="92156" spans="1:6" x14ac:dyDescent="0.25">
      <c r="A92156"/>
      <c r="B92156"/>
      <c r="C92156"/>
      <c r="E92156"/>
      <c r="F92156"/>
    </row>
    <row r="92157" spans="1:6" x14ac:dyDescent="0.25">
      <c r="A92157"/>
      <c r="B92157"/>
      <c r="C92157"/>
      <c r="E92157"/>
      <c r="F92157"/>
    </row>
    <row r="92158" spans="1:6" x14ac:dyDescent="0.25">
      <c r="A92158"/>
      <c r="B92158"/>
      <c r="C92158"/>
      <c r="E92158"/>
      <c r="F92158"/>
    </row>
    <row r="92159" spans="1:6" x14ac:dyDescent="0.25">
      <c r="A92159"/>
      <c r="B92159"/>
      <c r="C92159"/>
      <c r="E92159"/>
      <c r="F92159"/>
    </row>
    <row r="92160" spans="1:6" x14ac:dyDescent="0.25">
      <c r="A92160"/>
      <c r="B92160"/>
      <c r="C92160"/>
      <c r="E92160"/>
      <c r="F92160"/>
    </row>
    <row r="92161" spans="1:6" x14ac:dyDescent="0.25">
      <c r="A92161"/>
      <c r="B92161"/>
      <c r="C92161"/>
      <c r="E92161"/>
      <c r="F92161"/>
    </row>
    <row r="92162" spans="1:6" x14ac:dyDescent="0.25">
      <c r="A92162"/>
      <c r="B92162"/>
      <c r="C92162"/>
      <c r="E92162"/>
      <c r="F92162"/>
    </row>
    <row r="92163" spans="1:6" x14ac:dyDescent="0.25">
      <c r="A92163"/>
      <c r="B92163"/>
      <c r="C92163"/>
      <c r="E92163"/>
      <c r="F92163"/>
    </row>
    <row r="92164" spans="1:6" x14ac:dyDescent="0.25">
      <c r="A92164"/>
      <c r="B92164"/>
      <c r="C92164"/>
      <c r="E92164"/>
      <c r="F92164"/>
    </row>
    <row r="92165" spans="1:6" x14ac:dyDescent="0.25">
      <c r="A92165"/>
      <c r="B92165"/>
      <c r="C92165"/>
      <c r="E92165"/>
      <c r="F92165"/>
    </row>
    <row r="92166" spans="1:6" x14ac:dyDescent="0.25">
      <c r="A92166"/>
      <c r="B92166"/>
      <c r="C92166"/>
      <c r="E92166"/>
      <c r="F92166"/>
    </row>
    <row r="92167" spans="1:6" x14ac:dyDescent="0.25">
      <c r="A92167"/>
      <c r="B92167"/>
      <c r="C92167"/>
      <c r="E92167"/>
      <c r="F92167"/>
    </row>
    <row r="92168" spans="1:6" x14ac:dyDescent="0.25">
      <c r="A92168"/>
      <c r="B92168"/>
      <c r="C92168"/>
      <c r="E92168"/>
      <c r="F92168"/>
    </row>
    <row r="92169" spans="1:6" x14ac:dyDescent="0.25">
      <c r="A92169"/>
      <c r="B92169"/>
      <c r="C92169"/>
      <c r="E92169"/>
      <c r="F92169"/>
    </row>
    <row r="92170" spans="1:6" x14ac:dyDescent="0.25">
      <c r="A92170"/>
      <c r="B92170"/>
      <c r="C92170"/>
      <c r="E92170"/>
      <c r="F92170"/>
    </row>
    <row r="92171" spans="1:6" x14ac:dyDescent="0.25">
      <c r="A92171"/>
      <c r="B92171"/>
      <c r="C92171"/>
      <c r="E92171"/>
      <c r="F92171"/>
    </row>
    <row r="92172" spans="1:6" x14ac:dyDescent="0.25">
      <c r="A92172"/>
      <c r="B92172"/>
      <c r="C92172"/>
      <c r="E92172"/>
      <c r="F92172"/>
    </row>
    <row r="92173" spans="1:6" x14ac:dyDescent="0.25">
      <c r="A92173"/>
      <c r="B92173"/>
      <c r="C92173"/>
      <c r="E92173"/>
      <c r="F92173"/>
    </row>
    <row r="92174" spans="1:6" x14ac:dyDescent="0.25">
      <c r="A92174"/>
      <c r="B92174"/>
      <c r="C92174"/>
      <c r="E92174"/>
      <c r="F92174"/>
    </row>
    <row r="92175" spans="1:6" x14ac:dyDescent="0.25">
      <c r="A92175"/>
      <c r="B92175"/>
      <c r="C92175"/>
      <c r="E92175"/>
      <c r="F92175"/>
    </row>
    <row r="92176" spans="1:6" x14ac:dyDescent="0.25">
      <c r="A92176"/>
      <c r="B92176"/>
      <c r="C92176"/>
      <c r="E92176"/>
      <c r="F92176"/>
    </row>
    <row r="92177" spans="1:6" x14ac:dyDescent="0.25">
      <c r="A92177"/>
      <c r="B92177"/>
      <c r="C92177"/>
      <c r="E92177"/>
      <c r="F92177"/>
    </row>
    <row r="92178" spans="1:6" x14ac:dyDescent="0.25">
      <c r="A92178"/>
      <c r="B92178"/>
      <c r="C92178"/>
      <c r="E92178"/>
      <c r="F92178"/>
    </row>
    <row r="92179" spans="1:6" x14ac:dyDescent="0.25">
      <c r="A92179"/>
      <c r="B92179"/>
      <c r="C92179"/>
      <c r="E92179"/>
      <c r="F92179"/>
    </row>
    <row r="92180" spans="1:6" x14ac:dyDescent="0.25">
      <c r="A92180"/>
      <c r="B92180"/>
      <c r="C92180"/>
      <c r="E92180"/>
      <c r="F92180"/>
    </row>
    <row r="92181" spans="1:6" x14ac:dyDescent="0.25">
      <c r="A92181"/>
      <c r="B92181"/>
      <c r="C92181"/>
      <c r="E92181"/>
      <c r="F92181"/>
    </row>
    <row r="92182" spans="1:6" x14ac:dyDescent="0.25">
      <c r="A92182"/>
      <c r="B92182"/>
      <c r="C92182"/>
      <c r="E92182"/>
      <c r="F92182"/>
    </row>
    <row r="92183" spans="1:6" x14ac:dyDescent="0.25">
      <c r="A92183"/>
      <c r="B92183"/>
      <c r="C92183"/>
      <c r="E92183"/>
      <c r="F92183"/>
    </row>
    <row r="92184" spans="1:6" x14ac:dyDescent="0.25">
      <c r="A92184"/>
      <c r="B92184"/>
      <c r="C92184"/>
      <c r="E92184"/>
      <c r="F92184"/>
    </row>
    <row r="92185" spans="1:6" x14ac:dyDescent="0.25">
      <c r="A92185"/>
      <c r="B92185"/>
      <c r="C92185"/>
      <c r="E92185"/>
      <c r="F92185"/>
    </row>
    <row r="92186" spans="1:6" x14ac:dyDescent="0.25">
      <c r="A92186"/>
      <c r="B92186"/>
      <c r="C92186"/>
      <c r="E92186"/>
      <c r="F92186"/>
    </row>
    <row r="92187" spans="1:6" x14ac:dyDescent="0.25">
      <c r="A92187"/>
      <c r="B92187"/>
      <c r="C92187"/>
      <c r="E92187"/>
      <c r="F92187"/>
    </row>
    <row r="92188" spans="1:6" x14ac:dyDescent="0.25">
      <c r="A92188"/>
      <c r="B92188"/>
      <c r="C92188"/>
      <c r="E92188"/>
      <c r="F92188"/>
    </row>
    <row r="92189" spans="1:6" x14ac:dyDescent="0.25">
      <c r="A92189"/>
      <c r="B92189"/>
      <c r="C92189"/>
      <c r="E92189"/>
      <c r="F92189"/>
    </row>
    <row r="92190" spans="1:6" x14ac:dyDescent="0.25">
      <c r="A92190"/>
      <c r="B92190"/>
      <c r="C92190"/>
      <c r="E92190"/>
      <c r="F92190"/>
    </row>
    <row r="92191" spans="1:6" x14ac:dyDescent="0.25">
      <c r="A92191"/>
      <c r="B92191"/>
      <c r="C92191"/>
      <c r="E92191"/>
      <c r="F92191"/>
    </row>
    <row r="92192" spans="1:6" x14ac:dyDescent="0.25">
      <c r="A92192"/>
      <c r="B92192"/>
      <c r="C92192"/>
      <c r="E92192"/>
      <c r="F92192"/>
    </row>
    <row r="92193" spans="1:6" x14ac:dyDescent="0.25">
      <c r="A92193"/>
      <c r="B92193"/>
      <c r="C92193"/>
      <c r="E92193"/>
      <c r="F92193"/>
    </row>
    <row r="92194" spans="1:6" x14ac:dyDescent="0.25">
      <c r="A92194"/>
      <c r="B92194"/>
      <c r="C92194"/>
      <c r="E92194"/>
      <c r="F92194"/>
    </row>
    <row r="92195" spans="1:6" x14ac:dyDescent="0.25">
      <c r="A92195"/>
      <c r="B92195"/>
      <c r="C92195"/>
      <c r="E92195"/>
      <c r="F92195"/>
    </row>
    <row r="92196" spans="1:6" x14ac:dyDescent="0.25">
      <c r="A92196"/>
      <c r="B92196"/>
      <c r="C92196"/>
      <c r="E92196"/>
      <c r="F92196"/>
    </row>
    <row r="92197" spans="1:6" x14ac:dyDescent="0.25">
      <c r="A92197"/>
      <c r="B92197"/>
      <c r="C92197"/>
      <c r="E92197"/>
      <c r="F92197"/>
    </row>
    <row r="92198" spans="1:6" x14ac:dyDescent="0.25">
      <c r="A92198"/>
      <c r="B92198"/>
      <c r="C92198"/>
      <c r="E92198"/>
      <c r="F92198"/>
    </row>
    <row r="92199" spans="1:6" x14ac:dyDescent="0.25">
      <c r="A92199"/>
      <c r="B92199"/>
      <c r="C92199"/>
      <c r="E92199"/>
      <c r="F92199"/>
    </row>
    <row r="92200" spans="1:6" x14ac:dyDescent="0.25">
      <c r="A92200"/>
      <c r="B92200"/>
      <c r="C92200"/>
      <c r="E92200"/>
      <c r="F92200"/>
    </row>
    <row r="92201" spans="1:6" x14ac:dyDescent="0.25">
      <c r="A92201"/>
      <c r="B92201"/>
      <c r="C92201"/>
      <c r="E92201"/>
      <c r="F92201"/>
    </row>
    <row r="92202" spans="1:6" x14ac:dyDescent="0.25">
      <c r="A92202"/>
      <c r="B92202"/>
      <c r="C92202"/>
      <c r="E92202"/>
      <c r="F92202"/>
    </row>
    <row r="92203" spans="1:6" x14ac:dyDescent="0.25">
      <c r="A92203"/>
      <c r="B92203"/>
      <c r="C92203"/>
      <c r="E92203"/>
      <c r="F92203"/>
    </row>
    <row r="92204" spans="1:6" x14ac:dyDescent="0.25">
      <c r="A92204"/>
      <c r="B92204"/>
      <c r="C92204"/>
      <c r="E92204"/>
      <c r="F92204"/>
    </row>
    <row r="92205" spans="1:6" x14ac:dyDescent="0.25">
      <c r="A92205"/>
      <c r="B92205"/>
      <c r="C92205"/>
      <c r="E92205"/>
      <c r="F92205"/>
    </row>
    <row r="92206" spans="1:6" x14ac:dyDescent="0.25">
      <c r="A92206"/>
      <c r="B92206"/>
      <c r="C92206"/>
      <c r="E92206"/>
      <c r="F92206"/>
    </row>
    <row r="92207" spans="1:6" x14ac:dyDescent="0.25">
      <c r="A92207"/>
      <c r="B92207"/>
      <c r="C92207"/>
      <c r="E92207"/>
      <c r="F92207"/>
    </row>
    <row r="92208" spans="1:6" x14ac:dyDescent="0.25">
      <c r="A92208"/>
      <c r="B92208"/>
      <c r="C92208"/>
      <c r="E92208"/>
      <c r="F92208"/>
    </row>
    <row r="92209" spans="1:6" x14ac:dyDescent="0.25">
      <c r="A92209"/>
      <c r="B92209"/>
      <c r="C92209"/>
      <c r="E92209"/>
      <c r="F92209"/>
    </row>
    <row r="92210" spans="1:6" x14ac:dyDescent="0.25">
      <c r="A92210"/>
      <c r="B92210"/>
      <c r="C92210"/>
      <c r="E92210"/>
      <c r="F92210"/>
    </row>
    <row r="92211" spans="1:6" x14ac:dyDescent="0.25">
      <c r="A92211"/>
      <c r="B92211"/>
      <c r="C92211"/>
      <c r="E92211"/>
      <c r="F92211"/>
    </row>
    <row r="92212" spans="1:6" x14ac:dyDescent="0.25">
      <c r="A92212"/>
      <c r="B92212"/>
      <c r="C92212"/>
      <c r="E92212"/>
      <c r="F92212"/>
    </row>
    <row r="92213" spans="1:6" x14ac:dyDescent="0.25">
      <c r="A92213"/>
      <c r="B92213"/>
      <c r="C92213"/>
      <c r="E92213"/>
      <c r="F92213"/>
    </row>
    <row r="92214" spans="1:6" x14ac:dyDescent="0.25">
      <c r="A92214"/>
      <c r="B92214"/>
      <c r="C92214"/>
      <c r="E92214"/>
      <c r="F92214"/>
    </row>
    <row r="92215" spans="1:6" x14ac:dyDescent="0.25">
      <c r="A92215"/>
      <c r="B92215"/>
      <c r="C92215"/>
      <c r="E92215"/>
      <c r="F92215"/>
    </row>
    <row r="92216" spans="1:6" x14ac:dyDescent="0.25">
      <c r="A92216"/>
      <c r="B92216"/>
      <c r="C92216"/>
      <c r="E92216"/>
      <c r="F92216"/>
    </row>
    <row r="92217" spans="1:6" x14ac:dyDescent="0.25">
      <c r="A92217"/>
      <c r="B92217"/>
      <c r="C92217"/>
      <c r="E92217"/>
      <c r="F92217"/>
    </row>
    <row r="92218" spans="1:6" x14ac:dyDescent="0.25">
      <c r="A92218"/>
      <c r="B92218"/>
      <c r="C92218"/>
      <c r="E92218"/>
      <c r="F92218"/>
    </row>
    <row r="92219" spans="1:6" x14ac:dyDescent="0.25">
      <c r="A92219"/>
      <c r="B92219"/>
      <c r="C92219"/>
      <c r="E92219"/>
      <c r="F92219"/>
    </row>
    <row r="92220" spans="1:6" x14ac:dyDescent="0.25">
      <c r="A92220"/>
      <c r="B92220"/>
      <c r="C92220"/>
      <c r="E92220"/>
      <c r="F92220"/>
    </row>
    <row r="92221" spans="1:6" x14ac:dyDescent="0.25">
      <c r="A92221"/>
      <c r="B92221"/>
      <c r="C92221"/>
      <c r="E92221"/>
      <c r="F92221"/>
    </row>
    <row r="92222" spans="1:6" x14ac:dyDescent="0.25">
      <c r="A92222"/>
      <c r="B92222"/>
      <c r="C92222"/>
      <c r="E92222"/>
      <c r="F92222"/>
    </row>
    <row r="92223" spans="1:6" x14ac:dyDescent="0.25">
      <c r="A92223"/>
      <c r="B92223"/>
      <c r="C92223"/>
      <c r="E92223"/>
      <c r="F92223"/>
    </row>
    <row r="92224" spans="1:6" x14ac:dyDescent="0.25">
      <c r="A92224"/>
      <c r="B92224"/>
      <c r="C92224"/>
      <c r="E92224"/>
      <c r="F92224"/>
    </row>
    <row r="92225" spans="1:6" x14ac:dyDescent="0.25">
      <c r="A92225"/>
      <c r="B92225"/>
      <c r="C92225"/>
      <c r="E92225"/>
      <c r="F92225"/>
    </row>
    <row r="92226" spans="1:6" x14ac:dyDescent="0.25">
      <c r="A92226"/>
      <c r="B92226"/>
      <c r="C92226"/>
      <c r="E92226"/>
      <c r="F92226"/>
    </row>
    <row r="92227" spans="1:6" x14ac:dyDescent="0.25">
      <c r="A92227"/>
      <c r="B92227"/>
      <c r="C92227"/>
      <c r="E92227"/>
      <c r="F92227"/>
    </row>
    <row r="92228" spans="1:6" x14ac:dyDescent="0.25">
      <c r="A92228"/>
      <c r="B92228"/>
      <c r="C92228"/>
      <c r="E92228"/>
      <c r="F92228"/>
    </row>
    <row r="92229" spans="1:6" x14ac:dyDescent="0.25">
      <c r="A92229"/>
      <c r="B92229"/>
      <c r="C92229"/>
      <c r="E92229"/>
      <c r="F92229"/>
    </row>
    <row r="92230" spans="1:6" x14ac:dyDescent="0.25">
      <c r="A92230"/>
      <c r="B92230"/>
      <c r="C92230"/>
      <c r="E92230"/>
      <c r="F92230"/>
    </row>
    <row r="92231" spans="1:6" x14ac:dyDescent="0.25">
      <c r="A92231"/>
      <c r="B92231"/>
      <c r="C92231"/>
      <c r="E92231"/>
      <c r="F92231"/>
    </row>
    <row r="92232" spans="1:6" x14ac:dyDescent="0.25">
      <c r="A92232"/>
      <c r="B92232"/>
      <c r="C92232"/>
      <c r="E92232"/>
      <c r="F92232"/>
    </row>
    <row r="92233" spans="1:6" x14ac:dyDescent="0.25">
      <c r="A92233"/>
      <c r="B92233"/>
      <c r="C92233"/>
      <c r="E92233"/>
      <c r="F92233"/>
    </row>
    <row r="92234" spans="1:6" x14ac:dyDescent="0.25">
      <c r="A92234"/>
      <c r="B92234"/>
      <c r="C92234"/>
      <c r="E92234"/>
      <c r="F92234"/>
    </row>
    <row r="92235" spans="1:6" x14ac:dyDescent="0.25">
      <c r="A92235"/>
      <c r="B92235"/>
      <c r="C92235"/>
      <c r="E92235"/>
      <c r="F92235"/>
    </row>
    <row r="92236" spans="1:6" x14ac:dyDescent="0.25">
      <c r="A92236"/>
      <c r="B92236"/>
      <c r="C92236"/>
      <c r="E92236"/>
      <c r="F92236"/>
    </row>
    <row r="92237" spans="1:6" x14ac:dyDescent="0.25">
      <c r="A92237"/>
      <c r="B92237"/>
      <c r="C92237"/>
      <c r="E92237"/>
      <c r="F92237"/>
    </row>
    <row r="92238" spans="1:6" x14ac:dyDescent="0.25">
      <c r="A92238"/>
      <c r="B92238"/>
      <c r="C92238"/>
      <c r="E92238"/>
      <c r="F92238"/>
    </row>
    <row r="92239" spans="1:6" x14ac:dyDescent="0.25">
      <c r="A92239"/>
      <c r="B92239"/>
      <c r="C92239"/>
      <c r="E92239"/>
      <c r="F92239"/>
    </row>
    <row r="92240" spans="1:6" x14ac:dyDescent="0.25">
      <c r="A92240"/>
      <c r="B92240"/>
      <c r="C92240"/>
      <c r="E92240"/>
      <c r="F92240"/>
    </row>
    <row r="92241" spans="1:6" x14ac:dyDescent="0.25">
      <c r="A92241"/>
      <c r="B92241"/>
      <c r="C92241"/>
      <c r="E92241"/>
      <c r="F92241"/>
    </row>
    <row r="92242" spans="1:6" x14ac:dyDescent="0.25">
      <c r="A92242"/>
      <c r="B92242"/>
      <c r="C92242"/>
      <c r="E92242"/>
      <c r="F92242"/>
    </row>
    <row r="92243" spans="1:6" x14ac:dyDescent="0.25">
      <c r="A92243"/>
      <c r="B92243"/>
      <c r="C92243"/>
      <c r="E92243"/>
      <c r="F92243"/>
    </row>
    <row r="92244" spans="1:6" x14ac:dyDescent="0.25">
      <c r="A92244"/>
      <c r="B92244"/>
      <c r="C92244"/>
      <c r="E92244"/>
      <c r="F92244"/>
    </row>
    <row r="92245" spans="1:6" x14ac:dyDescent="0.25">
      <c r="A92245"/>
      <c r="B92245"/>
      <c r="C92245"/>
      <c r="E92245"/>
      <c r="F92245"/>
    </row>
    <row r="92246" spans="1:6" x14ac:dyDescent="0.25">
      <c r="A92246"/>
      <c r="B92246"/>
      <c r="C92246"/>
      <c r="E92246"/>
      <c r="F92246"/>
    </row>
    <row r="92247" spans="1:6" x14ac:dyDescent="0.25">
      <c r="A92247"/>
      <c r="B92247"/>
      <c r="C92247"/>
      <c r="E92247"/>
      <c r="F92247"/>
    </row>
    <row r="92248" spans="1:6" x14ac:dyDescent="0.25">
      <c r="A92248"/>
      <c r="B92248"/>
      <c r="C92248"/>
      <c r="E92248"/>
      <c r="F92248"/>
    </row>
    <row r="92249" spans="1:6" x14ac:dyDescent="0.25">
      <c r="A92249"/>
      <c r="B92249"/>
      <c r="C92249"/>
      <c r="E92249"/>
      <c r="F92249"/>
    </row>
    <row r="92250" spans="1:6" x14ac:dyDescent="0.25">
      <c r="A92250"/>
      <c r="B92250"/>
      <c r="C92250"/>
      <c r="E92250"/>
      <c r="F92250"/>
    </row>
    <row r="92251" spans="1:6" x14ac:dyDescent="0.25">
      <c r="A92251"/>
      <c r="B92251"/>
      <c r="C92251"/>
      <c r="E92251"/>
      <c r="F92251"/>
    </row>
    <row r="92252" spans="1:6" x14ac:dyDescent="0.25">
      <c r="A92252"/>
      <c r="B92252"/>
      <c r="C92252"/>
      <c r="E92252"/>
      <c r="F92252"/>
    </row>
    <row r="92253" spans="1:6" x14ac:dyDescent="0.25">
      <c r="A92253"/>
      <c r="B92253"/>
      <c r="C92253"/>
      <c r="E92253"/>
      <c r="F92253"/>
    </row>
    <row r="92254" spans="1:6" x14ac:dyDescent="0.25">
      <c r="A92254"/>
      <c r="B92254"/>
      <c r="C92254"/>
      <c r="E92254"/>
      <c r="F92254"/>
    </row>
    <row r="92255" spans="1:6" x14ac:dyDescent="0.25">
      <c r="A92255"/>
      <c r="B92255"/>
      <c r="C92255"/>
      <c r="E92255"/>
      <c r="F92255"/>
    </row>
    <row r="92256" spans="1:6" x14ac:dyDescent="0.25">
      <c r="A92256"/>
      <c r="B92256"/>
      <c r="C92256"/>
      <c r="E92256"/>
      <c r="F92256"/>
    </row>
    <row r="92257" spans="1:6" x14ac:dyDescent="0.25">
      <c r="A92257"/>
      <c r="B92257"/>
      <c r="C92257"/>
      <c r="E92257"/>
      <c r="F92257"/>
    </row>
    <row r="92258" spans="1:6" x14ac:dyDescent="0.25">
      <c r="A92258"/>
      <c r="B92258"/>
      <c r="C92258"/>
      <c r="E92258"/>
      <c r="F92258"/>
    </row>
    <row r="92259" spans="1:6" x14ac:dyDescent="0.25">
      <c r="A92259"/>
      <c r="B92259"/>
      <c r="C92259"/>
      <c r="E92259"/>
      <c r="F92259"/>
    </row>
    <row r="92260" spans="1:6" x14ac:dyDescent="0.25">
      <c r="A92260"/>
      <c r="B92260"/>
      <c r="C92260"/>
      <c r="E92260"/>
      <c r="F92260"/>
    </row>
    <row r="92261" spans="1:6" x14ac:dyDescent="0.25">
      <c r="A92261"/>
      <c r="B92261"/>
      <c r="C92261"/>
      <c r="E92261"/>
      <c r="F92261"/>
    </row>
    <row r="92262" spans="1:6" x14ac:dyDescent="0.25">
      <c r="A92262"/>
      <c r="B92262"/>
      <c r="C92262"/>
      <c r="E92262"/>
      <c r="F92262"/>
    </row>
    <row r="92263" spans="1:6" x14ac:dyDescent="0.25">
      <c r="A92263"/>
      <c r="B92263"/>
      <c r="C92263"/>
      <c r="E92263"/>
      <c r="F92263"/>
    </row>
    <row r="92264" spans="1:6" x14ac:dyDescent="0.25">
      <c r="A92264"/>
      <c r="B92264"/>
      <c r="C92264"/>
      <c r="E92264"/>
      <c r="F92264"/>
    </row>
    <row r="92265" spans="1:6" x14ac:dyDescent="0.25">
      <c r="A92265"/>
      <c r="B92265"/>
      <c r="C92265"/>
      <c r="E92265"/>
      <c r="F92265"/>
    </row>
    <row r="92266" spans="1:6" x14ac:dyDescent="0.25">
      <c r="A92266"/>
      <c r="B92266"/>
      <c r="C92266"/>
      <c r="E92266"/>
      <c r="F92266"/>
    </row>
    <row r="92267" spans="1:6" x14ac:dyDescent="0.25">
      <c r="A92267"/>
      <c r="B92267"/>
      <c r="C92267"/>
      <c r="E92267"/>
      <c r="F92267"/>
    </row>
    <row r="92268" spans="1:6" x14ac:dyDescent="0.25">
      <c r="A92268"/>
      <c r="B92268"/>
      <c r="C92268"/>
      <c r="E92268"/>
      <c r="F92268"/>
    </row>
    <row r="92269" spans="1:6" x14ac:dyDescent="0.25">
      <c r="A92269"/>
      <c r="B92269"/>
      <c r="C92269"/>
      <c r="E92269"/>
      <c r="F92269"/>
    </row>
    <row r="92270" spans="1:6" x14ac:dyDescent="0.25">
      <c r="A92270"/>
      <c r="B92270"/>
      <c r="C92270"/>
      <c r="E92270"/>
      <c r="F92270"/>
    </row>
    <row r="92271" spans="1:6" x14ac:dyDescent="0.25">
      <c r="A92271"/>
      <c r="B92271"/>
      <c r="C92271"/>
      <c r="E92271"/>
      <c r="F92271"/>
    </row>
    <row r="92272" spans="1:6" x14ac:dyDescent="0.25">
      <c r="A92272"/>
      <c r="B92272"/>
      <c r="C92272"/>
      <c r="E92272"/>
      <c r="F92272"/>
    </row>
    <row r="92273" spans="1:6" x14ac:dyDescent="0.25">
      <c r="A92273"/>
      <c r="B92273"/>
      <c r="C92273"/>
      <c r="E92273"/>
      <c r="F92273"/>
    </row>
    <row r="92274" spans="1:6" x14ac:dyDescent="0.25">
      <c r="A92274"/>
      <c r="B92274"/>
      <c r="C92274"/>
      <c r="E92274"/>
      <c r="F92274"/>
    </row>
    <row r="92275" spans="1:6" x14ac:dyDescent="0.25">
      <c r="A92275"/>
      <c r="B92275"/>
      <c r="C92275"/>
      <c r="E92275"/>
      <c r="F92275"/>
    </row>
    <row r="92276" spans="1:6" x14ac:dyDescent="0.25">
      <c r="A92276"/>
      <c r="B92276"/>
      <c r="C92276"/>
      <c r="E92276"/>
      <c r="F92276"/>
    </row>
    <row r="92277" spans="1:6" x14ac:dyDescent="0.25">
      <c r="A92277"/>
      <c r="B92277"/>
      <c r="C92277"/>
      <c r="E92277"/>
      <c r="F92277"/>
    </row>
    <row r="92278" spans="1:6" x14ac:dyDescent="0.25">
      <c r="A92278"/>
      <c r="B92278"/>
      <c r="C92278"/>
      <c r="E92278"/>
      <c r="F92278"/>
    </row>
    <row r="92279" spans="1:6" x14ac:dyDescent="0.25">
      <c r="A92279"/>
      <c r="B92279"/>
      <c r="C92279"/>
      <c r="E92279"/>
      <c r="F92279"/>
    </row>
    <row r="92280" spans="1:6" x14ac:dyDescent="0.25">
      <c r="A92280"/>
      <c r="B92280"/>
      <c r="C92280"/>
      <c r="E92280"/>
      <c r="F92280"/>
    </row>
    <row r="92281" spans="1:6" x14ac:dyDescent="0.25">
      <c r="A92281"/>
      <c r="B92281"/>
      <c r="C92281"/>
      <c r="E92281"/>
      <c r="F92281"/>
    </row>
    <row r="92282" spans="1:6" x14ac:dyDescent="0.25">
      <c r="A92282"/>
      <c r="B92282"/>
      <c r="C92282"/>
      <c r="E92282"/>
      <c r="F92282"/>
    </row>
    <row r="92283" spans="1:6" x14ac:dyDescent="0.25">
      <c r="A92283"/>
      <c r="B92283"/>
      <c r="C92283"/>
      <c r="E92283"/>
      <c r="F92283"/>
    </row>
    <row r="92284" spans="1:6" x14ac:dyDescent="0.25">
      <c r="A92284"/>
      <c r="B92284"/>
      <c r="C92284"/>
      <c r="E92284"/>
      <c r="F92284"/>
    </row>
    <row r="92285" spans="1:6" x14ac:dyDescent="0.25">
      <c r="A92285"/>
      <c r="B92285"/>
      <c r="C92285"/>
      <c r="E92285"/>
      <c r="F92285"/>
    </row>
    <row r="92286" spans="1:6" x14ac:dyDescent="0.25">
      <c r="A92286"/>
      <c r="B92286"/>
      <c r="C92286"/>
      <c r="E92286"/>
      <c r="F92286"/>
    </row>
    <row r="92287" spans="1:6" x14ac:dyDescent="0.25">
      <c r="A92287"/>
      <c r="B92287"/>
      <c r="C92287"/>
      <c r="E92287"/>
      <c r="F92287"/>
    </row>
    <row r="92288" spans="1:6" x14ac:dyDescent="0.25">
      <c r="A92288"/>
      <c r="B92288"/>
      <c r="C92288"/>
      <c r="E92288"/>
      <c r="F92288"/>
    </row>
    <row r="92289" spans="1:6" x14ac:dyDescent="0.25">
      <c r="A92289"/>
      <c r="B92289"/>
      <c r="C92289"/>
      <c r="E92289"/>
      <c r="F92289"/>
    </row>
    <row r="92290" spans="1:6" x14ac:dyDescent="0.25">
      <c r="A92290"/>
      <c r="B92290"/>
      <c r="C92290"/>
      <c r="E92290"/>
      <c r="F92290"/>
    </row>
    <row r="92291" spans="1:6" x14ac:dyDescent="0.25">
      <c r="A92291"/>
      <c r="B92291"/>
      <c r="C92291"/>
      <c r="E92291"/>
      <c r="F92291"/>
    </row>
    <row r="92292" spans="1:6" x14ac:dyDescent="0.25">
      <c r="A92292"/>
      <c r="B92292"/>
      <c r="C92292"/>
      <c r="E92292"/>
      <c r="F92292"/>
    </row>
    <row r="92293" spans="1:6" x14ac:dyDescent="0.25">
      <c r="A92293"/>
      <c r="B92293"/>
      <c r="C92293"/>
      <c r="E92293"/>
      <c r="F92293"/>
    </row>
    <row r="92294" spans="1:6" x14ac:dyDescent="0.25">
      <c r="A92294"/>
      <c r="B92294"/>
      <c r="C92294"/>
      <c r="E92294"/>
      <c r="F92294"/>
    </row>
    <row r="92295" spans="1:6" x14ac:dyDescent="0.25">
      <c r="A92295"/>
      <c r="B92295"/>
      <c r="C92295"/>
      <c r="E92295"/>
      <c r="F92295"/>
    </row>
    <row r="92296" spans="1:6" x14ac:dyDescent="0.25">
      <c r="A92296"/>
      <c r="B92296"/>
      <c r="C92296"/>
      <c r="E92296"/>
      <c r="F92296"/>
    </row>
    <row r="92297" spans="1:6" x14ac:dyDescent="0.25">
      <c r="A92297"/>
      <c r="B92297"/>
      <c r="C92297"/>
      <c r="E92297"/>
      <c r="F92297"/>
    </row>
    <row r="92298" spans="1:6" x14ac:dyDescent="0.25">
      <c r="A92298"/>
      <c r="B92298"/>
      <c r="C92298"/>
      <c r="E92298"/>
      <c r="F92298"/>
    </row>
    <row r="92299" spans="1:6" x14ac:dyDescent="0.25">
      <c r="A92299"/>
      <c r="B92299"/>
      <c r="C92299"/>
      <c r="E92299"/>
      <c r="F92299"/>
    </row>
    <row r="92300" spans="1:6" x14ac:dyDescent="0.25">
      <c r="A92300"/>
      <c r="B92300"/>
      <c r="C92300"/>
      <c r="E92300"/>
      <c r="F92300"/>
    </row>
    <row r="92301" spans="1:6" x14ac:dyDescent="0.25">
      <c r="A92301"/>
      <c r="B92301"/>
      <c r="C92301"/>
      <c r="E92301"/>
      <c r="F92301"/>
    </row>
    <row r="92302" spans="1:6" x14ac:dyDescent="0.25">
      <c r="A92302"/>
      <c r="B92302"/>
      <c r="C92302"/>
      <c r="E92302"/>
      <c r="F92302"/>
    </row>
    <row r="92303" spans="1:6" x14ac:dyDescent="0.25">
      <c r="A92303"/>
      <c r="B92303"/>
      <c r="C92303"/>
      <c r="E92303"/>
      <c r="F92303"/>
    </row>
    <row r="92304" spans="1:6" x14ac:dyDescent="0.25">
      <c r="A92304"/>
      <c r="B92304"/>
      <c r="C92304"/>
      <c r="E92304"/>
      <c r="F92304"/>
    </row>
    <row r="92305" spans="1:6" x14ac:dyDescent="0.25">
      <c r="A92305"/>
      <c r="B92305"/>
      <c r="C92305"/>
      <c r="E92305"/>
      <c r="F92305"/>
    </row>
    <row r="92306" spans="1:6" x14ac:dyDescent="0.25">
      <c r="A92306"/>
      <c r="B92306"/>
      <c r="C92306"/>
      <c r="E92306"/>
      <c r="F92306"/>
    </row>
    <row r="92307" spans="1:6" x14ac:dyDescent="0.25">
      <c r="A92307"/>
      <c r="B92307"/>
      <c r="C92307"/>
      <c r="E92307"/>
      <c r="F92307"/>
    </row>
    <row r="92308" spans="1:6" x14ac:dyDescent="0.25">
      <c r="A92308"/>
      <c r="B92308"/>
      <c r="C92308"/>
      <c r="E92308"/>
      <c r="F92308"/>
    </row>
    <row r="92309" spans="1:6" x14ac:dyDescent="0.25">
      <c r="A92309"/>
      <c r="B92309"/>
      <c r="C92309"/>
      <c r="E92309"/>
      <c r="F92309"/>
    </row>
    <row r="92310" spans="1:6" x14ac:dyDescent="0.25">
      <c r="A92310"/>
      <c r="B92310"/>
      <c r="C92310"/>
      <c r="E92310"/>
      <c r="F92310"/>
    </row>
    <row r="92311" spans="1:6" x14ac:dyDescent="0.25">
      <c r="A92311"/>
      <c r="B92311"/>
      <c r="C92311"/>
      <c r="E92311"/>
      <c r="F92311"/>
    </row>
    <row r="92312" spans="1:6" x14ac:dyDescent="0.25">
      <c r="A92312"/>
      <c r="B92312"/>
      <c r="C92312"/>
      <c r="E92312"/>
      <c r="F92312"/>
    </row>
    <row r="92313" spans="1:6" x14ac:dyDescent="0.25">
      <c r="A92313"/>
      <c r="B92313"/>
      <c r="C92313"/>
      <c r="E92313"/>
      <c r="F92313"/>
    </row>
    <row r="92314" spans="1:6" x14ac:dyDescent="0.25">
      <c r="A92314"/>
      <c r="B92314"/>
      <c r="C92314"/>
      <c r="E92314"/>
      <c r="F92314"/>
    </row>
    <row r="92315" spans="1:6" x14ac:dyDescent="0.25">
      <c r="A92315"/>
      <c r="B92315"/>
      <c r="C92315"/>
      <c r="E92315"/>
      <c r="F92315"/>
    </row>
    <row r="92316" spans="1:6" x14ac:dyDescent="0.25">
      <c r="A92316"/>
      <c r="B92316"/>
      <c r="C92316"/>
      <c r="E92316"/>
      <c r="F92316"/>
    </row>
    <row r="92317" spans="1:6" x14ac:dyDescent="0.25">
      <c r="A92317"/>
      <c r="B92317"/>
      <c r="C92317"/>
      <c r="E92317"/>
      <c r="F92317"/>
    </row>
    <row r="92318" spans="1:6" x14ac:dyDescent="0.25">
      <c r="A92318"/>
      <c r="B92318"/>
      <c r="C92318"/>
      <c r="E92318"/>
      <c r="F92318"/>
    </row>
    <row r="92319" spans="1:6" x14ac:dyDescent="0.25">
      <c r="A92319"/>
      <c r="B92319"/>
      <c r="C92319"/>
      <c r="E92319"/>
      <c r="F92319"/>
    </row>
    <row r="92320" spans="1:6" x14ac:dyDescent="0.25">
      <c r="A92320"/>
      <c r="B92320"/>
      <c r="C92320"/>
      <c r="E92320"/>
      <c r="F92320"/>
    </row>
    <row r="92321" spans="1:6" x14ac:dyDescent="0.25">
      <c r="A92321"/>
      <c r="B92321"/>
      <c r="C92321"/>
      <c r="E92321"/>
      <c r="F92321"/>
    </row>
    <row r="92322" spans="1:6" x14ac:dyDescent="0.25">
      <c r="A92322"/>
      <c r="B92322"/>
      <c r="C92322"/>
      <c r="E92322"/>
      <c r="F92322"/>
    </row>
    <row r="92323" spans="1:6" x14ac:dyDescent="0.25">
      <c r="A92323"/>
      <c r="B92323"/>
      <c r="C92323"/>
      <c r="E92323"/>
      <c r="F92323"/>
    </row>
    <row r="92324" spans="1:6" x14ac:dyDescent="0.25">
      <c r="A92324"/>
      <c r="B92324"/>
      <c r="C92324"/>
      <c r="E92324"/>
      <c r="F92324"/>
    </row>
    <row r="92325" spans="1:6" x14ac:dyDescent="0.25">
      <c r="A92325"/>
      <c r="B92325"/>
      <c r="C92325"/>
      <c r="E92325"/>
      <c r="F92325"/>
    </row>
    <row r="92326" spans="1:6" x14ac:dyDescent="0.25">
      <c r="A92326"/>
      <c r="B92326"/>
      <c r="C92326"/>
      <c r="E92326"/>
      <c r="F92326"/>
    </row>
    <row r="92327" spans="1:6" x14ac:dyDescent="0.25">
      <c r="A92327"/>
      <c r="B92327"/>
      <c r="C92327"/>
      <c r="E92327"/>
      <c r="F92327"/>
    </row>
    <row r="92328" spans="1:6" x14ac:dyDescent="0.25">
      <c r="A92328"/>
      <c r="B92328"/>
      <c r="C92328"/>
      <c r="E92328"/>
      <c r="F92328"/>
    </row>
    <row r="92329" spans="1:6" x14ac:dyDescent="0.25">
      <c r="A92329"/>
      <c r="B92329"/>
      <c r="C92329"/>
      <c r="E92329"/>
      <c r="F92329"/>
    </row>
    <row r="92330" spans="1:6" x14ac:dyDescent="0.25">
      <c r="A92330"/>
      <c r="B92330"/>
      <c r="C92330"/>
      <c r="E92330"/>
      <c r="F92330"/>
    </row>
    <row r="92331" spans="1:6" x14ac:dyDescent="0.25">
      <c r="A92331"/>
      <c r="B92331"/>
      <c r="C92331"/>
      <c r="E92331"/>
      <c r="F92331"/>
    </row>
    <row r="92332" spans="1:6" x14ac:dyDescent="0.25">
      <c r="A92332"/>
      <c r="B92332"/>
      <c r="C92332"/>
      <c r="E92332"/>
      <c r="F92332"/>
    </row>
    <row r="92333" spans="1:6" x14ac:dyDescent="0.25">
      <c r="A92333"/>
      <c r="B92333"/>
      <c r="C92333"/>
      <c r="E92333"/>
      <c r="F92333"/>
    </row>
    <row r="92334" spans="1:6" x14ac:dyDescent="0.25">
      <c r="A92334"/>
      <c r="B92334"/>
      <c r="C92334"/>
      <c r="E92334"/>
      <c r="F92334"/>
    </row>
    <row r="92335" spans="1:6" x14ac:dyDescent="0.25">
      <c r="A92335"/>
      <c r="B92335"/>
      <c r="C92335"/>
      <c r="E92335"/>
      <c r="F92335"/>
    </row>
    <row r="92336" spans="1:6" x14ac:dyDescent="0.25">
      <c r="A92336"/>
      <c r="B92336"/>
      <c r="C92336"/>
      <c r="E92336"/>
      <c r="F92336"/>
    </row>
    <row r="92337" spans="1:6" x14ac:dyDescent="0.25">
      <c r="A92337"/>
      <c r="B92337"/>
      <c r="C92337"/>
      <c r="E92337"/>
      <c r="F92337"/>
    </row>
    <row r="92338" spans="1:6" x14ac:dyDescent="0.25">
      <c r="A92338"/>
      <c r="B92338"/>
      <c r="C92338"/>
      <c r="E92338"/>
      <c r="F92338"/>
    </row>
    <row r="92339" spans="1:6" x14ac:dyDescent="0.25">
      <c r="A92339"/>
      <c r="B92339"/>
      <c r="C92339"/>
      <c r="E92339"/>
      <c r="F92339"/>
    </row>
    <row r="92340" spans="1:6" x14ac:dyDescent="0.25">
      <c r="A92340"/>
      <c r="B92340"/>
      <c r="C92340"/>
      <c r="E92340"/>
      <c r="F92340"/>
    </row>
    <row r="92341" spans="1:6" x14ac:dyDescent="0.25">
      <c r="A92341"/>
      <c r="B92341"/>
      <c r="C92341"/>
      <c r="E92341"/>
      <c r="F92341"/>
    </row>
    <row r="92342" spans="1:6" x14ac:dyDescent="0.25">
      <c r="A92342"/>
      <c r="B92342"/>
      <c r="C92342"/>
      <c r="E92342"/>
      <c r="F92342"/>
    </row>
    <row r="92343" spans="1:6" x14ac:dyDescent="0.25">
      <c r="A92343"/>
      <c r="B92343"/>
      <c r="C92343"/>
      <c r="E92343"/>
      <c r="F92343"/>
    </row>
    <row r="92344" spans="1:6" x14ac:dyDescent="0.25">
      <c r="A92344"/>
      <c r="B92344"/>
      <c r="C92344"/>
      <c r="E92344"/>
      <c r="F92344"/>
    </row>
    <row r="92345" spans="1:6" x14ac:dyDescent="0.25">
      <c r="A92345"/>
      <c r="B92345"/>
      <c r="C92345"/>
      <c r="E92345"/>
      <c r="F92345"/>
    </row>
    <row r="92346" spans="1:6" x14ac:dyDescent="0.25">
      <c r="A92346"/>
      <c r="B92346"/>
      <c r="C92346"/>
      <c r="E92346"/>
      <c r="F92346"/>
    </row>
    <row r="92347" spans="1:6" x14ac:dyDescent="0.25">
      <c r="A92347"/>
      <c r="B92347"/>
      <c r="C92347"/>
      <c r="E92347"/>
      <c r="F92347"/>
    </row>
    <row r="92348" spans="1:6" x14ac:dyDescent="0.25">
      <c r="A92348"/>
      <c r="B92348"/>
      <c r="C92348"/>
      <c r="E92348"/>
      <c r="F92348"/>
    </row>
    <row r="92349" spans="1:6" x14ac:dyDescent="0.25">
      <c r="A92349"/>
      <c r="B92349"/>
      <c r="C92349"/>
      <c r="E92349"/>
      <c r="F92349"/>
    </row>
    <row r="92350" spans="1:6" x14ac:dyDescent="0.25">
      <c r="A92350"/>
      <c r="B92350"/>
      <c r="C92350"/>
      <c r="E92350"/>
      <c r="F92350"/>
    </row>
    <row r="92351" spans="1:6" x14ac:dyDescent="0.25">
      <c r="A92351"/>
      <c r="B92351"/>
      <c r="C92351"/>
      <c r="E92351"/>
      <c r="F92351"/>
    </row>
    <row r="92352" spans="1:6" x14ac:dyDescent="0.25">
      <c r="A92352"/>
      <c r="B92352"/>
      <c r="C92352"/>
      <c r="E92352"/>
      <c r="F92352"/>
    </row>
    <row r="92353" spans="1:6" x14ac:dyDescent="0.25">
      <c r="A92353"/>
      <c r="B92353"/>
      <c r="C92353"/>
      <c r="E92353"/>
      <c r="F92353"/>
    </row>
    <row r="92354" spans="1:6" x14ac:dyDescent="0.25">
      <c r="A92354"/>
      <c r="B92354"/>
      <c r="C92354"/>
      <c r="E92354"/>
      <c r="F92354"/>
    </row>
    <row r="92355" spans="1:6" x14ac:dyDescent="0.25">
      <c r="A92355"/>
      <c r="B92355"/>
      <c r="C92355"/>
      <c r="E92355"/>
      <c r="F92355"/>
    </row>
    <row r="92356" spans="1:6" x14ac:dyDescent="0.25">
      <c r="A92356"/>
      <c r="B92356"/>
      <c r="C92356"/>
      <c r="E92356"/>
      <c r="F92356"/>
    </row>
    <row r="92357" spans="1:6" x14ac:dyDescent="0.25">
      <c r="A92357"/>
      <c r="B92357"/>
      <c r="C92357"/>
      <c r="E92357"/>
      <c r="F92357"/>
    </row>
    <row r="92358" spans="1:6" x14ac:dyDescent="0.25">
      <c r="A92358"/>
      <c r="B92358"/>
      <c r="C92358"/>
      <c r="E92358"/>
      <c r="F92358"/>
    </row>
    <row r="92359" spans="1:6" x14ac:dyDescent="0.25">
      <c r="A92359"/>
      <c r="B92359"/>
      <c r="C92359"/>
      <c r="E92359"/>
      <c r="F92359"/>
    </row>
    <row r="92360" spans="1:6" x14ac:dyDescent="0.25">
      <c r="A92360"/>
      <c r="B92360"/>
      <c r="C92360"/>
      <c r="E92360"/>
      <c r="F92360"/>
    </row>
    <row r="92361" spans="1:6" x14ac:dyDescent="0.25">
      <c r="A92361"/>
      <c r="B92361"/>
      <c r="C92361"/>
      <c r="E92361"/>
      <c r="F92361"/>
    </row>
    <row r="92362" spans="1:6" x14ac:dyDescent="0.25">
      <c r="A92362"/>
      <c r="B92362"/>
      <c r="C92362"/>
      <c r="E92362"/>
      <c r="F92362"/>
    </row>
    <row r="92363" spans="1:6" x14ac:dyDescent="0.25">
      <c r="A92363"/>
      <c r="B92363"/>
      <c r="C92363"/>
      <c r="E92363"/>
      <c r="F92363"/>
    </row>
    <row r="92364" spans="1:6" x14ac:dyDescent="0.25">
      <c r="A92364"/>
      <c r="B92364"/>
      <c r="C92364"/>
      <c r="E92364"/>
      <c r="F92364"/>
    </row>
    <row r="92365" spans="1:6" x14ac:dyDescent="0.25">
      <c r="A92365"/>
      <c r="B92365"/>
      <c r="C92365"/>
      <c r="E92365"/>
      <c r="F92365"/>
    </row>
    <row r="92366" spans="1:6" x14ac:dyDescent="0.25">
      <c r="A92366"/>
      <c r="B92366"/>
      <c r="C92366"/>
      <c r="E92366"/>
      <c r="F92366"/>
    </row>
    <row r="92367" spans="1:6" x14ac:dyDescent="0.25">
      <c r="A92367"/>
      <c r="B92367"/>
      <c r="C92367"/>
      <c r="E92367"/>
      <c r="F92367"/>
    </row>
    <row r="92368" spans="1:6" x14ac:dyDescent="0.25">
      <c r="A92368"/>
      <c r="B92368"/>
      <c r="C92368"/>
      <c r="E92368"/>
      <c r="F92368"/>
    </row>
    <row r="92369" spans="1:6" x14ac:dyDescent="0.25">
      <c r="A92369"/>
      <c r="B92369"/>
      <c r="C92369"/>
      <c r="E92369"/>
      <c r="F92369"/>
    </row>
    <row r="92370" spans="1:6" x14ac:dyDescent="0.25">
      <c r="A92370"/>
      <c r="B92370"/>
      <c r="C92370"/>
      <c r="E92370"/>
      <c r="F92370"/>
    </row>
    <row r="92371" spans="1:6" x14ac:dyDescent="0.25">
      <c r="A92371"/>
      <c r="B92371"/>
      <c r="C92371"/>
      <c r="E92371"/>
      <c r="F92371"/>
    </row>
    <row r="92372" spans="1:6" x14ac:dyDescent="0.25">
      <c r="A92372"/>
      <c r="B92372"/>
      <c r="C92372"/>
      <c r="E92372"/>
      <c r="F92372"/>
    </row>
    <row r="92373" spans="1:6" x14ac:dyDescent="0.25">
      <c r="A92373"/>
      <c r="B92373"/>
      <c r="C92373"/>
      <c r="E92373"/>
      <c r="F92373"/>
    </row>
    <row r="92374" spans="1:6" x14ac:dyDescent="0.25">
      <c r="A92374"/>
      <c r="B92374"/>
      <c r="C92374"/>
      <c r="E92374"/>
      <c r="F92374"/>
    </row>
    <row r="92375" spans="1:6" x14ac:dyDescent="0.25">
      <c r="A92375"/>
      <c r="B92375"/>
      <c r="C92375"/>
      <c r="E92375"/>
      <c r="F92375"/>
    </row>
    <row r="92376" spans="1:6" x14ac:dyDescent="0.25">
      <c r="A92376"/>
      <c r="B92376"/>
      <c r="C92376"/>
      <c r="E92376"/>
      <c r="F92376"/>
    </row>
    <row r="92377" spans="1:6" x14ac:dyDescent="0.25">
      <c r="A92377"/>
      <c r="B92377"/>
      <c r="C92377"/>
      <c r="E92377"/>
      <c r="F92377"/>
    </row>
    <row r="92378" spans="1:6" x14ac:dyDescent="0.25">
      <c r="A92378"/>
      <c r="B92378"/>
      <c r="C92378"/>
      <c r="E92378"/>
      <c r="F92378"/>
    </row>
    <row r="92379" spans="1:6" x14ac:dyDescent="0.25">
      <c r="A92379"/>
      <c r="B92379"/>
      <c r="C92379"/>
      <c r="E92379"/>
      <c r="F92379"/>
    </row>
    <row r="92380" spans="1:6" x14ac:dyDescent="0.25">
      <c r="A92380"/>
      <c r="B92380"/>
      <c r="C92380"/>
      <c r="E92380"/>
      <c r="F92380"/>
    </row>
    <row r="92381" spans="1:6" x14ac:dyDescent="0.25">
      <c r="A92381"/>
      <c r="B92381"/>
      <c r="C92381"/>
      <c r="E92381"/>
      <c r="F92381"/>
    </row>
    <row r="92382" spans="1:6" x14ac:dyDescent="0.25">
      <c r="A92382"/>
      <c r="B92382"/>
      <c r="C92382"/>
      <c r="E92382"/>
      <c r="F92382"/>
    </row>
    <row r="92383" spans="1:6" x14ac:dyDescent="0.25">
      <c r="A92383"/>
      <c r="B92383"/>
      <c r="C92383"/>
      <c r="E92383"/>
      <c r="F92383"/>
    </row>
    <row r="92384" spans="1:6" x14ac:dyDescent="0.25">
      <c r="A92384"/>
      <c r="B92384"/>
      <c r="C92384"/>
      <c r="E92384"/>
      <c r="F92384"/>
    </row>
    <row r="92385" spans="1:6" x14ac:dyDescent="0.25">
      <c r="A92385"/>
      <c r="B92385"/>
      <c r="C92385"/>
      <c r="E92385"/>
      <c r="F92385"/>
    </row>
    <row r="92386" spans="1:6" x14ac:dyDescent="0.25">
      <c r="A92386"/>
      <c r="B92386"/>
      <c r="C92386"/>
      <c r="E92386"/>
      <c r="F92386"/>
    </row>
    <row r="92387" spans="1:6" x14ac:dyDescent="0.25">
      <c r="A92387"/>
      <c r="B92387"/>
      <c r="C92387"/>
      <c r="E92387"/>
      <c r="F92387"/>
    </row>
    <row r="92388" spans="1:6" x14ac:dyDescent="0.25">
      <c r="A92388"/>
      <c r="B92388"/>
      <c r="C92388"/>
      <c r="E92388"/>
      <c r="F92388"/>
    </row>
    <row r="92389" spans="1:6" x14ac:dyDescent="0.25">
      <c r="A92389"/>
      <c r="B92389"/>
      <c r="C92389"/>
      <c r="E92389"/>
      <c r="F92389"/>
    </row>
    <row r="92390" spans="1:6" x14ac:dyDescent="0.25">
      <c r="A92390"/>
      <c r="B92390"/>
      <c r="C92390"/>
      <c r="E92390"/>
      <c r="F92390"/>
    </row>
    <row r="92391" spans="1:6" x14ac:dyDescent="0.25">
      <c r="A92391"/>
      <c r="B92391"/>
      <c r="C92391"/>
      <c r="E92391"/>
      <c r="F92391"/>
    </row>
    <row r="92392" spans="1:6" x14ac:dyDescent="0.25">
      <c r="A92392"/>
      <c r="B92392"/>
      <c r="C92392"/>
      <c r="E92392"/>
      <c r="F92392"/>
    </row>
    <row r="92393" spans="1:6" x14ac:dyDescent="0.25">
      <c r="A92393"/>
      <c r="B92393"/>
      <c r="C92393"/>
      <c r="E92393"/>
      <c r="F92393"/>
    </row>
    <row r="92394" spans="1:6" x14ac:dyDescent="0.25">
      <c r="A92394"/>
      <c r="B92394"/>
      <c r="C92394"/>
      <c r="E92394"/>
      <c r="F92394"/>
    </row>
    <row r="92395" spans="1:6" x14ac:dyDescent="0.25">
      <c r="A92395"/>
      <c r="B92395"/>
      <c r="C92395"/>
      <c r="E92395"/>
      <c r="F92395"/>
    </row>
    <row r="92396" spans="1:6" x14ac:dyDescent="0.25">
      <c r="A92396"/>
      <c r="B92396"/>
      <c r="C92396"/>
      <c r="E92396"/>
      <c r="F92396"/>
    </row>
    <row r="92397" spans="1:6" x14ac:dyDescent="0.25">
      <c r="A92397"/>
      <c r="B92397"/>
      <c r="C92397"/>
      <c r="E92397"/>
      <c r="F92397"/>
    </row>
    <row r="92398" spans="1:6" x14ac:dyDescent="0.25">
      <c r="A92398"/>
      <c r="B92398"/>
      <c r="C92398"/>
      <c r="E92398"/>
      <c r="F92398"/>
    </row>
    <row r="92399" spans="1:6" x14ac:dyDescent="0.25">
      <c r="A92399"/>
      <c r="B92399"/>
      <c r="C92399"/>
      <c r="E92399"/>
      <c r="F92399"/>
    </row>
    <row r="92400" spans="1:6" x14ac:dyDescent="0.25">
      <c r="A92400"/>
      <c r="B92400"/>
      <c r="C92400"/>
      <c r="E92400"/>
      <c r="F92400"/>
    </row>
    <row r="92401" spans="1:6" x14ac:dyDescent="0.25">
      <c r="A92401"/>
      <c r="B92401"/>
      <c r="C92401"/>
      <c r="E92401"/>
      <c r="F92401"/>
    </row>
    <row r="92402" spans="1:6" x14ac:dyDescent="0.25">
      <c r="A92402"/>
      <c r="B92402"/>
      <c r="C92402"/>
      <c r="E92402"/>
      <c r="F92402"/>
    </row>
    <row r="92403" spans="1:6" x14ac:dyDescent="0.25">
      <c r="A92403"/>
      <c r="B92403"/>
      <c r="C92403"/>
      <c r="E92403"/>
      <c r="F92403"/>
    </row>
    <row r="92404" spans="1:6" x14ac:dyDescent="0.25">
      <c r="A92404"/>
      <c r="B92404"/>
      <c r="C92404"/>
      <c r="E92404"/>
      <c r="F92404"/>
    </row>
    <row r="92405" spans="1:6" x14ac:dyDescent="0.25">
      <c r="A92405"/>
      <c r="B92405"/>
      <c r="C92405"/>
      <c r="E92405"/>
      <c r="F92405"/>
    </row>
    <row r="92406" spans="1:6" x14ac:dyDescent="0.25">
      <c r="A92406"/>
      <c r="B92406"/>
      <c r="C92406"/>
      <c r="E92406"/>
      <c r="F92406"/>
    </row>
    <row r="92407" spans="1:6" x14ac:dyDescent="0.25">
      <c r="A92407"/>
      <c r="B92407"/>
      <c r="C92407"/>
      <c r="E92407"/>
      <c r="F92407"/>
    </row>
    <row r="92408" spans="1:6" x14ac:dyDescent="0.25">
      <c r="A92408"/>
      <c r="B92408"/>
      <c r="C92408"/>
      <c r="E92408"/>
      <c r="F92408"/>
    </row>
    <row r="92409" spans="1:6" x14ac:dyDescent="0.25">
      <c r="A92409"/>
      <c r="B92409"/>
      <c r="C92409"/>
      <c r="E92409"/>
      <c r="F92409"/>
    </row>
    <row r="92410" spans="1:6" x14ac:dyDescent="0.25">
      <c r="A92410"/>
      <c r="B92410"/>
      <c r="C92410"/>
      <c r="E92410"/>
      <c r="F92410"/>
    </row>
    <row r="92411" spans="1:6" x14ac:dyDescent="0.25">
      <c r="A92411"/>
      <c r="B92411"/>
      <c r="C92411"/>
      <c r="E92411"/>
      <c r="F92411"/>
    </row>
    <row r="92412" spans="1:6" x14ac:dyDescent="0.25">
      <c r="A92412"/>
      <c r="B92412"/>
      <c r="C92412"/>
      <c r="E92412"/>
      <c r="F92412"/>
    </row>
    <row r="92413" spans="1:6" x14ac:dyDescent="0.25">
      <c r="A92413"/>
      <c r="B92413"/>
      <c r="C92413"/>
      <c r="E92413"/>
      <c r="F92413"/>
    </row>
    <row r="92414" spans="1:6" x14ac:dyDescent="0.25">
      <c r="A92414"/>
      <c r="B92414"/>
      <c r="C92414"/>
      <c r="E92414"/>
      <c r="F92414"/>
    </row>
    <row r="92415" spans="1:6" x14ac:dyDescent="0.25">
      <c r="A92415"/>
      <c r="B92415"/>
      <c r="C92415"/>
      <c r="E92415"/>
      <c r="F92415"/>
    </row>
    <row r="92416" spans="1:6" x14ac:dyDescent="0.25">
      <c r="A92416"/>
      <c r="B92416"/>
      <c r="C92416"/>
      <c r="E92416"/>
      <c r="F92416"/>
    </row>
    <row r="92417" spans="1:6" x14ac:dyDescent="0.25">
      <c r="A92417"/>
      <c r="B92417"/>
      <c r="C92417"/>
      <c r="E92417"/>
      <c r="F92417"/>
    </row>
    <row r="92418" spans="1:6" x14ac:dyDescent="0.25">
      <c r="A92418"/>
      <c r="B92418"/>
      <c r="C92418"/>
      <c r="E92418"/>
      <c r="F92418"/>
    </row>
    <row r="92419" spans="1:6" x14ac:dyDescent="0.25">
      <c r="A92419"/>
      <c r="B92419"/>
      <c r="C92419"/>
      <c r="E92419"/>
      <c r="F92419"/>
    </row>
    <row r="92420" spans="1:6" x14ac:dyDescent="0.25">
      <c r="A92420"/>
      <c r="B92420"/>
      <c r="C92420"/>
      <c r="E92420"/>
      <c r="F92420"/>
    </row>
    <row r="92421" spans="1:6" x14ac:dyDescent="0.25">
      <c r="A92421"/>
      <c r="B92421"/>
      <c r="C92421"/>
      <c r="E92421"/>
      <c r="F92421"/>
    </row>
    <row r="92422" spans="1:6" x14ac:dyDescent="0.25">
      <c r="A92422"/>
      <c r="B92422"/>
      <c r="C92422"/>
      <c r="E92422"/>
      <c r="F92422"/>
    </row>
    <row r="92423" spans="1:6" x14ac:dyDescent="0.25">
      <c r="A92423"/>
      <c r="B92423"/>
      <c r="C92423"/>
      <c r="E92423"/>
      <c r="F92423"/>
    </row>
    <row r="92424" spans="1:6" x14ac:dyDescent="0.25">
      <c r="A92424"/>
      <c r="B92424"/>
      <c r="C92424"/>
      <c r="E92424"/>
      <c r="F92424"/>
    </row>
    <row r="92425" spans="1:6" x14ac:dyDescent="0.25">
      <c r="A92425"/>
      <c r="B92425"/>
      <c r="C92425"/>
      <c r="E92425"/>
      <c r="F92425"/>
    </row>
    <row r="92426" spans="1:6" x14ac:dyDescent="0.25">
      <c r="A92426"/>
      <c r="B92426"/>
      <c r="C92426"/>
      <c r="E92426"/>
      <c r="F92426"/>
    </row>
    <row r="92427" spans="1:6" x14ac:dyDescent="0.25">
      <c r="A92427"/>
      <c r="B92427"/>
      <c r="C92427"/>
      <c r="E92427"/>
      <c r="F92427"/>
    </row>
    <row r="92428" spans="1:6" x14ac:dyDescent="0.25">
      <c r="A92428"/>
      <c r="B92428"/>
      <c r="C92428"/>
      <c r="E92428"/>
      <c r="F92428"/>
    </row>
    <row r="92429" spans="1:6" x14ac:dyDescent="0.25">
      <c r="A92429"/>
      <c r="B92429"/>
      <c r="C92429"/>
      <c r="E92429"/>
      <c r="F92429"/>
    </row>
    <row r="92430" spans="1:6" x14ac:dyDescent="0.25">
      <c r="A92430"/>
      <c r="B92430"/>
      <c r="C92430"/>
      <c r="E92430"/>
      <c r="F92430"/>
    </row>
    <row r="92431" spans="1:6" x14ac:dyDescent="0.25">
      <c r="A92431"/>
      <c r="B92431"/>
      <c r="C92431"/>
      <c r="E92431"/>
      <c r="F92431"/>
    </row>
    <row r="92432" spans="1:6" x14ac:dyDescent="0.25">
      <c r="A92432"/>
      <c r="B92432"/>
      <c r="C92432"/>
      <c r="E92432"/>
      <c r="F92432"/>
    </row>
    <row r="92433" spans="1:6" x14ac:dyDescent="0.25">
      <c r="A92433"/>
      <c r="B92433"/>
      <c r="C92433"/>
      <c r="E92433"/>
      <c r="F92433"/>
    </row>
    <row r="92434" spans="1:6" x14ac:dyDescent="0.25">
      <c r="A92434"/>
      <c r="B92434"/>
      <c r="C92434"/>
      <c r="E92434"/>
      <c r="F92434"/>
    </row>
    <row r="92435" spans="1:6" x14ac:dyDescent="0.25">
      <c r="A92435"/>
      <c r="B92435"/>
      <c r="C92435"/>
      <c r="E92435"/>
      <c r="F92435"/>
    </row>
    <row r="92436" spans="1:6" x14ac:dyDescent="0.25">
      <c r="A92436"/>
      <c r="B92436"/>
      <c r="C92436"/>
      <c r="E92436"/>
      <c r="F92436"/>
    </row>
    <row r="92437" spans="1:6" x14ac:dyDescent="0.25">
      <c r="A92437"/>
      <c r="B92437"/>
      <c r="C92437"/>
      <c r="E92437"/>
      <c r="F92437"/>
    </row>
    <row r="92438" spans="1:6" x14ac:dyDescent="0.25">
      <c r="A92438"/>
      <c r="B92438"/>
      <c r="C92438"/>
      <c r="E92438"/>
      <c r="F92438"/>
    </row>
    <row r="92439" spans="1:6" x14ac:dyDescent="0.25">
      <c r="A92439"/>
      <c r="B92439"/>
      <c r="C92439"/>
      <c r="E92439"/>
      <c r="F92439"/>
    </row>
    <row r="92440" spans="1:6" x14ac:dyDescent="0.25">
      <c r="A92440"/>
      <c r="B92440"/>
      <c r="C92440"/>
      <c r="E92440"/>
      <c r="F92440"/>
    </row>
    <row r="92441" spans="1:6" x14ac:dyDescent="0.25">
      <c r="A92441"/>
      <c r="B92441"/>
      <c r="C92441"/>
      <c r="E92441"/>
      <c r="F92441"/>
    </row>
    <row r="92442" spans="1:6" x14ac:dyDescent="0.25">
      <c r="A92442"/>
      <c r="B92442"/>
      <c r="C92442"/>
      <c r="E92442"/>
      <c r="F92442"/>
    </row>
    <row r="92443" spans="1:6" x14ac:dyDescent="0.25">
      <c r="A92443"/>
      <c r="B92443"/>
      <c r="C92443"/>
      <c r="E92443"/>
      <c r="F92443"/>
    </row>
    <row r="92444" spans="1:6" x14ac:dyDescent="0.25">
      <c r="A92444"/>
      <c r="B92444"/>
      <c r="C92444"/>
      <c r="E92444"/>
      <c r="F92444"/>
    </row>
    <row r="92445" spans="1:6" x14ac:dyDescent="0.25">
      <c r="A92445"/>
      <c r="B92445"/>
      <c r="C92445"/>
      <c r="E92445"/>
      <c r="F92445"/>
    </row>
    <row r="92446" spans="1:6" x14ac:dyDescent="0.25">
      <c r="A92446"/>
      <c r="B92446"/>
      <c r="C92446"/>
      <c r="E92446"/>
      <c r="F92446"/>
    </row>
    <row r="92447" spans="1:6" x14ac:dyDescent="0.25">
      <c r="A92447"/>
      <c r="B92447"/>
      <c r="C92447"/>
      <c r="E92447"/>
      <c r="F92447"/>
    </row>
    <row r="92448" spans="1:6" x14ac:dyDescent="0.25">
      <c r="A92448"/>
      <c r="B92448"/>
      <c r="C92448"/>
      <c r="E92448"/>
      <c r="F92448"/>
    </row>
    <row r="92449" spans="1:6" x14ac:dyDescent="0.25">
      <c r="A92449"/>
      <c r="B92449"/>
      <c r="C92449"/>
      <c r="E92449"/>
      <c r="F92449"/>
    </row>
    <row r="92450" spans="1:6" x14ac:dyDescent="0.25">
      <c r="A92450"/>
      <c r="B92450"/>
      <c r="C92450"/>
      <c r="E92450"/>
      <c r="F92450"/>
    </row>
    <row r="92451" spans="1:6" x14ac:dyDescent="0.25">
      <c r="A92451"/>
      <c r="B92451"/>
      <c r="C92451"/>
      <c r="E92451"/>
      <c r="F92451"/>
    </row>
    <row r="92452" spans="1:6" x14ac:dyDescent="0.25">
      <c r="A92452"/>
      <c r="B92452"/>
      <c r="C92452"/>
      <c r="E92452"/>
      <c r="F92452"/>
    </row>
    <row r="92453" spans="1:6" x14ac:dyDescent="0.25">
      <c r="A92453"/>
      <c r="B92453"/>
      <c r="C92453"/>
      <c r="E92453"/>
      <c r="F92453"/>
    </row>
    <row r="92454" spans="1:6" x14ac:dyDescent="0.25">
      <c r="A92454"/>
      <c r="B92454"/>
      <c r="C92454"/>
      <c r="E92454"/>
      <c r="F92454"/>
    </row>
    <row r="92455" spans="1:6" x14ac:dyDescent="0.25">
      <c r="A92455"/>
      <c r="B92455"/>
      <c r="C92455"/>
      <c r="E92455"/>
      <c r="F92455"/>
    </row>
    <row r="92456" spans="1:6" x14ac:dyDescent="0.25">
      <c r="A92456"/>
      <c r="B92456"/>
      <c r="C92456"/>
      <c r="E92456"/>
      <c r="F92456"/>
    </row>
    <row r="92457" spans="1:6" x14ac:dyDescent="0.25">
      <c r="A92457"/>
      <c r="B92457"/>
      <c r="C92457"/>
      <c r="E92457"/>
      <c r="F92457"/>
    </row>
    <row r="92458" spans="1:6" x14ac:dyDescent="0.25">
      <c r="A92458"/>
      <c r="B92458"/>
      <c r="C92458"/>
      <c r="E92458"/>
      <c r="F92458"/>
    </row>
    <row r="92459" spans="1:6" x14ac:dyDescent="0.25">
      <c r="A92459"/>
      <c r="B92459"/>
      <c r="C92459"/>
      <c r="E92459"/>
      <c r="F92459"/>
    </row>
    <row r="92460" spans="1:6" x14ac:dyDescent="0.25">
      <c r="A92460"/>
      <c r="B92460"/>
      <c r="C92460"/>
      <c r="E92460"/>
      <c r="F92460"/>
    </row>
    <row r="92461" spans="1:6" x14ac:dyDescent="0.25">
      <c r="A92461"/>
      <c r="B92461"/>
      <c r="C92461"/>
      <c r="E92461"/>
      <c r="F92461"/>
    </row>
    <row r="92462" spans="1:6" x14ac:dyDescent="0.25">
      <c r="A92462"/>
      <c r="B92462"/>
      <c r="C92462"/>
      <c r="E92462"/>
      <c r="F92462"/>
    </row>
    <row r="92463" spans="1:6" x14ac:dyDescent="0.25">
      <c r="A92463"/>
      <c r="B92463"/>
      <c r="C92463"/>
      <c r="E92463"/>
      <c r="F92463"/>
    </row>
    <row r="92464" spans="1:6" x14ac:dyDescent="0.25">
      <c r="A92464"/>
      <c r="B92464"/>
      <c r="C92464"/>
      <c r="E92464"/>
      <c r="F92464"/>
    </row>
    <row r="92465" spans="1:6" x14ac:dyDescent="0.25">
      <c r="A92465"/>
      <c r="B92465"/>
      <c r="C92465"/>
      <c r="E92465"/>
      <c r="F92465"/>
    </row>
    <row r="92466" spans="1:6" x14ac:dyDescent="0.25">
      <c r="A92466"/>
      <c r="B92466"/>
      <c r="C92466"/>
      <c r="E92466"/>
      <c r="F92466"/>
    </row>
    <row r="92467" spans="1:6" x14ac:dyDescent="0.25">
      <c r="A92467"/>
      <c r="B92467"/>
      <c r="C92467"/>
      <c r="E92467"/>
      <c r="F92467"/>
    </row>
    <row r="92468" spans="1:6" x14ac:dyDescent="0.25">
      <c r="A92468"/>
      <c r="B92468"/>
      <c r="C92468"/>
      <c r="E92468"/>
      <c r="F92468"/>
    </row>
    <row r="92469" spans="1:6" x14ac:dyDescent="0.25">
      <c r="A92469"/>
      <c r="B92469"/>
      <c r="C92469"/>
      <c r="E92469"/>
      <c r="F92469"/>
    </row>
    <row r="92470" spans="1:6" x14ac:dyDescent="0.25">
      <c r="A92470"/>
      <c r="B92470"/>
      <c r="C92470"/>
      <c r="E92470"/>
      <c r="F92470"/>
    </row>
    <row r="92471" spans="1:6" x14ac:dyDescent="0.25">
      <c r="A92471"/>
      <c r="B92471"/>
      <c r="C92471"/>
      <c r="E92471"/>
      <c r="F92471"/>
    </row>
    <row r="92472" spans="1:6" x14ac:dyDescent="0.25">
      <c r="A92472"/>
      <c r="B92472"/>
      <c r="C92472"/>
      <c r="E92472"/>
      <c r="F92472"/>
    </row>
    <row r="92473" spans="1:6" x14ac:dyDescent="0.25">
      <c r="A92473"/>
      <c r="B92473"/>
      <c r="C92473"/>
      <c r="E92473"/>
      <c r="F92473"/>
    </row>
    <row r="92474" spans="1:6" x14ac:dyDescent="0.25">
      <c r="A92474"/>
      <c r="B92474"/>
      <c r="C92474"/>
      <c r="E92474"/>
      <c r="F92474"/>
    </row>
    <row r="92475" spans="1:6" x14ac:dyDescent="0.25">
      <c r="A92475"/>
      <c r="B92475"/>
      <c r="C92475"/>
      <c r="E92475"/>
      <c r="F92475"/>
    </row>
    <row r="92476" spans="1:6" x14ac:dyDescent="0.25">
      <c r="A92476"/>
      <c r="B92476"/>
      <c r="C92476"/>
      <c r="E92476"/>
      <c r="F92476"/>
    </row>
    <row r="92477" spans="1:6" x14ac:dyDescent="0.25">
      <c r="A92477"/>
      <c r="B92477"/>
      <c r="C92477"/>
      <c r="E92477"/>
      <c r="F92477"/>
    </row>
    <row r="92478" spans="1:6" x14ac:dyDescent="0.25">
      <c r="A92478"/>
      <c r="B92478"/>
      <c r="C92478"/>
      <c r="E92478"/>
      <c r="F92478"/>
    </row>
    <row r="92479" spans="1:6" x14ac:dyDescent="0.25">
      <c r="A92479"/>
      <c r="B92479"/>
      <c r="C92479"/>
      <c r="E92479"/>
      <c r="F92479"/>
    </row>
    <row r="92480" spans="1:6" x14ac:dyDescent="0.25">
      <c r="A92480"/>
      <c r="B92480"/>
      <c r="C92480"/>
      <c r="E92480"/>
      <c r="F92480"/>
    </row>
    <row r="92481" spans="1:6" x14ac:dyDescent="0.25">
      <c r="A92481"/>
      <c r="B92481"/>
      <c r="C92481"/>
      <c r="E92481"/>
      <c r="F92481"/>
    </row>
    <row r="92482" spans="1:6" x14ac:dyDescent="0.25">
      <c r="A92482"/>
      <c r="B92482"/>
      <c r="C92482"/>
      <c r="E92482"/>
      <c r="F92482"/>
    </row>
    <row r="92483" spans="1:6" x14ac:dyDescent="0.25">
      <c r="A92483"/>
      <c r="B92483"/>
      <c r="C92483"/>
      <c r="E92483"/>
      <c r="F92483"/>
    </row>
    <row r="92484" spans="1:6" x14ac:dyDescent="0.25">
      <c r="A92484"/>
      <c r="B92484"/>
      <c r="C92484"/>
      <c r="E92484"/>
      <c r="F92484"/>
    </row>
    <row r="92485" spans="1:6" x14ac:dyDescent="0.25">
      <c r="A92485"/>
      <c r="B92485"/>
      <c r="C92485"/>
      <c r="E92485"/>
      <c r="F92485"/>
    </row>
    <row r="92486" spans="1:6" x14ac:dyDescent="0.25">
      <c r="A92486"/>
      <c r="B92486"/>
      <c r="C92486"/>
      <c r="E92486"/>
      <c r="F92486"/>
    </row>
    <row r="92487" spans="1:6" x14ac:dyDescent="0.25">
      <c r="A92487"/>
      <c r="B92487"/>
      <c r="C92487"/>
      <c r="E92487"/>
      <c r="F92487"/>
    </row>
    <row r="92488" spans="1:6" x14ac:dyDescent="0.25">
      <c r="A92488"/>
      <c r="B92488"/>
      <c r="C92488"/>
      <c r="E92488"/>
      <c r="F92488"/>
    </row>
    <row r="92489" spans="1:6" x14ac:dyDescent="0.25">
      <c r="A92489"/>
      <c r="B92489"/>
      <c r="C92489"/>
      <c r="E92489"/>
      <c r="F92489"/>
    </row>
    <row r="92490" spans="1:6" x14ac:dyDescent="0.25">
      <c r="A92490"/>
      <c r="B92490"/>
      <c r="C92490"/>
      <c r="E92490"/>
      <c r="F92490"/>
    </row>
    <row r="92491" spans="1:6" x14ac:dyDescent="0.25">
      <c r="A92491"/>
      <c r="B92491"/>
      <c r="C92491"/>
      <c r="E92491"/>
      <c r="F92491"/>
    </row>
    <row r="92492" spans="1:6" x14ac:dyDescent="0.25">
      <c r="A92492"/>
      <c r="B92492"/>
      <c r="C92492"/>
      <c r="E92492"/>
      <c r="F92492"/>
    </row>
    <row r="92493" spans="1:6" x14ac:dyDescent="0.25">
      <c r="A92493"/>
      <c r="B92493"/>
      <c r="C92493"/>
      <c r="E92493"/>
      <c r="F92493"/>
    </row>
    <row r="92494" spans="1:6" x14ac:dyDescent="0.25">
      <c r="A92494"/>
      <c r="B92494"/>
      <c r="C92494"/>
      <c r="E92494"/>
      <c r="F92494"/>
    </row>
    <row r="92495" spans="1:6" x14ac:dyDescent="0.25">
      <c r="A92495"/>
      <c r="B92495"/>
      <c r="C92495"/>
      <c r="E92495"/>
      <c r="F92495"/>
    </row>
    <row r="92496" spans="1:6" x14ac:dyDescent="0.25">
      <c r="A92496"/>
      <c r="B92496"/>
      <c r="C92496"/>
      <c r="E92496"/>
      <c r="F92496"/>
    </row>
    <row r="92497" spans="1:6" x14ac:dyDescent="0.25">
      <c r="A92497"/>
      <c r="B92497"/>
      <c r="C92497"/>
      <c r="E92497"/>
      <c r="F92497"/>
    </row>
    <row r="92498" spans="1:6" x14ac:dyDescent="0.25">
      <c r="A92498"/>
      <c r="B92498"/>
      <c r="C92498"/>
      <c r="E92498"/>
      <c r="F92498"/>
    </row>
    <row r="92499" spans="1:6" x14ac:dyDescent="0.25">
      <c r="A92499"/>
      <c r="B92499"/>
      <c r="C92499"/>
      <c r="E92499"/>
      <c r="F92499"/>
    </row>
    <row r="92500" spans="1:6" x14ac:dyDescent="0.25">
      <c r="A92500"/>
      <c r="B92500"/>
      <c r="C92500"/>
      <c r="E92500"/>
      <c r="F92500"/>
    </row>
    <row r="92501" spans="1:6" x14ac:dyDescent="0.25">
      <c r="A92501"/>
      <c r="B92501"/>
      <c r="C92501"/>
      <c r="E92501"/>
      <c r="F92501"/>
    </row>
    <row r="92502" spans="1:6" x14ac:dyDescent="0.25">
      <c r="A92502"/>
      <c r="B92502"/>
      <c r="C92502"/>
      <c r="E92502"/>
      <c r="F92502"/>
    </row>
    <row r="92503" spans="1:6" x14ac:dyDescent="0.25">
      <c r="A92503"/>
      <c r="B92503"/>
      <c r="C92503"/>
      <c r="E92503"/>
      <c r="F92503"/>
    </row>
    <row r="92504" spans="1:6" x14ac:dyDescent="0.25">
      <c r="A92504"/>
      <c r="B92504"/>
      <c r="C92504"/>
      <c r="E92504"/>
      <c r="F92504"/>
    </row>
    <row r="92505" spans="1:6" x14ac:dyDescent="0.25">
      <c r="A92505"/>
      <c r="B92505"/>
      <c r="C92505"/>
      <c r="E92505"/>
      <c r="F92505"/>
    </row>
    <row r="92506" spans="1:6" x14ac:dyDescent="0.25">
      <c r="A92506"/>
      <c r="B92506"/>
      <c r="C92506"/>
      <c r="E92506"/>
      <c r="F92506"/>
    </row>
    <row r="92507" spans="1:6" x14ac:dyDescent="0.25">
      <c r="A92507"/>
      <c r="B92507"/>
      <c r="C92507"/>
      <c r="E92507"/>
      <c r="F92507"/>
    </row>
    <row r="92508" spans="1:6" x14ac:dyDescent="0.25">
      <c r="A92508"/>
      <c r="B92508"/>
      <c r="C92508"/>
      <c r="E92508"/>
      <c r="F92508"/>
    </row>
    <row r="92509" spans="1:6" x14ac:dyDescent="0.25">
      <c r="A92509"/>
      <c r="B92509"/>
      <c r="C92509"/>
      <c r="E92509"/>
      <c r="F92509"/>
    </row>
    <row r="92510" spans="1:6" x14ac:dyDescent="0.25">
      <c r="A92510"/>
      <c r="B92510"/>
      <c r="C92510"/>
      <c r="E92510"/>
      <c r="F92510"/>
    </row>
    <row r="92511" spans="1:6" x14ac:dyDescent="0.25">
      <c r="A92511"/>
      <c r="B92511"/>
      <c r="C92511"/>
      <c r="E92511"/>
      <c r="F92511"/>
    </row>
    <row r="92512" spans="1:6" x14ac:dyDescent="0.25">
      <c r="A92512"/>
      <c r="B92512"/>
      <c r="C92512"/>
      <c r="E92512"/>
      <c r="F92512"/>
    </row>
    <row r="92513" spans="1:6" x14ac:dyDescent="0.25">
      <c r="A92513"/>
      <c r="B92513"/>
      <c r="C92513"/>
      <c r="E92513"/>
      <c r="F92513"/>
    </row>
    <row r="92514" spans="1:6" x14ac:dyDescent="0.25">
      <c r="A92514"/>
      <c r="B92514"/>
      <c r="C92514"/>
      <c r="E92514"/>
      <c r="F92514"/>
    </row>
    <row r="92515" spans="1:6" x14ac:dyDescent="0.25">
      <c r="A92515"/>
      <c r="B92515"/>
      <c r="C92515"/>
      <c r="E92515"/>
      <c r="F92515"/>
    </row>
    <row r="92516" spans="1:6" x14ac:dyDescent="0.25">
      <c r="A92516"/>
      <c r="B92516"/>
      <c r="C92516"/>
      <c r="E92516"/>
      <c r="F92516"/>
    </row>
    <row r="92517" spans="1:6" x14ac:dyDescent="0.25">
      <c r="A92517"/>
      <c r="B92517"/>
      <c r="C92517"/>
      <c r="E92517"/>
      <c r="F92517"/>
    </row>
    <row r="92518" spans="1:6" x14ac:dyDescent="0.25">
      <c r="A92518"/>
      <c r="B92518"/>
      <c r="C92518"/>
      <c r="E92518"/>
      <c r="F92518"/>
    </row>
    <row r="92519" spans="1:6" x14ac:dyDescent="0.25">
      <c r="A92519"/>
      <c r="B92519"/>
      <c r="C92519"/>
      <c r="E92519"/>
      <c r="F92519"/>
    </row>
    <row r="92520" spans="1:6" x14ac:dyDescent="0.25">
      <c r="A92520"/>
      <c r="B92520"/>
      <c r="C92520"/>
      <c r="E92520"/>
      <c r="F92520"/>
    </row>
    <row r="92521" spans="1:6" x14ac:dyDescent="0.25">
      <c r="A92521"/>
      <c r="B92521"/>
      <c r="C92521"/>
      <c r="E92521"/>
      <c r="F92521"/>
    </row>
    <row r="92522" spans="1:6" x14ac:dyDescent="0.25">
      <c r="A92522"/>
      <c r="B92522"/>
      <c r="C92522"/>
      <c r="E92522"/>
      <c r="F92522"/>
    </row>
    <row r="92523" spans="1:6" x14ac:dyDescent="0.25">
      <c r="A92523"/>
      <c r="B92523"/>
      <c r="C92523"/>
      <c r="E92523"/>
      <c r="F92523"/>
    </row>
    <row r="92524" spans="1:6" x14ac:dyDescent="0.25">
      <c r="A92524"/>
      <c r="B92524"/>
      <c r="C92524"/>
      <c r="E92524"/>
      <c r="F92524"/>
    </row>
    <row r="92525" spans="1:6" x14ac:dyDescent="0.25">
      <c r="A92525"/>
      <c r="B92525"/>
      <c r="C92525"/>
      <c r="E92525"/>
      <c r="F92525"/>
    </row>
    <row r="92526" spans="1:6" x14ac:dyDescent="0.25">
      <c r="A92526"/>
      <c r="B92526"/>
      <c r="C92526"/>
      <c r="E92526"/>
      <c r="F92526"/>
    </row>
    <row r="92527" spans="1:6" x14ac:dyDescent="0.25">
      <c r="A92527"/>
      <c r="B92527"/>
      <c r="C92527"/>
      <c r="E92527"/>
      <c r="F92527"/>
    </row>
    <row r="92528" spans="1:6" x14ac:dyDescent="0.25">
      <c r="A92528"/>
      <c r="B92528"/>
      <c r="C92528"/>
      <c r="E92528"/>
      <c r="F92528"/>
    </row>
    <row r="92529" spans="1:6" x14ac:dyDescent="0.25">
      <c r="A92529"/>
      <c r="B92529"/>
      <c r="C92529"/>
      <c r="E92529"/>
      <c r="F92529"/>
    </row>
    <row r="92530" spans="1:6" x14ac:dyDescent="0.25">
      <c r="A92530"/>
      <c r="B92530"/>
      <c r="C92530"/>
      <c r="E92530"/>
      <c r="F92530"/>
    </row>
    <row r="92531" spans="1:6" x14ac:dyDescent="0.25">
      <c r="A92531"/>
      <c r="B92531"/>
      <c r="C92531"/>
      <c r="E92531"/>
      <c r="F92531"/>
    </row>
    <row r="92532" spans="1:6" x14ac:dyDescent="0.25">
      <c r="A92532"/>
      <c r="B92532"/>
      <c r="C92532"/>
      <c r="E92532"/>
      <c r="F92532"/>
    </row>
    <row r="92533" spans="1:6" x14ac:dyDescent="0.25">
      <c r="A92533"/>
      <c r="B92533"/>
      <c r="C92533"/>
      <c r="E92533"/>
      <c r="F92533"/>
    </row>
    <row r="92534" spans="1:6" x14ac:dyDescent="0.25">
      <c r="A92534"/>
      <c r="B92534"/>
      <c r="C92534"/>
      <c r="E92534"/>
      <c r="F92534"/>
    </row>
    <row r="92535" spans="1:6" x14ac:dyDescent="0.25">
      <c r="A92535"/>
      <c r="B92535"/>
      <c r="C92535"/>
      <c r="E92535"/>
      <c r="F92535"/>
    </row>
    <row r="92536" spans="1:6" x14ac:dyDescent="0.25">
      <c r="A92536"/>
      <c r="B92536"/>
      <c r="C92536"/>
      <c r="E92536"/>
      <c r="F92536"/>
    </row>
    <row r="92537" spans="1:6" x14ac:dyDescent="0.25">
      <c r="A92537"/>
      <c r="B92537"/>
      <c r="C92537"/>
      <c r="E92537"/>
      <c r="F92537"/>
    </row>
    <row r="92538" spans="1:6" x14ac:dyDescent="0.25">
      <c r="A92538"/>
      <c r="B92538"/>
      <c r="C92538"/>
      <c r="E92538"/>
      <c r="F92538"/>
    </row>
    <row r="92539" spans="1:6" x14ac:dyDescent="0.25">
      <c r="A92539"/>
      <c r="B92539"/>
      <c r="C92539"/>
      <c r="E92539"/>
      <c r="F92539"/>
    </row>
    <row r="92540" spans="1:6" x14ac:dyDescent="0.25">
      <c r="A92540"/>
      <c r="B92540"/>
      <c r="C92540"/>
      <c r="E92540"/>
      <c r="F92540"/>
    </row>
    <row r="92541" spans="1:6" x14ac:dyDescent="0.25">
      <c r="A92541"/>
      <c r="B92541"/>
      <c r="C92541"/>
      <c r="E92541"/>
      <c r="F92541"/>
    </row>
    <row r="92542" spans="1:6" x14ac:dyDescent="0.25">
      <c r="A92542"/>
      <c r="B92542"/>
      <c r="C92542"/>
      <c r="E92542"/>
      <c r="F92542"/>
    </row>
    <row r="92543" spans="1:6" x14ac:dyDescent="0.25">
      <c r="A92543"/>
      <c r="B92543"/>
      <c r="C92543"/>
      <c r="E92543"/>
      <c r="F92543"/>
    </row>
    <row r="92544" spans="1:6" x14ac:dyDescent="0.25">
      <c r="A92544"/>
      <c r="B92544"/>
      <c r="C92544"/>
      <c r="E92544"/>
      <c r="F92544"/>
    </row>
    <row r="92545" spans="1:6" x14ac:dyDescent="0.25">
      <c r="A92545"/>
      <c r="B92545"/>
      <c r="C92545"/>
      <c r="E92545"/>
      <c r="F92545"/>
    </row>
    <row r="92546" spans="1:6" x14ac:dyDescent="0.25">
      <c r="A92546"/>
      <c r="B92546"/>
      <c r="C92546"/>
      <c r="E92546"/>
      <c r="F92546"/>
    </row>
    <row r="92547" spans="1:6" x14ac:dyDescent="0.25">
      <c r="A92547"/>
      <c r="B92547"/>
      <c r="C92547"/>
      <c r="E92547"/>
      <c r="F92547"/>
    </row>
    <row r="92548" spans="1:6" x14ac:dyDescent="0.25">
      <c r="A92548"/>
      <c r="B92548"/>
      <c r="C92548"/>
      <c r="E92548"/>
      <c r="F92548"/>
    </row>
    <row r="92549" spans="1:6" x14ac:dyDescent="0.25">
      <c r="A92549"/>
      <c r="B92549"/>
      <c r="C92549"/>
      <c r="E92549"/>
      <c r="F92549"/>
    </row>
    <row r="92550" spans="1:6" x14ac:dyDescent="0.25">
      <c r="A92550"/>
      <c r="B92550"/>
      <c r="C92550"/>
      <c r="E92550"/>
      <c r="F92550"/>
    </row>
    <row r="92551" spans="1:6" x14ac:dyDescent="0.25">
      <c r="A92551"/>
      <c r="B92551"/>
      <c r="C92551"/>
      <c r="E92551"/>
      <c r="F92551"/>
    </row>
    <row r="92552" spans="1:6" x14ac:dyDescent="0.25">
      <c r="A92552"/>
      <c r="B92552"/>
      <c r="C92552"/>
      <c r="E92552"/>
      <c r="F92552"/>
    </row>
    <row r="92553" spans="1:6" x14ac:dyDescent="0.25">
      <c r="A92553"/>
      <c r="B92553"/>
      <c r="C92553"/>
      <c r="E92553"/>
      <c r="F92553"/>
    </row>
    <row r="92554" spans="1:6" x14ac:dyDescent="0.25">
      <c r="A92554"/>
      <c r="B92554"/>
      <c r="C92554"/>
      <c r="E92554"/>
      <c r="F92554"/>
    </row>
    <row r="92555" spans="1:6" x14ac:dyDescent="0.25">
      <c r="A92555"/>
      <c r="B92555"/>
      <c r="C92555"/>
      <c r="E92555"/>
      <c r="F92555"/>
    </row>
    <row r="92556" spans="1:6" x14ac:dyDescent="0.25">
      <c r="A92556"/>
      <c r="B92556"/>
      <c r="C92556"/>
      <c r="E92556"/>
      <c r="F92556"/>
    </row>
    <row r="92557" spans="1:6" x14ac:dyDescent="0.25">
      <c r="A92557"/>
      <c r="B92557"/>
      <c r="C92557"/>
      <c r="E92557"/>
      <c r="F92557"/>
    </row>
    <row r="92558" spans="1:6" x14ac:dyDescent="0.25">
      <c r="A92558"/>
      <c r="B92558"/>
      <c r="C92558"/>
      <c r="E92558"/>
      <c r="F92558"/>
    </row>
    <row r="92559" spans="1:6" x14ac:dyDescent="0.25">
      <c r="A92559"/>
      <c r="B92559"/>
      <c r="C92559"/>
      <c r="E92559"/>
      <c r="F92559"/>
    </row>
    <row r="92560" spans="1:6" x14ac:dyDescent="0.25">
      <c r="A92560"/>
      <c r="B92560"/>
      <c r="C92560"/>
      <c r="E92560"/>
      <c r="F92560"/>
    </row>
    <row r="92561" spans="1:6" x14ac:dyDescent="0.25">
      <c r="A92561"/>
      <c r="B92561"/>
      <c r="C92561"/>
      <c r="E92561"/>
      <c r="F92561"/>
    </row>
    <row r="92562" spans="1:6" x14ac:dyDescent="0.25">
      <c r="A92562"/>
      <c r="B92562"/>
      <c r="C92562"/>
      <c r="E92562"/>
      <c r="F92562"/>
    </row>
    <row r="92563" spans="1:6" x14ac:dyDescent="0.25">
      <c r="A92563"/>
      <c r="B92563"/>
      <c r="C92563"/>
      <c r="E92563"/>
      <c r="F92563"/>
    </row>
    <row r="92564" spans="1:6" x14ac:dyDescent="0.25">
      <c r="A92564"/>
      <c r="B92564"/>
      <c r="C92564"/>
      <c r="E92564"/>
      <c r="F92564"/>
    </row>
    <row r="92565" spans="1:6" x14ac:dyDescent="0.25">
      <c r="A92565"/>
      <c r="B92565"/>
      <c r="C92565"/>
      <c r="E92565"/>
      <c r="F92565"/>
    </row>
    <row r="92566" spans="1:6" x14ac:dyDescent="0.25">
      <c r="A92566"/>
      <c r="B92566"/>
      <c r="C92566"/>
      <c r="E92566"/>
      <c r="F92566"/>
    </row>
    <row r="92567" spans="1:6" x14ac:dyDescent="0.25">
      <c r="A92567"/>
      <c r="B92567"/>
      <c r="C92567"/>
      <c r="E92567"/>
      <c r="F92567"/>
    </row>
    <row r="92568" spans="1:6" x14ac:dyDescent="0.25">
      <c r="A92568"/>
      <c r="B92568"/>
      <c r="C92568"/>
      <c r="E92568"/>
      <c r="F92568"/>
    </row>
    <row r="92569" spans="1:6" x14ac:dyDescent="0.25">
      <c r="A92569"/>
      <c r="B92569"/>
      <c r="C92569"/>
      <c r="E92569"/>
      <c r="F92569"/>
    </row>
    <row r="92570" spans="1:6" x14ac:dyDescent="0.25">
      <c r="A92570"/>
      <c r="B92570"/>
      <c r="C92570"/>
      <c r="E92570"/>
      <c r="F92570"/>
    </row>
    <row r="92571" spans="1:6" x14ac:dyDescent="0.25">
      <c r="A92571"/>
      <c r="B92571"/>
      <c r="C92571"/>
      <c r="E92571"/>
      <c r="F92571"/>
    </row>
    <row r="92572" spans="1:6" x14ac:dyDescent="0.25">
      <c r="A92572"/>
      <c r="B92572"/>
      <c r="C92572"/>
      <c r="E92572"/>
      <c r="F92572"/>
    </row>
    <row r="92573" spans="1:6" x14ac:dyDescent="0.25">
      <c r="A92573"/>
      <c r="B92573"/>
      <c r="C92573"/>
      <c r="E92573"/>
      <c r="F92573"/>
    </row>
    <row r="92574" spans="1:6" x14ac:dyDescent="0.25">
      <c r="A92574"/>
      <c r="B92574"/>
      <c r="C92574"/>
      <c r="E92574"/>
      <c r="F92574"/>
    </row>
    <row r="92575" spans="1:6" x14ac:dyDescent="0.25">
      <c r="A92575"/>
      <c r="B92575"/>
      <c r="C92575"/>
      <c r="E92575"/>
      <c r="F92575"/>
    </row>
    <row r="92576" spans="1:6" x14ac:dyDescent="0.25">
      <c r="A92576"/>
      <c r="B92576"/>
      <c r="C92576"/>
      <c r="E92576"/>
      <c r="F92576"/>
    </row>
    <row r="92577" spans="1:6" x14ac:dyDescent="0.25">
      <c r="A92577"/>
      <c r="B92577"/>
      <c r="C92577"/>
      <c r="E92577"/>
      <c r="F92577"/>
    </row>
    <row r="92578" spans="1:6" x14ac:dyDescent="0.25">
      <c r="A92578"/>
      <c r="B92578"/>
      <c r="C92578"/>
      <c r="E92578"/>
      <c r="F92578"/>
    </row>
    <row r="92579" spans="1:6" x14ac:dyDescent="0.25">
      <c r="A92579"/>
      <c r="B92579"/>
      <c r="C92579"/>
      <c r="E92579"/>
      <c r="F92579"/>
    </row>
    <row r="92580" spans="1:6" x14ac:dyDescent="0.25">
      <c r="A92580"/>
      <c r="B92580"/>
      <c r="C92580"/>
      <c r="E92580"/>
      <c r="F92580"/>
    </row>
    <row r="92581" spans="1:6" x14ac:dyDescent="0.25">
      <c r="A92581"/>
      <c r="B92581"/>
      <c r="C92581"/>
      <c r="E92581"/>
      <c r="F92581"/>
    </row>
    <row r="92582" spans="1:6" x14ac:dyDescent="0.25">
      <c r="A92582"/>
      <c r="B92582"/>
      <c r="C92582"/>
      <c r="E92582"/>
      <c r="F92582"/>
    </row>
    <row r="92583" spans="1:6" x14ac:dyDescent="0.25">
      <c r="A92583"/>
      <c r="B92583"/>
      <c r="C92583"/>
      <c r="E92583"/>
      <c r="F92583"/>
    </row>
    <row r="92584" spans="1:6" x14ac:dyDescent="0.25">
      <c r="A92584"/>
      <c r="B92584"/>
      <c r="C92584"/>
      <c r="E92584"/>
      <c r="F92584"/>
    </row>
    <row r="92585" spans="1:6" x14ac:dyDescent="0.25">
      <c r="A92585"/>
      <c r="B92585"/>
      <c r="C92585"/>
      <c r="E92585"/>
      <c r="F92585"/>
    </row>
    <row r="92586" spans="1:6" x14ac:dyDescent="0.25">
      <c r="A92586"/>
      <c r="B92586"/>
      <c r="C92586"/>
      <c r="E92586"/>
      <c r="F92586"/>
    </row>
    <row r="92587" spans="1:6" x14ac:dyDescent="0.25">
      <c r="A92587"/>
      <c r="B92587"/>
      <c r="C92587"/>
      <c r="E92587"/>
      <c r="F92587"/>
    </row>
    <row r="92588" spans="1:6" x14ac:dyDescent="0.25">
      <c r="A92588"/>
      <c r="B92588"/>
      <c r="C92588"/>
      <c r="E92588"/>
      <c r="F92588"/>
    </row>
    <row r="92589" spans="1:6" x14ac:dyDescent="0.25">
      <c r="A92589"/>
      <c r="B92589"/>
      <c r="C92589"/>
      <c r="E92589"/>
      <c r="F92589"/>
    </row>
    <row r="92590" spans="1:6" x14ac:dyDescent="0.25">
      <c r="A92590"/>
      <c r="B92590"/>
      <c r="C92590"/>
      <c r="E92590"/>
      <c r="F92590"/>
    </row>
    <row r="92591" spans="1:6" x14ac:dyDescent="0.25">
      <c r="A92591"/>
      <c r="B92591"/>
      <c r="C92591"/>
      <c r="E92591"/>
      <c r="F92591"/>
    </row>
    <row r="92592" spans="1:6" x14ac:dyDescent="0.25">
      <c r="A92592"/>
      <c r="B92592"/>
      <c r="C92592"/>
      <c r="E92592"/>
      <c r="F92592"/>
    </row>
    <row r="92593" spans="1:6" x14ac:dyDescent="0.25">
      <c r="A92593"/>
      <c r="B92593"/>
      <c r="C92593"/>
      <c r="E92593"/>
      <c r="F92593"/>
    </row>
    <row r="92594" spans="1:6" x14ac:dyDescent="0.25">
      <c r="A92594"/>
      <c r="B92594"/>
      <c r="C92594"/>
      <c r="E92594"/>
      <c r="F92594"/>
    </row>
    <row r="92595" spans="1:6" x14ac:dyDescent="0.25">
      <c r="A92595"/>
      <c r="B92595"/>
      <c r="C92595"/>
      <c r="E92595"/>
      <c r="F92595"/>
    </row>
    <row r="92596" spans="1:6" x14ac:dyDescent="0.25">
      <c r="A92596"/>
      <c r="B92596"/>
      <c r="C92596"/>
      <c r="E92596"/>
      <c r="F92596"/>
    </row>
    <row r="92597" spans="1:6" x14ac:dyDescent="0.25">
      <c r="A92597"/>
      <c r="B92597"/>
      <c r="C92597"/>
      <c r="E92597"/>
      <c r="F92597"/>
    </row>
    <row r="92598" spans="1:6" x14ac:dyDescent="0.25">
      <c r="A92598"/>
      <c r="B92598"/>
      <c r="C92598"/>
      <c r="E92598"/>
      <c r="F92598"/>
    </row>
    <row r="92599" spans="1:6" x14ac:dyDescent="0.25">
      <c r="A92599"/>
      <c r="B92599"/>
      <c r="C92599"/>
      <c r="E92599"/>
      <c r="F92599"/>
    </row>
    <row r="92600" spans="1:6" x14ac:dyDescent="0.25">
      <c r="A92600"/>
      <c r="B92600"/>
      <c r="C92600"/>
      <c r="E92600"/>
      <c r="F92600"/>
    </row>
    <row r="92601" spans="1:6" x14ac:dyDescent="0.25">
      <c r="A92601"/>
      <c r="B92601"/>
      <c r="C92601"/>
      <c r="E92601"/>
      <c r="F92601"/>
    </row>
    <row r="92602" spans="1:6" x14ac:dyDescent="0.25">
      <c r="A92602"/>
      <c r="B92602"/>
      <c r="C92602"/>
      <c r="E92602"/>
      <c r="F92602"/>
    </row>
    <row r="92603" spans="1:6" x14ac:dyDescent="0.25">
      <c r="A92603"/>
      <c r="B92603"/>
      <c r="C92603"/>
      <c r="E92603"/>
      <c r="F92603"/>
    </row>
    <row r="92604" spans="1:6" x14ac:dyDescent="0.25">
      <c r="A92604"/>
      <c r="B92604"/>
      <c r="C92604"/>
      <c r="E92604"/>
      <c r="F92604"/>
    </row>
    <row r="92605" spans="1:6" x14ac:dyDescent="0.25">
      <c r="A92605"/>
      <c r="B92605"/>
      <c r="C92605"/>
      <c r="E92605"/>
      <c r="F92605"/>
    </row>
    <row r="92606" spans="1:6" x14ac:dyDescent="0.25">
      <c r="A92606"/>
      <c r="B92606"/>
      <c r="C92606"/>
      <c r="E92606"/>
      <c r="F92606"/>
    </row>
    <row r="92607" spans="1:6" x14ac:dyDescent="0.25">
      <c r="A92607"/>
      <c r="B92607"/>
      <c r="C92607"/>
      <c r="E92607"/>
      <c r="F92607"/>
    </row>
    <row r="92608" spans="1:6" x14ac:dyDescent="0.25">
      <c r="A92608"/>
      <c r="B92608"/>
      <c r="C92608"/>
      <c r="E92608"/>
      <c r="F92608"/>
    </row>
    <row r="92609" spans="1:6" x14ac:dyDescent="0.25">
      <c r="A92609"/>
      <c r="B92609"/>
      <c r="C92609"/>
      <c r="E92609"/>
      <c r="F92609"/>
    </row>
    <row r="92610" spans="1:6" x14ac:dyDescent="0.25">
      <c r="A92610"/>
      <c r="B92610"/>
      <c r="C92610"/>
      <c r="E92610"/>
      <c r="F92610"/>
    </row>
    <row r="92611" spans="1:6" x14ac:dyDescent="0.25">
      <c r="A92611"/>
      <c r="B92611"/>
      <c r="C92611"/>
      <c r="E92611"/>
      <c r="F92611"/>
    </row>
    <row r="92612" spans="1:6" x14ac:dyDescent="0.25">
      <c r="A92612"/>
      <c r="B92612"/>
      <c r="C92612"/>
      <c r="E92612"/>
      <c r="F92612"/>
    </row>
    <row r="92613" spans="1:6" x14ac:dyDescent="0.25">
      <c r="A92613"/>
      <c r="B92613"/>
      <c r="C92613"/>
      <c r="E92613"/>
      <c r="F92613"/>
    </row>
    <row r="92614" spans="1:6" x14ac:dyDescent="0.25">
      <c r="A92614"/>
      <c r="B92614"/>
      <c r="C92614"/>
      <c r="E92614"/>
      <c r="F92614"/>
    </row>
    <row r="92615" spans="1:6" x14ac:dyDescent="0.25">
      <c r="A92615"/>
      <c r="B92615"/>
      <c r="C92615"/>
      <c r="E92615"/>
      <c r="F92615"/>
    </row>
    <row r="92616" spans="1:6" x14ac:dyDescent="0.25">
      <c r="A92616"/>
      <c r="B92616"/>
      <c r="C92616"/>
      <c r="E92616"/>
      <c r="F92616"/>
    </row>
    <row r="92617" spans="1:6" x14ac:dyDescent="0.25">
      <c r="A92617"/>
      <c r="B92617"/>
      <c r="C92617"/>
      <c r="E92617"/>
      <c r="F92617"/>
    </row>
    <row r="92618" spans="1:6" x14ac:dyDescent="0.25">
      <c r="A92618"/>
      <c r="B92618"/>
      <c r="C92618"/>
      <c r="E92618"/>
      <c r="F92618"/>
    </row>
    <row r="92619" spans="1:6" x14ac:dyDescent="0.25">
      <c r="A92619"/>
      <c r="B92619"/>
      <c r="C92619"/>
      <c r="E92619"/>
      <c r="F92619"/>
    </row>
    <row r="92620" spans="1:6" x14ac:dyDescent="0.25">
      <c r="A92620"/>
      <c r="B92620"/>
      <c r="C92620"/>
      <c r="E92620"/>
      <c r="F92620"/>
    </row>
    <row r="92621" spans="1:6" x14ac:dyDescent="0.25">
      <c r="A92621"/>
      <c r="B92621"/>
      <c r="C92621"/>
      <c r="E92621"/>
      <c r="F92621"/>
    </row>
    <row r="92622" spans="1:6" x14ac:dyDescent="0.25">
      <c r="A92622"/>
      <c r="B92622"/>
      <c r="C92622"/>
      <c r="E92622"/>
      <c r="F92622"/>
    </row>
    <row r="92623" spans="1:6" x14ac:dyDescent="0.25">
      <c r="A92623"/>
      <c r="B92623"/>
      <c r="C92623"/>
      <c r="E92623"/>
      <c r="F92623"/>
    </row>
    <row r="92624" spans="1:6" x14ac:dyDescent="0.25">
      <c r="A92624"/>
      <c r="B92624"/>
      <c r="C92624"/>
      <c r="E92624"/>
      <c r="F92624"/>
    </row>
    <row r="92625" spans="1:6" x14ac:dyDescent="0.25">
      <c r="A92625"/>
      <c r="B92625"/>
      <c r="C92625"/>
      <c r="E92625"/>
      <c r="F92625"/>
    </row>
    <row r="92626" spans="1:6" x14ac:dyDescent="0.25">
      <c r="A92626"/>
      <c r="B92626"/>
      <c r="C92626"/>
      <c r="E92626"/>
      <c r="F92626"/>
    </row>
    <row r="92627" spans="1:6" x14ac:dyDescent="0.25">
      <c r="A92627"/>
      <c r="B92627"/>
      <c r="C92627"/>
      <c r="E92627"/>
      <c r="F92627"/>
    </row>
    <row r="92628" spans="1:6" x14ac:dyDescent="0.25">
      <c r="A92628"/>
      <c r="B92628"/>
      <c r="C92628"/>
      <c r="E92628"/>
      <c r="F92628"/>
    </row>
    <row r="92629" spans="1:6" x14ac:dyDescent="0.25">
      <c r="A92629"/>
      <c r="B92629"/>
      <c r="C92629"/>
      <c r="E92629"/>
      <c r="F92629"/>
    </row>
    <row r="92630" spans="1:6" x14ac:dyDescent="0.25">
      <c r="A92630"/>
      <c r="B92630"/>
      <c r="C92630"/>
      <c r="E92630"/>
      <c r="F92630"/>
    </row>
    <row r="92631" spans="1:6" x14ac:dyDescent="0.25">
      <c r="A92631"/>
      <c r="B92631"/>
      <c r="C92631"/>
      <c r="E92631"/>
      <c r="F92631"/>
    </row>
    <row r="92632" spans="1:6" x14ac:dyDescent="0.25">
      <c r="A92632"/>
      <c r="B92632"/>
      <c r="C92632"/>
      <c r="E92632"/>
      <c r="F92632"/>
    </row>
    <row r="92633" spans="1:6" x14ac:dyDescent="0.25">
      <c r="A92633"/>
      <c r="B92633"/>
      <c r="C92633"/>
      <c r="E92633"/>
      <c r="F92633"/>
    </row>
    <row r="92634" spans="1:6" x14ac:dyDescent="0.25">
      <c r="A92634"/>
      <c r="B92634"/>
      <c r="C92634"/>
      <c r="E92634"/>
      <c r="F92634"/>
    </row>
    <row r="92635" spans="1:6" x14ac:dyDescent="0.25">
      <c r="A92635"/>
      <c r="B92635"/>
      <c r="C92635"/>
      <c r="E92635"/>
      <c r="F92635"/>
    </row>
    <row r="92636" spans="1:6" x14ac:dyDescent="0.25">
      <c r="A92636"/>
      <c r="B92636"/>
      <c r="C92636"/>
      <c r="E92636"/>
      <c r="F92636"/>
    </row>
    <row r="92637" spans="1:6" x14ac:dyDescent="0.25">
      <c r="A92637"/>
      <c r="B92637"/>
      <c r="C92637"/>
      <c r="E92637"/>
      <c r="F92637"/>
    </row>
    <row r="92638" spans="1:6" x14ac:dyDescent="0.25">
      <c r="A92638"/>
      <c r="B92638"/>
      <c r="C92638"/>
      <c r="E92638"/>
      <c r="F92638"/>
    </row>
    <row r="92639" spans="1:6" x14ac:dyDescent="0.25">
      <c r="A92639"/>
      <c r="B92639"/>
      <c r="C92639"/>
      <c r="E92639"/>
      <c r="F92639"/>
    </row>
    <row r="92640" spans="1:6" x14ac:dyDescent="0.25">
      <c r="A92640"/>
      <c r="B92640"/>
      <c r="C92640"/>
      <c r="E92640"/>
      <c r="F92640"/>
    </row>
    <row r="92641" spans="1:6" x14ac:dyDescent="0.25">
      <c r="A92641"/>
      <c r="B92641"/>
      <c r="C92641"/>
      <c r="E92641"/>
      <c r="F92641"/>
    </row>
    <row r="92642" spans="1:6" x14ac:dyDescent="0.25">
      <c r="A92642"/>
      <c r="B92642"/>
      <c r="C92642"/>
      <c r="E92642"/>
      <c r="F92642"/>
    </row>
    <row r="92643" spans="1:6" x14ac:dyDescent="0.25">
      <c r="A92643"/>
      <c r="B92643"/>
      <c r="C92643"/>
      <c r="E92643"/>
      <c r="F92643"/>
    </row>
    <row r="92644" spans="1:6" x14ac:dyDescent="0.25">
      <c r="A92644"/>
      <c r="B92644"/>
      <c r="C92644"/>
      <c r="E92644"/>
      <c r="F92644"/>
    </row>
    <row r="92645" spans="1:6" x14ac:dyDescent="0.25">
      <c r="A92645"/>
      <c r="B92645"/>
      <c r="C92645"/>
      <c r="E92645"/>
      <c r="F92645"/>
    </row>
    <row r="92646" spans="1:6" x14ac:dyDescent="0.25">
      <c r="A92646"/>
      <c r="B92646"/>
      <c r="C92646"/>
      <c r="E92646"/>
      <c r="F92646"/>
    </row>
    <row r="92647" spans="1:6" x14ac:dyDescent="0.25">
      <c r="A92647"/>
      <c r="B92647"/>
      <c r="C92647"/>
      <c r="E92647"/>
      <c r="F92647"/>
    </row>
    <row r="92648" spans="1:6" x14ac:dyDescent="0.25">
      <c r="A92648"/>
      <c r="B92648"/>
      <c r="C92648"/>
      <c r="E92648"/>
      <c r="F92648"/>
    </row>
    <row r="92649" spans="1:6" x14ac:dyDescent="0.25">
      <c r="A92649"/>
      <c r="B92649"/>
      <c r="C92649"/>
      <c r="E92649"/>
      <c r="F92649"/>
    </row>
    <row r="92650" spans="1:6" x14ac:dyDescent="0.25">
      <c r="A92650"/>
      <c r="B92650"/>
      <c r="C92650"/>
      <c r="E92650"/>
      <c r="F92650"/>
    </row>
    <row r="92651" spans="1:6" x14ac:dyDescent="0.25">
      <c r="A92651"/>
      <c r="B92651"/>
      <c r="C92651"/>
      <c r="E92651"/>
      <c r="F92651"/>
    </row>
    <row r="92652" spans="1:6" x14ac:dyDescent="0.25">
      <c r="A92652"/>
      <c r="B92652"/>
      <c r="C92652"/>
      <c r="E92652"/>
      <c r="F92652"/>
    </row>
    <row r="92653" spans="1:6" x14ac:dyDescent="0.25">
      <c r="A92653"/>
      <c r="B92653"/>
      <c r="C92653"/>
      <c r="E92653"/>
      <c r="F92653"/>
    </row>
    <row r="92654" spans="1:6" x14ac:dyDescent="0.25">
      <c r="A92654"/>
      <c r="B92654"/>
      <c r="C92654"/>
      <c r="E92654"/>
      <c r="F92654"/>
    </row>
    <row r="92655" spans="1:6" x14ac:dyDescent="0.25">
      <c r="A92655"/>
      <c r="B92655"/>
      <c r="C92655"/>
      <c r="E92655"/>
      <c r="F92655"/>
    </row>
    <row r="92656" spans="1:6" x14ac:dyDescent="0.25">
      <c r="A92656"/>
      <c r="B92656"/>
      <c r="C92656"/>
      <c r="E92656"/>
      <c r="F92656"/>
    </row>
    <row r="92657" spans="1:6" x14ac:dyDescent="0.25">
      <c r="A92657"/>
      <c r="B92657"/>
      <c r="C92657"/>
      <c r="E92657"/>
      <c r="F92657"/>
    </row>
    <row r="92658" spans="1:6" x14ac:dyDescent="0.25">
      <c r="A92658"/>
      <c r="B92658"/>
      <c r="C92658"/>
      <c r="E92658"/>
      <c r="F92658"/>
    </row>
    <row r="92659" spans="1:6" x14ac:dyDescent="0.25">
      <c r="A92659"/>
      <c r="B92659"/>
      <c r="C92659"/>
      <c r="E92659"/>
      <c r="F92659"/>
    </row>
    <row r="92660" spans="1:6" x14ac:dyDescent="0.25">
      <c r="A92660"/>
      <c r="B92660"/>
      <c r="C92660"/>
      <c r="E92660"/>
      <c r="F92660"/>
    </row>
    <row r="92661" spans="1:6" x14ac:dyDescent="0.25">
      <c r="A92661"/>
      <c r="B92661"/>
      <c r="C92661"/>
      <c r="E92661"/>
      <c r="F92661"/>
    </row>
    <row r="92662" spans="1:6" x14ac:dyDescent="0.25">
      <c r="A92662"/>
      <c r="B92662"/>
      <c r="C92662"/>
      <c r="E92662"/>
      <c r="F92662"/>
    </row>
    <row r="92663" spans="1:6" x14ac:dyDescent="0.25">
      <c r="A92663"/>
      <c r="B92663"/>
      <c r="C92663"/>
      <c r="E92663"/>
      <c r="F92663"/>
    </row>
    <row r="92664" spans="1:6" x14ac:dyDescent="0.25">
      <c r="A92664"/>
      <c r="B92664"/>
      <c r="C92664"/>
      <c r="E92664"/>
      <c r="F92664"/>
    </row>
    <row r="92665" spans="1:6" x14ac:dyDescent="0.25">
      <c r="A92665"/>
      <c r="B92665"/>
      <c r="C92665"/>
      <c r="E92665"/>
      <c r="F92665"/>
    </row>
    <row r="92666" spans="1:6" x14ac:dyDescent="0.25">
      <c r="A92666"/>
      <c r="B92666"/>
      <c r="C92666"/>
      <c r="E92666"/>
      <c r="F92666"/>
    </row>
    <row r="92667" spans="1:6" x14ac:dyDescent="0.25">
      <c r="A92667"/>
      <c r="B92667"/>
      <c r="C92667"/>
      <c r="E92667"/>
      <c r="F92667"/>
    </row>
    <row r="92668" spans="1:6" x14ac:dyDescent="0.25">
      <c r="A92668"/>
      <c r="B92668"/>
      <c r="C92668"/>
      <c r="E92668"/>
      <c r="F92668"/>
    </row>
    <row r="92669" spans="1:6" x14ac:dyDescent="0.25">
      <c r="A92669"/>
      <c r="B92669"/>
      <c r="C92669"/>
      <c r="E92669"/>
      <c r="F92669"/>
    </row>
    <row r="92670" spans="1:6" x14ac:dyDescent="0.25">
      <c r="A92670"/>
      <c r="B92670"/>
      <c r="C92670"/>
      <c r="E92670"/>
      <c r="F92670"/>
    </row>
    <row r="92671" spans="1:6" x14ac:dyDescent="0.25">
      <c r="A92671"/>
      <c r="B92671"/>
      <c r="C92671"/>
      <c r="E92671"/>
      <c r="F92671"/>
    </row>
    <row r="92672" spans="1:6" x14ac:dyDescent="0.25">
      <c r="A92672"/>
      <c r="B92672"/>
      <c r="C92672"/>
      <c r="E92672"/>
      <c r="F92672"/>
    </row>
    <row r="92673" spans="1:6" x14ac:dyDescent="0.25">
      <c r="A92673"/>
      <c r="B92673"/>
      <c r="C92673"/>
      <c r="E92673"/>
      <c r="F92673"/>
    </row>
    <row r="92674" spans="1:6" x14ac:dyDescent="0.25">
      <c r="A92674"/>
      <c r="B92674"/>
      <c r="C92674"/>
      <c r="E92674"/>
      <c r="F92674"/>
    </row>
    <row r="92675" spans="1:6" x14ac:dyDescent="0.25">
      <c r="A92675"/>
      <c r="B92675"/>
      <c r="C92675"/>
      <c r="E92675"/>
      <c r="F92675"/>
    </row>
    <row r="92676" spans="1:6" x14ac:dyDescent="0.25">
      <c r="A92676"/>
      <c r="B92676"/>
      <c r="C92676"/>
      <c r="E92676"/>
      <c r="F92676"/>
    </row>
    <row r="92677" spans="1:6" x14ac:dyDescent="0.25">
      <c r="A92677"/>
      <c r="B92677"/>
      <c r="C92677"/>
      <c r="E92677"/>
      <c r="F92677"/>
    </row>
    <row r="92678" spans="1:6" x14ac:dyDescent="0.25">
      <c r="A92678"/>
      <c r="B92678"/>
      <c r="C92678"/>
      <c r="E92678"/>
      <c r="F92678"/>
    </row>
    <row r="92679" spans="1:6" x14ac:dyDescent="0.25">
      <c r="A92679"/>
      <c r="B92679"/>
      <c r="C92679"/>
      <c r="E92679"/>
      <c r="F92679"/>
    </row>
    <row r="92680" spans="1:6" x14ac:dyDescent="0.25">
      <c r="A92680"/>
      <c r="B92680"/>
      <c r="C92680"/>
      <c r="E92680"/>
      <c r="F92680"/>
    </row>
    <row r="92681" spans="1:6" x14ac:dyDescent="0.25">
      <c r="A92681"/>
      <c r="B92681"/>
      <c r="C92681"/>
      <c r="E92681"/>
      <c r="F92681"/>
    </row>
    <row r="92682" spans="1:6" x14ac:dyDescent="0.25">
      <c r="A92682"/>
      <c r="B92682"/>
      <c r="C92682"/>
      <c r="E92682"/>
      <c r="F92682"/>
    </row>
    <row r="92683" spans="1:6" x14ac:dyDescent="0.25">
      <c r="A92683"/>
      <c r="B92683"/>
      <c r="C92683"/>
      <c r="E92683"/>
      <c r="F92683"/>
    </row>
    <row r="92684" spans="1:6" x14ac:dyDescent="0.25">
      <c r="A92684"/>
      <c r="B92684"/>
      <c r="C92684"/>
      <c r="E92684"/>
      <c r="F92684"/>
    </row>
    <row r="92685" spans="1:6" x14ac:dyDescent="0.25">
      <c r="A92685"/>
      <c r="B92685"/>
      <c r="C92685"/>
      <c r="E92685"/>
      <c r="F92685"/>
    </row>
    <row r="92686" spans="1:6" x14ac:dyDescent="0.25">
      <c r="A92686"/>
      <c r="B92686"/>
      <c r="C92686"/>
      <c r="E92686"/>
      <c r="F92686"/>
    </row>
    <row r="92687" spans="1:6" x14ac:dyDescent="0.25">
      <c r="A92687"/>
      <c r="B92687"/>
      <c r="C92687"/>
      <c r="E92687"/>
      <c r="F92687"/>
    </row>
    <row r="92688" spans="1:6" x14ac:dyDescent="0.25">
      <c r="A92688"/>
      <c r="B92688"/>
      <c r="C92688"/>
      <c r="E92688"/>
      <c r="F92688"/>
    </row>
    <row r="92689" spans="1:6" x14ac:dyDescent="0.25">
      <c r="A92689"/>
      <c r="B92689"/>
      <c r="C92689"/>
      <c r="E92689"/>
      <c r="F92689"/>
    </row>
    <row r="92690" spans="1:6" x14ac:dyDescent="0.25">
      <c r="A92690"/>
      <c r="B92690"/>
      <c r="C92690"/>
      <c r="E92690"/>
      <c r="F92690"/>
    </row>
    <row r="92691" spans="1:6" x14ac:dyDescent="0.25">
      <c r="A92691"/>
      <c r="B92691"/>
      <c r="C92691"/>
      <c r="E92691"/>
      <c r="F92691"/>
    </row>
    <row r="92692" spans="1:6" x14ac:dyDescent="0.25">
      <c r="A92692"/>
      <c r="B92692"/>
      <c r="C92692"/>
      <c r="E92692"/>
      <c r="F92692"/>
    </row>
    <row r="92693" spans="1:6" x14ac:dyDescent="0.25">
      <c r="A92693"/>
      <c r="B92693"/>
      <c r="C92693"/>
      <c r="E92693"/>
      <c r="F92693"/>
    </row>
    <row r="92694" spans="1:6" x14ac:dyDescent="0.25">
      <c r="A92694"/>
      <c r="B92694"/>
      <c r="C92694"/>
      <c r="E92694"/>
      <c r="F92694"/>
    </row>
    <row r="92695" spans="1:6" x14ac:dyDescent="0.25">
      <c r="A92695"/>
      <c r="B92695"/>
      <c r="C92695"/>
      <c r="E92695"/>
      <c r="F92695"/>
    </row>
    <row r="92696" spans="1:6" x14ac:dyDescent="0.25">
      <c r="A92696"/>
      <c r="B92696"/>
      <c r="C92696"/>
      <c r="E92696"/>
      <c r="F92696"/>
    </row>
    <row r="92697" spans="1:6" x14ac:dyDescent="0.25">
      <c r="A92697"/>
      <c r="B92697"/>
      <c r="C92697"/>
      <c r="E92697"/>
      <c r="F92697"/>
    </row>
    <row r="92698" spans="1:6" x14ac:dyDescent="0.25">
      <c r="A92698"/>
      <c r="B92698"/>
      <c r="C92698"/>
      <c r="E92698"/>
      <c r="F92698"/>
    </row>
    <row r="92699" spans="1:6" x14ac:dyDescent="0.25">
      <c r="A92699"/>
      <c r="B92699"/>
      <c r="C92699"/>
      <c r="E92699"/>
      <c r="F92699"/>
    </row>
    <row r="92700" spans="1:6" x14ac:dyDescent="0.25">
      <c r="A92700"/>
      <c r="B92700"/>
      <c r="C92700"/>
      <c r="E92700"/>
      <c r="F92700"/>
    </row>
    <row r="92701" spans="1:6" x14ac:dyDescent="0.25">
      <c r="A92701"/>
      <c r="B92701"/>
      <c r="C92701"/>
      <c r="E92701"/>
      <c r="F92701"/>
    </row>
    <row r="92702" spans="1:6" x14ac:dyDescent="0.25">
      <c r="A92702"/>
      <c r="B92702"/>
      <c r="C92702"/>
      <c r="E92702"/>
      <c r="F92702"/>
    </row>
    <row r="92703" spans="1:6" x14ac:dyDescent="0.25">
      <c r="A92703"/>
      <c r="B92703"/>
      <c r="C92703"/>
      <c r="E92703"/>
      <c r="F92703"/>
    </row>
    <row r="92704" spans="1:6" x14ac:dyDescent="0.25">
      <c r="A92704"/>
      <c r="B92704"/>
      <c r="C92704"/>
      <c r="E92704"/>
      <c r="F92704"/>
    </row>
    <row r="92705" spans="1:6" x14ac:dyDescent="0.25">
      <c r="A92705"/>
      <c r="B92705"/>
      <c r="C92705"/>
      <c r="E92705"/>
      <c r="F92705"/>
    </row>
    <row r="92706" spans="1:6" x14ac:dyDescent="0.25">
      <c r="A92706"/>
      <c r="B92706"/>
      <c r="C92706"/>
      <c r="E92706"/>
      <c r="F92706"/>
    </row>
    <row r="92707" spans="1:6" x14ac:dyDescent="0.25">
      <c r="A92707"/>
      <c r="B92707"/>
      <c r="C92707"/>
      <c r="E92707"/>
      <c r="F92707"/>
    </row>
    <row r="92708" spans="1:6" x14ac:dyDescent="0.25">
      <c r="A92708"/>
      <c r="B92708"/>
      <c r="C92708"/>
      <c r="E92708"/>
      <c r="F92708"/>
    </row>
    <row r="92709" spans="1:6" x14ac:dyDescent="0.25">
      <c r="A92709"/>
      <c r="B92709"/>
      <c r="C92709"/>
      <c r="E92709"/>
      <c r="F92709"/>
    </row>
    <row r="92710" spans="1:6" x14ac:dyDescent="0.25">
      <c r="A92710"/>
      <c r="B92710"/>
      <c r="C92710"/>
      <c r="E92710"/>
      <c r="F92710"/>
    </row>
    <row r="92711" spans="1:6" x14ac:dyDescent="0.25">
      <c r="A92711"/>
      <c r="B92711"/>
      <c r="C92711"/>
      <c r="E92711"/>
      <c r="F92711"/>
    </row>
    <row r="92712" spans="1:6" x14ac:dyDescent="0.25">
      <c r="A92712"/>
      <c r="B92712"/>
      <c r="C92712"/>
      <c r="E92712"/>
      <c r="F92712"/>
    </row>
    <row r="92713" spans="1:6" x14ac:dyDescent="0.25">
      <c r="A92713"/>
      <c r="B92713"/>
      <c r="C92713"/>
      <c r="E92713"/>
      <c r="F92713"/>
    </row>
    <row r="92714" spans="1:6" x14ac:dyDescent="0.25">
      <c r="A92714"/>
      <c r="B92714"/>
      <c r="C92714"/>
      <c r="E92714"/>
      <c r="F92714"/>
    </row>
    <row r="92715" spans="1:6" x14ac:dyDescent="0.25">
      <c r="A92715"/>
      <c r="B92715"/>
      <c r="C92715"/>
      <c r="E92715"/>
      <c r="F92715"/>
    </row>
    <row r="92716" spans="1:6" x14ac:dyDescent="0.25">
      <c r="A92716"/>
      <c r="B92716"/>
      <c r="C92716"/>
      <c r="E92716"/>
      <c r="F92716"/>
    </row>
    <row r="92717" spans="1:6" x14ac:dyDescent="0.25">
      <c r="A92717"/>
      <c r="B92717"/>
      <c r="C92717"/>
      <c r="E92717"/>
      <c r="F92717"/>
    </row>
    <row r="92718" spans="1:6" x14ac:dyDescent="0.25">
      <c r="A92718"/>
      <c r="B92718"/>
      <c r="C92718"/>
      <c r="E92718"/>
      <c r="F92718"/>
    </row>
    <row r="92719" spans="1:6" x14ac:dyDescent="0.25">
      <c r="A92719"/>
      <c r="B92719"/>
      <c r="C92719"/>
      <c r="E92719"/>
      <c r="F92719"/>
    </row>
    <row r="92720" spans="1:6" x14ac:dyDescent="0.25">
      <c r="A92720"/>
      <c r="B92720"/>
      <c r="C92720"/>
      <c r="E92720"/>
      <c r="F92720"/>
    </row>
    <row r="92721" spans="1:6" x14ac:dyDescent="0.25">
      <c r="A92721"/>
      <c r="B92721"/>
      <c r="C92721"/>
      <c r="E92721"/>
      <c r="F92721"/>
    </row>
    <row r="92722" spans="1:6" x14ac:dyDescent="0.25">
      <c r="A92722"/>
      <c r="B92722"/>
      <c r="C92722"/>
      <c r="E92722"/>
      <c r="F92722"/>
    </row>
    <row r="92723" spans="1:6" x14ac:dyDescent="0.25">
      <c r="A92723"/>
      <c r="B92723"/>
      <c r="C92723"/>
      <c r="E92723"/>
      <c r="F92723"/>
    </row>
    <row r="92724" spans="1:6" x14ac:dyDescent="0.25">
      <c r="A92724"/>
      <c r="B92724"/>
      <c r="C92724"/>
      <c r="E92724"/>
      <c r="F92724"/>
    </row>
    <row r="92725" spans="1:6" x14ac:dyDescent="0.25">
      <c r="A92725"/>
      <c r="B92725"/>
      <c r="C92725"/>
      <c r="E92725"/>
      <c r="F92725"/>
    </row>
    <row r="92726" spans="1:6" x14ac:dyDescent="0.25">
      <c r="A92726"/>
      <c r="B92726"/>
      <c r="C92726"/>
      <c r="E92726"/>
      <c r="F92726"/>
    </row>
    <row r="92727" spans="1:6" x14ac:dyDescent="0.25">
      <c r="A92727"/>
      <c r="B92727"/>
      <c r="C92727"/>
      <c r="E92727"/>
      <c r="F92727"/>
    </row>
    <row r="92728" spans="1:6" x14ac:dyDescent="0.25">
      <c r="A92728"/>
      <c r="B92728"/>
      <c r="C92728"/>
      <c r="E92728"/>
      <c r="F92728"/>
    </row>
    <row r="92729" spans="1:6" x14ac:dyDescent="0.25">
      <c r="A92729"/>
      <c r="B92729"/>
      <c r="C92729"/>
      <c r="E92729"/>
      <c r="F92729"/>
    </row>
    <row r="92730" spans="1:6" x14ac:dyDescent="0.25">
      <c r="A92730"/>
      <c r="B92730"/>
      <c r="C92730"/>
      <c r="E92730"/>
      <c r="F92730"/>
    </row>
    <row r="92731" spans="1:6" x14ac:dyDescent="0.25">
      <c r="A92731"/>
      <c r="B92731"/>
      <c r="C92731"/>
      <c r="E92731"/>
      <c r="F92731"/>
    </row>
    <row r="92732" spans="1:6" x14ac:dyDescent="0.25">
      <c r="A92732"/>
      <c r="B92732"/>
      <c r="C92732"/>
      <c r="E92732"/>
      <c r="F92732"/>
    </row>
    <row r="92733" spans="1:6" x14ac:dyDescent="0.25">
      <c r="A92733"/>
      <c r="B92733"/>
      <c r="C92733"/>
      <c r="E92733"/>
      <c r="F92733"/>
    </row>
    <row r="92734" spans="1:6" x14ac:dyDescent="0.25">
      <c r="A92734"/>
      <c r="B92734"/>
      <c r="C92734"/>
      <c r="E92734"/>
      <c r="F92734"/>
    </row>
    <row r="92735" spans="1:6" x14ac:dyDescent="0.25">
      <c r="A92735"/>
      <c r="B92735"/>
      <c r="C92735"/>
      <c r="E92735"/>
      <c r="F92735"/>
    </row>
    <row r="92736" spans="1:6" x14ac:dyDescent="0.25">
      <c r="A92736"/>
      <c r="B92736"/>
      <c r="C92736"/>
      <c r="E92736"/>
      <c r="F92736"/>
    </row>
    <row r="92737" spans="1:6" x14ac:dyDescent="0.25">
      <c r="A92737"/>
      <c r="B92737"/>
      <c r="C92737"/>
      <c r="E92737"/>
      <c r="F92737"/>
    </row>
    <row r="92738" spans="1:6" x14ac:dyDescent="0.25">
      <c r="A92738"/>
      <c r="B92738"/>
      <c r="C92738"/>
      <c r="E92738"/>
      <c r="F92738"/>
    </row>
    <row r="92739" spans="1:6" x14ac:dyDescent="0.25">
      <c r="A92739"/>
      <c r="B92739"/>
      <c r="C92739"/>
      <c r="E92739"/>
      <c r="F92739"/>
    </row>
    <row r="92740" spans="1:6" x14ac:dyDescent="0.25">
      <c r="A92740"/>
      <c r="B92740"/>
      <c r="C92740"/>
      <c r="E92740"/>
      <c r="F92740"/>
    </row>
    <row r="92741" spans="1:6" x14ac:dyDescent="0.25">
      <c r="A92741"/>
      <c r="B92741"/>
      <c r="C92741"/>
      <c r="E92741"/>
      <c r="F92741"/>
    </row>
    <row r="92742" spans="1:6" x14ac:dyDescent="0.25">
      <c r="A92742"/>
      <c r="B92742"/>
      <c r="C92742"/>
      <c r="E92742"/>
      <c r="F92742"/>
    </row>
    <row r="92743" spans="1:6" x14ac:dyDescent="0.25">
      <c r="A92743"/>
      <c r="B92743"/>
      <c r="C92743"/>
      <c r="E92743"/>
      <c r="F92743"/>
    </row>
    <row r="92744" spans="1:6" x14ac:dyDescent="0.25">
      <c r="A92744"/>
      <c r="B92744"/>
      <c r="C92744"/>
      <c r="E92744"/>
      <c r="F92744"/>
    </row>
    <row r="92745" spans="1:6" x14ac:dyDescent="0.25">
      <c r="A92745"/>
      <c r="B92745"/>
      <c r="C92745"/>
      <c r="E92745"/>
      <c r="F92745"/>
    </row>
    <row r="92746" spans="1:6" x14ac:dyDescent="0.25">
      <c r="A92746"/>
      <c r="B92746"/>
      <c r="C92746"/>
      <c r="E92746"/>
      <c r="F92746"/>
    </row>
    <row r="92747" spans="1:6" x14ac:dyDescent="0.25">
      <c r="A92747"/>
      <c r="B92747"/>
      <c r="C92747"/>
      <c r="E92747"/>
      <c r="F92747"/>
    </row>
    <row r="92748" spans="1:6" x14ac:dyDescent="0.25">
      <c r="A92748"/>
      <c r="B92748"/>
      <c r="C92748"/>
      <c r="E92748"/>
      <c r="F92748"/>
    </row>
    <row r="92749" spans="1:6" x14ac:dyDescent="0.25">
      <c r="A92749"/>
      <c r="B92749"/>
      <c r="C92749"/>
      <c r="E92749"/>
      <c r="F92749"/>
    </row>
    <row r="92750" spans="1:6" x14ac:dyDescent="0.25">
      <c r="A92750"/>
      <c r="B92750"/>
      <c r="C92750"/>
      <c r="E92750"/>
      <c r="F92750"/>
    </row>
    <row r="92751" spans="1:6" x14ac:dyDescent="0.25">
      <c r="A92751"/>
      <c r="B92751"/>
      <c r="C92751"/>
      <c r="E92751"/>
      <c r="F92751"/>
    </row>
    <row r="92752" spans="1:6" x14ac:dyDescent="0.25">
      <c r="A92752"/>
      <c r="B92752"/>
      <c r="C92752"/>
      <c r="E92752"/>
      <c r="F92752"/>
    </row>
    <row r="92753" spans="1:6" x14ac:dyDescent="0.25">
      <c r="A92753"/>
      <c r="B92753"/>
      <c r="C92753"/>
      <c r="E92753"/>
      <c r="F92753"/>
    </row>
    <row r="92754" spans="1:6" x14ac:dyDescent="0.25">
      <c r="A92754"/>
      <c r="B92754"/>
      <c r="C92754"/>
      <c r="E92754"/>
      <c r="F92754"/>
    </row>
    <row r="92755" spans="1:6" x14ac:dyDescent="0.25">
      <c r="A92755"/>
      <c r="B92755"/>
      <c r="C92755"/>
      <c r="E92755"/>
      <c r="F92755"/>
    </row>
    <row r="92756" spans="1:6" x14ac:dyDescent="0.25">
      <c r="A92756"/>
      <c r="B92756"/>
      <c r="C92756"/>
      <c r="E92756"/>
      <c r="F92756"/>
    </row>
    <row r="92757" spans="1:6" x14ac:dyDescent="0.25">
      <c r="A92757"/>
      <c r="B92757"/>
      <c r="C92757"/>
      <c r="E92757"/>
      <c r="F92757"/>
    </row>
    <row r="92758" spans="1:6" x14ac:dyDescent="0.25">
      <c r="A92758"/>
      <c r="B92758"/>
      <c r="C92758"/>
      <c r="E92758"/>
      <c r="F92758"/>
    </row>
    <row r="92759" spans="1:6" x14ac:dyDescent="0.25">
      <c r="A92759"/>
      <c r="B92759"/>
      <c r="C92759"/>
      <c r="E92759"/>
      <c r="F92759"/>
    </row>
    <row r="92760" spans="1:6" x14ac:dyDescent="0.25">
      <c r="A92760"/>
      <c r="B92760"/>
      <c r="C92760"/>
      <c r="E92760"/>
      <c r="F92760"/>
    </row>
    <row r="92761" spans="1:6" x14ac:dyDescent="0.25">
      <c r="A92761"/>
      <c r="B92761"/>
      <c r="C92761"/>
      <c r="E92761"/>
      <c r="F92761"/>
    </row>
    <row r="92762" spans="1:6" x14ac:dyDescent="0.25">
      <c r="A92762"/>
      <c r="B92762"/>
      <c r="C92762"/>
      <c r="E92762"/>
      <c r="F92762"/>
    </row>
    <row r="92763" spans="1:6" x14ac:dyDescent="0.25">
      <c r="A92763"/>
      <c r="B92763"/>
      <c r="C92763"/>
      <c r="E92763"/>
      <c r="F92763"/>
    </row>
    <row r="92764" spans="1:6" x14ac:dyDescent="0.25">
      <c r="A92764"/>
      <c r="B92764"/>
      <c r="C92764"/>
      <c r="E92764"/>
      <c r="F92764"/>
    </row>
    <row r="92765" spans="1:6" x14ac:dyDescent="0.25">
      <c r="A92765"/>
      <c r="B92765"/>
      <c r="C92765"/>
      <c r="E92765"/>
      <c r="F92765"/>
    </row>
    <row r="92766" spans="1:6" x14ac:dyDescent="0.25">
      <c r="A92766"/>
      <c r="B92766"/>
      <c r="C92766"/>
      <c r="E92766"/>
      <c r="F92766"/>
    </row>
    <row r="92767" spans="1:6" x14ac:dyDescent="0.25">
      <c r="A92767"/>
      <c r="B92767"/>
      <c r="C92767"/>
      <c r="E92767"/>
      <c r="F92767"/>
    </row>
    <row r="92768" spans="1:6" x14ac:dyDescent="0.25">
      <c r="A92768"/>
      <c r="B92768"/>
      <c r="C92768"/>
      <c r="E92768"/>
      <c r="F92768"/>
    </row>
    <row r="92769" spans="1:6" x14ac:dyDescent="0.25">
      <c r="A92769"/>
      <c r="B92769"/>
      <c r="C92769"/>
      <c r="E92769"/>
      <c r="F92769"/>
    </row>
    <row r="92770" spans="1:6" x14ac:dyDescent="0.25">
      <c r="A92770"/>
      <c r="B92770"/>
      <c r="C92770"/>
      <c r="E92770"/>
      <c r="F92770"/>
    </row>
    <row r="92771" spans="1:6" x14ac:dyDescent="0.25">
      <c r="A92771"/>
      <c r="B92771"/>
      <c r="C92771"/>
      <c r="E92771"/>
      <c r="F92771"/>
    </row>
    <row r="92772" spans="1:6" x14ac:dyDescent="0.25">
      <c r="A92772"/>
      <c r="B92772"/>
      <c r="C92772"/>
      <c r="E92772"/>
      <c r="F92772"/>
    </row>
    <row r="92773" spans="1:6" x14ac:dyDescent="0.25">
      <c r="A92773"/>
      <c r="B92773"/>
      <c r="C92773"/>
      <c r="E92773"/>
      <c r="F92773"/>
    </row>
    <row r="92774" spans="1:6" x14ac:dyDescent="0.25">
      <c r="A92774"/>
      <c r="B92774"/>
      <c r="C92774"/>
      <c r="E92774"/>
      <c r="F92774"/>
    </row>
    <row r="92775" spans="1:6" x14ac:dyDescent="0.25">
      <c r="A92775"/>
      <c r="B92775"/>
      <c r="C92775"/>
      <c r="E92775"/>
      <c r="F92775"/>
    </row>
    <row r="92776" spans="1:6" x14ac:dyDescent="0.25">
      <c r="A92776"/>
      <c r="B92776"/>
      <c r="C92776"/>
      <c r="E92776"/>
      <c r="F92776"/>
    </row>
    <row r="92777" spans="1:6" x14ac:dyDescent="0.25">
      <c r="A92777"/>
      <c r="B92777"/>
      <c r="C92777"/>
      <c r="E92777"/>
      <c r="F92777"/>
    </row>
    <row r="92778" spans="1:6" x14ac:dyDescent="0.25">
      <c r="A92778"/>
      <c r="B92778"/>
      <c r="C92778"/>
      <c r="E92778"/>
      <c r="F92778"/>
    </row>
    <row r="92779" spans="1:6" x14ac:dyDescent="0.25">
      <c r="A92779"/>
      <c r="B92779"/>
      <c r="C92779"/>
      <c r="E92779"/>
      <c r="F92779"/>
    </row>
    <row r="92780" spans="1:6" x14ac:dyDescent="0.25">
      <c r="A92780"/>
      <c r="B92780"/>
      <c r="C92780"/>
      <c r="E92780"/>
      <c r="F92780"/>
    </row>
    <row r="92781" spans="1:6" x14ac:dyDescent="0.25">
      <c r="A92781"/>
      <c r="B92781"/>
      <c r="C92781"/>
      <c r="E92781"/>
      <c r="F92781"/>
    </row>
    <row r="92782" spans="1:6" x14ac:dyDescent="0.25">
      <c r="A92782"/>
      <c r="B92782"/>
      <c r="C92782"/>
      <c r="E92782"/>
      <c r="F92782"/>
    </row>
    <row r="92783" spans="1:6" x14ac:dyDescent="0.25">
      <c r="A92783"/>
      <c r="B92783"/>
      <c r="C92783"/>
      <c r="E92783"/>
      <c r="F92783"/>
    </row>
    <row r="92784" spans="1:6" x14ac:dyDescent="0.25">
      <c r="A92784"/>
      <c r="B92784"/>
      <c r="C92784"/>
      <c r="E92784"/>
      <c r="F92784"/>
    </row>
    <row r="92785" spans="1:6" x14ac:dyDescent="0.25">
      <c r="A92785"/>
      <c r="B92785"/>
      <c r="C92785"/>
      <c r="E92785"/>
      <c r="F92785"/>
    </row>
    <row r="92786" spans="1:6" x14ac:dyDescent="0.25">
      <c r="A92786"/>
      <c r="B92786"/>
      <c r="C92786"/>
      <c r="E92786"/>
      <c r="F92786"/>
    </row>
    <row r="92787" spans="1:6" x14ac:dyDescent="0.25">
      <c r="A92787"/>
      <c r="B92787"/>
      <c r="C92787"/>
      <c r="E92787"/>
      <c r="F92787"/>
    </row>
    <row r="92788" spans="1:6" x14ac:dyDescent="0.25">
      <c r="A92788"/>
      <c r="B92788"/>
      <c r="C92788"/>
      <c r="E92788"/>
      <c r="F92788"/>
    </row>
    <row r="92789" spans="1:6" x14ac:dyDescent="0.25">
      <c r="A92789"/>
      <c r="B92789"/>
      <c r="C92789"/>
      <c r="E92789"/>
      <c r="F92789"/>
    </row>
    <row r="92790" spans="1:6" x14ac:dyDescent="0.25">
      <c r="A92790"/>
      <c r="B92790"/>
      <c r="C92790"/>
      <c r="E92790"/>
      <c r="F92790"/>
    </row>
    <row r="92791" spans="1:6" x14ac:dyDescent="0.25">
      <c r="A92791"/>
      <c r="B92791"/>
      <c r="C92791"/>
      <c r="E92791"/>
      <c r="F92791"/>
    </row>
    <row r="92792" spans="1:6" x14ac:dyDescent="0.25">
      <c r="A92792"/>
      <c r="B92792"/>
      <c r="C92792"/>
      <c r="E92792"/>
      <c r="F92792"/>
    </row>
    <row r="92793" spans="1:6" x14ac:dyDescent="0.25">
      <c r="A92793"/>
      <c r="B92793"/>
      <c r="C92793"/>
      <c r="E92793"/>
      <c r="F92793"/>
    </row>
    <row r="92794" spans="1:6" x14ac:dyDescent="0.25">
      <c r="A92794"/>
      <c r="B92794"/>
      <c r="C92794"/>
      <c r="E92794"/>
      <c r="F92794"/>
    </row>
    <row r="92795" spans="1:6" x14ac:dyDescent="0.25">
      <c r="A92795"/>
      <c r="B92795"/>
      <c r="C92795"/>
      <c r="E92795"/>
      <c r="F92795"/>
    </row>
    <row r="92796" spans="1:6" x14ac:dyDescent="0.25">
      <c r="A92796"/>
      <c r="B92796"/>
      <c r="C92796"/>
      <c r="E92796"/>
      <c r="F92796"/>
    </row>
    <row r="92797" spans="1:6" x14ac:dyDescent="0.25">
      <c r="A92797"/>
      <c r="B92797"/>
      <c r="C92797"/>
      <c r="E92797"/>
      <c r="F92797"/>
    </row>
    <row r="92798" spans="1:6" x14ac:dyDescent="0.25">
      <c r="A92798"/>
      <c r="B92798"/>
      <c r="C92798"/>
      <c r="E92798"/>
      <c r="F92798"/>
    </row>
    <row r="92799" spans="1:6" x14ac:dyDescent="0.25">
      <c r="A92799"/>
      <c r="B92799"/>
      <c r="C92799"/>
      <c r="E92799"/>
      <c r="F92799"/>
    </row>
    <row r="92800" spans="1:6" x14ac:dyDescent="0.25">
      <c r="A92800"/>
      <c r="B92800"/>
      <c r="C92800"/>
      <c r="E92800"/>
      <c r="F92800"/>
    </row>
    <row r="92801" spans="1:6" x14ac:dyDescent="0.25">
      <c r="A92801"/>
      <c r="B92801"/>
      <c r="C92801"/>
      <c r="E92801"/>
      <c r="F92801"/>
    </row>
    <row r="92802" spans="1:6" x14ac:dyDescent="0.25">
      <c r="A92802"/>
      <c r="B92802"/>
      <c r="C92802"/>
      <c r="E92802"/>
      <c r="F92802"/>
    </row>
    <row r="92803" spans="1:6" x14ac:dyDescent="0.25">
      <c r="A92803"/>
      <c r="B92803"/>
      <c r="C92803"/>
      <c r="E92803"/>
      <c r="F92803"/>
    </row>
    <row r="92804" spans="1:6" x14ac:dyDescent="0.25">
      <c r="A92804"/>
      <c r="B92804"/>
      <c r="C92804"/>
      <c r="E92804"/>
      <c r="F92804"/>
    </row>
    <row r="92805" spans="1:6" x14ac:dyDescent="0.25">
      <c r="A92805"/>
      <c r="B92805"/>
      <c r="C92805"/>
      <c r="E92805"/>
      <c r="F92805"/>
    </row>
    <row r="92806" spans="1:6" x14ac:dyDescent="0.25">
      <c r="A92806"/>
      <c r="B92806"/>
      <c r="C92806"/>
      <c r="E92806"/>
      <c r="F92806"/>
    </row>
    <row r="92807" spans="1:6" x14ac:dyDescent="0.25">
      <c r="A92807"/>
      <c r="B92807"/>
      <c r="C92807"/>
      <c r="E92807"/>
      <c r="F92807"/>
    </row>
    <row r="92808" spans="1:6" x14ac:dyDescent="0.25">
      <c r="A92808"/>
      <c r="B92808"/>
      <c r="C92808"/>
      <c r="E92808"/>
      <c r="F92808"/>
    </row>
    <row r="92809" spans="1:6" x14ac:dyDescent="0.25">
      <c r="A92809"/>
      <c r="B92809"/>
      <c r="C92809"/>
      <c r="E92809"/>
      <c r="F92809"/>
    </row>
    <row r="92810" spans="1:6" x14ac:dyDescent="0.25">
      <c r="A92810"/>
      <c r="B92810"/>
      <c r="C92810"/>
      <c r="E92810"/>
      <c r="F92810"/>
    </row>
    <row r="92811" spans="1:6" x14ac:dyDescent="0.25">
      <c r="A92811"/>
      <c r="B92811"/>
      <c r="C92811"/>
      <c r="E92811"/>
      <c r="F92811"/>
    </row>
    <row r="92812" spans="1:6" x14ac:dyDescent="0.25">
      <c r="A92812"/>
      <c r="B92812"/>
      <c r="C92812"/>
      <c r="E92812"/>
      <c r="F92812"/>
    </row>
    <row r="92813" spans="1:6" x14ac:dyDescent="0.25">
      <c r="A92813"/>
      <c r="B92813"/>
      <c r="C92813"/>
      <c r="E92813"/>
      <c r="F92813"/>
    </row>
    <row r="92814" spans="1:6" x14ac:dyDescent="0.25">
      <c r="A92814"/>
      <c r="B92814"/>
      <c r="C92814"/>
      <c r="E92814"/>
      <c r="F92814"/>
    </row>
    <row r="92815" spans="1:6" x14ac:dyDescent="0.25">
      <c r="A92815"/>
      <c r="B92815"/>
      <c r="C92815"/>
      <c r="E92815"/>
      <c r="F92815"/>
    </row>
    <row r="92816" spans="1:6" x14ac:dyDescent="0.25">
      <c r="A92816"/>
      <c r="B92816"/>
      <c r="C92816"/>
      <c r="E92816"/>
      <c r="F92816"/>
    </row>
    <row r="92817" spans="1:6" x14ac:dyDescent="0.25">
      <c r="A92817"/>
      <c r="B92817"/>
      <c r="C92817"/>
      <c r="E92817"/>
      <c r="F92817"/>
    </row>
    <row r="92818" spans="1:6" x14ac:dyDescent="0.25">
      <c r="A92818"/>
      <c r="B92818"/>
      <c r="C92818"/>
      <c r="E92818"/>
      <c r="F92818"/>
    </row>
    <row r="92819" spans="1:6" x14ac:dyDescent="0.25">
      <c r="A92819"/>
      <c r="B92819"/>
      <c r="C92819"/>
      <c r="E92819"/>
      <c r="F92819"/>
    </row>
    <row r="92820" spans="1:6" x14ac:dyDescent="0.25">
      <c r="A92820"/>
      <c r="B92820"/>
      <c r="C92820"/>
      <c r="E92820"/>
      <c r="F92820"/>
    </row>
    <row r="92821" spans="1:6" x14ac:dyDescent="0.25">
      <c r="A92821"/>
      <c r="B92821"/>
      <c r="C92821"/>
      <c r="E92821"/>
      <c r="F92821"/>
    </row>
    <row r="92822" spans="1:6" x14ac:dyDescent="0.25">
      <c r="A92822"/>
      <c r="B92822"/>
      <c r="C92822"/>
      <c r="E92822"/>
      <c r="F92822"/>
    </row>
    <row r="92823" spans="1:6" x14ac:dyDescent="0.25">
      <c r="A92823"/>
      <c r="B92823"/>
      <c r="C92823"/>
      <c r="E92823"/>
      <c r="F92823"/>
    </row>
    <row r="92824" spans="1:6" x14ac:dyDescent="0.25">
      <c r="A92824"/>
      <c r="B92824"/>
      <c r="C92824"/>
      <c r="E92824"/>
      <c r="F92824"/>
    </row>
    <row r="92825" spans="1:6" x14ac:dyDescent="0.25">
      <c r="A92825"/>
      <c r="B92825"/>
      <c r="C92825"/>
      <c r="E92825"/>
      <c r="F92825"/>
    </row>
    <row r="92826" spans="1:6" x14ac:dyDescent="0.25">
      <c r="A92826"/>
      <c r="B92826"/>
      <c r="C92826"/>
      <c r="E92826"/>
      <c r="F92826"/>
    </row>
    <row r="92827" spans="1:6" x14ac:dyDescent="0.25">
      <c r="A92827"/>
      <c r="B92827"/>
      <c r="C92827"/>
      <c r="E92827"/>
      <c r="F92827"/>
    </row>
    <row r="92828" spans="1:6" x14ac:dyDescent="0.25">
      <c r="A92828"/>
      <c r="B92828"/>
      <c r="C92828"/>
      <c r="E92828"/>
      <c r="F92828"/>
    </row>
    <row r="92829" spans="1:6" x14ac:dyDescent="0.25">
      <c r="A92829"/>
      <c r="B92829"/>
      <c r="C92829"/>
      <c r="E92829"/>
      <c r="F92829"/>
    </row>
    <row r="92830" spans="1:6" x14ac:dyDescent="0.25">
      <c r="A92830"/>
      <c r="B92830"/>
      <c r="C92830"/>
      <c r="E92830"/>
      <c r="F92830"/>
    </row>
    <row r="92831" spans="1:6" x14ac:dyDescent="0.25">
      <c r="A92831"/>
      <c r="B92831"/>
      <c r="C92831"/>
      <c r="E92831"/>
      <c r="F92831"/>
    </row>
    <row r="92832" spans="1:6" x14ac:dyDescent="0.25">
      <c r="A92832"/>
      <c r="B92832"/>
      <c r="C92832"/>
      <c r="E92832"/>
      <c r="F92832"/>
    </row>
    <row r="92833" spans="1:6" x14ac:dyDescent="0.25">
      <c r="A92833"/>
      <c r="B92833"/>
      <c r="C92833"/>
      <c r="E92833"/>
      <c r="F92833"/>
    </row>
    <row r="92834" spans="1:6" x14ac:dyDescent="0.25">
      <c r="A92834"/>
      <c r="B92834"/>
      <c r="C92834"/>
      <c r="E92834"/>
      <c r="F92834"/>
    </row>
    <row r="92835" spans="1:6" x14ac:dyDescent="0.25">
      <c r="A92835"/>
      <c r="B92835"/>
      <c r="C92835"/>
      <c r="E92835"/>
      <c r="F92835"/>
    </row>
    <row r="92836" spans="1:6" x14ac:dyDescent="0.25">
      <c r="A92836"/>
      <c r="B92836"/>
      <c r="C92836"/>
      <c r="E92836"/>
      <c r="F92836"/>
    </row>
    <row r="92837" spans="1:6" x14ac:dyDescent="0.25">
      <c r="A92837"/>
      <c r="B92837"/>
      <c r="C92837"/>
      <c r="E92837"/>
      <c r="F92837"/>
    </row>
    <row r="92838" spans="1:6" x14ac:dyDescent="0.25">
      <c r="A92838"/>
      <c r="B92838"/>
      <c r="C92838"/>
      <c r="E92838"/>
      <c r="F92838"/>
    </row>
    <row r="92839" spans="1:6" x14ac:dyDescent="0.25">
      <c r="A92839"/>
      <c r="B92839"/>
      <c r="C92839"/>
      <c r="E92839"/>
      <c r="F92839"/>
    </row>
    <row r="92840" spans="1:6" x14ac:dyDescent="0.25">
      <c r="A92840"/>
      <c r="B92840"/>
      <c r="C92840"/>
      <c r="E92840"/>
      <c r="F92840"/>
    </row>
    <row r="92841" spans="1:6" x14ac:dyDescent="0.25">
      <c r="A92841"/>
      <c r="B92841"/>
      <c r="C92841"/>
      <c r="E92841"/>
      <c r="F92841"/>
    </row>
    <row r="92842" spans="1:6" x14ac:dyDescent="0.25">
      <c r="A92842"/>
      <c r="B92842"/>
      <c r="C92842"/>
      <c r="E92842"/>
      <c r="F92842"/>
    </row>
    <row r="92843" spans="1:6" x14ac:dyDescent="0.25">
      <c r="A92843"/>
      <c r="B92843"/>
      <c r="C92843"/>
      <c r="E92843"/>
      <c r="F92843"/>
    </row>
    <row r="92844" spans="1:6" x14ac:dyDescent="0.25">
      <c r="A92844"/>
      <c r="B92844"/>
      <c r="C92844"/>
      <c r="E92844"/>
      <c r="F92844"/>
    </row>
    <row r="92845" spans="1:6" x14ac:dyDescent="0.25">
      <c r="A92845"/>
      <c r="B92845"/>
      <c r="C92845"/>
      <c r="E92845"/>
      <c r="F92845"/>
    </row>
    <row r="92846" spans="1:6" x14ac:dyDescent="0.25">
      <c r="A92846"/>
      <c r="B92846"/>
      <c r="C92846"/>
      <c r="E92846"/>
      <c r="F92846"/>
    </row>
    <row r="92847" spans="1:6" x14ac:dyDescent="0.25">
      <c r="A92847"/>
      <c r="B92847"/>
      <c r="C92847"/>
      <c r="E92847"/>
      <c r="F92847"/>
    </row>
    <row r="92848" spans="1:6" x14ac:dyDescent="0.25">
      <c r="A92848"/>
      <c r="B92848"/>
      <c r="C92848"/>
      <c r="E92848"/>
      <c r="F92848"/>
    </row>
    <row r="92849" spans="1:6" x14ac:dyDescent="0.25">
      <c r="A92849"/>
      <c r="B92849"/>
      <c r="C92849"/>
      <c r="E92849"/>
      <c r="F92849"/>
    </row>
    <row r="92850" spans="1:6" x14ac:dyDescent="0.25">
      <c r="A92850"/>
      <c r="B92850"/>
      <c r="C92850"/>
      <c r="E92850"/>
      <c r="F92850"/>
    </row>
    <row r="92851" spans="1:6" x14ac:dyDescent="0.25">
      <c r="A92851"/>
      <c r="B92851"/>
      <c r="C92851"/>
      <c r="E92851"/>
      <c r="F92851"/>
    </row>
    <row r="92852" spans="1:6" x14ac:dyDescent="0.25">
      <c r="A92852"/>
      <c r="B92852"/>
      <c r="C92852"/>
      <c r="E92852"/>
      <c r="F92852"/>
    </row>
    <row r="92853" spans="1:6" x14ac:dyDescent="0.25">
      <c r="A92853"/>
      <c r="B92853"/>
      <c r="C92853"/>
      <c r="E92853"/>
      <c r="F92853"/>
    </row>
    <row r="92854" spans="1:6" x14ac:dyDescent="0.25">
      <c r="A92854"/>
      <c r="B92854"/>
      <c r="C92854"/>
      <c r="E92854"/>
      <c r="F92854"/>
    </row>
    <row r="92855" spans="1:6" x14ac:dyDescent="0.25">
      <c r="A92855"/>
      <c r="B92855"/>
      <c r="C92855"/>
      <c r="E92855"/>
      <c r="F92855"/>
    </row>
    <row r="92856" spans="1:6" x14ac:dyDescent="0.25">
      <c r="A92856"/>
      <c r="B92856"/>
      <c r="C92856"/>
      <c r="E92856"/>
      <c r="F92856"/>
    </row>
    <row r="92857" spans="1:6" x14ac:dyDescent="0.25">
      <c r="A92857"/>
      <c r="B92857"/>
      <c r="C92857"/>
      <c r="E92857"/>
      <c r="F92857"/>
    </row>
    <row r="92858" spans="1:6" x14ac:dyDescent="0.25">
      <c r="A92858"/>
      <c r="B92858"/>
      <c r="C92858"/>
      <c r="E92858"/>
      <c r="F92858"/>
    </row>
    <row r="92859" spans="1:6" x14ac:dyDescent="0.25">
      <c r="A92859"/>
      <c r="B92859"/>
      <c r="C92859"/>
      <c r="E92859"/>
      <c r="F92859"/>
    </row>
    <row r="92860" spans="1:6" x14ac:dyDescent="0.25">
      <c r="A92860"/>
      <c r="B92860"/>
      <c r="C92860"/>
      <c r="E92860"/>
      <c r="F92860"/>
    </row>
    <row r="92861" spans="1:6" x14ac:dyDescent="0.25">
      <c r="A92861"/>
      <c r="B92861"/>
      <c r="C92861"/>
      <c r="E92861"/>
      <c r="F92861"/>
    </row>
    <row r="92862" spans="1:6" x14ac:dyDescent="0.25">
      <c r="A92862"/>
      <c r="B92862"/>
      <c r="C92862"/>
      <c r="E92862"/>
      <c r="F92862"/>
    </row>
    <row r="92863" spans="1:6" x14ac:dyDescent="0.25">
      <c r="A92863"/>
      <c r="B92863"/>
      <c r="C92863"/>
      <c r="E92863"/>
      <c r="F92863"/>
    </row>
    <row r="92864" spans="1:6" x14ac:dyDescent="0.25">
      <c r="A92864"/>
      <c r="B92864"/>
      <c r="C92864"/>
      <c r="E92864"/>
      <c r="F92864"/>
    </row>
    <row r="92865" spans="1:6" x14ac:dyDescent="0.25">
      <c r="A92865"/>
      <c r="B92865"/>
      <c r="C92865"/>
      <c r="E92865"/>
      <c r="F92865"/>
    </row>
    <row r="92866" spans="1:6" x14ac:dyDescent="0.25">
      <c r="A92866"/>
      <c r="B92866"/>
      <c r="C92866"/>
      <c r="E92866"/>
      <c r="F92866"/>
    </row>
    <row r="92867" spans="1:6" x14ac:dyDescent="0.25">
      <c r="A92867"/>
      <c r="B92867"/>
      <c r="C92867"/>
      <c r="E92867"/>
      <c r="F92867"/>
    </row>
    <row r="92868" spans="1:6" x14ac:dyDescent="0.25">
      <c r="A92868"/>
      <c r="B92868"/>
      <c r="C92868"/>
      <c r="E92868"/>
      <c r="F92868"/>
    </row>
    <row r="92869" spans="1:6" x14ac:dyDescent="0.25">
      <c r="A92869"/>
      <c r="B92869"/>
      <c r="C92869"/>
      <c r="E92869"/>
      <c r="F92869"/>
    </row>
    <row r="92870" spans="1:6" x14ac:dyDescent="0.25">
      <c r="A92870"/>
      <c r="B92870"/>
      <c r="C92870"/>
      <c r="E92870"/>
      <c r="F92870"/>
    </row>
    <row r="92871" spans="1:6" x14ac:dyDescent="0.25">
      <c r="A92871"/>
      <c r="B92871"/>
      <c r="C92871"/>
      <c r="E92871"/>
      <c r="F92871"/>
    </row>
    <row r="92872" spans="1:6" x14ac:dyDescent="0.25">
      <c r="A92872"/>
      <c r="B92872"/>
      <c r="C92872"/>
      <c r="E92872"/>
      <c r="F92872"/>
    </row>
    <row r="92873" spans="1:6" x14ac:dyDescent="0.25">
      <c r="A92873"/>
      <c r="B92873"/>
      <c r="C92873"/>
      <c r="E92873"/>
      <c r="F92873"/>
    </row>
    <row r="92874" spans="1:6" x14ac:dyDescent="0.25">
      <c r="A92874"/>
      <c r="B92874"/>
      <c r="C92874"/>
      <c r="E92874"/>
      <c r="F92874"/>
    </row>
    <row r="92875" spans="1:6" x14ac:dyDescent="0.25">
      <c r="A92875"/>
      <c r="B92875"/>
      <c r="C92875"/>
      <c r="E92875"/>
      <c r="F92875"/>
    </row>
    <row r="92876" spans="1:6" x14ac:dyDescent="0.25">
      <c r="A92876"/>
      <c r="B92876"/>
      <c r="C92876"/>
      <c r="E92876"/>
      <c r="F92876"/>
    </row>
    <row r="92877" spans="1:6" x14ac:dyDescent="0.25">
      <c r="A92877"/>
      <c r="B92877"/>
      <c r="C92877"/>
      <c r="E92877"/>
      <c r="F92877"/>
    </row>
    <row r="92878" spans="1:6" x14ac:dyDescent="0.25">
      <c r="A92878"/>
      <c r="B92878"/>
      <c r="C92878"/>
      <c r="E92878"/>
      <c r="F92878"/>
    </row>
    <row r="92879" spans="1:6" x14ac:dyDescent="0.25">
      <c r="A92879"/>
      <c r="B92879"/>
      <c r="C92879"/>
      <c r="E92879"/>
      <c r="F92879"/>
    </row>
    <row r="92880" spans="1:6" x14ac:dyDescent="0.25">
      <c r="A92880"/>
      <c r="B92880"/>
      <c r="C92880"/>
      <c r="E92880"/>
      <c r="F92880"/>
    </row>
    <row r="92881" spans="1:6" x14ac:dyDescent="0.25">
      <c r="A92881"/>
      <c r="B92881"/>
      <c r="C92881"/>
      <c r="E92881"/>
      <c r="F92881"/>
    </row>
    <row r="92882" spans="1:6" x14ac:dyDescent="0.25">
      <c r="A92882"/>
      <c r="B92882"/>
      <c r="C92882"/>
      <c r="E92882"/>
      <c r="F92882"/>
    </row>
    <row r="92883" spans="1:6" x14ac:dyDescent="0.25">
      <c r="A92883"/>
      <c r="B92883"/>
      <c r="C92883"/>
      <c r="E92883"/>
      <c r="F92883"/>
    </row>
    <row r="92884" spans="1:6" x14ac:dyDescent="0.25">
      <c r="A92884"/>
      <c r="B92884"/>
      <c r="C92884"/>
      <c r="E92884"/>
      <c r="F92884"/>
    </row>
    <row r="92885" spans="1:6" x14ac:dyDescent="0.25">
      <c r="A92885"/>
      <c r="B92885"/>
      <c r="C92885"/>
      <c r="E92885"/>
      <c r="F92885"/>
    </row>
    <row r="92886" spans="1:6" x14ac:dyDescent="0.25">
      <c r="A92886"/>
      <c r="B92886"/>
      <c r="C92886"/>
      <c r="E92886"/>
      <c r="F92886"/>
    </row>
    <row r="92887" spans="1:6" x14ac:dyDescent="0.25">
      <c r="A92887"/>
      <c r="B92887"/>
      <c r="C92887"/>
      <c r="E92887"/>
      <c r="F92887"/>
    </row>
    <row r="92888" spans="1:6" x14ac:dyDescent="0.25">
      <c r="A92888"/>
      <c r="B92888"/>
      <c r="C92888"/>
      <c r="E92888"/>
      <c r="F92888"/>
    </row>
    <row r="92889" spans="1:6" x14ac:dyDescent="0.25">
      <c r="A92889"/>
      <c r="B92889"/>
      <c r="C92889"/>
      <c r="E92889"/>
      <c r="F92889"/>
    </row>
    <row r="92890" spans="1:6" x14ac:dyDescent="0.25">
      <c r="A92890"/>
      <c r="B92890"/>
      <c r="C92890"/>
      <c r="E92890"/>
      <c r="F92890"/>
    </row>
    <row r="92891" spans="1:6" x14ac:dyDescent="0.25">
      <c r="A92891"/>
      <c r="B92891"/>
      <c r="C92891"/>
      <c r="E92891"/>
      <c r="F92891"/>
    </row>
    <row r="92892" spans="1:6" x14ac:dyDescent="0.25">
      <c r="A92892"/>
      <c r="B92892"/>
      <c r="C92892"/>
      <c r="E92892"/>
      <c r="F92892"/>
    </row>
    <row r="92893" spans="1:6" x14ac:dyDescent="0.25">
      <c r="A92893"/>
      <c r="B92893"/>
      <c r="C92893"/>
      <c r="E92893"/>
      <c r="F92893"/>
    </row>
    <row r="92894" spans="1:6" x14ac:dyDescent="0.25">
      <c r="A92894"/>
      <c r="B92894"/>
      <c r="C92894"/>
      <c r="E92894"/>
      <c r="F92894"/>
    </row>
    <row r="92895" spans="1:6" x14ac:dyDescent="0.25">
      <c r="A92895"/>
      <c r="B92895"/>
      <c r="C92895"/>
      <c r="E92895"/>
      <c r="F92895"/>
    </row>
    <row r="92896" spans="1:6" x14ac:dyDescent="0.25">
      <c r="A92896"/>
      <c r="B92896"/>
      <c r="C92896"/>
      <c r="E92896"/>
      <c r="F92896"/>
    </row>
    <row r="92897" spans="1:6" x14ac:dyDescent="0.25">
      <c r="A92897"/>
      <c r="B92897"/>
      <c r="C92897"/>
      <c r="E92897"/>
      <c r="F92897"/>
    </row>
    <row r="92898" spans="1:6" x14ac:dyDescent="0.25">
      <c r="A92898"/>
      <c r="B92898"/>
      <c r="C92898"/>
      <c r="E92898"/>
      <c r="F92898"/>
    </row>
    <row r="92899" spans="1:6" x14ac:dyDescent="0.25">
      <c r="A92899"/>
      <c r="B92899"/>
      <c r="C92899"/>
      <c r="E92899"/>
      <c r="F92899"/>
    </row>
    <row r="92900" spans="1:6" x14ac:dyDescent="0.25">
      <c r="A92900"/>
      <c r="B92900"/>
      <c r="C92900"/>
      <c r="E92900"/>
      <c r="F92900"/>
    </row>
    <row r="92901" spans="1:6" x14ac:dyDescent="0.25">
      <c r="A92901"/>
      <c r="B92901"/>
      <c r="C92901"/>
      <c r="E92901"/>
      <c r="F92901"/>
    </row>
    <row r="92902" spans="1:6" x14ac:dyDescent="0.25">
      <c r="A92902"/>
      <c r="B92902"/>
      <c r="C92902"/>
      <c r="E92902"/>
      <c r="F92902"/>
    </row>
    <row r="92903" spans="1:6" x14ac:dyDescent="0.25">
      <c r="A92903"/>
      <c r="B92903"/>
      <c r="C92903"/>
      <c r="E92903"/>
      <c r="F92903"/>
    </row>
    <row r="92904" spans="1:6" x14ac:dyDescent="0.25">
      <c r="A92904"/>
      <c r="B92904"/>
      <c r="C92904"/>
      <c r="E92904"/>
      <c r="F92904"/>
    </row>
    <row r="92905" spans="1:6" x14ac:dyDescent="0.25">
      <c r="A92905"/>
      <c r="B92905"/>
      <c r="C92905"/>
      <c r="E92905"/>
      <c r="F92905"/>
    </row>
    <row r="92906" spans="1:6" x14ac:dyDescent="0.25">
      <c r="A92906"/>
      <c r="B92906"/>
      <c r="C92906"/>
      <c r="E92906"/>
      <c r="F92906"/>
    </row>
    <row r="92907" spans="1:6" x14ac:dyDescent="0.25">
      <c r="A92907"/>
      <c r="B92907"/>
      <c r="C92907"/>
      <c r="E92907"/>
      <c r="F92907"/>
    </row>
    <row r="92908" spans="1:6" x14ac:dyDescent="0.25">
      <c r="A92908"/>
      <c r="B92908"/>
      <c r="C92908"/>
      <c r="E92908"/>
      <c r="F92908"/>
    </row>
    <row r="92909" spans="1:6" x14ac:dyDescent="0.25">
      <c r="A92909"/>
      <c r="B92909"/>
      <c r="C92909"/>
      <c r="E92909"/>
      <c r="F92909"/>
    </row>
    <row r="92910" spans="1:6" x14ac:dyDescent="0.25">
      <c r="A92910"/>
      <c r="B92910"/>
      <c r="C92910"/>
      <c r="E92910"/>
      <c r="F92910"/>
    </row>
    <row r="92911" spans="1:6" x14ac:dyDescent="0.25">
      <c r="A92911"/>
      <c r="B92911"/>
      <c r="C92911"/>
      <c r="E92911"/>
      <c r="F92911"/>
    </row>
    <row r="92912" spans="1:6" x14ac:dyDescent="0.25">
      <c r="A92912"/>
      <c r="B92912"/>
      <c r="C92912"/>
      <c r="E92912"/>
      <c r="F92912"/>
    </row>
    <row r="92913" spans="1:6" x14ac:dyDescent="0.25">
      <c r="A92913"/>
      <c r="B92913"/>
      <c r="C92913"/>
      <c r="E92913"/>
      <c r="F92913"/>
    </row>
    <row r="92914" spans="1:6" x14ac:dyDescent="0.25">
      <c r="A92914"/>
      <c r="B92914"/>
      <c r="C92914"/>
      <c r="E92914"/>
      <c r="F92914"/>
    </row>
    <row r="92915" spans="1:6" x14ac:dyDescent="0.25">
      <c r="A92915"/>
      <c r="B92915"/>
      <c r="C92915"/>
      <c r="E92915"/>
      <c r="F92915"/>
    </row>
    <row r="92916" spans="1:6" x14ac:dyDescent="0.25">
      <c r="A92916"/>
      <c r="B92916"/>
      <c r="C92916"/>
      <c r="E92916"/>
      <c r="F92916"/>
    </row>
    <row r="92917" spans="1:6" x14ac:dyDescent="0.25">
      <c r="A92917"/>
      <c r="B92917"/>
      <c r="C92917"/>
      <c r="E92917"/>
      <c r="F92917"/>
    </row>
    <row r="92918" spans="1:6" x14ac:dyDescent="0.25">
      <c r="A92918"/>
      <c r="B92918"/>
      <c r="C92918"/>
      <c r="E92918"/>
      <c r="F92918"/>
    </row>
    <row r="92919" spans="1:6" x14ac:dyDescent="0.25">
      <c r="A92919"/>
      <c r="B92919"/>
      <c r="C92919"/>
      <c r="E92919"/>
      <c r="F92919"/>
    </row>
    <row r="92920" spans="1:6" x14ac:dyDescent="0.25">
      <c r="A92920"/>
      <c r="B92920"/>
      <c r="C92920"/>
      <c r="E92920"/>
      <c r="F92920"/>
    </row>
    <row r="92921" spans="1:6" x14ac:dyDescent="0.25">
      <c r="A92921"/>
      <c r="B92921"/>
      <c r="C92921"/>
      <c r="E92921"/>
      <c r="F92921"/>
    </row>
    <row r="92922" spans="1:6" x14ac:dyDescent="0.25">
      <c r="A92922"/>
      <c r="B92922"/>
      <c r="C92922"/>
      <c r="E92922"/>
      <c r="F92922"/>
    </row>
    <row r="92923" spans="1:6" x14ac:dyDescent="0.25">
      <c r="A92923"/>
      <c r="B92923"/>
      <c r="C92923"/>
      <c r="E92923"/>
      <c r="F92923"/>
    </row>
    <row r="92924" spans="1:6" x14ac:dyDescent="0.25">
      <c r="A92924"/>
      <c r="B92924"/>
      <c r="C92924"/>
      <c r="E92924"/>
      <c r="F92924"/>
    </row>
    <row r="92925" spans="1:6" x14ac:dyDescent="0.25">
      <c r="A92925"/>
      <c r="B92925"/>
      <c r="C92925"/>
      <c r="E92925"/>
      <c r="F92925"/>
    </row>
    <row r="92926" spans="1:6" x14ac:dyDescent="0.25">
      <c r="A92926"/>
      <c r="B92926"/>
      <c r="C92926"/>
      <c r="E92926"/>
      <c r="F92926"/>
    </row>
    <row r="92927" spans="1:6" x14ac:dyDescent="0.25">
      <c r="A92927"/>
      <c r="B92927"/>
      <c r="C92927"/>
      <c r="E92927"/>
      <c r="F92927"/>
    </row>
    <row r="92928" spans="1:6" x14ac:dyDescent="0.25">
      <c r="A92928"/>
      <c r="B92928"/>
      <c r="C92928"/>
      <c r="E92928"/>
      <c r="F92928"/>
    </row>
    <row r="92929" spans="1:6" x14ac:dyDescent="0.25">
      <c r="A92929"/>
      <c r="B92929"/>
      <c r="C92929"/>
      <c r="E92929"/>
      <c r="F92929"/>
    </row>
    <row r="92930" spans="1:6" x14ac:dyDescent="0.25">
      <c r="A92930"/>
      <c r="B92930"/>
      <c r="C92930"/>
      <c r="E92930"/>
      <c r="F92930"/>
    </row>
    <row r="92931" spans="1:6" x14ac:dyDescent="0.25">
      <c r="A92931"/>
      <c r="B92931"/>
      <c r="C92931"/>
      <c r="E92931"/>
      <c r="F92931"/>
    </row>
    <row r="92932" spans="1:6" x14ac:dyDescent="0.25">
      <c r="A92932"/>
      <c r="B92932"/>
      <c r="C92932"/>
      <c r="E92932"/>
      <c r="F92932"/>
    </row>
    <row r="92933" spans="1:6" x14ac:dyDescent="0.25">
      <c r="A92933"/>
      <c r="B92933"/>
      <c r="C92933"/>
      <c r="E92933"/>
      <c r="F92933"/>
    </row>
    <row r="92934" spans="1:6" x14ac:dyDescent="0.25">
      <c r="A92934"/>
      <c r="B92934"/>
      <c r="C92934"/>
      <c r="E92934"/>
      <c r="F92934"/>
    </row>
    <row r="92935" spans="1:6" x14ac:dyDescent="0.25">
      <c r="A92935"/>
      <c r="B92935"/>
      <c r="C92935"/>
      <c r="E92935"/>
      <c r="F92935"/>
    </row>
    <row r="92936" spans="1:6" x14ac:dyDescent="0.25">
      <c r="A92936"/>
      <c r="B92936"/>
      <c r="C92936"/>
      <c r="E92936"/>
      <c r="F92936"/>
    </row>
    <row r="92937" spans="1:6" x14ac:dyDescent="0.25">
      <c r="A92937"/>
      <c r="B92937"/>
      <c r="C92937"/>
      <c r="E92937"/>
      <c r="F92937"/>
    </row>
    <row r="92938" spans="1:6" x14ac:dyDescent="0.25">
      <c r="A92938"/>
      <c r="B92938"/>
      <c r="C92938"/>
      <c r="E92938"/>
      <c r="F92938"/>
    </row>
    <row r="92939" spans="1:6" x14ac:dyDescent="0.25">
      <c r="A92939"/>
      <c r="B92939"/>
      <c r="C92939"/>
      <c r="E92939"/>
      <c r="F92939"/>
    </row>
    <row r="92940" spans="1:6" x14ac:dyDescent="0.25">
      <c r="A92940"/>
      <c r="B92940"/>
      <c r="C92940"/>
      <c r="E92940"/>
      <c r="F92940"/>
    </row>
    <row r="92941" spans="1:6" x14ac:dyDescent="0.25">
      <c r="A92941"/>
      <c r="B92941"/>
      <c r="C92941"/>
      <c r="E92941"/>
      <c r="F92941"/>
    </row>
    <row r="92942" spans="1:6" x14ac:dyDescent="0.25">
      <c r="A92942"/>
      <c r="B92942"/>
      <c r="C92942"/>
      <c r="E92942"/>
      <c r="F92942"/>
    </row>
    <row r="92943" spans="1:6" x14ac:dyDescent="0.25">
      <c r="A92943"/>
      <c r="B92943"/>
      <c r="C92943"/>
      <c r="E92943"/>
      <c r="F92943"/>
    </row>
    <row r="92944" spans="1:6" x14ac:dyDescent="0.25">
      <c r="A92944"/>
      <c r="B92944"/>
      <c r="C92944"/>
      <c r="E92944"/>
      <c r="F92944"/>
    </row>
    <row r="92945" spans="1:6" x14ac:dyDescent="0.25">
      <c r="A92945"/>
      <c r="B92945"/>
      <c r="C92945"/>
      <c r="E92945"/>
      <c r="F92945"/>
    </row>
    <row r="92946" spans="1:6" x14ac:dyDescent="0.25">
      <c r="A92946"/>
      <c r="B92946"/>
      <c r="C92946"/>
      <c r="E92946"/>
      <c r="F92946"/>
    </row>
    <row r="92947" spans="1:6" x14ac:dyDescent="0.25">
      <c r="A92947"/>
      <c r="B92947"/>
      <c r="C92947"/>
      <c r="E92947"/>
      <c r="F92947"/>
    </row>
    <row r="92948" spans="1:6" x14ac:dyDescent="0.25">
      <c r="A92948"/>
      <c r="B92948"/>
      <c r="C92948"/>
      <c r="E92948"/>
      <c r="F92948"/>
    </row>
    <row r="92949" spans="1:6" x14ac:dyDescent="0.25">
      <c r="A92949"/>
      <c r="B92949"/>
      <c r="C92949"/>
      <c r="E92949"/>
      <c r="F92949"/>
    </row>
    <row r="92950" spans="1:6" x14ac:dyDescent="0.25">
      <c r="A92950"/>
      <c r="B92950"/>
      <c r="C92950"/>
      <c r="E92950"/>
      <c r="F92950"/>
    </row>
    <row r="92951" spans="1:6" x14ac:dyDescent="0.25">
      <c r="A92951"/>
      <c r="B92951"/>
      <c r="C92951"/>
      <c r="E92951"/>
      <c r="F92951"/>
    </row>
    <row r="92952" spans="1:6" x14ac:dyDescent="0.25">
      <c r="A92952"/>
      <c r="B92952"/>
      <c r="C92952"/>
      <c r="E92952"/>
      <c r="F92952"/>
    </row>
    <row r="92953" spans="1:6" x14ac:dyDescent="0.25">
      <c r="A92953"/>
      <c r="B92953"/>
      <c r="C92953"/>
      <c r="E92953"/>
      <c r="F92953"/>
    </row>
    <row r="92954" spans="1:6" x14ac:dyDescent="0.25">
      <c r="A92954"/>
      <c r="B92954"/>
      <c r="C92954"/>
      <c r="E92954"/>
      <c r="F92954"/>
    </row>
    <row r="92955" spans="1:6" x14ac:dyDescent="0.25">
      <c r="A92955"/>
      <c r="B92955"/>
      <c r="C92955"/>
      <c r="E92955"/>
      <c r="F92955"/>
    </row>
    <row r="92956" spans="1:6" x14ac:dyDescent="0.25">
      <c r="A92956"/>
      <c r="B92956"/>
      <c r="C92956"/>
      <c r="E92956"/>
      <c r="F92956"/>
    </row>
    <row r="92957" spans="1:6" x14ac:dyDescent="0.25">
      <c r="A92957"/>
      <c r="B92957"/>
      <c r="C92957"/>
      <c r="E92957"/>
      <c r="F92957"/>
    </row>
    <row r="92958" spans="1:6" x14ac:dyDescent="0.25">
      <c r="A92958"/>
      <c r="B92958"/>
      <c r="C92958"/>
      <c r="E92958"/>
      <c r="F92958"/>
    </row>
    <row r="92959" spans="1:6" x14ac:dyDescent="0.25">
      <c r="A92959"/>
      <c r="B92959"/>
      <c r="C92959"/>
      <c r="E92959"/>
      <c r="F92959"/>
    </row>
    <row r="92960" spans="1:6" x14ac:dyDescent="0.25">
      <c r="A92960"/>
      <c r="B92960"/>
      <c r="C92960"/>
      <c r="E92960"/>
      <c r="F92960"/>
    </row>
    <row r="92961" spans="1:6" x14ac:dyDescent="0.25">
      <c r="A92961"/>
      <c r="B92961"/>
      <c r="C92961"/>
      <c r="E92961"/>
      <c r="F92961"/>
    </row>
    <row r="92962" spans="1:6" x14ac:dyDescent="0.25">
      <c r="A92962"/>
      <c r="B92962"/>
      <c r="C92962"/>
      <c r="E92962"/>
      <c r="F92962"/>
    </row>
    <row r="92963" spans="1:6" x14ac:dyDescent="0.25">
      <c r="A92963"/>
      <c r="B92963"/>
      <c r="C92963"/>
      <c r="E92963"/>
      <c r="F92963"/>
    </row>
    <row r="92964" spans="1:6" x14ac:dyDescent="0.25">
      <c r="A92964"/>
      <c r="B92964"/>
      <c r="C92964"/>
      <c r="E92964"/>
      <c r="F92964"/>
    </row>
    <row r="92965" spans="1:6" x14ac:dyDescent="0.25">
      <c r="A92965"/>
      <c r="B92965"/>
      <c r="C92965"/>
      <c r="E92965"/>
      <c r="F92965"/>
    </row>
    <row r="92966" spans="1:6" x14ac:dyDescent="0.25">
      <c r="A92966"/>
      <c r="B92966"/>
      <c r="C92966"/>
      <c r="E92966"/>
      <c r="F92966"/>
    </row>
    <row r="92967" spans="1:6" x14ac:dyDescent="0.25">
      <c r="A92967"/>
      <c r="B92967"/>
      <c r="C92967"/>
      <c r="E92967"/>
      <c r="F92967"/>
    </row>
    <row r="92968" spans="1:6" x14ac:dyDescent="0.25">
      <c r="A92968"/>
      <c r="B92968"/>
      <c r="C92968"/>
      <c r="E92968"/>
      <c r="F92968"/>
    </row>
    <row r="92969" spans="1:6" x14ac:dyDescent="0.25">
      <c r="A92969"/>
      <c r="B92969"/>
      <c r="C92969"/>
      <c r="E92969"/>
      <c r="F92969"/>
    </row>
    <row r="92970" spans="1:6" x14ac:dyDescent="0.25">
      <c r="A92970"/>
      <c r="B92970"/>
      <c r="C92970"/>
      <c r="E92970"/>
      <c r="F92970"/>
    </row>
    <row r="92971" spans="1:6" x14ac:dyDescent="0.25">
      <c r="A92971"/>
      <c r="B92971"/>
      <c r="C92971"/>
      <c r="E92971"/>
      <c r="F92971"/>
    </row>
    <row r="92972" spans="1:6" x14ac:dyDescent="0.25">
      <c r="A92972"/>
      <c r="B92972"/>
      <c r="C92972"/>
      <c r="E92972"/>
      <c r="F92972"/>
    </row>
    <row r="92973" spans="1:6" x14ac:dyDescent="0.25">
      <c r="A92973"/>
      <c r="B92973"/>
      <c r="C92973"/>
      <c r="E92973"/>
      <c r="F92973"/>
    </row>
    <row r="92974" spans="1:6" x14ac:dyDescent="0.25">
      <c r="A92974"/>
      <c r="B92974"/>
      <c r="C92974"/>
      <c r="E92974"/>
      <c r="F92974"/>
    </row>
    <row r="92975" spans="1:6" x14ac:dyDescent="0.25">
      <c r="A92975"/>
      <c r="B92975"/>
      <c r="C92975"/>
      <c r="E92975"/>
      <c r="F92975"/>
    </row>
    <row r="92976" spans="1:6" x14ac:dyDescent="0.25">
      <c r="A92976"/>
      <c r="B92976"/>
      <c r="C92976"/>
      <c r="E92976"/>
      <c r="F92976"/>
    </row>
    <row r="92977" spans="1:6" x14ac:dyDescent="0.25">
      <c r="A92977"/>
      <c r="B92977"/>
      <c r="C92977"/>
      <c r="E92977"/>
      <c r="F92977"/>
    </row>
    <row r="92978" spans="1:6" x14ac:dyDescent="0.25">
      <c r="A92978"/>
      <c r="B92978"/>
      <c r="C92978"/>
      <c r="E92978"/>
      <c r="F92978"/>
    </row>
    <row r="92979" spans="1:6" x14ac:dyDescent="0.25">
      <c r="A92979"/>
      <c r="B92979"/>
      <c r="C92979"/>
      <c r="E92979"/>
      <c r="F92979"/>
    </row>
    <row r="92980" spans="1:6" x14ac:dyDescent="0.25">
      <c r="A92980"/>
      <c r="B92980"/>
      <c r="C92980"/>
      <c r="E92980"/>
      <c r="F92980"/>
    </row>
    <row r="92981" spans="1:6" x14ac:dyDescent="0.25">
      <c r="A92981"/>
      <c r="B92981"/>
      <c r="C92981"/>
      <c r="E92981"/>
      <c r="F92981"/>
    </row>
    <row r="92982" spans="1:6" x14ac:dyDescent="0.25">
      <c r="A92982"/>
      <c r="B92982"/>
      <c r="C92982"/>
      <c r="E92982"/>
      <c r="F92982"/>
    </row>
    <row r="92983" spans="1:6" x14ac:dyDescent="0.25">
      <c r="A92983"/>
      <c r="B92983"/>
      <c r="C92983"/>
      <c r="E92983"/>
      <c r="F92983"/>
    </row>
    <row r="92984" spans="1:6" x14ac:dyDescent="0.25">
      <c r="A92984"/>
      <c r="B92984"/>
      <c r="C92984"/>
      <c r="E92984"/>
      <c r="F92984"/>
    </row>
    <row r="92985" spans="1:6" x14ac:dyDescent="0.25">
      <c r="A92985"/>
      <c r="B92985"/>
      <c r="C92985"/>
      <c r="E92985"/>
      <c r="F92985"/>
    </row>
    <row r="92986" spans="1:6" x14ac:dyDescent="0.25">
      <c r="A92986"/>
      <c r="B92986"/>
      <c r="C92986"/>
      <c r="E92986"/>
      <c r="F92986"/>
    </row>
    <row r="92987" spans="1:6" x14ac:dyDescent="0.25">
      <c r="A92987"/>
      <c r="B92987"/>
      <c r="C92987"/>
      <c r="E92987"/>
      <c r="F92987"/>
    </row>
    <row r="92988" spans="1:6" x14ac:dyDescent="0.25">
      <c r="A92988"/>
      <c r="B92988"/>
      <c r="C92988"/>
      <c r="E92988"/>
      <c r="F92988"/>
    </row>
    <row r="92989" spans="1:6" x14ac:dyDescent="0.25">
      <c r="A92989"/>
      <c r="B92989"/>
      <c r="C92989"/>
      <c r="E92989"/>
      <c r="F92989"/>
    </row>
    <row r="92990" spans="1:6" x14ac:dyDescent="0.25">
      <c r="A92990"/>
      <c r="B92990"/>
      <c r="C92990"/>
      <c r="E92990"/>
      <c r="F92990"/>
    </row>
    <row r="92991" spans="1:6" x14ac:dyDescent="0.25">
      <c r="A92991"/>
      <c r="B92991"/>
      <c r="C92991"/>
      <c r="E92991"/>
      <c r="F92991"/>
    </row>
    <row r="92992" spans="1:6" x14ac:dyDescent="0.25">
      <c r="A92992"/>
      <c r="B92992"/>
      <c r="C92992"/>
      <c r="E92992"/>
      <c r="F92992"/>
    </row>
    <row r="92993" spans="1:6" x14ac:dyDescent="0.25">
      <c r="A92993"/>
      <c r="B92993"/>
      <c r="C92993"/>
      <c r="E92993"/>
      <c r="F92993"/>
    </row>
    <row r="92994" spans="1:6" x14ac:dyDescent="0.25">
      <c r="A92994"/>
      <c r="B92994"/>
      <c r="C92994"/>
      <c r="E92994"/>
      <c r="F92994"/>
    </row>
    <row r="92995" spans="1:6" x14ac:dyDescent="0.25">
      <c r="A92995"/>
      <c r="B92995"/>
      <c r="C92995"/>
      <c r="E92995"/>
      <c r="F92995"/>
    </row>
    <row r="92996" spans="1:6" x14ac:dyDescent="0.25">
      <c r="A92996"/>
      <c r="B92996"/>
      <c r="C92996"/>
      <c r="E92996"/>
      <c r="F92996"/>
    </row>
    <row r="92997" spans="1:6" x14ac:dyDescent="0.25">
      <c r="A92997"/>
      <c r="B92997"/>
      <c r="C92997"/>
      <c r="E92997"/>
      <c r="F92997"/>
    </row>
    <row r="92998" spans="1:6" x14ac:dyDescent="0.25">
      <c r="A92998"/>
      <c r="B92998"/>
      <c r="C92998"/>
      <c r="E92998"/>
      <c r="F92998"/>
    </row>
    <row r="92999" spans="1:6" x14ac:dyDescent="0.25">
      <c r="A92999"/>
      <c r="B92999"/>
      <c r="C92999"/>
      <c r="E92999"/>
      <c r="F92999"/>
    </row>
    <row r="93000" spans="1:6" x14ac:dyDescent="0.25">
      <c r="A93000"/>
      <c r="B93000"/>
      <c r="C93000"/>
      <c r="E93000"/>
      <c r="F93000"/>
    </row>
    <row r="93001" spans="1:6" x14ac:dyDescent="0.25">
      <c r="A93001"/>
      <c r="B93001"/>
      <c r="C93001"/>
      <c r="E93001"/>
      <c r="F93001"/>
    </row>
    <row r="93002" spans="1:6" x14ac:dyDescent="0.25">
      <c r="A93002"/>
      <c r="B93002"/>
      <c r="C93002"/>
      <c r="E93002"/>
      <c r="F93002"/>
    </row>
    <row r="93003" spans="1:6" x14ac:dyDescent="0.25">
      <c r="A93003"/>
      <c r="B93003"/>
      <c r="C93003"/>
      <c r="E93003"/>
      <c r="F93003"/>
    </row>
    <row r="93004" spans="1:6" x14ac:dyDescent="0.25">
      <c r="A93004"/>
      <c r="B93004"/>
      <c r="C93004"/>
      <c r="E93004"/>
      <c r="F93004"/>
    </row>
    <row r="93005" spans="1:6" x14ac:dyDescent="0.25">
      <c r="A93005"/>
      <c r="B93005"/>
      <c r="C93005"/>
      <c r="E93005"/>
      <c r="F93005"/>
    </row>
    <row r="93006" spans="1:6" x14ac:dyDescent="0.25">
      <c r="A93006"/>
      <c r="B93006"/>
      <c r="C93006"/>
      <c r="E93006"/>
      <c r="F93006"/>
    </row>
    <row r="93007" spans="1:6" x14ac:dyDescent="0.25">
      <c r="A93007"/>
      <c r="B93007"/>
      <c r="C93007"/>
      <c r="E93007"/>
      <c r="F93007"/>
    </row>
    <row r="93008" spans="1:6" x14ac:dyDescent="0.25">
      <c r="A93008"/>
      <c r="B93008"/>
      <c r="C93008"/>
      <c r="E93008"/>
      <c r="F93008"/>
    </row>
    <row r="93009" spans="1:6" x14ac:dyDescent="0.25">
      <c r="A93009"/>
      <c r="B93009"/>
      <c r="C93009"/>
      <c r="E93009"/>
      <c r="F93009"/>
    </row>
    <row r="93010" spans="1:6" x14ac:dyDescent="0.25">
      <c r="A93010"/>
      <c r="B93010"/>
      <c r="C93010"/>
      <c r="E93010"/>
      <c r="F93010"/>
    </row>
    <row r="93011" spans="1:6" x14ac:dyDescent="0.25">
      <c r="A93011"/>
      <c r="B93011"/>
      <c r="C93011"/>
      <c r="E93011"/>
      <c r="F93011"/>
    </row>
    <row r="93012" spans="1:6" x14ac:dyDescent="0.25">
      <c r="A93012"/>
      <c r="B93012"/>
      <c r="C93012"/>
      <c r="E93012"/>
      <c r="F93012"/>
    </row>
    <row r="93013" spans="1:6" x14ac:dyDescent="0.25">
      <c r="A93013"/>
      <c r="B93013"/>
      <c r="C93013"/>
      <c r="E93013"/>
      <c r="F93013"/>
    </row>
    <row r="93014" spans="1:6" x14ac:dyDescent="0.25">
      <c r="A93014"/>
      <c r="B93014"/>
      <c r="C93014"/>
      <c r="E93014"/>
      <c r="F93014"/>
    </row>
    <row r="93015" spans="1:6" x14ac:dyDescent="0.25">
      <c r="A93015"/>
      <c r="B93015"/>
      <c r="C93015"/>
      <c r="E93015"/>
      <c r="F93015"/>
    </row>
    <row r="93016" spans="1:6" x14ac:dyDescent="0.25">
      <c r="A93016"/>
      <c r="B93016"/>
      <c r="C93016"/>
      <c r="E93016"/>
      <c r="F93016"/>
    </row>
    <row r="93017" spans="1:6" x14ac:dyDescent="0.25">
      <c r="A93017"/>
      <c r="B93017"/>
      <c r="C93017"/>
      <c r="E93017"/>
      <c r="F93017"/>
    </row>
    <row r="93018" spans="1:6" x14ac:dyDescent="0.25">
      <c r="A93018"/>
      <c r="B93018"/>
      <c r="C93018"/>
      <c r="E93018"/>
      <c r="F93018"/>
    </row>
    <row r="93019" spans="1:6" x14ac:dyDescent="0.25">
      <c r="A93019"/>
      <c r="B93019"/>
      <c r="C93019"/>
      <c r="E93019"/>
      <c r="F93019"/>
    </row>
    <row r="93020" spans="1:6" x14ac:dyDescent="0.25">
      <c r="A93020"/>
      <c r="B93020"/>
      <c r="C93020"/>
      <c r="E93020"/>
      <c r="F93020"/>
    </row>
    <row r="93021" spans="1:6" x14ac:dyDescent="0.25">
      <c r="A93021"/>
      <c r="B93021"/>
      <c r="C93021"/>
      <c r="E93021"/>
      <c r="F93021"/>
    </row>
    <row r="93022" spans="1:6" x14ac:dyDescent="0.25">
      <c r="A93022"/>
      <c r="B93022"/>
      <c r="C93022"/>
      <c r="E93022"/>
      <c r="F93022"/>
    </row>
    <row r="93023" spans="1:6" x14ac:dyDescent="0.25">
      <c r="A93023"/>
      <c r="B93023"/>
      <c r="C93023"/>
      <c r="E93023"/>
      <c r="F93023"/>
    </row>
    <row r="93024" spans="1:6" x14ac:dyDescent="0.25">
      <c r="A93024"/>
      <c r="B93024"/>
      <c r="C93024"/>
      <c r="E93024"/>
      <c r="F93024"/>
    </row>
    <row r="93025" spans="1:6" x14ac:dyDescent="0.25">
      <c r="A93025"/>
      <c r="B93025"/>
      <c r="C93025"/>
      <c r="E93025"/>
      <c r="F93025"/>
    </row>
    <row r="93026" spans="1:6" x14ac:dyDescent="0.25">
      <c r="A93026"/>
      <c r="B93026"/>
      <c r="C93026"/>
      <c r="E93026"/>
      <c r="F93026"/>
    </row>
    <row r="93027" spans="1:6" x14ac:dyDescent="0.25">
      <c r="A93027"/>
      <c r="B93027"/>
      <c r="C93027"/>
      <c r="E93027"/>
      <c r="F93027"/>
    </row>
    <row r="93028" spans="1:6" x14ac:dyDescent="0.25">
      <c r="A93028"/>
      <c r="B93028"/>
      <c r="C93028"/>
      <c r="E93028"/>
      <c r="F93028"/>
    </row>
    <row r="93029" spans="1:6" x14ac:dyDescent="0.25">
      <c r="A93029"/>
      <c r="B93029"/>
      <c r="C93029"/>
      <c r="E93029"/>
      <c r="F93029"/>
    </row>
    <row r="93030" spans="1:6" x14ac:dyDescent="0.25">
      <c r="A93030"/>
      <c r="B93030"/>
      <c r="C93030"/>
      <c r="E93030"/>
      <c r="F93030"/>
    </row>
    <row r="93031" spans="1:6" x14ac:dyDescent="0.25">
      <c r="A93031"/>
      <c r="B93031"/>
      <c r="C93031"/>
      <c r="E93031"/>
      <c r="F93031"/>
    </row>
    <row r="93032" spans="1:6" x14ac:dyDescent="0.25">
      <c r="A93032"/>
      <c r="B93032"/>
      <c r="C93032"/>
      <c r="E93032"/>
      <c r="F93032"/>
    </row>
    <row r="93033" spans="1:6" x14ac:dyDescent="0.25">
      <c r="A93033"/>
      <c r="B93033"/>
      <c r="C93033"/>
      <c r="E93033"/>
      <c r="F93033"/>
    </row>
    <row r="93034" spans="1:6" x14ac:dyDescent="0.25">
      <c r="A93034"/>
      <c r="B93034"/>
      <c r="C93034"/>
      <c r="E93034"/>
      <c r="F93034"/>
    </row>
    <row r="93035" spans="1:6" x14ac:dyDescent="0.25">
      <c r="A93035"/>
      <c r="B93035"/>
      <c r="C93035"/>
      <c r="E93035"/>
      <c r="F93035"/>
    </row>
    <row r="93036" spans="1:6" x14ac:dyDescent="0.25">
      <c r="A93036"/>
      <c r="B93036"/>
      <c r="C93036"/>
      <c r="E93036"/>
      <c r="F93036"/>
    </row>
    <row r="93037" spans="1:6" x14ac:dyDescent="0.25">
      <c r="A93037"/>
      <c r="B93037"/>
      <c r="C93037"/>
      <c r="E93037"/>
      <c r="F93037"/>
    </row>
    <row r="93038" spans="1:6" x14ac:dyDescent="0.25">
      <c r="A93038"/>
      <c r="B93038"/>
      <c r="C93038"/>
      <c r="E93038"/>
      <c r="F93038"/>
    </row>
    <row r="93039" spans="1:6" x14ac:dyDescent="0.25">
      <c r="A93039"/>
      <c r="B93039"/>
      <c r="C93039"/>
      <c r="E93039"/>
      <c r="F93039"/>
    </row>
    <row r="93040" spans="1:6" x14ac:dyDescent="0.25">
      <c r="A93040"/>
      <c r="B93040"/>
      <c r="C93040"/>
      <c r="E93040"/>
      <c r="F93040"/>
    </row>
    <row r="93041" spans="1:6" x14ac:dyDescent="0.25">
      <c r="A93041"/>
      <c r="B93041"/>
      <c r="C93041"/>
      <c r="E93041"/>
      <c r="F93041"/>
    </row>
    <row r="93042" spans="1:6" x14ac:dyDescent="0.25">
      <c r="A93042"/>
      <c r="B93042"/>
      <c r="C93042"/>
      <c r="E93042"/>
      <c r="F93042"/>
    </row>
    <row r="93043" spans="1:6" x14ac:dyDescent="0.25">
      <c r="A93043"/>
      <c r="B93043"/>
      <c r="C93043"/>
      <c r="E93043"/>
      <c r="F93043"/>
    </row>
    <row r="93044" spans="1:6" x14ac:dyDescent="0.25">
      <c r="A93044"/>
      <c r="B93044"/>
      <c r="C93044"/>
      <c r="E93044"/>
      <c r="F93044"/>
    </row>
    <row r="93045" spans="1:6" x14ac:dyDescent="0.25">
      <c r="A93045"/>
      <c r="B93045"/>
      <c r="C93045"/>
      <c r="E93045"/>
      <c r="F93045"/>
    </row>
    <row r="93046" spans="1:6" x14ac:dyDescent="0.25">
      <c r="A93046"/>
      <c r="B93046"/>
      <c r="C93046"/>
      <c r="E93046"/>
      <c r="F93046"/>
    </row>
    <row r="93047" spans="1:6" x14ac:dyDescent="0.25">
      <c r="A93047"/>
      <c r="B93047"/>
      <c r="C93047"/>
      <c r="E93047"/>
      <c r="F93047"/>
    </row>
    <row r="93048" spans="1:6" x14ac:dyDescent="0.25">
      <c r="A93048"/>
      <c r="B93048"/>
      <c r="C93048"/>
      <c r="E93048"/>
      <c r="F93048"/>
    </row>
    <row r="93049" spans="1:6" x14ac:dyDescent="0.25">
      <c r="A93049"/>
      <c r="B93049"/>
      <c r="C93049"/>
      <c r="E93049"/>
      <c r="F93049"/>
    </row>
    <row r="93050" spans="1:6" x14ac:dyDescent="0.25">
      <c r="A93050"/>
      <c r="B93050"/>
      <c r="C93050"/>
      <c r="E93050"/>
      <c r="F93050"/>
    </row>
    <row r="93051" spans="1:6" x14ac:dyDescent="0.25">
      <c r="A93051"/>
      <c r="B93051"/>
      <c r="C93051"/>
      <c r="E93051"/>
      <c r="F93051"/>
    </row>
    <row r="93052" spans="1:6" x14ac:dyDescent="0.25">
      <c r="A93052"/>
      <c r="B93052"/>
      <c r="C93052"/>
      <c r="E93052"/>
      <c r="F93052"/>
    </row>
    <row r="93053" spans="1:6" x14ac:dyDescent="0.25">
      <c r="A93053"/>
      <c r="B93053"/>
      <c r="C93053"/>
      <c r="E93053"/>
      <c r="F93053"/>
    </row>
    <row r="93054" spans="1:6" x14ac:dyDescent="0.25">
      <c r="A93054"/>
      <c r="B93054"/>
      <c r="C93054"/>
      <c r="E93054"/>
      <c r="F93054"/>
    </row>
    <row r="93055" spans="1:6" x14ac:dyDescent="0.25">
      <c r="A93055"/>
      <c r="B93055"/>
      <c r="C93055"/>
      <c r="E93055"/>
      <c r="F93055"/>
    </row>
    <row r="93056" spans="1:6" x14ac:dyDescent="0.25">
      <c r="A93056"/>
      <c r="B93056"/>
      <c r="C93056"/>
      <c r="E93056"/>
      <c r="F93056"/>
    </row>
    <row r="93057" spans="1:6" x14ac:dyDescent="0.25">
      <c r="A93057"/>
      <c r="B93057"/>
      <c r="C93057"/>
      <c r="E93057"/>
      <c r="F93057"/>
    </row>
    <row r="93058" spans="1:6" x14ac:dyDescent="0.25">
      <c r="A93058"/>
      <c r="B93058"/>
      <c r="C93058"/>
      <c r="E93058"/>
      <c r="F93058"/>
    </row>
    <row r="93059" spans="1:6" x14ac:dyDescent="0.25">
      <c r="A93059"/>
      <c r="B93059"/>
      <c r="C93059"/>
      <c r="E93059"/>
      <c r="F93059"/>
    </row>
    <row r="93060" spans="1:6" x14ac:dyDescent="0.25">
      <c r="A93060"/>
      <c r="B93060"/>
      <c r="C93060"/>
      <c r="E93060"/>
      <c r="F93060"/>
    </row>
    <row r="93061" spans="1:6" x14ac:dyDescent="0.25">
      <c r="A93061"/>
      <c r="B93061"/>
      <c r="C93061"/>
      <c r="E93061"/>
      <c r="F93061"/>
    </row>
    <row r="93062" spans="1:6" x14ac:dyDescent="0.25">
      <c r="A93062"/>
      <c r="B93062"/>
      <c r="C93062"/>
      <c r="E93062"/>
      <c r="F93062"/>
    </row>
    <row r="93063" spans="1:6" x14ac:dyDescent="0.25">
      <c r="A93063"/>
      <c r="B93063"/>
      <c r="C93063"/>
      <c r="E93063"/>
      <c r="F93063"/>
    </row>
    <row r="93064" spans="1:6" x14ac:dyDescent="0.25">
      <c r="A93064"/>
      <c r="B93064"/>
      <c r="C93064"/>
      <c r="E93064"/>
      <c r="F93064"/>
    </row>
    <row r="93065" spans="1:6" x14ac:dyDescent="0.25">
      <c r="A93065"/>
      <c r="B93065"/>
      <c r="C93065"/>
      <c r="E93065"/>
      <c r="F93065"/>
    </row>
    <row r="93066" spans="1:6" x14ac:dyDescent="0.25">
      <c r="A93066"/>
      <c r="B93066"/>
      <c r="C93066"/>
      <c r="E93066"/>
      <c r="F93066"/>
    </row>
    <row r="93067" spans="1:6" x14ac:dyDescent="0.25">
      <c r="A93067"/>
      <c r="B93067"/>
      <c r="C93067"/>
      <c r="E93067"/>
      <c r="F93067"/>
    </row>
    <row r="93068" spans="1:6" x14ac:dyDescent="0.25">
      <c r="A93068"/>
      <c r="B93068"/>
      <c r="C93068"/>
      <c r="E93068"/>
      <c r="F93068"/>
    </row>
    <row r="93069" spans="1:6" x14ac:dyDescent="0.25">
      <c r="A93069"/>
      <c r="B93069"/>
      <c r="C93069"/>
      <c r="E93069"/>
      <c r="F93069"/>
    </row>
    <row r="93070" spans="1:6" x14ac:dyDescent="0.25">
      <c r="A93070"/>
      <c r="B93070"/>
      <c r="C93070"/>
      <c r="E93070"/>
      <c r="F93070"/>
    </row>
    <row r="93071" spans="1:6" x14ac:dyDescent="0.25">
      <c r="A93071"/>
      <c r="B93071"/>
      <c r="C93071"/>
      <c r="E93071"/>
      <c r="F93071"/>
    </row>
    <row r="93072" spans="1:6" x14ac:dyDescent="0.25">
      <c r="A93072"/>
      <c r="B93072"/>
      <c r="C93072"/>
      <c r="E93072"/>
      <c r="F93072"/>
    </row>
    <row r="93073" spans="1:6" x14ac:dyDescent="0.25">
      <c r="A93073"/>
      <c r="B93073"/>
      <c r="C93073"/>
      <c r="E93073"/>
      <c r="F93073"/>
    </row>
    <row r="93074" spans="1:6" x14ac:dyDescent="0.25">
      <c r="A93074"/>
      <c r="B93074"/>
      <c r="C93074"/>
      <c r="E93074"/>
      <c r="F93074"/>
    </row>
    <row r="93075" spans="1:6" x14ac:dyDescent="0.25">
      <c r="A93075"/>
      <c r="B93075"/>
      <c r="C93075"/>
      <c r="E93075"/>
      <c r="F93075"/>
    </row>
    <row r="93076" spans="1:6" x14ac:dyDescent="0.25">
      <c r="A93076"/>
      <c r="B93076"/>
      <c r="C93076"/>
      <c r="E93076"/>
      <c r="F93076"/>
    </row>
    <row r="93077" spans="1:6" x14ac:dyDescent="0.25">
      <c r="A93077"/>
      <c r="B93077"/>
      <c r="C93077"/>
      <c r="E93077"/>
      <c r="F93077"/>
    </row>
    <row r="93078" spans="1:6" x14ac:dyDescent="0.25">
      <c r="A93078"/>
      <c r="B93078"/>
      <c r="C93078"/>
      <c r="E93078"/>
      <c r="F93078"/>
    </row>
    <row r="93079" spans="1:6" x14ac:dyDescent="0.25">
      <c r="A93079"/>
      <c r="B93079"/>
      <c r="C93079"/>
      <c r="E93079"/>
      <c r="F93079"/>
    </row>
    <row r="93080" spans="1:6" x14ac:dyDescent="0.25">
      <c r="A93080"/>
      <c r="B93080"/>
      <c r="C93080"/>
      <c r="E93080"/>
      <c r="F93080"/>
    </row>
    <row r="93081" spans="1:6" x14ac:dyDescent="0.25">
      <c r="A93081"/>
      <c r="B93081"/>
      <c r="C93081"/>
      <c r="E93081"/>
      <c r="F93081"/>
    </row>
    <row r="93082" spans="1:6" x14ac:dyDescent="0.25">
      <c r="A93082"/>
      <c r="B93082"/>
      <c r="C93082"/>
      <c r="E93082"/>
      <c r="F93082"/>
    </row>
    <row r="93083" spans="1:6" x14ac:dyDescent="0.25">
      <c r="A93083"/>
      <c r="B93083"/>
      <c r="C93083"/>
      <c r="E93083"/>
      <c r="F93083"/>
    </row>
    <row r="93084" spans="1:6" x14ac:dyDescent="0.25">
      <c r="A93084"/>
      <c r="B93084"/>
      <c r="C93084"/>
      <c r="E93084"/>
      <c r="F93084"/>
    </row>
    <row r="93085" spans="1:6" x14ac:dyDescent="0.25">
      <c r="A93085"/>
      <c r="B93085"/>
      <c r="C93085"/>
      <c r="E93085"/>
      <c r="F93085"/>
    </row>
    <row r="93086" spans="1:6" x14ac:dyDescent="0.25">
      <c r="A93086"/>
      <c r="B93086"/>
      <c r="C93086"/>
      <c r="E93086"/>
      <c r="F93086"/>
    </row>
    <row r="93087" spans="1:6" x14ac:dyDescent="0.25">
      <c r="A93087"/>
      <c r="B93087"/>
      <c r="C93087"/>
      <c r="E93087"/>
      <c r="F93087"/>
    </row>
    <row r="93088" spans="1:6" x14ac:dyDescent="0.25">
      <c r="A93088"/>
      <c r="B93088"/>
      <c r="C93088"/>
      <c r="E93088"/>
      <c r="F93088"/>
    </row>
    <row r="93089" spans="1:6" x14ac:dyDescent="0.25">
      <c r="A93089"/>
      <c r="B93089"/>
      <c r="C93089"/>
      <c r="E93089"/>
      <c r="F93089"/>
    </row>
    <row r="93090" spans="1:6" x14ac:dyDescent="0.25">
      <c r="A93090"/>
      <c r="B93090"/>
      <c r="C93090"/>
      <c r="E93090"/>
      <c r="F93090"/>
    </row>
    <row r="93091" spans="1:6" x14ac:dyDescent="0.25">
      <c r="A93091"/>
      <c r="B93091"/>
      <c r="C93091"/>
      <c r="E93091"/>
      <c r="F93091"/>
    </row>
    <row r="93092" spans="1:6" x14ac:dyDescent="0.25">
      <c r="A93092"/>
      <c r="B93092"/>
      <c r="C93092"/>
      <c r="E93092"/>
      <c r="F93092"/>
    </row>
    <row r="93093" spans="1:6" x14ac:dyDescent="0.25">
      <c r="A93093"/>
      <c r="B93093"/>
      <c r="C93093"/>
      <c r="E93093"/>
      <c r="F93093"/>
    </row>
    <row r="93094" spans="1:6" x14ac:dyDescent="0.25">
      <c r="A93094"/>
      <c r="B93094"/>
      <c r="C93094"/>
      <c r="E93094"/>
      <c r="F93094"/>
    </row>
    <row r="93095" spans="1:6" x14ac:dyDescent="0.25">
      <c r="A93095"/>
      <c r="B93095"/>
      <c r="C93095"/>
      <c r="E93095"/>
      <c r="F93095"/>
    </row>
    <row r="93096" spans="1:6" x14ac:dyDescent="0.25">
      <c r="A93096"/>
      <c r="B93096"/>
      <c r="C93096"/>
      <c r="E93096"/>
      <c r="F93096"/>
    </row>
    <row r="93097" spans="1:6" x14ac:dyDescent="0.25">
      <c r="A93097"/>
      <c r="B93097"/>
      <c r="C93097"/>
      <c r="E93097"/>
      <c r="F93097"/>
    </row>
    <row r="93098" spans="1:6" x14ac:dyDescent="0.25">
      <c r="A93098"/>
      <c r="B93098"/>
      <c r="C93098"/>
      <c r="E93098"/>
      <c r="F93098"/>
    </row>
    <row r="93099" spans="1:6" x14ac:dyDescent="0.25">
      <c r="A93099"/>
      <c r="B93099"/>
      <c r="C93099"/>
      <c r="E93099"/>
      <c r="F93099"/>
    </row>
    <row r="93100" spans="1:6" x14ac:dyDescent="0.25">
      <c r="A93100"/>
      <c r="B93100"/>
      <c r="C93100"/>
      <c r="E93100"/>
      <c r="F93100"/>
    </row>
    <row r="93101" spans="1:6" x14ac:dyDescent="0.25">
      <c r="A93101"/>
      <c r="B93101"/>
      <c r="C93101"/>
      <c r="E93101"/>
      <c r="F93101"/>
    </row>
    <row r="93102" spans="1:6" x14ac:dyDescent="0.25">
      <c r="A93102"/>
      <c r="B93102"/>
      <c r="C93102"/>
      <c r="E93102"/>
      <c r="F93102"/>
    </row>
    <row r="93103" spans="1:6" x14ac:dyDescent="0.25">
      <c r="A93103"/>
      <c r="B93103"/>
      <c r="C93103"/>
      <c r="E93103"/>
      <c r="F93103"/>
    </row>
    <row r="93104" spans="1:6" x14ac:dyDescent="0.25">
      <c r="A93104"/>
      <c r="B93104"/>
      <c r="C93104"/>
      <c r="E93104"/>
      <c r="F93104"/>
    </row>
    <row r="93105" spans="1:6" x14ac:dyDescent="0.25">
      <c r="A93105"/>
      <c r="B93105"/>
      <c r="C93105"/>
      <c r="E93105"/>
      <c r="F93105"/>
    </row>
    <row r="93106" spans="1:6" x14ac:dyDescent="0.25">
      <c r="A93106"/>
      <c r="B93106"/>
      <c r="C93106"/>
      <c r="E93106"/>
      <c r="F93106"/>
    </row>
    <row r="93107" spans="1:6" x14ac:dyDescent="0.25">
      <c r="A93107"/>
      <c r="B93107"/>
      <c r="C93107"/>
      <c r="E93107"/>
      <c r="F93107"/>
    </row>
    <row r="93108" spans="1:6" x14ac:dyDescent="0.25">
      <c r="A93108"/>
      <c r="B93108"/>
      <c r="C93108"/>
      <c r="E93108"/>
      <c r="F93108"/>
    </row>
    <row r="93109" spans="1:6" x14ac:dyDescent="0.25">
      <c r="A93109"/>
      <c r="B93109"/>
      <c r="C93109"/>
      <c r="E93109"/>
      <c r="F93109"/>
    </row>
    <row r="93110" spans="1:6" x14ac:dyDescent="0.25">
      <c r="A93110"/>
      <c r="B93110"/>
      <c r="C93110"/>
      <c r="E93110"/>
      <c r="F93110"/>
    </row>
    <row r="93111" spans="1:6" x14ac:dyDescent="0.25">
      <c r="A93111"/>
      <c r="B93111"/>
      <c r="C93111"/>
      <c r="E93111"/>
      <c r="F93111"/>
    </row>
    <row r="93112" spans="1:6" x14ac:dyDescent="0.25">
      <c r="A93112"/>
      <c r="B93112"/>
      <c r="C93112"/>
      <c r="E93112"/>
      <c r="F93112"/>
    </row>
    <row r="93113" spans="1:6" x14ac:dyDescent="0.25">
      <c r="A93113"/>
      <c r="B93113"/>
      <c r="C93113"/>
      <c r="E93113"/>
      <c r="F93113"/>
    </row>
    <row r="93114" spans="1:6" x14ac:dyDescent="0.25">
      <c r="A93114"/>
      <c r="B93114"/>
      <c r="C93114"/>
      <c r="E93114"/>
      <c r="F93114"/>
    </row>
    <row r="93115" spans="1:6" x14ac:dyDescent="0.25">
      <c r="A93115"/>
      <c r="B93115"/>
      <c r="C93115"/>
      <c r="E93115"/>
      <c r="F93115"/>
    </row>
    <row r="93116" spans="1:6" x14ac:dyDescent="0.25">
      <c r="A93116"/>
      <c r="B93116"/>
      <c r="C93116"/>
      <c r="E93116"/>
      <c r="F93116"/>
    </row>
    <row r="93117" spans="1:6" x14ac:dyDescent="0.25">
      <c r="A93117"/>
      <c r="B93117"/>
      <c r="C93117"/>
      <c r="E93117"/>
      <c r="F93117"/>
    </row>
    <row r="93118" spans="1:6" x14ac:dyDescent="0.25">
      <c r="A93118"/>
      <c r="B93118"/>
      <c r="C93118"/>
      <c r="E93118"/>
      <c r="F93118"/>
    </row>
    <row r="93119" spans="1:6" x14ac:dyDescent="0.25">
      <c r="A93119"/>
      <c r="B93119"/>
      <c r="C93119"/>
      <c r="E93119"/>
      <c r="F93119"/>
    </row>
    <row r="93120" spans="1:6" x14ac:dyDescent="0.25">
      <c r="A93120"/>
      <c r="B93120"/>
      <c r="C93120"/>
      <c r="E93120"/>
      <c r="F93120"/>
    </row>
    <row r="93121" spans="1:6" x14ac:dyDescent="0.25">
      <c r="A93121"/>
      <c r="B93121"/>
      <c r="C93121"/>
      <c r="E93121"/>
      <c r="F93121"/>
    </row>
    <row r="93122" spans="1:6" x14ac:dyDescent="0.25">
      <c r="A93122"/>
      <c r="B93122"/>
      <c r="C93122"/>
      <c r="E93122"/>
      <c r="F93122"/>
    </row>
    <row r="93123" spans="1:6" x14ac:dyDescent="0.25">
      <c r="A93123"/>
      <c r="B93123"/>
      <c r="C93123"/>
      <c r="E93123"/>
      <c r="F93123"/>
    </row>
    <row r="93124" spans="1:6" x14ac:dyDescent="0.25">
      <c r="A93124"/>
      <c r="B93124"/>
      <c r="C93124"/>
      <c r="E93124"/>
      <c r="F93124"/>
    </row>
    <row r="93125" spans="1:6" x14ac:dyDescent="0.25">
      <c r="A93125"/>
      <c r="B93125"/>
      <c r="C93125"/>
      <c r="E93125"/>
      <c r="F93125"/>
    </row>
    <row r="93126" spans="1:6" x14ac:dyDescent="0.25">
      <c r="A93126"/>
      <c r="B93126"/>
      <c r="C93126"/>
      <c r="E93126"/>
      <c r="F93126"/>
    </row>
    <row r="93127" spans="1:6" x14ac:dyDescent="0.25">
      <c r="A93127"/>
      <c r="B93127"/>
      <c r="C93127"/>
      <c r="E93127"/>
      <c r="F93127"/>
    </row>
    <row r="93128" spans="1:6" x14ac:dyDescent="0.25">
      <c r="A93128"/>
      <c r="B93128"/>
      <c r="C93128"/>
      <c r="E93128"/>
      <c r="F93128"/>
    </row>
    <row r="93129" spans="1:6" x14ac:dyDescent="0.25">
      <c r="A93129"/>
      <c r="B93129"/>
      <c r="C93129"/>
      <c r="E93129"/>
      <c r="F93129"/>
    </row>
    <row r="93130" spans="1:6" x14ac:dyDescent="0.25">
      <c r="A93130"/>
      <c r="B93130"/>
      <c r="C93130"/>
      <c r="E93130"/>
      <c r="F93130"/>
    </row>
    <row r="93131" spans="1:6" x14ac:dyDescent="0.25">
      <c r="A93131"/>
      <c r="B93131"/>
      <c r="C93131"/>
      <c r="E93131"/>
      <c r="F93131"/>
    </row>
    <row r="93132" spans="1:6" x14ac:dyDescent="0.25">
      <c r="A93132"/>
      <c r="B93132"/>
      <c r="C93132"/>
      <c r="E93132"/>
      <c r="F93132"/>
    </row>
    <row r="93133" spans="1:6" x14ac:dyDescent="0.25">
      <c r="A93133"/>
      <c r="B93133"/>
      <c r="C93133"/>
      <c r="E93133"/>
      <c r="F93133"/>
    </row>
    <row r="93134" spans="1:6" x14ac:dyDescent="0.25">
      <c r="A93134"/>
      <c r="B93134"/>
      <c r="C93134"/>
      <c r="E93134"/>
      <c r="F93134"/>
    </row>
    <row r="93135" spans="1:6" x14ac:dyDescent="0.25">
      <c r="A93135"/>
      <c r="B93135"/>
      <c r="C93135"/>
      <c r="E93135"/>
      <c r="F93135"/>
    </row>
    <row r="93136" spans="1:6" x14ac:dyDescent="0.25">
      <c r="A93136"/>
      <c r="B93136"/>
      <c r="C93136"/>
      <c r="E93136"/>
      <c r="F93136"/>
    </row>
    <row r="93137" spans="1:6" x14ac:dyDescent="0.25">
      <c r="A93137"/>
      <c r="B93137"/>
      <c r="C93137"/>
      <c r="E93137"/>
      <c r="F93137"/>
    </row>
    <row r="93138" spans="1:6" x14ac:dyDescent="0.25">
      <c r="A93138"/>
      <c r="B93138"/>
      <c r="C93138"/>
      <c r="E93138"/>
      <c r="F93138"/>
    </row>
    <row r="93139" spans="1:6" x14ac:dyDescent="0.25">
      <c r="A93139"/>
      <c r="B93139"/>
      <c r="C93139"/>
      <c r="E93139"/>
      <c r="F93139"/>
    </row>
    <row r="93140" spans="1:6" x14ac:dyDescent="0.25">
      <c r="A93140"/>
      <c r="B93140"/>
      <c r="C93140"/>
      <c r="E93140"/>
      <c r="F93140"/>
    </row>
    <row r="93141" spans="1:6" x14ac:dyDescent="0.25">
      <c r="A93141"/>
      <c r="B93141"/>
      <c r="C93141"/>
      <c r="E93141"/>
      <c r="F93141"/>
    </row>
    <row r="93142" spans="1:6" x14ac:dyDescent="0.25">
      <c r="A93142"/>
      <c r="B93142"/>
      <c r="C93142"/>
      <c r="E93142"/>
      <c r="F93142"/>
    </row>
    <row r="93143" spans="1:6" x14ac:dyDescent="0.25">
      <c r="A93143"/>
      <c r="B93143"/>
      <c r="C93143"/>
      <c r="E93143"/>
      <c r="F93143"/>
    </row>
    <row r="93144" spans="1:6" x14ac:dyDescent="0.25">
      <c r="A93144"/>
      <c r="B93144"/>
      <c r="C93144"/>
      <c r="E93144"/>
      <c r="F93144"/>
    </row>
    <row r="93145" spans="1:6" x14ac:dyDescent="0.25">
      <c r="A93145"/>
      <c r="B93145"/>
      <c r="C93145"/>
      <c r="E93145"/>
      <c r="F93145"/>
    </row>
    <row r="93146" spans="1:6" x14ac:dyDescent="0.25">
      <c r="A93146"/>
      <c r="B93146"/>
      <c r="C93146"/>
      <c r="E93146"/>
      <c r="F93146"/>
    </row>
    <row r="93147" spans="1:6" x14ac:dyDescent="0.25">
      <c r="A93147"/>
      <c r="B93147"/>
      <c r="C93147"/>
      <c r="E93147"/>
      <c r="F93147"/>
    </row>
    <row r="93148" spans="1:6" x14ac:dyDescent="0.25">
      <c r="A93148"/>
      <c r="B93148"/>
      <c r="C93148"/>
      <c r="E93148"/>
      <c r="F93148"/>
    </row>
    <row r="93149" spans="1:6" x14ac:dyDescent="0.25">
      <c r="A93149"/>
      <c r="B93149"/>
      <c r="C93149"/>
      <c r="E93149"/>
      <c r="F93149"/>
    </row>
    <row r="93150" spans="1:6" x14ac:dyDescent="0.25">
      <c r="A93150"/>
      <c r="B93150"/>
      <c r="C93150"/>
      <c r="E93150"/>
      <c r="F93150"/>
    </row>
    <row r="93151" spans="1:6" x14ac:dyDescent="0.25">
      <c r="A93151"/>
      <c r="B93151"/>
      <c r="C93151"/>
      <c r="E93151"/>
      <c r="F93151"/>
    </row>
    <row r="93152" spans="1:6" x14ac:dyDescent="0.25">
      <c r="A93152"/>
      <c r="B93152"/>
      <c r="C93152"/>
      <c r="E93152"/>
      <c r="F93152"/>
    </row>
    <row r="93153" spans="1:6" x14ac:dyDescent="0.25">
      <c r="A93153"/>
      <c r="B93153"/>
      <c r="C93153"/>
      <c r="E93153"/>
      <c r="F93153"/>
    </row>
    <row r="93154" spans="1:6" x14ac:dyDescent="0.25">
      <c r="A93154"/>
      <c r="B93154"/>
      <c r="C93154"/>
      <c r="E93154"/>
      <c r="F93154"/>
    </row>
    <row r="93155" spans="1:6" x14ac:dyDescent="0.25">
      <c r="A93155"/>
      <c r="B93155"/>
      <c r="C93155"/>
      <c r="E93155"/>
      <c r="F93155"/>
    </row>
    <row r="93156" spans="1:6" x14ac:dyDescent="0.25">
      <c r="A93156"/>
      <c r="B93156"/>
      <c r="C93156"/>
      <c r="E93156"/>
      <c r="F93156"/>
    </row>
    <row r="93157" spans="1:6" x14ac:dyDescent="0.25">
      <c r="A93157"/>
      <c r="B93157"/>
      <c r="C93157"/>
      <c r="E93157"/>
      <c r="F93157"/>
    </row>
    <row r="93158" spans="1:6" x14ac:dyDescent="0.25">
      <c r="A93158"/>
      <c r="B93158"/>
      <c r="C93158"/>
      <c r="E93158"/>
      <c r="F93158"/>
    </row>
    <row r="93159" spans="1:6" x14ac:dyDescent="0.25">
      <c r="A93159"/>
      <c r="B93159"/>
      <c r="C93159"/>
      <c r="E93159"/>
      <c r="F93159"/>
    </row>
    <row r="93160" spans="1:6" x14ac:dyDescent="0.25">
      <c r="A93160"/>
      <c r="B93160"/>
      <c r="C93160"/>
      <c r="E93160"/>
      <c r="F93160"/>
    </row>
    <row r="93161" spans="1:6" x14ac:dyDescent="0.25">
      <c r="A93161"/>
      <c r="B93161"/>
      <c r="C93161"/>
      <c r="E93161"/>
      <c r="F93161"/>
    </row>
    <row r="93162" spans="1:6" x14ac:dyDescent="0.25">
      <c r="A93162"/>
      <c r="B93162"/>
      <c r="C93162"/>
      <c r="E93162"/>
      <c r="F93162"/>
    </row>
    <row r="93163" spans="1:6" x14ac:dyDescent="0.25">
      <c r="A93163"/>
      <c r="B93163"/>
      <c r="C93163"/>
      <c r="E93163"/>
      <c r="F93163"/>
    </row>
    <row r="93164" spans="1:6" x14ac:dyDescent="0.25">
      <c r="A93164"/>
      <c r="B93164"/>
      <c r="C93164"/>
      <c r="E93164"/>
      <c r="F93164"/>
    </row>
    <row r="93165" spans="1:6" x14ac:dyDescent="0.25">
      <c r="A93165"/>
      <c r="B93165"/>
      <c r="C93165"/>
      <c r="E93165"/>
      <c r="F93165"/>
    </row>
    <row r="93166" spans="1:6" x14ac:dyDescent="0.25">
      <c r="A93166"/>
      <c r="B93166"/>
      <c r="C93166"/>
      <c r="E93166"/>
      <c r="F93166"/>
    </row>
    <row r="93167" spans="1:6" x14ac:dyDescent="0.25">
      <c r="A93167"/>
      <c r="B93167"/>
      <c r="C93167"/>
      <c r="E93167"/>
      <c r="F93167"/>
    </row>
    <row r="93168" spans="1:6" x14ac:dyDescent="0.25">
      <c r="A93168"/>
      <c r="B93168"/>
      <c r="C93168"/>
      <c r="E93168"/>
      <c r="F93168"/>
    </row>
    <row r="93169" spans="1:6" x14ac:dyDescent="0.25">
      <c r="A93169"/>
      <c r="B93169"/>
      <c r="C93169"/>
      <c r="E93169"/>
      <c r="F93169"/>
    </row>
    <row r="93170" spans="1:6" x14ac:dyDescent="0.25">
      <c r="A93170"/>
      <c r="B93170"/>
      <c r="C93170"/>
      <c r="E93170"/>
      <c r="F93170"/>
    </row>
    <row r="93171" spans="1:6" x14ac:dyDescent="0.25">
      <c r="A93171"/>
      <c r="B93171"/>
      <c r="C93171"/>
      <c r="E93171"/>
      <c r="F93171"/>
    </row>
    <row r="93172" spans="1:6" x14ac:dyDescent="0.25">
      <c r="A93172"/>
      <c r="B93172"/>
      <c r="C93172"/>
      <c r="E93172"/>
      <c r="F93172"/>
    </row>
    <row r="93173" spans="1:6" x14ac:dyDescent="0.25">
      <c r="A93173"/>
      <c r="B93173"/>
      <c r="C93173"/>
      <c r="E93173"/>
      <c r="F93173"/>
    </row>
    <row r="93174" spans="1:6" x14ac:dyDescent="0.25">
      <c r="A93174"/>
      <c r="B93174"/>
      <c r="C93174"/>
      <c r="E93174"/>
      <c r="F93174"/>
    </row>
    <row r="93175" spans="1:6" x14ac:dyDescent="0.25">
      <c r="A93175"/>
      <c r="B93175"/>
      <c r="C93175"/>
      <c r="E93175"/>
      <c r="F93175"/>
    </row>
    <row r="93176" spans="1:6" x14ac:dyDescent="0.25">
      <c r="A93176"/>
      <c r="B93176"/>
      <c r="C93176"/>
      <c r="E93176"/>
      <c r="F93176"/>
    </row>
    <row r="93177" spans="1:6" x14ac:dyDescent="0.25">
      <c r="A93177"/>
      <c r="B93177"/>
      <c r="C93177"/>
      <c r="E93177"/>
      <c r="F93177"/>
    </row>
    <row r="93178" spans="1:6" x14ac:dyDescent="0.25">
      <c r="A93178"/>
      <c r="B93178"/>
      <c r="C93178"/>
      <c r="E93178"/>
      <c r="F93178"/>
    </row>
    <row r="93179" spans="1:6" x14ac:dyDescent="0.25">
      <c r="A93179"/>
      <c r="B93179"/>
      <c r="C93179"/>
      <c r="E93179"/>
      <c r="F93179"/>
    </row>
    <row r="93180" spans="1:6" x14ac:dyDescent="0.25">
      <c r="A93180"/>
      <c r="B93180"/>
      <c r="C93180"/>
      <c r="E93180"/>
      <c r="F93180"/>
    </row>
    <row r="93181" spans="1:6" x14ac:dyDescent="0.25">
      <c r="A93181"/>
      <c r="B93181"/>
      <c r="C93181"/>
      <c r="E93181"/>
      <c r="F93181"/>
    </row>
    <row r="93182" spans="1:6" x14ac:dyDescent="0.25">
      <c r="A93182"/>
      <c r="B93182"/>
      <c r="C93182"/>
      <c r="E93182"/>
      <c r="F93182"/>
    </row>
    <row r="93183" spans="1:6" x14ac:dyDescent="0.25">
      <c r="A93183"/>
      <c r="B93183"/>
      <c r="C93183"/>
      <c r="E93183"/>
      <c r="F93183"/>
    </row>
    <row r="93184" spans="1:6" x14ac:dyDescent="0.25">
      <c r="A93184"/>
      <c r="B93184"/>
      <c r="C93184"/>
      <c r="E93184"/>
      <c r="F93184"/>
    </row>
    <row r="93185" spans="1:6" x14ac:dyDescent="0.25">
      <c r="A93185"/>
      <c r="B93185"/>
      <c r="C93185"/>
      <c r="E93185"/>
      <c r="F93185"/>
    </row>
    <row r="93186" spans="1:6" x14ac:dyDescent="0.25">
      <c r="A93186"/>
      <c r="B93186"/>
      <c r="C93186"/>
      <c r="E93186"/>
      <c r="F93186"/>
    </row>
    <row r="93187" spans="1:6" x14ac:dyDescent="0.25">
      <c r="A93187"/>
      <c r="B93187"/>
      <c r="C93187"/>
      <c r="E93187"/>
      <c r="F93187"/>
    </row>
    <row r="93188" spans="1:6" x14ac:dyDescent="0.25">
      <c r="A93188"/>
      <c r="B93188"/>
      <c r="C93188"/>
      <c r="E93188"/>
      <c r="F93188"/>
    </row>
    <row r="93189" spans="1:6" x14ac:dyDescent="0.25">
      <c r="A93189"/>
      <c r="B93189"/>
      <c r="C93189"/>
      <c r="E93189"/>
      <c r="F93189"/>
    </row>
    <row r="93190" spans="1:6" x14ac:dyDescent="0.25">
      <c r="A93190"/>
      <c r="B93190"/>
      <c r="C93190"/>
      <c r="E93190"/>
      <c r="F93190"/>
    </row>
    <row r="93191" spans="1:6" x14ac:dyDescent="0.25">
      <c r="A93191"/>
      <c r="B93191"/>
      <c r="C93191"/>
      <c r="E93191"/>
      <c r="F93191"/>
    </row>
    <row r="93192" spans="1:6" x14ac:dyDescent="0.25">
      <c r="A93192"/>
      <c r="B93192"/>
      <c r="C93192"/>
      <c r="E93192"/>
      <c r="F93192"/>
    </row>
    <row r="93193" spans="1:6" x14ac:dyDescent="0.25">
      <c r="A93193"/>
      <c r="B93193"/>
      <c r="C93193"/>
      <c r="E93193"/>
      <c r="F93193"/>
    </row>
    <row r="93194" spans="1:6" x14ac:dyDescent="0.25">
      <c r="A93194"/>
      <c r="B93194"/>
      <c r="C93194"/>
      <c r="E93194"/>
      <c r="F93194"/>
    </row>
    <row r="93195" spans="1:6" x14ac:dyDescent="0.25">
      <c r="A93195"/>
      <c r="B93195"/>
      <c r="C93195"/>
      <c r="E93195"/>
      <c r="F93195"/>
    </row>
    <row r="93196" spans="1:6" x14ac:dyDescent="0.25">
      <c r="A93196"/>
      <c r="B93196"/>
      <c r="C93196"/>
      <c r="E93196"/>
      <c r="F93196"/>
    </row>
    <row r="93197" spans="1:6" x14ac:dyDescent="0.25">
      <c r="A93197"/>
      <c r="B93197"/>
      <c r="C93197"/>
      <c r="E93197"/>
      <c r="F93197"/>
    </row>
    <row r="93198" spans="1:6" x14ac:dyDescent="0.25">
      <c r="A93198"/>
      <c r="B93198"/>
      <c r="C93198"/>
      <c r="E93198"/>
      <c r="F93198"/>
    </row>
    <row r="93199" spans="1:6" x14ac:dyDescent="0.25">
      <c r="A93199"/>
      <c r="B93199"/>
      <c r="C93199"/>
      <c r="E93199"/>
      <c r="F93199"/>
    </row>
    <row r="93200" spans="1:6" x14ac:dyDescent="0.25">
      <c r="A93200"/>
      <c r="B93200"/>
      <c r="C93200"/>
      <c r="E93200"/>
      <c r="F93200"/>
    </row>
    <row r="93201" spans="1:6" x14ac:dyDescent="0.25">
      <c r="A93201"/>
      <c r="B93201"/>
      <c r="C93201"/>
      <c r="E93201"/>
      <c r="F93201"/>
    </row>
    <row r="93202" spans="1:6" x14ac:dyDescent="0.25">
      <c r="A93202"/>
      <c r="B93202"/>
      <c r="C93202"/>
      <c r="E93202"/>
      <c r="F93202"/>
    </row>
    <row r="93203" spans="1:6" x14ac:dyDescent="0.25">
      <c r="A93203"/>
      <c r="B93203"/>
      <c r="C93203"/>
      <c r="E93203"/>
      <c r="F93203"/>
    </row>
    <row r="93204" spans="1:6" x14ac:dyDescent="0.25">
      <c r="A93204"/>
      <c r="B93204"/>
      <c r="C93204"/>
      <c r="E93204"/>
      <c r="F93204"/>
    </row>
    <row r="93205" spans="1:6" x14ac:dyDescent="0.25">
      <c r="A93205"/>
      <c r="B93205"/>
      <c r="C93205"/>
      <c r="E93205"/>
      <c r="F93205"/>
    </row>
    <row r="93206" spans="1:6" x14ac:dyDescent="0.25">
      <c r="A93206"/>
      <c r="B93206"/>
      <c r="C93206"/>
      <c r="E93206"/>
      <c r="F93206"/>
    </row>
    <row r="93207" spans="1:6" x14ac:dyDescent="0.25">
      <c r="A93207"/>
      <c r="B93207"/>
      <c r="C93207"/>
      <c r="E93207"/>
      <c r="F93207"/>
    </row>
    <row r="93208" spans="1:6" x14ac:dyDescent="0.25">
      <c r="A93208"/>
      <c r="B93208"/>
      <c r="C93208"/>
      <c r="E93208"/>
      <c r="F93208"/>
    </row>
    <row r="93209" spans="1:6" x14ac:dyDescent="0.25">
      <c r="A93209"/>
      <c r="B93209"/>
      <c r="C93209"/>
      <c r="E93209"/>
      <c r="F93209"/>
    </row>
    <row r="93210" spans="1:6" x14ac:dyDescent="0.25">
      <c r="A93210"/>
      <c r="B93210"/>
      <c r="C93210"/>
      <c r="E93210"/>
      <c r="F93210"/>
    </row>
    <row r="93211" spans="1:6" x14ac:dyDescent="0.25">
      <c r="A93211"/>
      <c r="B93211"/>
      <c r="C93211"/>
      <c r="E93211"/>
      <c r="F93211"/>
    </row>
    <row r="93212" spans="1:6" x14ac:dyDescent="0.25">
      <c r="A93212"/>
      <c r="B93212"/>
      <c r="C93212"/>
      <c r="E93212"/>
      <c r="F93212"/>
    </row>
    <row r="93213" spans="1:6" x14ac:dyDescent="0.25">
      <c r="A93213"/>
      <c r="B93213"/>
      <c r="C93213"/>
      <c r="E93213"/>
      <c r="F93213"/>
    </row>
    <row r="93214" spans="1:6" x14ac:dyDescent="0.25">
      <c r="A93214"/>
      <c r="B93214"/>
      <c r="C93214"/>
      <c r="E93214"/>
      <c r="F93214"/>
    </row>
    <row r="93215" spans="1:6" x14ac:dyDescent="0.25">
      <c r="A93215"/>
      <c r="B93215"/>
      <c r="C93215"/>
      <c r="E93215"/>
      <c r="F93215"/>
    </row>
    <row r="93216" spans="1:6" x14ac:dyDescent="0.25">
      <c r="A93216"/>
      <c r="B93216"/>
      <c r="C93216"/>
      <c r="E93216"/>
      <c r="F93216"/>
    </row>
    <row r="93217" spans="1:6" x14ac:dyDescent="0.25">
      <c r="A93217"/>
      <c r="B93217"/>
      <c r="C93217"/>
      <c r="E93217"/>
      <c r="F93217"/>
    </row>
    <row r="93218" spans="1:6" x14ac:dyDescent="0.25">
      <c r="A93218"/>
      <c r="B93218"/>
      <c r="C93218"/>
      <c r="E93218"/>
      <c r="F93218"/>
    </row>
    <row r="93219" spans="1:6" x14ac:dyDescent="0.25">
      <c r="A93219"/>
      <c r="B93219"/>
      <c r="C93219"/>
      <c r="E93219"/>
      <c r="F93219"/>
    </row>
    <row r="93220" spans="1:6" x14ac:dyDescent="0.25">
      <c r="A93220"/>
      <c r="B93220"/>
      <c r="C93220"/>
      <c r="E93220"/>
      <c r="F93220"/>
    </row>
    <row r="93221" spans="1:6" x14ac:dyDescent="0.25">
      <c r="A93221"/>
      <c r="B93221"/>
      <c r="C93221"/>
      <c r="E93221"/>
      <c r="F93221"/>
    </row>
    <row r="93222" spans="1:6" x14ac:dyDescent="0.25">
      <c r="A93222"/>
      <c r="B93222"/>
      <c r="C93222"/>
      <c r="E93222"/>
      <c r="F93222"/>
    </row>
    <row r="93223" spans="1:6" x14ac:dyDescent="0.25">
      <c r="A93223"/>
      <c r="B93223"/>
      <c r="C93223"/>
      <c r="E93223"/>
      <c r="F93223"/>
    </row>
    <row r="93224" spans="1:6" x14ac:dyDescent="0.25">
      <c r="A93224"/>
      <c r="B93224"/>
      <c r="C93224"/>
      <c r="E93224"/>
      <c r="F93224"/>
    </row>
    <row r="93225" spans="1:6" x14ac:dyDescent="0.25">
      <c r="A93225"/>
      <c r="B93225"/>
      <c r="C93225"/>
      <c r="E93225"/>
      <c r="F93225"/>
    </row>
    <row r="93226" spans="1:6" x14ac:dyDescent="0.25">
      <c r="A93226"/>
      <c r="B93226"/>
      <c r="C93226"/>
      <c r="E93226"/>
      <c r="F93226"/>
    </row>
    <row r="93227" spans="1:6" x14ac:dyDescent="0.25">
      <c r="A93227"/>
      <c r="B93227"/>
      <c r="C93227"/>
      <c r="E93227"/>
      <c r="F93227"/>
    </row>
    <row r="93228" spans="1:6" x14ac:dyDescent="0.25">
      <c r="A93228"/>
      <c r="B93228"/>
      <c r="C93228"/>
      <c r="E93228"/>
      <c r="F93228"/>
    </row>
    <row r="93229" spans="1:6" x14ac:dyDescent="0.25">
      <c r="A93229"/>
      <c r="B93229"/>
      <c r="C93229"/>
      <c r="E93229"/>
      <c r="F93229"/>
    </row>
    <row r="93230" spans="1:6" x14ac:dyDescent="0.25">
      <c r="A93230"/>
      <c r="B93230"/>
      <c r="C93230"/>
      <c r="E93230"/>
      <c r="F93230"/>
    </row>
    <row r="93231" spans="1:6" x14ac:dyDescent="0.25">
      <c r="A93231"/>
      <c r="B93231"/>
      <c r="C93231"/>
      <c r="E93231"/>
      <c r="F93231"/>
    </row>
    <row r="93232" spans="1:6" x14ac:dyDescent="0.25">
      <c r="A93232"/>
      <c r="B93232"/>
      <c r="C93232"/>
      <c r="E93232"/>
      <c r="F93232"/>
    </row>
    <row r="93233" spans="1:6" x14ac:dyDescent="0.25">
      <c r="A93233"/>
      <c r="B93233"/>
      <c r="C93233"/>
      <c r="E93233"/>
      <c r="F93233"/>
    </row>
    <row r="93234" spans="1:6" x14ac:dyDescent="0.25">
      <c r="A93234"/>
      <c r="B93234"/>
      <c r="C93234"/>
      <c r="E93234"/>
      <c r="F93234"/>
    </row>
    <row r="93235" spans="1:6" x14ac:dyDescent="0.25">
      <c r="A93235"/>
      <c r="B93235"/>
      <c r="C93235"/>
      <c r="E93235"/>
      <c r="F93235"/>
    </row>
    <row r="93236" spans="1:6" x14ac:dyDescent="0.25">
      <c r="A93236"/>
      <c r="B93236"/>
      <c r="C93236"/>
      <c r="E93236"/>
      <c r="F93236"/>
    </row>
    <row r="93237" spans="1:6" x14ac:dyDescent="0.25">
      <c r="A93237"/>
      <c r="B93237"/>
      <c r="C93237"/>
      <c r="E93237"/>
      <c r="F93237"/>
    </row>
    <row r="93238" spans="1:6" x14ac:dyDescent="0.25">
      <c r="A93238"/>
      <c r="B93238"/>
      <c r="C93238"/>
      <c r="E93238"/>
      <c r="F93238"/>
    </row>
    <row r="93239" spans="1:6" x14ac:dyDescent="0.25">
      <c r="A93239"/>
      <c r="B93239"/>
      <c r="C93239"/>
      <c r="E93239"/>
      <c r="F93239"/>
    </row>
    <row r="93240" spans="1:6" x14ac:dyDescent="0.25">
      <c r="A93240"/>
      <c r="B93240"/>
      <c r="C93240"/>
      <c r="E93240"/>
      <c r="F93240"/>
    </row>
    <row r="93241" spans="1:6" x14ac:dyDescent="0.25">
      <c r="A93241"/>
      <c r="B93241"/>
      <c r="C93241"/>
      <c r="E93241"/>
      <c r="F93241"/>
    </row>
    <row r="93242" spans="1:6" x14ac:dyDescent="0.25">
      <c r="A93242"/>
      <c r="B93242"/>
      <c r="C93242"/>
      <c r="E93242"/>
      <c r="F93242"/>
    </row>
    <row r="93243" spans="1:6" x14ac:dyDescent="0.25">
      <c r="A93243"/>
      <c r="B93243"/>
      <c r="C93243"/>
      <c r="E93243"/>
      <c r="F93243"/>
    </row>
    <row r="93244" spans="1:6" x14ac:dyDescent="0.25">
      <c r="A93244"/>
      <c r="B93244"/>
      <c r="C93244"/>
      <c r="E93244"/>
      <c r="F93244"/>
    </row>
    <row r="93245" spans="1:6" x14ac:dyDescent="0.25">
      <c r="A93245"/>
      <c r="B93245"/>
      <c r="C93245"/>
      <c r="E93245"/>
      <c r="F93245"/>
    </row>
    <row r="93246" spans="1:6" x14ac:dyDescent="0.25">
      <c r="A93246"/>
      <c r="B93246"/>
      <c r="C93246"/>
      <c r="E93246"/>
      <c r="F93246"/>
    </row>
    <row r="93247" spans="1:6" x14ac:dyDescent="0.25">
      <c r="A93247"/>
      <c r="B93247"/>
      <c r="C93247"/>
      <c r="E93247"/>
      <c r="F93247"/>
    </row>
    <row r="93248" spans="1:6" x14ac:dyDescent="0.25">
      <c r="A93248"/>
      <c r="B93248"/>
      <c r="C93248"/>
      <c r="E93248"/>
      <c r="F93248"/>
    </row>
    <row r="93249" spans="1:6" x14ac:dyDescent="0.25">
      <c r="A93249"/>
      <c r="B93249"/>
      <c r="C93249"/>
      <c r="E93249"/>
      <c r="F93249"/>
    </row>
    <row r="93250" spans="1:6" x14ac:dyDescent="0.25">
      <c r="A93250"/>
      <c r="B93250"/>
      <c r="C93250"/>
      <c r="E93250"/>
      <c r="F93250"/>
    </row>
    <row r="93251" spans="1:6" x14ac:dyDescent="0.25">
      <c r="A93251"/>
      <c r="B93251"/>
      <c r="C93251"/>
      <c r="E93251"/>
      <c r="F93251"/>
    </row>
    <row r="93252" spans="1:6" x14ac:dyDescent="0.25">
      <c r="A93252"/>
      <c r="B93252"/>
      <c r="C93252"/>
      <c r="E93252"/>
      <c r="F93252"/>
    </row>
    <row r="93253" spans="1:6" x14ac:dyDescent="0.25">
      <c r="A93253"/>
      <c r="B93253"/>
      <c r="C93253"/>
      <c r="E93253"/>
      <c r="F93253"/>
    </row>
    <row r="93254" spans="1:6" x14ac:dyDescent="0.25">
      <c r="A93254"/>
      <c r="B93254"/>
      <c r="C93254"/>
      <c r="E93254"/>
      <c r="F93254"/>
    </row>
    <row r="93255" spans="1:6" x14ac:dyDescent="0.25">
      <c r="A93255"/>
      <c r="B93255"/>
      <c r="C93255"/>
      <c r="E93255"/>
      <c r="F93255"/>
    </row>
    <row r="93256" spans="1:6" x14ac:dyDescent="0.25">
      <c r="A93256"/>
      <c r="B93256"/>
      <c r="C93256"/>
      <c r="E93256"/>
      <c r="F93256"/>
    </row>
    <row r="93257" spans="1:6" x14ac:dyDescent="0.25">
      <c r="A93257"/>
      <c r="B93257"/>
      <c r="C93257"/>
      <c r="E93257"/>
      <c r="F93257"/>
    </row>
    <row r="93258" spans="1:6" x14ac:dyDescent="0.25">
      <c r="A93258"/>
      <c r="B93258"/>
      <c r="C93258"/>
      <c r="E93258"/>
      <c r="F93258"/>
    </row>
    <row r="93259" spans="1:6" x14ac:dyDescent="0.25">
      <c r="A93259"/>
      <c r="B93259"/>
      <c r="C93259"/>
      <c r="E93259"/>
      <c r="F93259"/>
    </row>
    <row r="93260" spans="1:6" x14ac:dyDescent="0.25">
      <c r="A93260"/>
      <c r="B93260"/>
      <c r="C93260"/>
      <c r="E93260"/>
      <c r="F93260"/>
    </row>
    <row r="93261" spans="1:6" x14ac:dyDescent="0.25">
      <c r="A93261"/>
      <c r="B93261"/>
      <c r="C93261"/>
      <c r="E93261"/>
      <c r="F93261"/>
    </row>
    <row r="93262" spans="1:6" x14ac:dyDescent="0.25">
      <c r="A93262"/>
      <c r="B93262"/>
      <c r="C93262"/>
      <c r="E93262"/>
      <c r="F93262"/>
    </row>
    <row r="93263" spans="1:6" x14ac:dyDescent="0.25">
      <c r="A93263"/>
      <c r="B93263"/>
      <c r="C93263"/>
      <c r="E93263"/>
      <c r="F93263"/>
    </row>
    <row r="93264" spans="1:6" x14ac:dyDescent="0.25">
      <c r="A93264"/>
      <c r="B93264"/>
      <c r="C93264"/>
      <c r="E93264"/>
      <c r="F93264"/>
    </row>
    <row r="93265" spans="1:6" x14ac:dyDescent="0.25">
      <c r="A93265"/>
      <c r="B93265"/>
      <c r="C93265"/>
      <c r="E93265"/>
      <c r="F93265"/>
    </row>
    <row r="93266" spans="1:6" x14ac:dyDescent="0.25">
      <c r="A93266"/>
      <c r="B93266"/>
      <c r="C93266"/>
      <c r="E93266"/>
      <c r="F93266"/>
    </row>
    <row r="93267" spans="1:6" x14ac:dyDescent="0.25">
      <c r="A93267"/>
      <c r="B93267"/>
      <c r="C93267"/>
      <c r="E93267"/>
      <c r="F93267"/>
    </row>
    <row r="93268" spans="1:6" x14ac:dyDescent="0.25">
      <c r="A93268"/>
      <c r="B93268"/>
      <c r="C93268"/>
      <c r="E93268"/>
      <c r="F93268"/>
    </row>
    <row r="93269" spans="1:6" x14ac:dyDescent="0.25">
      <c r="A93269"/>
      <c r="B93269"/>
      <c r="C93269"/>
      <c r="E93269"/>
      <c r="F93269"/>
    </row>
    <row r="93270" spans="1:6" x14ac:dyDescent="0.25">
      <c r="A93270"/>
      <c r="B93270"/>
      <c r="C93270"/>
      <c r="E93270"/>
      <c r="F93270"/>
    </row>
    <row r="93271" spans="1:6" x14ac:dyDescent="0.25">
      <c r="A93271"/>
      <c r="B93271"/>
      <c r="C93271"/>
      <c r="E93271"/>
      <c r="F93271"/>
    </row>
    <row r="93272" spans="1:6" x14ac:dyDescent="0.25">
      <c r="A93272"/>
      <c r="B93272"/>
      <c r="C93272"/>
      <c r="E93272"/>
      <c r="F93272"/>
    </row>
    <row r="93273" spans="1:6" x14ac:dyDescent="0.25">
      <c r="A93273"/>
      <c r="B93273"/>
      <c r="C93273"/>
      <c r="E93273"/>
      <c r="F93273"/>
    </row>
    <row r="93274" spans="1:6" x14ac:dyDescent="0.25">
      <c r="A93274"/>
      <c r="B93274"/>
      <c r="C93274"/>
      <c r="E93274"/>
      <c r="F93274"/>
    </row>
    <row r="93275" spans="1:6" x14ac:dyDescent="0.25">
      <c r="A93275"/>
      <c r="B93275"/>
      <c r="C93275"/>
      <c r="E93275"/>
      <c r="F93275"/>
    </row>
    <row r="93276" spans="1:6" x14ac:dyDescent="0.25">
      <c r="A93276"/>
      <c r="B93276"/>
      <c r="C93276"/>
      <c r="E93276"/>
      <c r="F93276"/>
    </row>
    <row r="93277" spans="1:6" x14ac:dyDescent="0.25">
      <c r="A93277"/>
      <c r="B93277"/>
      <c r="C93277"/>
      <c r="E93277"/>
      <c r="F93277"/>
    </row>
    <row r="93278" spans="1:6" x14ac:dyDescent="0.25">
      <c r="A93278"/>
      <c r="B93278"/>
      <c r="C93278"/>
      <c r="E93278"/>
      <c r="F93278"/>
    </row>
    <row r="93279" spans="1:6" x14ac:dyDescent="0.25">
      <c r="A93279"/>
      <c r="B93279"/>
      <c r="C93279"/>
      <c r="E93279"/>
      <c r="F93279"/>
    </row>
    <row r="93280" spans="1:6" x14ac:dyDescent="0.25">
      <c r="A93280"/>
      <c r="B93280"/>
      <c r="C93280"/>
      <c r="E93280"/>
      <c r="F93280"/>
    </row>
    <row r="93281" spans="1:6" x14ac:dyDescent="0.25">
      <c r="A93281"/>
      <c r="B93281"/>
      <c r="C93281"/>
      <c r="E93281"/>
      <c r="F93281"/>
    </row>
    <row r="93282" spans="1:6" x14ac:dyDescent="0.25">
      <c r="A93282"/>
      <c r="B93282"/>
      <c r="C93282"/>
      <c r="E93282"/>
      <c r="F93282"/>
    </row>
    <row r="93283" spans="1:6" x14ac:dyDescent="0.25">
      <c r="A93283"/>
      <c r="B93283"/>
      <c r="C93283"/>
      <c r="E93283"/>
      <c r="F93283"/>
    </row>
    <row r="93284" spans="1:6" x14ac:dyDescent="0.25">
      <c r="A93284"/>
      <c r="B93284"/>
      <c r="C93284"/>
      <c r="E93284"/>
      <c r="F93284"/>
    </row>
    <row r="93285" spans="1:6" x14ac:dyDescent="0.25">
      <c r="A93285"/>
      <c r="B93285"/>
      <c r="C93285"/>
      <c r="E93285"/>
      <c r="F93285"/>
    </row>
    <row r="93286" spans="1:6" x14ac:dyDescent="0.25">
      <c r="A93286"/>
      <c r="B93286"/>
      <c r="C93286"/>
      <c r="E93286"/>
      <c r="F93286"/>
    </row>
    <row r="93287" spans="1:6" x14ac:dyDescent="0.25">
      <c r="A93287"/>
      <c r="B93287"/>
      <c r="C93287"/>
      <c r="E93287"/>
      <c r="F93287"/>
    </row>
    <row r="93288" spans="1:6" x14ac:dyDescent="0.25">
      <c r="A93288"/>
      <c r="B93288"/>
      <c r="C93288"/>
      <c r="E93288"/>
      <c r="F93288"/>
    </row>
    <row r="93289" spans="1:6" x14ac:dyDescent="0.25">
      <c r="A93289"/>
      <c r="B93289"/>
      <c r="C93289"/>
      <c r="E93289"/>
      <c r="F93289"/>
    </row>
    <row r="93290" spans="1:6" x14ac:dyDescent="0.25">
      <c r="A93290"/>
      <c r="B93290"/>
      <c r="C93290"/>
      <c r="E93290"/>
      <c r="F93290"/>
    </row>
    <row r="93291" spans="1:6" x14ac:dyDescent="0.25">
      <c r="A93291"/>
      <c r="B93291"/>
      <c r="C93291"/>
      <c r="E93291"/>
      <c r="F93291"/>
    </row>
    <row r="93292" spans="1:6" x14ac:dyDescent="0.25">
      <c r="A93292"/>
      <c r="B93292"/>
      <c r="C93292"/>
      <c r="E93292"/>
      <c r="F93292"/>
    </row>
    <row r="93293" spans="1:6" x14ac:dyDescent="0.25">
      <c r="A93293"/>
      <c r="B93293"/>
      <c r="C93293"/>
      <c r="E93293"/>
      <c r="F93293"/>
    </row>
    <row r="93294" spans="1:6" x14ac:dyDescent="0.25">
      <c r="A93294"/>
      <c r="B93294"/>
      <c r="C93294"/>
      <c r="E93294"/>
      <c r="F93294"/>
    </row>
    <row r="93295" spans="1:6" x14ac:dyDescent="0.25">
      <c r="A93295"/>
      <c r="B93295"/>
      <c r="C93295"/>
      <c r="E93295"/>
      <c r="F93295"/>
    </row>
    <row r="93296" spans="1:6" x14ac:dyDescent="0.25">
      <c r="A93296"/>
      <c r="B93296"/>
      <c r="C93296"/>
      <c r="E93296"/>
      <c r="F93296"/>
    </row>
    <row r="93297" spans="1:6" x14ac:dyDescent="0.25">
      <c r="A93297"/>
      <c r="B93297"/>
      <c r="C93297"/>
      <c r="E93297"/>
      <c r="F93297"/>
    </row>
    <row r="93298" spans="1:6" x14ac:dyDescent="0.25">
      <c r="A93298"/>
      <c r="B93298"/>
      <c r="C93298"/>
      <c r="E93298"/>
      <c r="F93298"/>
    </row>
    <row r="93299" spans="1:6" x14ac:dyDescent="0.25">
      <c r="A93299"/>
      <c r="B93299"/>
      <c r="C93299"/>
      <c r="E93299"/>
      <c r="F93299"/>
    </row>
    <row r="93300" spans="1:6" x14ac:dyDescent="0.25">
      <c r="A93300"/>
      <c r="B93300"/>
      <c r="C93300"/>
      <c r="E93300"/>
      <c r="F93300"/>
    </row>
    <row r="93301" spans="1:6" x14ac:dyDescent="0.25">
      <c r="A93301"/>
      <c r="B93301"/>
      <c r="C93301"/>
      <c r="E93301"/>
      <c r="F93301"/>
    </row>
    <row r="93302" spans="1:6" x14ac:dyDescent="0.25">
      <c r="A93302"/>
      <c r="B93302"/>
      <c r="C93302"/>
      <c r="E93302"/>
      <c r="F93302"/>
    </row>
    <row r="93303" spans="1:6" x14ac:dyDescent="0.25">
      <c r="A93303"/>
      <c r="B93303"/>
      <c r="C93303"/>
      <c r="E93303"/>
      <c r="F93303"/>
    </row>
    <row r="93304" spans="1:6" x14ac:dyDescent="0.25">
      <c r="A93304"/>
      <c r="B93304"/>
      <c r="C93304"/>
      <c r="E93304"/>
      <c r="F93304"/>
    </row>
    <row r="93305" spans="1:6" x14ac:dyDescent="0.25">
      <c r="A93305"/>
      <c r="B93305"/>
      <c r="C93305"/>
      <c r="E93305"/>
      <c r="F93305"/>
    </row>
    <row r="93306" spans="1:6" x14ac:dyDescent="0.25">
      <c r="A93306"/>
      <c r="B93306"/>
      <c r="C93306"/>
      <c r="E93306"/>
      <c r="F93306"/>
    </row>
    <row r="93307" spans="1:6" x14ac:dyDescent="0.25">
      <c r="A93307"/>
      <c r="B93307"/>
      <c r="C93307"/>
      <c r="E93307"/>
      <c r="F93307"/>
    </row>
    <row r="93308" spans="1:6" x14ac:dyDescent="0.25">
      <c r="A93308"/>
      <c r="B93308"/>
      <c r="C93308"/>
      <c r="E93308"/>
      <c r="F93308"/>
    </row>
    <row r="93309" spans="1:6" x14ac:dyDescent="0.25">
      <c r="A93309"/>
      <c r="B93309"/>
      <c r="C93309"/>
      <c r="E93309"/>
      <c r="F93309"/>
    </row>
    <row r="93310" spans="1:6" x14ac:dyDescent="0.25">
      <c r="A93310"/>
      <c r="B93310"/>
      <c r="C93310"/>
      <c r="E93310"/>
      <c r="F93310"/>
    </row>
    <row r="93311" spans="1:6" x14ac:dyDescent="0.25">
      <c r="A93311"/>
      <c r="B93311"/>
      <c r="C93311"/>
      <c r="E93311"/>
      <c r="F93311"/>
    </row>
    <row r="93312" spans="1:6" x14ac:dyDescent="0.25">
      <c r="A93312"/>
      <c r="B93312"/>
      <c r="C93312"/>
      <c r="E93312"/>
      <c r="F93312"/>
    </row>
    <row r="93313" spans="1:6" x14ac:dyDescent="0.25">
      <c r="A93313"/>
      <c r="B93313"/>
      <c r="C93313"/>
      <c r="E93313"/>
      <c r="F93313"/>
    </row>
    <row r="93314" spans="1:6" x14ac:dyDescent="0.25">
      <c r="A93314"/>
      <c r="B93314"/>
      <c r="C93314"/>
      <c r="E93314"/>
      <c r="F93314"/>
    </row>
    <row r="93315" spans="1:6" x14ac:dyDescent="0.25">
      <c r="A93315"/>
      <c r="B93315"/>
      <c r="C93315"/>
      <c r="E93315"/>
      <c r="F93315"/>
    </row>
    <row r="93316" spans="1:6" x14ac:dyDescent="0.25">
      <c r="A93316"/>
      <c r="B93316"/>
      <c r="C93316"/>
      <c r="E93316"/>
      <c r="F93316"/>
    </row>
    <row r="93317" spans="1:6" x14ac:dyDescent="0.25">
      <c r="A93317"/>
      <c r="B93317"/>
      <c r="C93317"/>
      <c r="E93317"/>
      <c r="F93317"/>
    </row>
    <row r="93318" spans="1:6" x14ac:dyDescent="0.25">
      <c r="A93318"/>
      <c r="B93318"/>
      <c r="C93318"/>
      <c r="E93318"/>
      <c r="F93318"/>
    </row>
    <row r="93319" spans="1:6" x14ac:dyDescent="0.25">
      <c r="A93319"/>
      <c r="B93319"/>
      <c r="C93319"/>
      <c r="E93319"/>
      <c r="F93319"/>
    </row>
    <row r="93320" spans="1:6" x14ac:dyDescent="0.25">
      <c r="A93320"/>
      <c r="B93320"/>
      <c r="C93320"/>
      <c r="E93320"/>
      <c r="F93320"/>
    </row>
    <row r="93321" spans="1:6" x14ac:dyDescent="0.25">
      <c r="A93321"/>
      <c r="B93321"/>
      <c r="C93321"/>
      <c r="E93321"/>
      <c r="F93321"/>
    </row>
    <row r="93322" spans="1:6" x14ac:dyDescent="0.25">
      <c r="A93322"/>
      <c r="B93322"/>
      <c r="C93322"/>
      <c r="E93322"/>
      <c r="F93322"/>
    </row>
    <row r="93323" spans="1:6" x14ac:dyDescent="0.25">
      <c r="A93323"/>
      <c r="B93323"/>
      <c r="C93323"/>
      <c r="E93323"/>
      <c r="F93323"/>
    </row>
    <row r="93324" spans="1:6" x14ac:dyDescent="0.25">
      <c r="A93324"/>
      <c r="B93324"/>
      <c r="C93324"/>
      <c r="E93324"/>
      <c r="F93324"/>
    </row>
    <row r="93325" spans="1:6" x14ac:dyDescent="0.25">
      <c r="A93325"/>
      <c r="B93325"/>
      <c r="C93325"/>
      <c r="E93325"/>
      <c r="F93325"/>
    </row>
    <row r="93326" spans="1:6" x14ac:dyDescent="0.25">
      <c r="A93326"/>
      <c r="B93326"/>
      <c r="C93326"/>
      <c r="E93326"/>
      <c r="F93326"/>
    </row>
    <row r="93327" spans="1:6" x14ac:dyDescent="0.25">
      <c r="A93327"/>
      <c r="B93327"/>
      <c r="C93327"/>
      <c r="E93327"/>
      <c r="F93327"/>
    </row>
    <row r="93328" spans="1:6" x14ac:dyDescent="0.25">
      <c r="A93328"/>
      <c r="B93328"/>
      <c r="C93328"/>
      <c r="E93328"/>
      <c r="F93328"/>
    </row>
    <row r="93329" spans="1:6" x14ac:dyDescent="0.25">
      <c r="A93329"/>
      <c r="B93329"/>
      <c r="C93329"/>
      <c r="E93329"/>
      <c r="F93329"/>
    </row>
    <row r="93330" spans="1:6" x14ac:dyDescent="0.25">
      <c r="A93330"/>
      <c r="B93330"/>
      <c r="C93330"/>
      <c r="E93330"/>
      <c r="F93330"/>
    </row>
    <row r="93331" spans="1:6" x14ac:dyDescent="0.25">
      <c r="A93331"/>
      <c r="B93331"/>
      <c r="C93331"/>
      <c r="E93331"/>
      <c r="F93331"/>
    </row>
    <row r="93332" spans="1:6" x14ac:dyDescent="0.25">
      <c r="A93332"/>
      <c r="B93332"/>
      <c r="C93332"/>
      <c r="E93332"/>
      <c r="F93332"/>
    </row>
    <row r="93333" spans="1:6" x14ac:dyDescent="0.25">
      <c r="A93333"/>
      <c r="B93333"/>
      <c r="C93333"/>
      <c r="E93333"/>
      <c r="F93333"/>
    </row>
    <row r="93334" spans="1:6" x14ac:dyDescent="0.25">
      <c r="A93334"/>
      <c r="B93334"/>
      <c r="C93334"/>
      <c r="E93334"/>
      <c r="F93334"/>
    </row>
    <row r="93335" spans="1:6" x14ac:dyDescent="0.25">
      <c r="A93335"/>
      <c r="B93335"/>
      <c r="C93335"/>
      <c r="E93335"/>
      <c r="F93335"/>
    </row>
    <row r="93336" spans="1:6" x14ac:dyDescent="0.25">
      <c r="A93336"/>
      <c r="B93336"/>
      <c r="C93336"/>
      <c r="E93336"/>
      <c r="F93336"/>
    </row>
    <row r="93337" spans="1:6" x14ac:dyDescent="0.25">
      <c r="A93337"/>
      <c r="B93337"/>
      <c r="C93337"/>
      <c r="E93337"/>
      <c r="F93337"/>
    </row>
    <row r="93338" spans="1:6" x14ac:dyDescent="0.25">
      <c r="A93338"/>
      <c r="B93338"/>
      <c r="C93338"/>
      <c r="E93338"/>
      <c r="F93338"/>
    </row>
    <row r="93339" spans="1:6" x14ac:dyDescent="0.25">
      <c r="A93339"/>
      <c r="B93339"/>
      <c r="C93339"/>
      <c r="E93339"/>
      <c r="F93339"/>
    </row>
    <row r="93340" spans="1:6" x14ac:dyDescent="0.25">
      <c r="A93340"/>
      <c r="B93340"/>
      <c r="C93340"/>
      <c r="E93340"/>
      <c r="F93340"/>
    </row>
    <row r="93341" spans="1:6" x14ac:dyDescent="0.25">
      <c r="A93341"/>
      <c r="B93341"/>
      <c r="C93341"/>
      <c r="E93341"/>
      <c r="F93341"/>
    </row>
    <row r="93342" spans="1:6" x14ac:dyDescent="0.25">
      <c r="A93342"/>
      <c r="B93342"/>
      <c r="C93342"/>
      <c r="E93342"/>
      <c r="F93342"/>
    </row>
    <row r="93343" spans="1:6" x14ac:dyDescent="0.25">
      <c r="A93343"/>
      <c r="B93343"/>
      <c r="C93343"/>
      <c r="E93343"/>
      <c r="F93343"/>
    </row>
    <row r="93344" spans="1:6" x14ac:dyDescent="0.25">
      <c r="A93344"/>
      <c r="B93344"/>
      <c r="C93344"/>
      <c r="E93344"/>
      <c r="F93344"/>
    </row>
    <row r="93345" spans="1:6" x14ac:dyDescent="0.25">
      <c r="A93345"/>
      <c r="B93345"/>
      <c r="C93345"/>
      <c r="E93345"/>
      <c r="F93345"/>
    </row>
    <row r="93346" spans="1:6" x14ac:dyDescent="0.25">
      <c r="A93346"/>
      <c r="B93346"/>
      <c r="C93346"/>
      <c r="E93346"/>
      <c r="F93346"/>
    </row>
    <row r="93347" spans="1:6" x14ac:dyDescent="0.25">
      <c r="A93347"/>
      <c r="B93347"/>
      <c r="C93347"/>
      <c r="E93347"/>
      <c r="F93347"/>
    </row>
    <row r="93348" spans="1:6" x14ac:dyDescent="0.25">
      <c r="A93348"/>
      <c r="B93348"/>
      <c r="C93348"/>
      <c r="E93348"/>
      <c r="F93348"/>
    </row>
    <row r="93349" spans="1:6" x14ac:dyDescent="0.25">
      <c r="A93349"/>
      <c r="B93349"/>
      <c r="C93349"/>
      <c r="E93349"/>
      <c r="F93349"/>
    </row>
    <row r="93350" spans="1:6" x14ac:dyDescent="0.25">
      <c r="A93350"/>
      <c r="B93350"/>
      <c r="C93350"/>
      <c r="E93350"/>
      <c r="F93350"/>
    </row>
    <row r="93351" spans="1:6" x14ac:dyDescent="0.25">
      <c r="A93351"/>
      <c r="B93351"/>
      <c r="C93351"/>
      <c r="E93351"/>
      <c r="F93351"/>
    </row>
    <row r="93352" spans="1:6" x14ac:dyDescent="0.25">
      <c r="A93352"/>
      <c r="B93352"/>
      <c r="C93352"/>
      <c r="E93352"/>
      <c r="F93352"/>
    </row>
    <row r="93353" spans="1:6" x14ac:dyDescent="0.25">
      <c r="A93353"/>
      <c r="B93353"/>
      <c r="C93353"/>
      <c r="E93353"/>
      <c r="F93353"/>
    </row>
    <row r="93354" spans="1:6" x14ac:dyDescent="0.25">
      <c r="A93354"/>
      <c r="B93354"/>
      <c r="C93354"/>
      <c r="E93354"/>
      <c r="F93354"/>
    </row>
    <row r="93355" spans="1:6" x14ac:dyDescent="0.25">
      <c r="A93355"/>
      <c r="B93355"/>
      <c r="C93355"/>
      <c r="E93355"/>
      <c r="F93355"/>
    </row>
    <row r="93356" spans="1:6" x14ac:dyDescent="0.25">
      <c r="A93356"/>
      <c r="B93356"/>
      <c r="C93356"/>
      <c r="E93356"/>
      <c r="F93356"/>
    </row>
    <row r="93357" spans="1:6" x14ac:dyDescent="0.25">
      <c r="A93357"/>
      <c r="B93357"/>
      <c r="C93357"/>
      <c r="E93357"/>
      <c r="F93357"/>
    </row>
    <row r="93358" spans="1:6" x14ac:dyDescent="0.25">
      <c r="A93358"/>
      <c r="B93358"/>
      <c r="C93358"/>
      <c r="E93358"/>
      <c r="F93358"/>
    </row>
    <row r="93359" spans="1:6" x14ac:dyDescent="0.25">
      <c r="A93359"/>
      <c r="B93359"/>
      <c r="C93359"/>
      <c r="E93359"/>
      <c r="F93359"/>
    </row>
    <row r="93360" spans="1:6" x14ac:dyDescent="0.25">
      <c r="A93360"/>
      <c r="B93360"/>
      <c r="C93360"/>
      <c r="E93360"/>
      <c r="F93360"/>
    </row>
    <row r="93361" spans="1:6" x14ac:dyDescent="0.25">
      <c r="A93361"/>
      <c r="B93361"/>
      <c r="C93361"/>
      <c r="E93361"/>
      <c r="F93361"/>
    </row>
    <row r="93362" spans="1:6" x14ac:dyDescent="0.25">
      <c r="A93362"/>
      <c r="B93362"/>
      <c r="C93362"/>
      <c r="E93362"/>
      <c r="F93362"/>
    </row>
    <row r="93363" spans="1:6" x14ac:dyDescent="0.25">
      <c r="A93363"/>
      <c r="B93363"/>
      <c r="C93363"/>
      <c r="E93363"/>
      <c r="F93363"/>
    </row>
    <row r="93364" spans="1:6" x14ac:dyDescent="0.25">
      <c r="A93364"/>
      <c r="B93364"/>
      <c r="C93364"/>
      <c r="E93364"/>
      <c r="F93364"/>
    </row>
    <row r="93365" spans="1:6" x14ac:dyDescent="0.25">
      <c r="A93365"/>
      <c r="B93365"/>
      <c r="C93365"/>
      <c r="E93365"/>
      <c r="F93365"/>
    </row>
    <row r="93366" spans="1:6" x14ac:dyDescent="0.25">
      <c r="A93366"/>
      <c r="B93366"/>
      <c r="C93366"/>
      <c r="E93366"/>
      <c r="F93366"/>
    </row>
    <row r="93367" spans="1:6" x14ac:dyDescent="0.25">
      <c r="A93367"/>
      <c r="B93367"/>
      <c r="C93367"/>
      <c r="E93367"/>
      <c r="F93367"/>
    </row>
    <row r="93368" spans="1:6" x14ac:dyDescent="0.25">
      <c r="A93368"/>
      <c r="B93368"/>
      <c r="C93368"/>
      <c r="E93368"/>
      <c r="F93368"/>
    </row>
    <row r="93369" spans="1:6" x14ac:dyDescent="0.25">
      <c r="A93369"/>
      <c r="B93369"/>
      <c r="C93369"/>
      <c r="E93369"/>
      <c r="F93369"/>
    </row>
    <row r="93370" spans="1:6" x14ac:dyDescent="0.25">
      <c r="A93370"/>
      <c r="B93370"/>
      <c r="C93370"/>
      <c r="E93370"/>
      <c r="F93370"/>
    </row>
    <row r="93371" spans="1:6" x14ac:dyDescent="0.25">
      <c r="A93371"/>
      <c r="B93371"/>
      <c r="C93371"/>
      <c r="E93371"/>
      <c r="F93371"/>
    </row>
    <row r="93372" spans="1:6" x14ac:dyDescent="0.25">
      <c r="A93372"/>
      <c r="B93372"/>
      <c r="C93372"/>
      <c r="E93372"/>
      <c r="F93372"/>
    </row>
    <row r="93373" spans="1:6" x14ac:dyDescent="0.25">
      <c r="A93373"/>
      <c r="B93373"/>
      <c r="C93373"/>
      <c r="E93373"/>
      <c r="F93373"/>
    </row>
    <row r="93374" spans="1:6" x14ac:dyDescent="0.25">
      <c r="A93374"/>
      <c r="B93374"/>
      <c r="C93374"/>
      <c r="E93374"/>
      <c r="F93374"/>
    </row>
    <row r="93375" spans="1:6" x14ac:dyDescent="0.25">
      <c r="A93375"/>
      <c r="B93375"/>
      <c r="C93375"/>
      <c r="E93375"/>
      <c r="F93375"/>
    </row>
    <row r="93376" spans="1:6" x14ac:dyDescent="0.25">
      <c r="A93376"/>
      <c r="B93376"/>
      <c r="C93376"/>
      <c r="E93376"/>
      <c r="F93376"/>
    </row>
    <row r="93377" spans="1:6" x14ac:dyDescent="0.25">
      <c r="A93377"/>
      <c r="B93377"/>
      <c r="C93377"/>
      <c r="E93377"/>
      <c r="F93377"/>
    </row>
    <row r="93378" spans="1:6" x14ac:dyDescent="0.25">
      <c r="A93378"/>
      <c r="B93378"/>
      <c r="C93378"/>
      <c r="E93378"/>
      <c r="F93378"/>
    </row>
    <row r="93379" spans="1:6" x14ac:dyDescent="0.25">
      <c r="A93379"/>
      <c r="B93379"/>
      <c r="C93379"/>
      <c r="E93379"/>
      <c r="F93379"/>
    </row>
    <row r="93380" spans="1:6" x14ac:dyDescent="0.25">
      <c r="A93380"/>
      <c r="B93380"/>
      <c r="C93380"/>
      <c r="E93380"/>
      <c r="F93380"/>
    </row>
    <row r="93381" spans="1:6" x14ac:dyDescent="0.25">
      <c r="A93381"/>
      <c r="B93381"/>
      <c r="C93381"/>
      <c r="E93381"/>
      <c r="F93381"/>
    </row>
    <row r="93382" spans="1:6" x14ac:dyDescent="0.25">
      <c r="A93382"/>
      <c r="B93382"/>
      <c r="C93382"/>
      <c r="E93382"/>
      <c r="F93382"/>
    </row>
    <row r="93383" spans="1:6" x14ac:dyDescent="0.25">
      <c r="A93383"/>
      <c r="B93383"/>
      <c r="C93383"/>
      <c r="E93383"/>
      <c r="F93383"/>
    </row>
    <row r="93384" spans="1:6" x14ac:dyDescent="0.25">
      <c r="A93384"/>
      <c r="B93384"/>
      <c r="C93384"/>
      <c r="E93384"/>
      <c r="F93384"/>
    </row>
    <row r="93385" spans="1:6" x14ac:dyDescent="0.25">
      <c r="A93385"/>
      <c r="B93385"/>
      <c r="C93385"/>
      <c r="E93385"/>
      <c r="F93385"/>
    </row>
    <row r="93386" spans="1:6" x14ac:dyDescent="0.25">
      <c r="A93386"/>
      <c r="B93386"/>
      <c r="C93386"/>
      <c r="E93386"/>
      <c r="F93386"/>
    </row>
    <row r="93387" spans="1:6" x14ac:dyDescent="0.25">
      <c r="A93387"/>
      <c r="B93387"/>
      <c r="C93387"/>
      <c r="E93387"/>
      <c r="F93387"/>
    </row>
    <row r="93388" spans="1:6" x14ac:dyDescent="0.25">
      <c r="A93388"/>
      <c r="B93388"/>
      <c r="C93388"/>
      <c r="E93388"/>
      <c r="F93388"/>
    </row>
    <row r="93389" spans="1:6" x14ac:dyDescent="0.25">
      <c r="A93389"/>
      <c r="B93389"/>
      <c r="C93389"/>
      <c r="E93389"/>
      <c r="F93389"/>
    </row>
    <row r="93390" spans="1:6" x14ac:dyDescent="0.25">
      <c r="A93390"/>
      <c r="B93390"/>
      <c r="C93390"/>
      <c r="E93390"/>
      <c r="F93390"/>
    </row>
    <row r="93391" spans="1:6" x14ac:dyDescent="0.25">
      <c r="A93391"/>
      <c r="B93391"/>
      <c r="C93391"/>
      <c r="E93391"/>
      <c r="F93391"/>
    </row>
    <row r="93392" spans="1:6" x14ac:dyDescent="0.25">
      <c r="A93392"/>
      <c r="B93392"/>
      <c r="C93392"/>
      <c r="E93392"/>
      <c r="F93392"/>
    </row>
    <row r="93393" spans="1:6" x14ac:dyDescent="0.25">
      <c r="A93393"/>
      <c r="B93393"/>
      <c r="C93393"/>
      <c r="E93393"/>
      <c r="F93393"/>
    </row>
    <row r="93394" spans="1:6" x14ac:dyDescent="0.25">
      <c r="A93394"/>
      <c r="B93394"/>
      <c r="C93394"/>
      <c r="E93394"/>
      <c r="F93394"/>
    </row>
    <row r="93395" spans="1:6" x14ac:dyDescent="0.25">
      <c r="A93395"/>
      <c r="B93395"/>
      <c r="C93395"/>
      <c r="E93395"/>
      <c r="F93395"/>
    </row>
    <row r="93396" spans="1:6" x14ac:dyDescent="0.25">
      <c r="A93396"/>
      <c r="B93396"/>
      <c r="C93396"/>
      <c r="E93396"/>
      <c r="F93396"/>
    </row>
    <row r="93397" spans="1:6" x14ac:dyDescent="0.25">
      <c r="A93397"/>
      <c r="B93397"/>
      <c r="C93397"/>
      <c r="E93397"/>
      <c r="F93397"/>
    </row>
    <row r="93398" spans="1:6" x14ac:dyDescent="0.25">
      <c r="A93398"/>
      <c r="B93398"/>
      <c r="C93398"/>
      <c r="E93398"/>
      <c r="F93398"/>
    </row>
    <row r="93399" spans="1:6" x14ac:dyDescent="0.25">
      <c r="A93399"/>
      <c r="B93399"/>
      <c r="C93399"/>
      <c r="E93399"/>
      <c r="F93399"/>
    </row>
    <row r="93400" spans="1:6" x14ac:dyDescent="0.25">
      <c r="A93400"/>
      <c r="B93400"/>
      <c r="C93400"/>
      <c r="E93400"/>
      <c r="F93400"/>
    </row>
    <row r="93401" spans="1:6" x14ac:dyDescent="0.25">
      <c r="A93401"/>
      <c r="B93401"/>
      <c r="C93401"/>
      <c r="E93401"/>
      <c r="F93401"/>
    </row>
    <row r="93402" spans="1:6" x14ac:dyDescent="0.25">
      <c r="A93402"/>
      <c r="B93402"/>
      <c r="C93402"/>
      <c r="E93402"/>
      <c r="F93402"/>
    </row>
    <row r="93403" spans="1:6" x14ac:dyDescent="0.25">
      <c r="A93403"/>
      <c r="B93403"/>
      <c r="C93403"/>
      <c r="E93403"/>
      <c r="F93403"/>
    </row>
    <row r="93404" spans="1:6" x14ac:dyDescent="0.25">
      <c r="A93404"/>
      <c r="B93404"/>
      <c r="C93404"/>
      <c r="E93404"/>
      <c r="F93404"/>
    </row>
    <row r="93405" spans="1:6" x14ac:dyDescent="0.25">
      <c r="A93405"/>
      <c r="B93405"/>
      <c r="C93405"/>
      <c r="E93405"/>
      <c r="F93405"/>
    </row>
    <row r="93406" spans="1:6" x14ac:dyDescent="0.25">
      <c r="A93406"/>
      <c r="B93406"/>
      <c r="C93406"/>
      <c r="E93406"/>
      <c r="F93406"/>
    </row>
    <row r="93407" spans="1:6" x14ac:dyDescent="0.25">
      <c r="A93407"/>
      <c r="B93407"/>
      <c r="C93407"/>
      <c r="E93407"/>
      <c r="F93407"/>
    </row>
    <row r="93408" spans="1:6" x14ac:dyDescent="0.25">
      <c r="A93408"/>
      <c r="B93408"/>
      <c r="C93408"/>
      <c r="E93408"/>
      <c r="F93408"/>
    </row>
    <row r="93409" spans="1:6" x14ac:dyDescent="0.25">
      <c r="A93409"/>
      <c r="B93409"/>
      <c r="C93409"/>
      <c r="E93409"/>
      <c r="F93409"/>
    </row>
    <row r="93410" spans="1:6" x14ac:dyDescent="0.25">
      <c r="A93410"/>
      <c r="B93410"/>
      <c r="C93410"/>
      <c r="E93410"/>
      <c r="F93410"/>
    </row>
    <row r="93411" spans="1:6" x14ac:dyDescent="0.25">
      <c r="A93411"/>
      <c r="B93411"/>
      <c r="C93411"/>
      <c r="E93411"/>
      <c r="F93411"/>
    </row>
    <row r="93412" spans="1:6" x14ac:dyDescent="0.25">
      <c r="A93412"/>
      <c r="B93412"/>
      <c r="C93412"/>
      <c r="E93412"/>
      <c r="F93412"/>
    </row>
    <row r="93413" spans="1:6" x14ac:dyDescent="0.25">
      <c r="A93413"/>
      <c r="B93413"/>
      <c r="C93413"/>
      <c r="E93413"/>
      <c r="F93413"/>
    </row>
    <row r="93414" spans="1:6" x14ac:dyDescent="0.25">
      <c r="A93414"/>
      <c r="B93414"/>
      <c r="C93414"/>
      <c r="E93414"/>
      <c r="F93414"/>
    </row>
    <row r="93415" spans="1:6" x14ac:dyDescent="0.25">
      <c r="A93415"/>
      <c r="B93415"/>
      <c r="C93415"/>
      <c r="E93415"/>
      <c r="F93415"/>
    </row>
    <row r="93416" spans="1:6" x14ac:dyDescent="0.25">
      <c r="A93416"/>
      <c r="B93416"/>
      <c r="C93416"/>
      <c r="E93416"/>
      <c r="F93416"/>
    </row>
    <row r="93417" spans="1:6" x14ac:dyDescent="0.25">
      <c r="A93417"/>
      <c r="B93417"/>
      <c r="C93417"/>
      <c r="E93417"/>
      <c r="F93417"/>
    </row>
    <row r="93418" spans="1:6" x14ac:dyDescent="0.25">
      <c r="A93418"/>
      <c r="B93418"/>
      <c r="C93418"/>
      <c r="E93418"/>
      <c r="F93418"/>
    </row>
    <row r="93419" spans="1:6" x14ac:dyDescent="0.25">
      <c r="A93419"/>
      <c r="B93419"/>
      <c r="C93419"/>
      <c r="E93419"/>
      <c r="F93419"/>
    </row>
    <row r="93420" spans="1:6" x14ac:dyDescent="0.25">
      <c r="A93420"/>
      <c r="B93420"/>
      <c r="C93420"/>
      <c r="E93420"/>
      <c r="F93420"/>
    </row>
    <row r="93421" spans="1:6" x14ac:dyDescent="0.25">
      <c r="A93421"/>
      <c r="B93421"/>
      <c r="C93421"/>
      <c r="E93421"/>
      <c r="F93421"/>
    </row>
    <row r="93422" spans="1:6" x14ac:dyDescent="0.25">
      <c r="A93422"/>
      <c r="B93422"/>
      <c r="C93422"/>
      <c r="E93422"/>
      <c r="F93422"/>
    </row>
    <row r="93423" spans="1:6" x14ac:dyDescent="0.25">
      <c r="A93423"/>
      <c r="B93423"/>
      <c r="C93423"/>
      <c r="E93423"/>
      <c r="F93423"/>
    </row>
    <row r="93424" spans="1:6" x14ac:dyDescent="0.25">
      <c r="A93424"/>
      <c r="B93424"/>
      <c r="C93424"/>
      <c r="E93424"/>
      <c r="F93424"/>
    </row>
    <row r="93425" spans="1:6" x14ac:dyDescent="0.25">
      <c r="A93425"/>
      <c r="B93425"/>
      <c r="C93425"/>
      <c r="E93425"/>
      <c r="F93425"/>
    </row>
    <row r="93426" spans="1:6" x14ac:dyDescent="0.25">
      <c r="A93426"/>
      <c r="B93426"/>
      <c r="C93426"/>
      <c r="E93426"/>
      <c r="F93426"/>
    </row>
    <row r="93427" spans="1:6" x14ac:dyDescent="0.25">
      <c r="A93427"/>
      <c r="B93427"/>
      <c r="C93427"/>
      <c r="E93427"/>
      <c r="F93427"/>
    </row>
    <row r="93428" spans="1:6" x14ac:dyDescent="0.25">
      <c r="A93428"/>
      <c r="B93428"/>
      <c r="C93428"/>
      <c r="E93428"/>
      <c r="F93428"/>
    </row>
    <row r="93429" spans="1:6" x14ac:dyDescent="0.25">
      <c r="A93429"/>
      <c r="B93429"/>
      <c r="C93429"/>
      <c r="E93429"/>
      <c r="F93429"/>
    </row>
    <row r="93430" spans="1:6" x14ac:dyDescent="0.25">
      <c r="A93430"/>
      <c r="B93430"/>
      <c r="C93430"/>
      <c r="E93430"/>
      <c r="F93430"/>
    </row>
    <row r="93431" spans="1:6" x14ac:dyDescent="0.25">
      <c r="A93431"/>
      <c r="B93431"/>
      <c r="C93431"/>
      <c r="E93431"/>
      <c r="F93431"/>
    </row>
    <row r="93432" spans="1:6" x14ac:dyDescent="0.25">
      <c r="A93432"/>
      <c r="B93432"/>
      <c r="C93432"/>
      <c r="E93432"/>
      <c r="F93432"/>
    </row>
    <row r="93433" spans="1:6" x14ac:dyDescent="0.25">
      <c r="A93433"/>
      <c r="B93433"/>
      <c r="C93433"/>
      <c r="E93433"/>
      <c r="F93433"/>
    </row>
    <row r="93434" spans="1:6" x14ac:dyDescent="0.25">
      <c r="A93434"/>
      <c r="B93434"/>
      <c r="C93434"/>
      <c r="E93434"/>
      <c r="F93434"/>
    </row>
    <row r="93435" spans="1:6" x14ac:dyDescent="0.25">
      <c r="A93435"/>
      <c r="B93435"/>
      <c r="C93435"/>
      <c r="E93435"/>
      <c r="F93435"/>
    </row>
    <row r="93436" spans="1:6" x14ac:dyDescent="0.25">
      <c r="A93436"/>
      <c r="B93436"/>
      <c r="C93436"/>
      <c r="E93436"/>
      <c r="F93436"/>
    </row>
    <row r="93437" spans="1:6" x14ac:dyDescent="0.25">
      <c r="A93437"/>
      <c r="B93437"/>
      <c r="C93437"/>
      <c r="E93437"/>
      <c r="F93437"/>
    </row>
    <row r="93438" spans="1:6" x14ac:dyDescent="0.25">
      <c r="A93438"/>
      <c r="B93438"/>
      <c r="C93438"/>
      <c r="E93438"/>
      <c r="F93438"/>
    </row>
    <row r="93439" spans="1:6" x14ac:dyDescent="0.25">
      <c r="A93439"/>
      <c r="B93439"/>
      <c r="C93439"/>
      <c r="E93439"/>
      <c r="F93439"/>
    </row>
    <row r="93440" spans="1:6" x14ac:dyDescent="0.25">
      <c r="A93440"/>
      <c r="B93440"/>
      <c r="C93440"/>
      <c r="E93440"/>
      <c r="F93440"/>
    </row>
    <row r="93441" spans="1:6" x14ac:dyDescent="0.25">
      <c r="A93441"/>
      <c r="B93441"/>
      <c r="C93441"/>
      <c r="E93441"/>
      <c r="F93441"/>
    </row>
    <row r="93442" spans="1:6" x14ac:dyDescent="0.25">
      <c r="A93442"/>
      <c r="B93442"/>
      <c r="C93442"/>
      <c r="E93442"/>
      <c r="F93442"/>
    </row>
    <row r="93443" spans="1:6" x14ac:dyDescent="0.25">
      <c r="A93443"/>
      <c r="B93443"/>
      <c r="C93443"/>
      <c r="E93443"/>
      <c r="F93443"/>
    </row>
    <row r="93444" spans="1:6" x14ac:dyDescent="0.25">
      <c r="A93444"/>
      <c r="B93444"/>
      <c r="C93444"/>
      <c r="E93444"/>
      <c r="F93444"/>
    </row>
    <row r="93445" spans="1:6" x14ac:dyDescent="0.25">
      <c r="A93445"/>
      <c r="B93445"/>
      <c r="C93445"/>
      <c r="E93445"/>
      <c r="F93445"/>
    </row>
    <row r="93446" spans="1:6" x14ac:dyDescent="0.25">
      <c r="A93446"/>
      <c r="B93446"/>
      <c r="C93446"/>
      <c r="E93446"/>
      <c r="F93446"/>
    </row>
    <row r="93447" spans="1:6" x14ac:dyDescent="0.25">
      <c r="A93447"/>
      <c r="B93447"/>
      <c r="C93447"/>
      <c r="E93447"/>
      <c r="F93447"/>
    </row>
    <row r="93448" spans="1:6" x14ac:dyDescent="0.25">
      <c r="A93448"/>
      <c r="B93448"/>
      <c r="C93448"/>
      <c r="E93448"/>
      <c r="F93448"/>
    </row>
    <row r="93449" spans="1:6" x14ac:dyDescent="0.25">
      <c r="A93449"/>
      <c r="B93449"/>
      <c r="C93449"/>
      <c r="E93449"/>
      <c r="F93449"/>
    </row>
    <row r="93450" spans="1:6" x14ac:dyDescent="0.25">
      <c r="A93450"/>
      <c r="B93450"/>
      <c r="C93450"/>
      <c r="E93450"/>
      <c r="F93450"/>
    </row>
    <row r="93451" spans="1:6" x14ac:dyDescent="0.25">
      <c r="A93451"/>
      <c r="B93451"/>
      <c r="C93451"/>
      <c r="E93451"/>
      <c r="F93451"/>
    </row>
    <row r="93452" spans="1:6" x14ac:dyDescent="0.25">
      <c r="A93452"/>
      <c r="B93452"/>
      <c r="C93452"/>
      <c r="E93452"/>
      <c r="F93452"/>
    </row>
    <row r="93453" spans="1:6" x14ac:dyDescent="0.25">
      <c r="A93453"/>
      <c r="B93453"/>
      <c r="C93453"/>
      <c r="E93453"/>
      <c r="F93453"/>
    </row>
    <row r="93454" spans="1:6" x14ac:dyDescent="0.25">
      <c r="A93454"/>
      <c r="B93454"/>
      <c r="C93454"/>
      <c r="E93454"/>
      <c r="F93454"/>
    </row>
    <row r="93455" spans="1:6" x14ac:dyDescent="0.25">
      <c r="A93455"/>
      <c r="B93455"/>
      <c r="C93455"/>
      <c r="E93455"/>
      <c r="F93455"/>
    </row>
    <row r="93456" spans="1:6" x14ac:dyDescent="0.25">
      <c r="A93456"/>
      <c r="B93456"/>
      <c r="C93456"/>
      <c r="E93456"/>
      <c r="F93456"/>
    </row>
    <row r="93457" spans="1:6" x14ac:dyDescent="0.25">
      <c r="A93457"/>
      <c r="B93457"/>
      <c r="C93457"/>
      <c r="E93457"/>
      <c r="F93457"/>
    </row>
    <row r="93458" spans="1:6" x14ac:dyDescent="0.25">
      <c r="A93458"/>
      <c r="B93458"/>
      <c r="C93458"/>
      <c r="E93458"/>
      <c r="F93458"/>
    </row>
    <row r="93459" spans="1:6" x14ac:dyDescent="0.25">
      <c r="A93459"/>
      <c r="B93459"/>
      <c r="C93459"/>
      <c r="E93459"/>
      <c r="F93459"/>
    </row>
    <row r="93460" spans="1:6" x14ac:dyDescent="0.25">
      <c r="A93460"/>
      <c r="B93460"/>
      <c r="C93460"/>
      <c r="E93460"/>
      <c r="F93460"/>
    </row>
    <row r="93461" spans="1:6" x14ac:dyDescent="0.25">
      <c r="A93461"/>
      <c r="B93461"/>
      <c r="C93461"/>
      <c r="E93461"/>
      <c r="F93461"/>
    </row>
    <row r="93462" spans="1:6" x14ac:dyDescent="0.25">
      <c r="A93462"/>
      <c r="B93462"/>
      <c r="C93462"/>
      <c r="E93462"/>
      <c r="F93462"/>
    </row>
    <row r="93463" spans="1:6" x14ac:dyDescent="0.25">
      <c r="A93463"/>
      <c r="B93463"/>
      <c r="C93463"/>
      <c r="E93463"/>
      <c r="F93463"/>
    </row>
    <row r="93464" spans="1:6" x14ac:dyDescent="0.25">
      <c r="A93464"/>
      <c r="B93464"/>
      <c r="C93464"/>
      <c r="E93464"/>
      <c r="F93464"/>
    </row>
    <row r="93465" spans="1:6" x14ac:dyDescent="0.25">
      <c r="A93465"/>
      <c r="B93465"/>
      <c r="C93465"/>
      <c r="E93465"/>
      <c r="F93465"/>
    </row>
    <row r="93466" spans="1:6" x14ac:dyDescent="0.25">
      <c r="A93466"/>
      <c r="B93466"/>
      <c r="C93466"/>
      <c r="E93466"/>
      <c r="F93466"/>
    </row>
    <row r="93467" spans="1:6" x14ac:dyDescent="0.25">
      <c r="A93467"/>
      <c r="B93467"/>
      <c r="C93467"/>
      <c r="E93467"/>
      <c r="F93467"/>
    </row>
    <row r="93468" spans="1:6" x14ac:dyDescent="0.25">
      <c r="A93468"/>
      <c r="B93468"/>
      <c r="C93468"/>
      <c r="E93468"/>
      <c r="F93468"/>
    </row>
    <row r="93469" spans="1:6" x14ac:dyDescent="0.25">
      <c r="A93469"/>
      <c r="B93469"/>
      <c r="C93469"/>
      <c r="E93469"/>
      <c r="F93469"/>
    </row>
    <row r="93470" spans="1:6" x14ac:dyDescent="0.25">
      <c r="A93470"/>
      <c r="B93470"/>
      <c r="C93470"/>
      <c r="E93470"/>
      <c r="F93470"/>
    </row>
    <row r="93471" spans="1:6" x14ac:dyDescent="0.25">
      <c r="A93471"/>
      <c r="B93471"/>
      <c r="C93471"/>
      <c r="E93471"/>
      <c r="F93471"/>
    </row>
    <row r="93472" spans="1:6" x14ac:dyDescent="0.25">
      <c r="A93472"/>
      <c r="B93472"/>
      <c r="C93472"/>
      <c r="E93472"/>
      <c r="F93472"/>
    </row>
    <row r="93473" spans="1:6" x14ac:dyDescent="0.25">
      <c r="A93473"/>
      <c r="B93473"/>
      <c r="C93473"/>
      <c r="E93473"/>
      <c r="F93473"/>
    </row>
    <row r="93474" spans="1:6" x14ac:dyDescent="0.25">
      <c r="A93474"/>
      <c r="B93474"/>
      <c r="C93474"/>
      <c r="E93474"/>
      <c r="F93474"/>
    </row>
    <row r="93475" spans="1:6" x14ac:dyDescent="0.25">
      <c r="A93475"/>
      <c r="B93475"/>
      <c r="C93475"/>
      <c r="E93475"/>
      <c r="F93475"/>
    </row>
    <row r="93476" spans="1:6" x14ac:dyDescent="0.25">
      <c r="A93476"/>
      <c r="B93476"/>
      <c r="C93476"/>
      <c r="E93476"/>
      <c r="F93476"/>
    </row>
    <row r="93477" spans="1:6" x14ac:dyDescent="0.25">
      <c r="A93477"/>
      <c r="B93477"/>
      <c r="C93477"/>
      <c r="E93477"/>
      <c r="F93477"/>
    </row>
    <row r="93478" spans="1:6" x14ac:dyDescent="0.25">
      <c r="A93478"/>
      <c r="B93478"/>
      <c r="C93478"/>
      <c r="E93478"/>
      <c r="F93478"/>
    </row>
    <row r="93479" spans="1:6" x14ac:dyDescent="0.25">
      <c r="A93479"/>
      <c r="B93479"/>
      <c r="C93479"/>
      <c r="E93479"/>
      <c r="F93479"/>
    </row>
    <row r="93480" spans="1:6" x14ac:dyDescent="0.25">
      <c r="A93480"/>
      <c r="B93480"/>
      <c r="C93480"/>
      <c r="E93480"/>
      <c r="F93480"/>
    </row>
    <row r="93481" spans="1:6" x14ac:dyDescent="0.25">
      <c r="A93481"/>
      <c r="B93481"/>
      <c r="C93481"/>
      <c r="E93481"/>
      <c r="F93481"/>
    </row>
    <row r="93482" spans="1:6" x14ac:dyDescent="0.25">
      <c r="A93482"/>
      <c r="B93482"/>
      <c r="C93482"/>
      <c r="E93482"/>
      <c r="F93482"/>
    </row>
    <row r="93483" spans="1:6" x14ac:dyDescent="0.25">
      <c r="A93483"/>
      <c r="B93483"/>
      <c r="C93483"/>
      <c r="E93483"/>
      <c r="F93483"/>
    </row>
    <row r="93484" spans="1:6" x14ac:dyDescent="0.25">
      <c r="A93484"/>
      <c r="B93484"/>
      <c r="C93484"/>
      <c r="E93484"/>
      <c r="F93484"/>
    </row>
    <row r="93485" spans="1:6" x14ac:dyDescent="0.25">
      <c r="A93485"/>
      <c r="B93485"/>
      <c r="C93485"/>
      <c r="E93485"/>
      <c r="F93485"/>
    </row>
    <row r="93486" spans="1:6" x14ac:dyDescent="0.25">
      <c r="A93486"/>
      <c r="B93486"/>
      <c r="C93486"/>
      <c r="E93486"/>
      <c r="F93486"/>
    </row>
    <row r="93487" spans="1:6" x14ac:dyDescent="0.25">
      <c r="A93487"/>
      <c r="B93487"/>
      <c r="C93487"/>
      <c r="E93487"/>
      <c r="F93487"/>
    </row>
    <row r="93488" spans="1:6" x14ac:dyDescent="0.25">
      <c r="A93488"/>
      <c r="B93488"/>
      <c r="C93488"/>
      <c r="E93488"/>
      <c r="F93488"/>
    </row>
    <row r="93489" spans="1:6" x14ac:dyDescent="0.25">
      <c r="A93489"/>
      <c r="B93489"/>
      <c r="C93489"/>
      <c r="E93489"/>
      <c r="F93489"/>
    </row>
    <row r="93490" spans="1:6" x14ac:dyDescent="0.25">
      <c r="A93490"/>
      <c r="B93490"/>
      <c r="C93490"/>
      <c r="E93490"/>
      <c r="F93490"/>
    </row>
    <row r="93491" spans="1:6" x14ac:dyDescent="0.25">
      <c r="A93491"/>
      <c r="B93491"/>
      <c r="C93491"/>
      <c r="E93491"/>
      <c r="F93491"/>
    </row>
    <row r="93492" spans="1:6" x14ac:dyDescent="0.25">
      <c r="A93492"/>
      <c r="B93492"/>
      <c r="C93492"/>
      <c r="E93492"/>
      <c r="F93492"/>
    </row>
    <row r="93493" spans="1:6" x14ac:dyDescent="0.25">
      <c r="A93493"/>
      <c r="B93493"/>
      <c r="C93493"/>
      <c r="E93493"/>
      <c r="F93493"/>
    </row>
    <row r="93494" spans="1:6" x14ac:dyDescent="0.25">
      <c r="A93494"/>
      <c r="B93494"/>
      <c r="C93494"/>
      <c r="E93494"/>
      <c r="F93494"/>
    </row>
    <row r="93495" spans="1:6" x14ac:dyDescent="0.25">
      <c r="A93495"/>
      <c r="B93495"/>
      <c r="C93495"/>
      <c r="E93495"/>
      <c r="F93495"/>
    </row>
    <row r="93496" spans="1:6" x14ac:dyDescent="0.25">
      <c r="A93496"/>
      <c r="B93496"/>
      <c r="C93496"/>
      <c r="E93496"/>
      <c r="F93496"/>
    </row>
    <row r="93497" spans="1:6" x14ac:dyDescent="0.25">
      <c r="A93497"/>
      <c r="B93497"/>
      <c r="C93497"/>
      <c r="E93497"/>
      <c r="F93497"/>
    </row>
    <row r="93498" spans="1:6" x14ac:dyDescent="0.25">
      <c r="A93498"/>
      <c r="B93498"/>
      <c r="C93498"/>
      <c r="E93498"/>
      <c r="F93498"/>
    </row>
    <row r="93499" spans="1:6" x14ac:dyDescent="0.25">
      <c r="A93499"/>
      <c r="B93499"/>
      <c r="C93499"/>
      <c r="E93499"/>
      <c r="F93499"/>
    </row>
    <row r="93500" spans="1:6" x14ac:dyDescent="0.25">
      <c r="A93500"/>
      <c r="B93500"/>
      <c r="C93500"/>
      <c r="E93500"/>
      <c r="F93500"/>
    </row>
    <row r="93501" spans="1:6" x14ac:dyDescent="0.25">
      <c r="A93501"/>
      <c r="B93501"/>
      <c r="C93501"/>
      <c r="E93501"/>
      <c r="F93501"/>
    </row>
    <row r="93502" spans="1:6" x14ac:dyDescent="0.25">
      <c r="A93502"/>
      <c r="B93502"/>
      <c r="C93502"/>
      <c r="E93502"/>
      <c r="F93502"/>
    </row>
    <row r="93503" spans="1:6" x14ac:dyDescent="0.25">
      <c r="A93503"/>
      <c r="B93503"/>
      <c r="C93503"/>
      <c r="E93503"/>
      <c r="F93503"/>
    </row>
    <row r="93504" spans="1:6" x14ac:dyDescent="0.25">
      <c r="A93504"/>
      <c r="B93504"/>
      <c r="C93504"/>
      <c r="E93504"/>
      <c r="F93504"/>
    </row>
    <row r="93505" spans="1:6" x14ac:dyDescent="0.25">
      <c r="A93505"/>
      <c r="B93505"/>
      <c r="C93505"/>
      <c r="E93505"/>
      <c r="F93505"/>
    </row>
    <row r="93506" spans="1:6" x14ac:dyDescent="0.25">
      <c r="A93506"/>
      <c r="B93506"/>
      <c r="C93506"/>
      <c r="E93506"/>
      <c r="F93506"/>
    </row>
    <row r="93507" spans="1:6" x14ac:dyDescent="0.25">
      <c r="A93507"/>
      <c r="B93507"/>
      <c r="C93507"/>
      <c r="E93507"/>
      <c r="F93507"/>
    </row>
    <row r="93508" spans="1:6" x14ac:dyDescent="0.25">
      <c r="A93508"/>
      <c r="B93508"/>
      <c r="C93508"/>
      <c r="E93508"/>
      <c r="F93508"/>
    </row>
    <row r="93509" spans="1:6" x14ac:dyDescent="0.25">
      <c r="A93509"/>
      <c r="B93509"/>
      <c r="C93509"/>
      <c r="E93509"/>
      <c r="F93509"/>
    </row>
    <row r="93510" spans="1:6" x14ac:dyDescent="0.25">
      <c r="A93510"/>
      <c r="B93510"/>
      <c r="C93510"/>
      <c r="E93510"/>
      <c r="F93510"/>
    </row>
    <row r="93511" spans="1:6" x14ac:dyDescent="0.25">
      <c r="A93511"/>
      <c r="B93511"/>
      <c r="C93511"/>
      <c r="E93511"/>
      <c r="F93511"/>
    </row>
    <row r="93512" spans="1:6" x14ac:dyDescent="0.25">
      <c r="A93512"/>
      <c r="B93512"/>
      <c r="C93512"/>
      <c r="E93512"/>
      <c r="F93512"/>
    </row>
    <row r="93513" spans="1:6" x14ac:dyDescent="0.25">
      <c r="A93513"/>
      <c r="B93513"/>
      <c r="C93513"/>
      <c r="E93513"/>
      <c r="F93513"/>
    </row>
    <row r="93514" spans="1:6" x14ac:dyDescent="0.25">
      <c r="A93514"/>
      <c r="B93514"/>
      <c r="C93514"/>
      <c r="E93514"/>
      <c r="F93514"/>
    </row>
    <row r="93515" spans="1:6" x14ac:dyDescent="0.25">
      <c r="A93515"/>
      <c r="B93515"/>
      <c r="C93515"/>
      <c r="E93515"/>
      <c r="F93515"/>
    </row>
    <row r="93516" spans="1:6" x14ac:dyDescent="0.25">
      <c r="A93516"/>
      <c r="B93516"/>
      <c r="C93516"/>
      <c r="E93516"/>
      <c r="F93516"/>
    </row>
    <row r="93517" spans="1:6" x14ac:dyDescent="0.25">
      <c r="A93517"/>
      <c r="B93517"/>
      <c r="C93517"/>
      <c r="E93517"/>
      <c r="F93517"/>
    </row>
    <row r="93518" spans="1:6" x14ac:dyDescent="0.25">
      <c r="A93518"/>
      <c r="B93518"/>
      <c r="C93518"/>
      <c r="E93518"/>
      <c r="F93518"/>
    </row>
    <row r="93519" spans="1:6" x14ac:dyDescent="0.25">
      <c r="A93519"/>
      <c r="B93519"/>
      <c r="C93519"/>
      <c r="E93519"/>
      <c r="F93519"/>
    </row>
    <row r="93520" spans="1:6" x14ac:dyDescent="0.25">
      <c r="A93520"/>
      <c r="B93520"/>
      <c r="C93520"/>
      <c r="E93520"/>
      <c r="F93520"/>
    </row>
    <row r="93521" spans="1:6" x14ac:dyDescent="0.25">
      <c r="A93521"/>
      <c r="B93521"/>
      <c r="C93521"/>
      <c r="E93521"/>
      <c r="F93521"/>
    </row>
    <row r="93522" spans="1:6" x14ac:dyDescent="0.25">
      <c r="A93522"/>
      <c r="B93522"/>
      <c r="C93522"/>
      <c r="E93522"/>
      <c r="F93522"/>
    </row>
    <row r="93523" spans="1:6" x14ac:dyDescent="0.25">
      <c r="A93523"/>
      <c r="B93523"/>
      <c r="C93523"/>
      <c r="E93523"/>
      <c r="F93523"/>
    </row>
    <row r="93524" spans="1:6" x14ac:dyDescent="0.25">
      <c r="A93524"/>
      <c r="B93524"/>
      <c r="C93524"/>
      <c r="E93524"/>
      <c r="F93524"/>
    </row>
    <row r="93525" spans="1:6" x14ac:dyDescent="0.25">
      <c r="A93525"/>
      <c r="B93525"/>
      <c r="C93525"/>
      <c r="E93525"/>
      <c r="F93525"/>
    </row>
    <row r="93526" spans="1:6" x14ac:dyDescent="0.25">
      <c r="A93526"/>
      <c r="B93526"/>
      <c r="C93526"/>
      <c r="E93526"/>
      <c r="F93526"/>
    </row>
    <row r="93527" spans="1:6" x14ac:dyDescent="0.25">
      <c r="A93527"/>
      <c r="B93527"/>
      <c r="C93527"/>
      <c r="E93527"/>
      <c r="F93527"/>
    </row>
    <row r="93528" spans="1:6" x14ac:dyDescent="0.25">
      <c r="A93528"/>
      <c r="B93528"/>
      <c r="C93528"/>
      <c r="E93528"/>
      <c r="F93528"/>
    </row>
    <row r="93529" spans="1:6" x14ac:dyDescent="0.25">
      <c r="A93529"/>
      <c r="B93529"/>
      <c r="C93529"/>
      <c r="E93529"/>
      <c r="F93529"/>
    </row>
    <row r="93530" spans="1:6" x14ac:dyDescent="0.25">
      <c r="A93530"/>
      <c r="B93530"/>
      <c r="C93530"/>
      <c r="E93530"/>
      <c r="F93530"/>
    </row>
    <row r="93531" spans="1:6" x14ac:dyDescent="0.25">
      <c r="A93531"/>
      <c r="B93531"/>
      <c r="C93531"/>
      <c r="E93531"/>
      <c r="F93531"/>
    </row>
    <row r="93532" spans="1:6" x14ac:dyDescent="0.25">
      <c r="A93532"/>
      <c r="B93532"/>
      <c r="C93532"/>
      <c r="E93532"/>
      <c r="F93532"/>
    </row>
    <row r="93533" spans="1:6" x14ac:dyDescent="0.25">
      <c r="A93533"/>
      <c r="B93533"/>
      <c r="C93533"/>
      <c r="E93533"/>
      <c r="F93533"/>
    </row>
    <row r="93534" spans="1:6" x14ac:dyDescent="0.25">
      <c r="A93534"/>
      <c r="B93534"/>
      <c r="C93534"/>
      <c r="E93534"/>
      <c r="F93534"/>
    </row>
    <row r="93535" spans="1:6" x14ac:dyDescent="0.25">
      <c r="A93535"/>
      <c r="B93535"/>
      <c r="C93535"/>
      <c r="E93535"/>
      <c r="F93535"/>
    </row>
    <row r="93536" spans="1:6" x14ac:dyDescent="0.25">
      <c r="A93536"/>
      <c r="B93536"/>
      <c r="C93536"/>
      <c r="E93536"/>
      <c r="F93536"/>
    </row>
    <row r="93537" spans="1:6" x14ac:dyDescent="0.25">
      <c r="A93537"/>
      <c r="B93537"/>
      <c r="C93537"/>
      <c r="E93537"/>
      <c r="F93537"/>
    </row>
    <row r="93538" spans="1:6" x14ac:dyDescent="0.25">
      <c r="A93538"/>
      <c r="B93538"/>
      <c r="C93538"/>
      <c r="E93538"/>
      <c r="F93538"/>
    </row>
    <row r="93539" spans="1:6" x14ac:dyDescent="0.25">
      <c r="A93539"/>
      <c r="B93539"/>
      <c r="C93539"/>
      <c r="E93539"/>
      <c r="F93539"/>
    </row>
    <row r="93540" spans="1:6" x14ac:dyDescent="0.25">
      <c r="A93540"/>
      <c r="B93540"/>
      <c r="C93540"/>
      <c r="E93540"/>
      <c r="F93540"/>
    </row>
    <row r="93541" spans="1:6" x14ac:dyDescent="0.25">
      <c r="A93541"/>
      <c r="B93541"/>
      <c r="C93541"/>
      <c r="E93541"/>
      <c r="F93541"/>
    </row>
    <row r="93542" spans="1:6" x14ac:dyDescent="0.25">
      <c r="A93542"/>
      <c r="B93542"/>
      <c r="C93542"/>
      <c r="E93542"/>
      <c r="F93542"/>
    </row>
    <row r="93543" spans="1:6" x14ac:dyDescent="0.25">
      <c r="A93543"/>
      <c r="B93543"/>
      <c r="C93543"/>
      <c r="E93543"/>
      <c r="F93543"/>
    </row>
    <row r="93544" spans="1:6" x14ac:dyDescent="0.25">
      <c r="A93544"/>
      <c r="B93544"/>
      <c r="C93544"/>
      <c r="E93544"/>
      <c r="F93544"/>
    </row>
    <row r="93545" spans="1:6" x14ac:dyDescent="0.25">
      <c r="A93545"/>
      <c r="B93545"/>
      <c r="C93545"/>
      <c r="E93545"/>
      <c r="F93545"/>
    </row>
    <row r="93546" spans="1:6" x14ac:dyDescent="0.25">
      <c r="A93546"/>
      <c r="B93546"/>
      <c r="C93546"/>
      <c r="E93546"/>
      <c r="F93546"/>
    </row>
    <row r="93547" spans="1:6" x14ac:dyDescent="0.25">
      <c r="A93547"/>
      <c r="B93547"/>
      <c r="C93547"/>
      <c r="E93547"/>
      <c r="F93547"/>
    </row>
    <row r="93548" spans="1:6" x14ac:dyDescent="0.25">
      <c r="A93548"/>
      <c r="B93548"/>
      <c r="C93548"/>
      <c r="E93548"/>
      <c r="F93548"/>
    </row>
    <row r="93549" spans="1:6" x14ac:dyDescent="0.25">
      <c r="A93549"/>
      <c r="B93549"/>
      <c r="C93549"/>
      <c r="E93549"/>
      <c r="F93549"/>
    </row>
    <row r="93550" spans="1:6" x14ac:dyDescent="0.25">
      <c r="A93550"/>
      <c r="B93550"/>
      <c r="C93550"/>
      <c r="E93550"/>
      <c r="F93550"/>
    </row>
    <row r="93551" spans="1:6" x14ac:dyDescent="0.25">
      <c r="A93551"/>
      <c r="B93551"/>
      <c r="C93551"/>
      <c r="E93551"/>
      <c r="F93551"/>
    </row>
    <row r="93552" spans="1:6" x14ac:dyDescent="0.25">
      <c r="A93552"/>
      <c r="B93552"/>
      <c r="C93552"/>
      <c r="E93552"/>
      <c r="F93552"/>
    </row>
    <row r="93553" spans="1:6" x14ac:dyDescent="0.25">
      <c r="A93553"/>
      <c r="B93553"/>
      <c r="C93553"/>
      <c r="E93553"/>
      <c r="F93553"/>
    </row>
    <row r="93554" spans="1:6" x14ac:dyDescent="0.25">
      <c r="A93554"/>
      <c r="B93554"/>
      <c r="C93554"/>
      <c r="E93554"/>
      <c r="F93554"/>
    </row>
    <row r="93555" spans="1:6" x14ac:dyDescent="0.25">
      <c r="A93555"/>
      <c r="B93555"/>
      <c r="C93555"/>
      <c r="E93555"/>
      <c r="F93555"/>
    </row>
    <row r="93556" spans="1:6" x14ac:dyDescent="0.25">
      <c r="A93556"/>
      <c r="B93556"/>
      <c r="C93556"/>
      <c r="E93556"/>
      <c r="F93556"/>
    </row>
    <row r="93557" spans="1:6" x14ac:dyDescent="0.25">
      <c r="A93557"/>
      <c r="B93557"/>
      <c r="C93557"/>
      <c r="E93557"/>
      <c r="F93557"/>
    </row>
    <row r="93558" spans="1:6" x14ac:dyDescent="0.25">
      <c r="A93558"/>
      <c r="B93558"/>
      <c r="C93558"/>
      <c r="E93558"/>
      <c r="F93558"/>
    </row>
    <row r="93559" spans="1:6" x14ac:dyDescent="0.25">
      <c r="A93559"/>
      <c r="B93559"/>
      <c r="C93559"/>
      <c r="E93559"/>
      <c r="F93559"/>
    </row>
    <row r="93560" spans="1:6" x14ac:dyDescent="0.25">
      <c r="A93560"/>
      <c r="B93560"/>
      <c r="C93560"/>
      <c r="E93560"/>
      <c r="F93560"/>
    </row>
    <row r="93561" spans="1:6" x14ac:dyDescent="0.25">
      <c r="A93561"/>
      <c r="B93561"/>
      <c r="C93561"/>
      <c r="E93561"/>
      <c r="F93561"/>
    </row>
    <row r="93562" spans="1:6" x14ac:dyDescent="0.25">
      <c r="A93562"/>
      <c r="B93562"/>
      <c r="C93562"/>
      <c r="E93562"/>
      <c r="F93562"/>
    </row>
    <row r="93563" spans="1:6" x14ac:dyDescent="0.25">
      <c r="A93563"/>
      <c r="B93563"/>
      <c r="C93563"/>
      <c r="E93563"/>
      <c r="F93563"/>
    </row>
    <row r="93564" spans="1:6" x14ac:dyDescent="0.25">
      <c r="A93564"/>
      <c r="B93564"/>
      <c r="C93564"/>
      <c r="E93564"/>
      <c r="F93564"/>
    </row>
    <row r="93565" spans="1:6" x14ac:dyDescent="0.25">
      <c r="A93565"/>
      <c r="B93565"/>
      <c r="C93565"/>
      <c r="E93565"/>
      <c r="F93565"/>
    </row>
    <row r="93566" spans="1:6" x14ac:dyDescent="0.25">
      <c r="A93566"/>
      <c r="B93566"/>
      <c r="C93566"/>
      <c r="E93566"/>
      <c r="F93566"/>
    </row>
    <row r="93567" spans="1:6" x14ac:dyDescent="0.25">
      <c r="A93567"/>
      <c r="B93567"/>
      <c r="C93567"/>
      <c r="E93567"/>
      <c r="F93567"/>
    </row>
    <row r="93568" spans="1:6" x14ac:dyDescent="0.25">
      <c r="A93568"/>
      <c r="B93568"/>
      <c r="C93568"/>
      <c r="E93568"/>
      <c r="F93568"/>
    </row>
    <row r="93569" spans="1:6" x14ac:dyDescent="0.25">
      <c r="A93569"/>
      <c r="B93569"/>
      <c r="C93569"/>
      <c r="E93569"/>
      <c r="F93569"/>
    </row>
    <row r="93570" spans="1:6" x14ac:dyDescent="0.25">
      <c r="A93570"/>
      <c r="B93570"/>
      <c r="C93570"/>
      <c r="E93570"/>
      <c r="F93570"/>
    </row>
    <row r="93571" spans="1:6" x14ac:dyDescent="0.25">
      <c r="A93571"/>
      <c r="B93571"/>
      <c r="C93571"/>
      <c r="E93571"/>
      <c r="F93571"/>
    </row>
    <row r="93572" spans="1:6" x14ac:dyDescent="0.25">
      <c r="A93572"/>
      <c r="B93572"/>
      <c r="C93572"/>
      <c r="E93572"/>
      <c r="F93572"/>
    </row>
    <row r="93573" spans="1:6" x14ac:dyDescent="0.25">
      <c r="A93573"/>
      <c r="B93573"/>
      <c r="C93573"/>
      <c r="E93573"/>
      <c r="F93573"/>
    </row>
    <row r="93574" spans="1:6" x14ac:dyDescent="0.25">
      <c r="A93574"/>
      <c r="B93574"/>
      <c r="C93574"/>
      <c r="E93574"/>
      <c r="F93574"/>
    </row>
    <row r="93575" spans="1:6" x14ac:dyDescent="0.25">
      <c r="A93575"/>
      <c r="B93575"/>
      <c r="C93575"/>
      <c r="E93575"/>
      <c r="F93575"/>
    </row>
    <row r="93576" spans="1:6" x14ac:dyDescent="0.25">
      <c r="A93576"/>
      <c r="B93576"/>
      <c r="C93576"/>
      <c r="E93576"/>
      <c r="F93576"/>
    </row>
    <row r="93577" spans="1:6" x14ac:dyDescent="0.25">
      <c r="A93577"/>
      <c r="B93577"/>
      <c r="C93577"/>
      <c r="E93577"/>
      <c r="F93577"/>
    </row>
    <row r="93578" spans="1:6" x14ac:dyDescent="0.25">
      <c r="A93578"/>
      <c r="B93578"/>
      <c r="C93578"/>
      <c r="E93578"/>
      <c r="F93578"/>
    </row>
    <row r="93579" spans="1:6" x14ac:dyDescent="0.25">
      <c r="A93579"/>
      <c r="B93579"/>
      <c r="C93579"/>
      <c r="E93579"/>
      <c r="F93579"/>
    </row>
    <row r="93580" spans="1:6" x14ac:dyDescent="0.25">
      <c r="A93580"/>
      <c r="B93580"/>
      <c r="C93580"/>
      <c r="E93580"/>
      <c r="F93580"/>
    </row>
    <row r="93581" spans="1:6" x14ac:dyDescent="0.25">
      <c r="A93581"/>
      <c r="B93581"/>
      <c r="C93581"/>
      <c r="E93581"/>
      <c r="F93581"/>
    </row>
    <row r="93582" spans="1:6" x14ac:dyDescent="0.25">
      <c r="A93582"/>
      <c r="B93582"/>
      <c r="C93582"/>
      <c r="E93582"/>
      <c r="F93582"/>
    </row>
    <row r="93583" spans="1:6" x14ac:dyDescent="0.25">
      <c r="A93583"/>
      <c r="B93583"/>
      <c r="C93583"/>
      <c r="E93583"/>
      <c r="F93583"/>
    </row>
    <row r="93584" spans="1:6" x14ac:dyDescent="0.25">
      <c r="A93584"/>
      <c r="B93584"/>
      <c r="C93584"/>
      <c r="E93584"/>
      <c r="F93584"/>
    </row>
    <row r="93585" spans="1:6" x14ac:dyDescent="0.25">
      <c r="A93585"/>
      <c r="B93585"/>
      <c r="C93585"/>
      <c r="E93585"/>
      <c r="F93585"/>
    </row>
    <row r="93586" spans="1:6" x14ac:dyDescent="0.25">
      <c r="A93586"/>
      <c r="B93586"/>
      <c r="C93586"/>
      <c r="E93586"/>
      <c r="F93586"/>
    </row>
    <row r="93587" spans="1:6" x14ac:dyDescent="0.25">
      <c r="A93587"/>
      <c r="B93587"/>
      <c r="C93587"/>
      <c r="E93587"/>
      <c r="F93587"/>
    </row>
    <row r="93588" spans="1:6" x14ac:dyDescent="0.25">
      <c r="A93588"/>
      <c r="B93588"/>
      <c r="C93588"/>
      <c r="E93588"/>
      <c r="F93588"/>
    </row>
    <row r="93589" spans="1:6" x14ac:dyDescent="0.25">
      <c r="A93589"/>
      <c r="B93589"/>
      <c r="C93589"/>
      <c r="E93589"/>
      <c r="F93589"/>
    </row>
    <row r="93590" spans="1:6" x14ac:dyDescent="0.25">
      <c r="A93590"/>
      <c r="B93590"/>
      <c r="C93590"/>
      <c r="E93590"/>
      <c r="F93590"/>
    </row>
    <row r="93591" spans="1:6" x14ac:dyDescent="0.25">
      <c r="A93591"/>
      <c r="B93591"/>
      <c r="C93591"/>
      <c r="E93591"/>
      <c r="F93591"/>
    </row>
    <row r="93592" spans="1:6" x14ac:dyDescent="0.25">
      <c r="A93592"/>
      <c r="B93592"/>
      <c r="C93592"/>
      <c r="E93592"/>
      <c r="F93592"/>
    </row>
    <row r="93593" spans="1:6" x14ac:dyDescent="0.25">
      <c r="A93593"/>
      <c r="B93593"/>
      <c r="C93593"/>
      <c r="E93593"/>
      <c r="F93593"/>
    </row>
    <row r="93594" spans="1:6" x14ac:dyDescent="0.25">
      <c r="A93594"/>
      <c r="B93594"/>
      <c r="C93594"/>
      <c r="E93594"/>
      <c r="F93594"/>
    </row>
    <row r="93595" spans="1:6" x14ac:dyDescent="0.25">
      <c r="A93595"/>
      <c r="B93595"/>
      <c r="C93595"/>
      <c r="E93595"/>
      <c r="F93595"/>
    </row>
    <row r="93596" spans="1:6" x14ac:dyDescent="0.25">
      <c r="A93596"/>
      <c r="B93596"/>
      <c r="C93596"/>
      <c r="E93596"/>
      <c r="F93596"/>
    </row>
    <row r="93597" spans="1:6" x14ac:dyDescent="0.25">
      <c r="A93597"/>
      <c r="B93597"/>
      <c r="C93597"/>
      <c r="E93597"/>
      <c r="F93597"/>
    </row>
    <row r="93598" spans="1:6" x14ac:dyDescent="0.25">
      <c r="A93598"/>
      <c r="B93598"/>
      <c r="C93598"/>
      <c r="E93598"/>
      <c r="F93598"/>
    </row>
    <row r="93599" spans="1:6" x14ac:dyDescent="0.25">
      <c r="A93599"/>
      <c r="B93599"/>
      <c r="C93599"/>
      <c r="E93599"/>
      <c r="F93599"/>
    </row>
    <row r="93600" spans="1:6" x14ac:dyDescent="0.25">
      <c r="A93600"/>
      <c r="B93600"/>
      <c r="C93600"/>
      <c r="E93600"/>
      <c r="F93600"/>
    </row>
    <row r="93601" spans="1:6" x14ac:dyDescent="0.25">
      <c r="A93601"/>
      <c r="B93601"/>
      <c r="C93601"/>
      <c r="E93601"/>
      <c r="F93601"/>
    </row>
    <row r="93602" spans="1:6" x14ac:dyDescent="0.25">
      <c r="A93602"/>
      <c r="B93602"/>
      <c r="C93602"/>
      <c r="E93602"/>
      <c r="F93602"/>
    </row>
    <row r="93603" spans="1:6" x14ac:dyDescent="0.25">
      <c r="A93603"/>
      <c r="B93603"/>
      <c r="C93603"/>
      <c r="E93603"/>
      <c r="F93603"/>
    </row>
    <row r="93604" spans="1:6" x14ac:dyDescent="0.25">
      <c r="A93604"/>
      <c r="B93604"/>
      <c r="C93604"/>
      <c r="E93604"/>
      <c r="F93604"/>
    </row>
    <row r="93605" spans="1:6" x14ac:dyDescent="0.25">
      <c r="A93605"/>
      <c r="B93605"/>
      <c r="C93605"/>
      <c r="E93605"/>
      <c r="F93605"/>
    </row>
    <row r="93606" spans="1:6" x14ac:dyDescent="0.25">
      <c r="A93606"/>
      <c r="B93606"/>
      <c r="C93606"/>
      <c r="E93606"/>
      <c r="F93606"/>
    </row>
    <row r="93607" spans="1:6" x14ac:dyDescent="0.25">
      <c r="A93607"/>
      <c r="B93607"/>
      <c r="C93607"/>
      <c r="E93607"/>
      <c r="F93607"/>
    </row>
    <row r="93608" spans="1:6" x14ac:dyDescent="0.25">
      <c r="A93608"/>
      <c r="B93608"/>
      <c r="C93608"/>
      <c r="E93608"/>
      <c r="F93608"/>
    </row>
    <row r="93609" spans="1:6" x14ac:dyDescent="0.25">
      <c r="A93609"/>
      <c r="B93609"/>
      <c r="C93609"/>
      <c r="E93609"/>
      <c r="F93609"/>
    </row>
    <row r="93610" spans="1:6" x14ac:dyDescent="0.25">
      <c r="A93610"/>
      <c r="B93610"/>
      <c r="C93610"/>
      <c r="E93610"/>
      <c r="F93610"/>
    </row>
    <row r="93611" spans="1:6" x14ac:dyDescent="0.25">
      <c r="A93611"/>
      <c r="B93611"/>
      <c r="C93611"/>
      <c r="E93611"/>
      <c r="F93611"/>
    </row>
    <row r="93612" spans="1:6" x14ac:dyDescent="0.25">
      <c r="A93612"/>
      <c r="B93612"/>
      <c r="C93612"/>
      <c r="E93612"/>
      <c r="F93612"/>
    </row>
    <row r="93613" spans="1:6" x14ac:dyDescent="0.25">
      <c r="A93613"/>
      <c r="B93613"/>
      <c r="C93613"/>
      <c r="E93613"/>
      <c r="F93613"/>
    </row>
    <row r="93614" spans="1:6" x14ac:dyDescent="0.25">
      <c r="A93614"/>
      <c r="B93614"/>
      <c r="C93614"/>
      <c r="E93614"/>
      <c r="F93614"/>
    </row>
    <row r="93615" spans="1:6" x14ac:dyDescent="0.25">
      <c r="A93615"/>
      <c r="B93615"/>
      <c r="C93615"/>
      <c r="E93615"/>
      <c r="F93615"/>
    </row>
    <row r="93616" spans="1:6" x14ac:dyDescent="0.25">
      <c r="A93616"/>
      <c r="B93616"/>
      <c r="C93616"/>
      <c r="E93616"/>
      <c r="F93616"/>
    </row>
    <row r="93617" spans="1:6" x14ac:dyDescent="0.25">
      <c r="A93617"/>
      <c r="B93617"/>
      <c r="C93617"/>
      <c r="E93617"/>
      <c r="F93617"/>
    </row>
    <row r="93618" spans="1:6" x14ac:dyDescent="0.25">
      <c r="A93618"/>
      <c r="B93618"/>
      <c r="C93618"/>
      <c r="E93618"/>
      <c r="F93618"/>
    </row>
    <row r="93619" spans="1:6" x14ac:dyDescent="0.25">
      <c r="A93619"/>
      <c r="B93619"/>
      <c r="C93619"/>
      <c r="E93619"/>
      <c r="F93619"/>
    </row>
    <row r="93620" spans="1:6" x14ac:dyDescent="0.25">
      <c r="A93620"/>
      <c r="B93620"/>
      <c r="C93620"/>
      <c r="E93620"/>
      <c r="F93620"/>
    </row>
    <row r="93621" spans="1:6" x14ac:dyDescent="0.25">
      <c r="A93621"/>
      <c r="B93621"/>
      <c r="C93621"/>
      <c r="E93621"/>
      <c r="F93621"/>
    </row>
    <row r="93622" spans="1:6" x14ac:dyDescent="0.25">
      <c r="A93622"/>
      <c r="B93622"/>
      <c r="C93622"/>
      <c r="E93622"/>
      <c r="F93622"/>
    </row>
    <row r="93623" spans="1:6" x14ac:dyDescent="0.25">
      <c r="A93623"/>
      <c r="B93623"/>
      <c r="C93623"/>
      <c r="E93623"/>
      <c r="F93623"/>
    </row>
    <row r="93624" spans="1:6" x14ac:dyDescent="0.25">
      <c r="A93624"/>
      <c r="B93624"/>
      <c r="C93624"/>
      <c r="E93624"/>
      <c r="F93624"/>
    </row>
    <row r="93625" spans="1:6" x14ac:dyDescent="0.25">
      <c r="A93625"/>
      <c r="B93625"/>
      <c r="C93625"/>
      <c r="E93625"/>
      <c r="F93625"/>
    </row>
    <row r="93626" spans="1:6" x14ac:dyDescent="0.25">
      <c r="A93626"/>
      <c r="B93626"/>
      <c r="C93626"/>
      <c r="E93626"/>
      <c r="F93626"/>
    </row>
    <row r="93627" spans="1:6" x14ac:dyDescent="0.25">
      <c r="A93627"/>
      <c r="B93627"/>
      <c r="C93627"/>
      <c r="E93627"/>
      <c r="F93627"/>
    </row>
    <row r="93628" spans="1:6" x14ac:dyDescent="0.25">
      <c r="A93628"/>
      <c r="B93628"/>
      <c r="C93628"/>
      <c r="E93628"/>
      <c r="F93628"/>
    </row>
    <row r="93629" spans="1:6" x14ac:dyDescent="0.25">
      <c r="A93629"/>
      <c r="B93629"/>
      <c r="C93629"/>
      <c r="E93629"/>
      <c r="F93629"/>
    </row>
    <row r="93630" spans="1:6" x14ac:dyDescent="0.25">
      <c r="A93630"/>
      <c r="B93630"/>
      <c r="C93630"/>
      <c r="E93630"/>
      <c r="F93630"/>
    </row>
    <row r="93631" spans="1:6" x14ac:dyDescent="0.25">
      <c r="A93631"/>
      <c r="B93631"/>
      <c r="C93631"/>
      <c r="E93631"/>
      <c r="F93631"/>
    </row>
    <row r="93632" spans="1:6" x14ac:dyDescent="0.25">
      <c r="A93632"/>
      <c r="B93632"/>
      <c r="C93632"/>
      <c r="E93632"/>
      <c r="F93632"/>
    </row>
    <row r="93633" spans="1:6" x14ac:dyDescent="0.25">
      <c r="A93633"/>
      <c r="B93633"/>
      <c r="C93633"/>
      <c r="E93633"/>
      <c r="F93633"/>
    </row>
    <row r="93634" spans="1:6" x14ac:dyDescent="0.25">
      <c r="A93634"/>
      <c r="B93634"/>
      <c r="C93634"/>
      <c r="E93634"/>
      <c r="F93634"/>
    </row>
    <row r="93635" spans="1:6" x14ac:dyDescent="0.25">
      <c r="A93635"/>
      <c r="B93635"/>
      <c r="C93635"/>
      <c r="E93635"/>
      <c r="F93635"/>
    </row>
    <row r="93636" spans="1:6" x14ac:dyDescent="0.25">
      <c r="A93636"/>
      <c r="B93636"/>
      <c r="C93636"/>
      <c r="E93636"/>
      <c r="F93636"/>
    </row>
    <row r="93637" spans="1:6" x14ac:dyDescent="0.25">
      <c r="A93637"/>
      <c r="B93637"/>
      <c r="C93637"/>
      <c r="E93637"/>
      <c r="F93637"/>
    </row>
    <row r="93638" spans="1:6" x14ac:dyDescent="0.25">
      <c r="A93638"/>
      <c r="B93638"/>
      <c r="C93638"/>
      <c r="E93638"/>
      <c r="F93638"/>
    </row>
    <row r="93639" spans="1:6" x14ac:dyDescent="0.25">
      <c r="A93639"/>
      <c r="B93639"/>
      <c r="C93639"/>
      <c r="E93639"/>
      <c r="F93639"/>
    </row>
    <row r="93640" spans="1:6" x14ac:dyDescent="0.25">
      <c r="A93640"/>
      <c r="B93640"/>
      <c r="C93640"/>
      <c r="E93640"/>
      <c r="F93640"/>
    </row>
    <row r="93641" spans="1:6" x14ac:dyDescent="0.25">
      <c r="A93641"/>
      <c r="B93641"/>
      <c r="C93641"/>
      <c r="E93641"/>
      <c r="F93641"/>
    </row>
    <row r="93642" spans="1:6" x14ac:dyDescent="0.25">
      <c r="A93642"/>
      <c r="B93642"/>
      <c r="C93642"/>
      <c r="E93642"/>
      <c r="F93642"/>
    </row>
    <row r="93643" spans="1:6" x14ac:dyDescent="0.25">
      <c r="A93643"/>
      <c r="B93643"/>
      <c r="C93643"/>
      <c r="E93643"/>
      <c r="F93643"/>
    </row>
    <row r="93644" spans="1:6" x14ac:dyDescent="0.25">
      <c r="A93644"/>
      <c r="B93644"/>
      <c r="C93644"/>
      <c r="E93644"/>
      <c r="F93644"/>
    </row>
    <row r="93645" spans="1:6" x14ac:dyDescent="0.25">
      <c r="A93645"/>
      <c r="B93645"/>
      <c r="C93645"/>
      <c r="E93645"/>
      <c r="F93645"/>
    </row>
    <row r="93646" spans="1:6" x14ac:dyDescent="0.25">
      <c r="A93646"/>
      <c r="B93646"/>
      <c r="C93646"/>
      <c r="E93646"/>
      <c r="F93646"/>
    </row>
    <row r="93647" spans="1:6" x14ac:dyDescent="0.25">
      <c r="A93647"/>
      <c r="B93647"/>
      <c r="C93647"/>
      <c r="E93647"/>
      <c r="F93647"/>
    </row>
    <row r="93648" spans="1:6" x14ac:dyDescent="0.25">
      <c r="A93648"/>
      <c r="B93648"/>
      <c r="C93648"/>
      <c r="E93648"/>
      <c r="F93648"/>
    </row>
    <row r="93649" spans="1:6" x14ac:dyDescent="0.25">
      <c r="A93649"/>
      <c r="B93649"/>
      <c r="C93649"/>
      <c r="E93649"/>
      <c r="F93649"/>
    </row>
    <row r="93650" spans="1:6" x14ac:dyDescent="0.25">
      <c r="A93650"/>
      <c r="B93650"/>
      <c r="C93650"/>
      <c r="E93650"/>
      <c r="F93650"/>
    </row>
    <row r="93651" spans="1:6" x14ac:dyDescent="0.25">
      <c r="A93651"/>
      <c r="B93651"/>
      <c r="C93651"/>
      <c r="E93651"/>
      <c r="F93651"/>
    </row>
    <row r="93652" spans="1:6" x14ac:dyDescent="0.25">
      <c r="A93652"/>
      <c r="B93652"/>
      <c r="C93652"/>
      <c r="E93652"/>
      <c r="F93652"/>
    </row>
    <row r="93653" spans="1:6" x14ac:dyDescent="0.25">
      <c r="A93653"/>
      <c r="B93653"/>
      <c r="C93653"/>
      <c r="E93653"/>
      <c r="F93653"/>
    </row>
    <row r="93654" spans="1:6" x14ac:dyDescent="0.25">
      <c r="A93654"/>
      <c r="B93654"/>
      <c r="C93654"/>
      <c r="E93654"/>
      <c r="F93654"/>
    </row>
    <row r="93655" spans="1:6" x14ac:dyDescent="0.25">
      <c r="A93655"/>
      <c r="B93655"/>
      <c r="C93655"/>
      <c r="E93655"/>
      <c r="F93655"/>
    </row>
    <row r="93656" spans="1:6" x14ac:dyDescent="0.25">
      <c r="A93656"/>
      <c r="B93656"/>
      <c r="C93656"/>
      <c r="E93656"/>
      <c r="F93656"/>
    </row>
    <row r="93657" spans="1:6" x14ac:dyDescent="0.25">
      <c r="A93657"/>
      <c r="B93657"/>
      <c r="C93657"/>
      <c r="E93657"/>
      <c r="F93657"/>
    </row>
    <row r="93658" spans="1:6" x14ac:dyDescent="0.25">
      <c r="A93658"/>
      <c r="B93658"/>
      <c r="C93658"/>
      <c r="E93658"/>
      <c r="F93658"/>
    </row>
    <row r="93659" spans="1:6" x14ac:dyDescent="0.25">
      <c r="A93659"/>
      <c r="B93659"/>
      <c r="C93659"/>
      <c r="E93659"/>
      <c r="F93659"/>
    </row>
    <row r="93660" spans="1:6" x14ac:dyDescent="0.25">
      <c r="A93660"/>
      <c r="B93660"/>
      <c r="C93660"/>
      <c r="E93660"/>
      <c r="F93660"/>
    </row>
    <row r="93661" spans="1:6" x14ac:dyDescent="0.25">
      <c r="A93661"/>
      <c r="B93661"/>
      <c r="C93661"/>
      <c r="E93661"/>
      <c r="F93661"/>
    </row>
    <row r="93662" spans="1:6" x14ac:dyDescent="0.25">
      <c r="A93662"/>
      <c r="B93662"/>
      <c r="C93662"/>
      <c r="E93662"/>
      <c r="F93662"/>
    </row>
    <row r="93663" spans="1:6" x14ac:dyDescent="0.25">
      <c r="A93663"/>
      <c r="B93663"/>
      <c r="C93663"/>
      <c r="E93663"/>
      <c r="F93663"/>
    </row>
    <row r="93664" spans="1:6" x14ac:dyDescent="0.25">
      <c r="A93664"/>
      <c r="B93664"/>
      <c r="C93664"/>
      <c r="E93664"/>
      <c r="F93664"/>
    </row>
    <row r="93665" spans="1:6" x14ac:dyDescent="0.25">
      <c r="A93665"/>
      <c r="B93665"/>
      <c r="C93665"/>
      <c r="E93665"/>
      <c r="F93665"/>
    </row>
    <row r="93666" spans="1:6" x14ac:dyDescent="0.25">
      <c r="A93666"/>
      <c r="B93666"/>
      <c r="C93666"/>
      <c r="E93666"/>
      <c r="F93666"/>
    </row>
    <row r="93667" spans="1:6" x14ac:dyDescent="0.25">
      <c r="A93667"/>
      <c r="B93667"/>
      <c r="C93667"/>
      <c r="E93667"/>
      <c r="F93667"/>
    </row>
    <row r="93668" spans="1:6" x14ac:dyDescent="0.25">
      <c r="A93668"/>
      <c r="B93668"/>
      <c r="C93668"/>
      <c r="E93668"/>
      <c r="F93668"/>
    </row>
    <row r="93669" spans="1:6" x14ac:dyDescent="0.25">
      <c r="A93669"/>
      <c r="B93669"/>
      <c r="C93669"/>
      <c r="E93669"/>
      <c r="F93669"/>
    </row>
    <row r="93670" spans="1:6" x14ac:dyDescent="0.25">
      <c r="A93670"/>
      <c r="B93670"/>
      <c r="C93670"/>
      <c r="E93670"/>
      <c r="F93670"/>
    </row>
    <row r="93671" spans="1:6" x14ac:dyDescent="0.25">
      <c r="A93671"/>
      <c r="B93671"/>
      <c r="C93671"/>
      <c r="E93671"/>
      <c r="F93671"/>
    </row>
    <row r="93672" spans="1:6" x14ac:dyDescent="0.25">
      <c r="A93672"/>
      <c r="B93672"/>
      <c r="C93672"/>
      <c r="E93672"/>
      <c r="F93672"/>
    </row>
    <row r="93673" spans="1:6" x14ac:dyDescent="0.25">
      <c r="A93673"/>
      <c r="B93673"/>
      <c r="C93673"/>
      <c r="E93673"/>
      <c r="F93673"/>
    </row>
    <row r="93674" spans="1:6" x14ac:dyDescent="0.25">
      <c r="A93674"/>
      <c r="B93674"/>
      <c r="C93674"/>
      <c r="E93674"/>
      <c r="F93674"/>
    </row>
    <row r="93675" spans="1:6" x14ac:dyDescent="0.25">
      <c r="A93675"/>
      <c r="B93675"/>
      <c r="C93675"/>
      <c r="E93675"/>
      <c r="F93675"/>
    </row>
    <row r="93676" spans="1:6" x14ac:dyDescent="0.25">
      <c r="A93676"/>
      <c r="B93676"/>
      <c r="C93676"/>
      <c r="E93676"/>
      <c r="F93676"/>
    </row>
    <row r="93677" spans="1:6" x14ac:dyDescent="0.25">
      <c r="A93677"/>
      <c r="B93677"/>
      <c r="C93677"/>
      <c r="E93677"/>
      <c r="F93677"/>
    </row>
    <row r="93678" spans="1:6" x14ac:dyDescent="0.25">
      <c r="A93678"/>
      <c r="B93678"/>
      <c r="C93678"/>
      <c r="E93678"/>
      <c r="F93678"/>
    </row>
    <row r="93679" spans="1:6" x14ac:dyDescent="0.25">
      <c r="A93679"/>
      <c r="B93679"/>
      <c r="C93679"/>
      <c r="E93679"/>
      <c r="F93679"/>
    </row>
    <row r="93680" spans="1:6" x14ac:dyDescent="0.25">
      <c r="A93680"/>
      <c r="B93680"/>
      <c r="C93680"/>
      <c r="E93680"/>
      <c r="F93680"/>
    </row>
    <row r="93681" spans="1:6" x14ac:dyDescent="0.25">
      <c r="A93681"/>
      <c r="B93681"/>
      <c r="C93681"/>
      <c r="E93681"/>
      <c r="F93681"/>
    </row>
    <row r="93682" spans="1:6" x14ac:dyDescent="0.25">
      <c r="A93682"/>
      <c r="B93682"/>
      <c r="C93682"/>
      <c r="E93682"/>
      <c r="F93682"/>
    </row>
    <row r="93683" spans="1:6" x14ac:dyDescent="0.25">
      <c r="A93683"/>
      <c r="B93683"/>
      <c r="C93683"/>
      <c r="E93683"/>
      <c r="F93683"/>
    </row>
    <row r="93684" spans="1:6" x14ac:dyDescent="0.25">
      <c r="A93684"/>
      <c r="B93684"/>
      <c r="C93684"/>
      <c r="E93684"/>
      <c r="F93684"/>
    </row>
    <row r="93685" spans="1:6" x14ac:dyDescent="0.25">
      <c r="A93685"/>
      <c r="B93685"/>
      <c r="C93685"/>
      <c r="E93685"/>
      <c r="F93685"/>
    </row>
    <row r="93686" spans="1:6" x14ac:dyDescent="0.25">
      <c r="A93686"/>
      <c r="B93686"/>
      <c r="C93686"/>
      <c r="E93686"/>
      <c r="F93686"/>
    </row>
    <row r="93687" spans="1:6" x14ac:dyDescent="0.25">
      <c r="A93687"/>
      <c r="B93687"/>
      <c r="C93687"/>
      <c r="E93687"/>
      <c r="F93687"/>
    </row>
    <row r="93688" spans="1:6" x14ac:dyDescent="0.25">
      <c r="A93688"/>
      <c r="B93688"/>
      <c r="C93688"/>
      <c r="E93688"/>
      <c r="F93688"/>
    </row>
    <row r="93689" spans="1:6" x14ac:dyDescent="0.25">
      <c r="A93689"/>
      <c r="B93689"/>
      <c r="C93689"/>
      <c r="E93689"/>
      <c r="F93689"/>
    </row>
    <row r="93690" spans="1:6" x14ac:dyDescent="0.25">
      <c r="A93690"/>
      <c r="B93690"/>
      <c r="C93690"/>
      <c r="E93690"/>
      <c r="F93690"/>
    </row>
    <row r="93691" spans="1:6" x14ac:dyDescent="0.25">
      <c r="A93691"/>
      <c r="B93691"/>
      <c r="C93691"/>
      <c r="E93691"/>
      <c r="F93691"/>
    </row>
    <row r="93692" spans="1:6" x14ac:dyDescent="0.25">
      <c r="A93692"/>
      <c r="B93692"/>
      <c r="C93692"/>
      <c r="E93692"/>
      <c r="F93692"/>
    </row>
    <row r="93693" spans="1:6" x14ac:dyDescent="0.25">
      <c r="A93693"/>
      <c r="B93693"/>
      <c r="C93693"/>
      <c r="E93693"/>
      <c r="F93693"/>
    </row>
    <row r="93694" spans="1:6" x14ac:dyDescent="0.25">
      <c r="A93694"/>
      <c r="B93694"/>
      <c r="C93694"/>
      <c r="E93694"/>
      <c r="F93694"/>
    </row>
    <row r="93695" spans="1:6" x14ac:dyDescent="0.25">
      <c r="A93695"/>
      <c r="B93695"/>
      <c r="C93695"/>
      <c r="E93695"/>
      <c r="F93695"/>
    </row>
    <row r="93696" spans="1:6" x14ac:dyDescent="0.25">
      <c r="A93696"/>
      <c r="B93696"/>
      <c r="C93696"/>
      <c r="E93696"/>
      <c r="F93696"/>
    </row>
    <row r="93697" spans="1:6" x14ac:dyDescent="0.25">
      <c r="A93697"/>
      <c r="B93697"/>
      <c r="C93697"/>
      <c r="E93697"/>
      <c r="F93697"/>
    </row>
    <row r="93698" spans="1:6" x14ac:dyDescent="0.25">
      <c r="A93698"/>
      <c r="B93698"/>
      <c r="C93698"/>
      <c r="E93698"/>
      <c r="F93698"/>
    </row>
    <row r="93699" spans="1:6" x14ac:dyDescent="0.25">
      <c r="A93699"/>
      <c r="B93699"/>
      <c r="C93699"/>
      <c r="E93699"/>
      <c r="F93699"/>
    </row>
    <row r="93700" spans="1:6" x14ac:dyDescent="0.25">
      <c r="A93700"/>
      <c r="B93700"/>
      <c r="C93700"/>
      <c r="E93700"/>
      <c r="F93700"/>
    </row>
    <row r="93701" spans="1:6" x14ac:dyDescent="0.25">
      <c r="A93701"/>
      <c r="B93701"/>
      <c r="C93701"/>
      <c r="E93701"/>
      <c r="F93701"/>
    </row>
    <row r="93702" spans="1:6" x14ac:dyDescent="0.25">
      <c r="A93702"/>
      <c r="B93702"/>
      <c r="C93702"/>
      <c r="E93702"/>
      <c r="F93702"/>
    </row>
    <row r="93703" spans="1:6" x14ac:dyDescent="0.25">
      <c r="A93703"/>
      <c r="B93703"/>
      <c r="C93703"/>
      <c r="E93703"/>
      <c r="F93703"/>
    </row>
    <row r="93704" spans="1:6" x14ac:dyDescent="0.25">
      <c r="A93704"/>
      <c r="B93704"/>
      <c r="C93704"/>
      <c r="E93704"/>
      <c r="F93704"/>
    </row>
    <row r="93705" spans="1:6" x14ac:dyDescent="0.25">
      <c r="A93705"/>
      <c r="B93705"/>
      <c r="C93705"/>
      <c r="E93705"/>
      <c r="F93705"/>
    </row>
    <row r="93706" spans="1:6" x14ac:dyDescent="0.25">
      <c r="A93706"/>
      <c r="B93706"/>
      <c r="C93706"/>
      <c r="E93706"/>
      <c r="F93706"/>
    </row>
    <row r="93707" spans="1:6" x14ac:dyDescent="0.25">
      <c r="A93707"/>
      <c r="B93707"/>
      <c r="C93707"/>
      <c r="E93707"/>
      <c r="F93707"/>
    </row>
    <row r="93708" spans="1:6" x14ac:dyDescent="0.25">
      <c r="A93708"/>
      <c r="B93708"/>
      <c r="C93708"/>
      <c r="E93708"/>
      <c r="F93708"/>
    </row>
    <row r="93709" spans="1:6" x14ac:dyDescent="0.25">
      <c r="A93709"/>
      <c r="B93709"/>
      <c r="C93709"/>
      <c r="E93709"/>
      <c r="F93709"/>
    </row>
    <row r="93710" spans="1:6" x14ac:dyDescent="0.25">
      <c r="A93710"/>
      <c r="B93710"/>
      <c r="C93710"/>
      <c r="E93710"/>
      <c r="F93710"/>
    </row>
    <row r="93711" spans="1:6" x14ac:dyDescent="0.25">
      <c r="A93711"/>
      <c r="B93711"/>
      <c r="C93711"/>
      <c r="E93711"/>
      <c r="F93711"/>
    </row>
    <row r="93712" spans="1:6" x14ac:dyDescent="0.25">
      <c r="A93712"/>
      <c r="B93712"/>
      <c r="C93712"/>
      <c r="E93712"/>
      <c r="F93712"/>
    </row>
    <row r="93713" spans="1:6" x14ac:dyDescent="0.25">
      <c r="A93713"/>
      <c r="B93713"/>
      <c r="C93713"/>
      <c r="E93713"/>
      <c r="F93713"/>
    </row>
    <row r="93714" spans="1:6" x14ac:dyDescent="0.25">
      <c r="A93714"/>
      <c r="B93714"/>
      <c r="C93714"/>
      <c r="E93714"/>
      <c r="F93714"/>
    </row>
    <row r="93715" spans="1:6" x14ac:dyDescent="0.25">
      <c r="A93715"/>
      <c r="B93715"/>
      <c r="C93715"/>
      <c r="E93715"/>
      <c r="F93715"/>
    </row>
    <row r="93716" spans="1:6" x14ac:dyDescent="0.25">
      <c r="A93716"/>
      <c r="B93716"/>
      <c r="C93716"/>
      <c r="E93716"/>
      <c r="F93716"/>
    </row>
    <row r="93717" spans="1:6" x14ac:dyDescent="0.25">
      <c r="A93717"/>
      <c r="B93717"/>
      <c r="C93717"/>
      <c r="E93717"/>
      <c r="F93717"/>
    </row>
    <row r="93718" spans="1:6" x14ac:dyDescent="0.25">
      <c r="A93718"/>
      <c r="B93718"/>
      <c r="C93718"/>
      <c r="E93718"/>
      <c r="F93718"/>
    </row>
    <row r="93719" spans="1:6" x14ac:dyDescent="0.25">
      <c r="A93719"/>
      <c r="B93719"/>
      <c r="C93719"/>
      <c r="E93719"/>
      <c r="F93719"/>
    </row>
    <row r="93720" spans="1:6" x14ac:dyDescent="0.25">
      <c r="A93720"/>
      <c r="B93720"/>
      <c r="C93720"/>
      <c r="E93720"/>
      <c r="F93720"/>
    </row>
    <row r="93721" spans="1:6" x14ac:dyDescent="0.25">
      <c r="A93721"/>
      <c r="B93721"/>
      <c r="C93721"/>
      <c r="E93721"/>
      <c r="F93721"/>
    </row>
    <row r="93722" spans="1:6" x14ac:dyDescent="0.25">
      <c r="A93722"/>
      <c r="B93722"/>
      <c r="C93722"/>
      <c r="E93722"/>
      <c r="F93722"/>
    </row>
    <row r="93723" spans="1:6" x14ac:dyDescent="0.25">
      <c r="A93723"/>
      <c r="B93723"/>
      <c r="C93723"/>
      <c r="E93723"/>
      <c r="F93723"/>
    </row>
    <row r="93724" spans="1:6" x14ac:dyDescent="0.25">
      <c r="A93724"/>
      <c r="B93724"/>
      <c r="C93724"/>
      <c r="E93724"/>
      <c r="F93724"/>
    </row>
    <row r="93725" spans="1:6" x14ac:dyDescent="0.25">
      <c r="A93725"/>
      <c r="B93725"/>
      <c r="C93725"/>
      <c r="E93725"/>
      <c r="F93725"/>
    </row>
    <row r="93726" spans="1:6" x14ac:dyDescent="0.25">
      <c r="A93726"/>
      <c r="B93726"/>
      <c r="C93726"/>
      <c r="E93726"/>
      <c r="F93726"/>
    </row>
    <row r="93727" spans="1:6" x14ac:dyDescent="0.25">
      <c r="A93727"/>
      <c r="B93727"/>
      <c r="C93727"/>
      <c r="E93727"/>
      <c r="F93727"/>
    </row>
    <row r="93728" spans="1:6" x14ac:dyDescent="0.25">
      <c r="A93728"/>
      <c r="B93728"/>
      <c r="C93728"/>
      <c r="E93728"/>
      <c r="F93728"/>
    </row>
    <row r="93729" spans="1:6" x14ac:dyDescent="0.25">
      <c r="A93729"/>
      <c r="B93729"/>
      <c r="C93729"/>
      <c r="E93729"/>
      <c r="F93729"/>
    </row>
    <row r="93730" spans="1:6" x14ac:dyDescent="0.25">
      <c r="A93730"/>
      <c r="B93730"/>
      <c r="C93730"/>
      <c r="E93730"/>
      <c r="F93730"/>
    </row>
    <row r="93731" spans="1:6" x14ac:dyDescent="0.25">
      <c r="A93731"/>
      <c r="B93731"/>
      <c r="C93731"/>
      <c r="E93731"/>
      <c r="F93731"/>
    </row>
    <row r="93732" spans="1:6" x14ac:dyDescent="0.25">
      <c r="A93732"/>
      <c r="B93732"/>
      <c r="C93732"/>
      <c r="E93732"/>
      <c r="F93732"/>
    </row>
    <row r="93733" spans="1:6" x14ac:dyDescent="0.25">
      <c r="A93733"/>
      <c r="B93733"/>
      <c r="C93733"/>
      <c r="E93733"/>
      <c r="F93733"/>
    </row>
    <row r="93734" spans="1:6" x14ac:dyDescent="0.25">
      <c r="A93734"/>
      <c r="B93734"/>
      <c r="C93734"/>
      <c r="E93734"/>
      <c r="F93734"/>
    </row>
    <row r="93735" spans="1:6" x14ac:dyDescent="0.25">
      <c r="A93735"/>
      <c r="B93735"/>
      <c r="C93735"/>
      <c r="E93735"/>
      <c r="F93735"/>
    </row>
    <row r="93736" spans="1:6" x14ac:dyDescent="0.25">
      <c r="A93736"/>
      <c r="B93736"/>
      <c r="C93736"/>
      <c r="E93736"/>
      <c r="F93736"/>
    </row>
    <row r="93737" spans="1:6" x14ac:dyDescent="0.25">
      <c r="A93737"/>
      <c r="B93737"/>
      <c r="C93737"/>
      <c r="E93737"/>
      <c r="F93737"/>
    </row>
    <row r="93738" spans="1:6" x14ac:dyDescent="0.25">
      <c r="A93738"/>
      <c r="B93738"/>
      <c r="C93738"/>
      <c r="E93738"/>
      <c r="F93738"/>
    </row>
    <row r="93739" spans="1:6" x14ac:dyDescent="0.25">
      <c r="A93739"/>
      <c r="B93739"/>
      <c r="C93739"/>
      <c r="E93739"/>
      <c r="F93739"/>
    </row>
    <row r="93740" spans="1:6" x14ac:dyDescent="0.25">
      <c r="A93740"/>
      <c r="B93740"/>
      <c r="C93740"/>
      <c r="E93740"/>
      <c r="F93740"/>
    </row>
    <row r="93741" spans="1:6" x14ac:dyDescent="0.25">
      <c r="A93741"/>
      <c r="B93741"/>
      <c r="C93741"/>
      <c r="E93741"/>
      <c r="F93741"/>
    </row>
    <row r="93742" spans="1:6" x14ac:dyDescent="0.25">
      <c r="A93742"/>
      <c r="B93742"/>
      <c r="C93742"/>
      <c r="E93742"/>
      <c r="F93742"/>
    </row>
    <row r="93743" spans="1:6" x14ac:dyDescent="0.25">
      <c r="A93743"/>
      <c r="B93743"/>
      <c r="C93743"/>
      <c r="E93743"/>
      <c r="F93743"/>
    </row>
    <row r="93744" spans="1:6" x14ac:dyDescent="0.25">
      <c r="A93744"/>
      <c r="B93744"/>
      <c r="C93744"/>
      <c r="E93744"/>
      <c r="F93744"/>
    </row>
    <row r="93745" spans="1:6" x14ac:dyDescent="0.25">
      <c r="A93745"/>
      <c r="B93745"/>
      <c r="C93745"/>
      <c r="E93745"/>
      <c r="F93745"/>
    </row>
    <row r="93746" spans="1:6" x14ac:dyDescent="0.25">
      <c r="A93746"/>
      <c r="B93746"/>
      <c r="C93746"/>
      <c r="E93746"/>
      <c r="F93746"/>
    </row>
    <row r="93747" spans="1:6" x14ac:dyDescent="0.25">
      <c r="A93747"/>
      <c r="B93747"/>
      <c r="C93747"/>
      <c r="E93747"/>
      <c r="F93747"/>
    </row>
    <row r="93748" spans="1:6" x14ac:dyDescent="0.25">
      <c r="A93748"/>
      <c r="B93748"/>
      <c r="C93748"/>
      <c r="E93748"/>
      <c r="F93748"/>
    </row>
    <row r="93749" spans="1:6" x14ac:dyDescent="0.25">
      <c r="A93749"/>
      <c r="B93749"/>
      <c r="C93749"/>
      <c r="E93749"/>
      <c r="F93749"/>
    </row>
    <row r="93750" spans="1:6" x14ac:dyDescent="0.25">
      <c r="A93750"/>
      <c r="B93750"/>
      <c r="C93750"/>
      <c r="E93750"/>
      <c r="F93750"/>
    </row>
    <row r="93751" spans="1:6" x14ac:dyDescent="0.25">
      <c r="A93751"/>
      <c r="B93751"/>
      <c r="C93751"/>
      <c r="E93751"/>
      <c r="F93751"/>
    </row>
    <row r="93752" spans="1:6" x14ac:dyDescent="0.25">
      <c r="A93752"/>
      <c r="B93752"/>
      <c r="C93752"/>
      <c r="E93752"/>
      <c r="F93752"/>
    </row>
    <row r="93753" spans="1:6" x14ac:dyDescent="0.25">
      <c r="A93753"/>
      <c r="B93753"/>
      <c r="C93753"/>
      <c r="E93753"/>
      <c r="F93753"/>
    </row>
    <row r="93754" spans="1:6" x14ac:dyDescent="0.25">
      <c r="A93754"/>
      <c r="B93754"/>
      <c r="C93754"/>
      <c r="E93754"/>
      <c r="F93754"/>
    </row>
    <row r="93755" spans="1:6" x14ac:dyDescent="0.25">
      <c r="A93755"/>
      <c r="B93755"/>
      <c r="C93755"/>
      <c r="E93755"/>
      <c r="F93755"/>
    </row>
    <row r="93756" spans="1:6" x14ac:dyDescent="0.25">
      <c r="A93756"/>
      <c r="B93756"/>
      <c r="C93756"/>
      <c r="E93756"/>
      <c r="F93756"/>
    </row>
    <row r="93757" spans="1:6" x14ac:dyDescent="0.25">
      <c r="A93757"/>
      <c r="B93757"/>
      <c r="C93757"/>
      <c r="E93757"/>
      <c r="F93757"/>
    </row>
    <row r="93758" spans="1:6" x14ac:dyDescent="0.25">
      <c r="A93758"/>
      <c r="B93758"/>
      <c r="C93758"/>
      <c r="E93758"/>
      <c r="F93758"/>
    </row>
    <row r="93759" spans="1:6" x14ac:dyDescent="0.25">
      <c r="A93759"/>
      <c r="B93759"/>
      <c r="C93759"/>
      <c r="E93759"/>
      <c r="F93759"/>
    </row>
    <row r="93760" spans="1:6" x14ac:dyDescent="0.25">
      <c r="A93760"/>
      <c r="B93760"/>
      <c r="C93760"/>
      <c r="E93760"/>
      <c r="F93760"/>
    </row>
    <row r="93761" spans="1:6" x14ac:dyDescent="0.25">
      <c r="A93761"/>
      <c r="B93761"/>
      <c r="C93761"/>
      <c r="E93761"/>
      <c r="F93761"/>
    </row>
    <row r="93762" spans="1:6" x14ac:dyDescent="0.25">
      <c r="A93762"/>
      <c r="B93762"/>
      <c r="C93762"/>
      <c r="E93762"/>
      <c r="F93762"/>
    </row>
    <row r="93763" spans="1:6" x14ac:dyDescent="0.25">
      <c r="A93763"/>
      <c r="B93763"/>
      <c r="C93763"/>
      <c r="E93763"/>
      <c r="F93763"/>
    </row>
    <row r="93764" spans="1:6" x14ac:dyDescent="0.25">
      <c r="A93764"/>
      <c r="B93764"/>
      <c r="C93764"/>
      <c r="E93764"/>
      <c r="F93764"/>
    </row>
    <row r="93765" spans="1:6" x14ac:dyDescent="0.25">
      <c r="A93765"/>
      <c r="B93765"/>
      <c r="C93765"/>
      <c r="E93765"/>
      <c r="F93765"/>
    </row>
    <row r="93766" spans="1:6" x14ac:dyDescent="0.25">
      <c r="A93766"/>
      <c r="B93766"/>
      <c r="C93766"/>
      <c r="E93766"/>
      <c r="F93766"/>
    </row>
    <row r="93767" spans="1:6" x14ac:dyDescent="0.25">
      <c r="A93767"/>
      <c r="B93767"/>
      <c r="C93767"/>
      <c r="E93767"/>
      <c r="F93767"/>
    </row>
    <row r="93768" spans="1:6" x14ac:dyDescent="0.25">
      <c r="A93768"/>
      <c r="B93768"/>
      <c r="C93768"/>
      <c r="E93768"/>
      <c r="F93768"/>
    </row>
    <row r="93769" spans="1:6" x14ac:dyDescent="0.25">
      <c r="A93769"/>
      <c r="B93769"/>
      <c r="C93769"/>
      <c r="E93769"/>
      <c r="F93769"/>
    </row>
    <row r="93770" spans="1:6" x14ac:dyDescent="0.25">
      <c r="A93770"/>
      <c r="B93770"/>
      <c r="C93770"/>
      <c r="E93770"/>
      <c r="F93770"/>
    </row>
    <row r="93771" spans="1:6" x14ac:dyDescent="0.25">
      <c r="A93771"/>
      <c r="B93771"/>
      <c r="C93771"/>
      <c r="E93771"/>
      <c r="F93771"/>
    </row>
    <row r="93772" spans="1:6" x14ac:dyDescent="0.25">
      <c r="A93772"/>
      <c r="B93772"/>
      <c r="C93772"/>
      <c r="E93772"/>
      <c r="F93772"/>
    </row>
    <row r="93773" spans="1:6" x14ac:dyDescent="0.25">
      <c r="A93773"/>
      <c r="B93773"/>
      <c r="C93773"/>
      <c r="E93773"/>
      <c r="F93773"/>
    </row>
    <row r="93774" spans="1:6" x14ac:dyDescent="0.25">
      <c r="A93774"/>
      <c r="B93774"/>
      <c r="C93774"/>
      <c r="E93774"/>
      <c r="F93774"/>
    </row>
    <row r="93775" spans="1:6" x14ac:dyDescent="0.25">
      <c r="A93775"/>
      <c r="B93775"/>
      <c r="C93775"/>
      <c r="E93775"/>
      <c r="F93775"/>
    </row>
    <row r="93776" spans="1:6" x14ac:dyDescent="0.25">
      <c r="A93776"/>
      <c r="B93776"/>
      <c r="C93776"/>
      <c r="E93776"/>
      <c r="F93776"/>
    </row>
    <row r="93777" spans="1:6" x14ac:dyDescent="0.25">
      <c r="A93777"/>
      <c r="B93777"/>
      <c r="C93777"/>
      <c r="E93777"/>
      <c r="F93777"/>
    </row>
    <row r="93778" spans="1:6" x14ac:dyDescent="0.25">
      <c r="A93778"/>
      <c r="B93778"/>
      <c r="C93778"/>
      <c r="E93778"/>
      <c r="F93778"/>
    </row>
    <row r="93779" spans="1:6" x14ac:dyDescent="0.25">
      <c r="A93779"/>
      <c r="B93779"/>
      <c r="C93779"/>
      <c r="E93779"/>
      <c r="F93779"/>
    </row>
    <row r="93780" spans="1:6" x14ac:dyDescent="0.25">
      <c r="A93780"/>
      <c r="B93780"/>
      <c r="C93780"/>
      <c r="E93780"/>
      <c r="F93780"/>
    </row>
    <row r="93781" spans="1:6" x14ac:dyDescent="0.25">
      <c r="A93781"/>
      <c r="B93781"/>
      <c r="C93781"/>
      <c r="E93781"/>
      <c r="F93781"/>
    </row>
    <row r="93782" spans="1:6" x14ac:dyDescent="0.25">
      <c r="A93782"/>
      <c r="B93782"/>
      <c r="C93782"/>
      <c r="E93782"/>
      <c r="F93782"/>
    </row>
    <row r="93783" spans="1:6" x14ac:dyDescent="0.25">
      <c r="A93783"/>
      <c r="B93783"/>
      <c r="C93783"/>
      <c r="E93783"/>
      <c r="F93783"/>
    </row>
    <row r="93784" spans="1:6" x14ac:dyDescent="0.25">
      <c r="A93784"/>
      <c r="B93784"/>
      <c r="C93784"/>
      <c r="E93784"/>
      <c r="F93784"/>
    </row>
    <row r="93785" spans="1:6" x14ac:dyDescent="0.25">
      <c r="A93785"/>
      <c r="B93785"/>
      <c r="C93785"/>
      <c r="E93785"/>
      <c r="F93785"/>
    </row>
    <row r="93786" spans="1:6" x14ac:dyDescent="0.25">
      <c r="A93786"/>
      <c r="B93786"/>
      <c r="C93786"/>
      <c r="E93786"/>
      <c r="F93786"/>
    </row>
    <row r="93787" spans="1:6" x14ac:dyDescent="0.25">
      <c r="A93787"/>
      <c r="B93787"/>
      <c r="C93787"/>
      <c r="E93787"/>
      <c r="F93787"/>
    </row>
    <row r="93788" spans="1:6" x14ac:dyDescent="0.25">
      <c r="A93788"/>
      <c r="B93788"/>
      <c r="C93788"/>
      <c r="E93788"/>
      <c r="F93788"/>
    </row>
    <row r="93789" spans="1:6" x14ac:dyDescent="0.25">
      <c r="A93789"/>
      <c r="B93789"/>
      <c r="C93789"/>
      <c r="E93789"/>
      <c r="F93789"/>
    </row>
    <row r="93790" spans="1:6" x14ac:dyDescent="0.25">
      <c r="A93790"/>
      <c r="B93790"/>
      <c r="C93790"/>
      <c r="E93790"/>
      <c r="F93790"/>
    </row>
    <row r="93791" spans="1:6" x14ac:dyDescent="0.25">
      <c r="A93791"/>
      <c r="B93791"/>
      <c r="C93791"/>
      <c r="E93791"/>
      <c r="F93791"/>
    </row>
    <row r="93792" spans="1:6" x14ac:dyDescent="0.25">
      <c r="A93792"/>
      <c r="B93792"/>
      <c r="C93792"/>
      <c r="E93792"/>
      <c r="F93792"/>
    </row>
    <row r="93793" spans="1:6" x14ac:dyDescent="0.25">
      <c r="A93793"/>
      <c r="B93793"/>
      <c r="C93793"/>
      <c r="E93793"/>
      <c r="F93793"/>
    </row>
    <row r="93794" spans="1:6" x14ac:dyDescent="0.25">
      <c r="A93794"/>
      <c r="B93794"/>
      <c r="C93794"/>
      <c r="E93794"/>
      <c r="F93794"/>
    </row>
    <row r="93795" spans="1:6" x14ac:dyDescent="0.25">
      <c r="A93795"/>
      <c r="B93795"/>
      <c r="C93795"/>
      <c r="E93795"/>
      <c r="F93795"/>
    </row>
    <row r="93796" spans="1:6" x14ac:dyDescent="0.25">
      <c r="A93796"/>
      <c r="B93796"/>
      <c r="C93796"/>
      <c r="E93796"/>
      <c r="F93796"/>
    </row>
    <row r="93797" spans="1:6" x14ac:dyDescent="0.25">
      <c r="A93797"/>
      <c r="B93797"/>
      <c r="C93797"/>
      <c r="E93797"/>
      <c r="F93797"/>
    </row>
    <row r="93798" spans="1:6" x14ac:dyDescent="0.25">
      <c r="A93798"/>
      <c r="B93798"/>
      <c r="C93798"/>
      <c r="E93798"/>
      <c r="F93798"/>
    </row>
    <row r="93799" spans="1:6" x14ac:dyDescent="0.25">
      <c r="A93799"/>
      <c r="B93799"/>
      <c r="C93799"/>
      <c r="E93799"/>
      <c r="F93799"/>
    </row>
    <row r="93800" spans="1:6" x14ac:dyDescent="0.25">
      <c r="A93800"/>
      <c r="B93800"/>
      <c r="C93800"/>
      <c r="E93800"/>
      <c r="F93800"/>
    </row>
    <row r="93801" spans="1:6" x14ac:dyDescent="0.25">
      <c r="A93801"/>
      <c r="B93801"/>
      <c r="C93801"/>
      <c r="E93801"/>
      <c r="F93801"/>
    </row>
    <row r="93802" spans="1:6" x14ac:dyDescent="0.25">
      <c r="A93802"/>
      <c r="B93802"/>
      <c r="C93802"/>
      <c r="E93802"/>
      <c r="F93802"/>
    </row>
    <row r="93803" spans="1:6" x14ac:dyDescent="0.25">
      <c r="A93803"/>
      <c r="B93803"/>
      <c r="C93803"/>
      <c r="E93803"/>
      <c r="F93803"/>
    </row>
    <row r="93804" spans="1:6" x14ac:dyDescent="0.25">
      <c r="A93804"/>
      <c r="B93804"/>
      <c r="C93804"/>
      <c r="E93804"/>
      <c r="F93804"/>
    </row>
    <row r="93805" spans="1:6" x14ac:dyDescent="0.25">
      <c r="A93805"/>
      <c r="B93805"/>
      <c r="C93805"/>
      <c r="E93805"/>
      <c r="F93805"/>
    </row>
    <row r="93806" spans="1:6" x14ac:dyDescent="0.25">
      <c r="A93806"/>
      <c r="B93806"/>
      <c r="C93806"/>
      <c r="E93806"/>
      <c r="F93806"/>
    </row>
    <row r="93807" spans="1:6" x14ac:dyDescent="0.25">
      <c r="A93807"/>
      <c r="B93807"/>
      <c r="C93807"/>
      <c r="E93807"/>
      <c r="F93807"/>
    </row>
    <row r="93808" spans="1:6" x14ac:dyDescent="0.25">
      <c r="A93808"/>
      <c r="B93808"/>
      <c r="C93808"/>
      <c r="E93808"/>
      <c r="F93808"/>
    </row>
    <row r="93809" spans="1:6" x14ac:dyDescent="0.25">
      <c r="A93809"/>
      <c r="B93809"/>
      <c r="C93809"/>
      <c r="E93809"/>
      <c r="F93809"/>
    </row>
    <row r="93810" spans="1:6" x14ac:dyDescent="0.25">
      <c r="A93810"/>
      <c r="B93810"/>
      <c r="C93810"/>
      <c r="E93810"/>
      <c r="F93810"/>
    </row>
    <row r="93811" spans="1:6" x14ac:dyDescent="0.25">
      <c r="A93811"/>
      <c r="B93811"/>
      <c r="C93811"/>
      <c r="E93811"/>
      <c r="F93811"/>
    </row>
    <row r="93812" spans="1:6" x14ac:dyDescent="0.25">
      <c r="A93812"/>
      <c r="B93812"/>
      <c r="C93812"/>
      <c r="E93812"/>
      <c r="F93812"/>
    </row>
    <row r="93813" spans="1:6" x14ac:dyDescent="0.25">
      <c r="A93813"/>
      <c r="B93813"/>
      <c r="C93813"/>
      <c r="E93813"/>
      <c r="F93813"/>
    </row>
    <row r="93814" spans="1:6" x14ac:dyDescent="0.25">
      <c r="A93814"/>
      <c r="B93814"/>
      <c r="C93814"/>
      <c r="E93814"/>
      <c r="F93814"/>
    </row>
    <row r="93815" spans="1:6" x14ac:dyDescent="0.25">
      <c r="A93815"/>
      <c r="B93815"/>
      <c r="C93815"/>
      <c r="E93815"/>
      <c r="F93815"/>
    </row>
    <row r="93816" spans="1:6" x14ac:dyDescent="0.25">
      <c r="A93816"/>
      <c r="B93816"/>
      <c r="C93816"/>
      <c r="E93816"/>
      <c r="F93816"/>
    </row>
    <row r="93817" spans="1:6" x14ac:dyDescent="0.25">
      <c r="A93817"/>
      <c r="B93817"/>
      <c r="C93817"/>
      <c r="E93817"/>
      <c r="F93817"/>
    </row>
    <row r="93818" spans="1:6" x14ac:dyDescent="0.25">
      <c r="A93818"/>
      <c r="B93818"/>
      <c r="C93818"/>
      <c r="E93818"/>
      <c r="F93818"/>
    </row>
    <row r="93819" spans="1:6" x14ac:dyDescent="0.25">
      <c r="A93819"/>
      <c r="B93819"/>
      <c r="C93819"/>
      <c r="E93819"/>
      <c r="F93819"/>
    </row>
    <row r="93820" spans="1:6" x14ac:dyDescent="0.25">
      <c r="A93820"/>
      <c r="B93820"/>
      <c r="C93820"/>
      <c r="E93820"/>
      <c r="F93820"/>
    </row>
    <row r="93821" spans="1:6" x14ac:dyDescent="0.25">
      <c r="A93821"/>
      <c r="B93821"/>
      <c r="C93821"/>
      <c r="E93821"/>
      <c r="F93821"/>
    </row>
    <row r="93822" spans="1:6" x14ac:dyDescent="0.25">
      <c r="A93822"/>
      <c r="B93822"/>
      <c r="C93822"/>
      <c r="E93822"/>
      <c r="F93822"/>
    </row>
    <row r="93823" spans="1:6" x14ac:dyDescent="0.25">
      <c r="A93823"/>
      <c r="B93823"/>
      <c r="C93823"/>
      <c r="E93823"/>
      <c r="F93823"/>
    </row>
    <row r="93824" spans="1:6" x14ac:dyDescent="0.25">
      <c r="A93824"/>
      <c r="B93824"/>
      <c r="C93824"/>
      <c r="E93824"/>
      <c r="F93824"/>
    </row>
    <row r="93825" spans="1:6" x14ac:dyDescent="0.25">
      <c r="A93825"/>
      <c r="B93825"/>
      <c r="C93825"/>
      <c r="E93825"/>
      <c r="F93825"/>
    </row>
    <row r="93826" spans="1:6" x14ac:dyDescent="0.25">
      <c r="A93826"/>
      <c r="B93826"/>
      <c r="C93826"/>
      <c r="E93826"/>
      <c r="F93826"/>
    </row>
    <row r="93827" spans="1:6" x14ac:dyDescent="0.25">
      <c r="A93827"/>
      <c r="B93827"/>
      <c r="C93827"/>
      <c r="E93827"/>
      <c r="F93827"/>
    </row>
    <row r="93828" spans="1:6" x14ac:dyDescent="0.25">
      <c r="A93828"/>
      <c r="B93828"/>
      <c r="C93828"/>
      <c r="E93828"/>
      <c r="F93828"/>
    </row>
    <row r="93829" spans="1:6" x14ac:dyDescent="0.25">
      <c r="A93829"/>
      <c r="B93829"/>
      <c r="C93829"/>
      <c r="E93829"/>
      <c r="F93829"/>
    </row>
    <row r="93830" spans="1:6" x14ac:dyDescent="0.25">
      <c r="A93830"/>
      <c r="B93830"/>
      <c r="C93830"/>
      <c r="E93830"/>
      <c r="F93830"/>
    </row>
    <row r="93831" spans="1:6" x14ac:dyDescent="0.25">
      <c r="A93831"/>
      <c r="B93831"/>
      <c r="C93831"/>
      <c r="E93831"/>
      <c r="F93831"/>
    </row>
    <row r="93832" spans="1:6" x14ac:dyDescent="0.25">
      <c r="A93832"/>
      <c r="B93832"/>
      <c r="C93832"/>
      <c r="E93832"/>
      <c r="F93832"/>
    </row>
    <row r="93833" spans="1:6" x14ac:dyDescent="0.25">
      <c r="A93833"/>
      <c r="B93833"/>
      <c r="C93833"/>
      <c r="E93833"/>
      <c r="F93833"/>
    </row>
    <row r="93834" spans="1:6" x14ac:dyDescent="0.25">
      <c r="A93834"/>
      <c r="B93834"/>
      <c r="C93834"/>
      <c r="E93834"/>
      <c r="F93834"/>
    </row>
    <row r="93835" spans="1:6" x14ac:dyDescent="0.25">
      <c r="A93835"/>
      <c r="B93835"/>
      <c r="C93835"/>
      <c r="E93835"/>
      <c r="F93835"/>
    </row>
    <row r="93836" spans="1:6" x14ac:dyDescent="0.25">
      <c r="A93836"/>
      <c r="B93836"/>
      <c r="C93836"/>
      <c r="E93836"/>
      <c r="F93836"/>
    </row>
    <row r="93837" spans="1:6" x14ac:dyDescent="0.25">
      <c r="A93837"/>
      <c r="B93837"/>
      <c r="C93837"/>
      <c r="E93837"/>
      <c r="F93837"/>
    </row>
    <row r="93838" spans="1:6" x14ac:dyDescent="0.25">
      <c r="A93838"/>
      <c r="B93838"/>
      <c r="C93838"/>
      <c r="E93838"/>
      <c r="F93838"/>
    </row>
    <row r="93839" spans="1:6" x14ac:dyDescent="0.25">
      <c r="A93839"/>
      <c r="B93839"/>
      <c r="C93839"/>
      <c r="E93839"/>
      <c r="F93839"/>
    </row>
    <row r="93840" spans="1:6" x14ac:dyDescent="0.25">
      <c r="A93840"/>
      <c r="B93840"/>
      <c r="C93840"/>
      <c r="E93840"/>
      <c r="F93840"/>
    </row>
    <row r="93841" spans="1:6" x14ac:dyDescent="0.25">
      <c r="A93841"/>
      <c r="B93841"/>
      <c r="C93841"/>
      <c r="E93841"/>
      <c r="F93841"/>
    </row>
    <row r="93842" spans="1:6" x14ac:dyDescent="0.25">
      <c r="A93842"/>
      <c r="B93842"/>
      <c r="C93842"/>
      <c r="E93842"/>
      <c r="F93842"/>
    </row>
    <row r="93843" spans="1:6" x14ac:dyDescent="0.25">
      <c r="A93843"/>
      <c r="B93843"/>
      <c r="C93843"/>
      <c r="E93843"/>
      <c r="F93843"/>
    </row>
    <row r="93844" spans="1:6" x14ac:dyDescent="0.25">
      <c r="A93844"/>
      <c r="B93844"/>
      <c r="C93844"/>
      <c r="E93844"/>
      <c r="F93844"/>
    </row>
    <row r="93845" spans="1:6" x14ac:dyDescent="0.25">
      <c r="A93845"/>
      <c r="B93845"/>
      <c r="C93845"/>
      <c r="E93845"/>
      <c r="F93845"/>
    </row>
    <row r="93846" spans="1:6" x14ac:dyDescent="0.25">
      <c r="A93846"/>
      <c r="B93846"/>
      <c r="C93846"/>
      <c r="E93846"/>
      <c r="F93846"/>
    </row>
    <row r="93847" spans="1:6" x14ac:dyDescent="0.25">
      <c r="A93847"/>
      <c r="B93847"/>
      <c r="C93847"/>
      <c r="E93847"/>
      <c r="F93847"/>
    </row>
    <row r="93848" spans="1:6" x14ac:dyDescent="0.25">
      <c r="A93848"/>
      <c r="B93848"/>
      <c r="C93848"/>
      <c r="E93848"/>
      <c r="F93848"/>
    </row>
    <row r="93849" spans="1:6" x14ac:dyDescent="0.25">
      <c r="A93849"/>
      <c r="B93849"/>
      <c r="C93849"/>
      <c r="E93849"/>
      <c r="F93849"/>
    </row>
    <row r="93850" spans="1:6" x14ac:dyDescent="0.25">
      <c r="A93850"/>
      <c r="B93850"/>
      <c r="C93850"/>
      <c r="E93850"/>
      <c r="F93850"/>
    </row>
    <row r="93851" spans="1:6" x14ac:dyDescent="0.25">
      <c r="A93851"/>
      <c r="B93851"/>
      <c r="C93851"/>
      <c r="E93851"/>
      <c r="F93851"/>
    </row>
    <row r="93852" spans="1:6" x14ac:dyDescent="0.25">
      <c r="A93852"/>
      <c r="B93852"/>
      <c r="C93852"/>
      <c r="E93852"/>
      <c r="F93852"/>
    </row>
    <row r="93853" spans="1:6" x14ac:dyDescent="0.25">
      <c r="A93853"/>
      <c r="B93853"/>
      <c r="C93853"/>
      <c r="E93853"/>
      <c r="F93853"/>
    </row>
    <row r="93854" spans="1:6" x14ac:dyDescent="0.25">
      <c r="A93854"/>
      <c r="B93854"/>
      <c r="C93854"/>
      <c r="E93854"/>
      <c r="F93854"/>
    </row>
    <row r="93855" spans="1:6" x14ac:dyDescent="0.25">
      <c r="A93855"/>
      <c r="B93855"/>
      <c r="C93855"/>
      <c r="E93855"/>
      <c r="F93855"/>
    </row>
    <row r="93856" spans="1:6" x14ac:dyDescent="0.25">
      <c r="A93856"/>
      <c r="B93856"/>
      <c r="C93856"/>
      <c r="E93856"/>
      <c r="F93856"/>
    </row>
    <row r="93857" spans="1:6" x14ac:dyDescent="0.25">
      <c r="A93857"/>
      <c r="B93857"/>
      <c r="C93857"/>
      <c r="E93857"/>
      <c r="F93857"/>
    </row>
    <row r="93858" spans="1:6" x14ac:dyDescent="0.25">
      <c r="A93858"/>
      <c r="B93858"/>
      <c r="C93858"/>
      <c r="E93858"/>
      <c r="F93858"/>
    </row>
    <row r="93859" spans="1:6" x14ac:dyDescent="0.25">
      <c r="A93859"/>
      <c r="B93859"/>
      <c r="C93859"/>
      <c r="E93859"/>
      <c r="F93859"/>
    </row>
    <row r="93860" spans="1:6" x14ac:dyDescent="0.25">
      <c r="A93860"/>
      <c r="B93860"/>
      <c r="C93860"/>
      <c r="E93860"/>
      <c r="F93860"/>
    </row>
    <row r="93861" spans="1:6" x14ac:dyDescent="0.25">
      <c r="A93861"/>
      <c r="B93861"/>
      <c r="C93861"/>
      <c r="E93861"/>
      <c r="F93861"/>
    </row>
    <row r="93862" spans="1:6" x14ac:dyDescent="0.25">
      <c r="A93862"/>
      <c r="B93862"/>
      <c r="C93862"/>
      <c r="E93862"/>
      <c r="F93862"/>
    </row>
    <row r="93863" spans="1:6" x14ac:dyDescent="0.25">
      <c r="A93863"/>
      <c r="B93863"/>
      <c r="C93863"/>
      <c r="E93863"/>
      <c r="F93863"/>
    </row>
    <row r="93864" spans="1:6" x14ac:dyDescent="0.25">
      <c r="A93864"/>
      <c r="B93864"/>
      <c r="C93864"/>
      <c r="E93864"/>
      <c r="F93864"/>
    </row>
    <row r="93865" spans="1:6" x14ac:dyDescent="0.25">
      <c r="A93865"/>
      <c r="B93865"/>
      <c r="C93865"/>
      <c r="E93865"/>
      <c r="F93865"/>
    </row>
    <row r="93866" spans="1:6" x14ac:dyDescent="0.25">
      <c r="A93866"/>
      <c r="B93866"/>
      <c r="C93866"/>
      <c r="E93866"/>
      <c r="F93866"/>
    </row>
    <row r="93867" spans="1:6" x14ac:dyDescent="0.25">
      <c r="A93867"/>
      <c r="B93867"/>
      <c r="C93867"/>
      <c r="E93867"/>
      <c r="F93867"/>
    </row>
    <row r="93868" spans="1:6" x14ac:dyDescent="0.25">
      <c r="A93868"/>
      <c r="B93868"/>
      <c r="C93868"/>
      <c r="E93868"/>
      <c r="F93868"/>
    </row>
    <row r="93869" spans="1:6" x14ac:dyDescent="0.25">
      <c r="A93869"/>
      <c r="B93869"/>
      <c r="C93869"/>
      <c r="E93869"/>
      <c r="F93869"/>
    </row>
    <row r="93870" spans="1:6" x14ac:dyDescent="0.25">
      <c r="A93870"/>
      <c r="B93870"/>
      <c r="C93870"/>
      <c r="E93870"/>
      <c r="F93870"/>
    </row>
    <row r="93871" spans="1:6" x14ac:dyDescent="0.25">
      <c r="A93871"/>
      <c r="B93871"/>
      <c r="C93871"/>
      <c r="E93871"/>
      <c r="F93871"/>
    </row>
    <row r="93872" spans="1:6" x14ac:dyDescent="0.25">
      <c r="A93872"/>
      <c r="B93872"/>
      <c r="C93872"/>
      <c r="E93872"/>
      <c r="F93872"/>
    </row>
    <row r="93873" spans="1:6" x14ac:dyDescent="0.25">
      <c r="A93873"/>
      <c r="B93873"/>
      <c r="C93873"/>
      <c r="E93873"/>
      <c r="F93873"/>
    </row>
    <row r="93874" spans="1:6" x14ac:dyDescent="0.25">
      <c r="A93874"/>
      <c r="B93874"/>
      <c r="C93874"/>
      <c r="E93874"/>
      <c r="F93874"/>
    </row>
    <row r="93875" spans="1:6" x14ac:dyDescent="0.25">
      <c r="A93875"/>
      <c r="B93875"/>
      <c r="C93875"/>
      <c r="E93875"/>
      <c r="F93875"/>
    </row>
    <row r="93876" spans="1:6" x14ac:dyDescent="0.25">
      <c r="A93876"/>
      <c r="B93876"/>
      <c r="C93876"/>
      <c r="E93876"/>
      <c r="F93876"/>
    </row>
    <row r="93877" spans="1:6" x14ac:dyDescent="0.25">
      <c r="A93877"/>
      <c r="B93877"/>
      <c r="C93877"/>
      <c r="E93877"/>
      <c r="F93877"/>
    </row>
    <row r="93878" spans="1:6" x14ac:dyDescent="0.25">
      <c r="A93878"/>
      <c r="B93878"/>
      <c r="C93878"/>
      <c r="E93878"/>
      <c r="F93878"/>
    </row>
    <row r="93879" spans="1:6" x14ac:dyDescent="0.25">
      <c r="A93879"/>
      <c r="B93879"/>
      <c r="C93879"/>
      <c r="E93879"/>
      <c r="F93879"/>
    </row>
    <row r="93880" spans="1:6" x14ac:dyDescent="0.25">
      <c r="A93880"/>
      <c r="B93880"/>
      <c r="C93880"/>
      <c r="E93880"/>
      <c r="F93880"/>
    </row>
    <row r="93881" spans="1:6" x14ac:dyDescent="0.25">
      <c r="A93881"/>
      <c r="B93881"/>
      <c r="C93881"/>
      <c r="E93881"/>
      <c r="F93881"/>
    </row>
    <row r="93882" spans="1:6" x14ac:dyDescent="0.25">
      <c r="A93882"/>
      <c r="B93882"/>
      <c r="C93882"/>
      <c r="E93882"/>
      <c r="F93882"/>
    </row>
    <row r="93883" spans="1:6" x14ac:dyDescent="0.25">
      <c r="A93883"/>
      <c r="B93883"/>
      <c r="C93883"/>
      <c r="E93883"/>
      <c r="F93883"/>
    </row>
    <row r="93884" spans="1:6" x14ac:dyDescent="0.25">
      <c r="A93884"/>
      <c r="B93884"/>
      <c r="C93884"/>
      <c r="E93884"/>
      <c r="F93884"/>
    </row>
    <row r="93885" spans="1:6" x14ac:dyDescent="0.25">
      <c r="A93885"/>
      <c r="B93885"/>
      <c r="C93885"/>
      <c r="E93885"/>
      <c r="F93885"/>
    </row>
    <row r="93886" spans="1:6" x14ac:dyDescent="0.25">
      <c r="A93886"/>
      <c r="B93886"/>
      <c r="C93886"/>
      <c r="E93886"/>
      <c r="F93886"/>
    </row>
    <row r="93887" spans="1:6" x14ac:dyDescent="0.25">
      <c r="A93887"/>
      <c r="B93887"/>
      <c r="C93887"/>
      <c r="E93887"/>
      <c r="F93887"/>
    </row>
    <row r="93888" spans="1:6" x14ac:dyDescent="0.25">
      <c r="A93888"/>
      <c r="B93888"/>
      <c r="C93888"/>
      <c r="E93888"/>
      <c r="F93888"/>
    </row>
    <row r="93889" spans="1:6" x14ac:dyDescent="0.25">
      <c r="A93889"/>
      <c r="B93889"/>
      <c r="C93889"/>
      <c r="E93889"/>
      <c r="F93889"/>
    </row>
    <row r="93890" spans="1:6" x14ac:dyDescent="0.25">
      <c r="A93890"/>
      <c r="B93890"/>
      <c r="C93890"/>
      <c r="E93890"/>
      <c r="F93890"/>
    </row>
    <row r="93891" spans="1:6" x14ac:dyDescent="0.25">
      <c r="A93891"/>
      <c r="B93891"/>
      <c r="C93891"/>
      <c r="E93891"/>
      <c r="F93891"/>
    </row>
    <row r="93892" spans="1:6" x14ac:dyDescent="0.25">
      <c r="A93892"/>
      <c r="B93892"/>
      <c r="C93892"/>
      <c r="E93892"/>
      <c r="F93892"/>
    </row>
    <row r="93893" spans="1:6" x14ac:dyDescent="0.25">
      <c r="A93893"/>
      <c r="B93893"/>
      <c r="C93893"/>
      <c r="E93893"/>
      <c r="F93893"/>
    </row>
    <row r="93894" spans="1:6" x14ac:dyDescent="0.25">
      <c r="A93894"/>
      <c r="B93894"/>
      <c r="C93894"/>
      <c r="E93894"/>
      <c r="F93894"/>
    </row>
    <row r="93895" spans="1:6" x14ac:dyDescent="0.25">
      <c r="A93895"/>
      <c r="B93895"/>
      <c r="C93895"/>
      <c r="E93895"/>
      <c r="F93895"/>
    </row>
    <row r="93896" spans="1:6" x14ac:dyDescent="0.25">
      <c r="A93896"/>
      <c r="B93896"/>
      <c r="C93896"/>
      <c r="E93896"/>
      <c r="F93896"/>
    </row>
    <row r="93897" spans="1:6" x14ac:dyDescent="0.25">
      <c r="A93897"/>
      <c r="B93897"/>
      <c r="C93897"/>
      <c r="E93897"/>
      <c r="F93897"/>
    </row>
    <row r="93898" spans="1:6" x14ac:dyDescent="0.25">
      <c r="A93898"/>
      <c r="B93898"/>
      <c r="C93898"/>
      <c r="E93898"/>
      <c r="F93898"/>
    </row>
    <row r="93899" spans="1:6" x14ac:dyDescent="0.25">
      <c r="A93899"/>
      <c r="B93899"/>
      <c r="C93899"/>
      <c r="E93899"/>
      <c r="F93899"/>
    </row>
    <row r="93900" spans="1:6" x14ac:dyDescent="0.25">
      <c r="A93900"/>
      <c r="B93900"/>
      <c r="C93900"/>
      <c r="E93900"/>
      <c r="F93900"/>
    </row>
    <row r="93901" spans="1:6" x14ac:dyDescent="0.25">
      <c r="A93901"/>
      <c r="B93901"/>
      <c r="C93901"/>
      <c r="E93901"/>
      <c r="F93901"/>
    </row>
    <row r="93902" spans="1:6" x14ac:dyDescent="0.25">
      <c r="A93902"/>
      <c r="B93902"/>
      <c r="C93902"/>
      <c r="E93902"/>
      <c r="F93902"/>
    </row>
    <row r="93903" spans="1:6" x14ac:dyDescent="0.25">
      <c r="A93903"/>
      <c r="B93903"/>
      <c r="C93903"/>
      <c r="E93903"/>
      <c r="F93903"/>
    </row>
    <row r="93904" spans="1:6" x14ac:dyDescent="0.25">
      <c r="A93904"/>
      <c r="B93904"/>
      <c r="C93904"/>
      <c r="E93904"/>
      <c r="F93904"/>
    </row>
    <row r="93905" spans="1:6" x14ac:dyDescent="0.25">
      <c r="A93905"/>
      <c r="B93905"/>
      <c r="C93905"/>
      <c r="E93905"/>
      <c r="F93905"/>
    </row>
    <row r="93906" spans="1:6" x14ac:dyDescent="0.25">
      <c r="A93906"/>
      <c r="B93906"/>
      <c r="C93906"/>
      <c r="E93906"/>
      <c r="F93906"/>
    </row>
    <row r="93907" spans="1:6" x14ac:dyDescent="0.25">
      <c r="A93907"/>
      <c r="B93907"/>
      <c r="C93907"/>
      <c r="E93907"/>
      <c r="F93907"/>
    </row>
    <row r="93908" spans="1:6" x14ac:dyDescent="0.25">
      <c r="A93908"/>
      <c r="B93908"/>
      <c r="C93908"/>
      <c r="E93908"/>
      <c r="F93908"/>
    </row>
    <row r="93909" spans="1:6" x14ac:dyDescent="0.25">
      <c r="A93909"/>
      <c r="B93909"/>
      <c r="C93909"/>
      <c r="E93909"/>
      <c r="F93909"/>
    </row>
    <row r="93910" spans="1:6" x14ac:dyDescent="0.25">
      <c r="A93910"/>
      <c r="B93910"/>
      <c r="C93910"/>
      <c r="E93910"/>
      <c r="F93910"/>
    </row>
    <row r="93911" spans="1:6" x14ac:dyDescent="0.25">
      <c r="A93911"/>
      <c r="B93911"/>
      <c r="C93911"/>
      <c r="E93911"/>
      <c r="F93911"/>
    </row>
    <row r="93912" spans="1:6" x14ac:dyDescent="0.25">
      <c r="A93912"/>
      <c r="B93912"/>
      <c r="C93912"/>
      <c r="E93912"/>
      <c r="F93912"/>
    </row>
    <row r="93913" spans="1:6" x14ac:dyDescent="0.25">
      <c r="A93913"/>
      <c r="B93913"/>
      <c r="C93913"/>
      <c r="E93913"/>
      <c r="F93913"/>
    </row>
    <row r="93914" spans="1:6" x14ac:dyDescent="0.25">
      <c r="A93914"/>
      <c r="B93914"/>
      <c r="C93914"/>
      <c r="E93914"/>
      <c r="F93914"/>
    </row>
    <row r="93915" spans="1:6" x14ac:dyDescent="0.25">
      <c r="A93915"/>
      <c r="B93915"/>
      <c r="C93915"/>
      <c r="E93915"/>
      <c r="F93915"/>
    </row>
    <row r="93916" spans="1:6" x14ac:dyDescent="0.25">
      <c r="A93916"/>
      <c r="B93916"/>
      <c r="C93916"/>
      <c r="E93916"/>
      <c r="F93916"/>
    </row>
    <row r="93917" spans="1:6" x14ac:dyDescent="0.25">
      <c r="A93917"/>
      <c r="B93917"/>
      <c r="C93917"/>
      <c r="E93917"/>
      <c r="F93917"/>
    </row>
    <row r="93918" spans="1:6" x14ac:dyDescent="0.25">
      <c r="A93918"/>
      <c r="B93918"/>
      <c r="C93918"/>
      <c r="E93918"/>
      <c r="F93918"/>
    </row>
    <row r="93919" spans="1:6" x14ac:dyDescent="0.25">
      <c r="A93919"/>
      <c r="B93919"/>
      <c r="C93919"/>
      <c r="E93919"/>
      <c r="F93919"/>
    </row>
    <row r="93920" spans="1:6" x14ac:dyDescent="0.25">
      <c r="A93920"/>
      <c r="B93920"/>
      <c r="C93920"/>
      <c r="E93920"/>
      <c r="F93920"/>
    </row>
    <row r="93921" spans="1:6" x14ac:dyDescent="0.25">
      <c r="A93921"/>
      <c r="B93921"/>
      <c r="C93921"/>
      <c r="E93921"/>
      <c r="F93921"/>
    </row>
    <row r="93922" spans="1:6" x14ac:dyDescent="0.25">
      <c r="A93922"/>
      <c r="B93922"/>
      <c r="C93922"/>
      <c r="E93922"/>
      <c r="F93922"/>
    </row>
    <row r="93923" spans="1:6" x14ac:dyDescent="0.25">
      <c r="A93923"/>
      <c r="B93923"/>
      <c r="C93923"/>
      <c r="E93923"/>
      <c r="F93923"/>
    </row>
    <row r="93924" spans="1:6" x14ac:dyDescent="0.25">
      <c r="A93924"/>
      <c r="B93924"/>
      <c r="C93924"/>
      <c r="E93924"/>
      <c r="F93924"/>
    </row>
    <row r="93925" spans="1:6" x14ac:dyDescent="0.25">
      <c r="A93925"/>
      <c r="B93925"/>
      <c r="C93925"/>
      <c r="E93925"/>
      <c r="F93925"/>
    </row>
    <row r="93926" spans="1:6" x14ac:dyDescent="0.25">
      <c r="A93926"/>
      <c r="B93926"/>
      <c r="C93926"/>
      <c r="E93926"/>
      <c r="F93926"/>
    </row>
    <row r="93927" spans="1:6" x14ac:dyDescent="0.25">
      <c r="A93927"/>
      <c r="B93927"/>
      <c r="C93927"/>
      <c r="E93927"/>
      <c r="F93927"/>
    </row>
    <row r="93928" spans="1:6" x14ac:dyDescent="0.25">
      <c r="A93928"/>
      <c r="B93928"/>
      <c r="C93928"/>
      <c r="E93928"/>
      <c r="F93928"/>
    </row>
    <row r="93929" spans="1:6" x14ac:dyDescent="0.25">
      <c r="A93929"/>
      <c r="B93929"/>
      <c r="C93929"/>
      <c r="E93929"/>
      <c r="F93929"/>
    </row>
    <row r="93930" spans="1:6" x14ac:dyDescent="0.25">
      <c r="A93930"/>
      <c r="B93930"/>
      <c r="C93930"/>
      <c r="E93930"/>
      <c r="F93930"/>
    </row>
    <row r="93931" spans="1:6" x14ac:dyDescent="0.25">
      <c r="A93931"/>
      <c r="B93931"/>
      <c r="C93931"/>
      <c r="E93931"/>
      <c r="F93931"/>
    </row>
    <row r="93932" spans="1:6" x14ac:dyDescent="0.25">
      <c r="A93932"/>
      <c r="B93932"/>
      <c r="C93932"/>
      <c r="E93932"/>
      <c r="F93932"/>
    </row>
    <row r="93933" spans="1:6" x14ac:dyDescent="0.25">
      <c r="A93933"/>
      <c r="B93933"/>
      <c r="C93933"/>
      <c r="E93933"/>
      <c r="F93933"/>
    </row>
    <row r="93934" spans="1:6" x14ac:dyDescent="0.25">
      <c r="A93934"/>
      <c r="B93934"/>
      <c r="C93934"/>
      <c r="E93934"/>
      <c r="F93934"/>
    </row>
    <row r="93935" spans="1:6" x14ac:dyDescent="0.25">
      <c r="A93935"/>
      <c r="B93935"/>
      <c r="C93935"/>
      <c r="E93935"/>
      <c r="F93935"/>
    </row>
    <row r="93936" spans="1:6" x14ac:dyDescent="0.25">
      <c r="A93936"/>
      <c r="B93936"/>
      <c r="C93936"/>
      <c r="E93936"/>
      <c r="F93936"/>
    </row>
    <row r="93937" spans="1:6" x14ac:dyDescent="0.25">
      <c r="A93937"/>
      <c r="B93937"/>
      <c r="C93937"/>
      <c r="E93937"/>
      <c r="F93937"/>
    </row>
    <row r="93938" spans="1:6" x14ac:dyDescent="0.25">
      <c r="A93938"/>
      <c r="B93938"/>
      <c r="C93938"/>
      <c r="E93938"/>
      <c r="F93938"/>
    </row>
    <row r="93939" spans="1:6" x14ac:dyDescent="0.25">
      <c r="A93939"/>
      <c r="B93939"/>
      <c r="C93939"/>
      <c r="E93939"/>
      <c r="F93939"/>
    </row>
    <row r="93940" spans="1:6" x14ac:dyDescent="0.25">
      <c r="A93940"/>
      <c r="B93940"/>
      <c r="C93940"/>
      <c r="E93940"/>
      <c r="F93940"/>
    </row>
    <row r="93941" spans="1:6" x14ac:dyDescent="0.25">
      <c r="A93941"/>
      <c r="B93941"/>
      <c r="C93941"/>
      <c r="E93941"/>
      <c r="F93941"/>
    </row>
    <row r="93942" spans="1:6" x14ac:dyDescent="0.25">
      <c r="A93942"/>
      <c r="B93942"/>
      <c r="C93942"/>
      <c r="E93942"/>
      <c r="F93942"/>
    </row>
    <row r="93943" spans="1:6" x14ac:dyDescent="0.25">
      <c r="A93943"/>
      <c r="B93943"/>
      <c r="C93943"/>
      <c r="E93943"/>
      <c r="F93943"/>
    </row>
    <row r="93944" spans="1:6" x14ac:dyDescent="0.25">
      <c r="A93944"/>
      <c r="B93944"/>
      <c r="C93944"/>
      <c r="E93944"/>
      <c r="F93944"/>
    </row>
    <row r="93945" spans="1:6" x14ac:dyDescent="0.25">
      <c r="A93945"/>
      <c r="B93945"/>
      <c r="C93945"/>
      <c r="E93945"/>
      <c r="F93945"/>
    </row>
    <row r="93946" spans="1:6" x14ac:dyDescent="0.25">
      <c r="A93946"/>
      <c r="B93946"/>
      <c r="C93946"/>
      <c r="E93946"/>
      <c r="F93946"/>
    </row>
    <row r="93947" spans="1:6" x14ac:dyDescent="0.25">
      <c r="A93947"/>
      <c r="B93947"/>
      <c r="C93947"/>
      <c r="E93947"/>
      <c r="F93947"/>
    </row>
    <row r="93948" spans="1:6" x14ac:dyDescent="0.25">
      <c r="A93948"/>
      <c r="B93948"/>
      <c r="C93948"/>
      <c r="E93948"/>
      <c r="F93948"/>
    </row>
    <row r="93949" spans="1:6" x14ac:dyDescent="0.25">
      <c r="A93949"/>
      <c r="B93949"/>
      <c r="C93949"/>
      <c r="E93949"/>
      <c r="F93949"/>
    </row>
    <row r="93950" spans="1:6" x14ac:dyDescent="0.25">
      <c r="A93950"/>
      <c r="B93950"/>
      <c r="C93950"/>
      <c r="E93950"/>
      <c r="F93950"/>
    </row>
    <row r="93951" spans="1:6" x14ac:dyDescent="0.25">
      <c r="A93951"/>
      <c r="B93951"/>
      <c r="C93951"/>
      <c r="E93951"/>
      <c r="F93951"/>
    </row>
    <row r="93952" spans="1:6" x14ac:dyDescent="0.25">
      <c r="A93952"/>
      <c r="B93952"/>
      <c r="C93952"/>
      <c r="E93952"/>
      <c r="F93952"/>
    </row>
    <row r="93953" spans="1:6" x14ac:dyDescent="0.25">
      <c r="A93953"/>
      <c r="B93953"/>
      <c r="C93953"/>
      <c r="E93953"/>
      <c r="F93953"/>
    </row>
    <row r="93954" spans="1:6" x14ac:dyDescent="0.25">
      <c r="A93954"/>
      <c r="B93954"/>
      <c r="C93954"/>
      <c r="E93954"/>
      <c r="F93954"/>
    </row>
    <row r="93955" spans="1:6" x14ac:dyDescent="0.25">
      <c r="A93955"/>
      <c r="B93955"/>
      <c r="C93955"/>
      <c r="E93955"/>
      <c r="F93955"/>
    </row>
    <row r="93956" spans="1:6" x14ac:dyDescent="0.25">
      <c r="A93956"/>
      <c r="B93956"/>
      <c r="C93956"/>
      <c r="E93956"/>
      <c r="F93956"/>
    </row>
    <row r="93957" spans="1:6" x14ac:dyDescent="0.25">
      <c r="A93957"/>
      <c r="B93957"/>
      <c r="C93957"/>
      <c r="E93957"/>
      <c r="F93957"/>
    </row>
    <row r="93958" spans="1:6" x14ac:dyDescent="0.25">
      <c r="A93958"/>
      <c r="B93958"/>
      <c r="C93958"/>
      <c r="E93958"/>
      <c r="F93958"/>
    </row>
    <row r="93959" spans="1:6" x14ac:dyDescent="0.25">
      <c r="A93959"/>
      <c r="B93959"/>
      <c r="C93959"/>
      <c r="E93959"/>
      <c r="F93959"/>
    </row>
    <row r="93960" spans="1:6" x14ac:dyDescent="0.25">
      <c r="A93960"/>
      <c r="B93960"/>
      <c r="C93960"/>
      <c r="E93960"/>
      <c r="F93960"/>
    </row>
    <row r="93961" spans="1:6" x14ac:dyDescent="0.25">
      <c r="A93961"/>
      <c r="B93961"/>
      <c r="C93961"/>
      <c r="E93961"/>
      <c r="F93961"/>
    </row>
    <row r="93962" spans="1:6" x14ac:dyDescent="0.25">
      <c r="A93962"/>
      <c r="B93962"/>
      <c r="C93962"/>
      <c r="E93962"/>
      <c r="F93962"/>
    </row>
    <row r="93963" spans="1:6" x14ac:dyDescent="0.25">
      <c r="A93963"/>
      <c r="B93963"/>
      <c r="C93963"/>
      <c r="E93963"/>
      <c r="F93963"/>
    </row>
    <row r="93964" spans="1:6" x14ac:dyDescent="0.25">
      <c r="A93964"/>
      <c r="B93964"/>
      <c r="C93964"/>
      <c r="E93964"/>
      <c r="F93964"/>
    </row>
    <row r="93965" spans="1:6" x14ac:dyDescent="0.25">
      <c r="A93965"/>
      <c r="B93965"/>
      <c r="C93965"/>
      <c r="E93965"/>
      <c r="F93965"/>
    </row>
    <row r="93966" spans="1:6" x14ac:dyDescent="0.25">
      <c r="A93966"/>
      <c r="B93966"/>
      <c r="C93966"/>
      <c r="E93966"/>
      <c r="F93966"/>
    </row>
    <row r="93967" spans="1:6" x14ac:dyDescent="0.25">
      <c r="A93967"/>
      <c r="B93967"/>
      <c r="C93967"/>
      <c r="E93967"/>
      <c r="F93967"/>
    </row>
    <row r="93968" spans="1:6" x14ac:dyDescent="0.25">
      <c r="A93968"/>
      <c r="B93968"/>
      <c r="C93968"/>
      <c r="E93968"/>
      <c r="F93968"/>
    </row>
    <row r="93969" spans="1:6" x14ac:dyDescent="0.25">
      <c r="A93969"/>
      <c r="B93969"/>
      <c r="C93969"/>
      <c r="E93969"/>
      <c r="F93969"/>
    </row>
    <row r="93970" spans="1:6" x14ac:dyDescent="0.25">
      <c r="A93970"/>
      <c r="B93970"/>
      <c r="C93970"/>
      <c r="E93970"/>
      <c r="F93970"/>
    </row>
    <row r="93971" spans="1:6" x14ac:dyDescent="0.25">
      <c r="A93971"/>
      <c r="B93971"/>
      <c r="C93971"/>
      <c r="E93971"/>
      <c r="F93971"/>
    </row>
    <row r="93972" spans="1:6" x14ac:dyDescent="0.25">
      <c r="A93972"/>
      <c r="B93972"/>
      <c r="C93972"/>
      <c r="E93972"/>
      <c r="F93972"/>
    </row>
    <row r="93973" spans="1:6" x14ac:dyDescent="0.25">
      <c r="A93973"/>
      <c r="B93973"/>
      <c r="C93973"/>
      <c r="E93973"/>
      <c r="F93973"/>
    </row>
    <row r="93974" spans="1:6" x14ac:dyDescent="0.25">
      <c r="A93974"/>
      <c r="B93974"/>
      <c r="C93974"/>
      <c r="E93974"/>
      <c r="F93974"/>
    </row>
    <row r="93975" spans="1:6" x14ac:dyDescent="0.25">
      <c r="A93975"/>
      <c r="B93975"/>
      <c r="C93975"/>
      <c r="E93975"/>
      <c r="F93975"/>
    </row>
    <row r="93976" spans="1:6" x14ac:dyDescent="0.25">
      <c r="A93976"/>
      <c r="B93976"/>
      <c r="C93976"/>
      <c r="E93976"/>
      <c r="F93976"/>
    </row>
    <row r="93977" spans="1:6" x14ac:dyDescent="0.25">
      <c r="A93977"/>
      <c r="B93977"/>
      <c r="C93977"/>
      <c r="E93977"/>
      <c r="F93977"/>
    </row>
    <row r="93978" spans="1:6" x14ac:dyDescent="0.25">
      <c r="A93978"/>
      <c r="B93978"/>
      <c r="C93978"/>
      <c r="E93978"/>
      <c r="F93978"/>
    </row>
    <row r="93979" spans="1:6" x14ac:dyDescent="0.25">
      <c r="A93979"/>
      <c r="B93979"/>
      <c r="C93979"/>
      <c r="E93979"/>
      <c r="F93979"/>
    </row>
    <row r="93980" spans="1:6" x14ac:dyDescent="0.25">
      <c r="A93980"/>
      <c r="B93980"/>
      <c r="C93980"/>
      <c r="E93980"/>
      <c r="F93980"/>
    </row>
    <row r="93981" spans="1:6" x14ac:dyDescent="0.25">
      <c r="A93981"/>
      <c r="B93981"/>
      <c r="C93981"/>
      <c r="E93981"/>
      <c r="F93981"/>
    </row>
    <row r="93982" spans="1:6" x14ac:dyDescent="0.25">
      <c r="A93982"/>
      <c r="B93982"/>
      <c r="C93982"/>
      <c r="E93982"/>
      <c r="F93982"/>
    </row>
    <row r="93983" spans="1:6" x14ac:dyDescent="0.25">
      <c r="A93983"/>
      <c r="B93983"/>
      <c r="C93983"/>
      <c r="E93983"/>
      <c r="F93983"/>
    </row>
    <row r="93984" spans="1:6" x14ac:dyDescent="0.25">
      <c r="A93984"/>
      <c r="B93984"/>
      <c r="C93984"/>
      <c r="E93984"/>
      <c r="F93984"/>
    </row>
    <row r="93985" spans="1:6" x14ac:dyDescent="0.25">
      <c r="A93985"/>
      <c r="B93985"/>
      <c r="C93985"/>
      <c r="E93985"/>
      <c r="F93985"/>
    </row>
    <row r="93986" spans="1:6" x14ac:dyDescent="0.25">
      <c r="A93986"/>
      <c r="B93986"/>
      <c r="C93986"/>
      <c r="E93986"/>
      <c r="F93986"/>
    </row>
    <row r="93987" spans="1:6" x14ac:dyDescent="0.25">
      <c r="A93987"/>
      <c r="B93987"/>
      <c r="C93987"/>
      <c r="E93987"/>
      <c r="F93987"/>
    </row>
    <row r="93988" spans="1:6" x14ac:dyDescent="0.25">
      <c r="A93988"/>
      <c r="B93988"/>
      <c r="C93988"/>
      <c r="E93988"/>
      <c r="F93988"/>
    </row>
    <row r="93989" spans="1:6" x14ac:dyDescent="0.25">
      <c r="A93989"/>
      <c r="B93989"/>
      <c r="C93989"/>
      <c r="E93989"/>
      <c r="F93989"/>
    </row>
    <row r="93990" spans="1:6" x14ac:dyDescent="0.25">
      <c r="A93990"/>
      <c r="B93990"/>
      <c r="C93990"/>
      <c r="E93990"/>
      <c r="F93990"/>
    </row>
    <row r="93991" spans="1:6" x14ac:dyDescent="0.25">
      <c r="A93991"/>
      <c r="B93991"/>
      <c r="C93991"/>
      <c r="E93991"/>
      <c r="F93991"/>
    </row>
    <row r="93992" spans="1:6" x14ac:dyDescent="0.25">
      <c r="A93992"/>
      <c r="B93992"/>
      <c r="C93992"/>
      <c r="E93992"/>
      <c r="F93992"/>
    </row>
    <row r="93993" spans="1:6" x14ac:dyDescent="0.25">
      <c r="A93993"/>
      <c r="B93993"/>
      <c r="C93993"/>
      <c r="E93993"/>
      <c r="F93993"/>
    </row>
    <row r="93994" spans="1:6" x14ac:dyDescent="0.25">
      <c r="A93994"/>
      <c r="B93994"/>
      <c r="C93994"/>
      <c r="E93994"/>
      <c r="F93994"/>
    </row>
    <row r="93995" spans="1:6" x14ac:dyDescent="0.25">
      <c r="A93995"/>
      <c r="B93995"/>
      <c r="C93995"/>
      <c r="E93995"/>
      <c r="F93995"/>
    </row>
    <row r="93996" spans="1:6" x14ac:dyDescent="0.25">
      <c r="A93996"/>
      <c r="B93996"/>
      <c r="C93996"/>
      <c r="E93996"/>
      <c r="F93996"/>
    </row>
    <row r="93997" spans="1:6" x14ac:dyDescent="0.25">
      <c r="A93997"/>
      <c r="B93997"/>
      <c r="C93997"/>
      <c r="E93997"/>
      <c r="F93997"/>
    </row>
    <row r="93998" spans="1:6" x14ac:dyDescent="0.25">
      <c r="A93998"/>
      <c r="B93998"/>
      <c r="C93998"/>
      <c r="E93998"/>
      <c r="F93998"/>
    </row>
    <row r="93999" spans="1:6" x14ac:dyDescent="0.25">
      <c r="A93999"/>
      <c r="B93999"/>
      <c r="C93999"/>
      <c r="E93999"/>
      <c r="F93999"/>
    </row>
    <row r="94000" spans="1:6" x14ac:dyDescent="0.25">
      <c r="A94000"/>
      <c r="B94000"/>
      <c r="C94000"/>
      <c r="E94000"/>
      <c r="F94000"/>
    </row>
    <row r="94001" spans="1:6" x14ac:dyDescent="0.25">
      <c r="A94001"/>
      <c r="B94001"/>
      <c r="C94001"/>
      <c r="E94001"/>
      <c r="F94001"/>
    </row>
    <row r="94002" spans="1:6" x14ac:dyDescent="0.25">
      <c r="A94002"/>
      <c r="B94002"/>
      <c r="C94002"/>
      <c r="E94002"/>
      <c r="F94002"/>
    </row>
    <row r="94003" spans="1:6" x14ac:dyDescent="0.25">
      <c r="A94003"/>
      <c r="B94003"/>
      <c r="C94003"/>
      <c r="E94003"/>
      <c r="F94003"/>
    </row>
    <row r="94004" spans="1:6" x14ac:dyDescent="0.25">
      <c r="A94004"/>
      <c r="B94004"/>
      <c r="C94004"/>
      <c r="E94004"/>
      <c r="F94004"/>
    </row>
    <row r="94005" spans="1:6" x14ac:dyDescent="0.25">
      <c r="A94005"/>
      <c r="B94005"/>
      <c r="C94005"/>
      <c r="E94005"/>
      <c r="F94005"/>
    </row>
    <row r="94006" spans="1:6" x14ac:dyDescent="0.25">
      <c r="A94006"/>
      <c r="B94006"/>
      <c r="C94006"/>
      <c r="E94006"/>
      <c r="F94006"/>
    </row>
    <row r="94007" spans="1:6" x14ac:dyDescent="0.25">
      <c r="A94007"/>
      <c r="B94007"/>
      <c r="C94007"/>
      <c r="E94007"/>
      <c r="F94007"/>
    </row>
    <row r="94008" spans="1:6" x14ac:dyDescent="0.25">
      <c r="A94008"/>
      <c r="B94008"/>
      <c r="C94008"/>
      <c r="E94008"/>
      <c r="F94008"/>
    </row>
    <row r="94009" spans="1:6" x14ac:dyDescent="0.25">
      <c r="A94009"/>
      <c r="B94009"/>
      <c r="C94009"/>
      <c r="E94009"/>
      <c r="F94009"/>
    </row>
    <row r="94010" spans="1:6" x14ac:dyDescent="0.25">
      <c r="A94010"/>
      <c r="B94010"/>
      <c r="C94010"/>
      <c r="E94010"/>
      <c r="F94010"/>
    </row>
    <row r="94011" spans="1:6" x14ac:dyDescent="0.25">
      <c r="A94011"/>
      <c r="B94011"/>
      <c r="C94011"/>
      <c r="E94011"/>
      <c r="F94011"/>
    </row>
    <row r="94012" spans="1:6" x14ac:dyDescent="0.25">
      <c r="A94012"/>
      <c r="B94012"/>
      <c r="C94012"/>
      <c r="E94012"/>
      <c r="F94012"/>
    </row>
    <row r="94013" spans="1:6" x14ac:dyDescent="0.25">
      <c r="A94013"/>
      <c r="B94013"/>
      <c r="C94013"/>
      <c r="E94013"/>
      <c r="F94013"/>
    </row>
    <row r="94014" spans="1:6" x14ac:dyDescent="0.25">
      <c r="A94014"/>
      <c r="B94014"/>
      <c r="C94014"/>
      <c r="E94014"/>
      <c r="F94014"/>
    </row>
    <row r="94015" spans="1:6" x14ac:dyDescent="0.25">
      <c r="A94015"/>
      <c r="B94015"/>
      <c r="C94015"/>
      <c r="E94015"/>
      <c r="F94015"/>
    </row>
    <row r="94016" spans="1:6" x14ac:dyDescent="0.25">
      <c r="A94016"/>
      <c r="B94016"/>
      <c r="C94016"/>
      <c r="E94016"/>
      <c r="F94016"/>
    </row>
    <row r="94017" spans="1:6" x14ac:dyDescent="0.25">
      <c r="A94017"/>
      <c r="B94017"/>
      <c r="C94017"/>
      <c r="E94017"/>
      <c r="F94017"/>
    </row>
    <row r="94018" spans="1:6" x14ac:dyDescent="0.25">
      <c r="A94018"/>
      <c r="B94018"/>
      <c r="C94018"/>
      <c r="E94018"/>
      <c r="F94018"/>
    </row>
    <row r="94019" spans="1:6" x14ac:dyDescent="0.25">
      <c r="A94019"/>
      <c r="B94019"/>
      <c r="C94019"/>
      <c r="E94019"/>
      <c r="F94019"/>
    </row>
    <row r="94020" spans="1:6" x14ac:dyDescent="0.25">
      <c r="A94020"/>
      <c r="B94020"/>
      <c r="C94020"/>
      <c r="E94020"/>
      <c r="F94020"/>
    </row>
    <row r="94021" spans="1:6" x14ac:dyDescent="0.25">
      <c r="A94021"/>
      <c r="B94021"/>
      <c r="C94021"/>
      <c r="E94021"/>
      <c r="F94021"/>
    </row>
    <row r="94022" spans="1:6" x14ac:dyDescent="0.25">
      <c r="A94022"/>
      <c r="B94022"/>
      <c r="C94022"/>
      <c r="E94022"/>
      <c r="F94022"/>
    </row>
    <row r="94023" spans="1:6" x14ac:dyDescent="0.25">
      <c r="A94023"/>
      <c r="B94023"/>
      <c r="C94023"/>
      <c r="E94023"/>
      <c r="F94023"/>
    </row>
    <row r="94024" spans="1:6" x14ac:dyDescent="0.25">
      <c r="A94024"/>
      <c r="B94024"/>
      <c r="C94024"/>
      <c r="E94024"/>
      <c r="F94024"/>
    </row>
    <row r="94025" spans="1:6" x14ac:dyDescent="0.25">
      <c r="A94025"/>
      <c r="B94025"/>
      <c r="C94025"/>
      <c r="E94025"/>
      <c r="F94025"/>
    </row>
    <row r="94026" spans="1:6" x14ac:dyDescent="0.25">
      <c r="A94026"/>
      <c r="B94026"/>
      <c r="C94026"/>
      <c r="E94026"/>
      <c r="F94026"/>
    </row>
    <row r="94027" spans="1:6" x14ac:dyDescent="0.25">
      <c r="A94027"/>
      <c r="B94027"/>
      <c r="C94027"/>
      <c r="E94027"/>
      <c r="F94027"/>
    </row>
    <row r="94028" spans="1:6" x14ac:dyDescent="0.25">
      <c r="A94028"/>
      <c r="B94028"/>
      <c r="C94028"/>
      <c r="E94028"/>
      <c r="F94028"/>
    </row>
    <row r="94029" spans="1:6" x14ac:dyDescent="0.25">
      <c r="A94029"/>
      <c r="B94029"/>
      <c r="C94029"/>
      <c r="E94029"/>
      <c r="F94029"/>
    </row>
    <row r="94030" spans="1:6" x14ac:dyDescent="0.25">
      <c r="A94030"/>
      <c r="B94030"/>
      <c r="C94030"/>
      <c r="E94030"/>
      <c r="F94030"/>
    </row>
    <row r="94031" spans="1:6" x14ac:dyDescent="0.25">
      <c r="A94031"/>
      <c r="B94031"/>
      <c r="C94031"/>
      <c r="E94031"/>
      <c r="F94031"/>
    </row>
    <row r="94032" spans="1:6" x14ac:dyDescent="0.25">
      <c r="A94032"/>
      <c r="B94032"/>
      <c r="C94032"/>
      <c r="E94032"/>
      <c r="F94032"/>
    </row>
    <row r="94033" spans="1:6" x14ac:dyDescent="0.25">
      <c r="A94033"/>
      <c r="B94033"/>
      <c r="C94033"/>
      <c r="E94033"/>
      <c r="F94033"/>
    </row>
    <row r="94034" spans="1:6" x14ac:dyDescent="0.25">
      <c r="A94034"/>
      <c r="B94034"/>
      <c r="C94034"/>
      <c r="E94034"/>
      <c r="F94034"/>
    </row>
    <row r="94035" spans="1:6" x14ac:dyDescent="0.25">
      <c r="A94035"/>
      <c r="B94035"/>
      <c r="C94035"/>
      <c r="E94035"/>
      <c r="F94035"/>
    </row>
    <row r="94036" spans="1:6" x14ac:dyDescent="0.25">
      <c r="A94036"/>
      <c r="B94036"/>
      <c r="C94036"/>
      <c r="E94036"/>
      <c r="F94036"/>
    </row>
    <row r="94037" spans="1:6" x14ac:dyDescent="0.25">
      <c r="A94037"/>
      <c r="B94037"/>
      <c r="C94037"/>
      <c r="E94037"/>
      <c r="F94037"/>
    </row>
    <row r="94038" spans="1:6" x14ac:dyDescent="0.25">
      <c r="A94038"/>
      <c r="B94038"/>
      <c r="C94038"/>
      <c r="E94038"/>
      <c r="F94038"/>
    </row>
    <row r="94039" spans="1:6" x14ac:dyDescent="0.25">
      <c r="A94039"/>
      <c r="B94039"/>
      <c r="C94039"/>
      <c r="E94039"/>
      <c r="F94039"/>
    </row>
    <row r="94040" spans="1:6" x14ac:dyDescent="0.25">
      <c r="A94040"/>
      <c r="B94040"/>
      <c r="C94040"/>
      <c r="E94040"/>
      <c r="F94040"/>
    </row>
    <row r="94041" spans="1:6" x14ac:dyDescent="0.25">
      <c r="A94041"/>
      <c r="B94041"/>
      <c r="C94041"/>
      <c r="E94041"/>
      <c r="F94041"/>
    </row>
    <row r="94042" spans="1:6" x14ac:dyDescent="0.25">
      <c r="A94042"/>
      <c r="B94042"/>
      <c r="C94042"/>
      <c r="E94042"/>
      <c r="F94042"/>
    </row>
    <row r="94043" spans="1:6" x14ac:dyDescent="0.25">
      <c r="A94043"/>
      <c r="B94043"/>
      <c r="C94043"/>
      <c r="E94043"/>
      <c r="F94043"/>
    </row>
    <row r="94044" spans="1:6" x14ac:dyDescent="0.25">
      <c r="A94044"/>
      <c r="B94044"/>
      <c r="C94044"/>
      <c r="E94044"/>
      <c r="F94044"/>
    </row>
    <row r="94045" spans="1:6" x14ac:dyDescent="0.25">
      <c r="A94045"/>
      <c r="B94045"/>
      <c r="C94045"/>
      <c r="E94045"/>
      <c r="F94045"/>
    </row>
    <row r="94046" spans="1:6" x14ac:dyDescent="0.25">
      <c r="A94046"/>
      <c r="B94046"/>
      <c r="C94046"/>
      <c r="E94046"/>
      <c r="F94046"/>
    </row>
    <row r="94047" spans="1:6" x14ac:dyDescent="0.25">
      <c r="A94047"/>
      <c r="B94047"/>
      <c r="C94047"/>
      <c r="E94047"/>
      <c r="F94047"/>
    </row>
    <row r="94048" spans="1:6" x14ac:dyDescent="0.25">
      <c r="A94048"/>
      <c r="B94048"/>
      <c r="C94048"/>
      <c r="E94048"/>
      <c r="F94048"/>
    </row>
    <row r="94049" spans="1:6" x14ac:dyDescent="0.25">
      <c r="A94049"/>
      <c r="B94049"/>
      <c r="C94049"/>
      <c r="E94049"/>
      <c r="F94049"/>
    </row>
    <row r="94050" spans="1:6" x14ac:dyDescent="0.25">
      <c r="A94050"/>
      <c r="B94050"/>
      <c r="C94050"/>
      <c r="E94050"/>
      <c r="F94050"/>
    </row>
    <row r="94051" spans="1:6" x14ac:dyDescent="0.25">
      <c r="A94051"/>
      <c r="B94051"/>
      <c r="C94051"/>
      <c r="E94051"/>
      <c r="F94051"/>
    </row>
    <row r="94052" spans="1:6" x14ac:dyDescent="0.25">
      <c r="A94052"/>
      <c r="B94052"/>
      <c r="C94052"/>
      <c r="E94052"/>
      <c r="F94052"/>
    </row>
    <row r="94053" spans="1:6" x14ac:dyDescent="0.25">
      <c r="A94053"/>
      <c r="B94053"/>
      <c r="C94053"/>
      <c r="E94053"/>
      <c r="F94053"/>
    </row>
    <row r="94054" spans="1:6" x14ac:dyDescent="0.25">
      <c r="A94054"/>
      <c r="B94054"/>
      <c r="C94054"/>
      <c r="E94054"/>
      <c r="F94054"/>
    </row>
    <row r="94055" spans="1:6" x14ac:dyDescent="0.25">
      <c r="A94055"/>
      <c r="B94055"/>
      <c r="C94055"/>
      <c r="E94055"/>
      <c r="F94055"/>
    </row>
    <row r="94056" spans="1:6" x14ac:dyDescent="0.25">
      <c r="A94056"/>
      <c r="B94056"/>
      <c r="C94056"/>
      <c r="E94056"/>
      <c r="F94056"/>
    </row>
    <row r="94057" spans="1:6" x14ac:dyDescent="0.25">
      <c r="A94057"/>
      <c r="B94057"/>
      <c r="C94057"/>
      <c r="E94057"/>
      <c r="F94057"/>
    </row>
    <row r="94058" spans="1:6" x14ac:dyDescent="0.25">
      <c r="A94058"/>
      <c r="B94058"/>
      <c r="C94058"/>
      <c r="E94058"/>
      <c r="F94058"/>
    </row>
    <row r="94059" spans="1:6" x14ac:dyDescent="0.25">
      <c r="A94059"/>
      <c r="B94059"/>
      <c r="C94059"/>
      <c r="E94059"/>
      <c r="F94059"/>
    </row>
    <row r="94060" spans="1:6" x14ac:dyDescent="0.25">
      <c r="A94060"/>
      <c r="B94060"/>
      <c r="C94060"/>
      <c r="E94060"/>
      <c r="F94060"/>
    </row>
    <row r="94061" spans="1:6" x14ac:dyDescent="0.25">
      <c r="A94061"/>
      <c r="B94061"/>
      <c r="C94061"/>
      <c r="E94061"/>
      <c r="F94061"/>
    </row>
    <row r="94062" spans="1:6" x14ac:dyDescent="0.25">
      <c r="A94062"/>
      <c r="B94062"/>
      <c r="C94062"/>
      <c r="E94062"/>
      <c r="F94062"/>
    </row>
    <row r="94063" spans="1:6" x14ac:dyDescent="0.25">
      <c r="A94063"/>
      <c r="B94063"/>
      <c r="C94063"/>
      <c r="E94063"/>
      <c r="F94063"/>
    </row>
    <row r="94064" spans="1:6" x14ac:dyDescent="0.25">
      <c r="A94064"/>
      <c r="B94064"/>
      <c r="C94064"/>
      <c r="E94064"/>
      <c r="F94064"/>
    </row>
    <row r="94065" spans="1:6" x14ac:dyDescent="0.25">
      <c r="A94065"/>
      <c r="B94065"/>
      <c r="C94065"/>
      <c r="E94065"/>
      <c r="F94065"/>
    </row>
    <row r="94066" spans="1:6" x14ac:dyDescent="0.25">
      <c r="A94066"/>
      <c r="B94066"/>
      <c r="C94066"/>
      <c r="E94066"/>
      <c r="F94066"/>
    </row>
    <row r="94067" spans="1:6" x14ac:dyDescent="0.25">
      <c r="A94067"/>
      <c r="B94067"/>
      <c r="C94067"/>
      <c r="E94067"/>
      <c r="F94067"/>
    </row>
    <row r="94068" spans="1:6" x14ac:dyDescent="0.25">
      <c r="A94068"/>
      <c r="B94068"/>
      <c r="C94068"/>
      <c r="E94068"/>
      <c r="F94068"/>
    </row>
    <row r="94069" spans="1:6" x14ac:dyDescent="0.25">
      <c r="A94069"/>
      <c r="B94069"/>
      <c r="C94069"/>
      <c r="E94069"/>
      <c r="F94069"/>
    </row>
    <row r="94070" spans="1:6" x14ac:dyDescent="0.25">
      <c r="A94070"/>
      <c r="B94070"/>
      <c r="C94070"/>
      <c r="E94070"/>
      <c r="F94070"/>
    </row>
    <row r="94071" spans="1:6" x14ac:dyDescent="0.25">
      <c r="A94071"/>
      <c r="B94071"/>
      <c r="C94071"/>
      <c r="E94071"/>
      <c r="F94071"/>
    </row>
    <row r="94072" spans="1:6" x14ac:dyDescent="0.25">
      <c r="A94072"/>
      <c r="B94072"/>
      <c r="C94072"/>
      <c r="E94072"/>
      <c r="F94072"/>
    </row>
    <row r="94073" spans="1:6" x14ac:dyDescent="0.25">
      <c r="A94073"/>
      <c r="B94073"/>
      <c r="C94073"/>
      <c r="E94073"/>
      <c r="F94073"/>
    </row>
    <row r="94074" spans="1:6" x14ac:dyDescent="0.25">
      <c r="A94074"/>
      <c r="B94074"/>
      <c r="C94074"/>
      <c r="E94074"/>
      <c r="F94074"/>
    </row>
    <row r="94075" spans="1:6" x14ac:dyDescent="0.25">
      <c r="A94075"/>
      <c r="B94075"/>
      <c r="C94075"/>
      <c r="E94075"/>
      <c r="F94075"/>
    </row>
    <row r="94076" spans="1:6" x14ac:dyDescent="0.25">
      <c r="A94076"/>
      <c r="B94076"/>
      <c r="C94076"/>
      <c r="E94076"/>
      <c r="F94076"/>
    </row>
    <row r="94077" spans="1:6" x14ac:dyDescent="0.25">
      <c r="A94077"/>
      <c r="B94077"/>
      <c r="C94077"/>
      <c r="E94077"/>
      <c r="F94077"/>
    </row>
    <row r="94078" spans="1:6" x14ac:dyDescent="0.25">
      <c r="A94078"/>
      <c r="B94078"/>
      <c r="C94078"/>
      <c r="E94078"/>
      <c r="F94078"/>
    </row>
    <row r="94079" spans="1:6" x14ac:dyDescent="0.25">
      <c r="A94079"/>
      <c r="B94079"/>
      <c r="C94079"/>
      <c r="E94079"/>
      <c r="F94079"/>
    </row>
    <row r="94080" spans="1:6" x14ac:dyDescent="0.25">
      <c r="A94080"/>
      <c r="B94080"/>
      <c r="C94080"/>
      <c r="E94080"/>
      <c r="F94080"/>
    </row>
    <row r="94081" spans="1:6" x14ac:dyDescent="0.25">
      <c r="A94081"/>
      <c r="B94081"/>
      <c r="C94081"/>
      <c r="E94081"/>
      <c r="F94081"/>
    </row>
    <row r="94082" spans="1:6" x14ac:dyDescent="0.25">
      <c r="A94082"/>
      <c r="B94082"/>
      <c r="C94082"/>
      <c r="E94082"/>
      <c r="F94082"/>
    </row>
    <row r="94083" spans="1:6" x14ac:dyDescent="0.25">
      <c r="A94083"/>
      <c r="B94083"/>
      <c r="C94083"/>
      <c r="E94083"/>
      <c r="F94083"/>
    </row>
    <row r="94084" spans="1:6" x14ac:dyDescent="0.25">
      <c r="A94084"/>
      <c r="B94084"/>
      <c r="C94084"/>
      <c r="E94084"/>
      <c r="F94084"/>
    </row>
    <row r="94085" spans="1:6" x14ac:dyDescent="0.25">
      <c r="A94085"/>
      <c r="B94085"/>
      <c r="C94085"/>
      <c r="E94085"/>
      <c r="F94085"/>
    </row>
    <row r="94086" spans="1:6" x14ac:dyDescent="0.25">
      <c r="A94086"/>
      <c r="B94086"/>
      <c r="C94086"/>
      <c r="E94086"/>
      <c r="F94086"/>
    </row>
    <row r="94087" spans="1:6" x14ac:dyDescent="0.25">
      <c r="A94087"/>
      <c r="B94087"/>
      <c r="C94087"/>
      <c r="E94087"/>
      <c r="F94087"/>
    </row>
    <row r="94088" spans="1:6" x14ac:dyDescent="0.25">
      <c r="A94088"/>
      <c r="B94088"/>
      <c r="C94088"/>
      <c r="E94088"/>
      <c r="F94088"/>
    </row>
    <row r="94089" spans="1:6" x14ac:dyDescent="0.25">
      <c r="A94089"/>
      <c r="B94089"/>
      <c r="C94089"/>
      <c r="E94089"/>
      <c r="F94089"/>
    </row>
    <row r="94090" spans="1:6" x14ac:dyDescent="0.25">
      <c r="A94090"/>
      <c r="B94090"/>
      <c r="C94090"/>
      <c r="E94090"/>
      <c r="F94090"/>
    </row>
    <row r="94091" spans="1:6" x14ac:dyDescent="0.25">
      <c r="A94091"/>
      <c r="B94091"/>
      <c r="C94091"/>
      <c r="E94091"/>
      <c r="F94091"/>
    </row>
    <row r="94092" spans="1:6" x14ac:dyDescent="0.25">
      <c r="A94092"/>
      <c r="B94092"/>
      <c r="C94092"/>
      <c r="E94092"/>
      <c r="F94092"/>
    </row>
    <row r="94093" spans="1:6" x14ac:dyDescent="0.25">
      <c r="A94093"/>
      <c r="B94093"/>
      <c r="C94093"/>
      <c r="E94093"/>
      <c r="F94093"/>
    </row>
    <row r="94094" spans="1:6" x14ac:dyDescent="0.25">
      <c r="A94094"/>
      <c r="B94094"/>
      <c r="C94094"/>
      <c r="E94094"/>
      <c r="F94094"/>
    </row>
    <row r="94095" spans="1:6" x14ac:dyDescent="0.25">
      <c r="A94095"/>
      <c r="B94095"/>
      <c r="C94095"/>
      <c r="E94095"/>
      <c r="F94095"/>
    </row>
    <row r="94096" spans="1:6" x14ac:dyDescent="0.25">
      <c r="A94096"/>
      <c r="B94096"/>
      <c r="C94096"/>
      <c r="E94096"/>
      <c r="F94096"/>
    </row>
    <row r="94097" spans="1:6" x14ac:dyDescent="0.25">
      <c r="A94097"/>
      <c r="B94097"/>
      <c r="C94097"/>
      <c r="E94097"/>
      <c r="F94097"/>
    </row>
    <row r="94098" spans="1:6" x14ac:dyDescent="0.25">
      <c r="A94098"/>
      <c r="B94098"/>
      <c r="C94098"/>
      <c r="E94098"/>
      <c r="F94098"/>
    </row>
    <row r="94099" spans="1:6" x14ac:dyDescent="0.25">
      <c r="A94099"/>
      <c r="B94099"/>
      <c r="C94099"/>
      <c r="E94099"/>
      <c r="F94099"/>
    </row>
    <row r="94100" spans="1:6" x14ac:dyDescent="0.25">
      <c r="A94100"/>
      <c r="B94100"/>
      <c r="C94100"/>
      <c r="E94100"/>
      <c r="F94100"/>
    </row>
    <row r="94101" spans="1:6" x14ac:dyDescent="0.25">
      <c r="A94101"/>
      <c r="B94101"/>
      <c r="C94101"/>
      <c r="E94101"/>
      <c r="F94101"/>
    </row>
    <row r="94102" spans="1:6" x14ac:dyDescent="0.25">
      <c r="A94102"/>
      <c r="B94102"/>
      <c r="C94102"/>
      <c r="E94102"/>
      <c r="F94102"/>
    </row>
    <row r="94103" spans="1:6" x14ac:dyDescent="0.25">
      <c r="A94103"/>
      <c r="B94103"/>
      <c r="C94103"/>
      <c r="E94103"/>
      <c r="F94103"/>
    </row>
    <row r="94104" spans="1:6" x14ac:dyDescent="0.25">
      <c r="A94104"/>
      <c r="B94104"/>
      <c r="C94104"/>
      <c r="E94104"/>
      <c r="F94104"/>
    </row>
    <row r="94105" spans="1:6" x14ac:dyDescent="0.25">
      <c r="A94105"/>
      <c r="B94105"/>
      <c r="C94105"/>
      <c r="E94105"/>
      <c r="F94105"/>
    </row>
    <row r="94106" spans="1:6" x14ac:dyDescent="0.25">
      <c r="A94106"/>
      <c r="B94106"/>
      <c r="C94106"/>
      <c r="E94106"/>
      <c r="F94106"/>
    </row>
    <row r="94107" spans="1:6" x14ac:dyDescent="0.25">
      <c r="A94107"/>
      <c r="B94107"/>
      <c r="C94107"/>
      <c r="E94107"/>
      <c r="F94107"/>
    </row>
    <row r="94108" spans="1:6" x14ac:dyDescent="0.25">
      <c r="A94108"/>
      <c r="B94108"/>
      <c r="C94108"/>
      <c r="E94108"/>
      <c r="F94108"/>
    </row>
    <row r="94109" spans="1:6" x14ac:dyDescent="0.25">
      <c r="A94109"/>
      <c r="B94109"/>
      <c r="C94109"/>
      <c r="E94109"/>
      <c r="F94109"/>
    </row>
    <row r="94110" spans="1:6" x14ac:dyDescent="0.25">
      <c r="A94110"/>
      <c r="B94110"/>
      <c r="C94110"/>
      <c r="E94110"/>
      <c r="F94110"/>
    </row>
    <row r="94111" spans="1:6" x14ac:dyDescent="0.25">
      <c r="A94111"/>
      <c r="B94111"/>
      <c r="C94111"/>
      <c r="E94111"/>
      <c r="F94111"/>
    </row>
    <row r="94112" spans="1:6" x14ac:dyDescent="0.25">
      <c r="A94112"/>
      <c r="B94112"/>
      <c r="C94112"/>
      <c r="E94112"/>
      <c r="F94112"/>
    </row>
    <row r="94113" spans="1:6" x14ac:dyDescent="0.25">
      <c r="A94113"/>
      <c r="B94113"/>
      <c r="C94113"/>
      <c r="E94113"/>
      <c r="F94113"/>
    </row>
    <row r="94114" spans="1:6" x14ac:dyDescent="0.25">
      <c r="A94114"/>
      <c r="B94114"/>
      <c r="C94114"/>
      <c r="E94114"/>
      <c r="F94114"/>
    </row>
    <row r="94115" spans="1:6" x14ac:dyDescent="0.25">
      <c r="A94115"/>
      <c r="B94115"/>
      <c r="C94115"/>
      <c r="E94115"/>
      <c r="F94115"/>
    </row>
    <row r="94116" spans="1:6" x14ac:dyDescent="0.25">
      <c r="A94116"/>
      <c r="B94116"/>
      <c r="C94116"/>
      <c r="E94116"/>
      <c r="F94116"/>
    </row>
    <row r="94117" spans="1:6" x14ac:dyDescent="0.25">
      <c r="A94117"/>
      <c r="B94117"/>
      <c r="C94117"/>
      <c r="E94117"/>
      <c r="F94117"/>
    </row>
    <row r="94118" spans="1:6" x14ac:dyDescent="0.25">
      <c r="A94118"/>
      <c r="B94118"/>
      <c r="C94118"/>
      <c r="E94118"/>
      <c r="F94118"/>
    </row>
    <row r="94119" spans="1:6" x14ac:dyDescent="0.25">
      <c r="A94119"/>
      <c r="B94119"/>
      <c r="C94119"/>
      <c r="E94119"/>
      <c r="F94119"/>
    </row>
    <row r="94120" spans="1:6" x14ac:dyDescent="0.25">
      <c r="A94120"/>
      <c r="B94120"/>
      <c r="C94120"/>
      <c r="E94120"/>
      <c r="F94120"/>
    </row>
    <row r="94121" spans="1:6" x14ac:dyDescent="0.25">
      <c r="A94121"/>
      <c r="B94121"/>
      <c r="C94121"/>
      <c r="E94121"/>
      <c r="F94121"/>
    </row>
    <row r="94122" spans="1:6" x14ac:dyDescent="0.25">
      <c r="A94122"/>
      <c r="B94122"/>
      <c r="C94122"/>
      <c r="E94122"/>
      <c r="F94122"/>
    </row>
    <row r="94123" spans="1:6" x14ac:dyDescent="0.25">
      <c r="A94123"/>
      <c r="B94123"/>
      <c r="C94123"/>
      <c r="E94123"/>
      <c r="F94123"/>
    </row>
    <row r="94124" spans="1:6" x14ac:dyDescent="0.25">
      <c r="A94124"/>
      <c r="B94124"/>
      <c r="C94124"/>
      <c r="E94124"/>
      <c r="F94124"/>
    </row>
    <row r="94125" spans="1:6" x14ac:dyDescent="0.25">
      <c r="A94125"/>
      <c r="B94125"/>
      <c r="C94125"/>
      <c r="E94125"/>
      <c r="F94125"/>
    </row>
    <row r="94126" spans="1:6" x14ac:dyDescent="0.25">
      <c r="A94126"/>
      <c r="B94126"/>
      <c r="C94126"/>
      <c r="E94126"/>
      <c r="F94126"/>
    </row>
    <row r="94127" spans="1:6" x14ac:dyDescent="0.25">
      <c r="A94127"/>
      <c r="B94127"/>
      <c r="C94127"/>
      <c r="E94127"/>
      <c r="F94127"/>
    </row>
    <row r="94128" spans="1:6" x14ac:dyDescent="0.25">
      <c r="A94128"/>
      <c r="B94128"/>
      <c r="C94128"/>
      <c r="E94128"/>
      <c r="F94128"/>
    </row>
    <row r="94129" spans="1:6" x14ac:dyDescent="0.25">
      <c r="A94129"/>
      <c r="B94129"/>
      <c r="C94129"/>
      <c r="E94129"/>
      <c r="F94129"/>
    </row>
    <row r="94130" spans="1:6" x14ac:dyDescent="0.25">
      <c r="A94130"/>
      <c r="B94130"/>
      <c r="C94130"/>
      <c r="E94130"/>
      <c r="F94130"/>
    </row>
    <row r="94131" spans="1:6" x14ac:dyDescent="0.25">
      <c r="A94131"/>
      <c r="B94131"/>
      <c r="C94131"/>
      <c r="E94131"/>
      <c r="F94131"/>
    </row>
    <row r="94132" spans="1:6" x14ac:dyDescent="0.25">
      <c r="A94132"/>
      <c r="B94132"/>
      <c r="C94132"/>
      <c r="E94132"/>
      <c r="F94132"/>
    </row>
    <row r="94133" spans="1:6" x14ac:dyDescent="0.25">
      <c r="A94133"/>
      <c r="B94133"/>
      <c r="C94133"/>
      <c r="E94133"/>
      <c r="F94133"/>
    </row>
    <row r="94134" spans="1:6" x14ac:dyDescent="0.25">
      <c r="A94134"/>
      <c r="B94134"/>
      <c r="C94134"/>
      <c r="E94134"/>
      <c r="F94134"/>
    </row>
    <row r="94135" spans="1:6" x14ac:dyDescent="0.25">
      <c r="A94135"/>
      <c r="B94135"/>
      <c r="C94135"/>
      <c r="E94135"/>
      <c r="F94135"/>
    </row>
    <row r="94136" spans="1:6" x14ac:dyDescent="0.25">
      <c r="A94136"/>
      <c r="B94136"/>
      <c r="C94136"/>
      <c r="E94136"/>
      <c r="F94136"/>
    </row>
    <row r="94137" spans="1:6" x14ac:dyDescent="0.25">
      <c r="A94137"/>
      <c r="B94137"/>
      <c r="C94137"/>
      <c r="E94137"/>
      <c r="F94137"/>
    </row>
    <row r="94138" spans="1:6" x14ac:dyDescent="0.25">
      <c r="A94138"/>
      <c r="B94138"/>
      <c r="C94138"/>
      <c r="E94138"/>
      <c r="F94138"/>
    </row>
    <row r="94139" spans="1:6" x14ac:dyDescent="0.25">
      <c r="A94139"/>
      <c r="B94139"/>
      <c r="C94139"/>
      <c r="E94139"/>
      <c r="F94139"/>
    </row>
    <row r="94140" spans="1:6" x14ac:dyDescent="0.25">
      <c r="A94140"/>
      <c r="B94140"/>
      <c r="C94140"/>
      <c r="E94140"/>
      <c r="F94140"/>
    </row>
    <row r="94141" spans="1:6" x14ac:dyDescent="0.25">
      <c r="A94141"/>
      <c r="B94141"/>
      <c r="C94141"/>
      <c r="E94141"/>
      <c r="F94141"/>
    </row>
    <row r="94142" spans="1:6" x14ac:dyDescent="0.25">
      <c r="A94142"/>
      <c r="B94142"/>
      <c r="C94142"/>
      <c r="E94142"/>
      <c r="F94142"/>
    </row>
    <row r="94143" spans="1:6" x14ac:dyDescent="0.25">
      <c r="A94143"/>
      <c r="B94143"/>
      <c r="C94143"/>
      <c r="E94143"/>
      <c r="F94143"/>
    </row>
    <row r="94144" spans="1:6" x14ac:dyDescent="0.25">
      <c r="A94144"/>
      <c r="B94144"/>
      <c r="C94144"/>
      <c r="E94144"/>
      <c r="F94144"/>
    </row>
    <row r="94145" spans="1:6" x14ac:dyDescent="0.25">
      <c r="A94145"/>
      <c r="B94145"/>
      <c r="C94145"/>
      <c r="E94145"/>
      <c r="F94145"/>
    </row>
    <row r="94146" spans="1:6" x14ac:dyDescent="0.25">
      <c r="A94146"/>
      <c r="B94146"/>
      <c r="C94146"/>
      <c r="E94146"/>
      <c r="F94146"/>
    </row>
    <row r="94147" spans="1:6" x14ac:dyDescent="0.25">
      <c r="A94147"/>
      <c r="B94147"/>
      <c r="C94147"/>
      <c r="E94147"/>
      <c r="F94147"/>
    </row>
    <row r="94148" spans="1:6" x14ac:dyDescent="0.25">
      <c r="A94148"/>
      <c r="B94148"/>
      <c r="C94148"/>
      <c r="E94148"/>
      <c r="F94148"/>
    </row>
    <row r="94149" spans="1:6" x14ac:dyDescent="0.25">
      <c r="A94149"/>
      <c r="B94149"/>
      <c r="C94149"/>
      <c r="E94149"/>
      <c r="F94149"/>
    </row>
    <row r="94150" spans="1:6" x14ac:dyDescent="0.25">
      <c r="A94150"/>
      <c r="B94150"/>
      <c r="C94150"/>
      <c r="E94150"/>
      <c r="F94150"/>
    </row>
    <row r="94151" spans="1:6" x14ac:dyDescent="0.25">
      <c r="A94151"/>
      <c r="B94151"/>
      <c r="C94151"/>
      <c r="E94151"/>
      <c r="F94151"/>
    </row>
    <row r="94152" spans="1:6" x14ac:dyDescent="0.25">
      <c r="A94152"/>
      <c r="B94152"/>
      <c r="C94152"/>
      <c r="E94152"/>
      <c r="F94152"/>
    </row>
    <row r="94153" spans="1:6" x14ac:dyDescent="0.25">
      <c r="A94153"/>
      <c r="B94153"/>
      <c r="C94153"/>
      <c r="E94153"/>
      <c r="F94153"/>
    </row>
    <row r="94154" spans="1:6" x14ac:dyDescent="0.25">
      <c r="A94154"/>
      <c r="B94154"/>
      <c r="C94154"/>
      <c r="E94154"/>
      <c r="F94154"/>
    </row>
    <row r="94155" spans="1:6" x14ac:dyDescent="0.25">
      <c r="A94155"/>
      <c r="B94155"/>
      <c r="C94155"/>
      <c r="E94155"/>
      <c r="F94155"/>
    </row>
    <row r="94156" spans="1:6" x14ac:dyDescent="0.25">
      <c r="A94156"/>
      <c r="B94156"/>
      <c r="C94156"/>
      <c r="E94156"/>
      <c r="F94156"/>
    </row>
    <row r="94157" spans="1:6" x14ac:dyDescent="0.25">
      <c r="A94157"/>
      <c r="B94157"/>
      <c r="C94157"/>
      <c r="E94157"/>
      <c r="F94157"/>
    </row>
    <row r="94158" spans="1:6" x14ac:dyDescent="0.25">
      <c r="A94158"/>
      <c r="B94158"/>
      <c r="C94158"/>
      <c r="E94158"/>
      <c r="F94158"/>
    </row>
    <row r="94159" spans="1:6" x14ac:dyDescent="0.25">
      <c r="A94159"/>
      <c r="B94159"/>
      <c r="C94159"/>
      <c r="E94159"/>
      <c r="F94159"/>
    </row>
    <row r="94160" spans="1:6" x14ac:dyDescent="0.25">
      <c r="A94160"/>
      <c r="B94160"/>
      <c r="C94160"/>
      <c r="E94160"/>
      <c r="F94160"/>
    </row>
    <row r="94161" spans="1:6" x14ac:dyDescent="0.25">
      <c r="A94161"/>
      <c r="B94161"/>
      <c r="C94161"/>
      <c r="E94161"/>
      <c r="F94161"/>
    </row>
    <row r="94162" spans="1:6" x14ac:dyDescent="0.25">
      <c r="A94162"/>
      <c r="B94162"/>
      <c r="C94162"/>
      <c r="E94162"/>
      <c r="F94162"/>
    </row>
    <row r="94163" spans="1:6" x14ac:dyDescent="0.25">
      <c r="A94163"/>
      <c r="B94163"/>
      <c r="C94163"/>
      <c r="E94163"/>
      <c r="F94163"/>
    </row>
    <row r="94164" spans="1:6" x14ac:dyDescent="0.25">
      <c r="A94164"/>
      <c r="B94164"/>
      <c r="C94164"/>
      <c r="E94164"/>
      <c r="F94164"/>
    </row>
    <row r="94165" spans="1:6" x14ac:dyDescent="0.25">
      <c r="A94165"/>
      <c r="B94165"/>
      <c r="C94165"/>
      <c r="E94165"/>
      <c r="F94165"/>
    </row>
    <row r="94166" spans="1:6" x14ac:dyDescent="0.25">
      <c r="A94166"/>
      <c r="B94166"/>
      <c r="C94166"/>
      <c r="E94166"/>
      <c r="F94166"/>
    </row>
    <row r="94167" spans="1:6" x14ac:dyDescent="0.25">
      <c r="A94167"/>
      <c r="B94167"/>
      <c r="C94167"/>
      <c r="E94167"/>
      <c r="F94167"/>
    </row>
    <row r="94168" spans="1:6" x14ac:dyDescent="0.25">
      <c r="A94168"/>
      <c r="B94168"/>
      <c r="C94168"/>
      <c r="E94168"/>
      <c r="F94168"/>
    </row>
    <row r="94169" spans="1:6" x14ac:dyDescent="0.25">
      <c r="A94169"/>
      <c r="B94169"/>
      <c r="C94169"/>
      <c r="E94169"/>
      <c r="F94169"/>
    </row>
    <row r="94170" spans="1:6" x14ac:dyDescent="0.25">
      <c r="A94170"/>
      <c r="B94170"/>
      <c r="C94170"/>
      <c r="E94170"/>
      <c r="F94170"/>
    </row>
    <row r="94171" spans="1:6" x14ac:dyDescent="0.25">
      <c r="A94171"/>
      <c r="B94171"/>
      <c r="C94171"/>
      <c r="E94171"/>
      <c r="F94171"/>
    </row>
    <row r="94172" spans="1:6" x14ac:dyDescent="0.25">
      <c r="A94172"/>
      <c r="B94172"/>
      <c r="C94172"/>
      <c r="E94172"/>
      <c r="F94172"/>
    </row>
    <row r="94173" spans="1:6" x14ac:dyDescent="0.25">
      <c r="A94173"/>
      <c r="B94173"/>
      <c r="C94173"/>
      <c r="E94173"/>
      <c r="F94173"/>
    </row>
    <row r="94174" spans="1:6" x14ac:dyDescent="0.25">
      <c r="A94174"/>
      <c r="B94174"/>
      <c r="C94174"/>
      <c r="E94174"/>
      <c r="F94174"/>
    </row>
    <row r="94175" spans="1:6" x14ac:dyDescent="0.25">
      <c r="A94175"/>
      <c r="B94175"/>
      <c r="C94175"/>
      <c r="E94175"/>
      <c r="F94175"/>
    </row>
    <row r="94176" spans="1:6" x14ac:dyDescent="0.25">
      <c r="A94176"/>
      <c r="B94176"/>
      <c r="C94176"/>
      <c r="E94176"/>
      <c r="F94176"/>
    </row>
    <row r="94177" spans="1:6" x14ac:dyDescent="0.25">
      <c r="A94177"/>
      <c r="B94177"/>
      <c r="C94177"/>
      <c r="E94177"/>
      <c r="F94177"/>
    </row>
    <row r="94178" spans="1:6" x14ac:dyDescent="0.25">
      <c r="A94178"/>
      <c r="B94178"/>
      <c r="C94178"/>
      <c r="E94178"/>
      <c r="F94178"/>
    </row>
    <row r="94179" spans="1:6" x14ac:dyDescent="0.25">
      <c r="A94179"/>
      <c r="B94179"/>
      <c r="C94179"/>
      <c r="E94179"/>
      <c r="F94179"/>
    </row>
    <row r="94180" spans="1:6" x14ac:dyDescent="0.25">
      <c r="A94180"/>
      <c r="B94180"/>
      <c r="C94180"/>
      <c r="E94180"/>
      <c r="F94180"/>
    </row>
    <row r="94181" spans="1:6" x14ac:dyDescent="0.25">
      <c r="A94181"/>
      <c r="B94181"/>
      <c r="C94181"/>
      <c r="E94181"/>
      <c r="F94181"/>
    </row>
    <row r="94182" spans="1:6" x14ac:dyDescent="0.25">
      <c r="A94182"/>
      <c r="B94182"/>
      <c r="C94182"/>
      <c r="E94182"/>
      <c r="F94182"/>
    </row>
    <row r="94183" spans="1:6" x14ac:dyDescent="0.25">
      <c r="A94183"/>
      <c r="B94183"/>
      <c r="C94183"/>
      <c r="E94183"/>
      <c r="F94183"/>
    </row>
    <row r="94184" spans="1:6" x14ac:dyDescent="0.25">
      <c r="A94184"/>
      <c r="B94184"/>
      <c r="C94184"/>
      <c r="E94184"/>
      <c r="F94184"/>
    </row>
    <row r="94185" spans="1:6" x14ac:dyDescent="0.25">
      <c r="A94185"/>
      <c r="B94185"/>
      <c r="C94185"/>
      <c r="E94185"/>
      <c r="F94185"/>
    </row>
    <row r="94186" spans="1:6" x14ac:dyDescent="0.25">
      <c r="A94186"/>
      <c r="B94186"/>
      <c r="C94186"/>
      <c r="E94186"/>
      <c r="F94186"/>
    </row>
    <row r="94187" spans="1:6" x14ac:dyDescent="0.25">
      <c r="A94187"/>
      <c r="B94187"/>
      <c r="C94187"/>
      <c r="E94187"/>
      <c r="F94187"/>
    </row>
    <row r="94188" spans="1:6" x14ac:dyDescent="0.25">
      <c r="A94188"/>
      <c r="B94188"/>
      <c r="C94188"/>
      <c r="E94188"/>
      <c r="F94188"/>
    </row>
    <row r="94189" spans="1:6" x14ac:dyDescent="0.25">
      <c r="A94189"/>
      <c r="B94189"/>
      <c r="C94189"/>
      <c r="E94189"/>
      <c r="F94189"/>
    </row>
    <row r="94190" spans="1:6" x14ac:dyDescent="0.25">
      <c r="A94190"/>
      <c r="B94190"/>
      <c r="C94190"/>
      <c r="E94190"/>
      <c r="F94190"/>
    </row>
    <row r="94191" spans="1:6" x14ac:dyDescent="0.25">
      <c r="A94191"/>
      <c r="B94191"/>
      <c r="C94191"/>
      <c r="E94191"/>
      <c r="F94191"/>
    </row>
    <row r="94192" spans="1:6" x14ac:dyDescent="0.25">
      <c r="A94192"/>
      <c r="B94192"/>
      <c r="C94192"/>
      <c r="E94192"/>
      <c r="F94192"/>
    </row>
    <row r="94193" spans="1:6" x14ac:dyDescent="0.25">
      <c r="A94193"/>
      <c r="B94193"/>
      <c r="C94193"/>
      <c r="E94193"/>
      <c r="F94193"/>
    </row>
    <row r="94194" spans="1:6" x14ac:dyDescent="0.25">
      <c r="A94194"/>
      <c r="B94194"/>
      <c r="C94194"/>
      <c r="E94194"/>
      <c r="F94194"/>
    </row>
    <row r="94195" spans="1:6" x14ac:dyDescent="0.25">
      <c r="A94195"/>
      <c r="B94195"/>
      <c r="C94195"/>
      <c r="E94195"/>
      <c r="F94195"/>
    </row>
    <row r="94196" spans="1:6" x14ac:dyDescent="0.25">
      <c r="A94196"/>
      <c r="B94196"/>
      <c r="C94196"/>
      <c r="E94196"/>
      <c r="F94196"/>
    </row>
    <row r="94197" spans="1:6" x14ac:dyDescent="0.25">
      <c r="A94197"/>
      <c r="B94197"/>
      <c r="C94197"/>
      <c r="E94197"/>
      <c r="F94197"/>
    </row>
    <row r="94198" spans="1:6" x14ac:dyDescent="0.25">
      <c r="A94198"/>
      <c r="B94198"/>
      <c r="C94198"/>
      <c r="E94198"/>
      <c r="F94198"/>
    </row>
    <row r="94199" spans="1:6" x14ac:dyDescent="0.25">
      <c r="A94199"/>
      <c r="B94199"/>
      <c r="C94199"/>
      <c r="E94199"/>
      <c r="F94199"/>
    </row>
    <row r="94200" spans="1:6" x14ac:dyDescent="0.25">
      <c r="A94200"/>
      <c r="B94200"/>
      <c r="C94200"/>
      <c r="E94200"/>
      <c r="F94200"/>
    </row>
    <row r="94201" spans="1:6" x14ac:dyDescent="0.25">
      <c r="A94201"/>
      <c r="B94201"/>
      <c r="C94201"/>
      <c r="E94201"/>
      <c r="F94201"/>
    </row>
    <row r="94202" spans="1:6" x14ac:dyDescent="0.25">
      <c r="A94202"/>
      <c r="B94202"/>
      <c r="C94202"/>
      <c r="E94202"/>
      <c r="F94202"/>
    </row>
    <row r="94203" spans="1:6" x14ac:dyDescent="0.25">
      <c r="A94203"/>
      <c r="B94203"/>
      <c r="C94203"/>
      <c r="E94203"/>
      <c r="F94203"/>
    </row>
    <row r="94204" spans="1:6" x14ac:dyDescent="0.25">
      <c r="A94204"/>
      <c r="B94204"/>
      <c r="C94204"/>
      <c r="E94204"/>
      <c r="F94204"/>
    </row>
    <row r="94205" spans="1:6" x14ac:dyDescent="0.25">
      <c r="A94205"/>
      <c r="B94205"/>
      <c r="C94205"/>
      <c r="E94205"/>
      <c r="F94205"/>
    </row>
    <row r="94206" spans="1:6" x14ac:dyDescent="0.25">
      <c r="A94206"/>
      <c r="B94206"/>
      <c r="C94206"/>
      <c r="E94206"/>
      <c r="F94206"/>
    </row>
    <row r="94207" spans="1:6" x14ac:dyDescent="0.25">
      <c r="A94207"/>
      <c r="B94207"/>
      <c r="C94207"/>
      <c r="E94207"/>
      <c r="F94207"/>
    </row>
    <row r="94208" spans="1:6" x14ac:dyDescent="0.25">
      <c r="A94208"/>
      <c r="B94208"/>
      <c r="C94208"/>
      <c r="E94208"/>
      <c r="F94208"/>
    </row>
    <row r="94209" spans="1:6" x14ac:dyDescent="0.25">
      <c r="A94209"/>
      <c r="B94209"/>
      <c r="C94209"/>
      <c r="E94209"/>
      <c r="F94209"/>
    </row>
    <row r="94210" spans="1:6" x14ac:dyDescent="0.25">
      <c r="A94210"/>
      <c r="B94210"/>
      <c r="C94210"/>
      <c r="E94210"/>
      <c r="F94210"/>
    </row>
    <row r="94211" spans="1:6" x14ac:dyDescent="0.25">
      <c r="A94211"/>
      <c r="B94211"/>
      <c r="C94211"/>
      <c r="E94211"/>
      <c r="F94211"/>
    </row>
    <row r="94212" spans="1:6" x14ac:dyDescent="0.25">
      <c r="A94212"/>
      <c r="B94212"/>
      <c r="C94212"/>
      <c r="E94212"/>
      <c r="F94212"/>
    </row>
    <row r="94213" spans="1:6" x14ac:dyDescent="0.25">
      <c r="A94213"/>
      <c r="B94213"/>
      <c r="C94213"/>
      <c r="E94213"/>
      <c r="F94213"/>
    </row>
    <row r="94214" spans="1:6" x14ac:dyDescent="0.25">
      <c r="A94214"/>
      <c r="B94214"/>
      <c r="C94214"/>
      <c r="E94214"/>
      <c r="F94214"/>
    </row>
    <row r="94215" spans="1:6" x14ac:dyDescent="0.25">
      <c r="A94215"/>
      <c r="B94215"/>
      <c r="C94215"/>
      <c r="E94215"/>
      <c r="F94215"/>
    </row>
    <row r="94216" spans="1:6" x14ac:dyDescent="0.25">
      <c r="A94216"/>
      <c r="B94216"/>
      <c r="C94216"/>
      <c r="E94216"/>
      <c r="F94216"/>
    </row>
    <row r="94217" spans="1:6" x14ac:dyDescent="0.25">
      <c r="A94217"/>
      <c r="B94217"/>
      <c r="C94217"/>
      <c r="E94217"/>
      <c r="F94217"/>
    </row>
    <row r="94218" spans="1:6" x14ac:dyDescent="0.25">
      <c r="A94218"/>
      <c r="B94218"/>
      <c r="C94218"/>
      <c r="E94218"/>
      <c r="F94218"/>
    </row>
    <row r="94219" spans="1:6" x14ac:dyDescent="0.25">
      <c r="A94219"/>
      <c r="B94219"/>
      <c r="C94219"/>
      <c r="E94219"/>
      <c r="F94219"/>
    </row>
    <row r="94220" spans="1:6" x14ac:dyDescent="0.25">
      <c r="A94220"/>
      <c r="B94220"/>
      <c r="C94220"/>
      <c r="E94220"/>
      <c r="F94220"/>
    </row>
    <row r="94221" spans="1:6" x14ac:dyDescent="0.25">
      <c r="A94221"/>
      <c r="B94221"/>
      <c r="C94221"/>
      <c r="E94221"/>
      <c r="F94221"/>
    </row>
    <row r="94222" spans="1:6" x14ac:dyDescent="0.25">
      <c r="A94222"/>
      <c r="B94222"/>
      <c r="C94222"/>
      <c r="E94222"/>
      <c r="F94222"/>
    </row>
    <row r="94223" spans="1:6" x14ac:dyDescent="0.25">
      <c r="A94223"/>
      <c r="B94223"/>
      <c r="C94223"/>
      <c r="E94223"/>
      <c r="F94223"/>
    </row>
    <row r="94224" spans="1:6" x14ac:dyDescent="0.25">
      <c r="A94224"/>
      <c r="B94224"/>
      <c r="C94224"/>
      <c r="E94224"/>
      <c r="F94224"/>
    </row>
    <row r="94225" spans="1:6" x14ac:dyDescent="0.25">
      <c r="A94225"/>
      <c r="B94225"/>
      <c r="C94225"/>
      <c r="E94225"/>
      <c r="F94225"/>
    </row>
    <row r="94226" spans="1:6" x14ac:dyDescent="0.25">
      <c r="A94226"/>
      <c r="B94226"/>
      <c r="C94226"/>
      <c r="E94226"/>
      <c r="F94226"/>
    </row>
    <row r="94227" spans="1:6" x14ac:dyDescent="0.25">
      <c r="A94227"/>
      <c r="B94227"/>
      <c r="C94227"/>
      <c r="E94227"/>
      <c r="F94227"/>
    </row>
    <row r="94228" spans="1:6" x14ac:dyDescent="0.25">
      <c r="A94228"/>
      <c r="B94228"/>
      <c r="C94228"/>
      <c r="E94228"/>
      <c r="F94228"/>
    </row>
    <row r="94229" spans="1:6" x14ac:dyDescent="0.25">
      <c r="A94229"/>
      <c r="B94229"/>
      <c r="C94229"/>
      <c r="E94229"/>
      <c r="F94229"/>
    </row>
    <row r="94230" spans="1:6" x14ac:dyDescent="0.25">
      <c r="A94230"/>
      <c r="B94230"/>
      <c r="C94230"/>
      <c r="E94230"/>
      <c r="F94230"/>
    </row>
    <row r="94231" spans="1:6" x14ac:dyDescent="0.25">
      <c r="A94231"/>
      <c r="B94231"/>
      <c r="C94231"/>
      <c r="E94231"/>
      <c r="F94231"/>
    </row>
    <row r="94232" spans="1:6" x14ac:dyDescent="0.25">
      <c r="A94232"/>
      <c r="B94232"/>
      <c r="C94232"/>
      <c r="E94232"/>
      <c r="F94232"/>
    </row>
    <row r="94233" spans="1:6" x14ac:dyDescent="0.25">
      <c r="A94233"/>
      <c r="B94233"/>
      <c r="C94233"/>
      <c r="E94233"/>
      <c r="F94233"/>
    </row>
    <row r="94234" spans="1:6" x14ac:dyDescent="0.25">
      <c r="A94234"/>
      <c r="B94234"/>
      <c r="C94234"/>
      <c r="E94234"/>
      <c r="F94234"/>
    </row>
    <row r="94235" spans="1:6" x14ac:dyDescent="0.25">
      <c r="A94235"/>
      <c r="B94235"/>
      <c r="C94235"/>
      <c r="E94235"/>
      <c r="F94235"/>
    </row>
    <row r="94236" spans="1:6" x14ac:dyDescent="0.25">
      <c r="A94236"/>
      <c r="B94236"/>
      <c r="C94236"/>
      <c r="E94236"/>
      <c r="F94236"/>
    </row>
    <row r="94237" spans="1:6" x14ac:dyDescent="0.25">
      <c r="A94237"/>
      <c r="B94237"/>
      <c r="C94237"/>
      <c r="E94237"/>
      <c r="F94237"/>
    </row>
    <row r="94238" spans="1:6" x14ac:dyDescent="0.25">
      <c r="A94238"/>
      <c r="B94238"/>
      <c r="C94238"/>
      <c r="E94238"/>
      <c r="F94238"/>
    </row>
    <row r="94239" spans="1:6" x14ac:dyDescent="0.25">
      <c r="A94239"/>
      <c r="B94239"/>
      <c r="C94239"/>
      <c r="E94239"/>
      <c r="F94239"/>
    </row>
    <row r="94240" spans="1:6" x14ac:dyDescent="0.25">
      <c r="A94240"/>
      <c r="B94240"/>
      <c r="C94240"/>
      <c r="E94240"/>
      <c r="F94240"/>
    </row>
    <row r="94241" spans="1:6" x14ac:dyDescent="0.25">
      <c r="A94241"/>
      <c r="B94241"/>
      <c r="C94241"/>
      <c r="E94241"/>
      <c r="F94241"/>
    </row>
    <row r="94242" spans="1:6" x14ac:dyDescent="0.25">
      <c r="A94242"/>
      <c r="B94242"/>
      <c r="C94242"/>
      <c r="E94242"/>
      <c r="F94242"/>
    </row>
    <row r="94243" spans="1:6" x14ac:dyDescent="0.25">
      <c r="A94243"/>
      <c r="B94243"/>
      <c r="C94243"/>
      <c r="E94243"/>
      <c r="F94243"/>
    </row>
    <row r="94244" spans="1:6" x14ac:dyDescent="0.25">
      <c r="A94244"/>
      <c r="B94244"/>
      <c r="C94244"/>
      <c r="E94244"/>
      <c r="F94244"/>
    </row>
    <row r="94245" spans="1:6" x14ac:dyDescent="0.25">
      <c r="A94245"/>
      <c r="B94245"/>
      <c r="C94245"/>
      <c r="E94245"/>
      <c r="F94245"/>
    </row>
    <row r="94246" spans="1:6" x14ac:dyDescent="0.25">
      <c r="A94246"/>
      <c r="B94246"/>
      <c r="C94246"/>
      <c r="E94246"/>
      <c r="F94246"/>
    </row>
    <row r="94247" spans="1:6" x14ac:dyDescent="0.25">
      <c r="A94247"/>
      <c r="B94247"/>
      <c r="C94247"/>
      <c r="E94247"/>
      <c r="F94247"/>
    </row>
    <row r="94248" spans="1:6" x14ac:dyDescent="0.25">
      <c r="A94248"/>
      <c r="B94248"/>
      <c r="C94248"/>
      <c r="E94248"/>
      <c r="F94248"/>
    </row>
    <row r="94249" spans="1:6" x14ac:dyDescent="0.25">
      <c r="A94249"/>
      <c r="B94249"/>
      <c r="C94249"/>
      <c r="E94249"/>
      <c r="F94249"/>
    </row>
    <row r="94250" spans="1:6" x14ac:dyDescent="0.25">
      <c r="A94250"/>
      <c r="B94250"/>
      <c r="C94250"/>
      <c r="E94250"/>
      <c r="F94250"/>
    </row>
    <row r="94251" spans="1:6" x14ac:dyDescent="0.25">
      <c r="A94251"/>
      <c r="B94251"/>
      <c r="C94251"/>
      <c r="E94251"/>
      <c r="F94251"/>
    </row>
    <row r="94252" spans="1:6" x14ac:dyDescent="0.25">
      <c r="A94252"/>
      <c r="B94252"/>
      <c r="C94252"/>
      <c r="E94252"/>
      <c r="F94252"/>
    </row>
    <row r="94253" spans="1:6" x14ac:dyDescent="0.25">
      <c r="A94253"/>
      <c r="B94253"/>
      <c r="C94253"/>
      <c r="E94253"/>
      <c r="F94253"/>
    </row>
    <row r="94254" spans="1:6" x14ac:dyDescent="0.25">
      <c r="A94254"/>
      <c r="B94254"/>
      <c r="C94254"/>
      <c r="E94254"/>
      <c r="F94254"/>
    </row>
    <row r="94255" spans="1:6" x14ac:dyDescent="0.25">
      <c r="A94255"/>
      <c r="B94255"/>
      <c r="C94255"/>
      <c r="E94255"/>
      <c r="F94255"/>
    </row>
    <row r="94256" spans="1:6" x14ac:dyDescent="0.25">
      <c r="A94256"/>
      <c r="B94256"/>
      <c r="C94256"/>
      <c r="E94256"/>
      <c r="F94256"/>
    </row>
    <row r="94257" spans="1:6" x14ac:dyDescent="0.25">
      <c r="A94257"/>
      <c r="B94257"/>
      <c r="C94257"/>
      <c r="E94257"/>
      <c r="F94257"/>
    </row>
    <row r="94258" spans="1:6" x14ac:dyDescent="0.25">
      <c r="A94258"/>
      <c r="B94258"/>
      <c r="C94258"/>
      <c r="E94258"/>
      <c r="F94258"/>
    </row>
    <row r="94259" spans="1:6" x14ac:dyDescent="0.25">
      <c r="A94259"/>
      <c r="B94259"/>
      <c r="C94259"/>
      <c r="E94259"/>
      <c r="F94259"/>
    </row>
    <row r="94260" spans="1:6" x14ac:dyDescent="0.25">
      <c r="A94260"/>
      <c r="B94260"/>
      <c r="C94260"/>
      <c r="E94260"/>
      <c r="F94260"/>
    </row>
    <row r="94261" spans="1:6" x14ac:dyDescent="0.25">
      <c r="A94261"/>
      <c r="B94261"/>
      <c r="C94261"/>
      <c r="E94261"/>
      <c r="F94261"/>
    </row>
    <row r="94262" spans="1:6" x14ac:dyDescent="0.25">
      <c r="A94262"/>
      <c r="B94262"/>
      <c r="C94262"/>
      <c r="E94262"/>
      <c r="F94262"/>
    </row>
    <row r="94263" spans="1:6" x14ac:dyDescent="0.25">
      <c r="A94263"/>
      <c r="B94263"/>
      <c r="C94263"/>
      <c r="E94263"/>
      <c r="F94263"/>
    </row>
    <row r="94264" spans="1:6" x14ac:dyDescent="0.25">
      <c r="A94264"/>
      <c r="B94264"/>
      <c r="C94264"/>
      <c r="E94264"/>
      <c r="F94264"/>
    </row>
    <row r="94265" spans="1:6" x14ac:dyDescent="0.25">
      <c r="A94265"/>
      <c r="B94265"/>
      <c r="C94265"/>
      <c r="E94265"/>
      <c r="F94265"/>
    </row>
    <row r="94266" spans="1:6" x14ac:dyDescent="0.25">
      <c r="A94266"/>
      <c r="B94266"/>
      <c r="C94266"/>
      <c r="E94266"/>
      <c r="F94266"/>
    </row>
    <row r="94267" spans="1:6" x14ac:dyDescent="0.25">
      <c r="A94267"/>
      <c r="B94267"/>
      <c r="C94267"/>
      <c r="E94267"/>
      <c r="F94267"/>
    </row>
    <row r="94268" spans="1:6" x14ac:dyDescent="0.25">
      <c r="A94268"/>
      <c r="B94268"/>
      <c r="C94268"/>
      <c r="E94268"/>
      <c r="F94268"/>
    </row>
    <row r="94269" spans="1:6" x14ac:dyDescent="0.25">
      <c r="A94269"/>
      <c r="B94269"/>
      <c r="C94269"/>
      <c r="E94269"/>
      <c r="F94269"/>
    </row>
    <row r="94270" spans="1:6" x14ac:dyDescent="0.25">
      <c r="A94270"/>
      <c r="B94270"/>
      <c r="C94270"/>
      <c r="E94270"/>
      <c r="F94270"/>
    </row>
    <row r="94271" spans="1:6" x14ac:dyDescent="0.25">
      <c r="A94271"/>
      <c r="B94271"/>
      <c r="C94271"/>
      <c r="E94271"/>
      <c r="F94271"/>
    </row>
    <row r="94272" spans="1:6" x14ac:dyDescent="0.25">
      <c r="A94272"/>
      <c r="B94272"/>
      <c r="C94272"/>
      <c r="E94272"/>
      <c r="F94272"/>
    </row>
    <row r="94273" spans="1:6" x14ac:dyDescent="0.25">
      <c r="A94273"/>
      <c r="B94273"/>
      <c r="C94273"/>
      <c r="E94273"/>
      <c r="F94273"/>
    </row>
    <row r="94274" spans="1:6" x14ac:dyDescent="0.25">
      <c r="A94274"/>
      <c r="B94274"/>
      <c r="C94274"/>
      <c r="E94274"/>
      <c r="F94274"/>
    </row>
    <row r="94275" spans="1:6" x14ac:dyDescent="0.25">
      <c r="A94275"/>
      <c r="B94275"/>
      <c r="C94275"/>
      <c r="E94275"/>
      <c r="F94275"/>
    </row>
    <row r="94276" spans="1:6" x14ac:dyDescent="0.25">
      <c r="A94276"/>
      <c r="B94276"/>
      <c r="C94276"/>
      <c r="E94276"/>
      <c r="F94276"/>
    </row>
    <row r="94277" spans="1:6" x14ac:dyDescent="0.25">
      <c r="A94277"/>
      <c r="B94277"/>
      <c r="C94277"/>
      <c r="E94277"/>
      <c r="F94277"/>
    </row>
    <row r="94278" spans="1:6" x14ac:dyDescent="0.25">
      <c r="A94278"/>
      <c r="B94278"/>
      <c r="C94278"/>
      <c r="E94278"/>
      <c r="F94278"/>
    </row>
    <row r="94279" spans="1:6" x14ac:dyDescent="0.25">
      <c r="A94279"/>
      <c r="B94279"/>
      <c r="C94279"/>
      <c r="E94279"/>
      <c r="F94279"/>
    </row>
    <row r="94280" spans="1:6" x14ac:dyDescent="0.25">
      <c r="A94280"/>
      <c r="B94280"/>
      <c r="C94280"/>
      <c r="E94280"/>
      <c r="F94280"/>
    </row>
    <row r="94281" spans="1:6" x14ac:dyDescent="0.25">
      <c r="A94281"/>
      <c r="B94281"/>
      <c r="C94281"/>
      <c r="E94281"/>
      <c r="F94281"/>
    </row>
    <row r="94282" spans="1:6" x14ac:dyDescent="0.25">
      <c r="A94282"/>
      <c r="B94282"/>
      <c r="C94282"/>
      <c r="E94282"/>
      <c r="F94282"/>
    </row>
    <row r="94283" spans="1:6" x14ac:dyDescent="0.25">
      <c r="A94283"/>
      <c r="B94283"/>
      <c r="C94283"/>
      <c r="E94283"/>
      <c r="F94283"/>
    </row>
    <row r="94284" spans="1:6" x14ac:dyDescent="0.25">
      <c r="A94284"/>
      <c r="B94284"/>
      <c r="C94284"/>
      <c r="E94284"/>
      <c r="F94284"/>
    </row>
    <row r="94285" spans="1:6" x14ac:dyDescent="0.25">
      <c r="A94285"/>
      <c r="B94285"/>
      <c r="C94285"/>
      <c r="E94285"/>
      <c r="F94285"/>
    </row>
    <row r="94286" spans="1:6" x14ac:dyDescent="0.25">
      <c r="A94286"/>
      <c r="B94286"/>
      <c r="C94286"/>
      <c r="E94286"/>
      <c r="F94286"/>
    </row>
    <row r="94287" spans="1:6" x14ac:dyDescent="0.25">
      <c r="A94287"/>
      <c r="B94287"/>
      <c r="C94287"/>
      <c r="E94287"/>
      <c r="F94287"/>
    </row>
    <row r="94288" spans="1:6" x14ac:dyDescent="0.25">
      <c r="A94288"/>
      <c r="B94288"/>
      <c r="C94288"/>
      <c r="E94288"/>
      <c r="F94288"/>
    </row>
    <row r="94289" spans="1:6" x14ac:dyDescent="0.25">
      <c r="A94289"/>
      <c r="B94289"/>
      <c r="C94289"/>
      <c r="E94289"/>
      <c r="F94289"/>
    </row>
    <row r="94290" spans="1:6" x14ac:dyDescent="0.25">
      <c r="A94290"/>
      <c r="B94290"/>
      <c r="C94290"/>
      <c r="E94290"/>
      <c r="F94290"/>
    </row>
    <row r="94291" spans="1:6" x14ac:dyDescent="0.25">
      <c r="A94291"/>
      <c r="B94291"/>
      <c r="C94291"/>
      <c r="E94291"/>
      <c r="F94291"/>
    </row>
    <row r="94292" spans="1:6" x14ac:dyDescent="0.25">
      <c r="A94292"/>
      <c r="B94292"/>
      <c r="C94292"/>
      <c r="E94292"/>
      <c r="F94292"/>
    </row>
    <row r="94293" spans="1:6" x14ac:dyDescent="0.25">
      <c r="A94293"/>
      <c r="B94293"/>
      <c r="C94293"/>
      <c r="E94293"/>
      <c r="F94293"/>
    </row>
    <row r="94294" spans="1:6" x14ac:dyDescent="0.25">
      <c r="A94294"/>
      <c r="B94294"/>
      <c r="C94294"/>
      <c r="E94294"/>
      <c r="F94294"/>
    </row>
    <row r="94295" spans="1:6" x14ac:dyDescent="0.25">
      <c r="A94295"/>
      <c r="B94295"/>
      <c r="C94295"/>
      <c r="E94295"/>
      <c r="F94295"/>
    </row>
    <row r="94296" spans="1:6" x14ac:dyDescent="0.25">
      <c r="A94296"/>
      <c r="B94296"/>
      <c r="C94296"/>
      <c r="E94296"/>
      <c r="F94296"/>
    </row>
    <row r="94297" spans="1:6" x14ac:dyDescent="0.25">
      <c r="A94297"/>
      <c r="B94297"/>
      <c r="C94297"/>
      <c r="E94297"/>
      <c r="F94297"/>
    </row>
    <row r="94298" spans="1:6" x14ac:dyDescent="0.25">
      <c r="A94298"/>
      <c r="B94298"/>
      <c r="C94298"/>
      <c r="E94298"/>
      <c r="F94298"/>
    </row>
    <row r="94299" spans="1:6" x14ac:dyDescent="0.25">
      <c r="A94299"/>
      <c r="B94299"/>
      <c r="C94299"/>
      <c r="E94299"/>
      <c r="F94299"/>
    </row>
    <row r="94300" spans="1:6" x14ac:dyDescent="0.25">
      <c r="A94300"/>
      <c r="B94300"/>
      <c r="C94300"/>
      <c r="E94300"/>
      <c r="F94300"/>
    </row>
    <row r="94301" spans="1:6" x14ac:dyDescent="0.25">
      <c r="A94301"/>
      <c r="B94301"/>
      <c r="C94301"/>
      <c r="E94301"/>
      <c r="F94301"/>
    </row>
    <row r="94302" spans="1:6" x14ac:dyDescent="0.25">
      <c r="A94302"/>
      <c r="B94302"/>
      <c r="C94302"/>
      <c r="E94302"/>
      <c r="F94302"/>
    </row>
    <row r="94303" spans="1:6" x14ac:dyDescent="0.25">
      <c r="A94303"/>
      <c r="B94303"/>
      <c r="C94303"/>
      <c r="E94303"/>
      <c r="F94303"/>
    </row>
    <row r="94304" spans="1:6" x14ac:dyDescent="0.25">
      <c r="A94304"/>
      <c r="B94304"/>
      <c r="C94304"/>
      <c r="E94304"/>
      <c r="F94304"/>
    </row>
    <row r="94305" spans="1:6" x14ac:dyDescent="0.25">
      <c r="A94305"/>
      <c r="B94305"/>
      <c r="C94305"/>
      <c r="E94305"/>
      <c r="F94305"/>
    </row>
    <row r="94306" spans="1:6" x14ac:dyDescent="0.25">
      <c r="A94306"/>
      <c r="B94306"/>
      <c r="C94306"/>
      <c r="E94306"/>
      <c r="F94306"/>
    </row>
    <row r="94307" spans="1:6" x14ac:dyDescent="0.25">
      <c r="A94307"/>
      <c r="B94307"/>
      <c r="C94307"/>
      <c r="E94307"/>
      <c r="F94307"/>
    </row>
    <row r="94308" spans="1:6" x14ac:dyDescent="0.25">
      <c r="A94308"/>
      <c r="B94308"/>
      <c r="C94308"/>
      <c r="E94308"/>
      <c r="F94308"/>
    </row>
    <row r="94309" spans="1:6" x14ac:dyDescent="0.25">
      <c r="A94309"/>
      <c r="B94309"/>
      <c r="C94309"/>
      <c r="E94309"/>
      <c r="F94309"/>
    </row>
    <row r="94310" spans="1:6" x14ac:dyDescent="0.25">
      <c r="A94310"/>
      <c r="B94310"/>
      <c r="C94310"/>
      <c r="E94310"/>
      <c r="F94310"/>
    </row>
    <row r="94311" spans="1:6" x14ac:dyDescent="0.25">
      <c r="A94311"/>
      <c r="B94311"/>
      <c r="C94311"/>
      <c r="E94311"/>
      <c r="F94311"/>
    </row>
    <row r="94312" spans="1:6" x14ac:dyDescent="0.25">
      <c r="A94312"/>
      <c r="B94312"/>
      <c r="C94312"/>
      <c r="E94312"/>
      <c r="F94312"/>
    </row>
    <row r="94313" spans="1:6" x14ac:dyDescent="0.25">
      <c r="A94313"/>
      <c r="B94313"/>
      <c r="C94313"/>
      <c r="E94313"/>
      <c r="F94313"/>
    </row>
    <row r="94314" spans="1:6" x14ac:dyDescent="0.25">
      <c r="A94314"/>
      <c r="B94314"/>
      <c r="C94314"/>
      <c r="E94314"/>
      <c r="F94314"/>
    </row>
    <row r="94315" spans="1:6" x14ac:dyDescent="0.25">
      <c r="A94315"/>
      <c r="B94315"/>
      <c r="C94315"/>
      <c r="E94315"/>
      <c r="F94315"/>
    </row>
    <row r="94316" spans="1:6" x14ac:dyDescent="0.25">
      <c r="A94316"/>
      <c r="B94316"/>
      <c r="C94316"/>
      <c r="E94316"/>
      <c r="F94316"/>
    </row>
    <row r="94317" spans="1:6" x14ac:dyDescent="0.25">
      <c r="A94317"/>
      <c r="B94317"/>
      <c r="C94317"/>
      <c r="E94317"/>
      <c r="F94317"/>
    </row>
    <row r="94318" spans="1:6" x14ac:dyDescent="0.25">
      <c r="A94318"/>
      <c r="B94318"/>
      <c r="C94318"/>
      <c r="E94318"/>
      <c r="F94318"/>
    </row>
    <row r="94319" spans="1:6" x14ac:dyDescent="0.25">
      <c r="A94319"/>
      <c r="B94319"/>
      <c r="C94319"/>
      <c r="E94319"/>
      <c r="F94319"/>
    </row>
    <row r="94320" spans="1:6" x14ac:dyDescent="0.25">
      <c r="A94320"/>
      <c r="B94320"/>
      <c r="C94320"/>
      <c r="E94320"/>
      <c r="F94320"/>
    </row>
    <row r="94321" spans="1:6" x14ac:dyDescent="0.25">
      <c r="A94321"/>
      <c r="B94321"/>
      <c r="C94321"/>
      <c r="E94321"/>
      <c r="F94321"/>
    </row>
    <row r="94322" spans="1:6" x14ac:dyDescent="0.25">
      <c r="A94322"/>
      <c r="B94322"/>
      <c r="C94322"/>
      <c r="E94322"/>
      <c r="F94322"/>
    </row>
    <row r="94323" spans="1:6" x14ac:dyDescent="0.25">
      <c r="A94323"/>
      <c r="B94323"/>
      <c r="C94323"/>
      <c r="E94323"/>
      <c r="F94323"/>
    </row>
    <row r="94324" spans="1:6" x14ac:dyDescent="0.25">
      <c r="A94324"/>
      <c r="B94324"/>
      <c r="C94324"/>
      <c r="E94324"/>
      <c r="F94324"/>
    </row>
    <row r="94325" spans="1:6" x14ac:dyDescent="0.25">
      <c r="A94325"/>
      <c r="B94325"/>
      <c r="C94325"/>
      <c r="E94325"/>
      <c r="F94325"/>
    </row>
    <row r="94326" spans="1:6" x14ac:dyDescent="0.25">
      <c r="A94326"/>
      <c r="B94326"/>
      <c r="C94326"/>
      <c r="E94326"/>
      <c r="F94326"/>
    </row>
    <row r="94327" spans="1:6" x14ac:dyDescent="0.25">
      <c r="A94327"/>
      <c r="B94327"/>
      <c r="C94327"/>
      <c r="E94327"/>
      <c r="F94327"/>
    </row>
    <row r="94328" spans="1:6" x14ac:dyDescent="0.25">
      <c r="A94328"/>
      <c r="B94328"/>
      <c r="C94328"/>
      <c r="E94328"/>
      <c r="F94328"/>
    </row>
    <row r="94329" spans="1:6" x14ac:dyDescent="0.25">
      <c r="A94329"/>
      <c r="B94329"/>
      <c r="C94329"/>
      <c r="E94329"/>
      <c r="F94329"/>
    </row>
    <row r="94330" spans="1:6" x14ac:dyDescent="0.25">
      <c r="A94330"/>
      <c r="B94330"/>
      <c r="C94330"/>
      <c r="E94330"/>
      <c r="F94330"/>
    </row>
    <row r="94331" spans="1:6" x14ac:dyDescent="0.25">
      <c r="A94331"/>
      <c r="B94331"/>
      <c r="C94331"/>
      <c r="E94331"/>
      <c r="F94331"/>
    </row>
    <row r="94332" spans="1:6" x14ac:dyDescent="0.25">
      <c r="A94332"/>
      <c r="B94332"/>
      <c r="C94332"/>
      <c r="E94332"/>
      <c r="F94332"/>
    </row>
    <row r="94333" spans="1:6" x14ac:dyDescent="0.25">
      <c r="A94333"/>
      <c r="B94333"/>
      <c r="C94333"/>
      <c r="E94333"/>
      <c r="F94333"/>
    </row>
    <row r="94334" spans="1:6" x14ac:dyDescent="0.25">
      <c r="A94334"/>
      <c r="B94334"/>
      <c r="C94334"/>
      <c r="E94334"/>
      <c r="F94334"/>
    </row>
    <row r="94335" spans="1:6" x14ac:dyDescent="0.25">
      <c r="A94335"/>
      <c r="B94335"/>
      <c r="C94335"/>
      <c r="E94335"/>
      <c r="F94335"/>
    </row>
    <row r="94336" spans="1:6" x14ac:dyDescent="0.25">
      <c r="A94336"/>
      <c r="B94336"/>
      <c r="C94336"/>
      <c r="E94336"/>
      <c r="F94336"/>
    </row>
    <row r="94337" spans="1:6" x14ac:dyDescent="0.25">
      <c r="A94337"/>
      <c r="B94337"/>
      <c r="C94337"/>
      <c r="E94337"/>
      <c r="F94337"/>
    </row>
    <row r="94338" spans="1:6" x14ac:dyDescent="0.25">
      <c r="A94338"/>
      <c r="B94338"/>
      <c r="C94338"/>
      <c r="E94338"/>
      <c r="F94338"/>
    </row>
    <row r="94339" spans="1:6" x14ac:dyDescent="0.25">
      <c r="A94339"/>
      <c r="B94339"/>
      <c r="C94339"/>
      <c r="E94339"/>
      <c r="F94339"/>
    </row>
    <row r="94340" spans="1:6" x14ac:dyDescent="0.25">
      <c r="A94340"/>
      <c r="B94340"/>
      <c r="C94340"/>
      <c r="E94340"/>
      <c r="F94340"/>
    </row>
    <row r="94341" spans="1:6" x14ac:dyDescent="0.25">
      <c r="A94341"/>
      <c r="B94341"/>
      <c r="C94341"/>
      <c r="E94341"/>
      <c r="F94341"/>
    </row>
    <row r="94342" spans="1:6" x14ac:dyDescent="0.25">
      <c r="A94342"/>
      <c r="B94342"/>
      <c r="C94342"/>
      <c r="E94342"/>
      <c r="F94342"/>
    </row>
    <row r="94343" spans="1:6" x14ac:dyDescent="0.25">
      <c r="A94343"/>
      <c r="B94343"/>
      <c r="C94343"/>
      <c r="E94343"/>
      <c r="F94343"/>
    </row>
    <row r="94344" spans="1:6" x14ac:dyDescent="0.25">
      <c r="A94344"/>
      <c r="B94344"/>
      <c r="C94344"/>
      <c r="E94344"/>
      <c r="F94344"/>
    </row>
    <row r="94345" spans="1:6" x14ac:dyDescent="0.25">
      <c r="A94345"/>
      <c r="B94345"/>
      <c r="C94345"/>
      <c r="E94345"/>
      <c r="F94345"/>
    </row>
    <row r="94346" spans="1:6" x14ac:dyDescent="0.25">
      <c r="A94346"/>
      <c r="B94346"/>
      <c r="C94346"/>
      <c r="E94346"/>
      <c r="F94346"/>
    </row>
    <row r="94347" spans="1:6" x14ac:dyDescent="0.25">
      <c r="A94347"/>
      <c r="B94347"/>
      <c r="C94347"/>
      <c r="E94347"/>
      <c r="F94347"/>
    </row>
    <row r="94348" spans="1:6" x14ac:dyDescent="0.25">
      <c r="A94348"/>
      <c r="B94348"/>
      <c r="C94348"/>
      <c r="E94348"/>
      <c r="F94348"/>
    </row>
    <row r="94349" spans="1:6" x14ac:dyDescent="0.25">
      <c r="A94349"/>
      <c r="B94349"/>
      <c r="C94349"/>
      <c r="E94349"/>
      <c r="F94349"/>
    </row>
    <row r="94350" spans="1:6" x14ac:dyDescent="0.25">
      <c r="A94350"/>
      <c r="B94350"/>
      <c r="C94350"/>
      <c r="E94350"/>
      <c r="F94350"/>
    </row>
    <row r="94351" spans="1:6" x14ac:dyDescent="0.25">
      <c r="A94351"/>
      <c r="B94351"/>
      <c r="C94351"/>
      <c r="E94351"/>
      <c r="F94351"/>
    </row>
    <row r="94352" spans="1:6" x14ac:dyDescent="0.25">
      <c r="A94352"/>
      <c r="B94352"/>
      <c r="C94352"/>
      <c r="E94352"/>
      <c r="F94352"/>
    </row>
    <row r="94353" spans="1:6" x14ac:dyDescent="0.25">
      <c r="A94353"/>
      <c r="B94353"/>
      <c r="C94353"/>
      <c r="E94353"/>
      <c r="F94353"/>
    </row>
    <row r="94354" spans="1:6" x14ac:dyDescent="0.25">
      <c r="A94354"/>
      <c r="B94354"/>
      <c r="C94354"/>
      <c r="E94354"/>
      <c r="F94354"/>
    </row>
    <row r="94355" spans="1:6" x14ac:dyDescent="0.25">
      <c r="A94355"/>
      <c r="B94355"/>
      <c r="C94355"/>
      <c r="E94355"/>
      <c r="F94355"/>
    </row>
    <row r="94356" spans="1:6" x14ac:dyDescent="0.25">
      <c r="A94356"/>
      <c r="B94356"/>
      <c r="C94356"/>
      <c r="E94356"/>
      <c r="F94356"/>
    </row>
    <row r="94357" spans="1:6" x14ac:dyDescent="0.25">
      <c r="A94357"/>
      <c r="B94357"/>
      <c r="C94357"/>
      <c r="E94357"/>
      <c r="F94357"/>
    </row>
    <row r="94358" spans="1:6" x14ac:dyDescent="0.25">
      <c r="A94358"/>
      <c r="B94358"/>
      <c r="C94358"/>
      <c r="E94358"/>
      <c r="F94358"/>
    </row>
    <row r="94359" spans="1:6" x14ac:dyDescent="0.25">
      <c r="A94359"/>
      <c r="B94359"/>
      <c r="C94359"/>
      <c r="E94359"/>
      <c r="F94359"/>
    </row>
    <row r="94360" spans="1:6" x14ac:dyDescent="0.25">
      <c r="A94360"/>
      <c r="B94360"/>
      <c r="C94360"/>
      <c r="E94360"/>
      <c r="F94360"/>
    </row>
    <row r="94361" spans="1:6" x14ac:dyDescent="0.25">
      <c r="A94361"/>
      <c r="B94361"/>
      <c r="C94361"/>
      <c r="E94361"/>
      <c r="F94361"/>
    </row>
    <row r="94362" spans="1:6" x14ac:dyDescent="0.25">
      <c r="A94362"/>
      <c r="B94362"/>
      <c r="C94362"/>
      <c r="E94362"/>
      <c r="F94362"/>
    </row>
    <row r="94363" spans="1:6" x14ac:dyDescent="0.25">
      <c r="A94363"/>
      <c r="B94363"/>
      <c r="C94363"/>
      <c r="E94363"/>
      <c r="F94363"/>
    </row>
    <row r="94364" spans="1:6" x14ac:dyDescent="0.25">
      <c r="A94364"/>
      <c r="B94364"/>
      <c r="C94364"/>
      <c r="E94364"/>
      <c r="F94364"/>
    </row>
    <row r="94365" spans="1:6" x14ac:dyDescent="0.25">
      <c r="A94365"/>
      <c r="B94365"/>
      <c r="C94365"/>
      <c r="E94365"/>
      <c r="F94365"/>
    </row>
    <row r="94366" spans="1:6" x14ac:dyDescent="0.25">
      <c r="A94366"/>
      <c r="B94366"/>
      <c r="C94366"/>
      <c r="E94366"/>
      <c r="F94366"/>
    </row>
    <row r="94367" spans="1:6" x14ac:dyDescent="0.25">
      <c r="A94367"/>
      <c r="B94367"/>
      <c r="C94367"/>
      <c r="E94367"/>
      <c r="F94367"/>
    </row>
    <row r="94368" spans="1:6" x14ac:dyDescent="0.25">
      <c r="A94368"/>
      <c r="B94368"/>
      <c r="C94368"/>
      <c r="E94368"/>
      <c r="F94368"/>
    </row>
    <row r="94369" spans="1:6" x14ac:dyDescent="0.25">
      <c r="A94369"/>
      <c r="B94369"/>
      <c r="C94369"/>
      <c r="E94369"/>
      <c r="F94369"/>
    </row>
    <row r="94370" spans="1:6" x14ac:dyDescent="0.25">
      <c r="A94370"/>
      <c r="B94370"/>
      <c r="C94370"/>
      <c r="E94370"/>
      <c r="F94370"/>
    </row>
    <row r="94371" spans="1:6" x14ac:dyDescent="0.25">
      <c r="A94371"/>
      <c r="B94371"/>
      <c r="C94371"/>
      <c r="E94371"/>
      <c r="F94371"/>
    </row>
    <row r="94372" spans="1:6" x14ac:dyDescent="0.25">
      <c r="A94372"/>
      <c r="B94372"/>
      <c r="C94372"/>
      <c r="E94372"/>
      <c r="F94372"/>
    </row>
    <row r="94373" spans="1:6" x14ac:dyDescent="0.25">
      <c r="A94373"/>
      <c r="B94373"/>
      <c r="C94373"/>
      <c r="E94373"/>
      <c r="F94373"/>
    </row>
    <row r="94374" spans="1:6" x14ac:dyDescent="0.25">
      <c r="A94374"/>
      <c r="B94374"/>
      <c r="C94374"/>
      <c r="E94374"/>
      <c r="F94374"/>
    </row>
    <row r="94375" spans="1:6" x14ac:dyDescent="0.25">
      <c r="A94375"/>
      <c r="B94375"/>
      <c r="C94375"/>
      <c r="E94375"/>
      <c r="F94375"/>
    </row>
    <row r="94376" spans="1:6" x14ac:dyDescent="0.25">
      <c r="A94376"/>
      <c r="B94376"/>
      <c r="C94376"/>
      <c r="E94376"/>
      <c r="F94376"/>
    </row>
    <row r="94377" spans="1:6" x14ac:dyDescent="0.25">
      <c r="A94377"/>
      <c r="B94377"/>
      <c r="C94377"/>
      <c r="E94377"/>
      <c r="F94377"/>
    </row>
    <row r="94378" spans="1:6" x14ac:dyDescent="0.25">
      <c r="A94378"/>
      <c r="B94378"/>
      <c r="C94378"/>
      <c r="E94378"/>
      <c r="F94378"/>
    </row>
    <row r="94379" spans="1:6" x14ac:dyDescent="0.25">
      <c r="A94379"/>
      <c r="B94379"/>
      <c r="C94379"/>
      <c r="E94379"/>
      <c r="F94379"/>
    </row>
    <row r="94380" spans="1:6" x14ac:dyDescent="0.25">
      <c r="A94380"/>
      <c r="B94380"/>
      <c r="C94380"/>
      <c r="E94380"/>
      <c r="F94380"/>
    </row>
    <row r="94381" spans="1:6" x14ac:dyDescent="0.25">
      <c r="A94381"/>
      <c r="B94381"/>
      <c r="C94381"/>
      <c r="E94381"/>
      <c r="F94381"/>
    </row>
    <row r="94382" spans="1:6" x14ac:dyDescent="0.25">
      <c r="A94382"/>
      <c r="B94382"/>
      <c r="C94382"/>
      <c r="E94382"/>
      <c r="F94382"/>
    </row>
    <row r="94383" spans="1:6" x14ac:dyDescent="0.25">
      <c r="A94383"/>
      <c r="B94383"/>
      <c r="C94383"/>
      <c r="E94383"/>
      <c r="F94383"/>
    </row>
    <row r="94384" spans="1:6" x14ac:dyDescent="0.25">
      <c r="A94384"/>
      <c r="B94384"/>
      <c r="C94384"/>
      <c r="E94384"/>
      <c r="F94384"/>
    </row>
    <row r="94385" spans="1:6" x14ac:dyDescent="0.25">
      <c r="A94385"/>
      <c r="B94385"/>
      <c r="C94385"/>
      <c r="E94385"/>
      <c r="F94385"/>
    </row>
    <row r="94386" spans="1:6" x14ac:dyDescent="0.25">
      <c r="A94386"/>
      <c r="B94386"/>
      <c r="C94386"/>
      <c r="E94386"/>
      <c r="F94386"/>
    </row>
    <row r="94387" spans="1:6" x14ac:dyDescent="0.25">
      <c r="A94387"/>
      <c r="B94387"/>
      <c r="C94387"/>
      <c r="E94387"/>
      <c r="F94387"/>
    </row>
    <row r="94388" spans="1:6" x14ac:dyDescent="0.25">
      <c r="A94388"/>
      <c r="B94388"/>
      <c r="C94388"/>
      <c r="E94388"/>
      <c r="F94388"/>
    </row>
    <row r="94389" spans="1:6" x14ac:dyDescent="0.25">
      <c r="A94389"/>
      <c r="B94389"/>
      <c r="C94389"/>
      <c r="E94389"/>
      <c r="F94389"/>
    </row>
    <row r="94390" spans="1:6" x14ac:dyDescent="0.25">
      <c r="A94390"/>
      <c r="B94390"/>
      <c r="C94390"/>
      <c r="E94390"/>
      <c r="F94390"/>
    </row>
    <row r="94391" spans="1:6" x14ac:dyDescent="0.25">
      <c r="A94391"/>
      <c r="B94391"/>
      <c r="C94391"/>
      <c r="E94391"/>
      <c r="F94391"/>
    </row>
    <row r="94392" spans="1:6" x14ac:dyDescent="0.25">
      <c r="A94392"/>
      <c r="B94392"/>
      <c r="C94392"/>
      <c r="E94392"/>
      <c r="F94392"/>
    </row>
    <row r="94393" spans="1:6" x14ac:dyDescent="0.25">
      <c r="A94393"/>
      <c r="B94393"/>
      <c r="C94393"/>
      <c r="E94393"/>
      <c r="F94393"/>
    </row>
    <row r="94394" spans="1:6" x14ac:dyDescent="0.25">
      <c r="A94394"/>
      <c r="B94394"/>
      <c r="C94394"/>
      <c r="E94394"/>
      <c r="F94394"/>
    </row>
    <row r="94395" spans="1:6" x14ac:dyDescent="0.25">
      <c r="A94395"/>
      <c r="B94395"/>
      <c r="C94395"/>
      <c r="E94395"/>
      <c r="F94395"/>
    </row>
    <row r="94396" spans="1:6" x14ac:dyDescent="0.25">
      <c r="A94396"/>
      <c r="B94396"/>
      <c r="C94396"/>
      <c r="E94396"/>
      <c r="F94396"/>
    </row>
    <row r="94397" spans="1:6" x14ac:dyDescent="0.25">
      <c r="A94397"/>
      <c r="B94397"/>
      <c r="C94397"/>
      <c r="E94397"/>
      <c r="F94397"/>
    </row>
    <row r="94398" spans="1:6" x14ac:dyDescent="0.25">
      <c r="A94398"/>
      <c r="B94398"/>
      <c r="C94398"/>
      <c r="E94398"/>
      <c r="F94398"/>
    </row>
    <row r="94399" spans="1:6" x14ac:dyDescent="0.25">
      <c r="A94399"/>
      <c r="B94399"/>
      <c r="C94399"/>
      <c r="E94399"/>
      <c r="F94399"/>
    </row>
    <row r="94400" spans="1:6" x14ac:dyDescent="0.25">
      <c r="A94400"/>
      <c r="B94400"/>
      <c r="C94400"/>
      <c r="E94400"/>
      <c r="F94400"/>
    </row>
    <row r="94401" spans="1:6" x14ac:dyDescent="0.25">
      <c r="A94401"/>
      <c r="B94401"/>
      <c r="C94401"/>
      <c r="E94401"/>
      <c r="F94401"/>
    </row>
    <row r="94402" spans="1:6" x14ac:dyDescent="0.25">
      <c r="A94402"/>
      <c r="B94402"/>
      <c r="C94402"/>
      <c r="E94402"/>
      <c r="F94402"/>
    </row>
    <row r="94403" spans="1:6" x14ac:dyDescent="0.25">
      <c r="A94403"/>
      <c r="B94403"/>
      <c r="C94403"/>
      <c r="E94403"/>
      <c r="F94403"/>
    </row>
    <row r="94404" spans="1:6" x14ac:dyDescent="0.25">
      <c r="A94404"/>
      <c r="B94404"/>
      <c r="C94404"/>
      <c r="E94404"/>
      <c r="F94404"/>
    </row>
    <row r="94405" spans="1:6" x14ac:dyDescent="0.25">
      <c r="A94405"/>
      <c r="B94405"/>
      <c r="C94405"/>
      <c r="E94405"/>
      <c r="F94405"/>
    </row>
    <row r="94406" spans="1:6" x14ac:dyDescent="0.25">
      <c r="A94406"/>
      <c r="B94406"/>
      <c r="C94406"/>
      <c r="E94406"/>
      <c r="F94406"/>
    </row>
    <row r="94407" spans="1:6" x14ac:dyDescent="0.25">
      <c r="A94407"/>
      <c r="B94407"/>
      <c r="C94407"/>
      <c r="E94407"/>
      <c r="F94407"/>
    </row>
    <row r="94408" spans="1:6" x14ac:dyDescent="0.25">
      <c r="A94408"/>
      <c r="B94408"/>
      <c r="C94408"/>
      <c r="E94408"/>
      <c r="F94408"/>
    </row>
    <row r="94409" spans="1:6" x14ac:dyDescent="0.25">
      <c r="A94409"/>
      <c r="B94409"/>
      <c r="C94409"/>
      <c r="E94409"/>
      <c r="F94409"/>
    </row>
    <row r="94410" spans="1:6" x14ac:dyDescent="0.25">
      <c r="A94410"/>
      <c r="B94410"/>
      <c r="C94410"/>
      <c r="E94410"/>
      <c r="F94410"/>
    </row>
    <row r="94411" spans="1:6" x14ac:dyDescent="0.25">
      <c r="A94411"/>
      <c r="B94411"/>
      <c r="C94411"/>
      <c r="E94411"/>
      <c r="F94411"/>
    </row>
    <row r="94412" spans="1:6" x14ac:dyDescent="0.25">
      <c r="A94412"/>
      <c r="B94412"/>
      <c r="C94412"/>
      <c r="E94412"/>
      <c r="F94412"/>
    </row>
    <row r="94413" spans="1:6" x14ac:dyDescent="0.25">
      <c r="A94413"/>
      <c r="B94413"/>
      <c r="C94413"/>
      <c r="E94413"/>
      <c r="F94413"/>
    </row>
    <row r="94414" spans="1:6" x14ac:dyDescent="0.25">
      <c r="A94414"/>
      <c r="B94414"/>
      <c r="C94414"/>
      <c r="E94414"/>
      <c r="F94414"/>
    </row>
    <row r="94415" spans="1:6" x14ac:dyDescent="0.25">
      <c r="A94415"/>
      <c r="B94415"/>
      <c r="C94415"/>
      <c r="E94415"/>
      <c r="F94415"/>
    </row>
    <row r="94416" spans="1:6" x14ac:dyDescent="0.25">
      <c r="A94416"/>
      <c r="B94416"/>
      <c r="C94416"/>
      <c r="E94416"/>
      <c r="F94416"/>
    </row>
    <row r="94417" spans="1:6" x14ac:dyDescent="0.25">
      <c r="A94417"/>
      <c r="B94417"/>
      <c r="C94417"/>
      <c r="E94417"/>
      <c r="F94417"/>
    </row>
    <row r="94418" spans="1:6" x14ac:dyDescent="0.25">
      <c r="A94418"/>
      <c r="B94418"/>
      <c r="C94418"/>
      <c r="E94418"/>
      <c r="F94418"/>
    </row>
    <row r="94419" spans="1:6" x14ac:dyDescent="0.25">
      <c r="A94419"/>
      <c r="B94419"/>
      <c r="C94419"/>
      <c r="E94419"/>
      <c r="F94419"/>
    </row>
    <row r="94420" spans="1:6" x14ac:dyDescent="0.25">
      <c r="A94420"/>
      <c r="B94420"/>
      <c r="C94420"/>
      <c r="E94420"/>
      <c r="F94420"/>
    </row>
    <row r="94421" spans="1:6" x14ac:dyDescent="0.25">
      <c r="A94421"/>
      <c r="B94421"/>
      <c r="C94421"/>
      <c r="E94421"/>
      <c r="F94421"/>
    </row>
    <row r="94422" spans="1:6" x14ac:dyDescent="0.25">
      <c r="A94422"/>
      <c r="B94422"/>
      <c r="C94422"/>
      <c r="E94422"/>
      <c r="F94422"/>
    </row>
    <row r="94423" spans="1:6" x14ac:dyDescent="0.25">
      <c r="A94423"/>
      <c r="B94423"/>
      <c r="C94423"/>
      <c r="E94423"/>
      <c r="F94423"/>
    </row>
    <row r="94424" spans="1:6" x14ac:dyDescent="0.25">
      <c r="A94424"/>
      <c r="B94424"/>
      <c r="C94424"/>
      <c r="E94424"/>
      <c r="F94424"/>
    </row>
    <row r="94425" spans="1:6" x14ac:dyDescent="0.25">
      <c r="A94425"/>
      <c r="B94425"/>
      <c r="C94425"/>
      <c r="E94425"/>
      <c r="F94425"/>
    </row>
    <row r="94426" spans="1:6" x14ac:dyDescent="0.25">
      <c r="A94426"/>
      <c r="B94426"/>
      <c r="C94426"/>
      <c r="E94426"/>
      <c r="F94426"/>
    </row>
    <row r="94427" spans="1:6" x14ac:dyDescent="0.25">
      <c r="A94427"/>
      <c r="B94427"/>
      <c r="C94427"/>
      <c r="E94427"/>
      <c r="F94427"/>
    </row>
    <row r="94428" spans="1:6" x14ac:dyDescent="0.25">
      <c r="A94428"/>
      <c r="B94428"/>
      <c r="C94428"/>
      <c r="E94428"/>
      <c r="F94428"/>
    </row>
    <row r="94429" spans="1:6" x14ac:dyDescent="0.25">
      <c r="A94429"/>
      <c r="B94429"/>
      <c r="C94429"/>
      <c r="E94429"/>
      <c r="F94429"/>
    </row>
    <row r="94430" spans="1:6" x14ac:dyDescent="0.25">
      <c r="A94430"/>
      <c r="B94430"/>
      <c r="C94430"/>
      <c r="E94430"/>
      <c r="F94430"/>
    </row>
    <row r="94431" spans="1:6" x14ac:dyDescent="0.25">
      <c r="A94431"/>
      <c r="B94431"/>
      <c r="C94431"/>
      <c r="E94431"/>
      <c r="F94431"/>
    </row>
    <row r="94432" spans="1:6" x14ac:dyDescent="0.25">
      <c r="A94432"/>
      <c r="B94432"/>
      <c r="C94432"/>
      <c r="E94432"/>
      <c r="F94432"/>
    </row>
    <row r="94433" spans="1:6" x14ac:dyDescent="0.25">
      <c r="A94433"/>
      <c r="B94433"/>
      <c r="C94433"/>
      <c r="E94433"/>
      <c r="F94433"/>
    </row>
    <row r="94434" spans="1:6" x14ac:dyDescent="0.25">
      <c r="A94434"/>
      <c r="B94434"/>
      <c r="C94434"/>
      <c r="E94434"/>
      <c r="F94434"/>
    </row>
    <row r="94435" spans="1:6" x14ac:dyDescent="0.25">
      <c r="A94435"/>
      <c r="B94435"/>
      <c r="C94435"/>
      <c r="E94435"/>
      <c r="F94435"/>
    </row>
    <row r="94436" spans="1:6" x14ac:dyDescent="0.25">
      <c r="A94436"/>
      <c r="B94436"/>
      <c r="C94436"/>
      <c r="E94436"/>
      <c r="F94436"/>
    </row>
    <row r="94437" spans="1:6" x14ac:dyDescent="0.25">
      <c r="A94437"/>
      <c r="B94437"/>
      <c r="C94437"/>
      <c r="E94437"/>
      <c r="F94437"/>
    </row>
    <row r="94438" spans="1:6" x14ac:dyDescent="0.25">
      <c r="A94438"/>
      <c r="B94438"/>
      <c r="C94438"/>
      <c r="E94438"/>
      <c r="F94438"/>
    </row>
    <row r="94439" spans="1:6" x14ac:dyDescent="0.25">
      <c r="A94439"/>
      <c r="B94439"/>
      <c r="C94439"/>
      <c r="E94439"/>
      <c r="F94439"/>
    </row>
    <row r="94440" spans="1:6" x14ac:dyDescent="0.25">
      <c r="A94440"/>
      <c r="B94440"/>
      <c r="C94440"/>
      <c r="E94440"/>
      <c r="F94440"/>
    </row>
    <row r="94441" spans="1:6" x14ac:dyDescent="0.25">
      <c r="A94441"/>
      <c r="B94441"/>
      <c r="C94441"/>
      <c r="E94441"/>
      <c r="F94441"/>
    </row>
    <row r="94442" spans="1:6" x14ac:dyDescent="0.25">
      <c r="A94442"/>
      <c r="B94442"/>
      <c r="C94442"/>
      <c r="E94442"/>
      <c r="F94442"/>
    </row>
    <row r="94443" spans="1:6" x14ac:dyDescent="0.25">
      <c r="A94443"/>
      <c r="B94443"/>
      <c r="C94443"/>
      <c r="E94443"/>
      <c r="F94443"/>
    </row>
    <row r="94444" spans="1:6" x14ac:dyDescent="0.25">
      <c r="A94444"/>
      <c r="B94444"/>
      <c r="C94444"/>
      <c r="E94444"/>
      <c r="F94444"/>
    </row>
    <row r="94445" spans="1:6" x14ac:dyDescent="0.25">
      <c r="A94445"/>
      <c r="B94445"/>
      <c r="C94445"/>
      <c r="E94445"/>
      <c r="F94445"/>
    </row>
    <row r="94446" spans="1:6" x14ac:dyDescent="0.25">
      <c r="A94446"/>
      <c r="B94446"/>
      <c r="C94446"/>
      <c r="E94446"/>
      <c r="F94446"/>
    </row>
    <row r="94447" spans="1:6" x14ac:dyDescent="0.25">
      <c r="A94447"/>
      <c r="B94447"/>
      <c r="C94447"/>
      <c r="E94447"/>
      <c r="F94447"/>
    </row>
    <row r="94448" spans="1:6" x14ac:dyDescent="0.25">
      <c r="A94448"/>
      <c r="B94448"/>
      <c r="C94448"/>
      <c r="E94448"/>
      <c r="F94448"/>
    </row>
    <row r="94449" spans="1:6" x14ac:dyDescent="0.25">
      <c r="A94449"/>
      <c r="B94449"/>
      <c r="C94449"/>
      <c r="E94449"/>
      <c r="F94449"/>
    </row>
    <row r="94450" spans="1:6" x14ac:dyDescent="0.25">
      <c r="A94450"/>
      <c r="B94450"/>
      <c r="C94450"/>
      <c r="E94450"/>
      <c r="F94450"/>
    </row>
    <row r="94451" spans="1:6" x14ac:dyDescent="0.25">
      <c r="A94451"/>
      <c r="B94451"/>
      <c r="C94451"/>
      <c r="E94451"/>
      <c r="F94451"/>
    </row>
    <row r="94452" spans="1:6" x14ac:dyDescent="0.25">
      <c r="A94452"/>
      <c r="B94452"/>
      <c r="C94452"/>
      <c r="E94452"/>
      <c r="F94452"/>
    </row>
    <row r="94453" spans="1:6" x14ac:dyDescent="0.25">
      <c r="A94453"/>
      <c r="B94453"/>
      <c r="C94453"/>
      <c r="E94453"/>
      <c r="F94453"/>
    </row>
    <row r="94454" spans="1:6" x14ac:dyDescent="0.25">
      <c r="A94454"/>
      <c r="B94454"/>
      <c r="C94454"/>
      <c r="E94454"/>
      <c r="F94454"/>
    </row>
    <row r="94455" spans="1:6" x14ac:dyDescent="0.25">
      <c r="A94455"/>
      <c r="B94455"/>
      <c r="C94455"/>
      <c r="E94455"/>
      <c r="F94455"/>
    </row>
    <row r="94456" spans="1:6" x14ac:dyDescent="0.25">
      <c r="A94456"/>
      <c r="B94456"/>
      <c r="C94456"/>
      <c r="E94456"/>
      <c r="F94456"/>
    </row>
    <row r="94457" spans="1:6" x14ac:dyDescent="0.25">
      <c r="A94457"/>
      <c r="B94457"/>
      <c r="C94457"/>
      <c r="E94457"/>
      <c r="F94457"/>
    </row>
    <row r="94458" spans="1:6" x14ac:dyDescent="0.25">
      <c r="A94458"/>
      <c r="B94458"/>
      <c r="C94458"/>
      <c r="E94458"/>
      <c r="F94458"/>
    </row>
    <row r="94459" spans="1:6" x14ac:dyDescent="0.25">
      <c r="A94459"/>
      <c r="B94459"/>
      <c r="C94459"/>
      <c r="E94459"/>
      <c r="F94459"/>
    </row>
    <row r="94460" spans="1:6" x14ac:dyDescent="0.25">
      <c r="A94460"/>
      <c r="B94460"/>
      <c r="C94460"/>
      <c r="E94460"/>
      <c r="F94460"/>
    </row>
    <row r="94461" spans="1:6" x14ac:dyDescent="0.25">
      <c r="A94461"/>
      <c r="B94461"/>
      <c r="C94461"/>
      <c r="E94461"/>
      <c r="F94461"/>
    </row>
    <row r="94462" spans="1:6" x14ac:dyDescent="0.25">
      <c r="A94462"/>
      <c r="B94462"/>
      <c r="C94462"/>
      <c r="E94462"/>
      <c r="F94462"/>
    </row>
    <row r="94463" spans="1:6" x14ac:dyDescent="0.25">
      <c r="A94463"/>
      <c r="B94463"/>
      <c r="C94463"/>
      <c r="E94463"/>
      <c r="F94463"/>
    </row>
    <row r="94464" spans="1:6" x14ac:dyDescent="0.25">
      <c r="A94464"/>
      <c r="B94464"/>
      <c r="C94464"/>
      <c r="E94464"/>
      <c r="F94464"/>
    </row>
    <row r="94465" spans="1:6" x14ac:dyDescent="0.25">
      <c r="A94465"/>
      <c r="B94465"/>
      <c r="C94465"/>
      <c r="E94465"/>
      <c r="F94465"/>
    </row>
    <row r="94466" spans="1:6" x14ac:dyDescent="0.25">
      <c r="A94466"/>
      <c r="B94466"/>
      <c r="C94466"/>
      <c r="E94466"/>
      <c r="F94466"/>
    </row>
    <row r="94467" spans="1:6" x14ac:dyDescent="0.25">
      <c r="A94467"/>
      <c r="B94467"/>
      <c r="C94467"/>
      <c r="E94467"/>
      <c r="F94467"/>
    </row>
    <row r="94468" spans="1:6" x14ac:dyDescent="0.25">
      <c r="A94468"/>
      <c r="B94468"/>
      <c r="C94468"/>
      <c r="E94468"/>
      <c r="F94468"/>
    </row>
    <row r="94469" spans="1:6" x14ac:dyDescent="0.25">
      <c r="A94469"/>
      <c r="B94469"/>
      <c r="C94469"/>
      <c r="E94469"/>
      <c r="F94469"/>
    </row>
    <row r="94470" spans="1:6" x14ac:dyDescent="0.25">
      <c r="A94470"/>
      <c r="B94470"/>
      <c r="C94470"/>
      <c r="E94470"/>
      <c r="F94470"/>
    </row>
    <row r="94471" spans="1:6" x14ac:dyDescent="0.25">
      <c r="A94471"/>
      <c r="B94471"/>
      <c r="C94471"/>
      <c r="E94471"/>
      <c r="F94471"/>
    </row>
    <row r="94472" spans="1:6" x14ac:dyDescent="0.25">
      <c r="A94472"/>
      <c r="B94472"/>
      <c r="C94472"/>
      <c r="E94472"/>
      <c r="F94472"/>
    </row>
    <row r="94473" spans="1:6" x14ac:dyDescent="0.25">
      <c r="A94473"/>
      <c r="B94473"/>
      <c r="C94473"/>
      <c r="E94473"/>
      <c r="F94473"/>
    </row>
    <row r="94474" spans="1:6" x14ac:dyDescent="0.25">
      <c r="A94474"/>
      <c r="B94474"/>
      <c r="C94474"/>
      <c r="E94474"/>
      <c r="F94474"/>
    </row>
    <row r="94475" spans="1:6" x14ac:dyDescent="0.25">
      <c r="A94475"/>
      <c r="B94475"/>
      <c r="C94475"/>
      <c r="E94475"/>
      <c r="F94475"/>
    </row>
    <row r="94476" spans="1:6" x14ac:dyDescent="0.25">
      <c r="A94476"/>
      <c r="B94476"/>
      <c r="C94476"/>
      <c r="E94476"/>
      <c r="F94476"/>
    </row>
    <row r="94477" spans="1:6" x14ac:dyDescent="0.25">
      <c r="A94477"/>
      <c r="B94477"/>
      <c r="C94477"/>
      <c r="E94477"/>
      <c r="F94477"/>
    </row>
    <row r="94478" spans="1:6" x14ac:dyDescent="0.25">
      <c r="A94478"/>
      <c r="B94478"/>
      <c r="C94478"/>
      <c r="E94478"/>
      <c r="F94478"/>
    </row>
    <row r="94479" spans="1:6" x14ac:dyDescent="0.25">
      <c r="A94479"/>
      <c r="B94479"/>
      <c r="C94479"/>
      <c r="E94479"/>
      <c r="F94479"/>
    </row>
    <row r="94480" spans="1:6" x14ac:dyDescent="0.25">
      <c r="A94480"/>
      <c r="B94480"/>
      <c r="C94480"/>
      <c r="E94480"/>
      <c r="F94480"/>
    </row>
    <row r="94481" spans="1:6" x14ac:dyDescent="0.25">
      <c r="A94481"/>
      <c r="B94481"/>
      <c r="C94481"/>
      <c r="E94481"/>
      <c r="F94481"/>
    </row>
    <row r="94482" spans="1:6" x14ac:dyDescent="0.25">
      <c r="A94482"/>
      <c r="B94482"/>
      <c r="C94482"/>
      <c r="E94482"/>
      <c r="F94482"/>
    </row>
    <row r="94483" spans="1:6" x14ac:dyDescent="0.25">
      <c r="A94483"/>
      <c r="B94483"/>
      <c r="C94483"/>
      <c r="E94483"/>
      <c r="F94483"/>
    </row>
    <row r="94484" spans="1:6" x14ac:dyDescent="0.25">
      <c r="A94484"/>
      <c r="B94484"/>
      <c r="C94484"/>
      <c r="E94484"/>
      <c r="F94484"/>
    </row>
    <row r="94485" spans="1:6" x14ac:dyDescent="0.25">
      <c r="A94485"/>
      <c r="B94485"/>
      <c r="C94485"/>
      <c r="E94485"/>
      <c r="F94485"/>
    </row>
    <row r="94486" spans="1:6" x14ac:dyDescent="0.25">
      <c r="A94486"/>
      <c r="B94486"/>
      <c r="C94486"/>
      <c r="E94486"/>
      <c r="F94486"/>
    </row>
    <row r="94487" spans="1:6" x14ac:dyDescent="0.25">
      <c r="A94487"/>
      <c r="B94487"/>
      <c r="C94487"/>
      <c r="E94487"/>
      <c r="F94487"/>
    </row>
    <row r="94488" spans="1:6" x14ac:dyDescent="0.25">
      <c r="A94488"/>
      <c r="B94488"/>
      <c r="C94488"/>
      <c r="E94488"/>
      <c r="F94488"/>
    </row>
    <row r="94489" spans="1:6" x14ac:dyDescent="0.25">
      <c r="A94489"/>
      <c r="B94489"/>
      <c r="C94489"/>
      <c r="E94489"/>
      <c r="F94489"/>
    </row>
    <row r="94490" spans="1:6" x14ac:dyDescent="0.25">
      <c r="A94490"/>
      <c r="B94490"/>
      <c r="C94490"/>
      <c r="E94490"/>
      <c r="F94490"/>
    </row>
    <row r="94491" spans="1:6" x14ac:dyDescent="0.25">
      <c r="A94491"/>
      <c r="B94491"/>
      <c r="C94491"/>
      <c r="E94491"/>
      <c r="F94491"/>
    </row>
    <row r="94492" spans="1:6" x14ac:dyDescent="0.25">
      <c r="A94492"/>
      <c r="B94492"/>
      <c r="C94492"/>
      <c r="E94492"/>
      <c r="F94492"/>
    </row>
    <row r="94493" spans="1:6" x14ac:dyDescent="0.25">
      <c r="A94493"/>
      <c r="B94493"/>
      <c r="C94493"/>
      <c r="E94493"/>
      <c r="F94493"/>
    </row>
    <row r="94494" spans="1:6" x14ac:dyDescent="0.25">
      <c r="A94494"/>
      <c r="B94494"/>
      <c r="C94494"/>
      <c r="E94494"/>
      <c r="F94494"/>
    </row>
    <row r="94495" spans="1:6" x14ac:dyDescent="0.25">
      <c r="A94495"/>
      <c r="B94495"/>
      <c r="C94495"/>
      <c r="E94495"/>
      <c r="F94495"/>
    </row>
    <row r="94496" spans="1:6" x14ac:dyDescent="0.25">
      <c r="A94496"/>
      <c r="B94496"/>
      <c r="C94496"/>
      <c r="E94496"/>
      <c r="F94496"/>
    </row>
    <row r="94497" spans="1:6" x14ac:dyDescent="0.25">
      <c r="A94497"/>
      <c r="B94497"/>
      <c r="C94497"/>
      <c r="E94497"/>
      <c r="F94497"/>
    </row>
    <row r="94498" spans="1:6" x14ac:dyDescent="0.25">
      <c r="A94498"/>
      <c r="B94498"/>
      <c r="C94498"/>
      <c r="E94498"/>
      <c r="F94498"/>
    </row>
    <row r="94499" spans="1:6" x14ac:dyDescent="0.25">
      <c r="A94499"/>
      <c r="B94499"/>
      <c r="C94499"/>
      <c r="E94499"/>
      <c r="F94499"/>
    </row>
    <row r="94500" spans="1:6" x14ac:dyDescent="0.25">
      <c r="A94500"/>
      <c r="B94500"/>
      <c r="C94500"/>
      <c r="E94500"/>
      <c r="F94500"/>
    </row>
    <row r="94501" spans="1:6" x14ac:dyDescent="0.25">
      <c r="A94501"/>
      <c r="B94501"/>
      <c r="C94501"/>
      <c r="E94501"/>
      <c r="F94501"/>
    </row>
    <row r="94502" spans="1:6" x14ac:dyDescent="0.25">
      <c r="A94502"/>
      <c r="B94502"/>
      <c r="C94502"/>
      <c r="E94502"/>
      <c r="F94502"/>
    </row>
    <row r="94503" spans="1:6" x14ac:dyDescent="0.25">
      <c r="A94503"/>
      <c r="B94503"/>
      <c r="C94503"/>
      <c r="E94503"/>
      <c r="F94503"/>
    </row>
    <row r="94504" spans="1:6" x14ac:dyDescent="0.25">
      <c r="A94504"/>
      <c r="B94504"/>
      <c r="C94504"/>
      <c r="E94504"/>
      <c r="F94504"/>
    </row>
    <row r="94505" spans="1:6" x14ac:dyDescent="0.25">
      <c r="A94505"/>
      <c r="B94505"/>
      <c r="C94505"/>
      <c r="E94505"/>
      <c r="F94505"/>
    </row>
    <row r="94506" spans="1:6" x14ac:dyDescent="0.25">
      <c r="A94506"/>
      <c r="B94506"/>
      <c r="C94506"/>
      <c r="E94506"/>
      <c r="F94506"/>
    </row>
    <row r="94507" spans="1:6" x14ac:dyDescent="0.25">
      <c r="A94507"/>
      <c r="B94507"/>
      <c r="C94507"/>
      <c r="E94507"/>
      <c r="F94507"/>
    </row>
    <row r="94508" spans="1:6" x14ac:dyDescent="0.25">
      <c r="A94508"/>
      <c r="B94508"/>
      <c r="C94508"/>
      <c r="E94508"/>
      <c r="F94508"/>
    </row>
    <row r="94509" spans="1:6" x14ac:dyDescent="0.25">
      <c r="A94509"/>
      <c r="B94509"/>
      <c r="C94509"/>
      <c r="E94509"/>
      <c r="F94509"/>
    </row>
    <row r="94510" spans="1:6" x14ac:dyDescent="0.25">
      <c r="A94510"/>
      <c r="B94510"/>
      <c r="C94510"/>
      <c r="E94510"/>
      <c r="F94510"/>
    </row>
    <row r="94511" spans="1:6" x14ac:dyDescent="0.25">
      <c r="A94511"/>
      <c r="B94511"/>
      <c r="C94511"/>
      <c r="E94511"/>
      <c r="F94511"/>
    </row>
    <row r="94512" spans="1:6" x14ac:dyDescent="0.25">
      <c r="A94512"/>
      <c r="B94512"/>
      <c r="C94512"/>
      <c r="E94512"/>
      <c r="F94512"/>
    </row>
    <row r="94513" spans="1:6" x14ac:dyDescent="0.25">
      <c r="A94513"/>
      <c r="B94513"/>
      <c r="C94513"/>
      <c r="E94513"/>
      <c r="F94513"/>
    </row>
    <row r="94514" spans="1:6" x14ac:dyDescent="0.25">
      <c r="A94514"/>
      <c r="B94514"/>
      <c r="C94514"/>
      <c r="E94514"/>
      <c r="F94514"/>
    </row>
    <row r="94515" spans="1:6" x14ac:dyDescent="0.25">
      <c r="A94515"/>
      <c r="B94515"/>
      <c r="C94515"/>
      <c r="E94515"/>
      <c r="F94515"/>
    </row>
    <row r="94516" spans="1:6" x14ac:dyDescent="0.25">
      <c r="A94516"/>
      <c r="B94516"/>
      <c r="C94516"/>
      <c r="E94516"/>
      <c r="F94516"/>
    </row>
    <row r="94517" spans="1:6" x14ac:dyDescent="0.25">
      <c r="A94517"/>
      <c r="B94517"/>
      <c r="C94517"/>
      <c r="E94517"/>
      <c r="F94517"/>
    </row>
    <row r="94518" spans="1:6" x14ac:dyDescent="0.25">
      <c r="A94518"/>
      <c r="B94518"/>
      <c r="C94518"/>
      <c r="E94518"/>
      <c r="F94518"/>
    </row>
    <row r="94519" spans="1:6" x14ac:dyDescent="0.25">
      <c r="A94519"/>
      <c r="B94519"/>
      <c r="C94519"/>
      <c r="E94519"/>
      <c r="F94519"/>
    </row>
    <row r="94520" spans="1:6" x14ac:dyDescent="0.25">
      <c r="A94520"/>
      <c r="B94520"/>
      <c r="C94520"/>
      <c r="E94520"/>
      <c r="F94520"/>
    </row>
    <row r="94521" spans="1:6" x14ac:dyDescent="0.25">
      <c r="A94521"/>
      <c r="B94521"/>
      <c r="C94521"/>
      <c r="E94521"/>
      <c r="F94521"/>
    </row>
    <row r="94522" spans="1:6" x14ac:dyDescent="0.25">
      <c r="A94522"/>
      <c r="B94522"/>
      <c r="C94522"/>
      <c r="E94522"/>
      <c r="F94522"/>
    </row>
    <row r="94523" spans="1:6" x14ac:dyDescent="0.25">
      <c r="A94523"/>
      <c r="B94523"/>
      <c r="C94523"/>
      <c r="E94523"/>
      <c r="F94523"/>
    </row>
    <row r="94524" spans="1:6" x14ac:dyDescent="0.25">
      <c r="A94524"/>
      <c r="B94524"/>
      <c r="C94524"/>
      <c r="E94524"/>
      <c r="F94524"/>
    </row>
    <row r="94525" spans="1:6" x14ac:dyDescent="0.25">
      <c r="A94525"/>
      <c r="B94525"/>
      <c r="C94525"/>
      <c r="E94525"/>
      <c r="F94525"/>
    </row>
    <row r="94526" spans="1:6" x14ac:dyDescent="0.25">
      <c r="A94526"/>
      <c r="B94526"/>
      <c r="C94526"/>
      <c r="E94526"/>
      <c r="F94526"/>
    </row>
    <row r="94527" spans="1:6" x14ac:dyDescent="0.25">
      <c r="A94527"/>
      <c r="B94527"/>
      <c r="C94527"/>
      <c r="E94527"/>
      <c r="F94527"/>
    </row>
    <row r="94528" spans="1:6" x14ac:dyDescent="0.25">
      <c r="A94528"/>
      <c r="B94528"/>
      <c r="C94528"/>
      <c r="E94528"/>
      <c r="F94528"/>
    </row>
    <row r="94529" spans="1:6" x14ac:dyDescent="0.25">
      <c r="A94529"/>
      <c r="B94529"/>
      <c r="C94529"/>
      <c r="E94529"/>
      <c r="F94529"/>
    </row>
    <row r="94530" spans="1:6" x14ac:dyDescent="0.25">
      <c r="A94530"/>
      <c r="B94530"/>
      <c r="C94530"/>
      <c r="E94530"/>
      <c r="F94530"/>
    </row>
    <row r="94531" spans="1:6" x14ac:dyDescent="0.25">
      <c r="A94531"/>
      <c r="B94531"/>
      <c r="C94531"/>
      <c r="E94531"/>
      <c r="F94531"/>
    </row>
    <row r="94532" spans="1:6" x14ac:dyDescent="0.25">
      <c r="A94532"/>
      <c r="B94532"/>
      <c r="C94532"/>
      <c r="E94532"/>
      <c r="F94532"/>
    </row>
    <row r="94533" spans="1:6" x14ac:dyDescent="0.25">
      <c r="A94533"/>
      <c r="B94533"/>
      <c r="C94533"/>
      <c r="E94533"/>
      <c r="F94533"/>
    </row>
    <row r="94534" spans="1:6" x14ac:dyDescent="0.25">
      <c r="A94534"/>
      <c r="B94534"/>
      <c r="C94534"/>
      <c r="E94534"/>
      <c r="F94534"/>
    </row>
    <row r="94535" spans="1:6" x14ac:dyDescent="0.25">
      <c r="A94535"/>
      <c r="B94535"/>
      <c r="C94535"/>
      <c r="E94535"/>
      <c r="F94535"/>
    </row>
    <row r="94536" spans="1:6" x14ac:dyDescent="0.25">
      <c r="A94536"/>
      <c r="B94536"/>
      <c r="C94536"/>
      <c r="E94536"/>
      <c r="F94536"/>
    </row>
    <row r="94537" spans="1:6" x14ac:dyDescent="0.25">
      <c r="A94537"/>
      <c r="B94537"/>
      <c r="C94537"/>
      <c r="E94537"/>
      <c r="F94537"/>
    </row>
    <row r="94538" spans="1:6" x14ac:dyDescent="0.25">
      <c r="A94538"/>
      <c r="B94538"/>
      <c r="C94538"/>
      <c r="E94538"/>
      <c r="F94538"/>
    </row>
    <row r="94539" spans="1:6" x14ac:dyDescent="0.25">
      <c r="A94539"/>
      <c r="B94539"/>
      <c r="C94539"/>
      <c r="E94539"/>
      <c r="F94539"/>
    </row>
    <row r="94540" spans="1:6" x14ac:dyDescent="0.25">
      <c r="A94540"/>
      <c r="B94540"/>
      <c r="C94540"/>
      <c r="E94540"/>
      <c r="F94540"/>
    </row>
    <row r="94541" spans="1:6" x14ac:dyDescent="0.25">
      <c r="A94541"/>
      <c r="B94541"/>
      <c r="C94541"/>
      <c r="E94541"/>
      <c r="F94541"/>
    </row>
    <row r="94542" spans="1:6" x14ac:dyDescent="0.25">
      <c r="A94542"/>
      <c r="B94542"/>
      <c r="C94542"/>
      <c r="E94542"/>
      <c r="F94542"/>
    </row>
    <row r="94543" spans="1:6" x14ac:dyDescent="0.25">
      <c r="A94543"/>
      <c r="B94543"/>
      <c r="C94543"/>
      <c r="E94543"/>
      <c r="F94543"/>
    </row>
    <row r="94544" spans="1:6" x14ac:dyDescent="0.25">
      <c r="A94544"/>
      <c r="B94544"/>
      <c r="C94544"/>
      <c r="E94544"/>
      <c r="F94544"/>
    </row>
    <row r="94545" spans="1:6" x14ac:dyDescent="0.25">
      <c r="A94545"/>
      <c r="B94545"/>
      <c r="C94545"/>
      <c r="E94545"/>
      <c r="F94545"/>
    </row>
    <row r="94546" spans="1:6" x14ac:dyDescent="0.25">
      <c r="A94546"/>
      <c r="B94546"/>
      <c r="C94546"/>
      <c r="E94546"/>
      <c r="F94546"/>
    </row>
    <row r="94547" spans="1:6" x14ac:dyDescent="0.25">
      <c r="A94547"/>
      <c r="B94547"/>
      <c r="C94547"/>
      <c r="E94547"/>
      <c r="F94547"/>
    </row>
    <row r="94548" spans="1:6" x14ac:dyDescent="0.25">
      <c r="A94548"/>
      <c r="B94548"/>
      <c r="C94548"/>
      <c r="E94548"/>
      <c r="F94548"/>
    </row>
    <row r="94549" spans="1:6" x14ac:dyDescent="0.25">
      <c r="A94549"/>
      <c r="B94549"/>
      <c r="C94549"/>
      <c r="E94549"/>
      <c r="F94549"/>
    </row>
    <row r="94550" spans="1:6" x14ac:dyDescent="0.25">
      <c r="A94550"/>
      <c r="B94550"/>
      <c r="C94550"/>
      <c r="E94550"/>
      <c r="F94550"/>
    </row>
    <row r="94551" spans="1:6" x14ac:dyDescent="0.25">
      <c r="A94551"/>
      <c r="B94551"/>
      <c r="C94551"/>
      <c r="E94551"/>
      <c r="F94551"/>
    </row>
    <row r="94552" spans="1:6" x14ac:dyDescent="0.25">
      <c r="A94552"/>
      <c r="B94552"/>
      <c r="C94552"/>
      <c r="E94552"/>
      <c r="F94552"/>
    </row>
    <row r="94553" spans="1:6" x14ac:dyDescent="0.25">
      <c r="A94553"/>
      <c r="B94553"/>
      <c r="C94553"/>
      <c r="E94553"/>
      <c r="F94553"/>
    </row>
    <row r="94554" spans="1:6" x14ac:dyDescent="0.25">
      <c r="A94554"/>
      <c r="B94554"/>
      <c r="C94554"/>
      <c r="E94554"/>
      <c r="F94554"/>
    </row>
    <row r="94555" spans="1:6" x14ac:dyDescent="0.25">
      <c r="A94555"/>
      <c r="B94555"/>
      <c r="C94555"/>
      <c r="E94555"/>
      <c r="F94555"/>
    </row>
    <row r="94556" spans="1:6" x14ac:dyDescent="0.25">
      <c r="A94556"/>
      <c r="B94556"/>
      <c r="C94556"/>
      <c r="E94556"/>
      <c r="F94556"/>
    </row>
    <row r="94557" spans="1:6" x14ac:dyDescent="0.25">
      <c r="A94557"/>
      <c r="B94557"/>
      <c r="C94557"/>
      <c r="E94557"/>
      <c r="F94557"/>
    </row>
    <row r="94558" spans="1:6" x14ac:dyDescent="0.25">
      <c r="A94558"/>
      <c r="B94558"/>
      <c r="C94558"/>
      <c r="E94558"/>
      <c r="F94558"/>
    </row>
    <row r="94559" spans="1:6" x14ac:dyDescent="0.25">
      <c r="A94559"/>
      <c r="B94559"/>
      <c r="C94559"/>
      <c r="E94559"/>
      <c r="F94559"/>
    </row>
    <row r="94560" spans="1:6" x14ac:dyDescent="0.25">
      <c r="A94560"/>
      <c r="B94560"/>
      <c r="C94560"/>
      <c r="E94560"/>
      <c r="F94560"/>
    </row>
    <row r="94561" spans="1:6" x14ac:dyDescent="0.25">
      <c r="A94561"/>
      <c r="B94561"/>
      <c r="C94561"/>
      <c r="E94561"/>
      <c r="F94561"/>
    </row>
    <row r="94562" spans="1:6" x14ac:dyDescent="0.25">
      <c r="A94562"/>
      <c r="B94562"/>
      <c r="C94562"/>
      <c r="E94562"/>
      <c r="F94562"/>
    </row>
    <row r="94563" spans="1:6" x14ac:dyDescent="0.25">
      <c r="A94563"/>
      <c r="B94563"/>
      <c r="C94563"/>
      <c r="E94563"/>
      <c r="F94563"/>
    </row>
    <row r="94564" spans="1:6" x14ac:dyDescent="0.25">
      <c r="A94564"/>
      <c r="B94564"/>
      <c r="C94564"/>
      <c r="E94564"/>
      <c r="F94564"/>
    </row>
    <row r="94565" spans="1:6" x14ac:dyDescent="0.25">
      <c r="A94565"/>
      <c r="B94565"/>
      <c r="C94565"/>
      <c r="E94565"/>
      <c r="F94565"/>
    </row>
    <row r="94566" spans="1:6" x14ac:dyDescent="0.25">
      <c r="A94566"/>
      <c r="B94566"/>
      <c r="C94566"/>
      <c r="E94566"/>
      <c r="F94566"/>
    </row>
    <row r="94567" spans="1:6" x14ac:dyDescent="0.25">
      <c r="A94567"/>
      <c r="B94567"/>
      <c r="C94567"/>
      <c r="E94567"/>
      <c r="F94567"/>
    </row>
    <row r="94568" spans="1:6" x14ac:dyDescent="0.25">
      <c r="A94568"/>
      <c r="B94568"/>
      <c r="C94568"/>
      <c r="E94568"/>
      <c r="F94568"/>
    </row>
    <row r="94569" spans="1:6" x14ac:dyDescent="0.25">
      <c r="A94569"/>
      <c r="B94569"/>
      <c r="C94569"/>
      <c r="E94569"/>
      <c r="F94569"/>
    </row>
    <row r="94570" spans="1:6" x14ac:dyDescent="0.25">
      <c r="A94570"/>
      <c r="B94570"/>
      <c r="C94570"/>
      <c r="E94570"/>
      <c r="F94570"/>
    </row>
    <row r="94571" spans="1:6" x14ac:dyDescent="0.25">
      <c r="A94571"/>
      <c r="B94571"/>
      <c r="C94571"/>
      <c r="E94571"/>
      <c r="F94571"/>
    </row>
    <row r="94572" spans="1:6" x14ac:dyDescent="0.25">
      <c r="A94572"/>
      <c r="B94572"/>
      <c r="C94572"/>
      <c r="E94572"/>
      <c r="F94572"/>
    </row>
    <row r="94573" spans="1:6" x14ac:dyDescent="0.25">
      <c r="A94573"/>
      <c r="B94573"/>
      <c r="C94573"/>
      <c r="E94573"/>
      <c r="F94573"/>
    </row>
    <row r="94574" spans="1:6" x14ac:dyDescent="0.25">
      <c r="A94574"/>
      <c r="B94574"/>
      <c r="C94574"/>
      <c r="E94574"/>
      <c r="F94574"/>
    </row>
    <row r="94575" spans="1:6" x14ac:dyDescent="0.25">
      <c r="A94575"/>
      <c r="B94575"/>
      <c r="C94575"/>
      <c r="E94575"/>
      <c r="F94575"/>
    </row>
    <row r="94576" spans="1:6" x14ac:dyDescent="0.25">
      <c r="A94576"/>
      <c r="B94576"/>
      <c r="C94576"/>
      <c r="E94576"/>
      <c r="F94576"/>
    </row>
    <row r="94577" spans="1:6" x14ac:dyDescent="0.25">
      <c r="A94577"/>
      <c r="B94577"/>
      <c r="C94577"/>
      <c r="E94577"/>
      <c r="F94577"/>
    </row>
    <row r="94578" spans="1:6" x14ac:dyDescent="0.25">
      <c r="A94578"/>
      <c r="B94578"/>
      <c r="C94578"/>
      <c r="E94578"/>
      <c r="F94578"/>
    </row>
    <row r="94579" spans="1:6" x14ac:dyDescent="0.25">
      <c r="A94579"/>
      <c r="B94579"/>
      <c r="C94579"/>
      <c r="E94579"/>
      <c r="F94579"/>
    </row>
    <row r="94580" spans="1:6" x14ac:dyDescent="0.25">
      <c r="A94580"/>
      <c r="B94580"/>
      <c r="C94580"/>
      <c r="E94580"/>
      <c r="F94580"/>
    </row>
    <row r="94581" spans="1:6" x14ac:dyDescent="0.25">
      <c r="A94581"/>
      <c r="B94581"/>
      <c r="C94581"/>
      <c r="E94581"/>
      <c r="F94581"/>
    </row>
    <row r="94582" spans="1:6" x14ac:dyDescent="0.25">
      <c r="A94582"/>
      <c r="B94582"/>
      <c r="C94582"/>
      <c r="E94582"/>
      <c r="F94582"/>
    </row>
    <row r="94583" spans="1:6" x14ac:dyDescent="0.25">
      <c r="A94583"/>
      <c r="B94583"/>
      <c r="C94583"/>
      <c r="E94583"/>
      <c r="F94583"/>
    </row>
    <row r="94584" spans="1:6" x14ac:dyDescent="0.25">
      <c r="A94584"/>
      <c r="B94584"/>
      <c r="C94584"/>
      <c r="E94584"/>
      <c r="F94584"/>
    </row>
    <row r="94585" spans="1:6" x14ac:dyDescent="0.25">
      <c r="A94585"/>
      <c r="B94585"/>
      <c r="C94585"/>
      <c r="E94585"/>
      <c r="F94585"/>
    </row>
    <row r="94586" spans="1:6" x14ac:dyDescent="0.25">
      <c r="A94586"/>
      <c r="B94586"/>
      <c r="C94586"/>
      <c r="E94586"/>
      <c r="F94586"/>
    </row>
    <row r="94587" spans="1:6" x14ac:dyDescent="0.25">
      <c r="A94587"/>
      <c r="B94587"/>
      <c r="C94587"/>
      <c r="E94587"/>
      <c r="F94587"/>
    </row>
    <row r="94588" spans="1:6" x14ac:dyDescent="0.25">
      <c r="A94588"/>
      <c r="B94588"/>
      <c r="C94588"/>
      <c r="E94588"/>
      <c r="F94588"/>
    </row>
    <row r="94589" spans="1:6" x14ac:dyDescent="0.25">
      <c r="A94589"/>
      <c r="B94589"/>
      <c r="C94589"/>
      <c r="E94589"/>
      <c r="F94589"/>
    </row>
    <row r="94590" spans="1:6" x14ac:dyDescent="0.25">
      <c r="A94590"/>
      <c r="B94590"/>
      <c r="C94590"/>
      <c r="E94590"/>
      <c r="F94590"/>
    </row>
    <row r="94591" spans="1:6" x14ac:dyDescent="0.25">
      <c r="A94591"/>
      <c r="B94591"/>
      <c r="C94591"/>
      <c r="E94591"/>
      <c r="F94591"/>
    </row>
    <row r="94592" spans="1:6" x14ac:dyDescent="0.25">
      <c r="A94592"/>
      <c r="B94592"/>
      <c r="C94592"/>
      <c r="E94592"/>
      <c r="F94592"/>
    </row>
    <row r="94593" spans="1:6" x14ac:dyDescent="0.25">
      <c r="A94593"/>
      <c r="B94593"/>
      <c r="C94593"/>
      <c r="E94593"/>
      <c r="F94593"/>
    </row>
    <row r="94594" spans="1:6" x14ac:dyDescent="0.25">
      <c r="A94594"/>
      <c r="B94594"/>
      <c r="C94594"/>
      <c r="E94594"/>
      <c r="F94594"/>
    </row>
    <row r="94595" spans="1:6" x14ac:dyDescent="0.25">
      <c r="A94595"/>
      <c r="B94595"/>
      <c r="C94595"/>
      <c r="E94595"/>
      <c r="F94595"/>
    </row>
    <row r="94596" spans="1:6" x14ac:dyDescent="0.25">
      <c r="A94596"/>
      <c r="B94596"/>
      <c r="C94596"/>
      <c r="E94596"/>
      <c r="F94596"/>
    </row>
    <row r="94597" spans="1:6" x14ac:dyDescent="0.25">
      <c r="A94597"/>
      <c r="B94597"/>
      <c r="C94597"/>
      <c r="E94597"/>
      <c r="F94597"/>
    </row>
    <row r="94598" spans="1:6" x14ac:dyDescent="0.25">
      <c r="A94598"/>
      <c r="B94598"/>
      <c r="C94598"/>
      <c r="E94598"/>
      <c r="F94598"/>
    </row>
    <row r="94599" spans="1:6" x14ac:dyDescent="0.25">
      <c r="A94599"/>
      <c r="B94599"/>
      <c r="C94599"/>
      <c r="E94599"/>
      <c r="F94599"/>
    </row>
    <row r="94600" spans="1:6" x14ac:dyDescent="0.25">
      <c r="A94600"/>
      <c r="B94600"/>
      <c r="C94600"/>
      <c r="E94600"/>
      <c r="F94600"/>
    </row>
    <row r="94601" spans="1:6" x14ac:dyDescent="0.25">
      <c r="A94601"/>
      <c r="B94601"/>
      <c r="C94601"/>
      <c r="E94601"/>
      <c r="F94601"/>
    </row>
    <row r="94602" spans="1:6" x14ac:dyDescent="0.25">
      <c r="A94602"/>
      <c r="B94602"/>
      <c r="C94602"/>
      <c r="E94602"/>
      <c r="F94602"/>
    </row>
    <row r="94603" spans="1:6" x14ac:dyDescent="0.25">
      <c r="A94603"/>
      <c r="B94603"/>
      <c r="C94603"/>
      <c r="E94603"/>
      <c r="F94603"/>
    </row>
    <row r="94604" spans="1:6" x14ac:dyDescent="0.25">
      <c r="A94604"/>
      <c r="B94604"/>
      <c r="C94604"/>
      <c r="E94604"/>
      <c r="F94604"/>
    </row>
    <row r="94605" spans="1:6" x14ac:dyDescent="0.25">
      <c r="A94605"/>
      <c r="B94605"/>
      <c r="C94605"/>
      <c r="E94605"/>
      <c r="F94605"/>
    </row>
    <row r="94606" spans="1:6" x14ac:dyDescent="0.25">
      <c r="A94606"/>
      <c r="B94606"/>
      <c r="C94606"/>
      <c r="E94606"/>
      <c r="F94606"/>
    </row>
    <row r="94607" spans="1:6" x14ac:dyDescent="0.25">
      <c r="A94607"/>
      <c r="B94607"/>
      <c r="C94607"/>
      <c r="E94607"/>
      <c r="F94607"/>
    </row>
    <row r="94608" spans="1:6" x14ac:dyDescent="0.25">
      <c r="A94608"/>
      <c r="B94608"/>
      <c r="C94608"/>
      <c r="E94608"/>
      <c r="F94608"/>
    </row>
    <row r="94609" spans="1:6" x14ac:dyDescent="0.25">
      <c r="A94609"/>
      <c r="B94609"/>
      <c r="C94609"/>
      <c r="E94609"/>
      <c r="F94609"/>
    </row>
    <row r="94610" spans="1:6" x14ac:dyDescent="0.25">
      <c r="A94610"/>
      <c r="B94610"/>
      <c r="C94610"/>
      <c r="E94610"/>
      <c r="F94610"/>
    </row>
    <row r="94611" spans="1:6" x14ac:dyDescent="0.25">
      <c r="A94611"/>
      <c r="B94611"/>
      <c r="C94611"/>
      <c r="E94611"/>
      <c r="F94611"/>
    </row>
    <row r="94612" spans="1:6" x14ac:dyDescent="0.25">
      <c r="A94612"/>
      <c r="B94612"/>
      <c r="C94612"/>
      <c r="E94612"/>
      <c r="F94612"/>
    </row>
    <row r="94613" spans="1:6" x14ac:dyDescent="0.25">
      <c r="A94613"/>
      <c r="B94613"/>
      <c r="C94613"/>
      <c r="E94613"/>
      <c r="F94613"/>
    </row>
    <row r="94614" spans="1:6" x14ac:dyDescent="0.25">
      <c r="A94614"/>
      <c r="B94614"/>
      <c r="C94614"/>
      <c r="E94614"/>
      <c r="F94614"/>
    </row>
    <row r="94615" spans="1:6" x14ac:dyDescent="0.25">
      <c r="A94615"/>
      <c r="B94615"/>
      <c r="C94615"/>
      <c r="E94615"/>
      <c r="F94615"/>
    </row>
    <row r="94616" spans="1:6" x14ac:dyDescent="0.25">
      <c r="A94616"/>
      <c r="B94616"/>
      <c r="C94616"/>
      <c r="E94616"/>
      <c r="F94616"/>
    </row>
    <row r="94617" spans="1:6" x14ac:dyDescent="0.25">
      <c r="A94617"/>
      <c r="B94617"/>
      <c r="C94617"/>
      <c r="E94617"/>
      <c r="F94617"/>
    </row>
    <row r="94618" spans="1:6" x14ac:dyDescent="0.25">
      <c r="A94618"/>
      <c r="B94618"/>
      <c r="C94618"/>
      <c r="E94618"/>
      <c r="F94618"/>
    </row>
    <row r="94619" spans="1:6" x14ac:dyDescent="0.25">
      <c r="A94619"/>
      <c r="B94619"/>
      <c r="C94619"/>
      <c r="E94619"/>
      <c r="F94619"/>
    </row>
    <row r="94620" spans="1:6" x14ac:dyDescent="0.25">
      <c r="A94620"/>
      <c r="B94620"/>
      <c r="C94620"/>
      <c r="E94620"/>
      <c r="F94620"/>
    </row>
    <row r="94621" spans="1:6" x14ac:dyDescent="0.25">
      <c r="A94621"/>
      <c r="B94621"/>
      <c r="C94621"/>
      <c r="E94621"/>
      <c r="F94621"/>
    </row>
    <row r="94622" spans="1:6" x14ac:dyDescent="0.25">
      <c r="A94622"/>
      <c r="B94622"/>
      <c r="C94622"/>
      <c r="E94622"/>
      <c r="F94622"/>
    </row>
    <row r="94623" spans="1:6" x14ac:dyDescent="0.25">
      <c r="A94623"/>
      <c r="B94623"/>
      <c r="C94623"/>
      <c r="E94623"/>
      <c r="F94623"/>
    </row>
    <row r="94624" spans="1:6" x14ac:dyDescent="0.25">
      <c r="A94624"/>
      <c r="B94624"/>
      <c r="C94624"/>
      <c r="E94624"/>
      <c r="F94624"/>
    </row>
    <row r="94625" spans="1:6" x14ac:dyDescent="0.25">
      <c r="A94625"/>
      <c r="B94625"/>
      <c r="C94625"/>
      <c r="E94625"/>
      <c r="F94625"/>
    </row>
    <row r="94626" spans="1:6" x14ac:dyDescent="0.25">
      <c r="A94626"/>
      <c r="B94626"/>
      <c r="C94626"/>
      <c r="E94626"/>
      <c r="F94626"/>
    </row>
    <row r="94627" spans="1:6" x14ac:dyDescent="0.25">
      <c r="A94627"/>
      <c r="B94627"/>
      <c r="C94627"/>
      <c r="E94627"/>
      <c r="F94627"/>
    </row>
    <row r="94628" spans="1:6" x14ac:dyDescent="0.25">
      <c r="A94628"/>
      <c r="B94628"/>
      <c r="C94628"/>
      <c r="E94628"/>
      <c r="F94628"/>
    </row>
    <row r="94629" spans="1:6" x14ac:dyDescent="0.25">
      <c r="A94629"/>
      <c r="B94629"/>
      <c r="C94629"/>
      <c r="E94629"/>
      <c r="F94629"/>
    </row>
    <row r="94630" spans="1:6" x14ac:dyDescent="0.25">
      <c r="A94630"/>
      <c r="B94630"/>
      <c r="C94630"/>
      <c r="E94630"/>
      <c r="F94630"/>
    </row>
    <row r="94631" spans="1:6" x14ac:dyDescent="0.25">
      <c r="A94631"/>
      <c r="B94631"/>
      <c r="C94631"/>
      <c r="E94631"/>
      <c r="F94631"/>
    </row>
    <row r="94632" spans="1:6" x14ac:dyDescent="0.25">
      <c r="A94632"/>
      <c r="B94632"/>
      <c r="C94632"/>
      <c r="E94632"/>
      <c r="F94632"/>
    </row>
    <row r="94633" spans="1:6" x14ac:dyDescent="0.25">
      <c r="A94633"/>
      <c r="B94633"/>
      <c r="C94633"/>
      <c r="E94633"/>
      <c r="F94633"/>
    </row>
    <row r="94634" spans="1:6" x14ac:dyDescent="0.25">
      <c r="A94634"/>
      <c r="B94634"/>
      <c r="C94634"/>
      <c r="E94634"/>
      <c r="F94634"/>
    </row>
    <row r="94635" spans="1:6" x14ac:dyDescent="0.25">
      <c r="A94635"/>
      <c r="B94635"/>
      <c r="C94635"/>
      <c r="E94635"/>
      <c r="F94635"/>
    </row>
    <row r="94636" spans="1:6" x14ac:dyDescent="0.25">
      <c r="A94636"/>
      <c r="B94636"/>
      <c r="C94636"/>
      <c r="E94636"/>
      <c r="F94636"/>
    </row>
    <row r="94637" spans="1:6" x14ac:dyDescent="0.25">
      <c r="A94637"/>
      <c r="B94637"/>
      <c r="C94637"/>
      <c r="E94637"/>
      <c r="F94637"/>
    </row>
    <row r="94638" spans="1:6" x14ac:dyDescent="0.25">
      <c r="A94638"/>
      <c r="B94638"/>
      <c r="C94638"/>
      <c r="E94638"/>
      <c r="F94638"/>
    </row>
    <row r="94639" spans="1:6" x14ac:dyDescent="0.25">
      <c r="A94639"/>
      <c r="B94639"/>
      <c r="C94639"/>
      <c r="E94639"/>
      <c r="F94639"/>
    </row>
    <row r="94640" spans="1:6" x14ac:dyDescent="0.25">
      <c r="A94640"/>
      <c r="B94640"/>
      <c r="C94640"/>
      <c r="E94640"/>
      <c r="F94640"/>
    </row>
    <row r="94641" spans="1:6" x14ac:dyDescent="0.25">
      <c r="A94641"/>
      <c r="B94641"/>
      <c r="C94641"/>
      <c r="E94641"/>
      <c r="F94641"/>
    </row>
    <row r="94642" spans="1:6" x14ac:dyDescent="0.25">
      <c r="A94642"/>
      <c r="B94642"/>
      <c r="C94642"/>
      <c r="E94642"/>
      <c r="F94642"/>
    </row>
    <row r="94643" spans="1:6" x14ac:dyDescent="0.25">
      <c r="A94643"/>
      <c r="B94643"/>
      <c r="C94643"/>
      <c r="E94643"/>
      <c r="F94643"/>
    </row>
    <row r="94644" spans="1:6" x14ac:dyDescent="0.25">
      <c r="A94644"/>
      <c r="B94644"/>
      <c r="C94644"/>
      <c r="E94644"/>
      <c r="F94644"/>
    </row>
    <row r="94645" spans="1:6" x14ac:dyDescent="0.25">
      <c r="A94645"/>
      <c r="B94645"/>
      <c r="C94645"/>
      <c r="E94645"/>
      <c r="F94645"/>
    </row>
    <row r="94646" spans="1:6" x14ac:dyDescent="0.25">
      <c r="A94646"/>
      <c r="B94646"/>
      <c r="C94646"/>
      <c r="E94646"/>
      <c r="F94646"/>
    </row>
    <row r="94647" spans="1:6" x14ac:dyDescent="0.25">
      <c r="A94647"/>
      <c r="B94647"/>
      <c r="C94647"/>
      <c r="E94647"/>
      <c r="F94647"/>
    </row>
    <row r="94648" spans="1:6" x14ac:dyDescent="0.25">
      <c r="A94648"/>
      <c r="B94648"/>
      <c r="C94648"/>
      <c r="E94648"/>
      <c r="F94648"/>
    </row>
    <row r="94649" spans="1:6" x14ac:dyDescent="0.25">
      <c r="A94649"/>
      <c r="B94649"/>
      <c r="C94649"/>
      <c r="E94649"/>
      <c r="F94649"/>
    </row>
    <row r="94650" spans="1:6" x14ac:dyDescent="0.25">
      <c r="A94650"/>
      <c r="B94650"/>
      <c r="C94650"/>
      <c r="E94650"/>
      <c r="F94650"/>
    </row>
    <row r="94651" spans="1:6" x14ac:dyDescent="0.25">
      <c r="A94651"/>
      <c r="B94651"/>
      <c r="C94651"/>
      <c r="E94651"/>
      <c r="F94651"/>
    </row>
    <row r="94652" spans="1:6" x14ac:dyDescent="0.25">
      <c r="A94652"/>
      <c r="B94652"/>
      <c r="C94652"/>
      <c r="E94652"/>
      <c r="F94652"/>
    </row>
    <row r="94653" spans="1:6" x14ac:dyDescent="0.25">
      <c r="A94653"/>
      <c r="B94653"/>
      <c r="C94653"/>
      <c r="E94653"/>
      <c r="F94653"/>
    </row>
    <row r="94654" spans="1:6" x14ac:dyDescent="0.25">
      <c r="A94654"/>
      <c r="B94654"/>
      <c r="C94654"/>
      <c r="E94654"/>
      <c r="F94654"/>
    </row>
    <row r="94655" spans="1:6" x14ac:dyDescent="0.25">
      <c r="A94655"/>
      <c r="B94655"/>
      <c r="C94655"/>
      <c r="E94655"/>
      <c r="F94655"/>
    </row>
    <row r="94656" spans="1:6" x14ac:dyDescent="0.25">
      <c r="A94656"/>
      <c r="B94656"/>
      <c r="C94656"/>
      <c r="E94656"/>
      <c r="F94656"/>
    </row>
    <row r="94657" spans="1:6" x14ac:dyDescent="0.25">
      <c r="A94657"/>
      <c r="B94657"/>
      <c r="C94657"/>
      <c r="E94657"/>
      <c r="F94657"/>
    </row>
    <row r="94658" spans="1:6" x14ac:dyDescent="0.25">
      <c r="A94658"/>
      <c r="B94658"/>
      <c r="C94658"/>
      <c r="E94658"/>
      <c r="F94658"/>
    </row>
    <row r="94659" spans="1:6" x14ac:dyDescent="0.25">
      <c r="A94659"/>
      <c r="B94659"/>
      <c r="C94659"/>
      <c r="E94659"/>
      <c r="F94659"/>
    </row>
    <row r="94660" spans="1:6" x14ac:dyDescent="0.25">
      <c r="A94660"/>
      <c r="B94660"/>
      <c r="C94660"/>
      <c r="E94660"/>
      <c r="F94660"/>
    </row>
    <row r="94661" spans="1:6" x14ac:dyDescent="0.25">
      <c r="A94661"/>
      <c r="B94661"/>
      <c r="C94661"/>
      <c r="E94661"/>
      <c r="F94661"/>
    </row>
    <row r="94662" spans="1:6" x14ac:dyDescent="0.25">
      <c r="A94662"/>
      <c r="B94662"/>
      <c r="C94662"/>
      <c r="E94662"/>
      <c r="F94662"/>
    </row>
    <row r="94663" spans="1:6" x14ac:dyDescent="0.25">
      <c r="A94663"/>
      <c r="B94663"/>
      <c r="C94663"/>
      <c r="E94663"/>
      <c r="F94663"/>
    </row>
    <row r="94664" spans="1:6" x14ac:dyDescent="0.25">
      <c r="A94664"/>
      <c r="B94664"/>
      <c r="C94664"/>
      <c r="E94664"/>
      <c r="F94664"/>
    </row>
    <row r="94665" spans="1:6" x14ac:dyDescent="0.25">
      <c r="A94665"/>
      <c r="B94665"/>
      <c r="C94665"/>
      <c r="E94665"/>
      <c r="F94665"/>
    </row>
    <row r="94666" spans="1:6" x14ac:dyDescent="0.25">
      <c r="A94666"/>
      <c r="B94666"/>
      <c r="C94666"/>
      <c r="E94666"/>
      <c r="F94666"/>
    </row>
    <row r="94667" spans="1:6" x14ac:dyDescent="0.25">
      <c r="A94667"/>
      <c r="B94667"/>
      <c r="C94667"/>
      <c r="E94667"/>
      <c r="F94667"/>
    </row>
    <row r="94668" spans="1:6" x14ac:dyDescent="0.25">
      <c r="A94668"/>
      <c r="B94668"/>
      <c r="C94668"/>
      <c r="E94668"/>
      <c r="F94668"/>
    </row>
    <row r="94669" spans="1:6" x14ac:dyDescent="0.25">
      <c r="A94669"/>
      <c r="B94669"/>
      <c r="C94669"/>
      <c r="E94669"/>
      <c r="F94669"/>
    </row>
    <row r="94670" spans="1:6" x14ac:dyDescent="0.25">
      <c r="A94670"/>
      <c r="B94670"/>
      <c r="C94670"/>
      <c r="E94670"/>
      <c r="F94670"/>
    </row>
    <row r="94671" spans="1:6" x14ac:dyDescent="0.25">
      <c r="A94671"/>
      <c r="B94671"/>
      <c r="C94671"/>
      <c r="E94671"/>
      <c r="F94671"/>
    </row>
    <row r="94672" spans="1:6" x14ac:dyDescent="0.25">
      <c r="A94672"/>
      <c r="B94672"/>
      <c r="C94672"/>
      <c r="E94672"/>
      <c r="F94672"/>
    </row>
    <row r="94673" spans="1:6" x14ac:dyDescent="0.25">
      <c r="A94673"/>
      <c r="B94673"/>
      <c r="C94673"/>
      <c r="E94673"/>
      <c r="F94673"/>
    </row>
    <row r="94674" spans="1:6" x14ac:dyDescent="0.25">
      <c r="A94674"/>
      <c r="B94674"/>
      <c r="C94674"/>
      <c r="E94674"/>
      <c r="F94674"/>
    </row>
    <row r="94675" spans="1:6" x14ac:dyDescent="0.25">
      <c r="A94675"/>
      <c r="B94675"/>
      <c r="C94675"/>
      <c r="E94675"/>
      <c r="F94675"/>
    </row>
    <row r="94676" spans="1:6" x14ac:dyDescent="0.25">
      <c r="A94676"/>
      <c r="B94676"/>
      <c r="C94676"/>
      <c r="E94676"/>
      <c r="F94676"/>
    </row>
    <row r="94677" spans="1:6" x14ac:dyDescent="0.25">
      <c r="A94677"/>
      <c r="B94677"/>
      <c r="C94677"/>
      <c r="E94677"/>
      <c r="F94677"/>
    </row>
    <row r="94678" spans="1:6" x14ac:dyDescent="0.25">
      <c r="A94678"/>
      <c r="B94678"/>
      <c r="C94678"/>
      <c r="E94678"/>
      <c r="F94678"/>
    </row>
    <row r="94679" spans="1:6" x14ac:dyDescent="0.25">
      <c r="A94679"/>
      <c r="B94679"/>
      <c r="C94679"/>
      <c r="E94679"/>
      <c r="F94679"/>
    </row>
    <row r="94680" spans="1:6" x14ac:dyDescent="0.25">
      <c r="A94680"/>
      <c r="B94680"/>
      <c r="C94680"/>
      <c r="E94680"/>
      <c r="F94680"/>
    </row>
    <row r="94681" spans="1:6" x14ac:dyDescent="0.25">
      <c r="A94681"/>
      <c r="B94681"/>
      <c r="C94681"/>
      <c r="E94681"/>
      <c r="F94681"/>
    </row>
    <row r="94682" spans="1:6" x14ac:dyDescent="0.25">
      <c r="A94682"/>
      <c r="B94682"/>
      <c r="C94682"/>
      <c r="E94682"/>
      <c r="F94682"/>
    </row>
    <row r="94683" spans="1:6" x14ac:dyDescent="0.25">
      <c r="A94683"/>
      <c r="B94683"/>
      <c r="C94683"/>
      <c r="E94683"/>
      <c r="F94683"/>
    </row>
    <row r="94684" spans="1:6" x14ac:dyDescent="0.25">
      <c r="A94684"/>
      <c r="B94684"/>
      <c r="C94684"/>
      <c r="E94684"/>
      <c r="F94684"/>
    </row>
    <row r="94685" spans="1:6" x14ac:dyDescent="0.25">
      <c r="A94685"/>
      <c r="B94685"/>
      <c r="C94685"/>
      <c r="E94685"/>
      <c r="F94685"/>
    </row>
    <row r="94686" spans="1:6" x14ac:dyDescent="0.25">
      <c r="A94686"/>
      <c r="B94686"/>
      <c r="C94686"/>
      <c r="E94686"/>
      <c r="F94686"/>
    </row>
    <row r="94687" spans="1:6" x14ac:dyDescent="0.25">
      <c r="A94687"/>
      <c r="B94687"/>
      <c r="C94687"/>
      <c r="E94687"/>
      <c r="F94687"/>
    </row>
    <row r="94688" spans="1:6" x14ac:dyDescent="0.25">
      <c r="A94688"/>
      <c r="B94688"/>
      <c r="C94688"/>
      <c r="E94688"/>
      <c r="F94688"/>
    </row>
    <row r="94689" spans="1:6" x14ac:dyDescent="0.25">
      <c r="A94689"/>
      <c r="B94689"/>
      <c r="C94689"/>
      <c r="E94689"/>
      <c r="F94689"/>
    </row>
    <row r="94690" spans="1:6" x14ac:dyDescent="0.25">
      <c r="A94690"/>
      <c r="B94690"/>
      <c r="C94690"/>
      <c r="E94690"/>
      <c r="F94690"/>
    </row>
    <row r="94691" spans="1:6" x14ac:dyDescent="0.25">
      <c r="A94691"/>
      <c r="B94691"/>
      <c r="C94691"/>
      <c r="E94691"/>
      <c r="F94691"/>
    </row>
    <row r="94692" spans="1:6" x14ac:dyDescent="0.25">
      <c r="A94692"/>
      <c r="B94692"/>
      <c r="C94692"/>
      <c r="E94692"/>
      <c r="F94692"/>
    </row>
    <row r="94693" spans="1:6" x14ac:dyDescent="0.25">
      <c r="A94693"/>
      <c r="B94693"/>
      <c r="C94693"/>
      <c r="E94693"/>
      <c r="F94693"/>
    </row>
    <row r="94694" spans="1:6" x14ac:dyDescent="0.25">
      <c r="A94694"/>
      <c r="B94694"/>
      <c r="C94694"/>
      <c r="E94694"/>
      <c r="F94694"/>
    </row>
    <row r="94695" spans="1:6" x14ac:dyDescent="0.25">
      <c r="A94695"/>
      <c r="B94695"/>
      <c r="C94695"/>
      <c r="E94695"/>
      <c r="F94695"/>
    </row>
    <row r="94696" spans="1:6" x14ac:dyDescent="0.25">
      <c r="A94696"/>
      <c r="B94696"/>
      <c r="C94696"/>
      <c r="E94696"/>
      <c r="F94696"/>
    </row>
    <row r="94697" spans="1:6" x14ac:dyDescent="0.25">
      <c r="A94697"/>
      <c r="B94697"/>
      <c r="C94697"/>
      <c r="E94697"/>
      <c r="F94697"/>
    </row>
    <row r="94698" spans="1:6" x14ac:dyDescent="0.25">
      <c r="A94698"/>
      <c r="B94698"/>
      <c r="C94698"/>
      <c r="E94698"/>
      <c r="F94698"/>
    </row>
    <row r="94699" spans="1:6" x14ac:dyDescent="0.25">
      <c r="A94699"/>
      <c r="B94699"/>
      <c r="C94699"/>
      <c r="E94699"/>
      <c r="F94699"/>
    </row>
    <row r="94700" spans="1:6" x14ac:dyDescent="0.25">
      <c r="A94700"/>
      <c r="B94700"/>
      <c r="C94700"/>
      <c r="E94700"/>
      <c r="F94700"/>
    </row>
    <row r="94701" spans="1:6" x14ac:dyDescent="0.25">
      <c r="A94701"/>
      <c r="B94701"/>
      <c r="C94701"/>
      <c r="E94701"/>
      <c r="F94701"/>
    </row>
    <row r="94702" spans="1:6" x14ac:dyDescent="0.25">
      <c r="A94702"/>
      <c r="B94702"/>
      <c r="C94702"/>
      <c r="E94702"/>
      <c r="F94702"/>
    </row>
    <row r="94703" spans="1:6" x14ac:dyDescent="0.25">
      <c r="A94703"/>
      <c r="B94703"/>
      <c r="C94703"/>
      <c r="E94703"/>
      <c r="F94703"/>
    </row>
    <row r="94704" spans="1:6" x14ac:dyDescent="0.25">
      <c r="A94704"/>
      <c r="B94704"/>
      <c r="C94704"/>
      <c r="E94704"/>
      <c r="F94704"/>
    </row>
    <row r="94705" spans="1:6" x14ac:dyDescent="0.25">
      <c r="A94705"/>
      <c r="B94705"/>
      <c r="C94705"/>
      <c r="E94705"/>
      <c r="F94705"/>
    </row>
    <row r="94706" spans="1:6" x14ac:dyDescent="0.25">
      <c r="A94706"/>
      <c r="B94706"/>
      <c r="C94706"/>
      <c r="E94706"/>
      <c r="F94706"/>
    </row>
    <row r="94707" spans="1:6" x14ac:dyDescent="0.25">
      <c r="A94707"/>
      <c r="B94707"/>
      <c r="C94707"/>
      <c r="E94707"/>
      <c r="F94707"/>
    </row>
    <row r="94708" spans="1:6" x14ac:dyDescent="0.25">
      <c r="A94708"/>
      <c r="B94708"/>
      <c r="C94708"/>
      <c r="E94708"/>
      <c r="F94708"/>
    </row>
    <row r="94709" spans="1:6" x14ac:dyDescent="0.25">
      <c r="A94709"/>
      <c r="B94709"/>
      <c r="C94709"/>
      <c r="E94709"/>
      <c r="F94709"/>
    </row>
    <row r="94710" spans="1:6" x14ac:dyDescent="0.25">
      <c r="A94710"/>
      <c r="B94710"/>
      <c r="C94710"/>
      <c r="E94710"/>
      <c r="F94710"/>
    </row>
    <row r="94711" spans="1:6" x14ac:dyDescent="0.25">
      <c r="A94711"/>
      <c r="B94711"/>
      <c r="C94711"/>
      <c r="E94711"/>
      <c r="F94711"/>
    </row>
    <row r="94712" spans="1:6" x14ac:dyDescent="0.25">
      <c r="A94712"/>
      <c r="B94712"/>
      <c r="C94712"/>
      <c r="E94712"/>
      <c r="F94712"/>
    </row>
    <row r="94713" spans="1:6" x14ac:dyDescent="0.25">
      <c r="A94713"/>
      <c r="B94713"/>
      <c r="C94713"/>
      <c r="E94713"/>
      <c r="F94713"/>
    </row>
    <row r="94714" spans="1:6" x14ac:dyDescent="0.25">
      <c r="A94714"/>
      <c r="B94714"/>
      <c r="C94714"/>
      <c r="E94714"/>
      <c r="F94714"/>
    </row>
    <row r="94715" spans="1:6" x14ac:dyDescent="0.25">
      <c r="A94715"/>
      <c r="B94715"/>
      <c r="C94715"/>
      <c r="E94715"/>
      <c r="F94715"/>
    </row>
    <row r="94716" spans="1:6" x14ac:dyDescent="0.25">
      <c r="A94716"/>
      <c r="B94716"/>
      <c r="C94716"/>
      <c r="E94716"/>
      <c r="F94716"/>
    </row>
    <row r="94717" spans="1:6" x14ac:dyDescent="0.25">
      <c r="A94717"/>
      <c r="B94717"/>
      <c r="C94717"/>
      <c r="E94717"/>
      <c r="F94717"/>
    </row>
    <row r="94718" spans="1:6" x14ac:dyDescent="0.25">
      <c r="A94718"/>
      <c r="B94718"/>
      <c r="C94718"/>
      <c r="E94718"/>
      <c r="F94718"/>
    </row>
    <row r="94719" spans="1:6" x14ac:dyDescent="0.25">
      <c r="A94719"/>
      <c r="B94719"/>
      <c r="C94719"/>
      <c r="E94719"/>
      <c r="F94719"/>
    </row>
    <row r="94720" spans="1:6" x14ac:dyDescent="0.25">
      <c r="A94720"/>
      <c r="B94720"/>
      <c r="C94720"/>
      <c r="E94720"/>
      <c r="F94720"/>
    </row>
    <row r="94721" spans="1:6" x14ac:dyDescent="0.25">
      <c r="A94721"/>
      <c r="B94721"/>
      <c r="C94721"/>
      <c r="E94721"/>
      <c r="F94721"/>
    </row>
    <row r="94722" spans="1:6" x14ac:dyDescent="0.25">
      <c r="A94722"/>
      <c r="B94722"/>
      <c r="C94722"/>
      <c r="E94722"/>
      <c r="F94722"/>
    </row>
    <row r="94723" spans="1:6" x14ac:dyDescent="0.25">
      <c r="A94723"/>
      <c r="B94723"/>
      <c r="C94723"/>
      <c r="E94723"/>
      <c r="F94723"/>
    </row>
    <row r="94724" spans="1:6" x14ac:dyDescent="0.25">
      <c r="A94724"/>
      <c r="B94724"/>
      <c r="C94724"/>
      <c r="E94724"/>
      <c r="F94724"/>
    </row>
    <row r="94725" spans="1:6" x14ac:dyDescent="0.25">
      <c r="A94725"/>
      <c r="B94725"/>
      <c r="C94725"/>
      <c r="E94725"/>
      <c r="F94725"/>
    </row>
    <row r="94726" spans="1:6" x14ac:dyDescent="0.25">
      <c r="A94726"/>
      <c r="B94726"/>
      <c r="C94726"/>
      <c r="E94726"/>
      <c r="F94726"/>
    </row>
    <row r="94727" spans="1:6" x14ac:dyDescent="0.25">
      <c r="A94727"/>
      <c r="B94727"/>
      <c r="C94727"/>
      <c r="E94727"/>
      <c r="F94727"/>
    </row>
    <row r="94728" spans="1:6" x14ac:dyDescent="0.25">
      <c r="A94728"/>
      <c r="B94728"/>
      <c r="C94728"/>
      <c r="E94728"/>
      <c r="F94728"/>
    </row>
    <row r="94729" spans="1:6" x14ac:dyDescent="0.25">
      <c r="A94729"/>
      <c r="B94729"/>
      <c r="C94729"/>
      <c r="E94729"/>
      <c r="F94729"/>
    </row>
    <row r="94730" spans="1:6" x14ac:dyDescent="0.25">
      <c r="A94730"/>
      <c r="B94730"/>
      <c r="C94730"/>
      <c r="E94730"/>
      <c r="F94730"/>
    </row>
    <row r="94731" spans="1:6" x14ac:dyDescent="0.25">
      <c r="A94731"/>
      <c r="B94731"/>
      <c r="C94731"/>
      <c r="E94731"/>
      <c r="F94731"/>
    </row>
    <row r="94732" spans="1:6" x14ac:dyDescent="0.25">
      <c r="A94732"/>
      <c r="B94732"/>
      <c r="C94732"/>
      <c r="E94732"/>
      <c r="F94732"/>
    </row>
    <row r="94733" spans="1:6" x14ac:dyDescent="0.25">
      <c r="A94733"/>
      <c r="B94733"/>
      <c r="C94733"/>
      <c r="E94733"/>
      <c r="F94733"/>
    </row>
    <row r="94734" spans="1:6" x14ac:dyDescent="0.25">
      <c r="A94734"/>
      <c r="B94734"/>
      <c r="C94734"/>
      <c r="E94734"/>
      <c r="F94734"/>
    </row>
    <row r="94735" spans="1:6" x14ac:dyDescent="0.25">
      <c r="A94735"/>
      <c r="B94735"/>
      <c r="C94735"/>
      <c r="E94735"/>
      <c r="F94735"/>
    </row>
    <row r="94736" spans="1:6" x14ac:dyDescent="0.25">
      <c r="A94736"/>
      <c r="B94736"/>
      <c r="C94736"/>
      <c r="E94736"/>
      <c r="F94736"/>
    </row>
    <row r="94737" spans="1:6" x14ac:dyDescent="0.25">
      <c r="A94737"/>
      <c r="B94737"/>
      <c r="C94737"/>
      <c r="E94737"/>
      <c r="F94737"/>
    </row>
    <row r="94738" spans="1:6" x14ac:dyDescent="0.25">
      <c r="A94738"/>
      <c r="B94738"/>
      <c r="C94738"/>
      <c r="E94738"/>
      <c r="F94738"/>
    </row>
    <row r="94739" spans="1:6" x14ac:dyDescent="0.25">
      <c r="A94739"/>
      <c r="B94739"/>
      <c r="C94739"/>
      <c r="E94739"/>
      <c r="F94739"/>
    </row>
    <row r="94740" spans="1:6" x14ac:dyDescent="0.25">
      <c r="A94740"/>
      <c r="B94740"/>
      <c r="C94740"/>
      <c r="E94740"/>
      <c r="F94740"/>
    </row>
    <row r="94741" spans="1:6" x14ac:dyDescent="0.25">
      <c r="A94741"/>
      <c r="B94741"/>
      <c r="C94741"/>
      <c r="E94741"/>
      <c r="F94741"/>
    </row>
    <row r="94742" spans="1:6" x14ac:dyDescent="0.25">
      <c r="A94742"/>
      <c r="B94742"/>
      <c r="C94742"/>
      <c r="E94742"/>
      <c r="F94742"/>
    </row>
    <row r="94743" spans="1:6" x14ac:dyDescent="0.25">
      <c r="A94743"/>
      <c r="B94743"/>
      <c r="C94743"/>
      <c r="E94743"/>
      <c r="F94743"/>
    </row>
    <row r="94744" spans="1:6" x14ac:dyDescent="0.25">
      <c r="A94744"/>
      <c r="B94744"/>
      <c r="C94744"/>
      <c r="E94744"/>
      <c r="F94744"/>
    </row>
    <row r="94745" spans="1:6" x14ac:dyDescent="0.25">
      <c r="A94745"/>
      <c r="B94745"/>
      <c r="C94745"/>
      <c r="E94745"/>
      <c r="F94745"/>
    </row>
    <row r="94746" spans="1:6" x14ac:dyDescent="0.25">
      <c r="A94746"/>
      <c r="B94746"/>
      <c r="C94746"/>
      <c r="E94746"/>
      <c r="F94746"/>
    </row>
    <row r="94747" spans="1:6" x14ac:dyDescent="0.25">
      <c r="A94747"/>
      <c r="B94747"/>
      <c r="C94747"/>
      <c r="E94747"/>
      <c r="F94747"/>
    </row>
    <row r="94748" spans="1:6" x14ac:dyDescent="0.25">
      <c r="A94748"/>
      <c r="B94748"/>
      <c r="C94748"/>
      <c r="E94748"/>
      <c r="F94748"/>
    </row>
    <row r="94749" spans="1:6" x14ac:dyDescent="0.25">
      <c r="A94749"/>
      <c r="B94749"/>
      <c r="C94749"/>
      <c r="E94749"/>
      <c r="F94749"/>
    </row>
    <row r="94750" spans="1:6" x14ac:dyDescent="0.25">
      <c r="A94750"/>
      <c r="B94750"/>
      <c r="C94750"/>
      <c r="E94750"/>
      <c r="F94750"/>
    </row>
    <row r="94751" spans="1:6" x14ac:dyDescent="0.25">
      <c r="A94751"/>
      <c r="B94751"/>
      <c r="C94751"/>
      <c r="E94751"/>
      <c r="F94751"/>
    </row>
    <row r="94752" spans="1:6" x14ac:dyDescent="0.25">
      <c r="A94752"/>
      <c r="B94752"/>
      <c r="C94752"/>
      <c r="E94752"/>
      <c r="F94752"/>
    </row>
    <row r="94753" spans="1:6" x14ac:dyDescent="0.25">
      <c r="A94753"/>
      <c r="B94753"/>
      <c r="C94753"/>
      <c r="E94753"/>
      <c r="F94753"/>
    </row>
    <row r="94754" spans="1:6" x14ac:dyDescent="0.25">
      <c r="A94754"/>
      <c r="B94754"/>
      <c r="C94754"/>
      <c r="E94754"/>
      <c r="F94754"/>
    </row>
    <row r="94755" spans="1:6" x14ac:dyDescent="0.25">
      <c r="A94755"/>
      <c r="B94755"/>
      <c r="C94755"/>
      <c r="E94755"/>
      <c r="F94755"/>
    </row>
    <row r="94756" spans="1:6" x14ac:dyDescent="0.25">
      <c r="A94756"/>
      <c r="B94756"/>
      <c r="C94756"/>
      <c r="E94756"/>
      <c r="F94756"/>
    </row>
    <row r="94757" spans="1:6" x14ac:dyDescent="0.25">
      <c r="A94757"/>
      <c r="B94757"/>
      <c r="C94757"/>
      <c r="E94757"/>
      <c r="F94757"/>
    </row>
    <row r="94758" spans="1:6" x14ac:dyDescent="0.25">
      <c r="A94758"/>
      <c r="B94758"/>
      <c r="C94758"/>
      <c r="E94758"/>
      <c r="F94758"/>
    </row>
    <row r="94759" spans="1:6" x14ac:dyDescent="0.25">
      <c r="A94759"/>
      <c r="B94759"/>
      <c r="C94759"/>
      <c r="E94759"/>
      <c r="F94759"/>
    </row>
    <row r="94760" spans="1:6" x14ac:dyDescent="0.25">
      <c r="A94760"/>
      <c r="B94760"/>
      <c r="C94760"/>
      <c r="E94760"/>
      <c r="F94760"/>
    </row>
    <row r="94761" spans="1:6" x14ac:dyDescent="0.25">
      <c r="A94761"/>
      <c r="B94761"/>
      <c r="C94761"/>
      <c r="E94761"/>
      <c r="F94761"/>
    </row>
    <row r="94762" spans="1:6" x14ac:dyDescent="0.25">
      <c r="A94762"/>
      <c r="B94762"/>
      <c r="C94762"/>
      <c r="E94762"/>
      <c r="F94762"/>
    </row>
    <row r="94763" spans="1:6" x14ac:dyDescent="0.25">
      <c r="A94763"/>
      <c r="B94763"/>
      <c r="C94763"/>
      <c r="E94763"/>
      <c r="F94763"/>
    </row>
    <row r="94764" spans="1:6" x14ac:dyDescent="0.25">
      <c r="A94764"/>
      <c r="B94764"/>
      <c r="C94764"/>
      <c r="E94764"/>
      <c r="F94764"/>
    </row>
    <row r="94765" spans="1:6" x14ac:dyDescent="0.25">
      <c r="A94765"/>
      <c r="B94765"/>
      <c r="C94765"/>
      <c r="E94765"/>
      <c r="F94765"/>
    </row>
    <row r="94766" spans="1:6" x14ac:dyDescent="0.25">
      <c r="A94766"/>
      <c r="B94766"/>
      <c r="C94766"/>
      <c r="E94766"/>
      <c r="F94766"/>
    </row>
    <row r="94767" spans="1:6" x14ac:dyDescent="0.25">
      <c r="A94767"/>
      <c r="B94767"/>
      <c r="C94767"/>
      <c r="E94767"/>
      <c r="F94767"/>
    </row>
    <row r="94768" spans="1:6" x14ac:dyDescent="0.25">
      <c r="A94768"/>
      <c r="B94768"/>
      <c r="C94768"/>
      <c r="E94768"/>
      <c r="F94768"/>
    </row>
    <row r="94769" spans="1:6" x14ac:dyDescent="0.25">
      <c r="A94769"/>
      <c r="B94769"/>
      <c r="C94769"/>
      <c r="E94769"/>
      <c r="F94769"/>
    </row>
    <row r="94770" spans="1:6" x14ac:dyDescent="0.25">
      <c r="A94770"/>
      <c r="B94770"/>
      <c r="C94770"/>
      <c r="E94770"/>
      <c r="F94770"/>
    </row>
    <row r="94771" spans="1:6" x14ac:dyDescent="0.25">
      <c r="A94771"/>
      <c r="B94771"/>
      <c r="C94771"/>
      <c r="E94771"/>
      <c r="F94771"/>
    </row>
    <row r="94772" spans="1:6" x14ac:dyDescent="0.25">
      <c r="A94772"/>
      <c r="B94772"/>
      <c r="C94772"/>
      <c r="E94772"/>
      <c r="F94772"/>
    </row>
    <row r="94773" spans="1:6" x14ac:dyDescent="0.25">
      <c r="A94773"/>
      <c r="B94773"/>
      <c r="C94773"/>
      <c r="E94773"/>
      <c r="F94773"/>
    </row>
    <row r="94774" spans="1:6" x14ac:dyDescent="0.25">
      <c r="A94774"/>
      <c r="B94774"/>
      <c r="C94774"/>
      <c r="E94774"/>
      <c r="F94774"/>
    </row>
    <row r="94775" spans="1:6" x14ac:dyDescent="0.25">
      <c r="A94775"/>
      <c r="B94775"/>
      <c r="C94775"/>
      <c r="E94775"/>
      <c r="F94775"/>
    </row>
    <row r="94776" spans="1:6" x14ac:dyDescent="0.25">
      <c r="A94776"/>
      <c r="B94776"/>
      <c r="C94776"/>
      <c r="E94776"/>
      <c r="F94776"/>
    </row>
    <row r="94777" spans="1:6" x14ac:dyDescent="0.25">
      <c r="A94777"/>
      <c r="B94777"/>
      <c r="C94777"/>
      <c r="E94777"/>
      <c r="F94777"/>
    </row>
    <row r="94778" spans="1:6" x14ac:dyDescent="0.25">
      <c r="A94778"/>
      <c r="B94778"/>
      <c r="C94778"/>
      <c r="E94778"/>
      <c r="F94778"/>
    </row>
    <row r="94779" spans="1:6" x14ac:dyDescent="0.25">
      <c r="A94779"/>
      <c r="B94779"/>
      <c r="C94779"/>
      <c r="E94779"/>
      <c r="F94779"/>
    </row>
    <row r="94780" spans="1:6" x14ac:dyDescent="0.25">
      <c r="A94780"/>
      <c r="B94780"/>
      <c r="C94780"/>
      <c r="E94780"/>
      <c r="F94780"/>
    </row>
    <row r="94781" spans="1:6" x14ac:dyDescent="0.25">
      <c r="A94781"/>
      <c r="B94781"/>
      <c r="C94781"/>
      <c r="E94781"/>
      <c r="F94781"/>
    </row>
    <row r="94782" spans="1:6" x14ac:dyDescent="0.25">
      <c r="A94782"/>
      <c r="B94782"/>
      <c r="C94782"/>
      <c r="E94782"/>
      <c r="F94782"/>
    </row>
    <row r="94783" spans="1:6" x14ac:dyDescent="0.25">
      <c r="A94783"/>
      <c r="B94783"/>
      <c r="C94783"/>
      <c r="E94783"/>
      <c r="F94783"/>
    </row>
    <row r="94784" spans="1:6" x14ac:dyDescent="0.25">
      <c r="A94784"/>
      <c r="B94784"/>
      <c r="C94784"/>
      <c r="E94784"/>
      <c r="F94784"/>
    </row>
    <row r="94785" spans="1:6" x14ac:dyDescent="0.25">
      <c r="A94785"/>
      <c r="B94785"/>
      <c r="C94785"/>
      <c r="E94785"/>
      <c r="F94785"/>
    </row>
    <row r="94786" spans="1:6" x14ac:dyDescent="0.25">
      <c r="A94786"/>
      <c r="B94786"/>
      <c r="C94786"/>
      <c r="E94786"/>
      <c r="F94786"/>
    </row>
    <row r="94787" spans="1:6" x14ac:dyDescent="0.25">
      <c r="A94787"/>
      <c r="B94787"/>
      <c r="C94787"/>
      <c r="E94787"/>
      <c r="F94787"/>
    </row>
    <row r="94788" spans="1:6" x14ac:dyDescent="0.25">
      <c r="A94788"/>
      <c r="B94788"/>
      <c r="C94788"/>
      <c r="E94788"/>
      <c r="F94788"/>
    </row>
    <row r="94789" spans="1:6" x14ac:dyDescent="0.25">
      <c r="A94789"/>
      <c r="B94789"/>
      <c r="C94789"/>
      <c r="E94789"/>
      <c r="F94789"/>
    </row>
    <row r="94790" spans="1:6" x14ac:dyDescent="0.25">
      <c r="A94790"/>
      <c r="B94790"/>
      <c r="C94790"/>
      <c r="E94790"/>
      <c r="F94790"/>
    </row>
    <row r="94791" spans="1:6" x14ac:dyDescent="0.25">
      <c r="A94791"/>
      <c r="B94791"/>
      <c r="C94791"/>
      <c r="E94791"/>
      <c r="F94791"/>
    </row>
    <row r="94792" spans="1:6" x14ac:dyDescent="0.25">
      <c r="A94792"/>
      <c r="B94792"/>
      <c r="C94792"/>
      <c r="E94792"/>
      <c r="F94792"/>
    </row>
    <row r="94793" spans="1:6" x14ac:dyDescent="0.25">
      <c r="A94793"/>
      <c r="B94793"/>
      <c r="C94793"/>
      <c r="E94793"/>
      <c r="F94793"/>
    </row>
    <row r="94794" spans="1:6" x14ac:dyDescent="0.25">
      <c r="A94794"/>
      <c r="B94794"/>
      <c r="C94794"/>
      <c r="E94794"/>
      <c r="F94794"/>
    </row>
    <row r="94795" spans="1:6" x14ac:dyDescent="0.25">
      <c r="A94795"/>
      <c r="B94795"/>
      <c r="C94795"/>
      <c r="E94795"/>
      <c r="F94795"/>
    </row>
    <row r="94796" spans="1:6" x14ac:dyDescent="0.25">
      <c r="A94796"/>
      <c r="B94796"/>
      <c r="C94796"/>
      <c r="E94796"/>
      <c r="F94796"/>
    </row>
    <row r="94797" spans="1:6" x14ac:dyDescent="0.25">
      <c r="A94797"/>
      <c r="B94797"/>
      <c r="C94797"/>
      <c r="E94797"/>
      <c r="F94797"/>
    </row>
    <row r="94798" spans="1:6" x14ac:dyDescent="0.25">
      <c r="A94798"/>
      <c r="B94798"/>
      <c r="C94798"/>
      <c r="E94798"/>
      <c r="F94798"/>
    </row>
    <row r="94799" spans="1:6" x14ac:dyDescent="0.25">
      <c r="A94799"/>
      <c r="B94799"/>
      <c r="C94799"/>
      <c r="E94799"/>
      <c r="F94799"/>
    </row>
    <row r="94800" spans="1:6" x14ac:dyDescent="0.25">
      <c r="A94800"/>
      <c r="B94800"/>
      <c r="C94800"/>
      <c r="E94800"/>
      <c r="F94800"/>
    </row>
    <row r="94801" spans="1:6" x14ac:dyDescent="0.25">
      <c r="A94801"/>
      <c r="B94801"/>
      <c r="C94801"/>
      <c r="E94801"/>
      <c r="F94801"/>
    </row>
    <row r="94802" spans="1:6" x14ac:dyDescent="0.25">
      <c r="A94802"/>
      <c r="B94802"/>
      <c r="C94802"/>
      <c r="E94802"/>
      <c r="F94802"/>
    </row>
    <row r="94803" spans="1:6" x14ac:dyDescent="0.25">
      <c r="A94803"/>
      <c r="B94803"/>
      <c r="C94803"/>
      <c r="E94803"/>
      <c r="F94803"/>
    </row>
    <row r="94804" spans="1:6" x14ac:dyDescent="0.25">
      <c r="A94804"/>
      <c r="B94804"/>
      <c r="C94804"/>
      <c r="E94804"/>
      <c r="F94804"/>
    </row>
    <row r="94805" spans="1:6" x14ac:dyDescent="0.25">
      <c r="A94805"/>
      <c r="B94805"/>
      <c r="C94805"/>
      <c r="E94805"/>
      <c r="F94805"/>
    </row>
    <row r="94806" spans="1:6" x14ac:dyDescent="0.25">
      <c r="A94806"/>
      <c r="B94806"/>
      <c r="C94806"/>
      <c r="E94806"/>
      <c r="F94806"/>
    </row>
    <row r="94807" spans="1:6" x14ac:dyDescent="0.25">
      <c r="A94807"/>
      <c r="B94807"/>
      <c r="C94807"/>
      <c r="E94807"/>
      <c r="F94807"/>
    </row>
    <row r="94808" spans="1:6" x14ac:dyDescent="0.25">
      <c r="A94808"/>
      <c r="B94808"/>
      <c r="C94808"/>
      <c r="E94808"/>
      <c r="F94808"/>
    </row>
    <row r="94809" spans="1:6" x14ac:dyDescent="0.25">
      <c r="A94809"/>
      <c r="B94809"/>
      <c r="C94809"/>
      <c r="E94809"/>
      <c r="F94809"/>
    </row>
    <row r="94810" spans="1:6" x14ac:dyDescent="0.25">
      <c r="A94810"/>
      <c r="B94810"/>
      <c r="C94810"/>
      <c r="E94810"/>
      <c r="F94810"/>
    </row>
    <row r="94811" spans="1:6" x14ac:dyDescent="0.25">
      <c r="A94811"/>
      <c r="B94811"/>
      <c r="C94811"/>
      <c r="E94811"/>
      <c r="F94811"/>
    </row>
    <row r="94812" spans="1:6" x14ac:dyDescent="0.25">
      <c r="A94812"/>
      <c r="B94812"/>
      <c r="C94812"/>
      <c r="E94812"/>
      <c r="F94812"/>
    </row>
    <row r="94813" spans="1:6" x14ac:dyDescent="0.25">
      <c r="A94813"/>
      <c r="B94813"/>
      <c r="C94813"/>
      <c r="E94813"/>
      <c r="F94813"/>
    </row>
    <row r="94814" spans="1:6" x14ac:dyDescent="0.25">
      <c r="A94814"/>
      <c r="B94814"/>
      <c r="C94814"/>
      <c r="E94814"/>
      <c r="F94814"/>
    </row>
    <row r="94815" spans="1:6" x14ac:dyDescent="0.25">
      <c r="A94815"/>
      <c r="B94815"/>
      <c r="C94815"/>
      <c r="E94815"/>
      <c r="F94815"/>
    </row>
    <row r="94816" spans="1:6" x14ac:dyDescent="0.25">
      <c r="A94816"/>
      <c r="B94816"/>
      <c r="C94816"/>
      <c r="E94816"/>
      <c r="F94816"/>
    </row>
    <row r="94817" spans="1:6" x14ac:dyDescent="0.25">
      <c r="A94817"/>
      <c r="B94817"/>
      <c r="C94817"/>
      <c r="E94817"/>
      <c r="F94817"/>
    </row>
    <row r="94818" spans="1:6" x14ac:dyDescent="0.25">
      <c r="A94818"/>
      <c r="B94818"/>
      <c r="C94818"/>
      <c r="E94818"/>
      <c r="F94818"/>
    </row>
    <row r="94819" spans="1:6" x14ac:dyDescent="0.25">
      <c r="A94819"/>
      <c r="B94819"/>
      <c r="C94819"/>
      <c r="E94819"/>
      <c r="F94819"/>
    </row>
    <row r="94820" spans="1:6" x14ac:dyDescent="0.25">
      <c r="A94820"/>
      <c r="B94820"/>
      <c r="C94820"/>
      <c r="E94820"/>
      <c r="F94820"/>
    </row>
    <row r="94821" spans="1:6" x14ac:dyDescent="0.25">
      <c r="A94821"/>
      <c r="B94821"/>
      <c r="C94821"/>
      <c r="E94821"/>
      <c r="F94821"/>
    </row>
    <row r="94822" spans="1:6" x14ac:dyDescent="0.25">
      <c r="A94822"/>
      <c r="B94822"/>
      <c r="C94822"/>
      <c r="E94822"/>
      <c r="F94822"/>
    </row>
    <row r="94823" spans="1:6" x14ac:dyDescent="0.25">
      <c r="A94823"/>
      <c r="B94823"/>
      <c r="C94823"/>
      <c r="E94823"/>
      <c r="F94823"/>
    </row>
    <row r="94824" spans="1:6" x14ac:dyDescent="0.25">
      <c r="A94824"/>
      <c r="B94824"/>
      <c r="C94824"/>
      <c r="E94824"/>
      <c r="F94824"/>
    </row>
    <row r="94825" spans="1:6" x14ac:dyDescent="0.25">
      <c r="A94825"/>
      <c r="B94825"/>
      <c r="C94825"/>
      <c r="E94825"/>
      <c r="F94825"/>
    </row>
    <row r="94826" spans="1:6" x14ac:dyDescent="0.25">
      <c r="A94826"/>
      <c r="B94826"/>
      <c r="C94826"/>
      <c r="E94826"/>
      <c r="F94826"/>
    </row>
    <row r="94827" spans="1:6" x14ac:dyDescent="0.25">
      <c r="A94827"/>
      <c r="B94827"/>
      <c r="C94827"/>
      <c r="E94827"/>
      <c r="F94827"/>
    </row>
    <row r="94828" spans="1:6" x14ac:dyDescent="0.25">
      <c r="A94828"/>
      <c r="B94828"/>
      <c r="C94828"/>
      <c r="E94828"/>
      <c r="F94828"/>
    </row>
    <row r="94829" spans="1:6" x14ac:dyDescent="0.25">
      <c r="A94829"/>
      <c r="B94829"/>
      <c r="C94829"/>
      <c r="E94829"/>
      <c r="F94829"/>
    </row>
    <row r="94830" spans="1:6" x14ac:dyDescent="0.25">
      <c r="A94830"/>
      <c r="B94830"/>
      <c r="C94830"/>
      <c r="E94830"/>
      <c r="F94830"/>
    </row>
    <row r="94831" spans="1:6" x14ac:dyDescent="0.25">
      <c r="A94831"/>
      <c r="B94831"/>
      <c r="C94831"/>
      <c r="E94831"/>
      <c r="F94831"/>
    </row>
    <row r="94832" spans="1:6" x14ac:dyDescent="0.25">
      <c r="A94832"/>
      <c r="B94832"/>
      <c r="C94832"/>
      <c r="E94832"/>
      <c r="F94832"/>
    </row>
    <row r="94833" spans="1:6" x14ac:dyDescent="0.25">
      <c r="A94833"/>
      <c r="B94833"/>
      <c r="C94833"/>
      <c r="E94833"/>
      <c r="F94833"/>
    </row>
    <row r="94834" spans="1:6" x14ac:dyDescent="0.25">
      <c r="A94834"/>
      <c r="B94834"/>
      <c r="C94834"/>
      <c r="E94834"/>
      <c r="F94834"/>
    </row>
    <row r="94835" spans="1:6" x14ac:dyDescent="0.25">
      <c r="A94835"/>
      <c r="B94835"/>
      <c r="C94835"/>
      <c r="E94835"/>
      <c r="F94835"/>
    </row>
    <row r="94836" spans="1:6" x14ac:dyDescent="0.25">
      <c r="A94836"/>
      <c r="B94836"/>
      <c r="C94836"/>
      <c r="E94836"/>
      <c r="F94836"/>
    </row>
    <row r="94837" spans="1:6" x14ac:dyDescent="0.25">
      <c r="A94837"/>
      <c r="B94837"/>
      <c r="C94837"/>
      <c r="E94837"/>
      <c r="F94837"/>
    </row>
    <row r="94838" spans="1:6" x14ac:dyDescent="0.25">
      <c r="A94838"/>
      <c r="B94838"/>
      <c r="C94838"/>
      <c r="E94838"/>
      <c r="F94838"/>
    </row>
    <row r="94839" spans="1:6" x14ac:dyDescent="0.25">
      <c r="A94839"/>
      <c r="B94839"/>
      <c r="C94839"/>
      <c r="E94839"/>
      <c r="F94839"/>
    </row>
    <row r="94840" spans="1:6" x14ac:dyDescent="0.25">
      <c r="A94840"/>
      <c r="B94840"/>
      <c r="C94840"/>
      <c r="E94840"/>
      <c r="F94840"/>
    </row>
    <row r="94841" spans="1:6" x14ac:dyDescent="0.25">
      <c r="A94841"/>
      <c r="B94841"/>
      <c r="C94841"/>
      <c r="E94841"/>
      <c r="F94841"/>
    </row>
    <row r="94842" spans="1:6" x14ac:dyDescent="0.25">
      <c r="A94842"/>
      <c r="B94842"/>
      <c r="C94842"/>
      <c r="E94842"/>
      <c r="F94842"/>
    </row>
    <row r="94843" spans="1:6" x14ac:dyDescent="0.25">
      <c r="A94843"/>
      <c r="B94843"/>
      <c r="C94843"/>
      <c r="E94843"/>
      <c r="F94843"/>
    </row>
    <row r="94844" spans="1:6" x14ac:dyDescent="0.25">
      <c r="A94844"/>
      <c r="B94844"/>
      <c r="C94844"/>
      <c r="E94844"/>
      <c r="F94844"/>
    </row>
    <row r="94845" spans="1:6" x14ac:dyDescent="0.25">
      <c r="A94845"/>
      <c r="B94845"/>
      <c r="C94845"/>
      <c r="E94845"/>
      <c r="F94845"/>
    </row>
    <row r="94846" spans="1:6" x14ac:dyDescent="0.25">
      <c r="A94846"/>
      <c r="B94846"/>
      <c r="C94846"/>
      <c r="E94846"/>
      <c r="F94846"/>
    </row>
    <row r="94847" spans="1:6" x14ac:dyDescent="0.25">
      <c r="A94847"/>
      <c r="B94847"/>
      <c r="C94847"/>
      <c r="E94847"/>
      <c r="F94847"/>
    </row>
    <row r="94848" spans="1:6" x14ac:dyDescent="0.25">
      <c r="A94848"/>
      <c r="B94848"/>
      <c r="C94848"/>
      <c r="E94848"/>
      <c r="F94848"/>
    </row>
    <row r="94849" spans="1:6" x14ac:dyDescent="0.25">
      <c r="A94849"/>
      <c r="B94849"/>
      <c r="C94849"/>
      <c r="E94849"/>
      <c r="F94849"/>
    </row>
    <row r="94850" spans="1:6" x14ac:dyDescent="0.25">
      <c r="A94850"/>
      <c r="B94850"/>
      <c r="C94850"/>
      <c r="E94850"/>
      <c r="F94850"/>
    </row>
    <row r="94851" spans="1:6" x14ac:dyDescent="0.25">
      <c r="A94851"/>
      <c r="B94851"/>
      <c r="C94851"/>
      <c r="E94851"/>
      <c r="F94851"/>
    </row>
    <row r="94852" spans="1:6" x14ac:dyDescent="0.25">
      <c r="A94852"/>
      <c r="B94852"/>
      <c r="C94852"/>
      <c r="E94852"/>
      <c r="F94852"/>
    </row>
    <row r="94853" spans="1:6" x14ac:dyDescent="0.25">
      <c r="A94853"/>
      <c r="B94853"/>
      <c r="C94853"/>
      <c r="E94853"/>
      <c r="F94853"/>
    </row>
    <row r="94854" spans="1:6" x14ac:dyDescent="0.25">
      <c r="A94854"/>
      <c r="B94854"/>
      <c r="C94854"/>
      <c r="E94854"/>
      <c r="F94854"/>
    </row>
    <row r="94855" spans="1:6" x14ac:dyDescent="0.25">
      <c r="A94855"/>
      <c r="B94855"/>
      <c r="C94855"/>
      <c r="E94855"/>
      <c r="F94855"/>
    </row>
    <row r="94856" spans="1:6" x14ac:dyDescent="0.25">
      <c r="A94856"/>
      <c r="B94856"/>
      <c r="C94856"/>
      <c r="E94856"/>
      <c r="F94856"/>
    </row>
    <row r="94857" spans="1:6" x14ac:dyDescent="0.25">
      <c r="A94857"/>
      <c r="B94857"/>
      <c r="C94857"/>
      <c r="E94857"/>
      <c r="F94857"/>
    </row>
    <row r="94858" spans="1:6" x14ac:dyDescent="0.25">
      <c r="A94858"/>
      <c r="B94858"/>
      <c r="C94858"/>
      <c r="E94858"/>
      <c r="F94858"/>
    </row>
    <row r="94859" spans="1:6" x14ac:dyDescent="0.25">
      <c r="A94859"/>
      <c r="B94859"/>
      <c r="C94859"/>
      <c r="E94859"/>
      <c r="F94859"/>
    </row>
    <row r="94860" spans="1:6" x14ac:dyDescent="0.25">
      <c r="A94860"/>
      <c r="B94860"/>
      <c r="C94860"/>
      <c r="E94860"/>
      <c r="F94860"/>
    </row>
    <row r="94861" spans="1:6" x14ac:dyDescent="0.25">
      <c r="A94861"/>
      <c r="B94861"/>
      <c r="C94861"/>
      <c r="E94861"/>
      <c r="F94861"/>
    </row>
    <row r="94862" spans="1:6" x14ac:dyDescent="0.25">
      <c r="A94862"/>
      <c r="B94862"/>
      <c r="C94862"/>
      <c r="E94862"/>
      <c r="F94862"/>
    </row>
    <row r="94863" spans="1:6" x14ac:dyDescent="0.25">
      <c r="A94863"/>
      <c r="B94863"/>
      <c r="C94863"/>
      <c r="E94863"/>
      <c r="F94863"/>
    </row>
    <row r="94864" spans="1:6" x14ac:dyDescent="0.25">
      <c r="A94864"/>
      <c r="B94864"/>
      <c r="C94864"/>
      <c r="E94864"/>
      <c r="F94864"/>
    </row>
    <row r="94865" spans="1:6" x14ac:dyDescent="0.25">
      <c r="A94865"/>
      <c r="B94865"/>
      <c r="C94865"/>
      <c r="E94865"/>
      <c r="F94865"/>
    </row>
    <row r="94866" spans="1:6" x14ac:dyDescent="0.25">
      <c r="A94866"/>
      <c r="B94866"/>
      <c r="C94866"/>
      <c r="E94866"/>
      <c r="F94866"/>
    </row>
    <row r="94867" spans="1:6" x14ac:dyDescent="0.25">
      <c r="A94867"/>
      <c r="B94867"/>
      <c r="C94867"/>
      <c r="E94867"/>
      <c r="F94867"/>
    </row>
    <row r="94868" spans="1:6" x14ac:dyDescent="0.25">
      <c r="A94868"/>
      <c r="B94868"/>
      <c r="C94868"/>
      <c r="E94868"/>
      <c r="F94868"/>
    </row>
    <row r="94869" spans="1:6" x14ac:dyDescent="0.25">
      <c r="A94869"/>
      <c r="B94869"/>
      <c r="C94869"/>
      <c r="E94869"/>
      <c r="F94869"/>
    </row>
    <row r="94870" spans="1:6" x14ac:dyDescent="0.25">
      <c r="A94870"/>
      <c r="B94870"/>
      <c r="C94870"/>
      <c r="E94870"/>
      <c r="F94870"/>
    </row>
    <row r="94871" spans="1:6" x14ac:dyDescent="0.25">
      <c r="A94871"/>
      <c r="B94871"/>
      <c r="C94871"/>
      <c r="E94871"/>
      <c r="F94871"/>
    </row>
    <row r="94872" spans="1:6" x14ac:dyDescent="0.25">
      <c r="A94872"/>
      <c r="B94872"/>
      <c r="C94872"/>
      <c r="E94872"/>
      <c r="F94872"/>
    </row>
    <row r="94873" spans="1:6" x14ac:dyDescent="0.25">
      <c r="A94873"/>
      <c r="B94873"/>
      <c r="C94873"/>
      <c r="E94873"/>
      <c r="F94873"/>
    </row>
    <row r="94874" spans="1:6" x14ac:dyDescent="0.25">
      <c r="A94874"/>
      <c r="B94874"/>
      <c r="C94874"/>
      <c r="E94874"/>
      <c r="F94874"/>
    </row>
    <row r="94875" spans="1:6" x14ac:dyDescent="0.25">
      <c r="A94875"/>
      <c r="B94875"/>
      <c r="C94875"/>
      <c r="E94875"/>
      <c r="F94875"/>
    </row>
    <row r="94876" spans="1:6" x14ac:dyDescent="0.25">
      <c r="A94876"/>
      <c r="B94876"/>
      <c r="C94876"/>
      <c r="E94876"/>
      <c r="F94876"/>
    </row>
    <row r="94877" spans="1:6" x14ac:dyDescent="0.25">
      <c r="A94877"/>
      <c r="B94877"/>
      <c r="C94877"/>
      <c r="E94877"/>
      <c r="F94877"/>
    </row>
    <row r="94878" spans="1:6" x14ac:dyDescent="0.25">
      <c r="A94878"/>
      <c r="B94878"/>
      <c r="C94878"/>
      <c r="E94878"/>
      <c r="F94878"/>
    </row>
    <row r="94879" spans="1:6" x14ac:dyDescent="0.25">
      <c r="A94879"/>
      <c r="B94879"/>
      <c r="C94879"/>
      <c r="E94879"/>
      <c r="F94879"/>
    </row>
    <row r="94880" spans="1:6" x14ac:dyDescent="0.25">
      <c r="A94880"/>
      <c r="B94880"/>
      <c r="C94880"/>
      <c r="E94880"/>
      <c r="F94880"/>
    </row>
    <row r="94881" spans="1:6" x14ac:dyDescent="0.25">
      <c r="A94881"/>
      <c r="B94881"/>
      <c r="C94881"/>
      <c r="E94881"/>
      <c r="F94881"/>
    </row>
    <row r="94882" spans="1:6" x14ac:dyDescent="0.25">
      <c r="A94882"/>
      <c r="B94882"/>
      <c r="C94882"/>
      <c r="E94882"/>
      <c r="F94882"/>
    </row>
    <row r="94883" spans="1:6" x14ac:dyDescent="0.25">
      <c r="A94883"/>
      <c r="B94883"/>
      <c r="C94883"/>
      <c r="E94883"/>
      <c r="F94883"/>
    </row>
    <row r="94884" spans="1:6" x14ac:dyDescent="0.25">
      <c r="A94884"/>
      <c r="B94884"/>
      <c r="C94884"/>
      <c r="E94884"/>
      <c r="F94884"/>
    </row>
    <row r="94885" spans="1:6" x14ac:dyDescent="0.25">
      <c r="A94885"/>
      <c r="B94885"/>
      <c r="C94885"/>
      <c r="E94885"/>
      <c r="F94885"/>
    </row>
    <row r="94886" spans="1:6" x14ac:dyDescent="0.25">
      <c r="A94886"/>
      <c r="B94886"/>
      <c r="C94886"/>
      <c r="E94886"/>
      <c r="F94886"/>
    </row>
    <row r="94887" spans="1:6" x14ac:dyDescent="0.25">
      <c r="A94887"/>
      <c r="B94887"/>
      <c r="C94887"/>
      <c r="E94887"/>
      <c r="F94887"/>
    </row>
    <row r="94888" spans="1:6" x14ac:dyDescent="0.25">
      <c r="A94888"/>
      <c r="B94888"/>
      <c r="C94888"/>
      <c r="E94888"/>
      <c r="F94888"/>
    </row>
    <row r="94889" spans="1:6" x14ac:dyDescent="0.25">
      <c r="A94889"/>
      <c r="B94889"/>
      <c r="C94889"/>
      <c r="E94889"/>
      <c r="F94889"/>
    </row>
    <row r="94890" spans="1:6" x14ac:dyDescent="0.25">
      <c r="A94890"/>
      <c r="B94890"/>
      <c r="C94890"/>
      <c r="E94890"/>
      <c r="F94890"/>
    </row>
    <row r="94891" spans="1:6" x14ac:dyDescent="0.25">
      <c r="A94891"/>
      <c r="B94891"/>
      <c r="C94891"/>
      <c r="E94891"/>
      <c r="F94891"/>
    </row>
    <row r="94892" spans="1:6" x14ac:dyDescent="0.25">
      <c r="A94892"/>
      <c r="B94892"/>
      <c r="C94892"/>
      <c r="E94892"/>
      <c r="F94892"/>
    </row>
    <row r="94893" spans="1:6" x14ac:dyDescent="0.25">
      <c r="A94893"/>
      <c r="B94893"/>
      <c r="C94893"/>
      <c r="E94893"/>
      <c r="F94893"/>
    </row>
    <row r="94894" spans="1:6" x14ac:dyDescent="0.25">
      <c r="A94894"/>
      <c r="B94894"/>
      <c r="C94894"/>
      <c r="E94894"/>
      <c r="F94894"/>
    </row>
    <row r="94895" spans="1:6" x14ac:dyDescent="0.25">
      <c r="A94895"/>
      <c r="B94895"/>
      <c r="C94895"/>
      <c r="E94895"/>
      <c r="F94895"/>
    </row>
    <row r="94896" spans="1:6" x14ac:dyDescent="0.25">
      <c r="A94896"/>
      <c r="B94896"/>
      <c r="C94896"/>
      <c r="E94896"/>
      <c r="F94896"/>
    </row>
    <row r="94897" spans="1:6" x14ac:dyDescent="0.25">
      <c r="A94897"/>
      <c r="B94897"/>
      <c r="C94897"/>
      <c r="E94897"/>
      <c r="F94897"/>
    </row>
    <row r="94898" spans="1:6" x14ac:dyDescent="0.25">
      <c r="A94898"/>
      <c r="B94898"/>
      <c r="C94898"/>
      <c r="E94898"/>
      <c r="F94898"/>
    </row>
    <row r="94899" spans="1:6" x14ac:dyDescent="0.25">
      <c r="A94899"/>
      <c r="B94899"/>
      <c r="C94899"/>
      <c r="E94899"/>
      <c r="F94899"/>
    </row>
    <row r="94900" spans="1:6" x14ac:dyDescent="0.25">
      <c r="A94900"/>
      <c r="B94900"/>
      <c r="C94900"/>
      <c r="E94900"/>
      <c r="F94900"/>
    </row>
    <row r="94901" spans="1:6" x14ac:dyDescent="0.25">
      <c r="A94901"/>
      <c r="B94901"/>
      <c r="C94901"/>
      <c r="E94901"/>
      <c r="F94901"/>
    </row>
    <row r="94902" spans="1:6" x14ac:dyDescent="0.25">
      <c r="A94902"/>
      <c r="B94902"/>
      <c r="C94902"/>
      <c r="E94902"/>
      <c r="F94902"/>
    </row>
    <row r="94903" spans="1:6" x14ac:dyDescent="0.25">
      <c r="A94903"/>
      <c r="B94903"/>
      <c r="C94903"/>
      <c r="E94903"/>
      <c r="F94903"/>
    </row>
    <row r="94904" spans="1:6" x14ac:dyDescent="0.25">
      <c r="A94904"/>
      <c r="B94904"/>
      <c r="C94904"/>
      <c r="E94904"/>
      <c r="F94904"/>
    </row>
    <row r="94905" spans="1:6" x14ac:dyDescent="0.25">
      <c r="A94905"/>
      <c r="B94905"/>
      <c r="C94905"/>
      <c r="E94905"/>
      <c r="F94905"/>
    </row>
    <row r="94906" spans="1:6" x14ac:dyDescent="0.25">
      <c r="A94906"/>
      <c r="B94906"/>
      <c r="C94906"/>
      <c r="E94906"/>
      <c r="F94906"/>
    </row>
    <row r="94907" spans="1:6" x14ac:dyDescent="0.25">
      <c r="A94907"/>
      <c r="B94907"/>
      <c r="C94907"/>
      <c r="E94907"/>
      <c r="F94907"/>
    </row>
    <row r="94908" spans="1:6" x14ac:dyDescent="0.25">
      <c r="A94908"/>
      <c r="B94908"/>
      <c r="C94908"/>
      <c r="E94908"/>
      <c r="F94908"/>
    </row>
    <row r="94909" spans="1:6" x14ac:dyDescent="0.25">
      <c r="A94909"/>
      <c r="B94909"/>
      <c r="C94909"/>
      <c r="E94909"/>
      <c r="F94909"/>
    </row>
    <row r="94910" spans="1:6" x14ac:dyDescent="0.25">
      <c r="A94910"/>
      <c r="B94910"/>
      <c r="C94910"/>
      <c r="E94910"/>
      <c r="F94910"/>
    </row>
    <row r="94911" spans="1:6" x14ac:dyDescent="0.25">
      <c r="A94911"/>
      <c r="B94911"/>
      <c r="C94911"/>
      <c r="E94911"/>
      <c r="F94911"/>
    </row>
    <row r="94912" spans="1:6" x14ac:dyDescent="0.25">
      <c r="A94912"/>
      <c r="B94912"/>
      <c r="C94912"/>
      <c r="E94912"/>
      <c r="F94912"/>
    </row>
    <row r="94913" spans="1:6" x14ac:dyDescent="0.25">
      <c r="A94913"/>
      <c r="B94913"/>
      <c r="C94913"/>
      <c r="E94913"/>
      <c r="F94913"/>
    </row>
    <row r="94914" spans="1:6" x14ac:dyDescent="0.25">
      <c r="A94914"/>
      <c r="B94914"/>
      <c r="C94914"/>
      <c r="E94914"/>
      <c r="F94914"/>
    </row>
    <row r="94915" spans="1:6" x14ac:dyDescent="0.25">
      <c r="A94915"/>
      <c r="B94915"/>
      <c r="C94915"/>
      <c r="E94915"/>
      <c r="F94915"/>
    </row>
    <row r="94916" spans="1:6" x14ac:dyDescent="0.25">
      <c r="A94916"/>
      <c r="B94916"/>
      <c r="C94916"/>
      <c r="E94916"/>
      <c r="F94916"/>
    </row>
    <row r="94917" spans="1:6" x14ac:dyDescent="0.25">
      <c r="A94917"/>
      <c r="B94917"/>
      <c r="C94917"/>
      <c r="E94917"/>
      <c r="F94917"/>
    </row>
    <row r="94918" spans="1:6" x14ac:dyDescent="0.25">
      <c r="A94918"/>
      <c r="B94918"/>
      <c r="C94918"/>
      <c r="E94918"/>
      <c r="F94918"/>
    </row>
    <row r="94919" spans="1:6" x14ac:dyDescent="0.25">
      <c r="A94919"/>
      <c r="B94919"/>
      <c r="C94919"/>
      <c r="E94919"/>
      <c r="F94919"/>
    </row>
    <row r="94920" spans="1:6" x14ac:dyDescent="0.25">
      <c r="A94920"/>
      <c r="B94920"/>
      <c r="C94920"/>
      <c r="E94920"/>
      <c r="F94920"/>
    </row>
    <row r="94921" spans="1:6" x14ac:dyDescent="0.25">
      <c r="A94921"/>
      <c r="B94921"/>
      <c r="C94921"/>
      <c r="E94921"/>
      <c r="F94921"/>
    </row>
    <row r="94922" spans="1:6" x14ac:dyDescent="0.25">
      <c r="A94922"/>
      <c r="B94922"/>
      <c r="C94922"/>
      <c r="E94922"/>
      <c r="F94922"/>
    </row>
    <row r="94923" spans="1:6" x14ac:dyDescent="0.25">
      <c r="A94923"/>
      <c r="B94923"/>
      <c r="C94923"/>
      <c r="E94923"/>
      <c r="F94923"/>
    </row>
    <row r="94924" spans="1:6" x14ac:dyDescent="0.25">
      <c r="A94924"/>
      <c r="B94924"/>
      <c r="C94924"/>
      <c r="E94924"/>
      <c r="F94924"/>
    </row>
    <row r="94925" spans="1:6" x14ac:dyDescent="0.25">
      <c r="A94925"/>
      <c r="B94925"/>
      <c r="C94925"/>
      <c r="E94925"/>
      <c r="F94925"/>
    </row>
    <row r="94926" spans="1:6" x14ac:dyDescent="0.25">
      <c r="A94926"/>
      <c r="B94926"/>
      <c r="C94926"/>
      <c r="E94926"/>
      <c r="F94926"/>
    </row>
    <row r="94927" spans="1:6" x14ac:dyDescent="0.25">
      <c r="A94927"/>
      <c r="B94927"/>
      <c r="C94927"/>
      <c r="E94927"/>
      <c r="F94927"/>
    </row>
    <row r="94928" spans="1:6" x14ac:dyDescent="0.25">
      <c r="A94928"/>
      <c r="B94928"/>
      <c r="C94928"/>
      <c r="E94928"/>
      <c r="F94928"/>
    </row>
    <row r="94929" spans="1:6" x14ac:dyDescent="0.25">
      <c r="A94929"/>
      <c r="B94929"/>
      <c r="C94929"/>
      <c r="E94929"/>
      <c r="F94929"/>
    </row>
    <row r="94930" spans="1:6" x14ac:dyDescent="0.25">
      <c r="A94930"/>
      <c r="B94930"/>
      <c r="C94930"/>
      <c r="E94930"/>
      <c r="F94930"/>
    </row>
    <row r="94931" spans="1:6" x14ac:dyDescent="0.25">
      <c r="A94931"/>
      <c r="B94931"/>
      <c r="C94931"/>
      <c r="E94931"/>
      <c r="F94931"/>
    </row>
    <row r="94932" spans="1:6" x14ac:dyDescent="0.25">
      <c r="A94932"/>
      <c r="B94932"/>
      <c r="C94932"/>
      <c r="E94932"/>
      <c r="F94932"/>
    </row>
    <row r="94933" spans="1:6" x14ac:dyDescent="0.25">
      <c r="A94933"/>
      <c r="B94933"/>
      <c r="C94933"/>
      <c r="E94933"/>
      <c r="F94933"/>
    </row>
    <row r="94934" spans="1:6" x14ac:dyDescent="0.25">
      <c r="A94934"/>
      <c r="B94934"/>
      <c r="C94934"/>
      <c r="E94934"/>
      <c r="F94934"/>
    </row>
    <row r="94935" spans="1:6" x14ac:dyDescent="0.25">
      <c r="A94935"/>
      <c r="B94935"/>
      <c r="C94935"/>
      <c r="E94935"/>
      <c r="F94935"/>
    </row>
    <row r="94936" spans="1:6" x14ac:dyDescent="0.25">
      <c r="A94936"/>
      <c r="B94936"/>
      <c r="C94936"/>
      <c r="E94936"/>
      <c r="F94936"/>
    </row>
    <row r="94937" spans="1:6" x14ac:dyDescent="0.25">
      <c r="A94937"/>
      <c r="B94937"/>
      <c r="C94937"/>
      <c r="E94937"/>
      <c r="F94937"/>
    </row>
    <row r="94938" spans="1:6" x14ac:dyDescent="0.25">
      <c r="A94938"/>
      <c r="B94938"/>
      <c r="C94938"/>
      <c r="E94938"/>
      <c r="F94938"/>
    </row>
    <row r="94939" spans="1:6" x14ac:dyDescent="0.25">
      <c r="A94939"/>
      <c r="B94939"/>
      <c r="C94939"/>
      <c r="E94939"/>
      <c r="F94939"/>
    </row>
    <row r="94940" spans="1:6" x14ac:dyDescent="0.25">
      <c r="A94940"/>
      <c r="B94940"/>
      <c r="C94940"/>
      <c r="E94940"/>
      <c r="F94940"/>
    </row>
    <row r="94941" spans="1:6" x14ac:dyDescent="0.25">
      <c r="A94941"/>
      <c r="B94941"/>
      <c r="C94941"/>
      <c r="E94941"/>
      <c r="F94941"/>
    </row>
    <row r="94942" spans="1:6" x14ac:dyDescent="0.25">
      <c r="A94942"/>
      <c r="B94942"/>
      <c r="C94942"/>
      <c r="E94942"/>
      <c r="F94942"/>
    </row>
    <row r="94943" spans="1:6" x14ac:dyDescent="0.25">
      <c r="A94943"/>
      <c r="B94943"/>
      <c r="C94943"/>
      <c r="E94943"/>
      <c r="F94943"/>
    </row>
    <row r="94944" spans="1:6" x14ac:dyDescent="0.25">
      <c r="A94944"/>
      <c r="B94944"/>
      <c r="C94944"/>
      <c r="E94944"/>
      <c r="F94944"/>
    </row>
    <row r="94945" spans="1:6" x14ac:dyDescent="0.25">
      <c r="A94945"/>
      <c r="B94945"/>
      <c r="C94945"/>
      <c r="E94945"/>
      <c r="F94945"/>
    </row>
    <row r="94946" spans="1:6" x14ac:dyDescent="0.25">
      <c r="A94946"/>
      <c r="B94946"/>
      <c r="C94946"/>
      <c r="E94946"/>
      <c r="F94946"/>
    </row>
    <row r="94947" spans="1:6" x14ac:dyDescent="0.25">
      <c r="A94947"/>
      <c r="B94947"/>
      <c r="C94947"/>
      <c r="E94947"/>
      <c r="F94947"/>
    </row>
    <row r="94948" spans="1:6" x14ac:dyDescent="0.25">
      <c r="A94948"/>
      <c r="B94948"/>
      <c r="C94948"/>
      <c r="E94948"/>
      <c r="F94948"/>
    </row>
    <row r="94949" spans="1:6" x14ac:dyDescent="0.25">
      <c r="A94949"/>
      <c r="B94949"/>
      <c r="C94949"/>
      <c r="E94949"/>
      <c r="F94949"/>
    </row>
    <row r="94950" spans="1:6" x14ac:dyDescent="0.25">
      <c r="A94950"/>
      <c r="B94950"/>
      <c r="C94950"/>
      <c r="E94950"/>
      <c r="F94950"/>
    </row>
    <row r="94951" spans="1:6" x14ac:dyDescent="0.25">
      <c r="A94951"/>
      <c r="B94951"/>
      <c r="C94951"/>
      <c r="E94951"/>
      <c r="F94951"/>
    </row>
    <row r="94952" spans="1:6" x14ac:dyDescent="0.25">
      <c r="A94952"/>
      <c r="B94952"/>
      <c r="C94952"/>
      <c r="E94952"/>
      <c r="F94952"/>
    </row>
    <row r="94953" spans="1:6" x14ac:dyDescent="0.25">
      <c r="A94953"/>
      <c r="B94953"/>
      <c r="C94953"/>
      <c r="E94953"/>
      <c r="F94953"/>
    </row>
    <row r="94954" spans="1:6" x14ac:dyDescent="0.25">
      <c r="A94954"/>
      <c r="B94954"/>
      <c r="C94954"/>
      <c r="E94954"/>
      <c r="F94954"/>
    </row>
    <row r="94955" spans="1:6" x14ac:dyDescent="0.25">
      <c r="A94955"/>
      <c r="B94955"/>
      <c r="C94955"/>
      <c r="E94955"/>
      <c r="F94955"/>
    </row>
    <row r="94956" spans="1:6" x14ac:dyDescent="0.25">
      <c r="A94956"/>
      <c r="B94956"/>
      <c r="C94956"/>
      <c r="E94956"/>
      <c r="F94956"/>
    </row>
    <row r="94957" spans="1:6" x14ac:dyDescent="0.25">
      <c r="A94957"/>
      <c r="B94957"/>
      <c r="C94957"/>
      <c r="E94957"/>
      <c r="F94957"/>
    </row>
    <row r="94958" spans="1:6" x14ac:dyDescent="0.25">
      <c r="A94958"/>
      <c r="B94958"/>
      <c r="C94958"/>
      <c r="E94958"/>
      <c r="F94958"/>
    </row>
    <row r="94959" spans="1:6" x14ac:dyDescent="0.25">
      <c r="A94959"/>
      <c r="B94959"/>
      <c r="C94959"/>
      <c r="E94959"/>
      <c r="F94959"/>
    </row>
    <row r="94960" spans="1:6" x14ac:dyDescent="0.25">
      <c r="A94960"/>
      <c r="B94960"/>
      <c r="C94960"/>
      <c r="E94960"/>
      <c r="F94960"/>
    </row>
    <row r="94961" spans="1:6" x14ac:dyDescent="0.25">
      <c r="A94961"/>
      <c r="B94961"/>
      <c r="C94961"/>
      <c r="E94961"/>
      <c r="F94961"/>
    </row>
    <row r="94962" spans="1:6" x14ac:dyDescent="0.25">
      <c r="A94962"/>
      <c r="B94962"/>
      <c r="C94962"/>
      <c r="E94962"/>
      <c r="F94962"/>
    </row>
    <row r="94963" spans="1:6" x14ac:dyDescent="0.25">
      <c r="A94963"/>
      <c r="B94963"/>
      <c r="C94963"/>
      <c r="E94963"/>
      <c r="F94963"/>
    </row>
    <row r="94964" spans="1:6" x14ac:dyDescent="0.25">
      <c r="A94964"/>
      <c r="B94964"/>
      <c r="C94964"/>
      <c r="E94964"/>
      <c r="F94964"/>
    </row>
    <row r="94965" spans="1:6" x14ac:dyDescent="0.25">
      <c r="A94965"/>
      <c r="B94965"/>
      <c r="C94965"/>
      <c r="E94965"/>
      <c r="F94965"/>
    </row>
    <row r="94966" spans="1:6" x14ac:dyDescent="0.25">
      <c r="A94966"/>
      <c r="B94966"/>
      <c r="C94966"/>
      <c r="E94966"/>
      <c r="F94966"/>
    </row>
    <row r="94967" spans="1:6" x14ac:dyDescent="0.25">
      <c r="A94967"/>
      <c r="B94967"/>
      <c r="C94967"/>
      <c r="E94967"/>
      <c r="F94967"/>
    </row>
    <row r="94968" spans="1:6" x14ac:dyDescent="0.25">
      <c r="A94968"/>
      <c r="B94968"/>
      <c r="C94968"/>
      <c r="E94968"/>
      <c r="F94968"/>
    </row>
    <row r="94969" spans="1:6" x14ac:dyDescent="0.25">
      <c r="A94969"/>
      <c r="B94969"/>
      <c r="C94969"/>
      <c r="E94969"/>
      <c r="F94969"/>
    </row>
    <row r="94970" spans="1:6" x14ac:dyDescent="0.25">
      <c r="A94970"/>
      <c r="B94970"/>
      <c r="C94970"/>
      <c r="E94970"/>
      <c r="F94970"/>
    </row>
    <row r="94971" spans="1:6" x14ac:dyDescent="0.25">
      <c r="A94971"/>
      <c r="B94971"/>
      <c r="C94971"/>
      <c r="E94971"/>
      <c r="F94971"/>
    </row>
    <row r="94972" spans="1:6" x14ac:dyDescent="0.25">
      <c r="A94972"/>
      <c r="B94972"/>
      <c r="C94972"/>
      <c r="E94972"/>
      <c r="F94972"/>
    </row>
    <row r="94973" spans="1:6" x14ac:dyDescent="0.25">
      <c r="A94973"/>
      <c r="B94973"/>
      <c r="C94973"/>
      <c r="E94973"/>
      <c r="F94973"/>
    </row>
    <row r="94974" spans="1:6" x14ac:dyDescent="0.25">
      <c r="A94974"/>
      <c r="B94974"/>
      <c r="C94974"/>
      <c r="E94974"/>
      <c r="F94974"/>
    </row>
    <row r="94975" spans="1:6" x14ac:dyDescent="0.25">
      <c r="A94975"/>
      <c r="B94975"/>
      <c r="C94975"/>
      <c r="E94975"/>
      <c r="F94975"/>
    </row>
    <row r="94976" spans="1:6" x14ac:dyDescent="0.25">
      <c r="A94976"/>
      <c r="B94976"/>
      <c r="C94976"/>
      <c r="E94976"/>
      <c r="F94976"/>
    </row>
    <row r="94977" spans="1:6" x14ac:dyDescent="0.25">
      <c r="A94977"/>
      <c r="B94977"/>
      <c r="C94977"/>
      <c r="E94977"/>
      <c r="F94977"/>
    </row>
    <row r="94978" spans="1:6" x14ac:dyDescent="0.25">
      <c r="A94978"/>
      <c r="B94978"/>
      <c r="C94978"/>
      <c r="E94978"/>
      <c r="F94978"/>
    </row>
    <row r="94979" spans="1:6" x14ac:dyDescent="0.25">
      <c r="A94979"/>
      <c r="B94979"/>
      <c r="C94979"/>
      <c r="E94979"/>
      <c r="F94979"/>
    </row>
    <row r="94980" spans="1:6" x14ac:dyDescent="0.25">
      <c r="A94980"/>
      <c r="B94980"/>
      <c r="C94980"/>
      <c r="E94980"/>
      <c r="F94980"/>
    </row>
    <row r="94981" spans="1:6" x14ac:dyDescent="0.25">
      <c r="A94981"/>
      <c r="B94981"/>
      <c r="C94981"/>
      <c r="E94981"/>
      <c r="F94981"/>
    </row>
    <row r="94982" spans="1:6" x14ac:dyDescent="0.25">
      <c r="A94982"/>
      <c r="B94982"/>
      <c r="C94982"/>
      <c r="E94982"/>
      <c r="F94982"/>
    </row>
    <row r="94983" spans="1:6" x14ac:dyDescent="0.25">
      <c r="A94983"/>
      <c r="B94983"/>
      <c r="C94983"/>
      <c r="E94983"/>
      <c r="F94983"/>
    </row>
    <row r="94984" spans="1:6" x14ac:dyDescent="0.25">
      <c r="A94984"/>
      <c r="B94984"/>
      <c r="C94984"/>
      <c r="E94984"/>
      <c r="F94984"/>
    </row>
    <row r="94985" spans="1:6" x14ac:dyDescent="0.25">
      <c r="A94985"/>
      <c r="B94985"/>
      <c r="C94985"/>
      <c r="E94985"/>
      <c r="F94985"/>
    </row>
    <row r="94986" spans="1:6" x14ac:dyDescent="0.25">
      <c r="A94986"/>
      <c r="B94986"/>
      <c r="C94986"/>
      <c r="E94986"/>
      <c r="F94986"/>
    </row>
    <row r="94987" spans="1:6" x14ac:dyDescent="0.25">
      <c r="A94987"/>
      <c r="B94987"/>
      <c r="C94987"/>
      <c r="E94987"/>
      <c r="F94987"/>
    </row>
    <row r="94988" spans="1:6" x14ac:dyDescent="0.25">
      <c r="A94988"/>
      <c r="B94988"/>
      <c r="C94988"/>
      <c r="E94988"/>
      <c r="F94988"/>
    </row>
    <row r="94989" spans="1:6" x14ac:dyDescent="0.25">
      <c r="A94989"/>
      <c r="B94989"/>
      <c r="C94989"/>
      <c r="E94989"/>
      <c r="F94989"/>
    </row>
    <row r="94990" spans="1:6" x14ac:dyDescent="0.25">
      <c r="A94990"/>
      <c r="B94990"/>
      <c r="C94990"/>
      <c r="E94990"/>
      <c r="F94990"/>
    </row>
    <row r="94991" spans="1:6" x14ac:dyDescent="0.25">
      <c r="A94991"/>
      <c r="B94991"/>
      <c r="C94991"/>
      <c r="E94991"/>
      <c r="F94991"/>
    </row>
    <row r="94992" spans="1:6" x14ac:dyDescent="0.25">
      <c r="A94992"/>
      <c r="B94992"/>
      <c r="C94992"/>
      <c r="E94992"/>
      <c r="F94992"/>
    </row>
    <row r="94993" spans="1:6" x14ac:dyDescent="0.25">
      <c r="A94993"/>
      <c r="B94993"/>
      <c r="C94993"/>
      <c r="E94993"/>
      <c r="F94993"/>
    </row>
    <row r="94994" spans="1:6" x14ac:dyDescent="0.25">
      <c r="A94994"/>
      <c r="B94994"/>
      <c r="C94994"/>
      <c r="E94994"/>
      <c r="F94994"/>
    </row>
    <row r="94995" spans="1:6" x14ac:dyDescent="0.25">
      <c r="A94995"/>
      <c r="B94995"/>
      <c r="C94995"/>
      <c r="E94995"/>
      <c r="F94995"/>
    </row>
    <row r="94996" spans="1:6" x14ac:dyDescent="0.25">
      <c r="A94996"/>
      <c r="B94996"/>
      <c r="C94996"/>
      <c r="E94996"/>
      <c r="F94996"/>
    </row>
    <row r="94997" spans="1:6" x14ac:dyDescent="0.25">
      <c r="A94997"/>
      <c r="B94997"/>
      <c r="C94997"/>
      <c r="E94997"/>
      <c r="F94997"/>
    </row>
    <row r="94998" spans="1:6" x14ac:dyDescent="0.25">
      <c r="A94998"/>
      <c r="B94998"/>
      <c r="C94998"/>
      <c r="E94998"/>
      <c r="F94998"/>
    </row>
    <row r="94999" spans="1:6" x14ac:dyDescent="0.25">
      <c r="A94999"/>
      <c r="B94999"/>
      <c r="C94999"/>
      <c r="E94999"/>
      <c r="F94999"/>
    </row>
    <row r="95000" spans="1:6" x14ac:dyDescent="0.25">
      <c r="A95000"/>
      <c r="B95000"/>
      <c r="C95000"/>
      <c r="E95000"/>
      <c r="F95000"/>
    </row>
    <row r="95001" spans="1:6" x14ac:dyDescent="0.25">
      <c r="A95001"/>
      <c r="B95001"/>
      <c r="C95001"/>
      <c r="E95001"/>
      <c r="F95001"/>
    </row>
    <row r="95002" spans="1:6" x14ac:dyDescent="0.25">
      <c r="A95002"/>
      <c r="B95002"/>
      <c r="C95002"/>
      <c r="E95002"/>
      <c r="F95002"/>
    </row>
    <row r="95003" spans="1:6" x14ac:dyDescent="0.25">
      <c r="A95003"/>
      <c r="B95003"/>
      <c r="C95003"/>
      <c r="E95003"/>
      <c r="F95003"/>
    </row>
    <row r="95004" spans="1:6" x14ac:dyDescent="0.25">
      <c r="A95004"/>
      <c r="B95004"/>
      <c r="C95004"/>
      <c r="E95004"/>
      <c r="F95004"/>
    </row>
    <row r="95005" spans="1:6" x14ac:dyDescent="0.25">
      <c r="A95005"/>
      <c r="B95005"/>
      <c r="C95005"/>
      <c r="E95005"/>
      <c r="F95005"/>
    </row>
    <row r="95006" spans="1:6" x14ac:dyDescent="0.25">
      <c r="A95006"/>
      <c r="B95006"/>
      <c r="C95006"/>
      <c r="E95006"/>
      <c r="F95006"/>
    </row>
    <row r="95007" spans="1:6" x14ac:dyDescent="0.25">
      <c r="A95007"/>
      <c r="B95007"/>
      <c r="C95007"/>
      <c r="E95007"/>
      <c r="F95007"/>
    </row>
    <row r="95008" spans="1:6" x14ac:dyDescent="0.25">
      <c r="A95008"/>
      <c r="B95008"/>
      <c r="C95008"/>
      <c r="E95008"/>
      <c r="F95008"/>
    </row>
    <row r="95009" spans="1:6" x14ac:dyDescent="0.25">
      <c r="A95009"/>
      <c r="B95009"/>
      <c r="C95009"/>
      <c r="E95009"/>
      <c r="F95009"/>
    </row>
    <row r="95010" spans="1:6" x14ac:dyDescent="0.25">
      <c r="A95010"/>
      <c r="B95010"/>
      <c r="C95010"/>
      <c r="E95010"/>
      <c r="F95010"/>
    </row>
    <row r="95011" spans="1:6" x14ac:dyDescent="0.25">
      <c r="A95011"/>
      <c r="B95011"/>
      <c r="C95011"/>
      <c r="E95011"/>
      <c r="F95011"/>
    </row>
    <row r="95012" spans="1:6" x14ac:dyDescent="0.25">
      <c r="A95012"/>
      <c r="B95012"/>
      <c r="C95012"/>
      <c r="E95012"/>
      <c r="F95012"/>
    </row>
    <row r="95013" spans="1:6" x14ac:dyDescent="0.25">
      <c r="A95013"/>
      <c r="B95013"/>
      <c r="C95013"/>
      <c r="E95013"/>
      <c r="F95013"/>
    </row>
    <row r="95014" spans="1:6" x14ac:dyDescent="0.25">
      <c r="A95014"/>
      <c r="B95014"/>
      <c r="C95014"/>
      <c r="E95014"/>
      <c r="F95014"/>
    </row>
    <row r="95015" spans="1:6" x14ac:dyDescent="0.25">
      <c r="A95015"/>
      <c r="B95015"/>
      <c r="C95015"/>
      <c r="E95015"/>
      <c r="F95015"/>
    </row>
    <row r="95016" spans="1:6" x14ac:dyDescent="0.25">
      <c r="A95016"/>
      <c r="B95016"/>
      <c r="C95016"/>
      <c r="E95016"/>
      <c r="F95016"/>
    </row>
    <row r="95017" spans="1:6" x14ac:dyDescent="0.25">
      <c r="A95017"/>
      <c r="B95017"/>
      <c r="C95017"/>
      <c r="E95017"/>
      <c r="F95017"/>
    </row>
    <row r="95018" spans="1:6" x14ac:dyDescent="0.25">
      <c r="A95018"/>
      <c r="B95018"/>
      <c r="C95018"/>
      <c r="E95018"/>
      <c r="F95018"/>
    </row>
    <row r="95019" spans="1:6" x14ac:dyDescent="0.25">
      <c r="A95019"/>
      <c r="B95019"/>
      <c r="C95019"/>
      <c r="E95019"/>
      <c r="F95019"/>
    </row>
    <row r="95020" spans="1:6" x14ac:dyDescent="0.25">
      <c r="A95020"/>
      <c r="B95020"/>
      <c r="C95020"/>
      <c r="E95020"/>
      <c r="F95020"/>
    </row>
    <row r="95021" spans="1:6" x14ac:dyDescent="0.25">
      <c r="A95021"/>
      <c r="B95021"/>
      <c r="C95021"/>
      <c r="E95021"/>
      <c r="F95021"/>
    </row>
    <row r="95022" spans="1:6" x14ac:dyDescent="0.25">
      <c r="A95022"/>
      <c r="B95022"/>
      <c r="C95022"/>
      <c r="E95022"/>
      <c r="F95022"/>
    </row>
    <row r="95023" spans="1:6" x14ac:dyDescent="0.25">
      <c r="A95023"/>
      <c r="B95023"/>
      <c r="C95023"/>
      <c r="E95023"/>
      <c r="F95023"/>
    </row>
    <row r="95024" spans="1:6" x14ac:dyDescent="0.25">
      <c r="A95024"/>
      <c r="B95024"/>
      <c r="C95024"/>
      <c r="E95024"/>
      <c r="F95024"/>
    </row>
    <row r="95025" spans="1:6" x14ac:dyDescent="0.25">
      <c r="A95025"/>
      <c r="B95025"/>
      <c r="C95025"/>
      <c r="E95025"/>
      <c r="F95025"/>
    </row>
    <row r="95026" spans="1:6" x14ac:dyDescent="0.25">
      <c r="A95026"/>
      <c r="B95026"/>
      <c r="C95026"/>
      <c r="E95026"/>
      <c r="F95026"/>
    </row>
    <row r="95027" spans="1:6" x14ac:dyDescent="0.25">
      <c r="A95027"/>
      <c r="B95027"/>
      <c r="C95027"/>
      <c r="E95027"/>
      <c r="F95027"/>
    </row>
    <row r="95028" spans="1:6" x14ac:dyDescent="0.25">
      <c r="A95028"/>
      <c r="B95028"/>
      <c r="C95028"/>
      <c r="E95028"/>
      <c r="F95028"/>
    </row>
    <row r="95029" spans="1:6" x14ac:dyDescent="0.25">
      <c r="A95029"/>
      <c r="B95029"/>
      <c r="C95029"/>
      <c r="E95029"/>
      <c r="F95029"/>
    </row>
    <row r="95030" spans="1:6" x14ac:dyDescent="0.25">
      <c r="A95030"/>
      <c r="B95030"/>
      <c r="C95030"/>
      <c r="E95030"/>
      <c r="F95030"/>
    </row>
    <row r="95031" spans="1:6" x14ac:dyDescent="0.25">
      <c r="A95031"/>
      <c r="B95031"/>
      <c r="C95031"/>
      <c r="E95031"/>
      <c r="F95031"/>
    </row>
    <row r="95032" spans="1:6" x14ac:dyDescent="0.25">
      <c r="A95032"/>
      <c r="B95032"/>
      <c r="C95032"/>
      <c r="E95032"/>
      <c r="F95032"/>
    </row>
    <row r="95033" spans="1:6" x14ac:dyDescent="0.25">
      <c r="A95033"/>
      <c r="B95033"/>
      <c r="C95033"/>
      <c r="E95033"/>
      <c r="F95033"/>
    </row>
    <row r="95034" spans="1:6" x14ac:dyDescent="0.25">
      <c r="A95034"/>
      <c r="B95034"/>
      <c r="C95034"/>
      <c r="E95034"/>
      <c r="F95034"/>
    </row>
    <row r="95035" spans="1:6" x14ac:dyDescent="0.25">
      <c r="A95035"/>
      <c r="B95035"/>
      <c r="C95035"/>
      <c r="E95035"/>
      <c r="F95035"/>
    </row>
    <row r="95036" spans="1:6" x14ac:dyDescent="0.25">
      <c r="A95036"/>
      <c r="B95036"/>
      <c r="C95036"/>
      <c r="E95036"/>
      <c r="F95036"/>
    </row>
    <row r="95037" spans="1:6" x14ac:dyDescent="0.25">
      <c r="A95037"/>
      <c r="B95037"/>
      <c r="C95037"/>
      <c r="E95037"/>
      <c r="F95037"/>
    </row>
    <row r="95038" spans="1:6" x14ac:dyDescent="0.25">
      <c r="A95038"/>
      <c r="B95038"/>
      <c r="C95038"/>
      <c r="E95038"/>
      <c r="F95038"/>
    </row>
    <row r="95039" spans="1:6" x14ac:dyDescent="0.25">
      <c r="A95039"/>
      <c r="B95039"/>
      <c r="C95039"/>
      <c r="E95039"/>
      <c r="F95039"/>
    </row>
    <row r="95040" spans="1:6" x14ac:dyDescent="0.25">
      <c r="A95040"/>
      <c r="B95040"/>
      <c r="C95040"/>
      <c r="E95040"/>
      <c r="F95040"/>
    </row>
    <row r="95041" spans="1:6" x14ac:dyDescent="0.25">
      <c r="A95041"/>
      <c r="B95041"/>
      <c r="C95041"/>
      <c r="E95041"/>
      <c r="F95041"/>
    </row>
    <row r="95042" spans="1:6" x14ac:dyDescent="0.25">
      <c r="A95042"/>
      <c r="B95042"/>
      <c r="C95042"/>
      <c r="E95042"/>
      <c r="F95042"/>
    </row>
    <row r="95043" spans="1:6" x14ac:dyDescent="0.25">
      <c r="A95043"/>
      <c r="B95043"/>
      <c r="C95043"/>
      <c r="E95043"/>
      <c r="F95043"/>
    </row>
    <row r="95044" spans="1:6" x14ac:dyDescent="0.25">
      <c r="A95044"/>
      <c r="B95044"/>
      <c r="C95044"/>
      <c r="E95044"/>
      <c r="F95044"/>
    </row>
    <row r="95045" spans="1:6" x14ac:dyDescent="0.25">
      <c r="A95045"/>
      <c r="B95045"/>
      <c r="C95045"/>
      <c r="E95045"/>
      <c r="F95045"/>
    </row>
    <row r="95046" spans="1:6" x14ac:dyDescent="0.25">
      <c r="A95046"/>
      <c r="B95046"/>
      <c r="C95046"/>
      <c r="E95046"/>
      <c r="F95046"/>
    </row>
    <row r="95047" spans="1:6" x14ac:dyDescent="0.25">
      <c r="A95047"/>
      <c r="B95047"/>
      <c r="C95047"/>
      <c r="E95047"/>
      <c r="F95047"/>
    </row>
    <row r="95048" spans="1:6" x14ac:dyDescent="0.25">
      <c r="A95048"/>
      <c r="B95048"/>
      <c r="C95048"/>
      <c r="E95048"/>
      <c r="F95048"/>
    </row>
    <row r="95049" spans="1:6" x14ac:dyDescent="0.25">
      <c r="A95049"/>
      <c r="B95049"/>
      <c r="C95049"/>
      <c r="E95049"/>
      <c r="F95049"/>
    </row>
    <row r="95050" spans="1:6" x14ac:dyDescent="0.25">
      <c r="A95050"/>
      <c r="B95050"/>
      <c r="C95050"/>
      <c r="E95050"/>
      <c r="F95050"/>
    </row>
    <row r="95051" spans="1:6" x14ac:dyDescent="0.25">
      <c r="A95051"/>
      <c r="B95051"/>
      <c r="C95051"/>
      <c r="E95051"/>
      <c r="F95051"/>
    </row>
    <row r="95052" spans="1:6" x14ac:dyDescent="0.25">
      <c r="A95052"/>
      <c r="B95052"/>
      <c r="C95052"/>
      <c r="E95052"/>
      <c r="F95052"/>
    </row>
    <row r="95053" spans="1:6" x14ac:dyDescent="0.25">
      <c r="A95053"/>
      <c r="B95053"/>
      <c r="C95053"/>
      <c r="E95053"/>
      <c r="F95053"/>
    </row>
    <row r="95054" spans="1:6" x14ac:dyDescent="0.25">
      <c r="A95054"/>
      <c r="B95054"/>
      <c r="C95054"/>
      <c r="E95054"/>
      <c r="F95054"/>
    </row>
    <row r="95055" spans="1:6" x14ac:dyDescent="0.25">
      <c r="A95055"/>
      <c r="B95055"/>
      <c r="C95055"/>
      <c r="E95055"/>
      <c r="F95055"/>
    </row>
    <row r="95056" spans="1:6" x14ac:dyDescent="0.25">
      <c r="A95056"/>
      <c r="B95056"/>
      <c r="C95056"/>
      <c r="E95056"/>
      <c r="F95056"/>
    </row>
    <row r="95057" spans="1:6" x14ac:dyDescent="0.25">
      <c r="A95057"/>
      <c r="B95057"/>
      <c r="C95057"/>
      <c r="E95057"/>
      <c r="F95057"/>
    </row>
    <row r="95058" spans="1:6" x14ac:dyDescent="0.25">
      <c r="A95058"/>
      <c r="B95058"/>
      <c r="C95058"/>
      <c r="E95058"/>
      <c r="F95058"/>
    </row>
    <row r="95059" spans="1:6" x14ac:dyDescent="0.25">
      <c r="A95059"/>
      <c r="B95059"/>
      <c r="C95059"/>
      <c r="E95059"/>
      <c r="F95059"/>
    </row>
    <row r="95060" spans="1:6" x14ac:dyDescent="0.25">
      <c r="A95060"/>
      <c r="B95060"/>
      <c r="C95060"/>
      <c r="E95060"/>
      <c r="F95060"/>
    </row>
    <row r="95061" spans="1:6" x14ac:dyDescent="0.25">
      <c r="A95061"/>
      <c r="B95061"/>
      <c r="C95061"/>
      <c r="E95061"/>
      <c r="F95061"/>
    </row>
    <row r="95062" spans="1:6" x14ac:dyDescent="0.25">
      <c r="A95062"/>
      <c r="B95062"/>
      <c r="C95062"/>
      <c r="E95062"/>
      <c r="F95062"/>
    </row>
    <row r="95063" spans="1:6" x14ac:dyDescent="0.25">
      <c r="A95063"/>
      <c r="B95063"/>
      <c r="C95063"/>
      <c r="E95063"/>
      <c r="F95063"/>
    </row>
    <row r="95064" spans="1:6" x14ac:dyDescent="0.25">
      <c r="A95064"/>
      <c r="B95064"/>
      <c r="C95064"/>
      <c r="E95064"/>
      <c r="F95064"/>
    </row>
    <row r="95065" spans="1:6" x14ac:dyDescent="0.25">
      <c r="A95065"/>
      <c r="B95065"/>
      <c r="C95065"/>
      <c r="E95065"/>
      <c r="F95065"/>
    </row>
    <row r="95066" spans="1:6" x14ac:dyDescent="0.25">
      <c r="A95066"/>
      <c r="B95066"/>
      <c r="C95066"/>
      <c r="E95066"/>
      <c r="F95066"/>
    </row>
    <row r="95067" spans="1:6" x14ac:dyDescent="0.25">
      <c r="A95067"/>
      <c r="B95067"/>
      <c r="C95067"/>
      <c r="E95067"/>
      <c r="F95067"/>
    </row>
    <row r="95068" spans="1:6" x14ac:dyDescent="0.25">
      <c r="A95068"/>
      <c r="B95068"/>
      <c r="C95068"/>
      <c r="E95068"/>
      <c r="F95068"/>
    </row>
    <row r="95069" spans="1:6" x14ac:dyDescent="0.25">
      <c r="A95069"/>
      <c r="B95069"/>
      <c r="C95069"/>
      <c r="E95069"/>
      <c r="F95069"/>
    </row>
    <row r="95070" spans="1:6" x14ac:dyDescent="0.25">
      <c r="A95070"/>
      <c r="B95070"/>
      <c r="C95070"/>
      <c r="E95070"/>
      <c r="F95070"/>
    </row>
    <row r="95071" spans="1:6" x14ac:dyDescent="0.25">
      <c r="A95071"/>
      <c r="B95071"/>
      <c r="C95071"/>
      <c r="E95071"/>
      <c r="F95071"/>
    </row>
    <row r="95072" spans="1:6" x14ac:dyDescent="0.25">
      <c r="A95072"/>
      <c r="B95072"/>
      <c r="C95072"/>
      <c r="E95072"/>
      <c r="F95072"/>
    </row>
    <row r="95073" spans="1:6" x14ac:dyDescent="0.25">
      <c r="A95073"/>
      <c r="B95073"/>
      <c r="C95073"/>
      <c r="E95073"/>
      <c r="F95073"/>
    </row>
    <row r="95074" spans="1:6" x14ac:dyDescent="0.25">
      <c r="A95074"/>
      <c r="B95074"/>
      <c r="C95074"/>
      <c r="E95074"/>
      <c r="F95074"/>
    </row>
    <row r="95075" spans="1:6" x14ac:dyDescent="0.25">
      <c r="A95075"/>
      <c r="B95075"/>
      <c r="C95075"/>
      <c r="E95075"/>
      <c r="F95075"/>
    </row>
    <row r="95076" spans="1:6" x14ac:dyDescent="0.25">
      <c r="A95076"/>
      <c r="B95076"/>
      <c r="C95076"/>
      <c r="E95076"/>
      <c r="F95076"/>
    </row>
    <row r="95077" spans="1:6" x14ac:dyDescent="0.25">
      <c r="A95077"/>
      <c r="B95077"/>
      <c r="C95077"/>
      <c r="E95077"/>
      <c r="F95077"/>
    </row>
    <row r="95078" spans="1:6" x14ac:dyDescent="0.25">
      <c r="A95078"/>
      <c r="B95078"/>
      <c r="C95078"/>
      <c r="E95078"/>
      <c r="F95078"/>
    </row>
    <row r="95079" spans="1:6" x14ac:dyDescent="0.25">
      <c r="A95079"/>
      <c r="B95079"/>
      <c r="C95079"/>
      <c r="E95079"/>
      <c r="F95079"/>
    </row>
    <row r="95080" spans="1:6" x14ac:dyDescent="0.25">
      <c r="A95080"/>
      <c r="B95080"/>
      <c r="C95080"/>
      <c r="E95080"/>
      <c r="F95080"/>
    </row>
    <row r="95081" spans="1:6" x14ac:dyDescent="0.25">
      <c r="A95081"/>
      <c r="B95081"/>
      <c r="C95081"/>
      <c r="E95081"/>
      <c r="F95081"/>
    </row>
    <row r="95082" spans="1:6" x14ac:dyDescent="0.25">
      <c r="A95082"/>
      <c r="B95082"/>
      <c r="C95082"/>
      <c r="E95082"/>
      <c r="F95082"/>
    </row>
    <row r="95083" spans="1:6" x14ac:dyDescent="0.25">
      <c r="A95083"/>
      <c r="B95083"/>
      <c r="C95083"/>
      <c r="E95083"/>
      <c r="F95083"/>
    </row>
    <row r="95084" spans="1:6" x14ac:dyDescent="0.25">
      <c r="A95084"/>
      <c r="B95084"/>
      <c r="C95084"/>
      <c r="E95084"/>
      <c r="F95084"/>
    </row>
    <row r="95085" spans="1:6" x14ac:dyDescent="0.25">
      <c r="A95085"/>
      <c r="B95085"/>
      <c r="C95085"/>
      <c r="E95085"/>
      <c r="F95085"/>
    </row>
    <row r="95086" spans="1:6" x14ac:dyDescent="0.25">
      <c r="A95086"/>
      <c r="B95086"/>
      <c r="C95086"/>
      <c r="E95086"/>
      <c r="F95086"/>
    </row>
    <row r="95087" spans="1:6" x14ac:dyDescent="0.25">
      <c r="A95087"/>
      <c r="B95087"/>
      <c r="C95087"/>
      <c r="E95087"/>
      <c r="F95087"/>
    </row>
    <row r="95088" spans="1:6" x14ac:dyDescent="0.25">
      <c r="A95088"/>
      <c r="B95088"/>
      <c r="C95088"/>
      <c r="E95088"/>
      <c r="F95088"/>
    </row>
    <row r="95089" spans="1:6" x14ac:dyDescent="0.25">
      <c r="A95089"/>
      <c r="B95089"/>
      <c r="C95089"/>
      <c r="E95089"/>
      <c r="F95089"/>
    </row>
    <row r="95090" spans="1:6" x14ac:dyDescent="0.25">
      <c r="A95090"/>
      <c r="B95090"/>
      <c r="C95090"/>
      <c r="E95090"/>
      <c r="F95090"/>
    </row>
    <row r="95091" spans="1:6" x14ac:dyDescent="0.25">
      <c r="A95091"/>
      <c r="B95091"/>
      <c r="C95091"/>
      <c r="E95091"/>
      <c r="F95091"/>
    </row>
    <row r="95092" spans="1:6" x14ac:dyDescent="0.25">
      <c r="A95092"/>
      <c r="B95092"/>
      <c r="C95092"/>
      <c r="E95092"/>
      <c r="F95092"/>
    </row>
    <row r="95093" spans="1:6" x14ac:dyDescent="0.25">
      <c r="A95093"/>
      <c r="B95093"/>
      <c r="C95093"/>
      <c r="E95093"/>
      <c r="F95093"/>
    </row>
    <row r="95094" spans="1:6" x14ac:dyDescent="0.25">
      <c r="A95094"/>
      <c r="B95094"/>
      <c r="C95094"/>
      <c r="E95094"/>
      <c r="F95094"/>
    </row>
    <row r="95095" spans="1:6" x14ac:dyDescent="0.25">
      <c r="A95095"/>
      <c r="B95095"/>
      <c r="C95095"/>
      <c r="E95095"/>
      <c r="F95095"/>
    </row>
    <row r="95096" spans="1:6" x14ac:dyDescent="0.25">
      <c r="A95096"/>
      <c r="B95096"/>
      <c r="C95096"/>
      <c r="E95096"/>
      <c r="F95096"/>
    </row>
    <row r="95097" spans="1:6" x14ac:dyDescent="0.25">
      <c r="A95097"/>
      <c r="B95097"/>
      <c r="C95097"/>
      <c r="E95097"/>
      <c r="F95097"/>
    </row>
    <row r="95098" spans="1:6" x14ac:dyDescent="0.25">
      <c r="A95098"/>
      <c r="B95098"/>
      <c r="C95098"/>
      <c r="E95098"/>
      <c r="F95098"/>
    </row>
    <row r="95099" spans="1:6" x14ac:dyDescent="0.25">
      <c r="A95099"/>
      <c r="B95099"/>
      <c r="C95099"/>
      <c r="E95099"/>
      <c r="F95099"/>
    </row>
    <row r="95100" spans="1:6" x14ac:dyDescent="0.25">
      <c r="A95100"/>
      <c r="B95100"/>
      <c r="C95100"/>
      <c r="E95100"/>
      <c r="F95100"/>
    </row>
    <row r="95101" spans="1:6" x14ac:dyDescent="0.25">
      <c r="A95101"/>
      <c r="B95101"/>
      <c r="C95101"/>
      <c r="E95101"/>
      <c r="F95101"/>
    </row>
    <row r="95102" spans="1:6" x14ac:dyDescent="0.25">
      <c r="A95102"/>
      <c r="B95102"/>
      <c r="C95102"/>
      <c r="E95102"/>
      <c r="F95102"/>
    </row>
    <row r="95103" spans="1:6" x14ac:dyDescent="0.25">
      <c r="A95103"/>
      <c r="B95103"/>
      <c r="C95103"/>
      <c r="E95103"/>
      <c r="F95103"/>
    </row>
    <row r="95104" spans="1:6" x14ac:dyDescent="0.25">
      <c r="A95104"/>
      <c r="B95104"/>
      <c r="C95104"/>
      <c r="E95104"/>
      <c r="F95104"/>
    </row>
    <row r="95105" spans="1:6" x14ac:dyDescent="0.25">
      <c r="A95105"/>
      <c r="B95105"/>
      <c r="C95105"/>
      <c r="E95105"/>
      <c r="F95105"/>
    </row>
    <row r="95106" spans="1:6" x14ac:dyDescent="0.25">
      <c r="A95106"/>
      <c r="B95106"/>
      <c r="C95106"/>
      <c r="E95106"/>
      <c r="F95106"/>
    </row>
    <row r="95107" spans="1:6" x14ac:dyDescent="0.25">
      <c r="A95107"/>
      <c r="B95107"/>
      <c r="C95107"/>
      <c r="E95107"/>
      <c r="F95107"/>
    </row>
    <row r="95108" spans="1:6" x14ac:dyDescent="0.25">
      <c r="A95108"/>
      <c r="B95108"/>
      <c r="C95108"/>
      <c r="E95108"/>
      <c r="F95108"/>
    </row>
    <row r="95109" spans="1:6" x14ac:dyDescent="0.25">
      <c r="A95109"/>
      <c r="B95109"/>
      <c r="C95109"/>
      <c r="E95109"/>
      <c r="F95109"/>
    </row>
    <row r="95110" spans="1:6" x14ac:dyDescent="0.25">
      <c r="A95110"/>
      <c r="B95110"/>
      <c r="C95110"/>
      <c r="E95110"/>
      <c r="F95110"/>
    </row>
    <row r="95111" spans="1:6" x14ac:dyDescent="0.25">
      <c r="A95111"/>
      <c r="B95111"/>
      <c r="C95111"/>
      <c r="E95111"/>
      <c r="F95111"/>
    </row>
    <row r="95112" spans="1:6" x14ac:dyDescent="0.25">
      <c r="A95112"/>
      <c r="B95112"/>
      <c r="C95112"/>
      <c r="E95112"/>
      <c r="F95112"/>
    </row>
    <row r="95113" spans="1:6" x14ac:dyDescent="0.25">
      <c r="A95113"/>
      <c r="B95113"/>
      <c r="C95113"/>
      <c r="E95113"/>
      <c r="F95113"/>
    </row>
    <row r="95114" spans="1:6" x14ac:dyDescent="0.25">
      <c r="A95114"/>
      <c r="B95114"/>
      <c r="C95114"/>
      <c r="E95114"/>
      <c r="F95114"/>
    </row>
    <row r="95115" spans="1:6" x14ac:dyDescent="0.25">
      <c r="A95115"/>
      <c r="B95115"/>
      <c r="C95115"/>
      <c r="E95115"/>
      <c r="F95115"/>
    </row>
    <row r="95116" spans="1:6" x14ac:dyDescent="0.25">
      <c r="A95116"/>
      <c r="B95116"/>
      <c r="C95116"/>
      <c r="E95116"/>
      <c r="F95116"/>
    </row>
    <row r="95117" spans="1:6" x14ac:dyDescent="0.25">
      <c r="A95117"/>
      <c r="B95117"/>
      <c r="C95117"/>
      <c r="E95117"/>
      <c r="F95117"/>
    </row>
    <row r="95118" spans="1:6" x14ac:dyDescent="0.25">
      <c r="A95118"/>
      <c r="B95118"/>
      <c r="C95118"/>
      <c r="E95118"/>
      <c r="F95118"/>
    </row>
    <row r="95119" spans="1:6" x14ac:dyDescent="0.25">
      <c r="A95119"/>
      <c r="B95119"/>
      <c r="C95119"/>
      <c r="E95119"/>
      <c r="F95119"/>
    </row>
    <row r="95120" spans="1:6" x14ac:dyDescent="0.25">
      <c r="A95120"/>
      <c r="B95120"/>
      <c r="C95120"/>
      <c r="E95120"/>
      <c r="F95120"/>
    </row>
    <row r="95121" spans="1:6" x14ac:dyDescent="0.25">
      <c r="A95121"/>
      <c r="B95121"/>
      <c r="C95121"/>
      <c r="E95121"/>
      <c r="F95121"/>
    </row>
    <row r="95122" spans="1:6" x14ac:dyDescent="0.25">
      <c r="A95122"/>
      <c r="B95122"/>
      <c r="C95122"/>
      <c r="E95122"/>
      <c r="F95122"/>
    </row>
    <row r="95123" spans="1:6" x14ac:dyDescent="0.25">
      <c r="A95123"/>
      <c r="B95123"/>
      <c r="C95123"/>
      <c r="E95123"/>
      <c r="F95123"/>
    </row>
    <row r="95124" spans="1:6" x14ac:dyDescent="0.25">
      <c r="A95124"/>
      <c r="B95124"/>
      <c r="C95124"/>
      <c r="E95124"/>
      <c r="F95124"/>
    </row>
    <row r="95125" spans="1:6" x14ac:dyDescent="0.25">
      <c r="A95125"/>
      <c r="B95125"/>
      <c r="C95125"/>
      <c r="E95125"/>
      <c r="F95125"/>
    </row>
    <row r="95126" spans="1:6" x14ac:dyDescent="0.25">
      <c r="A95126"/>
      <c r="B95126"/>
      <c r="C95126"/>
      <c r="E95126"/>
      <c r="F95126"/>
    </row>
    <row r="95127" spans="1:6" x14ac:dyDescent="0.25">
      <c r="A95127"/>
      <c r="B95127"/>
      <c r="C95127"/>
      <c r="E95127"/>
      <c r="F95127"/>
    </row>
    <row r="95128" spans="1:6" x14ac:dyDescent="0.25">
      <c r="A95128"/>
      <c r="B95128"/>
      <c r="C95128"/>
      <c r="E95128"/>
      <c r="F95128"/>
    </row>
    <row r="95129" spans="1:6" x14ac:dyDescent="0.25">
      <c r="A95129"/>
      <c r="B95129"/>
      <c r="C95129"/>
      <c r="E95129"/>
      <c r="F95129"/>
    </row>
    <row r="95130" spans="1:6" x14ac:dyDescent="0.25">
      <c r="A95130"/>
      <c r="B95130"/>
      <c r="C95130"/>
      <c r="E95130"/>
      <c r="F95130"/>
    </row>
    <row r="95131" spans="1:6" x14ac:dyDescent="0.25">
      <c r="A95131"/>
      <c r="B95131"/>
      <c r="C95131"/>
      <c r="E95131"/>
      <c r="F95131"/>
    </row>
    <row r="95132" spans="1:6" x14ac:dyDescent="0.25">
      <c r="A95132"/>
      <c r="B95132"/>
      <c r="C95132"/>
      <c r="E95132"/>
      <c r="F95132"/>
    </row>
    <row r="95133" spans="1:6" x14ac:dyDescent="0.25">
      <c r="A95133"/>
      <c r="B95133"/>
      <c r="C95133"/>
      <c r="E95133"/>
      <c r="F95133"/>
    </row>
    <row r="95134" spans="1:6" x14ac:dyDescent="0.25">
      <c r="A95134"/>
      <c r="B95134"/>
      <c r="C95134"/>
      <c r="E95134"/>
      <c r="F95134"/>
    </row>
    <row r="95135" spans="1:6" x14ac:dyDescent="0.25">
      <c r="A95135"/>
      <c r="B95135"/>
      <c r="C95135"/>
      <c r="E95135"/>
      <c r="F95135"/>
    </row>
    <row r="95136" spans="1:6" x14ac:dyDescent="0.25">
      <c r="A95136"/>
      <c r="B95136"/>
      <c r="C95136"/>
      <c r="E95136"/>
      <c r="F95136"/>
    </row>
    <row r="95137" spans="1:6" x14ac:dyDescent="0.25">
      <c r="A95137"/>
      <c r="B95137"/>
      <c r="C95137"/>
      <c r="E95137"/>
      <c r="F95137"/>
    </row>
    <row r="95138" spans="1:6" x14ac:dyDescent="0.25">
      <c r="A95138"/>
      <c r="B95138"/>
      <c r="C95138"/>
      <c r="E95138"/>
      <c r="F95138"/>
    </row>
    <row r="95139" spans="1:6" x14ac:dyDescent="0.25">
      <c r="A95139"/>
      <c r="B95139"/>
      <c r="C95139"/>
      <c r="E95139"/>
      <c r="F95139"/>
    </row>
    <row r="95140" spans="1:6" x14ac:dyDescent="0.25">
      <c r="A95140"/>
      <c r="B95140"/>
      <c r="C95140"/>
      <c r="E95140"/>
      <c r="F95140"/>
    </row>
    <row r="95141" spans="1:6" x14ac:dyDescent="0.25">
      <c r="A95141"/>
      <c r="B95141"/>
      <c r="C95141"/>
      <c r="E95141"/>
      <c r="F95141"/>
    </row>
    <row r="95142" spans="1:6" x14ac:dyDescent="0.25">
      <c r="A95142"/>
      <c r="B95142"/>
      <c r="C95142"/>
      <c r="E95142"/>
      <c r="F95142"/>
    </row>
    <row r="95143" spans="1:6" x14ac:dyDescent="0.25">
      <c r="A95143"/>
      <c r="B95143"/>
      <c r="C95143"/>
      <c r="E95143"/>
      <c r="F95143"/>
    </row>
    <row r="95144" spans="1:6" x14ac:dyDescent="0.25">
      <c r="A95144"/>
      <c r="B95144"/>
      <c r="C95144"/>
      <c r="E95144"/>
      <c r="F95144"/>
    </row>
    <row r="95145" spans="1:6" x14ac:dyDescent="0.25">
      <c r="A95145"/>
      <c r="B95145"/>
      <c r="C95145"/>
      <c r="E95145"/>
      <c r="F95145"/>
    </row>
    <row r="95146" spans="1:6" x14ac:dyDescent="0.25">
      <c r="A95146"/>
      <c r="B95146"/>
      <c r="C95146"/>
      <c r="E95146"/>
      <c r="F95146"/>
    </row>
    <row r="95147" spans="1:6" x14ac:dyDescent="0.25">
      <c r="A95147"/>
      <c r="B95147"/>
      <c r="C95147"/>
      <c r="E95147"/>
      <c r="F95147"/>
    </row>
    <row r="95148" spans="1:6" x14ac:dyDescent="0.25">
      <c r="A95148"/>
      <c r="B95148"/>
      <c r="C95148"/>
      <c r="E95148"/>
      <c r="F95148"/>
    </row>
    <row r="95149" spans="1:6" x14ac:dyDescent="0.25">
      <c r="A95149"/>
      <c r="B95149"/>
      <c r="C95149"/>
      <c r="E95149"/>
      <c r="F95149"/>
    </row>
    <row r="95150" spans="1:6" x14ac:dyDescent="0.25">
      <c r="A95150"/>
      <c r="B95150"/>
      <c r="C95150"/>
      <c r="E95150"/>
      <c r="F95150"/>
    </row>
    <row r="95151" spans="1:6" x14ac:dyDescent="0.25">
      <c r="A95151"/>
      <c r="B95151"/>
      <c r="C95151"/>
      <c r="E95151"/>
      <c r="F95151"/>
    </row>
    <row r="95152" spans="1:6" x14ac:dyDescent="0.25">
      <c r="A95152"/>
      <c r="B95152"/>
      <c r="C95152"/>
      <c r="E95152"/>
      <c r="F95152"/>
    </row>
    <row r="95153" spans="1:6" x14ac:dyDescent="0.25">
      <c r="A95153"/>
      <c r="B95153"/>
      <c r="C95153"/>
      <c r="E95153"/>
      <c r="F95153"/>
    </row>
    <row r="95154" spans="1:6" x14ac:dyDescent="0.25">
      <c r="A95154"/>
      <c r="B95154"/>
      <c r="C95154"/>
      <c r="E95154"/>
      <c r="F95154"/>
    </row>
    <row r="95155" spans="1:6" x14ac:dyDescent="0.25">
      <c r="A95155"/>
      <c r="B95155"/>
      <c r="C95155"/>
      <c r="E95155"/>
      <c r="F95155"/>
    </row>
    <row r="95156" spans="1:6" x14ac:dyDescent="0.25">
      <c r="A95156"/>
      <c r="B95156"/>
      <c r="C95156"/>
      <c r="E95156"/>
      <c r="F95156"/>
    </row>
    <row r="95157" spans="1:6" x14ac:dyDescent="0.25">
      <c r="A95157"/>
      <c r="B95157"/>
      <c r="C95157"/>
      <c r="E95157"/>
      <c r="F95157"/>
    </row>
    <row r="95158" spans="1:6" x14ac:dyDescent="0.25">
      <c r="A95158"/>
      <c r="B95158"/>
      <c r="C95158"/>
      <c r="E95158"/>
      <c r="F95158"/>
    </row>
    <row r="95159" spans="1:6" x14ac:dyDescent="0.25">
      <c r="A95159"/>
      <c r="B95159"/>
      <c r="C95159"/>
      <c r="E95159"/>
      <c r="F95159"/>
    </row>
    <row r="95160" spans="1:6" x14ac:dyDescent="0.25">
      <c r="A95160"/>
      <c r="B95160"/>
      <c r="C95160"/>
      <c r="E95160"/>
      <c r="F95160"/>
    </row>
    <row r="95161" spans="1:6" x14ac:dyDescent="0.25">
      <c r="A95161"/>
      <c r="B95161"/>
      <c r="C95161"/>
      <c r="E95161"/>
      <c r="F95161"/>
    </row>
    <row r="95162" spans="1:6" x14ac:dyDescent="0.25">
      <c r="A95162"/>
      <c r="B95162"/>
      <c r="C95162"/>
      <c r="E95162"/>
      <c r="F95162"/>
    </row>
    <row r="95163" spans="1:6" x14ac:dyDescent="0.25">
      <c r="A95163"/>
      <c r="B95163"/>
      <c r="C95163"/>
      <c r="E95163"/>
      <c r="F95163"/>
    </row>
    <row r="95164" spans="1:6" x14ac:dyDescent="0.25">
      <c r="A95164"/>
      <c r="B95164"/>
      <c r="C95164"/>
      <c r="E95164"/>
      <c r="F95164"/>
    </row>
    <row r="95165" spans="1:6" x14ac:dyDescent="0.25">
      <c r="A95165"/>
      <c r="B95165"/>
      <c r="C95165"/>
      <c r="E95165"/>
      <c r="F95165"/>
    </row>
    <row r="95166" spans="1:6" x14ac:dyDescent="0.25">
      <c r="A95166"/>
      <c r="B95166"/>
      <c r="C95166"/>
      <c r="E95166"/>
      <c r="F95166"/>
    </row>
    <row r="95167" spans="1:6" x14ac:dyDescent="0.25">
      <c r="A95167"/>
      <c r="B95167"/>
      <c r="C95167"/>
      <c r="E95167"/>
      <c r="F95167"/>
    </row>
    <row r="95168" spans="1:6" x14ac:dyDescent="0.25">
      <c r="A95168"/>
      <c r="B95168"/>
      <c r="C95168"/>
      <c r="E95168"/>
      <c r="F95168"/>
    </row>
    <row r="95169" spans="1:6" x14ac:dyDescent="0.25">
      <c r="A95169"/>
      <c r="B95169"/>
      <c r="C95169"/>
      <c r="E95169"/>
      <c r="F95169"/>
    </row>
    <row r="95170" spans="1:6" x14ac:dyDescent="0.25">
      <c r="A95170"/>
      <c r="B95170"/>
      <c r="C95170"/>
      <c r="E95170"/>
      <c r="F95170"/>
    </row>
    <row r="95171" spans="1:6" x14ac:dyDescent="0.25">
      <c r="A95171"/>
      <c r="B95171"/>
      <c r="C95171"/>
      <c r="E95171"/>
      <c r="F95171"/>
    </row>
    <row r="95172" spans="1:6" x14ac:dyDescent="0.25">
      <c r="A95172"/>
      <c r="B95172"/>
      <c r="C95172"/>
      <c r="E95172"/>
      <c r="F95172"/>
    </row>
    <row r="95173" spans="1:6" x14ac:dyDescent="0.25">
      <c r="A95173"/>
      <c r="B95173"/>
      <c r="C95173"/>
      <c r="E95173"/>
      <c r="F95173"/>
    </row>
    <row r="95174" spans="1:6" x14ac:dyDescent="0.25">
      <c r="A95174"/>
      <c r="B95174"/>
      <c r="C95174"/>
      <c r="E95174"/>
      <c r="F95174"/>
    </row>
    <row r="95175" spans="1:6" x14ac:dyDescent="0.25">
      <c r="A95175"/>
      <c r="B95175"/>
      <c r="C95175"/>
      <c r="E95175"/>
      <c r="F95175"/>
    </row>
    <row r="95176" spans="1:6" x14ac:dyDescent="0.25">
      <c r="A95176"/>
      <c r="B95176"/>
      <c r="C95176"/>
      <c r="E95176"/>
      <c r="F95176"/>
    </row>
    <row r="95177" spans="1:6" x14ac:dyDescent="0.25">
      <c r="A95177"/>
      <c r="B95177"/>
      <c r="C95177"/>
      <c r="E95177"/>
      <c r="F95177"/>
    </row>
    <row r="95178" spans="1:6" x14ac:dyDescent="0.25">
      <c r="A95178"/>
      <c r="B95178"/>
      <c r="C95178"/>
      <c r="E95178"/>
      <c r="F95178"/>
    </row>
    <row r="95179" spans="1:6" x14ac:dyDescent="0.25">
      <c r="A95179"/>
      <c r="B95179"/>
      <c r="C95179"/>
      <c r="E95179"/>
      <c r="F95179"/>
    </row>
    <row r="95180" spans="1:6" x14ac:dyDescent="0.25">
      <c r="A95180"/>
      <c r="B95180"/>
      <c r="C95180"/>
      <c r="E95180"/>
      <c r="F95180"/>
    </row>
    <row r="95181" spans="1:6" x14ac:dyDescent="0.25">
      <c r="A95181"/>
      <c r="B95181"/>
      <c r="C95181"/>
      <c r="E95181"/>
      <c r="F95181"/>
    </row>
    <row r="95182" spans="1:6" x14ac:dyDescent="0.25">
      <c r="A95182"/>
      <c r="B95182"/>
      <c r="C95182"/>
      <c r="E95182"/>
      <c r="F95182"/>
    </row>
    <row r="95183" spans="1:6" x14ac:dyDescent="0.25">
      <c r="A95183"/>
      <c r="B95183"/>
      <c r="C95183"/>
      <c r="E95183"/>
      <c r="F95183"/>
    </row>
    <row r="95184" spans="1:6" x14ac:dyDescent="0.25">
      <c r="A95184"/>
      <c r="B95184"/>
      <c r="C95184"/>
      <c r="E95184"/>
      <c r="F95184"/>
    </row>
    <row r="95185" spans="1:6" x14ac:dyDescent="0.25">
      <c r="A95185"/>
      <c r="B95185"/>
      <c r="C95185"/>
      <c r="E95185"/>
      <c r="F95185"/>
    </row>
    <row r="95186" spans="1:6" x14ac:dyDescent="0.25">
      <c r="A95186"/>
      <c r="B95186"/>
      <c r="C95186"/>
      <c r="E95186"/>
      <c r="F95186"/>
    </row>
    <row r="95187" spans="1:6" x14ac:dyDescent="0.25">
      <c r="A95187"/>
      <c r="B95187"/>
      <c r="C95187"/>
      <c r="E95187"/>
      <c r="F95187"/>
    </row>
    <row r="95188" spans="1:6" x14ac:dyDescent="0.25">
      <c r="A95188"/>
      <c r="B95188"/>
      <c r="C95188"/>
      <c r="E95188"/>
      <c r="F95188"/>
    </row>
    <row r="95189" spans="1:6" x14ac:dyDescent="0.25">
      <c r="A95189"/>
      <c r="B95189"/>
      <c r="C95189"/>
      <c r="E95189"/>
      <c r="F95189"/>
    </row>
    <row r="95190" spans="1:6" x14ac:dyDescent="0.25">
      <c r="A95190"/>
      <c r="B95190"/>
      <c r="C95190"/>
      <c r="E95190"/>
      <c r="F95190"/>
    </row>
    <row r="95191" spans="1:6" x14ac:dyDescent="0.25">
      <c r="A95191"/>
      <c r="B95191"/>
      <c r="C95191"/>
      <c r="E95191"/>
      <c r="F95191"/>
    </row>
    <row r="95192" spans="1:6" x14ac:dyDescent="0.25">
      <c r="A95192"/>
      <c r="B95192"/>
      <c r="C95192"/>
      <c r="E95192"/>
      <c r="F95192"/>
    </row>
    <row r="95193" spans="1:6" x14ac:dyDescent="0.25">
      <c r="A95193"/>
      <c r="B95193"/>
      <c r="C95193"/>
      <c r="E95193"/>
      <c r="F95193"/>
    </row>
    <row r="95194" spans="1:6" x14ac:dyDescent="0.25">
      <c r="A95194"/>
      <c r="B95194"/>
      <c r="C95194"/>
      <c r="E95194"/>
      <c r="F95194"/>
    </row>
    <row r="95195" spans="1:6" x14ac:dyDescent="0.25">
      <c r="A95195"/>
      <c r="B95195"/>
      <c r="C95195"/>
      <c r="E95195"/>
      <c r="F95195"/>
    </row>
    <row r="95196" spans="1:6" x14ac:dyDescent="0.25">
      <c r="A95196"/>
      <c r="B95196"/>
      <c r="C95196"/>
      <c r="E95196"/>
      <c r="F95196"/>
    </row>
    <row r="95197" spans="1:6" x14ac:dyDescent="0.25">
      <c r="A95197"/>
      <c r="B95197"/>
      <c r="C95197"/>
      <c r="E95197"/>
      <c r="F95197"/>
    </row>
    <row r="95198" spans="1:6" x14ac:dyDescent="0.25">
      <c r="A95198"/>
      <c r="B95198"/>
      <c r="C95198"/>
      <c r="E95198"/>
      <c r="F95198"/>
    </row>
    <row r="95199" spans="1:6" x14ac:dyDescent="0.25">
      <c r="A95199"/>
      <c r="B95199"/>
      <c r="C95199"/>
      <c r="E95199"/>
      <c r="F95199"/>
    </row>
    <row r="95200" spans="1:6" x14ac:dyDescent="0.25">
      <c r="A95200"/>
      <c r="B95200"/>
      <c r="C95200"/>
      <c r="E95200"/>
      <c r="F95200"/>
    </row>
    <row r="95201" spans="1:6" x14ac:dyDescent="0.25">
      <c r="A95201"/>
      <c r="B95201"/>
      <c r="C95201"/>
      <c r="E95201"/>
      <c r="F95201"/>
    </row>
    <row r="95202" spans="1:6" x14ac:dyDescent="0.25">
      <c r="A95202"/>
      <c r="B95202"/>
      <c r="C95202"/>
      <c r="E95202"/>
      <c r="F95202"/>
    </row>
    <row r="95203" spans="1:6" x14ac:dyDescent="0.25">
      <c r="A95203"/>
      <c r="B95203"/>
      <c r="C95203"/>
      <c r="E95203"/>
      <c r="F95203"/>
    </row>
    <row r="95204" spans="1:6" x14ac:dyDescent="0.25">
      <c r="A95204"/>
      <c r="B95204"/>
      <c r="C95204"/>
      <c r="E95204"/>
      <c r="F95204"/>
    </row>
    <row r="95205" spans="1:6" x14ac:dyDescent="0.25">
      <c r="A95205"/>
      <c r="B95205"/>
      <c r="C95205"/>
      <c r="E95205"/>
      <c r="F95205"/>
    </row>
    <row r="95206" spans="1:6" x14ac:dyDescent="0.25">
      <c r="A95206"/>
      <c r="B95206"/>
      <c r="C95206"/>
      <c r="E95206"/>
      <c r="F95206"/>
    </row>
    <row r="95207" spans="1:6" x14ac:dyDescent="0.25">
      <c r="A95207"/>
      <c r="B95207"/>
      <c r="C95207"/>
      <c r="E95207"/>
      <c r="F95207"/>
    </row>
    <row r="95208" spans="1:6" x14ac:dyDescent="0.25">
      <c r="A95208"/>
      <c r="B95208"/>
      <c r="C95208"/>
      <c r="E95208"/>
      <c r="F95208"/>
    </row>
    <row r="95209" spans="1:6" x14ac:dyDescent="0.25">
      <c r="A95209"/>
      <c r="B95209"/>
      <c r="C95209"/>
      <c r="E95209"/>
      <c r="F95209"/>
    </row>
    <row r="95210" spans="1:6" x14ac:dyDescent="0.25">
      <c r="A95210"/>
      <c r="B95210"/>
      <c r="C95210"/>
      <c r="E95210"/>
      <c r="F95210"/>
    </row>
    <row r="95211" spans="1:6" x14ac:dyDescent="0.25">
      <c r="A95211"/>
      <c r="B95211"/>
      <c r="C95211"/>
      <c r="E95211"/>
      <c r="F95211"/>
    </row>
    <row r="95212" spans="1:6" x14ac:dyDescent="0.25">
      <c r="A95212"/>
      <c r="B95212"/>
      <c r="C95212"/>
      <c r="E95212"/>
      <c r="F95212"/>
    </row>
    <row r="95213" spans="1:6" x14ac:dyDescent="0.25">
      <c r="A95213"/>
      <c r="B95213"/>
      <c r="C95213"/>
      <c r="E95213"/>
      <c r="F95213"/>
    </row>
    <row r="95214" spans="1:6" x14ac:dyDescent="0.25">
      <c r="A95214"/>
      <c r="B95214"/>
      <c r="C95214"/>
      <c r="E95214"/>
      <c r="F95214"/>
    </row>
    <row r="95215" spans="1:6" x14ac:dyDescent="0.25">
      <c r="A95215"/>
      <c r="B95215"/>
      <c r="C95215"/>
      <c r="E95215"/>
      <c r="F95215"/>
    </row>
    <row r="95216" spans="1:6" x14ac:dyDescent="0.25">
      <c r="A95216"/>
      <c r="B95216"/>
      <c r="C95216"/>
      <c r="E95216"/>
      <c r="F95216"/>
    </row>
    <row r="95217" spans="1:6" x14ac:dyDescent="0.25">
      <c r="A95217"/>
      <c r="B95217"/>
      <c r="C95217"/>
      <c r="E95217"/>
      <c r="F95217"/>
    </row>
    <row r="95218" spans="1:6" x14ac:dyDescent="0.25">
      <c r="A95218"/>
      <c r="B95218"/>
      <c r="C95218"/>
      <c r="E95218"/>
      <c r="F95218"/>
    </row>
    <row r="95219" spans="1:6" x14ac:dyDescent="0.25">
      <c r="A95219"/>
      <c r="B95219"/>
      <c r="C95219"/>
      <c r="E95219"/>
      <c r="F95219"/>
    </row>
    <row r="95220" spans="1:6" x14ac:dyDescent="0.25">
      <c r="A95220"/>
      <c r="B95220"/>
      <c r="C95220"/>
      <c r="E95220"/>
      <c r="F95220"/>
    </row>
    <row r="95221" spans="1:6" x14ac:dyDescent="0.25">
      <c r="A95221"/>
      <c r="B95221"/>
      <c r="C95221"/>
      <c r="E95221"/>
      <c r="F95221"/>
    </row>
    <row r="95222" spans="1:6" x14ac:dyDescent="0.25">
      <c r="A95222"/>
      <c r="B95222"/>
      <c r="C95222"/>
      <c r="E95222"/>
      <c r="F95222"/>
    </row>
    <row r="95223" spans="1:6" x14ac:dyDescent="0.25">
      <c r="A95223"/>
      <c r="B95223"/>
      <c r="C95223"/>
      <c r="E95223"/>
      <c r="F95223"/>
    </row>
    <row r="95224" spans="1:6" x14ac:dyDescent="0.25">
      <c r="A95224"/>
      <c r="B95224"/>
      <c r="C95224"/>
      <c r="E95224"/>
      <c r="F95224"/>
    </row>
    <row r="95225" spans="1:6" x14ac:dyDescent="0.25">
      <c r="A95225"/>
      <c r="B95225"/>
      <c r="C95225"/>
      <c r="E95225"/>
      <c r="F95225"/>
    </row>
    <row r="95226" spans="1:6" x14ac:dyDescent="0.25">
      <c r="A95226"/>
      <c r="B95226"/>
      <c r="C95226"/>
      <c r="E95226"/>
      <c r="F95226"/>
    </row>
    <row r="95227" spans="1:6" x14ac:dyDescent="0.25">
      <c r="A95227"/>
      <c r="B95227"/>
      <c r="C95227"/>
      <c r="E95227"/>
      <c r="F95227"/>
    </row>
    <row r="95228" spans="1:6" x14ac:dyDescent="0.25">
      <c r="A95228"/>
      <c r="B95228"/>
      <c r="C95228"/>
      <c r="E95228"/>
      <c r="F95228"/>
    </row>
    <row r="95229" spans="1:6" x14ac:dyDescent="0.25">
      <c r="A95229"/>
      <c r="B95229"/>
      <c r="C95229"/>
      <c r="E95229"/>
      <c r="F95229"/>
    </row>
    <row r="95230" spans="1:6" x14ac:dyDescent="0.25">
      <c r="A95230"/>
      <c r="B95230"/>
      <c r="C95230"/>
      <c r="E95230"/>
      <c r="F95230"/>
    </row>
    <row r="95231" spans="1:6" x14ac:dyDescent="0.25">
      <c r="A95231"/>
      <c r="B95231"/>
      <c r="C95231"/>
      <c r="E95231"/>
      <c r="F95231"/>
    </row>
    <row r="95232" spans="1:6" x14ac:dyDescent="0.25">
      <c r="A95232"/>
      <c r="B95232"/>
      <c r="C95232"/>
      <c r="E95232"/>
      <c r="F95232"/>
    </row>
    <row r="95233" spans="1:6" x14ac:dyDescent="0.25">
      <c r="A95233"/>
      <c r="B95233"/>
      <c r="C95233"/>
      <c r="E95233"/>
      <c r="F95233"/>
    </row>
    <row r="95234" spans="1:6" x14ac:dyDescent="0.25">
      <c r="A95234"/>
      <c r="B95234"/>
      <c r="C95234"/>
      <c r="E95234"/>
      <c r="F95234"/>
    </row>
    <row r="95235" spans="1:6" x14ac:dyDescent="0.25">
      <c r="A95235"/>
      <c r="B95235"/>
      <c r="C95235"/>
      <c r="E95235"/>
      <c r="F95235"/>
    </row>
    <row r="95236" spans="1:6" x14ac:dyDescent="0.25">
      <c r="A95236"/>
      <c r="B95236"/>
      <c r="C95236"/>
      <c r="E95236"/>
      <c r="F95236"/>
    </row>
    <row r="95237" spans="1:6" x14ac:dyDescent="0.25">
      <c r="A95237"/>
      <c r="B95237"/>
      <c r="C95237"/>
      <c r="E95237"/>
      <c r="F95237"/>
    </row>
    <row r="95238" spans="1:6" x14ac:dyDescent="0.25">
      <c r="A95238"/>
      <c r="B95238"/>
      <c r="C95238"/>
      <c r="E95238"/>
      <c r="F95238"/>
    </row>
    <row r="95239" spans="1:6" x14ac:dyDescent="0.25">
      <c r="A95239"/>
      <c r="B95239"/>
      <c r="C95239"/>
      <c r="E95239"/>
      <c r="F95239"/>
    </row>
    <row r="95240" spans="1:6" x14ac:dyDescent="0.25">
      <c r="A95240"/>
      <c r="B95240"/>
      <c r="C95240"/>
      <c r="E95240"/>
      <c r="F95240"/>
    </row>
    <row r="95241" spans="1:6" x14ac:dyDescent="0.25">
      <c r="A95241"/>
      <c r="B95241"/>
      <c r="C95241"/>
      <c r="E95241"/>
      <c r="F95241"/>
    </row>
    <row r="95242" spans="1:6" x14ac:dyDescent="0.25">
      <c r="A95242"/>
      <c r="B95242"/>
      <c r="C95242"/>
      <c r="E95242"/>
      <c r="F95242"/>
    </row>
    <row r="95243" spans="1:6" x14ac:dyDescent="0.25">
      <c r="A95243"/>
      <c r="B95243"/>
      <c r="C95243"/>
      <c r="E95243"/>
      <c r="F95243"/>
    </row>
    <row r="95244" spans="1:6" x14ac:dyDescent="0.25">
      <c r="A95244"/>
      <c r="B95244"/>
      <c r="C95244"/>
      <c r="E95244"/>
      <c r="F95244"/>
    </row>
    <row r="95245" spans="1:6" x14ac:dyDescent="0.25">
      <c r="A95245"/>
      <c r="B95245"/>
      <c r="C95245"/>
      <c r="E95245"/>
      <c r="F95245"/>
    </row>
    <row r="95246" spans="1:6" x14ac:dyDescent="0.25">
      <c r="A95246"/>
      <c r="B95246"/>
      <c r="C95246"/>
      <c r="E95246"/>
      <c r="F95246"/>
    </row>
    <row r="95247" spans="1:6" x14ac:dyDescent="0.25">
      <c r="A95247"/>
      <c r="B95247"/>
      <c r="C95247"/>
      <c r="E95247"/>
      <c r="F95247"/>
    </row>
    <row r="95248" spans="1:6" x14ac:dyDescent="0.25">
      <c r="A95248"/>
      <c r="B95248"/>
      <c r="C95248"/>
      <c r="E95248"/>
      <c r="F95248"/>
    </row>
    <row r="95249" spans="1:6" x14ac:dyDescent="0.25">
      <c r="A95249"/>
      <c r="B95249"/>
      <c r="C95249"/>
      <c r="E95249"/>
      <c r="F95249"/>
    </row>
    <row r="95250" spans="1:6" x14ac:dyDescent="0.25">
      <c r="A95250"/>
      <c r="B95250"/>
      <c r="C95250"/>
      <c r="E95250"/>
      <c r="F95250"/>
    </row>
    <row r="95251" spans="1:6" x14ac:dyDescent="0.25">
      <c r="A95251"/>
      <c r="B95251"/>
      <c r="C95251"/>
      <c r="E95251"/>
      <c r="F95251"/>
    </row>
    <row r="95252" spans="1:6" x14ac:dyDescent="0.25">
      <c r="A95252"/>
      <c r="B95252"/>
      <c r="C95252"/>
      <c r="E95252"/>
      <c r="F95252"/>
    </row>
    <row r="95253" spans="1:6" x14ac:dyDescent="0.25">
      <c r="A95253"/>
      <c r="B95253"/>
      <c r="C95253"/>
      <c r="E95253"/>
      <c r="F95253"/>
    </row>
    <row r="95254" spans="1:6" x14ac:dyDescent="0.25">
      <c r="A95254"/>
      <c r="B95254"/>
      <c r="C95254"/>
      <c r="E95254"/>
      <c r="F95254"/>
    </row>
    <row r="95255" spans="1:6" x14ac:dyDescent="0.25">
      <c r="A95255"/>
      <c r="B95255"/>
      <c r="C95255"/>
      <c r="E95255"/>
      <c r="F95255"/>
    </row>
    <row r="95256" spans="1:6" x14ac:dyDescent="0.25">
      <c r="A95256"/>
      <c r="B95256"/>
      <c r="C95256"/>
      <c r="E95256"/>
      <c r="F95256"/>
    </row>
    <row r="95257" spans="1:6" x14ac:dyDescent="0.25">
      <c r="A95257"/>
      <c r="B95257"/>
      <c r="C95257"/>
      <c r="E95257"/>
      <c r="F95257"/>
    </row>
    <row r="95258" spans="1:6" x14ac:dyDescent="0.25">
      <c r="A95258"/>
      <c r="B95258"/>
      <c r="C95258"/>
      <c r="E95258"/>
      <c r="F95258"/>
    </row>
    <row r="95259" spans="1:6" x14ac:dyDescent="0.25">
      <c r="A95259"/>
      <c r="B95259"/>
      <c r="C95259"/>
      <c r="E95259"/>
      <c r="F95259"/>
    </row>
    <row r="95260" spans="1:6" x14ac:dyDescent="0.25">
      <c r="A95260"/>
      <c r="B95260"/>
      <c r="C95260"/>
      <c r="E95260"/>
      <c r="F95260"/>
    </row>
    <row r="95261" spans="1:6" x14ac:dyDescent="0.25">
      <c r="A95261"/>
      <c r="B95261"/>
      <c r="C95261"/>
      <c r="E95261"/>
      <c r="F95261"/>
    </row>
    <row r="95262" spans="1:6" x14ac:dyDescent="0.25">
      <c r="A95262"/>
      <c r="B95262"/>
      <c r="C95262"/>
      <c r="E95262"/>
      <c r="F95262"/>
    </row>
    <row r="95263" spans="1:6" x14ac:dyDescent="0.25">
      <c r="A95263"/>
      <c r="B95263"/>
      <c r="C95263"/>
      <c r="E95263"/>
      <c r="F95263"/>
    </row>
    <row r="95264" spans="1:6" x14ac:dyDescent="0.25">
      <c r="A95264"/>
      <c r="B95264"/>
      <c r="C95264"/>
      <c r="E95264"/>
      <c r="F95264"/>
    </row>
    <row r="95265" spans="1:6" x14ac:dyDescent="0.25">
      <c r="A95265"/>
      <c r="B95265"/>
      <c r="C95265"/>
      <c r="E95265"/>
      <c r="F95265"/>
    </row>
    <row r="95266" spans="1:6" x14ac:dyDescent="0.25">
      <c r="A95266"/>
      <c r="B95266"/>
      <c r="C95266"/>
      <c r="E95266"/>
      <c r="F95266"/>
    </row>
    <row r="95267" spans="1:6" x14ac:dyDescent="0.25">
      <c r="A95267"/>
      <c r="B95267"/>
      <c r="C95267"/>
      <c r="E95267"/>
      <c r="F95267"/>
    </row>
    <row r="95268" spans="1:6" x14ac:dyDescent="0.25">
      <c r="A95268"/>
      <c r="B95268"/>
      <c r="C95268"/>
      <c r="E95268"/>
      <c r="F95268"/>
    </row>
    <row r="95269" spans="1:6" x14ac:dyDescent="0.25">
      <c r="A95269"/>
      <c r="B95269"/>
      <c r="C95269"/>
      <c r="E95269"/>
      <c r="F95269"/>
    </row>
    <row r="95270" spans="1:6" x14ac:dyDescent="0.25">
      <c r="A95270"/>
      <c r="B95270"/>
      <c r="C95270"/>
      <c r="E95270"/>
      <c r="F95270"/>
    </row>
    <row r="95271" spans="1:6" x14ac:dyDescent="0.25">
      <c r="A95271"/>
      <c r="B95271"/>
      <c r="C95271"/>
      <c r="E95271"/>
      <c r="F95271"/>
    </row>
    <row r="95272" spans="1:6" x14ac:dyDescent="0.25">
      <c r="A95272"/>
      <c r="B95272"/>
      <c r="C95272"/>
      <c r="E95272"/>
      <c r="F95272"/>
    </row>
    <row r="95273" spans="1:6" x14ac:dyDescent="0.25">
      <c r="A95273"/>
      <c r="B95273"/>
      <c r="C95273"/>
      <c r="E95273"/>
      <c r="F95273"/>
    </row>
    <row r="95274" spans="1:6" x14ac:dyDescent="0.25">
      <c r="A95274"/>
      <c r="B95274"/>
      <c r="C95274"/>
      <c r="E95274"/>
      <c r="F95274"/>
    </row>
    <row r="95275" spans="1:6" x14ac:dyDescent="0.25">
      <c r="A95275"/>
      <c r="B95275"/>
      <c r="C95275"/>
      <c r="E95275"/>
      <c r="F95275"/>
    </row>
    <row r="95276" spans="1:6" x14ac:dyDescent="0.25">
      <c r="A95276"/>
      <c r="B95276"/>
      <c r="C95276"/>
      <c r="E95276"/>
      <c r="F95276"/>
    </row>
    <row r="95277" spans="1:6" x14ac:dyDescent="0.25">
      <c r="A95277"/>
      <c r="B95277"/>
      <c r="C95277"/>
      <c r="E95277"/>
      <c r="F95277"/>
    </row>
    <row r="95278" spans="1:6" x14ac:dyDescent="0.25">
      <c r="A95278"/>
      <c r="B95278"/>
      <c r="C95278"/>
      <c r="E95278"/>
      <c r="F95278"/>
    </row>
    <row r="95279" spans="1:6" x14ac:dyDescent="0.25">
      <c r="A95279"/>
      <c r="B95279"/>
      <c r="C95279"/>
      <c r="E95279"/>
      <c r="F95279"/>
    </row>
    <row r="95280" spans="1:6" x14ac:dyDescent="0.25">
      <c r="A95280"/>
      <c r="B95280"/>
      <c r="C95280"/>
      <c r="E95280"/>
      <c r="F95280"/>
    </row>
    <row r="95281" spans="1:6" x14ac:dyDescent="0.25">
      <c r="A95281"/>
      <c r="B95281"/>
      <c r="C95281"/>
      <c r="E95281"/>
      <c r="F95281"/>
    </row>
    <row r="95282" spans="1:6" x14ac:dyDescent="0.25">
      <c r="A95282"/>
      <c r="B95282"/>
      <c r="C95282"/>
      <c r="E95282"/>
      <c r="F95282"/>
    </row>
    <row r="95283" spans="1:6" x14ac:dyDescent="0.25">
      <c r="A95283"/>
      <c r="B95283"/>
      <c r="C95283"/>
      <c r="E95283"/>
      <c r="F95283"/>
    </row>
    <row r="95284" spans="1:6" x14ac:dyDescent="0.25">
      <c r="A95284"/>
      <c r="B95284"/>
      <c r="C95284"/>
      <c r="E95284"/>
      <c r="F95284"/>
    </row>
    <row r="95285" spans="1:6" x14ac:dyDescent="0.25">
      <c r="A95285"/>
      <c r="B95285"/>
      <c r="C95285"/>
      <c r="E95285"/>
      <c r="F95285"/>
    </row>
    <row r="95286" spans="1:6" x14ac:dyDescent="0.25">
      <c r="A95286"/>
      <c r="B95286"/>
      <c r="C95286"/>
      <c r="E95286"/>
      <c r="F95286"/>
    </row>
    <row r="95287" spans="1:6" x14ac:dyDescent="0.25">
      <c r="A95287"/>
      <c r="B95287"/>
      <c r="C95287"/>
      <c r="E95287"/>
      <c r="F95287"/>
    </row>
    <row r="95288" spans="1:6" x14ac:dyDescent="0.25">
      <c r="A95288"/>
      <c r="B95288"/>
      <c r="C95288"/>
      <c r="E95288"/>
      <c r="F95288"/>
    </row>
    <row r="95289" spans="1:6" x14ac:dyDescent="0.25">
      <c r="A95289"/>
      <c r="B95289"/>
      <c r="C95289"/>
      <c r="E95289"/>
      <c r="F95289"/>
    </row>
    <row r="95290" spans="1:6" x14ac:dyDescent="0.25">
      <c r="A95290"/>
      <c r="B95290"/>
      <c r="C95290"/>
      <c r="E95290"/>
      <c r="F95290"/>
    </row>
    <row r="95291" spans="1:6" x14ac:dyDescent="0.25">
      <c r="A95291"/>
      <c r="B95291"/>
      <c r="C95291"/>
      <c r="E95291"/>
      <c r="F95291"/>
    </row>
    <row r="95292" spans="1:6" x14ac:dyDescent="0.25">
      <c r="A95292"/>
      <c r="B95292"/>
      <c r="C95292"/>
      <c r="E95292"/>
      <c r="F95292"/>
    </row>
    <row r="95293" spans="1:6" x14ac:dyDescent="0.25">
      <c r="A95293"/>
      <c r="B95293"/>
      <c r="C95293"/>
      <c r="E95293"/>
      <c r="F95293"/>
    </row>
    <row r="95294" spans="1:6" x14ac:dyDescent="0.25">
      <c r="A95294"/>
      <c r="B95294"/>
      <c r="C95294"/>
      <c r="E95294"/>
      <c r="F95294"/>
    </row>
    <row r="95295" spans="1:6" x14ac:dyDescent="0.25">
      <c r="A95295"/>
      <c r="B95295"/>
      <c r="C95295"/>
      <c r="E95295"/>
      <c r="F95295"/>
    </row>
    <row r="95296" spans="1:6" x14ac:dyDescent="0.25">
      <c r="A95296"/>
      <c r="B95296"/>
      <c r="C95296"/>
      <c r="E95296"/>
      <c r="F95296"/>
    </row>
    <row r="95297" spans="1:6" x14ac:dyDescent="0.25">
      <c r="A95297"/>
      <c r="B95297"/>
      <c r="C95297"/>
      <c r="E95297"/>
      <c r="F95297"/>
    </row>
    <row r="95298" spans="1:6" x14ac:dyDescent="0.25">
      <c r="A95298"/>
      <c r="B95298"/>
      <c r="C95298"/>
      <c r="E95298"/>
      <c r="F95298"/>
    </row>
    <row r="95299" spans="1:6" x14ac:dyDescent="0.25">
      <c r="A95299"/>
      <c r="B95299"/>
      <c r="C95299"/>
      <c r="E95299"/>
      <c r="F95299"/>
    </row>
    <row r="95300" spans="1:6" x14ac:dyDescent="0.25">
      <c r="A95300"/>
      <c r="B95300"/>
      <c r="C95300"/>
      <c r="E95300"/>
      <c r="F95300"/>
    </row>
    <row r="95301" spans="1:6" x14ac:dyDescent="0.25">
      <c r="A95301"/>
      <c r="B95301"/>
      <c r="C95301"/>
      <c r="E95301"/>
      <c r="F95301"/>
    </row>
    <row r="95302" spans="1:6" x14ac:dyDescent="0.25">
      <c r="A95302"/>
      <c r="B95302"/>
      <c r="C95302"/>
      <c r="E95302"/>
      <c r="F95302"/>
    </row>
    <row r="95303" spans="1:6" x14ac:dyDescent="0.25">
      <c r="A95303"/>
      <c r="B95303"/>
      <c r="C95303"/>
      <c r="E95303"/>
      <c r="F95303"/>
    </row>
    <row r="95304" spans="1:6" x14ac:dyDescent="0.25">
      <c r="A95304"/>
      <c r="B95304"/>
      <c r="C95304"/>
      <c r="E95304"/>
      <c r="F95304"/>
    </row>
    <row r="95305" spans="1:6" x14ac:dyDescent="0.25">
      <c r="A95305"/>
      <c r="B95305"/>
      <c r="C95305"/>
      <c r="E95305"/>
      <c r="F95305"/>
    </row>
    <row r="95306" spans="1:6" x14ac:dyDescent="0.25">
      <c r="A95306"/>
      <c r="B95306"/>
      <c r="C95306"/>
      <c r="E95306"/>
      <c r="F95306"/>
    </row>
    <row r="95307" spans="1:6" x14ac:dyDescent="0.25">
      <c r="A95307"/>
      <c r="B95307"/>
      <c r="C95307"/>
      <c r="E95307"/>
      <c r="F95307"/>
    </row>
    <row r="95308" spans="1:6" x14ac:dyDescent="0.25">
      <c r="A95308"/>
      <c r="B95308"/>
      <c r="C95308"/>
      <c r="E95308"/>
      <c r="F95308"/>
    </row>
    <row r="95309" spans="1:6" x14ac:dyDescent="0.25">
      <c r="A95309"/>
      <c r="B95309"/>
      <c r="C95309"/>
      <c r="E95309"/>
      <c r="F95309"/>
    </row>
    <row r="95310" spans="1:6" x14ac:dyDescent="0.25">
      <c r="A95310"/>
      <c r="B95310"/>
      <c r="C95310"/>
      <c r="E95310"/>
      <c r="F95310"/>
    </row>
    <row r="95311" spans="1:6" x14ac:dyDescent="0.25">
      <c r="A95311"/>
      <c r="B95311"/>
      <c r="C95311"/>
      <c r="E95311"/>
      <c r="F95311"/>
    </row>
    <row r="95312" spans="1:6" x14ac:dyDescent="0.25">
      <c r="A95312"/>
      <c r="B95312"/>
      <c r="C95312"/>
      <c r="E95312"/>
      <c r="F95312"/>
    </row>
    <row r="95313" spans="1:6" x14ac:dyDescent="0.25">
      <c r="A95313"/>
      <c r="B95313"/>
      <c r="C95313"/>
      <c r="E95313"/>
      <c r="F95313"/>
    </row>
    <row r="95314" spans="1:6" x14ac:dyDescent="0.25">
      <c r="A95314"/>
      <c r="B95314"/>
      <c r="C95314"/>
      <c r="E95314"/>
      <c r="F95314"/>
    </row>
    <row r="95315" spans="1:6" x14ac:dyDescent="0.25">
      <c r="A95315"/>
      <c r="B95315"/>
      <c r="C95315"/>
      <c r="E95315"/>
      <c r="F95315"/>
    </row>
    <row r="95316" spans="1:6" x14ac:dyDescent="0.25">
      <c r="A95316"/>
      <c r="B95316"/>
      <c r="C95316"/>
      <c r="E95316"/>
      <c r="F95316"/>
    </row>
    <row r="95317" spans="1:6" x14ac:dyDescent="0.25">
      <c r="A95317"/>
      <c r="B95317"/>
      <c r="C95317"/>
      <c r="E95317"/>
      <c r="F95317"/>
    </row>
    <row r="95318" spans="1:6" x14ac:dyDescent="0.25">
      <c r="A95318"/>
      <c r="B95318"/>
      <c r="C95318"/>
      <c r="E95318"/>
      <c r="F95318"/>
    </row>
    <row r="95319" spans="1:6" x14ac:dyDescent="0.25">
      <c r="A95319"/>
      <c r="B95319"/>
      <c r="C95319"/>
      <c r="E95319"/>
      <c r="F95319"/>
    </row>
    <row r="95320" spans="1:6" x14ac:dyDescent="0.25">
      <c r="A95320"/>
      <c r="B95320"/>
      <c r="C95320"/>
      <c r="E95320"/>
      <c r="F95320"/>
    </row>
    <row r="95321" spans="1:6" x14ac:dyDescent="0.25">
      <c r="A95321"/>
      <c r="B95321"/>
      <c r="C95321"/>
      <c r="E95321"/>
      <c r="F95321"/>
    </row>
    <row r="95322" spans="1:6" x14ac:dyDescent="0.25">
      <c r="A95322"/>
      <c r="B95322"/>
      <c r="C95322"/>
      <c r="E95322"/>
      <c r="F95322"/>
    </row>
    <row r="95323" spans="1:6" x14ac:dyDescent="0.25">
      <c r="A95323"/>
      <c r="B95323"/>
      <c r="C95323"/>
      <c r="E95323"/>
      <c r="F95323"/>
    </row>
    <row r="95324" spans="1:6" x14ac:dyDescent="0.25">
      <c r="A95324"/>
      <c r="B95324"/>
      <c r="C95324"/>
      <c r="E95324"/>
      <c r="F95324"/>
    </row>
    <row r="95325" spans="1:6" x14ac:dyDescent="0.25">
      <c r="A95325"/>
      <c r="B95325"/>
      <c r="C95325"/>
      <c r="E95325"/>
      <c r="F95325"/>
    </row>
    <row r="95326" spans="1:6" x14ac:dyDescent="0.25">
      <c r="A95326"/>
      <c r="B95326"/>
      <c r="C95326"/>
      <c r="E95326"/>
      <c r="F95326"/>
    </row>
    <row r="95327" spans="1:6" x14ac:dyDescent="0.25">
      <c r="A95327"/>
      <c r="B95327"/>
      <c r="C95327"/>
      <c r="E95327"/>
      <c r="F95327"/>
    </row>
    <row r="95328" spans="1:6" x14ac:dyDescent="0.25">
      <c r="A95328"/>
      <c r="B95328"/>
      <c r="C95328"/>
      <c r="E95328"/>
      <c r="F95328"/>
    </row>
    <row r="95329" spans="1:6" x14ac:dyDescent="0.25">
      <c r="A95329"/>
      <c r="B95329"/>
      <c r="C95329"/>
      <c r="E95329"/>
      <c r="F95329"/>
    </row>
    <row r="95330" spans="1:6" x14ac:dyDescent="0.25">
      <c r="A95330"/>
      <c r="B95330"/>
      <c r="C95330"/>
      <c r="E95330"/>
      <c r="F95330"/>
    </row>
    <row r="95331" spans="1:6" x14ac:dyDescent="0.25">
      <c r="A95331"/>
      <c r="B95331"/>
      <c r="C95331"/>
      <c r="E95331"/>
      <c r="F95331"/>
    </row>
    <row r="95332" spans="1:6" x14ac:dyDescent="0.25">
      <c r="A95332"/>
      <c r="B95332"/>
      <c r="C95332"/>
      <c r="E95332"/>
      <c r="F95332"/>
    </row>
    <row r="95333" spans="1:6" x14ac:dyDescent="0.25">
      <c r="A95333"/>
      <c r="B95333"/>
      <c r="C95333"/>
      <c r="E95333"/>
      <c r="F95333"/>
    </row>
    <row r="95334" spans="1:6" x14ac:dyDescent="0.25">
      <c r="A95334"/>
      <c r="B95334"/>
      <c r="C95334"/>
      <c r="E95334"/>
      <c r="F95334"/>
    </row>
    <row r="95335" spans="1:6" x14ac:dyDescent="0.25">
      <c r="A95335"/>
      <c r="B95335"/>
      <c r="C95335"/>
      <c r="E95335"/>
      <c r="F95335"/>
    </row>
    <row r="95336" spans="1:6" x14ac:dyDescent="0.25">
      <c r="A95336"/>
      <c r="B95336"/>
      <c r="C95336"/>
      <c r="E95336"/>
      <c r="F95336"/>
    </row>
    <row r="95337" spans="1:6" x14ac:dyDescent="0.25">
      <c r="A95337"/>
      <c r="B95337"/>
      <c r="C95337"/>
      <c r="E95337"/>
      <c r="F95337"/>
    </row>
    <row r="95338" spans="1:6" x14ac:dyDescent="0.25">
      <c r="A95338"/>
      <c r="B95338"/>
      <c r="C95338"/>
      <c r="E95338"/>
      <c r="F95338"/>
    </row>
    <row r="95339" spans="1:6" x14ac:dyDescent="0.25">
      <c r="A95339"/>
      <c r="B95339"/>
      <c r="C95339"/>
      <c r="E95339"/>
      <c r="F95339"/>
    </row>
    <row r="95340" spans="1:6" x14ac:dyDescent="0.25">
      <c r="A95340"/>
      <c r="B95340"/>
      <c r="C95340"/>
      <c r="E95340"/>
      <c r="F95340"/>
    </row>
    <row r="95341" spans="1:6" x14ac:dyDescent="0.25">
      <c r="A95341"/>
      <c r="B95341"/>
      <c r="C95341"/>
      <c r="E95341"/>
      <c r="F95341"/>
    </row>
    <row r="95342" spans="1:6" x14ac:dyDescent="0.25">
      <c r="A95342"/>
      <c r="B95342"/>
      <c r="C95342"/>
      <c r="E95342"/>
      <c r="F95342"/>
    </row>
    <row r="95343" spans="1:6" x14ac:dyDescent="0.25">
      <c r="A95343"/>
      <c r="B95343"/>
      <c r="C95343"/>
      <c r="E95343"/>
      <c r="F95343"/>
    </row>
    <row r="95344" spans="1:6" x14ac:dyDescent="0.25">
      <c r="A95344"/>
      <c r="B95344"/>
      <c r="C95344"/>
      <c r="E95344"/>
      <c r="F95344"/>
    </row>
    <row r="95345" spans="1:6" x14ac:dyDescent="0.25">
      <c r="A95345"/>
      <c r="B95345"/>
      <c r="C95345"/>
      <c r="E95345"/>
      <c r="F95345"/>
    </row>
    <row r="95346" spans="1:6" x14ac:dyDescent="0.25">
      <c r="A95346"/>
      <c r="B95346"/>
      <c r="C95346"/>
      <c r="E95346"/>
      <c r="F95346"/>
    </row>
    <row r="95347" spans="1:6" x14ac:dyDescent="0.25">
      <c r="A95347"/>
      <c r="B95347"/>
      <c r="C95347"/>
      <c r="E95347"/>
      <c r="F95347"/>
    </row>
    <row r="95348" spans="1:6" x14ac:dyDescent="0.25">
      <c r="A95348"/>
      <c r="B95348"/>
      <c r="C95348"/>
      <c r="E95348"/>
      <c r="F95348"/>
    </row>
    <row r="95349" spans="1:6" x14ac:dyDescent="0.25">
      <c r="A95349"/>
      <c r="B95349"/>
      <c r="C95349"/>
      <c r="E95349"/>
      <c r="F95349"/>
    </row>
    <row r="95350" spans="1:6" x14ac:dyDescent="0.25">
      <c r="A95350"/>
      <c r="B95350"/>
      <c r="C95350"/>
      <c r="E95350"/>
      <c r="F95350"/>
    </row>
    <row r="95351" spans="1:6" x14ac:dyDescent="0.25">
      <c r="A95351"/>
      <c r="B95351"/>
      <c r="C95351"/>
      <c r="E95351"/>
      <c r="F95351"/>
    </row>
    <row r="95352" spans="1:6" x14ac:dyDescent="0.25">
      <c r="A95352"/>
      <c r="B95352"/>
      <c r="C95352"/>
      <c r="E95352"/>
      <c r="F95352"/>
    </row>
    <row r="95353" spans="1:6" x14ac:dyDescent="0.25">
      <c r="A95353"/>
      <c r="B95353"/>
      <c r="C95353"/>
      <c r="E95353"/>
      <c r="F95353"/>
    </row>
    <row r="95354" spans="1:6" x14ac:dyDescent="0.25">
      <c r="A95354"/>
      <c r="B95354"/>
      <c r="C95354"/>
      <c r="E95354"/>
      <c r="F95354"/>
    </row>
    <row r="95355" spans="1:6" x14ac:dyDescent="0.25">
      <c r="A95355"/>
      <c r="B95355"/>
      <c r="C95355"/>
      <c r="E95355"/>
      <c r="F95355"/>
    </row>
    <row r="95356" spans="1:6" x14ac:dyDescent="0.25">
      <c r="A95356"/>
      <c r="B95356"/>
      <c r="C95356"/>
      <c r="E95356"/>
      <c r="F95356"/>
    </row>
    <row r="95357" spans="1:6" x14ac:dyDescent="0.25">
      <c r="A95357"/>
      <c r="B95357"/>
      <c r="C95357"/>
      <c r="E95357"/>
      <c r="F95357"/>
    </row>
    <row r="95358" spans="1:6" x14ac:dyDescent="0.25">
      <c r="A95358"/>
      <c r="B95358"/>
      <c r="C95358"/>
      <c r="E95358"/>
      <c r="F95358"/>
    </row>
    <row r="95359" spans="1:6" x14ac:dyDescent="0.25">
      <c r="A95359"/>
      <c r="B95359"/>
      <c r="C95359"/>
      <c r="E95359"/>
      <c r="F95359"/>
    </row>
    <row r="95360" spans="1:6" x14ac:dyDescent="0.25">
      <c r="A95360"/>
      <c r="B95360"/>
      <c r="C95360"/>
      <c r="E95360"/>
      <c r="F95360"/>
    </row>
    <row r="95361" spans="1:6" x14ac:dyDescent="0.25">
      <c r="A95361"/>
      <c r="B95361"/>
      <c r="C95361"/>
      <c r="E95361"/>
      <c r="F95361"/>
    </row>
    <row r="95362" spans="1:6" x14ac:dyDescent="0.25">
      <c r="A95362"/>
      <c r="B95362"/>
      <c r="C95362"/>
      <c r="E95362"/>
      <c r="F95362"/>
    </row>
    <row r="95363" spans="1:6" x14ac:dyDescent="0.25">
      <c r="A95363"/>
      <c r="B95363"/>
      <c r="C95363"/>
      <c r="E95363"/>
      <c r="F95363"/>
    </row>
    <row r="95364" spans="1:6" x14ac:dyDescent="0.25">
      <c r="A95364"/>
      <c r="B95364"/>
      <c r="C95364"/>
      <c r="E95364"/>
      <c r="F95364"/>
    </row>
    <row r="95365" spans="1:6" x14ac:dyDescent="0.25">
      <c r="A95365"/>
      <c r="B95365"/>
      <c r="C95365"/>
      <c r="E95365"/>
      <c r="F95365"/>
    </row>
    <row r="95366" spans="1:6" x14ac:dyDescent="0.25">
      <c r="A95366"/>
      <c r="B95366"/>
      <c r="C95366"/>
      <c r="E95366"/>
      <c r="F95366"/>
    </row>
    <row r="95367" spans="1:6" x14ac:dyDescent="0.25">
      <c r="A95367"/>
      <c r="B95367"/>
      <c r="C95367"/>
      <c r="E95367"/>
      <c r="F95367"/>
    </row>
    <row r="95368" spans="1:6" x14ac:dyDescent="0.25">
      <c r="A95368"/>
      <c r="B95368"/>
      <c r="C95368"/>
      <c r="E95368"/>
      <c r="F95368"/>
    </row>
    <row r="95369" spans="1:6" x14ac:dyDescent="0.25">
      <c r="A95369"/>
      <c r="B95369"/>
      <c r="C95369"/>
      <c r="E95369"/>
      <c r="F95369"/>
    </row>
    <row r="95370" spans="1:6" x14ac:dyDescent="0.25">
      <c r="A95370"/>
      <c r="B95370"/>
      <c r="C95370"/>
      <c r="E95370"/>
      <c r="F95370"/>
    </row>
    <row r="95371" spans="1:6" x14ac:dyDescent="0.25">
      <c r="A95371"/>
      <c r="B95371"/>
      <c r="C95371"/>
      <c r="E95371"/>
      <c r="F95371"/>
    </row>
    <row r="95372" spans="1:6" x14ac:dyDescent="0.25">
      <c r="A95372"/>
      <c r="B95372"/>
      <c r="C95372"/>
      <c r="E95372"/>
      <c r="F95372"/>
    </row>
    <row r="95373" spans="1:6" x14ac:dyDescent="0.25">
      <c r="A95373"/>
      <c r="B95373"/>
      <c r="C95373"/>
      <c r="E95373"/>
      <c r="F95373"/>
    </row>
    <row r="95374" spans="1:6" x14ac:dyDescent="0.25">
      <c r="A95374"/>
      <c r="B95374"/>
      <c r="C95374"/>
      <c r="E95374"/>
      <c r="F95374"/>
    </row>
    <row r="95375" spans="1:6" x14ac:dyDescent="0.25">
      <c r="A95375"/>
      <c r="B95375"/>
      <c r="C95375"/>
      <c r="E95375"/>
      <c r="F95375"/>
    </row>
    <row r="95376" spans="1:6" x14ac:dyDescent="0.25">
      <c r="A95376"/>
      <c r="B95376"/>
      <c r="C95376"/>
      <c r="E95376"/>
      <c r="F95376"/>
    </row>
    <row r="95377" spans="1:6" x14ac:dyDescent="0.25">
      <c r="A95377"/>
      <c r="B95377"/>
      <c r="C95377"/>
      <c r="E95377"/>
      <c r="F95377"/>
    </row>
    <row r="95378" spans="1:6" x14ac:dyDescent="0.25">
      <c r="A95378"/>
      <c r="B95378"/>
      <c r="C95378"/>
      <c r="E95378"/>
      <c r="F95378"/>
    </row>
    <row r="95379" spans="1:6" x14ac:dyDescent="0.25">
      <c r="A95379"/>
      <c r="B95379"/>
      <c r="C95379"/>
      <c r="E95379"/>
      <c r="F95379"/>
    </row>
    <row r="95380" spans="1:6" x14ac:dyDescent="0.25">
      <c r="A95380"/>
      <c r="B95380"/>
      <c r="C95380"/>
      <c r="E95380"/>
      <c r="F95380"/>
    </row>
    <row r="95381" spans="1:6" x14ac:dyDescent="0.25">
      <c r="A95381"/>
      <c r="B95381"/>
      <c r="C95381"/>
      <c r="E95381"/>
      <c r="F95381"/>
    </row>
    <row r="95382" spans="1:6" x14ac:dyDescent="0.25">
      <c r="A95382"/>
      <c r="B95382"/>
      <c r="C95382"/>
      <c r="E95382"/>
      <c r="F95382"/>
    </row>
    <row r="95383" spans="1:6" x14ac:dyDescent="0.25">
      <c r="A95383"/>
      <c r="B95383"/>
      <c r="C95383"/>
      <c r="E95383"/>
      <c r="F95383"/>
    </row>
    <row r="95384" spans="1:6" x14ac:dyDescent="0.25">
      <c r="A95384"/>
      <c r="B95384"/>
      <c r="C95384"/>
      <c r="E95384"/>
      <c r="F95384"/>
    </row>
    <row r="95385" spans="1:6" x14ac:dyDescent="0.25">
      <c r="A95385"/>
      <c r="B95385"/>
      <c r="C95385"/>
      <c r="E95385"/>
      <c r="F95385"/>
    </row>
    <row r="95386" spans="1:6" x14ac:dyDescent="0.25">
      <c r="A95386"/>
      <c r="B95386"/>
      <c r="C95386"/>
      <c r="E95386"/>
      <c r="F95386"/>
    </row>
    <row r="95387" spans="1:6" x14ac:dyDescent="0.25">
      <c r="A95387"/>
      <c r="B95387"/>
      <c r="C95387"/>
      <c r="E95387"/>
      <c r="F95387"/>
    </row>
    <row r="95388" spans="1:6" x14ac:dyDescent="0.25">
      <c r="A95388"/>
      <c r="B95388"/>
      <c r="C95388"/>
      <c r="E95388"/>
      <c r="F95388"/>
    </row>
    <row r="95389" spans="1:6" x14ac:dyDescent="0.25">
      <c r="A95389"/>
      <c r="B95389"/>
      <c r="C95389"/>
      <c r="E95389"/>
      <c r="F95389"/>
    </row>
    <row r="95390" spans="1:6" x14ac:dyDescent="0.25">
      <c r="A95390"/>
      <c r="B95390"/>
      <c r="C95390"/>
      <c r="E95390"/>
      <c r="F95390"/>
    </row>
    <row r="95391" spans="1:6" x14ac:dyDescent="0.25">
      <c r="A95391"/>
      <c r="B95391"/>
      <c r="C95391"/>
      <c r="E95391"/>
      <c r="F95391"/>
    </row>
    <row r="95392" spans="1:6" x14ac:dyDescent="0.25">
      <c r="A95392"/>
      <c r="B95392"/>
      <c r="C95392"/>
      <c r="E95392"/>
      <c r="F95392"/>
    </row>
    <row r="95393" spans="1:6" x14ac:dyDescent="0.25">
      <c r="A95393"/>
      <c r="B95393"/>
      <c r="C95393"/>
      <c r="E95393"/>
      <c r="F95393"/>
    </row>
    <row r="95394" spans="1:6" x14ac:dyDescent="0.25">
      <c r="A95394"/>
      <c r="B95394"/>
      <c r="C95394"/>
      <c r="E95394"/>
      <c r="F95394"/>
    </row>
    <row r="95395" spans="1:6" x14ac:dyDescent="0.25">
      <c r="A95395"/>
      <c r="B95395"/>
      <c r="C95395"/>
      <c r="E95395"/>
      <c r="F95395"/>
    </row>
    <row r="95396" spans="1:6" x14ac:dyDescent="0.25">
      <c r="A95396"/>
      <c r="B95396"/>
      <c r="C95396"/>
      <c r="E95396"/>
      <c r="F95396"/>
    </row>
    <row r="95397" spans="1:6" x14ac:dyDescent="0.25">
      <c r="A95397"/>
      <c r="B95397"/>
      <c r="C95397"/>
      <c r="E95397"/>
      <c r="F95397"/>
    </row>
    <row r="95398" spans="1:6" x14ac:dyDescent="0.25">
      <c r="A95398"/>
      <c r="B95398"/>
      <c r="C95398"/>
      <c r="E95398"/>
      <c r="F95398"/>
    </row>
    <row r="95399" spans="1:6" x14ac:dyDescent="0.25">
      <c r="A95399"/>
      <c r="B95399"/>
      <c r="C95399"/>
      <c r="E95399"/>
      <c r="F95399"/>
    </row>
    <row r="95400" spans="1:6" x14ac:dyDescent="0.25">
      <c r="A95400"/>
      <c r="B95400"/>
      <c r="C95400"/>
      <c r="E95400"/>
      <c r="F95400"/>
    </row>
    <row r="95401" spans="1:6" x14ac:dyDescent="0.25">
      <c r="A95401"/>
      <c r="B95401"/>
      <c r="C95401"/>
      <c r="E95401"/>
      <c r="F95401"/>
    </row>
    <row r="95402" spans="1:6" x14ac:dyDescent="0.25">
      <c r="A95402"/>
      <c r="B95402"/>
      <c r="C95402"/>
      <c r="E95402"/>
      <c r="F95402"/>
    </row>
    <row r="95403" spans="1:6" x14ac:dyDescent="0.25">
      <c r="A95403"/>
      <c r="B95403"/>
      <c r="C95403"/>
      <c r="E95403"/>
      <c r="F95403"/>
    </row>
    <row r="95404" spans="1:6" x14ac:dyDescent="0.25">
      <c r="A95404"/>
      <c r="B95404"/>
      <c r="C95404"/>
      <c r="E95404"/>
      <c r="F95404"/>
    </row>
    <row r="95405" spans="1:6" x14ac:dyDescent="0.25">
      <c r="A95405"/>
      <c r="B95405"/>
      <c r="C95405"/>
      <c r="E95405"/>
      <c r="F95405"/>
    </row>
    <row r="95406" spans="1:6" x14ac:dyDescent="0.25">
      <c r="A95406"/>
      <c r="B95406"/>
      <c r="C95406"/>
      <c r="E95406"/>
      <c r="F95406"/>
    </row>
    <row r="95407" spans="1:6" x14ac:dyDescent="0.25">
      <c r="A95407"/>
      <c r="B95407"/>
      <c r="C95407"/>
      <c r="E95407"/>
      <c r="F95407"/>
    </row>
    <row r="95408" spans="1:6" x14ac:dyDescent="0.25">
      <c r="A95408"/>
      <c r="B95408"/>
      <c r="C95408"/>
      <c r="E95408"/>
      <c r="F95408"/>
    </row>
    <row r="95409" spans="1:6" x14ac:dyDescent="0.25">
      <c r="A95409"/>
      <c r="B95409"/>
      <c r="C95409"/>
      <c r="E95409"/>
      <c r="F95409"/>
    </row>
    <row r="95410" spans="1:6" x14ac:dyDescent="0.25">
      <c r="A95410"/>
      <c r="B95410"/>
      <c r="C95410"/>
      <c r="E95410"/>
      <c r="F95410"/>
    </row>
    <row r="95411" spans="1:6" x14ac:dyDescent="0.25">
      <c r="A95411"/>
      <c r="B95411"/>
      <c r="C95411"/>
      <c r="E95411"/>
      <c r="F95411"/>
    </row>
    <row r="95412" spans="1:6" x14ac:dyDescent="0.25">
      <c r="A95412"/>
      <c r="B95412"/>
      <c r="C95412"/>
      <c r="E95412"/>
      <c r="F95412"/>
    </row>
    <row r="95413" spans="1:6" x14ac:dyDescent="0.25">
      <c r="A95413"/>
      <c r="B95413"/>
      <c r="C95413"/>
      <c r="E95413"/>
      <c r="F95413"/>
    </row>
    <row r="95414" spans="1:6" x14ac:dyDescent="0.25">
      <c r="A95414"/>
      <c r="B95414"/>
      <c r="C95414"/>
      <c r="E95414"/>
      <c r="F95414"/>
    </row>
    <row r="95415" spans="1:6" x14ac:dyDescent="0.25">
      <c r="A95415"/>
      <c r="B95415"/>
      <c r="C95415"/>
      <c r="E95415"/>
      <c r="F95415"/>
    </row>
    <row r="95416" spans="1:6" x14ac:dyDescent="0.25">
      <c r="A95416"/>
      <c r="B95416"/>
      <c r="C95416"/>
      <c r="E95416"/>
      <c r="F95416"/>
    </row>
    <row r="95417" spans="1:6" x14ac:dyDescent="0.25">
      <c r="A95417"/>
      <c r="B95417"/>
      <c r="C95417"/>
      <c r="E95417"/>
      <c r="F95417"/>
    </row>
    <row r="95418" spans="1:6" x14ac:dyDescent="0.25">
      <c r="A95418"/>
      <c r="B95418"/>
      <c r="C95418"/>
      <c r="E95418"/>
      <c r="F95418"/>
    </row>
    <row r="95419" spans="1:6" x14ac:dyDescent="0.25">
      <c r="A95419"/>
      <c r="B95419"/>
      <c r="C95419"/>
      <c r="E95419"/>
      <c r="F95419"/>
    </row>
    <row r="95420" spans="1:6" x14ac:dyDescent="0.25">
      <c r="A95420"/>
      <c r="B95420"/>
      <c r="C95420"/>
      <c r="E95420"/>
      <c r="F95420"/>
    </row>
    <row r="95421" spans="1:6" x14ac:dyDescent="0.25">
      <c r="A95421"/>
      <c r="B95421"/>
      <c r="C95421"/>
      <c r="E95421"/>
      <c r="F95421"/>
    </row>
    <row r="95422" spans="1:6" x14ac:dyDescent="0.25">
      <c r="A95422"/>
      <c r="B95422"/>
      <c r="C95422"/>
      <c r="E95422"/>
      <c r="F95422"/>
    </row>
    <row r="95423" spans="1:6" x14ac:dyDescent="0.25">
      <c r="A95423"/>
      <c r="B95423"/>
      <c r="C95423"/>
      <c r="E95423"/>
      <c r="F95423"/>
    </row>
    <row r="95424" spans="1:6" x14ac:dyDescent="0.25">
      <c r="A95424"/>
      <c r="B95424"/>
      <c r="C95424"/>
      <c r="E95424"/>
      <c r="F95424"/>
    </row>
    <row r="95425" spans="1:6" x14ac:dyDescent="0.25">
      <c r="A95425"/>
      <c r="B95425"/>
      <c r="C95425"/>
      <c r="E95425"/>
      <c r="F95425"/>
    </row>
    <row r="95426" spans="1:6" x14ac:dyDescent="0.25">
      <c r="A95426"/>
      <c r="B95426"/>
      <c r="C95426"/>
      <c r="E95426"/>
      <c r="F95426"/>
    </row>
    <row r="95427" spans="1:6" x14ac:dyDescent="0.25">
      <c r="A95427"/>
      <c r="B95427"/>
      <c r="C95427"/>
      <c r="E95427"/>
      <c r="F95427"/>
    </row>
    <row r="95428" spans="1:6" x14ac:dyDescent="0.25">
      <c r="A95428"/>
      <c r="B95428"/>
      <c r="C95428"/>
      <c r="E95428"/>
      <c r="F95428"/>
    </row>
    <row r="95429" spans="1:6" x14ac:dyDescent="0.25">
      <c r="A95429"/>
      <c r="B95429"/>
      <c r="C95429"/>
      <c r="E95429"/>
      <c r="F95429"/>
    </row>
    <row r="95430" spans="1:6" x14ac:dyDescent="0.25">
      <c r="A95430"/>
      <c r="B95430"/>
      <c r="C95430"/>
      <c r="E95430"/>
      <c r="F95430"/>
    </row>
    <row r="95431" spans="1:6" x14ac:dyDescent="0.25">
      <c r="A95431"/>
      <c r="B95431"/>
      <c r="C95431"/>
      <c r="E95431"/>
      <c r="F95431"/>
    </row>
    <row r="95432" spans="1:6" x14ac:dyDescent="0.25">
      <c r="A95432"/>
      <c r="B95432"/>
      <c r="C95432"/>
      <c r="E95432"/>
      <c r="F95432"/>
    </row>
    <row r="95433" spans="1:6" x14ac:dyDescent="0.25">
      <c r="A95433"/>
      <c r="B95433"/>
      <c r="C95433"/>
      <c r="E95433"/>
      <c r="F95433"/>
    </row>
    <row r="95434" spans="1:6" x14ac:dyDescent="0.25">
      <c r="A95434"/>
      <c r="B95434"/>
      <c r="C95434"/>
      <c r="E95434"/>
      <c r="F95434"/>
    </row>
    <row r="95435" spans="1:6" x14ac:dyDescent="0.25">
      <c r="A95435"/>
      <c r="B95435"/>
      <c r="C95435"/>
      <c r="E95435"/>
      <c r="F95435"/>
    </row>
    <row r="95436" spans="1:6" x14ac:dyDescent="0.25">
      <c r="A95436"/>
      <c r="B95436"/>
      <c r="C95436"/>
      <c r="E95436"/>
      <c r="F95436"/>
    </row>
    <row r="95437" spans="1:6" x14ac:dyDescent="0.25">
      <c r="A95437"/>
      <c r="B95437"/>
      <c r="C95437"/>
      <c r="E95437"/>
      <c r="F95437"/>
    </row>
    <row r="95438" spans="1:6" x14ac:dyDescent="0.25">
      <c r="A95438"/>
      <c r="B95438"/>
      <c r="C95438"/>
      <c r="E95438"/>
      <c r="F95438"/>
    </row>
    <row r="95439" spans="1:6" x14ac:dyDescent="0.25">
      <c r="A95439"/>
      <c r="B95439"/>
      <c r="C95439"/>
      <c r="E95439"/>
      <c r="F95439"/>
    </row>
    <row r="95440" spans="1:6" x14ac:dyDescent="0.25">
      <c r="A95440"/>
      <c r="B95440"/>
      <c r="C95440"/>
      <c r="E95440"/>
      <c r="F95440"/>
    </row>
    <row r="95441" spans="1:6" x14ac:dyDescent="0.25">
      <c r="A95441"/>
      <c r="B95441"/>
      <c r="C95441"/>
      <c r="E95441"/>
      <c r="F95441"/>
    </row>
    <row r="95442" spans="1:6" x14ac:dyDescent="0.25">
      <c r="A95442"/>
      <c r="B95442"/>
      <c r="C95442"/>
      <c r="E95442"/>
      <c r="F95442"/>
    </row>
    <row r="95443" spans="1:6" x14ac:dyDescent="0.25">
      <c r="A95443"/>
      <c r="B95443"/>
      <c r="C95443"/>
      <c r="E95443"/>
      <c r="F95443"/>
    </row>
    <row r="95444" spans="1:6" x14ac:dyDescent="0.25">
      <c r="A95444"/>
      <c r="B95444"/>
      <c r="C95444"/>
      <c r="E95444"/>
      <c r="F95444"/>
    </row>
    <row r="95445" spans="1:6" x14ac:dyDescent="0.25">
      <c r="A95445"/>
      <c r="B95445"/>
      <c r="C95445"/>
      <c r="E95445"/>
      <c r="F95445"/>
    </row>
    <row r="95446" spans="1:6" x14ac:dyDescent="0.25">
      <c r="A95446"/>
      <c r="B95446"/>
      <c r="C95446"/>
      <c r="E95446"/>
      <c r="F95446"/>
    </row>
    <row r="95447" spans="1:6" x14ac:dyDescent="0.25">
      <c r="A95447"/>
      <c r="B95447"/>
      <c r="C95447"/>
      <c r="E95447"/>
      <c r="F95447"/>
    </row>
    <row r="95448" spans="1:6" x14ac:dyDescent="0.25">
      <c r="A95448"/>
      <c r="B95448"/>
      <c r="C95448"/>
      <c r="E95448"/>
      <c r="F95448"/>
    </row>
    <row r="95449" spans="1:6" x14ac:dyDescent="0.25">
      <c r="A95449"/>
      <c r="B95449"/>
      <c r="C95449"/>
      <c r="E95449"/>
      <c r="F95449"/>
    </row>
    <row r="95450" spans="1:6" x14ac:dyDescent="0.25">
      <c r="A95450"/>
      <c r="B95450"/>
      <c r="C95450"/>
      <c r="E95450"/>
      <c r="F95450"/>
    </row>
    <row r="95451" spans="1:6" x14ac:dyDescent="0.25">
      <c r="A95451"/>
      <c r="B95451"/>
      <c r="C95451"/>
      <c r="E95451"/>
      <c r="F95451"/>
    </row>
    <row r="95452" spans="1:6" x14ac:dyDescent="0.25">
      <c r="A95452"/>
      <c r="B95452"/>
      <c r="C95452"/>
      <c r="E95452"/>
      <c r="F95452"/>
    </row>
    <row r="95453" spans="1:6" x14ac:dyDescent="0.25">
      <c r="A95453"/>
      <c r="B95453"/>
      <c r="C95453"/>
      <c r="E95453"/>
      <c r="F95453"/>
    </row>
    <row r="95454" spans="1:6" x14ac:dyDescent="0.25">
      <c r="A95454"/>
      <c r="B95454"/>
      <c r="C95454"/>
      <c r="E95454"/>
      <c r="F95454"/>
    </row>
    <row r="95455" spans="1:6" x14ac:dyDescent="0.25">
      <c r="A95455"/>
      <c r="B95455"/>
      <c r="C95455"/>
      <c r="E95455"/>
      <c r="F95455"/>
    </row>
    <row r="95456" spans="1:6" x14ac:dyDescent="0.25">
      <c r="A95456"/>
      <c r="B95456"/>
      <c r="C95456"/>
      <c r="E95456"/>
      <c r="F95456"/>
    </row>
    <row r="95457" spans="1:6" x14ac:dyDescent="0.25">
      <c r="A95457"/>
      <c r="B95457"/>
      <c r="C95457"/>
      <c r="E95457"/>
      <c r="F95457"/>
    </row>
    <row r="95458" spans="1:6" x14ac:dyDescent="0.25">
      <c r="A95458"/>
      <c r="B95458"/>
      <c r="C95458"/>
      <c r="E95458"/>
      <c r="F95458"/>
    </row>
    <row r="95459" spans="1:6" x14ac:dyDescent="0.25">
      <c r="A95459"/>
      <c r="B95459"/>
      <c r="C95459"/>
      <c r="E95459"/>
      <c r="F95459"/>
    </row>
    <row r="95460" spans="1:6" x14ac:dyDescent="0.25">
      <c r="A95460"/>
      <c r="B95460"/>
      <c r="C95460"/>
      <c r="E95460"/>
      <c r="F95460"/>
    </row>
    <row r="95461" spans="1:6" x14ac:dyDescent="0.25">
      <c r="A95461"/>
      <c r="B95461"/>
      <c r="C95461"/>
      <c r="E95461"/>
      <c r="F95461"/>
    </row>
    <row r="95462" spans="1:6" x14ac:dyDescent="0.25">
      <c r="A95462"/>
      <c r="B95462"/>
      <c r="C95462"/>
      <c r="E95462"/>
      <c r="F95462"/>
    </row>
    <row r="95463" spans="1:6" x14ac:dyDescent="0.25">
      <c r="A95463"/>
      <c r="B95463"/>
      <c r="C95463"/>
      <c r="E95463"/>
      <c r="F95463"/>
    </row>
    <row r="95464" spans="1:6" x14ac:dyDescent="0.25">
      <c r="A95464"/>
      <c r="B95464"/>
      <c r="C95464"/>
      <c r="E95464"/>
      <c r="F95464"/>
    </row>
    <row r="95465" spans="1:6" x14ac:dyDescent="0.25">
      <c r="A95465"/>
      <c r="B95465"/>
      <c r="C95465"/>
      <c r="E95465"/>
      <c r="F95465"/>
    </row>
    <row r="95466" spans="1:6" x14ac:dyDescent="0.25">
      <c r="A95466"/>
      <c r="B95466"/>
      <c r="C95466"/>
      <c r="E95466"/>
      <c r="F95466"/>
    </row>
    <row r="95467" spans="1:6" x14ac:dyDescent="0.25">
      <c r="A95467"/>
      <c r="B95467"/>
      <c r="C95467"/>
      <c r="E95467"/>
      <c r="F95467"/>
    </row>
    <row r="95468" spans="1:6" x14ac:dyDescent="0.25">
      <c r="A95468"/>
      <c r="B95468"/>
      <c r="C95468"/>
      <c r="E95468"/>
      <c r="F95468"/>
    </row>
    <row r="95469" spans="1:6" x14ac:dyDescent="0.25">
      <c r="A95469"/>
      <c r="B95469"/>
      <c r="C95469"/>
      <c r="E95469"/>
      <c r="F95469"/>
    </row>
    <row r="95470" spans="1:6" x14ac:dyDescent="0.25">
      <c r="A95470"/>
      <c r="B95470"/>
      <c r="C95470"/>
      <c r="E95470"/>
      <c r="F95470"/>
    </row>
    <row r="95471" spans="1:6" x14ac:dyDescent="0.25">
      <c r="A95471"/>
      <c r="B95471"/>
      <c r="C95471"/>
      <c r="E95471"/>
      <c r="F95471"/>
    </row>
    <row r="95472" spans="1:6" x14ac:dyDescent="0.25">
      <c r="A95472"/>
      <c r="B95472"/>
      <c r="C95472"/>
      <c r="E95472"/>
      <c r="F95472"/>
    </row>
    <row r="95473" spans="1:6" x14ac:dyDescent="0.25">
      <c r="A95473"/>
      <c r="B95473"/>
      <c r="C95473"/>
      <c r="E95473"/>
      <c r="F95473"/>
    </row>
    <row r="95474" spans="1:6" x14ac:dyDescent="0.25">
      <c r="A95474"/>
      <c r="B95474"/>
      <c r="C95474"/>
      <c r="E95474"/>
      <c r="F95474"/>
    </row>
    <row r="95475" spans="1:6" x14ac:dyDescent="0.25">
      <c r="A95475"/>
      <c r="B95475"/>
      <c r="C95475"/>
      <c r="E95475"/>
      <c r="F95475"/>
    </row>
    <row r="95476" spans="1:6" x14ac:dyDescent="0.25">
      <c r="A95476"/>
      <c r="B95476"/>
      <c r="C95476"/>
      <c r="E95476"/>
      <c r="F95476"/>
    </row>
    <row r="95477" spans="1:6" x14ac:dyDescent="0.25">
      <c r="A95477"/>
      <c r="B95477"/>
      <c r="C95477"/>
      <c r="E95477"/>
      <c r="F95477"/>
    </row>
    <row r="95478" spans="1:6" x14ac:dyDescent="0.25">
      <c r="A95478"/>
      <c r="B95478"/>
      <c r="C95478"/>
      <c r="E95478"/>
      <c r="F95478"/>
    </row>
    <row r="95479" spans="1:6" x14ac:dyDescent="0.25">
      <c r="A95479"/>
      <c r="B95479"/>
      <c r="C95479"/>
      <c r="E95479"/>
      <c r="F95479"/>
    </row>
    <row r="95480" spans="1:6" x14ac:dyDescent="0.25">
      <c r="A95480"/>
      <c r="B95480"/>
      <c r="C95480"/>
      <c r="E95480"/>
      <c r="F95480"/>
    </row>
    <row r="95481" spans="1:6" x14ac:dyDescent="0.25">
      <c r="A95481"/>
      <c r="B95481"/>
      <c r="C95481"/>
      <c r="E95481"/>
      <c r="F95481"/>
    </row>
    <row r="95482" spans="1:6" x14ac:dyDescent="0.25">
      <c r="A95482"/>
      <c r="B95482"/>
      <c r="C95482"/>
      <c r="E95482"/>
      <c r="F95482"/>
    </row>
    <row r="95483" spans="1:6" x14ac:dyDescent="0.25">
      <c r="A95483"/>
      <c r="B95483"/>
      <c r="C95483"/>
      <c r="E95483"/>
      <c r="F95483"/>
    </row>
    <row r="95484" spans="1:6" x14ac:dyDescent="0.25">
      <c r="A95484"/>
      <c r="B95484"/>
      <c r="C95484"/>
      <c r="E95484"/>
      <c r="F95484"/>
    </row>
    <row r="95485" spans="1:6" x14ac:dyDescent="0.25">
      <c r="A95485"/>
      <c r="B95485"/>
      <c r="C95485"/>
      <c r="E95485"/>
      <c r="F95485"/>
    </row>
    <row r="95486" spans="1:6" x14ac:dyDescent="0.25">
      <c r="A95486"/>
      <c r="B95486"/>
      <c r="C95486"/>
      <c r="E95486"/>
      <c r="F95486"/>
    </row>
    <row r="95487" spans="1:6" x14ac:dyDescent="0.25">
      <c r="A95487"/>
      <c r="B95487"/>
      <c r="C95487"/>
      <c r="E95487"/>
      <c r="F95487"/>
    </row>
    <row r="95488" spans="1:6" x14ac:dyDescent="0.25">
      <c r="A95488"/>
      <c r="B95488"/>
      <c r="C95488"/>
      <c r="E95488"/>
      <c r="F95488"/>
    </row>
    <row r="95489" spans="1:6" x14ac:dyDescent="0.25">
      <c r="A95489"/>
      <c r="B95489"/>
      <c r="C95489"/>
      <c r="E95489"/>
      <c r="F95489"/>
    </row>
    <row r="95490" spans="1:6" x14ac:dyDescent="0.25">
      <c r="A95490"/>
      <c r="B95490"/>
      <c r="C95490"/>
      <c r="E95490"/>
      <c r="F95490"/>
    </row>
    <row r="95491" spans="1:6" x14ac:dyDescent="0.25">
      <c r="A95491"/>
      <c r="B95491"/>
      <c r="C95491"/>
      <c r="E95491"/>
      <c r="F95491"/>
    </row>
    <row r="95492" spans="1:6" x14ac:dyDescent="0.25">
      <c r="A95492"/>
      <c r="B95492"/>
      <c r="C95492"/>
      <c r="E95492"/>
      <c r="F95492"/>
    </row>
    <row r="95493" spans="1:6" x14ac:dyDescent="0.25">
      <c r="A95493"/>
      <c r="B95493"/>
      <c r="C95493"/>
      <c r="E95493"/>
      <c r="F95493"/>
    </row>
    <row r="95494" spans="1:6" x14ac:dyDescent="0.25">
      <c r="A95494"/>
      <c r="B95494"/>
      <c r="C95494"/>
      <c r="E95494"/>
      <c r="F95494"/>
    </row>
    <row r="95495" spans="1:6" x14ac:dyDescent="0.25">
      <c r="A95495"/>
      <c r="B95495"/>
      <c r="C95495"/>
      <c r="E95495"/>
      <c r="F95495"/>
    </row>
    <row r="95496" spans="1:6" x14ac:dyDescent="0.25">
      <c r="A95496"/>
      <c r="B95496"/>
      <c r="C95496"/>
      <c r="E95496"/>
      <c r="F95496"/>
    </row>
    <row r="95497" spans="1:6" x14ac:dyDescent="0.25">
      <c r="A95497"/>
      <c r="B95497"/>
      <c r="C95497"/>
      <c r="E95497"/>
      <c r="F95497"/>
    </row>
    <row r="95498" spans="1:6" x14ac:dyDescent="0.25">
      <c r="A95498"/>
      <c r="B95498"/>
      <c r="C95498"/>
      <c r="E95498"/>
      <c r="F95498"/>
    </row>
    <row r="95499" spans="1:6" x14ac:dyDescent="0.25">
      <c r="A95499"/>
      <c r="B95499"/>
      <c r="C95499"/>
      <c r="E95499"/>
      <c r="F95499"/>
    </row>
    <row r="95500" spans="1:6" x14ac:dyDescent="0.25">
      <c r="A95500"/>
      <c r="B95500"/>
      <c r="C95500"/>
      <c r="E95500"/>
      <c r="F95500"/>
    </row>
    <row r="95501" spans="1:6" x14ac:dyDescent="0.25">
      <c r="A95501"/>
      <c r="B95501"/>
      <c r="C95501"/>
      <c r="E95501"/>
      <c r="F95501"/>
    </row>
    <row r="95502" spans="1:6" x14ac:dyDescent="0.25">
      <c r="A95502"/>
      <c r="B95502"/>
      <c r="C95502"/>
      <c r="E95502"/>
      <c r="F95502"/>
    </row>
    <row r="95503" spans="1:6" x14ac:dyDescent="0.25">
      <c r="A95503"/>
      <c r="B95503"/>
      <c r="C95503"/>
      <c r="E95503"/>
      <c r="F95503"/>
    </row>
    <row r="95504" spans="1:6" x14ac:dyDescent="0.25">
      <c r="A95504"/>
      <c r="B95504"/>
      <c r="C95504"/>
      <c r="E95504"/>
      <c r="F95504"/>
    </row>
    <row r="95505" spans="1:6" x14ac:dyDescent="0.25">
      <c r="A95505"/>
      <c r="B95505"/>
      <c r="C95505"/>
      <c r="E95505"/>
      <c r="F95505"/>
    </row>
    <row r="95506" spans="1:6" x14ac:dyDescent="0.25">
      <c r="A95506"/>
      <c r="B95506"/>
      <c r="C95506"/>
      <c r="E95506"/>
      <c r="F95506"/>
    </row>
    <row r="95507" spans="1:6" x14ac:dyDescent="0.25">
      <c r="A95507"/>
      <c r="B95507"/>
      <c r="C95507"/>
      <c r="E95507"/>
      <c r="F95507"/>
    </row>
    <row r="95508" spans="1:6" x14ac:dyDescent="0.25">
      <c r="A95508"/>
      <c r="B95508"/>
      <c r="C95508"/>
      <c r="E95508"/>
      <c r="F95508"/>
    </row>
    <row r="95509" spans="1:6" x14ac:dyDescent="0.25">
      <c r="A95509"/>
      <c r="B95509"/>
      <c r="C95509"/>
      <c r="E95509"/>
      <c r="F95509"/>
    </row>
    <row r="95510" spans="1:6" x14ac:dyDescent="0.25">
      <c r="A95510"/>
      <c r="B95510"/>
      <c r="C95510"/>
      <c r="E95510"/>
      <c r="F95510"/>
    </row>
    <row r="95511" spans="1:6" x14ac:dyDescent="0.25">
      <c r="A95511"/>
      <c r="B95511"/>
      <c r="C95511"/>
      <c r="E95511"/>
      <c r="F95511"/>
    </row>
    <row r="95512" spans="1:6" x14ac:dyDescent="0.25">
      <c r="A95512"/>
      <c r="B95512"/>
      <c r="C95512"/>
      <c r="E95512"/>
      <c r="F95512"/>
    </row>
    <row r="95513" spans="1:6" x14ac:dyDescent="0.25">
      <c r="A95513"/>
      <c r="B95513"/>
      <c r="C95513"/>
      <c r="E95513"/>
      <c r="F95513"/>
    </row>
    <row r="95514" spans="1:6" x14ac:dyDescent="0.25">
      <c r="A95514"/>
      <c r="B95514"/>
      <c r="C95514"/>
      <c r="E95514"/>
      <c r="F95514"/>
    </row>
    <row r="95515" spans="1:6" x14ac:dyDescent="0.25">
      <c r="A95515"/>
      <c r="B95515"/>
      <c r="C95515"/>
      <c r="E95515"/>
      <c r="F95515"/>
    </row>
    <row r="95516" spans="1:6" x14ac:dyDescent="0.25">
      <c r="A95516"/>
      <c r="B95516"/>
      <c r="C95516"/>
      <c r="E95516"/>
      <c r="F95516"/>
    </row>
    <row r="95517" spans="1:6" x14ac:dyDescent="0.25">
      <c r="A95517"/>
      <c r="B95517"/>
      <c r="C95517"/>
      <c r="E95517"/>
      <c r="F95517"/>
    </row>
    <row r="95518" spans="1:6" x14ac:dyDescent="0.25">
      <c r="A95518"/>
      <c r="B95518"/>
      <c r="C95518"/>
      <c r="E95518"/>
      <c r="F95518"/>
    </row>
    <row r="95519" spans="1:6" x14ac:dyDescent="0.25">
      <c r="A95519"/>
      <c r="B95519"/>
      <c r="C95519"/>
      <c r="E95519"/>
      <c r="F95519"/>
    </row>
    <row r="95520" spans="1:6" x14ac:dyDescent="0.25">
      <c r="A95520"/>
      <c r="B95520"/>
      <c r="C95520"/>
      <c r="E95520"/>
      <c r="F95520"/>
    </row>
    <row r="95521" spans="1:6" x14ac:dyDescent="0.25">
      <c r="A95521"/>
      <c r="B95521"/>
      <c r="C95521"/>
      <c r="E95521"/>
      <c r="F95521"/>
    </row>
    <row r="95522" spans="1:6" x14ac:dyDescent="0.25">
      <c r="A95522"/>
      <c r="B95522"/>
      <c r="C95522"/>
      <c r="E95522"/>
      <c r="F95522"/>
    </row>
    <row r="95523" spans="1:6" x14ac:dyDescent="0.25">
      <c r="A95523"/>
      <c r="B95523"/>
      <c r="C95523"/>
      <c r="E95523"/>
      <c r="F95523"/>
    </row>
    <row r="95524" spans="1:6" x14ac:dyDescent="0.25">
      <c r="A95524"/>
      <c r="B95524"/>
      <c r="C95524"/>
      <c r="E95524"/>
      <c r="F95524"/>
    </row>
    <row r="95525" spans="1:6" x14ac:dyDescent="0.25">
      <c r="A95525"/>
      <c r="B95525"/>
      <c r="C95525"/>
      <c r="E95525"/>
      <c r="F95525"/>
    </row>
    <row r="95526" spans="1:6" x14ac:dyDescent="0.25">
      <c r="A95526"/>
      <c r="B95526"/>
      <c r="C95526"/>
      <c r="E95526"/>
      <c r="F95526"/>
    </row>
    <row r="95527" spans="1:6" x14ac:dyDescent="0.25">
      <c r="A95527"/>
      <c r="B95527"/>
      <c r="C95527"/>
      <c r="E95527"/>
      <c r="F95527"/>
    </row>
    <row r="95528" spans="1:6" x14ac:dyDescent="0.25">
      <c r="A95528"/>
      <c r="B95528"/>
      <c r="C95528"/>
      <c r="E95528"/>
      <c r="F95528"/>
    </row>
    <row r="95529" spans="1:6" x14ac:dyDescent="0.25">
      <c r="A95529"/>
      <c r="B95529"/>
      <c r="C95529"/>
      <c r="E95529"/>
      <c r="F95529"/>
    </row>
    <row r="95530" spans="1:6" x14ac:dyDescent="0.25">
      <c r="A95530"/>
      <c r="B95530"/>
      <c r="C95530"/>
      <c r="E95530"/>
      <c r="F95530"/>
    </row>
    <row r="95531" spans="1:6" x14ac:dyDescent="0.25">
      <c r="A95531"/>
      <c r="B95531"/>
      <c r="C95531"/>
      <c r="E95531"/>
      <c r="F95531"/>
    </row>
    <row r="95532" spans="1:6" x14ac:dyDescent="0.25">
      <c r="A95532"/>
      <c r="B95532"/>
      <c r="C95532"/>
      <c r="E95532"/>
      <c r="F95532"/>
    </row>
    <row r="95533" spans="1:6" x14ac:dyDescent="0.25">
      <c r="A95533"/>
      <c r="B95533"/>
      <c r="C95533"/>
      <c r="E95533"/>
      <c r="F95533"/>
    </row>
    <row r="95534" spans="1:6" x14ac:dyDescent="0.25">
      <c r="A95534"/>
      <c r="B95534"/>
      <c r="C95534"/>
      <c r="E95534"/>
      <c r="F95534"/>
    </row>
    <row r="95535" spans="1:6" x14ac:dyDescent="0.25">
      <c r="A95535"/>
      <c r="B95535"/>
      <c r="C95535"/>
      <c r="E95535"/>
      <c r="F95535"/>
    </row>
    <row r="95536" spans="1:6" x14ac:dyDescent="0.25">
      <c r="A95536"/>
      <c r="B95536"/>
      <c r="C95536"/>
      <c r="E95536"/>
      <c r="F95536"/>
    </row>
    <row r="95537" spans="1:6" x14ac:dyDescent="0.25">
      <c r="A95537"/>
      <c r="B95537"/>
      <c r="C95537"/>
      <c r="E95537"/>
      <c r="F95537"/>
    </row>
    <row r="95538" spans="1:6" x14ac:dyDescent="0.25">
      <c r="A95538"/>
      <c r="B95538"/>
      <c r="C95538"/>
      <c r="E95538"/>
      <c r="F95538"/>
    </row>
    <row r="95539" spans="1:6" x14ac:dyDescent="0.25">
      <c r="A95539"/>
      <c r="B95539"/>
      <c r="C95539"/>
      <c r="E95539"/>
      <c r="F95539"/>
    </row>
    <row r="95540" spans="1:6" x14ac:dyDescent="0.25">
      <c r="A95540"/>
      <c r="B95540"/>
      <c r="C95540"/>
      <c r="E95540"/>
      <c r="F95540"/>
    </row>
    <row r="95541" spans="1:6" x14ac:dyDescent="0.25">
      <c r="A95541"/>
      <c r="B95541"/>
      <c r="C95541"/>
      <c r="E95541"/>
      <c r="F95541"/>
    </row>
    <row r="95542" spans="1:6" x14ac:dyDescent="0.25">
      <c r="A95542"/>
      <c r="B95542"/>
      <c r="C95542"/>
      <c r="E95542"/>
      <c r="F95542"/>
    </row>
    <row r="95543" spans="1:6" x14ac:dyDescent="0.25">
      <c r="A95543"/>
      <c r="B95543"/>
      <c r="C95543"/>
      <c r="E95543"/>
      <c r="F95543"/>
    </row>
    <row r="95544" spans="1:6" x14ac:dyDescent="0.25">
      <c r="A95544"/>
      <c r="B95544"/>
      <c r="C95544"/>
      <c r="E95544"/>
      <c r="F95544"/>
    </row>
    <row r="95545" spans="1:6" x14ac:dyDescent="0.25">
      <c r="A95545"/>
      <c r="B95545"/>
      <c r="C95545"/>
      <c r="E95545"/>
      <c r="F95545"/>
    </row>
    <row r="95546" spans="1:6" x14ac:dyDescent="0.25">
      <c r="A95546"/>
      <c r="B95546"/>
      <c r="C95546"/>
      <c r="E95546"/>
      <c r="F95546"/>
    </row>
    <row r="95547" spans="1:6" x14ac:dyDescent="0.25">
      <c r="A95547"/>
      <c r="B95547"/>
      <c r="C95547"/>
      <c r="E95547"/>
      <c r="F95547"/>
    </row>
    <row r="95548" spans="1:6" x14ac:dyDescent="0.25">
      <c r="A95548"/>
      <c r="B95548"/>
      <c r="C95548"/>
      <c r="E95548"/>
      <c r="F95548"/>
    </row>
    <row r="95549" spans="1:6" x14ac:dyDescent="0.25">
      <c r="A95549"/>
      <c r="B95549"/>
      <c r="C95549"/>
      <c r="E95549"/>
      <c r="F95549"/>
    </row>
    <row r="95550" spans="1:6" x14ac:dyDescent="0.25">
      <c r="A95550"/>
      <c r="B95550"/>
      <c r="C95550"/>
      <c r="E95550"/>
      <c r="F95550"/>
    </row>
    <row r="95551" spans="1:6" x14ac:dyDescent="0.25">
      <c r="A95551"/>
      <c r="B95551"/>
      <c r="C95551"/>
      <c r="E95551"/>
      <c r="F95551"/>
    </row>
    <row r="95552" spans="1:6" x14ac:dyDescent="0.25">
      <c r="A95552"/>
      <c r="B95552"/>
      <c r="C95552"/>
      <c r="E95552"/>
      <c r="F95552"/>
    </row>
    <row r="95553" spans="1:6" x14ac:dyDescent="0.25">
      <c r="A95553"/>
      <c r="B95553"/>
      <c r="C95553"/>
      <c r="E95553"/>
      <c r="F95553"/>
    </row>
    <row r="95554" spans="1:6" x14ac:dyDescent="0.25">
      <c r="A95554"/>
      <c r="B95554"/>
      <c r="C95554"/>
      <c r="E95554"/>
      <c r="F95554"/>
    </row>
    <row r="95555" spans="1:6" x14ac:dyDescent="0.25">
      <c r="A95555"/>
      <c r="B95555"/>
      <c r="C95555"/>
      <c r="E95555"/>
      <c r="F95555"/>
    </row>
    <row r="95556" spans="1:6" x14ac:dyDescent="0.25">
      <c r="A95556"/>
      <c r="B95556"/>
      <c r="C95556"/>
      <c r="E95556"/>
      <c r="F95556"/>
    </row>
    <row r="95557" spans="1:6" x14ac:dyDescent="0.25">
      <c r="A95557"/>
      <c r="B95557"/>
      <c r="C95557"/>
      <c r="E95557"/>
      <c r="F95557"/>
    </row>
    <row r="95558" spans="1:6" x14ac:dyDescent="0.25">
      <c r="A95558"/>
      <c r="B95558"/>
      <c r="C95558"/>
      <c r="E95558"/>
      <c r="F95558"/>
    </row>
    <row r="95559" spans="1:6" x14ac:dyDescent="0.25">
      <c r="A95559"/>
      <c r="B95559"/>
      <c r="C95559"/>
      <c r="E95559"/>
      <c r="F95559"/>
    </row>
    <row r="95560" spans="1:6" x14ac:dyDescent="0.25">
      <c r="A95560"/>
      <c r="B95560"/>
      <c r="C95560"/>
      <c r="E95560"/>
      <c r="F95560"/>
    </row>
    <row r="95561" spans="1:6" x14ac:dyDescent="0.25">
      <c r="A95561"/>
      <c r="B95561"/>
      <c r="C95561"/>
      <c r="E95561"/>
      <c r="F95561"/>
    </row>
    <row r="95562" spans="1:6" x14ac:dyDescent="0.25">
      <c r="A95562"/>
      <c r="B95562"/>
      <c r="C95562"/>
      <c r="E95562"/>
      <c r="F95562"/>
    </row>
    <row r="95563" spans="1:6" x14ac:dyDescent="0.25">
      <c r="A95563"/>
      <c r="B95563"/>
      <c r="C95563"/>
      <c r="E95563"/>
      <c r="F95563"/>
    </row>
    <row r="95564" spans="1:6" x14ac:dyDescent="0.25">
      <c r="A95564"/>
      <c r="B95564"/>
      <c r="C95564"/>
      <c r="E95564"/>
      <c r="F95564"/>
    </row>
    <row r="95565" spans="1:6" x14ac:dyDescent="0.25">
      <c r="A95565"/>
      <c r="B95565"/>
      <c r="C95565"/>
      <c r="E95565"/>
      <c r="F95565"/>
    </row>
    <row r="95566" spans="1:6" x14ac:dyDescent="0.25">
      <c r="A95566"/>
      <c r="B95566"/>
      <c r="C95566"/>
      <c r="E95566"/>
      <c r="F95566"/>
    </row>
    <row r="95567" spans="1:6" x14ac:dyDescent="0.25">
      <c r="A95567"/>
      <c r="B95567"/>
      <c r="C95567"/>
      <c r="E95567"/>
      <c r="F95567"/>
    </row>
    <row r="95568" spans="1:6" x14ac:dyDescent="0.25">
      <c r="A95568"/>
      <c r="B95568"/>
      <c r="C95568"/>
      <c r="E95568"/>
      <c r="F95568"/>
    </row>
    <row r="95569" spans="1:6" x14ac:dyDescent="0.25">
      <c r="A95569"/>
      <c r="B95569"/>
      <c r="C95569"/>
      <c r="E95569"/>
      <c r="F95569"/>
    </row>
    <row r="95570" spans="1:6" x14ac:dyDescent="0.25">
      <c r="A95570"/>
      <c r="B95570"/>
      <c r="C95570"/>
      <c r="E95570"/>
      <c r="F95570"/>
    </row>
    <row r="95571" spans="1:6" x14ac:dyDescent="0.25">
      <c r="A95571"/>
      <c r="B95571"/>
      <c r="C95571"/>
      <c r="E95571"/>
      <c r="F95571"/>
    </row>
    <row r="95572" spans="1:6" x14ac:dyDescent="0.25">
      <c r="A95572"/>
      <c r="B95572"/>
      <c r="C95572"/>
      <c r="E95572"/>
      <c r="F95572"/>
    </row>
    <row r="95573" spans="1:6" x14ac:dyDescent="0.25">
      <c r="A95573"/>
      <c r="B95573"/>
      <c r="C95573"/>
      <c r="E95573"/>
      <c r="F95573"/>
    </row>
    <row r="95574" spans="1:6" x14ac:dyDescent="0.25">
      <c r="A95574"/>
      <c r="B95574"/>
      <c r="C95574"/>
      <c r="E95574"/>
      <c r="F95574"/>
    </row>
    <row r="95575" spans="1:6" x14ac:dyDescent="0.25">
      <c r="A95575"/>
      <c r="B95575"/>
      <c r="C95575"/>
      <c r="E95575"/>
      <c r="F95575"/>
    </row>
    <row r="95576" spans="1:6" x14ac:dyDescent="0.25">
      <c r="A95576"/>
      <c r="B95576"/>
      <c r="C95576"/>
      <c r="E95576"/>
      <c r="F95576"/>
    </row>
    <row r="95577" spans="1:6" x14ac:dyDescent="0.25">
      <c r="A95577"/>
      <c r="B95577"/>
      <c r="C95577"/>
      <c r="E95577"/>
      <c r="F95577"/>
    </row>
    <row r="95578" spans="1:6" x14ac:dyDescent="0.25">
      <c r="A95578"/>
      <c r="B95578"/>
      <c r="C95578"/>
      <c r="E95578"/>
      <c r="F95578"/>
    </row>
    <row r="95579" spans="1:6" x14ac:dyDescent="0.25">
      <c r="A95579"/>
      <c r="B95579"/>
      <c r="C95579"/>
      <c r="E95579"/>
      <c r="F95579"/>
    </row>
    <row r="95580" spans="1:6" x14ac:dyDescent="0.25">
      <c r="A95580"/>
      <c r="B95580"/>
      <c r="C95580"/>
      <c r="E95580"/>
      <c r="F95580"/>
    </row>
    <row r="95581" spans="1:6" x14ac:dyDescent="0.25">
      <c r="A95581"/>
      <c r="B95581"/>
      <c r="C95581"/>
      <c r="E95581"/>
      <c r="F95581"/>
    </row>
    <row r="95582" spans="1:6" x14ac:dyDescent="0.25">
      <c r="A95582"/>
      <c r="B95582"/>
      <c r="C95582"/>
      <c r="E95582"/>
      <c r="F95582"/>
    </row>
    <row r="95583" spans="1:6" x14ac:dyDescent="0.25">
      <c r="A95583"/>
      <c r="B95583"/>
      <c r="C95583"/>
      <c r="E95583"/>
      <c r="F95583"/>
    </row>
    <row r="95584" spans="1:6" x14ac:dyDescent="0.25">
      <c r="A95584"/>
      <c r="B95584"/>
      <c r="C95584"/>
      <c r="E95584"/>
      <c r="F95584"/>
    </row>
    <row r="95585" spans="1:6" x14ac:dyDescent="0.25">
      <c r="A95585"/>
      <c r="B95585"/>
      <c r="C95585"/>
      <c r="E95585"/>
      <c r="F95585"/>
    </row>
    <row r="95586" spans="1:6" x14ac:dyDescent="0.25">
      <c r="A95586"/>
      <c r="B95586"/>
      <c r="C95586"/>
      <c r="E95586"/>
      <c r="F95586"/>
    </row>
    <row r="95587" spans="1:6" x14ac:dyDescent="0.25">
      <c r="A95587"/>
      <c r="B95587"/>
      <c r="C95587"/>
      <c r="E95587"/>
      <c r="F95587"/>
    </row>
    <row r="95588" spans="1:6" x14ac:dyDescent="0.25">
      <c r="A95588"/>
      <c r="B95588"/>
      <c r="C95588"/>
      <c r="E95588"/>
      <c r="F95588"/>
    </row>
    <row r="95589" spans="1:6" x14ac:dyDescent="0.25">
      <c r="A95589"/>
      <c r="B95589"/>
      <c r="C95589"/>
      <c r="E95589"/>
      <c r="F95589"/>
    </row>
    <row r="95590" spans="1:6" x14ac:dyDescent="0.25">
      <c r="A95590"/>
      <c r="B95590"/>
      <c r="C95590"/>
      <c r="E95590"/>
      <c r="F95590"/>
    </row>
    <row r="95591" spans="1:6" x14ac:dyDescent="0.25">
      <c r="A95591"/>
      <c r="B95591"/>
      <c r="C95591"/>
      <c r="E95591"/>
      <c r="F95591"/>
    </row>
    <row r="95592" spans="1:6" x14ac:dyDescent="0.25">
      <c r="A95592"/>
      <c r="B95592"/>
      <c r="C95592"/>
      <c r="E95592"/>
      <c r="F95592"/>
    </row>
    <row r="95593" spans="1:6" x14ac:dyDescent="0.25">
      <c r="A95593"/>
      <c r="B95593"/>
      <c r="C95593"/>
      <c r="E95593"/>
      <c r="F95593"/>
    </row>
    <row r="95594" spans="1:6" x14ac:dyDescent="0.25">
      <c r="A95594"/>
      <c r="B95594"/>
      <c r="C95594"/>
      <c r="E95594"/>
      <c r="F95594"/>
    </row>
    <row r="95595" spans="1:6" x14ac:dyDescent="0.25">
      <c r="A95595"/>
      <c r="B95595"/>
      <c r="C95595"/>
      <c r="E95595"/>
      <c r="F95595"/>
    </row>
    <row r="95596" spans="1:6" x14ac:dyDescent="0.25">
      <c r="A95596"/>
      <c r="B95596"/>
      <c r="C95596"/>
      <c r="E95596"/>
      <c r="F95596"/>
    </row>
    <row r="95597" spans="1:6" x14ac:dyDescent="0.25">
      <c r="A95597"/>
      <c r="B95597"/>
      <c r="C95597"/>
      <c r="E95597"/>
      <c r="F95597"/>
    </row>
    <row r="95598" spans="1:6" x14ac:dyDescent="0.25">
      <c r="A95598"/>
      <c r="B95598"/>
      <c r="C95598"/>
      <c r="E95598"/>
      <c r="F95598"/>
    </row>
    <row r="95599" spans="1:6" x14ac:dyDescent="0.25">
      <c r="A95599"/>
      <c r="B95599"/>
      <c r="C95599"/>
      <c r="E95599"/>
      <c r="F95599"/>
    </row>
    <row r="95600" spans="1:6" x14ac:dyDescent="0.25">
      <c r="A95600"/>
      <c r="B95600"/>
      <c r="C95600"/>
      <c r="E95600"/>
      <c r="F95600"/>
    </row>
    <row r="95601" spans="1:6" x14ac:dyDescent="0.25">
      <c r="A95601"/>
      <c r="B95601"/>
      <c r="C95601"/>
      <c r="E95601"/>
      <c r="F95601"/>
    </row>
    <row r="95602" spans="1:6" x14ac:dyDescent="0.25">
      <c r="A95602"/>
      <c r="B95602"/>
      <c r="C95602"/>
      <c r="E95602"/>
      <c r="F95602"/>
    </row>
    <row r="95603" spans="1:6" x14ac:dyDescent="0.25">
      <c r="A95603"/>
      <c r="B95603"/>
      <c r="C95603"/>
      <c r="E95603"/>
      <c r="F95603"/>
    </row>
    <row r="95604" spans="1:6" x14ac:dyDescent="0.25">
      <c r="A95604"/>
      <c r="B95604"/>
      <c r="C95604"/>
      <c r="E95604"/>
      <c r="F95604"/>
    </row>
    <row r="95605" spans="1:6" x14ac:dyDescent="0.25">
      <c r="A95605"/>
      <c r="B95605"/>
      <c r="C95605"/>
      <c r="E95605"/>
      <c r="F95605"/>
    </row>
    <row r="95606" spans="1:6" x14ac:dyDescent="0.25">
      <c r="A95606"/>
      <c r="B95606"/>
      <c r="C95606"/>
      <c r="E95606"/>
      <c r="F95606"/>
    </row>
    <row r="95607" spans="1:6" x14ac:dyDescent="0.25">
      <c r="A95607"/>
      <c r="B95607"/>
      <c r="C95607"/>
      <c r="E95607"/>
      <c r="F95607"/>
    </row>
    <row r="95608" spans="1:6" x14ac:dyDescent="0.25">
      <c r="A95608"/>
      <c r="B95608"/>
      <c r="C95608"/>
      <c r="E95608"/>
      <c r="F95608"/>
    </row>
    <row r="95609" spans="1:6" x14ac:dyDescent="0.25">
      <c r="A95609"/>
      <c r="B95609"/>
      <c r="C95609"/>
      <c r="E95609"/>
      <c r="F95609"/>
    </row>
    <row r="95610" spans="1:6" x14ac:dyDescent="0.25">
      <c r="A95610"/>
      <c r="B95610"/>
      <c r="C95610"/>
      <c r="E95610"/>
      <c r="F95610"/>
    </row>
    <row r="95611" spans="1:6" x14ac:dyDescent="0.25">
      <c r="A95611"/>
      <c r="B95611"/>
      <c r="C95611"/>
      <c r="E95611"/>
      <c r="F95611"/>
    </row>
    <row r="95612" spans="1:6" x14ac:dyDescent="0.25">
      <c r="A95612"/>
      <c r="B95612"/>
      <c r="C95612"/>
      <c r="E95612"/>
      <c r="F95612"/>
    </row>
    <row r="95613" spans="1:6" x14ac:dyDescent="0.25">
      <c r="A95613"/>
      <c r="B95613"/>
      <c r="C95613"/>
      <c r="E95613"/>
      <c r="F95613"/>
    </row>
    <row r="95614" spans="1:6" x14ac:dyDescent="0.25">
      <c r="A95614"/>
      <c r="B95614"/>
      <c r="C95614"/>
      <c r="E95614"/>
      <c r="F95614"/>
    </row>
    <row r="95615" spans="1:6" x14ac:dyDescent="0.25">
      <c r="A95615"/>
      <c r="B95615"/>
      <c r="C95615"/>
      <c r="E95615"/>
      <c r="F95615"/>
    </row>
    <row r="95616" spans="1:6" x14ac:dyDescent="0.25">
      <c r="A95616"/>
      <c r="B95616"/>
      <c r="C95616"/>
      <c r="E95616"/>
      <c r="F95616"/>
    </row>
    <row r="95617" spans="1:6" x14ac:dyDescent="0.25">
      <c r="A95617"/>
      <c r="B95617"/>
      <c r="C95617"/>
      <c r="E95617"/>
      <c r="F95617"/>
    </row>
    <row r="95618" spans="1:6" x14ac:dyDescent="0.25">
      <c r="A95618"/>
      <c r="B95618"/>
      <c r="C95618"/>
      <c r="E95618"/>
      <c r="F95618"/>
    </row>
    <row r="95619" spans="1:6" x14ac:dyDescent="0.25">
      <c r="A95619"/>
      <c r="B95619"/>
      <c r="C95619"/>
      <c r="E95619"/>
      <c r="F95619"/>
    </row>
    <row r="95620" spans="1:6" x14ac:dyDescent="0.25">
      <c r="A95620"/>
      <c r="B95620"/>
      <c r="C95620"/>
      <c r="E95620"/>
      <c r="F95620"/>
    </row>
    <row r="95621" spans="1:6" x14ac:dyDescent="0.25">
      <c r="A95621"/>
      <c r="B95621"/>
      <c r="C95621"/>
      <c r="E95621"/>
      <c r="F95621"/>
    </row>
    <row r="95622" spans="1:6" x14ac:dyDescent="0.25">
      <c r="A95622"/>
      <c r="B95622"/>
      <c r="C95622"/>
      <c r="E95622"/>
      <c r="F95622"/>
    </row>
    <row r="95623" spans="1:6" x14ac:dyDescent="0.25">
      <c r="A95623"/>
      <c r="B95623"/>
      <c r="C95623"/>
      <c r="E95623"/>
      <c r="F95623"/>
    </row>
    <row r="95624" spans="1:6" x14ac:dyDescent="0.25">
      <c r="A95624"/>
      <c r="B95624"/>
      <c r="C95624"/>
      <c r="E95624"/>
      <c r="F95624"/>
    </row>
    <row r="95625" spans="1:6" x14ac:dyDescent="0.25">
      <c r="A95625"/>
      <c r="B95625"/>
      <c r="C95625"/>
      <c r="E95625"/>
      <c r="F95625"/>
    </row>
    <row r="95626" spans="1:6" x14ac:dyDescent="0.25">
      <c r="A95626"/>
      <c r="B95626"/>
      <c r="C95626"/>
      <c r="E95626"/>
      <c r="F95626"/>
    </row>
    <row r="95627" spans="1:6" x14ac:dyDescent="0.25">
      <c r="A95627"/>
      <c r="B95627"/>
      <c r="C95627"/>
      <c r="E95627"/>
      <c r="F95627"/>
    </row>
    <row r="95628" spans="1:6" x14ac:dyDescent="0.25">
      <c r="A95628"/>
      <c r="B95628"/>
      <c r="C95628"/>
      <c r="E95628"/>
      <c r="F95628"/>
    </row>
    <row r="95629" spans="1:6" x14ac:dyDescent="0.25">
      <c r="A95629"/>
      <c r="B95629"/>
      <c r="C95629"/>
      <c r="E95629"/>
      <c r="F95629"/>
    </row>
    <row r="95630" spans="1:6" x14ac:dyDescent="0.25">
      <c r="A95630"/>
      <c r="B95630"/>
      <c r="C95630"/>
      <c r="E95630"/>
      <c r="F95630"/>
    </row>
    <row r="95631" spans="1:6" x14ac:dyDescent="0.25">
      <c r="A95631"/>
      <c r="B95631"/>
      <c r="C95631"/>
      <c r="E95631"/>
      <c r="F95631"/>
    </row>
    <row r="95632" spans="1:6" x14ac:dyDescent="0.25">
      <c r="A95632"/>
      <c r="B95632"/>
      <c r="C95632"/>
      <c r="E95632"/>
      <c r="F95632"/>
    </row>
    <row r="95633" spans="1:6" x14ac:dyDescent="0.25">
      <c r="A95633"/>
      <c r="B95633"/>
      <c r="C95633"/>
      <c r="E95633"/>
      <c r="F95633"/>
    </row>
    <row r="95634" spans="1:6" x14ac:dyDescent="0.25">
      <c r="A95634"/>
      <c r="B95634"/>
      <c r="C95634"/>
      <c r="E95634"/>
      <c r="F95634"/>
    </row>
    <row r="95635" spans="1:6" x14ac:dyDescent="0.25">
      <c r="A95635"/>
      <c r="B95635"/>
      <c r="C95635"/>
      <c r="E95635"/>
      <c r="F95635"/>
    </row>
    <row r="95636" spans="1:6" x14ac:dyDescent="0.25">
      <c r="A95636"/>
      <c r="B95636"/>
      <c r="C95636"/>
      <c r="E95636"/>
      <c r="F95636"/>
    </row>
    <row r="95637" spans="1:6" x14ac:dyDescent="0.25">
      <c r="A95637"/>
      <c r="B95637"/>
      <c r="C95637"/>
      <c r="E95637"/>
      <c r="F95637"/>
    </row>
    <row r="95638" spans="1:6" x14ac:dyDescent="0.25">
      <c r="A95638"/>
      <c r="B95638"/>
      <c r="C95638"/>
      <c r="E95638"/>
      <c r="F95638"/>
    </row>
    <row r="95639" spans="1:6" x14ac:dyDescent="0.25">
      <c r="A95639"/>
      <c r="B95639"/>
      <c r="C95639"/>
      <c r="E95639"/>
      <c r="F95639"/>
    </row>
    <row r="95640" spans="1:6" x14ac:dyDescent="0.25">
      <c r="A95640"/>
      <c r="B95640"/>
      <c r="C95640"/>
      <c r="E95640"/>
      <c r="F95640"/>
    </row>
    <row r="95641" spans="1:6" x14ac:dyDescent="0.25">
      <c r="A95641"/>
      <c r="B95641"/>
      <c r="C95641"/>
      <c r="E95641"/>
      <c r="F95641"/>
    </row>
    <row r="95642" spans="1:6" x14ac:dyDescent="0.25">
      <c r="A95642"/>
      <c r="B95642"/>
      <c r="C95642"/>
      <c r="E95642"/>
      <c r="F95642"/>
    </row>
    <row r="95643" spans="1:6" x14ac:dyDescent="0.25">
      <c r="A95643"/>
      <c r="B95643"/>
      <c r="C95643"/>
      <c r="E95643"/>
      <c r="F95643"/>
    </row>
    <row r="95644" spans="1:6" x14ac:dyDescent="0.25">
      <c r="A95644"/>
      <c r="B95644"/>
      <c r="C95644"/>
      <c r="E95644"/>
      <c r="F95644"/>
    </row>
    <row r="95645" spans="1:6" x14ac:dyDescent="0.25">
      <c r="A95645"/>
      <c r="B95645"/>
      <c r="C95645"/>
      <c r="E95645"/>
      <c r="F95645"/>
    </row>
    <row r="95646" spans="1:6" x14ac:dyDescent="0.25">
      <c r="A95646"/>
      <c r="B95646"/>
      <c r="C95646"/>
      <c r="E95646"/>
      <c r="F95646"/>
    </row>
    <row r="95647" spans="1:6" x14ac:dyDescent="0.25">
      <c r="A95647"/>
      <c r="B95647"/>
      <c r="C95647"/>
      <c r="E95647"/>
      <c r="F95647"/>
    </row>
    <row r="95648" spans="1:6" x14ac:dyDescent="0.25">
      <c r="A95648"/>
      <c r="B95648"/>
      <c r="C95648"/>
      <c r="E95648"/>
      <c r="F95648"/>
    </row>
    <row r="95649" spans="1:6" x14ac:dyDescent="0.25">
      <c r="A95649"/>
      <c r="B95649"/>
      <c r="C95649"/>
      <c r="E95649"/>
      <c r="F95649"/>
    </row>
    <row r="95650" spans="1:6" x14ac:dyDescent="0.25">
      <c r="A95650"/>
      <c r="B95650"/>
      <c r="C95650"/>
      <c r="E95650"/>
      <c r="F95650"/>
    </row>
    <row r="95651" spans="1:6" x14ac:dyDescent="0.25">
      <c r="A95651"/>
      <c r="B95651"/>
      <c r="C95651"/>
      <c r="E95651"/>
      <c r="F95651"/>
    </row>
    <row r="95652" spans="1:6" x14ac:dyDescent="0.25">
      <c r="A95652"/>
      <c r="B95652"/>
      <c r="C95652"/>
      <c r="E95652"/>
      <c r="F95652"/>
    </row>
    <row r="95653" spans="1:6" x14ac:dyDescent="0.25">
      <c r="A95653"/>
      <c r="B95653"/>
      <c r="C95653"/>
      <c r="E95653"/>
      <c r="F95653"/>
    </row>
    <row r="95654" spans="1:6" x14ac:dyDescent="0.25">
      <c r="A95654"/>
      <c r="B95654"/>
      <c r="C95654"/>
      <c r="E95654"/>
      <c r="F95654"/>
    </row>
    <row r="95655" spans="1:6" x14ac:dyDescent="0.25">
      <c r="A95655"/>
      <c r="B95655"/>
      <c r="C95655"/>
      <c r="E95655"/>
      <c r="F95655"/>
    </row>
    <row r="95656" spans="1:6" x14ac:dyDescent="0.25">
      <c r="A95656"/>
      <c r="B95656"/>
      <c r="C95656"/>
      <c r="E95656"/>
      <c r="F95656"/>
    </row>
    <row r="95657" spans="1:6" x14ac:dyDescent="0.25">
      <c r="A95657"/>
      <c r="B95657"/>
      <c r="C95657"/>
      <c r="E95657"/>
      <c r="F95657"/>
    </row>
    <row r="95658" spans="1:6" x14ac:dyDescent="0.25">
      <c r="A95658"/>
      <c r="B95658"/>
      <c r="C95658"/>
      <c r="E95658"/>
      <c r="F95658"/>
    </row>
    <row r="95659" spans="1:6" x14ac:dyDescent="0.25">
      <c r="A95659"/>
      <c r="B95659"/>
      <c r="C95659"/>
      <c r="E95659"/>
      <c r="F95659"/>
    </row>
    <row r="95660" spans="1:6" x14ac:dyDescent="0.25">
      <c r="A95660"/>
      <c r="B95660"/>
      <c r="C95660"/>
      <c r="E95660"/>
      <c r="F95660"/>
    </row>
    <row r="95661" spans="1:6" x14ac:dyDescent="0.25">
      <c r="A95661"/>
      <c r="B95661"/>
      <c r="C95661"/>
      <c r="E95661"/>
      <c r="F95661"/>
    </row>
    <row r="95662" spans="1:6" x14ac:dyDescent="0.25">
      <c r="A95662"/>
      <c r="B95662"/>
      <c r="C95662"/>
      <c r="E95662"/>
      <c r="F95662"/>
    </row>
    <row r="95663" spans="1:6" x14ac:dyDescent="0.25">
      <c r="A95663"/>
      <c r="B95663"/>
      <c r="C95663"/>
      <c r="E95663"/>
      <c r="F95663"/>
    </row>
    <row r="95664" spans="1:6" x14ac:dyDescent="0.25">
      <c r="A95664"/>
      <c r="B95664"/>
      <c r="C95664"/>
      <c r="E95664"/>
      <c r="F95664"/>
    </row>
    <row r="95665" spans="1:6" x14ac:dyDescent="0.25">
      <c r="A95665"/>
      <c r="B95665"/>
      <c r="C95665"/>
      <c r="E95665"/>
      <c r="F95665"/>
    </row>
    <row r="95666" spans="1:6" x14ac:dyDescent="0.25">
      <c r="A95666"/>
      <c r="B95666"/>
      <c r="C95666"/>
      <c r="E95666"/>
      <c r="F95666"/>
    </row>
    <row r="95667" spans="1:6" x14ac:dyDescent="0.25">
      <c r="A95667"/>
      <c r="B95667"/>
      <c r="C95667"/>
      <c r="E95667"/>
      <c r="F95667"/>
    </row>
    <row r="95668" spans="1:6" x14ac:dyDescent="0.25">
      <c r="A95668"/>
      <c r="B95668"/>
      <c r="C95668"/>
      <c r="E95668"/>
      <c r="F95668"/>
    </row>
    <row r="95669" spans="1:6" x14ac:dyDescent="0.25">
      <c r="A95669"/>
      <c r="B95669"/>
      <c r="C95669"/>
      <c r="E95669"/>
      <c r="F95669"/>
    </row>
    <row r="95670" spans="1:6" x14ac:dyDescent="0.25">
      <c r="A95670"/>
      <c r="B95670"/>
      <c r="C95670"/>
      <c r="E95670"/>
      <c r="F95670"/>
    </row>
    <row r="95671" spans="1:6" x14ac:dyDescent="0.25">
      <c r="A95671"/>
      <c r="B95671"/>
      <c r="C95671"/>
      <c r="E95671"/>
      <c r="F95671"/>
    </row>
    <row r="95672" spans="1:6" x14ac:dyDescent="0.25">
      <c r="A95672"/>
      <c r="B95672"/>
      <c r="C95672"/>
      <c r="E95672"/>
      <c r="F95672"/>
    </row>
    <row r="95673" spans="1:6" x14ac:dyDescent="0.25">
      <c r="A95673"/>
      <c r="B95673"/>
      <c r="C95673"/>
      <c r="E95673"/>
      <c r="F95673"/>
    </row>
    <row r="95674" spans="1:6" x14ac:dyDescent="0.25">
      <c r="A95674"/>
      <c r="B95674"/>
      <c r="C95674"/>
      <c r="E95674"/>
      <c r="F95674"/>
    </row>
    <row r="95675" spans="1:6" x14ac:dyDescent="0.25">
      <c r="A95675"/>
      <c r="B95675"/>
      <c r="C95675"/>
      <c r="E95675"/>
      <c r="F95675"/>
    </row>
    <row r="95676" spans="1:6" x14ac:dyDescent="0.25">
      <c r="A95676"/>
      <c r="B95676"/>
      <c r="C95676"/>
      <c r="E95676"/>
      <c r="F95676"/>
    </row>
    <row r="95677" spans="1:6" x14ac:dyDescent="0.25">
      <c r="A95677"/>
      <c r="B95677"/>
      <c r="C95677"/>
      <c r="E95677"/>
      <c r="F95677"/>
    </row>
    <row r="95678" spans="1:6" x14ac:dyDescent="0.25">
      <c r="A95678"/>
      <c r="B95678"/>
      <c r="C95678"/>
      <c r="E95678"/>
      <c r="F95678"/>
    </row>
    <row r="95679" spans="1:6" x14ac:dyDescent="0.25">
      <c r="A95679"/>
      <c r="B95679"/>
      <c r="C95679"/>
      <c r="E95679"/>
      <c r="F95679"/>
    </row>
    <row r="95680" spans="1:6" x14ac:dyDescent="0.25">
      <c r="A95680"/>
      <c r="B95680"/>
      <c r="C95680"/>
      <c r="E95680"/>
      <c r="F95680"/>
    </row>
    <row r="95681" spans="1:6" x14ac:dyDescent="0.25">
      <c r="A95681"/>
      <c r="B95681"/>
      <c r="C95681"/>
      <c r="E95681"/>
      <c r="F95681"/>
    </row>
    <row r="95682" spans="1:6" x14ac:dyDescent="0.25">
      <c r="A95682"/>
      <c r="B95682"/>
      <c r="C95682"/>
      <c r="E95682"/>
      <c r="F95682"/>
    </row>
    <row r="95683" spans="1:6" x14ac:dyDescent="0.25">
      <c r="A95683"/>
      <c r="B95683"/>
      <c r="C95683"/>
      <c r="E95683"/>
      <c r="F95683"/>
    </row>
    <row r="95684" spans="1:6" x14ac:dyDescent="0.25">
      <c r="A95684"/>
      <c r="B95684"/>
      <c r="C95684"/>
      <c r="E95684"/>
      <c r="F95684"/>
    </row>
    <row r="95685" spans="1:6" x14ac:dyDescent="0.25">
      <c r="A95685"/>
      <c r="B95685"/>
      <c r="C95685"/>
      <c r="E95685"/>
      <c r="F95685"/>
    </row>
    <row r="95686" spans="1:6" x14ac:dyDescent="0.25">
      <c r="A95686"/>
      <c r="B95686"/>
      <c r="C95686"/>
      <c r="E95686"/>
      <c r="F95686"/>
    </row>
    <row r="95687" spans="1:6" x14ac:dyDescent="0.25">
      <c r="A95687"/>
      <c r="B95687"/>
      <c r="C95687"/>
      <c r="E95687"/>
      <c r="F95687"/>
    </row>
    <row r="95688" spans="1:6" x14ac:dyDescent="0.25">
      <c r="A95688"/>
      <c r="B95688"/>
      <c r="C95688"/>
      <c r="E95688"/>
      <c r="F95688"/>
    </row>
    <row r="95689" spans="1:6" x14ac:dyDescent="0.25">
      <c r="A95689"/>
      <c r="B95689"/>
      <c r="C95689"/>
      <c r="E95689"/>
      <c r="F95689"/>
    </row>
    <row r="95690" spans="1:6" x14ac:dyDescent="0.25">
      <c r="A95690"/>
      <c r="B95690"/>
      <c r="C95690"/>
      <c r="E95690"/>
      <c r="F95690"/>
    </row>
    <row r="95691" spans="1:6" x14ac:dyDescent="0.25">
      <c r="A95691"/>
      <c r="B95691"/>
      <c r="C95691"/>
      <c r="E95691"/>
      <c r="F95691"/>
    </row>
    <row r="95692" spans="1:6" x14ac:dyDescent="0.25">
      <c r="A95692"/>
      <c r="B95692"/>
      <c r="C95692"/>
      <c r="E95692"/>
      <c r="F95692"/>
    </row>
    <row r="95693" spans="1:6" x14ac:dyDescent="0.25">
      <c r="A95693"/>
      <c r="B95693"/>
      <c r="C95693"/>
      <c r="E95693"/>
      <c r="F95693"/>
    </row>
    <row r="95694" spans="1:6" x14ac:dyDescent="0.25">
      <c r="A95694"/>
      <c r="B95694"/>
      <c r="C95694"/>
      <c r="E95694"/>
      <c r="F95694"/>
    </row>
    <row r="95695" spans="1:6" x14ac:dyDescent="0.25">
      <c r="A95695"/>
      <c r="B95695"/>
      <c r="C95695"/>
      <c r="E95695"/>
      <c r="F95695"/>
    </row>
    <row r="95696" spans="1:6" x14ac:dyDescent="0.25">
      <c r="A95696"/>
      <c r="B95696"/>
      <c r="C95696"/>
      <c r="E95696"/>
      <c r="F95696"/>
    </row>
    <row r="95697" spans="1:6" x14ac:dyDescent="0.25">
      <c r="A95697"/>
      <c r="B95697"/>
      <c r="C95697"/>
      <c r="E95697"/>
      <c r="F95697"/>
    </row>
    <row r="95698" spans="1:6" x14ac:dyDescent="0.25">
      <c r="A95698"/>
      <c r="B95698"/>
      <c r="C95698"/>
      <c r="E95698"/>
      <c r="F95698"/>
    </row>
    <row r="95699" spans="1:6" x14ac:dyDescent="0.25">
      <c r="A95699"/>
      <c r="B95699"/>
      <c r="C95699"/>
      <c r="E95699"/>
      <c r="F95699"/>
    </row>
    <row r="95700" spans="1:6" x14ac:dyDescent="0.25">
      <c r="A95700"/>
      <c r="B95700"/>
      <c r="C95700"/>
      <c r="E95700"/>
      <c r="F95700"/>
    </row>
    <row r="95701" spans="1:6" x14ac:dyDescent="0.25">
      <c r="A95701"/>
      <c r="B95701"/>
      <c r="C95701"/>
      <c r="E95701"/>
      <c r="F95701"/>
    </row>
    <row r="95702" spans="1:6" x14ac:dyDescent="0.25">
      <c r="A95702"/>
      <c r="B95702"/>
      <c r="C95702"/>
      <c r="E95702"/>
      <c r="F95702"/>
    </row>
    <row r="95703" spans="1:6" x14ac:dyDescent="0.25">
      <c r="A95703"/>
      <c r="B95703"/>
      <c r="C95703"/>
      <c r="E95703"/>
      <c r="F95703"/>
    </row>
    <row r="95704" spans="1:6" x14ac:dyDescent="0.25">
      <c r="A95704"/>
      <c r="B95704"/>
      <c r="C95704"/>
      <c r="E95704"/>
      <c r="F95704"/>
    </row>
    <row r="95705" spans="1:6" x14ac:dyDescent="0.25">
      <c r="A95705"/>
      <c r="B95705"/>
      <c r="C95705"/>
      <c r="E95705"/>
      <c r="F95705"/>
    </row>
    <row r="95706" spans="1:6" x14ac:dyDescent="0.25">
      <c r="A95706"/>
      <c r="B95706"/>
      <c r="C95706"/>
      <c r="E95706"/>
      <c r="F95706"/>
    </row>
    <row r="95707" spans="1:6" x14ac:dyDescent="0.25">
      <c r="A95707"/>
      <c r="B95707"/>
      <c r="C95707"/>
      <c r="E95707"/>
      <c r="F95707"/>
    </row>
    <row r="95708" spans="1:6" x14ac:dyDescent="0.25">
      <c r="A95708"/>
      <c r="B95708"/>
      <c r="C95708"/>
      <c r="E95708"/>
      <c r="F95708"/>
    </row>
    <row r="95709" spans="1:6" x14ac:dyDescent="0.25">
      <c r="A95709"/>
      <c r="B95709"/>
      <c r="C95709"/>
      <c r="E95709"/>
      <c r="F95709"/>
    </row>
    <row r="95710" spans="1:6" x14ac:dyDescent="0.25">
      <c r="A95710"/>
      <c r="B95710"/>
      <c r="C95710"/>
      <c r="E95710"/>
      <c r="F95710"/>
    </row>
    <row r="95711" spans="1:6" x14ac:dyDescent="0.25">
      <c r="A95711"/>
      <c r="B95711"/>
      <c r="C95711"/>
      <c r="E95711"/>
      <c r="F95711"/>
    </row>
    <row r="95712" spans="1:6" x14ac:dyDescent="0.25">
      <c r="A95712"/>
      <c r="B95712"/>
      <c r="C95712"/>
      <c r="E95712"/>
      <c r="F95712"/>
    </row>
    <row r="95713" spans="1:6" x14ac:dyDescent="0.25">
      <c r="A95713"/>
      <c r="B95713"/>
      <c r="C95713"/>
      <c r="E95713"/>
      <c r="F95713"/>
    </row>
    <row r="95714" spans="1:6" x14ac:dyDescent="0.25">
      <c r="A95714"/>
      <c r="B95714"/>
      <c r="C95714"/>
      <c r="E95714"/>
      <c r="F95714"/>
    </row>
    <row r="95715" spans="1:6" x14ac:dyDescent="0.25">
      <c r="A95715"/>
      <c r="B95715"/>
      <c r="C95715"/>
      <c r="E95715"/>
      <c r="F95715"/>
    </row>
    <row r="95716" spans="1:6" x14ac:dyDescent="0.25">
      <c r="A95716"/>
      <c r="B95716"/>
      <c r="C95716"/>
      <c r="E95716"/>
      <c r="F95716"/>
    </row>
    <row r="95717" spans="1:6" x14ac:dyDescent="0.25">
      <c r="A95717"/>
      <c r="B95717"/>
      <c r="C95717"/>
      <c r="E95717"/>
      <c r="F95717"/>
    </row>
    <row r="95718" spans="1:6" x14ac:dyDescent="0.25">
      <c r="A95718"/>
      <c r="B95718"/>
      <c r="C95718"/>
      <c r="E95718"/>
      <c r="F95718"/>
    </row>
    <row r="95719" spans="1:6" x14ac:dyDescent="0.25">
      <c r="A95719"/>
      <c r="B95719"/>
      <c r="C95719"/>
      <c r="E95719"/>
      <c r="F95719"/>
    </row>
    <row r="95720" spans="1:6" x14ac:dyDescent="0.25">
      <c r="A95720"/>
      <c r="B95720"/>
      <c r="C95720"/>
      <c r="E95720"/>
      <c r="F95720"/>
    </row>
    <row r="95721" spans="1:6" x14ac:dyDescent="0.25">
      <c r="A95721"/>
      <c r="B95721"/>
      <c r="C95721"/>
      <c r="E95721"/>
      <c r="F95721"/>
    </row>
    <row r="95722" spans="1:6" x14ac:dyDescent="0.25">
      <c r="A95722"/>
      <c r="B95722"/>
      <c r="C95722"/>
      <c r="E95722"/>
      <c r="F95722"/>
    </row>
    <row r="95723" spans="1:6" x14ac:dyDescent="0.25">
      <c r="A95723"/>
      <c r="B95723"/>
      <c r="C95723"/>
      <c r="E95723"/>
      <c r="F95723"/>
    </row>
    <row r="95724" spans="1:6" x14ac:dyDescent="0.25">
      <c r="A95724"/>
      <c r="B95724"/>
      <c r="C95724"/>
      <c r="E95724"/>
      <c r="F95724"/>
    </row>
    <row r="95725" spans="1:6" x14ac:dyDescent="0.25">
      <c r="A95725"/>
      <c r="B95725"/>
      <c r="C95725"/>
      <c r="E95725"/>
      <c r="F95725"/>
    </row>
    <row r="95726" spans="1:6" x14ac:dyDescent="0.25">
      <c r="A95726"/>
      <c r="B95726"/>
      <c r="C95726"/>
      <c r="E95726"/>
      <c r="F95726"/>
    </row>
    <row r="95727" spans="1:6" x14ac:dyDescent="0.25">
      <c r="A95727"/>
      <c r="B95727"/>
      <c r="C95727"/>
      <c r="E95727"/>
      <c r="F95727"/>
    </row>
    <row r="95728" spans="1:6" x14ac:dyDescent="0.25">
      <c r="A95728"/>
      <c r="B95728"/>
      <c r="C95728"/>
      <c r="E95728"/>
      <c r="F95728"/>
    </row>
    <row r="95729" spans="1:6" x14ac:dyDescent="0.25">
      <c r="A95729"/>
      <c r="B95729"/>
      <c r="C95729"/>
      <c r="E95729"/>
      <c r="F95729"/>
    </row>
    <row r="95730" spans="1:6" x14ac:dyDescent="0.25">
      <c r="A95730"/>
      <c r="B95730"/>
      <c r="C95730"/>
      <c r="E95730"/>
      <c r="F95730"/>
    </row>
    <row r="95731" spans="1:6" x14ac:dyDescent="0.25">
      <c r="A95731"/>
      <c r="B95731"/>
      <c r="C95731"/>
      <c r="E95731"/>
      <c r="F95731"/>
    </row>
    <row r="95732" spans="1:6" x14ac:dyDescent="0.25">
      <c r="A95732"/>
      <c r="B95732"/>
      <c r="C95732"/>
      <c r="E95732"/>
      <c r="F95732"/>
    </row>
    <row r="95733" spans="1:6" x14ac:dyDescent="0.25">
      <c r="A95733"/>
      <c r="B95733"/>
      <c r="C95733"/>
      <c r="E95733"/>
      <c r="F95733"/>
    </row>
    <row r="95734" spans="1:6" x14ac:dyDescent="0.25">
      <c r="A95734"/>
      <c r="B95734"/>
      <c r="C95734"/>
      <c r="E95734"/>
      <c r="F95734"/>
    </row>
    <row r="95735" spans="1:6" x14ac:dyDescent="0.25">
      <c r="A95735"/>
      <c r="B95735"/>
      <c r="C95735"/>
      <c r="E95735"/>
      <c r="F95735"/>
    </row>
    <row r="95736" spans="1:6" x14ac:dyDescent="0.25">
      <c r="A95736"/>
      <c r="B95736"/>
      <c r="C95736"/>
      <c r="E95736"/>
      <c r="F95736"/>
    </row>
    <row r="95737" spans="1:6" x14ac:dyDescent="0.25">
      <c r="A95737"/>
      <c r="B95737"/>
      <c r="C95737"/>
      <c r="E95737"/>
      <c r="F95737"/>
    </row>
    <row r="95738" spans="1:6" x14ac:dyDescent="0.25">
      <c r="A95738"/>
      <c r="B95738"/>
      <c r="C95738"/>
      <c r="E95738"/>
      <c r="F95738"/>
    </row>
    <row r="95739" spans="1:6" x14ac:dyDescent="0.25">
      <c r="A95739"/>
      <c r="B95739"/>
      <c r="C95739"/>
      <c r="E95739"/>
      <c r="F95739"/>
    </row>
    <row r="95740" spans="1:6" x14ac:dyDescent="0.25">
      <c r="A95740"/>
      <c r="B95740"/>
      <c r="C95740"/>
      <c r="E95740"/>
      <c r="F95740"/>
    </row>
    <row r="95741" spans="1:6" x14ac:dyDescent="0.25">
      <c r="A95741"/>
      <c r="B95741"/>
      <c r="C95741"/>
      <c r="E95741"/>
      <c r="F95741"/>
    </row>
    <row r="95742" spans="1:6" x14ac:dyDescent="0.25">
      <c r="A95742"/>
      <c r="B95742"/>
      <c r="C95742"/>
      <c r="E95742"/>
      <c r="F95742"/>
    </row>
    <row r="95743" spans="1:6" x14ac:dyDescent="0.25">
      <c r="A95743"/>
      <c r="B95743"/>
      <c r="C95743"/>
      <c r="E95743"/>
      <c r="F95743"/>
    </row>
    <row r="95744" spans="1:6" x14ac:dyDescent="0.25">
      <c r="A95744"/>
      <c r="B95744"/>
      <c r="C95744"/>
      <c r="E95744"/>
      <c r="F95744"/>
    </row>
    <row r="95745" spans="1:6" x14ac:dyDescent="0.25">
      <c r="A95745"/>
      <c r="B95745"/>
      <c r="C95745"/>
      <c r="E95745"/>
      <c r="F95745"/>
    </row>
    <row r="95746" spans="1:6" x14ac:dyDescent="0.25">
      <c r="A95746"/>
      <c r="B95746"/>
      <c r="C95746"/>
      <c r="E95746"/>
      <c r="F95746"/>
    </row>
    <row r="95747" spans="1:6" x14ac:dyDescent="0.25">
      <c r="A95747"/>
      <c r="B95747"/>
      <c r="C95747"/>
      <c r="E95747"/>
      <c r="F95747"/>
    </row>
    <row r="95748" spans="1:6" x14ac:dyDescent="0.25">
      <c r="A95748"/>
      <c r="B95748"/>
      <c r="C95748"/>
      <c r="E95748"/>
      <c r="F95748"/>
    </row>
    <row r="95749" spans="1:6" x14ac:dyDescent="0.25">
      <c r="A95749"/>
      <c r="B95749"/>
      <c r="C95749"/>
      <c r="E95749"/>
      <c r="F95749"/>
    </row>
    <row r="95750" spans="1:6" x14ac:dyDescent="0.25">
      <c r="A95750"/>
      <c r="B95750"/>
      <c r="C95750"/>
      <c r="E95750"/>
      <c r="F95750"/>
    </row>
    <row r="95751" spans="1:6" x14ac:dyDescent="0.25">
      <c r="A95751"/>
      <c r="B95751"/>
      <c r="C95751"/>
      <c r="E95751"/>
      <c r="F95751"/>
    </row>
    <row r="95752" spans="1:6" x14ac:dyDescent="0.25">
      <c r="A95752"/>
      <c r="B95752"/>
      <c r="C95752"/>
      <c r="E95752"/>
      <c r="F95752"/>
    </row>
    <row r="95753" spans="1:6" x14ac:dyDescent="0.25">
      <c r="A95753"/>
      <c r="B95753"/>
      <c r="C95753"/>
      <c r="E95753"/>
      <c r="F95753"/>
    </row>
    <row r="95754" spans="1:6" x14ac:dyDescent="0.25">
      <c r="A95754"/>
      <c r="B95754"/>
      <c r="C95754"/>
      <c r="E95754"/>
      <c r="F95754"/>
    </row>
    <row r="95755" spans="1:6" x14ac:dyDescent="0.25">
      <c r="A95755"/>
      <c r="B95755"/>
      <c r="C95755"/>
      <c r="E95755"/>
      <c r="F95755"/>
    </row>
    <row r="95756" spans="1:6" x14ac:dyDescent="0.25">
      <c r="A95756"/>
      <c r="B95756"/>
      <c r="C95756"/>
      <c r="E95756"/>
      <c r="F95756"/>
    </row>
    <row r="95757" spans="1:6" x14ac:dyDescent="0.25">
      <c r="A95757"/>
      <c r="B95757"/>
      <c r="C95757"/>
      <c r="E95757"/>
      <c r="F95757"/>
    </row>
    <row r="95758" spans="1:6" x14ac:dyDescent="0.25">
      <c r="A95758"/>
      <c r="B95758"/>
      <c r="C95758"/>
      <c r="E95758"/>
      <c r="F95758"/>
    </row>
    <row r="95759" spans="1:6" x14ac:dyDescent="0.25">
      <c r="A95759"/>
      <c r="B95759"/>
      <c r="C95759"/>
      <c r="E95759"/>
      <c r="F95759"/>
    </row>
    <row r="95760" spans="1:6" x14ac:dyDescent="0.25">
      <c r="A95760"/>
      <c r="B95760"/>
      <c r="C95760"/>
      <c r="E95760"/>
      <c r="F95760"/>
    </row>
    <row r="95761" spans="1:6" x14ac:dyDescent="0.25">
      <c r="A95761"/>
      <c r="B95761"/>
      <c r="C95761"/>
      <c r="E95761"/>
      <c r="F95761"/>
    </row>
    <row r="95762" spans="1:6" x14ac:dyDescent="0.25">
      <c r="A95762"/>
      <c r="B95762"/>
      <c r="C95762"/>
      <c r="E95762"/>
      <c r="F95762"/>
    </row>
    <row r="95763" spans="1:6" x14ac:dyDescent="0.25">
      <c r="A95763"/>
      <c r="B95763"/>
      <c r="C95763"/>
      <c r="E95763"/>
      <c r="F95763"/>
    </row>
    <row r="95764" spans="1:6" x14ac:dyDescent="0.25">
      <c r="A95764"/>
      <c r="B95764"/>
      <c r="C95764"/>
      <c r="E95764"/>
      <c r="F95764"/>
    </row>
    <row r="95765" spans="1:6" x14ac:dyDescent="0.25">
      <c r="A95765"/>
      <c r="B95765"/>
      <c r="C95765"/>
      <c r="E95765"/>
      <c r="F95765"/>
    </row>
    <row r="95766" spans="1:6" x14ac:dyDescent="0.25">
      <c r="A95766"/>
      <c r="B95766"/>
      <c r="C95766"/>
      <c r="E95766"/>
      <c r="F95766"/>
    </row>
    <row r="95767" spans="1:6" x14ac:dyDescent="0.25">
      <c r="A95767"/>
      <c r="B95767"/>
      <c r="C95767"/>
      <c r="E95767"/>
      <c r="F95767"/>
    </row>
    <row r="95768" spans="1:6" x14ac:dyDescent="0.25">
      <c r="A95768"/>
      <c r="B95768"/>
      <c r="C95768"/>
      <c r="E95768"/>
      <c r="F95768"/>
    </row>
    <row r="95769" spans="1:6" x14ac:dyDescent="0.25">
      <c r="A95769"/>
      <c r="B95769"/>
      <c r="C95769"/>
      <c r="E95769"/>
      <c r="F95769"/>
    </row>
    <row r="95770" spans="1:6" x14ac:dyDescent="0.25">
      <c r="A95770"/>
      <c r="B95770"/>
      <c r="C95770"/>
      <c r="E95770"/>
      <c r="F95770"/>
    </row>
    <row r="95771" spans="1:6" x14ac:dyDescent="0.25">
      <c r="A95771"/>
      <c r="B95771"/>
      <c r="C95771"/>
      <c r="E95771"/>
      <c r="F95771"/>
    </row>
    <row r="95772" spans="1:6" x14ac:dyDescent="0.25">
      <c r="A95772"/>
      <c r="B95772"/>
      <c r="C95772"/>
      <c r="E95772"/>
      <c r="F95772"/>
    </row>
    <row r="95773" spans="1:6" x14ac:dyDescent="0.25">
      <c r="A95773"/>
      <c r="B95773"/>
      <c r="C95773"/>
      <c r="E95773"/>
      <c r="F95773"/>
    </row>
    <row r="95774" spans="1:6" x14ac:dyDescent="0.25">
      <c r="A95774"/>
      <c r="B95774"/>
      <c r="C95774"/>
      <c r="E95774"/>
      <c r="F95774"/>
    </row>
    <row r="95775" spans="1:6" x14ac:dyDescent="0.25">
      <c r="A95775"/>
      <c r="B95775"/>
      <c r="C95775"/>
      <c r="E95775"/>
      <c r="F95775"/>
    </row>
    <row r="95776" spans="1:6" x14ac:dyDescent="0.25">
      <c r="A95776"/>
      <c r="B95776"/>
      <c r="C95776"/>
      <c r="E95776"/>
      <c r="F95776"/>
    </row>
    <row r="95777" spans="1:6" x14ac:dyDescent="0.25">
      <c r="A95777"/>
      <c r="B95777"/>
      <c r="C95777"/>
      <c r="E95777"/>
      <c r="F95777"/>
    </row>
    <row r="95778" spans="1:6" x14ac:dyDescent="0.25">
      <c r="A95778"/>
      <c r="B95778"/>
      <c r="C95778"/>
      <c r="E95778"/>
      <c r="F95778"/>
    </row>
    <row r="95779" spans="1:6" x14ac:dyDescent="0.25">
      <c r="A95779"/>
      <c r="B95779"/>
      <c r="C95779"/>
      <c r="E95779"/>
      <c r="F95779"/>
    </row>
    <row r="95780" spans="1:6" x14ac:dyDescent="0.25">
      <c r="A95780"/>
      <c r="B95780"/>
      <c r="C95780"/>
      <c r="E95780"/>
      <c r="F95780"/>
    </row>
    <row r="95781" spans="1:6" x14ac:dyDescent="0.25">
      <c r="A95781"/>
      <c r="B95781"/>
      <c r="C95781"/>
      <c r="E95781"/>
      <c r="F95781"/>
    </row>
    <row r="95782" spans="1:6" x14ac:dyDescent="0.25">
      <c r="A95782"/>
      <c r="B95782"/>
      <c r="C95782"/>
      <c r="E95782"/>
      <c r="F95782"/>
    </row>
    <row r="95783" spans="1:6" x14ac:dyDescent="0.25">
      <c r="A95783"/>
      <c r="B95783"/>
      <c r="C95783"/>
      <c r="E95783"/>
      <c r="F95783"/>
    </row>
    <row r="95784" spans="1:6" x14ac:dyDescent="0.25">
      <c r="A95784"/>
      <c r="B95784"/>
      <c r="C95784"/>
      <c r="E95784"/>
      <c r="F95784"/>
    </row>
    <row r="95785" spans="1:6" x14ac:dyDescent="0.25">
      <c r="A95785"/>
      <c r="B95785"/>
      <c r="C95785"/>
      <c r="E95785"/>
      <c r="F95785"/>
    </row>
    <row r="95786" spans="1:6" x14ac:dyDescent="0.25">
      <c r="A95786"/>
      <c r="B95786"/>
      <c r="C95786"/>
      <c r="E95786"/>
      <c r="F95786"/>
    </row>
    <row r="95787" spans="1:6" x14ac:dyDescent="0.25">
      <c r="A95787"/>
      <c r="B95787"/>
      <c r="C95787"/>
      <c r="E95787"/>
      <c r="F95787"/>
    </row>
    <row r="95788" spans="1:6" x14ac:dyDescent="0.25">
      <c r="A95788"/>
      <c r="B95788"/>
      <c r="C95788"/>
      <c r="E95788"/>
      <c r="F95788"/>
    </row>
    <row r="95789" spans="1:6" x14ac:dyDescent="0.25">
      <c r="A95789"/>
      <c r="B95789"/>
      <c r="C95789"/>
      <c r="E95789"/>
      <c r="F95789"/>
    </row>
    <row r="95790" spans="1:6" x14ac:dyDescent="0.25">
      <c r="A95790"/>
      <c r="B95790"/>
      <c r="C95790"/>
      <c r="E95790"/>
      <c r="F95790"/>
    </row>
    <row r="95791" spans="1:6" x14ac:dyDescent="0.25">
      <c r="A95791"/>
      <c r="B95791"/>
      <c r="C95791"/>
      <c r="E95791"/>
      <c r="F95791"/>
    </row>
    <row r="95792" spans="1:6" x14ac:dyDescent="0.25">
      <c r="A95792"/>
      <c r="B95792"/>
      <c r="C95792"/>
      <c r="E95792"/>
      <c r="F95792"/>
    </row>
    <row r="95793" spans="1:6" x14ac:dyDescent="0.25">
      <c r="A95793"/>
      <c r="B95793"/>
      <c r="C95793"/>
      <c r="E95793"/>
      <c r="F95793"/>
    </row>
    <row r="95794" spans="1:6" x14ac:dyDescent="0.25">
      <c r="A95794"/>
      <c r="B95794"/>
      <c r="C95794"/>
      <c r="E95794"/>
      <c r="F95794"/>
    </row>
    <row r="95795" spans="1:6" x14ac:dyDescent="0.25">
      <c r="A95795"/>
      <c r="B95795"/>
      <c r="C95795"/>
      <c r="E95795"/>
      <c r="F95795"/>
    </row>
    <row r="95796" spans="1:6" x14ac:dyDescent="0.25">
      <c r="A95796"/>
      <c r="B95796"/>
      <c r="C95796"/>
      <c r="E95796"/>
      <c r="F95796"/>
    </row>
    <row r="95797" spans="1:6" x14ac:dyDescent="0.25">
      <c r="A95797"/>
      <c r="B95797"/>
      <c r="C95797"/>
      <c r="E95797"/>
      <c r="F95797"/>
    </row>
    <row r="95798" spans="1:6" x14ac:dyDescent="0.25">
      <c r="A95798"/>
      <c r="B95798"/>
      <c r="C95798"/>
      <c r="E95798"/>
      <c r="F95798"/>
    </row>
    <row r="95799" spans="1:6" x14ac:dyDescent="0.25">
      <c r="A95799"/>
      <c r="B95799"/>
      <c r="C95799"/>
      <c r="E95799"/>
      <c r="F95799"/>
    </row>
    <row r="95800" spans="1:6" x14ac:dyDescent="0.25">
      <c r="A95800"/>
      <c r="B95800"/>
      <c r="C95800"/>
      <c r="E95800"/>
      <c r="F95800"/>
    </row>
    <row r="95801" spans="1:6" x14ac:dyDescent="0.25">
      <c r="A95801"/>
      <c r="B95801"/>
      <c r="C95801"/>
      <c r="E95801"/>
      <c r="F95801"/>
    </row>
    <row r="95802" spans="1:6" x14ac:dyDescent="0.25">
      <c r="A95802"/>
      <c r="B95802"/>
      <c r="C95802"/>
      <c r="E95802"/>
      <c r="F95802"/>
    </row>
    <row r="95803" spans="1:6" x14ac:dyDescent="0.25">
      <c r="A95803"/>
      <c r="B95803"/>
      <c r="C95803"/>
      <c r="E95803"/>
      <c r="F95803"/>
    </row>
    <row r="95804" spans="1:6" x14ac:dyDescent="0.25">
      <c r="A95804"/>
      <c r="B95804"/>
      <c r="C95804"/>
      <c r="E95804"/>
      <c r="F95804"/>
    </row>
    <row r="95805" spans="1:6" x14ac:dyDescent="0.25">
      <c r="A95805"/>
      <c r="B95805"/>
      <c r="C95805"/>
      <c r="E95805"/>
      <c r="F95805"/>
    </row>
    <row r="95806" spans="1:6" x14ac:dyDescent="0.25">
      <c r="A95806"/>
      <c r="B95806"/>
      <c r="C95806"/>
      <c r="E95806"/>
      <c r="F95806"/>
    </row>
    <row r="95807" spans="1:6" x14ac:dyDescent="0.25">
      <c r="A95807"/>
      <c r="B95807"/>
      <c r="C95807"/>
      <c r="E95807"/>
      <c r="F95807"/>
    </row>
    <row r="95808" spans="1:6" x14ac:dyDescent="0.25">
      <c r="A95808"/>
      <c r="B95808"/>
      <c r="C95808"/>
      <c r="E95808"/>
      <c r="F95808"/>
    </row>
    <row r="95809" spans="1:6" x14ac:dyDescent="0.25">
      <c r="A95809"/>
      <c r="B95809"/>
      <c r="C95809"/>
      <c r="E95809"/>
      <c r="F95809"/>
    </row>
    <row r="95810" spans="1:6" x14ac:dyDescent="0.25">
      <c r="A95810"/>
      <c r="B95810"/>
      <c r="C95810"/>
      <c r="E95810"/>
      <c r="F95810"/>
    </row>
    <row r="95811" spans="1:6" x14ac:dyDescent="0.25">
      <c r="A95811"/>
      <c r="B95811"/>
      <c r="C95811"/>
      <c r="E95811"/>
      <c r="F95811"/>
    </row>
    <row r="95812" spans="1:6" x14ac:dyDescent="0.25">
      <c r="A95812"/>
      <c r="B95812"/>
      <c r="C95812"/>
      <c r="E95812"/>
      <c r="F95812"/>
    </row>
    <row r="95813" spans="1:6" x14ac:dyDescent="0.25">
      <c r="A95813"/>
      <c r="B95813"/>
      <c r="C95813"/>
      <c r="E95813"/>
      <c r="F95813"/>
    </row>
    <row r="95814" spans="1:6" x14ac:dyDescent="0.25">
      <c r="A95814"/>
      <c r="B95814"/>
      <c r="C95814"/>
      <c r="E95814"/>
      <c r="F95814"/>
    </row>
    <row r="95815" spans="1:6" x14ac:dyDescent="0.25">
      <c r="A95815"/>
      <c r="B95815"/>
      <c r="C95815"/>
      <c r="E95815"/>
      <c r="F95815"/>
    </row>
    <row r="95816" spans="1:6" x14ac:dyDescent="0.25">
      <c r="A95816"/>
      <c r="B95816"/>
      <c r="C95816"/>
      <c r="E95816"/>
      <c r="F95816"/>
    </row>
    <row r="95817" spans="1:6" x14ac:dyDescent="0.25">
      <c r="A95817"/>
      <c r="B95817"/>
      <c r="C95817"/>
      <c r="E95817"/>
      <c r="F95817"/>
    </row>
    <row r="95818" spans="1:6" x14ac:dyDescent="0.25">
      <c r="A95818"/>
      <c r="B95818"/>
      <c r="C95818"/>
      <c r="E95818"/>
      <c r="F95818"/>
    </row>
    <row r="95819" spans="1:6" x14ac:dyDescent="0.25">
      <c r="A95819"/>
      <c r="B95819"/>
      <c r="C95819"/>
      <c r="E95819"/>
      <c r="F95819"/>
    </row>
    <row r="95820" spans="1:6" x14ac:dyDescent="0.25">
      <c r="A95820"/>
      <c r="B95820"/>
      <c r="C95820"/>
      <c r="E95820"/>
      <c r="F95820"/>
    </row>
    <row r="95821" spans="1:6" x14ac:dyDescent="0.25">
      <c r="A95821"/>
      <c r="B95821"/>
      <c r="C95821"/>
      <c r="E95821"/>
      <c r="F95821"/>
    </row>
    <row r="95822" spans="1:6" x14ac:dyDescent="0.25">
      <c r="A95822"/>
      <c r="B95822"/>
      <c r="C95822"/>
      <c r="E95822"/>
      <c r="F95822"/>
    </row>
    <row r="95823" spans="1:6" x14ac:dyDescent="0.25">
      <c r="A95823"/>
      <c r="B95823"/>
      <c r="C95823"/>
      <c r="E95823"/>
      <c r="F95823"/>
    </row>
    <row r="95824" spans="1:6" x14ac:dyDescent="0.25">
      <c r="A95824"/>
      <c r="B95824"/>
      <c r="C95824"/>
      <c r="E95824"/>
      <c r="F95824"/>
    </row>
    <row r="95825" spans="1:6" x14ac:dyDescent="0.25">
      <c r="A95825"/>
      <c r="B95825"/>
      <c r="C95825"/>
      <c r="E95825"/>
      <c r="F95825"/>
    </row>
    <row r="95826" spans="1:6" x14ac:dyDescent="0.25">
      <c r="A95826"/>
      <c r="B95826"/>
      <c r="C95826"/>
      <c r="E95826"/>
      <c r="F95826"/>
    </row>
    <row r="95827" spans="1:6" x14ac:dyDescent="0.25">
      <c r="A95827"/>
      <c r="B95827"/>
      <c r="C95827"/>
      <c r="E95827"/>
      <c r="F95827"/>
    </row>
    <row r="95828" spans="1:6" x14ac:dyDescent="0.25">
      <c r="A95828"/>
      <c r="B95828"/>
      <c r="C95828"/>
      <c r="E95828"/>
      <c r="F95828"/>
    </row>
    <row r="95829" spans="1:6" x14ac:dyDescent="0.25">
      <c r="A95829"/>
      <c r="B95829"/>
      <c r="C95829"/>
      <c r="E95829"/>
      <c r="F95829"/>
    </row>
    <row r="95830" spans="1:6" x14ac:dyDescent="0.25">
      <c r="A95830"/>
      <c r="B95830"/>
      <c r="C95830"/>
      <c r="E95830"/>
      <c r="F95830"/>
    </row>
    <row r="95831" spans="1:6" x14ac:dyDescent="0.25">
      <c r="A95831"/>
      <c r="B95831"/>
      <c r="C95831"/>
      <c r="E95831"/>
      <c r="F95831"/>
    </row>
    <row r="95832" spans="1:6" x14ac:dyDescent="0.25">
      <c r="A95832"/>
      <c r="B95832"/>
      <c r="C95832"/>
      <c r="E95832"/>
      <c r="F95832"/>
    </row>
    <row r="95833" spans="1:6" x14ac:dyDescent="0.25">
      <c r="A95833"/>
      <c r="B95833"/>
      <c r="C95833"/>
      <c r="E95833"/>
      <c r="F95833"/>
    </row>
    <row r="95834" spans="1:6" x14ac:dyDescent="0.25">
      <c r="A95834"/>
      <c r="B95834"/>
      <c r="C95834"/>
      <c r="E95834"/>
      <c r="F95834"/>
    </row>
    <row r="95835" spans="1:6" x14ac:dyDescent="0.25">
      <c r="A95835"/>
      <c r="B95835"/>
      <c r="C95835"/>
      <c r="E95835"/>
      <c r="F95835"/>
    </row>
    <row r="95836" spans="1:6" x14ac:dyDescent="0.25">
      <c r="A95836"/>
      <c r="B95836"/>
      <c r="C95836"/>
      <c r="E95836"/>
      <c r="F95836"/>
    </row>
    <row r="95837" spans="1:6" x14ac:dyDescent="0.25">
      <c r="A95837"/>
      <c r="B95837"/>
      <c r="C95837"/>
      <c r="E95837"/>
      <c r="F95837"/>
    </row>
    <row r="95838" spans="1:6" x14ac:dyDescent="0.25">
      <c r="A95838"/>
      <c r="B95838"/>
      <c r="C95838"/>
      <c r="E95838"/>
      <c r="F95838"/>
    </row>
    <row r="95839" spans="1:6" x14ac:dyDescent="0.25">
      <c r="A95839"/>
      <c r="B95839"/>
      <c r="C95839"/>
      <c r="E95839"/>
      <c r="F95839"/>
    </row>
    <row r="95840" spans="1:6" x14ac:dyDescent="0.25">
      <c r="A95840"/>
      <c r="B95840"/>
      <c r="C95840"/>
      <c r="E95840"/>
      <c r="F95840"/>
    </row>
    <row r="95841" spans="1:6" x14ac:dyDescent="0.25">
      <c r="A95841"/>
      <c r="B95841"/>
      <c r="C95841"/>
      <c r="E95841"/>
      <c r="F95841"/>
    </row>
    <row r="95842" spans="1:6" x14ac:dyDescent="0.25">
      <c r="A95842"/>
      <c r="B95842"/>
      <c r="C95842"/>
      <c r="E95842"/>
      <c r="F95842"/>
    </row>
    <row r="95843" spans="1:6" x14ac:dyDescent="0.25">
      <c r="A95843"/>
      <c r="B95843"/>
      <c r="C95843"/>
      <c r="E95843"/>
      <c r="F95843"/>
    </row>
    <row r="95844" spans="1:6" x14ac:dyDescent="0.25">
      <c r="A95844"/>
      <c r="B95844"/>
      <c r="C95844"/>
      <c r="E95844"/>
      <c r="F95844"/>
    </row>
    <row r="95845" spans="1:6" x14ac:dyDescent="0.25">
      <c r="A95845"/>
      <c r="B95845"/>
      <c r="C95845"/>
      <c r="E95845"/>
      <c r="F95845"/>
    </row>
    <row r="95846" spans="1:6" x14ac:dyDescent="0.25">
      <c r="A95846"/>
      <c r="B95846"/>
      <c r="C95846"/>
      <c r="E95846"/>
      <c r="F95846"/>
    </row>
    <row r="95847" spans="1:6" x14ac:dyDescent="0.25">
      <c r="A95847"/>
      <c r="B95847"/>
      <c r="C95847"/>
      <c r="E95847"/>
      <c r="F95847"/>
    </row>
    <row r="95848" spans="1:6" x14ac:dyDescent="0.25">
      <c r="A95848"/>
      <c r="B95848"/>
      <c r="C95848"/>
      <c r="E95848"/>
      <c r="F95848"/>
    </row>
    <row r="95849" spans="1:6" x14ac:dyDescent="0.25">
      <c r="A95849"/>
      <c r="B95849"/>
      <c r="C95849"/>
      <c r="E95849"/>
      <c r="F95849"/>
    </row>
    <row r="95850" spans="1:6" x14ac:dyDescent="0.25">
      <c r="A95850"/>
      <c r="B95850"/>
      <c r="C95850"/>
      <c r="E95850"/>
      <c r="F95850"/>
    </row>
    <row r="95851" spans="1:6" x14ac:dyDescent="0.25">
      <c r="A95851"/>
      <c r="B95851"/>
      <c r="C95851"/>
      <c r="E95851"/>
      <c r="F95851"/>
    </row>
    <row r="95852" spans="1:6" x14ac:dyDescent="0.25">
      <c r="A95852"/>
      <c r="B95852"/>
      <c r="C95852"/>
      <c r="E95852"/>
      <c r="F95852"/>
    </row>
    <row r="95853" spans="1:6" x14ac:dyDescent="0.25">
      <c r="A95853"/>
      <c r="B95853"/>
      <c r="C95853"/>
      <c r="E95853"/>
      <c r="F95853"/>
    </row>
    <row r="95854" spans="1:6" x14ac:dyDescent="0.25">
      <c r="A95854"/>
      <c r="B95854"/>
      <c r="C95854"/>
      <c r="E95854"/>
      <c r="F95854"/>
    </row>
    <row r="95855" spans="1:6" x14ac:dyDescent="0.25">
      <c r="A95855"/>
      <c r="B95855"/>
      <c r="C95855"/>
      <c r="E95855"/>
      <c r="F95855"/>
    </row>
    <row r="95856" spans="1:6" x14ac:dyDescent="0.25">
      <c r="A95856"/>
      <c r="B95856"/>
      <c r="C95856"/>
      <c r="E95856"/>
      <c r="F95856"/>
    </row>
    <row r="95857" spans="1:6" x14ac:dyDescent="0.25">
      <c r="A95857"/>
      <c r="B95857"/>
      <c r="C95857"/>
      <c r="E95857"/>
      <c r="F95857"/>
    </row>
    <row r="95858" spans="1:6" x14ac:dyDescent="0.25">
      <c r="A95858"/>
      <c r="B95858"/>
      <c r="C95858"/>
      <c r="E95858"/>
      <c r="F95858"/>
    </row>
    <row r="95859" spans="1:6" x14ac:dyDescent="0.25">
      <c r="A95859"/>
      <c r="B95859"/>
      <c r="C95859"/>
      <c r="E95859"/>
      <c r="F95859"/>
    </row>
    <row r="95860" spans="1:6" x14ac:dyDescent="0.25">
      <c r="A95860"/>
      <c r="B95860"/>
      <c r="C95860"/>
      <c r="E95860"/>
      <c r="F95860"/>
    </row>
    <row r="95861" spans="1:6" x14ac:dyDescent="0.25">
      <c r="A95861"/>
      <c r="B95861"/>
      <c r="C95861"/>
      <c r="E95861"/>
      <c r="F95861"/>
    </row>
    <row r="95862" spans="1:6" x14ac:dyDescent="0.25">
      <c r="A95862"/>
      <c r="B95862"/>
      <c r="C95862"/>
      <c r="E95862"/>
      <c r="F95862"/>
    </row>
    <row r="95863" spans="1:6" x14ac:dyDescent="0.25">
      <c r="A95863"/>
      <c r="B95863"/>
      <c r="C95863"/>
      <c r="E95863"/>
      <c r="F95863"/>
    </row>
    <row r="95864" spans="1:6" x14ac:dyDescent="0.25">
      <c r="A95864"/>
      <c r="B95864"/>
      <c r="C95864"/>
      <c r="E95864"/>
      <c r="F95864"/>
    </row>
    <row r="95865" spans="1:6" x14ac:dyDescent="0.25">
      <c r="A95865"/>
      <c r="B95865"/>
      <c r="C95865"/>
      <c r="E95865"/>
      <c r="F95865"/>
    </row>
    <row r="95866" spans="1:6" x14ac:dyDescent="0.25">
      <c r="A95866"/>
      <c r="B95866"/>
      <c r="C95866"/>
      <c r="E95866"/>
      <c r="F95866"/>
    </row>
    <row r="95867" spans="1:6" x14ac:dyDescent="0.25">
      <c r="A95867"/>
      <c r="B95867"/>
      <c r="C95867"/>
      <c r="E95867"/>
      <c r="F95867"/>
    </row>
    <row r="95868" spans="1:6" x14ac:dyDescent="0.25">
      <c r="A95868"/>
      <c r="B95868"/>
      <c r="C95868"/>
      <c r="E95868"/>
      <c r="F95868"/>
    </row>
    <row r="95869" spans="1:6" x14ac:dyDescent="0.25">
      <c r="A95869"/>
      <c r="B95869"/>
      <c r="C95869"/>
      <c r="E95869"/>
      <c r="F95869"/>
    </row>
    <row r="95870" spans="1:6" x14ac:dyDescent="0.25">
      <c r="A95870"/>
      <c r="B95870"/>
      <c r="C95870"/>
      <c r="E95870"/>
      <c r="F95870"/>
    </row>
    <row r="95871" spans="1:6" x14ac:dyDescent="0.25">
      <c r="A95871"/>
      <c r="B95871"/>
      <c r="C95871"/>
      <c r="E95871"/>
      <c r="F95871"/>
    </row>
    <row r="95872" spans="1:6" x14ac:dyDescent="0.25">
      <c r="A95872"/>
      <c r="B95872"/>
      <c r="C95872"/>
      <c r="E95872"/>
      <c r="F95872"/>
    </row>
    <row r="95873" spans="1:6" x14ac:dyDescent="0.25">
      <c r="A95873"/>
      <c r="B95873"/>
      <c r="C95873"/>
      <c r="E95873"/>
      <c r="F95873"/>
    </row>
    <row r="95874" spans="1:6" x14ac:dyDescent="0.25">
      <c r="A95874"/>
      <c r="B95874"/>
      <c r="C95874"/>
      <c r="E95874"/>
      <c r="F95874"/>
    </row>
    <row r="95875" spans="1:6" x14ac:dyDescent="0.25">
      <c r="A95875"/>
      <c r="B95875"/>
      <c r="C95875"/>
      <c r="E95875"/>
      <c r="F95875"/>
    </row>
    <row r="95876" spans="1:6" x14ac:dyDescent="0.25">
      <c r="A95876"/>
      <c r="B95876"/>
      <c r="C95876"/>
      <c r="E95876"/>
      <c r="F95876"/>
    </row>
    <row r="95877" spans="1:6" x14ac:dyDescent="0.25">
      <c r="A95877"/>
      <c r="B95877"/>
      <c r="C95877"/>
      <c r="E95877"/>
      <c r="F95877"/>
    </row>
    <row r="95878" spans="1:6" x14ac:dyDescent="0.25">
      <c r="A95878"/>
      <c r="B95878"/>
      <c r="C95878"/>
      <c r="E95878"/>
      <c r="F95878"/>
    </row>
    <row r="95879" spans="1:6" x14ac:dyDescent="0.25">
      <c r="A95879"/>
      <c r="B95879"/>
      <c r="C95879"/>
      <c r="E95879"/>
      <c r="F95879"/>
    </row>
    <row r="95880" spans="1:6" x14ac:dyDescent="0.25">
      <c r="A95880"/>
      <c r="B95880"/>
      <c r="C95880"/>
      <c r="E95880"/>
      <c r="F95880"/>
    </row>
    <row r="95881" spans="1:6" x14ac:dyDescent="0.25">
      <c r="A95881"/>
      <c r="B95881"/>
      <c r="C95881"/>
      <c r="E95881"/>
      <c r="F95881"/>
    </row>
    <row r="95882" spans="1:6" x14ac:dyDescent="0.25">
      <c r="A95882"/>
      <c r="B95882"/>
      <c r="C95882"/>
      <c r="E95882"/>
      <c r="F95882"/>
    </row>
    <row r="95883" spans="1:6" x14ac:dyDescent="0.25">
      <c r="A95883"/>
      <c r="B95883"/>
      <c r="C95883"/>
      <c r="E95883"/>
      <c r="F95883"/>
    </row>
    <row r="95884" spans="1:6" x14ac:dyDescent="0.25">
      <c r="A95884"/>
      <c r="B95884"/>
      <c r="C95884"/>
      <c r="E95884"/>
      <c r="F95884"/>
    </row>
    <row r="95885" spans="1:6" x14ac:dyDescent="0.25">
      <c r="A95885"/>
      <c r="B95885"/>
      <c r="C95885"/>
      <c r="E95885"/>
      <c r="F95885"/>
    </row>
    <row r="95886" spans="1:6" x14ac:dyDescent="0.25">
      <c r="A95886"/>
      <c r="B95886"/>
      <c r="C95886"/>
      <c r="E95886"/>
      <c r="F95886"/>
    </row>
    <row r="95887" spans="1:6" x14ac:dyDescent="0.25">
      <c r="A95887"/>
      <c r="B95887"/>
      <c r="C95887"/>
      <c r="E95887"/>
      <c r="F95887"/>
    </row>
    <row r="95888" spans="1:6" x14ac:dyDescent="0.25">
      <c r="A95888"/>
      <c r="B95888"/>
      <c r="C95888"/>
      <c r="E95888"/>
      <c r="F95888"/>
    </row>
    <row r="95889" spans="1:6" x14ac:dyDescent="0.25">
      <c r="A95889"/>
      <c r="B95889"/>
      <c r="C95889"/>
      <c r="E95889"/>
      <c r="F95889"/>
    </row>
    <row r="95890" spans="1:6" x14ac:dyDescent="0.25">
      <c r="A95890"/>
      <c r="B95890"/>
      <c r="C95890"/>
      <c r="E95890"/>
      <c r="F95890"/>
    </row>
    <row r="95891" spans="1:6" x14ac:dyDescent="0.25">
      <c r="A95891"/>
      <c r="B95891"/>
      <c r="C95891"/>
      <c r="E95891"/>
      <c r="F95891"/>
    </row>
    <row r="95892" spans="1:6" x14ac:dyDescent="0.25">
      <c r="A95892"/>
      <c r="B95892"/>
      <c r="C95892"/>
      <c r="E95892"/>
      <c r="F95892"/>
    </row>
    <row r="95893" spans="1:6" x14ac:dyDescent="0.25">
      <c r="A95893"/>
      <c r="B95893"/>
      <c r="C95893"/>
      <c r="E95893"/>
      <c r="F95893"/>
    </row>
    <row r="95894" spans="1:6" x14ac:dyDescent="0.25">
      <c r="A95894"/>
      <c r="B95894"/>
      <c r="C95894"/>
      <c r="E95894"/>
      <c r="F95894"/>
    </row>
    <row r="95895" spans="1:6" x14ac:dyDescent="0.25">
      <c r="A95895"/>
      <c r="B95895"/>
      <c r="C95895"/>
      <c r="E95895"/>
      <c r="F95895"/>
    </row>
    <row r="95896" spans="1:6" x14ac:dyDescent="0.25">
      <c r="A95896"/>
      <c r="B95896"/>
      <c r="C95896"/>
      <c r="E95896"/>
      <c r="F95896"/>
    </row>
    <row r="95897" spans="1:6" x14ac:dyDescent="0.25">
      <c r="A95897"/>
      <c r="B95897"/>
      <c r="C95897"/>
      <c r="E95897"/>
      <c r="F95897"/>
    </row>
    <row r="95898" spans="1:6" x14ac:dyDescent="0.25">
      <c r="A95898"/>
      <c r="B95898"/>
      <c r="C95898"/>
      <c r="E95898"/>
      <c r="F95898"/>
    </row>
    <row r="95899" spans="1:6" x14ac:dyDescent="0.25">
      <c r="A95899"/>
      <c r="B95899"/>
      <c r="C95899"/>
      <c r="E95899"/>
      <c r="F95899"/>
    </row>
    <row r="95900" spans="1:6" x14ac:dyDescent="0.25">
      <c r="A95900"/>
      <c r="B95900"/>
      <c r="C95900"/>
      <c r="E95900"/>
      <c r="F95900"/>
    </row>
    <row r="95901" spans="1:6" x14ac:dyDescent="0.25">
      <c r="A95901"/>
      <c r="B95901"/>
      <c r="C95901"/>
      <c r="E95901"/>
      <c r="F95901"/>
    </row>
    <row r="95902" spans="1:6" x14ac:dyDescent="0.25">
      <c r="A95902"/>
      <c r="B95902"/>
      <c r="C95902"/>
      <c r="E95902"/>
      <c r="F95902"/>
    </row>
    <row r="95903" spans="1:6" x14ac:dyDescent="0.25">
      <c r="A95903"/>
      <c r="B95903"/>
      <c r="C95903"/>
      <c r="E95903"/>
      <c r="F95903"/>
    </row>
    <row r="95904" spans="1:6" x14ac:dyDescent="0.25">
      <c r="A95904"/>
      <c r="B95904"/>
      <c r="C95904"/>
      <c r="E95904"/>
      <c r="F95904"/>
    </row>
    <row r="95905" spans="1:6" x14ac:dyDescent="0.25">
      <c r="A95905"/>
      <c r="B95905"/>
      <c r="C95905"/>
      <c r="E95905"/>
      <c r="F95905"/>
    </row>
    <row r="95906" spans="1:6" x14ac:dyDescent="0.25">
      <c r="A95906"/>
      <c r="B95906"/>
      <c r="C95906"/>
      <c r="E95906"/>
      <c r="F95906"/>
    </row>
    <row r="95907" spans="1:6" x14ac:dyDescent="0.25">
      <c r="A95907"/>
      <c r="B95907"/>
      <c r="C95907"/>
      <c r="E95907"/>
      <c r="F95907"/>
    </row>
    <row r="95908" spans="1:6" x14ac:dyDescent="0.25">
      <c r="A95908"/>
      <c r="B95908"/>
      <c r="C95908"/>
      <c r="E95908"/>
      <c r="F95908"/>
    </row>
    <row r="95909" spans="1:6" x14ac:dyDescent="0.25">
      <c r="A95909"/>
      <c r="B95909"/>
      <c r="C95909"/>
      <c r="E95909"/>
      <c r="F95909"/>
    </row>
    <row r="95910" spans="1:6" x14ac:dyDescent="0.25">
      <c r="A95910"/>
      <c r="B95910"/>
      <c r="C95910"/>
      <c r="E95910"/>
      <c r="F95910"/>
    </row>
    <row r="95911" spans="1:6" x14ac:dyDescent="0.25">
      <c r="A95911"/>
      <c r="B95911"/>
      <c r="C95911"/>
      <c r="E95911"/>
      <c r="F95911"/>
    </row>
    <row r="95912" spans="1:6" x14ac:dyDescent="0.25">
      <c r="A95912"/>
      <c r="B95912"/>
      <c r="C95912"/>
      <c r="E95912"/>
      <c r="F95912"/>
    </row>
    <row r="95913" spans="1:6" x14ac:dyDescent="0.25">
      <c r="A95913"/>
      <c r="B95913"/>
      <c r="C95913"/>
      <c r="E95913"/>
      <c r="F95913"/>
    </row>
    <row r="95914" spans="1:6" x14ac:dyDescent="0.25">
      <c r="A95914"/>
      <c r="B95914"/>
      <c r="C95914"/>
      <c r="E95914"/>
      <c r="F95914"/>
    </row>
    <row r="95915" spans="1:6" x14ac:dyDescent="0.25">
      <c r="A95915"/>
      <c r="B95915"/>
      <c r="C95915"/>
      <c r="E95915"/>
      <c r="F95915"/>
    </row>
    <row r="95916" spans="1:6" x14ac:dyDescent="0.25">
      <c r="A95916"/>
      <c r="B95916"/>
      <c r="C95916"/>
      <c r="E95916"/>
      <c r="F95916"/>
    </row>
    <row r="95917" spans="1:6" x14ac:dyDescent="0.25">
      <c r="A95917"/>
      <c r="B95917"/>
      <c r="C95917"/>
      <c r="E95917"/>
      <c r="F95917"/>
    </row>
    <row r="95918" spans="1:6" x14ac:dyDescent="0.25">
      <c r="A95918"/>
      <c r="B95918"/>
      <c r="C95918"/>
      <c r="E95918"/>
      <c r="F95918"/>
    </row>
    <row r="95919" spans="1:6" x14ac:dyDescent="0.25">
      <c r="A95919"/>
      <c r="B95919"/>
      <c r="C95919"/>
      <c r="E95919"/>
      <c r="F95919"/>
    </row>
    <row r="95920" spans="1:6" x14ac:dyDescent="0.25">
      <c r="A95920"/>
      <c r="B95920"/>
      <c r="C95920"/>
      <c r="E95920"/>
      <c r="F95920"/>
    </row>
    <row r="95921" spans="1:6" x14ac:dyDescent="0.25">
      <c r="A95921"/>
      <c r="B95921"/>
      <c r="C95921"/>
      <c r="E95921"/>
      <c r="F95921"/>
    </row>
    <row r="95922" spans="1:6" x14ac:dyDescent="0.25">
      <c r="A95922"/>
      <c r="B95922"/>
      <c r="C95922"/>
      <c r="E95922"/>
      <c r="F95922"/>
    </row>
    <row r="95923" spans="1:6" x14ac:dyDescent="0.25">
      <c r="A95923"/>
      <c r="B95923"/>
      <c r="C95923"/>
      <c r="E95923"/>
      <c r="F95923"/>
    </row>
    <row r="95924" spans="1:6" x14ac:dyDescent="0.25">
      <c r="A95924"/>
      <c r="B95924"/>
      <c r="C95924"/>
      <c r="E95924"/>
      <c r="F95924"/>
    </row>
    <row r="95925" spans="1:6" x14ac:dyDescent="0.25">
      <c r="A95925"/>
      <c r="B95925"/>
      <c r="C95925"/>
      <c r="E95925"/>
      <c r="F95925"/>
    </row>
    <row r="95926" spans="1:6" x14ac:dyDescent="0.25">
      <c r="A95926"/>
      <c r="B95926"/>
      <c r="C95926"/>
      <c r="E95926"/>
      <c r="F95926"/>
    </row>
    <row r="95927" spans="1:6" x14ac:dyDescent="0.25">
      <c r="A95927"/>
      <c r="B95927"/>
      <c r="C95927"/>
      <c r="E95927"/>
      <c r="F95927"/>
    </row>
    <row r="95928" spans="1:6" x14ac:dyDescent="0.25">
      <c r="A95928"/>
      <c r="B95928"/>
      <c r="C95928"/>
      <c r="E95928"/>
      <c r="F95928"/>
    </row>
    <row r="95929" spans="1:6" x14ac:dyDescent="0.25">
      <c r="A95929"/>
      <c r="B95929"/>
      <c r="C95929"/>
      <c r="E95929"/>
      <c r="F95929"/>
    </row>
    <row r="95930" spans="1:6" x14ac:dyDescent="0.25">
      <c r="A95930"/>
      <c r="B95930"/>
      <c r="C95930"/>
      <c r="E95930"/>
      <c r="F95930"/>
    </row>
    <row r="95931" spans="1:6" x14ac:dyDescent="0.25">
      <c r="A95931"/>
      <c r="B95931"/>
      <c r="C95931"/>
      <c r="E95931"/>
      <c r="F95931"/>
    </row>
    <row r="95932" spans="1:6" x14ac:dyDescent="0.25">
      <c r="A95932"/>
      <c r="B95932"/>
      <c r="C95932"/>
      <c r="E95932"/>
      <c r="F95932"/>
    </row>
    <row r="95933" spans="1:6" x14ac:dyDescent="0.25">
      <c r="A95933"/>
      <c r="B95933"/>
      <c r="C95933"/>
      <c r="E95933"/>
      <c r="F95933"/>
    </row>
    <row r="95934" spans="1:6" x14ac:dyDescent="0.25">
      <c r="A95934"/>
      <c r="B95934"/>
      <c r="C95934"/>
      <c r="E95934"/>
      <c r="F95934"/>
    </row>
    <row r="95935" spans="1:6" x14ac:dyDescent="0.25">
      <c r="A95935"/>
      <c r="B95935"/>
      <c r="C95935"/>
      <c r="E95935"/>
      <c r="F95935"/>
    </row>
    <row r="95936" spans="1:6" x14ac:dyDescent="0.25">
      <c r="A95936"/>
      <c r="B95936"/>
      <c r="C95936"/>
      <c r="E95936"/>
      <c r="F95936"/>
    </row>
    <row r="95937" spans="1:6" x14ac:dyDescent="0.25">
      <c r="A95937"/>
      <c r="B95937"/>
      <c r="C95937"/>
      <c r="E95937"/>
      <c r="F95937"/>
    </row>
    <row r="95938" spans="1:6" x14ac:dyDescent="0.25">
      <c r="A95938"/>
      <c r="B95938"/>
      <c r="C95938"/>
      <c r="E95938"/>
      <c r="F95938"/>
    </row>
    <row r="95939" spans="1:6" x14ac:dyDescent="0.25">
      <c r="A95939"/>
      <c r="B95939"/>
      <c r="C95939"/>
      <c r="E95939"/>
      <c r="F95939"/>
    </row>
    <row r="95940" spans="1:6" x14ac:dyDescent="0.25">
      <c r="A95940"/>
      <c r="B95940"/>
      <c r="C95940"/>
      <c r="E95940"/>
      <c r="F95940"/>
    </row>
    <row r="95941" spans="1:6" x14ac:dyDescent="0.25">
      <c r="A95941"/>
      <c r="B95941"/>
      <c r="C95941"/>
      <c r="E95941"/>
      <c r="F95941"/>
    </row>
    <row r="95942" spans="1:6" x14ac:dyDescent="0.25">
      <c r="A95942"/>
      <c r="B95942"/>
      <c r="C95942"/>
      <c r="E95942"/>
      <c r="F95942"/>
    </row>
    <row r="95943" spans="1:6" x14ac:dyDescent="0.25">
      <c r="A95943"/>
      <c r="B95943"/>
      <c r="C95943"/>
      <c r="E95943"/>
      <c r="F95943"/>
    </row>
    <row r="95944" spans="1:6" x14ac:dyDescent="0.25">
      <c r="A95944"/>
      <c r="B95944"/>
      <c r="C95944"/>
      <c r="E95944"/>
      <c r="F95944"/>
    </row>
    <row r="95945" spans="1:6" x14ac:dyDescent="0.25">
      <c r="A95945"/>
      <c r="B95945"/>
      <c r="C95945"/>
      <c r="E95945"/>
      <c r="F95945"/>
    </row>
    <row r="95946" spans="1:6" x14ac:dyDescent="0.25">
      <c r="A95946"/>
      <c r="B95946"/>
      <c r="C95946"/>
      <c r="E95946"/>
      <c r="F95946"/>
    </row>
    <row r="95947" spans="1:6" x14ac:dyDescent="0.25">
      <c r="A95947"/>
      <c r="B95947"/>
      <c r="C95947"/>
      <c r="E95947"/>
      <c r="F95947"/>
    </row>
    <row r="95948" spans="1:6" x14ac:dyDescent="0.25">
      <c r="A95948"/>
      <c r="B95948"/>
      <c r="C95948"/>
      <c r="E95948"/>
      <c r="F95948"/>
    </row>
    <row r="95949" spans="1:6" x14ac:dyDescent="0.25">
      <c r="A95949"/>
      <c r="B95949"/>
      <c r="C95949"/>
      <c r="E95949"/>
      <c r="F95949"/>
    </row>
    <row r="95950" spans="1:6" x14ac:dyDescent="0.25">
      <c r="A95950"/>
      <c r="B95950"/>
      <c r="C95950"/>
      <c r="E95950"/>
      <c r="F95950"/>
    </row>
    <row r="95951" spans="1:6" x14ac:dyDescent="0.25">
      <c r="A95951"/>
      <c r="B95951"/>
      <c r="C95951"/>
      <c r="E95951"/>
      <c r="F95951"/>
    </row>
    <row r="95952" spans="1:6" x14ac:dyDescent="0.25">
      <c r="A95952"/>
      <c r="B95952"/>
      <c r="C95952"/>
      <c r="E95952"/>
      <c r="F95952"/>
    </row>
    <row r="95953" spans="1:6" x14ac:dyDescent="0.25">
      <c r="A95953"/>
      <c r="B95953"/>
      <c r="C95953"/>
      <c r="E95953"/>
      <c r="F95953"/>
    </row>
    <row r="95954" spans="1:6" x14ac:dyDescent="0.25">
      <c r="A95954"/>
      <c r="B95954"/>
      <c r="C95954"/>
      <c r="E95954"/>
      <c r="F95954"/>
    </row>
    <row r="95955" spans="1:6" x14ac:dyDescent="0.25">
      <c r="A95955"/>
      <c r="B95955"/>
      <c r="C95955"/>
      <c r="E95955"/>
      <c r="F95955"/>
    </row>
    <row r="95956" spans="1:6" x14ac:dyDescent="0.25">
      <c r="A95956"/>
      <c r="B95956"/>
      <c r="C95956"/>
      <c r="E95956"/>
      <c r="F95956"/>
    </row>
    <row r="95957" spans="1:6" x14ac:dyDescent="0.25">
      <c r="A95957"/>
      <c r="B95957"/>
      <c r="C95957"/>
      <c r="E95957"/>
      <c r="F95957"/>
    </row>
    <row r="95958" spans="1:6" x14ac:dyDescent="0.25">
      <c r="A95958"/>
      <c r="B95958"/>
      <c r="C95958"/>
      <c r="E95958"/>
      <c r="F95958"/>
    </row>
    <row r="95959" spans="1:6" x14ac:dyDescent="0.25">
      <c r="A95959"/>
      <c r="B95959"/>
      <c r="C95959"/>
      <c r="E95959"/>
      <c r="F95959"/>
    </row>
    <row r="95960" spans="1:6" x14ac:dyDescent="0.25">
      <c r="A95960"/>
      <c r="B95960"/>
      <c r="C95960"/>
      <c r="E95960"/>
      <c r="F95960"/>
    </row>
    <row r="95961" spans="1:6" x14ac:dyDescent="0.25">
      <c r="A95961"/>
      <c r="B95961"/>
      <c r="C95961"/>
      <c r="E95961"/>
      <c r="F95961"/>
    </row>
    <row r="95962" spans="1:6" x14ac:dyDescent="0.25">
      <c r="A95962"/>
      <c r="B95962"/>
      <c r="C95962"/>
      <c r="E95962"/>
      <c r="F95962"/>
    </row>
    <row r="95963" spans="1:6" x14ac:dyDescent="0.25">
      <c r="A95963"/>
      <c r="B95963"/>
      <c r="C95963"/>
      <c r="E95963"/>
      <c r="F95963"/>
    </row>
    <row r="95964" spans="1:6" x14ac:dyDescent="0.25">
      <c r="A95964"/>
      <c r="B95964"/>
      <c r="C95964"/>
      <c r="E95964"/>
      <c r="F95964"/>
    </row>
    <row r="95965" spans="1:6" x14ac:dyDescent="0.25">
      <c r="A95965"/>
      <c r="B95965"/>
      <c r="C95965"/>
      <c r="E95965"/>
      <c r="F95965"/>
    </row>
    <row r="95966" spans="1:6" x14ac:dyDescent="0.25">
      <c r="A95966"/>
      <c r="B95966"/>
      <c r="C95966"/>
      <c r="E95966"/>
      <c r="F95966"/>
    </row>
    <row r="95967" spans="1:6" x14ac:dyDescent="0.25">
      <c r="A95967"/>
      <c r="B95967"/>
      <c r="C95967"/>
      <c r="E95967"/>
      <c r="F95967"/>
    </row>
    <row r="95968" spans="1:6" x14ac:dyDescent="0.25">
      <c r="A95968"/>
      <c r="B95968"/>
      <c r="C95968"/>
      <c r="E95968"/>
      <c r="F95968"/>
    </row>
    <row r="95969" spans="1:6" x14ac:dyDescent="0.25">
      <c r="A95969"/>
      <c r="B95969"/>
      <c r="C95969"/>
      <c r="E95969"/>
      <c r="F95969"/>
    </row>
    <row r="95970" spans="1:6" x14ac:dyDescent="0.25">
      <c r="A95970"/>
      <c r="B95970"/>
      <c r="C95970"/>
      <c r="E95970"/>
      <c r="F95970"/>
    </row>
    <row r="95971" spans="1:6" x14ac:dyDescent="0.25">
      <c r="A95971"/>
      <c r="B95971"/>
      <c r="C95971"/>
      <c r="E95971"/>
      <c r="F95971"/>
    </row>
    <row r="95972" spans="1:6" x14ac:dyDescent="0.25">
      <c r="A95972"/>
      <c r="B95972"/>
      <c r="C95972"/>
      <c r="E95972"/>
      <c r="F95972"/>
    </row>
    <row r="95973" spans="1:6" x14ac:dyDescent="0.25">
      <c r="A95973"/>
      <c r="B95973"/>
      <c r="C95973"/>
      <c r="E95973"/>
      <c r="F95973"/>
    </row>
    <row r="95974" spans="1:6" x14ac:dyDescent="0.25">
      <c r="A95974"/>
      <c r="B95974"/>
      <c r="C95974"/>
      <c r="E95974"/>
      <c r="F95974"/>
    </row>
    <row r="95975" spans="1:6" x14ac:dyDescent="0.25">
      <c r="A95975"/>
      <c r="B95975"/>
      <c r="C95975"/>
      <c r="E95975"/>
      <c r="F95975"/>
    </row>
    <row r="95976" spans="1:6" x14ac:dyDescent="0.25">
      <c r="A95976"/>
      <c r="B95976"/>
      <c r="C95976"/>
      <c r="E95976"/>
      <c r="F95976"/>
    </row>
    <row r="95977" spans="1:6" x14ac:dyDescent="0.25">
      <c r="A95977"/>
      <c r="B95977"/>
      <c r="C95977"/>
      <c r="E95977"/>
      <c r="F95977"/>
    </row>
    <row r="95978" spans="1:6" x14ac:dyDescent="0.25">
      <c r="A95978"/>
      <c r="B95978"/>
      <c r="C95978"/>
      <c r="E95978"/>
      <c r="F95978"/>
    </row>
    <row r="95979" spans="1:6" x14ac:dyDescent="0.25">
      <c r="A95979"/>
      <c r="B95979"/>
      <c r="C95979"/>
      <c r="E95979"/>
      <c r="F95979"/>
    </row>
    <row r="95980" spans="1:6" x14ac:dyDescent="0.25">
      <c r="A95980"/>
      <c r="B95980"/>
      <c r="C95980"/>
      <c r="E95980"/>
      <c r="F95980"/>
    </row>
    <row r="95981" spans="1:6" x14ac:dyDescent="0.25">
      <c r="A95981"/>
      <c r="B95981"/>
      <c r="C95981"/>
      <c r="E95981"/>
      <c r="F95981"/>
    </row>
    <row r="95982" spans="1:6" x14ac:dyDescent="0.25">
      <c r="A95982"/>
      <c r="B95982"/>
      <c r="C95982"/>
      <c r="E95982"/>
      <c r="F95982"/>
    </row>
    <row r="95983" spans="1:6" x14ac:dyDescent="0.25">
      <c r="A95983"/>
      <c r="B95983"/>
      <c r="C95983"/>
      <c r="E95983"/>
      <c r="F95983"/>
    </row>
    <row r="95984" spans="1:6" x14ac:dyDescent="0.25">
      <c r="A95984"/>
      <c r="B95984"/>
      <c r="C95984"/>
      <c r="E95984"/>
      <c r="F95984"/>
    </row>
    <row r="95985" spans="1:6" x14ac:dyDescent="0.25">
      <c r="A95985"/>
      <c r="B95985"/>
      <c r="C95985"/>
      <c r="E95985"/>
      <c r="F95985"/>
    </row>
    <row r="95986" spans="1:6" x14ac:dyDescent="0.25">
      <c r="A95986"/>
      <c r="B95986"/>
      <c r="C95986"/>
      <c r="E95986"/>
      <c r="F95986"/>
    </row>
    <row r="95987" spans="1:6" x14ac:dyDescent="0.25">
      <c r="A95987"/>
      <c r="B95987"/>
      <c r="C95987"/>
      <c r="E95987"/>
      <c r="F95987"/>
    </row>
    <row r="95988" spans="1:6" x14ac:dyDescent="0.25">
      <c r="A95988"/>
      <c r="B95988"/>
      <c r="C95988"/>
      <c r="E95988"/>
      <c r="F95988"/>
    </row>
    <row r="95989" spans="1:6" x14ac:dyDescent="0.25">
      <c r="A95989"/>
      <c r="B95989"/>
      <c r="C95989"/>
      <c r="E95989"/>
      <c r="F95989"/>
    </row>
    <row r="95990" spans="1:6" x14ac:dyDescent="0.25">
      <c r="A95990"/>
      <c r="B95990"/>
      <c r="C95990"/>
      <c r="E95990"/>
      <c r="F95990"/>
    </row>
    <row r="95991" spans="1:6" x14ac:dyDescent="0.25">
      <c r="A95991"/>
      <c r="B95991"/>
      <c r="C95991"/>
      <c r="E95991"/>
      <c r="F95991"/>
    </row>
    <row r="95992" spans="1:6" x14ac:dyDescent="0.25">
      <c r="A95992"/>
      <c r="B95992"/>
      <c r="C95992"/>
      <c r="E95992"/>
      <c r="F95992"/>
    </row>
    <row r="95993" spans="1:6" x14ac:dyDescent="0.25">
      <c r="A95993"/>
      <c r="B95993"/>
      <c r="C95993"/>
      <c r="E95993"/>
      <c r="F95993"/>
    </row>
    <row r="95994" spans="1:6" x14ac:dyDescent="0.25">
      <c r="A95994"/>
      <c r="B95994"/>
      <c r="C95994"/>
      <c r="E95994"/>
      <c r="F95994"/>
    </row>
    <row r="95995" spans="1:6" x14ac:dyDescent="0.25">
      <c r="A95995"/>
      <c r="B95995"/>
      <c r="C95995"/>
      <c r="E95995"/>
      <c r="F95995"/>
    </row>
    <row r="95996" spans="1:6" x14ac:dyDescent="0.25">
      <c r="A95996"/>
      <c r="B95996"/>
      <c r="C95996"/>
      <c r="E95996"/>
      <c r="F95996"/>
    </row>
    <row r="95997" spans="1:6" x14ac:dyDescent="0.25">
      <c r="A95997"/>
      <c r="B95997"/>
      <c r="C95997"/>
      <c r="E95997"/>
      <c r="F95997"/>
    </row>
    <row r="95998" spans="1:6" x14ac:dyDescent="0.25">
      <c r="A95998"/>
      <c r="B95998"/>
      <c r="C95998"/>
      <c r="E95998"/>
      <c r="F95998"/>
    </row>
    <row r="95999" spans="1:6" x14ac:dyDescent="0.25">
      <c r="A95999"/>
      <c r="B95999"/>
      <c r="C95999"/>
      <c r="E95999"/>
      <c r="F95999"/>
    </row>
    <row r="96000" spans="1:6" x14ac:dyDescent="0.25">
      <c r="A96000"/>
      <c r="B96000"/>
      <c r="C96000"/>
      <c r="E96000"/>
      <c r="F96000"/>
    </row>
    <row r="96001" spans="1:6" x14ac:dyDescent="0.25">
      <c r="A96001"/>
      <c r="B96001"/>
      <c r="C96001"/>
      <c r="E96001"/>
      <c r="F96001"/>
    </row>
    <row r="96002" spans="1:6" x14ac:dyDescent="0.25">
      <c r="A96002"/>
      <c r="B96002"/>
      <c r="C96002"/>
      <c r="E96002"/>
      <c r="F96002"/>
    </row>
    <row r="96003" spans="1:6" x14ac:dyDescent="0.25">
      <c r="A96003"/>
      <c r="B96003"/>
      <c r="C96003"/>
      <c r="E96003"/>
      <c r="F96003"/>
    </row>
    <row r="96004" spans="1:6" x14ac:dyDescent="0.25">
      <c r="A96004"/>
      <c r="B96004"/>
      <c r="C96004"/>
      <c r="E96004"/>
      <c r="F96004"/>
    </row>
    <row r="96005" spans="1:6" x14ac:dyDescent="0.25">
      <c r="A96005"/>
      <c r="B96005"/>
      <c r="C96005"/>
      <c r="E96005"/>
      <c r="F96005"/>
    </row>
    <row r="96006" spans="1:6" x14ac:dyDescent="0.25">
      <c r="A96006"/>
      <c r="B96006"/>
      <c r="C96006"/>
      <c r="E96006"/>
      <c r="F96006"/>
    </row>
    <row r="96007" spans="1:6" x14ac:dyDescent="0.25">
      <c r="A96007"/>
      <c r="B96007"/>
      <c r="C96007"/>
      <c r="E96007"/>
      <c r="F96007"/>
    </row>
    <row r="96008" spans="1:6" x14ac:dyDescent="0.25">
      <c r="A96008"/>
      <c r="B96008"/>
      <c r="C96008"/>
      <c r="E96008"/>
      <c r="F96008"/>
    </row>
    <row r="96009" spans="1:6" x14ac:dyDescent="0.25">
      <c r="A96009"/>
      <c r="B96009"/>
      <c r="C96009"/>
      <c r="E96009"/>
      <c r="F96009"/>
    </row>
    <row r="96010" spans="1:6" x14ac:dyDescent="0.25">
      <c r="A96010"/>
      <c r="B96010"/>
      <c r="C96010"/>
      <c r="E96010"/>
      <c r="F96010"/>
    </row>
    <row r="96011" spans="1:6" x14ac:dyDescent="0.25">
      <c r="A96011"/>
      <c r="B96011"/>
      <c r="C96011"/>
      <c r="E96011"/>
      <c r="F96011"/>
    </row>
    <row r="96012" spans="1:6" x14ac:dyDescent="0.25">
      <c r="A96012"/>
      <c r="B96012"/>
      <c r="C96012"/>
      <c r="E96012"/>
      <c r="F96012"/>
    </row>
    <row r="96013" spans="1:6" x14ac:dyDescent="0.25">
      <c r="A96013"/>
      <c r="B96013"/>
      <c r="C96013"/>
      <c r="E96013"/>
      <c r="F96013"/>
    </row>
    <row r="96014" spans="1:6" x14ac:dyDescent="0.25">
      <c r="A96014"/>
      <c r="B96014"/>
      <c r="C96014"/>
      <c r="E96014"/>
      <c r="F96014"/>
    </row>
    <row r="96015" spans="1:6" x14ac:dyDescent="0.25">
      <c r="A96015"/>
      <c r="B96015"/>
      <c r="C96015"/>
      <c r="E96015"/>
      <c r="F96015"/>
    </row>
    <row r="96016" spans="1:6" x14ac:dyDescent="0.25">
      <c r="A96016"/>
      <c r="B96016"/>
      <c r="C96016"/>
      <c r="E96016"/>
      <c r="F96016"/>
    </row>
    <row r="96017" spans="1:6" x14ac:dyDescent="0.25">
      <c r="A96017"/>
      <c r="B96017"/>
      <c r="C96017"/>
      <c r="E96017"/>
      <c r="F96017"/>
    </row>
    <row r="96018" spans="1:6" x14ac:dyDescent="0.25">
      <c r="A96018"/>
      <c r="B96018"/>
      <c r="C96018"/>
      <c r="E96018"/>
      <c r="F96018"/>
    </row>
    <row r="96019" spans="1:6" x14ac:dyDescent="0.25">
      <c r="A96019"/>
      <c r="B96019"/>
      <c r="C96019"/>
      <c r="E96019"/>
      <c r="F96019"/>
    </row>
    <row r="96020" spans="1:6" x14ac:dyDescent="0.25">
      <c r="A96020"/>
      <c r="B96020"/>
      <c r="C96020"/>
      <c r="E96020"/>
      <c r="F96020"/>
    </row>
    <row r="96021" spans="1:6" x14ac:dyDescent="0.25">
      <c r="A96021"/>
      <c r="B96021"/>
      <c r="C96021"/>
      <c r="E96021"/>
      <c r="F96021"/>
    </row>
    <row r="96022" spans="1:6" x14ac:dyDescent="0.25">
      <c r="A96022"/>
      <c r="B96022"/>
      <c r="C96022"/>
      <c r="E96022"/>
      <c r="F96022"/>
    </row>
    <row r="96023" spans="1:6" x14ac:dyDescent="0.25">
      <c r="A96023"/>
      <c r="B96023"/>
      <c r="C96023"/>
      <c r="E96023"/>
      <c r="F96023"/>
    </row>
    <row r="96024" spans="1:6" x14ac:dyDescent="0.25">
      <c r="A96024"/>
      <c r="B96024"/>
      <c r="C96024"/>
      <c r="E96024"/>
      <c r="F96024"/>
    </row>
    <row r="96025" spans="1:6" x14ac:dyDescent="0.25">
      <c r="A96025"/>
      <c r="B96025"/>
      <c r="C96025"/>
      <c r="E96025"/>
      <c r="F96025"/>
    </row>
    <row r="96026" spans="1:6" x14ac:dyDescent="0.25">
      <c r="A96026"/>
      <c r="B96026"/>
      <c r="C96026"/>
      <c r="E96026"/>
      <c r="F96026"/>
    </row>
    <row r="96027" spans="1:6" x14ac:dyDescent="0.25">
      <c r="A96027"/>
      <c r="B96027"/>
      <c r="C96027"/>
      <c r="E96027"/>
      <c r="F96027"/>
    </row>
    <row r="96028" spans="1:6" x14ac:dyDescent="0.25">
      <c r="A96028"/>
      <c r="B96028"/>
      <c r="C96028"/>
      <c r="E96028"/>
      <c r="F96028"/>
    </row>
    <row r="96029" spans="1:6" x14ac:dyDescent="0.25">
      <c r="A96029"/>
      <c r="B96029"/>
      <c r="C96029"/>
      <c r="E96029"/>
      <c r="F96029"/>
    </row>
    <row r="96030" spans="1:6" x14ac:dyDescent="0.25">
      <c r="A96030"/>
      <c r="B96030"/>
      <c r="C96030"/>
      <c r="E96030"/>
      <c r="F96030"/>
    </row>
    <row r="96031" spans="1:6" x14ac:dyDescent="0.25">
      <c r="A96031"/>
      <c r="B96031"/>
      <c r="C96031"/>
      <c r="E96031"/>
      <c r="F96031"/>
    </row>
    <row r="96032" spans="1:6" x14ac:dyDescent="0.25">
      <c r="A96032"/>
      <c r="B96032"/>
      <c r="C96032"/>
      <c r="E96032"/>
      <c r="F96032"/>
    </row>
    <row r="96033" spans="1:6" x14ac:dyDescent="0.25">
      <c r="A96033"/>
      <c r="B96033"/>
      <c r="C96033"/>
      <c r="E96033"/>
      <c r="F96033"/>
    </row>
    <row r="96034" spans="1:6" x14ac:dyDescent="0.25">
      <c r="A96034"/>
      <c r="B96034"/>
      <c r="C96034"/>
      <c r="E96034"/>
      <c r="F96034"/>
    </row>
    <row r="96035" spans="1:6" x14ac:dyDescent="0.25">
      <c r="A96035"/>
      <c r="B96035"/>
      <c r="C96035"/>
      <c r="E96035"/>
      <c r="F96035"/>
    </row>
    <row r="96036" spans="1:6" x14ac:dyDescent="0.25">
      <c r="A96036"/>
      <c r="B96036"/>
      <c r="C96036"/>
      <c r="E96036"/>
      <c r="F96036"/>
    </row>
    <row r="96037" spans="1:6" x14ac:dyDescent="0.25">
      <c r="A96037"/>
      <c r="B96037"/>
      <c r="C96037"/>
      <c r="E96037"/>
      <c r="F96037"/>
    </row>
    <row r="96038" spans="1:6" x14ac:dyDescent="0.25">
      <c r="A96038"/>
      <c r="B96038"/>
      <c r="C96038"/>
      <c r="E96038"/>
      <c r="F96038"/>
    </row>
    <row r="96039" spans="1:6" x14ac:dyDescent="0.25">
      <c r="A96039"/>
      <c r="B96039"/>
      <c r="C96039"/>
      <c r="E96039"/>
      <c r="F96039"/>
    </row>
    <row r="96040" spans="1:6" x14ac:dyDescent="0.25">
      <c r="A96040"/>
      <c r="B96040"/>
      <c r="C96040"/>
      <c r="E96040"/>
      <c r="F96040"/>
    </row>
    <row r="96041" spans="1:6" x14ac:dyDescent="0.25">
      <c r="A96041"/>
      <c r="B96041"/>
      <c r="C96041"/>
      <c r="E96041"/>
      <c r="F96041"/>
    </row>
    <row r="96042" spans="1:6" x14ac:dyDescent="0.25">
      <c r="A96042"/>
      <c r="B96042"/>
      <c r="C96042"/>
      <c r="E96042"/>
      <c r="F96042"/>
    </row>
    <row r="96043" spans="1:6" x14ac:dyDescent="0.25">
      <c r="A96043"/>
      <c r="B96043"/>
      <c r="C96043"/>
      <c r="E96043"/>
      <c r="F96043"/>
    </row>
    <row r="96044" spans="1:6" x14ac:dyDescent="0.25">
      <c r="A96044"/>
      <c r="B96044"/>
      <c r="C96044"/>
      <c r="E96044"/>
      <c r="F96044"/>
    </row>
    <row r="96045" spans="1:6" x14ac:dyDescent="0.25">
      <c r="A96045"/>
      <c r="B96045"/>
      <c r="C96045"/>
      <c r="E96045"/>
      <c r="F96045"/>
    </row>
    <row r="96046" spans="1:6" x14ac:dyDescent="0.25">
      <c r="A96046"/>
      <c r="B96046"/>
      <c r="C96046"/>
      <c r="E96046"/>
      <c r="F96046"/>
    </row>
    <row r="96047" spans="1:6" x14ac:dyDescent="0.25">
      <c r="A96047"/>
      <c r="B96047"/>
      <c r="C96047"/>
      <c r="E96047"/>
      <c r="F96047"/>
    </row>
    <row r="96048" spans="1:6" x14ac:dyDescent="0.25">
      <c r="A96048"/>
      <c r="B96048"/>
      <c r="C96048"/>
      <c r="E96048"/>
      <c r="F96048"/>
    </row>
    <row r="96049" spans="1:6" x14ac:dyDescent="0.25">
      <c r="A96049"/>
      <c r="B96049"/>
      <c r="C96049"/>
      <c r="E96049"/>
      <c r="F96049"/>
    </row>
    <row r="96050" spans="1:6" x14ac:dyDescent="0.25">
      <c r="A96050"/>
      <c r="B96050"/>
      <c r="C96050"/>
      <c r="E96050"/>
      <c r="F96050"/>
    </row>
    <row r="96051" spans="1:6" x14ac:dyDescent="0.25">
      <c r="A96051"/>
      <c r="B96051"/>
      <c r="C96051"/>
      <c r="E96051"/>
      <c r="F96051"/>
    </row>
    <row r="96052" spans="1:6" x14ac:dyDescent="0.25">
      <c r="A96052"/>
      <c r="B96052"/>
      <c r="C96052"/>
      <c r="E96052"/>
      <c r="F96052"/>
    </row>
    <row r="96053" spans="1:6" x14ac:dyDescent="0.25">
      <c r="A96053"/>
      <c r="B96053"/>
      <c r="C96053"/>
      <c r="E96053"/>
      <c r="F96053"/>
    </row>
    <row r="96054" spans="1:6" x14ac:dyDescent="0.25">
      <c r="A96054"/>
      <c r="B96054"/>
      <c r="C96054"/>
      <c r="E96054"/>
      <c r="F96054"/>
    </row>
    <row r="96055" spans="1:6" x14ac:dyDescent="0.25">
      <c r="A96055"/>
      <c r="B96055"/>
      <c r="C96055"/>
      <c r="E96055"/>
      <c r="F96055"/>
    </row>
    <row r="96056" spans="1:6" x14ac:dyDescent="0.25">
      <c r="A96056"/>
      <c r="B96056"/>
      <c r="C96056"/>
      <c r="E96056"/>
      <c r="F96056"/>
    </row>
    <row r="96057" spans="1:6" x14ac:dyDescent="0.25">
      <c r="A96057"/>
      <c r="B96057"/>
      <c r="C96057"/>
      <c r="E96057"/>
      <c r="F96057"/>
    </row>
    <row r="96058" spans="1:6" x14ac:dyDescent="0.25">
      <c r="A96058"/>
      <c r="B96058"/>
      <c r="C96058"/>
      <c r="E96058"/>
      <c r="F96058"/>
    </row>
    <row r="96059" spans="1:6" x14ac:dyDescent="0.25">
      <c r="A96059"/>
      <c r="B96059"/>
      <c r="C96059"/>
      <c r="E96059"/>
      <c r="F96059"/>
    </row>
    <row r="96060" spans="1:6" x14ac:dyDescent="0.25">
      <c r="A96060"/>
      <c r="B96060"/>
      <c r="C96060"/>
      <c r="E96060"/>
      <c r="F96060"/>
    </row>
    <row r="96061" spans="1:6" x14ac:dyDescent="0.25">
      <c r="A96061"/>
      <c r="B96061"/>
      <c r="C96061"/>
      <c r="E96061"/>
      <c r="F96061"/>
    </row>
    <row r="96062" spans="1:6" x14ac:dyDescent="0.25">
      <c r="A96062"/>
      <c r="B96062"/>
      <c r="C96062"/>
      <c r="E96062"/>
      <c r="F96062"/>
    </row>
    <row r="96063" spans="1:6" x14ac:dyDescent="0.25">
      <c r="A96063"/>
      <c r="B96063"/>
      <c r="C96063"/>
      <c r="E96063"/>
      <c r="F96063"/>
    </row>
    <row r="96064" spans="1:6" x14ac:dyDescent="0.25">
      <c r="A96064"/>
      <c r="B96064"/>
      <c r="C96064"/>
      <c r="E96064"/>
      <c r="F96064"/>
    </row>
    <row r="96065" spans="1:6" x14ac:dyDescent="0.25">
      <c r="A96065"/>
      <c r="B96065"/>
      <c r="C96065"/>
      <c r="E96065"/>
      <c r="F96065"/>
    </row>
    <row r="96066" spans="1:6" x14ac:dyDescent="0.25">
      <c r="A96066"/>
      <c r="B96066"/>
      <c r="C96066"/>
      <c r="E96066"/>
      <c r="F96066"/>
    </row>
    <row r="96067" spans="1:6" x14ac:dyDescent="0.25">
      <c r="A96067"/>
      <c r="B96067"/>
      <c r="C96067"/>
      <c r="E96067"/>
      <c r="F96067"/>
    </row>
    <row r="96068" spans="1:6" x14ac:dyDescent="0.25">
      <c r="A96068"/>
      <c r="B96068"/>
      <c r="C96068"/>
      <c r="E96068"/>
      <c r="F96068"/>
    </row>
    <row r="96069" spans="1:6" x14ac:dyDescent="0.25">
      <c r="A96069"/>
      <c r="B96069"/>
      <c r="C96069"/>
      <c r="E96069"/>
      <c r="F96069"/>
    </row>
    <row r="96070" spans="1:6" x14ac:dyDescent="0.25">
      <c r="A96070"/>
      <c r="B96070"/>
      <c r="C96070"/>
      <c r="E96070"/>
      <c r="F96070"/>
    </row>
    <row r="96071" spans="1:6" x14ac:dyDescent="0.25">
      <c r="A96071"/>
      <c r="B96071"/>
      <c r="C96071"/>
      <c r="E96071"/>
      <c r="F96071"/>
    </row>
    <row r="96072" spans="1:6" x14ac:dyDescent="0.25">
      <c r="A96072"/>
      <c r="B96072"/>
      <c r="C96072"/>
      <c r="E96072"/>
      <c r="F96072"/>
    </row>
    <row r="96073" spans="1:6" x14ac:dyDescent="0.25">
      <c r="A96073"/>
      <c r="B96073"/>
      <c r="C96073"/>
      <c r="E96073"/>
      <c r="F96073"/>
    </row>
    <row r="96074" spans="1:6" x14ac:dyDescent="0.25">
      <c r="A96074"/>
      <c r="B96074"/>
      <c r="C96074"/>
      <c r="E96074"/>
      <c r="F96074"/>
    </row>
    <row r="96075" spans="1:6" x14ac:dyDescent="0.25">
      <c r="A96075"/>
      <c r="B96075"/>
      <c r="C96075"/>
      <c r="E96075"/>
      <c r="F96075"/>
    </row>
    <row r="96076" spans="1:6" x14ac:dyDescent="0.25">
      <c r="A96076"/>
      <c r="B96076"/>
      <c r="C96076"/>
      <c r="E96076"/>
      <c r="F96076"/>
    </row>
    <row r="96077" spans="1:6" x14ac:dyDescent="0.25">
      <c r="A96077"/>
      <c r="B96077"/>
      <c r="C96077"/>
      <c r="E96077"/>
      <c r="F96077"/>
    </row>
    <row r="96078" spans="1:6" x14ac:dyDescent="0.25">
      <c r="A96078"/>
      <c r="B96078"/>
      <c r="C96078"/>
      <c r="E96078"/>
      <c r="F96078"/>
    </row>
    <row r="96079" spans="1:6" x14ac:dyDescent="0.25">
      <c r="A96079"/>
      <c r="B96079"/>
      <c r="C96079"/>
      <c r="E96079"/>
      <c r="F96079"/>
    </row>
    <row r="96080" spans="1:6" x14ac:dyDescent="0.25">
      <c r="A96080"/>
      <c r="B96080"/>
      <c r="C96080"/>
      <c r="E96080"/>
      <c r="F96080"/>
    </row>
    <row r="96081" spans="1:6" x14ac:dyDescent="0.25">
      <c r="A96081"/>
      <c r="B96081"/>
      <c r="C96081"/>
      <c r="E96081"/>
      <c r="F96081"/>
    </row>
    <row r="96082" spans="1:6" x14ac:dyDescent="0.25">
      <c r="A96082"/>
      <c r="B96082"/>
      <c r="C96082"/>
      <c r="E96082"/>
      <c r="F96082"/>
    </row>
    <row r="96083" spans="1:6" x14ac:dyDescent="0.25">
      <c r="A96083"/>
      <c r="B96083"/>
      <c r="C96083"/>
      <c r="E96083"/>
      <c r="F96083"/>
    </row>
    <row r="96084" spans="1:6" x14ac:dyDescent="0.25">
      <c r="A96084"/>
      <c r="B96084"/>
      <c r="C96084"/>
      <c r="E96084"/>
      <c r="F96084"/>
    </row>
    <row r="96085" spans="1:6" x14ac:dyDescent="0.25">
      <c r="A96085"/>
      <c r="B96085"/>
      <c r="C96085"/>
      <c r="E96085"/>
      <c r="F96085"/>
    </row>
    <row r="96086" spans="1:6" x14ac:dyDescent="0.25">
      <c r="A96086"/>
      <c r="B96086"/>
      <c r="C96086"/>
      <c r="E96086"/>
      <c r="F96086"/>
    </row>
    <row r="96087" spans="1:6" x14ac:dyDescent="0.25">
      <c r="A96087"/>
      <c r="B96087"/>
      <c r="C96087"/>
      <c r="E96087"/>
      <c r="F96087"/>
    </row>
    <row r="96088" spans="1:6" x14ac:dyDescent="0.25">
      <c r="A96088"/>
      <c r="B96088"/>
      <c r="C96088"/>
      <c r="E96088"/>
      <c r="F96088"/>
    </row>
    <row r="96089" spans="1:6" x14ac:dyDescent="0.25">
      <c r="A96089"/>
      <c r="B96089"/>
      <c r="C96089"/>
      <c r="E96089"/>
      <c r="F96089"/>
    </row>
    <row r="96090" spans="1:6" x14ac:dyDescent="0.25">
      <c r="A96090"/>
      <c r="B96090"/>
      <c r="C96090"/>
      <c r="E96090"/>
      <c r="F96090"/>
    </row>
    <row r="96091" spans="1:6" x14ac:dyDescent="0.25">
      <c r="A96091"/>
      <c r="B96091"/>
      <c r="C96091"/>
      <c r="E96091"/>
      <c r="F96091"/>
    </row>
    <row r="96092" spans="1:6" x14ac:dyDescent="0.25">
      <c r="A96092"/>
      <c r="B96092"/>
      <c r="C96092"/>
      <c r="E96092"/>
      <c r="F96092"/>
    </row>
    <row r="96093" spans="1:6" x14ac:dyDescent="0.25">
      <c r="A96093"/>
      <c r="B96093"/>
      <c r="C96093"/>
      <c r="E96093"/>
      <c r="F96093"/>
    </row>
    <row r="96094" spans="1:6" x14ac:dyDescent="0.25">
      <c r="A96094"/>
      <c r="B96094"/>
      <c r="C96094"/>
      <c r="E96094"/>
      <c r="F96094"/>
    </row>
    <row r="96095" spans="1:6" x14ac:dyDescent="0.25">
      <c r="A96095"/>
      <c r="B96095"/>
      <c r="C96095"/>
      <c r="E96095"/>
      <c r="F96095"/>
    </row>
    <row r="96096" spans="1:6" x14ac:dyDescent="0.25">
      <c r="A96096"/>
      <c r="B96096"/>
      <c r="C96096"/>
      <c r="E96096"/>
      <c r="F96096"/>
    </row>
    <row r="96097" spans="1:6" x14ac:dyDescent="0.25">
      <c r="A96097"/>
      <c r="B96097"/>
      <c r="C96097"/>
      <c r="E96097"/>
      <c r="F96097"/>
    </row>
    <row r="96098" spans="1:6" x14ac:dyDescent="0.25">
      <c r="A96098"/>
      <c r="B96098"/>
      <c r="C96098"/>
      <c r="E96098"/>
      <c r="F96098"/>
    </row>
    <row r="96099" spans="1:6" x14ac:dyDescent="0.25">
      <c r="A96099"/>
      <c r="B96099"/>
      <c r="C96099"/>
      <c r="E96099"/>
      <c r="F96099"/>
    </row>
    <row r="96100" spans="1:6" x14ac:dyDescent="0.25">
      <c r="A96100"/>
      <c r="B96100"/>
      <c r="C96100"/>
      <c r="E96100"/>
      <c r="F96100"/>
    </row>
    <row r="96101" spans="1:6" x14ac:dyDescent="0.25">
      <c r="A96101"/>
      <c r="B96101"/>
      <c r="C96101"/>
      <c r="E96101"/>
      <c r="F96101"/>
    </row>
    <row r="96102" spans="1:6" x14ac:dyDescent="0.25">
      <c r="A96102"/>
      <c r="B96102"/>
      <c r="C96102"/>
      <c r="E96102"/>
      <c r="F96102"/>
    </row>
    <row r="96103" spans="1:6" x14ac:dyDescent="0.25">
      <c r="A96103"/>
      <c r="B96103"/>
      <c r="C96103"/>
      <c r="E96103"/>
      <c r="F96103"/>
    </row>
    <row r="96104" spans="1:6" x14ac:dyDescent="0.25">
      <c r="A96104"/>
      <c r="B96104"/>
      <c r="C96104"/>
      <c r="E96104"/>
      <c r="F96104"/>
    </row>
    <row r="96105" spans="1:6" x14ac:dyDescent="0.25">
      <c r="A96105"/>
      <c r="B96105"/>
      <c r="C96105"/>
      <c r="E96105"/>
      <c r="F96105"/>
    </row>
    <row r="96106" spans="1:6" x14ac:dyDescent="0.25">
      <c r="A96106"/>
      <c r="B96106"/>
      <c r="C96106"/>
      <c r="E96106"/>
      <c r="F96106"/>
    </row>
    <row r="96107" spans="1:6" x14ac:dyDescent="0.25">
      <c r="A96107"/>
      <c r="B96107"/>
      <c r="C96107"/>
      <c r="E96107"/>
      <c r="F96107"/>
    </row>
    <row r="96108" spans="1:6" x14ac:dyDescent="0.25">
      <c r="A96108"/>
      <c r="B96108"/>
      <c r="C96108"/>
      <c r="E96108"/>
      <c r="F96108"/>
    </row>
    <row r="96109" spans="1:6" x14ac:dyDescent="0.25">
      <c r="A96109"/>
      <c r="B96109"/>
      <c r="C96109"/>
      <c r="E96109"/>
      <c r="F96109"/>
    </row>
    <row r="96110" spans="1:6" x14ac:dyDescent="0.25">
      <c r="A96110"/>
      <c r="B96110"/>
      <c r="C96110"/>
      <c r="E96110"/>
      <c r="F96110"/>
    </row>
    <row r="96111" spans="1:6" x14ac:dyDescent="0.25">
      <c r="A96111"/>
      <c r="B96111"/>
      <c r="C96111"/>
      <c r="E96111"/>
      <c r="F96111"/>
    </row>
    <row r="96112" spans="1:6" x14ac:dyDescent="0.25">
      <c r="A96112"/>
      <c r="B96112"/>
      <c r="C96112"/>
      <c r="E96112"/>
      <c r="F96112"/>
    </row>
    <row r="96113" spans="1:6" x14ac:dyDescent="0.25">
      <c r="A96113"/>
      <c r="B96113"/>
      <c r="C96113"/>
      <c r="E96113"/>
      <c r="F96113"/>
    </row>
    <row r="96114" spans="1:6" x14ac:dyDescent="0.25">
      <c r="A96114"/>
      <c r="B96114"/>
      <c r="C96114"/>
      <c r="E96114"/>
      <c r="F96114"/>
    </row>
    <row r="96115" spans="1:6" x14ac:dyDescent="0.25">
      <c r="A96115"/>
      <c r="B96115"/>
      <c r="C96115"/>
      <c r="E96115"/>
      <c r="F96115"/>
    </row>
    <row r="96116" spans="1:6" x14ac:dyDescent="0.25">
      <c r="A96116"/>
      <c r="B96116"/>
      <c r="C96116"/>
      <c r="E96116"/>
      <c r="F96116"/>
    </row>
    <row r="96117" spans="1:6" x14ac:dyDescent="0.25">
      <c r="A96117"/>
      <c r="B96117"/>
      <c r="C96117"/>
      <c r="E96117"/>
      <c r="F96117"/>
    </row>
    <row r="96118" spans="1:6" x14ac:dyDescent="0.25">
      <c r="A96118"/>
      <c r="B96118"/>
      <c r="C96118"/>
      <c r="E96118"/>
      <c r="F96118"/>
    </row>
    <row r="96119" spans="1:6" x14ac:dyDescent="0.25">
      <c r="A96119"/>
      <c r="B96119"/>
      <c r="C96119"/>
      <c r="E96119"/>
      <c r="F96119"/>
    </row>
    <row r="96120" spans="1:6" x14ac:dyDescent="0.25">
      <c r="A96120"/>
      <c r="B96120"/>
      <c r="C96120"/>
      <c r="E96120"/>
      <c r="F96120"/>
    </row>
    <row r="96121" spans="1:6" x14ac:dyDescent="0.25">
      <c r="A96121"/>
      <c r="B96121"/>
      <c r="C96121"/>
      <c r="E96121"/>
      <c r="F96121"/>
    </row>
    <row r="96122" spans="1:6" x14ac:dyDescent="0.25">
      <c r="A96122"/>
      <c r="B96122"/>
      <c r="C96122"/>
      <c r="E96122"/>
      <c r="F96122"/>
    </row>
    <row r="96123" spans="1:6" x14ac:dyDescent="0.25">
      <c r="A96123"/>
      <c r="B96123"/>
      <c r="C96123"/>
      <c r="E96123"/>
      <c r="F96123"/>
    </row>
    <row r="96124" spans="1:6" x14ac:dyDescent="0.25">
      <c r="A96124"/>
      <c r="B96124"/>
      <c r="C96124"/>
      <c r="E96124"/>
      <c r="F96124"/>
    </row>
    <row r="96125" spans="1:6" x14ac:dyDescent="0.25">
      <c r="A96125"/>
      <c r="B96125"/>
      <c r="C96125"/>
      <c r="E96125"/>
      <c r="F96125"/>
    </row>
    <row r="96126" spans="1:6" x14ac:dyDescent="0.25">
      <c r="A96126"/>
      <c r="B96126"/>
      <c r="C96126"/>
      <c r="E96126"/>
      <c r="F96126"/>
    </row>
    <row r="96127" spans="1:6" x14ac:dyDescent="0.25">
      <c r="A96127"/>
      <c r="B96127"/>
      <c r="C96127"/>
      <c r="E96127"/>
      <c r="F96127"/>
    </row>
    <row r="96128" spans="1:6" x14ac:dyDescent="0.25">
      <c r="A96128"/>
      <c r="B96128"/>
      <c r="C96128"/>
      <c r="E96128"/>
      <c r="F96128"/>
    </row>
    <row r="96129" spans="1:6" x14ac:dyDescent="0.25">
      <c r="A96129"/>
      <c r="B96129"/>
      <c r="C96129"/>
      <c r="E96129"/>
      <c r="F96129"/>
    </row>
    <row r="96130" spans="1:6" x14ac:dyDescent="0.25">
      <c r="A96130"/>
      <c r="B96130"/>
      <c r="C96130"/>
      <c r="E96130"/>
      <c r="F96130"/>
    </row>
    <row r="96131" spans="1:6" x14ac:dyDescent="0.25">
      <c r="A96131"/>
      <c r="B96131"/>
      <c r="C96131"/>
      <c r="E96131"/>
      <c r="F96131"/>
    </row>
    <row r="96132" spans="1:6" x14ac:dyDescent="0.25">
      <c r="A96132"/>
      <c r="B96132"/>
      <c r="C96132"/>
      <c r="E96132"/>
      <c r="F96132"/>
    </row>
    <row r="96133" spans="1:6" x14ac:dyDescent="0.25">
      <c r="A96133"/>
      <c r="B96133"/>
      <c r="C96133"/>
      <c r="E96133"/>
      <c r="F96133"/>
    </row>
    <row r="96134" spans="1:6" x14ac:dyDescent="0.25">
      <c r="A96134"/>
      <c r="B96134"/>
      <c r="C96134"/>
      <c r="E96134"/>
      <c r="F96134"/>
    </row>
    <row r="96135" spans="1:6" x14ac:dyDescent="0.25">
      <c r="A96135"/>
      <c r="B96135"/>
      <c r="C96135"/>
      <c r="E96135"/>
      <c r="F96135"/>
    </row>
    <row r="96136" spans="1:6" x14ac:dyDescent="0.25">
      <c r="A96136"/>
      <c r="B96136"/>
      <c r="C96136"/>
      <c r="E96136"/>
      <c r="F96136"/>
    </row>
    <row r="96137" spans="1:6" x14ac:dyDescent="0.25">
      <c r="A96137"/>
      <c r="B96137"/>
      <c r="C96137"/>
      <c r="E96137"/>
      <c r="F96137"/>
    </row>
    <row r="96138" spans="1:6" x14ac:dyDescent="0.25">
      <c r="A96138"/>
      <c r="B96138"/>
      <c r="C96138"/>
      <c r="E96138"/>
      <c r="F96138"/>
    </row>
    <row r="96139" spans="1:6" x14ac:dyDescent="0.25">
      <c r="A96139"/>
      <c r="B96139"/>
      <c r="C96139"/>
      <c r="E96139"/>
      <c r="F96139"/>
    </row>
    <row r="96140" spans="1:6" x14ac:dyDescent="0.25">
      <c r="A96140"/>
      <c r="B96140"/>
      <c r="C96140"/>
      <c r="E96140"/>
      <c r="F96140"/>
    </row>
    <row r="96141" spans="1:6" x14ac:dyDescent="0.25">
      <c r="A96141"/>
      <c r="B96141"/>
      <c r="C96141"/>
      <c r="E96141"/>
      <c r="F96141"/>
    </row>
    <row r="96142" spans="1:6" x14ac:dyDescent="0.25">
      <c r="A96142"/>
      <c r="B96142"/>
      <c r="C96142"/>
      <c r="E96142"/>
      <c r="F96142"/>
    </row>
    <row r="96143" spans="1:6" x14ac:dyDescent="0.25">
      <c r="A96143"/>
      <c r="B96143"/>
      <c r="C96143"/>
      <c r="E96143"/>
      <c r="F96143"/>
    </row>
    <row r="96144" spans="1:6" x14ac:dyDescent="0.25">
      <c r="A96144"/>
      <c r="B96144"/>
      <c r="C96144"/>
      <c r="E96144"/>
      <c r="F96144"/>
    </row>
    <row r="96145" spans="1:6" x14ac:dyDescent="0.25">
      <c r="A96145"/>
      <c r="B96145"/>
      <c r="C96145"/>
      <c r="E96145"/>
      <c r="F96145"/>
    </row>
    <row r="96146" spans="1:6" x14ac:dyDescent="0.25">
      <c r="A96146"/>
      <c r="B96146"/>
      <c r="C96146"/>
      <c r="E96146"/>
      <c r="F96146"/>
    </row>
    <row r="96147" spans="1:6" x14ac:dyDescent="0.25">
      <c r="A96147"/>
      <c r="B96147"/>
      <c r="C96147"/>
      <c r="E96147"/>
      <c r="F96147"/>
    </row>
    <row r="96148" spans="1:6" x14ac:dyDescent="0.25">
      <c r="A96148"/>
      <c r="B96148"/>
      <c r="C96148"/>
      <c r="E96148"/>
      <c r="F96148"/>
    </row>
    <row r="96149" spans="1:6" x14ac:dyDescent="0.25">
      <c r="A96149"/>
      <c r="B96149"/>
      <c r="C96149"/>
      <c r="E96149"/>
      <c r="F96149"/>
    </row>
    <row r="96150" spans="1:6" x14ac:dyDescent="0.25">
      <c r="A96150"/>
      <c r="B96150"/>
      <c r="C96150"/>
      <c r="E96150"/>
      <c r="F96150"/>
    </row>
    <row r="96151" spans="1:6" x14ac:dyDescent="0.25">
      <c r="A96151"/>
      <c r="B96151"/>
      <c r="C96151"/>
      <c r="E96151"/>
      <c r="F96151"/>
    </row>
    <row r="96152" spans="1:6" x14ac:dyDescent="0.25">
      <c r="A96152"/>
      <c r="B96152"/>
      <c r="C96152"/>
      <c r="E96152"/>
      <c r="F96152"/>
    </row>
    <row r="96153" spans="1:6" x14ac:dyDescent="0.25">
      <c r="A96153"/>
      <c r="B96153"/>
      <c r="C96153"/>
      <c r="E96153"/>
      <c r="F96153"/>
    </row>
    <row r="96154" spans="1:6" x14ac:dyDescent="0.25">
      <c r="A96154"/>
      <c r="B96154"/>
      <c r="C96154"/>
      <c r="E96154"/>
      <c r="F96154"/>
    </row>
    <row r="96155" spans="1:6" x14ac:dyDescent="0.25">
      <c r="A96155"/>
      <c r="B96155"/>
      <c r="C96155"/>
      <c r="E96155"/>
      <c r="F96155"/>
    </row>
    <row r="96156" spans="1:6" x14ac:dyDescent="0.25">
      <c r="A96156"/>
      <c r="B96156"/>
      <c r="C96156"/>
      <c r="E96156"/>
      <c r="F96156"/>
    </row>
    <row r="96157" spans="1:6" x14ac:dyDescent="0.25">
      <c r="A96157"/>
      <c r="B96157"/>
      <c r="C96157"/>
      <c r="E96157"/>
      <c r="F96157"/>
    </row>
    <row r="96158" spans="1:6" x14ac:dyDescent="0.25">
      <c r="A96158"/>
      <c r="B96158"/>
      <c r="C96158"/>
      <c r="E96158"/>
      <c r="F96158"/>
    </row>
    <row r="96159" spans="1:6" x14ac:dyDescent="0.25">
      <c r="A96159"/>
      <c r="B96159"/>
      <c r="C96159"/>
      <c r="E96159"/>
      <c r="F96159"/>
    </row>
    <row r="96160" spans="1:6" x14ac:dyDescent="0.25">
      <c r="A96160"/>
      <c r="B96160"/>
      <c r="C96160"/>
      <c r="E96160"/>
      <c r="F96160"/>
    </row>
    <row r="96161" spans="1:6" x14ac:dyDescent="0.25">
      <c r="A96161"/>
      <c r="B96161"/>
      <c r="C96161"/>
      <c r="E96161"/>
      <c r="F96161"/>
    </row>
    <row r="96162" spans="1:6" x14ac:dyDescent="0.25">
      <c r="A96162"/>
      <c r="B96162"/>
      <c r="C96162"/>
      <c r="E96162"/>
      <c r="F96162"/>
    </row>
    <row r="96163" spans="1:6" x14ac:dyDescent="0.25">
      <c r="A96163"/>
      <c r="B96163"/>
      <c r="C96163"/>
      <c r="E96163"/>
      <c r="F96163"/>
    </row>
    <row r="96164" spans="1:6" x14ac:dyDescent="0.25">
      <c r="A96164"/>
      <c r="B96164"/>
      <c r="C96164"/>
      <c r="E96164"/>
      <c r="F96164"/>
    </row>
    <row r="96165" spans="1:6" x14ac:dyDescent="0.25">
      <c r="A96165"/>
      <c r="B96165"/>
      <c r="C96165"/>
      <c r="E96165"/>
      <c r="F96165"/>
    </row>
    <row r="96166" spans="1:6" x14ac:dyDescent="0.25">
      <c r="A96166"/>
      <c r="B96166"/>
      <c r="C96166"/>
      <c r="E96166"/>
      <c r="F96166"/>
    </row>
    <row r="96167" spans="1:6" x14ac:dyDescent="0.25">
      <c r="A96167"/>
      <c r="B96167"/>
      <c r="C96167"/>
      <c r="E96167"/>
      <c r="F96167"/>
    </row>
    <row r="96168" spans="1:6" x14ac:dyDescent="0.25">
      <c r="A96168"/>
      <c r="B96168"/>
      <c r="C96168"/>
      <c r="E96168"/>
      <c r="F96168"/>
    </row>
    <row r="96169" spans="1:6" x14ac:dyDescent="0.25">
      <c r="A96169"/>
      <c r="B96169"/>
      <c r="C96169"/>
      <c r="E96169"/>
      <c r="F96169"/>
    </row>
    <row r="96170" spans="1:6" x14ac:dyDescent="0.25">
      <c r="A96170"/>
      <c r="B96170"/>
      <c r="C96170"/>
      <c r="E96170"/>
      <c r="F96170"/>
    </row>
    <row r="96171" spans="1:6" x14ac:dyDescent="0.25">
      <c r="A96171"/>
      <c r="B96171"/>
      <c r="C96171"/>
      <c r="E96171"/>
      <c r="F96171"/>
    </row>
    <row r="96172" spans="1:6" x14ac:dyDescent="0.25">
      <c r="A96172"/>
      <c r="B96172"/>
      <c r="C96172"/>
      <c r="E96172"/>
      <c r="F96172"/>
    </row>
    <row r="96173" spans="1:6" x14ac:dyDescent="0.25">
      <c r="A96173"/>
      <c r="B96173"/>
      <c r="C96173"/>
      <c r="E96173"/>
      <c r="F96173"/>
    </row>
    <row r="96174" spans="1:6" x14ac:dyDescent="0.25">
      <c r="A96174"/>
      <c r="B96174"/>
      <c r="C96174"/>
      <c r="E96174"/>
      <c r="F96174"/>
    </row>
    <row r="96175" spans="1:6" x14ac:dyDescent="0.25">
      <c r="A96175"/>
      <c r="B96175"/>
      <c r="C96175"/>
      <c r="E96175"/>
      <c r="F96175"/>
    </row>
    <row r="96176" spans="1:6" x14ac:dyDescent="0.25">
      <c r="A96176"/>
      <c r="B96176"/>
      <c r="C96176"/>
      <c r="E96176"/>
      <c r="F96176"/>
    </row>
    <row r="96177" spans="1:6" x14ac:dyDescent="0.25">
      <c r="A96177"/>
      <c r="B96177"/>
      <c r="C96177"/>
      <c r="E96177"/>
      <c r="F96177"/>
    </row>
    <row r="96178" spans="1:6" x14ac:dyDescent="0.25">
      <c r="A96178"/>
      <c r="B96178"/>
      <c r="C96178"/>
      <c r="E96178"/>
      <c r="F96178"/>
    </row>
    <row r="96179" spans="1:6" x14ac:dyDescent="0.25">
      <c r="A96179"/>
      <c r="B96179"/>
      <c r="C96179"/>
      <c r="E96179"/>
      <c r="F96179"/>
    </row>
    <row r="96180" spans="1:6" x14ac:dyDescent="0.25">
      <c r="A96180"/>
      <c r="B96180"/>
      <c r="C96180"/>
      <c r="E96180"/>
      <c r="F96180"/>
    </row>
    <row r="96181" spans="1:6" x14ac:dyDescent="0.25">
      <c r="A96181"/>
      <c r="B96181"/>
      <c r="C96181"/>
      <c r="E96181"/>
      <c r="F96181"/>
    </row>
    <row r="96182" spans="1:6" x14ac:dyDescent="0.25">
      <c r="A96182"/>
      <c r="B96182"/>
      <c r="C96182"/>
      <c r="E96182"/>
      <c r="F96182"/>
    </row>
    <row r="96183" spans="1:6" x14ac:dyDescent="0.25">
      <c r="A96183"/>
      <c r="B96183"/>
      <c r="C96183"/>
      <c r="E96183"/>
      <c r="F96183"/>
    </row>
    <row r="96184" spans="1:6" x14ac:dyDescent="0.25">
      <c r="A96184"/>
      <c r="B96184"/>
      <c r="C96184"/>
      <c r="E96184"/>
      <c r="F96184"/>
    </row>
    <row r="96185" spans="1:6" x14ac:dyDescent="0.25">
      <c r="A96185"/>
      <c r="B96185"/>
      <c r="C96185"/>
      <c r="E96185"/>
      <c r="F96185"/>
    </row>
    <row r="96186" spans="1:6" x14ac:dyDescent="0.25">
      <c r="A96186"/>
      <c r="B96186"/>
      <c r="C96186"/>
      <c r="E96186"/>
      <c r="F96186"/>
    </row>
    <row r="96187" spans="1:6" x14ac:dyDescent="0.25">
      <c r="A96187"/>
      <c r="B96187"/>
      <c r="C96187"/>
      <c r="E96187"/>
      <c r="F96187"/>
    </row>
    <row r="96188" spans="1:6" x14ac:dyDescent="0.25">
      <c r="A96188"/>
      <c r="B96188"/>
      <c r="C96188"/>
      <c r="E96188"/>
      <c r="F96188"/>
    </row>
    <row r="96189" spans="1:6" x14ac:dyDescent="0.25">
      <c r="A96189"/>
      <c r="B96189"/>
      <c r="C96189"/>
      <c r="E96189"/>
      <c r="F96189"/>
    </row>
    <row r="96190" spans="1:6" x14ac:dyDescent="0.25">
      <c r="A96190"/>
      <c r="B96190"/>
      <c r="C96190"/>
      <c r="E96190"/>
      <c r="F96190"/>
    </row>
    <row r="96191" spans="1:6" x14ac:dyDescent="0.25">
      <c r="A96191"/>
      <c r="B96191"/>
      <c r="C96191"/>
      <c r="E96191"/>
      <c r="F96191"/>
    </row>
    <row r="96192" spans="1:6" x14ac:dyDescent="0.25">
      <c r="A96192"/>
      <c r="B96192"/>
      <c r="C96192"/>
      <c r="E96192"/>
      <c r="F96192"/>
    </row>
    <row r="96193" spans="1:6" x14ac:dyDescent="0.25">
      <c r="A96193"/>
      <c r="B96193"/>
      <c r="C96193"/>
      <c r="E96193"/>
      <c r="F96193"/>
    </row>
    <row r="96194" spans="1:6" x14ac:dyDescent="0.25">
      <c r="A96194"/>
      <c r="B96194"/>
      <c r="C96194"/>
      <c r="E96194"/>
      <c r="F96194"/>
    </row>
    <row r="96195" spans="1:6" x14ac:dyDescent="0.25">
      <c r="A96195"/>
      <c r="B96195"/>
      <c r="C96195"/>
      <c r="E96195"/>
      <c r="F96195"/>
    </row>
    <row r="96196" spans="1:6" x14ac:dyDescent="0.25">
      <c r="A96196"/>
      <c r="B96196"/>
      <c r="C96196"/>
      <c r="E96196"/>
      <c r="F96196"/>
    </row>
    <row r="96197" spans="1:6" x14ac:dyDescent="0.25">
      <c r="A96197"/>
      <c r="B96197"/>
      <c r="C96197"/>
      <c r="E96197"/>
      <c r="F96197"/>
    </row>
    <row r="96198" spans="1:6" x14ac:dyDescent="0.25">
      <c r="A96198"/>
      <c r="B96198"/>
      <c r="C96198"/>
      <c r="E96198"/>
      <c r="F96198"/>
    </row>
    <row r="96199" spans="1:6" x14ac:dyDescent="0.25">
      <c r="A96199"/>
      <c r="B96199"/>
      <c r="C96199"/>
      <c r="E96199"/>
      <c r="F96199"/>
    </row>
    <row r="96200" spans="1:6" x14ac:dyDescent="0.25">
      <c r="A96200"/>
      <c r="B96200"/>
      <c r="C96200"/>
      <c r="E96200"/>
      <c r="F96200"/>
    </row>
    <row r="96201" spans="1:6" x14ac:dyDescent="0.25">
      <c r="A96201"/>
      <c r="B96201"/>
      <c r="C96201"/>
      <c r="E96201"/>
      <c r="F96201"/>
    </row>
    <row r="96202" spans="1:6" x14ac:dyDescent="0.25">
      <c r="A96202"/>
      <c r="B96202"/>
      <c r="C96202"/>
      <c r="E96202"/>
      <c r="F96202"/>
    </row>
    <row r="96203" spans="1:6" x14ac:dyDescent="0.25">
      <c r="A96203"/>
      <c r="B96203"/>
      <c r="C96203"/>
      <c r="E96203"/>
      <c r="F96203"/>
    </row>
    <row r="96204" spans="1:6" x14ac:dyDescent="0.25">
      <c r="A96204"/>
      <c r="B96204"/>
      <c r="C96204"/>
      <c r="E96204"/>
      <c r="F96204"/>
    </row>
    <row r="96205" spans="1:6" x14ac:dyDescent="0.25">
      <c r="A96205"/>
      <c r="B96205"/>
      <c r="C96205"/>
      <c r="E96205"/>
      <c r="F96205"/>
    </row>
    <row r="96206" spans="1:6" x14ac:dyDescent="0.25">
      <c r="A96206"/>
      <c r="B96206"/>
      <c r="C96206"/>
      <c r="E96206"/>
      <c r="F96206"/>
    </row>
    <row r="96207" spans="1:6" x14ac:dyDescent="0.25">
      <c r="A96207"/>
      <c r="B96207"/>
      <c r="C96207"/>
      <c r="E96207"/>
      <c r="F96207"/>
    </row>
    <row r="96208" spans="1:6" x14ac:dyDescent="0.25">
      <c r="A96208"/>
      <c r="B96208"/>
      <c r="C96208"/>
      <c r="E96208"/>
      <c r="F96208"/>
    </row>
    <row r="96209" spans="1:6" x14ac:dyDescent="0.25">
      <c r="A96209"/>
      <c r="B96209"/>
      <c r="C96209"/>
      <c r="E96209"/>
      <c r="F96209"/>
    </row>
    <row r="96210" spans="1:6" x14ac:dyDescent="0.25">
      <c r="A96210"/>
      <c r="B96210"/>
      <c r="C96210"/>
      <c r="E96210"/>
      <c r="F96210"/>
    </row>
    <row r="96211" spans="1:6" x14ac:dyDescent="0.25">
      <c r="A96211"/>
      <c r="B96211"/>
      <c r="C96211"/>
      <c r="E96211"/>
      <c r="F96211"/>
    </row>
    <row r="96212" spans="1:6" x14ac:dyDescent="0.25">
      <c r="A96212"/>
      <c r="B96212"/>
      <c r="C96212"/>
      <c r="E96212"/>
      <c r="F96212"/>
    </row>
    <row r="96213" spans="1:6" x14ac:dyDescent="0.25">
      <c r="A96213"/>
      <c r="B96213"/>
      <c r="C96213"/>
      <c r="E96213"/>
      <c r="F96213"/>
    </row>
    <row r="96214" spans="1:6" x14ac:dyDescent="0.25">
      <c r="A96214"/>
      <c r="B96214"/>
      <c r="C96214"/>
      <c r="E96214"/>
      <c r="F96214"/>
    </row>
    <row r="96215" spans="1:6" x14ac:dyDescent="0.25">
      <c r="A96215"/>
      <c r="B96215"/>
      <c r="C96215"/>
      <c r="E96215"/>
      <c r="F96215"/>
    </row>
    <row r="96216" spans="1:6" x14ac:dyDescent="0.25">
      <c r="A96216"/>
      <c r="B96216"/>
      <c r="C96216"/>
      <c r="E96216"/>
      <c r="F96216"/>
    </row>
    <row r="96217" spans="1:6" x14ac:dyDescent="0.25">
      <c r="A96217"/>
      <c r="B96217"/>
      <c r="C96217"/>
      <c r="E96217"/>
      <c r="F96217"/>
    </row>
    <row r="96218" spans="1:6" x14ac:dyDescent="0.25">
      <c r="A96218"/>
      <c r="B96218"/>
      <c r="C96218"/>
      <c r="E96218"/>
      <c r="F96218"/>
    </row>
    <row r="96219" spans="1:6" x14ac:dyDescent="0.25">
      <c r="A96219"/>
      <c r="B96219"/>
      <c r="C96219"/>
      <c r="E96219"/>
      <c r="F96219"/>
    </row>
    <row r="96220" spans="1:6" x14ac:dyDescent="0.25">
      <c r="A96220"/>
      <c r="B96220"/>
      <c r="C96220"/>
      <c r="E96220"/>
      <c r="F96220"/>
    </row>
    <row r="96221" spans="1:6" x14ac:dyDescent="0.25">
      <c r="A96221"/>
      <c r="B96221"/>
      <c r="C96221"/>
      <c r="E96221"/>
      <c r="F96221"/>
    </row>
    <row r="96222" spans="1:6" x14ac:dyDescent="0.25">
      <c r="A96222"/>
      <c r="B96222"/>
      <c r="C96222"/>
      <c r="E96222"/>
      <c r="F96222"/>
    </row>
    <row r="96223" spans="1:6" x14ac:dyDescent="0.25">
      <c r="A96223"/>
      <c r="B96223"/>
      <c r="C96223"/>
      <c r="E96223"/>
      <c r="F96223"/>
    </row>
    <row r="96224" spans="1:6" x14ac:dyDescent="0.25">
      <c r="A96224"/>
      <c r="B96224"/>
      <c r="C96224"/>
      <c r="E96224"/>
      <c r="F96224"/>
    </row>
    <row r="96225" spans="1:6" x14ac:dyDescent="0.25">
      <c r="A96225"/>
      <c r="B96225"/>
      <c r="C96225"/>
      <c r="E96225"/>
      <c r="F96225"/>
    </row>
    <row r="96226" spans="1:6" x14ac:dyDescent="0.25">
      <c r="A96226"/>
      <c r="B96226"/>
      <c r="C96226"/>
      <c r="E96226"/>
      <c r="F96226"/>
    </row>
    <row r="96227" spans="1:6" x14ac:dyDescent="0.25">
      <c r="A96227"/>
      <c r="B96227"/>
      <c r="C96227"/>
      <c r="E96227"/>
      <c r="F96227"/>
    </row>
    <row r="96228" spans="1:6" x14ac:dyDescent="0.25">
      <c r="A96228"/>
      <c r="B96228"/>
      <c r="C96228"/>
      <c r="E96228"/>
      <c r="F96228"/>
    </row>
    <row r="96229" spans="1:6" x14ac:dyDescent="0.25">
      <c r="A96229"/>
      <c r="B96229"/>
      <c r="C96229"/>
      <c r="E96229"/>
      <c r="F96229"/>
    </row>
    <row r="96230" spans="1:6" x14ac:dyDescent="0.25">
      <c r="A96230"/>
      <c r="B96230"/>
      <c r="C96230"/>
      <c r="E96230"/>
      <c r="F96230"/>
    </row>
    <row r="96231" spans="1:6" x14ac:dyDescent="0.25">
      <c r="A96231"/>
      <c r="B96231"/>
      <c r="C96231"/>
      <c r="E96231"/>
      <c r="F96231"/>
    </row>
    <row r="96232" spans="1:6" x14ac:dyDescent="0.25">
      <c r="A96232"/>
      <c r="B96232"/>
      <c r="C96232"/>
      <c r="E96232"/>
      <c r="F96232"/>
    </row>
    <row r="96233" spans="1:6" x14ac:dyDescent="0.25">
      <c r="A96233"/>
      <c r="B96233"/>
      <c r="C96233"/>
      <c r="E96233"/>
      <c r="F96233"/>
    </row>
    <row r="96234" spans="1:6" x14ac:dyDescent="0.25">
      <c r="A96234"/>
      <c r="B96234"/>
      <c r="C96234"/>
      <c r="E96234"/>
      <c r="F96234"/>
    </row>
    <row r="96235" spans="1:6" x14ac:dyDescent="0.25">
      <c r="A96235"/>
      <c r="B96235"/>
      <c r="C96235"/>
      <c r="E96235"/>
      <c r="F96235"/>
    </row>
    <row r="96236" spans="1:6" x14ac:dyDescent="0.25">
      <c r="A96236"/>
      <c r="B96236"/>
      <c r="C96236"/>
      <c r="E96236"/>
      <c r="F96236"/>
    </row>
    <row r="96237" spans="1:6" x14ac:dyDescent="0.25">
      <c r="A96237"/>
      <c r="B96237"/>
      <c r="C96237"/>
      <c r="E96237"/>
      <c r="F96237"/>
    </row>
    <row r="96238" spans="1:6" x14ac:dyDescent="0.25">
      <c r="A96238"/>
      <c r="B96238"/>
      <c r="C96238"/>
      <c r="E96238"/>
      <c r="F96238"/>
    </row>
    <row r="96239" spans="1:6" x14ac:dyDescent="0.25">
      <c r="A96239"/>
      <c r="B96239"/>
      <c r="C96239"/>
      <c r="E96239"/>
      <c r="F96239"/>
    </row>
    <row r="96240" spans="1:6" x14ac:dyDescent="0.25">
      <c r="A96240"/>
      <c r="B96240"/>
      <c r="C96240"/>
      <c r="E96240"/>
      <c r="F96240"/>
    </row>
    <row r="96241" spans="1:6" x14ac:dyDescent="0.25">
      <c r="A96241"/>
      <c r="B96241"/>
      <c r="C96241"/>
      <c r="E96241"/>
      <c r="F96241"/>
    </row>
    <row r="96242" spans="1:6" x14ac:dyDescent="0.25">
      <c r="A96242"/>
      <c r="B96242"/>
      <c r="C96242"/>
      <c r="E96242"/>
      <c r="F96242"/>
    </row>
    <row r="96243" spans="1:6" x14ac:dyDescent="0.25">
      <c r="A96243"/>
      <c r="B96243"/>
      <c r="C96243"/>
      <c r="E96243"/>
      <c r="F96243"/>
    </row>
    <row r="96244" spans="1:6" x14ac:dyDescent="0.25">
      <c r="A96244"/>
      <c r="B96244"/>
      <c r="C96244"/>
      <c r="E96244"/>
      <c r="F96244"/>
    </row>
    <row r="96245" spans="1:6" x14ac:dyDescent="0.25">
      <c r="A96245"/>
      <c r="B96245"/>
      <c r="C96245"/>
      <c r="E96245"/>
      <c r="F96245"/>
    </row>
    <row r="96246" spans="1:6" x14ac:dyDescent="0.25">
      <c r="A96246"/>
      <c r="B96246"/>
      <c r="C96246"/>
      <c r="E96246"/>
      <c r="F96246"/>
    </row>
    <row r="96247" spans="1:6" x14ac:dyDescent="0.25">
      <c r="A96247"/>
      <c r="B96247"/>
      <c r="C96247"/>
      <c r="E96247"/>
      <c r="F96247"/>
    </row>
    <row r="96248" spans="1:6" x14ac:dyDescent="0.25">
      <c r="A96248"/>
      <c r="B96248"/>
      <c r="C96248"/>
      <c r="E96248"/>
      <c r="F96248"/>
    </row>
    <row r="96249" spans="1:6" x14ac:dyDescent="0.25">
      <c r="A96249"/>
      <c r="B96249"/>
      <c r="C96249"/>
      <c r="E96249"/>
      <c r="F96249"/>
    </row>
    <row r="96250" spans="1:6" x14ac:dyDescent="0.25">
      <c r="A96250"/>
      <c r="B96250"/>
      <c r="C96250"/>
      <c r="E96250"/>
      <c r="F96250"/>
    </row>
    <row r="96251" spans="1:6" x14ac:dyDescent="0.25">
      <c r="A96251"/>
      <c r="B96251"/>
      <c r="C96251"/>
      <c r="E96251"/>
      <c r="F96251"/>
    </row>
    <row r="96252" spans="1:6" x14ac:dyDescent="0.25">
      <c r="A96252"/>
      <c r="B96252"/>
      <c r="C96252"/>
      <c r="E96252"/>
      <c r="F96252"/>
    </row>
    <row r="96253" spans="1:6" x14ac:dyDescent="0.25">
      <c r="A96253"/>
      <c r="B96253"/>
      <c r="C96253"/>
      <c r="E96253"/>
      <c r="F96253"/>
    </row>
    <row r="96254" spans="1:6" x14ac:dyDescent="0.25">
      <c r="A96254"/>
      <c r="B96254"/>
      <c r="C96254"/>
      <c r="E96254"/>
      <c r="F96254"/>
    </row>
    <row r="96255" spans="1:6" x14ac:dyDescent="0.25">
      <c r="A96255"/>
      <c r="B96255"/>
      <c r="C96255"/>
      <c r="E96255"/>
      <c r="F96255"/>
    </row>
    <row r="96256" spans="1:6" x14ac:dyDescent="0.25">
      <c r="A96256"/>
      <c r="B96256"/>
      <c r="C96256"/>
      <c r="E96256"/>
      <c r="F96256"/>
    </row>
    <row r="96257" spans="1:6" x14ac:dyDescent="0.25">
      <c r="A96257"/>
      <c r="B96257"/>
      <c r="C96257"/>
      <c r="E96257"/>
      <c r="F96257"/>
    </row>
    <row r="96258" spans="1:6" x14ac:dyDescent="0.25">
      <c r="A96258"/>
      <c r="B96258"/>
      <c r="C96258"/>
      <c r="E96258"/>
      <c r="F96258"/>
    </row>
    <row r="96259" spans="1:6" x14ac:dyDescent="0.25">
      <c r="A96259"/>
      <c r="B96259"/>
      <c r="C96259"/>
      <c r="E96259"/>
      <c r="F96259"/>
    </row>
    <row r="96260" spans="1:6" x14ac:dyDescent="0.25">
      <c r="A96260"/>
      <c r="B96260"/>
      <c r="C96260"/>
      <c r="E96260"/>
      <c r="F96260"/>
    </row>
    <row r="96261" spans="1:6" x14ac:dyDescent="0.25">
      <c r="A96261"/>
      <c r="B96261"/>
      <c r="C96261"/>
      <c r="E96261"/>
      <c r="F96261"/>
    </row>
    <row r="96262" spans="1:6" x14ac:dyDescent="0.25">
      <c r="A96262"/>
      <c r="B96262"/>
      <c r="C96262"/>
      <c r="E96262"/>
      <c r="F96262"/>
    </row>
    <row r="96263" spans="1:6" x14ac:dyDescent="0.25">
      <c r="A96263"/>
      <c r="B96263"/>
      <c r="C96263"/>
      <c r="E96263"/>
      <c r="F96263"/>
    </row>
    <row r="96264" spans="1:6" x14ac:dyDescent="0.25">
      <c r="A96264"/>
      <c r="B96264"/>
      <c r="C96264"/>
      <c r="E96264"/>
      <c r="F96264"/>
    </row>
    <row r="96265" spans="1:6" x14ac:dyDescent="0.25">
      <c r="A96265"/>
      <c r="B96265"/>
      <c r="C96265"/>
      <c r="E96265"/>
      <c r="F96265"/>
    </row>
    <row r="96266" spans="1:6" x14ac:dyDescent="0.25">
      <c r="A96266"/>
      <c r="B96266"/>
      <c r="C96266"/>
      <c r="E96266"/>
      <c r="F96266"/>
    </row>
    <row r="96267" spans="1:6" x14ac:dyDescent="0.25">
      <c r="A96267"/>
      <c r="B96267"/>
      <c r="C96267"/>
      <c r="E96267"/>
      <c r="F96267"/>
    </row>
    <row r="96268" spans="1:6" x14ac:dyDescent="0.25">
      <c r="A96268"/>
      <c r="B96268"/>
      <c r="C96268"/>
      <c r="E96268"/>
      <c r="F96268"/>
    </row>
    <row r="96269" spans="1:6" x14ac:dyDescent="0.25">
      <c r="A96269"/>
      <c r="B96269"/>
      <c r="C96269"/>
      <c r="E96269"/>
      <c r="F96269"/>
    </row>
    <row r="96270" spans="1:6" x14ac:dyDescent="0.25">
      <c r="A96270"/>
      <c r="B96270"/>
      <c r="C96270"/>
      <c r="E96270"/>
      <c r="F96270"/>
    </row>
    <row r="96271" spans="1:6" x14ac:dyDescent="0.25">
      <c r="A96271"/>
      <c r="B96271"/>
      <c r="C96271"/>
      <c r="E96271"/>
      <c r="F96271"/>
    </row>
    <row r="96272" spans="1:6" x14ac:dyDescent="0.25">
      <c r="A96272"/>
      <c r="B96272"/>
      <c r="C96272"/>
      <c r="E96272"/>
      <c r="F96272"/>
    </row>
    <row r="96273" spans="1:6" x14ac:dyDescent="0.25">
      <c r="A96273"/>
      <c r="B96273"/>
      <c r="C96273"/>
      <c r="E96273"/>
      <c r="F96273"/>
    </row>
    <row r="96274" spans="1:6" x14ac:dyDescent="0.25">
      <c r="A96274"/>
      <c r="B96274"/>
      <c r="C96274"/>
      <c r="E96274"/>
      <c r="F96274"/>
    </row>
    <row r="96275" spans="1:6" x14ac:dyDescent="0.25">
      <c r="A96275"/>
      <c r="B96275"/>
      <c r="C96275"/>
      <c r="E96275"/>
      <c r="F96275"/>
    </row>
    <row r="96276" spans="1:6" x14ac:dyDescent="0.25">
      <c r="A96276"/>
      <c r="B96276"/>
      <c r="C96276"/>
      <c r="E96276"/>
      <c r="F96276"/>
    </row>
    <row r="96277" spans="1:6" x14ac:dyDescent="0.25">
      <c r="A96277"/>
      <c r="B96277"/>
      <c r="C96277"/>
      <c r="E96277"/>
      <c r="F96277"/>
    </row>
    <row r="96278" spans="1:6" x14ac:dyDescent="0.25">
      <c r="A96278"/>
      <c r="B96278"/>
      <c r="C96278"/>
      <c r="E96278"/>
      <c r="F96278"/>
    </row>
    <row r="96279" spans="1:6" x14ac:dyDescent="0.25">
      <c r="A96279"/>
      <c r="B96279"/>
      <c r="C96279"/>
      <c r="E96279"/>
      <c r="F96279"/>
    </row>
    <row r="96280" spans="1:6" x14ac:dyDescent="0.25">
      <c r="A96280"/>
      <c r="B96280"/>
      <c r="C96280"/>
      <c r="E96280"/>
      <c r="F96280"/>
    </row>
    <row r="96281" spans="1:6" x14ac:dyDescent="0.25">
      <c r="A96281"/>
      <c r="B96281"/>
      <c r="C96281"/>
      <c r="E96281"/>
      <c r="F96281"/>
    </row>
    <row r="96282" spans="1:6" x14ac:dyDescent="0.25">
      <c r="A96282"/>
      <c r="B96282"/>
      <c r="C96282"/>
      <c r="E96282"/>
      <c r="F96282"/>
    </row>
    <row r="96283" spans="1:6" x14ac:dyDescent="0.25">
      <c r="A96283"/>
      <c r="B96283"/>
      <c r="C96283"/>
      <c r="E96283"/>
      <c r="F96283"/>
    </row>
    <row r="96284" spans="1:6" x14ac:dyDescent="0.25">
      <c r="A96284"/>
      <c r="B96284"/>
      <c r="C96284"/>
      <c r="E96284"/>
      <c r="F96284"/>
    </row>
    <row r="96285" spans="1:6" x14ac:dyDescent="0.25">
      <c r="A96285"/>
      <c r="B96285"/>
      <c r="C96285"/>
      <c r="E96285"/>
      <c r="F96285"/>
    </row>
    <row r="96286" spans="1:6" x14ac:dyDescent="0.25">
      <c r="A96286"/>
      <c r="B96286"/>
      <c r="C96286"/>
      <c r="E96286"/>
      <c r="F96286"/>
    </row>
    <row r="96287" spans="1:6" x14ac:dyDescent="0.25">
      <c r="A96287"/>
      <c r="B96287"/>
      <c r="C96287"/>
      <c r="E96287"/>
      <c r="F96287"/>
    </row>
    <row r="96288" spans="1:6" x14ac:dyDescent="0.25">
      <c r="A96288"/>
      <c r="B96288"/>
      <c r="C96288"/>
      <c r="E96288"/>
      <c r="F96288"/>
    </row>
    <row r="96289" spans="1:6" x14ac:dyDescent="0.25">
      <c r="A96289"/>
      <c r="B96289"/>
      <c r="C96289"/>
      <c r="E96289"/>
      <c r="F96289"/>
    </row>
    <row r="96290" spans="1:6" x14ac:dyDescent="0.25">
      <c r="A96290"/>
      <c r="B96290"/>
      <c r="C96290"/>
      <c r="E96290"/>
      <c r="F96290"/>
    </row>
    <row r="96291" spans="1:6" x14ac:dyDescent="0.25">
      <c r="A96291"/>
      <c r="B96291"/>
      <c r="C96291"/>
      <c r="E96291"/>
      <c r="F96291"/>
    </row>
    <row r="96292" spans="1:6" x14ac:dyDescent="0.25">
      <c r="A96292"/>
      <c r="B96292"/>
      <c r="C96292"/>
      <c r="E96292"/>
      <c r="F96292"/>
    </row>
    <row r="96293" spans="1:6" x14ac:dyDescent="0.25">
      <c r="A96293"/>
      <c r="B96293"/>
      <c r="C96293"/>
      <c r="E96293"/>
      <c r="F96293"/>
    </row>
    <row r="96294" spans="1:6" x14ac:dyDescent="0.25">
      <c r="A96294"/>
      <c r="B96294"/>
      <c r="C96294"/>
      <c r="E96294"/>
      <c r="F96294"/>
    </row>
    <row r="96295" spans="1:6" x14ac:dyDescent="0.25">
      <c r="A96295"/>
      <c r="B96295"/>
      <c r="C96295"/>
      <c r="E96295"/>
      <c r="F96295"/>
    </row>
    <row r="96296" spans="1:6" x14ac:dyDescent="0.25">
      <c r="A96296"/>
      <c r="B96296"/>
      <c r="C96296"/>
      <c r="E96296"/>
      <c r="F96296"/>
    </row>
    <row r="96297" spans="1:6" x14ac:dyDescent="0.25">
      <c r="A96297"/>
      <c r="B96297"/>
      <c r="C96297"/>
      <c r="E96297"/>
      <c r="F96297"/>
    </row>
    <row r="96298" spans="1:6" x14ac:dyDescent="0.25">
      <c r="A96298"/>
      <c r="B96298"/>
      <c r="C96298"/>
      <c r="E96298"/>
      <c r="F96298"/>
    </row>
    <row r="96299" spans="1:6" x14ac:dyDescent="0.25">
      <c r="A96299"/>
      <c r="B96299"/>
      <c r="C96299"/>
      <c r="E96299"/>
      <c r="F96299"/>
    </row>
    <row r="96300" spans="1:6" x14ac:dyDescent="0.25">
      <c r="A96300"/>
      <c r="B96300"/>
      <c r="C96300"/>
      <c r="E96300"/>
      <c r="F96300"/>
    </row>
    <row r="96301" spans="1:6" x14ac:dyDescent="0.25">
      <c r="A96301"/>
      <c r="B96301"/>
      <c r="C96301"/>
      <c r="E96301"/>
      <c r="F96301"/>
    </row>
    <row r="96302" spans="1:6" x14ac:dyDescent="0.25">
      <c r="A96302"/>
      <c r="B96302"/>
      <c r="C96302"/>
      <c r="E96302"/>
      <c r="F96302"/>
    </row>
    <row r="96303" spans="1:6" x14ac:dyDescent="0.25">
      <c r="A96303"/>
      <c r="B96303"/>
      <c r="C96303"/>
      <c r="E96303"/>
      <c r="F96303"/>
    </row>
    <row r="96304" spans="1:6" x14ac:dyDescent="0.25">
      <c r="A96304"/>
      <c r="B96304"/>
      <c r="C96304"/>
      <c r="E96304"/>
      <c r="F96304"/>
    </row>
    <row r="96305" spans="1:6" x14ac:dyDescent="0.25">
      <c r="A96305"/>
      <c r="B96305"/>
      <c r="C96305"/>
      <c r="E96305"/>
      <c r="F96305"/>
    </row>
    <row r="96306" spans="1:6" x14ac:dyDescent="0.25">
      <c r="A96306"/>
      <c r="B96306"/>
      <c r="C96306"/>
      <c r="E96306"/>
      <c r="F96306"/>
    </row>
    <row r="96307" spans="1:6" x14ac:dyDescent="0.25">
      <c r="A96307"/>
      <c r="B96307"/>
      <c r="C96307"/>
      <c r="E96307"/>
      <c r="F96307"/>
    </row>
    <row r="96308" spans="1:6" x14ac:dyDescent="0.25">
      <c r="A96308"/>
      <c r="B96308"/>
      <c r="C96308"/>
      <c r="E96308"/>
      <c r="F96308"/>
    </row>
    <row r="96309" spans="1:6" x14ac:dyDescent="0.25">
      <c r="A96309"/>
      <c r="B96309"/>
      <c r="C96309"/>
      <c r="E96309"/>
      <c r="F96309"/>
    </row>
    <row r="96310" spans="1:6" x14ac:dyDescent="0.25">
      <c r="A96310"/>
      <c r="B96310"/>
      <c r="C96310"/>
      <c r="E96310"/>
      <c r="F96310"/>
    </row>
    <row r="96311" spans="1:6" x14ac:dyDescent="0.25">
      <c r="A96311"/>
      <c r="B96311"/>
      <c r="C96311"/>
      <c r="E96311"/>
      <c r="F96311"/>
    </row>
    <row r="96312" spans="1:6" x14ac:dyDescent="0.25">
      <c r="A96312"/>
      <c r="B96312"/>
      <c r="C96312"/>
      <c r="E96312"/>
      <c r="F96312"/>
    </row>
    <row r="96313" spans="1:6" x14ac:dyDescent="0.25">
      <c r="A96313"/>
      <c r="B96313"/>
      <c r="C96313"/>
      <c r="E96313"/>
      <c r="F96313"/>
    </row>
    <row r="96314" spans="1:6" x14ac:dyDescent="0.25">
      <c r="A96314"/>
      <c r="B96314"/>
      <c r="C96314"/>
      <c r="E96314"/>
      <c r="F96314"/>
    </row>
    <row r="96315" spans="1:6" x14ac:dyDescent="0.25">
      <c r="A96315"/>
      <c r="B96315"/>
      <c r="C96315"/>
      <c r="E96315"/>
      <c r="F96315"/>
    </row>
    <row r="96316" spans="1:6" x14ac:dyDescent="0.25">
      <c r="A96316"/>
      <c r="B96316"/>
      <c r="C96316"/>
      <c r="E96316"/>
      <c r="F96316"/>
    </row>
    <row r="96317" spans="1:6" x14ac:dyDescent="0.25">
      <c r="A96317"/>
      <c r="B96317"/>
      <c r="C96317"/>
      <c r="E96317"/>
      <c r="F96317"/>
    </row>
    <row r="96318" spans="1:6" x14ac:dyDescent="0.25">
      <c r="A96318"/>
      <c r="B96318"/>
      <c r="C96318"/>
      <c r="E96318"/>
      <c r="F96318"/>
    </row>
    <row r="96319" spans="1:6" x14ac:dyDescent="0.25">
      <c r="A96319"/>
      <c r="B96319"/>
      <c r="C96319"/>
      <c r="E96319"/>
      <c r="F96319"/>
    </row>
    <row r="96320" spans="1:6" x14ac:dyDescent="0.25">
      <c r="A96320"/>
      <c r="B96320"/>
      <c r="C96320"/>
      <c r="E96320"/>
      <c r="F96320"/>
    </row>
    <row r="96321" spans="1:6" x14ac:dyDescent="0.25">
      <c r="A96321"/>
      <c r="B96321"/>
      <c r="C96321"/>
      <c r="E96321"/>
      <c r="F96321"/>
    </row>
    <row r="96322" spans="1:6" x14ac:dyDescent="0.25">
      <c r="A96322"/>
      <c r="B96322"/>
      <c r="C96322"/>
      <c r="E96322"/>
      <c r="F96322"/>
    </row>
    <row r="96323" spans="1:6" x14ac:dyDescent="0.25">
      <c r="A96323"/>
      <c r="B96323"/>
      <c r="C96323"/>
      <c r="E96323"/>
      <c r="F96323"/>
    </row>
    <row r="96324" spans="1:6" x14ac:dyDescent="0.25">
      <c r="A96324"/>
      <c r="B96324"/>
      <c r="C96324"/>
      <c r="E96324"/>
      <c r="F96324"/>
    </row>
    <row r="96325" spans="1:6" x14ac:dyDescent="0.25">
      <c r="A96325"/>
      <c r="B96325"/>
      <c r="C96325"/>
      <c r="E96325"/>
      <c r="F96325"/>
    </row>
    <row r="96326" spans="1:6" x14ac:dyDescent="0.25">
      <c r="A96326"/>
      <c r="B96326"/>
      <c r="C96326"/>
      <c r="E96326"/>
      <c r="F96326"/>
    </row>
    <row r="96327" spans="1:6" x14ac:dyDescent="0.25">
      <c r="A96327"/>
      <c r="B96327"/>
      <c r="C96327"/>
      <c r="E96327"/>
      <c r="F96327"/>
    </row>
    <row r="96328" spans="1:6" x14ac:dyDescent="0.25">
      <c r="A96328"/>
      <c r="B96328"/>
      <c r="C96328"/>
      <c r="E96328"/>
      <c r="F96328"/>
    </row>
    <row r="96329" spans="1:6" x14ac:dyDescent="0.25">
      <c r="A96329"/>
      <c r="B96329"/>
      <c r="C96329"/>
      <c r="E96329"/>
      <c r="F96329"/>
    </row>
    <row r="96330" spans="1:6" x14ac:dyDescent="0.25">
      <c r="A96330"/>
      <c r="B96330"/>
      <c r="C96330"/>
      <c r="E96330"/>
      <c r="F96330"/>
    </row>
    <row r="96331" spans="1:6" x14ac:dyDescent="0.25">
      <c r="A96331"/>
      <c r="B96331"/>
      <c r="C96331"/>
      <c r="E96331"/>
      <c r="F96331"/>
    </row>
    <row r="96332" spans="1:6" x14ac:dyDescent="0.25">
      <c r="A96332"/>
      <c r="B96332"/>
      <c r="C96332"/>
      <c r="E96332"/>
      <c r="F96332"/>
    </row>
    <row r="96333" spans="1:6" x14ac:dyDescent="0.25">
      <c r="A96333"/>
      <c r="B96333"/>
      <c r="C96333"/>
      <c r="E96333"/>
      <c r="F96333"/>
    </row>
    <row r="96334" spans="1:6" x14ac:dyDescent="0.25">
      <c r="A96334"/>
      <c r="B96334"/>
      <c r="C96334"/>
      <c r="E96334"/>
      <c r="F96334"/>
    </row>
    <row r="96335" spans="1:6" x14ac:dyDescent="0.25">
      <c r="A96335"/>
      <c r="B96335"/>
      <c r="C96335"/>
      <c r="E96335"/>
      <c r="F96335"/>
    </row>
    <row r="96336" spans="1:6" x14ac:dyDescent="0.25">
      <c r="A96336"/>
      <c r="B96336"/>
      <c r="C96336"/>
      <c r="E96336"/>
      <c r="F96336"/>
    </row>
    <row r="96337" spans="1:6" x14ac:dyDescent="0.25">
      <c r="A96337"/>
      <c r="B96337"/>
      <c r="C96337"/>
      <c r="E96337"/>
      <c r="F96337"/>
    </row>
    <row r="96338" spans="1:6" x14ac:dyDescent="0.25">
      <c r="A96338"/>
      <c r="B96338"/>
      <c r="C96338"/>
      <c r="E96338"/>
      <c r="F96338"/>
    </row>
    <row r="96339" spans="1:6" x14ac:dyDescent="0.25">
      <c r="A96339"/>
      <c r="B96339"/>
      <c r="C96339"/>
      <c r="E96339"/>
      <c r="F96339"/>
    </row>
    <row r="96340" spans="1:6" x14ac:dyDescent="0.25">
      <c r="A96340"/>
      <c r="B96340"/>
      <c r="C96340"/>
      <c r="E96340"/>
      <c r="F96340"/>
    </row>
    <row r="96341" spans="1:6" x14ac:dyDescent="0.25">
      <c r="A96341"/>
      <c r="B96341"/>
      <c r="C96341"/>
      <c r="E96341"/>
      <c r="F96341"/>
    </row>
    <row r="96342" spans="1:6" x14ac:dyDescent="0.25">
      <c r="A96342"/>
      <c r="B96342"/>
      <c r="C96342"/>
      <c r="E96342"/>
      <c r="F96342"/>
    </row>
    <row r="96343" spans="1:6" x14ac:dyDescent="0.25">
      <c r="A96343"/>
      <c r="B96343"/>
      <c r="C96343"/>
      <c r="E96343"/>
      <c r="F96343"/>
    </row>
    <row r="96344" spans="1:6" x14ac:dyDescent="0.25">
      <c r="A96344"/>
      <c r="B96344"/>
      <c r="C96344"/>
      <c r="E96344"/>
      <c r="F96344"/>
    </row>
    <row r="96345" spans="1:6" x14ac:dyDescent="0.25">
      <c r="A96345"/>
      <c r="B96345"/>
      <c r="C96345"/>
      <c r="E96345"/>
      <c r="F96345"/>
    </row>
    <row r="96346" spans="1:6" x14ac:dyDescent="0.25">
      <c r="A96346"/>
      <c r="B96346"/>
      <c r="C96346"/>
      <c r="E96346"/>
      <c r="F96346"/>
    </row>
    <row r="96347" spans="1:6" x14ac:dyDescent="0.25">
      <c r="A96347"/>
      <c r="B96347"/>
      <c r="C96347"/>
      <c r="E96347"/>
      <c r="F96347"/>
    </row>
    <row r="96348" spans="1:6" x14ac:dyDescent="0.25">
      <c r="A96348"/>
      <c r="B96348"/>
      <c r="C96348"/>
      <c r="E96348"/>
      <c r="F96348"/>
    </row>
    <row r="96349" spans="1:6" x14ac:dyDescent="0.25">
      <c r="A96349"/>
      <c r="B96349"/>
      <c r="C96349"/>
      <c r="E96349"/>
      <c r="F96349"/>
    </row>
    <row r="96350" spans="1:6" x14ac:dyDescent="0.25">
      <c r="A96350"/>
      <c r="B96350"/>
      <c r="C96350"/>
      <c r="E96350"/>
      <c r="F96350"/>
    </row>
    <row r="96351" spans="1:6" x14ac:dyDescent="0.25">
      <c r="A96351"/>
      <c r="B96351"/>
      <c r="C96351"/>
      <c r="E96351"/>
      <c r="F96351"/>
    </row>
    <row r="96352" spans="1:6" x14ac:dyDescent="0.25">
      <c r="A96352"/>
      <c r="B96352"/>
      <c r="C96352"/>
      <c r="E96352"/>
      <c r="F96352"/>
    </row>
    <row r="96353" spans="1:6" x14ac:dyDescent="0.25">
      <c r="A96353"/>
      <c r="B96353"/>
      <c r="C96353"/>
      <c r="E96353"/>
      <c r="F96353"/>
    </row>
    <row r="96354" spans="1:6" x14ac:dyDescent="0.25">
      <c r="A96354"/>
      <c r="B96354"/>
      <c r="C96354"/>
      <c r="E96354"/>
      <c r="F96354"/>
    </row>
    <row r="96355" spans="1:6" x14ac:dyDescent="0.25">
      <c r="A96355"/>
      <c r="B96355"/>
      <c r="C96355"/>
      <c r="E96355"/>
      <c r="F96355"/>
    </row>
    <row r="96356" spans="1:6" x14ac:dyDescent="0.25">
      <c r="A96356"/>
      <c r="B96356"/>
      <c r="C96356"/>
      <c r="E96356"/>
      <c r="F96356"/>
    </row>
    <row r="96357" spans="1:6" x14ac:dyDescent="0.25">
      <c r="A96357"/>
      <c r="B96357"/>
      <c r="C96357"/>
      <c r="E96357"/>
      <c r="F96357"/>
    </row>
    <row r="96358" spans="1:6" x14ac:dyDescent="0.25">
      <c r="A96358"/>
      <c r="B96358"/>
      <c r="C96358"/>
      <c r="E96358"/>
      <c r="F96358"/>
    </row>
    <row r="96359" spans="1:6" x14ac:dyDescent="0.25">
      <c r="A96359"/>
      <c r="B96359"/>
      <c r="C96359"/>
      <c r="E96359"/>
      <c r="F96359"/>
    </row>
    <row r="96360" spans="1:6" x14ac:dyDescent="0.25">
      <c r="A96360"/>
      <c r="B96360"/>
      <c r="C96360"/>
      <c r="E96360"/>
      <c r="F96360"/>
    </row>
    <row r="96361" spans="1:6" x14ac:dyDescent="0.25">
      <c r="A96361"/>
      <c r="B96361"/>
      <c r="C96361"/>
      <c r="E96361"/>
      <c r="F96361"/>
    </row>
    <row r="96362" spans="1:6" x14ac:dyDescent="0.25">
      <c r="A96362"/>
      <c r="B96362"/>
      <c r="C96362"/>
      <c r="E96362"/>
      <c r="F96362"/>
    </row>
    <row r="96363" spans="1:6" x14ac:dyDescent="0.25">
      <c r="A96363"/>
      <c r="B96363"/>
      <c r="C96363"/>
      <c r="E96363"/>
      <c r="F96363"/>
    </row>
    <row r="96364" spans="1:6" x14ac:dyDescent="0.25">
      <c r="A96364"/>
      <c r="B96364"/>
      <c r="C96364"/>
      <c r="E96364"/>
      <c r="F96364"/>
    </row>
    <row r="96365" spans="1:6" x14ac:dyDescent="0.25">
      <c r="A96365"/>
      <c r="B96365"/>
      <c r="C96365"/>
      <c r="E96365"/>
      <c r="F96365"/>
    </row>
    <row r="96366" spans="1:6" x14ac:dyDescent="0.25">
      <c r="A96366"/>
      <c r="B96366"/>
      <c r="C96366"/>
      <c r="E96366"/>
      <c r="F96366"/>
    </row>
    <row r="96367" spans="1:6" x14ac:dyDescent="0.25">
      <c r="A96367"/>
      <c r="B96367"/>
      <c r="C96367"/>
      <c r="E96367"/>
      <c r="F96367"/>
    </row>
    <row r="96368" spans="1:6" x14ac:dyDescent="0.25">
      <c r="A96368"/>
      <c r="B96368"/>
      <c r="C96368"/>
      <c r="E96368"/>
      <c r="F96368"/>
    </row>
    <row r="96369" spans="1:6" x14ac:dyDescent="0.25">
      <c r="A96369"/>
      <c r="B96369"/>
      <c r="C96369"/>
      <c r="E96369"/>
      <c r="F96369"/>
    </row>
    <row r="96370" spans="1:6" x14ac:dyDescent="0.25">
      <c r="A96370"/>
      <c r="B96370"/>
      <c r="C96370"/>
      <c r="E96370"/>
      <c r="F96370"/>
    </row>
    <row r="96371" spans="1:6" x14ac:dyDescent="0.25">
      <c r="A96371"/>
      <c r="B96371"/>
      <c r="C96371"/>
      <c r="E96371"/>
      <c r="F96371"/>
    </row>
    <row r="96372" spans="1:6" x14ac:dyDescent="0.25">
      <c r="A96372"/>
      <c r="B96372"/>
      <c r="C96372"/>
      <c r="E96372"/>
      <c r="F96372"/>
    </row>
    <row r="96373" spans="1:6" x14ac:dyDescent="0.25">
      <c r="A96373"/>
      <c r="B96373"/>
      <c r="C96373"/>
      <c r="E96373"/>
      <c r="F96373"/>
    </row>
    <row r="96374" spans="1:6" x14ac:dyDescent="0.25">
      <c r="A96374"/>
      <c r="B96374"/>
      <c r="C96374"/>
      <c r="E96374"/>
      <c r="F96374"/>
    </row>
    <row r="96375" spans="1:6" x14ac:dyDescent="0.25">
      <c r="A96375"/>
      <c r="B96375"/>
      <c r="C96375"/>
      <c r="E96375"/>
      <c r="F96375"/>
    </row>
    <row r="96376" spans="1:6" x14ac:dyDescent="0.25">
      <c r="A96376"/>
      <c r="B96376"/>
      <c r="C96376"/>
      <c r="E96376"/>
      <c r="F96376"/>
    </row>
    <row r="96377" spans="1:6" x14ac:dyDescent="0.25">
      <c r="A96377"/>
      <c r="B96377"/>
      <c r="C96377"/>
      <c r="E96377"/>
      <c r="F96377"/>
    </row>
    <row r="96378" spans="1:6" x14ac:dyDescent="0.25">
      <c r="A96378"/>
      <c r="B96378"/>
      <c r="C96378"/>
      <c r="E96378"/>
      <c r="F96378"/>
    </row>
    <row r="96379" spans="1:6" x14ac:dyDescent="0.25">
      <c r="A96379"/>
      <c r="B96379"/>
      <c r="C96379"/>
      <c r="E96379"/>
      <c r="F96379"/>
    </row>
    <row r="96380" spans="1:6" x14ac:dyDescent="0.25">
      <c r="A96380"/>
      <c r="B96380"/>
      <c r="C96380"/>
      <c r="E96380"/>
      <c r="F96380"/>
    </row>
    <row r="96381" spans="1:6" x14ac:dyDescent="0.25">
      <c r="A96381"/>
      <c r="B96381"/>
      <c r="C96381"/>
      <c r="E96381"/>
      <c r="F96381"/>
    </row>
    <row r="96382" spans="1:6" x14ac:dyDescent="0.25">
      <c r="A96382"/>
      <c r="B96382"/>
      <c r="C96382"/>
      <c r="E96382"/>
      <c r="F96382"/>
    </row>
    <row r="96383" spans="1:6" x14ac:dyDescent="0.25">
      <c r="A96383"/>
      <c r="B96383"/>
      <c r="C96383"/>
      <c r="E96383"/>
      <c r="F96383"/>
    </row>
    <row r="96384" spans="1:6" x14ac:dyDescent="0.25">
      <c r="A96384"/>
      <c r="B96384"/>
      <c r="C96384"/>
      <c r="E96384"/>
      <c r="F96384"/>
    </row>
    <row r="96385" spans="1:6" x14ac:dyDescent="0.25">
      <c r="A96385"/>
      <c r="B96385"/>
      <c r="C96385"/>
      <c r="E96385"/>
      <c r="F96385"/>
    </row>
    <row r="96386" spans="1:6" x14ac:dyDescent="0.25">
      <c r="A96386"/>
      <c r="B96386"/>
      <c r="C96386"/>
      <c r="E96386"/>
      <c r="F96386"/>
    </row>
    <row r="96387" spans="1:6" x14ac:dyDescent="0.25">
      <c r="A96387"/>
      <c r="B96387"/>
      <c r="C96387"/>
      <c r="E96387"/>
      <c r="F96387"/>
    </row>
    <row r="96388" spans="1:6" x14ac:dyDescent="0.25">
      <c r="A96388"/>
      <c r="B96388"/>
      <c r="C96388"/>
      <c r="E96388"/>
      <c r="F96388"/>
    </row>
    <row r="96389" spans="1:6" x14ac:dyDescent="0.25">
      <c r="A96389"/>
      <c r="B96389"/>
      <c r="C96389"/>
      <c r="E96389"/>
      <c r="F96389"/>
    </row>
    <row r="96390" spans="1:6" x14ac:dyDescent="0.25">
      <c r="A96390"/>
      <c r="B96390"/>
      <c r="C96390"/>
      <c r="E96390"/>
      <c r="F96390"/>
    </row>
    <row r="96391" spans="1:6" x14ac:dyDescent="0.25">
      <c r="A96391"/>
      <c r="B96391"/>
      <c r="C96391"/>
      <c r="E96391"/>
      <c r="F96391"/>
    </row>
    <row r="96392" spans="1:6" x14ac:dyDescent="0.25">
      <c r="A96392"/>
      <c r="B96392"/>
      <c r="C96392"/>
      <c r="E96392"/>
      <c r="F96392"/>
    </row>
    <row r="96393" spans="1:6" x14ac:dyDescent="0.25">
      <c r="A96393"/>
      <c r="B96393"/>
      <c r="C96393"/>
      <c r="E96393"/>
      <c r="F96393"/>
    </row>
    <row r="96394" spans="1:6" x14ac:dyDescent="0.25">
      <c r="A96394"/>
      <c r="B96394"/>
      <c r="C96394"/>
      <c r="E96394"/>
      <c r="F96394"/>
    </row>
    <row r="96395" spans="1:6" x14ac:dyDescent="0.25">
      <c r="A96395"/>
      <c r="B96395"/>
      <c r="C96395"/>
      <c r="E96395"/>
      <c r="F96395"/>
    </row>
    <row r="96396" spans="1:6" x14ac:dyDescent="0.25">
      <c r="A96396"/>
      <c r="B96396"/>
      <c r="C96396"/>
      <c r="E96396"/>
      <c r="F96396"/>
    </row>
    <row r="96397" spans="1:6" x14ac:dyDescent="0.25">
      <c r="A96397"/>
      <c r="B96397"/>
      <c r="C96397"/>
      <c r="E96397"/>
      <c r="F96397"/>
    </row>
    <row r="96398" spans="1:6" x14ac:dyDescent="0.25">
      <c r="A96398"/>
      <c r="B96398"/>
      <c r="C96398"/>
      <c r="E96398"/>
      <c r="F96398"/>
    </row>
    <row r="96399" spans="1:6" x14ac:dyDescent="0.25">
      <c r="A96399"/>
      <c r="B96399"/>
      <c r="C96399"/>
      <c r="E96399"/>
      <c r="F96399"/>
    </row>
    <row r="96400" spans="1:6" x14ac:dyDescent="0.25">
      <c r="A96400"/>
      <c r="B96400"/>
      <c r="C96400"/>
      <c r="E96400"/>
      <c r="F96400"/>
    </row>
    <row r="96401" spans="1:6" x14ac:dyDescent="0.25">
      <c r="A96401"/>
      <c r="B96401"/>
      <c r="C96401"/>
      <c r="E96401"/>
      <c r="F96401"/>
    </row>
    <row r="96402" spans="1:6" x14ac:dyDescent="0.25">
      <c r="A96402"/>
      <c r="B96402"/>
      <c r="C96402"/>
      <c r="E96402"/>
      <c r="F96402"/>
    </row>
    <row r="96403" spans="1:6" x14ac:dyDescent="0.25">
      <c r="A96403"/>
      <c r="B96403"/>
      <c r="C96403"/>
      <c r="E96403"/>
      <c r="F96403"/>
    </row>
    <row r="96404" spans="1:6" x14ac:dyDescent="0.25">
      <c r="A96404"/>
      <c r="B96404"/>
      <c r="C96404"/>
      <c r="E96404"/>
      <c r="F96404"/>
    </row>
    <row r="96405" spans="1:6" x14ac:dyDescent="0.25">
      <c r="A96405"/>
      <c r="B96405"/>
      <c r="C96405"/>
      <c r="E96405"/>
      <c r="F96405"/>
    </row>
    <row r="96406" spans="1:6" x14ac:dyDescent="0.25">
      <c r="A96406"/>
      <c r="B96406"/>
      <c r="C96406"/>
      <c r="E96406"/>
      <c r="F96406"/>
    </row>
    <row r="96407" spans="1:6" x14ac:dyDescent="0.25">
      <c r="A96407"/>
      <c r="B96407"/>
      <c r="C96407"/>
      <c r="E96407"/>
      <c r="F96407"/>
    </row>
    <row r="96408" spans="1:6" x14ac:dyDescent="0.25">
      <c r="A96408"/>
      <c r="B96408"/>
      <c r="C96408"/>
      <c r="E96408"/>
      <c r="F96408"/>
    </row>
    <row r="96409" spans="1:6" x14ac:dyDescent="0.25">
      <c r="A96409"/>
      <c r="B96409"/>
      <c r="C96409"/>
      <c r="E96409"/>
      <c r="F96409"/>
    </row>
    <row r="96410" spans="1:6" x14ac:dyDescent="0.25">
      <c r="A96410"/>
      <c r="B96410"/>
      <c r="C96410"/>
      <c r="E96410"/>
      <c r="F96410"/>
    </row>
    <row r="96411" spans="1:6" x14ac:dyDescent="0.25">
      <c r="A96411"/>
      <c r="B96411"/>
      <c r="C96411"/>
      <c r="E96411"/>
      <c r="F96411"/>
    </row>
    <row r="96412" spans="1:6" x14ac:dyDescent="0.25">
      <c r="A96412"/>
      <c r="B96412"/>
      <c r="C96412"/>
      <c r="E96412"/>
      <c r="F96412"/>
    </row>
    <row r="96413" spans="1:6" x14ac:dyDescent="0.25">
      <c r="A96413"/>
      <c r="B96413"/>
      <c r="C96413"/>
      <c r="E96413"/>
      <c r="F96413"/>
    </row>
    <row r="96414" spans="1:6" x14ac:dyDescent="0.25">
      <c r="A96414"/>
      <c r="B96414"/>
      <c r="C96414"/>
      <c r="E96414"/>
      <c r="F96414"/>
    </row>
    <row r="96415" spans="1:6" x14ac:dyDescent="0.25">
      <c r="A96415"/>
      <c r="B96415"/>
      <c r="C96415"/>
      <c r="E96415"/>
      <c r="F96415"/>
    </row>
    <row r="96416" spans="1:6" x14ac:dyDescent="0.25">
      <c r="A96416"/>
      <c r="B96416"/>
      <c r="C96416"/>
      <c r="E96416"/>
      <c r="F96416"/>
    </row>
    <row r="96417" spans="1:6" x14ac:dyDescent="0.25">
      <c r="A96417"/>
      <c r="B96417"/>
      <c r="C96417"/>
      <c r="E96417"/>
      <c r="F96417"/>
    </row>
    <row r="96418" spans="1:6" x14ac:dyDescent="0.25">
      <c r="A96418"/>
      <c r="B96418"/>
      <c r="C96418"/>
      <c r="E96418"/>
      <c r="F96418"/>
    </row>
    <row r="96419" spans="1:6" x14ac:dyDescent="0.25">
      <c r="A96419"/>
      <c r="B96419"/>
      <c r="C96419"/>
      <c r="E96419"/>
      <c r="F96419"/>
    </row>
    <row r="96420" spans="1:6" x14ac:dyDescent="0.25">
      <c r="A96420"/>
      <c r="B96420"/>
      <c r="C96420"/>
      <c r="E96420"/>
      <c r="F96420"/>
    </row>
    <row r="96421" spans="1:6" x14ac:dyDescent="0.25">
      <c r="A96421"/>
      <c r="B96421"/>
      <c r="C96421"/>
      <c r="E96421"/>
      <c r="F96421"/>
    </row>
    <row r="96422" spans="1:6" x14ac:dyDescent="0.25">
      <c r="A96422"/>
      <c r="B96422"/>
      <c r="C96422"/>
      <c r="E96422"/>
      <c r="F96422"/>
    </row>
    <row r="96423" spans="1:6" x14ac:dyDescent="0.25">
      <c r="A96423"/>
      <c r="B96423"/>
      <c r="C96423"/>
      <c r="E96423"/>
      <c r="F96423"/>
    </row>
    <row r="96424" spans="1:6" x14ac:dyDescent="0.25">
      <c r="A96424"/>
      <c r="B96424"/>
      <c r="C96424"/>
      <c r="E96424"/>
      <c r="F96424"/>
    </row>
    <row r="96425" spans="1:6" x14ac:dyDescent="0.25">
      <c r="A96425"/>
      <c r="B96425"/>
      <c r="C96425"/>
      <c r="E96425"/>
      <c r="F96425"/>
    </row>
    <row r="96426" spans="1:6" x14ac:dyDescent="0.25">
      <c r="A96426"/>
      <c r="B96426"/>
      <c r="C96426"/>
      <c r="E96426"/>
      <c r="F96426"/>
    </row>
    <row r="96427" spans="1:6" x14ac:dyDescent="0.25">
      <c r="A96427"/>
      <c r="B96427"/>
      <c r="C96427"/>
      <c r="E96427"/>
      <c r="F96427"/>
    </row>
    <row r="96428" spans="1:6" x14ac:dyDescent="0.25">
      <c r="A96428"/>
      <c r="B96428"/>
      <c r="C96428"/>
      <c r="E96428"/>
      <c r="F96428"/>
    </row>
    <row r="96429" spans="1:6" x14ac:dyDescent="0.25">
      <c r="A96429"/>
      <c r="B96429"/>
      <c r="C96429"/>
      <c r="E96429"/>
      <c r="F96429"/>
    </row>
    <row r="96430" spans="1:6" x14ac:dyDescent="0.25">
      <c r="A96430"/>
      <c r="B96430"/>
      <c r="C96430"/>
      <c r="E96430"/>
      <c r="F96430"/>
    </row>
    <row r="96431" spans="1:6" x14ac:dyDescent="0.25">
      <c r="A96431"/>
      <c r="B96431"/>
      <c r="C96431"/>
      <c r="E96431"/>
      <c r="F96431"/>
    </row>
    <row r="96432" spans="1:6" x14ac:dyDescent="0.25">
      <c r="A96432"/>
      <c r="B96432"/>
      <c r="C96432"/>
      <c r="E96432"/>
      <c r="F96432"/>
    </row>
    <row r="96433" spans="1:6" x14ac:dyDescent="0.25">
      <c r="A96433"/>
      <c r="B96433"/>
      <c r="C96433"/>
      <c r="E96433"/>
      <c r="F96433"/>
    </row>
    <row r="96434" spans="1:6" x14ac:dyDescent="0.25">
      <c r="A96434"/>
      <c r="B96434"/>
      <c r="C96434"/>
      <c r="E96434"/>
      <c r="F96434"/>
    </row>
    <row r="96435" spans="1:6" x14ac:dyDescent="0.25">
      <c r="A96435"/>
      <c r="B96435"/>
      <c r="C96435"/>
      <c r="E96435"/>
      <c r="F96435"/>
    </row>
    <row r="96436" spans="1:6" x14ac:dyDescent="0.25">
      <c r="A96436"/>
      <c r="B96436"/>
      <c r="C96436"/>
      <c r="E96436"/>
      <c r="F96436"/>
    </row>
    <row r="96437" spans="1:6" x14ac:dyDescent="0.25">
      <c r="A96437"/>
      <c r="B96437"/>
      <c r="C96437"/>
      <c r="E96437"/>
      <c r="F96437"/>
    </row>
    <row r="96438" spans="1:6" x14ac:dyDescent="0.25">
      <c r="A96438"/>
      <c r="B96438"/>
      <c r="C96438"/>
      <c r="E96438"/>
      <c r="F96438"/>
    </row>
    <row r="96439" spans="1:6" x14ac:dyDescent="0.25">
      <c r="A96439"/>
      <c r="B96439"/>
      <c r="C96439"/>
      <c r="E96439"/>
      <c r="F96439"/>
    </row>
    <row r="96440" spans="1:6" x14ac:dyDescent="0.25">
      <c r="A96440"/>
      <c r="B96440"/>
      <c r="C96440"/>
      <c r="E96440"/>
      <c r="F96440"/>
    </row>
    <row r="96441" spans="1:6" x14ac:dyDescent="0.25">
      <c r="A96441"/>
      <c r="B96441"/>
      <c r="C96441"/>
      <c r="E96441"/>
      <c r="F96441"/>
    </row>
    <row r="96442" spans="1:6" x14ac:dyDescent="0.25">
      <c r="A96442"/>
      <c r="B96442"/>
      <c r="C96442"/>
      <c r="E96442"/>
      <c r="F96442"/>
    </row>
    <row r="96443" spans="1:6" x14ac:dyDescent="0.25">
      <c r="A96443"/>
      <c r="B96443"/>
      <c r="C96443"/>
      <c r="E96443"/>
      <c r="F96443"/>
    </row>
    <row r="96444" spans="1:6" x14ac:dyDescent="0.25">
      <c r="A96444"/>
      <c r="B96444"/>
      <c r="C96444"/>
      <c r="E96444"/>
      <c r="F96444"/>
    </row>
    <row r="96445" spans="1:6" x14ac:dyDescent="0.25">
      <c r="A96445"/>
      <c r="B96445"/>
      <c r="C96445"/>
      <c r="E96445"/>
      <c r="F96445"/>
    </row>
    <row r="96446" spans="1:6" x14ac:dyDescent="0.25">
      <c r="A96446"/>
      <c r="B96446"/>
      <c r="C96446"/>
      <c r="E96446"/>
      <c r="F96446"/>
    </row>
    <row r="96447" spans="1:6" x14ac:dyDescent="0.25">
      <c r="A96447"/>
      <c r="B96447"/>
      <c r="C96447"/>
      <c r="E96447"/>
      <c r="F96447"/>
    </row>
    <row r="96448" spans="1:6" x14ac:dyDescent="0.25">
      <c r="A96448"/>
      <c r="B96448"/>
      <c r="C96448"/>
      <c r="E96448"/>
      <c r="F96448"/>
    </row>
    <row r="96449" spans="1:6" x14ac:dyDescent="0.25">
      <c r="A96449"/>
      <c r="B96449"/>
      <c r="C96449"/>
      <c r="E96449"/>
      <c r="F96449"/>
    </row>
    <row r="96450" spans="1:6" x14ac:dyDescent="0.25">
      <c r="A96450"/>
      <c r="B96450"/>
      <c r="C96450"/>
      <c r="E96450"/>
      <c r="F96450"/>
    </row>
    <row r="96451" spans="1:6" x14ac:dyDescent="0.25">
      <c r="A96451"/>
      <c r="B96451"/>
      <c r="C96451"/>
      <c r="E96451"/>
      <c r="F96451"/>
    </row>
    <row r="96452" spans="1:6" x14ac:dyDescent="0.25">
      <c r="A96452"/>
      <c r="B96452"/>
      <c r="C96452"/>
      <c r="E96452"/>
      <c r="F96452"/>
    </row>
    <row r="96453" spans="1:6" x14ac:dyDescent="0.25">
      <c r="A96453"/>
      <c r="B96453"/>
      <c r="C96453"/>
      <c r="E96453"/>
      <c r="F96453"/>
    </row>
    <row r="96454" spans="1:6" x14ac:dyDescent="0.25">
      <c r="A96454"/>
      <c r="B96454"/>
      <c r="C96454"/>
      <c r="E96454"/>
      <c r="F96454"/>
    </row>
    <row r="96455" spans="1:6" x14ac:dyDescent="0.25">
      <c r="A96455"/>
      <c r="B96455"/>
      <c r="C96455"/>
      <c r="E96455"/>
      <c r="F96455"/>
    </row>
    <row r="96456" spans="1:6" x14ac:dyDescent="0.25">
      <c r="A96456"/>
      <c r="B96456"/>
      <c r="C96456"/>
      <c r="E96456"/>
      <c r="F96456"/>
    </row>
    <row r="96457" spans="1:6" x14ac:dyDescent="0.25">
      <c r="A96457"/>
      <c r="B96457"/>
      <c r="C96457"/>
      <c r="E96457"/>
      <c r="F96457"/>
    </row>
    <row r="96458" spans="1:6" x14ac:dyDescent="0.25">
      <c r="A96458"/>
      <c r="B96458"/>
      <c r="C96458"/>
      <c r="E96458"/>
      <c r="F96458"/>
    </row>
    <row r="96459" spans="1:6" x14ac:dyDescent="0.25">
      <c r="A96459"/>
      <c r="B96459"/>
      <c r="C96459"/>
      <c r="E96459"/>
      <c r="F96459"/>
    </row>
    <row r="96460" spans="1:6" x14ac:dyDescent="0.25">
      <c r="A96460"/>
      <c r="B96460"/>
      <c r="C96460"/>
      <c r="E96460"/>
      <c r="F96460"/>
    </row>
    <row r="96461" spans="1:6" x14ac:dyDescent="0.25">
      <c r="A96461"/>
      <c r="B96461"/>
      <c r="C96461"/>
      <c r="E96461"/>
      <c r="F96461"/>
    </row>
    <row r="96462" spans="1:6" x14ac:dyDescent="0.25">
      <c r="A96462"/>
      <c r="B96462"/>
      <c r="C96462"/>
      <c r="E96462"/>
      <c r="F96462"/>
    </row>
    <row r="96463" spans="1:6" x14ac:dyDescent="0.25">
      <c r="A96463"/>
      <c r="B96463"/>
      <c r="C96463"/>
      <c r="E96463"/>
      <c r="F96463"/>
    </row>
    <row r="96464" spans="1:6" x14ac:dyDescent="0.25">
      <c r="A96464"/>
      <c r="B96464"/>
      <c r="C96464"/>
      <c r="E96464"/>
      <c r="F96464"/>
    </row>
    <row r="96465" spans="1:6" x14ac:dyDescent="0.25">
      <c r="A96465"/>
      <c r="B96465"/>
      <c r="C96465"/>
      <c r="E96465"/>
      <c r="F96465"/>
    </row>
    <row r="96466" spans="1:6" x14ac:dyDescent="0.25">
      <c r="A96466"/>
      <c r="B96466"/>
      <c r="C96466"/>
      <c r="E96466"/>
      <c r="F96466"/>
    </row>
    <row r="96467" spans="1:6" x14ac:dyDescent="0.25">
      <c r="A96467"/>
      <c r="B96467"/>
      <c r="C96467"/>
      <c r="E96467"/>
      <c r="F96467"/>
    </row>
    <row r="96468" spans="1:6" x14ac:dyDescent="0.25">
      <c r="A96468"/>
      <c r="B96468"/>
      <c r="C96468"/>
      <c r="E96468"/>
      <c r="F96468"/>
    </row>
    <row r="96469" spans="1:6" x14ac:dyDescent="0.25">
      <c r="A96469"/>
      <c r="B96469"/>
      <c r="C96469"/>
      <c r="E96469"/>
      <c r="F96469"/>
    </row>
    <row r="96470" spans="1:6" x14ac:dyDescent="0.25">
      <c r="A96470"/>
      <c r="B96470"/>
      <c r="C96470"/>
      <c r="E96470"/>
      <c r="F96470"/>
    </row>
    <row r="96471" spans="1:6" x14ac:dyDescent="0.25">
      <c r="A96471"/>
      <c r="B96471"/>
      <c r="C96471"/>
      <c r="E96471"/>
      <c r="F96471"/>
    </row>
    <row r="96472" spans="1:6" x14ac:dyDescent="0.25">
      <c r="A96472"/>
      <c r="B96472"/>
      <c r="C96472"/>
      <c r="E96472"/>
      <c r="F96472"/>
    </row>
    <row r="96473" spans="1:6" x14ac:dyDescent="0.25">
      <c r="A96473"/>
      <c r="B96473"/>
      <c r="C96473"/>
      <c r="E96473"/>
      <c r="F96473"/>
    </row>
    <row r="96474" spans="1:6" x14ac:dyDescent="0.25">
      <c r="A96474"/>
      <c r="B96474"/>
      <c r="C96474"/>
      <c r="E96474"/>
      <c r="F96474"/>
    </row>
    <row r="96475" spans="1:6" x14ac:dyDescent="0.25">
      <c r="A96475"/>
      <c r="B96475"/>
      <c r="C96475"/>
      <c r="E96475"/>
      <c r="F96475"/>
    </row>
    <row r="96476" spans="1:6" x14ac:dyDescent="0.25">
      <c r="A96476"/>
      <c r="B96476"/>
      <c r="C96476"/>
      <c r="E96476"/>
      <c r="F96476"/>
    </row>
    <row r="96477" spans="1:6" x14ac:dyDescent="0.25">
      <c r="A96477"/>
      <c r="B96477"/>
      <c r="C96477"/>
      <c r="E96477"/>
      <c r="F96477"/>
    </row>
    <row r="96478" spans="1:6" x14ac:dyDescent="0.25">
      <c r="A96478"/>
      <c r="B96478"/>
      <c r="C96478"/>
      <c r="E96478"/>
      <c r="F96478"/>
    </row>
    <row r="96479" spans="1:6" x14ac:dyDescent="0.25">
      <c r="A96479"/>
      <c r="B96479"/>
      <c r="C96479"/>
      <c r="E96479"/>
      <c r="F96479"/>
    </row>
    <row r="96480" spans="1:6" x14ac:dyDescent="0.25">
      <c r="A96480"/>
      <c r="B96480"/>
      <c r="C96480"/>
      <c r="E96480"/>
      <c r="F96480"/>
    </row>
    <row r="96481" spans="1:6" x14ac:dyDescent="0.25">
      <c r="A96481"/>
      <c r="B96481"/>
      <c r="C96481"/>
      <c r="E96481"/>
      <c r="F96481"/>
    </row>
    <row r="96482" spans="1:6" x14ac:dyDescent="0.25">
      <c r="A96482"/>
      <c r="B96482"/>
      <c r="C96482"/>
      <c r="E96482"/>
      <c r="F96482"/>
    </row>
    <row r="96483" spans="1:6" x14ac:dyDescent="0.25">
      <c r="A96483"/>
      <c r="B96483"/>
      <c r="C96483"/>
      <c r="E96483"/>
      <c r="F96483"/>
    </row>
    <row r="96484" spans="1:6" x14ac:dyDescent="0.25">
      <c r="A96484"/>
      <c r="B96484"/>
      <c r="C96484"/>
      <c r="E96484"/>
      <c r="F96484"/>
    </row>
    <row r="96485" spans="1:6" x14ac:dyDescent="0.25">
      <c r="A96485"/>
      <c r="B96485"/>
      <c r="C96485"/>
      <c r="E96485"/>
      <c r="F96485"/>
    </row>
    <row r="96486" spans="1:6" x14ac:dyDescent="0.25">
      <c r="A96486"/>
      <c r="B96486"/>
      <c r="C96486"/>
      <c r="E96486"/>
      <c r="F96486"/>
    </row>
    <row r="96487" spans="1:6" x14ac:dyDescent="0.25">
      <c r="A96487"/>
      <c r="B96487"/>
      <c r="C96487"/>
      <c r="E96487"/>
      <c r="F96487"/>
    </row>
    <row r="96488" spans="1:6" x14ac:dyDescent="0.25">
      <c r="A96488"/>
      <c r="B96488"/>
      <c r="C96488"/>
      <c r="E96488"/>
      <c r="F96488"/>
    </row>
    <row r="96489" spans="1:6" x14ac:dyDescent="0.25">
      <c r="A96489"/>
      <c r="B96489"/>
      <c r="C96489"/>
      <c r="E96489"/>
      <c r="F96489"/>
    </row>
    <row r="96490" spans="1:6" x14ac:dyDescent="0.25">
      <c r="A96490"/>
      <c r="B96490"/>
      <c r="C96490"/>
      <c r="E96490"/>
      <c r="F96490"/>
    </row>
    <row r="96491" spans="1:6" x14ac:dyDescent="0.25">
      <c r="A96491"/>
      <c r="B96491"/>
      <c r="C96491"/>
      <c r="E96491"/>
      <c r="F96491"/>
    </row>
    <row r="96492" spans="1:6" x14ac:dyDescent="0.25">
      <c r="A96492"/>
      <c r="B96492"/>
      <c r="C96492"/>
      <c r="E96492"/>
      <c r="F96492"/>
    </row>
    <row r="96493" spans="1:6" x14ac:dyDescent="0.25">
      <c r="A96493"/>
      <c r="B96493"/>
      <c r="C96493"/>
      <c r="E96493"/>
      <c r="F96493"/>
    </row>
    <row r="96494" spans="1:6" x14ac:dyDescent="0.25">
      <c r="A96494"/>
      <c r="B96494"/>
      <c r="C96494"/>
      <c r="E96494"/>
      <c r="F96494"/>
    </row>
    <row r="96495" spans="1:6" x14ac:dyDescent="0.25">
      <c r="A96495"/>
      <c r="B96495"/>
      <c r="C96495"/>
      <c r="E96495"/>
      <c r="F96495"/>
    </row>
    <row r="96496" spans="1:6" x14ac:dyDescent="0.25">
      <c r="A96496"/>
      <c r="B96496"/>
      <c r="C96496"/>
      <c r="E96496"/>
      <c r="F96496"/>
    </row>
    <row r="96497" spans="1:6" x14ac:dyDescent="0.25">
      <c r="A96497"/>
      <c r="B96497"/>
      <c r="C96497"/>
      <c r="E96497"/>
      <c r="F96497"/>
    </row>
    <row r="96498" spans="1:6" x14ac:dyDescent="0.25">
      <c r="A96498"/>
      <c r="B96498"/>
      <c r="C96498"/>
      <c r="E96498"/>
      <c r="F96498"/>
    </row>
    <row r="96499" spans="1:6" x14ac:dyDescent="0.25">
      <c r="A96499"/>
      <c r="B96499"/>
      <c r="C96499"/>
      <c r="E96499"/>
      <c r="F96499"/>
    </row>
    <row r="96500" spans="1:6" x14ac:dyDescent="0.25">
      <c r="A96500"/>
      <c r="B96500"/>
      <c r="C96500"/>
      <c r="E96500"/>
      <c r="F96500"/>
    </row>
    <row r="96501" spans="1:6" x14ac:dyDescent="0.25">
      <c r="A96501"/>
      <c r="B96501"/>
      <c r="C96501"/>
      <c r="E96501"/>
      <c r="F96501"/>
    </row>
    <row r="96502" spans="1:6" x14ac:dyDescent="0.25">
      <c r="A96502"/>
      <c r="B96502"/>
      <c r="C96502"/>
      <c r="E96502"/>
      <c r="F96502"/>
    </row>
    <row r="96503" spans="1:6" x14ac:dyDescent="0.25">
      <c r="A96503"/>
      <c r="B96503"/>
      <c r="C96503"/>
      <c r="E96503"/>
      <c r="F96503"/>
    </row>
    <row r="96504" spans="1:6" x14ac:dyDescent="0.25">
      <c r="A96504"/>
      <c r="B96504"/>
      <c r="C96504"/>
      <c r="E96504"/>
      <c r="F96504"/>
    </row>
    <row r="96505" spans="1:6" x14ac:dyDescent="0.25">
      <c r="A96505"/>
      <c r="B96505"/>
      <c r="C96505"/>
      <c r="E96505"/>
      <c r="F96505"/>
    </row>
    <row r="96506" spans="1:6" x14ac:dyDescent="0.25">
      <c r="A96506"/>
      <c r="B96506"/>
      <c r="C96506"/>
      <c r="E96506"/>
      <c r="F96506"/>
    </row>
    <row r="96507" spans="1:6" x14ac:dyDescent="0.25">
      <c r="A96507"/>
      <c r="B96507"/>
      <c r="C96507"/>
      <c r="E96507"/>
      <c r="F96507"/>
    </row>
    <row r="96508" spans="1:6" x14ac:dyDescent="0.25">
      <c r="A96508"/>
      <c r="B96508"/>
      <c r="C96508"/>
      <c r="E96508"/>
      <c r="F96508"/>
    </row>
    <row r="96509" spans="1:6" x14ac:dyDescent="0.25">
      <c r="A96509"/>
      <c r="B96509"/>
      <c r="C96509"/>
      <c r="E96509"/>
      <c r="F96509"/>
    </row>
    <row r="96510" spans="1:6" x14ac:dyDescent="0.25">
      <c r="A96510"/>
      <c r="B96510"/>
      <c r="C96510"/>
      <c r="E96510"/>
      <c r="F96510"/>
    </row>
    <row r="96511" spans="1:6" x14ac:dyDescent="0.25">
      <c r="A96511"/>
      <c r="B96511"/>
      <c r="C96511"/>
      <c r="E96511"/>
      <c r="F96511"/>
    </row>
    <row r="96512" spans="1:6" x14ac:dyDescent="0.25">
      <c r="A96512"/>
      <c r="B96512"/>
      <c r="C96512"/>
      <c r="E96512"/>
      <c r="F96512"/>
    </row>
    <row r="96513" spans="1:6" x14ac:dyDescent="0.25">
      <c r="A96513"/>
      <c r="B96513"/>
      <c r="C96513"/>
      <c r="E96513"/>
      <c r="F96513"/>
    </row>
    <row r="96514" spans="1:6" x14ac:dyDescent="0.25">
      <c r="A96514"/>
      <c r="B96514"/>
      <c r="C96514"/>
      <c r="E96514"/>
      <c r="F96514"/>
    </row>
    <row r="96515" spans="1:6" x14ac:dyDescent="0.25">
      <c r="A96515"/>
      <c r="B96515"/>
      <c r="C96515"/>
      <c r="E96515"/>
      <c r="F96515"/>
    </row>
    <row r="96516" spans="1:6" x14ac:dyDescent="0.25">
      <c r="A96516"/>
      <c r="B96516"/>
      <c r="C96516"/>
      <c r="E96516"/>
      <c r="F96516"/>
    </row>
    <row r="96517" spans="1:6" x14ac:dyDescent="0.25">
      <c r="A96517"/>
      <c r="B96517"/>
      <c r="C96517"/>
      <c r="E96517"/>
      <c r="F96517"/>
    </row>
    <row r="96518" spans="1:6" x14ac:dyDescent="0.25">
      <c r="A96518"/>
      <c r="B96518"/>
      <c r="C96518"/>
      <c r="E96518"/>
      <c r="F96518"/>
    </row>
    <row r="96519" spans="1:6" x14ac:dyDescent="0.25">
      <c r="A96519"/>
      <c r="B96519"/>
      <c r="C96519"/>
      <c r="E96519"/>
      <c r="F96519"/>
    </row>
    <row r="96520" spans="1:6" x14ac:dyDescent="0.25">
      <c r="A96520"/>
      <c r="B96520"/>
      <c r="C96520"/>
      <c r="E96520"/>
      <c r="F96520"/>
    </row>
    <row r="96521" spans="1:6" x14ac:dyDescent="0.25">
      <c r="A96521"/>
      <c r="B96521"/>
      <c r="C96521"/>
      <c r="E96521"/>
      <c r="F96521"/>
    </row>
    <row r="96522" spans="1:6" x14ac:dyDescent="0.25">
      <c r="A96522"/>
      <c r="B96522"/>
      <c r="C96522"/>
      <c r="E96522"/>
      <c r="F96522"/>
    </row>
    <row r="96523" spans="1:6" x14ac:dyDescent="0.25">
      <c r="A96523"/>
      <c r="B96523"/>
      <c r="C96523"/>
      <c r="E96523"/>
      <c r="F96523"/>
    </row>
    <row r="96524" spans="1:6" x14ac:dyDescent="0.25">
      <c r="A96524"/>
      <c r="B96524"/>
      <c r="C96524"/>
      <c r="E96524"/>
      <c r="F96524"/>
    </row>
    <row r="96525" spans="1:6" x14ac:dyDescent="0.25">
      <c r="A96525"/>
      <c r="B96525"/>
      <c r="C96525"/>
      <c r="E96525"/>
      <c r="F96525"/>
    </row>
    <row r="96526" spans="1:6" x14ac:dyDescent="0.25">
      <c r="A96526"/>
      <c r="B96526"/>
      <c r="C96526"/>
      <c r="E96526"/>
      <c r="F96526"/>
    </row>
    <row r="96527" spans="1:6" x14ac:dyDescent="0.25">
      <c r="A96527"/>
      <c r="B96527"/>
      <c r="C96527"/>
      <c r="E96527"/>
      <c r="F96527"/>
    </row>
    <row r="96528" spans="1:6" x14ac:dyDescent="0.25">
      <c r="A96528"/>
      <c r="B96528"/>
      <c r="C96528"/>
      <c r="E96528"/>
      <c r="F96528"/>
    </row>
    <row r="96529" spans="1:6" x14ac:dyDescent="0.25">
      <c r="A96529"/>
      <c r="B96529"/>
      <c r="C96529"/>
      <c r="E96529"/>
      <c r="F96529"/>
    </row>
    <row r="96530" spans="1:6" x14ac:dyDescent="0.25">
      <c r="A96530"/>
      <c r="B96530"/>
      <c r="C96530"/>
      <c r="E96530"/>
      <c r="F96530"/>
    </row>
    <row r="96531" spans="1:6" x14ac:dyDescent="0.25">
      <c r="A96531"/>
      <c r="B96531"/>
      <c r="C96531"/>
      <c r="E96531"/>
      <c r="F96531"/>
    </row>
    <row r="96532" spans="1:6" x14ac:dyDescent="0.25">
      <c r="A96532"/>
      <c r="B96532"/>
      <c r="C96532"/>
      <c r="E96532"/>
      <c r="F96532"/>
    </row>
    <row r="96533" spans="1:6" x14ac:dyDescent="0.25">
      <c r="A96533"/>
      <c r="B96533"/>
      <c r="C96533"/>
      <c r="E96533"/>
      <c r="F96533"/>
    </row>
    <row r="96534" spans="1:6" x14ac:dyDescent="0.25">
      <c r="A96534"/>
      <c r="B96534"/>
      <c r="C96534"/>
      <c r="E96534"/>
      <c r="F96534"/>
    </row>
    <row r="96535" spans="1:6" x14ac:dyDescent="0.25">
      <c r="A96535"/>
      <c r="B96535"/>
      <c r="C96535"/>
      <c r="E96535"/>
      <c r="F96535"/>
    </row>
    <row r="96536" spans="1:6" x14ac:dyDescent="0.25">
      <c r="A96536"/>
      <c r="B96536"/>
      <c r="C96536"/>
      <c r="E96536"/>
      <c r="F96536"/>
    </row>
    <row r="96537" spans="1:6" x14ac:dyDescent="0.25">
      <c r="A96537"/>
      <c r="B96537"/>
      <c r="C96537"/>
      <c r="E96537"/>
      <c r="F96537"/>
    </row>
    <row r="96538" spans="1:6" x14ac:dyDescent="0.25">
      <c r="A96538"/>
      <c r="B96538"/>
      <c r="C96538"/>
      <c r="E96538"/>
      <c r="F96538"/>
    </row>
    <row r="96539" spans="1:6" x14ac:dyDescent="0.25">
      <c r="A96539"/>
      <c r="B96539"/>
      <c r="C96539"/>
      <c r="E96539"/>
      <c r="F96539"/>
    </row>
    <row r="96540" spans="1:6" x14ac:dyDescent="0.25">
      <c r="A96540"/>
      <c r="B96540"/>
      <c r="C96540"/>
      <c r="E96540"/>
      <c r="F96540"/>
    </row>
    <row r="96541" spans="1:6" x14ac:dyDescent="0.25">
      <c r="A96541"/>
      <c r="B96541"/>
      <c r="C96541"/>
      <c r="E96541"/>
      <c r="F96541"/>
    </row>
    <row r="96542" spans="1:6" x14ac:dyDescent="0.25">
      <c r="A96542"/>
      <c r="B96542"/>
      <c r="C96542"/>
      <c r="E96542"/>
      <c r="F96542"/>
    </row>
    <row r="96543" spans="1:6" x14ac:dyDescent="0.25">
      <c r="A96543"/>
      <c r="B96543"/>
      <c r="C96543"/>
      <c r="E96543"/>
      <c r="F96543"/>
    </row>
    <row r="96544" spans="1:6" x14ac:dyDescent="0.25">
      <c r="A96544"/>
      <c r="B96544"/>
      <c r="C96544"/>
      <c r="E96544"/>
      <c r="F96544"/>
    </row>
    <row r="96545" spans="1:6" x14ac:dyDescent="0.25">
      <c r="A96545"/>
      <c r="B96545"/>
      <c r="C96545"/>
      <c r="E96545"/>
      <c r="F96545"/>
    </row>
    <row r="96546" spans="1:6" x14ac:dyDescent="0.25">
      <c r="A96546"/>
      <c r="B96546"/>
      <c r="C96546"/>
      <c r="E96546"/>
      <c r="F96546"/>
    </row>
    <row r="96547" spans="1:6" x14ac:dyDescent="0.25">
      <c r="A96547"/>
      <c r="B96547"/>
      <c r="C96547"/>
      <c r="E96547"/>
      <c r="F96547"/>
    </row>
    <row r="96548" spans="1:6" x14ac:dyDescent="0.25">
      <c r="A96548"/>
      <c r="B96548"/>
      <c r="C96548"/>
      <c r="E96548"/>
      <c r="F96548"/>
    </row>
    <row r="96549" spans="1:6" x14ac:dyDescent="0.25">
      <c r="A96549"/>
      <c r="B96549"/>
      <c r="C96549"/>
      <c r="E96549"/>
      <c r="F96549"/>
    </row>
    <row r="96550" spans="1:6" x14ac:dyDescent="0.25">
      <c r="A96550"/>
      <c r="B96550"/>
      <c r="C96550"/>
      <c r="E96550"/>
      <c r="F96550"/>
    </row>
    <row r="96551" spans="1:6" x14ac:dyDescent="0.25">
      <c r="A96551"/>
      <c r="B96551"/>
      <c r="C96551"/>
      <c r="E96551"/>
      <c r="F96551"/>
    </row>
    <row r="96552" spans="1:6" x14ac:dyDescent="0.25">
      <c r="A96552"/>
      <c r="B96552"/>
      <c r="C96552"/>
      <c r="E96552"/>
      <c r="F96552"/>
    </row>
    <row r="96553" spans="1:6" x14ac:dyDescent="0.25">
      <c r="A96553"/>
      <c r="B96553"/>
      <c r="C96553"/>
      <c r="E96553"/>
      <c r="F96553"/>
    </row>
    <row r="96554" spans="1:6" x14ac:dyDescent="0.25">
      <c r="A96554"/>
      <c r="B96554"/>
      <c r="C96554"/>
      <c r="E96554"/>
      <c r="F96554"/>
    </row>
    <row r="96555" spans="1:6" x14ac:dyDescent="0.25">
      <c r="A96555"/>
      <c r="B96555"/>
      <c r="C96555"/>
      <c r="E96555"/>
      <c r="F96555"/>
    </row>
    <row r="96556" spans="1:6" x14ac:dyDescent="0.25">
      <c r="A96556"/>
      <c r="B96556"/>
      <c r="C96556"/>
      <c r="E96556"/>
      <c r="F96556"/>
    </row>
    <row r="96557" spans="1:6" x14ac:dyDescent="0.25">
      <c r="A96557"/>
      <c r="B96557"/>
      <c r="C96557"/>
      <c r="E96557"/>
      <c r="F96557"/>
    </row>
    <row r="96558" spans="1:6" x14ac:dyDescent="0.25">
      <c r="A96558"/>
      <c r="B96558"/>
      <c r="C96558"/>
      <c r="E96558"/>
      <c r="F96558"/>
    </row>
    <row r="96559" spans="1:6" x14ac:dyDescent="0.25">
      <c r="A96559"/>
      <c r="B96559"/>
      <c r="C96559"/>
      <c r="E96559"/>
      <c r="F96559"/>
    </row>
    <row r="96560" spans="1:6" x14ac:dyDescent="0.25">
      <c r="A96560"/>
      <c r="B96560"/>
      <c r="C96560"/>
      <c r="E96560"/>
      <c r="F96560"/>
    </row>
    <row r="96561" spans="1:6" x14ac:dyDescent="0.25">
      <c r="A96561"/>
      <c r="B96561"/>
      <c r="C96561"/>
      <c r="E96561"/>
      <c r="F96561"/>
    </row>
    <row r="96562" spans="1:6" x14ac:dyDescent="0.25">
      <c r="A96562"/>
      <c r="B96562"/>
      <c r="C96562"/>
      <c r="E96562"/>
      <c r="F96562"/>
    </row>
    <row r="96563" spans="1:6" x14ac:dyDescent="0.25">
      <c r="A96563"/>
      <c r="B96563"/>
      <c r="C96563"/>
      <c r="E96563"/>
      <c r="F96563"/>
    </row>
    <row r="96564" spans="1:6" x14ac:dyDescent="0.25">
      <c r="A96564"/>
      <c r="B96564"/>
      <c r="C96564"/>
      <c r="E96564"/>
      <c r="F96564"/>
    </row>
    <row r="96565" spans="1:6" x14ac:dyDescent="0.25">
      <c r="A96565"/>
      <c r="B96565"/>
      <c r="C96565"/>
      <c r="E96565"/>
      <c r="F96565"/>
    </row>
    <row r="96566" spans="1:6" x14ac:dyDescent="0.25">
      <c r="A96566"/>
      <c r="B96566"/>
      <c r="C96566"/>
      <c r="E96566"/>
      <c r="F96566"/>
    </row>
    <row r="96567" spans="1:6" x14ac:dyDescent="0.25">
      <c r="A96567"/>
      <c r="B96567"/>
      <c r="C96567"/>
      <c r="E96567"/>
      <c r="F96567"/>
    </row>
    <row r="96568" spans="1:6" x14ac:dyDescent="0.25">
      <c r="A96568"/>
      <c r="B96568"/>
      <c r="C96568"/>
      <c r="E96568"/>
      <c r="F96568"/>
    </row>
    <row r="96569" spans="1:6" x14ac:dyDescent="0.25">
      <c r="A96569"/>
      <c r="B96569"/>
      <c r="C96569"/>
      <c r="E96569"/>
      <c r="F96569"/>
    </row>
    <row r="96570" spans="1:6" x14ac:dyDescent="0.25">
      <c r="A96570"/>
      <c r="B96570"/>
      <c r="C96570"/>
      <c r="E96570"/>
      <c r="F96570"/>
    </row>
    <row r="96571" spans="1:6" x14ac:dyDescent="0.25">
      <c r="A96571"/>
      <c r="B96571"/>
      <c r="C96571"/>
      <c r="E96571"/>
      <c r="F96571"/>
    </row>
    <row r="96572" spans="1:6" x14ac:dyDescent="0.25">
      <c r="A96572"/>
      <c r="B96572"/>
      <c r="C96572"/>
      <c r="E96572"/>
      <c r="F96572"/>
    </row>
    <row r="96573" spans="1:6" x14ac:dyDescent="0.25">
      <c r="A96573"/>
      <c r="B96573"/>
      <c r="C96573"/>
      <c r="E96573"/>
      <c r="F96573"/>
    </row>
    <row r="96574" spans="1:6" x14ac:dyDescent="0.25">
      <c r="A96574"/>
      <c r="B96574"/>
      <c r="C96574"/>
      <c r="E96574"/>
      <c r="F96574"/>
    </row>
    <row r="96575" spans="1:6" x14ac:dyDescent="0.25">
      <c r="A96575"/>
      <c r="B96575"/>
      <c r="C96575"/>
      <c r="E96575"/>
      <c r="F96575"/>
    </row>
    <row r="96576" spans="1:6" x14ac:dyDescent="0.25">
      <c r="A96576"/>
      <c r="B96576"/>
      <c r="C96576"/>
      <c r="E96576"/>
      <c r="F96576"/>
    </row>
    <row r="96577" spans="1:6" x14ac:dyDescent="0.25">
      <c r="A96577"/>
      <c r="B96577"/>
      <c r="C96577"/>
      <c r="E96577"/>
      <c r="F96577"/>
    </row>
    <row r="96578" spans="1:6" x14ac:dyDescent="0.25">
      <c r="A96578"/>
      <c r="B96578"/>
      <c r="C96578"/>
      <c r="E96578"/>
      <c r="F96578"/>
    </row>
    <row r="96579" spans="1:6" x14ac:dyDescent="0.25">
      <c r="A96579"/>
      <c r="B96579"/>
      <c r="C96579"/>
      <c r="E96579"/>
      <c r="F96579"/>
    </row>
    <row r="96580" spans="1:6" x14ac:dyDescent="0.25">
      <c r="A96580"/>
      <c r="B96580"/>
      <c r="C96580"/>
      <c r="E96580"/>
      <c r="F96580"/>
    </row>
    <row r="96581" spans="1:6" x14ac:dyDescent="0.25">
      <c r="A96581"/>
      <c r="B96581"/>
      <c r="C96581"/>
      <c r="E96581"/>
      <c r="F96581"/>
    </row>
    <row r="96582" spans="1:6" x14ac:dyDescent="0.25">
      <c r="A96582"/>
      <c r="B96582"/>
      <c r="C96582"/>
      <c r="E96582"/>
      <c r="F96582"/>
    </row>
    <row r="96583" spans="1:6" x14ac:dyDescent="0.25">
      <c r="A96583"/>
      <c r="B96583"/>
      <c r="C96583"/>
      <c r="E96583"/>
      <c r="F96583"/>
    </row>
    <row r="96584" spans="1:6" x14ac:dyDescent="0.25">
      <c r="A96584"/>
      <c r="B96584"/>
      <c r="C96584"/>
      <c r="E96584"/>
      <c r="F96584"/>
    </row>
    <row r="96585" spans="1:6" x14ac:dyDescent="0.25">
      <c r="A96585"/>
      <c r="B96585"/>
      <c r="C96585"/>
      <c r="E96585"/>
      <c r="F96585"/>
    </row>
    <row r="96586" spans="1:6" x14ac:dyDescent="0.25">
      <c r="A96586"/>
      <c r="B96586"/>
      <c r="C96586"/>
      <c r="E96586"/>
      <c r="F96586"/>
    </row>
    <row r="96587" spans="1:6" x14ac:dyDescent="0.25">
      <c r="A96587"/>
      <c r="B96587"/>
      <c r="C96587"/>
      <c r="E96587"/>
      <c r="F96587"/>
    </row>
    <row r="96588" spans="1:6" x14ac:dyDescent="0.25">
      <c r="A96588"/>
      <c r="B96588"/>
      <c r="C96588"/>
      <c r="E96588"/>
      <c r="F96588"/>
    </row>
    <row r="96589" spans="1:6" x14ac:dyDescent="0.25">
      <c r="A96589"/>
      <c r="B96589"/>
      <c r="C96589"/>
      <c r="E96589"/>
      <c r="F96589"/>
    </row>
    <row r="96590" spans="1:6" x14ac:dyDescent="0.25">
      <c r="A96590"/>
      <c r="B96590"/>
      <c r="C96590"/>
      <c r="E96590"/>
      <c r="F96590"/>
    </row>
    <row r="96591" spans="1:6" x14ac:dyDescent="0.25">
      <c r="A96591"/>
      <c r="B96591"/>
      <c r="C96591"/>
      <c r="E96591"/>
      <c r="F96591"/>
    </row>
    <row r="96592" spans="1:6" x14ac:dyDescent="0.25">
      <c r="A96592"/>
      <c r="B96592"/>
      <c r="C96592"/>
      <c r="E96592"/>
      <c r="F96592"/>
    </row>
    <row r="96593" spans="1:6" x14ac:dyDescent="0.25">
      <c r="A96593"/>
      <c r="B96593"/>
      <c r="C96593"/>
      <c r="E96593"/>
      <c r="F96593"/>
    </row>
    <row r="96594" spans="1:6" x14ac:dyDescent="0.25">
      <c r="A96594"/>
      <c r="B96594"/>
      <c r="C96594"/>
      <c r="E96594"/>
      <c r="F96594"/>
    </row>
    <row r="96595" spans="1:6" x14ac:dyDescent="0.25">
      <c r="A96595"/>
      <c r="B96595"/>
      <c r="C96595"/>
      <c r="E96595"/>
      <c r="F96595"/>
    </row>
    <row r="96596" spans="1:6" x14ac:dyDescent="0.25">
      <c r="A96596"/>
      <c r="B96596"/>
      <c r="C96596"/>
      <c r="E96596"/>
      <c r="F96596"/>
    </row>
    <row r="96597" spans="1:6" x14ac:dyDescent="0.25">
      <c r="A96597"/>
      <c r="B96597"/>
      <c r="C96597"/>
      <c r="E96597"/>
      <c r="F96597"/>
    </row>
    <row r="96598" spans="1:6" x14ac:dyDescent="0.25">
      <c r="A96598"/>
      <c r="B96598"/>
      <c r="C96598"/>
      <c r="E96598"/>
      <c r="F96598"/>
    </row>
    <row r="96599" spans="1:6" x14ac:dyDescent="0.25">
      <c r="A96599"/>
      <c r="B96599"/>
      <c r="C96599"/>
      <c r="E96599"/>
      <c r="F96599"/>
    </row>
    <row r="96600" spans="1:6" x14ac:dyDescent="0.25">
      <c r="A96600"/>
      <c r="B96600"/>
      <c r="C96600"/>
      <c r="E96600"/>
      <c r="F96600"/>
    </row>
    <row r="96601" spans="1:6" x14ac:dyDescent="0.25">
      <c r="A96601"/>
      <c r="B96601"/>
      <c r="C96601"/>
      <c r="E96601"/>
      <c r="F96601"/>
    </row>
    <row r="96602" spans="1:6" x14ac:dyDescent="0.25">
      <c r="A96602"/>
      <c r="B96602"/>
      <c r="C96602"/>
      <c r="E96602"/>
      <c r="F96602"/>
    </row>
    <row r="96603" spans="1:6" x14ac:dyDescent="0.25">
      <c r="A96603"/>
      <c r="B96603"/>
      <c r="C96603"/>
      <c r="E96603"/>
      <c r="F96603"/>
    </row>
    <row r="96604" spans="1:6" x14ac:dyDescent="0.25">
      <c r="A96604"/>
      <c r="B96604"/>
      <c r="C96604"/>
      <c r="E96604"/>
      <c r="F96604"/>
    </row>
    <row r="96605" spans="1:6" x14ac:dyDescent="0.25">
      <c r="A96605"/>
      <c r="B96605"/>
      <c r="C96605"/>
      <c r="E96605"/>
      <c r="F96605"/>
    </row>
    <row r="96606" spans="1:6" x14ac:dyDescent="0.25">
      <c r="A96606"/>
      <c r="B96606"/>
      <c r="C96606"/>
      <c r="E96606"/>
      <c r="F96606"/>
    </row>
    <row r="96607" spans="1:6" x14ac:dyDescent="0.25">
      <c r="A96607"/>
      <c r="B96607"/>
      <c r="C96607"/>
      <c r="E96607"/>
      <c r="F96607"/>
    </row>
    <row r="96608" spans="1:6" x14ac:dyDescent="0.25">
      <c r="A96608"/>
      <c r="B96608"/>
      <c r="C96608"/>
      <c r="E96608"/>
      <c r="F96608"/>
    </row>
    <row r="96609" spans="1:6" x14ac:dyDescent="0.25">
      <c r="A96609"/>
      <c r="B96609"/>
      <c r="C96609"/>
      <c r="E96609"/>
      <c r="F96609"/>
    </row>
    <row r="96610" spans="1:6" x14ac:dyDescent="0.25">
      <c r="A96610"/>
      <c r="B96610"/>
      <c r="C96610"/>
      <c r="E96610"/>
      <c r="F96610"/>
    </row>
    <row r="96611" spans="1:6" x14ac:dyDescent="0.25">
      <c r="A96611"/>
      <c r="B96611"/>
      <c r="C96611"/>
      <c r="E96611"/>
      <c r="F96611"/>
    </row>
    <row r="96612" spans="1:6" x14ac:dyDescent="0.25">
      <c r="A96612"/>
      <c r="B96612"/>
      <c r="C96612"/>
      <c r="E96612"/>
      <c r="F96612"/>
    </row>
    <row r="96613" spans="1:6" x14ac:dyDescent="0.25">
      <c r="A96613"/>
      <c r="B96613"/>
      <c r="C96613"/>
      <c r="E96613"/>
      <c r="F96613"/>
    </row>
    <row r="96614" spans="1:6" x14ac:dyDescent="0.25">
      <c r="A96614"/>
      <c r="B96614"/>
      <c r="C96614"/>
      <c r="E96614"/>
      <c r="F96614"/>
    </row>
    <row r="96615" spans="1:6" x14ac:dyDescent="0.25">
      <c r="A96615"/>
      <c r="B96615"/>
      <c r="C96615"/>
      <c r="E96615"/>
      <c r="F96615"/>
    </row>
    <row r="96616" spans="1:6" x14ac:dyDescent="0.25">
      <c r="A96616"/>
      <c r="B96616"/>
      <c r="C96616"/>
      <c r="E96616"/>
      <c r="F96616"/>
    </row>
    <row r="96617" spans="1:6" x14ac:dyDescent="0.25">
      <c r="A96617"/>
      <c r="B96617"/>
      <c r="C96617"/>
      <c r="E96617"/>
      <c r="F96617"/>
    </row>
    <row r="96618" spans="1:6" x14ac:dyDescent="0.25">
      <c r="A96618"/>
      <c r="B96618"/>
      <c r="C96618"/>
      <c r="E96618"/>
      <c r="F96618"/>
    </row>
    <row r="96619" spans="1:6" x14ac:dyDescent="0.25">
      <c r="A96619"/>
      <c r="B96619"/>
      <c r="C96619"/>
      <c r="E96619"/>
      <c r="F96619"/>
    </row>
    <row r="96620" spans="1:6" x14ac:dyDescent="0.25">
      <c r="A96620"/>
      <c r="B96620"/>
      <c r="C96620"/>
      <c r="E96620"/>
      <c r="F96620"/>
    </row>
    <row r="96621" spans="1:6" x14ac:dyDescent="0.25">
      <c r="A96621"/>
      <c r="B96621"/>
      <c r="C96621"/>
      <c r="E96621"/>
      <c r="F96621"/>
    </row>
    <row r="96622" spans="1:6" x14ac:dyDescent="0.25">
      <c r="A96622"/>
      <c r="B96622"/>
      <c r="C96622"/>
      <c r="E96622"/>
      <c r="F96622"/>
    </row>
    <row r="96623" spans="1:6" x14ac:dyDescent="0.25">
      <c r="A96623"/>
      <c r="B96623"/>
      <c r="C96623"/>
      <c r="E96623"/>
      <c r="F96623"/>
    </row>
    <row r="96624" spans="1:6" x14ac:dyDescent="0.25">
      <c r="A96624"/>
      <c r="B96624"/>
      <c r="C96624"/>
      <c r="E96624"/>
      <c r="F96624"/>
    </row>
    <row r="96625" spans="1:6" x14ac:dyDescent="0.25">
      <c r="A96625"/>
      <c r="B96625"/>
      <c r="C96625"/>
      <c r="E96625"/>
      <c r="F96625"/>
    </row>
    <row r="96626" spans="1:6" x14ac:dyDescent="0.25">
      <c r="A96626"/>
      <c r="B96626"/>
      <c r="C96626"/>
      <c r="E96626"/>
      <c r="F96626"/>
    </row>
    <row r="96627" spans="1:6" x14ac:dyDescent="0.25">
      <c r="A96627"/>
      <c r="B96627"/>
      <c r="C96627"/>
      <c r="E96627"/>
      <c r="F96627"/>
    </row>
    <row r="96628" spans="1:6" x14ac:dyDescent="0.25">
      <c r="A96628"/>
      <c r="B96628"/>
      <c r="C96628"/>
      <c r="E96628"/>
      <c r="F96628"/>
    </row>
    <row r="96629" spans="1:6" x14ac:dyDescent="0.25">
      <c r="A96629"/>
      <c r="B96629"/>
      <c r="C96629"/>
      <c r="E96629"/>
      <c r="F96629"/>
    </row>
    <row r="96630" spans="1:6" x14ac:dyDescent="0.25">
      <c r="A96630"/>
      <c r="B96630"/>
      <c r="C96630"/>
      <c r="E96630"/>
      <c r="F96630"/>
    </row>
    <row r="96631" spans="1:6" x14ac:dyDescent="0.25">
      <c r="A96631"/>
      <c r="B96631"/>
      <c r="C96631"/>
      <c r="E96631"/>
      <c r="F96631"/>
    </row>
    <row r="96632" spans="1:6" x14ac:dyDescent="0.25">
      <c r="A96632"/>
      <c r="B96632"/>
      <c r="C96632"/>
      <c r="E96632"/>
      <c r="F96632"/>
    </row>
    <row r="96633" spans="1:6" x14ac:dyDescent="0.25">
      <c r="A96633"/>
      <c r="B96633"/>
      <c r="C96633"/>
      <c r="E96633"/>
      <c r="F96633"/>
    </row>
    <row r="96634" spans="1:6" x14ac:dyDescent="0.25">
      <c r="A96634"/>
      <c r="B96634"/>
      <c r="C96634"/>
      <c r="E96634"/>
      <c r="F96634"/>
    </row>
    <row r="96635" spans="1:6" x14ac:dyDescent="0.25">
      <c r="A96635"/>
      <c r="B96635"/>
      <c r="C96635"/>
      <c r="E96635"/>
      <c r="F96635"/>
    </row>
    <row r="96636" spans="1:6" x14ac:dyDescent="0.25">
      <c r="A96636"/>
      <c r="B96636"/>
      <c r="C96636"/>
      <c r="E96636"/>
      <c r="F96636"/>
    </row>
    <row r="96637" spans="1:6" x14ac:dyDescent="0.25">
      <c r="A96637"/>
      <c r="B96637"/>
      <c r="C96637"/>
      <c r="E96637"/>
      <c r="F96637"/>
    </row>
    <row r="96638" spans="1:6" x14ac:dyDescent="0.25">
      <c r="A96638"/>
      <c r="B96638"/>
      <c r="C96638"/>
      <c r="E96638"/>
      <c r="F96638"/>
    </row>
    <row r="96639" spans="1:6" x14ac:dyDescent="0.25">
      <c r="A96639"/>
      <c r="B96639"/>
      <c r="C96639"/>
      <c r="E96639"/>
      <c r="F96639"/>
    </row>
    <row r="96640" spans="1:6" x14ac:dyDescent="0.25">
      <c r="A96640"/>
      <c r="B96640"/>
      <c r="C96640"/>
      <c r="E96640"/>
      <c r="F96640"/>
    </row>
    <row r="96641" spans="1:6" x14ac:dyDescent="0.25">
      <c r="A96641"/>
      <c r="B96641"/>
      <c r="C96641"/>
      <c r="E96641"/>
      <c r="F96641"/>
    </row>
    <row r="96642" spans="1:6" x14ac:dyDescent="0.25">
      <c r="A96642"/>
      <c r="B96642"/>
      <c r="C96642"/>
      <c r="E96642"/>
      <c r="F96642"/>
    </row>
    <row r="96643" spans="1:6" x14ac:dyDescent="0.25">
      <c r="A96643"/>
      <c r="B96643"/>
      <c r="C96643"/>
      <c r="E96643"/>
      <c r="F96643"/>
    </row>
    <row r="96644" spans="1:6" x14ac:dyDescent="0.25">
      <c r="A96644"/>
      <c r="B96644"/>
      <c r="C96644"/>
      <c r="E96644"/>
      <c r="F96644"/>
    </row>
    <row r="96645" spans="1:6" x14ac:dyDescent="0.25">
      <c r="A96645"/>
      <c r="B96645"/>
      <c r="C96645"/>
      <c r="E96645"/>
      <c r="F96645"/>
    </row>
    <row r="96646" spans="1:6" x14ac:dyDescent="0.25">
      <c r="A96646"/>
      <c r="B96646"/>
      <c r="C96646"/>
      <c r="E96646"/>
      <c r="F96646"/>
    </row>
    <row r="96647" spans="1:6" x14ac:dyDescent="0.25">
      <c r="A96647"/>
      <c r="B96647"/>
      <c r="C96647"/>
      <c r="E96647"/>
      <c r="F96647"/>
    </row>
    <row r="96648" spans="1:6" x14ac:dyDescent="0.25">
      <c r="A96648"/>
      <c r="B96648"/>
      <c r="C96648"/>
      <c r="E96648"/>
      <c r="F96648"/>
    </row>
    <row r="96649" spans="1:6" x14ac:dyDescent="0.25">
      <c r="A96649"/>
      <c r="B96649"/>
      <c r="C96649"/>
      <c r="E96649"/>
      <c r="F96649"/>
    </row>
    <row r="96650" spans="1:6" x14ac:dyDescent="0.25">
      <c r="A96650"/>
      <c r="B96650"/>
      <c r="C96650"/>
      <c r="E96650"/>
      <c r="F96650"/>
    </row>
    <row r="96651" spans="1:6" x14ac:dyDescent="0.25">
      <c r="A96651"/>
      <c r="B96651"/>
      <c r="C96651"/>
      <c r="E96651"/>
      <c r="F96651"/>
    </row>
    <row r="96652" spans="1:6" x14ac:dyDescent="0.25">
      <c r="A96652"/>
      <c r="B96652"/>
      <c r="C96652"/>
      <c r="E96652"/>
      <c r="F96652"/>
    </row>
    <row r="96653" spans="1:6" x14ac:dyDescent="0.25">
      <c r="A96653"/>
      <c r="B96653"/>
      <c r="C96653"/>
      <c r="E96653"/>
      <c r="F96653"/>
    </row>
    <row r="96654" spans="1:6" x14ac:dyDescent="0.25">
      <c r="A96654"/>
      <c r="B96654"/>
      <c r="C96654"/>
      <c r="E96654"/>
      <c r="F96654"/>
    </row>
    <row r="96655" spans="1:6" x14ac:dyDescent="0.25">
      <c r="A96655"/>
      <c r="B96655"/>
      <c r="C96655"/>
      <c r="E96655"/>
      <c r="F96655"/>
    </row>
    <row r="96656" spans="1:6" x14ac:dyDescent="0.25">
      <c r="A96656"/>
      <c r="B96656"/>
      <c r="C96656"/>
      <c r="E96656"/>
      <c r="F96656"/>
    </row>
    <row r="96657" spans="1:6" x14ac:dyDescent="0.25">
      <c r="A96657"/>
      <c r="B96657"/>
      <c r="C96657"/>
      <c r="E96657"/>
      <c r="F96657"/>
    </row>
    <row r="96658" spans="1:6" x14ac:dyDescent="0.25">
      <c r="A96658"/>
      <c r="B96658"/>
      <c r="C96658"/>
      <c r="E96658"/>
      <c r="F96658"/>
    </row>
    <row r="96659" spans="1:6" x14ac:dyDescent="0.25">
      <c r="A96659"/>
      <c r="B96659"/>
      <c r="C96659"/>
      <c r="E96659"/>
      <c r="F96659"/>
    </row>
    <row r="96660" spans="1:6" x14ac:dyDescent="0.25">
      <c r="A96660"/>
      <c r="B96660"/>
      <c r="C96660"/>
      <c r="E96660"/>
      <c r="F96660"/>
    </row>
    <row r="96661" spans="1:6" x14ac:dyDescent="0.25">
      <c r="A96661"/>
      <c r="B96661"/>
      <c r="C96661"/>
      <c r="E96661"/>
      <c r="F96661"/>
    </row>
    <row r="96662" spans="1:6" x14ac:dyDescent="0.25">
      <c r="A96662"/>
      <c r="B96662"/>
      <c r="C96662"/>
      <c r="E96662"/>
      <c r="F96662"/>
    </row>
    <row r="96663" spans="1:6" x14ac:dyDescent="0.25">
      <c r="A96663"/>
      <c r="B96663"/>
      <c r="C96663"/>
      <c r="E96663"/>
      <c r="F96663"/>
    </row>
    <row r="96664" spans="1:6" x14ac:dyDescent="0.25">
      <c r="A96664"/>
      <c r="B96664"/>
      <c r="C96664"/>
      <c r="E96664"/>
      <c r="F96664"/>
    </row>
    <row r="96665" spans="1:6" x14ac:dyDescent="0.25">
      <c r="A96665"/>
      <c r="B96665"/>
      <c r="C96665"/>
      <c r="E96665"/>
      <c r="F96665"/>
    </row>
    <row r="96666" spans="1:6" x14ac:dyDescent="0.25">
      <c r="A96666"/>
      <c r="B96666"/>
      <c r="C96666"/>
      <c r="E96666"/>
      <c r="F96666"/>
    </row>
    <row r="96667" spans="1:6" x14ac:dyDescent="0.25">
      <c r="A96667"/>
      <c r="B96667"/>
      <c r="C96667"/>
      <c r="E96667"/>
      <c r="F96667"/>
    </row>
    <row r="96668" spans="1:6" x14ac:dyDescent="0.25">
      <c r="A96668"/>
      <c r="B96668"/>
      <c r="C96668"/>
      <c r="E96668"/>
      <c r="F96668"/>
    </row>
    <row r="96669" spans="1:6" x14ac:dyDescent="0.25">
      <c r="A96669"/>
      <c r="B96669"/>
      <c r="C96669"/>
      <c r="E96669"/>
      <c r="F96669"/>
    </row>
    <row r="96670" spans="1:6" x14ac:dyDescent="0.25">
      <c r="A96670"/>
      <c r="B96670"/>
      <c r="C96670"/>
      <c r="E96670"/>
      <c r="F96670"/>
    </row>
    <row r="96671" spans="1:6" x14ac:dyDescent="0.25">
      <c r="A96671"/>
      <c r="B96671"/>
      <c r="C96671"/>
      <c r="E96671"/>
      <c r="F96671"/>
    </row>
    <row r="96672" spans="1:6" x14ac:dyDescent="0.25">
      <c r="A96672"/>
      <c r="B96672"/>
      <c r="C96672"/>
      <c r="E96672"/>
      <c r="F96672"/>
    </row>
    <row r="96673" spans="1:6" x14ac:dyDescent="0.25">
      <c r="A96673"/>
      <c r="B96673"/>
      <c r="C96673"/>
      <c r="E96673"/>
      <c r="F96673"/>
    </row>
    <row r="96674" spans="1:6" x14ac:dyDescent="0.25">
      <c r="A96674"/>
      <c r="B96674"/>
      <c r="C96674"/>
      <c r="E96674"/>
      <c r="F96674"/>
    </row>
    <row r="96675" spans="1:6" x14ac:dyDescent="0.25">
      <c r="A96675"/>
      <c r="B96675"/>
      <c r="C96675"/>
      <c r="E96675"/>
      <c r="F96675"/>
    </row>
    <row r="96676" spans="1:6" x14ac:dyDescent="0.25">
      <c r="A96676"/>
      <c r="B96676"/>
      <c r="C96676"/>
      <c r="E96676"/>
      <c r="F96676"/>
    </row>
    <row r="96677" spans="1:6" x14ac:dyDescent="0.25">
      <c r="A96677"/>
      <c r="B96677"/>
      <c r="C96677"/>
      <c r="E96677"/>
      <c r="F96677"/>
    </row>
    <row r="96678" spans="1:6" x14ac:dyDescent="0.25">
      <c r="A96678"/>
      <c r="B96678"/>
      <c r="C96678"/>
      <c r="E96678"/>
      <c r="F96678"/>
    </row>
    <row r="96679" spans="1:6" x14ac:dyDescent="0.25">
      <c r="A96679"/>
      <c r="B96679"/>
      <c r="C96679"/>
      <c r="E96679"/>
      <c r="F96679"/>
    </row>
    <row r="96680" spans="1:6" x14ac:dyDescent="0.25">
      <c r="A96680"/>
      <c r="B96680"/>
      <c r="C96680"/>
      <c r="E96680"/>
      <c r="F96680"/>
    </row>
    <row r="96681" spans="1:6" x14ac:dyDescent="0.25">
      <c r="A96681"/>
      <c r="B96681"/>
      <c r="C96681"/>
      <c r="E96681"/>
      <c r="F96681"/>
    </row>
    <row r="96682" spans="1:6" x14ac:dyDescent="0.25">
      <c r="A96682"/>
      <c r="B96682"/>
      <c r="C96682"/>
      <c r="E96682"/>
      <c r="F96682"/>
    </row>
    <row r="96683" spans="1:6" x14ac:dyDescent="0.25">
      <c r="A96683"/>
      <c r="B96683"/>
      <c r="C96683"/>
      <c r="E96683"/>
      <c r="F96683"/>
    </row>
    <row r="96684" spans="1:6" x14ac:dyDescent="0.25">
      <c r="A96684"/>
      <c r="B96684"/>
      <c r="C96684"/>
      <c r="E96684"/>
      <c r="F96684"/>
    </row>
    <row r="96685" spans="1:6" x14ac:dyDescent="0.25">
      <c r="A96685"/>
      <c r="B96685"/>
      <c r="C96685"/>
      <c r="E96685"/>
      <c r="F96685"/>
    </row>
    <row r="96686" spans="1:6" x14ac:dyDescent="0.25">
      <c r="A96686"/>
      <c r="B96686"/>
      <c r="C96686"/>
      <c r="E96686"/>
      <c r="F96686"/>
    </row>
    <row r="96687" spans="1:6" x14ac:dyDescent="0.25">
      <c r="A96687"/>
      <c r="B96687"/>
      <c r="C96687"/>
      <c r="E96687"/>
      <c r="F96687"/>
    </row>
    <row r="96688" spans="1:6" x14ac:dyDescent="0.25">
      <c r="A96688"/>
      <c r="B96688"/>
      <c r="C96688"/>
      <c r="E96688"/>
      <c r="F96688"/>
    </row>
    <row r="96689" spans="1:6" x14ac:dyDescent="0.25">
      <c r="A96689"/>
      <c r="B96689"/>
      <c r="C96689"/>
      <c r="E96689"/>
      <c r="F96689"/>
    </row>
    <row r="96690" spans="1:6" x14ac:dyDescent="0.25">
      <c r="A96690"/>
      <c r="B96690"/>
      <c r="C96690"/>
      <c r="E96690"/>
      <c r="F96690"/>
    </row>
    <row r="96691" spans="1:6" x14ac:dyDescent="0.25">
      <c r="A96691"/>
      <c r="B96691"/>
      <c r="C96691"/>
      <c r="E96691"/>
      <c r="F96691"/>
    </row>
    <row r="96692" spans="1:6" x14ac:dyDescent="0.25">
      <c r="A96692"/>
      <c r="B96692"/>
      <c r="C96692"/>
      <c r="E96692"/>
      <c r="F96692"/>
    </row>
    <row r="96693" spans="1:6" x14ac:dyDescent="0.25">
      <c r="A96693"/>
      <c r="B96693"/>
      <c r="C96693"/>
      <c r="E96693"/>
      <c r="F96693"/>
    </row>
    <row r="96694" spans="1:6" x14ac:dyDescent="0.25">
      <c r="A96694"/>
      <c r="B96694"/>
      <c r="C96694"/>
      <c r="E96694"/>
      <c r="F96694"/>
    </row>
    <row r="96695" spans="1:6" x14ac:dyDescent="0.25">
      <c r="A96695"/>
      <c r="B96695"/>
      <c r="C96695"/>
      <c r="E96695"/>
      <c r="F96695"/>
    </row>
    <row r="96696" spans="1:6" x14ac:dyDescent="0.25">
      <c r="A96696"/>
      <c r="B96696"/>
      <c r="C96696"/>
      <c r="E96696"/>
      <c r="F96696"/>
    </row>
    <row r="96697" spans="1:6" x14ac:dyDescent="0.25">
      <c r="A96697"/>
      <c r="B96697"/>
      <c r="C96697"/>
      <c r="E96697"/>
      <c r="F96697"/>
    </row>
    <row r="96698" spans="1:6" x14ac:dyDescent="0.25">
      <c r="A96698"/>
      <c r="B96698"/>
      <c r="C96698"/>
      <c r="E96698"/>
      <c r="F96698"/>
    </row>
    <row r="96699" spans="1:6" x14ac:dyDescent="0.25">
      <c r="A96699"/>
      <c r="B96699"/>
      <c r="C96699"/>
      <c r="E96699"/>
      <c r="F96699"/>
    </row>
    <row r="96700" spans="1:6" x14ac:dyDescent="0.25">
      <c r="A96700"/>
      <c r="B96700"/>
      <c r="C96700"/>
      <c r="E96700"/>
      <c r="F96700"/>
    </row>
    <row r="96701" spans="1:6" x14ac:dyDescent="0.25">
      <c r="A96701"/>
      <c r="B96701"/>
      <c r="C96701"/>
      <c r="E96701"/>
      <c r="F96701"/>
    </row>
    <row r="96702" spans="1:6" x14ac:dyDescent="0.25">
      <c r="A96702"/>
      <c r="B96702"/>
      <c r="C96702"/>
      <c r="E96702"/>
      <c r="F96702"/>
    </row>
    <row r="96703" spans="1:6" x14ac:dyDescent="0.25">
      <c r="A96703"/>
      <c r="B96703"/>
      <c r="C96703"/>
      <c r="E96703"/>
      <c r="F96703"/>
    </row>
    <row r="96704" spans="1:6" x14ac:dyDescent="0.25">
      <c r="A96704"/>
      <c r="B96704"/>
      <c r="C96704"/>
      <c r="E96704"/>
      <c r="F96704"/>
    </row>
    <row r="96705" spans="1:6" x14ac:dyDescent="0.25">
      <c r="A96705"/>
      <c r="B96705"/>
      <c r="C96705"/>
      <c r="E96705"/>
      <c r="F96705"/>
    </row>
    <row r="96706" spans="1:6" x14ac:dyDescent="0.25">
      <c r="A96706"/>
      <c r="B96706"/>
      <c r="C96706"/>
      <c r="E96706"/>
      <c r="F96706"/>
    </row>
    <row r="96707" spans="1:6" x14ac:dyDescent="0.25">
      <c r="A96707"/>
      <c r="B96707"/>
      <c r="C96707"/>
      <c r="E96707"/>
      <c r="F96707"/>
    </row>
    <row r="96708" spans="1:6" x14ac:dyDescent="0.25">
      <c r="A96708"/>
      <c r="B96708"/>
      <c r="C96708"/>
      <c r="E96708"/>
      <c r="F96708"/>
    </row>
    <row r="96709" spans="1:6" x14ac:dyDescent="0.25">
      <c r="A96709"/>
      <c r="B96709"/>
      <c r="C96709"/>
      <c r="E96709"/>
      <c r="F96709"/>
    </row>
    <row r="96710" spans="1:6" x14ac:dyDescent="0.25">
      <c r="A96710"/>
      <c r="B96710"/>
      <c r="C96710"/>
      <c r="E96710"/>
      <c r="F96710"/>
    </row>
    <row r="96711" spans="1:6" x14ac:dyDescent="0.25">
      <c r="A96711"/>
      <c r="B96711"/>
      <c r="C96711"/>
      <c r="E96711"/>
      <c r="F96711"/>
    </row>
    <row r="96712" spans="1:6" x14ac:dyDescent="0.25">
      <c r="A96712"/>
      <c r="B96712"/>
      <c r="C96712"/>
      <c r="E96712"/>
      <c r="F96712"/>
    </row>
    <row r="96713" spans="1:6" x14ac:dyDescent="0.25">
      <c r="A96713"/>
      <c r="B96713"/>
      <c r="C96713"/>
      <c r="E96713"/>
      <c r="F96713"/>
    </row>
    <row r="96714" spans="1:6" x14ac:dyDescent="0.25">
      <c r="A96714"/>
      <c r="B96714"/>
      <c r="C96714"/>
      <c r="E96714"/>
      <c r="F96714"/>
    </row>
    <row r="96715" spans="1:6" x14ac:dyDescent="0.25">
      <c r="A96715"/>
      <c r="B96715"/>
      <c r="C96715"/>
      <c r="E96715"/>
      <c r="F96715"/>
    </row>
    <row r="96716" spans="1:6" x14ac:dyDescent="0.25">
      <c r="A96716"/>
      <c r="B96716"/>
      <c r="C96716"/>
      <c r="E96716"/>
      <c r="F96716"/>
    </row>
    <row r="96717" spans="1:6" x14ac:dyDescent="0.25">
      <c r="A96717"/>
      <c r="B96717"/>
      <c r="C96717"/>
      <c r="E96717"/>
      <c r="F96717"/>
    </row>
    <row r="96718" spans="1:6" x14ac:dyDescent="0.25">
      <c r="A96718"/>
      <c r="B96718"/>
      <c r="C96718"/>
      <c r="E96718"/>
      <c r="F96718"/>
    </row>
    <row r="96719" spans="1:6" x14ac:dyDescent="0.25">
      <c r="A96719"/>
      <c r="B96719"/>
      <c r="C96719"/>
      <c r="E96719"/>
      <c r="F96719"/>
    </row>
    <row r="96720" spans="1:6" x14ac:dyDescent="0.25">
      <c r="A96720"/>
      <c r="B96720"/>
      <c r="C96720"/>
      <c r="E96720"/>
      <c r="F96720"/>
    </row>
    <row r="96721" spans="1:6" x14ac:dyDescent="0.25">
      <c r="A96721"/>
      <c r="B96721"/>
      <c r="C96721"/>
      <c r="E96721"/>
      <c r="F96721"/>
    </row>
    <row r="96722" spans="1:6" x14ac:dyDescent="0.25">
      <c r="A96722"/>
      <c r="B96722"/>
      <c r="C96722"/>
      <c r="E96722"/>
      <c r="F96722"/>
    </row>
    <row r="96723" spans="1:6" x14ac:dyDescent="0.25">
      <c r="A96723"/>
      <c r="B96723"/>
      <c r="C96723"/>
      <c r="E96723"/>
      <c r="F96723"/>
    </row>
    <row r="96724" spans="1:6" x14ac:dyDescent="0.25">
      <c r="A96724"/>
      <c r="B96724"/>
      <c r="C96724"/>
      <c r="E96724"/>
      <c r="F96724"/>
    </row>
    <row r="96725" spans="1:6" x14ac:dyDescent="0.25">
      <c r="A96725"/>
      <c r="B96725"/>
      <c r="C96725"/>
      <c r="E96725"/>
      <c r="F96725"/>
    </row>
    <row r="96726" spans="1:6" x14ac:dyDescent="0.25">
      <c r="A96726"/>
      <c r="B96726"/>
      <c r="C96726"/>
      <c r="E96726"/>
      <c r="F96726"/>
    </row>
    <row r="96727" spans="1:6" x14ac:dyDescent="0.25">
      <c r="A96727"/>
      <c r="B96727"/>
      <c r="C96727"/>
      <c r="E96727"/>
      <c r="F96727"/>
    </row>
    <row r="96728" spans="1:6" x14ac:dyDescent="0.25">
      <c r="A96728"/>
      <c r="B96728"/>
      <c r="C96728"/>
      <c r="E96728"/>
      <c r="F96728"/>
    </row>
    <row r="96729" spans="1:6" x14ac:dyDescent="0.25">
      <c r="A96729"/>
      <c r="B96729"/>
      <c r="C96729"/>
      <c r="E96729"/>
      <c r="F96729"/>
    </row>
    <row r="96730" spans="1:6" x14ac:dyDescent="0.25">
      <c r="A96730"/>
      <c r="B96730"/>
      <c r="C96730"/>
      <c r="E96730"/>
      <c r="F96730"/>
    </row>
    <row r="96731" spans="1:6" x14ac:dyDescent="0.25">
      <c r="A96731"/>
      <c r="B96731"/>
      <c r="C96731"/>
      <c r="E96731"/>
      <c r="F96731"/>
    </row>
    <row r="96732" spans="1:6" x14ac:dyDescent="0.25">
      <c r="A96732"/>
      <c r="B96732"/>
      <c r="C96732"/>
      <c r="E96732"/>
      <c r="F96732"/>
    </row>
    <row r="96733" spans="1:6" x14ac:dyDescent="0.25">
      <c r="A96733"/>
      <c r="B96733"/>
      <c r="C96733"/>
      <c r="E96733"/>
      <c r="F96733"/>
    </row>
    <row r="96734" spans="1:6" x14ac:dyDescent="0.25">
      <c r="A96734"/>
      <c r="B96734"/>
      <c r="C96734"/>
      <c r="E96734"/>
      <c r="F96734"/>
    </row>
    <row r="96735" spans="1:6" x14ac:dyDescent="0.25">
      <c r="A96735"/>
      <c r="B96735"/>
      <c r="C96735"/>
      <c r="E96735"/>
      <c r="F96735"/>
    </row>
    <row r="96736" spans="1:6" x14ac:dyDescent="0.25">
      <c r="A96736"/>
      <c r="B96736"/>
      <c r="C96736"/>
      <c r="E96736"/>
      <c r="F96736"/>
    </row>
    <row r="96737" spans="1:6" x14ac:dyDescent="0.25">
      <c r="A96737"/>
      <c r="B96737"/>
      <c r="C96737"/>
      <c r="E96737"/>
      <c r="F96737"/>
    </row>
    <row r="96738" spans="1:6" x14ac:dyDescent="0.25">
      <c r="A96738"/>
      <c r="B96738"/>
      <c r="C96738"/>
      <c r="E96738"/>
      <c r="F96738"/>
    </row>
    <row r="96739" spans="1:6" x14ac:dyDescent="0.25">
      <c r="A96739"/>
      <c r="B96739"/>
      <c r="C96739"/>
      <c r="E96739"/>
      <c r="F96739"/>
    </row>
    <row r="96740" spans="1:6" x14ac:dyDescent="0.25">
      <c r="A96740"/>
      <c r="B96740"/>
      <c r="C96740"/>
      <c r="E96740"/>
      <c r="F96740"/>
    </row>
    <row r="96741" spans="1:6" x14ac:dyDescent="0.25">
      <c r="A96741"/>
      <c r="B96741"/>
      <c r="C96741"/>
      <c r="E96741"/>
      <c r="F96741"/>
    </row>
    <row r="96742" spans="1:6" x14ac:dyDescent="0.25">
      <c r="A96742"/>
      <c r="B96742"/>
      <c r="C96742"/>
      <c r="E96742"/>
      <c r="F96742"/>
    </row>
    <row r="96743" spans="1:6" x14ac:dyDescent="0.25">
      <c r="A96743"/>
      <c r="B96743"/>
      <c r="C96743"/>
      <c r="E96743"/>
      <c r="F96743"/>
    </row>
    <row r="96744" spans="1:6" x14ac:dyDescent="0.25">
      <c r="A96744"/>
      <c r="B96744"/>
      <c r="C96744"/>
      <c r="E96744"/>
      <c r="F96744"/>
    </row>
    <row r="96745" spans="1:6" x14ac:dyDescent="0.25">
      <c r="A96745"/>
      <c r="B96745"/>
      <c r="C96745"/>
      <c r="E96745"/>
      <c r="F96745"/>
    </row>
    <row r="96746" spans="1:6" x14ac:dyDescent="0.25">
      <c r="A96746"/>
      <c r="B96746"/>
      <c r="C96746"/>
      <c r="E96746"/>
      <c r="F96746"/>
    </row>
    <row r="96747" spans="1:6" x14ac:dyDescent="0.25">
      <c r="A96747"/>
      <c r="B96747"/>
      <c r="C96747"/>
      <c r="E96747"/>
      <c r="F96747"/>
    </row>
    <row r="96748" spans="1:6" x14ac:dyDescent="0.25">
      <c r="A96748"/>
      <c r="B96748"/>
      <c r="C96748"/>
      <c r="E96748"/>
      <c r="F96748"/>
    </row>
    <row r="96749" spans="1:6" x14ac:dyDescent="0.25">
      <c r="A96749"/>
      <c r="B96749"/>
      <c r="C96749"/>
      <c r="E96749"/>
      <c r="F96749"/>
    </row>
    <row r="96750" spans="1:6" x14ac:dyDescent="0.25">
      <c r="A96750"/>
      <c r="B96750"/>
      <c r="C96750"/>
      <c r="E96750"/>
      <c r="F96750"/>
    </row>
    <row r="96751" spans="1:6" x14ac:dyDescent="0.25">
      <c r="A96751"/>
      <c r="B96751"/>
      <c r="C96751"/>
      <c r="E96751"/>
      <c r="F96751"/>
    </row>
    <row r="96752" spans="1:6" x14ac:dyDescent="0.25">
      <c r="A96752"/>
      <c r="B96752"/>
      <c r="C96752"/>
      <c r="E96752"/>
      <c r="F96752"/>
    </row>
    <row r="96753" spans="1:6" x14ac:dyDescent="0.25">
      <c r="A96753"/>
      <c r="B96753"/>
      <c r="C96753"/>
      <c r="E96753"/>
      <c r="F96753"/>
    </row>
    <row r="96754" spans="1:6" x14ac:dyDescent="0.25">
      <c r="A96754"/>
      <c r="B96754"/>
      <c r="C96754"/>
      <c r="E96754"/>
      <c r="F96754"/>
    </row>
    <row r="96755" spans="1:6" x14ac:dyDescent="0.25">
      <c r="A96755"/>
      <c r="B96755"/>
      <c r="C96755"/>
      <c r="E96755"/>
      <c r="F96755"/>
    </row>
    <row r="96756" spans="1:6" x14ac:dyDescent="0.25">
      <c r="A96756"/>
      <c r="B96756"/>
      <c r="C96756"/>
      <c r="E96756"/>
      <c r="F96756"/>
    </row>
    <row r="96757" spans="1:6" x14ac:dyDescent="0.25">
      <c r="A96757"/>
      <c r="B96757"/>
      <c r="C96757"/>
      <c r="E96757"/>
      <c r="F96757"/>
    </row>
    <row r="96758" spans="1:6" x14ac:dyDescent="0.25">
      <c r="A96758"/>
      <c r="B96758"/>
      <c r="C96758"/>
      <c r="E96758"/>
      <c r="F96758"/>
    </row>
    <row r="96759" spans="1:6" x14ac:dyDescent="0.25">
      <c r="A96759"/>
      <c r="B96759"/>
      <c r="C96759"/>
      <c r="E96759"/>
      <c r="F96759"/>
    </row>
    <row r="96760" spans="1:6" x14ac:dyDescent="0.25">
      <c r="A96760"/>
      <c r="B96760"/>
      <c r="C96760"/>
      <c r="E96760"/>
      <c r="F96760"/>
    </row>
    <row r="96761" spans="1:6" x14ac:dyDescent="0.25">
      <c r="A96761"/>
      <c r="B96761"/>
      <c r="C96761"/>
      <c r="E96761"/>
      <c r="F96761"/>
    </row>
    <row r="96762" spans="1:6" x14ac:dyDescent="0.25">
      <c r="A96762"/>
      <c r="B96762"/>
      <c r="C96762"/>
      <c r="E96762"/>
      <c r="F96762"/>
    </row>
    <row r="96763" spans="1:6" x14ac:dyDescent="0.25">
      <c r="A96763"/>
      <c r="B96763"/>
      <c r="C96763"/>
      <c r="E96763"/>
      <c r="F96763"/>
    </row>
    <row r="96764" spans="1:6" x14ac:dyDescent="0.25">
      <c r="A96764"/>
      <c r="B96764"/>
      <c r="C96764"/>
      <c r="E96764"/>
      <c r="F96764"/>
    </row>
    <row r="96765" spans="1:6" x14ac:dyDescent="0.25">
      <c r="A96765"/>
      <c r="B96765"/>
      <c r="C96765"/>
      <c r="E96765"/>
      <c r="F96765"/>
    </row>
    <row r="96766" spans="1:6" x14ac:dyDescent="0.25">
      <c r="A96766"/>
      <c r="B96766"/>
      <c r="C96766"/>
      <c r="E96766"/>
      <c r="F96766"/>
    </row>
    <row r="96767" spans="1:6" x14ac:dyDescent="0.25">
      <c r="A96767"/>
      <c r="B96767"/>
      <c r="C96767"/>
      <c r="E96767"/>
      <c r="F96767"/>
    </row>
    <row r="96768" spans="1:6" x14ac:dyDescent="0.25">
      <c r="A96768"/>
      <c r="B96768"/>
      <c r="C96768"/>
      <c r="E96768"/>
      <c r="F96768"/>
    </row>
    <row r="96769" spans="1:6" x14ac:dyDescent="0.25">
      <c r="A96769"/>
      <c r="B96769"/>
      <c r="C96769"/>
      <c r="E96769"/>
      <c r="F96769"/>
    </row>
    <row r="96770" spans="1:6" x14ac:dyDescent="0.25">
      <c r="A96770"/>
      <c r="B96770"/>
      <c r="C96770"/>
      <c r="E96770"/>
      <c r="F96770"/>
    </row>
    <row r="96771" spans="1:6" x14ac:dyDescent="0.25">
      <c r="A96771"/>
      <c r="B96771"/>
      <c r="C96771"/>
      <c r="E96771"/>
      <c r="F96771"/>
    </row>
    <row r="96772" spans="1:6" x14ac:dyDescent="0.25">
      <c r="A96772"/>
      <c r="B96772"/>
      <c r="C96772"/>
      <c r="E96772"/>
      <c r="F96772"/>
    </row>
    <row r="96773" spans="1:6" x14ac:dyDescent="0.25">
      <c r="A96773"/>
      <c r="B96773"/>
      <c r="C96773"/>
      <c r="E96773"/>
      <c r="F96773"/>
    </row>
    <row r="96774" spans="1:6" x14ac:dyDescent="0.25">
      <c r="A96774"/>
      <c r="B96774"/>
      <c r="C96774"/>
      <c r="E96774"/>
      <c r="F96774"/>
    </row>
    <row r="96775" spans="1:6" x14ac:dyDescent="0.25">
      <c r="A96775"/>
      <c r="B96775"/>
      <c r="C96775"/>
      <c r="E96775"/>
      <c r="F96775"/>
    </row>
    <row r="96776" spans="1:6" x14ac:dyDescent="0.25">
      <c r="A96776"/>
      <c r="B96776"/>
      <c r="C96776"/>
      <c r="E96776"/>
      <c r="F96776"/>
    </row>
    <row r="96777" spans="1:6" x14ac:dyDescent="0.25">
      <c r="A96777"/>
      <c r="B96777"/>
      <c r="C96777"/>
      <c r="E96777"/>
      <c r="F96777"/>
    </row>
    <row r="96778" spans="1:6" x14ac:dyDescent="0.25">
      <c r="A96778"/>
      <c r="B96778"/>
      <c r="C96778"/>
      <c r="E96778"/>
      <c r="F96778"/>
    </row>
    <row r="96779" spans="1:6" x14ac:dyDescent="0.25">
      <c r="A96779"/>
      <c r="B96779"/>
      <c r="C96779"/>
      <c r="E96779"/>
      <c r="F96779"/>
    </row>
    <row r="96780" spans="1:6" x14ac:dyDescent="0.25">
      <c r="A96780"/>
      <c r="B96780"/>
      <c r="C96780"/>
      <c r="E96780"/>
      <c r="F96780"/>
    </row>
    <row r="96781" spans="1:6" x14ac:dyDescent="0.25">
      <c r="A96781"/>
      <c r="B96781"/>
      <c r="C96781"/>
      <c r="E96781"/>
      <c r="F96781"/>
    </row>
    <row r="96782" spans="1:6" x14ac:dyDescent="0.25">
      <c r="A96782"/>
      <c r="B96782"/>
      <c r="C96782"/>
      <c r="E96782"/>
      <c r="F96782"/>
    </row>
    <row r="96783" spans="1:6" x14ac:dyDescent="0.25">
      <c r="A96783"/>
      <c r="B96783"/>
      <c r="C96783"/>
      <c r="E96783"/>
      <c r="F96783"/>
    </row>
    <row r="96784" spans="1:6" x14ac:dyDescent="0.25">
      <c r="A96784"/>
      <c r="B96784"/>
      <c r="C96784"/>
      <c r="E96784"/>
      <c r="F96784"/>
    </row>
    <row r="96785" spans="1:6" x14ac:dyDescent="0.25">
      <c r="A96785"/>
      <c r="B96785"/>
      <c r="C96785"/>
      <c r="E96785"/>
      <c r="F96785"/>
    </row>
    <row r="96786" spans="1:6" x14ac:dyDescent="0.25">
      <c r="A96786"/>
      <c r="B96786"/>
      <c r="C96786"/>
      <c r="E96786"/>
      <c r="F96786"/>
    </row>
    <row r="96787" spans="1:6" x14ac:dyDescent="0.25">
      <c r="A96787"/>
      <c r="B96787"/>
      <c r="C96787"/>
      <c r="E96787"/>
      <c r="F96787"/>
    </row>
    <row r="96788" spans="1:6" x14ac:dyDescent="0.25">
      <c r="A96788"/>
      <c r="B96788"/>
      <c r="C96788"/>
      <c r="E96788"/>
      <c r="F96788"/>
    </row>
    <row r="96789" spans="1:6" x14ac:dyDescent="0.25">
      <c r="A96789"/>
      <c r="B96789"/>
      <c r="C96789"/>
      <c r="E96789"/>
      <c r="F96789"/>
    </row>
    <row r="96790" spans="1:6" x14ac:dyDescent="0.25">
      <c r="A96790"/>
      <c r="B96790"/>
      <c r="C96790"/>
      <c r="E96790"/>
      <c r="F96790"/>
    </row>
    <row r="96791" spans="1:6" x14ac:dyDescent="0.25">
      <c r="A96791"/>
      <c r="B96791"/>
      <c r="C96791"/>
      <c r="E96791"/>
      <c r="F96791"/>
    </row>
    <row r="96792" spans="1:6" x14ac:dyDescent="0.25">
      <c r="A96792"/>
      <c r="B96792"/>
      <c r="C96792"/>
      <c r="E96792"/>
      <c r="F96792"/>
    </row>
    <row r="96793" spans="1:6" x14ac:dyDescent="0.25">
      <c r="A96793"/>
      <c r="B96793"/>
      <c r="C96793"/>
      <c r="E96793"/>
      <c r="F96793"/>
    </row>
    <row r="96794" spans="1:6" x14ac:dyDescent="0.25">
      <c r="A96794"/>
      <c r="B96794"/>
      <c r="C96794"/>
      <c r="E96794"/>
      <c r="F96794"/>
    </row>
    <row r="96795" spans="1:6" x14ac:dyDescent="0.25">
      <c r="A96795"/>
      <c r="B96795"/>
      <c r="C96795"/>
      <c r="E96795"/>
      <c r="F96795"/>
    </row>
    <row r="96796" spans="1:6" x14ac:dyDescent="0.25">
      <c r="A96796"/>
      <c r="B96796"/>
      <c r="C96796"/>
      <c r="E96796"/>
      <c r="F96796"/>
    </row>
    <row r="96797" spans="1:6" x14ac:dyDescent="0.25">
      <c r="A96797"/>
      <c r="B96797"/>
      <c r="C96797"/>
      <c r="E96797"/>
      <c r="F96797"/>
    </row>
    <row r="96798" spans="1:6" x14ac:dyDescent="0.25">
      <c r="A96798"/>
      <c r="B96798"/>
      <c r="C96798"/>
      <c r="E96798"/>
      <c r="F96798"/>
    </row>
    <row r="96799" spans="1:6" x14ac:dyDescent="0.25">
      <c r="A96799"/>
      <c r="B96799"/>
      <c r="C96799"/>
      <c r="E96799"/>
      <c r="F96799"/>
    </row>
    <row r="96800" spans="1:6" x14ac:dyDescent="0.25">
      <c r="A96800"/>
      <c r="B96800"/>
      <c r="C96800"/>
      <c r="E96800"/>
      <c r="F96800"/>
    </row>
    <row r="96801" spans="1:6" x14ac:dyDescent="0.25">
      <c r="A96801"/>
      <c r="B96801"/>
      <c r="C96801"/>
      <c r="E96801"/>
      <c r="F96801"/>
    </row>
    <row r="96802" spans="1:6" x14ac:dyDescent="0.25">
      <c r="A96802"/>
      <c r="B96802"/>
      <c r="C96802"/>
      <c r="E96802"/>
      <c r="F96802"/>
    </row>
    <row r="96803" spans="1:6" x14ac:dyDescent="0.25">
      <c r="A96803"/>
      <c r="B96803"/>
      <c r="C96803"/>
      <c r="E96803"/>
      <c r="F96803"/>
    </row>
    <row r="96804" spans="1:6" x14ac:dyDescent="0.25">
      <c r="A96804"/>
      <c r="B96804"/>
      <c r="C96804"/>
      <c r="E96804"/>
      <c r="F96804"/>
    </row>
    <row r="96805" spans="1:6" x14ac:dyDescent="0.25">
      <c r="A96805"/>
      <c r="B96805"/>
      <c r="C96805"/>
      <c r="E96805"/>
      <c r="F96805"/>
    </row>
    <row r="96806" spans="1:6" x14ac:dyDescent="0.25">
      <c r="A96806"/>
      <c r="B96806"/>
      <c r="C96806"/>
      <c r="E96806"/>
      <c r="F96806"/>
    </row>
    <row r="96807" spans="1:6" x14ac:dyDescent="0.25">
      <c r="A96807"/>
      <c r="B96807"/>
      <c r="C96807"/>
      <c r="E96807"/>
      <c r="F96807"/>
    </row>
    <row r="96808" spans="1:6" x14ac:dyDescent="0.25">
      <c r="A96808"/>
      <c r="B96808"/>
      <c r="C96808"/>
      <c r="E96808"/>
      <c r="F96808"/>
    </row>
    <row r="96809" spans="1:6" x14ac:dyDescent="0.25">
      <c r="A96809"/>
      <c r="B96809"/>
      <c r="C96809"/>
      <c r="E96809"/>
      <c r="F96809"/>
    </row>
    <row r="96810" spans="1:6" x14ac:dyDescent="0.25">
      <c r="A96810"/>
      <c r="B96810"/>
      <c r="C96810"/>
      <c r="E96810"/>
      <c r="F96810"/>
    </row>
    <row r="96811" spans="1:6" x14ac:dyDescent="0.25">
      <c r="A96811"/>
      <c r="B96811"/>
      <c r="C96811"/>
      <c r="E96811"/>
      <c r="F96811"/>
    </row>
    <row r="96812" spans="1:6" x14ac:dyDescent="0.25">
      <c r="A96812"/>
      <c r="B96812"/>
      <c r="C96812"/>
      <c r="E96812"/>
      <c r="F96812"/>
    </row>
    <row r="96813" spans="1:6" x14ac:dyDescent="0.25">
      <c r="A96813"/>
      <c r="B96813"/>
      <c r="C96813"/>
      <c r="E96813"/>
      <c r="F96813"/>
    </row>
    <row r="96814" spans="1:6" x14ac:dyDescent="0.25">
      <c r="A96814"/>
      <c r="B96814"/>
      <c r="C96814"/>
      <c r="E96814"/>
      <c r="F96814"/>
    </row>
    <row r="96815" spans="1:6" x14ac:dyDescent="0.25">
      <c r="A96815"/>
      <c r="B96815"/>
      <c r="C96815"/>
      <c r="E96815"/>
      <c r="F96815"/>
    </row>
    <row r="96816" spans="1:6" x14ac:dyDescent="0.25">
      <c r="A96816"/>
      <c r="B96816"/>
      <c r="C96816"/>
      <c r="E96816"/>
      <c r="F96816"/>
    </row>
    <row r="96817" spans="1:6" x14ac:dyDescent="0.25">
      <c r="A96817"/>
      <c r="B96817"/>
      <c r="C96817"/>
      <c r="E96817"/>
      <c r="F96817"/>
    </row>
    <row r="96818" spans="1:6" x14ac:dyDescent="0.25">
      <c r="A96818"/>
      <c r="B96818"/>
      <c r="C96818"/>
      <c r="E96818"/>
      <c r="F96818"/>
    </row>
    <row r="96819" spans="1:6" x14ac:dyDescent="0.25">
      <c r="A96819"/>
      <c r="B96819"/>
      <c r="C96819"/>
      <c r="E96819"/>
      <c r="F96819"/>
    </row>
    <row r="96820" spans="1:6" x14ac:dyDescent="0.25">
      <c r="A96820"/>
      <c r="B96820"/>
      <c r="C96820"/>
      <c r="E96820"/>
      <c r="F96820"/>
    </row>
    <row r="96821" spans="1:6" x14ac:dyDescent="0.25">
      <c r="A96821"/>
      <c r="B96821"/>
      <c r="C96821"/>
      <c r="E96821"/>
      <c r="F96821"/>
    </row>
    <row r="96822" spans="1:6" x14ac:dyDescent="0.25">
      <c r="A96822"/>
      <c r="B96822"/>
      <c r="C96822"/>
      <c r="E96822"/>
      <c r="F96822"/>
    </row>
    <row r="96823" spans="1:6" x14ac:dyDescent="0.25">
      <c r="A96823"/>
      <c r="B96823"/>
      <c r="C96823"/>
      <c r="E96823"/>
      <c r="F96823"/>
    </row>
    <row r="96824" spans="1:6" x14ac:dyDescent="0.25">
      <c r="A96824"/>
      <c r="B96824"/>
      <c r="C96824"/>
      <c r="E96824"/>
      <c r="F96824"/>
    </row>
    <row r="96825" spans="1:6" x14ac:dyDescent="0.25">
      <c r="A96825"/>
      <c r="B96825"/>
      <c r="C96825"/>
      <c r="E96825"/>
      <c r="F96825"/>
    </row>
    <row r="96826" spans="1:6" x14ac:dyDescent="0.25">
      <c r="A96826"/>
      <c r="B96826"/>
      <c r="C96826"/>
      <c r="E96826"/>
      <c r="F96826"/>
    </row>
    <row r="96827" spans="1:6" x14ac:dyDescent="0.25">
      <c r="A96827"/>
      <c r="B96827"/>
      <c r="C96827"/>
      <c r="E96827"/>
      <c r="F96827"/>
    </row>
    <row r="96828" spans="1:6" x14ac:dyDescent="0.25">
      <c r="A96828"/>
      <c r="B96828"/>
      <c r="C96828"/>
      <c r="E96828"/>
      <c r="F96828"/>
    </row>
    <row r="96829" spans="1:6" x14ac:dyDescent="0.25">
      <c r="A96829"/>
      <c r="B96829"/>
      <c r="C96829"/>
      <c r="E96829"/>
      <c r="F96829"/>
    </row>
    <row r="96830" spans="1:6" x14ac:dyDescent="0.25">
      <c r="A96830"/>
      <c r="B96830"/>
      <c r="C96830"/>
      <c r="E96830"/>
      <c r="F96830"/>
    </row>
    <row r="96831" spans="1:6" x14ac:dyDescent="0.25">
      <c r="A96831"/>
      <c r="B96831"/>
      <c r="C96831"/>
      <c r="E96831"/>
      <c r="F96831"/>
    </row>
    <row r="96832" spans="1:6" x14ac:dyDescent="0.25">
      <c r="A96832"/>
      <c r="B96832"/>
      <c r="C96832"/>
      <c r="E96832"/>
      <c r="F96832"/>
    </row>
    <row r="96833" spans="1:6" x14ac:dyDescent="0.25">
      <c r="A96833"/>
      <c r="B96833"/>
      <c r="C96833"/>
      <c r="E96833"/>
      <c r="F96833"/>
    </row>
    <row r="96834" spans="1:6" x14ac:dyDescent="0.25">
      <c r="A96834"/>
      <c r="B96834"/>
      <c r="C96834"/>
      <c r="E96834"/>
      <c r="F96834"/>
    </row>
    <row r="96835" spans="1:6" x14ac:dyDescent="0.25">
      <c r="A96835"/>
      <c r="B96835"/>
      <c r="C96835"/>
      <c r="E96835"/>
      <c r="F96835"/>
    </row>
    <row r="96836" spans="1:6" x14ac:dyDescent="0.25">
      <c r="A96836"/>
      <c r="B96836"/>
      <c r="C96836"/>
      <c r="E96836"/>
      <c r="F96836"/>
    </row>
    <row r="96837" spans="1:6" x14ac:dyDescent="0.25">
      <c r="A96837"/>
      <c r="B96837"/>
      <c r="C96837"/>
      <c r="E96837"/>
      <c r="F96837"/>
    </row>
    <row r="96838" spans="1:6" x14ac:dyDescent="0.25">
      <c r="A96838"/>
      <c r="B96838"/>
      <c r="C96838"/>
      <c r="E96838"/>
      <c r="F96838"/>
    </row>
    <row r="96839" spans="1:6" x14ac:dyDescent="0.25">
      <c r="A96839"/>
      <c r="B96839"/>
      <c r="C96839"/>
      <c r="E96839"/>
      <c r="F96839"/>
    </row>
    <row r="96840" spans="1:6" x14ac:dyDescent="0.25">
      <c r="A96840"/>
      <c r="B96840"/>
      <c r="C96840"/>
      <c r="E96840"/>
      <c r="F96840"/>
    </row>
    <row r="96841" spans="1:6" x14ac:dyDescent="0.25">
      <c r="A96841"/>
      <c r="B96841"/>
      <c r="C96841"/>
      <c r="E96841"/>
      <c r="F96841"/>
    </row>
    <row r="96842" spans="1:6" x14ac:dyDescent="0.25">
      <c r="A96842"/>
      <c r="B96842"/>
      <c r="C96842"/>
      <c r="E96842"/>
      <c r="F96842"/>
    </row>
    <row r="96843" spans="1:6" x14ac:dyDescent="0.25">
      <c r="A96843"/>
      <c r="B96843"/>
      <c r="C96843"/>
      <c r="E96843"/>
      <c r="F96843"/>
    </row>
    <row r="96844" spans="1:6" x14ac:dyDescent="0.25">
      <c r="A96844"/>
      <c r="B96844"/>
      <c r="C96844"/>
      <c r="E96844"/>
      <c r="F96844"/>
    </row>
    <row r="96845" spans="1:6" x14ac:dyDescent="0.25">
      <c r="A96845"/>
      <c r="B96845"/>
      <c r="C96845"/>
      <c r="E96845"/>
      <c r="F96845"/>
    </row>
    <row r="96846" spans="1:6" x14ac:dyDescent="0.25">
      <c r="A96846"/>
      <c r="B96846"/>
      <c r="C96846"/>
      <c r="E96846"/>
      <c r="F96846"/>
    </row>
    <row r="96847" spans="1:6" x14ac:dyDescent="0.25">
      <c r="A96847"/>
      <c r="B96847"/>
      <c r="C96847"/>
      <c r="E96847"/>
      <c r="F96847"/>
    </row>
    <row r="96848" spans="1:6" x14ac:dyDescent="0.25">
      <c r="A96848"/>
      <c r="B96848"/>
      <c r="C96848"/>
      <c r="E96848"/>
      <c r="F96848"/>
    </row>
    <row r="96849" spans="1:6" x14ac:dyDescent="0.25">
      <c r="A96849"/>
      <c r="B96849"/>
      <c r="C96849"/>
      <c r="E96849"/>
      <c r="F96849"/>
    </row>
    <row r="96850" spans="1:6" x14ac:dyDescent="0.25">
      <c r="A96850"/>
      <c r="B96850"/>
      <c r="C96850"/>
      <c r="E96850"/>
      <c r="F96850"/>
    </row>
    <row r="96851" spans="1:6" x14ac:dyDescent="0.25">
      <c r="A96851"/>
      <c r="B96851"/>
      <c r="C96851"/>
      <c r="E96851"/>
      <c r="F96851"/>
    </row>
    <row r="96852" spans="1:6" x14ac:dyDescent="0.25">
      <c r="A96852"/>
      <c r="B96852"/>
      <c r="C96852"/>
      <c r="E96852"/>
      <c r="F96852"/>
    </row>
    <row r="96853" spans="1:6" x14ac:dyDescent="0.25">
      <c r="A96853"/>
      <c r="B96853"/>
      <c r="C96853"/>
      <c r="E96853"/>
      <c r="F96853"/>
    </row>
    <row r="96854" spans="1:6" x14ac:dyDescent="0.25">
      <c r="A96854"/>
      <c r="B96854"/>
      <c r="C96854"/>
      <c r="E96854"/>
      <c r="F96854"/>
    </row>
    <row r="96855" spans="1:6" x14ac:dyDescent="0.25">
      <c r="A96855"/>
      <c r="B96855"/>
      <c r="C96855"/>
      <c r="E96855"/>
      <c r="F96855"/>
    </row>
    <row r="96856" spans="1:6" x14ac:dyDescent="0.25">
      <c r="A96856"/>
      <c r="B96856"/>
      <c r="C96856"/>
      <c r="E96856"/>
      <c r="F96856"/>
    </row>
    <row r="96857" spans="1:6" x14ac:dyDescent="0.25">
      <c r="A96857"/>
      <c r="B96857"/>
      <c r="C96857"/>
      <c r="E96857"/>
      <c r="F96857"/>
    </row>
    <row r="96858" spans="1:6" x14ac:dyDescent="0.25">
      <c r="A96858"/>
      <c r="B96858"/>
      <c r="C96858"/>
      <c r="E96858"/>
      <c r="F96858"/>
    </row>
    <row r="96859" spans="1:6" x14ac:dyDescent="0.25">
      <c r="A96859"/>
      <c r="B96859"/>
      <c r="C96859"/>
      <c r="E96859"/>
      <c r="F96859"/>
    </row>
    <row r="96860" spans="1:6" x14ac:dyDescent="0.25">
      <c r="A96860"/>
      <c r="B96860"/>
      <c r="C96860"/>
      <c r="E96860"/>
      <c r="F96860"/>
    </row>
    <row r="96861" spans="1:6" x14ac:dyDescent="0.25">
      <c r="A96861"/>
      <c r="B96861"/>
      <c r="C96861"/>
      <c r="E96861"/>
      <c r="F96861"/>
    </row>
    <row r="96862" spans="1:6" x14ac:dyDescent="0.25">
      <c r="A96862"/>
      <c r="B96862"/>
      <c r="C96862"/>
      <c r="E96862"/>
      <c r="F96862"/>
    </row>
    <row r="96863" spans="1:6" x14ac:dyDescent="0.25">
      <c r="A96863"/>
      <c r="B96863"/>
      <c r="C96863"/>
      <c r="E96863"/>
      <c r="F96863"/>
    </row>
    <row r="96864" spans="1:6" x14ac:dyDescent="0.25">
      <c r="A96864"/>
      <c r="B96864"/>
      <c r="C96864"/>
      <c r="E96864"/>
      <c r="F96864"/>
    </row>
    <row r="96865" spans="1:6" x14ac:dyDescent="0.25">
      <c r="A96865"/>
      <c r="B96865"/>
      <c r="C96865"/>
      <c r="E96865"/>
      <c r="F96865"/>
    </row>
    <row r="96866" spans="1:6" x14ac:dyDescent="0.25">
      <c r="A96866"/>
      <c r="B96866"/>
      <c r="C96866"/>
      <c r="E96866"/>
      <c r="F96866"/>
    </row>
    <row r="96867" spans="1:6" x14ac:dyDescent="0.25">
      <c r="A96867"/>
      <c r="B96867"/>
      <c r="C96867"/>
      <c r="E96867"/>
      <c r="F96867"/>
    </row>
    <row r="96868" spans="1:6" x14ac:dyDescent="0.25">
      <c r="A96868"/>
      <c r="B96868"/>
      <c r="C96868"/>
      <c r="E96868"/>
      <c r="F96868"/>
    </row>
    <row r="96869" spans="1:6" x14ac:dyDescent="0.25">
      <c r="A96869"/>
      <c r="B96869"/>
      <c r="C96869"/>
      <c r="E96869"/>
      <c r="F96869"/>
    </row>
    <row r="96870" spans="1:6" x14ac:dyDescent="0.25">
      <c r="A96870"/>
      <c r="B96870"/>
      <c r="C96870"/>
      <c r="E96870"/>
      <c r="F96870"/>
    </row>
    <row r="96871" spans="1:6" x14ac:dyDescent="0.25">
      <c r="A96871"/>
      <c r="B96871"/>
      <c r="C96871"/>
      <c r="E96871"/>
      <c r="F96871"/>
    </row>
    <row r="96872" spans="1:6" x14ac:dyDescent="0.25">
      <c r="A96872"/>
      <c r="B96872"/>
      <c r="C96872"/>
      <c r="E96872"/>
      <c r="F96872"/>
    </row>
    <row r="96873" spans="1:6" x14ac:dyDescent="0.25">
      <c r="A96873"/>
      <c r="B96873"/>
      <c r="C96873"/>
      <c r="E96873"/>
      <c r="F96873"/>
    </row>
    <row r="96874" spans="1:6" x14ac:dyDescent="0.25">
      <c r="A96874"/>
      <c r="B96874"/>
      <c r="C96874"/>
      <c r="E96874"/>
      <c r="F96874"/>
    </row>
    <row r="96875" spans="1:6" x14ac:dyDescent="0.25">
      <c r="A96875"/>
      <c r="B96875"/>
      <c r="C96875"/>
      <c r="E96875"/>
      <c r="F96875"/>
    </row>
    <row r="96876" spans="1:6" x14ac:dyDescent="0.25">
      <c r="A96876"/>
      <c r="B96876"/>
      <c r="C96876"/>
      <c r="E96876"/>
      <c r="F96876"/>
    </row>
    <row r="96877" spans="1:6" x14ac:dyDescent="0.25">
      <c r="A96877"/>
      <c r="B96877"/>
      <c r="C96877"/>
      <c r="E96877"/>
      <c r="F96877"/>
    </row>
    <row r="96878" spans="1:6" x14ac:dyDescent="0.25">
      <c r="A96878"/>
      <c r="B96878"/>
      <c r="C96878"/>
      <c r="E96878"/>
      <c r="F96878"/>
    </row>
    <row r="96879" spans="1:6" x14ac:dyDescent="0.25">
      <c r="A96879"/>
      <c r="B96879"/>
      <c r="C96879"/>
      <c r="E96879"/>
      <c r="F96879"/>
    </row>
    <row r="96880" spans="1:6" x14ac:dyDescent="0.25">
      <c r="A96880"/>
      <c r="B96880"/>
      <c r="C96880"/>
      <c r="E96880"/>
      <c r="F96880"/>
    </row>
    <row r="96881" spans="1:6" x14ac:dyDescent="0.25">
      <c r="A96881"/>
      <c r="B96881"/>
      <c r="C96881"/>
      <c r="E96881"/>
      <c r="F96881"/>
    </row>
    <row r="96882" spans="1:6" x14ac:dyDescent="0.25">
      <c r="A96882"/>
      <c r="B96882"/>
      <c r="C96882"/>
      <c r="E96882"/>
      <c r="F96882"/>
    </row>
    <row r="96883" spans="1:6" x14ac:dyDescent="0.25">
      <c r="A96883"/>
      <c r="B96883"/>
      <c r="C96883"/>
      <c r="E96883"/>
      <c r="F96883"/>
    </row>
    <row r="96884" spans="1:6" x14ac:dyDescent="0.25">
      <c r="A96884"/>
      <c r="B96884"/>
      <c r="C96884"/>
      <c r="E96884"/>
      <c r="F96884"/>
    </row>
    <row r="96885" spans="1:6" x14ac:dyDescent="0.25">
      <c r="A96885"/>
      <c r="B96885"/>
      <c r="C96885"/>
      <c r="E96885"/>
      <c r="F96885"/>
    </row>
    <row r="96886" spans="1:6" x14ac:dyDescent="0.25">
      <c r="A96886"/>
      <c r="B96886"/>
      <c r="C96886"/>
      <c r="E96886"/>
      <c r="F96886"/>
    </row>
    <row r="96887" spans="1:6" x14ac:dyDescent="0.25">
      <c r="A96887"/>
      <c r="B96887"/>
      <c r="C96887"/>
      <c r="E96887"/>
      <c r="F96887"/>
    </row>
    <row r="96888" spans="1:6" x14ac:dyDescent="0.25">
      <c r="A96888"/>
      <c r="B96888"/>
      <c r="C96888"/>
      <c r="E96888"/>
      <c r="F96888"/>
    </row>
    <row r="96889" spans="1:6" x14ac:dyDescent="0.25">
      <c r="A96889"/>
      <c r="B96889"/>
      <c r="C96889"/>
      <c r="E96889"/>
      <c r="F96889"/>
    </row>
    <row r="96890" spans="1:6" x14ac:dyDescent="0.25">
      <c r="A96890"/>
      <c r="B96890"/>
      <c r="C96890"/>
      <c r="E96890"/>
      <c r="F96890"/>
    </row>
    <row r="96891" spans="1:6" x14ac:dyDescent="0.25">
      <c r="A96891"/>
      <c r="B96891"/>
      <c r="C96891"/>
      <c r="E96891"/>
      <c r="F96891"/>
    </row>
    <row r="96892" spans="1:6" x14ac:dyDescent="0.25">
      <c r="A96892"/>
      <c r="B96892"/>
      <c r="C96892"/>
      <c r="E96892"/>
      <c r="F96892"/>
    </row>
    <row r="96893" spans="1:6" x14ac:dyDescent="0.25">
      <c r="A96893"/>
      <c r="B96893"/>
      <c r="C96893"/>
      <c r="E96893"/>
      <c r="F96893"/>
    </row>
    <row r="96894" spans="1:6" x14ac:dyDescent="0.25">
      <c r="A96894"/>
      <c r="B96894"/>
      <c r="C96894"/>
      <c r="E96894"/>
      <c r="F96894"/>
    </row>
    <row r="96895" spans="1:6" x14ac:dyDescent="0.25">
      <c r="A96895"/>
      <c r="B96895"/>
      <c r="C96895"/>
      <c r="E96895"/>
      <c r="F96895"/>
    </row>
    <row r="96896" spans="1:6" x14ac:dyDescent="0.25">
      <c r="A96896"/>
      <c r="B96896"/>
      <c r="C96896"/>
      <c r="E96896"/>
      <c r="F96896"/>
    </row>
    <row r="96897" spans="1:6" x14ac:dyDescent="0.25">
      <c r="A96897"/>
      <c r="B96897"/>
      <c r="C96897"/>
      <c r="E96897"/>
      <c r="F96897"/>
    </row>
    <row r="96898" spans="1:6" x14ac:dyDescent="0.25">
      <c r="A96898"/>
      <c r="B96898"/>
      <c r="C96898"/>
      <c r="E96898"/>
      <c r="F96898"/>
    </row>
    <row r="96899" spans="1:6" x14ac:dyDescent="0.25">
      <c r="A96899"/>
      <c r="B96899"/>
      <c r="C96899"/>
      <c r="E96899"/>
      <c r="F96899"/>
    </row>
    <row r="96900" spans="1:6" x14ac:dyDescent="0.25">
      <c r="A96900"/>
      <c r="B96900"/>
      <c r="C96900"/>
      <c r="E96900"/>
      <c r="F96900"/>
    </row>
    <row r="96901" spans="1:6" x14ac:dyDescent="0.25">
      <c r="A96901"/>
      <c r="B96901"/>
      <c r="C96901"/>
      <c r="E96901"/>
      <c r="F96901"/>
    </row>
    <row r="96902" spans="1:6" x14ac:dyDescent="0.25">
      <c r="A96902"/>
      <c r="B96902"/>
      <c r="C96902"/>
      <c r="E96902"/>
      <c r="F96902"/>
    </row>
    <row r="96903" spans="1:6" x14ac:dyDescent="0.25">
      <c r="A96903"/>
      <c r="B96903"/>
      <c r="C96903"/>
      <c r="E96903"/>
      <c r="F96903"/>
    </row>
    <row r="96904" spans="1:6" x14ac:dyDescent="0.25">
      <c r="A96904"/>
      <c r="B96904"/>
      <c r="C96904"/>
      <c r="E96904"/>
      <c r="F96904"/>
    </row>
    <row r="96905" spans="1:6" x14ac:dyDescent="0.25">
      <c r="A96905"/>
      <c r="B96905"/>
      <c r="C96905"/>
      <c r="E96905"/>
      <c r="F96905"/>
    </row>
    <row r="96906" spans="1:6" x14ac:dyDescent="0.25">
      <c r="A96906"/>
      <c r="B96906"/>
      <c r="C96906"/>
      <c r="E96906"/>
      <c r="F96906"/>
    </row>
    <row r="96907" spans="1:6" x14ac:dyDescent="0.25">
      <c r="A96907"/>
      <c r="B96907"/>
      <c r="C96907"/>
      <c r="E96907"/>
      <c r="F96907"/>
    </row>
    <row r="96908" spans="1:6" x14ac:dyDescent="0.25">
      <c r="A96908"/>
      <c r="B96908"/>
      <c r="C96908"/>
      <c r="E96908"/>
      <c r="F96908"/>
    </row>
    <row r="96909" spans="1:6" x14ac:dyDescent="0.25">
      <c r="A96909"/>
      <c r="B96909"/>
      <c r="C96909"/>
      <c r="E96909"/>
      <c r="F96909"/>
    </row>
    <row r="96910" spans="1:6" x14ac:dyDescent="0.25">
      <c r="A96910"/>
      <c r="B96910"/>
      <c r="C96910"/>
      <c r="E96910"/>
      <c r="F96910"/>
    </row>
    <row r="96911" spans="1:6" x14ac:dyDescent="0.25">
      <c r="A96911"/>
      <c r="B96911"/>
      <c r="C96911"/>
      <c r="E96911"/>
      <c r="F96911"/>
    </row>
    <row r="96912" spans="1:6" x14ac:dyDescent="0.25">
      <c r="A96912"/>
      <c r="B96912"/>
      <c r="C96912"/>
      <c r="E96912"/>
      <c r="F96912"/>
    </row>
    <row r="96913" spans="1:6" x14ac:dyDescent="0.25">
      <c r="A96913"/>
      <c r="B96913"/>
      <c r="C96913"/>
      <c r="E96913"/>
      <c r="F96913"/>
    </row>
    <row r="96914" spans="1:6" x14ac:dyDescent="0.25">
      <c r="A96914"/>
      <c r="B96914"/>
      <c r="C96914"/>
      <c r="E96914"/>
      <c r="F96914"/>
    </row>
    <row r="96915" spans="1:6" x14ac:dyDescent="0.25">
      <c r="A96915"/>
      <c r="B96915"/>
      <c r="C96915"/>
      <c r="E96915"/>
      <c r="F96915"/>
    </row>
    <row r="96916" spans="1:6" x14ac:dyDescent="0.25">
      <c r="A96916"/>
      <c r="B96916"/>
      <c r="C96916"/>
      <c r="E96916"/>
      <c r="F96916"/>
    </row>
    <row r="96917" spans="1:6" x14ac:dyDescent="0.25">
      <c r="A96917"/>
      <c r="B96917"/>
      <c r="C96917"/>
      <c r="E96917"/>
      <c r="F96917"/>
    </row>
    <row r="96918" spans="1:6" x14ac:dyDescent="0.25">
      <c r="A96918"/>
      <c r="B96918"/>
      <c r="C96918"/>
      <c r="E96918"/>
      <c r="F96918"/>
    </row>
    <row r="96919" spans="1:6" x14ac:dyDescent="0.25">
      <c r="A96919"/>
      <c r="B96919"/>
      <c r="C96919"/>
      <c r="E96919"/>
      <c r="F96919"/>
    </row>
    <row r="96920" spans="1:6" x14ac:dyDescent="0.25">
      <c r="A96920"/>
      <c r="B96920"/>
      <c r="C96920"/>
      <c r="E96920"/>
      <c r="F96920"/>
    </row>
    <row r="96921" spans="1:6" x14ac:dyDescent="0.25">
      <c r="A96921"/>
      <c r="B96921"/>
      <c r="C96921"/>
      <c r="E96921"/>
      <c r="F96921"/>
    </row>
    <row r="96922" spans="1:6" x14ac:dyDescent="0.25">
      <c r="A96922"/>
      <c r="B96922"/>
      <c r="C96922"/>
      <c r="E96922"/>
      <c r="F96922"/>
    </row>
    <row r="96923" spans="1:6" x14ac:dyDescent="0.25">
      <c r="A96923"/>
      <c r="B96923"/>
      <c r="C96923"/>
      <c r="E96923"/>
      <c r="F96923"/>
    </row>
    <row r="96924" spans="1:6" x14ac:dyDescent="0.25">
      <c r="A96924"/>
      <c r="B96924"/>
      <c r="C96924"/>
      <c r="E96924"/>
      <c r="F96924"/>
    </row>
    <row r="96925" spans="1:6" x14ac:dyDescent="0.25">
      <c r="A96925"/>
      <c r="B96925"/>
      <c r="C96925"/>
      <c r="E96925"/>
      <c r="F96925"/>
    </row>
    <row r="96926" spans="1:6" x14ac:dyDescent="0.25">
      <c r="A96926"/>
      <c r="B96926"/>
      <c r="C96926"/>
      <c r="E96926"/>
      <c r="F96926"/>
    </row>
    <row r="96927" spans="1:6" x14ac:dyDescent="0.25">
      <c r="A96927"/>
      <c r="B96927"/>
      <c r="C96927"/>
      <c r="E96927"/>
      <c r="F96927"/>
    </row>
    <row r="96928" spans="1:6" x14ac:dyDescent="0.25">
      <c r="A96928"/>
      <c r="B96928"/>
      <c r="C96928"/>
      <c r="E96928"/>
      <c r="F96928"/>
    </row>
    <row r="96929" spans="1:6" x14ac:dyDescent="0.25">
      <c r="A96929"/>
      <c r="B96929"/>
      <c r="C96929"/>
      <c r="E96929"/>
      <c r="F96929"/>
    </row>
    <row r="96930" spans="1:6" x14ac:dyDescent="0.25">
      <c r="A96930"/>
      <c r="B96930"/>
      <c r="C96930"/>
      <c r="E96930"/>
      <c r="F96930"/>
    </row>
    <row r="96931" spans="1:6" x14ac:dyDescent="0.25">
      <c r="A96931"/>
      <c r="B96931"/>
      <c r="C96931"/>
      <c r="E96931"/>
      <c r="F96931"/>
    </row>
    <row r="96932" spans="1:6" x14ac:dyDescent="0.25">
      <c r="A96932"/>
      <c r="B96932"/>
      <c r="C96932"/>
      <c r="E96932"/>
      <c r="F96932"/>
    </row>
    <row r="96933" spans="1:6" x14ac:dyDescent="0.25">
      <c r="A96933"/>
      <c r="B96933"/>
      <c r="C96933"/>
      <c r="E96933"/>
      <c r="F96933"/>
    </row>
    <row r="96934" spans="1:6" x14ac:dyDescent="0.25">
      <c r="A96934"/>
      <c r="B96934"/>
      <c r="C96934"/>
      <c r="E96934"/>
      <c r="F96934"/>
    </row>
    <row r="96935" spans="1:6" x14ac:dyDescent="0.25">
      <c r="A96935"/>
      <c r="B96935"/>
      <c r="C96935"/>
      <c r="E96935"/>
      <c r="F96935"/>
    </row>
    <row r="96936" spans="1:6" x14ac:dyDescent="0.25">
      <c r="A96936"/>
      <c r="B96936"/>
      <c r="C96936"/>
      <c r="E96936"/>
      <c r="F96936"/>
    </row>
    <row r="96937" spans="1:6" x14ac:dyDescent="0.25">
      <c r="A96937"/>
      <c r="B96937"/>
      <c r="C96937"/>
      <c r="E96937"/>
      <c r="F96937"/>
    </row>
    <row r="96938" spans="1:6" x14ac:dyDescent="0.25">
      <c r="A96938"/>
      <c r="B96938"/>
      <c r="C96938"/>
      <c r="E96938"/>
      <c r="F96938"/>
    </row>
    <row r="96939" spans="1:6" x14ac:dyDescent="0.25">
      <c r="A96939"/>
      <c r="B96939"/>
      <c r="C96939"/>
      <c r="E96939"/>
      <c r="F96939"/>
    </row>
    <row r="96940" spans="1:6" x14ac:dyDescent="0.25">
      <c r="A96940"/>
      <c r="B96940"/>
      <c r="C96940"/>
      <c r="E96940"/>
      <c r="F96940"/>
    </row>
    <row r="96941" spans="1:6" x14ac:dyDescent="0.25">
      <c r="A96941"/>
      <c r="B96941"/>
      <c r="C96941"/>
      <c r="E96941"/>
      <c r="F96941"/>
    </row>
    <row r="96942" spans="1:6" x14ac:dyDescent="0.25">
      <c r="A96942"/>
      <c r="B96942"/>
      <c r="C96942"/>
      <c r="E96942"/>
      <c r="F96942"/>
    </row>
    <row r="96943" spans="1:6" x14ac:dyDescent="0.25">
      <c r="A96943"/>
      <c r="B96943"/>
      <c r="C96943"/>
      <c r="E96943"/>
      <c r="F96943"/>
    </row>
    <row r="96944" spans="1:6" x14ac:dyDescent="0.25">
      <c r="A96944"/>
      <c r="B96944"/>
      <c r="C96944"/>
      <c r="E96944"/>
      <c r="F96944"/>
    </row>
    <row r="96945" spans="1:6" x14ac:dyDescent="0.25">
      <c r="A96945"/>
      <c r="B96945"/>
      <c r="C96945"/>
      <c r="E96945"/>
      <c r="F96945"/>
    </row>
    <row r="96946" spans="1:6" x14ac:dyDescent="0.25">
      <c r="A96946"/>
      <c r="B96946"/>
      <c r="C96946"/>
      <c r="E96946"/>
      <c r="F96946"/>
    </row>
    <row r="96947" spans="1:6" x14ac:dyDescent="0.25">
      <c r="A96947"/>
      <c r="B96947"/>
      <c r="C96947"/>
      <c r="E96947"/>
      <c r="F96947"/>
    </row>
    <row r="96948" spans="1:6" x14ac:dyDescent="0.25">
      <c r="A96948"/>
      <c r="B96948"/>
      <c r="C96948"/>
      <c r="E96948"/>
      <c r="F96948"/>
    </row>
    <row r="96949" spans="1:6" x14ac:dyDescent="0.25">
      <c r="A96949"/>
      <c r="B96949"/>
      <c r="C96949"/>
      <c r="E96949"/>
      <c r="F96949"/>
    </row>
    <row r="96950" spans="1:6" x14ac:dyDescent="0.25">
      <c r="A96950"/>
      <c r="B96950"/>
      <c r="C96950"/>
      <c r="E96950"/>
      <c r="F96950"/>
    </row>
    <row r="96951" spans="1:6" x14ac:dyDescent="0.25">
      <c r="A96951"/>
      <c r="B96951"/>
      <c r="C96951"/>
      <c r="E96951"/>
      <c r="F96951"/>
    </row>
    <row r="96952" spans="1:6" x14ac:dyDescent="0.25">
      <c r="A96952"/>
      <c r="B96952"/>
      <c r="C96952"/>
      <c r="E96952"/>
      <c r="F96952"/>
    </row>
    <row r="96953" spans="1:6" x14ac:dyDescent="0.25">
      <c r="A96953"/>
      <c r="B96953"/>
      <c r="C96953"/>
      <c r="E96953"/>
      <c r="F96953"/>
    </row>
    <row r="96954" spans="1:6" x14ac:dyDescent="0.25">
      <c r="A96954"/>
      <c r="B96954"/>
      <c r="C96954"/>
      <c r="E96954"/>
      <c r="F96954"/>
    </row>
    <row r="96955" spans="1:6" x14ac:dyDescent="0.25">
      <c r="A96955"/>
      <c r="B96955"/>
      <c r="C96955"/>
      <c r="E96955"/>
      <c r="F96955"/>
    </row>
    <row r="96956" spans="1:6" x14ac:dyDescent="0.25">
      <c r="A96956"/>
      <c r="B96956"/>
      <c r="C96956"/>
      <c r="E96956"/>
      <c r="F96956"/>
    </row>
    <row r="96957" spans="1:6" x14ac:dyDescent="0.25">
      <c r="A96957"/>
      <c r="B96957"/>
      <c r="C96957"/>
      <c r="E96957"/>
      <c r="F96957"/>
    </row>
    <row r="96958" spans="1:6" x14ac:dyDescent="0.25">
      <c r="A96958"/>
      <c r="B96958"/>
      <c r="C96958"/>
      <c r="E96958"/>
      <c r="F96958"/>
    </row>
    <row r="96959" spans="1:6" x14ac:dyDescent="0.25">
      <c r="A96959"/>
      <c r="B96959"/>
      <c r="C96959"/>
      <c r="E96959"/>
      <c r="F96959"/>
    </row>
    <row r="96960" spans="1:6" x14ac:dyDescent="0.25">
      <c r="A96960"/>
      <c r="B96960"/>
      <c r="C96960"/>
      <c r="E96960"/>
      <c r="F96960"/>
    </row>
    <row r="96961" spans="1:6" x14ac:dyDescent="0.25">
      <c r="A96961"/>
      <c r="B96961"/>
      <c r="C96961"/>
      <c r="E96961"/>
      <c r="F96961"/>
    </row>
    <row r="96962" spans="1:6" x14ac:dyDescent="0.25">
      <c r="A96962"/>
      <c r="B96962"/>
      <c r="C96962"/>
      <c r="E96962"/>
      <c r="F96962"/>
    </row>
    <row r="96963" spans="1:6" x14ac:dyDescent="0.25">
      <c r="A96963"/>
      <c r="B96963"/>
      <c r="C96963"/>
      <c r="E96963"/>
      <c r="F96963"/>
    </row>
    <row r="96964" spans="1:6" x14ac:dyDescent="0.25">
      <c r="A96964"/>
      <c r="B96964"/>
      <c r="C96964"/>
      <c r="E96964"/>
      <c r="F96964"/>
    </row>
    <row r="96965" spans="1:6" x14ac:dyDescent="0.25">
      <c r="A96965"/>
      <c r="B96965"/>
      <c r="C96965"/>
      <c r="E96965"/>
      <c r="F96965"/>
    </row>
    <row r="96966" spans="1:6" x14ac:dyDescent="0.25">
      <c r="A96966"/>
      <c r="B96966"/>
      <c r="C96966"/>
      <c r="E96966"/>
      <c r="F96966"/>
    </row>
    <row r="96967" spans="1:6" x14ac:dyDescent="0.25">
      <c r="A96967"/>
      <c r="B96967"/>
      <c r="C96967"/>
      <c r="E96967"/>
      <c r="F96967"/>
    </row>
    <row r="96968" spans="1:6" x14ac:dyDescent="0.25">
      <c r="A96968"/>
      <c r="B96968"/>
      <c r="C96968"/>
      <c r="E96968"/>
      <c r="F96968"/>
    </row>
    <row r="96969" spans="1:6" x14ac:dyDescent="0.25">
      <c r="A96969"/>
      <c r="B96969"/>
      <c r="C96969"/>
      <c r="E96969"/>
      <c r="F96969"/>
    </row>
    <row r="96970" spans="1:6" x14ac:dyDescent="0.25">
      <c r="A96970"/>
      <c r="B96970"/>
      <c r="C96970"/>
      <c r="E96970"/>
      <c r="F96970"/>
    </row>
    <row r="96971" spans="1:6" x14ac:dyDescent="0.25">
      <c r="A96971"/>
      <c r="B96971"/>
      <c r="C96971"/>
      <c r="E96971"/>
      <c r="F96971"/>
    </row>
    <row r="96972" spans="1:6" x14ac:dyDescent="0.25">
      <c r="A96972"/>
      <c r="B96972"/>
      <c r="C96972"/>
      <c r="E96972"/>
      <c r="F96972"/>
    </row>
    <row r="96973" spans="1:6" x14ac:dyDescent="0.25">
      <c r="A96973"/>
      <c r="B96973"/>
      <c r="C96973"/>
      <c r="E96973"/>
      <c r="F96973"/>
    </row>
    <row r="96974" spans="1:6" x14ac:dyDescent="0.25">
      <c r="A96974"/>
      <c r="B96974"/>
      <c r="C96974"/>
      <c r="E96974"/>
      <c r="F96974"/>
    </row>
    <row r="96975" spans="1:6" x14ac:dyDescent="0.25">
      <c r="A96975"/>
      <c r="B96975"/>
      <c r="C96975"/>
      <c r="E96975"/>
      <c r="F96975"/>
    </row>
    <row r="96976" spans="1:6" x14ac:dyDescent="0.25">
      <c r="A96976"/>
      <c r="B96976"/>
      <c r="C96976"/>
      <c r="E96976"/>
      <c r="F96976"/>
    </row>
    <row r="96977" spans="1:6" x14ac:dyDescent="0.25">
      <c r="A96977"/>
      <c r="B96977"/>
      <c r="C96977"/>
      <c r="E96977"/>
      <c r="F96977"/>
    </row>
    <row r="96978" spans="1:6" x14ac:dyDescent="0.25">
      <c r="A96978"/>
      <c r="B96978"/>
      <c r="C96978"/>
      <c r="E96978"/>
      <c r="F96978"/>
    </row>
    <row r="96979" spans="1:6" x14ac:dyDescent="0.25">
      <c r="A96979"/>
      <c r="B96979"/>
      <c r="C96979"/>
      <c r="E96979"/>
      <c r="F96979"/>
    </row>
    <row r="96980" spans="1:6" x14ac:dyDescent="0.25">
      <c r="A96980"/>
      <c r="B96980"/>
      <c r="C96980"/>
      <c r="E96980"/>
      <c r="F96980"/>
    </row>
    <row r="96981" spans="1:6" x14ac:dyDescent="0.25">
      <c r="A96981"/>
      <c r="B96981"/>
      <c r="C96981"/>
      <c r="E96981"/>
      <c r="F96981"/>
    </row>
    <row r="96982" spans="1:6" x14ac:dyDescent="0.25">
      <c r="A96982"/>
      <c r="B96982"/>
      <c r="C96982"/>
      <c r="E96982"/>
      <c r="F96982"/>
    </row>
    <row r="96983" spans="1:6" x14ac:dyDescent="0.25">
      <c r="A96983"/>
      <c r="B96983"/>
      <c r="C96983"/>
      <c r="E96983"/>
      <c r="F96983"/>
    </row>
    <row r="96984" spans="1:6" x14ac:dyDescent="0.25">
      <c r="A96984"/>
      <c r="B96984"/>
      <c r="C96984"/>
      <c r="E96984"/>
      <c r="F96984"/>
    </row>
    <row r="96985" spans="1:6" x14ac:dyDescent="0.25">
      <c r="A96985"/>
      <c r="B96985"/>
      <c r="C96985"/>
      <c r="E96985"/>
      <c r="F96985"/>
    </row>
    <row r="96986" spans="1:6" x14ac:dyDescent="0.25">
      <c r="A96986"/>
      <c r="B96986"/>
      <c r="C96986"/>
      <c r="E96986"/>
      <c r="F96986"/>
    </row>
    <row r="96987" spans="1:6" x14ac:dyDescent="0.25">
      <c r="A96987"/>
      <c r="B96987"/>
      <c r="C96987"/>
      <c r="E96987"/>
      <c r="F96987"/>
    </row>
    <row r="96988" spans="1:6" x14ac:dyDescent="0.25">
      <c r="A96988"/>
      <c r="B96988"/>
      <c r="C96988"/>
      <c r="E96988"/>
      <c r="F96988"/>
    </row>
    <row r="96989" spans="1:6" x14ac:dyDescent="0.25">
      <c r="A96989"/>
      <c r="B96989"/>
      <c r="C96989"/>
      <c r="E96989"/>
      <c r="F96989"/>
    </row>
    <row r="96990" spans="1:6" x14ac:dyDescent="0.25">
      <c r="A96990"/>
      <c r="B96990"/>
      <c r="C96990"/>
      <c r="E96990"/>
      <c r="F96990"/>
    </row>
    <row r="96991" spans="1:6" x14ac:dyDescent="0.25">
      <c r="A96991"/>
      <c r="B96991"/>
      <c r="C96991"/>
      <c r="E96991"/>
      <c r="F96991"/>
    </row>
    <row r="96992" spans="1:6" x14ac:dyDescent="0.25">
      <c r="A96992"/>
      <c r="B96992"/>
      <c r="C96992"/>
      <c r="E96992"/>
      <c r="F96992"/>
    </row>
    <row r="96993" spans="1:6" x14ac:dyDescent="0.25">
      <c r="A96993"/>
      <c r="B96993"/>
      <c r="C96993"/>
      <c r="E96993"/>
      <c r="F96993"/>
    </row>
    <row r="96994" spans="1:6" x14ac:dyDescent="0.25">
      <c r="A96994"/>
      <c r="B96994"/>
      <c r="C96994"/>
      <c r="E96994"/>
      <c r="F96994"/>
    </row>
    <row r="96995" spans="1:6" x14ac:dyDescent="0.25">
      <c r="A96995"/>
      <c r="B96995"/>
      <c r="C96995"/>
      <c r="E96995"/>
      <c r="F96995"/>
    </row>
    <row r="96996" spans="1:6" x14ac:dyDescent="0.25">
      <c r="A96996"/>
      <c r="B96996"/>
      <c r="C96996"/>
      <c r="E96996"/>
      <c r="F96996"/>
    </row>
    <row r="96997" spans="1:6" x14ac:dyDescent="0.25">
      <c r="A96997"/>
      <c r="B96997"/>
      <c r="C96997"/>
      <c r="E96997"/>
      <c r="F96997"/>
    </row>
    <row r="96998" spans="1:6" x14ac:dyDescent="0.25">
      <c r="A96998"/>
      <c r="B96998"/>
      <c r="C96998"/>
      <c r="E96998"/>
      <c r="F96998"/>
    </row>
    <row r="96999" spans="1:6" x14ac:dyDescent="0.25">
      <c r="A96999"/>
      <c r="B96999"/>
      <c r="C96999"/>
      <c r="E96999"/>
      <c r="F96999"/>
    </row>
    <row r="97000" spans="1:6" x14ac:dyDescent="0.25">
      <c r="A97000"/>
      <c r="B97000"/>
      <c r="C97000"/>
      <c r="E97000"/>
      <c r="F97000"/>
    </row>
    <row r="97001" spans="1:6" x14ac:dyDescent="0.25">
      <c r="A97001"/>
      <c r="B97001"/>
      <c r="C97001"/>
      <c r="E97001"/>
      <c r="F97001"/>
    </row>
    <row r="97002" spans="1:6" x14ac:dyDescent="0.25">
      <c r="A97002"/>
      <c r="B97002"/>
      <c r="C97002"/>
      <c r="E97002"/>
      <c r="F97002"/>
    </row>
    <row r="97003" spans="1:6" x14ac:dyDescent="0.25">
      <c r="A97003"/>
      <c r="B97003"/>
      <c r="C97003"/>
      <c r="E97003"/>
      <c r="F97003"/>
    </row>
    <row r="97004" spans="1:6" x14ac:dyDescent="0.25">
      <c r="A97004"/>
      <c r="B97004"/>
      <c r="C97004"/>
      <c r="E97004"/>
      <c r="F97004"/>
    </row>
    <row r="97005" spans="1:6" x14ac:dyDescent="0.25">
      <c r="A97005"/>
      <c r="B97005"/>
      <c r="C97005"/>
      <c r="E97005"/>
      <c r="F97005"/>
    </row>
    <row r="97006" spans="1:6" x14ac:dyDescent="0.25">
      <c r="A97006"/>
      <c r="B97006"/>
      <c r="C97006"/>
      <c r="E97006"/>
      <c r="F97006"/>
    </row>
    <row r="97007" spans="1:6" x14ac:dyDescent="0.25">
      <c r="A97007"/>
      <c r="B97007"/>
      <c r="C97007"/>
      <c r="E97007"/>
      <c r="F97007"/>
    </row>
    <row r="97008" spans="1:6" x14ac:dyDescent="0.25">
      <c r="A97008"/>
      <c r="B97008"/>
      <c r="C97008"/>
      <c r="E97008"/>
      <c r="F97008"/>
    </row>
    <row r="97009" spans="1:6" x14ac:dyDescent="0.25">
      <c r="A97009"/>
      <c r="B97009"/>
      <c r="C97009"/>
      <c r="E97009"/>
      <c r="F97009"/>
    </row>
    <row r="97010" spans="1:6" x14ac:dyDescent="0.25">
      <c r="A97010"/>
      <c r="B97010"/>
      <c r="C97010"/>
      <c r="E97010"/>
      <c r="F97010"/>
    </row>
    <row r="97011" spans="1:6" x14ac:dyDescent="0.25">
      <c r="A97011"/>
      <c r="B97011"/>
      <c r="C97011"/>
      <c r="E97011"/>
      <c r="F97011"/>
    </row>
    <row r="97012" spans="1:6" x14ac:dyDescent="0.25">
      <c r="A97012"/>
      <c r="B97012"/>
      <c r="C97012"/>
      <c r="E97012"/>
      <c r="F97012"/>
    </row>
    <row r="97013" spans="1:6" x14ac:dyDescent="0.25">
      <c r="A97013"/>
      <c r="B97013"/>
      <c r="C97013"/>
      <c r="E97013"/>
      <c r="F97013"/>
    </row>
    <row r="97014" spans="1:6" x14ac:dyDescent="0.25">
      <c r="A97014"/>
      <c r="B97014"/>
      <c r="C97014"/>
      <c r="E97014"/>
      <c r="F97014"/>
    </row>
    <row r="97015" spans="1:6" x14ac:dyDescent="0.25">
      <c r="A97015"/>
      <c r="B97015"/>
      <c r="C97015"/>
      <c r="E97015"/>
      <c r="F97015"/>
    </row>
    <row r="97016" spans="1:6" x14ac:dyDescent="0.25">
      <c r="A97016"/>
      <c r="B97016"/>
      <c r="C97016"/>
      <c r="E97016"/>
      <c r="F97016"/>
    </row>
    <row r="97017" spans="1:6" x14ac:dyDescent="0.25">
      <c r="A97017"/>
      <c r="B97017"/>
      <c r="C97017"/>
      <c r="E97017"/>
      <c r="F97017"/>
    </row>
    <row r="97018" spans="1:6" x14ac:dyDescent="0.25">
      <c r="A97018"/>
      <c r="B97018"/>
      <c r="C97018"/>
      <c r="E97018"/>
      <c r="F97018"/>
    </row>
    <row r="97019" spans="1:6" x14ac:dyDescent="0.25">
      <c r="A97019"/>
      <c r="B97019"/>
      <c r="C97019"/>
      <c r="E97019"/>
      <c r="F97019"/>
    </row>
    <row r="97020" spans="1:6" x14ac:dyDescent="0.25">
      <c r="A97020"/>
      <c r="B97020"/>
      <c r="C97020"/>
      <c r="E97020"/>
      <c r="F97020"/>
    </row>
    <row r="97021" spans="1:6" x14ac:dyDescent="0.25">
      <c r="A97021"/>
      <c r="B97021"/>
      <c r="C97021"/>
      <c r="E97021"/>
      <c r="F97021"/>
    </row>
    <row r="97022" spans="1:6" x14ac:dyDescent="0.25">
      <c r="A97022"/>
      <c r="B97022"/>
      <c r="C97022"/>
      <c r="E97022"/>
      <c r="F97022"/>
    </row>
    <row r="97023" spans="1:6" x14ac:dyDescent="0.25">
      <c r="A97023"/>
      <c r="B97023"/>
      <c r="C97023"/>
      <c r="E97023"/>
      <c r="F97023"/>
    </row>
    <row r="97024" spans="1:6" x14ac:dyDescent="0.25">
      <c r="A97024"/>
      <c r="B97024"/>
      <c r="C97024"/>
      <c r="E97024"/>
      <c r="F97024"/>
    </row>
    <row r="97025" spans="1:6" x14ac:dyDescent="0.25">
      <c r="A97025"/>
      <c r="B97025"/>
      <c r="C97025"/>
      <c r="E97025"/>
      <c r="F97025"/>
    </row>
    <row r="97026" spans="1:6" x14ac:dyDescent="0.25">
      <c r="A97026"/>
      <c r="B97026"/>
      <c r="C97026"/>
      <c r="E97026"/>
      <c r="F97026"/>
    </row>
    <row r="97027" spans="1:6" x14ac:dyDescent="0.25">
      <c r="A97027"/>
      <c r="B97027"/>
      <c r="C97027"/>
      <c r="E97027"/>
      <c r="F97027"/>
    </row>
    <row r="97028" spans="1:6" x14ac:dyDescent="0.25">
      <c r="A97028"/>
      <c r="B97028"/>
      <c r="C97028"/>
      <c r="E97028"/>
      <c r="F97028"/>
    </row>
    <row r="97029" spans="1:6" x14ac:dyDescent="0.25">
      <c r="A97029"/>
      <c r="B97029"/>
      <c r="C97029"/>
      <c r="E97029"/>
      <c r="F97029"/>
    </row>
    <row r="97030" spans="1:6" x14ac:dyDescent="0.25">
      <c r="A97030"/>
      <c r="B97030"/>
      <c r="C97030"/>
      <c r="E97030"/>
      <c r="F97030"/>
    </row>
    <row r="97031" spans="1:6" x14ac:dyDescent="0.25">
      <c r="A97031"/>
      <c r="B97031"/>
      <c r="C97031"/>
      <c r="E97031"/>
      <c r="F97031"/>
    </row>
    <row r="97032" spans="1:6" x14ac:dyDescent="0.25">
      <c r="A97032"/>
      <c r="B97032"/>
      <c r="C97032"/>
      <c r="E97032"/>
      <c r="F97032"/>
    </row>
    <row r="97033" spans="1:6" x14ac:dyDescent="0.25">
      <c r="A97033"/>
      <c r="B97033"/>
      <c r="C97033"/>
      <c r="E97033"/>
      <c r="F97033"/>
    </row>
    <row r="97034" spans="1:6" x14ac:dyDescent="0.25">
      <c r="A97034"/>
      <c r="B97034"/>
      <c r="C97034"/>
      <c r="E97034"/>
      <c r="F97034"/>
    </row>
    <row r="97035" spans="1:6" x14ac:dyDescent="0.25">
      <c r="A97035"/>
      <c r="B97035"/>
      <c r="C97035"/>
      <c r="E97035"/>
      <c r="F97035"/>
    </row>
    <row r="97036" spans="1:6" x14ac:dyDescent="0.25">
      <c r="A97036"/>
      <c r="B97036"/>
      <c r="C97036"/>
      <c r="E97036"/>
      <c r="F97036"/>
    </row>
    <row r="97037" spans="1:6" x14ac:dyDescent="0.25">
      <c r="A97037"/>
      <c r="B97037"/>
      <c r="C97037"/>
      <c r="E97037"/>
      <c r="F97037"/>
    </row>
    <row r="97038" spans="1:6" x14ac:dyDescent="0.25">
      <c r="A97038"/>
      <c r="B97038"/>
      <c r="C97038"/>
      <c r="E97038"/>
      <c r="F97038"/>
    </row>
    <row r="97039" spans="1:6" x14ac:dyDescent="0.25">
      <c r="A97039"/>
      <c r="B97039"/>
      <c r="C97039"/>
      <c r="E97039"/>
      <c r="F97039"/>
    </row>
    <row r="97040" spans="1:6" x14ac:dyDescent="0.25">
      <c r="A97040"/>
      <c r="B97040"/>
      <c r="C97040"/>
      <c r="E97040"/>
      <c r="F97040"/>
    </row>
    <row r="97041" spans="1:6" x14ac:dyDescent="0.25">
      <c r="A97041"/>
      <c r="B97041"/>
      <c r="C97041"/>
      <c r="E97041"/>
      <c r="F97041"/>
    </row>
    <row r="97042" spans="1:6" x14ac:dyDescent="0.25">
      <c r="A97042"/>
      <c r="B97042"/>
      <c r="C97042"/>
      <c r="E97042"/>
      <c r="F97042"/>
    </row>
    <row r="97043" spans="1:6" x14ac:dyDescent="0.25">
      <c r="A97043"/>
      <c r="B97043"/>
      <c r="C97043"/>
      <c r="E97043"/>
      <c r="F97043"/>
    </row>
    <row r="97044" spans="1:6" x14ac:dyDescent="0.25">
      <c r="A97044"/>
      <c r="B97044"/>
      <c r="C97044"/>
      <c r="E97044"/>
      <c r="F97044"/>
    </row>
    <row r="97045" spans="1:6" x14ac:dyDescent="0.25">
      <c r="A97045"/>
      <c r="B97045"/>
      <c r="C97045"/>
      <c r="E97045"/>
      <c r="F97045"/>
    </row>
    <row r="97046" spans="1:6" x14ac:dyDescent="0.25">
      <c r="A97046"/>
      <c r="B97046"/>
      <c r="C97046"/>
      <c r="E97046"/>
      <c r="F97046"/>
    </row>
    <row r="97047" spans="1:6" x14ac:dyDescent="0.25">
      <c r="A97047"/>
      <c r="B97047"/>
      <c r="C97047"/>
      <c r="E97047"/>
      <c r="F97047"/>
    </row>
    <row r="97048" spans="1:6" x14ac:dyDescent="0.25">
      <c r="A97048"/>
      <c r="B97048"/>
      <c r="C97048"/>
      <c r="E97048"/>
      <c r="F97048"/>
    </row>
    <row r="97049" spans="1:6" x14ac:dyDescent="0.25">
      <c r="A97049"/>
      <c r="B97049"/>
      <c r="C97049"/>
      <c r="E97049"/>
      <c r="F97049"/>
    </row>
    <row r="97050" spans="1:6" x14ac:dyDescent="0.25">
      <c r="A97050"/>
      <c r="B97050"/>
      <c r="C97050"/>
      <c r="E97050"/>
      <c r="F97050"/>
    </row>
    <row r="97051" spans="1:6" x14ac:dyDescent="0.25">
      <c r="A97051"/>
      <c r="B97051"/>
      <c r="C97051"/>
      <c r="E97051"/>
      <c r="F97051"/>
    </row>
    <row r="97052" spans="1:6" x14ac:dyDescent="0.25">
      <c r="A97052"/>
      <c r="B97052"/>
      <c r="C97052"/>
      <c r="E97052"/>
      <c r="F97052"/>
    </row>
    <row r="97053" spans="1:6" x14ac:dyDescent="0.25">
      <c r="A97053"/>
      <c r="B97053"/>
      <c r="C97053"/>
      <c r="E97053"/>
      <c r="F97053"/>
    </row>
    <row r="97054" spans="1:6" x14ac:dyDescent="0.25">
      <c r="A97054"/>
      <c r="B97054"/>
      <c r="C97054"/>
      <c r="E97054"/>
      <c r="F97054"/>
    </row>
    <row r="97055" spans="1:6" x14ac:dyDescent="0.25">
      <c r="A97055"/>
      <c r="B97055"/>
      <c r="C97055"/>
      <c r="E97055"/>
      <c r="F97055"/>
    </row>
    <row r="97056" spans="1:6" x14ac:dyDescent="0.25">
      <c r="A97056"/>
      <c r="B97056"/>
      <c r="C97056"/>
      <c r="E97056"/>
      <c r="F97056"/>
    </row>
    <row r="97057" spans="1:6" x14ac:dyDescent="0.25">
      <c r="A97057"/>
      <c r="B97057"/>
      <c r="C97057"/>
      <c r="E97057"/>
      <c r="F97057"/>
    </row>
    <row r="97058" spans="1:6" x14ac:dyDescent="0.25">
      <c r="A97058"/>
      <c r="B97058"/>
      <c r="C97058"/>
      <c r="E97058"/>
      <c r="F97058"/>
    </row>
    <row r="97059" spans="1:6" x14ac:dyDescent="0.25">
      <c r="A97059"/>
      <c r="B97059"/>
      <c r="C97059"/>
      <c r="E97059"/>
      <c r="F97059"/>
    </row>
    <row r="97060" spans="1:6" x14ac:dyDescent="0.25">
      <c r="A97060"/>
      <c r="B97060"/>
      <c r="C97060"/>
      <c r="E97060"/>
      <c r="F97060"/>
    </row>
    <row r="97061" spans="1:6" x14ac:dyDescent="0.25">
      <c r="A97061"/>
      <c r="B97061"/>
      <c r="C97061"/>
      <c r="E97061"/>
      <c r="F97061"/>
    </row>
    <row r="97062" spans="1:6" x14ac:dyDescent="0.25">
      <c r="A97062"/>
      <c r="B97062"/>
      <c r="C97062"/>
      <c r="E97062"/>
      <c r="F97062"/>
    </row>
    <row r="97063" spans="1:6" x14ac:dyDescent="0.25">
      <c r="A97063"/>
      <c r="B97063"/>
      <c r="C97063"/>
      <c r="E97063"/>
      <c r="F97063"/>
    </row>
    <row r="97064" spans="1:6" x14ac:dyDescent="0.25">
      <c r="A97064"/>
      <c r="B97064"/>
      <c r="C97064"/>
      <c r="E97064"/>
      <c r="F97064"/>
    </row>
    <row r="97065" spans="1:6" x14ac:dyDescent="0.25">
      <c r="A97065"/>
      <c r="B97065"/>
      <c r="C97065"/>
      <c r="E97065"/>
      <c r="F97065"/>
    </row>
    <row r="97066" spans="1:6" x14ac:dyDescent="0.25">
      <c r="A97066"/>
      <c r="B97066"/>
      <c r="C97066"/>
      <c r="E97066"/>
      <c r="F97066"/>
    </row>
    <row r="97067" spans="1:6" x14ac:dyDescent="0.25">
      <c r="A97067"/>
      <c r="B97067"/>
      <c r="C97067"/>
      <c r="E97067"/>
      <c r="F97067"/>
    </row>
    <row r="97068" spans="1:6" x14ac:dyDescent="0.25">
      <c r="A97068"/>
      <c r="B97068"/>
      <c r="C97068"/>
      <c r="E97068"/>
      <c r="F97068"/>
    </row>
    <row r="97069" spans="1:6" x14ac:dyDescent="0.25">
      <c r="A97069"/>
      <c r="B97069"/>
      <c r="C97069"/>
      <c r="E97069"/>
      <c r="F97069"/>
    </row>
    <row r="97070" spans="1:6" x14ac:dyDescent="0.25">
      <c r="A97070"/>
      <c r="B97070"/>
      <c r="C97070"/>
      <c r="E97070"/>
      <c r="F97070"/>
    </row>
    <row r="97071" spans="1:6" x14ac:dyDescent="0.25">
      <c r="A97071"/>
      <c r="B97071"/>
      <c r="C97071"/>
      <c r="E97071"/>
      <c r="F97071"/>
    </row>
    <row r="97072" spans="1:6" x14ac:dyDescent="0.25">
      <c r="A97072"/>
      <c r="B97072"/>
      <c r="C97072"/>
      <c r="E97072"/>
      <c r="F97072"/>
    </row>
    <row r="97073" spans="1:6" x14ac:dyDescent="0.25">
      <c r="A97073"/>
      <c r="B97073"/>
      <c r="C97073"/>
      <c r="E97073"/>
      <c r="F97073"/>
    </row>
    <row r="97074" spans="1:6" x14ac:dyDescent="0.25">
      <c r="A97074"/>
      <c r="B97074"/>
      <c r="C97074"/>
      <c r="E97074"/>
      <c r="F97074"/>
    </row>
    <row r="97075" spans="1:6" x14ac:dyDescent="0.25">
      <c r="A97075"/>
      <c r="B97075"/>
      <c r="C97075"/>
      <c r="E97075"/>
      <c r="F97075"/>
    </row>
    <row r="97076" spans="1:6" x14ac:dyDescent="0.25">
      <c r="A97076"/>
      <c r="B97076"/>
      <c r="C97076"/>
      <c r="E97076"/>
      <c r="F97076"/>
    </row>
    <row r="97077" spans="1:6" x14ac:dyDescent="0.25">
      <c r="A97077"/>
      <c r="B97077"/>
      <c r="C97077"/>
      <c r="E97077"/>
      <c r="F97077"/>
    </row>
    <row r="97078" spans="1:6" x14ac:dyDescent="0.25">
      <c r="A97078"/>
      <c r="B97078"/>
      <c r="C97078"/>
      <c r="E97078"/>
      <c r="F97078"/>
    </row>
    <row r="97079" spans="1:6" x14ac:dyDescent="0.25">
      <c r="A97079"/>
      <c r="B97079"/>
      <c r="C97079"/>
      <c r="E97079"/>
      <c r="F97079"/>
    </row>
    <row r="97080" spans="1:6" x14ac:dyDescent="0.25">
      <c r="A97080"/>
      <c r="B97080"/>
      <c r="C97080"/>
      <c r="E97080"/>
      <c r="F97080"/>
    </row>
    <row r="97081" spans="1:6" x14ac:dyDescent="0.25">
      <c r="A97081"/>
      <c r="B97081"/>
      <c r="C97081"/>
      <c r="E97081"/>
      <c r="F97081"/>
    </row>
    <row r="97082" spans="1:6" x14ac:dyDescent="0.25">
      <c r="A97082"/>
      <c r="B97082"/>
      <c r="C97082"/>
      <c r="E97082"/>
      <c r="F97082"/>
    </row>
    <row r="97083" spans="1:6" x14ac:dyDescent="0.25">
      <c r="A97083"/>
      <c r="B97083"/>
      <c r="C97083"/>
      <c r="E97083"/>
      <c r="F97083"/>
    </row>
    <row r="97084" spans="1:6" x14ac:dyDescent="0.25">
      <c r="A97084"/>
      <c r="B97084"/>
      <c r="C97084"/>
      <c r="E97084"/>
      <c r="F97084"/>
    </row>
    <row r="97085" spans="1:6" x14ac:dyDescent="0.25">
      <c r="A97085"/>
      <c r="B97085"/>
      <c r="C97085"/>
      <c r="E97085"/>
      <c r="F97085"/>
    </row>
    <row r="97086" spans="1:6" x14ac:dyDescent="0.25">
      <c r="A97086"/>
      <c r="B97086"/>
      <c r="C97086"/>
      <c r="E97086"/>
      <c r="F97086"/>
    </row>
    <row r="97087" spans="1:6" x14ac:dyDescent="0.25">
      <c r="A97087"/>
      <c r="B97087"/>
      <c r="C97087"/>
      <c r="E97087"/>
      <c r="F97087"/>
    </row>
    <row r="97088" spans="1:6" x14ac:dyDescent="0.25">
      <c r="A97088"/>
      <c r="B97088"/>
      <c r="C97088"/>
      <c r="E97088"/>
      <c r="F97088"/>
    </row>
    <row r="97089" spans="1:6" x14ac:dyDescent="0.25">
      <c r="A97089"/>
      <c r="B97089"/>
      <c r="C97089"/>
      <c r="E97089"/>
      <c r="F97089"/>
    </row>
    <row r="97090" spans="1:6" x14ac:dyDescent="0.25">
      <c r="A97090"/>
      <c r="B97090"/>
      <c r="C97090"/>
      <c r="E97090"/>
      <c r="F97090"/>
    </row>
    <row r="97091" spans="1:6" x14ac:dyDescent="0.25">
      <c r="A97091"/>
      <c r="B97091"/>
      <c r="C97091"/>
      <c r="E97091"/>
      <c r="F97091"/>
    </row>
    <row r="97092" spans="1:6" x14ac:dyDescent="0.25">
      <c r="A97092"/>
      <c r="B97092"/>
      <c r="C97092"/>
      <c r="E97092"/>
      <c r="F97092"/>
    </row>
    <row r="97093" spans="1:6" x14ac:dyDescent="0.25">
      <c r="A97093"/>
      <c r="B97093"/>
      <c r="C97093"/>
      <c r="E97093"/>
      <c r="F97093"/>
    </row>
    <row r="97094" spans="1:6" x14ac:dyDescent="0.25">
      <c r="A97094"/>
      <c r="B97094"/>
      <c r="C97094"/>
      <c r="E97094"/>
      <c r="F97094"/>
    </row>
    <row r="97095" spans="1:6" x14ac:dyDescent="0.25">
      <c r="A97095"/>
      <c r="B97095"/>
      <c r="C97095"/>
      <c r="E97095"/>
      <c r="F97095"/>
    </row>
    <row r="97096" spans="1:6" x14ac:dyDescent="0.25">
      <c r="A97096"/>
      <c r="B97096"/>
      <c r="C97096"/>
      <c r="E97096"/>
      <c r="F97096"/>
    </row>
    <row r="97097" spans="1:6" x14ac:dyDescent="0.25">
      <c r="A97097"/>
      <c r="B97097"/>
      <c r="C97097"/>
      <c r="E97097"/>
      <c r="F97097"/>
    </row>
    <row r="97098" spans="1:6" x14ac:dyDescent="0.25">
      <c r="A97098"/>
      <c r="B97098"/>
      <c r="C97098"/>
      <c r="E97098"/>
      <c r="F97098"/>
    </row>
    <row r="97099" spans="1:6" x14ac:dyDescent="0.25">
      <c r="A97099"/>
      <c r="B97099"/>
      <c r="C97099"/>
      <c r="E97099"/>
      <c r="F97099"/>
    </row>
    <row r="97100" spans="1:6" x14ac:dyDescent="0.25">
      <c r="A97100"/>
      <c r="B97100"/>
      <c r="C97100"/>
      <c r="E97100"/>
      <c r="F97100"/>
    </row>
    <row r="97101" spans="1:6" x14ac:dyDescent="0.25">
      <c r="A97101"/>
      <c r="B97101"/>
      <c r="C97101"/>
      <c r="E97101"/>
      <c r="F97101"/>
    </row>
    <row r="97102" spans="1:6" x14ac:dyDescent="0.25">
      <c r="A97102"/>
      <c r="B97102"/>
      <c r="C97102"/>
      <c r="E97102"/>
      <c r="F97102"/>
    </row>
    <row r="97103" spans="1:6" x14ac:dyDescent="0.25">
      <c r="A97103"/>
      <c r="B97103"/>
      <c r="C97103"/>
      <c r="E97103"/>
      <c r="F97103"/>
    </row>
    <row r="97104" spans="1:6" x14ac:dyDescent="0.25">
      <c r="A97104"/>
      <c r="B97104"/>
      <c r="C97104"/>
      <c r="E97104"/>
      <c r="F97104"/>
    </row>
    <row r="97105" spans="1:6" x14ac:dyDescent="0.25">
      <c r="A97105"/>
      <c r="B97105"/>
      <c r="C97105"/>
      <c r="E97105"/>
      <c r="F97105"/>
    </row>
    <row r="97106" spans="1:6" x14ac:dyDescent="0.25">
      <c r="A97106"/>
      <c r="B97106"/>
      <c r="C97106"/>
      <c r="E97106"/>
      <c r="F97106"/>
    </row>
    <row r="97107" spans="1:6" x14ac:dyDescent="0.25">
      <c r="A97107"/>
      <c r="B97107"/>
      <c r="C97107"/>
      <c r="E97107"/>
      <c r="F97107"/>
    </row>
    <row r="97108" spans="1:6" x14ac:dyDescent="0.25">
      <c r="A97108"/>
      <c r="B97108"/>
      <c r="C97108"/>
      <c r="E97108"/>
      <c r="F97108"/>
    </row>
    <row r="97109" spans="1:6" x14ac:dyDescent="0.25">
      <c r="A97109"/>
      <c r="B97109"/>
      <c r="C97109"/>
      <c r="E97109"/>
      <c r="F97109"/>
    </row>
    <row r="97110" spans="1:6" x14ac:dyDescent="0.25">
      <c r="A97110"/>
      <c r="B97110"/>
      <c r="C97110"/>
      <c r="E97110"/>
      <c r="F97110"/>
    </row>
    <row r="97111" spans="1:6" x14ac:dyDescent="0.25">
      <c r="A97111"/>
      <c r="B97111"/>
      <c r="C97111"/>
      <c r="E97111"/>
      <c r="F97111"/>
    </row>
    <row r="97112" spans="1:6" x14ac:dyDescent="0.25">
      <c r="A97112"/>
      <c r="B97112"/>
      <c r="C97112"/>
      <c r="E97112"/>
      <c r="F97112"/>
    </row>
    <row r="97113" spans="1:6" x14ac:dyDescent="0.25">
      <c r="A97113"/>
      <c r="B97113"/>
      <c r="C97113"/>
      <c r="E97113"/>
      <c r="F97113"/>
    </row>
    <row r="97114" spans="1:6" x14ac:dyDescent="0.25">
      <c r="A97114"/>
      <c r="B97114"/>
      <c r="C97114"/>
      <c r="E97114"/>
      <c r="F97114"/>
    </row>
    <row r="97115" spans="1:6" x14ac:dyDescent="0.25">
      <c r="A97115"/>
      <c r="B97115"/>
      <c r="C97115"/>
      <c r="E97115"/>
      <c r="F97115"/>
    </row>
    <row r="97116" spans="1:6" x14ac:dyDescent="0.25">
      <c r="A97116"/>
      <c r="B97116"/>
      <c r="C97116"/>
      <c r="E97116"/>
      <c r="F97116"/>
    </row>
    <row r="97117" spans="1:6" x14ac:dyDescent="0.25">
      <c r="A97117"/>
      <c r="B97117"/>
      <c r="C97117"/>
      <c r="E97117"/>
      <c r="F97117"/>
    </row>
    <row r="97118" spans="1:6" x14ac:dyDescent="0.25">
      <c r="A97118"/>
      <c r="B97118"/>
      <c r="C97118"/>
      <c r="E97118"/>
      <c r="F97118"/>
    </row>
    <row r="97119" spans="1:6" x14ac:dyDescent="0.25">
      <c r="A97119"/>
      <c r="B97119"/>
      <c r="C97119"/>
      <c r="E97119"/>
      <c r="F97119"/>
    </row>
    <row r="97120" spans="1:6" x14ac:dyDescent="0.25">
      <c r="A97120"/>
      <c r="B97120"/>
      <c r="C97120"/>
      <c r="E97120"/>
      <c r="F97120"/>
    </row>
    <row r="97121" spans="1:6" x14ac:dyDescent="0.25">
      <c r="A97121"/>
      <c r="B97121"/>
      <c r="C97121"/>
      <c r="E97121"/>
      <c r="F97121"/>
    </row>
    <row r="97122" spans="1:6" x14ac:dyDescent="0.25">
      <c r="A97122"/>
      <c r="B97122"/>
      <c r="C97122"/>
      <c r="E97122"/>
      <c r="F97122"/>
    </row>
    <row r="97123" spans="1:6" x14ac:dyDescent="0.25">
      <c r="A97123"/>
      <c r="B97123"/>
      <c r="C97123"/>
      <c r="E97123"/>
      <c r="F97123"/>
    </row>
    <row r="97124" spans="1:6" x14ac:dyDescent="0.25">
      <c r="A97124"/>
      <c r="B97124"/>
      <c r="C97124"/>
      <c r="E97124"/>
      <c r="F97124"/>
    </row>
    <row r="97125" spans="1:6" x14ac:dyDescent="0.25">
      <c r="A97125"/>
      <c r="B97125"/>
      <c r="C97125"/>
      <c r="E97125"/>
      <c r="F97125"/>
    </row>
    <row r="97126" spans="1:6" x14ac:dyDescent="0.25">
      <c r="A97126"/>
      <c r="B97126"/>
      <c r="C97126"/>
      <c r="E97126"/>
      <c r="F97126"/>
    </row>
    <row r="97127" spans="1:6" x14ac:dyDescent="0.25">
      <c r="A97127"/>
      <c r="B97127"/>
      <c r="C97127"/>
      <c r="E97127"/>
      <c r="F97127"/>
    </row>
    <row r="97128" spans="1:6" x14ac:dyDescent="0.25">
      <c r="A97128"/>
      <c r="B97128"/>
      <c r="C97128"/>
      <c r="E97128"/>
      <c r="F97128"/>
    </row>
    <row r="97129" spans="1:6" x14ac:dyDescent="0.25">
      <c r="A97129"/>
      <c r="B97129"/>
      <c r="C97129"/>
      <c r="E97129"/>
      <c r="F97129"/>
    </row>
    <row r="97130" spans="1:6" x14ac:dyDescent="0.25">
      <c r="A97130"/>
      <c r="B97130"/>
      <c r="C97130"/>
      <c r="E97130"/>
      <c r="F97130"/>
    </row>
    <row r="97131" spans="1:6" x14ac:dyDescent="0.25">
      <c r="A97131"/>
      <c r="B97131"/>
      <c r="C97131"/>
      <c r="E97131"/>
      <c r="F97131"/>
    </row>
    <row r="97132" spans="1:6" x14ac:dyDescent="0.25">
      <c r="A97132"/>
      <c r="B97132"/>
      <c r="C97132"/>
      <c r="E97132"/>
      <c r="F97132"/>
    </row>
    <row r="97133" spans="1:6" x14ac:dyDescent="0.25">
      <c r="A97133"/>
      <c r="B97133"/>
      <c r="C97133"/>
      <c r="E97133"/>
      <c r="F97133"/>
    </row>
    <row r="97134" spans="1:6" x14ac:dyDescent="0.25">
      <c r="A97134"/>
      <c r="B97134"/>
      <c r="C97134"/>
      <c r="E97134"/>
      <c r="F97134"/>
    </row>
    <row r="97135" spans="1:6" x14ac:dyDescent="0.25">
      <c r="A97135"/>
      <c r="B97135"/>
      <c r="C97135"/>
      <c r="E97135"/>
      <c r="F97135"/>
    </row>
    <row r="97136" spans="1:6" x14ac:dyDescent="0.25">
      <c r="A97136"/>
      <c r="B97136"/>
      <c r="C97136"/>
      <c r="E97136"/>
      <c r="F97136"/>
    </row>
    <row r="97137" spans="1:6" x14ac:dyDescent="0.25">
      <c r="A97137"/>
      <c r="B97137"/>
      <c r="C97137"/>
      <c r="E97137"/>
      <c r="F97137"/>
    </row>
    <row r="97138" spans="1:6" x14ac:dyDescent="0.25">
      <c r="A97138"/>
      <c r="B97138"/>
      <c r="C97138"/>
      <c r="E97138"/>
      <c r="F97138"/>
    </row>
    <row r="97139" spans="1:6" x14ac:dyDescent="0.25">
      <c r="A97139"/>
      <c r="B97139"/>
      <c r="C97139"/>
      <c r="E97139"/>
      <c r="F97139"/>
    </row>
    <row r="97140" spans="1:6" x14ac:dyDescent="0.25">
      <c r="A97140"/>
      <c r="B97140"/>
      <c r="C97140"/>
      <c r="E97140"/>
      <c r="F97140"/>
    </row>
    <row r="97141" spans="1:6" x14ac:dyDescent="0.25">
      <c r="A97141"/>
      <c r="B97141"/>
      <c r="C97141"/>
      <c r="E97141"/>
      <c r="F97141"/>
    </row>
    <row r="97142" spans="1:6" x14ac:dyDescent="0.25">
      <c r="A97142"/>
      <c r="B97142"/>
      <c r="C97142"/>
      <c r="E97142"/>
      <c r="F97142"/>
    </row>
    <row r="97143" spans="1:6" x14ac:dyDescent="0.25">
      <c r="A97143"/>
      <c r="B97143"/>
      <c r="C97143"/>
      <c r="E97143"/>
      <c r="F97143"/>
    </row>
    <row r="97144" spans="1:6" x14ac:dyDescent="0.25">
      <c r="A97144"/>
      <c r="B97144"/>
      <c r="C97144"/>
      <c r="E97144"/>
      <c r="F97144"/>
    </row>
    <row r="97145" spans="1:6" x14ac:dyDescent="0.25">
      <c r="A97145"/>
      <c r="B97145"/>
      <c r="C97145"/>
      <c r="E97145"/>
      <c r="F97145"/>
    </row>
    <row r="97146" spans="1:6" x14ac:dyDescent="0.25">
      <c r="A97146"/>
      <c r="B97146"/>
      <c r="C97146"/>
      <c r="E97146"/>
      <c r="F97146"/>
    </row>
    <row r="97147" spans="1:6" x14ac:dyDescent="0.25">
      <c r="A97147"/>
      <c r="B97147"/>
      <c r="C97147"/>
      <c r="E97147"/>
      <c r="F97147"/>
    </row>
    <row r="97148" spans="1:6" x14ac:dyDescent="0.25">
      <c r="A97148"/>
      <c r="B97148"/>
      <c r="C97148"/>
      <c r="E97148"/>
      <c r="F97148"/>
    </row>
    <row r="97149" spans="1:6" x14ac:dyDescent="0.25">
      <c r="A97149"/>
      <c r="B97149"/>
      <c r="C97149"/>
      <c r="E97149"/>
      <c r="F97149"/>
    </row>
    <row r="97150" spans="1:6" x14ac:dyDescent="0.25">
      <c r="A97150"/>
      <c r="B97150"/>
      <c r="C97150"/>
      <c r="E97150"/>
      <c r="F97150"/>
    </row>
    <row r="97151" spans="1:6" x14ac:dyDescent="0.25">
      <c r="A97151"/>
      <c r="B97151"/>
      <c r="C97151"/>
      <c r="E97151"/>
      <c r="F97151"/>
    </row>
    <row r="97152" spans="1:6" x14ac:dyDescent="0.25">
      <c r="A97152"/>
      <c r="B97152"/>
      <c r="C97152"/>
      <c r="E97152"/>
      <c r="F97152"/>
    </row>
    <row r="97153" spans="1:6" x14ac:dyDescent="0.25">
      <c r="A97153"/>
      <c r="B97153"/>
      <c r="C97153"/>
      <c r="E97153"/>
      <c r="F97153"/>
    </row>
    <row r="97154" spans="1:6" x14ac:dyDescent="0.25">
      <c r="A97154"/>
      <c r="B97154"/>
      <c r="C97154"/>
      <c r="E97154"/>
      <c r="F97154"/>
    </row>
    <row r="97155" spans="1:6" x14ac:dyDescent="0.25">
      <c r="A97155"/>
      <c r="B97155"/>
      <c r="C97155"/>
      <c r="E97155"/>
      <c r="F97155"/>
    </row>
    <row r="97156" spans="1:6" x14ac:dyDescent="0.25">
      <c r="A97156"/>
      <c r="B97156"/>
      <c r="C97156"/>
      <c r="E97156"/>
      <c r="F97156"/>
    </row>
    <row r="97157" spans="1:6" x14ac:dyDescent="0.25">
      <c r="A97157"/>
      <c r="B97157"/>
      <c r="C97157"/>
      <c r="E97157"/>
      <c r="F97157"/>
    </row>
    <row r="97158" spans="1:6" x14ac:dyDescent="0.25">
      <c r="A97158"/>
      <c r="B97158"/>
      <c r="C97158"/>
      <c r="E97158"/>
      <c r="F97158"/>
    </row>
    <row r="97159" spans="1:6" x14ac:dyDescent="0.25">
      <c r="A97159"/>
      <c r="B97159"/>
      <c r="C97159"/>
      <c r="E97159"/>
      <c r="F97159"/>
    </row>
    <row r="97160" spans="1:6" x14ac:dyDescent="0.25">
      <c r="A97160"/>
      <c r="B97160"/>
      <c r="C97160"/>
      <c r="E97160"/>
      <c r="F97160"/>
    </row>
    <row r="97161" spans="1:6" x14ac:dyDescent="0.25">
      <c r="A97161"/>
      <c r="B97161"/>
      <c r="C97161"/>
      <c r="E97161"/>
      <c r="F97161"/>
    </row>
    <row r="97162" spans="1:6" x14ac:dyDescent="0.25">
      <c r="A97162"/>
      <c r="B97162"/>
      <c r="C97162"/>
      <c r="E97162"/>
      <c r="F97162"/>
    </row>
    <row r="97163" spans="1:6" x14ac:dyDescent="0.25">
      <c r="A97163"/>
      <c r="B97163"/>
      <c r="C97163"/>
      <c r="E97163"/>
      <c r="F97163"/>
    </row>
    <row r="97164" spans="1:6" x14ac:dyDescent="0.25">
      <c r="A97164"/>
      <c r="B97164"/>
      <c r="C97164"/>
      <c r="E97164"/>
      <c r="F97164"/>
    </row>
    <row r="97165" spans="1:6" x14ac:dyDescent="0.25">
      <c r="A97165"/>
      <c r="B97165"/>
      <c r="C97165"/>
      <c r="E97165"/>
      <c r="F97165"/>
    </row>
    <row r="97166" spans="1:6" x14ac:dyDescent="0.25">
      <c r="A97166"/>
      <c r="B97166"/>
      <c r="C97166"/>
      <c r="E97166"/>
      <c r="F97166"/>
    </row>
    <row r="97167" spans="1:6" x14ac:dyDescent="0.25">
      <c r="A97167"/>
      <c r="B97167"/>
      <c r="C97167"/>
      <c r="E97167"/>
      <c r="F97167"/>
    </row>
    <row r="97168" spans="1:6" x14ac:dyDescent="0.25">
      <c r="A97168"/>
      <c r="B97168"/>
      <c r="C97168"/>
      <c r="E97168"/>
      <c r="F97168"/>
    </row>
    <row r="97169" spans="1:6" x14ac:dyDescent="0.25">
      <c r="A97169"/>
      <c r="B97169"/>
      <c r="C97169"/>
      <c r="E97169"/>
      <c r="F97169"/>
    </row>
    <row r="97170" spans="1:6" x14ac:dyDescent="0.25">
      <c r="A97170"/>
      <c r="B97170"/>
      <c r="C97170"/>
      <c r="E97170"/>
      <c r="F97170"/>
    </row>
    <row r="97171" spans="1:6" x14ac:dyDescent="0.25">
      <c r="A97171"/>
      <c r="B97171"/>
      <c r="C97171"/>
      <c r="E97171"/>
      <c r="F97171"/>
    </row>
    <row r="97172" spans="1:6" x14ac:dyDescent="0.25">
      <c r="A97172"/>
      <c r="B97172"/>
      <c r="C97172"/>
      <c r="E97172"/>
      <c r="F97172"/>
    </row>
    <row r="97173" spans="1:6" x14ac:dyDescent="0.25">
      <c r="A97173"/>
      <c r="B97173"/>
      <c r="C97173"/>
      <c r="E97173"/>
      <c r="F97173"/>
    </row>
    <row r="97174" spans="1:6" x14ac:dyDescent="0.25">
      <c r="A97174"/>
      <c r="B97174"/>
      <c r="C97174"/>
      <c r="E97174"/>
      <c r="F97174"/>
    </row>
    <row r="97175" spans="1:6" x14ac:dyDescent="0.25">
      <c r="A97175"/>
      <c r="B97175"/>
      <c r="C97175"/>
      <c r="E97175"/>
      <c r="F97175"/>
    </row>
    <row r="97176" spans="1:6" x14ac:dyDescent="0.25">
      <c r="A97176"/>
      <c r="B97176"/>
      <c r="C97176"/>
      <c r="E97176"/>
      <c r="F97176"/>
    </row>
    <row r="97177" spans="1:6" x14ac:dyDescent="0.25">
      <c r="A97177"/>
      <c r="B97177"/>
      <c r="C97177"/>
      <c r="E97177"/>
      <c r="F97177"/>
    </row>
    <row r="97178" spans="1:6" x14ac:dyDescent="0.25">
      <c r="A97178"/>
      <c r="B97178"/>
      <c r="C97178"/>
      <c r="E97178"/>
      <c r="F97178"/>
    </row>
    <row r="97179" spans="1:6" x14ac:dyDescent="0.25">
      <c r="A97179"/>
      <c r="B97179"/>
      <c r="C97179"/>
      <c r="E97179"/>
      <c r="F97179"/>
    </row>
    <row r="97180" spans="1:6" x14ac:dyDescent="0.25">
      <c r="A97180"/>
      <c r="B97180"/>
      <c r="C97180"/>
      <c r="E97180"/>
      <c r="F97180"/>
    </row>
    <row r="97181" spans="1:6" x14ac:dyDescent="0.25">
      <c r="A97181"/>
      <c r="B97181"/>
      <c r="C97181"/>
      <c r="E97181"/>
      <c r="F97181"/>
    </row>
    <row r="97182" spans="1:6" x14ac:dyDescent="0.25">
      <c r="A97182"/>
      <c r="B97182"/>
      <c r="C97182"/>
      <c r="E97182"/>
      <c r="F97182"/>
    </row>
    <row r="97183" spans="1:6" x14ac:dyDescent="0.25">
      <c r="A97183"/>
      <c r="B97183"/>
      <c r="C97183"/>
      <c r="E97183"/>
      <c r="F97183"/>
    </row>
    <row r="97184" spans="1:6" x14ac:dyDescent="0.25">
      <c r="A97184"/>
      <c r="B97184"/>
      <c r="C97184"/>
      <c r="E97184"/>
      <c r="F97184"/>
    </row>
    <row r="97185" spans="1:6" x14ac:dyDescent="0.25">
      <c r="A97185"/>
      <c r="B97185"/>
      <c r="C97185"/>
      <c r="E97185"/>
      <c r="F97185"/>
    </row>
    <row r="97186" spans="1:6" x14ac:dyDescent="0.25">
      <c r="A97186"/>
      <c r="B97186"/>
      <c r="C97186"/>
      <c r="E97186"/>
      <c r="F97186"/>
    </row>
    <row r="97187" spans="1:6" x14ac:dyDescent="0.25">
      <c r="A97187"/>
      <c r="B97187"/>
      <c r="C97187"/>
      <c r="E97187"/>
      <c r="F97187"/>
    </row>
    <row r="97188" spans="1:6" x14ac:dyDescent="0.25">
      <c r="A97188"/>
      <c r="B97188"/>
      <c r="C97188"/>
      <c r="E97188"/>
      <c r="F97188"/>
    </row>
    <row r="97189" spans="1:6" x14ac:dyDescent="0.25">
      <c r="A97189"/>
      <c r="B97189"/>
      <c r="C97189"/>
      <c r="E97189"/>
      <c r="F97189"/>
    </row>
    <row r="97190" spans="1:6" x14ac:dyDescent="0.25">
      <c r="A97190"/>
      <c r="B97190"/>
      <c r="C97190"/>
      <c r="E97190"/>
      <c r="F97190"/>
    </row>
    <row r="97191" spans="1:6" x14ac:dyDescent="0.25">
      <c r="A97191"/>
      <c r="B97191"/>
      <c r="C97191"/>
      <c r="E97191"/>
      <c r="F97191"/>
    </row>
    <row r="97192" spans="1:6" x14ac:dyDescent="0.25">
      <c r="A97192"/>
      <c r="B97192"/>
      <c r="C97192"/>
      <c r="E97192"/>
      <c r="F97192"/>
    </row>
    <row r="97193" spans="1:6" x14ac:dyDescent="0.25">
      <c r="A97193"/>
      <c r="B97193"/>
      <c r="C97193"/>
      <c r="E97193"/>
      <c r="F97193"/>
    </row>
    <row r="97194" spans="1:6" x14ac:dyDescent="0.25">
      <c r="A97194"/>
      <c r="B97194"/>
      <c r="C97194"/>
      <c r="E97194"/>
      <c r="F97194"/>
    </row>
    <row r="97195" spans="1:6" x14ac:dyDescent="0.25">
      <c r="A97195"/>
      <c r="B97195"/>
      <c r="C97195"/>
      <c r="E97195"/>
      <c r="F97195"/>
    </row>
    <row r="97196" spans="1:6" x14ac:dyDescent="0.25">
      <c r="A97196"/>
      <c r="B97196"/>
      <c r="C97196"/>
      <c r="E97196"/>
      <c r="F97196"/>
    </row>
    <row r="97197" spans="1:6" x14ac:dyDescent="0.25">
      <c r="A97197"/>
      <c r="B97197"/>
      <c r="C97197"/>
      <c r="E97197"/>
      <c r="F97197"/>
    </row>
    <row r="97198" spans="1:6" x14ac:dyDescent="0.25">
      <c r="A97198"/>
      <c r="B97198"/>
      <c r="C97198"/>
      <c r="E97198"/>
      <c r="F97198"/>
    </row>
    <row r="97199" spans="1:6" x14ac:dyDescent="0.25">
      <c r="A97199"/>
      <c r="B97199"/>
      <c r="C97199"/>
      <c r="E97199"/>
      <c r="F97199"/>
    </row>
    <row r="97200" spans="1:6" x14ac:dyDescent="0.25">
      <c r="A97200"/>
      <c r="B97200"/>
      <c r="C97200"/>
      <c r="E97200"/>
      <c r="F97200"/>
    </row>
    <row r="97201" spans="1:6" x14ac:dyDescent="0.25">
      <c r="A97201"/>
      <c r="B97201"/>
      <c r="C97201"/>
      <c r="E97201"/>
      <c r="F97201"/>
    </row>
    <row r="97202" spans="1:6" x14ac:dyDescent="0.25">
      <c r="A97202"/>
      <c r="B97202"/>
      <c r="C97202"/>
      <c r="E97202"/>
      <c r="F97202"/>
    </row>
    <row r="97203" spans="1:6" x14ac:dyDescent="0.25">
      <c r="A97203"/>
      <c r="B97203"/>
      <c r="C97203"/>
      <c r="E97203"/>
      <c r="F97203"/>
    </row>
    <row r="97204" spans="1:6" x14ac:dyDescent="0.25">
      <c r="A97204"/>
      <c r="B97204"/>
      <c r="C97204"/>
      <c r="E97204"/>
      <c r="F97204"/>
    </row>
    <row r="97205" spans="1:6" x14ac:dyDescent="0.25">
      <c r="A97205"/>
      <c r="B97205"/>
      <c r="C97205"/>
      <c r="E97205"/>
      <c r="F97205"/>
    </row>
    <row r="97206" spans="1:6" x14ac:dyDescent="0.25">
      <c r="A97206"/>
      <c r="B97206"/>
      <c r="C97206"/>
      <c r="E97206"/>
      <c r="F97206"/>
    </row>
    <row r="97207" spans="1:6" x14ac:dyDescent="0.25">
      <c r="A97207"/>
      <c r="B97207"/>
      <c r="C97207"/>
      <c r="E97207"/>
      <c r="F97207"/>
    </row>
    <row r="97208" spans="1:6" x14ac:dyDescent="0.25">
      <c r="A97208"/>
      <c r="B97208"/>
      <c r="C97208"/>
      <c r="E97208"/>
      <c r="F97208"/>
    </row>
    <row r="97209" spans="1:6" x14ac:dyDescent="0.25">
      <c r="A97209"/>
      <c r="B97209"/>
      <c r="C97209"/>
      <c r="E97209"/>
      <c r="F97209"/>
    </row>
    <row r="97210" spans="1:6" x14ac:dyDescent="0.25">
      <c r="A97210"/>
      <c r="B97210"/>
      <c r="C97210"/>
      <c r="E97210"/>
      <c r="F97210"/>
    </row>
    <row r="97211" spans="1:6" x14ac:dyDescent="0.25">
      <c r="A97211"/>
      <c r="B97211"/>
      <c r="C97211"/>
      <c r="E97211"/>
      <c r="F97211"/>
    </row>
    <row r="97212" spans="1:6" x14ac:dyDescent="0.25">
      <c r="A97212"/>
      <c r="B97212"/>
      <c r="C97212"/>
      <c r="E97212"/>
      <c r="F97212"/>
    </row>
    <row r="97213" spans="1:6" x14ac:dyDescent="0.25">
      <c r="A97213"/>
      <c r="B97213"/>
      <c r="C97213"/>
      <c r="E97213"/>
      <c r="F97213"/>
    </row>
    <row r="97214" spans="1:6" x14ac:dyDescent="0.25">
      <c r="A97214"/>
      <c r="B97214"/>
      <c r="C97214"/>
      <c r="E97214"/>
      <c r="F97214"/>
    </row>
    <row r="97215" spans="1:6" x14ac:dyDescent="0.25">
      <c r="A97215"/>
      <c r="B97215"/>
      <c r="C97215"/>
      <c r="E97215"/>
      <c r="F97215"/>
    </row>
    <row r="97216" spans="1:6" x14ac:dyDescent="0.25">
      <c r="A97216"/>
      <c r="B97216"/>
      <c r="C97216"/>
      <c r="E97216"/>
      <c r="F97216"/>
    </row>
    <row r="97217" spans="1:6" x14ac:dyDescent="0.25">
      <c r="A97217"/>
      <c r="B97217"/>
      <c r="C97217"/>
      <c r="E97217"/>
      <c r="F97217"/>
    </row>
    <row r="97218" spans="1:6" x14ac:dyDescent="0.25">
      <c r="A97218"/>
      <c r="B97218"/>
      <c r="C97218"/>
      <c r="E97218"/>
      <c r="F97218"/>
    </row>
    <row r="97219" spans="1:6" x14ac:dyDescent="0.25">
      <c r="A97219"/>
      <c r="B97219"/>
      <c r="C97219"/>
      <c r="E97219"/>
      <c r="F97219"/>
    </row>
    <row r="97220" spans="1:6" x14ac:dyDescent="0.25">
      <c r="A97220"/>
      <c r="B97220"/>
      <c r="C97220"/>
      <c r="E97220"/>
      <c r="F97220"/>
    </row>
    <row r="97221" spans="1:6" x14ac:dyDescent="0.25">
      <c r="A97221"/>
      <c r="B97221"/>
      <c r="C97221"/>
      <c r="E97221"/>
      <c r="F97221"/>
    </row>
    <row r="97222" spans="1:6" x14ac:dyDescent="0.25">
      <c r="A97222"/>
      <c r="B97222"/>
      <c r="C97222"/>
      <c r="E97222"/>
      <c r="F97222"/>
    </row>
    <row r="97223" spans="1:6" x14ac:dyDescent="0.25">
      <c r="A97223"/>
      <c r="B97223"/>
      <c r="C97223"/>
      <c r="E97223"/>
      <c r="F97223"/>
    </row>
    <row r="97224" spans="1:6" x14ac:dyDescent="0.25">
      <c r="A97224"/>
      <c r="B97224"/>
      <c r="C97224"/>
      <c r="E97224"/>
      <c r="F97224"/>
    </row>
    <row r="97225" spans="1:6" x14ac:dyDescent="0.25">
      <c r="A97225"/>
      <c r="B97225"/>
      <c r="C97225"/>
      <c r="E97225"/>
      <c r="F97225"/>
    </row>
    <row r="97226" spans="1:6" x14ac:dyDescent="0.25">
      <c r="A97226"/>
      <c r="B97226"/>
      <c r="C97226"/>
      <c r="E97226"/>
      <c r="F97226"/>
    </row>
    <row r="97227" spans="1:6" x14ac:dyDescent="0.25">
      <c r="A97227"/>
      <c r="B97227"/>
      <c r="C97227"/>
      <c r="E97227"/>
      <c r="F97227"/>
    </row>
    <row r="97228" spans="1:6" x14ac:dyDescent="0.25">
      <c r="A97228"/>
      <c r="B97228"/>
      <c r="C97228"/>
      <c r="E97228"/>
      <c r="F97228"/>
    </row>
    <row r="97229" spans="1:6" x14ac:dyDescent="0.25">
      <c r="A97229"/>
      <c r="B97229"/>
      <c r="C97229"/>
      <c r="E97229"/>
      <c r="F97229"/>
    </row>
    <row r="97230" spans="1:6" x14ac:dyDescent="0.25">
      <c r="A97230"/>
      <c r="B97230"/>
      <c r="C97230"/>
      <c r="E97230"/>
      <c r="F97230"/>
    </row>
    <row r="97231" spans="1:6" x14ac:dyDescent="0.25">
      <c r="A97231"/>
      <c r="B97231"/>
      <c r="C97231"/>
      <c r="E97231"/>
      <c r="F97231"/>
    </row>
    <row r="97232" spans="1:6" x14ac:dyDescent="0.25">
      <c r="A97232"/>
      <c r="B97232"/>
      <c r="C97232"/>
      <c r="E97232"/>
      <c r="F97232"/>
    </row>
    <row r="97233" spans="1:6" x14ac:dyDescent="0.25">
      <c r="A97233"/>
      <c r="B97233"/>
      <c r="C97233"/>
      <c r="E97233"/>
      <c r="F97233"/>
    </row>
    <row r="97234" spans="1:6" x14ac:dyDescent="0.25">
      <c r="A97234"/>
      <c r="B97234"/>
      <c r="C97234"/>
      <c r="E97234"/>
      <c r="F97234"/>
    </row>
    <row r="97235" spans="1:6" x14ac:dyDescent="0.25">
      <c r="A97235"/>
      <c r="B97235"/>
      <c r="C97235"/>
      <c r="E97235"/>
      <c r="F97235"/>
    </row>
    <row r="97236" spans="1:6" x14ac:dyDescent="0.25">
      <c r="A97236"/>
      <c r="B97236"/>
      <c r="C97236"/>
      <c r="E97236"/>
      <c r="F97236"/>
    </row>
    <row r="97237" spans="1:6" x14ac:dyDescent="0.25">
      <c r="A97237"/>
      <c r="B97237"/>
      <c r="C97237"/>
      <c r="E97237"/>
      <c r="F97237"/>
    </row>
    <row r="97238" spans="1:6" x14ac:dyDescent="0.25">
      <c r="A97238"/>
      <c r="B97238"/>
      <c r="C97238"/>
      <c r="E97238"/>
      <c r="F97238"/>
    </row>
    <row r="97239" spans="1:6" x14ac:dyDescent="0.25">
      <c r="A97239"/>
      <c r="B97239"/>
      <c r="C97239"/>
      <c r="E97239"/>
      <c r="F97239"/>
    </row>
    <row r="97240" spans="1:6" x14ac:dyDescent="0.25">
      <c r="A97240"/>
      <c r="B97240"/>
      <c r="C97240"/>
      <c r="E97240"/>
      <c r="F97240"/>
    </row>
    <row r="97241" spans="1:6" x14ac:dyDescent="0.25">
      <c r="A97241"/>
      <c r="B97241"/>
      <c r="C97241"/>
      <c r="E97241"/>
      <c r="F97241"/>
    </row>
    <row r="97242" spans="1:6" x14ac:dyDescent="0.25">
      <c r="A97242"/>
      <c r="B97242"/>
      <c r="C97242"/>
      <c r="E97242"/>
      <c r="F97242"/>
    </row>
    <row r="97243" spans="1:6" x14ac:dyDescent="0.25">
      <c r="A97243"/>
      <c r="B97243"/>
      <c r="C97243"/>
      <c r="E97243"/>
      <c r="F97243"/>
    </row>
    <row r="97244" spans="1:6" x14ac:dyDescent="0.25">
      <c r="A97244"/>
      <c r="B97244"/>
      <c r="C97244"/>
      <c r="E97244"/>
      <c r="F97244"/>
    </row>
    <row r="97245" spans="1:6" x14ac:dyDescent="0.25">
      <c r="A97245"/>
      <c r="B97245"/>
      <c r="C97245"/>
      <c r="E97245"/>
      <c r="F97245"/>
    </row>
    <row r="97246" spans="1:6" x14ac:dyDescent="0.25">
      <c r="A97246"/>
      <c r="B97246"/>
      <c r="C97246"/>
      <c r="E97246"/>
      <c r="F97246"/>
    </row>
    <row r="97247" spans="1:6" x14ac:dyDescent="0.25">
      <c r="A97247"/>
      <c r="B97247"/>
      <c r="C97247"/>
      <c r="E97247"/>
      <c r="F97247"/>
    </row>
    <row r="97248" spans="1:6" x14ac:dyDescent="0.25">
      <c r="A97248"/>
      <c r="B97248"/>
      <c r="C97248"/>
      <c r="E97248"/>
      <c r="F97248"/>
    </row>
    <row r="97249" spans="1:6" x14ac:dyDescent="0.25">
      <c r="A97249"/>
      <c r="B97249"/>
      <c r="C97249"/>
      <c r="E97249"/>
      <c r="F97249"/>
    </row>
    <row r="97250" spans="1:6" x14ac:dyDescent="0.25">
      <c r="A97250"/>
      <c r="B97250"/>
      <c r="C97250"/>
      <c r="E97250"/>
      <c r="F97250"/>
    </row>
    <row r="97251" spans="1:6" x14ac:dyDescent="0.25">
      <c r="A97251"/>
      <c r="B97251"/>
      <c r="C97251"/>
      <c r="E97251"/>
      <c r="F97251"/>
    </row>
    <row r="97252" spans="1:6" x14ac:dyDescent="0.25">
      <c r="A97252"/>
      <c r="B97252"/>
      <c r="C97252"/>
      <c r="E97252"/>
      <c r="F97252"/>
    </row>
    <row r="97253" spans="1:6" x14ac:dyDescent="0.25">
      <c r="A97253"/>
      <c r="B97253"/>
      <c r="C97253"/>
      <c r="E97253"/>
      <c r="F97253"/>
    </row>
    <row r="97254" spans="1:6" x14ac:dyDescent="0.25">
      <c r="A97254"/>
      <c r="B97254"/>
      <c r="C97254"/>
      <c r="E97254"/>
      <c r="F97254"/>
    </row>
    <row r="97255" spans="1:6" x14ac:dyDescent="0.25">
      <c r="A97255"/>
      <c r="B97255"/>
      <c r="C97255"/>
      <c r="E97255"/>
      <c r="F97255"/>
    </row>
    <row r="97256" spans="1:6" x14ac:dyDescent="0.25">
      <c r="A97256"/>
      <c r="B97256"/>
      <c r="C97256"/>
      <c r="E97256"/>
      <c r="F97256"/>
    </row>
    <row r="97257" spans="1:6" x14ac:dyDescent="0.25">
      <c r="A97257"/>
      <c r="B97257"/>
      <c r="C97257"/>
      <c r="E97257"/>
      <c r="F97257"/>
    </row>
    <row r="97258" spans="1:6" x14ac:dyDescent="0.25">
      <c r="A97258"/>
      <c r="B97258"/>
      <c r="C97258"/>
      <c r="E97258"/>
      <c r="F97258"/>
    </row>
    <row r="97259" spans="1:6" x14ac:dyDescent="0.25">
      <c r="A97259"/>
      <c r="B97259"/>
      <c r="C97259"/>
      <c r="E97259"/>
      <c r="F97259"/>
    </row>
    <row r="97260" spans="1:6" x14ac:dyDescent="0.25">
      <c r="A97260"/>
      <c r="B97260"/>
      <c r="C97260"/>
      <c r="E97260"/>
      <c r="F97260"/>
    </row>
    <row r="97261" spans="1:6" x14ac:dyDescent="0.25">
      <c r="A97261"/>
      <c r="B97261"/>
      <c r="C97261"/>
      <c r="E97261"/>
      <c r="F97261"/>
    </row>
    <row r="97262" spans="1:6" x14ac:dyDescent="0.25">
      <c r="A97262"/>
      <c r="B97262"/>
      <c r="C97262"/>
      <c r="E97262"/>
      <c r="F97262"/>
    </row>
    <row r="97263" spans="1:6" x14ac:dyDescent="0.25">
      <c r="A97263"/>
      <c r="B97263"/>
      <c r="C97263"/>
      <c r="E97263"/>
      <c r="F97263"/>
    </row>
    <row r="97264" spans="1:6" x14ac:dyDescent="0.25">
      <c r="A97264"/>
      <c r="B97264"/>
      <c r="C97264"/>
      <c r="E97264"/>
      <c r="F97264"/>
    </row>
    <row r="97265" spans="1:6" x14ac:dyDescent="0.25">
      <c r="A97265"/>
      <c r="B97265"/>
      <c r="C97265"/>
      <c r="E97265"/>
      <c r="F97265"/>
    </row>
    <row r="97266" spans="1:6" x14ac:dyDescent="0.25">
      <c r="A97266"/>
      <c r="B97266"/>
      <c r="C97266"/>
      <c r="E97266"/>
      <c r="F97266"/>
    </row>
    <row r="97267" spans="1:6" x14ac:dyDescent="0.25">
      <c r="A97267"/>
      <c r="B97267"/>
      <c r="C97267"/>
      <c r="E97267"/>
      <c r="F97267"/>
    </row>
    <row r="97268" spans="1:6" x14ac:dyDescent="0.25">
      <c r="A97268"/>
      <c r="B97268"/>
      <c r="C97268"/>
      <c r="E97268"/>
      <c r="F97268"/>
    </row>
    <row r="97269" spans="1:6" x14ac:dyDescent="0.25">
      <c r="A97269"/>
      <c r="B97269"/>
      <c r="C97269"/>
      <c r="E97269"/>
      <c r="F97269"/>
    </row>
    <row r="97270" spans="1:6" x14ac:dyDescent="0.25">
      <c r="A97270"/>
      <c r="B97270"/>
      <c r="C97270"/>
      <c r="E97270"/>
      <c r="F97270"/>
    </row>
    <row r="97271" spans="1:6" x14ac:dyDescent="0.25">
      <c r="A97271"/>
      <c r="B97271"/>
      <c r="C97271"/>
      <c r="E97271"/>
      <c r="F97271"/>
    </row>
    <row r="97272" spans="1:6" x14ac:dyDescent="0.25">
      <c r="A97272"/>
      <c r="B97272"/>
      <c r="C97272"/>
      <c r="E97272"/>
      <c r="F97272"/>
    </row>
    <row r="97273" spans="1:6" x14ac:dyDescent="0.25">
      <c r="A97273"/>
      <c r="B97273"/>
      <c r="C97273"/>
      <c r="E97273"/>
      <c r="F97273"/>
    </row>
    <row r="97274" spans="1:6" x14ac:dyDescent="0.25">
      <c r="A97274"/>
      <c r="B97274"/>
      <c r="C97274"/>
      <c r="E97274"/>
      <c r="F97274"/>
    </row>
    <row r="97275" spans="1:6" x14ac:dyDescent="0.25">
      <c r="A97275"/>
      <c r="B97275"/>
      <c r="C97275"/>
      <c r="E97275"/>
      <c r="F97275"/>
    </row>
    <row r="97276" spans="1:6" x14ac:dyDescent="0.25">
      <c r="A97276"/>
      <c r="B97276"/>
      <c r="C97276"/>
      <c r="E97276"/>
      <c r="F97276"/>
    </row>
    <row r="97277" spans="1:6" x14ac:dyDescent="0.25">
      <c r="A97277"/>
      <c r="B97277"/>
      <c r="C97277"/>
      <c r="E97277"/>
      <c r="F97277"/>
    </row>
    <row r="97278" spans="1:6" x14ac:dyDescent="0.25">
      <c r="A97278"/>
      <c r="B97278"/>
      <c r="C97278"/>
      <c r="E97278"/>
      <c r="F97278"/>
    </row>
    <row r="97279" spans="1:6" x14ac:dyDescent="0.25">
      <c r="A97279"/>
      <c r="B97279"/>
      <c r="C97279"/>
      <c r="E97279"/>
      <c r="F97279"/>
    </row>
    <row r="97280" spans="1:6" x14ac:dyDescent="0.25">
      <c r="A97280"/>
      <c r="B97280"/>
      <c r="C97280"/>
      <c r="E97280"/>
      <c r="F97280"/>
    </row>
    <row r="97281" spans="1:6" x14ac:dyDescent="0.25">
      <c r="A97281"/>
      <c r="B97281"/>
      <c r="C97281"/>
      <c r="E97281"/>
      <c r="F97281"/>
    </row>
    <row r="97282" spans="1:6" x14ac:dyDescent="0.25">
      <c r="A97282"/>
      <c r="B97282"/>
      <c r="C97282"/>
      <c r="E97282"/>
      <c r="F97282"/>
    </row>
    <row r="97283" spans="1:6" x14ac:dyDescent="0.25">
      <c r="A97283"/>
      <c r="B97283"/>
      <c r="C97283"/>
      <c r="E97283"/>
      <c r="F97283"/>
    </row>
    <row r="97284" spans="1:6" x14ac:dyDescent="0.25">
      <c r="A97284"/>
      <c r="B97284"/>
      <c r="C97284"/>
      <c r="E97284"/>
      <c r="F97284"/>
    </row>
    <row r="97285" spans="1:6" x14ac:dyDescent="0.25">
      <c r="A97285"/>
      <c r="B97285"/>
      <c r="C97285"/>
      <c r="E97285"/>
      <c r="F97285"/>
    </row>
    <row r="97286" spans="1:6" x14ac:dyDescent="0.25">
      <c r="A97286"/>
      <c r="B97286"/>
      <c r="C97286"/>
      <c r="E97286"/>
      <c r="F97286"/>
    </row>
    <row r="97287" spans="1:6" x14ac:dyDescent="0.25">
      <c r="A97287"/>
      <c r="B97287"/>
      <c r="C97287"/>
      <c r="E97287"/>
      <c r="F97287"/>
    </row>
    <row r="97288" spans="1:6" x14ac:dyDescent="0.25">
      <c r="A97288"/>
      <c r="B97288"/>
      <c r="C97288"/>
      <c r="E97288"/>
      <c r="F97288"/>
    </row>
    <row r="97289" spans="1:6" x14ac:dyDescent="0.25">
      <c r="A97289"/>
      <c r="B97289"/>
      <c r="C97289"/>
      <c r="E97289"/>
      <c r="F97289"/>
    </row>
    <row r="97290" spans="1:6" x14ac:dyDescent="0.25">
      <c r="A97290"/>
      <c r="B97290"/>
      <c r="C97290"/>
      <c r="E97290"/>
      <c r="F97290"/>
    </row>
    <row r="97291" spans="1:6" x14ac:dyDescent="0.25">
      <c r="A97291"/>
      <c r="B97291"/>
      <c r="C97291"/>
      <c r="E97291"/>
      <c r="F97291"/>
    </row>
    <row r="97292" spans="1:6" x14ac:dyDescent="0.25">
      <c r="A97292"/>
      <c r="B97292"/>
      <c r="C97292"/>
      <c r="E97292"/>
      <c r="F97292"/>
    </row>
    <row r="97293" spans="1:6" x14ac:dyDescent="0.25">
      <c r="A97293"/>
      <c r="B97293"/>
      <c r="C97293"/>
      <c r="E97293"/>
      <c r="F97293"/>
    </row>
    <row r="97294" spans="1:6" x14ac:dyDescent="0.25">
      <c r="A97294"/>
      <c r="B97294"/>
      <c r="C97294"/>
      <c r="E97294"/>
      <c r="F97294"/>
    </row>
    <row r="97295" spans="1:6" x14ac:dyDescent="0.25">
      <c r="A97295"/>
      <c r="B97295"/>
      <c r="C97295"/>
      <c r="E97295"/>
      <c r="F97295"/>
    </row>
    <row r="97296" spans="1:6" x14ac:dyDescent="0.25">
      <c r="A97296"/>
      <c r="B97296"/>
      <c r="C97296"/>
      <c r="E97296"/>
      <c r="F97296"/>
    </row>
    <row r="97297" spans="1:6" x14ac:dyDescent="0.25">
      <c r="A97297"/>
      <c r="B97297"/>
      <c r="C97297"/>
      <c r="E97297"/>
      <c r="F97297"/>
    </row>
    <row r="97298" spans="1:6" x14ac:dyDescent="0.25">
      <c r="A97298"/>
      <c r="B97298"/>
      <c r="C97298"/>
      <c r="E97298"/>
      <c r="F97298"/>
    </row>
    <row r="97299" spans="1:6" x14ac:dyDescent="0.25">
      <c r="A97299"/>
      <c r="B97299"/>
      <c r="C97299"/>
      <c r="E97299"/>
      <c r="F97299"/>
    </row>
    <row r="97300" spans="1:6" x14ac:dyDescent="0.25">
      <c r="A97300"/>
      <c r="B97300"/>
      <c r="C97300"/>
      <c r="E97300"/>
      <c r="F97300"/>
    </row>
    <row r="97301" spans="1:6" x14ac:dyDescent="0.25">
      <c r="A97301"/>
      <c r="B97301"/>
      <c r="C97301"/>
      <c r="E97301"/>
      <c r="F97301"/>
    </row>
    <row r="97302" spans="1:6" x14ac:dyDescent="0.25">
      <c r="A97302"/>
      <c r="B97302"/>
      <c r="C97302"/>
      <c r="E97302"/>
      <c r="F97302"/>
    </row>
    <row r="97303" spans="1:6" x14ac:dyDescent="0.25">
      <c r="A97303"/>
      <c r="B97303"/>
      <c r="C97303"/>
      <c r="E97303"/>
      <c r="F97303"/>
    </row>
    <row r="97304" spans="1:6" x14ac:dyDescent="0.25">
      <c r="A97304"/>
      <c r="B97304"/>
      <c r="C97304"/>
      <c r="E97304"/>
      <c r="F97304"/>
    </row>
    <row r="97305" spans="1:6" x14ac:dyDescent="0.25">
      <c r="A97305"/>
      <c r="B97305"/>
      <c r="C97305"/>
      <c r="E97305"/>
      <c r="F97305"/>
    </row>
    <row r="97306" spans="1:6" x14ac:dyDescent="0.25">
      <c r="A97306"/>
      <c r="B97306"/>
      <c r="C97306"/>
      <c r="E97306"/>
      <c r="F97306"/>
    </row>
    <row r="97307" spans="1:6" x14ac:dyDescent="0.25">
      <c r="A97307"/>
      <c r="B97307"/>
      <c r="C97307"/>
      <c r="E97307"/>
      <c r="F97307"/>
    </row>
    <row r="97308" spans="1:6" x14ac:dyDescent="0.25">
      <c r="A97308"/>
      <c r="B97308"/>
      <c r="C97308"/>
      <c r="E97308"/>
      <c r="F97308"/>
    </row>
    <row r="97309" spans="1:6" x14ac:dyDescent="0.25">
      <c r="A97309"/>
      <c r="B97309"/>
      <c r="C97309"/>
      <c r="E97309"/>
      <c r="F97309"/>
    </row>
    <row r="97310" spans="1:6" x14ac:dyDescent="0.25">
      <c r="A97310"/>
      <c r="B97310"/>
      <c r="C97310"/>
      <c r="E97310"/>
      <c r="F97310"/>
    </row>
    <row r="97311" spans="1:6" x14ac:dyDescent="0.25">
      <c r="A97311"/>
      <c r="B97311"/>
      <c r="C97311"/>
      <c r="E97311"/>
      <c r="F97311"/>
    </row>
    <row r="97312" spans="1:6" x14ac:dyDescent="0.25">
      <c r="A97312"/>
      <c r="B97312"/>
      <c r="C97312"/>
      <c r="E97312"/>
      <c r="F97312"/>
    </row>
    <row r="97313" spans="1:6" x14ac:dyDescent="0.25">
      <c r="A97313"/>
      <c r="B97313"/>
      <c r="C97313"/>
      <c r="E97313"/>
      <c r="F97313"/>
    </row>
    <row r="97314" spans="1:6" x14ac:dyDescent="0.25">
      <c r="A97314"/>
      <c r="B97314"/>
      <c r="C97314"/>
      <c r="E97314"/>
      <c r="F97314"/>
    </row>
    <row r="97315" spans="1:6" x14ac:dyDescent="0.25">
      <c r="A97315"/>
      <c r="B97315"/>
      <c r="C97315"/>
      <c r="E97315"/>
      <c r="F97315"/>
    </row>
    <row r="97316" spans="1:6" x14ac:dyDescent="0.25">
      <c r="A97316"/>
      <c r="B97316"/>
      <c r="C97316"/>
      <c r="E97316"/>
      <c r="F97316"/>
    </row>
    <row r="97317" spans="1:6" x14ac:dyDescent="0.25">
      <c r="A97317"/>
      <c r="B97317"/>
      <c r="C97317"/>
      <c r="E97317"/>
      <c r="F97317"/>
    </row>
    <row r="97318" spans="1:6" x14ac:dyDescent="0.25">
      <c r="A97318"/>
      <c r="B97318"/>
      <c r="C97318"/>
      <c r="E97318"/>
      <c r="F97318"/>
    </row>
    <row r="97319" spans="1:6" x14ac:dyDescent="0.25">
      <c r="A97319"/>
      <c r="B97319"/>
      <c r="C97319"/>
      <c r="E97319"/>
      <c r="F97319"/>
    </row>
    <row r="97320" spans="1:6" x14ac:dyDescent="0.25">
      <c r="A97320"/>
      <c r="B97320"/>
      <c r="C97320"/>
      <c r="E97320"/>
      <c r="F97320"/>
    </row>
    <row r="97321" spans="1:6" x14ac:dyDescent="0.25">
      <c r="A97321"/>
      <c r="B97321"/>
      <c r="C97321"/>
      <c r="E97321"/>
      <c r="F97321"/>
    </row>
    <row r="97322" spans="1:6" x14ac:dyDescent="0.25">
      <c r="A97322"/>
      <c r="B97322"/>
      <c r="C97322"/>
      <c r="E97322"/>
      <c r="F97322"/>
    </row>
    <row r="97323" spans="1:6" x14ac:dyDescent="0.25">
      <c r="A97323"/>
      <c r="B97323"/>
      <c r="C97323"/>
      <c r="E97323"/>
      <c r="F97323"/>
    </row>
    <row r="97324" spans="1:6" x14ac:dyDescent="0.25">
      <c r="A97324"/>
      <c r="B97324"/>
      <c r="C97324"/>
      <c r="E97324"/>
      <c r="F97324"/>
    </row>
    <row r="97325" spans="1:6" x14ac:dyDescent="0.25">
      <c r="A97325"/>
      <c r="B97325"/>
      <c r="C97325"/>
      <c r="E97325"/>
      <c r="F97325"/>
    </row>
    <row r="97326" spans="1:6" x14ac:dyDescent="0.25">
      <c r="A97326"/>
      <c r="B97326"/>
      <c r="C97326"/>
      <c r="E97326"/>
      <c r="F97326"/>
    </row>
    <row r="97327" spans="1:6" x14ac:dyDescent="0.25">
      <c r="A97327"/>
      <c r="B97327"/>
      <c r="C97327"/>
      <c r="E97327"/>
      <c r="F97327"/>
    </row>
    <row r="97328" spans="1:6" x14ac:dyDescent="0.25">
      <c r="A97328"/>
      <c r="B97328"/>
      <c r="C97328"/>
      <c r="E97328"/>
      <c r="F97328"/>
    </row>
    <row r="97329" spans="1:6" x14ac:dyDescent="0.25">
      <c r="A97329"/>
      <c r="B97329"/>
      <c r="C97329"/>
      <c r="E97329"/>
      <c r="F97329"/>
    </row>
    <row r="97330" spans="1:6" x14ac:dyDescent="0.25">
      <c r="A97330"/>
      <c r="B97330"/>
      <c r="C97330"/>
      <c r="E97330"/>
      <c r="F97330"/>
    </row>
    <row r="97331" spans="1:6" x14ac:dyDescent="0.25">
      <c r="A97331"/>
      <c r="B97331"/>
      <c r="C97331"/>
      <c r="E97331"/>
      <c r="F97331"/>
    </row>
    <row r="97332" spans="1:6" x14ac:dyDescent="0.25">
      <c r="A97332"/>
      <c r="B97332"/>
      <c r="C97332"/>
      <c r="E97332"/>
      <c r="F97332"/>
    </row>
    <row r="97333" spans="1:6" x14ac:dyDescent="0.25">
      <c r="A97333"/>
      <c r="B97333"/>
      <c r="C97333"/>
      <c r="E97333"/>
      <c r="F97333"/>
    </row>
    <row r="97334" spans="1:6" x14ac:dyDescent="0.25">
      <c r="A97334"/>
      <c r="B97334"/>
      <c r="C97334"/>
      <c r="E97334"/>
      <c r="F97334"/>
    </row>
    <row r="97335" spans="1:6" x14ac:dyDescent="0.25">
      <c r="A97335"/>
      <c r="B97335"/>
      <c r="C97335"/>
      <c r="E97335"/>
      <c r="F97335"/>
    </row>
    <row r="97336" spans="1:6" x14ac:dyDescent="0.25">
      <c r="A97336"/>
      <c r="B97336"/>
      <c r="C97336"/>
      <c r="E97336"/>
      <c r="F97336"/>
    </row>
    <row r="97337" spans="1:6" x14ac:dyDescent="0.25">
      <c r="A97337"/>
      <c r="B97337"/>
      <c r="C97337"/>
      <c r="E97337"/>
      <c r="F97337"/>
    </row>
    <row r="97338" spans="1:6" x14ac:dyDescent="0.25">
      <c r="A97338"/>
      <c r="B97338"/>
      <c r="C97338"/>
      <c r="E97338"/>
      <c r="F97338"/>
    </row>
    <row r="97339" spans="1:6" x14ac:dyDescent="0.25">
      <c r="A97339"/>
      <c r="B97339"/>
      <c r="C97339"/>
      <c r="E97339"/>
      <c r="F97339"/>
    </row>
    <row r="97340" spans="1:6" x14ac:dyDescent="0.25">
      <c r="A97340"/>
      <c r="B97340"/>
      <c r="C97340"/>
      <c r="E97340"/>
      <c r="F97340"/>
    </row>
    <row r="97341" spans="1:6" x14ac:dyDescent="0.25">
      <c r="A97341"/>
      <c r="B97341"/>
      <c r="C97341"/>
      <c r="E97341"/>
      <c r="F97341"/>
    </row>
    <row r="97342" spans="1:6" x14ac:dyDescent="0.25">
      <c r="A97342"/>
      <c r="B97342"/>
      <c r="C97342"/>
      <c r="E97342"/>
      <c r="F97342"/>
    </row>
    <row r="97343" spans="1:6" x14ac:dyDescent="0.25">
      <c r="A97343"/>
      <c r="B97343"/>
      <c r="C97343"/>
      <c r="E97343"/>
      <c r="F97343"/>
    </row>
    <row r="97344" spans="1:6" x14ac:dyDescent="0.25">
      <c r="A97344"/>
      <c r="B97344"/>
      <c r="C97344"/>
      <c r="E97344"/>
      <c r="F97344"/>
    </row>
    <row r="97345" spans="1:6" x14ac:dyDescent="0.25">
      <c r="A97345"/>
      <c r="B97345"/>
      <c r="C97345"/>
      <c r="E97345"/>
      <c r="F97345"/>
    </row>
    <row r="97346" spans="1:6" x14ac:dyDescent="0.25">
      <c r="A97346"/>
      <c r="B97346"/>
      <c r="C97346"/>
      <c r="E97346"/>
      <c r="F97346"/>
    </row>
    <row r="97347" spans="1:6" x14ac:dyDescent="0.25">
      <c r="A97347"/>
      <c r="B97347"/>
      <c r="C97347"/>
      <c r="E97347"/>
      <c r="F97347"/>
    </row>
    <row r="97348" spans="1:6" x14ac:dyDescent="0.25">
      <c r="A97348"/>
      <c r="B97348"/>
      <c r="C97348"/>
      <c r="E97348"/>
      <c r="F97348"/>
    </row>
    <row r="97349" spans="1:6" x14ac:dyDescent="0.25">
      <c r="A97349"/>
      <c r="B97349"/>
      <c r="C97349"/>
      <c r="E97349"/>
      <c r="F97349"/>
    </row>
    <row r="97350" spans="1:6" x14ac:dyDescent="0.25">
      <c r="A97350"/>
      <c r="B97350"/>
      <c r="C97350"/>
      <c r="E97350"/>
      <c r="F97350"/>
    </row>
    <row r="97351" spans="1:6" x14ac:dyDescent="0.25">
      <c r="A97351"/>
      <c r="B97351"/>
      <c r="C97351"/>
      <c r="E97351"/>
      <c r="F97351"/>
    </row>
    <row r="97352" spans="1:6" x14ac:dyDescent="0.25">
      <c r="A97352"/>
      <c r="B97352"/>
      <c r="C97352"/>
      <c r="E97352"/>
      <c r="F97352"/>
    </row>
    <row r="97353" spans="1:6" x14ac:dyDescent="0.25">
      <c r="A97353"/>
      <c r="B97353"/>
      <c r="C97353"/>
      <c r="E97353"/>
      <c r="F97353"/>
    </row>
    <row r="97354" spans="1:6" x14ac:dyDescent="0.25">
      <c r="A97354"/>
      <c r="B97354"/>
      <c r="C97354"/>
      <c r="E97354"/>
      <c r="F97354"/>
    </row>
    <row r="97355" spans="1:6" x14ac:dyDescent="0.25">
      <c r="A97355"/>
      <c r="B97355"/>
      <c r="C97355"/>
      <c r="E97355"/>
      <c r="F97355"/>
    </row>
    <row r="97356" spans="1:6" x14ac:dyDescent="0.25">
      <c r="A97356"/>
      <c r="B97356"/>
      <c r="C97356"/>
      <c r="E97356"/>
      <c r="F97356"/>
    </row>
    <row r="97357" spans="1:6" x14ac:dyDescent="0.25">
      <c r="A97357"/>
      <c r="B97357"/>
      <c r="C97357"/>
      <c r="E97357"/>
      <c r="F97357"/>
    </row>
    <row r="97358" spans="1:6" x14ac:dyDescent="0.25">
      <c r="A97358"/>
      <c r="B97358"/>
      <c r="C97358"/>
      <c r="E97358"/>
      <c r="F97358"/>
    </row>
    <row r="97359" spans="1:6" x14ac:dyDescent="0.25">
      <c r="A97359"/>
      <c r="B97359"/>
      <c r="C97359"/>
      <c r="E97359"/>
      <c r="F97359"/>
    </row>
    <row r="97360" spans="1:6" x14ac:dyDescent="0.25">
      <c r="A97360"/>
      <c r="B97360"/>
      <c r="C97360"/>
      <c r="E97360"/>
      <c r="F97360"/>
    </row>
    <row r="97361" spans="1:6" x14ac:dyDescent="0.25">
      <c r="A97361"/>
      <c r="B97361"/>
      <c r="C97361"/>
      <c r="E97361"/>
      <c r="F97361"/>
    </row>
    <row r="97362" spans="1:6" x14ac:dyDescent="0.25">
      <c r="A97362"/>
      <c r="B97362"/>
      <c r="C97362"/>
      <c r="E97362"/>
      <c r="F97362"/>
    </row>
    <row r="97363" spans="1:6" x14ac:dyDescent="0.25">
      <c r="A97363"/>
      <c r="B97363"/>
      <c r="C97363"/>
      <c r="E97363"/>
      <c r="F97363"/>
    </row>
    <row r="97364" spans="1:6" x14ac:dyDescent="0.25">
      <c r="A97364"/>
      <c r="B97364"/>
      <c r="C97364"/>
      <c r="E97364"/>
      <c r="F97364"/>
    </row>
    <row r="97365" spans="1:6" x14ac:dyDescent="0.25">
      <c r="A97365"/>
      <c r="B97365"/>
      <c r="C97365"/>
      <c r="E97365"/>
      <c r="F97365"/>
    </row>
    <row r="97366" spans="1:6" x14ac:dyDescent="0.25">
      <c r="A97366"/>
      <c r="B97366"/>
      <c r="C97366"/>
      <c r="E97366"/>
      <c r="F97366"/>
    </row>
    <row r="97367" spans="1:6" x14ac:dyDescent="0.25">
      <c r="A97367"/>
      <c r="B97367"/>
      <c r="C97367"/>
      <c r="E97367"/>
      <c r="F97367"/>
    </row>
    <row r="97368" spans="1:6" x14ac:dyDescent="0.25">
      <c r="A97368"/>
      <c r="B97368"/>
      <c r="C97368"/>
      <c r="E97368"/>
      <c r="F97368"/>
    </row>
    <row r="97369" spans="1:6" x14ac:dyDescent="0.25">
      <c r="A97369"/>
      <c r="B97369"/>
      <c r="C97369"/>
      <c r="E97369"/>
      <c r="F97369"/>
    </row>
    <row r="97370" spans="1:6" x14ac:dyDescent="0.25">
      <c r="A97370"/>
      <c r="B97370"/>
      <c r="C97370"/>
      <c r="E97370"/>
      <c r="F97370"/>
    </row>
    <row r="97371" spans="1:6" x14ac:dyDescent="0.25">
      <c r="A97371"/>
      <c r="B97371"/>
      <c r="C97371"/>
      <c r="E97371"/>
      <c r="F97371"/>
    </row>
    <row r="97372" spans="1:6" x14ac:dyDescent="0.25">
      <c r="A97372"/>
      <c r="B97372"/>
      <c r="C97372"/>
      <c r="E97372"/>
      <c r="F97372"/>
    </row>
    <row r="97373" spans="1:6" x14ac:dyDescent="0.25">
      <c r="A97373"/>
      <c r="B97373"/>
      <c r="C97373"/>
      <c r="E97373"/>
      <c r="F97373"/>
    </row>
    <row r="97374" spans="1:6" x14ac:dyDescent="0.25">
      <c r="A97374"/>
      <c r="B97374"/>
      <c r="C97374"/>
      <c r="E97374"/>
      <c r="F97374"/>
    </row>
    <row r="97375" spans="1:6" x14ac:dyDescent="0.25">
      <c r="A97375"/>
      <c r="B97375"/>
      <c r="C97375"/>
      <c r="E97375"/>
      <c r="F97375"/>
    </row>
    <row r="97376" spans="1:6" x14ac:dyDescent="0.25">
      <c r="A97376"/>
      <c r="B97376"/>
      <c r="C97376"/>
      <c r="E97376"/>
      <c r="F97376"/>
    </row>
    <row r="97377" spans="1:6" x14ac:dyDescent="0.25">
      <c r="A97377"/>
      <c r="B97377"/>
      <c r="C97377"/>
      <c r="E97377"/>
      <c r="F97377"/>
    </row>
    <row r="97378" spans="1:6" x14ac:dyDescent="0.25">
      <c r="A97378"/>
      <c r="B97378"/>
      <c r="C97378"/>
      <c r="E97378"/>
      <c r="F97378"/>
    </row>
    <row r="97379" spans="1:6" x14ac:dyDescent="0.25">
      <c r="A97379"/>
      <c r="B97379"/>
      <c r="C97379"/>
      <c r="E97379"/>
      <c r="F97379"/>
    </row>
    <row r="97380" spans="1:6" x14ac:dyDescent="0.25">
      <c r="A97380"/>
      <c r="B97380"/>
      <c r="C97380"/>
      <c r="E97380"/>
      <c r="F97380"/>
    </row>
    <row r="97381" spans="1:6" x14ac:dyDescent="0.25">
      <c r="A97381"/>
      <c r="B97381"/>
      <c r="C97381"/>
      <c r="E97381"/>
      <c r="F97381"/>
    </row>
    <row r="97382" spans="1:6" x14ac:dyDescent="0.25">
      <c r="A97382"/>
      <c r="B97382"/>
      <c r="C97382"/>
      <c r="E97382"/>
      <c r="F97382"/>
    </row>
    <row r="97383" spans="1:6" x14ac:dyDescent="0.25">
      <c r="A97383"/>
      <c r="B97383"/>
      <c r="C97383"/>
      <c r="E97383"/>
      <c r="F97383"/>
    </row>
    <row r="97384" spans="1:6" x14ac:dyDescent="0.25">
      <c r="A97384"/>
      <c r="B97384"/>
      <c r="C97384"/>
      <c r="E97384"/>
      <c r="F97384"/>
    </row>
    <row r="97385" spans="1:6" x14ac:dyDescent="0.25">
      <c r="A97385"/>
      <c r="B97385"/>
      <c r="C97385"/>
      <c r="E97385"/>
      <c r="F97385"/>
    </row>
    <row r="97386" spans="1:6" x14ac:dyDescent="0.25">
      <c r="A97386"/>
      <c r="B97386"/>
      <c r="C97386"/>
      <c r="E97386"/>
      <c r="F97386"/>
    </row>
    <row r="97387" spans="1:6" x14ac:dyDescent="0.25">
      <c r="A97387"/>
      <c r="B97387"/>
      <c r="C97387"/>
      <c r="E97387"/>
      <c r="F97387"/>
    </row>
    <row r="97388" spans="1:6" x14ac:dyDescent="0.25">
      <c r="A97388"/>
      <c r="B97388"/>
      <c r="C97388"/>
      <c r="E97388"/>
      <c r="F97388"/>
    </row>
    <row r="97389" spans="1:6" x14ac:dyDescent="0.25">
      <c r="A97389"/>
      <c r="B97389"/>
      <c r="C97389"/>
      <c r="E97389"/>
      <c r="F97389"/>
    </row>
    <row r="97390" spans="1:6" x14ac:dyDescent="0.25">
      <c r="A97390"/>
      <c r="B97390"/>
      <c r="C97390"/>
      <c r="E97390"/>
      <c r="F97390"/>
    </row>
    <row r="97391" spans="1:6" x14ac:dyDescent="0.25">
      <c r="A97391"/>
      <c r="B97391"/>
      <c r="C97391"/>
      <c r="E97391"/>
      <c r="F97391"/>
    </row>
    <row r="97392" spans="1:6" x14ac:dyDescent="0.25">
      <c r="A97392"/>
      <c r="B97392"/>
      <c r="C97392"/>
      <c r="E97392"/>
      <c r="F97392"/>
    </row>
    <row r="97393" spans="1:6" x14ac:dyDescent="0.25">
      <c r="A97393"/>
      <c r="B97393"/>
      <c r="C97393"/>
      <c r="E97393"/>
      <c r="F97393"/>
    </row>
    <row r="97394" spans="1:6" x14ac:dyDescent="0.25">
      <c r="A97394"/>
      <c r="B97394"/>
      <c r="C97394"/>
      <c r="E97394"/>
      <c r="F97394"/>
    </row>
    <row r="97395" spans="1:6" x14ac:dyDescent="0.25">
      <c r="A97395"/>
      <c r="B97395"/>
      <c r="C97395"/>
      <c r="E97395"/>
      <c r="F97395"/>
    </row>
    <row r="97396" spans="1:6" x14ac:dyDescent="0.25">
      <c r="A97396"/>
      <c r="B97396"/>
      <c r="C97396"/>
      <c r="E97396"/>
      <c r="F97396"/>
    </row>
    <row r="97397" spans="1:6" x14ac:dyDescent="0.25">
      <c r="A97397"/>
      <c r="B97397"/>
      <c r="C97397"/>
      <c r="E97397"/>
      <c r="F97397"/>
    </row>
    <row r="97398" spans="1:6" x14ac:dyDescent="0.25">
      <c r="A97398"/>
      <c r="B97398"/>
      <c r="C97398"/>
      <c r="E97398"/>
      <c r="F97398"/>
    </row>
    <row r="97399" spans="1:6" x14ac:dyDescent="0.25">
      <c r="A97399"/>
      <c r="B97399"/>
      <c r="C97399"/>
      <c r="E97399"/>
      <c r="F97399"/>
    </row>
    <row r="97400" spans="1:6" x14ac:dyDescent="0.25">
      <c r="A97400"/>
      <c r="B97400"/>
      <c r="C97400"/>
      <c r="E97400"/>
      <c r="F97400"/>
    </row>
    <row r="97401" spans="1:6" x14ac:dyDescent="0.25">
      <c r="A97401"/>
      <c r="B97401"/>
      <c r="C97401"/>
      <c r="E97401"/>
      <c r="F97401"/>
    </row>
    <row r="97402" spans="1:6" x14ac:dyDescent="0.25">
      <c r="A97402"/>
      <c r="B97402"/>
      <c r="C97402"/>
      <c r="E97402"/>
      <c r="F97402"/>
    </row>
    <row r="97403" spans="1:6" x14ac:dyDescent="0.25">
      <c r="A97403"/>
      <c r="B97403"/>
      <c r="C97403"/>
      <c r="E97403"/>
      <c r="F97403"/>
    </row>
    <row r="97404" spans="1:6" x14ac:dyDescent="0.25">
      <c r="A97404"/>
      <c r="B97404"/>
      <c r="C97404"/>
      <c r="E97404"/>
      <c r="F97404"/>
    </row>
    <row r="97405" spans="1:6" x14ac:dyDescent="0.25">
      <c r="A97405"/>
      <c r="B97405"/>
      <c r="C97405"/>
      <c r="E97405"/>
      <c r="F97405"/>
    </row>
    <row r="97406" spans="1:6" x14ac:dyDescent="0.25">
      <c r="A97406"/>
      <c r="B97406"/>
      <c r="C97406"/>
      <c r="E97406"/>
      <c r="F97406"/>
    </row>
    <row r="97407" spans="1:6" x14ac:dyDescent="0.25">
      <c r="A97407"/>
      <c r="B97407"/>
      <c r="C97407"/>
      <c r="E97407"/>
      <c r="F97407"/>
    </row>
    <row r="97408" spans="1:6" x14ac:dyDescent="0.25">
      <c r="A97408"/>
      <c r="B97408"/>
      <c r="C97408"/>
      <c r="E97408"/>
      <c r="F97408"/>
    </row>
    <row r="97409" spans="1:6" x14ac:dyDescent="0.25">
      <c r="A97409"/>
      <c r="B97409"/>
      <c r="C97409"/>
      <c r="E97409"/>
      <c r="F97409"/>
    </row>
    <row r="97410" spans="1:6" x14ac:dyDescent="0.25">
      <c r="A97410"/>
      <c r="B97410"/>
      <c r="C97410"/>
      <c r="E97410"/>
      <c r="F97410"/>
    </row>
    <row r="97411" spans="1:6" x14ac:dyDescent="0.25">
      <c r="A97411"/>
      <c r="B97411"/>
      <c r="C97411"/>
      <c r="E97411"/>
      <c r="F97411"/>
    </row>
    <row r="97412" spans="1:6" x14ac:dyDescent="0.25">
      <c r="A97412"/>
      <c r="B97412"/>
      <c r="C97412"/>
      <c r="E97412"/>
      <c r="F97412"/>
    </row>
    <row r="97413" spans="1:6" x14ac:dyDescent="0.25">
      <c r="A97413"/>
      <c r="B97413"/>
      <c r="C97413"/>
      <c r="E97413"/>
      <c r="F97413"/>
    </row>
    <row r="97414" spans="1:6" x14ac:dyDescent="0.25">
      <c r="A97414"/>
      <c r="B97414"/>
      <c r="C97414"/>
      <c r="E97414"/>
      <c r="F97414"/>
    </row>
    <row r="97415" spans="1:6" x14ac:dyDescent="0.25">
      <c r="A97415"/>
      <c r="B97415"/>
      <c r="C97415"/>
      <c r="E97415"/>
      <c r="F97415"/>
    </row>
    <row r="97416" spans="1:6" x14ac:dyDescent="0.25">
      <c r="A97416"/>
      <c r="B97416"/>
      <c r="C97416"/>
      <c r="E97416"/>
      <c r="F97416"/>
    </row>
    <row r="97417" spans="1:6" x14ac:dyDescent="0.25">
      <c r="A97417"/>
      <c r="B97417"/>
      <c r="C97417"/>
      <c r="E97417"/>
      <c r="F97417"/>
    </row>
    <row r="97418" spans="1:6" x14ac:dyDescent="0.25">
      <c r="A97418"/>
      <c r="B97418"/>
      <c r="C97418"/>
      <c r="E97418"/>
      <c r="F97418"/>
    </row>
    <row r="97419" spans="1:6" x14ac:dyDescent="0.25">
      <c r="A97419"/>
      <c r="B97419"/>
      <c r="C97419"/>
      <c r="E97419"/>
      <c r="F97419"/>
    </row>
    <row r="97420" spans="1:6" x14ac:dyDescent="0.25">
      <c r="A97420"/>
      <c r="B97420"/>
      <c r="C97420"/>
      <c r="E97420"/>
      <c r="F97420"/>
    </row>
    <row r="97421" spans="1:6" x14ac:dyDescent="0.25">
      <c r="A97421"/>
      <c r="B97421"/>
      <c r="C97421"/>
      <c r="E97421"/>
      <c r="F97421"/>
    </row>
    <row r="97422" spans="1:6" x14ac:dyDescent="0.25">
      <c r="A97422"/>
      <c r="B97422"/>
      <c r="C97422"/>
      <c r="E97422"/>
      <c r="F97422"/>
    </row>
    <row r="97423" spans="1:6" x14ac:dyDescent="0.25">
      <c r="A97423"/>
      <c r="B97423"/>
      <c r="C97423"/>
      <c r="E97423"/>
      <c r="F97423"/>
    </row>
    <row r="97424" spans="1:6" x14ac:dyDescent="0.25">
      <c r="A97424"/>
      <c r="B97424"/>
      <c r="C97424"/>
      <c r="E97424"/>
      <c r="F97424"/>
    </row>
    <row r="97425" spans="1:6" x14ac:dyDescent="0.25">
      <c r="A97425"/>
      <c r="B97425"/>
      <c r="C97425"/>
      <c r="E97425"/>
      <c r="F97425"/>
    </row>
    <row r="97426" spans="1:6" x14ac:dyDescent="0.25">
      <c r="A97426"/>
      <c r="B97426"/>
      <c r="C97426"/>
      <c r="E97426"/>
      <c r="F97426"/>
    </row>
    <row r="97427" spans="1:6" x14ac:dyDescent="0.25">
      <c r="A97427"/>
      <c r="B97427"/>
      <c r="C97427"/>
      <c r="E97427"/>
      <c r="F97427"/>
    </row>
    <row r="97428" spans="1:6" x14ac:dyDescent="0.25">
      <c r="A97428"/>
      <c r="B97428"/>
      <c r="C97428"/>
      <c r="E97428"/>
      <c r="F97428"/>
    </row>
    <row r="97429" spans="1:6" x14ac:dyDescent="0.25">
      <c r="A97429"/>
      <c r="B97429"/>
      <c r="C97429"/>
      <c r="E97429"/>
      <c r="F97429"/>
    </row>
    <row r="97430" spans="1:6" x14ac:dyDescent="0.25">
      <c r="A97430"/>
      <c r="B97430"/>
      <c r="C97430"/>
      <c r="E97430"/>
      <c r="F97430"/>
    </row>
    <row r="97431" spans="1:6" x14ac:dyDescent="0.25">
      <c r="A97431"/>
      <c r="B97431"/>
      <c r="C97431"/>
      <c r="E97431"/>
      <c r="F97431"/>
    </row>
    <row r="97432" spans="1:6" x14ac:dyDescent="0.25">
      <c r="A97432"/>
      <c r="B97432"/>
      <c r="C97432"/>
      <c r="E97432"/>
      <c r="F97432"/>
    </row>
    <row r="97433" spans="1:6" x14ac:dyDescent="0.25">
      <c r="A97433"/>
      <c r="B97433"/>
      <c r="C97433"/>
      <c r="E97433"/>
      <c r="F97433"/>
    </row>
    <row r="97434" spans="1:6" x14ac:dyDescent="0.25">
      <c r="A97434"/>
      <c r="B97434"/>
      <c r="C97434"/>
      <c r="E97434"/>
      <c r="F97434"/>
    </row>
    <row r="97435" spans="1:6" x14ac:dyDescent="0.25">
      <c r="A97435"/>
      <c r="B97435"/>
      <c r="C97435"/>
      <c r="E97435"/>
      <c r="F97435"/>
    </row>
    <row r="97436" spans="1:6" x14ac:dyDescent="0.25">
      <c r="A97436"/>
      <c r="B97436"/>
      <c r="C97436"/>
      <c r="E97436"/>
      <c r="F97436"/>
    </row>
    <row r="97437" spans="1:6" x14ac:dyDescent="0.25">
      <c r="A97437"/>
      <c r="B97437"/>
      <c r="C97437"/>
      <c r="E97437"/>
      <c r="F97437"/>
    </row>
    <row r="97438" spans="1:6" x14ac:dyDescent="0.25">
      <c r="A97438"/>
      <c r="B97438"/>
      <c r="C97438"/>
      <c r="E97438"/>
      <c r="F97438"/>
    </row>
    <row r="97439" spans="1:6" x14ac:dyDescent="0.25">
      <c r="A97439"/>
      <c r="B97439"/>
      <c r="C97439"/>
      <c r="E97439"/>
      <c r="F97439"/>
    </row>
    <row r="97440" spans="1:6" x14ac:dyDescent="0.25">
      <c r="A97440"/>
      <c r="B97440"/>
      <c r="C97440"/>
      <c r="E97440"/>
      <c r="F97440"/>
    </row>
    <row r="97441" spans="1:6" x14ac:dyDescent="0.25">
      <c r="A97441"/>
      <c r="B97441"/>
      <c r="C97441"/>
      <c r="E97441"/>
      <c r="F97441"/>
    </row>
    <row r="97442" spans="1:6" x14ac:dyDescent="0.25">
      <c r="A97442"/>
      <c r="B97442"/>
      <c r="C97442"/>
      <c r="E97442"/>
      <c r="F97442"/>
    </row>
    <row r="97443" spans="1:6" x14ac:dyDescent="0.25">
      <c r="A97443"/>
      <c r="B97443"/>
      <c r="C97443"/>
      <c r="E97443"/>
      <c r="F97443"/>
    </row>
    <row r="97444" spans="1:6" x14ac:dyDescent="0.25">
      <c r="A97444"/>
      <c r="B97444"/>
      <c r="C97444"/>
      <c r="E97444"/>
      <c r="F97444"/>
    </row>
    <row r="97445" spans="1:6" x14ac:dyDescent="0.25">
      <c r="A97445"/>
      <c r="B97445"/>
      <c r="C97445"/>
      <c r="E97445"/>
      <c r="F97445"/>
    </row>
    <row r="97446" spans="1:6" x14ac:dyDescent="0.25">
      <c r="A97446"/>
      <c r="B97446"/>
      <c r="C97446"/>
      <c r="E97446"/>
      <c r="F97446"/>
    </row>
    <row r="97447" spans="1:6" x14ac:dyDescent="0.25">
      <c r="A97447"/>
      <c r="B97447"/>
      <c r="C97447"/>
      <c r="E97447"/>
      <c r="F97447"/>
    </row>
    <row r="97448" spans="1:6" x14ac:dyDescent="0.25">
      <c r="A97448"/>
      <c r="B97448"/>
      <c r="C97448"/>
      <c r="E97448"/>
      <c r="F97448"/>
    </row>
    <row r="97449" spans="1:6" x14ac:dyDescent="0.25">
      <c r="A97449"/>
      <c r="B97449"/>
      <c r="C97449"/>
      <c r="E97449"/>
      <c r="F97449"/>
    </row>
    <row r="97450" spans="1:6" x14ac:dyDescent="0.25">
      <c r="A97450"/>
      <c r="B97450"/>
      <c r="C97450"/>
      <c r="E97450"/>
      <c r="F97450"/>
    </row>
    <row r="97451" spans="1:6" x14ac:dyDescent="0.25">
      <c r="A97451"/>
      <c r="B97451"/>
      <c r="C97451"/>
      <c r="E97451"/>
      <c r="F97451"/>
    </row>
    <row r="97452" spans="1:6" x14ac:dyDescent="0.25">
      <c r="A97452"/>
      <c r="B97452"/>
      <c r="C97452"/>
      <c r="E97452"/>
      <c r="F97452"/>
    </row>
    <row r="97453" spans="1:6" x14ac:dyDescent="0.25">
      <c r="A97453"/>
      <c r="B97453"/>
      <c r="C97453"/>
      <c r="E97453"/>
      <c r="F97453"/>
    </row>
    <row r="97454" spans="1:6" x14ac:dyDescent="0.25">
      <c r="A97454"/>
      <c r="B97454"/>
      <c r="C97454"/>
      <c r="E97454"/>
      <c r="F97454"/>
    </row>
    <row r="97455" spans="1:6" x14ac:dyDescent="0.25">
      <c r="A97455"/>
      <c r="B97455"/>
      <c r="C97455"/>
      <c r="E97455"/>
      <c r="F97455"/>
    </row>
    <row r="97456" spans="1:6" x14ac:dyDescent="0.25">
      <c r="A97456"/>
      <c r="B97456"/>
      <c r="C97456"/>
      <c r="E97456"/>
      <c r="F97456"/>
    </row>
    <row r="97457" spans="1:6" x14ac:dyDescent="0.25">
      <c r="A97457"/>
      <c r="B97457"/>
      <c r="C97457"/>
      <c r="E97457"/>
      <c r="F97457"/>
    </row>
    <row r="97458" spans="1:6" x14ac:dyDescent="0.25">
      <c r="A97458"/>
      <c r="B97458"/>
      <c r="C97458"/>
      <c r="E97458"/>
      <c r="F97458"/>
    </row>
    <row r="97459" spans="1:6" x14ac:dyDescent="0.25">
      <c r="A97459"/>
      <c r="B97459"/>
      <c r="C97459"/>
      <c r="E97459"/>
      <c r="F97459"/>
    </row>
    <row r="97460" spans="1:6" x14ac:dyDescent="0.25">
      <c r="A97460"/>
      <c r="B97460"/>
      <c r="C97460"/>
      <c r="E97460"/>
      <c r="F97460"/>
    </row>
    <row r="97461" spans="1:6" x14ac:dyDescent="0.25">
      <c r="A97461"/>
      <c r="B97461"/>
      <c r="C97461"/>
      <c r="E97461"/>
      <c r="F97461"/>
    </row>
    <row r="97462" spans="1:6" x14ac:dyDescent="0.25">
      <c r="A97462"/>
      <c r="B97462"/>
      <c r="C97462"/>
      <c r="E97462"/>
      <c r="F97462"/>
    </row>
    <row r="97463" spans="1:6" x14ac:dyDescent="0.25">
      <c r="A97463"/>
      <c r="B97463"/>
      <c r="C97463"/>
      <c r="E97463"/>
      <c r="F97463"/>
    </row>
    <row r="97464" spans="1:6" x14ac:dyDescent="0.25">
      <c r="A97464"/>
      <c r="B97464"/>
      <c r="C97464"/>
      <c r="E97464"/>
      <c r="F97464"/>
    </row>
    <row r="97465" spans="1:6" x14ac:dyDescent="0.25">
      <c r="A97465"/>
      <c r="B97465"/>
      <c r="C97465"/>
      <c r="E97465"/>
      <c r="F97465"/>
    </row>
    <row r="97466" spans="1:6" x14ac:dyDescent="0.25">
      <c r="A97466"/>
      <c r="B97466"/>
      <c r="C97466"/>
      <c r="E97466"/>
      <c r="F97466"/>
    </row>
    <row r="97467" spans="1:6" x14ac:dyDescent="0.25">
      <c r="A97467"/>
      <c r="B97467"/>
      <c r="C97467"/>
      <c r="E97467"/>
      <c r="F97467"/>
    </row>
    <row r="97468" spans="1:6" x14ac:dyDescent="0.25">
      <c r="A97468"/>
      <c r="B97468"/>
      <c r="C97468"/>
      <c r="E97468"/>
      <c r="F97468"/>
    </row>
    <row r="97469" spans="1:6" x14ac:dyDescent="0.25">
      <c r="A97469"/>
      <c r="B97469"/>
      <c r="C97469"/>
      <c r="E97469"/>
      <c r="F97469"/>
    </row>
    <row r="97470" spans="1:6" x14ac:dyDescent="0.25">
      <c r="A97470"/>
      <c r="B97470"/>
      <c r="C97470"/>
      <c r="E97470"/>
      <c r="F97470"/>
    </row>
    <row r="97471" spans="1:6" x14ac:dyDescent="0.25">
      <c r="A97471"/>
      <c r="B97471"/>
      <c r="C97471"/>
      <c r="E97471"/>
      <c r="F97471"/>
    </row>
    <row r="97472" spans="1:6" x14ac:dyDescent="0.25">
      <c r="A97472"/>
      <c r="B97472"/>
      <c r="C97472"/>
      <c r="E97472"/>
      <c r="F97472"/>
    </row>
    <row r="97473" spans="1:6" x14ac:dyDescent="0.25">
      <c r="A97473"/>
      <c r="B97473"/>
      <c r="C97473"/>
      <c r="E97473"/>
      <c r="F97473"/>
    </row>
    <row r="97474" spans="1:6" x14ac:dyDescent="0.25">
      <c r="A97474"/>
      <c r="B97474"/>
      <c r="C97474"/>
      <c r="E97474"/>
      <c r="F97474"/>
    </row>
    <row r="97475" spans="1:6" x14ac:dyDescent="0.25">
      <c r="A97475"/>
      <c r="B97475"/>
      <c r="C97475"/>
      <c r="E97475"/>
      <c r="F97475"/>
    </row>
    <row r="97476" spans="1:6" x14ac:dyDescent="0.25">
      <c r="A97476"/>
      <c r="B97476"/>
      <c r="C97476"/>
      <c r="E97476"/>
      <c r="F97476"/>
    </row>
    <row r="97477" spans="1:6" x14ac:dyDescent="0.25">
      <c r="A97477"/>
      <c r="B97477"/>
      <c r="C97477"/>
      <c r="E97477"/>
      <c r="F97477"/>
    </row>
    <row r="97478" spans="1:6" x14ac:dyDescent="0.25">
      <c r="A97478"/>
      <c r="B97478"/>
      <c r="C97478"/>
      <c r="E97478"/>
      <c r="F97478"/>
    </row>
    <row r="97479" spans="1:6" x14ac:dyDescent="0.25">
      <c r="A97479"/>
      <c r="B97479"/>
      <c r="C97479"/>
      <c r="E97479"/>
      <c r="F97479"/>
    </row>
    <row r="97480" spans="1:6" x14ac:dyDescent="0.25">
      <c r="A97480"/>
      <c r="B97480"/>
      <c r="C97480"/>
      <c r="E97480"/>
      <c r="F97480"/>
    </row>
    <row r="97481" spans="1:6" x14ac:dyDescent="0.25">
      <c r="A97481"/>
      <c r="B97481"/>
      <c r="C97481"/>
      <c r="E97481"/>
      <c r="F97481"/>
    </row>
    <row r="97482" spans="1:6" x14ac:dyDescent="0.25">
      <c r="A97482"/>
      <c r="B97482"/>
      <c r="C97482"/>
      <c r="E97482"/>
      <c r="F97482"/>
    </row>
    <row r="97483" spans="1:6" x14ac:dyDescent="0.25">
      <c r="A97483"/>
      <c r="B97483"/>
      <c r="C97483"/>
      <c r="E97483"/>
      <c r="F97483"/>
    </row>
    <row r="97484" spans="1:6" x14ac:dyDescent="0.25">
      <c r="A97484"/>
      <c r="B97484"/>
      <c r="C97484"/>
      <c r="E97484"/>
      <c r="F97484"/>
    </row>
    <row r="97485" spans="1:6" x14ac:dyDescent="0.25">
      <c r="A97485"/>
      <c r="B97485"/>
      <c r="C97485"/>
      <c r="E97485"/>
      <c r="F97485"/>
    </row>
    <row r="97486" spans="1:6" x14ac:dyDescent="0.25">
      <c r="A97486"/>
      <c r="B97486"/>
      <c r="C97486"/>
      <c r="E97486"/>
      <c r="F97486"/>
    </row>
    <row r="97487" spans="1:6" x14ac:dyDescent="0.25">
      <c r="A97487"/>
      <c r="B97487"/>
      <c r="C97487"/>
      <c r="E97487"/>
      <c r="F97487"/>
    </row>
    <row r="97488" spans="1:6" x14ac:dyDescent="0.25">
      <c r="A97488"/>
      <c r="B97488"/>
      <c r="C97488"/>
      <c r="E97488"/>
      <c r="F97488"/>
    </row>
    <row r="97489" spans="1:6" x14ac:dyDescent="0.25">
      <c r="A97489"/>
      <c r="B97489"/>
      <c r="C97489"/>
      <c r="E97489"/>
      <c r="F97489"/>
    </row>
    <row r="97490" spans="1:6" x14ac:dyDescent="0.25">
      <c r="A97490"/>
      <c r="B97490"/>
      <c r="C97490"/>
      <c r="E97490"/>
      <c r="F97490"/>
    </row>
    <row r="97491" spans="1:6" x14ac:dyDescent="0.25">
      <c r="A97491"/>
      <c r="B97491"/>
      <c r="C97491"/>
      <c r="E97491"/>
      <c r="F97491"/>
    </row>
    <row r="97492" spans="1:6" x14ac:dyDescent="0.25">
      <c r="A97492"/>
      <c r="B97492"/>
      <c r="C97492"/>
      <c r="E97492"/>
      <c r="F97492"/>
    </row>
    <row r="97493" spans="1:6" x14ac:dyDescent="0.25">
      <c r="A97493"/>
      <c r="B97493"/>
      <c r="C97493"/>
      <c r="E97493"/>
      <c r="F97493"/>
    </row>
    <row r="97494" spans="1:6" x14ac:dyDescent="0.25">
      <c r="A97494"/>
      <c r="B97494"/>
      <c r="C97494"/>
      <c r="E97494"/>
      <c r="F97494"/>
    </row>
    <row r="97495" spans="1:6" x14ac:dyDescent="0.25">
      <c r="A97495"/>
      <c r="B97495"/>
      <c r="C97495"/>
      <c r="E97495"/>
      <c r="F97495"/>
    </row>
    <row r="97496" spans="1:6" x14ac:dyDescent="0.25">
      <c r="A97496"/>
      <c r="B97496"/>
      <c r="C97496"/>
      <c r="E97496"/>
      <c r="F97496"/>
    </row>
    <row r="97497" spans="1:6" x14ac:dyDescent="0.25">
      <c r="A97497"/>
      <c r="B97497"/>
      <c r="C97497"/>
      <c r="E97497"/>
      <c r="F97497"/>
    </row>
    <row r="97498" spans="1:6" x14ac:dyDescent="0.25">
      <c r="A97498"/>
      <c r="B97498"/>
      <c r="C97498"/>
      <c r="E97498"/>
      <c r="F97498"/>
    </row>
    <row r="97499" spans="1:6" x14ac:dyDescent="0.25">
      <c r="A97499"/>
      <c r="B97499"/>
      <c r="C97499"/>
      <c r="E97499"/>
      <c r="F97499"/>
    </row>
    <row r="97500" spans="1:6" x14ac:dyDescent="0.25">
      <c r="A97500"/>
      <c r="B97500"/>
      <c r="C97500"/>
      <c r="E97500"/>
      <c r="F97500"/>
    </row>
    <row r="97501" spans="1:6" x14ac:dyDescent="0.25">
      <c r="A97501"/>
      <c r="B97501"/>
      <c r="C97501"/>
      <c r="E97501"/>
      <c r="F97501"/>
    </row>
    <row r="97502" spans="1:6" x14ac:dyDescent="0.25">
      <c r="A97502"/>
      <c r="B97502"/>
      <c r="C97502"/>
      <c r="E97502"/>
      <c r="F97502"/>
    </row>
    <row r="97503" spans="1:6" x14ac:dyDescent="0.25">
      <c r="A97503"/>
      <c r="B97503"/>
      <c r="C97503"/>
      <c r="E97503"/>
      <c r="F97503"/>
    </row>
    <row r="97504" spans="1:6" x14ac:dyDescent="0.25">
      <c r="A97504"/>
      <c r="B97504"/>
      <c r="C97504"/>
      <c r="E97504"/>
      <c r="F97504"/>
    </row>
    <row r="97505" spans="1:6" x14ac:dyDescent="0.25">
      <c r="A97505"/>
      <c r="B97505"/>
      <c r="C97505"/>
      <c r="E97505"/>
      <c r="F97505"/>
    </row>
    <row r="97506" spans="1:6" x14ac:dyDescent="0.25">
      <c r="A97506"/>
      <c r="B97506"/>
      <c r="C97506"/>
      <c r="E97506"/>
      <c r="F97506"/>
    </row>
    <row r="97507" spans="1:6" x14ac:dyDescent="0.25">
      <c r="A97507"/>
      <c r="B97507"/>
      <c r="C97507"/>
      <c r="E97507"/>
      <c r="F97507"/>
    </row>
    <row r="97508" spans="1:6" x14ac:dyDescent="0.25">
      <c r="A97508"/>
      <c r="B97508"/>
      <c r="C97508"/>
      <c r="E97508"/>
      <c r="F97508"/>
    </row>
    <row r="97509" spans="1:6" x14ac:dyDescent="0.25">
      <c r="A97509"/>
      <c r="B97509"/>
      <c r="C97509"/>
      <c r="E97509"/>
      <c r="F97509"/>
    </row>
    <row r="97510" spans="1:6" x14ac:dyDescent="0.25">
      <c r="A97510"/>
      <c r="B97510"/>
      <c r="C97510"/>
      <c r="E97510"/>
      <c r="F97510"/>
    </row>
    <row r="97511" spans="1:6" x14ac:dyDescent="0.25">
      <c r="A97511"/>
      <c r="B97511"/>
      <c r="C97511"/>
      <c r="E97511"/>
      <c r="F97511"/>
    </row>
    <row r="97512" spans="1:6" x14ac:dyDescent="0.25">
      <c r="A97512"/>
      <c r="B97512"/>
      <c r="C97512"/>
      <c r="E97512"/>
      <c r="F97512"/>
    </row>
    <row r="97513" spans="1:6" x14ac:dyDescent="0.25">
      <c r="A97513"/>
      <c r="B97513"/>
      <c r="C97513"/>
      <c r="E97513"/>
      <c r="F97513"/>
    </row>
    <row r="97514" spans="1:6" x14ac:dyDescent="0.25">
      <c r="A97514"/>
      <c r="B97514"/>
      <c r="C97514"/>
      <c r="E97514"/>
      <c r="F97514"/>
    </row>
    <row r="97515" spans="1:6" x14ac:dyDescent="0.25">
      <c r="A97515"/>
      <c r="B97515"/>
      <c r="C97515"/>
      <c r="E97515"/>
      <c r="F97515"/>
    </row>
    <row r="97516" spans="1:6" x14ac:dyDescent="0.25">
      <c r="A97516"/>
      <c r="B97516"/>
      <c r="C97516"/>
      <c r="E97516"/>
      <c r="F97516"/>
    </row>
    <row r="97517" spans="1:6" x14ac:dyDescent="0.25">
      <c r="A97517"/>
      <c r="B97517"/>
      <c r="C97517"/>
      <c r="E97517"/>
      <c r="F97517"/>
    </row>
    <row r="97518" spans="1:6" x14ac:dyDescent="0.25">
      <c r="A97518"/>
      <c r="B97518"/>
      <c r="C97518"/>
      <c r="E97518"/>
      <c r="F97518"/>
    </row>
    <row r="97519" spans="1:6" x14ac:dyDescent="0.25">
      <c r="A97519"/>
      <c r="B97519"/>
      <c r="C97519"/>
      <c r="E97519"/>
      <c r="F97519"/>
    </row>
    <row r="97520" spans="1:6" x14ac:dyDescent="0.25">
      <c r="A97520"/>
      <c r="B97520"/>
      <c r="C97520"/>
      <c r="E97520"/>
      <c r="F97520"/>
    </row>
    <row r="97521" spans="1:6" x14ac:dyDescent="0.25">
      <c r="A97521"/>
      <c r="B97521"/>
      <c r="C97521"/>
      <c r="E97521"/>
      <c r="F97521"/>
    </row>
    <row r="97522" spans="1:6" x14ac:dyDescent="0.25">
      <c r="A97522"/>
      <c r="B97522"/>
      <c r="C97522"/>
      <c r="E97522"/>
      <c r="F97522"/>
    </row>
    <row r="97523" spans="1:6" x14ac:dyDescent="0.25">
      <c r="A97523"/>
      <c r="B97523"/>
      <c r="C97523"/>
      <c r="E97523"/>
      <c r="F97523"/>
    </row>
    <row r="97524" spans="1:6" x14ac:dyDescent="0.25">
      <c r="A97524"/>
      <c r="B97524"/>
      <c r="C97524"/>
      <c r="E97524"/>
      <c r="F97524"/>
    </row>
    <row r="97525" spans="1:6" x14ac:dyDescent="0.25">
      <c r="A97525"/>
      <c r="B97525"/>
      <c r="C97525"/>
      <c r="E97525"/>
      <c r="F97525"/>
    </row>
    <row r="97526" spans="1:6" x14ac:dyDescent="0.25">
      <c r="A97526"/>
      <c r="B97526"/>
      <c r="C97526"/>
      <c r="E97526"/>
      <c r="F97526"/>
    </row>
    <row r="97527" spans="1:6" x14ac:dyDescent="0.25">
      <c r="A97527"/>
      <c r="B97527"/>
      <c r="C97527"/>
      <c r="E97527"/>
      <c r="F97527"/>
    </row>
    <row r="97528" spans="1:6" x14ac:dyDescent="0.25">
      <c r="A97528"/>
      <c r="B97528"/>
      <c r="C97528"/>
      <c r="E97528"/>
      <c r="F97528"/>
    </row>
    <row r="97529" spans="1:6" x14ac:dyDescent="0.25">
      <c r="A97529"/>
      <c r="B97529"/>
      <c r="C97529"/>
      <c r="E97529"/>
      <c r="F97529"/>
    </row>
    <row r="97530" spans="1:6" x14ac:dyDescent="0.25">
      <c r="A97530"/>
      <c r="B97530"/>
      <c r="C97530"/>
      <c r="E97530"/>
      <c r="F97530"/>
    </row>
    <row r="97531" spans="1:6" x14ac:dyDescent="0.25">
      <c r="A97531"/>
      <c r="B97531"/>
      <c r="C97531"/>
      <c r="E97531"/>
      <c r="F97531"/>
    </row>
    <row r="97532" spans="1:6" x14ac:dyDescent="0.25">
      <c r="A97532"/>
      <c r="B97532"/>
      <c r="C97532"/>
      <c r="E97532"/>
      <c r="F97532"/>
    </row>
    <row r="97533" spans="1:6" x14ac:dyDescent="0.25">
      <c r="A97533"/>
      <c r="B97533"/>
      <c r="C97533"/>
      <c r="E97533"/>
      <c r="F97533"/>
    </row>
    <row r="97534" spans="1:6" x14ac:dyDescent="0.25">
      <c r="A97534"/>
      <c r="B97534"/>
      <c r="C97534"/>
      <c r="E97534"/>
      <c r="F97534"/>
    </row>
    <row r="97535" spans="1:6" x14ac:dyDescent="0.25">
      <c r="A97535"/>
      <c r="B97535"/>
      <c r="C97535"/>
      <c r="E97535"/>
      <c r="F97535"/>
    </row>
    <row r="97536" spans="1:6" x14ac:dyDescent="0.25">
      <c r="A97536"/>
      <c r="B97536"/>
      <c r="C97536"/>
      <c r="E97536"/>
      <c r="F97536"/>
    </row>
    <row r="97537" spans="1:6" x14ac:dyDescent="0.25">
      <c r="A97537"/>
      <c r="B97537"/>
      <c r="C97537"/>
      <c r="E97537"/>
      <c r="F97537"/>
    </row>
    <row r="97538" spans="1:6" x14ac:dyDescent="0.25">
      <c r="A97538"/>
      <c r="B97538"/>
      <c r="C97538"/>
      <c r="E97538"/>
      <c r="F97538"/>
    </row>
    <row r="97539" spans="1:6" x14ac:dyDescent="0.25">
      <c r="A97539"/>
      <c r="B97539"/>
      <c r="C97539"/>
      <c r="E97539"/>
      <c r="F97539"/>
    </row>
    <row r="97540" spans="1:6" x14ac:dyDescent="0.25">
      <c r="A97540"/>
      <c r="B97540"/>
      <c r="C97540"/>
      <c r="E97540"/>
      <c r="F97540"/>
    </row>
    <row r="97541" spans="1:6" x14ac:dyDescent="0.25">
      <c r="A97541"/>
      <c r="B97541"/>
      <c r="C97541"/>
      <c r="E97541"/>
      <c r="F97541"/>
    </row>
    <row r="97542" spans="1:6" x14ac:dyDescent="0.25">
      <c r="A97542"/>
      <c r="B97542"/>
      <c r="C97542"/>
      <c r="E97542"/>
      <c r="F97542"/>
    </row>
    <row r="97543" spans="1:6" x14ac:dyDescent="0.25">
      <c r="A97543"/>
      <c r="B97543"/>
      <c r="C97543"/>
      <c r="E97543"/>
      <c r="F97543"/>
    </row>
    <row r="97544" spans="1:6" x14ac:dyDescent="0.25">
      <c r="A97544"/>
      <c r="B97544"/>
      <c r="C97544"/>
      <c r="E97544"/>
      <c r="F97544"/>
    </row>
    <row r="97545" spans="1:6" x14ac:dyDescent="0.25">
      <c r="A97545"/>
      <c r="B97545"/>
      <c r="C97545"/>
      <c r="E97545"/>
      <c r="F97545"/>
    </row>
    <row r="97546" spans="1:6" x14ac:dyDescent="0.25">
      <c r="A97546"/>
      <c r="B97546"/>
      <c r="C97546"/>
      <c r="E97546"/>
      <c r="F97546"/>
    </row>
    <row r="97547" spans="1:6" x14ac:dyDescent="0.25">
      <c r="A97547"/>
      <c r="B97547"/>
      <c r="C97547"/>
      <c r="E97547"/>
      <c r="F97547"/>
    </row>
    <row r="97548" spans="1:6" x14ac:dyDescent="0.25">
      <c r="A97548"/>
      <c r="B97548"/>
      <c r="C97548"/>
      <c r="E97548"/>
      <c r="F97548"/>
    </row>
    <row r="97549" spans="1:6" x14ac:dyDescent="0.25">
      <c r="A97549"/>
      <c r="B97549"/>
      <c r="C97549"/>
      <c r="E97549"/>
      <c r="F97549"/>
    </row>
    <row r="97550" spans="1:6" x14ac:dyDescent="0.25">
      <c r="A97550"/>
      <c r="B97550"/>
      <c r="C97550"/>
      <c r="E97550"/>
      <c r="F97550"/>
    </row>
    <row r="97551" spans="1:6" x14ac:dyDescent="0.25">
      <c r="A97551"/>
      <c r="B97551"/>
      <c r="C97551"/>
      <c r="E97551"/>
      <c r="F97551"/>
    </row>
    <row r="97552" spans="1:6" x14ac:dyDescent="0.25">
      <c r="A97552"/>
      <c r="B97552"/>
      <c r="C97552"/>
      <c r="E97552"/>
      <c r="F97552"/>
    </row>
    <row r="97553" spans="1:6" x14ac:dyDescent="0.25">
      <c r="A97553"/>
      <c r="B97553"/>
      <c r="C97553"/>
      <c r="E97553"/>
      <c r="F97553"/>
    </row>
    <row r="97554" spans="1:6" x14ac:dyDescent="0.25">
      <c r="A97554"/>
      <c r="B97554"/>
      <c r="C97554"/>
      <c r="E97554"/>
      <c r="F97554"/>
    </row>
    <row r="97555" spans="1:6" x14ac:dyDescent="0.25">
      <c r="A97555"/>
      <c r="B97555"/>
      <c r="C97555"/>
      <c r="E97555"/>
      <c r="F97555"/>
    </row>
    <row r="97556" spans="1:6" x14ac:dyDescent="0.25">
      <c r="A97556"/>
      <c r="B97556"/>
      <c r="C97556"/>
      <c r="E97556"/>
      <c r="F97556"/>
    </row>
    <row r="97557" spans="1:6" x14ac:dyDescent="0.25">
      <c r="A97557"/>
      <c r="B97557"/>
      <c r="C97557"/>
      <c r="E97557"/>
      <c r="F97557"/>
    </row>
    <row r="97558" spans="1:6" x14ac:dyDescent="0.25">
      <c r="A97558"/>
      <c r="B97558"/>
      <c r="C97558"/>
      <c r="E97558"/>
      <c r="F97558"/>
    </row>
    <row r="97559" spans="1:6" x14ac:dyDescent="0.25">
      <c r="A97559"/>
      <c r="B97559"/>
      <c r="C97559"/>
      <c r="E97559"/>
      <c r="F97559"/>
    </row>
    <row r="97560" spans="1:6" x14ac:dyDescent="0.25">
      <c r="A97560"/>
      <c r="B97560"/>
      <c r="C97560"/>
      <c r="E97560"/>
      <c r="F97560"/>
    </row>
    <row r="97561" spans="1:6" x14ac:dyDescent="0.25">
      <c r="A97561"/>
      <c r="B97561"/>
      <c r="C97561"/>
      <c r="E97561"/>
      <c r="F97561"/>
    </row>
    <row r="97562" spans="1:6" x14ac:dyDescent="0.25">
      <c r="A97562"/>
      <c r="B97562"/>
      <c r="C97562"/>
      <c r="E97562"/>
      <c r="F97562"/>
    </row>
    <row r="97563" spans="1:6" x14ac:dyDescent="0.25">
      <c r="A97563"/>
      <c r="B97563"/>
      <c r="C97563"/>
      <c r="E97563"/>
      <c r="F97563"/>
    </row>
    <row r="97564" spans="1:6" x14ac:dyDescent="0.25">
      <c r="A97564"/>
      <c r="B97564"/>
      <c r="C97564"/>
      <c r="E97564"/>
      <c r="F97564"/>
    </row>
    <row r="97565" spans="1:6" x14ac:dyDescent="0.25">
      <c r="A97565"/>
      <c r="B97565"/>
      <c r="C97565"/>
      <c r="E97565"/>
      <c r="F97565"/>
    </row>
    <row r="97566" spans="1:6" x14ac:dyDescent="0.25">
      <c r="A97566"/>
      <c r="B97566"/>
      <c r="C97566"/>
      <c r="E97566"/>
      <c r="F97566"/>
    </row>
    <row r="97567" spans="1:6" x14ac:dyDescent="0.25">
      <c r="A97567"/>
      <c r="B97567"/>
      <c r="C97567"/>
      <c r="E97567"/>
      <c r="F97567"/>
    </row>
    <row r="97568" spans="1:6" x14ac:dyDescent="0.25">
      <c r="A97568"/>
      <c r="B97568"/>
      <c r="C97568"/>
      <c r="E97568"/>
      <c r="F97568"/>
    </row>
    <row r="97569" spans="1:6" x14ac:dyDescent="0.25">
      <c r="A97569"/>
      <c r="B97569"/>
      <c r="C97569"/>
      <c r="E97569"/>
      <c r="F97569"/>
    </row>
    <row r="97570" spans="1:6" x14ac:dyDescent="0.25">
      <c r="A97570"/>
      <c r="B97570"/>
      <c r="C97570"/>
      <c r="E97570"/>
      <c r="F97570"/>
    </row>
    <row r="97571" spans="1:6" x14ac:dyDescent="0.25">
      <c r="A97571"/>
      <c r="B97571"/>
      <c r="C97571"/>
      <c r="E97571"/>
      <c r="F97571"/>
    </row>
    <row r="97572" spans="1:6" x14ac:dyDescent="0.25">
      <c r="A97572"/>
      <c r="B97572"/>
      <c r="C97572"/>
      <c r="E97572"/>
      <c r="F97572"/>
    </row>
    <row r="97573" spans="1:6" x14ac:dyDescent="0.25">
      <c r="A97573"/>
      <c r="B97573"/>
      <c r="C97573"/>
      <c r="E97573"/>
      <c r="F97573"/>
    </row>
    <row r="97574" spans="1:6" x14ac:dyDescent="0.25">
      <c r="A97574"/>
      <c r="B97574"/>
      <c r="C97574"/>
      <c r="E97574"/>
      <c r="F97574"/>
    </row>
    <row r="97575" spans="1:6" x14ac:dyDescent="0.25">
      <c r="A97575"/>
      <c r="B97575"/>
      <c r="C97575"/>
      <c r="E97575"/>
      <c r="F97575"/>
    </row>
    <row r="97576" spans="1:6" x14ac:dyDescent="0.25">
      <c r="A97576"/>
      <c r="B97576"/>
      <c r="C97576"/>
      <c r="E97576"/>
      <c r="F97576"/>
    </row>
    <row r="97577" spans="1:6" x14ac:dyDescent="0.25">
      <c r="A97577"/>
      <c r="B97577"/>
      <c r="C97577"/>
      <c r="E97577"/>
      <c r="F97577"/>
    </row>
    <row r="97578" spans="1:6" x14ac:dyDescent="0.25">
      <c r="A97578"/>
      <c r="B97578"/>
      <c r="C97578"/>
      <c r="E97578"/>
      <c r="F97578"/>
    </row>
    <row r="97579" spans="1:6" x14ac:dyDescent="0.25">
      <c r="A97579"/>
      <c r="B97579"/>
      <c r="C97579"/>
      <c r="E97579"/>
      <c r="F97579"/>
    </row>
    <row r="97580" spans="1:6" x14ac:dyDescent="0.25">
      <c r="A97580"/>
      <c r="B97580"/>
      <c r="C97580"/>
      <c r="E97580"/>
      <c r="F97580"/>
    </row>
    <row r="97581" spans="1:6" x14ac:dyDescent="0.25">
      <c r="A97581"/>
      <c r="B97581"/>
      <c r="C97581"/>
      <c r="E97581"/>
      <c r="F97581"/>
    </row>
    <row r="97582" spans="1:6" x14ac:dyDescent="0.25">
      <c r="A97582"/>
      <c r="B97582"/>
      <c r="C97582"/>
      <c r="E97582"/>
      <c r="F97582"/>
    </row>
    <row r="97583" spans="1:6" x14ac:dyDescent="0.25">
      <c r="A97583"/>
      <c r="B97583"/>
      <c r="C97583"/>
      <c r="E97583"/>
      <c r="F97583"/>
    </row>
    <row r="97584" spans="1:6" x14ac:dyDescent="0.25">
      <c r="A97584"/>
      <c r="B97584"/>
      <c r="C97584"/>
      <c r="E97584"/>
      <c r="F97584"/>
    </row>
    <row r="97585" spans="1:6" x14ac:dyDescent="0.25">
      <c r="A97585"/>
      <c r="B97585"/>
      <c r="C97585"/>
      <c r="E97585"/>
      <c r="F97585"/>
    </row>
    <row r="97586" spans="1:6" x14ac:dyDescent="0.25">
      <c r="A97586"/>
      <c r="B97586"/>
      <c r="C97586"/>
      <c r="E97586"/>
      <c r="F97586"/>
    </row>
    <row r="97587" spans="1:6" x14ac:dyDescent="0.25">
      <c r="A97587"/>
      <c r="B97587"/>
      <c r="C97587"/>
      <c r="E97587"/>
      <c r="F97587"/>
    </row>
    <row r="97588" spans="1:6" x14ac:dyDescent="0.25">
      <c r="A97588"/>
      <c r="B97588"/>
      <c r="C97588"/>
      <c r="E97588"/>
      <c r="F97588"/>
    </row>
    <row r="97589" spans="1:6" x14ac:dyDescent="0.25">
      <c r="A97589"/>
      <c r="B97589"/>
      <c r="C97589"/>
      <c r="E97589"/>
      <c r="F97589"/>
    </row>
    <row r="97590" spans="1:6" x14ac:dyDescent="0.25">
      <c r="A97590"/>
      <c r="B97590"/>
      <c r="C97590"/>
      <c r="E97590"/>
      <c r="F97590"/>
    </row>
    <row r="97591" spans="1:6" x14ac:dyDescent="0.25">
      <c r="A97591"/>
      <c r="B97591"/>
      <c r="C97591"/>
      <c r="E97591"/>
      <c r="F97591"/>
    </row>
    <row r="97592" spans="1:6" x14ac:dyDescent="0.25">
      <c r="A97592"/>
      <c r="B97592"/>
      <c r="C97592"/>
      <c r="E97592"/>
      <c r="F97592"/>
    </row>
    <row r="97593" spans="1:6" x14ac:dyDescent="0.25">
      <c r="A97593"/>
      <c r="B97593"/>
      <c r="C97593"/>
      <c r="E97593"/>
      <c r="F97593"/>
    </row>
    <row r="97594" spans="1:6" x14ac:dyDescent="0.25">
      <c r="A97594"/>
      <c r="B97594"/>
      <c r="C97594"/>
      <c r="E97594"/>
      <c r="F97594"/>
    </row>
    <row r="97595" spans="1:6" x14ac:dyDescent="0.25">
      <c r="A97595"/>
      <c r="B97595"/>
      <c r="C97595"/>
      <c r="E97595"/>
      <c r="F97595"/>
    </row>
    <row r="97596" spans="1:6" x14ac:dyDescent="0.25">
      <c r="A97596"/>
      <c r="B97596"/>
      <c r="C97596"/>
      <c r="E97596"/>
      <c r="F97596"/>
    </row>
    <row r="97597" spans="1:6" x14ac:dyDescent="0.25">
      <c r="A97597"/>
      <c r="B97597"/>
      <c r="C97597"/>
      <c r="E97597"/>
      <c r="F97597"/>
    </row>
    <row r="97598" spans="1:6" x14ac:dyDescent="0.25">
      <c r="A97598"/>
      <c r="B97598"/>
      <c r="C97598"/>
      <c r="E97598"/>
      <c r="F97598"/>
    </row>
    <row r="97599" spans="1:6" x14ac:dyDescent="0.25">
      <c r="A97599"/>
      <c r="B97599"/>
      <c r="C97599"/>
      <c r="E97599"/>
      <c r="F97599"/>
    </row>
    <row r="97600" spans="1:6" x14ac:dyDescent="0.25">
      <c r="A97600"/>
      <c r="B97600"/>
      <c r="C97600"/>
      <c r="E97600"/>
      <c r="F97600"/>
    </row>
    <row r="97601" spans="1:6" x14ac:dyDescent="0.25">
      <c r="A97601"/>
      <c r="B97601"/>
      <c r="C97601"/>
      <c r="E97601"/>
      <c r="F97601"/>
    </row>
    <row r="97602" spans="1:6" x14ac:dyDescent="0.25">
      <c r="A97602"/>
      <c r="B97602"/>
      <c r="C97602"/>
      <c r="E97602"/>
      <c r="F97602"/>
    </row>
    <row r="97603" spans="1:6" x14ac:dyDescent="0.25">
      <c r="A97603"/>
      <c r="B97603"/>
      <c r="C97603"/>
      <c r="E97603"/>
      <c r="F97603"/>
    </row>
    <row r="97604" spans="1:6" x14ac:dyDescent="0.25">
      <c r="A97604"/>
      <c r="B97604"/>
      <c r="C97604"/>
      <c r="E97604"/>
      <c r="F97604"/>
    </row>
    <row r="97605" spans="1:6" x14ac:dyDescent="0.25">
      <c r="A97605"/>
      <c r="B97605"/>
      <c r="C97605"/>
      <c r="E97605"/>
      <c r="F97605"/>
    </row>
    <row r="97606" spans="1:6" x14ac:dyDescent="0.25">
      <c r="A97606"/>
      <c r="B97606"/>
      <c r="C97606"/>
      <c r="E97606"/>
      <c r="F97606"/>
    </row>
    <row r="97607" spans="1:6" x14ac:dyDescent="0.25">
      <c r="A97607"/>
      <c r="B97607"/>
      <c r="C97607"/>
      <c r="E97607"/>
      <c r="F97607"/>
    </row>
    <row r="97608" spans="1:6" x14ac:dyDescent="0.25">
      <c r="A97608"/>
      <c r="B97608"/>
      <c r="C97608"/>
      <c r="E97608"/>
      <c r="F97608"/>
    </row>
    <row r="97609" spans="1:6" x14ac:dyDescent="0.25">
      <c r="A97609"/>
      <c r="B97609"/>
      <c r="C97609"/>
      <c r="E97609"/>
      <c r="F97609"/>
    </row>
    <row r="97610" spans="1:6" x14ac:dyDescent="0.25">
      <c r="A97610"/>
      <c r="B97610"/>
      <c r="C97610"/>
      <c r="E97610"/>
      <c r="F97610"/>
    </row>
    <row r="97611" spans="1:6" x14ac:dyDescent="0.25">
      <c r="A97611"/>
      <c r="B97611"/>
      <c r="C97611"/>
      <c r="E97611"/>
      <c r="F97611"/>
    </row>
    <row r="97612" spans="1:6" x14ac:dyDescent="0.25">
      <c r="A97612"/>
      <c r="B97612"/>
      <c r="C97612"/>
      <c r="E97612"/>
      <c r="F97612"/>
    </row>
    <row r="97613" spans="1:6" x14ac:dyDescent="0.25">
      <c r="A97613"/>
      <c r="B97613"/>
      <c r="C97613"/>
      <c r="E97613"/>
      <c r="F97613"/>
    </row>
    <row r="97614" spans="1:6" x14ac:dyDescent="0.25">
      <c r="A97614"/>
      <c r="B97614"/>
      <c r="C97614"/>
      <c r="E97614"/>
      <c r="F97614"/>
    </row>
    <row r="97615" spans="1:6" x14ac:dyDescent="0.25">
      <c r="A97615"/>
      <c r="B97615"/>
      <c r="C97615"/>
      <c r="E97615"/>
      <c r="F97615"/>
    </row>
    <row r="97616" spans="1:6" x14ac:dyDescent="0.25">
      <c r="A97616"/>
      <c r="B97616"/>
      <c r="C97616"/>
      <c r="E97616"/>
      <c r="F97616"/>
    </row>
    <row r="97617" spans="1:6" x14ac:dyDescent="0.25">
      <c r="A97617"/>
      <c r="B97617"/>
      <c r="C97617"/>
      <c r="E97617"/>
      <c r="F97617"/>
    </row>
    <row r="97618" spans="1:6" x14ac:dyDescent="0.25">
      <c r="A97618"/>
      <c r="B97618"/>
      <c r="C97618"/>
      <c r="E97618"/>
      <c r="F97618"/>
    </row>
    <row r="97619" spans="1:6" x14ac:dyDescent="0.25">
      <c r="A97619"/>
      <c r="B97619"/>
      <c r="C97619"/>
      <c r="E97619"/>
      <c r="F97619"/>
    </row>
    <row r="97620" spans="1:6" x14ac:dyDescent="0.25">
      <c r="A97620"/>
      <c r="B97620"/>
      <c r="C97620"/>
      <c r="E97620"/>
      <c r="F97620"/>
    </row>
    <row r="97621" spans="1:6" x14ac:dyDescent="0.25">
      <c r="A97621"/>
      <c r="B97621"/>
      <c r="C97621"/>
      <c r="E97621"/>
      <c r="F97621"/>
    </row>
    <row r="97622" spans="1:6" x14ac:dyDescent="0.25">
      <c r="A97622"/>
      <c r="B97622"/>
      <c r="C97622"/>
      <c r="E97622"/>
      <c r="F97622"/>
    </row>
    <row r="97623" spans="1:6" x14ac:dyDescent="0.25">
      <c r="A97623"/>
      <c r="B97623"/>
      <c r="C97623"/>
      <c r="E97623"/>
      <c r="F97623"/>
    </row>
    <row r="97624" spans="1:6" x14ac:dyDescent="0.25">
      <c r="A97624"/>
      <c r="B97624"/>
      <c r="C97624"/>
      <c r="E97624"/>
      <c r="F97624"/>
    </row>
    <row r="97625" spans="1:6" x14ac:dyDescent="0.25">
      <c r="A97625"/>
      <c r="B97625"/>
      <c r="C97625"/>
      <c r="E97625"/>
      <c r="F97625"/>
    </row>
    <row r="97626" spans="1:6" x14ac:dyDescent="0.25">
      <c r="A97626"/>
      <c r="B97626"/>
      <c r="C97626"/>
      <c r="E97626"/>
      <c r="F97626"/>
    </row>
    <row r="97627" spans="1:6" x14ac:dyDescent="0.25">
      <c r="A97627"/>
      <c r="B97627"/>
      <c r="C97627"/>
      <c r="E97627"/>
      <c r="F97627"/>
    </row>
    <row r="97628" spans="1:6" x14ac:dyDescent="0.25">
      <c r="A97628"/>
      <c r="B97628"/>
      <c r="C97628"/>
      <c r="E97628"/>
      <c r="F97628"/>
    </row>
    <row r="97629" spans="1:6" x14ac:dyDescent="0.25">
      <c r="A97629"/>
      <c r="B97629"/>
      <c r="C97629"/>
      <c r="E97629"/>
      <c r="F97629"/>
    </row>
    <row r="97630" spans="1:6" x14ac:dyDescent="0.25">
      <c r="A97630"/>
      <c r="B97630"/>
      <c r="C97630"/>
      <c r="E97630"/>
      <c r="F97630"/>
    </row>
    <row r="97631" spans="1:6" x14ac:dyDescent="0.25">
      <c r="A97631"/>
      <c r="B97631"/>
      <c r="C97631"/>
      <c r="E97631"/>
      <c r="F97631"/>
    </row>
    <row r="97632" spans="1:6" x14ac:dyDescent="0.25">
      <c r="A97632"/>
      <c r="B97632"/>
      <c r="C97632"/>
      <c r="E97632"/>
      <c r="F97632"/>
    </row>
    <row r="97633" spans="1:6" x14ac:dyDescent="0.25">
      <c r="A97633"/>
      <c r="B97633"/>
      <c r="C97633"/>
      <c r="E97633"/>
      <c r="F97633"/>
    </row>
    <row r="97634" spans="1:6" x14ac:dyDescent="0.25">
      <c r="A97634"/>
      <c r="B97634"/>
      <c r="C97634"/>
      <c r="E97634"/>
      <c r="F97634"/>
    </row>
    <row r="97635" spans="1:6" x14ac:dyDescent="0.25">
      <c r="A97635"/>
      <c r="B97635"/>
      <c r="C97635"/>
      <c r="E97635"/>
      <c r="F97635"/>
    </row>
    <row r="97636" spans="1:6" x14ac:dyDescent="0.25">
      <c r="A97636"/>
      <c r="B97636"/>
      <c r="C97636"/>
      <c r="E97636"/>
      <c r="F97636"/>
    </row>
    <row r="97637" spans="1:6" x14ac:dyDescent="0.25">
      <c r="A97637"/>
      <c r="B97637"/>
      <c r="C97637"/>
      <c r="E97637"/>
      <c r="F97637"/>
    </row>
    <row r="97638" spans="1:6" x14ac:dyDescent="0.25">
      <c r="A97638"/>
      <c r="B97638"/>
      <c r="C97638"/>
      <c r="E97638"/>
      <c r="F97638"/>
    </row>
    <row r="97639" spans="1:6" x14ac:dyDescent="0.25">
      <c r="A97639"/>
      <c r="B97639"/>
      <c r="C97639"/>
      <c r="E97639"/>
      <c r="F97639"/>
    </row>
    <row r="97640" spans="1:6" x14ac:dyDescent="0.25">
      <c r="A97640"/>
      <c r="B97640"/>
      <c r="C97640"/>
      <c r="E97640"/>
      <c r="F97640"/>
    </row>
    <row r="97641" spans="1:6" x14ac:dyDescent="0.25">
      <c r="A97641"/>
      <c r="B97641"/>
      <c r="C97641"/>
      <c r="E97641"/>
      <c r="F97641"/>
    </row>
    <row r="97642" spans="1:6" x14ac:dyDescent="0.25">
      <c r="A97642"/>
      <c r="B97642"/>
      <c r="C97642"/>
      <c r="E97642"/>
      <c r="F97642"/>
    </row>
    <row r="97643" spans="1:6" x14ac:dyDescent="0.25">
      <c r="A97643"/>
      <c r="B97643"/>
      <c r="C97643"/>
      <c r="E97643"/>
      <c r="F97643"/>
    </row>
    <row r="97644" spans="1:6" x14ac:dyDescent="0.25">
      <c r="A97644"/>
      <c r="B97644"/>
      <c r="C97644"/>
      <c r="E97644"/>
      <c r="F97644"/>
    </row>
    <row r="97645" spans="1:6" x14ac:dyDescent="0.25">
      <c r="A97645"/>
      <c r="B97645"/>
      <c r="C97645"/>
      <c r="E97645"/>
      <c r="F97645"/>
    </row>
    <row r="97646" spans="1:6" x14ac:dyDescent="0.25">
      <c r="A97646"/>
      <c r="B97646"/>
      <c r="C97646"/>
      <c r="E97646"/>
      <c r="F97646"/>
    </row>
    <row r="97647" spans="1:6" x14ac:dyDescent="0.25">
      <c r="A97647"/>
      <c r="B97647"/>
      <c r="C97647"/>
      <c r="E97647"/>
      <c r="F97647"/>
    </row>
    <row r="97648" spans="1:6" x14ac:dyDescent="0.25">
      <c r="A97648"/>
      <c r="B97648"/>
      <c r="C97648"/>
      <c r="E97648"/>
      <c r="F97648"/>
    </row>
    <row r="97649" spans="1:6" x14ac:dyDescent="0.25">
      <c r="A97649"/>
      <c r="B97649"/>
      <c r="C97649"/>
      <c r="E97649"/>
      <c r="F97649"/>
    </row>
    <row r="97650" spans="1:6" x14ac:dyDescent="0.25">
      <c r="A97650"/>
      <c r="B97650"/>
      <c r="C97650"/>
      <c r="E97650"/>
      <c r="F97650"/>
    </row>
    <row r="97651" spans="1:6" x14ac:dyDescent="0.25">
      <c r="A97651"/>
      <c r="B97651"/>
      <c r="C97651"/>
      <c r="E97651"/>
      <c r="F97651"/>
    </row>
    <row r="97652" spans="1:6" x14ac:dyDescent="0.25">
      <c r="A97652"/>
      <c r="B97652"/>
      <c r="C97652"/>
      <c r="E97652"/>
      <c r="F97652"/>
    </row>
    <row r="97653" spans="1:6" x14ac:dyDescent="0.25">
      <c r="A97653"/>
      <c r="B97653"/>
      <c r="C97653"/>
      <c r="E97653"/>
      <c r="F97653"/>
    </row>
    <row r="97654" spans="1:6" x14ac:dyDescent="0.25">
      <c r="A97654"/>
      <c r="B97654"/>
      <c r="C97654"/>
      <c r="E97654"/>
      <c r="F97654"/>
    </row>
    <row r="97655" spans="1:6" x14ac:dyDescent="0.25">
      <c r="A97655"/>
      <c r="B97655"/>
      <c r="C97655"/>
      <c r="E97655"/>
      <c r="F97655"/>
    </row>
    <row r="97656" spans="1:6" x14ac:dyDescent="0.25">
      <c r="A97656"/>
      <c r="B97656"/>
      <c r="C97656"/>
      <c r="E97656"/>
      <c r="F97656"/>
    </row>
    <row r="97657" spans="1:6" x14ac:dyDescent="0.25">
      <c r="A97657"/>
      <c r="B97657"/>
      <c r="C97657"/>
      <c r="E97657"/>
      <c r="F97657"/>
    </row>
    <row r="97658" spans="1:6" x14ac:dyDescent="0.25">
      <c r="A97658"/>
      <c r="B97658"/>
      <c r="C97658"/>
      <c r="E97658"/>
      <c r="F97658"/>
    </row>
    <row r="97659" spans="1:6" x14ac:dyDescent="0.25">
      <c r="A97659"/>
      <c r="B97659"/>
      <c r="C97659"/>
      <c r="E97659"/>
      <c r="F97659"/>
    </row>
    <row r="97660" spans="1:6" x14ac:dyDescent="0.25">
      <c r="A97660"/>
      <c r="B97660"/>
      <c r="C97660"/>
      <c r="E97660"/>
      <c r="F97660"/>
    </row>
    <row r="97661" spans="1:6" x14ac:dyDescent="0.25">
      <c r="A97661"/>
      <c r="B97661"/>
      <c r="C97661"/>
      <c r="E97661"/>
      <c r="F97661"/>
    </row>
    <row r="97662" spans="1:6" x14ac:dyDescent="0.25">
      <c r="A97662"/>
      <c r="B97662"/>
      <c r="C97662"/>
      <c r="E97662"/>
      <c r="F97662"/>
    </row>
    <row r="97663" spans="1:6" x14ac:dyDescent="0.25">
      <c r="A97663"/>
      <c r="B97663"/>
      <c r="C97663"/>
      <c r="E97663"/>
      <c r="F97663"/>
    </row>
    <row r="97664" spans="1:6" x14ac:dyDescent="0.25">
      <c r="A97664"/>
      <c r="B97664"/>
      <c r="C97664"/>
      <c r="E97664"/>
      <c r="F97664"/>
    </row>
    <row r="97665" spans="1:6" x14ac:dyDescent="0.25">
      <c r="A97665"/>
      <c r="B97665"/>
      <c r="C97665"/>
      <c r="E97665"/>
      <c r="F97665"/>
    </row>
    <row r="97666" spans="1:6" x14ac:dyDescent="0.25">
      <c r="A97666"/>
      <c r="B97666"/>
      <c r="C97666"/>
      <c r="E97666"/>
      <c r="F97666"/>
    </row>
    <row r="97667" spans="1:6" x14ac:dyDescent="0.25">
      <c r="A97667"/>
      <c r="B97667"/>
      <c r="C97667"/>
      <c r="E97667"/>
      <c r="F97667"/>
    </row>
    <row r="97668" spans="1:6" x14ac:dyDescent="0.25">
      <c r="A97668"/>
      <c r="B97668"/>
      <c r="C97668"/>
      <c r="E97668"/>
      <c r="F97668"/>
    </row>
    <row r="97669" spans="1:6" x14ac:dyDescent="0.25">
      <c r="A97669"/>
      <c r="B97669"/>
      <c r="C97669"/>
      <c r="E97669"/>
      <c r="F97669"/>
    </row>
    <row r="97670" spans="1:6" x14ac:dyDescent="0.25">
      <c r="A97670"/>
      <c r="B97670"/>
      <c r="C97670"/>
      <c r="E97670"/>
      <c r="F97670"/>
    </row>
    <row r="97671" spans="1:6" x14ac:dyDescent="0.25">
      <c r="A97671"/>
      <c r="B97671"/>
      <c r="C97671"/>
      <c r="E97671"/>
      <c r="F97671"/>
    </row>
    <row r="97672" spans="1:6" x14ac:dyDescent="0.25">
      <c r="A97672"/>
      <c r="B97672"/>
      <c r="C97672"/>
      <c r="E97672"/>
      <c r="F97672"/>
    </row>
    <row r="97673" spans="1:6" x14ac:dyDescent="0.25">
      <c r="A97673"/>
      <c r="B97673"/>
      <c r="C97673"/>
      <c r="E97673"/>
      <c r="F97673"/>
    </row>
    <row r="97674" spans="1:6" x14ac:dyDescent="0.25">
      <c r="A97674"/>
      <c r="B97674"/>
      <c r="C97674"/>
      <c r="E97674"/>
      <c r="F97674"/>
    </row>
    <row r="97675" spans="1:6" x14ac:dyDescent="0.25">
      <c r="A97675"/>
      <c r="B97675"/>
      <c r="C97675"/>
      <c r="E97675"/>
      <c r="F97675"/>
    </row>
    <row r="97676" spans="1:6" x14ac:dyDescent="0.25">
      <c r="A97676"/>
      <c r="B97676"/>
      <c r="C97676"/>
      <c r="E97676"/>
      <c r="F97676"/>
    </row>
    <row r="97677" spans="1:6" x14ac:dyDescent="0.25">
      <c r="A97677"/>
      <c r="B97677"/>
      <c r="C97677"/>
      <c r="E97677"/>
      <c r="F97677"/>
    </row>
    <row r="97678" spans="1:6" x14ac:dyDescent="0.25">
      <c r="A97678"/>
      <c r="B97678"/>
      <c r="C97678"/>
      <c r="E97678"/>
      <c r="F97678"/>
    </row>
    <row r="97679" spans="1:6" x14ac:dyDescent="0.25">
      <c r="A97679"/>
      <c r="B97679"/>
      <c r="C97679"/>
      <c r="E97679"/>
      <c r="F97679"/>
    </row>
    <row r="97680" spans="1:6" x14ac:dyDescent="0.25">
      <c r="A97680"/>
      <c r="B97680"/>
      <c r="C97680"/>
      <c r="E97680"/>
      <c r="F97680"/>
    </row>
    <row r="97681" spans="1:6" x14ac:dyDescent="0.25">
      <c r="A97681"/>
      <c r="B97681"/>
      <c r="C97681"/>
      <c r="E97681"/>
      <c r="F97681"/>
    </row>
    <row r="97682" spans="1:6" x14ac:dyDescent="0.25">
      <c r="A97682"/>
      <c r="B97682"/>
      <c r="C97682"/>
      <c r="E97682"/>
      <c r="F97682"/>
    </row>
    <row r="97683" spans="1:6" x14ac:dyDescent="0.25">
      <c r="A97683"/>
      <c r="B97683"/>
      <c r="C97683"/>
      <c r="E97683"/>
      <c r="F97683"/>
    </row>
    <row r="97684" spans="1:6" x14ac:dyDescent="0.25">
      <c r="A97684"/>
      <c r="B97684"/>
      <c r="C97684"/>
      <c r="E97684"/>
      <c r="F97684"/>
    </row>
    <row r="97685" spans="1:6" x14ac:dyDescent="0.25">
      <c r="A97685"/>
      <c r="B97685"/>
      <c r="C97685"/>
      <c r="E97685"/>
      <c r="F97685"/>
    </row>
    <row r="97686" spans="1:6" x14ac:dyDescent="0.25">
      <c r="A97686"/>
      <c r="B97686"/>
      <c r="C97686"/>
      <c r="E97686"/>
      <c r="F97686"/>
    </row>
    <row r="97687" spans="1:6" x14ac:dyDescent="0.25">
      <c r="A97687"/>
      <c r="B97687"/>
      <c r="C97687"/>
      <c r="E97687"/>
      <c r="F97687"/>
    </row>
    <row r="97688" spans="1:6" x14ac:dyDescent="0.25">
      <c r="A97688"/>
      <c r="B97688"/>
      <c r="C97688"/>
      <c r="E97688"/>
      <c r="F97688"/>
    </row>
    <row r="97689" spans="1:6" x14ac:dyDescent="0.25">
      <c r="A97689"/>
      <c r="B97689"/>
      <c r="C97689"/>
      <c r="E97689"/>
      <c r="F97689"/>
    </row>
    <row r="97690" spans="1:6" x14ac:dyDescent="0.25">
      <c r="A97690"/>
      <c r="B97690"/>
      <c r="C97690"/>
      <c r="E97690"/>
      <c r="F97690"/>
    </row>
    <row r="97691" spans="1:6" x14ac:dyDescent="0.25">
      <c r="A97691"/>
      <c r="B97691"/>
      <c r="C97691"/>
      <c r="E97691"/>
      <c r="F97691"/>
    </row>
    <row r="97692" spans="1:6" x14ac:dyDescent="0.25">
      <c r="A97692"/>
      <c r="B97692"/>
      <c r="C97692"/>
      <c r="E97692"/>
      <c r="F97692"/>
    </row>
    <row r="97693" spans="1:6" x14ac:dyDescent="0.25">
      <c r="A97693"/>
      <c r="B97693"/>
      <c r="C97693"/>
      <c r="E97693"/>
      <c r="F97693"/>
    </row>
    <row r="97694" spans="1:6" x14ac:dyDescent="0.25">
      <c r="A97694"/>
      <c r="B97694"/>
      <c r="C97694"/>
      <c r="E97694"/>
      <c r="F97694"/>
    </row>
    <row r="97695" spans="1:6" x14ac:dyDescent="0.25">
      <c r="A97695"/>
      <c r="B97695"/>
      <c r="C97695"/>
      <c r="E97695"/>
      <c r="F97695"/>
    </row>
    <row r="97696" spans="1:6" x14ac:dyDescent="0.25">
      <c r="A97696"/>
      <c r="B97696"/>
      <c r="C97696"/>
      <c r="E97696"/>
      <c r="F97696"/>
    </row>
    <row r="97697" spans="1:6" x14ac:dyDescent="0.25">
      <c r="A97697"/>
      <c r="B97697"/>
      <c r="C97697"/>
      <c r="E97697"/>
      <c r="F97697"/>
    </row>
    <row r="97698" spans="1:6" x14ac:dyDescent="0.25">
      <c r="A97698"/>
      <c r="B97698"/>
      <c r="C97698"/>
      <c r="E97698"/>
      <c r="F97698"/>
    </row>
    <row r="97699" spans="1:6" x14ac:dyDescent="0.25">
      <c r="A97699"/>
      <c r="B97699"/>
      <c r="C97699"/>
      <c r="E97699"/>
      <c r="F97699"/>
    </row>
    <row r="97700" spans="1:6" x14ac:dyDescent="0.25">
      <c r="A97700"/>
      <c r="B97700"/>
      <c r="C97700"/>
      <c r="E97700"/>
      <c r="F97700"/>
    </row>
    <row r="97701" spans="1:6" x14ac:dyDescent="0.25">
      <c r="A97701"/>
      <c r="B97701"/>
      <c r="C97701"/>
      <c r="E97701"/>
      <c r="F97701"/>
    </row>
    <row r="97702" spans="1:6" x14ac:dyDescent="0.25">
      <c r="A97702"/>
      <c r="B97702"/>
      <c r="C97702"/>
      <c r="E97702"/>
      <c r="F97702"/>
    </row>
    <row r="97703" spans="1:6" x14ac:dyDescent="0.25">
      <c r="A97703"/>
      <c r="B97703"/>
      <c r="C97703"/>
      <c r="E97703"/>
      <c r="F97703"/>
    </row>
    <row r="97704" spans="1:6" x14ac:dyDescent="0.25">
      <c r="A97704"/>
      <c r="B97704"/>
      <c r="C97704"/>
      <c r="E97704"/>
      <c r="F97704"/>
    </row>
    <row r="97705" spans="1:6" x14ac:dyDescent="0.25">
      <c r="A97705"/>
      <c r="B97705"/>
      <c r="C97705"/>
      <c r="E97705"/>
      <c r="F97705"/>
    </row>
    <row r="97706" spans="1:6" x14ac:dyDescent="0.25">
      <c r="A97706"/>
      <c r="B97706"/>
      <c r="C97706"/>
      <c r="E97706"/>
      <c r="F97706"/>
    </row>
    <row r="97707" spans="1:6" x14ac:dyDescent="0.25">
      <c r="A97707"/>
      <c r="B97707"/>
      <c r="C97707"/>
      <c r="E97707"/>
      <c r="F97707"/>
    </row>
    <row r="97708" spans="1:6" x14ac:dyDescent="0.25">
      <c r="A97708"/>
      <c r="B97708"/>
      <c r="C97708"/>
      <c r="E97708"/>
      <c r="F97708"/>
    </row>
    <row r="97709" spans="1:6" x14ac:dyDescent="0.25">
      <c r="A97709"/>
      <c r="B97709"/>
      <c r="C97709"/>
      <c r="E97709"/>
      <c r="F97709"/>
    </row>
    <row r="97710" spans="1:6" x14ac:dyDescent="0.25">
      <c r="A97710"/>
      <c r="B97710"/>
      <c r="C97710"/>
      <c r="E97710"/>
      <c r="F97710"/>
    </row>
    <row r="97711" spans="1:6" x14ac:dyDescent="0.25">
      <c r="A97711"/>
      <c r="B97711"/>
      <c r="C97711"/>
      <c r="E97711"/>
      <c r="F97711"/>
    </row>
    <row r="97712" spans="1:6" x14ac:dyDescent="0.25">
      <c r="A97712"/>
      <c r="B97712"/>
      <c r="C97712"/>
      <c r="E97712"/>
      <c r="F97712"/>
    </row>
    <row r="97713" spans="1:6" x14ac:dyDescent="0.25">
      <c r="A97713"/>
      <c r="B97713"/>
      <c r="C97713"/>
      <c r="E97713"/>
      <c r="F97713"/>
    </row>
    <row r="97714" spans="1:6" x14ac:dyDescent="0.25">
      <c r="A97714"/>
      <c r="B97714"/>
      <c r="C97714"/>
      <c r="E97714"/>
      <c r="F97714"/>
    </row>
    <row r="97715" spans="1:6" x14ac:dyDescent="0.25">
      <c r="A97715"/>
      <c r="B97715"/>
      <c r="C97715"/>
      <c r="E97715"/>
      <c r="F97715"/>
    </row>
    <row r="97716" spans="1:6" x14ac:dyDescent="0.25">
      <c r="A97716"/>
      <c r="B97716"/>
      <c r="C97716"/>
      <c r="E97716"/>
      <c r="F97716"/>
    </row>
    <row r="97717" spans="1:6" x14ac:dyDescent="0.25">
      <c r="A97717"/>
      <c r="B97717"/>
      <c r="C97717"/>
      <c r="E97717"/>
      <c r="F97717"/>
    </row>
    <row r="97718" spans="1:6" x14ac:dyDescent="0.25">
      <c r="A97718"/>
      <c r="B97718"/>
      <c r="C97718"/>
      <c r="E97718"/>
      <c r="F97718"/>
    </row>
    <row r="97719" spans="1:6" x14ac:dyDescent="0.25">
      <c r="A97719"/>
      <c r="B97719"/>
      <c r="C97719"/>
      <c r="E97719"/>
      <c r="F97719"/>
    </row>
    <row r="97720" spans="1:6" x14ac:dyDescent="0.25">
      <c r="A97720"/>
      <c r="B97720"/>
      <c r="C97720"/>
      <c r="E97720"/>
      <c r="F97720"/>
    </row>
    <row r="97721" spans="1:6" x14ac:dyDescent="0.25">
      <c r="A97721"/>
      <c r="B97721"/>
      <c r="C97721"/>
      <c r="E97721"/>
      <c r="F97721"/>
    </row>
    <row r="97722" spans="1:6" x14ac:dyDescent="0.25">
      <c r="A97722"/>
      <c r="B97722"/>
      <c r="C97722"/>
      <c r="E97722"/>
      <c r="F97722"/>
    </row>
    <row r="97723" spans="1:6" x14ac:dyDescent="0.25">
      <c r="A97723"/>
      <c r="B97723"/>
      <c r="C97723"/>
      <c r="E97723"/>
      <c r="F97723"/>
    </row>
    <row r="97724" spans="1:6" x14ac:dyDescent="0.25">
      <c r="A97724"/>
      <c r="B97724"/>
      <c r="C97724"/>
      <c r="E97724"/>
      <c r="F97724"/>
    </row>
    <row r="97725" spans="1:6" x14ac:dyDescent="0.25">
      <c r="A97725"/>
      <c r="B97725"/>
      <c r="C97725"/>
      <c r="E97725"/>
      <c r="F97725"/>
    </row>
    <row r="97726" spans="1:6" x14ac:dyDescent="0.25">
      <c r="A97726"/>
      <c r="B97726"/>
      <c r="C97726"/>
      <c r="E97726"/>
      <c r="F97726"/>
    </row>
    <row r="97727" spans="1:6" x14ac:dyDescent="0.25">
      <c r="A97727"/>
      <c r="B97727"/>
      <c r="C97727"/>
      <c r="E97727"/>
      <c r="F97727"/>
    </row>
    <row r="97728" spans="1:6" x14ac:dyDescent="0.25">
      <c r="A97728"/>
      <c r="B97728"/>
      <c r="C97728"/>
      <c r="E97728"/>
      <c r="F97728"/>
    </row>
    <row r="97729" spans="1:6" x14ac:dyDescent="0.25">
      <c r="A97729"/>
      <c r="B97729"/>
      <c r="C97729"/>
      <c r="E97729"/>
      <c r="F97729"/>
    </row>
    <row r="97730" spans="1:6" x14ac:dyDescent="0.25">
      <c r="A97730"/>
      <c r="B97730"/>
      <c r="C97730"/>
      <c r="E97730"/>
      <c r="F97730"/>
    </row>
    <row r="97731" spans="1:6" x14ac:dyDescent="0.25">
      <c r="A97731"/>
      <c r="B97731"/>
      <c r="C97731"/>
      <c r="E97731"/>
      <c r="F97731"/>
    </row>
    <row r="97732" spans="1:6" x14ac:dyDescent="0.25">
      <c r="A97732"/>
      <c r="B97732"/>
      <c r="C97732"/>
      <c r="E97732"/>
      <c r="F97732"/>
    </row>
    <row r="97733" spans="1:6" x14ac:dyDescent="0.25">
      <c r="A97733"/>
      <c r="B97733"/>
      <c r="C97733"/>
      <c r="E97733"/>
      <c r="F97733"/>
    </row>
    <row r="97734" spans="1:6" x14ac:dyDescent="0.25">
      <c r="A97734"/>
      <c r="B97734"/>
      <c r="C97734"/>
      <c r="E97734"/>
      <c r="F97734"/>
    </row>
    <row r="97735" spans="1:6" x14ac:dyDescent="0.25">
      <c r="A97735"/>
      <c r="B97735"/>
      <c r="C97735"/>
      <c r="E97735"/>
      <c r="F97735"/>
    </row>
    <row r="97736" spans="1:6" x14ac:dyDescent="0.25">
      <c r="A97736"/>
      <c r="B97736"/>
      <c r="C97736"/>
      <c r="E97736"/>
      <c r="F97736"/>
    </row>
    <row r="97737" spans="1:6" x14ac:dyDescent="0.25">
      <c r="A97737"/>
      <c r="B97737"/>
      <c r="C97737"/>
      <c r="E97737"/>
      <c r="F97737"/>
    </row>
    <row r="97738" spans="1:6" x14ac:dyDescent="0.25">
      <c r="A97738"/>
      <c r="B97738"/>
      <c r="C97738"/>
      <c r="E97738"/>
      <c r="F97738"/>
    </row>
    <row r="97739" spans="1:6" x14ac:dyDescent="0.25">
      <c r="A97739"/>
      <c r="B97739"/>
      <c r="C97739"/>
      <c r="E97739"/>
      <c r="F97739"/>
    </row>
    <row r="97740" spans="1:6" x14ac:dyDescent="0.25">
      <c r="A97740"/>
      <c r="B97740"/>
      <c r="C97740"/>
      <c r="E97740"/>
      <c r="F97740"/>
    </row>
    <row r="97741" spans="1:6" x14ac:dyDescent="0.25">
      <c r="A97741"/>
      <c r="B97741"/>
      <c r="C97741"/>
      <c r="E97741"/>
      <c r="F97741"/>
    </row>
    <row r="97742" spans="1:6" x14ac:dyDescent="0.25">
      <c r="A97742"/>
      <c r="B97742"/>
      <c r="C97742"/>
      <c r="E97742"/>
      <c r="F97742"/>
    </row>
    <row r="97743" spans="1:6" x14ac:dyDescent="0.25">
      <c r="A97743"/>
      <c r="B97743"/>
      <c r="C97743"/>
      <c r="E97743"/>
      <c r="F97743"/>
    </row>
    <row r="97744" spans="1:6" x14ac:dyDescent="0.25">
      <c r="A97744"/>
      <c r="B97744"/>
      <c r="C97744"/>
      <c r="E97744"/>
      <c r="F97744"/>
    </row>
    <row r="97745" spans="1:6" x14ac:dyDescent="0.25">
      <c r="A97745"/>
      <c r="B97745"/>
      <c r="C97745"/>
      <c r="E97745"/>
      <c r="F97745"/>
    </row>
    <row r="97746" spans="1:6" x14ac:dyDescent="0.25">
      <c r="A97746"/>
      <c r="B97746"/>
      <c r="C97746"/>
      <c r="E97746"/>
      <c r="F97746"/>
    </row>
    <row r="97747" spans="1:6" x14ac:dyDescent="0.25">
      <c r="A97747"/>
      <c r="B97747"/>
      <c r="C97747"/>
      <c r="E97747"/>
      <c r="F97747"/>
    </row>
    <row r="97748" spans="1:6" x14ac:dyDescent="0.25">
      <c r="A97748"/>
      <c r="B97748"/>
      <c r="C97748"/>
      <c r="E97748"/>
      <c r="F97748"/>
    </row>
    <row r="97749" spans="1:6" x14ac:dyDescent="0.25">
      <c r="A97749"/>
      <c r="B97749"/>
      <c r="C97749"/>
      <c r="E97749"/>
      <c r="F97749"/>
    </row>
    <row r="97750" spans="1:6" x14ac:dyDescent="0.25">
      <c r="A97750"/>
      <c r="B97750"/>
      <c r="C97750"/>
      <c r="E97750"/>
      <c r="F97750"/>
    </row>
    <row r="97751" spans="1:6" x14ac:dyDescent="0.25">
      <c r="A97751"/>
      <c r="B97751"/>
      <c r="C97751"/>
      <c r="E97751"/>
      <c r="F97751"/>
    </row>
    <row r="97752" spans="1:6" x14ac:dyDescent="0.25">
      <c r="A97752"/>
      <c r="B97752"/>
      <c r="C97752"/>
      <c r="E97752"/>
      <c r="F97752"/>
    </row>
    <row r="97753" spans="1:6" x14ac:dyDescent="0.25">
      <c r="A97753"/>
      <c r="B97753"/>
      <c r="C97753"/>
      <c r="E97753"/>
      <c r="F97753"/>
    </row>
    <row r="97754" spans="1:6" x14ac:dyDescent="0.25">
      <c r="A97754"/>
      <c r="B97754"/>
      <c r="C97754"/>
      <c r="E97754"/>
      <c r="F97754"/>
    </row>
    <row r="97755" spans="1:6" x14ac:dyDescent="0.25">
      <c r="A97755"/>
      <c r="B97755"/>
      <c r="C97755"/>
      <c r="E97755"/>
      <c r="F97755"/>
    </row>
    <row r="97756" spans="1:6" x14ac:dyDescent="0.25">
      <c r="A97756"/>
      <c r="B97756"/>
      <c r="C97756"/>
      <c r="E97756"/>
      <c r="F97756"/>
    </row>
    <row r="97757" spans="1:6" x14ac:dyDescent="0.25">
      <c r="A97757"/>
      <c r="B97757"/>
      <c r="C97757"/>
      <c r="E97757"/>
      <c r="F97757"/>
    </row>
    <row r="97758" spans="1:6" x14ac:dyDescent="0.25">
      <c r="A97758"/>
      <c r="B97758"/>
      <c r="C97758"/>
      <c r="E97758"/>
      <c r="F97758"/>
    </row>
    <row r="97759" spans="1:6" x14ac:dyDescent="0.25">
      <c r="A97759"/>
      <c r="B97759"/>
      <c r="C97759"/>
      <c r="E97759"/>
      <c r="F97759"/>
    </row>
    <row r="97760" spans="1:6" x14ac:dyDescent="0.25">
      <c r="A97760"/>
      <c r="B97760"/>
      <c r="C97760"/>
      <c r="E97760"/>
      <c r="F97760"/>
    </row>
    <row r="97761" spans="1:6" x14ac:dyDescent="0.25">
      <c r="A97761"/>
      <c r="B97761"/>
      <c r="C97761"/>
      <c r="E97761"/>
      <c r="F97761"/>
    </row>
    <row r="97762" spans="1:6" x14ac:dyDescent="0.25">
      <c r="A97762"/>
      <c r="B97762"/>
      <c r="C97762"/>
      <c r="E97762"/>
      <c r="F97762"/>
    </row>
    <row r="97763" spans="1:6" x14ac:dyDescent="0.25">
      <c r="A97763"/>
      <c r="B97763"/>
      <c r="C97763"/>
      <c r="E97763"/>
      <c r="F97763"/>
    </row>
    <row r="97764" spans="1:6" x14ac:dyDescent="0.25">
      <c r="A97764"/>
      <c r="B97764"/>
      <c r="C97764"/>
      <c r="E97764"/>
      <c r="F97764"/>
    </row>
    <row r="97765" spans="1:6" x14ac:dyDescent="0.25">
      <c r="A97765"/>
      <c r="B97765"/>
      <c r="C97765"/>
      <c r="E97765"/>
      <c r="F97765"/>
    </row>
    <row r="97766" spans="1:6" x14ac:dyDescent="0.25">
      <c r="A97766"/>
      <c r="B97766"/>
      <c r="C97766"/>
      <c r="E97766"/>
      <c r="F97766"/>
    </row>
    <row r="97767" spans="1:6" x14ac:dyDescent="0.25">
      <c r="A97767"/>
      <c r="B97767"/>
      <c r="C97767"/>
      <c r="E97767"/>
      <c r="F97767"/>
    </row>
    <row r="97768" spans="1:6" x14ac:dyDescent="0.25">
      <c r="A97768"/>
      <c r="B97768"/>
      <c r="C97768"/>
      <c r="E97768"/>
      <c r="F97768"/>
    </row>
    <row r="97769" spans="1:6" x14ac:dyDescent="0.25">
      <c r="A97769"/>
      <c r="B97769"/>
      <c r="C97769"/>
      <c r="E97769"/>
      <c r="F97769"/>
    </row>
    <row r="97770" spans="1:6" x14ac:dyDescent="0.25">
      <c r="A97770"/>
      <c r="B97770"/>
      <c r="C97770"/>
      <c r="E97770"/>
      <c r="F97770"/>
    </row>
    <row r="97771" spans="1:6" x14ac:dyDescent="0.25">
      <c r="A97771"/>
      <c r="B97771"/>
      <c r="C97771"/>
      <c r="E97771"/>
      <c r="F97771"/>
    </row>
    <row r="97772" spans="1:6" x14ac:dyDescent="0.25">
      <c r="A97772"/>
      <c r="B97772"/>
      <c r="C97772"/>
      <c r="E97772"/>
      <c r="F97772"/>
    </row>
    <row r="97773" spans="1:6" x14ac:dyDescent="0.25">
      <c r="A97773"/>
      <c r="B97773"/>
      <c r="C97773"/>
      <c r="E97773"/>
      <c r="F97773"/>
    </row>
    <row r="97774" spans="1:6" x14ac:dyDescent="0.25">
      <c r="A97774"/>
      <c r="B97774"/>
      <c r="C97774"/>
      <c r="E97774"/>
      <c r="F97774"/>
    </row>
    <row r="97775" spans="1:6" x14ac:dyDescent="0.25">
      <c r="A97775"/>
      <c r="B97775"/>
      <c r="C97775"/>
      <c r="E97775"/>
      <c r="F97775"/>
    </row>
    <row r="97776" spans="1:6" x14ac:dyDescent="0.25">
      <c r="A97776"/>
      <c r="B97776"/>
      <c r="C97776"/>
      <c r="E97776"/>
      <c r="F97776"/>
    </row>
    <row r="97777" spans="1:6" x14ac:dyDescent="0.25">
      <c r="A97777"/>
      <c r="B97777"/>
      <c r="C97777"/>
      <c r="E97777"/>
      <c r="F97777"/>
    </row>
    <row r="97778" spans="1:6" x14ac:dyDescent="0.25">
      <c r="A97778"/>
      <c r="B97778"/>
      <c r="C97778"/>
      <c r="E97778"/>
      <c r="F97778"/>
    </row>
    <row r="97779" spans="1:6" x14ac:dyDescent="0.25">
      <c r="A97779"/>
      <c r="B97779"/>
      <c r="C97779"/>
      <c r="E97779"/>
      <c r="F97779"/>
    </row>
    <row r="97780" spans="1:6" x14ac:dyDescent="0.25">
      <c r="A97780"/>
      <c r="B97780"/>
      <c r="C97780"/>
      <c r="E97780"/>
      <c r="F97780"/>
    </row>
    <row r="97781" spans="1:6" x14ac:dyDescent="0.25">
      <c r="A97781"/>
      <c r="B97781"/>
      <c r="C97781"/>
      <c r="E97781"/>
      <c r="F97781"/>
    </row>
    <row r="97782" spans="1:6" x14ac:dyDescent="0.25">
      <c r="A97782"/>
      <c r="B97782"/>
      <c r="C97782"/>
      <c r="E97782"/>
      <c r="F97782"/>
    </row>
    <row r="97783" spans="1:6" x14ac:dyDescent="0.25">
      <c r="A97783"/>
      <c r="B97783"/>
      <c r="C97783"/>
      <c r="E97783"/>
      <c r="F97783"/>
    </row>
    <row r="97784" spans="1:6" x14ac:dyDescent="0.25">
      <c r="A97784"/>
      <c r="B97784"/>
      <c r="C97784"/>
      <c r="E97784"/>
      <c r="F97784"/>
    </row>
    <row r="97785" spans="1:6" x14ac:dyDescent="0.25">
      <c r="A97785"/>
      <c r="B97785"/>
      <c r="C97785"/>
      <c r="E97785"/>
      <c r="F97785"/>
    </row>
    <row r="97786" spans="1:6" x14ac:dyDescent="0.25">
      <c r="A97786"/>
      <c r="B97786"/>
      <c r="C97786"/>
      <c r="E97786"/>
      <c r="F97786"/>
    </row>
    <row r="97787" spans="1:6" x14ac:dyDescent="0.25">
      <c r="A97787"/>
      <c r="B97787"/>
      <c r="C97787"/>
      <c r="E97787"/>
      <c r="F97787"/>
    </row>
    <row r="97788" spans="1:6" x14ac:dyDescent="0.25">
      <c r="A97788"/>
      <c r="B97788"/>
      <c r="C97788"/>
      <c r="E97788"/>
      <c r="F97788"/>
    </row>
    <row r="97789" spans="1:6" x14ac:dyDescent="0.25">
      <c r="A97789"/>
      <c r="B97789"/>
      <c r="C97789"/>
      <c r="E97789"/>
      <c r="F97789"/>
    </row>
    <row r="97790" spans="1:6" x14ac:dyDescent="0.25">
      <c r="A97790"/>
      <c r="B97790"/>
      <c r="C97790"/>
      <c r="E97790"/>
      <c r="F97790"/>
    </row>
    <row r="97791" spans="1:6" x14ac:dyDescent="0.25">
      <c r="A97791"/>
      <c r="B97791"/>
      <c r="C97791"/>
      <c r="E97791"/>
      <c r="F97791"/>
    </row>
    <row r="97792" spans="1:6" x14ac:dyDescent="0.25">
      <c r="A97792"/>
      <c r="B97792"/>
      <c r="C97792"/>
      <c r="E97792"/>
      <c r="F97792"/>
    </row>
    <row r="97793" spans="1:6" x14ac:dyDescent="0.25">
      <c r="A97793"/>
      <c r="B97793"/>
      <c r="C97793"/>
      <c r="E97793"/>
      <c r="F97793"/>
    </row>
    <row r="97794" spans="1:6" x14ac:dyDescent="0.25">
      <c r="A97794"/>
      <c r="B97794"/>
      <c r="C97794"/>
      <c r="E97794"/>
      <c r="F97794"/>
    </row>
    <row r="97795" spans="1:6" x14ac:dyDescent="0.25">
      <c r="A97795"/>
      <c r="B97795"/>
      <c r="C97795"/>
      <c r="E97795"/>
      <c r="F97795"/>
    </row>
    <row r="97796" spans="1:6" x14ac:dyDescent="0.25">
      <c r="A97796"/>
      <c r="B97796"/>
      <c r="C97796"/>
      <c r="E97796"/>
      <c r="F97796"/>
    </row>
    <row r="97797" spans="1:6" x14ac:dyDescent="0.25">
      <c r="A97797"/>
      <c r="B97797"/>
      <c r="C97797"/>
      <c r="E97797"/>
      <c r="F97797"/>
    </row>
    <row r="97798" spans="1:6" x14ac:dyDescent="0.25">
      <c r="A97798"/>
      <c r="B97798"/>
      <c r="C97798"/>
      <c r="E97798"/>
      <c r="F97798"/>
    </row>
    <row r="97799" spans="1:6" x14ac:dyDescent="0.25">
      <c r="A97799"/>
      <c r="B97799"/>
      <c r="C97799"/>
      <c r="E97799"/>
      <c r="F97799"/>
    </row>
    <row r="97800" spans="1:6" x14ac:dyDescent="0.25">
      <c r="A97800"/>
      <c r="B97800"/>
      <c r="C97800"/>
      <c r="E97800"/>
      <c r="F97800"/>
    </row>
    <row r="97801" spans="1:6" x14ac:dyDescent="0.25">
      <c r="A97801"/>
      <c r="B97801"/>
      <c r="C97801"/>
      <c r="E97801"/>
      <c r="F97801"/>
    </row>
    <row r="97802" spans="1:6" x14ac:dyDescent="0.25">
      <c r="A97802"/>
      <c r="B97802"/>
      <c r="C97802"/>
      <c r="E97802"/>
      <c r="F97802"/>
    </row>
    <row r="97803" spans="1:6" x14ac:dyDescent="0.25">
      <c r="A97803"/>
      <c r="B97803"/>
      <c r="C97803"/>
      <c r="E97803"/>
      <c r="F97803"/>
    </row>
    <row r="97804" spans="1:6" x14ac:dyDescent="0.25">
      <c r="A97804"/>
      <c r="B97804"/>
      <c r="C97804"/>
      <c r="E97804"/>
      <c r="F97804"/>
    </row>
    <row r="97805" spans="1:6" x14ac:dyDescent="0.25">
      <c r="A97805"/>
      <c r="B97805"/>
      <c r="C97805"/>
      <c r="E97805"/>
      <c r="F97805"/>
    </row>
    <row r="97806" spans="1:6" x14ac:dyDescent="0.25">
      <c r="A97806"/>
      <c r="B97806"/>
      <c r="C97806"/>
      <c r="E97806"/>
      <c r="F97806"/>
    </row>
    <row r="97807" spans="1:6" x14ac:dyDescent="0.25">
      <c r="A97807"/>
      <c r="B97807"/>
      <c r="C97807"/>
      <c r="E97807"/>
      <c r="F97807"/>
    </row>
    <row r="97808" spans="1:6" x14ac:dyDescent="0.25">
      <c r="A97808"/>
      <c r="B97808"/>
      <c r="C97808"/>
      <c r="E97808"/>
      <c r="F97808"/>
    </row>
    <row r="97809" spans="1:6" x14ac:dyDescent="0.25">
      <c r="A97809"/>
      <c r="B97809"/>
      <c r="C97809"/>
      <c r="E97809"/>
      <c r="F97809"/>
    </row>
    <row r="97810" spans="1:6" x14ac:dyDescent="0.25">
      <c r="A97810"/>
      <c r="B97810"/>
      <c r="C97810"/>
      <c r="E97810"/>
      <c r="F97810"/>
    </row>
    <row r="97811" spans="1:6" x14ac:dyDescent="0.25">
      <c r="A97811"/>
      <c r="B97811"/>
      <c r="C97811"/>
      <c r="E97811"/>
      <c r="F97811"/>
    </row>
    <row r="97812" spans="1:6" x14ac:dyDescent="0.25">
      <c r="A97812"/>
      <c r="B97812"/>
      <c r="C97812"/>
      <c r="E97812"/>
      <c r="F97812"/>
    </row>
    <row r="97813" spans="1:6" x14ac:dyDescent="0.25">
      <c r="A97813"/>
      <c r="B97813"/>
      <c r="C97813"/>
      <c r="E97813"/>
      <c r="F97813"/>
    </row>
    <row r="97814" spans="1:6" x14ac:dyDescent="0.25">
      <c r="A97814"/>
      <c r="B97814"/>
      <c r="C97814"/>
      <c r="E97814"/>
      <c r="F97814"/>
    </row>
    <row r="97815" spans="1:6" x14ac:dyDescent="0.25">
      <c r="A97815"/>
      <c r="B97815"/>
      <c r="C97815"/>
      <c r="E97815"/>
      <c r="F97815"/>
    </row>
    <row r="97816" spans="1:6" x14ac:dyDescent="0.25">
      <c r="A97816"/>
      <c r="B97816"/>
      <c r="C97816"/>
      <c r="E97816"/>
      <c r="F97816"/>
    </row>
    <row r="97817" spans="1:6" x14ac:dyDescent="0.25">
      <c r="A97817"/>
      <c r="B97817"/>
      <c r="C97817"/>
      <c r="E97817"/>
      <c r="F97817"/>
    </row>
    <row r="97818" spans="1:6" x14ac:dyDescent="0.25">
      <c r="A97818"/>
      <c r="B97818"/>
      <c r="C97818"/>
      <c r="E97818"/>
      <c r="F97818"/>
    </row>
    <row r="97819" spans="1:6" x14ac:dyDescent="0.25">
      <c r="A97819"/>
      <c r="B97819"/>
      <c r="C97819"/>
      <c r="E97819"/>
      <c r="F97819"/>
    </row>
    <row r="97820" spans="1:6" x14ac:dyDescent="0.25">
      <c r="A97820"/>
      <c r="B97820"/>
      <c r="C97820"/>
      <c r="E97820"/>
      <c r="F97820"/>
    </row>
    <row r="97821" spans="1:6" x14ac:dyDescent="0.25">
      <c r="A97821"/>
      <c r="B97821"/>
      <c r="C97821"/>
      <c r="E97821"/>
      <c r="F97821"/>
    </row>
    <row r="97822" spans="1:6" x14ac:dyDescent="0.25">
      <c r="A97822"/>
      <c r="B97822"/>
      <c r="C97822"/>
      <c r="E97822"/>
      <c r="F97822"/>
    </row>
    <row r="97823" spans="1:6" x14ac:dyDescent="0.25">
      <c r="A97823"/>
      <c r="B97823"/>
      <c r="C97823"/>
      <c r="E97823"/>
      <c r="F97823"/>
    </row>
    <row r="97824" spans="1:6" x14ac:dyDescent="0.25">
      <c r="A97824"/>
      <c r="B97824"/>
      <c r="C97824"/>
      <c r="E97824"/>
      <c r="F97824"/>
    </row>
    <row r="97825" spans="1:6" x14ac:dyDescent="0.25">
      <c r="A97825"/>
      <c r="B97825"/>
      <c r="C97825"/>
      <c r="E97825"/>
      <c r="F97825"/>
    </row>
    <row r="97826" spans="1:6" x14ac:dyDescent="0.25">
      <c r="A97826"/>
      <c r="B97826"/>
      <c r="C97826"/>
      <c r="E97826"/>
      <c r="F97826"/>
    </row>
    <row r="97827" spans="1:6" x14ac:dyDescent="0.25">
      <c r="A97827"/>
      <c r="B97827"/>
      <c r="C97827"/>
      <c r="E97827"/>
      <c r="F97827"/>
    </row>
    <row r="97828" spans="1:6" x14ac:dyDescent="0.25">
      <c r="A97828"/>
      <c r="B97828"/>
      <c r="C97828"/>
      <c r="E97828"/>
      <c r="F97828"/>
    </row>
    <row r="97829" spans="1:6" x14ac:dyDescent="0.25">
      <c r="A97829"/>
      <c r="B97829"/>
      <c r="C97829"/>
      <c r="E97829"/>
      <c r="F97829"/>
    </row>
    <row r="97830" spans="1:6" x14ac:dyDescent="0.25">
      <c r="A97830"/>
      <c r="B97830"/>
      <c r="C97830"/>
      <c r="E97830"/>
      <c r="F97830"/>
    </row>
    <row r="97831" spans="1:6" x14ac:dyDescent="0.25">
      <c r="A97831"/>
      <c r="B97831"/>
      <c r="C97831"/>
      <c r="E97831"/>
      <c r="F97831"/>
    </row>
    <row r="97832" spans="1:6" x14ac:dyDescent="0.25">
      <c r="A97832"/>
      <c r="B97832"/>
      <c r="C97832"/>
      <c r="E97832"/>
      <c r="F97832"/>
    </row>
    <row r="97833" spans="1:6" x14ac:dyDescent="0.25">
      <c r="A97833"/>
      <c r="B97833"/>
      <c r="C97833"/>
      <c r="E97833"/>
      <c r="F97833"/>
    </row>
    <row r="97834" spans="1:6" x14ac:dyDescent="0.25">
      <c r="A97834"/>
      <c r="B97834"/>
      <c r="C97834"/>
      <c r="E97834"/>
      <c r="F97834"/>
    </row>
    <row r="97835" spans="1:6" x14ac:dyDescent="0.25">
      <c r="A97835"/>
      <c r="B97835"/>
      <c r="C97835"/>
      <c r="E97835"/>
      <c r="F97835"/>
    </row>
    <row r="97836" spans="1:6" x14ac:dyDescent="0.25">
      <c r="A97836"/>
      <c r="B97836"/>
      <c r="C97836"/>
      <c r="E97836"/>
      <c r="F97836"/>
    </row>
    <row r="97837" spans="1:6" x14ac:dyDescent="0.25">
      <c r="A97837"/>
      <c r="B97837"/>
      <c r="C97837"/>
      <c r="E97837"/>
      <c r="F97837"/>
    </row>
    <row r="97838" spans="1:6" x14ac:dyDescent="0.25">
      <c r="A97838"/>
      <c r="B97838"/>
      <c r="C97838"/>
      <c r="E97838"/>
      <c r="F97838"/>
    </row>
    <row r="97839" spans="1:6" x14ac:dyDescent="0.25">
      <c r="A97839"/>
      <c r="B97839"/>
      <c r="C97839"/>
      <c r="E97839"/>
      <c r="F97839"/>
    </row>
    <row r="97840" spans="1:6" x14ac:dyDescent="0.25">
      <c r="A97840"/>
      <c r="B97840"/>
      <c r="C97840"/>
      <c r="E97840"/>
      <c r="F97840"/>
    </row>
    <row r="97841" spans="1:6" x14ac:dyDescent="0.25">
      <c r="A97841"/>
      <c r="B97841"/>
      <c r="C97841"/>
      <c r="E97841"/>
      <c r="F97841"/>
    </row>
    <row r="97842" spans="1:6" x14ac:dyDescent="0.25">
      <c r="A97842"/>
      <c r="B97842"/>
      <c r="C97842"/>
      <c r="E97842"/>
      <c r="F97842"/>
    </row>
    <row r="97843" spans="1:6" x14ac:dyDescent="0.25">
      <c r="A97843"/>
      <c r="B97843"/>
      <c r="C97843"/>
      <c r="E97843"/>
      <c r="F97843"/>
    </row>
    <row r="97844" spans="1:6" x14ac:dyDescent="0.25">
      <c r="A97844"/>
      <c r="B97844"/>
      <c r="C97844"/>
      <c r="E97844"/>
      <c r="F97844"/>
    </row>
    <row r="97845" spans="1:6" x14ac:dyDescent="0.25">
      <c r="A97845"/>
      <c r="B97845"/>
      <c r="C97845"/>
      <c r="E97845"/>
      <c r="F97845"/>
    </row>
    <row r="97846" spans="1:6" x14ac:dyDescent="0.25">
      <c r="A97846"/>
      <c r="B97846"/>
      <c r="C97846"/>
      <c r="E97846"/>
      <c r="F97846"/>
    </row>
    <row r="97847" spans="1:6" x14ac:dyDescent="0.25">
      <c r="A97847"/>
      <c r="B97847"/>
      <c r="C97847"/>
      <c r="E97847"/>
      <c r="F97847"/>
    </row>
    <row r="97848" spans="1:6" x14ac:dyDescent="0.25">
      <c r="A97848"/>
      <c r="B97848"/>
      <c r="C97848"/>
      <c r="E97848"/>
      <c r="F97848"/>
    </row>
    <row r="97849" spans="1:6" x14ac:dyDescent="0.25">
      <c r="A97849"/>
      <c r="B97849"/>
      <c r="C97849"/>
      <c r="E97849"/>
      <c r="F97849"/>
    </row>
    <row r="97850" spans="1:6" x14ac:dyDescent="0.25">
      <c r="A97850"/>
      <c r="B97850"/>
      <c r="C97850"/>
      <c r="E97850"/>
      <c r="F97850"/>
    </row>
    <row r="97851" spans="1:6" x14ac:dyDescent="0.25">
      <c r="A97851"/>
      <c r="B97851"/>
      <c r="C97851"/>
      <c r="E97851"/>
      <c r="F97851"/>
    </row>
    <row r="97852" spans="1:6" x14ac:dyDescent="0.25">
      <c r="A97852"/>
      <c r="B97852"/>
      <c r="C97852"/>
      <c r="E97852"/>
      <c r="F97852"/>
    </row>
    <row r="97853" spans="1:6" x14ac:dyDescent="0.25">
      <c r="A97853"/>
      <c r="B97853"/>
      <c r="C97853"/>
      <c r="E97853"/>
      <c r="F97853"/>
    </row>
    <row r="97854" spans="1:6" x14ac:dyDescent="0.25">
      <c r="A97854"/>
      <c r="B97854"/>
      <c r="C97854"/>
      <c r="E97854"/>
      <c r="F97854"/>
    </row>
    <row r="97855" spans="1:6" x14ac:dyDescent="0.25">
      <c r="A97855"/>
      <c r="B97855"/>
      <c r="C97855"/>
      <c r="E97855"/>
      <c r="F97855"/>
    </row>
    <row r="97856" spans="1:6" x14ac:dyDescent="0.25">
      <c r="A97856"/>
      <c r="B97856"/>
      <c r="C97856"/>
      <c r="E97856"/>
      <c r="F97856"/>
    </row>
    <row r="97857" spans="1:6" x14ac:dyDescent="0.25">
      <c r="A97857"/>
      <c r="B97857"/>
      <c r="C97857"/>
      <c r="E97857"/>
      <c r="F97857"/>
    </row>
    <row r="97858" spans="1:6" x14ac:dyDescent="0.25">
      <c r="A97858"/>
      <c r="B97858"/>
      <c r="C97858"/>
      <c r="E97858"/>
      <c r="F97858"/>
    </row>
    <row r="97859" spans="1:6" x14ac:dyDescent="0.25">
      <c r="A97859"/>
      <c r="B97859"/>
      <c r="C97859"/>
      <c r="E97859"/>
      <c r="F97859"/>
    </row>
    <row r="97860" spans="1:6" x14ac:dyDescent="0.25">
      <c r="A97860"/>
      <c r="B97860"/>
      <c r="C97860"/>
      <c r="E97860"/>
      <c r="F97860"/>
    </row>
    <row r="97861" spans="1:6" x14ac:dyDescent="0.25">
      <c r="A97861"/>
      <c r="B97861"/>
      <c r="C97861"/>
      <c r="E97861"/>
      <c r="F97861"/>
    </row>
    <row r="97862" spans="1:6" x14ac:dyDescent="0.25">
      <c r="A97862"/>
      <c r="B97862"/>
      <c r="C97862"/>
      <c r="E97862"/>
      <c r="F97862"/>
    </row>
    <row r="97863" spans="1:6" x14ac:dyDescent="0.25">
      <c r="A97863"/>
      <c r="B97863"/>
      <c r="C97863"/>
      <c r="E97863"/>
      <c r="F97863"/>
    </row>
    <row r="97864" spans="1:6" x14ac:dyDescent="0.25">
      <c r="A97864"/>
      <c r="B97864"/>
      <c r="C97864"/>
      <c r="E97864"/>
      <c r="F97864"/>
    </row>
    <row r="97865" spans="1:6" x14ac:dyDescent="0.25">
      <c r="A97865"/>
      <c r="B97865"/>
      <c r="C97865"/>
      <c r="E97865"/>
      <c r="F97865"/>
    </row>
    <row r="97866" spans="1:6" x14ac:dyDescent="0.25">
      <c r="A97866"/>
      <c r="B97866"/>
      <c r="C97866"/>
      <c r="E97866"/>
      <c r="F97866"/>
    </row>
    <row r="97867" spans="1:6" x14ac:dyDescent="0.25">
      <c r="A97867"/>
      <c r="B97867"/>
      <c r="C97867"/>
      <c r="E97867"/>
      <c r="F97867"/>
    </row>
    <row r="97868" spans="1:6" x14ac:dyDescent="0.25">
      <c r="A97868"/>
      <c r="B97868"/>
      <c r="C97868"/>
      <c r="E97868"/>
      <c r="F97868"/>
    </row>
    <row r="97869" spans="1:6" x14ac:dyDescent="0.25">
      <c r="A97869"/>
      <c r="B97869"/>
      <c r="C97869"/>
      <c r="E97869"/>
      <c r="F97869"/>
    </row>
    <row r="97870" spans="1:6" x14ac:dyDescent="0.25">
      <c r="A97870"/>
      <c r="B97870"/>
      <c r="C97870"/>
      <c r="E97870"/>
      <c r="F97870"/>
    </row>
    <row r="97871" spans="1:6" x14ac:dyDescent="0.25">
      <c r="A97871"/>
      <c r="B97871"/>
      <c r="C97871"/>
      <c r="E97871"/>
      <c r="F97871"/>
    </row>
    <row r="97872" spans="1:6" x14ac:dyDescent="0.25">
      <c r="A97872"/>
      <c r="B97872"/>
      <c r="C97872"/>
      <c r="E97872"/>
      <c r="F97872"/>
    </row>
    <row r="97873" spans="1:6" x14ac:dyDescent="0.25">
      <c r="A97873"/>
      <c r="B97873"/>
      <c r="C97873"/>
      <c r="E97873"/>
      <c r="F97873"/>
    </row>
    <row r="97874" spans="1:6" x14ac:dyDescent="0.25">
      <c r="A97874"/>
      <c r="B97874"/>
      <c r="C97874"/>
      <c r="E97874"/>
      <c r="F97874"/>
    </row>
    <row r="97875" spans="1:6" x14ac:dyDescent="0.25">
      <c r="A97875"/>
      <c r="B97875"/>
      <c r="C97875"/>
      <c r="E97875"/>
      <c r="F97875"/>
    </row>
    <row r="97876" spans="1:6" x14ac:dyDescent="0.25">
      <c r="A97876"/>
      <c r="B97876"/>
      <c r="C97876"/>
      <c r="E97876"/>
      <c r="F97876"/>
    </row>
    <row r="97877" spans="1:6" x14ac:dyDescent="0.25">
      <c r="A97877"/>
      <c r="B97877"/>
      <c r="C97877"/>
      <c r="E97877"/>
      <c r="F97877"/>
    </row>
    <row r="97878" spans="1:6" x14ac:dyDescent="0.25">
      <c r="A97878"/>
      <c r="B97878"/>
      <c r="C97878"/>
      <c r="E97878"/>
      <c r="F97878"/>
    </row>
    <row r="97879" spans="1:6" x14ac:dyDescent="0.25">
      <c r="A97879"/>
      <c r="B97879"/>
      <c r="C97879"/>
      <c r="E97879"/>
      <c r="F97879"/>
    </row>
    <row r="97880" spans="1:6" x14ac:dyDescent="0.25">
      <c r="A97880"/>
      <c r="B97880"/>
      <c r="C97880"/>
      <c r="E97880"/>
      <c r="F97880"/>
    </row>
    <row r="97881" spans="1:6" x14ac:dyDescent="0.25">
      <c r="A97881"/>
      <c r="B97881"/>
      <c r="C97881"/>
      <c r="E97881"/>
      <c r="F97881"/>
    </row>
    <row r="97882" spans="1:6" x14ac:dyDescent="0.25">
      <c r="A97882"/>
      <c r="B97882"/>
      <c r="C97882"/>
      <c r="E97882"/>
      <c r="F97882"/>
    </row>
    <row r="97883" spans="1:6" x14ac:dyDescent="0.25">
      <c r="A97883"/>
      <c r="B97883"/>
      <c r="C97883"/>
      <c r="E97883"/>
      <c r="F97883"/>
    </row>
    <row r="97884" spans="1:6" x14ac:dyDescent="0.25">
      <c r="A97884"/>
      <c r="B97884"/>
      <c r="C97884"/>
      <c r="E97884"/>
      <c r="F97884"/>
    </row>
    <row r="97885" spans="1:6" x14ac:dyDescent="0.25">
      <c r="A97885"/>
      <c r="B97885"/>
      <c r="C97885"/>
      <c r="E97885"/>
      <c r="F97885"/>
    </row>
    <row r="97886" spans="1:6" x14ac:dyDescent="0.25">
      <c r="A97886"/>
      <c r="B97886"/>
      <c r="C97886"/>
      <c r="E97886"/>
      <c r="F97886"/>
    </row>
    <row r="97887" spans="1:6" x14ac:dyDescent="0.25">
      <c r="A97887"/>
      <c r="B97887"/>
      <c r="C97887"/>
      <c r="E97887"/>
      <c r="F97887"/>
    </row>
    <row r="97888" spans="1:6" x14ac:dyDescent="0.25">
      <c r="A97888"/>
      <c r="B97888"/>
      <c r="C97888"/>
      <c r="E97888"/>
      <c r="F97888"/>
    </row>
    <row r="97889" spans="1:6" x14ac:dyDescent="0.25">
      <c r="A97889"/>
      <c r="B97889"/>
      <c r="C97889"/>
      <c r="E97889"/>
      <c r="F97889"/>
    </row>
    <row r="97890" spans="1:6" x14ac:dyDescent="0.25">
      <c r="A97890"/>
      <c r="B97890"/>
      <c r="C97890"/>
      <c r="E97890"/>
      <c r="F97890"/>
    </row>
    <row r="97891" spans="1:6" x14ac:dyDescent="0.25">
      <c r="A97891"/>
      <c r="B97891"/>
      <c r="C97891"/>
      <c r="E97891"/>
      <c r="F97891"/>
    </row>
    <row r="97892" spans="1:6" x14ac:dyDescent="0.25">
      <c r="A97892"/>
      <c r="B97892"/>
      <c r="C97892"/>
      <c r="E97892"/>
      <c r="F97892"/>
    </row>
    <row r="97893" spans="1:6" x14ac:dyDescent="0.25">
      <c r="A97893"/>
      <c r="B97893"/>
      <c r="C97893"/>
      <c r="E97893"/>
      <c r="F97893"/>
    </row>
    <row r="97894" spans="1:6" x14ac:dyDescent="0.25">
      <c r="A97894"/>
      <c r="B97894"/>
      <c r="C97894"/>
      <c r="E97894"/>
      <c r="F97894"/>
    </row>
    <row r="97895" spans="1:6" x14ac:dyDescent="0.25">
      <c r="A97895"/>
      <c r="B97895"/>
      <c r="C97895"/>
      <c r="E97895"/>
      <c r="F97895"/>
    </row>
    <row r="97896" spans="1:6" x14ac:dyDescent="0.25">
      <c r="A97896"/>
      <c r="B97896"/>
      <c r="C97896"/>
      <c r="E97896"/>
      <c r="F97896"/>
    </row>
    <row r="97897" spans="1:6" x14ac:dyDescent="0.25">
      <c r="A97897"/>
      <c r="B97897"/>
      <c r="C97897"/>
      <c r="E97897"/>
      <c r="F97897"/>
    </row>
    <row r="97898" spans="1:6" x14ac:dyDescent="0.25">
      <c r="A97898"/>
      <c r="B97898"/>
      <c r="C97898"/>
      <c r="E97898"/>
      <c r="F97898"/>
    </row>
    <row r="97899" spans="1:6" x14ac:dyDescent="0.25">
      <c r="A97899"/>
      <c r="B97899"/>
      <c r="C97899"/>
      <c r="E97899"/>
      <c r="F97899"/>
    </row>
    <row r="97900" spans="1:6" x14ac:dyDescent="0.25">
      <c r="A97900"/>
      <c r="B97900"/>
      <c r="C97900"/>
      <c r="E97900"/>
      <c r="F97900"/>
    </row>
    <row r="97901" spans="1:6" x14ac:dyDescent="0.25">
      <c r="A97901"/>
      <c r="B97901"/>
      <c r="C97901"/>
      <c r="E97901"/>
      <c r="F97901"/>
    </row>
    <row r="97902" spans="1:6" x14ac:dyDescent="0.25">
      <c r="A97902"/>
      <c r="B97902"/>
      <c r="C97902"/>
      <c r="E97902"/>
      <c r="F97902"/>
    </row>
    <row r="97903" spans="1:6" x14ac:dyDescent="0.25">
      <c r="A97903"/>
      <c r="B97903"/>
      <c r="C97903"/>
      <c r="E97903"/>
      <c r="F97903"/>
    </row>
    <row r="97904" spans="1:6" x14ac:dyDescent="0.25">
      <c r="A97904"/>
      <c r="B97904"/>
      <c r="C97904"/>
      <c r="E97904"/>
      <c r="F97904"/>
    </row>
    <row r="97905" spans="1:6" x14ac:dyDescent="0.25">
      <c r="A97905"/>
      <c r="B97905"/>
      <c r="C97905"/>
      <c r="E97905"/>
      <c r="F97905"/>
    </row>
    <row r="97906" spans="1:6" x14ac:dyDescent="0.25">
      <c r="A97906"/>
      <c r="B97906"/>
      <c r="C97906"/>
      <c r="E97906"/>
      <c r="F97906"/>
    </row>
    <row r="97907" spans="1:6" x14ac:dyDescent="0.25">
      <c r="A97907"/>
      <c r="B97907"/>
      <c r="C97907"/>
      <c r="E97907"/>
      <c r="F97907"/>
    </row>
    <row r="97908" spans="1:6" x14ac:dyDescent="0.25">
      <c r="A97908"/>
      <c r="B97908"/>
      <c r="C97908"/>
      <c r="E97908"/>
      <c r="F97908"/>
    </row>
    <row r="97909" spans="1:6" x14ac:dyDescent="0.25">
      <c r="A97909"/>
      <c r="B97909"/>
      <c r="C97909"/>
      <c r="E97909"/>
      <c r="F97909"/>
    </row>
    <row r="97910" spans="1:6" x14ac:dyDescent="0.25">
      <c r="A97910"/>
      <c r="B97910"/>
      <c r="C97910"/>
      <c r="E97910"/>
      <c r="F97910"/>
    </row>
    <row r="97911" spans="1:6" x14ac:dyDescent="0.25">
      <c r="A97911"/>
      <c r="B97911"/>
      <c r="C97911"/>
      <c r="E97911"/>
      <c r="F97911"/>
    </row>
    <row r="97912" spans="1:6" x14ac:dyDescent="0.25">
      <c r="A97912"/>
      <c r="B97912"/>
      <c r="C97912"/>
      <c r="E97912"/>
      <c r="F97912"/>
    </row>
    <row r="97913" spans="1:6" x14ac:dyDescent="0.25">
      <c r="A97913"/>
      <c r="B97913"/>
      <c r="C97913"/>
      <c r="E97913"/>
      <c r="F97913"/>
    </row>
    <row r="97914" spans="1:6" x14ac:dyDescent="0.25">
      <c r="A97914"/>
      <c r="B97914"/>
      <c r="C97914"/>
      <c r="E97914"/>
      <c r="F97914"/>
    </row>
    <row r="97915" spans="1:6" x14ac:dyDescent="0.25">
      <c r="A97915"/>
      <c r="B97915"/>
      <c r="C97915"/>
      <c r="E97915"/>
      <c r="F97915"/>
    </row>
    <row r="97916" spans="1:6" x14ac:dyDescent="0.25">
      <c r="A97916"/>
      <c r="B97916"/>
      <c r="C97916"/>
      <c r="E97916"/>
      <c r="F97916"/>
    </row>
    <row r="97917" spans="1:6" x14ac:dyDescent="0.25">
      <c r="A97917"/>
      <c r="B97917"/>
      <c r="C97917"/>
      <c r="E97917"/>
      <c r="F97917"/>
    </row>
    <row r="97918" spans="1:6" x14ac:dyDescent="0.25">
      <c r="A97918"/>
      <c r="B97918"/>
      <c r="C97918"/>
      <c r="E97918"/>
      <c r="F97918"/>
    </row>
    <row r="97919" spans="1:6" x14ac:dyDescent="0.25">
      <c r="A97919"/>
      <c r="B97919"/>
      <c r="C97919"/>
      <c r="E97919"/>
      <c r="F97919"/>
    </row>
    <row r="97920" spans="1:6" x14ac:dyDescent="0.25">
      <c r="A97920"/>
      <c r="B97920"/>
      <c r="C97920"/>
      <c r="E97920"/>
      <c r="F97920"/>
    </row>
    <row r="97921" spans="1:6" x14ac:dyDescent="0.25">
      <c r="A97921"/>
      <c r="B97921"/>
      <c r="C97921"/>
      <c r="E97921"/>
      <c r="F97921"/>
    </row>
    <row r="97922" spans="1:6" x14ac:dyDescent="0.25">
      <c r="A97922"/>
      <c r="B97922"/>
      <c r="C97922"/>
      <c r="E97922"/>
      <c r="F97922"/>
    </row>
    <row r="97923" spans="1:6" x14ac:dyDescent="0.25">
      <c r="A97923"/>
      <c r="B97923"/>
      <c r="C97923"/>
      <c r="E97923"/>
      <c r="F97923"/>
    </row>
    <row r="97924" spans="1:6" x14ac:dyDescent="0.25">
      <c r="A97924"/>
      <c r="B97924"/>
      <c r="C97924"/>
      <c r="E97924"/>
      <c r="F97924"/>
    </row>
    <row r="97925" spans="1:6" x14ac:dyDescent="0.25">
      <c r="A97925"/>
      <c r="B97925"/>
      <c r="C97925"/>
      <c r="E97925"/>
      <c r="F97925"/>
    </row>
    <row r="97926" spans="1:6" x14ac:dyDescent="0.25">
      <c r="A97926"/>
      <c r="B97926"/>
      <c r="C97926"/>
      <c r="E97926"/>
      <c r="F97926"/>
    </row>
    <row r="97927" spans="1:6" x14ac:dyDescent="0.25">
      <c r="A97927"/>
      <c r="B97927"/>
      <c r="C97927"/>
      <c r="E97927"/>
      <c r="F97927"/>
    </row>
    <row r="97928" spans="1:6" x14ac:dyDescent="0.25">
      <c r="A97928"/>
      <c r="B97928"/>
      <c r="C97928"/>
      <c r="E97928"/>
      <c r="F97928"/>
    </row>
    <row r="97929" spans="1:6" x14ac:dyDescent="0.25">
      <c r="A97929"/>
      <c r="B97929"/>
      <c r="C97929"/>
      <c r="E97929"/>
      <c r="F97929"/>
    </row>
    <row r="97930" spans="1:6" x14ac:dyDescent="0.25">
      <c r="A97930"/>
      <c r="B97930"/>
      <c r="C97930"/>
      <c r="E97930"/>
      <c r="F97930"/>
    </row>
    <row r="97931" spans="1:6" x14ac:dyDescent="0.25">
      <c r="A97931"/>
      <c r="B97931"/>
      <c r="C97931"/>
      <c r="E97931"/>
      <c r="F97931"/>
    </row>
    <row r="97932" spans="1:6" x14ac:dyDescent="0.25">
      <c r="A97932"/>
      <c r="B97932"/>
      <c r="C97932"/>
      <c r="E97932"/>
      <c r="F97932"/>
    </row>
    <row r="97933" spans="1:6" x14ac:dyDescent="0.25">
      <c r="A97933"/>
      <c r="B97933"/>
      <c r="C97933"/>
      <c r="E97933"/>
      <c r="F97933"/>
    </row>
    <row r="97934" spans="1:6" x14ac:dyDescent="0.25">
      <c r="A97934"/>
      <c r="B97934"/>
      <c r="C97934"/>
      <c r="E97934"/>
      <c r="F97934"/>
    </row>
    <row r="97935" spans="1:6" x14ac:dyDescent="0.25">
      <c r="A97935"/>
      <c r="B97935"/>
      <c r="C97935"/>
      <c r="E97935"/>
      <c r="F97935"/>
    </row>
    <row r="97936" spans="1:6" x14ac:dyDescent="0.25">
      <c r="A97936"/>
      <c r="B97936"/>
      <c r="C97936"/>
      <c r="E97936"/>
      <c r="F97936"/>
    </row>
    <row r="97937" spans="1:6" x14ac:dyDescent="0.25">
      <c r="A97937"/>
      <c r="B97937"/>
      <c r="C97937"/>
      <c r="E97937"/>
      <c r="F97937"/>
    </row>
    <row r="97938" spans="1:6" x14ac:dyDescent="0.25">
      <c r="A97938"/>
      <c r="B97938"/>
      <c r="C97938"/>
      <c r="E97938"/>
      <c r="F97938"/>
    </row>
    <row r="97939" spans="1:6" x14ac:dyDescent="0.25">
      <c r="A97939"/>
      <c r="B97939"/>
      <c r="C97939"/>
      <c r="E97939"/>
      <c r="F97939"/>
    </row>
    <row r="97940" spans="1:6" x14ac:dyDescent="0.25">
      <c r="A97940"/>
      <c r="B97940"/>
      <c r="C97940"/>
      <c r="E97940"/>
      <c r="F97940"/>
    </row>
    <row r="97941" spans="1:6" x14ac:dyDescent="0.25">
      <c r="A97941"/>
      <c r="B97941"/>
      <c r="C97941"/>
      <c r="E97941"/>
      <c r="F97941"/>
    </row>
    <row r="97942" spans="1:6" x14ac:dyDescent="0.25">
      <c r="A97942"/>
      <c r="B97942"/>
      <c r="C97942"/>
      <c r="E97942"/>
      <c r="F97942"/>
    </row>
    <row r="97943" spans="1:6" x14ac:dyDescent="0.25">
      <c r="A97943"/>
      <c r="B97943"/>
      <c r="C97943"/>
      <c r="E97943"/>
      <c r="F97943"/>
    </row>
    <row r="97944" spans="1:6" x14ac:dyDescent="0.25">
      <c r="A97944"/>
      <c r="B97944"/>
      <c r="C97944"/>
      <c r="E97944"/>
      <c r="F97944"/>
    </row>
    <row r="97945" spans="1:6" x14ac:dyDescent="0.25">
      <c r="A97945"/>
      <c r="B97945"/>
      <c r="C97945"/>
      <c r="E97945"/>
      <c r="F97945"/>
    </row>
    <row r="97946" spans="1:6" x14ac:dyDescent="0.25">
      <c r="A97946"/>
      <c r="B97946"/>
      <c r="C97946"/>
      <c r="E97946"/>
      <c r="F97946"/>
    </row>
    <row r="97947" spans="1:6" x14ac:dyDescent="0.25">
      <c r="A97947"/>
      <c r="B97947"/>
      <c r="C97947"/>
      <c r="E97947"/>
      <c r="F97947"/>
    </row>
    <row r="97948" spans="1:6" x14ac:dyDescent="0.25">
      <c r="A97948"/>
      <c r="B97948"/>
      <c r="C97948"/>
      <c r="E97948"/>
      <c r="F97948"/>
    </row>
    <row r="97949" spans="1:6" x14ac:dyDescent="0.25">
      <c r="A97949"/>
      <c r="B97949"/>
      <c r="C97949"/>
      <c r="E97949"/>
      <c r="F97949"/>
    </row>
    <row r="97950" spans="1:6" x14ac:dyDescent="0.25">
      <c r="A97950"/>
      <c r="B97950"/>
      <c r="C97950"/>
      <c r="E97950"/>
      <c r="F97950"/>
    </row>
    <row r="97951" spans="1:6" x14ac:dyDescent="0.25">
      <c r="A97951"/>
      <c r="B97951"/>
      <c r="C97951"/>
      <c r="E97951"/>
      <c r="F97951"/>
    </row>
    <row r="97952" spans="1:6" x14ac:dyDescent="0.25">
      <c r="A97952"/>
      <c r="B97952"/>
      <c r="C97952"/>
      <c r="E97952"/>
      <c r="F97952"/>
    </row>
    <row r="97953" spans="1:6" x14ac:dyDescent="0.25">
      <c r="A97953"/>
      <c r="B97953"/>
      <c r="C97953"/>
      <c r="E97953"/>
      <c r="F97953"/>
    </row>
    <row r="97954" spans="1:6" x14ac:dyDescent="0.25">
      <c r="A97954"/>
      <c r="B97954"/>
      <c r="C97954"/>
      <c r="E97954"/>
      <c r="F97954"/>
    </row>
    <row r="97955" spans="1:6" x14ac:dyDescent="0.25">
      <c r="A97955"/>
      <c r="B97955"/>
      <c r="C97955"/>
      <c r="E97955"/>
      <c r="F97955"/>
    </row>
    <row r="97956" spans="1:6" x14ac:dyDescent="0.25">
      <c r="A97956"/>
      <c r="B97956"/>
      <c r="C97956"/>
      <c r="E97956"/>
      <c r="F97956"/>
    </row>
    <row r="97957" spans="1:6" x14ac:dyDescent="0.25">
      <c r="A97957"/>
      <c r="B97957"/>
      <c r="C97957"/>
      <c r="E97957"/>
      <c r="F97957"/>
    </row>
    <row r="97958" spans="1:6" x14ac:dyDescent="0.25">
      <c r="A97958"/>
      <c r="B97958"/>
      <c r="C97958"/>
      <c r="E97958"/>
      <c r="F97958"/>
    </row>
    <row r="97959" spans="1:6" x14ac:dyDescent="0.25">
      <c r="A97959"/>
      <c r="B97959"/>
      <c r="C97959"/>
      <c r="E97959"/>
      <c r="F97959"/>
    </row>
    <row r="97960" spans="1:6" x14ac:dyDescent="0.25">
      <c r="A97960"/>
      <c r="B97960"/>
      <c r="C97960"/>
      <c r="E97960"/>
      <c r="F97960"/>
    </row>
    <row r="97961" spans="1:6" x14ac:dyDescent="0.25">
      <c r="A97961"/>
      <c r="B97961"/>
      <c r="C97961"/>
      <c r="E97961"/>
      <c r="F97961"/>
    </row>
    <row r="97962" spans="1:6" x14ac:dyDescent="0.25">
      <c r="A97962"/>
      <c r="B97962"/>
      <c r="C97962"/>
      <c r="E97962"/>
      <c r="F97962"/>
    </row>
    <row r="97963" spans="1:6" x14ac:dyDescent="0.25">
      <c r="A97963"/>
      <c r="B97963"/>
      <c r="C97963"/>
      <c r="E97963"/>
      <c r="F97963"/>
    </row>
    <row r="97964" spans="1:6" x14ac:dyDescent="0.25">
      <c r="A97964"/>
      <c r="B97964"/>
      <c r="C97964"/>
      <c r="E97964"/>
      <c r="F97964"/>
    </row>
    <row r="97965" spans="1:6" x14ac:dyDescent="0.25">
      <c r="A97965"/>
      <c r="B97965"/>
      <c r="C97965"/>
      <c r="E97965"/>
      <c r="F97965"/>
    </row>
    <row r="97966" spans="1:6" x14ac:dyDescent="0.25">
      <c r="A97966"/>
      <c r="B97966"/>
      <c r="C97966"/>
      <c r="E97966"/>
      <c r="F97966"/>
    </row>
    <row r="97967" spans="1:6" x14ac:dyDescent="0.25">
      <c r="A97967"/>
      <c r="B97967"/>
      <c r="C97967"/>
      <c r="E97967"/>
      <c r="F97967"/>
    </row>
    <row r="97968" spans="1:6" x14ac:dyDescent="0.25">
      <c r="A97968"/>
      <c r="B97968"/>
      <c r="C97968"/>
      <c r="E97968"/>
      <c r="F97968"/>
    </row>
    <row r="97969" spans="1:6" x14ac:dyDescent="0.25">
      <c r="A97969"/>
      <c r="B97969"/>
      <c r="C97969"/>
      <c r="E97969"/>
      <c r="F97969"/>
    </row>
    <row r="97970" spans="1:6" x14ac:dyDescent="0.25">
      <c r="A97970"/>
      <c r="B97970"/>
      <c r="C97970"/>
      <c r="E97970"/>
      <c r="F97970"/>
    </row>
    <row r="97971" spans="1:6" x14ac:dyDescent="0.25">
      <c r="A97971"/>
      <c r="B97971"/>
      <c r="C97971"/>
      <c r="E97971"/>
      <c r="F97971"/>
    </row>
    <row r="97972" spans="1:6" x14ac:dyDescent="0.25">
      <c r="A97972"/>
      <c r="B97972"/>
      <c r="C97972"/>
      <c r="E97972"/>
      <c r="F97972"/>
    </row>
    <row r="97973" spans="1:6" x14ac:dyDescent="0.25">
      <c r="A97973"/>
      <c r="B97973"/>
      <c r="C97973"/>
      <c r="E97973"/>
      <c r="F97973"/>
    </row>
    <row r="97974" spans="1:6" x14ac:dyDescent="0.25">
      <c r="A97974"/>
      <c r="B97974"/>
      <c r="C97974"/>
      <c r="E97974"/>
      <c r="F97974"/>
    </row>
    <row r="97975" spans="1:6" x14ac:dyDescent="0.25">
      <c r="A97975"/>
      <c r="B97975"/>
      <c r="C97975"/>
      <c r="E97975"/>
      <c r="F97975"/>
    </row>
    <row r="97976" spans="1:6" x14ac:dyDescent="0.25">
      <c r="A97976"/>
      <c r="B97976"/>
      <c r="C97976"/>
      <c r="E97976"/>
      <c r="F97976"/>
    </row>
    <row r="97977" spans="1:6" x14ac:dyDescent="0.25">
      <c r="A97977"/>
      <c r="B97977"/>
      <c r="C97977"/>
      <c r="E97977"/>
      <c r="F97977"/>
    </row>
    <row r="97978" spans="1:6" x14ac:dyDescent="0.25">
      <c r="A97978"/>
      <c r="B97978"/>
      <c r="C97978"/>
      <c r="E97978"/>
      <c r="F97978"/>
    </row>
    <row r="97979" spans="1:6" x14ac:dyDescent="0.25">
      <c r="A97979"/>
      <c r="B97979"/>
      <c r="C97979"/>
      <c r="E97979"/>
      <c r="F97979"/>
    </row>
    <row r="97980" spans="1:6" x14ac:dyDescent="0.25">
      <c r="A97980"/>
      <c r="B97980"/>
      <c r="C97980"/>
      <c r="E97980"/>
      <c r="F97980"/>
    </row>
    <row r="97981" spans="1:6" x14ac:dyDescent="0.25">
      <c r="A97981"/>
      <c r="B97981"/>
      <c r="C97981"/>
      <c r="E97981"/>
      <c r="F97981"/>
    </row>
    <row r="97982" spans="1:6" x14ac:dyDescent="0.25">
      <c r="A97982"/>
      <c r="B97982"/>
      <c r="C97982"/>
      <c r="E97982"/>
      <c r="F97982"/>
    </row>
    <row r="97983" spans="1:6" x14ac:dyDescent="0.25">
      <c r="A97983"/>
      <c r="B97983"/>
      <c r="C97983"/>
      <c r="E97983"/>
      <c r="F97983"/>
    </row>
    <row r="97984" spans="1:6" x14ac:dyDescent="0.25">
      <c r="A97984"/>
      <c r="B97984"/>
      <c r="C97984"/>
      <c r="E97984"/>
      <c r="F97984"/>
    </row>
    <row r="97985" spans="1:6" x14ac:dyDescent="0.25">
      <c r="A97985"/>
      <c r="B97985"/>
      <c r="C97985"/>
      <c r="E97985"/>
      <c r="F97985"/>
    </row>
    <row r="97986" spans="1:6" x14ac:dyDescent="0.25">
      <c r="A97986"/>
      <c r="B97986"/>
      <c r="C97986"/>
      <c r="E97986"/>
      <c r="F97986"/>
    </row>
    <row r="97987" spans="1:6" x14ac:dyDescent="0.25">
      <c r="A97987"/>
      <c r="B97987"/>
      <c r="C97987"/>
      <c r="E97987"/>
      <c r="F97987"/>
    </row>
    <row r="97988" spans="1:6" x14ac:dyDescent="0.25">
      <c r="A97988"/>
      <c r="B97988"/>
      <c r="C97988"/>
      <c r="E97988"/>
      <c r="F97988"/>
    </row>
    <row r="97989" spans="1:6" x14ac:dyDescent="0.25">
      <c r="A97989"/>
      <c r="B97989"/>
      <c r="C97989"/>
      <c r="E97989"/>
      <c r="F97989"/>
    </row>
    <row r="97990" spans="1:6" x14ac:dyDescent="0.25">
      <c r="A97990"/>
      <c r="B97990"/>
      <c r="C97990"/>
      <c r="E97990"/>
      <c r="F97990"/>
    </row>
    <row r="97991" spans="1:6" x14ac:dyDescent="0.25">
      <c r="A97991"/>
      <c r="B97991"/>
      <c r="C97991"/>
      <c r="E97991"/>
      <c r="F97991"/>
    </row>
    <row r="97992" spans="1:6" x14ac:dyDescent="0.25">
      <c r="A97992"/>
      <c r="B97992"/>
      <c r="C97992"/>
      <c r="E97992"/>
      <c r="F97992"/>
    </row>
    <row r="97993" spans="1:6" x14ac:dyDescent="0.25">
      <c r="A97993"/>
      <c r="B97993"/>
      <c r="C97993"/>
      <c r="E97993"/>
      <c r="F97993"/>
    </row>
    <row r="97994" spans="1:6" x14ac:dyDescent="0.25">
      <c r="A97994"/>
      <c r="B97994"/>
      <c r="C97994"/>
      <c r="E97994"/>
      <c r="F97994"/>
    </row>
    <row r="97995" spans="1:6" x14ac:dyDescent="0.25">
      <c r="A97995"/>
      <c r="B97995"/>
      <c r="C97995"/>
      <c r="E97995"/>
      <c r="F97995"/>
    </row>
    <row r="97996" spans="1:6" x14ac:dyDescent="0.25">
      <c r="A97996"/>
      <c r="B97996"/>
      <c r="C97996"/>
      <c r="E97996"/>
      <c r="F97996"/>
    </row>
    <row r="97997" spans="1:6" x14ac:dyDescent="0.25">
      <c r="A97997"/>
      <c r="B97997"/>
      <c r="C97997"/>
      <c r="E97997"/>
      <c r="F97997"/>
    </row>
    <row r="97998" spans="1:6" x14ac:dyDescent="0.25">
      <c r="A97998"/>
      <c r="B97998"/>
      <c r="C97998"/>
      <c r="E97998"/>
      <c r="F97998"/>
    </row>
    <row r="97999" spans="1:6" x14ac:dyDescent="0.25">
      <c r="A97999"/>
      <c r="B97999"/>
      <c r="C97999"/>
      <c r="E97999"/>
      <c r="F97999"/>
    </row>
    <row r="98000" spans="1:6" x14ac:dyDescent="0.25">
      <c r="A98000"/>
      <c r="B98000"/>
      <c r="C98000"/>
      <c r="E98000"/>
      <c r="F98000"/>
    </row>
    <row r="98001" spans="1:6" x14ac:dyDescent="0.25">
      <c r="A98001"/>
      <c r="B98001"/>
      <c r="C98001"/>
      <c r="E98001"/>
      <c r="F98001"/>
    </row>
    <row r="98002" spans="1:6" x14ac:dyDescent="0.25">
      <c r="A98002"/>
      <c r="B98002"/>
      <c r="C98002"/>
      <c r="E98002"/>
      <c r="F98002"/>
    </row>
    <row r="98003" spans="1:6" x14ac:dyDescent="0.25">
      <c r="A98003"/>
      <c r="B98003"/>
      <c r="C98003"/>
      <c r="E98003"/>
      <c r="F98003"/>
    </row>
    <row r="98004" spans="1:6" x14ac:dyDescent="0.25">
      <c r="A98004"/>
      <c r="B98004"/>
      <c r="C98004"/>
      <c r="E98004"/>
      <c r="F98004"/>
    </row>
    <row r="98005" spans="1:6" x14ac:dyDescent="0.25">
      <c r="A98005"/>
      <c r="B98005"/>
      <c r="C98005"/>
      <c r="E98005"/>
      <c r="F98005"/>
    </row>
    <row r="98006" spans="1:6" x14ac:dyDescent="0.25">
      <c r="A98006"/>
      <c r="B98006"/>
      <c r="C98006"/>
      <c r="E98006"/>
      <c r="F98006"/>
    </row>
    <row r="98007" spans="1:6" x14ac:dyDescent="0.25">
      <c r="A98007"/>
      <c r="B98007"/>
      <c r="C98007"/>
      <c r="E98007"/>
      <c r="F98007"/>
    </row>
    <row r="98008" spans="1:6" x14ac:dyDescent="0.25">
      <c r="A98008"/>
      <c r="B98008"/>
      <c r="C98008"/>
      <c r="E98008"/>
      <c r="F98008"/>
    </row>
    <row r="98009" spans="1:6" x14ac:dyDescent="0.25">
      <c r="A98009"/>
      <c r="B98009"/>
      <c r="C98009"/>
      <c r="E98009"/>
      <c r="F98009"/>
    </row>
    <row r="98010" spans="1:6" x14ac:dyDescent="0.25">
      <c r="A98010"/>
      <c r="B98010"/>
      <c r="C98010"/>
      <c r="E98010"/>
      <c r="F98010"/>
    </row>
    <row r="98011" spans="1:6" x14ac:dyDescent="0.25">
      <c r="A98011"/>
      <c r="B98011"/>
      <c r="C98011"/>
      <c r="E98011"/>
      <c r="F98011"/>
    </row>
    <row r="98012" spans="1:6" x14ac:dyDescent="0.25">
      <c r="A98012"/>
      <c r="B98012"/>
      <c r="C98012"/>
      <c r="E98012"/>
      <c r="F98012"/>
    </row>
    <row r="98013" spans="1:6" x14ac:dyDescent="0.25">
      <c r="A98013"/>
      <c r="B98013"/>
      <c r="C98013"/>
      <c r="E98013"/>
      <c r="F98013"/>
    </row>
    <row r="98014" spans="1:6" x14ac:dyDescent="0.25">
      <c r="A98014"/>
      <c r="B98014"/>
      <c r="C98014"/>
      <c r="E98014"/>
      <c r="F98014"/>
    </row>
    <row r="98015" spans="1:6" x14ac:dyDescent="0.25">
      <c r="A98015"/>
      <c r="B98015"/>
      <c r="C98015"/>
      <c r="E98015"/>
      <c r="F98015"/>
    </row>
    <row r="98016" spans="1:6" x14ac:dyDescent="0.25">
      <c r="A98016"/>
      <c r="B98016"/>
      <c r="C98016"/>
      <c r="E98016"/>
      <c r="F98016"/>
    </row>
    <row r="98017" spans="1:6" x14ac:dyDescent="0.25">
      <c r="A98017"/>
      <c r="B98017"/>
      <c r="C98017"/>
      <c r="E98017"/>
      <c r="F98017"/>
    </row>
    <row r="98018" spans="1:6" x14ac:dyDescent="0.25">
      <c r="A98018"/>
      <c r="B98018"/>
      <c r="C98018"/>
      <c r="E98018"/>
      <c r="F98018"/>
    </row>
    <row r="98019" spans="1:6" x14ac:dyDescent="0.25">
      <c r="A98019"/>
      <c r="B98019"/>
      <c r="C98019"/>
      <c r="E98019"/>
      <c r="F98019"/>
    </row>
    <row r="98020" spans="1:6" x14ac:dyDescent="0.25">
      <c r="A98020"/>
      <c r="B98020"/>
      <c r="C98020"/>
      <c r="E98020"/>
      <c r="F98020"/>
    </row>
    <row r="98021" spans="1:6" x14ac:dyDescent="0.25">
      <c r="A98021"/>
      <c r="B98021"/>
      <c r="C98021"/>
      <c r="E98021"/>
      <c r="F98021"/>
    </row>
    <row r="98022" spans="1:6" x14ac:dyDescent="0.25">
      <c r="A98022"/>
      <c r="B98022"/>
      <c r="C98022"/>
      <c r="E98022"/>
      <c r="F98022"/>
    </row>
    <row r="98023" spans="1:6" x14ac:dyDescent="0.25">
      <c r="A98023"/>
      <c r="B98023"/>
      <c r="C98023"/>
      <c r="E98023"/>
      <c r="F98023"/>
    </row>
    <row r="98024" spans="1:6" x14ac:dyDescent="0.25">
      <c r="A98024"/>
      <c r="B98024"/>
      <c r="C98024"/>
      <c r="E98024"/>
      <c r="F98024"/>
    </row>
    <row r="98025" spans="1:6" x14ac:dyDescent="0.25">
      <c r="A98025"/>
      <c r="B98025"/>
      <c r="C98025"/>
      <c r="E98025"/>
      <c r="F98025"/>
    </row>
    <row r="98026" spans="1:6" x14ac:dyDescent="0.25">
      <c r="A98026"/>
      <c r="B98026"/>
      <c r="C98026"/>
      <c r="E98026"/>
      <c r="F98026"/>
    </row>
    <row r="98027" spans="1:6" x14ac:dyDescent="0.25">
      <c r="A98027"/>
      <c r="B98027"/>
      <c r="C98027"/>
      <c r="E98027"/>
      <c r="F98027"/>
    </row>
    <row r="98028" spans="1:6" x14ac:dyDescent="0.25">
      <c r="A98028"/>
      <c r="B98028"/>
      <c r="C98028"/>
      <c r="E98028"/>
      <c r="F98028"/>
    </row>
    <row r="98029" spans="1:6" x14ac:dyDescent="0.25">
      <c r="A98029"/>
      <c r="B98029"/>
      <c r="C98029"/>
      <c r="E98029"/>
      <c r="F98029"/>
    </row>
    <row r="98030" spans="1:6" x14ac:dyDescent="0.25">
      <c r="A98030"/>
      <c r="B98030"/>
      <c r="C98030"/>
      <c r="E98030"/>
      <c r="F98030"/>
    </row>
    <row r="98031" spans="1:6" x14ac:dyDescent="0.25">
      <c r="A98031"/>
      <c r="B98031"/>
      <c r="C98031"/>
      <c r="E98031"/>
      <c r="F98031"/>
    </row>
    <row r="98032" spans="1:6" x14ac:dyDescent="0.25">
      <c r="A98032"/>
      <c r="B98032"/>
      <c r="C98032"/>
      <c r="E98032"/>
      <c r="F98032"/>
    </row>
    <row r="98033" spans="1:6" x14ac:dyDescent="0.25">
      <c r="A98033"/>
      <c r="B98033"/>
      <c r="C98033"/>
      <c r="E98033"/>
      <c r="F98033"/>
    </row>
    <row r="98034" spans="1:6" x14ac:dyDescent="0.25">
      <c r="A98034"/>
      <c r="B98034"/>
      <c r="C98034"/>
      <c r="E98034"/>
      <c r="F98034"/>
    </row>
    <row r="98035" spans="1:6" x14ac:dyDescent="0.25">
      <c r="A98035"/>
      <c r="B98035"/>
      <c r="C98035"/>
      <c r="E98035"/>
      <c r="F98035"/>
    </row>
    <row r="98036" spans="1:6" x14ac:dyDescent="0.25">
      <c r="A98036"/>
      <c r="B98036"/>
      <c r="C98036"/>
      <c r="E98036"/>
      <c r="F98036"/>
    </row>
    <row r="98037" spans="1:6" x14ac:dyDescent="0.25">
      <c r="A98037"/>
      <c r="B98037"/>
      <c r="C98037"/>
      <c r="E98037"/>
      <c r="F98037"/>
    </row>
    <row r="98038" spans="1:6" x14ac:dyDescent="0.25">
      <c r="A98038"/>
      <c r="B98038"/>
      <c r="C98038"/>
      <c r="E98038"/>
      <c r="F98038"/>
    </row>
    <row r="98039" spans="1:6" x14ac:dyDescent="0.25">
      <c r="A98039"/>
      <c r="B98039"/>
      <c r="C98039"/>
      <c r="E98039"/>
      <c r="F98039"/>
    </row>
    <row r="98040" spans="1:6" x14ac:dyDescent="0.25">
      <c r="A98040"/>
      <c r="B98040"/>
      <c r="C98040"/>
      <c r="E98040"/>
      <c r="F98040"/>
    </row>
    <row r="98041" spans="1:6" x14ac:dyDescent="0.25">
      <c r="A98041"/>
      <c r="B98041"/>
      <c r="C98041"/>
      <c r="E98041"/>
      <c r="F98041"/>
    </row>
    <row r="98042" spans="1:6" x14ac:dyDescent="0.25">
      <c r="A98042"/>
      <c r="B98042"/>
      <c r="C98042"/>
      <c r="E98042"/>
      <c r="F98042"/>
    </row>
    <row r="98043" spans="1:6" x14ac:dyDescent="0.25">
      <c r="A98043"/>
      <c r="B98043"/>
      <c r="C98043"/>
      <c r="E98043"/>
      <c r="F98043"/>
    </row>
    <row r="98044" spans="1:6" x14ac:dyDescent="0.25">
      <c r="A98044"/>
      <c r="B98044"/>
      <c r="C98044"/>
      <c r="E98044"/>
      <c r="F98044"/>
    </row>
    <row r="98045" spans="1:6" x14ac:dyDescent="0.25">
      <c r="A98045"/>
      <c r="B98045"/>
      <c r="C98045"/>
      <c r="E98045"/>
      <c r="F98045"/>
    </row>
    <row r="98046" spans="1:6" x14ac:dyDescent="0.25">
      <c r="A98046"/>
      <c r="B98046"/>
      <c r="C98046"/>
      <c r="E98046"/>
      <c r="F98046"/>
    </row>
    <row r="98047" spans="1:6" x14ac:dyDescent="0.25">
      <c r="A98047"/>
      <c r="B98047"/>
      <c r="C98047"/>
      <c r="E98047"/>
      <c r="F98047"/>
    </row>
    <row r="98048" spans="1:6" x14ac:dyDescent="0.25">
      <c r="A98048"/>
      <c r="B98048"/>
      <c r="C98048"/>
      <c r="E98048"/>
      <c r="F98048"/>
    </row>
    <row r="98049" spans="1:6" x14ac:dyDescent="0.25">
      <c r="A98049"/>
      <c r="B98049"/>
      <c r="C98049"/>
      <c r="E98049"/>
      <c r="F98049"/>
    </row>
    <row r="98050" spans="1:6" x14ac:dyDescent="0.25">
      <c r="A98050"/>
      <c r="B98050"/>
      <c r="C98050"/>
      <c r="E98050"/>
      <c r="F98050"/>
    </row>
    <row r="98051" spans="1:6" x14ac:dyDescent="0.25">
      <c r="A98051"/>
      <c r="B98051"/>
      <c r="C98051"/>
      <c r="E98051"/>
      <c r="F98051"/>
    </row>
    <row r="98052" spans="1:6" x14ac:dyDescent="0.25">
      <c r="A98052"/>
      <c r="B98052"/>
      <c r="C98052"/>
      <c r="E98052"/>
      <c r="F98052"/>
    </row>
    <row r="98053" spans="1:6" x14ac:dyDescent="0.25">
      <c r="A98053"/>
      <c r="B98053"/>
      <c r="C98053"/>
      <c r="E98053"/>
      <c r="F98053"/>
    </row>
    <row r="98054" spans="1:6" x14ac:dyDescent="0.25">
      <c r="A98054"/>
      <c r="B98054"/>
      <c r="C98054"/>
      <c r="E98054"/>
      <c r="F98054"/>
    </row>
    <row r="98055" spans="1:6" x14ac:dyDescent="0.25">
      <c r="A98055"/>
      <c r="B98055"/>
      <c r="C98055"/>
      <c r="E98055"/>
      <c r="F98055"/>
    </row>
    <row r="98056" spans="1:6" x14ac:dyDescent="0.25">
      <c r="A98056"/>
      <c r="B98056"/>
      <c r="C98056"/>
      <c r="E98056"/>
      <c r="F98056"/>
    </row>
    <row r="98057" spans="1:6" x14ac:dyDescent="0.25">
      <c r="A98057"/>
      <c r="B98057"/>
      <c r="C98057"/>
      <c r="E98057"/>
      <c r="F98057"/>
    </row>
    <row r="98058" spans="1:6" x14ac:dyDescent="0.25">
      <c r="A98058"/>
      <c r="B98058"/>
      <c r="C98058"/>
      <c r="E98058"/>
      <c r="F98058"/>
    </row>
    <row r="98059" spans="1:6" x14ac:dyDescent="0.25">
      <c r="A98059"/>
      <c r="B98059"/>
      <c r="C98059"/>
      <c r="E98059"/>
      <c r="F98059"/>
    </row>
    <row r="98060" spans="1:6" x14ac:dyDescent="0.25">
      <c r="A98060"/>
      <c r="B98060"/>
      <c r="C98060"/>
      <c r="E98060"/>
      <c r="F98060"/>
    </row>
    <row r="98061" spans="1:6" x14ac:dyDescent="0.25">
      <c r="A98061"/>
      <c r="B98061"/>
      <c r="C98061"/>
      <c r="E98061"/>
      <c r="F98061"/>
    </row>
    <row r="98062" spans="1:6" x14ac:dyDescent="0.25">
      <c r="A98062"/>
      <c r="B98062"/>
      <c r="C98062"/>
      <c r="E98062"/>
      <c r="F98062"/>
    </row>
    <row r="98063" spans="1:6" x14ac:dyDescent="0.25">
      <c r="A98063"/>
      <c r="B98063"/>
      <c r="C98063"/>
      <c r="E98063"/>
      <c r="F98063"/>
    </row>
    <row r="98064" spans="1:6" x14ac:dyDescent="0.25">
      <c r="A98064"/>
      <c r="B98064"/>
      <c r="C98064"/>
      <c r="E98064"/>
      <c r="F98064"/>
    </row>
    <row r="98065" spans="1:6" x14ac:dyDescent="0.25">
      <c r="A98065"/>
      <c r="B98065"/>
      <c r="C98065"/>
      <c r="E98065"/>
      <c r="F98065"/>
    </row>
    <row r="98066" spans="1:6" x14ac:dyDescent="0.25">
      <c r="A98066"/>
      <c r="B98066"/>
      <c r="C98066"/>
      <c r="E98066"/>
      <c r="F98066"/>
    </row>
    <row r="98067" spans="1:6" x14ac:dyDescent="0.25">
      <c r="A98067"/>
      <c r="B98067"/>
      <c r="C98067"/>
      <c r="E98067"/>
      <c r="F98067"/>
    </row>
    <row r="98068" spans="1:6" x14ac:dyDescent="0.25">
      <c r="A98068"/>
      <c r="B98068"/>
      <c r="C98068"/>
      <c r="E98068"/>
      <c r="F98068"/>
    </row>
    <row r="98069" spans="1:6" x14ac:dyDescent="0.25">
      <c r="A98069"/>
      <c r="B98069"/>
      <c r="C98069"/>
      <c r="E98069"/>
      <c r="F98069"/>
    </row>
    <row r="98070" spans="1:6" x14ac:dyDescent="0.25">
      <c r="A98070"/>
      <c r="B98070"/>
      <c r="C98070"/>
      <c r="E98070"/>
      <c r="F98070"/>
    </row>
    <row r="98071" spans="1:6" x14ac:dyDescent="0.25">
      <c r="A98071"/>
      <c r="B98071"/>
      <c r="C98071"/>
      <c r="E98071"/>
      <c r="F98071"/>
    </row>
    <row r="98072" spans="1:6" x14ac:dyDescent="0.25">
      <c r="A98072"/>
      <c r="B98072"/>
      <c r="C98072"/>
      <c r="E98072"/>
      <c r="F98072"/>
    </row>
    <row r="98073" spans="1:6" x14ac:dyDescent="0.25">
      <c r="A98073"/>
      <c r="B98073"/>
      <c r="C98073"/>
      <c r="E98073"/>
      <c r="F98073"/>
    </row>
    <row r="98074" spans="1:6" x14ac:dyDescent="0.25">
      <c r="A98074"/>
      <c r="B98074"/>
      <c r="C98074"/>
      <c r="E98074"/>
      <c r="F98074"/>
    </row>
    <row r="98075" spans="1:6" x14ac:dyDescent="0.25">
      <c r="A98075"/>
      <c r="B98075"/>
      <c r="C98075"/>
      <c r="E98075"/>
      <c r="F98075"/>
    </row>
    <row r="98076" spans="1:6" x14ac:dyDescent="0.25">
      <c r="A98076"/>
      <c r="B98076"/>
      <c r="C98076"/>
      <c r="E98076"/>
      <c r="F98076"/>
    </row>
    <row r="98077" spans="1:6" x14ac:dyDescent="0.25">
      <c r="A98077"/>
      <c r="B98077"/>
      <c r="C98077"/>
      <c r="E98077"/>
      <c r="F98077"/>
    </row>
    <row r="98078" spans="1:6" x14ac:dyDescent="0.25">
      <c r="A98078"/>
      <c r="B98078"/>
      <c r="C98078"/>
      <c r="E98078"/>
      <c r="F98078"/>
    </row>
    <row r="98079" spans="1:6" x14ac:dyDescent="0.25">
      <c r="A98079"/>
      <c r="B98079"/>
      <c r="C98079"/>
      <c r="E98079"/>
      <c r="F98079"/>
    </row>
    <row r="98080" spans="1:6" x14ac:dyDescent="0.25">
      <c r="A98080"/>
      <c r="B98080"/>
      <c r="C98080"/>
      <c r="E98080"/>
      <c r="F98080"/>
    </row>
    <row r="98081" spans="1:6" x14ac:dyDescent="0.25">
      <c r="A98081"/>
      <c r="B98081"/>
      <c r="C98081"/>
      <c r="E98081"/>
      <c r="F98081"/>
    </row>
    <row r="98082" spans="1:6" x14ac:dyDescent="0.25">
      <c r="A98082"/>
      <c r="B98082"/>
      <c r="C98082"/>
      <c r="E98082"/>
      <c r="F98082"/>
    </row>
    <row r="98083" spans="1:6" x14ac:dyDescent="0.25">
      <c r="A98083"/>
      <c r="B98083"/>
      <c r="C98083"/>
      <c r="E98083"/>
      <c r="F98083"/>
    </row>
    <row r="98084" spans="1:6" x14ac:dyDescent="0.25">
      <c r="A98084"/>
      <c r="B98084"/>
      <c r="C98084"/>
      <c r="E98084"/>
      <c r="F98084"/>
    </row>
    <row r="98085" spans="1:6" x14ac:dyDescent="0.25">
      <c r="A98085"/>
      <c r="B98085"/>
      <c r="C98085"/>
      <c r="E98085"/>
      <c r="F98085"/>
    </row>
    <row r="98086" spans="1:6" x14ac:dyDescent="0.25">
      <c r="A98086"/>
      <c r="B98086"/>
      <c r="C98086"/>
      <c r="E98086"/>
      <c r="F98086"/>
    </row>
    <row r="98087" spans="1:6" x14ac:dyDescent="0.25">
      <c r="A98087"/>
      <c r="B98087"/>
      <c r="C98087"/>
      <c r="E98087"/>
      <c r="F98087"/>
    </row>
    <row r="98088" spans="1:6" x14ac:dyDescent="0.25">
      <c r="A98088"/>
      <c r="B98088"/>
      <c r="C98088"/>
      <c r="E98088"/>
      <c r="F98088"/>
    </row>
    <row r="98089" spans="1:6" x14ac:dyDescent="0.25">
      <c r="A98089"/>
      <c r="B98089"/>
      <c r="C98089"/>
      <c r="E98089"/>
      <c r="F98089"/>
    </row>
    <row r="98090" spans="1:6" x14ac:dyDescent="0.25">
      <c r="A98090"/>
      <c r="B98090"/>
      <c r="C98090"/>
      <c r="E98090"/>
      <c r="F98090"/>
    </row>
    <row r="98091" spans="1:6" x14ac:dyDescent="0.25">
      <c r="A98091"/>
      <c r="B98091"/>
      <c r="C98091"/>
      <c r="E98091"/>
      <c r="F98091"/>
    </row>
    <row r="98092" spans="1:6" x14ac:dyDescent="0.25">
      <c r="A98092"/>
      <c r="B98092"/>
      <c r="C98092"/>
      <c r="E98092"/>
      <c r="F98092"/>
    </row>
    <row r="98093" spans="1:6" x14ac:dyDescent="0.25">
      <c r="A98093"/>
      <c r="B98093"/>
      <c r="C98093"/>
      <c r="E98093"/>
      <c r="F98093"/>
    </row>
    <row r="98094" spans="1:6" x14ac:dyDescent="0.25">
      <c r="A98094"/>
      <c r="B98094"/>
      <c r="C98094"/>
      <c r="E98094"/>
      <c r="F98094"/>
    </row>
    <row r="98095" spans="1:6" x14ac:dyDescent="0.25">
      <c r="A98095"/>
      <c r="B98095"/>
      <c r="C98095"/>
      <c r="E98095"/>
      <c r="F98095"/>
    </row>
    <row r="98096" spans="1:6" x14ac:dyDescent="0.25">
      <c r="A98096"/>
      <c r="B98096"/>
      <c r="C98096"/>
      <c r="E98096"/>
      <c r="F98096"/>
    </row>
    <row r="98097" spans="1:6" x14ac:dyDescent="0.25">
      <c r="A98097"/>
      <c r="B98097"/>
      <c r="C98097"/>
      <c r="E98097"/>
      <c r="F98097"/>
    </row>
    <row r="98098" spans="1:6" x14ac:dyDescent="0.25">
      <c r="A98098"/>
      <c r="B98098"/>
      <c r="C98098"/>
      <c r="E98098"/>
      <c r="F98098"/>
    </row>
    <row r="98099" spans="1:6" x14ac:dyDescent="0.25">
      <c r="A98099"/>
      <c r="B98099"/>
      <c r="C98099"/>
      <c r="E98099"/>
      <c r="F98099"/>
    </row>
    <row r="98100" spans="1:6" x14ac:dyDescent="0.25">
      <c r="A98100"/>
      <c r="B98100"/>
      <c r="C98100"/>
      <c r="E98100"/>
      <c r="F98100"/>
    </row>
    <row r="98101" spans="1:6" x14ac:dyDescent="0.25">
      <c r="A98101"/>
      <c r="B98101"/>
      <c r="C98101"/>
      <c r="E98101"/>
      <c r="F98101"/>
    </row>
    <row r="98102" spans="1:6" x14ac:dyDescent="0.25">
      <c r="A98102"/>
      <c r="B98102"/>
      <c r="C98102"/>
      <c r="E98102"/>
      <c r="F98102"/>
    </row>
    <row r="98103" spans="1:6" x14ac:dyDescent="0.25">
      <c r="A98103"/>
      <c r="B98103"/>
      <c r="C98103"/>
      <c r="E98103"/>
      <c r="F98103"/>
    </row>
    <row r="98104" spans="1:6" x14ac:dyDescent="0.25">
      <c r="A98104"/>
      <c r="B98104"/>
      <c r="C98104"/>
      <c r="E98104"/>
      <c r="F98104"/>
    </row>
    <row r="98105" spans="1:6" x14ac:dyDescent="0.25">
      <c r="A98105"/>
      <c r="B98105"/>
      <c r="C98105"/>
      <c r="E98105"/>
      <c r="F98105"/>
    </row>
    <row r="98106" spans="1:6" x14ac:dyDescent="0.25">
      <c r="A98106"/>
      <c r="B98106"/>
      <c r="C98106"/>
      <c r="E98106"/>
      <c r="F98106"/>
    </row>
    <row r="98107" spans="1:6" x14ac:dyDescent="0.25">
      <c r="A98107"/>
      <c r="B98107"/>
      <c r="C98107"/>
      <c r="E98107"/>
      <c r="F98107"/>
    </row>
    <row r="98108" spans="1:6" x14ac:dyDescent="0.25">
      <c r="A98108"/>
      <c r="B98108"/>
      <c r="C98108"/>
      <c r="E98108"/>
      <c r="F98108"/>
    </row>
    <row r="98109" spans="1:6" x14ac:dyDescent="0.25">
      <c r="A98109"/>
      <c r="B98109"/>
      <c r="C98109"/>
      <c r="E98109"/>
      <c r="F98109"/>
    </row>
    <row r="98110" spans="1:6" x14ac:dyDescent="0.25">
      <c r="A98110"/>
      <c r="B98110"/>
      <c r="C98110"/>
      <c r="E98110"/>
      <c r="F98110"/>
    </row>
    <row r="98111" spans="1:6" x14ac:dyDescent="0.25">
      <c r="A98111"/>
      <c r="B98111"/>
      <c r="C98111"/>
      <c r="E98111"/>
      <c r="F98111"/>
    </row>
    <row r="98112" spans="1:6" x14ac:dyDescent="0.25">
      <c r="A98112"/>
      <c r="B98112"/>
      <c r="C98112"/>
      <c r="E98112"/>
      <c r="F98112"/>
    </row>
    <row r="98113" spans="1:6" x14ac:dyDescent="0.25">
      <c r="A98113"/>
      <c r="B98113"/>
      <c r="C98113"/>
      <c r="E98113"/>
      <c r="F98113"/>
    </row>
    <row r="98114" spans="1:6" x14ac:dyDescent="0.25">
      <c r="A98114"/>
      <c r="B98114"/>
      <c r="C98114"/>
      <c r="E98114"/>
      <c r="F98114"/>
    </row>
    <row r="98115" spans="1:6" x14ac:dyDescent="0.25">
      <c r="A98115"/>
      <c r="B98115"/>
      <c r="C98115"/>
      <c r="E98115"/>
      <c r="F98115"/>
    </row>
    <row r="98116" spans="1:6" x14ac:dyDescent="0.25">
      <c r="A98116"/>
      <c r="B98116"/>
      <c r="C98116"/>
      <c r="E98116"/>
      <c r="F98116"/>
    </row>
    <row r="98117" spans="1:6" x14ac:dyDescent="0.25">
      <c r="A98117"/>
      <c r="B98117"/>
      <c r="C98117"/>
      <c r="E98117"/>
      <c r="F98117"/>
    </row>
    <row r="98118" spans="1:6" x14ac:dyDescent="0.25">
      <c r="A98118"/>
      <c r="B98118"/>
      <c r="C98118"/>
      <c r="E98118"/>
      <c r="F98118"/>
    </row>
    <row r="98119" spans="1:6" x14ac:dyDescent="0.25">
      <c r="A98119"/>
      <c r="B98119"/>
      <c r="C98119"/>
      <c r="E98119"/>
      <c r="F98119"/>
    </row>
    <row r="98120" spans="1:6" x14ac:dyDescent="0.25">
      <c r="A98120"/>
      <c r="B98120"/>
      <c r="C98120"/>
      <c r="E98120"/>
      <c r="F98120"/>
    </row>
    <row r="98121" spans="1:6" x14ac:dyDescent="0.25">
      <c r="A98121"/>
      <c r="B98121"/>
      <c r="C98121"/>
      <c r="E98121"/>
      <c r="F98121"/>
    </row>
    <row r="98122" spans="1:6" x14ac:dyDescent="0.25">
      <c r="A98122"/>
      <c r="B98122"/>
      <c r="C98122"/>
      <c r="E98122"/>
      <c r="F98122"/>
    </row>
    <row r="98123" spans="1:6" x14ac:dyDescent="0.25">
      <c r="A98123"/>
      <c r="B98123"/>
      <c r="C98123"/>
      <c r="E98123"/>
      <c r="F98123"/>
    </row>
    <row r="98124" spans="1:6" x14ac:dyDescent="0.25">
      <c r="A98124"/>
      <c r="B98124"/>
      <c r="C98124"/>
      <c r="E98124"/>
      <c r="F98124"/>
    </row>
    <row r="98125" spans="1:6" x14ac:dyDescent="0.25">
      <c r="A98125"/>
      <c r="B98125"/>
      <c r="C98125"/>
      <c r="E98125"/>
      <c r="F98125"/>
    </row>
    <row r="98126" spans="1:6" x14ac:dyDescent="0.25">
      <c r="A98126"/>
      <c r="B98126"/>
      <c r="C98126"/>
      <c r="E98126"/>
      <c r="F98126"/>
    </row>
    <row r="98127" spans="1:6" x14ac:dyDescent="0.25">
      <c r="A98127"/>
      <c r="B98127"/>
      <c r="C98127"/>
      <c r="E98127"/>
      <c r="F98127"/>
    </row>
    <row r="98128" spans="1:6" x14ac:dyDescent="0.25">
      <c r="A98128"/>
      <c r="B98128"/>
      <c r="C98128"/>
      <c r="E98128"/>
      <c r="F98128"/>
    </row>
    <row r="98129" spans="1:6" x14ac:dyDescent="0.25">
      <c r="A98129"/>
      <c r="B98129"/>
      <c r="C98129"/>
      <c r="E98129"/>
      <c r="F98129"/>
    </row>
    <row r="98130" spans="1:6" x14ac:dyDescent="0.25">
      <c r="A98130"/>
      <c r="B98130"/>
      <c r="C98130"/>
      <c r="E98130"/>
      <c r="F98130"/>
    </row>
    <row r="98131" spans="1:6" x14ac:dyDescent="0.25">
      <c r="A98131"/>
      <c r="B98131"/>
      <c r="C98131"/>
      <c r="E98131"/>
      <c r="F98131"/>
    </row>
    <row r="98132" spans="1:6" x14ac:dyDescent="0.25">
      <c r="A98132"/>
      <c r="B98132"/>
      <c r="C98132"/>
      <c r="E98132"/>
      <c r="F98132"/>
    </row>
    <row r="98133" spans="1:6" x14ac:dyDescent="0.25">
      <c r="A98133"/>
      <c r="B98133"/>
      <c r="C98133"/>
      <c r="E98133"/>
      <c r="F98133"/>
    </row>
    <row r="98134" spans="1:6" x14ac:dyDescent="0.25">
      <c r="A98134"/>
      <c r="B98134"/>
      <c r="C98134"/>
      <c r="E98134"/>
      <c r="F98134"/>
    </row>
    <row r="98135" spans="1:6" x14ac:dyDescent="0.25">
      <c r="A98135"/>
      <c r="B98135"/>
      <c r="C98135"/>
      <c r="E98135"/>
      <c r="F98135"/>
    </row>
    <row r="98136" spans="1:6" x14ac:dyDescent="0.25">
      <c r="A98136"/>
      <c r="B98136"/>
      <c r="C98136"/>
      <c r="E98136"/>
      <c r="F98136"/>
    </row>
    <row r="98137" spans="1:6" x14ac:dyDescent="0.25">
      <c r="A98137"/>
      <c r="B98137"/>
      <c r="C98137"/>
      <c r="E98137"/>
      <c r="F98137"/>
    </row>
    <row r="98138" spans="1:6" x14ac:dyDescent="0.25">
      <c r="A98138"/>
      <c r="B98138"/>
      <c r="C98138"/>
      <c r="E98138"/>
      <c r="F98138"/>
    </row>
    <row r="98139" spans="1:6" x14ac:dyDescent="0.25">
      <c r="A98139"/>
      <c r="B98139"/>
      <c r="C98139"/>
      <c r="E98139"/>
      <c r="F98139"/>
    </row>
    <row r="98140" spans="1:6" x14ac:dyDescent="0.25">
      <c r="A98140"/>
      <c r="B98140"/>
      <c r="C98140"/>
      <c r="E98140"/>
      <c r="F98140"/>
    </row>
    <row r="98141" spans="1:6" x14ac:dyDescent="0.25">
      <c r="A98141"/>
      <c r="B98141"/>
      <c r="C98141"/>
      <c r="E98141"/>
      <c r="F98141"/>
    </row>
    <row r="98142" spans="1:6" x14ac:dyDescent="0.25">
      <c r="A98142"/>
      <c r="B98142"/>
      <c r="C98142"/>
      <c r="E98142"/>
      <c r="F98142"/>
    </row>
    <row r="98143" spans="1:6" x14ac:dyDescent="0.25">
      <c r="A98143"/>
      <c r="B98143"/>
      <c r="C98143"/>
      <c r="E98143"/>
      <c r="F98143"/>
    </row>
    <row r="98144" spans="1:6" x14ac:dyDescent="0.25">
      <c r="A98144"/>
      <c r="B98144"/>
      <c r="C98144"/>
      <c r="E98144"/>
      <c r="F98144"/>
    </row>
    <row r="98145" spans="1:6" x14ac:dyDescent="0.25">
      <c r="A98145"/>
      <c r="B98145"/>
      <c r="C98145"/>
      <c r="E98145"/>
      <c r="F98145"/>
    </row>
    <row r="98146" spans="1:6" x14ac:dyDescent="0.25">
      <c r="A98146"/>
      <c r="B98146"/>
      <c r="C98146"/>
      <c r="E98146"/>
      <c r="F98146"/>
    </row>
    <row r="98147" spans="1:6" x14ac:dyDescent="0.25">
      <c r="A98147"/>
      <c r="B98147"/>
      <c r="C98147"/>
      <c r="E98147"/>
      <c r="F98147"/>
    </row>
    <row r="98148" spans="1:6" x14ac:dyDescent="0.25">
      <c r="A98148"/>
      <c r="B98148"/>
      <c r="C98148"/>
      <c r="E98148"/>
      <c r="F98148"/>
    </row>
    <row r="98149" spans="1:6" x14ac:dyDescent="0.25">
      <c r="A98149"/>
      <c r="B98149"/>
      <c r="C98149"/>
      <c r="E98149"/>
      <c r="F98149"/>
    </row>
    <row r="98150" spans="1:6" x14ac:dyDescent="0.25">
      <c r="A98150"/>
      <c r="B98150"/>
      <c r="C98150"/>
      <c r="E98150"/>
      <c r="F98150"/>
    </row>
    <row r="98151" spans="1:6" x14ac:dyDescent="0.25">
      <c r="A98151"/>
      <c r="B98151"/>
      <c r="C98151"/>
      <c r="E98151"/>
      <c r="F98151"/>
    </row>
    <row r="98152" spans="1:6" x14ac:dyDescent="0.25">
      <c r="A98152"/>
      <c r="B98152"/>
      <c r="C98152"/>
      <c r="E98152"/>
      <c r="F98152"/>
    </row>
    <row r="98153" spans="1:6" x14ac:dyDescent="0.25">
      <c r="A98153"/>
      <c r="B98153"/>
      <c r="C98153"/>
      <c r="E98153"/>
      <c r="F98153"/>
    </row>
    <row r="98154" spans="1:6" x14ac:dyDescent="0.25">
      <c r="A98154"/>
      <c r="B98154"/>
      <c r="C98154"/>
      <c r="E98154"/>
      <c r="F98154"/>
    </row>
    <row r="98155" spans="1:6" x14ac:dyDescent="0.25">
      <c r="A98155"/>
      <c r="B98155"/>
      <c r="C98155"/>
      <c r="E98155"/>
      <c r="F98155"/>
    </row>
    <row r="98156" spans="1:6" x14ac:dyDescent="0.25">
      <c r="A98156"/>
      <c r="B98156"/>
      <c r="C98156"/>
      <c r="E98156"/>
      <c r="F98156"/>
    </row>
    <row r="98157" spans="1:6" x14ac:dyDescent="0.25">
      <c r="A98157"/>
      <c r="B98157"/>
      <c r="C98157"/>
      <c r="E98157"/>
      <c r="F98157"/>
    </row>
    <row r="98158" spans="1:6" x14ac:dyDescent="0.25">
      <c r="A98158"/>
      <c r="B98158"/>
      <c r="C98158"/>
      <c r="E98158"/>
      <c r="F98158"/>
    </row>
    <row r="98159" spans="1:6" x14ac:dyDescent="0.25">
      <c r="A98159"/>
      <c r="B98159"/>
      <c r="C98159"/>
      <c r="E98159"/>
      <c r="F98159"/>
    </row>
    <row r="98160" spans="1:6" x14ac:dyDescent="0.25">
      <c r="A98160"/>
      <c r="B98160"/>
      <c r="C98160"/>
      <c r="E98160"/>
      <c r="F98160"/>
    </row>
    <row r="98161" spans="1:6" x14ac:dyDescent="0.25">
      <c r="A98161"/>
      <c r="B98161"/>
      <c r="C98161"/>
      <c r="E98161"/>
      <c r="F98161"/>
    </row>
    <row r="98162" spans="1:6" x14ac:dyDescent="0.25">
      <c r="A98162"/>
      <c r="B98162"/>
      <c r="C98162"/>
      <c r="E98162"/>
      <c r="F98162"/>
    </row>
    <row r="98163" spans="1:6" x14ac:dyDescent="0.25">
      <c r="A98163"/>
      <c r="B98163"/>
      <c r="C98163"/>
      <c r="E98163"/>
      <c r="F98163"/>
    </row>
    <row r="98164" spans="1:6" x14ac:dyDescent="0.25">
      <c r="A98164"/>
      <c r="B98164"/>
      <c r="C98164"/>
      <c r="E98164"/>
      <c r="F98164"/>
    </row>
    <row r="98165" spans="1:6" x14ac:dyDescent="0.25">
      <c r="A98165"/>
      <c r="B98165"/>
      <c r="C98165"/>
      <c r="E98165"/>
      <c r="F98165"/>
    </row>
    <row r="98166" spans="1:6" x14ac:dyDescent="0.25">
      <c r="A98166"/>
      <c r="B98166"/>
      <c r="C98166"/>
      <c r="E98166"/>
      <c r="F98166"/>
    </row>
    <row r="98167" spans="1:6" x14ac:dyDescent="0.25">
      <c r="A98167"/>
      <c r="B98167"/>
      <c r="C98167"/>
      <c r="E98167"/>
      <c r="F98167"/>
    </row>
    <row r="98168" spans="1:6" x14ac:dyDescent="0.25">
      <c r="A98168"/>
      <c r="B98168"/>
      <c r="C98168"/>
      <c r="E98168"/>
      <c r="F98168"/>
    </row>
    <row r="98169" spans="1:6" x14ac:dyDescent="0.25">
      <c r="A98169"/>
      <c r="B98169"/>
      <c r="C98169"/>
      <c r="E98169"/>
      <c r="F98169"/>
    </row>
    <row r="98170" spans="1:6" x14ac:dyDescent="0.25">
      <c r="A98170"/>
      <c r="B98170"/>
      <c r="C98170"/>
      <c r="E98170"/>
      <c r="F98170"/>
    </row>
    <row r="98171" spans="1:6" x14ac:dyDescent="0.25">
      <c r="A98171"/>
      <c r="B98171"/>
      <c r="C98171"/>
      <c r="E98171"/>
      <c r="F98171"/>
    </row>
    <row r="98172" spans="1:6" x14ac:dyDescent="0.25">
      <c r="A98172"/>
      <c r="B98172"/>
      <c r="C98172"/>
      <c r="E98172"/>
      <c r="F98172"/>
    </row>
    <row r="98173" spans="1:6" x14ac:dyDescent="0.25">
      <c r="A98173"/>
      <c r="B98173"/>
      <c r="C98173"/>
      <c r="E98173"/>
      <c r="F98173"/>
    </row>
    <row r="98174" spans="1:6" x14ac:dyDescent="0.25">
      <c r="A98174"/>
      <c r="B98174"/>
      <c r="C98174"/>
      <c r="E98174"/>
      <c r="F98174"/>
    </row>
    <row r="98175" spans="1:6" x14ac:dyDescent="0.25">
      <c r="A98175"/>
      <c r="B98175"/>
      <c r="C98175"/>
      <c r="E98175"/>
      <c r="F98175"/>
    </row>
    <row r="98176" spans="1:6" x14ac:dyDescent="0.25">
      <c r="A98176"/>
      <c r="B98176"/>
      <c r="C98176"/>
      <c r="E98176"/>
      <c r="F98176"/>
    </row>
    <row r="98177" spans="1:6" x14ac:dyDescent="0.25">
      <c r="A98177"/>
      <c r="B98177"/>
      <c r="C98177"/>
      <c r="E98177"/>
      <c r="F98177"/>
    </row>
    <row r="98178" spans="1:6" x14ac:dyDescent="0.25">
      <c r="A98178"/>
      <c r="B98178"/>
      <c r="C98178"/>
      <c r="E98178"/>
      <c r="F98178"/>
    </row>
    <row r="98179" spans="1:6" x14ac:dyDescent="0.25">
      <c r="A98179"/>
      <c r="B98179"/>
      <c r="C98179"/>
      <c r="E98179"/>
      <c r="F98179"/>
    </row>
    <row r="98180" spans="1:6" x14ac:dyDescent="0.25">
      <c r="A98180"/>
      <c r="B98180"/>
      <c r="C98180"/>
      <c r="E98180"/>
      <c r="F98180"/>
    </row>
    <row r="98181" spans="1:6" x14ac:dyDescent="0.25">
      <c r="A98181"/>
      <c r="B98181"/>
      <c r="C98181"/>
      <c r="E98181"/>
      <c r="F98181"/>
    </row>
    <row r="98182" spans="1:6" x14ac:dyDescent="0.25">
      <c r="A98182"/>
      <c r="B98182"/>
      <c r="C98182"/>
      <c r="E98182"/>
      <c r="F98182"/>
    </row>
    <row r="98183" spans="1:6" x14ac:dyDescent="0.25">
      <c r="A98183"/>
      <c r="B98183"/>
      <c r="C98183"/>
      <c r="E98183"/>
      <c r="F98183"/>
    </row>
    <row r="98184" spans="1:6" x14ac:dyDescent="0.25">
      <c r="A98184"/>
      <c r="B98184"/>
      <c r="C98184"/>
      <c r="E98184"/>
      <c r="F98184"/>
    </row>
    <row r="98185" spans="1:6" x14ac:dyDescent="0.25">
      <c r="A98185"/>
      <c r="B98185"/>
      <c r="C98185"/>
      <c r="E98185"/>
      <c r="F98185"/>
    </row>
    <row r="98186" spans="1:6" x14ac:dyDescent="0.25">
      <c r="A98186"/>
      <c r="B98186"/>
      <c r="C98186"/>
      <c r="E98186"/>
      <c r="F98186"/>
    </row>
    <row r="98187" spans="1:6" x14ac:dyDescent="0.25">
      <c r="A98187"/>
      <c r="B98187"/>
      <c r="C98187"/>
      <c r="E98187"/>
      <c r="F98187"/>
    </row>
    <row r="98188" spans="1:6" x14ac:dyDescent="0.25">
      <c r="A98188"/>
      <c r="B98188"/>
      <c r="C98188"/>
      <c r="E98188"/>
      <c r="F98188"/>
    </row>
    <row r="98189" spans="1:6" x14ac:dyDescent="0.25">
      <c r="A98189"/>
      <c r="B98189"/>
      <c r="C98189"/>
      <c r="E98189"/>
      <c r="F98189"/>
    </row>
    <row r="98190" spans="1:6" x14ac:dyDescent="0.25">
      <c r="A98190"/>
      <c r="B98190"/>
      <c r="C98190"/>
      <c r="E98190"/>
      <c r="F98190"/>
    </row>
    <row r="98191" spans="1:6" x14ac:dyDescent="0.25">
      <c r="A98191"/>
      <c r="B98191"/>
      <c r="C98191"/>
      <c r="E98191"/>
      <c r="F98191"/>
    </row>
    <row r="98192" spans="1:6" x14ac:dyDescent="0.25">
      <c r="A98192"/>
      <c r="B98192"/>
      <c r="C98192"/>
      <c r="E98192"/>
      <c r="F98192"/>
    </row>
    <row r="98193" spans="1:6" x14ac:dyDescent="0.25">
      <c r="A98193"/>
      <c r="B98193"/>
      <c r="C98193"/>
      <c r="E98193"/>
      <c r="F98193"/>
    </row>
    <row r="98194" spans="1:6" x14ac:dyDescent="0.25">
      <c r="A98194"/>
      <c r="B98194"/>
      <c r="C98194"/>
      <c r="E98194"/>
      <c r="F98194"/>
    </row>
    <row r="98195" spans="1:6" x14ac:dyDescent="0.25">
      <c r="A98195"/>
      <c r="B98195"/>
      <c r="C98195"/>
      <c r="E98195"/>
      <c r="F98195"/>
    </row>
    <row r="98196" spans="1:6" x14ac:dyDescent="0.25">
      <c r="A98196"/>
      <c r="B98196"/>
      <c r="C98196"/>
      <c r="E98196"/>
      <c r="F98196"/>
    </row>
    <row r="98197" spans="1:6" x14ac:dyDescent="0.25">
      <c r="A98197"/>
      <c r="B98197"/>
      <c r="C98197"/>
      <c r="E98197"/>
      <c r="F98197"/>
    </row>
    <row r="98198" spans="1:6" x14ac:dyDescent="0.25">
      <c r="A98198"/>
      <c r="B98198"/>
      <c r="C98198"/>
      <c r="E98198"/>
      <c r="F98198"/>
    </row>
    <row r="98199" spans="1:6" x14ac:dyDescent="0.25">
      <c r="A98199"/>
      <c r="B98199"/>
      <c r="C98199"/>
      <c r="E98199"/>
      <c r="F98199"/>
    </row>
    <row r="98200" spans="1:6" x14ac:dyDescent="0.25">
      <c r="A98200"/>
      <c r="B98200"/>
      <c r="C98200"/>
      <c r="E98200"/>
      <c r="F98200"/>
    </row>
    <row r="98201" spans="1:6" x14ac:dyDescent="0.25">
      <c r="A98201"/>
      <c r="B98201"/>
      <c r="C98201"/>
      <c r="E98201"/>
      <c r="F98201"/>
    </row>
    <row r="98202" spans="1:6" x14ac:dyDescent="0.25">
      <c r="A98202"/>
      <c r="B98202"/>
      <c r="C98202"/>
      <c r="E98202"/>
      <c r="F98202"/>
    </row>
    <row r="98203" spans="1:6" x14ac:dyDescent="0.25">
      <c r="A98203"/>
      <c r="B98203"/>
      <c r="C98203"/>
      <c r="E98203"/>
      <c r="F98203"/>
    </row>
    <row r="98204" spans="1:6" x14ac:dyDescent="0.25">
      <c r="A98204"/>
      <c r="B98204"/>
      <c r="C98204"/>
      <c r="E98204"/>
      <c r="F98204"/>
    </row>
    <row r="98205" spans="1:6" x14ac:dyDescent="0.25">
      <c r="A98205"/>
      <c r="B98205"/>
      <c r="C98205"/>
      <c r="E98205"/>
      <c r="F98205"/>
    </row>
    <row r="98206" spans="1:6" x14ac:dyDescent="0.25">
      <c r="A98206"/>
      <c r="B98206"/>
      <c r="C98206"/>
      <c r="E98206"/>
      <c r="F98206"/>
    </row>
    <row r="98207" spans="1:6" x14ac:dyDescent="0.25">
      <c r="A98207"/>
      <c r="B98207"/>
      <c r="C98207"/>
      <c r="E98207"/>
      <c r="F98207"/>
    </row>
    <row r="98208" spans="1:6" x14ac:dyDescent="0.25">
      <c r="A98208"/>
      <c r="B98208"/>
      <c r="C98208"/>
      <c r="E98208"/>
      <c r="F98208"/>
    </row>
    <row r="98209" spans="1:6" x14ac:dyDescent="0.25">
      <c r="A98209"/>
      <c r="B98209"/>
      <c r="C98209"/>
      <c r="E98209"/>
      <c r="F98209"/>
    </row>
    <row r="98210" spans="1:6" x14ac:dyDescent="0.25">
      <c r="A98210"/>
      <c r="B98210"/>
      <c r="C98210"/>
      <c r="E98210"/>
      <c r="F98210"/>
    </row>
    <row r="98211" spans="1:6" x14ac:dyDescent="0.25">
      <c r="A98211"/>
      <c r="B98211"/>
      <c r="C98211"/>
      <c r="E98211"/>
      <c r="F98211"/>
    </row>
    <row r="98212" spans="1:6" x14ac:dyDescent="0.25">
      <c r="A98212"/>
      <c r="B98212"/>
      <c r="C98212"/>
      <c r="E98212"/>
      <c r="F98212"/>
    </row>
    <row r="98213" spans="1:6" x14ac:dyDescent="0.25">
      <c r="A98213"/>
      <c r="B98213"/>
      <c r="C98213"/>
      <c r="E98213"/>
      <c r="F98213"/>
    </row>
    <row r="98214" spans="1:6" x14ac:dyDescent="0.25">
      <c r="A98214"/>
      <c r="B98214"/>
      <c r="C98214"/>
      <c r="E98214"/>
      <c r="F98214"/>
    </row>
    <row r="98215" spans="1:6" x14ac:dyDescent="0.25">
      <c r="A98215"/>
      <c r="B98215"/>
      <c r="C98215"/>
      <c r="E98215"/>
      <c r="F98215"/>
    </row>
    <row r="98216" spans="1:6" x14ac:dyDescent="0.25">
      <c r="A98216"/>
      <c r="B98216"/>
      <c r="C98216"/>
      <c r="E98216"/>
      <c r="F98216"/>
    </row>
    <row r="98217" spans="1:6" x14ac:dyDescent="0.25">
      <c r="A98217"/>
      <c r="B98217"/>
      <c r="C98217"/>
      <c r="E98217"/>
      <c r="F98217"/>
    </row>
    <row r="98218" spans="1:6" x14ac:dyDescent="0.25">
      <c r="A98218"/>
      <c r="B98218"/>
      <c r="C98218"/>
      <c r="E98218"/>
      <c r="F98218"/>
    </row>
    <row r="98219" spans="1:6" x14ac:dyDescent="0.25">
      <c r="A98219"/>
      <c r="B98219"/>
      <c r="C98219"/>
      <c r="E98219"/>
      <c r="F98219"/>
    </row>
    <row r="98220" spans="1:6" x14ac:dyDescent="0.25">
      <c r="A98220"/>
      <c r="B98220"/>
      <c r="C98220"/>
      <c r="E98220"/>
      <c r="F98220"/>
    </row>
    <row r="98221" spans="1:6" x14ac:dyDescent="0.25">
      <c r="A98221"/>
      <c r="B98221"/>
      <c r="C98221"/>
      <c r="E98221"/>
      <c r="F98221"/>
    </row>
    <row r="98222" spans="1:6" x14ac:dyDescent="0.25">
      <c r="A98222"/>
      <c r="B98222"/>
      <c r="C98222"/>
      <c r="E98222"/>
      <c r="F98222"/>
    </row>
    <row r="98223" spans="1:6" x14ac:dyDescent="0.25">
      <c r="A98223"/>
      <c r="B98223"/>
      <c r="C98223"/>
      <c r="E98223"/>
      <c r="F98223"/>
    </row>
    <row r="98224" spans="1:6" x14ac:dyDescent="0.25">
      <c r="A98224"/>
      <c r="B98224"/>
      <c r="C98224"/>
      <c r="E98224"/>
      <c r="F98224"/>
    </row>
    <row r="98225" spans="1:6" x14ac:dyDescent="0.25">
      <c r="A98225"/>
      <c r="B98225"/>
      <c r="C98225"/>
      <c r="E98225"/>
      <c r="F98225"/>
    </row>
    <row r="98226" spans="1:6" x14ac:dyDescent="0.25">
      <c r="A98226"/>
      <c r="B98226"/>
      <c r="C98226"/>
      <c r="E98226"/>
      <c r="F98226"/>
    </row>
    <row r="98227" spans="1:6" x14ac:dyDescent="0.25">
      <c r="A98227"/>
      <c r="B98227"/>
      <c r="C98227"/>
      <c r="E98227"/>
      <c r="F98227"/>
    </row>
    <row r="98228" spans="1:6" x14ac:dyDescent="0.25">
      <c r="A98228"/>
      <c r="B98228"/>
      <c r="C98228"/>
      <c r="E98228"/>
      <c r="F98228"/>
    </row>
    <row r="98229" spans="1:6" x14ac:dyDescent="0.25">
      <c r="A98229"/>
      <c r="B98229"/>
      <c r="C98229"/>
      <c r="E98229"/>
      <c r="F98229"/>
    </row>
    <row r="98230" spans="1:6" x14ac:dyDescent="0.25">
      <c r="A98230"/>
      <c r="B98230"/>
      <c r="C98230"/>
      <c r="E98230"/>
      <c r="F98230"/>
    </row>
    <row r="98231" spans="1:6" x14ac:dyDescent="0.25">
      <c r="A98231"/>
      <c r="B98231"/>
      <c r="C98231"/>
      <c r="E98231"/>
      <c r="F98231"/>
    </row>
    <row r="98232" spans="1:6" x14ac:dyDescent="0.25">
      <c r="A98232"/>
      <c r="B98232"/>
      <c r="C98232"/>
      <c r="E98232"/>
      <c r="F98232"/>
    </row>
    <row r="98233" spans="1:6" x14ac:dyDescent="0.25">
      <c r="A98233"/>
      <c r="B98233"/>
      <c r="C98233"/>
      <c r="E98233"/>
      <c r="F98233"/>
    </row>
    <row r="98234" spans="1:6" x14ac:dyDescent="0.25">
      <c r="A98234"/>
      <c r="B98234"/>
      <c r="C98234"/>
      <c r="E98234"/>
      <c r="F98234"/>
    </row>
    <row r="98235" spans="1:6" x14ac:dyDescent="0.25">
      <c r="A98235"/>
      <c r="B98235"/>
      <c r="C98235"/>
      <c r="E98235"/>
      <c r="F98235"/>
    </row>
    <row r="98236" spans="1:6" x14ac:dyDescent="0.25">
      <c r="A98236"/>
      <c r="B98236"/>
      <c r="C98236"/>
      <c r="E98236"/>
      <c r="F98236"/>
    </row>
    <row r="98237" spans="1:6" x14ac:dyDescent="0.25">
      <c r="A98237"/>
      <c r="B98237"/>
      <c r="C98237"/>
      <c r="E98237"/>
      <c r="F98237"/>
    </row>
    <row r="98238" spans="1:6" x14ac:dyDescent="0.25">
      <c r="A98238"/>
      <c r="B98238"/>
      <c r="C98238"/>
      <c r="E98238"/>
      <c r="F98238"/>
    </row>
    <row r="98239" spans="1:6" x14ac:dyDescent="0.25">
      <c r="A98239"/>
      <c r="B98239"/>
      <c r="C98239"/>
      <c r="E98239"/>
      <c r="F98239"/>
    </row>
    <row r="98240" spans="1:6" x14ac:dyDescent="0.25">
      <c r="A98240"/>
      <c r="B98240"/>
      <c r="C98240"/>
      <c r="E98240"/>
      <c r="F98240"/>
    </row>
    <row r="98241" spans="1:6" x14ac:dyDescent="0.25">
      <c r="A98241"/>
      <c r="B98241"/>
      <c r="C98241"/>
      <c r="E98241"/>
      <c r="F98241"/>
    </row>
    <row r="98242" spans="1:6" x14ac:dyDescent="0.25">
      <c r="A98242"/>
      <c r="B98242"/>
      <c r="C98242"/>
      <c r="E98242"/>
      <c r="F98242"/>
    </row>
    <row r="98243" spans="1:6" x14ac:dyDescent="0.25">
      <c r="A98243"/>
      <c r="B98243"/>
      <c r="C98243"/>
      <c r="E98243"/>
      <c r="F98243"/>
    </row>
    <row r="98244" spans="1:6" x14ac:dyDescent="0.25">
      <c r="A98244"/>
      <c r="B98244"/>
      <c r="C98244"/>
      <c r="E98244"/>
      <c r="F98244"/>
    </row>
    <row r="98245" spans="1:6" x14ac:dyDescent="0.25">
      <c r="A98245"/>
      <c r="B98245"/>
      <c r="C98245"/>
      <c r="E98245"/>
      <c r="F98245"/>
    </row>
    <row r="98246" spans="1:6" x14ac:dyDescent="0.25">
      <c r="A98246"/>
      <c r="B98246"/>
      <c r="C98246"/>
      <c r="E98246"/>
      <c r="F98246"/>
    </row>
    <row r="98247" spans="1:6" x14ac:dyDescent="0.25">
      <c r="A98247"/>
      <c r="B98247"/>
      <c r="C98247"/>
      <c r="E98247"/>
      <c r="F98247"/>
    </row>
    <row r="98248" spans="1:6" x14ac:dyDescent="0.25">
      <c r="A98248"/>
      <c r="B98248"/>
      <c r="C98248"/>
      <c r="E98248"/>
      <c r="F98248"/>
    </row>
    <row r="98249" spans="1:6" x14ac:dyDescent="0.25">
      <c r="A98249"/>
      <c r="B98249"/>
      <c r="C98249"/>
      <c r="E98249"/>
      <c r="F98249"/>
    </row>
    <row r="98250" spans="1:6" x14ac:dyDescent="0.25">
      <c r="A98250"/>
      <c r="B98250"/>
      <c r="C98250"/>
      <c r="E98250"/>
      <c r="F98250"/>
    </row>
    <row r="98251" spans="1:6" x14ac:dyDescent="0.25">
      <c r="A98251"/>
      <c r="B98251"/>
      <c r="C98251"/>
      <c r="E98251"/>
      <c r="F98251"/>
    </row>
    <row r="98252" spans="1:6" x14ac:dyDescent="0.25">
      <c r="A98252"/>
      <c r="B98252"/>
      <c r="C98252"/>
      <c r="E98252"/>
      <c r="F98252"/>
    </row>
    <row r="98253" spans="1:6" x14ac:dyDescent="0.25">
      <c r="A98253"/>
      <c r="B98253"/>
      <c r="C98253"/>
      <c r="E98253"/>
      <c r="F98253"/>
    </row>
    <row r="98254" spans="1:6" x14ac:dyDescent="0.25">
      <c r="A98254"/>
      <c r="B98254"/>
      <c r="C98254"/>
      <c r="E98254"/>
      <c r="F98254"/>
    </row>
    <row r="98255" spans="1:6" x14ac:dyDescent="0.25">
      <c r="A98255"/>
      <c r="B98255"/>
      <c r="C98255"/>
      <c r="E98255"/>
      <c r="F98255"/>
    </row>
    <row r="98256" spans="1:6" x14ac:dyDescent="0.25">
      <c r="A98256"/>
      <c r="B98256"/>
      <c r="C98256"/>
      <c r="E98256"/>
      <c r="F98256"/>
    </row>
    <row r="98257" spans="1:6" x14ac:dyDescent="0.25">
      <c r="A98257"/>
      <c r="B98257"/>
      <c r="C98257"/>
      <c r="E98257"/>
      <c r="F98257"/>
    </row>
    <row r="98258" spans="1:6" x14ac:dyDescent="0.25">
      <c r="A98258"/>
      <c r="B98258"/>
      <c r="C98258"/>
      <c r="E98258"/>
      <c r="F98258"/>
    </row>
    <row r="98259" spans="1:6" x14ac:dyDescent="0.25">
      <c r="A98259"/>
      <c r="B98259"/>
      <c r="C98259"/>
      <c r="E98259"/>
      <c r="F98259"/>
    </row>
    <row r="98260" spans="1:6" x14ac:dyDescent="0.25">
      <c r="A98260"/>
      <c r="B98260"/>
      <c r="C98260"/>
      <c r="E98260"/>
      <c r="F98260"/>
    </row>
    <row r="98261" spans="1:6" x14ac:dyDescent="0.25">
      <c r="A98261"/>
      <c r="B98261"/>
      <c r="C98261"/>
      <c r="E98261"/>
      <c r="F98261"/>
    </row>
    <row r="98262" spans="1:6" x14ac:dyDescent="0.25">
      <c r="A98262"/>
      <c r="B98262"/>
      <c r="C98262"/>
      <c r="E98262"/>
      <c r="F98262"/>
    </row>
    <row r="98263" spans="1:6" x14ac:dyDescent="0.25">
      <c r="A98263"/>
      <c r="B98263"/>
      <c r="C98263"/>
      <c r="E98263"/>
      <c r="F98263"/>
    </row>
    <row r="98264" spans="1:6" x14ac:dyDescent="0.25">
      <c r="A98264"/>
      <c r="B98264"/>
      <c r="C98264"/>
      <c r="E98264"/>
      <c r="F98264"/>
    </row>
    <row r="98265" spans="1:6" x14ac:dyDescent="0.25">
      <c r="A98265"/>
      <c r="B98265"/>
      <c r="C98265"/>
      <c r="E98265"/>
      <c r="F98265"/>
    </row>
    <row r="98266" spans="1:6" x14ac:dyDescent="0.25">
      <c r="A98266"/>
      <c r="B98266"/>
      <c r="C98266"/>
      <c r="E98266"/>
      <c r="F98266"/>
    </row>
    <row r="98267" spans="1:6" x14ac:dyDescent="0.25">
      <c r="A98267"/>
      <c r="B98267"/>
      <c r="C98267"/>
      <c r="E98267"/>
      <c r="F98267"/>
    </row>
    <row r="98268" spans="1:6" x14ac:dyDescent="0.25">
      <c r="A98268"/>
      <c r="B98268"/>
      <c r="C98268"/>
      <c r="E98268"/>
      <c r="F98268"/>
    </row>
    <row r="98269" spans="1:6" x14ac:dyDescent="0.25">
      <c r="A98269"/>
      <c r="B98269"/>
      <c r="C98269"/>
      <c r="E98269"/>
      <c r="F98269"/>
    </row>
    <row r="98270" spans="1:6" x14ac:dyDescent="0.25">
      <c r="A98270"/>
      <c r="B98270"/>
      <c r="C98270"/>
      <c r="E98270"/>
      <c r="F98270"/>
    </row>
    <row r="98271" spans="1:6" x14ac:dyDescent="0.25">
      <c r="A98271"/>
      <c r="B98271"/>
      <c r="C98271"/>
      <c r="E98271"/>
      <c r="F98271"/>
    </row>
    <row r="98272" spans="1:6" x14ac:dyDescent="0.25">
      <c r="A98272"/>
      <c r="B98272"/>
      <c r="C98272"/>
      <c r="E98272"/>
      <c r="F98272"/>
    </row>
    <row r="98273" spans="1:6" x14ac:dyDescent="0.25">
      <c r="A98273"/>
      <c r="B98273"/>
      <c r="C98273"/>
      <c r="E98273"/>
      <c r="F98273"/>
    </row>
    <row r="98274" spans="1:6" x14ac:dyDescent="0.25">
      <c r="A98274"/>
      <c r="B98274"/>
      <c r="C98274"/>
      <c r="E98274"/>
      <c r="F98274"/>
    </row>
    <row r="98275" spans="1:6" x14ac:dyDescent="0.25">
      <c r="A98275"/>
      <c r="B98275"/>
      <c r="C98275"/>
      <c r="E98275"/>
      <c r="F98275"/>
    </row>
    <row r="98276" spans="1:6" x14ac:dyDescent="0.25">
      <c r="A98276"/>
      <c r="B98276"/>
      <c r="C98276"/>
      <c r="E98276"/>
      <c r="F98276"/>
    </row>
    <row r="98277" spans="1:6" x14ac:dyDescent="0.25">
      <c r="A98277"/>
      <c r="B98277"/>
      <c r="C98277"/>
      <c r="E98277"/>
      <c r="F98277"/>
    </row>
    <row r="98278" spans="1:6" x14ac:dyDescent="0.25">
      <c r="A98278"/>
      <c r="B98278"/>
      <c r="C98278"/>
      <c r="E98278"/>
      <c r="F98278"/>
    </row>
    <row r="98279" spans="1:6" x14ac:dyDescent="0.25">
      <c r="A98279"/>
      <c r="B98279"/>
      <c r="C98279"/>
      <c r="E98279"/>
      <c r="F98279"/>
    </row>
    <row r="98280" spans="1:6" x14ac:dyDescent="0.25">
      <c r="A98280"/>
      <c r="B98280"/>
      <c r="C98280"/>
      <c r="E98280"/>
      <c r="F98280"/>
    </row>
    <row r="98281" spans="1:6" x14ac:dyDescent="0.25">
      <c r="A98281"/>
      <c r="B98281"/>
      <c r="C98281"/>
      <c r="E98281"/>
      <c r="F98281"/>
    </row>
    <row r="98282" spans="1:6" x14ac:dyDescent="0.25">
      <c r="A98282"/>
      <c r="B98282"/>
      <c r="C98282"/>
      <c r="E98282"/>
      <c r="F98282"/>
    </row>
    <row r="98283" spans="1:6" x14ac:dyDescent="0.25">
      <c r="A98283"/>
      <c r="B98283"/>
      <c r="C98283"/>
      <c r="E98283"/>
      <c r="F98283"/>
    </row>
    <row r="98284" spans="1:6" x14ac:dyDescent="0.25">
      <c r="A98284"/>
      <c r="B98284"/>
      <c r="C98284"/>
      <c r="E98284"/>
      <c r="F98284"/>
    </row>
    <row r="98285" spans="1:6" x14ac:dyDescent="0.25">
      <c r="A98285"/>
      <c r="B98285"/>
      <c r="C98285"/>
      <c r="E98285"/>
      <c r="F98285"/>
    </row>
    <row r="98286" spans="1:6" x14ac:dyDescent="0.25">
      <c r="A98286"/>
      <c r="B98286"/>
      <c r="C98286"/>
      <c r="E98286"/>
      <c r="F98286"/>
    </row>
    <row r="98287" spans="1:6" x14ac:dyDescent="0.25">
      <c r="A98287"/>
      <c r="B98287"/>
      <c r="C98287"/>
      <c r="E98287"/>
      <c r="F98287"/>
    </row>
    <row r="98288" spans="1:6" x14ac:dyDescent="0.25">
      <c r="A98288"/>
      <c r="B98288"/>
      <c r="C98288"/>
      <c r="E98288"/>
      <c r="F98288"/>
    </row>
    <row r="98289" spans="1:6" x14ac:dyDescent="0.25">
      <c r="A98289"/>
      <c r="B98289"/>
      <c r="C98289"/>
      <c r="E98289"/>
      <c r="F98289"/>
    </row>
    <row r="98290" spans="1:6" x14ac:dyDescent="0.25">
      <c r="A98290"/>
      <c r="B98290"/>
      <c r="C98290"/>
      <c r="E98290"/>
      <c r="F98290"/>
    </row>
    <row r="98291" spans="1:6" x14ac:dyDescent="0.25">
      <c r="A98291"/>
      <c r="B98291"/>
      <c r="C98291"/>
      <c r="E98291"/>
      <c r="F98291"/>
    </row>
    <row r="98292" spans="1:6" x14ac:dyDescent="0.25">
      <c r="A98292"/>
      <c r="B98292"/>
      <c r="C98292"/>
      <c r="E98292"/>
      <c r="F98292"/>
    </row>
    <row r="98293" spans="1:6" x14ac:dyDescent="0.25">
      <c r="A98293"/>
      <c r="B98293"/>
      <c r="C98293"/>
      <c r="E98293"/>
      <c r="F98293"/>
    </row>
    <row r="98294" spans="1:6" x14ac:dyDescent="0.25">
      <c r="A98294"/>
      <c r="B98294"/>
      <c r="C98294"/>
      <c r="E98294"/>
      <c r="F98294"/>
    </row>
    <row r="98295" spans="1:6" x14ac:dyDescent="0.25">
      <c r="A98295"/>
      <c r="B98295"/>
      <c r="C98295"/>
      <c r="E98295"/>
      <c r="F98295"/>
    </row>
    <row r="98296" spans="1:6" x14ac:dyDescent="0.25">
      <c r="A98296"/>
      <c r="B98296"/>
      <c r="C98296"/>
      <c r="E98296"/>
      <c r="F98296"/>
    </row>
    <row r="98297" spans="1:6" x14ac:dyDescent="0.25">
      <c r="A98297"/>
      <c r="B98297"/>
      <c r="C98297"/>
      <c r="E98297"/>
      <c r="F98297"/>
    </row>
    <row r="98298" spans="1:6" x14ac:dyDescent="0.25">
      <c r="A98298"/>
      <c r="B98298"/>
      <c r="C98298"/>
      <c r="E98298"/>
      <c r="F98298"/>
    </row>
    <row r="98299" spans="1:6" x14ac:dyDescent="0.25">
      <c r="A98299"/>
      <c r="B98299"/>
      <c r="C98299"/>
      <c r="E98299"/>
      <c r="F98299"/>
    </row>
    <row r="98300" spans="1:6" x14ac:dyDescent="0.25">
      <c r="A98300"/>
      <c r="B98300"/>
      <c r="C98300"/>
      <c r="E98300"/>
      <c r="F98300"/>
    </row>
    <row r="98301" spans="1:6" x14ac:dyDescent="0.25">
      <c r="A98301"/>
      <c r="B98301"/>
      <c r="C98301"/>
      <c r="E98301"/>
      <c r="F98301"/>
    </row>
    <row r="98302" spans="1:6" x14ac:dyDescent="0.25">
      <c r="A98302"/>
      <c r="B98302"/>
      <c r="C98302"/>
      <c r="E98302"/>
      <c r="F98302"/>
    </row>
    <row r="98303" spans="1:6" x14ac:dyDescent="0.25">
      <c r="A98303"/>
      <c r="B98303"/>
      <c r="C98303"/>
      <c r="E98303"/>
      <c r="F98303"/>
    </row>
    <row r="98304" spans="1:6" x14ac:dyDescent="0.25">
      <c r="A98304"/>
      <c r="B98304"/>
      <c r="C98304"/>
      <c r="E98304"/>
      <c r="F98304"/>
    </row>
    <row r="98305" spans="1:6" x14ac:dyDescent="0.25">
      <c r="A98305"/>
      <c r="B98305"/>
      <c r="C98305"/>
      <c r="E98305"/>
      <c r="F98305"/>
    </row>
    <row r="98306" spans="1:6" x14ac:dyDescent="0.25">
      <c r="A98306"/>
      <c r="B98306"/>
      <c r="C98306"/>
      <c r="E98306"/>
      <c r="F98306"/>
    </row>
    <row r="98307" spans="1:6" x14ac:dyDescent="0.25">
      <c r="A98307"/>
      <c r="B98307"/>
      <c r="C98307"/>
      <c r="E98307"/>
      <c r="F98307"/>
    </row>
    <row r="98308" spans="1:6" x14ac:dyDescent="0.25">
      <c r="A98308"/>
      <c r="B98308"/>
      <c r="C98308"/>
      <c r="E98308"/>
      <c r="F98308"/>
    </row>
    <row r="98309" spans="1:6" x14ac:dyDescent="0.25">
      <c r="A98309"/>
      <c r="B98309"/>
      <c r="C98309"/>
      <c r="E98309"/>
      <c r="F98309"/>
    </row>
    <row r="98310" spans="1:6" x14ac:dyDescent="0.25">
      <c r="A98310"/>
      <c r="B98310"/>
      <c r="C98310"/>
      <c r="E98310"/>
      <c r="F98310"/>
    </row>
    <row r="98311" spans="1:6" x14ac:dyDescent="0.25">
      <c r="A98311"/>
      <c r="B98311"/>
      <c r="C98311"/>
      <c r="E98311"/>
      <c r="F98311"/>
    </row>
    <row r="98312" spans="1:6" x14ac:dyDescent="0.25">
      <c r="A98312"/>
      <c r="B98312"/>
      <c r="C98312"/>
      <c r="E98312"/>
      <c r="F98312"/>
    </row>
    <row r="98313" spans="1:6" x14ac:dyDescent="0.25">
      <c r="A98313"/>
      <c r="B98313"/>
      <c r="C98313"/>
      <c r="E98313"/>
      <c r="F98313"/>
    </row>
    <row r="98314" spans="1:6" x14ac:dyDescent="0.25">
      <c r="A98314"/>
      <c r="B98314"/>
      <c r="C98314"/>
      <c r="E98314"/>
      <c r="F98314"/>
    </row>
    <row r="98315" spans="1:6" x14ac:dyDescent="0.25">
      <c r="A98315"/>
      <c r="B98315"/>
      <c r="C98315"/>
      <c r="E98315"/>
      <c r="F98315"/>
    </row>
    <row r="98316" spans="1:6" x14ac:dyDescent="0.25">
      <c r="A98316"/>
      <c r="B98316"/>
      <c r="C98316"/>
      <c r="E98316"/>
      <c r="F98316"/>
    </row>
    <row r="98317" spans="1:6" x14ac:dyDescent="0.25">
      <c r="A98317"/>
      <c r="B98317"/>
      <c r="C98317"/>
      <c r="E98317"/>
      <c r="F98317"/>
    </row>
    <row r="98318" spans="1:6" x14ac:dyDescent="0.25">
      <c r="A98318"/>
      <c r="B98318"/>
      <c r="C98318"/>
      <c r="E98318"/>
      <c r="F98318"/>
    </row>
    <row r="98319" spans="1:6" x14ac:dyDescent="0.25">
      <c r="A98319"/>
      <c r="B98319"/>
      <c r="C98319"/>
      <c r="E98319"/>
      <c r="F98319"/>
    </row>
    <row r="98320" spans="1:6" x14ac:dyDescent="0.25">
      <c r="A98320"/>
      <c r="B98320"/>
      <c r="C98320"/>
      <c r="E98320"/>
      <c r="F98320"/>
    </row>
    <row r="98321" spans="1:6" x14ac:dyDescent="0.25">
      <c r="A98321"/>
      <c r="B98321"/>
      <c r="C98321"/>
      <c r="E98321"/>
      <c r="F98321"/>
    </row>
    <row r="98322" spans="1:6" x14ac:dyDescent="0.25">
      <c r="A98322"/>
      <c r="B98322"/>
      <c r="C98322"/>
      <c r="E98322"/>
      <c r="F98322"/>
    </row>
    <row r="98323" spans="1:6" x14ac:dyDescent="0.25">
      <c r="A98323"/>
      <c r="B98323"/>
      <c r="C98323"/>
      <c r="E98323"/>
      <c r="F98323"/>
    </row>
    <row r="98324" spans="1:6" x14ac:dyDescent="0.25">
      <c r="A98324"/>
      <c r="B98324"/>
      <c r="C98324"/>
      <c r="E98324"/>
      <c r="F98324"/>
    </row>
    <row r="98325" spans="1:6" x14ac:dyDescent="0.25">
      <c r="A98325"/>
      <c r="B98325"/>
      <c r="C98325"/>
      <c r="E98325"/>
      <c r="F98325"/>
    </row>
    <row r="98326" spans="1:6" x14ac:dyDescent="0.25">
      <c r="A98326"/>
      <c r="B98326"/>
      <c r="C98326"/>
      <c r="E98326"/>
      <c r="F98326"/>
    </row>
    <row r="98327" spans="1:6" x14ac:dyDescent="0.25">
      <c r="A98327"/>
      <c r="B98327"/>
      <c r="C98327"/>
      <c r="E98327"/>
      <c r="F98327"/>
    </row>
    <row r="98328" spans="1:6" x14ac:dyDescent="0.25">
      <c r="A98328"/>
      <c r="B98328"/>
      <c r="C98328"/>
      <c r="E98328"/>
      <c r="F98328"/>
    </row>
    <row r="98329" spans="1:6" x14ac:dyDescent="0.25">
      <c r="A98329"/>
      <c r="B98329"/>
      <c r="C98329"/>
      <c r="E98329"/>
      <c r="F98329"/>
    </row>
    <row r="98330" spans="1:6" x14ac:dyDescent="0.25">
      <c r="A98330"/>
      <c r="B98330"/>
      <c r="C98330"/>
      <c r="E98330"/>
      <c r="F98330"/>
    </row>
    <row r="98331" spans="1:6" x14ac:dyDescent="0.25">
      <c r="A98331"/>
      <c r="B98331"/>
      <c r="C98331"/>
      <c r="E98331"/>
      <c r="F98331"/>
    </row>
    <row r="98332" spans="1:6" x14ac:dyDescent="0.25">
      <c r="A98332"/>
      <c r="B98332"/>
      <c r="C98332"/>
      <c r="E98332"/>
      <c r="F98332"/>
    </row>
    <row r="98333" spans="1:6" x14ac:dyDescent="0.25">
      <c r="A98333"/>
      <c r="B98333"/>
      <c r="C98333"/>
      <c r="E98333"/>
      <c r="F98333"/>
    </row>
    <row r="98334" spans="1:6" x14ac:dyDescent="0.25">
      <c r="A98334"/>
      <c r="B98334"/>
      <c r="C98334"/>
      <c r="E98334"/>
      <c r="F98334"/>
    </row>
    <row r="98335" spans="1:6" x14ac:dyDescent="0.25">
      <c r="A98335"/>
      <c r="B98335"/>
      <c r="C98335"/>
      <c r="E98335"/>
      <c r="F98335"/>
    </row>
    <row r="98336" spans="1:6" x14ac:dyDescent="0.25">
      <c r="A98336"/>
      <c r="B98336"/>
      <c r="C98336"/>
      <c r="E98336"/>
      <c r="F98336"/>
    </row>
    <row r="98337" spans="1:6" x14ac:dyDescent="0.25">
      <c r="A98337"/>
      <c r="B98337"/>
      <c r="C98337"/>
      <c r="E98337"/>
      <c r="F98337"/>
    </row>
    <row r="98338" spans="1:6" x14ac:dyDescent="0.25">
      <c r="A98338"/>
      <c r="B98338"/>
      <c r="C98338"/>
      <c r="E98338"/>
      <c r="F98338"/>
    </row>
    <row r="98339" spans="1:6" x14ac:dyDescent="0.25">
      <c r="A98339"/>
      <c r="B98339"/>
      <c r="C98339"/>
      <c r="E98339"/>
      <c r="F98339"/>
    </row>
    <row r="98340" spans="1:6" x14ac:dyDescent="0.25">
      <c r="A98340"/>
      <c r="B98340"/>
      <c r="C98340"/>
      <c r="E98340"/>
      <c r="F98340"/>
    </row>
    <row r="98341" spans="1:6" x14ac:dyDescent="0.25">
      <c r="A98341"/>
      <c r="B98341"/>
      <c r="C98341"/>
      <c r="E98341"/>
      <c r="F98341"/>
    </row>
    <row r="98342" spans="1:6" x14ac:dyDescent="0.25">
      <c r="A98342"/>
      <c r="B98342"/>
      <c r="C98342"/>
      <c r="E98342"/>
      <c r="F98342"/>
    </row>
    <row r="98343" spans="1:6" x14ac:dyDescent="0.25">
      <c r="A98343"/>
      <c r="B98343"/>
      <c r="C98343"/>
      <c r="E98343"/>
      <c r="F98343"/>
    </row>
    <row r="98344" spans="1:6" x14ac:dyDescent="0.25">
      <c r="A98344"/>
      <c r="B98344"/>
      <c r="C98344"/>
      <c r="E98344"/>
      <c r="F98344"/>
    </row>
    <row r="98345" spans="1:6" x14ac:dyDescent="0.25">
      <c r="A98345"/>
      <c r="B98345"/>
      <c r="C98345"/>
      <c r="E98345"/>
      <c r="F98345"/>
    </row>
    <row r="98346" spans="1:6" x14ac:dyDescent="0.25">
      <c r="A98346"/>
      <c r="B98346"/>
      <c r="C98346"/>
      <c r="E98346"/>
      <c r="F98346"/>
    </row>
    <row r="98347" spans="1:6" x14ac:dyDescent="0.25">
      <c r="A98347"/>
      <c r="B98347"/>
      <c r="C98347"/>
      <c r="E98347"/>
      <c r="F98347"/>
    </row>
    <row r="98348" spans="1:6" x14ac:dyDescent="0.25">
      <c r="A98348"/>
      <c r="B98348"/>
      <c r="C98348"/>
      <c r="E98348"/>
      <c r="F98348"/>
    </row>
    <row r="98349" spans="1:6" x14ac:dyDescent="0.25">
      <c r="A98349"/>
      <c r="B98349"/>
      <c r="C98349"/>
      <c r="E98349"/>
      <c r="F98349"/>
    </row>
    <row r="98350" spans="1:6" x14ac:dyDescent="0.25">
      <c r="A98350"/>
      <c r="B98350"/>
      <c r="C98350"/>
      <c r="E98350"/>
      <c r="F98350"/>
    </row>
    <row r="98351" spans="1:6" x14ac:dyDescent="0.25">
      <c r="A98351"/>
      <c r="B98351"/>
      <c r="C98351"/>
      <c r="E98351"/>
      <c r="F98351"/>
    </row>
    <row r="98352" spans="1:6" x14ac:dyDescent="0.25">
      <c r="A98352"/>
      <c r="B98352"/>
      <c r="C98352"/>
      <c r="E98352"/>
      <c r="F98352"/>
    </row>
    <row r="98353" spans="1:6" x14ac:dyDescent="0.25">
      <c r="A98353"/>
      <c r="B98353"/>
      <c r="C98353"/>
      <c r="E98353"/>
      <c r="F98353"/>
    </row>
    <row r="98354" spans="1:6" x14ac:dyDescent="0.25">
      <c r="A98354"/>
      <c r="B98354"/>
      <c r="C98354"/>
      <c r="E98354"/>
      <c r="F98354"/>
    </row>
    <row r="98355" spans="1:6" x14ac:dyDescent="0.25">
      <c r="A98355"/>
      <c r="B98355"/>
      <c r="C98355"/>
      <c r="E98355"/>
      <c r="F98355"/>
    </row>
    <row r="98356" spans="1:6" x14ac:dyDescent="0.25">
      <c r="A98356"/>
      <c r="B98356"/>
      <c r="C98356"/>
      <c r="E98356"/>
      <c r="F98356"/>
    </row>
    <row r="98357" spans="1:6" x14ac:dyDescent="0.25">
      <c r="A98357"/>
      <c r="B98357"/>
      <c r="C98357"/>
      <c r="E98357"/>
      <c r="F98357"/>
    </row>
    <row r="98358" spans="1:6" x14ac:dyDescent="0.25">
      <c r="A98358"/>
      <c r="B98358"/>
      <c r="C98358"/>
      <c r="E98358"/>
      <c r="F98358"/>
    </row>
    <row r="98359" spans="1:6" x14ac:dyDescent="0.25">
      <c r="A98359"/>
      <c r="B98359"/>
      <c r="C98359"/>
      <c r="E98359"/>
      <c r="F98359"/>
    </row>
    <row r="98360" spans="1:6" x14ac:dyDescent="0.25">
      <c r="A98360"/>
      <c r="B98360"/>
      <c r="C98360"/>
      <c r="E98360"/>
      <c r="F98360"/>
    </row>
    <row r="98361" spans="1:6" x14ac:dyDescent="0.25">
      <c r="A98361"/>
      <c r="B98361"/>
      <c r="C98361"/>
      <c r="E98361"/>
      <c r="F98361"/>
    </row>
    <row r="98362" spans="1:6" x14ac:dyDescent="0.25">
      <c r="A98362"/>
      <c r="B98362"/>
      <c r="C98362"/>
      <c r="E98362"/>
      <c r="F98362"/>
    </row>
    <row r="98363" spans="1:6" x14ac:dyDescent="0.25">
      <c r="A98363"/>
      <c r="B98363"/>
      <c r="C98363"/>
      <c r="E98363"/>
      <c r="F98363"/>
    </row>
    <row r="98364" spans="1:6" x14ac:dyDescent="0.25">
      <c r="A98364"/>
      <c r="B98364"/>
      <c r="C98364"/>
      <c r="E98364"/>
      <c r="F98364"/>
    </row>
    <row r="98365" spans="1:6" x14ac:dyDescent="0.25">
      <c r="A98365"/>
      <c r="B98365"/>
      <c r="C98365"/>
      <c r="E98365"/>
      <c r="F98365"/>
    </row>
    <row r="98366" spans="1:6" x14ac:dyDescent="0.25">
      <c r="A98366"/>
      <c r="B98366"/>
      <c r="C98366"/>
      <c r="E98366"/>
      <c r="F98366"/>
    </row>
    <row r="98367" spans="1:6" x14ac:dyDescent="0.25">
      <c r="A98367"/>
      <c r="B98367"/>
      <c r="C98367"/>
      <c r="E98367"/>
      <c r="F98367"/>
    </row>
    <row r="98368" spans="1:6" x14ac:dyDescent="0.25">
      <c r="A98368"/>
      <c r="B98368"/>
      <c r="C98368"/>
      <c r="E98368"/>
      <c r="F98368"/>
    </row>
    <row r="98369" spans="1:6" x14ac:dyDescent="0.25">
      <c r="A98369"/>
      <c r="B98369"/>
      <c r="C98369"/>
      <c r="E98369"/>
      <c r="F98369"/>
    </row>
    <row r="98370" spans="1:6" x14ac:dyDescent="0.25">
      <c r="A98370"/>
      <c r="B98370"/>
      <c r="C98370"/>
      <c r="E98370"/>
      <c r="F98370"/>
    </row>
    <row r="98371" spans="1:6" x14ac:dyDescent="0.25">
      <c r="A98371"/>
      <c r="B98371"/>
      <c r="C98371"/>
      <c r="E98371"/>
      <c r="F98371"/>
    </row>
    <row r="98372" spans="1:6" x14ac:dyDescent="0.25">
      <c r="A98372"/>
      <c r="B98372"/>
      <c r="C98372"/>
      <c r="E98372"/>
      <c r="F98372"/>
    </row>
    <row r="98373" spans="1:6" x14ac:dyDescent="0.25">
      <c r="A98373"/>
      <c r="B98373"/>
      <c r="C98373"/>
      <c r="E98373"/>
      <c r="F98373"/>
    </row>
    <row r="98374" spans="1:6" x14ac:dyDescent="0.25">
      <c r="A98374"/>
      <c r="B98374"/>
      <c r="C98374"/>
      <c r="E98374"/>
      <c r="F98374"/>
    </row>
    <row r="98375" spans="1:6" x14ac:dyDescent="0.25">
      <c r="A98375"/>
      <c r="B98375"/>
      <c r="C98375"/>
      <c r="E98375"/>
      <c r="F98375"/>
    </row>
    <row r="98376" spans="1:6" x14ac:dyDescent="0.25">
      <c r="A98376"/>
      <c r="B98376"/>
      <c r="C98376"/>
      <c r="E98376"/>
      <c r="F98376"/>
    </row>
    <row r="98377" spans="1:6" x14ac:dyDescent="0.25">
      <c r="A98377"/>
      <c r="B98377"/>
      <c r="C98377"/>
      <c r="E98377"/>
      <c r="F98377"/>
    </row>
    <row r="98378" spans="1:6" x14ac:dyDescent="0.25">
      <c r="A98378"/>
      <c r="B98378"/>
      <c r="C98378"/>
      <c r="E98378"/>
      <c r="F98378"/>
    </row>
    <row r="98379" spans="1:6" x14ac:dyDescent="0.25">
      <c r="A98379"/>
      <c r="B98379"/>
      <c r="C98379"/>
      <c r="E98379"/>
      <c r="F98379"/>
    </row>
    <row r="98380" spans="1:6" x14ac:dyDescent="0.25">
      <c r="A98380"/>
      <c r="B98380"/>
      <c r="C98380"/>
      <c r="E98380"/>
      <c r="F98380"/>
    </row>
    <row r="98381" spans="1:6" x14ac:dyDescent="0.25">
      <c r="A98381"/>
      <c r="B98381"/>
      <c r="C98381"/>
      <c r="E98381"/>
      <c r="F98381"/>
    </row>
    <row r="98382" spans="1:6" x14ac:dyDescent="0.25">
      <c r="A98382"/>
      <c r="B98382"/>
      <c r="C98382"/>
      <c r="E98382"/>
      <c r="F98382"/>
    </row>
    <row r="98383" spans="1:6" x14ac:dyDescent="0.25">
      <c r="A98383"/>
      <c r="B98383"/>
      <c r="C98383"/>
      <c r="E98383"/>
      <c r="F98383"/>
    </row>
    <row r="98384" spans="1:6" x14ac:dyDescent="0.25">
      <c r="A98384"/>
      <c r="B98384"/>
      <c r="C98384"/>
      <c r="E98384"/>
      <c r="F98384"/>
    </row>
    <row r="98385" spans="1:6" x14ac:dyDescent="0.25">
      <c r="A98385"/>
      <c r="B98385"/>
      <c r="C98385"/>
      <c r="E98385"/>
      <c r="F98385"/>
    </row>
    <row r="98386" spans="1:6" x14ac:dyDescent="0.25">
      <c r="A98386"/>
      <c r="B98386"/>
      <c r="C98386"/>
      <c r="E98386"/>
      <c r="F98386"/>
    </row>
    <row r="98387" spans="1:6" x14ac:dyDescent="0.25">
      <c r="A98387"/>
      <c r="B98387"/>
      <c r="C98387"/>
      <c r="E98387"/>
      <c r="F98387"/>
    </row>
    <row r="98388" spans="1:6" x14ac:dyDescent="0.25">
      <c r="A98388"/>
      <c r="B98388"/>
      <c r="C98388"/>
      <c r="E98388"/>
      <c r="F98388"/>
    </row>
    <row r="98389" spans="1:6" x14ac:dyDescent="0.25">
      <c r="A98389"/>
      <c r="B98389"/>
      <c r="C98389"/>
      <c r="E98389"/>
      <c r="F98389"/>
    </row>
    <row r="98390" spans="1:6" x14ac:dyDescent="0.25">
      <c r="A98390"/>
      <c r="B98390"/>
      <c r="C98390"/>
      <c r="E98390"/>
      <c r="F98390"/>
    </row>
    <row r="98391" spans="1:6" x14ac:dyDescent="0.25">
      <c r="A98391"/>
      <c r="B98391"/>
      <c r="C98391"/>
      <c r="E98391"/>
      <c r="F98391"/>
    </row>
    <row r="98392" spans="1:6" x14ac:dyDescent="0.25">
      <c r="A98392"/>
      <c r="B98392"/>
      <c r="C98392"/>
      <c r="E98392"/>
      <c r="F98392"/>
    </row>
    <row r="98393" spans="1:6" x14ac:dyDescent="0.25">
      <c r="A98393"/>
      <c r="B98393"/>
      <c r="C98393"/>
      <c r="E98393"/>
      <c r="F98393"/>
    </row>
    <row r="98394" spans="1:6" x14ac:dyDescent="0.25">
      <c r="A98394"/>
      <c r="B98394"/>
      <c r="C98394"/>
      <c r="E98394"/>
      <c r="F98394"/>
    </row>
    <row r="98395" spans="1:6" x14ac:dyDescent="0.25">
      <c r="A98395"/>
      <c r="B98395"/>
      <c r="C98395"/>
      <c r="E98395"/>
      <c r="F98395"/>
    </row>
    <row r="98396" spans="1:6" x14ac:dyDescent="0.25">
      <c r="A98396"/>
      <c r="B98396"/>
      <c r="C98396"/>
      <c r="E98396"/>
      <c r="F98396"/>
    </row>
    <row r="98397" spans="1:6" x14ac:dyDescent="0.25">
      <c r="A98397"/>
      <c r="B98397"/>
      <c r="C98397"/>
      <c r="E98397"/>
      <c r="F98397"/>
    </row>
    <row r="98398" spans="1:6" x14ac:dyDescent="0.25">
      <c r="A98398"/>
      <c r="B98398"/>
      <c r="C98398"/>
      <c r="E98398"/>
      <c r="F98398"/>
    </row>
    <row r="98399" spans="1:6" x14ac:dyDescent="0.25">
      <c r="A98399"/>
      <c r="B98399"/>
      <c r="C98399"/>
      <c r="E98399"/>
      <c r="F98399"/>
    </row>
    <row r="98400" spans="1:6" x14ac:dyDescent="0.25">
      <c r="A98400"/>
      <c r="B98400"/>
      <c r="C98400"/>
      <c r="E98400"/>
      <c r="F98400"/>
    </row>
    <row r="98401" spans="1:6" x14ac:dyDescent="0.25">
      <c r="A98401"/>
      <c r="B98401"/>
      <c r="C98401"/>
      <c r="E98401"/>
      <c r="F98401"/>
    </row>
    <row r="98402" spans="1:6" x14ac:dyDescent="0.25">
      <c r="A98402"/>
      <c r="B98402"/>
      <c r="C98402"/>
      <c r="E98402"/>
      <c r="F98402"/>
    </row>
    <row r="98403" spans="1:6" x14ac:dyDescent="0.25">
      <c r="A98403"/>
      <c r="B98403"/>
      <c r="C98403"/>
      <c r="E98403"/>
      <c r="F98403"/>
    </row>
    <row r="98404" spans="1:6" x14ac:dyDescent="0.25">
      <c r="A98404"/>
      <c r="B98404"/>
      <c r="C98404"/>
      <c r="E98404"/>
      <c r="F98404"/>
    </row>
    <row r="98405" spans="1:6" x14ac:dyDescent="0.25">
      <c r="A98405"/>
      <c r="B98405"/>
      <c r="C98405"/>
      <c r="E98405"/>
      <c r="F98405"/>
    </row>
    <row r="98406" spans="1:6" x14ac:dyDescent="0.25">
      <c r="A98406"/>
      <c r="B98406"/>
      <c r="C98406"/>
      <c r="E98406"/>
      <c r="F98406"/>
    </row>
    <row r="98407" spans="1:6" x14ac:dyDescent="0.25">
      <c r="A98407"/>
      <c r="B98407"/>
      <c r="C98407"/>
      <c r="E98407"/>
      <c r="F98407"/>
    </row>
    <row r="98408" spans="1:6" x14ac:dyDescent="0.25">
      <c r="A98408"/>
      <c r="B98408"/>
      <c r="C98408"/>
      <c r="E98408"/>
      <c r="F98408"/>
    </row>
    <row r="98409" spans="1:6" x14ac:dyDescent="0.25">
      <c r="A98409"/>
      <c r="B98409"/>
      <c r="C98409"/>
      <c r="E98409"/>
      <c r="F98409"/>
    </row>
    <row r="98410" spans="1:6" x14ac:dyDescent="0.25">
      <c r="A98410"/>
      <c r="B98410"/>
      <c r="C98410"/>
      <c r="E98410"/>
      <c r="F98410"/>
    </row>
    <row r="98411" spans="1:6" x14ac:dyDescent="0.25">
      <c r="A98411"/>
      <c r="B98411"/>
      <c r="C98411"/>
      <c r="E98411"/>
      <c r="F98411"/>
    </row>
    <row r="98412" spans="1:6" x14ac:dyDescent="0.25">
      <c r="A98412"/>
      <c r="B98412"/>
      <c r="C98412"/>
      <c r="E98412"/>
      <c r="F98412"/>
    </row>
    <row r="98413" spans="1:6" x14ac:dyDescent="0.25">
      <c r="A98413"/>
      <c r="B98413"/>
      <c r="C98413"/>
      <c r="E98413"/>
      <c r="F98413"/>
    </row>
    <row r="98414" spans="1:6" x14ac:dyDescent="0.25">
      <c r="A98414"/>
      <c r="B98414"/>
      <c r="C98414"/>
      <c r="E98414"/>
      <c r="F98414"/>
    </row>
    <row r="98415" spans="1:6" x14ac:dyDescent="0.25">
      <c r="A98415"/>
      <c r="B98415"/>
      <c r="C98415"/>
      <c r="E98415"/>
      <c r="F98415"/>
    </row>
    <row r="98416" spans="1:6" x14ac:dyDescent="0.25">
      <c r="A98416"/>
      <c r="B98416"/>
      <c r="C98416"/>
      <c r="E98416"/>
      <c r="F98416"/>
    </row>
    <row r="98417" spans="1:6" x14ac:dyDescent="0.25">
      <c r="A98417"/>
      <c r="B98417"/>
      <c r="C98417"/>
      <c r="E98417"/>
      <c r="F98417"/>
    </row>
    <row r="98418" spans="1:6" x14ac:dyDescent="0.25">
      <c r="A98418"/>
      <c r="B98418"/>
      <c r="C98418"/>
      <c r="E98418"/>
      <c r="F98418"/>
    </row>
    <row r="98419" spans="1:6" x14ac:dyDescent="0.25">
      <c r="A98419"/>
      <c r="B98419"/>
      <c r="C98419"/>
      <c r="E98419"/>
      <c r="F98419"/>
    </row>
    <row r="98420" spans="1:6" x14ac:dyDescent="0.25">
      <c r="A98420"/>
      <c r="B98420"/>
      <c r="C98420"/>
      <c r="E98420"/>
      <c r="F98420"/>
    </row>
    <row r="98421" spans="1:6" x14ac:dyDescent="0.25">
      <c r="A98421"/>
      <c r="B98421"/>
      <c r="C98421"/>
      <c r="E98421"/>
      <c r="F98421"/>
    </row>
    <row r="98422" spans="1:6" x14ac:dyDescent="0.25">
      <c r="A98422"/>
      <c r="B98422"/>
      <c r="C98422"/>
      <c r="E98422"/>
      <c r="F98422"/>
    </row>
    <row r="98423" spans="1:6" x14ac:dyDescent="0.25">
      <c r="A98423"/>
      <c r="B98423"/>
      <c r="C98423"/>
      <c r="E98423"/>
      <c r="F98423"/>
    </row>
    <row r="98424" spans="1:6" x14ac:dyDescent="0.25">
      <c r="A98424"/>
      <c r="B98424"/>
      <c r="C98424"/>
      <c r="E98424"/>
      <c r="F98424"/>
    </row>
    <row r="98425" spans="1:6" x14ac:dyDescent="0.25">
      <c r="A98425"/>
      <c r="B98425"/>
      <c r="C98425"/>
      <c r="E98425"/>
      <c r="F98425"/>
    </row>
    <row r="98426" spans="1:6" x14ac:dyDescent="0.25">
      <c r="A98426"/>
      <c r="B98426"/>
      <c r="C98426"/>
      <c r="E98426"/>
      <c r="F98426"/>
    </row>
    <row r="98427" spans="1:6" x14ac:dyDescent="0.25">
      <c r="A98427"/>
      <c r="B98427"/>
      <c r="C98427"/>
      <c r="E98427"/>
      <c r="F98427"/>
    </row>
    <row r="98428" spans="1:6" x14ac:dyDescent="0.25">
      <c r="A98428"/>
      <c r="B98428"/>
      <c r="C98428"/>
      <c r="E98428"/>
      <c r="F98428"/>
    </row>
    <row r="98429" spans="1:6" x14ac:dyDescent="0.25">
      <c r="A98429"/>
      <c r="B98429"/>
      <c r="C98429"/>
      <c r="E98429"/>
      <c r="F98429"/>
    </row>
    <row r="98430" spans="1:6" x14ac:dyDescent="0.25">
      <c r="A98430"/>
      <c r="B98430"/>
      <c r="C98430"/>
      <c r="E98430"/>
      <c r="F98430"/>
    </row>
    <row r="98431" spans="1:6" x14ac:dyDescent="0.25">
      <c r="A98431"/>
      <c r="B98431"/>
      <c r="C98431"/>
      <c r="E98431"/>
      <c r="F98431"/>
    </row>
    <row r="98432" spans="1:6" x14ac:dyDescent="0.25">
      <c r="A98432"/>
      <c r="B98432"/>
      <c r="C98432"/>
      <c r="E98432"/>
      <c r="F98432"/>
    </row>
    <row r="98433" spans="1:6" x14ac:dyDescent="0.25">
      <c r="A98433"/>
      <c r="B98433"/>
      <c r="C98433"/>
      <c r="E98433"/>
      <c r="F98433"/>
    </row>
    <row r="98434" spans="1:6" x14ac:dyDescent="0.25">
      <c r="A98434"/>
      <c r="B98434"/>
      <c r="C98434"/>
      <c r="E98434"/>
      <c r="F98434"/>
    </row>
    <row r="98435" spans="1:6" x14ac:dyDescent="0.25">
      <c r="A98435"/>
      <c r="B98435"/>
      <c r="C98435"/>
      <c r="E98435"/>
      <c r="F98435"/>
    </row>
    <row r="98436" spans="1:6" x14ac:dyDescent="0.25">
      <c r="A98436"/>
      <c r="B98436"/>
      <c r="C98436"/>
      <c r="E98436"/>
      <c r="F98436"/>
    </row>
    <row r="98437" spans="1:6" x14ac:dyDescent="0.25">
      <c r="A98437"/>
      <c r="B98437"/>
      <c r="C98437"/>
      <c r="E98437"/>
      <c r="F98437"/>
    </row>
    <row r="98438" spans="1:6" x14ac:dyDescent="0.25">
      <c r="A98438"/>
      <c r="B98438"/>
      <c r="C98438"/>
      <c r="E98438"/>
      <c r="F98438"/>
    </row>
    <row r="98439" spans="1:6" x14ac:dyDescent="0.25">
      <c r="A98439"/>
      <c r="B98439"/>
      <c r="C98439"/>
      <c r="E98439"/>
      <c r="F98439"/>
    </row>
    <row r="98440" spans="1:6" x14ac:dyDescent="0.25">
      <c r="A98440"/>
      <c r="B98440"/>
      <c r="C98440"/>
      <c r="E98440"/>
      <c r="F98440"/>
    </row>
    <row r="98441" spans="1:6" x14ac:dyDescent="0.25">
      <c r="A98441"/>
      <c r="B98441"/>
      <c r="C98441"/>
      <c r="E98441"/>
      <c r="F98441"/>
    </row>
    <row r="98442" spans="1:6" x14ac:dyDescent="0.25">
      <c r="A98442"/>
      <c r="B98442"/>
      <c r="C98442"/>
      <c r="E98442"/>
      <c r="F98442"/>
    </row>
    <row r="98443" spans="1:6" x14ac:dyDescent="0.25">
      <c r="A98443"/>
      <c r="B98443"/>
      <c r="C98443"/>
      <c r="E98443"/>
      <c r="F98443"/>
    </row>
    <row r="98444" spans="1:6" x14ac:dyDescent="0.25">
      <c r="A98444"/>
      <c r="B98444"/>
      <c r="C98444"/>
      <c r="E98444"/>
      <c r="F98444"/>
    </row>
    <row r="98445" spans="1:6" x14ac:dyDescent="0.25">
      <c r="A98445"/>
      <c r="B98445"/>
      <c r="C98445"/>
      <c r="E98445"/>
      <c r="F98445"/>
    </row>
    <row r="98446" spans="1:6" x14ac:dyDescent="0.25">
      <c r="A98446"/>
      <c r="B98446"/>
      <c r="C98446"/>
      <c r="E98446"/>
      <c r="F98446"/>
    </row>
    <row r="98447" spans="1:6" x14ac:dyDescent="0.25">
      <c r="A98447"/>
      <c r="B98447"/>
      <c r="C98447"/>
      <c r="E98447"/>
      <c r="F98447"/>
    </row>
    <row r="98448" spans="1:6" x14ac:dyDescent="0.25">
      <c r="A98448"/>
      <c r="B98448"/>
      <c r="C98448"/>
      <c r="E98448"/>
      <c r="F98448"/>
    </row>
    <row r="98449" spans="1:6" x14ac:dyDescent="0.25">
      <c r="A98449"/>
      <c r="B98449"/>
      <c r="C98449"/>
      <c r="E98449"/>
      <c r="F98449"/>
    </row>
    <row r="98450" spans="1:6" x14ac:dyDescent="0.25">
      <c r="A98450"/>
      <c r="B98450"/>
      <c r="C98450"/>
      <c r="E98450"/>
      <c r="F98450"/>
    </row>
    <row r="98451" spans="1:6" x14ac:dyDescent="0.25">
      <c r="A98451"/>
      <c r="B98451"/>
      <c r="C98451"/>
      <c r="E98451"/>
      <c r="F98451"/>
    </row>
    <row r="98452" spans="1:6" x14ac:dyDescent="0.25">
      <c r="A98452"/>
      <c r="B98452"/>
      <c r="C98452"/>
      <c r="E98452"/>
      <c r="F98452"/>
    </row>
    <row r="98453" spans="1:6" x14ac:dyDescent="0.25">
      <c r="A98453"/>
      <c r="B98453"/>
      <c r="C98453"/>
      <c r="E98453"/>
      <c r="F98453"/>
    </row>
    <row r="98454" spans="1:6" x14ac:dyDescent="0.25">
      <c r="A98454"/>
      <c r="B98454"/>
      <c r="C98454"/>
      <c r="E98454"/>
      <c r="F98454"/>
    </row>
    <row r="98455" spans="1:6" x14ac:dyDescent="0.25">
      <c r="A98455"/>
      <c r="B98455"/>
      <c r="C98455"/>
      <c r="E98455"/>
      <c r="F98455"/>
    </row>
    <row r="98456" spans="1:6" x14ac:dyDescent="0.25">
      <c r="A98456"/>
      <c r="B98456"/>
      <c r="C98456"/>
      <c r="E98456"/>
      <c r="F98456"/>
    </row>
    <row r="98457" spans="1:6" x14ac:dyDescent="0.25">
      <c r="A98457"/>
      <c r="B98457"/>
      <c r="C98457"/>
      <c r="E98457"/>
      <c r="F98457"/>
    </row>
    <row r="98458" spans="1:6" x14ac:dyDescent="0.25">
      <c r="A98458"/>
      <c r="B98458"/>
      <c r="C98458"/>
      <c r="E98458"/>
      <c r="F98458"/>
    </row>
    <row r="98459" spans="1:6" x14ac:dyDescent="0.25">
      <c r="A98459"/>
      <c r="B98459"/>
      <c r="C98459"/>
      <c r="E98459"/>
      <c r="F98459"/>
    </row>
    <row r="98460" spans="1:6" x14ac:dyDescent="0.25">
      <c r="A98460"/>
      <c r="B98460"/>
      <c r="C98460"/>
      <c r="E98460"/>
      <c r="F98460"/>
    </row>
    <row r="98461" spans="1:6" x14ac:dyDescent="0.25">
      <c r="A98461"/>
      <c r="B98461"/>
      <c r="C98461"/>
      <c r="E98461"/>
      <c r="F98461"/>
    </row>
    <row r="98462" spans="1:6" x14ac:dyDescent="0.25">
      <c r="A98462"/>
      <c r="B98462"/>
      <c r="C98462"/>
      <c r="E98462"/>
      <c r="F98462"/>
    </row>
    <row r="98463" spans="1:6" x14ac:dyDescent="0.25">
      <c r="A98463"/>
      <c r="B98463"/>
      <c r="C98463"/>
      <c r="E98463"/>
      <c r="F98463"/>
    </row>
    <row r="98464" spans="1:6" x14ac:dyDescent="0.25">
      <c r="A98464"/>
      <c r="B98464"/>
      <c r="C98464"/>
      <c r="E98464"/>
      <c r="F98464"/>
    </row>
    <row r="98465" spans="1:6" x14ac:dyDescent="0.25">
      <c r="A98465"/>
      <c r="B98465"/>
      <c r="C98465"/>
      <c r="E98465"/>
      <c r="F98465"/>
    </row>
    <row r="98466" spans="1:6" x14ac:dyDescent="0.25">
      <c r="A98466"/>
      <c r="B98466"/>
      <c r="C98466"/>
      <c r="E98466"/>
      <c r="F98466"/>
    </row>
    <row r="98467" spans="1:6" x14ac:dyDescent="0.25">
      <c r="A98467"/>
      <c r="B98467"/>
      <c r="C98467"/>
      <c r="E98467"/>
      <c r="F98467"/>
    </row>
    <row r="98468" spans="1:6" x14ac:dyDescent="0.25">
      <c r="A98468"/>
      <c r="B98468"/>
      <c r="C98468"/>
      <c r="E98468"/>
      <c r="F98468"/>
    </row>
    <row r="98469" spans="1:6" x14ac:dyDescent="0.25">
      <c r="A98469"/>
      <c r="B98469"/>
      <c r="C98469"/>
      <c r="E98469"/>
      <c r="F98469"/>
    </row>
    <row r="98470" spans="1:6" x14ac:dyDescent="0.25">
      <c r="A98470"/>
      <c r="B98470"/>
      <c r="C98470"/>
      <c r="E98470"/>
      <c r="F98470"/>
    </row>
    <row r="98471" spans="1:6" x14ac:dyDescent="0.25">
      <c r="A98471"/>
      <c r="B98471"/>
      <c r="C98471"/>
      <c r="E98471"/>
      <c r="F98471"/>
    </row>
    <row r="98472" spans="1:6" x14ac:dyDescent="0.25">
      <c r="A98472"/>
      <c r="B98472"/>
      <c r="C98472"/>
      <c r="E98472"/>
      <c r="F98472"/>
    </row>
    <row r="98473" spans="1:6" x14ac:dyDescent="0.25">
      <c r="A98473"/>
      <c r="B98473"/>
      <c r="C98473"/>
      <c r="E98473"/>
      <c r="F98473"/>
    </row>
    <row r="98474" spans="1:6" x14ac:dyDescent="0.25">
      <c r="A98474"/>
      <c r="B98474"/>
      <c r="C98474"/>
      <c r="E98474"/>
      <c r="F98474"/>
    </row>
    <row r="98475" spans="1:6" x14ac:dyDescent="0.25">
      <c r="A98475"/>
      <c r="B98475"/>
      <c r="C98475"/>
      <c r="E98475"/>
      <c r="F98475"/>
    </row>
    <row r="98476" spans="1:6" x14ac:dyDescent="0.25">
      <c r="A98476"/>
      <c r="B98476"/>
      <c r="C98476"/>
      <c r="E98476"/>
      <c r="F98476"/>
    </row>
    <row r="98477" spans="1:6" x14ac:dyDescent="0.25">
      <c r="A98477"/>
      <c r="B98477"/>
      <c r="C98477"/>
      <c r="E98477"/>
      <c r="F98477"/>
    </row>
    <row r="98478" spans="1:6" x14ac:dyDescent="0.25">
      <c r="A98478"/>
      <c r="B98478"/>
      <c r="C98478"/>
      <c r="E98478"/>
      <c r="F98478"/>
    </row>
    <row r="98479" spans="1:6" x14ac:dyDescent="0.25">
      <c r="A98479"/>
      <c r="B98479"/>
      <c r="C98479"/>
      <c r="E98479"/>
      <c r="F98479"/>
    </row>
    <row r="98480" spans="1:6" x14ac:dyDescent="0.25">
      <c r="A98480"/>
      <c r="B98480"/>
      <c r="C98480"/>
      <c r="E98480"/>
      <c r="F98480"/>
    </row>
    <row r="98481" spans="1:6" x14ac:dyDescent="0.25">
      <c r="A98481"/>
      <c r="B98481"/>
      <c r="C98481"/>
      <c r="E98481"/>
      <c r="F98481"/>
    </row>
    <row r="98482" spans="1:6" x14ac:dyDescent="0.25">
      <c r="A98482"/>
      <c r="B98482"/>
      <c r="C98482"/>
      <c r="E98482"/>
      <c r="F98482"/>
    </row>
    <row r="98483" spans="1:6" x14ac:dyDescent="0.25">
      <c r="A98483"/>
      <c r="B98483"/>
      <c r="C98483"/>
      <c r="E98483"/>
      <c r="F98483"/>
    </row>
    <row r="98484" spans="1:6" x14ac:dyDescent="0.25">
      <c r="A98484"/>
      <c r="B98484"/>
      <c r="C98484"/>
      <c r="E98484"/>
      <c r="F98484"/>
    </row>
    <row r="98485" spans="1:6" x14ac:dyDescent="0.25">
      <c r="A98485"/>
      <c r="B98485"/>
      <c r="C98485"/>
      <c r="E98485"/>
      <c r="F98485"/>
    </row>
    <row r="98486" spans="1:6" x14ac:dyDescent="0.25">
      <c r="A98486"/>
      <c r="B98486"/>
      <c r="C98486"/>
      <c r="E98486"/>
      <c r="F98486"/>
    </row>
    <row r="98487" spans="1:6" x14ac:dyDescent="0.25">
      <c r="A98487"/>
      <c r="B98487"/>
      <c r="C98487"/>
      <c r="E98487"/>
      <c r="F98487"/>
    </row>
    <row r="98488" spans="1:6" x14ac:dyDescent="0.25">
      <c r="A98488"/>
      <c r="B98488"/>
      <c r="C98488"/>
      <c r="E98488"/>
      <c r="F98488"/>
    </row>
    <row r="98489" spans="1:6" x14ac:dyDescent="0.25">
      <c r="A98489"/>
      <c r="B98489"/>
      <c r="C98489"/>
      <c r="E98489"/>
      <c r="F98489"/>
    </row>
    <row r="98490" spans="1:6" x14ac:dyDescent="0.25">
      <c r="A98490"/>
      <c r="B98490"/>
      <c r="C98490"/>
      <c r="E98490"/>
      <c r="F98490"/>
    </row>
    <row r="98491" spans="1:6" x14ac:dyDescent="0.25">
      <c r="A98491"/>
      <c r="B98491"/>
      <c r="C98491"/>
      <c r="E98491"/>
      <c r="F98491"/>
    </row>
    <row r="98492" spans="1:6" x14ac:dyDescent="0.25">
      <c r="A98492"/>
      <c r="B98492"/>
      <c r="C98492"/>
      <c r="E98492"/>
      <c r="F98492"/>
    </row>
    <row r="98493" spans="1:6" x14ac:dyDescent="0.25">
      <c r="A98493"/>
      <c r="B98493"/>
      <c r="C98493"/>
      <c r="E98493"/>
      <c r="F98493"/>
    </row>
    <row r="98494" spans="1:6" x14ac:dyDescent="0.25">
      <c r="A98494"/>
      <c r="B98494"/>
      <c r="C98494"/>
      <c r="E98494"/>
      <c r="F98494"/>
    </row>
    <row r="98495" spans="1:6" x14ac:dyDescent="0.25">
      <c r="A98495"/>
      <c r="B98495"/>
      <c r="C98495"/>
      <c r="E98495"/>
      <c r="F98495"/>
    </row>
    <row r="98496" spans="1:6" x14ac:dyDescent="0.25">
      <c r="A98496"/>
      <c r="B98496"/>
      <c r="C98496"/>
      <c r="E98496"/>
      <c r="F98496"/>
    </row>
    <row r="98497" spans="1:6" x14ac:dyDescent="0.25">
      <c r="A98497"/>
      <c r="B98497"/>
      <c r="C98497"/>
      <c r="E98497"/>
      <c r="F98497"/>
    </row>
    <row r="98498" spans="1:6" x14ac:dyDescent="0.25">
      <c r="A98498"/>
      <c r="B98498"/>
      <c r="C98498"/>
      <c r="E98498"/>
      <c r="F98498"/>
    </row>
    <row r="98499" spans="1:6" x14ac:dyDescent="0.25">
      <c r="A98499"/>
      <c r="B98499"/>
      <c r="C98499"/>
      <c r="E98499"/>
      <c r="F98499"/>
    </row>
    <row r="98500" spans="1:6" x14ac:dyDescent="0.25">
      <c r="A98500"/>
      <c r="B98500"/>
      <c r="C98500"/>
      <c r="E98500"/>
      <c r="F98500"/>
    </row>
    <row r="98501" spans="1:6" x14ac:dyDescent="0.25">
      <c r="A98501"/>
      <c r="B98501"/>
      <c r="C98501"/>
      <c r="E98501"/>
      <c r="F98501"/>
    </row>
    <row r="98502" spans="1:6" x14ac:dyDescent="0.25">
      <c r="A98502"/>
      <c r="B98502"/>
      <c r="C98502"/>
      <c r="E98502"/>
      <c r="F98502"/>
    </row>
    <row r="98503" spans="1:6" x14ac:dyDescent="0.25">
      <c r="A98503"/>
      <c r="B98503"/>
      <c r="C98503"/>
      <c r="E98503"/>
      <c r="F98503"/>
    </row>
    <row r="98504" spans="1:6" x14ac:dyDescent="0.25">
      <c r="A98504"/>
      <c r="B98504"/>
      <c r="C98504"/>
      <c r="E98504"/>
      <c r="F98504"/>
    </row>
    <row r="98505" spans="1:6" x14ac:dyDescent="0.25">
      <c r="A98505"/>
      <c r="B98505"/>
      <c r="C98505"/>
      <c r="E98505"/>
      <c r="F98505"/>
    </row>
    <row r="98506" spans="1:6" x14ac:dyDescent="0.25">
      <c r="A98506"/>
      <c r="B98506"/>
      <c r="C98506"/>
      <c r="E98506"/>
      <c r="F98506"/>
    </row>
    <row r="98507" spans="1:6" x14ac:dyDescent="0.25">
      <c r="A98507"/>
      <c r="B98507"/>
      <c r="C98507"/>
      <c r="E98507"/>
      <c r="F98507"/>
    </row>
    <row r="98508" spans="1:6" x14ac:dyDescent="0.25">
      <c r="A98508"/>
      <c r="B98508"/>
      <c r="C98508"/>
      <c r="E98508"/>
      <c r="F98508"/>
    </row>
    <row r="98509" spans="1:6" x14ac:dyDescent="0.25">
      <c r="A98509"/>
      <c r="B98509"/>
      <c r="C98509"/>
      <c r="E98509"/>
      <c r="F98509"/>
    </row>
    <row r="98510" spans="1:6" x14ac:dyDescent="0.25">
      <c r="A98510"/>
      <c r="B98510"/>
      <c r="C98510"/>
      <c r="E98510"/>
      <c r="F98510"/>
    </row>
    <row r="98511" spans="1:6" x14ac:dyDescent="0.25">
      <c r="A98511"/>
      <c r="B98511"/>
      <c r="C98511"/>
      <c r="E98511"/>
      <c r="F98511"/>
    </row>
    <row r="98512" spans="1:6" x14ac:dyDescent="0.25">
      <c r="A98512"/>
      <c r="B98512"/>
      <c r="C98512"/>
      <c r="E98512"/>
      <c r="F98512"/>
    </row>
    <row r="98513" spans="1:6" x14ac:dyDescent="0.25">
      <c r="A98513"/>
      <c r="B98513"/>
      <c r="C98513"/>
      <c r="E98513"/>
      <c r="F98513"/>
    </row>
    <row r="98514" spans="1:6" x14ac:dyDescent="0.25">
      <c r="A98514"/>
      <c r="B98514"/>
      <c r="C98514"/>
      <c r="E98514"/>
      <c r="F98514"/>
    </row>
    <row r="98515" spans="1:6" x14ac:dyDescent="0.25">
      <c r="A98515"/>
      <c r="B98515"/>
      <c r="C98515"/>
      <c r="E98515"/>
      <c r="F98515"/>
    </row>
    <row r="98516" spans="1:6" x14ac:dyDescent="0.25">
      <c r="A98516"/>
      <c r="B98516"/>
      <c r="C98516"/>
      <c r="E98516"/>
      <c r="F98516"/>
    </row>
    <row r="98517" spans="1:6" x14ac:dyDescent="0.25">
      <c r="A98517"/>
      <c r="B98517"/>
      <c r="C98517"/>
      <c r="E98517"/>
      <c r="F98517"/>
    </row>
    <row r="98518" spans="1:6" x14ac:dyDescent="0.25">
      <c r="A98518"/>
      <c r="B98518"/>
      <c r="C98518"/>
      <c r="E98518"/>
      <c r="F98518"/>
    </row>
    <row r="98519" spans="1:6" x14ac:dyDescent="0.25">
      <c r="A98519"/>
      <c r="B98519"/>
      <c r="C98519"/>
      <c r="E98519"/>
      <c r="F98519"/>
    </row>
    <row r="98520" spans="1:6" x14ac:dyDescent="0.25">
      <c r="A98520"/>
      <c r="B98520"/>
      <c r="C98520"/>
      <c r="E98520"/>
      <c r="F98520"/>
    </row>
    <row r="98521" spans="1:6" x14ac:dyDescent="0.25">
      <c r="A98521"/>
      <c r="B98521"/>
      <c r="C98521"/>
      <c r="E98521"/>
      <c r="F98521"/>
    </row>
    <row r="98522" spans="1:6" x14ac:dyDescent="0.25">
      <c r="A98522"/>
      <c r="B98522"/>
      <c r="C98522"/>
      <c r="E98522"/>
      <c r="F98522"/>
    </row>
    <row r="98523" spans="1:6" x14ac:dyDescent="0.25">
      <c r="A98523"/>
      <c r="B98523"/>
      <c r="C98523"/>
      <c r="E98523"/>
      <c r="F98523"/>
    </row>
    <row r="98524" spans="1:6" x14ac:dyDescent="0.25">
      <c r="A98524"/>
      <c r="B98524"/>
      <c r="C98524"/>
      <c r="E98524"/>
      <c r="F98524"/>
    </row>
    <row r="98525" spans="1:6" x14ac:dyDescent="0.25">
      <c r="A98525"/>
      <c r="B98525"/>
      <c r="C98525"/>
      <c r="E98525"/>
      <c r="F98525"/>
    </row>
    <row r="98526" spans="1:6" x14ac:dyDescent="0.25">
      <c r="A98526"/>
      <c r="B98526"/>
      <c r="C98526"/>
      <c r="E98526"/>
      <c r="F98526"/>
    </row>
    <row r="98527" spans="1:6" x14ac:dyDescent="0.25">
      <c r="A98527"/>
      <c r="B98527"/>
      <c r="C98527"/>
      <c r="E98527"/>
      <c r="F98527"/>
    </row>
    <row r="98528" spans="1:6" x14ac:dyDescent="0.25">
      <c r="A98528"/>
      <c r="B98528"/>
      <c r="C98528"/>
      <c r="E98528"/>
      <c r="F98528"/>
    </row>
    <row r="98529" spans="1:6" x14ac:dyDescent="0.25">
      <c r="A98529"/>
      <c r="B98529"/>
      <c r="C98529"/>
      <c r="E98529"/>
      <c r="F98529"/>
    </row>
    <row r="98530" spans="1:6" x14ac:dyDescent="0.25">
      <c r="A98530"/>
      <c r="B98530"/>
      <c r="C98530"/>
      <c r="E98530"/>
      <c r="F98530"/>
    </row>
    <row r="98531" spans="1:6" x14ac:dyDescent="0.25">
      <c r="A98531"/>
      <c r="B98531"/>
      <c r="C98531"/>
      <c r="E98531"/>
      <c r="F98531"/>
    </row>
    <row r="98532" spans="1:6" x14ac:dyDescent="0.25">
      <c r="A98532"/>
      <c r="B98532"/>
      <c r="C98532"/>
      <c r="E98532"/>
      <c r="F98532"/>
    </row>
    <row r="98533" spans="1:6" x14ac:dyDescent="0.25">
      <c r="A98533"/>
      <c r="B98533"/>
      <c r="C98533"/>
      <c r="E98533"/>
      <c r="F98533"/>
    </row>
    <row r="98534" spans="1:6" x14ac:dyDescent="0.25">
      <c r="A98534"/>
      <c r="B98534"/>
      <c r="C98534"/>
      <c r="E98534"/>
      <c r="F98534"/>
    </row>
    <row r="98535" spans="1:6" x14ac:dyDescent="0.25">
      <c r="A98535"/>
      <c r="B98535"/>
      <c r="C98535"/>
      <c r="E98535"/>
      <c r="F98535"/>
    </row>
    <row r="98536" spans="1:6" x14ac:dyDescent="0.25">
      <c r="A98536"/>
      <c r="B98536"/>
      <c r="C98536"/>
      <c r="E98536"/>
      <c r="F98536"/>
    </row>
    <row r="98537" spans="1:6" x14ac:dyDescent="0.25">
      <c r="A98537"/>
      <c r="B98537"/>
      <c r="C98537"/>
      <c r="E98537"/>
      <c r="F98537"/>
    </row>
    <row r="98538" spans="1:6" x14ac:dyDescent="0.25">
      <c r="A98538"/>
      <c r="B98538"/>
      <c r="C98538"/>
      <c r="E98538"/>
      <c r="F98538"/>
    </row>
    <row r="98539" spans="1:6" x14ac:dyDescent="0.25">
      <c r="A98539"/>
      <c r="B98539"/>
      <c r="C98539"/>
      <c r="E98539"/>
      <c r="F98539"/>
    </row>
    <row r="98540" spans="1:6" x14ac:dyDescent="0.25">
      <c r="A98540"/>
      <c r="B98540"/>
      <c r="C98540"/>
      <c r="E98540"/>
      <c r="F98540"/>
    </row>
    <row r="98541" spans="1:6" x14ac:dyDescent="0.25">
      <c r="A98541"/>
      <c r="B98541"/>
      <c r="C98541"/>
      <c r="E98541"/>
      <c r="F98541"/>
    </row>
    <row r="98542" spans="1:6" x14ac:dyDescent="0.25">
      <c r="A98542"/>
      <c r="B98542"/>
      <c r="C98542"/>
      <c r="E98542"/>
      <c r="F98542"/>
    </row>
    <row r="98543" spans="1:6" x14ac:dyDescent="0.25">
      <c r="A98543"/>
      <c r="B98543"/>
      <c r="C98543"/>
      <c r="E98543"/>
      <c r="F98543"/>
    </row>
    <row r="98544" spans="1:6" x14ac:dyDescent="0.25">
      <c r="A98544"/>
      <c r="B98544"/>
      <c r="C98544"/>
      <c r="E98544"/>
      <c r="F98544"/>
    </row>
    <row r="98545" spans="1:6" x14ac:dyDescent="0.25">
      <c r="A98545"/>
      <c r="B98545"/>
      <c r="C98545"/>
      <c r="E98545"/>
      <c r="F98545"/>
    </row>
    <row r="98546" spans="1:6" x14ac:dyDescent="0.25">
      <c r="A98546"/>
      <c r="B98546"/>
      <c r="C98546"/>
      <c r="E98546"/>
      <c r="F98546"/>
    </row>
    <row r="98547" spans="1:6" x14ac:dyDescent="0.25">
      <c r="A98547"/>
      <c r="B98547"/>
      <c r="C98547"/>
      <c r="E98547"/>
      <c r="F98547"/>
    </row>
    <row r="98548" spans="1:6" x14ac:dyDescent="0.25">
      <c r="A98548"/>
      <c r="B98548"/>
      <c r="C98548"/>
      <c r="E98548"/>
      <c r="F98548"/>
    </row>
    <row r="98549" spans="1:6" x14ac:dyDescent="0.25">
      <c r="A98549"/>
      <c r="B98549"/>
      <c r="C98549"/>
      <c r="E98549"/>
      <c r="F98549"/>
    </row>
    <row r="98550" spans="1:6" x14ac:dyDescent="0.25">
      <c r="A98550"/>
      <c r="B98550"/>
      <c r="C98550"/>
      <c r="E98550"/>
      <c r="F98550"/>
    </row>
    <row r="98551" spans="1:6" x14ac:dyDescent="0.25">
      <c r="A98551"/>
      <c r="B98551"/>
      <c r="C98551"/>
      <c r="E98551"/>
      <c r="F98551"/>
    </row>
    <row r="98552" spans="1:6" x14ac:dyDescent="0.25">
      <c r="A98552"/>
      <c r="B98552"/>
      <c r="C98552"/>
      <c r="E98552"/>
      <c r="F98552"/>
    </row>
    <row r="98553" spans="1:6" x14ac:dyDescent="0.25">
      <c r="A98553"/>
      <c r="B98553"/>
      <c r="C98553"/>
      <c r="E98553"/>
      <c r="F98553"/>
    </row>
    <row r="98554" spans="1:6" x14ac:dyDescent="0.25">
      <c r="A98554"/>
      <c r="B98554"/>
      <c r="C98554"/>
      <c r="E98554"/>
      <c r="F98554"/>
    </row>
    <row r="98555" spans="1:6" x14ac:dyDescent="0.25">
      <c r="A98555"/>
      <c r="B98555"/>
      <c r="C98555"/>
      <c r="E98555"/>
      <c r="F98555"/>
    </row>
    <row r="98556" spans="1:6" x14ac:dyDescent="0.25">
      <c r="A98556"/>
      <c r="B98556"/>
      <c r="C98556"/>
      <c r="E98556"/>
      <c r="F98556"/>
    </row>
    <row r="98557" spans="1:6" x14ac:dyDescent="0.25">
      <c r="A98557"/>
      <c r="B98557"/>
      <c r="C98557"/>
      <c r="E98557"/>
      <c r="F98557"/>
    </row>
    <row r="98558" spans="1:6" x14ac:dyDescent="0.25">
      <c r="A98558"/>
      <c r="B98558"/>
      <c r="C98558"/>
      <c r="E98558"/>
      <c r="F98558"/>
    </row>
    <row r="98559" spans="1:6" x14ac:dyDescent="0.25">
      <c r="A98559"/>
      <c r="B98559"/>
      <c r="C98559"/>
      <c r="E98559"/>
      <c r="F98559"/>
    </row>
    <row r="98560" spans="1:6" x14ac:dyDescent="0.25">
      <c r="A98560"/>
      <c r="B98560"/>
      <c r="C98560"/>
      <c r="E98560"/>
      <c r="F98560"/>
    </row>
    <row r="98561" spans="1:6" x14ac:dyDescent="0.25">
      <c r="A98561"/>
      <c r="B98561"/>
      <c r="C98561"/>
      <c r="E98561"/>
      <c r="F98561"/>
    </row>
    <row r="98562" spans="1:6" x14ac:dyDescent="0.25">
      <c r="A98562"/>
      <c r="B98562"/>
      <c r="C98562"/>
      <c r="E98562"/>
      <c r="F98562"/>
    </row>
    <row r="98563" spans="1:6" x14ac:dyDescent="0.25">
      <c r="A98563"/>
      <c r="B98563"/>
      <c r="C98563"/>
      <c r="E98563"/>
      <c r="F98563"/>
    </row>
    <row r="98564" spans="1:6" x14ac:dyDescent="0.25">
      <c r="A98564"/>
      <c r="B98564"/>
      <c r="C98564"/>
      <c r="E98564"/>
      <c r="F98564"/>
    </row>
    <row r="98565" spans="1:6" x14ac:dyDescent="0.25">
      <c r="A98565"/>
      <c r="B98565"/>
      <c r="C98565"/>
      <c r="E98565"/>
      <c r="F98565"/>
    </row>
    <row r="98566" spans="1:6" x14ac:dyDescent="0.25">
      <c r="A98566"/>
      <c r="B98566"/>
      <c r="C98566"/>
      <c r="E98566"/>
      <c r="F98566"/>
    </row>
    <row r="98567" spans="1:6" x14ac:dyDescent="0.25">
      <c r="A98567"/>
      <c r="B98567"/>
      <c r="C98567"/>
      <c r="E98567"/>
      <c r="F98567"/>
    </row>
    <row r="98568" spans="1:6" x14ac:dyDescent="0.25">
      <c r="A98568"/>
      <c r="B98568"/>
      <c r="C98568"/>
      <c r="E98568"/>
      <c r="F98568"/>
    </row>
    <row r="98569" spans="1:6" x14ac:dyDescent="0.25">
      <c r="A98569"/>
      <c r="B98569"/>
      <c r="C98569"/>
      <c r="E98569"/>
      <c r="F98569"/>
    </row>
    <row r="98570" spans="1:6" x14ac:dyDescent="0.25">
      <c r="A98570"/>
      <c r="B98570"/>
      <c r="C98570"/>
      <c r="E98570"/>
      <c r="F98570"/>
    </row>
    <row r="98571" spans="1:6" x14ac:dyDescent="0.25">
      <c r="A98571"/>
      <c r="B98571"/>
      <c r="C98571"/>
      <c r="E98571"/>
      <c r="F98571"/>
    </row>
    <row r="98572" spans="1:6" x14ac:dyDescent="0.25">
      <c r="A98572"/>
      <c r="B98572"/>
      <c r="C98572"/>
      <c r="E98572"/>
      <c r="F98572"/>
    </row>
    <row r="98573" spans="1:6" x14ac:dyDescent="0.25">
      <c r="A98573"/>
      <c r="B98573"/>
      <c r="C98573"/>
      <c r="E98573"/>
      <c r="F98573"/>
    </row>
    <row r="98574" spans="1:6" x14ac:dyDescent="0.25">
      <c r="A98574"/>
      <c r="B98574"/>
      <c r="C98574"/>
      <c r="E98574"/>
      <c r="F98574"/>
    </row>
    <row r="98575" spans="1:6" x14ac:dyDescent="0.25">
      <c r="A98575"/>
      <c r="B98575"/>
      <c r="C98575"/>
      <c r="E98575"/>
      <c r="F98575"/>
    </row>
    <row r="98576" spans="1:6" x14ac:dyDescent="0.25">
      <c r="A98576"/>
      <c r="B98576"/>
      <c r="C98576"/>
      <c r="E98576"/>
      <c r="F98576"/>
    </row>
    <row r="98577" spans="1:6" x14ac:dyDescent="0.25">
      <c r="A98577"/>
      <c r="B98577"/>
      <c r="C98577"/>
      <c r="E98577"/>
      <c r="F98577"/>
    </row>
    <row r="98578" spans="1:6" x14ac:dyDescent="0.25">
      <c r="A98578"/>
      <c r="B98578"/>
      <c r="C98578"/>
      <c r="E98578"/>
      <c r="F98578"/>
    </row>
    <row r="98579" spans="1:6" x14ac:dyDescent="0.25">
      <c r="A98579"/>
      <c r="B98579"/>
      <c r="C98579"/>
      <c r="E98579"/>
      <c r="F98579"/>
    </row>
    <row r="98580" spans="1:6" x14ac:dyDescent="0.25">
      <c r="A98580"/>
      <c r="B98580"/>
      <c r="C98580"/>
      <c r="E98580"/>
      <c r="F98580"/>
    </row>
    <row r="98581" spans="1:6" x14ac:dyDescent="0.25">
      <c r="A98581"/>
      <c r="B98581"/>
      <c r="C98581"/>
      <c r="E98581"/>
      <c r="F98581"/>
    </row>
    <row r="98582" spans="1:6" x14ac:dyDescent="0.25">
      <c r="A98582"/>
      <c r="B98582"/>
      <c r="C98582"/>
      <c r="E98582"/>
      <c r="F98582"/>
    </row>
    <row r="98583" spans="1:6" x14ac:dyDescent="0.25">
      <c r="A98583"/>
      <c r="B98583"/>
      <c r="C98583"/>
      <c r="E98583"/>
      <c r="F98583"/>
    </row>
    <row r="98584" spans="1:6" x14ac:dyDescent="0.25">
      <c r="A98584"/>
      <c r="B98584"/>
      <c r="C98584"/>
      <c r="E98584"/>
      <c r="F98584"/>
    </row>
    <row r="98585" spans="1:6" x14ac:dyDescent="0.25">
      <c r="A98585"/>
      <c r="B98585"/>
      <c r="C98585"/>
      <c r="E98585"/>
      <c r="F98585"/>
    </row>
    <row r="98586" spans="1:6" x14ac:dyDescent="0.25">
      <c r="A98586"/>
      <c r="B98586"/>
      <c r="C98586"/>
      <c r="E98586"/>
      <c r="F98586"/>
    </row>
    <row r="98587" spans="1:6" x14ac:dyDescent="0.25">
      <c r="A98587"/>
      <c r="B98587"/>
      <c r="C98587"/>
      <c r="E98587"/>
      <c r="F98587"/>
    </row>
    <row r="98588" spans="1:6" x14ac:dyDescent="0.25">
      <c r="A98588"/>
      <c r="B98588"/>
      <c r="C98588"/>
      <c r="E98588"/>
      <c r="F98588"/>
    </row>
    <row r="98589" spans="1:6" x14ac:dyDescent="0.25">
      <c r="A98589"/>
      <c r="B98589"/>
      <c r="C98589"/>
      <c r="E98589"/>
      <c r="F98589"/>
    </row>
    <row r="98590" spans="1:6" x14ac:dyDescent="0.25">
      <c r="A98590"/>
      <c r="B98590"/>
      <c r="C98590"/>
      <c r="E98590"/>
      <c r="F98590"/>
    </row>
    <row r="98591" spans="1:6" x14ac:dyDescent="0.25">
      <c r="A98591"/>
      <c r="B98591"/>
      <c r="C98591"/>
      <c r="E98591"/>
      <c r="F98591"/>
    </row>
    <row r="98592" spans="1:6" x14ac:dyDescent="0.25">
      <c r="A98592"/>
      <c r="B98592"/>
      <c r="C98592"/>
      <c r="E98592"/>
      <c r="F98592"/>
    </row>
    <row r="98593" spans="1:6" x14ac:dyDescent="0.25">
      <c r="A98593"/>
      <c r="B98593"/>
      <c r="C98593"/>
      <c r="E98593"/>
      <c r="F98593"/>
    </row>
    <row r="98594" spans="1:6" x14ac:dyDescent="0.25">
      <c r="A98594"/>
      <c r="B98594"/>
      <c r="C98594"/>
      <c r="E98594"/>
      <c r="F98594"/>
    </row>
    <row r="98595" spans="1:6" x14ac:dyDescent="0.25">
      <c r="A98595"/>
      <c r="B98595"/>
      <c r="C98595"/>
      <c r="E98595"/>
      <c r="F98595"/>
    </row>
    <row r="98596" spans="1:6" x14ac:dyDescent="0.25">
      <c r="A98596"/>
      <c r="B98596"/>
      <c r="C98596"/>
      <c r="E98596"/>
      <c r="F98596"/>
    </row>
    <row r="98597" spans="1:6" x14ac:dyDescent="0.25">
      <c r="A98597"/>
      <c r="B98597"/>
      <c r="C98597"/>
      <c r="E98597"/>
      <c r="F98597"/>
    </row>
    <row r="98598" spans="1:6" x14ac:dyDescent="0.25">
      <c r="A98598"/>
      <c r="B98598"/>
      <c r="C98598"/>
      <c r="E98598"/>
      <c r="F98598"/>
    </row>
    <row r="98599" spans="1:6" x14ac:dyDescent="0.25">
      <c r="A98599"/>
      <c r="B98599"/>
      <c r="C98599"/>
      <c r="E98599"/>
      <c r="F98599"/>
    </row>
    <row r="98600" spans="1:6" x14ac:dyDescent="0.25">
      <c r="A98600"/>
      <c r="B98600"/>
      <c r="C98600"/>
      <c r="E98600"/>
      <c r="F98600"/>
    </row>
    <row r="98601" spans="1:6" x14ac:dyDescent="0.25">
      <c r="A98601"/>
      <c r="B98601"/>
      <c r="C98601"/>
      <c r="E98601"/>
      <c r="F98601"/>
    </row>
    <row r="98602" spans="1:6" x14ac:dyDescent="0.25">
      <c r="A98602"/>
      <c r="B98602"/>
      <c r="C98602"/>
      <c r="E98602"/>
      <c r="F98602"/>
    </row>
    <row r="98603" spans="1:6" x14ac:dyDescent="0.25">
      <c r="A98603"/>
      <c r="B98603"/>
      <c r="C98603"/>
      <c r="E98603"/>
      <c r="F98603"/>
    </row>
    <row r="98604" spans="1:6" x14ac:dyDescent="0.25">
      <c r="A98604"/>
      <c r="B98604"/>
      <c r="C98604"/>
      <c r="E98604"/>
      <c r="F98604"/>
    </row>
    <row r="98605" spans="1:6" x14ac:dyDescent="0.25">
      <c r="A98605"/>
      <c r="B98605"/>
      <c r="C98605"/>
      <c r="E98605"/>
      <c r="F98605"/>
    </row>
    <row r="98606" spans="1:6" x14ac:dyDescent="0.25">
      <c r="A98606"/>
      <c r="B98606"/>
      <c r="C98606"/>
      <c r="E98606"/>
      <c r="F98606"/>
    </row>
    <row r="98607" spans="1:6" x14ac:dyDescent="0.25">
      <c r="A98607"/>
      <c r="B98607"/>
      <c r="C98607"/>
      <c r="E98607"/>
      <c r="F98607"/>
    </row>
    <row r="98608" spans="1:6" x14ac:dyDescent="0.25">
      <c r="A98608"/>
      <c r="B98608"/>
      <c r="C98608"/>
      <c r="E98608"/>
      <c r="F98608"/>
    </row>
    <row r="98609" spans="1:6" x14ac:dyDescent="0.25">
      <c r="A98609"/>
      <c r="B98609"/>
      <c r="C98609"/>
      <c r="E98609"/>
      <c r="F98609"/>
    </row>
    <row r="98610" spans="1:6" x14ac:dyDescent="0.25">
      <c r="A98610"/>
      <c r="B98610"/>
      <c r="C98610"/>
      <c r="E98610"/>
      <c r="F98610"/>
    </row>
    <row r="98611" spans="1:6" x14ac:dyDescent="0.25">
      <c r="A98611"/>
      <c r="B98611"/>
      <c r="C98611"/>
      <c r="E98611"/>
      <c r="F98611"/>
    </row>
    <row r="98612" spans="1:6" x14ac:dyDescent="0.25">
      <c r="A98612"/>
      <c r="B98612"/>
      <c r="C98612"/>
      <c r="E98612"/>
      <c r="F98612"/>
    </row>
    <row r="98613" spans="1:6" x14ac:dyDescent="0.25">
      <c r="A98613"/>
      <c r="B98613"/>
      <c r="C98613"/>
      <c r="E98613"/>
      <c r="F98613"/>
    </row>
    <row r="98614" spans="1:6" x14ac:dyDescent="0.25">
      <c r="A98614"/>
      <c r="B98614"/>
      <c r="C98614"/>
      <c r="E98614"/>
      <c r="F98614"/>
    </row>
    <row r="98615" spans="1:6" x14ac:dyDescent="0.25">
      <c r="A98615"/>
      <c r="B98615"/>
      <c r="C98615"/>
      <c r="E98615"/>
      <c r="F98615"/>
    </row>
    <row r="98616" spans="1:6" x14ac:dyDescent="0.25">
      <c r="A98616"/>
      <c r="B98616"/>
      <c r="C98616"/>
      <c r="E98616"/>
      <c r="F98616"/>
    </row>
    <row r="98617" spans="1:6" x14ac:dyDescent="0.25">
      <c r="A98617"/>
      <c r="B98617"/>
      <c r="C98617"/>
      <c r="E98617"/>
      <c r="F98617"/>
    </row>
    <row r="98618" spans="1:6" x14ac:dyDescent="0.25">
      <c r="A98618"/>
      <c r="B98618"/>
      <c r="C98618"/>
      <c r="E98618"/>
      <c r="F98618"/>
    </row>
    <row r="98619" spans="1:6" x14ac:dyDescent="0.25">
      <c r="A98619"/>
      <c r="B98619"/>
      <c r="C98619"/>
      <c r="E98619"/>
      <c r="F98619"/>
    </row>
    <row r="98620" spans="1:6" x14ac:dyDescent="0.25">
      <c r="A98620"/>
      <c r="B98620"/>
      <c r="C98620"/>
      <c r="E98620"/>
      <c r="F98620"/>
    </row>
    <row r="98621" spans="1:6" x14ac:dyDescent="0.25">
      <c r="A98621"/>
      <c r="B98621"/>
      <c r="C98621"/>
      <c r="E98621"/>
      <c r="F98621"/>
    </row>
    <row r="98622" spans="1:6" x14ac:dyDescent="0.25">
      <c r="A98622"/>
      <c r="B98622"/>
      <c r="C98622"/>
      <c r="E98622"/>
      <c r="F98622"/>
    </row>
    <row r="98623" spans="1:6" x14ac:dyDescent="0.25">
      <c r="A98623"/>
      <c r="B98623"/>
      <c r="C98623"/>
      <c r="E98623"/>
      <c r="F98623"/>
    </row>
    <row r="98624" spans="1:6" x14ac:dyDescent="0.25">
      <c r="A98624"/>
      <c r="B98624"/>
      <c r="C98624"/>
      <c r="E98624"/>
      <c r="F98624"/>
    </row>
    <row r="98625" spans="1:6" x14ac:dyDescent="0.25">
      <c r="A98625"/>
      <c r="B98625"/>
      <c r="C98625"/>
      <c r="E98625"/>
      <c r="F98625"/>
    </row>
    <row r="98626" spans="1:6" x14ac:dyDescent="0.25">
      <c r="A98626"/>
      <c r="B98626"/>
      <c r="C98626"/>
      <c r="E98626"/>
      <c r="F98626"/>
    </row>
    <row r="98627" spans="1:6" x14ac:dyDescent="0.25">
      <c r="A98627"/>
      <c r="B98627"/>
      <c r="C98627"/>
      <c r="E98627"/>
      <c r="F98627"/>
    </row>
    <row r="98628" spans="1:6" x14ac:dyDescent="0.25">
      <c r="A98628"/>
      <c r="B98628"/>
      <c r="C98628"/>
      <c r="E98628"/>
      <c r="F98628"/>
    </row>
    <row r="98629" spans="1:6" x14ac:dyDescent="0.25">
      <c r="A98629"/>
      <c r="B98629"/>
      <c r="C98629"/>
      <c r="E98629"/>
      <c r="F98629"/>
    </row>
    <row r="98630" spans="1:6" x14ac:dyDescent="0.25">
      <c r="A98630"/>
      <c r="B98630"/>
      <c r="C98630"/>
      <c r="E98630"/>
      <c r="F98630"/>
    </row>
    <row r="98631" spans="1:6" x14ac:dyDescent="0.25">
      <c r="A98631"/>
      <c r="B98631"/>
      <c r="C98631"/>
      <c r="E98631"/>
      <c r="F98631"/>
    </row>
    <row r="98632" spans="1:6" x14ac:dyDescent="0.25">
      <c r="A98632"/>
      <c r="B98632"/>
      <c r="C98632"/>
      <c r="E98632"/>
      <c r="F98632"/>
    </row>
    <row r="98633" spans="1:6" x14ac:dyDescent="0.25">
      <c r="A98633"/>
      <c r="B98633"/>
      <c r="C98633"/>
      <c r="E98633"/>
      <c r="F98633"/>
    </row>
    <row r="98634" spans="1:6" x14ac:dyDescent="0.25">
      <c r="A98634"/>
      <c r="B98634"/>
      <c r="C98634"/>
      <c r="E98634"/>
      <c r="F98634"/>
    </row>
    <row r="98635" spans="1:6" x14ac:dyDescent="0.25">
      <c r="A98635"/>
      <c r="B98635"/>
      <c r="C98635"/>
      <c r="E98635"/>
      <c r="F98635"/>
    </row>
    <row r="98636" spans="1:6" x14ac:dyDescent="0.25">
      <c r="A98636"/>
      <c r="B98636"/>
      <c r="C98636"/>
      <c r="E98636"/>
      <c r="F98636"/>
    </row>
    <row r="98637" spans="1:6" x14ac:dyDescent="0.25">
      <c r="A98637"/>
      <c r="B98637"/>
      <c r="C98637"/>
      <c r="E98637"/>
      <c r="F98637"/>
    </row>
    <row r="98638" spans="1:6" x14ac:dyDescent="0.25">
      <c r="A98638"/>
      <c r="B98638"/>
      <c r="C98638"/>
      <c r="E98638"/>
      <c r="F98638"/>
    </row>
    <row r="98639" spans="1:6" x14ac:dyDescent="0.25">
      <c r="A98639"/>
      <c r="B98639"/>
      <c r="C98639"/>
      <c r="E98639"/>
      <c r="F98639"/>
    </row>
    <row r="98640" spans="1:6" x14ac:dyDescent="0.25">
      <c r="A98640"/>
      <c r="B98640"/>
      <c r="C98640"/>
      <c r="E98640"/>
      <c r="F98640"/>
    </row>
    <row r="98641" spans="1:6" x14ac:dyDescent="0.25">
      <c r="A98641"/>
      <c r="B98641"/>
      <c r="C98641"/>
      <c r="E98641"/>
      <c r="F98641"/>
    </row>
    <row r="98642" spans="1:6" x14ac:dyDescent="0.25">
      <c r="A98642"/>
      <c r="B98642"/>
      <c r="C98642"/>
      <c r="E98642"/>
      <c r="F98642"/>
    </row>
    <row r="98643" spans="1:6" x14ac:dyDescent="0.25">
      <c r="A98643"/>
      <c r="B98643"/>
      <c r="C98643"/>
      <c r="E98643"/>
      <c r="F98643"/>
    </row>
    <row r="98644" spans="1:6" x14ac:dyDescent="0.25">
      <c r="A98644"/>
      <c r="B98644"/>
      <c r="C98644"/>
      <c r="E98644"/>
      <c r="F98644"/>
    </row>
    <row r="98645" spans="1:6" x14ac:dyDescent="0.25">
      <c r="A98645"/>
      <c r="B98645"/>
      <c r="C98645"/>
      <c r="E98645"/>
      <c r="F98645"/>
    </row>
    <row r="98646" spans="1:6" x14ac:dyDescent="0.25">
      <c r="A98646"/>
      <c r="B98646"/>
      <c r="C98646"/>
      <c r="E98646"/>
      <c r="F98646"/>
    </row>
    <row r="98647" spans="1:6" x14ac:dyDescent="0.25">
      <c r="A98647"/>
      <c r="B98647"/>
      <c r="C98647"/>
      <c r="E98647"/>
      <c r="F98647"/>
    </row>
    <row r="98648" spans="1:6" x14ac:dyDescent="0.25">
      <c r="A98648"/>
      <c r="B98648"/>
      <c r="C98648"/>
      <c r="E98648"/>
      <c r="F98648"/>
    </row>
    <row r="98649" spans="1:6" x14ac:dyDescent="0.25">
      <c r="A98649"/>
      <c r="B98649"/>
      <c r="C98649"/>
      <c r="E98649"/>
      <c r="F98649"/>
    </row>
    <row r="98650" spans="1:6" x14ac:dyDescent="0.25">
      <c r="A98650"/>
      <c r="B98650"/>
      <c r="C98650"/>
      <c r="E98650"/>
      <c r="F98650"/>
    </row>
    <row r="98651" spans="1:6" x14ac:dyDescent="0.25">
      <c r="A98651"/>
      <c r="B98651"/>
      <c r="C98651"/>
      <c r="E98651"/>
      <c r="F98651"/>
    </row>
    <row r="98652" spans="1:6" x14ac:dyDescent="0.25">
      <c r="A98652"/>
      <c r="B98652"/>
      <c r="C98652"/>
      <c r="E98652"/>
      <c r="F98652"/>
    </row>
    <row r="98653" spans="1:6" x14ac:dyDescent="0.25">
      <c r="A98653"/>
      <c r="B98653"/>
      <c r="C98653"/>
      <c r="E98653"/>
      <c r="F98653"/>
    </row>
    <row r="98654" spans="1:6" x14ac:dyDescent="0.25">
      <c r="A98654"/>
      <c r="B98654"/>
      <c r="C98654"/>
      <c r="E98654"/>
      <c r="F98654"/>
    </row>
    <row r="98655" spans="1:6" x14ac:dyDescent="0.25">
      <c r="A98655"/>
      <c r="B98655"/>
      <c r="C98655"/>
      <c r="E98655"/>
      <c r="F98655"/>
    </row>
    <row r="98656" spans="1:6" x14ac:dyDescent="0.25">
      <c r="A98656"/>
      <c r="B98656"/>
      <c r="C98656"/>
      <c r="E98656"/>
      <c r="F98656"/>
    </row>
    <row r="98657" spans="1:6" x14ac:dyDescent="0.25">
      <c r="A98657"/>
      <c r="B98657"/>
      <c r="C98657"/>
      <c r="E98657"/>
      <c r="F98657"/>
    </row>
    <row r="98658" spans="1:6" x14ac:dyDescent="0.25">
      <c r="A98658"/>
      <c r="B98658"/>
      <c r="C98658"/>
      <c r="E98658"/>
      <c r="F98658"/>
    </row>
    <row r="98659" spans="1:6" x14ac:dyDescent="0.25">
      <c r="A98659"/>
      <c r="B98659"/>
      <c r="C98659"/>
      <c r="E98659"/>
      <c r="F98659"/>
    </row>
    <row r="98660" spans="1:6" x14ac:dyDescent="0.25">
      <c r="A98660"/>
      <c r="B98660"/>
      <c r="C98660"/>
      <c r="E98660"/>
      <c r="F98660"/>
    </row>
    <row r="98661" spans="1:6" x14ac:dyDescent="0.25">
      <c r="A98661"/>
      <c r="B98661"/>
      <c r="C98661"/>
      <c r="E98661"/>
      <c r="F98661"/>
    </row>
    <row r="98662" spans="1:6" x14ac:dyDescent="0.25">
      <c r="A98662"/>
      <c r="B98662"/>
      <c r="C98662"/>
      <c r="E98662"/>
      <c r="F98662"/>
    </row>
    <row r="98663" spans="1:6" x14ac:dyDescent="0.25">
      <c r="A98663"/>
      <c r="B98663"/>
      <c r="C98663"/>
      <c r="E98663"/>
      <c r="F98663"/>
    </row>
    <row r="98664" spans="1:6" x14ac:dyDescent="0.25">
      <c r="A98664"/>
      <c r="B98664"/>
      <c r="C98664"/>
      <c r="E98664"/>
      <c r="F98664"/>
    </row>
    <row r="98665" spans="1:6" x14ac:dyDescent="0.25">
      <c r="A98665"/>
      <c r="B98665"/>
      <c r="C98665"/>
      <c r="E98665"/>
      <c r="F98665"/>
    </row>
    <row r="98666" spans="1:6" x14ac:dyDescent="0.25">
      <c r="A98666"/>
      <c r="B98666"/>
      <c r="C98666"/>
      <c r="E98666"/>
      <c r="F98666"/>
    </row>
    <row r="98667" spans="1:6" x14ac:dyDescent="0.25">
      <c r="A98667"/>
      <c r="B98667"/>
      <c r="C98667"/>
      <c r="E98667"/>
      <c r="F98667"/>
    </row>
    <row r="98668" spans="1:6" x14ac:dyDescent="0.25">
      <c r="A98668"/>
      <c r="B98668"/>
      <c r="C98668"/>
      <c r="E98668"/>
      <c r="F98668"/>
    </row>
    <row r="98669" spans="1:6" x14ac:dyDescent="0.25">
      <c r="A98669"/>
      <c r="B98669"/>
      <c r="C98669"/>
      <c r="E98669"/>
      <c r="F98669"/>
    </row>
    <row r="98670" spans="1:6" x14ac:dyDescent="0.25">
      <c r="A98670"/>
      <c r="B98670"/>
      <c r="C98670"/>
      <c r="E98670"/>
      <c r="F98670"/>
    </row>
    <row r="98671" spans="1:6" x14ac:dyDescent="0.25">
      <c r="A98671"/>
      <c r="B98671"/>
      <c r="C98671"/>
      <c r="E98671"/>
      <c r="F98671"/>
    </row>
    <row r="98672" spans="1:6" x14ac:dyDescent="0.25">
      <c r="A98672"/>
      <c r="B98672"/>
      <c r="C98672"/>
      <c r="E98672"/>
      <c r="F98672"/>
    </row>
    <row r="98673" spans="1:6" x14ac:dyDescent="0.25">
      <c r="A98673"/>
      <c r="B98673"/>
      <c r="C98673"/>
      <c r="E98673"/>
      <c r="F98673"/>
    </row>
    <row r="98674" spans="1:6" x14ac:dyDescent="0.25">
      <c r="A98674"/>
      <c r="B98674"/>
      <c r="C98674"/>
      <c r="E98674"/>
      <c r="F98674"/>
    </row>
    <row r="98675" spans="1:6" x14ac:dyDescent="0.25">
      <c r="A98675"/>
      <c r="B98675"/>
      <c r="C98675"/>
      <c r="E98675"/>
      <c r="F98675"/>
    </row>
    <row r="98676" spans="1:6" x14ac:dyDescent="0.25">
      <c r="A98676"/>
      <c r="B98676"/>
      <c r="C98676"/>
      <c r="E98676"/>
      <c r="F98676"/>
    </row>
    <row r="98677" spans="1:6" x14ac:dyDescent="0.25">
      <c r="A98677"/>
      <c r="B98677"/>
      <c r="C98677"/>
      <c r="E98677"/>
      <c r="F98677"/>
    </row>
    <row r="98678" spans="1:6" x14ac:dyDescent="0.25">
      <c r="A98678"/>
      <c r="B98678"/>
      <c r="C98678"/>
      <c r="E98678"/>
      <c r="F98678"/>
    </row>
    <row r="98679" spans="1:6" x14ac:dyDescent="0.25">
      <c r="A98679"/>
      <c r="B98679"/>
      <c r="C98679"/>
      <c r="E98679"/>
      <c r="F98679"/>
    </row>
    <row r="98680" spans="1:6" x14ac:dyDescent="0.25">
      <c r="A98680"/>
      <c r="B98680"/>
      <c r="C98680"/>
      <c r="E98680"/>
      <c r="F98680"/>
    </row>
    <row r="98681" spans="1:6" x14ac:dyDescent="0.25">
      <c r="A98681"/>
      <c r="B98681"/>
      <c r="C98681"/>
      <c r="E98681"/>
      <c r="F98681"/>
    </row>
    <row r="98682" spans="1:6" x14ac:dyDescent="0.25">
      <c r="A98682"/>
      <c r="B98682"/>
      <c r="C98682"/>
      <c r="E98682"/>
      <c r="F98682"/>
    </row>
    <row r="98683" spans="1:6" x14ac:dyDescent="0.25">
      <c r="A98683"/>
      <c r="B98683"/>
      <c r="C98683"/>
      <c r="E98683"/>
      <c r="F98683"/>
    </row>
    <row r="98684" spans="1:6" x14ac:dyDescent="0.25">
      <c r="A98684"/>
      <c r="B98684"/>
      <c r="C98684"/>
      <c r="E98684"/>
      <c r="F98684"/>
    </row>
    <row r="98685" spans="1:6" x14ac:dyDescent="0.25">
      <c r="A98685"/>
      <c r="B98685"/>
      <c r="C98685"/>
      <c r="E98685"/>
      <c r="F98685"/>
    </row>
    <row r="98686" spans="1:6" x14ac:dyDescent="0.25">
      <c r="A98686"/>
      <c r="B98686"/>
      <c r="C98686"/>
      <c r="E98686"/>
      <c r="F98686"/>
    </row>
    <row r="98687" spans="1:6" x14ac:dyDescent="0.25">
      <c r="A98687"/>
      <c r="B98687"/>
      <c r="C98687"/>
      <c r="E98687"/>
      <c r="F98687"/>
    </row>
    <row r="98688" spans="1:6" x14ac:dyDescent="0.25">
      <c r="A98688"/>
      <c r="B98688"/>
      <c r="C98688"/>
      <c r="E98688"/>
      <c r="F98688"/>
    </row>
    <row r="98689" spans="1:6" x14ac:dyDescent="0.25">
      <c r="A98689"/>
      <c r="B98689"/>
      <c r="C98689"/>
      <c r="E98689"/>
      <c r="F98689"/>
    </row>
    <row r="98690" spans="1:6" x14ac:dyDescent="0.25">
      <c r="A98690"/>
      <c r="B98690"/>
      <c r="C98690"/>
      <c r="E98690"/>
      <c r="F98690"/>
    </row>
    <row r="98691" spans="1:6" x14ac:dyDescent="0.25">
      <c r="A98691"/>
      <c r="B98691"/>
      <c r="C98691"/>
      <c r="E98691"/>
      <c r="F98691"/>
    </row>
    <row r="98692" spans="1:6" x14ac:dyDescent="0.25">
      <c r="A98692"/>
      <c r="B98692"/>
      <c r="C98692"/>
      <c r="E98692"/>
      <c r="F98692"/>
    </row>
    <row r="98693" spans="1:6" x14ac:dyDescent="0.25">
      <c r="A98693"/>
      <c r="B98693"/>
      <c r="C98693"/>
      <c r="E98693"/>
      <c r="F98693"/>
    </row>
    <row r="98694" spans="1:6" x14ac:dyDescent="0.25">
      <c r="A98694"/>
      <c r="B98694"/>
      <c r="C98694"/>
      <c r="E98694"/>
      <c r="F98694"/>
    </row>
    <row r="98695" spans="1:6" x14ac:dyDescent="0.25">
      <c r="A98695"/>
      <c r="B98695"/>
      <c r="C98695"/>
      <c r="E98695"/>
      <c r="F98695"/>
    </row>
    <row r="98696" spans="1:6" x14ac:dyDescent="0.25">
      <c r="A98696"/>
      <c r="B98696"/>
      <c r="C98696"/>
      <c r="E98696"/>
      <c r="F98696"/>
    </row>
    <row r="98697" spans="1:6" x14ac:dyDescent="0.25">
      <c r="A98697"/>
      <c r="B98697"/>
      <c r="C98697"/>
      <c r="E98697"/>
      <c r="F98697"/>
    </row>
    <row r="98698" spans="1:6" x14ac:dyDescent="0.25">
      <c r="A98698"/>
      <c r="B98698"/>
      <c r="C98698"/>
      <c r="E98698"/>
      <c r="F98698"/>
    </row>
    <row r="98699" spans="1:6" x14ac:dyDescent="0.25">
      <c r="A98699"/>
      <c r="B98699"/>
      <c r="C98699"/>
      <c r="E98699"/>
      <c r="F98699"/>
    </row>
    <row r="98700" spans="1:6" x14ac:dyDescent="0.25">
      <c r="A98700"/>
      <c r="B98700"/>
      <c r="C98700"/>
      <c r="E98700"/>
      <c r="F98700"/>
    </row>
    <row r="98701" spans="1:6" x14ac:dyDescent="0.25">
      <c r="A98701"/>
      <c r="B98701"/>
      <c r="C98701"/>
      <c r="E98701"/>
      <c r="F98701"/>
    </row>
    <row r="98702" spans="1:6" x14ac:dyDescent="0.25">
      <c r="A98702"/>
      <c r="B98702"/>
      <c r="C98702"/>
      <c r="E98702"/>
      <c r="F98702"/>
    </row>
    <row r="98703" spans="1:6" x14ac:dyDescent="0.25">
      <c r="A98703"/>
      <c r="B98703"/>
      <c r="C98703"/>
      <c r="E98703"/>
      <c r="F98703"/>
    </row>
    <row r="98704" spans="1:6" x14ac:dyDescent="0.25">
      <c r="A98704"/>
      <c r="B98704"/>
      <c r="C98704"/>
      <c r="E98704"/>
      <c r="F98704"/>
    </row>
    <row r="98705" spans="1:6" x14ac:dyDescent="0.25">
      <c r="A98705"/>
      <c r="B98705"/>
      <c r="C98705"/>
      <c r="E98705"/>
      <c r="F98705"/>
    </row>
    <row r="98706" spans="1:6" x14ac:dyDescent="0.25">
      <c r="A98706"/>
      <c r="B98706"/>
      <c r="C98706"/>
      <c r="E98706"/>
      <c r="F98706"/>
    </row>
    <row r="98707" spans="1:6" x14ac:dyDescent="0.25">
      <c r="A98707"/>
      <c r="B98707"/>
      <c r="C98707"/>
      <c r="E98707"/>
      <c r="F98707"/>
    </row>
    <row r="98708" spans="1:6" x14ac:dyDescent="0.25">
      <c r="A98708"/>
      <c r="B98708"/>
      <c r="C98708"/>
      <c r="E98708"/>
      <c r="F98708"/>
    </row>
    <row r="98709" spans="1:6" x14ac:dyDescent="0.25">
      <c r="A98709"/>
      <c r="B98709"/>
      <c r="C98709"/>
      <c r="E98709"/>
      <c r="F98709"/>
    </row>
    <row r="98710" spans="1:6" x14ac:dyDescent="0.25">
      <c r="A98710"/>
      <c r="B98710"/>
      <c r="C98710"/>
      <c r="E98710"/>
      <c r="F98710"/>
    </row>
    <row r="98711" spans="1:6" x14ac:dyDescent="0.25">
      <c r="A98711"/>
      <c r="B98711"/>
      <c r="C98711"/>
      <c r="E98711"/>
      <c r="F98711"/>
    </row>
    <row r="98712" spans="1:6" x14ac:dyDescent="0.25">
      <c r="A98712"/>
      <c r="B98712"/>
      <c r="C98712"/>
      <c r="E98712"/>
      <c r="F98712"/>
    </row>
    <row r="98713" spans="1:6" x14ac:dyDescent="0.25">
      <c r="A98713"/>
      <c r="B98713"/>
      <c r="C98713"/>
      <c r="E98713"/>
      <c r="F98713"/>
    </row>
    <row r="98714" spans="1:6" x14ac:dyDescent="0.25">
      <c r="A98714"/>
      <c r="B98714"/>
      <c r="C98714"/>
      <c r="E98714"/>
      <c r="F98714"/>
    </row>
    <row r="98715" spans="1:6" x14ac:dyDescent="0.25">
      <c r="A98715"/>
      <c r="B98715"/>
      <c r="C98715"/>
      <c r="E98715"/>
      <c r="F98715"/>
    </row>
    <row r="98716" spans="1:6" x14ac:dyDescent="0.25">
      <c r="A98716"/>
      <c r="B98716"/>
      <c r="C98716"/>
      <c r="E98716"/>
      <c r="F98716"/>
    </row>
    <row r="98717" spans="1:6" x14ac:dyDescent="0.25">
      <c r="A98717"/>
      <c r="B98717"/>
      <c r="C98717"/>
      <c r="E98717"/>
      <c r="F98717"/>
    </row>
    <row r="98718" spans="1:6" x14ac:dyDescent="0.25">
      <c r="A98718"/>
      <c r="B98718"/>
      <c r="C98718"/>
      <c r="E98718"/>
      <c r="F98718"/>
    </row>
    <row r="98719" spans="1:6" x14ac:dyDescent="0.25">
      <c r="A98719"/>
      <c r="B98719"/>
      <c r="C98719"/>
      <c r="E98719"/>
      <c r="F98719"/>
    </row>
    <row r="98720" spans="1:6" x14ac:dyDescent="0.25">
      <c r="A98720"/>
      <c r="B98720"/>
      <c r="C98720"/>
      <c r="E98720"/>
      <c r="F98720"/>
    </row>
    <row r="98721" spans="1:6" x14ac:dyDescent="0.25">
      <c r="A98721"/>
      <c r="B98721"/>
      <c r="C98721"/>
      <c r="E98721"/>
      <c r="F98721"/>
    </row>
    <row r="98722" spans="1:6" x14ac:dyDescent="0.25">
      <c r="A98722"/>
      <c r="B98722"/>
      <c r="C98722"/>
      <c r="E98722"/>
      <c r="F98722"/>
    </row>
    <row r="98723" spans="1:6" x14ac:dyDescent="0.25">
      <c r="A98723"/>
      <c r="B98723"/>
      <c r="C98723"/>
      <c r="E98723"/>
      <c r="F98723"/>
    </row>
    <row r="98724" spans="1:6" x14ac:dyDescent="0.25">
      <c r="A98724"/>
      <c r="B98724"/>
      <c r="C98724"/>
      <c r="E98724"/>
      <c r="F98724"/>
    </row>
    <row r="98725" spans="1:6" x14ac:dyDescent="0.25">
      <c r="A98725"/>
      <c r="B98725"/>
      <c r="C98725"/>
      <c r="E98725"/>
      <c r="F98725"/>
    </row>
    <row r="98726" spans="1:6" x14ac:dyDescent="0.25">
      <c r="A98726"/>
      <c r="B98726"/>
      <c r="C98726"/>
      <c r="E98726"/>
      <c r="F98726"/>
    </row>
    <row r="98727" spans="1:6" x14ac:dyDescent="0.25">
      <c r="A98727"/>
      <c r="B98727"/>
      <c r="C98727"/>
      <c r="E98727"/>
      <c r="F98727"/>
    </row>
    <row r="98728" spans="1:6" x14ac:dyDescent="0.25">
      <c r="A98728"/>
      <c r="B98728"/>
      <c r="C98728"/>
      <c r="E98728"/>
      <c r="F98728"/>
    </row>
    <row r="98729" spans="1:6" x14ac:dyDescent="0.25">
      <c r="A98729"/>
      <c r="B98729"/>
      <c r="C98729"/>
      <c r="E98729"/>
      <c r="F98729"/>
    </row>
    <row r="98730" spans="1:6" x14ac:dyDescent="0.25">
      <c r="A98730"/>
      <c r="B98730"/>
      <c r="C98730"/>
      <c r="E98730"/>
      <c r="F98730"/>
    </row>
    <row r="98731" spans="1:6" x14ac:dyDescent="0.25">
      <c r="A98731"/>
      <c r="B98731"/>
      <c r="C98731"/>
      <c r="E98731"/>
      <c r="F98731"/>
    </row>
    <row r="98732" spans="1:6" x14ac:dyDescent="0.25">
      <c r="A98732"/>
      <c r="B98732"/>
      <c r="C98732"/>
      <c r="E98732"/>
      <c r="F98732"/>
    </row>
    <row r="98733" spans="1:6" x14ac:dyDescent="0.25">
      <c r="A98733"/>
      <c r="B98733"/>
      <c r="C98733"/>
      <c r="E98733"/>
      <c r="F98733"/>
    </row>
    <row r="98734" spans="1:6" x14ac:dyDescent="0.25">
      <c r="A98734"/>
      <c r="B98734"/>
      <c r="C98734"/>
      <c r="E98734"/>
      <c r="F98734"/>
    </row>
    <row r="98735" spans="1:6" x14ac:dyDescent="0.25">
      <c r="A98735"/>
      <c r="B98735"/>
      <c r="C98735"/>
      <c r="E98735"/>
      <c r="F98735"/>
    </row>
    <row r="98736" spans="1:6" x14ac:dyDescent="0.25">
      <c r="A98736"/>
      <c r="B98736"/>
      <c r="C98736"/>
      <c r="E98736"/>
      <c r="F98736"/>
    </row>
    <row r="98737" spans="1:6" x14ac:dyDescent="0.25">
      <c r="A98737"/>
      <c r="B98737"/>
      <c r="C98737"/>
      <c r="E98737"/>
      <c r="F98737"/>
    </row>
    <row r="98738" spans="1:6" x14ac:dyDescent="0.25">
      <c r="A98738"/>
      <c r="B98738"/>
      <c r="C98738"/>
      <c r="E98738"/>
      <c r="F98738"/>
    </row>
    <row r="98739" spans="1:6" x14ac:dyDescent="0.25">
      <c r="A98739"/>
      <c r="B98739"/>
      <c r="C98739"/>
      <c r="E98739"/>
      <c r="F98739"/>
    </row>
    <row r="98740" spans="1:6" x14ac:dyDescent="0.25">
      <c r="A98740"/>
      <c r="B98740"/>
      <c r="C98740"/>
      <c r="E98740"/>
      <c r="F98740"/>
    </row>
    <row r="98741" spans="1:6" x14ac:dyDescent="0.25">
      <c r="A98741"/>
      <c r="B98741"/>
      <c r="C98741"/>
      <c r="E98741"/>
      <c r="F98741"/>
    </row>
    <row r="98742" spans="1:6" x14ac:dyDescent="0.25">
      <c r="A98742"/>
      <c r="B98742"/>
      <c r="C98742"/>
      <c r="E98742"/>
      <c r="F98742"/>
    </row>
    <row r="98743" spans="1:6" x14ac:dyDescent="0.25">
      <c r="A98743"/>
      <c r="B98743"/>
      <c r="C98743"/>
      <c r="E98743"/>
      <c r="F98743"/>
    </row>
    <row r="98744" spans="1:6" x14ac:dyDescent="0.25">
      <c r="A98744"/>
      <c r="B98744"/>
      <c r="C98744"/>
      <c r="E98744"/>
      <c r="F98744"/>
    </row>
    <row r="98745" spans="1:6" x14ac:dyDescent="0.25">
      <c r="A98745"/>
      <c r="B98745"/>
      <c r="C98745"/>
      <c r="E98745"/>
      <c r="F98745"/>
    </row>
    <row r="98746" spans="1:6" x14ac:dyDescent="0.25">
      <c r="A98746"/>
      <c r="B98746"/>
      <c r="C98746"/>
      <c r="E98746"/>
      <c r="F98746"/>
    </row>
    <row r="98747" spans="1:6" x14ac:dyDescent="0.25">
      <c r="A98747"/>
      <c r="B98747"/>
      <c r="C98747"/>
      <c r="E98747"/>
      <c r="F98747"/>
    </row>
    <row r="98748" spans="1:6" x14ac:dyDescent="0.25">
      <c r="A98748"/>
      <c r="B98748"/>
      <c r="C98748"/>
      <c r="E98748"/>
      <c r="F98748"/>
    </row>
    <row r="98749" spans="1:6" x14ac:dyDescent="0.25">
      <c r="A98749"/>
      <c r="B98749"/>
      <c r="C98749"/>
      <c r="E98749"/>
      <c r="F98749"/>
    </row>
    <row r="98750" spans="1:6" x14ac:dyDescent="0.25">
      <c r="A98750"/>
      <c r="B98750"/>
      <c r="C98750"/>
      <c r="E98750"/>
      <c r="F98750"/>
    </row>
    <row r="98751" spans="1:6" x14ac:dyDescent="0.25">
      <c r="A98751"/>
      <c r="B98751"/>
      <c r="C98751"/>
      <c r="E98751"/>
      <c r="F98751"/>
    </row>
    <row r="98752" spans="1:6" x14ac:dyDescent="0.25">
      <c r="A98752"/>
      <c r="B98752"/>
      <c r="C98752"/>
      <c r="E98752"/>
      <c r="F98752"/>
    </row>
    <row r="98753" spans="1:6" x14ac:dyDescent="0.25">
      <c r="A98753"/>
      <c r="B98753"/>
      <c r="C98753"/>
      <c r="E98753"/>
      <c r="F98753"/>
    </row>
    <row r="98754" spans="1:6" x14ac:dyDescent="0.25">
      <c r="A98754"/>
      <c r="B98754"/>
      <c r="C98754"/>
      <c r="E98754"/>
      <c r="F98754"/>
    </row>
    <row r="98755" spans="1:6" x14ac:dyDescent="0.25">
      <c r="A98755"/>
      <c r="B98755"/>
      <c r="C98755"/>
      <c r="E98755"/>
      <c r="F98755"/>
    </row>
    <row r="98756" spans="1:6" x14ac:dyDescent="0.25">
      <c r="A98756"/>
      <c r="B98756"/>
      <c r="C98756"/>
      <c r="E98756"/>
      <c r="F98756"/>
    </row>
    <row r="98757" spans="1:6" x14ac:dyDescent="0.25">
      <c r="A98757"/>
      <c r="B98757"/>
      <c r="C98757"/>
      <c r="E98757"/>
      <c r="F98757"/>
    </row>
    <row r="98758" spans="1:6" x14ac:dyDescent="0.25">
      <c r="A98758"/>
      <c r="B98758"/>
      <c r="C98758"/>
      <c r="E98758"/>
      <c r="F98758"/>
    </row>
    <row r="98759" spans="1:6" x14ac:dyDescent="0.25">
      <c r="A98759"/>
      <c r="B98759"/>
      <c r="C98759"/>
      <c r="E98759"/>
      <c r="F98759"/>
    </row>
    <row r="98760" spans="1:6" x14ac:dyDescent="0.25">
      <c r="A98760"/>
      <c r="B98760"/>
      <c r="C98760"/>
      <c r="E98760"/>
      <c r="F98760"/>
    </row>
    <row r="98761" spans="1:6" x14ac:dyDescent="0.25">
      <c r="A98761"/>
      <c r="B98761"/>
      <c r="C98761"/>
      <c r="E98761"/>
      <c r="F98761"/>
    </row>
    <row r="98762" spans="1:6" x14ac:dyDescent="0.25">
      <c r="A98762"/>
      <c r="B98762"/>
      <c r="C98762"/>
      <c r="E98762"/>
      <c r="F98762"/>
    </row>
    <row r="98763" spans="1:6" x14ac:dyDescent="0.25">
      <c r="A98763"/>
      <c r="B98763"/>
      <c r="C98763"/>
      <c r="E98763"/>
      <c r="F98763"/>
    </row>
    <row r="98764" spans="1:6" x14ac:dyDescent="0.25">
      <c r="A98764"/>
      <c r="B98764"/>
      <c r="C98764"/>
      <c r="E98764"/>
      <c r="F98764"/>
    </row>
    <row r="98765" spans="1:6" x14ac:dyDescent="0.25">
      <c r="A98765"/>
      <c r="B98765"/>
      <c r="C98765"/>
      <c r="E98765"/>
      <c r="F98765"/>
    </row>
    <row r="98766" spans="1:6" x14ac:dyDescent="0.25">
      <c r="A98766"/>
      <c r="B98766"/>
      <c r="C98766"/>
      <c r="E98766"/>
      <c r="F98766"/>
    </row>
    <row r="98767" spans="1:6" x14ac:dyDescent="0.25">
      <c r="A98767"/>
      <c r="B98767"/>
      <c r="C98767"/>
      <c r="E98767"/>
      <c r="F98767"/>
    </row>
    <row r="98768" spans="1:6" x14ac:dyDescent="0.25">
      <c r="A98768"/>
      <c r="B98768"/>
      <c r="C98768"/>
      <c r="E98768"/>
      <c r="F98768"/>
    </row>
    <row r="98769" spans="1:6" x14ac:dyDescent="0.25">
      <c r="A98769"/>
      <c r="B98769"/>
      <c r="C98769"/>
      <c r="E98769"/>
      <c r="F98769"/>
    </row>
    <row r="98770" spans="1:6" x14ac:dyDescent="0.25">
      <c r="A98770"/>
      <c r="B98770"/>
      <c r="C98770"/>
      <c r="E98770"/>
      <c r="F98770"/>
    </row>
    <row r="98771" spans="1:6" x14ac:dyDescent="0.25">
      <c r="A98771"/>
      <c r="B98771"/>
      <c r="C98771"/>
      <c r="E98771"/>
      <c r="F98771"/>
    </row>
    <row r="98772" spans="1:6" x14ac:dyDescent="0.25">
      <c r="A98772"/>
      <c r="B98772"/>
      <c r="C98772"/>
      <c r="E98772"/>
      <c r="F98772"/>
    </row>
    <row r="98773" spans="1:6" x14ac:dyDescent="0.25">
      <c r="A98773"/>
      <c r="B98773"/>
      <c r="C98773"/>
      <c r="E98773"/>
      <c r="F98773"/>
    </row>
    <row r="98774" spans="1:6" x14ac:dyDescent="0.25">
      <c r="A98774"/>
      <c r="B98774"/>
      <c r="C98774"/>
      <c r="E98774"/>
      <c r="F98774"/>
    </row>
    <row r="98775" spans="1:6" x14ac:dyDescent="0.25">
      <c r="A98775"/>
      <c r="B98775"/>
      <c r="C98775"/>
      <c r="E98775"/>
      <c r="F98775"/>
    </row>
    <row r="98776" spans="1:6" x14ac:dyDescent="0.25">
      <c r="A98776"/>
      <c r="B98776"/>
      <c r="C98776"/>
      <c r="E98776"/>
      <c r="F98776"/>
    </row>
    <row r="98777" spans="1:6" x14ac:dyDescent="0.25">
      <c r="A98777"/>
      <c r="B98777"/>
      <c r="C98777"/>
      <c r="E98777"/>
      <c r="F98777"/>
    </row>
    <row r="98778" spans="1:6" x14ac:dyDescent="0.25">
      <c r="A98778"/>
      <c r="B98778"/>
      <c r="C98778"/>
      <c r="E98778"/>
      <c r="F98778"/>
    </row>
    <row r="98779" spans="1:6" x14ac:dyDescent="0.25">
      <c r="A98779"/>
      <c r="B98779"/>
      <c r="C98779"/>
      <c r="E98779"/>
      <c r="F98779"/>
    </row>
    <row r="98780" spans="1:6" x14ac:dyDescent="0.25">
      <c r="A98780"/>
      <c r="B98780"/>
      <c r="C98780"/>
      <c r="E98780"/>
      <c r="F98780"/>
    </row>
    <row r="98781" spans="1:6" x14ac:dyDescent="0.25">
      <c r="A98781"/>
      <c r="B98781"/>
      <c r="C98781"/>
      <c r="E98781"/>
      <c r="F98781"/>
    </row>
    <row r="98782" spans="1:6" x14ac:dyDescent="0.25">
      <c r="A98782"/>
      <c r="B98782"/>
      <c r="C98782"/>
      <c r="E98782"/>
      <c r="F98782"/>
    </row>
    <row r="98783" spans="1:6" x14ac:dyDescent="0.25">
      <c r="A98783"/>
      <c r="B98783"/>
      <c r="C98783"/>
      <c r="E98783"/>
      <c r="F98783"/>
    </row>
    <row r="98784" spans="1:6" x14ac:dyDescent="0.25">
      <c r="A98784"/>
      <c r="B98784"/>
      <c r="C98784"/>
      <c r="E98784"/>
      <c r="F98784"/>
    </row>
    <row r="98785" spans="1:6" x14ac:dyDescent="0.25">
      <c r="A98785"/>
      <c r="B98785"/>
      <c r="C98785"/>
      <c r="E98785"/>
      <c r="F98785"/>
    </row>
    <row r="98786" spans="1:6" x14ac:dyDescent="0.25">
      <c r="A98786"/>
      <c r="B98786"/>
      <c r="C98786"/>
      <c r="E98786"/>
      <c r="F98786"/>
    </row>
    <row r="98787" spans="1:6" x14ac:dyDescent="0.25">
      <c r="A98787"/>
      <c r="B98787"/>
      <c r="C98787"/>
      <c r="E98787"/>
      <c r="F98787"/>
    </row>
    <row r="98788" spans="1:6" x14ac:dyDescent="0.25">
      <c r="A98788"/>
      <c r="B98788"/>
      <c r="C98788"/>
      <c r="E98788"/>
      <c r="F98788"/>
    </row>
    <row r="98789" spans="1:6" x14ac:dyDescent="0.25">
      <c r="A98789"/>
      <c r="B98789"/>
      <c r="C98789"/>
      <c r="E98789"/>
      <c r="F98789"/>
    </row>
    <row r="98790" spans="1:6" x14ac:dyDescent="0.25">
      <c r="A98790"/>
      <c r="B98790"/>
      <c r="C98790"/>
      <c r="E98790"/>
      <c r="F98790"/>
    </row>
    <row r="98791" spans="1:6" x14ac:dyDescent="0.25">
      <c r="A98791"/>
      <c r="B98791"/>
      <c r="C98791"/>
      <c r="E98791"/>
      <c r="F98791"/>
    </row>
    <row r="98792" spans="1:6" x14ac:dyDescent="0.25">
      <c r="A98792"/>
      <c r="B98792"/>
      <c r="C98792"/>
      <c r="E98792"/>
      <c r="F98792"/>
    </row>
    <row r="98793" spans="1:6" x14ac:dyDescent="0.25">
      <c r="A98793"/>
      <c r="B98793"/>
      <c r="C98793"/>
      <c r="E98793"/>
      <c r="F98793"/>
    </row>
    <row r="98794" spans="1:6" x14ac:dyDescent="0.25">
      <c r="A98794"/>
      <c r="B98794"/>
      <c r="C98794"/>
      <c r="E98794"/>
      <c r="F98794"/>
    </row>
    <row r="98795" spans="1:6" x14ac:dyDescent="0.25">
      <c r="A98795"/>
      <c r="B98795"/>
      <c r="C98795"/>
      <c r="E98795"/>
      <c r="F98795"/>
    </row>
    <row r="98796" spans="1:6" x14ac:dyDescent="0.25">
      <c r="A98796"/>
      <c r="B98796"/>
      <c r="C98796"/>
      <c r="E98796"/>
      <c r="F98796"/>
    </row>
    <row r="98797" spans="1:6" x14ac:dyDescent="0.25">
      <c r="A98797"/>
      <c r="B98797"/>
      <c r="C98797"/>
      <c r="E98797"/>
      <c r="F98797"/>
    </row>
    <row r="98798" spans="1:6" x14ac:dyDescent="0.25">
      <c r="A98798"/>
      <c r="B98798"/>
      <c r="C98798"/>
      <c r="E98798"/>
      <c r="F98798"/>
    </row>
    <row r="98799" spans="1:6" x14ac:dyDescent="0.25">
      <c r="A98799"/>
      <c r="B98799"/>
      <c r="C98799"/>
      <c r="E98799"/>
      <c r="F98799"/>
    </row>
    <row r="98800" spans="1:6" x14ac:dyDescent="0.25">
      <c r="A98800"/>
      <c r="B98800"/>
      <c r="C98800"/>
      <c r="E98800"/>
      <c r="F98800"/>
    </row>
    <row r="98801" spans="1:6" x14ac:dyDescent="0.25">
      <c r="A98801"/>
      <c r="B98801"/>
      <c r="C98801"/>
      <c r="E98801"/>
      <c r="F98801"/>
    </row>
    <row r="98802" spans="1:6" x14ac:dyDescent="0.25">
      <c r="A98802"/>
      <c r="B98802"/>
      <c r="C98802"/>
      <c r="E98802"/>
      <c r="F98802"/>
    </row>
    <row r="98803" spans="1:6" x14ac:dyDescent="0.25">
      <c r="A98803"/>
      <c r="B98803"/>
      <c r="C98803"/>
      <c r="E98803"/>
      <c r="F98803"/>
    </row>
    <row r="98804" spans="1:6" x14ac:dyDescent="0.25">
      <c r="A98804"/>
      <c r="B98804"/>
      <c r="C98804"/>
      <c r="E98804"/>
      <c r="F98804"/>
    </row>
    <row r="98805" spans="1:6" x14ac:dyDescent="0.25">
      <c r="A98805"/>
      <c r="B98805"/>
      <c r="C98805"/>
      <c r="E98805"/>
      <c r="F98805"/>
    </row>
    <row r="98806" spans="1:6" x14ac:dyDescent="0.25">
      <c r="A98806"/>
      <c r="B98806"/>
      <c r="C98806"/>
      <c r="E98806"/>
      <c r="F98806"/>
    </row>
    <row r="98807" spans="1:6" x14ac:dyDescent="0.25">
      <c r="A98807"/>
      <c r="B98807"/>
      <c r="C98807"/>
      <c r="E98807"/>
      <c r="F98807"/>
    </row>
    <row r="98808" spans="1:6" x14ac:dyDescent="0.25">
      <c r="A98808"/>
      <c r="B98808"/>
      <c r="C98808"/>
      <c r="E98808"/>
      <c r="F98808"/>
    </row>
    <row r="98809" spans="1:6" x14ac:dyDescent="0.25">
      <c r="A98809"/>
      <c r="B98809"/>
      <c r="C98809"/>
      <c r="E98809"/>
      <c r="F98809"/>
    </row>
    <row r="98810" spans="1:6" x14ac:dyDescent="0.25">
      <c r="A98810"/>
      <c r="B98810"/>
      <c r="C98810"/>
      <c r="E98810"/>
      <c r="F98810"/>
    </row>
    <row r="98811" spans="1:6" x14ac:dyDescent="0.25">
      <c r="A98811"/>
      <c r="B98811"/>
      <c r="C98811"/>
      <c r="E98811"/>
      <c r="F98811"/>
    </row>
    <row r="98812" spans="1:6" x14ac:dyDescent="0.25">
      <c r="A98812"/>
      <c r="B98812"/>
      <c r="C98812"/>
      <c r="E98812"/>
      <c r="F98812"/>
    </row>
    <row r="98813" spans="1:6" x14ac:dyDescent="0.25">
      <c r="A98813"/>
      <c r="B98813"/>
      <c r="C98813"/>
      <c r="E98813"/>
      <c r="F98813"/>
    </row>
    <row r="98814" spans="1:6" x14ac:dyDescent="0.25">
      <c r="A98814"/>
      <c r="B98814"/>
      <c r="C98814"/>
      <c r="E98814"/>
      <c r="F98814"/>
    </row>
    <row r="98815" spans="1:6" x14ac:dyDescent="0.25">
      <c r="A98815"/>
      <c r="B98815"/>
      <c r="C98815"/>
      <c r="E98815"/>
      <c r="F98815"/>
    </row>
    <row r="98816" spans="1:6" x14ac:dyDescent="0.25">
      <c r="A98816"/>
      <c r="B98816"/>
      <c r="C98816"/>
      <c r="E98816"/>
      <c r="F98816"/>
    </row>
    <row r="98817" spans="1:6" x14ac:dyDescent="0.25">
      <c r="A98817"/>
      <c r="B98817"/>
      <c r="C98817"/>
      <c r="E98817"/>
      <c r="F98817"/>
    </row>
    <row r="98818" spans="1:6" x14ac:dyDescent="0.25">
      <c r="A98818"/>
      <c r="B98818"/>
      <c r="C98818"/>
      <c r="E98818"/>
      <c r="F98818"/>
    </row>
    <row r="98819" spans="1:6" x14ac:dyDescent="0.25">
      <c r="A98819"/>
      <c r="B98819"/>
      <c r="C98819"/>
      <c r="E98819"/>
      <c r="F98819"/>
    </row>
    <row r="98820" spans="1:6" x14ac:dyDescent="0.25">
      <c r="A98820"/>
      <c r="B98820"/>
      <c r="C98820"/>
      <c r="E98820"/>
      <c r="F98820"/>
    </row>
    <row r="98821" spans="1:6" x14ac:dyDescent="0.25">
      <c r="A98821"/>
      <c r="B98821"/>
      <c r="C98821"/>
      <c r="E98821"/>
      <c r="F98821"/>
    </row>
    <row r="98822" spans="1:6" x14ac:dyDescent="0.25">
      <c r="A98822"/>
      <c r="B98822"/>
      <c r="C98822"/>
      <c r="E98822"/>
      <c r="F98822"/>
    </row>
    <row r="98823" spans="1:6" x14ac:dyDescent="0.25">
      <c r="A98823"/>
      <c r="B98823"/>
      <c r="C98823"/>
      <c r="E98823"/>
      <c r="F98823"/>
    </row>
    <row r="98824" spans="1:6" x14ac:dyDescent="0.25">
      <c r="A98824"/>
      <c r="B98824"/>
      <c r="C98824"/>
      <c r="E98824"/>
      <c r="F98824"/>
    </row>
    <row r="98825" spans="1:6" x14ac:dyDescent="0.25">
      <c r="A98825"/>
      <c r="B98825"/>
      <c r="C98825"/>
      <c r="E98825"/>
      <c r="F98825"/>
    </row>
    <row r="98826" spans="1:6" x14ac:dyDescent="0.25">
      <c r="A98826"/>
      <c r="B98826"/>
      <c r="C98826"/>
      <c r="E98826"/>
      <c r="F98826"/>
    </row>
    <row r="98827" spans="1:6" x14ac:dyDescent="0.25">
      <c r="A98827"/>
      <c r="B98827"/>
      <c r="C98827"/>
      <c r="E98827"/>
      <c r="F98827"/>
    </row>
    <row r="98828" spans="1:6" x14ac:dyDescent="0.25">
      <c r="A98828"/>
      <c r="B98828"/>
      <c r="C98828"/>
      <c r="E98828"/>
      <c r="F98828"/>
    </row>
    <row r="98829" spans="1:6" x14ac:dyDescent="0.25">
      <c r="A98829"/>
      <c r="B98829"/>
      <c r="C98829"/>
      <c r="E98829"/>
      <c r="F98829"/>
    </row>
    <row r="98830" spans="1:6" x14ac:dyDescent="0.25">
      <c r="A98830"/>
      <c r="B98830"/>
      <c r="C98830"/>
      <c r="E98830"/>
      <c r="F98830"/>
    </row>
    <row r="98831" spans="1:6" x14ac:dyDescent="0.25">
      <c r="A98831"/>
      <c r="B98831"/>
      <c r="C98831"/>
      <c r="E98831"/>
      <c r="F98831"/>
    </row>
    <row r="98832" spans="1:6" x14ac:dyDescent="0.25">
      <c r="A98832"/>
      <c r="B98832"/>
      <c r="C98832"/>
      <c r="E98832"/>
      <c r="F98832"/>
    </row>
    <row r="98833" spans="1:6" x14ac:dyDescent="0.25">
      <c r="A98833"/>
      <c r="B98833"/>
      <c r="C98833"/>
      <c r="E98833"/>
      <c r="F98833"/>
    </row>
    <row r="98834" spans="1:6" x14ac:dyDescent="0.25">
      <c r="A98834"/>
      <c r="B98834"/>
      <c r="C98834"/>
      <c r="E98834"/>
      <c r="F98834"/>
    </row>
    <row r="98835" spans="1:6" x14ac:dyDescent="0.25">
      <c r="A98835"/>
      <c r="B98835"/>
      <c r="C98835"/>
      <c r="E98835"/>
      <c r="F98835"/>
    </row>
    <row r="98836" spans="1:6" x14ac:dyDescent="0.25">
      <c r="A98836"/>
      <c r="B98836"/>
      <c r="C98836"/>
      <c r="E98836"/>
      <c r="F98836"/>
    </row>
    <row r="98837" spans="1:6" x14ac:dyDescent="0.25">
      <c r="A98837"/>
      <c r="B98837"/>
      <c r="C98837"/>
      <c r="E98837"/>
      <c r="F98837"/>
    </row>
    <row r="98838" spans="1:6" x14ac:dyDescent="0.25">
      <c r="A98838"/>
      <c r="B98838"/>
      <c r="C98838"/>
      <c r="E98838"/>
      <c r="F98838"/>
    </row>
    <row r="98839" spans="1:6" x14ac:dyDescent="0.25">
      <c r="A98839"/>
      <c r="B98839"/>
      <c r="C98839"/>
      <c r="E98839"/>
      <c r="F98839"/>
    </row>
    <row r="98840" spans="1:6" x14ac:dyDescent="0.25">
      <c r="A98840"/>
      <c r="B98840"/>
      <c r="C98840"/>
      <c r="E98840"/>
      <c r="F98840"/>
    </row>
    <row r="98841" spans="1:6" x14ac:dyDescent="0.25">
      <c r="A98841"/>
      <c r="B98841"/>
      <c r="C98841"/>
      <c r="E98841"/>
      <c r="F98841"/>
    </row>
    <row r="98842" spans="1:6" x14ac:dyDescent="0.25">
      <c r="A98842"/>
      <c r="B98842"/>
      <c r="C98842"/>
      <c r="E98842"/>
      <c r="F98842"/>
    </row>
    <row r="98843" spans="1:6" x14ac:dyDescent="0.25">
      <c r="A98843"/>
      <c r="B98843"/>
      <c r="C98843"/>
      <c r="E98843"/>
      <c r="F98843"/>
    </row>
    <row r="98844" spans="1:6" x14ac:dyDescent="0.25">
      <c r="A98844"/>
      <c r="B98844"/>
      <c r="C98844"/>
      <c r="E98844"/>
      <c r="F98844"/>
    </row>
    <row r="98845" spans="1:6" x14ac:dyDescent="0.25">
      <c r="A98845"/>
      <c r="B98845"/>
      <c r="C98845"/>
      <c r="E98845"/>
      <c r="F98845"/>
    </row>
    <row r="98846" spans="1:6" x14ac:dyDescent="0.25">
      <c r="A98846"/>
      <c r="B98846"/>
      <c r="C98846"/>
      <c r="E98846"/>
      <c r="F98846"/>
    </row>
    <row r="98847" spans="1:6" x14ac:dyDescent="0.25">
      <c r="A98847"/>
      <c r="B98847"/>
      <c r="C98847"/>
      <c r="E98847"/>
      <c r="F98847"/>
    </row>
    <row r="98848" spans="1:6" x14ac:dyDescent="0.25">
      <c r="A98848"/>
      <c r="B98848"/>
      <c r="C98848"/>
      <c r="E98848"/>
      <c r="F98848"/>
    </row>
    <row r="98849" spans="1:6" x14ac:dyDescent="0.25">
      <c r="A98849"/>
      <c r="B98849"/>
      <c r="C98849"/>
      <c r="E98849"/>
      <c r="F98849"/>
    </row>
    <row r="98850" spans="1:6" x14ac:dyDescent="0.25">
      <c r="A98850"/>
      <c r="B98850"/>
      <c r="C98850"/>
      <c r="E98850"/>
      <c r="F98850"/>
    </row>
    <row r="98851" spans="1:6" x14ac:dyDescent="0.25">
      <c r="A98851"/>
      <c r="B98851"/>
      <c r="C98851"/>
      <c r="E98851"/>
      <c r="F98851"/>
    </row>
    <row r="98852" spans="1:6" x14ac:dyDescent="0.25">
      <c r="A98852"/>
      <c r="B98852"/>
      <c r="C98852"/>
      <c r="E98852"/>
      <c r="F98852"/>
    </row>
    <row r="98853" spans="1:6" x14ac:dyDescent="0.25">
      <c r="A98853"/>
      <c r="B98853"/>
      <c r="C98853"/>
      <c r="E98853"/>
      <c r="F98853"/>
    </row>
    <row r="98854" spans="1:6" x14ac:dyDescent="0.25">
      <c r="A98854"/>
      <c r="B98854"/>
      <c r="C98854"/>
      <c r="E98854"/>
      <c r="F98854"/>
    </row>
    <row r="98855" spans="1:6" x14ac:dyDescent="0.25">
      <c r="A98855"/>
      <c r="B98855"/>
      <c r="C98855"/>
      <c r="E98855"/>
      <c r="F98855"/>
    </row>
    <row r="98856" spans="1:6" x14ac:dyDescent="0.25">
      <c r="A98856"/>
      <c r="B98856"/>
      <c r="C98856"/>
      <c r="E98856"/>
      <c r="F98856"/>
    </row>
    <row r="98857" spans="1:6" x14ac:dyDescent="0.25">
      <c r="A98857"/>
      <c r="B98857"/>
      <c r="C98857"/>
      <c r="E98857"/>
      <c r="F98857"/>
    </row>
    <row r="98858" spans="1:6" x14ac:dyDescent="0.25">
      <c r="A98858"/>
      <c r="B98858"/>
      <c r="C98858"/>
      <c r="E98858"/>
      <c r="F98858"/>
    </row>
    <row r="98859" spans="1:6" x14ac:dyDescent="0.25">
      <c r="A98859"/>
      <c r="B98859"/>
      <c r="C98859"/>
      <c r="E98859"/>
      <c r="F98859"/>
    </row>
    <row r="98860" spans="1:6" x14ac:dyDescent="0.25">
      <c r="A98860"/>
      <c r="B98860"/>
      <c r="C98860"/>
      <c r="E98860"/>
      <c r="F98860"/>
    </row>
    <row r="98861" spans="1:6" x14ac:dyDescent="0.25">
      <c r="A98861"/>
      <c r="B98861"/>
      <c r="C98861"/>
      <c r="E98861"/>
      <c r="F98861"/>
    </row>
    <row r="98862" spans="1:6" x14ac:dyDescent="0.25">
      <c r="A98862"/>
      <c r="B98862"/>
      <c r="C98862"/>
      <c r="E98862"/>
      <c r="F98862"/>
    </row>
    <row r="98863" spans="1:6" x14ac:dyDescent="0.25">
      <c r="A98863"/>
      <c r="B98863"/>
      <c r="C98863"/>
      <c r="E98863"/>
      <c r="F98863"/>
    </row>
    <row r="98864" spans="1:6" x14ac:dyDescent="0.25">
      <c r="A98864"/>
      <c r="B98864"/>
      <c r="C98864"/>
      <c r="E98864"/>
      <c r="F98864"/>
    </row>
    <row r="98865" spans="1:6" x14ac:dyDescent="0.25">
      <c r="A98865"/>
      <c r="B98865"/>
      <c r="C98865"/>
      <c r="E98865"/>
      <c r="F98865"/>
    </row>
    <row r="98866" spans="1:6" x14ac:dyDescent="0.25">
      <c r="A98866"/>
      <c r="B98866"/>
      <c r="C98866"/>
      <c r="E98866"/>
      <c r="F98866"/>
    </row>
    <row r="98867" spans="1:6" x14ac:dyDescent="0.25">
      <c r="A98867"/>
      <c r="B98867"/>
      <c r="C98867"/>
      <c r="E98867"/>
      <c r="F98867"/>
    </row>
    <row r="98868" spans="1:6" x14ac:dyDescent="0.25">
      <c r="A98868"/>
      <c r="B98868"/>
      <c r="C98868"/>
      <c r="E98868"/>
      <c r="F98868"/>
    </row>
    <row r="98869" spans="1:6" x14ac:dyDescent="0.25">
      <c r="A98869"/>
      <c r="B98869"/>
      <c r="C98869"/>
      <c r="E98869"/>
      <c r="F98869"/>
    </row>
    <row r="98870" spans="1:6" x14ac:dyDescent="0.25">
      <c r="A98870"/>
      <c r="B98870"/>
      <c r="C98870"/>
      <c r="E98870"/>
      <c r="F98870"/>
    </row>
    <row r="98871" spans="1:6" x14ac:dyDescent="0.25">
      <c r="A98871"/>
      <c r="B98871"/>
      <c r="C98871"/>
      <c r="E98871"/>
      <c r="F98871"/>
    </row>
    <row r="98872" spans="1:6" x14ac:dyDescent="0.25">
      <c r="A98872"/>
      <c r="B98872"/>
      <c r="C98872"/>
      <c r="E98872"/>
      <c r="F98872"/>
    </row>
    <row r="98873" spans="1:6" x14ac:dyDescent="0.25">
      <c r="A98873"/>
      <c r="B98873"/>
      <c r="C98873"/>
      <c r="E98873"/>
      <c r="F98873"/>
    </row>
    <row r="98874" spans="1:6" x14ac:dyDescent="0.25">
      <c r="A98874"/>
      <c r="B98874"/>
      <c r="C98874"/>
      <c r="E98874"/>
      <c r="F98874"/>
    </row>
    <row r="98875" spans="1:6" x14ac:dyDescent="0.25">
      <c r="A98875"/>
      <c r="B98875"/>
      <c r="C98875"/>
      <c r="E98875"/>
      <c r="F98875"/>
    </row>
    <row r="98876" spans="1:6" x14ac:dyDescent="0.25">
      <c r="A98876"/>
      <c r="B98876"/>
      <c r="C98876"/>
      <c r="E98876"/>
      <c r="F98876"/>
    </row>
    <row r="98877" spans="1:6" x14ac:dyDescent="0.25">
      <c r="A98877"/>
      <c r="B98877"/>
      <c r="C98877"/>
      <c r="E98877"/>
      <c r="F98877"/>
    </row>
    <row r="98878" spans="1:6" x14ac:dyDescent="0.25">
      <c r="A98878"/>
      <c r="B98878"/>
      <c r="C98878"/>
      <c r="E98878"/>
      <c r="F98878"/>
    </row>
    <row r="98879" spans="1:6" x14ac:dyDescent="0.25">
      <c r="A98879"/>
      <c r="B98879"/>
      <c r="C98879"/>
      <c r="E98879"/>
      <c r="F98879"/>
    </row>
    <row r="98880" spans="1:6" x14ac:dyDescent="0.25">
      <c r="A98880"/>
      <c r="B98880"/>
      <c r="C98880"/>
      <c r="E98880"/>
      <c r="F98880"/>
    </row>
    <row r="98881" spans="1:6" x14ac:dyDescent="0.25">
      <c r="A98881"/>
      <c r="B98881"/>
      <c r="C98881"/>
      <c r="E98881"/>
      <c r="F98881"/>
    </row>
    <row r="98882" spans="1:6" x14ac:dyDescent="0.25">
      <c r="A98882"/>
      <c r="B98882"/>
      <c r="C98882"/>
      <c r="E98882"/>
      <c r="F98882"/>
    </row>
    <row r="98883" spans="1:6" x14ac:dyDescent="0.25">
      <c r="A98883"/>
      <c r="B98883"/>
      <c r="C98883"/>
      <c r="E98883"/>
      <c r="F98883"/>
    </row>
    <row r="98884" spans="1:6" x14ac:dyDescent="0.25">
      <c r="A98884"/>
      <c r="B98884"/>
      <c r="C98884"/>
      <c r="E98884"/>
      <c r="F98884"/>
    </row>
    <row r="98885" spans="1:6" x14ac:dyDescent="0.25">
      <c r="A98885"/>
      <c r="B98885"/>
      <c r="C98885"/>
      <c r="E98885"/>
      <c r="F98885"/>
    </row>
    <row r="98886" spans="1:6" x14ac:dyDescent="0.25">
      <c r="A98886"/>
      <c r="B98886"/>
      <c r="C98886"/>
      <c r="E98886"/>
      <c r="F98886"/>
    </row>
    <row r="98887" spans="1:6" x14ac:dyDescent="0.25">
      <c r="A98887"/>
      <c r="B98887"/>
      <c r="C98887"/>
      <c r="E98887"/>
      <c r="F98887"/>
    </row>
    <row r="98888" spans="1:6" x14ac:dyDescent="0.25">
      <c r="A98888"/>
      <c r="B98888"/>
      <c r="C98888"/>
      <c r="E98888"/>
      <c r="F98888"/>
    </row>
    <row r="98889" spans="1:6" x14ac:dyDescent="0.25">
      <c r="A98889"/>
      <c r="B98889"/>
      <c r="C98889"/>
      <c r="E98889"/>
      <c r="F98889"/>
    </row>
    <row r="98890" spans="1:6" x14ac:dyDescent="0.25">
      <c r="A98890"/>
      <c r="B98890"/>
      <c r="C98890"/>
      <c r="E98890"/>
      <c r="F98890"/>
    </row>
    <row r="98891" spans="1:6" x14ac:dyDescent="0.25">
      <c r="A98891"/>
      <c r="B98891"/>
      <c r="C98891"/>
      <c r="E98891"/>
      <c r="F98891"/>
    </row>
    <row r="98892" spans="1:6" x14ac:dyDescent="0.25">
      <c r="A98892"/>
      <c r="B98892"/>
      <c r="C98892"/>
      <c r="E98892"/>
      <c r="F98892"/>
    </row>
    <row r="98893" spans="1:6" x14ac:dyDescent="0.25">
      <c r="A98893"/>
      <c r="B98893"/>
      <c r="C98893"/>
      <c r="E98893"/>
      <c r="F98893"/>
    </row>
    <row r="98894" spans="1:6" x14ac:dyDescent="0.25">
      <c r="A98894"/>
      <c r="B98894"/>
      <c r="C98894"/>
      <c r="E98894"/>
      <c r="F98894"/>
    </row>
    <row r="98895" spans="1:6" x14ac:dyDescent="0.25">
      <c r="A98895"/>
      <c r="B98895"/>
      <c r="C98895"/>
      <c r="E98895"/>
      <c r="F98895"/>
    </row>
    <row r="98896" spans="1:6" x14ac:dyDescent="0.25">
      <c r="A98896"/>
      <c r="B98896"/>
      <c r="C98896"/>
      <c r="E98896"/>
      <c r="F98896"/>
    </row>
    <row r="98897" spans="1:6" x14ac:dyDescent="0.25">
      <c r="A98897"/>
      <c r="B98897"/>
      <c r="C98897"/>
      <c r="E98897"/>
      <c r="F98897"/>
    </row>
    <row r="98898" spans="1:6" x14ac:dyDescent="0.25">
      <c r="A98898"/>
      <c r="B98898"/>
      <c r="C98898"/>
      <c r="E98898"/>
      <c r="F98898"/>
    </row>
    <row r="98899" spans="1:6" x14ac:dyDescent="0.25">
      <c r="A98899"/>
      <c r="B98899"/>
      <c r="C98899"/>
      <c r="E98899"/>
      <c r="F98899"/>
    </row>
    <row r="98900" spans="1:6" x14ac:dyDescent="0.25">
      <c r="A98900"/>
      <c r="B98900"/>
      <c r="C98900"/>
      <c r="E98900"/>
      <c r="F98900"/>
    </row>
    <row r="98901" spans="1:6" x14ac:dyDescent="0.25">
      <c r="A98901"/>
      <c r="B98901"/>
      <c r="C98901"/>
      <c r="E98901"/>
      <c r="F98901"/>
    </row>
    <row r="98902" spans="1:6" x14ac:dyDescent="0.25">
      <c r="A98902"/>
      <c r="B98902"/>
      <c r="C98902"/>
      <c r="E98902"/>
      <c r="F98902"/>
    </row>
    <row r="98903" spans="1:6" x14ac:dyDescent="0.25">
      <c r="A98903"/>
      <c r="B98903"/>
      <c r="C98903"/>
      <c r="E98903"/>
      <c r="F98903"/>
    </row>
    <row r="98904" spans="1:6" x14ac:dyDescent="0.25">
      <c r="A98904"/>
      <c r="B98904"/>
      <c r="C98904"/>
      <c r="E98904"/>
      <c r="F98904"/>
    </row>
    <row r="98905" spans="1:6" x14ac:dyDescent="0.25">
      <c r="A98905"/>
      <c r="B98905"/>
      <c r="C98905"/>
      <c r="E98905"/>
      <c r="F98905"/>
    </row>
    <row r="98906" spans="1:6" x14ac:dyDescent="0.25">
      <c r="A98906"/>
      <c r="B98906"/>
      <c r="C98906"/>
      <c r="E98906"/>
      <c r="F98906"/>
    </row>
    <row r="98907" spans="1:6" x14ac:dyDescent="0.25">
      <c r="A98907"/>
      <c r="B98907"/>
      <c r="C98907"/>
      <c r="E98907"/>
      <c r="F98907"/>
    </row>
    <row r="98908" spans="1:6" x14ac:dyDescent="0.25">
      <c r="A98908"/>
      <c r="B98908"/>
      <c r="C98908"/>
      <c r="E98908"/>
      <c r="F98908"/>
    </row>
    <row r="98909" spans="1:6" x14ac:dyDescent="0.25">
      <c r="A98909"/>
      <c r="B98909"/>
      <c r="C98909"/>
      <c r="E98909"/>
      <c r="F98909"/>
    </row>
    <row r="98910" spans="1:6" x14ac:dyDescent="0.25">
      <c r="A98910"/>
      <c r="B98910"/>
      <c r="C98910"/>
      <c r="E98910"/>
      <c r="F98910"/>
    </row>
    <row r="98911" spans="1:6" x14ac:dyDescent="0.25">
      <c r="A98911"/>
      <c r="B98911"/>
      <c r="C98911"/>
      <c r="E98911"/>
      <c r="F98911"/>
    </row>
    <row r="98912" spans="1:6" x14ac:dyDescent="0.25">
      <c r="A98912"/>
      <c r="B98912"/>
      <c r="C98912"/>
      <c r="E98912"/>
      <c r="F98912"/>
    </row>
    <row r="98913" spans="1:6" x14ac:dyDescent="0.25">
      <c r="A98913"/>
      <c r="B98913"/>
      <c r="C98913"/>
      <c r="E98913"/>
      <c r="F98913"/>
    </row>
    <row r="98914" spans="1:6" x14ac:dyDescent="0.25">
      <c r="A98914"/>
      <c r="B98914"/>
      <c r="C98914"/>
      <c r="E98914"/>
      <c r="F98914"/>
    </row>
    <row r="98915" spans="1:6" x14ac:dyDescent="0.25">
      <c r="A98915"/>
      <c r="B98915"/>
      <c r="C98915"/>
      <c r="E98915"/>
      <c r="F98915"/>
    </row>
    <row r="98916" spans="1:6" x14ac:dyDescent="0.25">
      <c r="A98916"/>
      <c r="B98916"/>
      <c r="C98916"/>
      <c r="E98916"/>
      <c r="F98916"/>
    </row>
    <row r="98917" spans="1:6" x14ac:dyDescent="0.25">
      <c r="A98917"/>
      <c r="B98917"/>
      <c r="C98917"/>
      <c r="E98917"/>
      <c r="F98917"/>
    </row>
    <row r="98918" spans="1:6" x14ac:dyDescent="0.25">
      <c r="A98918"/>
      <c r="B98918"/>
      <c r="C98918"/>
      <c r="E98918"/>
      <c r="F98918"/>
    </row>
    <row r="98919" spans="1:6" x14ac:dyDescent="0.25">
      <c r="A98919"/>
      <c r="B98919"/>
      <c r="C98919"/>
      <c r="E98919"/>
      <c r="F98919"/>
    </row>
    <row r="98920" spans="1:6" x14ac:dyDescent="0.25">
      <c r="A98920"/>
      <c r="B98920"/>
      <c r="C98920"/>
      <c r="E98920"/>
      <c r="F98920"/>
    </row>
    <row r="98921" spans="1:6" x14ac:dyDescent="0.25">
      <c r="A98921"/>
      <c r="B98921"/>
      <c r="C98921"/>
      <c r="E98921"/>
      <c r="F98921"/>
    </row>
    <row r="98922" spans="1:6" x14ac:dyDescent="0.25">
      <c r="A98922"/>
      <c r="B98922"/>
      <c r="C98922"/>
      <c r="E98922"/>
      <c r="F98922"/>
    </row>
    <row r="98923" spans="1:6" x14ac:dyDescent="0.25">
      <c r="A98923"/>
      <c r="B98923"/>
      <c r="C98923"/>
      <c r="E98923"/>
      <c r="F98923"/>
    </row>
    <row r="98924" spans="1:6" x14ac:dyDescent="0.25">
      <c r="A98924"/>
      <c r="B98924"/>
      <c r="C98924"/>
      <c r="E98924"/>
      <c r="F98924"/>
    </row>
    <row r="98925" spans="1:6" x14ac:dyDescent="0.25">
      <c r="A98925"/>
      <c r="B98925"/>
      <c r="C98925"/>
      <c r="E98925"/>
      <c r="F98925"/>
    </row>
    <row r="98926" spans="1:6" x14ac:dyDescent="0.25">
      <c r="A98926"/>
      <c r="B98926"/>
      <c r="C98926"/>
      <c r="E98926"/>
      <c r="F98926"/>
    </row>
    <row r="98927" spans="1:6" x14ac:dyDescent="0.25">
      <c r="A98927"/>
      <c r="B98927"/>
      <c r="C98927"/>
      <c r="E98927"/>
      <c r="F98927"/>
    </row>
    <row r="98928" spans="1:6" x14ac:dyDescent="0.25">
      <c r="A98928"/>
      <c r="B98928"/>
      <c r="C98928"/>
      <c r="E98928"/>
      <c r="F98928"/>
    </row>
    <row r="98929" spans="1:6" x14ac:dyDescent="0.25">
      <c r="A98929"/>
      <c r="B98929"/>
      <c r="C98929"/>
      <c r="E98929"/>
      <c r="F98929"/>
    </row>
    <row r="98930" spans="1:6" x14ac:dyDescent="0.25">
      <c r="A98930"/>
      <c r="B98930"/>
      <c r="C98930"/>
      <c r="E98930"/>
      <c r="F98930"/>
    </row>
    <row r="98931" spans="1:6" x14ac:dyDescent="0.25">
      <c r="A98931"/>
      <c r="B98931"/>
      <c r="C98931"/>
      <c r="E98931"/>
      <c r="F98931"/>
    </row>
    <row r="98932" spans="1:6" x14ac:dyDescent="0.25">
      <c r="A98932"/>
      <c r="B98932"/>
      <c r="C98932"/>
      <c r="E98932"/>
      <c r="F98932"/>
    </row>
    <row r="98933" spans="1:6" x14ac:dyDescent="0.25">
      <c r="A98933"/>
      <c r="B98933"/>
      <c r="C98933"/>
      <c r="E98933"/>
      <c r="F98933"/>
    </row>
    <row r="98934" spans="1:6" x14ac:dyDescent="0.25">
      <c r="A98934"/>
      <c r="B98934"/>
      <c r="C98934"/>
      <c r="E98934"/>
      <c r="F98934"/>
    </row>
    <row r="98935" spans="1:6" x14ac:dyDescent="0.25">
      <c r="A98935"/>
      <c r="B98935"/>
      <c r="C98935"/>
      <c r="E98935"/>
      <c r="F98935"/>
    </row>
    <row r="98936" spans="1:6" x14ac:dyDescent="0.25">
      <c r="A98936"/>
      <c r="B98936"/>
      <c r="C98936"/>
      <c r="E98936"/>
      <c r="F98936"/>
    </row>
    <row r="98937" spans="1:6" x14ac:dyDescent="0.25">
      <c r="A98937"/>
      <c r="B98937"/>
      <c r="C98937"/>
      <c r="E98937"/>
      <c r="F98937"/>
    </row>
    <row r="98938" spans="1:6" x14ac:dyDescent="0.25">
      <c r="A98938"/>
      <c r="B98938"/>
      <c r="C98938"/>
      <c r="E98938"/>
      <c r="F98938"/>
    </row>
    <row r="98939" spans="1:6" x14ac:dyDescent="0.25">
      <c r="A98939"/>
      <c r="B98939"/>
      <c r="C98939"/>
      <c r="E98939"/>
      <c r="F98939"/>
    </row>
    <row r="98940" spans="1:6" x14ac:dyDescent="0.25">
      <c r="A98940"/>
      <c r="B98940"/>
      <c r="C98940"/>
      <c r="E98940"/>
      <c r="F98940"/>
    </row>
    <row r="98941" spans="1:6" x14ac:dyDescent="0.25">
      <c r="A98941"/>
      <c r="B98941"/>
      <c r="C98941"/>
      <c r="E98941"/>
      <c r="F98941"/>
    </row>
    <row r="98942" spans="1:6" x14ac:dyDescent="0.25">
      <c r="A98942"/>
      <c r="B98942"/>
      <c r="C98942"/>
      <c r="E98942"/>
      <c r="F98942"/>
    </row>
    <row r="98943" spans="1:6" x14ac:dyDescent="0.25">
      <c r="A98943"/>
      <c r="B98943"/>
      <c r="C98943"/>
      <c r="E98943"/>
      <c r="F98943"/>
    </row>
    <row r="98944" spans="1:6" x14ac:dyDescent="0.25">
      <c r="A98944"/>
      <c r="B98944"/>
      <c r="C98944"/>
      <c r="E98944"/>
      <c r="F98944"/>
    </row>
    <row r="98945" spans="1:6" x14ac:dyDescent="0.25">
      <c r="A98945"/>
      <c r="B98945"/>
      <c r="C98945"/>
      <c r="E98945"/>
      <c r="F98945"/>
    </row>
    <row r="98946" spans="1:6" x14ac:dyDescent="0.25">
      <c r="A98946"/>
      <c r="B98946"/>
      <c r="C98946"/>
      <c r="E98946"/>
      <c r="F98946"/>
    </row>
    <row r="98947" spans="1:6" x14ac:dyDescent="0.25">
      <c r="A98947"/>
      <c r="B98947"/>
      <c r="C98947"/>
      <c r="E98947"/>
      <c r="F98947"/>
    </row>
    <row r="98948" spans="1:6" x14ac:dyDescent="0.25">
      <c r="A98948"/>
      <c r="B98948"/>
      <c r="C98948"/>
      <c r="E98948"/>
      <c r="F98948"/>
    </row>
    <row r="98949" spans="1:6" x14ac:dyDescent="0.25">
      <c r="A98949"/>
      <c r="B98949"/>
      <c r="C98949"/>
      <c r="E98949"/>
      <c r="F98949"/>
    </row>
    <row r="98950" spans="1:6" x14ac:dyDescent="0.25">
      <c r="A98950"/>
      <c r="B98950"/>
      <c r="C98950"/>
      <c r="E98950"/>
      <c r="F98950"/>
    </row>
    <row r="98951" spans="1:6" x14ac:dyDescent="0.25">
      <c r="A98951"/>
      <c r="B98951"/>
      <c r="C98951"/>
      <c r="E98951"/>
      <c r="F98951"/>
    </row>
    <row r="98952" spans="1:6" x14ac:dyDescent="0.25">
      <c r="A98952"/>
      <c r="B98952"/>
      <c r="C98952"/>
      <c r="E98952"/>
      <c r="F98952"/>
    </row>
    <row r="98953" spans="1:6" x14ac:dyDescent="0.25">
      <c r="A98953"/>
      <c r="B98953"/>
      <c r="C98953"/>
      <c r="E98953"/>
      <c r="F98953"/>
    </row>
    <row r="98954" spans="1:6" x14ac:dyDescent="0.25">
      <c r="A98954"/>
      <c r="B98954"/>
      <c r="C98954"/>
      <c r="E98954"/>
      <c r="F98954"/>
    </row>
    <row r="98955" spans="1:6" x14ac:dyDescent="0.25">
      <c r="A98955"/>
      <c r="B98955"/>
      <c r="C98955"/>
      <c r="E98955"/>
      <c r="F98955"/>
    </row>
    <row r="98956" spans="1:6" x14ac:dyDescent="0.25">
      <c r="A98956"/>
      <c r="B98956"/>
      <c r="C98956"/>
      <c r="E98956"/>
      <c r="F98956"/>
    </row>
    <row r="98957" spans="1:6" x14ac:dyDescent="0.25">
      <c r="A98957"/>
      <c r="B98957"/>
      <c r="C98957"/>
      <c r="E98957"/>
      <c r="F98957"/>
    </row>
    <row r="98958" spans="1:6" x14ac:dyDescent="0.25">
      <c r="A98958"/>
      <c r="B98958"/>
      <c r="C98958"/>
      <c r="E98958"/>
      <c r="F98958"/>
    </row>
    <row r="98959" spans="1:6" x14ac:dyDescent="0.25">
      <c r="A98959"/>
      <c r="B98959"/>
      <c r="C98959"/>
      <c r="E98959"/>
      <c r="F98959"/>
    </row>
    <row r="98960" spans="1:6" x14ac:dyDescent="0.25">
      <c r="A98960"/>
      <c r="B98960"/>
      <c r="C98960"/>
      <c r="E98960"/>
      <c r="F98960"/>
    </row>
    <row r="98961" spans="1:6" x14ac:dyDescent="0.25">
      <c r="A98961"/>
      <c r="B98961"/>
      <c r="C98961"/>
      <c r="E98961"/>
      <c r="F98961"/>
    </row>
    <row r="98962" spans="1:6" x14ac:dyDescent="0.25">
      <c r="A98962"/>
      <c r="B98962"/>
      <c r="C98962"/>
      <c r="E98962"/>
      <c r="F98962"/>
    </row>
    <row r="98963" spans="1:6" x14ac:dyDescent="0.25">
      <c r="A98963"/>
      <c r="B98963"/>
      <c r="C98963"/>
      <c r="E98963"/>
      <c r="F98963"/>
    </row>
    <row r="98964" spans="1:6" x14ac:dyDescent="0.25">
      <c r="A98964"/>
      <c r="B98964"/>
      <c r="C98964"/>
      <c r="E98964"/>
      <c r="F98964"/>
    </row>
    <row r="98965" spans="1:6" x14ac:dyDescent="0.25">
      <c r="A98965"/>
      <c r="B98965"/>
      <c r="C98965"/>
      <c r="E98965"/>
      <c r="F98965"/>
    </row>
    <row r="98966" spans="1:6" x14ac:dyDescent="0.25">
      <c r="A98966"/>
      <c r="B98966"/>
      <c r="C98966"/>
      <c r="E98966"/>
      <c r="F98966"/>
    </row>
    <row r="98967" spans="1:6" x14ac:dyDescent="0.25">
      <c r="A98967"/>
      <c r="B98967"/>
      <c r="C98967"/>
      <c r="E98967"/>
      <c r="F98967"/>
    </row>
    <row r="98968" spans="1:6" x14ac:dyDescent="0.25">
      <c r="A98968"/>
      <c r="B98968"/>
      <c r="C98968"/>
      <c r="E98968"/>
      <c r="F98968"/>
    </row>
    <row r="98969" spans="1:6" x14ac:dyDescent="0.25">
      <c r="A98969"/>
      <c r="B98969"/>
      <c r="C98969"/>
      <c r="E98969"/>
      <c r="F98969"/>
    </row>
    <row r="98970" spans="1:6" x14ac:dyDescent="0.25">
      <c r="A98970"/>
      <c r="B98970"/>
      <c r="C98970"/>
      <c r="E98970"/>
      <c r="F98970"/>
    </row>
    <row r="98971" spans="1:6" x14ac:dyDescent="0.25">
      <c r="A98971"/>
      <c r="B98971"/>
      <c r="C98971"/>
      <c r="E98971"/>
      <c r="F98971"/>
    </row>
    <row r="98972" spans="1:6" x14ac:dyDescent="0.25">
      <c r="A98972"/>
      <c r="B98972"/>
      <c r="C98972"/>
      <c r="E98972"/>
      <c r="F98972"/>
    </row>
    <row r="98973" spans="1:6" x14ac:dyDescent="0.25">
      <c r="A98973"/>
      <c r="B98973"/>
      <c r="C98973"/>
      <c r="E98973"/>
      <c r="F98973"/>
    </row>
    <row r="98974" spans="1:6" x14ac:dyDescent="0.25">
      <c r="A98974"/>
      <c r="B98974"/>
      <c r="C98974"/>
      <c r="E98974"/>
      <c r="F98974"/>
    </row>
    <row r="98975" spans="1:6" x14ac:dyDescent="0.25">
      <c r="A98975"/>
      <c r="B98975"/>
      <c r="C98975"/>
      <c r="E98975"/>
      <c r="F98975"/>
    </row>
    <row r="98976" spans="1:6" x14ac:dyDescent="0.25">
      <c r="A98976"/>
      <c r="B98976"/>
      <c r="C98976"/>
      <c r="E98976"/>
      <c r="F98976"/>
    </row>
    <row r="98977" spans="1:6" x14ac:dyDescent="0.25">
      <c r="A98977"/>
      <c r="B98977"/>
      <c r="C98977"/>
      <c r="E98977"/>
      <c r="F98977"/>
    </row>
    <row r="98978" spans="1:6" x14ac:dyDescent="0.25">
      <c r="A98978"/>
      <c r="B98978"/>
      <c r="C98978"/>
      <c r="E98978"/>
      <c r="F98978"/>
    </row>
    <row r="98979" spans="1:6" x14ac:dyDescent="0.25">
      <c r="A98979"/>
      <c r="B98979"/>
      <c r="C98979"/>
      <c r="E98979"/>
      <c r="F98979"/>
    </row>
    <row r="98980" spans="1:6" x14ac:dyDescent="0.25">
      <c r="A98980"/>
      <c r="B98980"/>
      <c r="C98980"/>
      <c r="E98980"/>
      <c r="F98980"/>
    </row>
    <row r="98981" spans="1:6" x14ac:dyDescent="0.25">
      <c r="A98981"/>
      <c r="B98981"/>
      <c r="C98981"/>
      <c r="E98981"/>
      <c r="F98981"/>
    </row>
    <row r="98982" spans="1:6" x14ac:dyDescent="0.25">
      <c r="A98982"/>
      <c r="B98982"/>
      <c r="C98982"/>
      <c r="E98982"/>
      <c r="F98982"/>
    </row>
    <row r="98983" spans="1:6" x14ac:dyDescent="0.25">
      <c r="A98983"/>
      <c r="B98983"/>
      <c r="C98983"/>
      <c r="E98983"/>
      <c r="F98983"/>
    </row>
    <row r="98984" spans="1:6" x14ac:dyDescent="0.25">
      <c r="A98984"/>
      <c r="B98984"/>
      <c r="C98984"/>
      <c r="E98984"/>
      <c r="F98984"/>
    </row>
    <row r="98985" spans="1:6" x14ac:dyDescent="0.25">
      <c r="A98985"/>
      <c r="B98985"/>
      <c r="C98985"/>
      <c r="E98985"/>
      <c r="F98985"/>
    </row>
    <row r="98986" spans="1:6" x14ac:dyDescent="0.25">
      <c r="A98986"/>
      <c r="B98986"/>
      <c r="C98986"/>
      <c r="E98986"/>
      <c r="F98986"/>
    </row>
    <row r="98987" spans="1:6" x14ac:dyDescent="0.25">
      <c r="A98987"/>
      <c r="B98987"/>
      <c r="C98987"/>
      <c r="E98987"/>
      <c r="F98987"/>
    </row>
    <row r="98988" spans="1:6" x14ac:dyDescent="0.25">
      <c r="A98988"/>
      <c r="B98988"/>
      <c r="C98988"/>
      <c r="E98988"/>
      <c r="F98988"/>
    </row>
    <row r="98989" spans="1:6" x14ac:dyDescent="0.25">
      <c r="A98989"/>
      <c r="B98989"/>
      <c r="C98989"/>
      <c r="E98989"/>
      <c r="F98989"/>
    </row>
    <row r="98990" spans="1:6" x14ac:dyDescent="0.25">
      <c r="A98990"/>
      <c r="B98990"/>
      <c r="C98990"/>
      <c r="E98990"/>
      <c r="F98990"/>
    </row>
    <row r="98991" spans="1:6" x14ac:dyDescent="0.25">
      <c r="A98991"/>
      <c r="B98991"/>
      <c r="C98991"/>
      <c r="E98991"/>
      <c r="F98991"/>
    </row>
    <row r="98992" spans="1:6" x14ac:dyDescent="0.25">
      <c r="A98992"/>
      <c r="B98992"/>
      <c r="C98992"/>
      <c r="E98992"/>
      <c r="F98992"/>
    </row>
    <row r="98993" spans="1:6" x14ac:dyDescent="0.25">
      <c r="A98993"/>
      <c r="B98993"/>
      <c r="C98993"/>
      <c r="E98993"/>
      <c r="F98993"/>
    </row>
    <row r="98994" spans="1:6" x14ac:dyDescent="0.25">
      <c r="A98994"/>
      <c r="B98994"/>
      <c r="C98994"/>
      <c r="E98994"/>
      <c r="F98994"/>
    </row>
    <row r="98995" spans="1:6" x14ac:dyDescent="0.25">
      <c r="A98995"/>
      <c r="B98995"/>
      <c r="C98995"/>
      <c r="E98995"/>
      <c r="F98995"/>
    </row>
    <row r="98996" spans="1:6" x14ac:dyDescent="0.25">
      <c r="A98996"/>
      <c r="B98996"/>
      <c r="C98996"/>
      <c r="E98996"/>
      <c r="F98996"/>
    </row>
    <row r="98997" spans="1:6" x14ac:dyDescent="0.25">
      <c r="A98997"/>
      <c r="B98997"/>
      <c r="C98997"/>
      <c r="E98997"/>
      <c r="F98997"/>
    </row>
    <row r="98998" spans="1:6" x14ac:dyDescent="0.25">
      <c r="A98998"/>
      <c r="B98998"/>
      <c r="C98998"/>
      <c r="E98998"/>
      <c r="F98998"/>
    </row>
    <row r="98999" spans="1:6" x14ac:dyDescent="0.25">
      <c r="A98999"/>
      <c r="B98999"/>
      <c r="C98999"/>
      <c r="E98999"/>
      <c r="F98999"/>
    </row>
    <row r="99000" spans="1:6" x14ac:dyDescent="0.25">
      <c r="A99000"/>
      <c r="B99000"/>
      <c r="C99000"/>
      <c r="E99000"/>
      <c r="F99000"/>
    </row>
    <row r="99001" spans="1:6" x14ac:dyDescent="0.25">
      <c r="A99001"/>
      <c r="B99001"/>
      <c r="C99001"/>
      <c r="E99001"/>
      <c r="F99001"/>
    </row>
    <row r="99002" spans="1:6" x14ac:dyDescent="0.25">
      <c r="A99002"/>
      <c r="B99002"/>
      <c r="C99002"/>
      <c r="E99002"/>
      <c r="F99002"/>
    </row>
    <row r="99003" spans="1:6" x14ac:dyDescent="0.25">
      <c r="A99003"/>
      <c r="B99003"/>
      <c r="C99003"/>
      <c r="E99003"/>
      <c r="F99003"/>
    </row>
    <row r="99004" spans="1:6" x14ac:dyDescent="0.25">
      <c r="A99004"/>
      <c r="B99004"/>
      <c r="C99004"/>
      <c r="E99004"/>
      <c r="F99004"/>
    </row>
    <row r="99005" spans="1:6" x14ac:dyDescent="0.25">
      <c r="A99005"/>
      <c r="B99005"/>
      <c r="C99005"/>
      <c r="E99005"/>
      <c r="F99005"/>
    </row>
    <row r="99006" spans="1:6" x14ac:dyDescent="0.25">
      <c r="A99006"/>
      <c r="B99006"/>
      <c r="C99006"/>
      <c r="E99006"/>
      <c r="F99006"/>
    </row>
    <row r="99007" spans="1:6" x14ac:dyDescent="0.25">
      <c r="A99007"/>
      <c r="B99007"/>
      <c r="C99007"/>
      <c r="E99007"/>
      <c r="F99007"/>
    </row>
    <row r="99008" spans="1:6" x14ac:dyDescent="0.25">
      <c r="A99008"/>
      <c r="B99008"/>
      <c r="C99008"/>
      <c r="E99008"/>
      <c r="F99008"/>
    </row>
    <row r="99009" spans="1:6" x14ac:dyDescent="0.25">
      <c r="A99009"/>
      <c r="B99009"/>
      <c r="C99009"/>
      <c r="E99009"/>
      <c r="F99009"/>
    </row>
    <row r="99010" spans="1:6" x14ac:dyDescent="0.25">
      <c r="A99010"/>
      <c r="B99010"/>
      <c r="C99010"/>
      <c r="E99010"/>
      <c r="F99010"/>
    </row>
    <row r="99011" spans="1:6" x14ac:dyDescent="0.25">
      <c r="A99011"/>
      <c r="B99011"/>
      <c r="C99011"/>
      <c r="E99011"/>
      <c r="F99011"/>
    </row>
    <row r="99012" spans="1:6" x14ac:dyDescent="0.25">
      <c r="A99012"/>
      <c r="B99012"/>
      <c r="C99012"/>
      <c r="E99012"/>
      <c r="F99012"/>
    </row>
    <row r="99013" spans="1:6" x14ac:dyDescent="0.25">
      <c r="A99013"/>
      <c r="B99013"/>
      <c r="C99013"/>
      <c r="E99013"/>
      <c r="F99013"/>
    </row>
    <row r="99014" spans="1:6" x14ac:dyDescent="0.25">
      <c r="A99014"/>
      <c r="B99014"/>
      <c r="C99014"/>
      <c r="E99014"/>
      <c r="F99014"/>
    </row>
    <row r="99015" spans="1:6" x14ac:dyDescent="0.25">
      <c r="A99015"/>
      <c r="B99015"/>
      <c r="C99015"/>
      <c r="E99015"/>
      <c r="F99015"/>
    </row>
    <row r="99016" spans="1:6" x14ac:dyDescent="0.25">
      <c r="A99016"/>
      <c r="B99016"/>
      <c r="C99016"/>
      <c r="E99016"/>
      <c r="F99016"/>
    </row>
    <row r="99017" spans="1:6" x14ac:dyDescent="0.25">
      <c r="A99017"/>
      <c r="B99017"/>
      <c r="C99017"/>
      <c r="E99017"/>
      <c r="F99017"/>
    </row>
    <row r="99018" spans="1:6" x14ac:dyDescent="0.25">
      <c r="A99018"/>
      <c r="B99018"/>
      <c r="C99018"/>
      <c r="E99018"/>
      <c r="F99018"/>
    </row>
    <row r="99019" spans="1:6" x14ac:dyDescent="0.25">
      <c r="A99019"/>
      <c r="B99019"/>
      <c r="C99019"/>
      <c r="E99019"/>
      <c r="F99019"/>
    </row>
    <row r="99020" spans="1:6" x14ac:dyDescent="0.25">
      <c r="A99020"/>
      <c r="B99020"/>
      <c r="C99020"/>
      <c r="E99020"/>
      <c r="F99020"/>
    </row>
    <row r="99021" spans="1:6" x14ac:dyDescent="0.25">
      <c r="A99021"/>
      <c r="B99021"/>
      <c r="C99021"/>
      <c r="E99021"/>
      <c r="F99021"/>
    </row>
    <row r="99022" spans="1:6" x14ac:dyDescent="0.25">
      <c r="A99022"/>
      <c r="B99022"/>
      <c r="C99022"/>
      <c r="E99022"/>
      <c r="F99022"/>
    </row>
    <row r="99023" spans="1:6" x14ac:dyDescent="0.25">
      <c r="A99023"/>
      <c r="B99023"/>
      <c r="C99023"/>
      <c r="E99023"/>
      <c r="F99023"/>
    </row>
    <row r="99024" spans="1:6" x14ac:dyDescent="0.25">
      <c r="A99024"/>
      <c r="B99024"/>
      <c r="C99024"/>
      <c r="E99024"/>
      <c r="F99024"/>
    </row>
    <row r="99025" spans="1:6" x14ac:dyDescent="0.25">
      <c r="A99025"/>
      <c r="B99025"/>
      <c r="C99025"/>
      <c r="E99025"/>
      <c r="F99025"/>
    </row>
    <row r="99026" spans="1:6" x14ac:dyDescent="0.25">
      <c r="A99026"/>
      <c r="B99026"/>
      <c r="C99026"/>
      <c r="E99026"/>
      <c r="F99026"/>
    </row>
    <row r="99027" spans="1:6" x14ac:dyDescent="0.25">
      <c r="A99027"/>
      <c r="B99027"/>
      <c r="C99027"/>
      <c r="E99027"/>
      <c r="F99027"/>
    </row>
    <row r="99028" spans="1:6" x14ac:dyDescent="0.25">
      <c r="A99028"/>
      <c r="B99028"/>
      <c r="C99028"/>
      <c r="E99028"/>
      <c r="F99028"/>
    </row>
    <row r="99029" spans="1:6" x14ac:dyDescent="0.25">
      <c r="A99029"/>
      <c r="B99029"/>
      <c r="C99029"/>
      <c r="E99029"/>
      <c r="F99029"/>
    </row>
    <row r="99030" spans="1:6" x14ac:dyDescent="0.25">
      <c r="A99030"/>
      <c r="B99030"/>
      <c r="C99030"/>
      <c r="E99030"/>
      <c r="F99030"/>
    </row>
    <row r="99031" spans="1:6" x14ac:dyDescent="0.25">
      <c r="A99031"/>
      <c r="B99031"/>
      <c r="C99031"/>
      <c r="E99031"/>
      <c r="F99031"/>
    </row>
    <row r="99032" spans="1:6" x14ac:dyDescent="0.25">
      <c r="A99032"/>
      <c r="B99032"/>
      <c r="C99032"/>
      <c r="E99032"/>
      <c r="F99032"/>
    </row>
    <row r="99033" spans="1:6" x14ac:dyDescent="0.25">
      <c r="A99033"/>
      <c r="B99033"/>
      <c r="C99033"/>
      <c r="E99033"/>
      <c r="F99033"/>
    </row>
    <row r="99034" spans="1:6" x14ac:dyDescent="0.25">
      <c r="A99034"/>
      <c r="B99034"/>
      <c r="C99034"/>
      <c r="E99034"/>
      <c r="F99034"/>
    </row>
    <row r="99035" spans="1:6" x14ac:dyDescent="0.25">
      <c r="A99035"/>
      <c r="B99035"/>
      <c r="C99035"/>
      <c r="E99035"/>
      <c r="F99035"/>
    </row>
    <row r="99036" spans="1:6" x14ac:dyDescent="0.25">
      <c r="A99036"/>
      <c r="B99036"/>
      <c r="C99036"/>
      <c r="E99036"/>
      <c r="F99036"/>
    </row>
    <row r="99037" spans="1:6" x14ac:dyDescent="0.25">
      <c r="A99037"/>
      <c r="B99037"/>
      <c r="C99037"/>
      <c r="E99037"/>
      <c r="F99037"/>
    </row>
    <row r="99038" spans="1:6" x14ac:dyDescent="0.25">
      <c r="A99038"/>
      <c r="B99038"/>
      <c r="C99038"/>
      <c r="E99038"/>
      <c r="F99038"/>
    </row>
    <row r="99039" spans="1:6" x14ac:dyDescent="0.25">
      <c r="A99039"/>
      <c r="B99039"/>
      <c r="C99039"/>
      <c r="E99039"/>
      <c r="F99039"/>
    </row>
    <row r="99040" spans="1:6" x14ac:dyDescent="0.25">
      <c r="A99040"/>
      <c r="B99040"/>
      <c r="C99040"/>
      <c r="E99040"/>
      <c r="F99040"/>
    </row>
    <row r="99041" spans="1:6" x14ac:dyDescent="0.25">
      <c r="A99041"/>
      <c r="B99041"/>
      <c r="C99041"/>
      <c r="E99041"/>
      <c r="F99041"/>
    </row>
    <row r="99042" spans="1:6" x14ac:dyDescent="0.25">
      <c r="A99042"/>
      <c r="B99042"/>
      <c r="C99042"/>
      <c r="E99042"/>
      <c r="F99042"/>
    </row>
    <row r="99043" spans="1:6" x14ac:dyDescent="0.25">
      <c r="A99043"/>
      <c r="B99043"/>
      <c r="C99043"/>
      <c r="E99043"/>
      <c r="F99043"/>
    </row>
    <row r="99044" spans="1:6" x14ac:dyDescent="0.25">
      <c r="A99044"/>
      <c r="B99044"/>
      <c r="C99044"/>
      <c r="E99044"/>
      <c r="F99044"/>
    </row>
    <row r="99045" spans="1:6" x14ac:dyDescent="0.25">
      <c r="A99045"/>
      <c r="B99045"/>
      <c r="C99045"/>
      <c r="E99045"/>
      <c r="F99045"/>
    </row>
    <row r="99046" spans="1:6" x14ac:dyDescent="0.25">
      <c r="A99046"/>
      <c r="B99046"/>
      <c r="C99046"/>
      <c r="E99046"/>
      <c r="F99046"/>
    </row>
    <row r="99047" spans="1:6" x14ac:dyDescent="0.25">
      <c r="A99047"/>
      <c r="B99047"/>
      <c r="C99047"/>
      <c r="E99047"/>
      <c r="F99047"/>
    </row>
    <row r="99048" spans="1:6" x14ac:dyDescent="0.25">
      <c r="A99048"/>
      <c r="B99048"/>
      <c r="C99048"/>
      <c r="E99048"/>
      <c r="F99048"/>
    </row>
    <row r="99049" spans="1:6" x14ac:dyDescent="0.25">
      <c r="A99049"/>
      <c r="B99049"/>
      <c r="C99049"/>
      <c r="E99049"/>
      <c r="F99049"/>
    </row>
    <row r="99050" spans="1:6" x14ac:dyDescent="0.25">
      <c r="A99050"/>
      <c r="B99050"/>
      <c r="C99050"/>
      <c r="E99050"/>
      <c r="F99050"/>
    </row>
    <row r="99051" spans="1:6" x14ac:dyDescent="0.25">
      <c r="A99051"/>
      <c r="B99051"/>
      <c r="C99051"/>
      <c r="E99051"/>
      <c r="F99051"/>
    </row>
    <row r="99052" spans="1:6" x14ac:dyDescent="0.25">
      <c r="A99052"/>
      <c r="B99052"/>
      <c r="C99052"/>
      <c r="E99052"/>
      <c r="F99052"/>
    </row>
    <row r="99053" spans="1:6" x14ac:dyDescent="0.25">
      <c r="A99053"/>
      <c r="B99053"/>
      <c r="C99053"/>
      <c r="E99053"/>
      <c r="F99053"/>
    </row>
    <row r="99054" spans="1:6" x14ac:dyDescent="0.25">
      <c r="A99054"/>
      <c r="B99054"/>
      <c r="C99054"/>
      <c r="E99054"/>
      <c r="F99054"/>
    </row>
    <row r="99055" spans="1:6" x14ac:dyDescent="0.25">
      <c r="A99055"/>
      <c r="B99055"/>
      <c r="C99055"/>
      <c r="E99055"/>
      <c r="F99055"/>
    </row>
    <row r="99056" spans="1:6" x14ac:dyDescent="0.25">
      <c r="A99056"/>
      <c r="B99056"/>
      <c r="C99056"/>
      <c r="E99056"/>
      <c r="F99056"/>
    </row>
    <row r="99057" spans="1:6" x14ac:dyDescent="0.25">
      <c r="A99057"/>
      <c r="B99057"/>
      <c r="C99057"/>
      <c r="E99057"/>
      <c r="F99057"/>
    </row>
    <row r="99058" spans="1:6" x14ac:dyDescent="0.25">
      <c r="A99058"/>
      <c r="B99058"/>
      <c r="C99058"/>
      <c r="E99058"/>
      <c r="F99058"/>
    </row>
    <row r="99059" spans="1:6" x14ac:dyDescent="0.25">
      <c r="A99059"/>
      <c r="B99059"/>
      <c r="C99059"/>
      <c r="E99059"/>
      <c r="F99059"/>
    </row>
    <row r="99060" spans="1:6" x14ac:dyDescent="0.25">
      <c r="A99060"/>
      <c r="B99060"/>
      <c r="C99060"/>
      <c r="E99060"/>
      <c r="F99060"/>
    </row>
    <row r="99061" spans="1:6" x14ac:dyDescent="0.25">
      <c r="A99061"/>
      <c r="B99061"/>
      <c r="C99061"/>
      <c r="E99061"/>
      <c r="F99061"/>
    </row>
    <row r="99062" spans="1:6" x14ac:dyDescent="0.25">
      <c r="A99062"/>
      <c r="B99062"/>
      <c r="C99062"/>
      <c r="E99062"/>
      <c r="F99062"/>
    </row>
    <row r="99063" spans="1:6" x14ac:dyDescent="0.25">
      <c r="A99063"/>
      <c r="B99063"/>
      <c r="C99063"/>
      <c r="E99063"/>
      <c r="F99063"/>
    </row>
    <row r="99064" spans="1:6" x14ac:dyDescent="0.25">
      <c r="A99064"/>
      <c r="B99064"/>
      <c r="C99064"/>
      <c r="E99064"/>
      <c r="F99064"/>
    </row>
    <row r="99065" spans="1:6" x14ac:dyDescent="0.25">
      <c r="A99065"/>
      <c r="B99065"/>
      <c r="C99065"/>
      <c r="E99065"/>
      <c r="F99065"/>
    </row>
    <row r="99066" spans="1:6" x14ac:dyDescent="0.25">
      <c r="A99066"/>
      <c r="B99066"/>
      <c r="C99066"/>
      <c r="E99066"/>
      <c r="F99066"/>
    </row>
    <row r="99067" spans="1:6" x14ac:dyDescent="0.25">
      <c r="A99067"/>
      <c r="B99067"/>
      <c r="C99067"/>
      <c r="E99067"/>
      <c r="F99067"/>
    </row>
    <row r="99068" spans="1:6" x14ac:dyDescent="0.25">
      <c r="A99068"/>
      <c r="B99068"/>
      <c r="C99068"/>
      <c r="E99068"/>
      <c r="F99068"/>
    </row>
    <row r="99069" spans="1:6" x14ac:dyDescent="0.25">
      <c r="A99069"/>
      <c r="B99069"/>
      <c r="C99069"/>
      <c r="E99069"/>
      <c r="F99069"/>
    </row>
    <row r="99070" spans="1:6" x14ac:dyDescent="0.25">
      <c r="A99070"/>
      <c r="B99070"/>
      <c r="C99070"/>
      <c r="E99070"/>
      <c r="F99070"/>
    </row>
    <row r="99071" spans="1:6" x14ac:dyDescent="0.25">
      <c r="A99071"/>
      <c r="B99071"/>
      <c r="C99071"/>
      <c r="E99071"/>
      <c r="F99071"/>
    </row>
    <row r="99072" spans="1:6" x14ac:dyDescent="0.25">
      <c r="A99072"/>
      <c r="B99072"/>
      <c r="C99072"/>
      <c r="E99072"/>
      <c r="F99072"/>
    </row>
    <row r="99073" spans="1:6" x14ac:dyDescent="0.25">
      <c r="A99073"/>
      <c r="B99073"/>
      <c r="C99073"/>
      <c r="E99073"/>
      <c r="F99073"/>
    </row>
    <row r="99074" spans="1:6" x14ac:dyDescent="0.25">
      <c r="A99074"/>
      <c r="B99074"/>
      <c r="C99074"/>
      <c r="E99074"/>
      <c r="F99074"/>
    </row>
    <row r="99075" spans="1:6" x14ac:dyDescent="0.25">
      <c r="A99075"/>
      <c r="B99075"/>
      <c r="C99075"/>
      <c r="E99075"/>
      <c r="F99075"/>
    </row>
    <row r="99076" spans="1:6" x14ac:dyDescent="0.25">
      <c r="A99076"/>
      <c r="B99076"/>
      <c r="C99076"/>
      <c r="E99076"/>
      <c r="F99076"/>
    </row>
    <row r="99077" spans="1:6" x14ac:dyDescent="0.25">
      <c r="A99077"/>
      <c r="B99077"/>
      <c r="C99077"/>
      <c r="E99077"/>
      <c r="F99077"/>
    </row>
    <row r="99078" spans="1:6" x14ac:dyDescent="0.25">
      <c r="A99078"/>
      <c r="B99078"/>
      <c r="C99078"/>
      <c r="E99078"/>
      <c r="F99078"/>
    </row>
    <row r="99079" spans="1:6" x14ac:dyDescent="0.25">
      <c r="A99079"/>
      <c r="B99079"/>
      <c r="C99079"/>
      <c r="E99079"/>
      <c r="F99079"/>
    </row>
    <row r="99080" spans="1:6" x14ac:dyDescent="0.25">
      <c r="A99080"/>
      <c r="B99080"/>
      <c r="C99080"/>
      <c r="E99080"/>
      <c r="F99080"/>
    </row>
    <row r="99081" spans="1:6" x14ac:dyDescent="0.25">
      <c r="A99081"/>
      <c r="B99081"/>
      <c r="C99081"/>
      <c r="E99081"/>
      <c r="F99081"/>
    </row>
    <row r="99082" spans="1:6" x14ac:dyDescent="0.25">
      <c r="A99082"/>
      <c r="B99082"/>
      <c r="C99082"/>
      <c r="E99082"/>
      <c r="F99082"/>
    </row>
    <row r="99083" spans="1:6" x14ac:dyDescent="0.25">
      <c r="A99083"/>
      <c r="B99083"/>
      <c r="C99083"/>
      <c r="E99083"/>
      <c r="F99083"/>
    </row>
    <row r="99084" spans="1:6" x14ac:dyDescent="0.25">
      <c r="A99084"/>
      <c r="B99084"/>
      <c r="C99084"/>
      <c r="E99084"/>
      <c r="F99084"/>
    </row>
    <row r="99085" spans="1:6" x14ac:dyDescent="0.25">
      <c r="A99085"/>
      <c r="B99085"/>
      <c r="C99085"/>
      <c r="E99085"/>
      <c r="F99085"/>
    </row>
    <row r="99086" spans="1:6" x14ac:dyDescent="0.25">
      <c r="A99086"/>
      <c r="B99086"/>
      <c r="C99086"/>
      <c r="E99086"/>
      <c r="F99086"/>
    </row>
    <row r="99087" spans="1:6" x14ac:dyDescent="0.25">
      <c r="A99087"/>
      <c r="B99087"/>
      <c r="C99087"/>
      <c r="E99087"/>
      <c r="F99087"/>
    </row>
    <row r="99088" spans="1:6" x14ac:dyDescent="0.25">
      <c r="A99088"/>
      <c r="B99088"/>
      <c r="C99088"/>
      <c r="E99088"/>
      <c r="F99088"/>
    </row>
    <row r="99089" spans="1:6" x14ac:dyDescent="0.25">
      <c r="A99089"/>
      <c r="B99089"/>
      <c r="C99089"/>
      <c r="E99089"/>
      <c r="F99089"/>
    </row>
    <row r="99090" spans="1:6" x14ac:dyDescent="0.25">
      <c r="A99090"/>
      <c r="B99090"/>
      <c r="C99090"/>
      <c r="E99090"/>
      <c r="F99090"/>
    </row>
    <row r="99091" spans="1:6" x14ac:dyDescent="0.25">
      <c r="A99091"/>
      <c r="B99091"/>
      <c r="C99091"/>
      <c r="E99091"/>
      <c r="F99091"/>
    </row>
    <row r="99092" spans="1:6" x14ac:dyDescent="0.25">
      <c r="A99092"/>
      <c r="B99092"/>
      <c r="C99092"/>
      <c r="E99092"/>
      <c r="F99092"/>
    </row>
    <row r="99093" spans="1:6" x14ac:dyDescent="0.25">
      <c r="A99093"/>
      <c r="B99093"/>
      <c r="C99093"/>
      <c r="E99093"/>
      <c r="F99093"/>
    </row>
    <row r="99094" spans="1:6" x14ac:dyDescent="0.25">
      <c r="A99094"/>
      <c r="B99094"/>
      <c r="C99094"/>
      <c r="E99094"/>
      <c r="F99094"/>
    </row>
    <row r="99095" spans="1:6" x14ac:dyDescent="0.25">
      <c r="A99095"/>
      <c r="B99095"/>
      <c r="C99095"/>
      <c r="E99095"/>
      <c r="F99095"/>
    </row>
    <row r="99096" spans="1:6" x14ac:dyDescent="0.25">
      <c r="A99096"/>
      <c r="B99096"/>
      <c r="C99096"/>
      <c r="E99096"/>
      <c r="F99096"/>
    </row>
    <row r="99097" spans="1:6" x14ac:dyDescent="0.25">
      <c r="A99097"/>
      <c r="B99097"/>
      <c r="C99097"/>
      <c r="E99097"/>
      <c r="F99097"/>
    </row>
    <row r="99098" spans="1:6" x14ac:dyDescent="0.25">
      <c r="A99098"/>
      <c r="B99098"/>
      <c r="C99098"/>
      <c r="E99098"/>
      <c r="F99098"/>
    </row>
    <row r="99099" spans="1:6" x14ac:dyDescent="0.25">
      <c r="A99099"/>
      <c r="B99099"/>
      <c r="C99099"/>
      <c r="E99099"/>
      <c r="F99099"/>
    </row>
    <row r="99100" spans="1:6" x14ac:dyDescent="0.25">
      <c r="A99100"/>
      <c r="B99100"/>
      <c r="C99100"/>
      <c r="E99100"/>
      <c r="F99100"/>
    </row>
    <row r="99101" spans="1:6" x14ac:dyDescent="0.25">
      <c r="A99101"/>
      <c r="B99101"/>
      <c r="C99101"/>
      <c r="E99101"/>
      <c r="F99101"/>
    </row>
    <row r="99102" spans="1:6" x14ac:dyDescent="0.25">
      <c r="A99102"/>
      <c r="B99102"/>
      <c r="C99102"/>
      <c r="E99102"/>
      <c r="F99102"/>
    </row>
    <row r="99103" spans="1:6" x14ac:dyDescent="0.25">
      <c r="A99103"/>
      <c r="B99103"/>
      <c r="C99103"/>
      <c r="E99103"/>
      <c r="F99103"/>
    </row>
    <row r="99104" spans="1:6" x14ac:dyDescent="0.25">
      <c r="A99104"/>
      <c r="B99104"/>
      <c r="C99104"/>
      <c r="E99104"/>
      <c r="F99104"/>
    </row>
    <row r="99105" spans="1:6" x14ac:dyDescent="0.25">
      <c r="A99105"/>
      <c r="B99105"/>
      <c r="C99105"/>
      <c r="E99105"/>
      <c r="F99105"/>
    </row>
    <row r="99106" spans="1:6" x14ac:dyDescent="0.25">
      <c r="A99106"/>
      <c r="B99106"/>
      <c r="C99106"/>
      <c r="E99106"/>
      <c r="F99106"/>
    </row>
    <row r="99107" spans="1:6" x14ac:dyDescent="0.25">
      <c r="A99107"/>
      <c r="B99107"/>
      <c r="C99107"/>
      <c r="E99107"/>
      <c r="F99107"/>
    </row>
    <row r="99108" spans="1:6" x14ac:dyDescent="0.25">
      <c r="A99108"/>
      <c r="B99108"/>
      <c r="C99108"/>
      <c r="E99108"/>
      <c r="F99108"/>
    </row>
    <row r="99109" spans="1:6" x14ac:dyDescent="0.25">
      <c r="A99109"/>
      <c r="B99109"/>
      <c r="C99109"/>
      <c r="E99109"/>
      <c r="F99109"/>
    </row>
    <row r="99110" spans="1:6" x14ac:dyDescent="0.25">
      <c r="A99110"/>
      <c r="B99110"/>
      <c r="C99110"/>
      <c r="E99110"/>
      <c r="F99110"/>
    </row>
    <row r="99111" spans="1:6" x14ac:dyDescent="0.25">
      <c r="A99111"/>
      <c r="B99111"/>
      <c r="C99111"/>
      <c r="E99111"/>
      <c r="F99111"/>
    </row>
    <row r="99112" spans="1:6" x14ac:dyDescent="0.25">
      <c r="A99112"/>
      <c r="B99112"/>
      <c r="C99112"/>
      <c r="E99112"/>
      <c r="F99112"/>
    </row>
    <row r="99113" spans="1:6" x14ac:dyDescent="0.25">
      <c r="A99113"/>
      <c r="B99113"/>
      <c r="C99113"/>
      <c r="E99113"/>
      <c r="F99113"/>
    </row>
    <row r="99114" spans="1:6" x14ac:dyDescent="0.25">
      <c r="A99114"/>
      <c r="B99114"/>
      <c r="C99114"/>
      <c r="E99114"/>
      <c r="F99114"/>
    </row>
    <row r="99115" spans="1:6" x14ac:dyDescent="0.25">
      <c r="A99115"/>
      <c r="B99115"/>
      <c r="C99115"/>
      <c r="E99115"/>
      <c r="F99115"/>
    </row>
    <row r="99116" spans="1:6" x14ac:dyDescent="0.25">
      <c r="A99116"/>
      <c r="B99116"/>
      <c r="C99116"/>
      <c r="E99116"/>
      <c r="F99116"/>
    </row>
    <row r="99117" spans="1:6" x14ac:dyDescent="0.25">
      <c r="A99117"/>
      <c r="B99117"/>
      <c r="C99117"/>
      <c r="E99117"/>
      <c r="F99117"/>
    </row>
    <row r="99118" spans="1:6" x14ac:dyDescent="0.25">
      <c r="A99118"/>
      <c r="B99118"/>
      <c r="C99118"/>
      <c r="E99118"/>
      <c r="F99118"/>
    </row>
    <row r="99119" spans="1:6" x14ac:dyDescent="0.25">
      <c r="A99119"/>
      <c r="B99119"/>
      <c r="C99119"/>
      <c r="E99119"/>
      <c r="F99119"/>
    </row>
    <row r="99120" spans="1:6" x14ac:dyDescent="0.25">
      <c r="A99120"/>
      <c r="B99120"/>
      <c r="C99120"/>
      <c r="E99120"/>
      <c r="F99120"/>
    </row>
    <row r="99121" spans="1:6" x14ac:dyDescent="0.25">
      <c r="A99121"/>
      <c r="B99121"/>
      <c r="C99121"/>
      <c r="E99121"/>
      <c r="F99121"/>
    </row>
    <row r="99122" spans="1:6" x14ac:dyDescent="0.25">
      <c r="A99122"/>
      <c r="B99122"/>
      <c r="C99122"/>
      <c r="E99122"/>
      <c r="F99122"/>
    </row>
    <row r="99123" spans="1:6" x14ac:dyDescent="0.25">
      <c r="A99123"/>
      <c r="B99123"/>
      <c r="C99123"/>
      <c r="E99123"/>
      <c r="F99123"/>
    </row>
    <row r="99124" spans="1:6" x14ac:dyDescent="0.25">
      <c r="A99124"/>
      <c r="B99124"/>
      <c r="C99124"/>
      <c r="E99124"/>
      <c r="F99124"/>
    </row>
    <row r="99125" spans="1:6" x14ac:dyDescent="0.25">
      <c r="A99125"/>
      <c r="B99125"/>
      <c r="C99125"/>
      <c r="E99125"/>
      <c r="F99125"/>
    </row>
    <row r="99126" spans="1:6" x14ac:dyDescent="0.25">
      <c r="A99126"/>
      <c r="B99126"/>
      <c r="C99126"/>
      <c r="E99126"/>
      <c r="F99126"/>
    </row>
    <row r="99127" spans="1:6" x14ac:dyDescent="0.25">
      <c r="A99127"/>
      <c r="B99127"/>
      <c r="C99127"/>
      <c r="E99127"/>
      <c r="F99127"/>
    </row>
    <row r="99128" spans="1:6" x14ac:dyDescent="0.25">
      <c r="A99128"/>
      <c r="B99128"/>
      <c r="C99128"/>
      <c r="E99128"/>
      <c r="F99128"/>
    </row>
    <row r="99129" spans="1:6" x14ac:dyDescent="0.25">
      <c r="A99129"/>
      <c r="B99129"/>
      <c r="C99129"/>
      <c r="E99129"/>
      <c r="F99129"/>
    </row>
    <row r="99130" spans="1:6" x14ac:dyDescent="0.25">
      <c r="A99130"/>
      <c r="B99130"/>
      <c r="C99130"/>
      <c r="E99130"/>
      <c r="F99130"/>
    </row>
    <row r="99131" spans="1:6" x14ac:dyDescent="0.25">
      <c r="A99131"/>
      <c r="B99131"/>
      <c r="C99131"/>
      <c r="E99131"/>
      <c r="F99131"/>
    </row>
    <row r="99132" spans="1:6" x14ac:dyDescent="0.25">
      <c r="A99132"/>
      <c r="B99132"/>
      <c r="C99132"/>
      <c r="E99132"/>
      <c r="F99132"/>
    </row>
    <row r="99133" spans="1:6" x14ac:dyDescent="0.25">
      <c r="A99133"/>
      <c r="B99133"/>
      <c r="C99133"/>
      <c r="E99133"/>
      <c r="F99133"/>
    </row>
    <row r="99134" spans="1:6" x14ac:dyDescent="0.25">
      <c r="A99134"/>
      <c r="B99134"/>
      <c r="C99134"/>
      <c r="E99134"/>
      <c r="F99134"/>
    </row>
    <row r="99135" spans="1:6" x14ac:dyDescent="0.25">
      <c r="A99135"/>
      <c r="B99135"/>
      <c r="C99135"/>
      <c r="E99135"/>
      <c r="F99135"/>
    </row>
    <row r="99136" spans="1:6" x14ac:dyDescent="0.25">
      <c r="A99136"/>
      <c r="B99136"/>
      <c r="C99136"/>
      <c r="E99136"/>
      <c r="F99136"/>
    </row>
    <row r="99137" spans="1:6" x14ac:dyDescent="0.25">
      <c r="A99137"/>
      <c r="B99137"/>
      <c r="C99137"/>
      <c r="E99137"/>
      <c r="F99137"/>
    </row>
    <row r="99138" spans="1:6" x14ac:dyDescent="0.25">
      <c r="A99138"/>
      <c r="B99138"/>
      <c r="C99138"/>
      <c r="E99138"/>
      <c r="F99138"/>
    </row>
    <row r="99139" spans="1:6" x14ac:dyDescent="0.25">
      <c r="A99139"/>
      <c r="B99139"/>
      <c r="C99139"/>
      <c r="E99139"/>
      <c r="F99139"/>
    </row>
    <row r="99140" spans="1:6" x14ac:dyDescent="0.25">
      <c r="A99140"/>
      <c r="B99140"/>
      <c r="C99140"/>
      <c r="E99140"/>
      <c r="F99140"/>
    </row>
    <row r="99141" spans="1:6" x14ac:dyDescent="0.25">
      <c r="A99141"/>
      <c r="B99141"/>
      <c r="C99141"/>
      <c r="E99141"/>
      <c r="F99141"/>
    </row>
    <row r="99142" spans="1:6" x14ac:dyDescent="0.25">
      <c r="A99142"/>
      <c r="B99142"/>
      <c r="C99142"/>
      <c r="E99142"/>
      <c r="F99142"/>
    </row>
    <row r="99143" spans="1:6" x14ac:dyDescent="0.25">
      <c r="A99143"/>
      <c r="B99143"/>
      <c r="C99143"/>
      <c r="E99143"/>
      <c r="F99143"/>
    </row>
    <row r="99144" spans="1:6" x14ac:dyDescent="0.25">
      <c r="A99144"/>
      <c r="B99144"/>
      <c r="C99144"/>
      <c r="E99144"/>
      <c r="F99144"/>
    </row>
    <row r="99145" spans="1:6" x14ac:dyDescent="0.25">
      <c r="A99145"/>
      <c r="B99145"/>
      <c r="C99145"/>
      <c r="E99145"/>
      <c r="F99145"/>
    </row>
    <row r="99146" spans="1:6" x14ac:dyDescent="0.25">
      <c r="A99146"/>
      <c r="B99146"/>
      <c r="C99146"/>
      <c r="E99146"/>
      <c r="F99146"/>
    </row>
    <row r="99147" spans="1:6" x14ac:dyDescent="0.25">
      <c r="A99147"/>
      <c r="B99147"/>
      <c r="C99147"/>
      <c r="E99147"/>
      <c r="F99147"/>
    </row>
    <row r="99148" spans="1:6" x14ac:dyDescent="0.25">
      <c r="A99148"/>
      <c r="B99148"/>
      <c r="C99148"/>
      <c r="E99148"/>
      <c r="F99148"/>
    </row>
    <row r="99149" spans="1:6" x14ac:dyDescent="0.25">
      <c r="A99149"/>
      <c r="B99149"/>
      <c r="C99149"/>
      <c r="E99149"/>
      <c r="F99149"/>
    </row>
    <row r="99150" spans="1:6" x14ac:dyDescent="0.25">
      <c r="A99150"/>
      <c r="B99150"/>
      <c r="C99150"/>
      <c r="E99150"/>
      <c r="F99150"/>
    </row>
    <row r="99151" spans="1:6" x14ac:dyDescent="0.25">
      <c r="A99151"/>
      <c r="B99151"/>
      <c r="C99151"/>
      <c r="E99151"/>
      <c r="F99151"/>
    </row>
    <row r="99152" spans="1:6" x14ac:dyDescent="0.25">
      <c r="A99152"/>
      <c r="B99152"/>
      <c r="C99152"/>
      <c r="E99152"/>
      <c r="F99152"/>
    </row>
    <row r="99153" spans="1:6" x14ac:dyDescent="0.25">
      <c r="A99153"/>
      <c r="B99153"/>
      <c r="C99153"/>
      <c r="E99153"/>
      <c r="F99153"/>
    </row>
    <row r="99154" spans="1:6" x14ac:dyDescent="0.25">
      <c r="A99154"/>
      <c r="B99154"/>
      <c r="C99154"/>
      <c r="E99154"/>
      <c r="F99154"/>
    </row>
    <row r="99155" spans="1:6" x14ac:dyDescent="0.25">
      <c r="A99155"/>
      <c r="B99155"/>
      <c r="C99155"/>
      <c r="E99155"/>
      <c r="F99155"/>
    </row>
    <row r="99156" spans="1:6" x14ac:dyDescent="0.25">
      <c r="A99156"/>
      <c r="B99156"/>
      <c r="C99156"/>
      <c r="E99156"/>
      <c r="F99156"/>
    </row>
    <row r="99157" spans="1:6" x14ac:dyDescent="0.25">
      <c r="A99157"/>
      <c r="B99157"/>
      <c r="C99157"/>
      <c r="E99157"/>
      <c r="F99157"/>
    </row>
    <row r="99158" spans="1:6" x14ac:dyDescent="0.25">
      <c r="A99158"/>
      <c r="B99158"/>
      <c r="C99158"/>
      <c r="E99158"/>
      <c r="F99158"/>
    </row>
    <row r="99159" spans="1:6" x14ac:dyDescent="0.25">
      <c r="A99159"/>
      <c r="B99159"/>
      <c r="C99159"/>
      <c r="E99159"/>
      <c r="F99159"/>
    </row>
    <row r="99160" spans="1:6" x14ac:dyDescent="0.25">
      <c r="A99160"/>
      <c r="B99160"/>
      <c r="C99160"/>
      <c r="E99160"/>
      <c r="F99160"/>
    </row>
    <row r="99161" spans="1:6" x14ac:dyDescent="0.25">
      <c r="A99161"/>
      <c r="B99161"/>
      <c r="C99161"/>
      <c r="E99161"/>
      <c r="F99161"/>
    </row>
    <row r="99162" spans="1:6" x14ac:dyDescent="0.25">
      <c r="A99162"/>
      <c r="B99162"/>
      <c r="C99162"/>
      <c r="E99162"/>
      <c r="F99162"/>
    </row>
    <row r="99163" spans="1:6" x14ac:dyDescent="0.25">
      <c r="A99163"/>
      <c r="B99163"/>
      <c r="C99163"/>
      <c r="E99163"/>
      <c r="F99163"/>
    </row>
    <row r="99164" spans="1:6" x14ac:dyDescent="0.25">
      <c r="A99164"/>
      <c r="B99164"/>
      <c r="C99164"/>
      <c r="E99164"/>
      <c r="F99164"/>
    </row>
    <row r="99165" spans="1:6" x14ac:dyDescent="0.25">
      <c r="A99165"/>
      <c r="B99165"/>
      <c r="C99165"/>
      <c r="E99165"/>
      <c r="F99165"/>
    </row>
    <row r="99166" spans="1:6" x14ac:dyDescent="0.25">
      <c r="A99166"/>
      <c r="B99166"/>
      <c r="C99166"/>
      <c r="E99166"/>
      <c r="F99166"/>
    </row>
    <row r="99167" spans="1:6" x14ac:dyDescent="0.25">
      <c r="A99167"/>
      <c r="B99167"/>
      <c r="C99167"/>
      <c r="E99167"/>
      <c r="F99167"/>
    </row>
    <row r="99168" spans="1:6" x14ac:dyDescent="0.25">
      <c r="A99168"/>
      <c r="B99168"/>
      <c r="C99168"/>
      <c r="E99168"/>
      <c r="F99168"/>
    </row>
    <row r="99169" spans="1:6" x14ac:dyDescent="0.25">
      <c r="A99169"/>
      <c r="B99169"/>
      <c r="C99169"/>
      <c r="E99169"/>
      <c r="F99169"/>
    </row>
    <row r="99170" spans="1:6" x14ac:dyDescent="0.25">
      <c r="A99170"/>
      <c r="B99170"/>
      <c r="C99170"/>
      <c r="E99170"/>
      <c r="F99170"/>
    </row>
    <row r="99171" spans="1:6" x14ac:dyDescent="0.25">
      <c r="A99171"/>
      <c r="B99171"/>
      <c r="C99171"/>
      <c r="E99171"/>
      <c r="F99171"/>
    </row>
    <row r="99172" spans="1:6" x14ac:dyDescent="0.25">
      <c r="A99172"/>
      <c r="B99172"/>
      <c r="C99172"/>
      <c r="E99172"/>
      <c r="F99172"/>
    </row>
    <row r="99173" spans="1:6" x14ac:dyDescent="0.25">
      <c r="A99173"/>
      <c r="B99173"/>
      <c r="C99173"/>
      <c r="E99173"/>
      <c r="F99173"/>
    </row>
    <row r="99174" spans="1:6" x14ac:dyDescent="0.25">
      <c r="A99174"/>
      <c r="B99174"/>
      <c r="C99174"/>
      <c r="E99174"/>
      <c r="F99174"/>
    </row>
    <row r="99175" spans="1:6" x14ac:dyDescent="0.25">
      <c r="A99175"/>
      <c r="B99175"/>
      <c r="C99175"/>
      <c r="E99175"/>
      <c r="F99175"/>
    </row>
    <row r="99176" spans="1:6" x14ac:dyDescent="0.25">
      <c r="A99176"/>
      <c r="B99176"/>
      <c r="C99176"/>
      <c r="E99176"/>
      <c r="F99176"/>
    </row>
    <row r="99177" spans="1:6" x14ac:dyDescent="0.25">
      <c r="A99177"/>
      <c r="B99177"/>
      <c r="C99177"/>
      <c r="E99177"/>
      <c r="F99177"/>
    </row>
    <row r="99178" spans="1:6" x14ac:dyDescent="0.25">
      <c r="A99178"/>
      <c r="B99178"/>
      <c r="C99178"/>
      <c r="E99178"/>
      <c r="F99178"/>
    </row>
    <row r="99179" spans="1:6" x14ac:dyDescent="0.25">
      <c r="A99179"/>
      <c r="B99179"/>
      <c r="C99179"/>
      <c r="E99179"/>
      <c r="F99179"/>
    </row>
    <row r="99180" spans="1:6" x14ac:dyDescent="0.25">
      <c r="A99180"/>
      <c r="B99180"/>
      <c r="C99180"/>
      <c r="E99180"/>
      <c r="F99180"/>
    </row>
    <row r="99181" spans="1:6" x14ac:dyDescent="0.25">
      <c r="A99181"/>
      <c r="B99181"/>
      <c r="C99181"/>
      <c r="E99181"/>
      <c r="F99181"/>
    </row>
    <row r="99182" spans="1:6" x14ac:dyDescent="0.25">
      <c r="A99182"/>
      <c r="B99182"/>
      <c r="C99182"/>
      <c r="E99182"/>
      <c r="F99182"/>
    </row>
    <row r="99183" spans="1:6" x14ac:dyDescent="0.25">
      <c r="A99183"/>
      <c r="B99183"/>
      <c r="C99183"/>
      <c r="E99183"/>
      <c r="F99183"/>
    </row>
    <row r="99184" spans="1:6" x14ac:dyDescent="0.25">
      <c r="A99184"/>
      <c r="B99184"/>
      <c r="C99184"/>
      <c r="E99184"/>
      <c r="F99184"/>
    </row>
    <row r="99185" spans="1:6" x14ac:dyDescent="0.25">
      <c r="A99185"/>
      <c r="B99185"/>
      <c r="C99185"/>
      <c r="E99185"/>
      <c r="F99185"/>
    </row>
    <row r="99186" spans="1:6" x14ac:dyDescent="0.25">
      <c r="A99186"/>
      <c r="B99186"/>
      <c r="C99186"/>
      <c r="E99186"/>
      <c r="F99186"/>
    </row>
    <row r="99187" spans="1:6" x14ac:dyDescent="0.25">
      <c r="A99187"/>
      <c r="B99187"/>
      <c r="C99187"/>
      <c r="E99187"/>
      <c r="F99187"/>
    </row>
    <row r="99188" spans="1:6" x14ac:dyDescent="0.25">
      <c r="A99188"/>
      <c r="B99188"/>
      <c r="C99188"/>
      <c r="E99188"/>
      <c r="F99188"/>
    </row>
    <row r="99189" spans="1:6" x14ac:dyDescent="0.25">
      <c r="A99189"/>
      <c r="B99189"/>
      <c r="C99189"/>
      <c r="E99189"/>
      <c r="F99189"/>
    </row>
    <row r="99190" spans="1:6" x14ac:dyDescent="0.25">
      <c r="A99190"/>
      <c r="B99190"/>
      <c r="C99190"/>
      <c r="E99190"/>
      <c r="F99190"/>
    </row>
    <row r="99191" spans="1:6" x14ac:dyDescent="0.25">
      <c r="A99191"/>
      <c r="B99191"/>
      <c r="C99191"/>
      <c r="E99191"/>
      <c r="F99191"/>
    </row>
    <row r="99192" spans="1:6" x14ac:dyDescent="0.25">
      <c r="A99192"/>
      <c r="B99192"/>
      <c r="C99192"/>
      <c r="E99192"/>
      <c r="F99192"/>
    </row>
    <row r="99193" spans="1:6" x14ac:dyDescent="0.25">
      <c r="A99193"/>
      <c r="B99193"/>
      <c r="C99193"/>
      <c r="E99193"/>
      <c r="F99193"/>
    </row>
    <row r="99194" spans="1:6" x14ac:dyDescent="0.25">
      <c r="A99194"/>
      <c r="B99194"/>
      <c r="C99194"/>
      <c r="E99194"/>
      <c r="F99194"/>
    </row>
    <row r="99195" spans="1:6" x14ac:dyDescent="0.25">
      <c r="A99195"/>
      <c r="B99195"/>
      <c r="C99195"/>
      <c r="E99195"/>
      <c r="F99195"/>
    </row>
    <row r="99196" spans="1:6" x14ac:dyDescent="0.25">
      <c r="A99196"/>
      <c r="B99196"/>
      <c r="C99196"/>
      <c r="E99196"/>
      <c r="F99196"/>
    </row>
    <row r="99197" spans="1:6" x14ac:dyDescent="0.25">
      <c r="A99197"/>
      <c r="B99197"/>
      <c r="C99197"/>
      <c r="E99197"/>
      <c r="F99197"/>
    </row>
    <row r="99198" spans="1:6" x14ac:dyDescent="0.25">
      <c r="A99198"/>
      <c r="B99198"/>
      <c r="C99198"/>
      <c r="E99198"/>
      <c r="F99198"/>
    </row>
    <row r="99199" spans="1:6" x14ac:dyDescent="0.25">
      <c r="A99199"/>
      <c r="B99199"/>
      <c r="C99199"/>
      <c r="E99199"/>
      <c r="F99199"/>
    </row>
    <row r="99200" spans="1:6" x14ac:dyDescent="0.25">
      <c r="A99200"/>
      <c r="B99200"/>
      <c r="C99200"/>
      <c r="E99200"/>
      <c r="F99200"/>
    </row>
    <row r="99201" spans="1:6" x14ac:dyDescent="0.25">
      <c r="A99201"/>
      <c r="B99201"/>
      <c r="C99201"/>
      <c r="E99201"/>
      <c r="F99201"/>
    </row>
    <row r="99202" spans="1:6" x14ac:dyDescent="0.25">
      <c r="A99202"/>
      <c r="B99202"/>
      <c r="C99202"/>
      <c r="E99202"/>
      <c r="F99202"/>
    </row>
    <row r="99203" spans="1:6" x14ac:dyDescent="0.25">
      <c r="A99203"/>
      <c r="B99203"/>
      <c r="C99203"/>
      <c r="E99203"/>
      <c r="F99203"/>
    </row>
    <row r="99204" spans="1:6" x14ac:dyDescent="0.25">
      <c r="A99204"/>
      <c r="B99204"/>
      <c r="C99204"/>
      <c r="E99204"/>
      <c r="F99204"/>
    </row>
    <row r="99205" spans="1:6" x14ac:dyDescent="0.25">
      <c r="A99205"/>
      <c r="B99205"/>
      <c r="C99205"/>
      <c r="E99205"/>
      <c r="F99205"/>
    </row>
    <row r="99206" spans="1:6" x14ac:dyDescent="0.25">
      <c r="A99206"/>
      <c r="B99206"/>
      <c r="C99206"/>
      <c r="E99206"/>
      <c r="F99206"/>
    </row>
    <row r="99207" spans="1:6" x14ac:dyDescent="0.25">
      <c r="A99207"/>
      <c r="B99207"/>
      <c r="C99207"/>
      <c r="E99207"/>
      <c r="F99207"/>
    </row>
    <row r="99208" spans="1:6" x14ac:dyDescent="0.25">
      <c r="A99208"/>
      <c r="B99208"/>
      <c r="C99208"/>
      <c r="E99208"/>
      <c r="F99208"/>
    </row>
    <row r="99209" spans="1:6" x14ac:dyDescent="0.25">
      <c r="A99209"/>
      <c r="B99209"/>
      <c r="C99209"/>
      <c r="E99209"/>
      <c r="F99209"/>
    </row>
    <row r="99210" spans="1:6" x14ac:dyDescent="0.25">
      <c r="A99210"/>
      <c r="B99210"/>
      <c r="C99210"/>
      <c r="E99210"/>
      <c r="F99210"/>
    </row>
    <row r="99211" spans="1:6" x14ac:dyDescent="0.25">
      <c r="A99211"/>
      <c r="B99211"/>
      <c r="C99211"/>
      <c r="E99211"/>
      <c r="F99211"/>
    </row>
    <row r="99212" spans="1:6" x14ac:dyDescent="0.25">
      <c r="A99212"/>
      <c r="B99212"/>
      <c r="C99212"/>
      <c r="E99212"/>
      <c r="F99212"/>
    </row>
    <row r="99213" spans="1:6" x14ac:dyDescent="0.25">
      <c r="A99213"/>
      <c r="B99213"/>
      <c r="C99213"/>
      <c r="E99213"/>
      <c r="F99213"/>
    </row>
    <row r="99214" spans="1:6" x14ac:dyDescent="0.25">
      <c r="A99214"/>
      <c r="B99214"/>
      <c r="C99214"/>
      <c r="E99214"/>
      <c r="F99214"/>
    </row>
    <row r="99215" spans="1:6" x14ac:dyDescent="0.25">
      <c r="A99215"/>
      <c r="B99215"/>
      <c r="C99215"/>
      <c r="E99215"/>
      <c r="F99215"/>
    </row>
    <row r="99216" spans="1:6" x14ac:dyDescent="0.25">
      <c r="A99216"/>
      <c r="B99216"/>
      <c r="C99216"/>
      <c r="E99216"/>
      <c r="F99216"/>
    </row>
    <row r="99217" spans="1:6" x14ac:dyDescent="0.25">
      <c r="A99217"/>
      <c r="B99217"/>
      <c r="C99217"/>
      <c r="E99217"/>
      <c r="F99217"/>
    </row>
    <row r="99218" spans="1:6" x14ac:dyDescent="0.25">
      <c r="A99218"/>
      <c r="B99218"/>
      <c r="C99218"/>
      <c r="E99218"/>
      <c r="F99218"/>
    </row>
    <row r="99219" spans="1:6" x14ac:dyDescent="0.25">
      <c r="A99219"/>
      <c r="B99219"/>
      <c r="C99219"/>
      <c r="E99219"/>
      <c r="F99219"/>
    </row>
    <row r="99220" spans="1:6" x14ac:dyDescent="0.25">
      <c r="A99220"/>
      <c r="B99220"/>
      <c r="C99220"/>
      <c r="E99220"/>
      <c r="F99220"/>
    </row>
    <row r="99221" spans="1:6" x14ac:dyDescent="0.25">
      <c r="A99221"/>
      <c r="B99221"/>
      <c r="C99221"/>
      <c r="E99221"/>
      <c r="F99221"/>
    </row>
    <row r="99222" spans="1:6" x14ac:dyDescent="0.25">
      <c r="A99222"/>
      <c r="B99222"/>
      <c r="C99222"/>
      <c r="E99222"/>
      <c r="F99222"/>
    </row>
    <row r="99223" spans="1:6" x14ac:dyDescent="0.25">
      <c r="A99223"/>
      <c r="B99223"/>
      <c r="C99223"/>
      <c r="E99223"/>
      <c r="F99223"/>
    </row>
    <row r="99224" spans="1:6" x14ac:dyDescent="0.25">
      <c r="A99224"/>
      <c r="B99224"/>
      <c r="C99224"/>
      <c r="E99224"/>
      <c r="F99224"/>
    </row>
    <row r="99225" spans="1:6" x14ac:dyDescent="0.25">
      <c r="A99225"/>
      <c r="B99225"/>
      <c r="C99225"/>
      <c r="E99225"/>
      <c r="F99225"/>
    </row>
    <row r="99226" spans="1:6" x14ac:dyDescent="0.25">
      <c r="A99226"/>
      <c r="B99226"/>
      <c r="C99226"/>
      <c r="E99226"/>
      <c r="F99226"/>
    </row>
    <row r="99227" spans="1:6" x14ac:dyDescent="0.25">
      <c r="A99227"/>
      <c r="B99227"/>
      <c r="C99227"/>
      <c r="E99227"/>
      <c r="F99227"/>
    </row>
    <row r="99228" spans="1:6" x14ac:dyDescent="0.25">
      <c r="A99228"/>
      <c r="B99228"/>
      <c r="C99228"/>
      <c r="E99228"/>
      <c r="F99228"/>
    </row>
    <row r="99229" spans="1:6" x14ac:dyDescent="0.25">
      <c r="A99229"/>
      <c r="B99229"/>
      <c r="C99229"/>
      <c r="E99229"/>
      <c r="F99229"/>
    </row>
    <row r="99230" spans="1:6" x14ac:dyDescent="0.25">
      <c r="A99230"/>
      <c r="B99230"/>
      <c r="C99230"/>
      <c r="E99230"/>
      <c r="F99230"/>
    </row>
    <row r="99231" spans="1:6" x14ac:dyDescent="0.25">
      <c r="A99231"/>
      <c r="B99231"/>
      <c r="C99231"/>
      <c r="E99231"/>
      <c r="F99231"/>
    </row>
    <row r="99232" spans="1:6" x14ac:dyDescent="0.25">
      <c r="A99232"/>
      <c r="B99232"/>
      <c r="C99232"/>
      <c r="E99232"/>
      <c r="F99232"/>
    </row>
    <row r="99233" spans="1:6" x14ac:dyDescent="0.25">
      <c r="A99233"/>
      <c r="B99233"/>
      <c r="C99233"/>
      <c r="E99233"/>
      <c r="F99233"/>
    </row>
    <row r="99234" spans="1:6" x14ac:dyDescent="0.25">
      <c r="A99234"/>
      <c r="B99234"/>
      <c r="C99234"/>
      <c r="E99234"/>
      <c r="F99234"/>
    </row>
    <row r="99235" spans="1:6" x14ac:dyDescent="0.25">
      <c r="A99235"/>
      <c r="B99235"/>
      <c r="C99235"/>
      <c r="E99235"/>
      <c r="F99235"/>
    </row>
    <row r="99236" spans="1:6" x14ac:dyDescent="0.25">
      <c r="A99236"/>
      <c r="B99236"/>
      <c r="C99236"/>
      <c r="E99236"/>
      <c r="F99236"/>
    </row>
    <row r="99237" spans="1:6" x14ac:dyDescent="0.25">
      <c r="A99237"/>
      <c r="B99237"/>
      <c r="C99237"/>
      <c r="E99237"/>
      <c r="F99237"/>
    </row>
    <row r="99238" spans="1:6" x14ac:dyDescent="0.25">
      <c r="A99238"/>
      <c r="B99238"/>
      <c r="C99238"/>
      <c r="E99238"/>
      <c r="F99238"/>
    </row>
    <row r="99239" spans="1:6" x14ac:dyDescent="0.25">
      <c r="A99239"/>
      <c r="B99239"/>
      <c r="C99239"/>
      <c r="E99239"/>
      <c r="F99239"/>
    </row>
    <row r="99240" spans="1:6" x14ac:dyDescent="0.25">
      <c r="A99240"/>
      <c r="B99240"/>
      <c r="C99240"/>
      <c r="E99240"/>
      <c r="F99240"/>
    </row>
    <row r="99241" spans="1:6" x14ac:dyDescent="0.25">
      <c r="A99241"/>
      <c r="B99241"/>
      <c r="C99241"/>
      <c r="E99241"/>
      <c r="F99241"/>
    </row>
    <row r="99242" spans="1:6" x14ac:dyDescent="0.25">
      <c r="A99242"/>
      <c r="B99242"/>
      <c r="C99242"/>
      <c r="E99242"/>
      <c r="F99242"/>
    </row>
    <row r="99243" spans="1:6" x14ac:dyDescent="0.25">
      <c r="A99243"/>
      <c r="B99243"/>
      <c r="C99243"/>
      <c r="E99243"/>
      <c r="F99243"/>
    </row>
    <row r="99244" spans="1:6" x14ac:dyDescent="0.25">
      <c r="A99244"/>
      <c r="B99244"/>
      <c r="C99244"/>
      <c r="E99244"/>
      <c r="F99244"/>
    </row>
    <row r="99245" spans="1:6" x14ac:dyDescent="0.25">
      <c r="A99245"/>
      <c r="B99245"/>
      <c r="C99245"/>
      <c r="E99245"/>
      <c r="F99245"/>
    </row>
    <row r="99246" spans="1:6" x14ac:dyDescent="0.25">
      <c r="A99246"/>
      <c r="B99246"/>
      <c r="C99246"/>
      <c r="E99246"/>
      <c r="F99246"/>
    </row>
    <row r="99247" spans="1:6" x14ac:dyDescent="0.25">
      <c r="A99247"/>
      <c r="B99247"/>
      <c r="C99247"/>
      <c r="E99247"/>
      <c r="F99247"/>
    </row>
    <row r="99248" spans="1:6" x14ac:dyDescent="0.25">
      <c r="A99248"/>
      <c r="B99248"/>
      <c r="C99248"/>
      <c r="E99248"/>
      <c r="F99248"/>
    </row>
    <row r="99249" spans="1:6" x14ac:dyDescent="0.25">
      <c r="A99249"/>
      <c r="B99249"/>
      <c r="C99249"/>
      <c r="E99249"/>
      <c r="F99249"/>
    </row>
    <row r="99250" spans="1:6" x14ac:dyDescent="0.25">
      <c r="A99250"/>
      <c r="B99250"/>
      <c r="C99250"/>
      <c r="E99250"/>
      <c r="F99250"/>
    </row>
    <row r="99251" spans="1:6" x14ac:dyDescent="0.25">
      <c r="A99251"/>
      <c r="B99251"/>
      <c r="C99251"/>
      <c r="E99251"/>
      <c r="F99251"/>
    </row>
    <row r="99252" spans="1:6" x14ac:dyDescent="0.25">
      <c r="A99252"/>
      <c r="B99252"/>
      <c r="C99252"/>
      <c r="E99252"/>
      <c r="F99252"/>
    </row>
    <row r="99253" spans="1:6" x14ac:dyDescent="0.25">
      <c r="A99253"/>
      <c r="B99253"/>
      <c r="C99253"/>
      <c r="E99253"/>
      <c r="F99253"/>
    </row>
    <row r="99254" spans="1:6" x14ac:dyDescent="0.25">
      <c r="A99254"/>
      <c r="B99254"/>
      <c r="C99254"/>
      <c r="E99254"/>
      <c r="F99254"/>
    </row>
    <row r="99255" spans="1:6" x14ac:dyDescent="0.25">
      <c r="A99255"/>
      <c r="B99255"/>
      <c r="C99255"/>
      <c r="E99255"/>
      <c r="F99255"/>
    </row>
    <row r="99256" spans="1:6" x14ac:dyDescent="0.25">
      <c r="A99256"/>
      <c r="B99256"/>
      <c r="C99256"/>
      <c r="E99256"/>
      <c r="F99256"/>
    </row>
    <row r="99257" spans="1:6" x14ac:dyDescent="0.25">
      <c r="A99257"/>
      <c r="B99257"/>
      <c r="C99257"/>
      <c r="E99257"/>
      <c r="F99257"/>
    </row>
    <row r="99258" spans="1:6" x14ac:dyDescent="0.25">
      <c r="A99258"/>
      <c r="B99258"/>
      <c r="C99258"/>
      <c r="E99258"/>
      <c r="F99258"/>
    </row>
    <row r="99259" spans="1:6" x14ac:dyDescent="0.25">
      <c r="A99259"/>
      <c r="B99259"/>
      <c r="C99259"/>
      <c r="E99259"/>
      <c r="F99259"/>
    </row>
    <row r="99260" spans="1:6" x14ac:dyDescent="0.25">
      <c r="A99260"/>
      <c r="B99260"/>
      <c r="C99260"/>
      <c r="E99260"/>
      <c r="F99260"/>
    </row>
    <row r="99261" spans="1:6" x14ac:dyDescent="0.25">
      <c r="A99261"/>
      <c r="B99261"/>
      <c r="C99261"/>
      <c r="E99261"/>
      <c r="F99261"/>
    </row>
    <row r="99262" spans="1:6" x14ac:dyDescent="0.25">
      <c r="A99262"/>
      <c r="B99262"/>
      <c r="C99262"/>
      <c r="E99262"/>
      <c r="F99262"/>
    </row>
    <row r="99263" spans="1:6" x14ac:dyDescent="0.25">
      <c r="A99263"/>
      <c r="B99263"/>
      <c r="C99263"/>
      <c r="E99263"/>
      <c r="F99263"/>
    </row>
    <row r="99264" spans="1:6" x14ac:dyDescent="0.25">
      <c r="A99264"/>
      <c r="B99264"/>
      <c r="C99264"/>
      <c r="E99264"/>
      <c r="F99264"/>
    </row>
    <row r="99265" spans="1:6" x14ac:dyDescent="0.25">
      <c r="A99265"/>
      <c r="B99265"/>
      <c r="C99265"/>
      <c r="E99265"/>
      <c r="F99265"/>
    </row>
    <row r="99266" spans="1:6" x14ac:dyDescent="0.25">
      <c r="A99266"/>
      <c r="B99266"/>
      <c r="C99266"/>
      <c r="E99266"/>
      <c r="F99266"/>
    </row>
    <row r="99267" spans="1:6" x14ac:dyDescent="0.25">
      <c r="A99267"/>
      <c r="B99267"/>
      <c r="C99267"/>
      <c r="E99267"/>
      <c r="F99267"/>
    </row>
    <row r="99268" spans="1:6" x14ac:dyDescent="0.25">
      <c r="A99268"/>
      <c r="B99268"/>
      <c r="C99268"/>
      <c r="E99268"/>
      <c r="F99268"/>
    </row>
    <row r="99269" spans="1:6" x14ac:dyDescent="0.25">
      <c r="A99269"/>
      <c r="B99269"/>
      <c r="C99269"/>
      <c r="E99269"/>
      <c r="F99269"/>
    </row>
    <row r="99270" spans="1:6" x14ac:dyDescent="0.25">
      <c r="A99270"/>
      <c r="B99270"/>
      <c r="C99270"/>
      <c r="E99270"/>
      <c r="F99270"/>
    </row>
    <row r="99271" spans="1:6" x14ac:dyDescent="0.25">
      <c r="A99271"/>
      <c r="B99271"/>
      <c r="C99271"/>
      <c r="E99271"/>
      <c r="F99271"/>
    </row>
    <row r="99272" spans="1:6" x14ac:dyDescent="0.25">
      <c r="A99272"/>
      <c r="B99272"/>
      <c r="C99272"/>
      <c r="E99272"/>
      <c r="F99272"/>
    </row>
    <row r="99273" spans="1:6" x14ac:dyDescent="0.25">
      <c r="A99273"/>
      <c r="B99273"/>
      <c r="C99273"/>
      <c r="E99273"/>
      <c r="F99273"/>
    </row>
    <row r="99274" spans="1:6" x14ac:dyDescent="0.25">
      <c r="A99274"/>
      <c r="B99274"/>
      <c r="C99274"/>
      <c r="E99274"/>
      <c r="F99274"/>
    </row>
    <row r="99275" spans="1:6" x14ac:dyDescent="0.25">
      <c r="A99275"/>
      <c r="B99275"/>
      <c r="C99275"/>
      <c r="E99275"/>
      <c r="F99275"/>
    </row>
    <row r="99276" spans="1:6" x14ac:dyDescent="0.25">
      <c r="A99276"/>
      <c r="B99276"/>
      <c r="C99276"/>
      <c r="E99276"/>
      <c r="F99276"/>
    </row>
    <row r="99277" spans="1:6" x14ac:dyDescent="0.25">
      <c r="A99277"/>
      <c r="B99277"/>
      <c r="C99277"/>
      <c r="E99277"/>
      <c r="F99277"/>
    </row>
    <row r="99278" spans="1:6" x14ac:dyDescent="0.25">
      <c r="A99278"/>
      <c r="B99278"/>
      <c r="C99278"/>
      <c r="E99278"/>
      <c r="F99278"/>
    </row>
    <row r="99279" spans="1:6" x14ac:dyDescent="0.25">
      <c r="A99279"/>
      <c r="B99279"/>
      <c r="C99279"/>
      <c r="E99279"/>
      <c r="F99279"/>
    </row>
    <row r="99280" spans="1:6" x14ac:dyDescent="0.25">
      <c r="A99280"/>
      <c r="B99280"/>
      <c r="C99280"/>
      <c r="E99280"/>
      <c r="F99280"/>
    </row>
    <row r="99281" spans="1:6" x14ac:dyDescent="0.25">
      <c r="A99281"/>
      <c r="B99281"/>
      <c r="C99281"/>
      <c r="E99281"/>
      <c r="F99281"/>
    </row>
    <row r="99282" spans="1:6" x14ac:dyDescent="0.25">
      <c r="A99282"/>
      <c r="B99282"/>
      <c r="C99282"/>
      <c r="E99282"/>
      <c r="F99282"/>
    </row>
    <row r="99283" spans="1:6" x14ac:dyDescent="0.25">
      <c r="A99283"/>
      <c r="B99283"/>
      <c r="C99283"/>
      <c r="E99283"/>
      <c r="F99283"/>
    </row>
    <row r="99284" spans="1:6" x14ac:dyDescent="0.25">
      <c r="A99284"/>
      <c r="B99284"/>
      <c r="C99284"/>
      <c r="E99284"/>
      <c r="F99284"/>
    </row>
    <row r="99285" spans="1:6" x14ac:dyDescent="0.25">
      <c r="A99285"/>
      <c r="B99285"/>
      <c r="C99285"/>
      <c r="E99285"/>
      <c r="F99285"/>
    </row>
    <row r="99286" spans="1:6" x14ac:dyDescent="0.25">
      <c r="A99286"/>
      <c r="B99286"/>
      <c r="C99286"/>
      <c r="E99286"/>
      <c r="F99286"/>
    </row>
    <row r="99287" spans="1:6" x14ac:dyDescent="0.25">
      <c r="A99287"/>
      <c r="B99287"/>
      <c r="C99287"/>
      <c r="E99287"/>
      <c r="F99287"/>
    </row>
    <row r="99288" spans="1:6" x14ac:dyDescent="0.25">
      <c r="A99288"/>
      <c r="B99288"/>
      <c r="C99288"/>
      <c r="E99288"/>
      <c r="F99288"/>
    </row>
    <row r="99289" spans="1:6" x14ac:dyDescent="0.25">
      <c r="A99289"/>
      <c r="B99289"/>
      <c r="C99289"/>
      <c r="E99289"/>
      <c r="F99289"/>
    </row>
    <row r="99290" spans="1:6" x14ac:dyDescent="0.25">
      <c r="A99290"/>
      <c r="B99290"/>
      <c r="C99290"/>
      <c r="E99290"/>
      <c r="F99290"/>
    </row>
    <row r="99291" spans="1:6" x14ac:dyDescent="0.25">
      <c r="A99291"/>
      <c r="B99291"/>
      <c r="C99291"/>
      <c r="E99291"/>
      <c r="F99291"/>
    </row>
    <row r="99292" spans="1:6" x14ac:dyDescent="0.25">
      <c r="A99292"/>
      <c r="B99292"/>
      <c r="C99292"/>
      <c r="E99292"/>
      <c r="F99292"/>
    </row>
    <row r="99293" spans="1:6" x14ac:dyDescent="0.25">
      <c r="A99293"/>
      <c r="B99293"/>
      <c r="C99293"/>
      <c r="E99293"/>
      <c r="F99293"/>
    </row>
    <row r="99294" spans="1:6" x14ac:dyDescent="0.25">
      <c r="A99294"/>
      <c r="B99294"/>
      <c r="C99294"/>
      <c r="E99294"/>
      <c r="F99294"/>
    </row>
    <row r="99295" spans="1:6" x14ac:dyDescent="0.25">
      <c r="A99295"/>
      <c r="B99295"/>
      <c r="C99295"/>
      <c r="E99295"/>
      <c r="F99295"/>
    </row>
    <row r="99296" spans="1:6" x14ac:dyDescent="0.25">
      <c r="A99296"/>
      <c r="B99296"/>
      <c r="C99296"/>
      <c r="E99296"/>
      <c r="F99296"/>
    </row>
    <row r="99297" spans="1:6" x14ac:dyDescent="0.25">
      <c r="A99297"/>
      <c r="B99297"/>
      <c r="C99297"/>
      <c r="E99297"/>
      <c r="F99297"/>
    </row>
    <row r="99298" spans="1:6" x14ac:dyDescent="0.25">
      <c r="A99298"/>
      <c r="B99298"/>
      <c r="C99298"/>
      <c r="E99298"/>
      <c r="F99298"/>
    </row>
    <row r="99299" spans="1:6" x14ac:dyDescent="0.25">
      <c r="A99299"/>
      <c r="B99299"/>
      <c r="C99299"/>
      <c r="E99299"/>
      <c r="F99299"/>
    </row>
    <row r="99300" spans="1:6" x14ac:dyDescent="0.25">
      <c r="A99300"/>
      <c r="B99300"/>
      <c r="C99300"/>
      <c r="E99300"/>
      <c r="F99300"/>
    </row>
    <row r="99301" spans="1:6" x14ac:dyDescent="0.25">
      <c r="A99301"/>
      <c r="B99301"/>
      <c r="C99301"/>
      <c r="E99301"/>
      <c r="F99301"/>
    </row>
    <row r="99302" spans="1:6" x14ac:dyDescent="0.25">
      <c r="A99302"/>
      <c r="B99302"/>
      <c r="C99302"/>
      <c r="E99302"/>
      <c r="F99302"/>
    </row>
    <row r="99303" spans="1:6" x14ac:dyDescent="0.25">
      <c r="A99303"/>
      <c r="B99303"/>
      <c r="C99303"/>
      <c r="E99303"/>
      <c r="F99303"/>
    </row>
    <row r="99304" spans="1:6" x14ac:dyDescent="0.25">
      <c r="A99304"/>
      <c r="B99304"/>
      <c r="C99304"/>
      <c r="E99304"/>
      <c r="F99304"/>
    </row>
    <row r="99305" spans="1:6" x14ac:dyDescent="0.25">
      <c r="A99305"/>
      <c r="B99305"/>
      <c r="C99305"/>
      <c r="E99305"/>
      <c r="F99305"/>
    </row>
    <row r="99306" spans="1:6" x14ac:dyDescent="0.25">
      <c r="A99306"/>
      <c r="B99306"/>
      <c r="C99306"/>
      <c r="E99306"/>
      <c r="F99306"/>
    </row>
    <row r="99307" spans="1:6" x14ac:dyDescent="0.25">
      <c r="A99307"/>
      <c r="B99307"/>
      <c r="C99307"/>
      <c r="E99307"/>
      <c r="F99307"/>
    </row>
    <row r="99308" spans="1:6" x14ac:dyDescent="0.25">
      <c r="A99308"/>
      <c r="B99308"/>
      <c r="C99308"/>
      <c r="E99308"/>
      <c r="F99308"/>
    </row>
    <row r="99309" spans="1:6" x14ac:dyDescent="0.25">
      <c r="A99309"/>
      <c r="B99309"/>
      <c r="C99309"/>
      <c r="E99309"/>
      <c r="F99309"/>
    </row>
    <row r="99310" spans="1:6" x14ac:dyDescent="0.25">
      <c r="A99310"/>
      <c r="B99310"/>
      <c r="C99310"/>
      <c r="E99310"/>
      <c r="F99310"/>
    </row>
    <row r="99311" spans="1:6" x14ac:dyDescent="0.25">
      <c r="A99311"/>
      <c r="B99311"/>
      <c r="C99311"/>
      <c r="E99311"/>
      <c r="F99311"/>
    </row>
    <row r="99312" spans="1:6" x14ac:dyDescent="0.25">
      <c r="A99312"/>
      <c r="B99312"/>
      <c r="C99312"/>
      <c r="E99312"/>
      <c r="F99312"/>
    </row>
    <row r="99313" spans="1:6" x14ac:dyDescent="0.25">
      <c r="A99313"/>
      <c r="B99313"/>
      <c r="C99313"/>
      <c r="E99313"/>
      <c r="F99313"/>
    </row>
    <row r="99314" spans="1:6" x14ac:dyDescent="0.25">
      <c r="A99314"/>
      <c r="B99314"/>
      <c r="C99314"/>
      <c r="E99314"/>
      <c r="F99314"/>
    </row>
    <row r="99315" spans="1:6" x14ac:dyDescent="0.25">
      <c r="A99315"/>
      <c r="B99315"/>
      <c r="C99315"/>
      <c r="E99315"/>
      <c r="F99315"/>
    </row>
    <row r="99316" spans="1:6" x14ac:dyDescent="0.25">
      <c r="A99316"/>
      <c r="B99316"/>
      <c r="C99316"/>
      <c r="E99316"/>
      <c r="F99316"/>
    </row>
    <row r="99317" spans="1:6" x14ac:dyDescent="0.25">
      <c r="A99317"/>
      <c r="B99317"/>
      <c r="C99317"/>
      <c r="E99317"/>
      <c r="F99317"/>
    </row>
    <row r="99318" spans="1:6" x14ac:dyDescent="0.25">
      <c r="A99318"/>
      <c r="B99318"/>
      <c r="C99318"/>
      <c r="E99318"/>
      <c r="F99318"/>
    </row>
    <row r="99319" spans="1:6" x14ac:dyDescent="0.25">
      <c r="A99319"/>
      <c r="B99319"/>
      <c r="C99319"/>
      <c r="E99319"/>
      <c r="F99319"/>
    </row>
    <row r="99320" spans="1:6" x14ac:dyDescent="0.25">
      <c r="A99320"/>
      <c r="B99320"/>
      <c r="C99320"/>
      <c r="E99320"/>
      <c r="F99320"/>
    </row>
    <row r="99321" spans="1:6" x14ac:dyDescent="0.25">
      <c r="A99321"/>
      <c r="B99321"/>
      <c r="C99321"/>
      <c r="E99321"/>
      <c r="F99321"/>
    </row>
    <row r="99322" spans="1:6" x14ac:dyDescent="0.25">
      <c r="A99322"/>
      <c r="B99322"/>
      <c r="C99322"/>
      <c r="E99322"/>
      <c r="F99322"/>
    </row>
    <row r="99323" spans="1:6" x14ac:dyDescent="0.25">
      <c r="A99323"/>
      <c r="B99323"/>
      <c r="C99323"/>
      <c r="E99323"/>
      <c r="F99323"/>
    </row>
    <row r="99324" spans="1:6" x14ac:dyDescent="0.25">
      <c r="A99324"/>
      <c r="B99324"/>
      <c r="C99324"/>
      <c r="E99324"/>
      <c r="F99324"/>
    </row>
    <row r="99325" spans="1:6" x14ac:dyDescent="0.25">
      <c r="A99325"/>
      <c r="B99325"/>
      <c r="C99325"/>
      <c r="E99325"/>
      <c r="F99325"/>
    </row>
    <row r="99326" spans="1:6" x14ac:dyDescent="0.25">
      <c r="A99326"/>
      <c r="B99326"/>
      <c r="C99326"/>
      <c r="E99326"/>
      <c r="F99326"/>
    </row>
    <row r="99327" spans="1:6" x14ac:dyDescent="0.25">
      <c r="A99327"/>
      <c r="B99327"/>
      <c r="C99327"/>
      <c r="E99327"/>
      <c r="F99327"/>
    </row>
    <row r="99328" spans="1:6" x14ac:dyDescent="0.25">
      <c r="A99328"/>
      <c r="B99328"/>
      <c r="C99328"/>
      <c r="E99328"/>
      <c r="F99328"/>
    </row>
    <row r="99329" spans="1:6" x14ac:dyDescent="0.25">
      <c r="A99329"/>
      <c r="B99329"/>
      <c r="C99329"/>
      <c r="E99329"/>
      <c r="F99329"/>
    </row>
    <row r="99330" spans="1:6" x14ac:dyDescent="0.25">
      <c r="A99330"/>
      <c r="B99330"/>
      <c r="C99330"/>
      <c r="E99330"/>
      <c r="F99330"/>
    </row>
    <row r="99331" spans="1:6" x14ac:dyDescent="0.25">
      <c r="A99331"/>
      <c r="B99331"/>
      <c r="C99331"/>
      <c r="E99331"/>
      <c r="F99331"/>
    </row>
    <row r="99332" spans="1:6" x14ac:dyDescent="0.25">
      <c r="A99332"/>
      <c r="B99332"/>
      <c r="C99332"/>
      <c r="E99332"/>
      <c r="F99332"/>
    </row>
    <row r="99333" spans="1:6" x14ac:dyDescent="0.25">
      <c r="A99333"/>
      <c r="B99333"/>
      <c r="C99333"/>
      <c r="E99333"/>
      <c r="F99333"/>
    </row>
    <row r="99334" spans="1:6" x14ac:dyDescent="0.25">
      <c r="A99334"/>
      <c r="B99334"/>
      <c r="C99334"/>
      <c r="E99334"/>
      <c r="F99334"/>
    </row>
    <row r="99335" spans="1:6" x14ac:dyDescent="0.25">
      <c r="A99335"/>
      <c r="B99335"/>
      <c r="C99335"/>
      <c r="E99335"/>
      <c r="F99335"/>
    </row>
    <row r="99336" spans="1:6" x14ac:dyDescent="0.25">
      <c r="A99336"/>
      <c r="B99336"/>
      <c r="C99336"/>
      <c r="E99336"/>
      <c r="F99336"/>
    </row>
    <row r="99337" spans="1:6" x14ac:dyDescent="0.25">
      <c r="A99337"/>
      <c r="B99337"/>
      <c r="C99337"/>
      <c r="E99337"/>
      <c r="F99337"/>
    </row>
    <row r="99338" spans="1:6" x14ac:dyDescent="0.25">
      <c r="A99338"/>
      <c r="B99338"/>
      <c r="C99338"/>
      <c r="E99338"/>
      <c r="F99338"/>
    </row>
    <row r="99339" spans="1:6" x14ac:dyDescent="0.25">
      <c r="A99339"/>
      <c r="B99339"/>
      <c r="C99339"/>
      <c r="E99339"/>
      <c r="F99339"/>
    </row>
    <row r="99340" spans="1:6" x14ac:dyDescent="0.25">
      <c r="A99340"/>
      <c r="B99340"/>
      <c r="C99340"/>
      <c r="E99340"/>
      <c r="F99340"/>
    </row>
    <row r="99341" spans="1:6" x14ac:dyDescent="0.25">
      <c r="A99341"/>
      <c r="B99341"/>
      <c r="C99341"/>
      <c r="E99341"/>
      <c r="F99341"/>
    </row>
    <row r="99342" spans="1:6" x14ac:dyDescent="0.25">
      <c r="A99342"/>
      <c r="B99342"/>
      <c r="C99342"/>
      <c r="E99342"/>
      <c r="F99342"/>
    </row>
    <row r="99343" spans="1:6" x14ac:dyDescent="0.25">
      <c r="A99343"/>
      <c r="B99343"/>
      <c r="C99343"/>
      <c r="E99343"/>
      <c r="F99343"/>
    </row>
    <row r="99344" spans="1:6" x14ac:dyDescent="0.25">
      <c r="A99344"/>
      <c r="B99344"/>
      <c r="C99344"/>
      <c r="E99344"/>
      <c r="F99344"/>
    </row>
    <row r="99345" spans="1:6" x14ac:dyDescent="0.25">
      <c r="A99345"/>
      <c r="B99345"/>
      <c r="C99345"/>
      <c r="E99345"/>
      <c r="F99345"/>
    </row>
    <row r="99346" spans="1:6" x14ac:dyDescent="0.25">
      <c r="A99346"/>
      <c r="B99346"/>
      <c r="C99346"/>
      <c r="E99346"/>
      <c r="F99346"/>
    </row>
    <row r="99347" spans="1:6" x14ac:dyDescent="0.25">
      <c r="A99347"/>
      <c r="B99347"/>
      <c r="C99347"/>
      <c r="E99347"/>
      <c r="F99347"/>
    </row>
    <row r="99348" spans="1:6" x14ac:dyDescent="0.25">
      <c r="A99348"/>
      <c r="B99348"/>
      <c r="C99348"/>
      <c r="E99348"/>
      <c r="F99348"/>
    </row>
    <row r="99349" spans="1:6" x14ac:dyDescent="0.25">
      <c r="A99349"/>
      <c r="B99349"/>
      <c r="C99349"/>
      <c r="E99349"/>
      <c r="F99349"/>
    </row>
    <row r="99350" spans="1:6" x14ac:dyDescent="0.25">
      <c r="A99350"/>
      <c r="B99350"/>
      <c r="C99350"/>
      <c r="E99350"/>
      <c r="F99350"/>
    </row>
    <row r="99351" spans="1:6" x14ac:dyDescent="0.25">
      <c r="A99351"/>
      <c r="B99351"/>
      <c r="C99351"/>
      <c r="E99351"/>
      <c r="F99351"/>
    </row>
    <row r="99352" spans="1:6" x14ac:dyDescent="0.25">
      <c r="A99352"/>
      <c r="B99352"/>
      <c r="C99352"/>
      <c r="E99352"/>
      <c r="F99352"/>
    </row>
    <row r="99353" spans="1:6" x14ac:dyDescent="0.25">
      <c r="A99353"/>
      <c r="B99353"/>
      <c r="C99353"/>
      <c r="E99353"/>
      <c r="F99353"/>
    </row>
    <row r="99354" spans="1:6" x14ac:dyDescent="0.25">
      <c r="A99354"/>
      <c r="B99354"/>
      <c r="C99354"/>
      <c r="E99354"/>
      <c r="F99354"/>
    </row>
    <row r="99355" spans="1:6" x14ac:dyDescent="0.25">
      <c r="A99355"/>
      <c r="B99355"/>
      <c r="C99355"/>
      <c r="E99355"/>
      <c r="F99355"/>
    </row>
    <row r="99356" spans="1:6" x14ac:dyDescent="0.25">
      <c r="A99356"/>
      <c r="B99356"/>
      <c r="C99356"/>
      <c r="E99356"/>
      <c r="F99356"/>
    </row>
    <row r="99357" spans="1:6" x14ac:dyDescent="0.25">
      <c r="A99357"/>
      <c r="B99357"/>
      <c r="C99357"/>
      <c r="E99357"/>
      <c r="F99357"/>
    </row>
    <row r="99358" spans="1:6" x14ac:dyDescent="0.25">
      <c r="A99358"/>
      <c r="B99358"/>
      <c r="C99358"/>
      <c r="E99358"/>
      <c r="F99358"/>
    </row>
    <row r="99359" spans="1:6" x14ac:dyDescent="0.25">
      <c r="A99359"/>
      <c r="B99359"/>
      <c r="C99359"/>
      <c r="E99359"/>
      <c r="F99359"/>
    </row>
    <row r="99360" spans="1:6" x14ac:dyDescent="0.25">
      <c r="A99360"/>
      <c r="B99360"/>
      <c r="C99360"/>
      <c r="E99360"/>
      <c r="F99360"/>
    </row>
    <row r="99361" spans="1:6" x14ac:dyDescent="0.25">
      <c r="A99361"/>
      <c r="B99361"/>
      <c r="C99361"/>
      <c r="E99361"/>
      <c r="F99361"/>
    </row>
    <row r="99362" spans="1:6" x14ac:dyDescent="0.25">
      <c r="A99362"/>
      <c r="B99362"/>
      <c r="C99362"/>
      <c r="E99362"/>
      <c r="F99362"/>
    </row>
    <row r="99363" spans="1:6" x14ac:dyDescent="0.25">
      <c r="A99363"/>
      <c r="B99363"/>
      <c r="C99363"/>
      <c r="E99363"/>
      <c r="F99363"/>
    </row>
    <row r="99364" spans="1:6" x14ac:dyDescent="0.25">
      <c r="A99364"/>
      <c r="B99364"/>
      <c r="C99364"/>
      <c r="E99364"/>
      <c r="F99364"/>
    </row>
    <row r="99365" spans="1:6" x14ac:dyDescent="0.25">
      <c r="A99365"/>
      <c r="B99365"/>
      <c r="C99365"/>
      <c r="E99365"/>
      <c r="F99365"/>
    </row>
    <row r="99366" spans="1:6" x14ac:dyDescent="0.25">
      <c r="A99366"/>
      <c r="B99366"/>
      <c r="C99366"/>
      <c r="E99366"/>
      <c r="F99366"/>
    </row>
    <row r="99367" spans="1:6" x14ac:dyDescent="0.25">
      <c r="A99367"/>
      <c r="B99367"/>
      <c r="C99367"/>
      <c r="E99367"/>
      <c r="F99367"/>
    </row>
    <row r="99368" spans="1:6" x14ac:dyDescent="0.25">
      <c r="A99368"/>
      <c r="B99368"/>
      <c r="C99368"/>
      <c r="E99368"/>
      <c r="F99368"/>
    </row>
    <row r="99369" spans="1:6" x14ac:dyDescent="0.25">
      <c r="A99369"/>
      <c r="B99369"/>
      <c r="C99369"/>
      <c r="E99369"/>
      <c r="F99369"/>
    </row>
    <row r="99370" spans="1:6" x14ac:dyDescent="0.25">
      <c r="A99370"/>
      <c r="B99370"/>
      <c r="C99370"/>
      <c r="E99370"/>
      <c r="F99370"/>
    </row>
    <row r="99371" spans="1:6" x14ac:dyDescent="0.25">
      <c r="A99371"/>
      <c r="B99371"/>
      <c r="C99371"/>
      <c r="E99371"/>
      <c r="F99371"/>
    </row>
    <row r="99372" spans="1:6" x14ac:dyDescent="0.25">
      <c r="A99372"/>
      <c r="B99372"/>
      <c r="C99372"/>
      <c r="E99372"/>
      <c r="F99372"/>
    </row>
    <row r="99373" spans="1:6" x14ac:dyDescent="0.25">
      <c r="A99373"/>
      <c r="B99373"/>
      <c r="C99373"/>
      <c r="E99373"/>
      <c r="F99373"/>
    </row>
    <row r="99374" spans="1:6" x14ac:dyDescent="0.25">
      <c r="A99374"/>
      <c r="B99374"/>
      <c r="C99374"/>
      <c r="E99374"/>
      <c r="F99374"/>
    </row>
    <row r="99375" spans="1:6" x14ac:dyDescent="0.25">
      <c r="A99375"/>
      <c r="B99375"/>
      <c r="C99375"/>
      <c r="E99375"/>
      <c r="F99375"/>
    </row>
    <row r="99376" spans="1:6" x14ac:dyDescent="0.25">
      <c r="A99376"/>
      <c r="B99376"/>
      <c r="C99376"/>
      <c r="E99376"/>
      <c r="F99376"/>
    </row>
    <row r="99377" spans="1:6" x14ac:dyDescent="0.25">
      <c r="A99377"/>
      <c r="B99377"/>
      <c r="C99377"/>
      <c r="E99377"/>
      <c r="F99377"/>
    </row>
    <row r="99378" spans="1:6" x14ac:dyDescent="0.25">
      <c r="A99378"/>
      <c r="B99378"/>
      <c r="C99378"/>
      <c r="E99378"/>
      <c r="F99378"/>
    </row>
    <row r="99379" spans="1:6" x14ac:dyDescent="0.25">
      <c r="A99379"/>
      <c r="B99379"/>
      <c r="C99379"/>
      <c r="E99379"/>
      <c r="F99379"/>
    </row>
    <row r="99380" spans="1:6" x14ac:dyDescent="0.25">
      <c r="A99380"/>
      <c r="B99380"/>
      <c r="C99380"/>
      <c r="E99380"/>
      <c r="F99380"/>
    </row>
    <row r="99381" spans="1:6" x14ac:dyDescent="0.25">
      <c r="A99381"/>
      <c r="B99381"/>
      <c r="C99381"/>
      <c r="E99381"/>
      <c r="F99381"/>
    </row>
    <row r="99382" spans="1:6" x14ac:dyDescent="0.25">
      <c r="A99382"/>
      <c r="B99382"/>
      <c r="C99382"/>
      <c r="E99382"/>
      <c r="F99382"/>
    </row>
    <row r="99383" spans="1:6" x14ac:dyDescent="0.25">
      <c r="A99383"/>
      <c r="B99383"/>
      <c r="C99383"/>
      <c r="E99383"/>
      <c r="F99383"/>
    </row>
    <row r="99384" spans="1:6" x14ac:dyDescent="0.25">
      <c r="A99384"/>
      <c r="B99384"/>
      <c r="C99384"/>
      <c r="E99384"/>
      <c r="F99384"/>
    </row>
    <row r="99385" spans="1:6" x14ac:dyDescent="0.25">
      <c r="A99385"/>
      <c r="B99385"/>
      <c r="C99385"/>
      <c r="E99385"/>
      <c r="F99385"/>
    </row>
    <row r="99386" spans="1:6" x14ac:dyDescent="0.25">
      <c r="A99386"/>
      <c r="B99386"/>
      <c r="C99386"/>
      <c r="E99386"/>
      <c r="F99386"/>
    </row>
    <row r="99387" spans="1:6" x14ac:dyDescent="0.25">
      <c r="A99387"/>
      <c r="B99387"/>
      <c r="C99387"/>
      <c r="E99387"/>
      <c r="F99387"/>
    </row>
    <row r="99388" spans="1:6" x14ac:dyDescent="0.25">
      <c r="A99388"/>
      <c r="B99388"/>
      <c r="C99388"/>
      <c r="E99388"/>
      <c r="F99388"/>
    </row>
    <row r="99389" spans="1:6" x14ac:dyDescent="0.25">
      <c r="A99389"/>
      <c r="B99389"/>
      <c r="C99389"/>
      <c r="E99389"/>
      <c r="F99389"/>
    </row>
    <row r="99390" spans="1:6" x14ac:dyDescent="0.25">
      <c r="A99390"/>
      <c r="B99390"/>
      <c r="C99390"/>
      <c r="E99390"/>
      <c r="F99390"/>
    </row>
    <row r="99391" spans="1:6" x14ac:dyDescent="0.25">
      <c r="A99391"/>
      <c r="B99391"/>
      <c r="C99391"/>
      <c r="E99391"/>
      <c r="F99391"/>
    </row>
    <row r="99392" spans="1:6" x14ac:dyDescent="0.25">
      <c r="A99392"/>
      <c r="B99392"/>
      <c r="C99392"/>
      <c r="E99392"/>
      <c r="F99392"/>
    </row>
    <row r="99393" spans="1:6" x14ac:dyDescent="0.25">
      <c r="A99393"/>
      <c r="B99393"/>
      <c r="C99393"/>
      <c r="E99393"/>
      <c r="F99393"/>
    </row>
    <row r="99394" spans="1:6" x14ac:dyDescent="0.25">
      <c r="A99394"/>
      <c r="B99394"/>
      <c r="C99394"/>
      <c r="E99394"/>
      <c r="F99394"/>
    </row>
    <row r="99395" spans="1:6" x14ac:dyDescent="0.25">
      <c r="A99395"/>
      <c r="B99395"/>
      <c r="C99395"/>
      <c r="E99395"/>
      <c r="F99395"/>
    </row>
    <row r="99396" spans="1:6" x14ac:dyDescent="0.25">
      <c r="A99396"/>
      <c r="B99396"/>
      <c r="C99396"/>
      <c r="E99396"/>
      <c r="F99396"/>
    </row>
    <row r="99397" spans="1:6" x14ac:dyDescent="0.25">
      <c r="A99397"/>
      <c r="B99397"/>
      <c r="C99397"/>
      <c r="E99397"/>
      <c r="F99397"/>
    </row>
    <row r="99398" spans="1:6" x14ac:dyDescent="0.25">
      <c r="A99398"/>
      <c r="B99398"/>
      <c r="C99398"/>
      <c r="E99398"/>
      <c r="F99398"/>
    </row>
    <row r="99399" spans="1:6" x14ac:dyDescent="0.25">
      <c r="A99399"/>
      <c r="B99399"/>
      <c r="C99399"/>
      <c r="E99399"/>
      <c r="F99399"/>
    </row>
    <row r="99400" spans="1:6" x14ac:dyDescent="0.25">
      <c r="A99400"/>
      <c r="B99400"/>
      <c r="C99400"/>
      <c r="E99400"/>
      <c r="F99400"/>
    </row>
    <row r="99401" spans="1:6" x14ac:dyDescent="0.25">
      <c r="A99401"/>
      <c r="B99401"/>
      <c r="C99401"/>
      <c r="E99401"/>
      <c r="F99401"/>
    </row>
    <row r="99402" spans="1:6" x14ac:dyDescent="0.25">
      <c r="A99402"/>
      <c r="B99402"/>
      <c r="C99402"/>
      <c r="E99402"/>
      <c r="F99402"/>
    </row>
    <row r="99403" spans="1:6" x14ac:dyDescent="0.25">
      <c r="A99403"/>
      <c r="B99403"/>
      <c r="C99403"/>
      <c r="E99403"/>
      <c r="F99403"/>
    </row>
    <row r="99404" spans="1:6" x14ac:dyDescent="0.25">
      <c r="A99404"/>
      <c r="B99404"/>
      <c r="C99404"/>
      <c r="E99404"/>
      <c r="F99404"/>
    </row>
    <row r="99405" spans="1:6" x14ac:dyDescent="0.25">
      <c r="A99405"/>
      <c r="B99405"/>
      <c r="C99405"/>
      <c r="E99405"/>
      <c r="F99405"/>
    </row>
    <row r="99406" spans="1:6" x14ac:dyDescent="0.25">
      <c r="A99406"/>
      <c r="B99406"/>
      <c r="C99406"/>
      <c r="E99406"/>
      <c r="F99406"/>
    </row>
    <row r="99407" spans="1:6" x14ac:dyDescent="0.25">
      <c r="A99407"/>
      <c r="B99407"/>
      <c r="C99407"/>
      <c r="E99407"/>
      <c r="F99407"/>
    </row>
    <row r="99408" spans="1:6" x14ac:dyDescent="0.25">
      <c r="A99408"/>
      <c r="B99408"/>
      <c r="C99408"/>
      <c r="E99408"/>
      <c r="F99408"/>
    </row>
    <row r="99409" spans="1:6" x14ac:dyDescent="0.25">
      <c r="A99409"/>
      <c r="B99409"/>
      <c r="C99409"/>
      <c r="E99409"/>
      <c r="F99409"/>
    </row>
    <row r="99410" spans="1:6" x14ac:dyDescent="0.25">
      <c r="A99410"/>
      <c r="B99410"/>
      <c r="C99410"/>
      <c r="E99410"/>
      <c r="F99410"/>
    </row>
    <row r="99411" spans="1:6" x14ac:dyDescent="0.25">
      <c r="A99411"/>
      <c r="B99411"/>
      <c r="C99411"/>
      <c r="E99411"/>
      <c r="F99411"/>
    </row>
    <row r="99412" spans="1:6" x14ac:dyDescent="0.25">
      <c r="A99412"/>
      <c r="B99412"/>
      <c r="C99412"/>
      <c r="E99412"/>
      <c r="F99412"/>
    </row>
    <row r="99413" spans="1:6" x14ac:dyDescent="0.25">
      <c r="A99413"/>
      <c r="B99413"/>
      <c r="C99413"/>
      <c r="E99413"/>
      <c r="F99413"/>
    </row>
    <row r="99414" spans="1:6" x14ac:dyDescent="0.25">
      <c r="A99414"/>
      <c r="B99414"/>
      <c r="C99414"/>
      <c r="E99414"/>
      <c r="F99414"/>
    </row>
    <row r="99415" spans="1:6" x14ac:dyDescent="0.25">
      <c r="A99415"/>
      <c r="B99415"/>
      <c r="C99415"/>
      <c r="E99415"/>
      <c r="F99415"/>
    </row>
    <row r="99416" spans="1:6" x14ac:dyDescent="0.25">
      <c r="A99416"/>
      <c r="B99416"/>
      <c r="C99416"/>
      <c r="E99416"/>
      <c r="F99416"/>
    </row>
    <row r="99417" spans="1:6" x14ac:dyDescent="0.25">
      <c r="A99417"/>
      <c r="B99417"/>
      <c r="C99417"/>
      <c r="E99417"/>
      <c r="F99417"/>
    </row>
    <row r="99418" spans="1:6" x14ac:dyDescent="0.25">
      <c r="A99418"/>
      <c r="B99418"/>
      <c r="C99418"/>
      <c r="E99418"/>
      <c r="F99418"/>
    </row>
    <row r="99419" spans="1:6" x14ac:dyDescent="0.25">
      <c r="A99419"/>
      <c r="B99419"/>
      <c r="C99419"/>
      <c r="E99419"/>
      <c r="F99419"/>
    </row>
    <row r="99420" spans="1:6" x14ac:dyDescent="0.25">
      <c r="A99420"/>
      <c r="B99420"/>
      <c r="C99420"/>
      <c r="E99420"/>
      <c r="F99420"/>
    </row>
    <row r="99421" spans="1:6" x14ac:dyDescent="0.25">
      <c r="A99421"/>
      <c r="B99421"/>
      <c r="C99421"/>
      <c r="E99421"/>
      <c r="F99421"/>
    </row>
    <row r="99422" spans="1:6" x14ac:dyDescent="0.25">
      <c r="A99422"/>
      <c r="B99422"/>
      <c r="C99422"/>
      <c r="E99422"/>
      <c r="F99422"/>
    </row>
    <row r="99423" spans="1:6" x14ac:dyDescent="0.25">
      <c r="A99423"/>
      <c r="B99423"/>
      <c r="C99423"/>
      <c r="E99423"/>
      <c r="F99423"/>
    </row>
    <row r="99424" spans="1:6" x14ac:dyDescent="0.25">
      <c r="A99424"/>
      <c r="B99424"/>
      <c r="C99424"/>
      <c r="E99424"/>
      <c r="F99424"/>
    </row>
    <row r="99425" spans="1:6" x14ac:dyDescent="0.25">
      <c r="A99425"/>
      <c r="B99425"/>
      <c r="C99425"/>
      <c r="E99425"/>
      <c r="F99425"/>
    </row>
    <row r="99426" spans="1:6" x14ac:dyDescent="0.25">
      <c r="A99426"/>
      <c r="B99426"/>
      <c r="C99426"/>
      <c r="E99426"/>
      <c r="F99426"/>
    </row>
    <row r="99427" spans="1:6" x14ac:dyDescent="0.25">
      <c r="A99427"/>
      <c r="B99427"/>
      <c r="C99427"/>
      <c r="E99427"/>
      <c r="F99427"/>
    </row>
    <row r="99428" spans="1:6" x14ac:dyDescent="0.25">
      <c r="A99428"/>
      <c r="B99428"/>
      <c r="C99428"/>
      <c r="E99428"/>
      <c r="F99428"/>
    </row>
    <row r="99429" spans="1:6" x14ac:dyDescent="0.25">
      <c r="A99429"/>
      <c r="B99429"/>
      <c r="C99429"/>
      <c r="E99429"/>
      <c r="F99429"/>
    </row>
    <row r="99430" spans="1:6" x14ac:dyDescent="0.25">
      <c r="A99430"/>
      <c r="B99430"/>
      <c r="C99430"/>
      <c r="E99430"/>
      <c r="F99430"/>
    </row>
    <row r="99431" spans="1:6" x14ac:dyDescent="0.25">
      <c r="A99431"/>
      <c r="B99431"/>
      <c r="C99431"/>
      <c r="E99431"/>
      <c r="F99431"/>
    </row>
    <row r="99432" spans="1:6" x14ac:dyDescent="0.25">
      <c r="A99432"/>
      <c r="B99432"/>
      <c r="C99432"/>
      <c r="E99432"/>
      <c r="F99432"/>
    </row>
    <row r="99433" spans="1:6" x14ac:dyDescent="0.25">
      <c r="A99433"/>
      <c r="B99433"/>
      <c r="C99433"/>
      <c r="E99433"/>
      <c r="F99433"/>
    </row>
    <row r="99434" spans="1:6" x14ac:dyDescent="0.25">
      <c r="A99434"/>
      <c r="B99434"/>
      <c r="C99434"/>
      <c r="E99434"/>
      <c r="F99434"/>
    </row>
    <row r="99435" spans="1:6" x14ac:dyDescent="0.25">
      <c r="A99435"/>
      <c r="B99435"/>
      <c r="C99435"/>
      <c r="E99435"/>
      <c r="F99435"/>
    </row>
    <row r="99436" spans="1:6" x14ac:dyDescent="0.25">
      <c r="A99436"/>
      <c r="B99436"/>
      <c r="C99436"/>
      <c r="E99436"/>
      <c r="F99436"/>
    </row>
    <row r="99437" spans="1:6" x14ac:dyDescent="0.25">
      <c r="A99437"/>
      <c r="B99437"/>
      <c r="C99437"/>
      <c r="E99437"/>
      <c r="F99437"/>
    </row>
    <row r="99438" spans="1:6" x14ac:dyDescent="0.25">
      <c r="A99438"/>
      <c r="B99438"/>
      <c r="C99438"/>
      <c r="E99438"/>
      <c r="F99438"/>
    </row>
    <row r="99439" spans="1:6" x14ac:dyDescent="0.25">
      <c r="A99439"/>
      <c r="B99439"/>
      <c r="C99439"/>
      <c r="E99439"/>
      <c r="F99439"/>
    </row>
    <row r="99440" spans="1:6" x14ac:dyDescent="0.25">
      <c r="A99440"/>
      <c r="B99440"/>
      <c r="C99440"/>
      <c r="E99440"/>
      <c r="F99440"/>
    </row>
    <row r="99441" spans="1:6" x14ac:dyDescent="0.25">
      <c r="A99441"/>
      <c r="B99441"/>
      <c r="C99441"/>
      <c r="E99441"/>
      <c r="F99441"/>
    </row>
    <row r="99442" spans="1:6" x14ac:dyDescent="0.25">
      <c r="A99442"/>
      <c r="B99442"/>
      <c r="C99442"/>
      <c r="E99442"/>
      <c r="F99442"/>
    </row>
    <row r="99443" spans="1:6" x14ac:dyDescent="0.25">
      <c r="A99443"/>
      <c r="B99443"/>
      <c r="C99443"/>
      <c r="E99443"/>
      <c r="F99443"/>
    </row>
    <row r="99444" spans="1:6" x14ac:dyDescent="0.25">
      <c r="A99444"/>
      <c r="B99444"/>
      <c r="C99444"/>
      <c r="E99444"/>
      <c r="F99444"/>
    </row>
    <row r="99445" spans="1:6" x14ac:dyDescent="0.25">
      <c r="A99445"/>
      <c r="B99445"/>
      <c r="C99445"/>
      <c r="E99445"/>
      <c r="F99445"/>
    </row>
    <row r="99446" spans="1:6" x14ac:dyDescent="0.25">
      <c r="A99446"/>
      <c r="B99446"/>
      <c r="C99446"/>
      <c r="E99446"/>
      <c r="F99446"/>
    </row>
    <row r="99447" spans="1:6" x14ac:dyDescent="0.25">
      <c r="A99447"/>
      <c r="B99447"/>
      <c r="C99447"/>
      <c r="E99447"/>
      <c r="F99447"/>
    </row>
    <row r="99448" spans="1:6" x14ac:dyDescent="0.25">
      <c r="A99448"/>
      <c r="B99448"/>
      <c r="C99448"/>
      <c r="E99448"/>
      <c r="F99448"/>
    </row>
    <row r="99449" spans="1:6" x14ac:dyDescent="0.25">
      <c r="A99449"/>
      <c r="B99449"/>
      <c r="C99449"/>
      <c r="E99449"/>
      <c r="F99449"/>
    </row>
    <row r="99450" spans="1:6" x14ac:dyDescent="0.25">
      <c r="A99450"/>
      <c r="B99450"/>
      <c r="C99450"/>
      <c r="E99450"/>
      <c r="F99450"/>
    </row>
    <row r="99451" spans="1:6" x14ac:dyDescent="0.25">
      <c r="A99451"/>
      <c r="B99451"/>
      <c r="C99451"/>
      <c r="E99451"/>
      <c r="F99451"/>
    </row>
    <row r="99452" spans="1:6" x14ac:dyDescent="0.25">
      <c r="A99452"/>
      <c r="B99452"/>
      <c r="C99452"/>
      <c r="E99452"/>
      <c r="F99452"/>
    </row>
    <row r="99453" spans="1:6" x14ac:dyDescent="0.25">
      <c r="A99453"/>
      <c r="B99453"/>
      <c r="C99453"/>
      <c r="E99453"/>
      <c r="F99453"/>
    </row>
    <row r="99454" spans="1:6" x14ac:dyDescent="0.25">
      <c r="A99454"/>
      <c r="B99454"/>
      <c r="C99454"/>
      <c r="E99454"/>
      <c r="F99454"/>
    </row>
    <row r="99455" spans="1:6" x14ac:dyDescent="0.25">
      <c r="A99455"/>
      <c r="B99455"/>
      <c r="C99455"/>
      <c r="E99455"/>
      <c r="F99455"/>
    </row>
    <row r="99456" spans="1:6" x14ac:dyDescent="0.25">
      <c r="A99456"/>
      <c r="B99456"/>
      <c r="C99456"/>
      <c r="E99456"/>
      <c r="F99456"/>
    </row>
    <row r="99457" spans="1:6" x14ac:dyDescent="0.25">
      <c r="A99457"/>
      <c r="B99457"/>
      <c r="C99457"/>
      <c r="E99457"/>
      <c r="F99457"/>
    </row>
    <row r="99458" spans="1:6" x14ac:dyDescent="0.25">
      <c r="A99458"/>
      <c r="B99458"/>
      <c r="C99458"/>
      <c r="E99458"/>
      <c r="F99458"/>
    </row>
    <row r="99459" spans="1:6" x14ac:dyDescent="0.25">
      <c r="A99459"/>
      <c r="B99459"/>
      <c r="C99459"/>
      <c r="E99459"/>
      <c r="F99459"/>
    </row>
    <row r="99460" spans="1:6" x14ac:dyDescent="0.25">
      <c r="A99460"/>
      <c r="B99460"/>
      <c r="C99460"/>
      <c r="E99460"/>
      <c r="F99460"/>
    </row>
    <row r="99461" spans="1:6" x14ac:dyDescent="0.25">
      <c r="A99461"/>
      <c r="B99461"/>
      <c r="C99461"/>
      <c r="E99461"/>
      <c r="F99461"/>
    </row>
    <row r="99462" spans="1:6" x14ac:dyDescent="0.25">
      <c r="A99462"/>
      <c r="B99462"/>
      <c r="C99462"/>
      <c r="E99462"/>
      <c r="F99462"/>
    </row>
    <row r="99463" spans="1:6" x14ac:dyDescent="0.25">
      <c r="A99463"/>
      <c r="B99463"/>
      <c r="C99463"/>
      <c r="E99463"/>
      <c r="F99463"/>
    </row>
    <row r="99464" spans="1:6" x14ac:dyDescent="0.25">
      <c r="A99464"/>
      <c r="B99464"/>
      <c r="C99464"/>
      <c r="E99464"/>
      <c r="F99464"/>
    </row>
    <row r="99465" spans="1:6" x14ac:dyDescent="0.25">
      <c r="A99465"/>
      <c r="B99465"/>
      <c r="C99465"/>
      <c r="E99465"/>
      <c r="F99465"/>
    </row>
    <row r="99466" spans="1:6" x14ac:dyDescent="0.25">
      <c r="A99466"/>
      <c r="B99466"/>
      <c r="C99466"/>
      <c r="E99466"/>
      <c r="F99466"/>
    </row>
    <row r="99467" spans="1:6" x14ac:dyDescent="0.25">
      <c r="A99467"/>
      <c r="B99467"/>
      <c r="C99467"/>
      <c r="E99467"/>
      <c r="F99467"/>
    </row>
    <row r="99468" spans="1:6" x14ac:dyDescent="0.25">
      <c r="A99468"/>
      <c r="B99468"/>
      <c r="C99468"/>
      <c r="E99468"/>
      <c r="F99468"/>
    </row>
    <row r="99469" spans="1:6" x14ac:dyDescent="0.25">
      <c r="A99469"/>
      <c r="B99469"/>
      <c r="C99469"/>
      <c r="E99469"/>
      <c r="F99469"/>
    </row>
    <row r="99470" spans="1:6" x14ac:dyDescent="0.25">
      <c r="A99470"/>
      <c r="B99470"/>
      <c r="C99470"/>
      <c r="E99470"/>
      <c r="F99470"/>
    </row>
    <row r="99471" spans="1:6" x14ac:dyDescent="0.25">
      <c r="A99471"/>
      <c r="B99471"/>
      <c r="C99471"/>
      <c r="E99471"/>
      <c r="F99471"/>
    </row>
    <row r="99472" spans="1:6" x14ac:dyDescent="0.25">
      <c r="A99472"/>
      <c r="B99472"/>
      <c r="C99472"/>
      <c r="E99472"/>
      <c r="F99472"/>
    </row>
    <row r="99473" spans="1:6" x14ac:dyDescent="0.25">
      <c r="A99473"/>
      <c r="B99473"/>
      <c r="C99473"/>
      <c r="E99473"/>
      <c r="F99473"/>
    </row>
    <row r="99474" spans="1:6" x14ac:dyDescent="0.25">
      <c r="A99474"/>
      <c r="B99474"/>
      <c r="C99474"/>
      <c r="E99474"/>
      <c r="F99474"/>
    </row>
    <row r="99475" spans="1:6" x14ac:dyDescent="0.25">
      <c r="A99475"/>
      <c r="B99475"/>
      <c r="C99475"/>
      <c r="E99475"/>
      <c r="F99475"/>
    </row>
    <row r="99476" spans="1:6" x14ac:dyDescent="0.25">
      <c r="A99476"/>
      <c r="B99476"/>
      <c r="C99476"/>
      <c r="E99476"/>
      <c r="F99476"/>
    </row>
    <row r="99477" spans="1:6" x14ac:dyDescent="0.25">
      <c r="A99477"/>
      <c r="B99477"/>
      <c r="C99477"/>
      <c r="E99477"/>
      <c r="F99477"/>
    </row>
    <row r="99478" spans="1:6" x14ac:dyDescent="0.25">
      <c r="A99478"/>
      <c r="B99478"/>
      <c r="C99478"/>
      <c r="E99478"/>
      <c r="F99478"/>
    </row>
    <row r="99479" spans="1:6" x14ac:dyDescent="0.25">
      <c r="A99479"/>
      <c r="B99479"/>
      <c r="C99479"/>
      <c r="E99479"/>
      <c r="F99479"/>
    </row>
    <row r="99480" spans="1:6" x14ac:dyDescent="0.25">
      <c r="A99480"/>
      <c r="B99480"/>
      <c r="C99480"/>
      <c r="E99480"/>
      <c r="F99480"/>
    </row>
    <row r="99481" spans="1:6" x14ac:dyDescent="0.25">
      <c r="A99481"/>
      <c r="B99481"/>
      <c r="C99481"/>
      <c r="E99481"/>
      <c r="F99481"/>
    </row>
    <row r="99482" spans="1:6" x14ac:dyDescent="0.25">
      <c r="A99482"/>
      <c r="B99482"/>
      <c r="C99482"/>
      <c r="E99482"/>
      <c r="F99482"/>
    </row>
    <row r="99483" spans="1:6" x14ac:dyDescent="0.25">
      <c r="A99483"/>
      <c r="B99483"/>
      <c r="C99483"/>
      <c r="E99483"/>
      <c r="F99483"/>
    </row>
    <row r="99484" spans="1:6" x14ac:dyDescent="0.25">
      <c r="A99484"/>
      <c r="B99484"/>
      <c r="C99484"/>
      <c r="E99484"/>
      <c r="F99484"/>
    </row>
    <row r="99485" spans="1:6" x14ac:dyDescent="0.25">
      <c r="A99485"/>
      <c r="B99485"/>
      <c r="C99485"/>
      <c r="E99485"/>
      <c r="F99485"/>
    </row>
    <row r="99486" spans="1:6" x14ac:dyDescent="0.25">
      <c r="A99486"/>
      <c r="B99486"/>
      <c r="C99486"/>
      <c r="E99486"/>
      <c r="F99486"/>
    </row>
    <row r="99487" spans="1:6" x14ac:dyDescent="0.25">
      <c r="A99487"/>
      <c r="B99487"/>
      <c r="C99487"/>
      <c r="E99487"/>
      <c r="F99487"/>
    </row>
    <row r="99488" spans="1:6" x14ac:dyDescent="0.25">
      <c r="A99488"/>
      <c r="B99488"/>
      <c r="C99488"/>
      <c r="E99488"/>
      <c r="F99488"/>
    </row>
    <row r="99489" spans="1:6" x14ac:dyDescent="0.25">
      <c r="A99489"/>
      <c r="B99489"/>
      <c r="C99489"/>
      <c r="E99489"/>
      <c r="F99489"/>
    </row>
    <row r="99490" spans="1:6" x14ac:dyDescent="0.25">
      <c r="A99490"/>
      <c r="B99490"/>
      <c r="C99490"/>
      <c r="E99490"/>
      <c r="F99490"/>
    </row>
    <row r="99491" spans="1:6" x14ac:dyDescent="0.25">
      <c r="A99491"/>
      <c r="B99491"/>
      <c r="C99491"/>
      <c r="E99491"/>
      <c r="F99491"/>
    </row>
    <row r="99492" spans="1:6" x14ac:dyDescent="0.25">
      <c r="A99492"/>
      <c r="B99492"/>
      <c r="C99492"/>
      <c r="E99492"/>
      <c r="F99492"/>
    </row>
    <row r="99493" spans="1:6" x14ac:dyDescent="0.25">
      <c r="A99493"/>
      <c r="B99493"/>
      <c r="C99493"/>
      <c r="E99493"/>
      <c r="F99493"/>
    </row>
    <row r="99494" spans="1:6" x14ac:dyDescent="0.25">
      <c r="A99494"/>
      <c r="B99494"/>
      <c r="C99494"/>
      <c r="E99494"/>
      <c r="F99494"/>
    </row>
    <row r="99495" spans="1:6" x14ac:dyDescent="0.25">
      <c r="A99495"/>
      <c r="B99495"/>
      <c r="C99495"/>
      <c r="E99495"/>
      <c r="F99495"/>
    </row>
    <row r="99496" spans="1:6" x14ac:dyDescent="0.25">
      <c r="A99496"/>
      <c r="B99496"/>
      <c r="C99496"/>
      <c r="E99496"/>
      <c r="F99496"/>
    </row>
    <row r="99497" spans="1:6" x14ac:dyDescent="0.25">
      <c r="A99497"/>
      <c r="B99497"/>
      <c r="C99497"/>
      <c r="E99497"/>
      <c r="F99497"/>
    </row>
    <row r="99498" spans="1:6" x14ac:dyDescent="0.25">
      <c r="A99498"/>
      <c r="B99498"/>
      <c r="C99498"/>
      <c r="E99498"/>
      <c r="F99498"/>
    </row>
    <row r="99499" spans="1:6" x14ac:dyDescent="0.25">
      <c r="A99499"/>
      <c r="B99499"/>
      <c r="C99499"/>
      <c r="E99499"/>
      <c r="F99499"/>
    </row>
    <row r="99500" spans="1:6" x14ac:dyDescent="0.25">
      <c r="A99500"/>
      <c r="B99500"/>
      <c r="C99500"/>
      <c r="E99500"/>
      <c r="F99500"/>
    </row>
    <row r="99501" spans="1:6" x14ac:dyDescent="0.25">
      <c r="A99501"/>
      <c r="B99501"/>
      <c r="C99501"/>
      <c r="E99501"/>
      <c r="F99501"/>
    </row>
    <row r="99502" spans="1:6" x14ac:dyDescent="0.25">
      <c r="A99502"/>
      <c r="B99502"/>
      <c r="C99502"/>
      <c r="E99502"/>
      <c r="F99502"/>
    </row>
    <row r="99503" spans="1:6" x14ac:dyDescent="0.25">
      <c r="A99503"/>
      <c r="B99503"/>
      <c r="C99503"/>
      <c r="E99503"/>
      <c r="F99503"/>
    </row>
    <row r="99504" spans="1:6" x14ac:dyDescent="0.25">
      <c r="A99504"/>
      <c r="B99504"/>
      <c r="C99504"/>
      <c r="E99504"/>
      <c r="F99504"/>
    </row>
    <row r="99505" spans="1:6" x14ac:dyDescent="0.25">
      <c r="A99505"/>
      <c r="B99505"/>
      <c r="C99505"/>
      <c r="E99505"/>
      <c r="F99505"/>
    </row>
    <row r="99506" spans="1:6" x14ac:dyDescent="0.25">
      <c r="A99506"/>
      <c r="B99506"/>
      <c r="C99506"/>
      <c r="E99506"/>
      <c r="F99506"/>
    </row>
    <row r="99507" spans="1:6" x14ac:dyDescent="0.25">
      <c r="A99507"/>
      <c r="B99507"/>
      <c r="C99507"/>
      <c r="E99507"/>
      <c r="F99507"/>
    </row>
    <row r="99508" spans="1:6" x14ac:dyDescent="0.25">
      <c r="A99508"/>
      <c r="B99508"/>
      <c r="C99508"/>
      <c r="E99508"/>
      <c r="F99508"/>
    </row>
    <row r="99509" spans="1:6" x14ac:dyDescent="0.25">
      <c r="A99509"/>
      <c r="B99509"/>
      <c r="C99509"/>
      <c r="E99509"/>
      <c r="F99509"/>
    </row>
    <row r="99510" spans="1:6" x14ac:dyDescent="0.25">
      <c r="A99510"/>
      <c r="B99510"/>
      <c r="C99510"/>
      <c r="E99510"/>
      <c r="F99510"/>
    </row>
    <row r="99511" spans="1:6" x14ac:dyDescent="0.25">
      <c r="A99511"/>
      <c r="B99511"/>
      <c r="C99511"/>
      <c r="E99511"/>
      <c r="F99511"/>
    </row>
    <row r="99512" spans="1:6" x14ac:dyDescent="0.25">
      <c r="A99512"/>
      <c r="B99512"/>
      <c r="C99512"/>
      <c r="E99512"/>
      <c r="F99512"/>
    </row>
    <row r="99513" spans="1:6" x14ac:dyDescent="0.25">
      <c r="A99513"/>
      <c r="B99513"/>
      <c r="C99513"/>
      <c r="E99513"/>
      <c r="F99513"/>
    </row>
    <row r="99514" spans="1:6" x14ac:dyDescent="0.25">
      <c r="A99514"/>
      <c r="B99514"/>
      <c r="C99514"/>
      <c r="E99514"/>
      <c r="F99514"/>
    </row>
    <row r="99515" spans="1:6" x14ac:dyDescent="0.25">
      <c r="A99515"/>
      <c r="B99515"/>
      <c r="C99515"/>
      <c r="E99515"/>
      <c r="F99515"/>
    </row>
    <row r="99516" spans="1:6" x14ac:dyDescent="0.25">
      <c r="A99516"/>
      <c r="B99516"/>
      <c r="C99516"/>
      <c r="E99516"/>
      <c r="F99516"/>
    </row>
    <row r="99517" spans="1:6" x14ac:dyDescent="0.25">
      <c r="A99517"/>
      <c r="B99517"/>
      <c r="C99517"/>
      <c r="E99517"/>
      <c r="F99517"/>
    </row>
    <row r="99518" spans="1:6" x14ac:dyDescent="0.25">
      <c r="A99518"/>
      <c r="B99518"/>
      <c r="C99518"/>
      <c r="E99518"/>
      <c r="F99518"/>
    </row>
    <row r="99519" spans="1:6" x14ac:dyDescent="0.25">
      <c r="A99519"/>
      <c r="B99519"/>
      <c r="C99519"/>
      <c r="E99519"/>
      <c r="F99519"/>
    </row>
    <row r="99520" spans="1:6" x14ac:dyDescent="0.25">
      <c r="A99520"/>
      <c r="B99520"/>
      <c r="C99520"/>
      <c r="E99520"/>
      <c r="F99520"/>
    </row>
    <row r="99521" spans="1:6" x14ac:dyDescent="0.25">
      <c r="A99521"/>
      <c r="B99521"/>
      <c r="C99521"/>
      <c r="E99521"/>
      <c r="F99521"/>
    </row>
    <row r="99522" spans="1:6" x14ac:dyDescent="0.25">
      <c r="A99522"/>
      <c r="B99522"/>
      <c r="C99522"/>
      <c r="E99522"/>
      <c r="F99522"/>
    </row>
    <row r="99523" spans="1:6" x14ac:dyDescent="0.25">
      <c r="A99523"/>
      <c r="B99523"/>
      <c r="C99523"/>
      <c r="E99523"/>
      <c r="F99523"/>
    </row>
    <row r="99524" spans="1:6" x14ac:dyDescent="0.25">
      <c r="A99524"/>
      <c r="B99524"/>
      <c r="C99524"/>
      <c r="E99524"/>
      <c r="F99524"/>
    </row>
    <row r="99525" spans="1:6" x14ac:dyDescent="0.25">
      <c r="A99525"/>
      <c r="B99525"/>
      <c r="C99525"/>
      <c r="E99525"/>
      <c r="F99525"/>
    </row>
    <row r="99526" spans="1:6" x14ac:dyDescent="0.25">
      <c r="A99526"/>
      <c r="B99526"/>
      <c r="C99526"/>
      <c r="E99526"/>
      <c r="F99526"/>
    </row>
    <row r="99527" spans="1:6" x14ac:dyDescent="0.25">
      <c r="A99527"/>
      <c r="B99527"/>
      <c r="C99527"/>
      <c r="E99527"/>
      <c r="F99527"/>
    </row>
    <row r="99528" spans="1:6" x14ac:dyDescent="0.25">
      <c r="A99528"/>
      <c r="B99528"/>
      <c r="C99528"/>
      <c r="E99528"/>
      <c r="F99528"/>
    </row>
    <row r="99529" spans="1:6" x14ac:dyDescent="0.25">
      <c r="A99529"/>
      <c r="B99529"/>
      <c r="C99529"/>
      <c r="E99529"/>
      <c r="F99529"/>
    </row>
    <row r="99530" spans="1:6" x14ac:dyDescent="0.25">
      <c r="A99530"/>
      <c r="B99530"/>
      <c r="C99530"/>
      <c r="E99530"/>
      <c r="F99530"/>
    </row>
    <row r="99531" spans="1:6" x14ac:dyDescent="0.25">
      <c r="A99531"/>
      <c r="B99531"/>
      <c r="C99531"/>
      <c r="E99531"/>
      <c r="F99531"/>
    </row>
    <row r="99532" spans="1:6" x14ac:dyDescent="0.25">
      <c r="A99532"/>
      <c r="B99532"/>
      <c r="C99532"/>
      <c r="E99532"/>
      <c r="F99532"/>
    </row>
    <row r="99533" spans="1:6" x14ac:dyDescent="0.25">
      <c r="A99533"/>
      <c r="B99533"/>
      <c r="C99533"/>
      <c r="E99533"/>
      <c r="F99533"/>
    </row>
    <row r="99534" spans="1:6" x14ac:dyDescent="0.25">
      <c r="A99534"/>
      <c r="B99534"/>
      <c r="C99534"/>
      <c r="E99534"/>
      <c r="F99534"/>
    </row>
    <row r="99535" spans="1:6" x14ac:dyDescent="0.25">
      <c r="A99535"/>
      <c r="B99535"/>
      <c r="C99535"/>
      <c r="E99535"/>
      <c r="F99535"/>
    </row>
    <row r="99536" spans="1:6" x14ac:dyDescent="0.25">
      <c r="A99536"/>
      <c r="B99536"/>
      <c r="C99536"/>
      <c r="E99536"/>
      <c r="F99536"/>
    </row>
    <row r="99537" spans="1:6" x14ac:dyDescent="0.25">
      <c r="A99537"/>
      <c r="B99537"/>
      <c r="C99537"/>
      <c r="E99537"/>
      <c r="F99537"/>
    </row>
    <row r="99538" spans="1:6" x14ac:dyDescent="0.25">
      <c r="A99538"/>
      <c r="B99538"/>
      <c r="C99538"/>
      <c r="E99538"/>
      <c r="F99538"/>
    </row>
    <row r="99539" spans="1:6" x14ac:dyDescent="0.25">
      <c r="A99539"/>
      <c r="B99539"/>
      <c r="C99539"/>
      <c r="E99539"/>
      <c r="F99539"/>
    </row>
    <row r="99540" spans="1:6" x14ac:dyDescent="0.25">
      <c r="A99540"/>
      <c r="B99540"/>
      <c r="C99540"/>
      <c r="E99540"/>
      <c r="F99540"/>
    </row>
    <row r="99541" spans="1:6" x14ac:dyDescent="0.25">
      <c r="A99541"/>
      <c r="B99541"/>
      <c r="C99541"/>
      <c r="E99541"/>
      <c r="F99541"/>
    </row>
    <row r="99542" spans="1:6" x14ac:dyDescent="0.25">
      <c r="A99542"/>
      <c r="B99542"/>
      <c r="C99542"/>
      <c r="E99542"/>
      <c r="F99542"/>
    </row>
    <row r="99543" spans="1:6" x14ac:dyDescent="0.25">
      <c r="A99543"/>
      <c r="B99543"/>
      <c r="C99543"/>
      <c r="E99543"/>
      <c r="F99543"/>
    </row>
    <row r="99544" spans="1:6" x14ac:dyDescent="0.25">
      <c r="A99544"/>
      <c r="B99544"/>
      <c r="C99544"/>
      <c r="E99544"/>
      <c r="F99544"/>
    </row>
    <row r="99545" spans="1:6" x14ac:dyDescent="0.25">
      <c r="A99545"/>
      <c r="B99545"/>
      <c r="C99545"/>
      <c r="E99545"/>
      <c r="F99545"/>
    </row>
    <row r="99546" spans="1:6" x14ac:dyDescent="0.25">
      <c r="A99546"/>
      <c r="B99546"/>
      <c r="C99546"/>
      <c r="E99546"/>
      <c r="F99546"/>
    </row>
    <row r="99547" spans="1:6" x14ac:dyDescent="0.25">
      <c r="A99547"/>
      <c r="B99547"/>
      <c r="C99547"/>
      <c r="E99547"/>
      <c r="F99547"/>
    </row>
    <row r="99548" spans="1:6" x14ac:dyDescent="0.25">
      <c r="A99548"/>
      <c r="B99548"/>
      <c r="C99548"/>
      <c r="E99548"/>
      <c r="F99548"/>
    </row>
    <row r="99549" spans="1:6" x14ac:dyDescent="0.25">
      <c r="A99549"/>
      <c r="B99549"/>
      <c r="C99549"/>
      <c r="E99549"/>
      <c r="F99549"/>
    </row>
    <row r="99550" spans="1:6" x14ac:dyDescent="0.25">
      <c r="A99550"/>
      <c r="B99550"/>
      <c r="C99550"/>
      <c r="E99550"/>
      <c r="F99550"/>
    </row>
    <row r="99551" spans="1:6" x14ac:dyDescent="0.25">
      <c r="A99551"/>
      <c r="B99551"/>
      <c r="C99551"/>
      <c r="E99551"/>
      <c r="F99551"/>
    </row>
    <row r="99552" spans="1:6" x14ac:dyDescent="0.25">
      <c r="A99552"/>
      <c r="B99552"/>
      <c r="C99552"/>
      <c r="E99552"/>
      <c r="F99552"/>
    </row>
    <row r="99553" spans="1:6" x14ac:dyDescent="0.25">
      <c r="A99553"/>
      <c r="B99553"/>
      <c r="C99553"/>
      <c r="E99553"/>
      <c r="F99553"/>
    </row>
    <row r="99554" spans="1:6" x14ac:dyDescent="0.25">
      <c r="A99554"/>
      <c r="B99554"/>
      <c r="C99554"/>
      <c r="E99554"/>
      <c r="F99554"/>
    </row>
    <row r="99555" spans="1:6" x14ac:dyDescent="0.25">
      <c r="A99555"/>
      <c r="B99555"/>
      <c r="C99555"/>
      <c r="E99555"/>
      <c r="F99555"/>
    </row>
    <row r="99556" spans="1:6" x14ac:dyDescent="0.25">
      <c r="A99556"/>
      <c r="B99556"/>
      <c r="C99556"/>
      <c r="E99556"/>
      <c r="F99556"/>
    </row>
    <row r="99557" spans="1:6" x14ac:dyDescent="0.25">
      <c r="A99557"/>
      <c r="B99557"/>
      <c r="C99557"/>
      <c r="E99557"/>
      <c r="F99557"/>
    </row>
    <row r="99558" spans="1:6" x14ac:dyDescent="0.25">
      <c r="A99558"/>
      <c r="B99558"/>
      <c r="C99558"/>
      <c r="E99558"/>
      <c r="F99558"/>
    </row>
    <row r="99559" spans="1:6" x14ac:dyDescent="0.25">
      <c r="A99559"/>
      <c r="B99559"/>
      <c r="C99559"/>
      <c r="E99559"/>
      <c r="F99559"/>
    </row>
    <row r="99560" spans="1:6" x14ac:dyDescent="0.25">
      <c r="A99560"/>
      <c r="B99560"/>
      <c r="C99560"/>
      <c r="E99560"/>
      <c r="F99560"/>
    </row>
    <row r="99561" spans="1:6" x14ac:dyDescent="0.25">
      <c r="A99561"/>
      <c r="B99561"/>
      <c r="C99561"/>
      <c r="E99561"/>
      <c r="F99561"/>
    </row>
    <row r="99562" spans="1:6" x14ac:dyDescent="0.25">
      <c r="A99562"/>
      <c r="B99562"/>
      <c r="C99562"/>
      <c r="E99562"/>
      <c r="F99562"/>
    </row>
    <row r="99563" spans="1:6" x14ac:dyDescent="0.25">
      <c r="A99563"/>
      <c r="B99563"/>
      <c r="C99563"/>
      <c r="E99563"/>
      <c r="F99563"/>
    </row>
    <row r="99564" spans="1:6" x14ac:dyDescent="0.25">
      <c r="A99564"/>
      <c r="B99564"/>
      <c r="C99564"/>
      <c r="E99564"/>
      <c r="F99564"/>
    </row>
    <row r="99565" spans="1:6" x14ac:dyDescent="0.25">
      <c r="A99565"/>
      <c r="B99565"/>
      <c r="C99565"/>
      <c r="E99565"/>
      <c r="F99565"/>
    </row>
    <row r="99566" spans="1:6" x14ac:dyDescent="0.25">
      <c r="A99566"/>
      <c r="B99566"/>
      <c r="C99566"/>
      <c r="E99566"/>
      <c r="F99566"/>
    </row>
    <row r="99567" spans="1:6" x14ac:dyDescent="0.25">
      <c r="A99567"/>
      <c r="B99567"/>
      <c r="C99567"/>
      <c r="E99567"/>
      <c r="F99567"/>
    </row>
    <row r="99568" spans="1:6" x14ac:dyDescent="0.25">
      <c r="A99568"/>
      <c r="B99568"/>
      <c r="C99568"/>
      <c r="E99568"/>
      <c r="F99568"/>
    </row>
    <row r="99569" spans="1:6" x14ac:dyDescent="0.25">
      <c r="A99569"/>
      <c r="B99569"/>
      <c r="C99569"/>
      <c r="E99569"/>
      <c r="F99569"/>
    </row>
    <row r="99570" spans="1:6" x14ac:dyDescent="0.25">
      <c r="A99570"/>
      <c r="B99570"/>
      <c r="C99570"/>
      <c r="E99570"/>
      <c r="F99570"/>
    </row>
    <row r="99571" spans="1:6" x14ac:dyDescent="0.25">
      <c r="A99571"/>
      <c r="B99571"/>
      <c r="C99571"/>
      <c r="E99571"/>
      <c r="F99571"/>
    </row>
    <row r="99572" spans="1:6" x14ac:dyDescent="0.25">
      <c r="A99572"/>
      <c r="B99572"/>
      <c r="C99572"/>
      <c r="E99572"/>
      <c r="F99572"/>
    </row>
    <row r="99573" spans="1:6" x14ac:dyDescent="0.25">
      <c r="A99573"/>
      <c r="B99573"/>
      <c r="C99573"/>
      <c r="E99573"/>
      <c r="F99573"/>
    </row>
    <row r="99574" spans="1:6" x14ac:dyDescent="0.25">
      <c r="A99574"/>
      <c r="B99574"/>
      <c r="C99574"/>
      <c r="E99574"/>
      <c r="F99574"/>
    </row>
    <row r="99575" spans="1:6" x14ac:dyDescent="0.25">
      <c r="A99575"/>
      <c r="B99575"/>
      <c r="C99575"/>
      <c r="E99575"/>
      <c r="F99575"/>
    </row>
    <row r="99576" spans="1:6" x14ac:dyDescent="0.25">
      <c r="A99576"/>
      <c r="B99576"/>
      <c r="C99576"/>
      <c r="E99576"/>
      <c r="F99576"/>
    </row>
    <row r="99577" spans="1:6" x14ac:dyDescent="0.25">
      <c r="A99577"/>
      <c r="B99577"/>
      <c r="C99577"/>
      <c r="E99577"/>
      <c r="F99577"/>
    </row>
    <row r="99578" spans="1:6" x14ac:dyDescent="0.25">
      <c r="A99578"/>
      <c r="B99578"/>
      <c r="C99578"/>
      <c r="E99578"/>
      <c r="F99578"/>
    </row>
    <row r="99579" spans="1:6" x14ac:dyDescent="0.25">
      <c r="A99579"/>
      <c r="B99579"/>
      <c r="C99579"/>
      <c r="E99579"/>
      <c r="F99579"/>
    </row>
    <row r="99580" spans="1:6" x14ac:dyDescent="0.25">
      <c r="A99580"/>
      <c r="B99580"/>
      <c r="C99580"/>
      <c r="E99580"/>
      <c r="F99580"/>
    </row>
    <row r="99581" spans="1:6" x14ac:dyDescent="0.25">
      <c r="A99581"/>
      <c r="B99581"/>
      <c r="C99581"/>
      <c r="E99581"/>
      <c r="F99581"/>
    </row>
    <row r="99582" spans="1:6" x14ac:dyDescent="0.25">
      <c r="A99582"/>
      <c r="B99582"/>
      <c r="C99582"/>
      <c r="E99582"/>
      <c r="F99582"/>
    </row>
    <row r="99583" spans="1:6" x14ac:dyDescent="0.25">
      <c r="A99583"/>
      <c r="B99583"/>
      <c r="C99583"/>
      <c r="E99583"/>
      <c r="F99583"/>
    </row>
    <row r="99584" spans="1:6" x14ac:dyDescent="0.25">
      <c r="A99584"/>
      <c r="B99584"/>
      <c r="C99584"/>
      <c r="E99584"/>
      <c r="F99584"/>
    </row>
    <row r="99585" spans="1:6" x14ac:dyDescent="0.25">
      <c r="A99585"/>
      <c r="B99585"/>
      <c r="C99585"/>
      <c r="E99585"/>
      <c r="F99585"/>
    </row>
    <row r="99586" spans="1:6" x14ac:dyDescent="0.25">
      <c r="A99586"/>
      <c r="B99586"/>
      <c r="C99586"/>
      <c r="E99586"/>
      <c r="F99586"/>
    </row>
    <row r="99587" spans="1:6" x14ac:dyDescent="0.25">
      <c r="A99587"/>
      <c r="B99587"/>
      <c r="C99587"/>
      <c r="E99587"/>
      <c r="F99587"/>
    </row>
    <row r="99588" spans="1:6" x14ac:dyDescent="0.25">
      <c r="A99588"/>
      <c r="B99588"/>
      <c r="C99588"/>
      <c r="E99588"/>
      <c r="F99588"/>
    </row>
    <row r="99589" spans="1:6" x14ac:dyDescent="0.25">
      <c r="A99589"/>
      <c r="B99589"/>
      <c r="C99589"/>
      <c r="E99589"/>
      <c r="F99589"/>
    </row>
    <row r="99590" spans="1:6" x14ac:dyDescent="0.25">
      <c r="A99590"/>
      <c r="B99590"/>
      <c r="C99590"/>
      <c r="E99590"/>
      <c r="F99590"/>
    </row>
    <row r="99591" spans="1:6" x14ac:dyDescent="0.25">
      <c r="A99591"/>
      <c r="B99591"/>
      <c r="C99591"/>
      <c r="E99591"/>
      <c r="F99591"/>
    </row>
    <row r="99592" spans="1:6" x14ac:dyDescent="0.25">
      <c r="A99592"/>
      <c r="B99592"/>
      <c r="C99592"/>
      <c r="E99592"/>
      <c r="F99592"/>
    </row>
    <row r="99593" spans="1:6" x14ac:dyDescent="0.25">
      <c r="A99593"/>
      <c r="B99593"/>
      <c r="C99593"/>
      <c r="E99593"/>
      <c r="F99593"/>
    </row>
    <row r="99594" spans="1:6" x14ac:dyDescent="0.25">
      <c r="A99594"/>
      <c r="B99594"/>
      <c r="C99594"/>
      <c r="E99594"/>
      <c r="F99594"/>
    </row>
    <row r="99595" spans="1:6" x14ac:dyDescent="0.25">
      <c r="A99595"/>
      <c r="B99595"/>
      <c r="C99595"/>
      <c r="E99595"/>
      <c r="F99595"/>
    </row>
    <row r="99596" spans="1:6" x14ac:dyDescent="0.25">
      <c r="A99596"/>
      <c r="B99596"/>
      <c r="C99596"/>
      <c r="E99596"/>
      <c r="F99596"/>
    </row>
    <row r="99597" spans="1:6" x14ac:dyDescent="0.25">
      <c r="A99597"/>
      <c r="B99597"/>
      <c r="C99597"/>
      <c r="E99597"/>
      <c r="F99597"/>
    </row>
    <row r="99598" spans="1:6" x14ac:dyDescent="0.25">
      <c r="A99598"/>
      <c r="B99598"/>
      <c r="C99598"/>
      <c r="E99598"/>
      <c r="F99598"/>
    </row>
    <row r="99599" spans="1:6" x14ac:dyDescent="0.25">
      <c r="A99599"/>
      <c r="B99599"/>
      <c r="C99599"/>
      <c r="E99599"/>
      <c r="F99599"/>
    </row>
    <row r="99600" spans="1:6" x14ac:dyDescent="0.25">
      <c r="A99600"/>
      <c r="B99600"/>
      <c r="C99600"/>
      <c r="E99600"/>
      <c r="F99600"/>
    </row>
    <row r="99601" spans="1:6" x14ac:dyDescent="0.25">
      <c r="A99601"/>
      <c r="B99601"/>
      <c r="C99601"/>
      <c r="E99601"/>
      <c r="F99601"/>
    </row>
    <row r="99602" spans="1:6" x14ac:dyDescent="0.25">
      <c r="A99602"/>
      <c r="B99602"/>
      <c r="C99602"/>
      <c r="E99602"/>
      <c r="F99602"/>
    </row>
    <row r="99603" spans="1:6" x14ac:dyDescent="0.25">
      <c r="A99603"/>
      <c r="B99603"/>
      <c r="C99603"/>
      <c r="E99603"/>
      <c r="F99603"/>
    </row>
    <row r="99604" spans="1:6" x14ac:dyDescent="0.25">
      <c r="A99604"/>
      <c r="B99604"/>
      <c r="C99604"/>
      <c r="E99604"/>
      <c r="F99604"/>
    </row>
    <row r="99605" spans="1:6" x14ac:dyDescent="0.25">
      <c r="A99605"/>
      <c r="B99605"/>
      <c r="C99605"/>
      <c r="E99605"/>
      <c r="F99605"/>
    </row>
    <row r="99606" spans="1:6" x14ac:dyDescent="0.25">
      <c r="A99606"/>
      <c r="B99606"/>
      <c r="C99606"/>
      <c r="E99606"/>
      <c r="F99606"/>
    </row>
    <row r="99607" spans="1:6" x14ac:dyDescent="0.25">
      <c r="A99607"/>
      <c r="B99607"/>
      <c r="C99607"/>
      <c r="E99607"/>
      <c r="F99607"/>
    </row>
    <row r="99608" spans="1:6" x14ac:dyDescent="0.25">
      <c r="A99608"/>
      <c r="B99608"/>
      <c r="C99608"/>
      <c r="E99608"/>
      <c r="F99608"/>
    </row>
    <row r="99609" spans="1:6" x14ac:dyDescent="0.25">
      <c r="A99609"/>
      <c r="B99609"/>
      <c r="C99609"/>
      <c r="E99609"/>
      <c r="F99609"/>
    </row>
    <row r="99610" spans="1:6" x14ac:dyDescent="0.25">
      <c r="A99610"/>
      <c r="B99610"/>
      <c r="C99610"/>
      <c r="E99610"/>
      <c r="F99610"/>
    </row>
    <row r="99611" spans="1:6" x14ac:dyDescent="0.25">
      <c r="A99611"/>
      <c r="B99611"/>
      <c r="C99611"/>
      <c r="E99611"/>
      <c r="F99611"/>
    </row>
    <row r="99612" spans="1:6" x14ac:dyDescent="0.25">
      <c r="A99612"/>
      <c r="B99612"/>
      <c r="C99612"/>
      <c r="E99612"/>
      <c r="F99612"/>
    </row>
    <row r="99613" spans="1:6" x14ac:dyDescent="0.25">
      <c r="A99613"/>
      <c r="B99613"/>
      <c r="C99613"/>
      <c r="E99613"/>
      <c r="F99613"/>
    </row>
    <row r="99614" spans="1:6" x14ac:dyDescent="0.25">
      <c r="A99614"/>
      <c r="B99614"/>
      <c r="C99614"/>
      <c r="E99614"/>
      <c r="F99614"/>
    </row>
    <row r="99615" spans="1:6" x14ac:dyDescent="0.25">
      <c r="A99615"/>
      <c r="B99615"/>
      <c r="C99615"/>
      <c r="E99615"/>
      <c r="F99615"/>
    </row>
    <row r="99616" spans="1:6" x14ac:dyDescent="0.25">
      <c r="A99616"/>
      <c r="B99616"/>
      <c r="C99616"/>
      <c r="E99616"/>
      <c r="F99616"/>
    </row>
    <row r="99617" spans="1:6" x14ac:dyDescent="0.25">
      <c r="A99617"/>
      <c r="B99617"/>
      <c r="C99617"/>
      <c r="E99617"/>
      <c r="F99617"/>
    </row>
    <row r="99618" spans="1:6" x14ac:dyDescent="0.25">
      <c r="A99618"/>
      <c r="B99618"/>
      <c r="C99618"/>
      <c r="E99618"/>
      <c r="F99618"/>
    </row>
    <row r="99619" spans="1:6" x14ac:dyDescent="0.25">
      <c r="A99619"/>
      <c r="B99619"/>
      <c r="C99619"/>
      <c r="E99619"/>
      <c r="F99619"/>
    </row>
    <row r="99620" spans="1:6" x14ac:dyDescent="0.25">
      <c r="A99620"/>
      <c r="B99620"/>
      <c r="C99620"/>
      <c r="E99620"/>
      <c r="F99620"/>
    </row>
    <row r="99621" spans="1:6" x14ac:dyDescent="0.25">
      <c r="A99621"/>
      <c r="B99621"/>
      <c r="C99621"/>
      <c r="E99621"/>
      <c r="F99621"/>
    </row>
    <row r="99622" spans="1:6" x14ac:dyDescent="0.25">
      <c r="A99622"/>
      <c r="B99622"/>
      <c r="C99622"/>
      <c r="E99622"/>
      <c r="F99622"/>
    </row>
    <row r="99623" spans="1:6" x14ac:dyDescent="0.25">
      <c r="A99623"/>
      <c r="B99623"/>
      <c r="C99623"/>
      <c r="E99623"/>
      <c r="F99623"/>
    </row>
    <row r="99624" spans="1:6" x14ac:dyDescent="0.25">
      <c r="A99624"/>
      <c r="B99624"/>
      <c r="C99624"/>
      <c r="E99624"/>
      <c r="F99624"/>
    </row>
    <row r="99625" spans="1:6" x14ac:dyDescent="0.25">
      <c r="A99625"/>
      <c r="B99625"/>
      <c r="C99625"/>
      <c r="E99625"/>
      <c r="F99625"/>
    </row>
    <row r="99626" spans="1:6" x14ac:dyDescent="0.25">
      <c r="A99626"/>
      <c r="B99626"/>
      <c r="C99626"/>
      <c r="E99626"/>
      <c r="F99626"/>
    </row>
    <row r="99627" spans="1:6" x14ac:dyDescent="0.25">
      <c r="A99627"/>
      <c r="B99627"/>
      <c r="C99627"/>
      <c r="E99627"/>
      <c r="F99627"/>
    </row>
    <row r="99628" spans="1:6" x14ac:dyDescent="0.25">
      <c r="A99628"/>
      <c r="B99628"/>
      <c r="C99628"/>
      <c r="E99628"/>
      <c r="F99628"/>
    </row>
    <row r="99629" spans="1:6" x14ac:dyDescent="0.25">
      <c r="A99629"/>
      <c r="B99629"/>
      <c r="C99629"/>
      <c r="E99629"/>
      <c r="F99629"/>
    </row>
    <row r="99630" spans="1:6" x14ac:dyDescent="0.25">
      <c r="A99630"/>
      <c r="B99630"/>
      <c r="C99630"/>
      <c r="E99630"/>
      <c r="F99630"/>
    </row>
    <row r="99631" spans="1:6" x14ac:dyDescent="0.25">
      <c r="A99631"/>
      <c r="B99631"/>
      <c r="C99631"/>
      <c r="E99631"/>
      <c r="F99631"/>
    </row>
    <row r="99632" spans="1:6" x14ac:dyDescent="0.25">
      <c r="A99632"/>
      <c r="B99632"/>
      <c r="C99632"/>
      <c r="E99632"/>
      <c r="F99632"/>
    </row>
    <row r="99633" spans="1:6" x14ac:dyDescent="0.25">
      <c r="A99633"/>
      <c r="B99633"/>
      <c r="C99633"/>
      <c r="E99633"/>
      <c r="F99633"/>
    </row>
    <row r="99634" spans="1:6" x14ac:dyDescent="0.25">
      <c r="A99634"/>
      <c r="B99634"/>
      <c r="C99634"/>
      <c r="E99634"/>
      <c r="F99634"/>
    </row>
    <row r="99635" spans="1:6" x14ac:dyDescent="0.25">
      <c r="A99635"/>
      <c r="B99635"/>
      <c r="C99635"/>
      <c r="E99635"/>
      <c r="F99635"/>
    </row>
    <row r="99636" spans="1:6" x14ac:dyDescent="0.25">
      <c r="A99636"/>
      <c r="B99636"/>
      <c r="C99636"/>
      <c r="E99636"/>
      <c r="F99636"/>
    </row>
    <row r="99637" spans="1:6" x14ac:dyDescent="0.25">
      <c r="A99637"/>
      <c r="B99637"/>
      <c r="C99637"/>
      <c r="E99637"/>
      <c r="F99637"/>
    </row>
    <row r="99638" spans="1:6" x14ac:dyDescent="0.25">
      <c r="A99638"/>
      <c r="B99638"/>
      <c r="C99638"/>
      <c r="E99638"/>
      <c r="F99638"/>
    </row>
    <row r="99639" spans="1:6" x14ac:dyDescent="0.25">
      <c r="A99639"/>
      <c r="B99639"/>
      <c r="C99639"/>
      <c r="E99639"/>
      <c r="F99639"/>
    </row>
    <row r="99640" spans="1:6" x14ac:dyDescent="0.25">
      <c r="A99640"/>
      <c r="B99640"/>
      <c r="C99640"/>
      <c r="E99640"/>
      <c r="F99640"/>
    </row>
    <row r="99641" spans="1:6" x14ac:dyDescent="0.25">
      <c r="A99641"/>
      <c r="B99641"/>
      <c r="C99641"/>
      <c r="E99641"/>
      <c r="F99641"/>
    </row>
    <row r="99642" spans="1:6" x14ac:dyDescent="0.25">
      <c r="A99642"/>
      <c r="B99642"/>
      <c r="C99642"/>
      <c r="E99642"/>
      <c r="F99642"/>
    </row>
    <row r="99643" spans="1:6" x14ac:dyDescent="0.25">
      <c r="A99643"/>
      <c r="B99643"/>
      <c r="C99643"/>
      <c r="E99643"/>
      <c r="F99643"/>
    </row>
    <row r="99644" spans="1:6" x14ac:dyDescent="0.25">
      <c r="A99644"/>
      <c r="B99644"/>
      <c r="C99644"/>
      <c r="E99644"/>
      <c r="F99644"/>
    </row>
    <row r="99645" spans="1:6" x14ac:dyDescent="0.25">
      <c r="A99645"/>
      <c r="B99645"/>
      <c r="C99645"/>
      <c r="E99645"/>
      <c r="F99645"/>
    </row>
    <row r="99646" spans="1:6" x14ac:dyDescent="0.25">
      <c r="A99646"/>
      <c r="B99646"/>
      <c r="C99646"/>
      <c r="E99646"/>
      <c r="F99646"/>
    </row>
    <row r="99647" spans="1:6" x14ac:dyDescent="0.25">
      <c r="A99647"/>
      <c r="B99647"/>
      <c r="C99647"/>
      <c r="E99647"/>
      <c r="F99647"/>
    </row>
    <row r="99648" spans="1:6" x14ac:dyDescent="0.25">
      <c r="A99648"/>
      <c r="B99648"/>
      <c r="C99648"/>
      <c r="E99648"/>
      <c r="F99648"/>
    </row>
    <row r="99649" spans="1:6" x14ac:dyDescent="0.25">
      <c r="A99649"/>
      <c r="B99649"/>
      <c r="C99649"/>
      <c r="E99649"/>
      <c r="F99649"/>
    </row>
    <row r="99650" spans="1:6" x14ac:dyDescent="0.25">
      <c r="A99650"/>
      <c r="B99650"/>
      <c r="C99650"/>
      <c r="E99650"/>
      <c r="F99650"/>
    </row>
    <row r="99651" spans="1:6" x14ac:dyDescent="0.25">
      <c r="A99651"/>
      <c r="B99651"/>
      <c r="C99651"/>
      <c r="E99651"/>
      <c r="F99651"/>
    </row>
    <row r="99652" spans="1:6" x14ac:dyDescent="0.25">
      <c r="A99652"/>
      <c r="B99652"/>
      <c r="C99652"/>
      <c r="E99652"/>
      <c r="F99652"/>
    </row>
    <row r="99653" spans="1:6" x14ac:dyDescent="0.25">
      <c r="A99653"/>
      <c r="B99653"/>
      <c r="C99653"/>
      <c r="E99653"/>
      <c r="F99653"/>
    </row>
    <row r="99654" spans="1:6" x14ac:dyDescent="0.25">
      <c r="A99654"/>
      <c r="B99654"/>
      <c r="C99654"/>
      <c r="E99654"/>
      <c r="F99654"/>
    </row>
    <row r="99655" spans="1:6" x14ac:dyDescent="0.25">
      <c r="A99655"/>
      <c r="B99655"/>
      <c r="C99655"/>
      <c r="E99655"/>
      <c r="F99655"/>
    </row>
    <row r="99656" spans="1:6" x14ac:dyDescent="0.25">
      <c r="A99656"/>
      <c r="B99656"/>
      <c r="C99656"/>
      <c r="E99656"/>
      <c r="F99656"/>
    </row>
    <row r="99657" spans="1:6" x14ac:dyDescent="0.25">
      <c r="A99657"/>
      <c r="B99657"/>
      <c r="C99657"/>
      <c r="E99657"/>
      <c r="F99657"/>
    </row>
    <row r="99658" spans="1:6" x14ac:dyDescent="0.25">
      <c r="A99658"/>
      <c r="B99658"/>
      <c r="C99658"/>
      <c r="E99658"/>
      <c r="F99658"/>
    </row>
    <row r="99659" spans="1:6" x14ac:dyDescent="0.25">
      <c r="A99659"/>
      <c r="B99659"/>
      <c r="C99659"/>
      <c r="E99659"/>
      <c r="F99659"/>
    </row>
    <row r="99660" spans="1:6" x14ac:dyDescent="0.25">
      <c r="A99660"/>
      <c r="B99660"/>
      <c r="C99660"/>
      <c r="E99660"/>
      <c r="F99660"/>
    </row>
    <row r="99661" spans="1:6" x14ac:dyDescent="0.25">
      <c r="A99661"/>
      <c r="B99661"/>
      <c r="C99661"/>
      <c r="E99661"/>
      <c r="F99661"/>
    </row>
    <row r="99662" spans="1:6" x14ac:dyDescent="0.25">
      <c r="A99662"/>
      <c r="B99662"/>
      <c r="C99662"/>
      <c r="E99662"/>
      <c r="F99662"/>
    </row>
    <row r="99663" spans="1:6" x14ac:dyDescent="0.25">
      <c r="A99663"/>
      <c r="B99663"/>
      <c r="C99663"/>
      <c r="E99663"/>
      <c r="F99663"/>
    </row>
    <row r="99664" spans="1:6" x14ac:dyDescent="0.25">
      <c r="A99664"/>
      <c r="B99664"/>
      <c r="C99664"/>
      <c r="E99664"/>
      <c r="F99664"/>
    </row>
    <row r="99665" spans="1:6" x14ac:dyDescent="0.25">
      <c r="A99665"/>
      <c r="B99665"/>
      <c r="C99665"/>
      <c r="E99665"/>
      <c r="F99665"/>
    </row>
    <row r="99666" spans="1:6" x14ac:dyDescent="0.25">
      <c r="A99666"/>
      <c r="B99666"/>
      <c r="C99666"/>
      <c r="E99666"/>
      <c r="F99666"/>
    </row>
    <row r="99667" spans="1:6" x14ac:dyDescent="0.25">
      <c r="A99667"/>
      <c r="B99667"/>
      <c r="C99667"/>
      <c r="E99667"/>
      <c r="F99667"/>
    </row>
    <row r="99668" spans="1:6" x14ac:dyDescent="0.25">
      <c r="A99668"/>
      <c r="B99668"/>
      <c r="C99668"/>
      <c r="E99668"/>
      <c r="F99668"/>
    </row>
    <row r="99669" spans="1:6" x14ac:dyDescent="0.25">
      <c r="A99669"/>
      <c r="B99669"/>
      <c r="C99669"/>
      <c r="E99669"/>
      <c r="F99669"/>
    </row>
    <row r="99670" spans="1:6" x14ac:dyDescent="0.25">
      <c r="A99670"/>
      <c r="B99670"/>
      <c r="C99670"/>
      <c r="E99670"/>
      <c r="F99670"/>
    </row>
    <row r="99671" spans="1:6" x14ac:dyDescent="0.25">
      <c r="A99671"/>
      <c r="B99671"/>
      <c r="C99671"/>
      <c r="E99671"/>
      <c r="F99671"/>
    </row>
    <row r="99672" spans="1:6" x14ac:dyDescent="0.25">
      <c r="A99672"/>
      <c r="B99672"/>
      <c r="C99672"/>
      <c r="E99672"/>
      <c r="F99672"/>
    </row>
    <row r="99673" spans="1:6" x14ac:dyDescent="0.25">
      <c r="A99673"/>
      <c r="B99673"/>
      <c r="C99673"/>
      <c r="E99673"/>
      <c r="F99673"/>
    </row>
    <row r="99674" spans="1:6" x14ac:dyDescent="0.25">
      <c r="A99674"/>
      <c r="B99674"/>
      <c r="C99674"/>
      <c r="E99674"/>
      <c r="F99674"/>
    </row>
    <row r="99675" spans="1:6" x14ac:dyDescent="0.25">
      <c r="A99675"/>
      <c r="B99675"/>
      <c r="C99675"/>
      <c r="E99675"/>
      <c r="F99675"/>
    </row>
    <row r="99676" spans="1:6" x14ac:dyDescent="0.25">
      <c r="A99676"/>
      <c r="B99676"/>
      <c r="C99676"/>
      <c r="E99676"/>
      <c r="F99676"/>
    </row>
    <row r="99677" spans="1:6" x14ac:dyDescent="0.25">
      <c r="A99677"/>
      <c r="B99677"/>
      <c r="C99677"/>
      <c r="E99677"/>
      <c r="F99677"/>
    </row>
    <row r="99678" spans="1:6" x14ac:dyDescent="0.25">
      <c r="A99678"/>
      <c r="B99678"/>
      <c r="C99678"/>
      <c r="E99678"/>
      <c r="F99678"/>
    </row>
    <row r="99679" spans="1:6" x14ac:dyDescent="0.25">
      <c r="A99679"/>
      <c r="B99679"/>
      <c r="C99679"/>
      <c r="E99679"/>
      <c r="F99679"/>
    </row>
    <row r="99680" spans="1:6" x14ac:dyDescent="0.25">
      <c r="A99680"/>
      <c r="B99680"/>
      <c r="C99680"/>
      <c r="E99680"/>
      <c r="F99680"/>
    </row>
    <row r="99681" spans="1:6" x14ac:dyDescent="0.25">
      <c r="A99681"/>
      <c r="B99681"/>
      <c r="C99681"/>
      <c r="E99681"/>
      <c r="F99681"/>
    </row>
    <row r="99682" spans="1:6" x14ac:dyDescent="0.25">
      <c r="A99682"/>
      <c r="B99682"/>
      <c r="C99682"/>
      <c r="E99682"/>
      <c r="F99682"/>
    </row>
    <row r="99683" spans="1:6" x14ac:dyDescent="0.25">
      <c r="A99683"/>
      <c r="B99683"/>
      <c r="C99683"/>
      <c r="E99683"/>
      <c r="F99683"/>
    </row>
    <row r="99684" spans="1:6" x14ac:dyDescent="0.25">
      <c r="A99684"/>
      <c r="B99684"/>
      <c r="C99684"/>
      <c r="E99684"/>
      <c r="F99684"/>
    </row>
    <row r="99685" spans="1:6" x14ac:dyDescent="0.25">
      <c r="A99685"/>
      <c r="B99685"/>
      <c r="C99685"/>
      <c r="E99685"/>
      <c r="F99685"/>
    </row>
    <row r="99686" spans="1:6" x14ac:dyDescent="0.25">
      <c r="A99686"/>
      <c r="B99686"/>
      <c r="C99686"/>
      <c r="E99686"/>
      <c r="F99686"/>
    </row>
    <row r="99687" spans="1:6" x14ac:dyDescent="0.25">
      <c r="A99687"/>
      <c r="B99687"/>
      <c r="C99687"/>
      <c r="E99687"/>
      <c r="F99687"/>
    </row>
    <row r="99688" spans="1:6" x14ac:dyDescent="0.25">
      <c r="A99688"/>
      <c r="B99688"/>
      <c r="C99688"/>
      <c r="E99688"/>
      <c r="F99688"/>
    </row>
    <row r="99689" spans="1:6" x14ac:dyDescent="0.25">
      <c r="A99689"/>
      <c r="B99689"/>
      <c r="C99689"/>
      <c r="E99689"/>
      <c r="F99689"/>
    </row>
    <row r="99690" spans="1:6" x14ac:dyDescent="0.25">
      <c r="A99690"/>
      <c r="B99690"/>
      <c r="C99690"/>
      <c r="E99690"/>
      <c r="F99690"/>
    </row>
    <row r="99691" spans="1:6" x14ac:dyDescent="0.25">
      <c r="A99691"/>
      <c r="B99691"/>
      <c r="C99691"/>
      <c r="E99691"/>
      <c r="F99691"/>
    </row>
    <row r="99692" spans="1:6" x14ac:dyDescent="0.25">
      <c r="A99692"/>
      <c r="B99692"/>
      <c r="C99692"/>
      <c r="E99692"/>
      <c r="F99692"/>
    </row>
    <row r="99693" spans="1:6" x14ac:dyDescent="0.25">
      <c r="A99693"/>
      <c r="B99693"/>
      <c r="C99693"/>
      <c r="E99693"/>
      <c r="F99693"/>
    </row>
    <row r="99694" spans="1:6" x14ac:dyDescent="0.25">
      <c r="A99694"/>
      <c r="B99694"/>
      <c r="C99694"/>
      <c r="E99694"/>
      <c r="F99694"/>
    </row>
    <row r="99695" spans="1:6" x14ac:dyDescent="0.25">
      <c r="A99695"/>
      <c r="B99695"/>
      <c r="C99695"/>
      <c r="E99695"/>
      <c r="F99695"/>
    </row>
    <row r="99696" spans="1:6" x14ac:dyDescent="0.25">
      <c r="A99696"/>
      <c r="B99696"/>
      <c r="C99696"/>
      <c r="E99696"/>
      <c r="F99696"/>
    </row>
    <row r="99697" spans="1:6" x14ac:dyDescent="0.25">
      <c r="A99697"/>
      <c r="B99697"/>
      <c r="C99697"/>
      <c r="E99697"/>
      <c r="F99697"/>
    </row>
    <row r="99698" spans="1:6" x14ac:dyDescent="0.25">
      <c r="A99698"/>
      <c r="B99698"/>
      <c r="C99698"/>
      <c r="E99698"/>
      <c r="F99698"/>
    </row>
    <row r="99699" spans="1:6" x14ac:dyDescent="0.25">
      <c r="A99699"/>
      <c r="B99699"/>
      <c r="C99699"/>
      <c r="E99699"/>
      <c r="F99699"/>
    </row>
    <row r="99700" spans="1:6" x14ac:dyDescent="0.25">
      <c r="A99700"/>
      <c r="B99700"/>
      <c r="C99700"/>
      <c r="E99700"/>
      <c r="F99700"/>
    </row>
    <row r="99701" spans="1:6" x14ac:dyDescent="0.25">
      <c r="A99701"/>
      <c r="B99701"/>
      <c r="C99701"/>
      <c r="E99701"/>
      <c r="F99701"/>
    </row>
    <row r="99702" spans="1:6" x14ac:dyDescent="0.25">
      <c r="A99702"/>
      <c r="B99702"/>
      <c r="C99702"/>
      <c r="E99702"/>
      <c r="F99702"/>
    </row>
    <row r="99703" spans="1:6" x14ac:dyDescent="0.25">
      <c r="A99703"/>
      <c r="B99703"/>
      <c r="C99703"/>
      <c r="E99703"/>
      <c r="F99703"/>
    </row>
    <row r="99704" spans="1:6" x14ac:dyDescent="0.25">
      <c r="A99704"/>
      <c r="B99704"/>
      <c r="C99704"/>
      <c r="E99704"/>
      <c r="F99704"/>
    </row>
    <row r="99705" spans="1:6" x14ac:dyDescent="0.25">
      <c r="A99705"/>
      <c r="B99705"/>
      <c r="C99705"/>
      <c r="E99705"/>
      <c r="F99705"/>
    </row>
    <row r="99706" spans="1:6" x14ac:dyDescent="0.25">
      <c r="A99706"/>
      <c r="B99706"/>
      <c r="C99706"/>
      <c r="E99706"/>
      <c r="F99706"/>
    </row>
    <row r="99707" spans="1:6" x14ac:dyDescent="0.25">
      <c r="A99707"/>
      <c r="B99707"/>
      <c r="C99707"/>
      <c r="E99707"/>
      <c r="F99707"/>
    </row>
    <row r="99708" spans="1:6" x14ac:dyDescent="0.25">
      <c r="A99708"/>
      <c r="B99708"/>
      <c r="C99708"/>
      <c r="E99708"/>
      <c r="F99708"/>
    </row>
    <row r="99709" spans="1:6" x14ac:dyDescent="0.25">
      <c r="A99709"/>
      <c r="B99709"/>
      <c r="C99709"/>
      <c r="E99709"/>
      <c r="F99709"/>
    </row>
    <row r="99710" spans="1:6" x14ac:dyDescent="0.25">
      <c r="A99710"/>
      <c r="B99710"/>
      <c r="C99710"/>
      <c r="E99710"/>
      <c r="F99710"/>
    </row>
    <row r="99711" spans="1:6" x14ac:dyDescent="0.25">
      <c r="A99711"/>
      <c r="B99711"/>
      <c r="C99711"/>
      <c r="E99711"/>
      <c r="F99711"/>
    </row>
    <row r="99712" spans="1:6" x14ac:dyDescent="0.25">
      <c r="A99712"/>
      <c r="B99712"/>
      <c r="C99712"/>
      <c r="E99712"/>
      <c r="F99712"/>
    </row>
    <row r="99713" spans="1:6" x14ac:dyDescent="0.25">
      <c r="A99713"/>
      <c r="B99713"/>
      <c r="C99713"/>
      <c r="E99713"/>
      <c r="F99713"/>
    </row>
    <row r="99714" spans="1:6" x14ac:dyDescent="0.25">
      <c r="A99714"/>
      <c r="B99714"/>
      <c r="C99714"/>
      <c r="E99714"/>
      <c r="F99714"/>
    </row>
    <row r="99715" spans="1:6" x14ac:dyDescent="0.25">
      <c r="A99715"/>
      <c r="B99715"/>
      <c r="C99715"/>
      <c r="E99715"/>
      <c r="F99715"/>
    </row>
    <row r="99716" spans="1:6" x14ac:dyDescent="0.25">
      <c r="A99716"/>
      <c r="B99716"/>
      <c r="C99716"/>
      <c r="E99716"/>
      <c r="F99716"/>
    </row>
    <row r="99717" spans="1:6" x14ac:dyDescent="0.25">
      <c r="A99717"/>
      <c r="B99717"/>
      <c r="C99717"/>
      <c r="E99717"/>
      <c r="F99717"/>
    </row>
    <row r="99718" spans="1:6" x14ac:dyDescent="0.25">
      <c r="A99718"/>
      <c r="B99718"/>
      <c r="C99718"/>
      <c r="E99718"/>
      <c r="F99718"/>
    </row>
    <row r="99719" spans="1:6" x14ac:dyDescent="0.25">
      <c r="A99719"/>
      <c r="B99719"/>
      <c r="C99719"/>
      <c r="E99719"/>
      <c r="F99719"/>
    </row>
    <row r="99720" spans="1:6" x14ac:dyDescent="0.25">
      <c r="A99720"/>
      <c r="B99720"/>
      <c r="C99720"/>
      <c r="E99720"/>
      <c r="F99720"/>
    </row>
    <row r="99721" spans="1:6" x14ac:dyDescent="0.25">
      <c r="A99721"/>
      <c r="B99721"/>
      <c r="C99721"/>
      <c r="E99721"/>
      <c r="F99721"/>
    </row>
    <row r="99722" spans="1:6" x14ac:dyDescent="0.25">
      <c r="A99722"/>
      <c r="B99722"/>
      <c r="C99722"/>
      <c r="E99722"/>
      <c r="F99722"/>
    </row>
    <row r="99723" spans="1:6" x14ac:dyDescent="0.25">
      <c r="A99723"/>
      <c r="B99723"/>
      <c r="C99723"/>
      <c r="E99723"/>
      <c r="F99723"/>
    </row>
    <row r="99724" spans="1:6" x14ac:dyDescent="0.25">
      <c r="A99724"/>
      <c r="B99724"/>
      <c r="C99724"/>
      <c r="E99724"/>
      <c r="F99724"/>
    </row>
    <row r="99725" spans="1:6" x14ac:dyDescent="0.25">
      <c r="A99725"/>
      <c r="B99725"/>
      <c r="C99725"/>
      <c r="E99725"/>
      <c r="F99725"/>
    </row>
    <row r="99726" spans="1:6" x14ac:dyDescent="0.25">
      <c r="A99726"/>
      <c r="B99726"/>
      <c r="C99726"/>
      <c r="E99726"/>
      <c r="F99726"/>
    </row>
    <row r="99727" spans="1:6" x14ac:dyDescent="0.25">
      <c r="A99727"/>
      <c r="B99727"/>
      <c r="C99727"/>
      <c r="E99727"/>
      <c r="F99727"/>
    </row>
    <row r="99728" spans="1:6" x14ac:dyDescent="0.25">
      <c r="A99728"/>
      <c r="B99728"/>
      <c r="C99728"/>
      <c r="E99728"/>
      <c r="F99728"/>
    </row>
    <row r="99729" spans="1:6" x14ac:dyDescent="0.25">
      <c r="A99729"/>
      <c r="B99729"/>
      <c r="C99729"/>
      <c r="E99729"/>
      <c r="F99729"/>
    </row>
    <row r="99730" spans="1:6" x14ac:dyDescent="0.25">
      <c r="A99730"/>
      <c r="B99730"/>
      <c r="C99730"/>
      <c r="E99730"/>
      <c r="F99730"/>
    </row>
    <row r="99731" spans="1:6" x14ac:dyDescent="0.25">
      <c r="A99731"/>
      <c r="B99731"/>
      <c r="C99731"/>
      <c r="E99731"/>
      <c r="F99731"/>
    </row>
    <row r="99732" spans="1:6" x14ac:dyDescent="0.25">
      <c r="A99732"/>
      <c r="B99732"/>
      <c r="C99732"/>
      <c r="E99732"/>
      <c r="F99732"/>
    </row>
    <row r="99733" spans="1:6" x14ac:dyDescent="0.25">
      <c r="A99733"/>
      <c r="B99733"/>
      <c r="C99733"/>
      <c r="E99733"/>
      <c r="F99733"/>
    </row>
    <row r="99734" spans="1:6" x14ac:dyDescent="0.25">
      <c r="A99734"/>
      <c r="B99734"/>
      <c r="C99734"/>
      <c r="E99734"/>
      <c r="F99734"/>
    </row>
    <row r="99735" spans="1:6" x14ac:dyDescent="0.25">
      <c r="A99735"/>
      <c r="B99735"/>
      <c r="C99735"/>
      <c r="E99735"/>
      <c r="F99735"/>
    </row>
    <row r="99736" spans="1:6" x14ac:dyDescent="0.25">
      <c r="A99736"/>
      <c r="B99736"/>
      <c r="C99736"/>
      <c r="E99736"/>
      <c r="F99736"/>
    </row>
    <row r="99737" spans="1:6" x14ac:dyDescent="0.25">
      <c r="A99737"/>
      <c r="B99737"/>
      <c r="C99737"/>
      <c r="E99737"/>
      <c r="F99737"/>
    </row>
    <row r="99738" spans="1:6" x14ac:dyDescent="0.25">
      <c r="A99738"/>
      <c r="B99738"/>
      <c r="C99738"/>
      <c r="E99738"/>
      <c r="F99738"/>
    </row>
    <row r="99739" spans="1:6" x14ac:dyDescent="0.25">
      <c r="A99739"/>
      <c r="B99739"/>
      <c r="C99739"/>
      <c r="E99739"/>
      <c r="F99739"/>
    </row>
    <row r="99740" spans="1:6" x14ac:dyDescent="0.25">
      <c r="A99740"/>
      <c r="B99740"/>
      <c r="C99740"/>
      <c r="E99740"/>
      <c r="F99740"/>
    </row>
    <row r="99741" spans="1:6" x14ac:dyDescent="0.25">
      <c r="A99741"/>
      <c r="B99741"/>
      <c r="C99741"/>
      <c r="E99741"/>
      <c r="F99741"/>
    </row>
    <row r="99742" spans="1:6" x14ac:dyDescent="0.25">
      <c r="A99742"/>
      <c r="B99742"/>
      <c r="C99742"/>
      <c r="E99742"/>
      <c r="F99742"/>
    </row>
    <row r="99743" spans="1:6" x14ac:dyDescent="0.25">
      <c r="A99743"/>
      <c r="B99743"/>
      <c r="C99743"/>
      <c r="E99743"/>
      <c r="F99743"/>
    </row>
    <row r="99744" spans="1:6" x14ac:dyDescent="0.25">
      <c r="A99744"/>
      <c r="B99744"/>
      <c r="C99744"/>
      <c r="E99744"/>
      <c r="F99744"/>
    </row>
    <row r="99745" spans="1:6" x14ac:dyDescent="0.25">
      <c r="A99745"/>
      <c r="B99745"/>
      <c r="C99745"/>
      <c r="E99745"/>
      <c r="F99745"/>
    </row>
    <row r="99746" spans="1:6" x14ac:dyDescent="0.25">
      <c r="A99746"/>
      <c r="B99746"/>
      <c r="C99746"/>
      <c r="E99746"/>
      <c r="F99746"/>
    </row>
    <row r="99747" spans="1:6" x14ac:dyDescent="0.25">
      <c r="A99747"/>
      <c r="B99747"/>
      <c r="C99747"/>
      <c r="E99747"/>
      <c r="F99747"/>
    </row>
    <row r="99748" spans="1:6" x14ac:dyDescent="0.25">
      <c r="A99748"/>
      <c r="B99748"/>
      <c r="C99748"/>
      <c r="E99748"/>
      <c r="F99748"/>
    </row>
    <row r="99749" spans="1:6" x14ac:dyDescent="0.25">
      <c r="A99749"/>
      <c r="B99749"/>
      <c r="C99749"/>
      <c r="E99749"/>
      <c r="F99749"/>
    </row>
    <row r="99750" spans="1:6" x14ac:dyDescent="0.25">
      <c r="A99750"/>
      <c r="B99750"/>
      <c r="C99750"/>
      <c r="E99750"/>
      <c r="F99750"/>
    </row>
    <row r="99751" spans="1:6" x14ac:dyDescent="0.25">
      <c r="A99751"/>
      <c r="B99751"/>
      <c r="C99751"/>
      <c r="E99751"/>
      <c r="F99751"/>
    </row>
    <row r="99752" spans="1:6" x14ac:dyDescent="0.25">
      <c r="A99752"/>
      <c r="B99752"/>
      <c r="C99752"/>
      <c r="E99752"/>
      <c r="F99752"/>
    </row>
    <row r="99753" spans="1:6" x14ac:dyDescent="0.25">
      <c r="A99753"/>
      <c r="B99753"/>
      <c r="C99753"/>
      <c r="E99753"/>
      <c r="F99753"/>
    </row>
    <row r="99754" spans="1:6" x14ac:dyDescent="0.25">
      <c r="A99754"/>
      <c r="B99754"/>
      <c r="C99754"/>
      <c r="E99754"/>
      <c r="F99754"/>
    </row>
    <row r="99755" spans="1:6" x14ac:dyDescent="0.25">
      <c r="A99755"/>
      <c r="B99755"/>
      <c r="C99755"/>
      <c r="E99755"/>
      <c r="F99755"/>
    </row>
    <row r="99756" spans="1:6" x14ac:dyDescent="0.25">
      <c r="A99756"/>
      <c r="B99756"/>
      <c r="C99756"/>
      <c r="E99756"/>
      <c r="F99756"/>
    </row>
    <row r="99757" spans="1:6" x14ac:dyDescent="0.25">
      <c r="A99757"/>
      <c r="B99757"/>
      <c r="C99757"/>
      <c r="E99757"/>
      <c r="F99757"/>
    </row>
    <row r="99758" spans="1:6" x14ac:dyDescent="0.25">
      <c r="A99758"/>
      <c r="B99758"/>
      <c r="C99758"/>
      <c r="E99758"/>
      <c r="F99758"/>
    </row>
    <row r="99759" spans="1:6" x14ac:dyDescent="0.25">
      <c r="A99759"/>
      <c r="B99759"/>
      <c r="C99759"/>
      <c r="E99759"/>
      <c r="F99759"/>
    </row>
    <row r="99760" spans="1:6" x14ac:dyDescent="0.25">
      <c r="A99760"/>
      <c r="B99760"/>
      <c r="C99760"/>
      <c r="E99760"/>
      <c r="F99760"/>
    </row>
    <row r="99761" spans="1:6" x14ac:dyDescent="0.25">
      <c r="A99761"/>
      <c r="B99761"/>
      <c r="C99761"/>
      <c r="E99761"/>
      <c r="F99761"/>
    </row>
    <row r="99762" spans="1:6" x14ac:dyDescent="0.25">
      <c r="A99762"/>
      <c r="B99762"/>
      <c r="C99762"/>
      <c r="E99762"/>
      <c r="F99762"/>
    </row>
    <row r="99763" spans="1:6" x14ac:dyDescent="0.25">
      <c r="A99763"/>
      <c r="B99763"/>
      <c r="C99763"/>
      <c r="E99763"/>
      <c r="F99763"/>
    </row>
    <row r="99764" spans="1:6" x14ac:dyDescent="0.25">
      <c r="A99764"/>
      <c r="B99764"/>
      <c r="C99764"/>
      <c r="E99764"/>
      <c r="F99764"/>
    </row>
    <row r="99765" spans="1:6" x14ac:dyDescent="0.25">
      <c r="A99765"/>
      <c r="B99765"/>
      <c r="C99765"/>
      <c r="E99765"/>
      <c r="F99765"/>
    </row>
    <row r="99766" spans="1:6" x14ac:dyDescent="0.25">
      <c r="A99766"/>
      <c r="B99766"/>
      <c r="C99766"/>
      <c r="E99766"/>
      <c r="F99766"/>
    </row>
    <row r="99767" spans="1:6" x14ac:dyDescent="0.25">
      <c r="A99767"/>
      <c r="B99767"/>
      <c r="C99767"/>
      <c r="E99767"/>
      <c r="F99767"/>
    </row>
    <row r="99768" spans="1:6" x14ac:dyDescent="0.25">
      <c r="A99768"/>
      <c r="B99768"/>
      <c r="C99768"/>
      <c r="E99768"/>
      <c r="F99768"/>
    </row>
    <row r="99769" spans="1:6" x14ac:dyDescent="0.25">
      <c r="A99769"/>
      <c r="B99769"/>
      <c r="C99769"/>
      <c r="E99769"/>
      <c r="F99769"/>
    </row>
    <row r="99770" spans="1:6" x14ac:dyDescent="0.25">
      <c r="A99770"/>
      <c r="B99770"/>
      <c r="C99770"/>
      <c r="E99770"/>
      <c r="F99770"/>
    </row>
    <row r="99771" spans="1:6" x14ac:dyDescent="0.25">
      <c r="A99771"/>
      <c r="B99771"/>
      <c r="C99771"/>
      <c r="E99771"/>
      <c r="F99771"/>
    </row>
    <row r="99772" spans="1:6" x14ac:dyDescent="0.25">
      <c r="A99772"/>
      <c r="B99772"/>
      <c r="C99772"/>
      <c r="E99772"/>
      <c r="F99772"/>
    </row>
    <row r="99773" spans="1:6" x14ac:dyDescent="0.25">
      <c r="A99773"/>
      <c r="B99773"/>
      <c r="C99773"/>
      <c r="E99773"/>
      <c r="F99773"/>
    </row>
    <row r="99774" spans="1:6" x14ac:dyDescent="0.25">
      <c r="A99774"/>
      <c r="B99774"/>
      <c r="C99774"/>
      <c r="E99774"/>
      <c r="F99774"/>
    </row>
    <row r="99775" spans="1:6" x14ac:dyDescent="0.25">
      <c r="A99775"/>
      <c r="B99775"/>
      <c r="C99775"/>
      <c r="E99775"/>
      <c r="F99775"/>
    </row>
    <row r="99776" spans="1:6" x14ac:dyDescent="0.25">
      <c r="A99776"/>
      <c r="B99776"/>
      <c r="C99776"/>
      <c r="E99776"/>
      <c r="F99776"/>
    </row>
    <row r="99777" spans="1:6" x14ac:dyDescent="0.25">
      <c r="A99777"/>
      <c r="B99777"/>
      <c r="C99777"/>
      <c r="E99777"/>
      <c r="F99777"/>
    </row>
    <row r="99778" spans="1:6" x14ac:dyDescent="0.25">
      <c r="A99778"/>
      <c r="B99778"/>
      <c r="C99778"/>
      <c r="E99778"/>
      <c r="F99778"/>
    </row>
    <row r="99779" spans="1:6" x14ac:dyDescent="0.25">
      <c r="A99779"/>
      <c r="B99779"/>
      <c r="C99779"/>
      <c r="E99779"/>
      <c r="F99779"/>
    </row>
    <row r="99780" spans="1:6" x14ac:dyDescent="0.25">
      <c r="A99780"/>
      <c r="B99780"/>
      <c r="C99780"/>
      <c r="E99780"/>
      <c r="F99780"/>
    </row>
    <row r="99781" spans="1:6" x14ac:dyDescent="0.25">
      <c r="A99781"/>
      <c r="B99781"/>
      <c r="C99781"/>
      <c r="E99781"/>
      <c r="F99781"/>
    </row>
    <row r="99782" spans="1:6" x14ac:dyDescent="0.25">
      <c r="A99782"/>
      <c r="B99782"/>
      <c r="C99782"/>
      <c r="E99782"/>
      <c r="F99782"/>
    </row>
    <row r="99783" spans="1:6" x14ac:dyDescent="0.25">
      <c r="A99783"/>
      <c r="B99783"/>
      <c r="C99783"/>
      <c r="E99783"/>
      <c r="F99783"/>
    </row>
    <row r="99784" spans="1:6" x14ac:dyDescent="0.25">
      <c r="A99784"/>
      <c r="B99784"/>
      <c r="C99784"/>
      <c r="E99784"/>
      <c r="F99784"/>
    </row>
    <row r="99785" spans="1:6" x14ac:dyDescent="0.25">
      <c r="A99785"/>
      <c r="B99785"/>
      <c r="C99785"/>
      <c r="E99785"/>
      <c r="F99785"/>
    </row>
    <row r="99786" spans="1:6" x14ac:dyDescent="0.25">
      <c r="A99786"/>
      <c r="B99786"/>
      <c r="C99786"/>
      <c r="E99786"/>
      <c r="F99786"/>
    </row>
    <row r="99787" spans="1:6" x14ac:dyDescent="0.25">
      <c r="A99787"/>
      <c r="B99787"/>
      <c r="C99787"/>
      <c r="E99787"/>
      <c r="F99787"/>
    </row>
    <row r="99788" spans="1:6" x14ac:dyDescent="0.25">
      <c r="A99788"/>
      <c r="B99788"/>
      <c r="C99788"/>
      <c r="E99788"/>
      <c r="F99788"/>
    </row>
    <row r="99789" spans="1:6" x14ac:dyDescent="0.25">
      <c r="A99789"/>
      <c r="B99789"/>
      <c r="C99789"/>
      <c r="E99789"/>
      <c r="F99789"/>
    </row>
    <row r="99790" spans="1:6" x14ac:dyDescent="0.25">
      <c r="A99790"/>
      <c r="B99790"/>
      <c r="C99790"/>
      <c r="E99790"/>
      <c r="F99790"/>
    </row>
    <row r="99791" spans="1:6" x14ac:dyDescent="0.25">
      <c r="A99791"/>
      <c r="B99791"/>
      <c r="C99791"/>
      <c r="E99791"/>
      <c r="F99791"/>
    </row>
    <row r="99792" spans="1:6" x14ac:dyDescent="0.25">
      <c r="A99792"/>
      <c r="B99792"/>
      <c r="C99792"/>
      <c r="E99792"/>
      <c r="F99792"/>
    </row>
    <row r="99793" spans="1:6" x14ac:dyDescent="0.25">
      <c r="A99793"/>
      <c r="B99793"/>
      <c r="C99793"/>
      <c r="E99793"/>
      <c r="F99793"/>
    </row>
    <row r="99794" spans="1:6" x14ac:dyDescent="0.25">
      <c r="A99794"/>
      <c r="B99794"/>
      <c r="C99794"/>
      <c r="E99794"/>
      <c r="F99794"/>
    </row>
    <row r="99795" spans="1:6" x14ac:dyDescent="0.25">
      <c r="A99795"/>
      <c r="B99795"/>
      <c r="C99795"/>
      <c r="E99795"/>
      <c r="F99795"/>
    </row>
    <row r="99796" spans="1:6" x14ac:dyDescent="0.25">
      <c r="A99796"/>
      <c r="B99796"/>
      <c r="C99796"/>
      <c r="E99796"/>
      <c r="F99796"/>
    </row>
    <row r="99797" spans="1:6" x14ac:dyDescent="0.25">
      <c r="A99797"/>
      <c r="B99797"/>
      <c r="C99797"/>
      <c r="E99797"/>
      <c r="F99797"/>
    </row>
    <row r="99798" spans="1:6" x14ac:dyDescent="0.25">
      <c r="A99798"/>
      <c r="B99798"/>
      <c r="C99798"/>
      <c r="E99798"/>
      <c r="F99798"/>
    </row>
    <row r="99799" spans="1:6" x14ac:dyDescent="0.25">
      <c r="A99799"/>
      <c r="B99799"/>
      <c r="C99799"/>
      <c r="E99799"/>
      <c r="F99799"/>
    </row>
    <row r="99800" spans="1:6" x14ac:dyDescent="0.25">
      <c r="A99800"/>
      <c r="B99800"/>
      <c r="C99800"/>
      <c r="E99800"/>
      <c r="F99800"/>
    </row>
    <row r="99801" spans="1:6" x14ac:dyDescent="0.25">
      <c r="A99801"/>
      <c r="B99801"/>
      <c r="C99801"/>
      <c r="E99801"/>
      <c r="F99801"/>
    </row>
    <row r="99802" spans="1:6" x14ac:dyDescent="0.25">
      <c r="A99802"/>
      <c r="B99802"/>
      <c r="C99802"/>
      <c r="E99802"/>
      <c r="F99802"/>
    </row>
    <row r="99803" spans="1:6" x14ac:dyDescent="0.25">
      <c r="A99803"/>
      <c r="B99803"/>
      <c r="C99803"/>
      <c r="E99803"/>
      <c r="F99803"/>
    </row>
    <row r="99804" spans="1:6" x14ac:dyDescent="0.25">
      <c r="A99804"/>
      <c r="B99804"/>
      <c r="C99804"/>
      <c r="E99804"/>
      <c r="F99804"/>
    </row>
    <row r="99805" spans="1:6" x14ac:dyDescent="0.25">
      <c r="A99805"/>
      <c r="B99805"/>
      <c r="C99805"/>
      <c r="E99805"/>
      <c r="F99805"/>
    </row>
    <row r="99806" spans="1:6" x14ac:dyDescent="0.25">
      <c r="A99806"/>
      <c r="B99806"/>
      <c r="C99806"/>
      <c r="E99806"/>
      <c r="F99806"/>
    </row>
    <row r="99807" spans="1:6" x14ac:dyDescent="0.25">
      <c r="A99807"/>
      <c r="B99807"/>
      <c r="C99807"/>
      <c r="E99807"/>
      <c r="F99807"/>
    </row>
    <row r="99808" spans="1:6" x14ac:dyDescent="0.25">
      <c r="A99808"/>
      <c r="B99808"/>
      <c r="C99808"/>
      <c r="E99808"/>
      <c r="F99808"/>
    </row>
    <row r="99809" spans="1:6" x14ac:dyDescent="0.25">
      <c r="A99809"/>
      <c r="B99809"/>
      <c r="C99809"/>
      <c r="E99809"/>
      <c r="F99809"/>
    </row>
    <row r="99810" spans="1:6" x14ac:dyDescent="0.25">
      <c r="A99810"/>
      <c r="B99810"/>
      <c r="C99810"/>
      <c r="E99810"/>
      <c r="F99810"/>
    </row>
    <row r="99811" spans="1:6" x14ac:dyDescent="0.25">
      <c r="A99811"/>
      <c r="B99811"/>
      <c r="C99811"/>
      <c r="E99811"/>
      <c r="F99811"/>
    </row>
    <row r="99812" spans="1:6" x14ac:dyDescent="0.25">
      <c r="A99812"/>
      <c r="B99812"/>
      <c r="C99812"/>
      <c r="E99812"/>
      <c r="F99812"/>
    </row>
    <row r="99813" spans="1:6" x14ac:dyDescent="0.25">
      <c r="A99813"/>
      <c r="B99813"/>
      <c r="C99813"/>
      <c r="E99813"/>
      <c r="F99813"/>
    </row>
    <row r="99814" spans="1:6" x14ac:dyDescent="0.25">
      <c r="A99814"/>
      <c r="B99814"/>
      <c r="C99814"/>
      <c r="E99814"/>
      <c r="F99814"/>
    </row>
    <row r="99815" spans="1:6" x14ac:dyDescent="0.25">
      <c r="A99815"/>
      <c r="B99815"/>
      <c r="C99815"/>
      <c r="E99815"/>
      <c r="F99815"/>
    </row>
    <row r="99816" spans="1:6" x14ac:dyDescent="0.25">
      <c r="A99816"/>
      <c r="B99816"/>
      <c r="C99816"/>
      <c r="E99816"/>
      <c r="F99816"/>
    </row>
    <row r="99817" spans="1:6" x14ac:dyDescent="0.25">
      <c r="A99817"/>
      <c r="B99817"/>
      <c r="C99817"/>
      <c r="E99817"/>
      <c r="F99817"/>
    </row>
    <row r="99818" spans="1:6" x14ac:dyDescent="0.25">
      <c r="A99818"/>
      <c r="B99818"/>
      <c r="C99818"/>
      <c r="E99818"/>
      <c r="F99818"/>
    </row>
    <row r="99819" spans="1:6" x14ac:dyDescent="0.25">
      <c r="A99819"/>
      <c r="B99819"/>
      <c r="C99819"/>
      <c r="E99819"/>
      <c r="F99819"/>
    </row>
    <row r="99820" spans="1:6" x14ac:dyDescent="0.25">
      <c r="A99820"/>
      <c r="B99820"/>
      <c r="C99820"/>
      <c r="E99820"/>
      <c r="F99820"/>
    </row>
    <row r="99821" spans="1:6" x14ac:dyDescent="0.25">
      <c r="A99821"/>
      <c r="B99821"/>
      <c r="C99821"/>
      <c r="E99821"/>
      <c r="F99821"/>
    </row>
    <row r="99822" spans="1:6" x14ac:dyDescent="0.25">
      <c r="A99822"/>
      <c r="B99822"/>
      <c r="C99822"/>
      <c r="E99822"/>
      <c r="F99822"/>
    </row>
    <row r="99823" spans="1:6" x14ac:dyDescent="0.25">
      <c r="A99823"/>
      <c r="B99823"/>
      <c r="C99823"/>
      <c r="E99823"/>
      <c r="F99823"/>
    </row>
    <row r="99824" spans="1:6" x14ac:dyDescent="0.25">
      <c r="A99824"/>
      <c r="B99824"/>
      <c r="C99824"/>
      <c r="E99824"/>
      <c r="F99824"/>
    </row>
    <row r="99825" spans="1:6" x14ac:dyDescent="0.25">
      <c r="A99825"/>
      <c r="B99825"/>
      <c r="C99825"/>
      <c r="E99825"/>
      <c r="F99825"/>
    </row>
    <row r="99826" spans="1:6" x14ac:dyDescent="0.25">
      <c r="A99826"/>
      <c r="B99826"/>
      <c r="C99826"/>
      <c r="E99826"/>
      <c r="F99826"/>
    </row>
    <row r="99827" spans="1:6" x14ac:dyDescent="0.25">
      <c r="A99827"/>
      <c r="B99827"/>
      <c r="C99827"/>
      <c r="E99827"/>
      <c r="F99827"/>
    </row>
    <row r="99828" spans="1:6" x14ac:dyDescent="0.25">
      <c r="A99828"/>
      <c r="B99828"/>
      <c r="C99828"/>
      <c r="E99828"/>
      <c r="F99828"/>
    </row>
    <row r="99829" spans="1:6" x14ac:dyDescent="0.25">
      <c r="A99829"/>
      <c r="B99829"/>
      <c r="C99829"/>
      <c r="E99829"/>
      <c r="F99829"/>
    </row>
    <row r="99830" spans="1:6" x14ac:dyDescent="0.25">
      <c r="A99830"/>
      <c r="B99830"/>
      <c r="C99830"/>
      <c r="E99830"/>
      <c r="F99830"/>
    </row>
    <row r="99831" spans="1:6" x14ac:dyDescent="0.25">
      <c r="A99831"/>
      <c r="B99831"/>
      <c r="C99831"/>
      <c r="E99831"/>
      <c r="F99831"/>
    </row>
    <row r="99832" spans="1:6" x14ac:dyDescent="0.25">
      <c r="A99832"/>
      <c r="B99832"/>
      <c r="C99832"/>
      <c r="E99832"/>
      <c r="F99832"/>
    </row>
    <row r="99833" spans="1:6" x14ac:dyDescent="0.25">
      <c r="A99833"/>
      <c r="B99833"/>
      <c r="C99833"/>
      <c r="E99833"/>
      <c r="F99833"/>
    </row>
    <row r="99834" spans="1:6" x14ac:dyDescent="0.25">
      <c r="A99834"/>
      <c r="B99834"/>
      <c r="C99834"/>
      <c r="E99834"/>
      <c r="F99834"/>
    </row>
    <row r="99835" spans="1:6" x14ac:dyDescent="0.25">
      <c r="A99835"/>
      <c r="B99835"/>
      <c r="C99835"/>
      <c r="E99835"/>
      <c r="F99835"/>
    </row>
    <row r="99836" spans="1:6" x14ac:dyDescent="0.25">
      <c r="A99836"/>
      <c r="B99836"/>
      <c r="C99836"/>
      <c r="E99836"/>
      <c r="F99836"/>
    </row>
    <row r="99837" spans="1:6" x14ac:dyDescent="0.25">
      <c r="A99837"/>
      <c r="B99837"/>
      <c r="C99837"/>
      <c r="E99837"/>
      <c r="F99837"/>
    </row>
    <row r="99838" spans="1:6" x14ac:dyDescent="0.25">
      <c r="A99838"/>
      <c r="B99838"/>
      <c r="C99838"/>
      <c r="E99838"/>
      <c r="F99838"/>
    </row>
    <row r="99839" spans="1:6" x14ac:dyDescent="0.25">
      <c r="A99839"/>
      <c r="B99839"/>
      <c r="C99839"/>
      <c r="E99839"/>
      <c r="F99839"/>
    </row>
    <row r="99840" spans="1:6" x14ac:dyDescent="0.25">
      <c r="A99840"/>
      <c r="B99840"/>
      <c r="C99840"/>
      <c r="E99840"/>
      <c r="F99840"/>
    </row>
    <row r="99841" spans="1:6" x14ac:dyDescent="0.25">
      <c r="A99841"/>
      <c r="B99841"/>
      <c r="C99841"/>
      <c r="E99841"/>
      <c r="F99841"/>
    </row>
    <row r="99842" spans="1:6" x14ac:dyDescent="0.25">
      <c r="A99842"/>
      <c r="B99842"/>
      <c r="C99842"/>
      <c r="E99842"/>
      <c r="F99842"/>
    </row>
    <row r="99843" spans="1:6" x14ac:dyDescent="0.25">
      <c r="A99843"/>
      <c r="B99843"/>
      <c r="C99843"/>
      <c r="E99843"/>
      <c r="F99843"/>
    </row>
    <row r="99844" spans="1:6" x14ac:dyDescent="0.25">
      <c r="A99844"/>
      <c r="B99844"/>
      <c r="C99844"/>
      <c r="E99844"/>
      <c r="F99844"/>
    </row>
    <row r="99845" spans="1:6" x14ac:dyDescent="0.25">
      <c r="A99845"/>
      <c r="B99845"/>
      <c r="C99845"/>
      <c r="E99845"/>
      <c r="F99845"/>
    </row>
    <row r="99846" spans="1:6" x14ac:dyDescent="0.25">
      <c r="A99846"/>
      <c r="B99846"/>
      <c r="C99846"/>
      <c r="E99846"/>
      <c r="F99846"/>
    </row>
    <row r="99847" spans="1:6" x14ac:dyDescent="0.25">
      <c r="A99847"/>
      <c r="B99847"/>
      <c r="C99847"/>
      <c r="E99847"/>
      <c r="F99847"/>
    </row>
    <row r="99848" spans="1:6" x14ac:dyDescent="0.25">
      <c r="A99848"/>
      <c r="B99848"/>
      <c r="C99848"/>
      <c r="E99848"/>
      <c r="F99848"/>
    </row>
    <row r="99849" spans="1:6" x14ac:dyDescent="0.25">
      <c r="A99849"/>
      <c r="B99849"/>
      <c r="C99849"/>
      <c r="E99849"/>
      <c r="F99849"/>
    </row>
    <row r="99850" spans="1:6" x14ac:dyDescent="0.25">
      <c r="A99850"/>
      <c r="B99850"/>
      <c r="C99850"/>
      <c r="E99850"/>
      <c r="F99850"/>
    </row>
    <row r="99851" spans="1:6" x14ac:dyDescent="0.25">
      <c r="A99851"/>
      <c r="B99851"/>
      <c r="C99851"/>
      <c r="E99851"/>
      <c r="F99851"/>
    </row>
    <row r="99852" spans="1:6" x14ac:dyDescent="0.25">
      <c r="A99852"/>
      <c r="B99852"/>
      <c r="C99852"/>
      <c r="E99852"/>
      <c r="F99852"/>
    </row>
    <row r="99853" spans="1:6" x14ac:dyDescent="0.25">
      <c r="A99853"/>
      <c r="B99853"/>
      <c r="C99853"/>
      <c r="E99853"/>
      <c r="F99853"/>
    </row>
    <row r="99854" spans="1:6" x14ac:dyDescent="0.25">
      <c r="A99854"/>
      <c r="B99854"/>
      <c r="C99854"/>
      <c r="E99854"/>
      <c r="F99854"/>
    </row>
    <row r="99855" spans="1:6" x14ac:dyDescent="0.25">
      <c r="A99855"/>
      <c r="B99855"/>
      <c r="C99855"/>
      <c r="E99855"/>
      <c r="F99855"/>
    </row>
    <row r="99856" spans="1:6" x14ac:dyDescent="0.25">
      <c r="A99856"/>
      <c r="B99856"/>
      <c r="C99856"/>
      <c r="E99856"/>
      <c r="F99856"/>
    </row>
    <row r="99857" spans="1:6" x14ac:dyDescent="0.25">
      <c r="A99857"/>
      <c r="B99857"/>
      <c r="C99857"/>
      <c r="E99857"/>
      <c r="F99857"/>
    </row>
    <row r="99858" spans="1:6" x14ac:dyDescent="0.25">
      <c r="A99858"/>
      <c r="B99858"/>
      <c r="C99858"/>
      <c r="E99858"/>
      <c r="F99858"/>
    </row>
    <row r="99859" spans="1:6" x14ac:dyDescent="0.25">
      <c r="A99859"/>
      <c r="B99859"/>
      <c r="C99859"/>
      <c r="E99859"/>
      <c r="F99859"/>
    </row>
    <row r="99860" spans="1:6" x14ac:dyDescent="0.25">
      <c r="A99860"/>
      <c r="B99860"/>
      <c r="C99860"/>
      <c r="E99860"/>
      <c r="F99860"/>
    </row>
    <row r="99861" spans="1:6" x14ac:dyDescent="0.25">
      <c r="A99861"/>
      <c r="B99861"/>
      <c r="C99861"/>
      <c r="E99861"/>
      <c r="F99861"/>
    </row>
    <row r="99862" spans="1:6" x14ac:dyDescent="0.25">
      <c r="A99862"/>
      <c r="B99862"/>
      <c r="C99862"/>
      <c r="E99862"/>
      <c r="F99862"/>
    </row>
    <row r="99863" spans="1:6" x14ac:dyDescent="0.25">
      <c r="A99863"/>
      <c r="B99863"/>
      <c r="C99863"/>
      <c r="E99863"/>
      <c r="F99863"/>
    </row>
    <row r="99864" spans="1:6" x14ac:dyDescent="0.25">
      <c r="A99864"/>
      <c r="B99864"/>
      <c r="C99864"/>
      <c r="E99864"/>
      <c r="F99864"/>
    </row>
    <row r="99865" spans="1:6" x14ac:dyDescent="0.25">
      <c r="A99865"/>
      <c r="B99865"/>
      <c r="C99865"/>
      <c r="E99865"/>
      <c r="F99865"/>
    </row>
    <row r="99866" spans="1:6" x14ac:dyDescent="0.25">
      <c r="A99866"/>
      <c r="B99866"/>
      <c r="C99866"/>
      <c r="E99866"/>
      <c r="F99866"/>
    </row>
    <row r="99867" spans="1:6" x14ac:dyDescent="0.25">
      <c r="A99867"/>
      <c r="B99867"/>
      <c r="C99867"/>
      <c r="E99867"/>
      <c r="F99867"/>
    </row>
    <row r="99868" spans="1:6" x14ac:dyDescent="0.25">
      <c r="A99868"/>
      <c r="B99868"/>
      <c r="C99868"/>
      <c r="E99868"/>
      <c r="F99868"/>
    </row>
    <row r="99869" spans="1:6" x14ac:dyDescent="0.25">
      <c r="A99869"/>
      <c r="B99869"/>
      <c r="C99869"/>
      <c r="E99869"/>
      <c r="F99869"/>
    </row>
    <row r="99870" spans="1:6" x14ac:dyDescent="0.25">
      <c r="A99870"/>
      <c r="B99870"/>
      <c r="C99870"/>
      <c r="E99870"/>
      <c r="F99870"/>
    </row>
    <row r="99871" spans="1:6" x14ac:dyDescent="0.25">
      <c r="A99871"/>
      <c r="B99871"/>
      <c r="C99871"/>
      <c r="E99871"/>
      <c r="F99871"/>
    </row>
    <row r="99872" spans="1:6" x14ac:dyDescent="0.25">
      <c r="A99872"/>
      <c r="B99872"/>
      <c r="C99872"/>
      <c r="E99872"/>
      <c r="F99872"/>
    </row>
    <row r="99873" spans="1:6" x14ac:dyDescent="0.25">
      <c r="A99873"/>
      <c r="B99873"/>
      <c r="C99873"/>
      <c r="E99873"/>
      <c r="F99873"/>
    </row>
    <row r="99874" spans="1:6" x14ac:dyDescent="0.25">
      <c r="A99874"/>
      <c r="B99874"/>
      <c r="C99874"/>
      <c r="E99874"/>
      <c r="F99874"/>
    </row>
    <row r="99875" spans="1:6" x14ac:dyDescent="0.25">
      <c r="A99875"/>
      <c r="B99875"/>
      <c r="C99875"/>
      <c r="E99875"/>
      <c r="F99875"/>
    </row>
    <row r="99876" spans="1:6" x14ac:dyDescent="0.25">
      <c r="A99876"/>
      <c r="B99876"/>
      <c r="C99876"/>
      <c r="E99876"/>
      <c r="F99876"/>
    </row>
    <row r="99877" spans="1:6" x14ac:dyDescent="0.25">
      <c r="A99877"/>
      <c r="B99877"/>
      <c r="C99877"/>
      <c r="E99877"/>
      <c r="F99877"/>
    </row>
    <row r="99878" spans="1:6" x14ac:dyDescent="0.25">
      <c r="A99878"/>
      <c r="B99878"/>
      <c r="C99878"/>
      <c r="E99878"/>
      <c r="F99878"/>
    </row>
    <row r="99879" spans="1:6" x14ac:dyDescent="0.25">
      <c r="A99879"/>
      <c r="B99879"/>
      <c r="C99879"/>
      <c r="E99879"/>
      <c r="F99879"/>
    </row>
    <row r="99880" spans="1:6" x14ac:dyDescent="0.25">
      <c r="A99880"/>
      <c r="B99880"/>
      <c r="C99880"/>
      <c r="E99880"/>
      <c r="F99880"/>
    </row>
    <row r="99881" spans="1:6" x14ac:dyDescent="0.25">
      <c r="A99881"/>
      <c r="B99881"/>
      <c r="C99881"/>
      <c r="E99881"/>
      <c r="F99881"/>
    </row>
    <row r="99882" spans="1:6" x14ac:dyDescent="0.25">
      <c r="A99882"/>
      <c r="B99882"/>
      <c r="C99882"/>
      <c r="E99882"/>
      <c r="F99882"/>
    </row>
    <row r="99883" spans="1:6" x14ac:dyDescent="0.25">
      <c r="A99883"/>
      <c r="B99883"/>
      <c r="C99883"/>
      <c r="E99883"/>
      <c r="F99883"/>
    </row>
    <row r="99884" spans="1:6" x14ac:dyDescent="0.25">
      <c r="A99884"/>
      <c r="B99884"/>
      <c r="C99884"/>
      <c r="E99884"/>
      <c r="F99884"/>
    </row>
    <row r="99885" spans="1:6" x14ac:dyDescent="0.25">
      <c r="A99885"/>
      <c r="B99885"/>
      <c r="C99885"/>
      <c r="E99885"/>
      <c r="F99885"/>
    </row>
    <row r="99886" spans="1:6" x14ac:dyDescent="0.25">
      <c r="A99886"/>
      <c r="B99886"/>
      <c r="C99886"/>
      <c r="E99886"/>
      <c r="F99886"/>
    </row>
    <row r="99887" spans="1:6" x14ac:dyDescent="0.25">
      <c r="A99887"/>
      <c r="B99887"/>
      <c r="C99887"/>
      <c r="E99887"/>
      <c r="F99887"/>
    </row>
    <row r="99888" spans="1:6" x14ac:dyDescent="0.25">
      <c r="A99888"/>
      <c r="B99888"/>
      <c r="C99888"/>
      <c r="E99888"/>
      <c r="F99888"/>
    </row>
    <row r="99889" spans="1:6" x14ac:dyDescent="0.25">
      <c r="A99889"/>
      <c r="B99889"/>
      <c r="C99889"/>
      <c r="E99889"/>
      <c r="F99889"/>
    </row>
    <row r="99890" spans="1:6" x14ac:dyDescent="0.25">
      <c r="A99890"/>
      <c r="B99890"/>
      <c r="C99890"/>
      <c r="E99890"/>
      <c r="F99890"/>
    </row>
    <row r="99891" spans="1:6" x14ac:dyDescent="0.25">
      <c r="A99891"/>
      <c r="B99891"/>
      <c r="C99891"/>
      <c r="E99891"/>
      <c r="F99891"/>
    </row>
    <row r="99892" spans="1:6" x14ac:dyDescent="0.25">
      <c r="A99892"/>
      <c r="B99892"/>
      <c r="C99892"/>
      <c r="E99892"/>
      <c r="F99892"/>
    </row>
    <row r="99893" spans="1:6" x14ac:dyDescent="0.25">
      <c r="A99893"/>
      <c r="B99893"/>
      <c r="C99893"/>
      <c r="E99893"/>
      <c r="F99893"/>
    </row>
    <row r="99894" spans="1:6" x14ac:dyDescent="0.25">
      <c r="A99894"/>
      <c r="B99894"/>
      <c r="C99894"/>
      <c r="E99894"/>
      <c r="F99894"/>
    </row>
    <row r="99895" spans="1:6" x14ac:dyDescent="0.25">
      <c r="A99895"/>
      <c r="B99895"/>
      <c r="C99895"/>
      <c r="E99895"/>
      <c r="F99895"/>
    </row>
    <row r="99896" spans="1:6" x14ac:dyDescent="0.25">
      <c r="A99896"/>
      <c r="B99896"/>
      <c r="C99896"/>
      <c r="E99896"/>
      <c r="F99896"/>
    </row>
    <row r="99897" spans="1:6" x14ac:dyDescent="0.25">
      <c r="A99897"/>
      <c r="B99897"/>
      <c r="C99897"/>
      <c r="E99897"/>
      <c r="F99897"/>
    </row>
    <row r="99898" spans="1:6" x14ac:dyDescent="0.25">
      <c r="A99898"/>
      <c r="B99898"/>
      <c r="C99898"/>
      <c r="E99898"/>
      <c r="F99898"/>
    </row>
    <row r="99899" spans="1:6" x14ac:dyDescent="0.25">
      <c r="A99899"/>
      <c r="B99899"/>
      <c r="C99899"/>
      <c r="E99899"/>
      <c r="F99899"/>
    </row>
    <row r="99900" spans="1:6" x14ac:dyDescent="0.25">
      <c r="A99900"/>
      <c r="B99900"/>
      <c r="C99900"/>
      <c r="E99900"/>
      <c r="F99900"/>
    </row>
    <row r="99901" spans="1:6" x14ac:dyDescent="0.25">
      <c r="A99901"/>
      <c r="B99901"/>
      <c r="C99901"/>
      <c r="E99901"/>
      <c r="F99901"/>
    </row>
    <row r="99902" spans="1:6" x14ac:dyDescent="0.25">
      <c r="A99902"/>
      <c r="B99902"/>
      <c r="C99902"/>
      <c r="E99902"/>
      <c r="F99902"/>
    </row>
    <row r="99903" spans="1:6" x14ac:dyDescent="0.25">
      <c r="A99903"/>
      <c r="B99903"/>
      <c r="C99903"/>
      <c r="E99903"/>
      <c r="F99903"/>
    </row>
    <row r="99904" spans="1:6" x14ac:dyDescent="0.25">
      <c r="A99904"/>
      <c r="B99904"/>
      <c r="C99904"/>
      <c r="E99904"/>
      <c r="F99904"/>
    </row>
    <row r="99905" spans="1:6" x14ac:dyDescent="0.25">
      <c r="A99905"/>
      <c r="B99905"/>
      <c r="C99905"/>
      <c r="E99905"/>
      <c r="F99905"/>
    </row>
    <row r="99906" spans="1:6" x14ac:dyDescent="0.25">
      <c r="A99906"/>
      <c r="B99906"/>
      <c r="C99906"/>
      <c r="E99906"/>
      <c r="F99906"/>
    </row>
    <row r="99907" spans="1:6" x14ac:dyDescent="0.25">
      <c r="A99907"/>
      <c r="B99907"/>
      <c r="C99907"/>
      <c r="E99907"/>
      <c r="F99907"/>
    </row>
    <row r="99908" spans="1:6" x14ac:dyDescent="0.25">
      <c r="A99908"/>
      <c r="B99908"/>
      <c r="C99908"/>
      <c r="E99908"/>
      <c r="F99908"/>
    </row>
    <row r="99909" spans="1:6" x14ac:dyDescent="0.25">
      <c r="A99909"/>
      <c r="B99909"/>
      <c r="C99909"/>
      <c r="E99909"/>
      <c r="F99909"/>
    </row>
    <row r="99910" spans="1:6" x14ac:dyDescent="0.25">
      <c r="A99910"/>
      <c r="B99910"/>
      <c r="C99910"/>
      <c r="E99910"/>
      <c r="F99910"/>
    </row>
    <row r="99911" spans="1:6" x14ac:dyDescent="0.25">
      <c r="A99911"/>
      <c r="B99911"/>
      <c r="C99911"/>
      <c r="E99911"/>
      <c r="F99911"/>
    </row>
    <row r="99912" spans="1:6" x14ac:dyDescent="0.25">
      <c r="A99912"/>
      <c r="B99912"/>
      <c r="C99912"/>
      <c r="E99912"/>
      <c r="F99912"/>
    </row>
    <row r="99913" spans="1:6" x14ac:dyDescent="0.25">
      <c r="A99913"/>
      <c r="B99913"/>
      <c r="C99913"/>
      <c r="E99913"/>
      <c r="F99913"/>
    </row>
    <row r="99914" spans="1:6" x14ac:dyDescent="0.25">
      <c r="A99914"/>
      <c r="B99914"/>
      <c r="C99914"/>
      <c r="E99914"/>
      <c r="F99914"/>
    </row>
    <row r="99915" spans="1:6" x14ac:dyDescent="0.25">
      <c r="A99915"/>
      <c r="B99915"/>
      <c r="C99915"/>
      <c r="E99915"/>
      <c r="F99915"/>
    </row>
    <row r="99916" spans="1:6" x14ac:dyDescent="0.25">
      <c r="A99916"/>
      <c r="B99916"/>
      <c r="C99916"/>
      <c r="E99916"/>
      <c r="F99916"/>
    </row>
    <row r="99917" spans="1:6" x14ac:dyDescent="0.25">
      <c r="A99917"/>
      <c r="B99917"/>
      <c r="C99917"/>
      <c r="E99917"/>
      <c r="F99917"/>
    </row>
    <row r="99918" spans="1:6" x14ac:dyDescent="0.25">
      <c r="A99918"/>
      <c r="B99918"/>
      <c r="C99918"/>
      <c r="E99918"/>
      <c r="F99918"/>
    </row>
    <row r="99919" spans="1:6" x14ac:dyDescent="0.25">
      <c r="A99919"/>
      <c r="B99919"/>
      <c r="C99919"/>
      <c r="E99919"/>
      <c r="F99919"/>
    </row>
    <row r="99920" spans="1:6" x14ac:dyDescent="0.25">
      <c r="A99920"/>
      <c r="B99920"/>
      <c r="C99920"/>
      <c r="E99920"/>
      <c r="F99920"/>
    </row>
    <row r="99921" spans="1:6" x14ac:dyDescent="0.25">
      <c r="A99921"/>
      <c r="B99921"/>
      <c r="C99921"/>
      <c r="E99921"/>
      <c r="F99921"/>
    </row>
    <row r="99922" spans="1:6" x14ac:dyDescent="0.25">
      <c r="A99922"/>
      <c r="B99922"/>
      <c r="C99922"/>
      <c r="E99922"/>
      <c r="F99922"/>
    </row>
    <row r="99923" spans="1:6" x14ac:dyDescent="0.25">
      <c r="A99923"/>
      <c r="B99923"/>
      <c r="C99923"/>
      <c r="E99923"/>
      <c r="F99923"/>
    </row>
    <row r="99924" spans="1:6" x14ac:dyDescent="0.25">
      <c r="A99924"/>
      <c r="B99924"/>
      <c r="C99924"/>
      <c r="E99924"/>
      <c r="F99924"/>
    </row>
    <row r="99925" spans="1:6" x14ac:dyDescent="0.25">
      <c r="A99925"/>
      <c r="B99925"/>
      <c r="C99925"/>
      <c r="E99925"/>
      <c r="F99925"/>
    </row>
    <row r="99926" spans="1:6" x14ac:dyDescent="0.25">
      <c r="A99926"/>
      <c r="B99926"/>
      <c r="C99926"/>
      <c r="E99926"/>
      <c r="F99926"/>
    </row>
    <row r="99927" spans="1:6" x14ac:dyDescent="0.25">
      <c r="A99927"/>
      <c r="B99927"/>
      <c r="C99927"/>
      <c r="E99927"/>
      <c r="F99927"/>
    </row>
    <row r="99928" spans="1:6" x14ac:dyDescent="0.25">
      <c r="A99928"/>
      <c r="B99928"/>
      <c r="C99928"/>
      <c r="E99928"/>
      <c r="F99928"/>
    </row>
    <row r="99929" spans="1:6" x14ac:dyDescent="0.25">
      <c r="A99929"/>
      <c r="B99929"/>
      <c r="C99929"/>
      <c r="E99929"/>
      <c r="F99929"/>
    </row>
    <row r="99930" spans="1:6" x14ac:dyDescent="0.25">
      <c r="A99930"/>
      <c r="B99930"/>
      <c r="C99930"/>
      <c r="E99930"/>
      <c r="F99930"/>
    </row>
    <row r="99931" spans="1:6" x14ac:dyDescent="0.25">
      <c r="A99931"/>
      <c r="B99931"/>
      <c r="C99931"/>
      <c r="E99931"/>
      <c r="F99931"/>
    </row>
    <row r="99932" spans="1:6" x14ac:dyDescent="0.25">
      <c r="A99932"/>
      <c r="B99932"/>
      <c r="C99932"/>
      <c r="E99932"/>
      <c r="F99932"/>
    </row>
    <row r="99933" spans="1:6" x14ac:dyDescent="0.25">
      <c r="A99933"/>
      <c r="B99933"/>
      <c r="C99933"/>
      <c r="E99933"/>
      <c r="F99933"/>
    </row>
    <row r="99934" spans="1:6" x14ac:dyDescent="0.25">
      <c r="A99934"/>
      <c r="B99934"/>
      <c r="C99934"/>
      <c r="E99934"/>
      <c r="F99934"/>
    </row>
    <row r="99935" spans="1:6" x14ac:dyDescent="0.25">
      <c r="A99935"/>
      <c r="B99935"/>
      <c r="C99935"/>
      <c r="E99935"/>
      <c r="F99935"/>
    </row>
    <row r="99936" spans="1:6" x14ac:dyDescent="0.25">
      <c r="A99936"/>
      <c r="B99936"/>
      <c r="C99936"/>
      <c r="E99936"/>
      <c r="F99936"/>
    </row>
    <row r="99937" spans="1:6" x14ac:dyDescent="0.25">
      <c r="A99937"/>
      <c r="B99937"/>
      <c r="C99937"/>
      <c r="E99937"/>
      <c r="F99937"/>
    </row>
    <row r="99938" spans="1:6" x14ac:dyDescent="0.25">
      <c r="A99938"/>
      <c r="B99938"/>
      <c r="C99938"/>
      <c r="E99938"/>
      <c r="F99938"/>
    </row>
    <row r="99939" spans="1:6" x14ac:dyDescent="0.25">
      <c r="A99939"/>
      <c r="B99939"/>
      <c r="C99939"/>
      <c r="E99939"/>
      <c r="F99939"/>
    </row>
    <row r="99940" spans="1:6" x14ac:dyDescent="0.25">
      <c r="A99940"/>
      <c r="B99940"/>
      <c r="C99940"/>
      <c r="E99940"/>
      <c r="F99940"/>
    </row>
    <row r="99941" spans="1:6" x14ac:dyDescent="0.25">
      <c r="A99941"/>
      <c r="B99941"/>
      <c r="C99941"/>
      <c r="E99941"/>
      <c r="F99941"/>
    </row>
    <row r="99942" spans="1:6" x14ac:dyDescent="0.25">
      <c r="A99942"/>
      <c r="B99942"/>
      <c r="C99942"/>
      <c r="E99942"/>
      <c r="F99942"/>
    </row>
    <row r="99943" spans="1:6" x14ac:dyDescent="0.25">
      <c r="A99943"/>
      <c r="B99943"/>
      <c r="C99943"/>
      <c r="E99943"/>
      <c r="F99943"/>
    </row>
    <row r="99944" spans="1:6" x14ac:dyDescent="0.25">
      <c r="A99944"/>
      <c r="B99944"/>
      <c r="C99944"/>
      <c r="E99944"/>
      <c r="F99944"/>
    </row>
    <row r="99945" spans="1:6" x14ac:dyDescent="0.25">
      <c r="A99945"/>
      <c r="B99945"/>
      <c r="C99945"/>
      <c r="E99945"/>
      <c r="F99945"/>
    </row>
    <row r="99946" spans="1:6" x14ac:dyDescent="0.25">
      <c r="A99946"/>
      <c r="B99946"/>
      <c r="C99946"/>
      <c r="E99946"/>
      <c r="F99946"/>
    </row>
    <row r="99947" spans="1:6" x14ac:dyDescent="0.25">
      <c r="A99947"/>
      <c r="B99947"/>
      <c r="C99947"/>
      <c r="E99947"/>
      <c r="F99947"/>
    </row>
    <row r="99948" spans="1:6" x14ac:dyDescent="0.25">
      <c r="A99948"/>
      <c r="B99948"/>
      <c r="C99948"/>
      <c r="E99948"/>
      <c r="F99948"/>
    </row>
    <row r="99949" spans="1:6" x14ac:dyDescent="0.25">
      <c r="A99949"/>
      <c r="B99949"/>
      <c r="C99949"/>
      <c r="E99949"/>
      <c r="F99949"/>
    </row>
    <row r="99950" spans="1:6" x14ac:dyDescent="0.25">
      <c r="A99950"/>
      <c r="B99950"/>
      <c r="C99950"/>
      <c r="E99950"/>
      <c r="F99950"/>
    </row>
    <row r="99951" spans="1:6" x14ac:dyDescent="0.25">
      <c r="A99951"/>
      <c r="B99951"/>
      <c r="C99951"/>
      <c r="E99951"/>
      <c r="F99951"/>
    </row>
    <row r="99952" spans="1:6" x14ac:dyDescent="0.25">
      <c r="A99952"/>
      <c r="B99952"/>
      <c r="C99952"/>
      <c r="E99952"/>
      <c r="F99952"/>
    </row>
    <row r="99953" spans="1:6" x14ac:dyDescent="0.25">
      <c r="A99953"/>
      <c r="B99953"/>
      <c r="C99953"/>
      <c r="E99953"/>
      <c r="F99953"/>
    </row>
    <row r="99954" spans="1:6" x14ac:dyDescent="0.25">
      <c r="A99954"/>
      <c r="B99954"/>
      <c r="C99954"/>
      <c r="E99954"/>
      <c r="F99954"/>
    </row>
    <row r="99955" spans="1:6" x14ac:dyDescent="0.25">
      <c r="A99955"/>
      <c r="B99955"/>
      <c r="C99955"/>
      <c r="E99955"/>
      <c r="F99955"/>
    </row>
    <row r="99956" spans="1:6" x14ac:dyDescent="0.25">
      <c r="A99956"/>
      <c r="B99956"/>
      <c r="C99956"/>
      <c r="E99956"/>
      <c r="F99956"/>
    </row>
    <row r="99957" spans="1:6" x14ac:dyDescent="0.25">
      <c r="A99957"/>
      <c r="B99957"/>
      <c r="C99957"/>
      <c r="E99957"/>
      <c r="F99957"/>
    </row>
    <row r="99958" spans="1:6" x14ac:dyDescent="0.25">
      <c r="A99958"/>
      <c r="B99958"/>
      <c r="C99958"/>
      <c r="E99958"/>
      <c r="F99958"/>
    </row>
    <row r="99959" spans="1:6" x14ac:dyDescent="0.25">
      <c r="A99959"/>
      <c r="B99959"/>
      <c r="C99959"/>
      <c r="E99959"/>
      <c r="F99959"/>
    </row>
    <row r="99960" spans="1:6" x14ac:dyDescent="0.25">
      <c r="A99960"/>
      <c r="B99960"/>
      <c r="C99960"/>
      <c r="E99960"/>
      <c r="F99960"/>
    </row>
    <row r="99961" spans="1:6" x14ac:dyDescent="0.25">
      <c r="A99961"/>
      <c r="B99961"/>
      <c r="C99961"/>
      <c r="E99961"/>
      <c r="F99961"/>
    </row>
    <row r="99962" spans="1:6" x14ac:dyDescent="0.25">
      <c r="A99962"/>
      <c r="B99962"/>
      <c r="C99962"/>
      <c r="E99962"/>
      <c r="F99962"/>
    </row>
    <row r="99963" spans="1:6" x14ac:dyDescent="0.25">
      <c r="A99963"/>
      <c r="B99963"/>
      <c r="C99963"/>
      <c r="E99963"/>
      <c r="F99963"/>
    </row>
    <row r="99964" spans="1:6" x14ac:dyDescent="0.25">
      <c r="A99964"/>
      <c r="B99964"/>
      <c r="C99964"/>
      <c r="E99964"/>
      <c r="F99964"/>
    </row>
    <row r="99965" spans="1:6" x14ac:dyDescent="0.25">
      <c r="A99965"/>
      <c r="B99965"/>
      <c r="C99965"/>
      <c r="E99965"/>
      <c r="F99965"/>
    </row>
    <row r="99966" spans="1:6" x14ac:dyDescent="0.25">
      <c r="A99966"/>
      <c r="B99966"/>
      <c r="C99966"/>
      <c r="E99966"/>
      <c r="F99966"/>
    </row>
    <row r="99967" spans="1:6" x14ac:dyDescent="0.25">
      <c r="A99967"/>
      <c r="B99967"/>
      <c r="C99967"/>
      <c r="E99967"/>
      <c r="F99967"/>
    </row>
    <row r="99968" spans="1:6" x14ac:dyDescent="0.25">
      <c r="A99968"/>
      <c r="B99968"/>
      <c r="C99968"/>
      <c r="E99968"/>
      <c r="F99968"/>
    </row>
    <row r="99969" spans="1:6" x14ac:dyDescent="0.25">
      <c r="A99969"/>
      <c r="B99969"/>
      <c r="C99969"/>
      <c r="E99969"/>
      <c r="F99969"/>
    </row>
    <row r="99970" spans="1:6" x14ac:dyDescent="0.25">
      <c r="A99970"/>
      <c r="B99970"/>
      <c r="C99970"/>
      <c r="E99970"/>
      <c r="F99970"/>
    </row>
    <row r="99971" spans="1:6" x14ac:dyDescent="0.25">
      <c r="A99971"/>
      <c r="B99971"/>
      <c r="C99971"/>
      <c r="E99971"/>
      <c r="F99971"/>
    </row>
    <row r="99972" spans="1:6" x14ac:dyDescent="0.25">
      <c r="A99972"/>
      <c r="B99972"/>
      <c r="C99972"/>
      <c r="E99972"/>
      <c r="F99972"/>
    </row>
    <row r="99973" spans="1:6" x14ac:dyDescent="0.25">
      <c r="A99973"/>
      <c r="B99973"/>
      <c r="C99973"/>
      <c r="E99973"/>
      <c r="F99973"/>
    </row>
    <row r="99974" spans="1:6" x14ac:dyDescent="0.25">
      <c r="A99974"/>
      <c r="B99974"/>
      <c r="C99974"/>
      <c r="E99974"/>
      <c r="F99974"/>
    </row>
    <row r="99975" spans="1:6" x14ac:dyDescent="0.25">
      <c r="A99975"/>
      <c r="B99975"/>
      <c r="C99975"/>
      <c r="E99975"/>
      <c r="F99975"/>
    </row>
    <row r="99976" spans="1:6" x14ac:dyDescent="0.25">
      <c r="A99976"/>
      <c r="B99976"/>
      <c r="C99976"/>
      <c r="E99976"/>
      <c r="F99976"/>
    </row>
    <row r="99977" spans="1:6" x14ac:dyDescent="0.25">
      <c r="A99977"/>
      <c r="B99977"/>
      <c r="C99977"/>
      <c r="E99977"/>
      <c r="F99977"/>
    </row>
    <row r="99978" spans="1:6" x14ac:dyDescent="0.25">
      <c r="A99978"/>
      <c r="B99978"/>
      <c r="C99978"/>
      <c r="E99978"/>
      <c r="F99978"/>
    </row>
    <row r="99979" spans="1:6" x14ac:dyDescent="0.25">
      <c r="A99979"/>
      <c r="B99979"/>
      <c r="C99979"/>
      <c r="E99979"/>
      <c r="F99979"/>
    </row>
    <row r="99980" spans="1:6" x14ac:dyDescent="0.25">
      <c r="A99980"/>
      <c r="B99980"/>
      <c r="C99980"/>
      <c r="E99980"/>
      <c r="F99980"/>
    </row>
    <row r="99981" spans="1:6" x14ac:dyDescent="0.25">
      <c r="A99981"/>
      <c r="B99981"/>
      <c r="C99981"/>
      <c r="E99981"/>
      <c r="F99981"/>
    </row>
    <row r="99982" spans="1:6" x14ac:dyDescent="0.25">
      <c r="A99982"/>
      <c r="B99982"/>
      <c r="C99982"/>
      <c r="E99982"/>
      <c r="F99982"/>
    </row>
    <row r="99983" spans="1:6" x14ac:dyDescent="0.25">
      <c r="A99983"/>
      <c r="B99983"/>
      <c r="C99983"/>
      <c r="E99983"/>
      <c r="F99983"/>
    </row>
    <row r="99984" spans="1:6" x14ac:dyDescent="0.25">
      <c r="A99984"/>
      <c r="B99984"/>
      <c r="C99984"/>
      <c r="E99984"/>
      <c r="F99984"/>
    </row>
    <row r="99985" spans="1:6" x14ac:dyDescent="0.25">
      <c r="A99985"/>
      <c r="B99985"/>
      <c r="C99985"/>
      <c r="E99985"/>
      <c r="F99985"/>
    </row>
    <row r="99986" spans="1:6" x14ac:dyDescent="0.25">
      <c r="A99986"/>
      <c r="B99986"/>
      <c r="C99986"/>
      <c r="E99986"/>
      <c r="F99986"/>
    </row>
    <row r="99987" spans="1:6" x14ac:dyDescent="0.25">
      <c r="A99987"/>
      <c r="B99987"/>
      <c r="C99987"/>
      <c r="E99987"/>
      <c r="F99987"/>
    </row>
    <row r="99988" spans="1:6" x14ac:dyDescent="0.25">
      <c r="A99988"/>
      <c r="B99988"/>
      <c r="C99988"/>
      <c r="E99988"/>
      <c r="F99988"/>
    </row>
    <row r="99989" spans="1:6" x14ac:dyDescent="0.25">
      <c r="A99989"/>
      <c r="B99989"/>
      <c r="C99989"/>
      <c r="E99989"/>
      <c r="F99989"/>
    </row>
    <row r="99990" spans="1:6" x14ac:dyDescent="0.25">
      <c r="A99990"/>
      <c r="B99990"/>
      <c r="C99990"/>
      <c r="E99990"/>
      <c r="F99990"/>
    </row>
    <row r="99991" spans="1:6" x14ac:dyDescent="0.25">
      <c r="A99991"/>
      <c r="B99991"/>
      <c r="C99991"/>
      <c r="E99991"/>
      <c r="F99991"/>
    </row>
    <row r="99992" spans="1:6" x14ac:dyDescent="0.25">
      <c r="A99992"/>
      <c r="B99992"/>
      <c r="C99992"/>
      <c r="E99992"/>
      <c r="F99992"/>
    </row>
    <row r="99993" spans="1:6" x14ac:dyDescent="0.25">
      <c r="A99993"/>
      <c r="B99993"/>
      <c r="C99993"/>
      <c r="E99993"/>
      <c r="F99993"/>
    </row>
    <row r="99994" spans="1:6" x14ac:dyDescent="0.25">
      <c r="A99994"/>
      <c r="B99994"/>
      <c r="C99994"/>
      <c r="E99994"/>
      <c r="F99994"/>
    </row>
    <row r="99995" spans="1:6" x14ac:dyDescent="0.25">
      <c r="A99995"/>
      <c r="B99995"/>
      <c r="C99995"/>
      <c r="E99995"/>
      <c r="F99995"/>
    </row>
    <row r="99996" spans="1:6" x14ac:dyDescent="0.25">
      <c r="A99996"/>
      <c r="B99996"/>
      <c r="C99996"/>
      <c r="E99996"/>
      <c r="F99996"/>
    </row>
    <row r="99997" spans="1:6" x14ac:dyDescent="0.25">
      <c r="A99997"/>
      <c r="B99997"/>
      <c r="C99997"/>
      <c r="E99997"/>
      <c r="F99997"/>
    </row>
    <row r="99998" spans="1:6" x14ac:dyDescent="0.25">
      <c r="A99998"/>
      <c r="B99998"/>
      <c r="C99998"/>
      <c r="E99998"/>
      <c r="F99998"/>
    </row>
    <row r="99999" spans="1:6" x14ac:dyDescent="0.25">
      <c r="A99999"/>
      <c r="B99999"/>
      <c r="C99999"/>
      <c r="E99999"/>
      <c r="F99999"/>
    </row>
    <row r="100000" spans="1:6" x14ac:dyDescent="0.25">
      <c r="A100000"/>
      <c r="B100000"/>
      <c r="C100000"/>
      <c r="E100000"/>
      <c r="F100000"/>
    </row>
    <row r="100001" spans="1:6" x14ac:dyDescent="0.25">
      <c r="A100001"/>
      <c r="B100001"/>
      <c r="C100001"/>
      <c r="E100001"/>
      <c r="F100001"/>
    </row>
    <row r="100002" spans="1:6" x14ac:dyDescent="0.25">
      <c r="A100002"/>
      <c r="B100002"/>
      <c r="C100002"/>
      <c r="E100002"/>
      <c r="F100002"/>
    </row>
    <row r="100003" spans="1:6" x14ac:dyDescent="0.25">
      <c r="A100003"/>
      <c r="B100003"/>
      <c r="C100003"/>
      <c r="E100003"/>
      <c r="F100003"/>
    </row>
    <row r="100004" spans="1:6" x14ac:dyDescent="0.25">
      <c r="A100004"/>
      <c r="B100004"/>
      <c r="C100004"/>
      <c r="E100004"/>
      <c r="F100004"/>
    </row>
    <row r="100005" spans="1:6" x14ac:dyDescent="0.25">
      <c r="A100005"/>
      <c r="B100005"/>
      <c r="C100005"/>
      <c r="E100005"/>
      <c r="F100005"/>
    </row>
    <row r="100006" spans="1:6" x14ac:dyDescent="0.25">
      <c r="A100006"/>
      <c r="B100006"/>
      <c r="C100006"/>
      <c r="E100006"/>
      <c r="F100006"/>
    </row>
    <row r="100007" spans="1:6" x14ac:dyDescent="0.25">
      <c r="A100007"/>
      <c r="B100007"/>
      <c r="C100007"/>
      <c r="E100007"/>
      <c r="F100007"/>
    </row>
    <row r="100008" spans="1:6" x14ac:dyDescent="0.25">
      <c r="A100008"/>
      <c r="B100008"/>
      <c r="C100008"/>
      <c r="E100008"/>
      <c r="F100008"/>
    </row>
    <row r="100009" spans="1:6" x14ac:dyDescent="0.25">
      <c r="A100009"/>
      <c r="B100009"/>
      <c r="C100009"/>
      <c r="E100009"/>
      <c r="F100009"/>
    </row>
    <row r="100010" spans="1:6" x14ac:dyDescent="0.25">
      <c r="A100010"/>
      <c r="B100010"/>
      <c r="C100010"/>
      <c r="E100010"/>
      <c r="F100010"/>
    </row>
    <row r="100011" spans="1:6" x14ac:dyDescent="0.25">
      <c r="A100011"/>
      <c r="B100011"/>
      <c r="C100011"/>
      <c r="E100011"/>
      <c r="F100011"/>
    </row>
    <row r="100012" spans="1:6" x14ac:dyDescent="0.25">
      <c r="A100012"/>
      <c r="B100012"/>
      <c r="C100012"/>
      <c r="E100012"/>
      <c r="F100012"/>
    </row>
    <row r="100013" spans="1:6" x14ac:dyDescent="0.25">
      <c r="A100013"/>
      <c r="B100013"/>
      <c r="C100013"/>
      <c r="E100013"/>
      <c r="F100013"/>
    </row>
    <row r="100014" spans="1:6" x14ac:dyDescent="0.25">
      <c r="A100014"/>
      <c r="B100014"/>
      <c r="C100014"/>
      <c r="E100014"/>
      <c r="F100014"/>
    </row>
    <row r="100015" spans="1:6" x14ac:dyDescent="0.25">
      <c r="A100015"/>
      <c r="B100015"/>
      <c r="C100015"/>
      <c r="E100015"/>
      <c r="F100015"/>
    </row>
    <row r="100016" spans="1:6" x14ac:dyDescent="0.25">
      <c r="A100016"/>
      <c r="B100016"/>
      <c r="C100016"/>
      <c r="E100016"/>
      <c r="F100016"/>
    </row>
    <row r="100017" spans="1:6" x14ac:dyDescent="0.25">
      <c r="A100017"/>
      <c r="B100017"/>
      <c r="C100017"/>
      <c r="E100017"/>
      <c r="F100017"/>
    </row>
    <row r="100018" spans="1:6" x14ac:dyDescent="0.25">
      <c r="A100018"/>
      <c r="B100018"/>
      <c r="C100018"/>
      <c r="E100018"/>
      <c r="F100018"/>
    </row>
    <row r="100019" spans="1:6" x14ac:dyDescent="0.25">
      <c r="A100019"/>
      <c r="B100019"/>
      <c r="C100019"/>
      <c r="E100019"/>
      <c r="F100019"/>
    </row>
    <row r="100020" spans="1:6" x14ac:dyDescent="0.25">
      <c r="A100020"/>
      <c r="B100020"/>
      <c r="C100020"/>
      <c r="E100020"/>
      <c r="F100020"/>
    </row>
    <row r="100021" spans="1:6" x14ac:dyDescent="0.25">
      <c r="A100021"/>
      <c r="B100021"/>
      <c r="C100021"/>
      <c r="E100021"/>
      <c r="F100021"/>
    </row>
    <row r="100022" spans="1:6" x14ac:dyDescent="0.25">
      <c r="A100022"/>
      <c r="B100022"/>
      <c r="C100022"/>
      <c r="E100022"/>
      <c r="F100022"/>
    </row>
    <row r="100023" spans="1:6" x14ac:dyDescent="0.25">
      <c r="A100023"/>
      <c r="B100023"/>
      <c r="C100023"/>
      <c r="E100023"/>
      <c r="F100023"/>
    </row>
    <row r="100024" spans="1:6" x14ac:dyDescent="0.25">
      <c r="A100024"/>
      <c r="B100024"/>
      <c r="C100024"/>
      <c r="E100024"/>
      <c r="F100024"/>
    </row>
    <row r="100025" spans="1:6" x14ac:dyDescent="0.25">
      <c r="A100025"/>
      <c r="B100025"/>
      <c r="C100025"/>
      <c r="E100025"/>
      <c r="F100025"/>
    </row>
    <row r="100026" spans="1:6" x14ac:dyDescent="0.25">
      <c r="A100026"/>
      <c r="B100026"/>
      <c r="C100026"/>
      <c r="E100026"/>
      <c r="F100026"/>
    </row>
    <row r="100027" spans="1:6" x14ac:dyDescent="0.25">
      <c r="A100027"/>
      <c r="B100027"/>
      <c r="C100027"/>
      <c r="E100027"/>
      <c r="F100027"/>
    </row>
    <row r="100028" spans="1:6" x14ac:dyDescent="0.25">
      <c r="A100028"/>
      <c r="B100028"/>
      <c r="C100028"/>
      <c r="E100028"/>
      <c r="F100028"/>
    </row>
    <row r="100029" spans="1:6" x14ac:dyDescent="0.25">
      <c r="A100029"/>
      <c r="B100029"/>
      <c r="C100029"/>
      <c r="E100029"/>
      <c r="F100029"/>
    </row>
    <row r="100030" spans="1:6" x14ac:dyDescent="0.25">
      <c r="A100030"/>
      <c r="B100030"/>
      <c r="C100030"/>
      <c r="E100030"/>
      <c r="F100030"/>
    </row>
    <row r="100031" spans="1:6" x14ac:dyDescent="0.25">
      <c r="A100031"/>
      <c r="B100031"/>
      <c r="C100031"/>
      <c r="E100031"/>
      <c r="F100031"/>
    </row>
    <row r="100032" spans="1:6" x14ac:dyDescent="0.25">
      <c r="A100032"/>
      <c r="B100032"/>
      <c r="C100032"/>
      <c r="E100032"/>
      <c r="F100032"/>
    </row>
    <row r="100033" spans="1:6" x14ac:dyDescent="0.25">
      <c r="A100033"/>
      <c r="B100033"/>
      <c r="C100033"/>
      <c r="E100033"/>
      <c r="F100033"/>
    </row>
    <row r="100034" spans="1:6" x14ac:dyDescent="0.25">
      <c r="A100034"/>
      <c r="B100034"/>
      <c r="C100034"/>
      <c r="E100034"/>
      <c r="F100034"/>
    </row>
    <row r="100035" spans="1:6" x14ac:dyDescent="0.25">
      <c r="A100035"/>
      <c r="B100035"/>
      <c r="C100035"/>
      <c r="E100035"/>
      <c r="F100035"/>
    </row>
    <row r="100036" spans="1:6" x14ac:dyDescent="0.25">
      <c r="A100036"/>
      <c r="B100036"/>
      <c r="C100036"/>
      <c r="E100036"/>
      <c r="F100036"/>
    </row>
    <row r="100037" spans="1:6" x14ac:dyDescent="0.25">
      <c r="A100037"/>
      <c r="B100037"/>
      <c r="C100037"/>
      <c r="E100037"/>
      <c r="F100037"/>
    </row>
    <row r="100038" spans="1:6" x14ac:dyDescent="0.25">
      <c r="A100038"/>
      <c r="B100038"/>
      <c r="C100038"/>
      <c r="E100038"/>
      <c r="F100038"/>
    </row>
    <row r="100039" spans="1:6" x14ac:dyDescent="0.25">
      <c r="A100039"/>
      <c r="B100039"/>
      <c r="C100039"/>
      <c r="E100039"/>
      <c r="F100039"/>
    </row>
    <row r="100040" spans="1:6" x14ac:dyDescent="0.25">
      <c r="A100040"/>
      <c r="B100040"/>
      <c r="C100040"/>
      <c r="E100040"/>
      <c r="F100040"/>
    </row>
    <row r="100041" spans="1:6" x14ac:dyDescent="0.25">
      <c r="A100041"/>
      <c r="B100041"/>
      <c r="C100041"/>
      <c r="E100041"/>
      <c r="F100041"/>
    </row>
    <row r="100042" spans="1:6" x14ac:dyDescent="0.25">
      <c r="A100042"/>
      <c r="B100042"/>
      <c r="C100042"/>
      <c r="E100042"/>
      <c r="F100042"/>
    </row>
    <row r="100043" spans="1:6" x14ac:dyDescent="0.25">
      <c r="A100043"/>
      <c r="B100043"/>
      <c r="C100043"/>
      <c r="E100043"/>
      <c r="F100043"/>
    </row>
    <row r="100044" spans="1:6" x14ac:dyDescent="0.25">
      <c r="A100044"/>
      <c r="B100044"/>
      <c r="C100044"/>
      <c r="E100044"/>
      <c r="F100044"/>
    </row>
    <row r="100045" spans="1:6" x14ac:dyDescent="0.25">
      <c r="A100045"/>
      <c r="B100045"/>
      <c r="C100045"/>
      <c r="E100045"/>
      <c r="F100045"/>
    </row>
    <row r="100046" spans="1:6" x14ac:dyDescent="0.25">
      <c r="A100046"/>
      <c r="B100046"/>
      <c r="C100046"/>
      <c r="E100046"/>
      <c r="F100046"/>
    </row>
    <row r="100047" spans="1:6" x14ac:dyDescent="0.25">
      <c r="A100047"/>
      <c r="B100047"/>
      <c r="C100047"/>
      <c r="E100047"/>
      <c r="F100047"/>
    </row>
    <row r="100048" spans="1:6" x14ac:dyDescent="0.25">
      <c r="A100048"/>
      <c r="B100048"/>
      <c r="C100048"/>
      <c r="E100048"/>
      <c r="F100048"/>
    </row>
    <row r="100049" spans="1:6" x14ac:dyDescent="0.25">
      <c r="A100049"/>
      <c r="B100049"/>
      <c r="C100049"/>
      <c r="E100049"/>
      <c r="F100049"/>
    </row>
    <row r="100050" spans="1:6" x14ac:dyDescent="0.25">
      <c r="A100050"/>
      <c r="B100050"/>
      <c r="C100050"/>
      <c r="E100050"/>
      <c r="F100050"/>
    </row>
    <row r="100051" spans="1:6" x14ac:dyDescent="0.25">
      <c r="A100051"/>
      <c r="B100051"/>
      <c r="C100051"/>
      <c r="E100051"/>
      <c r="F100051"/>
    </row>
    <row r="100052" spans="1:6" x14ac:dyDescent="0.25">
      <c r="A100052"/>
      <c r="B100052"/>
      <c r="C100052"/>
      <c r="E100052"/>
      <c r="F100052"/>
    </row>
    <row r="100053" spans="1:6" x14ac:dyDescent="0.25">
      <c r="A100053"/>
      <c r="B100053"/>
      <c r="C100053"/>
      <c r="E100053"/>
      <c r="F100053"/>
    </row>
    <row r="100054" spans="1:6" x14ac:dyDescent="0.25">
      <c r="A100054"/>
      <c r="B100054"/>
      <c r="C100054"/>
      <c r="E100054"/>
      <c r="F100054"/>
    </row>
    <row r="100055" spans="1:6" x14ac:dyDescent="0.25">
      <c r="A100055"/>
      <c r="B100055"/>
      <c r="C100055"/>
      <c r="E100055"/>
      <c r="F100055"/>
    </row>
    <row r="100056" spans="1:6" x14ac:dyDescent="0.25">
      <c r="A100056"/>
      <c r="B100056"/>
      <c r="C100056"/>
      <c r="E100056"/>
      <c r="F100056"/>
    </row>
    <row r="100057" spans="1:6" x14ac:dyDescent="0.25">
      <c r="A100057"/>
      <c r="B100057"/>
      <c r="C100057"/>
      <c r="E100057"/>
      <c r="F100057"/>
    </row>
    <row r="100058" spans="1:6" x14ac:dyDescent="0.25">
      <c r="A100058"/>
      <c r="B100058"/>
      <c r="C100058"/>
      <c r="E100058"/>
      <c r="F100058"/>
    </row>
    <row r="100059" spans="1:6" x14ac:dyDescent="0.25">
      <c r="A100059"/>
      <c r="B100059"/>
      <c r="C100059"/>
      <c r="E100059"/>
      <c r="F100059"/>
    </row>
    <row r="100060" spans="1:6" x14ac:dyDescent="0.25">
      <c r="A100060"/>
      <c r="B100060"/>
      <c r="C100060"/>
      <c r="E100060"/>
      <c r="F100060"/>
    </row>
    <row r="100061" spans="1:6" x14ac:dyDescent="0.25">
      <c r="A100061"/>
      <c r="B100061"/>
      <c r="C100061"/>
      <c r="E100061"/>
      <c r="F100061"/>
    </row>
    <row r="100062" spans="1:6" x14ac:dyDescent="0.25">
      <c r="A100062"/>
      <c r="B100062"/>
      <c r="C100062"/>
      <c r="E100062"/>
      <c r="F100062"/>
    </row>
    <row r="100063" spans="1:6" x14ac:dyDescent="0.25">
      <c r="A100063"/>
      <c r="B100063"/>
      <c r="C100063"/>
      <c r="E100063"/>
      <c r="F100063"/>
    </row>
    <row r="100064" spans="1:6" x14ac:dyDescent="0.25">
      <c r="A100064"/>
      <c r="B100064"/>
      <c r="C100064"/>
      <c r="E100064"/>
      <c r="F100064"/>
    </row>
    <row r="100065" spans="1:6" x14ac:dyDescent="0.25">
      <c r="A100065"/>
      <c r="B100065"/>
      <c r="C100065"/>
      <c r="E100065"/>
      <c r="F100065"/>
    </row>
    <row r="100066" spans="1:6" x14ac:dyDescent="0.25">
      <c r="A100066"/>
      <c r="B100066"/>
      <c r="C100066"/>
      <c r="E100066"/>
      <c r="F100066"/>
    </row>
    <row r="100067" spans="1:6" x14ac:dyDescent="0.25">
      <c r="A100067"/>
      <c r="B100067"/>
      <c r="C100067"/>
      <c r="E100067"/>
      <c r="F100067"/>
    </row>
    <row r="100068" spans="1:6" x14ac:dyDescent="0.25">
      <c r="A100068"/>
      <c r="B100068"/>
      <c r="C100068"/>
      <c r="E100068"/>
      <c r="F100068"/>
    </row>
    <row r="100069" spans="1:6" x14ac:dyDescent="0.25">
      <c r="A100069"/>
      <c r="B100069"/>
      <c r="C100069"/>
      <c r="E100069"/>
      <c r="F100069"/>
    </row>
    <row r="100070" spans="1:6" x14ac:dyDescent="0.25">
      <c r="A100070"/>
      <c r="B100070"/>
      <c r="C100070"/>
      <c r="E100070"/>
      <c r="F100070"/>
    </row>
    <row r="100071" spans="1:6" x14ac:dyDescent="0.25">
      <c r="A100071"/>
      <c r="B100071"/>
      <c r="C100071"/>
      <c r="E100071"/>
      <c r="F100071"/>
    </row>
    <row r="100072" spans="1:6" x14ac:dyDescent="0.25">
      <c r="A100072"/>
      <c r="B100072"/>
      <c r="C100072"/>
      <c r="E100072"/>
      <c r="F100072"/>
    </row>
    <row r="100073" spans="1:6" x14ac:dyDescent="0.25">
      <c r="A100073"/>
      <c r="B100073"/>
      <c r="C100073"/>
      <c r="E100073"/>
      <c r="F100073"/>
    </row>
    <row r="100074" spans="1:6" x14ac:dyDescent="0.25">
      <c r="A100074"/>
      <c r="B100074"/>
      <c r="C100074"/>
      <c r="E100074"/>
      <c r="F100074"/>
    </row>
    <row r="100075" spans="1:6" x14ac:dyDescent="0.25">
      <c r="A100075"/>
      <c r="B100075"/>
      <c r="C100075"/>
      <c r="E100075"/>
      <c r="F100075"/>
    </row>
    <row r="100076" spans="1:6" x14ac:dyDescent="0.25">
      <c r="A100076"/>
      <c r="B100076"/>
      <c r="C100076"/>
      <c r="E100076"/>
      <c r="F100076"/>
    </row>
    <row r="100077" spans="1:6" x14ac:dyDescent="0.25">
      <c r="A100077"/>
      <c r="B100077"/>
      <c r="C100077"/>
      <c r="E100077"/>
      <c r="F100077"/>
    </row>
    <row r="100078" spans="1:6" x14ac:dyDescent="0.25">
      <c r="A100078"/>
      <c r="B100078"/>
      <c r="C100078"/>
      <c r="E100078"/>
      <c r="F100078"/>
    </row>
    <row r="100079" spans="1:6" x14ac:dyDescent="0.25">
      <c r="A100079"/>
      <c r="B100079"/>
      <c r="C100079"/>
      <c r="E100079"/>
      <c r="F100079"/>
    </row>
    <row r="100080" spans="1:6" x14ac:dyDescent="0.25">
      <c r="A100080"/>
      <c r="B100080"/>
      <c r="C100080"/>
      <c r="E100080"/>
      <c r="F100080"/>
    </row>
    <row r="100081" spans="1:6" x14ac:dyDescent="0.25">
      <c r="A100081"/>
      <c r="B100081"/>
      <c r="C100081"/>
      <c r="E100081"/>
      <c r="F100081"/>
    </row>
    <row r="100082" spans="1:6" x14ac:dyDescent="0.25">
      <c r="A100082"/>
      <c r="B100082"/>
      <c r="C100082"/>
      <c r="E100082"/>
      <c r="F100082"/>
    </row>
    <row r="100083" spans="1:6" x14ac:dyDescent="0.25">
      <c r="A100083"/>
      <c r="B100083"/>
      <c r="C100083"/>
      <c r="E100083"/>
      <c r="F100083"/>
    </row>
    <row r="100084" spans="1:6" x14ac:dyDescent="0.25">
      <c r="A100084"/>
      <c r="B100084"/>
      <c r="C100084"/>
      <c r="E100084"/>
      <c r="F100084"/>
    </row>
    <row r="100085" spans="1:6" x14ac:dyDescent="0.25">
      <c r="A100085"/>
      <c r="B100085"/>
      <c r="C100085"/>
      <c r="E100085"/>
      <c r="F100085"/>
    </row>
    <row r="100086" spans="1:6" x14ac:dyDescent="0.25">
      <c r="A100086"/>
      <c r="B100086"/>
      <c r="C100086"/>
      <c r="E100086"/>
      <c r="F100086"/>
    </row>
    <row r="100087" spans="1:6" x14ac:dyDescent="0.25">
      <c r="A100087"/>
      <c r="B100087"/>
      <c r="C100087"/>
      <c r="E100087"/>
      <c r="F100087"/>
    </row>
    <row r="100088" spans="1:6" x14ac:dyDescent="0.25">
      <c r="A100088"/>
      <c r="B100088"/>
      <c r="C100088"/>
      <c r="E100088"/>
      <c r="F100088"/>
    </row>
    <row r="100089" spans="1:6" x14ac:dyDescent="0.25">
      <c r="A100089"/>
      <c r="B100089"/>
      <c r="C100089"/>
      <c r="E100089"/>
      <c r="F100089"/>
    </row>
    <row r="100090" spans="1:6" x14ac:dyDescent="0.25">
      <c r="A100090"/>
      <c r="B100090"/>
      <c r="C100090"/>
      <c r="E100090"/>
      <c r="F100090"/>
    </row>
    <row r="100091" spans="1:6" x14ac:dyDescent="0.25">
      <c r="A100091"/>
      <c r="B100091"/>
      <c r="C100091"/>
      <c r="E100091"/>
      <c r="F100091"/>
    </row>
    <row r="100092" spans="1:6" x14ac:dyDescent="0.25">
      <c r="A100092"/>
      <c r="B100092"/>
      <c r="C100092"/>
      <c r="E100092"/>
      <c r="F100092"/>
    </row>
    <row r="100093" spans="1:6" x14ac:dyDescent="0.25">
      <c r="A100093"/>
      <c r="B100093"/>
      <c r="C100093"/>
      <c r="E100093"/>
      <c r="F100093"/>
    </row>
    <row r="100094" spans="1:6" x14ac:dyDescent="0.25">
      <c r="A100094"/>
      <c r="B100094"/>
      <c r="C100094"/>
      <c r="E100094"/>
      <c r="F100094"/>
    </row>
    <row r="100095" spans="1:6" x14ac:dyDescent="0.25">
      <c r="A100095"/>
      <c r="B100095"/>
      <c r="C100095"/>
      <c r="E100095"/>
      <c r="F100095"/>
    </row>
    <row r="100096" spans="1:6" x14ac:dyDescent="0.25">
      <c r="A100096"/>
      <c r="B100096"/>
      <c r="C100096"/>
      <c r="E100096"/>
      <c r="F100096"/>
    </row>
    <row r="100097" spans="1:6" x14ac:dyDescent="0.25">
      <c r="A100097"/>
      <c r="B100097"/>
      <c r="C100097"/>
      <c r="E100097"/>
      <c r="F100097"/>
    </row>
    <row r="100098" spans="1:6" x14ac:dyDescent="0.25">
      <c r="A100098"/>
      <c r="B100098"/>
      <c r="C100098"/>
      <c r="E100098"/>
      <c r="F100098"/>
    </row>
    <row r="100099" spans="1:6" x14ac:dyDescent="0.25">
      <c r="A100099"/>
      <c r="B100099"/>
      <c r="C100099"/>
      <c r="E100099"/>
      <c r="F100099"/>
    </row>
    <row r="100100" spans="1:6" x14ac:dyDescent="0.25">
      <c r="A100100"/>
      <c r="B100100"/>
      <c r="C100100"/>
      <c r="E100100"/>
      <c r="F100100"/>
    </row>
    <row r="100101" spans="1:6" x14ac:dyDescent="0.25">
      <c r="A100101"/>
      <c r="B100101"/>
      <c r="C100101"/>
      <c r="E100101"/>
      <c r="F100101"/>
    </row>
    <row r="100102" spans="1:6" x14ac:dyDescent="0.25">
      <c r="A100102"/>
      <c r="B100102"/>
      <c r="C100102"/>
      <c r="E100102"/>
      <c r="F100102"/>
    </row>
    <row r="100103" spans="1:6" x14ac:dyDescent="0.25">
      <c r="A100103"/>
      <c r="B100103"/>
      <c r="C100103"/>
      <c r="E100103"/>
      <c r="F100103"/>
    </row>
    <row r="100104" spans="1:6" x14ac:dyDescent="0.25">
      <c r="A100104"/>
      <c r="B100104"/>
      <c r="C100104"/>
      <c r="E100104"/>
      <c r="F100104"/>
    </row>
    <row r="100105" spans="1:6" x14ac:dyDescent="0.25">
      <c r="A100105"/>
      <c r="B100105"/>
      <c r="C100105"/>
      <c r="E100105"/>
      <c r="F100105"/>
    </row>
    <row r="100106" spans="1:6" x14ac:dyDescent="0.25">
      <c r="A100106"/>
      <c r="B100106"/>
      <c r="C100106"/>
      <c r="E100106"/>
      <c r="F100106"/>
    </row>
    <row r="100107" spans="1:6" x14ac:dyDescent="0.25">
      <c r="A100107"/>
      <c r="B100107"/>
      <c r="C100107"/>
      <c r="E100107"/>
      <c r="F100107"/>
    </row>
    <row r="100108" spans="1:6" x14ac:dyDescent="0.25">
      <c r="A100108"/>
      <c r="B100108"/>
      <c r="C100108"/>
      <c r="E100108"/>
      <c r="F100108"/>
    </row>
    <row r="100109" spans="1:6" x14ac:dyDescent="0.25">
      <c r="A100109"/>
      <c r="B100109"/>
      <c r="C100109"/>
      <c r="E100109"/>
      <c r="F100109"/>
    </row>
    <row r="100110" spans="1:6" x14ac:dyDescent="0.25">
      <c r="A100110"/>
      <c r="B100110"/>
      <c r="C100110"/>
      <c r="E100110"/>
      <c r="F100110"/>
    </row>
    <row r="100111" spans="1:6" x14ac:dyDescent="0.25">
      <c r="A100111"/>
      <c r="B100111"/>
      <c r="C100111"/>
      <c r="E100111"/>
      <c r="F100111"/>
    </row>
    <row r="100112" spans="1:6" x14ac:dyDescent="0.25">
      <c r="A100112"/>
      <c r="B100112"/>
      <c r="C100112"/>
      <c r="E100112"/>
      <c r="F100112"/>
    </row>
    <row r="100113" spans="1:6" x14ac:dyDescent="0.25">
      <c r="A100113"/>
      <c r="B100113"/>
      <c r="C100113"/>
      <c r="E100113"/>
      <c r="F100113"/>
    </row>
    <row r="100114" spans="1:6" x14ac:dyDescent="0.25">
      <c r="A100114"/>
      <c r="B100114"/>
      <c r="C100114"/>
      <c r="E100114"/>
      <c r="F100114"/>
    </row>
    <row r="100115" spans="1:6" x14ac:dyDescent="0.25">
      <c r="A100115"/>
      <c r="B100115"/>
      <c r="C100115"/>
      <c r="E100115"/>
      <c r="F100115"/>
    </row>
    <row r="100116" spans="1:6" x14ac:dyDescent="0.25">
      <c r="A100116"/>
      <c r="B100116"/>
      <c r="C100116"/>
      <c r="E100116"/>
      <c r="F100116"/>
    </row>
    <row r="100117" spans="1:6" x14ac:dyDescent="0.25">
      <c r="A100117"/>
      <c r="B100117"/>
      <c r="C100117"/>
      <c r="E100117"/>
      <c r="F100117"/>
    </row>
    <row r="100118" spans="1:6" x14ac:dyDescent="0.25">
      <c r="A100118"/>
      <c r="B100118"/>
      <c r="C100118"/>
      <c r="E100118"/>
      <c r="F100118"/>
    </row>
    <row r="100119" spans="1:6" x14ac:dyDescent="0.25">
      <c r="A100119"/>
      <c r="B100119"/>
      <c r="C100119"/>
      <c r="E100119"/>
      <c r="F100119"/>
    </row>
    <row r="100120" spans="1:6" x14ac:dyDescent="0.25">
      <c r="A100120"/>
      <c r="B100120"/>
      <c r="C100120"/>
      <c r="E100120"/>
      <c r="F100120"/>
    </row>
    <row r="100121" spans="1:6" x14ac:dyDescent="0.25">
      <c r="A100121"/>
      <c r="B100121"/>
      <c r="C100121"/>
      <c r="E100121"/>
      <c r="F100121"/>
    </row>
    <row r="100122" spans="1:6" x14ac:dyDescent="0.25">
      <c r="A100122"/>
      <c r="B100122"/>
      <c r="C100122"/>
      <c r="E100122"/>
      <c r="F100122"/>
    </row>
    <row r="100123" spans="1:6" x14ac:dyDescent="0.25">
      <c r="A100123"/>
      <c r="B100123"/>
      <c r="C100123"/>
      <c r="E100123"/>
      <c r="F100123"/>
    </row>
    <row r="100124" spans="1:6" x14ac:dyDescent="0.25">
      <c r="A100124"/>
      <c r="B100124"/>
      <c r="C100124"/>
      <c r="E100124"/>
      <c r="F100124"/>
    </row>
    <row r="100125" spans="1:6" x14ac:dyDescent="0.25">
      <c r="A100125"/>
      <c r="B100125"/>
      <c r="C100125"/>
      <c r="E100125"/>
      <c r="F100125"/>
    </row>
    <row r="100126" spans="1:6" x14ac:dyDescent="0.25">
      <c r="A100126"/>
      <c r="B100126"/>
      <c r="C100126"/>
      <c r="E100126"/>
      <c r="F100126"/>
    </row>
    <row r="100127" spans="1:6" x14ac:dyDescent="0.25">
      <c r="A100127"/>
      <c r="B100127"/>
      <c r="C100127"/>
      <c r="E100127"/>
      <c r="F100127"/>
    </row>
    <row r="100128" spans="1:6" x14ac:dyDescent="0.25">
      <c r="A100128"/>
      <c r="B100128"/>
      <c r="C100128"/>
      <c r="E100128"/>
      <c r="F100128"/>
    </row>
    <row r="100129" spans="1:6" x14ac:dyDescent="0.25">
      <c r="A100129"/>
      <c r="B100129"/>
      <c r="C100129"/>
      <c r="E100129"/>
      <c r="F100129"/>
    </row>
    <row r="100130" spans="1:6" x14ac:dyDescent="0.25">
      <c r="A100130"/>
      <c r="B100130"/>
      <c r="C100130"/>
      <c r="E100130"/>
      <c r="F100130"/>
    </row>
    <row r="100131" spans="1:6" x14ac:dyDescent="0.25">
      <c r="A100131"/>
      <c r="B100131"/>
      <c r="C100131"/>
      <c r="E100131"/>
      <c r="F100131"/>
    </row>
    <row r="100132" spans="1:6" x14ac:dyDescent="0.25">
      <c r="A100132"/>
      <c r="B100132"/>
      <c r="C100132"/>
      <c r="E100132"/>
      <c r="F100132"/>
    </row>
    <row r="100133" spans="1:6" x14ac:dyDescent="0.25">
      <c r="A100133"/>
      <c r="B100133"/>
      <c r="C100133"/>
      <c r="E100133"/>
      <c r="F100133"/>
    </row>
    <row r="100134" spans="1:6" x14ac:dyDescent="0.25">
      <c r="A100134"/>
      <c r="B100134"/>
      <c r="C100134"/>
      <c r="E100134"/>
      <c r="F100134"/>
    </row>
    <row r="100135" spans="1:6" x14ac:dyDescent="0.25">
      <c r="A100135"/>
      <c r="B100135"/>
      <c r="C100135"/>
      <c r="E100135"/>
      <c r="F100135"/>
    </row>
    <row r="100136" spans="1:6" x14ac:dyDescent="0.25">
      <c r="A100136"/>
      <c r="B100136"/>
      <c r="C100136"/>
      <c r="E100136"/>
      <c r="F100136"/>
    </row>
    <row r="100137" spans="1:6" x14ac:dyDescent="0.25">
      <c r="A100137"/>
      <c r="B100137"/>
      <c r="C100137"/>
      <c r="E100137"/>
      <c r="F100137"/>
    </row>
    <row r="100138" spans="1:6" x14ac:dyDescent="0.25">
      <c r="A100138"/>
      <c r="B100138"/>
      <c r="C100138"/>
      <c r="E100138"/>
      <c r="F100138"/>
    </row>
    <row r="100139" spans="1:6" x14ac:dyDescent="0.25">
      <c r="A100139"/>
      <c r="B100139"/>
      <c r="C100139"/>
      <c r="E100139"/>
      <c r="F100139"/>
    </row>
    <row r="100140" spans="1:6" x14ac:dyDescent="0.25">
      <c r="A100140"/>
      <c r="B100140"/>
      <c r="C100140"/>
      <c r="E100140"/>
      <c r="F100140"/>
    </row>
    <row r="100141" spans="1:6" x14ac:dyDescent="0.25">
      <c r="A100141"/>
      <c r="B100141"/>
      <c r="C100141"/>
      <c r="E100141"/>
      <c r="F100141"/>
    </row>
    <row r="100142" spans="1:6" x14ac:dyDescent="0.25">
      <c r="A100142"/>
      <c r="B100142"/>
      <c r="C100142"/>
      <c r="E100142"/>
      <c r="F100142"/>
    </row>
    <row r="100143" spans="1:6" x14ac:dyDescent="0.25">
      <c r="A100143"/>
      <c r="B100143"/>
      <c r="C100143"/>
      <c r="E100143"/>
      <c r="F100143"/>
    </row>
    <row r="100144" spans="1:6" x14ac:dyDescent="0.25">
      <c r="A100144"/>
      <c r="B100144"/>
      <c r="C100144"/>
      <c r="E100144"/>
      <c r="F100144"/>
    </row>
    <row r="100145" spans="1:6" x14ac:dyDescent="0.25">
      <c r="A100145"/>
      <c r="B100145"/>
      <c r="C100145"/>
      <c r="E100145"/>
      <c r="F100145"/>
    </row>
    <row r="100146" spans="1:6" x14ac:dyDescent="0.25">
      <c r="A100146"/>
      <c r="B100146"/>
      <c r="C100146"/>
      <c r="E100146"/>
      <c r="F100146"/>
    </row>
    <row r="100147" spans="1:6" x14ac:dyDescent="0.25">
      <c r="A100147"/>
      <c r="B100147"/>
      <c r="C100147"/>
      <c r="E100147"/>
      <c r="F100147"/>
    </row>
    <row r="100148" spans="1:6" x14ac:dyDescent="0.25">
      <c r="A100148"/>
      <c r="B100148"/>
      <c r="C100148"/>
      <c r="E100148"/>
      <c r="F100148"/>
    </row>
    <row r="100149" spans="1:6" x14ac:dyDescent="0.25">
      <c r="A100149"/>
      <c r="B100149"/>
      <c r="C100149"/>
      <c r="E100149"/>
      <c r="F100149"/>
    </row>
    <row r="100150" spans="1:6" x14ac:dyDescent="0.25">
      <c r="A100150"/>
      <c r="B100150"/>
      <c r="C100150"/>
      <c r="E100150"/>
      <c r="F100150"/>
    </row>
    <row r="100151" spans="1:6" x14ac:dyDescent="0.25">
      <c r="A100151"/>
      <c r="B100151"/>
      <c r="C100151"/>
      <c r="E100151"/>
      <c r="F100151"/>
    </row>
    <row r="100152" spans="1:6" x14ac:dyDescent="0.25">
      <c r="A100152"/>
      <c r="B100152"/>
      <c r="C100152"/>
      <c r="E100152"/>
      <c r="F100152"/>
    </row>
    <row r="100153" spans="1:6" x14ac:dyDescent="0.25">
      <c r="A100153"/>
      <c r="B100153"/>
      <c r="C100153"/>
      <c r="E100153"/>
      <c r="F100153"/>
    </row>
    <row r="100154" spans="1:6" x14ac:dyDescent="0.25">
      <c r="A100154"/>
      <c r="B100154"/>
      <c r="C100154"/>
      <c r="E100154"/>
      <c r="F100154"/>
    </row>
    <row r="100155" spans="1:6" x14ac:dyDescent="0.25">
      <c r="A100155"/>
      <c r="B100155"/>
      <c r="C100155"/>
      <c r="E100155"/>
      <c r="F100155"/>
    </row>
    <row r="100156" spans="1:6" x14ac:dyDescent="0.25">
      <c r="A100156"/>
      <c r="B100156"/>
      <c r="C100156"/>
      <c r="E100156"/>
      <c r="F100156"/>
    </row>
    <row r="100157" spans="1:6" x14ac:dyDescent="0.25">
      <c r="A100157"/>
      <c r="B100157"/>
      <c r="C100157"/>
      <c r="E100157"/>
      <c r="F100157"/>
    </row>
    <row r="100158" spans="1:6" x14ac:dyDescent="0.25">
      <c r="A100158"/>
      <c r="B100158"/>
      <c r="C100158"/>
      <c r="E100158"/>
      <c r="F100158"/>
    </row>
    <row r="100159" spans="1:6" x14ac:dyDescent="0.25">
      <c r="A100159"/>
      <c r="B100159"/>
      <c r="C100159"/>
      <c r="E100159"/>
      <c r="F100159"/>
    </row>
    <row r="100160" spans="1:6" x14ac:dyDescent="0.25">
      <c r="A100160"/>
      <c r="B100160"/>
      <c r="C100160"/>
      <c r="E100160"/>
      <c r="F100160"/>
    </row>
    <row r="100161" spans="1:6" x14ac:dyDescent="0.25">
      <c r="A100161"/>
      <c r="B100161"/>
      <c r="C100161"/>
      <c r="E100161"/>
      <c r="F100161"/>
    </row>
    <row r="100162" spans="1:6" x14ac:dyDescent="0.25">
      <c r="A100162"/>
      <c r="B100162"/>
      <c r="C100162"/>
      <c r="E100162"/>
      <c r="F100162"/>
    </row>
    <row r="100163" spans="1:6" x14ac:dyDescent="0.25">
      <c r="A100163"/>
      <c r="B100163"/>
      <c r="C100163"/>
      <c r="E100163"/>
      <c r="F100163"/>
    </row>
    <row r="100164" spans="1:6" x14ac:dyDescent="0.25">
      <c r="A100164"/>
      <c r="B100164"/>
      <c r="C100164"/>
      <c r="E100164"/>
      <c r="F100164"/>
    </row>
    <row r="100165" spans="1:6" x14ac:dyDescent="0.25">
      <c r="A100165"/>
      <c r="B100165"/>
      <c r="C100165"/>
      <c r="E100165"/>
      <c r="F100165"/>
    </row>
    <row r="100166" spans="1:6" x14ac:dyDescent="0.25">
      <c r="A100166"/>
      <c r="B100166"/>
      <c r="C100166"/>
      <c r="E100166"/>
      <c r="F100166"/>
    </row>
    <row r="100167" spans="1:6" x14ac:dyDescent="0.25">
      <c r="A100167"/>
      <c r="B100167"/>
      <c r="C100167"/>
      <c r="E100167"/>
      <c r="F100167"/>
    </row>
    <row r="100168" spans="1:6" x14ac:dyDescent="0.25">
      <c r="A100168"/>
      <c r="B100168"/>
      <c r="C100168"/>
      <c r="E100168"/>
      <c r="F100168"/>
    </row>
    <row r="100169" spans="1:6" x14ac:dyDescent="0.25">
      <c r="A100169"/>
      <c r="B100169"/>
      <c r="C100169"/>
      <c r="E100169"/>
      <c r="F100169"/>
    </row>
    <row r="100170" spans="1:6" x14ac:dyDescent="0.25">
      <c r="A100170"/>
      <c r="B100170"/>
      <c r="C100170"/>
      <c r="E100170"/>
      <c r="F100170"/>
    </row>
    <row r="100171" spans="1:6" x14ac:dyDescent="0.25">
      <c r="A100171"/>
      <c r="B100171"/>
      <c r="C100171"/>
      <c r="E100171"/>
      <c r="F100171"/>
    </row>
    <row r="100172" spans="1:6" x14ac:dyDescent="0.25">
      <c r="A100172"/>
      <c r="B100172"/>
      <c r="C100172"/>
      <c r="E100172"/>
      <c r="F100172"/>
    </row>
    <row r="100173" spans="1:6" x14ac:dyDescent="0.25">
      <c r="A100173"/>
      <c r="B100173"/>
      <c r="C100173"/>
      <c r="E100173"/>
      <c r="F100173"/>
    </row>
    <row r="100174" spans="1:6" x14ac:dyDescent="0.25">
      <c r="A100174"/>
      <c r="B100174"/>
      <c r="C100174"/>
      <c r="E100174"/>
      <c r="F100174"/>
    </row>
    <row r="100175" spans="1:6" x14ac:dyDescent="0.25">
      <c r="A100175"/>
      <c r="B100175"/>
      <c r="C100175"/>
      <c r="E100175"/>
      <c r="F100175"/>
    </row>
    <row r="100176" spans="1:6" x14ac:dyDescent="0.25">
      <c r="A100176"/>
      <c r="B100176"/>
      <c r="C100176"/>
      <c r="E100176"/>
      <c r="F100176"/>
    </row>
    <row r="100177" spans="1:6" x14ac:dyDescent="0.25">
      <c r="A100177"/>
      <c r="B100177"/>
      <c r="C100177"/>
      <c r="E100177"/>
      <c r="F100177"/>
    </row>
    <row r="100178" spans="1:6" x14ac:dyDescent="0.25">
      <c r="A100178"/>
      <c r="B100178"/>
      <c r="C100178"/>
      <c r="E100178"/>
      <c r="F100178"/>
    </row>
    <row r="100179" spans="1:6" x14ac:dyDescent="0.25">
      <c r="A100179"/>
      <c r="B100179"/>
      <c r="C100179"/>
      <c r="E100179"/>
      <c r="F100179"/>
    </row>
    <row r="100180" spans="1:6" x14ac:dyDescent="0.25">
      <c r="A100180"/>
      <c r="B100180"/>
      <c r="C100180"/>
      <c r="E100180"/>
      <c r="F100180"/>
    </row>
    <row r="100181" spans="1:6" x14ac:dyDescent="0.25">
      <c r="A100181"/>
      <c r="B100181"/>
      <c r="C100181"/>
      <c r="E100181"/>
      <c r="F100181"/>
    </row>
    <row r="100182" spans="1:6" x14ac:dyDescent="0.25">
      <c r="A100182"/>
      <c r="B100182"/>
      <c r="C100182"/>
      <c r="E100182"/>
      <c r="F100182"/>
    </row>
    <row r="100183" spans="1:6" x14ac:dyDescent="0.25">
      <c r="A100183"/>
      <c r="B100183"/>
      <c r="C100183"/>
      <c r="E100183"/>
      <c r="F100183"/>
    </row>
    <row r="100184" spans="1:6" x14ac:dyDescent="0.25">
      <c r="A100184"/>
      <c r="B100184"/>
      <c r="C100184"/>
      <c r="E100184"/>
      <c r="F100184"/>
    </row>
    <row r="100185" spans="1:6" x14ac:dyDescent="0.25">
      <c r="A100185"/>
      <c r="B100185"/>
      <c r="C100185"/>
      <c r="E100185"/>
      <c r="F100185"/>
    </row>
    <row r="100186" spans="1:6" x14ac:dyDescent="0.25">
      <c r="A100186"/>
      <c r="B100186"/>
      <c r="C100186"/>
      <c r="E100186"/>
      <c r="F100186"/>
    </row>
    <row r="100187" spans="1:6" x14ac:dyDescent="0.25">
      <c r="A100187"/>
      <c r="B100187"/>
      <c r="C100187"/>
      <c r="E100187"/>
      <c r="F100187"/>
    </row>
    <row r="100188" spans="1:6" x14ac:dyDescent="0.25">
      <c r="A100188"/>
      <c r="B100188"/>
      <c r="C100188"/>
      <c r="E100188"/>
      <c r="F100188"/>
    </row>
    <row r="100189" spans="1:6" x14ac:dyDescent="0.25">
      <c r="A100189"/>
      <c r="B100189"/>
      <c r="C100189"/>
      <c r="E100189"/>
      <c r="F100189"/>
    </row>
    <row r="100190" spans="1:6" x14ac:dyDescent="0.25">
      <c r="A100190"/>
      <c r="B100190"/>
      <c r="C100190"/>
      <c r="E100190"/>
      <c r="F100190"/>
    </row>
    <row r="100191" spans="1:6" x14ac:dyDescent="0.25">
      <c r="A100191"/>
      <c r="B100191"/>
      <c r="C100191"/>
      <c r="E100191"/>
      <c r="F100191"/>
    </row>
    <row r="100192" spans="1:6" x14ac:dyDescent="0.25">
      <c r="A100192"/>
      <c r="B100192"/>
      <c r="C100192"/>
      <c r="E100192"/>
      <c r="F100192"/>
    </row>
    <row r="100193" spans="1:6" x14ac:dyDescent="0.25">
      <c r="A100193"/>
      <c r="B100193"/>
      <c r="C100193"/>
      <c r="E100193"/>
      <c r="F100193"/>
    </row>
    <row r="100194" spans="1:6" x14ac:dyDescent="0.25">
      <c r="A100194"/>
      <c r="B100194"/>
      <c r="C100194"/>
      <c r="E100194"/>
      <c r="F100194"/>
    </row>
    <row r="100195" spans="1:6" x14ac:dyDescent="0.25">
      <c r="A100195"/>
      <c r="B100195"/>
      <c r="C100195"/>
      <c r="E100195"/>
      <c r="F100195"/>
    </row>
    <row r="100196" spans="1:6" x14ac:dyDescent="0.25">
      <c r="A100196"/>
      <c r="B100196"/>
      <c r="C100196"/>
      <c r="E100196"/>
      <c r="F100196"/>
    </row>
    <row r="100197" spans="1:6" x14ac:dyDescent="0.25">
      <c r="A100197"/>
      <c r="B100197"/>
      <c r="C100197"/>
      <c r="E100197"/>
      <c r="F100197"/>
    </row>
    <row r="100198" spans="1:6" x14ac:dyDescent="0.25">
      <c r="A100198"/>
      <c r="B100198"/>
      <c r="C100198"/>
      <c r="E100198"/>
      <c r="F100198"/>
    </row>
    <row r="100199" spans="1:6" x14ac:dyDescent="0.25">
      <c r="A100199"/>
      <c r="B100199"/>
      <c r="C100199"/>
      <c r="E100199"/>
      <c r="F100199"/>
    </row>
    <row r="100200" spans="1:6" x14ac:dyDescent="0.25">
      <c r="A100200"/>
      <c r="B100200"/>
      <c r="C100200"/>
      <c r="E100200"/>
      <c r="F100200"/>
    </row>
    <row r="100201" spans="1:6" x14ac:dyDescent="0.25">
      <c r="A100201"/>
      <c r="B100201"/>
      <c r="C100201"/>
      <c r="E100201"/>
      <c r="F100201"/>
    </row>
    <row r="100202" spans="1:6" x14ac:dyDescent="0.25">
      <c r="A100202"/>
      <c r="B100202"/>
      <c r="C100202"/>
      <c r="E100202"/>
      <c r="F100202"/>
    </row>
    <row r="100203" spans="1:6" x14ac:dyDescent="0.25">
      <c r="A100203"/>
      <c r="B100203"/>
      <c r="C100203"/>
      <c r="E100203"/>
      <c r="F100203"/>
    </row>
    <row r="100204" spans="1:6" x14ac:dyDescent="0.25">
      <c r="A100204"/>
      <c r="B100204"/>
      <c r="C100204"/>
      <c r="E100204"/>
      <c r="F100204"/>
    </row>
    <row r="100205" spans="1:6" x14ac:dyDescent="0.25">
      <c r="A100205"/>
      <c r="B100205"/>
      <c r="C100205"/>
      <c r="E100205"/>
      <c r="F100205"/>
    </row>
    <row r="100206" spans="1:6" x14ac:dyDescent="0.25">
      <c r="A100206"/>
      <c r="B100206"/>
      <c r="C100206"/>
      <c r="E100206"/>
      <c r="F100206"/>
    </row>
    <row r="100207" spans="1:6" x14ac:dyDescent="0.25">
      <c r="A100207"/>
      <c r="B100207"/>
      <c r="C100207"/>
      <c r="E100207"/>
      <c r="F100207"/>
    </row>
    <row r="100208" spans="1:6" x14ac:dyDescent="0.25">
      <c r="A100208"/>
      <c r="B100208"/>
      <c r="C100208"/>
      <c r="E100208"/>
      <c r="F100208"/>
    </row>
    <row r="100209" spans="1:6" x14ac:dyDescent="0.25">
      <c r="A100209"/>
      <c r="B100209"/>
      <c r="C100209"/>
      <c r="E100209"/>
      <c r="F100209"/>
    </row>
    <row r="100210" spans="1:6" x14ac:dyDescent="0.25">
      <c r="A100210"/>
      <c r="B100210"/>
      <c r="C100210"/>
      <c r="E100210"/>
      <c r="F100210"/>
    </row>
    <row r="100211" spans="1:6" x14ac:dyDescent="0.25">
      <c r="A100211"/>
      <c r="B100211"/>
      <c r="C100211"/>
      <c r="E100211"/>
      <c r="F100211"/>
    </row>
    <row r="100212" spans="1:6" x14ac:dyDescent="0.25">
      <c r="A100212"/>
      <c r="B100212"/>
      <c r="C100212"/>
      <c r="E100212"/>
      <c r="F100212"/>
    </row>
    <row r="100213" spans="1:6" x14ac:dyDescent="0.25">
      <c r="A100213"/>
      <c r="B100213"/>
      <c r="C100213"/>
      <c r="E100213"/>
      <c r="F100213"/>
    </row>
    <row r="100214" spans="1:6" x14ac:dyDescent="0.25">
      <c r="A100214"/>
      <c r="B100214"/>
      <c r="C100214"/>
      <c r="E100214"/>
      <c r="F100214"/>
    </row>
    <row r="100215" spans="1:6" x14ac:dyDescent="0.25">
      <c r="A100215"/>
      <c r="B100215"/>
      <c r="C100215"/>
      <c r="E100215"/>
      <c r="F100215"/>
    </row>
    <row r="100216" spans="1:6" x14ac:dyDescent="0.25">
      <c r="A100216"/>
      <c r="B100216"/>
      <c r="C100216"/>
      <c r="E100216"/>
      <c r="F100216"/>
    </row>
    <row r="100217" spans="1:6" x14ac:dyDescent="0.25">
      <c r="A100217"/>
      <c r="B100217"/>
      <c r="C100217"/>
      <c r="E100217"/>
      <c r="F100217"/>
    </row>
    <row r="100218" spans="1:6" x14ac:dyDescent="0.25">
      <c r="A100218"/>
      <c r="B100218"/>
      <c r="C100218"/>
      <c r="E100218"/>
      <c r="F100218"/>
    </row>
    <row r="100219" spans="1:6" x14ac:dyDescent="0.25">
      <c r="A100219"/>
      <c r="B100219"/>
      <c r="C100219"/>
      <c r="E100219"/>
      <c r="F100219"/>
    </row>
    <row r="100220" spans="1:6" x14ac:dyDescent="0.25">
      <c r="A100220"/>
      <c r="B100220"/>
      <c r="C100220"/>
      <c r="E100220"/>
      <c r="F100220"/>
    </row>
    <row r="100221" spans="1:6" x14ac:dyDescent="0.25">
      <c r="A100221"/>
      <c r="B100221"/>
      <c r="C100221"/>
      <c r="E100221"/>
      <c r="F100221"/>
    </row>
    <row r="100222" spans="1:6" x14ac:dyDescent="0.25">
      <c r="A100222"/>
      <c r="B100222"/>
      <c r="C100222"/>
      <c r="E100222"/>
      <c r="F100222"/>
    </row>
    <row r="100223" spans="1:6" x14ac:dyDescent="0.25">
      <c r="A100223"/>
      <c r="B100223"/>
      <c r="C100223"/>
      <c r="E100223"/>
      <c r="F100223"/>
    </row>
    <row r="100224" spans="1:6" x14ac:dyDescent="0.25">
      <c r="A100224"/>
      <c r="B100224"/>
      <c r="C100224"/>
      <c r="E100224"/>
      <c r="F100224"/>
    </row>
    <row r="100225" spans="1:6" x14ac:dyDescent="0.25">
      <c r="A100225"/>
      <c r="B100225"/>
      <c r="C100225"/>
      <c r="E100225"/>
      <c r="F100225"/>
    </row>
    <row r="100226" spans="1:6" x14ac:dyDescent="0.25">
      <c r="A100226"/>
      <c r="B100226"/>
      <c r="C100226"/>
      <c r="E100226"/>
      <c r="F100226"/>
    </row>
    <row r="100227" spans="1:6" x14ac:dyDescent="0.25">
      <c r="A100227"/>
      <c r="B100227"/>
      <c r="C100227"/>
      <c r="E100227"/>
      <c r="F100227"/>
    </row>
    <row r="100228" spans="1:6" x14ac:dyDescent="0.25">
      <c r="A100228"/>
      <c r="B100228"/>
      <c r="C100228"/>
      <c r="E100228"/>
      <c r="F100228"/>
    </row>
    <row r="100229" spans="1:6" x14ac:dyDescent="0.25">
      <c r="A100229"/>
      <c r="B100229"/>
      <c r="C100229"/>
      <c r="E100229"/>
      <c r="F100229"/>
    </row>
    <row r="100230" spans="1:6" x14ac:dyDescent="0.25">
      <c r="A100230"/>
      <c r="B100230"/>
      <c r="C100230"/>
      <c r="E100230"/>
      <c r="F100230"/>
    </row>
    <row r="100231" spans="1:6" x14ac:dyDescent="0.25">
      <c r="A100231"/>
      <c r="B100231"/>
      <c r="C100231"/>
      <c r="E100231"/>
      <c r="F100231"/>
    </row>
    <row r="100232" spans="1:6" x14ac:dyDescent="0.25">
      <c r="A100232"/>
      <c r="B100232"/>
      <c r="C100232"/>
      <c r="E100232"/>
      <c r="F100232"/>
    </row>
    <row r="100233" spans="1:6" x14ac:dyDescent="0.25">
      <c r="A100233"/>
      <c r="B100233"/>
      <c r="C100233"/>
      <c r="E100233"/>
      <c r="F100233"/>
    </row>
    <row r="100234" spans="1:6" x14ac:dyDescent="0.25">
      <c r="A100234"/>
      <c r="B100234"/>
      <c r="C100234"/>
      <c r="E100234"/>
      <c r="F100234"/>
    </row>
    <row r="100235" spans="1:6" x14ac:dyDescent="0.25">
      <c r="A100235"/>
      <c r="B100235"/>
      <c r="C100235"/>
      <c r="E100235"/>
      <c r="F100235"/>
    </row>
    <row r="100236" spans="1:6" x14ac:dyDescent="0.25">
      <c r="A100236"/>
      <c r="B100236"/>
      <c r="C100236"/>
      <c r="E100236"/>
      <c r="F100236"/>
    </row>
    <row r="100237" spans="1:6" x14ac:dyDescent="0.25">
      <c r="A100237"/>
      <c r="B100237"/>
      <c r="C100237"/>
      <c r="E100237"/>
      <c r="F100237"/>
    </row>
    <row r="100238" spans="1:6" x14ac:dyDescent="0.25">
      <c r="A100238"/>
      <c r="B100238"/>
      <c r="C100238"/>
      <c r="E100238"/>
      <c r="F100238"/>
    </row>
    <row r="100239" spans="1:6" x14ac:dyDescent="0.25">
      <c r="A100239"/>
      <c r="B100239"/>
      <c r="C100239"/>
      <c r="E100239"/>
      <c r="F100239"/>
    </row>
    <row r="100240" spans="1:6" x14ac:dyDescent="0.25">
      <c r="A100240"/>
      <c r="B100240"/>
      <c r="C100240"/>
      <c r="E100240"/>
      <c r="F100240"/>
    </row>
    <row r="100241" spans="1:6" x14ac:dyDescent="0.25">
      <c r="A100241"/>
      <c r="B100241"/>
      <c r="C100241"/>
      <c r="E100241"/>
      <c r="F100241"/>
    </row>
    <row r="100242" spans="1:6" x14ac:dyDescent="0.25">
      <c r="A100242"/>
      <c r="B100242"/>
      <c r="C100242"/>
      <c r="E100242"/>
      <c r="F100242"/>
    </row>
    <row r="100243" spans="1:6" x14ac:dyDescent="0.25">
      <c r="A100243"/>
      <c r="B100243"/>
      <c r="C100243"/>
      <c r="E100243"/>
      <c r="F100243"/>
    </row>
    <row r="100244" spans="1:6" x14ac:dyDescent="0.25">
      <c r="A100244"/>
      <c r="B100244"/>
      <c r="C100244"/>
      <c r="E100244"/>
      <c r="F100244"/>
    </row>
    <row r="100245" spans="1:6" x14ac:dyDescent="0.25">
      <c r="A100245"/>
      <c r="B100245"/>
      <c r="C100245"/>
      <c r="E100245"/>
      <c r="F100245"/>
    </row>
    <row r="100246" spans="1:6" x14ac:dyDescent="0.25">
      <c r="A100246"/>
      <c r="B100246"/>
      <c r="C100246"/>
      <c r="E100246"/>
      <c r="F100246"/>
    </row>
    <row r="100247" spans="1:6" x14ac:dyDescent="0.25">
      <c r="A100247"/>
      <c r="B100247"/>
      <c r="C100247"/>
      <c r="E100247"/>
      <c r="F100247"/>
    </row>
    <row r="100248" spans="1:6" x14ac:dyDescent="0.25">
      <c r="A100248"/>
      <c r="B100248"/>
      <c r="C100248"/>
      <c r="E100248"/>
      <c r="F100248"/>
    </row>
    <row r="100249" spans="1:6" x14ac:dyDescent="0.25">
      <c r="A100249"/>
      <c r="B100249"/>
      <c r="C100249"/>
      <c r="E100249"/>
      <c r="F100249"/>
    </row>
    <row r="100250" spans="1:6" x14ac:dyDescent="0.25">
      <c r="A100250"/>
      <c r="B100250"/>
      <c r="C100250"/>
      <c r="E100250"/>
      <c r="F100250"/>
    </row>
    <row r="100251" spans="1:6" x14ac:dyDescent="0.25">
      <c r="A100251"/>
      <c r="B100251"/>
      <c r="C100251"/>
      <c r="E100251"/>
      <c r="F100251"/>
    </row>
    <row r="100252" spans="1:6" x14ac:dyDescent="0.25">
      <c r="A100252"/>
      <c r="B100252"/>
      <c r="C100252"/>
      <c r="E100252"/>
      <c r="F100252"/>
    </row>
    <row r="100253" spans="1:6" x14ac:dyDescent="0.25">
      <c r="A100253"/>
      <c r="B100253"/>
      <c r="C100253"/>
      <c r="E100253"/>
      <c r="F100253"/>
    </row>
    <row r="100254" spans="1:6" x14ac:dyDescent="0.25">
      <c r="A100254"/>
      <c r="B100254"/>
      <c r="C100254"/>
      <c r="E100254"/>
      <c r="F100254"/>
    </row>
    <row r="100255" spans="1:6" x14ac:dyDescent="0.25">
      <c r="A100255"/>
      <c r="B100255"/>
      <c r="C100255"/>
      <c r="E100255"/>
      <c r="F100255"/>
    </row>
    <row r="100256" spans="1:6" x14ac:dyDescent="0.25">
      <c r="A100256"/>
      <c r="B100256"/>
      <c r="C100256"/>
      <c r="E100256"/>
      <c r="F100256"/>
    </row>
    <row r="100257" spans="1:6" x14ac:dyDescent="0.25">
      <c r="A100257"/>
      <c r="B100257"/>
      <c r="C100257"/>
      <c r="E100257"/>
      <c r="F100257"/>
    </row>
    <row r="100258" spans="1:6" x14ac:dyDescent="0.25">
      <c r="A100258"/>
      <c r="B100258"/>
      <c r="C100258"/>
      <c r="E100258"/>
      <c r="F100258"/>
    </row>
    <row r="100259" spans="1:6" x14ac:dyDescent="0.25">
      <c r="A100259"/>
      <c r="B100259"/>
      <c r="C100259"/>
      <c r="E100259"/>
      <c r="F100259"/>
    </row>
    <row r="100260" spans="1:6" x14ac:dyDescent="0.25">
      <c r="A100260"/>
      <c r="B100260"/>
      <c r="C100260"/>
      <c r="E100260"/>
      <c r="F100260"/>
    </row>
    <row r="100261" spans="1:6" x14ac:dyDescent="0.25">
      <c r="A100261"/>
      <c r="B100261"/>
      <c r="C100261"/>
      <c r="E100261"/>
      <c r="F100261"/>
    </row>
    <row r="100262" spans="1:6" x14ac:dyDescent="0.25">
      <c r="A100262"/>
      <c r="B100262"/>
      <c r="C100262"/>
      <c r="E100262"/>
      <c r="F100262"/>
    </row>
    <row r="100263" spans="1:6" x14ac:dyDescent="0.25">
      <c r="A100263"/>
      <c r="B100263"/>
      <c r="C100263"/>
      <c r="E100263"/>
      <c r="F100263"/>
    </row>
    <row r="100264" spans="1:6" x14ac:dyDescent="0.25">
      <c r="A100264"/>
      <c r="B100264"/>
      <c r="C100264"/>
      <c r="E100264"/>
      <c r="F100264"/>
    </row>
    <row r="100265" spans="1:6" x14ac:dyDescent="0.25">
      <c r="A100265"/>
      <c r="B100265"/>
      <c r="C100265"/>
      <c r="E100265"/>
      <c r="F100265"/>
    </row>
    <row r="100266" spans="1:6" x14ac:dyDescent="0.25">
      <c r="A100266"/>
      <c r="B100266"/>
      <c r="C100266"/>
      <c r="E100266"/>
      <c r="F100266"/>
    </row>
    <row r="100267" spans="1:6" x14ac:dyDescent="0.25">
      <c r="A100267"/>
      <c r="B100267"/>
      <c r="C100267"/>
      <c r="E100267"/>
      <c r="F100267"/>
    </row>
    <row r="100268" spans="1:6" x14ac:dyDescent="0.25">
      <c r="A100268"/>
      <c r="B100268"/>
      <c r="C100268"/>
      <c r="E100268"/>
      <c r="F100268"/>
    </row>
    <row r="100269" spans="1:6" x14ac:dyDescent="0.25">
      <c r="A100269"/>
      <c r="B100269"/>
      <c r="C100269"/>
      <c r="E100269"/>
      <c r="F100269"/>
    </row>
    <row r="100270" spans="1:6" x14ac:dyDescent="0.25">
      <c r="A100270"/>
      <c r="B100270"/>
      <c r="C100270"/>
      <c r="E100270"/>
      <c r="F100270"/>
    </row>
    <row r="100271" spans="1:6" x14ac:dyDescent="0.25">
      <c r="A100271"/>
      <c r="B100271"/>
      <c r="C100271"/>
      <c r="E100271"/>
      <c r="F100271"/>
    </row>
    <row r="100272" spans="1:6" x14ac:dyDescent="0.25">
      <c r="A100272"/>
      <c r="B100272"/>
      <c r="C100272"/>
      <c r="E100272"/>
      <c r="F100272"/>
    </row>
    <row r="100273" spans="1:6" x14ac:dyDescent="0.25">
      <c r="A100273"/>
      <c r="B100273"/>
      <c r="C100273"/>
      <c r="E100273"/>
      <c r="F100273"/>
    </row>
    <row r="100274" spans="1:6" x14ac:dyDescent="0.25">
      <c r="A100274"/>
      <c r="B100274"/>
      <c r="C100274"/>
      <c r="E100274"/>
      <c r="F100274"/>
    </row>
    <row r="100275" spans="1:6" x14ac:dyDescent="0.25">
      <c r="A100275"/>
      <c r="B100275"/>
      <c r="C100275"/>
      <c r="E100275"/>
      <c r="F100275"/>
    </row>
    <row r="100276" spans="1:6" x14ac:dyDescent="0.25">
      <c r="A100276"/>
      <c r="B100276"/>
      <c r="C100276"/>
      <c r="E100276"/>
      <c r="F100276"/>
    </row>
    <row r="100277" spans="1:6" x14ac:dyDescent="0.25">
      <c r="A100277"/>
      <c r="B100277"/>
      <c r="C100277"/>
      <c r="E100277"/>
      <c r="F100277"/>
    </row>
    <row r="100278" spans="1:6" x14ac:dyDescent="0.25">
      <c r="A100278"/>
      <c r="B100278"/>
      <c r="C100278"/>
      <c r="E100278"/>
      <c r="F100278"/>
    </row>
    <row r="100279" spans="1:6" x14ac:dyDescent="0.25">
      <c r="A100279"/>
      <c r="B100279"/>
      <c r="C100279"/>
      <c r="E100279"/>
      <c r="F100279"/>
    </row>
    <row r="100280" spans="1:6" x14ac:dyDescent="0.25">
      <c r="A100280"/>
      <c r="B100280"/>
      <c r="C100280"/>
      <c r="E100280"/>
      <c r="F100280"/>
    </row>
    <row r="100281" spans="1:6" x14ac:dyDescent="0.25">
      <c r="A100281"/>
      <c r="B100281"/>
      <c r="C100281"/>
      <c r="E100281"/>
      <c r="F100281"/>
    </row>
    <row r="100282" spans="1:6" x14ac:dyDescent="0.25">
      <c r="A100282"/>
      <c r="B100282"/>
      <c r="C100282"/>
      <c r="E100282"/>
      <c r="F100282"/>
    </row>
    <row r="100283" spans="1:6" x14ac:dyDescent="0.25">
      <c r="A100283"/>
      <c r="B100283"/>
      <c r="C100283"/>
      <c r="E100283"/>
      <c r="F100283"/>
    </row>
    <row r="100284" spans="1:6" x14ac:dyDescent="0.25">
      <c r="A100284"/>
      <c r="B100284"/>
      <c r="C100284"/>
      <c r="E100284"/>
      <c r="F100284"/>
    </row>
    <row r="100285" spans="1:6" x14ac:dyDescent="0.25">
      <c r="A100285"/>
      <c r="B100285"/>
      <c r="C100285"/>
      <c r="E100285"/>
      <c r="F100285"/>
    </row>
    <row r="100286" spans="1:6" x14ac:dyDescent="0.25">
      <c r="A100286"/>
      <c r="B100286"/>
      <c r="C100286"/>
      <c r="E100286"/>
      <c r="F100286"/>
    </row>
    <row r="100287" spans="1:6" x14ac:dyDescent="0.25">
      <c r="A100287"/>
      <c r="B100287"/>
      <c r="C100287"/>
      <c r="E100287"/>
      <c r="F100287"/>
    </row>
    <row r="100288" spans="1:6" x14ac:dyDescent="0.25">
      <c r="A100288"/>
      <c r="B100288"/>
      <c r="C100288"/>
      <c r="E100288"/>
      <c r="F100288"/>
    </row>
    <row r="100289" spans="1:6" x14ac:dyDescent="0.25">
      <c r="A100289"/>
      <c r="B100289"/>
      <c r="C100289"/>
      <c r="E100289"/>
      <c r="F100289"/>
    </row>
    <row r="100290" spans="1:6" x14ac:dyDescent="0.25">
      <c r="A100290"/>
      <c r="B100290"/>
      <c r="C100290"/>
      <c r="E100290"/>
      <c r="F100290"/>
    </row>
    <row r="100291" spans="1:6" x14ac:dyDescent="0.25">
      <c r="A100291"/>
      <c r="B100291"/>
      <c r="C100291"/>
      <c r="E100291"/>
      <c r="F100291"/>
    </row>
    <row r="100292" spans="1:6" x14ac:dyDescent="0.25">
      <c r="A100292"/>
      <c r="B100292"/>
      <c r="C100292"/>
      <c r="E100292"/>
      <c r="F100292"/>
    </row>
    <row r="100293" spans="1:6" x14ac:dyDescent="0.25">
      <c r="A100293"/>
      <c r="B100293"/>
      <c r="C100293"/>
      <c r="E100293"/>
      <c r="F100293"/>
    </row>
    <row r="100294" spans="1:6" x14ac:dyDescent="0.25">
      <c r="A100294"/>
      <c r="B100294"/>
      <c r="C100294"/>
      <c r="E100294"/>
      <c r="F100294"/>
    </row>
    <row r="100295" spans="1:6" x14ac:dyDescent="0.25">
      <c r="A100295"/>
      <c r="B100295"/>
      <c r="C100295"/>
      <c r="E100295"/>
      <c r="F100295"/>
    </row>
    <row r="100296" spans="1:6" x14ac:dyDescent="0.25">
      <c r="A100296"/>
      <c r="B100296"/>
      <c r="C100296"/>
      <c r="E100296"/>
      <c r="F100296"/>
    </row>
    <row r="100297" spans="1:6" x14ac:dyDescent="0.25">
      <c r="A100297"/>
      <c r="B100297"/>
      <c r="C100297"/>
      <c r="E100297"/>
      <c r="F100297"/>
    </row>
    <row r="100298" spans="1:6" x14ac:dyDescent="0.25">
      <c r="A100298"/>
      <c r="B100298"/>
      <c r="C100298"/>
      <c r="E100298"/>
      <c r="F100298"/>
    </row>
    <row r="100299" spans="1:6" x14ac:dyDescent="0.25">
      <c r="A100299"/>
      <c r="B100299"/>
      <c r="C100299"/>
      <c r="E100299"/>
      <c r="F100299"/>
    </row>
    <row r="100300" spans="1:6" x14ac:dyDescent="0.25">
      <c r="A100300"/>
      <c r="B100300"/>
      <c r="C100300"/>
      <c r="E100300"/>
      <c r="F100300"/>
    </row>
    <row r="100301" spans="1:6" x14ac:dyDescent="0.25">
      <c r="A100301"/>
      <c r="B100301"/>
      <c r="C100301"/>
      <c r="E100301"/>
      <c r="F100301"/>
    </row>
    <row r="100302" spans="1:6" x14ac:dyDescent="0.25">
      <c r="A100302"/>
      <c r="B100302"/>
      <c r="C100302"/>
      <c r="E100302"/>
      <c r="F100302"/>
    </row>
    <row r="100303" spans="1:6" x14ac:dyDescent="0.25">
      <c r="A100303"/>
      <c r="B100303"/>
      <c r="C100303"/>
      <c r="E100303"/>
      <c r="F100303"/>
    </row>
    <row r="100304" spans="1:6" x14ac:dyDescent="0.25">
      <c r="A100304"/>
      <c r="B100304"/>
      <c r="C100304"/>
      <c r="E100304"/>
      <c r="F100304"/>
    </row>
    <row r="100305" spans="1:6" x14ac:dyDescent="0.25">
      <c r="A100305"/>
      <c r="B100305"/>
      <c r="C100305"/>
      <c r="E100305"/>
      <c r="F100305"/>
    </row>
    <row r="100306" spans="1:6" x14ac:dyDescent="0.25">
      <c r="A100306"/>
      <c r="B100306"/>
      <c r="C100306"/>
      <c r="E100306"/>
      <c r="F100306"/>
    </row>
    <row r="100307" spans="1:6" x14ac:dyDescent="0.25">
      <c r="A100307"/>
      <c r="B100307"/>
      <c r="C100307"/>
      <c r="E100307"/>
      <c r="F100307"/>
    </row>
    <row r="100308" spans="1:6" x14ac:dyDescent="0.25">
      <c r="A100308"/>
      <c r="B100308"/>
      <c r="C100308"/>
      <c r="E100308"/>
      <c r="F100308"/>
    </row>
    <row r="100309" spans="1:6" x14ac:dyDescent="0.25">
      <c r="A100309"/>
      <c r="B100309"/>
      <c r="C100309"/>
      <c r="E100309"/>
      <c r="F100309"/>
    </row>
    <row r="100310" spans="1:6" x14ac:dyDescent="0.25">
      <c r="A100310"/>
      <c r="B100310"/>
      <c r="C100310"/>
      <c r="E100310"/>
      <c r="F100310"/>
    </row>
    <row r="100311" spans="1:6" x14ac:dyDescent="0.25">
      <c r="A100311"/>
      <c r="B100311"/>
      <c r="C100311"/>
      <c r="E100311"/>
      <c r="F100311"/>
    </row>
    <row r="100312" spans="1:6" x14ac:dyDescent="0.25">
      <c r="A100312"/>
      <c r="B100312"/>
      <c r="C100312"/>
      <c r="E100312"/>
      <c r="F100312"/>
    </row>
    <row r="100313" spans="1:6" x14ac:dyDescent="0.25">
      <c r="A100313"/>
      <c r="B100313"/>
      <c r="C100313"/>
      <c r="E100313"/>
      <c r="F100313"/>
    </row>
    <row r="100314" spans="1:6" x14ac:dyDescent="0.25">
      <c r="A100314"/>
      <c r="B100314"/>
      <c r="C100314"/>
      <c r="E100314"/>
      <c r="F100314"/>
    </row>
    <row r="100315" spans="1:6" x14ac:dyDescent="0.25">
      <c r="A100315"/>
      <c r="B100315"/>
      <c r="C100315"/>
      <c r="E100315"/>
      <c r="F100315"/>
    </row>
    <row r="100316" spans="1:6" x14ac:dyDescent="0.25">
      <c r="A100316"/>
      <c r="B100316"/>
      <c r="C100316"/>
      <c r="E100316"/>
      <c r="F100316"/>
    </row>
    <row r="100317" spans="1:6" x14ac:dyDescent="0.25">
      <c r="A100317"/>
      <c r="B100317"/>
      <c r="C100317"/>
      <c r="E100317"/>
      <c r="F100317"/>
    </row>
    <row r="100318" spans="1:6" x14ac:dyDescent="0.25">
      <c r="A100318"/>
      <c r="B100318"/>
      <c r="C100318"/>
      <c r="E100318"/>
      <c r="F100318"/>
    </row>
    <row r="100319" spans="1:6" x14ac:dyDescent="0.25">
      <c r="A100319"/>
      <c r="B100319"/>
      <c r="C100319"/>
      <c r="E100319"/>
      <c r="F100319"/>
    </row>
    <row r="100320" spans="1:6" x14ac:dyDescent="0.25">
      <c r="A100320"/>
      <c r="B100320"/>
      <c r="C100320"/>
      <c r="E100320"/>
      <c r="F100320"/>
    </row>
    <row r="100321" spans="1:6" x14ac:dyDescent="0.25">
      <c r="A100321"/>
      <c r="B100321"/>
      <c r="C100321"/>
      <c r="E100321"/>
      <c r="F100321"/>
    </row>
    <row r="100322" spans="1:6" x14ac:dyDescent="0.25">
      <c r="A100322"/>
      <c r="B100322"/>
      <c r="C100322"/>
      <c r="E100322"/>
      <c r="F100322"/>
    </row>
    <row r="100323" spans="1:6" x14ac:dyDescent="0.25">
      <c r="A100323"/>
      <c r="B100323"/>
      <c r="C100323"/>
      <c r="E100323"/>
      <c r="F100323"/>
    </row>
    <row r="100324" spans="1:6" x14ac:dyDescent="0.25">
      <c r="A100324"/>
      <c r="B100324"/>
      <c r="C100324"/>
      <c r="E100324"/>
      <c r="F100324"/>
    </row>
    <row r="100325" spans="1:6" x14ac:dyDescent="0.25">
      <c r="A100325"/>
      <c r="B100325"/>
      <c r="C100325"/>
      <c r="E100325"/>
      <c r="F100325"/>
    </row>
    <row r="100326" spans="1:6" x14ac:dyDescent="0.25">
      <c r="A100326"/>
      <c r="B100326"/>
      <c r="C100326"/>
      <c r="E100326"/>
      <c r="F100326"/>
    </row>
    <row r="100327" spans="1:6" x14ac:dyDescent="0.25">
      <c r="A100327"/>
      <c r="B100327"/>
      <c r="C100327"/>
      <c r="E100327"/>
      <c r="F100327"/>
    </row>
    <row r="100328" spans="1:6" x14ac:dyDescent="0.25">
      <c r="A100328"/>
      <c r="B100328"/>
      <c r="C100328"/>
      <c r="E100328"/>
      <c r="F100328"/>
    </row>
    <row r="100329" spans="1:6" x14ac:dyDescent="0.25">
      <c r="A100329"/>
      <c r="B100329"/>
      <c r="C100329"/>
      <c r="E100329"/>
      <c r="F100329"/>
    </row>
    <row r="100330" spans="1:6" x14ac:dyDescent="0.25">
      <c r="A100330"/>
      <c r="B100330"/>
      <c r="C100330"/>
      <c r="E100330"/>
      <c r="F100330"/>
    </row>
    <row r="100331" spans="1:6" x14ac:dyDescent="0.25">
      <c r="A100331"/>
      <c r="B100331"/>
      <c r="C100331"/>
      <c r="E100331"/>
      <c r="F100331"/>
    </row>
    <row r="100332" spans="1:6" x14ac:dyDescent="0.25">
      <c r="A100332"/>
      <c r="B100332"/>
      <c r="C100332"/>
      <c r="E100332"/>
      <c r="F100332"/>
    </row>
    <row r="100333" spans="1:6" x14ac:dyDescent="0.25">
      <c r="A100333"/>
      <c r="B100333"/>
      <c r="C100333"/>
      <c r="E100333"/>
      <c r="F100333"/>
    </row>
    <row r="100334" spans="1:6" x14ac:dyDescent="0.25">
      <c r="A100334"/>
      <c r="B100334"/>
      <c r="C100334"/>
      <c r="E100334"/>
      <c r="F100334"/>
    </row>
    <row r="100335" spans="1:6" x14ac:dyDescent="0.25">
      <c r="A100335"/>
      <c r="B100335"/>
      <c r="C100335"/>
      <c r="E100335"/>
      <c r="F100335"/>
    </row>
    <row r="100336" spans="1:6" x14ac:dyDescent="0.25">
      <c r="A100336"/>
      <c r="B100336"/>
      <c r="C100336"/>
      <c r="E100336"/>
      <c r="F100336"/>
    </row>
    <row r="100337" spans="1:6" x14ac:dyDescent="0.25">
      <c r="A100337"/>
      <c r="B100337"/>
      <c r="C100337"/>
      <c r="E100337"/>
      <c r="F100337"/>
    </row>
    <row r="100338" spans="1:6" x14ac:dyDescent="0.25">
      <c r="A100338"/>
      <c r="B100338"/>
      <c r="C100338"/>
      <c r="E100338"/>
      <c r="F100338"/>
    </row>
    <row r="100339" spans="1:6" x14ac:dyDescent="0.25">
      <c r="A100339"/>
      <c r="B100339"/>
      <c r="C100339"/>
      <c r="E100339"/>
      <c r="F100339"/>
    </row>
    <row r="100340" spans="1:6" x14ac:dyDescent="0.25">
      <c r="A100340"/>
      <c r="B100340"/>
      <c r="C100340"/>
      <c r="E100340"/>
      <c r="F100340"/>
    </row>
    <row r="100341" spans="1:6" x14ac:dyDescent="0.25">
      <c r="A100341"/>
      <c r="B100341"/>
      <c r="C100341"/>
      <c r="E100341"/>
      <c r="F100341"/>
    </row>
    <row r="100342" spans="1:6" x14ac:dyDescent="0.25">
      <c r="A100342"/>
      <c r="B100342"/>
      <c r="C100342"/>
      <c r="E100342"/>
      <c r="F100342"/>
    </row>
    <row r="100343" spans="1:6" x14ac:dyDescent="0.25">
      <c r="A100343"/>
      <c r="B100343"/>
      <c r="C100343"/>
      <c r="E100343"/>
      <c r="F100343"/>
    </row>
    <row r="100344" spans="1:6" x14ac:dyDescent="0.25">
      <c r="A100344"/>
      <c r="B100344"/>
      <c r="C100344"/>
      <c r="E100344"/>
      <c r="F100344"/>
    </row>
    <row r="100345" spans="1:6" x14ac:dyDescent="0.25">
      <c r="A100345"/>
      <c r="B100345"/>
      <c r="C100345"/>
      <c r="E100345"/>
      <c r="F100345"/>
    </row>
    <row r="100346" spans="1:6" x14ac:dyDescent="0.25">
      <c r="A100346"/>
      <c r="B100346"/>
      <c r="C100346"/>
      <c r="E100346"/>
      <c r="F100346"/>
    </row>
    <row r="100347" spans="1:6" x14ac:dyDescent="0.25">
      <c r="A100347"/>
      <c r="B100347"/>
      <c r="C100347"/>
      <c r="E100347"/>
      <c r="F100347"/>
    </row>
    <row r="100348" spans="1:6" x14ac:dyDescent="0.25">
      <c r="A100348"/>
      <c r="B100348"/>
      <c r="C100348"/>
      <c r="E100348"/>
      <c r="F100348"/>
    </row>
    <row r="100349" spans="1:6" x14ac:dyDescent="0.25">
      <c r="A100349"/>
      <c r="B100349"/>
      <c r="C100349"/>
      <c r="E100349"/>
      <c r="F100349"/>
    </row>
    <row r="100350" spans="1:6" x14ac:dyDescent="0.25">
      <c r="A100350"/>
      <c r="B100350"/>
      <c r="C100350"/>
      <c r="E100350"/>
      <c r="F100350"/>
    </row>
    <row r="100351" spans="1:6" x14ac:dyDescent="0.25">
      <c r="A100351"/>
      <c r="B100351"/>
      <c r="C100351"/>
      <c r="E100351"/>
      <c r="F100351"/>
    </row>
    <row r="100352" spans="1:6" x14ac:dyDescent="0.25">
      <c r="A100352"/>
      <c r="B100352"/>
      <c r="C100352"/>
      <c r="E100352"/>
      <c r="F100352"/>
    </row>
    <row r="100353" spans="1:6" x14ac:dyDescent="0.25">
      <c r="A100353"/>
      <c r="B100353"/>
      <c r="C100353"/>
      <c r="E100353"/>
      <c r="F100353"/>
    </row>
    <row r="100354" spans="1:6" x14ac:dyDescent="0.25">
      <c r="A100354"/>
      <c r="B100354"/>
      <c r="C100354"/>
      <c r="E100354"/>
      <c r="F100354"/>
    </row>
    <row r="100355" spans="1:6" x14ac:dyDescent="0.25">
      <c r="A100355"/>
      <c r="B100355"/>
      <c r="C100355"/>
      <c r="E100355"/>
      <c r="F100355"/>
    </row>
    <row r="100356" spans="1:6" x14ac:dyDescent="0.25">
      <c r="A100356"/>
      <c r="B100356"/>
      <c r="C100356"/>
      <c r="E100356"/>
      <c r="F100356"/>
    </row>
    <row r="100357" spans="1:6" x14ac:dyDescent="0.25">
      <c r="A100357"/>
      <c r="B100357"/>
      <c r="C100357"/>
      <c r="E100357"/>
      <c r="F100357"/>
    </row>
    <row r="100358" spans="1:6" x14ac:dyDescent="0.25">
      <c r="A100358"/>
      <c r="B100358"/>
      <c r="C100358"/>
      <c r="E100358"/>
      <c r="F100358"/>
    </row>
    <row r="100359" spans="1:6" x14ac:dyDescent="0.25">
      <c r="A100359"/>
      <c r="B100359"/>
      <c r="C100359"/>
      <c r="E100359"/>
      <c r="F100359"/>
    </row>
    <row r="100360" spans="1:6" x14ac:dyDescent="0.25">
      <c r="A100360"/>
      <c r="B100360"/>
      <c r="C100360"/>
      <c r="E100360"/>
      <c r="F100360"/>
    </row>
    <row r="100361" spans="1:6" x14ac:dyDescent="0.25">
      <c r="A100361"/>
      <c r="B100361"/>
      <c r="C100361"/>
      <c r="E100361"/>
      <c r="F100361"/>
    </row>
    <row r="100362" spans="1:6" x14ac:dyDescent="0.25">
      <c r="A100362"/>
      <c r="B100362"/>
      <c r="C100362"/>
      <c r="E100362"/>
      <c r="F100362"/>
    </row>
    <row r="100363" spans="1:6" x14ac:dyDescent="0.25">
      <c r="A100363"/>
      <c r="B100363"/>
      <c r="C100363"/>
      <c r="E100363"/>
      <c r="F100363"/>
    </row>
    <row r="100364" spans="1:6" x14ac:dyDescent="0.25">
      <c r="A100364"/>
      <c r="B100364"/>
      <c r="C100364"/>
      <c r="E100364"/>
      <c r="F100364"/>
    </row>
    <row r="100365" spans="1:6" x14ac:dyDescent="0.25">
      <c r="A100365"/>
      <c r="B100365"/>
      <c r="C100365"/>
      <c r="E100365"/>
      <c r="F100365"/>
    </row>
    <row r="100366" spans="1:6" x14ac:dyDescent="0.25">
      <c r="A100366"/>
      <c r="B100366"/>
      <c r="C100366"/>
      <c r="E100366"/>
      <c r="F100366"/>
    </row>
    <row r="100367" spans="1:6" x14ac:dyDescent="0.25">
      <c r="A100367"/>
      <c r="B100367"/>
      <c r="C100367"/>
      <c r="E100367"/>
      <c r="F100367"/>
    </row>
    <row r="100368" spans="1:6" x14ac:dyDescent="0.25">
      <c r="A100368"/>
      <c r="B100368"/>
      <c r="C100368"/>
      <c r="E100368"/>
      <c r="F100368"/>
    </row>
    <row r="100369" spans="1:6" x14ac:dyDescent="0.25">
      <c r="A100369"/>
      <c r="B100369"/>
      <c r="C100369"/>
      <c r="E100369"/>
      <c r="F100369"/>
    </row>
    <row r="100370" spans="1:6" x14ac:dyDescent="0.25">
      <c r="A100370"/>
      <c r="B100370"/>
      <c r="C100370"/>
      <c r="E100370"/>
      <c r="F100370"/>
    </row>
    <row r="100371" spans="1:6" x14ac:dyDescent="0.25">
      <c r="A100371"/>
      <c r="B100371"/>
      <c r="C100371"/>
      <c r="E100371"/>
      <c r="F100371"/>
    </row>
    <row r="100372" spans="1:6" x14ac:dyDescent="0.25">
      <c r="A100372"/>
      <c r="B100372"/>
      <c r="C100372"/>
      <c r="E100372"/>
      <c r="F100372"/>
    </row>
    <row r="100373" spans="1:6" x14ac:dyDescent="0.25">
      <c r="A100373"/>
      <c r="B100373"/>
      <c r="C100373"/>
      <c r="E100373"/>
      <c r="F100373"/>
    </row>
    <row r="100374" spans="1:6" x14ac:dyDescent="0.25">
      <c r="A100374"/>
      <c r="B100374"/>
      <c r="C100374"/>
      <c r="E100374"/>
      <c r="F100374"/>
    </row>
    <row r="100375" spans="1:6" x14ac:dyDescent="0.25">
      <c r="A100375"/>
      <c r="B100375"/>
      <c r="C100375"/>
      <c r="E100375"/>
      <c r="F100375"/>
    </row>
    <row r="100376" spans="1:6" x14ac:dyDescent="0.25">
      <c r="A100376"/>
      <c r="B100376"/>
      <c r="C100376"/>
      <c r="E100376"/>
      <c r="F100376"/>
    </row>
    <row r="100377" spans="1:6" x14ac:dyDescent="0.25">
      <c r="A100377"/>
      <c r="B100377"/>
      <c r="C100377"/>
      <c r="E100377"/>
      <c r="F100377"/>
    </row>
    <row r="100378" spans="1:6" x14ac:dyDescent="0.25">
      <c r="A100378"/>
      <c r="B100378"/>
      <c r="C100378"/>
      <c r="E100378"/>
      <c r="F100378"/>
    </row>
    <row r="100379" spans="1:6" x14ac:dyDescent="0.25">
      <c r="A100379"/>
      <c r="B100379"/>
      <c r="C100379"/>
      <c r="E100379"/>
      <c r="F100379"/>
    </row>
    <row r="100380" spans="1:6" x14ac:dyDescent="0.25">
      <c r="A100380"/>
      <c r="B100380"/>
      <c r="C100380"/>
      <c r="E100380"/>
      <c r="F100380"/>
    </row>
    <row r="100381" spans="1:6" x14ac:dyDescent="0.25">
      <c r="A100381"/>
      <c r="B100381"/>
      <c r="C100381"/>
      <c r="E100381"/>
      <c r="F100381"/>
    </row>
    <row r="100382" spans="1:6" x14ac:dyDescent="0.25">
      <c r="A100382"/>
      <c r="B100382"/>
      <c r="C100382"/>
      <c r="E100382"/>
      <c r="F100382"/>
    </row>
    <row r="100383" spans="1:6" x14ac:dyDescent="0.25">
      <c r="A100383"/>
      <c r="B100383"/>
      <c r="C100383"/>
      <c r="E100383"/>
      <c r="F100383"/>
    </row>
    <row r="100384" spans="1:6" x14ac:dyDescent="0.25">
      <c r="A100384"/>
      <c r="B100384"/>
      <c r="C100384"/>
      <c r="E100384"/>
      <c r="F100384"/>
    </row>
    <row r="100385" spans="1:6" x14ac:dyDescent="0.25">
      <c r="A100385"/>
      <c r="B100385"/>
      <c r="C100385"/>
      <c r="E100385"/>
      <c r="F100385"/>
    </row>
    <row r="100386" spans="1:6" x14ac:dyDescent="0.25">
      <c r="A100386"/>
      <c r="B100386"/>
      <c r="C100386"/>
      <c r="E100386"/>
      <c r="F100386"/>
    </row>
    <row r="100387" spans="1:6" x14ac:dyDescent="0.25">
      <c r="A100387"/>
      <c r="B100387"/>
      <c r="C100387"/>
      <c r="E100387"/>
      <c r="F100387"/>
    </row>
    <row r="100388" spans="1:6" x14ac:dyDescent="0.25">
      <c r="A100388"/>
      <c r="B100388"/>
      <c r="C100388"/>
      <c r="E100388"/>
      <c r="F100388"/>
    </row>
    <row r="100389" spans="1:6" x14ac:dyDescent="0.25">
      <c r="A100389"/>
      <c r="B100389"/>
      <c r="C100389"/>
      <c r="E100389"/>
      <c r="F100389"/>
    </row>
    <row r="100390" spans="1:6" x14ac:dyDescent="0.25">
      <c r="A100390"/>
      <c r="B100390"/>
      <c r="C100390"/>
      <c r="E100390"/>
      <c r="F100390"/>
    </row>
    <row r="100391" spans="1:6" x14ac:dyDescent="0.25">
      <c r="A100391"/>
      <c r="B100391"/>
      <c r="C100391"/>
      <c r="E100391"/>
      <c r="F100391"/>
    </row>
    <row r="100392" spans="1:6" x14ac:dyDescent="0.25">
      <c r="A100392"/>
      <c r="B100392"/>
      <c r="C100392"/>
      <c r="E100392"/>
      <c r="F100392"/>
    </row>
    <row r="100393" spans="1:6" x14ac:dyDescent="0.25">
      <c r="A100393"/>
      <c r="B100393"/>
      <c r="C100393"/>
      <c r="E100393"/>
      <c r="F100393"/>
    </row>
    <row r="100394" spans="1:6" x14ac:dyDescent="0.25">
      <c r="A100394"/>
      <c r="B100394"/>
      <c r="C100394"/>
      <c r="E100394"/>
      <c r="F100394"/>
    </row>
    <row r="100395" spans="1:6" x14ac:dyDescent="0.25">
      <c r="A100395"/>
      <c r="B100395"/>
      <c r="C100395"/>
      <c r="E100395"/>
      <c r="F100395"/>
    </row>
    <row r="100396" spans="1:6" x14ac:dyDescent="0.25">
      <c r="A100396"/>
      <c r="B100396"/>
      <c r="C100396"/>
      <c r="E100396"/>
      <c r="F100396"/>
    </row>
    <row r="100397" spans="1:6" x14ac:dyDescent="0.25">
      <c r="A100397"/>
      <c r="B100397"/>
      <c r="C100397"/>
      <c r="E100397"/>
      <c r="F100397"/>
    </row>
    <row r="100398" spans="1:6" x14ac:dyDescent="0.25">
      <c r="A100398"/>
      <c r="B100398"/>
      <c r="C100398"/>
      <c r="E100398"/>
      <c r="F100398"/>
    </row>
    <row r="100399" spans="1:6" x14ac:dyDescent="0.25">
      <c r="A100399"/>
      <c r="B100399"/>
      <c r="C100399"/>
      <c r="E100399"/>
      <c r="F100399"/>
    </row>
    <row r="100400" spans="1:6" x14ac:dyDescent="0.25">
      <c r="A100400"/>
      <c r="B100400"/>
      <c r="C100400"/>
      <c r="E100400"/>
      <c r="F100400"/>
    </row>
    <row r="100401" spans="1:6" x14ac:dyDescent="0.25">
      <c r="A100401"/>
      <c r="B100401"/>
      <c r="C100401"/>
      <c r="E100401"/>
      <c r="F100401"/>
    </row>
    <row r="100402" spans="1:6" x14ac:dyDescent="0.25">
      <c r="A100402"/>
      <c r="B100402"/>
      <c r="C100402"/>
      <c r="E100402"/>
      <c r="F100402"/>
    </row>
    <row r="100403" spans="1:6" x14ac:dyDescent="0.25">
      <c r="A100403"/>
      <c r="B100403"/>
      <c r="C100403"/>
      <c r="E100403"/>
      <c r="F100403"/>
    </row>
    <row r="100404" spans="1:6" x14ac:dyDescent="0.25">
      <c r="A100404"/>
      <c r="B100404"/>
      <c r="C100404"/>
      <c r="E100404"/>
      <c r="F100404"/>
    </row>
    <row r="100405" spans="1:6" x14ac:dyDescent="0.25">
      <c r="A100405"/>
      <c r="B100405"/>
      <c r="C100405"/>
      <c r="E100405"/>
      <c r="F100405"/>
    </row>
    <row r="100406" spans="1:6" x14ac:dyDescent="0.25">
      <c r="A100406"/>
      <c r="B100406"/>
      <c r="C100406"/>
      <c r="E100406"/>
      <c r="F100406"/>
    </row>
    <row r="100407" spans="1:6" x14ac:dyDescent="0.25">
      <c r="A100407"/>
      <c r="B100407"/>
      <c r="C100407"/>
      <c r="E100407"/>
      <c r="F100407"/>
    </row>
    <row r="100408" spans="1:6" x14ac:dyDescent="0.25">
      <c r="A100408"/>
      <c r="B100408"/>
      <c r="C100408"/>
      <c r="E100408"/>
      <c r="F100408"/>
    </row>
    <row r="100409" spans="1:6" x14ac:dyDescent="0.25">
      <c r="A100409"/>
      <c r="B100409"/>
      <c r="C100409"/>
      <c r="E100409"/>
      <c r="F100409"/>
    </row>
    <row r="100410" spans="1:6" x14ac:dyDescent="0.25">
      <c r="A100410"/>
      <c r="B100410"/>
      <c r="C100410"/>
      <c r="E100410"/>
      <c r="F100410"/>
    </row>
    <row r="100411" spans="1:6" x14ac:dyDescent="0.25">
      <c r="A100411"/>
      <c r="B100411"/>
      <c r="C100411"/>
      <c r="E100411"/>
      <c r="F100411"/>
    </row>
    <row r="100412" spans="1:6" x14ac:dyDescent="0.25">
      <c r="A100412"/>
      <c r="B100412"/>
      <c r="C100412"/>
      <c r="E100412"/>
      <c r="F100412"/>
    </row>
    <row r="100413" spans="1:6" x14ac:dyDescent="0.25">
      <c r="A100413"/>
      <c r="B100413"/>
      <c r="C100413"/>
      <c r="E100413"/>
      <c r="F100413"/>
    </row>
    <row r="100414" spans="1:6" x14ac:dyDescent="0.25">
      <c r="A100414"/>
      <c r="B100414"/>
      <c r="C100414"/>
      <c r="E100414"/>
      <c r="F100414"/>
    </row>
    <row r="100415" spans="1:6" x14ac:dyDescent="0.25">
      <c r="A100415"/>
      <c r="B100415"/>
      <c r="C100415"/>
      <c r="E100415"/>
      <c r="F100415"/>
    </row>
    <row r="100416" spans="1:6" x14ac:dyDescent="0.25">
      <c r="A100416"/>
      <c r="B100416"/>
      <c r="C100416"/>
      <c r="E100416"/>
      <c r="F100416"/>
    </row>
    <row r="100417" spans="1:6" x14ac:dyDescent="0.25">
      <c r="A100417"/>
      <c r="B100417"/>
      <c r="C100417"/>
      <c r="E100417"/>
      <c r="F100417"/>
    </row>
    <row r="100418" spans="1:6" x14ac:dyDescent="0.25">
      <c r="A100418"/>
      <c r="B100418"/>
      <c r="C100418"/>
      <c r="E100418"/>
      <c r="F100418"/>
    </row>
    <row r="100419" spans="1:6" x14ac:dyDescent="0.25">
      <c r="A100419"/>
      <c r="B100419"/>
      <c r="C100419"/>
      <c r="E100419"/>
      <c r="F100419"/>
    </row>
    <row r="100420" spans="1:6" x14ac:dyDescent="0.25">
      <c r="A100420"/>
      <c r="B100420"/>
      <c r="C100420"/>
      <c r="E100420"/>
      <c r="F100420"/>
    </row>
    <row r="100421" spans="1:6" x14ac:dyDescent="0.25">
      <c r="A100421"/>
      <c r="B100421"/>
      <c r="C100421"/>
      <c r="E100421"/>
      <c r="F100421"/>
    </row>
    <row r="100422" spans="1:6" x14ac:dyDescent="0.25">
      <c r="A100422"/>
      <c r="B100422"/>
      <c r="C100422"/>
      <c r="E100422"/>
      <c r="F100422"/>
    </row>
    <row r="100423" spans="1:6" x14ac:dyDescent="0.25">
      <c r="A100423"/>
      <c r="B100423"/>
      <c r="C100423"/>
      <c r="E100423"/>
      <c r="F100423"/>
    </row>
    <row r="100424" spans="1:6" x14ac:dyDescent="0.25">
      <c r="A100424"/>
      <c r="B100424"/>
      <c r="C100424"/>
      <c r="E100424"/>
      <c r="F100424"/>
    </row>
    <row r="100425" spans="1:6" x14ac:dyDescent="0.25">
      <c r="A100425"/>
      <c r="B100425"/>
      <c r="C100425"/>
      <c r="E100425"/>
      <c r="F100425"/>
    </row>
    <row r="100426" spans="1:6" x14ac:dyDescent="0.25">
      <c r="A100426"/>
      <c r="B100426"/>
      <c r="C100426"/>
      <c r="E100426"/>
      <c r="F100426"/>
    </row>
    <row r="100427" spans="1:6" x14ac:dyDescent="0.25">
      <c r="A100427"/>
      <c r="B100427"/>
      <c r="C100427"/>
      <c r="E100427"/>
      <c r="F100427"/>
    </row>
    <row r="100428" spans="1:6" x14ac:dyDescent="0.25">
      <c r="A100428"/>
      <c r="B100428"/>
      <c r="C100428"/>
      <c r="E100428"/>
      <c r="F100428"/>
    </row>
    <row r="100429" spans="1:6" x14ac:dyDescent="0.25">
      <c r="A100429"/>
      <c r="B100429"/>
      <c r="C100429"/>
      <c r="E100429"/>
      <c r="F100429"/>
    </row>
    <row r="100430" spans="1:6" x14ac:dyDescent="0.25">
      <c r="A100430"/>
      <c r="B100430"/>
      <c r="C100430"/>
      <c r="E100430"/>
      <c r="F100430"/>
    </row>
    <row r="100431" spans="1:6" x14ac:dyDescent="0.25">
      <c r="A100431"/>
      <c r="B100431"/>
      <c r="C100431"/>
      <c r="E100431"/>
      <c r="F100431"/>
    </row>
    <row r="100432" spans="1:6" x14ac:dyDescent="0.25">
      <c r="A100432"/>
      <c r="B100432"/>
      <c r="C100432"/>
      <c r="E100432"/>
      <c r="F100432"/>
    </row>
    <row r="100433" spans="1:6" x14ac:dyDescent="0.25">
      <c r="A100433"/>
      <c r="B100433"/>
      <c r="C100433"/>
      <c r="E100433"/>
      <c r="F100433"/>
    </row>
    <row r="100434" spans="1:6" x14ac:dyDescent="0.25">
      <c r="A100434"/>
      <c r="B100434"/>
      <c r="C100434"/>
      <c r="E100434"/>
      <c r="F100434"/>
    </row>
    <row r="100435" spans="1:6" x14ac:dyDescent="0.25">
      <c r="A100435"/>
      <c r="B100435"/>
      <c r="C100435"/>
      <c r="E100435"/>
      <c r="F100435"/>
    </row>
    <row r="100436" spans="1:6" x14ac:dyDescent="0.25">
      <c r="A100436"/>
      <c r="B100436"/>
      <c r="C100436"/>
      <c r="E100436"/>
      <c r="F100436"/>
    </row>
    <row r="100437" spans="1:6" x14ac:dyDescent="0.25">
      <c r="A100437"/>
      <c r="B100437"/>
      <c r="C100437"/>
      <c r="E100437"/>
      <c r="F100437"/>
    </row>
    <row r="100438" spans="1:6" x14ac:dyDescent="0.25">
      <c r="A100438"/>
      <c r="B100438"/>
      <c r="C100438"/>
      <c r="E100438"/>
      <c r="F100438"/>
    </row>
    <row r="100439" spans="1:6" x14ac:dyDescent="0.25">
      <c r="A100439"/>
      <c r="B100439"/>
      <c r="C100439"/>
      <c r="E100439"/>
      <c r="F100439"/>
    </row>
    <row r="100440" spans="1:6" x14ac:dyDescent="0.25">
      <c r="A100440"/>
      <c r="B100440"/>
      <c r="C100440"/>
      <c r="E100440"/>
      <c r="F100440"/>
    </row>
    <row r="100441" spans="1:6" x14ac:dyDescent="0.25">
      <c r="A100441"/>
      <c r="B100441"/>
      <c r="C100441"/>
      <c r="E100441"/>
      <c r="F100441"/>
    </row>
    <row r="100442" spans="1:6" x14ac:dyDescent="0.25">
      <c r="A100442"/>
      <c r="B100442"/>
      <c r="C100442"/>
      <c r="E100442"/>
      <c r="F100442"/>
    </row>
    <row r="100443" spans="1:6" x14ac:dyDescent="0.25">
      <c r="A100443"/>
      <c r="B100443"/>
      <c r="C100443"/>
      <c r="E100443"/>
      <c r="F100443"/>
    </row>
    <row r="100444" spans="1:6" x14ac:dyDescent="0.25">
      <c r="A100444"/>
      <c r="B100444"/>
      <c r="C100444"/>
      <c r="E100444"/>
      <c r="F100444"/>
    </row>
    <row r="100445" spans="1:6" x14ac:dyDescent="0.25">
      <c r="A100445"/>
      <c r="B100445"/>
      <c r="C100445"/>
      <c r="E100445"/>
      <c r="F100445"/>
    </row>
    <row r="100446" spans="1:6" x14ac:dyDescent="0.25">
      <c r="A100446"/>
      <c r="B100446"/>
      <c r="C100446"/>
      <c r="E100446"/>
      <c r="F100446"/>
    </row>
    <row r="100447" spans="1:6" x14ac:dyDescent="0.25">
      <c r="A100447"/>
      <c r="B100447"/>
      <c r="C100447"/>
      <c r="E100447"/>
      <c r="F100447"/>
    </row>
    <row r="100448" spans="1:6" x14ac:dyDescent="0.25">
      <c r="A100448"/>
      <c r="B100448"/>
      <c r="C100448"/>
      <c r="E100448"/>
      <c r="F100448"/>
    </row>
    <row r="100449" spans="1:6" x14ac:dyDescent="0.25">
      <c r="A100449"/>
      <c r="B100449"/>
      <c r="C100449"/>
      <c r="E100449"/>
      <c r="F100449"/>
    </row>
    <row r="100450" spans="1:6" x14ac:dyDescent="0.25">
      <c r="A100450"/>
      <c r="B100450"/>
      <c r="C100450"/>
      <c r="E100450"/>
      <c r="F100450"/>
    </row>
    <row r="100451" spans="1:6" x14ac:dyDescent="0.25">
      <c r="A100451"/>
      <c r="B100451"/>
      <c r="C100451"/>
      <c r="E100451"/>
      <c r="F100451"/>
    </row>
    <row r="100452" spans="1:6" x14ac:dyDescent="0.25">
      <c r="A100452"/>
      <c r="B100452"/>
      <c r="C100452"/>
      <c r="E100452"/>
      <c r="F100452"/>
    </row>
    <row r="100453" spans="1:6" x14ac:dyDescent="0.25">
      <c r="A100453"/>
      <c r="B100453"/>
      <c r="C100453"/>
      <c r="E100453"/>
      <c r="F100453"/>
    </row>
    <row r="100454" spans="1:6" x14ac:dyDescent="0.25">
      <c r="A100454"/>
      <c r="B100454"/>
      <c r="C100454"/>
      <c r="E100454"/>
      <c r="F100454"/>
    </row>
    <row r="100455" spans="1:6" x14ac:dyDescent="0.25">
      <c r="A100455"/>
      <c r="B100455"/>
      <c r="C100455"/>
      <c r="E100455"/>
      <c r="F100455"/>
    </row>
    <row r="100456" spans="1:6" x14ac:dyDescent="0.25">
      <c r="A100456"/>
      <c r="B100456"/>
      <c r="C100456"/>
      <c r="E100456"/>
      <c r="F100456"/>
    </row>
    <row r="100457" spans="1:6" x14ac:dyDescent="0.25">
      <c r="A100457"/>
      <c r="B100457"/>
      <c r="C100457"/>
      <c r="E100457"/>
      <c r="F100457"/>
    </row>
    <row r="100458" spans="1:6" x14ac:dyDescent="0.25">
      <c r="A100458"/>
      <c r="B100458"/>
      <c r="C100458"/>
      <c r="E100458"/>
      <c r="F100458"/>
    </row>
    <row r="100459" spans="1:6" x14ac:dyDescent="0.25">
      <c r="A100459"/>
      <c r="B100459"/>
      <c r="C100459"/>
      <c r="E100459"/>
      <c r="F100459"/>
    </row>
    <row r="100460" spans="1:6" x14ac:dyDescent="0.25">
      <c r="A100460"/>
      <c r="B100460"/>
      <c r="C100460"/>
      <c r="E100460"/>
      <c r="F100460"/>
    </row>
    <row r="100461" spans="1:6" x14ac:dyDescent="0.25">
      <c r="A100461"/>
      <c r="B100461"/>
      <c r="C100461"/>
      <c r="E100461"/>
      <c r="F100461"/>
    </row>
    <row r="100462" spans="1:6" x14ac:dyDescent="0.25">
      <c r="A100462"/>
      <c r="B100462"/>
      <c r="C100462"/>
      <c r="E100462"/>
      <c r="F100462"/>
    </row>
    <row r="100463" spans="1:6" x14ac:dyDescent="0.25">
      <c r="A100463"/>
      <c r="B100463"/>
      <c r="C100463"/>
      <c r="E100463"/>
      <c r="F100463"/>
    </row>
    <row r="100464" spans="1:6" x14ac:dyDescent="0.25">
      <c r="A100464"/>
      <c r="B100464"/>
      <c r="C100464"/>
      <c r="E100464"/>
      <c r="F100464"/>
    </row>
    <row r="100465" spans="1:6" x14ac:dyDescent="0.25">
      <c r="A100465"/>
      <c r="B100465"/>
      <c r="C100465"/>
      <c r="E100465"/>
      <c r="F100465"/>
    </row>
    <row r="100466" spans="1:6" x14ac:dyDescent="0.25">
      <c r="A100466"/>
      <c r="B100466"/>
      <c r="C100466"/>
      <c r="E100466"/>
      <c r="F100466"/>
    </row>
    <row r="100467" spans="1:6" x14ac:dyDescent="0.25">
      <c r="A100467"/>
      <c r="B100467"/>
      <c r="C100467"/>
      <c r="E100467"/>
      <c r="F100467"/>
    </row>
    <row r="100468" spans="1:6" x14ac:dyDescent="0.25">
      <c r="A100468"/>
      <c r="B100468"/>
      <c r="C100468"/>
      <c r="E100468"/>
      <c r="F100468"/>
    </row>
    <row r="100469" spans="1:6" x14ac:dyDescent="0.25">
      <c r="A100469"/>
      <c r="B100469"/>
      <c r="C100469"/>
      <c r="E100469"/>
      <c r="F100469"/>
    </row>
    <row r="100470" spans="1:6" x14ac:dyDescent="0.25">
      <c r="A100470"/>
      <c r="B100470"/>
      <c r="C100470"/>
      <c r="E100470"/>
      <c r="F100470"/>
    </row>
    <row r="100471" spans="1:6" x14ac:dyDescent="0.25">
      <c r="A100471"/>
      <c r="B100471"/>
      <c r="C100471"/>
      <c r="E100471"/>
      <c r="F100471"/>
    </row>
    <row r="100472" spans="1:6" x14ac:dyDescent="0.25">
      <c r="A100472"/>
      <c r="B100472"/>
      <c r="C100472"/>
      <c r="E100472"/>
      <c r="F100472"/>
    </row>
    <row r="100473" spans="1:6" x14ac:dyDescent="0.25">
      <c r="A100473"/>
      <c r="B100473"/>
      <c r="C100473"/>
      <c r="E100473"/>
      <c r="F100473"/>
    </row>
    <row r="100474" spans="1:6" x14ac:dyDescent="0.25">
      <c r="A100474"/>
      <c r="B100474"/>
      <c r="C100474"/>
      <c r="E100474"/>
      <c r="F100474"/>
    </row>
    <row r="100475" spans="1:6" x14ac:dyDescent="0.25">
      <c r="A100475"/>
      <c r="B100475"/>
      <c r="C100475"/>
      <c r="E100475"/>
      <c r="F100475"/>
    </row>
    <row r="100476" spans="1:6" x14ac:dyDescent="0.25">
      <c r="A100476"/>
      <c r="B100476"/>
      <c r="C100476"/>
      <c r="E100476"/>
      <c r="F100476"/>
    </row>
    <row r="100477" spans="1:6" x14ac:dyDescent="0.25">
      <c r="A100477"/>
      <c r="B100477"/>
      <c r="C100477"/>
      <c r="E100477"/>
      <c r="F100477"/>
    </row>
    <row r="100478" spans="1:6" x14ac:dyDescent="0.25">
      <c r="A100478"/>
      <c r="B100478"/>
      <c r="C100478"/>
      <c r="E100478"/>
      <c r="F100478"/>
    </row>
    <row r="100479" spans="1:6" x14ac:dyDescent="0.25">
      <c r="A100479"/>
      <c r="B100479"/>
      <c r="C100479"/>
      <c r="E100479"/>
      <c r="F100479"/>
    </row>
    <row r="100480" spans="1:6" x14ac:dyDescent="0.25">
      <c r="A100480"/>
      <c r="B100480"/>
      <c r="C100480"/>
      <c r="E100480"/>
      <c r="F100480"/>
    </row>
    <row r="100481" spans="1:6" x14ac:dyDescent="0.25">
      <c r="A100481"/>
      <c r="B100481"/>
      <c r="C100481"/>
      <c r="E100481"/>
      <c r="F100481"/>
    </row>
    <row r="100482" spans="1:6" x14ac:dyDescent="0.25">
      <c r="A100482"/>
      <c r="B100482"/>
      <c r="C100482"/>
      <c r="E100482"/>
      <c r="F100482"/>
    </row>
    <row r="100483" spans="1:6" x14ac:dyDescent="0.25">
      <c r="A100483"/>
      <c r="B100483"/>
      <c r="C100483"/>
      <c r="E100483"/>
      <c r="F100483"/>
    </row>
    <row r="100484" spans="1:6" x14ac:dyDescent="0.25">
      <c r="A100484"/>
      <c r="B100484"/>
      <c r="C100484"/>
      <c r="E100484"/>
      <c r="F100484"/>
    </row>
    <row r="100485" spans="1:6" x14ac:dyDescent="0.25">
      <c r="A100485"/>
      <c r="B100485"/>
      <c r="C100485"/>
      <c r="E100485"/>
      <c r="F100485"/>
    </row>
    <row r="100486" spans="1:6" x14ac:dyDescent="0.25">
      <c r="A100486"/>
      <c r="B100486"/>
      <c r="C100486"/>
      <c r="E100486"/>
      <c r="F100486"/>
    </row>
    <row r="100487" spans="1:6" x14ac:dyDescent="0.25">
      <c r="A100487"/>
      <c r="B100487"/>
      <c r="C100487"/>
      <c r="E100487"/>
      <c r="F100487"/>
    </row>
    <row r="100488" spans="1:6" x14ac:dyDescent="0.25">
      <c r="A100488"/>
      <c r="B100488"/>
      <c r="C100488"/>
      <c r="E100488"/>
      <c r="F100488"/>
    </row>
    <row r="100489" spans="1:6" x14ac:dyDescent="0.25">
      <c r="A100489"/>
      <c r="B100489"/>
      <c r="C100489"/>
      <c r="E100489"/>
      <c r="F100489"/>
    </row>
    <row r="100490" spans="1:6" x14ac:dyDescent="0.25">
      <c r="A100490"/>
      <c r="B100490"/>
      <c r="C100490"/>
      <c r="E100490"/>
      <c r="F100490"/>
    </row>
    <row r="100491" spans="1:6" x14ac:dyDescent="0.25">
      <c r="A100491"/>
      <c r="B100491"/>
      <c r="C100491"/>
      <c r="E100491"/>
      <c r="F100491"/>
    </row>
    <row r="100492" spans="1:6" x14ac:dyDescent="0.25">
      <c r="A100492"/>
      <c r="B100492"/>
      <c r="C100492"/>
      <c r="E100492"/>
      <c r="F100492"/>
    </row>
    <row r="100493" spans="1:6" x14ac:dyDescent="0.25">
      <c r="A100493"/>
      <c r="B100493"/>
      <c r="C100493"/>
      <c r="E100493"/>
      <c r="F100493"/>
    </row>
    <row r="100494" spans="1:6" x14ac:dyDescent="0.25">
      <c r="A100494"/>
      <c r="B100494"/>
      <c r="C100494"/>
      <c r="E100494"/>
      <c r="F100494"/>
    </row>
    <row r="100495" spans="1:6" x14ac:dyDescent="0.25">
      <c r="A100495"/>
      <c r="B100495"/>
      <c r="C100495"/>
      <c r="E100495"/>
      <c r="F100495"/>
    </row>
    <row r="100496" spans="1:6" x14ac:dyDescent="0.25">
      <c r="A100496"/>
      <c r="B100496"/>
      <c r="C100496"/>
      <c r="E100496"/>
      <c r="F100496"/>
    </row>
    <row r="100497" spans="1:6" x14ac:dyDescent="0.25">
      <c r="A100497"/>
      <c r="B100497"/>
      <c r="C100497"/>
      <c r="E100497"/>
      <c r="F100497"/>
    </row>
    <row r="100498" spans="1:6" x14ac:dyDescent="0.25">
      <c r="A100498"/>
      <c r="B100498"/>
      <c r="C100498"/>
      <c r="E100498"/>
      <c r="F100498"/>
    </row>
    <row r="100499" spans="1:6" x14ac:dyDescent="0.25">
      <c r="A100499"/>
      <c r="B100499"/>
      <c r="C100499"/>
      <c r="E100499"/>
      <c r="F100499"/>
    </row>
    <row r="100500" spans="1:6" x14ac:dyDescent="0.25">
      <c r="A100500"/>
      <c r="B100500"/>
      <c r="C100500"/>
      <c r="E100500"/>
      <c r="F100500"/>
    </row>
    <row r="100501" spans="1:6" x14ac:dyDescent="0.25">
      <c r="A100501"/>
      <c r="B100501"/>
      <c r="C100501"/>
      <c r="E100501"/>
      <c r="F100501"/>
    </row>
    <row r="100502" spans="1:6" x14ac:dyDescent="0.25">
      <c r="A100502"/>
      <c r="B100502"/>
      <c r="C100502"/>
      <c r="E100502"/>
      <c r="F100502"/>
    </row>
    <row r="100503" spans="1:6" x14ac:dyDescent="0.25">
      <c r="A100503"/>
      <c r="B100503"/>
      <c r="C100503"/>
      <c r="E100503"/>
      <c r="F100503"/>
    </row>
    <row r="100504" spans="1:6" x14ac:dyDescent="0.25">
      <c r="A100504"/>
      <c r="B100504"/>
      <c r="C100504"/>
      <c r="E100504"/>
      <c r="F100504"/>
    </row>
    <row r="100505" spans="1:6" x14ac:dyDescent="0.25">
      <c r="A100505"/>
      <c r="B100505"/>
      <c r="C100505"/>
      <c r="E100505"/>
      <c r="F100505"/>
    </row>
    <row r="100506" spans="1:6" x14ac:dyDescent="0.25">
      <c r="A100506"/>
      <c r="B100506"/>
      <c r="C100506"/>
      <c r="E100506"/>
      <c r="F100506"/>
    </row>
    <row r="100507" spans="1:6" x14ac:dyDescent="0.25">
      <c r="A100507"/>
      <c r="B100507"/>
      <c r="C100507"/>
      <c r="E100507"/>
      <c r="F100507"/>
    </row>
    <row r="100508" spans="1:6" x14ac:dyDescent="0.25">
      <c r="A100508"/>
      <c r="B100508"/>
      <c r="C100508"/>
      <c r="E100508"/>
      <c r="F100508"/>
    </row>
    <row r="100509" spans="1:6" x14ac:dyDescent="0.25">
      <c r="A100509"/>
      <c r="B100509"/>
      <c r="C100509"/>
      <c r="E100509"/>
      <c r="F100509"/>
    </row>
    <row r="100510" spans="1:6" x14ac:dyDescent="0.25">
      <c r="A100510"/>
      <c r="B100510"/>
      <c r="C100510"/>
      <c r="E100510"/>
      <c r="F100510"/>
    </row>
    <row r="100511" spans="1:6" x14ac:dyDescent="0.25">
      <c r="A100511"/>
      <c r="B100511"/>
      <c r="C100511"/>
      <c r="E100511"/>
      <c r="F100511"/>
    </row>
    <row r="100512" spans="1:6" x14ac:dyDescent="0.25">
      <c r="A100512"/>
      <c r="B100512"/>
      <c r="C100512"/>
      <c r="E100512"/>
      <c r="F100512"/>
    </row>
    <row r="100513" spans="1:6" x14ac:dyDescent="0.25">
      <c r="A100513"/>
      <c r="B100513"/>
      <c r="C100513"/>
      <c r="E100513"/>
      <c r="F100513"/>
    </row>
    <row r="100514" spans="1:6" x14ac:dyDescent="0.25">
      <c r="A100514"/>
      <c r="B100514"/>
      <c r="C100514"/>
      <c r="E100514"/>
      <c r="F100514"/>
    </row>
    <row r="100515" spans="1:6" x14ac:dyDescent="0.25">
      <c r="A100515"/>
      <c r="B100515"/>
      <c r="C100515"/>
      <c r="E100515"/>
      <c r="F100515"/>
    </row>
    <row r="100516" spans="1:6" x14ac:dyDescent="0.25">
      <c r="A100516"/>
      <c r="B100516"/>
      <c r="C100516"/>
      <c r="E100516"/>
      <c r="F100516"/>
    </row>
    <row r="100517" spans="1:6" x14ac:dyDescent="0.25">
      <c r="A100517"/>
      <c r="B100517"/>
      <c r="C100517"/>
      <c r="E100517"/>
      <c r="F100517"/>
    </row>
    <row r="100518" spans="1:6" x14ac:dyDescent="0.25">
      <c r="A100518"/>
      <c r="B100518"/>
      <c r="C100518"/>
      <c r="E100518"/>
      <c r="F100518"/>
    </row>
    <row r="100519" spans="1:6" x14ac:dyDescent="0.25">
      <c r="A100519"/>
      <c r="B100519"/>
      <c r="C100519"/>
      <c r="E100519"/>
      <c r="F100519"/>
    </row>
    <row r="100520" spans="1:6" x14ac:dyDescent="0.25">
      <c r="A100520"/>
      <c r="B100520"/>
      <c r="C100520"/>
      <c r="E100520"/>
      <c r="F100520"/>
    </row>
    <row r="100521" spans="1:6" x14ac:dyDescent="0.25">
      <c r="A100521"/>
      <c r="B100521"/>
      <c r="C100521"/>
      <c r="E100521"/>
      <c r="F100521"/>
    </row>
    <row r="100522" spans="1:6" x14ac:dyDescent="0.25">
      <c r="A100522"/>
      <c r="B100522"/>
      <c r="C100522"/>
      <c r="E100522"/>
      <c r="F100522"/>
    </row>
    <row r="100523" spans="1:6" x14ac:dyDescent="0.25">
      <c r="A100523"/>
      <c r="B100523"/>
      <c r="C100523"/>
      <c r="E100523"/>
      <c r="F100523"/>
    </row>
    <row r="100524" spans="1:6" x14ac:dyDescent="0.25">
      <c r="A100524"/>
      <c r="B100524"/>
      <c r="C100524"/>
      <c r="E100524"/>
      <c r="F100524"/>
    </row>
    <row r="100525" spans="1:6" x14ac:dyDescent="0.25">
      <c r="A100525"/>
      <c r="B100525"/>
      <c r="C100525"/>
      <c r="E100525"/>
      <c r="F100525"/>
    </row>
    <row r="100526" spans="1:6" x14ac:dyDescent="0.25">
      <c r="A100526"/>
      <c r="B100526"/>
      <c r="C100526"/>
      <c r="E100526"/>
      <c r="F100526"/>
    </row>
    <row r="100527" spans="1:6" x14ac:dyDescent="0.25">
      <c r="A100527"/>
      <c r="B100527"/>
      <c r="C100527"/>
      <c r="E100527"/>
      <c r="F100527"/>
    </row>
    <row r="100528" spans="1:6" x14ac:dyDescent="0.25">
      <c r="A100528"/>
      <c r="B100528"/>
      <c r="C100528"/>
      <c r="E100528"/>
      <c r="F100528"/>
    </row>
    <row r="100529" spans="1:6" x14ac:dyDescent="0.25">
      <c r="A100529"/>
      <c r="B100529"/>
      <c r="C100529"/>
      <c r="E100529"/>
      <c r="F100529"/>
    </row>
    <row r="100530" spans="1:6" x14ac:dyDescent="0.25">
      <c r="A100530"/>
      <c r="B100530"/>
      <c r="C100530"/>
      <c r="E100530"/>
      <c r="F100530"/>
    </row>
    <row r="100531" spans="1:6" x14ac:dyDescent="0.25">
      <c r="A100531"/>
      <c r="B100531"/>
      <c r="C100531"/>
      <c r="E100531"/>
      <c r="F100531"/>
    </row>
    <row r="100532" spans="1:6" x14ac:dyDescent="0.25">
      <c r="A100532"/>
      <c r="B100532"/>
      <c r="C100532"/>
      <c r="E100532"/>
      <c r="F100532"/>
    </row>
    <row r="100533" spans="1:6" x14ac:dyDescent="0.25">
      <c r="A100533"/>
      <c r="B100533"/>
      <c r="C100533"/>
      <c r="E100533"/>
      <c r="F100533"/>
    </row>
    <row r="100534" spans="1:6" x14ac:dyDescent="0.25">
      <c r="A100534"/>
      <c r="B100534"/>
      <c r="C100534"/>
      <c r="E100534"/>
      <c r="F100534"/>
    </row>
    <row r="100535" spans="1:6" x14ac:dyDescent="0.25">
      <c r="A100535"/>
      <c r="B100535"/>
      <c r="C100535"/>
      <c r="E100535"/>
      <c r="F100535"/>
    </row>
    <row r="100536" spans="1:6" x14ac:dyDescent="0.25">
      <c r="A100536"/>
      <c r="B100536"/>
      <c r="C100536"/>
      <c r="E100536"/>
      <c r="F100536"/>
    </row>
    <row r="100537" spans="1:6" x14ac:dyDescent="0.25">
      <c r="A100537"/>
      <c r="B100537"/>
      <c r="C100537"/>
      <c r="E100537"/>
      <c r="F100537"/>
    </row>
    <row r="100538" spans="1:6" x14ac:dyDescent="0.25">
      <c r="A100538"/>
      <c r="B100538"/>
      <c r="C100538"/>
      <c r="E100538"/>
      <c r="F100538"/>
    </row>
    <row r="100539" spans="1:6" x14ac:dyDescent="0.25">
      <c r="A100539"/>
      <c r="B100539"/>
      <c r="C100539"/>
      <c r="E100539"/>
      <c r="F100539"/>
    </row>
    <row r="100540" spans="1:6" x14ac:dyDescent="0.25">
      <c r="A100540"/>
      <c r="B100540"/>
      <c r="C100540"/>
      <c r="E100540"/>
      <c r="F100540"/>
    </row>
    <row r="100541" spans="1:6" x14ac:dyDescent="0.25">
      <c r="A100541"/>
      <c r="B100541"/>
      <c r="C100541"/>
      <c r="E100541"/>
      <c r="F100541"/>
    </row>
    <row r="100542" spans="1:6" x14ac:dyDescent="0.25">
      <c r="A100542"/>
      <c r="B100542"/>
      <c r="C100542"/>
      <c r="E100542"/>
      <c r="F100542"/>
    </row>
    <row r="100543" spans="1:6" x14ac:dyDescent="0.25">
      <c r="A100543"/>
      <c r="B100543"/>
      <c r="C100543"/>
      <c r="E100543"/>
      <c r="F100543"/>
    </row>
    <row r="100544" spans="1:6" x14ac:dyDescent="0.25">
      <c r="A100544"/>
      <c r="B100544"/>
      <c r="C100544"/>
      <c r="E100544"/>
      <c r="F100544"/>
    </row>
    <row r="100545" spans="1:6" x14ac:dyDescent="0.25">
      <c r="A100545"/>
      <c r="B100545"/>
      <c r="C100545"/>
      <c r="E100545"/>
      <c r="F100545"/>
    </row>
    <row r="100546" spans="1:6" x14ac:dyDescent="0.25">
      <c r="A100546"/>
      <c r="B100546"/>
      <c r="C100546"/>
      <c r="E100546"/>
      <c r="F100546"/>
    </row>
    <row r="100547" spans="1:6" x14ac:dyDescent="0.25">
      <c r="A100547"/>
      <c r="B100547"/>
      <c r="C100547"/>
      <c r="E100547"/>
      <c r="F100547"/>
    </row>
    <row r="100548" spans="1:6" x14ac:dyDescent="0.25">
      <c r="A100548"/>
      <c r="B100548"/>
      <c r="C100548"/>
      <c r="E100548"/>
      <c r="F100548"/>
    </row>
    <row r="100549" spans="1:6" x14ac:dyDescent="0.25">
      <c r="A100549"/>
      <c r="B100549"/>
      <c r="C100549"/>
      <c r="E100549"/>
      <c r="F100549"/>
    </row>
    <row r="100550" spans="1:6" x14ac:dyDescent="0.25">
      <c r="A100550"/>
      <c r="B100550"/>
      <c r="C100550"/>
      <c r="E100550"/>
      <c r="F100550"/>
    </row>
    <row r="100551" spans="1:6" x14ac:dyDescent="0.25">
      <c r="A100551"/>
      <c r="B100551"/>
      <c r="C100551"/>
      <c r="E100551"/>
      <c r="F100551"/>
    </row>
    <row r="100552" spans="1:6" x14ac:dyDescent="0.25">
      <c r="A100552"/>
      <c r="B100552"/>
      <c r="C100552"/>
      <c r="E100552"/>
      <c r="F100552"/>
    </row>
    <row r="100553" spans="1:6" x14ac:dyDescent="0.25">
      <c r="A100553"/>
      <c r="B100553"/>
      <c r="C100553"/>
      <c r="E100553"/>
      <c r="F100553"/>
    </row>
    <row r="100554" spans="1:6" x14ac:dyDescent="0.25">
      <c r="A100554"/>
      <c r="B100554"/>
      <c r="C100554"/>
      <c r="E100554"/>
      <c r="F100554"/>
    </row>
    <row r="100555" spans="1:6" x14ac:dyDescent="0.25">
      <c r="A100555"/>
      <c r="B100555"/>
      <c r="C100555"/>
      <c r="E100555"/>
      <c r="F100555"/>
    </row>
    <row r="100556" spans="1:6" x14ac:dyDescent="0.25">
      <c r="A100556"/>
      <c r="B100556"/>
      <c r="C100556"/>
      <c r="E100556"/>
      <c r="F100556"/>
    </row>
    <row r="100557" spans="1:6" x14ac:dyDescent="0.25">
      <c r="A100557"/>
      <c r="B100557"/>
      <c r="C100557"/>
      <c r="E100557"/>
      <c r="F100557"/>
    </row>
    <row r="100558" spans="1:6" x14ac:dyDescent="0.25">
      <c r="A100558"/>
      <c r="B100558"/>
      <c r="C100558"/>
      <c r="E100558"/>
      <c r="F100558"/>
    </row>
    <row r="100559" spans="1:6" x14ac:dyDescent="0.25">
      <c r="A100559"/>
      <c r="B100559"/>
      <c r="C100559"/>
      <c r="E100559"/>
      <c r="F100559"/>
    </row>
    <row r="100560" spans="1:6" x14ac:dyDescent="0.25">
      <c r="A100560"/>
      <c r="B100560"/>
      <c r="C100560"/>
      <c r="E100560"/>
      <c r="F100560"/>
    </row>
    <row r="100561" spans="1:6" x14ac:dyDescent="0.25">
      <c r="A100561"/>
      <c r="B100561"/>
      <c r="C100561"/>
      <c r="E100561"/>
      <c r="F100561"/>
    </row>
    <row r="100562" spans="1:6" x14ac:dyDescent="0.25">
      <c r="A100562"/>
      <c r="B100562"/>
      <c r="C100562"/>
      <c r="E100562"/>
      <c r="F100562"/>
    </row>
    <row r="100563" spans="1:6" x14ac:dyDescent="0.25">
      <c r="A100563"/>
      <c r="B100563"/>
      <c r="C100563"/>
      <c r="E100563"/>
      <c r="F100563"/>
    </row>
    <row r="100564" spans="1:6" x14ac:dyDescent="0.25">
      <c r="A100564"/>
      <c r="B100564"/>
      <c r="C100564"/>
      <c r="E100564"/>
      <c r="F100564"/>
    </row>
    <row r="100565" spans="1:6" x14ac:dyDescent="0.25">
      <c r="A100565"/>
      <c r="B100565"/>
      <c r="C100565"/>
      <c r="E100565"/>
      <c r="F100565"/>
    </row>
    <row r="100566" spans="1:6" x14ac:dyDescent="0.25">
      <c r="A100566"/>
      <c r="B100566"/>
      <c r="C100566"/>
      <c r="E100566"/>
      <c r="F100566"/>
    </row>
    <row r="100567" spans="1:6" x14ac:dyDescent="0.25">
      <c r="A100567"/>
      <c r="B100567"/>
      <c r="C100567"/>
      <c r="E100567"/>
      <c r="F100567"/>
    </row>
    <row r="100568" spans="1:6" x14ac:dyDescent="0.25">
      <c r="A100568"/>
      <c r="B100568"/>
      <c r="C100568"/>
      <c r="E100568"/>
      <c r="F100568"/>
    </row>
    <row r="100569" spans="1:6" x14ac:dyDescent="0.25">
      <c r="A100569"/>
      <c r="B100569"/>
      <c r="C100569"/>
      <c r="E100569"/>
      <c r="F100569"/>
    </row>
    <row r="100570" spans="1:6" x14ac:dyDescent="0.25">
      <c r="A100570"/>
      <c r="B100570"/>
      <c r="C100570"/>
      <c r="E100570"/>
      <c r="F100570"/>
    </row>
    <row r="100571" spans="1:6" x14ac:dyDescent="0.25">
      <c r="A100571"/>
      <c r="B100571"/>
      <c r="C100571"/>
      <c r="E100571"/>
      <c r="F100571"/>
    </row>
    <row r="100572" spans="1:6" x14ac:dyDescent="0.25">
      <c r="A100572"/>
      <c r="B100572"/>
      <c r="C100572"/>
      <c r="E100572"/>
      <c r="F100572"/>
    </row>
    <row r="100573" spans="1:6" x14ac:dyDescent="0.25">
      <c r="A100573"/>
      <c r="B100573"/>
      <c r="C100573"/>
      <c r="E100573"/>
      <c r="F100573"/>
    </row>
    <row r="100574" spans="1:6" x14ac:dyDescent="0.25">
      <c r="A100574"/>
      <c r="B100574"/>
      <c r="C100574"/>
      <c r="E100574"/>
      <c r="F100574"/>
    </row>
    <row r="100575" spans="1:6" x14ac:dyDescent="0.25">
      <c r="A100575"/>
      <c r="B100575"/>
      <c r="C100575"/>
      <c r="E100575"/>
      <c r="F100575"/>
    </row>
    <row r="100576" spans="1:6" x14ac:dyDescent="0.25">
      <c r="A100576"/>
      <c r="B100576"/>
      <c r="C100576"/>
      <c r="E100576"/>
      <c r="F100576"/>
    </row>
    <row r="100577" spans="1:6" x14ac:dyDescent="0.25">
      <c r="A100577"/>
      <c r="B100577"/>
      <c r="C100577"/>
      <c r="E100577"/>
      <c r="F100577"/>
    </row>
    <row r="100578" spans="1:6" x14ac:dyDescent="0.25">
      <c r="A100578"/>
      <c r="B100578"/>
      <c r="C100578"/>
      <c r="E100578"/>
      <c r="F100578"/>
    </row>
    <row r="100579" spans="1:6" x14ac:dyDescent="0.25">
      <c r="A100579"/>
      <c r="B100579"/>
      <c r="C100579"/>
      <c r="E100579"/>
      <c r="F100579"/>
    </row>
    <row r="100580" spans="1:6" x14ac:dyDescent="0.25">
      <c r="A100580"/>
      <c r="B100580"/>
      <c r="C100580"/>
      <c r="E100580"/>
      <c r="F100580"/>
    </row>
    <row r="100581" spans="1:6" x14ac:dyDescent="0.25">
      <c r="A100581"/>
      <c r="B100581"/>
      <c r="C100581"/>
      <c r="E100581"/>
      <c r="F100581"/>
    </row>
    <row r="100582" spans="1:6" x14ac:dyDescent="0.25">
      <c r="A100582"/>
      <c r="B100582"/>
      <c r="C100582"/>
      <c r="E100582"/>
      <c r="F100582"/>
    </row>
    <row r="100583" spans="1:6" x14ac:dyDescent="0.25">
      <c r="A100583"/>
      <c r="B100583"/>
      <c r="C100583"/>
      <c r="E100583"/>
      <c r="F100583"/>
    </row>
    <row r="100584" spans="1:6" x14ac:dyDescent="0.25">
      <c r="A100584"/>
      <c r="B100584"/>
      <c r="C100584"/>
      <c r="E100584"/>
      <c r="F100584"/>
    </row>
    <row r="100585" spans="1:6" x14ac:dyDescent="0.25">
      <c r="A100585"/>
      <c r="B100585"/>
      <c r="C100585"/>
      <c r="E100585"/>
      <c r="F100585"/>
    </row>
    <row r="100586" spans="1:6" x14ac:dyDescent="0.25">
      <c r="A100586"/>
      <c r="B100586"/>
      <c r="C100586"/>
      <c r="E100586"/>
      <c r="F100586"/>
    </row>
    <row r="100587" spans="1:6" x14ac:dyDescent="0.25">
      <c r="A100587"/>
      <c r="B100587"/>
      <c r="C100587"/>
      <c r="E100587"/>
      <c r="F100587"/>
    </row>
    <row r="100588" spans="1:6" x14ac:dyDescent="0.25">
      <c r="A100588"/>
      <c r="B100588"/>
      <c r="C100588"/>
      <c r="E100588"/>
      <c r="F100588"/>
    </row>
    <row r="100589" spans="1:6" x14ac:dyDescent="0.25">
      <c r="A100589"/>
      <c r="B100589"/>
      <c r="C100589"/>
      <c r="E100589"/>
      <c r="F100589"/>
    </row>
    <row r="100590" spans="1:6" x14ac:dyDescent="0.25">
      <c r="A100590"/>
      <c r="B100590"/>
      <c r="C100590"/>
      <c r="E100590"/>
      <c r="F100590"/>
    </row>
    <row r="100591" spans="1:6" x14ac:dyDescent="0.25">
      <c r="A100591"/>
      <c r="B100591"/>
      <c r="C100591"/>
      <c r="E100591"/>
      <c r="F100591"/>
    </row>
    <row r="100592" spans="1:6" x14ac:dyDescent="0.25">
      <c r="A100592"/>
      <c r="B100592"/>
      <c r="C100592"/>
      <c r="E100592"/>
      <c r="F100592"/>
    </row>
    <row r="100593" spans="1:6" x14ac:dyDescent="0.25">
      <c r="A100593"/>
      <c r="B100593"/>
      <c r="C100593"/>
      <c r="E100593"/>
      <c r="F100593"/>
    </row>
    <row r="100594" spans="1:6" x14ac:dyDescent="0.25">
      <c r="A100594"/>
      <c r="B100594"/>
      <c r="C100594"/>
      <c r="E100594"/>
      <c r="F100594"/>
    </row>
    <row r="100595" spans="1:6" x14ac:dyDescent="0.25">
      <c r="A100595"/>
      <c r="B100595"/>
      <c r="C100595"/>
      <c r="E100595"/>
      <c r="F100595"/>
    </row>
    <row r="100596" spans="1:6" x14ac:dyDescent="0.25">
      <c r="A100596"/>
      <c r="B100596"/>
      <c r="C100596"/>
      <c r="E100596"/>
      <c r="F100596"/>
    </row>
    <row r="100597" spans="1:6" x14ac:dyDescent="0.25">
      <c r="A100597"/>
      <c r="B100597"/>
      <c r="C100597"/>
      <c r="E100597"/>
      <c r="F100597"/>
    </row>
    <row r="100598" spans="1:6" x14ac:dyDescent="0.25">
      <c r="A100598"/>
      <c r="B100598"/>
      <c r="C100598"/>
      <c r="E100598"/>
      <c r="F100598"/>
    </row>
    <row r="100599" spans="1:6" x14ac:dyDescent="0.25">
      <c r="A100599"/>
      <c r="B100599"/>
      <c r="C100599"/>
      <c r="E100599"/>
      <c r="F100599"/>
    </row>
    <row r="100600" spans="1:6" x14ac:dyDescent="0.25">
      <c r="A100600"/>
      <c r="B100600"/>
      <c r="C100600"/>
      <c r="E100600"/>
      <c r="F100600"/>
    </row>
    <row r="100601" spans="1:6" x14ac:dyDescent="0.25">
      <c r="A100601"/>
      <c r="B100601"/>
      <c r="C100601"/>
      <c r="E100601"/>
      <c r="F100601"/>
    </row>
    <row r="100602" spans="1:6" x14ac:dyDescent="0.25">
      <c r="A100602"/>
      <c r="B100602"/>
      <c r="C100602"/>
      <c r="E100602"/>
      <c r="F100602"/>
    </row>
    <row r="100603" spans="1:6" x14ac:dyDescent="0.25">
      <c r="A100603"/>
      <c r="B100603"/>
      <c r="C100603"/>
      <c r="E100603"/>
      <c r="F100603"/>
    </row>
    <row r="100604" spans="1:6" x14ac:dyDescent="0.25">
      <c r="A100604"/>
      <c r="B100604"/>
      <c r="C100604"/>
      <c r="E100604"/>
      <c r="F100604"/>
    </row>
    <row r="100605" spans="1:6" x14ac:dyDescent="0.25">
      <c r="A100605"/>
      <c r="B100605"/>
      <c r="C100605"/>
      <c r="E100605"/>
      <c r="F100605"/>
    </row>
    <row r="100606" spans="1:6" x14ac:dyDescent="0.25">
      <c r="A100606"/>
      <c r="B100606"/>
      <c r="C100606"/>
      <c r="E100606"/>
      <c r="F100606"/>
    </row>
    <row r="100607" spans="1:6" x14ac:dyDescent="0.25">
      <c r="A100607"/>
      <c r="B100607"/>
      <c r="C100607"/>
      <c r="E100607"/>
      <c r="F100607"/>
    </row>
    <row r="100608" spans="1:6" x14ac:dyDescent="0.25">
      <c r="A100608"/>
      <c r="B100608"/>
      <c r="C100608"/>
      <c r="E100608"/>
      <c r="F100608"/>
    </row>
    <row r="100609" spans="1:6" x14ac:dyDescent="0.25">
      <c r="A100609"/>
      <c r="B100609"/>
      <c r="C100609"/>
      <c r="E100609"/>
      <c r="F100609"/>
    </row>
    <row r="100610" spans="1:6" x14ac:dyDescent="0.25">
      <c r="A100610"/>
      <c r="B100610"/>
      <c r="C100610"/>
      <c r="E100610"/>
      <c r="F100610"/>
    </row>
    <row r="100611" spans="1:6" x14ac:dyDescent="0.25">
      <c r="A100611"/>
      <c r="B100611"/>
      <c r="C100611"/>
      <c r="E100611"/>
      <c r="F100611"/>
    </row>
    <row r="100612" spans="1:6" x14ac:dyDescent="0.25">
      <c r="A100612"/>
      <c r="B100612"/>
      <c r="C100612"/>
      <c r="E100612"/>
      <c r="F100612"/>
    </row>
    <row r="100613" spans="1:6" x14ac:dyDescent="0.25">
      <c r="A100613"/>
      <c r="B100613"/>
      <c r="C100613"/>
      <c r="E100613"/>
      <c r="F100613"/>
    </row>
    <row r="100614" spans="1:6" x14ac:dyDescent="0.25">
      <c r="A100614"/>
      <c r="B100614"/>
      <c r="C100614"/>
      <c r="E100614"/>
      <c r="F100614"/>
    </row>
    <row r="100615" spans="1:6" x14ac:dyDescent="0.25">
      <c r="A100615"/>
      <c r="B100615"/>
      <c r="C100615"/>
      <c r="E100615"/>
      <c r="F100615"/>
    </row>
    <row r="100616" spans="1:6" x14ac:dyDescent="0.25">
      <c r="A100616"/>
      <c r="B100616"/>
      <c r="C100616"/>
      <c r="E100616"/>
      <c r="F100616"/>
    </row>
    <row r="100617" spans="1:6" x14ac:dyDescent="0.25">
      <c r="A100617"/>
      <c r="B100617"/>
      <c r="C100617"/>
      <c r="E100617"/>
      <c r="F100617"/>
    </row>
    <row r="100618" spans="1:6" x14ac:dyDescent="0.25">
      <c r="A100618"/>
      <c r="B100618"/>
      <c r="C100618"/>
      <c r="E100618"/>
      <c r="F100618"/>
    </row>
    <row r="100619" spans="1:6" x14ac:dyDescent="0.25">
      <c r="A100619"/>
      <c r="B100619"/>
      <c r="C100619"/>
      <c r="E100619"/>
      <c r="F100619"/>
    </row>
    <row r="100620" spans="1:6" x14ac:dyDescent="0.25">
      <c r="A100620"/>
      <c r="B100620"/>
      <c r="C100620"/>
      <c r="E100620"/>
      <c r="F100620"/>
    </row>
    <row r="100621" spans="1:6" x14ac:dyDescent="0.25">
      <c r="A100621"/>
      <c r="B100621"/>
      <c r="C100621"/>
      <c r="E100621"/>
      <c r="F100621"/>
    </row>
    <row r="100622" spans="1:6" x14ac:dyDescent="0.25">
      <c r="A100622"/>
      <c r="B100622"/>
      <c r="C100622"/>
      <c r="E100622"/>
      <c r="F100622"/>
    </row>
    <row r="100623" spans="1:6" x14ac:dyDescent="0.25">
      <c r="A100623"/>
      <c r="B100623"/>
      <c r="C100623"/>
      <c r="E100623"/>
      <c r="F100623"/>
    </row>
    <row r="100624" spans="1:6" x14ac:dyDescent="0.25">
      <c r="A100624"/>
      <c r="B100624"/>
      <c r="C100624"/>
      <c r="E100624"/>
      <c r="F100624"/>
    </row>
    <row r="100625" spans="1:6" x14ac:dyDescent="0.25">
      <c r="A100625"/>
      <c r="B100625"/>
      <c r="C100625"/>
      <c r="E100625"/>
      <c r="F100625"/>
    </row>
    <row r="100626" spans="1:6" x14ac:dyDescent="0.25">
      <c r="A100626"/>
      <c r="B100626"/>
      <c r="C100626"/>
      <c r="E100626"/>
      <c r="F100626"/>
    </row>
    <row r="100627" spans="1:6" x14ac:dyDescent="0.25">
      <c r="A100627"/>
      <c r="B100627"/>
      <c r="C100627"/>
      <c r="E100627"/>
      <c r="F100627"/>
    </row>
    <row r="100628" spans="1:6" x14ac:dyDescent="0.25">
      <c r="A100628"/>
      <c r="B100628"/>
      <c r="C100628"/>
      <c r="E100628"/>
      <c r="F100628"/>
    </row>
    <row r="100629" spans="1:6" x14ac:dyDescent="0.25">
      <c r="A100629"/>
      <c r="B100629"/>
      <c r="C100629"/>
      <c r="E100629"/>
      <c r="F100629"/>
    </row>
    <row r="100630" spans="1:6" x14ac:dyDescent="0.25">
      <c r="A100630"/>
      <c r="B100630"/>
      <c r="C100630"/>
      <c r="E100630"/>
      <c r="F100630"/>
    </row>
    <row r="100631" spans="1:6" x14ac:dyDescent="0.25">
      <c r="A100631"/>
      <c r="B100631"/>
      <c r="C100631"/>
      <c r="E100631"/>
      <c r="F100631"/>
    </row>
    <row r="100632" spans="1:6" x14ac:dyDescent="0.25">
      <c r="A100632"/>
      <c r="B100632"/>
      <c r="C100632"/>
      <c r="E100632"/>
      <c r="F100632"/>
    </row>
    <row r="100633" spans="1:6" x14ac:dyDescent="0.25">
      <c r="A100633"/>
      <c r="B100633"/>
      <c r="C100633"/>
      <c r="E100633"/>
      <c r="F100633"/>
    </row>
    <row r="100634" spans="1:6" x14ac:dyDescent="0.25">
      <c r="A100634"/>
      <c r="B100634"/>
      <c r="C100634"/>
      <c r="E100634"/>
      <c r="F100634"/>
    </row>
    <row r="100635" spans="1:6" x14ac:dyDescent="0.25">
      <c r="A100635"/>
      <c r="B100635"/>
      <c r="C100635"/>
      <c r="E100635"/>
      <c r="F100635"/>
    </row>
    <row r="100636" spans="1:6" x14ac:dyDescent="0.25">
      <c r="A100636"/>
      <c r="B100636"/>
      <c r="C100636"/>
      <c r="E100636"/>
      <c r="F100636"/>
    </row>
    <row r="100637" spans="1:6" x14ac:dyDescent="0.25">
      <c r="A100637"/>
      <c r="B100637"/>
      <c r="C100637"/>
      <c r="E100637"/>
      <c r="F100637"/>
    </row>
    <row r="100638" spans="1:6" x14ac:dyDescent="0.25">
      <c r="A100638"/>
      <c r="B100638"/>
      <c r="C100638"/>
      <c r="E100638"/>
      <c r="F100638"/>
    </row>
    <row r="100639" spans="1:6" x14ac:dyDescent="0.25">
      <c r="A100639"/>
      <c r="B100639"/>
      <c r="C100639"/>
      <c r="E100639"/>
      <c r="F100639"/>
    </row>
    <row r="100640" spans="1:6" x14ac:dyDescent="0.25">
      <c r="A100640"/>
      <c r="B100640"/>
      <c r="C100640"/>
      <c r="E100640"/>
      <c r="F100640"/>
    </row>
    <row r="100641" spans="1:6" x14ac:dyDescent="0.25">
      <c r="A100641"/>
      <c r="B100641"/>
      <c r="C100641"/>
      <c r="E100641"/>
      <c r="F100641"/>
    </row>
    <row r="100642" spans="1:6" x14ac:dyDescent="0.25">
      <c r="A100642"/>
      <c r="B100642"/>
      <c r="C100642"/>
      <c r="E100642"/>
      <c r="F100642"/>
    </row>
    <row r="100643" spans="1:6" x14ac:dyDescent="0.25">
      <c r="A100643"/>
      <c r="B100643"/>
      <c r="C100643"/>
      <c r="E100643"/>
      <c r="F100643"/>
    </row>
    <row r="100644" spans="1:6" x14ac:dyDescent="0.25">
      <c r="A100644"/>
      <c r="B100644"/>
      <c r="C100644"/>
      <c r="E100644"/>
      <c r="F100644"/>
    </row>
    <row r="100645" spans="1:6" x14ac:dyDescent="0.25">
      <c r="A100645"/>
      <c r="B100645"/>
      <c r="C100645"/>
      <c r="E100645"/>
      <c r="F100645"/>
    </row>
    <row r="100646" spans="1:6" x14ac:dyDescent="0.25">
      <c r="A100646"/>
      <c r="B100646"/>
      <c r="C100646"/>
      <c r="E100646"/>
      <c r="F100646"/>
    </row>
    <row r="100647" spans="1:6" x14ac:dyDescent="0.25">
      <c r="A100647"/>
      <c r="B100647"/>
      <c r="C100647"/>
      <c r="E100647"/>
      <c r="F100647"/>
    </row>
    <row r="100648" spans="1:6" x14ac:dyDescent="0.25">
      <c r="A100648"/>
      <c r="B100648"/>
      <c r="C100648"/>
      <c r="E100648"/>
      <c r="F100648"/>
    </row>
    <row r="100649" spans="1:6" x14ac:dyDescent="0.25">
      <c r="A100649"/>
      <c r="B100649"/>
      <c r="C100649"/>
      <c r="E100649"/>
      <c r="F100649"/>
    </row>
    <row r="100650" spans="1:6" x14ac:dyDescent="0.25">
      <c r="A100650"/>
      <c r="B100650"/>
      <c r="C100650"/>
      <c r="E100650"/>
      <c r="F100650"/>
    </row>
    <row r="100651" spans="1:6" x14ac:dyDescent="0.25">
      <c r="A100651"/>
      <c r="B100651"/>
      <c r="C100651"/>
      <c r="E100651"/>
      <c r="F100651"/>
    </row>
    <row r="100652" spans="1:6" x14ac:dyDescent="0.25">
      <c r="A100652"/>
      <c r="B100652"/>
      <c r="C100652"/>
      <c r="E100652"/>
      <c r="F100652"/>
    </row>
    <row r="100653" spans="1:6" x14ac:dyDescent="0.25">
      <c r="A100653"/>
      <c r="B100653"/>
      <c r="C100653"/>
      <c r="E100653"/>
      <c r="F100653"/>
    </row>
    <row r="100654" spans="1:6" x14ac:dyDescent="0.25">
      <c r="A100654"/>
      <c r="B100654"/>
      <c r="C100654"/>
      <c r="E100654"/>
      <c r="F100654"/>
    </row>
    <row r="100655" spans="1:6" x14ac:dyDescent="0.25">
      <c r="A100655"/>
      <c r="B100655"/>
      <c r="C100655"/>
      <c r="E100655"/>
      <c r="F100655"/>
    </row>
    <row r="100656" spans="1:6" x14ac:dyDescent="0.25">
      <c r="A100656"/>
      <c r="B100656"/>
      <c r="C100656"/>
      <c r="E100656"/>
      <c r="F100656"/>
    </row>
    <row r="100657" spans="1:6" x14ac:dyDescent="0.25">
      <c r="A100657"/>
      <c r="B100657"/>
      <c r="C100657"/>
      <c r="E100657"/>
      <c r="F100657"/>
    </row>
    <row r="100658" spans="1:6" x14ac:dyDescent="0.25">
      <c r="A100658"/>
      <c r="B100658"/>
      <c r="C100658"/>
      <c r="E100658"/>
      <c r="F100658"/>
    </row>
    <row r="100659" spans="1:6" x14ac:dyDescent="0.25">
      <c r="A100659"/>
      <c r="B100659"/>
      <c r="C100659"/>
      <c r="E100659"/>
      <c r="F100659"/>
    </row>
    <row r="100660" spans="1:6" x14ac:dyDescent="0.25">
      <c r="A100660"/>
      <c r="B100660"/>
      <c r="C100660"/>
      <c r="E100660"/>
      <c r="F100660"/>
    </row>
    <row r="100661" spans="1:6" x14ac:dyDescent="0.25">
      <c r="A100661"/>
      <c r="B100661"/>
      <c r="C100661"/>
      <c r="E100661"/>
      <c r="F100661"/>
    </row>
    <row r="100662" spans="1:6" x14ac:dyDescent="0.25">
      <c r="A100662"/>
      <c r="B100662"/>
      <c r="C100662"/>
      <c r="E100662"/>
      <c r="F100662"/>
    </row>
    <row r="100663" spans="1:6" x14ac:dyDescent="0.25">
      <c r="A100663"/>
      <c r="B100663"/>
      <c r="C100663"/>
      <c r="E100663"/>
      <c r="F100663"/>
    </row>
    <row r="100664" spans="1:6" x14ac:dyDescent="0.25">
      <c r="A100664"/>
      <c r="B100664"/>
      <c r="C100664"/>
      <c r="E100664"/>
      <c r="F100664"/>
    </row>
    <row r="100665" spans="1:6" x14ac:dyDescent="0.25">
      <c r="A100665"/>
      <c r="B100665"/>
      <c r="C100665"/>
      <c r="E100665"/>
      <c r="F100665"/>
    </row>
    <row r="100666" spans="1:6" x14ac:dyDescent="0.25">
      <c r="A100666"/>
      <c r="B100666"/>
      <c r="C100666"/>
      <c r="E100666"/>
      <c r="F100666"/>
    </row>
    <row r="100667" spans="1:6" x14ac:dyDescent="0.25">
      <c r="A100667"/>
      <c r="B100667"/>
      <c r="C100667"/>
      <c r="E100667"/>
      <c r="F100667"/>
    </row>
    <row r="100668" spans="1:6" x14ac:dyDescent="0.25">
      <c r="A100668"/>
      <c r="B100668"/>
      <c r="C100668"/>
      <c r="E100668"/>
      <c r="F100668"/>
    </row>
    <row r="100669" spans="1:6" x14ac:dyDescent="0.25">
      <c r="A100669"/>
      <c r="B100669"/>
      <c r="C100669"/>
      <c r="E100669"/>
      <c r="F100669"/>
    </row>
    <row r="100670" spans="1:6" x14ac:dyDescent="0.25">
      <c r="A100670"/>
      <c r="B100670"/>
      <c r="C100670"/>
      <c r="E100670"/>
      <c r="F100670"/>
    </row>
    <row r="100671" spans="1:6" x14ac:dyDescent="0.25">
      <c r="A100671"/>
      <c r="B100671"/>
      <c r="C100671"/>
      <c r="E100671"/>
      <c r="F100671"/>
    </row>
    <row r="100672" spans="1:6" x14ac:dyDescent="0.25">
      <c r="A100672"/>
      <c r="B100672"/>
      <c r="C100672"/>
      <c r="E100672"/>
      <c r="F100672"/>
    </row>
    <row r="100673" spans="1:6" x14ac:dyDescent="0.25">
      <c r="A100673"/>
      <c r="B100673"/>
      <c r="C100673"/>
      <c r="E100673"/>
      <c r="F100673"/>
    </row>
    <row r="100674" spans="1:6" x14ac:dyDescent="0.25">
      <c r="A100674"/>
      <c r="B100674"/>
      <c r="C100674"/>
      <c r="E100674"/>
      <c r="F100674"/>
    </row>
    <row r="100675" spans="1:6" x14ac:dyDescent="0.25">
      <c r="A100675"/>
      <c r="B100675"/>
      <c r="C100675"/>
      <c r="E100675"/>
      <c r="F100675"/>
    </row>
    <row r="100676" spans="1:6" x14ac:dyDescent="0.25">
      <c r="A100676"/>
      <c r="B100676"/>
      <c r="C100676"/>
      <c r="E100676"/>
      <c r="F100676"/>
    </row>
    <row r="100677" spans="1:6" x14ac:dyDescent="0.25">
      <c r="A100677"/>
      <c r="B100677"/>
      <c r="C100677"/>
      <c r="E100677"/>
      <c r="F100677"/>
    </row>
    <row r="100678" spans="1:6" x14ac:dyDescent="0.25">
      <c r="A100678"/>
      <c r="B100678"/>
      <c r="C100678"/>
      <c r="E100678"/>
      <c r="F100678"/>
    </row>
    <row r="100679" spans="1:6" x14ac:dyDescent="0.25">
      <c r="A100679"/>
      <c r="B100679"/>
      <c r="C100679"/>
      <c r="E100679"/>
      <c r="F100679"/>
    </row>
    <row r="100680" spans="1:6" x14ac:dyDescent="0.25">
      <c r="A100680"/>
      <c r="B100680"/>
      <c r="C100680"/>
      <c r="E100680"/>
      <c r="F100680"/>
    </row>
    <row r="100681" spans="1:6" x14ac:dyDescent="0.25">
      <c r="A100681"/>
      <c r="B100681"/>
      <c r="C100681"/>
      <c r="E100681"/>
      <c r="F100681"/>
    </row>
    <row r="100682" spans="1:6" x14ac:dyDescent="0.25">
      <c r="A100682"/>
      <c r="B100682"/>
      <c r="C100682"/>
      <c r="E100682"/>
      <c r="F100682"/>
    </row>
    <row r="100683" spans="1:6" x14ac:dyDescent="0.25">
      <c r="A100683"/>
      <c r="B100683"/>
      <c r="C100683"/>
      <c r="E100683"/>
      <c r="F100683"/>
    </row>
    <row r="100684" spans="1:6" x14ac:dyDescent="0.25">
      <c r="A100684"/>
      <c r="B100684"/>
      <c r="C100684"/>
      <c r="E100684"/>
      <c r="F100684"/>
    </row>
    <row r="100685" spans="1:6" x14ac:dyDescent="0.25">
      <c r="A100685"/>
      <c r="B100685"/>
      <c r="C100685"/>
      <c r="E100685"/>
      <c r="F100685"/>
    </row>
    <row r="100686" spans="1:6" x14ac:dyDescent="0.25">
      <c r="A100686"/>
      <c r="B100686"/>
      <c r="C100686"/>
      <c r="E100686"/>
      <c r="F100686"/>
    </row>
    <row r="100687" spans="1:6" x14ac:dyDescent="0.25">
      <c r="A100687"/>
      <c r="B100687"/>
      <c r="C100687"/>
      <c r="E100687"/>
      <c r="F100687"/>
    </row>
    <row r="100688" spans="1:6" x14ac:dyDescent="0.25">
      <c r="A100688"/>
      <c r="B100688"/>
      <c r="C100688"/>
      <c r="E100688"/>
      <c r="F100688"/>
    </row>
    <row r="100689" spans="1:6" x14ac:dyDescent="0.25">
      <c r="A100689"/>
      <c r="B100689"/>
      <c r="C100689"/>
      <c r="E100689"/>
      <c r="F100689"/>
    </row>
    <row r="100690" spans="1:6" x14ac:dyDescent="0.25">
      <c r="A100690"/>
      <c r="B100690"/>
      <c r="C100690"/>
      <c r="E100690"/>
      <c r="F100690"/>
    </row>
    <row r="100691" spans="1:6" x14ac:dyDescent="0.25">
      <c r="A100691"/>
      <c r="B100691"/>
      <c r="C100691"/>
      <c r="E100691"/>
      <c r="F100691"/>
    </row>
    <row r="100692" spans="1:6" x14ac:dyDescent="0.25">
      <c r="A100692"/>
      <c r="B100692"/>
      <c r="C100692"/>
      <c r="E100692"/>
      <c r="F100692"/>
    </row>
    <row r="100693" spans="1:6" x14ac:dyDescent="0.25">
      <c r="A100693"/>
      <c r="B100693"/>
      <c r="C100693"/>
      <c r="E100693"/>
      <c r="F100693"/>
    </row>
    <row r="100694" spans="1:6" x14ac:dyDescent="0.25">
      <c r="A100694"/>
      <c r="B100694"/>
      <c r="C100694"/>
      <c r="E100694"/>
      <c r="F100694"/>
    </row>
    <row r="100695" spans="1:6" x14ac:dyDescent="0.25">
      <c r="A100695"/>
      <c r="B100695"/>
      <c r="C100695"/>
      <c r="E100695"/>
      <c r="F100695"/>
    </row>
    <row r="100696" spans="1:6" x14ac:dyDescent="0.25">
      <c r="A100696"/>
      <c r="B100696"/>
      <c r="C100696"/>
      <c r="E100696"/>
      <c r="F100696"/>
    </row>
    <row r="100697" spans="1:6" x14ac:dyDescent="0.25">
      <c r="A100697"/>
      <c r="B100697"/>
      <c r="C100697"/>
      <c r="E100697"/>
      <c r="F100697"/>
    </row>
    <row r="100698" spans="1:6" x14ac:dyDescent="0.25">
      <c r="A100698"/>
      <c r="B100698"/>
      <c r="C100698"/>
      <c r="E100698"/>
      <c r="F100698"/>
    </row>
    <row r="100699" spans="1:6" x14ac:dyDescent="0.25">
      <c r="A100699"/>
      <c r="B100699"/>
      <c r="C100699"/>
      <c r="E100699"/>
      <c r="F100699"/>
    </row>
    <row r="100700" spans="1:6" x14ac:dyDescent="0.25">
      <c r="A100700"/>
      <c r="B100700"/>
      <c r="C100700"/>
      <c r="E100700"/>
      <c r="F100700"/>
    </row>
    <row r="100701" spans="1:6" x14ac:dyDescent="0.25">
      <c r="A100701"/>
      <c r="B100701"/>
      <c r="C100701"/>
      <c r="E100701"/>
      <c r="F100701"/>
    </row>
    <row r="100702" spans="1:6" x14ac:dyDescent="0.25">
      <c r="A100702"/>
      <c r="B100702"/>
      <c r="C100702"/>
      <c r="E100702"/>
      <c r="F100702"/>
    </row>
    <row r="100703" spans="1:6" x14ac:dyDescent="0.25">
      <c r="A100703"/>
      <c r="B100703"/>
      <c r="C100703"/>
      <c r="E100703"/>
      <c r="F100703"/>
    </row>
    <row r="100704" spans="1:6" x14ac:dyDescent="0.25">
      <c r="A100704"/>
      <c r="B100704"/>
      <c r="C100704"/>
      <c r="E100704"/>
      <c r="F100704"/>
    </row>
    <row r="100705" spans="1:6" x14ac:dyDescent="0.25">
      <c r="A100705"/>
      <c r="B100705"/>
      <c r="C100705"/>
      <c r="E100705"/>
      <c r="F100705"/>
    </row>
    <row r="100706" spans="1:6" x14ac:dyDescent="0.25">
      <c r="A100706"/>
      <c r="B100706"/>
      <c r="C100706"/>
      <c r="E100706"/>
      <c r="F100706"/>
    </row>
    <row r="100707" spans="1:6" x14ac:dyDescent="0.25">
      <c r="A100707"/>
      <c r="B100707"/>
      <c r="C100707"/>
      <c r="E100707"/>
      <c r="F100707"/>
    </row>
    <row r="100708" spans="1:6" x14ac:dyDescent="0.25">
      <c r="A100708"/>
      <c r="B100708"/>
      <c r="C100708"/>
      <c r="E100708"/>
      <c r="F100708"/>
    </row>
    <row r="100709" spans="1:6" x14ac:dyDescent="0.25">
      <c r="A100709"/>
      <c r="B100709"/>
      <c r="C100709"/>
      <c r="E100709"/>
      <c r="F100709"/>
    </row>
    <row r="100710" spans="1:6" x14ac:dyDescent="0.25">
      <c r="A100710"/>
      <c r="B100710"/>
      <c r="C100710"/>
      <c r="E100710"/>
      <c r="F100710"/>
    </row>
    <row r="100711" spans="1:6" x14ac:dyDescent="0.25">
      <c r="A100711"/>
      <c r="B100711"/>
      <c r="C100711"/>
      <c r="E100711"/>
      <c r="F100711"/>
    </row>
    <row r="100712" spans="1:6" x14ac:dyDescent="0.25">
      <c r="A100712"/>
      <c r="B100712"/>
      <c r="C100712"/>
      <c r="E100712"/>
      <c r="F100712"/>
    </row>
    <row r="100713" spans="1:6" x14ac:dyDescent="0.25">
      <c r="A100713"/>
      <c r="B100713"/>
      <c r="C100713"/>
      <c r="E100713"/>
      <c r="F100713"/>
    </row>
    <row r="100714" spans="1:6" x14ac:dyDescent="0.25">
      <c r="A100714"/>
      <c r="B100714"/>
      <c r="C100714"/>
      <c r="E100714"/>
      <c r="F100714"/>
    </row>
    <row r="100715" spans="1:6" x14ac:dyDescent="0.25">
      <c r="A100715"/>
      <c r="B100715"/>
      <c r="C100715"/>
      <c r="E100715"/>
      <c r="F100715"/>
    </row>
    <row r="100716" spans="1:6" x14ac:dyDescent="0.25">
      <c r="A100716"/>
      <c r="B100716"/>
      <c r="C100716"/>
      <c r="E100716"/>
      <c r="F100716"/>
    </row>
    <row r="100717" spans="1:6" x14ac:dyDescent="0.25">
      <c r="A100717"/>
      <c r="B100717"/>
      <c r="C100717"/>
      <c r="E100717"/>
      <c r="F100717"/>
    </row>
    <row r="100718" spans="1:6" x14ac:dyDescent="0.25">
      <c r="A100718"/>
      <c r="B100718"/>
      <c r="C100718"/>
      <c r="E100718"/>
      <c r="F100718"/>
    </row>
    <row r="100719" spans="1:6" x14ac:dyDescent="0.25">
      <c r="A100719"/>
      <c r="B100719"/>
      <c r="C100719"/>
      <c r="E100719"/>
      <c r="F100719"/>
    </row>
    <row r="100720" spans="1:6" x14ac:dyDescent="0.25">
      <c r="A100720"/>
      <c r="B100720"/>
      <c r="C100720"/>
      <c r="E100720"/>
      <c r="F100720"/>
    </row>
    <row r="100721" spans="1:6" x14ac:dyDescent="0.25">
      <c r="A100721"/>
      <c r="B100721"/>
      <c r="C100721"/>
      <c r="E100721"/>
      <c r="F100721"/>
    </row>
    <row r="100722" spans="1:6" x14ac:dyDescent="0.25">
      <c r="A100722"/>
      <c r="B100722"/>
      <c r="C100722"/>
      <c r="E100722"/>
      <c r="F100722"/>
    </row>
    <row r="100723" spans="1:6" x14ac:dyDescent="0.25">
      <c r="A100723"/>
      <c r="B100723"/>
      <c r="C100723"/>
      <c r="E100723"/>
      <c r="F100723"/>
    </row>
    <row r="100724" spans="1:6" x14ac:dyDescent="0.25">
      <c r="A100724"/>
      <c r="B100724"/>
      <c r="C100724"/>
      <c r="E100724"/>
      <c r="F100724"/>
    </row>
    <row r="100725" spans="1:6" x14ac:dyDescent="0.25">
      <c r="A100725"/>
      <c r="B100725"/>
      <c r="C100725"/>
      <c r="E100725"/>
      <c r="F100725"/>
    </row>
    <row r="100726" spans="1:6" x14ac:dyDescent="0.25">
      <c r="A100726"/>
      <c r="B100726"/>
      <c r="C100726"/>
      <c r="E100726"/>
      <c r="F100726"/>
    </row>
    <row r="100727" spans="1:6" x14ac:dyDescent="0.25">
      <c r="A100727"/>
      <c r="B100727"/>
      <c r="C100727"/>
      <c r="E100727"/>
      <c r="F100727"/>
    </row>
    <row r="100728" spans="1:6" x14ac:dyDescent="0.25">
      <c r="A100728"/>
      <c r="B100728"/>
      <c r="C100728"/>
      <c r="E100728"/>
      <c r="F100728"/>
    </row>
    <row r="100729" spans="1:6" x14ac:dyDescent="0.25">
      <c r="A100729"/>
      <c r="B100729"/>
      <c r="C100729"/>
      <c r="E100729"/>
      <c r="F100729"/>
    </row>
    <row r="100730" spans="1:6" x14ac:dyDescent="0.25">
      <c r="A100730"/>
      <c r="B100730"/>
      <c r="C100730"/>
      <c r="E100730"/>
      <c r="F100730"/>
    </row>
    <row r="100731" spans="1:6" x14ac:dyDescent="0.25">
      <c r="A100731"/>
      <c r="B100731"/>
      <c r="C100731"/>
      <c r="E100731"/>
      <c r="F100731"/>
    </row>
    <row r="100732" spans="1:6" x14ac:dyDescent="0.25">
      <c r="A100732"/>
      <c r="B100732"/>
      <c r="C100732"/>
      <c r="E100732"/>
      <c r="F100732"/>
    </row>
    <row r="100733" spans="1:6" x14ac:dyDescent="0.25">
      <c r="A100733"/>
      <c r="B100733"/>
      <c r="C100733"/>
      <c r="E100733"/>
      <c r="F100733"/>
    </row>
    <row r="100734" spans="1:6" x14ac:dyDescent="0.25">
      <c r="A100734"/>
      <c r="B100734"/>
      <c r="C100734"/>
      <c r="E100734"/>
      <c r="F100734"/>
    </row>
    <row r="100735" spans="1:6" x14ac:dyDescent="0.25">
      <c r="A100735"/>
      <c r="B100735"/>
      <c r="C100735"/>
      <c r="E100735"/>
      <c r="F100735"/>
    </row>
    <row r="100736" spans="1:6" x14ac:dyDescent="0.25">
      <c r="A100736"/>
      <c r="B100736"/>
      <c r="C100736"/>
      <c r="E100736"/>
      <c r="F100736"/>
    </row>
    <row r="100737" spans="1:6" x14ac:dyDescent="0.25">
      <c r="A100737"/>
      <c r="B100737"/>
      <c r="C100737"/>
      <c r="E100737"/>
      <c r="F100737"/>
    </row>
    <row r="100738" spans="1:6" x14ac:dyDescent="0.25">
      <c r="A100738"/>
      <c r="B100738"/>
      <c r="C100738"/>
      <c r="E100738"/>
      <c r="F100738"/>
    </row>
    <row r="100739" spans="1:6" x14ac:dyDescent="0.25">
      <c r="A100739"/>
      <c r="B100739"/>
      <c r="C100739"/>
      <c r="E100739"/>
      <c r="F100739"/>
    </row>
    <row r="100740" spans="1:6" x14ac:dyDescent="0.25">
      <c r="A100740"/>
      <c r="B100740"/>
      <c r="C100740"/>
      <c r="E100740"/>
      <c r="F100740"/>
    </row>
    <row r="100741" spans="1:6" x14ac:dyDescent="0.25">
      <c r="A100741"/>
      <c r="B100741"/>
      <c r="C100741"/>
      <c r="E100741"/>
      <c r="F100741"/>
    </row>
    <row r="100742" spans="1:6" x14ac:dyDescent="0.25">
      <c r="A100742"/>
      <c r="B100742"/>
      <c r="C100742"/>
      <c r="E100742"/>
      <c r="F100742"/>
    </row>
    <row r="100743" spans="1:6" x14ac:dyDescent="0.25">
      <c r="A100743"/>
      <c r="B100743"/>
      <c r="C100743"/>
      <c r="E100743"/>
      <c r="F100743"/>
    </row>
    <row r="100744" spans="1:6" x14ac:dyDescent="0.25">
      <c r="A100744"/>
      <c r="B100744"/>
      <c r="C100744"/>
      <c r="E100744"/>
      <c r="F100744"/>
    </row>
    <row r="100745" spans="1:6" x14ac:dyDescent="0.25">
      <c r="A100745"/>
      <c r="B100745"/>
      <c r="C100745"/>
      <c r="E100745"/>
      <c r="F100745"/>
    </row>
    <row r="100746" spans="1:6" x14ac:dyDescent="0.25">
      <c r="A100746"/>
      <c r="B100746"/>
      <c r="C100746"/>
      <c r="E100746"/>
      <c r="F100746"/>
    </row>
    <row r="100747" spans="1:6" x14ac:dyDescent="0.25">
      <c r="A100747"/>
      <c r="B100747"/>
      <c r="C100747"/>
      <c r="E100747"/>
      <c r="F100747"/>
    </row>
    <row r="100748" spans="1:6" x14ac:dyDescent="0.25">
      <c r="A100748"/>
      <c r="B100748"/>
      <c r="C100748"/>
      <c r="E100748"/>
      <c r="F100748"/>
    </row>
    <row r="100749" spans="1:6" x14ac:dyDescent="0.25">
      <c r="A100749"/>
      <c r="B100749"/>
      <c r="C100749"/>
      <c r="E100749"/>
      <c r="F100749"/>
    </row>
    <row r="100750" spans="1:6" x14ac:dyDescent="0.25">
      <c r="A100750"/>
      <c r="B100750"/>
      <c r="C100750"/>
      <c r="E100750"/>
      <c r="F100750"/>
    </row>
    <row r="100751" spans="1:6" x14ac:dyDescent="0.25">
      <c r="A100751"/>
      <c r="B100751"/>
      <c r="C100751"/>
      <c r="E100751"/>
      <c r="F100751"/>
    </row>
    <row r="100752" spans="1:6" x14ac:dyDescent="0.25">
      <c r="A100752"/>
      <c r="B100752"/>
      <c r="C100752"/>
      <c r="E100752"/>
      <c r="F100752"/>
    </row>
    <row r="100753" spans="1:6" x14ac:dyDescent="0.25">
      <c r="A100753"/>
      <c r="B100753"/>
      <c r="C100753"/>
      <c r="E100753"/>
      <c r="F100753"/>
    </row>
    <row r="100754" spans="1:6" x14ac:dyDescent="0.25">
      <c r="A100754"/>
      <c r="B100754"/>
      <c r="C100754"/>
      <c r="E100754"/>
      <c r="F100754"/>
    </row>
    <row r="100755" spans="1:6" x14ac:dyDescent="0.25">
      <c r="A100755"/>
      <c r="B100755"/>
      <c r="C100755"/>
      <c r="E100755"/>
      <c r="F100755"/>
    </row>
    <row r="100756" spans="1:6" x14ac:dyDescent="0.25">
      <c r="A100756"/>
      <c r="B100756"/>
      <c r="C100756"/>
      <c r="E100756"/>
      <c r="F100756"/>
    </row>
    <row r="100757" spans="1:6" x14ac:dyDescent="0.25">
      <c r="A100757"/>
      <c r="B100757"/>
      <c r="C100757"/>
      <c r="E100757"/>
      <c r="F100757"/>
    </row>
    <row r="100758" spans="1:6" x14ac:dyDescent="0.25">
      <c r="A100758"/>
      <c r="B100758"/>
      <c r="C100758"/>
      <c r="E100758"/>
      <c r="F100758"/>
    </row>
    <row r="100759" spans="1:6" x14ac:dyDescent="0.25">
      <c r="A100759"/>
      <c r="B100759"/>
      <c r="C100759"/>
      <c r="E100759"/>
      <c r="F100759"/>
    </row>
    <row r="100760" spans="1:6" x14ac:dyDescent="0.25">
      <c r="A100760"/>
      <c r="B100760"/>
      <c r="C100760"/>
      <c r="E100760"/>
      <c r="F100760"/>
    </row>
    <row r="100761" spans="1:6" x14ac:dyDescent="0.25">
      <c r="A100761"/>
      <c r="B100761"/>
      <c r="C100761"/>
      <c r="E100761"/>
      <c r="F100761"/>
    </row>
    <row r="100762" spans="1:6" x14ac:dyDescent="0.25">
      <c r="A100762"/>
      <c r="B100762"/>
      <c r="C100762"/>
      <c r="E100762"/>
      <c r="F100762"/>
    </row>
    <row r="100763" spans="1:6" x14ac:dyDescent="0.25">
      <c r="A100763"/>
      <c r="B100763"/>
      <c r="C100763"/>
      <c r="E100763"/>
      <c r="F100763"/>
    </row>
    <row r="100764" spans="1:6" x14ac:dyDescent="0.25">
      <c r="A100764"/>
      <c r="B100764"/>
      <c r="C100764"/>
      <c r="E100764"/>
      <c r="F100764"/>
    </row>
    <row r="100765" spans="1:6" x14ac:dyDescent="0.25">
      <c r="A100765"/>
      <c r="B100765"/>
      <c r="C100765"/>
      <c r="E100765"/>
      <c r="F100765"/>
    </row>
    <row r="100766" spans="1:6" x14ac:dyDescent="0.25">
      <c r="A100766"/>
      <c r="B100766"/>
      <c r="C100766"/>
      <c r="E100766"/>
      <c r="F100766"/>
    </row>
    <row r="100767" spans="1:6" x14ac:dyDescent="0.25">
      <c r="A100767"/>
      <c r="B100767"/>
      <c r="C100767"/>
      <c r="E100767"/>
      <c r="F100767"/>
    </row>
    <row r="100768" spans="1:6" x14ac:dyDescent="0.25">
      <c r="A100768"/>
      <c r="B100768"/>
      <c r="C100768"/>
      <c r="E100768"/>
      <c r="F100768"/>
    </row>
    <row r="100769" spans="1:6" x14ac:dyDescent="0.25">
      <c r="A100769"/>
      <c r="B100769"/>
      <c r="C100769"/>
      <c r="E100769"/>
      <c r="F100769"/>
    </row>
    <row r="100770" spans="1:6" x14ac:dyDescent="0.25">
      <c r="A100770"/>
      <c r="B100770"/>
      <c r="C100770"/>
      <c r="E100770"/>
      <c r="F100770"/>
    </row>
    <row r="100771" spans="1:6" x14ac:dyDescent="0.25">
      <c r="A100771"/>
      <c r="B100771"/>
      <c r="C100771"/>
      <c r="E100771"/>
      <c r="F100771"/>
    </row>
    <row r="100772" spans="1:6" x14ac:dyDescent="0.25">
      <c r="A100772"/>
      <c r="B100772"/>
      <c r="C100772"/>
      <c r="E100772"/>
      <c r="F100772"/>
    </row>
    <row r="100773" spans="1:6" x14ac:dyDescent="0.25">
      <c r="A100773"/>
      <c r="B100773"/>
      <c r="C100773"/>
      <c r="E100773"/>
      <c r="F100773"/>
    </row>
    <row r="100774" spans="1:6" x14ac:dyDescent="0.25">
      <c r="A100774"/>
      <c r="B100774"/>
      <c r="C100774"/>
      <c r="E100774"/>
      <c r="F100774"/>
    </row>
    <row r="100775" spans="1:6" x14ac:dyDescent="0.25">
      <c r="A100775"/>
      <c r="B100775"/>
      <c r="C100775"/>
      <c r="E100775"/>
      <c r="F100775"/>
    </row>
    <row r="100776" spans="1:6" x14ac:dyDescent="0.25">
      <c r="A100776"/>
      <c r="B100776"/>
      <c r="C100776"/>
      <c r="E100776"/>
      <c r="F100776"/>
    </row>
    <row r="100777" spans="1:6" x14ac:dyDescent="0.25">
      <c r="A100777"/>
      <c r="B100777"/>
      <c r="C100777"/>
      <c r="E100777"/>
      <c r="F100777"/>
    </row>
    <row r="100778" spans="1:6" x14ac:dyDescent="0.25">
      <c r="A100778"/>
      <c r="B100778"/>
      <c r="C100778"/>
      <c r="E100778"/>
      <c r="F100778"/>
    </row>
    <row r="100779" spans="1:6" x14ac:dyDescent="0.25">
      <c r="A100779"/>
      <c r="B100779"/>
      <c r="C100779"/>
      <c r="E100779"/>
      <c r="F100779"/>
    </row>
    <row r="100780" spans="1:6" x14ac:dyDescent="0.25">
      <c r="A100780"/>
      <c r="B100780"/>
      <c r="C100780"/>
      <c r="E100780"/>
      <c r="F100780"/>
    </row>
    <row r="100781" spans="1:6" x14ac:dyDescent="0.25">
      <c r="A100781"/>
      <c r="B100781"/>
      <c r="C100781"/>
      <c r="E100781"/>
      <c r="F100781"/>
    </row>
    <row r="100782" spans="1:6" x14ac:dyDescent="0.25">
      <c r="A100782"/>
      <c r="B100782"/>
      <c r="C100782"/>
      <c r="E100782"/>
      <c r="F100782"/>
    </row>
    <row r="100783" spans="1:6" x14ac:dyDescent="0.25">
      <c r="A100783"/>
      <c r="B100783"/>
      <c r="C100783"/>
      <c r="E100783"/>
      <c r="F100783"/>
    </row>
    <row r="100784" spans="1:6" x14ac:dyDescent="0.25">
      <c r="A100784"/>
      <c r="B100784"/>
      <c r="C100784"/>
      <c r="E100784"/>
      <c r="F100784"/>
    </row>
    <row r="100785" spans="1:6" x14ac:dyDescent="0.25">
      <c r="A100785"/>
      <c r="B100785"/>
      <c r="C100785"/>
      <c r="E100785"/>
      <c r="F100785"/>
    </row>
    <row r="100786" spans="1:6" x14ac:dyDescent="0.25">
      <c r="A100786"/>
      <c r="B100786"/>
      <c r="C100786"/>
      <c r="E100786"/>
      <c r="F100786"/>
    </row>
    <row r="100787" spans="1:6" x14ac:dyDescent="0.25">
      <c r="A100787"/>
      <c r="B100787"/>
      <c r="C100787"/>
      <c r="E100787"/>
      <c r="F100787"/>
    </row>
    <row r="100788" spans="1:6" x14ac:dyDescent="0.25">
      <c r="A100788"/>
      <c r="B100788"/>
      <c r="C100788"/>
      <c r="E100788"/>
      <c r="F100788"/>
    </row>
    <row r="100789" spans="1:6" x14ac:dyDescent="0.25">
      <c r="A100789"/>
      <c r="B100789"/>
      <c r="C100789"/>
      <c r="E100789"/>
      <c r="F100789"/>
    </row>
    <row r="100790" spans="1:6" x14ac:dyDescent="0.25">
      <c r="A100790"/>
      <c r="B100790"/>
      <c r="C100790"/>
      <c r="E100790"/>
      <c r="F100790"/>
    </row>
    <row r="100791" spans="1:6" x14ac:dyDescent="0.25">
      <c r="A100791"/>
      <c r="B100791"/>
      <c r="C100791"/>
      <c r="E100791"/>
      <c r="F100791"/>
    </row>
    <row r="100792" spans="1:6" x14ac:dyDescent="0.25">
      <c r="A100792"/>
      <c r="B100792"/>
      <c r="C100792"/>
      <c r="E100792"/>
      <c r="F100792"/>
    </row>
    <row r="100793" spans="1:6" x14ac:dyDescent="0.25">
      <c r="A100793"/>
      <c r="B100793"/>
      <c r="C100793"/>
      <c r="E100793"/>
      <c r="F100793"/>
    </row>
    <row r="100794" spans="1:6" x14ac:dyDescent="0.25">
      <c r="A100794"/>
      <c r="B100794"/>
      <c r="C100794"/>
      <c r="E100794"/>
      <c r="F100794"/>
    </row>
    <row r="100795" spans="1:6" x14ac:dyDescent="0.25">
      <c r="A100795"/>
      <c r="B100795"/>
      <c r="C100795"/>
      <c r="E100795"/>
      <c r="F100795"/>
    </row>
    <row r="100796" spans="1:6" x14ac:dyDescent="0.25">
      <c r="A100796"/>
      <c r="B100796"/>
      <c r="C100796"/>
      <c r="E100796"/>
      <c r="F100796"/>
    </row>
    <row r="100797" spans="1:6" x14ac:dyDescent="0.25">
      <c r="A100797"/>
      <c r="B100797"/>
      <c r="C100797"/>
      <c r="E100797"/>
      <c r="F100797"/>
    </row>
    <row r="100798" spans="1:6" x14ac:dyDescent="0.25">
      <c r="A100798"/>
      <c r="B100798"/>
      <c r="C100798"/>
      <c r="E100798"/>
      <c r="F100798"/>
    </row>
    <row r="100799" spans="1:6" x14ac:dyDescent="0.25">
      <c r="A100799"/>
      <c r="B100799"/>
      <c r="C100799"/>
      <c r="E100799"/>
      <c r="F100799"/>
    </row>
    <row r="100800" spans="1:6" x14ac:dyDescent="0.25">
      <c r="A100800"/>
      <c r="B100800"/>
      <c r="C100800"/>
      <c r="E100800"/>
      <c r="F100800"/>
    </row>
    <row r="100801" spans="1:6" x14ac:dyDescent="0.25">
      <c r="A100801"/>
      <c r="B100801"/>
      <c r="C100801"/>
      <c r="E100801"/>
      <c r="F100801"/>
    </row>
    <row r="100802" spans="1:6" x14ac:dyDescent="0.25">
      <c r="A100802"/>
      <c r="B100802"/>
      <c r="C100802"/>
      <c r="E100802"/>
      <c r="F100802"/>
    </row>
    <row r="100803" spans="1:6" x14ac:dyDescent="0.25">
      <c r="A100803"/>
      <c r="B100803"/>
      <c r="C100803"/>
      <c r="E100803"/>
      <c r="F100803"/>
    </row>
    <row r="100804" spans="1:6" x14ac:dyDescent="0.25">
      <c r="A100804"/>
      <c r="B100804"/>
      <c r="C100804"/>
      <c r="E100804"/>
      <c r="F100804"/>
    </row>
    <row r="100805" spans="1:6" x14ac:dyDescent="0.25">
      <c r="A100805"/>
      <c r="B100805"/>
      <c r="C100805"/>
      <c r="E100805"/>
      <c r="F100805"/>
    </row>
    <row r="100806" spans="1:6" x14ac:dyDescent="0.25">
      <c r="A100806"/>
      <c r="B100806"/>
      <c r="C100806"/>
      <c r="E100806"/>
      <c r="F100806"/>
    </row>
    <row r="100807" spans="1:6" x14ac:dyDescent="0.25">
      <c r="A100807"/>
      <c r="B100807"/>
      <c r="C100807"/>
      <c r="E100807"/>
      <c r="F100807"/>
    </row>
    <row r="100808" spans="1:6" x14ac:dyDescent="0.25">
      <c r="A100808"/>
      <c r="B100808"/>
      <c r="C100808"/>
      <c r="E100808"/>
      <c r="F100808"/>
    </row>
    <row r="100809" spans="1:6" x14ac:dyDescent="0.25">
      <c r="A100809"/>
      <c r="B100809"/>
      <c r="C100809"/>
      <c r="E100809"/>
      <c r="F100809"/>
    </row>
    <row r="100810" spans="1:6" x14ac:dyDescent="0.25">
      <c r="A100810"/>
      <c r="B100810"/>
      <c r="C100810"/>
      <c r="E100810"/>
      <c r="F100810"/>
    </row>
    <row r="100811" spans="1:6" x14ac:dyDescent="0.25">
      <c r="A100811"/>
      <c r="B100811"/>
      <c r="C100811"/>
      <c r="E100811"/>
      <c r="F100811"/>
    </row>
    <row r="100812" spans="1:6" x14ac:dyDescent="0.25">
      <c r="A100812"/>
      <c r="B100812"/>
      <c r="C100812"/>
      <c r="E100812"/>
      <c r="F100812"/>
    </row>
    <row r="100813" spans="1:6" x14ac:dyDescent="0.25">
      <c r="A100813"/>
      <c r="B100813"/>
      <c r="C100813"/>
      <c r="E100813"/>
      <c r="F100813"/>
    </row>
    <row r="100814" spans="1:6" x14ac:dyDescent="0.25">
      <c r="A100814"/>
      <c r="B100814"/>
      <c r="C100814"/>
      <c r="E100814"/>
      <c r="F100814"/>
    </row>
    <row r="100815" spans="1:6" x14ac:dyDescent="0.25">
      <c r="A100815"/>
      <c r="B100815"/>
      <c r="C100815"/>
      <c r="E100815"/>
      <c r="F100815"/>
    </row>
    <row r="100816" spans="1:6" x14ac:dyDescent="0.25">
      <c r="A100816"/>
      <c r="B100816"/>
      <c r="C100816"/>
      <c r="E100816"/>
      <c r="F100816"/>
    </row>
    <row r="100817" spans="1:6" x14ac:dyDescent="0.25">
      <c r="A100817"/>
      <c r="B100817"/>
      <c r="C100817"/>
      <c r="E100817"/>
      <c r="F100817"/>
    </row>
    <row r="100818" spans="1:6" x14ac:dyDescent="0.25">
      <c r="A100818"/>
      <c r="B100818"/>
      <c r="C100818"/>
      <c r="E100818"/>
      <c r="F100818"/>
    </row>
    <row r="100819" spans="1:6" x14ac:dyDescent="0.25">
      <c r="A100819"/>
      <c r="B100819"/>
      <c r="C100819"/>
      <c r="E100819"/>
      <c r="F100819"/>
    </row>
    <row r="100820" spans="1:6" x14ac:dyDescent="0.25">
      <c r="A100820"/>
      <c r="B100820"/>
      <c r="C100820"/>
      <c r="E100820"/>
      <c r="F100820"/>
    </row>
    <row r="100821" spans="1:6" x14ac:dyDescent="0.25">
      <c r="A100821"/>
      <c r="B100821"/>
      <c r="C100821"/>
      <c r="E100821"/>
      <c r="F100821"/>
    </row>
    <row r="100822" spans="1:6" x14ac:dyDescent="0.25">
      <c r="A100822"/>
      <c r="B100822"/>
      <c r="C100822"/>
      <c r="E100822"/>
      <c r="F100822"/>
    </row>
    <row r="100823" spans="1:6" x14ac:dyDescent="0.25">
      <c r="A100823"/>
      <c r="B100823"/>
      <c r="C100823"/>
      <c r="E100823"/>
      <c r="F100823"/>
    </row>
    <row r="100824" spans="1:6" x14ac:dyDescent="0.25">
      <c r="A100824"/>
      <c r="B100824"/>
      <c r="C100824"/>
      <c r="E100824"/>
      <c r="F100824"/>
    </row>
    <row r="100825" spans="1:6" x14ac:dyDescent="0.25">
      <c r="A100825"/>
      <c r="B100825"/>
      <c r="C100825"/>
      <c r="E100825"/>
      <c r="F100825"/>
    </row>
    <row r="100826" spans="1:6" x14ac:dyDescent="0.25">
      <c r="A100826"/>
      <c r="B100826"/>
      <c r="C100826"/>
      <c r="E100826"/>
      <c r="F100826"/>
    </row>
    <row r="100827" spans="1:6" x14ac:dyDescent="0.25">
      <c r="A100827"/>
      <c r="B100827"/>
      <c r="C100827"/>
      <c r="E100827"/>
      <c r="F100827"/>
    </row>
    <row r="100828" spans="1:6" x14ac:dyDescent="0.25">
      <c r="A100828"/>
      <c r="B100828"/>
      <c r="C100828"/>
      <c r="E100828"/>
      <c r="F100828"/>
    </row>
    <row r="100829" spans="1:6" x14ac:dyDescent="0.25">
      <c r="A100829"/>
      <c r="B100829"/>
      <c r="C100829"/>
      <c r="E100829"/>
      <c r="F100829"/>
    </row>
    <row r="100830" spans="1:6" x14ac:dyDescent="0.25">
      <c r="A100830"/>
      <c r="B100830"/>
      <c r="C100830"/>
      <c r="E100830"/>
      <c r="F100830"/>
    </row>
    <row r="100831" spans="1:6" x14ac:dyDescent="0.25">
      <c r="A100831"/>
      <c r="B100831"/>
      <c r="C100831"/>
      <c r="E100831"/>
      <c r="F100831"/>
    </row>
    <row r="100832" spans="1:6" x14ac:dyDescent="0.25">
      <c r="A100832"/>
      <c r="B100832"/>
      <c r="C100832"/>
      <c r="E100832"/>
      <c r="F100832"/>
    </row>
    <row r="100833" spans="1:6" x14ac:dyDescent="0.25">
      <c r="A100833"/>
      <c r="B100833"/>
      <c r="C100833"/>
      <c r="E100833"/>
      <c r="F100833"/>
    </row>
    <row r="100834" spans="1:6" x14ac:dyDescent="0.25">
      <c r="A100834"/>
      <c r="B100834"/>
      <c r="C100834"/>
      <c r="E100834"/>
      <c r="F100834"/>
    </row>
    <row r="100835" spans="1:6" x14ac:dyDescent="0.25">
      <c r="A100835"/>
      <c r="B100835"/>
      <c r="C100835"/>
      <c r="E100835"/>
      <c r="F100835"/>
    </row>
    <row r="100836" spans="1:6" x14ac:dyDescent="0.25">
      <c r="A100836"/>
      <c r="B100836"/>
      <c r="C100836"/>
      <c r="E100836"/>
      <c r="F100836"/>
    </row>
    <row r="100837" spans="1:6" x14ac:dyDescent="0.25">
      <c r="A100837"/>
      <c r="B100837"/>
      <c r="C100837"/>
      <c r="E100837"/>
      <c r="F100837"/>
    </row>
    <row r="100838" spans="1:6" x14ac:dyDescent="0.25">
      <c r="A100838"/>
      <c r="B100838"/>
      <c r="C100838"/>
      <c r="E100838"/>
      <c r="F100838"/>
    </row>
    <row r="100839" spans="1:6" x14ac:dyDescent="0.25">
      <c r="A100839"/>
      <c r="B100839"/>
      <c r="C100839"/>
      <c r="E100839"/>
      <c r="F100839"/>
    </row>
    <row r="100840" spans="1:6" x14ac:dyDescent="0.25">
      <c r="A100840"/>
      <c r="B100840"/>
      <c r="C100840"/>
      <c r="E100840"/>
      <c r="F100840"/>
    </row>
    <row r="100841" spans="1:6" x14ac:dyDescent="0.25">
      <c r="A100841"/>
      <c r="B100841"/>
      <c r="C100841"/>
      <c r="E100841"/>
      <c r="F100841"/>
    </row>
    <row r="100842" spans="1:6" x14ac:dyDescent="0.25">
      <c r="A100842"/>
      <c r="B100842"/>
      <c r="C100842"/>
      <c r="E100842"/>
      <c r="F100842"/>
    </row>
    <row r="100843" spans="1:6" x14ac:dyDescent="0.25">
      <c r="A100843"/>
      <c r="B100843"/>
      <c r="C100843"/>
      <c r="E100843"/>
      <c r="F100843"/>
    </row>
    <row r="100844" spans="1:6" x14ac:dyDescent="0.25">
      <c r="A100844"/>
      <c r="B100844"/>
      <c r="C100844"/>
      <c r="E100844"/>
      <c r="F100844"/>
    </row>
    <row r="100845" spans="1:6" x14ac:dyDescent="0.25">
      <c r="A100845"/>
      <c r="B100845"/>
      <c r="C100845"/>
      <c r="E100845"/>
      <c r="F100845"/>
    </row>
    <row r="100846" spans="1:6" x14ac:dyDescent="0.25">
      <c r="A100846"/>
      <c r="B100846"/>
      <c r="C100846"/>
      <c r="E100846"/>
      <c r="F100846"/>
    </row>
    <row r="100847" spans="1:6" x14ac:dyDescent="0.25">
      <c r="A100847"/>
      <c r="B100847"/>
      <c r="C100847"/>
      <c r="E100847"/>
      <c r="F100847"/>
    </row>
    <row r="100848" spans="1:6" x14ac:dyDescent="0.25">
      <c r="A100848"/>
      <c r="B100848"/>
      <c r="C100848"/>
      <c r="E100848"/>
      <c r="F100848"/>
    </row>
    <row r="100849" spans="1:6" x14ac:dyDescent="0.25">
      <c r="A100849"/>
      <c r="B100849"/>
      <c r="C100849"/>
      <c r="E100849"/>
      <c r="F100849"/>
    </row>
    <row r="100850" spans="1:6" x14ac:dyDescent="0.25">
      <c r="A100850"/>
      <c r="B100850"/>
      <c r="C100850"/>
      <c r="E100850"/>
      <c r="F100850"/>
    </row>
    <row r="100851" spans="1:6" x14ac:dyDescent="0.25">
      <c r="A100851"/>
      <c r="B100851"/>
      <c r="C100851"/>
      <c r="E100851"/>
      <c r="F100851"/>
    </row>
    <row r="100852" spans="1:6" x14ac:dyDescent="0.25">
      <c r="A100852"/>
      <c r="B100852"/>
      <c r="C100852"/>
      <c r="E100852"/>
      <c r="F100852"/>
    </row>
    <row r="100853" spans="1:6" x14ac:dyDescent="0.25">
      <c r="A100853"/>
      <c r="B100853"/>
      <c r="C100853"/>
      <c r="E100853"/>
      <c r="F100853"/>
    </row>
    <row r="100854" spans="1:6" x14ac:dyDescent="0.25">
      <c r="A100854"/>
      <c r="B100854"/>
      <c r="C100854"/>
      <c r="E100854"/>
      <c r="F100854"/>
    </row>
    <row r="100855" spans="1:6" x14ac:dyDescent="0.25">
      <c r="A100855"/>
      <c r="B100855"/>
      <c r="C100855"/>
      <c r="E100855"/>
      <c r="F100855"/>
    </row>
    <row r="100856" spans="1:6" x14ac:dyDescent="0.25">
      <c r="A100856"/>
      <c r="B100856"/>
      <c r="C100856"/>
      <c r="E100856"/>
      <c r="F100856"/>
    </row>
    <row r="100857" spans="1:6" x14ac:dyDescent="0.25">
      <c r="A100857"/>
      <c r="B100857"/>
      <c r="C100857"/>
      <c r="E100857"/>
      <c r="F100857"/>
    </row>
    <row r="100858" spans="1:6" x14ac:dyDescent="0.25">
      <c r="A100858"/>
      <c r="B100858"/>
      <c r="C100858"/>
      <c r="E100858"/>
      <c r="F100858"/>
    </row>
    <row r="100859" spans="1:6" x14ac:dyDescent="0.25">
      <c r="A100859"/>
      <c r="B100859"/>
      <c r="C100859"/>
      <c r="E100859"/>
      <c r="F100859"/>
    </row>
    <row r="100860" spans="1:6" x14ac:dyDescent="0.25">
      <c r="A100860"/>
      <c r="B100860"/>
      <c r="C100860"/>
      <c r="E100860"/>
      <c r="F100860"/>
    </row>
    <row r="100861" spans="1:6" x14ac:dyDescent="0.25">
      <c r="A100861"/>
      <c r="B100861"/>
      <c r="C100861"/>
      <c r="E100861"/>
      <c r="F100861"/>
    </row>
    <row r="100862" spans="1:6" x14ac:dyDescent="0.25">
      <c r="A100862"/>
      <c r="B100862"/>
      <c r="C100862"/>
      <c r="E100862"/>
      <c r="F100862"/>
    </row>
    <row r="100863" spans="1:6" x14ac:dyDescent="0.25">
      <c r="A100863"/>
      <c r="B100863"/>
      <c r="C100863"/>
      <c r="E100863"/>
      <c r="F100863"/>
    </row>
    <row r="100864" spans="1:6" x14ac:dyDescent="0.25">
      <c r="A100864"/>
      <c r="B100864"/>
      <c r="C100864"/>
      <c r="E100864"/>
      <c r="F100864"/>
    </row>
    <row r="100865" spans="1:6" x14ac:dyDescent="0.25">
      <c r="A100865"/>
      <c r="B100865"/>
      <c r="C100865"/>
      <c r="E100865"/>
      <c r="F100865"/>
    </row>
    <row r="100866" spans="1:6" x14ac:dyDescent="0.25">
      <c r="A100866"/>
      <c r="B100866"/>
      <c r="C100866"/>
      <c r="E100866"/>
      <c r="F100866"/>
    </row>
    <row r="100867" spans="1:6" x14ac:dyDescent="0.25">
      <c r="A100867"/>
      <c r="B100867"/>
      <c r="C100867"/>
      <c r="E100867"/>
      <c r="F100867"/>
    </row>
    <row r="100868" spans="1:6" x14ac:dyDescent="0.25">
      <c r="A100868"/>
      <c r="B100868"/>
      <c r="C100868"/>
      <c r="E100868"/>
      <c r="F100868"/>
    </row>
    <row r="100869" spans="1:6" x14ac:dyDescent="0.25">
      <c r="A100869"/>
      <c r="B100869"/>
      <c r="C100869"/>
      <c r="E100869"/>
      <c r="F100869"/>
    </row>
    <row r="100870" spans="1:6" x14ac:dyDescent="0.25">
      <c r="A100870"/>
      <c r="B100870"/>
      <c r="C100870"/>
      <c r="E100870"/>
      <c r="F100870"/>
    </row>
    <row r="100871" spans="1:6" x14ac:dyDescent="0.25">
      <c r="A100871"/>
      <c r="B100871"/>
      <c r="C100871"/>
      <c r="E100871"/>
      <c r="F100871"/>
    </row>
    <row r="100872" spans="1:6" x14ac:dyDescent="0.25">
      <c r="A100872"/>
      <c r="B100872"/>
      <c r="C100872"/>
      <c r="E100872"/>
      <c r="F100872"/>
    </row>
    <row r="100873" spans="1:6" x14ac:dyDescent="0.25">
      <c r="A100873"/>
      <c r="B100873"/>
      <c r="C100873"/>
      <c r="E100873"/>
      <c r="F100873"/>
    </row>
    <row r="100874" spans="1:6" x14ac:dyDescent="0.25">
      <c r="A100874"/>
      <c r="B100874"/>
      <c r="C100874"/>
      <c r="E100874"/>
      <c r="F100874"/>
    </row>
    <row r="100875" spans="1:6" x14ac:dyDescent="0.25">
      <c r="A100875"/>
      <c r="B100875"/>
      <c r="C100875"/>
      <c r="E100875"/>
      <c r="F100875"/>
    </row>
    <row r="100876" spans="1:6" x14ac:dyDescent="0.25">
      <c r="A100876"/>
      <c r="B100876"/>
      <c r="C100876"/>
      <c r="E100876"/>
      <c r="F100876"/>
    </row>
    <row r="100877" spans="1:6" x14ac:dyDescent="0.25">
      <c r="A100877"/>
      <c r="B100877"/>
      <c r="C100877"/>
      <c r="E100877"/>
      <c r="F100877"/>
    </row>
    <row r="100878" spans="1:6" x14ac:dyDescent="0.25">
      <c r="A100878"/>
      <c r="B100878"/>
      <c r="C100878"/>
      <c r="E100878"/>
      <c r="F100878"/>
    </row>
    <row r="100879" spans="1:6" x14ac:dyDescent="0.25">
      <c r="A100879"/>
      <c r="B100879"/>
      <c r="C100879"/>
      <c r="E100879"/>
      <c r="F100879"/>
    </row>
    <row r="100880" spans="1:6" x14ac:dyDescent="0.25">
      <c r="A100880"/>
      <c r="B100880"/>
      <c r="C100880"/>
      <c r="E100880"/>
      <c r="F100880"/>
    </row>
    <row r="100881" spans="1:6" x14ac:dyDescent="0.25">
      <c r="A100881"/>
      <c r="B100881"/>
      <c r="C100881"/>
      <c r="E100881"/>
      <c r="F100881"/>
    </row>
    <row r="100882" spans="1:6" x14ac:dyDescent="0.25">
      <c r="A100882"/>
      <c r="B100882"/>
      <c r="C100882"/>
      <c r="E100882"/>
      <c r="F100882"/>
    </row>
    <row r="100883" spans="1:6" x14ac:dyDescent="0.25">
      <c r="A100883"/>
      <c r="B100883"/>
      <c r="C100883"/>
      <c r="E100883"/>
      <c r="F100883"/>
    </row>
    <row r="100884" spans="1:6" x14ac:dyDescent="0.25">
      <c r="A100884"/>
      <c r="B100884"/>
      <c r="C100884"/>
      <c r="E100884"/>
      <c r="F100884"/>
    </row>
    <row r="100885" spans="1:6" x14ac:dyDescent="0.25">
      <c r="A100885"/>
      <c r="B100885"/>
      <c r="C100885"/>
      <c r="E100885"/>
      <c r="F100885"/>
    </row>
    <row r="100886" spans="1:6" x14ac:dyDescent="0.25">
      <c r="A100886"/>
      <c r="B100886"/>
      <c r="C100886"/>
      <c r="E100886"/>
      <c r="F100886"/>
    </row>
    <row r="100887" spans="1:6" x14ac:dyDescent="0.25">
      <c r="A100887"/>
      <c r="B100887"/>
      <c r="C100887"/>
      <c r="E100887"/>
      <c r="F100887"/>
    </row>
    <row r="100888" spans="1:6" x14ac:dyDescent="0.25">
      <c r="A100888"/>
      <c r="B100888"/>
      <c r="C100888"/>
      <c r="E100888"/>
      <c r="F100888"/>
    </row>
    <row r="100889" spans="1:6" x14ac:dyDescent="0.25">
      <c r="A100889"/>
      <c r="B100889"/>
      <c r="C100889"/>
      <c r="E100889"/>
      <c r="F100889"/>
    </row>
    <row r="100890" spans="1:6" x14ac:dyDescent="0.25">
      <c r="A100890"/>
      <c r="B100890"/>
      <c r="C100890"/>
      <c r="E100890"/>
      <c r="F100890"/>
    </row>
    <row r="100891" spans="1:6" x14ac:dyDescent="0.25">
      <c r="A100891"/>
      <c r="B100891"/>
      <c r="C100891"/>
      <c r="E100891"/>
      <c r="F100891"/>
    </row>
    <row r="100892" spans="1:6" x14ac:dyDescent="0.25">
      <c r="A100892"/>
      <c r="B100892"/>
      <c r="C100892"/>
      <c r="E100892"/>
      <c r="F100892"/>
    </row>
    <row r="100893" spans="1:6" x14ac:dyDescent="0.25">
      <c r="A100893"/>
      <c r="B100893"/>
      <c r="C100893"/>
      <c r="E100893"/>
      <c r="F100893"/>
    </row>
    <row r="100894" spans="1:6" x14ac:dyDescent="0.25">
      <c r="A100894"/>
      <c r="B100894"/>
      <c r="C100894"/>
      <c r="E100894"/>
      <c r="F100894"/>
    </row>
    <row r="100895" spans="1:6" x14ac:dyDescent="0.25">
      <c r="A100895"/>
      <c r="B100895"/>
      <c r="C100895"/>
      <c r="E100895"/>
      <c r="F100895"/>
    </row>
    <row r="100896" spans="1:6" x14ac:dyDescent="0.25">
      <c r="A100896"/>
      <c r="B100896"/>
      <c r="C100896"/>
      <c r="E100896"/>
      <c r="F100896"/>
    </row>
    <row r="100897" spans="1:6" x14ac:dyDescent="0.25">
      <c r="A100897"/>
      <c r="B100897"/>
      <c r="C100897"/>
      <c r="E100897"/>
      <c r="F100897"/>
    </row>
    <row r="100898" spans="1:6" x14ac:dyDescent="0.25">
      <c r="A100898"/>
      <c r="B100898"/>
      <c r="C100898"/>
      <c r="E100898"/>
      <c r="F100898"/>
    </row>
    <row r="100899" spans="1:6" x14ac:dyDescent="0.25">
      <c r="A100899"/>
      <c r="B100899"/>
      <c r="C100899"/>
      <c r="E100899"/>
      <c r="F100899"/>
    </row>
    <row r="100900" spans="1:6" x14ac:dyDescent="0.25">
      <c r="A100900"/>
      <c r="B100900"/>
      <c r="C100900"/>
      <c r="E100900"/>
      <c r="F100900"/>
    </row>
    <row r="100901" spans="1:6" x14ac:dyDescent="0.25">
      <c r="A100901"/>
      <c r="B100901"/>
      <c r="C100901"/>
      <c r="E100901"/>
      <c r="F100901"/>
    </row>
    <row r="100902" spans="1:6" x14ac:dyDescent="0.25">
      <c r="A100902"/>
      <c r="B100902"/>
      <c r="C100902"/>
      <c r="E100902"/>
      <c r="F100902"/>
    </row>
    <row r="100903" spans="1:6" x14ac:dyDescent="0.25">
      <c r="A100903"/>
      <c r="B100903"/>
      <c r="C100903"/>
      <c r="E100903"/>
      <c r="F100903"/>
    </row>
    <row r="100904" spans="1:6" x14ac:dyDescent="0.25">
      <c r="A100904"/>
      <c r="B100904"/>
      <c r="C100904"/>
      <c r="E100904"/>
      <c r="F100904"/>
    </row>
    <row r="100905" spans="1:6" x14ac:dyDescent="0.25">
      <c r="A100905"/>
      <c r="B100905"/>
      <c r="C100905"/>
      <c r="E100905"/>
      <c r="F100905"/>
    </row>
    <row r="100906" spans="1:6" x14ac:dyDescent="0.25">
      <c r="A100906"/>
      <c r="B100906"/>
      <c r="C100906"/>
      <c r="E100906"/>
      <c r="F100906"/>
    </row>
    <row r="100907" spans="1:6" x14ac:dyDescent="0.25">
      <c r="A100907"/>
      <c r="B100907"/>
      <c r="C100907"/>
      <c r="E100907"/>
      <c r="F100907"/>
    </row>
    <row r="100908" spans="1:6" x14ac:dyDescent="0.25">
      <c r="A100908"/>
      <c r="B100908"/>
      <c r="C100908"/>
      <c r="E100908"/>
      <c r="F100908"/>
    </row>
    <row r="100909" spans="1:6" x14ac:dyDescent="0.25">
      <c r="A100909"/>
      <c r="B100909"/>
      <c r="C100909"/>
      <c r="E100909"/>
      <c r="F100909"/>
    </row>
    <row r="100910" spans="1:6" x14ac:dyDescent="0.25">
      <c r="A100910"/>
      <c r="B100910"/>
      <c r="C100910"/>
      <c r="E100910"/>
      <c r="F100910"/>
    </row>
    <row r="100911" spans="1:6" x14ac:dyDescent="0.25">
      <c r="A100911"/>
      <c r="B100911"/>
      <c r="C100911"/>
      <c r="E100911"/>
      <c r="F100911"/>
    </row>
    <row r="100912" spans="1:6" x14ac:dyDescent="0.25">
      <c r="A100912"/>
      <c r="B100912"/>
      <c r="C100912"/>
      <c r="E100912"/>
      <c r="F100912"/>
    </row>
    <row r="100913" spans="1:6" x14ac:dyDescent="0.25">
      <c r="A100913"/>
      <c r="B100913"/>
      <c r="C100913"/>
      <c r="E100913"/>
      <c r="F100913"/>
    </row>
    <row r="100914" spans="1:6" x14ac:dyDescent="0.25">
      <c r="A100914"/>
      <c r="B100914"/>
      <c r="C100914"/>
      <c r="E100914"/>
      <c r="F100914"/>
    </row>
    <row r="100915" spans="1:6" x14ac:dyDescent="0.25">
      <c r="A100915"/>
      <c r="B100915"/>
      <c r="C100915"/>
      <c r="E100915"/>
      <c r="F100915"/>
    </row>
    <row r="100916" spans="1:6" x14ac:dyDescent="0.25">
      <c r="A100916"/>
      <c r="B100916"/>
      <c r="C100916"/>
      <c r="E100916"/>
      <c r="F100916"/>
    </row>
    <row r="100917" spans="1:6" x14ac:dyDescent="0.25">
      <c r="A100917"/>
      <c r="B100917"/>
      <c r="C100917"/>
      <c r="E100917"/>
      <c r="F100917"/>
    </row>
    <row r="100918" spans="1:6" x14ac:dyDescent="0.25">
      <c r="A100918"/>
      <c r="B100918"/>
      <c r="C100918"/>
      <c r="E100918"/>
      <c r="F100918"/>
    </row>
    <row r="100919" spans="1:6" x14ac:dyDescent="0.25">
      <c r="A100919"/>
      <c r="B100919"/>
      <c r="C100919"/>
      <c r="E100919"/>
      <c r="F100919"/>
    </row>
    <row r="100920" spans="1:6" x14ac:dyDescent="0.25">
      <c r="A100920"/>
      <c r="B100920"/>
      <c r="C100920"/>
      <c r="E100920"/>
      <c r="F100920"/>
    </row>
    <row r="100921" spans="1:6" x14ac:dyDescent="0.25">
      <c r="A100921"/>
      <c r="B100921"/>
      <c r="C100921"/>
      <c r="E100921"/>
      <c r="F100921"/>
    </row>
    <row r="100922" spans="1:6" x14ac:dyDescent="0.25">
      <c r="A100922"/>
      <c r="B100922"/>
      <c r="C100922"/>
      <c r="E100922"/>
      <c r="F100922"/>
    </row>
    <row r="100923" spans="1:6" x14ac:dyDescent="0.25">
      <c r="A100923"/>
      <c r="B100923"/>
      <c r="C100923"/>
      <c r="E100923"/>
      <c r="F100923"/>
    </row>
    <row r="100924" spans="1:6" x14ac:dyDescent="0.25">
      <c r="A100924"/>
      <c r="B100924"/>
      <c r="C100924"/>
      <c r="E100924"/>
      <c r="F100924"/>
    </row>
    <row r="100925" spans="1:6" x14ac:dyDescent="0.25">
      <c r="A100925"/>
      <c r="B100925"/>
      <c r="C100925"/>
      <c r="E100925"/>
      <c r="F100925"/>
    </row>
    <row r="100926" spans="1:6" x14ac:dyDescent="0.25">
      <c r="A100926"/>
      <c r="B100926"/>
      <c r="C100926"/>
      <c r="E100926"/>
      <c r="F100926"/>
    </row>
    <row r="100927" spans="1:6" x14ac:dyDescent="0.25">
      <c r="A100927"/>
      <c r="B100927"/>
      <c r="C100927"/>
      <c r="E100927"/>
      <c r="F100927"/>
    </row>
    <row r="100928" spans="1:6" x14ac:dyDescent="0.25">
      <c r="A100928"/>
      <c r="B100928"/>
      <c r="C100928"/>
      <c r="E100928"/>
      <c r="F100928"/>
    </row>
    <row r="100929" spans="1:6" x14ac:dyDescent="0.25">
      <c r="A100929"/>
      <c r="B100929"/>
      <c r="C100929"/>
      <c r="E100929"/>
      <c r="F100929"/>
    </row>
    <row r="100930" spans="1:6" x14ac:dyDescent="0.25">
      <c r="A100930"/>
      <c r="B100930"/>
      <c r="C100930"/>
      <c r="E100930"/>
      <c r="F100930"/>
    </row>
    <row r="100931" spans="1:6" x14ac:dyDescent="0.25">
      <c r="A100931"/>
      <c r="B100931"/>
      <c r="C100931"/>
      <c r="E100931"/>
      <c r="F100931"/>
    </row>
    <row r="100932" spans="1:6" x14ac:dyDescent="0.25">
      <c r="A100932"/>
      <c r="B100932"/>
      <c r="C100932"/>
      <c r="E100932"/>
      <c r="F100932"/>
    </row>
    <row r="100933" spans="1:6" x14ac:dyDescent="0.25">
      <c r="A100933"/>
      <c r="B100933"/>
      <c r="C100933"/>
      <c r="E100933"/>
      <c r="F100933"/>
    </row>
    <row r="100934" spans="1:6" x14ac:dyDescent="0.25">
      <c r="A100934"/>
      <c r="B100934"/>
      <c r="C100934"/>
      <c r="E100934"/>
      <c r="F100934"/>
    </row>
    <row r="100935" spans="1:6" x14ac:dyDescent="0.25">
      <c r="A100935"/>
      <c r="B100935"/>
      <c r="C100935"/>
      <c r="E100935"/>
      <c r="F100935"/>
    </row>
    <row r="100936" spans="1:6" x14ac:dyDescent="0.25">
      <c r="A100936"/>
      <c r="B100936"/>
      <c r="C100936"/>
      <c r="E100936"/>
      <c r="F100936"/>
    </row>
    <row r="100937" spans="1:6" x14ac:dyDescent="0.25">
      <c r="A100937"/>
      <c r="B100937"/>
      <c r="C100937"/>
      <c r="E100937"/>
      <c r="F100937"/>
    </row>
    <row r="100938" spans="1:6" x14ac:dyDescent="0.25">
      <c r="A100938"/>
      <c r="B100938"/>
      <c r="C100938"/>
      <c r="E100938"/>
      <c r="F100938"/>
    </row>
    <row r="100939" spans="1:6" x14ac:dyDescent="0.25">
      <c r="A100939"/>
      <c r="B100939"/>
      <c r="C100939"/>
      <c r="E100939"/>
      <c r="F100939"/>
    </row>
    <row r="100940" spans="1:6" x14ac:dyDescent="0.25">
      <c r="A100940"/>
      <c r="B100940"/>
      <c r="C100940"/>
      <c r="E100940"/>
      <c r="F100940"/>
    </row>
    <row r="100941" spans="1:6" x14ac:dyDescent="0.25">
      <c r="A100941"/>
      <c r="B100941"/>
      <c r="C100941"/>
      <c r="E100941"/>
      <c r="F100941"/>
    </row>
    <row r="100942" spans="1:6" x14ac:dyDescent="0.25">
      <c r="A100942"/>
      <c r="B100942"/>
      <c r="C100942"/>
      <c r="E100942"/>
      <c r="F100942"/>
    </row>
    <row r="100943" spans="1:6" x14ac:dyDescent="0.25">
      <c r="A100943"/>
      <c r="B100943"/>
      <c r="C100943"/>
      <c r="E100943"/>
      <c r="F100943"/>
    </row>
    <row r="100944" spans="1:6" x14ac:dyDescent="0.25">
      <c r="A100944"/>
      <c r="B100944"/>
      <c r="C100944"/>
      <c r="E100944"/>
      <c r="F100944"/>
    </row>
    <row r="100945" spans="1:6" x14ac:dyDescent="0.25">
      <c r="A100945"/>
      <c r="B100945"/>
      <c r="C100945"/>
      <c r="E100945"/>
      <c r="F100945"/>
    </row>
    <row r="100946" spans="1:6" x14ac:dyDescent="0.25">
      <c r="A100946"/>
      <c r="B100946"/>
      <c r="C100946"/>
      <c r="E100946"/>
      <c r="F100946"/>
    </row>
    <row r="100947" spans="1:6" x14ac:dyDescent="0.25">
      <c r="A100947"/>
      <c r="B100947"/>
      <c r="C100947"/>
      <c r="E100947"/>
      <c r="F100947"/>
    </row>
    <row r="100948" spans="1:6" x14ac:dyDescent="0.25">
      <c r="A100948"/>
      <c r="B100948"/>
      <c r="C100948"/>
      <c r="E100948"/>
      <c r="F100948"/>
    </row>
    <row r="100949" spans="1:6" x14ac:dyDescent="0.25">
      <c r="A100949"/>
      <c r="B100949"/>
      <c r="C100949"/>
      <c r="E100949"/>
      <c r="F100949"/>
    </row>
    <row r="100950" spans="1:6" x14ac:dyDescent="0.25">
      <c r="A100950"/>
      <c r="B100950"/>
      <c r="C100950"/>
      <c r="E100950"/>
      <c r="F100950"/>
    </row>
    <row r="100951" spans="1:6" x14ac:dyDescent="0.25">
      <c r="A100951"/>
      <c r="B100951"/>
      <c r="C100951"/>
      <c r="E100951"/>
      <c r="F100951"/>
    </row>
    <row r="100952" spans="1:6" x14ac:dyDescent="0.25">
      <c r="A100952"/>
      <c r="B100952"/>
      <c r="C100952"/>
      <c r="E100952"/>
      <c r="F100952"/>
    </row>
    <row r="100953" spans="1:6" x14ac:dyDescent="0.25">
      <c r="A100953"/>
      <c r="B100953"/>
      <c r="C100953"/>
      <c r="E100953"/>
      <c r="F100953"/>
    </row>
    <row r="100954" spans="1:6" x14ac:dyDescent="0.25">
      <c r="A100954"/>
      <c r="B100954"/>
      <c r="C100954"/>
      <c r="E100954"/>
      <c r="F100954"/>
    </row>
    <row r="100955" spans="1:6" x14ac:dyDescent="0.25">
      <c r="A100955"/>
      <c r="B100955"/>
      <c r="C100955"/>
      <c r="E100955"/>
      <c r="F100955"/>
    </row>
    <row r="100956" spans="1:6" x14ac:dyDescent="0.25">
      <c r="A100956"/>
      <c r="B100956"/>
      <c r="C100956"/>
      <c r="E100956"/>
      <c r="F100956"/>
    </row>
    <row r="100957" spans="1:6" x14ac:dyDescent="0.25">
      <c r="A100957"/>
      <c r="B100957"/>
      <c r="C100957"/>
      <c r="E100957"/>
      <c r="F100957"/>
    </row>
    <row r="100958" spans="1:6" x14ac:dyDescent="0.25">
      <c r="A100958"/>
      <c r="B100958"/>
      <c r="C100958"/>
      <c r="E100958"/>
      <c r="F100958"/>
    </row>
    <row r="100959" spans="1:6" x14ac:dyDescent="0.25">
      <c r="A100959"/>
      <c r="B100959"/>
      <c r="C100959"/>
      <c r="E100959"/>
      <c r="F100959"/>
    </row>
    <row r="100960" spans="1:6" x14ac:dyDescent="0.25">
      <c r="A100960"/>
      <c r="B100960"/>
      <c r="C100960"/>
      <c r="E100960"/>
      <c r="F100960"/>
    </row>
    <row r="100961" spans="1:6" x14ac:dyDescent="0.25">
      <c r="A100961"/>
      <c r="B100961"/>
      <c r="C100961"/>
      <c r="E100961"/>
      <c r="F100961"/>
    </row>
    <row r="100962" spans="1:6" x14ac:dyDescent="0.25">
      <c r="A100962"/>
      <c r="B100962"/>
      <c r="C100962"/>
      <c r="E100962"/>
      <c r="F100962"/>
    </row>
    <row r="100963" spans="1:6" x14ac:dyDescent="0.25">
      <c r="A100963"/>
      <c r="B100963"/>
      <c r="C100963"/>
      <c r="E100963"/>
      <c r="F100963"/>
    </row>
    <row r="100964" spans="1:6" x14ac:dyDescent="0.25">
      <c r="A100964"/>
      <c r="B100964"/>
      <c r="C100964"/>
      <c r="E100964"/>
      <c r="F100964"/>
    </row>
    <row r="100965" spans="1:6" x14ac:dyDescent="0.25">
      <c r="A100965"/>
      <c r="B100965"/>
      <c r="C100965"/>
      <c r="E100965"/>
      <c r="F100965"/>
    </row>
    <row r="100966" spans="1:6" x14ac:dyDescent="0.25">
      <c r="A100966"/>
      <c r="B100966"/>
      <c r="C100966"/>
      <c r="E100966"/>
      <c r="F100966"/>
    </row>
    <row r="100967" spans="1:6" x14ac:dyDescent="0.25">
      <c r="A100967"/>
      <c r="B100967"/>
      <c r="C100967"/>
      <c r="E100967"/>
      <c r="F100967"/>
    </row>
    <row r="100968" spans="1:6" x14ac:dyDescent="0.25">
      <c r="A100968"/>
      <c r="B100968"/>
      <c r="C100968"/>
      <c r="E100968"/>
      <c r="F100968"/>
    </row>
    <row r="100969" spans="1:6" x14ac:dyDescent="0.25">
      <c r="A100969"/>
      <c r="B100969"/>
      <c r="C100969"/>
      <c r="E100969"/>
      <c r="F100969"/>
    </row>
    <row r="100970" spans="1:6" x14ac:dyDescent="0.25">
      <c r="A100970"/>
      <c r="B100970"/>
      <c r="C100970"/>
      <c r="E100970"/>
      <c r="F100970"/>
    </row>
    <row r="100971" spans="1:6" x14ac:dyDescent="0.25">
      <c r="A100971"/>
      <c r="B100971"/>
      <c r="C100971"/>
      <c r="E100971"/>
      <c r="F100971"/>
    </row>
    <row r="100972" spans="1:6" x14ac:dyDescent="0.25">
      <c r="A100972"/>
      <c r="B100972"/>
      <c r="C100972"/>
      <c r="E100972"/>
      <c r="F100972"/>
    </row>
    <row r="100973" spans="1:6" x14ac:dyDescent="0.25">
      <c r="A100973"/>
      <c r="B100973"/>
      <c r="C100973"/>
      <c r="E100973"/>
      <c r="F100973"/>
    </row>
    <row r="100974" spans="1:6" x14ac:dyDescent="0.25">
      <c r="A100974"/>
      <c r="B100974"/>
      <c r="C100974"/>
      <c r="E100974"/>
      <c r="F100974"/>
    </row>
    <row r="100975" spans="1:6" x14ac:dyDescent="0.25">
      <c r="A100975"/>
      <c r="B100975"/>
      <c r="C100975"/>
      <c r="E100975"/>
      <c r="F100975"/>
    </row>
    <row r="100976" spans="1:6" x14ac:dyDescent="0.25">
      <c r="A100976"/>
      <c r="B100976"/>
      <c r="C100976"/>
      <c r="E100976"/>
      <c r="F100976"/>
    </row>
    <row r="100977" spans="1:6" x14ac:dyDescent="0.25">
      <c r="A100977"/>
      <c r="B100977"/>
      <c r="C100977"/>
      <c r="E100977"/>
      <c r="F100977"/>
    </row>
    <row r="100978" spans="1:6" x14ac:dyDescent="0.25">
      <c r="A100978"/>
      <c r="B100978"/>
      <c r="C100978"/>
      <c r="E100978"/>
      <c r="F100978"/>
    </row>
    <row r="100979" spans="1:6" x14ac:dyDescent="0.25">
      <c r="A100979"/>
      <c r="B100979"/>
      <c r="C100979"/>
      <c r="E100979"/>
      <c r="F100979"/>
    </row>
    <row r="100980" spans="1:6" x14ac:dyDescent="0.25">
      <c r="A100980"/>
      <c r="B100980"/>
      <c r="C100980"/>
      <c r="E100980"/>
      <c r="F100980"/>
    </row>
    <row r="100981" spans="1:6" x14ac:dyDescent="0.25">
      <c r="A100981"/>
      <c r="B100981"/>
      <c r="C100981"/>
      <c r="E100981"/>
      <c r="F100981"/>
    </row>
    <row r="100982" spans="1:6" x14ac:dyDescent="0.25">
      <c r="A100982"/>
      <c r="B100982"/>
      <c r="C100982"/>
      <c r="E100982"/>
      <c r="F100982"/>
    </row>
    <row r="100983" spans="1:6" x14ac:dyDescent="0.25">
      <c r="A100983"/>
      <c r="B100983"/>
      <c r="C100983"/>
      <c r="E100983"/>
      <c r="F100983"/>
    </row>
    <row r="100984" spans="1:6" x14ac:dyDescent="0.25">
      <c r="A100984"/>
      <c r="B100984"/>
      <c r="C100984"/>
      <c r="E100984"/>
      <c r="F100984"/>
    </row>
    <row r="100985" spans="1:6" x14ac:dyDescent="0.25">
      <c r="A100985"/>
      <c r="B100985"/>
      <c r="C100985"/>
      <c r="E100985"/>
      <c r="F100985"/>
    </row>
    <row r="100986" spans="1:6" x14ac:dyDescent="0.25">
      <c r="A100986"/>
      <c r="B100986"/>
      <c r="C100986"/>
      <c r="E100986"/>
      <c r="F100986"/>
    </row>
    <row r="100987" spans="1:6" x14ac:dyDescent="0.25">
      <c r="A100987"/>
      <c r="B100987"/>
      <c r="C100987"/>
      <c r="E100987"/>
      <c r="F100987"/>
    </row>
    <row r="100988" spans="1:6" x14ac:dyDescent="0.25">
      <c r="A100988"/>
      <c r="B100988"/>
      <c r="C100988"/>
      <c r="E100988"/>
      <c r="F100988"/>
    </row>
    <row r="100989" spans="1:6" x14ac:dyDescent="0.25">
      <c r="A100989"/>
      <c r="B100989"/>
      <c r="C100989"/>
      <c r="E100989"/>
      <c r="F100989"/>
    </row>
    <row r="100990" spans="1:6" x14ac:dyDescent="0.25">
      <c r="A100990"/>
      <c r="B100990"/>
      <c r="C100990"/>
      <c r="E100990"/>
      <c r="F100990"/>
    </row>
    <row r="100991" spans="1:6" x14ac:dyDescent="0.25">
      <c r="A100991"/>
      <c r="B100991"/>
      <c r="C100991"/>
      <c r="E100991"/>
      <c r="F100991"/>
    </row>
    <row r="100992" spans="1:6" x14ac:dyDescent="0.25">
      <c r="A100992"/>
      <c r="B100992"/>
      <c r="C100992"/>
      <c r="E100992"/>
      <c r="F100992"/>
    </row>
    <row r="100993" spans="1:6" x14ac:dyDescent="0.25">
      <c r="A100993"/>
      <c r="B100993"/>
      <c r="C100993"/>
      <c r="E100993"/>
      <c r="F100993"/>
    </row>
    <row r="100994" spans="1:6" x14ac:dyDescent="0.25">
      <c r="A100994"/>
      <c r="B100994"/>
      <c r="C100994"/>
      <c r="E100994"/>
      <c r="F100994"/>
    </row>
    <row r="100995" spans="1:6" x14ac:dyDescent="0.25">
      <c r="A100995"/>
      <c r="B100995"/>
      <c r="C100995"/>
      <c r="E100995"/>
      <c r="F100995"/>
    </row>
    <row r="100996" spans="1:6" x14ac:dyDescent="0.25">
      <c r="A100996"/>
      <c r="B100996"/>
      <c r="C100996"/>
      <c r="E100996"/>
      <c r="F100996"/>
    </row>
    <row r="100997" spans="1:6" x14ac:dyDescent="0.25">
      <c r="A100997"/>
      <c r="B100997"/>
      <c r="C100997"/>
      <c r="E100997"/>
      <c r="F100997"/>
    </row>
    <row r="100998" spans="1:6" x14ac:dyDescent="0.25">
      <c r="A100998"/>
      <c r="B100998"/>
      <c r="C100998"/>
      <c r="E100998"/>
      <c r="F100998"/>
    </row>
    <row r="100999" spans="1:6" x14ac:dyDescent="0.25">
      <c r="A100999"/>
      <c r="B100999"/>
      <c r="C100999"/>
      <c r="E100999"/>
      <c r="F100999"/>
    </row>
    <row r="101000" spans="1:6" x14ac:dyDescent="0.25">
      <c r="A101000"/>
      <c r="B101000"/>
      <c r="C101000"/>
      <c r="E101000"/>
      <c r="F101000"/>
    </row>
    <row r="101001" spans="1:6" x14ac:dyDescent="0.25">
      <c r="A101001"/>
      <c r="B101001"/>
      <c r="C101001"/>
      <c r="E101001"/>
      <c r="F101001"/>
    </row>
    <row r="101002" spans="1:6" x14ac:dyDescent="0.25">
      <c r="A101002"/>
      <c r="B101002"/>
      <c r="C101002"/>
      <c r="E101002"/>
      <c r="F101002"/>
    </row>
    <row r="101003" spans="1:6" x14ac:dyDescent="0.25">
      <c r="A101003"/>
      <c r="B101003"/>
      <c r="C101003"/>
      <c r="E101003"/>
      <c r="F101003"/>
    </row>
    <row r="101004" spans="1:6" x14ac:dyDescent="0.25">
      <c r="A101004"/>
      <c r="B101004"/>
      <c r="C101004"/>
      <c r="E101004"/>
      <c r="F101004"/>
    </row>
    <row r="101005" spans="1:6" x14ac:dyDescent="0.25">
      <c r="A101005"/>
      <c r="B101005"/>
      <c r="C101005"/>
      <c r="E101005"/>
      <c r="F101005"/>
    </row>
    <row r="101006" spans="1:6" x14ac:dyDescent="0.25">
      <c r="A101006"/>
      <c r="B101006"/>
      <c r="C101006"/>
      <c r="E101006"/>
      <c r="F101006"/>
    </row>
    <row r="101007" spans="1:6" x14ac:dyDescent="0.25">
      <c r="A101007"/>
      <c r="B101007"/>
      <c r="C101007"/>
      <c r="E101007"/>
      <c r="F101007"/>
    </row>
    <row r="101008" spans="1:6" x14ac:dyDescent="0.25">
      <c r="A101008"/>
      <c r="B101008"/>
      <c r="C101008"/>
      <c r="E101008"/>
      <c r="F101008"/>
    </row>
    <row r="101009" spans="1:6" x14ac:dyDescent="0.25">
      <c r="A101009"/>
      <c r="B101009"/>
      <c r="C101009"/>
      <c r="E101009"/>
      <c r="F101009"/>
    </row>
    <row r="101010" spans="1:6" x14ac:dyDescent="0.25">
      <c r="A101010"/>
      <c r="B101010"/>
      <c r="C101010"/>
      <c r="E101010"/>
      <c r="F101010"/>
    </row>
    <row r="101011" spans="1:6" x14ac:dyDescent="0.25">
      <c r="A101011"/>
      <c r="B101011"/>
      <c r="C101011"/>
      <c r="E101011"/>
      <c r="F101011"/>
    </row>
    <row r="101012" spans="1:6" x14ac:dyDescent="0.25">
      <c r="A101012"/>
      <c r="B101012"/>
      <c r="C101012"/>
      <c r="E101012"/>
      <c r="F101012"/>
    </row>
    <row r="101013" spans="1:6" x14ac:dyDescent="0.25">
      <c r="A101013"/>
      <c r="B101013"/>
      <c r="C101013"/>
      <c r="E101013"/>
      <c r="F101013"/>
    </row>
    <row r="101014" spans="1:6" x14ac:dyDescent="0.25">
      <c r="A101014"/>
      <c r="B101014"/>
      <c r="C101014"/>
      <c r="E101014"/>
      <c r="F101014"/>
    </row>
    <row r="101015" spans="1:6" x14ac:dyDescent="0.25">
      <c r="A101015"/>
      <c r="B101015"/>
      <c r="C101015"/>
      <c r="E101015"/>
      <c r="F101015"/>
    </row>
    <row r="101016" spans="1:6" x14ac:dyDescent="0.25">
      <c r="A101016"/>
      <c r="B101016"/>
      <c r="C101016"/>
      <c r="E101016"/>
      <c r="F101016"/>
    </row>
    <row r="101017" spans="1:6" x14ac:dyDescent="0.25">
      <c r="A101017"/>
      <c r="B101017"/>
      <c r="C101017"/>
      <c r="E101017"/>
      <c r="F101017"/>
    </row>
    <row r="101018" spans="1:6" x14ac:dyDescent="0.25">
      <c r="A101018"/>
      <c r="B101018"/>
      <c r="C101018"/>
      <c r="E101018"/>
      <c r="F101018"/>
    </row>
    <row r="101019" spans="1:6" x14ac:dyDescent="0.25">
      <c r="A101019"/>
      <c r="B101019"/>
      <c r="C101019"/>
      <c r="E101019"/>
      <c r="F101019"/>
    </row>
    <row r="101020" spans="1:6" x14ac:dyDescent="0.25">
      <c r="A101020"/>
      <c r="B101020"/>
      <c r="C101020"/>
      <c r="E101020"/>
      <c r="F101020"/>
    </row>
    <row r="101021" spans="1:6" x14ac:dyDescent="0.25">
      <c r="A101021"/>
      <c r="B101021"/>
      <c r="C101021"/>
      <c r="E101021"/>
      <c r="F101021"/>
    </row>
    <row r="101022" spans="1:6" x14ac:dyDescent="0.25">
      <c r="A101022"/>
      <c r="B101022"/>
      <c r="C101022"/>
      <c r="E101022"/>
      <c r="F101022"/>
    </row>
    <row r="101023" spans="1:6" x14ac:dyDescent="0.25">
      <c r="A101023"/>
      <c r="B101023"/>
      <c r="C101023"/>
      <c r="E101023"/>
      <c r="F101023"/>
    </row>
    <row r="101024" spans="1:6" x14ac:dyDescent="0.25">
      <c r="A101024"/>
      <c r="B101024"/>
      <c r="C101024"/>
      <c r="E101024"/>
      <c r="F101024"/>
    </row>
    <row r="101025" spans="1:6" x14ac:dyDescent="0.25">
      <c r="A101025"/>
      <c r="B101025"/>
      <c r="C101025"/>
      <c r="E101025"/>
      <c r="F101025"/>
    </row>
    <row r="101026" spans="1:6" x14ac:dyDescent="0.25">
      <c r="A101026"/>
      <c r="B101026"/>
      <c r="C101026"/>
      <c r="E101026"/>
      <c r="F101026"/>
    </row>
    <row r="101027" spans="1:6" x14ac:dyDescent="0.25">
      <c r="A101027"/>
      <c r="B101027"/>
      <c r="C101027"/>
      <c r="E101027"/>
      <c r="F101027"/>
    </row>
    <row r="101028" spans="1:6" x14ac:dyDescent="0.25">
      <c r="A101028"/>
      <c r="B101028"/>
      <c r="C101028"/>
      <c r="E101028"/>
      <c r="F101028"/>
    </row>
    <row r="101029" spans="1:6" x14ac:dyDescent="0.25">
      <c r="A101029"/>
      <c r="B101029"/>
      <c r="C101029"/>
      <c r="E101029"/>
      <c r="F101029"/>
    </row>
    <row r="101030" spans="1:6" x14ac:dyDescent="0.25">
      <c r="A101030"/>
      <c r="B101030"/>
      <c r="C101030"/>
      <c r="E101030"/>
      <c r="F101030"/>
    </row>
    <row r="101031" spans="1:6" x14ac:dyDescent="0.25">
      <c r="A101031"/>
      <c r="B101031"/>
      <c r="C101031"/>
      <c r="E101031"/>
      <c r="F101031"/>
    </row>
    <row r="101032" spans="1:6" x14ac:dyDescent="0.25">
      <c r="A101032"/>
      <c r="B101032"/>
      <c r="C101032"/>
      <c r="E101032"/>
      <c r="F101032"/>
    </row>
    <row r="101033" spans="1:6" x14ac:dyDescent="0.25">
      <c r="A101033"/>
      <c r="B101033"/>
      <c r="C101033"/>
      <c r="E101033"/>
      <c r="F101033"/>
    </row>
    <row r="101034" spans="1:6" x14ac:dyDescent="0.25">
      <c r="A101034"/>
      <c r="B101034"/>
      <c r="C101034"/>
      <c r="E101034"/>
      <c r="F101034"/>
    </row>
    <row r="101035" spans="1:6" x14ac:dyDescent="0.25">
      <c r="A101035"/>
      <c r="B101035"/>
      <c r="C101035"/>
      <c r="E101035"/>
      <c r="F101035"/>
    </row>
    <row r="101036" spans="1:6" x14ac:dyDescent="0.25">
      <c r="A101036"/>
      <c r="B101036"/>
      <c r="C101036"/>
      <c r="E101036"/>
      <c r="F101036"/>
    </row>
    <row r="101037" spans="1:6" x14ac:dyDescent="0.25">
      <c r="A101037"/>
      <c r="B101037"/>
      <c r="C101037"/>
      <c r="E101037"/>
      <c r="F101037"/>
    </row>
    <row r="101038" spans="1:6" x14ac:dyDescent="0.25">
      <c r="A101038"/>
      <c r="B101038"/>
      <c r="C101038"/>
      <c r="E101038"/>
      <c r="F101038"/>
    </row>
    <row r="101039" spans="1:6" x14ac:dyDescent="0.25">
      <c r="A101039"/>
      <c r="B101039"/>
      <c r="C101039"/>
      <c r="E101039"/>
      <c r="F101039"/>
    </row>
    <row r="101040" spans="1:6" x14ac:dyDescent="0.25">
      <c r="A101040"/>
      <c r="B101040"/>
      <c r="C101040"/>
      <c r="E101040"/>
      <c r="F101040"/>
    </row>
    <row r="101041" spans="1:6" x14ac:dyDescent="0.25">
      <c r="A101041"/>
      <c r="B101041"/>
      <c r="C101041"/>
      <c r="E101041"/>
      <c r="F101041"/>
    </row>
    <row r="101042" spans="1:6" x14ac:dyDescent="0.25">
      <c r="A101042"/>
      <c r="B101042"/>
      <c r="C101042"/>
      <c r="E101042"/>
      <c r="F101042"/>
    </row>
    <row r="101043" spans="1:6" x14ac:dyDescent="0.25">
      <c r="A101043"/>
      <c r="B101043"/>
      <c r="C101043"/>
      <c r="E101043"/>
      <c r="F101043"/>
    </row>
    <row r="101044" spans="1:6" x14ac:dyDescent="0.25">
      <c r="A101044"/>
      <c r="B101044"/>
      <c r="C101044"/>
      <c r="E101044"/>
      <c r="F101044"/>
    </row>
    <row r="101045" spans="1:6" x14ac:dyDescent="0.25">
      <c r="A101045"/>
      <c r="B101045"/>
      <c r="C101045"/>
      <c r="E101045"/>
      <c r="F101045"/>
    </row>
    <row r="101046" spans="1:6" x14ac:dyDescent="0.25">
      <c r="A101046"/>
      <c r="B101046"/>
      <c r="C101046"/>
      <c r="E101046"/>
      <c r="F101046"/>
    </row>
    <row r="101047" spans="1:6" x14ac:dyDescent="0.25">
      <c r="A101047"/>
      <c r="B101047"/>
      <c r="C101047"/>
      <c r="E101047"/>
      <c r="F101047"/>
    </row>
    <row r="101048" spans="1:6" x14ac:dyDescent="0.25">
      <c r="A101048"/>
      <c r="B101048"/>
      <c r="C101048"/>
      <c r="E101048"/>
      <c r="F101048"/>
    </row>
    <row r="101049" spans="1:6" x14ac:dyDescent="0.25">
      <c r="A101049"/>
      <c r="B101049"/>
      <c r="C101049"/>
      <c r="E101049"/>
      <c r="F101049"/>
    </row>
    <row r="101050" spans="1:6" x14ac:dyDescent="0.25">
      <c r="A101050"/>
      <c r="B101050"/>
      <c r="C101050"/>
      <c r="E101050"/>
      <c r="F101050"/>
    </row>
    <row r="101051" spans="1:6" x14ac:dyDescent="0.25">
      <c r="A101051"/>
      <c r="B101051"/>
      <c r="C101051"/>
      <c r="E101051"/>
      <c r="F101051"/>
    </row>
    <row r="101052" spans="1:6" x14ac:dyDescent="0.25">
      <c r="A101052"/>
      <c r="B101052"/>
      <c r="C101052"/>
      <c r="E101052"/>
      <c r="F101052"/>
    </row>
    <row r="101053" spans="1:6" x14ac:dyDescent="0.25">
      <c r="A101053"/>
      <c r="B101053"/>
      <c r="C101053"/>
      <c r="E101053"/>
      <c r="F101053"/>
    </row>
    <row r="101054" spans="1:6" x14ac:dyDescent="0.25">
      <c r="A101054"/>
      <c r="B101054"/>
      <c r="C101054"/>
      <c r="E101054"/>
      <c r="F101054"/>
    </row>
    <row r="101055" spans="1:6" x14ac:dyDescent="0.25">
      <c r="A101055"/>
      <c r="B101055"/>
      <c r="C101055"/>
      <c r="E101055"/>
      <c r="F101055"/>
    </row>
    <row r="101056" spans="1:6" x14ac:dyDescent="0.25">
      <c r="A101056"/>
      <c r="B101056"/>
      <c r="C101056"/>
      <c r="E101056"/>
      <c r="F101056"/>
    </row>
    <row r="101057" spans="1:6" x14ac:dyDescent="0.25">
      <c r="A101057"/>
      <c r="B101057"/>
      <c r="C101057"/>
      <c r="E101057"/>
      <c r="F101057"/>
    </row>
    <row r="101058" spans="1:6" x14ac:dyDescent="0.25">
      <c r="A101058"/>
      <c r="B101058"/>
      <c r="C101058"/>
      <c r="E101058"/>
      <c r="F101058"/>
    </row>
    <row r="101059" spans="1:6" x14ac:dyDescent="0.25">
      <c r="A101059"/>
      <c r="B101059"/>
      <c r="C101059"/>
      <c r="E101059"/>
      <c r="F101059"/>
    </row>
    <row r="101060" spans="1:6" x14ac:dyDescent="0.25">
      <c r="A101060"/>
      <c r="B101060"/>
      <c r="C101060"/>
      <c r="E101060"/>
      <c r="F101060"/>
    </row>
    <row r="101061" spans="1:6" x14ac:dyDescent="0.25">
      <c r="A101061"/>
      <c r="B101061"/>
      <c r="C101061"/>
      <c r="E101061"/>
      <c r="F101061"/>
    </row>
    <row r="101062" spans="1:6" x14ac:dyDescent="0.25">
      <c r="A101062"/>
      <c r="B101062"/>
      <c r="C101062"/>
      <c r="E101062"/>
      <c r="F101062"/>
    </row>
    <row r="101063" spans="1:6" x14ac:dyDescent="0.25">
      <c r="A101063"/>
      <c r="B101063"/>
      <c r="C101063"/>
      <c r="E101063"/>
      <c r="F101063"/>
    </row>
    <row r="101064" spans="1:6" x14ac:dyDescent="0.25">
      <c r="A101064"/>
      <c r="B101064"/>
      <c r="C101064"/>
      <c r="E101064"/>
      <c r="F101064"/>
    </row>
    <row r="101065" spans="1:6" x14ac:dyDescent="0.25">
      <c r="A101065"/>
      <c r="B101065"/>
      <c r="C101065"/>
      <c r="E101065"/>
      <c r="F101065"/>
    </row>
    <row r="101066" spans="1:6" x14ac:dyDescent="0.25">
      <c r="A101066"/>
      <c r="B101066"/>
      <c r="C101066"/>
      <c r="E101066"/>
      <c r="F101066"/>
    </row>
    <row r="101067" spans="1:6" x14ac:dyDescent="0.25">
      <c r="A101067"/>
      <c r="B101067"/>
      <c r="C101067"/>
      <c r="E101067"/>
      <c r="F101067"/>
    </row>
    <row r="101068" spans="1:6" x14ac:dyDescent="0.25">
      <c r="A101068"/>
      <c r="B101068"/>
      <c r="C101068"/>
      <c r="E101068"/>
      <c r="F101068"/>
    </row>
    <row r="101069" spans="1:6" x14ac:dyDescent="0.25">
      <c r="A101069"/>
      <c r="B101069"/>
      <c r="C101069"/>
      <c r="E101069"/>
      <c r="F101069"/>
    </row>
    <row r="101070" spans="1:6" x14ac:dyDescent="0.25">
      <c r="A101070"/>
      <c r="B101070"/>
      <c r="C101070"/>
      <c r="E101070"/>
      <c r="F101070"/>
    </row>
    <row r="101071" spans="1:6" x14ac:dyDescent="0.25">
      <c r="A101071"/>
      <c r="B101071"/>
      <c r="C101071"/>
      <c r="E101071"/>
      <c r="F101071"/>
    </row>
    <row r="101072" spans="1:6" x14ac:dyDescent="0.25">
      <c r="A101072"/>
      <c r="B101072"/>
      <c r="C101072"/>
      <c r="E101072"/>
      <c r="F101072"/>
    </row>
    <row r="101073" spans="1:6" x14ac:dyDescent="0.25">
      <c r="A101073"/>
      <c r="B101073"/>
      <c r="C101073"/>
      <c r="E101073"/>
      <c r="F101073"/>
    </row>
    <row r="101074" spans="1:6" x14ac:dyDescent="0.25">
      <c r="A101074"/>
      <c r="B101074"/>
      <c r="C101074"/>
      <c r="E101074"/>
      <c r="F101074"/>
    </row>
    <row r="101075" spans="1:6" x14ac:dyDescent="0.25">
      <c r="A101075"/>
      <c r="B101075"/>
      <c r="C101075"/>
      <c r="E101075"/>
      <c r="F101075"/>
    </row>
    <row r="101076" spans="1:6" x14ac:dyDescent="0.25">
      <c r="A101076"/>
      <c r="B101076"/>
      <c r="C101076"/>
      <c r="E101076"/>
      <c r="F101076"/>
    </row>
    <row r="101077" spans="1:6" x14ac:dyDescent="0.25">
      <c r="A101077"/>
      <c r="B101077"/>
      <c r="C101077"/>
      <c r="E101077"/>
      <c r="F101077"/>
    </row>
    <row r="101078" spans="1:6" x14ac:dyDescent="0.25">
      <c r="A101078"/>
      <c r="B101078"/>
      <c r="C101078"/>
      <c r="E101078"/>
      <c r="F101078"/>
    </row>
    <row r="101079" spans="1:6" x14ac:dyDescent="0.25">
      <c r="A101079"/>
      <c r="B101079"/>
      <c r="C101079"/>
      <c r="E101079"/>
      <c r="F101079"/>
    </row>
    <row r="101080" spans="1:6" x14ac:dyDescent="0.25">
      <c r="A101080"/>
      <c r="B101080"/>
      <c r="C101080"/>
      <c r="E101080"/>
      <c r="F101080"/>
    </row>
    <row r="101081" spans="1:6" x14ac:dyDescent="0.25">
      <c r="A101081"/>
      <c r="B101081"/>
      <c r="C101081"/>
      <c r="E101081"/>
      <c r="F101081"/>
    </row>
    <row r="101082" spans="1:6" x14ac:dyDescent="0.25">
      <c r="A101082"/>
      <c r="B101082"/>
      <c r="C101082"/>
      <c r="E101082"/>
      <c r="F101082"/>
    </row>
    <row r="101083" spans="1:6" x14ac:dyDescent="0.25">
      <c r="A101083"/>
      <c r="B101083"/>
      <c r="C101083"/>
      <c r="E101083"/>
      <c r="F101083"/>
    </row>
    <row r="101084" spans="1:6" x14ac:dyDescent="0.25">
      <c r="A101084"/>
      <c r="B101084"/>
      <c r="C101084"/>
      <c r="E101084"/>
      <c r="F101084"/>
    </row>
    <row r="101085" spans="1:6" x14ac:dyDescent="0.25">
      <c r="A101085"/>
      <c r="B101085"/>
      <c r="C101085"/>
      <c r="E101085"/>
      <c r="F101085"/>
    </row>
    <row r="101086" spans="1:6" x14ac:dyDescent="0.25">
      <c r="A101086"/>
      <c r="B101086"/>
      <c r="C101086"/>
      <c r="E101086"/>
      <c r="F101086"/>
    </row>
    <row r="101087" spans="1:6" x14ac:dyDescent="0.25">
      <c r="A101087"/>
      <c r="B101087"/>
      <c r="C101087"/>
      <c r="E101087"/>
      <c r="F101087"/>
    </row>
    <row r="101088" spans="1:6" x14ac:dyDescent="0.25">
      <c r="A101088"/>
      <c r="B101088"/>
      <c r="C101088"/>
      <c r="E101088"/>
      <c r="F101088"/>
    </row>
    <row r="101089" spans="1:6" x14ac:dyDescent="0.25">
      <c r="A101089"/>
      <c r="B101089"/>
      <c r="C101089"/>
      <c r="E101089"/>
      <c r="F101089"/>
    </row>
    <row r="101090" spans="1:6" x14ac:dyDescent="0.25">
      <c r="A101090"/>
      <c r="B101090"/>
      <c r="C101090"/>
      <c r="E101090"/>
      <c r="F101090"/>
    </row>
    <row r="101091" spans="1:6" x14ac:dyDescent="0.25">
      <c r="A101091"/>
      <c r="B101091"/>
      <c r="C101091"/>
      <c r="E101091"/>
      <c r="F101091"/>
    </row>
    <row r="101092" spans="1:6" x14ac:dyDescent="0.25">
      <c r="A101092"/>
      <c r="B101092"/>
      <c r="C101092"/>
      <c r="E101092"/>
      <c r="F101092"/>
    </row>
    <row r="101093" spans="1:6" x14ac:dyDescent="0.25">
      <c r="A101093"/>
      <c r="B101093"/>
      <c r="C101093"/>
      <c r="E101093"/>
      <c r="F101093"/>
    </row>
    <row r="101094" spans="1:6" x14ac:dyDescent="0.25">
      <c r="A101094"/>
      <c r="B101094"/>
      <c r="C101094"/>
      <c r="E101094"/>
      <c r="F101094"/>
    </row>
    <row r="101095" spans="1:6" x14ac:dyDescent="0.25">
      <c r="A101095"/>
      <c r="B101095"/>
      <c r="C101095"/>
      <c r="E101095"/>
      <c r="F101095"/>
    </row>
    <row r="101096" spans="1:6" x14ac:dyDescent="0.25">
      <c r="A101096"/>
      <c r="B101096"/>
      <c r="C101096"/>
      <c r="E101096"/>
      <c r="F101096"/>
    </row>
    <row r="101097" spans="1:6" x14ac:dyDescent="0.25">
      <c r="A101097"/>
      <c r="B101097"/>
      <c r="C101097"/>
      <c r="E101097"/>
      <c r="F101097"/>
    </row>
    <row r="101098" spans="1:6" x14ac:dyDescent="0.25">
      <c r="A101098"/>
      <c r="B101098"/>
      <c r="C101098"/>
      <c r="E101098"/>
      <c r="F101098"/>
    </row>
    <row r="101099" spans="1:6" x14ac:dyDescent="0.25">
      <c r="A101099"/>
      <c r="B101099"/>
      <c r="C101099"/>
      <c r="E101099"/>
      <c r="F101099"/>
    </row>
    <row r="101100" spans="1:6" x14ac:dyDescent="0.25">
      <c r="A101100"/>
      <c r="B101100"/>
      <c r="C101100"/>
      <c r="E101100"/>
      <c r="F101100"/>
    </row>
    <row r="101101" spans="1:6" x14ac:dyDescent="0.25">
      <c r="A101101"/>
      <c r="B101101"/>
      <c r="C101101"/>
      <c r="E101101"/>
      <c r="F101101"/>
    </row>
    <row r="101102" spans="1:6" x14ac:dyDescent="0.25">
      <c r="A101102"/>
      <c r="B101102"/>
      <c r="C101102"/>
      <c r="E101102"/>
      <c r="F101102"/>
    </row>
    <row r="101103" spans="1:6" x14ac:dyDescent="0.25">
      <c r="A101103"/>
      <c r="B101103"/>
      <c r="C101103"/>
      <c r="E101103"/>
      <c r="F101103"/>
    </row>
    <row r="101104" spans="1:6" x14ac:dyDescent="0.25">
      <c r="A101104"/>
      <c r="B101104"/>
      <c r="C101104"/>
      <c r="E101104"/>
      <c r="F101104"/>
    </row>
    <row r="101105" spans="1:6" x14ac:dyDescent="0.25">
      <c r="A101105"/>
      <c r="B101105"/>
      <c r="C101105"/>
      <c r="E101105"/>
      <c r="F101105"/>
    </row>
    <row r="101106" spans="1:6" x14ac:dyDescent="0.25">
      <c r="A101106"/>
      <c r="B101106"/>
      <c r="C101106"/>
      <c r="E101106"/>
      <c r="F101106"/>
    </row>
    <row r="101107" spans="1:6" x14ac:dyDescent="0.25">
      <c r="A101107"/>
      <c r="B101107"/>
      <c r="C101107"/>
      <c r="E101107"/>
      <c r="F101107"/>
    </row>
    <row r="101108" spans="1:6" x14ac:dyDescent="0.25">
      <c r="A101108"/>
      <c r="B101108"/>
      <c r="C101108"/>
      <c r="E101108"/>
      <c r="F101108"/>
    </row>
    <row r="101109" spans="1:6" x14ac:dyDescent="0.25">
      <c r="A101109"/>
      <c r="B101109"/>
      <c r="C101109"/>
      <c r="E101109"/>
      <c r="F101109"/>
    </row>
    <row r="101110" spans="1:6" x14ac:dyDescent="0.25">
      <c r="A101110"/>
      <c r="B101110"/>
      <c r="C101110"/>
      <c r="E101110"/>
      <c r="F101110"/>
    </row>
    <row r="101111" spans="1:6" x14ac:dyDescent="0.25">
      <c r="A101111"/>
      <c r="B101111"/>
      <c r="C101111"/>
      <c r="E101111"/>
      <c r="F101111"/>
    </row>
    <row r="101112" spans="1:6" x14ac:dyDescent="0.25">
      <c r="A101112"/>
      <c r="B101112"/>
      <c r="C101112"/>
      <c r="E101112"/>
      <c r="F101112"/>
    </row>
    <row r="101113" spans="1:6" x14ac:dyDescent="0.25">
      <c r="A101113"/>
      <c r="B101113"/>
      <c r="C101113"/>
      <c r="E101113"/>
      <c r="F101113"/>
    </row>
    <row r="101114" spans="1:6" x14ac:dyDescent="0.25">
      <c r="A101114"/>
      <c r="B101114"/>
      <c r="C101114"/>
      <c r="E101114"/>
      <c r="F101114"/>
    </row>
    <row r="101115" spans="1:6" x14ac:dyDescent="0.25">
      <c r="A101115"/>
      <c r="B101115"/>
      <c r="C101115"/>
      <c r="E101115"/>
      <c r="F101115"/>
    </row>
    <row r="101116" spans="1:6" x14ac:dyDescent="0.25">
      <c r="A101116"/>
      <c r="B101116"/>
      <c r="C101116"/>
      <c r="E101116"/>
      <c r="F101116"/>
    </row>
    <row r="101117" spans="1:6" x14ac:dyDescent="0.25">
      <c r="A101117"/>
      <c r="B101117"/>
      <c r="C101117"/>
      <c r="E101117"/>
      <c r="F101117"/>
    </row>
    <row r="101118" spans="1:6" x14ac:dyDescent="0.25">
      <c r="A101118"/>
      <c r="B101118"/>
      <c r="C101118"/>
      <c r="E101118"/>
      <c r="F101118"/>
    </row>
    <row r="101119" spans="1:6" x14ac:dyDescent="0.25">
      <c r="A101119"/>
      <c r="B101119"/>
      <c r="C101119"/>
      <c r="E101119"/>
      <c r="F101119"/>
    </row>
    <row r="101120" spans="1:6" x14ac:dyDescent="0.25">
      <c r="A101120"/>
      <c r="B101120"/>
      <c r="C101120"/>
      <c r="E101120"/>
      <c r="F101120"/>
    </row>
    <row r="101121" spans="1:6" x14ac:dyDescent="0.25">
      <c r="A101121"/>
      <c r="B101121"/>
      <c r="C101121"/>
      <c r="E101121"/>
      <c r="F101121"/>
    </row>
    <row r="101122" spans="1:6" x14ac:dyDescent="0.25">
      <c r="A101122"/>
      <c r="B101122"/>
      <c r="C101122"/>
      <c r="E101122"/>
      <c r="F101122"/>
    </row>
    <row r="101123" spans="1:6" x14ac:dyDescent="0.25">
      <c r="A101123"/>
      <c r="B101123"/>
      <c r="C101123"/>
      <c r="E101123"/>
      <c r="F101123"/>
    </row>
    <row r="101124" spans="1:6" x14ac:dyDescent="0.25">
      <c r="A101124"/>
      <c r="B101124"/>
      <c r="C101124"/>
      <c r="E101124"/>
      <c r="F101124"/>
    </row>
    <row r="101125" spans="1:6" x14ac:dyDescent="0.25">
      <c r="A101125"/>
      <c r="B101125"/>
      <c r="C101125"/>
      <c r="E101125"/>
      <c r="F101125"/>
    </row>
    <row r="101126" spans="1:6" x14ac:dyDescent="0.25">
      <c r="A101126"/>
      <c r="B101126"/>
      <c r="C101126"/>
      <c r="E101126"/>
      <c r="F101126"/>
    </row>
    <row r="101127" spans="1:6" x14ac:dyDescent="0.25">
      <c r="A101127"/>
      <c r="B101127"/>
      <c r="C101127"/>
      <c r="E101127"/>
      <c r="F101127"/>
    </row>
    <row r="101128" spans="1:6" x14ac:dyDescent="0.25">
      <c r="A101128"/>
      <c r="B101128"/>
      <c r="C101128"/>
      <c r="E101128"/>
      <c r="F101128"/>
    </row>
    <row r="101129" spans="1:6" x14ac:dyDescent="0.25">
      <c r="A101129"/>
      <c r="B101129"/>
      <c r="C101129"/>
      <c r="E101129"/>
      <c r="F101129"/>
    </row>
    <row r="101130" spans="1:6" x14ac:dyDescent="0.25">
      <c r="A101130"/>
      <c r="B101130"/>
      <c r="C101130"/>
      <c r="E101130"/>
      <c r="F101130"/>
    </row>
    <row r="101131" spans="1:6" x14ac:dyDescent="0.25">
      <c r="A101131"/>
      <c r="B101131"/>
      <c r="C101131"/>
      <c r="E101131"/>
      <c r="F101131"/>
    </row>
    <row r="101132" spans="1:6" x14ac:dyDescent="0.25">
      <c r="A101132"/>
      <c r="B101132"/>
      <c r="C101132"/>
      <c r="E101132"/>
      <c r="F101132"/>
    </row>
    <row r="101133" spans="1:6" x14ac:dyDescent="0.25">
      <c r="A101133"/>
      <c r="B101133"/>
      <c r="C101133"/>
      <c r="E101133"/>
      <c r="F101133"/>
    </row>
    <row r="101134" spans="1:6" x14ac:dyDescent="0.25">
      <c r="A101134"/>
      <c r="B101134"/>
      <c r="C101134"/>
      <c r="E101134"/>
      <c r="F101134"/>
    </row>
    <row r="101135" spans="1:6" x14ac:dyDescent="0.25">
      <c r="A101135"/>
      <c r="B101135"/>
      <c r="C101135"/>
      <c r="E101135"/>
      <c r="F101135"/>
    </row>
    <row r="101136" spans="1:6" x14ac:dyDescent="0.25">
      <c r="A101136"/>
      <c r="B101136"/>
      <c r="C101136"/>
      <c r="E101136"/>
      <c r="F101136"/>
    </row>
    <row r="101137" spans="1:6" x14ac:dyDescent="0.25">
      <c r="A101137"/>
      <c r="B101137"/>
      <c r="C101137"/>
      <c r="E101137"/>
      <c r="F101137"/>
    </row>
    <row r="101138" spans="1:6" x14ac:dyDescent="0.25">
      <c r="A101138"/>
      <c r="B101138"/>
      <c r="C101138"/>
      <c r="E101138"/>
      <c r="F101138"/>
    </row>
    <row r="101139" spans="1:6" x14ac:dyDescent="0.25">
      <c r="A101139"/>
      <c r="B101139"/>
      <c r="C101139"/>
      <c r="E101139"/>
      <c r="F101139"/>
    </row>
    <row r="101140" spans="1:6" x14ac:dyDescent="0.25">
      <c r="A101140"/>
      <c r="B101140"/>
      <c r="C101140"/>
      <c r="E101140"/>
      <c r="F101140"/>
    </row>
    <row r="101141" spans="1:6" x14ac:dyDescent="0.25">
      <c r="A101141"/>
      <c r="B101141"/>
      <c r="C101141"/>
      <c r="E101141"/>
      <c r="F101141"/>
    </row>
    <row r="101142" spans="1:6" x14ac:dyDescent="0.25">
      <c r="A101142"/>
      <c r="B101142"/>
      <c r="C101142"/>
      <c r="E101142"/>
      <c r="F101142"/>
    </row>
    <row r="101143" spans="1:6" x14ac:dyDescent="0.25">
      <c r="A101143"/>
      <c r="B101143"/>
      <c r="C101143"/>
      <c r="E101143"/>
      <c r="F101143"/>
    </row>
    <row r="101144" spans="1:6" x14ac:dyDescent="0.25">
      <c r="A101144"/>
      <c r="B101144"/>
      <c r="C101144"/>
      <c r="E101144"/>
      <c r="F101144"/>
    </row>
    <row r="101145" spans="1:6" x14ac:dyDescent="0.25">
      <c r="A101145"/>
      <c r="B101145"/>
      <c r="C101145"/>
      <c r="E101145"/>
      <c r="F101145"/>
    </row>
    <row r="101146" spans="1:6" x14ac:dyDescent="0.25">
      <c r="A101146"/>
      <c r="B101146"/>
      <c r="C101146"/>
      <c r="E101146"/>
      <c r="F101146"/>
    </row>
    <row r="101147" spans="1:6" x14ac:dyDescent="0.25">
      <c r="A101147"/>
      <c r="B101147"/>
      <c r="C101147"/>
      <c r="E101147"/>
      <c r="F101147"/>
    </row>
    <row r="101148" spans="1:6" x14ac:dyDescent="0.25">
      <c r="A101148"/>
      <c r="B101148"/>
      <c r="C101148"/>
      <c r="E101148"/>
      <c r="F101148"/>
    </row>
    <row r="101149" spans="1:6" x14ac:dyDescent="0.25">
      <c r="A101149"/>
      <c r="B101149"/>
      <c r="C101149"/>
      <c r="E101149"/>
      <c r="F101149"/>
    </row>
    <row r="101150" spans="1:6" x14ac:dyDescent="0.25">
      <c r="A101150"/>
      <c r="B101150"/>
      <c r="C101150"/>
      <c r="E101150"/>
      <c r="F101150"/>
    </row>
    <row r="101151" spans="1:6" x14ac:dyDescent="0.25">
      <c r="A101151"/>
      <c r="B101151"/>
      <c r="C101151"/>
      <c r="E101151"/>
      <c r="F101151"/>
    </row>
    <row r="101152" spans="1:6" x14ac:dyDescent="0.25">
      <c r="A101152"/>
      <c r="B101152"/>
      <c r="C101152"/>
      <c r="E101152"/>
      <c r="F101152"/>
    </row>
    <row r="101153" spans="1:6" x14ac:dyDescent="0.25">
      <c r="A101153"/>
      <c r="B101153"/>
      <c r="C101153"/>
      <c r="E101153"/>
      <c r="F101153"/>
    </row>
    <row r="101154" spans="1:6" x14ac:dyDescent="0.25">
      <c r="A101154"/>
      <c r="B101154"/>
      <c r="C101154"/>
      <c r="E101154"/>
      <c r="F101154"/>
    </row>
    <row r="101155" spans="1:6" x14ac:dyDescent="0.25">
      <c r="A101155"/>
      <c r="B101155"/>
      <c r="C101155"/>
      <c r="E101155"/>
      <c r="F101155"/>
    </row>
    <row r="101156" spans="1:6" x14ac:dyDescent="0.25">
      <c r="A101156"/>
      <c r="B101156"/>
      <c r="C101156"/>
      <c r="E101156"/>
      <c r="F101156"/>
    </row>
    <row r="101157" spans="1:6" x14ac:dyDescent="0.25">
      <c r="A101157"/>
      <c r="B101157"/>
      <c r="C101157"/>
      <c r="E101157"/>
      <c r="F101157"/>
    </row>
    <row r="101158" spans="1:6" x14ac:dyDescent="0.25">
      <c r="A101158"/>
      <c r="B101158"/>
      <c r="C101158"/>
      <c r="E101158"/>
      <c r="F101158"/>
    </row>
    <row r="101159" spans="1:6" x14ac:dyDescent="0.25">
      <c r="A101159"/>
      <c r="B101159"/>
      <c r="C101159"/>
      <c r="E101159"/>
      <c r="F101159"/>
    </row>
    <row r="101160" spans="1:6" x14ac:dyDescent="0.25">
      <c r="A101160"/>
      <c r="B101160"/>
      <c r="C101160"/>
      <c r="E101160"/>
      <c r="F101160"/>
    </row>
    <row r="101161" spans="1:6" x14ac:dyDescent="0.25">
      <c r="A101161"/>
      <c r="B101161"/>
      <c r="C101161"/>
      <c r="E101161"/>
      <c r="F101161"/>
    </row>
    <row r="101162" spans="1:6" x14ac:dyDescent="0.25">
      <c r="A101162"/>
      <c r="B101162"/>
      <c r="C101162"/>
      <c r="E101162"/>
      <c r="F101162"/>
    </row>
    <row r="101163" spans="1:6" x14ac:dyDescent="0.25">
      <c r="A101163"/>
      <c r="B101163"/>
      <c r="C101163"/>
      <c r="E101163"/>
      <c r="F101163"/>
    </row>
    <row r="101164" spans="1:6" x14ac:dyDescent="0.25">
      <c r="A101164"/>
      <c r="B101164"/>
      <c r="C101164"/>
      <c r="E101164"/>
      <c r="F101164"/>
    </row>
    <row r="101165" spans="1:6" x14ac:dyDescent="0.25">
      <c r="A101165"/>
      <c r="B101165"/>
      <c r="C101165"/>
      <c r="E101165"/>
      <c r="F101165"/>
    </row>
    <row r="101166" spans="1:6" x14ac:dyDescent="0.25">
      <c r="A101166"/>
      <c r="B101166"/>
      <c r="C101166"/>
      <c r="E101166"/>
      <c r="F101166"/>
    </row>
    <row r="101167" spans="1:6" x14ac:dyDescent="0.25">
      <c r="A101167"/>
      <c r="B101167"/>
      <c r="C101167"/>
      <c r="E101167"/>
      <c r="F101167"/>
    </row>
    <row r="101168" spans="1:6" x14ac:dyDescent="0.25">
      <c r="A101168"/>
      <c r="B101168"/>
      <c r="C101168"/>
      <c r="E101168"/>
      <c r="F101168"/>
    </row>
    <row r="101169" spans="1:6" x14ac:dyDescent="0.25">
      <c r="A101169"/>
      <c r="B101169"/>
      <c r="C101169"/>
      <c r="E101169"/>
      <c r="F101169"/>
    </row>
    <row r="101170" spans="1:6" x14ac:dyDescent="0.25">
      <c r="A101170"/>
      <c r="B101170"/>
      <c r="C101170"/>
      <c r="E101170"/>
      <c r="F101170"/>
    </row>
    <row r="101171" spans="1:6" x14ac:dyDescent="0.25">
      <c r="A101171"/>
      <c r="B101171"/>
      <c r="C101171"/>
      <c r="E101171"/>
      <c r="F101171"/>
    </row>
    <row r="101172" spans="1:6" x14ac:dyDescent="0.25">
      <c r="A101172"/>
      <c r="B101172"/>
      <c r="C101172"/>
      <c r="E101172"/>
      <c r="F101172"/>
    </row>
    <row r="101173" spans="1:6" x14ac:dyDescent="0.25">
      <c r="A101173"/>
      <c r="B101173"/>
      <c r="C101173"/>
      <c r="E101173"/>
      <c r="F101173"/>
    </row>
    <row r="101174" spans="1:6" x14ac:dyDescent="0.25">
      <c r="A101174"/>
      <c r="B101174"/>
      <c r="C101174"/>
      <c r="E101174"/>
      <c r="F101174"/>
    </row>
    <row r="101175" spans="1:6" x14ac:dyDescent="0.25">
      <c r="A101175"/>
      <c r="B101175"/>
      <c r="C101175"/>
      <c r="E101175"/>
      <c r="F101175"/>
    </row>
    <row r="101176" spans="1:6" x14ac:dyDescent="0.25">
      <c r="A101176"/>
      <c r="B101176"/>
      <c r="C101176"/>
      <c r="E101176"/>
      <c r="F101176"/>
    </row>
    <row r="101177" spans="1:6" x14ac:dyDescent="0.25">
      <c r="A101177"/>
      <c r="B101177"/>
      <c r="C101177"/>
      <c r="E101177"/>
      <c r="F101177"/>
    </row>
    <row r="101178" spans="1:6" x14ac:dyDescent="0.25">
      <c r="A101178"/>
      <c r="B101178"/>
      <c r="C101178"/>
      <c r="E101178"/>
      <c r="F101178"/>
    </row>
    <row r="101179" spans="1:6" x14ac:dyDescent="0.25">
      <c r="A101179"/>
      <c r="B101179"/>
      <c r="C101179"/>
      <c r="E101179"/>
      <c r="F101179"/>
    </row>
    <row r="101180" spans="1:6" x14ac:dyDescent="0.25">
      <c r="A101180"/>
      <c r="B101180"/>
      <c r="C101180"/>
      <c r="E101180"/>
      <c r="F101180"/>
    </row>
    <row r="101181" spans="1:6" x14ac:dyDescent="0.25">
      <c r="A101181"/>
      <c r="B101181"/>
      <c r="C101181"/>
      <c r="E101181"/>
      <c r="F101181"/>
    </row>
    <row r="101182" spans="1:6" x14ac:dyDescent="0.25">
      <c r="A101182"/>
      <c r="B101182"/>
      <c r="C101182"/>
      <c r="E101182"/>
      <c r="F101182"/>
    </row>
    <row r="101183" spans="1:6" x14ac:dyDescent="0.25">
      <c r="A101183"/>
      <c r="B101183"/>
      <c r="C101183"/>
      <c r="E101183"/>
      <c r="F101183"/>
    </row>
    <row r="101184" spans="1:6" x14ac:dyDescent="0.25">
      <c r="A101184"/>
      <c r="B101184"/>
      <c r="C101184"/>
      <c r="E101184"/>
      <c r="F101184"/>
    </row>
    <row r="101185" spans="1:6" x14ac:dyDescent="0.25">
      <c r="A101185"/>
      <c r="B101185"/>
      <c r="C101185"/>
      <c r="E101185"/>
      <c r="F101185"/>
    </row>
    <row r="101186" spans="1:6" x14ac:dyDescent="0.25">
      <c r="A101186"/>
      <c r="B101186"/>
      <c r="C101186"/>
      <c r="E101186"/>
      <c r="F101186"/>
    </row>
    <row r="101187" spans="1:6" x14ac:dyDescent="0.25">
      <c r="A101187"/>
      <c r="B101187"/>
      <c r="C101187"/>
      <c r="E101187"/>
      <c r="F101187"/>
    </row>
    <row r="101188" spans="1:6" x14ac:dyDescent="0.25">
      <c r="A101188"/>
      <c r="B101188"/>
      <c r="C101188"/>
      <c r="E101188"/>
      <c r="F101188"/>
    </row>
    <row r="101189" spans="1:6" x14ac:dyDescent="0.25">
      <c r="A101189"/>
      <c r="B101189"/>
      <c r="C101189"/>
      <c r="E101189"/>
      <c r="F101189"/>
    </row>
    <row r="101190" spans="1:6" x14ac:dyDescent="0.25">
      <c r="A101190"/>
      <c r="B101190"/>
      <c r="C101190"/>
      <c r="E101190"/>
      <c r="F101190"/>
    </row>
    <row r="101191" spans="1:6" x14ac:dyDescent="0.25">
      <c r="A101191"/>
      <c r="B101191"/>
      <c r="C101191"/>
      <c r="E101191"/>
      <c r="F101191"/>
    </row>
    <row r="101192" spans="1:6" x14ac:dyDescent="0.25">
      <c r="A101192"/>
      <c r="B101192"/>
      <c r="C101192"/>
      <c r="E101192"/>
      <c r="F101192"/>
    </row>
    <row r="101193" spans="1:6" x14ac:dyDescent="0.25">
      <c r="A101193"/>
      <c r="B101193"/>
      <c r="C101193"/>
      <c r="E101193"/>
      <c r="F101193"/>
    </row>
    <row r="101194" spans="1:6" x14ac:dyDescent="0.25">
      <c r="A101194"/>
      <c r="B101194"/>
      <c r="C101194"/>
      <c r="E101194"/>
      <c r="F101194"/>
    </row>
    <row r="101195" spans="1:6" x14ac:dyDescent="0.25">
      <c r="A101195"/>
      <c r="B101195"/>
      <c r="C101195"/>
      <c r="E101195"/>
      <c r="F101195"/>
    </row>
    <row r="101196" spans="1:6" x14ac:dyDescent="0.25">
      <c r="A101196"/>
      <c r="B101196"/>
      <c r="C101196"/>
      <c r="E101196"/>
      <c r="F101196"/>
    </row>
    <row r="101197" spans="1:6" x14ac:dyDescent="0.25">
      <c r="A101197"/>
      <c r="B101197"/>
      <c r="C101197"/>
      <c r="E101197"/>
      <c r="F101197"/>
    </row>
    <row r="101198" spans="1:6" x14ac:dyDescent="0.25">
      <c r="A101198"/>
      <c r="B101198"/>
      <c r="C101198"/>
      <c r="E101198"/>
      <c r="F101198"/>
    </row>
    <row r="101199" spans="1:6" x14ac:dyDescent="0.25">
      <c r="A101199"/>
      <c r="B101199"/>
      <c r="C101199"/>
      <c r="E101199"/>
      <c r="F101199"/>
    </row>
    <row r="101200" spans="1:6" x14ac:dyDescent="0.25">
      <c r="A101200"/>
      <c r="B101200"/>
      <c r="C101200"/>
      <c r="E101200"/>
      <c r="F101200"/>
    </row>
    <row r="101201" spans="1:6" x14ac:dyDescent="0.25">
      <c r="A101201"/>
      <c r="B101201"/>
      <c r="C101201"/>
      <c r="E101201"/>
      <c r="F101201"/>
    </row>
    <row r="101202" spans="1:6" x14ac:dyDescent="0.25">
      <c r="A101202"/>
      <c r="B101202"/>
      <c r="C101202"/>
      <c r="E101202"/>
      <c r="F101202"/>
    </row>
    <row r="101203" spans="1:6" x14ac:dyDescent="0.25">
      <c r="A101203"/>
      <c r="B101203"/>
      <c r="C101203"/>
      <c r="E101203"/>
      <c r="F101203"/>
    </row>
    <row r="101204" spans="1:6" x14ac:dyDescent="0.25">
      <c r="A101204"/>
      <c r="B101204"/>
      <c r="C101204"/>
      <c r="E101204"/>
      <c r="F101204"/>
    </row>
    <row r="101205" spans="1:6" x14ac:dyDescent="0.25">
      <c r="A101205"/>
      <c r="B101205"/>
      <c r="C101205"/>
      <c r="E101205"/>
      <c r="F101205"/>
    </row>
    <row r="101206" spans="1:6" x14ac:dyDescent="0.25">
      <c r="A101206"/>
      <c r="B101206"/>
      <c r="C101206"/>
      <c r="E101206"/>
      <c r="F101206"/>
    </row>
    <row r="101207" spans="1:6" x14ac:dyDescent="0.25">
      <c r="A101207"/>
      <c r="B101207"/>
      <c r="C101207"/>
      <c r="E101207"/>
      <c r="F101207"/>
    </row>
    <row r="101208" spans="1:6" x14ac:dyDescent="0.25">
      <c r="A101208"/>
      <c r="B101208"/>
      <c r="C101208"/>
      <c r="E101208"/>
      <c r="F101208"/>
    </row>
    <row r="101209" spans="1:6" x14ac:dyDescent="0.25">
      <c r="A101209"/>
      <c r="B101209"/>
      <c r="C101209"/>
      <c r="E101209"/>
      <c r="F101209"/>
    </row>
    <row r="101210" spans="1:6" x14ac:dyDescent="0.25">
      <c r="A101210"/>
      <c r="B101210"/>
      <c r="C101210"/>
      <c r="E101210"/>
      <c r="F101210"/>
    </row>
    <row r="101211" spans="1:6" x14ac:dyDescent="0.25">
      <c r="A101211"/>
      <c r="B101211"/>
      <c r="C101211"/>
      <c r="E101211"/>
      <c r="F101211"/>
    </row>
    <row r="101212" spans="1:6" x14ac:dyDescent="0.25">
      <c r="A101212"/>
      <c r="B101212"/>
      <c r="C101212"/>
      <c r="E101212"/>
      <c r="F101212"/>
    </row>
    <row r="101213" spans="1:6" x14ac:dyDescent="0.25">
      <c r="A101213"/>
      <c r="B101213"/>
      <c r="C101213"/>
      <c r="E101213"/>
      <c r="F101213"/>
    </row>
    <row r="101214" spans="1:6" x14ac:dyDescent="0.25">
      <c r="A101214"/>
      <c r="B101214"/>
      <c r="C101214"/>
      <c r="E101214"/>
      <c r="F101214"/>
    </row>
    <row r="101215" spans="1:6" x14ac:dyDescent="0.25">
      <c r="A101215"/>
      <c r="B101215"/>
      <c r="C101215"/>
      <c r="E101215"/>
      <c r="F101215"/>
    </row>
    <row r="101216" spans="1:6" x14ac:dyDescent="0.25">
      <c r="A101216"/>
      <c r="B101216"/>
      <c r="C101216"/>
      <c r="E101216"/>
      <c r="F101216"/>
    </row>
    <row r="101217" spans="1:6" x14ac:dyDescent="0.25">
      <c r="A101217"/>
      <c r="B101217"/>
      <c r="C101217"/>
      <c r="E101217"/>
      <c r="F101217"/>
    </row>
    <row r="101218" spans="1:6" x14ac:dyDescent="0.25">
      <c r="A101218"/>
      <c r="B101218"/>
      <c r="C101218"/>
      <c r="E101218"/>
      <c r="F101218"/>
    </row>
    <row r="101219" spans="1:6" x14ac:dyDescent="0.25">
      <c r="A101219"/>
      <c r="B101219"/>
      <c r="C101219"/>
      <c r="E101219"/>
      <c r="F101219"/>
    </row>
    <row r="101220" spans="1:6" x14ac:dyDescent="0.25">
      <c r="A101220"/>
      <c r="B101220"/>
      <c r="C101220"/>
      <c r="E101220"/>
      <c r="F101220"/>
    </row>
    <row r="101221" spans="1:6" x14ac:dyDescent="0.25">
      <c r="A101221"/>
      <c r="B101221"/>
      <c r="C101221"/>
      <c r="E101221"/>
      <c r="F101221"/>
    </row>
    <row r="101222" spans="1:6" x14ac:dyDescent="0.25">
      <c r="A101222"/>
      <c r="B101222"/>
      <c r="C101222"/>
      <c r="E101222"/>
      <c r="F101222"/>
    </row>
    <row r="101223" spans="1:6" x14ac:dyDescent="0.25">
      <c r="A101223"/>
      <c r="B101223"/>
      <c r="C101223"/>
      <c r="E101223"/>
      <c r="F101223"/>
    </row>
    <row r="101224" spans="1:6" x14ac:dyDescent="0.25">
      <c r="A101224"/>
      <c r="B101224"/>
      <c r="C101224"/>
      <c r="E101224"/>
      <c r="F101224"/>
    </row>
    <row r="101225" spans="1:6" x14ac:dyDescent="0.25">
      <c r="A101225"/>
      <c r="B101225"/>
      <c r="C101225"/>
      <c r="E101225"/>
      <c r="F101225"/>
    </row>
    <row r="101226" spans="1:6" x14ac:dyDescent="0.25">
      <c r="A101226"/>
      <c r="B101226"/>
      <c r="C101226"/>
      <c r="E101226"/>
      <c r="F101226"/>
    </row>
    <row r="101227" spans="1:6" x14ac:dyDescent="0.25">
      <c r="A101227"/>
      <c r="B101227"/>
      <c r="C101227"/>
      <c r="E101227"/>
      <c r="F101227"/>
    </row>
    <row r="101228" spans="1:6" x14ac:dyDescent="0.25">
      <c r="A101228"/>
      <c r="B101228"/>
      <c r="C101228"/>
      <c r="E101228"/>
      <c r="F101228"/>
    </row>
    <row r="101229" spans="1:6" x14ac:dyDescent="0.25">
      <c r="A101229"/>
      <c r="B101229"/>
      <c r="C101229"/>
      <c r="E101229"/>
      <c r="F101229"/>
    </row>
    <row r="101230" spans="1:6" x14ac:dyDescent="0.25">
      <c r="A101230"/>
      <c r="B101230"/>
      <c r="C101230"/>
      <c r="E101230"/>
      <c r="F101230"/>
    </row>
    <row r="101231" spans="1:6" x14ac:dyDescent="0.25">
      <c r="A101231"/>
      <c r="B101231"/>
      <c r="C101231"/>
      <c r="E101231"/>
      <c r="F101231"/>
    </row>
    <row r="101232" spans="1:6" x14ac:dyDescent="0.25">
      <c r="A101232"/>
      <c r="B101232"/>
      <c r="C101232"/>
      <c r="E101232"/>
      <c r="F101232"/>
    </row>
    <row r="101233" spans="1:6" x14ac:dyDescent="0.25">
      <c r="A101233"/>
      <c r="B101233"/>
      <c r="C101233"/>
      <c r="E101233"/>
      <c r="F101233"/>
    </row>
    <row r="101234" spans="1:6" x14ac:dyDescent="0.25">
      <c r="A101234"/>
      <c r="B101234"/>
      <c r="C101234"/>
      <c r="E101234"/>
      <c r="F101234"/>
    </row>
    <row r="101235" spans="1:6" x14ac:dyDescent="0.25">
      <c r="A101235"/>
      <c r="B101235"/>
      <c r="C101235"/>
      <c r="E101235"/>
      <c r="F101235"/>
    </row>
    <row r="101236" spans="1:6" x14ac:dyDescent="0.25">
      <c r="A101236"/>
      <c r="B101236"/>
      <c r="C101236"/>
      <c r="E101236"/>
      <c r="F101236"/>
    </row>
    <row r="101237" spans="1:6" x14ac:dyDescent="0.25">
      <c r="A101237"/>
      <c r="B101237"/>
      <c r="C101237"/>
      <c r="E101237"/>
      <c r="F101237"/>
    </row>
    <row r="101238" spans="1:6" x14ac:dyDescent="0.25">
      <c r="A101238"/>
      <c r="B101238"/>
      <c r="C101238"/>
      <c r="E101238"/>
      <c r="F101238"/>
    </row>
    <row r="101239" spans="1:6" x14ac:dyDescent="0.25">
      <c r="A101239"/>
      <c r="B101239"/>
      <c r="C101239"/>
      <c r="E101239"/>
      <c r="F101239"/>
    </row>
    <row r="101240" spans="1:6" x14ac:dyDescent="0.25">
      <c r="A101240"/>
      <c r="B101240"/>
      <c r="C101240"/>
      <c r="E101240"/>
      <c r="F101240"/>
    </row>
    <row r="101241" spans="1:6" x14ac:dyDescent="0.25">
      <c r="A101241"/>
      <c r="B101241"/>
      <c r="C101241"/>
      <c r="E101241"/>
      <c r="F101241"/>
    </row>
    <row r="101242" spans="1:6" x14ac:dyDescent="0.25">
      <c r="A101242"/>
      <c r="B101242"/>
      <c r="C101242"/>
      <c r="E101242"/>
      <c r="F101242"/>
    </row>
    <row r="101243" spans="1:6" x14ac:dyDescent="0.25">
      <c r="A101243"/>
      <c r="B101243"/>
      <c r="C101243"/>
      <c r="E101243"/>
      <c r="F101243"/>
    </row>
    <row r="101244" spans="1:6" x14ac:dyDescent="0.25">
      <c r="A101244"/>
      <c r="B101244"/>
      <c r="C101244"/>
      <c r="E101244"/>
      <c r="F101244"/>
    </row>
    <row r="101245" spans="1:6" x14ac:dyDescent="0.25">
      <c r="A101245"/>
      <c r="B101245"/>
      <c r="C101245"/>
      <c r="E101245"/>
      <c r="F101245"/>
    </row>
    <row r="101246" spans="1:6" x14ac:dyDescent="0.25">
      <c r="A101246"/>
      <c r="B101246"/>
      <c r="C101246"/>
      <c r="E101246"/>
      <c r="F101246"/>
    </row>
    <row r="101247" spans="1:6" x14ac:dyDescent="0.25">
      <c r="A101247"/>
      <c r="B101247"/>
      <c r="C101247"/>
      <c r="E101247"/>
      <c r="F101247"/>
    </row>
    <row r="101248" spans="1:6" x14ac:dyDescent="0.25">
      <c r="A101248"/>
      <c r="B101248"/>
      <c r="C101248"/>
      <c r="E101248"/>
      <c r="F101248"/>
    </row>
    <row r="101249" spans="1:6" x14ac:dyDescent="0.25">
      <c r="A101249"/>
      <c r="B101249"/>
      <c r="C101249"/>
      <c r="E101249"/>
      <c r="F101249"/>
    </row>
    <row r="101250" spans="1:6" x14ac:dyDescent="0.25">
      <c r="A101250"/>
      <c r="B101250"/>
      <c r="C101250"/>
      <c r="E101250"/>
      <c r="F101250"/>
    </row>
    <row r="101251" spans="1:6" x14ac:dyDescent="0.25">
      <c r="A101251"/>
      <c r="B101251"/>
      <c r="C101251"/>
      <c r="E101251"/>
      <c r="F101251"/>
    </row>
    <row r="101252" spans="1:6" x14ac:dyDescent="0.25">
      <c r="A101252"/>
      <c r="B101252"/>
      <c r="C101252"/>
      <c r="E101252"/>
      <c r="F101252"/>
    </row>
    <row r="101253" spans="1:6" x14ac:dyDescent="0.25">
      <c r="A101253"/>
      <c r="B101253"/>
      <c r="C101253"/>
      <c r="E101253"/>
      <c r="F101253"/>
    </row>
    <row r="101254" spans="1:6" x14ac:dyDescent="0.25">
      <c r="A101254"/>
      <c r="B101254"/>
      <c r="C101254"/>
      <c r="E101254"/>
      <c r="F101254"/>
    </row>
    <row r="101255" spans="1:6" x14ac:dyDescent="0.25">
      <c r="A101255"/>
      <c r="B101255"/>
      <c r="C101255"/>
      <c r="E101255"/>
      <c r="F101255"/>
    </row>
    <row r="101256" spans="1:6" x14ac:dyDescent="0.25">
      <c r="A101256"/>
      <c r="B101256"/>
      <c r="C101256"/>
      <c r="E101256"/>
      <c r="F101256"/>
    </row>
    <row r="101257" spans="1:6" x14ac:dyDescent="0.25">
      <c r="A101257"/>
      <c r="B101257"/>
      <c r="C101257"/>
      <c r="E101257"/>
      <c r="F101257"/>
    </row>
    <row r="101258" spans="1:6" x14ac:dyDescent="0.25">
      <c r="A101258"/>
      <c r="B101258"/>
      <c r="C101258"/>
      <c r="E101258"/>
      <c r="F101258"/>
    </row>
    <row r="101259" spans="1:6" x14ac:dyDescent="0.25">
      <c r="A101259"/>
      <c r="B101259"/>
      <c r="C101259"/>
      <c r="E101259"/>
      <c r="F101259"/>
    </row>
    <row r="101260" spans="1:6" x14ac:dyDescent="0.25">
      <c r="A101260"/>
      <c r="B101260"/>
      <c r="C101260"/>
      <c r="E101260"/>
      <c r="F101260"/>
    </row>
    <row r="101261" spans="1:6" x14ac:dyDescent="0.25">
      <c r="A101261"/>
      <c r="B101261"/>
      <c r="C101261"/>
      <c r="E101261"/>
      <c r="F101261"/>
    </row>
    <row r="101262" spans="1:6" x14ac:dyDescent="0.25">
      <c r="A101262"/>
      <c r="B101262"/>
      <c r="C101262"/>
      <c r="E101262"/>
      <c r="F101262"/>
    </row>
    <row r="101263" spans="1:6" x14ac:dyDescent="0.25">
      <c r="A101263"/>
      <c r="B101263"/>
      <c r="C101263"/>
      <c r="E101263"/>
      <c r="F101263"/>
    </row>
    <row r="101264" spans="1:6" x14ac:dyDescent="0.25">
      <c r="A101264"/>
      <c r="B101264"/>
      <c r="C101264"/>
      <c r="E101264"/>
      <c r="F101264"/>
    </row>
    <row r="101265" spans="1:6" x14ac:dyDescent="0.25">
      <c r="A101265"/>
      <c r="B101265"/>
      <c r="C101265"/>
      <c r="E101265"/>
      <c r="F101265"/>
    </row>
    <row r="101266" spans="1:6" x14ac:dyDescent="0.25">
      <c r="A101266"/>
      <c r="B101266"/>
      <c r="C101266"/>
      <c r="E101266"/>
      <c r="F101266"/>
    </row>
    <row r="101267" spans="1:6" x14ac:dyDescent="0.25">
      <c r="A101267"/>
      <c r="B101267"/>
      <c r="C101267"/>
      <c r="E101267"/>
      <c r="F101267"/>
    </row>
    <row r="101268" spans="1:6" x14ac:dyDescent="0.25">
      <c r="A101268"/>
      <c r="B101268"/>
      <c r="C101268"/>
      <c r="E101268"/>
      <c r="F101268"/>
    </row>
    <row r="101269" spans="1:6" x14ac:dyDescent="0.25">
      <c r="A101269"/>
      <c r="B101269"/>
      <c r="C101269"/>
      <c r="E101269"/>
      <c r="F101269"/>
    </row>
    <row r="101270" spans="1:6" x14ac:dyDescent="0.25">
      <c r="A101270"/>
      <c r="B101270"/>
      <c r="C101270"/>
      <c r="E101270"/>
      <c r="F101270"/>
    </row>
    <row r="101271" spans="1:6" x14ac:dyDescent="0.25">
      <c r="A101271"/>
      <c r="B101271"/>
      <c r="C101271"/>
      <c r="E101271"/>
      <c r="F101271"/>
    </row>
    <row r="101272" spans="1:6" x14ac:dyDescent="0.25">
      <c r="A101272"/>
      <c r="B101272"/>
      <c r="C101272"/>
      <c r="E101272"/>
      <c r="F101272"/>
    </row>
    <row r="101273" spans="1:6" x14ac:dyDescent="0.25">
      <c r="A101273"/>
      <c r="B101273"/>
      <c r="C101273"/>
      <c r="E101273"/>
      <c r="F101273"/>
    </row>
    <row r="101274" spans="1:6" x14ac:dyDescent="0.25">
      <c r="A101274"/>
      <c r="B101274"/>
      <c r="C101274"/>
      <c r="E101274"/>
      <c r="F101274"/>
    </row>
    <row r="101275" spans="1:6" x14ac:dyDescent="0.25">
      <c r="A101275"/>
      <c r="B101275"/>
      <c r="C101275"/>
      <c r="E101275"/>
      <c r="F101275"/>
    </row>
    <row r="101276" spans="1:6" x14ac:dyDescent="0.25">
      <c r="A101276"/>
      <c r="B101276"/>
      <c r="C101276"/>
      <c r="E101276"/>
      <c r="F101276"/>
    </row>
    <row r="101277" spans="1:6" x14ac:dyDescent="0.25">
      <c r="A101277"/>
      <c r="B101277"/>
      <c r="C101277"/>
      <c r="E101277"/>
      <c r="F101277"/>
    </row>
    <row r="101278" spans="1:6" x14ac:dyDescent="0.25">
      <c r="A101278"/>
      <c r="B101278"/>
      <c r="C101278"/>
      <c r="E101278"/>
      <c r="F101278"/>
    </row>
    <row r="101279" spans="1:6" x14ac:dyDescent="0.25">
      <c r="A101279"/>
      <c r="B101279"/>
      <c r="C101279"/>
      <c r="E101279"/>
      <c r="F101279"/>
    </row>
    <row r="101280" spans="1:6" x14ac:dyDescent="0.25">
      <c r="A101280"/>
      <c r="B101280"/>
      <c r="C101280"/>
      <c r="E101280"/>
      <c r="F101280"/>
    </row>
    <row r="101281" spans="1:6" x14ac:dyDescent="0.25">
      <c r="A101281"/>
      <c r="B101281"/>
      <c r="C101281"/>
      <c r="E101281"/>
      <c r="F101281"/>
    </row>
    <row r="101282" spans="1:6" x14ac:dyDescent="0.25">
      <c r="A101282"/>
      <c r="B101282"/>
      <c r="C101282"/>
      <c r="E101282"/>
      <c r="F101282"/>
    </row>
    <row r="101283" spans="1:6" x14ac:dyDescent="0.25">
      <c r="A101283"/>
      <c r="B101283"/>
      <c r="C101283"/>
      <c r="E101283"/>
      <c r="F101283"/>
    </row>
    <row r="101284" spans="1:6" x14ac:dyDescent="0.25">
      <c r="A101284"/>
      <c r="B101284"/>
      <c r="C101284"/>
      <c r="E101284"/>
      <c r="F101284"/>
    </row>
    <row r="101285" spans="1:6" x14ac:dyDescent="0.25">
      <c r="A101285"/>
      <c r="B101285"/>
      <c r="C101285"/>
      <c r="E101285"/>
      <c r="F101285"/>
    </row>
    <row r="101286" spans="1:6" x14ac:dyDescent="0.25">
      <c r="A101286"/>
      <c r="B101286"/>
      <c r="C101286"/>
      <c r="E101286"/>
      <c r="F101286"/>
    </row>
    <row r="101287" spans="1:6" x14ac:dyDescent="0.25">
      <c r="A101287"/>
      <c r="B101287"/>
      <c r="C101287"/>
      <c r="E101287"/>
      <c r="F101287"/>
    </row>
    <row r="101288" spans="1:6" x14ac:dyDescent="0.25">
      <c r="A101288"/>
      <c r="B101288"/>
      <c r="C101288"/>
      <c r="E101288"/>
      <c r="F101288"/>
    </row>
    <row r="101289" spans="1:6" x14ac:dyDescent="0.25">
      <c r="A101289"/>
      <c r="B101289"/>
      <c r="C101289"/>
      <c r="E101289"/>
      <c r="F101289"/>
    </row>
    <row r="101290" spans="1:6" x14ac:dyDescent="0.25">
      <c r="A101290"/>
      <c r="B101290"/>
      <c r="C101290"/>
      <c r="E101290"/>
      <c r="F101290"/>
    </row>
    <row r="101291" spans="1:6" x14ac:dyDescent="0.25">
      <c r="A101291"/>
      <c r="B101291"/>
      <c r="C101291"/>
      <c r="E101291"/>
      <c r="F101291"/>
    </row>
    <row r="101292" spans="1:6" x14ac:dyDescent="0.25">
      <c r="A101292"/>
      <c r="B101292"/>
      <c r="C101292"/>
      <c r="E101292"/>
      <c r="F101292"/>
    </row>
    <row r="101293" spans="1:6" x14ac:dyDescent="0.25">
      <c r="A101293"/>
      <c r="B101293"/>
      <c r="C101293"/>
      <c r="E101293"/>
      <c r="F101293"/>
    </row>
    <row r="101294" spans="1:6" x14ac:dyDescent="0.25">
      <c r="A101294"/>
      <c r="B101294"/>
      <c r="C101294"/>
      <c r="E101294"/>
      <c r="F101294"/>
    </row>
    <row r="101295" spans="1:6" x14ac:dyDescent="0.25">
      <c r="A101295"/>
      <c r="B101295"/>
      <c r="C101295"/>
      <c r="E101295"/>
      <c r="F101295"/>
    </row>
    <row r="101296" spans="1:6" x14ac:dyDescent="0.25">
      <c r="A101296"/>
      <c r="B101296"/>
      <c r="C101296"/>
      <c r="E101296"/>
      <c r="F101296"/>
    </row>
    <row r="101297" spans="1:6" x14ac:dyDescent="0.25">
      <c r="A101297"/>
      <c r="B101297"/>
      <c r="C101297"/>
      <c r="E101297"/>
      <c r="F101297"/>
    </row>
    <row r="101298" spans="1:6" x14ac:dyDescent="0.25">
      <c r="A101298"/>
      <c r="B101298"/>
      <c r="C101298"/>
      <c r="E101298"/>
      <c r="F101298"/>
    </row>
    <row r="101299" spans="1:6" x14ac:dyDescent="0.25">
      <c r="A101299"/>
      <c r="B101299"/>
      <c r="C101299"/>
      <c r="E101299"/>
      <c r="F101299"/>
    </row>
    <row r="101300" spans="1:6" x14ac:dyDescent="0.25">
      <c r="A101300"/>
      <c r="B101300"/>
      <c r="C101300"/>
      <c r="E101300"/>
      <c r="F101300"/>
    </row>
    <row r="101301" spans="1:6" x14ac:dyDescent="0.25">
      <c r="A101301"/>
      <c r="B101301"/>
      <c r="C101301"/>
      <c r="E101301"/>
      <c r="F101301"/>
    </row>
    <row r="101302" spans="1:6" x14ac:dyDescent="0.25">
      <c r="A101302"/>
      <c r="B101302"/>
      <c r="C101302"/>
      <c r="E101302"/>
      <c r="F101302"/>
    </row>
    <row r="101303" spans="1:6" x14ac:dyDescent="0.25">
      <c r="A101303"/>
      <c r="B101303"/>
      <c r="C101303"/>
      <c r="E101303"/>
      <c r="F101303"/>
    </row>
    <row r="101304" spans="1:6" x14ac:dyDescent="0.25">
      <c r="A101304"/>
      <c r="B101304"/>
      <c r="C101304"/>
      <c r="E101304"/>
      <c r="F101304"/>
    </row>
    <row r="101305" spans="1:6" x14ac:dyDescent="0.25">
      <c r="A101305"/>
      <c r="B101305"/>
      <c r="C101305"/>
      <c r="E101305"/>
      <c r="F101305"/>
    </row>
    <row r="101306" spans="1:6" x14ac:dyDescent="0.25">
      <c r="A101306"/>
      <c r="B101306"/>
      <c r="C101306"/>
      <c r="E101306"/>
      <c r="F101306"/>
    </row>
    <row r="101307" spans="1:6" x14ac:dyDescent="0.25">
      <c r="A101307"/>
      <c r="B101307"/>
      <c r="C101307"/>
      <c r="E101307"/>
      <c r="F101307"/>
    </row>
    <row r="101308" spans="1:6" x14ac:dyDescent="0.25">
      <c r="A101308"/>
      <c r="B101308"/>
      <c r="C101308"/>
      <c r="E101308"/>
      <c r="F101308"/>
    </row>
    <row r="101309" spans="1:6" x14ac:dyDescent="0.25">
      <c r="A101309"/>
      <c r="B101309"/>
      <c r="C101309"/>
      <c r="E101309"/>
      <c r="F101309"/>
    </row>
    <row r="101310" spans="1:6" x14ac:dyDescent="0.25">
      <c r="A101310"/>
      <c r="B101310"/>
      <c r="C101310"/>
      <c r="E101310"/>
      <c r="F101310"/>
    </row>
    <row r="101311" spans="1:6" x14ac:dyDescent="0.25">
      <c r="A101311"/>
      <c r="B101311"/>
      <c r="C101311"/>
      <c r="E101311"/>
      <c r="F101311"/>
    </row>
    <row r="101312" spans="1:6" x14ac:dyDescent="0.25">
      <c r="A101312"/>
      <c r="B101312"/>
      <c r="C101312"/>
      <c r="E101312"/>
      <c r="F101312"/>
    </row>
    <row r="101313" spans="1:6" x14ac:dyDescent="0.25">
      <c r="A101313"/>
      <c r="B101313"/>
      <c r="C101313"/>
      <c r="E101313"/>
      <c r="F101313"/>
    </row>
    <row r="101314" spans="1:6" x14ac:dyDescent="0.25">
      <c r="A101314"/>
      <c r="B101314"/>
      <c r="C101314"/>
      <c r="E101314"/>
      <c r="F101314"/>
    </row>
    <row r="101315" spans="1:6" x14ac:dyDescent="0.25">
      <c r="A101315"/>
      <c r="B101315"/>
      <c r="C101315"/>
      <c r="E101315"/>
      <c r="F101315"/>
    </row>
    <row r="101316" spans="1:6" x14ac:dyDescent="0.25">
      <c r="A101316"/>
      <c r="B101316"/>
      <c r="C101316"/>
      <c r="E101316"/>
      <c r="F101316"/>
    </row>
    <row r="101317" spans="1:6" x14ac:dyDescent="0.25">
      <c r="A101317"/>
      <c r="B101317"/>
      <c r="C101317"/>
      <c r="E101317"/>
      <c r="F101317"/>
    </row>
    <row r="101318" spans="1:6" x14ac:dyDescent="0.25">
      <c r="A101318"/>
      <c r="B101318"/>
      <c r="C101318"/>
      <c r="E101318"/>
      <c r="F101318"/>
    </row>
    <row r="101319" spans="1:6" x14ac:dyDescent="0.25">
      <c r="A101319"/>
      <c r="B101319"/>
      <c r="C101319"/>
      <c r="E101319"/>
      <c r="F101319"/>
    </row>
    <row r="101320" spans="1:6" x14ac:dyDescent="0.25">
      <c r="A101320"/>
      <c r="B101320"/>
      <c r="C101320"/>
      <c r="E101320"/>
      <c r="F101320"/>
    </row>
    <row r="101321" spans="1:6" x14ac:dyDescent="0.25">
      <c r="A101321"/>
      <c r="B101321"/>
      <c r="C101321"/>
      <c r="E101321"/>
      <c r="F101321"/>
    </row>
    <row r="101322" spans="1:6" x14ac:dyDescent="0.25">
      <c r="A101322"/>
      <c r="B101322"/>
      <c r="C101322"/>
      <c r="E101322"/>
      <c r="F101322"/>
    </row>
    <row r="101323" spans="1:6" x14ac:dyDescent="0.25">
      <c r="A101323"/>
      <c r="B101323"/>
      <c r="C101323"/>
      <c r="E101323"/>
      <c r="F101323"/>
    </row>
    <row r="101324" spans="1:6" x14ac:dyDescent="0.25">
      <c r="A101324"/>
      <c r="B101324"/>
      <c r="C101324"/>
      <c r="E101324"/>
      <c r="F101324"/>
    </row>
    <row r="101325" spans="1:6" x14ac:dyDescent="0.25">
      <c r="A101325"/>
      <c r="B101325"/>
      <c r="C101325"/>
      <c r="E101325"/>
      <c r="F101325"/>
    </row>
    <row r="101326" spans="1:6" x14ac:dyDescent="0.25">
      <c r="A101326"/>
      <c r="B101326"/>
      <c r="C101326"/>
      <c r="E101326"/>
      <c r="F101326"/>
    </row>
    <row r="101327" spans="1:6" x14ac:dyDescent="0.25">
      <c r="A101327"/>
      <c r="B101327"/>
      <c r="C101327"/>
      <c r="E101327"/>
      <c r="F101327"/>
    </row>
    <row r="101328" spans="1:6" x14ac:dyDescent="0.25">
      <c r="A101328"/>
      <c r="B101328"/>
      <c r="C101328"/>
      <c r="E101328"/>
      <c r="F101328"/>
    </row>
    <row r="101329" spans="1:6" x14ac:dyDescent="0.25">
      <c r="A101329"/>
      <c r="B101329"/>
      <c r="C101329"/>
      <c r="E101329"/>
      <c r="F101329"/>
    </row>
    <row r="101330" spans="1:6" x14ac:dyDescent="0.25">
      <c r="A101330"/>
      <c r="B101330"/>
      <c r="C101330"/>
      <c r="E101330"/>
      <c r="F101330"/>
    </row>
    <row r="101331" spans="1:6" x14ac:dyDescent="0.25">
      <c r="A101331"/>
      <c r="B101331"/>
      <c r="C101331"/>
      <c r="E101331"/>
      <c r="F101331"/>
    </row>
    <row r="101332" spans="1:6" x14ac:dyDescent="0.25">
      <c r="A101332"/>
      <c r="B101332"/>
      <c r="C101332"/>
      <c r="E101332"/>
      <c r="F101332"/>
    </row>
    <row r="101333" spans="1:6" x14ac:dyDescent="0.25">
      <c r="A101333"/>
      <c r="B101333"/>
      <c r="C101333"/>
      <c r="E101333"/>
      <c r="F101333"/>
    </row>
    <row r="101334" spans="1:6" x14ac:dyDescent="0.25">
      <c r="A101334"/>
      <c r="B101334"/>
      <c r="C101334"/>
      <c r="E101334"/>
      <c r="F101334"/>
    </row>
    <row r="101335" spans="1:6" x14ac:dyDescent="0.25">
      <c r="A101335"/>
      <c r="B101335"/>
      <c r="C101335"/>
      <c r="E101335"/>
      <c r="F101335"/>
    </row>
    <row r="101336" spans="1:6" x14ac:dyDescent="0.25">
      <c r="A101336"/>
      <c r="B101336"/>
      <c r="C101336"/>
      <c r="E101336"/>
      <c r="F101336"/>
    </row>
    <row r="101337" spans="1:6" x14ac:dyDescent="0.25">
      <c r="A101337"/>
      <c r="B101337"/>
      <c r="C101337"/>
      <c r="E101337"/>
      <c r="F101337"/>
    </row>
    <row r="101338" spans="1:6" x14ac:dyDescent="0.25">
      <c r="A101338"/>
      <c r="B101338"/>
      <c r="C101338"/>
      <c r="E101338"/>
      <c r="F101338"/>
    </row>
    <row r="101339" spans="1:6" x14ac:dyDescent="0.25">
      <c r="A101339"/>
      <c r="B101339"/>
      <c r="C101339"/>
      <c r="E101339"/>
      <c r="F101339"/>
    </row>
    <row r="101340" spans="1:6" x14ac:dyDescent="0.25">
      <c r="A101340"/>
      <c r="B101340"/>
      <c r="C101340"/>
      <c r="E101340"/>
      <c r="F101340"/>
    </row>
    <row r="101341" spans="1:6" x14ac:dyDescent="0.25">
      <c r="A101341"/>
      <c r="B101341"/>
      <c r="C101341"/>
      <c r="E101341"/>
      <c r="F101341"/>
    </row>
    <row r="101342" spans="1:6" x14ac:dyDescent="0.25">
      <c r="A101342"/>
      <c r="B101342"/>
      <c r="C101342"/>
      <c r="E101342"/>
      <c r="F101342"/>
    </row>
    <row r="101343" spans="1:6" x14ac:dyDescent="0.25">
      <c r="A101343"/>
      <c r="B101343"/>
      <c r="C101343"/>
      <c r="E101343"/>
      <c r="F101343"/>
    </row>
    <row r="101344" spans="1:6" x14ac:dyDescent="0.25">
      <c r="A101344"/>
      <c r="B101344"/>
      <c r="C101344"/>
      <c r="E101344"/>
      <c r="F101344"/>
    </row>
    <row r="101345" spans="1:6" x14ac:dyDescent="0.25">
      <c r="A101345"/>
      <c r="B101345"/>
      <c r="C101345"/>
      <c r="E101345"/>
      <c r="F101345"/>
    </row>
    <row r="101346" spans="1:6" x14ac:dyDescent="0.25">
      <c r="A101346"/>
      <c r="B101346"/>
      <c r="C101346"/>
      <c r="E101346"/>
      <c r="F101346"/>
    </row>
    <row r="101347" spans="1:6" x14ac:dyDescent="0.25">
      <c r="A101347"/>
      <c r="B101347"/>
      <c r="C101347"/>
      <c r="E101347"/>
      <c r="F101347"/>
    </row>
    <row r="101348" spans="1:6" x14ac:dyDescent="0.25">
      <c r="A101348"/>
      <c r="B101348"/>
      <c r="C101348"/>
      <c r="E101348"/>
      <c r="F101348"/>
    </row>
    <row r="101349" spans="1:6" x14ac:dyDescent="0.25">
      <c r="A101349"/>
      <c r="B101349"/>
      <c r="C101349"/>
      <c r="E101349"/>
      <c r="F101349"/>
    </row>
    <row r="101350" spans="1:6" x14ac:dyDescent="0.25">
      <c r="A101350"/>
      <c r="B101350"/>
      <c r="C101350"/>
      <c r="E101350"/>
      <c r="F101350"/>
    </row>
    <row r="101351" spans="1:6" x14ac:dyDescent="0.25">
      <c r="A101351"/>
      <c r="B101351"/>
      <c r="C101351"/>
      <c r="E101351"/>
      <c r="F101351"/>
    </row>
    <row r="101352" spans="1:6" x14ac:dyDescent="0.25">
      <c r="A101352"/>
      <c r="B101352"/>
      <c r="C101352"/>
      <c r="E101352"/>
      <c r="F101352"/>
    </row>
    <row r="101353" spans="1:6" x14ac:dyDescent="0.25">
      <c r="A101353"/>
      <c r="B101353"/>
      <c r="C101353"/>
      <c r="E101353"/>
      <c r="F101353"/>
    </row>
    <row r="101354" spans="1:6" x14ac:dyDescent="0.25">
      <c r="A101354"/>
      <c r="B101354"/>
      <c r="C101354"/>
      <c r="E101354"/>
      <c r="F101354"/>
    </row>
    <row r="101355" spans="1:6" x14ac:dyDescent="0.25">
      <c r="A101355"/>
      <c r="B101355"/>
      <c r="C101355"/>
      <c r="E101355"/>
      <c r="F101355"/>
    </row>
    <row r="101356" spans="1:6" x14ac:dyDescent="0.25">
      <c r="A101356"/>
      <c r="B101356"/>
      <c r="C101356"/>
      <c r="E101356"/>
      <c r="F101356"/>
    </row>
    <row r="101357" spans="1:6" x14ac:dyDescent="0.25">
      <c r="A101357"/>
      <c r="B101357"/>
      <c r="C101357"/>
      <c r="E101357"/>
      <c r="F101357"/>
    </row>
    <row r="101358" spans="1:6" x14ac:dyDescent="0.25">
      <c r="A101358"/>
      <c r="B101358"/>
      <c r="C101358"/>
      <c r="E101358"/>
      <c r="F101358"/>
    </row>
    <row r="101359" spans="1:6" x14ac:dyDescent="0.25">
      <c r="A101359"/>
      <c r="B101359"/>
      <c r="C101359"/>
      <c r="E101359"/>
      <c r="F101359"/>
    </row>
    <row r="101360" spans="1:6" x14ac:dyDescent="0.25">
      <c r="A101360"/>
      <c r="B101360"/>
      <c r="C101360"/>
      <c r="E101360"/>
      <c r="F101360"/>
    </row>
    <row r="101361" spans="1:6" x14ac:dyDescent="0.25">
      <c r="A101361"/>
      <c r="B101361"/>
      <c r="C101361"/>
      <c r="E101361"/>
      <c r="F101361"/>
    </row>
    <row r="101362" spans="1:6" x14ac:dyDescent="0.25">
      <c r="A101362"/>
      <c r="B101362"/>
      <c r="C101362"/>
      <c r="E101362"/>
      <c r="F101362"/>
    </row>
    <row r="101363" spans="1:6" x14ac:dyDescent="0.25">
      <c r="A101363"/>
      <c r="B101363"/>
      <c r="C101363"/>
      <c r="E101363"/>
      <c r="F101363"/>
    </row>
    <row r="101364" spans="1:6" x14ac:dyDescent="0.25">
      <c r="A101364"/>
      <c r="B101364"/>
      <c r="C101364"/>
      <c r="E101364"/>
      <c r="F101364"/>
    </row>
    <row r="101365" spans="1:6" x14ac:dyDescent="0.25">
      <c r="A101365"/>
      <c r="B101365"/>
      <c r="C101365"/>
      <c r="E101365"/>
      <c r="F101365"/>
    </row>
    <row r="101366" spans="1:6" x14ac:dyDescent="0.25">
      <c r="A101366"/>
      <c r="B101366"/>
      <c r="C101366"/>
      <c r="E101366"/>
      <c r="F101366"/>
    </row>
    <row r="101367" spans="1:6" x14ac:dyDescent="0.25">
      <c r="A101367"/>
      <c r="B101367"/>
      <c r="C101367"/>
      <c r="E101367"/>
      <c r="F101367"/>
    </row>
    <row r="101368" spans="1:6" x14ac:dyDescent="0.25">
      <c r="A101368"/>
      <c r="B101368"/>
      <c r="C101368"/>
      <c r="E101368"/>
      <c r="F101368"/>
    </row>
    <row r="101369" spans="1:6" x14ac:dyDescent="0.25">
      <c r="A101369"/>
      <c r="B101369"/>
      <c r="C101369"/>
      <c r="E101369"/>
      <c r="F101369"/>
    </row>
    <row r="101370" spans="1:6" x14ac:dyDescent="0.25">
      <c r="A101370"/>
      <c r="B101370"/>
      <c r="C101370"/>
      <c r="E101370"/>
      <c r="F101370"/>
    </row>
    <row r="101371" spans="1:6" x14ac:dyDescent="0.25">
      <c r="A101371"/>
      <c r="B101371"/>
      <c r="C101371"/>
      <c r="E101371"/>
      <c r="F101371"/>
    </row>
    <row r="101372" spans="1:6" x14ac:dyDescent="0.25">
      <c r="A101372"/>
      <c r="B101372"/>
      <c r="C101372"/>
      <c r="E101372"/>
      <c r="F101372"/>
    </row>
    <row r="101373" spans="1:6" x14ac:dyDescent="0.25">
      <c r="A101373"/>
      <c r="B101373"/>
      <c r="C101373"/>
      <c r="E101373"/>
      <c r="F101373"/>
    </row>
    <row r="101374" spans="1:6" x14ac:dyDescent="0.25">
      <c r="A101374"/>
      <c r="B101374"/>
      <c r="C101374"/>
      <c r="E101374"/>
      <c r="F101374"/>
    </row>
    <row r="101375" spans="1:6" x14ac:dyDescent="0.25">
      <c r="A101375"/>
      <c r="B101375"/>
      <c r="C101375"/>
      <c r="E101375"/>
      <c r="F101375"/>
    </row>
    <row r="101376" spans="1:6" x14ac:dyDescent="0.25">
      <c r="A101376"/>
      <c r="B101376"/>
      <c r="C101376"/>
      <c r="E101376"/>
      <c r="F101376"/>
    </row>
    <row r="101377" spans="1:6" x14ac:dyDescent="0.25">
      <c r="A101377"/>
      <c r="B101377"/>
      <c r="C101377"/>
      <c r="E101377"/>
      <c r="F101377"/>
    </row>
    <row r="101378" spans="1:6" x14ac:dyDescent="0.25">
      <c r="A101378"/>
      <c r="B101378"/>
      <c r="C101378"/>
      <c r="E101378"/>
      <c r="F101378"/>
    </row>
    <row r="101379" spans="1:6" x14ac:dyDescent="0.25">
      <c r="A101379"/>
      <c r="B101379"/>
      <c r="C101379"/>
      <c r="E101379"/>
      <c r="F101379"/>
    </row>
    <row r="101380" spans="1:6" x14ac:dyDescent="0.25">
      <c r="A101380"/>
      <c r="B101380"/>
      <c r="C101380"/>
      <c r="E101380"/>
      <c r="F101380"/>
    </row>
    <row r="101381" spans="1:6" x14ac:dyDescent="0.25">
      <c r="A101381"/>
      <c r="B101381"/>
      <c r="C101381"/>
      <c r="E101381"/>
      <c r="F101381"/>
    </row>
    <row r="101382" spans="1:6" x14ac:dyDescent="0.25">
      <c r="A101382"/>
      <c r="B101382"/>
      <c r="C101382"/>
      <c r="E101382"/>
      <c r="F101382"/>
    </row>
    <row r="101383" spans="1:6" x14ac:dyDescent="0.25">
      <c r="A101383"/>
      <c r="B101383"/>
      <c r="C101383"/>
      <c r="E101383"/>
      <c r="F101383"/>
    </row>
    <row r="101384" spans="1:6" x14ac:dyDescent="0.25">
      <c r="A101384"/>
      <c r="B101384"/>
      <c r="C101384"/>
      <c r="E101384"/>
      <c r="F101384"/>
    </row>
    <row r="101385" spans="1:6" x14ac:dyDescent="0.25">
      <c r="A101385"/>
      <c r="B101385"/>
      <c r="C101385"/>
      <c r="E101385"/>
      <c r="F101385"/>
    </row>
    <row r="101386" spans="1:6" x14ac:dyDescent="0.25">
      <c r="A101386"/>
      <c r="B101386"/>
      <c r="C101386"/>
      <c r="E101386"/>
      <c r="F101386"/>
    </row>
    <row r="101387" spans="1:6" x14ac:dyDescent="0.25">
      <c r="A101387"/>
      <c r="B101387"/>
      <c r="C101387"/>
      <c r="E101387"/>
      <c r="F101387"/>
    </row>
    <row r="101388" spans="1:6" x14ac:dyDescent="0.25">
      <c r="A101388"/>
      <c r="B101388"/>
      <c r="C101388"/>
      <c r="E101388"/>
      <c r="F101388"/>
    </row>
    <row r="101389" spans="1:6" x14ac:dyDescent="0.25">
      <c r="A101389"/>
      <c r="B101389"/>
      <c r="C101389"/>
      <c r="E101389"/>
      <c r="F101389"/>
    </row>
    <row r="101390" spans="1:6" x14ac:dyDescent="0.25">
      <c r="A101390"/>
      <c r="B101390"/>
      <c r="C101390"/>
      <c r="E101390"/>
      <c r="F101390"/>
    </row>
    <row r="101391" spans="1:6" x14ac:dyDescent="0.25">
      <c r="A101391"/>
      <c r="B101391"/>
      <c r="C101391"/>
      <c r="E101391"/>
      <c r="F101391"/>
    </row>
    <row r="101392" spans="1:6" x14ac:dyDescent="0.25">
      <c r="A101392"/>
      <c r="B101392"/>
      <c r="C101392"/>
      <c r="E101392"/>
      <c r="F101392"/>
    </row>
    <row r="101393" spans="1:6" x14ac:dyDescent="0.25">
      <c r="A101393"/>
      <c r="B101393"/>
      <c r="C101393"/>
      <c r="E101393"/>
      <c r="F101393"/>
    </row>
    <row r="101394" spans="1:6" x14ac:dyDescent="0.25">
      <c r="A101394"/>
      <c r="B101394"/>
      <c r="C101394"/>
      <c r="E101394"/>
      <c r="F101394"/>
    </row>
    <row r="101395" spans="1:6" x14ac:dyDescent="0.25">
      <c r="A101395"/>
      <c r="B101395"/>
      <c r="C101395"/>
      <c r="E101395"/>
      <c r="F101395"/>
    </row>
    <row r="101396" spans="1:6" x14ac:dyDescent="0.25">
      <c r="A101396"/>
      <c r="B101396"/>
      <c r="C101396"/>
      <c r="E101396"/>
      <c r="F101396"/>
    </row>
    <row r="101397" spans="1:6" x14ac:dyDescent="0.25">
      <c r="A101397"/>
      <c r="B101397"/>
      <c r="C101397"/>
      <c r="E101397"/>
      <c r="F101397"/>
    </row>
    <row r="101398" spans="1:6" x14ac:dyDescent="0.25">
      <c r="A101398"/>
      <c r="B101398"/>
      <c r="C101398"/>
      <c r="E101398"/>
      <c r="F101398"/>
    </row>
    <row r="101399" spans="1:6" x14ac:dyDescent="0.25">
      <c r="A101399"/>
      <c r="B101399"/>
      <c r="C101399"/>
      <c r="E101399"/>
      <c r="F101399"/>
    </row>
    <row r="101400" spans="1:6" x14ac:dyDescent="0.25">
      <c r="A101400"/>
      <c r="B101400"/>
      <c r="C101400"/>
      <c r="E101400"/>
      <c r="F101400"/>
    </row>
    <row r="101401" spans="1:6" x14ac:dyDescent="0.25">
      <c r="A101401"/>
      <c r="B101401"/>
      <c r="C101401"/>
      <c r="E101401"/>
      <c r="F101401"/>
    </row>
    <row r="101402" spans="1:6" x14ac:dyDescent="0.25">
      <c r="A101402"/>
      <c r="B101402"/>
      <c r="C101402"/>
      <c r="E101402"/>
      <c r="F101402"/>
    </row>
    <row r="101403" spans="1:6" x14ac:dyDescent="0.25">
      <c r="A101403"/>
      <c r="B101403"/>
      <c r="C101403"/>
      <c r="E101403"/>
      <c r="F101403"/>
    </row>
    <row r="101404" spans="1:6" x14ac:dyDescent="0.25">
      <c r="A101404"/>
      <c r="B101404"/>
      <c r="C101404"/>
      <c r="E101404"/>
      <c r="F101404"/>
    </row>
    <row r="101405" spans="1:6" x14ac:dyDescent="0.25">
      <c r="A101405"/>
      <c r="B101405"/>
      <c r="C101405"/>
      <c r="E101405"/>
      <c r="F101405"/>
    </row>
    <row r="101406" spans="1:6" x14ac:dyDescent="0.25">
      <c r="A101406"/>
      <c r="B101406"/>
      <c r="C101406"/>
      <c r="E101406"/>
      <c r="F101406"/>
    </row>
    <row r="101407" spans="1:6" x14ac:dyDescent="0.25">
      <c r="A101407"/>
      <c r="B101407"/>
      <c r="C101407"/>
      <c r="E101407"/>
      <c r="F101407"/>
    </row>
    <row r="101408" spans="1:6" x14ac:dyDescent="0.25">
      <c r="A101408"/>
      <c r="B101408"/>
      <c r="C101408"/>
      <c r="E101408"/>
      <c r="F101408"/>
    </row>
    <row r="101409" spans="1:6" x14ac:dyDescent="0.25">
      <c r="A101409"/>
      <c r="B101409"/>
      <c r="C101409"/>
      <c r="E101409"/>
      <c r="F101409"/>
    </row>
    <row r="101410" spans="1:6" x14ac:dyDescent="0.25">
      <c r="A101410"/>
      <c r="B101410"/>
      <c r="C101410"/>
      <c r="E101410"/>
      <c r="F101410"/>
    </row>
    <row r="101411" spans="1:6" x14ac:dyDescent="0.25">
      <c r="A101411"/>
      <c r="B101411"/>
      <c r="C101411"/>
      <c r="E101411"/>
      <c r="F101411"/>
    </row>
    <row r="101412" spans="1:6" x14ac:dyDescent="0.25">
      <c r="A101412"/>
      <c r="B101412"/>
      <c r="C101412"/>
      <c r="E101412"/>
      <c r="F101412"/>
    </row>
    <row r="101413" spans="1:6" x14ac:dyDescent="0.25">
      <c r="A101413"/>
      <c r="B101413"/>
      <c r="C101413"/>
      <c r="E101413"/>
      <c r="F101413"/>
    </row>
    <row r="101414" spans="1:6" x14ac:dyDescent="0.25">
      <c r="A101414"/>
      <c r="B101414"/>
      <c r="C101414"/>
      <c r="E101414"/>
      <c r="F101414"/>
    </row>
    <row r="101415" spans="1:6" x14ac:dyDescent="0.25">
      <c r="A101415"/>
      <c r="B101415"/>
      <c r="C101415"/>
      <c r="E101415"/>
      <c r="F101415"/>
    </row>
    <row r="101416" spans="1:6" x14ac:dyDescent="0.25">
      <c r="A101416"/>
      <c r="B101416"/>
      <c r="C101416"/>
      <c r="E101416"/>
      <c r="F101416"/>
    </row>
    <row r="101417" spans="1:6" x14ac:dyDescent="0.25">
      <c r="A101417"/>
      <c r="B101417"/>
      <c r="C101417"/>
      <c r="E101417"/>
      <c r="F101417"/>
    </row>
    <row r="101418" spans="1:6" x14ac:dyDescent="0.25">
      <c r="A101418"/>
      <c r="B101418"/>
      <c r="C101418"/>
      <c r="E101418"/>
      <c r="F101418"/>
    </row>
    <row r="101419" spans="1:6" x14ac:dyDescent="0.25">
      <c r="A101419"/>
      <c r="B101419"/>
      <c r="C101419"/>
      <c r="E101419"/>
      <c r="F101419"/>
    </row>
    <row r="101420" spans="1:6" x14ac:dyDescent="0.25">
      <c r="A101420"/>
      <c r="B101420"/>
      <c r="C101420"/>
      <c r="E101420"/>
      <c r="F101420"/>
    </row>
    <row r="101421" spans="1:6" x14ac:dyDescent="0.25">
      <c r="A101421"/>
      <c r="B101421"/>
      <c r="C101421"/>
      <c r="E101421"/>
      <c r="F101421"/>
    </row>
    <row r="101422" spans="1:6" x14ac:dyDescent="0.25">
      <c r="A101422"/>
      <c r="B101422"/>
      <c r="C101422"/>
      <c r="E101422"/>
      <c r="F101422"/>
    </row>
    <row r="101423" spans="1:6" x14ac:dyDescent="0.25">
      <c r="A101423"/>
      <c r="B101423"/>
      <c r="C101423"/>
      <c r="E101423"/>
      <c r="F101423"/>
    </row>
    <row r="101424" spans="1:6" x14ac:dyDescent="0.25">
      <c r="A101424"/>
      <c r="B101424"/>
      <c r="C101424"/>
      <c r="E101424"/>
      <c r="F101424"/>
    </row>
    <row r="101425" spans="1:6" x14ac:dyDescent="0.25">
      <c r="A101425"/>
      <c r="B101425"/>
      <c r="C101425"/>
      <c r="E101425"/>
      <c r="F101425"/>
    </row>
    <row r="101426" spans="1:6" x14ac:dyDescent="0.25">
      <c r="A101426"/>
      <c r="B101426"/>
      <c r="C101426"/>
      <c r="E101426"/>
      <c r="F101426"/>
    </row>
    <row r="101427" spans="1:6" x14ac:dyDescent="0.25">
      <c r="A101427"/>
      <c r="B101427"/>
      <c r="C101427"/>
      <c r="E101427"/>
      <c r="F101427"/>
    </row>
    <row r="101428" spans="1:6" x14ac:dyDescent="0.25">
      <c r="A101428"/>
      <c r="B101428"/>
      <c r="C101428"/>
      <c r="E101428"/>
      <c r="F101428"/>
    </row>
    <row r="101429" spans="1:6" x14ac:dyDescent="0.25">
      <c r="A101429"/>
      <c r="B101429"/>
      <c r="C101429"/>
      <c r="E101429"/>
      <c r="F101429"/>
    </row>
    <row r="101430" spans="1:6" x14ac:dyDescent="0.25">
      <c r="A101430"/>
      <c r="B101430"/>
      <c r="C101430"/>
      <c r="E101430"/>
      <c r="F101430"/>
    </row>
    <row r="101431" spans="1:6" x14ac:dyDescent="0.25">
      <c r="A101431"/>
      <c r="B101431"/>
      <c r="C101431"/>
      <c r="E101431"/>
      <c r="F101431"/>
    </row>
    <row r="101432" spans="1:6" x14ac:dyDescent="0.25">
      <c r="A101432"/>
      <c r="B101432"/>
      <c r="C101432"/>
      <c r="E101432"/>
      <c r="F101432"/>
    </row>
    <row r="101433" spans="1:6" x14ac:dyDescent="0.25">
      <c r="A101433"/>
      <c r="B101433"/>
      <c r="C101433"/>
      <c r="E101433"/>
      <c r="F101433"/>
    </row>
    <row r="101434" spans="1:6" x14ac:dyDescent="0.25">
      <c r="A101434"/>
      <c r="B101434"/>
      <c r="C101434"/>
      <c r="E101434"/>
      <c r="F101434"/>
    </row>
    <row r="101435" spans="1:6" x14ac:dyDescent="0.25">
      <c r="A101435"/>
      <c r="B101435"/>
      <c r="C101435"/>
      <c r="E101435"/>
      <c r="F101435"/>
    </row>
    <row r="101436" spans="1:6" x14ac:dyDescent="0.25">
      <c r="A101436"/>
      <c r="B101436"/>
      <c r="C101436"/>
      <c r="E101436"/>
      <c r="F101436"/>
    </row>
    <row r="101437" spans="1:6" x14ac:dyDescent="0.25">
      <c r="A101437"/>
      <c r="B101437"/>
      <c r="C101437"/>
      <c r="E101437"/>
      <c r="F101437"/>
    </row>
    <row r="101438" spans="1:6" x14ac:dyDescent="0.25">
      <c r="A101438"/>
      <c r="B101438"/>
      <c r="C101438"/>
      <c r="E101438"/>
      <c r="F101438"/>
    </row>
    <row r="101439" spans="1:6" x14ac:dyDescent="0.25">
      <c r="A101439"/>
      <c r="B101439"/>
      <c r="C101439"/>
      <c r="E101439"/>
      <c r="F101439"/>
    </row>
    <row r="101440" spans="1:6" x14ac:dyDescent="0.25">
      <c r="A101440"/>
      <c r="B101440"/>
      <c r="C101440"/>
      <c r="E101440"/>
      <c r="F101440"/>
    </row>
    <row r="101441" spans="1:6" x14ac:dyDescent="0.25">
      <c r="A101441"/>
      <c r="B101441"/>
      <c r="C101441"/>
      <c r="E101441"/>
      <c r="F101441"/>
    </row>
    <row r="101442" spans="1:6" x14ac:dyDescent="0.25">
      <c r="A101442"/>
      <c r="B101442"/>
      <c r="C101442"/>
      <c r="E101442"/>
      <c r="F101442"/>
    </row>
    <row r="101443" spans="1:6" x14ac:dyDescent="0.25">
      <c r="A101443"/>
      <c r="B101443"/>
      <c r="C101443"/>
      <c r="E101443"/>
      <c r="F101443"/>
    </row>
    <row r="101444" spans="1:6" x14ac:dyDescent="0.25">
      <c r="A101444"/>
      <c r="B101444"/>
      <c r="C101444"/>
      <c r="E101444"/>
      <c r="F101444"/>
    </row>
    <row r="101445" spans="1:6" x14ac:dyDescent="0.25">
      <c r="A101445"/>
      <c r="B101445"/>
      <c r="C101445"/>
      <c r="E101445"/>
      <c r="F101445"/>
    </row>
    <row r="101446" spans="1:6" x14ac:dyDescent="0.25">
      <c r="A101446"/>
      <c r="B101446"/>
      <c r="C101446"/>
      <c r="E101446"/>
      <c r="F101446"/>
    </row>
    <row r="101447" spans="1:6" x14ac:dyDescent="0.25">
      <c r="A101447"/>
      <c r="B101447"/>
      <c r="C101447"/>
      <c r="E101447"/>
      <c r="F101447"/>
    </row>
    <row r="101448" spans="1:6" x14ac:dyDescent="0.25">
      <c r="A101448"/>
      <c r="B101448"/>
      <c r="C101448"/>
      <c r="E101448"/>
      <c r="F101448"/>
    </row>
    <row r="101449" spans="1:6" x14ac:dyDescent="0.25">
      <c r="A101449"/>
      <c r="B101449"/>
      <c r="C101449"/>
      <c r="E101449"/>
      <c r="F101449"/>
    </row>
    <row r="101450" spans="1:6" x14ac:dyDescent="0.25">
      <c r="A101450"/>
      <c r="B101450"/>
      <c r="C101450"/>
      <c r="E101450"/>
      <c r="F101450"/>
    </row>
    <row r="101451" spans="1:6" x14ac:dyDescent="0.25">
      <c r="A101451"/>
      <c r="B101451"/>
      <c r="C101451"/>
      <c r="E101451"/>
      <c r="F101451"/>
    </row>
    <row r="101452" spans="1:6" x14ac:dyDescent="0.25">
      <c r="A101452"/>
      <c r="B101452"/>
      <c r="C101452"/>
      <c r="E101452"/>
      <c r="F101452"/>
    </row>
    <row r="101453" spans="1:6" x14ac:dyDescent="0.25">
      <c r="A101453"/>
      <c r="B101453"/>
      <c r="C101453"/>
      <c r="E101453"/>
      <c r="F101453"/>
    </row>
    <row r="101454" spans="1:6" x14ac:dyDescent="0.25">
      <c r="A101454"/>
      <c r="B101454"/>
      <c r="C101454"/>
      <c r="E101454"/>
      <c r="F101454"/>
    </row>
    <row r="101455" spans="1:6" x14ac:dyDescent="0.25">
      <c r="A101455"/>
      <c r="B101455"/>
      <c r="C101455"/>
      <c r="E101455"/>
      <c r="F101455"/>
    </row>
    <row r="101456" spans="1:6" x14ac:dyDescent="0.25">
      <c r="A101456"/>
      <c r="B101456"/>
      <c r="C101456"/>
      <c r="E101456"/>
      <c r="F101456"/>
    </row>
    <row r="101457" spans="1:6" x14ac:dyDescent="0.25">
      <c r="A101457"/>
      <c r="B101457"/>
      <c r="C101457"/>
      <c r="E101457"/>
      <c r="F101457"/>
    </row>
    <row r="101458" spans="1:6" x14ac:dyDescent="0.25">
      <c r="A101458"/>
      <c r="B101458"/>
      <c r="C101458"/>
      <c r="E101458"/>
      <c r="F101458"/>
    </row>
    <row r="101459" spans="1:6" x14ac:dyDescent="0.25">
      <c r="A101459"/>
      <c r="B101459"/>
      <c r="C101459"/>
      <c r="E101459"/>
      <c r="F101459"/>
    </row>
    <row r="101460" spans="1:6" x14ac:dyDescent="0.25">
      <c r="A101460"/>
      <c r="B101460"/>
      <c r="C101460"/>
      <c r="E101460"/>
      <c r="F101460"/>
    </row>
    <row r="101461" spans="1:6" x14ac:dyDescent="0.25">
      <c r="A101461"/>
      <c r="B101461"/>
      <c r="C101461"/>
      <c r="E101461"/>
      <c r="F101461"/>
    </row>
    <row r="101462" spans="1:6" x14ac:dyDescent="0.25">
      <c r="A101462"/>
      <c r="B101462"/>
      <c r="C101462"/>
      <c r="E101462"/>
      <c r="F101462"/>
    </row>
    <row r="101463" spans="1:6" x14ac:dyDescent="0.25">
      <c r="A101463"/>
      <c r="B101463"/>
      <c r="C101463"/>
      <c r="E101463"/>
      <c r="F101463"/>
    </row>
    <row r="101464" spans="1:6" x14ac:dyDescent="0.25">
      <c r="A101464"/>
      <c r="B101464"/>
      <c r="C101464"/>
      <c r="E101464"/>
      <c r="F101464"/>
    </row>
    <row r="101465" spans="1:6" x14ac:dyDescent="0.25">
      <c r="A101465"/>
      <c r="B101465"/>
      <c r="C101465"/>
      <c r="E101465"/>
      <c r="F101465"/>
    </row>
    <row r="101466" spans="1:6" x14ac:dyDescent="0.25">
      <c r="A101466"/>
      <c r="B101466"/>
      <c r="C101466"/>
      <c r="E101466"/>
      <c r="F101466"/>
    </row>
    <row r="101467" spans="1:6" x14ac:dyDescent="0.25">
      <c r="A101467"/>
      <c r="B101467"/>
      <c r="C101467"/>
      <c r="E101467"/>
      <c r="F101467"/>
    </row>
    <row r="101468" spans="1:6" x14ac:dyDescent="0.25">
      <c r="A101468"/>
      <c r="B101468"/>
      <c r="C101468"/>
      <c r="E101468"/>
      <c r="F101468"/>
    </row>
    <row r="101469" spans="1:6" x14ac:dyDescent="0.25">
      <c r="A101469"/>
      <c r="B101469"/>
      <c r="C101469"/>
      <c r="E101469"/>
      <c r="F101469"/>
    </row>
    <row r="101470" spans="1:6" x14ac:dyDescent="0.25">
      <c r="A101470"/>
      <c r="B101470"/>
      <c r="C101470"/>
      <c r="E101470"/>
      <c r="F101470"/>
    </row>
    <row r="101471" spans="1:6" x14ac:dyDescent="0.25">
      <c r="A101471"/>
      <c r="B101471"/>
      <c r="C101471"/>
      <c r="E101471"/>
      <c r="F101471"/>
    </row>
    <row r="101472" spans="1:6" x14ac:dyDescent="0.25">
      <c r="A101472"/>
      <c r="B101472"/>
      <c r="C101472"/>
      <c r="E101472"/>
      <c r="F101472"/>
    </row>
    <row r="101473" spans="1:6" x14ac:dyDescent="0.25">
      <c r="A101473"/>
      <c r="B101473"/>
      <c r="C101473"/>
      <c r="E101473"/>
      <c r="F101473"/>
    </row>
    <row r="101474" spans="1:6" x14ac:dyDescent="0.25">
      <c r="A101474"/>
      <c r="B101474"/>
      <c r="C101474"/>
      <c r="E101474"/>
      <c r="F101474"/>
    </row>
    <row r="101475" spans="1:6" x14ac:dyDescent="0.25">
      <c r="A101475"/>
      <c r="B101475"/>
      <c r="C101475"/>
      <c r="E101475"/>
      <c r="F101475"/>
    </row>
    <row r="101476" spans="1:6" x14ac:dyDescent="0.25">
      <c r="A101476"/>
      <c r="B101476"/>
      <c r="C101476"/>
      <c r="E101476"/>
      <c r="F101476"/>
    </row>
    <row r="101477" spans="1:6" x14ac:dyDescent="0.25">
      <c r="A101477"/>
      <c r="B101477"/>
      <c r="C101477"/>
      <c r="E101477"/>
      <c r="F101477"/>
    </row>
    <row r="101478" spans="1:6" x14ac:dyDescent="0.25">
      <c r="A101478"/>
      <c r="B101478"/>
      <c r="C101478"/>
      <c r="E101478"/>
      <c r="F101478"/>
    </row>
    <row r="101479" spans="1:6" x14ac:dyDescent="0.25">
      <c r="A101479"/>
      <c r="B101479"/>
      <c r="C101479"/>
      <c r="E101479"/>
      <c r="F101479"/>
    </row>
    <row r="101480" spans="1:6" x14ac:dyDescent="0.25">
      <c r="A101480"/>
      <c r="B101480"/>
      <c r="C101480"/>
      <c r="E101480"/>
      <c r="F101480"/>
    </row>
    <row r="101481" spans="1:6" x14ac:dyDescent="0.25">
      <c r="A101481"/>
      <c r="B101481"/>
      <c r="C101481"/>
      <c r="E101481"/>
      <c r="F101481"/>
    </row>
    <row r="101482" spans="1:6" x14ac:dyDescent="0.25">
      <c r="A101482"/>
      <c r="B101482"/>
      <c r="C101482"/>
      <c r="E101482"/>
      <c r="F101482"/>
    </row>
    <row r="101483" spans="1:6" x14ac:dyDescent="0.25">
      <c r="A101483"/>
      <c r="B101483"/>
      <c r="C101483"/>
      <c r="E101483"/>
      <c r="F101483"/>
    </row>
    <row r="101484" spans="1:6" x14ac:dyDescent="0.25">
      <c r="A101484"/>
      <c r="B101484"/>
      <c r="C101484"/>
      <c r="E101484"/>
      <c r="F101484"/>
    </row>
    <row r="101485" spans="1:6" x14ac:dyDescent="0.25">
      <c r="A101485"/>
      <c r="B101485"/>
      <c r="C101485"/>
      <c r="E101485"/>
      <c r="F101485"/>
    </row>
    <row r="101486" spans="1:6" x14ac:dyDescent="0.25">
      <c r="A101486"/>
      <c r="B101486"/>
      <c r="C101486"/>
      <c r="E101486"/>
      <c r="F101486"/>
    </row>
    <row r="101487" spans="1:6" x14ac:dyDescent="0.25">
      <c r="A101487"/>
      <c r="B101487"/>
      <c r="C101487"/>
      <c r="E101487"/>
      <c r="F101487"/>
    </row>
    <row r="101488" spans="1:6" x14ac:dyDescent="0.25">
      <c r="A101488"/>
      <c r="B101488"/>
      <c r="C101488"/>
      <c r="E101488"/>
      <c r="F101488"/>
    </row>
    <row r="101489" spans="1:6" x14ac:dyDescent="0.25">
      <c r="A101489"/>
      <c r="B101489"/>
      <c r="C101489"/>
      <c r="E101489"/>
      <c r="F101489"/>
    </row>
    <row r="101490" spans="1:6" x14ac:dyDescent="0.25">
      <c r="A101490"/>
      <c r="B101490"/>
      <c r="C101490"/>
      <c r="E101490"/>
      <c r="F101490"/>
    </row>
    <row r="101491" spans="1:6" x14ac:dyDescent="0.25">
      <c r="A101491"/>
      <c r="B101491"/>
      <c r="C101491"/>
      <c r="E101491"/>
      <c r="F101491"/>
    </row>
    <row r="101492" spans="1:6" x14ac:dyDescent="0.25">
      <c r="A101492"/>
      <c r="B101492"/>
      <c r="C101492"/>
      <c r="E101492"/>
      <c r="F101492"/>
    </row>
    <row r="101493" spans="1:6" x14ac:dyDescent="0.25">
      <c r="A101493"/>
      <c r="B101493"/>
      <c r="C101493"/>
      <c r="E101493"/>
      <c r="F101493"/>
    </row>
    <row r="101494" spans="1:6" x14ac:dyDescent="0.25">
      <c r="A101494"/>
      <c r="B101494"/>
      <c r="C101494"/>
      <c r="E101494"/>
      <c r="F101494"/>
    </row>
    <row r="101495" spans="1:6" x14ac:dyDescent="0.25">
      <c r="A101495"/>
      <c r="B101495"/>
      <c r="C101495"/>
      <c r="E101495"/>
      <c r="F101495"/>
    </row>
    <row r="101496" spans="1:6" x14ac:dyDescent="0.25">
      <c r="A101496"/>
      <c r="B101496"/>
      <c r="C101496"/>
      <c r="E101496"/>
      <c r="F101496"/>
    </row>
    <row r="101497" spans="1:6" x14ac:dyDescent="0.25">
      <c r="A101497"/>
      <c r="B101497"/>
      <c r="C101497"/>
      <c r="E101497"/>
      <c r="F101497"/>
    </row>
    <row r="101498" spans="1:6" x14ac:dyDescent="0.25">
      <c r="A101498"/>
      <c r="B101498"/>
      <c r="C101498"/>
      <c r="E101498"/>
      <c r="F101498"/>
    </row>
    <row r="101499" spans="1:6" x14ac:dyDescent="0.25">
      <c r="A101499"/>
      <c r="B101499"/>
      <c r="C101499"/>
      <c r="E101499"/>
      <c r="F101499"/>
    </row>
    <row r="101500" spans="1:6" x14ac:dyDescent="0.25">
      <c r="A101500"/>
      <c r="B101500"/>
      <c r="C101500"/>
      <c r="E101500"/>
      <c r="F101500"/>
    </row>
    <row r="101501" spans="1:6" x14ac:dyDescent="0.25">
      <c r="A101501"/>
      <c r="B101501"/>
      <c r="C101501"/>
      <c r="E101501"/>
      <c r="F101501"/>
    </row>
    <row r="101502" spans="1:6" x14ac:dyDescent="0.25">
      <c r="A101502"/>
      <c r="B101502"/>
      <c r="C101502"/>
      <c r="E101502"/>
      <c r="F101502"/>
    </row>
    <row r="101503" spans="1:6" x14ac:dyDescent="0.25">
      <c r="A101503"/>
      <c r="B101503"/>
      <c r="C101503"/>
      <c r="E101503"/>
      <c r="F101503"/>
    </row>
    <row r="101504" spans="1:6" x14ac:dyDescent="0.25">
      <c r="A101504"/>
      <c r="B101504"/>
      <c r="C101504"/>
      <c r="E101504"/>
      <c r="F101504"/>
    </row>
    <row r="101505" spans="1:6" x14ac:dyDescent="0.25">
      <c r="A101505"/>
      <c r="B101505"/>
      <c r="C101505"/>
      <c r="E101505"/>
      <c r="F101505"/>
    </row>
    <row r="101506" spans="1:6" x14ac:dyDescent="0.25">
      <c r="A101506"/>
      <c r="B101506"/>
      <c r="C101506"/>
      <c r="E101506"/>
      <c r="F101506"/>
    </row>
    <row r="101507" spans="1:6" x14ac:dyDescent="0.25">
      <c r="A101507"/>
      <c r="B101507"/>
      <c r="C101507"/>
      <c r="E101507"/>
      <c r="F101507"/>
    </row>
    <row r="101508" spans="1:6" x14ac:dyDescent="0.25">
      <c r="A101508"/>
      <c r="B101508"/>
      <c r="C101508"/>
      <c r="E101508"/>
      <c r="F101508"/>
    </row>
    <row r="101509" spans="1:6" x14ac:dyDescent="0.25">
      <c r="A101509"/>
      <c r="B101509"/>
      <c r="C101509"/>
      <c r="E101509"/>
      <c r="F101509"/>
    </row>
    <row r="101510" spans="1:6" x14ac:dyDescent="0.25">
      <c r="A101510"/>
      <c r="B101510"/>
      <c r="C101510"/>
      <c r="E101510"/>
      <c r="F101510"/>
    </row>
    <row r="101511" spans="1:6" x14ac:dyDescent="0.25">
      <c r="A101511"/>
      <c r="B101511"/>
      <c r="C101511"/>
      <c r="E101511"/>
      <c r="F101511"/>
    </row>
    <row r="101512" spans="1:6" x14ac:dyDescent="0.25">
      <c r="A101512"/>
      <c r="B101512"/>
      <c r="C101512"/>
      <c r="E101512"/>
      <c r="F101512"/>
    </row>
    <row r="101513" spans="1:6" x14ac:dyDescent="0.25">
      <c r="A101513"/>
      <c r="B101513"/>
      <c r="C101513"/>
      <c r="E101513"/>
      <c r="F101513"/>
    </row>
    <row r="101514" spans="1:6" x14ac:dyDescent="0.25">
      <c r="A101514"/>
      <c r="B101514"/>
      <c r="C101514"/>
      <c r="E101514"/>
      <c r="F101514"/>
    </row>
    <row r="101515" spans="1:6" x14ac:dyDescent="0.25">
      <c r="A101515"/>
      <c r="B101515"/>
      <c r="C101515"/>
      <c r="E101515"/>
      <c r="F101515"/>
    </row>
    <row r="101516" spans="1:6" x14ac:dyDescent="0.25">
      <c r="A101516"/>
      <c r="B101516"/>
      <c r="C101516"/>
      <c r="E101516"/>
      <c r="F101516"/>
    </row>
    <row r="101517" spans="1:6" x14ac:dyDescent="0.25">
      <c r="A101517"/>
      <c r="B101517"/>
      <c r="C101517"/>
      <c r="E101517"/>
      <c r="F101517"/>
    </row>
    <row r="101518" spans="1:6" x14ac:dyDescent="0.25">
      <c r="A101518"/>
      <c r="B101518"/>
      <c r="C101518"/>
      <c r="E101518"/>
      <c r="F101518"/>
    </row>
    <row r="101519" spans="1:6" x14ac:dyDescent="0.25">
      <c r="A101519"/>
      <c r="B101519"/>
      <c r="C101519"/>
      <c r="E101519"/>
      <c r="F101519"/>
    </row>
    <row r="101520" spans="1:6" x14ac:dyDescent="0.25">
      <c r="A101520"/>
      <c r="B101520"/>
      <c r="C101520"/>
      <c r="E101520"/>
      <c r="F101520"/>
    </row>
    <row r="101521" spans="1:6" x14ac:dyDescent="0.25">
      <c r="A101521"/>
      <c r="B101521"/>
      <c r="C101521"/>
      <c r="E101521"/>
      <c r="F101521"/>
    </row>
    <row r="101522" spans="1:6" x14ac:dyDescent="0.25">
      <c r="A101522"/>
      <c r="B101522"/>
      <c r="C101522"/>
      <c r="E101522"/>
      <c r="F101522"/>
    </row>
    <row r="101523" spans="1:6" x14ac:dyDescent="0.25">
      <c r="A101523"/>
      <c r="B101523"/>
      <c r="C101523"/>
      <c r="E101523"/>
      <c r="F101523"/>
    </row>
    <row r="101524" spans="1:6" x14ac:dyDescent="0.25">
      <c r="A101524"/>
      <c r="B101524"/>
      <c r="C101524"/>
      <c r="E101524"/>
      <c r="F101524"/>
    </row>
    <row r="101525" spans="1:6" x14ac:dyDescent="0.25">
      <c r="A101525"/>
      <c r="B101525"/>
      <c r="C101525"/>
      <c r="E101525"/>
      <c r="F101525"/>
    </row>
    <row r="101526" spans="1:6" x14ac:dyDescent="0.25">
      <c r="A101526"/>
      <c r="B101526"/>
      <c r="C101526"/>
      <c r="E101526"/>
      <c r="F101526"/>
    </row>
    <row r="101527" spans="1:6" x14ac:dyDescent="0.25">
      <c r="A101527"/>
      <c r="B101527"/>
      <c r="C101527"/>
      <c r="E101527"/>
      <c r="F101527"/>
    </row>
    <row r="101528" spans="1:6" x14ac:dyDescent="0.25">
      <c r="A101528"/>
      <c r="B101528"/>
      <c r="C101528"/>
      <c r="E101528"/>
      <c r="F101528"/>
    </row>
    <row r="101529" spans="1:6" x14ac:dyDescent="0.25">
      <c r="A101529"/>
      <c r="B101529"/>
      <c r="C101529"/>
      <c r="E101529"/>
      <c r="F101529"/>
    </row>
    <row r="101530" spans="1:6" x14ac:dyDescent="0.25">
      <c r="A101530"/>
      <c r="B101530"/>
      <c r="C101530"/>
      <c r="E101530"/>
      <c r="F101530"/>
    </row>
    <row r="101531" spans="1:6" x14ac:dyDescent="0.25">
      <c r="A101531"/>
      <c r="B101531"/>
      <c r="C101531"/>
      <c r="E101531"/>
      <c r="F101531"/>
    </row>
    <row r="101532" spans="1:6" x14ac:dyDescent="0.25">
      <c r="A101532"/>
      <c r="B101532"/>
      <c r="C101532"/>
      <c r="E101532"/>
      <c r="F101532"/>
    </row>
    <row r="101533" spans="1:6" x14ac:dyDescent="0.25">
      <c r="A101533"/>
      <c r="B101533"/>
      <c r="C101533"/>
      <c r="E101533"/>
      <c r="F101533"/>
    </row>
    <row r="101534" spans="1:6" x14ac:dyDescent="0.25">
      <c r="A101534"/>
      <c r="B101534"/>
      <c r="C101534"/>
      <c r="E101534"/>
      <c r="F101534"/>
    </row>
    <row r="101535" spans="1:6" x14ac:dyDescent="0.25">
      <c r="A101535"/>
      <c r="B101535"/>
      <c r="C101535"/>
      <c r="E101535"/>
      <c r="F101535"/>
    </row>
    <row r="101536" spans="1:6" x14ac:dyDescent="0.25">
      <c r="A101536"/>
      <c r="B101536"/>
      <c r="C101536"/>
      <c r="E101536"/>
      <c r="F101536"/>
    </row>
    <row r="101537" spans="1:6" x14ac:dyDescent="0.25">
      <c r="A101537"/>
      <c r="B101537"/>
      <c r="C101537"/>
      <c r="E101537"/>
      <c r="F101537"/>
    </row>
    <row r="101538" spans="1:6" x14ac:dyDescent="0.25">
      <c r="A101538"/>
      <c r="B101538"/>
      <c r="C101538"/>
      <c r="E101538"/>
      <c r="F101538"/>
    </row>
    <row r="101539" spans="1:6" x14ac:dyDescent="0.25">
      <c r="A101539"/>
      <c r="B101539"/>
      <c r="C101539"/>
      <c r="E101539"/>
      <c r="F101539"/>
    </row>
    <row r="101540" spans="1:6" x14ac:dyDescent="0.25">
      <c r="A101540"/>
      <c r="B101540"/>
      <c r="C101540"/>
      <c r="E101540"/>
      <c r="F101540"/>
    </row>
    <row r="101541" spans="1:6" x14ac:dyDescent="0.25">
      <c r="A101541"/>
      <c r="B101541"/>
      <c r="C101541"/>
      <c r="E101541"/>
      <c r="F101541"/>
    </row>
    <row r="101542" spans="1:6" x14ac:dyDescent="0.25">
      <c r="A101542"/>
      <c r="B101542"/>
      <c r="C101542"/>
      <c r="E101542"/>
      <c r="F101542"/>
    </row>
    <row r="101543" spans="1:6" x14ac:dyDescent="0.25">
      <c r="A101543"/>
      <c r="B101543"/>
      <c r="C101543"/>
      <c r="E101543"/>
      <c r="F101543"/>
    </row>
    <row r="101544" spans="1:6" x14ac:dyDescent="0.25">
      <c r="A101544"/>
      <c r="B101544"/>
      <c r="C101544"/>
      <c r="E101544"/>
      <c r="F101544"/>
    </row>
    <row r="101545" spans="1:6" x14ac:dyDescent="0.25">
      <c r="A101545"/>
      <c r="B101545"/>
      <c r="C101545"/>
      <c r="E101545"/>
      <c r="F101545"/>
    </row>
    <row r="101546" spans="1:6" x14ac:dyDescent="0.25">
      <c r="A101546"/>
      <c r="B101546"/>
      <c r="C101546"/>
      <c r="E101546"/>
      <c r="F101546"/>
    </row>
    <row r="101547" spans="1:6" x14ac:dyDescent="0.25">
      <c r="A101547"/>
      <c r="B101547"/>
      <c r="C101547"/>
      <c r="E101547"/>
      <c r="F101547"/>
    </row>
    <row r="101548" spans="1:6" x14ac:dyDescent="0.25">
      <c r="A101548"/>
      <c r="B101548"/>
      <c r="C101548"/>
      <c r="E101548"/>
      <c r="F101548"/>
    </row>
    <row r="101549" spans="1:6" x14ac:dyDescent="0.25">
      <c r="A101549"/>
      <c r="B101549"/>
      <c r="C101549"/>
      <c r="E101549"/>
      <c r="F101549"/>
    </row>
    <row r="101550" spans="1:6" x14ac:dyDescent="0.25">
      <c r="A101550"/>
      <c r="B101550"/>
      <c r="C101550"/>
      <c r="E101550"/>
      <c r="F101550"/>
    </row>
    <row r="101551" spans="1:6" x14ac:dyDescent="0.25">
      <c r="A101551"/>
      <c r="B101551"/>
      <c r="C101551"/>
      <c r="E101551"/>
      <c r="F101551"/>
    </row>
    <row r="101552" spans="1:6" x14ac:dyDescent="0.25">
      <c r="A101552"/>
      <c r="B101552"/>
      <c r="C101552"/>
      <c r="E101552"/>
      <c r="F101552"/>
    </row>
    <row r="101553" spans="1:6" x14ac:dyDescent="0.25">
      <c r="A101553"/>
      <c r="B101553"/>
      <c r="C101553"/>
      <c r="E101553"/>
      <c r="F101553"/>
    </row>
    <row r="101554" spans="1:6" x14ac:dyDescent="0.25">
      <c r="A101554"/>
      <c r="B101554"/>
      <c r="C101554"/>
      <c r="E101554"/>
      <c r="F101554"/>
    </row>
    <row r="101555" spans="1:6" x14ac:dyDescent="0.25">
      <c r="A101555"/>
      <c r="B101555"/>
      <c r="C101555"/>
      <c r="E101555"/>
      <c r="F101555"/>
    </row>
    <row r="101556" spans="1:6" x14ac:dyDescent="0.25">
      <c r="A101556"/>
      <c r="B101556"/>
      <c r="C101556"/>
      <c r="E101556"/>
      <c r="F101556"/>
    </row>
    <row r="101557" spans="1:6" x14ac:dyDescent="0.25">
      <c r="A101557"/>
      <c r="B101557"/>
      <c r="C101557"/>
      <c r="E101557"/>
      <c r="F101557"/>
    </row>
    <row r="101558" spans="1:6" x14ac:dyDescent="0.25">
      <c r="A101558"/>
      <c r="B101558"/>
      <c r="C101558"/>
      <c r="E101558"/>
      <c r="F101558"/>
    </row>
    <row r="101559" spans="1:6" x14ac:dyDescent="0.25">
      <c r="A101559"/>
      <c r="B101559"/>
      <c r="C101559"/>
      <c r="E101559"/>
      <c r="F101559"/>
    </row>
    <row r="101560" spans="1:6" x14ac:dyDescent="0.25">
      <c r="A101560"/>
      <c r="B101560"/>
      <c r="C101560"/>
      <c r="E101560"/>
      <c r="F101560"/>
    </row>
    <row r="101561" spans="1:6" x14ac:dyDescent="0.25">
      <c r="A101561"/>
      <c r="B101561"/>
      <c r="C101561"/>
      <c r="E101561"/>
      <c r="F101561"/>
    </row>
    <row r="101562" spans="1:6" x14ac:dyDescent="0.25">
      <c r="A101562"/>
      <c r="B101562"/>
      <c r="C101562"/>
      <c r="E101562"/>
      <c r="F101562"/>
    </row>
    <row r="101563" spans="1:6" x14ac:dyDescent="0.25">
      <c r="A101563"/>
      <c r="B101563"/>
      <c r="C101563"/>
      <c r="E101563"/>
      <c r="F101563"/>
    </row>
    <row r="101564" spans="1:6" x14ac:dyDescent="0.25">
      <c r="A101564"/>
      <c r="B101564"/>
      <c r="C101564"/>
      <c r="E101564"/>
      <c r="F101564"/>
    </row>
    <row r="101565" spans="1:6" x14ac:dyDescent="0.25">
      <c r="A101565"/>
      <c r="B101565"/>
      <c r="C101565"/>
      <c r="E101565"/>
      <c r="F101565"/>
    </row>
    <row r="101566" spans="1:6" x14ac:dyDescent="0.25">
      <c r="A101566"/>
      <c r="B101566"/>
      <c r="C101566"/>
      <c r="E101566"/>
      <c r="F101566"/>
    </row>
    <row r="101567" spans="1:6" x14ac:dyDescent="0.25">
      <c r="A101567"/>
      <c r="B101567"/>
      <c r="C101567"/>
      <c r="E101567"/>
      <c r="F101567"/>
    </row>
    <row r="101568" spans="1:6" x14ac:dyDescent="0.25">
      <c r="A101568"/>
      <c r="B101568"/>
      <c r="C101568"/>
      <c r="E101568"/>
      <c r="F101568"/>
    </row>
    <row r="101569" spans="1:6" x14ac:dyDescent="0.25">
      <c r="A101569"/>
      <c r="B101569"/>
      <c r="C101569"/>
      <c r="E101569"/>
      <c r="F101569"/>
    </row>
    <row r="101570" spans="1:6" x14ac:dyDescent="0.25">
      <c r="A101570"/>
      <c r="B101570"/>
      <c r="C101570"/>
      <c r="E101570"/>
      <c r="F101570"/>
    </row>
    <row r="101571" spans="1:6" x14ac:dyDescent="0.25">
      <c r="A101571"/>
      <c r="B101571"/>
      <c r="C101571"/>
      <c r="E101571"/>
      <c r="F101571"/>
    </row>
    <row r="101572" spans="1:6" x14ac:dyDescent="0.25">
      <c r="A101572"/>
      <c r="B101572"/>
      <c r="C101572"/>
      <c r="E101572"/>
      <c r="F101572"/>
    </row>
    <row r="101573" spans="1:6" x14ac:dyDescent="0.25">
      <c r="A101573"/>
      <c r="B101573"/>
      <c r="C101573"/>
      <c r="E101573"/>
      <c r="F101573"/>
    </row>
    <row r="101574" spans="1:6" x14ac:dyDescent="0.25">
      <c r="A101574"/>
      <c r="B101574"/>
      <c r="C101574"/>
      <c r="E101574"/>
      <c r="F101574"/>
    </row>
    <row r="101575" spans="1:6" x14ac:dyDescent="0.25">
      <c r="A101575"/>
      <c r="B101575"/>
      <c r="C101575"/>
      <c r="E101575"/>
      <c r="F101575"/>
    </row>
    <row r="101576" spans="1:6" x14ac:dyDescent="0.25">
      <c r="A101576"/>
      <c r="B101576"/>
      <c r="C101576"/>
      <c r="E101576"/>
      <c r="F101576"/>
    </row>
    <row r="101577" spans="1:6" x14ac:dyDescent="0.25">
      <c r="A101577"/>
      <c r="B101577"/>
      <c r="C101577"/>
      <c r="E101577"/>
      <c r="F101577"/>
    </row>
    <row r="101578" spans="1:6" x14ac:dyDescent="0.25">
      <c r="A101578"/>
      <c r="B101578"/>
      <c r="C101578"/>
      <c r="E101578"/>
      <c r="F101578"/>
    </row>
    <row r="101579" spans="1:6" x14ac:dyDescent="0.25">
      <c r="A101579"/>
      <c r="B101579"/>
      <c r="C101579"/>
      <c r="E101579"/>
      <c r="F101579"/>
    </row>
    <row r="101580" spans="1:6" x14ac:dyDescent="0.25">
      <c r="A101580"/>
      <c r="B101580"/>
      <c r="C101580"/>
      <c r="E101580"/>
      <c r="F101580"/>
    </row>
    <row r="101581" spans="1:6" x14ac:dyDescent="0.25">
      <c r="A101581"/>
      <c r="B101581"/>
      <c r="C101581"/>
      <c r="E101581"/>
      <c r="F101581"/>
    </row>
    <row r="101582" spans="1:6" x14ac:dyDescent="0.25">
      <c r="A101582"/>
      <c r="B101582"/>
      <c r="C101582"/>
      <c r="E101582"/>
      <c r="F101582"/>
    </row>
    <row r="101583" spans="1:6" x14ac:dyDescent="0.25">
      <c r="A101583"/>
      <c r="B101583"/>
      <c r="C101583"/>
      <c r="E101583"/>
      <c r="F101583"/>
    </row>
    <row r="101584" spans="1:6" x14ac:dyDescent="0.25">
      <c r="A101584"/>
      <c r="B101584"/>
      <c r="C101584"/>
      <c r="E101584"/>
      <c r="F101584"/>
    </row>
    <row r="101585" spans="1:6" x14ac:dyDescent="0.25">
      <c r="A101585"/>
      <c r="B101585"/>
      <c r="C101585"/>
      <c r="E101585"/>
      <c r="F101585"/>
    </row>
    <row r="101586" spans="1:6" x14ac:dyDescent="0.25">
      <c r="A101586"/>
      <c r="B101586"/>
      <c r="C101586"/>
      <c r="E101586"/>
      <c r="F101586"/>
    </row>
    <row r="101587" spans="1:6" x14ac:dyDescent="0.25">
      <c r="A101587"/>
      <c r="B101587"/>
      <c r="C101587"/>
      <c r="E101587"/>
      <c r="F101587"/>
    </row>
    <row r="101588" spans="1:6" x14ac:dyDescent="0.25">
      <c r="A101588"/>
      <c r="B101588"/>
      <c r="C101588"/>
      <c r="E101588"/>
      <c r="F101588"/>
    </row>
    <row r="101589" spans="1:6" x14ac:dyDescent="0.25">
      <c r="A101589"/>
      <c r="B101589"/>
      <c r="C101589"/>
      <c r="E101589"/>
      <c r="F101589"/>
    </row>
    <row r="101590" spans="1:6" x14ac:dyDescent="0.25">
      <c r="A101590"/>
      <c r="B101590"/>
      <c r="C101590"/>
      <c r="E101590"/>
      <c r="F101590"/>
    </row>
    <row r="101591" spans="1:6" x14ac:dyDescent="0.25">
      <c r="A101591"/>
      <c r="B101591"/>
      <c r="C101591"/>
      <c r="E101591"/>
      <c r="F101591"/>
    </row>
    <row r="101592" spans="1:6" x14ac:dyDescent="0.25">
      <c r="A101592"/>
      <c r="B101592"/>
      <c r="C101592"/>
      <c r="E101592"/>
      <c r="F101592"/>
    </row>
    <row r="101593" spans="1:6" x14ac:dyDescent="0.25">
      <c r="A101593"/>
      <c r="B101593"/>
      <c r="C101593"/>
      <c r="E101593"/>
      <c r="F101593"/>
    </row>
    <row r="101594" spans="1:6" x14ac:dyDescent="0.25">
      <c r="A101594"/>
      <c r="B101594"/>
      <c r="C101594"/>
      <c r="E101594"/>
      <c r="F101594"/>
    </row>
    <row r="101595" spans="1:6" x14ac:dyDescent="0.25">
      <c r="A101595"/>
      <c r="B101595"/>
      <c r="C101595"/>
      <c r="E101595"/>
      <c r="F101595"/>
    </row>
    <row r="101596" spans="1:6" x14ac:dyDescent="0.25">
      <c r="A101596"/>
      <c r="B101596"/>
      <c r="C101596"/>
      <c r="E101596"/>
      <c r="F101596"/>
    </row>
    <row r="101597" spans="1:6" x14ac:dyDescent="0.25">
      <c r="A101597"/>
      <c r="B101597"/>
      <c r="C101597"/>
      <c r="E101597"/>
      <c r="F101597"/>
    </row>
    <row r="101598" spans="1:6" x14ac:dyDescent="0.25">
      <c r="A101598"/>
      <c r="B101598"/>
      <c r="C101598"/>
      <c r="E101598"/>
      <c r="F101598"/>
    </row>
    <row r="101599" spans="1:6" x14ac:dyDescent="0.25">
      <c r="A101599"/>
      <c r="B101599"/>
      <c r="C101599"/>
      <c r="E101599"/>
      <c r="F101599"/>
    </row>
    <row r="101600" spans="1:6" x14ac:dyDescent="0.25">
      <c r="A101600"/>
      <c r="B101600"/>
      <c r="C101600"/>
      <c r="E101600"/>
      <c r="F101600"/>
    </row>
    <row r="101601" spans="1:6" x14ac:dyDescent="0.25">
      <c r="A101601"/>
      <c r="B101601"/>
      <c r="C101601"/>
      <c r="E101601"/>
      <c r="F101601"/>
    </row>
    <row r="101602" spans="1:6" x14ac:dyDescent="0.25">
      <c r="A101602"/>
      <c r="B101602"/>
      <c r="C101602"/>
      <c r="E101602"/>
      <c r="F101602"/>
    </row>
    <row r="101603" spans="1:6" x14ac:dyDescent="0.25">
      <c r="A101603"/>
      <c r="B101603"/>
      <c r="C101603"/>
      <c r="E101603"/>
      <c r="F101603"/>
    </row>
    <row r="101604" spans="1:6" x14ac:dyDescent="0.25">
      <c r="A101604"/>
      <c r="B101604"/>
      <c r="C101604"/>
      <c r="E101604"/>
      <c r="F101604"/>
    </row>
    <row r="101605" spans="1:6" x14ac:dyDescent="0.25">
      <c r="A101605"/>
      <c r="B101605"/>
      <c r="C101605"/>
      <c r="E101605"/>
      <c r="F101605"/>
    </row>
    <row r="101606" spans="1:6" x14ac:dyDescent="0.25">
      <c r="A101606"/>
      <c r="B101606"/>
      <c r="C101606"/>
      <c r="E101606"/>
      <c r="F101606"/>
    </row>
    <row r="101607" spans="1:6" x14ac:dyDescent="0.25">
      <c r="A101607"/>
      <c r="B101607"/>
      <c r="C101607"/>
      <c r="E101607"/>
      <c r="F101607"/>
    </row>
    <row r="101608" spans="1:6" x14ac:dyDescent="0.25">
      <c r="A101608"/>
      <c r="B101608"/>
      <c r="C101608"/>
      <c r="E101608"/>
      <c r="F101608"/>
    </row>
    <row r="101609" spans="1:6" x14ac:dyDescent="0.25">
      <c r="A101609"/>
      <c r="B101609"/>
      <c r="C101609"/>
      <c r="E101609"/>
      <c r="F101609"/>
    </row>
    <row r="101610" spans="1:6" x14ac:dyDescent="0.25">
      <c r="A101610"/>
      <c r="B101610"/>
      <c r="C101610"/>
      <c r="E101610"/>
      <c r="F101610"/>
    </row>
    <row r="101611" spans="1:6" x14ac:dyDescent="0.25">
      <c r="A101611"/>
      <c r="B101611"/>
      <c r="C101611"/>
      <c r="E101611"/>
      <c r="F101611"/>
    </row>
    <row r="101612" spans="1:6" x14ac:dyDescent="0.25">
      <c r="A101612"/>
      <c r="B101612"/>
      <c r="C101612"/>
      <c r="E101612"/>
      <c r="F101612"/>
    </row>
    <row r="101613" spans="1:6" x14ac:dyDescent="0.25">
      <c r="A101613"/>
      <c r="B101613"/>
      <c r="C101613"/>
      <c r="E101613"/>
      <c r="F101613"/>
    </row>
    <row r="101614" spans="1:6" x14ac:dyDescent="0.25">
      <c r="A101614"/>
      <c r="B101614"/>
      <c r="C101614"/>
      <c r="E101614"/>
      <c r="F101614"/>
    </row>
    <row r="101615" spans="1:6" x14ac:dyDescent="0.25">
      <c r="A101615"/>
      <c r="B101615"/>
      <c r="C101615"/>
      <c r="E101615"/>
      <c r="F101615"/>
    </row>
    <row r="101616" spans="1:6" x14ac:dyDescent="0.25">
      <c r="A101616"/>
      <c r="B101616"/>
      <c r="C101616"/>
      <c r="E101616"/>
      <c r="F101616"/>
    </row>
    <row r="101617" spans="1:6" x14ac:dyDescent="0.25">
      <c r="A101617"/>
      <c r="B101617"/>
      <c r="C101617"/>
      <c r="E101617"/>
      <c r="F101617"/>
    </row>
    <row r="101618" spans="1:6" x14ac:dyDescent="0.25">
      <c r="A101618"/>
      <c r="B101618"/>
      <c r="C101618"/>
      <c r="E101618"/>
      <c r="F101618"/>
    </row>
    <row r="101619" spans="1:6" x14ac:dyDescent="0.25">
      <c r="A101619"/>
      <c r="B101619"/>
      <c r="C101619"/>
      <c r="E101619"/>
      <c r="F101619"/>
    </row>
    <row r="101620" spans="1:6" x14ac:dyDescent="0.25">
      <c r="A101620"/>
      <c r="B101620"/>
      <c r="C101620"/>
      <c r="E101620"/>
      <c r="F101620"/>
    </row>
    <row r="101621" spans="1:6" x14ac:dyDescent="0.25">
      <c r="A101621"/>
      <c r="B101621"/>
      <c r="C101621"/>
      <c r="E101621"/>
      <c r="F101621"/>
    </row>
    <row r="101622" spans="1:6" x14ac:dyDescent="0.25">
      <c r="A101622"/>
      <c r="B101622"/>
      <c r="C101622"/>
      <c r="E101622"/>
      <c r="F101622"/>
    </row>
    <row r="101623" spans="1:6" x14ac:dyDescent="0.25">
      <c r="A101623"/>
      <c r="B101623"/>
      <c r="C101623"/>
      <c r="E101623"/>
      <c r="F101623"/>
    </row>
    <row r="101624" spans="1:6" x14ac:dyDescent="0.25">
      <c r="A101624"/>
      <c r="B101624"/>
      <c r="C101624"/>
      <c r="E101624"/>
      <c r="F101624"/>
    </row>
    <row r="101625" spans="1:6" x14ac:dyDescent="0.25">
      <c r="A101625"/>
      <c r="B101625"/>
      <c r="C101625"/>
      <c r="E101625"/>
      <c r="F101625"/>
    </row>
    <row r="101626" spans="1:6" x14ac:dyDescent="0.25">
      <c r="A101626"/>
      <c r="B101626"/>
      <c r="C101626"/>
      <c r="E101626"/>
      <c r="F101626"/>
    </row>
    <row r="101627" spans="1:6" x14ac:dyDescent="0.25">
      <c r="A101627"/>
      <c r="B101627"/>
      <c r="C101627"/>
      <c r="E101627"/>
      <c r="F101627"/>
    </row>
    <row r="101628" spans="1:6" x14ac:dyDescent="0.25">
      <c r="A101628"/>
      <c r="B101628"/>
      <c r="C101628"/>
      <c r="E101628"/>
      <c r="F101628"/>
    </row>
    <row r="101629" spans="1:6" x14ac:dyDescent="0.25">
      <c r="A101629"/>
      <c r="B101629"/>
      <c r="C101629"/>
      <c r="E101629"/>
      <c r="F101629"/>
    </row>
    <row r="101630" spans="1:6" x14ac:dyDescent="0.25">
      <c r="A101630"/>
      <c r="B101630"/>
      <c r="C101630"/>
      <c r="E101630"/>
      <c r="F101630"/>
    </row>
    <row r="101631" spans="1:6" x14ac:dyDescent="0.25">
      <c r="A101631"/>
      <c r="B101631"/>
      <c r="C101631"/>
      <c r="E101631"/>
      <c r="F101631"/>
    </row>
    <row r="101632" spans="1:6" x14ac:dyDescent="0.25">
      <c r="A101632"/>
      <c r="B101632"/>
      <c r="C101632"/>
      <c r="E101632"/>
      <c r="F101632"/>
    </row>
    <row r="101633" spans="1:6" x14ac:dyDescent="0.25">
      <c r="A101633"/>
      <c r="B101633"/>
      <c r="C101633"/>
      <c r="E101633"/>
      <c r="F101633"/>
    </row>
    <row r="101634" spans="1:6" x14ac:dyDescent="0.25">
      <c r="A101634"/>
      <c r="B101634"/>
      <c r="C101634"/>
      <c r="E101634"/>
      <c r="F101634"/>
    </row>
    <row r="101635" spans="1:6" x14ac:dyDescent="0.25">
      <c r="A101635"/>
      <c r="B101635"/>
      <c r="C101635"/>
      <c r="E101635"/>
      <c r="F101635"/>
    </row>
    <row r="101636" spans="1:6" x14ac:dyDescent="0.25">
      <c r="A101636"/>
      <c r="B101636"/>
      <c r="C101636"/>
      <c r="E101636"/>
      <c r="F101636"/>
    </row>
    <row r="101637" spans="1:6" x14ac:dyDescent="0.25">
      <c r="A101637"/>
      <c r="B101637"/>
      <c r="C101637"/>
      <c r="E101637"/>
      <c r="F101637"/>
    </row>
    <row r="101638" spans="1:6" x14ac:dyDescent="0.25">
      <c r="A101638"/>
      <c r="B101638"/>
      <c r="C101638"/>
      <c r="E101638"/>
      <c r="F101638"/>
    </row>
    <row r="101639" spans="1:6" x14ac:dyDescent="0.25">
      <c r="A101639"/>
      <c r="B101639"/>
      <c r="C101639"/>
      <c r="E101639"/>
      <c r="F101639"/>
    </row>
    <row r="101640" spans="1:6" x14ac:dyDescent="0.25">
      <c r="A101640"/>
      <c r="B101640"/>
      <c r="C101640"/>
      <c r="E101640"/>
      <c r="F101640"/>
    </row>
    <row r="101641" spans="1:6" x14ac:dyDescent="0.25">
      <c r="A101641"/>
      <c r="B101641"/>
      <c r="C101641"/>
      <c r="E101641"/>
      <c r="F101641"/>
    </row>
    <row r="101642" spans="1:6" x14ac:dyDescent="0.25">
      <c r="A101642"/>
      <c r="B101642"/>
      <c r="C101642"/>
      <c r="E101642"/>
      <c r="F101642"/>
    </row>
    <row r="101643" spans="1:6" x14ac:dyDescent="0.25">
      <c r="A101643"/>
      <c r="B101643"/>
      <c r="C101643"/>
      <c r="E101643"/>
      <c r="F101643"/>
    </row>
    <row r="101644" spans="1:6" x14ac:dyDescent="0.25">
      <c r="A101644"/>
      <c r="B101644"/>
      <c r="C101644"/>
      <c r="E101644"/>
      <c r="F101644"/>
    </row>
    <row r="101645" spans="1:6" x14ac:dyDescent="0.25">
      <c r="A101645"/>
      <c r="B101645"/>
      <c r="C101645"/>
      <c r="E101645"/>
      <c r="F101645"/>
    </row>
    <row r="101646" spans="1:6" x14ac:dyDescent="0.25">
      <c r="A101646"/>
      <c r="B101646"/>
      <c r="C101646"/>
      <c r="E101646"/>
      <c r="F101646"/>
    </row>
    <row r="101647" spans="1:6" x14ac:dyDescent="0.25">
      <c r="A101647"/>
      <c r="B101647"/>
      <c r="C101647"/>
      <c r="E101647"/>
      <c r="F101647"/>
    </row>
    <row r="101648" spans="1:6" x14ac:dyDescent="0.25">
      <c r="A101648"/>
      <c r="B101648"/>
      <c r="C101648"/>
      <c r="E101648"/>
      <c r="F101648"/>
    </row>
    <row r="101649" spans="1:6" x14ac:dyDescent="0.25">
      <c r="A101649"/>
      <c r="B101649"/>
      <c r="C101649"/>
      <c r="E101649"/>
      <c r="F101649"/>
    </row>
    <row r="101650" spans="1:6" x14ac:dyDescent="0.25">
      <c r="A101650"/>
      <c r="B101650"/>
      <c r="C101650"/>
      <c r="E101650"/>
      <c r="F101650"/>
    </row>
    <row r="101651" spans="1:6" x14ac:dyDescent="0.25">
      <c r="A101651"/>
      <c r="B101651"/>
      <c r="C101651"/>
      <c r="E101651"/>
      <c r="F101651"/>
    </row>
    <row r="101652" spans="1:6" x14ac:dyDescent="0.25">
      <c r="A101652"/>
      <c r="B101652"/>
      <c r="C101652"/>
      <c r="E101652"/>
      <c r="F101652"/>
    </row>
    <row r="101653" spans="1:6" x14ac:dyDescent="0.25">
      <c r="A101653"/>
      <c r="B101653"/>
      <c r="C101653"/>
      <c r="E101653"/>
      <c r="F101653"/>
    </row>
    <row r="101654" spans="1:6" x14ac:dyDescent="0.25">
      <c r="A101654"/>
      <c r="B101654"/>
      <c r="C101654"/>
      <c r="E101654"/>
      <c r="F101654"/>
    </row>
    <row r="101655" spans="1:6" x14ac:dyDescent="0.25">
      <c r="A101655"/>
      <c r="B101655"/>
      <c r="C101655"/>
      <c r="E101655"/>
      <c r="F101655"/>
    </row>
    <row r="101656" spans="1:6" x14ac:dyDescent="0.25">
      <c r="A101656"/>
      <c r="B101656"/>
      <c r="C101656"/>
      <c r="E101656"/>
      <c r="F101656"/>
    </row>
    <row r="101657" spans="1:6" x14ac:dyDescent="0.25">
      <c r="A101657"/>
      <c r="B101657"/>
      <c r="C101657"/>
      <c r="E101657"/>
      <c r="F101657"/>
    </row>
    <row r="101658" spans="1:6" x14ac:dyDescent="0.25">
      <c r="A101658"/>
      <c r="B101658"/>
      <c r="C101658"/>
      <c r="E101658"/>
      <c r="F101658"/>
    </row>
    <row r="101659" spans="1:6" x14ac:dyDescent="0.25">
      <c r="A101659"/>
      <c r="B101659"/>
      <c r="C101659"/>
      <c r="E101659"/>
      <c r="F101659"/>
    </row>
    <row r="101660" spans="1:6" x14ac:dyDescent="0.25">
      <c r="A101660"/>
      <c r="B101660"/>
      <c r="C101660"/>
      <c r="E101660"/>
      <c r="F101660"/>
    </row>
    <row r="101661" spans="1:6" x14ac:dyDescent="0.25">
      <c r="A101661"/>
      <c r="B101661"/>
      <c r="C101661"/>
      <c r="E101661"/>
      <c r="F101661"/>
    </row>
    <row r="101662" spans="1:6" x14ac:dyDescent="0.25">
      <c r="A101662"/>
      <c r="B101662"/>
      <c r="C101662"/>
      <c r="E101662"/>
      <c r="F101662"/>
    </row>
    <row r="101663" spans="1:6" x14ac:dyDescent="0.25">
      <c r="A101663"/>
      <c r="B101663"/>
      <c r="C101663"/>
      <c r="E101663"/>
      <c r="F101663"/>
    </row>
    <row r="101664" spans="1:6" x14ac:dyDescent="0.25">
      <c r="A101664"/>
      <c r="B101664"/>
      <c r="C101664"/>
      <c r="E101664"/>
      <c r="F101664"/>
    </row>
    <row r="101665" spans="1:6" x14ac:dyDescent="0.25">
      <c r="A101665"/>
      <c r="B101665"/>
      <c r="C101665"/>
      <c r="E101665"/>
      <c r="F101665"/>
    </row>
    <row r="101666" spans="1:6" x14ac:dyDescent="0.25">
      <c r="A101666"/>
      <c r="B101666"/>
      <c r="C101666"/>
      <c r="E101666"/>
      <c r="F101666"/>
    </row>
    <row r="101667" spans="1:6" x14ac:dyDescent="0.25">
      <c r="A101667"/>
      <c r="B101667"/>
      <c r="C101667"/>
      <c r="E101667"/>
      <c r="F101667"/>
    </row>
    <row r="101668" spans="1:6" x14ac:dyDescent="0.25">
      <c r="A101668"/>
      <c r="B101668"/>
      <c r="C101668"/>
      <c r="E101668"/>
      <c r="F101668"/>
    </row>
    <row r="101669" spans="1:6" x14ac:dyDescent="0.25">
      <c r="A101669"/>
      <c r="B101669"/>
      <c r="C101669"/>
      <c r="E101669"/>
      <c r="F101669"/>
    </row>
    <row r="101670" spans="1:6" x14ac:dyDescent="0.25">
      <c r="A101670"/>
      <c r="B101670"/>
      <c r="C101670"/>
      <c r="E101670"/>
      <c r="F101670"/>
    </row>
    <row r="101671" spans="1:6" x14ac:dyDescent="0.25">
      <c r="A101671"/>
      <c r="B101671"/>
      <c r="C101671"/>
      <c r="E101671"/>
      <c r="F101671"/>
    </row>
    <row r="101672" spans="1:6" x14ac:dyDescent="0.25">
      <c r="A101672"/>
      <c r="B101672"/>
      <c r="C101672"/>
      <c r="E101672"/>
      <c r="F101672"/>
    </row>
    <row r="101673" spans="1:6" x14ac:dyDescent="0.25">
      <c r="A101673"/>
      <c r="B101673"/>
      <c r="C101673"/>
      <c r="E101673"/>
      <c r="F101673"/>
    </row>
    <row r="101674" spans="1:6" x14ac:dyDescent="0.25">
      <c r="A101674"/>
      <c r="B101674"/>
      <c r="C101674"/>
      <c r="E101674"/>
      <c r="F101674"/>
    </row>
    <row r="101675" spans="1:6" x14ac:dyDescent="0.25">
      <c r="A101675"/>
      <c r="B101675"/>
      <c r="C101675"/>
      <c r="E101675"/>
      <c r="F101675"/>
    </row>
    <row r="101676" spans="1:6" x14ac:dyDescent="0.25">
      <c r="A101676"/>
      <c r="B101676"/>
      <c r="C101676"/>
      <c r="E101676"/>
      <c r="F101676"/>
    </row>
    <row r="101677" spans="1:6" x14ac:dyDescent="0.25">
      <c r="A101677"/>
      <c r="B101677"/>
      <c r="C101677"/>
      <c r="E101677"/>
      <c r="F101677"/>
    </row>
    <row r="101678" spans="1:6" x14ac:dyDescent="0.25">
      <c r="A101678"/>
      <c r="B101678"/>
      <c r="C101678"/>
      <c r="E101678"/>
      <c r="F101678"/>
    </row>
    <row r="101679" spans="1:6" x14ac:dyDescent="0.25">
      <c r="A101679"/>
      <c r="B101679"/>
      <c r="C101679"/>
      <c r="E101679"/>
      <c r="F101679"/>
    </row>
    <row r="101680" spans="1:6" x14ac:dyDescent="0.25">
      <c r="A101680"/>
      <c r="B101680"/>
      <c r="C101680"/>
      <c r="E101680"/>
      <c r="F101680"/>
    </row>
    <row r="101681" spans="1:6" x14ac:dyDescent="0.25">
      <c r="A101681"/>
      <c r="B101681"/>
      <c r="C101681"/>
      <c r="E101681"/>
      <c r="F101681"/>
    </row>
    <row r="101682" spans="1:6" x14ac:dyDescent="0.25">
      <c r="A101682"/>
      <c r="B101682"/>
      <c r="C101682"/>
      <c r="E101682"/>
      <c r="F101682"/>
    </row>
    <row r="101683" spans="1:6" x14ac:dyDescent="0.25">
      <c r="A101683"/>
      <c r="B101683"/>
      <c r="C101683"/>
      <c r="E101683"/>
      <c r="F101683"/>
    </row>
    <row r="101684" spans="1:6" x14ac:dyDescent="0.25">
      <c r="A101684"/>
      <c r="B101684"/>
      <c r="C101684"/>
      <c r="E101684"/>
      <c r="F101684"/>
    </row>
    <row r="101685" spans="1:6" x14ac:dyDescent="0.25">
      <c r="A101685"/>
      <c r="B101685"/>
      <c r="C101685"/>
      <c r="E101685"/>
      <c r="F101685"/>
    </row>
    <row r="101686" spans="1:6" x14ac:dyDescent="0.25">
      <c r="A101686"/>
      <c r="B101686"/>
      <c r="C101686"/>
      <c r="E101686"/>
      <c r="F101686"/>
    </row>
    <row r="101687" spans="1:6" x14ac:dyDescent="0.25">
      <c r="A101687"/>
      <c r="B101687"/>
      <c r="C101687"/>
      <c r="E101687"/>
      <c r="F101687"/>
    </row>
    <row r="101688" spans="1:6" x14ac:dyDescent="0.25">
      <c r="A101688"/>
      <c r="B101688"/>
      <c r="C101688"/>
      <c r="E101688"/>
      <c r="F101688"/>
    </row>
    <row r="101689" spans="1:6" x14ac:dyDescent="0.25">
      <c r="A101689"/>
      <c r="B101689"/>
      <c r="C101689"/>
      <c r="E101689"/>
      <c r="F101689"/>
    </row>
    <row r="101690" spans="1:6" x14ac:dyDescent="0.25">
      <c r="A101690"/>
      <c r="B101690"/>
      <c r="C101690"/>
      <c r="E101690"/>
      <c r="F101690"/>
    </row>
    <row r="101691" spans="1:6" x14ac:dyDescent="0.25">
      <c r="A101691"/>
      <c r="B101691"/>
      <c r="C101691"/>
      <c r="E101691"/>
      <c r="F101691"/>
    </row>
    <row r="101692" spans="1:6" x14ac:dyDescent="0.25">
      <c r="A101692"/>
      <c r="B101692"/>
      <c r="C101692"/>
      <c r="E101692"/>
      <c r="F101692"/>
    </row>
    <row r="101693" spans="1:6" x14ac:dyDescent="0.25">
      <c r="A101693"/>
      <c r="B101693"/>
      <c r="C101693"/>
      <c r="E101693"/>
      <c r="F101693"/>
    </row>
    <row r="101694" spans="1:6" x14ac:dyDescent="0.25">
      <c r="A101694"/>
      <c r="B101694"/>
      <c r="C101694"/>
      <c r="E101694"/>
      <c r="F101694"/>
    </row>
    <row r="101695" spans="1:6" x14ac:dyDescent="0.25">
      <c r="A101695"/>
      <c r="B101695"/>
      <c r="C101695"/>
      <c r="E101695"/>
      <c r="F101695"/>
    </row>
    <row r="101696" spans="1:6" x14ac:dyDescent="0.25">
      <c r="A101696"/>
      <c r="B101696"/>
      <c r="C101696"/>
      <c r="E101696"/>
      <c r="F101696"/>
    </row>
    <row r="101697" spans="1:6" x14ac:dyDescent="0.25">
      <c r="A101697"/>
      <c r="B101697"/>
      <c r="C101697"/>
      <c r="E101697"/>
      <c r="F101697"/>
    </row>
    <row r="101698" spans="1:6" x14ac:dyDescent="0.25">
      <c r="A101698"/>
      <c r="B101698"/>
      <c r="C101698"/>
      <c r="E101698"/>
      <c r="F101698"/>
    </row>
    <row r="101699" spans="1:6" x14ac:dyDescent="0.25">
      <c r="A101699"/>
      <c r="B101699"/>
      <c r="C101699"/>
      <c r="E101699"/>
      <c r="F101699"/>
    </row>
    <row r="101700" spans="1:6" x14ac:dyDescent="0.25">
      <c r="A101700"/>
      <c r="B101700"/>
      <c r="C101700"/>
      <c r="E101700"/>
      <c r="F101700"/>
    </row>
    <row r="101701" spans="1:6" x14ac:dyDescent="0.25">
      <c r="A101701"/>
      <c r="B101701"/>
      <c r="C101701"/>
      <c r="E101701"/>
      <c r="F101701"/>
    </row>
    <row r="101702" spans="1:6" x14ac:dyDescent="0.25">
      <c r="A101702"/>
      <c r="B101702"/>
      <c r="C101702"/>
      <c r="E101702"/>
      <c r="F101702"/>
    </row>
    <row r="101703" spans="1:6" x14ac:dyDescent="0.25">
      <c r="A101703"/>
      <c r="B101703"/>
      <c r="C101703"/>
      <c r="E101703"/>
      <c r="F101703"/>
    </row>
    <row r="101704" spans="1:6" x14ac:dyDescent="0.25">
      <c r="A101704"/>
      <c r="B101704"/>
      <c r="C101704"/>
      <c r="E101704"/>
      <c r="F101704"/>
    </row>
    <row r="101705" spans="1:6" x14ac:dyDescent="0.25">
      <c r="A101705"/>
      <c r="B101705"/>
      <c r="C101705"/>
      <c r="E101705"/>
      <c r="F101705"/>
    </row>
    <row r="101706" spans="1:6" x14ac:dyDescent="0.25">
      <c r="A101706"/>
      <c r="B101706"/>
      <c r="C101706"/>
      <c r="E101706"/>
      <c r="F101706"/>
    </row>
    <row r="101707" spans="1:6" x14ac:dyDescent="0.25">
      <c r="A101707"/>
      <c r="B101707"/>
      <c r="C101707"/>
      <c r="E101707"/>
      <c r="F101707"/>
    </row>
    <row r="101708" spans="1:6" x14ac:dyDescent="0.25">
      <c r="A101708"/>
      <c r="B101708"/>
      <c r="C101708"/>
      <c r="E101708"/>
      <c r="F101708"/>
    </row>
    <row r="101709" spans="1:6" x14ac:dyDescent="0.25">
      <c r="A101709"/>
      <c r="B101709"/>
      <c r="C101709"/>
      <c r="E101709"/>
      <c r="F101709"/>
    </row>
    <row r="101710" spans="1:6" x14ac:dyDescent="0.25">
      <c r="A101710"/>
      <c r="B101710"/>
      <c r="C101710"/>
      <c r="E101710"/>
      <c r="F101710"/>
    </row>
    <row r="101711" spans="1:6" x14ac:dyDescent="0.25">
      <c r="A101711"/>
      <c r="B101711"/>
      <c r="C101711"/>
      <c r="E101711"/>
      <c r="F101711"/>
    </row>
    <row r="101712" spans="1:6" x14ac:dyDescent="0.25">
      <c r="A101712"/>
      <c r="B101712"/>
      <c r="C101712"/>
      <c r="E101712"/>
      <c r="F101712"/>
    </row>
    <row r="101713" spans="1:6" x14ac:dyDescent="0.25">
      <c r="A101713"/>
      <c r="B101713"/>
      <c r="C101713"/>
      <c r="E101713"/>
      <c r="F101713"/>
    </row>
    <row r="101714" spans="1:6" x14ac:dyDescent="0.25">
      <c r="A101714"/>
      <c r="B101714"/>
      <c r="C101714"/>
      <c r="E101714"/>
      <c r="F101714"/>
    </row>
    <row r="101715" spans="1:6" x14ac:dyDescent="0.25">
      <c r="A101715"/>
      <c r="B101715"/>
      <c r="C101715"/>
      <c r="E101715"/>
      <c r="F101715"/>
    </row>
    <row r="101716" spans="1:6" x14ac:dyDescent="0.25">
      <c r="A101716"/>
      <c r="B101716"/>
      <c r="C101716"/>
      <c r="E101716"/>
      <c r="F101716"/>
    </row>
    <row r="101717" spans="1:6" x14ac:dyDescent="0.25">
      <c r="A101717"/>
      <c r="B101717"/>
      <c r="C101717"/>
      <c r="E101717"/>
      <c r="F101717"/>
    </row>
    <row r="101718" spans="1:6" x14ac:dyDescent="0.25">
      <c r="A101718"/>
      <c r="B101718"/>
      <c r="C101718"/>
      <c r="E101718"/>
      <c r="F101718"/>
    </row>
    <row r="101719" spans="1:6" x14ac:dyDescent="0.25">
      <c r="A101719"/>
      <c r="B101719"/>
      <c r="C101719"/>
      <c r="E101719"/>
      <c r="F101719"/>
    </row>
    <row r="101720" spans="1:6" x14ac:dyDescent="0.25">
      <c r="A101720"/>
      <c r="B101720"/>
      <c r="C101720"/>
      <c r="E101720"/>
      <c r="F101720"/>
    </row>
    <row r="101721" spans="1:6" x14ac:dyDescent="0.25">
      <c r="A101721"/>
      <c r="B101721"/>
      <c r="C101721"/>
      <c r="E101721"/>
      <c r="F101721"/>
    </row>
    <row r="101722" spans="1:6" x14ac:dyDescent="0.25">
      <c r="A101722"/>
      <c r="B101722"/>
      <c r="C101722"/>
      <c r="E101722"/>
      <c r="F101722"/>
    </row>
    <row r="101723" spans="1:6" x14ac:dyDescent="0.25">
      <c r="A101723"/>
      <c r="B101723"/>
      <c r="C101723"/>
      <c r="E101723"/>
      <c r="F101723"/>
    </row>
    <row r="101724" spans="1:6" x14ac:dyDescent="0.25">
      <c r="A101724"/>
      <c r="B101724"/>
      <c r="C101724"/>
      <c r="E101724"/>
      <c r="F101724"/>
    </row>
    <row r="101725" spans="1:6" x14ac:dyDescent="0.25">
      <c r="A101725"/>
      <c r="B101725"/>
      <c r="C101725"/>
      <c r="E101725"/>
      <c r="F101725"/>
    </row>
    <row r="101726" spans="1:6" x14ac:dyDescent="0.25">
      <c r="A101726"/>
      <c r="B101726"/>
      <c r="C101726"/>
      <c r="E101726"/>
      <c r="F101726"/>
    </row>
    <row r="101727" spans="1:6" x14ac:dyDescent="0.25">
      <c r="A101727"/>
      <c r="B101727"/>
      <c r="C101727"/>
      <c r="E101727"/>
      <c r="F101727"/>
    </row>
    <row r="101728" spans="1:6" x14ac:dyDescent="0.25">
      <c r="A101728"/>
      <c r="B101728"/>
      <c r="C101728"/>
      <c r="E101728"/>
      <c r="F101728"/>
    </row>
    <row r="101729" spans="1:6" x14ac:dyDescent="0.25">
      <c r="A101729"/>
      <c r="B101729"/>
      <c r="C101729"/>
      <c r="E101729"/>
      <c r="F101729"/>
    </row>
    <row r="101730" spans="1:6" x14ac:dyDescent="0.25">
      <c r="A101730"/>
      <c r="B101730"/>
      <c r="C101730"/>
      <c r="E101730"/>
      <c r="F101730"/>
    </row>
    <row r="101731" spans="1:6" x14ac:dyDescent="0.25">
      <c r="A101731"/>
      <c r="B101731"/>
      <c r="C101731"/>
      <c r="E101731"/>
      <c r="F101731"/>
    </row>
    <row r="101732" spans="1:6" x14ac:dyDescent="0.25">
      <c r="A101732"/>
      <c r="B101732"/>
      <c r="C101732"/>
      <c r="E101732"/>
      <c r="F101732"/>
    </row>
    <row r="101733" spans="1:6" x14ac:dyDescent="0.25">
      <c r="A101733"/>
      <c r="B101733"/>
      <c r="C101733"/>
      <c r="E101733"/>
      <c r="F101733"/>
    </row>
    <row r="101734" spans="1:6" x14ac:dyDescent="0.25">
      <c r="A101734"/>
      <c r="B101734"/>
      <c r="C101734"/>
      <c r="E101734"/>
      <c r="F101734"/>
    </row>
    <row r="101735" spans="1:6" x14ac:dyDescent="0.25">
      <c r="A101735"/>
      <c r="B101735"/>
      <c r="C101735"/>
      <c r="E101735"/>
      <c r="F101735"/>
    </row>
    <row r="101736" spans="1:6" x14ac:dyDescent="0.25">
      <c r="A101736"/>
      <c r="B101736"/>
      <c r="C101736"/>
      <c r="E101736"/>
      <c r="F101736"/>
    </row>
    <row r="101737" spans="1:6" x14ac:dyDescent="0.25">
      <c r="A101737"/>
      <c r="B101737"/>
      <c r="C101737"/>
      <c r="E101737"/>
      <c r="F101737"/>
    </row>
    <row r="101738" spans="1:6" x14ac:dyDescent="0.25">
      <c r="A101738"/>
      <c r="B101738"/>
      <c r="C101738"/>
      <c r="E101738"/>
      <c r="F101738"/>
    </row>
    <row r="101739" spans="1:6" x14ac:dyDescent="0.25">
      <c r="A101739"/>
      <c r="B101739"/>
      <c r="C101739"/>
      <c r="E101739"/>
      <c r="F101739"/>
    </row>
    <row r="101740" spans="1:6" x14ac:dyDescent="0.25">
      <c r="A101740"/>
      <c r="B101740"/>
      <c r="C101740"/>
      <c r="E101740"/>
      <c r="F101740"/>
    </row>
    <row r="101741" spans="1:6" x14ac:dyDescent="0.25">
      <c r="A101741"/>
      <c r="B101741"/>
      <c r="C101741"/>
      <c r="E101741"/>
      <c r="F101741"/>
    </row>
    <row r="101742" spans="1:6" x14ac:dyDescent="0.25">
      <c r="A101742"/>
      <c r="B101742"/>
      <c r="C101742"/>
      <c r="E101742"/>
      <c r="F101742"/>
    </row>
    <row r="101743" spans="1:6" x14ac:dyDescent="0.25">
      <c r="A101743"/>
      <c r="B101743"/>
      <c r="C101743"/>
      <c r="E101743"/>
      <c r="F101743"/>
    </row>
    <row r="101744" spans="1:6" x14ac:dyDescent="0.25">
      <c r="A101744"/>
      <c r="B101744"/>
      <c r="C101744"/>
      <c r="E101744"/>
      <c r="F101744"/>
    </row>
    <row r="101745" spans="1:6" x14ac:dyDescent="0.25">
      <c r="A101745"/>
      <c r="B101745"/>
      <c r="C101745"/>
      <c r="E101745"/>
      <c r="F101745"/>
    </row>
    <row r="101746" spans="1:6" x14ac:dyDescent="0.25">
      <c r="A101746"/>
      <c r="B101746"/>
      <c r="C101746"/>
      <c r="E101746"/>
      <c r="F101746"/>
    </row>
    <row r="101747" spans="1:6" x14ac:dyDescent="0.25">
      <c r="A101747"/>
      <c r="B101747"/>
      <c r="C101747"/>
      <c r="E101747"/>
      <c r="F101747"/>
    </row>
    <row r="101748" spans="1:6" x14ac:dyDescent="0.25">
      <c r="A101748"/>
      <c r="B101748"/>
      <c r="C101748"/>
      <c r="E101748"/>
      <c r="F101748"/>
    </row>
    <row r="101749" spans="1:6" x14ac:dyDescent="0.25">
      <c r="A101749"/>
      <c r="B101749"/>
      <c r="C101749"/>
      <c r="E101749"/>
      <c r="F101749"/>
    </row>
    <row r="101750" spans="1:6" x14ac:dyDescent="0.25">
      <c r="A101750"/>
      <c r="B101750"/>
      <c r="C101750"/>
      <c r="E101750"/>
      <c r="F101750"/>
    </row>
    <row r="101751" spans="1:6" x14ac:dyDescent="0.25">
      <c r="A101751"/>
      <c r="B101751"/>
      <c r="C101751"/>
      <c r="E101751"/>
      <c r="F101751"/>
    </row>
    <row r="101752" spans="1:6" x14ac:dyDescent="0.25">
      <c r="A101752"/>
      <c r="B101752"/>
      <c r="C101752"/>
      <c r="E101752"/>
      <c r="F101752"/>
    </row>
    <row r="101753" spans="1:6" x14ac:dyDescent="0.25">
      <c r="A101753"/>
      <c r="B101753"/>
      <c r="C101753"/>
      <c r="E101753"/>
      <c r="F101753"/>
    </row>
    <row r="101754" spans="1:6" x14ac:dyDescent="0.25">
      <c r="A101754"/>
      <c r="B101754"/>
      <c r="C101754"/>
      <c r="E101754"/>
      <c r="F101754"/>
    </row>
    <row r="101755" spans="1:6" x14ac:dyDescent="0.25">
      <c r="A101755"/>
      <c r="B101755"/>
      <c r="C101755"/>
      <c r="E101755"/>
      <c r="F101755"/>
    </row>
    <row r="101756" spans="1:6" x14ac:dyDescent="0.25">
      <c r="A101756"/>
      <c r="B101756"/>
      <c r="C101756"/>
      <c r="E101756"/>
      <c r="F101756"/>
    </row>
    <row r="101757" spans="1:6" x14ac:dyDescent="0.25">
      <c r="A101757"/>
      <c r="B101757"/>
      <c r="C101757"/>
      <c r="E101757"/>
      <c r="F101757"/>
    </row>
    <row r="101758" spans="1:6" x14ac:dyDescent="0.25">
      <c r="A101758"/>
      <c r="B101758"/>
      <c r="C101758"/>
      <c r="E101758"/>
      <c r="F101758"/>
    </row>
    <row r="101759" spans="1:6" x14ac:dyDescent="0.25">
      <c r="A101759"/>
      <c r="B101759"/>
      <c r="C101759"/>
      <c r="E101759"/>
      <c r="F101759"/>
    </row>
    <row r="101760" spans="1:6" x14ac:dyDescent="0.25">
      <c r="A101760"/>
      <c r="B101760"/>
      <c r="C101760"/>
      <c r="E101760"/>
      <c r="F101760"/>
    </row>
    <row r="101761" spans="1:6" x14ac:dyDescent="0.25">
      <c r="A101761"/>
      <c r="B101761"/>
      <c r="C101761"/>
      <c r="E101761"/>
      <c r="F101761"/>
    </row>
    <row r="101762" spans="1:6" x14ac:dyDescent="0.25">
      <c r="A101762"/>
      <c r="B101762"/>
      <c r="C101762"/>
      <c r="E101762"/>
      <c r="F101762"/>
    </row>
    <row r="101763" spans="1:6" x14ac:dyDescent="0.25">
      <c r="A101763"/>
      <c r="B101763"/>
      <c r="C101763"/>
      <c r="E101763"/>
      <c r="F101763"/>
    </row>
    <row r="101764" spans="1:6" x14ac:dyDescent="0.25">
      <c r="A101764"/>
      <c r="B101764"/>
      <c r="C101764"/>
      <c r="E101764"/>
      <c r="F101764"/>
    </row>
    <row r="101765" spans="1:6" x14ac:dyDescent="0.25">
      <c r="A101765"/>
      <c r="B101765"/>
      <c r="C101765"/>
      <c r="E101765"/>
      <c r="F101765"/>
    </row>
    <row r="101766" spans="1:6" x14ac:dyDescent="0.25">
      <c r="A101766"/>
      <c r="B101766"/>
      <c r="C101766"/>
      <c r="E101766"/>
      <c r="F101766"/>
    </row>
    <row r="101767" spans="1:6" x14ac:dyDescent="0.25">
      <c r="A101767"/>
      <c r="B101767"/>
      <c r="C101767"/>
      <c r="E101767"/>
      <c r="F101767"/>
    </row>
    <row r="101768" spans="1:6" x14ac:dyDescent="0.25">
      <c r="A101768"/>
      <c r="B101768"/>
      <c r="C101768"/>
      <c r="E101768"/>
      <c r="F101768"/>
    </row>
    <row r="101769" spans="1:6" x14ac:dyDescent="0.25">
      <c r="A101769"/>
      <c r="B101769"/>
      <c r="C101769"/>
      <c r="E101769"/>
      <c r="F101769"/>
    </row>
    <row r="101770" spans="1:6" x14ac:dyDescent="0.25">
      <c r="A101770"/>
      <c r="B101770"/>
      <c r="C101770"/>
      <c r="E101770"/>
      <c r="F101770"/>
    </row>
    <row r="101771" spans="1:6" x14ac:dyDescent="0.25">
      <c r="A101771"/>
      <c r="B101771"/>
      <c r="C101771"/>
      <c r="E101771"/>
      <c r="F101771"/>
    </row>
    <row r="101772" spans="1:6" x14ac:dyDescent="0.25">
      <c r="A101772"/>
      <c r="B101772"/>
      <c r="C101772"/>
      <c r="E101772"/>
      <c r="F101772"/>
    </row>
    <row r="101773" spans="1:6" x14ac:dyDescent="0.25">
      <c r="A101773"/>
      <c r="B101773"/>
      <c r="C101773"/>
      <c r="E101773"/>
      <c r="F101773"/>
    </row>
    <row r="101774" spans="1:6" x14ac:dyDescent="0.25">
      <c r="A101774"/>
      <c r="B101774"/>
      <c r="C101774"/>
      <c r="E101774"/>
      <c r="F101774"/>
    </row>
    <row r="101775" spans="1:6" x14ac:dyDescent="0.25">
      <c r="A101775"/>
      <c r="B101775"/>
      <c r="C101775"/>
      <c r="E101775"/>
      <c r="F101775"/>
    </row>
    <row r="101776" spans="1:6" x14ac:dyDescent="0.25">
      <c r="A101776"/>
      <c r="B101776"/>
      <c r="C101776"/>
      <c r="E101776"/>
      <c r="F101776"/>
    </row>
    <row r="101777" spans="1:6" x14ac:dyDescent="0.25">
      <c r="A101777"/>
      <c r="B101777"/>
      <c r="C101777"/>
      <c r="E101777"/>
      <c r="F101777"/>
    </row>
    <row r="101778" spans="1:6" x14ac:dyDescent="0.25">
      <c r="A101778"/>
      <c r="B101778"/>
      <c r="C101778"/>
      <c r="E101778"/>
      <c r="F101778"/>
    </row>
    <row r="101779" spans="1:6" x14ac:dyDescent="0.25">
      <c r="A101779"/>
      <c r="B101779"/>
      <c r="C101779"/>
      <c r="E101779"/>
      <c r="F101779"/>
    </row>
    <row r="101780" spans="1:6" x14ac:dyDescent="0.25">
      <c r="A101780"/>
      <c r="B101780"/>
      <c r="C101780"/>
      <c r="E101780"/>
      <c r="F101780"/>
    </row>
    <row r="101781" spans="1:6" x14ac:dyDescent="0.25">
      <c r="A101781"/>
      <c r="B101781"/>
      <c r="C101781"/>
      <c r="E101781"/>
      <c r="F101781"/>
    </row>
    <row r="101782" spans="1:6" x14ac:dyDescent="0.25">
      <c r="A101782"/>
      <c r="B101782"/>
      <c r="C101782"/>
      <c r="E101782"/>
      <c r="F101782"/>
    </row>
    <row r="101783" spans="1:6" x14ac:dyDescent="0.25">
      <c r="A101783"/>
      <c r="B101783"/>
      <c r="C101783"/>
      <c r="E101783"/>
      <c r="F101783"/>
    </row>
    <row r="101784" spans="1:6" x14ac:dyDescent="0.25">
      <c r="A101784"/>
      <c r="B101784"/>
      <c r="C101784"/>
      <c r="E101784"/>
      <c r="F101784"/>
    </row>
    <row r="101785" spans="1:6" x14ac:dyDescent="0.25">
      <c r="A101785"/>
      <c r="B101785"/>
      <c r="C101785"/>
      <c r="E101785"/>
      <c r="F101785"/>
    </row>
    <row r="101786" spans="1:6" x14ac:dyDescent="0.25">
      <c r="A101786"/>
      <c r="B101786"/>
      <c r="C101786"/>
      <c r="E101786"/>
      <c r="F101786"/>
    </row>
    <row r="101787" spans="1:6" x14ac:dyDescent="0.25">
      <c r="A101787"/>
      <c r="B101787"/>
      <c r="C101787"/>
      <c r="E101787"/>
      <c r="F101787"/>
    </row>
    <row r="101788" spans="1:6" x14ac:dyDescent="0.25">
      <c r="A101788"/>
      <c r="B101788"/>
      <c r="C101788"/>
      <c r="E101788"/>
      <c r="F101788"/>
    </row>
    <row r="101789" spans="1:6" x14ac:dyDescent="0.25">
      <c r="A101789"/>
      <c r="B101789"/>
      <c r="C101789"/>
      <c r="E101789"/>
      <c r="F101789"/>
    </row>
    <row r="101790" spans="1:6" x14ac:dyDescent="0.25">
      <c r="A101790"/>
      <c r="B101790"/>
      <c r="C101790"/>
      <c r="E101790"/>
      <c r="F101790"/>
    </row>
    <row r="101791" spans="1:6" x14ac:dyDescent="0.25">
      <c r="A101791"/>
      <c r="B101791"/>
      <c r="C101791"/>
      <c r="E101791"/>
      <c r="F101791"/>
    </row>
    <row r="101792" spans="1:6" x14ac:dyDescent="0.25">
      <c r="A101792"/>
      <c r="B101792"/>
      <c r="C101792"/>
      <c r="E101792"/>
      <c r="F101792"/>
    </row>
    <row r="101793" spans="1:6" x14ac:dyDescent="0.25">
      <c r="A101793"/>
      <c r="B101793"/>
      <c r="C101793"/>
      <c r="E101793"/>
      <c r="F101793"/>
    </row>
    <row r="101794" spans="1:6" x14ac:dyDescent="0.25">
      <c r="A101794"/>
      <c r="B101794"/>
      <c r="C101794"/>
      <c r="E101794"/>
      <c r="F101794"/>
    </row>
    <row r="101795" spans="1:6" x14ac:dyDescent="0.25">
      <c r="A101795"/>
      <c r="B101795"/>
      <c r="C101795"/>
      <c r="E101795"/>
      <c r="F101795"/>
    </row>
    <row r="101796" spans="1:6" x14ac:dyDescent="0.25">
      <c r="A101796"/>
      <c r="B101796"/>
      <c r="C101796"/>
      <c r="E101796"/>
      <c r="F101796"/>
    </row>
    <row r="101797" spans="1:6" x14ac:dyDescent="0.25">
      <c r="A101797"/>
      <c r="B101797"/>
      <c r="C101797"/>
      <c r="E101797"/>
      <c r="F101797"/>
    </row>
    <row r="101798" spans="1:6" x14ac:dyDescent="0.25">
      <c r="A101798"/>
      <c r="B101798"/>
      <c r="C101798"/>
      <c r="E101798"/>
      <c r="F101798"/>
    </row>
    <row r="101799" spans="1:6" x14ac:dyDescent="0.25">
      <c r="A101799"/>
      <c r="B101799"/>
      <c r="C101799"/>
      <c r="E101799"/>
      <c r="F101799"/>
    </row>
    <row r="101800" spans="1:6" x14ac:dyDescent="0.25">
      <c r="A101800"/>
      <c r="B101800"/>
      <c r="C101800"/>
      <c r="E101800"/>
      <c r="F101800"/>
    </row>
    <row r="101801" spans="1:6" x14ac:dyDescent="0.25">
      <c r="A101801"/>
      <c r="B101801"/>
      <c r="C101801"/>
      <c r="E101801"/>
      <c r="F101801"/>
    </row>
    <row r="101802" spans="1:6" x14ac:dyDescent="0.25">
      <c r="A101802"/>
      <c r="B101802"/>
      <c r="C101802"/>
      <c r="E101802"/>
      <c r="F101802"/>
    </row>
    <row r="101803" spans="1:6" x14ac:dyDescent="0.25">
      <c r="A101803"/>
      <c r="B101803"/>
      <c r="C101803"/>
      <c r="E101803"/>
      <c r="F101803"/>
    </row>
    <row r="101804" spans="1:6" x14ac:dyDescent="0.25">
      <c r="A101804"/>
      <c r="B101804"/>
      <c r="C101804"/>
      <c r="E101804"/>
      <c r="F101804"/>
    </row>
    <row r="101805" spans="1:6" x14ac:dyDescent="0.25">
      <c r="A101805"/>
      <c r="B101805"/>
      <c r="C101805"/>
      <c r="E101805"/>
      <c r="F101805"/>
    </row>
    <row r="101806" spans="1:6" x14ac:dyDescent="0.25">
      <c r="A101806"/>
      <c r="B101806"/>
      <c r="C101806"/>
      <c r="E101806"/>
      <c r="F101806"/>
    </row>
    <row r="101807" spans="1:6" x14ac:dyDescent="0.25">
      <c r="A101807"/>
      <c r="B101807"/>
      <c r="C101807"/>
      <c r="E101807"/>
      <c r="F101807"/>
    </row>
    <row r="101808" spans="1:6" x14ac:dyDescent="0.25">
      <c r="A101808"/>
      <c r="B101808"/>
      <c r="C101808"/>
      <c r="E101808"/>
      <c r="F101808"/>
    </row>
    <row r="101809" spans="1:6" x14ac:dyDescent="0.25">
      <c r="A101809"/>
      <c r="B101809"/>
      <c r="C101809"/>
      <c r="E101809"/>
      <c r="F101809"/>
    </row>
    <row r="101810" spans="1:6" x14ac:dyDescent="0.25">
      <c r="A101810"/>
      <c r="B101810"/>
      <c r="C101810"/>
      <c r="E101810"/>
      <c r="F101810"/>
    </row>
    <row r="101811" spans="1:6" x14ac:dyDescent="0.25">
      <c r="A101811"/>
      <c r="B101811"/>
      <c r="C101811"/>
      <c r="E101811"/>
      <c r="F101811"/>
    </row>
    <row r="101812" spans="1:6" x14ac:dyDescent="0.25">
      <c r="A101812"/>
      <c r="B101812"/>
      <c r="C101812"/>
      <c r="E101812"/>
      <c r="F101812"/>
    </row>
    <row r="101813" spans="1:6" x14ac:dyDescent="0.25">
      <c r="A101813"/>
      <c r="B101813"/>
      <c r="C101813"/>
      <c r="E101813"/>
      <c r="F101813"/>
    </row>
    <row r="101814" spans="1:6" x14ac:dyDescent="0.25">
      <c r="A101814"/>
      <c r="B101814"/>
      <c r="C101814"/>
      <c r="E101814"/>
      <c r="F101814"/>
    </row>
    <row r="101815" spans="1:6" x14ac:dyDescent="0.25">
      <c r="A101815"/>
      <c r="B101815"/>
      <c r="C101815"/>
      <c r="E101815"/>
      <c r="F101815"/>
    </row>
    <row r="101816" spans="1:6" x14ac:dyDescent="0.25">
      <c r="A101816"/>
      <c r="B101816"/>
      <c r="C101816"/>
      <c r="E101816"/>
      <c r="F101816"/>
    </row>
    <row r="101817" spans="1:6" x14ac:dyDescent="0.25">
      <c r="A101817"/>
      <c r="B101817"/>
      <c r="C101817"/>
      <c r="E101817"/>
      <c r="F101817"/>
    </row>
    <row r="101818" spans="1:6" x14ac:dyDescent="0.25">
      <c r="A101818"/>
      <c r="B101818"/>
      <c r="C101818"/>
      <c r="E101818"/>
      <c r="F101818"/>
    </row>
    <row r="101819" spans="1:6" x14ac:dyDescent="0.25">
      <c r="A101819"/>
      <c r="B101819"/>
      <c r="C101819"/>
      <c r="E101819"/>
      <c r="F101819"/>
    </row>
    <row r="101820" spans="1:6" x14ac:dyDescent="0.25">
      <c r="A101820"/>
      <c r="B101820"/>
      <c r="C101820"/>
      <c r="E101820"/>
      <c r="F101820"/>
    </row>
    <row r="101821" spans="1:6" x14ac:dyDescent="0.25">
      <c r="A101821"/>
      <c r="B101821"/>
      <c r="C101821"/>
      <c r="E101821"/>
      <c r="F101821"/>
    </row>
    <row r="101822" spans="1:6" x14ac:dyDescent="0.25">
      <c r="A101822"/>
      <c r="B101822"/>
      <c r="C101822"/>
      <c r="E101822"/>
      <c r="F101822"/>
    </row>
    <row r="101823" spans="1:6" x14ac:dyDescent="0.25">
      <c r="A101823"/>
      <c r="B101823"/>
      <c r="C101823"/>
      <c r="E101823"/>
      <c r="F101823"/>
    </row>
    <row r="101824" spans="1:6" x14ac:dyDescent="0.25">
      <c r="A101824"/>
      <c r="B101824"/>
      <c r="C101824"/>
      <c r="E101824"/>
      <c r="F101824"/>
    </row>
    <row r="101825" spans="1:6" x14ac:dyDescent="0.25">
      <c r="A101825"/>
      <c r="B101825"/>
      <c r="C101825"/>
      <c r="E101825"/>
      <c r="F101825"/>
    </row>
    <row r="101826" spans="1:6" x14ac:dyDescent="0.25">
      <c r="A101826"/>
      <c r="B101826"/>
      <c r="C101826"/>
      <c r="E101826"/>
      <c r="F101826"/>
    </row>
    <row r="101827" spans="1:6" x14ac:dyDescent="0.25">
      <c r="A101827"/>
      <c r="B101827"/>
      <c r="C101827"/>
      <c r="E101827"/>
      <c r="F101827"/>
    </row>
    <row r="101828" spans="1:6" x14ac:dyDescent="0.25">
      <c r="A101828"/>
      <c r="B101828"/>
      <c r="C101828"/>
      <c r="E101828"/>
      <c r="F101828"/>
    </row>
    <row r="101829" spans="1:6" x14ac:dyDescent="0.25">
      <c r="A101829"/>
      <c r="B101829"/>
      <c r="C101829"/>
      <c r="E101829"/>
      <c r="F101829"/>
    </row>
    <row r="101830" spans="1:6" x14ac:dyDescent="0.25">
      <c r="A101830"/>
      <c r="B101830"/>
      <c r="C101830"/>
      <c r="E101830"/>
      <c r="F101830"/>
    </row>
    <row r="101831" spans="1:6" x14ac:dyDescent="0.25">
      <c r="A101831"/>
      <c r="B101831"/>
      <c r="C101831"/>
      <c r="E101831"/>
      <c r="F101831"/>
    </row>
    <row r="101832" spans="1:6" x14ac:dyDescent="0.25">
      <c r="A101832"/>
      <c r="B101832"/>
      <c r="C101832"/>
      <c r="E101832"/>
      <c r="F101832"/>
    </row>
    <row r="101833" spans="1:6" x14ac:dyDescent="0.25">
      <c r="A101833"/>
      <c r="B101833"/>
      <c r="C101833"/>
      <c r="E101833"/>
      <c r="F101833"/>
    </row>
    <row r="101834" spans="1:6" x14ac:dyDescent="0.25">
      <c r="A101834"/>
      <c r="B101834"/>
      <c r="C101834"/>
      <c r="E101834"/>
      <c r="F101834"/>
    </row>
    <row r="101835" spans="1:6" x14ac:dyDescent="0.25">
      <c r="A101835"/>
      <c r="B101835"/>
      <c r="C101835"/>
      <c r="E101835"/>
      <c r="F101835"/>
    </row>
    <row r="101836" spans="1:6" x14ac:dyDescent="0.25">
      <c r="A101836"/>
      <c r="B101836"/>
      <c r="C101836"/>
      <c r="E101836"/>
      <c r="F101836"/>
    </row>
    <row r="101837" spans="1:6" x14ac:dyDescent="0.25">
      <c r="A101837"/>
      <c r="B101837"/>
      <c r="C101837"/>
      <c r="E101837"/>
      <c r="F101837"/>
    </row>
    <row r="101838" spans="1:6" x14ac:dyDescent="0.25">
      <c r="A101838"/>
      <c r="B101838"/>
      <c r="C101838"/>
      <c r="E101838"/>
      <c r="F101838"/>
    </row>
    <row r="101839" spans="1:6" x14ac:dyDescent="0.25">
      <c r="A101839"/>
      <c r="B101839"/>
      <c r="C101839"/>
      <c r="E101839"/>
      <c r="F101839"/>
    </row>
    <row r="101840" spans="1:6" x14ac:dyDescent="0.25">
      <c r="A101840"/>
      <c r="B101840"/>
      <c r="C101840"/>
      <c r="E101840"/>
      <c r="F101840"/>
    </row>
    <row r="101841" spans="1:6" x14ac:dyDescent="0.25">
      <c r="A101841"/>
      <c r="B101841"/>
      <c r="C101841"/>
      <c r="E101841"/>
      <c r="F101841"/>
    </row>
    <row r="101842" spans="1:6" x14ac:dyDescent="0.25">
      <c r="A101842"/>
      <c r="B101842"/>
      <c r="C101842"/>
      <c r="E101842"/>
      <c r="F101842"/>
    </row>
    <row r="101843" spans="1:6" x14ac:dyDescent="0.25">
      <c r="A101843"/>
      <c r="B101843"/>
      <c r="C101843"/>
      <c r="E101843"/>
      <c r="F101843"/>
    </row>
    <row r="101844" spans="1:6" x14ac:dyDescent="0.25">
      <c r="A101844"/>
      <c r="B101844"/>
      <c r="C101844"/>
      <c r="E101844"/>
      <c r="F101844"/>
    </row>
    <row r="101845" spans="1:6" x14ac:dyDescent="0.25">
      <c r="A101845"/>
      <c r="B101845"/>
      <c r="C101845"/>
      <c r="E101845"/>
      <c r="F101845"/>
    </row>
    <row r="101846" spans="1:6" x14ac:dyDescent="0.25">
      <c r="A101846"/>
      <c r="B101846"/>
      <c r="C101846"/>
      <c r="E101846"/>
      <c r="F101846"/>
    </row>
    <row r="101847" spans="1:6" x14ac:dyDescent="0.25">
      <c r="A101847"/>
      <c r="B101847"/>
      <c r="C101847"/>
      <c r="E101847"/>
      <c r="F101847"/>
    </row>
    <row r="101848" spans="1:6" x14ac:dyDescent="0.25">
      <c r="A101848"/>
      <c r="B101848"/>
      <c r="C101848"/>
      <c r="E101848"/>
      <c r="F101848"/>
    </row>
    <row r="101849" spans="1:6" x14ac:dyDescent="0.25">
      <c r="A101849"/>
      <c r="B101849"/>
      <c r="C101849"/>
      <c r="E101849"/>
      <c r="F101849"/>
    </row>
    <row r="101850" spans="1:6" x14ac:dyDescent="0.25">
      <c r="A101850"/>
      <c r="B101850"/>
      <c r="C101850"/>
      <c r="E101850"/>
      <c r="F101850"/>
    </row>
    <row r="101851" spans="1:6" x14ac:dyDescent="0.25">
      <c r="A101851"/>
      <c r="B101851"/>
      <c r="C101851"/>
      <c r="E101851"/>
      <c r="F101851"/>
    </row>
    <row r="101852" spans="1:6" x14ac:dyDescent="0.25">
      <c r="A101852"/>
      <c r="B101852"/>
      <c r="C101852"/>
      <c r="E101852"/>
      <c r="F101852"/>
    </row>
    <row r="101853" spans="1:6" x14ac:dyDescent="0.25">
      <c r="A101853"/>
      <c r="B101853"/>
      <c r="C101853"/>
      <c r="E101853"/>
      <c r="F101853"/>
    </row>
    <row r="101854" spans="1:6" x14ac:dyDescent="0.25">
      <c r="A101854"/>
      <c r="B101854"/>
      <c r="C101854"/>
      <c r="E101854"/>
      <c r="F101854"/>
    </row>
    <row r="101855" spans="1:6" x14ac:dyDescent="0.25">
      <c r="A101855"/>
      <c r="B101855"/>
      <c r="C101855"/>
      <c r="E101855"/>
      <c r="F101855"/>
    </row>
    <row r="101856" spans="1:6" x14ac:dyDescent="0.25">
      <c r="A101856"/>
      <c r="B101856"/>
      <c r="C101856"/>
      <c r="E101856"/>
      <c r="F101856"/>
    </row>
    <row r="101857" spans="1:6" x14ac:dyDescent="0.25">
      <c r="A101857"/>
      <c r="B101857"/>
      <c r="C101857"/>
      <c r="E101857"/>
      <c r="F101857"/>
    </row>
    <row r="101858" spans="1:6" x14ac:dyDescent="0.25">
      <c r="A101858"/>
      <c r="B101858"/>
      <c r="C101858"/>
      <c r="E101858"/>
      <c r="F101858"/>
    </row>
    <row r="101859" spans="1:6" x14ac:dyDescent="0.25">
      <c r="A101859"/>
      <c r="B101859"/>
      <c r="C101859"/>
      <c r="E101859"/>
      <c r="F101859"/>
    </row>
    <row r="101860" spans="1:6" x14ac:dyDescent="0.25">
      <c r="A101860"/>
      <c r="B101860"/>
      <c r="C101860"/>
      <c r="E101860"/>
      <c r="F101860"/>
    </row>
    <row r="101861" spans="1:6" x14ac:dyDescent="0.25">
      <c r="A101861"/>
      <c r="B101861"/>
      <c r="C101861"/>
      <c r="E101861"/>
      <c r="F101861"/>
    </row>
    <row r="101862" spans="1:6" x14ac:dyDescent="0.25">
      <c r="A101862"/>
      <c r="B101862"/>
      <c r="C101862"/>
      <c r="E101862"/>
      <c r="F101862"/>
    </row>
    <row r="101863" spans="1:6" x14ac:dyDescent="0.25">
      <c r="A101863"/>
      <c r="B101863"/>
      <c r="C101863"/>
      <c r="E101863"/>
      <c r="F101863"/>
    </row>
    <row r="101864" spans="1:6" x14ac:dyDescent="0.25">
      <c r="A101864"/>
      <c r="B101864"/>
      <c r="C101864"/>
      <c r="E101864"/>
      <c r="F101864"/>
    </row>
    <row r="101865" spans="1:6" x14ac:dyDescent="0.25">
      <c r="A101865"/>
      <c r="B101865"/>
      <c r="C101865"/>
      <c r="E101865"/>
      <c r="F101865"/>
    </row>
    <row r="101866" spans="1:6" x14ac:dyDescent="0.25">
      <c r="A101866"/>
      <c r="B101866"/>
      <c r="C101866"/>
      <c r="E101866"/>
      <c r="F101866"/>
    </row>
    <row r="101867" spans="1:6" x14ac:dyDescent="0.25">
      <c r="A101867"/>
      <c r="B101867"/>
      <c r="C101867"/>
      <c r="E101867"/>
      <c r="F101867"/>
    </row>
    <row r="101868" spans="1:6" x14ac:dyDescent="0.25">
      <c r="A101868"/>
      <c r="B101868"/>
      <c r="C101868"/>
      <c r="E101868"/>
      <c r="F101868"/>
    </row>
    <row r="101869" spans="1:6" x14ac:dyDescent="0.25">
      <c r="A101869"/>
      <c r="B101869"/>
      <c r="C101869"/>
      <c r="E101869"/>
      <c r="F101869"/>
    </row>
    <row r="101870" spans="1:6" x14ac:dyDescent="0.25">
      <c r="A101870"/>
      <c r="B101870"/>
      <c r="C101870"/>
      <c r="E101870"/>
      <c r="F101870"/>
    </row>
    <row r="101871" spans="1:6" x14ac:dyDescent="0.25">
      <c r="A101871"/>
      <c r="B101871"/>
      <c r="C101871"/>
      <c r="E101871"/>
      <c r="F101871"/>
    </row>
    <row r="101872" spans="1:6" x14ac:dyDescent="0.25">
      <c r="A101872"/>
      <c r="B101872"/>
      <c r="C101872"/>
      <c r="E101872"/>
      <c r="F101872"/>
    </row>
    <row r="101873" spans="1:6" x14ac:dyDescent="0.25">
      <c r="A101873"/>
      <c r="B101873"/>
      <c r="C101873"/>
      <c r="E101873"/>
      <c r="F101873"/>
    </row>
    <row r="101874" spans="1:6" x14ac:dyDescent="0.25">
      <c r="A101874"/>
      <c r="B101874"/>
      <c r="C101874"/>
      <c r="E101874"/>
      <c r="F101874"/>
    </row>
    <row r="101875" spans="1:6" x14ac:dyDescent="0.25">
      <c r="A101875"/>
      <c r="B101875"/>
      <c r="C101875"/>
      <c r="E101875"/>
      <c r="F101875"/>
    </row>
    <row r="101876" spans="1:6" x14ac:dyDescent="0.25">
      <c r="A101876"/>
      <c r="B101876"/>
      <c r="C101876"/>
      <c r="E101876"/>
      <c r="F101876"/>
    </row>
    <row r="101877" spans="1:6" x14ac:dyDescent="0.25">
      <c r="A101877"/>
      <c r="B101877"/>
      <c r="C101877"/>
      <c r="E101877"/>
      <c r="F101877"/>
    </row>
    <row r="101878" spans="1:6" x14ac:dyDescent="0.25">
      <c r="A101878"/>
      <c r="B101878"/>
      <c r="C101878"/>
      <c r="E101878"/>
      <c r="F101878"/>
    </row>
    <row r="101879" spans="1:6" x14ac:dyDescent="0.25">
      <c r="A101879"/>
      <c r="B101879"/>
      <c r="C101879"/>
      <c r="E101879"/>
      <c r="F101879"/>
    </row>
    <row r="101880" spans="1:6" x14ac:dyDescent="0.25">
      <c r="A101880"/>
      <c r="B101880"/>
      <c r="C101880"/>
      <c r="E101880"/>
      <c r="F101880"/>
    </row>
    <row r="101881" spans="1:6" x14ac:dyDescent="0.25">
      <c r="A101881"/>
      <c r="B101881"/>
      <c r="C101881"/>
      <c r="E101881"/>
      <c r="F101881"/>
    </row>
    <row r="101882" spans="1:6" x14ac:dyDescent="0.25">
      <c r="A101882"/>
      <c r="B101882"/>
      <c r="C101882"/>
      <c r="E101882"/>
      <c r="F101882"/>
    </row>
    <row r="101883" spans="1:6" x14ac:dyDescent="0.25">
      <c r="A101883"/>
      <c r="B101883"/>
      <c r="C101883"/>
      <c r="E101883"/>
      <c r="F101883"/>
    </row>
    <row r="101884" spans="1:6" x14ac:dyDescent="0.25">
      <c r="A101884"/>
      <c r="B101884"/>
      <c r="C101884"/>
      <c r="E101884"/>
      <c r="F101884"/>
    </row>
    <row r="101885" spans="1:6" x14ac:dyDescent="0.25">
      <c r="A101885"/>
      <c r="B101885"/>
      <c r="C101885"/>
      <c r="E101885"/>
      <c r="F101885"/>
    </row>
    <row r="101886" spans="1:6" x14ac:dyDescent="0.25">
      <c r="A101886"/>
      <c r="B101886"/>
      <c r="C101886"/>
      <c r="E101886"/>
      <c r="F101886"/>
    </row>
    <row r="101887" spans="1:6" x14ac:dyDescent="0.25">
      <c r="A101887"/>
      <c r="B101887"/>
      <c r="C101887"/>
      <c r="E101887"/>
      <c r="F101887"/>
    </row>
    <row r="101888" spans="1:6" x14ac:dyDescent="0.25">
      <c r="A101888"/>
      <c r="B101888"/>
      <c r="C101888"/>
      <c r="E101888"/>
      <c r="F101888"/>
    </row>
    <row r="101889" spans="1:6" x14ac:dyDescent="0.25">
      <c r="A101889"/>
      <c r="B101889"/>
      <c r="C101889"/>
      <c r="E101889"/>
      <c r="F101889"/>
    </row>
    <row r="101890" spans="1:6" x14ac:dyDescent="0.25">
      <c r="A101890"/>
      <c r="B101890"/>
      <c r="C101890"/>
      <c r="E101890"/>
      <c r="F101890"/>
    </row>
    <row r="101891" spans="1:6" x14ac:dyDescent="0.25">
      <c r="A101891"/>
      <c r="B101891"/>
      <c r="C101891"/>
      <c r="E101891"/>
      <c r="F101891"/>
    </row>
    <row r="101892" spans="1:6" x14ac:dyDescent="0.25">
      <c r="A101892"/>
      <c r="B101892"/>
      <c r="C101892"/>
      <c r="E101892"/>
      <c r="F101892"/>
    </row>
    <row r="101893" spans="1:6" x14ac:dyDescent="0.25">
      <c r="A101893"/>
      <c r="B101893"/>
      <c r="C101893"/>
      <c r="E101893"/>
      <c r="F101893"/>
    </row>
    <row r="101894" spans="1:6" x14ac:dyDescent="0.25">
      <c r="A101894"/>
      <c r="B101894"/>
      <c r="C101894"/>
      <c r="E101894"/>
      <c r="F101894"/>
    </row>
    <row r="101895" spans="1:6" x14ac:dyDescent="0.25">
      <c r="A101895"/>
      <c r="B101895"/>
      <c r="C101895"/>
      <c r="E101895"/>
      <c r="F101895"/>
    </row>
    <row r="101896" spans="1:6" x14ac:dyDescent="0.25">
      <c r="A101896"/>
      <c r="B101896"/>
      <c r="C101896"/>
      <c r="E101896"/>
      <c r="F101896"/>
    </row>
    <row r="101897" spans="1:6" x14ac:dyDescent="0.25">
      <c r="A101897"/>
      <c r="B101897"/>
      <c r="C101897"/>
      <c r="E101897"/>
      <c r="F101897"/>
    </row>
    <row r="101898" spans="1:6" x14ac:dyDescent="0.25">
      <c r="A101898"/>
      <c r="B101898"/>
      <c r="C101898"/>
      <c r="E101898"/>
      <c r="F101898"/>
    </row>
    <row r="101899" spans="1:6" x14ac:dyDescent="0.25">
      <c r="A101899"/>
      <c r="B101899"/>
      <c r="C101899"/>
      <c r="E101899"/>
      <c r="F101899"/>
    </row>
    <row r="101900" spans="1:6" x14ac:dyDescent="0.25">
      <c r="A101900"/>
      <c r="B101900"/>
      <c r="C101900"/>
      <c r="E101900"/>
      <c r="F101900"/>
    </row>
    <row r="101901" spans="1:6" x14ac:dyDescent="0.25">
      <c r="A101901"/>
      <c r="B101901"/>
      <c r="C101901"/>
      <c r="E101901"/>
      <c r="F101901"/>
    </row>
    <row r="101902" spans="1:6" x14ac:dyDescent="0.25">
      <c r="A101902"/>
      <c r="B101902"/>
      <c r="C101902"/>
      <c r="E101902"/>
      <c r="F101902"/>
    </row>
    <row r="101903" spans="1:6" x14ac:dyDescent="0.25">
      <c r="A101903"/>
      <c r="B101903"/>
      <c r="C101903"/>
      <c r="E101903"/>
      <c r="F101903"/>
    </row>
    <row r="101904" spans="1:6" x14ac:dyDescent="0.25">
      <c r="A101904"/>
      <c r="B101904"/>
      <c r="C101904"/>
      <c r="E101904"/>
      <c r="F101904"/>
    </row>
    <row r="101905" spans="1:6" x14ac:dyDescent="0.25">
      <c r="A101905"/>
      <c r="B101905"/>
      <c r="C101905"/>
      <c r="E101905"/>
      <c r="F101905"/>
    </row>
    <row r="101906" spans="1:6" x14ac:dyDescent="0.25">
      <c r="A101906"/>
      <c r="B101906"/>
      <c r="C101906"/>
      <c r="E101906"/>
      <c r="F101906"/>
    </row>
    <row r="101907" spans="1:6" x14ac:dyDescent="0.25">
      <c r="A101907"/>
      <c r="B101907"/>
      <c r="C101907"/>
      <c r="E101907"/>
      <c r="F101907"/>
    </row>
    <row r="101908" spans="1:6" x14ac:dyDescent="0.25">
      <c r="A101908"/>
      <c r="B101908"/>
      <c r="C101908"/>
      <c r="E101908"/>
      <c r="F101908"/>
    </row>
    <row r="101909" spans="1:6" x14ac:dyDescent="0.25">
      <c r="A101909"/>
      <c r="B101909"/>
      <c r="C101909"/>
      <c r="E101909"/>
      <c r="F101909"/>
    </row>
    <row r="101910" spans="1:6" x14ac:dyDescent="0.25">
      <c r="A101910"/>
      <c r="B101910"/>
      <c r="C101910"/>
      <c r="E101910"/>
      <c r="F101910"/>
    </row>
    <row r="101911" spans="1:6" x14ac:dyDescent="0.25">
      <c r="A101911"/>
      <c r="B101911"/>
      <c r="C101911"/>
      <c r="E101911"/>
      <c r="F101911"/>
    </row>
    <row r="101912" spans="1:6" x14ac:dyDescent="0.25">
      <c r="A101912"/>
      <c r="B101912"/>
      <c r="C101912"/>
      <c r="E101912"/>
      <c r="F101912"/>
    </row>
    <row r="101913" spans="1:6" x14ac:dyDescent="0.25">
      <c r="A101913"/>
      <c r="B101913"/>
      <c r="C101913"/>
      <c r="E101913"/>
      <c r="F101913"/>
    </row>
    <row r="101914" spans="1:6" x14ac:dyDescent="0.25">
      <c r="A101914"/>
      <c r="B101914"/>
      <c r="C101914"/>
      <c r="E101914"/>
      <c r="F101914"/>
    </row>
    <row r="101915" spans="1:6" x14ac:dyDescent="0.25">
      <c r="A101915"/>
      <c r="B101915"/>
      <c r="C101915"/>
      <c r="E101915"/>
      <c r="F101915"/>
    </row>
    <row r="101916" spans="1:6" x14ac:dyDescent="0.25">
      <c r="A101916"/>
      <c r="B101916"/>
      <c r="C101916"/>
      <c r="E101916"/>
      <c r="F101916"/>
    </row>
    <row r="101917" spans="1:6" x14ac:dyDescent="0.25">
      <c r="A101917"/>
      <c r="B101917"/>
      <c r="C101917"/>
      <c r="E101917"/>
      <c r="F101917"/>
    </row>
    <row r="101918" spans="1:6" x14ac:dyDescent="0.25">
      <c r="A101918"/>
      <c r="B101918"/>
      <c r="C101918"/>
      <c r="E101918"/>
      <c r="F101918"/>
    </row>
    <row r="101919" spans="1:6" x14ac:dyDescent="0.25">
      <c r="A101919"/>
      <c r="B101919"/>
      <c r="C101919"/>
      <c r="E101919"/>
      <c r="F101919"/>
    </row>
    <row r="101920" spans="1:6" x14ac:dyDescent="0.25">
      <c r="A101920"/>
      <c r="B101920"/>
      <c r="C101920"/>
      <c r="E101920"/>
      <c r="F101920"/>
    </row>
    <row r="101921" spans="1:6" x14ac:dyDescent="0.25">
      <c r="A101921"/>
      <c r="B101921"/>
      <c r="C101921"/>
      <c r="E101921"/>
      <c r="F101921"/>
    </row>
    <row r="101922" spans="1:6" x14ac:dyDescent="0.25">
      <c r="A101922"/>
      <c r="B101922"/>
      <c r="C101922"/>
      <c r="E101922"/>
      <c r="F101922"/>
    </row>
    <row r="101923" spans="1:6" x14ac:dyDescent="0.25">
      <c r="A101923"/>
      <c r="B101923"/>
      <c r="C101923"/>
      <c r="E101923"/>
      <c r="F101923"/>
    </row>
    <row r="101924" spans="1:6" x14ac:dyDescent="0.25">
      <c r="A101924"/>
      <c r="B101924"/>
      <c r="C101924"/>
      <c r="E101924"/>
      <c r="F101924"/>
    </row>
    <row r="101925" spans="1:6" x14ac:dyDescent="0.25">
      <c r="A101925"/>
      <c r="B101925"/>
      <c r="C101925"/>
      <c r="E101925"/>
      <c r="F101925"/>
    </row>
    <row r="101926" spans="1:6" x14ac:dyDescent="0.25">
      <c r="A101926"/>
      <c r="B101926"/>
      <c r="C101926"/>
      <c r="E101926"/>
      <c r="F101926"/>
    </row>
    <row r="101927" spans="1:6" x14ac:dyDescent="0.25">
      <c r="A101927"/>
      <c r="B101927"/>
      <c r="C101927"/>
      <c r="E101927"/>
      <c r="F101927"/>
    </row>
    <row r="101928" spans="1:6" x14ac:dyDescent="0.25">
      <c r="A101928"/>
      <c r="B101928"/>
      <c r="C101928"/>
      <c r="E101928"/>
      <c r="F101928"/>
    </row>
    <row r="101929" spans="1:6" x14ac:dyDescent="0.25">
      <c r="A101929"/>
      <c r="B101929"/>
      <c r="C101929"/>
      <c r="E101929"/>
      <c r="F101929"/>
    </row>
    <row r="101930" spans="1:6" x14ac:dyDescent="0.25">
      <c r="A101930"/>
      <c r="B101930"/>
      <c r="C101930"/>
      <c r="E101930"/>
      <c r="F101930"/>
    </row>
    <row r="101931" spans="1:6" x14ac:dyDescent="0.25">
      <c r="A101931"/>
      <c r="B101931"/>
      <c r="C101931"/>
      <c r="E101931"/>
      <c r="F101931"/>
    </row>
    <row r="101932" spans="1:6" x14ac:dyDescent="0.25">
      <c r="A101932"/>
      <c r="B101932"/>
      <c r="C101932"/>
      <c r="E101932"/>
      <c r="F101932"/>
    </row>
    <row r="101933" spans="1:6" x14ac:dyDescent="0.25">
      <c r="A101933"/>
      <c r="B101933"/>
      <c r="C101933"/>
      <c r="E101933"/>
      <c r="F101933"/>
    </row>
    <row r="101934" spans="1:6" x14ac:dyDescent="0.25">
      <c r="A101934"/>
      <c r="B101934"/>
      <c r="C101934"/>
      <c r="E101934"/>
      <c r="F101934"/>
    </row>
    <row r="101935" spans="1:6" x14ac:dyDescent="0.25">
      <c r="A101935"/>
      <c r="B101935"/>
      <c r="C101935"/>
      <c r="E101935"/>
      <c r="F101935"/>
    </row>
    <row r="101936" spans="1:6" x14ac:dyDescent="0.25">
      <c r="A101936"/>
      <c r="B101936"/>
      <c r="C101936"/>
      <c r="E101936"/>
      <c r="F101936"/>
    </row>
    <row r="101937" spans="1:6" x14ac:dyDescent="0.25">
      <c r="A101937"/>
      <c r="B101937"/>
      <c r="C101937"/>
      <c r="E101937"/>
      <c r="F101937"/>
    </row>
    <row r="101938" spans="1:6" x14ac:dyDescent="0.25">
      <c r="A101938"/>
      <c r="B101938"/>
      <c r="C101938"/>
      <c r="E101938"/>
      <c r="F101938"/>
    </row>
    <row r="101939" spans="1:6" x14ac:dyDescent="0.25">
      <c r="A101939"/>
      <c r="B101939"/>
      <c r="C101939"/>
      <c r="E101939"/>
      <c r="F101939"/>
    </row>
    <row r="101940" spans="1:6" x14ac:dyDescent="0.25">
      <c r="A101940"/>
      <c r="B101940"/>
      <c r="C101940"/>
      <c r="E101940"/>
      <c r="F101940"/>
    </row>
    <row r="101941" spans="1:6" x14ac:dyDescent="0.25">
      <c r="A101941"/>
      <c r="B101941"/>
      <c r="C101941"/>
      <c r="E101941"/>
      <c r="F101941"/>
    </row>
    <row r="101942" spans="1:6" x14ac:dyDescent="0.25">
      <c r="A101942"/>
      <c r="B101942"/>
      <c r="C101942"/>
      <c r="E101942"/>
      <c r="F101942"/>
    </row>
    <row r="101943" spans="1:6" x14ac:dyDescent="0.25">
      <c r="A101943"/>
      <c r="B101943"/>
      <c r="C101943"/>
      <c r="E101943"/>
      <c r="F101943"/>
    </row>
    <row r="101944" spans="1:6" x14ac:dyDescent="0.25">
      <c r="A101944"/>
      <c r="B101944"/>
      <c r="C101944"/>
      <c r="E101944"/>
      <c r="F101944"/>
    </row>
    <row r="101945" spans="1:6" x14ac:dyDescent="0.25">
      <c r="A101945"/>
      <c r="B101945"/>
      <c r="C101945"/>
      <c r="E101945"/>
      <c r="F101945"/>
    </row>
    <row r="101946" spans="1:6" x14ac:dyDescent="0.25">
      <c r="A101946"/>
      <c r="B101946"/>
      <c r="C101946"/>
      <c r="E101946"/>
      <c r="F101946"/>
    </row>
    <row r="101947" spans="1:6" x14ac:dyDescent="0.25">
      <c r="A101947"/>
      <c r="B101947"/>
      <c r="C101947"/>
      <c r="E101947"/>
      <c r="F101947"/>
    </row>
    <row r="101948" spans="1:6" x14ac:dyDescent="0.25">
      <c r="A101948"/>
      <c r="B101948"/>
      <c r="C101948"/>
      <c r="E101948"/>
      <c r="F101948"/>
    </row>
    <row r="101949" spans="1:6" x14ac:dyDescent="0.25">
      <c r="A101949"/>
      <c r="B101949"/>
      <c r="C101949"/>
      <c r="E101949"/>
      <c r="F101949"/>
    </row>
    <row r="101950" spans="1:6" x14ac:dyDescent="0.25">
      <c r="A101950"/>
      <c r="B101950"/>
      <c r="C101950"/>
      <c r="E101950"/>
      <c r="F101950"/>
    </row>
    <row r="101951" spans="1:6" x14ac:dyDescent="0.25">
      <c r="A101951"/>
      <c r="B101951"/>
      <c r="C101951"/>
      <c r="E101951"/>
      <c r="F101951"/>
    </row>
    <row r="101952" spans="1:6" x14ac:dyDescent="0.25">
      <c r="A101952"/>
      <c r="B101952"/>
      <c r="C101952"/>
      <c r="E101952"/>
      <c r="F101952"/>
    </row>
    <row r="101953" spans="1:6" x14ac:dyDescent="0.25">
      <c r="A101953"/>
      <c r="B101953"/>
      <c r="C101953"/>
      <c r="E101953"/>
      <c r="F101953"/>
    </row>
    <row r="101954" spans="1:6" x14ac:dyDescent="0.25">
      <c r="A101954"/>
      <c r="B101954"/>
      <c r="C101954"/>
      <c r="E101954"/>
      <c r="F101954"/>
    </row>
    <row r="101955" spans="1:6" x14ac:dyDescent="0.25">
      <c r="A101955"/>
      <c r="B101955"/>
      <c r="C101955"/>
      <c r="E101955"/>
      <c r="F101955"/>
    </row>
    <row r="101956" spans="1:6" x14ac:dyDescent="0.25">
      <c r="A101956"/>
      <c r="B101956"/>
      <c r="C101956"/>
      <c r="E101956"/>
      <c r="F101956"/>
    </row>
    <row r="101957" spans="1:6" x14ac:dyDescent="0.25">
      <c r="A101957"/>
      <c r="B101957"/>
      <c r="C101957"/>
      <c r="E101957"/>
      <c r="F101957"/>
    </row>
    <row r="101958" spans="1:6" x14ac:dyDescent="0.25">
      <c r="A101958"/>
      <c r="B101958"/>
      <c r="C101958"/>
      <c r="E101958"/>
      <c r="F101958"/>
    </row>
    <row r="101959" spans="1:6" x14ac:dyDescent="0.25">
      <c r="A101959"/>
      <c r="B101959"/>
      <c r="C101959"/>
      <c r="E101959"/>
      <c r="F101959"/>
    </row>
    <row r="101960" spans="1:6" x14ac:dyDescent="0.25">
      <c r="A101960"/>
      <c r="B101960"/>
      <c r="C101960"/>
      <c r="E101960"/>
      <c r="F101960"/>
    </row>
    <row r="101961" spans="1:6" x14ac:dyDescent="0.25">
      <c r="A101961"/>
      <c r="B101961"/>
      <c r="C101961"/>
      <c r="E101961"/>
      <c r="F101961"/>
    </row>
    <row r="101962" spans="1:6" x14ac:dyDescent="0.25">
      <c r="A101962"/>
      <c r="B101962"/>
      <c r="C101962"/>
      <c r="E101962"/>
      <c r="F101962"/>
    </row>
    <row r="101963" spans="1:6" x14ac:dyDescent="0.25">
      <c r="A101963"/>
      <c r="B101963"/>
      <c r="C101963"/>
      <c r="E101963"/>
      <c r="F101963"/>
    </row>
    <row r="101964" spans="1:6" x14ac:dyDescent="0.25">
      <c r="A101964"/>
      <c r="B101964"/>
      <c r="C101964"/>
      <c r="E101964"/>
      <c r="F101964"/>
    </row>
    <row r="101965" spans="1:6" x14ac:dyDescent="0.25">
      <c r="A101965"/>
      <c r="B101965"/>
      <c r="C101965"/>
      <c r="E101965"/>
      <c r="F101965"/>
    </row>
    <row r="101966" spans="1:6" x14ac:dyDescent="0.25">
      <c r="A101966"/>
      <c r="B101966"/>
      <c r="C101966"/>
      <c r="E101966"/>
      <c r="F101966"/>
    </row>
    <row r="101967" spans="1:6" x14ac:dyDescent="0.25">
      <c r="A101967"/>
      <c r="B101967"/>
      <c r="C101967"/>
      <c r="E101967"/>
      <c r="F101967"/>
    </row>
    <row r="101968" spans="1:6" x14ac:dyDescent="0.25">
      <c r="A101968"/>
      <c r="B101968"/>
      <c r="C101968"/>
      <c r="E101968"/>
      <c r="F101968"/>
    </row>
    <row r="101969" spans="1:6" x14ac:dyDescent="0.25">
      <c r="A101969"/>
      <c r="B101969"/>
      <c r="C101969"/>
      <c r="E101969"/>
      <c r="F101969"/>
    </row>
    <row r="101970" spans="1:6" x14ac:dyDescent="0.25">
      <c r="A101970"/>
      <c r="B101970"/>
      <c r="C101970"/>
      <c r="E101970"/>
      <c r="F101970"/>
    </row>
    <row r="101971" spans="1:6" x14ac:dyDescent="0.25">
      <c r="A101971"/>
      <c r="B101971"/>
      <c r="C101971"/>
      <c r="E101971"/>
      <c r="F101971"/>
    </row>
    <row r="101972" spans="1:6" x14ac:dyDescent="0.25">
      <c r="A101972"/>
      <c r="B101972"/>
      <c r="C101972"/>
      <c r="E101972"/>
      <c r="F101972"/>
    </row>
    <row r="101973" spans="1:6" x14ac:dyDescent="0.25">
      <c r="A101973"/>
      <c r="B101973"/>
      <c r="C101973"/>
      <c r="E101973"/>
      <c r="F101973"/>
    </row>
    <row r="101974" spans="1:6" x14ac:dyDescent="0.25">
      <c r="A101974"/>
      <c r="B101974"/>
      <c r="C101974"/>
      <c r="E101974"/>
      <c r="F101974"/>
    </row>
    <row r="101975" spans="1:6" x14ac:dyDescent="0.25">
      <c r="A101975"/>
      <c r="B101975"/>
      <c r="C101975"/>
      <c r="E101975"/>
      <c r="F101975"/>
    </row>
    <row r="101976" spans="1:6" x14ac:dyDescent="0.25">
      <c r="A101976"/>
      <c r="B101976"/>
      <c r="C101976"/>
      <c r="E101976"/>
      <c r="F101976"/>
    </row>
    <row r="101977" spans="1:6" x14ac:dyDescent="0.25">
      <c r="A101977"/>
      <c r="B101977"/>
      <c r="C101977"/>
      <c r="E101977"/>
      <c r="F101977"/>
    </row>
    <row r="101978" spans="1:6" x14ac:dyDescent="0.25">
      <c r="A101978"/>
      <c r="B101978"/>
      <c r="C101978"/>
      <c r="E101978"/>
      <c r="F101978"/>
    </row>
    <row r="101979" spans="1:6" x14ac:dyDescent="0.25">
      <c r="A101979"/>
      <c r="B101979"/>
      <c r="C101979"/>
      <c r="E101979"/>
      <c r="F101979"/>
    </row>
    <row r="101980" spans="1:6" x14ac:dyDescent="0.25">
      <c r="A101980"/>
      <c r="B101980"/>
      <c r="C101980"/>
      <c r="E101980"/>
      <c r="F101980"/>
    </row>
    <row r="101981" spans="1:6" x14ac:dyDescent="0.25">
      <c r="A101981"/>
      <c r="B101981"/>
      <c r="C101981"/>
      <c r="E101981"/>
      <c r="F101981"/>
    </row>
    <row r="101982" spans="1:6" x14ac:dyDescent="0.25">
      <c r="A101982"/>
      <c r="B101982"/>
      <c r="C101982"/>
      <c r="E101982"/>
      <c r="F101982"/>
    </row>
    <row r="101983" spans="1:6" x14ac:dyDescent="0.25">
      <c r="A101983"/>
      <c r="B101983"/>
      <c r="C101983"/>
      <c r="E101983"/>
      <c r="F101983"/>
    </row>
    <row r="101984" spans="1:6" x14ac:dyDescent="0.25">
      <c r="A101984"/>
      <c r="B101984"/>
      <c r="C101984"/>
      <c r="E101984"/>
      <c r="F101984"/>
    </row>
    <row r="101985" spans="1:6" x14ac:dyDescent="0.25">
      <c r="A101985"/>
      <c r="B101985"/>
      <c r="C101985"/>
      <c r="E101985"/>
      <c r="F101985"/>
    </row>
    <row r="101986" spans="1:6" x14ac:dyDescent="0.25">
      <c r="A101986"/>
      <c r="B101986"/>
      <c r="C101986"/>
      <c r="E101986"/>
      <c r="F101986"/>
    </row>
    <row r="101987" spans="1:6" x14ac:dyDescent="0.25">
      <c r="A101987"/>
      <c r="B101987"/>
      <c r="C101987"/>
      <c r="E101987"/>
      <c r="F101987"/>
    </row>
    <row r="101988" spans="1:6" x14ac:dyDescent="0.25">
      <c r="A101988"/>
      <c r="B101988"/>
      <c r="C101988"/>
      <c r="E101988"/>
      <c r="F101988"/>
    </row>
    <row r="101989" spans="1:6" x14ac:dyDescent="0.25">
      <c r="A101989"/>
      <c r="B101989"/>
      <c r="C101989"/>
      <c r="E101989"/>
      <c r="F101989"/>
    </row>
    <row r="101990" spans="1:6" x14ac:dyDescent="0.25">
      <c r="A101990"/>
      <c r="B101990"/>
      <c r="C101990"/>
      <c r="E101990"/>
      <c r="F101990"/>
    </row>
    <row r="101991" spans="1:6" x14ac:dyDescent="0.25">
      <c r="A101991"/>
      <c r="B101991"/>
      <c r="C101991"/>
      <c r="E101991"/>
      <c r="F101991"/>
    </row>
    <row r="101992" spans="1:6" x14ac:dyDescent="0.25">
      <c r="A101992"/>
      <c r="B101992"/>
      <c r="C101992"/>
      <c r="E101992"/>
      <c r="F101992"/>
    </row>
    <row r="101993" spans="1:6" x14ac:dyDescent="0.25">
      <c r="A101993"/>
      <c r="B101993"/>
      <c r="C101993"/>
      <c r="E101993"/>
      <c r="F101993"/>
    </row>
    <row r="101994" spans="1:6" x14ac:dyDescent="0.25">
      <c r="A101994"/>
      <c r="B101994"/>
      <c r="C101994"/>
      <c r="E101994"/>
      <c r="F101994"/>
    </row>
    <row r="101995" spans="1:6" x14ac:dyDescent="0.25">
      <c r="A101995"/>
      <c r="B101995"/>
      <c r="C101995"/>
      <c r="E101995"/>
      <c r="F101995"/>
    </row>
    <row r="101996" spans="1:6" x14ac:dyDescent="0.25">
      <c r="A101996"/>
      <c r="B101996"/>
      <c r="C101996"/>
      <c r="E101996"/>
      <c r="F101996"/>
    </row>
    <row r="101997" spans="1:6" x14ac:dyDescent="0.25">
      <c r="A101997"/>
      <c r="B101997"/>
      <c r="C101997"/>
      <c r="E101997"/>
      <c r="F101997"/>
    </row>
    <row r="101998" spans="1:6" x14ac:dyDescent="0.25">
      <c r="A101998"/>
      <c r="B101998"/>
      <c r="C101998"/>
      <c r="E101998"/>
      <c r="F101998"/>
    </row>
    <row r="101999" spans="1:6" x14ac:dyDescent="0.25">
      <c r="A101999"/>
      <c r="B101999"/>
      <c r="C101999"/>
      <c r="E101999"/>
      <c r="F101999"/>
    </row>
    <row r="102000" spans="1:6" x14ac:dyDescent="0.25">
      <c r="A102000"/>
      <c r="B102000"/>
      <c r="C102000"/>
      <c r="E102000"/>
      <c r="F102000"/>
    </row>
    <row r="102001" spans="1:6" x14ac:dyDescent="0.25">
      <c r="A102001"/>
      <c r="B102001"/>
      <c r="C102001"/>
      <c r="E102001"/>
      <c r="F102001"/>
    </row>
    <row r="102002" spans="1:6" x14ac:dyDescent="0.25">
      <c r="A102002"/>
      <c r="B102002"/>
      <c r="C102002"/>
      <c r="E102002"/>
      <c r="F102002"/>
    </row>
    <row r="102003" spans="1:6" x14ac:dyDescent="0.25">
      <c r="A102003"/>
      <c r="B102003"/>
      <c r="C102003"/>
      <c r="E102003"/>
      <c r="F102003"/>
    </row>
    <row r="102004" spans="1:6" x14ac:dyDescent="0.25">
      <c r="A102004"/>
      <c r="B102004"/>
      <c r="C102004"/>
      <c r="E102004"/>
      <c r="F102004"/>
    </row>
    <row r="102005" spans="1:6" x14ac:dyDescent="0.25">
      <c r="A102005"/>
      <c r="B102005"/>
      <c r="C102005"/>
      <c r="E102005"/>
      <c r="F102005"/>
    </row>
    <row r="102006" spans="1:6" x14ac:dyDescent="0.25">
      <c r="A102006"/>
      <c r="B102006"/>
      <c r="C102006"/>
      <c r="E102006"/>
      <c r="F102006"/>
    </row>
    <row r="102007" spans="1:6" x14ac:dyDescent="0.25">
      <c r="A102007"/>
      <c r="B102007"/>
      <c r="C102007"/>
      <c r="E102007"/>
      <c r="F102007"/>
    </row>
    <row r="102008" spans="1:6" x14ac:dyDescent="0.25">
      <c r="A102008"/>
      <c r="B102008"/>
      <c r="C102008"/>
      <c r="E102008"/>
      <c r="F102008"/>
    </row>
    <row r="102009" spans="1:6" x14ac:dyDescent="0.25">
      <c r="A102009"/>
      <c r="B102009"/>
      <c r="C102009"/>
      <c r="E102009"/>
      <c r="F102009"/>
    </row>
    <row r="102010" spans="1:6" x14ac:dyDescent="0.25">
      <c r="A102010"/>
      <c r="B102010"/>
      <c r="C102010"/>
      <c r="E102010"/>
      <c r="F102010"/>
    </row>
    <row r="102011" spans="1:6" x14ac:dyDescent="0.25">
      <c r="A102011"/>
      <c r="B102011"/>
      <c r="C102011"/>
      <c r="E102011"/>
      <c r="F102011"/>
    </row>
    <row r="102012" spans="1:6" x14ac:dyDescent="0.25">
      <c r="A102012"/>
      <c r="B102012"/>
      <c r="C102012"/>
      <c r="E102012"/>
      <c r="F102012"/>
    </row>
    <row r="102013" spans="1:6" x14ac:dyDescent="0.25">
      <c r="A102013"/>
      <c r="B102013"/>
      <c r="C102013"/>
      <c r="E102013"/>
      <c r="F102013"/>
    </row>
    <row r="102014" spans="1:6" x14ac:dyDescent="0.25">
      <c r="A102014"/>
      <c r="B102014"/>
      <c r="C102014"/>
      <c r="E102014"/>
      <c r="F102014"/>
    </row>
    <row r="102015" spans="1:6" x14ac:dyDescent="0.25">
      <c r="A102015"/>
      <c r="B102015"/>
      <c r="C102015"/>
      <c r="E102015"/>
      <c r="F102015"/>
    </row>
    <row r="102016" spans="1:6" x14ac:dyDescent="0.25">
      <c r="A102016"/>
      <c r="B102016"/>
      <c r="C102016"/>
      <c r="E102016"/>
      <c r="F102016"/>
    </row>
    <row r="102017" spans="1:6" x14ac:dyDescent="0.25">
      <c r="A102017"/>
      <c r="B102017"/>
      <c r="C102017"/>
      <c r="E102017"/>
      <c r="F102017"/>
    </row>
    <row r="102018" spans="1:6" x14ac:dyDescent="0.25">
      <c r="A102018"/>
      <c r="B102018"/>
      <c r="C102018"/>
      <c r="E102018"/>
      <c r="F102018"/>
    </row>
    <row r="102019" spans="1:6" x14ac:dyDescent="0.25">
      <c r="A102019"/>
      <c r="B102019"/>
      <c r="C102019"/>
      <c r="E102019"/>
      <c r="F102019"/>
    </row>
    <row r="102020" spans="1:6" x14ac:dyDescent="0.25">
      <c r="A102020"/>
      <c r="B102020"/>
      <c r="C102020"/>
      <c r="E102020"/>
      <c r="F102020"/>
    </row>
    <row r="102021" spans="1:6" x14ac:dyDescent="0.25">
      <c r="A102021"/>
      <c r="B102021"/>
      <c r="C102021"/>
      <c r="E102021"/>
      <c r="F102021"/>
    </row>
    <row r="102022" spans="1:6" x14ac:dyDescent="0.25">
      <c r="A102022"/>
      <c r="B102022"/>
      <c r="C102022"/>
      <c r="E102022"/>
      <c r="F102022"/>
    </row>
    <row r="102023" spans="1:6" x14ac:dyDescent="0.25">
      <c r="A102023"/>
      <c r="B102023"/>
      <c r="C102023"/>
      <c r="E102023"/>
      <c r="F102023"/>
    </row>
    <row r="102024" spans="1:6" x14ac:dyDescent="0.25">
      <c r="A102024"/>
      <c r="B102024"/>
      <c r="C102024"/>
      <c r="E102024"/>
      <c r="F102024"/>
    </row>
    <row r="102025" spans="1:6" x14ac:dyDescent="0.25">
      <c r="A102025"/>
      <c r="B102025"/>
      <c r="C102025"/>
      <c r="E102025"/>
      <c r="F102025"/>
    </row>
    <row r="102026" spans="1:6" x14ac:dyDescent="0.25">
      <c r="A102026"/>
      <c r="B102026"/>
      <c r="C102026"/>
      <c r="E102026"/>
      <c r="F102026"/>
    </row>
    <row r="102027" spans="1:6" x14ac:dyDescent="0.25">
      <c r="A102027"/>
      <c r="B102027"/>
      <c r="C102027"/>
      <c r="E102027"/>
      <c r="F102027"/>
    </row>
    <row r="102028" spans="1:6" x14ac:dyDescent="0.25">
      <c r="A102028"/>
      <c r="B102028"/>
      <c r="C102028"/>
      <c r="E102028"/>
      <c r="F102028"/>
    </row>
    <row r="102029" spans="1:6" x14ac:dyDescent="0.25">
      <c r="A102029"/>
      <c r="B102029"/>
      <c r="C102029"/>
      <c r="E102029"/>
      <c r="F102029"/>
    </row>
    <row r="102030" spans="1:6" x14ac:dyDescent="0.25">
      <c r="A102030"/>
      <c r="B102030"/>
      <c r="C102030"/>
      <c r="E102030"/>
      <c r="F102030"/>
    </row>
    <row r="102031" spans="1:6" x14ac:dyDescent="0.25">
      <c r="A102031"/>
      <c r="B102031"/>
      <c r="C102031"/>
      <c r="E102031"/>
      <c r="F102031"/>
    </row>
    <row r="102032" spans="1:6" x14ac:dyDescent="0.25">
      <c r="A102032"/>
      <c r="B102032"/>
      <c r="C102032"/>
      <c r="E102032"/>
      <c r="F102032"/>
    </row>
    <row r="102033" spans="1:6" x14ac:dyDescent="0.25">
      <c r="A102033"/>
      <c r="B102033"/>
      <c r="C102033"/>
      <c r="E102033"/>
      <c r="F102033"/>
    </row>
    <row r="102034" spans="1:6" x14ac:dyDescent="0.25">
      <c r="A102034"/>
      <c r="B102034"/>
      <c r="C102034"/>
      <c r="E102034"/>
      <c r="F102034"/>
    </row>
    <row r="102035" spans="1:6" x14ac:dyDescent="0.25">
      <c r="A102035"/>
      <c r="B102035"/>
      <c r="C102035"/>
      <c r="E102035"/>
      <c r="F102035"/>
    </row>
    <row r="102036" spans="1:6" x14ac:dyDescent="0.25">
      <c r="A102036"/>
      <c r="B102036"/>
      <c r="C102036"/>
      <c r="E102036"/>
      <c r="F102036"/>
    </row>
    <row r="102037" spans="1:6" x14ac:dyDescent="0.25">
      <c r="A102037"/>
      <c r="B102037"/>
      <c r="C102037"/>
      <c r="E102037"/>
      <c r="F102037"/>
    </row>
    <row r="102038" spans="1:6" x14ac:dyDescent="0.25">
      <c r="A102038"/>
      <c r="B102038"/>
      <c r="C102038"/>
      <c r="E102038"/>
      <c r="F102038"/>
    </row>
    <row r="102039" spans="1:6" x14ac:dyDescent="0.25">
      <c r="A102039"/>
      <c r="B102039"/>
      <c r="C102039"/>
      <c r="E102039"/>
      <c r="F102039"/>
    </row>
    <row r="102040" spans="1:6" x14ac:dyDescent="0.25">
      <c r="A102040"/>
      <c r="B102040"/>
      <c r="C102040"/>
      <c r="E102040"/>
      <c r="F102040"/>
    </row>
    <row r="102041" spans="1:6" x14ac:dyDescent="0.25">
      <c r="A102041"/>
      <c r="B102041"/>
      <c r="C102041"/>
      <c r="E102041"/>
      <c r="F102041"/>
    </row>
    <row r="102042" spans="1:6" x14ac:dyDescent="0.25">
      <c r="A102042"/>
      <c r="B102042"/>
      <c r="C102042"/>
      <c r="E102042"/>
      <c r="F102042"/>
    </row>
    <row r="102043" spans="1:6" x14ac:dyDescent="0.25">
      <c r="A102043"/>
      <c r="B102043"/>
      <c r="C102043"/>
      <c r="E102043"/>
      <c r="F102043"/>
    </row>
    <row r="102044" spans="1:6" x14ac:dyDescent="0.25">
      <c r="A102044"/>
      <c r="B102044"/>
      <c r="C102044"/>
      <c r="E102044"/>
      <c r="F102044"/>
    </row>
    <row r="102045" spans="1:6" x14ac:dyDescent="0.25">
      <c r="A102045"/>
      <c r="B102045"/>
      <c r="C102045"/>
      <c r="E102045"/>
      <c r="F102045"/>
    </row>
    <row r="102046" spans="1:6" x14ac:dyDescent="0.25">
      <c r="A102046"/>
      <c r="B102046"/>
      <c r="C102046"/>
      <c r="E102046"/>
      <c r="F102046"/>
    </row>
    <row r="102047" spans="1:6" x14ac:dyDescent="0.25">
      <c r="A102047"/>
      <c r="B102047"/>
      <c r="C102047"/>
      <c r="E102047"/>
      <c r="F102047"/>
    </row>
    <row r="102048" spans="1:6" x14ac:dyDescent="0.25">
      <c r="A102048"/>
      <c r="B102048"/>
      <c r="C102048"/>
      <c r="E102048"/>
      <c r="F102048"/>
    </row>
    <row r="102049" spans="1:6" x14ac:dyDescent="0.25">
      <c r="A102049"/>
      <c r="B102049"/>
      <c r="C102049"/>
      <c r="E102049"/>
      <c r="F102049"/>
    </row>
    <row r="102050" spans="1:6" x14ac:dyDescent="0.25">
      <c r="A102050"/>
      <c r="B102050"/>
      <c r="C102050"/>
      <c r="E102050"/>
      <c r="F102050"/>
    </row>
    <row r="102051" spans="1:6" x14ac:dyDescent="0.25">
      <c r="A102051"/>
      <c r="B102051"/>
      <c r="C102051"/>
      <c r="E102051"/>
      <c r="F102051"/>
    </row>
    <row r="102052" spans="1:6" x14ac:dyDescent="0.25">
      <c r="A102052"/>
      <c r="B102052"/>
      <c r="C102052"/>
      <c r="E102052"/>
      <c r="F102052"/>
    </row>
    <row r="102053" spans="1:6" x14ac:dyDescent="0.25">
      <c r="A102053"/>
      <c r="B102053"/>
      <c r="C102053"/>
      <c r="E102053"/>
      <c r="F102053"/>
    </row>
    <row r="102054" spans="1:6" x14ac:dyDescent="0.25">
      <c r="A102054"/>
      <c r="B102054"/>
      <c r="C102054"/>
      <c r="E102054"/>
      <c r="F102054"/>
    </row>
    <row r="102055" spans="1:6" x14ac:dyDescent="0.25">
      <c r="A102055"/>
      <c r="B102055"/>
      <c r="C102055"/>
      <c r="E102055"/>
      <c r="F102055"/>
    </row>
    <row r="102056" spans="1:6" x14ac:dyDescent="0.25">
      <c r="A102056"/>
      <c r="B102056"/>
      <c r="C102056"/>
      <c r="E102056"/>
      <c r="F102056"/>
    </row>
    <row r="102057" spans="1:6" x14ac:dyDescent="0.25">
      <c r="A102057"/>
      <c r="B102057"/>
      <c r="C102057"/>
      <c r="E102057"/>
      <c r="F102057"/>
    </row>
    <row r="102058" spans="1:6" x14ac:dyDescent="0.25">
      <c r="A102058"/>
      <c r="B102058"/>
      <c r="C102058"/>
      <c r="E102058"/>
      <c r="F102058"/>
    </row>
    <row r="102059" spans="1:6" x14ac:dyDescent="0.25">
      <c r="A102059"/>
      <c r="B102059"/>
      <c r="C102059"/>
      <c r="E102059"/>
      <c r="F102059"/>
    </row>
    <row r="102060" spans="1:6" x14ac:dyDescent="0.25">
      <c r="A102060"/>
      <c r="B102060"/>
      <c r="C102060"/>
      <c r="E102060"/>
      <c r="F102060"/>
    </row>
    <row r="102061" spans="1:6" x14ac:dyDescent="0.25">
      <c r="A102061"/>
      <c r="B102061"/>
      <c r="C102061"/>
      <c r="E102061"/>
      <c r="F102061"/>
    </row>
    <row r="102062" spans="1:6" x14ac:dyDescent="0.25">
      <c r="A102062"/>
      <c r="B102062"/>
      <c r="C102062"/>
      <c r="E102062"/>
      <c r="F102062"/>
    </row>
    <row r="102063" spans="1:6" x14ac:dyDescent="0.25">
      <c r="A102063"/>
      <c r="B102063"/>
      <c r="C102063"/>
      <c r="E102063"/>
      <c r="F102063"/>
    </row>
    <row r="102064" spans="1:6" x14ac:dyDescent="0.25">
      <c r="A102064"/>
      <c r="B102064"/>
      <c r="C102064"/>
      <c r="E102064"/>
      <c r="F102064"/>
    </row>
    <row r="102065" spans="1:6" x14ac:dyDescent="0.25">
      <c r="A102065"/>
      <c r="B102065"/>
      <c r="C102065"/>
      <c r="E102065"/>
      <c r="F102065"/>
    </row>
    <row r="102066" spans="1:6" x14ac:dyDescent="0.25">
      <c r="A102066"/>
      <c r="B102066"/>
      <c r="C102066"/>
      <c r="E102066"/>
      <c r="F102066"/>
    </row>
    <row r="102067" spans="1:6" x14ac:dyDescent="0.25">
      <c r="A102067"/>
      <c r="B102067"/>
      <c r="C102067"/>
      <c r="E102067"/>
      <c r="F102067"/>
    </row>
    <row r="102068" spans="1:6" x14ac:dyDescent="0.25">
      <c r="A102068"/>
      <c r="B102068"/>
      <c r="C102068"/>
      <c r="E102068"/>
      <c r="F102068"/>
    </row>
    <row r="102069" spans="1:6" x14ac:dyDescent="0.25">
      <c r="A102069"/>
      <c r="B102069"/>
      <c r="C102069"/>
      <c r="E102069"/>
      <c r="F102069"/>
    </row>
    <row r="102070" spans="1:6" x14ac:dyDescent="0.25">
      <c r="A102070"/>
      <c r="B102070"/>
      <c r="C102070"/>
      <c r="E102070"/>
      <c r="F102070"/>
    </row>
    <row r="102071" spans="1:6" x14ac:dyDescent="0.25">
      <c r="A102071"/>
      <c r="B102071"/>
      <c r="C102071"/>
      <c r="E102071"/>
      <c r="F102071"/>
    </row>
    <row r="102072" spans="1:6" x14ac:dyDescent="0.25">
      <c r="A102072"/>
      <c r="B102072"/>
      <c r="C102072"/>
      <c r="E102072"/>
      <c r="F102072"/>
    </row>
    <row r="102073" spans="1:6" x14ac:dyDescent="0.25">
      <c r="A102073"/>
      <c r="B102073"/>
      <c r="C102073"/>
      <c r="E102073"/>
      <c r="F102073"/>
    </row>
    <row r="102074" spans="1:6" x14ac:dyDescent="0.25">
      <c r="A102074"/>
      <c r="B102074"/>
      <c r="C102074"/>
      <c r="E102074"/>
      <c r="F102074"/>
    </row>
    <row r="102075" spans="1:6" x14ac:dyDescent="0.25">
      <c r="A102075"/>
      <c r="B102075"/>
      <c r="C102075"/>
      <c r="E102075"/>
      <c r="F102075"/>
    </row>
    <row r="102076" spans="1:6" x14ac:dyDescent="0.25">
      <c r="A102076"/>
      <c r="B102076"/>
      <c r="C102076"/>
      <c r="E102076"/>
      <c r="F102076"/>
    </row>
    <row r="102077" spans="1:6" x14ac:dyDescent="0.25">
      <c r="A102077"/>
      <c r="B102077"/>
      <c r="C102077"/>
      <c r="E102077"/>
      <c r="F102077"/>
    </row>
    <row r="102078" spans="1:6" x14ac:dyDescent="0.25">
      <c r="A102078"/>
      <c r="B102078"/>
      <c r="C102078"/>
      <c r="E102078"/>
      <c r="F102078"/>
    </row>
    <row r="102079" spans="1:6" x14ac:dyDescent="0.25">
      <c r="A102079"/>
      <c r="B102079"/>
      <c r="C102079"/>
      <c r="E102079"/>
      <c r="F102079"/>
    </row>
    <row r="102080" spans="1:6" x14ac:dyDescent="0.25">
      <c r="A102080"/>
      <c r="B102080"/>
      <c r="C102080"/>
      <c r="E102080"/>
      <c r="F102080"/>
    </row>
    <row r="102081" spans="1:6" x14ac:dyDescent="0.25">
      <c r="A102081"/>
      <c r="B102081"/>
      <c r="C102081"/>
      <c r="E102081"/>
      <c r="F102081"/>
    </row>
    <row r="102082" spans="1:6" x14ac:dyDescent="0.25">
      <c r="A102082"/>
      <c r="B102082"/>
      <c r="C102082"/>
      <c r="E102082"/>
      <c r="F102082"/>
    </row>
    <row r="102083" spans="1:6" x14ac:dyDescent="0.25">
      <c r="A102083"/>
      <c r="B102083"/>
      <c r="C102083"/>
      <c r="E102083"/>
      <c r="F102083"/>
    </row>
    <row r="102084" spans="1:6" x14ac:dyDescent="0.25">
      <c r="A102084"/>
      <c r="B102084"/>
      <c r="C102084"/>
      <c r="E102084"/>
      <c r="F102084"/>
    </row>
    <row r="102085" spans="1:6" x14ac:dyDescent="0.25">
      <c r="A102085"/>
      <c r="B102085"/>
      <c r="C102085"/>
      <c r="E102085"/>
      <c r="F102085"/>
    </row>
    <row r="102086" spans="1:6" x14ac:dyDescent="0.25">
      <c r="A102086"/>
      <c r="B102086"/>
      <c r="C102086"/>
      <c r="E102086"/>
      <c r="F102086"/>
    </row>
    <row r="102087" spans="1:6" x14ac:dyDescent="0.25">
      <c r="A102087"/>
      <c r="B102087"/>
      <c r="C102087"/>
      <c r="E102087"/>
      <c r="F102087"/>
    </row>
    <row r="102088" spans="1:6" x14ac:dyDescent="0.25">
      <c r="A102088"/>
      <c r="B102088"/>
      <c r="C102088"/>
      <c r="E102088"/>
      <c r="F102088"/>
    </row>
    <row r="102089" spans="1:6" x14ac:dyDescent="0.25">
      <c r="A102089"/>
      <c r="B102089"/>
      <c r="C102089"/>
      <c r="E102089"/>
      <c r="F102089"/>
    </row>
    <row r="102090" spans="1:6" x14ac:dyDescent="0.25">
      <c r="A102090"/>
      <c r="B102090"/>
      <c r="C102090"/>
      <c r="E102090"/>
      <c r="F102090"/>
    </row>
    <row r="102091" spans="1:6" x14ac:dyDescent="0.25">
      <c r="A102091"/>
      <c r="B102091"/>
      <c r="C102091"/>
      <c r="E102091"/>
      <c r="F102091"/>
    </row>
    <row r="102092" spans="1:6" x14ac:dyDescent="0.25">
      <c r="A102092"/>
      <c r="B102092"/>
      <c r="C102092"/>
      <c r="E102092"/>
      <c r="F102092"/>
    </row>
    <row r="102093" spans="1:6" x14ac:dyDescent="0.25">
      <c r="A102093"/>
      <c r="B102093"/>
      <c r="C102093"/>
      <c r="E102093"/>
      <c r="F102093"/>
    </row>
    <row r="102094" spans="1:6" x14ac:dyDescent="0.25">
      <c r="A102094"/>
      <c r="B102094"/>
      <c r="C102094"/>
      <c r="E102094"/>
      <c r="F102094"/>
    </row>
    <row r="102095" spans="1:6" x14ac:dyDescent="0.25">
      <c r="A102095"/>
      <c r="B102095"/>
      <c r="C102095"/>
      <c r="E102095"/>
      <c r="F102095"/>
    </row>
    <row r="102096" spans="1:6" x14ac:dyDescent="0.25">
      <c r="A102096"/>
      <c r="B102096"/>
      <c r="C102096"/>
      <c r="E102096"/>
      <c r="F102096"/>
    </row>
    <row r="102097" spans="1:6" x14ac:dyDescent="0.25">
      <c r="A102097"/>
      <c r="B102097"/>
      <c r="C102097"/>
      <c r="E102097"/>
      <c r="F102097"/>
    </row>
    <row r="102098" spans="1:6" x14ac:dyDescent="0.25">
      <c r="A102098"/>
      <c r="B102098"/>
      <c r="C102098"/>
      <c r="E102098"/>
      <c r="F102098"/>
    </row>
    <row r="102099" spans="1:6" x14ac:dyDescent="0.25">
      <c r="A102099"/>
      <c r="B102099"/>
      <c r="C102099"/>
      <c r="E102099"/>
      <c r="F102099"/>
    </row>
    <row r="102100" spans="1:6" x14ac:dyDescent="0.25">
      <c r="A102100"/>
      <c r="B102100"/>
      <c r="C102100"/>
      <c r="E102100"/>
      <c r="F102100"/>
    </row>
    <row r="102101" spans="1:6" x14ac:dyDescent="0.25">
      <c r="A102101"/>
      <c r="B102101"/>
      <c r="C102101"/>
      <c r="E102101"/>
      <c r="F102101"/>
    </row>
    <row r="102102" spans="1:6" x14ac:dyDescent="0.25">
      <c r="A102102"/>
      <c r="B102102"/>
      <c r="C102102"/>
      <c r="E102102"/>
      <c r="F102102"/>
    </row>
    <row r="102103" spans="1:6" x14ac:dyDescent="0.25">
      <c r="A102103"/>
      <c r="B102103"/>
      <c r="C102103"/>
      <c r="E102103"/>
      <c r="F102103"/>
    </row>
    <row r="102104" spans="1:6" x14ac:dyDescent="0.25">
      <c r="A102104"/>
      <c r="B102104"/>
      <c r="C102104"/>
      <c r="E102104"/>
      <c r="F102104"/>
    </row>
    <row r="102105" spans="1:6" x14ac:dyDescent="0.25">
      <c r="A102105"/>
      <c r="B102105"/>
      <c r="C102105"/>
      <c r="E102105"/>
      <c r="F102105"/>
    </row>
    <row r="102106" spans="1:6" x14ac:dyDescent="0.25">
      <c r="A102106"/>
      <c r="B102106"/>
      <c r="C102106"/>
      <c r="E102106"/>
      <c r="F102106"/>
    </row>
    <row r="102107" spans="1:6" x14ac:dyDescent="0.25">
      <c r="A102107"/>
      <c r="B102107"/>
      <c r="C102107"/>
      <c r="E102107"/>
      <c r="F102107"/>
    </row>
    <row r="102108" spans="1:6" x14ac:dyDescent="0.25">
      <c r="A102108"/>
      <c r="B102108"/>
      <c r="C102108"/>
      <c r="E102108"/>
      <c r="F102108"/>
    </row>
    <row r="102109" spans="1:6" x14ac:dyDescent="0.25">
      <c r="A102109"/>
      <c r="B102109"/>
      <c r="C102109"/>
      <c r="E102109"/>
      <c r="F102109"/>
    </row>
    <row r="102110" spans="1:6" x14ac:dyDescent="0.25">
      <c r="A102110"/>
      <c r="B102110"/>
      <c r="C102110"/>
      <c r="E102110"/>
      <c r="F102110"/>
    </row>
    <row r="102111" spans="1:6" x14ac:dyDescent="0.25">
      <c r="A102111"/>
      <c r="B102111"/>
      <c r="C102111"/>
      <c r="E102111"/>
      <c r="F102111"/>
    </row>
    <row r="102112" spans="1:6" x14ac:dyDescent="0.25">
      <c r="A102112"/>
      <c r="B102112"/>
      <c r="C102112"/>
      <c r="E102112"/>
      <c r="F102112"/>
    </row>
    <row r="102113" spans="1:6" x14ac:dyDescent="0.25">
      <c r="A102113"/>
      <c r="B102113"/>
      <c r="C102113"/>
      <c r="E102113"/>
      <c r="F102113"/>
    </row>
    <row r="102114" spans="1:6" x14ac:dyDescent="0.25">
      <c r="A102114"/>
      <c r="B102114"/>
      <c r="C102114"/>
      <c r="E102114"/>
      <c r="F102114"/>
    </row>
    <row r="102115" spans="1:6" x14ac:dyDescent="0.25">
      <c r="A102115"/>
      <c r="B102115"/>
      <c r="C102115"/>
      <c r="E102115"/>
      <c r="F102115"/>
    </row>
    <row r="102116" spans="1:6" x14ac:dyDescent="0.25">
      <c r="A102116"/>
      <c r="B102116"/>
      <c r="C102116"/>
      <c r="E102116"/>
      <c r="F102116"/>
    </row>
    <row r="102117" spans="1:6" x14ac:dyDescent="0.25">
      <c r="A102117"/>
      <c r="B102117"/>
      <c r="C102117"/>
      <c r="E102117"/>
      <c r="F102117"/>
    </row>
    <row r="102118" spans="1:6" x14ac:dyDescent="0.25">
      <c r="A102118"/>
      <c r="B102118"/>
      <c r="C102118"/>
      <c r="E102118"/>
      <c r="F102118"/>
    </row>
    <row r="102119" spans="1:6" x14ac:dyDescent="0.25">
      <c r="A102119"/>
      <c r="B102119"/>
      <c r="C102119"/>
      <c r="E102119"/>
      <c r="F102119"/>
    </row>
    <row r="102120" spans="1:6" x14ac:dyDescent="0.25">
      <c r="A102120"/>
      <c r="B102120"/>
      <c r="C102120"/>
      <c r="E102120"/>
      <c r="F102120"/>
    </row>
    <row r="102121" spans="1:6" x14ac:dyDescent="0.25">
      <c r="A102121"/>
      <c r="B102121"/>
      <c r="C102121"/>
      <c r="E102121"/>
      <c r="F102121"/>
    </row>
    <row r="102122" spans="1:6" x14ac:dyDescent="0.25">
      <c r="A102122"/>
      <c r="B102122"/>
      <c r="C102122"/>
      <c r="E102122"/>
      <c r="F102122"/>
    </row>
    <row r="102123" spans="1:6" x14ac:dyDescent="0.25">
      <c r="A102123"/>
      <c r="B102123"/>
      <c r="C102123"/>
      <c r="E102123"/>
      <c r="F102123"/>
    </row>
    <row r="102124" spans="1:6" x14ac:dyDescent="0.25">
      <c r="A102124"/>
      <c r="B102124"/>
      <c r="C102124"/>
      <c r="E102124"/>
      <c r="F102124"/>
    </row>
    <row r="102125" spans="1:6" x14ac:dyDescent="0.25">
      <c r="A102125"/>
      <c r="B102125"/>
      <c r="C102125"/>
      <c r="E102125"/>
      <c r="F102125"/>
    </row>
    <row r="102126" spans="1:6" x14ac:dyDescent="0.25">
      <c r="A102126"/>
      <c r="B102126"/>
      <c r="C102126"/>
      <c r="E102126"/>
      <c r="F102126"/>
    </row>
    <row r="102127" spans="1:6" x14ac:dyDescent="0.25">
      <c r="A102127"/>
      <c r="B102127"/>
      <c r="C102127"/>
      <c r="E102127"/>
      <c r="F102127"/>
    </row>
    <row r="102128" spans="1:6" x14ac:dyDescent="0.25">
      <c r="A102128"/>
      <c r="B102128"/>
      <c r="C102128"/>
      <c r="E102128"/>
      <c r="F102128"/>
    </row>
    <row r="102129" spans="1:6" x14ac:dyDescent="0.25">
      <c r="A102129"/>
      <c r="B102129"/>
      <c r="C102129"/>
      <c r="E102129"/>
      <c r="F102129"/>
    </row>
    <row r="102130" spans="1:6" x14ac:dyDescent="0.25">
      <c r="A102130"/>
      <c r="B102130"/>
      <c r="C102130"/>
      <c r="E102130"/>
      <c r="F102130"/>
    </row>
    <row r="102131" spans="1:6" x14ac:dyDescent="0.25">
      <c r="A102131"/>
      <c r="B102131"/>
      <c r="C102131"/>
      <c r="E102131"/>
      <c r="F102131"/>
    </row>
    <row r="102132" spans="1:6" x14ac:dyDescent="0.25">
      <c r="A102132"/>
      <c r="B102132"/>
      <c r="C102132"/>
      <c r="E102132"/>
      <c r="F102132"/>
    </row>
    <row r="102133" spans="1:6" x14ac:dyDescent="0.25">
      <c r="A102133"/>
      <c r="B102133"/>
      <c r="C102133"/>
      <c r="E102133"/>
      <c r="F102133"/>
    </row>
    <row r="102134" spans="1:6" x14ac:dyDescent="0.25">
      <c r="A102134"/>
      <c r="B102134"/>
      <c r="C102134"/>
      <c r="E102134"/>
      <c r="F102134"/>
    </row>
    <row r="102135" spans="1:6" x14ac:dyDescent="0.25">
      <c r="A102135"/>
      <c r="B102135"/>
      <c r="C102135"/>
      <c r="E102135"/>
      <c r="F102135"/>
    </row>
    <row r="102136" spans="1:6" x14ac:dyDescent="0.25">
      <c r="A102136"/>
      <c r="B102136"/>
      <c r="C102136"/>
      <c r="E102136"/>
      <c r="F102136"/>
    </row>
    <row r="102137" spans="1:6" x14ac:dyDescent="0.25">
      <c r="A102137"/>
      <c r="B102137"/>
      <c r="C102137"/>
      <c r="E102137"/>
      <c r="F102137"/>
    </row>
    <row r="102138" spans="1:6" x14ac:dyDescent="0.25">
      <c r="A102138"/>
      <c r="B102138"/>
      <c r="C102138"/>
      <c r="E102138"/>
      <c r="F102138"/>
    </row>
    <row r="102139" spans="1:6" x14ac:dyDescent="0.25">
      <c r="A102139"/>
      <c r="B102139"/>
      <c r="C102139"/>
      <c r="E102139"/>
      <c r="F102139"/>
    </row>
    <row r="102140" spans="1:6" x14ac:dyDescent="0.25">
      <c r="A102140"/>
      <c r="B102140"/>
      <c r="C102140"/>
      <c r="E102140"/>
      <c r="F102140"/>
    </row>
    <row r="102141" spans="1:6" x14ac:dyDescent="0.25">
      <c r="A102141"/>
      <c r="B102141"/>
      <c r="C102141"/>
      <c r="E102141"/>
      <c r="F102141"/>
    </row>
    <row r="102142" spans="1:6" x14ac:dyDescent="0.25">
      <c r="A102142"/>
      <c r="B102142"/>
      <c r="C102142"/>
      <c r="E102142"/>
      <c r="F102142"/>
    </row>
    <row r="102143" spans="1:6" x14ac:dyDescent="0.25">
      <c r="A102143"/>
      <c r="B102143"/>
      <c r="C102143"/>
      <c r="E102143"/>
      <c r="F102143"/>
    </row>
    <row r="102144" spans="1:6" x14ac:dyDescent="0.25">
      <c r="A102144"/>
      <c r="B102144"/>
      <c r="C102144"/>
      <c r="E102144"/>
      <c r="F102144"/>
    </row>
    <row r="102145" spans="1:6" x14ac:dyDescent="0.25">
      <c r="A102145"/>
      <c r="B102145"/>
      <c r="C102145"/>
      <c r="E102145"/>
      <c r="F102145"/>
    </row>
    <row r="102146" spans="1:6" x14ac:dyDescent="0.25">
      <c r="A102146"/>
      <c r="B102146"/>
      <c r="C102146"/>
      <c r="E102146"/>
      <c r="F102146"/>
    </row>
    <row r="102147" spans="1:6" x14ac:dyDescent="0.25">
      <c r="A102147"/>
      <c r="B102147"/>
      <c r="C102147"/>
      <c r="E102147"/>
      <c r="F102147"/>
    </row>
    <row r="102148" spans="1:6" x14ac:dyDescent="0.25">
      <c r="A102148"/>
      <c r="B102148"/>
      <c r="C102148"/>
      <c r="E102148"/>
      <c r="F102148"/>
    </row>
    <row r="102149" spans="1:6" x14ac:dyDescent="0.25">
      <c r="A102149"/>
      <c r="B102149"/>
      <c r="C102149"/>
      <c r="E102149"/>
      <c r="F102149"/>
    </row>
    <row r="102150" spans="1:6" x14ac:dyDescent="0.25">
      <c r="A102150"/>
      <c r="B102150"/>
      <c r="C102150"/>
      <c r="E102150"/>
      <c r="F102150"/>
    </row>
    <row r="102151" spans="1:6" x14ac:dyDescent="0.25">
      <c r="A102151"/>
      <c r="B102151"/>
      <c r="C102151"/>
      <c r="E102151"/>
      <c r="F102151"/>
    </row>
    <row r="102152" spans="1:6" x14ac:dyDescent="0.25">
      <c r="A102152"/>
      <c r="B102152"/>
      <c r="C102152"/>
      <c r="E102152"/>
      <c r="F102152"/>
    </row>
    <row r="102153" spans="1:6" x14ac:dyDescent="0.25">
      <c r="A102153"/>
      <c r="B102153"/>
      <c r="C102153"/>
      <c r="E102153"/>
      <c r="F102153"/>
    </row>
    <row r="102154" spans="1:6" x14ac:dyDescent="0.25">
      <c r="A102154"/>
      <c r="B102154"/>
      <c r="C102154"/>
      <c r="E102154"/>
      <c r="F102154"/>
    </row>
    <row r="102155" spans="1:6" x14ac:dyDescent="0.25">
      <c r="A102155"/>
      <c r="B102155"/>
      <c r="C102155"/>
      <c r="E102155"/>
      <c r="F102155"/>
    </row>
    <row r="102156" spans="1:6" x14ac:dyDescent="0.25">
      <c r="A102156"/>
      <c r="B102156"/>
      <c r="C102156"/>
      <c r="E102156"/>
      <c r="F102156"/>
    </row>
    <row r="102157" spans="1:6" x14ac:dyDescent="0.25">
      <c r="A102157"/>
      <c r="B102157"/>
      <c r="C102157"/>
      <c r="E102157"/>
      <c r="F102157"/>
    </row>
    <row r="102158" spans="1:6" x14ac:dyDescent="0.25">
      <c r="A102158"/>
      <c r="B102158"/>
      <c r="C102158"/>
      <c r="E102158"/>
      <c r="F102158"/>
    </row>
    <row r="102159" spans="1:6" x14ac:dyDescent="0.25">
      <c r="A102159"/>
      <c r="B102159"/>
      <c r="C102159"/>
      <c r="E102159"/>
      <c r="F102159"/>
    </row>
    <row r="102160" spans="1:6" x14ac:dyDescent="0.25">
      <c r="A102160"/>
      <c r="B102160"/>
      <c r="C102160"/>
      <c r="E102160"/>
      <c r="F102160"/>
    </row>
    <row r="102161" spans="1:6" x14ac:dyDescent="0.25">
      <c r="A102161"/>
      <c r="B102161"/>
      <c r="C102161"/>
      <c r="E102161"/>
      <c r="F102161"/>
    </row>
    <row r="102162" spans="1:6" x14ac:dyDescent="0.25">
      <c r="A102162"/>
      <c r="B102162"/>
      <c r="C102162"/>
      <c r="E102162"/>
      <c r="F102162"/>
    </row>
    <row r="102163" spans="1:6" x14ac:dyDescent="0.25">
      <c r="A102163"/>
      <c r="B102163"/>
      <c r="C102163"/>
      <c r="E102163"/>
      <c r="F102163"/>
    </row>
    <row r="102164" spans="1:6" x14ac:dyDescent="0.25">
      <c r="A102164"/>
      <c r="B102164"/>
      <c r="C102164"/>
      <c r="E102164"/>
      <c r="F102164"/>
    </row>
    <row r="102165" spans="1:6" x14ac:dyDescent="0.25">
      <c r="A102165"/>
      <c r="B102165"/>
      <c r="C102165"/>
      <c r="E102165"/>
      <c r="F102165"/>
    </row>
    <row r="102166" spans="1:6" x14ac:dyDescent="0.25">
      <c r="A102166"/>
      <c r="B102166"/>
      <c r="C102166"/>
      <c r="E102166"/>
      <c r="F102166"/>
    </row>
    <row r="102167" spans="1:6" x14ac:dyDescent="0.25">
      <c r="A102167"/>
      <c r="B102167"/>
      <c r="C102167"/>
      <c r="E102167"/>
      <c r="F102167"/>
    </row>
    <row r="102168" spans="1:6" x14ac:dyDescent="0.25">
      <c r="A102168"/>
      <c r="B102168"/>
      <c r="C102168"/>
      <c r="E102168"/>
      <c r="F102168"/>
    </row>
    <row r="102169" spans="1:6" x14ac:dyDescent="0.25">
      <c r="A102169"/>
      <c r="B102169"/>
      <c r="C102169"/>
      <c r="E102169"/>
      <c r="F102169"/>
    </row>
    <row r="102170" spans="1:6" x14ac:dyDescent="0.25">
      <c r="A102170"/>
      <c r="B102170"/>
      <c r="C102170"/>
      <c r="E102170"/>
      <c r="F102170"/>
    </row>
    <row r="102171" spans="1:6" x14ac:dyDescent="0.25">
      <c r="A102171"/>
      <c r="B102171"/>
      <c r="C102171"/>
      <c r="E102171"/>
      <c r="F102171"/>
    </row>
    <row r="102172" spans="1:6" x14ac:dyDescent="0.25">
      <c r="A102172"/>
      <c r="B102172"/>
      <c r="C102172"/>
      <c r="E102172"/>
      <c r="F102172"/>
    </row>
    <row r="102173" spans="1:6" x14ac:dyDescent="0.25">
      <c r="A102173"/>
      <c r="B102173"/>
      <c r="C102173"/>
      <c r="E102173"/>
      <c r="F102173"/>
    </row>
    <row r="102174" spans="1:6" x14ac:dyDescent="0.25">
      <c r="A102174"/>
      <c r="B102174"/>
      <c r="C102174"/>
      <c r="E102174"/>
      <c r="F102174"/>
    </row>
    <row r="102175" spans="1:6" x14ac:dyDescent="0.25">
      <c r="A102175"/>
      <c r="B102175"/>
      <c r="C102175"/>
      <c r="E102175"/>
      <c r="F102175"/>
    </row>
    <row r="102176" spans="1:6" x14ac:dyDescent="0.25">
      <c r="A102176"/>
      <c r="B102176"/>
      <c r="C102176"/>
      <c r="E102176"/>
      <c r="F102176"/>
    </row>
    <row r="102177" spans="1:6" x14ac:dyDescent="0.25">
      <c r="A102177"/>
      <c r="B102177"/>
      <c r="C102177"/>
      <c r="E102177"/>
      <c r="F102177"/>
    </row>
    <row r="102178" spans="1:6" x14ac:dyDescent="0.25">
      <c r="A102178"/>
      <c r="B102178"/>
      <c r="C102178"/>
      <c r="E102178"/>
      <c r="F102178"/>
    </row>
    <row r="102179" spans="1:6" x14ac:dyDescent="0.25">
      <c r="A102179"/>
      <c r="B102179"/>
      <c r="C102179"/>
      <c r="E102179"/>
      <c r="F102179"/>
    </row>
    <row r="102180" spans="1:6" x14ac:dyDescent="0.25">
      <c r="A102180"/>
      <c r="B102180"/>
      <c r="C102180"/>
      <c r="E102180"/>
      <c r="F102180"/>
    </row>
    <row r="102181" spans="1:6" x14ac:dyDescent="0.25">
      <c r="A102181"/>
      <c r="B102181"/>
      <c r="C102181"/>
      <c r="E102181"/>
      <c r="F102181"/>
    </row>
    <row r="102182" spans="1:6" x14ac:dyDescent="0.25">
      <c r="A102182"/>
      <c r="B102182"/>
      <c r="C102182"/>
      <c r="E102182"/>
      <c r="F102182"/>
    </row>
    <row r="102183" spans="1:6" x14ac:dyDescent="0.25">
      <c r="A102183"/>
      <c r="B102183"/>
      <c r="C102183"/>
      <c r="E102183"/>
      <c r="F102183"/>
    </row>
    <row r="102184" spans="1:6" x14ac:dyDescent="0.25">
      <c r="A102184"/>
      <c r="B102184"/>
      <c r="C102184"/>
      <c r="E102184"/>
      <c r="F102184"/>
    </row>
    <row r="102185" spans="1:6" x14ac:dyDescent="0.25">
      <c r="A102185"/>
      <c r="B102185"/>
      <c r="C102185"/>
      <c r="E102185"/>
      <c r="F102185"/>
    </row>
    <row r="102186" spans="1:6" x14ac:dyDescent="0.25">
      <c r="A102186"/>
      <c r="B102186"/>
      <c r="C102186"/>
      <c r="E102186"/>
      <c r="F102186"/>
    </row>
    <row r="102187" spans="1:6" x14ac:dyDescent="0.25">
      <c r="A102187"/>
      <c r="B102187"/>
      <c r="C102187"/>
      <c r="E102187"/>
      <c r="F102187"/>
    </row>
    <row r="102188" spans="1:6" x14ac:dyDescent="0.25">
      <c r="A102188"/>
      <c r="B102188"/>
      <c r="C102188"/>
      <c r="E102188"/>
      <c r="F102188"/>
    </row>
    <row r="102189" spans="1:6" x14ac:dyDescent="0.25">
      <c r="A102189"/>
      <c r="B102189"/>
      <c r="C102189"/>
      <c r="E102189"/>
      <c r="F102189"/>
    </row>
    <row r="102190" spans="1:6" x14ac:dyDescent="0.25">
      <c r="A102190"/>
      <c r="B102190"/>
      <c r="C102190"/>
      <c r="E102190"/>
      <c r="F102190"/>
    </row>
    <row r="102191" spans="1:6" x14ac:dyDescent="0.25">
      <c r="A102191"/>
      <c r="B102191"/>
      <c r="C102191"/>
      <c r="E102191"/>
      <c r="F102191"/>
    </row>
    <row r="102192" spans="1:6" x14ac:dyDescent="0.25">
      <c r="A102192"/>
      <c r="B102192"/>
      <c r="C102192"/>
      <c r="E102192"/>
      <c r="F102192"/>
    </row>
    <row r="102193" spans="1:6" x14ac:dyDescent="0.25">
      <c r="A102193"/>
      <c r="B102193"/>
      <c r="C102193"/>
      <c r="E102193"/>
      <c r="F102193"/>
    </row>
    <row r="102194" spans="1:6" x14ac:dyDescent="0.25">
      <c r="A102194"/>
      <c r="B102194"/>
      <c r="C102194"/>
      <c r="E102194"/>
      <c r="F102194"/>
    </row>
    <row r="102195" spans="1:6" x14ac:dyDescent="0.25">
      <c r="A102195"/>
      <c r="B102195"/>
      <c r="C102195"/>
      <c r="E102195"/>
      <c r="F102195"/>
    </row>
    <row r="102196" spans="1:6" x14ac:dyDescent="0.25">
      <c r="A102196"/>
      <c r="B102196"/>
      <c r="C102196"/>
      <c r="E102196"/>
      <c r="F102196"/>
    </row>
    <row r="102197" spans="1:6" x14ac:dyDescent="0.25">
      <c r="A102197"/>
      <c r="B102197"/>
      <c r="C102197"/>
      <c r="E102197"/>
      <c r="F102197"/>
    </row>
    <row r="102198" spans="1:6" x14ac:dyDescent="0.25">
      <c r="A102198"/>
      <c r="B102198"/>
      <c r="C102198"/>
      <c r="E102198"/>
      <c r="F102198"/>
    </row>
    <row r="102199" spans="1:6" x14ac:dyDescent="0.25">
      <c r="A102199"/>
      <c r="B102199"/>
      <c r="C102199"/>
      <c r="E102199"/>
      <c r="F102199"/>
    </row>
    <row r="102200" spans="1:6" x14ac:dyDescent="0.25">
      <c r="A102200"/>
      <c r="B102200"/>
      <c r="C102200"/>
      <c r="E102200"/>
      <c r="F102200"/>
    </row>
    <row r="102201" spans="1:6" x14ac:dyDescent="0.25">
      <c r="A102201"/>
      <c r="B102201"/>
      <c r="C102201"/>
      <c r="E102201"/>
      <c r="F102201"/>
    </row>
    <row r="102202" spans="1:6" x14ac:dyDescent="0.25">
      <c r="A102202"/>
      <c r="B102202"/>
      <c r="C102202"/>
      <c r="E102202"/>
      <c r="F102202"/>
    </row>
    <row r="102203" spans="1:6" x14ac:dyDescent="0.25">
      <c r="A102203"/>
      <c r="B102203"/>
      <c r="C102203"/>
      <c r="E102203"/>
      <c r="F102203"/>
    </row>
    <row r="102204" spans="1:6" x14ac:dyDescent="0.25">
      <c r="A102204"/>
      <c r="B102204"/>
      <c r="C102204"/>
      <c r="E102204"/>
      <c r="F102204"/>
    </row>
    <row r="102205" spans="1:6" x14ac:dyDescent="0.25">
      <c r="A102205"/>
      <c r="B102205"/>
      <c r="C102205"/>
      <c r="E102205"/>
      <c r="F102205"/>
    </row>
    <row r="102206" spans="1:6" x14ac:dyDescent="0.25">
      <c r="A102206"/>
      <c r="B102206"/>
      <c r="C102206"/>
      <c r="E102206"/>
      <c r="F102206"/>
    </row>
    <row r="102207" spans="1:6" x14ac:dyDescent="0.25">
      <c r="A102207"/>
      <c r="B102207"/>
      <c r="C102207"/>
      <c r="E102207"/>
      <c r="F102207"/>
    </row>
    <row r="102208" spans="1:6" x14ac:dyDescent="0.25">
      <c r="A102208"/>
      <c r="B102208"/>
      <c r="C102208"/>
      <c r="E102208"/>
      <c r="F102208"/>
    </row>
    <row r="102209" spans="1:6" x14ac:dyDescent="0.25">
      <c r="A102209"/>
      <c r="B102209"/>
      <c r="C102209"/>
      <c r="E102209"/>
      <c r="F102209"/>
    </row>
    <row r="102210" spans="1:6" x14ac:dyDescent="0.25">
      <c r="A102210"/>
      <c r="B102210"/>
      <c r="C102210"/>
      <c r="E102210"/>
      <c r="F102210"/>
    </row>
    <row r="102211" spans="1:6" x14ac:dyDescent="0.25">
      <c r="A102211"/>
      <c r="B102211"/>
      <c r="C102211"/>
      <c r="E102211"/>
      <c r="F102211"/>
    </row>
    <row r="102212" spans="1:6" x14ac:dyDescent="0.25">
      <c r="A102212"/>
      <c r="B102212"/>
      <c r="C102212"/>
      <c r="E102212"/>
      <c r="F102212"/>
    </row>
    <row r="102213" spans="1:6" x14ac:dyDescent="0.25">
      <c r="A102213"/>
      <c r="B102213"/>
      <c r="C102213"/>
      <c r="E102213"/>
      <c r="F102213"/>
    </row>
    <row r="102214" spans="1:6" x14ac:dyDescent="0.25">
      <c r="A102214"/>
      <c r="B102214"/>
      <c r="C102214"/>
      <c r="E102214"/>
      <c r="F102214"/>
    </row>
    <row r="102215" spans="1:6" x14ac:dyDescent="0.25">
      <c r="A102215"/>
      <c r="B102215"/>
      <c r="C102215"/>
      <c r="E102215"/>
      <c r="F102215"/>
    </row>
    <row r="102216" spans="1:6" x14ac:dyDescent="0.25">
      <c r="A102216"/>
      <c r="B102216"/>
      <c r="C102216"/>
      <c r="E102216"/>
      <c r="F102216"/>
    </row>
    <row r="102217" spans="1:6" x14ac:dyDescent="0.25">
      <c r="A102217"/>
      <c r="B102217"/>
      <c r="C102217"/>
      <c r="E102217"/>
      <c r="F102217"/>
    </row>
    <row r="102218" spans="1:6" x14ac:dyDescent="0.25">
      <c r="A102218"/>
      <c r="B102218"/>
      <c r="C102218"/>
      <c r="E102218"/>
      <c r="F102218"/>
    </row>
    <row r="102219" spans="1:6" x14ac:dyDescent="0.25">
      <c r="A102219"/>
      <c r="B102219"/>
      <c r="C102219"/>
      <c r="E102219"/>
      <c r="F102219"/>
    </row>
    <row r="102220" spans="1:6" x14ac:dyDescent="0.25">
      <c r="A102220"/>
      <c r="B102220"/>
      <c r="C102220"/>
      <c r="E102220"/>
      <c r="F102220"/>
    </row>
    <row r="102221" spans="1:6" x14ac:dyDescent="0.25">
      <c r="A102221"/>
      <c r="B102221"/>
      <c r="C102221"/>
      <c r="E102221"/>
      <c r="F102221"/>
    </row>
    <row r="102222" spans="1:6" x14ac:dyDescent="0.25">
      <c r="A102222"/>
      <c r="B102222"/>
      <c r="C102222"/>
      <c r="E102222"/>
      <c r="F102222"/>
    </row>
    <row r="102223" spans="1:6" x14ac:dyDescent="0.25">
      <c r="A102223"/>
      <c r="B102223"/>
      <c r="C102223"/>
      <c r="E102223"/>
      <c r="F102223"/>
    </row>
    <row r="102224" spans="1:6" x14ac:dyDescent="0.25">
      <c r="A102224"/>
      <c r="B102224"/>
      <c r="C102224"/>
      <c r="E102224"/>
      <c r="F102224"/>
    </row>
    <row r="102225" spans="1:6" x14ac:dyDescent="0.25">
      <c r="A102225"/>
      <c r="B102225"/>
      <c r="C102225"/>
      <c r="E102225"/>
      <c r="F102225"/>
    </row>
    <row r="102226" spans="1:6" x14ac:dyDescent="0.25">
      <c r="A102226"/>
      <c r="B102226"/>
      <c r="C102226"/>
      <c r="E102226"/>
      <c r="F102226"/>
    </row>
    <row r="102227" spans="1:6" x14ac:dyDescent="0.25">
      <c r="A102227"/>
      <c r="B102227"/>
      <c r="C102227"/>
      <c r="E102227"/>
      <c r="F102227"/>
    </row>
    <row r="102228" spans="1:6" x14ac:dyDescent="0.25">
      <c r="A102228"/>
      <c r="B102228"/>
      <c r="C102228"/>
      <c r="E102228"/>
      <c r="F102228"/>
    </row>
    <row r="102229" spans="1:6" x14ac:dyDescent="0.25">
      <c r="A102229"/>
      <c r="B102229"/>
      <c r="C102229"/>
      <c r="E102229"/>
      <c r="F102229"/>
    </row>
    <row r="102230" spans="1:6" x14ac:dyDescent="0.25">
      <c r="A102230"/>
      <c r="B102230"/>
      <c r="C102230"/>
      <c r="E102230"/>
      <c r="F102230"/>
    </row>
    <row r="102231" spans="1:6" x14ac:dyDescent="0.25">
      <c r="A102231"/>
      <c r="B102231"/>
      <c r="C102231"/>
      <c r="E102231"/>
      <c r="F102231"/>
    </row>
    <row r="102232" spans="1:6" x14ac:dyDescent="0.25">
      <c r="A102232"/>
      <c r="B102232"/>
      <c r="C102232"/>
      <c r="E102232"/>
      <c r="F102232"/>
    </row>
    <row r="102233" spans="1:6" x14ac:dyDescent="0.25">
      <c r="A102233"/>
      <c r="B102233"/>
      <c r="C102233"/>
      <c r="E102233"/>
      <c r="F102233"/>
    </row>
    <row r="102234" spans="1:6" x14ac:dyDescent="0.25">
      <c r="A102234"/>
      <c r="B102234"/>
      <c r="C102234"/>
      <c r="E102234"/>
      <c r="F102234"/>
    </row>
    <row r="102235" spans="1:6" x14ac:dyDescent="0.25">
      <c r="A102235"/>
      <c r="B102235"/>
      <c r="C102235"/>
      <c r="E102235"/>
      <c r="F102235"/>
    </row>
    <row r="102236" spans="1:6" x14ac:dyDescent="0.25">
      <c r="A102236"/>
      <c r="B102236"/>
      <c r="C102236"/>
      <c r="E102236"/>
      <c r="F102236"/>
    </row>
    <row r="102237" spans="1:6" x14ac:dyDescent="0.25">
      <c r="A102237"/>
      <c r="B102237"/>
      <c r="C102237"/>
      <c r="E102237"/>
      <c r="F102237"/>
    </row>
    <row r="102238" spans="1:6" x14ac:dyDescent="0.25">
      <c r="A102238"/>
      <c r="B102238"/>
      <c r="C102238"/>
      <c r="E102238"/>
      <c r="F102238"/>
    </row>
    <row r="102239" spans="1:6" x14ac:dyDescent="0.25">
      <c r="A102239"/>
      <c r="B102239"/>
      <c r="C102239"/>
      <c r="E102239"/>
      <c r="F102239"/>
    </row>
    <row r="102240" spans="1:6" x14ac:dyDescent="0.25">
      <c r="A102240"/>
      <c r="B102240"/>
      <c r="C102240"/>
      <c r="E102240"/>
      <c r="F102240"/>
    </row>
    <row r="102241" spans="1:6" x14ac:dyDescent="0.25">
      <c r="A102241"/>
      <c r="B102241"/>
      <c r="C102241"/>
      <c r="E102241"/>
      <c r="F102241"/>
    </row>
    <row r="102242" spans="1:6" x14ac:dyDescent="0.25">
      <c r="A102242"/>
      <c r="B102242"/>
      <c r="C102242"/>
      <c r="E102242"/>
      <c r="F102242"/>
    </row>
    <row r="102243" spans="1:6" x14ac:dyDescent="0.25">
      <c r="A102243"/>
      <c r="B102243"/>
      <c r="C102243"/>
      <c r="E102243"/>
      <c r="F102243"/>
    </row>
    <row r="102244" spans="1:6" x14ac:dyDescent="0.25">
      <c r="A102244"/>
      <c r="B102244"/>
      <c r="C102244"/>
      <c r="E102244"/>
      <c r="F102244"/>
    </row>
    <row r="102245" spans="1:6" x14ac:dyDescent="0.25">
      <c r="A102245"/>
      <c r="B102245"/>
      <c r="C102245"/>
      <c r="E102245"/>
      <c r="F102245"/>
    </row>
    <row r="102246" spans="1:6" x14ac:dyDescent="0.25">
      <c r="A102246"/>
      <c r="B102246"/>
      <c r="C102246"/>
      <c r="E102246"/>
      <c r="F102246"/>
    </row>
    <row r="102247" spans="1:6" x14ac:dyDescent="0.25">
      <c r="A102247"/>
      <c r="B102247"/>
      <c r="C102247"/>
      <c r="E102247"/>
      <c r="F102247"/>
    </row>
    <row r="102248" spans="1:6" x14ac:dyDescent="0.25">
      <c r="A102248"/>
      <c r="B102248"/>
      <c r="C102248"/>
      <c r="E102248"/>
      <c r="F102248"/>
    </row>
    <row r="102249" spans="1:6" x14ac:dyDescent="0.25">
      <c r="A102249"/>
      <c r="B102249"/>
      <c r="C102249"/>
      <c r="E102249"/>
      <c r="F102249"/>
    </row>
    <row r="102250" spans="1:6" x14ac:dyDescent="0.25">
      <c r="A102250"/>
      <c r="B102250"/>
      <c r="C102250"/>
      <c r="E102250"/>
      <c r="F102250"/>
    </row>
    <row r="102251" spans="1:6" x14ac:dyDescent="0.25">
      <c r="A102251"/>
      <c r="B102251"/>
      <c r="C102251"/>
      <c r="E102251"/>
      <c r="F102251"/>
    </row>
    <row r="102252" spans="1:6" x14ac:dyDescent="0.25">
      <c r="A102252"/>
      <c r="B102252"/>
      <c r="C102252"/>
      <c r="E102252"/>
      <c r="F102252"/>
    </row>
    <row r="102253" spans="1:6" x14ac:dyDescent="0.25">
      <c r="A102253"/>
      <c r="B102253"/>
      <c r="C102253"/>
      <c r="E102253"/>
      <c r="F102253"/>
    </row>
    <row r="102254" spans="1:6" x14ac:dyDescent="0.25">
      <c r="A102254"/>
      <c r="B102254"/>
      <c r="C102254"/>
      <c r="E102254"/>
      <c r="F102254"/>
    </row>
    <row r="102255" spans="1:6" x14ac:dyDescent="0.25">
      <c r="A102255"/>
      <c r="B102255"/>
      <c r="C102255"/>
      <c r="E102255"/>
      <c r="F102255"/>
    </row>
    <row r="102256" spans="1:6" x14ac:dyDescent="0.25">
      <c r="A102256"/>
      <c r="B102256"/>
      <c r="C102256"/>
      <c r="E102256"/>
      <c r="F102256"/>
    </row>
    <row r="102257" spans="1:6" x14ac:dyDescent="0.25">
      <c r="A102257"/>
      <c r="B102257"/>
      <c r="C102257"/>
      <c r="E102257"/>
      <c r="F102257"/>
    </row>
    <row r="102258" spans="1:6" x14ac:dyDescent="0.25">
      <c r="A102258"/>
      <c r="B102258"/>
      <c r="C102258"/>
      <c r="E102258"/>
      <c r="F102258"/>
    </row>
    <row r="102259" spans="1:6" x14ac:dyDescent="0.25">
      <c r="A102259"/>
      <c r="B102259"/>
      <c r="C102259"/>
      <c r="E102259"/>
      <c r="F102259"/>
    </row>
    <row r="102260" spans="1:6" x14ac:dyDescent="0.25">
      <c r="A102260"/>
      <c r="B102260"/>
      <c r="C102260"/>
      <c r="E102260"/>
      <c r="F102260"/>
    </row>
    <row r="102261" spans="1:6" x14ac:dyDescent="0.25">
      <c r="A102261"/>
      <c r="B102261"/>
      <c r="C102261"/>
      <c r="E102261"/>
      <c r="F102261"/>
    </row>
    <row r="102262" spans="1:6" x14ac:dyDescent="0.25">
      <c r="A102262"/>
      <c r="B102262"/>
      <c r="C102262"/>
      <c r="E102262"/>
      <c r="F102262"/>
    </row>
    <row r="102263" spans="1:6" x14ac:dyDescent="0.25">
      <c r="A102263"/>
      <c r="B102263"/>
      <c r="C102263"/>
      <c r="E102263"/>
      <c r="F102263"/>
    </row>
    <row r="102264" spans="1:6" x14ac:dyDescent="0.25">
      <c r="A102264"/>
      <c r="B102264"/>
      <c r="C102264"/>
      <c r="E102264"/>
      <c r="F102264"/>
    </row>
    <row r="102265" spans="1:6" x14ac:dyDescent="0.25">
      <c r="A102265"/>
      <c r="B102265"/>
      <c r="C102265"/>
      <c r="E102265"/>
      <c r="F102265"/>
    </row>
    <row r="102266" spans="1:6" x14ac:dyDescent="0.25">
      <c r="A102266"/>
      <c r="B102266"/>
      <c r="C102266"/>
      <c r="E102266"/>
      <c r="F102266"/>
    </row>
    <row r="102267" spans="1:6" x14ac:dyDescent="0.25">
      <c r="A102267"/>
      <c r="B102267"/>
      <c r="C102267"/>
      <c r="E102267"/>
      <c r="F102267"/>
    </row>
    <row r="102268" spans="1:6" x14ac:dyDescent="0.25">
      <c r="A102268"/>
      <c r="B102268"/>
      <c r="C102268"/>
      <c r="E102268"/>
      <c r="F102268"/>
    </row>
    <row r="102269" spans="1:6" x14ac:dyDescent="0.25">
      <c r="A102269"/>
      <c r="B102269"/>
      <c r="C102269"/>
      <c r="E102269"/>
      <c r="F102269"/>
    </row>
    <row r="102270" spans="1:6" x14ac:dyDescent="0.25">
      <c r="A102270"/>
      <c r="B102270"/>
      <c r="C102270"/>
      <c r="E102270"/>
      <c r="F102270"/>
    </row>
    <row r="102271" spans="1:6" x14ac:dyDescent="0.25">
      <c r="A102271"/>
      <c r="B102271"/>
      <c r="C102271"/>
      <c r="E102271"/>
      <c r="F102271"/>
    </row>
    <row r="102272" spans="1:6" x14ac:dyDescent="0.25">
      <c r="A102272"/>
      <c r="B102272"/>
      <c r="C102272"/>
      <c r="E102272"/>
      <c r="F102272"/>
    </row>
    <row r="102273" spans="1:6" x14ac:dyDescent="0.25">
      <c r="A102273"/>
      <c r="B102273"/>
      <c r="C102273"/>
      <c r="E102273"/>
      <c r="F102273"/>
    </row>
    <row r="102274" spans="1:6" x14ac:dyDescent="0.25">
      <c r="A102274"/>
      <c r="B102274"/>
      <c r="C102274"/>
      <c r="E102274"/>
      <c r="F102274"/>
    </row>
    <row r="102275" spans="1:6" x14ac:dyDescent="0.25">
      <c r="A102275"/>
      <c r="B102275"/>
      <c r="C102275"/>
      <c r="E102275"/>
      <c r="F102275"/>
    </row>
    <row r="102276" spans="1:6" x14ac:dyDescent="0.25">
      <c r="A102276"/>
      <c r="B102276"/>
      <c r="C102276"/>
      <c r="E102276"/>
      <c r="F102276"/>
    </row>
    <row r="102277" spans="1:6" x14ac:dyDescent="0.25">
      <c r="A102277"/>
      <c r="B102277"/>
      <c r="C102277"/>
      <c r="E102277"/>
      <c r="F102277"/>
    </row>
    <row r="102278" spans="1:6" x14ac:dyDescent="0.25">
      <c r="A102278"/>
      <c r="B102278"/>
      <c r="C102278"/>
      <c r="E102278"/>
      <c r="F102278"/>
    </row>
    <row r="102279" spans="1:6" x14ac:dyDescent="0.25">
      <c r="A102279"/>
      <c r="B102279"/>
      <c r="C102279"/>
      <c r="E102279"/>
      <c r="F102279"/>
    </row>
    <row r="102280" spans="1:6" x14ac:dyDescent="0.25">
      <c r="A102280"/>
      <c r="B102280"/>
      <c r="C102280"/>
      <c r="E102280"/>
      <c r="F102280"/>
    </row>
    <row r="102281" spans="1:6" x14ac:dyDescent="0.25">
      <c r="A102281"/>
      <c r="B102281"/>
      <c r="C102281"/>
      <c r="E102281"/>
      <c r="F102281"/>
    </row>
    <row r="102282" spans="1:6" x14ac:dyDescent="0.25">
      <c r="A102282"/>
      <c r="B102282"/>
      <c r="C102282"/>
      <c r="E102282"/>
      <c r="F102282"/>
    </row>
    <row r="102283" spans="1:6" x14ac:dyDescent="0.25">
      <c r="A102283"/>
      <c r="B102283"/>
      <c r="C102283"/>
      <c r="E102283"/>
      <c r="F102283"/>
    </row>
    <row r="102284" spans="1:6" x14ac:dyDescent="0.25">
      <c r="A102284"/>
      <c r="B102284"/>
      <c r="C102284"/>
      <c r="E102284"/>
      <c r="F102284"/>
    </row>
    <row r="102285" spans="1:6" x14ac:dyDescent="0.25">
      <c r="A102285"/>
      <c r="B102285"/>
      <c r="C102285"/>
      <c r="E102285"/>
      <c r="F102285"/>
    </row>
    <row r="102286" spans="1:6" x14ac:dyDescent="0.25">
      <c r="A102286"/>
      <c r="B102286"/>
      <c r="C102286"/>
      <c r="E102286"/>
      <c r="F102286"/>
    </row>
    <row r="102287" spans="1:6" x14ac:dyDescent="0.25">
      <c r="A102287"/>
      <c r="B102287"/>
      <c r="C102287"/>
      <c r="E102287"/>
      <c r="F102287"/>
    </row>
    <row r="102288" spans="1:6" x14ac:dyDescent="0.25">
      <c r="A102288"/>
      <c r="B102288"/>
      <c r="C102288"/>
      <c r="E102288"/>
      <c r="F102288"/>
    </row>
    <row r="102289" spans="1:6" x14ac:dyDescent="0.25">
      <c r="A102289"/>
      <c r="B102289"/>
      <c r="C102289"/>
      <c r="E102289"/>
      <c r="F102289"/>
    </row>
    <row r="102290" spans="1:6" x14ac:dyDescent="0.25">
      <c r="A102290"/>
      <c r="B102290"/>
      <c r="C102290"/>
      <c r="E102290"/>
      <c r="F102290"/>
    </row>
    <row r="102291" spans="1:6" x14ac:dyDescent="0.25">
      <c r="A102291"/>
      <c r="B102291"/>
      <c r="C102291"/>
      <c r="E102291"/>
      <c r="F102291"/>
    </row>
    <row r="102292" spans="1:6" x14ac:dyDescent="0.25">
      <c r="A102292"/>
      <c r="B102292"/>
      <c r="C102292"/>
      <c r="E102292"/>
      <c r="F102292"/>
    </row>
    <row r="102293" spans="1:6" x14ac:dyDescent="0.25">
      <c r="A102293"/>
      <c r="B102293"/>
      <c r="C102293"/>
      <c r="E102293"/>
      <c r="F102293"/>
    </row>
    <row r="102294" spans="1:6" x14ac:dyDescent="0.25">
      <c r="A102294"/>
      <c r="B102294"/>
      <c r="C102294"/>
      <c r="E102294"/>
      <c r="F102294"/>
    </row>
    <row r="102295" spans="1:6" x14ac:dyDescent="0.25">
      <c r="A102295"/>
      <c r="B102295"/>
      <c r="C102295"/>
      <c r="E102295"/>
      <c r="F102295"/>
    </row>
    <row r="102296" spans="1:6" x14ac:dyDescent="0.25">
      <c r="A102296"/>
      <c r="B102296"/>
      <c r="C102296"/>
      <c r="E102296"/>
      <c r="F102296"/>
    </row>
    <row r="102297" spans="1:6" x14ac:dyDescent="0.25">
      <c r="A102297"/>
      <c r="B102297"/>
      <c r="C102297"/>
      <c r="E102297"/>
      <c r="F102297"/>
    </row>
    <row r="102298" spans="1:6" x14ac:dyDescent="0.25">
      <c r="A102298"/>
      <c r="B102298"/>
      <c r="C102298"/>
      <c r="E102298"/>
      <c r="F102298"/>
    </row>
    <row r="102299" spans="1:6" x14ac:dyDescent="0.25">
      <c r="A102299"/>
      <c r="B102299"/>
      <c r="C102299"/>
      <c r="E102299"/>
      <c r="F102299"/>
    </row>
    <row r="102300" spans="1:6" x14ac:dyDescent="0.25">
      <c r="A102300"/>
      <c r="B102300"/>
      <c r="C102300"/>
      <c r="E102300"/>
      <c r="F102300"/>
    </row>
    <row r="102301" spans="1:6" x14ac:dyDescent="0.25">
      <c r="A102301"/>
      <c r="B102301"/>
      <c r="C102301"/>
      <c r="E102301"/>
      <c r="F102301"/>
    </row>
    <row r="102302" spans="1:6" x14ac:dyDescent="0.25">
      <c r="A102302"/>
      <c r="B102302"/>
      <c r="C102302"/>
      <c r="E102302"/>
      <c r="F102302"/>
    </row>
    <row r="102303" spans="1:6" x14ac:dyDescent="0.25">
      <c r="A102303"/>
      <c r="B102303"/>
      <c r="C102303"/>
      <c r="E102303"/>
      <c r="F102303"/>
    </row>
    <row r="102304" spans="1:6" x14ac:dyDescent="0.25">
      <c r="A102304"/>
      <c r="B102304"/>
      <c r="C102304"/>
      <c r="E102304"/>
      <c r="F102304"/>
    </row>
    <row r="102305" spans="1:6" x14ac:dyDescent="0.25">
      <c r="A102305"/>
      <c r="B102305"/>
      <c r="C102305"/>
      <c r="E102305"/>
      <c r="F102305"/>
    </row>
    <row r="102306" spans="1:6" x14ac:dyDescent="0.25">
      <c r="A102306"/>
      <c r="B102306"/>
      <c r="C102306"/>
      <c r="E102306"/>
      <c r="F102306"/>
    </row>
    <row r="102307" spans="1:6" x14ac:dyDescent="0.25">
      <c r="A102307"/>
      <c r="B102307"/>
      <c r="C102307"/>
      <c r="E102307"/>
      <c r="F102307"/>
    </row>
    <row r="102308" spans="1:6" x14ac:dyDescent="0.25">
      <c r="A102308"/>
      <c r="B102308"/>
      <c r="C102308"/>
      <c r="E102308"/>
      <c r="F102308"/>
    </row>
    <row r="102309" spans="1:6" x14ac:dyDescent="0.25">
      <c r="A102309"/>
      <c r="B102309"/>
      <c r="C102309"/>
      <c r="E102309"/>
      <c r="F102309"/>
    </row>
    <row r="102310" spans="1:6" x14ac:dyDescent="0.25">
      <c r="A102310"/>
      <c r="B102310"/>
      <c r="C102310"/>
      <c r="E102310"/>
      <c r="F102310"/>
    </row>
    <row r="102311" spans="1:6" x14ac:dyDescent="0.25">
      <c r="A102311"/>
      <c r="B102311"/>
      <c r="C102311"/>
      <c r="E102311"/>
      <c r="F102311"/>
    </row>
    <row r="102312" spans="1:6" x14ac:dyDescent="0.25">
      <c r="A102312"/>
      <c r="B102312"/>
      <c r="C102312"/>
      <c r="E102312"/>
      <c r="F102312"/>
    </row>
    <row r="102313" spans="1:6" x14ac:dyDescent="0.25">
      <c r="A102313"/>
      <c r="B102313"/>
      <c r="C102313"/>
      <c r="E102313"/>
      <c r="F102313"/>
    </row>
    <row r="102314" spans="1:6" x14ac:dyDescent="0.25">
      <c r="A102314"/>
      <c r="B102314"/>
      <c r="C102314"/>
      <c r="E102314"/>
      <c r="F102314"/>
    </row>
    <row r="102315" spans="1:6" x14ac:dyDescent="0.25">
      <c r="A102315"/>
      <c r="B102315"/>
      <c r="C102315"/>
      <c r="E102315"/>
      <c r="F102315"/>
    </row>
    <row r="102316" spans="1:6" x14ac:dyDescent="0.25">
      <c r="A102316"/>
      <c r="B102316"/>
      <c r="C102316"/>
      <c r="E102316"/>
      <c r="F102316"/>
    </row>
    <row r="102317" spans="1:6" x14ac:dyDescent="0.25">
      <c r="A102317"/>
      <c r="B102317"/>
      <c r="C102317"/>
      <c r="E102317"/>
      <c r="F102317"/>
    </row>
    <row r="102318" spans="1:6" x14ac:dyDescent="0.25">
      <c r="A102318"/>
      <c r="B102318"/>
      <c r="C102318"/>
      <c r="E102318"/>
      <c r="F102318"/>
    </row>
    <row r="102319" spans="1:6" x14ac:dyDescent="0.25">
      <c r="A102319"/>
      <c r="B102319"/>
      <c r="C102319"/>
      <c r="E102319"/>
      <c r="F102319"/>
    </row>
    <row r="102320" spans="1:6" x14ac:dyDescent="0.25">
      <c r="A102320"/>
      <c r="B102320"/>
      <c r="C102320"/>
      <c r="E102320"/>
      <c r="F102320"/>
    </row>
    <row r="102321" spans="1:6" x14ac:dyDescent="0.25">
      <c r="A102321"/>
      <c r="B102321"/>
      <c r="C102321"/>
      <c r="E102321"/>
      <c r="F102321"/>
    </row>
    <row r="102322" spans="1:6" x14ac:dyDescent="0.25">
      <c r="A102322"/>
      <c r="B102322"/>
      <c r="C102322"/>
      <c r="E102322"/>
      <c r="F102322"/>
    </row>
    <row r="102323" spans="1:6" x14ac:dyDescent="0.25">
      <c r="A102323"/>
      <c r="B102323"/>
      <c r="C102323"/>
      <c r="E102323"/>
      <c r="F102323"/>
    </row>
    <row r="102324" spans="1:6" x14ac:dyDescent="0.25">
      <c r="A102324"/>
      <c r="B102324"/>
      <c r="C102324"/>
      <c r="E102324"/>
      <c r="F102324"/>
    </row>
    <row r="102325" spans="1:6" x14ac:dyDescent="0.25">
      <c r="A102325"/>
      <c r="B102325"/>
      <c r="C102325"/>
      <c r="E102325"/>
      <c r="F102325"/>
    </row>
    <row r="102326" spans="1:6" x14ac:dyDescent="0.25">
      <c r="A102326"/>
      <c r="B102326"/>
      <c r="C102326"/>
      <c r="E102326"/>
      <c r="F102326"/>
    </row>
    <row r="102327" spans="1:6" x14ac:dyDescent="0.25">
      <c r="A102327"/>
      <c r="B102327"/>
      <c r="C102327"/>
      <c r="E102327"/>
      <c r="F102327"/>
    </row>
    <row r="102328" spans="1:6" x14ac:dyDescent="0.25">
      <c r="A102328"/>
      <c r="B102328"/>
      <c r="C102328"/>
      <c r="E102328"/>
      <c r="F102328"/>
    </row>
    <row r="102329" spans="1:6" x14ac:dyDescent="0.25">
      <c r="A102329"/>
      <c r="B102329"/>
      <c r="C102329"/>
      <c r="E102329"/>
      <c r="F102329"/>
    </row>
    <row r="102330" spans="1:6" x14ac:dyDescent="0.25">
      <c r="A102330"/>
      <c r="B102330"/>
      <c r="C102330"/>
      <c r="E102330"/>
      <c r="F102330"/>
    </row>
    <row r="102331" spans="1:6" x14ac:dyDescent="0.25">
      <c r="A102331"/>
      <c r="B102331"/>
      <c r="C102331"/>
      <c r="E102331"/>
      <c r="F102331"/>
    </row>
    <row r="102332" spans="1:6" x14ac:dyDescent="0.25">
      <c r="A102332"/>
      <c r="B102332"/>
      <c r="C102332"/>
      <c r="E102332"/>
      <c r="F102332"/>
    </row>
    <row r="102333" spans="1:6" x14ac:dyDescent="0.25">
      <c r="A102333"/>
      <c r="B102333"/>
      <c r="C102333"/>
      <c r="E102333"/>
      <c r="F102333"/>
    </row>
    <row r="102334" spans="1:6" x14ac:dyDescent="0.25">
      <c r="A102334"/>
      <c r="B102334"/>
      <c r="C102334"/>
      <c r="E102334"/>
      <c r="F102334"/>
    </row>
    <row r="102335" spans="1:6" x14ac:dyDescent="0.25">
      <c r="A102335"/>
      <c r="B102335"/>
      <c r="C102335"/>
      <c r="E102335"/>
      <c r="F102335"/>
    </row>
    <row r="102336" spans="1:6" x14ac:dyDescent="0.25">
      <c r="A102336"/>
      <c r="B102336"/>
      <c r="C102336"/>
      <c r="E102336"/>
      <c r="F102336"/>
    </row>
    <row r="102337" spans="1:6" x14ac:dyDescent="0.25">
      <c r="A102337"/>
      <c r="B102337"/>
      <c r="C102337"/>
      <c r="E102337"/>
      <c r="F102337"/>
    </row>
    <row r="102338" spans="1:6" x14ac:dyDescent="0.25">
      <c r="A102338"/>
      <c r="B102338"/>
      <c r="C102338"/>
      <c r="E102338"/>
      <c r="F102338"/>
    </row>
    <row r="102339" spans="1:6" x14ac:dyDescent="0.25">
      <c r="A102339"/>
      <c r="B102339"/>
      <c r="C102339"/>
      <c r="E102339"/>
      <c r="F102339"/>
    </row>
    <row r="102340" spans="1:6" x14ac:dyDescent="0.25">
      <c r="A102340"/>
      <c r="B102340"/>
      <c r="C102340"/>
      <c r="E102340"/>
      <c r="F102340"/>
    </row>
    <row r="102341" spans="1:6" x14ac:dyDescent="0.25">
      <c r="A102341"/>
      <c r="B102341"/>
      <c r="C102341"/>
      <c r="E102341"/>
      <c r="F102341"/>
    </row>
    <row r="102342" spans="1:6" x14ac:dyDescent="0.25">
      <c r="A102342"/>
      <c r="B102342"/>
      <c r="C102342"/>
      <c r="E102342"/>
      <c r="F102342"/>
    </row>
    <row r="102343" spans="1:6" x14ac:dyDescent="0.25">
      <c r="A102343"/>
      <c r="B102343"/>
      <c r="C102343"/>
      <c r="E102343"/>
      <c r="F102343"/>
    </row>
    <row r="102344" spans="1:6" x14ac:dyDescent="0.25">
      <c r="A102344"/>
      <c r="B102344"/>
      <c r="C102344"/>
      <c r="E102344"/>
      <c r="F102344"/>
    </row>
    <row r="102345" spans="1:6" x14ac:dyDescent="0.25">
      <c r="A102345"/>
      <c r="B102345"/>
      <c r="C102345"/>
      <c r="E102345"/>
      <c r="F102345"/>
    </row>
    <row r="102346" spans="1:6" x14ac:dyDescent="0.25">
      <c r="A102346"/>
      <c r="B102346"/>
      <c r="C102346"/>
      <c r="E102346"/>
      <c r="F102346"/>
    </row>
    <row r="102347" spans="1:6" x14ac:dyDescent="0.25">
      <c r="A102347"/>
      <c r="B102347"/>
      <c r="C102347"/>
      <c r="E102347"/>
      <c r="F102347"/>
    </row>
    <row r="102348" spans="1:6" x14ac:dyDescent="0.25">
      <c r="A102348"/>
      <c r="B102348"/>
      <c r="C102348"/>
      <c r="E102348"/>
      <c r="F102348"/>
    </row>
    <row r="102349" spans="1:6" x14ac:dyDescent="0.25">
      <c r="A102349"/>
      <c r="B102349"/>
      <c r="C102349"/>
      <c r="E102349"/>
      <c r="F102349"/>
    </row>
    <row r="102350" spans="1:6" x14ac:dyDescent="0.25">
      <c r="A102350"/>
      <c r="B102350"/>
      <c r="C102350"/>
      <c r="E102350"/>
      <c r="F102350"/>
    </row>
    <row r="102351" spans="1:6" x14ac:dyDescent="0.25">
      <c r="A102351"/>
      <c r="B102351"/>
      <c r="C102351"/>
      <c r="E102351"/>
      <c r="F102351"/>
    </row>
    <row r="102352" spans="1:6" x14ac:dyDescent="0.25">
      <c r="A102352"/>
      <c r="B102352"/>
      <c r="C102352"/>
      <c r="E102352"/>
      <c r="F102352"/>
    </row>
    <row r="102353" spans="1:6" x14ac:dyDescent="0.25">
      <c r="A102353"/>
      <c r="B102353"/>
      <c r="C102353"/>
      <c r="E102353"/>
      <c r="F102353"/>
    </row>
    <row r="102354" spans="1:6" x14ac:dyDescent="0.25">
      <c r="A102354"/>
      <c r="B102354"/>
      <c r="C102354"/>
      <c r="E102354"/>
      <c r="F102354"/>
    </row>
    <row r="102355" spans="1:6" x14ac:dyDescent="0.25">
      <c r="A102355"/>
      <c r="B102355"/>
      <c r="C102355"/>
      <c r="E102355"/>
      <c r="F102355"/>
    </row>
    <row r="102356" spans="1:6" x14ac:dyDescent="0.25">
      <c r="A102356"/>
      <c r="B102356"/>
      <c r="C102356"/>
      <c r="E102356"/>
      <c r="F102356"/>
    </row>
    <row r="102357" spans="1:6" x14ac:dyDescent="0.25">
      <c r="A102357"/>
      <c r="B102357"/>
      <c r="C102357"/>
      <c r="E102357"/>
      <c r="F102357"/>
    </row>
    <row r="102358" spans="1:6" x14ac:dyDescent="0.25">
      <c r="A102358"/>
      <c r="B102358"/>
      <c r="C102358"/>
      <c r="E102358"/>
      <c r="F102358"/>
    </row>
    <row r="102359" spans="1:6" x14ac:dyDescent="0.25">
      <c r="A102359"/>
      <c r="B102359"/>
      <c r="C102359"/>
      <c r="E102359"/>
      <c r="F102359"/>
    </row>
    <row r="102360" spans="1:6" x14ac:dyDescent="0.25">
      <c r="A102360"/>
      <c r="B102360"/>
      <c r="C102360"/>
      <c r="E102360"/>
      <c r="F102360"/>
    </row>
    <row r="102361" spans="1:6" x14ac:dyDescent="0.25">
      <c r="A102361"/>
      <c r="B102361"/>
      <c r="C102361"/>
      <c r="E102361"/>
      <c r="F102361"/>
    </row>
    <row r="102362" spans="1:6" x14ac:dyDescent="0.25">
      <c r="A102362"/>
      <c r="B102362"/>
      <c r="C102362"/>
      <c r="E102362"/>
      <c r="F102362"/>
    </row>
    <row r="102363" spans="1:6" x14ac:dyDescent="0.25">
      <c r="A102363"/>
      <c r="B102363"/>
      <c r="C102363"/>
      <c r="E102363"/>
      <c r="F102363"/>
    </row>
    <row r="102364" spans="1:6" x14ac:dyDescent="0.25">
      <c r="A102364"/>
      <c r="B102364"/>
      <c r="C102364"/>
      <c r="E102364"/>
      <c r="F102364"/>
    </row>
    <row r="102365" spans="1:6" x14ac:dyDescent="0.25">
      <c r="A102365"/>
      <c r="B102365"/>
      <c r="C102365"/>
      <c r="E102365"/>
      <c r="F102365"/>
    </row>
    <row r="102366" spans="1:6" x14ac:dyDescent="0.25">
      <c r="A102366"/>
      <c r="B102366"/>
      <c r="C102366"/>
      <c r="E102366"/>
      <c r="F102366"/>
    </row>
    <row r="102367" spans="1:6" x14ac:dyDescent="0.25">
      <c r="A102367"/>
      <c r="B102367"/>
      <c r="C102367"/>
      <c r="E102367"/>
      <c r="F102367"/>
    </row>
    <row r="102368" spans="1:6" x14ac:dyDescent="0.25">
      <c r="A102368"/>
      <c r="B102368"/>
      <c r="C102368"/>
      <c r="E102368"/>
      <c r="F102368"/>
    </row>
    <row r="102369" spans="1:6" x14ac:dyDescent="0.25">
      <c r="A102369"/>
      <c r="B102369"/>
      <c r="C102369"/>
      <c r="E102369"/>
      <c r="F102369"/>
    </row>
    <row r="102370" spans="1:6" x14ac:dyDescent="0.25">
      <c r="A102370"/>
      <c r="B102370"/>
      <c r="C102370"/>
      <c r="E102370"/>
      <c r="F102370"/>
    </row>
    <row r="102371" spans="1:6" x14ac:dyDescent="0.25">
      <c r="A102371"/>
      <c r="B102371"/>
      <c r="C102371"/>
      <c r="E102371"/>
      <c r="F102371"/>
    </row>
    <row r="102372" spans="1:6" x14ac:dyDescent="0.25">
      <c r="A102372"/>
      <c r="B102372"/>
      <c r="C102372"/>
      <c r="E102372"/>
      <c r="F102372"/>
    </row>
    <row r="102373" spans="1:6" x14ac:dyDescent="0.25">
      <c r="A102373"/>
      <c r="B102373"/>
      <c r="C102373"/>
      <c r="E102373"/>
      <c r="F102373"/>
    </row>
    <row r="102374" spans="1:6" x14ac:dyDescent="0.25">
      <c r="A102374"/>
      <c r="B102374"/>
      <c r="C102374"/>
      <c r="E102374"/>
      <c r="F102374"/>
    </row>
    <row r="102375" spans="1:6" x14ac:dyDescent="0.25">
      <c r="A102375"/>
      <c r="B102375"/>
      <c r="C102375"/>
      <c r="E102375"/>
      <c r="F102375"/>
    </row>
    <row r="102376" spans="1:6" x14ac:dyDescent="0.25">
      <c r="A102376"/>
      <c r="B102376"/>
      <c r="C102376"/>
      <c r="E102376"/>
      <c r="F102376"/>
    </row>
    <row r="102377" spans="1:6" x14ac:dyDescent="0.25">
      <c r="A102377"/>
      <c r="B102377"/>
      <c r="C102377"/>
      <c r="E102377"/>
      <c r="F102377"/>
    </row>
    <row r="102378" spans="1:6" x14ac:dyDescent="0.25">
      <c r="A102378"/>
      <c r="B102378"/>
      <c r="C102378"/>
      <c r="E102378"/>
      <c r="F102378"/>
    </row>
    <row r="102379" spans="1:6" x14ac:dyDescent="0.25">
      <c r="A102379"/>
      <c r="B102379"/>
      <c r="C102379"/>
      <c r="E102379"/>
      <c r="F102379"/>
    </row>
    <row r="102380" spans="1:6" x14ac:dyDescent="0.25">
      <c r="A102380"/>
      <c r="B102380"/>
      <c r="C102380"/>
      <c r="E102380"/>
      <c r="F102380"/>
    </row>
    <row r="102381" spans="1:6" x14ac:dyDescent="0.25">
      <c r="A102381"/>
      <c r="B102381"/>
      <c r="C102381"/>
      <c r="E102381"/>
      <c r="F102381"/>
    </row>
    <row r="102382" spans="1:6" x14ac:dyDescent="0.25">
      <c r="A102382"/>
      <c r="B102382"/>
      <c r="C102382"/>
      <c r="E102382"/>
      <c r="F102382"/>
    </row>
    <row r="102383" spans="1:6" x14ac:dyDescent="0.25">
      <c r="A102383"/>
      <c r="B102383"/>
      <c r="C102383"/>
      <c r="E102383"/>
      <c r="F102383"/>
    </row>
    <row r="102384" spans="1:6" x14ac:dyDescent="0.25">
      <c r="A102384"/>
      <c r="B102384"/>
      <c r="C102384"/>
      <c r="E102384"/>
      <c r="F102384"/>
    </row>
    <row r="102385" spans="1:6" x14ac:dyDescent="0.25">
      <c r="A102385"/>
      <c r="B102385"/>
      <c r="C102385"/>
      <c r="E102385"/>
      <c r="F102385"/>
    </row>
    <row r="102386" spans="1:6" x14ac:dyDescent="0.25">
      <c r="A102386"/>
      <c r="B102386"/>
      <c r="C102386"/>
      <c r="E102386"/>
      <c r="F102386"/>
    </row>
    <row r="102387" spans="1:6" x14ac:dyDescent="0.25">
      <c r="A102387"/>
      <c r="B102387"/>
      <c r="C102387"/>
      <c r="E102387"/>
      <c r="F102387"/>
    </row>
    <row r="102388" spans="1:6" x14ac:dyDescent="0.25">
      <c r="A102388"/>
      <c r="B102388"/>
      <c r="C102388"/>
      <c r="E102388"/>
      <c r="F102388"/>
    </row>
    <row r="102389" spans="1:6" x14ac:dyDescent="0.25">
      <c r="A102389"/>
      <c r="B102389"/>
      <c r="C102389"/>
      <c r="E102389"/>
      <c r="F102389"/>
    </row>
    <row r="102390" spans="1:6" x14ac:dyDescent="0.25">
      <c r="A102390"/>
      <c r="B102390"/>
      <c r="C102390"/>
      <c r="E102390"/>
      <c r="F102390"/>
    </row>
    <row r="102391" spans="1:6" x14ac:dyDescent="0.25">
      <c r="A102391"/>
      <c r="B102391"/>
      <c r="C102391"/>
      <c r="E102391"/>
      <c r="F102391"/>
    </row>
    <row r="102392" spans="1:6" x14ac:dyDescent="0.25">
      <c r="A102392"/>
      <c r="B102392"/>
      <c r="C102392"/>
      <c r="E102392"/>
      <c r="F102392"/>
    </row>
    <row r="102393" spans="1:6" x14ac:dyDescent="0.25">
      <c r="A102393"/>
      <c r="B102393"/>
      <c r="C102393"/>
      <c r="E102393"/>
      <c r="F102393"/>
    </row>
    <row r="102394" spans="1:6" x14ac:dyDescent="0.25">
      <c r="A102394"/>
      <c r="B102394"/>
      <c r="C102394"/>
      <c r="E102394"/>
      <c r="F102394"/>
    </row>
    <row r="102395" spans="1:6" x14ac:dyDescent="0.25">
      <c r="A102395"/>
      <c r="B102395"/>
      <c r="C102395"/>
      <c r="E102395"/>
      <c r="F102395"/>
    </row>
    <row r="102396" spans="1:6" x14ac:dyDescent="0.25">
      <c r="A102396"/>
      <c r="B102396"/>
      <c r="C102396"/>
      <c r="E102396"/>
      <c r="F102396"/>
    </row>
    <row r="102397" spans="1:6" x14ac:dyDescent="0.25">
      <c r="A102397"/>
      <c r="B102397"/>
      <c r="C102397"/>
      <c r="E102397"/>
      <c r="F102397"/>
    </row>
    <row r="102398" spans="1:6" x14ac:dyDescent="0.25">
      <c r="A102398"/>
      <c r="B102398"/>
      <c r="C102398"/>
      <c r="E102398"/>
      <c r="F102398"/>
    </row>
    <row r="102399" spans="1:6" x14ac:dyDescent="0.25">
      <c r="A102399"/>
      <c r="B102399"/>
      <c r="C102399"/>
      <c r="E102399"/>
      <c r="F102399"/>
    </row>
    <row r="102400" spans="1:6" x14ac:dyDescent="0.25">
      <c r="A102400"/>
      <c r="B102400"/>
      <c r="C102400"/>
      <c r="E102400"/>
      <c r="F102400"/>
    </row>
    <row r="102401" spans="1:6" x14ac:dyDescent="0.25">
      <c r="A102401"/>
      <c r="B102401"/>
      <c r="C102401"/>
      <c r="E102401"/>
      <c r="F102401"/>
    </row>
    <row r="102402" spans="1:6" x14ac:dyDescent="0.25">
      <c r="A102402"/>
      <c r="B102402"/>
      <c r="C102402"/>
      <c r="E102402"/>
      <c r="F102402"/>
    </row>
    <row r="102403" spans="1:6" x14ac:dyDescent="0.25">
      <c r="A102403"/>
      <c r="B102403"/>
      <c r="C102403"/>
      <c r="E102403"/>
      <c r="F102403"/>
    </row>
    <row r="102404" spans="1:6" x14ac:dyDescent="0.25">
      <c r="A102404"/>
      <c r="B102404"/>
      <c r="C102404"/>
      <c r="E102404"/>
      <c r="F102404"/>
    </row>
    <row r="102405" spans="1:6" x14ac:dyDescent="0.25">
      <c r="A102405"/>
      <c r="B102405"/>
      <c r="C102405"/>
      <c r="E102405"/>
      <c r="F102405"/>
    </row>
    <row r="102406" spans="1:6" x14ac:dyDescent="0.25">
      <c r="A102406"/>
      <c r="B102406"/>
      <c r="C102406"/>
      <c r="E102406"/>
      <c r="F102406"/>
    </row>
    <row r="102407" spans="1:6" x14ac:dyDescent="0.25">
      <c r="A102407"/>
      <c r="B102407"/>
      <c r="C102407"/>
      <c r="E102407"/>
      <c r="F102407"/>
    </row>
    <row r="102408" spans="1:6" x14ac:dyDescent="0.25">
      <c r="A102408"/>
      <c r="B102408"/>
      <c r="C102408"/>
      <c r="E102408"/>
      <c r="F102408"/>
    </row>
    <row r="102409" spans="1:6" x14ac:dyDescent="0.25">
      <c r="A102409"/>
      <c r="B102409"/>
      <c r="C102409"/>
      <c r="E102409"/>
      <c r="F102409"/>
    </row>
    <row r="102410" spans="1:6" x14ac:dyDescent="0.25">
      <c r="A102410"/>
      <c r="B102410"/>
      <c r="C102410"/>
      <c r="E102410"/>
      <c r="F102410"/>
    </row>
    <row r="102411" spans="1:6" x14ac:dyDescent="0.25">
      <c r="A102411"/>
      <c r="B102411"/>
      <c r="C102411"/>
      <c r="E102411"/>
      <c r="F102411"/>
    </row>
    <row r="102412" spans="1:6" x14ac:dyDescent="0.25">
      <c r="A102412"/>
      <c r="B102412"/>
      <c r="C102412"/>
      <c r="E102412"/>
      <c r="F102412"/>
    </row>
    <row r="102413" spans="1:6" x14ac:dyDescent="0.25">
      <c r="A102413"/>
      <c r="B102413"/>
      <c r="C102413"/>
      <c r="E102413"/>
      <c r="F102413"/>
    </row>
    <row r="102414" spans="1:6" x14ac:dyDescent="0.25">
      <c r="A102414"/>
      <c r="B102414"/>
      <c r="C102414"/>
      <c r="E102414"/>
      <c r="F102414"/>
    </row>
    <row r="102415" spans="1:6" x14ac:dyDescent="0.25">
      <c r="A102415"/>
      <c r="B102415"/>
      <c r="C102415"/>
      <c r="E102415"/>
      <c r="F102415"/>
    </row>
    <row r="102416" spans="1:6" x14ac:dyDescent="0.25">
      <c r="A102416"/>
      <c r="B102416"/>
      <c r="C102416"/>
      <c r="E102416"/>
      <c r="F102416"/>
    </row>
    <row r="102417" spans="1:6" x14ac:dyDescent="0.25">
      <c r="A102417"/>
      <c r="B102417"/>
      <c r="C102417"/>
      <c r="E102417"/>
      <c r="F102417"/>
    </row>
    <row r="102418" spans="1:6" x14ac:dyDescent="0.25">
      <c r="A102418"/>
      <c r="B102418"/>
      <c r="C102418"/>
      <c r="E102418"/>
      <c r="F102418"/>
    </row>
    <row r="102419" spans="1:6" x14ac:dyDescent="0.25">
      <c r="A102419"/>
      <c r="B102419"/>
      <c r="C102419"/>
      <c r="E102419"/>
      <c r="F102419"/>
    </row>
    <row r="102420" spans="1:6" x14ac:dyDescent="0.25">
      <c r="A102420"/>
      <c r="B102420"/>
      <c r="C102420"/>
      <c r="E102420"/>
      <c r="F102420"/>
    </row>
    <row r="102421" spans="1:6" x14ac:dyDescent="0.25">
      <c r="A102421"/>
      <c r="B102421"/>
      <c r="C102421"/>
      <c r="E102421"/>
      <c r="F102421"/>
    </row>
    <row r="102422" spans="1:6" x14ac:dyDescent="0.25">
      <c r="A102422"/>
      <c r="B102422"/>
      <c r="C102422"/>
      <c r="E102422"/>
      <c r="F102422"/>
    </row>
    <row r="102423" spans="1:6" x14ac:dyDescent="0.25">
      <c r="A102423"/>
      <c r="B102423"/>
      <c r="C102423"/>
      <c r="E102423"/>
      <c r="F102423"/>
    </row>
    <row r="102424" spans="1:6" x14ac:dyDescent="0.25">
      <c r="A102424"/>
      <c r="B102424"/>
      <c r="C102424"/>
      <c r="E102424"/>
      <c r="F102424"/>
    </row>
    <row r="102425" spans="1:6" x14ac:dyDescent="0.25">
      <c r="A102425"/>
      <c r="B102425"/>
      <c r="C102425"/>
      <c r="E102425"/>
      <c r="F102425"/>
    </row>
    <row r="102426" spans="1:6" x14ac:dyDescent="0.25">
      <c r="A102426"/>
      <c r="B102426"/>
      <c r="C102426"/>
      <c r="E102426"/>
      <c r="F102426"/>
    </row>
    <row r="102427" spans="1:6" x14ac:dyDescent="0.25">
      <c r="A102427"/>
      <c r="B102427"/>
      <c r="C102427"/>
      <c r="E102427"/>
      <c r="F102427"/>
    </row>
    <row r="102428" spans="1:6" x14ac:dyDescent="0.25">
      <c r="A102428"/>
      <c r="B102428"/>
      <c r="C102428"/>
      <c r="E102428"/>
      <c r="F102428"/>
    </row>
    <row r="102429" spans="1:6" x14ac:dyDescent="0.25">
      <c r="A102429"/>
      <c r="B102429"/>
      <c r="C102429"/>
      <c r="E102429"/>
      <c r="F102429"/>
    </row>
    <row r="102430" spans="1:6" x14ac:dyDescent="0.25">
      <c r="A102430"/>
      <c r="B102430"/>
      <c r="C102430"/>
      <c r="E102430"/>
      <c r="F102430"/>
    </row>
    <row r="102431" spans="1:6" x14ac:dyDescent="0.25">
      <c r="A102431"/>
      <c r="B102431"/>
      <c r="C102431"/>
      <c r="E102431"/>
      <c r="F102431"/>
    </row>
    <row r="102432" spans="1:6" x14ac:dyDescent="0.25">
      <c r="A102432"/>
      <c r="B102432"/>
      <c r="C102432"/>
      <c r="E102432"/>
      <c r="F102432"/>
    </row>
    <row r="102433" spans="1:6" x14ac:dyDescent="0.25">
      <c r="A102433"/>
      <c r="B102433"/>
      <c r="C102433"/>
      <c r="E102433"/>
      <c r="F102433"/>
    </row>
    <row r="102434" spans="1:6" x14ac:dyDescent="0.25">
      <c r="A102434"/>
      <c r="B102434"/>
      <c r="C102434"/>
      <c r="E102434"/>
      <c r="F102434"/>
    </row>
    <row r="102435" spans="1:6" x14ac:dyDescent="0.25">
      <c r="A102435"/>
      <c r="B102435"/>
      <c r="C102435"/>
      <c r="E102435"/>
      <c r="F102435"/>
    </row>
    <row r="102436" spans="1:6" x14ac:dyDescent="0.25">
      <c r="A102436"/>
      <c r="B102436"/>
      <c r="C102436"/>
      <c r="E102436"/>
      <c r="F102436"/>
    </row>
    <row r="102437" spans="1:6" x14ac:dyDescent="0.25">
      <c r="A102437"/>
      <c r="B102437"/>
      <c r="C102437"/>
      <c r="E102437"/>
      <c r="F102437"/>
    </row>
    <row r="102438" spans="1:6" x14ac:dyDescent="0.25">
      <c r="A102438"/>
      <c r="B102438"/>
      <c r="C102438"/>
      <c r="E102438"/>
      <c r="F102438"/>
    </row>
    <row r="102439" spans="1:6" x14ac:dyDescent="0.25">
      <c r="A102439"/>
      <c r="B102439"/>
      <c r="C102439"/>
      <c r="E102439"/>
      <c r="F102439"/>
    </row>
    <row r="102440" spans="1:6" x14ac:dyDescent="0.25">
      <c r="A102440"/>
      <c r="B102440"/>
      <c r="C102440"/>
      <c r="E102440"/>
      <c r="F102440"/>
    </row>
    <row r="102441" spans="1:6" x14ac:dyDescent="0.25">
      <c r="A102441"/>
      <c r="B102441"/>
      <c r="C102441"/>
      <c r="E102441"/>
      <c r="F102441"/>
    </row>
    <row r="102442" spans="1:6" x14ac:dyDescent="0.25">
      <c r="A102442"/>
      <c r="B102442"/>
      <c r="C102442"/>
      <c r="E102442"/>
      <c r="F102442"/>
    </row>
    <row r="102443" spans="1:6" x14ac:dyDescent="0.25">
      <c r="A102443"/>
      <c r="B102443"/>
      <c r="C102443"/>
      <c r="E102443"/>
      <c r="F102443"/>
    </row>
    <row r="102444" spans="1:6" x14ac:dyDescent="0.25">
      <c r="A102444"/>
      <c r="B102444"/>
      <c r="C102444"/>
      <c r="E102444"/>
      <c r="F102444"/>
    </row>
    <row r="102445" spans="1:6" x14ac:dyDescent="0.25">
      <c r="A102445"/>
      <c r="B102445"/>
      <c r="C102445"/>
      <c r="E102445"/>
      <c r="F102445"/>
    </row>
    <row r="102446" spans="1:6" x14ac:dyDescent="0.25">
      <c r="A102446"/>
      <c r="B102446"/>
      <c r="C102446"/>
      <c r="E102446"/>
      <c r="F102446"/>
    </row>
    <row r="102447" spans="1:6" x14ac:dyDescent="0.25">
      <c r="A102447"/>
      <c r="B102447"/>
      <c r="C102447"/>
      <c r="E102447"/>
      <c r="F102447"/>
    </row>
    <row r="102448" spans="1:6" x14ac:dyDescent="0.25">
      <c r="A102448"/>
      <c r="B102448"/>
      <c r="C102448"/>
      <c r="E102448"/>
      <c r="F102448"/>
    </row>
    <row r="102449" spans="1:6" x14ac:dyDescent="0.25">
      <c r="A102449"/>
      <c r="B102449"/>
      <c r="C102449"/>
      <c r="E102449"/>
      <c r="F102449"/>
    </row>
    <row r="102450" spans="1:6" x14ac:dyDescent="0.25">
      <c r="A102450"/>
      <c r="B102450"/>
      <c r="C102450"/>
      <c r="E102450"/>
      <c r="F102450"/>
    </row>
    <row r="102451" spans="1:6" x14ac:dyDescent="0.25">
      <c r="A102451"/>
      <c r="B102451"/>
      <c r="C102451"/>
      <c r="E102451"/>
      <c r="F102451"/>
    </row>
    <row r="102452" spans="1:6" x14ac:dyDescent="0.25">
      <c r="A102452"/>
      <c r="B102452"/>
      <c r="C102452"/>
      <c r="E102452"/>
      <c r="F102452"/>
    </row>
    <row r="102453" spans="1:6" x14ac:dyDescent="0.25">
      <c r="A102453"/>
      <c r="B102453"/>
      <c r="C102453"/>
      <c r="E102453"/>
      <c r="F102453"/>
    </row>
    <row r="102454" spans="1:6" x14ac:dyDescent="0.25">
      <c r="A102454"/>
      <c r="B102454"/>
      <c r="C102454"/>
      <c r="E102454"/>
      <c r="F102454"/>
    </row>
    <row r="102455" spans="1:6" x14ac:dyDescent="0.25">
      <c r="A102455"/>
      <c r="B102455"/>
      <c r="C102455"/>
      <c r="E102455"/>
      <c r="F102455"/>
    </row>
    <row r="102456" spans="1:6" x14ac:dyDescent="0.25">
      <c r="A102456"/>
      <c r="B102456"/>
      <c r="C102456"/>
      <c r="E102456"/>
      <c r="F102456"/>
    </row>
    <row r="102457" spans="1:6" x14ac:dyDescent="0.25">
      <c r="A102457"/>
      <c r="B102457"/>
      <c r="C102457"/>
      <c r="E102457"/>
      <c r="F102457"/>
    </row>
    <row r="102458" spans="1:6" x14ac:dyDescent="0.25">
      <c r="A102458"/>
      <c r="B102458"/>
      <c r="C102458"/>
      <c r="E102458"/>
      <c r="F102458"/>
    </row>
    <row r="102459" spans="1:6" x14ac:dyDescent="0.25">
      <c r="A102459"/>
      <c r="B102459"/>
      <c r="C102459"/>
      <c r="E102459"/>
      <c r="F102459"/>
    </row>
    <row r="102460" spans="1:6" x14ac:dyDescent="0.25">
      <c r="A102460"/>
      <c r="B102460"/>
      <c r="C102460"/>
      <c r="E102460"/>
      <c r="F102460"/>
    </row>
    <row r="102461" spans="1:6" x14ac:dyDescent="0.25">
      <c r="A102461"/>
      <c r="B102461"/>
      <c r="C102461"/>
      <c r="E102461"/>
      <c r="F102461"/>
    </row>
    <row r="102462" spans="1:6" x14ac:dyDescent="0.25">
      <c r="A102462"/>
      <c r="B102462"/>
      <c r="C102462"/>
      <c r="E102462"/>
      <c r="F102462"/>
    </row>
    <row r="102463" spans="1:6" x14ac:dyDescent="0.25">
      <c r="A102463"/>
      <c r="B102463"/>
      <c r="C102463"/>
      <c r="E102463"/>
      <c r="F102463"/>
    </row>
    <row r="102464" spans="1:6" x14ac:dyDescent="0.25">
      <c r="A102464"/>
      <c r="B102464"/>
      <c r="C102464"/>
      <c r="E102464"/>
      <c r="F102464"/>
    </row>
    <row r="102465" spans="1:6" x14ac:dyDescent="0.25">
      <c r="A102465"/>
      <c r="B102465"/>
      <c r="C102465"/>
      <c r="E102465"/>
      <c r="F102465"/>
    </row>
    <row r="102466" spans="1:6" x14ac:dyDescent="0.25">
      <c r="A102466"/>
      <c r="B102466"/>
      <c r="C102466"/>
      <c r="E102466"/>
      <c r="F102466"/>
    </row>
    <row r="102467" spans="1:6" x14ac:dyDescent="0.25">
      <c r="A102467"/>
      <c r="B102467"/>
      <c r="C102467"/>
      <c r="E102467"/>
      <c r="F102467"/>
    </row>
    <row r="102468" spans="1:6" x14ac:dyDescent="0.25">
      <c r="A102468"/>
      <c r="B102468"/>
      <c r="C102468"/>
      <c r="E102468"/>
      <c r="F102468"/>
    </row>
    <row r="102469" spans="1:6" x14ac:dyDescent="0.25">
      <c r="A102469"/>
      <c r="B102469"/>
      <c r="C102469"/>
      <c r="E102469"/>
      <c r="F102469"/>
    </row>
    <row r="102470" spans="1:6" x14ac:dyDescent="0.25">
      <c r="A102470"/>
      <c r="B102470"/>
      <c r="C102470"/>
      <c r="E102470"/>
      <c r="F102470"/>
    </row>
    <row r="102471" spans="1:6" x14ac:dyDescent="0.25">
      <c r="A102471"/>
      <c r="B102471"/>
      <c r="C102471"/>
      <c r="E102471"/>
      <c r="F102471"/>
    </row>
    <row r="102472" spans="1:6" x14ac:dyDescent="0.25">
      <c r="A102472"/>
      <c r="B102472"/>
      <c r="C102472"/>
      <c r="E102472"/>
      <c r="F102472"/>
    </row>
    <row r="102473" spans="1:6" x14ac:dyDescent="0.25">
      <c r="A102473"/>
      <c r="B102473"/>
      <c r="C102473"/>
      <c r="E102473"/>
      <c r="F102473"/>
    </row>
    <row r="102474" spans="1:6" x14ac:dyDescent="0.25">
      <c r="A102474"/>
      <c r="B102474"/>
      <c r="C102474"/>
      <c r="E102474"/>
      <c r="F102474"/>
    </row>
    <row r="102475" spans="1:6" x14ac:dyDescent="0.25">
      <c r="A102475"/>
      <c r="B102475"/>
      <c r="C102475"/>
      <c r="E102475"/>
      <c r="F102475"/>
    </row>
    <row r="102476" spans="1:6" x14ac:dyDescent="0.25">
      <c r="A102476"/>
      <c r="B102476"/>
      <c r="C102476"/>
      <c r="E102476"/>
      <c r="F102476"/>
    </row>
    <row r="102477" spans="1:6" x14ac:dyDescent="0.25">
      <c r="A102477"/>
      <c r="B102477"/>
      <c r="C102477"/>
      <c r="E102477"/>
      <c r="F102477"/>
    </row>
    <row r="102478" spans="1:6" x14ac:dyDescent="0.25">
      <c r="A102478"/>
      <c r="B102478"/>
      <c r="C102478"/>
      <c r="E102478"/>
      <c r="F102478"/>
    </row>
    <row r="102479" spans="1:6" x14ac:dyDescent="0.25">
      <c r="A102479"/>
      <c r="B102479"/>
      <c r="C102479"/>
      <c r="E102479"/>
      <c r="F102479"/>
    </row>
    <row r="102480" spans="1:6" x14ac:dyDescent="0.25">
      <c r="A102480"/>
      <c r="B102480"/>
      <c r="C102480"/>
      <c r="E102480"/>
      <c r="F102480"/>
    </row>
    <row r="102481" spans="1:6" x14ac:dyDescent="0.25">
      <c r="A102481"/>
      <c r="B102481"/>
      <c r="C102481"/>
      <c r="E102481"/>
      <c r="F102481"/>
    </row>
    <row r="102482" spans="1:6" x14ac:dyDescent="0.25">
      <c r="A102482"/>
      <c r="B102482"/>
      <c r="C102482"/>
      <c r="E102482"/>
      <c r="F102482"/>
    </row>
    <row r="102483" spans="1:6" x14ac:dyDescent="0.25">
      <c r="A102483"/>
      <c r="B102483"/>
      <c r="C102483"/>
      <c r="E102483"/>
      <c r="F102483"/>
    </row>
    <row r="102484" spans="1:6" x14ac:dyDescent="0.25">
      <c r="A102484"/>
      <c r="B102484"/>
      <c r="C102484"/>
      <c r="E102484"/>
      <c r="F102484"/>
    </row>
    <row r="102485" spans="1:6" x14ac:dyDescent="0.25">
      <c r="A102485"/>
      <c r="B102485"/>
      <c r="C102485"/>
      <c r="E102485"/>
      <c r="F102485"/>
    </row>
    <row r="102486" spans="1:6" x14ac:dyDescent="0.25">
      <c r="A102486"/>
      <c r="B102486"/>
      <c r="C102486"/>
      <c r="E102486"/>
      <c r="F102486"/>
    </row>
    <row r="102487" spans="1:6" x14ac:dyDescent="0.25">
      <c r="A102487"/>
      <c r="B102487"/>
      <c r="C102487"/>
      <c r="E102487"/>
      <c r="F102487"/>
    </row>
    <row r="102488" spans="1:6" x14ac:dyDescent="0.25">
      <c r="A102488"/>
      <c r="B102488"/>
      <c r="C102488"/>
      <c r="E102488"/>
      <c r="F102488"/>
    </row>
    <row r="102489" spans="1:6" x14ac:dyDescent="0.25">
      <c r="A102489"/>
      <c r="B102489"/>
      <c r="C102489"/>
      <c r="E102489"/>
      <c r="F102489"/>
    </row>
    <row r="102490" spans="1:6" x14ac:dyDescent="0.25">
      <c r="A102490"/>
      <c r="B102490"/>
      <c r="C102490"/>
      <c r="E102490"/>
      <c r="F102490"/>
    </row>
    <row r="102491" spans="1:6" x14ac:dyDescent="0.25">
      <c r="A102491"/>
      <c r="B102491"/>
      <c r="C102491"/>
      <c r="E102491"/>
      <c r="F102491"/>
    </row>
    <row r="102492" spans="1:6" x14ac:dyDescent="0.25">
      <c r="A102492"/>
      <c r="B102492"/>
      <c r="C102492"/>
      <c r="E102492"/>
      <c r="F102492"/>
    </row>
    <row r="102493" spans="1:6" x14ac:dyDescent="0.25">
      <c r="A102493"/>
      <c r="B102493"/>
      <c r="C102493"/>
      <c r="E102493"/>
      <c r="F102493"/>
    </row>
    <row r="102494" spans="1:6" x14ac:dyDescent="0.25">
      <c r="A102494"/>
      <c r="B102494"/>
      <c r="C102494"/>
      <c r="E102494"/>
      <c r="F102494"/>
    </row>
    <row r="102495" spans="1:6" x14ac:dyDescent="0.25">
      <c r="A102495"/>
      <c r="B102495"/>
      <c r="C102495"/>
      <c r="E102495"/>
      <c r="F102495"/>
    </row>
    <row r="102496" spans="1:6" x14ac:dyDescent="0.25">
      <c r="A102496"/>
      <c r="B102496"/>
      <c r="C102496"/>
      <c r="E102496"/>
      <c r="F102496"/>
    </row>
    <row r="102497" spans="1:6" x14ac:dyDescent="0.25">
      <c r="A102497"/>
      <c r="B102497"/>
      <c r="C102497"/>
      <c r="E102497"/>
      <c r="F102497"/>
    </row>
    <row r="102498" spans="1:6" x14ac:dyDescent="0.25">
      <c r="A102498"/>
      <c r="B102498"/>
      <c r="C102498"/>
      <c r="E102498"/>
      <c r="F102498"/>
    </row>
    <row r="102499" spans="1:6" x14ac:dyDescent="0.25">
      <c r="A102499"/>
      <c r="B102499"/>
      <c r="C102499"/>
      <c r="E102499"/>
      <c r="F102499"/>
    </row>
    <row r="102500" spans="1:6" x14ac:dyDescent="0.25">
      <c r="A102500"/>
      <c r="B102500"/>
      <c r="C102500"/>
      <c r="E102500"/>
      <c r="F102500"/>
    </row>
    <row r="102501" spans="1:6" x14ac:dyDescent="0.25">
      <c r="A102501"/>
      <c r="B102501"/>
      <c r="C102501"/>
      <c r="E102501"/>
      <c r="F102501"/>
    </row>
    <row r="102502" spans="1:6" x14ac:dyDescent="0.25">
      <c r="A102502"/>
      <c r="B102502"/>
      <c r="C102502"/>
      <c r="E102502"/>
      <c r="F102502"/>
    </row>
    <row r="102503" spans="1:6" x14ac:dyDescent="0.25">
      <c r="A102503"/>
      <c r="B102503"/>
      <c r="C102503"/>
      <c r="E102503"/>
      <c r="F102503"/>
    </row>
    <row r="102504" spans="1:6" x14ac:dyDescent="0.25">
      <c r="A102504"/>
      <c r="B102504"/>
      <c r="C102504"/>
      <c r="E102504"/>
      <c r="F102504"/>
    </row>
    <row r="102505" spans="1:6" x14ac:dyDescent="0.25">
      <c r="A102505"/>
      <c r="B102505"/>
      <c r="C102505"/>
      <c r="E102505"/>
      <c r="F102505"/>
    </row>
    <row r="102506" spans="1:6" x14ac:dyDescent="0.25">
      <c r="A102506"/>
      <c r="B102506"/>
      <c r="C102506"/>
      <c r="E102506"/>
      <c r="F102506"/>
    </row>
    <row r="102507" spans="1:6" x14ac:dyDescent="0.25">
      <c r="A102507"/>
      <c r="B102507"/>
      <c r="C102507"/>
      <c r="E102507"/>
      <c r="F102507"/>
    </row>
    <row r="102508" spans="1:6" x14ac:dyDescent="0.25">
      <c r="A102508"/>
      <c r="B102508"/>
      <c r="C102508"/>
      <c r="E102508"/>
      <c r="F102508"/>
    </row>
    <row r="102509" spans="1:6" x14ac:dyDescent="0.25">
      <c r="A102509"/>
      <c r="B102509"/>
      <c r="C102509"/>
      <c r="E102509"/>
      <c r="F102509"/>
    </row>
    <row r="102510" spans="1:6" x14ac:dyDescent="0.25">
      <c r="A102510"/>
      <c r="B102510"/>
      <c r="C102510"/>
      <c r="E102510"/>
      <c r="F102510"/>
    </row>
    <row r="102511" spans="1:6" x14ac:dyDescent="0.25">
      <c r="A102511"/>
      <c r="B102511"/>
      <c r="C102511"/>
      <c r="E102511"/>
      <c r="F102511"/>
    </row>
    <row r="102512" spans="1:6" x14ac:dyDescent="0.25">
      <c r="A102512"/>
      <c r="B102512"/>
      <c r="C102512"/>
      <c r="E102512"/>
      <c r="F102512"/>
    </row>
    <row r="102513" spans="1:6" x14ac:dyDescent="0.25">
      <c r="A102513"/>
      <c r="B102513"/>
      <c r="C102513"/>
      <c r="E102513"/>
      <c r="F102513"/>
    </row>
    <row r="102514" spans="1:6" x14ac:dyDescent="0.25">
      <c r="A102514"/>
      <c r="B102514"/>
      <c r="C102514"/>
      <c r="E102514"/>
      <c r="F102514"/>
    </row>
    <row r="102515" spans="1:6" x14ac:dyDescent="0.25">
      <c r="A102515"/>
      <c r="B102515"/>
      <c r="C102515"/>
      <c r="E102515"/>
      <c r="F102515"/>
    </row>
    <row r="102516" spans="1:6" x14ac:dyDescent="0.25">
      <c r="A102516"/>
      <c r="B102516"/>
      <c r="C102516"/>
      <c r="E102516"/>
      <c r="F102516"/>
    </row>
    <row r="102517" spans="1:6" x14ac:dyDescent="0.25">
      <c r="A102517"/>
      <c r="B102517"/>
      <c r="C102517"/>
      <c r="E102517"/>
      <c r="F102517"/>
    </row>
    <row r="102518" spans="1:6" x14ac:dyDescent="0.25">
      <c r="A102518"/>
      <c r="B102518"/>
      <c r="C102518"/>
      <c r="E102518"/>
      <c r="F102518"/>
    </row>
    <row r="102519" spans="1:6" x14ac:dyDescent="0.25">
      <c r="A102519"/>
      <c r="B102519"/>
      <c r="C102519"/>
      <c r="E102519"/>
      <c r="F102519"/>
    </row>
    <row r="102520" spans="1:6" x14ac:dyDescent="0.25">
      <c r="A102520"/>
      <c r="B102520"/>
      <c r="C102520"/>
      <c r="E102520"/>
      <c r="F102520"/>
    </row>
    <row r="102521" spans="1:6" x14ac:dyDescent="0.25">
      <c r="A102521"/>
      <c r="B102521"/>
      <c r="C102521"/>
      <c r="E102521"/>
      <c r="F102521"/>
    </row>
    <row r="102522" spans="1:6" x14ac:dyDescent="0.25">
      <c r="A102522"/>
      <c r="B102522"/>
      <c r="C102522"/>
      <c r="E102522"/>
      <c r="F102522"/>
    </row>
    <row r="102523" spans="1:6" x14ac:dyDescent="0.25">
      <c r="A102523"/>
      <c r="B102523"/>
      <c r="C102523"/>
      <c r="E102523"/>
      <c r="F102523"/>
    </row>
    <row r="102524" spans="1:6" x14ac:dyDescent="0.25">
      <c r="A102524"/>
      <c r="B102524"/>
      <c r="C102524"/>
      <c r="E102524"/>
      <c r="F102524"/>
    </row>
    <row r="102525" spans="1:6" x14ac:dyDescent="0.25">
      <c r="A102525"/>
      <c r="B102525"/>
      <c r="C102525"/>
      <c r="E102525"/>
      <c r="F102525"/>
    </row>
    <row r="102526" spans="1:6" x14ac:dyDescent="0.25">
      <c r="A102526"/>
      <c r="B102526"/>
      <c r="C102526"/>
      <c r="E102526"/>
      <c r="F102526"/>
    </row>
    <row r="102527" spans="1:6" x14ac:dyDescent="0.25">
      <c r="A102527"/>
      <c r="B102527"/>
      <c r="C102527"/>
      <c r="E102527"/>
      <c r="F102527"/>
    </row>
    <row r="102528" spans="1:6" x14ac:dyDescent="0.25">
      <c r="A102528"/>
      <c r="B102528"/>
      <c r="C102528"/>
      <c r="E102528"/>
      <c r="F102528"/>
    </row>
    <row r="102529" spans="1:6" x14ac:dyDescent="0.25">
      <c r="A102529"/>
      <c r="B102529"/>
      <c r="C102529"/>
      <c r="E102529"/>
      <c r="F102529"/>
    </row>
    <row r="102530" spans="1:6" x14ac:dyDescent="0.25">
      <c r="A102530"/>
      <c r="B102530"/>
      <c r="C102530"/>
      <c r="E102530"/>
      <c r="F102530"/>
    </row>
    <row r="102531" spans="1:6" x14ac:dyDescent="0.25">
      <c r="A102531"/>
      <c r="B102531"/>
      <c r="C102531"/>
      <c r="E102531"/>
      <c r="F102531"/>
    </row>
    <row r="102532" spans="1:6" x14ac:dyDescent="0.25">
      <c r="A102532"/>
      <c r="B102532"/>
      <c r="C102532"/>
      <c r="E102532"/>
      <c r="F102532"/>
    </row>
    <row r="102533" spans="1:6" x14ac:dyDescent="0.25">
      <c r="A102533"/>
      <c r="B102533"/>
      <c r="C102533"/>
      <c r="E102533"/>
      <c r="F102533"/>
    </row>
    <row r="102534" spans="1:6" x14ac:dyDescent="0.25">
      <c r="A102534"/>
      <c r="B102534"/>
      <c r="C102534"/>
      <c r="E102534"/>
      <c r="F102534"/>
    </row>
    <row r="102535" spans="1:6" x14ac:dyDescent="0.25">
      <c r="A102535"/>
      <c r="B102535"/>
      <c r="C102535"/>
      <c r="E102535"/>
      <c r="F102535"/>
    </row>
    <row r="102536" spans="1:6" x14ac:dyDescent="0.25">
      <c r="A102536"/>
      <c r="B102536"/>
      <c r="C102536"/>
      <c r="E102536"/>
      <c r="F102536"/>
    </row>
    <row r="102537" spans="1:6" x14ac:dyDescent="0.25">
      <c r="A102537"/>
      <c r="B102537"/>
      <c r="C102537"/>
      <c r="E102537"/>
      <c r="F102537"/>
    </row>
    <row r="102538" spans="1:6" x14ac:dyDescent="0.25">
      <c r="A102538"/>
      <c r="B102538"/>
      <c r="C102538"/>
      <c r="E102538"/>
      <c r="F102538"/>
    </row>
    <row r="102539" spans="1:6" x14ac:dyDescent="0.25">
      <c r="A102539"/>
      <c r="B102539"/>
      <c r="C102539"/>
      <c r="E102539"/>
      <c r="F102539"/>
    </row>
    <row r="102540" spans="1:6" x14ac:dyDescent="0.25">
      <c r="A102540"/>
      <c r="B102540"/>
      <c r="C102540"/>
      <c r="E102540"/>
      <c r="F102540"/>
    </row>
    <row r="102541" spans="1:6" x14ac:dyDescent="0.25">
      <c r="A102541"/>
      <c r="B102541"/>
      <c r="C102541"/>
      <c r="E102541"/>
      <c r="F102541"/>
    </row>
    <row r="102542" spans="1:6" x14ac:dyDescent="0.25">
      <c r="A102542"/>
      <c r="B102542"/>
      <c r="C102542"/>
      <c r="E102542"/>
      <c r="F102542"/>
    </row>
    <row r="102543" spans="1:6" x14ac:dyDescent="0.25">
      <c r="A102543"/>
      <c r="B102543"/>
      <c r="C102543"/>
      <c r="E102543"/>
      <c r="F102543"/>
    </row>
    <row r="102544" spans="1:6" x14ac:dyDescent="0.25">
      <c r="A102544"/>
      <c r="B102544"/>
      <c r="C102544"/>
      <c r="E102544"/>
      <c r="F102544"/>
    </row>
    <row r="102545" spans="1:6" x14ac:dyDescent="0.25">
      <c r="A102545"/>
      <c r="B102545"/>
      <c r="C102545"/>
      <c r="E102545"/>
      <c r="F102545"/>
    </row>
    <row r="102546" spans="1:6" x14ac:dyDescent="0.25">
      <c r="A102546"/>
      <c r="B102546"/>
      <c r="C102546"/>
      <c r="E102546"/>
      <c r="F102546"/>
    </row>
    <row r="102547" spans="1:6" x14ac:dyDescent="0.25">
      <c r="A102547"/>
      <c r="B102547"/>
      <c r="C102547"/>
      <c r="E102547"/>
      <c r="F102547"/>
    </row>
    <row r="102548" spans="1:6" x14ac:dyDescent="0.25">
      <c r="A102548"/>
      <c r="B102548"/>
      <c r="C102548"/>
      <c r="E102548"/>
      <c r="F102548"/>
    </row>
    <row r="102549" spans="1:6" x14ac:dyDescent="0.25">
      <c r="A102549"/>
      <c r="B102549"/>
      <c r="C102549"/>
      <c r="E102549"/>
      <c r="F102549"/>
    </row>
    <row r="102550" spans="1:6" x14ac:dyDescent="0.25">
      <c r="A102550"/>
      <c r="B102550"/>
      <c r="C102550"/>
      <c r="E102550"/>
      <c r="F102550"/>
    </row>
    <row r="102551" spans="1:6" x14ac:dyDescent="0.25">
      <c r="A102551"/>
      <c r="B102551"/>
      <c r="C102551"/>
      <c r="E102551"/>
      <c r="F102551"/>
    </row>
    <row r="102552" spans="1:6" x14ac:dyDescent="0.25">
      <c r="A102552"/>
      <c r="B102552"/>
      <c r="C102552"/>
      <c r="E102552"/>
      <c r="F102552"/>
    </row>
    <row r="102553" spans="1:6" x14ac:dyDescent="0.25">
      <c r="A102553"/>
      <c r="B102553"/>
      <c r="C102553"/>
      <c r="E102553"/>
      <c r="F102553"/>
    </row>
    <row r="102554" spans="1:6" x14ac:dyDescent="0.25">
      <c r="A102554"/>
      <c r="B102554"/>
      <c r="C102554"/>
      <c r="E102554"/>
      <c r="F102554"/>
    </row>
    <row r="102555" spans="1:6" x14ac:dyDescent="0.25">
      <c r="A102555"/>
      <c r="B102555"/>
      <c r="C102555"/>
      <c r="E102555"/>
      <c r="F102555"/>
    </row>
    <row r="102556" spans="1:6" x14ac:dyDescent="0.25">
      <c r="A102556"/>
      <c r="B102556"/>
      <c r="C102556"/>
      <c r="E102556"/>
      <c r="F102556"/>
    </row>
    <row r="102557" spans="1:6" x14ac:dyDescent="0.25">
      <c r="A102557"/>
      <c r="B102557"/>
      <c r="C102557"/>
      <c r="E102557"/>
      <c r="F102557"/>
    </row>
    <row r="102558" spans="1:6" x14ac:dyDescent="0.25">
      <c r="A102558"/>
      <c r="B102558"/>
      <c r="C102558"/>
      <c r="E102558"/>
      <c r="F102558"/>
    </row>
    <row r="102559" spans="1:6" x14ac:dyDescent="0.25">
      <c r="A102559"/>
      <c r="B102559"/>
      <c r="C102559"/>
      <c r="E102559"/>
      <c r="F102559"/>
    </row>
    <row r="102560" spans="1:6" x14ac:dyDescent="0.25">
      <c r="A102560"/>
      <c r="B102560"/>
      <c r="C102560"/>
      <c r="E102560"/>
      <c r="F102560"/>
    </row>
    <row r="102561" spans="1:6" x14ac:dyDescent="0.25">
      <c r="A102561"/>
      <c r="B102561"/>
      <c r="C102561"/>
      <c r="E102561"/>
      <c r="F102561"/>
    </row>
    <row r="102562" spans="1:6" x14ac:dyDescent="0.25">
      <c r="A102562"/>
      <c r="B102562"/>
      <c r="C102562"/>
      <c r="E102562"/>
      <c r="F102562"/>
    </row>
    <row r="102563" spans="1:6" x14ac:dyDescent="0.25">
      <c r="A102563"/>
      <c r="B102563"/>
      <c r="C102563"/>
      <c r="E102563"/>
      <c r="F102563"/>
    </row>
    <row r="102564" spans="1:6" x14ac:dyDescent="0.25">
      <c r="A102564"/>
      <c r="B102564"/>
      <c r="C102564"/>
      <c r="E102564"/>
      <c r="F102564"/>
    </row>
    <row r="102565" spans="1:6" x14ac:dyDescent="0.25">
      <c r="A102565"/>
      <c r="B102565"/>
      <c r="C102565"/>
      <c r="E102565"/>
      <c r="F102565"/>
    </row>
    <row r="102566" spans="1:6" x14ac:dyDescent="0.25">
      <c r="A102566"/>
      <c r="B102566"/>
      <c r="C102566"/>
      <c r="E102566"/>
      <c r="F102566"/>
    </row>
    <row r="102567" spans="1:6" x14ac:dyDescent="0.25">
      <c r="A102567"/>
      <c r="B102567"/>
      <c r="C102567"/>
      <c r="E102567"/>
      <c r="F102567"/>
    </row>
    <row r="102568" spans="1:6" x14ac:dyDescent="0.25">
      <c r="A102568"/>
      <c r="B102568"/>
      <c r="C102568"/>
      <c r="E102568"/>
      <c r="F102568"/>
    </row>
    <row r="102569" spans="1:6" x14ac:dyDescent="0.25">
      <c r="A102569"/>
      <c r="B102569"/>
      <c r="C102569"/>
      <c r="E102569"/>
      <c r="F102569"/>
    </row>
    <row r="102570" spans="1:6" x14ac:dyDescent="0.25">
      <c r="A102570"/>
      <c r="B102570"/>
      <c r="C102570"/>
      <c r="E102570"/>
      <c r="F102570"/>
    </row>
    <row r="102571" spans="1:6" x14ac:dyDescent="0.25">
      <c r="A102571"/>
      <c r="B102571"/>
      <c r="C102571"/>
      <c r="E102571"/>
      <c r="F102571"/>
    </row>
    <row r="102572" spans="1:6" x14ac:dyDescent="0.25">
      <c r="A102572"/>
      <c r="B102572"/>
      <c r="C102572"/>
      <c r="E102572"/>
      <c r="F102572"/>
    </row>
    <row r="102573" spans="1:6" x14ac:dyDescent="0.25">
      <c r="A102573"/>
      <c r="B102573"/>
      <c r="C102573"/>
      <c r="E102573"/>
      <c r="F102573"/>
    </row>
    <row r="102574" spans="1:6" x14ac:dyDescent="0.25">
      <c r="A102574"/>
      <c r="B102574"/>
      <c r="C102574"/>
      <c r="E102574"/>
      <c r="F102574"/>
    </row>
    <row r="102575" spans="1:6" x14ac:dyDescent="0.25">
      <c r="A102575"/>
      <c r="B102575"/>
      <c r="C102575"/>
      <c r="E102575"/>
      <c r="F102575"/>
    </row>
    <row r="102576" spans="1:6" x14ac:dyDescent="0.25">
      <c r="A102576"/>
      <c r="B102576"/>
      <c r="C102576"/>
      <c r="E102576"/>
      <c r="F102576"/>
    </row>
    <row r="102577" spans="1:6" x14ac:dyDescent="0.25">
      <c r="A102577"/>
      <c r="B102577"/>
      <c r="C102577"/>
      <c r="E102577"/>
      <c r="F102577"/>
    </row>
    <row r="102578" spans="1:6" x14ac:dyDescent="0.25">
      <c r="A102578"/>
      <c r="B102578"/>
      <c r="C102578"/>
      <c r="E102578"/>
      <c r="F102578"/>
    </row>
    <row r="102579" spans="1:6" x14ac:dyDescent="0.25">
      <c r="A102579"/>
      <c r="B102579"/>
      <c r="C102579"/>
      <c r="E102579"/>
      <c r="F102579"/>
    </row>
    <row r="102580" spans="1:6" x14ac:dyDescent="0.25">
      <c r="A102580"/>
      <c r="B102580"/>
      <c r="C102580"/>
      <c r="E102580"/>
      <c r="F102580"/>
    </row>
    <row r="102581" spans="1:6" x14ac:dyDescent="0.25">
      <c r="A102581"/>
      <c r="B102581"/>
      <c r="C102581"/>
      <c r="E102581"/>
      <c r="F102581"/>
    </row>
    <row r="102582" spans="1:6" x14ac:dyDescent="0.25">
      <c r="A102582"/>
      <c r="B102582"/>
      <c r="C102582"/>
      <c r="E102582"/>
      <c r="F102582"/>
    </row>
    <row r="102583" spans="1:6" x14ac:dyDescent="0.25">
      <c r="A102583"/>
      <c r="B102583"/>
      <c r="C102583"/>
      <c r="E102583"/>
      <c r="F102583"/>
    </row>
    <row r="102584" spans="1:6" x14ac:dyDescent="0.25">
      <c r="A102584"/>
      <c r="B102584"/>
      <c r="C102584"/>
      <c r="E102584"/>
      <c r="F102584"/>
    </row>
    <row r="102585" spans="1:6" x14ac:dyDescent="0.25">
      <c r="A102585"/>
      <c r="B102585"/>
      <c r="C102585"/>
      <c r="E102585"/>
      <c r="F102585"/>
    </row>
    <row r="102586" spans="1:6" x14ac:dyDescent="0.25">
      <c r="A102586"/>
      <c r="B102586"/>
      <c r="C102586"/>
      <c r="E102586"/>
      <c r="F102586"/>
    </row>
    <row r="102587" spans="1:6" x14ac:dyDescent="0.25">
      <c r="A102587"/>
      <c r="B102587"/>
      <c r="C102587"/>
      <c r="E102587"/>
      <c r="F102587"/>
    </row>
    <row r="102588" spans="1:6" x14ac:dyDescent="0.25">
      <c r="A102588"/>
      <c r="B102588"/>
      <c r="C102588"/>
      <c r="E102588"/>
      <c r="F102588"/>
    </row>
    <row r="102589" spans="1:6" x14ac:dyDescent="0.25">
      <c r="A102589"/>
      <c r="B102589"/>
      <c r="C102589"/>
      <c r="E102589"/>
      <c r="F102589"/>
    </row>
    <row r="102590" spans="1:6" x14ac:dyDescent="0.25">
      <c r="A102590"/>
      <c r="B102590"/>
      <c r="C102590"/>
      <c r="E102590"/>
      <c r="F102590"/>
    </row>
    <row r="102591" spans="1:6" x14ac:dyDescent="0.25">
      <c r="A102591"/>
      <c r="B102591"/>
      <c r="C102591"/>
      <c r="E102591"/>
      <c r="F102591"/>
    </row>
    <row r="102592" spans="1:6" x14ac:dyDescent="0.25">
      <c r="A102592"/>
      <c r="B102592"/>
      <c r="C102592"/>
      <c r="E102592"/>
      <c r="F102592"/>
    </row>
    <row r="102593" spans="1:6" x14ac:dyDescent="0.25">
      <c r="A102593"/>
      <c r="B102593"/>
      <c r="C102593"/>
      <c r="E102593"/>
      <c r="F102593"/>
    </row>
    <row r="102594" spans="1:6" x14ac:dyDescent="0.25">
      <c r="A102594"/>
      <c r="B102594"/>
      <c r="C102594"/>
      <c r="E102594"/>
      <c r="F102594"/>
    </row>
    <row r="102595" spans="1:6" x14ac:dyDescent="0.25">
      <c r="A102595"/>
      <c r="B102595"/>
      <c r="C102595"/>
      <c r="E102595"/>
      <c r="F102595"/>
    </row>
    <row r="102596" spans="1:6" x14ac:dyDescent="0.25">
      <c r="A102596"/>
      <c r="B102596"/>
      <c r="C102596"/>
      <c r="E102596"/>
      <c r="F102596"/>
    </row>
    <row r="102597" spans="1:6" x14ac:dyDescent="0.25">
      <c r="A102597"/>
      <c r="B102597"/>
      <c r="C102597"/>
      <c r="E102597"/>
      <c r="F102597"/>
    </row>
    <row r="102598" spans="1:6" x14ac:dyDescent="0.25">
      <c r="A102598"/>
      <c r="B102598"/>
      <c r="C102598"/>
      <c r="E102598"/>
      <c r="F102598"/>
    </row>
    <row r="102599" spans="1:6" x14ac:dyDescent="0.25">
      <c r="A102599"/>
      <c r="B102599"/>
      <c r="C102599"/>
      <c r="E102599"/>
      <c r="F102599"/>
    </row>
    <row r="102600" spans="1:6" x14ac:dyDescent="0.25">
      <c r="A102600"/>
      <c r="B102600"/>
      <c r="C102600"/>
      <c r="E102600"/>
      <c r="F102600"/>
    </row>
    <row r="102601" spans="1:6" x14ac:dyDescent="0.25">
      <c r="A102601"/>
      <c r="B102601"/>
      <c r="C102601"/>
      <c r="E102601"/>
      <c r="F102601"/>
    </row>
    <row r="102602" spans="1:6" x14ac:dyDescent="0.25">
      <c r="A102602"/>
      <c r="B102602"/>
      <c r="C102602"/>
      <c r="E102602"/>
      <c r="F102602"/>
    </row>
    <row r="102603" spans="1:6" x14ac:dyDescent="0.25">
      <c r="A102603"/>
      <c r="B102603"/>
      <c r="C102603"/>
      <c r="E102603"/>
      <c r="F102603"/>
    </row>
    <row r="102604" spans="1:6" x14ac:dyDescent="0.25">
      <c r="A102604"/>
      <c r="B102604"/>
      <c r="C102604"/>
      <c r="E102604"/>
      <c r="F102604"/>
    </row>
    <row r="102605" spans="1:6" x14ac:dyDescent="0.25">
      <c r="A102605"/>
      <c r="B102605"/>
      <c r="C102605"/>
      <c r="E102605"/>
      <c r="F102605"/>
    </row>
    <row r="102606" spans="1:6" x14ac:dyDescent="0.25">
      <c r="A102606"/>
      <c r="B102606"/>
      <c r="C102606"/>
      <c r="E102606"/>
      <c r="F102606"/>
    </row>
    <row r="102607" spans="1:6" x14ac:dyDescent="0.25">
      <c r="A102607"/>
      <c r="B102607"/>
      <c r="C102607"/>
      <c r="E102607"/>
      <c r="F102607"/>
    </row>
    <row r="102608" spans="1:6" x14ac:dyDescent="0.25">
      <c r="A102608"/>
      <c r="B102608"/>
      <c r="C102608"/>
      <c r="E102608"/>
      <c r="F102608"/>
    </row>
    <row r="102609" spans="1:6" x14ac:dyDescent="0.25">
      <c r="A102609"/>
      <c r="B102609"/>
      <c r="C102609"/>
      <c r="E102609"/>
      <c r="F102609"/>
    </row>
    <row r="102610" spans="1:6" x14ac:dyDescent="0.25">
      <c r="A102610"/>
      <c r="B102610"/>
      <c r="C102610"/>
      <c r="E102610"/>
      <c r="F102610"/>
    </row>
    <row r="102611" spans="1:6" x14ac:dyDescent="0.25">
      <c r="A102611"/>
      <c r="B102611"/>
      <c r="C102611"/>
      <c r="E102611"/>
      <c r="F102611"/>
    </row>
    <row r="102612" spans="1:6" x14ac:dyDescent="0.25">
      <c r="A102612"/>
      <c r="B102612"/>
      <c r="C102612"/>
      <c r="E102612"/>
      <c r="F102612"/>
    </row>
    <row r="102613" spans="1:6" x14ac:dyDescent="0.25">
      <c r="A102613"/>
      <c r="B102613"/>
      <c r="C102613"/>
      <c r="E102613"/>
      <c r="F102613"/>
    </row>
    <row r="102614" spans="1:6" x14ac:dyDescent="0.25">
      <c r="A102614"/>
      <c r="B102614"/>
      <c r="C102614"/>
      <c r="E102614"/>
      <c r="F102614"/>
    </row>
    <row r="102615" spans="1:6" x14ac:dyDescent="0.25">
      <c r="A102615"/>
      <c r="B102615"/>
      <c r="C102615"/>
      <c r="E102615"/>
      <c r="F102615"/>
    </row>
    <row r="102616" spans="1:6" x14ac:dyDescent="0.25">
      <c r="A102616"/>
      <c r="B102616"/>
      <c r="C102616"/>
      <c r="E102616"/>
      <c r="F102616"/>
    </row>
    <row r="102617" spans="1:6" x14ac:dyDescent="0.25">
      <c r="A102617"/>
      <c r="B102617"/>
      <c r="C102617"/>
      <c r="E102617"/>
      <c r="F102617"/>
    </row>
    <row r="102618" spans="1:6" x14ac:dyDescent="0.25">
      <c r="A102618"/>
      <c r="B102618"/>
      <c r="C102618"/>
      <c r="E102618"/>
      <c r="F102618"/>
    </row>
    <row r="102619" spans="1:6" x14ac:dyDescent="0.25">
      <c r="A102619"/>
      <c r="B102619"/>
      <c r="C102619"/>
      <c r="E102619"/>
      <c r="F102619"/>
    </row>
    <row r="102620" spans="1:6" x14ac:dyDescent="0.25">
      <c r="A102620"/>
      <c r="B102620"/>
      <c r="C102620"/>
      <c r="E102620"/>
      <c r="F102620"/>
    </row>
    <row r="102621" spans="1:6" x14ac:dyDescent="0.25">
      <c r="A102621"/>
      <c r="B102621"/>
      <c r="C102621"/>
      <c r="E102621"/>
      <c r="F102621"/>
    </row>
    <row r="102622" spans="1:6" x14ac:dyDescent="0.25">
      <c r="A102622"/>
      <c r="B102622"/>
      <c r="C102622"/>
      <c r="E102622"/>
      <c r="F102622"/>
    </row>
    <row r="102623" spans="1:6" x14ac:dyDescent="0.25">
      <c r="A102623"/>
      <c r="B102623"/>
      <c r="C102623"/>
      <c r="E102623"/>
      <c r="F102623"/>
    </row>
    <row r="102624" spans="1:6" x14ac:dyDescent="0.25">
      <c r="A102624"/>
      <c r="B102624"/>
      <c r="C102624"/>
      <c r="E102624"/>
      <c r="F102624"/>
    </row>
    <row r="102625" spans="1:6" x14ac:dyDescent="0.25">
      <c r="A102625"/>
      <c r="B102625"/>
      <c r="C102625"/>
      <c r="E102625"/>
      <c r="F102625"/>
    </row>
    <row r="102626" spans="1:6" x14ac:dyDescent="0.25">
      <c r="A102626"/>
      <c r="B102626"/>
      <c r="C102626"/>
      <c r="E102626"/>
      <c r="F102626"/>
    </row>
    <row r="102627" spans="1:6" x14ac:dyDescent="0.25">
      <c r="A102627"/>
      <c r="B102627"/>
      <c r="C102627"/>
      <c r="E102627"/>
      <c r="F102627"/>
    </row>
    <row r="102628" spans="1:6" x14ac:dyDescent="0.25">
      <c r="A102628"/>
      <c r="B102628"/>
      <c r="C102628"/>
      <c r="E102628"/>
      <c r="F102628"/>
    </row>
    <row r="102629" spans="1:6" x14ac:dyDescent="0.25">
      <c r="A102629"/>
      <c r="B102629"/>
      <c r="C102629"/>
      <c r="E102629"/>
      <c r="F102629"/>
    </row>
    <row r="102630" spans="1:6" x14ac:dyDescent="0.25">
      <c r="A102630"/>
      <c r="B102630"/>
      <c r="C102630"/>
      <c r="E102630"/>
      <c r="F102630"/>
    </row>
    <row r="102631" spans="1:6" x14ac:dyDescent="0.25">
      <c r="A102631"/>
      <c r="B102631"/>
      <c r="C102631"/>
      <c r="E102631"/>
      <c r="F102631"/>
    </row>
    <row r="102632" spans="1:6" x14ac:dyDescent="0.25">
      <c r="A102632"/>
      <c r="B102632"/>
      <c r="C102632"/>
      <c r="E102632"/>
      <c r="F102632"/>
    </row>
    <row r="102633" spans="1:6" x14ac:dyDescent="0.25">
      <c r="A102633"/>
      <c r="B102633"/>
      <c r="C102633"/>
      <c r="E102633"/>
      <c r="F102633"/>
    </row>
    <row r="102634" spans="1:6" x14ac:dyDescent="0.25">
      <c r="A102634"/>
      <c r="B102634"/>
      <c r="C102634"/>
      <c r="E102634"/>
      <c r="F102634"/>
    </row>
    <row r="102635" spans="1:6" x14ac:dyDescent="0.25">
      <c r="A102635"/>
      <c r="B102635"/>
      <c r="C102635"/>
      <c r="E102635"/>
      <c r="F102635"/>
    </row>
    <row r="102636" spans="1:6" x14ac:dyDescent="0.25">
      <c r="A102636"/>
      <c r="B102636"/>
      <c r="C102636"/>
      <c r="E102636"/>
      <c r="F102636"/>
    </row>
    <row r="102637" spans="1:6" x14ac:dyDescent="0.25">
      <c r="A102637"/>
      <c r="B102637"/>
      <c r="C102637"/>
      <c r="E102637"/>
      <c r="F102637"/>
    </row>
    <row r="102638" spans="1:6" x14ac:dyDescent="0.25">
      <c r="A102638"/>
      <c r="B102638"/>
      <c r="C102638"/>
      <c r="E102638"/>
      <c r="F102638"/>
    </row>
    <row r="102639" spans="1:6" x14ac:dyDescent="0.25">
      <c r="A102639"/>
      <c r="B102639"/>
      <c r="C102639"/>
      <c r="E102639"/>
      <c r="F102639"/>
    </row>
    <row r="102640" spans="1:6" x14ac:dyDescent="0.25">
      <c r="A102640"/>
      <c r="B102640"/>
      <c r="C102640"/>
      <c r="E102640"/>
      <c r="F102640"/>
    </row>
    <row r="102641" spans="1:6" x14ac:dyDescent="0.25">
      <c r="A102641"/>
      <c r="B102641"/>
      <c r="C102641"/>
      <c r="E102641"/>
      <c r="F102641"/>
    </row>
    <row r="102642" spans="1:6" x14ac:dyDescent="0.25">
      <c r="A102642"/>
      <c r="B102642"/>
      <c r="C102642"/>
      <c r="E102642"/>
      <c r="F102642"/>
    </row>
    <row r="102643" spans="1:6" x14ac:dyDescent="0.25">
      <c r="A102643"/>
      <c r="B102643"/>
      <c r="C102643"/>
      <c r="E102643"/>
      <c r="F102643"/>
    </row>
    <row r="102644" spans="1:6" x14ac:dyDescent="0.25">
      <c r="A102644"/>
      <c r="B102644"/>
      <c r="C102644"/>
      <c r="E102644"/>
      <c r="F102644"/>
    </row>
    <row r="102645" spans="1:6" x14ac:dyDescent="0.25">
      <c r="A102645"/>
      <c r="B102645"/>
      <c r="C102645"/>
      <c r="E102645"/>
      <c r="F102645"/>
    </row>
    <row r="102646" spans="1:6" x14ac:dyDescent="0.25">
      <c r="A102646"/>
      <c r="B102646"/>
      <c r="C102646"/>
      <c r="E102646"/>
      <c r="F102646"/>
    </row>
    <row r="102647" spans="1:6" x14ac:dyDescent="0.25">
      <c r="A102647"/>
      <c r="B102647"/>
      <c r="C102647"/>
      <c r="E102647"/>
      <c r="F102647"/>
    </row>
    <row r="102648" spans="1:6" x14ac:dyDescent="0.25">
      <c r="A102648"/>
      <c r="B102648"/>
      <c r="C102648"/>
      <c r="E102648"/>
      <c r="F102648"/>
    </row>
    <row r="102649" spans="1:6" x14ac:dyDescent="0.25">
      <c r="A102649"/>
      <c r="B102649"/>
      <c r="C102649"/>
      <c r="E102649"/>
      <c r="F102649"/>
    </row>
    <row r="102650" spans="1:6" x14ac:dyDescent="0.25">
      <c r="A102650"/>
      <c r="B102650"/>
      <c r="C102650"/>
      <c r="E102650"/>
      <c r="F102650"/>
    </row>
    <row r="102651" spans="1:6" x14ac:dyDescent="0.25">
      <c r="A102651"/>
      <c r="B102651"/>
      <c r="C102651"/>
      <c r="E102651"/>
      <c r="F102651"/>
    </row>
    <row r="102652" spans="1:6" x14ac:dyDescent="0.25">
      <c r="A102652"/>
      <c r="B102652"/>
      <c r="C102652"/>
      <c r="E102652"/>
      <c r="F102652"/>
    </row>
    <row r="102653" spans="1:6" x14ac:dyDescent="0.25">
      <c r="A102653"/>
      <c r="B102653"/>
      <c r="C102653"/>
      <c r="E102653"/>
      <c r="F102653"/>
    </row>
    <row r="102654" spans="1:6" x14ac:dyDescent="0.25">
      <c r="A102654"/>
      <c r="B102654"/>
      <c r="C102654"/>
      <c r="E102654"/>
      <c r="F102654"/>
    </row>
    <row r="102655" spans="1:6" x14ac:dyDescent="0.25">
      <c r="A102655"/>
      <c r="B102655"/>
      <c r="C102655"/>
      <c r="E102655"/>
      <c r="F102655"/>
    </row>
    <row r="102656" spans="1:6" x14ac:dyDescent="0.25">
      <c r="A102656"/>
      <c r="B102656"/>
      <c r="C102656"/>
      <c r="E102656"/>
      <c r="F102656"/>
    </row>
    <row r="102657" spans="1:6" x14ac:dyDescent="0.25">
      <c r="A102657"/>
      <c r="B102657"/>
      <c r="C102657"/>
      <c r="E102657"/>
      <c r="F102657"/>
    </row>
    <row r="102658" spans="1:6" x14ac:dyDescent="0.25">
      <c r="A102658"/>
      <c r="B102658"/>
      <c r="C102658"/>
      <c r="E102658"/>
      <c r="F102658"/>
    </row>
    <row r="102659" spans="1:6" x14ac:dyDescent="0.25">
      <c r="A102659"/>
      <c r="B102659"/>
      <c r="C102659"/>
      <c r="E102659"/>
      <c r="F102659"/>
    </row>
    <row r="102660" spans="1:6" x14ac:dyDescent="0.25">
      <c r="A102660"/>
      <c r="B102660"/>
      <c r="C102660"/>
      <c r="E102660"/>
      <c r="F102660"/>
    </row>
    <row r="102661" spans="1:6" x14ac:dyDescent="0.25">
      <c r="A102661"/>
      <c r="B102661"/>
      <c r="C102661"/>
      <c r="E102661"/>
      <c r="F102661"/>
    </row>
    <row r="102662" spans="1:6" x14ac:dyDescent="0.25">
      <c r="A102662"/>
      <c r="B102662"/>
      <c r="C102662"/>
      <c r="E102662"/>
      <c r="F102662"/>
    </row>
    <row r="102663" spans="1:6" x14ac:dyDescent="0.25">
      <c r="A102663"/>
      <c r="B102663"/>
      <c r="C102663"/>
      <c r="E102663"/>
      <c r="F102663"/>
    </row>
    <row r="102664" spans="1:6" x14ac:dyDescent="0.25">
      <c r="A102664"/>
      <c r="B102664"/>
      <c r="C102664"/>
      <c r="E102664"/>
      <c r="F102664"/>
    </row>
    <row r="102665" spans="1:6" x14ac:dyDescent="0.25">
      <c r="A102665"/>
      <c r="B102665"/>
      <c r="C102665"/>
      <c r="E102665"/>
      <c r="F102665"/>
    </row>
    <row r="102666" spans="1:6" x14ac:dyDescent="0.25">
      <c r="A102666"/>
      <c r="B102666"/>
      <c r="C102666"/>
      <c r="E102666"/>
      <c r="F102666"/>
    </row>
    <row r="102667" spans="1:6" x14ac:dyDescent="0.25">
      <c r="A102667"/>
      <c r="B102667"/>
      <c r="C102667"/>
      <c r="E102667"/>
      <c r="F102667"/>
    </row>
    <row r="102668" spans="1:6" x14ac:dyDescent="0.25">
      <c r="A102668"/>
      <c r="B102668"/>
      <c r="C102668"/>
      <c r="E102668"/>
      <c r="F102668"/>
    </row>
    <row r="102669" spans="1:6" x14ac:dyDescent="0.25">
      <c r="A102669"/>
      <c r="B102669"/>
      <c r="C102669"/>
      <c r="E102669"/>
      <c r="F102669"/>
    </row>
    <row r="102670" spans="1:6" x14ac:dyDescent="0.25">
      <c r="A102670"/>
      <c r="B102670"/>
      <c r="C102670"/>
      <c r="E102670"/>
      <c r="F102670"/>
    </row>
    <row r="102671" spans="1:6" x14ac:dyDescent="0.25">
      <c r="A102671"/>
      <c r="B102671"/>
      <c r="C102671"/>
      <c r="E102671"/>
      <c r="F102671"/>
    </row>
    <row r="102672" spans="1:6" x14ac:dyDescent="0.25">
      <c r="A102672"/>
      <c r="B102672"/>
      <c r="C102672"/>
      <c r="E102672"/>
      <c r="F102672"/>
    </row>
    <row r="102673" spans="1:6" x14ac:dyDescent="0.25">
      <c r="A102673"/>
      <c r="B102673"/>
      <c r="C102673"/>
      <c r="E102673"/>
      <c r="F102673"/>
    </row>
    <row r="102674" spans="1:6" x14ac:dyDescent="0.25">
      <c r="A102674"/>
      <c r="B102674"/>
      <c r="C102674"/>
      <c r="E102674"/>
      <c r="F102674"/>
    </row>
    <row r="102675" spans="1:6" x14ac:dyDescent="0.25">
      <c r="A102675"/>
      <c r="B102675"/>
      <c r="C102675"/>
      <c r="E102675"/>
      <c r="F102675"/>
    </row>
    <row r="102676" spans="1:6" x14ac:dyDescent="0.25">
      <c r="A102676"/>
      <c r="B102676"/>
      <c r="C102676"/>
      <c r="E102676"/>
      <c r="F102676"/>
    </row>
    <row r="102677" spans="1:6" x14ac:dyDescent="0.25">
      <c r="A102677"/>
      <c r="B102677"/>
      <c r="C102677"/>
      <c r="E102677"/>
      <c r="F102677"/>
    </row>
    <row r="102678" spans="1:6" x14ac:dyDescent="0.25">
      <c r="A102678"/>
      <c r="B102678"/>
      <c r="C102678"/>
      <c r="E102678"/>
      <c r="F102678"/>
    </row>
    <row r="102679" spans="1:6" x14ac:dyDescent="0.25">
      <c r="A102679"/>
      <c r="B102679"/>
      <c r="C102679"/>
      <c r="E102679"/>
      <c r="F102679"/>
    </row>
    <row r="102680" spans="1:6" x14ac:dyDescent="0.25">
      <c r="A102680"/>
      <c r="B102680"/>
      <c r="C102680"/>
      <c r="E102680"/>
      <c r="F102680"/>
    </row>
    <row r="102681" spans="1:6" x14ac:dyDescent="0.25">
      <c r="A102681"/>
      <c r="B102681"/>
      <c r="C102681"/>
      <c r="E102681"/>
      <c r="F102681"/>
    </row>
    <row r="102682" spans="1:6" x14ac:dyDescent="0.25">
      <c r="A102682"/>
      <c r="B102682"/>
      <c r="C102682"/>
      <c r="E102682"/>
      <c r="F102682"/>
    </row>
    <row r="102683" spans="1:6" x14ac:dyDescent="0.25">
      <c r="A102683"/>
      <c r="B102683"/>
      <c r="C102683"/>
      <c r="E102683"/>
      <c r="F102683"/>
    </row>
    <row r="102684" spans="1:6" x14ac:dyDescent="0.25">
      <c r="A102684"/>
      <c r="B102684"/>
      <c r="C102684"/>
      <c r="E102684"/>
      <c r="F102684"/>
    </row>
    <row r="102685" spans="1:6" x14ac:dyDescent="0.25">
      <c r="A102685"/>
      <c r="B102685"/>
      <c r="C102685"/>
      <c r="E102685"/>
      <c r="F102685"/>
    </row>
    <row r="102686" spans="1:6" x14ac:dyDescent="0.25">
      <c r="A102686"/>
      <c r="B102686"/>
      <c r="C102686"/>
      <c r="E102686"/>
      <c r="F102686"/>
    </row>
    <row r="102687" spans="1:6" x14ac:dyDescent="0.25">
      <c r="A102687"/>
      <c r="B102687"/>
      <c r="C102687"/>
      <c r="E102687"/>
      <c r="F102687"/>
    </row>
    <row r="102688" spans="1:6" x14ac:dyDescent="0.25">
      <c r="A102688"/>
      <c r="B102688"/>
      <c r="C102688"/>
      <c r="E102688"/>
      <c r="F102688"/>
    </row>
    <row r="102689" spans="1:6" x14ac:dyDescent="0.25">
      <c r="A102689"/>
      <c r="B102689"/>
      <c r="C102689"/>
      <c r="E102689"/>
      <c r="F102689"/>
    </row>
    <row r="102690" spans="1:6" x14ac:dyDescent="0.25">
      <c r="A102690"/>
      <c r="B102690"/>
      <c r="C102690"/>
      <c r="E102690"/>
      <c r="F102690"/>
    </row>
    <row r="102691" spans="1:6" x14ac:dyDescent="0.25">
      <c r="A102691"/>
      <c r="B102691"/>
      <c r="C102691"/>
      <c r="E102691"/>
      <c r="F102691"/>
    </row>
    <row r="102692" spans="1:6" x14ac:dyDescent="0.25">
      <c r="A102692"/>
      <c r="B102692"/>
      <c r="C102692"/>
      <c r="E102692"/>
      <c r="F102692"/>
    </row>
    <row r="102693" spans="1:6" x14ac:dyDescent="0.25">
      <c r="A102693"/>
      <c r="B102693"/>
      <c r="C102693"/>
      <c r="E102693"/>
      <c r="F102693"/>
    </row>
    <row r="102694" spans="1:6" x14ac:dyDescent="0.25">
      <c r="A102694"/>
      <c r="B102694"/>
      <c r="C102694"/>
      <c r="E102694"/>
      <c r="F102694"/>
    </row>
    <row r="102695" spans="1:6" x14ac:dyDescent="0.25">
      <c r="A102695"/>
      <c r="B102695"/>
      <c r="C102695"/>
      <c r="E102695"/>
      <c r="F102695"/>
    </row>
    <row r="102696" spans="1:6" x14ac:dyDescent="0.25">
      <c r="A102696"/>
      <c r="B102696"/>
      <c r="C102696"/>
      <c r="E102696"/>
      <c r="F102696"/>
    </row>
    <row r="102697" spans="1:6" x14ac:dyDescent="0.25">
      <c r="A102697"/>
      <c r="B102697"/>
      <c r="C102697"/>
      <c r="E102697"/>
      <c r="F102697"/>
    </row>
    <row r="102698" spans="1:6" x14ac:dyDescent="0.25">
      <c r="A102698"/>
      <c r="B102698"/>
      <c r="C102698"/>
      <c r="E102698"/>
      <c r="F102698"/>
    </row>
    <row r="102699" spans="1:6" x14ac:dyDescent="0.25">
      <c r="A102699"/>
      <c r="B102699"/>
      <c r="C102699"/>
      <c r="E102699"/>
      <c r="F102699"/>
    </row>
    <row r="102700" spans="1:6" x14ac:dyDescent="0.25">
      <c r="A102700"/>
      <c r="B102700"/>
      <c r="C102700"/>
      <c r="E102700"/>
      <c r="F102700"/>
    </row>
    <row r="102701" spans="1:6" x14ac:dyDescent="0.25">
      <c r="A102701"/>
      <c r="B102701"/>
      <c r="C102701"/>
      <c r="E102701"/>
      <c r="F102701"/>
    </row>
    <row r="102702" spans="1:6" x14ac:dyDescent="0.25">
      <c r="A102702"/>
      <c r="B102702"/>
      <c r="C102702"/>
      <c r="E102702"/>
      <c r="F102702"/>
    </row>
    <row r="102703" spans="1:6" x14ac:dyDescent="0.25">
      <c r="A102703"/>
      <c r="B102703"/>
      <c r="C102703"/>
      <c r="E102703"/>
      <c r="F102703"/>
    </row>
    <row r="102704" spans="1:6" x14ac:dyDescent="0.25">
      <c r="A102704"/>
      <c r="B102704"/>
      <c r="C102704"/>
      <c r="E102704"/>
      <c r="F102704"/>
    </row>
    <row r="102705" spans="1:6" x14ac:dyDescent="0.25">
      <c r="A102705"/>
      <c r="B102705"/>
      <c r="C102705"/>
      <c r="E102705"/>
      <c r="F102705"/>
    </row>
    <row r="102706" spans="1:6" x14ac:dyDescent="0.25">
      <c r="A102706"/>
      <c r="B102706"/>
      <c r="C102706"/>
      <c r="E102706"/>
      <c r="F102706"/>
    </row>
    <row r="102707" spans="1:6" x14ac:dyDescent="0.25">
      <c r="A102707"/>
      <c r="B102707"/>
      <c r="C102707"/>
      <c r="E102707"/>
      <c r="F102707"/>
    </row>
    <row r="102708" spans="1:6" x14ac:dyDescent="0.25">
      <c r="A102708"/>
      <c r="B102708"/>
      <c r="C102708"/>
      <c r="E102708"/>
      <c r="F102708"/>
    </row>
    <row r="102709" spans="1:6" x14ac:dyDescent="0.25">
      <c r="A102709"/>
      <c r="B102709"/>
      <c r="C102709"/>
      <c r="E102709"/>
      <c r="F102709"/>
    </row>
    <row r="102710" spans="1:6" x14ac:dyDescent="0.25">
      <c r="A102710"/>
      <c r="B102710"/>
      <c r="C102710"/>
      <c r="E102710"/>
      <c r="F102710"/>
    </row>
    <row r="102711" spans="1:6" x14ac:dyDescent="0.25">
      <c r="A102711"/>
      <c r="B102711"/>
      <c r="C102711"/>
      <c r="E102711"/>
      <c r="F102711"/>
    </row>
    <row r="102712" spans="1:6" x14ac:dyDescent="0.25">
      <c r="A102712"/>
      <c r="B102712"/>
      <c r="C102712"/>
      <c r="E102712"/>
      <c r="F102712"/>
    </row>
    <row r="102713" spans="1:6" x14ac:dyDescent="0.25">
      <c r="A102713"/>
      <c r="B102713"/>
      <c r="C102713"/>
      <c r="E102713"/>
      <c r="F102713"/>
    </row>
    <row r="102714" spans="1:6" x14ac:dyDescent="0.25">
      <c r="A102714"/>
      <c r="B102714"/>
      <c r="C102714"/>
      <c r="E102714"/>
      <c r="F102714"/>
    </row>
    <row r="102715" spans="1:6" x14ac:dyDescent="0.25">
      <c r="A102715"/>
      <c r="B102715"/>
      <c r="C102715"/>
      <c r="E102715"/>
      <c r="F102715"/>
    </row>
    <row r="102716" spans="1:6" x14ac:dyDescent="0.25">
      <c r="A102716"/>
      <c r="B102716"/>
      <c r="C102716"/>
      <c r="E102716"/>
      <c r="F102716"/>
    </row>
    <row r="102717" spans="1:6" x14ac:dyDescent="0.25">
      <c r="A102717"/>
      <c r="B102717"/>
      <c r="C102717"/>
      <c r="E102717"/>
      <c r="F102717"/>
    </row>
    <row r="102718" spans="1:6" x14ac:dyDescent="0.25">
      <c r="A102718"/>
      <c r="B102718"/>
      <c r="C102718"/>
      <c r="E102718"/>
      <c r="F102718"/>
    </row>
    <row r="102719" spans="1:6" x14ac:dyDescent="0.25">
      <c r="A102719"/>
      <c r="B102719"/>
      <c r="C102719"/>
      <c r="E102719"/>
      <c r="F102719"/>
    </row>
    <row r="102720" spans="1:6" x14ac:dyDescent="0.25">
      <c r="A102720"/>
      <c r="B102720"/>
      <c r="C102720"/>
      <c r="E102720"/>
      <c r="F102720"/>
    </row>
    <row r="102721" spans="1:6" x14ac:dyDescent="0.25">
      <c r="A102721"/>
      <c r="B102721"/>
      <c r="C102721"/>
      <c r="E102721"/>
      <c r="F102721"/>
    </row>
    <row r="102722" spans="1:6" x14ac:dyDescent="0.25">
      <c r="A102722"/>
      <c r="B102722"/>
      <c r="C102722"/>
      <c r="E102722"/>
      <c r="F102722"/>
    </row>
    <row r="102723" spans="1:6" x14ac:dyDescent="0.25">
      <c r="A102723"/>
      <c r="B102723"/>
      <c r="C102723"/>
      <c r="E102723"/>
      <c r="F102723"/>
    </row>
    <row r="102724" spans="1:6" x14ac:dyDescent="0.25">
      <c r="A102724"/>
      <c r="B102724"/>
      <c r="C102724"/>
      <c r="E102724"/>
      <c r="F102724"/>
    </row>
    <row r="102725" spans="1:6" x14ac:dyDescent="0.25">
      <c r="A102725"/>
      <c r="B102725"/>
      <c r="C102725"/>
      <c r="E102725"/>
      <c r="F102725"/>
    </row>
    <row r="102726" spans="1:6" x14ac:dyDescent="0.25">
      <c r="A102726"/>
      <c r="B102726"/>
      <c r="C102726"/>
      <c r="E102726"/>
      <c r="F102726"/>
    </row>
    <row r="102727" spans="1:6" x14ac:dyDescent="0.25">
      <c r="A102727"/>
      <c r="B102727"/>
      <c r="C102727"/>
      <c r="E102727"/>
      <c r="F102727"/>
    </row>
    <row r="102728" spans="1:6" x14ac:dyDescent="0.25">
      <c r="A102728"/>
      <c r="B102728"/>
      <c r="C102728"/>
      <c r="E102728"/>
      <c r="F102728"/>
    </row>
    <row r="102729" spans="1:6" x14ac:dyDescent="0.25">
      <c r="A102729"/>
      <c r="B102729"/>
      <c r="C102729"/>
      <c r="E102729"/>
      <c r="F102729"/>
    </row>
    <row r="102730" spans="1:6" x14ac:dyDescent="0.25">
      <c r="A102730"/>
      <c r="B102730"/>
      <c r="C102730"/>
      <c r="E102730"/>
      <c r="F102730"/>
    </row>
    <row r="102731" spans="1:6" x14ac:dyDescent="0.25">
      <c r="A102731"/>
      <c r="B102731"/>
      <c r="C102731"/>
      <c r="E102731"/>
      <c r="F102731"/>
    </row>
    <row r="102732" spans="1:6" x14ac:dyDescent="0.25">
      <c r="A102732"/>
      <c r="B102732"/>
      <c r="C102732"/>
      <c r="E102732"/>
      <c r="F102732"/>
    </row>
    <row r="102733" spans="1:6" x14ac:dyDescent="0.25">
      <c r="A102733"/>
      <c r="B102733"/>
      <c r="C102733"/>
      <c r="E102733"/>
      <c r="F102733"/>
    </row>
    <row r="102734" spans="1:6" x14ac:dyDescent="0.25">
      <c r="A102734"/>
      <c r="B102734"/>
      <c r="C102734"/>
      <c r="E102734"/>
      <c r="F102734"/>
    </row>
    <row r="102735" spans="1:6" x14ac:dyDescent="0.25">
      <c r="A102735"/>
      <c r="B102735"/>
      <c r="C102735"/>
      <c r="E102735"/>
      <c r="F102735"/>
    </row>
    <row r="102736" spans="1:6" x14ac:dyDescent="0.25">
      <c r="A102736"/>
      <c r="B102736"/>
      <c r="C102736"/>
      <c r="E102736"/>
      <c r="F102736"/>
    </row>
    <row r="102737" spans="1:6" x14ac:dyDescent="0.25">
      <c r="A102737"/>
      <c r="B102737"/>
      <c r="C102737"/>
      <c r="E102737"/>
      <c r="F102737"/>
    </row>
    <row r="102738" spans="1:6" x14ac:dyDescent="0.25">
      <c r="A102738"/>
      <c r="B102738"/>
      <c r="C102738"/>
      <c r="E102738"/>
      <c r="F102738"/>
    </row>
    <row r="102739" spans="1:6" x14ac:dyDescent="0.25">
      <c r="A102739"/>
      <c r="B102739"/>
      <c r="C102739"/>
      <c r="E102739"/>
      <c r="F102739"/>
    </row>
    <row r="102740" spans="1:6" x14ac:dyDescent="0.25">
      <c r="A102740"/>
      <c r="B102740"/>
      <c r="C102740"/>
      <c r="E102740"/>
      <c r="F102740"/>
    </row>
    <row r="102741" spans="1:6" x14ac:dyDescent="0.25">
      <c r="A102741"/>
      <c r="B102741"/>
      <c r="C102741"/>
      <c r="E102741"/>
      <c r="F102741"/>
    </row>
    <row r="102742" spans="1:6" x14ac:dyDescent="0.25">
      <c r="A102742"/>
      <c r="B102742"/>
      <c r="C102742"/>
      <c r="E102742"/>
      <c r="F102742"/>
    </row>
    <row r="102743" spans="1:6" x14ac:dyDescent="0.25">
      <c r="A102743"/>
      <c r="B102743"/>
      <c r="C102743"/>
      <c r="E102743"/>
      <c r="F102743"/>
    </row>
    <row r="102744" spans="1:6" x14ac:dyDescent="0.25">
      <c r="A102744"/>
      <c r="B102744"/>
      <c r="C102744"/>
      <c r="E102744"/>
      <c r="F102744"/>
    </row>
    <row r="102745" spans="1:6" x14ac:dyDescent="0.25">
      <c r="A102745"/>
      <c r="B102745"/>
      <c r="C102745"/>
      <c r="E102745"/>
      <c r="F102745"/>
    </row>
    <row r="102746" spans="1:6" x14ac:dyDescent="0.25">
      <c r="A102746"/>
      <c r="B102746"/>
      <c r="C102746"/>
      <c r="E102746"/>
      <c r="F102746"/>
    </row>
    <row r="102747" spans="1:6" x14ac:dyDescent="0.25">
      <c r="A102747"/>
      <c r="B102747"/>
      <c r="C102747"/>
      <c r="E102747"/>
      <c r="F102747"/>
    </row>
    <row r="102748" spans="1:6" x14ac:dyDescent="0.25">
      <c r="A102748"/>
      <c r="B102748"/>
      <c r="C102748"/>
      <c r="E102748"/>
      <c r="F102748"/>
    </row>
    <row r="102749" spans="1:6" x14ac:dyDescent="0.25">
      <c r="A102749"/>
      <c r="B102749"/>
      <c r="C102749"/>
      <c r="E102749"/>
      <c r="F102749"/>
    </row>
    <row r="102750" spans="1:6" x14ac:dyDescent="0.25">
      <c r="A102750"/>
      <c r="B102750"/>
      <c r="C102750"/>
      <c r="E102750"/>
      <c r="F102750"/>
    </row>
    <row r="102751" spans="1:6" x14ac:dyDescent="0.25">
      <c r="A102751"/>
      <c r="B102751"/>
      <c r="C102751"/>
      <c r="E102751"/>
      <c r="F102751"/>
    </row>
    <row r="102752" spans="1:6" x14ac:dyDescent="0.25">
      <c r="A102752"/>
      <c r="B102752"/>
      <c r="C102752"/>
      <c r="E102752"/>
      <c r="F102752"/>
    </row>
    <row r="102753" spans="1:6" x14ac:dyDescent="0.25">
      <c r="A102753"/>
      <c r="B102753"/>
      <c r="C102753"/>
      <c r="E102753"/>
      <c r="F102753"/>
    </row>
    <row r="102754" spans="1:6" x14ac:dyDescent="0.25">
      <c r="A102754"/>
      <c r="B102754"/>
      <c r="C102754"/>
      <c r="E102754"/>
      <c r="F102754"/>
    </row>
    <row r="102755" spans="1:6" x14ac:dyDescent="0.25">
      <c r="A102755"/>
      <c r="B102755"/>
      <c r="C102755"/>
      <c r="E102755"/>
      <c r="F102755"/>
    </row>
    <row r="102756" spans="1:6" x14ac:dyDescent="0.25">
      <c r="A102756"/>
      <c r="B102756"/>
      <c r="C102756"/>
      <c r="E102756"/>
      <c r="F102756"/>
    </row>
    <row r="102757" spans="1:6" x14ac:dyDescent="0.25">
      <c r="A102757"/>
      <c r="B102757"/>
      <c r="C102757"/>
      <c r="E102757"/>
      <c r="F102757"/>
    </row>
    <row r="102758" spans="1:6" x14ac:dyDescent="0.25">
      <c r="A102758"/>
      <c r="B102758"/>
      <c r="C102758"/>
      <c r="E102758"/>
      <c r="F102758"/>
    </row>
    <row r="102759" spans="1:6" x14ac:dyDescent="0.25">
      <c r="A102759"/>
      <c r="B102759"/>
      <c r="C102759"/>
      <c r="E102759"/>
      <c r="F102759"/>
    </row>
    <row r="102760" spans="1:6" x14ac:dyDescent="0.25">
      <c r="A102760"/>
      <c r="B102760"/>
      <c r="C102760"/>
      <c r="E102760"/>
      <c r="F102760"/>
    </row>
    <row r="102761" spans="1:6" x14ac:dyDescent="0.25">
      <c r="A102761"/>
      <c r="B102761"/>
      <c r="C102761"/>
      <c r="E102761"/>
      <c r="F102761"/>
    </row>
    <row r="102762" spans="1:6" x14ac:dyDescent="0.25">
      <c r="A102762"/>
      <c r="B102762"/>
      <c r="C102762"/>
      <c r="E102762"/>
      <c r="F102762"/>
    </row>
    <row r="102763" spans="1:6" x14ac:dyDescent="0.25">
      <c r="A102763"/>
      <c r="B102763"/>
      <c r="C102763"/>
      <c r="E102763"/>
      <c r="F102763"/>
    </row>
    <row r="102764" spans="1:6" x14ac:dyDescent="0.25">
      <c r="A102764"/>
      <c r="B102764"/>
      <c r="C102764"/>
      <c r="E102764"/>
      <c r="F102764"/>
    </row>
    <row r="102765" spans="1:6" x14ac:dyDescent="0.25">
      <c r="A102765"/>
      <c r="B102765"/>
      <c r="C102765"/>
      <c r="E102765"/>
      <c r="F102765"/>
    </row>
    <row r="102766" spans="1:6" x14ac:dyDescent="0.25">
      <c r="A102766"/>
      <c r="B102766"/>
      <c r="C102766"/>
      <c r="E102766"/>
      <c r="F102766"/>
    </row>
    <row r="102767" spans="1:6" x14ac:dyDescent="0.25">
      <c r="A102767"/>
      <c r="B102767"/>
      <c r="C102767"/>
      <c r="E102767"/>
      <c r="F102767"/>
    </row>
    <row r="102768" spans="1:6" x14ac:dyDescent="0.25">
      <c r="A102768"/>
      <c r="B102768"/>
      <c r="C102768"/>
      <c r="E102768"/>
      <c r="F102768"/>
    </row>
    <row r="102769" spans="1:6" x14ac:dyDescent="0.25">
      <c r="A102769"/>
      <c r="B102769"/>
      <c r="C102769"/>
      <c r="E102769"/>
      <c r="F102769"/>
    </row>
    <row r="102770" spans="1:6" x14ac:dyDescent="0.25">
      <c r="A102770"/>
      <c r="B102770"/>
      <c r="C102770"/>
      <c r="E102770"/>
      <c r="F102770"/>
    </row>
    <row r="102771" spans="1:6" x14ac:dyDescent="0.25">
      <c r="A102771"/>
      <c r="B102771"/>
      <c r="C102771"/>
      <c r="E102771"/>
      <c r="F102771"/>
    </row>
    <row r="102772" spans="1:6" x14ac:dyDescent="0.25">
      <c r="A102772"/>
      <c r="B102772"/>
      <c r="C102772"/>
      <c r="E102772"/>
      <c r="F102772"/>
    </row>
    <row r="102773" spans="1:6" x14ac:dyDescent="0.25">
      <c r="A102773"/>
      <c r="B102773"/>
      <c r="C102773"/>
      <c r="E102773"/>
      <c r="F102773"/>
    </row>
    <row r="102774" spans="1:6" x14ac:dyDescent="0.25">
      <c r="A102774"/>
      <c r="B102774"/>
      <c r="C102774"/>
      <c r="E102774"/>
      <c r="F102774"/>
    </row>
    <row r="102775" spans="1:6" x14ac:dyDescent="0.25">
      <c r="A102775"/>
      <c r="B102775"/>
      <c r="C102775"/>
      <c r="E102775"/>
      <c r="F102775"/>
    </row>
    <row r="102776" spans="1:6" x14ac:dyDescent="0.25">
      <c r="A102776"/>
      <c r="B102776"/>
      <c r="C102776"/>
      <c r="E102776"/>
      <c r="F102776"/>
    </row>
    <row r="102777" spans="1:6" x14ac:dyDescent="0.25">
      <c r="A102777"/>
      <c r="B102777"/>
      <c r="C102777"/>
      <c r="E102777"/>
      <c r="F102777"/>
    </row>
    <row r="102778" spans="1:6" x14ac:dyDescent="0.25">
      <c r="A102778"/>
      <c r="B102778"/>
      <c r="C102778"/>
      <c r="E102778"/>
      <c r="F102778"/>
    </row>
    <row r="102779" spans="1:6" x14ac:dyDescent="0.25">
      <c r="A102779"/>
      <c r="B102779"/>
      <c r="C102779"/>
      <c r="E102779"/>
      <c r="F102779"/>
    </row>
    <row r="102780" spans="1:6" x14ac:dyDescent="0.25">
      <c r="A102780"/>
      <c r="B102780"/>
      <c r="C102780"/>
      <c r="E102780"/>
      <c r="F102780"/>
    </row>
    <row r="102781" spans="1:6" x14ac:dyDescent="0.25">
      <c r="A102781"/>
      <c r="B102781"/>
      <c r="C102781"/>
      <c r="E102781"/>
      <c r="F102781"/>
    </row>
    <row r="102782" spans="1:6" x14ac:dyDescent="0.25">
      <c r="A102782"/>
      <c r="B102782"/>
      <c r="C102782"/>
      <c r="E102782"/>
      <c r="F102782"/>
    </row>
    <row r="102783" spans="1:6" x14ac:dyDescent="0.25">
      <c r="A102783"/>
      <c r="B102783"/>
      <c r="C102783"/>
      <c r="E102783"/>
      <c r="F102783"/>
    </row>
    <row r="102784" spans="1:6" x14ac:dyDescent="0.25">
      <c r="A102784"/>
      <c r="B102784"/>
      <c r="C102784"/>
      <c r="E102784"/>
      <c r="F102784"/>
    </row>
    <row r="102785" spans="1:6" x14ac:dyDescent="0.25">
      <c r="A102785"/>
      <c r="B102785"/>
      <c r="C102785"/>
      <c r="E102785"/>
      <c r="F102785"/>
    </row>
    <row r="102786" spans="1:6" x14ac:dyDescent="0.25">
      <c r="A102786"/>
      <c r="B102786"/>
      <c r="C102786"/>
      <c r="E102786"/>
      <c r="F102786"/>
    </row>
    <row r="102787" spans="1:6" x14ac:dyDescent="0.25">
      <c r="A102787"/>
      <c r="B102787"/>
      <c r="C102787"/>
      <c r="E102787"/>
      <c r="F102787"/>
    </row>
    <row r="102788" spans="1:6" x14ac:dyDescent="0.25">
      <c r="A102788"/>
      <c r="B102788"/>
      <c r="C102788"/>
      <c r="E102788"/>
      <c r="F102788"/>
    </row>
    <row r="102789" spans="1:6" x14ac:dyDescent="0.25">
      <c r="A102789"/>
      <c r="B102789"/>
      <c r="C102789"/>
      <c r="E102789"/>
      <c r="F102789"/>
    </row>
    <row r="102790" spans="1:6" x14ac:dyDescent="0.25">
      <c r="A102790"/>
      <c r="B102790"/>
      <c r="C102790"/>
      <c r="E102790"/>
      <c r="F102790"/>
    </row>
    <row r="102791" spans="1:6" x14ac:dyDescent="0.25">
      <c r="A102791"/>
      <c r="B102791"/>
      <c r="C102791"/>
      <c r="E102791"/>
      <c r="F102791"/>
    </row>
    <row r="102792" spans="1:6" x14ac:dyDescent="0.25">
      <c r="A102792"/>
      <c r="B102792"/>
      <c r="C102792"/>
      <c r="E102792"/>
      <c r="F102792"/>
    </row>
    <row r="102793" spans="1:6" x14ac:dyDescent="0.25">
      <c r="A102793"/>
      <c r="B102793"/>
      <c r="C102793"/>
      <c r="E102793"/>
      <c r="F102793"/>
    </row>
    <row r="102794" spans="1:6" x14ac:dyDescent="0.25">
      <c r="A102794"/>
      <c r="B102794"/>
      <c r="C102794"/>
      <c r="E102794"/>
      <c r="F102794"/>
    </row>
    <row r="102795" spans="1:6" x14ac:dyDescent="0.25">
      <c r="A102795"/>
      <c r="B102795"/>
      <c r="C102795"/>
      <c r="E102795"/>
      <c r="F102795"/>
    </row>
    <row r="102796" spans="1:6" x14ac:dyDescent="0.25">
      <c r="A102796"/>
      <c r="B102796"/>
      <c r="C102796"/>
      <c r="E102796"/>
      <c r="F102796"/>
    </row>
    <row r="102797" spans="1:6" x14ac:dyDescent="0.25">
      <c r="A102797"/>
      <c r="B102797"/>
      <c r="C102797"/>
      <c r="E102797"/>
      <c r="F102797"/>
    </row>
    <row r="102798" spans="1:6" x14ac:dyDescent="0.25">
      <c r="A102798"/>
      <c r="B102798"/>
      <c r="C102798"/>
      <c r="E102798"/>
      <c r="F102798"/>
    </row>
    <row r="102799" spans="1:6" x14ac:dyDescent="0.25">
      <c r="A102799"/>
      <c r="B102799"/>
      <c r="C102799"/>
      <c r="E102799"/>
      <c r="F102799"/>
    </row>
    <row r="102800" spans="1:6" x14ac:dyDescent="0.25">
      <c r="A102800"/>
      <c r="B102800"/>
      <c r="C102800"/>
      <c r="E102800"/>
      <c r="F102800"/>
    </row>
    <row r="102801" spans="1:6" x14ac:dyDescent="0.25">
      <c r="A102801"/>
      <c r="B102801"/>
      <c r="C102801"/>
      <c r="E102801"/>
      <c r="F102801"/>
    </row>
    <row r="102802" spans="1:6" x14ac:dyDescent="0.25">
      <c r="A102802"/>
      <c r="B102802"/>
      <c r="C102802"/>
      <c r="E102802"/>
      <c r="F102802"/>
    </row>
    <row r="102803" spans="1:6" x14ac:dyDescent="0.25">
      <c r="A102803"/>
      <c r="B102803"/>
      <c r="C102803"/>
      <c r="E102803"/>
      <c r="F102803"/>
    </row>
    <row r="102804" spans="1:6" x14ac:dyDescent="0.25">
      <c r="A102804"/>
      <c r="B102804"/>
      <c r="C102804"/>
      <c r="E102804"/>
      <c r="F102804"/>
    </row>
    <row r="102805" spans="1:6" x14ac:dyDescent="0.25">
      <c r="A102805"/>
      <c r="B102805"/>
      <c r="C102805"/>
      <c r="E102805"/>
      <c r="F102805"/>
    </row>
    <row r="102806" spans="1:6" x14ac:dyDescent="0.25">
      <c r="A102806"/>
      <c r="B102806"/>
      <c r="C102806"/>
      <c r="E102806"/>
      <c r="F102806"/>
    </row>
    <row r="102807" spans="1:6" x14ac:dyDescent="0.25">
      <c r="A102807"/>
      <c r="B102807"/>
      <c r="C102807"/>
      <c r="E102807"/>
      <c r="F102807"/>
    </row>
    <row r="102808" spans="1:6" x14ac:dyDescent="0.25">
      <c r="A102808"/>
      <c r="B102808"/>
      <c r="C102808"/>
      <c r="E102808"/>
      <c r="F102808"/>
    </row>
    <row r="102809" spans="1:6" x14ac:dyDescent="0.25">
      <c r="A102809"/>
      <c r="B102809"/>
      <c r="C102809"/>
      <c r="E102809"/>
      <c r="F102809"/>
    </row>
    <row r="102810" spans="1:6" x14ac:dyDescent="0.25">
      <c r="A102810"/>
      <c r="B102810"/>
      <c r="C102810"/>
      <c r="E102810"/>
      <c r="F102810"/>
    </row>
    <row r="102811" spans="1:6" x14ac:dyDescent="0.25">
      <c r="A102811"/>
      <c r="B102811"/>
      <c r="C102811"/>
      <c r="E102811"/>
      <c r="F102811"/>
    </row>
    <row r="102812" spans="1:6" x14ac:dyDescent="0.25">
      <c r="A102812"/>
      <c r="B102812"/>
      <c r="C102812"/>
      <c r="E102812"/>
      <c r="F102812"/>
    </row>
    <row r="102813" spans="1:6" x14ac:dyDescent="0.25">
      <c r="A102813"/>
      <c r="B102813"/>
      <c r="C102813"/>
      <c r="E102813"/>
      <c r="F102813"/>
    </row>
    <row r="102814" spans="1:6" x14ac:dyDescent="0.25">
      <c r="A102814"/>
      <c r="B102814"/>
      <c r="C102814"/>
      <c r="E102814"/>
      <c r="F102814"/>
    </row>
    <row r="102815" spans="1:6" x14ac:dyDescent="0.25">
      <c r="A102815"/>
      <c r="B102815"/>
      <c r="C102815"/>
      <c r="E102815"/>
      <c r="F102815"/>
    </row>
    <row r="102816" spans="1:6" x14ac:dyDescent="0.25">
      <c r="A102816"/>
      <c r="B102816"/>
      <c r="C102816"/>
      <c r="E102816"/>
      <c r="F102816"/>
    </row>
    <row r="102817" spans="1:6" x14ac:dyDescent="0.25">
      <c r="A102817"/>
      <c r="B102817"/>
      <c r="C102817"/>
      <c r="E102817"/>
      <c r="F102817"/>
    </row>
    <row r="102818" spans="1:6" x14ac:dyDescent="0.25">
      <c r="A102818"/>
      <c r="B102818"/>
      <c r="C102818"/>
      <c r="E102818"/>
      <c r="F102818"/>
    </row>
    <row r="102819" spans="1:6" x14ac:dyDescent="0.25">
      <c r="A102819"/>
      <c r="B102819"/>
      <c r="C102819"/>
      <c r="E102819"/>
      <c r="F102819"/>
    </row>
    <row r="102820" spans="1:6" x14ac:dyDescent="0.25">
      <c r="A102820"/>
      <c r="B102820"/>
      <c r="C102820"/>
      <c r="E102820"/>
      <c r="F102820"/>
    </row>
    <row r="102821" spans="1:6" x14ac:dyDescent="0.25">
      <c r="A102821"/>
      <c r="B102821"/>
      <c r="C102821"/>
      <c r="E102821"/>
      <c r="F102821"/>
    </row>
    <row r="102822" spans="1:6" x14ac:dyDescent="0.25">
      <c r="A102822"/>
      <c r="B102822"/>
      <c r="C102822"/>
      <c r="E102822"/>
      <c r="F102822"/>
    </row>
    <row r="102823" spans="1:6" x14ac:dyDescent="0.25">
      <c r="A102823"/>
      <c r="B102823"/>
      <c r="C102823"/>
      <c r="E102823"/>
      <c r="F102823"/>
    </row>
    <row r="102824" spans="1:6" x14ac:dyDescent="0.25">
      <c r="A102824"/>
      <c r="B102824"/>
      <c r="C102824"/>
      <c r="E102824"/>
      <c r="F102824"/>
    </row>
    <row r="102825" spans="1:6" x14ac:dyDescent="0.25">
      <c r="A102825"/>
      <c r="B102825"/>
      <c r="C102825"/>
      <c r="E102825"/>
      <c r="F102825"/>
    </row>
    <row r="102826" spans="1:6" x14ac:dyDescent="0.25">
      <c r="A102826"/>
      <c r="B102826"/>
      <c r="C102826"/>
      <c r="E102826"/>
      <c r="F102826"/>
    </row>
    <row r="102827" spans="1:6" x14ac:dyDescent="0.25">
      <c r="A102827"/>
      <c r="B102827"/>
      <c r="C102827"/>
      <c r="E102827"/>
      <c r="F102827"/>
    </row>
    <row r="102828" spans="1:6" x14ac:dyDescent="0.25">
      <c r="A102828"/>
      <c r="B102828"/>
      <c r="C102828"/>
      <c r="E102828"/>
      <c r="F102828"/>
    </row>
    <row r="102829" spans="1:6" x14ac:dyDescent="0.25">
      <c r="A102829"/>
      <c r="B102829"/>
      <c r="C102829"/>
      <c r="E102829"/>
      <c r="F102829"/>
    </row>
    <row r="102830" spans="1:6" x14ac:dyDescent="0.25">
      <c r="A102830"/>
      <c r="B102830"/>
      <c r="C102830"/>
      <c r="E102830"/>
      <c r="F102830"/>
    </row>
    <row r="102831" spans="1:6" x14ac:dyDescent="0.25">
      <c r="A102831"/>
      <c r="B102831"/>
      <c r="C102831"/>
      <c r="E102831"/>
      <c r="F102831"/>
    </row>
    <row r="102832" spans="1:6" x14ac:dyDescent="0.25">
      <c r="A102832"/>
      <c r="B102832"/>
      <c r="C102832"/>
      <c r="E102832"/>
      <c r="F102832"/>
    </row>
    <row r="102833" spans="1:6" x14ac:dyDescent="0.25">
      <c r="A102833"/>
      <c r="B102833"/>
      <c r="C102833"/>
      <c r="E102833"/>
      <c r="F102833"/>
    </row>
    <row r="102834" spans="1:6" x14ac:dyDescent="0.25">
      <c r="A102834"/>
      <c r="B102834"/>
      <c r="C102834"/>
      <c r="E102834"/>
      <c r="F102834"/>
    </row>
    <row r="102835" spans="1:6" x14ac:dyDescent="0.25">
      <c r="A102835"/>
      <c r="B102835"/>
      <c r="C102835"/>
      <c r="E102835"/>
      <c r="F102835"/>
    </row>
    <row r="102836" spans="1:6" x14ac:dyDescent="0.25">
      <c r="A102836"/>
      <c r="B102836"/>
      <c r="C102836"/>
      <c r="E102836"/>
      <c r="F102836"/>
    </row>
    <row r="102837" spans="1:6" x14ac:dyDescent="0.25">
      <c r="A102837"/>
      <c r="B102837"/>
      <c r="C102837"/>
      <c r="E102837"/>
      <c r="F102837"/>
    </row>
    <row r="102838" spans="1:6" x14ac:dyDescent="0.25">
      <c r="A102838"/>
      <c r="B102838"/>
      <c r="C102838"/>
      <c r="E102838"/>
      <c r="F102838"/>
    </row>
    <row r="102839" spans="1:6" x14ac:dyDescent="0.25">
      <c r="A102839"/>
      <c r="B102839"/>
      <c r="C102839"/>
      <c r="E102839"/>
      <c r="F102839"/>
    </row>
    <row r="102840" spans="1:6" x14ac:dyDescent="0.25">
      <c r="A102840"/>
      <c r="B102840"/>
      <c r="C102840"/>
      <c r="E102840"/>
      <c r="F102840"/>
    </row>
    <row r="102841" spans="1:6" x14ac:dyDescent="0.25">
      <c r="A102841"/>
      <c r="B102841"/>
      <c r="C102841"/>
      <c r="E102841"/>
      <c r="F102841"/>
    </row>
    <row r="102842" spans="1:6" x14ac:dyDescent="0.25">
      <c r="A102842"/>
      <c r="B102842"/>
      <c r="C102842"/>
      <c r="E102842"/>
      <c r="F102842"/>
    </row>
    <row r="102843" spans="1:6" x14ac:dyDescent="0.25">
      <c r="A102843"/>
      <c r="B102843"/>
      <c r="C102843"/>
      <c r="E102843"/>
      <c r="F102843"/>
    </row>
    <row r="102844" spans="1:6" x14ac:dyDescent="0.25">
      <c r="A102844"/>
      <c r="B102844"/>
      <c r="C102844"/>
      <c r="E102844"/>
      <c r="F102844"/>
    </row>
    <row r="102845" spans="1:6" x14ac:dyDescent="0.25">
      <c r="A102845"/>
      <c r="B102845"/>
      <c r="C102845"/>
      <c r="E102845"/>
      <c r="F102845"/>
    </row>
    <row r="102846" spans="1:6" x14ac:dyDescent="0.25">
      <c r="A102846"/>
      <c r="B102846"/>
      <c r="C102846"/>
      <c r="E102846"/>
      <c r="F102846"/>
    </row>
    <row r="102847" spans="1:6" x14ac:dyDescent="0.25">
      <c r="A102847"/>
      <c r="B102847"/>
      <c r="C102847"/>
      <c r="E102847"/>
      <c r="F102847"/>
    </row>
    <row r="102848" spans="1:6" x14ac:dyDescent="0.25">
      <c r="A102848"/>
      <c r="B102848"/>
      <c r="C102848"/>
      <c r="E102848"/>
      <c r="F102848"/>
    </row>
    <row r="102849" spans="1:6" x14ac:dyDescent="0.25">
      <c r="A102849"/>
      <c r="B102849"/>
      <c r="C102849"/>
      <c r="E102849"/>
      <c r="F102849"/>
    </row>
    <row r="102850" spans="1:6" x14ac:dyDescent="0.25">
      <c r="A102850"/>
      <c r="B102850"/>
      <c r="C102850"/>
      <c r="E102850"/>
      <c r="F102850"/>
    </row>
    <row r="102851" spans="1:6" x14ac:dyDescent="0.25">
      <c r="A102851"/>
      <c r="B102851"/>
      <c r="C102851"/>
      <c r="E102851"/>
      <c r="F102851"/>
    </row>
    <row r="102852" spans="1:6" x14ac:dyDescent="0.25">
      <c r="A102852"/>
      <c r="B102852"/>
      <c r="C102852"/>
      <c r="E102852"/>
      <c r="F102852"/>
    </row>
    <row r="102853" spans="1:6" x14ac:dyDescent="0.25">
      <c r="A102853"/>
      <c r="B102853"/>
      <c r="C102853"/>
      <c r="E102853"/>
      <c r="F102853"/>
    </row>
    <row r="102854" spans="1:6" x14ac:dyDescent="0.25">
      <c r="A102854"/>
      <c r="B102854"/>
      <c r="C102854"/>
      <c r="E102854"/>
      <c r="F102854"/>
    </row>
    <row r="102855" spans="1:6" x14ac:dyDescent="0.25">
      <c r="A102855"/>
      <c r="B102855"/>
      <c r="C102855"/>
      <c r="E102855"/>
      <c r="F102855"/>
    </row>
    <row r="102856" spans="1:6" x14ac:dyDescent="0.25">
      <c r="A102856"/>
      <c r="B102856"/>
      <c r="C102856"/>
      <c r="E102856"/>
      <c r="F102856"/>
    </row>
    <row r="102857" spans="1:6" x14ac:dyDescent="0.25">
      <c r="A102857"/>
      <c r="B102857"/>
      <c r="C102857"/>
      <c r="E102857"/>
      <c r="F102857"/>
    </row>
    <row r="102858" spans="1:6" x14ac:dyDescent="0.25">
      <c r="A102858"/>
      <c r="B102858"/>
      <c r="C102858"/>
      <c r="E102858"/>
      <c r="F102858"/>
    </row>
    <row r="102859" spans="1:6" x14ac:dyDescent="0.25">
      <c r="A102859"/>
      <c r="B102859"/>
      <c r="C102859"/>
      <c r="E102859"/>
      <c r="F102859"/>
    </row>
    <row r="102860" spans="1:6" x14ac:dyDescent="0.25">
      <c r="A102860"/>
      <c r="B102860"/>
      <c r="C102860"/>
      <c r="E102860"/>
      <c r="F102860"/>
    </row>
    <row r="102861" spans="1:6" x14ac:dyDescent="0.25">
      <c r="A102861"/>
      <c r="B102861"/>
      <c r="C102861"/>
      <c r="E102861"/>
      <c r="F102861"/>
    </row>
    <row r="102862" spans="1:6" x14ac:dyDescent="0.25">
      <c r="A102862"/>
      <c r="B102862"/>
      <c r="C102862"/>
      <c r="E102862"/>
      <c r="F102862"/>
    </row>
    <row r="102863" spans="1:6" x14ac:dyDescent="0.25">
      <c r="A102863"/>
      <c r="B102863"/>
      <c r="C102863"/>
      <c r="E102863"/>
      <c r="F102863"/>
    </row>
    <row r="102864" spans="1:6" x14ac:dyDescent="0.25">
      <c r="A102864"/>
      <c r="B102864"/>
      <c r="C102864"/>
      <c r="E102864"/>
      <c r="F102864"/>
    </row>
    <row r="102865" spans="1:6" x14ac:dyDescent="0.25">
      <c r="A102865"/>
      <c r="B102865"/>
      <c r="C102865"/>
      <c r="E102865"/>
      <c r="F102865"/>
    </row>
    <row r="102866" spans="1:6" x14ac:dyDescent="0.25">
      <c r="A102866"/>
      <c r="B102866"/>
      <c r="C102866"/>
      <c r="E102866"/>
      <c r="F102866"/>
    </row>
    <row r="102867" spans="1:6" x14ac:dyDescent="0.25">
      <c r="A102867"/>
      <c r="B102867"/>
      <c r="C102867"/>
      <c r="E102867"/>
      <c r="F102867"/>
    </row>
    <row r="102868" spans="1:6" x14ac:dyDescent="0.25">
      <c r="A102868"/>
      <c r="B102868"/>
      <c r="C102868"/>
      <c r="E102868"/>
      <c r="F102868"/>
    </row>
    <row r="102869" spans="1:6" x14ac:dyDescent="0.25">
      <c r="A102869"/>
      <c r="B102869"/>
      <c r="C102869"/>
      <c r="E102869"/>
      <c r="F102869"/>
    </row>
    <row r="102870" spans="1:6" x14ac:dyDescent="0.25">
      <c r="A102870"/>
      <c r="B102870"/>
      <c r="C102870"/>
      <c r="E102870"/>
      <c r="F102870"/>
    </row>
    <row r="102871" spans="1:6" x14ac:dyDescent="0.25">
      <c r="A102871"/>
      <c r="B102871"/>
      <c r="C102871"/>
      <c r="E102871"/>
      <c r="F102871"/>
    </row>
    <row r="102872" spans="1:6" x14ac:dyDescent="0.25">
      <c r="A102872"/>
      <c r="B102872"/>
      <c r="C102872"/>
      <c r="E102872"/>
      <c r="F102872"/>
    </row>
    <row r="102873" spans="1:6" x14ac:dyDescent="0.25">
      <c r="A102873"/>
      <c r="B102873"/>
      <c r="C102873"/>
      <c r="E102873"/>
      <c r="F102873"/>
    </row>
    <row r="102874" spans="1:6" x14ac:dyDescent="0.25">
      <c r="A102874"/>
      <c r="B102874"/>
      <c r="C102874"/>
      <c r="E102874"/>
      <c r="F102874"/>
    </row>
    <row r="102875" spans="1:6" x14ac:dyDescent="0.25">
      <c r="A102875"/>
      <c r="B102875"/>
      <c r="C102875"/>
      <c r="E102875"/>
      <c r="F102875"/>
    </row>
    <row r="102876" spans="1:6" x14ac:dyDescent="0.25">
      <c r="A102876"/>
      <c r="B102876"/>
      <c r="C102876"/>
      <c r="E102876"/>
      <c r="F102876"/>
    </row>
    <row r="102877" spans="1:6" x14ac:dyDescent="0.25">
      <c r="A102877"/>
      <c r="B102877"/>
      <c r="C102877"/>
      <c r="E102877"/>
      <c r="F102877"/>
    </row>
    <row r="102878" spans="1:6" x14ac:dyDescent="0.25">
      <c r="A102878"/>
      <c r="B102878"/>
      <c r="C102878"/>
      <c r="E102878"/>
      <c r="F102878"/>
    </row>
    <row r="102879" spans="1:6" x14ac:dyDescent="0.25">
      <c r="A102879"/>
      <c r="B102879"/>
      <c r="C102879"/>
      <c r="E102879"/>
      <c r="F102879"/>
    </row>
    <row r="102880" spans="1:6" x14ac:dyDescent="0.25">
      <c r="A102880"/>
      <c r="B102880"/>
      <c r="C102880"/>
      <c r="E102880"/>
      <c r="F102880"/>
    </row>
    <row r="102881" spans="1:6" x14ac:dyDescent="0.25">
      <c r="A102881"/>
      <c r="B102881"/>
      <c r="C102881"/>
      <c r="E102881"/>
      <c r="F102881"/>
    </row>
    <row r="102882" spans="1:6" x14ac:dyDescent="0.25">
      <c r="A102882"/>
      <c r="B102882"/>
      <c r="C102882"/>
      <c r="E102882"/>
      <c r="F102882"/>
    </row>
    <row r="102883" spans="1:6" x14ac:dyDescent="0.25">
      <c r="A102883"/>
      <c r="B102883"/>
      <c r="C102883"/>
      <c r="E102883"/>
      <c r="F102883"/>
    </row>
    <row r="102884" spans="1:6" x14ac:dyDescent="0.25">
      <c r="A102884"/>
      <c r="B102884"/>
      <c r="C102884"/>
      <c r="E102884"/>
      <c r="F102884"/>
    </row>
    <row r="102885" spans="1:6" x14ac:dyDescent="0.25">
      <c r="A102885"/>
      <c r="B102885"/>
      <c r="C102885"/>
      <c r="E102885"/>
      <c r="F102885"/>
    </row>
    <row r="102886" spans="1:6" x14ac:dyDescent="0.25">
      <c r="A102886"/>
      <c r="B102886"/>
      <c r="C102886"/>
      <c r="E102886"/>
      <c r="F102886"/>
    </row>
    <row r="102887" spans="1:6" x14ac:dyDescent="0.25">
      <c r="A102887"/>
      <c r="B102887"/>
      <c r="C102887"/>
      <c r="E102887"/>
      <c r="F102887"/>
    </row>
    <row r="102888" spans="1:6" x14ac:dyDescent="0.25">
      <c r="A102888"/>
      <c r="B102888"/>
      <c r="C102888"/>
      <c r="E102888"/>
      <c r="F102888"/>
    </row>
    <row r="102889" spans="1:6" x14ac:dyDescent="0.25">
      <c r="A102889"/>
      <c r="B102889"/>
      <c r="C102889"/>
      <c r="E102889"/>
      <c r="F102889"/>
    </row>
    <row r="102890" spans="1:6" x14ac:dyDescent="0.25">
      <c r="A102890"/>
      <c r="B102890"/>
      <c r="C102890"/>
      <c r="E102890"/>
      <c r="F102890"/>
    </row>
    <row r="102891" spans="1:6" x14ac:dyDescent="0.25">
      <c r="A102891"/>
      <c r="B102891"/>
      <c r="C102891"/>
      <c r="E102891"/>
      <c r="F102891"/>
    </row>
    <row r="102892" spans="1:6" x14ac:dyDescent="0.25">
      <c r="A102892"/>
      <c r="B102892"/>
      <c r="C102892"/>
      <c r="E102892"/>
      <c r="F102892"/>
    </row>
    <row r="102893" spans="1:6" x14ac:dyDescent="0.25">
      <c r="A102893"/>
      <c r="B102893"/>
      <c r="C102893"/>
      <c r="E102893"/>
      <c r="F102893"/>
    </row>
    <row r="102894" spans="1:6" x14ac:dyDescent="0.25">
      <c r="A102894"/>
      <c r="B102894"/>
      <c r="C102894"/>
      <c r="E102894"/>
      <c r="F102894"/>
    </row>
    <row r="102895" spans="1:6" x14ac:dyDescent="0.25">
      <c r="A102895"/>
      <c r="B102895"/>
      <c r="C102895"/>
      <c r="E102895"/>
      <c r="F102895"/>
    </row>
    <row r="102896" spans="1:6" x14ac:dyDescent="0.25">
      <c r="A102896"/>
      <c r="B102896"/>
      <c r="C102896"/>
      <c r="E102896"/>
      <c r="F102896"/>
    </row>
    <row r="102897" spans="1:6" x14ac:dyDescent="0.25">
      <c r="A102897"/>
      <c r="B102897"/>
      <c r="C102897"/>
      <c r="E102897"/>
      <c r="F102897"/>
    </row>
    <row r="102898" spans="1:6" x14ac:dyDescent="0.25">
      <c r="A102898"/>
      <c r="B102898"/>
      <c r="C102898"/>
      <c r="E102898"/>
      <c r="F102898"/>
    </row>
    <row r="102899" spans="1:6" x14ac:dyDescent="0.25">
      <c r="A102899"/>
      <c r="B102899"/>
      <c r="C102899"/>
      <c r="E102899"/>
      <c r="F102899"/>
    </row>
    <row r="102900" spans="1:6" x14ac:dyDescent="0.25">
      <c r="A102900"/>
      <c r="B102900"/>
      <c r="C102900"/>
      <c r="E102900"/>
      <c r="F102900"/>
    </row>
    <row r="102901" spans="1:6" x14ac:dyDescent="0.25">
      <c r="A102901"/>
      <c r="B102901"/>
      <c r="C102901"/>
      <c r="E102901"/>
      <c r="F102901"/>
    </row>
    <row r="102902" spans="1:6" x14ac:dyDescent="0.25">
      <c r="A102902"/>
      <c r="B102902"/>
      <c r="C102902"/>
      <c r="E102902"/>
      <c r="F102902"/>
    </row>
    <row r="102903" spans="1:6" x14ac:dyDescent="0.25">
      <c r="A102903"/>
      <c r="B102903"/>
      <c r="C102903"/>
      <c r="E102903"/>
      <c r="F102903"/>
    </row>
    <row r="102904" spans="1:6" x14ac:dyDescent="0.25">
      <c r="A102904"/>
      <c r="B102904"/>
      <c r="C102904"/>
      <c r="E102904"/>
      <c r="F102904"/>
    </row>
    <row r="102905" spans="1:6" x14ac:dyDescent="0.25">
      <c r="A102905"/>
      <c r="B102905"/>
      <c r="C102905"/>
      <c r="E102905"/>
      <c r="F102905"/>
    </row>
    <row r="102906" spans="1:6" x14ac:dyDescent="0.25">
      <c r="A102906"/>
      <c r="B102906"/>
      <c r="C102906"/>
      <c r="E102906"/>
      <c r="F102906"/>
    </row>
    <row r="102907" spans="1:6" x14ac:dyDescent="0.25">
      <c r="A102907"/>
      <c r="B102907"/>
      <c r="C102907"/>
      <c r="E102907"/>
      <c r="F102907"/>
    </row>
    <row r="102908" spans="1:6" x14ac:dyDescent="0.25">
      <c r="A102908"/>
      <c r="B102908"/>
      <c r="C102908"/>
      <c r="E102908"/>
      <c r="F102908"/>
    </row>
    <row r="102909" spans="1:6" x14ac:dyDescent="0.25">
      <c r="A102909"/>
      <c r="B102909"/>
      <c r="C102909"/>
      <c r="E102909"/>
      <c r="F102909"/>
    </row>
    <row r="102910" spans="1:6" x14ac:dyDescent="0.25">
      <c r="A102910"/>
      <c r="B102910"/>
      <c r="C102910"/>
      <c r="E102910"/>
      <c r="F102910"/>
    </row>
    <row r="102911" spans="1:6" x14ac:dyDescent="0.25">
      <c r="A102911"/>
      <c r="B102911"/>
      <c r="C102911"/>
      <c r="E102911"/>
      <c r="F102911"/>
    </row>
    <row r="102912" spans="1:6" x14ac:dyDescent="0.25">
      <c r="A102912"/>
      <c r="B102912"/>
      <c r="C102912"/>
      <c r="E102912"/>
      <c r="F102912"/>
    </row>
    <row r="102913" spans="1:6" x14ac:dyDescent="0.25">
      <c r="A102913"/>
      <c r="B102913"/>
      <c r="C102913"/>
      <c r="E102913"/>
      <c r="F102913"/>
    </row>
    <row r="102914" spans="1:6" x14ac:dyDescent="0.25">
      <c r="A102914"/>
      <c r="B102914"/>
      <c r="C102914"/>
      <c r="E102914"/>
      <c r="F102914"/>
    </row>
    <row r="102915" spans="1:6" x14ac:dyDescent="0.25">
      <c r="A102915"/>
      <c r="B102915"/>
      <c r="C102915"/>
      <c r="E102915"/>
      <c r="F102915"/>
    </row>
    <row r="102916" spans="1:6" x14ac:dyDescent="0.25">
      <c r="A102916"/>
      <c r="B102916"/>
      <c r="C102916"/>
      <c r="E102916"/>
      <c r="F102916"/>
    </row>
    <row r="102917" spans="1:6" x14ac:dyDescent="0.25">
      <c r="A102917"/>
      <c r="B102917"/>
      <c r="C102917"/>
      <c r="E102917"/>
      <c r="F102917"/>
    </row>
    <row r="102918" spans="1:6" x14ac:dyDescent="0.25">
      <c r="A102918"/>
      <c r="B102918"/>
      <c r="C102918"/>
      <c r="E102918"/>
      <c r="F102918"/>
    </row>
    <row r="102919" spans="1:6" x14ac:dyDescent="0.25">
      <c r="A102919"/>
      <c r="B102919"/>
      <c r="C102919"/>
      <c r="E102919"/>
      <c r="F102919"/>
    </row>
    <row r="102920" spans="1:6" x14ac:dyDescent="0.25">
      <c r="A102920"/>
      <c r="B102920"/>
      <c r="C102920"/>
      <c r="E102920"/>
      <c r="F102920"/>
    </row>
    <row r="102921" spans="1:6" x14ac:dyDescent="0.25">
      <c r="A102921"/>
      <c r="B102921"/>
      <c r="C102921"/>
      <c r="E102921"/>
      <c r="F102921"/>
    </row>
    <row r="102922" spans="1:6" x14ac:dyDescent="0.25">
      <c r="A102922"/>
      <c r="B102922"/>
      <c r="C102922"/>
      <c r="E102922"/>
      <c r="F102922"/>
    </row>
    <row r="102923" spans="1:6" x14ac:dyDescent="0.25">
      <c r="A102923"/>
      <c r="B102923"/>
      <c r="C102923"/>
      <c r="E102923"/>
      <c r="F102923"/>
    </row>
    <row r="102924" spans="1:6" x14ac:dyDescent="0.25">
      <c r="A102924"/>
      <c r="B102924"/>
      <c r="C102924"/>
      <c r="E102924"/>
      <c r="F102924"/>
    </row>
    <row r="102925" spans="1:6" x14ac:dyDescent="0.25">
      <c r="A102925"/>
      <c r="B102925"/>
      <c r="C102925"/>
      <c r="E102925"/>
      <c r="F102925"/>
    </row>
    <row r="102926" spans="1:6" x14ac:dyDescent="0.25">
      <c r="A102926"/>
      <c r="B102926"/>
      <c r="C102926"/>
      <c r="E102926"/>
      <c r="F102926"/>
    </row>
    <row r="102927" spans="1:6" x14ac:dyDescent="0.25">
      <c r="A102927"/>
      <c r="B102927"/>
      <c r="C102927"/>
      <c r="E102927"/>
      <c r="F102927"/>
    </row>
    <row r="102928" spans="1:6" x14ac:dyDescent="0.25">
      <c r="A102928"/>
      <c r="B102928"/>
      <c r="C102928"/>
      <c r="E102928"/>
      <c r="F102928"/>
    </row>
    <row r="102929" spans="1:6" x14ac:dyDescent="0.25">
      <c r="A102929"/>
      <c r="B102929"/>
      <c r="C102929"/>
      <c r="E102929"/>
      <c r="F102929"/>
    </row>
    <row r="102930" spans="1:6" x14ac:dyDescent="0.25">
      <c r="A102930"/>
      <c r="B102930"/>
      <c r="C102930"/>
      <c r="E102930"/>
      <c r="F102930"/>
    </row>
    <row r="102931" spans="1:6" x14ac:dyDescent="0.25">
      <c r="A102931"/>
      <c r="B102931"/>
      <c r="C102931"/>
      <c r="E102931"/>
      <c r="F102931"/>
    </row>
    <row r="102932" spans="1:6" x14ac:dyDescent="0.25">
      <c r="A102932"/>
      <c r="B102932"/>
      <c r="C102932"/>
      <c r="E102932"/>
      <c r="F102932"/>
    </row>
    <row r="102933" spans="1:6" x14ac:dyDescent="0.25">
      <c r="A102933"/>
      <c r="B102933"/>
      <c r="C102933"/>
      <c r="E102933"/>
      <c r="F102933"/>
    </row>
    <row r="102934" spans="1:6" x14ac:dyDescent="0.25">
      <c r="A102934"/>
      <c r="B102934"/>
      <c r="C102934"/>
      <c r="E102934"/>
      <c r="F102934"/>
    </row>
    <row r="102935" spans="1:6" x14ac:dyDescent="0.25">
      <c r="A102935"/>
      <c r="B102935"/>
      <c r="C102935"/>
      <c r="E102935"/>
      <c r="F102935"/>
    </row>
    <row r="102936" spans="1:6" x14ac:dyDescent="0.25">
      <c r="A102936"/>
      <c r="B102936"/>
      <c r="C102936"/>
      <c r="E102936"/>
      <c r="F102936"/>
    </row>
    <row r="102937" spans="1:6" x14ac:dyDescent="0.25">
      <c r="A102937"/>
      <c r="B102937"/>
      <c r="C102937"/>
      <c r="E102937"/>
      <c r="F102937"/>
    </row>
    <row r="102938" spans="1:6" x14ac:dyDescent="0.25">
      <c r="A102938"/>
      <c r="B102938"/>
      <c r="C102938"/>
      <c r="E102938"/>
      <c r="F102938"/>
    </row>
    <row r="102939" spans="1:6" x14ac:dyDescent="0.25">
      <c r="A102939"/>
      <c r="B102939"/>
      <c r="C102939"/>
      <c r="E102939"/>
      <c r="F102939"/>
    </row>
    <row r="102940" spans="1:6" x14ac:dyDescent="0.25">
      <c r="A102940"/>
      <c r="B102940"/>
      <c r="C102940"/>
      <c r="E102940"/>
      <c r="F102940"/>
    </row>
    <row r="102941" spans="1:6" x14ac:dyDescent="0.25">
      <c r="A102941"/>
      <c r="B102941"/>
      <c r="C102941"/>
      <c r="E102941"/>
      <c r="F102941"/>
    </row>
    <row r="102942" spans="1:6" x14ac:dyDescent="0.25">
      <c r="A102942"/>
      <c r="B102942"/>
      <c r="C102942"/>
      <c r="E102942"/>
      <c r="F102942"/>
    </row>
    <row r="102943" spans="1:6" x14ac:dyDescent="0.25">
      <c r="A102943"/>
      <c r="B102943"/>
      <c r="C102943"/>
      <c r="E102943"/>
      <c r="F102943"/>
    </row>
    <row r="102944" spans="1:6" x14ac:dyDescent="0.25">
      <c r="A102944"/>
      <c r="B102944"/>
      <c r="C102944"/>
      <c r="E102944"/>
      <c r="F102944"/>
    </row>
    <row r="102945" spans="1:6" x14ac:dyDescent="0.25">
      <c r="A102945"/>
      <c r="B102945"/>
      <c r="C102945"/>
      <c r="E102945"/>
      <c r="F102945"/>
    </row>
    <row r="102946" spans="1:6" x14ac:dyDescent="0.25">
      <c r="A102946"/>
      <c r="B102946"/>
      <c r="C102946"/>
      <c r="E102946"/>
      <c r="F102946"/>
    </row>
    <row r="102947" spans="1:6" x14ac:dyDescent="0.25">
      <c r="A102947"/>
      <c r="B102947"/>
      <c r="C102947"/>
      <c r="E102947"/>
      <c r="F102947"/>
    </row>
    <row r="102948" spans="1:6" x14ac:dyDescent="0.25">
      <c r="A102948"/>
      <c r="B102948"/>
      <c r="C102948"/>
      <c r="E102948"/>
      <c r="F102948"/>
    </row>
    <row r="102949" spans="1:6" x14ac:dyDescent="0.25">
      <c r="A102949"/>
      <c r="B102949"/>
      <c r="C102949"/>
      <c r="E102949"/>
      <c r="F102949"/>
    </row>
    <row r="102950" spans="1:6" x14ac:dyDescent="0.25">
      <c r="A102950"/>
      <c r="B102950"/>
      <c r="C102950"/>
      <c r="E102950"/>
      <c r="F102950"/>
    </row>
    <row r="102951" spans="1:6" x14ac:dyDescent="0.25">
      <c r="A102951"/>
      <c r="B102951"/>
      <c r="C102951"/>
      <c r="E102951"/>
      <c r="F102951"/>
    </row>
    <row r="102952" spans="1:6" x14ac:dyDescent="0.25">
      <c r="A102952"/>
      <c r="B102952"/>
      <c r="C102952"/>
      <c r="E102952"/>
      <c r="F102952"/>
    </row>
    <row r="102953" spans="1:6" x14ac:dyDescent="0.25">
      <c r="A102953"/>
      <c r="B102953"/>
      <c r="C102953"/>
      <c r="E102953"/>
      <c r="F102953"/>
    </row>
    <row r="102954" spans="1:6" x14ac:dyDescent="0.25">
      <c r="A102954"/>
      <c r="B102954"/>
      <c r="C102954"/>
      <c r="E102954"/>
      <c r="F102954"/>
    </row>
    <row r="102955" spans="1:6" x14ac:dyDescent="0.25">
      <c r="A102955"/>
      <c r="B102955"/>
      <c r="C102955"/>
      <c r="E102955"/>
      <c r="F102955"/>
    </row>
    <row r="102956" spans="1:6" x14ac:dyDescent="0.25">
      <c r="A102956"/>
      <c r="B102956"/>
      <c r="C102956"/>
      <c r="E102956"/>
      <c r="F102956"/>
    </row>
    <row r="102957" spans="1:6" x14ac:dyDescent="0.25">
      <c r="A102957"/>
      <c r="B102957"/>
      <c r="C102957"/>
      <c r="E102957"/>
      <c r="F102957"/>
    </row>
    <row r="102958" spans="1:6" x14ac:dyDescent="0.25">
      <c r="A102958"/>
      <c r="B102958"/>
      <c r="C102958"/>
      <c r="E102958"/>
      <c r="F102958"/>
    </row>
    <row r="102959" spans="1:6" x14ac:dyDescent="0.25">
      <c r="A102959"/>
      <c r="B102959"/>
      <c r="C102959"/>
      <c r="E102959"/>
      <c r="F102959"/>
    </row>
    <row r="102960" spans="1:6" x14ac:dyDescent="0.25">
      <c r="A102960"/>
      <c r="B102960"/>
      <c r="C102960"/>
      <c r="E102960"/>
      <c r="F102960"/>
    </row>
    <row r="102961" spans="1:6" x14ac:dyDescent="0.25">
      <c r="A102961"/>
      <c r="B102961"/>
      <c r="C102961"/>
      <c r="E102961"/>
      <c r="F102961"/>
    </row>
    <row r="102962" spans="1:6" x14ac:dyDescent="0.25">
      <c r="A102962"/>
      <c r="B102962"/>
      <c r="C102962"/>
      <c r="E102962"/>
      <c r="F102962"/>
    </row>
    <row r="102963" spans="1:6" x14ac:dyDescent="0.25">
      <c r="A102963"/>
      <c r="B102963"/>
      <c r="C102963"/>
      <c r="E102963"/>
      <c r="F102963"/>
    </row>
    <row r="102964" spans="1:6" x14ac:dyDescent="0.25">
      <c r="A102964"/>
      <c r="B102964"/>
      <c r="C102964"/>
      <c r="E102964"/>
      <c r="F102964"/>
    </row>
    <row r="102965" spans="1:6" x14ac:dyDescent="0.25">
      <c r="A102965"/>
      <c r="B102965"/>
      <c r="C102965"/>
      <c r="E102965"/>
      <c r="F102965"/>
    </row>
    <row r="102966" spans="1:6" x14ac:dyDescent="0.25">
      <c r="A102966"/>
      <c r="B102966"/>
      <c r="C102966"/>
      <c r="E102966"/>
      <c r="F102966"/>
    </row>
    <row r="102967" spans="1:6" x14ac:dyDescent="0.25">
      <c r="A102967"/>
      <c r="B102967"/>
      <c r="C102967"/>
      <c r="E102967"/>
      <c r="F102967"/>
    </row>
    <row r="102968" spans="1:6" x14ac:dyDescent="0.25">
      <c r="A102968"/>
      <c r="B102968"/>
      <c r="C102968"/>
      <c r="E102968"/>
      <c r="F102968"/>
    </row>
    <row r="102969" spans="1:6" x14ac:dyDescent="0.25">
      <c r="A102969"/>
      <c r="B102969"/>
      <c r="C102969"/>
      <c r="E102969"/>
      <c r="F102969"/>
    </row>
    <row r="102970" spans="1:6" x14ac:dyDescent="0.25">
      <c r="A102970"/>
      <c r="B102970"/>
      <c r="C102970"/>
      <c r="E102970"/>
      <c r="F102970"/>
    </row>
    <row r="102971" spans="1:6" x14ac:dyDescent="0.25">
      <c r="A102971"/>
      <c r="B102971"/>
      <c r="C102971"/>
      <c r="E102971"/>
      <c r="F102971"/>
    </row>
    <row r="102972" spans="1:6" x14ac:dyDescent="0.25">
      <c r="A102972"/>
      <c r="B102972"/>
      <c r="C102972"/>
      <c r="E102972"/>
      <c r="F102972"/>
    </row>
    <row r="102973" spans="1:6" x14ac:dyDescent="0.25">
      <c r="A102973"/>
      <c r="B102973"/>
      <c r="C102973"/>
      <c r="E102973"/>
      <c r="F102973"/>
    </row>
    <row r="102974" spans="1:6" x14ac:dyDescent="0.25">
      <c r="A102974"/>
      <c r="B102974"/>
      <c r="C102974"/>
      <c r="E102974"/>
      <c r="F102974"/>
    </row>
    <row r="102975" spans="1:6" x14ac:dyDescent="0.25">
      <c r="A102975"/>
      <c r="B102975"/>
      <c r="C102975"/>
      <c r="E102975"/>
      <c r="F102975"/>
    </row>
    <row r="102976" spans="1:6" x14ac:dyDescent="0.25">
      <c r="A102976"/>
      <c r="B102976"/>
      <c r="C102976"/>
      <c r="E102976"/>
      <c r="F102976"/>
    </row>
    <row r="102977" spans="1:6" x14ac:dyDescent="0.25">
      <c r="A102977"/>
      <c r="B102977"/>
      <c r="C102977"/>
      <c r="E102977"/>
      <c r="F102977"/>
    </row>
    <row r="102978" spans="1:6" x14ac:dyDescent="0.25">
      <c r="A102978"/>
      <c r="B102978"/>
      <c r="C102978"/>
      <c r="E102978"/>
      <c r="F102978"/>
    </row>
    <row r="102979" spans="1:6" x14ac:dyDescent="0.25">
      <c r="A102979"/>
      <c r="B102979"/>
      <c r="C102979"/>
      <c r="E102979"/>
      <c r="F102979"/>
    </row>
    <row r="102980" spans="1:6" x14ac:dyDescent="0.25">
      <c r="A102980"/>
      <c r="B102980"/>
      <c r="C102980"/>
      <c r="E102980"/>
      <c r="F102980"/>
    </row>
    <row r="102981" spans="1:6" x14ac:dyDescent="0.25">
      <c r="A102981"/>
      <c r="B102981"/>
      <c r="C102981"/>
      <c r="E102981"/>
      <c r="F102981"/>
    </row>
    <row r="102982" spans="1:6" x14ac:dyDescent="0.25">
      <c r="A102982"/>
      <c r="B102982"/>
      <c r="C102982"/>
      <c r="E102982"/>
      <c r="F102982"/>
    </row>
    <row r="102983" spans="1:6" x14ac:dyDescent="0.25">
      <c r="A102983"/>
      <c r="B102983"/>
      <c r="C102983"/>
      <c r="E102983"/>
      <c r="F102983"/>
    </row>
    <row r="102984" spans="1:6" x14ac:dyDescent="0.25">
      <c r="A102984"/>
      <c r="B102984"/>
      <c r="C102984"/>
      <c r="E102984"/>
      <c r="F102984"/>
    </row>
    <row r="102985" spans="1:6" x14ac:dyDescent="0.25">
      <c r="A102985"/>
      <c r="B102985"/>
      <c r="C102985"/>
      <c r="E102985"/>
      <c r="F102985"/>
    </row>
    <row r="102986" spans="1:6" x14ac:dyDescent="0.25">
      <c r="A102986"/>
      <c r="B102986"/>
      <c r="C102986"/>
      <c r="E102986"/>
      <c r="F102986"/>
    </row>
    <row r="102987" spans="1:6" x14ac:dyDescent="0.25">
      <c r="A102987"/>
      <c r="B102987"/>
      <c r="C102987"/>
      <c r="E102987"/>
      <c r="F102987"/>
    </row>
    <row r="102988" spans="1:6" x14ac:dyDescent="0.25">
      <c r="A102988"/>
      <c r="B102988"/>
      <c r="C102988"/>
      <c r="E102988"/>
      <c r="F102988"/>
    </row>
    <row r="102989" spans="1:6" x14ac:dyDescent="0.25">
      <c r="A102989"/>
      <c r="B102989"/>
      <c r="C102989"/>
      <c r="E102989"/>
      <c r="F102989"/>
    </row>
    <row r="102990" spans="1:6" x14ac:dyDescent="0.25">
      <c r="A102990"/>
      <c r="B102990"/>
      <c r="C102990"/>
      <c r="E102990"/>
      <c r="F102990"/>
    </row>
    <row r="102991" spans="1:6" x14ac:dyDescent="0.25">
      <c r="A102991"/>
      <c r="B102991"/>
      <c r="C102991"/>
      <c r="E102991"/>
      <c r="F102991"/>
    </row>
    <row r="102992" spans="1:6" x14ac:dyDescent="0.25">
      <c r="A102992"/>
      <c r="B102992"/>
      <c r="C102992"/>
      <c r="E102992"/>
      <c r="F102992"/>
    </row>
    <row r="102993" spans="1:6" x14ac:dyDescent="0.25">
      <c r="A102993"/>
      <c r="B102993"/>
      <c r="C102993"/>
      <c r="E102993"/>
      <c r="F102993"/>
    </row>
    <row r="102994" spans="1:6" x14ac:dyDescent="0.25">
      <c r="A102994"/>
      <c r="B102994"/>
      <c r="C102994"/>
      <c r="E102994"/>
      <c r="F102994"/>
    </row>
    <row r="102995" spans="1:6" x14ac:dyDescent="0.25">
      <c r="A102995"/>
      <c r="B102995"/>
      <c r="C102995"/>
      <c r="E102995"/>
      <c r="F102995"/>
    </row>
    <row r="102996" spans="1:6" x14ac:dyDescent="0.25">
      <c r="A102996"/>
      <c r="B102996"/>
      <c r="C102996"/>
      <c r="E102996"/>
      <c r="F102996"/>
    </row>
    <row r="102997" spans="1:6" x14ac:dyDescent="0.25">
      <c r="A102997"/>
      <c r="B102997"/>
      <c r="C102997"/>
      <c r="E102997"/>
      <c r="F102997"/>
    </row>
    <row r="102998" spans="1:6" x14ac:dyDescent="0.25">
      <c r="A102998"/>
      <c r="B102998"/>
      <c r="C102998"/>
      <c r="E102998"/>
      <c r="F102998"/>
    </row>
    <row r="102999" spans="1:6" x14ac:dyDescent="0.25">
      <c r="A102999"/>
      <c r="B102999"/>
      <c r="C102999"/>
      <c r="E102999"/>
      <c r="F102999"/>
    </row>
    <row r="103000" spans="1:6" x14ac:dyDescent="0.25">
      <c r="A103000"/>
      <c r="B103000"/>
      <c r="C103000"/>
      <c r="E103000"/>
      <c r="F103000"/>
    </row>
    <row r="103001" spans="1:6" x14ac:dyDescent="0.25">
      <c r="A103001"/>
      <c r="B103001"/>
      <c r="C103001"/>
      <c r="E103001"/>
      <c r="F103001"/>
    </row>
    <row r="103002" spans="1:6" x14ac:dyDescent="0.25">
      <c r="A103002"/>
      <c r="B103002"/>
      <c r="C103002"/>
      <c r="E103002"/>
      <c r="F103002"/>
    </row>
    <row r="103003" spans="1:6" x14ac:dyDescent="0.25">
      <c r="A103003"/>
      <c r="B103003"/>
      <c r="C103003"/>
      <c r="E103003"/>
      <c r="F103003"/>
    </row>
    <row r="103004" spans="1:6" x14ac:dyDescent="0.25">
      <c r="A103004"/>
      <c r="B103004"/>
      <c r="C103004"/>
      <c r="E103004"/>
      <c r="F103004"/>
    </row>
    <row r="103005" spans="1:6" x14ac:dyDescent="0.25">
      <c r="A103005"/>
      <c r="B103005"/>
      <c r="C103005"/>
      <c r="E103005"/>
      <c r="F103005"/>
    </row>
    <row r="103006" spans="1:6" x14ac:dyDescent="0.25">
      <c r="A103006"/>
      <c r="B103006"/>
      <c r="C103006"/>
      <c r="E103006"/>
      <c r="F103006"/>
    </row>
    <row r="103007" spans="1:6" x14ac:dyDescent="0.25">
      <c r="A103007"/>
      <c r="B103007"/>
      <c r="C103007"/>
      <c r="E103007"/>
      <c r="F103007"/>
    </row>
    <row r="103008" spans="1:6" x14ac:dyDescent="0.25">
      <c r="A103008"/>
      <c r="B103008"/>
      <c r="C103008"/>
      <c r="E103008"/>
      <c r="F103008"/>
    </row>
    <row r="103009" spans="1:6" x14ac:dyDescent="0.25">
      <c r="A103009"/>
      <c r="B103009"/>
      <c r="C103009"/>
      <c r="E103009"/>
      <c r="F103009"/>
    </row>
    <row r="103010" spans="1:6" x14ac:dyDescent="0.25">
      <c r="A103010"/>
      <c r="B103010"/>
      <c r="C103010"/>
      <c r="E103010"/>
      <c r="F103010"/>
    </row>
    <row r="103011" spans="1:6" x14ac:dyDescent="0.25">
      <c r="A103011"/>
      <c r="B103011"/>
      <c r="C103011"/>
      <c r="E103011"/>
      <c r="F103011"/>
    </row>
    <row r="103012" spans="1:6" x14ac:dyDescent="0.25">
      <c r="A103012"/>
      <c r="B103012"/>
      <c r="C103012"/>
      <c r="E103012"/>
      <c r="F103012"/>
    </row>
    <row r="103013" spans="1:6" x14ac:dyDescent="0.25">
      <c r="A103013"/>
      <c r="B103013"/>
      <c r="C103013"/>
      <c r="E103013"/>
      <c r="F103013"/>
    </row>
    <row r="103014" spans="1:6" x14ac:dyDescent="0.25">
      <c r="A103014"/>
      <c r="B103014"/>
      <c r="C103014"/>
      <c r="E103014"/>
      <c r="F103014"/>
    </row>
    <row r="103015" spans="1:6" x14ac:dyDescent="0.25">
      <c r="A103015"/>
      <c r="B103015"/>
      <c r="C103015"/>
      <c r="E103015"/>
      <c r="F103015"/>
    </row>
    <row r="103016" spans="1:6" x14ac:dyDescent="0.25">
      <c r="A103016"/>
      <c r="B103016"/>
      <c r="C103016"/>
      <c r="E103016"/>
      <c r="F103016"/>
    </row>
    <row r="103017" spans="1:6" x14ac:dyDescent="0.25">
      <c r="A103017"/>
      <c r="B103017"/>
      <c r="C103017"/>
      <c r="E103017"/>
      <c r="F103017"/>
    </row>
    <row r="103018" spans="1:6" x14ac:dyDescent="0.25">
      <c r="A103018"/>
      <c r="B103018"/>
      <c r="C103018"/>
      <c r="E103018"/>
      <c r="F103018"/>
    </row>
    <row r="103019" spans="1:6" x14ac:dyDescent="0.25">
      <c r="A103019"/>
      <c r="B103019"/>
      <c r="C103019"/>
      <c r="E103019"/>
      <c r="F103019"/>
    </row>
    <row r="103020" spans="1:6" x14ac:dyDescent="0.25">
      <c r="A103020"/>
      <c r="B103020"/>
      <c r="C103020"/>
      <c r="E103020"/>
      <c r="F103020"/>
    </row>
    <row r="103021" spans="1:6" x14ac:dyDescent="0.25">
      <c r="A103021"/>
      <c r="B103021"/>
      <c r="C103021"/>
      <c r="E103021"/>
      <c r="F103021"/>
    </row>
    <row r="103022" spans="1:6" x14ac:dyDescent="0.25">
      <c r="A103022"/>
      <c r="B103022"/>
      <c r="C103022"/>
      <c r="E103022"/>
      <c r="F103022"/>
    </row>
    <row r="103023" spans="1:6" x14ac:dyDescent="0.25">
      <c r="A103023"/>
      <c r="B103023"/>
      <c r="C103023"/>
      <c r="E103023"/>
      <c r="F103023"/>
    </row>
    <row r="103024" spans="1:6" x14ac:dyDescent="0.25">
      <c r="A103024"/>
      <c r="B103024"/>
      <c r="C103024"/>
      <c r="E103024"/>
      <c r="F103024"/>
    </row>
    <row r="103025" spans="1:6" x14ac:dyDescent="0.25">
      <c r="A103025"/>
      <c r="B103025"/>
      <c r="C103025"/>
      <c r="E103025"/>
      <c r="F103025"/>
    </row>
    <row r="103026" spans="1:6" x14ac:dyDescent="0.25">
      <c r="A103026"/>
      <c r="B103026"/>
      <c r="C103026"/>
      <c r="E103026"/>
      <c r="F103026"/>
    </row>
    <row r="103027" spans="1:6" x14ac:dyDescent="0.25">
      <c r="A103027"/>
      <c r="B103027"/>
      <c r="C103027"/>
      <c r="E103027"/>
      <c r="F103027"/>
    </row>
    <row r="103028" spans="1:6" x14ac:dyDescent="0.25">
      <c r="A103028"/>
      <c r="B103028"/>
      <c r="C103028"/>
      <c r="E103028"/>
      <c r="F103028"/>
    </row>
    <row r="103029" spans="1:6" x14ac:dyDescent="0.25">
      <c r="A103029"/>
      <c r="B103029"/>
      <c r="C103029"/>
      <c r="E103029"/>
      <c r="F103029"/>
    </row>
    <row r="103030" spans="1:6" x14ac:dyDescent="0.25">
      <c r="A103030"/>
      <c r="B103030"/>
      <c r="C103030"/>
      <c r="E103030"/>
      <c r="F103030"/>
    </row>
    <row r="103031" spans="1:6" x14ac:dyDescent="0.25">
      <c r="A103031"/>
      <c r="B103031"/>
      <c r="C103031"/>
      <c r="E103031"/>
      <c r="F103031"/>
    </row>
    <row r="103032" spans="1:6" x14ac:dyDescent="0.25">
      <c r="A103032"/>
      <c r="B103032"/>
      <c r="C103032"/>
      <c r="E103032"/>
      <c r="F103032"/>
    </row>
    <row r="103033" spans="1:6" x14ac:dyDescent="0.25">
      <c r="A103033"/>
      <c r="B103033"/>
      <c r="C103033"/>
      <c r="E103033"/>
      <c r="F103033"/>
    </row>
    <row r="103034" spans="1:6" x14ac:dyDescent="0.25">
      <c r="A103034"/>
      <c r="B103034"/>
      <c r="C103034"/>
      <c r="E103034"/>
      <c r="F103034"/>
    </row>
    <row r="103035" spans="1:6" x14ac:dyDescent="0.25">
      <c r="A103035"/>
      <c r="B103035"/>
      <c r="C103035"/>
      <c r="E103035"/>
      <c r="F103035"/>
    </row>
    <row r="103036" spans="1:6" x14ac:dyDescent="0.25">
      <c r="A103036"/>
      <c r="B103036"/>
      <c r="C103036"/>
      <c r="E103036"/>
      <c r="F103036"/>
    </row>
    <row r="103037" spans="1:6" x14ac:dyDescent="0.25">
      <c r="A103037"/>
      <c r="B103037"/>
      <c r="C103037"/>
      <c r="E103037"/>
      <c r="F103037"/>
    </row>
    <row r="103038" spans="1:6" x14ac:dyDescent="0.25">
      <c r="A103038"/>
      <c r="B103038"/>
      <c r="C103038"/>
      <c r="E103038"/>
      <c r="F103038"/>
    </row>
    <row r="103039" spans="1:6" x14ac:dyDescent="0.25">
      <c r="A103039"/>
      <c r="B103039"/>
      <c r="C103039"/>
      <c r="E103039"/>
      <c r="F103039"/>
    </row>
    <row r="103040" spans="1:6" x14ac:dyDescent="0.25">
      <c r="A103040"/>
      <c r="B103040"/>
      <c r="C103040"/>
      <c r="E103040"/>
      <c r="F103040"/>
    </row>
    <row r="103041" spans="1:6" x14ac:dyDescent="0.25">
      <c r="A103041"/>
      <c r="B103041"/>
      <c r="C103041"/>
      <c r="E103041"/>
      <c r="F103041"/>
    </row>
    <row r="103042" spans="1:6" x14ac:dyDescent="0.25">
      <c r="A103042"/>
      <c r="B103042"/>
      <c r="C103042"/>
      <c r="E103042"/>
      <c r="F103042"/>
    </row>
    <row r="103043" spans="1:6" x14ac:dyDescent="0.25">
      <c r="A103043"/>
      <c r="B103043"/>
      <c r="C103043"/>
      <c r="E103043"/>
      <c r="F103043"/>
    </row>
    <row r="103044" spans="1:6" x14ac:dyDescent="0.25">
      <c r="A103044"/>
      <c r="B103044"/>
      <c r="C103044"/>
      <c r="E103044"/>
      <c r="F103044"/>
    </row>
    <row r="103045" spans="1:6" x14ac:dyDescent="0.25">
      <c r="A103045"/>
      <c r="B103045"/>
      <c r="C103045"/>
      <c r="E103045"/>
      <c r="F103045"/>
    </row>
    <row r="103046" spans="1:6" x14ac:dyDescent="0.25">
      <c r="A103046"/>
      <c r="B103046"/>
      <c r="C103046"/>
      <c r="E103046"/>
      <c r="F103046"/>
    </row>
    <row r="103047" spans="1:6" x14ac:dyDescent="0.25">
      <c r="A103047"/>
      <c r="B103047"/>
      <c r="C103047"/>
      <c r="E103047"/>
      <c r="F103047"/>
    </row>
    <row r="103048" spans="1:6" x14ac:dyDescent="0.25">
      <c r="A103048"/>
      <c r="B103048"/>
      <c r="C103048"/>
      <c r="E103048"/>
      <c r="F103048"/>
    </row>
    <row r="103049" spans="1:6" x14ac:dyDescent="0.25">
      <c r="A103049"/>
      <c r="B103049"/>
      <c r="C103049"/>
      <c r="E103049"/>
      <c r="F103049"/>
    </row>
    <row r="103050" spans="1:6" x14ac:dyDescent="0.25">
      <c r="A103050"/>
      <c r="B103050"/>
      <c r="C103050"/>
      <c r="E103050"/>
      <c r="F103050"/>
    </row>
    <row r="103051" spans="1:6" x14ac:dyDescent="0.25">
      <c r="A103051"/>
      <c r="B103051"/>
      <c r="C103051"/>
      <c r="E103051"/>
      <c r="F103051"/>
    </row>
    <row r="103052" spans="1:6" x14ac:dyDescent="0.25">
      <c r="A103052"/>
      <c r="B103052"/>
      <c r="C103052"/>
      <c r="E103052"/>
      <c r="F103052"/>
    </row>
    <row r="103053" spans="1:6" x14ac:dyDescent="0.25">
      <c r="A103053"/>
      <c r="B103053"/>
      <c r="C103053"/>
      <c r="E103053"/>
      <c r="F103053"/>
    </row>
    <row r="103054" spans="1:6" x14ac:dyDescent="0.25">
      <c r="A103054"/>
      <c r="B103054"/>
      <c r="C103054"/>
      <c r="E103054"/>
      <c r="F103054"/>
    </row>
    <row r="103055" spans="1:6" x14ac:dyDescent="0.25">
      <c r="A103055"/>
      <c r="B103055"/>
      <c r="C103055"/>
      <c r="E103055"/>
      <c r="F103055"/>
    </row>
    <row r="103056" spans="1:6" x14ac:dyDescent="0.25">
      <c r="A103056"/>
      <c r="B103056"/>
      <c r="C103056"/>
      <c r="E103056"/>
      <c r="F103056"/>
    </row>
    <row r="103057" spans="1:6" x14ac:dyDescent="0.25">
      <c r="A103057"/>
      <c r="B103057"/>
      <c r="C103057"/>
      <c r="E103057"/>
      <c r="F103057"/>
    </row>
    <row r="103058" spans="1:6" x14ac:dyDescent="0.25">
      <c r="A103058"/>
      <c r="B103058"/>
      <c r="C103058"/>
      <c r="E103058"/>
      <c r="F103058"/>
    </row>
    <row r="103059" spans="1:6" x14ac:dyDescent="0.25">
      <c r="A103059"/>
      <c r="B103059"/>
      <c r="C103059"/>
      <c r="E103059"/>
      <c r="F103059"/>
    </row>
    <row r="103060" spans="1:6" x14ac:dyDescent="0.25">
      <c r="A103060"/>
      <c r="B103060"/>
      <c r="C103060"/>
      <c r="E103060"/>
      <c r="F103060"/>
    </row>
    <row r="103061" spans="1:6" x14ac:dyDescent="0.25">
      <c r="A103061"/>
      <c r="B103061"/>
      <c r="C103061"/>
      <c r="E103061"/>
      <c r="F103061"/>
    </row>
    <row r="103062" spans="1:6" x14ac:dyDescent="0.25">
      <c r="A103062"/>
      <c r="B103062"/>
      <c r="C103062"/>
      <c r="E103062"/>
      <c r="F103062"/>
    </row>
    <row r="103063" spans="1:6" x14ac:dyDescent="0.25">
      <c r="A103063"/>
      <c r="B103063"/>
      <c r="C103063"/>
      <c r="E103063"/>
      <c r="F103063"/>
    </row>
    <row r="103064" spans="1:6" x14ac:dyDescent="0.25">
      <c r="A103064"/>
      <c r="B103064"/>
      <c r="C103064"/>
      <c r="E103064"/>
      <c r="F103064"/>
    </row>
    <row r="103065" spans="1:6" x14ac:dyDescent="0.25">
      <c r="A103065"/>
      <c r="B103065"/>
      <c r="C103065"/>
      <c r="E103065"/>
      <c r="F103065"/>
    </row>
    <row r="103066" spans="1:6" x14ac:dyDescent="0.25">
      <c r="A103066"/>
      <c r="B103066"/>
      <c r="C103066"/>
      <c r="E103066"/>
      <c r="F103066"/>
    </row>
    <row r="103067" spans="1:6" x14ac:dyDescent="0.25">
      <c r="A103067"/>
      <c r="B103067"/>
      <c r="C103067"/>
      <c r="E103067"/>
      <c r="F103067"/>
    </row>
    <row r="103068" spans="1:6" x14ac:dyDescent="0.25">
      <c r="A103068"/>
      <c r="B103068"/>
      <c r="C103068"/>
      <c r="E103068"/>
      <c r="F103068"/>
    </row>
    <row r="103069" spans="1:6" x14ac:dyDescent="0.25">
      <c r="A103069"/>
      <c r="B103069"/>
      <c r="C103069"/>
      <c r="E103069"/>
      <c r="F103069"/>
    </row>
    <row r="103070" spans="1:6" x14ac:dyDescent="0.25">
      <c r="A103070"/>
      <c r="B103070"/>
      <c r="C103070"/>
      <c r="E103070"/>
      <c r="F103070"/>
    </row>
    <row r="103071" spans="1:6" x14ac:dyDescent="0.25">
      <c r="A103071"/>
      <c r="B103071"/>
      <c r="C103071"/>
      <c r="E103071"/>
      <c r="F103071"/>
    </row>
    <row r="103072" spans="1:6" x14ac:dyDescent="0.25">
      <c r="A103072"/>
      <c r="B103072"/>
      <c r="C103072"/>
      <c r="E103072"/>
      <c r="F103072"/>
    </row>
    <row r="103073" spans="1:6" x14ac:dyDescent="0.25">
      <c r="A103073"/>
      <c r="B103073"/>
      <c r="C103073"/>
      <c r="E103073"/>
      <c r="F103073"/>
    </row>
    <row r="103074" spans="1:6" x14ac:dyDescent="0.25">
      <c r="A103074"/>
      <c r="B103074"/>
      <c r="C103074"/>
      <c r="E103074"/>
      <c r="F103074"/>
    </row>
    <row r="103075" spans="1:6" x14ac:dyDescent="0.25">
      <c r="A103075"/>
      <c r="B103075"/>
      <c r="C103075"/>
      <c r="E103075"/>
      <c r="F103075"/>
    </row>
    <row r="103076" spans="1:6" x14ac:dyDescent="0.25">
      <c r="A103076"/>
      <c r="B103076"/>
      <c r="C103076"/>
      <c r="E103076"/>
      <c r="F103076"/>
    </row>
    <row r="103077" spans="1:6" x14ac:dyDescent="0.25">
      <c r="A103077"/>
      <c r="B103077"/>
      <c r="C103077"/>
      <c r="E103077"/>
      <c r="F103077"/>
    </row>
    <row r="103078" spans="1:6" x14ac:dyDescent="0.25">
      <c r="A103078"/>
      <c r="B103078"/>
      <c r="C103078"/>
      <c r="E103078"/>
      <c r="F103078"/>
    </row>
    <row r="103079" spans="1:6" x14ac:dyDescent="0.25">
      <c r="A103079"/>
      <c r="B103079"/>
      <c r="C103079"/>
      <c r="E103079"/>
      <c r="F103079"/>
    </row>
    <row r="103080" spans="1:6" x14ac:dyDescent="0.25">
      <c r="A103080"/>
      <c r="B103080"/>
      <c r="C103080"/>
      <c r="E103080"/>
      <c r="F103080"/>
    </row>
    <row r="103081" spans="1:6" x14ac:dyDescent="0.25">
      <c r="A103081"/>
      <c r="B103081"/>
      <c r="C103081"/>
      <c r="E103081"/>
      <c r="F103081"/>
    </row>
    <row r="103082" spans="1:6" x14ac:dyDescent="0.25">
      <c r="A103082"/>
      <c r="B103082"/>
      <c r="C103082"/>
      <c r="E103082"/>
      <c r="F103082"/>
    </row>
    <row r="103083" spans="1:6" x14ac:dyDescent="0.25">
      <c r="A103083"/>
      <c r="B103083"/>
      <c r="C103083"/>
      <c r="E103083"/>
      <c r="F103083"/>
    </row>
    <row r="103084" spans="1:6" x14ac:dyDescent="0.25">
      <c r="A103084"/>
      <c r="B103084"/>
      <c r="C103084"/>
      <c r="E103084"/>
      <c r="F103084"/>
    </row>
    <row r="103085" spans="1:6" x14ac:dyDescent="0.25">
      <c r="A103085"/>
      <c r="B103085"/>
      <c r="C103085"/>
      <c r="E103085"/>
      <c r="F103085"/>
    </row>
    <row r="103086" spans="1:6" x14ac:dyDescent="0.25">
      <c r="A103086"/>
      <c r="B103086"/>
      <c r="C103086"/>
      <c r="E103086"/>
      <c r="F103086"/>
    </row>
    <row r="103087" spans="1:6" x14ac:dyDescent="0.25">
      <c r="A103087"/>
      <c r="B103087"/>
      <c r="C103087"/>
      <c r="E103087"/>
      <c r="F103087"/>
    </row>
    <row r="103088" spans="1:6" x14ac:dyDescent="0.25">
      <c r="A103088"/>
      <c r="B103088"/>
      <c r="C103088"/>
      <c r="E103088"/>
      <c r="F103088"/>
    </row>
    <row r="103089" spans="1:6" x14ac:dyDescent="0.25">
      <c r="A103089"/>
      <c r="B103089"/>
      <c r="C103089"/>
      <c r="E103089"/>
      <c r="F103089"/>
    </row>
    <row r="103090" spans="1:6" x14ac:dyDescent="0.25">
      <c r="A103090"/>
      <c r="B103090"/>
      <c r="C103090"/>
      <c r="E103090"/>
      <c r="F103090"/>
    </row>
    <row r="103091" spans="1:6" x14ac:dyDescent="0.25">
      <c r="A103091"/>
      <c r="B103091"/>
      <c r="C103091"/>
      <c r="E103091"/>
      <c r="F103091"/>
    </row>
    <row r="103092" spans="1:6" x14ac:dyDescent="0.25">
      <c r="A103092"/>
      <c r="B103092"/>
      <c r="C103092"/>
      <c r="E103092"/>
      <c r="F103092"/>
    </row>
    <row r="103093" spans="1:6" x14ac:dyDescent="0.25">
      <c r="A103093"/>
      <c r="B103093"/>
      <c r="C103093"/>
      <c r="E103093"/>
      <c r="F103093"/>
    </row>
    <row r="103094" spans="1:6" x14ac:dyDescent="0.25">
      <c r="A103094"/>
      <c r="B103094"/>
      <c r="C103094"/>
      <c r="E103094"/>
      <c r="F103094"/>
    </row>
    <row r="103095" spans="1:6" x14ac:dyDescent="0.25">
      <c r="A103095"/>
      <c r="B103095"/>
      <c r="C103095"/>
      <c r="E103095"/>
      <c r="F103095"/>
    </row>
    <row r="103096" spans="1:6" x14ac:dyDescent="0.25">
      <c r="A103096"/>
      <c r="B103096"/>
      <c r="C103096"/>
      <c r="E103096"/>
      <c r="F103096"/>
    </row>
    <row r="103097" spans="1:6" x14ac:dyDescent="0.25">
      <c r="A103097"/>
      <c r="B103097"/>
      <c r="C103097"/>
      <c r="E103097"/>
      <c r="F103097"/>
    </row>
    <row r="103098" spans="1:6" x14ac:dyDescent="0.25">
      <c r="A103098"/>
      <c r="B103098"/>
      <c r="C103098"/>
      <c r="E103098"/>
      <c r="F103098"/>
    </row>
    <row r="103099" spans="1:6" x14ac:dyDescent="0.25">
      <c r="A103099"/>
      <c r="B103099"/>
      <c r="C103099"/>
      <c r="E103099"/>
      <c r="F103099"/>
    </row>
    <row r="103100" spans="1:6" x14ac:dyDescent="0.25">
      <c r="A103100"/>
      <c r="B103100"/>
      <c r="C103100"/>
      <c r="E103100"/>
      <c r="F103100"/>
    </row>
    <row r="103101" spans="1:6" x14ac:dyDescent="0.25">
      <c r="A103101"/>
      <c r="B103101"/>
      <c r="C103101"/>
      <c r="E103101"/>
      <c r="F103101"/>
    </row>
    <row r="103102" spans="1:6" x14ac:dyDescent="0.25">
      <c r="A103102"/>
      <c r="B103102"/>
      <c r="C103102"/>
      <c r="E103102"/>
      <c r="F103102"/>
    </row>
    <row r="103103" spans="1:6" x14ac:dyDescent="0.25">
      <c r="A103103"/>
      <c r="B103103"/>
      <c r="C103103"/>
      <c r="E103103"/>
      <c r="F103103"/>
    </row>
    <row r="103104" spans="1:6" x14ac:dyDescent="0.25">
      <c r="A103104"/>
      <c r="B103104"/>
      <c r="C103104"/>
      <c r="E103104"/>
      <c r="F103104"/>
    </row>
    <row r="103105" spans="1:6" x14ac:dyDescent="0.25">
      <c r="A103105"/>
      <c r="B103105"/>
      <c r="C103105"/>
      <c r="E103105"/>
      <c r="F103105"/>
    </row>
    <row r="103106" spans="1:6" x14ac:dyDescent="0.25">
      <c r="A103106"/>
      <c r="B103106"/>
      <c r="C103106"/>
      <c r="E103106"/>
      <c r="F103106"/>
    </row>
    <row r="103107" spans="1:6" x14ac:dyDescent="0.25">
      <c r="A103107"/>
      <c r="B103107"/>
      <c r="C103107"/>
      <c r="E103107"/>
      <c r="F103107"/>
    </row>
    <row r="103108" spans="1:6" x14ac:dyDescent="0.25">
      <c r="A103108"/>
      <c r="B103108"/>
      <c r="C103108"/>
      <c r="E103108"/>
      <c r="F103108"/>
    </row>
    <row r="103109" spans="1:6" x14ac:dyDescent="0.25">
      <c r="A103109"/>
      <c r="B103109"/>
      <c r="C103109"/>
      <c r="E103109"/>
      <c r="F103109"/>
    </row>
    <row r="103110" spans="1:6" x14ac:dyDescent="0.25">
      <c r="A103110"/>
      <c r="B103110"/>
      <c r="C103110"/>
      <c r="E103110"/>
      <c r="F103110"/>
    </row>
    <row r="103111" spans="1:6" x14ac:dyDescent="0.25">
      <c r="A103111"/>
      <c r="B103111"/>
      <c r="C103111"/>
      <c r="E103111"/>
      <c r="F103111"/>
    </row>
    <row r="103112" spans="1:6" x14ac:dyDescent="0.25">
      <c r="A103112"/>
      <c r="B103112"/>
      <c r="C103112"/>
      <c r="E103112"/>
      <c r="F103112"/>
    </row>
    <row r="103113" spans="1:6" x14ac:dyDescent="0.25">
      <c r="A103113"/>
      <c r="B103113"/>
      <c r="C103113"/>
      <c r="E103113"/>
      <c r="F103113"/>
    </row>
    <row r="103114" spans="1:6" x14ac:dyDescent="0.25">
      <c r="A103114"/>
      <c r="B103114"/>
      <c r="C103114"/>
      <c r="E103114"/>
      <c r="F103114"/>
    </row>
    <row r="103115" spans="1:6" x14ac:dyDescent="0.25">
      <c r="A103115"/>
      <c r="B103115"/>
      <c r="C103115"/>
      <c r="E103115"/>
      <c r="F103115"/>
    </row>
    <row r="103116" spans="1:6" x14ac:dyDescent="0.25">
      <c r="A103116"/>
      <c r="B103116"/>
      <c r="C103116"/>
      <c r="E103116"/>
      <c r="F103116"/>
    </row>
    <row r="103117" spans="1:6" x14ac:dyDescent="0.25">
      <c r="A103117"/>
      <c r="B103117"/>
      <c r="C103117"/>
      <c r="E103117"/>
      <c r="F103117"/>
    </row>
    <row r="103118" spans="1:6" x14ac:dyDescent="0.25">
      <c r="A103118"/>
      <c r="B103118"/>
      <c r="C103118"/>
      <c r="E103118"/>
      <c r="F103118"/>
    </row>
    <row r="103119" spans="1:6" x14ac:dyDescent="0.25">
      <c r="A103119"/>
      <c r="B103119"/>
      <c r="C103119"/>
      <c r="E103119"/>
      <c r="F103119"/>
    </row>
    <row r="103120" spans="1:6" x14ac:dyDescent="0.25">
      <c r="A103120"/>
      <c r="B103120"/>
      <c r="C103120"/>
      <c r="E103120"/>
      <c r="F103120"/>
    </row>
    <row r="103121" spans="1:6" x14ac:dyDescent="0.25">
      <c r="A103121"/>
      <c r="B103121"/>
      <c r="C103121"/>
      <c r="E103121"/>
      <c r="F103121"/>
    </row>
    <row r="103122" spans="1:6" x14ac:dyDescent="0.25">
      <c r="A103122"/>
      <c r="B103122"/>
      <c r="C103122"/>
      <c r="E103122"/>
      <c r="F103122"/>
    </row>
    <row r="103123" spans="1:6" x14ac:dyDescent="0.25">
      <c r="A103123"/>
      <c r="B103123"/>
      <c r="C103123"/>
      <c r="E103123"/>
      <c r="F103123"/>
    </row>
    <row r="103124" spans="1:6" x14ac:dyDescent="0.25">
      <c r="A103124"/>
      <c r="B103124"/>
      <c r="C103124"/>
      <c r="E103124"/>
      <c r="F103124"/>
    </row>
    <row r="103125" spans="1:6" x14ac:dyDescent="0.25">
      <c r="A103125"/>
      <c r="B103125"/>
      <c r="C103125"/>
      <c r="E103125"/>
      <c r="F103125"/>
    </row>
    <row r="103126" spans="1:6" x14ac:dyDescent="0.25">
      <c r="A103126"/>
      <c r="B103126"/>
      <c r="C103126"/>
      <c r="E103126"/>
      <c r="F103126"/>
    </row>
    <row r="103127" spans="1:6" x14ac:dyDescent="0.25">
      <c r="A103127"/>
      <c r="B103127"/>
      <c r="C103127"/>
      <c r="E103127"/>
      <c r="F103127"/>
    </row>
    <row r="103128" spans="1:6" x14ac:dyDescent="0.25">
      <c r="A103128"/>
      <c r="B103128"/>
      <c r="C103128"/>
      <c r="E103128"/>
      <c r="F103128"/>
    </row>
    <row r="103129" spans="1:6" x14ac:dyDescent="0.25">
      <c r="A103129"/>
      <c r="B103129"/>
      <c r="C103129"/>
      <c r="E103129"/>
      <c r="F103129"/>
    </row>
    <row r="103130" spans="1:6" x14ac:dyDescent="0.25">
      <c r="A103130"/>
      <c r="B103130"/>
      <c r="C103130"/>
      <c r="E103130"/>
      <c r="F103130"/>
    </row>
    <row r="103131" spans="1:6" x14ac:dyDescent="0.25">
      <c r="A103131"/>
      <c r="B103131"/>
      <c r="C103131"/>
      <c r="E103131"/>
      <c r="F103131"/>
    </row>
    <row r="103132" spans="1:6" x14ac:dyDescent="0.25">
      <c r="A103132"/>
      <c r="B103132"/>
      <c r="C103132"/>
      <c r="E103132"/>
      <c r="F103132"/>
    </row>
    <row r="103133" spans="1:6" x14ac:dyDescent="0.25">
      <c r="A103133"/>
      <c r="B103133"/>
      <c r="C103133"/>
      <c r="E103133"/>
      <c r="F103133"/>
    </row>
    <row r="103134" spans="1:6" x14ac:dyDescent="0.25">
      <c r="A103134"/>
      <c r="B103134"/>
      <c r="C103134"/>
      <c r="E103134"/>
      <c r="F103134"/>
    </row>
    <row r="103135" spans="1:6" x14ac:dyDescent="0.25">
      <c r="A103135"/>
      <c r="B103135"/>
      <c r="C103135"/>
      <c r="E103135"/>
      <c r="F103135"/>
    </row>
    <row r="103136" spans="1:6" x14ac:dyDescent="0.25">
      <c r="A103136"/>
      <c r="B103136"/>
      <c r="C103136"/>
      <c r="E103136"/>
      <c r="F103136"/>
    </row>
    <row r="103137" spans="1:6" x14ac:dyDescent="0.25">
      <c r="A103137"/>
      <c r="B103137"/>
      <c r="C103137"/>
      <c r="E103137"/>
      <c r="F103137"/>
    </row>
    <row r="103138" spans="1:6" x14ac:dyDescent="0.25">
      <c r="A103138"/>
      <c r="B103138"/>
      <c r="C103138"/>
      <c r="E103138"/>
      <c r="F103138"/>
    </row>
    <row r="103139" spans="1:6" x14ac:dyDescent="0.25">
      <c r="A103139"/>
      <c r="B103139"/>
      <c r="C103139"/>
      <c r="E103139"/>
      <c r="F103139"/>
    </row>
    <row r="103140" spans="1:6" x14ac:dyDescent="0.25">
      <c r="A103140"/>
      <c r="B103140"/>
      <c r="C103140"/>
      <c r="E103140"/>
      <c r="F103140"/>
    </row>
    <row r="103141" spans="1:6" x14ac:dyDescent="0.25">
      <c r="A103141"/>
      <c r="B103141"/>
      <c r="C103141"/>
      <c r="E103141"/>
      <c r="F103141"/>
    </row>
    <row r="103142" spans="1:6" x14ac:dyDescent="0.25">
      <c r="A103142"/>
      <c r="B103142"/>
      <c r="C103142"/>
      <c r="E103142"/>
      <c r="F103142"/>
    </row>
    <row r="103143" spans="1:6" x14ac:dyDescent="0.25">
      <c r="A103143"/>
      <c r="B103143"/>
      <c r="C103143"/>
      <c r="E103143"/>
      <c r="F103143"/>
    </row>
    <row r="103144" spans="1:6" x14ac:dyDescent="0.25">
      <c r="A103144"/>
      <c r="B103144"/>
      <c r="C103144"/>
      <c r="E103144"/>
      <c r="F103144"/>
    </row>
    <row r="103145" spans="1:6" x14ac:dyDescent="0.25">
      <c r="A103145"/>
      <c r="B103145"/>
      <c r="C103145"/>
      <c r="E103145"/>
      <c r="F103145"/>
    </row>
    <row r="103146" spans="1:6" x14ac:dyDescent="0.25">
      <c r="A103146"/>
      <c r="B103146"/>
      <c r="C103146"/>
      <c r="E103146"/>
      <c r="F103146"/>
    </row>
    <row r="103147" spans="1:6" x14ac:dyDescent="0.25">
      <c r="A103147"/>
      <c r="B103147"/>
      <c r="C103147"/>
      <c r="E103147"/>
      <c r="F103147"/>
    </row>
    <row r="103148" spans="1:6" x14ac:dyDescent="0.25">
      <c r="A103148"/>
      <c r="B103148"/>
      <c r="C103148"/>
      <c r="E103148"/>
      <c r="F103148"/>
    </row>
    <row r="103149" spans="1:6" x14ac:dyDescent="0.25">
      <c r="A103149"/>
      <c r="B103149"/>
      <c r="C103149"/>
      <c r="E103149"/>
      <c r="F103149"/>
    </row>
    <row r="103150" spans="1:6" x14ac:dyDescent="0.25">
      <c r="A103150"/>
      <c r="B103150"/>
      <c r="C103150"/>
      <c r="E103150"/>
      <c r="F103150"/>
    </row>
    <row r="103151" spans="1:6" x14ac:dyDescent="0.25">
      <c r="A103151"/>
      <c r="B103151"/>
      <c r="C103151"/>
      <c r="E103151"/>
      <c r="F103151"/>
    </row>
    <row r="103152" spans="1:6" x14ac:dyDescent="0.25">
      <c r="A103152"/>
      <c r="B103152"/>
      <c r="C103152"/>
      <c r="E103152"/>
      <c r="F103152"/>
    </row>
    <row r="103153" spans="1:6" x14ac:dyDescent="0.25">
      <c r="A103153"/>
      <c r="B103153"/>
      <c r="C103153"/>
      <c r="E103153"/>
      <c r="F103153"/>
    </row>
    <row r="103154" spans="1:6" x14ac:dyDescent="0.25">
      <c r="A103154"/>
      <c r="B103154"/>
      <c r="C103154"/>
      <c r="E103154"/>
      <c r="F103154"/>
    </row>
    <row r="103155" spans="1:6" x14ac:dyDescent="0.25">
      <c r="A103155"/>
      <c r="B103155"/>
      <c r="C103155"/>
      <c r="E103155"/>
      <c r="F103155"/>
    </row>
    <row r="103156" spans="1:6" x14ac:dyDescent="0.25">
      <c r="A103156"/>
      <c r="B103156"/>
      <c r="C103156"/>
      <c r="E103156"/>
      <c r="F103156"/>
    </row>
    <row r="103157" spans="1:6" x14ac:dyDescent="0.25">
      <c r="A103157"/>
      <c r="B103157"/>
      <c r="C103157"/>
      <c r="E103157"/>
      <c r="F103157"/>
    </row>
    <row r="103158" spans="1:6" x14ac:dyDescent="0.25">
      <c r="A103158"/>
      <c r="B103158"/>
      <c r="C103158"/>
      <c r="E103158"/>
      <c r="F103158"/>
    </row>
    <row r="103159" spans="1:6" x14ac:dyDescent="0.25">
      <c r="A103159"/>
      <c r="B103159"/>
      <c r="C103159"/>
      <c r="E103159"/>
      <c r="F103159"/>
    </row>
    <row r="103160" spans="1:6" x14ac:dyDescent="0.25">
      <c r="A103160"/>
      <c r="B103160"/>
      <c r="C103160"/>
      <c r="E103160"/>
      <c r="F103160"/>
    </row>
    <row r="103161" spans="1:6" x14ac:dyDescent="0.25">
      <c r="A103161"/>
      <c r="B103161"/>
      <c r="C103161"/>
      <c r="E103161"/>
      <c r="F103161"/>
    </row>
    <row r="103162" spans="1:6" x14ac:dyDescent="0.25">
      <c r="A103162"/>
      <c r="B103162"/>
      <c r="C103162"/>
      <c r="E103162"/>
      <c r="F103162"/>
    </row>
    <row r="103163" spans="1:6" x14ac:dyDescent="0.25">
      <c r="A103163"/>
      <c r="B103163"/>
      <c r="C103163"/>
      <c r="E103163"/>
      <c r="F103163"/>
    </row>
    <row r="103164" spans="1:6" x14ac:dyDescent="0.25">
      <c r="A103164"/>
      <c r="B103164"/>
      <c r="C103164"/>
      <c r="E103164"/>
      <c r="F103164"/>
    </row>
    <row r="103165" spans="1:6" x14ac:dyDescent="0.25">
      <c r="A103165"/>
      <c r="B103165"/>
      <c r="C103165"/>
      <c r="E103165"/>
      <c r="F103165"/>
    </row>
    <row r="103166" spans="1:6" x14ac:dyDescent="0.25">
      <c r="A103166"/>
      <c r="B103166"/>
      <c r="C103166"/>
      <c r="E103166"/>
      <c r="F103166"/>
    </row>
    <row r="103167" spans="1:6" x14ac:dyDescent="0.25">
      <c r="A103167"/>
      <c r="B103167"/>
      <c r="C103167"/>
      <c r="E103167"/>
      <c r="F103167"/>
    </row>
    <row r="103168" spans="1:6" x14ac:dyDescent="0.25">
      <c r="A103168"/>
      <c r="B103168"/>
      <c r="C103168"/>
      <c r="E103168"/>
      <c r="F103168"/>
    </row>
    <row r="103169" spans="1:6" x14ac:dyDescent="0.25">
      <c r="A103169"/>
      <c r="B103169"/>
      <c r="C103169"/>
      <c r="E103169"/>
      <c r="F103169"/>
    </row>
    <row r="103170" spans="1:6" x14ac:dyDescent="0.25">
      <c r="A103170"/>
      <c r="B103170"/>
      <c r="C103170"/>
      <c r="E103170"/>
      <c r="F103170"/>
    </row>
    <row r="103171" spans="1:6" x14ac:dyDescent="0.25">
      <c r="A103171"/>
      <c r="B103171"/>
      <c r="C103171"/>
      <c r="E103171"/>
      <c r="F103171"/>
    </row>
    <row r="103172" spans="1:6" x14ac:dyDescent="0.25">
      <c r="A103172"/>
      <c r="B103172"/>
      <c r="C103172"/>
      <c r="E103172"/>
      <c r="F103172"/>
    </row>
    <row r="103173" spans="1:6" x14ac:dyDescent="0.25">
      <c r="A103173"/>
      <c r="B103173"/>
      <c r="C103173"/>
      <c r="E103173"/>
      <c r="F103173"/>
    </row>
    <row r="103174" spans="1:6" x14ac:dyDescent="0.25">
      <c r="A103174"/>
      <c r="B103174"/>
      <c r="C103174"/>
      <c r="E103174"/>
      <c r="F103174"/>
    </row>
    <row r="103175" spans="1:6" x14ac:dyDescent="0.25">
      <c r="A103175"/>
      <c r="B103175"/>
      <c r="C103175"/>
      <c r="E103175"/>
      <c r="F103175"/>
    </row>
    <row r="103176" spans="1:6" x14ac:dyDescent="0.25">
      <c r="A103176"/>
      <c r="B103176"/>
      <c r="C103176"/>
      <c r="E103176"/>
      <c r="F103176"/>
    </row>
    <row r="103177" spans="1:6" x14ac:dyDescent="0.25">
      <c r="A103177"/>
      <c r="B103177"/>
      <c r="C103177"/>
      <c r="E103177"/>
      <c r="F103177"/>
    </row>
    <row r="103178" spans="1:6" x14ac:dyDescent="0.25">
      <c r="A103178"/>
      <c r="B103178"/>
      <c r="C103178"/>
      <c r="E103178"/>
      <c r="F103178"/>
    </row>
    <row r="103179" spans="1:6" x14ac:dyDescent="0.25">
      <c r="A103179"/>
      <c r="B103179"/>
      <c r="C103179"/>
      <c r="E103179"/>
      <c r="F103179"/>
    </row>
    <row r="103180" spans="1:6" x14ac:dyDescent="0.25">
      <c r="A103180"/>
      <c r="B103180"/>
      <c r="C103180"/>
      <c r="E103180"/>
      <c r="F103180"/>
    </row>
    <row r="103181" spans="1:6" x14ac:dyDescent="0.25">
      <c r="A103181"/>
      <c r="B103181"/>
      <c r="C103181"/>
      <c r="E103181"/>
      <c r="F103181"/>
    </row>
    <row r="103182" spans="1:6" x14ac:dyDescent="0.25">
      <c r="A103182"/>
      <c r="B103182"/>
      <c r="C103182"/>
      <c r="E103182"/>
      <c r="F103182"/>
    </row>
    <row r="103183" spans="1:6" x14ac:dyDescent="0.25">
      <c r="A103183"/>
      <c r="B103183"/>
      <c r="C103183"/>
      <c r="E103183"/>
      <c r="F103183"/>
    </row>
    <row r="103184" spans="1:6" x14ac:dyDescent="0.25">
      <c r="A103184"/>
      <c r="B103184"/>
      <c r="C103184"/>
      <c r="E103184"/>
      <c r="F103184"/>
    </row>
    <row r="103185" spans="1:6" x14ac:dyDescent="0.25">
      <c r="A103185"/>
      <c r="B103185"/>
      <c r="C103185"/>
      <c r="E103185"/>
      <c r="F103185"/>
    </row>
    <row r="103186" spans="1:6" x14ac:dyDescent="0.25">
      <c r="A103186"/>
      <c r="B103186"/>
      <c r="C103186"/>
      <c r="E103186"/>
      <c r="F103186"/>
    </row>
    <row r="103187" spans="1:6" x14ac:dyDescent="0.25">
      <c r="A103187"/>
      <c r="B103187"/>
      <c r="C103187"/>
      <c r="E103187"/>
      <c r="F103187"/>
    </row>
    <row r="103188" spans="1:6" x14ac:dyDescent="0.25">
      <c r="A103188"/>
      <c r="B103188"/>
      <c r="C103188"/>
      <c r="E103188"/>
      <c r="F103188"/>
    </row>
    <row r="103189" spans="1:6" x14ac:dyDescent="0.25">
      <c r="A103189"/>
      <c r="B103189"/>
      <c r="C103189"/>
      <c r="E103189"/>
      <c r="F103189"/>
    </row>
    <row r="103190" spans="1:6" x14ac:dyDescent="0.25">
      <c r="A103190"/>
      <c r="B103190"/>
      <c r="C103190"/>
      <c r="E103190"/>
      <c r="F103190"/>
    </row>
    <row r="103191" spans="1:6" x14ac:dyDescent="0.25">
      <c r="A103191"/>
      <c r="B103191"/>
      <c r="C103191"/>
      <c r="E103191"/>
      <c r="F103191"/>
    </row>
    <row r="103192" spans="1:6" x14ac:dyDescent="0.25">
      <c r="A103192"/>
      <c r="B103192"/>
      <c r="C103192"/>
      <c r="E103192"/>
      <c r="F103192"/>
    </row>
    <row r="103193" spans="1:6" x14ac:dyDescent="0.25">
      <c r="A103193"/>
      <c r="B103193"/>
      <c r="C103193"/>
      <c r="E103193"/>
      <c r="F103193"/>
    </row>
    <row r="103194" spans="1:6" x14ac:dyDescent="0.25">
      <c r="A103194"/>
      <c r="B103194"/>
      <c r="C103194"/>
      <c r="E103194"/>
      <c r="F103194"/>
    </row>
    <row r="103195" spans="1:6" x14ac:dyDescent="0.25">
      <c r="A103195"/>
      <c r="B103195"/>
      <c r="C103195"/>
      <c r="E103195"/>
      <c r="F103195"/>
    </row>
    <row r="103196" spans="1:6" x14ac:dyDescent="0.25">
      <c r="A103196"/>
      <c r="B103196"/>
      <c r="C103196"/>
      <c r="E103196"/>
      <c r="F103196"/>
    </row>
    <row r="103197" spans="1:6" x14ac:dyDescent="0.25">
      <c r="A103197"/>
      <c r="B103197"/>
      <c r="C103197"/>
      <c r="E103197"/>
      <c r="F103197"/>
    </row>
    <row r="103198" spans="1:6" x14ac:dyDescent="0.25">
      <c r="A103198"/>
      <c r="B103198"/>
      <c r="C103198"/>
      <c r="E103198"/>
      <c r="F103198"/>
    </row>
    <row r="103199" spans="1:6" x14ac:dyDescent="0.25">
      <c r="A103199"/>
      <c r="B103199"/>
      <c r="C103199"/>
      <c r="E103199"/>
      <c r="F103199"/>
    </row>
    <row r="103200" spans="1:6" x14ac:dyDescent="0.25">
      <c r="A103200"/>
      <c r="B103200"/>
      <c r="C103200"/>
      <c r="E103200"/>
      <c r="F103200"/>
    </row>
    <row r="103201" spans="1:6" x14ac:dyDescent="0.25">
      <c r="A103201"/>
      <c r="B103201"/>
      <c r="C103201"/>
      <c r="E103201"/>
      <c r="F103201"/>
    </row>
    <row r="103202" spans="1:6" x14ac:dyDescent="0.25">
      <c r="A103202"/>
      <c r="B103202"/>
      <c r="C103202"/>
      <c r="E103202"/>
      <c r="F103202"/>
    </row>
    <row r="103203" spans="1:6" x14ac:dyDescent="0.25">
      <c r="A103203"/>
      <c r="B103203"/>
      <c r="C103203"/>
      <c r="E103203"/>
      <c r="F103203"/>
    </row>
    <row r="103204" spans="1:6" x14ac:dyDescent="0.25">
      <c r="A103204"/>
      <c r="B103204"/>
      <c r="C103204"/>
      <c r="E103204"/>
      <c r="F103204"/>
    </row>
    <row r="103205" spans="1:6" x14ac:dyDescent="0.25">
      <c r="A103205"/>
      <c r="B103205"/>
      <c r="C103205"/>
      <c r="E103205"/>
      <c r="F103205"/>
    </row>
    <row r="103206" spans="1:6" x14ac:dyDescent="0.25">
      <c r="A103206"/>
      <c r="B103206"/>
      <c r="C103206"/>
      <c r="E103206"/>
      <c r="F103206"/>
    </row>
    <row r="103207" spans="1:6" x14ac:dyDescent="0.25">
      <c r="A103207"/>
      <c r="B103207"/>
      <c r="C103207"/>
      <c r="E103207"/>
      <c r="F103207"/>
    </row>
    <row r="103208" spans="1:6" x14ac:dyDescent="0.25">
      <c r="A103208"/>
      <c r="B103208"/>
      <c r="C103208"/>
      <c r="E103208"/>
      <c r="F103208"/>
    </row>
    <row r="103209" spans="1:6" x14ac:dyDescent="0.25">
      <c r="A103209"/>
      <c r="B103209"/>
      <c r="C103209"/>
      <c r="E103209"/>
      <c r="F103209"/>
    </row>
    <row r="103210" spans="1:6" x14ac:dyDescent="0.25">
      <c r="A103210"/>
      <c r="B103210"/>
      <c r="C103210"/>
      <c r="E103210"/>
      <c r="F103210"/>
    </row>
    <row r="103211" spans="1:6" x14ac:dyDescent="0.25">
      <c r="A103211"/>
      <c r="B103211"/>
      <c r="C103211"/>
      <c r="E103211"/>
      <c r="F103211"/>
    </row>
    <row r="103212" spans="1:6" x14ac:dyDescent="0.25">
      <c r="A103212"/>
      <c r="B103212"/>
      <c r="C103212"/>
      <c r="E103212"/>
      <c r="F103212"/>
    </row>
    <row r="103213" spans="1:6" x14ac:dyDescent="0.25">
      <c r="A103213"/>
      <c r="B103213"/>
      <c r="C103213"/>
      <c r="E103213"/>
      <c r="F103213"/>
    </row>
    <row r="103214" spans="1:6" x14ac:dyDescent="0.25">
      <c r="A103214"/>
      <c r="B103214"/>
      <c r="C103214"/>
      <c r="E103214"/>
      <c r="F103214"/>
    </row>
    <row r="103215" spans="1:6" x14ac:dyDescent="0.25">
      <c r="A103215"/>
      <c r="B103215"/>
      <c r="C103215"/>
      <c r="E103215"/>
      <c r="F103215"/>
    </row>
    <row r="103216" spans="1:6" x14ac:dyDescent="0.25">
      <c r="A103216"/>
      <c r="B103216"/>
      <c r="C103216"/>
      <c r="E103216"/>
      <c r="F103216"/>
    </row>
    <row r="103217" spans="1:6" x14ac:dyDescent="0.25">
      <c r="A103217"/>
      <c r="B103217"/>
      <c r="C103217"/>
      <c r="E103217"/>
      <c r="F103217"/>
    </row>
    <row r="103218" spans="1:6" x14ac:dyDescent="0.25">
      <c r="A103218"/>
      <c r="B103218"/>
      <c r="C103218"/>
      <c r="E103218"/>
      <c r="F103218"/>
    </row>
    <row r="103219" spans="1:6" x14ac:dyDescent="0.25">
      <c r="A103219"/>
      <c r="B103219"/>
      <c r="C103219"/>
      <c r="E103219"/>
      <c r="F103219"/>
    </row>
    <row r="103220" spans="1:6" x14ac:dyDescent="0.25">
      <c r="A103220"/>
      <c r="B103220"/>
      <c r="C103220"/>
      <c r="E103220"/>
      <c r="F103220"/>
    </row>
    <row r="103221" spans="1:6" x14ac:dyDescent="0.25">
      <c r="A103221"/>
      <c r="B103221"/>
      <c r="C103221"/>
      <c r="E103221"/>
      <c r="F103221"/>
    </row>
    <row r="103222" spans="1:6" x14ac:dyDescent="0.25">
      <c r="A103222"/>
      <c r="B103222"/>
      <c r="C103222"/>
      <c r="E103222"/>
      <c r="F103222"/>
    </row>
    <row r="103223" spans="1:6" x14ac:dyDescent="0.25">
      <c r="A103223"/>
      <c r="B103223"/>
      <c r="C103223"/>
      <c r="E103223"/>
      <c r="F103223"/>
    </row>
    <row r="103224" spans="1:6" x14ac:dyDescent="0.25">
      <c r="A103224"/>
      <c r="B103224"/>
      <c r="C103224"/>
      <c r="E103224"/>
      <c r="F103224"/>
    </row>
    <row r="103225" spans="1:6" x14ac:dyDescent="0.25">
      <c r="A103225"/>
      <c r="B103225"/>
      <c r="C103225"/>
      <c r="E103225"/>
      <c r="F103225"/>
    </row>
    <row r="103226" spans="1:6" x14ac:dyDescent="0.25">
      <c r="A103226"/>
      <c r="B103226"/>
      <c r="C103226"/>
      <c r="E103226"/>
      <c r="F103226"/>
    </row>
    <row r="103227" spans="1:6" x14ac:dyDescent="0.25">
      <c r="A103227"/>
      <c r="B103227"/>
      <c r="C103227"/>
      <c r="E103227"/>
      <c r="F103227"/>
    </row>
    <row r="103228" spans="1:6" x14ac:dyDescent="0.25">
      <c r="A103228"/>
      <c r="B103228"/>
      <c r="C103228"/>
      <c r="E103228"/>
      <c r="F103228"/>
    </row>
    <row r="103229" spans="1:6" x14ac:dyDescent="0.25">
      <c r="A103229"/>
      <c r="B103229"/>
      <c r="C103229"/>
      <c r="E103229"/>
      <c r="F103229"/>
    </row>
    <row r="103230" spans="1:6" x14ac:dyDescent="0.25">
      <c r="A103230"/>
      <c r="B103230"/>
      <c r="C103230"/>
      <c r="E103230"/>
      <c r="F103230"/>
    </row>
    <row r="103231" spans="1:6" x14ac:dyDescent="0.25">
      <c r="A103231"/>
      <c r="B103231"/>
      <c r="C103231"/>
      <c r="E103231"/>
      <c r="F103231"/>
    </row>
    <row r="103232" spans="1:6" x14ac:dyDescent="0.25">
      <c r="A103232"/>
      <c r="B103232"/>
      <c r="C103232"/>
      <c r="E103232"/>
      <c r="F103232"/>
    </row>
    <row r="103233" spans="1:6" x14ac:dyDescent="0.25">
      <c r="A103233"/>
      <c r="B103233"/>
      <c r="C103233"/>
      <c r="E103233"/>
      <c r="F103233"/>
    </row>
    <row r="103234" spans="1:6" x14ac:dyDescent="0.25">
      <c r="A103234"/>
      <c r="B103234"/>
      <c r="C103234"/>
      <c r="E103234"/>
      <c r="F103234"/>
    </row>
    <row r="103235" spans="1:6" x14ac:dyDescent="0.25">
      <c r="A103235"/>
      <c r="B103235"/>
      <c r="C103235"/>
      <c r="E103235"/>
      <c r="F103235"/>
    </row>
    <row r="103236" spans="1:6" x14ac:dyDescent="0.25">
      <c r="A103236"/>
      <c r="B103236"/>
      <c r="C103236"/>
      <c r="E103236"/>
      <c r="F103236"/>
    </row>
    <row r="103237" spans="1:6" x14ac:dyDescent="0.25">
      <c r="A103237"/>
      <c r="B103237"/>
      <c r="C103237"/>
      <c r="E103237"/>
      <c r="F103237"/>
    </row>
    <row r="103238" spans="1:6" x14ac:dyDescent="0.25">
      <c r="A103238"/>
      <c r="B103238"/>
      <c r="C103238"/>
      <c r="E103238"/>
      <c r="F103238"/>
    </row>
    <row r="103239" spans="1:6" x14ac:dyDescent="0.25">
      <c r="A103239"/>
      <c r="B103239"/>
      <c r="C103239"/>
      <c r="E103239"/>
      <c r="F103239"/>
    </row>
    <row r="103240" spans="1:6" x14ac:dyDescent="0.25">
      <c r="A103240"/>
      <c r="B103240"/>
      <c r="C103240"/>
      <c r="E103240"/>
      <c r="F103240"/>
    </row>
    <row r="103241" spans="1:6" x14ac:dyDescent="0.25">
      <c r="A103241"/>
      <c r="B103241"/>
      <c r="C103241"/>
      <c r="E103241"/>
      <c r="F103241"/>
    </row>
    <row r="103242" spans="1:6" x14ac:dyDescent="0.25">
      <c r="A103242"/>
      <c r="B103242"/>
      <c r="C103242"/>
      <c r="E103242"/>
      <c r="F103242"/>
    </row>
    <row r="103243" spans="1:6" x14ac:dyDescent="0.25">
      <c r="A103243"/>
      <c r="B103243"/>
      <c r="C103243"/>
      <c r="E103243"/>
      <c r="F103243"/>
    </row>
    <row r="103244" spans="1:6" x14ac:dyDescent="0.25">
      <c r="A103244"/>
      <c r="B103244"/>
      <c r="C103244"/>
      <c r="E103244"/>
      <c r="F103244"/>
    </row>
    <row r="103245" spans="1:6" x14ac:dyDescent="0.25">
      <c r="A103245"/>
      <c r="B103245"/>
      <c r="C103245"/>
      <c r="E103245"/>
      <c r="F103245"/>
    </row>
    <row r="103246" spans="1:6" x14ac:dyDescent="0.25">
      <c r="A103246"/>
      <c r="B103246"/>
      <c r="C103246"/>
      <c r="E103246"/>
      <c r="F103246"/>
    </row>
    <row r="103247" spans="1:6" x14ac:dyDescent="0.25">
      <c r="A103247"/>
      <c r="B103247"/>
      <c r="C103247"/>
      <c r="E103247"/>
      <c r="F103247"/>
    </row>
    <row r="103248" spans="1:6" x14ac:dyDescent="0.25">
      <c r="A103248"/>
      <c r="B103248"/>
      <c r="C103248"/>
      <c r="E103248"/>
      <c r="F103248"/>
    </row>
    <row r="103249" spans="1:6" x14ac:dyDescent="0.25">
      <c r="A103249"/>
      <c r="B103249"/>
      <c r="C103249"/>
      <c r="E103249"/>
      <c r="F103249"/>
    </row>
    <row r="103250" spans="1:6" x14ac:dyDescent="0.25">
      <c r="A103250"/>
      <c r="B103250"/>
      <c r="C103250"/>
      <c r="E103250"/>
      <c r="F103250"/>
    </row>
    <row r="103251" spans="1:6" x14ac:dyDescent="0.25">
      <c r="A103251"/>
      <c r="B103251"/>
      <c r="C103251"/>
      <c r="E103251"/>
      <c r="F103251"/>
    </row>
    <row r="103252" spans="1:6" x14ac:dyDescent="0.25">
      <c r="A103252"/>
      <c r="B103252"/>
      <c r="C103252"/>
      <c r="E103252"/>
      <c r="F103252"/>
    </row>
    <row r="103253" spans="1:6" x14ac:dyDescent="0.25">
      <c r="A103253"/>
      <c r="B103253"/>
      <c r="C103253"/>
      <c r="E103253"/>
      <c r="F103253"/>
    </row>
    <row r="103254" spans="1:6" x14ac:dyDescent="0.25">
      <c r="A103254"/>
      <c r="B103254"/>
      <c r="C103254"/>
      <c r="E103254"/>
      <c r="F103254"/>
    </row>
    <row r="103255" spans="1:6" x14ac:dyDescent="0.25">
      <c r="A103255"/>
      <c r="B103255"/>
      <c r="C103255"/>
      <c r="E103255"/>
      <c r="F103255"/>
    </row>
    <row r="103256" spans="1:6" x14ac:dyDescent="0.25">
      <c r="A103256"/>
      <c r="B103256"/>
      <c r="C103256"/>
      <c r="E103256"/>
      <c r="F103256"/>
    </row>
    <row r="103257" spans="1:6" x14ac:dyDescent="0.25">
      <c r="A103257"/>
      <c r="B103257"/>
      <c r="C103257"/>
      <c r="E103257"/>
      <c r="F103257"/>
    </row>
    <row r="103258" spans="1:6" x14ac:dyDescent="0.25">
      <c r="A103258"/>
      <c r="B103258"/>
      <c r="C103258"/>
      <c r="E103258"/>
      <c r="F103258"/>
    </row>
    <row r="103259" spans="1:6" x14ac:dyDescent="0.25">
      <c r="A103259"/>
      <c r="B103259"/>
      <c r="C103259"/>
      <c r="E103259"/>
      <c r="F103259"/>
    </row>
    <row r="103260" spans="1:6" x14ac:dyDescent="0.25">
      <c r="A103260"/>
      <c r="B103260"/>
      <c r="C103260"/>
      <c r="E103260"/>
      <c r="F103260"/>
    </row>
    <row r="103261" spans="1:6" x14ac:dyDescent="0.25">
      <c r="A103261"/>
      <c r="B103261"/>
      <c r="C103261"/>
      <c r="E103261"/>
      <c r="F103261"/>
    </row>
    <row r="103262" spans="1:6" x14ac:dyDescent="0.25">
      <c r="A103262"/>
      <c r="B103262"/>
      <c r="C103262"/>
      <c r="E103262"/>
      <c r="F103262"/>
    </row>
    <row r="103263" spans="1:6" x14ac:dyDescent="0.25">
      <c r="A103263"/>
      <c r="B103263"/>
      <c r="C103263"/>
      <c r="E103263"/>
      <c r="F103263"/>
    </row>
    <row r="103264" spans="1:6" x14ac:dyDescent="0.25">
      <c r="A103264"/>
      <c r="B103264"/>
      <c r="C103264"/>
      <c r="E103264"/>
      <c r="F103264"/>
    </row>
    <row r="103265" spans="1:6" x14ac:dyDescent="0.25">
      <c r="A103265"/>
      <c r="B103265"/>
      <c r="C103265"/>
      <c r="E103265"/>
      <c r="F103265"/>
    </row>
    <row r="103266" spans="1:6" x14ac:dyDescent="0.25">
      <c r="A103266"/>
      <c r="B103266"/>
      <c r="C103266"/>
      <c r="E103266"/>
      <c r="F103266"/>
    </row>
    <row r="103267" spans="1:6" x14ac:dyDescent="0.25">
      <c r="A103267"/>
      <c r="B103267"/>
      <c r="C103267"/>
      <c r="E103267"/>
      <c r="F103267"/>
    </row>
    <row r="103268" spans="1:6" x14ac:dyDescent="0.25">
      <c r="A103268"/>
      <c r="B103268"/>
      <c r="C103268"/>
      <c r="E103268"/>
      <c r="F103268"/>
    </row>
    <row r="103269" spans="1:6" x14ac:dyDescent="0.25">
      <c r="A103269"/>
      <c r="B103269"/>
      <c r="C103269"/>
      <c r="E103269"/>
      <c r="F103269"/>
    </row>
    <row r="103270" spans="1:6" x14ac:dyDescent="0.25">
      <c r="A103270"/>
      <c r="B103270"/>
      <c r="C103270"/>
      <c r="E103270"/>
      <c r="F103270"/>
    </row>
    <row r="103271" spans="1:6" x14ac:dyDescent="0.25">
      <c r="A103271"/>
      <c r="B103271"/>
      <c r="C103271"/>
      <c r="E103271"/>
      <c r="F103271"/>
    </row>
    <row r="103272" spans="1:6" x14ac:dyDescent="0.25">
      <c r="A103272"/>
      <c r="B103272"/>
      <c r="C103272"/>
      <c r="E103272"/>
      <c r="F103272"/>
    </row>
    <row r="103273" spans="1:6" x14ac:dyDescent="0.25">
      <c r="A103273"/>
      <c r="B103273"/>
      <c r="C103273"/>
      <c r="E103273"/>
      <c r="F103273"/>
    </row>
    <row r="103274" spans="1:6" x14ac:dyDescent="0.25">
      <c r="A103274"/>
      <c r="B103274"/>
      <c r="C103274"/>
      <c r="E103274"/>
      <c r="F103274"/>
    </row>
    <row r="103275" spans="1:6" x14ac:dyDescent="0.25">
      <c r="A103275"/>
      <c r="B103275"/>
      <c r="C103275"/>
      <c r="E103275"/>
      <c r="F103275"/>
    </row>
    <row r="103276" spans="1:6" x14ac:dyDescent="0.25">
      <c r="A103276"/>
      <c r="B103276"/>
      <c r="C103276"/>
      <c r="E103276"/>
      <c r="F103276"/>
    </row>
    <row r="103277" spans="1:6" x14ac:dyDescent="0.25">
      <c r="A103277"/>
      <c r="B103277"/>
      <c r="C103277"/>
      <c r="E103277"/>
      <c r="F103277"/>
    </row>
    <row r="103278" spans="1:6" x14ac:dyDescent="0.25">
      <c r="A103278"/>
      <c r="B103278"/>
      <c r="C103278"/>
      <c r="E103278"/>
      <c r="F103278"/>
    </row>
    <row r="103279" spans="1:6" x14ac:dyDescent="0.25">
      <c r="A103279"/>
      <c r="B103279"/>
      <c r="C103279"/>
      <c r="E103279"/>
      <c r="F103279"/>
    </row>
    <row r="103280" spans="1:6" x14ac:dyDescent="0.25">
      <c r="A103280"/>
      <c r="B103280"/>
      <c r="C103280"/>
      <c r="E103280"/>
      <c r="F103280"/>
    </row>
    <row r="103281" spans="1:6" x14ac:dyDescent="0.25">
      <c r="A103281"/>
      <c r="B103281"/>
      <c r="C103281"/>
      <c r="E103281"/>
      <c r="F103281"/>
    </row>
    <row r="103282" spans="1:6" x14ac:dyDescent="0.25">
      <c r="A103282"/>
      <c r="B103282"/>
      <c r="C103282"/>
      <c r="E103282"/>
      <c r="F103282"/>
    </row>
    <row r="103283" spans="1:6" x14ac:dyDescent="0.25">
      <c r="A103283"/>
      <c r="B103283"/>
      <c r="C103283"/>
      <c r="E103283"/>
      <c r="F103283"/>
    </row>
    <row r="103284" spans="1:6" x14ac:dyDescent="0.25">
      <c r="A103284"/>
      <c r="B103284"/>
      <c r="C103284"/>
      <c r="E103284"/>
      <c r="F103284"/>
    </row>
    <row r="103285" spans="1:6" x14ac:dyDescent="0.25">
      <c r="A103285"/>
      <c r="B103285"/>
      <c r="C103285"/>
      <c r="E103285"/>
      <c r="F103285"/>
    </row>
    <row r="103286" spans="1:6" x14ac:dyDescent="0.25">
      <c r="A103286"/>
      <c r="B103286"/>
      <c r="C103286"/>
      <c r="E103286"/>
      <c r="F103286"/>
    </row>
    <row r="103287" spans="1:6" x14ac:dyDescent="0.25">
      <c r="A103287"/>
      <c r="B103287"/>
      <c r="C103287"/>
      <c r="E103287"/>
      <c r="F103287"/>
    </row>
    <row r="103288" spans="1:6" x14ac:dyDescent="0.25">
      <c r="A103288"/>
      <c r="B103288"/>
      <c r="C103288"/>
      <c r="E103288"/>
      <c r="F103288"/>
    </row>
    <row r="103289" spans="1:6" x14ac:dyDescent="0.25">
      <c r="A103289"/>
      <c r="B103289"/>
      <c r="C103289"/>
      <c r="E103289"/>
      <c r="F103289"/>
    </row>
    <row r="103290" spans="1:6" x14ac:dyDescent="0.25">
      <c r="A103290"/>
      <c r="B103290"/>
      <c r="C103290"/>
      <c r="E103290"/>
      <c r="F103290"/>
    </row>
    <row r="103291" spans="1:6" x14ac:dyDescent="0.25">
      <c r="A103291"/>
      <c r="B103291"/>
      <c r="C103291"/>
      <c r="E103291"/>
      <c r="F103291"/>
    </row>
    <row r="103292" spans="1:6" x14ac:dyDescent="0.25">
      <c r="A103292"/>
      <c r="B103292"/>
      <c r="C103292"/>
      <c r="E103292"/>
      <c r="F103292"/>
    </row>
    <row r="103293" spans="1:6" x14ac:dyDescent="0.25">
      <c r="A103293"/>
      <c r="B103293"/>
      <c r="C103293"/>
      <c r="E103293"/>
      <c r="F103293"/>
    </row>
    <row r="103294" spans="1:6" x14ac:dyDescent="0.25">
      <c r="A103294"/>
      <c r="B103294"/>
      <c r="C103294"/>
      <c r="E103294"/>
      <c r="F103294"/>
    </row>
    <row r="103295" spans="1:6" x14ac:dyDescent="0.25">
      <c r="A103295"/>
      <c r="B103295"/>
      <c r="C103295"/>
      <c r="E103295"/>
      <c r="F103295"/>
    </row>
    <row r="103296" spans="1:6" x14ac:dyDescent="0.25">
      <c r="A103296"/>
      <c r="B103296"/>
      <c r="C103296"/>
      <c r="E103296"/>
      <c r="F103296"/>
    </row>
    <row r="103297" spans="1:6" x14ac:dyDescent="0.25">
      <c r="A103297"/>
      <c r="B103297"/>
      <c r="C103297"/>
      <c r="E103297"/>
      <c r="F103297"/>
    </row>
    <row r="103298" spans="1:6" x14ac:dyDescent="0.25">
      <c r="A103298"/>
      <c r="B103298"/>
      <c r="C103298"/>
      <c r="E103298"/>
      <c r="F103298"/>
    </row>
    <row r="103299" spans="1:6" x14ac:dyDescent="0.25">
      <c r="A103299"/>
      <c r="B103299"/>
      <c r="C103299"/>
      <c r="E103299"/>
      <c r="F103299"/>
    </row>
    <row r="103300" spans="1:6" x14ac:dyDescent="0.25">
      <c r="A103300"/>
      <c r="B103300"/>
      <c r="C103300"/>
      <c r="E103300"/>
      <c r="F103300"/>
    </row>
    <row r="103301" spans="1:6" x14ac:dyDescent="0.25">
      <c r="A103301"/>
      <c r="B103301"/>
      <c r="C103301"/>
      <c r="E103301"/>
      <c r="F103301"/>
    </row>
    <row r="103302" spans="1:6" x14ac:dyDescent="0.25">
      <c r="A103302"/>
      <c r="B103302"/>
      <c r="C103302"/>
      <c r="E103302"/>
      <c r="F103302"/>
    </row>
    <row r="103303" spans="1:6" x14ac:dyDescent="0.25">
      <c r="A103303"/>
      <c r="B103303"/>
      <c r="C103303"/>
      <c r="E103303"/>
      <c r="F103303"/>
    </row>
    <row r="103304" spans="1:6" x14ac:dyDescent="0.25">
      <c r="A103304"/>
      <c r="B103304"/>
      <c r="C103304"/>
      <c r="E103304"/>
      <c r="F103304"/>
    </row>
    <row r="103305" spans="1:6" x14ac:dyDescent="0.25">
      <c r="A103305"/>
      <c r="B103305"/>
      <c r="C103305"/>
      <c r="E103305"/>
      <c r="F103305"/>
    </row>
    <row r="103306" spans="1:6" x14ac:dyDescent="0.25">
      <c r="A103306"/>
      <c r="B103306"/>
      <c r="C103306"/>
      <c r="E103306"/>
      <c r="F103306"/>
    </row>
    <row r="103307" spans="1:6" x14ac:dyDescent="0.25">
      <c r="A103307"/>
      <c r="B103307"/>
      <c r="C103307"/>
      <c r="E103307"/>
      <c r="F103307"/>
    </row>
    <row r="103308" spans="1:6" x14ac:dyDescent="0.25">
      <c r="A103308"/>
      <c r="B103308"/>
      <c r="C103308"/>
      <c r="E103308"/>
      <c r="F103308"/>
    </row>
    <row r="103309" spans="1:6" x14ac:dyDescent="0.25">
      <c r="A103309"/>
      <c r="B103309"/>
      <c r="C103309"/>
      <c r="E103309"/>
      <c r="F103309"/>
    </row>
    <row r="103310" spans="1:6" x14ac:dyDescent="0.25">
      <c r="A103310"/>
      <c r="B103310"/>
      <c r="C103310"/>
      <c r="E103310"/>
      <c r="F103310"/>
    </row>
    <row r="103311" spans="1:6" x14ac:dyDescent="0.25">
      <c r="A103311"/>
      <c r="B103311"/>
      <c r="C103311"/>
      <c r="E103311"/>
      <c r="F103311"/>
    </row>
    <row r="103312" spans="1:6" x14ac:dyDescent="0.25">
      <c r="A103312"/>
      <c r="B103312"/>
      <c r="C103312"/>
      <c r="E103312"/>
      <c r="F103312"/>
    </row>
    <row r="103313" spans="1:6" x14ac:dyDescent="0.25">
      <c r="A103313"/>
      <c r="B103313"/>
      <c r="C103313"/>
      <c r="E103313"/>
      <c r="F103313"/>
    </row>
    <row r="103314" spans="1:6" x14ac:dyDescent="0.25">
      <c r="A103314"/>
      <c r="B103314"/>
      <c r="C103314"/>
      <c r="E103314"/>
      <c r="F103314"/>
    </row>
    <row r="103315" spans="1:6" x14ac:dyDescent="0.25">
      <c r="A103315"/>
      <c r="B103315"/>
      <c r="C103315"/>
      <c r="E103315"/>
      <c r="F103315"/>
    </row>
    <row r="103316" spans="1:6" x14ac:dyDescent="0.25">
      <c r="A103316"/>
      <c r="B103316"/>
      <c r="C103316"/>
      <c r="E103316"/>
      <c r="F103316"/>
    </row>
    <row r="103317" spans="1:6" x14ac:dyDescent="0.25">
      <c r="A103317"/>
      <c r="B103317"/>
      <c r="C103317"/>
      <c r="E103317"/>
      <c r="F103317"/>
    </row>
    <row r="103318" spans="1:6" x14ac:dyDescent="0.25">
      <c r="A103318"/>
      <c r="B103318"/>
      <c r="C103318"/>
      <c r="E103318"/>
      <c r="F103318"/>
    </row>
    <row r="103319" spans="1:6" x14ac:dyDescent="0.25">
      <c r="A103319"/>
      <c r="B103319"/>
      <c r="C103319"/>
      <c r="E103319"/>
      <c r="F103319"/>
    </row>
    <row r="103320" spans="1:6" x14ac:dyDescent="0.25">
      <c r="A103320"/>
      <c r="B103320"/>
      <c r="C103320"/>
      <c r="E103320"/>
      <c r="F103320"/>
    </row>
    <row r="103321" spans="1:6" x14ac:dyDescent="0.25">
      <c r="A103321"/>
      <c r="B103321"/>
      <c r="C103321"/>
      <c r="E103321"/>
      <c r="F103321"/>
    </row>
    <row r="103322" spans="1:6" x14ac:dyDescent="0.25">
      <c r="A103322"/>
      <c r="B103322"/>
      <c r="C103322"/>
      <c r="E103322"/>
      <c r="F103322"/>
    </row>
    <row r="103323" spans="1:6" x14ac:dyDescent="0.25">
      <c r="A103323"/>
      <c r="B103323"/>
      <c r="C103323"/>
      <c r="E103323"/>
      <c r="F103323"/>
    </row>
    <row r="103324" spans="1:6" x14ac:dyDescent="0.25">
      <c r="A103324"/>
      <c r="B103324"/>
      <c r="C103324"/>
      <c r="E103324"/>
      <c r="F103324"/>
    </row>
    <row r="103325" spans="1:6" x14ac:dyDescent="0.25">
      <c r="A103325"/>
      <c r="B103325"/>
      <c r="C103325"/>
      <c r="E103325"/>
      <c r="F103325"/>
    </row>
    <row r="103326" spans="1:6" x14ac:dyDescent="0.25">
      <c r="A103326"/>
      <c r="B103326"/>
      <c r="C103326"/>
      <c r="E103326"/>
      <c r="F103326"/>
    </row>
    <row r="103327" spans="1:6" x14ac:dyDescent="0.25">
      <c r="A103327"/>
      <c r="B103327"/>
      <c r="C103327"/>
      <c r="E103327"/>
      <c r="F103327"/>
    </row>
    <row r="103328" spans="1:6" x14ac:dyDescent="0.25">
      <c r="A103328"/>
      <c r="B103328"/>
      <c r="C103328"/>
      <c r="E103328"/>
      <c r="F103328"/>
    </row>
    <row r="103329" spans="1:6" x14ac:dyDescent="0.25">
      <c r="A103329"/>
      <c r="B103329"/>
      <c r="C103329"/>
      <c r="E103329"/>
      <c r="F103329"/>
    </row>
    <row r="103330" spans="1:6" x14ac:dyDescent="0.25">
      <c r="A103330"/>
      <c r="B103330"/>
      <c r="C103330"/>
      <c r="E103330"/>
      <c r="F103330"/>
    </row>
    <row r="103331" spans="1:6" x14ac:dyDescent="0.25">
      <c r="A103331"/>
      <c r="B103331"/>
      <c r="C103331"/>
      <c r="E103331"/>
      <c r="F103331"/>
    </row>
    <row r="103332" spans="1:6" x14ac:dyDescent="0.25">
      <c r="A103332"/>
      <c r="B103332"/>
      <c r="C103332"/>
      <c r="E103332"/>
      <c r="F103332"/>
    </row>
    <row r="103333" spans="1:6" x14ac:dyDescent="0.25">
      <c r="A103333"/>
      <c r="B103333"/>
      <c r="C103333"/>
      <c r="E103333"/>
      <c r="F103333"/>
    </row>
    <row r="103334" spans="1:6" x14ac:dyDescent="0.25">
      <c r="A103334"/>
      <c r="B103334"/>
      <c r="C103334"/>
      <c r="E103334"/>
      <c r="F103334"/>
    </row>
    <row r="103335" spans="1:6" x14ac:dyDescent="0.25">
      <c r="A103335"/>
      <c r="B103335"/>
      <c r="C103335"/>
      <c r="E103335"/>
      <c r="F103335"/>
    </row>
    <row r="103336" spans="1:6" x14ac:dyDescent="0.25">
      <c r="A103336"/>
      <c r="B103336"/>
      <c r="C103336"/>
      <c r="E103336"/>
      <c r="F103336"/>
    </row>
    <row r="103337" spans="1:6" x14ac:dyDescent="0.25">
      <c r="A103337"/>
      <c r="B103337"/>
      <c r="C103337"/>
      <c r="E103337"/>
      <c r="F103337"/>
    </row>
    <row r="103338" spans="1:6" x14ac:dyDescent="0.25">
      <c r="A103338"/>
      <c r="B103338"/>
      <c r="C103338"/>
      <c r="E103338"/>
      <c r="F103338"/>
    </row>
    <row r="103339" spans="1:6" x14ac:dyDescent="0.25">
      <c r="A103339"/>
      <c r="B103339"/>
      <c r="C103339"/>
      <c r="E103339"/>
      <c r="F103339"/>
    </row>
    <row r="103340" spans="1:6" x14ac:dyDescent="0.25">
      <c r="A103340"/>
      <c r="B103340"/>
      <c r="C103340"/>
      <c r="E103340"/>
      <c r="F103340"/>
    </row>
    <row r="103341" spans="1:6" x14ac:dyDescent="0.25">
      <c r="A103341"/>
      <c r="B103341"/>
      <c r="C103341"/>
      <c r="E103341"/>
      <c r="F103341"/>
    </row>
    <row r="103342" spans="1:6" x14ac:dyDescent="0.25">
      <c r="A103342"/>
      <c r="B103342"/>
      <c r="C103342"/>
      <c r="E103342"/>
      <c r="F103342"/>
    </row>
    <row r="103343" spans="1:6" x14ac:dyDescent="0.25">
      <c r="A103343"/>
      <c r="B103343"/>
      <c r="C103343"/>
      <c r="E103343"/>
      <c r="F103343"/>
    </row>
    <row r="103344" spans="1:6" x14ac:dyDescent="0.25">
      <c r="A103344"/>
      <c r="B103344"/>
      <c r="C103344"/>
      <c r="E103344"/>
      <c r="F103344"/>
    </row>
    <row r="103345" spans="1:6" x14ac:dyDescent="0.25">
      <c r="A103345"/>
      <c r="B103345"/>
      <c r="C103345"/>
      <c r="E103345"/>
      <c r="F103345"/>
    </row>
    <row r="103346" spans="1:6" x14ac:dyDescent="0.25">
      <c r="A103346"/>
      <c r="B103346"/>
      <c r="C103346"/>
      <c r="E103346"/>
      <c r="F103346"/>
    </row>
    <row r="103347" spans="1:6" x14ac:dyDescent="0.25">
      <c r="A103347"/>
      <c r="B103347"/>
      <c r="C103347"/>
      <c r="E103347"/>
      <c r="F103347"/>
    </row>
    <row r="103348" spans="1:6" x14ac:dyDescent="0.25">
      <c r="A103348"/>
      <c r="B103348"/>
      <c r="C103348"/>
      <c r="E103348"/>
      <c r="F103348"/>
    </row>
    <row r="103349" spans="1:6" x14ac:dyDescent="0.25">
      <c r="A103349"/>
      <c r="B103349"/>
      <c r="C103349"/>
      <c r="E103349"/>
      <c r="F103349"/>
    </row>
    <row r="103350" spans="1:6" x14ac:dyDescent="0.25">
      <c r="A103350"/>
      <c r="B103350"/>
      <c r="C103350"/>
      <c r="E103350"/>
      <c r="F103350"/>
    </row>
    <row r="103351" spans="1:6" x14ac:dyDescent="0.25">
      <c r="A103351"/>
      <c r="B103351"/>
      <c r="C103351"/>
      <c r="E103351"/>
      <c r="F103351"/>
    </row>
    <row r="103352" spans="1:6" x14ac:dyDescent="0.25">
      <c r="A103352"/>
      <c r="B103352"/>
      <c r="C103352"/>
      <c r="E103352"/>
      <c r="F103352"/>
    </row>
    <row r="103353" spans="1:6" x14ac:dyDescent="0.25">
      <c r="A103353"/>
      <c r="B103353"/>
      <c r="C103353"/>
      <c r="E103353"/>
      <c r="F103353"/>
    </row>
    <row r="103354" spans="1:6" x14ac:dyDescent="0.25">
      <c r="A103354"/>
      <c r="B103354"/>
      <c r="C103354"/>
      <c r="E103354"/>
      <c r="F103354"/>
    </row>
    <row r="103355" spans="1:6" x14ac:dyDescent="0.25">
      <c r="A103355"/>
      <c r="B103355"/>
      <c r="C103355"/>
      <c r="E103355"/>
      <c r="F103355"/>
    </row>
    <row r="103356" spans="1:6" x14ac:dyDescent="0.25">
      <c r="A103356"/>
      <c r="B103356"/>
      <c r="C103356"/>
      <c r="E103356"/>
      <c r="F103356"/>
    </row>
    <row r="103357" spans="1:6" x14ac:dyDescent="0.25">
      <c r="A103357"/>
      <c r="B103357"/>
      <c r="C103357"/>
      <c r="E103357"/>
      <c r="F103357"/>
    </row>
    <row r="103358" spans="1:6" x14ac:dyDescent="0.25">
      <c r="A103358"/>
      <c r="B103358"/>
      <c r="C103358"/>
      <c r="E103358"/>
      <c r="F103358"/>
    </row>
    <row r="103359" spans="1:6" x14ac:dyDescent="0.25">
      <c r="A103359"/>
      <c r="B103359"/>
      <c r="C103359"/>
      <c r="E103359"/>
      <c r="F103359"/>
    </row>
    <row r="103360" spans="1:6" x14ac:dyDescent="0.25">
      <c r="A103360"/>
      <c r="B103360"/>
      <c r="C103360"/>
      <c r="E103360"/>
      <c r="F103360"/>
    </row>
    <row r="103361" spans="1:6" x14ac:dyDescent="0.25">
      <c r="A103361"/>
      <c r="B103361"/>
      <c r="C103361"/>
      <c r="E103361"/>
      <c r="F103361"/>
    </row>
    <row r="103362" spans="1:6" x14ac:dyDescent="0.25">
      <c r="A103362"/>
      <c r="B103362"/>
      <c r="C103362"/>
      <c r="E103362"/>
      <c r="F103362"/>
    </row>
    <row r="103363" spans="1:6" x14ac:dyDescent="0.25">
      <c r="A103363"/>
      <c r="B103363"/>
      <c r="C103363"/>
      <c r="E103363"/>
      <c r="F103363"/>
    </row>
    <row r="103364" spans="1:6" x14ac:dyDescent="0.25">
      <c r="A103364"/>
      <c r="B103364"/>
      <c r="C103364"/>
      <c r="E103364"/>
      <c r="F103364"/>
    </row>
    <row r="103365" spans="1:6" x14ac:dyDescent="0.25">
      <c r="A103365"/>
      <c r="B103365"/>
      <c r="C103365"/>
      <c r="E103365"/>
      <c r="F103365"/>
    </row>
    <row r="103366" spans="1:6" x14ac:dyDescent="0.25">
      <c r="A103366"/>
      <c r="B103366"/>
      <c r="C103366"/>
      <c r="E103366"/>
      <c r="F103366"/>
    </row>
    <row r="103367" spans="1:6" x14ac:dyDescent="0.25">
      <c r="A103367"/>
      <c r="B103367"/>
      <c r="C103367"/>
      <c r="E103367"/>
      <c r="F103367"/>
    </row>
    <row r="103368" spans="1:6" x14ac:dyDescent="0.25">
      <c r="A103368"/>
      <c r="B103368"/>
      <c r="C103368"/>
      <c r="E103368"/>
      <c r="F103368"/>
    </row>
    <row r="103369" spans="1:6" x14ac:dyDescent="0.25">
      <c r="A103369"/>
      <c r="B103369"/>
      <c r="C103369"/>
      <c r="E103369"/>
      <c r="F103369"/>
    </row>
    <row r="103370" spans="1:6" x14ac:dyDescent="0.25">
      <c r="A103370"/>
      <c r="B103370"/>
      <c r="C103370"/>
      <c r="E103370"/>
      <c r="F103370"/>
    </row>
    <row r="103371" spans="1:6" x14ac:dyDescent="0.25">
      <c r="A103371"/>
      <c r="B103371"/>
      <c r="C103371"/>
      <c r="E103371"/>
      <c r="F103371"/>
    </row>
    <row r="103372" spans="1:6" x14ac:dyDescent="0.25">
      <c r="A103372"/>
      <c r="B103372"/>
      <c r="C103372"/>
      <c r="E103372"/>
      <c r="F103372"/>
    </row>
    <row r="103373" spans="1:6" x14ac:dyDescent="0.25">
      <c r="A103373"/>
      <c r="B103373"/>
      <c r="C103373"/>
      <c r="E103373"/>
      <c r="F103373"/>
    </row>
    <row r="103374" spans="1:6" x14ac:dyDescent="0.25">
      <c r="A103374"/>
      <c r="B103374"/>
      <c r="C103374"/>
      <c r="E103374"/>
      <c r="F103374"/>
    </row>
    <row r="103375" spans="1:6" x14ac:dyDescent="0.25">
      <c r="A103375"/>
      <c r="B103375"/>
      <c r="C103375"/>
      <c r="E103375"/>
      <c r="F103375"/>
    </row>
    <row r="103376" spans="1:6" x14ac:dyDescent="0.25">
      <c r="A103376"/>
      <c r="B103376"/>
      <c r="C103376"/>
      <c r="E103376"/>
      <c r="F103376"/>
    </row>
    <row r="103377" spans="1:6" x14ac:dyDescent="0.25">
      <c r="A103377"/>
      <c r="B103377"/>
      <c r="C103377"/>
      <c r="E103377"/>
      <c r="F103377"/>
    </row>
    <row r="103378" spans="1:6" x14ac:dyDescent="0.25">
      <c r="A103378"/>
      <c r="B103378"/>
      <c r="C103378"/>
      <c r="E103378"/>
      <c r="F103378"/>
    </row>
    <row r="103379" spans="1:6" x14ac:dyDescent="0.25">
      <c r="A103379"/>
      <c r="B103379"/>
      <c r="C103379"/>
      <c r="E103379"/>
      <c r="F103379"/>
    </row>
    <row r="103380" spans="1:6" x14ac:dyDescent="0.25">
      <c r="A103380"/>
      <c r="B103380"/>
      <c r="C103380"/>
      <c r="E103380"/>
      <c r="F103380"/>
    </row>
    <row r="103381" spans="1:6" x14ac:dyDescent="0.25">
      <c r="A103381"/>
      <c r="B103381"/>
      <c r="C103381"/>
      <c r="E103381"/>
      <c r="F103381"/>
    </row>
    <row r="103382" spans="1:6" x14ac:dyDescent="0.25">
      <c r="A103382"/>
      <c r="B103382"/>
      <c r="C103382"/>
      <c r="E103382"/>
      <c r="F103382"/>
    </row>
    <row r="103383" spans="1:6" x14ac:dyDescent="0.25">
      <c r="A103383"/>
      <c r="B103383"/>
      <c r="C103383"/>
      <c r="E103383"/>
      <c r="F103383"/>
    </row>
    <row r="103384" spans="1:6" x14ac:dyDescent="0.25">
      <c r="A103384"/>
      <c r="B103384"/>
      <c r="C103384"/>
      <c r="E103384"/>
      <c r="F103384"/>
    </row>
    <row r="103385" spans="1:6" x14ac:dyDescent="0.25">
      <c r="A103385"/>
      <c r="B103385"/>
      <c r="C103385"/>
      <c r="E103385"/>
      <c r="F103385"/>
    </row>
    <row r="103386" spans="1:6" x14ac:dyDescent="0.25">
      <c r="A103386"/>
      <c r="B103386"/>
      <c r="C103386"/>
      <c r="E103386"/>
      <c r="F103386"/>
    </row>
    <row r="103387" spans="1:6" x14ac:dyDescent="0.25">
      <c r="A103387"/>
      <c r="B103387"/>
      <c r="C103387"/>
      <c r="E103387"/>
      <c r="F103387"/>
    </row>
    <row r="103388" spans="1:6" x14ac:dyDescent="0.25">
      <c r="A103388"/>
      <c r="B103388"/>
      <c r="C103388"/>
      <c r="E103388"/>
      <c r="F103388"/>
    </row>
    <row r="103389" spans="1:6" x14ac:dyDescent="0.25">
      <c r="A103389"/>
      <c r="B103389"/>
      <c r="C103389"/>
      <c r="E103389"/>
      <c r="F103389"/>
    </row>
    <row r="103390" spans="1:6" x14ac:dyDescent="0.25">
      <c r="A103390"/>
      <c r="B103390"/>
      <c r="C103390"/>
      <c r="E103390"/>
      <c r="F103390"/>
    </row>
    <row r="103391" spans="1:6" x14ac:dyDescent="0.25">
      <c r="A103391"/>
      <c r="B103391"/>
      <c r="C103391"/>
      <c r="E103391"/>
      <c r="F103391"/>
    </row>
    <row r="103392" spans="1:6" x14ac:dyDescent="0.25">
      <c r="A103392"/>
      <c r="B103392"/>
      <c r="C103392"/>
      <c r="E103392"/>
      <c r="F103392"/>
    </row>
    <row r="103393" spans="1:6" x14ac:dyDescent="0.25">
      <c r="A103393"/>
      <c r="B103393"/>
      <c r="C103393"/>
      <c r="E103393"/>
      <c r="F103393"/>
    </row>
    <row r="103394" spans="1:6" x14ac:dyDescent="0.25">
      <c r="A103394"/>
      <c r="B103394"/>
      <c r="C103394"/>
      <c r="E103394"/>
      <c r="F103394"/>
    </row>
    <row r="103395" spans="1:6" x14ac:dyDescent="0.25">
      <c r="A103395"/>
      <c r="B103395"/>
      <c r="C103395"/>
      <c r="E103395"/>
      <c r="F103395"/>
    </row>
    <row r="103396" spans="1:6" x14ac:dyDescent="0.25">
      <c r="A103396"/>
      <c r="B103396"/>
      <c r="C103396"/>
      <c r="E103396"/>
      <c r="F103396"/>
    </row>
    <row r="103397" spans="1:6" x14ac:dyDescent="0.25">
      <c r="A103397"/>
      <c r="B103397"/>
      <c r="C103397"/>
      <c r="E103397"/>
      <c r="F103397"/>
    </row>
    <row r="103398" spans="1:6" x14ac:dyDescent="0.25">
      <c r="A103398"/>
      <c r="B103398"/>
      <c r="C103398"/>
      <c r="E103398"/>
      <c r="F103398"/>
    </row>
    <row r="103399" spans="1:6" x14ac:dyDescent="0.25">
      <c r="A103399"/>
      <c r="B103399"/>
      <c r="C103399"/>
      <c r="E103399"/>
      <c r="F103399"/>
    </row>
    <row r="103400" spans="1:6" x14ac:dyDescent="0.25">
      <c r="A103400"/>
      <c r="B103400"/>
      <c r="C103400"/>
      <c r="E103400"/>
      <c r="F103400"/>
    </row>
    <row r="103401" spans="1:6" x14ac:dyDescent="0.25">
      <c r="A103401"/>
      <c r="B103401"/>
      <c r="C103401"/>
      <c r="E103401"/>
      <c r="F103401"/>
    </row>
    <row r="103402" spans="1:6" x14ac:dyDescent="0.25">
      <c r="A103402"/>
      <c r="B103402"/>
      <c r="C103402"/>
      <c r="E103402"/>
      <c r="F103402"/>
    </row>
    <row r="103403" spans="1:6" x14ac:dyDescent="0.25">
      <c r="A103403"/>
      <c r="B103403"/>
      <c r="C103403"/>
      <c r="E103403"/>
      <c r="F103403"/>
    </row>
    <row r="103404" spans="1:6" x14ac:dyDescent="0.25">
      <c r="A103404"/>
      <c r="B103404"/>
      <c r="C103404"/>
      <c r="E103404"/>
      <c r="F103404"/>
    </row>
    <row r="103405" spans="1:6" x14ac:dyDescent="0.25">
      <c r="A103405"/>
      <c r="B103405"/>
      <c r="C103405"/>
      <c r="E103405"/>
      <c r="F103405"/>
    </row>
    <row r="103406" spans="1:6" x14ac:dyDescent="0.25">
      <c r="A103406"/>
      <c r="B103406"/>
      <c r="C103406"/>
      <c r="E103406"/>
      <c r="F103406"/>
    </row>
    <row r="103407" spans="1:6" x14ac:dyDescent="0.25">
      <c r="A103407"/>
      <c r="B103407"/>
      <c r="C103407"/>
      <c r="E103407"/>
      <c r="F103407"/>
    </row>
    <row r="103408" spans="1:6" x14ac:dyDescent="0.25">
      <c r="A103408"/>
      <c r="B103408"/>
      <c r="C103408"/>
      <c r="E103408"/>
      <c r="F103408"/>
    </row>
    <row r="103409" spans="1:6" x14ac:dyDescent="0.25">
      <c r="A103409"/>
      <c r="B103409"/>
      <c r="C103409"/>
      <c r="E103409"/>
      <c r="F103409"/>
    </row>
    <row r="103410" spans="1:6" x14ac:dyDescent="0.25">
      <c r="A103410"/>
      <c r="B103410"/>
      <c r="C103410"/>
      <c r="E103410"/>
      <c r="F103410"/>
    </row>
    <row r="103411" spans="1:6" x14ac:dyDescent="0.25">
      <c r="A103411"/>
      <c r="B103411"/>
      <c r="C103411"/>
      <c r="E103411"/>
      <c r="F103411"/>
    </row>
    <row r="103412" spans="1:6" x14ac:dyDescent="0.25">
      <c r="A103412"/>
      <c r="B103412"/>
      <c r="C103412"/>
      <c r="E103412"/>
      <c r="F103412"/>
    </row>
    <row r="103413" spans="1:6" x14ac:dyDescent="0.25">
      <c r="A103413"/>
      <c r="B103413"/>
      <c r="C103413"/>
      <c r="E103413"/>
      <c r="F103413"/>
    </row>
    <row r="103414" spans="1:6" x14ac:dyDescent="0.25">
      <c r="A103414"/>
      <c r="B103414"/>
      <c r="C103414"/>
      <c r="E103414"/>
      <c r="F103414"/>
    </row>
    <row r="103415" spans="1:6" x14ac:dyDescent="0.25">
      <c r="A103415"/>
      <c r="B103415"/>
      <c r="C103415"/>
      <c r="E103415"/>
      <c r="F103415"/>
    </row>
    <row r="103416" spans="1:6" x14ac:dyDescent="0.25">
      <c r="A103416"/>
      <c r="B103416"/>
      <c r="C103416"/>
      <c r="E103416"/>
      <c r="F103416"/>
    </row>
    <row r="103417" spans="1:6" x14ac:dyDescent="0.25">
      <c r="A103417"/>
      <c r="B103417"/>
      <c r="C103417"/>
      <c r="E103417"/>
      <c r="F103417"/>
    </row>
    <row r="103418" spans="1:6" x14ac:dyDescent="0.25">
      <c r="A103418"/>
      <c r="B103418"/>
      <c r="C103418"/>
      <c r="E103418"/>
      <c r="F103418"/>
    </row>
    <row r="103419" spans="1:6" x14ac:dyDescent="0.25">
      <c r="A103419"/>
      <c r="B103419"/>
      <c r="C103419"/>
      <c r="E103419"/>
      <c r="F103419"/>
    </row>
    <row r="103420" spans="1:6" x14ac:dyDescent="0.25">
      <c r="A103420"/>
      <c r="B103420"/>
      <c r="C103420"/>
      <c r="E103420"/>
      <c r="F103420"/>
    </row>
    <row r="103421" spans="1:6" x14ac:dyDescent="0.25">
      <c r="A103421"/>
      <c r="B103421"/>
      <c r="C103421"/>
      <c r="E103421"/>
      <c r="F103421"/>
    </row>
    <row r="103422" spans="1:6" x14ac:dyDescent="0.25">
      <c r="A103422"/>
      <c r="B103422"/>
      <c r="C103422"/>
      <c r="E103422"/>
      <c r="F103422"/>
    </row>
    <row r="103423" spans="1:6" x14ac:dyDescent="0.25">
      <c r="A103423"/>
      <c r="B103423"/>
      <c r="C103423"/>
      <c r="E103423"/>
      <c r="F103423"/>
    </row>
    <row r="103424" spans="1:6" x14ac:dyDescent="0.25">
      <c r="A103424"/>
      <c r="B103424"/>
      <c r="C103424"/>
      <c r="E103424"/>
      <c r="F103424"/>
    </row>
    <row r="103425" spans="1:6" x14ac:dyDescent="0.25">
      <c r="A103425"/>
      <c r="B103425"/>
      <c r="C103425"/>
      <c r="E103425"/>
      <c r="F103425"/>
    </row>
    <row r="103426" spans="1:6" x14ac:dyDescent="0.25">
      <c r="A103426"/>
      <c r="B103426"/>
      <c r="C103426"/>
      <c r="E103426"/>
      <c r="F103426"/>
    </row>
    <row r="103427" spans="1:6" x14ac:dyDescent="0.25">
      <c r="A103427"/>
      <c r="B103427"/>
      <c r="C103427"/>
      <c r="E103427"/>
      <c r="F103427"/>
    </row>
    <row r="103428" spans="1:6" x14ac:dyDescent="0.25">
      <c r="A103428"/>
      <c r="B103428"/>
      <c r="C103428"/>
      <c r="E103428"/>
      <c r="F103428"/>
    </row>
    <row r="103429" spans="1:6" x14ac:dyDescent="0.25">
      <c r="A103429"/>
      <c r="B103429"/>
      <c r="C103429"/>
      <c r="E103429"/>
      <c r="F103429"/>
    </row>
    <row r="103430" spans="1:6" x14ac:dyDescent="0.25">
      <c r="A103430"/>
      <c r="B103430"/>
      <c r="C103430"/>
      <c r="E103430"/>
      <c r="F103430"/>
    </row>
    <row r="103431" spans="1:6" x14ac:dyDescent="0.25">
      <c r="A103431"/>
      <c r="B103431"/>
      <c r="C103431"/>
      <c r="E103431"/>
      <c r="F103431"/>
    </row>
    <row r="103432" spans="1:6" x14ac:dyDescent="0.25">
      <c r="A103432"/>
      <c r="B103432"/>
      <c r="C103432"/>
      <c r="E103432"/>
      <c r="F103432"/>
    </row>
    <row r="103433" spans="1:6" x14ac:dyDescent="0.25">
      <c r="A103433"/>
      <c r="B103433"/>
      <c r="C103433"/>
      <c r="E103433"/>
      <c r="F103433"/>
    </row>
    <row r="103434" spans="1:6" x14ac:dyDescent="0.25">
      <c r="A103434"/>
      <c r="B103434"/>
      <c r="C103434"/>
      <c r="E103434"/>
      <c r="F103434"/>
    </row>
    <row r="103435" spans="1:6" x14ac:dyDescent="0.25">
      <c r="A103435"/>
      <c r="B103435"/>
      <c r="C103435"/>
      <c r="E103435"/>
      <c r="F103435"/>
    </row>
    <row r="103436" spans="1:6" x14ac:dyDescent="0.25">
      <c r="A103436"/>
      <c r="B103436"/>
      <c r="C103436"/>
      <c r="E103436"/>
      <c r="F103436"/>
    </row>
    <row r="103437" spans="1:6" x14ac:dyDescent="0.25">
      <c r="A103437"/>
      <c r="B103437"/>
      <c r="C103437"/>
      <c r="E103437"/>
      <c r="F103437"/>
    </row>
    <row r="103438" spans="1:6" x14ac:dyDescent="0.25">
      <c r="A103438"/>
      <c r="B103438"/>
      <c r="C103438"/>
      <c r="E103438"/>
      <c r="F103438"/>
    </row>
    <row r="103439" spans="1:6" x14ac:dyDescent="0.25">
      <c r="A103439"/>
      <c r="B103439"/>
      <c r="C103439"/>
      <c r="E103439"/>
      <c r="F103439"/>
    </row>
    <row r="103440" spans="1:6" x14ac:dyDescent="0.25">
      <c r="A103440"/>
      <c r="B103440"/>
      <c r="C103440"/>
      <c r="E103440"/>
      <c r="F103440"/>
    </row>
    <row r="103441" spans="1:6" x14ac:dyDescent="0.25">
      <c r="A103441"/>
      <c r="B103441"/>
      <c r="C103441"/>
      <c r="E103441"/>
      <c r="F103441"/>
    </row>
    <row r="103442" spans="1:6" x14ac:dyDescent="0.25">
      <c r="A103442"/>
      <c r="B103442"/>
      <c r="C103442"/>
      <c r="E103442"/>
      <c r="F103442"/>
    </row>
    <row r="103443" spans="1:6" x14ac:dyDescent="0.25">
      <c r="A103443"/>
      <c r="B103443"/>
      <c r="C103443"/>
      <c r="E103443"/>
      <c r="F103443"/>
    </row>
    <row r="103444" spans="1:6" x14ac:dyDescent="0.25">
      <c r="A103444"/>
      <c r="B103444"/>
      <c r="C103444"/>
      <c r="E103444"/>
      <c r="F103444"/>
    </row>
    <row r="103445" spans="1:6" x14ac:dyDescent="0.25">
      <c r="A103445"/>
      <c r="B103445"/>
      <c r="C103445"/>
      <c r="E103445"/>
      <c r="F103445"/>
    </row>
    <row r="103446" spans="1:6" x14ac:dyDescent="0.25">
      <c r="A103446"/>
      <c r="B103446"/>
      <c r="C103446"/>
      <c r="E103446"/>
      <c r="F103446"/>
    </row>
    <row r="103447" spans="1:6" x14ac:dyDescent="0.25">
      <c r="A103447"/>
      <c r="B103447"/>
      <c r="C103447"/>
      <c r="E103447"/>
      <c r="F103447"/>
    </row>
    <row r="103448" spans="1:6" x14ac:dyDescent="0.25">
      <c r="A103448"/>
      <c r="B103448"/>
      <c r="C103448"/>
      <c r="E103448"/>
      <c r="F103448"/>
    </row>
    <row r="103449" spans="1:6" x14ac:dyDescent="0.25">
      <c r="A103449"/>
      <c r="B103449"/>
      <c r="C103449"/>
      <c r="E103449"/>
      <c r="F103449"/>
    </row>
    <row r="103450" spans="1:6" x14ac:dyDescent="0.25">
      <c r="A103450"/>
      <c r="B103450"/>
      <c r="C103450"/>
      <c r="E103450"/>
      <c r="F103450"/>
    </row>
    <row r="103451" spans="1:6" x14ac:dyDescent="0.25">
      <c r="A103451"/>
      <c r="B103451"/>
      <c r="C103451"/>
      <c r="E103451"/>
      <c r="F103451"/>
    </row>
    <row r="103452" spans="1:6" x14ac:dyDescent="0.25">
      <c r="A103452"/>
      <c r="B103452"/>
      <c r="C103452"/>
      <c r="E103452"/>
      <c r="F103452"/>
    </row>
    <row r="103453" spans="1:6" x14ac:dyDescent="0.25">
      <c r="A103453"/>
      <c r="B103453"/>
      <c r="C103453"/>
      <c r="E103453"/>
      <c r="F103453"/>
    </row>
    <row r="103454" spans="1:6" x14ac:dyDescent="0.25">
      <c r="A103454"/>
      <c r="B103454"/>
      <c r="C103454"/>
      <c r="E103454"/>
      <c r="F103454"/>
    </row>
    <row r="103455" spans="1:6" x14ac:dyDescent="0.25">
      <c r="A103455"/>
      <c r="B103455"/>
      <c r="C103455"/>
      <c r="E103455"/>
      <c r="F103455"/>
    </row>
    <row r="103456" spans="1:6" x14ac:dyDescent="0.25">
      <c r="A103456"/>
      <c r="B103456"/>
      <c r="C103456"/>
      <c r="E103456"/>
      <c r="F103456"/>
    </row>
    <row r="103457" spans="1:6" x14ac:dyDescent="0.25">
      <c r="A103457"/>
      <c r="B103457"/>
      <c r="C103457"/>
      <c r="E103457"/>
      <c r="F103457"/>
    </row>
    <row r="103458" spans="1:6" x14ac:dyDescent="0.25">
      <c r="A103458"/>
      <c r="B103458"/>
      <c r="C103458"/>
      <c r="E103458"/>
      <c r="F103458"/>
    </row>
    <row r="103459" spans="1:6" x14ac:dyDescent="0.25">
      <c r="A103459"/>
      <c r="B103459"/>
      <c r="C103459"/>
      <c r="E103459"/>
      <c r="F103459"/>
    </row>
    <row r="103460" spans="1:6" x14ac:dyDescent="0.25">
      <c r="A103460"/>
      <c r="B103460"/>
      <c r="C103460"/>
      <c r="E103460"/>
      <c r="F103460"/>
    </row>
    <row r="103461" spans="1:6" x14ac:dyDescent="0.25">
      <c r="A103461"/>
      <c r="B103461"/>
      <c r="C103461"/>
      <c r="E103461"/>
      <c r="F103461"/>
    </row>
    <row r="103462" spans="1:6" x14ac:dyDescent="0.25">
      <c r="A103462"/>
      <c r="B103462"/>
      <c r="C103462"/>
      <c r="E103462"/>
      <c r="F103462"/>
    </row>
    <row r="103463" spans="1:6" x14ac:dyDescent="0.25">
      <c r="A103463"/>
      <c r="B103463"/>
      <c r="C103463"/>
      <c r="E103463"/>
      <c r="F103463"/>
    </row>
    <row r="103464" spans="1:6" x14ac:dyDescent="0.25">
      <c r="A103464"/>
      <c r="B103464"/>
      <c r="C103464"/>
      <c r="E103464"/>
      <c r="F103464"/>
    </row>
    <row r="103465" spans="1:6" x14ac:dyDescent="0.25">
      <c r="A103465"/>
      <c r="B103465"/>
      <c r="C103465"/>
      <c r="E103465"/>
      <c r="F103465"/>
    </row>
    <row r="103466" spans="1:6" x14ac:dyDescent="0.25">
      <c r="A103466"/>
      <c r="B103466"/>
      <c r="C103466"/>
      <c r="E103466"/>
      <c r="F103466"/>
    </row>
    <row r="103467" spans="1:6" x14ac:dyDescent="0.25">
      <c r="A103467"/>
      <c r="B103467"/>
      <c r="C103467"/>
      <c r="E103467"/>
      <c r="F103467"/>
    </row>
    <row r="103468" spans="1:6" x14ac:dyDescent="0.25">
      <c r="A103468"/>
      <c r="B103468"/>
      <c r="C103468"/>
      <c r="E103468"/>
      <c r="F103468"/>
    </row>
    <row r="103469" spans="1:6" x14ac:dyDescent="0.25">
      <c r="A103469"/>
      <c r="B103469"/>
      <c r="C103469"/>
      <c r="E103469"/>
      <c r="F103469"/>
    </row>
    <row r="103470" spans="1:6" x14ac:dyDescent="0.25">
      <c r="A103470"/>
      <c r="B103470"/>
      <c r="C103470"/>
      <c r="E103470"/>
      <c r="F103470"/>
    </row>
    <row r="103471" spans="1:6" x14ac:dyDescent="0.25">
      <c r="A103471"/>
      <c r="B103471"/>
      <c r="C103471"/>
      <c r="E103471"/>
      <c r="F103471"/>
    </row>
    <row r="103472" spans="1:6" x14ac:dyDescent="0.25">
      <c r="A103472"/>
      <c r="B103472"/>
      <c r="C103472"/>
      <c r="E103472"/>
      <c r="F103472"/>
    </row>
    <row r="103473" spans="1:6" x14ac:dyDescent="0.25">
      <c r="A103473"/>
      <c r="B103473"/>
      <c r="C103473"/>
      <c r="E103473"/>
      <c r="F103473"/>
    </row>
    <row r="103474" spans="1:6" x14ac:dyDescent="0.25">
      <c r="A103474"/>
      <c r="B103474"/>
      <c r="C103474"/>
      <c r="E103474"/>
      <c r="F103474"/>
    </row>
    <row r="103475" spans="1:6" x14ac:dyDescent="0.25">
      <c r="A103475"/>
      <c r="B103475"/>
      <c r="C103475"/>
      <c r="E103475"/>
      <c r="F103475"/>
    </row>
    <row r="103476" spans="1:6" x14ac:dyDescent="0.25">
      <c r="A103476"/>
      <c r="B103476"/>
      <c r="C103476"/>
      <c r="E103476"/>
      <c r="F103476"/>
    </row>
    <row r="103477" spans="1:6" x14ac:dyDescent="0.25">
      <c r="A103477"/>
      <c r="B103477"/>
      <c r="C103477"/>
      <c r="E103477"/>
      <c r="F103477"/>
    </row>
    <row r="103478" spans="1:6" x14ac:dyDescent="0.25">
      <c r="A103478"/>
      <c r="B103478"/>
      <c r="C103478"/>
      <c r="E103478"/>
      <c r="F103478"/>
    </row>
    <row r="103479" spans="1:6" x14ac:dyDescent="0.25">
      <c r="A103479"/>
      <c r="B103479"/>
      <c r="C103479"/>
      <c r="E103479"/>
      <c r="F103479"/>
    </row>
    <row r="103480" spans="1:6" x14ac:dyDescent="0.25">
      <c r="A103480"/>
      <c r="B103480"/>
      <c r="C103480"/>
      <c r="E103480"/>
      <c r="F103480"/>
    </row>
    <row r="103481" spans="1:6" x14ac:dyDescent="0.25">
      <c r="A103481"/>
      <c r="B103481"/>
      <c r="C103481"/>
      <c r="E103481"/>
      <c r="F103481"/>
    </row>
    <row r="103482" spans="1:6" x14ac:dyDescent="0.25">
      <c r="A103482"/>
      <c r="B103482"/>
      <c r="C103482"/>
      <c r="E103482"/>
      <c r="F103482"/>
    </row>
    <row r="103483" spans="1:6" x14ac:dyDescent="0.25">
      <c r="A103483"/>
      <c r="B103483"/>
      <c r="C103483"/>
      <c r="E103483"/>
      <c r="F103483"/>
    </row>
    <row r="103484" spans="1:6" x14ac:dyDescent="0.25">
      <c r="A103484"/>
      <c r="B103484"/>
      <c r="C103484"/>
      <c r="E103484"/>
      <c r="F103484"/>
    </row>
    <row r="103485" spans="1:6" x14ac:dyDescent="0.25">
      <c r="A103485"/>
      <c r="B103485"/>
      <c r="C103485"/>
      <c r="E103485"/>
      <c r="F103485"/>
    </row>
    <row r="103486" spans="1:6" x14ac:dyDescent="0.25">
      <c r="A103486"/>
      <c r="B103486"/>
      <c r="C103486"/>
      <c r="E103486"/>
      <c r="F103486"/>
    </row>
    <row r="103487" spans="1:6" x14ac:dyDescent="0.25">
      <c r="A103487"/>
      <c r="B103487"/>
      <c r="C103487"/>
      <c r="E103487"/>
      <c r="F103487"/>
    </row>
    <row r="103488" spans="1:6" x14ac:dyDescent="0.25">
      <c r="A103488"/>
      <c r="B103488"/>
      <c r="C103488"/>
      <c r="E103488"/>
      <c r="F103488"/>
    </row>
    <row r="103489" spans="1:6" x14ac:dyDescent="0.25">
      <c r="A103489"/>
      <c r="B103489"/>
      <c r="C103489"/>
      <c r="E103489"/>
      <c r="F103489"/>
    </row>
    <row r="103490" spans="1:6" x14ac:dyDescent="0.25">
      <c r="A103490"/>
      <c r="B103490"/>
      <c r="C103490"/>
      <c r="E103490"/>
      <c r="F103490"/>
    </row>
    <row r="103491" spans="1:6" x14ac:dyDescent="0.25">
      <c r="A103491"/>
      <c r="B103491"/>
      <c r="C103491"/>
      <c r="E103491"/>
      <c r="F103491"/>
    </row>
    <row r="103492" spans="1:6" x14ac:dyDescent="0.25">
      <c r="A103492"/>
      <c r="B103492"/>
      <c r="C103492"/>
      <c r="E103492"/>
      <c r="F103492"/>
    </row>
    <row r="103493" spans="1:6" x14ac:dyDescent="0.25">
      <c r="A103493"/>
      <c r="B103493"/>
      <c r="C103493"/>
      <c r="E103493"/>
      <c r="F103493"/>
    </row>
    <row r="103494" spans="1:6" x14ac:dyDescent="0.25">
      <c r="A103494"/>
      <c r="B103494"/>
      <c r="C103494"/>
      <c r="E103494"/>
      <c r="F103494"/>
    </row>
    <row r="103495" spans="1:6" x14ac:dyDescent="0.25">
      <c r="A103495"/>
      <c r="B103495"/>
      <c r="C103495"/>
      <c r="E103495"/>
      <c r="F103495"/>
    </row>
    <row r="103496" spans="1:6" x14ac:dyDescent="0.25">
      <c r="A103496"/>
      <c r="B103496"/>
      <c r="C103496"/>
      <c r="E103496"/>
      <c r="F103496"/>
    </row>
    <row r="103497" spans="1:6" x14ac:dyDescent="0.25">
      <c r="A103497"/>
      <c r="B103497"/>
      <c r="C103497"/>
      <c r="E103497"/>
      <c r="F103497"/>
    </row>
    <row r="103498" spans="1:6" x14ac:dyDescent="0.25">
      <c r="A103498"/>
      <c r="B103498"/>
      <c r="C103498"/>
      <c r="E103498"/>
      <c r="F103498"/>
    </row>
    <row r="103499" spans="1:6" x14ac:dyDescent="0.25">
      <c r="A103499"/>
      <c r="B103499"/>
      <c r="C103499"/>
      <c r="E103499"/>
      <c r="F103499"/>
    </row>
    <row r="103500" spans="1:6" x14ac:dyDescent="0.25">
      <c r="A103500"/>
      <c r="B103500"/>
      <c r="C103500"/>
      <c r="E103500"/>
      <c r="F103500"/>
    </row>
    <row r="103501" spans="1:6" x14ac:dyDescent="0.25">
      <c r="A103501"/>
      <c r="B103501"/>
      <c r="C103501"/>
      <c r="E103501"/>
      <c r="F103501"/>
    </row>
    <row r="103502" spans="1:6" x14ac:dyDescent="0.25">
      <c r="A103502"/>
      <c r="B103502"/>
      <c r="C103502"/>
      <c r="E103502"/>
      <c r="F103502"/>
    </row>
    <row r="103503" spans="1:6" x14ac:dyDescent="0.25">
      <c r="A103503"/>
      <c r="B103503"/>
      <c r="C103503"/>
      <c r="E103503"/>
      <c r="F103503"/>
    </row>
    <row r="103504" spans="1:6" x14ac:dyDescent="0.25">
      <c r="A103504"/>
      <c r="B103504"/>
      <c r="C103504"/>
      <c r="E103504"/>
      <c r="F103504"/>
    </row>
    <row r="103505" spans="1:6" x14ac:dyDescent="0.25">
      <c r="A103505"/>
      <c r="B103505"/>
      <c r="C103505"/>
      <c r="E103505"/>
      <c r="F103505"/>
    </row>
    <row r="103506" spans="1:6" x14ac:dyDescent="0.25">
      <c r="A103506"/>
      <c r="B103506"/>
      <c r="C103506"/>
      <c r="E103506"/>
      <c r="F103506"/>
    </row>
    <row r="103507" spans="1:6" x14ac:dyDescent="0.25">
      <c r="A103507"/>
      <c r="B103507"/>
      <c r="C103507"/>
      <c r="E103507"/>
      <c r="F103507"/>
    </row>
    <row r="103508" spans="1:6" x14ac:dyDescent="0.25">
      <c r="A103508"/>
      <c r="B103508"/>
      <c r="C103508"/>
      <c r="E103508"/>
      <c r="F103508"/>
    </row>
    <row r="103509" spans="1:6" x14ac:dyDescent="0.25">
      <c r="A103509"/>
      <c r="B103509"/>
      <c r="C103509"/>
      <c r="E103509"/>
      <c r="F103509"/>
    </row>
    <row r="103510" spans="1:6" x14ac:dyDescent="0.25">
      <c r="A103510"/>
      <c r="B103510"/>
      <c r="C103510"/>
      <c r="E103510"/>
      <c r="F103510"/>
    </row>
    <row r="103511" spans="1:6" x14ac:dyDescent="0.25">
      <c r="A103511"/>
      <c r="B103511"/>
      <c r="C103511"/>
      <c r="E103511"/>
      <c r="F103511"/>
    </row>
    <row r="103512" spans="1:6" x14ac:dyDescent="0.25">
      <c r="A103512"/>
      <c r="B103512"/>
      <c r="C103512"/>
      <c r="E103512"/>
      <c r="F103512"/>
    </row>
    <row r="103513" spans="1:6" x14ac:dyDescent="0.25">
      <c r="A103513"/>
      <c r="B103513"/>
      <c r="C103513"/>
      <c r="E103513"/>
      <c r="F103513"/>
    </row>
    <row r="103514" spans="1:6" x14ac:dyDescent="0.25">
      <c r="A103514"/>
      <c r="B103514"/>
      <c r="C103514"/>
      <c r="E103514"/>
      <c r="F103514"/>
    </row>
    <row r="103515" spans="1:6" x14ac:dyDescent="0.25">
      <c r="A103515"/>
      <c r="B103515"/>
      <c r="C103515"/>
      <c r="E103515"/>
      <c r="F103515"/>
    </row>
    <row r="103516" spans="1:6" x14ac:dyDescent="0.25">
      <c r="A103516"/>
      <c r="B103516"/>
      <c r="C103516"/>
      <c r="E103516"/>
      <c r="F103516"/>
    </row>
    <row r="103517" spans="1:6" x14ac:dyDescent="0.25">
      <c r="A103517"/>
      <c r="B103517"/>
      <c r="C103517"/>
      <c r="E103517"/>
      <c r="F103517"/>
    </row>
    <row r="103518" spans="1:6" x14ac:dyDescent="0.25">
      <c r="A103518"/>
      <c r="B103518"/>
      <c r="C103518"/>
      <c r="E103518"/>
      <c r="F103518"/>
    </row>
    <row r="103519" spans="1:6" x14ac:dyDescent="0.25">
      <c r="A103519"/>
      <c r="B103519"/>
      <c r="C103519"/>
      <c r="E103519"/>
      <c r="F103519"/>
    </row>
    <row r="103520" spans="1:6" x14ac:dyDescent="0.25">
      <c r="A103520"/>
      <c r="B103520"/>
      <c r="C103520"/>
      <c r="E103520"/>
      <c r="F103520"/>
    </row>
    <row r="103521" spans="1:6" x14ac:dyDescent="0.25">
      <c r="A103521"/>
      <c r="B103521"/>
      <c r="C103521"/>
      <c r="E103521"/>
      <c r="F103521"/>
    </row>
    <row r="103522" spans="1:6" x14ac:dyDescent="0.25">
      <c r="A103522"/>
      <c r="B103522"/>
      <c r="C103522"/>
      <c r="E103522"/>
      <c r="F103522"/>
    </row>
    <row r="103523" spans="1:6" x14ac:dyDescent="0.25">
      <c r="A103523"/>
      <c r="B103523"/>
      <c r="C103523"/>
      <c r="E103523"/>
      <c r="F103523"/>
    </row>
    <row r="103524" spans="1:6" x14ac:dyDescent="0.25">
      <c r="A103524"/>
      <c r="B103524"/>
      <c r="C103524"/>
      <c r="E103524"/>
      <c r="F103524"/>
    </row>
    <row r="103525" spans="1:6" x14ac:dyDescent="0.25">
      <c r="A103525"/>
      <c r="B103525"/>
      <c r="C103525"/>
      <c r="E103525"/>
      <c r="F103525"/>
    </row>
    <row r="103526" spans="1:6" x14ac:dyDescent="0.25">
      <c r="A103526"/>
      <c r="B103526"/>
      <c r="C103526"/>
      <c r="E103526"/>
      <c r="F103526"/>
    </row>
    <row r="103527" spans="1:6" x14ac:dyDescent="0.25">
      <c r="A103527"/>
      <c r="B103527"/>
      <c r="C103527"/>
      <c r="E103527"/>
      <c r="F103527"/>
    </row>
    <row r="103528" spans="1:6" x14ac:dyDescent="0.25">
      <c r="A103528"/>
      <c r="B103528"/>
      <c r="C103528"/>
      <c r="E103528"/>
      <c r="F103528"/>
    </row>
    <row r="103529" spans="1:6" x14ac:dyDescent="0.25">
      <c r="A103529"/>
      <c r="B103529"/>
      <c r="C103529"/>
      <c r="E103529"/>
      <c r="F103529"/>
    </row>
    <row r="103530" spans="1:6" x14ac:dyDescent="0.25">
      <c r="A103530"/>
      <c r="B103530"/>
      <c r="C103530"/>
      <c r="E103530"/>
      <c r="F103530"/>
    </row>
    <row r="103531" spans="1:6" x14ac:dyDescent="0.25">
      <c r="A103531"/>
      <c r="B103531"/>
      <c r="C103531"/>
      <c r="E103531"/>
      <c r="F103531"/>
    </row>
    <row r="103532" spans="1:6" x14ac:dyDescent="0.25">
      <c r="A103532"/>
      <c r="B103532"/>
      <c r="C103532"/>
      <c r="E103532"/>
      <c r="F103532"/>
    </row>
    <row r="103533" spans="1:6" x14ac:dyDescent="0.25">
      <c r="A103533"/>
      <c r="B103533"/>
      <c r="C103533"/>
      <c r="E103533"/>
      <c r="F103533"/>
    </row>
    <row r="103534" spans="1:6" x14ac:dyDescent="0.25">
      <c r="A103534"/>
      <c r="B103534"/>
      <c r="C103534"/>
      <c r="E103534"/>
      <c r="F103534"/>
    </row>
    <row r="103535" spans="1:6" x14ac:dyDescent="0.25">
      <c r="A103535"/>
      <c r="B103535"/>
      <c r="C103535"/>
      <c r="E103535"/>
      <c r="F103535"/>
    </row>
    <row r="103536" spans="1:6" x14ac:dyDescent="0.25">
      <c r="A103536"/>
      <c r="B103536"/>
      <c r="C103536"/>
      <c r="E103536"/>
      <c r="F103536"/>
    </row>
    <row r="103537" spans="1:6" x14ac:dyDescent="0.25">
      <c r="A103537"/>
      <c r="B103537"/>
      <c r="C103537"/>
      <c r="E103537"/>
      <c r="F103537"/>
    </row>
    <row r="103538" spans="1:6" x14ac:dyDescent="0.25">
      <c r="A103538"/>
      <c r="B103538"/>
      <c r="C103538"/>
      <c r="E103538"/>
      <c r="F103538"/>
    </row>
    <row r="103539" spans="1:6" x14ac:dyDescent="0.25">
      <c r="A103539"/>
      <c r="B103539"/>
      <c r="C103539"/>
      <c r="E103539"/>
      <c r="F103539"/>
    </row>
    <row r="103540" spans="1:6" x14ac:dyDescent="0.25">
      <c r="A103540"/>
      <c r="B103540"/>
      <c r="C103540"/>
      <c r="E103540"/>
      <c r="F103540"/>
    </row>
    <row r="103541" spans="1:6" x14ac:dyDescent="0.25">
      <c r="A103541"/>
      <c r="B103541"/>
      <c r="C103541"/>
      <c r="E103541"/>
      <c r="F103541"/>
    </row>
    <row r="103542" spans="1:6" x14ac:dyDescent="0.25">
      <c r="A103542"/>
      <c r="B103542"/>
      <c r="C103542"/>
      <c r="E103542"/>
      <c r="F103542"/>
    </row>
    <row r="103543" spans="1:6" x14ac:dyDescent="0.25">
      <c r="A103543"/>
      <c r="B103543"/>
      <c r="C103543"/>
      <c r="E103543"/>
      <c r="F103543"/>
    </row>
    <row r="103544" spans="1:6" x14ac:dyDescent="0.25">
      <c r="A103544"/>
      <c r="B103544"/>
      <c r="C103544"/>
      <c r="E103544"/>
      <c r="F103544"/>
    </row>
    <row r="103545" spans="1:6" x14ac:dyDescent="0.25">
      <c r="A103545"/>
      <c r="B103545"/>
      <c r="C103545"/>
      <c r="E103545"/>
      <c r="F103545"/>
    </row>
    <row r="103546" spans="1:6" x14ac:dyDescent="0.25">
      <c r="A103546"/>
      <c r="B103546"/>
      <c r="C103546"/>
      <c r="E103546"/>
      <c r="F103546"/>
    </row>
    <row r="103547" spans="1:6" x14ac:dyDescent="0.25">
      <c r="A103547"/>
      <c r="B103547"/>
      <c r="C103547"/>
      <c r="E103547"/>
      <c r="F103547"/>
    </row>
    <row r="103548" spans="1:6" x14ac:dyDescent="0.25">
      <c r="A103548"/>
      <c r="B103548"/>
      <c r="C103548"/>
      <c r="E103548"/>
      <c r="F103548"/>
    </row>
    <row r="103549" spans="1:6" x14ac:dyDescent="0.25">
      <c r="A103549"/>
      <c r="B103549"/>
      <c r="C103549"/>
      <c r="E103549"/>
      <c r="F103549"/>
    </row>
    <row r="103550" spans="1:6" x14ac:dyDescent="0.25">
      <c r="A103550"/>
      <c r="B103550"/>
      <c r="C103550"/>
      <c r="E103550"/>
      <c r="F103550"/>
    </row>
    <row r="103551" spans="1:6" x14ac:dyDescent="0.25">
      <c r="A103551"/>
      <c r="B103551"/>
      <c r="C103551"/>
      <c r="E103551"/>
      <c r="F103551"/>
    </row>
    <row r="103552" spans="1:6" x14ac:dyDescent="0.25">
      <c r="A103552"/>
      <c r="B103552"/>
      <c r="C103552"/>
      <c r="E103552"/>
      <c r="F103552"/>
    </row>
    <row r="103553" spans="1:6" x14ac:dyDescent="0.25">
      <c r="A103553"/>
      <c r="B103553"/>
      <c r="C103553"/>
      <c r="E103553"/>
      <c r="F103553"/>
    </row>
    <row r="103554" spans="1:6" x14ac:dyDescent="0.25">
      <c r="A103554"/>
      <c r="B103554"/>
      <c r="C103554"/>
      <c r="E103554"/>
      <c r="F103554"/>
    </row>
    <row r="103555" spans="1:6" x14ac:dyDescent="0.25">
      <c r="A103555"/>
      <c r="B103555"/>
      <c r="C103555"/>
      <c r="E103555"/>
      <c r="F103555"/>
    </row>
    <row r="103556" spans="1:6" x14ac:dyDescent="0.25">
      <c r="A103556"/>
      <c r="B103556"/>
      <c r="C103556"/>
      <c r="E103556"/>
      <c r="F103556"/>
    </row>
    <row r="103557" spans="1:6" x14ac:dyDescent="0.25">
      <c r="A103557"/>
      <c r="B103557"/>
      <c r="C103557"/>
      <c r="E103557"/>
      <c r="F103557"/>
    </row>
    <row r="103558" spans="1:6" x14ac:dyDescent="0.25">
      <c r="A103558"/>
      <c r="B103558"/>
      <c r="C103558"/>
      <c r="E103558"/>
      <c r="F103558"/>
    </row>
    <row r="103559" spans="1:6" x14ac:dyDescent="0.25">
      <c r="A103559"/>
      <c r="B103559"/>
      <c r="C103559"/>
      <c r="E103559"/>
      <c r="F103559"/>
    </row>
    <row r="103560" spans="1:6" x14ac:dyDescent="0.25">
      <c r="A103560"/>
      <c r="B103560"/>
      <c r="C103560"/>
      <c r="E103560"/>
      <c r="F103560"/>
    </row>
    <row r="103561" spans="1:6" x14ac:dyDescent="0.25">
      <c r="A103561"/>
      <c r="B103561"/>
      <c r="C103561"/>
      <c r="E103561"/>
      <c r="F103561"/>
    </row>
    <row r="103562" spans="1:6" x14ac:dyDescent="0.25">
      <c r="A103562"/>
      <c r="B103562"/>
      <c r="C103562"/>
      <c r="E103562"/>
      <c r="F103562"/>
    </row>
    <row r="103563" spans="1:6" x14ac:dyDescent="0.25">
      <c r="A103563"/>
      <c r="B103563"/>
      <c r="C103563"/>
      <c r="E103563"/>
      <c r="F103563"/>
    </row>
    <row r="103564" spans="1:6" x14ac:dyDescent="0.25">
      <c r="A103564"/>
      <c r="B103564"/>
      <c r="C103564"/>
      <c r="E103564"/>
      <c r="F103564"/>
    </row>
    <row r="103565" spans="1:6" x14ac:dyDescent="0.25">
      <c r="A103565"/>
      <c r="B103565"/>
      <c r="C103565"/>
      <c r="E103565"/>
      <c r="F103565"/>
    </row>
    <row r="103566" spans="1:6" x14ac:dyDescent="0.25">
      <c r="A103566"/>
      <c r="B103566"/>
      <c r="C103566"/>
      <c r="E103566"/>
      <c r="F103566"/>
    </row>
    <row r="103567" spans="1:6" x14ac:dyDescent="0.25">
      <c r="A103567"/>
      <c r="B103567"/>
      <c r="C103567"/>
      <c r="E103567"/>
      <c r="F103567"/>
    </row>
    <row r="103568" spans="1:6" x14ac:dyDescent="0.25">
      <c r="A103568"/>
      <c r="B103568"/>
      <c r="C103568"/>
      <c r="E103568"/>
      <c r="F103568"/>
    </row>
    <row r="103569" spans="1:6" x14ac:dyDescent="0.25">
      <c r="A103569"/>
      <c r="B103569"/>
      <c r="C103569"/>
      <c r="E103569"/>
      <c r="F103569"/>
    </row>
    <row r="103570" spans="1:6" x14ac:dyDescent="0.25">
      <c r="A103570"/>
      <c r="B103570"/>
      <c r="C103570"/>
      <c r="E103570"/>
      <c r="F103570"/>
    </row>
    <row r="103571" spans="1:6" x14ac:dyDescent="0.25">
      <c r="A103571"/>
      <c r="B103571"/>
      <c r="C103571"/>
      <c r="E103571"/>
      <c r="F103571"/>
    </row>
    <row r="103572" spans="1:6" x14ac:dyDescent="0.25">
      <c r="A103572"/>
      <c r="B103572"/>
      <c r="C103572"/>
      <c r="E103572"/>
      <c r="F103572"/>
    </row>
    <row r="103573" spans="1:6" x14ac:dyDescent="0.25">
      <c r="A103573"/>
      <c r="B103573"/>
      <c r="C103573"/>
      <c r="E103573"/>
      <c r="F103573"/>
    </row>
    <row r="103574" spans="1:6" x14ac:dyDescent="0.25">
      <c r="A103574"/>
      <c r="B103574"/>
      <c r="C103574"/>
      <c r="E103574"/>
      <c r="F103574"/>
    </row>
    <row r="103575" spans="1:6" x14ac:dyDescent="0.25">
      <c r="A103575"/>
      <c r="B103575"/>
      <c r="C103575"/>
      <c r="E103575"/>
      <c r="F103575"/>
    </row>
    <row r="103576" spans="1:6" x14ac:dyDescent="0.25">
      <c r="A103576"/>
      <c r="B103576"/>
      <c r="C103576"/>
      <c r="E103576"/>
      <c r="F103576"/>
    </row>
    <row r="103577" spans="1:6" x14ac:dyDescent="0.25">
      <c r="A103577"/>
      <c r="B103577"/>
      <c r="C103577"/>
      <c r="E103577"/>
      <c r="F103577"/>
    </row>
    <row r="103578" spans="1:6" x14ac:dyDescent="0.25">
      <c r="A103578"/>
      <c r="B103578"/>
      <c r="C103578"/>
      <c r="E103578"/>
      <c r="F103578"/>
    </row>
    <row r="103579" spans="1:6" x14ac:dyDescent="0.25">
      <c r="A103579"/>
      <c r="B103579"/>
      <c r="C103579"/>
      <c r="E103579"/>
      <c r="F103579"/>
    </row>
    <row r="103580" spans="1:6" x14ac:dyDescent="0.25">
      <c r="A103580"/>
      <c r="B103580"/>
      <c r="C103580"/>
      <c r="E103580"/>
      <c r="F103580"/>
    </row>
    <row r="103581" spans="1:6" x14ac:dyDescent="0.25">
      <c r="A103581"/>
      <c r="B103581"/>
      <c r="C103581"/>
      <c r="E103581"/>
      <c r="F103581"/>
    </row>
    <row r="103582" spans="1:6" x14ac:dyDescent="0.25">
      <c r="A103582"/>
      <c r="B103582"/>
      <c r="C103582"/>
      <c r="E103582"/>
      <c r="F103582"/>
    </row>
    <row r="103583" spans="1:6" x14ac:dyDescent="0.25">
      <c r="A103583"/>
      <c r="B103583"/>
      <c r="C103583"/>
      <c r="E103583"/>
      <c r="F103583"/>
    </row>
    <row r="103584" spans="1:6" x14ac:dyDescent="0.25">
      <c r="A103584"/>
      <c r="B103584"/>
      <c r="C103584"/>
      <c r="E103584"/>
      <c r="F103584"/>
    </row>
    <row r="103585" spans="1:6" x14ac:dyDescent="0.25">
      <c r="A103585"/>
      <c r="B103585"/>
      <c r="C103585"/>
      <c r="E103585"/>
      <c r="F103585"/>
    </row>
    <row r="103586" spans="1:6" x14ac:dyDescent="0.25">
      <c r="A103586"/>
      <c r="B103586"/>
      <c r="C103586"/>
      <c r="E103586"/>
      <c r="F103586"/>
    </row>
    <row r="103587" spans="1:6" x14ac:dyDescent="0.25">
      <c r="A103587"/>
      <c r="B103587"/>
      <c r="C103587"/>
      <c r="E103587"/>
      <c r="F103587"/>
    </row>
    <row r="103588" spans="1:6" x14ac:dyDescent="0.25">
      <c r="A103588"/>
      <c r="B103588"/>
      <c r="C103588"/>
      <c r="E103588"/>
      <c r="F103588"/>
    </row>
    <row r="103589" spans="1:6" x14ac:dyDescent="0.25">
      <c r="A103589"/>
      <c r="B103589"/>
      <c r="C103589"/>
      <c r="E103589"/>
      <c r="F103589"/>
    </row>
    <row r="103590" spans="1:6" x14ac:dyDescent="0.25">
      <c r="A103590"/>
      <c r="B103590"/>
      <c r="C103590"/>
      <c r="E103590"/>
      <c r="F103590"/>
    </row>
    <row r="103591" spans="1:6" x14ac:dyDescent="0.25">
      <c r="A103591"/>
      <c r="B103591"/>
      <c r="C103591"/>
      <c r="E103591"/>
      <c r="F103591"/>
    </row>
    <row r="103592" spans="1:6" x14ac:dyDescent="0.25">
      <c r="A103592"/>
      <c r="B103592"/>
      <c r="C103592"/>
      <c r="E103592"/>
      <c r="F103592"/>
    </row>
    <row r="103593" spans="1:6" x14ac:dyDescent="0.25">
      <c r="A103593"/>
      <c r="B103593"/>
      <c r="C103593"/>
      <c r="E103593"/>
      <c r="F103593"/>
    </row>
    <row r="103594" spans="1:6" x14ac:dyDescent="0.25">
      <c r="A103594"/>
      <c r="B103594"/>
      <c r="C103594"/>
      <c r="E103594"/>
      <c r="F103594"/>
    </row>
    <row r="103595" spans="1:6" x14ac:dyDescent="0.25">
      <c r="A103595"/>
      <c r="B103595"/>
      <c r="C103595"/>
      <c r="E103595"/>
      <c r="F103595"/>
    </row>
    <row r="103596" spans="1:6" x14ac:dyDescent="0.25">
      <c r="A103596"/>
      <c r="B103596"/>
      <c r="C103596"/>
      <c r="E103596"/>
      <c r="F103596"/>
    </row>
    <row r="103597" spans="1:6" x14ac:dyDescent="0.25">
      <c r="A103597"/>
      <c r="B103597"/>
      <c r="C103597"/>
      <c r="E103597"/>
      <c r="F103597"/>
    </row>
    <row r="103598" spans="1:6" x14ac:dyDescent="0.25">
      <c r="A103598"/>
      <c r="B103598"/>
      <c r="C103598"/>
      <c r="E103598"/>
      <c r="F103598"/>
    </row>
    <row r="103599" spans="1:6" x14ac:dyDescent="0.25">
      <c r="A103599"/>
      <c r="B103599"/>
      <c r="C103599"/>
      <c r="E103599"/>
      <c r="F103599"/>
    </row>
    <row r="103600" spans="1:6" x14ac:dyDescent="0.25">
      <c r="A103600"/>
      <c r="B103600"/>
      <c r="C103600"/>
      <c r="E103600"/>
      <c r="F103600"/>
    </row>
    <row r="103601" spans="1:6" x14ac:dyDescent="0.25">
      <c r="A103601"/>
      <c r="B103601"/>
      <c r="C103601"/>
      <c r="E103601"/>
      <c r="F103601"/>
    </row>
    <row r="103602" spans="1:6" x14ac:dyDescent="0.25">
      <c r="A103602"/>
      <c r="B103602"/>
      <c r="C103602"/>
      <c r="E103602"/>
      <c r="F103602"/>
    </row>
    <row r="103603" spans="1:6" x14ac:dyDescent="0.25">
      <c r="A103603"/>
      <c r="B103603"/>
      <c r="C103603"/>
      <c r="E103603"/>
      <c r="F103603"/>
    </row>
    <row r="103604" spans="1:6" x14ac:dyDescent="0.25">
      <c r="A103604"/>
      <c r="B103604"/>
      <c r="C103604"/>
      <c r="E103604"/>
      <c r="F103604"/>
    </row>
    <row r="103605" spans="1:6" x14ac:dyDescent="0.25">
      <c r="A103605"/>
      <c r="B103605"/>
      <c r="C103605"/>
      <c r="E103605"/>
      <c r="F103605"/>
    </row>
    <row r="103606" spans="1:6" x14ac:dyDescent="0.25">
      <c r="A103606"/>
      <c r="B103606"/>
      <c r="C103606"/>
      <c r="E103606"/>
      <c r="F103606"/>
    </row>
    <row r="103607" spans="1:6" x14ac:dyDescent="0.25">
      <c r="A103607"/>
      <c r="B103607"/>
      <c r="C103607"/>
      <c r="E103607"/>
      <c r="F103607"/>
    </row>
    <row r="103608" spans="1:6" x14ac:dyDescent="0.25">
      <c r="A103608"/>
      <c r="B103608"/>
      <c r="C103608"/>
      <c r="E103608"/>
      <c r="F103608"/>
    </row>
    <row r="103609" spans="1:6" x14ac:dyDescent="0.25">
      <c r="A103609"/>
      <c r="B103609"/>
      <c r="C103609"/>
      <c r="E103609"/>
      <c r="F103609"/>
    </row>
    <row r="103610" spans="1:6" x14ac:dyDescent="0.25">
      <c r="A103610"/>
      <c r="B103610"/>
      <c r="C103610"/>
      <c r="E103610"/>
      <c r="F103610"/>
    </row>
    <row r="103611" spans="1:6" x14ac:dyDescent="0.25">
      <c r="A103611"/>
      <c r="B103611"/>
      <c r="C103611"/>
      <c r="E103611"/>
      <c r="F103611"/>
    </row>
    <row r="103612" spans="1:6" x14ac:dyDescent="0.25">
      <c r="A103612"/>
      <c r="B103612"/>
      <c r="C103612"/>
      <c r="E103612"/>
      <c r="F103612"/>
    </row>
    <row r="103613" spans="1:6" x14ac:dyDescent="0.25">
      <c r="A103613"/>
      <c r="B103613"/>
      <c r="C103613"/>
      <c r="E103613"/>
      <c r="F103613"/>
    </row>
    <row r="103614" spans="1:6" x14ac:dyDescent="0.25">
      <c r="A103614"/>
      <c r="B103614"/>
      <c r="C103614"/>
      <c r="E103614"/>
      <c r="F103614"/>
    </row>
    <row r="103615" spans="1:6" x14ac:dyDescent="0.25">
      <c r="A103615"/>
      <c r="B103615"/>
      <c r="C103615"/>
      <c r="E103615"/>
      <c r="F103615"/>
    </row>
    <row r="103616" spans="1:6" x14ac:dyDescent="0.25">
      <c r="A103616"/>
      <c r="B103616"/>
      <c r="C103616"/>
      <c r="E103616"/>
      <c r="F103616"/>
    </row>
    <row r="103617" spans="1:6" x14ac:dyDescent="0.25">
      <c r="A103617"/>
      <c r="B103617"/>
      <c r="C103617"/>
      <c r="E103617"/>
      <c r="F103617"/>
    </row>
    <row r="103618" spans="1:6" x14ac:dyDescent="0.25">
      <c r="A103618"/>
      <c r="B103618"/>
      <c r="C103618"/>
      <c r="E103618"/>
      <c r="F103618"/>
    </row>
    <row r="103619" spans="1:6" x14ac:dyDescent="0.25">
      <c r="A103619"/>
      <c r="B103619"/>
      <c r="C103619"/>
      <c r="E103619"/>
      <c r="F103619"/>
    </row>
    <row r="103620" spans="1:6" x14ac:dyDescent="0.25">
      <c r="A103620"/>
      <c r="B103620"/>
      <c r="C103620"/>
      <c r="E103620"/>
      <c r="F103620"/>
    </row>
    <row r="103621" spans="1:6" x14ac:dyDescent="0.25">
      <c r="A103621"/>
      <c r="B103621"/>
      <c r="C103621"/>
      <c r="E103621"/>
      <c r="F103621"/>
    </row>
    <row r="103622" spans="1:6" x14ac:dyDescent="0.25">
      <c r="A103622"/>
      <c r="B103622"/>
      <c r="C103622"/>
      <c r="E103622"/>
      <c r="F103622"/>
    </row>
    <row r="103623" spans="1:6" x14ac:dyDescent="0.25">
      <c r="A103623"/>
      <c r="B103623"/>
      <c r="C103623"/>
      <c r="E103623"/>
      <c r="F103623"/>
    </row>
    <row r="103624" spans="1:6" x14ac:dyDescent="0.25">
      <c r="A103624"/>
      <c r="B103624"/>
      <c r="C103624"/>
      <c r="E103624"/>
      <c r="F103624"/>
    </row>
    <row r="103625" spans="1:6" x14ac:dyDescent="0.25">
      <c r="A103625"/>
      <c r="B103625"/>
      <c r="C103625"/>
      <c r="E103625"/>
      <c r="F103625"/>
    </row>
    <row r="103626" spans="1:6" x14ac:dyDescent="0.25">
      <c r="A103626"/>
      <c r="B103626"/>
      <c r="C103626"/>
      <c r="E103626"/>
      <c r="F103626"/>
    </row>
    <row r="103627" spans="1:6" x14ac:dyDescent="0.25">
      <c r="A103627"/>
      <c r="B103627"/>
      <c r="C103627"/>
      <c r="E103627"/>
      <c r="F103627"/>
    </row>
    <row r="103628" spans="1:6" x14ac:dyDescent="0.25">
      <c r="A103628"/>
      <c r="B103628"/>
      <c r="C103628"/>
      <c r="E103628"/>
      <c r="F103628"/>
    </row>
    <row r="103629" spans="1:6" x14ac:dyDescent="0.25">
      <c r="A103629"/>
      <c r="B103629"/>
      <c r="C103629"/>
      <c r="E103629"/>
      <c r="F103629"/>
    </row>
    <row r="103630" spans="1:6" x14ac:dyDescent="0.25">
      <c r="A103630"/>
      <c r="B103630"/>
      <c r="C103630"/>
      <c r="E103630"/>
      <c r="F103630"/>
    </row>
    <row r="103631" spans="1:6" x14ac:dyDescent="0.25">
      <c r="A103631"/>
      <c r="B103631"/>
      <c r="C103631"/>
      <c r="E103631"/>
      <c r="F103631"/>
    </row>
    <row r="103632" spans="1:6" x14ac:dyDescent="0.25">
      <c r="A103632"/>
      <c r="B103632"/>
      <c r="C103632"/>
      <c r="E103632"/>
      <c r="F103632"/>
    </row>
    <row r="103633" spans="1:6" x14ac:dyDescent="0.25">
      <c r="A103633"/>
      <c r="B103633"/>
      <c r="C103633"/>
      <c r="E103633"/>
      <c r="F103633"/>
    </row>
    <row r="103634" spans="1:6" x14ac:dyDescent="0.25">
      <c r="A103634"/>
      <c r="B103634"/>
      <c r="C103634"/>
      <c r="E103634"/>
      <c r="F103634"/>
    </row>
    <row r="103635" spans="1:6" x14ac:dyDescent="0.25">
      <c r="A103635"/>
      <c r="B103635"/>
      <c r="C103635"/>
      <c r="E103635"/>
      <c r="F103635"/>
    </row>
    <row r="103636" spans="1:6" x14ac:dyDescent="0.25">
      <c r="A103636"/>
      <c r="B103636"/>
      <c r="C103636"/>
      <c r="E103636"/>
      <c r="F103636"/>
    </row>
    <row r="103637" spans="1:6" x14ac:dyDescent="0.25">
      <c r="A103637"/>
      <c r="B103637"/>
      <c r="C103637"/>
      <c r="E103637"/>
      <c r="F103637"/>
    </row>
    <row r="103638" spans="1:6" x14ac:dyDescent="0.25">
      <c r="A103638"/>
      <c r="B103638"/>
      <c r="C103638"/>
      <c r="E103638"/>
      <c r="F103638"/>
    </row>
    <row r="103639" spans="1:6" x14ac:dyDescent="0.25">
      <c r="A103639"/>
      <c r="B103639"/>
      <c r="C103639"/>
      <c r="E103639"/>
      <c r="F103639"/>
    </row>
    <row r="103640" spans="1:6" x14ac:dyDescent="0.25">
      <c r="A103640"/>
      <c r="B103640"/>
      <c r="C103640"/>
      <c r="E103640"/>
      <c r="F103640"/>
    </row>
    <row r="103641" spans="1:6" x14ac:dyDescent="0.25">
      <c r="A103641"/>
      <c r="B103641"/>
      <c r="C103641"/>
      <c r="E103641"/>
      <c r="F103641"/>
    </row>
    <row r="103642" spans="1:6" x14ac:dyDescent="0.25">
      <c r="A103642"/>
      <c r="B103642"/>
      <c r="C103642"/>
      <c r="E103642"/>
      <c r="F103642"/>
    </row>
    <row r="103643" spans="1:6" x14ac:dyDescent="0.25">
      <c r="A103643"/>
      <c r="B103643"/>
      <c r="C103643"/>
      <c r="E103643"/>
      <c r="F103643"/>
    </row>
    <row r="103644" spans="1:6" x14ac:dyDescent="0.25">
      <c r="A103644"/>
      <c r="B103644"/>
      <c r="C103644"/>
      <c r="E103644"/>
      <c r="F103644"/>
    </row>
    <row r="103645" spans="1:6" x14ac:dyDescent="0.25">
      <c r="A103645"/>
      <c r="B103645"/>
      <c r="C103645"/>
      <c r="E103645"/>
      <c r="F103645"/>
    </row>
    <row r="103646" spans="1:6" x14ac:dyDescent="0.25">
      <c r="A103646"/>
      <c r="B103646"/>
      <c r="C103646"/>
      <c r="E103646"/>
      <c r="F103646"/>
    </row>
    <row r="103647" spans="1:6" x14ac:dyDescent="0.25">
      <c r="A103647"/>
      <c r="B103647"/>
      <c r="C103647"/>
      <c r="E103647"/>
      <c r="F103647"/>
    </row>
    <row r="103648" spans="1:6" x14ac:dyDescent="0.25">
      <c r="A103648"/>
      <c r="B103648"/>
      <c r="C103648"/>
      <c r="E103648"/>
      <c r="F103648"/>
    </row>
    <row r="103649" spans="1:6" x14ac:dyDescent="0.25">
      <c r="A103649"/>
      <c r="B103649"/>
      <c r="C103649"/>
      <c r="E103649"/>
      <c r="F103649"/>
    </row>
    <row r="103650" spans="1:6" x14ac:dyDescent="0.25">
      <c r="A103650"/>
      <c r="B103650"/>
      <c r="C103650"/>
      <c r="E103650"/>
      <c r="F103650"/>
    </row>
    <row r="103651" spans="1:6" x14ac:dyDescent="0.25">
      <c r="A103651"/>
      <c r="B103651"/>
      <c r="C103651"/>
      <c r="E103651"/>
      <c r="F103651"/>
    </row>
    <row r="103652" spans="1:6" x14ac:dyDescent="0.25">
      <c r="A103652"/>
      <c r="B103652"/>
      <c r="C103652"/>
      <c r="E103652"/>
      <c r="F103652"/>
    </row>
    <row r="103653" spans="1:6" x14ac:dyDescent="0.25">
      <c r="A103653"/>
      <c r="B103653"/>
      <c r="C103653"/>
      <c r="E103653"/>
      <c r="F103653"/>
    </row>
    <row r="103654" spans="1:6" x14ac:dyDescent="0.25">
      <c r="A103654"/>
      <c r="B103654"/>
      <c r="C103654"/>
      <c r="E103654"/>
      <c r="F103654"/>
    </row>
    <row r="103655" spans="1:6" x14ac:dyDescent="0.25">
      <c r="A103655"/>
      <c r="B103655"/>
      <c r="C103655"/>
      <c r="E103655"/>
      <c r="F103655"/>
    </row>
    <row r="103656" spans="1:6" x14ac:dyDescent="0.25">
      <c r="A103656"/>
      <c r="B103656"/>
      <c r="C103656"/>
      <c r="E103656"/>
      <c r="F103656"/>
    </row>
    <row r="103657" spans="1:6" x14ac:dyDescent="0.25">
      <c r="A103657"/>
      <c r="B103657"/>
      <c r="C103657"/>
      <c r="E103657"/>
      <c r="F103657"/>
    </row>
    <row r="103658" spans="1:6" x14ac:dyDescent="0.25">
      <c r="A103658"/>
      <c r="B103658"/>
      <c r="C103658"/>
      <c r="E103658"/>
      <c r="F103658"/>
    </row>
    <row r="103659" spans="1:6" x14ac:dyDescent="0.25">
      <c r="A103659"/>
      <c r="B103659"/>
      <c r="C103659"/>
      <c r="E103659"/>
      <c r="F103659"/>
    </row>
    <row r="103660" spans="1:6" x14ac:dyDescent="0.25">
      <c r="A103660"/>
      <c r="B103660"/>
      <c r="C103660"/>
      <c r="E103660"/>
      <c r="F103660"/>
    </row>
    <row r="103661" spans="1:6" x14ac:dyDescent="0.25">
      <c r="A103661"/>
      <c r="B103661"/>
      <c r="C103661"/>
      <c r="E103661"/>
      <c r="F103661"/>
    </row>
    <row r="103662" spans="1:6" x14ac:dyDescent="0.25">
      <c r="A103662"/>
      <c r="B103662"/>
      <c r="C103662"/>
      <c r="E103662"/>
      <c r="F103662"/>
    </row>
    <row r="103663" spans="1:6" x14ac:dyDescent="0.25">
      <c r="A103663"/>
      <c r="B103663"/>
      <c r="C103663"/>
      <c r="E103663"/>
      <c r="F103663"/>
    </row>
    <row r="103664" spans="1:6" x14ac:dyDescent="0.25">
      <c r="A103664"/>
      <c r="B103664"/>
      <c r="C103664"/>
      <c r="E103664"/>
      <c r="F103664"/>
    </row>
    <row r="103665" spans="1:6" x14ac:dyDescent="0.25">
      <c r="A103665"/>
      <c r="B103665"/>
      <c r="C103665"/>
      <c r="E103665"/>
      <c r="F103665"/>
    </row>
    <row r="103666" spans="1:6" x14ac:dyDescent="0.25">
      <c r="A103666"/>
      <c r="B103666"/>
      <c r="C103666"/>
      <c r="E103666"/>
      <c r="F103666"/>
    </row>
    <row r="103667" spans="1:6" x14ac:dyDescent="0.25">
      <c r="A103667"/>
      <c r="B103667"/>
      <c r="C103667"/>
      <c r="E103667"/>
      <c r="F103667"/>
    </row>
    <row r="103668" spans="1:6" x14ac:dyDescent="0.25">
      <c r="A103668"/>
      <c r="B103668"/>
      <c r="C103668"/>
      <c r="E103668"/>
      <c r="F103668"/>
    </row>
    <row r="103669" spans="1:6" x14ac:dyDescent="0.25">
      <c r="A103669"/>
      <c r="B103669"/>
      <c r="C103669"/>
      <c r="E103669"/>
      <c r="F103669"/>
    </row>
    <row r="103670" spans="1:6" x14ac:dyDescent="0.25">
      <c r="A103670"/>
      <c r="B103670"/>
      <c r="C103670"/>
      <c r="E103670"/>
      <c r="F103670"/>
    </row>
    <row r="103671" spans="1:6" x14ac:dyDescent="0.25">
      <c r="A103671"/>
      <c r="B103671"/>
      <c r="C103671"/>
      <c r="E103671"/>
      <c r="F103671"/>
    </row>
    <row r="103672" spans="1:6" x14ac:dyDescent="0.25">
      <c r="A103672"/>
      <c r="B103672"/>
      <c r="C103672"/>
      <c r="E103672"/>
      <c r="F103672"/>
    </row>
    <row r="103673" spans="1:6" x14ac:dyDescent="0.25">
      <c r="A103673"/>
      <c r="B103673"/>
      <c r="C103673"/>
      <c r="E103673"/>
      <c r="F103673"/>
    </row>
    <row r="103674" spans="1:6" x14ac:dyDescent="0.25">
      <c r="A103674"/>
      <c r="B103674"/>
      <c r="C103674"/>
      <c r="E103674"/>
      <c r="F103674"/>
    </row>
    <row r="103675" spans="1:6" x14ac:dyDescent="0.25">
      <c r="A103675"/>
      <c r="B103675"/>
      <c r="C103675"/>
      <c r="E103675"/>
      <c r="F103675"/>
    </row>
    <row r="103676" spans="1:6" x14ac:dyDescent="0.25">
      <c r="A103676"/>
      <c r="B103676"/>
      <c r="C103676"/>
      <c r="E103676"/>
      <c r="F103676"/>
    </row>
    <row r="103677" spans="1:6" x14ac:dyDescent="0.25">
      <c r="A103677"/>
      <c r="B103677"/>
      <c r="C103677"/>
      <c r="E103677"/>
      <c r="F103677"/>
    </row>
    <row r="103678" spans="1:6" x14ac:dyDescent="0.25">
      <c r="A103678"/>
      <c r="B103678"/>
      <c r="C103678"/>
      <c r="E103678"/>
      <c r="F103678"/>
    </row>
    <row r="103679" spans="1:6" x14ac:dyDescent="0.25">
      <c r="A103679"/>
      <c r="B103679"/>
      <c r="C103679"/>
      <c r="E103679"/>
      <c r="F103679"/>
    </row>
    <row r="103680" spans="1:6" x14ac:dyDescent="0.25">
      <c r="A103680"/>
      <c r="B103680"/>
      <c r="C103680"/>
      <c r="E103680"/>
      <c r="F103680"/>
    </row>
    <row r="103681" spans="1:6" x14ac:dyDescent="0.25">
      <c r="A103681"/>
      <c r="B103681"/>
      <c r="C103681"/>
      <c r="E103681"/>
      <c r="F103681"/>
    </row>
    <row r="103682" spans="1:6" x14ac:dyDescent="0.25">
      <c r="A103682"/>
      <c r="B103682"/>
      <c r="C103682"/>
      <c r="E103682"/>
      <c r="F103682"/>
    </row>
    <row r="103683" spans="1:6" x14ac:dyDescent="0.25">
      <c r="A103683"/>
      <c r="B103683"/>
      <c r="C103683"/>
      <c r="E103683"/>
      <c r="F103683"/>
    </row>
    <row r="103684" spans="1:6" x14ac:dyDescent="0.25">
      <c r="A103684"/>
      <c r="B103684"/>
      <c r="C103684"/>
      <c r="E103684"/>
      <c r="F103684"/>
    </row>
    <row r="103685" spans="1:6" x14ac:dyDescent="0.25">
      <c r="A103685"/>
      <c r="B103685"/>
      <c r="C103685"/>
      <c r="E103685"/>
      <c r="F103685"/>
    </row>
    <row r="103686" spans="1:6" x14ac:dyDescent="0.25">
      <c r="A103686"/>
      <c r="B103686"/>
      <c r="C103686"/>
      <c r="E103686"/>
      <c r="F103686"/>
    </row>
    <row r="103687" spans="1:6" x14ac:dyDescent="0.25">
      <c r="A103687"/>
      <c r="B103687"/>
      <c r="C103687"/>
      <c r="E103687"/>
      <c r="F103687"/>
    </row>
    <row r="103688" spans="1:6" x14ac:dyDescent="0.25">
      <c r="A103688"/>
      <c r="B103688"/>
      <c r="C103688"/>
      <c r="E103688"/>
      <c r="F103688"/>
    </row>
    <row r="103689" spans="1:6" x14ac:dyDescent="0.25">
      <c r="A103689"/>
      <c r="B103689"/>
      <c r="C103689"/>
      <c r="E103689"/>
      <c r="F103689"/>
    </row>
    <row r="103690" spans="1:6" x14ac:dyDescent="0.25">
      <c r="A103690"/>
      <c r="B103690"/>
      <c r="C103690"/>
      <c r="E103690"/>
      <c r="F103690"/>
    </row>
    <row r="103691" spans="1:6" x14ac:dyDescent="0.25">
      <c r="A103691"/>
      <c r="B103691"/>
      <c r="C103691"/>
      <c r="E103691"/>
      <c r="F103691"/>
    </row>
    <row r="103692" spans="1:6" x14ac:dyDescent="0.25">
      <c r="A103692"/>
      <c r="B103692"/>
      <c r="C103692"/>
      <c r="E103692"/>
      <c r="F103692"/>
    </row>
    <row r="103693" spans="1:6" x14ac:dyDescent="0.25">
      <c r="A103693"/>
      <c r="B103693"/>
      <c r="C103693"/>
      <c r="E103693"/>
      <c r="F103693"/>
    </row>
    <row r="103694" spans="1:6" x14ac:dyDescent="0.25">
      <c r="A103694"/>
      <c r="B103694"/>
      <c r="C103694"/>
      <c r="E103694"/>
      <c r="F103694"/>
    </row>
    <row r="103695" spans="1:6" x14ac:dyDescent="0.25">
      <c r="A103695"/>
      <c r="B103695"/>
      <c r="C103695"/>
      <c r="E103695"/>
      <c r="F103695"/>
    </row>
    <row r="103696" spans="1:6" x14ac:dyDescent="0.25">
      <c r="A103696"/>
      <c r="B103696"/>
      <c r="C103696"/>
      <c r="E103696"/>
      <c r="F103696"/>
    </row>
    <row r="103697" spans="1:6" x14ac:dyDescent="0.25">
      <c r="A103697"/>
      <c r="B103697"/>
      <c r="C103697"/>
      <c r="E103697"/>
      <c r="F103697"/>
    </row>
    <row r="103698" spans="1:6" x14ac:dyDescent="0.25">
      <c r="A103698"/>
      <c r="B103698"/>
      <c r="C103698"/>
      <c r="E103698"/>
      <c r="F103698"/>
    </row>
    <row r="103699" spans="1:6" x14ac:dyDescent="0.25">
      <c r="A103699"/>
      <c r="B103699"/>
      <c r="C103699"/>
      <c r="E103699"/>
      <c r="F103699"/>
    </row>
    <row r="103700" spans="1:6" x14ac:dyDescent="0.25">
      <c r="A103700"/>
      <c r="B103700"/>
      <c r="C103700"/>
      <c r="E103700"/>
      <c r="F103700"/>
    </row>
    <row r="103701" spans="1:6" x14ac:dyDescent="0.25">
      <c r="A103701"/>
      <c r="B103701"/>
      <c r="C103701"/>
      <c r="E103701"/>
      <c r="F103701"/>
    </row>
    <row r="103702" spans="1:6" x14ac:dyDescent="0.25">
      <c r="A103702"/>
      <c r="B103702"/>
      <c r="C103702"/>
      <c r="E103702"/>
      <c r="F103702"/>
    </row>
    <row r="103703" spans="1:6" x14ac:dyDescent="0.25">
      <c r="A103703"/>
      <c r="B103703"/>
      <c r="C103703"/>
      <c r="E103703"/>
      <c r="F103703"/>
    </row>
    <row r="103704" spans="1:6" x14ac:dyDescent="0.25">
      <c r="A103704"/>
      <c r="B103704"/>
      <c r="C103704"/>
      <c r="E103704"/>
      <c r="F103704"/>
    </row>
    <row r="103705" spans="1:6" x14ac:dyDescent="0.25">
      <c r="A103705"/>
      <c r="B103705"/>
      <c r="C103705"/>
      <c r="E103705"/>
      <c r="F103705"/>
    </row>
    <row r="103706" spans="1:6" x14ac:dyDescent="0.25">
      <c r="A103706"/>
      <c r="B103706"/>
      <c r="C103706"/>
      <c r="E103706"/>
      <c r="F103706"/>
    </row>
    <row r="103707" spans="1:6" x14ac:dyDescent="0.25">
      <c r="A103707"/>
      <c r="B103707"/>
      <c r="C103707"/>
      <c r="E103707"/>
      <c r="F103707"/>
    </row>
    <row r="103708" spans="1:6" x14ac:dyDescent="0.25">
      <c r="A103708"/>
      <c r="B103708"/>
      <c r="C103708"/>
      <c r="E103708"/>
      <c r="F103708"/>
    </row>
    <row r="103709" spans="1:6" x14ac:dyDescent="0.25">
      <c r="A103709"/>
      <c r="B103709"/>
      <c r="C103709"/>
      <c r="E103709"/>
      <c r="F103709"/>
    </row>
    <row r="103710" spans="1:6" x14ac:dyDescent="0.25">
      <c r="A103710"/>
      <c r="B103710"/>
      <c r="C103710"/>
      <c r="E103710"/>
      <c r="F103710"/>
    </row>
    <row r="103711" spans="1:6" x14ac:dyDescent="0.25">
      <c r="A103711"/>
      <c r="B103711"/>
      <c r="C103711"/>
      <c r="E103711"/>
      <c r="F103711"/>
    </row>
    <row r="103712" spans="1:6" x14ac:dyDescent="0.25">
      <c r="A103712"/>
      <c r="B103712"/>
      <c r="C103712"/>
      <c r="E103712"/>
      <c r="F103712"/>
    </row>
    <row r="103713" spans="1:6" x14ac:dyDescent="0.25">
      <c r="A103713"/>
      <c r="B103713"/>
      <c r="C103713"/>
      <c r="E103713"/>
      <c r="F103713"/>
    </row>
    <row r="103714" spans="1:6" x14ac:dyDescent="0.25">
      <c r="A103714"/>
      <c r="B103714"/>
      <c r="C103714"/>
      <c r="E103714"/>
      <c r="F103714"/>
    </row>
    <row r="103715" spans="1:6" x14ac:dyDescent="0.25">
      <c r="A103715"/>
      <c r="B103715"/>
      <c r="C103715"/>
      <c r="E103715"/>
      <c r="F103715"/>
    </row>
    <row r="103716" spans="1:6" x14ac:dyDescent="0.25">
      <c r="A103716"/>
      <c r="B103716"/>
      <c r="C103716"/>
      <c r="E103716"/>
      <c r="F103716"/>
    </row>
    <row r="103717" spans="1:6" x14ac:dyDescent="0.25">
      <c r="A103717"/>
      <c r="B103717"/>
      <c r="C103717"/>
      <c r="E103717"/>
      <c r="F103717"/>
    </row>
    <row r="103718" spans="1:6" x14ac:dyDescent="0.25">
      <c r="A103718"/>
      <c r="B103718"/>
      <c r="C103718"/>
      <c r="E103718"/>
      <c r="F103718"/>
    </row>
    <row r="103719" spans="1:6" x14ac:dyDescent="0.25">
      <c r="A103719"/>
      <c r="B103719"/>
      <c r="C103719"/>
      <c r="E103719"/>
      <c r="F103719"/>
    </row>
    <row r="103720" spans="1:6" x14ac:dyDescent="0.25">
      <c r="A103720"/>
      <c r="B103720"/>
      <c r="C103720"/>
      <c r="E103720"/>
      <c r="F103720"/>
    </row>
    <row r="103721" spans="1:6" x14ac:dyDescent="0.25">
      <c r="A103721"/>
      <c r="B103721"/>
      <c r="C103721"/>
      <c r="E103721"/>
      <c r="F103721"/>
    </row>
    <row r="103722" spans="1:6" x14ac:dyDescent="0.25">
      <c r="A103722"/>
      <c r="B103722"/>
      <c r="C103722"/>
      <c r="E103722"/>
      <c r="F103722"/>
    </row>
    <row r="103723" spans="1:6" x14ac:dyDescent="0.25">
      <c r="A103723"/>
      <c r="B103723"/>
      <c r="C103723"/>
      <c r="E103723"/>
      <c r="F103723"/>
    </row>
    <row r="103724" spans="1:6" x14ac:dyDescent="0.25">
      <c r="A103724"/>
      <c r="B103724"/>
      <c r="C103724"/>
      <c r="E103724"/>
      <c r="F103724"/>
    </row>
    <row r="103725" spans="1:6" x14ac:dyDescent="0.25">
      <c r="A103725"/>
      <c r="B103725"/>
      <c r="C103725"/>
      <c r="E103725"/>
      <c r="F103725"/>
    </row>
    <row r="103726" spans="1:6" x14ac:dyDescent="0.25">
      <c r="A103726"/>
      <c r="B103726"/>
      <c r="C103726"/>
      <c r="E103726"/>
      <c r="F103726"/>
    </row>
    <row r="103727" spans="1:6" x14ac:dyDescent="0.25">
      <c r="A103727"/>
      <c r="B103727"/>
      <c r="C103727"/>
      <c r="E103727"/>
      <c r="F103727"/>
    </row>
    <row r="103728" spans="1:6" x14ac:dyDescent="0.25">
      <c r="A103728"/>
      <c r="B103728"/>
      <c r="C103728"/>
      <c r="E103728"/>
      <c r="F103728"/>
    </row>
    <row r="103729" spans="1:6" x14ac:dyDescent="0.25">
      <c r="A103729"/>
      <c r="B103729"/>
      <c r="C103729"/>
      <c r="E103729"/>
      <c r="F103729"/>
    </row>
    <row r="103730" spans="1:6" x14ac:dyDescent="0.25">
      <c r="A103730"/>
      <c r="B103730"/>
      <c r="C103730"/>
      <c r="E103730"/>
      <c r="F103730"/>
    </row>
    <row r="103731" spans="1:6" x14ac:dyDescent="0.25">
      <c r="A103731"/>
      <c r="B103731"/>
      <c r="C103731"/>
      <c r="E103731"/>
      <c r="F103731"/>
    </row>
    <row r="103732" spans="1:6" x14ac:dyDescent="0.25">
      <c r="A103732"/>
      <c r="B103732"/>
      <c r="C103732"/>
      <c r="E103732"/>
      <c r="F103732"/>
    </row>
    <row r="103733" spans="1:6" x14ac:dyDescent="0.25">
      <c r="A103733"/>
      <c r="B103733"/>
      <c r="C103733"/>
      <c r="E103733"/>
      <c r="F103733"/>
    </row>
    <row r="103734" spans="1:6" x14ac:dyDescent="0.25">
      <c r="A103734"/>
      <c r="B103734"/>
      <c r="C103734"/>
      <c r="E103734"/>
      <c r="F103734"/>
    </row>
    <row r="103735" spans="1:6" x14ac:dyDescent="0.25">
      <c r="A103735"/>
      <c r="B103735"/>
      <c r="C103735"/>
      <c r="E103735"/>
      <c r="F103735"/>
    </row>
    <row r="103736" spans="1:6" x14ac:dyDescent="0.25">
      <c r="A103736"/>
      <c r="B103736"/>
      <c r="C103736"/>
      <c r="E103736"/>
      <c r="F103736"/>
    </row>
    <row r="103737" spans="1:6" x14ac:dyDescent="0.25">
      <c r="A103737"/>
      <c r="B103737"/>
      <c r="C103737"/>
      <c r="E103737"/>
      <c r="F103737"/>
    </row>
    <row r="103738" spans="1:6" x14ac:dyDescent="0.25">
      <c r="A103738"/>
      <c r="B103738"/>
      <c r="C103738"/>
      <c r="E103738"/>
      <c r="F103738"/>
    </row>
    <row r="103739" spans="1:6" x14ac:dyDescent="0.25">
      <c r="A103739"/>
      <c r="B103739"/>
      <c r="C103739"/>
      <c r="E103739"/>
      <c r="F103739"/>
    </row>
    <row r="103740" spans="1:6" x14ac:dyDescent="0.25">
      <c r="A103740"/>
      <c r="B103740"/>
      <c r="C103740"/>
      <c r="E103740"/>
      <c r="F103740"/>
    </row>
    <row r="103741" spans="1:6" x14ac:dyDescent="0.25">
      <c r="A103741"/>
      <c r="B103741"/>
      <c r="C103741"/>
      <c r="E103741"/>
      <c r="F103741"/>
    </row>
    <row r="103742" spans="1:6" x14ac:dyDescent="0.25">
      <c r="A103742"/>
      <c r="B103742"/>
      <c r="C103742"/>
      <c r="E103742"/>
      <c r="F103742"/>
    </row>
    <row r="103743" spans="1:6" x14ac:dyDescent="0.25">
      <c r="A103743"/>
      <c r="B103743"/>
      <c r="C103743"/>
      <c r="E103743"/>
      <c r="F103743"/>
    </row>
    <row r="103744" spans="1:6" x14ac:dyDescent="0.25">
      <c r="A103744"/>
      <c r="B103744"/>
      <c r="C103744"/>
      <c r="E103744"/>
      <c r="F103744"/>
    </row>
    <row r="103745" spans="1:6" x14ac:dyDescent="0.25">
      <c r="A103745"/>
      <c r="B103745"/>
      <c r="C103745"/>
      <c r="E103745"/>
      <c r="F103745"/>
    </row>
    <row r="103746" spans="1:6" x14ac:dyDescent="0.25">
      <c r="A103746"/>
      <c r="B103746"/>
      <c r="C103746"/>
      <c r="E103746"/>
      <c r="F103746"/>
    </row>
    <row r="103747" spans="1:6" x14ac:dyDescent="0.25">
      <c r="A103747"/>
      <c r="B103747"/>
      <c r="C103747"/>
      <c r="E103747"/>
      <c r="F103747"/>
    </row>
    <row r="103748" spans="1:6" x14ac:dyDescent="0.25">
      <c r="A103748"/>
      <c r="B103748"/>
      <c r="C103748"/>
      <c r="E103748"/>
      <c r="F103748"/>
    </row>
    <row r="103749" spans="1:6" x14ac:dyDescent="0.25">
      <c r="A103749"/>
      <c r="B103749"/>
      <c r="C103749"/>
      <c r="E103749"/>
      <c r="F103749"/>
    </row>
    <row r="103750" spans="1:6" x14ac:dyDescent="0.25">
      <c r="A103750"/>
      <c r="B103750"/>
      <c r="C103750"/>
      <c r="E103750"/>
      <c r="F103750"/>
    </row>
    <row r="103751" spans="1:6" x14ac:dyDescent="0.25">
      <c r="A103751"/>
      <c r="B103751"/>
      <c r="C103751"/>
      <c r="E103751"/>
      <c r="F103751"/>
    </row>
    <row r="103752" spans="1:6" x14ac:dyDescent="0.25">
      <c r="A103752"/>
      <c r="B103752"/>
      <c r="C103752"/>
      <c r="E103752"/>
      <c r="F103752"/>
    </row>
    <row r="103753" spans="1:6" x14ac:dyDescent="0.25">
      <c r="A103753"/>
      <c r="B103753"/>
      <c r="C103753"/>
      <c r="E103753"/>
      <c r="F103753"/>
    </row>
    <row r="103754" spans="1:6" x14ac:dyDescent="0.25">
      <c r="A103754"/>
      <c r="B103754"/>
      <c r="C103754"/>
      <c r="E103754"/>
      <c r="F103754"/>
    </row>
    <row r="103755" spans="1:6" x14ac:dyDescent="0.25">
      <c r="A103755"/>
      <c r="B103755"/>
      <c r="C103755"/>
      <c r="E103755"/>
      <c r="F103755"/>
    </row>
    <row r="103756" spans="1:6" x14ac:dyDescent="0.25">
      <c r="A103756"/>
      <c r="B103756"/>
      <c r="C103756"/>
      <c r="E103756"/>
      <c r="F103756"/>
    </row>
    <row r="103757" spans="1:6" x14ac:dyDescent="0.25">
      <c r="A103757"/>
      <c r="B103757"/>
      <c r="C103757"/>
      <c r="E103757"/>
      <c r="F103757"/>
    </row>
    <row r="103758" spans="1:6" x14ac:dyDescent="0.25">
      <c r="A103758"/>
      <c r="B103758"/>
      <c r="C103758"/>
      <c r="E103758"/>
      <c r="F103758"/>
    </row>
    <row r="103759" spans="1:6" x14ac:dyDescent="0.25">
      <c r="A103759"/>
      <c r="B103759"/>
      <c r="C103759"/>
      <c r="E103759"/>
      <c r="F103759"/>
    </row>
    <row r="103760" spans="1:6" x14ac:dyDescent="0.25">
      <c r="A103760"/>
      <c r="B103760"/>
      <c r="C103760"/>
      <c r="E103760"/>
      <c r="F103760"/>
    </row>
    <row r="103761" spans="1:6" x14ac:dyDescent="0.25">
      <c r="A103761"/>
      <c r="B103761"/>
      <c r="C103761"/>
      <c r="E103761"/>
      <c r="F103761"/>
    </row>
    <row r="103762" spans="1:6" x14ac:dyDescent="0.25">
      <c r="A103762"/>
      <c r="B103762"/>
      <c r="C103762"/>
      <c r="E103762"/>
      <c r="F103762"/>
    </row>
    <row r="103763" spans="1:6" x14ac:dyDescent="0.25">
      <c r="A103763"/>
      <c r="B103763"/>
      <c r="C103763"/>
      <c r="E103763"/>
      <c r="F103763"/>
    </row>
    <row r="103764" spans="1:6" x14ac:dyDescent="0.25">
      <c r="A103764"/>
      <c r="B103764"/>
      <c r="C103764"/>
      <c r="E103764"/>
      <c r="F103764"/>
    </row>
    <row r="103765" spans="1:6" x14ac:dyDescent="0.25">
      <c r="A103765"/>
      <c r="B103765"/>
      <c r="C103765"/>
      <c r="E103765"/>
      <c r="F103765"/>
    </row>
    <row r="103766" spans="1:6" x14ac:dyDescent="0.25">
      <c r="A103766"/>
      <c r="B103766"/>
      <c r="C103766"/>
      <c r="E103766"/>
      <c r="F103766"/>
    </row>
    <row r="103767" spans="1:6" x14ac:dyDescent="0.25">
      <c r="A103767"/>
      <c r="B103767"/>
      <c r="C103767"/>
      <c r="E103767"/>
      <c r="F103767"/>
    </row>
    <row r="103768" spans="1:6" x14ac:dyDescent="0.25">
      <c r="A103768"/>
      <c r="B103768"/>
      <c r="C103768"/>
      <c r="E103768"/>
      <c r="F103768"/>
    </row>
    <row r="103769" spans="1:6" x14ac:dyDescent="0.25">
      <c r="A103769"/>
      <c r="B103769"/>
      <c r="C103769"/>
      <c r="E103769"/>
      <c r="F103769"/>
    </row>
    <row r="103770" spans="1:6" x14ac:dyDescent="0.25">
      <c r="A103770"/>
      <c r="B103770"/>
      <c r="C103770"/>
      <c r="E103770"/>
      <c r="F103770"/>
    </row>
    <row r="103771" spans="1:6" x14ac:dyDescent="0.25">
      <c r="A103771"/>
      <c r="B103771"/>
      <c r="C103771"/>
      <c r="E103771"/>
      <c r="F103771"/>
    </row>
    <row r="103772" spans="1:6" x14ac:dyDescent="0.25">
      <c r="A103772"/>
      <c r="B103772"/>
      <c r="C103772"/>
      <c r="E103772"/>
      <c r="F103772"/>
    </row>
    <row r="103773" spans="1:6" x14ac:dyDescent="0.25">
      <c r="A103773"/>
      <c r="B103773"/>
      <c r="C103773"/>
      <c r="E103773"/>
      <c r="F103773"/>
    </row>
    <row r="103774" spans="1:6" x14ac:dyDescent="0.25">
      <c r="A103774"/>
      <c r="B103774"/>
      <c r="C103774"/>
      <c r="E103774"/>
      <c r="F103774"/>
    </row>
    <row r="103775" spans="1:6" x14ac:dyDescent="0.25">
      <c r="A103775"/>
      <c r="B103775"/>
      <c r="C103775"/>
      <c r="E103775"/>
      <c r="F103775"/>
    </row>
    <row r="103776" spans="1:6" x14ac:dyDescent="0.25">
      <c r="A103776"/>
      <c r="B103776"/>
      <c r="C103776"/>
      <c r="E103776"/>
      <c r="F103776"/>
    </row>
    <row r="103777" spans="1:6" x14ac:dyDescent="0.25">
      <c r="A103777"/>
      <c r="B103777"/>
      <c r="C103777"/>
      <c r="E103777"/>
      <c r="F103777"/>
    </row>
    <row r="103778" spans="1:6" x14ac:dyDescent="0.25">
      <c r="A103778"/>
      <c r="B103778"/>
      <c r="C103778"/>
      <c r="E103778"/>
      <c r="F103778"/>
    </row>
    <row r="103779" spans="1:6" x14ac:dyDescent="0.25">
      <c r="A103779"/>
      <c r="B103779"/>
      <c r="C103779"/>
      <c r="E103779"/>
      <c r="F103779"/>
    </row>
    <row r="103780" spans="1:6" x14ac:dyDescent="0.25">
      <c r="A103780"/>
      <c r="B103780"/>
      <c r="C103780"/>
      <c r="E103780"/>
      <c r="F103780"/>
    </row>
    <row r="103781" spans="1:6" x14ac:dyDescent="0.25">
      <c r="A103781"/>
      <c r="B103781"/>
      <c r="C103781"/>
      <c r="E103781"/>
      <c r="F103781"/>
    </row>
    <row r="103782" spans="1:6" x14ac:dyDescent="0.25">
      <c r="A103782"/>
      <c r="B103782"/>
      <c r="C103782"/>
      <c r="E103782"/>
      <c r="F103782"/>
    </row>
    <row r="103783" spans="1:6" x14ac:dyDescent="0.25">
      <c r="A103783"/>
      <c r="B103783"/>
      <c r="C103783"/>
      <c r="E103783"/>
      <c r="F103783"/>
    </row>
    <row r="103784" spans="1:6" x14ac:dyDescent="0.25">
      <c r="A103784"/>
      <c r="B103784"/>
      <c r="C103784"/>
      <c r="E103784"/>
      <c r="F103784"/>
    </row>
    <row r="103785" spans="1:6" x14ac:dyDescent="0.25">
      <c r="A103785"/>
      <c r="B103785"/>
      <c r="C103785"/>
      <c r="E103785"/>
      <c r="F103785"/>
    </row>
    <row r="103786" spans="1:6" x14ac:dyDescent="0.25">
      <c r="A103786"/>
      <c r="B103786"/>
      <c r="C103786"/>
      <c r="E103786"/>
      <c r="F103786"/>
    </row>
    <row r="103787" spans="1:6" x14ac:dyDescent="0.25">
      <c r="A103787"/>
      <c r="B103787"/>
      <c r="C103787"/>
      <c r="E103787"/>
      <c r="F103787"/>
    </row>
    <row r="103788" spans="1:6" x14ac:dyDescent="0.25">
      <c r="A103788"/>
      <c r="B103788"/>
      <c r="C103788"/>
      <c r="E103788"/>
      <c r="F103788"/>
    </row>
    <row r="103789" spans="1:6" x14ac:dyDescent="0.25">
      <c r="A103789"/>
      <c r="B103789"/>
      <c r="C103789"/>
      <c r="E103789"/>
      <c r="F103789"/>
    </row>
    <row r="103790" spans="1:6" x14ac:dyDescent="0.25">
      <c r="A103790"/>
      <c r="B103790"/>
      <c r="C103790"/>
      <c r="E103790"/>
      <c r="F103790"/>
    </row>
    <row r="103791" spans="1:6" x14ac:dyDescent="0.25">
      <c r="A103791"/>
      <c r="B103791"/>
      <c r="C103791"/>
      <c r="E103791"/>
      <c r="F103791"/>
    </row>
    <row r="103792" spans="1:6" x14ac:dyDescent="0.25">
      <c r="A103792"/>
      <c r="B103792"/>
      <c r="C103792"/>
      <c r="E103792"/>
      <c r="F103792"/>
    </row>
    <row r="103793" spans="1:6" x14ac:dyDescent="0.25">
      <c r="A103793"/>
      <c r="B103793"/>
      <c r="C103793"/>
      <c r="E103793"/>
      <c r="F103793"/>
    </row>
    <row r="103794" spans="1:6" x14ac:dyDescent="0.25">
      <c r="A103794"/>
      <c r="B103794"/>
      <c r="C103794"/>
      <c r="E103794"/>
      <c r="F103794"/>
    </row>
    <row r="103795" spans="1:6" x14ac:dyDescent="0.25">
      <c r="A103795"/>
      <c r="B103795"/>
      <c r="C103795"/>
      <c r="E103795"/>
      <c r="F103795"/>
    </row>
    <row r="103796" spans="1:6" x14ac:dyDescent="0.25">
      <c r="A103796"/>
      <c r="B103796"/>
      <c r="C103796"/>
      <c r="E103796"/>
      <c r="F103796"/>
    </row>
    <row r="103797" spans="1:6" x14ac:dyDescent="0.25">
      <c r="A103797"/>
      <c r="B103797"/>
      <c r="C103797"/>
      <c r="E103797"/>
      <c r="F103797"/>
    </row>
    <row r="103798" spans="1:6" x14ac:dyDescent="0.25">
      <c r="A103798"/>
      <c r="B103798"/>
      <c r="C103798"/>
      <c r="E103798"/>
      <c r="F103798"/>
    </row>
    <row r="103799" spans="1:6" x14ac:dyDescent="0.25">
      <c r="A103799"/>
      <c r="B103799"/>
      <c r="C103799"/>
      <c r="E103799"/>
      <c r="F103799"/>
    </row>
    <row r="103800" spans="1:6" x14ac:dyDescent="0.25">
      <c r="A103800"/>
      <c r="B103800"/>
      <c r="C103800"/>
      <c r="E103800"/>
      <c r="F103800"/>
    </row>
    <row r="103801" spans="1:6" x14ac:dyDescent="0.25">
      <c r="A103801"/>
      <c r="B103801"/>
      <c r="C103801"/>
      <c r="E103801"/>
      <c r="F103801"/>
    </row>
    <row r="103802" spans="1:6" x14ac:dyDescent="0.25">
      <c r="A103802"/>
      <c r="B103802"/>
      <c r="C103802"/>
      <c r="E103802"/>
      <c r="F103802"/>
    </row>
    <row r="103803" spans="1:6" x14ac:dyDescent="0.25">
      <c r="A103803"/>
      <c r="B103803"/>
      <c r="C103803"/>
      <c r="E103803"/>
      <c r="F103803"/>
    </row>
    <row r="103804" spans="1:6" x14ac:dyDescent="0.25">
      <c r="A103804"/>
      <c r="B103804"/>
      <c r="C103804"/>
      <c r="E103804"/>
      <c r="F103804"/>
    </row>
    <row r="103805" spans="1:6" x14ac:dyDescent="0.25">
      <c r="A103805"/>
      <c r="B103805"/>
      <c r="C103805"/>
      <c r="E103805"/>
      <c r="F103805"/>
    </row>
    <row r="103806" spans="1:6" x14ac:dyDescent="0.25">
      <c r="A103806"/>
      <c r="B103806"/>
      <c r="C103806"/>
      <c r="E103806"/>
      <c r="F103806"/>
    </row>
    <row r="103807" spans="1:6" x14ac:dyDescent="0.25">
      <c r="A103807"/>
      <c r="B103807"/>
      <c r="C103807"/>
      <c r="E103807"/>
      <c r="F103807"/>
    </row>
    <row r="103808" spans="1:6" x14ac:dyDescent="0.25">
      <c r="A103808"/>
      <c r="B103808"/>
      <c r="C103808"/>
      <c r="E103808"/>
      <c r="F103808"/>
    </row>
    <row r="103809" spans="1:6" x14ac:dyDescent="0.25">
      <c r="A103809"/>
      <c r="B103809"/>
      <c r="C103809"/>
      <c r="E103809"/>
      <c r="F103809"/>
    </row>
    <row r="103810" spans="1:6" x14ac:dyDescent="0.25">
      <c r="A103810"/>
      <c r="B103810"/>
      <c r="C103810"/>
      <c r="E103810"/>
      <c r="F103810"/>
    </row>
    <row r="103811" spans="1:6" x14ac:dyDescent="0.25">
      <c r="A103811"/>
      <c r="B103811"/>
      <c r="C103811"/>
      <c r="E103811"/>
      <c r="F103811"/>
    </row>
    <row r="103812" spans="1:6" x14ac:dyDescent="0.25">
      <c r="A103812"/>
      <c r="B103812"/>
      <c r="C103812"/>
      <c r="E103812"/>
      <c r="F103812"/>
    </row>
    <row r="103813" spans="1:6" x14ac:dyDescent="0.25">
      <c r="A103813"/>
      <c r="B103813"/>
      <c r="C103813"/>
      <c r="E103813"/>
      <c r="F103813"/>
    </row>
    <row r="103814" spans="1:6" x14ac:dyDescent="0.25">
      <c r="A103814"/>
      <c r="B103814"/>
      <c r="C103814"/>
      <c r="E103814"/>
      <c r="F103814"/>
    </row>
    <row r="103815" spans="1:6" x14ac:dyDescent="0.25">
      <c r="A103815"/>
      <c r="B103815"/>
      <c r="C103815"/>
      <c r="E103815"/>
      <c r="F103815"/>
    </row>
    <row r="103816" spans="1:6" x14ac:dyDescent="0.25">
      <c r="A103816"/>
      <c r="B103816"/>
      <c r="C103816"/>
      <c r="E103816"/>
      <c r="F103816"/>
    </row>
    <row r="103817" spans="1:6" x14ac:dyDescent="0.25">
      <c r="A103817"/>
      <c r="B103817"/>
      <c r="C103817"/>
      <c r="E103817"/>
      <c r="F103817"/>
    </row>
    <row r="103818" spans="1:6" x14ac:dyDescent="0.25">
      <c r="A103818"/>
      <c r="B103818"/>
      <c r="C103818"/>
      <c r="E103818"/>
      <c r="F103818"/>
    </row>
    <row r="103819" spans="1:6" x14ac:dyDescent="0.25">
      <c r="A103819"/>
      <c r="B103819"/>
      <c r="C103819"/>
      <c r="E103819"/>
      <c r="F103819"/>
    </row>
    <row r="103820" spans="1:6" x14ac:dyDescent="0.25">
      <c r="A103820"/>
      <c r="B103820"/>
      <c r="C103820"/>
      <c r="E103820"/>
      <c r="F103820"/>
    </row>
    <row r="103821" spans="1:6" x14ac:dyDescent="0.25">
      <c r="A103821"/>
      <c r="B103821"/>
      <c r="C103821"/>
      <c r="E103821"/>
      <c r="F103821"/>
    </row>
    <row r="103822" spans="1:6" x14ac:dyDescent="0.25">
      <c r="A103822"/>
      <c r="B103822"/>
      <c r="C103822"/>
      <c r="E103822"/>
      <c r="F103822"/>
    </row>
    <row r="103823" spans="1:6" x14ac:dyDescent="0.25">
      <c r="A103823"/>
      <c r="B103823"/>
      <c r="C103823"/>
      <c r="E103823"/>
      <c r="F103823"/>
    </row>
    <row r="103824" spans="1:6" x14ac:dyDescent="0.25">
      <c r="A103824"/>
      <c r="B103824"/>
      <c r="C103824"/>
      <c r="E103824"/>
      <c r="F103824"/>
    </row>
    <row r="103825" spans="1:6" x14ac:dyDescent="0.25">
      <c r="A103825"/>
      <c r="B103825"/>
      <c r="C103825"/>
      <c r="E103825"/>
      <c r="F103825"/>
    </row>
    <row r="103826" spans="1:6" x14ac:dyDescent="0.25">
      <c r="A103826"/>
      <c r="B103826"/>
      <c r="C103826"/>
      <c r="E103826"/>
      <c r="F103826"/>
    </row>
    <row r="103827" spans="1:6" x14ac:dyDescent="0.25">
      <c r="A103827"/>
      <c r="B103827"/>
      <c r="C103827"/>
      <c r="E103827"/>
      <c r="F103827"/>
    </row>
    <row r="103828" spans="1:6" x14ac:dyDescent="0.25">
      <c r="A103828"/>
      <c r="B103828"/>
      <c r="C103828"/>
      <c r="E103828"/>
      <c r="F103828"/>
    </row>
    <row r="103829" spans="1:6" x14ac:dyDescent="0.25">
      <c r="A103829"/>
      <c r="B103829"/>
      <c r="C103829"/>
      <c r="E103829"/>
      <c r="F103829"/>
    </row>
    <row r="103830" spans="1:6" x14ac:dyDescent="0.25">
      <c r="A103830"/>
      <c r="B103830"/>
      <c r="C103830"/>
      <c r="E103830"/>
      <c r="F103830"/>
    </row>
    <row r="103831" spans="1:6" x14ac:dyDescent="0.25">
      <c r="A103831"/>
      <c r="B103831"/>
      <c r="C103831"/>
      <c r="E103831"/>
      <c r="F103831"/>
    </row>
    <row r="103832" spans="1:6" x14ac:dyDescent="0.25">
      <c r="A103832"/>
      <c r="B103832"/>
      <c r="C103832"/>
      <c r="E103832"/>
      <c r="F103832"/>
    </row>
    <row r="103833" spans="1:6" x14ac:dyDescent="0.25">
      <c r="A103833"/>
      <c r="B103833"/>
      <c r="C103833"/>
      <c r="E103833"/>
      <c r="F103833"/>
    </row>
    <row r="103834" spans="1:6" x14ac:dyDescent="0.25">
      <c r="A103834"/>
      <c r="B103834"/>
      <c r="C103834"/>
      <c r="E103834"/>
      <c r="F103834"/>
    </row>
    <row r="103835" spans="1:6" x14ac:dyDescent="0.25">
      <c r="A103835"/>
      <c r="B103835"/>
      <c r="C103835"/>
      <c r="E103835"/>
      <c r="F103835"/>
    </row>
    <row r="103836" spans="1:6" x14ac:dyDescent="0.25">
      <c r="A103836"/>
      <c r="B103836"/>
      <c r="C103836"/>
      <c r="E103836"/>
      <c r="F103836"/>
    </row>
    <row r="103837" spans="1:6" x14ac:dyDescent="0.25">
      <c r="A103837"/>
      <c r="B103837"/>
      <c r="C103837"/>
      <c r="E103837"/>
      <c r="F103837"/>
    </row>
    <row r="103838" spans="1:6" x14ac:dyDescent="0.25">
      <c r="A103838"/>
      <c r="B103838"/>
      <c r="C103838"/>
      <c r="E103838"/>
      <c r="F103838"/>
    </row>
    <row r="103839" spans="1:6" x14ac:dyDescent="0.25">
      <c r="A103839"/>
      <c r="B103839"/>
      <c r="C103839"/>
      <c r="E103839"/>
      <c r="F103839"/>
    </row>
    <row r="103840" spans="1:6" x14ac:dyDescent="0.25">
      <c r="A103840"/>
      <c r="B103840"/>
      <c r="C103840"/>
      <c r="E103840"/>
      <c r="F103840"/>
    </row>
    <row r="103841" spans="1:6" x14ac:dyDescent="0.25">
      <c r="A103841"/>
      <c r="B103841"/>
      <c r="C103841"/>
      <c r="E103841"/>
      <c r="F103841"/>
    </row>
    <row r="103842" spans="1:6" x14ac:dyDescent="0.25">
      <c r="A103842"/>
      <c r="B103842"/>
      <c r="C103842"/>
      <c r="E103842"/>
      <c r="F103842"/>
    </row>
    <row r="103843" spans="1:6" x14ac:dyDescent="0.25">
      <c r="A103843"/>
      <c r="B103843"/>
      <c r="C103843"/>
      <c r="E103843"/>
      <c r="F103843"/>
    </row>
    <row r="103844" spans="1:6" x14ac:dyDescent="0.25">
      <c r="A103844"/>
      <c r="B103844"/>
      <c r="C103844"/>
      <c r="E103844"/>
      <c r="F103844"/>
    </row>
    <row r="103845" spans="1:6" x14ac:dyDescent="0.25">
      <c r="A103845"/>
      <c r="B103845"/>
      <c r="C103845"/>
      <c r="E103845"/>
      <c r="F103845"/>
    </row>
    <row r="103846" spans="1:6" x14ac:dyDescent="0.25">
      <c r="A103846"/>
      <c r="B103846"/>
      <c r="C103846"/>
      <c r="E103846"/>
      <c r="F103846"/>
    </row>
    <row r="103847" spans="1:6" x14ac:dyDescent="0.25">
      <c r="A103847"/>
      <c r="B103847"/>
      <c r="C103847"/>
      <c r="E103847"/>
      <c r="F103847"/>
    </row>
    <row r="103848" spans="1:6" x14ac:dyDescent="0.25">
      <c r="A103848"/>
      <c r="B103848"/>
      <c r="C103848"/>
      <c r="E103848"/>
      <c r="F103848"/>
    </row>
    <row r="103849" spans="1:6" x14ac:dyDescent="0.25">
      <c r="A103849"/>
      <c r="B103849"/>
      <c r="C103849"/>
      <c r="E103849"/>
      <c r="F103849"/>
    </row>
    <row r="103850" spans="1:6" x14ac:dyDescent="0.25">
      <c r="A103850"/>
      <c r="B103850"/>
      <c r="C103850"/>
      <c r="E103850"/>
      <c r="F103850"/>
    </row>
    <row r="103851" spans="1:6" x14ac:dyDescent="0.25">
      <c r="A103851"/>
      <c r="B103851"/>
      <c r="C103851"/>
      <c r="E103851"/>
      <c r="F103851"/>
    </row>
    <row r="103852" spans="1:6" x14ac:dyDescent="0.25">
      <c r="A103852"/>
      <c r="B103852"/>
      <c r="C103852"/>
      <c r="E103852"/>
      <c r="F103852"/>
    </row>
    <row r="103853" spans="1:6" x14ac:dyDescent="0.25">
      <c r="A103853"/>
      <c r="B103853"/>
      <c r="C103853"/>
      <c r="E103853"/>
      <c r="F103853"/>
    </row>
    <row r="103854" spans="1:6" x14ac:dyDescent="0.25">
      <c r="A103854"/>
      <c r="B103854"/>
      <c r="C103854"/>
      <c r="E103854"/>
      <c r="F103854"/>
    </row>
    <row r="103855" spans="1:6" x14ac:dyDescent="0.25">
      <c r="A103855"/>
      <c r="B103855"/>
      <c r="C103855"/>
      <c r="E103855"/>
      <c r="F103855"/>
    </row>
    <row r="103856" spans="1:6" x14ac:dyDescent="0.25">
      <c r="A103856"/>
      <c r="B103856"/>
      <c r="C103856"/>
      <c r="E103856"/>
      <c r="F103856"/>
    </row>
    <row r="103857" spans="1:6" x14ac:dyDescent="0.25">
      <c r="A103857"/>
      <c r="B103857"/>
      <c r="C103857"/>
      <c r="E103857"/>
      <c r="F103857"/>
    </row>
    <row r="103858" spans="1:6" x14ac:dyDescent="0.25">
      <c r="A103858"/>
      <c r="B103858"/>
      <c r="C103858"/>
      <c r="E103858"/>
      <c r="F103858"/>
    </row>
    <row r="103859" spans="1:6" x14ac:dyDescent="0.25">
      <c r="A103859"/>
      <c r="B103859"/>
      <c r="C103859"/>
      <c r="E103859"/>
      <c r="F103859"/>
    </row>
    <row r="103860" spans="1:6" x14ac:dyDescent="0.25">
      <c r="A103860"/>
      <c r="B103860"/>
      <c r="C103860"/>
      <c r="E103860"/>
      <c r="F103860"/>
    </row>
    <row r="103861" spans="1:6" x14ac:dyDescent="0.25">
      <c r="A103861"/>
      <c r="B103861"/>
      <c r="C103861"/>
      <c r="E103861"/>
      <c r="F103861"/>
    </row>
    <row r="103862" spans="1:6" x14ac:dyDescent="0.25">
      <c r="A103862"/>
      <c r="B103862"/>
      <c r="C103862"/>
      <c r="E103862"/>
      <c r="F103862"/>
    </row>
    <row r="103863" spans="1:6" x14ac:dyDescent="0.25">
      <c r="A103863"/>
      <c r="B103863"/>
      <c r="C103863"/>
      <c r="E103863"/>
      <c r="F103863"/>
    </row>
    <row r="103864" spans="1:6" x14ac:dyDescent="0.25">
      <c r="A103864"/>
      <c r="B103864"/>
      <c r="C103864"/>
      <c r="E103864"/>
      <c r="F103864"/>
    </row>
    <row r="103865" spans="1:6" x14ac:dyDescent="0.25">
      <c r="A103865"/>
      <c r="B103865"/>
      <c r="C103865"/>
      <c r="E103865"/>
      <c r="F103865"/>
    </row>
    <row r="103866" spans="1:6" x14ac:dyDescent="0.25">
      <c r="A103866"/>
      <c r="B103866"/>
      <c r="C103866"/>
      <c r="E103866"/>
      <c r="F103866"/>
    </row>
    <row r="103867" spans="1:6" x14ac:dyDescent="0.25">
      <c r="A103867"/>
      <c r="B103867"/>
      <c r="C103867"/>
      <c r="E103867"/>
      <c r="F103867"/>
    </row>
    <row r="103868" spans="1:6" x14ac:dyDescent="0.25">
      <c r="A103868"/>
      <c r="B103868"/>
      <c r="C103868"/>
      <c r="E103868"/>
      <c r="F103868"/>
    </row>
    <row r="103869" spans="1:6" x14ac:dyDescent="0.25">
      <c r="A103869"/>
      <c r="B103869"/>
      <c r="C103869"/>
      <c r="E103869"/>
      <c r="F103869"/>
    </row>
    <row r="103870" spans="1:6" x14ac:dyDescent="0.25">
      <c r="A103870"/>
      <c r="B103870"/>
      <c r="C103870"/>
      <c r="E103870"/>
      <c r="F103870"/>
    </row>
    <row r="103871" spans="1:6" x14ac:dyDescent="0.25">
      <c r="A103871"/>
      <c r="B103871"/>
      <c r="C103871"/>
      <c r="E103871"/>
      <c r="F103871"/>
    </row>
    <row r="103872" spans="1:6" x14ac:dyDescent="0.25">
      <c r="A103872"/>
      <c r="B103872"/>
      <c r="C103872"/>
      <c r="E103872"/>
      <c r="F103872"/>
    </row>
    <row r="103873" spans="1:6" x14ac:dyDescent="0.25">
      <c r="A103873"/>
      <c r="B103873"/>
      <c r="C103873"/>
      <c r="E103873"/>
      <c r="F103873"/>
    </row>
    <row r="103874" spans="1:6" x14ac:dyDescent="0.25">
      <c r="A103874"/>
      <c r="B103874"/>
      <c r="C103874"/>
      <c r="E103874"/>
      <c r="F103874"/>
    </row>
    <row r="103875" spans="1:6" x14ac:dyDescent="0.25">
      <c r="A103875"/>
      <c r="B103875"/>
      <c r="C103875"/>
      <c r="E103875"/>
      <c r="F103875"/>
    </row>
    <row r="103876" spans="1:6" x14ac:dyDescent="0.25">
      <c r="A103876"/>
      <c r="B103876"/>
      <c r="C103876"/>
      <c r="E103876"/>
      <c r="F103876"/>
    </row>
    <row r="103877" spans="1:6" x14ac:dyDescent="0.25">
      <c r="A103877"/>
      <c r="B103877"/>
      <c r="C103877"/>
      <c r="E103877"/>
      <c r="F103877"/>
    </row>
    <row r="103878" spans="1:6" x14ac:dyDescent="0.25">
      <c r="A103878"/>
      <c r="B103878"/>
      <c r="C103878"/>
      <c r="E103878"/>
      <c r="F103878"/>
    </row>
    <row r="103879" spans="1:6" x14ac:dyDescent="0.25">
      <c r="A103879"/>
      <c r="B103879"/>
      <c r="C103879"/>
      <c r="E103879"/>
      <c r="F103879"/>
    </row>
    <row r="103880" spans="1:6" x14ac:dyDescent="0.25">
      <c r="A103880"/>
      <c r="B103880"/>
      <c r="C103880"/>
      <c r="E103880"/>
      <c r="F103880"/>
    </row>
    <row r="103881" spans="1:6" x14ac:dyDescent="0.25">
      <c r="A103881"/>
      <c r="B103881"/>
      <c r="C103881"/>
      <c r="E103881"/>
      <c r="F103881"/>
    </row>
    <row r="103882" spans="1:6" x14ac:dyDescent="0.25">
      <c r="A103882"/>
      <c r="B103882"/>
      <c r="C103882"/>
      <c r="E103882"/>
      <c r="F103882"/>
    </row>
    <row r="103883" spans="1:6" x14ac:dyDescent="0.25">
      <c r="A103883"/>
      <c r="B103883"/>
      <c r="C103883"/>
      <c r="E103883"/>
      <c r="F103883"/>
    </row>
    <row r="103884" spans="1:6" x14ac:dyDescent="0.25">
      <c r="A103884"/>
      <c r="B103884"/>
      <c r="C103884"/>
      <c r="E103884"/>
      <c r="F103884"/>
    </row>
    <row r="103885" spans="1:6" x14ac:dyDescent="0.25">
      <c r="A103885"/>
      <c r="B103885"/>
      <c r="C103885"/>
      <c r="E103885"/>
      <c r="F103885"/>
    </row>
    <row r="103886" spans="1:6" x14ac:dyDescent="0.25">
      <c r="A103886"/>
      <c r="B103886"/>
      <c r="C103886"/>
      <c r="E103886"/>
      <c r="F103886"/>
    </row>
    <row r="103887" spans="1:6" x14ac:dyDescent="0.25">
      <c r="A103887"/>
      <c r="B103887"/>
      <c r="C103887"/>
      <c r="E103887"/>
      <c r="F103887"/>
    </row>
    <row r="103888" spans="1:6" x14ac:dyDescent="0.25">
      <c r="A103888"/>
      <c r="B103888"/>
      <c r="C103888"/>
      <c r="E103888"/>
      <c r="F103888"/>
    </row>
    <row r="103889" spans="1:6" x14ac:dyDescent="0.25">
      <c r="A103889"/>
      <c r="B103889"/>
      <c r="C103889"/>
      <c r="E103889"/>
      <c r="F103889"/>
    </row>
    <row r="103890" spans="1:6" x14ac:dyDescent="0.25">
      <c r="A103890"/>
      <c r="B103890"/>
      <c r="C103890"/>
      <c r="E103890"/>
      <c r="F103890"/>
    </row>
    <row r="103891" spans="1:6" x14ac:dyDescent="0.25">
      <c r="A103891"/>
      <c r="B103891"/>
      <c r="C103891"/>
      <c r="E103891"/>
      <c r="F103891"/>
    </row>
    <row r="103892" spans="1:6" x14ac:dyDescent="0.25">
      <c r="A103892"/>
      <c r="B103892"/>
      <c r="C103892"/>
      <c r="E103892"/>
      <c r="F103892"/>
    </row>
    <row r="103893" spans="1:6" x14ac:dyDescent="0.25">
      <c r="A103893"/>
      <c r="B103893"/>
      <c r="C103893"/>
      <c r="E103893"/>
      <c r="F103893"/>
    </row>
    <row r="103894" spans="1:6" x14ac:dyDescent="0.25">
      <c r="A103894"/>
      <c r="B103894"/>
      <c r="C103894"/>
      <c r="E103894"/>
      <c r="F103894"/>
    </row>
    <row r="103895" spans="1:6" x14ac:dyDescent="0.25">
      <c r="A103895"/>
      <c r="B103895"/>
      <c r="C103895"/>
      <c r="E103895"/>
      <c r="F103895"/>
    </row>
    <row r="103896" spans="1:6" x14ac:dyDescent="0.25">
      <c r="A103896"/>
      <c r="B103896"/>
      <c r="C103896"/>
      <c r="E103896"/>
      <c r="F103896"/>
    </row>
    <row r="103897" spans="1:6" x14ac:dyDescent="0.25">
      <c r="A103897"/>
      <c r="B103897"/>
      <c r="C103897"/>
      <c r="E103897"/>
      <c r="F103897"/>
    </row>
    <row r="103898" spans="1:6" x14ac:dyDescent="0.25">
      <c r="A103898"/>
      <c r="B103898"/>
      <c r="C103898"/>
      <c r="E103898"/>
      <c r="F103898"/>
    </row>
    <row r="103899" spans="1:6" x14ac:dyDescent="0.25">
      <c r="A103899"/>
      <c r="B103899"/>
      <c r="C103899"/>
      <c r="E103899"/>
      <c r="F103899"/>
    </row>
    <row r="103900" spans="1:6" x14ac:dyDescent="0.25">
      <c r="A103900"/>
      <c r="B103900"/>
      <c r="C103900"/>
      <c r="E103900"/>
      <c r="F103900"/>
    </row>
    <row r="103901" spans="1:6" x14ac:dyDescent="0.25">
      <c r="A103901"/>
      <c r="B103901"/>
      <c r="C103901"/>
      <c r="E103901"/>
      <c r="F103901"/>
    </row>
    <row r="103902" spans="1:6" x14ac:dyDescent="0.25">
      <c r="A103902"/>
      <c r="B103902"/>
      <c r="C103902"/>
      <c r="E103902"/>
      <c r="F103902"/>
    </row>
    <row r="103903" spans="1:6" x14ac:dyDescent="0.25">
      <c r="A103903"/>
      <c r="B103903"/>
      <c r="C103903"/>
      <c r="E103903"/>
      <c r="F103903"/>
    </row>
    <row r="103904" spans="1:6" x14ac:dyDescent="0.25">
      <c r="A103904"/>
      <c r="B103904"/>
      <c r="C103904"/>
      <c r="E103904"/>
      <c r="F103904"/>
    </row>
    <row r="103905" spans="1:6" x14ac:dyDescent="0.25">
      <c r="A103905"/>
      <c r="B103905"/>
      <c r="C103905"/>
      <c r="E103905"/>
      <c r="F103905"/>
    </row>
    <row r="103906" spans="1:6" x14ac:dyDescent="0.25">
      <c r="A103906"/>
      <c r="B103906"/>
      <c r="C103906"/>
      <c r="E103906"/>
      <c r="F103906"/>
    </row>
    <row r="103907" spans="1:6" x14ac:dyDescent="0.25">
      <c r="A103907"/>
      <c r="B103907"/>
      <c r="C103907"/>
      <c r="E103907"/>
      <c r="F103907"/>
    </row>
    <row r="103908" spans="1:6" x14ac:dyDescent="0.25">
      <c r="A103908"/>
      <c r="B103908"/>
      <c r="C103908"/>
      <c r="E103908"/>
      <c r="F103908"/>
    </row>
    <row r="103909" spans="1:6" x14ac:dyDescent="0.25">
      <c r="A103909"/>
      <c r="B103909"/>
      <c r="C103909"/>
      <c r="E103909"/>
      <c r="F103909"/>
    </row>
    <row r="103910" spans="1:6" x14ac:dyDescent="0.25">
      <c r="A103910"/>
      <c r="B103910"/>
      <c r="C103910"/>
      <c r="E103910"/>
      <c r="F103910"/>
    </row>
    <row r="103911" spans="1:6" x14ac:dyDescent="0.25">
      <c r="A103911"/>
      <c r="B103911"/>
      <c r="C103911"/>
      <c r="E103911"/>
      <c r="F103911"/>
    </row>
    <row r="103912" spans="1:6" x14ac:dyDescent="0.25">
      <c r="A103912"/>
      <c r="B103912"/>
      <c r="C103912"/>
      <c r="E103912"/>
      <c r="F103912"/>
    </row>
    <row r="103913" spans="1:6" x14ac:dyDescent="0.25">
      <c r="A103913"/>
      <c r="B103913"/>
      <c r="C103913"/>
      <c r="E103913"/>
      <c r="F103913"/>
    </row>
    <row r="103914" spans="1:6" x14ac:dyDescent="0.25">
      <c r="A103914"/>
      <c r="B103914"/>
      <c r="C103914"/>
      <c r="E103914"/>
      <c r="F103914"/>
    </row>
    <row r="103915" spans="1:6" x14ac:dyDescent="0.25">
      <c r="A103915"/>
      <c r="B103915"/>
      <c r="C103915"/>
      <c r="E103915"/>
      <c r="F103915"/>
    </row>
    <row r="103916" spans="1:6" x14ac:dyDescent="0.25">
      <c r="A103916"/>
      <c r="B103916"/>
      <c r="C103916"/>
      <c r="E103916"/>
      <c r="F103916"/>
    </row>
    <row r="103917" spans="1:6" x14ac:dyDescent="0.25">
      <c r="A103917"/>
      <c r="B103917"/>
      <c r="C103917"/>
      <c r="E103917"/>
      <c r="F103917"/>
    </row>
    <row r="103918" spans="1:6" x14ac:dyDescent="0.25">
      <c r="A103918"/>
      <c r="B103918"/>
      <c r="C103918"/>
      <c r="E103918"/>
      <c r="F103918"/>
    </row>
    <row r="103919" spans="1:6" x14ac:dyDescent="0.25">
      <c r="A103919"/>
      <c r="B103919"/>
      <c r="C103919"/>
      <c r="E103919"/>
      <c r="F103919"/>
    </row>
    <row r="103920" spans="1:6" x14ac:dyDescent="0.25">
      <c r="A103920"/>
      <c r="B103920"/>
      <c r="C103920"/>
      <c r="E103920"/>
      <c r="F103920"/>
    </row>
    <row r="103921" spans="1:6" x14ac:dyDescent="0.25">
      <c r="A103921"/>
      <c r="B103921"/>
      <c r="C103921"/>
      <c r="E103921"/>
      <c r="F103921"/>
    </row>
    <row r="103922" spans="1:6" x14ac:dyDescent="0.25">
      <c r="A103922"/>
      <c r="B103922"/>
      <c r="C103922"/>
      <c r="E103922"/>
      <c r="F103922"/>
    </row>
    <row r="103923" spans="1:6" x14ac:dyDescent="0.25">
      <c r="A103923"/>
      <c r="B103923"/>
      <c r="C103923"/>
      <c r="E103923"/>
      <c r="F103923"/>
    </row>
    <row r="103924" spans="1:6" x14ac:dyDescent="0.25">
      <c r="A103924"/>
      <c r="B103924"/>
      <c r="C103924"/>
      <c r="E103924"/>
      <c r="F103924"/>
    </row>
    <row r="103925" spans="1:6" x14ac:dyDescent="0.25">
      <c r="A103925"/>
      <c r="B103925"/>
      <c r="C103925"/>
      <c r="E103925"/>
      <c r="F103925"/>
    </row>
    <row r="103926" spans="1:6" x14ac:dyDescent="0.25">
      <c r="A103926"/>
      <c r="B103926"/>
      <c r="C103926"/>
      <c r="E103926"/>
      <c r="F103926"/>
    </row>
    <row r="103927" spans="1:6" x14ac:dyDescent="0.25">
      <c r="A103927"/>
      <c r="B103927"/>
      <c r="C103927"/>
      <c r="E103927"/>
      <c r="F103927"/>
    </row>
    <row r="103928" spans="1:6" x14ac:dyDescent="0.25">
      <c r="A103928"/>
      <c r="B103928"/>
      <c r="C103928"/>
      <c r="E103928"/>
      <c r="F103928"/>
    </row>
    <row r="103929" spans="1:6" x14ac:dyDescent="0.25">
      <c r="A103929"/>
      <c r="B103929"/>
      <c r="C103929"/>
      <c r="E103929"/>
      <c r="F103929"/>
    </row>
    <row r="103930" spans="1:6" x14ac:dyDescent="0.25">
      <c r="A103930"/>
      <c r="B103930"/>
      <c r="C103930"/>
      <c r="E103930"/>
      <c r="F103930"/>
    </row>
    <row r="103931" spans="1:6" x14ac:dyDescent="0.25">
      <c r="A103931"/>
      <c r="B103931"/>
      <c r="C103931"/>
      <c r="E103931"/>
      <c r="F103931"/>
    </row>
    <row r="103932" spans="1:6" x14ac:dyDescent="0.25">
      <c r="A103932"/>
      <c r="B103932"/>
      <c r="C103932"/>
      <c r="E103932"/>
      <c r="F103932"/>
    </row>
    <row r="103933" spans="1:6" x14ac:dyDescent="0.25">
      <c r="A103933"/>
      <c r="B103933"/>
      <c r="C103933"/>
      <c r="E103933"/>
      <c r="F103933"/>
    </row>
    <row r="103934" spans="1:6" x14ac:dyDescent="0.25">
      <c r="A103934"/>
      <c r="B103934"/>
      <c r="C103934"/>
      <c r="E103934"/>
      <c r="F103934"/>
    </row>
    <row r="103935" spans="1:6" x14ac:dyDescent="0.25">
      <c r="A103935"/>
      <c r="B103935"/>
      <c r="C103935"/>
      <c r="E103935"/>
      <c r="F103935"/>
    </row>
    <row r="103936" spans="1:6" x14ac:dyDescent="0.25">
      <c r="A103936"/>
      <c r="B103936"/>
      <c r="C103936"/>
      <c r="E103936"/>
      <c r="F103936"/>
    </row>
    <row r="103937" spans="1:6" x14ac:dyDescent="0.25">
      <c r="A103937"/>
      <c r="B103937"/>
      <c r="C103937"/>
      <c r="E103937"/>
      <c r="F103937"/>
    </row>
    <row r="103938" spans="1:6" x14ac:dyDescent="0.25">
      <c r="A103938"/>
      <c r="B103938"/>
      <c r="C103938"/>
      <c r="E103938"/>
      <c r="F103938"/>
    </row>
    <row r="103939" spans="1:6" x14ac:dyDescent="0.25">
      <c r="A103939"/>
      <c r="B103939"/>
      <c r="C103939"/>
      <c r="E103939"/>
      <c r="F103939"/>
    </row>
    <row r="103940" spans="1:6" x14ac:dyDescent="0.25">
      <c r="A103940"/>
      <c r="B103940"/>
      <c r="C103940"/>
      <c r="E103940"/>
      <c r="F103940"/>
    </row>
    <row r="103941" spans="1:6" x14ac:dyDescent="0.25">
      <c r="A103941"/>
      <c r="B103941"/>
      <c r="C103941"/>
      <c r="E103941"/>
      <c r="F103941"/>
    </row>
    <row r="103942" spans="1:6" x14ac:dyDescent="0.25">
      <c r="A103942"/>
      <c r="B103942"/>
      <c r="C103942"/>
      <c r="E103942"/>
      <c r="F103942"/>
    </row>
    <row r="103943" spans="1:6" x14ac:dyDescent="0.25">
      <c r="A103943"/>
      <c r="B103943"/>
      <c r="C103943"/>
      <c r="E103943"/>
      <c r="F103943"/>
    </row>
    <row r="103944" spans="1:6" x14ac:dyDescent="0.25">
      <c r="A103944"/>
      <c r="B103944"/>
      <c r="C103944"/>
      <c r="E103944"/>
      <c r="F103944"/>
    </row>
    <row r="103945" spans="1:6" x14ac:dyDescent="0.25">
      <c r="A103945"/>
      <c r="B103945"/>
      <c r="C103945"/>
      <c r="E103945"/>
      <c r="F103945"/>
    </row>
    <row r="103946" spans="1:6" x14ac:dyDescent="0.25">
      <c r="A103946"/>
      <c r="B103946"/>
      <c r="C103946"/>
      <c r="E103946"/>
      <c r="F103946"/>
    </row>
    <row r="103947" spans="1:6" x14ac:dyDescent="0.25">
      <c r="A103947"/>
      <c r="B103947"/>
      <c r="C103947"/>
      <c r="E103947"/>
      <c r="F103947"/>
    </row>
    <row r="103948" spans="1:6" x14ac:dyDescent="0.25">
      <c r="A103948"/>
      <c r="B103948"/>
      <c r="C103948"/>
      <c r="E103948"/>
      <c r="F103948"/>
    </row>
    <row r="103949" spans="1:6" x14ac:dyDescent="0.25">
      <c r="A103949"/>
      <c r="B103949"/>
      <c r="C103949"/>
      <c r="E103949"/>
      <c r="F103949"/>
    </row>
    <row r="103950" spans="1:6" x14ac:dyDescent="0.25">
      <c r="A103950"/>
      <c r="B103950"/>
      <c r="C103950"/>
      <c r="E103950"/>
      <c r="F103950"/>
    </row>
    <row r="103951" spans="1:6" x14ac:dyDescent="0.25">
      <c r="A103951"/>
      <c r="B103951"/>
      <c r="C103951"/>
      <c r="E103951"/>
      <c r="F103951"/>
    </row>
    <row r="103952" spans="1:6" x14ac:dyDescent="0.25">
      <c r="A103952"/>
      <c r="B103952"/>
      <c r="C103952"/>
      <c r="E103952"/>
      <c r="F103952"/>
    </row>
    <row r="103953" spans="1:6" x14ac:dyDescent="0.25">
      <c r="A103953"/>
      <c r="B103953"/>
      <c r="C103953"/>
      <c r="E103953"/>
      <c r="F103953"/>
    </row>
    <row r="103954" spans="1:6" x14ac:dyDescent="0.25">
      <c r="A103954"/>
      <c r="B103954"/>
      <c r="C103954"/>
      <c r="E103954"/>
      <c r="F103954"/>
    </row>
    <row r="103955" spans="1:6" x14ac:dyDescent="0.25">
      <c r="A103955"/>
      <c r="B103955"/>
      <c r="C103955"/>
      <c r="E103955"/>
      <c r="F103955"/>
    </row>
    <row r="103956" spans="1:6" x14ac:dyDescent="0.25">
      <c r="A103956"/>
      <c r="B103956"/>
      <c r="C103956"/>
      <c r="E103956"/>
      <c r="F103956"/>
    </row>
    <row r="103957" spans="1:6" x14ac:dyDescent="0.25">
      <c r="A103957"/>
      <c r="B103957"/>
      <c r="C103957"/>
      <c r="E103957"/>
      <c r="F103957"/>
    </row>
    <row r="103958" spans="1:6" x14ac:dyDescent="0.25">
      <c r="A103958"/>
      <c r="B103958"/>
      <c r="C103958"/>
      <c r="E103958"/>
      <c r="F103958"/>
    </row>
    <row r="103959" spans="1:6" x14ac:dyDescent="0.25">
      <c r="A103959"/>
      <c r="B103959"/>
      <c r="C103959"/>
      <c r="E103959"/>
      <c r="F103959"/>
    </row>
    <row r="103960" spans="1:6" x14ac:dyDescent="0.25">
      <c r="A103960"/>
      <c r="B103960"/>
      <c r="C103960"/>
      <c r="E103960"/>
      <c r="F103960"/>
    </row>
    <row r="103961" spans="1:6" x14ac:dyDescent="0.25">
      <c r="A103961"/>
      <c r="B103961"/>
      <c r="C103961"/>
      <c r="E103961"/>
      <c r="F103961"/>
    </row>
    <row r="103962" spans="1:6" x14ac:dyDescent="0.25">
      <c r="A103962"/>
      <c r="B103962"/>
      <c r="C103962"/>
      <c r="E103962"/>
      <c r="F103962"/>
    </row>
    <row r="103963" spans="1:6" x14ac:dyDescent="0.25">
      <c r="A103963"/>
      <c r="B103963"/>
      <c r="C103963"/>
      <c r="E103963"/>
      <c r="F103963"/>
    </row>
    <row r="103964" spans="1:6" x14ac:dyDescent="0.25">
      <c r="A103964"/>
      <c r="B103964"/>
      <c r="C103964"/>
      <c r="E103964"/>
      <c r="F103964"/>
    </row>
    <row r="103965" spans="1:6" x14ac:dyDescent="0.25">
      <c r="A103965"/>
      <c r="B103965"/>
      <c r="C103965"/>
      <c r="E103965"/>
      <c r="F103965"/>
    </row>
    <row r="103966" spans="1:6" x14ac:dyDescent="0.25">
      <c r="A103966"/>
      <c r="B103966"/>
      <c r="C103966"/>
      <c r="E103966"/>
      <c r="F103966"/>
    </row>
    <row r="103967" spans="1:6" x14ac:dyDescent="0.25">
      <c r="A103967"/>
      <c r="B103967"/>
      <c r="C103967"/>
      <c r="E103967"/>
      <c r="F103967"/>
    </row>
    <row r="103968" spans="1:6" x14ac:dyDescent="0.25">
      <c r="A103968"/>
      <c r="B103968"/>
      <c r="C103968"/>
      <c r="E103968"/>
      <c r="F103968"/>
    </row>
    <row r="103969" spans="1:6" x14ac:dyDescent="0.25">
      <c r="A103969"/>
      <c r="B103969"/>
      <c r="C103969"/>
      <c r="E103969"/>
      <c r="F103969"/>
    </row>
    <row r="103970" spans="1:6" x14ac:dyDescent="0.25">
      <c r="A103970"/>
      <c r="B103970"/>
      <c r="C103970"/>
      <c r="E103970"/>
      <c r="F103970"/>
    </row>
    <row r="103971" spans="1:6" x14ac:dyDescent="0.25">
      <c r="A103971"/>
      <c r="B103971"/>
      <c r="C103971"/>
      <c r="E103971"/>
      <c r="F103971"/>
    </row>
    <row r="103972" spans="1:6" x14ac:dyDescent="0.25">
      <c r="A103972"/>
      <c r="B103972"/>
      <c r="C103972"/>
      <c r="E103972"/>
      <c r="F103972"/>
    </row>
    <row r="103973" spans="1:6" x14ac:dyDescent="0.25">
      <c r="A103973"/>
      <c r="B103973"/>
      <c r="C103973"/>
      <c r="E103973"/>
      <c r="F103973"/>
    </row>
    <row r="103974" spans="1:6" x14ac:dyDescent="0.25">
      <c r="A103974"/>
      <c r="B103974"/>
      <c r="C103974"/>
      <c r="E103974"/>
      <c r="F103974"/>
    </row>
    <row r="103975" spans="1:6" x14ac:dyDescent="0.25">
      <c r="A103975"/>
      <c r="B103975"/>
      <c r="C103975"/>
      <c r="E103975"/>
      <c r="F103975"/>
    </row>
    <row r="103976" spans="1:6" x14ac:dyDescent="0.25">
      <c r="A103976"/>
      <c r="B103976"/>
      <c r="C103976"/>
      <c r="E103976"/>
      <c r="F103976"/>
    </row>
    <row r="103977" spans="1:6" x14ac:dyDescent="0.25">
      <c r="A103977"/>
      <c r="B103977"/>
      <c r="C103977"/>
      <c r="E103977"/>
      <c r="F103977"/>
    </row>
    <row r="103978" spans="1:6" x14ac:dyDescent="0.25">
      <c r="A103978"/>
      <c r="B103978"/>
      <c r="C103978"/>
      <c r="E103978"/>
      <c r="F103978"/>
    </row>
    <row r="103979" spans="1:6" x14ac:dyDescent="0.25">
      <c r="A103979"/>
      <c r="B103979"/>
      <c r="C103979"/>
      <c r="E103979"/>
      <c r="F103979"/>
    </row>
    <row r="103980" spans="1:6" x14ac:dyDescent="0.25">
      <c r="A103980"/>
      <c r="B103980"/>
      <c r="C103980"/>
      <c r="E103980"/>
      <c r="F103980"/>
    </row>
    <row r="103981" spans="1:6" x14ac:dyDescent="0.25">
      <c r="A103981"/>
      <c r="B103981"/>
      <c r="C103981"/>
      <c r="E103981"/>
      <c r="F103981"/>
    </row>
    <row r="103982" spans="1:6" x14ac:dyDescent="0.25">
      <c r="A103982"/>
      <c r="B103982"/>
      <c r="C103982"/>
      <c r="E103982"/>
      <c r="F103982"/>
    </row>
    <row r="103983" spans="1:6" x14ac:dyDescent="0.25">
      <c r="A103983"/>
      <c r="B103983"/>
      <c r="C103983"/>
      <c r="E103983"/>
      <c r="F103983"/>
    </row>
    <row r="103984" spans="1:6" x14ac:dyDescent="0.25">
      <c r="A103984"/>
      <c r="B103984"/>
      <c r="C103984"/>
      <c r="E103984"/>
      <c r="F103984"/>
    </row>
    <row r="103985" spans="1:6" x14ac:dyDescent="0.25">
      <c r="A103985"/>
      <c r="B103985"/>
      <c r="C103985"/>
      <c r="E103985"/>
      <c r="F103985"/>
    </row>
    <row r="103986" spans="1:6" x14ac:dyDescent="0.25">
      <c r="A103986"/>
      <c r="B103986"/>
      <c r="C103986"/>
      <c r="E103986"/>
      <c r="F103986"/>
    </row>
    <row r="103987" spans="1:6" x14ac:dyDescent="0.25">
      <c r="A103987"/>
      <c r="B103987"/>
      <c r="C103987"/>
      <c r="E103987"/>
      <c r="F103987"/>
    </row>
    <row r="103988" spans="1:6" x14ac:dyDescent="0.25">
      <c r="A103988"/>
      <c r="B103988"/>
      <c r="C103988"/>
      <c r="E103988"/>
      <c r="F103988"/>
    </row>
    <row r="103989" spans="1:6" x14ac:dyDescent="0.25">
      <c r="A103989"/>
      <c r="B103989"/>
      <c r="C103989"/>
      <c r="E103989"/>
      <c r="F103989"/>
    </row>
    <row r="103990" spans="1:6" x14ac:dyDescent="0.25">
      <c r="A103990"/>
      <c r="B103990"/>
      <c r="C103990"/>
      <c r="E103990"/>
      <c r="F103990"/>
    </row>
    <row r="103991" spans="1:6" x14ac:dyDescent="0.25">
      <c r="A103991"/>
      <c r="B103991"/>
      <c r="C103991"/>
      <c r="E103991"/>
      <c r="F103991"/>
    </row>
    <row r="103992" spans="1:6" x14ac:dyDescent="0.25">
      <c r="A103992"/>
      <c r="B103992"/>
      <c r="C103992"/>
      <c r="E103992"/>
      <c r="F103992"/>
    </row>
    <row r="103993" spans="1:6" x14ac:dyDescent="0.25">
      <c r="A103993"/>
      <c r="B103993"/>
      <c r="C103993"/>
      <c r="E103993"/>
      <c r="F103993"/>
    </row>
    <row r="103994" spans="1:6" x14ac:dyDescent="0.25">
      <c r="A103994"/>
      <c r="B103994"/>
      <c r="C103994"/>
      <c r="E103994"/>
      <c r="F103994"/>
    </row>
    <row r="103995" spans="1:6" x14ac:dyDescent="0.25">
      <c r="A103995"/>
      <c r="B103995"/>
      <c r="C103995"/>
      <c r="E103995"/>
      <c r="F103995"/>
    </row>
    <row r="103996" spans="1:6" x14ac:dyDescent="0.25">
      <c r="A103996"/>
      <c r="B103996"/>
      <c r="C103996"/>
      <c r="E103996"/>
      <c r="F103996"/>
    </row>
    <row r="103997" spans="1:6" x14ac:dyDescent="0.25">
      <c r="A103997"/>
      <c r="B103997"/>
      <c r="C103997"/>
      <c r="E103997"/>
      <c r="F103997"/>
    </row>
    <row r="103998" spans="1:6" x14ac:dyDescent="0.25">
      <c r="A103998"/>
      <c r="B103998"/>
      <c r="C103998"/>
      <c r="E103998"/>
      <c r="F103998"/>
    </row>
    <row r="103999" spans="1:6" x14ac:dyDescent="0.25">
      <c r="A103999"/>
      <c r="B103999"/>
      <c r="C103999"/>
      <c r="E103999"/>
      <c r="F103999"/>
    </row>
    <row r="104000" spans="1:6" x14ac:dyDescent="0.25">
      <c r="A104000"/>
      <c r="B104000"/>
      <c r="C104000"/>
      <c r="E104000"/>
      <c r="F104000"/>
    </row>
    <row r="104001" spans="1:6" x14ac:dyDescent="0.25">
      <c r="A104001"/>
      <c r="B104001"/>
      <c r="C104001"/>
      <c r="E104001"/>
      <c r="F104001"/>
    </row>
    <row r="104002" spans="1:6" x14ac:dyDescent="0.25">
      <c r="A104002"/>
      <c r="B104002"/>
      <c r="C104002"/>
      <c r="E104002"/>
      <c r="F104002"/>
    </row>
    <row r="104003" spans="1:6" x14ac:dyDescent="0.25">
      <c r="A104003"/>
      <c r="B104003"/>
      <c r="C104003"/>
      <c r="E104003"/>
      <c r="F104003"/>
    </row>
    <row r="104004" spans="1:6" x14ac:dyDescent="0.25">
      <c r="A104004"/>
      <c r="B104004"/>
      <c r="C104004"/>
      <c r="E104004"/>
      <c r="F104004"/>
    </row>
    <row r="104005" spans="1:6" x14ac:dyDescent="0.25">
      <c r="A104005"/>
      <c r="B104005"/>
      <c r="C104005"/>
      <c r="E104005"/>
      <c r="F104005"/>
    </row>
    <row r="104006" spans="1:6" x14ac:dyDescent="0.25">
      <c r="A104006"/>
      <c r="B104006"/>
      <c r="C104006"/>
      <c r="E104006"/>
      <c r="F104006"/>
    </row>
    <row r="104007" spans="1:6" x14ac:dyDescent="0.25">
      <c r="A104007"/>
      <c r="B104007"/>
      <c r="C104007"/>
      <c r="E104007"/>
      <c r="F104007"/>
    </row>
    <row r="104008" spans="1:6" x14ac:dyDescent="0.25">
      <c r="A104008"/>
      <c r="B104008"/>
      <c r="C104008"/>
      <c r="E104008"/>
      <c r="F104008"/>
    </row>
    <row r="104009" spans="1:6" x14ac:dyDescent="0.25">
      <c r="A104009"/>
      <c r="B104009"/>
      <c r="C104009"/>
      <c r="E104009"/>
      <c r="F104009"/>
    </row>
    <row r="104010" spans="1:6" x14ac:dyDescent="0.25">
      <c r="A104010"/>
      <c r="B104010"/>
      <c r="C104010"/>
      <c r="E104010"/>
      <c r="F104010"/>
    </row>
    <row r="104011" spans="1:6" x14ac:dyDescent="0.25">
      <c r="A104011"/>
      <c r="B104011"/>
      <c r="C104011"/>
      <c r="E104011"/>
      <c r="F104011"/>
    </row>
    <row r="104012" spans="1:6" x14ac:dyDescent="0.25">
      <c r="A104012"/>
      <c r="B104012"/>
      <c r="C104012"/>
      <c r="E104012"/>
      <c r="F104012"/>
    </row>
    <row r="104013" spans="1:6" x14ac:dyDescent="0.25">
      <c r="A104013"/>
      <c r="B104013"/>
      <c r="C104013"/>
      <c r="E104013"/>
      <c r="F104013"/>
    </row>
    <row r="104014" spans="1:6" x14ac:dyDescent="0.25">
      <c r="A104014"/>
      <c r="B104014"/>
      <c r="C104014"/>
      <c r="E104014"/>
      <c r="F104014"/>
    </row>
    <row r="104015" spans="1:6" x14ac:dyDescent="0.25">
      <c r="A104015"/>
      <c r="B104015"/>
      <c r="C104015"/>
      <c r="E104015"/>
      <c r="F104015"/>
    </row>
    <row r="104016" spans="1:6" x14ac:dyDescent="0.25">
      <c r="A104016"/>
      <c r="B104016"/>
      <c r="C104016"/>
      <c r="E104016"/>
      <c r="F104016"/>
    </row>
    <row r="104017" spans="1:6" x14ac:dyDescent="0.25">
      <c r="A104017"/>
      <c r="B104017"/>
      <c r="C104017"/>
      <c r="E104017"/>
      <c r="F104017"/>
    </row>
    <row r="104018" spans="1:6" x14ac:dyDescent="0.25">
      <c r="A104018"/>
      <c r="B104018"/>
      <c r="C104018"/>
      <c r="E104018"/>
      <c r="F104018"/>
    </row>
    <row r="104019" spans="1:6" x14ac:dyDescent="0.25">
      <c r="A104019"/>
      <c r="B104019"/>
      <c r="C104019"/>
      <c r="E104019"/>
      <c r="F104019"/>
    </row>
    <row r="104020" spans="1:6" x14ac:dyDescent="0.25">
      <c r="A104020"/>
      <c r="B104020"/>
      <c r="C104020"/>
      <c r="E104020"/>
      <c r="F104020"/>
    </row>
    <row r="104021" spans="1:6" x14ac:dyDescent="0.25">
      <c r="A104021"/>
      <c r="B104021"/>
      <c r="C104021"/>
      <c r="E104021"/>
      <c r="F104021"/>
    </row>
    <row r="104022" spans="1:6" x14ac:dyDescent="0.25">
      <c r="A104022"/>
      <c r="B104022"/>
      <c r="C104022"/>
      <c r="E104022"/>
      <c r="F104022"/>
    </row>
    <row r="104023" spans="1:6" x14ac:dyDescent="0.25">
      <c r="A104023"/>
      <c r="B104023"/>
      <c r="C104023"/>
      <c r="E104023"/>
      <c r="F104023"/>
    </row>
    <row r="104024" spans="1:6" x14ac:dyDescent="0.25">
      <c r="A104024"/>
      <c r="B104024"/>
      <c r="C104024"/>
      <c r="E104024"/>
      <c r="F104024"/>
    </row>
    <row r="104025" spans="1:6" x14ac:dyDescent="0.25">
      <c r="A104025"/>
      <c r="B104025"/>
      <c r="C104025"/>
      <c r="E104025"/>
      <c r="F104025"/>
    </row>
    <row r="104026" spans="1:6" x14ac:dyDescent="0.25">
      <c r="A104026"/>
      <c r="B104026"/>
      <c r="C104026"/>
      <c r="E104026"/>
      <c r="F104026"/>
    </row>
    <row r="104027" spans="1:6" x14ac:dyDescent="0.25">
      <c r="A104027"/>
      <c r="B104027"/>
      <c r="C104027"/>
      <c r="E104027"/>
      <c r="F104027"/>
    </row>
    <row r="104028" spans="1:6" x14ac:dyDescent="0.25">
      <c r="A104028"/>
      <c r="B104028"/>
      <c r="C104028"/>
      <c r="E104028"/>
      <c r="F104028"/>
    </row>
    <row r="104029" spans="1:6" x14ac:dyDescent="0.25">
      <c r="A104029"/>
      <c r="B104029"/>
      <c r="C104029"/>
      <c r="E104029"/>
      <c r="F104029"/>
    </row>
    <row r="104030" spans="1:6" x14ac:dyDescent="0.25">
      <c r="A104030"/>
      <c r="B104030"/>
      <c r="C104030"/>
      <c r="E104030"/>
      <c r="F104030"/>
    </row>
    <row r="104031" spans="1:6" x14ac:dyDescent="0.25">
      <c r="A104031"/>
      <c r="B104031"/>
      <c r="C104031"/>
      <c r="E104031"/>
      <c r="F104031"/>
    </row>
    <row r="104032" spans="1:6" x14ac:dyDescent="0.25">
      <c r="A104032"/>
      <c r="B104032"/>
      <c r="C104032"/>
      <c r="E104032"/>
      <c r="F104032"/>
    </row>
    <row r="104033" spans="1:6" x14ac:dyDescent="0.25">
      <c r="A104033"/>
      <c r="B104033"/>
      <c r="C104033"/>
      <c r="E104033"/>
      <c r="F104033"/>
    </row>
    <row r="104034" spans="1:6" x14ac:dyDescent="0.25">
      <c r="A104034"/>
      <c r="B104034"/>
      <c r="C104034"/>
      <c r="E104034"/>
      <c r="F104034"/>
    </row>
    <row r="104035" spans="1:6" x14ac:dyDescent="0.25">
      <c r="A104035"/>
      <c r="B104035"/>
      <c r="C104035"/>
      <c r="E104035"/>
      <c r="F104035"/>
    </row>
    <row r="104036" spans="1:6" x14ac:dyDescent="0.25">
      <c r="A104036"/>
      <c r="B104036"/>
      <c r="C104036"/>
      <c r="E104036"/>
      <c r="F104036"/>
    </row>
    <row r="104037" spans="1:6" x14ac:dyDescent="0.25">
      <c r="A104037"/>
      <c r="B104037"/>
      <c r="C104037"/>
      <c r="E104037"/>
      <c r="F104037"/>
    </row>
    <row r="104038" spans="1:6" x14ac:dyDescent="0.25">
      <c r="A104038"/>
      <c r="B104038"/>
      <c r="C104038"/>
      <c r="E104038"/>
      <c r="F104038"/>
    </row>
    <row r="104039" spans="1:6" x14ac:dyDescent="0.25">
      <c r="A104039"/>
      <c r="B104039"/>
      <c r="C104039"/>
      <c r="E104039"/>
      <c r="F104039"/>
    </row>
    <row r="104040" spans="1:6" x14ac:dyDescent="0.25">
      <c r="A104040"/>
      <c r="B104040"/>
      <c r="C104040"/>
      <c r="E104040"/>
      <c r="F104040"/>
    </row>
    <row r="104041" spans="1:6" x14ac:dyDescent="0.25">
      <c r="A104041"/>
      <c r="B104041"/>
      <c r="C104041"/>
      <c r="E104041"/>
      <c r="F104041"/>
    </row>
    <row r="104042" spans="1:6" x14ac:dyDescent="0.25">
      <c r="A104042"/>
      <c r="B104042"/>
      <c r="C104042"/>
      <c r="E104042"/>
      <c r="F104042"/>
    </row>
    <row r="104043" spans="1:6" x14ac:dyDescent="0.25">
      <c r="A104043"/>
      <c r="B104043"/>
      <c r="C104043"/>
      <c r="E104043"/>
      <c r="F104043"/>
    </row>
    <row r="104044" spans="1:6" x14ac:dyDescent="0.25">
      <c r="A104044"/>
      <c r="B104044"/>
      <c r="C104044"/>
      <c r="E104044"/>
      <c r="F104044"/>
    </row>
    <row r="104045" spans="1:6" x14ac:dyDescent="0.25">
      <c r="A104045"/>
      <c r="B104045"/>
      <c r="C104045"/>
      <c r="E104045"/>
      <c r="F104045"/>
    </row>
    <row r="104046" spans="1:6" x14ac:dyDescent="0.25">
      <c r="A104046"/>
      <c r="B104046"/>
      <c r="C104046"/>
      <c r="E104046"/>
      <c r="F104046"/>
    </row>
    <row r="104047" spans="1:6" x14ac:dyDescent="0.25">
      <c r="A104047"/>
      <c r="B104047"/>
      <c r="C104047"/>
      <c r="E104047"/>
      <c r="F104047"/>
    </row>
    <row r="104048" spans="1:6" x14ac:dyDescent="0.25">
      <c r="A104048"/>
      <c r="B104048"/>
      <c r="C104048"/>
      <c r="E104048"/>
      <c r="F104048"/>
    </row>
    <row r="104049" spans="1:6" x14ac:dyDescent="0.25">
      <c r="A104049"/>
      <c r="B104049"/>
      <c r="C104049"/>
      <c r="E104049"/>
      <c r="F104049"/>
    </row>
    <row r="104050" spans="1:6" x14ac:dyDescent="0.25">
      <c r="A104050"/>
      <c r="B104050"/>
      <c r="C104050"/>
      <c r="E104050"/>
      <c r="F104050"/>
    </row>
    <row r="104051" spans="1:6" x14ac:dyDescent="0.25">
      <c r="A104051"/>
      <c r="B104051"/>
      <c r="C104051"/>
      <c r="E104051"/>
      <c r="F104051"/>
    </row>
    <row r="104052" spans="1:6" x14ac:dyDescent="0.25">
      <c r="A104052"/>
      <c r="B104052"/>
      <c r="C104052"/>
      <c r="E104052"/>
      <c r="F104052"/>
    </row>
    <row r="104053" spans="1:6" x14ac:dyDescent="0.25">
      <c r="A104053"/>
      <c r="B104053"/>
      <c r="C104053"/>
      <c r="E104053"/>
      <c r="F104053"/>
    </row>
    <row r="104054" spans="1:6" x14ac:dyDescent="0.25">
      <c r="A104054"/>
      <c r="B104054"/>
      <c r="C104054"/>
      <c r="E104054"/>
      <c r="F104054"/>
    </row>
    <row r="104055" spans="1:6" x14ac:dyDescent="0.25">
      <c r="A104055"/>
      <c r="B104055"/>
      <c r="C104055"/>
      <c r="E104055"/>
      <c r="F104055"/>
    </row>
    <row r="104056" spans="1:6" x14ac:dyDescent="0.25">
      <c r="A104056"/>
      <c r="B104056"/>
      <c r="C104056"/>
      <c r="E104056"/>
      <c r="F104056"/>
    </row>
    <row r="104057" spans="1:6" x14ac:dyDescent="0.25">
      <c r="A104057"/>
      <c r="B104057"/>
      <c r="C104057"/>
      <c r="E104057"/>
      <c r="F104057"/>
    </row>
    <row r="104058" spans="1:6" x14ac:dyDescent="0.25">
      <c r="A104058"/>
      <c r="B104058"/>
      <c r="C104058"/>
      <c r="E104058"/>
      <c r="F104058"/>
    </row>
    <row r="104059" spans="1:6" x14ac:dyDescent="0.25">
      <c r="A104059"/>
      <c r="B104059"/>
      <c r="C104059"/>
      <c r="E104059"/>
      <c r="F104059"/>
    </row>
    <row r="104060" spans="1:6" x14ac:dyDescent="0.25">
      <c r="A104060"/>
      <c r="B104060"/>
      <c r="C104060"/>
      <c r="E104060"/>
      <c r="F104060"/>
    </row>
    <row r="104061" spans="1:6" x14ac:dyDescent="0.25">
      <c r="A104061"/>
      <c r="B104061"/>
      <c r="C104061"/>
      <c r="E104061"/>
      <c r="F104061"/>
    </row>
    <row r="104062" spans="1:6" x14ac:dyDescent="0.25">
      <c r="A104062"/>
      <c r="B104062"/>
      <c r="C104062"/>
      <c r="E104062"/>
      <c r="F104062"/>
    </row>
    <row r="104063" spans="1:6" x14ac:dyDescent="0.25">
      <c r="A104063"/>
      <c r="B104063"/>
      <c r="C104063"/>
      <c r="E104063"/>
      <c r="F104063"/>
    </row>
    <row r="104064" spans="1:6" x14ac:dyDescent="0.25">
      <c r="A104064"/>
      <c r="B104064"/>
      <c r="C104064"/>
      <c r="E104064"/>
      <c r="F104064"/>
    </row>
    <row r="104065" spans="1:6" x14ac:dyDescent="0.25">
      <c r="A104065"/>
      <c r="B104065"/>
      <c r="C104065"/>
      <c r="E104065"/>
      <c r="F104065"/>
    </row>
    <row r="104066" spans="1:6" x14ac:dyDescent="0.25">
      <c r="A104066"/>
      <c r="B104066"/>
      <c r="C104066"/>
      <c r="E104066"/>
      <c r="F104066"/>
    </row>
    <row r="104067" spans="1:6" x14ac:dyDescent="0.25">
      <c r="A104067"/>
      <c r="B104067"/>
      <c r="C104067"/>
      <c r="E104067"/>
      <c r="F104067"/>
    </row>
    <row r="104068" spans="1:6" x14ac:dyDescent="0.25">
      <c r="A104068"/>
      <c r="B104068"/>
      <c r="C104068"/>
      <c r="E104068"/>
      <c r="F104068"/>
    </row>
    <row r="104069" spans="1:6" x14ac:dyDescent="0.25">
      <c r="A104069"/>
      <c r="B104069"/>
      <c r="C104069"/>
      <c r="E104069"/>
      <c r="F104069"/>
    </row>
    <row r="104070" spans="1:6" x14ac:dyDescent="0.25">
      <c r="A104070"/>
      <c r="B104070"/>
      <c r="C104070"/>
      <c r="E104070"/>
      <c r="F104070"/>
    </row>
    <row r="104071" spans="1:6" x14ac:dyDescent="0.25">
      <c r="A104071"/>
      <c r="B104071"/>
      <c r="C104071"/>
      <c r="E104071"/>
      <c r="F104071"/>
    </row>
    <row r="104072" spans="1:6" x14ac:dyDescent="0.25">
      <c r="A104072"/>
      <c r="B104072"/>
      <c r="C104072"/>
      <c r="E104072"/>
      <c r="F104072"/>
    </row>
    <row r="104073" spans="1:6" x14ac:dyDescent="0.25">
      <c r="A104073"/>
      <c r="B104073"/>
      <c r="C104073"/>
      <c r="E104073"/>
      <c r="F104073"/>
    </row>
    <row r="104074" spans="1:6" x14ac:dyDescent="0.25">
      <c r="A104074"/>
      <c r="B104074"/>
      <c r="C104074"/>
      <c r="E104074"/>
      <c r="F104074"/>
    </row>
    <row r="104075" spans="1:6" x14ac:dyDescent="0.25">
      <c r="A104075"/>
      <c r="B104075"/>
      <c r="C104075"/>
      <c r="E104075"/>
      <c r="F104075"/>
    </row>
    <row r="104076" spans="1:6" x14ac:dyDescent="0.25">
      <c r="A104076"/>
      <c r="B104076"/>
      <c r="C104076"/>
      <c r="E104076"/>
      <c r="F104076"/>
    </row>
    <row r="104077" spans="1:6" x14ac:dyDescent="0.25">
      <c r="A104077"/>
      <c r="B104077"/>
      <c r="C104077"/>
      <c r="E104077"/>
      <c r="F104077"/>
    </row>
    <row r="104078" spans="1:6" x14ac:dyDescent="0.25">
      <c r="A104078"/>
      <c r="B104078"/>
      <c r="C104078"/>
      <c r="E104078"/>
      <c r="F104078"/>
    </row>
    <row r="104079" spans="1:6" x14ac:dyDescent="0.25">
      <c r="A104079"/>
      <c r="B104079"/>
      <c r="C104079"/>
      <c r="E104079"/>
      <c r="F104079"/>
    </row>
    <row r="104080" spans="1:6" x14ac:dyDescent="0.25">
      <c r="A104080"/>
      <c r="B104080"/>
      <c r="C104080"/>
      <c r="E104080"/>
      <c r="F104080"/>
    </row>
    <row r="104081" spans="1:6" x14ac:dyDescent="0.25">
      <c r="A104081"/>
      <c r="B104081"/>
      <c r="C104081"/>
      <c r="E104081"/>
      <c r="F104081"/>
    </row>
    <row r="104082" spans="1:6" x14ac:dyDescent="0.25">
      <c r="A104082"/>
      <c r="B104082"/>
      <c r="C104082"/>
      <c r="E104082"/>
      <c r="F104082"/>
    </row>
    <row r="104083" spans="1:6" x14ac:dyDescent="0.25">
      <c r="A104083"/>
      <c r="B104083"/>
      <c r="C104083"/>
      <c r="E104083"/>
      <c r="F104083"/>
    </row>
    <row r="104084" spans="1:6" x14ac:dyDescent="0.25">
      <c r="A104084"/>
      <c r="B104084"/>
      <c r="C104084"/>
      <c r="E104084"/>
      <c r="F104084"/>
    </row>
    <row r="104085" spans="1:6" x14ac:dyDescent="0.25">
      <c r="A104085"/>
      <c r="B104085"/>
      <c r="C104085"/>
      <c r="E104085"/>
      <c r="F104085"/>
    </row>
    <row r="104086" spans="1:6" x14ac:dyDescent="0.25">
      <c r="A104086"/>
      <c r="B104086"/>
      <c r="C104086"/>
      <c r="E104086"/>
      <c r="F104086"/>
    </row>
    <row r="104087" spans="1:6" x14ac:dyDescent="0.25">
      <c r="A104087"/>
      <c r="B104087"/>
      <c r="C104087"/>
      <c r="E104087"/>
      <c r="F104087"/>
    </row>
    <row r="104088" spans="1:6" x14ac:dyDescent="0.25">
      <c r="A104088"/>
      <c r="B104088"/>
      <c r="C104088"/>
      <c r="E104088"/>
      <c r="F104088"/>
    </row>
    <row r="104089" spans="1:6" x14ac:dyDescent="0.25">
      <c r="A104089"/>
      <c r="B104089"/>
      <c r="C104089"/>
      <c r="E104089"/>
      <c r="F104089"/>
    </row>
    <row r="104090" spans="1:6" x14ac:dyDescent="0.25">
      <c r="A104090"/>
      <c r="B104090"/>
      <c r="C104090"/>
      <c r="E104090"/>
      <c r="F104090"/>
    </row>
    <row r="104091" spans="1:6" x14ac:dyDescent="0.25">
      <c r="A104091"/>
      <c r="B104091"/>
      <c r="C104091"/>
      <c r="E104091"/>
      <c r="F104091"/>
    </row>
    <row r="104092" spans="1:6" x14ac:dyDescent="0.25">
      <c r="A104092"/>
      <c r="B104092"/>
      <c r="C104092"/>
      <c r="E104092"/>
      <c r="F104092"/>
    </row>
    <row r="104093" spans="1:6" x14ac:dyDescent="0.25">
      <c r="A104093"/>
      <c r="B104093"/>
      <c r="C104093"/>
      <c r="E104093"/>
      <c r="F104093"/>
    </row>
    <row r="104094" spans="1:6" x14ac:dyDescent="0.25">
      <c r="A104094"/>
      <c r="B104094"/>
      <c r="C104094"/>
      <c r="E104094"/>
      <c r="F104094"/>
    </row>
    <row r="104095" spans="1:6" x14ac:dyDescent="0.25">
      <c r="A104095"/>
      <c r="B104095"/>
      <c r="C104095"/>
      <c r="E104095"/>
      <c r="F104095"/>
    </row>
    <row r="104096" spans="1:6" x14ac:dyDescent="0.25">
      <c r="A104096"/>
      <c r="B104096"/>
      <c r="C104096"/>
      <c r="E104096"/>
      <c r="F104096"/>
    </row>
    <row r="104097" spans="1:6" x14ac:dyDescent="0.25">
      <c r="A104097"/>
      <c r="B104097"/>
      <c r="C104097"/>
      <c r="E104097"/>
      <c r="F104097"/>
    </row>
    <row r="104098" spans="1:6" x14ac:dyDescent="0.25">
      <c r="A104098"/>
      <c r="B104098"/>
      <c r="C104098"/>
      <c r="E104098"/>
      <c r="F104098"/>
    </row>
    <row r="104099" spans="1:6" x14ac:dyDescent="0.25">
      <c r="A104099"/>
      <c r="B104099"/>
      <c r="C104099"/>
      <c r="E104099"/>
      <c r="F104099"/>
    </row>
    <row r="104100" spans="1:6" x14ac:dyDescent="0.25">
      <c r="A104100"/>
      <c r="B104100"/>
      <c r="C104100"/>
      <c r="E104100"/>
      <c r="F104100"/>
    </row>
    <row r="104101" spans="1:6" x14ac:dyDescent="0.25">
      <c r="A104101"/>
      <c r="B104101"/>
      <c r="C104101"/>
      <c r="E104101"/>
      <c r="F104101"/>
    </row>
    <row r="104102" spans="1:6" x14ac:dyDescent="0.25">
      <c r="A104102"/>
      <c r="B104102"/>
      <c r="C104102"/>
      <c r="E104102"/>
      <c r="F104102"/>
    </row>
    <row r="104103" spans="1:6" x14ac:dyDescent="0.25">
      <c r="A104103"/>
      <c r="B104103"/>
      <c r="C104103"/>
      <c r="E104103"/>
      <c r="F104103"/>
    </row>
    <row r="104104" spans="1:6" x14ac:dyDescent="0.25">
      <c r="A104104"/>
      <c r="B104104"/>
      <c r="C104104"/>
      <c r="E104104"/>
      <c r="F104104"/>
    </row>
    <row r="104105" spans="1:6" x14ac:dyDescent="0.25">
      <c r="A104105"/>
      <c r="B104105"/>
      <c r="C104105"/>
      <c r="E104105"/>
      <c r="F104105"/>
    </row>
    <row r="104106" spans="1:6" x14ac:dyDescent="0.25">
      <c r="A104106"/>
      <c r="B104106"/>
      <c r="C104106"/>
      <c r="E104106"/>
      <c r="F104106"/>
    </row>
    <row r="104107" spans="1:6" x14ac:dyDescent="0.25">
      <c r="A104107"/>
      <c r="B104107"/>
      <c r="C104107"/>
      <c r="E104107"/>
      <c r="F104107"/>
    </row>
    <row r="104108" spans="1:6" x14ac:dyDescent="0.25">
      <c r="A104108"/>
      <c r="B104108"/>
      <c r="C104108"/>
      <c r="E104108"/>
      <c r="F104108"/>
    </row>
    <row r="104109" spans="1:6" x14ac:dyDescent="0.25">
      <c r="A104109"/>
      <c r="B104109"/>
      <c r="C104109"/>
      <c r="E104109"/>
      <c r="F104109"/>
    </row>
    <row r="104110" spans="1:6" x14ac:dyDescent="0.25">
      <c r="A104110"/>
      <c r="B104110"/>
      <c r="C104110"/>
      <c r="E104110"/>
      <c r="F104110"/>
    </row>
    <row r="104111" spans="1:6" x14ac:dyDescent="0.25">
      <c r="A104111"/>
      <c r="B104111"/>
      <c r="C104111"/>
      <c r="E104111"/>
      <c r="F104111"/>
    </row>
    <row r="104112" spans="1:6" x14ac:dyDescent="0.25">
      <c r="A104112"/>
      <c r="B104112"/>
      <c r="C104112"/>
      <c r="E104112"/>
      <c r="F104112"/>
    </row>
    <row r="104113" spans="1:6" x14ac:dyDescent="0.25">
      <c r="A104113"/>
      <c r="B104113"/>
      <c r="C104113"/>
      <c r="E104113"/>
      <c r="F104113"/>
    </row>
    <row r="104114" spans="1:6" x14ac:dyDescent="0.25">
      <c r="A104114"/>
      <c r="B104114"/>
      <c r="C104114"/>
      <c r="E104114"/>
      <c r="F104114"/>
    </row>
    <row r="104115" spans="1:6" x14ac:dyDescent="0.25">
      <c r="A104115"/>
      <c r="B104115"/>
      <c r="C104115"/>
      <c r="E104115"/>
      <c r="F104115"/>
    </row>
    <row r="104116" spans="1:6" x14ac:dyDescent="0.25">
      <c r="A104116"/>
      <c r="B104116"/>
      <c r="C104116"/>
      <c r="E104116"/>
      <c r="F104116"/>
    </row>
    <row r="104117" spans="1:6" x14ac:dyDescent="0.25">
      <c r="A104117"/>
      <c r="B104117"/>
      <c r="C104117"/>
      <c r="E104117"/>
      <c r="F104117"/>
    </row>
    <row r="104118" spans="1:6" x14ac:dyDescent="0.25">
      <c r="A104118"/>
      <c r="B104118"/>
      <c r="C104118"/>
      <c r="E104118"/>
      <c r="F104118"/>
    </row>
    <row r="104119" spans="1:6" x14ac:dyDescent="0.25">
      <c r="A104119"/>
      <c r="B104119"/>
      <c r="C104119"/>
      <c r="E104119"/>
      <c r="F104119"/>
    </row>
    <row r="104120" spans="1:6" x14ac:dyDescent="0.25">
      <c r="A104120"/>
      <c r="B104120"/>
      <c r="C104120"/>
      <c r="E104120"/>
      <c r="F104120"/>
    </row>
    <row r="104121" spans="1:6" x14ac:dyDescent="0.25">
      <c r="A104121"/>
      <c r="B104121"/>
      <c r="C104121"/>
      <c r="E104121"/>
      <c r="F104121"/>
    </row>
    <row r="104122" spans="1:6" x14ac:dyDescent="0.25">
      <c r="A104122"/>
      <c r="B104122"/>
      <c r="C104122"/>
      <c r="E104122"/>
      <c r="F104122"/>
    </row>
    <row r="104123" spans="1:6" x14ac:dyDescent="0.25">
      <c r="A104123"/>
      <c r="B104123"/>
      <c r="C104123"/>
      <c r="E104123"/>
      <c r="F104123"/>
    </row>
    <row r="104124" spans="1:6" x14ac:dyDescent="0.25">
      <c r="A104124"/>
      <c r="B104124"/>
      <c r="C104124"/>
      <c r="E104124"/>
      <c r="F104124"/>
    </row>
    <row r="104125" spans="1:6" x14ac:dyDescent="0.25">
      <c r="A104125"/>
      <c r="B104125"/>
      <c r="C104125"/>
      <c r="E104125"/>
      <c r="F104125"/>
    </row>
    <row r="104126" spans="1:6" x14ac:dyDescent="0.25">
      <c r="A104126"/>
      <c r="B104126"/>
      <c r="C104126"/>
      <c r="E104126"/>
      <c r="F104126"/>
    </row>
    <row r="104127" spans="1:6" x14ac:dyDescent="0.25">
      <c r="A104127"/>
      <c r="B104127"/>
      <c r="C104127"/>
      <c r="E104127"/>
      <c r="F104127"/>
    </row>
    <row r="104128" spans="1:6" x14ac:dyDescent="0.25">
      <c r="A104128"/>
      <c r="B104128"/>
      <c r="C104128"/>
      <c r="E104128"/>
      <c r="F104128"/>
    </row>
    <row r="104129" spans="1:6" x14ac:dyDescent="0.25">
      <c r="A104129"/>
      <c r="B104129"/>
      <c r="C104129"/>
      <c r="E104129"/>
      <c r="F104129"/>
    </row>
    <row r="104130" spans="1:6" x14ac:dyDescent="0.25">
      <c r="A104130"/>
      <c r="B104130"/>
      <c r="C104130"/>
      <c r="E104130"/>
      <c r="F104130"/>
    </row>
    <row r="104131" spans="1:6" x14ac:dyDescent="0.25">
      <c r="A104131"/>
      <c r="B104131"/>
      <c r="C104131"/>
      <c r="E104131"/>
      <c r="F104131"/>
    </row>
    <row r="104132" spans="1:6" x14ac:dyDescent="0.25">
      <c r="A104132"/>
      <c r="B104132"/>
      <c r="C104132"/>
      <c r="E104132"/>
      <c r="F104132"/>
    </row>
    <row r="104133" spans="1:6" x14ac:dyDescent="0.25">
      <c r="A104133"/>
      <c r="B104133"/>
      <c r="C104133"/>
      <c r="E104133"/>
      <c r="F104133"/>
    </row>
    <row r="104134" spans="1:6" x14ac:dyDescent="0.25">
      <c r="A104134"/>
      <c r="B104134"/>
      <c r="C104134"/>
      <c r="E104134"/>
      <c r="F104134"/>
    </row>
    <row r="104135" spans="1:6" x14ac:dyDescent="0.25">
      <c r="A104135"/>
      <c r="B104135"/>
      <c r="C104135"/>
      <c r="E104135"/>
      <c r="F104135"/>
    </row>
    <row r="104136" spans="1:6" x14ac:dyDescent="0.25">
      <c r="A104136"/>
      <c r="B104136"/>
      <c r="C104136"/>
      <c r="E104136"/>
      <c r="F104136"/>
    </row>
    <row r="104137" spans="1:6" x14ac:dyDescent="0.25">
      <c r="A104137"/>
      <c r="B104137"/>
      <c r="C104137"/>
      <c r="E104137"/>
      <c r="F104137"/>
    </row>
    <row r="104138" spans="1:6" x14ac:dyDescent="0.25">
      <c r="A104138"/>
      <c r="B104138"/>
      <c r="C104138"/>
      <c r="E104138"/>
      <c r="F104138"/>
    </row>
    <row r="104139" spans="1:6" x14ac:dyDescent="0.25">
      <c r="A104139"/>
      <c r="B104139"/>
      <c r="C104139"/>
      <c r="E104139"/>
      <c r="F104139"/>
    </row>
    <row r="104140" spans="1:6" x14ac:dyDescent="0.25">
      <c r="A104140"/>
      <c r="B104140"/>
      <c r="C104140"/>
      <c r="E104140"/>
      <c r="F104140"/>
    </row>
    <row r="104141" spans="1:6" x14ac:dyDescent="0.25">
      <c r="A104141"/>
      <c r="B104141"/>
      <c r="C104141"/>
      <c r="E104141"/>
      <c r="F104141"/>
    </row>
    <row r="104142" spans="1:6" x14ac:dyDescent="0.25">
      <c r="A104142"/>
      <c r="B104142"/>
      <c r="C104142"/>
      <c r="E104142"/>
      <c r="F104142"/>
    </row>
    <row r="104143" spans="1:6" x14ac:dyDescent="0.25">
      <c r="A104143"/>
      <c r="B104143"/>
      <c r="C104143"/>
      <c r="E104143"/>
      <c r="F104143"/>
    </row>
    <row r="104144" spans="1:6" x14ac:dyDescent="0.25">
      <c r="A104144"/>
      <c r="B104144"/>
      <c r="C104144"/>
      <c r="E104144"/>
      <c r="F104144"/>
    </row>
    <row r="104145" spans="1:6" x14ac:dyDescent="0.25">
      <c r="A104145"/>
      <c r="B104145"/>
      <c r="C104145"/>
      <c r="E104145"/>
      <c r="F104145"/>
    </row>
    <row r="104146" spans="1:6" x14ac:dyDescent="0.25">
      <c r="A104146"/>
      <c r="B104146"/>
      <c r="C104146"/>
      <c r="E104146"/>
      <c r="F104146"/>
    </row>
    <row r="104147" spans="1:6" x14ac:dyDescent="0.25">
      <c r="A104147"/>
      <c r="B104147"/>
      <c r="C104147"/>
      <c r="E104147"/>
      <c r="F104147"/>
    </row>
    <row r="104148" spans="1:6" x14ac:dyDescent="0.25">
      <c r="A104148"/>
      <c r="B104148"/>
      <c r="C104148"/>
      <c r="E104148"/>
      <c r="F104148"/>
    </row>
    <row r="104149" spans="1:6" x14ac:dyDescent="0.25">
      <c r="A104149"/>
      <c r="B104149"/>
      <c r="C104149"/>
      <c r="E104149"/>
      <c r="F104149"/>
    </row>
    <row r="104150" spans="1:6" x14ac:dyDescent="0.25">
      <c r="A104150"/>
      <c r="B104150"/>
      <c r="C104150"/>
      <c r="E104150"/>
      <c r="F104150"/>
    </row>
    <row r="104151" spans="1:6" x14ac:dyDescent="0.25">
      <c r="A104151"/>
      <c r="B104151"/>
      <c r="C104151"/>
      <c r="E104151"/>
      <c r="F104151"/>
    </row>
    <row r="104152" spans="1:6" x14ac:dyDescent="0.25">
      <c r="A104152"/>
      <c r="B104152"/>
      <c r="C104152"/>
      <c r="E104152"/>
      <c r="F104152"/>
    </row>
    <row r="104153" spans="1:6" x14ac:dyDescent="0.25">
      <c r="A104153"/>
      <c r="B104153"/>
      <c r="C104153"/>
      <c r="E104153"/>
      <c r="F104153"/>
    </row>
    <row r="104154" spans="1:6" x14ac:dyDescent="0.25">
      <c r="A104154"/>
      <c r="B104154"/>
      <c r="C104154"/>
      <c r="E104154"/>
      <c r="F104154"/>
    </row>
    <row r="104155" spans="1:6" x14ac:dyDescent="0.25">
      <c r="A104155"/>
      <c r="B104155"/>
      <c r="C104155"/>
      <c r="E104155"/>
      <c r="F104155"/>
    </row>
    <row r="104156" spans="1:6" x14ac:dyDescent="0.25">
      <c r="A104156"/>
      <c r="B104156"/>
      <c r="C104156"/>
      <c r="E104156"/>
      <c r="F104156"/>
    </row>
    <row r="104157" spans="1:6" x14ac:dyDescent="0.25">
      <c r="A104157"/>
      <c r="B104157"/>
      <c r="C104157"/>
      <c r="E104157"/>
      <c r="F104157"/>
    </row>
    <row r="104158" spans="1:6" x14ac:dyDescent="0.25">
      <c r="A104158"/>
      <c r="B104158"/>
      <c r="C104158"/>
      <c r="E104158"/>
      <c r="F104158"/>
    </row>
    <row r="104159" spans="1:6" x14ac:dyDescent="0.25">
      <c r="A104159"/>
      <c r="B104159"/>
      <c r="C104159"/>
      <c r="E104159"/>
      <c r="F104159"/>
    </row>
    <row r="104160" spans="1:6" x14ac:dyDescent="0.25">
      <c r="A104160"/>
      <c r="B104160"/>
      <c r="C104160"/>
      <c r="E104160"/>
      <c r="F104160"/>
    </row>
    <row r="104161" spans="1:6" x14ac:dyDescent="0.25">
      <c r="A104161"/>
      <c r="B104161"/>
      <c r="C104161"/>
      <c r="E104161"/>
      <c r="F104161"/>
    </row>
    <row r="104162" spans="1:6" x14ac:dyDescent="0.25">
      <c r="A104162"/>
      <c r="B104162"/>
      <c r="C104162"/>
      <c r="E104162"/>
      <c r="F104162"/>
    </row>
    <row r="104163" spans="1:6" x14ac:dyDescent="0.25">
      <c r="A104163"/>
      <c r="B104163"/>
      <c r="C104163"/>
      <c r="E104163"/>
      <c r="F104163"/>
    </row>
    <row r="104164" spans="1:6" x14ac:dyDescent="0.25">
      <c r="A104164"/>
      <c r="B104164"/>
      <c r="C104164"/>
      <c r="E104164"/>
      <c r="F104164"/>
    </row>
    <row r="104165" spans="1:6" x14ac:dyDescent="0.25">
      <c r="A104165"/>
      <c r="B104165"/>
      <c r="C104165"/>
      <c r="E104165"/>
      <c r="F104165"/>
    </row>
    <row r="104166" spans="1:6" x14ac:dyDescent="0.25">
      <c r="A104166"/>
      <c r="B104166"/>
      <c r="C104166"/>
      <c r="E104166"/>
      <c r="F104166"/>
    </row>
    <row r="104167" spans="1:6" x14ac:dyDescent="0.25">
      <c r="A104167"/>
      <c r="B104167"/>
      <c r="C104167"/>
      <c r="E104167"/>
      <c r="F104167"/>
    </row>
    <row r="104168" spans="1:6" x14ac:dyDescent="0.25">
      <c r="A104168"/>
      <c r="B104168"/>
      <c r="C104168"/>
      <c r="E104168"/>
      <c r="F104168"/>
    </row>
    <row r="104169" spans="1:6" x14ac:dyDescent="0.25">
      <c r="A104169"/>
      <c r="B104169"/>
      <c r="C104169"/>
      <c r="E104169"/>
      <c r="F104169"/>
    </row>
    <row r="104170" spans="1:6" x14ac:dyDescent="0.25">
      <c r="A104170"/>
      <c r="B104170"/>
      <c r="C104170"/>
      <c r="E104170"/>
      <c r="F104170"/>
    </row>
    <row r="104171" spans="1:6" x14ac:dyDescent="0.25">
      <c r="A104171"/>
      <c r="B104171"/>
      <c r="C104171"/>
      <c r="E104171"/>
      <c r="F104171"/>
    </row>
    <row r="104172" spans="1:6" x14ac:dyDescent="0.25">
      <c r="A104172"/>
      <c r="B104172"/>
      <c r="C104172"/>
      <c r="E104172"/>
      <c r="F104172"/>
    </row>
    <row r="104173" spans="1:6" x14ac:dyDescent="0.25">
      <c r="A104173"/>
      <c r="B104173"/>
      <c r="C104173"/>
      <c r="E104173"/>
      <c r="F104173"/>
    </row>
    <row r="104174" spans="1:6" x14ac:dyDescent="0.25">
      <c r="A104174"/>
      <c r="B104174"/>
      <c r="C104174"/>
      <c r="E104174"/>
      <c r="F104174"/>
    </row>
    <row r="104175" spans="1:6" x14ac:dyDescent="0.25">
      <c r="A104175"/>
      <c r="B104175"/>
      <c r="C104175"/>
      <c r="E104175"/>
      <c r="F104175"/>
    </row>
    <row r="104176" spans="1:6" x14ac:dyDescent="0.25">
      <c r="A104176"/>
      <c r="B104176"/>
      <c r="C104176"/>
      <c r="E104176"/>
      <c r="F104176"/>
    </row>
    <row r="104177" spans="1:6" x14ac:dyDescent="0.25">
      <c r="A104177"/>
      <c r="B104177"/>
      <c r="C104177"/>
      <c r="E104177"/>
      <c r="F104177"/>
    </row>
    <row r="104178" spans="1:6" x14ac:dyDescent="0.25">
      <c r="A104178"/>
      <c r="B104178"/>
      <c r="C104178"/>
      <c r="E104178"/>
      <c r="F104178"/>
    </row>
    <row r="104179" spans="1:6" x14ac:dyDescent="0.25">
      <c r="A104179"/>
      <c r="B104179"/>
      <c r="C104179"/>
      <c r="E104179"/>
      <c r="F104179"/>
    </row>
    <row r="104180" spans="1:6" x14ac:dyDescent="0.25">
      <c r="A104180"/>
      <c r="B104180"/>
      <c r="C104180"/>
      <c r="E104180"/>
      <c r="F104180"/>
    </row>
    <row r="104181" spans="1:6" x14ac:dyDescent="0.25">
      <c r="A104181"/>
      <c r="B104181"/>
      <c r="C104181"/>
      <c r="E104181"/>
      <c r="F104181"/>
    </row>
    <row r="104182" spans="1:6" x14ac:dyDescent="0.25">
      <c r="A104182"/>
      <c r="B104182"/>
      <c r="C104182"/>
      <c r="E104182"/>
      <c r="F104182"/>
    </row>
    <row r="104183" spans="1:6" x14ac:dyDescent="0.25">
      <c r="A104183"/>
      <c r="B104183"/>
      <c r="C104183"/>
      <c r="E104183"/>
      <c r="F104183"/>
    </row>
    <row r="104184" spans="1:6" x14ac:dyDescent="0.25">
      <c r="A104184"/>
      <c r="B104184"/>
      <c r="C104184"/>
      <c r="E104184"/>
      <c r="F104184"/>
    </row>
    <row r="104185" spans="1:6" x14ac:dyDescent="0.25">
      <c r="A104185"/>
      <c r="B104185"/>
      <c r="C104185"/>
      <c r="E104185"/>
      <c r="F104185"/>
    </row>
    <row r="104186" spans="1:6" x14ac:dyDescent="0.25">
      <c r="A104186"/>
      <c r="B104186"/>
      <c r="C104186"/>
      <c r="E104186"/>
      <c r="F104186"/>
    </row>
    <row r="104187" spans="1:6" x14ac:dyDescent="0.25">
      <c r="A104187"/>
      <c r="B104187"/>
      <c r="C104187"/>
      <c r="E104187"/>
      <c r="F104187"/>
    </row>
    <row r="104188" spans="1:6" x14ac:dyDescent="0.25">
      <c r="A104188"/>
      <c r="B104188"/>
      <c r="C104188"/>
      <c r="E104188"/>
      <c r="F104188"/>
    </row>
    <row r="104189" spans="1:6" x14ac:dyDescent="0.25">
      <c r="A104189"/>
      <c r="B104189"/>
      <c r="C104189"/>
      <c r="E104189"/>
      <c r="F104189"/>
    </row>
    <row r="104190" spans="1:6" x14ac:dyDescent="0.25">
      <c r="A104190"/>
      <c r="B104190"/>
      <c r="C104190"/>
      <c r="E104190"/>
      <c r="F104190"/>
    </row>
    <row r="104191" spans="1:6" x14ac:dyDescent="0.25">
      <c r="A104191"/>
      <c r="B104191"/>
      <c r="C104191"/>
      <c r="E104191"/>
      <c r="F104191"/>
    </row>
    <row r="104192" spans="1:6" x14ac:dyDescent="0.25">
      <c r="A104192"/>
      <c r="B104192"/>
      <c r="C104192"/>
      <c r="E104192"/>
      <c r="F104192"/>
    </row>
    <row r="104193" spans="1:6" x14ac:dyDescent="0.25">
      <c r="A104193"/>
      <c r="B104193"/>
      <c r="C104193"/>
      <c r="E104193"/>
      <c r="F104193"/>
    </row>
    <row r="104194" spans="1:6" x14ac:dyDescent="0.25">
      <c r="A104194"/>
      <c r="B104194"/>
      <c r="C104194"/>
      <c r="E104194"/>
      <c r="F104194"/>
    </row>
    <row r="104195" spans="1:6" x14ac:dyDescent="0.25">
      <c r="A104195"/>
      <c r="B104195"/>
      <c r="C104195"/>
      <c r="E104195"/>
      <c r="F104195"/>
    </row>
    <row r="104196" spans="1:6" x14ac:dyDescent="0.25">
      <c r="A104196"/>
      <c r="B104196"/>
      <c r="C104196"/>
      <c r="E104196"/>
      <c r="F104196"/>
    </row>
    <row r="104197" spans="1:6" x14ac:dyDescent="0.25">
      <c r="A104197"/>
      <c r="B104197"/>
      <c r="C104197"/>
      <c r="E104197"/>
      <c r="F104197"/>
    </row>
    <row r="104198" spans="1:6" x14ac:dyDescent="0.25">
      <c r="A104198"/>
      <c r="B104198"/>
      <c r="C104198"/>
      <c r="E104198"/>
      <c r="F104198"/>
    </row>
    <row r="104199" spans="1:6" x14ac:dyDescent="0.25">
      <c r="A104199"/>
      <c r="B104199"/>
      <c r="C104199"/>
      <c r="E104199"/>
      <c r="F104199"/>
    </row>
    <row r="104200" spans="1:6" x14ac:dyDescent="0.25">
      <c r="A104200"/>
      <c r="B104200"/>
      <c r="C104200"/>
      <c r="E104200"/>
      <c r="F104200"/>
    </row>
    <row r="104201" spans="1:6" x14ac:dyDescent="0.25">
      <c r="A104201"/>
      <c r="B104201"/>
      <c r="C104201"/>
      <c r="E104201"/>
      <c r="F104201"/>
    </row>
    <row r="104202" spans="1:6" x14ac:dyDescent="0.25">
      <c r="A104202"/>
      <c r="B104202"/>
      <c r="C104202"/>
      <c r="E104202"/>
      <c r="F104202"/>
    </row>
    <row r="104203" spans="1:6" x14ac:dyDescent="0.25">
      <c r="A104203"/>
      <c r="B104203"/>
      <c r="C104203"/>
      <c r="E104203"/>
      <c r="F104203"/>
    </row>
    <row r="104204" spans="1:6" x14ac:dyDescent="0.25">
      <c r="A104204"/>
      <c r="B104204"/>
      <c r="C104204"/>
      <c r="E104204"/>
      <c r="F104204"/>
    </row>
    <row r="104205" spans="1:6" x14ac:dyDescent="0.25">
      <c r="A104205"/>
      <c r="B104205"/>
      <c r="C104205"/>
      <c r="E104205"/>
      <c r="F104205"/>
    </row>
    <row r="104206" spans="1:6" x14ac:dyDescent="0.25">
      <c r="A104206"/>
      <c r="B104206"/>
      <c r="C104206"/>
      <c r="E104206"/>
      <c r="F104206"/>
    </row>
    <row r="104207" spans="1:6" x14ac:dyDescent="0.25">
      <c r="A104207"/>
      <c r="B104207"/>
      <c r="C104207"/>
      <c r="E104207"/>
      <c r="F104207"/>
    </row>
    <row r="104208" spans="1:6" x14ac:dyDescent="0.25">
      <c r="A104208"/>
      <c r="B104208"/>
      <c r="C104208"/>
      <c r="E104208"/>
      <c r="F104208"/>
    </row>
    <row r="104209" spans="1:6" x14ac:dyDescent="0.25">
      <c r="A104209"/>
      <c r="B104209"/>
      <c r="C104209"/>
      <c r="E104209"/>
      <c r="F104209"/>
    </row>
    <row r="104210" spans="1:6" x14ac:dyDescent="0.25">
      <c r="A104210"/>
      <c r="B104210"/>
      <c r="C104210"/>
      <c r="E104210"/>
      <c r="F104210"/>
    </row>
    <row r="104211" spans="1:6" x14ac:dyDescent="0.25">
      <c r="A104211"/>
      <c r="B104211"/>
      <c r="C104211"/>
      <c r="E104211"/>
      <c r="F104211"/>
    </row>
    <row r="104212" spans="1:6" x14ac:dyDescent="0.25">
      <c r="A104212"/>
      <c r="B104212"/>
      <c r="C104212"/>
      <c r="E104212"/>
      <c r="F104212"/>
    </row>
    <row r="104213" spans="1:6" x14ac:dyDescent="0.25">
      <c r="A104213"/>
      <c r="B104213"/>
      <c r="C104213"/>
      <c r="E104213"/>
      <c r="F104213"/>
    </row>
    <row r="104214" spans="1:6" x14ac:dyDescent="0.25">
      <c r="A104214"/>
      <c r="B104214"/>
      <c r="C104214"/>
      <c r="E104214"/>
      <c r="F104214"/>
    </row>
    <row r="104215" spans="1:6" x14ac:dyDescent="0.25">
      <c r="A104215"/>
      <c r="B104215"/>
      <c r="C104215"/>
      <c r="E104215"/>
      <c r="F104215"/>
    </row>
    <row r="104216" spans="1:6" x14ac:dyDescent="0.25">
      <c r="A104216"/>
      <c r="B104216"/>
      <c r="C104216"/>
      <c r="E104216"/>
      <c r="F104216"/>
    </row>
    <row r="104217" spans="1:6" x14ac:dyDescent="0.25">
      <c r="A104217"/>
      <c r="B104217"/>
      <c r="C104217"/>
      <c r="E104217"/>
      <c r="F104217"/>
    </row>
    <row r="104218" spans="1:6" x14ac:dyDescent="0.25">
      <c r="A104218"/>
      <c r="B104218"/>
      <c r="C104218"/>
      <c r="E104218"/>
      <c r="F104218"/>
    </row>
    <row r="104219" spans="1:6" x14ac:dyDescent="0.25">
      <c r="A104219"/>
      <c r="B104219"/>
      <c r="C104219"/>
      <c r="E104219"/>
      <c r="F104219"/>
    </row>
    <row r="104220" spans="1:6" x14ac:dyDescent="0.25">
      <c r="A104220"/>
      <c r="B104220"/>
      <c r="C104220"/>
      <c r="E104220"/>
      <c r="F104220"/>
    </row>
    <row r="104221" spans="1:6" x14ac:dyDescent="0.25">
      <c r="A104221"/>
      <c r="B104221"/>
      <c r="C104221"/>
      <c r="E104221"/>
      <c r="F104221"/>
    </row>
    <row r="104222" spans="1:6" x14ac:dyDescent="0.25">
      <c r="A104222"/>
      <c r="B104222"/>
      <c r="C104222"/>
      <c r="E104222"/>
      <c r="F104222"/>
    </row>
    <row r="104223" spans="1:6" x14ac:dyDescent="0.25">
      <c r="A104223"/>
      <c r="B104223"/>
      <c r="C104223"/>
      <c r="E104223"/>
      <c r="F104223"/>
    </row>
    <row r="104224" spans="1:6" x14ac:dyDescent="0.25">
      <c r="A104224"/>
      <c r="B104224"/>
      <c r="C104224"/>
      <c r="E104224"/>
      <c r="F104224"/>
    </row>
    <row r="104225" spans="1:6" x14ac:dyDescent="0.25">
      <c r="A104225"/>
      <c r="B104225"/>
      <c r="C104225"/>
      <c r="E104225"/>
      <c r="F104225"/>
    </row>
    <row r="104226" spans="1:6" x14ac:dyDescent="0.25">
      <c r="A104226"/>
      <c r="B104226"/>
      <c r="C104226"/>
      <c r="E104226"/>
      <c r="F104226"/>
    </row>
    <row r="104227" spans="1:6" x14ac:dyDescent="0.25">
      <c r="A104227"/>
      <c r="B104227"/>
      <c r="C104227"/>
      <c r="E104227"/>
      <c r="F104227"/>
    </row>
    <row r="104228" spans="1:6" x14ac:dyDescent="0.25">
      <c r="A104228"/>
      <c r="B104228"/>
      <c r="C104228"/>
      <c r="E104228"/>
      <c r="F104228"/>
    </row>
    <row r="104229" spans="1:6" x14ac:dyDescent="0.25">
      <c r="A104229"/>
      <c r="B104229"/>
      <c r="C104229"/>
      <c r="E104229"/>
      <c r="F104229"/>
    </row>
    <row r="104230" spans="1:6" x14ac:dyDescent="0.25">
      <c r="A104230"/>
      <c r="B104230"/>
      <c r="C104230"/>
      <c r="E104230"/>
      <c r="F104230"/>
    </row>
    <row r="104231" spans="1:6" x14ac:dyDescent="0.25">
      <c r="A104231"/>
      <c r="B104231"/>
      <c r="C104231"/>
      <c r="E104231"/>
      <c r="F104231"/>
    </row>
    <row r="104232" spans="1:6" x14ac:dyDescent="0.25">
      <c r="A104232"/>
      <c r="B104232"/>
      <c r="C104232"/>
      <c r="E104232"/>
      <c r="F104232"/>
    </row>
    <row r="104233" spans="1:6" x14ac:dyDescent="0.25">
      <c r="A104233"/>
      <c r="B104233"/>
      <c r="C104233"/>
      <c r="E104233"/>
      <c r="F104233"/>
    </row>
    <row r="104234" spans="1:6" x14ac:dyDescent="0.25">
      <c r="A104234"/>
      <c r="B104234"/>
      <c r="C104234"/>
      <c r="E104234"/>
      <c r="F104234"/>
    </row>
    <row r="104235" spans="1:6" x14ac:dyDescent="0.25">
      <c r="A104235"/>
      <c r="B104235"/>
      <c r="C104235"/>
      <c r="E104235"/>
      <c r="F104235"/>
    </row>
    <row r="104236" spans="1:6" x14ac:dyDescent="0.25">
      <c r="A104236"/>
      <c r="B104236"/>
      <c r="C104236"/>
      <c r="E104236"/>
      <c r="F104236"/>
    </row>
    <row r="104237" spans="1:6" x14ac:dyDescent="0.25">
      <c r="A104237"/>
      <c r="B104237"/>
      <c r="C104237"/>
      <c r="E104237"/>
      <c r="F104237"/>
    </row>
    <row r="104238" spans="1:6" x14ac:dyDescent="0.25">
      <c r="A104238"/>
      <c r="B104238"/>
      <c r="C104238"/>
      <c r="E104238"/>
      <c r="F104238"/>
    </row>
    <row r="104239" spans="1:6" x14ac:dyDescent="0.25">
      <c r="A104239"/>
      <c r="B104239"/>
      <c r="C104239"/>
      <c r="E104239"/>
      <c r="F104239"/>
    </row>
    <row r="104240" spans="1:6" x14ac:dyDescent="0.25">
      <c r="A104240"/>
      <c r="B104240"/>
      <c r="C104240"/>
      <c r="E104240"/>
      <c r="F104240"/>
    </row>
    <row r="104241" spans="1:6" x14ac:dyDescent="0.25">
      <c r="A104241"/>
      <c r="B104241"/>
      <c r="C104241"/>
      <c r="E104241"/>
      <c r="F104241"/>
    </row>
    <row r="104242" spans="1:6" x14ac:dyDescent="0.25">
      <c r="A104242"/>
      <c r="B104242"/>
      <c r="C104242"/>
      <c r="E104242"/>
      <c r="F104242"/>
    </row>
    <row r="104243" spans="1:6" x14ac:dyDescent="0.25">
      <c r="A104243"/>
      <c r="B104243"/>
      <c r="C104243"/>
      <c r="E104243"/>
      <c r="F104243"/>
    </row>
    <row r="104244" spans="1:6" x14ac:dyDescent="0.25">
      <c r="A104244"/>
      <c r="B104244"/>
      <c r="C104244"/>
      <c r="E104244"/>
      <c r="F104244"/>
    </row>
    <row r="104245" spans="1:6" x14ac:dyDescent="0.25">
      <c r="A104245"/>
      <c r="B104245"/>
      <c r="C104245"/>
      <c r="E104245"/>
      <c r="F104245"/>
    </row>
    <row r="104246" spans="1:6" x14ac:dyDescent="0.25">
      <c r="A104246"/>
      <c r="B104246"/>
      <c r="C104246"/>
      <c r="E104246"/>
      <c r="F104246"/>
    </row>
    <row r="104247" spans="1:6" x14ac:dyDescent="0.25">
      <c r="A104247"/>
      <c r="B104247"/>
      <c r="C104247"/>
      <c r="E104247"/>
      <c r="F104247"/>
    </row>
    <row r="104248" spans="1:6" x14ac:dyDescent="0.25">
      <c r="A104248"/>
      <c r="B104248"/>
      <c r="C104248"/>
      <c r="E104248"/>
      <c r="F104248"/>
    </row>
    <row r="104249" spans="1:6" x14ac:dyDescent="0.25">
      <c r="A104249"/>
      <c r="B104249"/>
      <c r="C104249"/>
      <c r="E104249"/>
      <c r="F104249"/>
    </row>
    <row r="104250" spans="1:6" x14ac:dyDescent="0.25">
      <c r="A104250"/>
      <c r="B104250"/>
      <c r="C104250"/>
      <c r="E104250"/>
      <c r="F104250"/>
    </row>
    <row r="104251" spans="1:6" x14ac:dyDescent="0.25">
      <c r="A104251"/>
      <c r="B104251"/>
      <c r="C104251"/>
      <c r="E104251"/>
      <c r="F104251"/>
    </row>
    <row r="104252" spans="1:6" x14ac:dyDescent="0.25">
      <c r="A104252"/>
      <c r="B104252"/>
      <c r="C104252"/>
      <c r="E104252"/>
      <c r="F104252"/>
    </row>
    <row r="104253" spans="1:6" x14ac:dyDescent="0.25">
      <c r="A104253"/>
      <c r="B104253"/>
      <c r="C104253"/>
      <c r="E104253"/>
      <c r="F104253"/>
    </row>
    <row r="104254" spans="1:6" x14ac:dyDescent="0.25">
      <c r="A104254"/>
      <c r="B104254"/>
      <c r="C104254"/>
      <c r="E104254"/>
      <c r="F104254"/>
    </row>
    <row r="104255" spans="1:6" x14ac:dyDescent="0.25">
      <c r="A104255"/>
      <c r="B104255"/>
      <c r="C104255"/>
      <c r="E104255"/>
      <c r="F104255"/>
    </row>
    <row r="104256" spans="1:6" x14ac:dyDescent="0.25">
      <c r="A104256"/>
      <c r="B104256"/>
      <c r="C104256"/>
      <c r="E104256"/>
      <c r="F104256"/>
    </row>
    <row r="104257" spans="1:6" x14ac:dyDescent="0.25">
      <c r="A104257"/>
      <c r="B104257"/>
      <c r="C104257"/>
      <c r="E104257"/>
      <c r="F104257"/>
    </row>
    <row r="104258" spans="1:6" x14ac:dyDescent="0.25">
      <c r="A104258"/>
      <c r="B104258"/>
      <c r="C104258"/>
      <c r="E104258"/>
      <c r="F104258"/>
    </row>
    <row r="104259" spans="1:6" x14ac:dyDescent="0.25">
      <c r="A104259"/>
      <c r="B104259"/>
      <c r="C104259"/>
      <c r="E104259"/>
      <c r="F104259"/>
    </row>
    <row r="104260" spans="1:6" x14ac:dyDescent="0.25">
      <c r="A104260"/>
      <c r="B104260"/>
      <c r="C104260"/>
      <c r="E104260"/>
      <c r="F104260"/>
    </row>
    <row r="104261" spans="1:6" x14ac:dyDescent="0.25">
      <c r="A104261"/>
      <c r="B104261"/>
      <c r="C104261"/>
      <c r="E104261"/>
      <c r="F104261"/>
    </row>
    <row r="104262" spans="1:6" x14ac:dyDescent="0.25">
      <c r="A104262"/>
      <c r="B104262"/>
      <c r="C104262"/>
      <c r="E104262"/>
      <c r="F104262"/>
    </row>
    <row r="104263" spans="1:6" x14ac:dyDescent="0.25">
      <c r="A104263"/>
      <c r="B104263"/>
      <c r="C104263"/>
      <c r="E104263"/>
      <c r="F104263"/>
    </row>
    <row r="104264" spans="1:6" x14ac:dyDescent="0.25">
      <c r="A104264"/>
      <c r="B104264"/>
      <c r="C104264"/>
      <c r="E104264"/>
      <c r="F104264"/>
    </row>
    <row r="104265" spans="1:6" x14ac:dyDescent="0.25">
      <c r="A104265"/>
      <c r="B104265"/>
      <c r="C104265"/>
      <c r="E104265"/>
      <c r="F104265"/>
    </row>
    <row r="104266" spans="1:6" x14ac:dyDescent="0.25">
      <c r="A104266"/>
      <c r="B104266"/>
      <c r="C104266"/>
      <c r="E104266"/>
      <c r="F104266"/>
    </row>
    <row r="104267" spans="1:6" x14ac:dyDescent="0.25">
      <c r="A104267"/>
      <c r="B104267"/>
      <c r="C104267"/>
      <c r="E104267"/>
      <c r="F104267"/>
    </row>
    <row r="104268" spans="1:6" x14ac:dyDescent="0.25">
      <c r="A104268"/>
      <c r="B104268"/>
      <c r="C104268"/>
      <c r="E104268"/>
      <c r="F104268"/>
    </row>
    <row r="104269" spans="1:6" x14ac:dyDescent="0.25">
      <c r="A104269"/>
      <c r="B104269"/>
      <c r="C104269"/>
      <c r="E104269"/>
      <c r="F104269"/>
    </row>
    <row r="104270" spans="1:6" x14ac:dyDescent="0.25">
      <c r="A104270"/>
      <c r="B104270"/>
      <c r="C104270"/>
      <c r="E104270"/>
      <c r="F104270"/>
    </row>
    <row r="104271" spans="1:6" x14ac:dyDescent="0.25">
      <c r="A104271"/>
      <c r="B104271"/>
      <c r="C104271"/>
      <c r="E104271"/>
      <c r="F104271"/>
    </row>
    <row r="104272" spans="1:6" x14ac:dyDescent="0.25">
      <c r="A104272"/>
      <c r="B104272"/>
      <c r="C104272"/>
      <c r="E104272"/>
      <c r="F104272"/>
    </row>
    <row r="104273" spans="1:6" x14ac:dyDescent="0.25">
      <c r="A104273"/>
      <c r="B104273"/>
      <c r="C104273"/>
      <c r="E104273"/>
      <c r="F104273"/>
    </row>
    <row r="104274" spans="1:6" x14ac:dyDescent="0.25">
      <c r="A104274"/>
      <c r="B104274"/>
      <c r="C104274"/>
      <c r="E104274"/>
      <c r="F104274"/>
    </row>
    <row r="104275" spans="1:6" x14ac:dyDescent="0.25">
      <c r="A104275"/>
      <c r="B104275"/>
      <c r="C104275"/>
      <c r="E104275"/>
      <c r="F104275"/>
    </row>
    <row r="104276" spans="1:6" x14ac:dyDescent="0.25">
      <c r="A104276"/>
      <c r="B104276"/>
      <c r="C104276"/>
      <c r="E104276"/>
      <c r="F104276"/>
    </row>
    <row r="104277" spans="1:6" x14ac:dyDescent="0.25">
      <c r="A104277"/>
      <c r="B104277"/>
      <c r="C104277"/>
      <c r="E104277"/>
      <c r="F104277"/>
    </row>
    <row r="104278" spans="1:6" x14ac:dyDescent="0.25">
      <c r="A104278"/>
      <c r="B104278"/>
      <c r="C104278"/>
      <c r="E104278"/>
      <c r="F104278"/>
    </row>
    <row r="104279" spans="1:6" x14ac:dyDescent="0.25">
      <c r="A104279"/>
      <c r="B104279"/>
      <c r="C104279"/>
      <c r="E104279"/>
      <c r="F104279"/>
    </row>
    <row r="104280" spans="1:6" x14ac:dyDescent="0.25">
      <c r="A104280"/>
      <c r="B104280"/>
      <c r="C104280"/>
      <c r="E104280"/>
      <c r="F104280"/>
    </row>
    <row r="104281" spans="1:6" x14ac:dyDescent="0.25">
      <c r="A104281"/>
      <c r="B104281"/>
      <c r="C104281"/>
      <c r="E104281"/>
      <c r="F104281"/>
    </row>
    <row r="104282" spans="1:6" x14ac:dyDescent="0.25">
      <c r="A104282"/>
      <c r="B104282"/>
      <c r="C104282"/>
      <c r="E104282"/>
      <c r="F104282"/>
    </row>
    <row r="104283" spans="1:6" x14ac:dyDescent="0.25">
      <c r="A104283"/>
      <c r="B104283"/>
      <c r="C104283"/>
      <c r="E104283"/>
      <c r="F104283"/>
    </row>
    <row r="104284" spans="1:6" x14ac:dyDescent="0.25">
      <c r="A104284"/>
      <c r="B104284"/>
      <c r="C104284"/>
      <c r="E104284"/>
      <c r="F104284"/>
    </row>
    <row r="104285" spans="1:6" x14ac:dyDescent="0.25">
      <c r="A104285"/>
      <c r="B104285"/>
      <c r="C104285"/>
      <c r="E104285"/>
      <c r="F104285"/>
    </row>
    <row r="104286" spans="1:6" x14ac:dyDescent="0.25">
      <c r="A104286"/>
      <c r="B104286"/>
      <c r="C104286"/>
      <c r="E104286"/>
      <c r="F104286"/>
    </row>
    <row r="104287" spans="1:6" x14ac:dyDescent="0.25">
      <c r="A104287"/>
      <c r="B104287"/>
      <c r="C104287"/>
      <c r="E104287"/>
      <c r="F104287"/>
    </row>
    <row r="104288" spans="1:6" x14ac:dyDescent="0.25">
      <c r="A104288"/>
      <c r="B104288"/>
      <c r="C104288"/>
      <c r="E104288"/>
      <c r="F104288"/>
    </row>
    <row r="104289" spans="1:6" x14ac:dyDescent="0.25">
      <c r="A104289"/>
      <c r="B104289"/>
      <c r="C104289"/>
      <c r="E104289"/>
      <c r="F104289"/>
    </row>
    <row r="104290" spans="1:6" x14ac:dyDescent="0.25">
      <c r="A104290"/>
      <c r="B104290"/>
      <c r="C104290"/>
      <c r="E104290"/>
      <c r="F104290"/>
    </row>
    <row r="104291" spans="1:6" x14ac:dyDescent="0.25">
      <c r="A104291"/>
      <c r="B104291"/>
      <c r="C104291"/>
      <c r="E104291"/>
      <c r="F104291"/>
    </row>
    <row r="104292" spans="1:6" x14ac:dyDescent="0.25">
      <c r="A104292"/>
      <c r="B104292"/>
      <c r="C104292"/>
      <c r="E104292"/>
      <c r="F104292"/>
    </row>
    <row r="104293" spans="1:6" x14ac:dyDescent="0.25">
      <c r="A104293"/>
      <c r="B104293"/>
      <c r="C104293"/>
      <c r="E104293"/>
      <c r="F104293"/>
    </row>
    <row r="104294" spans="1:6" x14ac:dyDescent="0.25">
      <c r="A104294"/>
      <c r="B104294"/>
      <c r="C104294"/>
      <c r="E104294"/>
      <c r="F104294"/>
    </row>
    <row r="104295" spans="1:6" x14ac:dyDescent="0.25">
      <c r="A104295"/>
      <c r="B104295"/>
      <c r="C104295"/>
      <c r="E104295"/>
      <c r="F104295"/>
    </row>
    <row r="104296" spans="1:6" x14ac:dyDescent="0.25">
      <c r="A104296"/>
      <c r="B104296"/>
      <c r="C104296"/>
      <c r="E104296"/>
      <c r="F104296"/>
    </row>
    <row r="104297" spans="1:6" x14ac:dyDescent="0.25">
      <c r="A104297"/>
      <c r="B104297"/>
      <c r="C104297"/>
      <c r="E104297"/>
      <c r="F104297"/>
    </row>
    <row r="104298" spans="1:6" x14ac:dyDescent="0.25">
      <c r="A104298"/>
      <c r="B104298"/>
      <c r="C104298"/>
      <c r="E104298"/>
      <c r="F104298"/>
    </row>
    <row r="104299" spans="1:6" x14ac:dyDescent="0.25">
      <c r="A104299"/>
      <c r="B104299"/>
      <c r="C104299"/>
      <c r="E104299"/>
      <c r="F104299"/>
    </row>
    <row r="104300" spans="1:6" x14ac:dyDescent="0.25">
      <c r="A104300"/>
      <c r="B104300"/>
      <c r="C104300"/>
      <c r="E104300"/>
      <c r="F104300"/>
    </row>
    <row r="104301" spans="1:6" x14ac:dyDescent="0.25">
      <c r="A104301"/>
      <c r="B104301"/>
      <c r="C104301"/>
      <c r="E104301"/>
      <c r="F104301"/>
    </row>
    <row r="104302" spans="1:6" x14ac:dyDescent="0.25">
      <c r="A104302"/>
      <c r="B104302"/>
      <c r="C104302"/>
      <c r="E104302"/>
      <c r="F104302"/>
    </row>
    <row r="104303" spans="1:6" x14ac:dyDescent="0.25">
      <c r="A104303"/>
      <c r="B104303"/>
      <c r="C104303"/>
      <c r="E104303"/>
      <c r="F104303"/>
    </row>
    <row r="104304" spans="1:6" x14ac:dyDescent="0.25">
      <c r="A104304"/>
      <c r="B104304"/>
      <c r="C104304"/>
      <c r="E104304"/>
      <c r="F104304"/>
    </row>
    <row r="104305" spans="1:6" x14ac:dyDescent="0.25">
      <c r="A104305"/>
      <c r="B104305"/>
      <c r="C104305"/>
      <c r="E104305"/>
      <c r="F104305"/>
    </row>
    <row r="104306" spans="1:6" x14ac:dyDescent="0.25">
      <c r="A104306"/>
      <c r="B104306"/>
      <c r="C104306"/>
      <c r="E104306"/>
      <c r="F104306"/>
    </row>
    <row r="104307" spans="1:6" x14ac:dyDescent="0.25">
      <c r="A104307"/>
      <c r="B104307"/>
      <c r="C104307"/>
      <c r="E104307"/>
      <c r="F104307"/>
    </row>
    <row r="104308" spans="1:6" x14ac:dyDescent="0.25">
      <c r="A104308"/>
      <c r="B104308"/>
      <c r="C104308"/>
      <c r="E104308"/>
      <c r="F104308"/>
    </row>
    <row r="104309" spans="1:6" x14ac:dyDescent="0.25">
      <c r="A104309"/>
      <c r="B104309"/>
      <c r="C104309"/>
      <c r="E104309"/>
      <c r="F104309"/>
    </row>
    <row r="104310" spans="1:6" x14ac:dyDescent="0.25">
      <c r="A104310"/>
      <c r="B104310"/>
      <c r="C104310"/>
      <c r="E104310"/>
      <c r="F104310"/>
    </row>
    <row r="104311" spans="1:6" x14ac:dyDescent="0.25">
      <c r="A104311"/>
      <c r="B104311"/>
      <c r="C104311"/>
      <c r="E104311"/>
      <c r="F104311"/>
    </row>
    <row r="104312" spans="1:6" x14ac:dyDescent="0.25">
      <c r="A104312"/>
      <c r="B104312"/>
      <c r="C104312"/>
      <c r="E104312"/>
      <c r="F104312"/>
    </row>
    <row r="104313" spans="1:6" x14ac:dyDescent="0.25">
      <c r="A104313"/>
      <c r="B104313"/>
      <c r="C104313"/>
      <c r="E104313"/>
      <c r="F104313"/>
    </row>
    <row r="104314" spans="1:6" x14ac:dyDescent="0.25">
      <c r="A104314"/>
      <c r="B104314"/>
      <c r="C104314"/>
      <c r="E104314"/>
      <c r="F104314"/>
    </row>
    <row r="104315" spans="1:6" x14ac:dyDescent="0.25">
      <c r="A104315"/>
      <c r="B104315"/>
      <c r="C104315"/>
      <c r="E104315"/>
      <c r="F104315"/>
    </row>
    <row r="104316" spans="1:6" x14ac:dyDescent="0.25">
      <c r="A104316"/>
      <c r="B104316"/>
      <c r="C104316"/>
      <c r="E104316"/>
      <c r="F104316"/>
    </row>
    <row r="104317" spans="1:6" x14ac:dyDescent="0.25">
      <c r="A104317"/>
      <c r="B104317"/>
      <c r="C104317"/>
      <c r="E104317"/>
      <c r="F104317"/>
    </row>
    <row r="104318" spans="1:6" x14ac:dyDescent="0.25">
      <c r="A104318"/>
      <c r="B104318"/>
      <c r="C104318"/>
      <c r="E104318"/>
      <c r="F104318"/>
    </row>
    <row r="104319" spans="1:6" x14ac:dyDescent="0.25">
      <c r="A104319"/>
      <c r="B104319"/>
      <c r="C104319"/>
      <c r="E104319"/>
      <c r="F104319"/>
    </row>
    <row r="104320" spans="1:6" x14ac:dyDescent="0.25">
      <c r="A104320"/>
      <c r="B104320"/>
      <c r="C104320"/>
      <c r="E104320"/>
      <c r="F104320"/>
    </row>
    <row r="104321" spans="1:6" x14ac:dyDescent="0.25">
      <c r="A104321"/>
      <c r="B104321"/>
      <c r="C104321"/>
      <c r="E104321"/>
      <c r="F104321"/>
    </row>
    <row r="104322" spans="1:6" x14ac:dyDescent="0.25">
      <c r="A104322"/>
      <c r="B104322"/>
      <c r="C104322"/>
      <c r="E104322"/>
      <c r="F104322"/>
    </row>
    <row r="104323" spans="1:6" x14ac:dyDescent="0.25">
      <c r="A104323"/>
      <c r="B104323"/>
      <c r="C104323"/>
      <c r="E104323"/>
      <c r="F104323"/>
    </row>
    <row r="104324" spans="1:6" x14ac:dyDescent="0.25">
      <c r="A104324"/>
      <c r="B104324"/>
      <c r="C104324"/>
      <c r="E104324"/>
      <c r="F104324"/>
    </row>
    <row r="104325" spans="1:6" x14ac:dyDescent="0.25">
      <c r="A104325"/>
      <c r="B104325"/>
      <c r="C104325"/>
      <c r="E104325"/>
      <c r="F104325"/>
    </row>
    <row r="104326" spans="1:6" x14ac:dyDescent="0.25">
      <c r="A104326"/>
      <c r="B104326"/>
      <c r="C104326"/>
      <c r="E104326"/>
      <c r="F104326"/>
    </row>
    <row r="104327" spans="1:6" x14ac:dyDescent="0.25">
      <c r="A104327"/>
      <c r="B104327"/>
      <c r="C104327"/>
      <c r="E104327"/>
      <c r="F104327"/>
    </row>
    <row r="104328" spans="1:6" x14ac:dyDescent="0.25">
      <c r="A104328"/>
      <c r="B104328"/>
      <c r="C104328"/>
      <c r="E104328"/>
      <c r="F104328"/>
    </row>
    <row r="104329" spans="1:6" x14ac:dyDescent="0.25">
      <c r="A104329"/>
      <c r="B104329"/>
      <c r="C104329"/>
      <c r="E104329"/>
      <c r="F104329"/>
    </row>
    <row r="104330" spans="1:6" x14ac:dyDescent="0.25">
      <c r="A104330"/>
      <c r="B104330"/>
      <c r="C104330"/>
      <c r="E104330"/>
      <c r="F104330"/>
    </row>
    <row r="104331" spans="1:6" x14ac:dyDescent="0.25">
      <c r="A104331"/>
      <c r="B104331"/>
      <c r="C104331"/>
      <c r="E104331"/>
      <c r="F104331"/>
    </row>
    <row r="104332" spans="1:6" x14ac:dyDescent="0.25">
      <c r="A104332"/>
      <c r="B104332"/>
      <c r="C104332"/>
      <c r="E104332"/>
      <c r="F104332"/>
    </row>
    <row r="104333" spans="1:6" x14ac:dyDescent="0.25">
      <c r="A104333"/>
      <c r="B104333"/>
      <c r="C104333"/>
      <c r="E104333"/>
      <c r="F104333"/>
    </row>
    <row r="104334" spans="1:6" x14ac:dyDescent="0.25">
      <c r="A104334"/>
      <c r="B104334"/>
      <c r="C104334"/>
      <c r="E104334"/>
      <c r="F104334"/>
    </row>
    <row r="104335" spans="1:6" x14ac:dyDescent="0.25">
      <c r="A104335"/>
      <c r="B104335"/>
      <c r="C104335"/>
      <c r="E104335"/>
      <c r="F104335"/>
    </row>
    <row r="104336" spans="1:6" x14ac:dyDescent="0.25">
      <c r="A104336"/>
      <c r="B104336"/>
      <c r="C104336"/>
      <c r="E104336"/>
      <c r="F104336"/>
    </row>
    <row r="104337" spans="1:6" x14ac:dyDescent="0.25">
      <c r="A104337"/>
      <c r="B104337"/>
      <c r="C104337"/>
      <c r="E104337"/>
      <c r="F104337"/>
    </row>
    <row r="104338" spans="1:6" x14ac:dyDescent="0.25">
      <c r="A104338"/>
      <c r="B104338"/>
      <c r="C104338"/>
      <c r="E104338"/>
      <c r="F104338"/>
    </row>
    <row r="104339" spans="1:6" x14ac:dyDescent="0.25">
      <c r="A104339"/>
      <c r="B104339"/>
      <c r="C104339"/>
      <c r="E104339"/>
      <c r="F104339"/>
    </row>
    <row r="104340" spans="1:6" x14ac:dyDescent="0.25">
      <c r="A104340"/>
      <c r="B104340"/>
      <c r="C104340"/>
      <c r="E104340"/>
      <c r="F104340"/>
    </row>
    <row r="104341" spans="1:6" x14ac:dyDescent="0.25">
      <c r="A104341"/>
      <c r="B104341"/>
      <c r="C104341"/>
      <c r="E104341"/>
      <c r="F104341"/>
    </row>
    <row r="104342" spans="1:6" x14ac:dyDescent="0.25">
      <c r="A104342"/>
      <c r="B104342"/>
      <c r="C104342"/>
      <c r="E104342"/>
      <c r="F104342"/>
    </row>
    <row r="104343" spans="1:6" x14ac:dyDescent="0.25">
      <c r="A104343"/>
      <c r="B104343"/>
      <c r="C104343"/>
      <c r="E104343"/>
      <c r="F104343"/>
    </row>
    <row r="104344" spans="1:6" x14ac:dyDescent="0.25">
      <c r="A104344"/>
      <c r="B104344"/>
      <c r="C104344"/>
      <c r="E104344"/>
      <c r="F104344"/>
    </row>
    <row r="104345" spans="1:6" x14ac:dyDescent="0.25">
      <c r="A104345"/>
      <c r="B104345"/>
      <c r="C104345"/>
      <c r="E104345"/>
      <c r="F104345"/>
    </row>
    <row r="104346" spans="1:6" x14ac:dyDescent="0.25">
      <c r="A104346"/>
      <c r="B104346"/>
      <c r="C104346"/>
      <c r="E104346"/>
      <c r="F104346"/>
    </row>
    <row r="104347" spans="1:6" x14ac:dyDescent="0.25">
      <c r="A104347"/>
      <c r="B104347"/>
      <c r="C104347"/>
      <c r="E104347"/>
      <c r="F104347"/>
    </row>
    <row r="104348" spans="1:6" x14ac:dyDescent="0.25">
      <c r="A104348"/>
      <c r="B104348"/>
      <c r="C104348"/>
      <c r="E104348"/>
      <c r="F104348"/>
    </row>
    <row r="104349" spans="1:6" x14ac:dyDescent="0.25">
      <c r="A104349"/>
      <c r="B104349"/>
      <c r="C104349"/>
      <c r="E104349"/>
      <c r="F104349"/>
    </row>
    <row r="104350" spans="1:6" x14ac:dyDescent="0.25">
      <c r="A104350"/>
      <c r="B104350"/>
      <c r="C104350"/>
      <c r="E104350"/>
      <c r="F104350"/>
    </row>
    <row r="104351" spans="1:6" x14ac:dyDescent="0.25">
      <c r="A104351"/>
      <c r="B104351"/>
      <c r="C104351"/>
      <c r="E104351"/>
      <c r="F104351"/>
    </row>
    <row r="104352" spans="1:6" x14ac:dyDescent="0.25">
      <c r="A104352"/>
      <c r="B104352"/>
      <c r="C104352"/>
      <c r="E104352"/>
      <c r="F104352"/>
    </row>
    <row r="104353" spans="1:6" x14ac:dyDescent="0.25">
      <c r="A104353"/>
      <c r="B104353"/>
      <c r="C104353"/>
      <c r="E104353"/>
      <c r="F104353"/>
    </row>
    <row r="104354" spans="1:6" x14ac:dyDescent="0.25">
      <c r="A104354"/>
      <c r="B104354"/>
      <c r="C104354"/>
      <c r="E104354"/>
      <c r="F104354"/>
    </row>
    <row r="104355" spans="1:6" x14ac:dyDescent="0.25">
      <c r="A104355"/>
      <c r="B104355"/>
      <c r="C104355"/>
      <c r="E104355"/>
      <c r="F104355"/>
    </row>
    <row r="104356" spans="1:6" x14ac:dyDescent="0.25">
      <c r="A104356"/>
      <c r="B104356"/>
      <c r="C104356"/>
      <c r="E104356"/>
      <c r="F104356"/>
    </row>
    <row r="104357" spans="1:6" x14ac:dyDescent="0.25">
      <c r="A104357"/>
      <c r="B104357"/>
      <c r="C104357"/>
      <c r="E104357"/>
      <c r="F104357"/>
    </row>
    <row r="104358" spans="1:6" x14ac:dyDescent="0.25">
      <c r="A104358"/>
      <c r="B104358"/>
      <c r="C104358"/>
      <c r="E104358"/>
      <c r="F104358"/>
    </row>
    <row r="104359" spans="1:6" x14ac:dyDescent="0.25">
      <c r="A104359"/>
      <c r="B104359"/>
      <c r="C104359"/>
      <c r="E104359"/>
      <c r="F104359"/>
    </row>
    <row r="104360" spans="1:6" x14ac:dyDescent="0.25">
      <c r="A104360"/>
      <c r="B104360"/>
      <c r="C104360"/>
      <c r="E104360"/>
      <c r="F104360"/>
    </row>
    <row r="104361" spans="1:6" x14ac:dyDescent="0.25">
      <c r="A104361"/>
      <c r="B104361"/>
      <c r="C104361"/>
      <c r="E104361"/>
      <c r="F104361"/>
    </row>
    <row r="104362" spans="1:6" x14ac:dyDescent="0.25">
      <c r="A104362"/>
      <c r="B104362"/>
      <c r="C104362"/>
      <c r="E104362"/>
      <c r="F104362"/>
    </row>
    <row r="104363" spans="1:6" x14ac:dyDescent="0.25">
      <c r="A104363"/>
      <c r="B104363"/>
      <c r="C104363"/>
      <c r="E104363"/>
      <c r="F104363"/>
    </row>
    <row r="104364" spans="1:6" x14ac:dyDescent="0.25">
      <c r="A104364"/>
      <c r="B104364"/>
      <c r="C104364"/>
      <c r="E104364"/>
      <c r="F104364"/>
    </row>
    <row r="104365" spans="1:6" x14ac:dyDescent="0.25">
      <c r="A104365"/>
      <c r="B104365"/>
      <c r="C104365"/>
      <c r="E104365"/>
      <c r="F104365"/>
    </row>
    <row r="104366" spans="1:6" x14ac:dyDescent="0.25">
      <c r="A104366"/>
      <c r="B104366"/>
      <c r="C104366"/>
      <c r="E104366"/>
      <c r="F104366"/>
    </row>
    <row r="104367" spans="1:6" x14ac:dyDescent="0.25">
      <c r="A104367"/>
      <c r="B104367"/>
      <c r="C104367"/>
      <c r="E104367"/>
      <c r="F104367"/>
    </row>
    <row r="104368" spans="1:6" x14ac:dyDescent="0.25">
      <c r="A104368"/>
      <c r="B104368"/>
      <c r="C104368"/>
      <c r="E104368"/>
      <c r="F104368"/>
    </row>
    <row r="104369" spans="1:6" x14ac:dyDescent="0.25">
      <c r="A104369"/>
      <c r="B104369"/>
      <c r="C104369"/>
      <c r="E104369"/>
      <c r="F104369"/>
    </row>
    <row r="104370" spans="1:6" x14ac:dyDescent="0.25">
      <c r="A104370"/>
      <c r="B104370"/>
      <c r="C104370"/>
      <c r="E104370"/>
      <c r="F104370"/>
    </row>
    <row r="104371" spans="1:6" x14ac:dyDescent="0.25">
      <c r="A104371"/>
      <c r="B104371"/>
      <c r="C104371"/>
      <c r="E104371"/>
      <c r="F104371"/>
    </row>
    <row r="104372" spans="1:6" x14ac:dyDescent="0.25">
      <c r="A104372"/>
      <c r="B104372"/>
      <c r="C104372"/>
      <c r="E104372"/>
      <c r="F104372"/>
    </row>
    <row r="104373" spans="1:6" x14ac:dyDescent="0.25">
      <c r="A104373"/>
      <c r="B104373"/>
      <c r="C104373"/>
      <c r="E104373"/>
      <c r="F104373"/>
    </row>
    <row r="104374" spans="1:6" x14ac:dyDescent="0.25">
      <c r="A104374"/>
      <c r="B104374"/>
      <c r="C104374"/>
      <c r="E104374"/>
      <c r="F104374"/>
    </row>
    <row r="104375" spans="1:6" x14ac:dyDescent="0.25">
      <c r="A104375"/>
      <c r="B104375"/>
      <c r="C104375"/>
      <c r="E104375"/>
      <c r="F104375"/>
    </row>
    <row r="104376" spans="1:6" x14ac:dyDescent="0.25">
      <c r="A104376"/>
      <c r="B104376"/>
      <c r="C104376"/>
      <c r="E104376"/>
      <c r="F104376"/>
    </row>
    <row r="104377" spans="1:6" x14ac:dyDescent="0.25">
      <c r="A104377"/>
      <c r="B104377"/>
      <c r="C104377"/>
      <c r="E104377"/>
      <c r="F104377"/>
    </row>
    <row r="104378" spans="1:6" x14ac:dyDescent="0.25">
      <c r="A104378"/>
      <c r="B104378"/>
      <c r="C104378"/>
      <c r="E104378"/>
      <c r="F104378"/>
    </row>
    <row r="104379" spans="1:6" x14ac:dyDescent="0.25">
      <c r="A104379"/>
      <c r="B104379"/>
      <c r="C104379"/>
      <c r="E104379"/>
      <c r="F104379"/>
    </row>
    <row r="104380" spans="1:6" x14ac:dyDescent="0.25">
      <c r="A104380"/>
      <c r="B104380"/>
      <c r="C104380"/>
      <c r="E104380"/>
      <c r="F104380"/>
    </row>
    <row r="104381" spans="1:6" x14ac:dyDescent="0.25">
      <c r="A104381"/>
      <c r="B104381"/>
      <c r="C104381"/>
      <c r="E104381"/>
      <c r="F104381"/>
    </row>
    <row r="104382" spans="1:6" x14ac:dyDescent="0.25">
      <c r="A104382"/>
      <c r="B104382"/>
      <c r="C104382"/>
      <c r="E104382"/>
      <c r="F104382"/>
    </row>
    <row r="104383" spans="1:6" x14ac:dyDescent="0.25">
      <c r="A104383"/>
      <c r="B104383"/>
      <c r="C104383"/>
      <c r="E104383"/>
      <c r="F104383"/>
    </row>
    <row r="104384" spans="1:6" x14ac:dyDescent="0.25">
      <c r="A104384"/>
      <c r="B104384"/>
      <c r="C104384"/>
      <c r="E104384"/>
      <c r="F104384"/>
    </row>
    <row r="104385" spans="1:6" x14ac:dyDescent="0.25">
      <c r="A104385"/>
      <c r="B104385"/>
      <c r="C104385"/>
      <c r="E104385"/>
      <c r="F104385"/>
    </row>
    <row r="104386" spans="1:6" x14ac:dyDescent="0.25">
      <c r="A104386"/>
      <c r="B104386"/>
      <c r="C104386"/>
      <c r="E104386"/>
      <c r="F104386"/>
    </row>
    <row r="104387" spans="1:6" x14ac:dyDescent="0.25">
      <c r="A104387"/>
      <c r="B104387"/>
      <c r="C104387"/>
      <c r="E104387"/>
      <c r="F104387"/>
    </row>
    <row r="104388" spans="1:6" x14ac:dyDescent="0.25">
      <c r="A104388"/>
      <c r="B104388"/>
      <c r="C104388"/>
      <c r="E104388"/>
      <c r="F104388"/>
    </row>
    <row r="104389" spans="1:6" x14ac:dyDescent="0.25">
      <c r="A104389"/>
      <c r="B104389"/>
      <c r="C104389"/>
      <c r="E104389"/>
      <c r="F104389"/>
    </row>
    <row r="104390" spans="1:6" x14ac:dyDescent="0.25">
      <c r="A104390"/>
      <c r="B104390"/>
      <c r="C104390"/>
      <c r="E104390"/>
      <c r="F104390"/>
    </row>
    <row r="104391" spans="1:6" x14ac:dyDescent="0.25">
      <c r="A104391"/>
      <c r="B104391"/>
      <c r="C104391"/>
      <c r="E104391"/>
      <c r="F104391"/>
    </row>
    <row r="104392" spans="1:6" x14ac:dyDescent="0.25">
      <c r="A104392"/>
      <c r="B104392"/>
      <c r="C104392"/>
      <c r="E104392"/>
      <c r="F104392"/>
    </row>
    <row r="104393" spans="1:6" x14ac:dyDescent="0.25">
      <c r="A104393"/>
      <c r="B104393"/>
      <c r="C104393"/>
      <c r="E104393"/>
      <c r="F104393"/>
    </row>
    <row r="104394" spans="1:6" x14ac:dyDescent="0.25">
      <c r="A104394"/>
      <c r="B104394"/>
      <c r="C104394"/>
      <c r="E104394"/>
      <c r="F104394"/>
    </row>
    <row r="104395" spans="1:6" x14ac:dyDescent="0.25">
      <c r="A104395"/>
      <c r="B104395"/>
      <c r="C104395"/>
      <c r="E104395"/>
      <c r="F104395"/>
    </row>
    <row r="104396" spans="1:6" x14ac:dyDescent="0.25">
      <c r="A104396"/>
      <c r="B104396"/>
      <c r="C104396"/>
      <c r="E104396"/>
      <c r="F104396"/>
    </row>
    <row r="104397" spans="1:6" x14ac:dyDescent="0.25">
      <c r="A104397"/>
      <c r="B104397"/>
      <c r="C104397"/>
      <c r="E104397"/>
      <c r="F104397"/>
    </row>
    <row r="104398" spans="1:6" x14ac:dyDescent="0.25">
      <c r="A104398"/>
      <c r="B104398"/>
      <c r="C104398"/>
      <c r="E104398"/>
      <c r="F104398"/>
    </row>
    <row r="104399" spans="1:6" x14ac:dyDescent="0.25">
      <c r="A104399"/>
      <c r="B104399"/>
      <c r="C104399"/>
      <c r="E104399"/>
      <c r="F104399"/>
    </row>
    <row r="104400" spans="1:6" x14ac:dyDescent="0.25">
      <c r="A104400"/>
      <c r="B104400"/>
      <c r="C104400"/>
      <c r="E104400"/>
      <c r="F104400"/>
    </row>
    <row r="104401" spans="1:6" x14ac:dyDescent="0.25">
      <c r="A104401"/>
      <c r="B104401"/>
      <c r="C104401"/>
      <c r="E104401"/>
      <c r="F104401"/>
    </row>
    <row r="104402" spans="1:6" x14ac:dyDescent="0.25">
      <c r="A104402"/>
      <c r="B104402"/>
      <c r="C104402"/>
      <c r="E104402"/>
      <c r="F104402"/>
    </row>
    <row r="104403" spans="1:6" x14ac:dyDescent="0.25">
      <c r="A104403"/>
      <c r="B104403"/>
      <c r="C104403"/>
      <c r="E104403"/>
      <c r="F104403"/>
    </row>
    <row r="104404" spans="1:6" x14ac:dyDescent="0.25">
      <c r="A104404"/>
      <c r="B104404"/>
      <c r="C104404"/>
      <c r="E104404"/>
      <c r="F104404"/>
    </row>
    <row r="104405" spans="1:6" x14ac:dyDescent="0.25">
      <c r="A104405"/>
      <c r="B104405"/>
      <c r="C104405"/>
      <c r="E104405"/>
      <c r="F104405"/>
    </row>
    <row r="104406" spans="1:6" x14ac:dyDescent="0.25">
      <c r="A104406"/>
      <c r="B104406"/>
      <c r="C104406"/>
      <c r="E104406"/>
      <c r="F104406"/>
    </row>
    <row r="104407" spans="1:6" x14ac:dyDescent="0.25">
      <c r="A104407"/>
      <c r="B104407"/>
      <c r="C104407"/>
      <c r="E104407"/>
      <c r="F104407"/>
    </row>
    <row r="104408" spans="1:6" x14ac:dyDescent="0.25">
      <c r="A104408"/>
      <c r="B104408"/>
      <c r="C104408"/>
      <c r="E104408"/>
      <c r="F104408"/>
    </row>
    <row r="104409" spans="1:6" x14ac:dyDescent="0.25">
      <c r="A104409"/>
      <c r="B104409"/>
      <c r="C104409"/>
      <c r="E104409"/>
      <c r="F104409"/>
    </row>
    <row r="104410" spans="1:6" x14ac:dyDescent="0.25">
      <c r="A104410"/>
      <c r="B104410"/>
      <c r="C104410"/>
      <c r="E104410"/>
      <c r="F104410"/>
    </row>
    <row r="104411" spans="1:6" x14ac:dyDescent="0.25">
      <c r="A104411"/>
      <c r="B104411"/>
      <c r="C104411"/>
      <c r="E104411"/>
      <c r="F104411"/>
    </row>
    <row r="104412" spans="1:6" x14ac:dyDescent="0.25">
      <c r="A104412"/>
      <c r="B104412"/>
      <c r="C104412"/>
      <c r="E104412"/>
      <c r="F104412"/>
    </row>
    <row r="104413" spans="1:6" x14ac:dyDescent="0.25">
      <c r="A104413"/>
      <c r="B104413"/>
      <c r="C104413"/>
      <c r="E104413"/>
      <c r="F104413"/>
    </row>
    <row r="104414" spans="1:6" x14ac:dyDescent="0.25">
      <c r="A104414"/>
      <c r="B104414"/>
      <c r="C104414"/>
      <c r="E104414"/>
      <c r="F104414"/>
    </row>
    <row r="104415" spans="1:6" x14ac:dyDescent="0.25">
      <c r="A104415"/>
      <c r="B104415"/>
      <c r="C104415"/>
      <c r="E104415"/>
      <c r="F104415"/>
    </row>
    <row r="104416" spans="1:6" x14ac:dyDescent="0.25">
      <c r="A104416"/>
      <c r="B104416"/>
      <c r="C104416"/>
      <c r="E104416"/>
      <c r="F104416"/>
    </row>
    <row r="104417" spans="1:6" x14ac:dyDescent="0.25">
      <c r="A104417"/>
      <c r="B104417"/>
      <c r="C104417"/>
      <c r="E104417"/>
      <c r="F104417"/>
    </row>
    <row r="104418" spans="1:6" x14ac:dyDescent="0.25">
      <c r="A104418"/>
      <c r="B104418"/>
      <c r="C104418"/>
      <c r="E104418"/>
      <c r="F104418"/>
    </row>
    <row r="104419" spans="1:6" x14ac:dyDescent="0.25">
      <c r="A104419"/>
      <c r="B104419"/>
      <c r="C104419"/>
      <c r="E104419"/>
      <c r="F104419"/>
    </row>
    <row r="104420" spans="1:6" x14ac:dyDescent="0.25">
      <c r="A104420"/>
      <c r="B104420"/>
      <c r="C104420"/>
      <c r="E104420"/>
      <c r="F104420"/>
    </row>
    <row r="104421" spans="1:6" x14ac:dyDescent="0.25">
      <c r="A104421"/>
      <c r="B104421"/>
      <c r="C104421"/>
      <c r="E104421"/>
      <c r="F104421"/>
    </row>
    <row r="104422" spans="1:6" x14ac:dyDescent="0.25">
      <c r="A104422"/>
      <c r="B104422"/>
      <c r="C104422"/>
      <c r="E104422"/>
      <c r="F104422"/>
    </row>
    <row r="104423" spans="1:6" x14ac:dyDescent="0.25">
      <c r="A104423"/>
      <c r="B104423"/>
      <c r="C104423"/>
      <c r="E104423"/>
      <c r="F104423"/>
    </row>
    <row r="104424" spans="1:6" x14ac:dyDescent="0.25">
      <c r="A104424"/>
      <c r="B104424"/>
      <c r="C104424"/>
      <c r="E104424"/>
      <c r="F104424"/>
    </row>
    <row r="104425" spans="1:6" x14ac:dyDescent="0.25">
      <c r="A104425"/>
      <c r="B104425"/>
      <c r="C104425"/>
      <c r="E104425"/>
      <c r="F104425"/>
    </row>
    <row r="104426" spans="1:6" x14ac:dyDescent="0.25">
      <c r="A104426"/>
      <c r="B104426"/>
      <c r="C104426"/>
      <c r="E104426"/>
      <c r="F104426"/>
    </row>
    <row r="104427" spans="1:6" x14ac:dyDescent="0.25">
      <c r="A104427"/>
      <c r="B104427"/>
      <c r="C104427"/>
      <c r="E104427"/>
      <c r="F104427"/>
    </row>
    <row r="104428" spans="1:6" x14ac:dyDescent="0.25">
      <c r="A104428"/>
      <c r="B104428"/>
      <c r="C104428"/>
      <c r="E104428"/>
      <c r="F104428"/>
    </row>
    <row r="104429" spans="1:6" x14ac:dyDescent="0.25">
      <c r="A104429"/>
      <c r="B104429"/>
      <c r="C104429"/>
      <c r="E104429"/>
      <c r="F104429"/>
    </row>
    <row r="104430" spans="1:6" x14ac:dyDescent="0.25">
      <c r="A104430"/>
      <c r="B104430"/>
      <c r="C104430"/>
      <c r="E104430"/>
      <c r="F104430"/>
    </row>
    <row r="104431" spans="1:6" x14ac:dyDescent="0.25">
      <c r="A104431"/>
      <c r="B104431"/>
      <c r="C104431"/>
      <c r="E104431"/>
      <c r="F104431"/>
    </row>
    <row r="104432" spans="1:6" x14ac:dyDescent="0.25">
      <c r="A104432"/>
      <c r="B104432"/>
      <c r="C104432"/>
      <c r="E104432"/>
      <c r="F104432"/>
    </row>
    <row r="104433" spans="1:6" x14ac:dyDescent="0.25">
      <c r="A104433"/>
      <c r="B104433"/>
      <c r="C104433"/>
      <c r="E104433"/>
      <c r="F104433"/>
    </row>
    <row r="104434" spans="1:6" x14ac:dyDescent="0.25">
      <c r="A104434"/>
      <c r="B104434"/>
      <c r="C104434"/>
      <c r="E104434"/>
      <c r="F104434"/>
    </row>
    <row r="104435" spans="1:6" x14ac:dyDescent="0.25">
      <c r="A104435"/>
      <c r="B104435"/>
      <c r="C104435"/>
      <c r="E104435"/>
      <c r="F104435"/>
    </row>
    <row r="104436" spans="1:6" x14ac:dyDescent="0.25">
      <c r="A104436"/>
      <c r="B104436"/>
      <c r="C104436"/>
      <c r="E104436"/>
      <c r="F104436"/>
    </row>
    <row r="104437" spans="1:6" x14ac:dyDescent="0.25">
      <c r="A104437"/>
      <c r="B104437"/>
      <c r="C104437"/>
      <c r="E104437"/>
      <c r="F104437"/>
    </row>
    <row r="104438" spans="1:6" x14ac:dyDescent="0.25">
      <c r="A104438"/>
      <c r="B104438"/>
      <c r="C104438"/>
      <c r="E104438"/>
      <c r="F104438"/>
    </row>
    <row r="104439" spans="1:6" x14ac:dyDescent="0.25">
      <c r="A104439"/>
      <c r="B104439"/>
      <c r="C104439"/>
      <c r="E104439"/>
      <c r="F104439"/>
    </row>
    <row r="104440" spans="1:6" x14ac:dyDescent="0.25">
      <c r="A104440"/>
      <c r="B104440"/>
      <c r="C104440"/>
      <c r="E104440"/>
      <c r="F104440"/>
    </row>
    <row r="104441" spans="1:6" x14ac:dyDescent="0.25">
      <c r="A104441"/>
      <c r="B104441"/>
      <c r="C104441"/>
      <c r="E104441"/>
      <c r="F104441"/>
    </row>
    <row r="104442" spans="1:6" x14ac:dyDescent="0.25">
      <c r="A104442"/>
      <c r="B104442"/>
      <c r="C104442"/>
      <c r="E104442"/>
      <c r="F104442"/>
    </row>
    <row r="104443" spans="1:6" x14ac:dyDescent="0.25">
      <c r="A104443"/>
      <c r="B104443"/>
      <c r="C104443"/>
      <c r="E104443"/>
      <c r="F104443"/>
    </row>
    <row r="104444" spans="1:6" x14ac:dyDescent="0.25">
      <c r="A104444"/>
      <c r="B104444"/>
      <c r="C104444"/>
      <c r="E104444"/>
      <c r="F104444"/>
    </row>
    <row r="104445" spans="1:6" x14ac:dyDescent="0.25">
      <c r="A104445"/>
      <c r="B104445"/>
      <c r="C104445"/>
      <c r="E104445"/>
      <c r="F104445"/>
    </row>
    <row r="104446" spans="1:6" x14ac:dyDescent="0.25">
      <c r="A104446"/>
      <c r="B104446"/>
      <c r="C104446"/>
      <c r="E104446"/>
      <c r="F104446"/>
    </row>
    <row r="104447" spans="1:6" x14ac:dyDescent="0.25">
      <c r="A104447"/>
      <c r="B104447"/>
      <c r="C104447"/>
      <c r="E104447"/>
      <c r="F104447"/>
    </row>
    <row r="104448" spans="1:6" x14ac:dyDescent="0.25">
      <c r="A104448"/>
      <c r="B104448"/>
      <c r="C104448"/>
      <c r="E104448"/>
      <c r="F104448"/>
    </row>
    <row r="104449" spans="1:6" x14ac:dyDescent="0.25">
      <c r="A104449"/>
      <c r="B104449"/>
      <c r="C104449"/>
      <c r="E104449"/>
      <c r="F104449"/>
    </row>
    <row r="104450" spans="1:6" x14ac:dyDescent="0.25">
      <c r="A104450"/>
      <c r="B104450"/>
      <c r="C104450"/>
      <c r="E104450"/>
      <c r="F104450"/>
    </row>
    <row r="104451" spans="1:6" x14ac:dyDescent="0.25">
      <c r="A104451"/>
      <c r="B104451"/>
      <c r="C104451"/>
      <c r="E104451"/>
      <c r="F104451"/>
    </row>
    <row r="104452" spans="1:6" x14ac:dyDescent="0.25">
      <c r="A104452"/>
      <c r="B104452"/>
      <c r="C104452"/>
      <c r="E104452"/>
      <c r="F104452"/>
    </row>
    <row r="104453" spans="1:6" x14ac:dyDescent="0.25">
      <c r="A104453"/>
      <c r="B104453"/>
      <c r="C104453"/>
      <c r="E104453"/>
      <c r="F104453"/>
    </row>
    <row r="104454" spans="1:6" x14ac:dyDescent="0.25">
      <c r="A104454"/>
      <c r="B104454"/>
      <c r="C104454"/>
      <c r="E104454"/>
      <c r="F104454"/>
    </row>
    <row r="104455" spans="1:6" x14ac:dyDescent="0.25">
      <c r="A104455"/>
      <c r="B104455"/>
      <c r="C104455"/>
      <c r="E104455"/>
      <c r="F104455"/>
    </row>
    <row r="104456" spans="1:6" x14ac:dyDescent="0.25">
      <c r="A104456"/>
      <c r="B104456"/>
      <c r="C104456"/>
      <c r="E104456"/>
      <c r="F104456"/>
    </row>
    <row r="104457" spans="1:6" x14ac:dyDescent="0.25">
      <c r="A104457"/>
      <c r="B104457"/>
      <c r="C104457"/>
      <c r="E104457"/>
      <c r="F104457"/>
    </row>
    <row r="104458" spans="1:6" x14ac:dyDescent="0.25">
      <c r="A104458"/>
      <c r="B104458"/>
      <c r="C104458"/>
      <c r="E104458"/>
      <c r="F104458"/>
    </row>
    <row r="104459" spans="1:6" x14ac:dyDescent="0.25">
      <c r="A104459"/>
      <c r="B104459"/>
      <c r="C104459"/>
      <c r="E104459"/>
      <c r="F104459"/>
    </row>
    <row r="104460" spans="1:6" x14ac:dyDescent="0.25">
      <c r="A104460"/>
      <c r="B104460"/>
      <c r="C104460"/>
      <c r="E104460"/>
      <c r="F104460"/>
    </row>
    <row r="104461" spans="1:6" x14ac:dyDescent="0.25">
      <c r="A104461"/>
      <c r="B104461"/>
      <c r="C104461"/>
      <c r="E104461"/>
      <c r="F104461"/>
    </row>
    <row r="104462" spans="1:6" x14ac:dyDescent="0.25">
      <c r="A104462"/>
      <c r="B104462"/>
      <c r="C104462"/>
      <c r="E104462"/>
      <c r="F104462"/>
    </row>
    <row r="104463" spans="1:6" x14ac:dyDescent="0.25">
      <c r="A104463"/>
      <c r="B104463"/>
      <c r="C104463"/>
      <c r="E104463"/>
      <c r="F104463"/>
    </row>
    <row r="104464" spans="1:6" x14ac:dyDescent="0.25">
      <c r="A104464"/>
      <c r="B104464"/>
      <c r="C104464"/>
      <c r="E104464"/>
      <c r="F104464"/>
    </row>
    <row r="104465" spans="1:6" x14ac:dyDescent="0.25">
      <c r="A104465"/>
      <c r="B104465"/>
      <c r="C104465"/>
      <c r="E104465"/>
      <c r="F104465"/>
    </row>
    <row r="104466" spans="1:6" x14ac:dyDescent="0.25">
      <c r="A104466"/>
      <c r="B104466"/>
      <c r="C104466"/>
      <c r="E104466"/>
      <c r="F104466"/>
    </row>
    <row r="104467" spans="1:6" x14ac:dyDescent="0.25">
      <c r="A104467"/>
      <c r="B104467"/>
      <c r="C104467"/>
      <c r="E104467"/>
      <c r="F104467"/>
    </row>
    <row r="104468" spans="1:6" x14ac:dyDescent="0.25">
      <c r="A104468"/>
      <c r="B104468"/>
      <c r="C104468"/>
      <c r="E104468"/>
      <c r="F104468"/>
    </row>
    <row r="104469" spans="1:6" x14ac:dyDescent="0.25">
      <c r="A104469"/>
      <c r="B104469"/>
      <c r="C104469"/>
      <c r="E104469"/>
      <c r="F104469"/>
    </row>
    <row r="104470" spans="1:6" x14ac:dyDescent="0.25">
      <c r="A104470"/>
      <c r="B104470"/>
      <c r="C104470"/>
      <c r="E104470"/>
      <c r="F104470"/>
    </row>
    <row r="104471" spans="1:6" x14ac:dyDescent="0.25">
      <c r="A104471"/>
      <c r="B104471"/>
      <c r="C104471"/>
      <c r="E104471"/>
      <c r="F104471"/>
    </row>
    <row r="104472" spans="1:6" x14ac:dyDescent="0.25">
      <c r="A104472"/>
      <c r="B104472"/>
      <c r="C104472"/>
      <c r="E104472"/>
      <c r="F104472"/>
    </row>
    <row r="104473" spans="1:6" x14ac:dyDescent="0.25">
      <c r="A104473"/>
      <c r="B104473"/>
      <c r="C104473"/>
      <c r="E104473"/>
      <c r="F104473"/>
    </row>
    <row r="104474" spans="1:6" x14ac:dyDescent="0.25">
      <c r="A104474"/>
      <c r="B104474"/>
      <c r="C104474"/>
      <c r="E104474"/>
      <c r="F104474"/>
    </row>
    <row r="104475" spans="1:6" x14ac:dyDescent="0.25">
      <c r="A104475"/>
      <c r="B104475"/>
      <c r="C104475"/>
      <c r="E104475"/>
      <c r="F104475"/>
    </row>
    <row r="104476" spans="1:6" x14ac:dyDescent="0.25">
      <c r="A104476"/>
      <c r="B104476"/>
      <c r="C104476"/>
      <c r="E104476"/>
      <c r="F104476"/>
    </row>
    <row r="104477" spans="1:6" x14ac:dyDescent="0.25">
      <c r="A104477"/>
      <c r="B104477"/>
      <c r="C104477"/>
      <c r="E104477"/>
      <c r="F104477"/>
    </row>
    <row r="104478" spans="1:6" x14ac:dyDescent="0.25">
      <c r="A104478"/>
      <c r="B104478"/>
      <c r="C104478"/>
      <c r="E104478"/>
      <c r="F104478"/>
    </row>
    <row r="104479" spans="1:6" x14ac:dyDescent="0.25">
      <c r="A104479"/>
      <c r="B104479"/>
      <c r="C104479"/>
      <c r="E104479"/>
      <c r="F104479"/>
    </row>
    <row r="104480" spans="1:6" x14ac:dyDescent="0.25">
      <c r="A104480"/>
      <c r="B104480"/>
      <c r="C104480"/>
      <c r="E104480"/>
      <c r="F104480"/>
    </row>
    <row r="104481" spans="1:6" x14ac:dyDescent="0.25">
      <c r="A104481"/>
      <c r="B104481"/>
      <c r="C104481"/>
      <c r="E104481"/>
      <c r="F104481"/>
    </row>
    <row r="104482" spans="1:6" x14ac:dyDescent="0.25">
      <c r="A104482"/>
      <c r="B104482"/>
      <c r="C104482"/>
      <c r="E104482"/>
      <c r="F104482"/>
    </row>
    <row r="104483" spans="1:6" x14ac:dyDescent="0.25">
      <c r="A104483"/>
      <c r="B104483"/>
      <c r="C104483"/>
      <c r="E104483"/>
      <c r="F104483"/>
    </row>
    <row r="104484" spans="1:6" x14ac:dyDescent="0.25">
      <c r="A104484"/>
      <c r="B104484"/>
      <c r="C104484"/>
      <c r="E104484"/>
      <c r="F104484"/>
    </row>
    <row r="104485" spans="1:6" x14ac:dyDescent="0.25">
      <c r="A104485"/>
      <c r="B104485"/>
      <c r="C104485"/>
      <c r="E104485"/>
      <c r="F104485"/>
    </row>
    <row r="104486" spans="1:6" x14ac:dyDescent="0.25">
      <c r="A104486"/>
      <c r="B104486"/>
      <c r="C104486"/>
      <c r="E104486"/>
      <c r="F104486"/>
    </row>
    <row r="104487" spans="1:6" x14ac:dyDescent="0.25">
      <c r="A104487"/>
      <c r="B104487"/>
      <c r="C104487"/>
      <c r="E104487"/>
      <c r="F104487"/>
    </row>
    <row r="104488" spans="1:6" x14ac:dyDescent="0.25">
      <c r="A104488"/>
      <c r="B104488"/>
      <c r="C104488"/>
      <c r="E104488"/>
      <c r="F104488"/>
    </row>
    <row r="104489" spans="1:6" x14ac:dyDescent="0.25">
      <c r="A104489"/>
      <c r="B104489"/>
      <c r="C104489"/>
      <c r="E104489"/>
      <c r="F104489"/>
    </row>
    <row r="104490" spans="1:6" x14ac:dyDescent="0.25">
      <c r="A104490"/>
      <c r="B104490"/>
      <c r="C104490"/>
      <c r="E104490"/>
      <c r="F104490"/>
    </row>
    <row r="104491" spans="1:6" x14ac:dyDescent="0.25">
      <c r="A104491"/>
      <c r="B104491"/>
      <c r="C104491"/>
      <c r="E104491"/>
      <c r="F104491"/>
    </row>
    <row r="104492" spans="1:6" x14ac:dyDescent="0.25">
      <c r="A104492"/>
      <c r="B104492"/>
      <c r="C104492"/>
      <c r="E104492"/>
      <c r="F104492"/>
    </row>
    <row r="104493" spans="1:6" x14ac:dyDescent="0.25">
      <c r="A104493"/>
      <c r="B104493"/>
      <c r="C104493"/>
      <c r="E104493"/>
      <c r="F104493"/>
    </row>
    <row r="104494" spans="1:6" x14ac:dyDescent="0.25">
      <c r="A104494"/>
      <c r="B104494"/>
      <c r="C104494"/>
      <c r="E104494"/>
      <c r="F104494"/>
    </row>
    <row r="104495" spans="1:6" x14ac:dyDescent="0.25">
      <c r="A104495"/>
      <c r="B104495"/>
      <c r="C104495"/>
      <c r="E104495"/>
      <c r="F104495"/>
    </row>
    <row r="104496" spans="1:6" x14ac:dyDescent="0.25">
      <c r="A104496"/>
      <c r="B104496"/>
      <c r="C104496"/>
      <c r="E104496"/>
      <c r="F104496"/>
    </row>
    <row r="104497" spans="1:6" x14ac:dyDescent="0.25">
      <c r="A104497"/>
      <c r="B104497"/>
      <c r="C104497"/>
      <c r="E104497"/>
      <c r="F104497"/>
    </row>
    <row r="104498" spans="1:6" x14ac:dyDescent="0.25">
      <c r="A104498"/>
      <c r="B104498"/>
      <c r="C104498"/>
      <c r="E104498"/>
      <c r="F104498"/>
    </row>
    <row r="104499" spans="1:6" x14ac:dyDescent="0.25">
      <c r="A104499"/>
      <c r="B104499"/>
      <c r="C104499"/>
      <c r="E104499"/>
      <c r="F104499"/>
    </row>
    <row r="104500" spans="1:6" x14ac:dyDescent="0.25">
      <c r="A104500"/>
      <c r="B104500"/>
      <c r="C104500"/>
      <c r="E104500"/>
      <c r="F104500"/>
    </row>
    <row r="104501" spans="1:6" x14ac:dyDescent="0.25">
      <c r="A104501"/>
      <c r="B104501"/>
      <c r="C104501"/>
      <c r="E104501"/>
      <c r="F104501"/>
    </row>
    <row r="104502" spans="1:6" x14ac:dyDescent="0.25">
      <c r="A104502"/>
      <c r="B104502"/>
      <c r="C104502"/>
      <c r="E104502"/>
      <c r="F104502"/>
    </row>
    <row r="104503" spans="1:6" x14ac:dyDescent="0.25">
      <c r="A104503"/>
      <c r="B104503"/>
      <c r="C104503"/>
      <c r="E104503"/>
      <c r="F104503"/>
    </row>
    <row r="104504" spans="1:6" x14ac:dyDescent="0.25">
      <c r="A104504"/>
      <c r="B104504"/>
      <c r="C104504"/>
      <c r="E104504"/>
      <c r="F104504"/>
    </row>
    <row r="104505" spans="1:6" x14ac:dyDescent="0.25">
      <c r="A104505"/>
      <c r="B104505"/>
      <c r="C104505"/>
      <c r="E104505"/>
      <c r="F104505"/>
    </row>
    <row r="104506" spans="1:6" x14ac:dyDescent="0.25">
      <c r="A104506"/>
      <c r="B104506"/>
      <c r="C104506"/>
      <c r="E104506"/>
      <c r="F104506"/>
    </row>
    <row r="104507" spans="1:6" x14ac:dyDescent="0.25">
      <c r="A104507"/>
      <c r="B104507"/>
      <c r="C104507"/>
      <c r="E104507"/>
      <c r="F104507"/>
    </row>
    <row r="104508" spans="1:6" x14ac:dyDescent="0.25">
      <c r="A104508"/>
      <c r="B104508"/>
      <c r="C104508"/>
      <c r="E104508"/>
      <c r="F104508"/>
    </row>
    <row r="104509" spans="1:6" x14ac:dyDescent="0.25">
      <c r="A104509"/>
      <c r="B104509"/>
      <c r="C104509"/>
      <c r="E104509"/>
      <c r="F104509"/>
    </row>
    <row r="104510" spans="1:6" x14ac:dyDescent="0.25">
      <c r="A104510"/>
      <c r="B104510"/>
      <c r="C104510"/>
      <c r="E104510"/>
      <c r="F104510"/>
    </row>
    <row r="104511" spans="1:6" x14ac:dyDescent="0.25">
      <c r="A104511"/>
      <c r="B104511"/>
      <c r="C104511"/>
      <c r="E104511"/>
      <c r="F104511"/>
    </row>
    <row r="104512" spans="1:6" x14ac:dyDescent="0.25">
      <c r="A104512"/>
      <c r="B104512"/>
      <c r="C104512"/>
      <c r="E104512"/>
      <c r="F104512"/>
    </row>
    <row r="104513" spans="1:6" x14ac:dyDescent="0.25">
      <c r="A104513"/>
      <c r="B104513"/>
      <c r="C104513"/>
      <c r="E104513"/>
      <c r="F104513"/>
    </row>
    <row r="104514" spans="1:6" x14ac:dyDescent="0.25">
      <c r="A104514"/>
      <c r="B104514"/>
      <c r="C104514"/>
      <c r="E104514"/>
      <c r="F104514"/>
    </row>
    <row r="104515" spans="1:6" x14ac:dyDescent="0.25">
      <c r="A104515"/>
      <c r="B104515"/>
      <c r="C104515"/>
      <c r="E104515"/>
      <c r="F104515"/>
    </row>
    <row r="104516" spans="1:6" x14ac:dyDescent="0.25">
      <c r="A104516"/>
      <c r="B104516"/>
      <c r="C104516"/>
      <c r="E104516"/>
      <c r="F104516"/>
    </row>
    <row r="104517" spans="1:6" x14ac:dyDescent="0.25">
      <c r="A104517"/>
      <c r="B104517"/>
      <c r="C104517"/>
      <c r="E104517"/>
      <c r="F104517"/>
    </row>
    <row r="104518" spans="1:6" x14ac:dyDescent="0.25">
      <c r="A104518"/>
      <c r="B104518"/>
      <c r="C104518"/>
      <c r="E104518"/>
      <c r="F104518"/>
    </row>
    <row r="104519" spans="1:6" x14ac:dyDescent="0.25">
      <c r="A104519"/>
      <c r="B104519"/>
      <c r="C104519"/>
      <c r="E104519"/>
      <c r="F104519"/>
    </row>
    <row r="104520" spans="1:6" x14ac:dyDescent="0.25">
      <c r="A104520"/>
      <c r="B104520"/>
      <c r="C104520"/>
      <c r="E104520"/>
      <c r="F104520"/>
    </row>
    <row r="104521" spans="1:6" x14ac:dyDescent="0.25">
      <c r="A104521"/>
      <c r="B104521"/>
      <c r="C104521"/>
      <c r="E104521"/>
      <c r="F104521"/>
    </row>
    <row r="104522" spans="1:6" x14ac:dyDescent="0.25">
      <c r="A104522"/>
      <c r="B104522"/>
      <c r="C104522"/>
      <c r="E104522"/>
      <c r="F104522"/>
    </row>
    <row r="104523" spans="1:6" x14ac:dyDescent="0.25">
      <c r="A104523"/>
      <c r="B104523"/>
      <c r="C104523"/>
      <c r="E104523"/>
      <c r="F104523"/>
    </row>
    <row r="104524" spans="1:6" x14ac:dyDescent="0.25">
      <c r="A104524"/>
      <c r="B104524"/>
      <c r="C104524"/>
      <c r="E104524"/>
      <c r="F104524"/>
    </row>
    <row r="104525" spans="1:6" x14ac:dyDescent="0.25">
      <c r="A104525"/>
      <c r="B104525"/>
      <c r="C104525"/>
      <c r="E104525"/>
      <c r="F104525"/>
    </row>
    <row r="104526" spans="1:6" x14ac:dyDescent="0.25">
      <c r="A104526"/>
      <c r="B104526"/>
      <c r="C104526"/>
      <c r="E104526"/>
      <c r="F104526"/>
    </row>
    <row r="104527" spans="1:6" x14ac:dyDescent="0.25">
      <c r="A104527"/>
      <c r="B104527"/>
      <c r="C104527"/>
      <c r="E104527"/>
      <c r="F104527"/>
    </row>
    <row r="104528" spans="1:6" x14ac:dyDescent="0.25">
      <c r="A104528"/>
      <c r="B104528"/>
      <c r="C104528"/>
      <c r="E104528"/>
      <c r="F104528"/>
    </row>
    <row r="104529" spans="1:6" x14ac:dyDescent="0.25">
      <c r="A104529"/>
      <c r="B104529"/>
      <c r="C104529"/>
      <c r="E104529"/>
      <c r="F104529"/>
    </row>
    <row r="104530" spans="1:6" x14ac:dyDescent="0.25">
      <c r="A104530"/>
      <c r="B104530"/>
      <c r="C104530"/>
      <c r="E104530"/>
      <c r="F104530"/>
    </row>
    <row r="104531" spans="1:6" x14ac:dyDescent="0.25">
      <c r="A104531"/>
      <c r="B104531"/>
      <c r="C104531"/>
      <c r="E104531"/>
      <c r="F104531"/>
    </row>
    <row r="104532" spans="1:6" x14ac:dyDescent="0.25">
      <c r="A104532"/>
      <c r="B104532"/>
      <c r="C104532"/>
      <c r="E104532"/>
      <c r="F104532"/>
    </row>
    <row r="104533" spans="1:6" x14ac:dyDescent="0.25">
      <c r="A104533"/>
      <c r="B104533"/>
      <c r="C104533"/>
      <c r="E104533"/>
      <c r="F104533"/>
    </row>
    <row r="104534" spans="1:6" x14ac:dyDescent="0.25">
      <c r="A104534"/>
      <c r="B104534"/>
      <c r="C104534"/>
      <c r="E104534"/>
      <c r="F104534"/>
    </row>
    <row r="104535" spans="1:6" x14ac:dyDescent="0.25">
      <c r="A104535"/>
      <c r="B104535"/>
      <c r="C104535"/>
      <c r="E104535"/>
      <c r="F104535"/>
    </row>
    <row r="104536" spans="1:6" x14ac:dyDescent="0.25">
      <c r="A104536"/>
      <c r="B104536"/>
      <c r="C104536"/>
      <c r="E104536"/>
      <c r="F104536"/>
    </row>
    <row r="104537" spans="1:6" x14ac:dyDescent="0.25">
      <c r="A104537"/>
      <c r="B104537"/>
      <c r="C104537"/>
      <c r="E104537"/>
      <c r="F104537"/>
    </row>
    <row r="104538" spans="1:6" x14ac:dyDescent="0.25">
      <c r="A104538"/>
      <c r="B104538"/>
      <c r="C104538"/>
      <c r="E104538"/>
      <c r="F104538"/>
    </row>
    <row r="104539" spans="1:6" x14ac:dyDescent="0.25">
      <c r="A104539"/>
      <c r="B104539"/>
      <c r="C104539"/>
      <c r="E104539"/>
      <c r="F104539"/>
    </row>
    <row r="104540" spans="1:6" x14ac:dyDescent="0.25">
      <c r="A104540"/>
      <c r="B104540"/>
      <c r="C104540"/>
      <c r="E104540"/>
      <c r="F104540"/>
    </row>
    <row r="104541" spans="1:6" x14ac:dyDescent="0.25">
      <c r="A104541"/>
      <c r="B104541"/>
      <c r="C104541"/>
      <c r="E104541"/>
      <c r="F104541"/>
    </row>
    <row r="104542" spans="1:6" x14ac:dyDescent="0.25">
      <c r="A104542"/>
      <c r="B104542"/>
      <c r="C104542"/>
      <c r="E104542"/>
      <c r="F104542"/>
    </row>
    <row r="104543" spans="1:6" x14ac:dyDescent="0.25">
      <c r="A104543"/>
      <c r="B104543"/>
      <c r="C104543"/>
      <c r="E104543"/>
      <c r="F104543"/>
    </row>
    <row r="104544" spans="1:6" x14ac:dyDescent="0.25">
      <c r="A104544"/>
      <c r="B104544"/>
      <c r="C104544"/>
      <c r="E104544"/>
      <c r="F104544"/>
    </row>
    <row r="104545" spans="1:6" x14ac:dyDescent="0.25">
      <c r="A104545"/>
      <c r="B104545"/>
      <c r="C104545"/>
      <c r="E104545"/>
      <c r="F104545"/>
    </row>
    <row r="104546" spans="1:6" x14ac:dyDescent="0.25">
      <c r="A104546"/>
      <c r="B104546"/>
      <c r="C104546"/>
      <c r="E104546"/>
      <c r="F104546"/>
    </row>
    <row r="104547" spans="1:6" x14ac:dyDescent="0.25">
      <c r="A104547"/>
      <c r="B104547"/>
      <c r="C104547"/>
      <c r="E104547"/>
      <c r="F104547"/>
    </row>
    <row r="104548" spans="1:6" x14ac:dyDescent="0.25">
      <c r="A104548"/>
      <c r="B104548"/>
      <c r="C104548"/>
      <c r="E104548"/>
      <c r="F104548"/>
    </row>
    <row r="104549" spans="1:6" x14ac:dyDescent="0.25">
      <c r="A104549"/>
      <c r="B104549"/>
      <c r="C104549"/>
      <c r="E104549"/>
      <c r="F104549"/>
    </row>
    <row r="104550" spans="1:6" x14ac:dyDescent="0.25">
      <c r="A104550"/>
      <c r="B104550"/>
      <c r="C104550"/>
      <c r="E104550"/>
      <c r="F104550"/>
    </row>
    <row r="104551" spans="1:6" x14ac:dyDescent="0.25">
      <c r="A104551"/>
      <c r="B104551"/>
      <c r="C104551"/>
      <c r="E104551"/>
      <c r="F104551"/>
    </row>
    <row r="104552" spans="1:6" x14ac:dyDescent="0.25">
      <c r="A104552"/>
      <c r="B104552"/>
      <c r="C104552"/>
      <c r="E104552"/>
      <c r="F104552"/>
    </row>
    <row r="104553" spans="1:6" x14ac:dyDescent="0.25">
      <c r="A104553"/>
      <c r="B104553"/>
      <c r="C104553"/>
      <c r="E104553"/>
      <c r="F104553"/>
    </row>
    <row r="104554" spans="1:6" x14ac:dyDescent="0.25">
      <c r="A104554"/>
      <c r="B104554"/>
      <c r="C104554"/>
      <c r="E104554"/>
      <c r="F104554"/>
    </row>
    <row r="104555" spans="1:6" x14ac:dyDescent="0.25">
      <c r="A104555"/>
      <c r="B104555"/>
      <c r="C104555"/>
      <c r="E104555"/>
      <c r="F104555"/>
    </row>
    <row r="104556" spans="1:6" x14ac:dyDescent="0.25">
      <c r="A104556"/>
      <c r="B104556"/>
      <c r="C104556"/>
      <c r="E104556"/>
      <c r="F104556"/>
    </row>
    <row r="104557" spans="1:6" x14ac:dyDescent="0.25">
      <c r="A104557"/>
      <c r="B104557"/>
      <c r="C104557"/>
      <c r="E104557"/>
      <c r="F104557"/>
    </row>
    <row r="104558" spans="1:6" x14ac:dyDescent="0.25">
      <c r="A104558"/>
      <c r="B104558"/>
      <c r="C104558"/>
      <c r="E104558"/>
      <c r="F104558"/>
    </row>
    <row r="104559" spans="1:6" x14ac:dyDescent="0.25">
      <c r="A104559"/>
      <c r="B104559"/>
      <c r="C104559"/>
      <c r="E104559"/>
      <c r="F104559"/>
    </row>
    <row r="104560" spans="1:6" x14ac:dyDescent="0.25">
      <c r="A104560"/>
      <c r="B104560"/>
      <c r="C104560"/>
      <c r="E104560"/>
      <c r="F104560"/>
    </row>
    <row r="104561" spans="1:6" x14ac:dyDescent="0.25">
      <c r="A104561"/>
      <c r="B104561"/>
      <c r="C104561"/>
      <c r="E104561"/>
      <c r="F104561"/>
    </row>
    <row r="104562" spans="1:6" x14ac:dyDescent="0.25">
      <c r="A104562"/>
      <c r="B104562"/>
      <c r="C104562"/>
      <c r="E104562"/>
      <c r="F104562"/>
    </row>
    <row r="104563" spans="1:6" x14ac:dyDescent="0.25">
      <c r="A104563"/>
      <c r="B104563"/>
      <c r="C104563"/>
      <c r="E104563"/>
      <c r="F104563"/>
    </row>
    <row r="104564" spans="1:6" x14ac:dyDescent="0.25">
      <c r="A104564"/>
      <c r="B104564"/>
      <c r="C104564"/>
      <c r="E104564"/>
      <c r="F104564"/>
    </row>
    <row r="104565" spans="1:6" x14ac:dyDescent="0.25">
      <c r="A104565"/>
      <c r="B104565"/>
      <c r="C104565"/>
      <c r="E104565"/>
      <c r="F104565"/>
    </row>
    <row r="104566" spans="1:6" x14ac:dyDescent="0.25">
      <c r="A104566"/>
      <c r="B104566"/>
      <c r="C104566"/>
      <c r="E104566"/>
      <c r="F104566"/>
    </row>
    <row r="104567" spans="1:6" x14ac:dyDescent="0.25">
      <c r="A104567"/>
      <c r="B104567"/>
      <c r="C104567"/>
      <c r="E104567"/>
      <c r="F104567"/>
    </row>
    <row r="104568" spans="1:6" x14ac:dyDescent="0.25">
      <c r="A104568"/>
      <c r="B104568"/>
      <c r="C104568"/>
      <c r="E104568"/>
      <c r="F104568"/>
    </row>
    <row r="104569" spans="1:6" x14ac:dyDescent="0.25">
      <c r="A104569"/>
      <c r="B104569"/>
      <c r="C104569"/>
      <c r="E104569"/>
      <c r="F104569"/>
    </row>
    <row r="104570" spans="1:6" x14ac:dyDescent="0.25">
      <c r="A104570"/>
      <c r="B104570"/>
      <c r="C104570"/>
      <c r="E104570"/>
      <c r="F104570"/>
    </row>
    <row r="104571" spans="1:6" x14ac:dyDescent="0.25">
      <c r="A104571"/>
      <c r="B104571"/>
      <c r="C104571"/>
      <c r="E104571"/>
      <c r="F104571"/>
    </row>
    <row r="104572" spans="1:6" x14ac:dyDescent="0.25">
      <c r="A104572"/>
      <c r="B104572"/>
      <c r="C104572"/>
      <c r="E104572"/>
      <c r="F104572"/>
    </row>
    <row r="104573" spans="1:6" x14ac:dyDescent="0.25">
      <c r="A104573"/>
      <c r="B104573"/>
      <c r="C104573"/>
      <c r="E104573"/>
      <c r="F104573"/>
    </row>
    <row r="104574" spans="1:6" x14ac:dyDescent="0.25">
      <c r="A104574"/>
      <c r="B104574"/>
      <c r="C104574"/>
      <c r="E104574"/>
      <c r="F104574"/>
    </row>
    <row r="104575" spans="1:6" x14ac:dyDescent="0.25">
      <c r="A104575"/>
      <c r="B104575"/>
      <c r="C104575"/>
      <c r="E104575"/>
      <c r="F104575"/>
    </row>
    <row r="104576" spans="1:6" x14ac:dyDescent="0.25">
      <c r="A104576"/>
      <c r="B104576"/>
      <c r="C104576"/>
      <c r="E104576"/>
      <c r="F104576"/>
    </row>
    <row r="104577" spans="1:6" x14ac:dyDescent="0.25">
      <c r="A104577"/>
      <c r="B104577"/>
      <c r="C104577"/>
      <c r="E104577"/>
      <c r="F104577"/>
    </row>
    <row r="104578" spans="1:6" x14ac:dyDescent="0.25">
      <c r="A104578"/>
      <c r="B104578"/>
      <c r="C104578"/>
      <c r="E104578"/>
      <c r="F104578"/>
    </row>
    <row r="104579" spans="1:6" x14ac:dyDescent="0.25">
      <c r="A104579"/>
      <c r="B104579"/>
      <c r="C104579"/>
      <c r="E104579"/>
      <c r="F104579"/>
    </row>
    <row r="104580" spans="1:6" x14ac:dyDescent="0.25">
      <c r="A104580"/>
      <c r="B104580"/>
      <c r="C104580"/>
      <c r="E104580"/>
      <c r="F104580"/>
    </row>
    <row r="104581" spans="1:6" x14ac:dyDescent="0.25">
      <c r="A104581"/>
      <c r="B104581"/>
      <c r="C104581"/>
      <c r="E104581"/>
      <c r="F104581"/>
    </row>
    <row r="104582" spans="1:6" x14ac:dyDescent="0.25">
      <c r="A104582"/>
      <c r="B104582"/>
      <c r="C104582"/>
      <c r="E104582"/>
      <c r="F104582"/>
    </row>
    <row r="104583" spans="1:6" x14ac:dyDescent="0.25">
      <c r="A104583"/>
      <c r="B104583"/>
      <c r="C104583"/>
      <c r="E104583"/>
      <c r="F104583"/>
    </row>
    <row r="104584" spans="1:6" x14ac:dyDescent="0.25">
      <c r="A104584"/>
      <c r="B104584"/>
      <c r="C104584"/>
      <c r="E104584"/>
      <c r="F104584"/>
    </row>
    <row r="104585" spans="1:6" x14ac:dyDescent="0.25">
      <c r="A104585"/>
      <c r="B104585"/>
      <c r="C104585"/>
      <c r="E104585"/>
      <c r="F104585"/>
    </row>
    <row r="104586" spans="1:6" x14ac:dyDescent="0.25">
      <c r="A104586"/>
      <c r="B104586"/>
      <c r="C104586"/>
      <c r="E104586"/>
      <c r="F104586"/>
    </row>
    <row r="104587" spans="1:6" x14ac:dyDescent="0.25">
      <c r="A104587"/>
      <c r="B104587"/>
      <c r="C104587"/>
      <c r="E104587"/>
      <c r="F104587"/>
    </row>
    <row r="104588" spans="1:6" x14ac:dyDescent="0.25">
      <c r="A104588"/>
      <c r="B104588"/>
      <c r="C104588"/>
      <c r="E104588"/>
      <c r="F104588"/>
    </row>
    <row r="104589" spans="1:6" x14ac:dyDescent="0.25">
      <c r="A104589"/>
      <c r="B104589"/>
      <c r="C104589"/>
      <c r="E104589"/>
      <c r="F104589"/>
    </row>
    <row r="104590" spans="1:6" x14ac:dyDescent="0.25">
      <c r="A104590"/>
      <c r="B104590"/>
      <c r="C104590"/>
      <c r="E104590"/>
      <c r="F104590"/>
    </row>
    <row r="104591" spans="1:6" x14ac:dyDescent="0.25">
      <c r="A104591"/>
      <c r="B104591"/>
      <c r="C104591"/>
      <c r="E104591"/>
      <c r="F104591"/>
    </row>
    <row r="104592" spans="1:6" x14ac:dyDescent="0.25">
      <c r="A104592"/>
      <c r="B104592"/>
      <c r="C104592"/>
      <c r="E104592"/>
      <c r="F104592"/>
    </row>
    <row r="104593" spans="1:6" x14ac:dyDescent="0.25">
      <c r="A104593"/>
      <c r="B104593"/>
      <c r="C104593"/>
      <c r="E104593"/>
      <c r="F104593"/>
    </row>
    <row r="104594" spans="1:6" x14ac:dyDescent="0.25">
      <c r="A104594"/>
      <c r="B104594"/>
      <c r="C104594"/>
      <c r="E104594"/>
      <c r="F104594"/>
    </row>
    <row r="104595" spans="1:6" x14ac:dyDescent="0.25">
      <c r="A104595"/>
      <c r="B104595"/>
      <c r="C104595"/>
      <c r="E104595"/>
      <c r="F104595"/>
    </row>
    <row r="104596" spans="1:6" x14ac:dyDescent="0.25">
      <c r="A104596"/>
      <c r="B104596"/>
      <c r="C104596"/>
      <c r="E104596"/>
      <c r="F104596"/>
    </row>
    <row r="104597" spans="1:6" x14ac:dyDescent="0.25">
      <c r="A104597"/>
      <c r="B104597"/>
      <c r="C104597"/>
      <c r="E104597"/>
      <c r="F104597"/>
    </row>
    <row r="104598" spans="1:6" x14ac:dyDescent="0.25">
      <c r="A104598"/>
      <c r="B104598"/>
      <c r="C104598"/>
      <c r="E104598"/>
      <c r="F104598"/>
    </row>
    <row r="104599" spans="1:6" x14ac:dyDescent="0.25">
      <c r="A104599"/>
      <c r="B104599"/>
      <c r="C104599"/>
      <c r="E104599"/>
      <c r="F104599"/>
    </row>
    <row r="104600" spans="1:6" x14ac:dyDescent="0.25">
      <c r="A104600"/>
      <c r="B104600"/>
      <c r="C104600"/>
      <c r="E104600"/>
      <c r="F104600"/>
    </row>
    <row r="104601" spans="1:6" x14ac:dyDescent="0.25">
      <c r="A104601"/>
      <c r="B104601"/>
      <c r="C104601"/>
      <c r="E104601"/>
      <c r="F104601"/>
    </row>
    <row r="104602" spans="1:6" x14ac:dyDescent="0.25">
      <c r="A104602"/>
      <c r="B104602"/>
      <c r="C104602"/>
      <c r="E104602"/>
      <c r="F104602"/>
    </row>
    <row r="104603" spans="1:6" x14ac:dyDescent="0.25">
      <c r="A104603"/>
      <c r="B104603"/>
      <c r="C104603"/>
      <c r="E104603"/>
      <c r="F104603"/>
    </row>
    <row r="104604" spans="1:6" x14ac:dyDescent="0.25">
      <c r="A104604"/>
      <c r="B104604"/>
      <c r="C104604"/>
      <c r="E104604"/>
      <c r="F104604"/>
    </row>
    <row r="104605" spans="1:6" x14ac:dyDescent="0.25">
      <c r="A104605"/>
      <c r="B104605"/>
      <c r="C104605"/>
      <c r="E104605"/>
      <c r="F104605"/>
    </row>
    <row r="104606" spans="1:6" x14ac:dyDescent="0.25">
      <c r="A104606"/>
      <c r="B104606"/>
      <c r="C104606"/>
      <c r="E104606"/>
      <c r="F104606"/>
    </row>
    <row r="104607" spans="1:6" x14ac:dyDescent="0.25">
      <c r="A104607"/>
      <c r="B104607"/>
      <c r="C104607"/>
      <c r="E104607"/>
      <c r="F104607"/>
    </row>
    <row r="104608" spans="1:6" x14ac:dyDescent="0.25">
      <c r="A104608"/>
      <c r="B104608"/>
      <c r="C104608"/>
      <c r="E104608"/>
      <c r="F104608"/>
    </row>
    <row r="104609" spans="1:6" x14ac:dyDescent="0.25">
      <c r="A104609"/>
      <c r="B104609"/>
      <c r="C104609"/>
      <c r="E104609"/>
      <c r="F104609"/>
    </row>
    <row r="104610" spans="1:6" x14ac:dyDescent="0.25">
      <c r="A104610"/>
      <c r="B104610"/>
      <c r="C104610"/>
      <c r="E104610"/>
      <c r="F104610"/>
    </row>
    <row r="104611" spans="1:6" x14ac:dyDescent="0.25">
      <c r="A104611"/>
      <c r="B104611"/>
      <c r="C104611"/>
      <c r="E104611"/>
      <c r="F104611"/>
    </row>
    <row r="104612" spans="1:6" x14ac:dyDescent="0.25">
      <c r="A104612"/>
      <c r="B104612"/>
      <c r="C104612"/>
      <c r="E104612"/>
      <c r="F104612"/>
    </row>
    <row r="104613" spans="1:6" x14ac:dyDescent="0.25">
      <c r="A104613"/>
      <c r="B104613"/>
      <c r="C104613"/>
      <c r="E104613"/>
      <c r="F104613"/>
    </row>
    <row r="104614" spans="1:6" x14ac:dyDescent="0.25">
      <c r="A104614"/>
      <c r="B104614"/>
      <c r="C104614"/>
      <c r="E104614"/>
      <c r="F104614"/>
    </row>
    <row r="104615" spans="1:6" x14ac:dyDescent="0.25">
      <c r="A104615"/>
      <c r="B104615"/>
      <c r="C104615"/>
      <c r="E104615"/>
      <c r="F104615"/>
    </row>
    <row r="104616" spans="1:6" x14ac:dyDescent="0.25">
      <c r="A104616"/>
      <c r="B104616"/>
      <c r="C104616"/>
      <c r="E104616"/>
      <c r="F104616"/>
    </row>
    <row r="104617" spans="1:6" x14ac:dyDescent="0.25">
      <c r="A104617"/>
      <c r="B104617"/>
      <c r="C104617"/>
      <c r="E104617"/>
      <c r="F104617"/>
    </row>
    <row r="104618" spans="1:6" x14ac:dyDescent="0.25">
      <c r="A104618"/>
      <c r="B104618"/>
      <c r="C104618"/>
      <c r="E104618"/>
      <c r="F104618"/>
    </row>
    <row r="104619" spans="1:6" x14ac:dyDescent="0.25">
      <c r="A104619"/>
      <c r="B104619"/>
      <c r="C104619"/>
      <c r="E104619"/>
      <c r="F104619"/>
    </row>
    <row r="104620" spans="1:6" x14ac:dyDescent="0.25">
      <c r="A104620"/>
      <c r="B104620"/>
      <c r="C104620"/>
      <c r="E104620"/>
      <c r="F104620"/>
    </row>
    <row r="104621" spans="1:6" x14ac:dyDescent="0.25">
      <c r="A104621"/>
      <c r="B104621"/>
      <c r="C104621"/>
      <c r="E104621"/>
      <c r="F104621"/>
    </row>
    <row r="104622" spans="1:6" x14ac:dyDescent="0.25">
      <c r="A104622"/>
      <c r="B104622"/>
      <c r="C104622"/>
      <c r="E104622"/>
      <c r="F104622"/>
    </row>
    <row r="104623" spans="1:6" x14ac:dyDescent="0.25">
      <c r="A104623"/>
      <c r="B104623"/>
      <c r="C104623"/>
      <c r="E104623"/>
      <c r="F104623"/>
    </row>
    <row r="104624" spans="1:6" x14ac:dyDescent="0.25">
      <c r="A104624"/>
      <c r="B104624"/>
      <c r="C104624"/>
      <c r="E104624"/>
      <c r="F104624"/>
    </row>
    <row r="104625" spans="1:6" x14ac:dyDescent="0.25">
      <c r="A104625"/>
      <c r="B104625"/>
      <c r="C104625"/>
      <c r="E104625"/>
      <c r="F104625"/>
    </row>
    <row r="104626" spans="1:6" x14ac:dyDescent="0.25">
      <c r="A104626"/>
      <c r="B104626"/>
      <c r="C104626"/>
      <c r="E104626"/>
      <c r="F104626"/>
    </row>
    <row r="104627" spans="1:6" x14ac:dyDescent="0.25">
      <c r="A104627"/>
      <c r="B104627"/>
      <c r="C104627"/>
      <c r="E104627"/>
      <c r="F104627"/>
    </row>
    <row r="104628" spans="1:6" x14ac:dyDescent="0.25">
      <c r="A104628"/>
      <c r="B104628"/>
      <c r="C104628"/>
      <c r="E104628"/>
      <c r="F104628"/>
    </row>
    <row r="104629" spans="1:6" x14ac:dyDescent="0.25">
      <c r="A104629"/>
      <c r="B104629"/>
      <c r="C104629"/>
      <c r="E104629"/>
      <c r="F104629"/>
    </row>
    <row r="104630" spans="1:6" x14ac:dyDescent="0.25">
      <c r="A104630"/>
      <c r="B104630"/>
      <c r="C104630"/>
      <c r="E104630"/>
      <c r="F104630"/>
    </row>
    <row r="104631" spans="1:6" x14ac:dyDescent="0.25">
      <c r="A104631"/>
      <c r="B104631"/>
      <c r="C104631"/>
      <c r="E104631"/>
      <c r="F104631"/>
    </row>
    <row r="104632" spans="1:6" x14ac:dyDescent="0.25">
      <c r="A104632"/>
      <c r="B104632"/>
      <c r="C104632"/>
      <c r="E104632"/>
      <c r="F104632"/>
    </row>
    <row r="104633" spans="1:6" x14ac:dyDescent="0.25">
      <c r="A104633"/>
      <c r="B104633"/>
      <c r="C104633"/>
      <c r="E104633"/>
      <c r="F104633"/>
    </row>
    <row r="104634" spans="1:6" x14ac:dyDescent="0.25">
      <c r="A104634"/>
      <c r="B104634"/>
      <c r="C104634"/>
      <c r="E104634"/>
      <c r="F104634"/>
    </row>
    <row r="104635" spans="1:6" x14ac:dyDescent="0.25">
      <c r="A104635"/>
      <c r="B104635"/>
      <c r="C104635"/>
      <c r="E104635"/>
      <c r="F104635"/>
    </row>
    <row r="104636" spans="1:6" x14ac:dyDescent="0.25">
      <c r="A104636"/>
      <c r="B104636"/>
      <c r="C104636"/>
      <c r="E104636"/>
      <c r="F104636"/>
    </row>
    <row r="104637" spans="1:6" x14ac:dyDescent="0.25">
      <c r="A104637"/>
      <c r="B104637"/>
      <c r="C104637"/>
      <c r="E104637"/>
      <c r="F104637"/>
    </row>
    <row r="104638" spans="1:6" x14ac:dyDescent="0.25">
      <c r="A104638"/>
      <c r="B104638"/>
      <c r="C104638"/>
      <c r="E104638"/>
      <c r="F104638"/>
    </row>
    <row r="104639" spans="1:6" x14ac:dyDescent="0.25">
      <c r="A104639"/>
      <c r="B104639"/>
      <c r="C104639"/>
      <c r="E104639"/>
      <c r="F104639"/>
    </row>
    <row r="104640" spans="1:6" x14ac:dyDescent="0.25">
      <c r="A104640"/>
      <c r="B104640"/>
      <c r="C104640"/>
      <c r="E104640"/>
      <c r="F104640"/>
    </row>
    <row r="104641" spans="1:6" x14ac:dyDescent="0.25">
      <c r="A104641"/>
      <c r="B104641"/>
      <c r="C104641"/>
      <c r="E104641"/>
      <c r="F104641"/>
    </row>
    <row r="104642" spans="1:6" x14ac:dyDescent="0.25">
      <c r="A104642"/>
      <c r="B104642"/>
      <c r="C104642"/>
      <c r="E104642"/>
      <c r="F104642"/>
    </row>
    <row r="104643" spans="1:6" x14ac:dyDescent="0.25">
      <c r="A104643"/>
      <c r="B104643"/>
      <c r="C104643"/>
      <c r="E104643"/>
      <c r="F104643"/>
    </row>
    <row r="104644" spans="1:6" x14ac:dyDescent="0.25">
      <c r="A104644"/>
      <c r="B104644"/>
      <c r="C104644"/>
      <c r="E104644"/>
      <c r="F104644"/>
    </row>
    <row r="104645" spans="1:6" x14ac:dyDescent="0.25">
      <c r="A104645"/>
      <c r="B104645"/>
      <c r="C104645"/>
      <c r="E104645"/>
      <c r="F104645"/>
    </row>
    <row r="104646" spans="1:6" x14ac:dyDescent="0.25">
      <c r="A104646"/>
      <c r="B104646"/>
      <c r="C104646"/>
      <c r="E104646"/>
      <c r="F104646"/>
    </row>
    <row r="104647" spans="1:6" x14ac:dyDescent="0.25">
      <c r="A104647"/>
      <c r="B104647"/>
      <c r="C104647"/>
      <c r="E104647"/>
      <c r="F104647"/>
    </row>
    <row r="104648" spans="1:6" x14ac:dyDescent="0.25">
      <c r="A104648"/>
      <c r="B104648"/>
      <c r="C104648"/>
      <c r="E104648"/>
      <c r="F104648"/>
    </row>
    <row r="104649" spans="1:6" x14ac:dyDescent="0.25">
      <c r="A104649"/>
      <c r="B104649"/>
      <c r="C104649"/>
      <c r="E104649"/>
      <c r="F104649"/>
    </row>
    <row r="104650" spans="1:6" x14ac:dyDescent="0.25">
      <c r="A104650"/>
      <c r="B104650"/>
      <c r="C104650"/>
      <c r="E104650"/>
      <c r="F104650"/>
    </row>
    <row r="104651" spans="1:6" x14ac:dyDescent="0.25">
      <c r="A104651"/>
      <c r="B104651"/>
      <c r="C104651"/>
      <c r="E104651"/>
      <c r="F104651"/>
    </row>
    <row r="104652" spans="1:6" x14ac:dyDescent="0.25">
      <c r="A104652"/>
      <c r="B104652"/>
      <c r="C104652"/>
      <c r="E104652"/>
      <c r="F104652"/>
    </row>
    <row r="104653" spans="1:6" x14ac:dyDescent="0.25">
      <c r="A104653"/>
      <c r="B104653"/>
      <c r="C104653"/>
      <c r="E104653"/>
      <c r="F104653"/>
    </row>
    <row r="104654" spans="1:6" x14ac:dyDescent="0.25">
      <c r="A104654"/>
      <c r="B104654"/>
      <c r="C104654"/>
      <c r="E104654"/>
      <c r="F104654"/>
    </row>
    <row r="104655" spans="1:6" x14ac:dyDescent="0.25">
      <c r="A104655"/>
      <c r="B104655"/>
      <c r="C104655"/>
      <c r="E104655"/>
      <c r="F104655"/>
    </row>
    <row r="104656" spans="1:6" x14ac:dyDescent="0.25">
      <c r="A104656"/>
      <c r="B104656"/>
      <c r="C104656"/>
      <c r="E104656"/>
      <c r="F104656"/>
    </row>
    <row r="104657" spans="1:6" x14ac:dyDescent="0.25">
      <c r="A104657"/>
      <c r="B104657"/>
      <c r="C104657"/>
      <c r="E104657"/>
      <c r="F104657"/>
    </row>
    <row r="104658" spans="1:6" x14ac:dyDescent="0.25">
      <c r="A104658"/>
      <c r="B104658"/>
      <c r="C104658"/>
      <c r="E104658"/>
      <c r="F104658"/>
    </row>
    <row r="104659" spans="1:6" x14ac:dyDescent="0.25">
      <c r="A104659"/>
      <c r="B104659"/>
      <c r="C104659"/>
      <c r="E104659"/>
      <c r="F104659"/>
    </row>
    <row r="104660" spans="1:6" x14ac:dyDescent="0.25">
      <c r="A104660"/>
      <c r="B104660"/>
      <c r="C104660"/>
      <c r="E104660"/>
      <c r="F104660"/>
    </row>
    <row r="104661" spans="1:6" x14ac:dyDescent="0.25">
      <c r="A104661"/>
      <c r="B104661"/>
      <c r="C104661"/>
      <c r="E104661"/>
      <c r="F104661"/>
    </row>
    <row r="104662" spans="1:6" x14ac:dyDescent="0.25">
      <c r="A104662"/>
      <c r="B104662"/>
      <c r="C104662"/>
      <c r="E104662"/>
      <c r="F104662"/>
    </row>
    <row r="104663" spans="1:6" x14ac:dyDescent="0.25">
      <c r="A104663"/>
      <c r="B104663"/>
      <c r="C104663"/>
      <c r="E104663"/>
      <c r="F104663"/>
    </row>
    <row r="104664" spans="1:6" x14ac:dyDescent="0.25">
      <c r="A104664"/>
      <c r="B104664"/>
      <c r="C104664"/>
      <c r="E104664"/>
      <c r="F104664"/>
    </row>
    <row r="104665" spans="1:6" x14ac:dyDescent="0.25">
      <c r="A104665"/>
      <c r="B104665"/>
      <c r="C104665"/>
      <c r="E104665"/>
      <c r="F104665"/>
    </row>
    <row r="104666" spans="1:6" x14ac:dyDescent="0.25">
      <c r="A104666"/>
      <c r="B104666"/>
      <c r="C104666"/>
      <c r="E104666"/>
      <c r="F104666"/>
    </row>
    <row r="104667" spans="1:6" x14ac:dyDescent="0.25">
      <c r="A104667"/>
      <c r="B104667"/>
      <c r="C104667"/>
      <c r="E104667"/>
      <c r="F104667"/>
    </row>
    <row r="104668" spans="1:6" x14ac:dyDescent="0.25">
      <c r="A104668"/>
      <c r="B104668"/>
      <c r="C104668"/>
      <c r="E104668"/>
      <c r="F104668"/>
    </row>
    <row r="104669" spans="1:6" x14ac:dyDescent="0.25">
      <c r="A104669"/>
      <c r="B104669"/>
      <c r="C104669"/>
      <c r="E104669"/>
      <c r="F104669"/>
    </row>
    <row r="104670" spans="1:6" x14ac:dyDescent="0.25">
      <c r="A104670"/>
      <c r="B104670"/>
      <c r="C104670"/>
      <c r="E104670"/>
      <c r="F104670"/>
    </row>
    <row r="104671" spans="1:6" x14ac:dyDescent="0.25">
      <c r="A104671"/>
      <c r="B104671"/>
      <c r="C104671"/>
      <c r="E104671"/>
      <c r="F104671"/>
    </row>
    <row r="104672" spans="1:6" x14ac:dyDescent="0.25">
      <c r="A104672"/>
      <c r="B104672"/>
      <c r="C104672"/>
      <c r="E104672"/>
      <c r="F104672"/>
    </row>
    <row r="104673" spans="1:6" x14ac:dyDescent="0.25">
      <c r="A104673"/>
      <c r="B104673"/>
      <c r="C104673"/>
      <c r="E104673"/>
      <c r="F104673"/>
    </row>
    <row r="104674" spans="1:6" x14ac:dyDescent="0.25">
      <c r="A104674"/>
      <c r="B104674"/>
      <c r="C104674"/>
      <c r="E104674"/>
      <c r="F104674"/>
    </row>
    <row r="104675" spans="1:6" x14ac:dyDescent="0.25">
      <c r="A104675"/>
      <c r="B104675"/>
      <c r="C104675"/>
      <c r="E104675"/>
      <c r="F104675"/>
    </row>
    <row r="104676" spans="1:6" x14ac:dyDescent="0.25">
      <c r="A104676"/>
      <c r="B104676"/>
      <c r="C104676"/>
      <c r="E104676"/>
      <c r="F104676"/>
    </row>
    <row r="104677" spans="1:6" x14ac:dyDescent="0.25">
      <c r="A104677"/>
      <c r="B104677"/>
      <c r="C104677"/>
      <c r="E104677"/>
      <c r="F104677"/>
    </row>
    <row r="104678" spans="1:6" x14ac:dyDescent="0.25">
      <c r="A104678"/>
      <c r="B104678"/>
      <c r="C104678"/>
      <c r="E104678"/>
      <c r="F104678"/>
    </row>
    <row r="104679" spans="1:6" x14ac:dyDescent="0.25">
      <c r="A104679"/>
      <c r="B104679"/>
      <c r="C104679"/>
      <c r="E104679"/>
      <c r="F104679"/>
    </row>
    <row r="104680" spans="1:6" x14ac:dyDescent="0.25">
      <c r="A104680"/>
      <c r="B104680"/>
      <c r="C104680"/>
      <c r="E104680"/>
      <c r="F104680"/>
    </row>
    <row r="104681" spans="1:6" x14ac:dyDescent="0.25">
      <c r="A104681"/>
      <c r="B104681"/>
      <c r="C104681"/>
      <c r="E104681"/>
      <c r="F104681"/>
    </row>
    <row r="104682" spans="1:6" x14ac:dyDescent="0.25">
      <c r="A104682"/>
      <c r="B104682"/>
      <c r="C104682"/>
      <c r="E104682"/>
      <c r="F104682"/>
    </row>
    <row r="104683" spans="1:6" x14ac:dyDescent="0.25">
      <c r="A104683"/>
      <c r="B104683"/>
      <c r="C104683"/>
      <c r="E104683"/>
      <c r="F104683"/>
    </row>
    <row r="104684" spans="1:6" x14ac:dyDescent="0.25">
      <c r="A104684"/>
      <c r="B104684"/>
      <c r="C104684"/>
      <c r="E104684"/>
      <c r="F104684"/>
    </row>
    <row r="104685" spans="1:6" x14ac:dyDescent="0.25">
      <c r="A104685"/>
      <c r="B104685"/>
      <c r="C104685"/>
      <c r="E104685"/>
      <c r="F104685"/>
    </row>
    <row r="104686" spans="1:6" x14ac:dyDescent="0.25">
      <c r="A104686"/>
      <c r="B104686"/>
      <c r="C104686"/>
      <c r="E104686"/>
      <c r="F104686"/>
    </row>
    <row r="104687" spans="1:6" x14ac:dyDescent="0.25">
      <c r="A104687"/>
      <c r="B104687"/>
      <c r="C104687"/>
      <c r="E104687"/>
      <c r="F104687"/>
    </row>
    <row r="104688" spans="1:6" x14ac:dyDescent="0.25">
      <c r="A104688"/>
      <c r="B104688"/>
      <c r="C104688"/>
      <c r="E104688"/>
      <c r="F104688"/>
    </row>
    <row r="104689" spans="1:6" x14ac:dyDescent="0.25">
      <c r="A104689"/>
      <c r="B104689"/>
      <c r="C104689"/>
      <c r="E104689"/>
      <c r="F104689"/>
    </row>
    <row r="104690" spans="1:6" x14ac:dyDescent="0.25">
      <c r="A104690"/>
      <c r="B104690"/>
      <c r="C104690"/>
      <c r="E104690"/>
      <c r="F104690"/>
    </row>
    <row r="104691" spans="1:6" x14ac:dyDescent="0.25">
      <c r="A104691"/>
      <c r="B104691"/>
      <c r="C104691"/>
      <c r="E104691"/>
      <c r="F104691"/>
    </row>
    <row r="104692" spans="1:6" x14ac:dyDescent="0.25">
      <c r="A104692"/>
      <c r="B104692"/>
      <c r="C104692"/>
      <c r="E104692"/>
      <c r="F104692"/>
    </row>
    <row r="104693" spans="1:6" x14ac:dyDescent="0.25">
      <c r="A104693"/>
      <c r="B104693"/>
      <c r="C104693"/>
      <c r="E104693"/>
      <c r="F104693"/>
    </row>
    <row r="104694" spans="1:6" x14ac:dyDescent="0.25">
      <c r="A104694"/>
      <c r="B104694"/>
      <c r="C104694"/>
      <c r="E104694"/>
      <c r="F104694"/>
    </row>
    <row r="104695" spans="1:6" x14ac:dyDescent="0.25">
      <c r="A104695"/>
      <c r="B104695"/>
      <c r="C104695"/>
      <c r="E104695"/>
      <c r="F104695"/>
    </row>
    <row r="104696" spans="1:6" x14ac:dyDescent="0.25">
      <c r="A104696"/>
      <c r="B104696"/>
      <c r="C104696"/>
      <c r="E104696"/>
      <c r="F104696"/>
    </row>
    <row r="104697" spans="1:6" x14ac:dyDescent="0.25">
      <c r="A104697"/>
      <c r="B104697"/>
      <c r="C104697"/>
      <c r="E104697"/>
      <c r="F104697"/>
    </row>
    <row r="104698" spans="1:6" x14ac:dyDescent="0.25">
      <c r="A104698"/>
      <c r="B104698"/>
      <c r="C104698"/>
      <c r="E104698"/>
      <c r="F104698"/>
    </row>
    <row r="104699" spans="1:6" x14ac:dyDescent="0.25">
      <c r="A104699"/>
      <c r="B104699"/>
      <c r="C104699"/>
      <c r="E104699"/>
      <c r="F104699"/>
    </row>
    <row r="104700" spans="1:6" x14ac:dyDescent="0.25">
      <c r="A104700"/>
      <c r="B104700"/>
      <c r="C104700"/>
      <c r="E104700"/>
      <c r="F104700"/>
    </row>
    <row r="104701" spans="1:6" x14ac:dyDescent="0.25">
      <c r="A104701"/>
      <c r="B104701"/>
      <c r="C104701"/>
      <c r="E104701"/>
      <c r="F104701"/>
    </row>
    <row r="104702" spans="1:6" x14ac:dyDescent="0.25">
      <c r="A104702"/>
      <c r="B104702"/>
      <c r="C104702"/>
      <c r="E104702"/>
      <c r="F104702"/>
    </row>
    <row r="104703" spans="1:6" x14ac:dyDescent="0.25">
      <c r="A104703"/>
      <c r="B104703"/>
      <c r="C104703"/>
      <c r="E104703"/>
      <c r="F104703"/>
    </row>
    <row r="104704" spans="1:6" x14ac:dyDescent="0.25">
      <c r="A104704"/>
      <c r="B104704"/>
      <c r="C104704"/>
      <c r="E104704"/>
      <c r="F104704"/>
    </row>
    <row r="104705" spans="1:6" x14ac:dyDescent="0.25">
      <c r="A104705"/>
      <c r="B104705"/>
      <c r="C104705"/>
      <c r="E104705"/>
      <c r="F104705"/>
    </row>
    <row r="104706" spans="1:6" x14ac:dyDescent="0.25">
      <c r="A104706"/>
      <c r="B104706"/>
      <c r="C104706"/>
      <c r="E104706"/>
      <c r="F104706"/>
    </row>
    <row r="104707" spans="1:6" x14ac:dyDescent="0.25">
      <c r="A104707"/>
      <c r="B104707"/>
      <c r="C104707"/>
      <c r="E104707"/>
      <c r="F104707"/>
    </row>
    <row r="104708" spans="1:6" x14ac:dyDescent="0.25">
      <c r="A104708"/>
      <c r="B104708"/>
      <c r="C104708"/>
      <c r="E104708"/>
      <c r="F104708"/>
    </row>
    <row r="104709" spans="1:6" x14ac:dyDescent="0.25">
      <c r="A104709"/>
      <c r="B104709"/>
      <c r="C104709"/>
      <c r="E104709"/>
      <c r="F104709"/>
    </row>
    <row r="104710" spans="1:6" x14ac:dyDescent="0.25">
      <c r="A104710"/>
      <c r="B104710"/>
      <c r="C104710"/>
      <c r="E104710"/>
      <c r="F104710"/>
    </row>
    <row r="104711" spans="1:6" x14ac:dyDescent="0.25">
      <c r="A104711"/>
      <c r="B104711"/>
      <c r="C104711"/>
      <c r="E104711"/>
      <c r="F104711"/>
    </row>
    <row r="104712" spans="1:6" x14ac:dyDescent="0.25">
      <c r="A104712"/>
      <c r="B104712"/>
      <c r="C104712"/>
      <c r="E104712"/>
      <c r="F104712"/>
    </row>
    <row r="104713" spans="1:6" x14ac:dyDescent="0.25">
      <c r="A104713"/>
      <c r="B104713"/>
      <c r="C104713"/>
      <c r="E104713"/>
      <c r="F104713"/>
    </row>
    <row r="104714" spans="1:6" x14ac:dyDescent="0.25">
      <c r="A104714"/>
      <c r="B104714"/>
      <c r="C104714"/>
      <c r="E104714"/>
      <c r="F104714"/>
    </row>
    <row r="104715" spans="1:6" x14ac:dyDescent="0.25">
      <c r="A104715"/>
      <c r="B104715"/>
      <c r="C104715"/>
      <c r="E104715"/>
      <c r="F104715"/>
    </row>
    <row r="104716" spans="1:6" x14ac:dyDescent="0.25">
      <c r="A104716"/>
      <c r="B104716"/>
      <c r="C104716"/>
      <c r="E104716"/>
      <c r="F104716"/>
    </row>
    <row r="104717" spans="1:6" x14ac:dyDescent="0.25">
      <c r="A104717"/>
      <c r="B104717"/>
      <c r="C104717"/>
      <c r="E104717"/>
      <c r="F104717"/>
    </row>
    <row r="104718" spans="1:6" x14ac:dyDescent="0.25">
      <c r="A104718"/>
      <c r="B104718"/>
      <c r="C104718"/>
      <c r="E104718"/>
      <c r="F104718"/>
    </row>
    <row r="104719" spans="1:6" x14ac:dyDescent="0.25">
      <c r="A104719"/>
      <c r="B104719"/>
      <c r="C104719"/>
      <c r="E104719"/>
      <c r="F104719"/>
    </row>
    <row r="104720" spans="1:6" x14ac:dyDescent="0.25">
      <c r="A104720"/>
      <c r="B104720"/>
      <c r="C104720"/>
      <c r="E104720"/>
      <c r="F104720"/>
    </row>
    <row r="104721" spans="1:6" x14ac:dyDescent="0.25">
      <c r="A104721"/>
      <c r="B104721"/>
      <c r="C104721"/>
      <c r="E104721"/>
      <c r="F104721"/>
    </row>
    <row r="104722" spans="1:6" x14ac:dyDescent="0.25">
      <c r="A104722"/>
      <c r="B104722"/>
      <c r="C104722"/>
      <c r="E104722"/>
      <c r="F104722"/>
    </row>
    <row r="104723" spans="1:6" x14ac:dyDescent="0.25">
      <c r="A104723"/>
      <c r="B104723"/>
      <c r="C104723"/>
      <c r="E104723"/>
      <c r="F104723"/>
    </row>
    <row r="104724" spans="1:6" x14ac:dyDescent="0.25">
      <c r="A104724"/>
      <c r="B104724"/>
      <c r="C104724"/>
      <c r="E104724"/>
      <c r="F104724"/>
    </row>
    <row r="104725" spans="1:6" x14ac:dyDescent="0.25">
      <c r="A104725"/>
      <c r="B104725"/>
      <c r="C104725"/>
      <c r="E104725"/>
      <c r="F104725"/>
    </row>
    <row r="104726" spans="1:6" x14ac:dyDescent="0.25">
      <c r="A104726"/>
      <c r="B104726"/>
      <c r="C104726"/>
      <c r="E104726"/>
      <c r="F104726"/>
    </row>
    <row r="104727" spans="1:6" x14ac:dyDescent="0.25">
      <c r="A104727"/>
      <c r="B104727"/>
      <c r="C104727"/>
      <c r="E104727"/>
      <c r="F104727"/>
    </row>
    <row r="104728" spans="1:6" x14ac:dyDescent="0.25">
      <c r="A104728"/>
      <c r="B104728"/>
      <c r="C104728"/>
      <c r="E104728"/>
      <c r="F104728"/>
    </row>
    <row r="104729" spans="1:6" x14ac:dyDescent="0.25">
      <c r="A104729"/>
      <c r="B104729"/>
      <c r="C104729"/>
      <c r="E104729"/>
      <c r="F104729"/>
    </row>
    <row r="104730" spans="1:6" x14ac:dyDescent="0.25">
      <c r="A104730"/>
      <c r="B104730"/>
      <c r="C104730"/>
      <c r="E104730"/>
      <c r="F104730"/>
    </row>
    <row r="104731" spans="1:6" x14ac:dyDescent="0.25">
      <c r="A104731"/>
      <c r="B104731"/>
      <c r="C104731"/>
      <c r="E104731"/>
      <c r="F104731"/>
    </row>
    <row r="104732" spans="1:6" x14ac:dyDescent="0.25">
      <c r="A104732"/>
      <c r="B104732"/>
      <c r="C104732"/>
      <c r="E104732"/>
      <c r="F104732"/>
    </row>
    <row r="104733" spans="1:6" x14ac:dyDescent="0.25">
      <c r="A104733"/>
      <c r="B104733"/>
      <c r="C104733"/>
      <c r="E104733"/>
      <c r="F104733"/>
    </row>
    <row r="104734" spans="1:6" x14ac:dyDescent="0.25">
      <c r="A104734"/>
      <c r="B104734"/>
      <c r="C104734"/>
      <c r="E104734"/>
      <c r="F104734"/>
    </row>
    <row r="104735" spans="1:6" x14ac:dyDescent="0.25">
      <c r="A104735"/>
      <c r="B104735"/>
      <c r="C104735"/>
      <c r="E104735"/>
      <c r="F104735"/>
    </row>
    <row r="104736" spans="1:6" x14ac:dyDescent="0.25">
      <c r="A104736"/>
      <c r="B104736"/>
      <c r="C104736"/>
      <c r="E104736"/>
      <c r="F104736"/>
    </row>
    <row r="104737" spans="1:6" x14ac:dyDescent="0.25">
      <c r="A104737"/>
      <c r="B104737"/>
      <c r="C104737"/>
      <c r="E104737"/>
      <c r="F104737"/>
    </row>
    <row r="104738" spans="1:6" x14ac:dyDescent="0.25">
      <c r="A104738"/>
      <c r="B104738"/>
      <c r="C104738"/>
      <c r="E104738"/>
      <c r="F104738"/>
    </row>
    <row r="104739" spans="1:6" x14ac:dyDescent="0.25">
      <c r="A104739"/>
      <c r="B104739"/>
      <c r="C104739"/>
      <c r="E104739"/>
      <c r="F104739"/>
    </row>
    <row r="104740" spans="1:6" x14ac:dyDescent="0.25">
      <c r="A104740"/>
      <c r="B104740"/>
      <c r="C104740"/>
      <c r="E104740"/>
      <c r="F104740"/>
    </row>
    <row r="104741" spans="1:6" x14ac:dyDescent="0.25">
      <c r="A104741"/>
      <c r="B104741"/>
      <c r="C104741"/>
      <c r="E104741"/>
      <c r="F104741"/>
    </row>
    <row r="104742" spans="1:6" x14ac:dyDescent="0.25">
      <c r="A104742"/>
      <c r="B104742"/>
      <c r="C104742"/>
      <c r="E104742"/>
      <c r="F104742"/>
    </row>
    <row r="104743" spans="1:6" x14ac:dyDescent="0.25">
      <c r="A104743"/>
      <c r="B104743"/>
      <c r="C104743"/>
      <c r="E104743"/>
      <c r="F104743"/>
    </row>
    <row r="104744" spans="1:6" x14ac:dyDescent="0.25">
      <c r="A104744"/>
      <c r="B104744"/>
      <c r="C104744"/>
      <c r="E104744"/>
      <c r="F104744"/>
    </row>
    <row r="104745" spans="1:6" x14ac:dyDescent="0.25">
      <c r="A104745"/>
      <c r="B104745"/>
      <c r="C104745"/>
      <c r="E104745"/>
      <c r="F104745"/>
    </row>
    <row r="104746" spans="1:6" x14ac:dyDescent="0.25">
      <c r="A104746"/>
      <c r="B104746"/>
      <c r="C104746"/>
      <c r="E104746"/>
      <c r="F104746"/>
    </row>
    <row r="104747" spans="1:6" x14ac:dyDescent="0.25">
      <c r="A104747"/>
      <c r="B104747"/>
      <c r="C104747"/>
      <c r="E104747"/>
      <c r="F104747"/>
    </row>
    <row r="104748" spans="1:6" x14ac:dyDescent="0.25">
      <c r="A104748"/>
      <c r="B104748"/>
      <c r="C104748"/>
      <c r="E104748"/>
      <c r="F104748"/>
    </row>
    <row r="104749" spans="1:6" x14ac:dyDescent="0.25">
      <c r="A104749"/>
      <c r="B104749"/>
      <c r="C104749"/>
      <c r="E104749"/>
      <c r="F104749"/>
    </row>
    <row r="104750" spans="1:6" x14ac:dyDescent="0.25">
      <c r="A104750"/>
      <c r="B104750"/>
      <c r="C104750"/>
      <c r="E104750"/>
      <c r="F104750"/>
    </row>
    <row r="104751" spans="1:6" x14ac:dyDescent="0.25">
      <c r="A104751"/>
      <c r="B104751"/>
      <c r="C104751"/>
      <c r="E104751"/>
      <c r="F104751"/>
    </row>
    <row r="104752" spans="1:6" x14ac:dyDescent="0.25">
      <c r="A104752"/>
      <c r="B104752"/>
      <c r="C104752"/>
      <c r="E104752"/>
      <c r="F104752"/>
    </row>
    <row r="104753" spans="1:6" x14ac:dyDescent="0.25">
      <c r="A104753"/>
      <c r="B104753"/>
      <c r="C104753"/>
      <c r="E104753"/>
      <c r="F104753"/>
    </row>
    <row r="104754" spans="1:6" x14ac:dyDescent="0.25">
      <c r="A104754"/>
      <c r="B104754"/>
      <c r="C104754"/>
      <c r="E104754"/>
      <c r="F104754"/>
    </row>
    <row r="104755" spans="1:6" x14ac:dyDescent="0.25">
      <c r="A104755"/>
      <c r="B104755"/>
      <c r="C104755"/>
      <c r="E104755"/>
      <c r="F104755"/>
    </row>
    <row r="104756" spans="1:6" x14ac:dyDescent="0.25">
      <c r="A104756"/>
      <c r="B104756"/>
      <c r="C104756"/>
      <c r="E104756"/>
      <c r="F104756"/>
    </row>
    <row r="104757" spans="1:6" x14ac:dyDescent="0.25">
      <c r="A104757"/>
      <c r="B104757"/>
      <c r="C104757"/>
      <c r="E104757"/>
      <c r="F104757"/>
    </row>
    <row r="104758" spans="1:6" x14ac:dyDescent="0.25">
      <c r="A104758"/>
      <c r="B104758"/>
      <c r="C104758"/>
      <c r="E104758"/>
      <c r="F104758"/>
    </row>
    <row r="104759" spans="1:6" x14ac:dyDescent="0.25">
      <c r="A104759"/>
      <c r="B104759"/>
      <c r="C104759"/>
      <c r="E104759"/>
      <c r="F104759"/>
    </row>
    <row r="104760" spans="1:6" x14ac:dyDescent="0.25">
      <c r="A104760"/>
      <c r="B104760"/>
      <c r="C104760"/>
      <c r="E104760"/>
      <c r="F104760"/>
    </row>
    <row r="104761" spans="1:6" x14ac:dyDescent="0.25">
      <c r="A104761"/>
      <c r="B104761"/>
      <c r="C104761"/>
      <c r="E104761"/>
      <c r="F104761"/>
    </row>
    <row r="104762" spans="1:6" x14ac:dyDescent="0.25">
      <c r="A104762"/>
      <c r="B104762"/>
      <c r="C104762"/>
      <c r="E104762"/>
      <c r="F104762"/>
    </row>
    <row r="104763" spans="1:6" x14ac:dyDescent="0.25">
      <c r="A104763"/>
      <c r="B104763"/>
      <c r="C104763"/>
      <c r="E104763"/>
      <c r="F104763"/>
    </row>
    <row r="104764" spans="1:6" x14ac:dyDescent="0.25">
      <c r="A104764"/>
      <c r="B104764"/>
      <c r="C104764"/>
      <c r="E104764"/>
      <c r="F104764"/>
    </row>
    <row r="104765" spans="1:6" x14ac:dyDescent="0.25">
      <c r="A104765"/>
      <c r="B104765"/>
      <c r="C104765"/>
      <c r="E104765"/>
      <c r="F104765"/>
    </row>
    <row r="104766" spans="1:6" x14ac:dyDescent="0.25">
      <c r="A104766"/>
      <c r="B104766"/>
      <c r="C104766"/>
      <c r="E104766"/>
      <c r="F104766"/>
    </row>
    <row r="104767" spans="1:6" x14ac:dyDescent="0.25">
      <c r="A104767"/>
      <c r="B104767"/>
      <c r="C104767"/>
      <c r="E104767"/>
      <c r="F104767"/>
    </row>
    <row r="104768" spans="1:6" x14ac:dyDescent="0.25">
      <c r="A104768"/>
      <c r="B104768"/>
      <c r="C104768"/>
      <c r="E104768"/>
      <c r="F104768"/>
    </row>
    <row r="104769" spans="1:6" x14ac:dyDescent="0.25">
      <c r="A104769"/>
      <c r="B104769"/>
      <c r="C104769"/>
      <c r="E104769"/>
      <c r="F104769"/>
    </row>
    <row r="104770" spans="1:6" x14ac:dyDescent="0.25">
      <c r="A104770"/>
      <c r="B104770"/>
      <c r="C104770"/>
      <c r="E104770"/>
      <c r="F104770"/>
    </row>
    <row r="104771" spans="1:6" x14ac:dyDescent="0.25">
      <c r="A104771"/>
      <c r="B104771"/>
      <c r="C104771"/>
      <c r="E104771"/>
      <c r="F104771"/>
    </row>
    <row r="104772" spans="1:6" x14ac:dyDescent="0.25">
      <c r="A104772"/>
      <c r="B104772"/>
      <c r="C104772"/>
      <c r="E104772"/>
      <c r="F104772"/>
    </row>
    <row r="104773" spans="1:6" x14ac:dyDescent="0.25">
      <c r="A104773"/>
      <c r="B104773"/>
      <c r="C104773"/>
      <c r="E104773"/>
      <c r="F104773"/>
    </row>
    <row r="104774" spans="1:6" x14ac:dyDescent="0.25">
      <c r="A104774"/>
      <c r="B104774"/>
      <c r="C104774"/>
      <c r="E104774"/>
      <c r="F104774"/>
    </row>
    <row r="104775" spans="1:6" x14ac:dyDescent="0.25">
      <c r="A104775"/>
      <c r="B104775"/>
      <c r="C104775"/>
      <c r="E104775"/>
      <c r="F104775"/>
    </row>
    <row r="104776" spans="1:6" x14ac:dyDescent="0.25">
      <c r="A104776"/>
      <c r="B104776"/>
      <c r="C104776"/>
      <c r="E104776"/>
      <c r="F104776"/>
    </row>
    <row r="104777" spans="1:6" x14ac:dyDescent="0.25">
      <c r="A104777"/>
      <c r="B104777"/>
      <c r="C104777"/>
      <c r="E104777"/>
      <c r="F104777"/>
    </row>
    <row r="104778" spans="1:6" x14ac:dyDescent="0.25">
      <c r="A104778"/>
      <c r="B104778"/>
      <c r="C104778"/>
      <c r="E104778"/>
      <c r="F104778"/>
    </row>
    <row r="104779" spans="1:6" x14ac:dyDescent="0.25">
      <c r="A104779"/>
      <c r="B104779"/>
      <c r="C104779"/>
      <c r="E104779"/>
      <c r="F104779"/>
    </row>
    <row r="104780" spans="1:6" x14ac:dyDescent="0.25">
      <c r="A104780"/>
      <c r="B104780"/>
      <c r="C104780"/>
      <c r="E104780"/>
      <c r="F104780"/>
    </row>
    <row r="104781" spans="1:6" x14ac:dyDescent="0.25">
      <c r="A104781"/>
      <c r="B104781"/>
      <c r="C104781"/>
      <c r="E104781"/>
      <c r="F104781"/>
    </row>
    <row r="104782" spans="1:6" x14ac:dyDescent="0.25">
      <c r="A104782"/>
      <c r="B104782"/>
      <c r="C104782"/>
      <c r="E104782"/>
      <c r="F104782"/>
    </row>
    <row r="104783" spans="1:6" x14ac:dyDescent="0.25">
      <c r="A104783"/>
      <c r="B104783"/>
      <c r="C104783"/>
      <c r="E104783"/>
      <c r="F104783"/>
    </row>
    <row r="104784" spans="1:6" x14ac:dyDescent="0.25">
      <c r="A104784"/>
      <c r="B104784"/>
      <c r="C104784"/>
      <c r="E104784"/>
      <c r="F104784"/>
    </row>
    <row r="104785" spans="1:6" x14ac:dyDescent="0.25">
      <c r="A104785"/>
      <c r="B104785"/>
      <c r="C104785"/>
      <c r="E104785"/>
      <c r="F104785"/>
    </row>
    <row r="104786" spans="1:6" x14ac:dyDescent="0.25">
      <c r="A104786"/>
      <c r="B104786"/>
      <c r="C104786"/>
      <c r="E104786"/>
      <c r="F104786"/>
    </row>
    <row r="104787" spans="1:6" x14ac:dyDescent="0.25">
      <c r="A104787"/>
      <c r="B104787"/>
      <c r="C104787"/>
      <c r="E104787"/>
      <c r="F104787"/>
    </row>
    <row r="104788" spans="1:6" x14ac:dyDescent="0.25">
      <c r="A104788"/>
      <c r="B104788"/>
      <c r="C104788"/>
      <c r="E104788"/>
      <c r="F104788"/>
    </row>
    <row r="104789" spans="1:6" x14ac:dyDescent="0.25">
      <c r="A104789"/>
      <c r="B104789"/>
      <c r="C104789"/>
      <c r="E104789"/>
      <c r="F104789"/>
    </row>
    <row r="104790" spans="1:6" x14ac:dyDescent="0.25">
      <c r="A104790"/>
      <c r="B104790"/>
      <c r="C104790"/>
      <c r="E104790"/>
      <c r="F104790"/>
    </row>
    <row r="104791" spans="1:6" x14ac:dyDescent="0.25">
      <c r="A104791"/>
      <c r="B104791"/>
      <c r="C104791"/>
      <c r="E104791"/>
      <c r="F104791"/>
    </row>
    <row r="104792" spans="1:6" x14ac:dyDescent="0.25">
      <c r="A104792"/>
      <c r="B104792"/>
      <c r="C104792"/>
      <c r="E104792"/>
      <c r="F104792"/>
    </row>
    <row r="104793" spans="1:6" x14ac:dyDescent="0.25">
      <c r="A104793"/>
      <c r="B104793"/>
      <c r="C104793"/>
      <c r="E104793"/>
      <c r="F104793"/>
    </row>
    <row r="104794" spans="1:6" x14ac:dyDescent="0.25">
      <c r="A104794"/>
      <c r="B104794"/>
      <c r="C104794"/>
      <c r="E104794"/>
      <c r="F104794"/>
    </row>
    <row r="104795" spans="1:6" x14ac:dyDescent="0.25">
      <c r="A104795"/>
      <c r="B104795"/>
      <c r="C104795"/>
      <c r="E104795"/>
      <c r="F104795"/>
    </row>
    <row r="104796" spans="1:6" x14ac:dyDescent="0.25">
      <c r="A104796"/>
      <c r="B104796"/>
      <c r="C104796"/>
      <c r="E104796"/>
      <c r="F104796"/>
    </row>
    <row r="104797" spans="1:6" x14ac:dyDescent="0.25">
      <c r="A104797"/>
      <c r="B104797"/>
      <c r="C104797"/>
      <c r="E104797"/>
      <c r="F104797"/>
    </row>
    <row r="104798" spans="1:6" x14ac:dyDescent="0.25">
      <c r="A104798"/>
      <c r="B104798"/>
      <c r="C104798"/>
      <c r="E104798"/>
      <c r="F104798"/>
    </row>
    <row r="104799" spans="1:6" x14ac:dyDescent="0.25">
      <c r="A104799"/>
      <c r="B104799"/>
      <c r="C104799"/>
      <c r="E104799"/>
      <c r="F104799"/>
    </row>
    <row r="104800" spans="1:6" x14ac:dyDescent="0.25">
      <c r="A104800"/>
      <c r="B104800"/>
      <c r="C104800"/>
      <c r="E104800"/>
      <c r="F104800"/>
    </row>
    <row r="104801" spans="1:6" x14ac:dyDescent="0.25">
      <c r="A104801"/>
      <c r="B104801"/>
      <c r="C104801"/>
      <c r="E104801"/>
      <c r="F104801"/>
    </row>
    <row r="104802" spans="1:6" x14ac:dyDescent="0.25">
      <c r="A104802"/>
      <c r="B104802"/>
      <c r="C104802"/>
      <c r="E104802"/>
      <c r="F104802"/>
    </row>
    <row r="104803" spans="1:6" x14ac:dyDescent="0.25">
      <c r="A104803"/>
      <c r="B104803"/>
      <c r="C104803"/>
      <c r="E104803"/>
      <c r="F104803"/>
    </row>
    <row r="104804" spans="1:6" x14ac:dyDescent="0.25">
      <c r="A104804"/>
      <c r="B104804"/>
      <c r="C104804"/>
      <c r="E104804"/>
      <c r="F104804"/>
    </row>
    <row r="104805" spans="1:6" x14ac:dyDescent="0.25">
      <c r="A104805"/>
      <c r="B104805"/>
      <c r="C104805"/>
      <c r="E104805"/>
      <c r="F104805"/>
    </row>
    <row r="104806" spans="1:6" x14ac:dyDescent="0.25">
      <c r="A104806"/>
      <c r="B104806"/>
      <c r="C104806"/>
      <c r="E104806"/>
      <c r="F104806"/>
    </row>
    <row r="104807" spans="1:6" x14ac:dyDescent="0.25">
      <c r="A104807"/>
      <c r="B104807"/>
      <c r="C104807"/>
      <c r="E104807"/>
      <c r="F104807"/>
    </row>
    <row r="104808" spans="1:6" x14ac:dyDescent="0.25">
      <c r="A104808"/>
      <c r="B104808"/>
      <c r="C104808"/>
      <c r="E104808"/>
      <c r="F104808"/>
    </row>
    <row r="104809" spans="1:6" x14ac:dyDescent="0.25">
      <c r="A104809"/>
      <c r="B104809"/>
      <c r="C104809"/>
      <c r="E104809"/>
      <c r="F104809"/>
    </row>
    <row r="104810" spans="1:6" x14ac:dyDescent="0.25">
      <c r="A104810"/>
      <c r="B104810"/>
      <c r="C104810"/>
      <c r="E104810"/>
      <c r="F104810"/>
    </row>
    <row r="104811" spans="1:6" x14ac:dyDescent="0.25">
      <c r="A104811"/>
      <c r="B104811"/>
      <c r="C104811"/>
      <c r="E104811"/>
      <c r="F104811"/>
    </row>
    <row r="104812" spans="1:6" x14ac:dyDescent="0.25">
      <c r="A104812"/>
      <c r="B104812"/>
      <c r="C104812"/>
      <c r="E104812"/>
      <c r="F104812"/>
    </row>
    <row r="104813" spans="1:6" x14ac:dyDescent="0.25">
      <c r="A104813"/>
      <c r="B104813"/>
      <c r="C104813"/>
      <c r="E104813"/>
      <c r="F104813"/>
    </row>
    <row r="104814" spans="1:6" x14ac:dyDescent="0.25">
      <c r="A104814"/>
      <c r="B104814"/>
      <c r="C104814"/>
      <c r="E104814"/>
      <c r="F104814"/>
    </row>
    <row r="104815" spans="1:6" x14ac:dyDescent="0.25">
      <c r="A104815"/>
      <c r="B104815"/>
      <c r="C104815"/>
      <c r="E104815"/>
      <c r="F104815"/>
    </row>
    <row r="104816" spans="1:6" x14ac:dyDescent="0.25">
      <c r="A104816"/>
      <c r="B104816"/>
      <c r="C104816"/>
      <c r="E104816"/>
      <c r="F104816"/>
    </row>
    <row r="104817" spans="1:6" x14ac:dyDescent="0.25">
      <c r="A104817"/>
      <c r="B104817"/>
      <c r="C104817"/>
      <c r="E104817"/>
      <c r="F104817"/>
    </row>
    <row r="104818" spans="1:6" x14ac:dyDescent="0.25">
      <c r="A104818"/>
      <c r="B104818"/>
      <c r="C104818"/>
      <c r="E104818"/>
      <c r="F104818"/>
    </row>
    <row r="104819" spans="1:6" x14ac:dyDescent="0.25">
      <c r="A104819"/>
      <c r="B104819"/>
      <c r="C104819"/>
      <c r="E104819"/>
      <c r="F104819"/>
    </row>
    <row r="104820" spans="1:6" x14ac:dyDescent="0.25">
      <c r="A104820"/>
      <c r="B104820"/>
      <c r="C104820"/>
      <c r="E104820"/>
      <c r="F104820"/>
    </row>
    <row r="104821" spans="1:6" x14ac:dyDescent="0.25">
      <c r="A104821"/>
      <c r="B104821"/>
      <c r="C104821"/>
      <c r="E104821"/>
      <c r="F104821"/>
    </row>
    <row r="104822" spans="1:6" x14ac:dyDescent="0.25">
      <c r="A104822"/>
      <c r="B104822"/>
      <c r="C104822"/>
      <c r="E104822"/>
      <c r="F104822"/>
    </row>
    <row r="104823" spans="1:6" x14ac:dyDescent="0.25">
      <c r="A104823"/>
      <c r="B104823"/>
      <c r="C104823"/>
      <c r="E104823"/>
      <c r="F104823"/>
    </row>
    <row r="104824" spans="1:6" x14ac:dyDescent="0.25">
      <c r="A104824"/>
      <c r="B104824"/>
      <c r="C104824"/>
      <c r="E104824"/>
      <c r="F104824"/>
    </row>
    <row r="104825" spans="1:6" x14ac:dyDescent="0.25">
      <c r="A104825"/>
      <c r="B104825"/>
      <c r="C104825"/>
      <c r="E104825"/>
      <c r="F104825"/>
    </row>
    <row r="104826" spans="1:6" x14ac:dyDescent="0.25">
      <c r="A104826"/>
      <c r="B104826"/>
      <c r="C104826"/>
      <c r="E104826"/>
      <c r="F104826"/>
    </row>
    <row r="104827" spans="1:6" x14ac:dyDescent="0.25">
      <c r="A104827"/>
      <c r="B104827"/>
      <c r="C104827"/>
      <c r="E104827"/>
      <c r="F104827"/>
    </row>
    <row r="104828" spans="1:6" x14ac:dyDescent="0.25">
      <c r="A104828"/>
      <c r="B104828"/>
      <c r="C104828"/>
      <c r="E104828"/>
      <c r="F104828"/>
    </row>
    <row r="104829" spans="1:6" x14ac:dyDescent="0.25">
      <c r="A104829"/>
      <c r="B104829"/>
      <c r="C104829"/>
      <c r="E104829"/>
      <c r="F104829"/>
    </row>
    <row r="104830" spans="1:6" x14ac:dyDescent="0.25">
      <c r="A104830"/>
      <c r="B104830"/>
      <c r="C104830"/>
      <c r="E104830"/>
      <c r="F104830"/>
    </row>
    <row r="104831" spans="1:6" x14ac:dyDescent="0.25">
      <c r="A104831"/>
      <c r="B104831"/>
      <c r="C104831"/>
      <c r="E104831"/>
      <c r="F104831"/>
    </row>
    <row r="104832" spans="1:6" x14ac:dyDescent="0.25">
      <c r="A104832"/>
      <c r="B104832"/>
      <c r="C104832"/>
      <c r="E104832"/>
      <c r="F104832"/>
    </row>
    <row r="104833" spans="1:6" x14ac:dyDescent="0.25">
      <c r="A104833"/>
      <c r="B104833"/>
      <c r="C104833"/>
      <c r="E104833"/>
      <c r="F104833"/>
    </row>
    <row r="104834" spans="1:6" x14ac:dyDescent="0.25">
      <c r="A104834"/>
      <c r="B104834"/>
      <c r="C104834"/>
      <c r="E104834"/>
      <c r="F104834"/>
    </row>
    <row r="104835" spans="1:6" x14ac:dyDescent="0.25">
      <c r="A104835"/>
      <c r="B104835"/>
      <c r="C104835"/>
      <c r="E104835"/>
      <c r="F104835"/>
    </row>
    <row r="104836" spans="1:6" x14ac:dyDescent="0.25">
      <c r="A104836"/>
      <c r="B104836"/>
      <c r="C104836"/>
      <c r="E104836"/>
      <c r="F104836"/>
    </row>
    <row r="104837" spans="1:6" x14ac:dyDescent="0.25">
      <c r="A104837"/>
      <c r="B104837"/>
      <c r="C104837"/>
      <c r="E104837"/>
      <c r="F104837"/>
    </row>
    <row r="104838" spans="1:6" x14ac:dyDescent="0.25">
      <c r="A104838"/>
      <c r="B104838"/>
      <c r="C104838"/>
      <c r="E104838"/>
      <c r="F104838"/>
    </row>
    <row r="104839" spans="1:6" x14ac:dyDescent="0.25">
      <c r="A104839"/>
      <c r="B104839"/>
      <c r="C104839"/>
      <c r="E104839"/>
      <c r="F104839"/>
    </row>
    <row r="104840" spans="1:6" x14ac:dyDescent="0.25">
      <c r="A104840"/>
      <c r="B104840"/>
      <c r="C104840"/>
      <c r="E104840"/>
      <c r="F104840"/>
    </row>
    <row r="104841" spans="1:6" x14ac:dyDescent="0.25">
      <c r="A104841"/>
      <c r="B104841"/>
      <c r="C104841"/>
      <c r="E104841"/>
      <c r="F104841"/>
    </row>
    <row r="104842" spans="1:6" x14ac:dyDescent="0.25">
      <c r="A104842"/>
      <c r="B104842"/>
      <c r="C104842"/>
      <c r="E104842"/>
      <c r="F104842"/>
    </row>
    <row r="104843" spans="1:6" x14ac:dyDescent="0.25">
      <c r="A104843"/>
      <c r="B104843"/>
      <c r="C104843"/>
      <c r="E104843"/>
      <c r="F104843"/>
    </row>
    <row r="104844" spans="1:6" x14ac:dyDescent="0.25">
      <c r="A104844"/>
      <c r="B104844"/>
      <c r="C104844"/>
      <c r="E104844"/>
      <c r="F104844"/>
    </row>
    <row r="104845" spans="1:6" x14ac:dyDescent="0.25">
      <c r="A104845"/>
      <c r="B104845"/>
      <c r="C104845"/>
      <c r="E104845"/>
      <c r="F104845"/>
    </row>
    <row r="104846" spans="1:6" x14ac:dyDescent="0.25">
      <c r="A104846"/>
      <c r="B104846"/>
      <c r="C104846"/>
      <c r="E104846"/>
      <c r="F104846"/>
    </row>
    <row r="104847" spans="1:6" x14ac:dyDescent="0.25">
      <c r="A104847"/>
      <c r="B104847"/>
      <c r="C104847"/>
      <c r="E104847"/>
      <c r="F104847"/>
    </row>
    <row r="104848" spans="1:6" x14ac:dyDescent="0.25">
      <c r="A104848"/>
      <c r="B104848"/>
      <c r="C104848"/>
      <c r="E104848"/>
      <c r="F104848"/>
    </row>
    <row r="104849" spans="1:6" x14ac:dyDescent="0.25">
      <c r="A104849"/>
      <c r="B104849"/>
      <c r="C104849"/>
      <c r="E104849"/>
      <c r="F104849"/>
    </row>
    <row r="104850" spans="1:6" x14ac:dyDescent="0.25">
      <c r="A104850"/>
      <c r="B104850"/>
      <c r="C104850"/>
      <c r="E104850"/>
      <c r="F104850"/>
    </row>
    <row r="104851" spans="1:6" x14ac:dyDescent="0.25">
      <c r="A104851"/>
      <c r="B104851"/>
      <c r="C104851"/>
      <c r="E104851"/>
      <c r="F104851"/>
    </row>
    <row r="104852" spans="1:6" x14ac:dyDescent="0.25">
      <c r="A104852"/>
      <c r="B104852"/>
      <c r="C104852"/>
      <c r="E104852"/>
      <c r="F104852"/>
    </row>
    <row r="104853" spans="1:6" x14ac:dyDescent="0.25">
      <c r="A104853"/>
      <c r="B104853"/>
      <c r="C104853"/>
      <c r="E104853"/>
      <c r="F104853"/>
    </row>
    <row r="104854" spans="1:6" x14ac:dyDescent="0.25">
      <c r="A104854"/>
      <c r="B104854"/>
      <c r="C104854"/>
      <c r="E104854"/>
      <c r="F104854"/>
    </row>
    <row r="104855" spans="1:6" x14ac:dyDescent="0.25">
      <c r="A104855"/>
      <c r="B104855"/>
      <c r="C104855"/>
      <c r="E104855"/>
      <c r="F104855"/>
    </row>
    <row r="104856" spans="1:6" x14ac:dyDescent="0.25">
      <c r="A104856"/>
      <c r="B104856"/>
      <c r="C104856"/>
      <c r="E104856"/>
      <c r="F104856"/>
    </row>
    <row r="104857" spans="1:6" x14ac:dyDescent="0.25">
      <c r="A104857"/>
      <c r="B104857"/>
      <c r="C104857"/>
      <c r="E104857"/>
      <c r="F104857"/>
    </row>
    <row r="104858" spans="1:6" x14ac:dyDescent="0.25">
      <c r="A104858"/>
      <c r="B104858"/>
      <c r="C104858"/>
      <c r="E104858"/>
      <c r="F104858"/>
    </row>
    <row r="104859" spans="1:6" x14ac:dyDescent="0.25">
      <c r="A104859"/>
      <c r="B104859"/>
      <c r="C104859"/>
      <c r="E104859"/>
      <c r="F104859"/>
    </row>
    <row r="104860" spans="1:6" x14ac:dyDescent="0.25">
      <c r="A104860"/>
      <c r="B104860"/>
      <c r="C104860"/>
      <c r="E104860"/>
      <c r="F104860"/>
    </row>
    <row r="104861" spans="1:6" x14ac:dyDescent="0.25">
      <c r="A104861"/>
      <c r="B104861"/>
      <c r="C104861"/>
      <c r="E104861"/>
      <c r="F104861"/>
    </row>
    <row r="104862" spans="1:6" x14ac:dyDescent="0.25">
      <c r="A104862"/>
      <c r="B104862"/>
      <c r="C104862"/>
      <c r="E104862"/>
      <c r="F104862"/>
    </row>
    <row r="104863" spans="1:6" x14ac:dyDescent="0.25">
      <c r="A104863"/>
      <c r="B104863"/>
      <c r="C104863"/>
      <c r="E104863"/>
      <c r="F104863"/>
    </row>
    <row r="104864" spans="1:6" x14ac:dyDescent="0.25">
      <c r="A104864"/>
      <c r="B104864"/>
      <c r="C104864"/>
      <c r="E104864"/>
      <c r="F104864"/>
    </row>
    <row r="104865" spans="1:6" x14ac:dyDescent="0.25">
      <c r="A104865"/>
      <c r="B104865"/>
      <c r="C104865"/>
      <c r="E104865"/>
      <c r="F104865"/>
    </row>
    <row r="104866" spans="1:6" x14ac:dyDescent="0.25">
      <c r="A104866"/>
      <c r="B104866"/>
      <c r="C104866"/>
      <c r="E104866"/>
      <c r="F104866"/>
    </row>
    <row r="104867" spans="1:6" x14ac:dyDescent="0.25">
      <c r="A104867"/>
      <c r="B104867"/>
      <c r="C104867"/>
      <c r="E104867"/>
      <c r="F104867"/>
    </row>
    <row r="104868" spans="1:6" x14ac:dyDescent="0.25">
      <c r="A104868"/>
      <c r="B104868"/>
      <c r="C104868"/>
      <c r="E104868"/>
      <c r="F104868"/>
    </row>
    <row r="104869" spans="1:6" x14ac:dyDescent="0.25">
      <c r="A104869"/>
      <c r="B104869"/>
      <c r="C104869"/>
      <c r="E104869"/>
      <c r="F104869"/>
    </row>
    <row r="104870" spans="1:6" x14ac:dyDescent="0.25">
      <c r="A104870"/>
      <c r="B104870"/>
      <c r="C104870"/>
      <c r="E104870"/>
      <c r="F104870"/>
    </row>
    <row r="104871" spans="1:6" x14ac:dyDescent="0.25">
      <c r="A104871"/>
      <c r="B104871"/>
      <c r="C104871"/>
      <c r="E104871"/>
      <c r="F104871"/>
    </row>
    <row r="104872" spans="1:6" x14ac:dyDescent="0.25">
      <c r="A104872"/>
      <c r="B104872"/>
      <c r="C104872"/>
      <c r="E104872"/>
      <c r="F104872"/>
    </row>
    <row r="104873" spans="1:6" x14ac:dyDescent="0.25">
      <c r="A104873"/>
      <c r="B104873"/>
      <c r="C104873"/>
      <c r="E104873"/>
      <c r="F104873"/>
    </row>
    <row r="104874" spans="1:6" x14ac:dyDescent="0.25">
      <c r="A104874"/>
      <c r="B104874"/>
      <c r="C104874"/>
      <c r="E104874"/>
      <c r="F104874"/>
    </row>
    <row r="104875" spans="1:6" x14ac:dyDescent="0.25">
      <c r="A104875"/>
      <c r="B104875"/>
      <c r="C104875"/>
      <c r="E104875"/>
      <c r="F104875"/>
    </row>
    <row r="104876" spans="1:6" x14ac:dyDescent="0.25">
      <c r="A104876"/>
      <c r="B104876"/>
      <c r="C104876"/>
      <c r="E104876"/>
      <c r="F104876"/>
    </row>
    <row r="104877" spans="1:6" x14ac:dyDescent="0.25">
      <c r="A104877"/>
      <c r="B104877"/>
      <c r="C104877"/>
      <c r="E104877"/>
      <c r="F104877"/>
    </row>
    <row r="104878" spans="1:6" x14ac:dyDescent="0.25">
      <c r="A104878"/>
      <c r="B104878"/>
      <c r="C104878"/>
      <c r="E104878"/>
      <c r="F104878"/>
    </row>
    <row r="104879" spans="1:6" x14ac:dyDescent="0.25">
      <c r="A104879"/>
      <c r="B104879"/>
      <c r="C104879"/>
      <c r="E104879"/>
      <c r="F104879"/>
    </row>
    <row r="104880" spans="1:6" x14ac:dyDescent="0.25">
      <c r="A104880"/>
      <c r="B104880"/>
      <c r="C104880"/>
      <c r="E104880"/>
      <c r="F104880"/>
    </row>
    <row r="104881" spans="1:6" x14ac:dyDescent="0.25">
      <c r="A104881"/>
      <c r="B104881"/>
      <c r="C104881"/>
      <c r="E104881"/>
      <c r="F104881"/>
    </row>
    <row r="104882" spans="1:6" x14ac:dyDescent="0.25">
      <c r="A104882"/>
      <c r="B104882"/>
      <c r="C104882"/>
      <c r="E104882"/>
      <c r="F104882"/>
    </row>
    <row r="104883" spans="1:6" x14ac:dyDescent="0.25">
      <c r="A104883"/>
      <c r="B104883"/>
      <c r="C104883"/>
      <c r="E104883"/>
      <c r="F104883"/>
    </row>
    <row r="104884" spans="1:6" x14ac:dyDescent="0.25">
      <c r="A104884"/>
      <c r="B104884"/>
      <c r="C104884"/>
      <c r="E104884"/>
      <c r="F104884"/>
    </row>
    <row r="104885" spans="1:6" x14ac:dyDescent="0.25">
      <c r="A104885"/>
      <c r="B104885"/>
      <c r="C104885"/>
      <c r="E104885"/>
      <c r="F104885"/>
    </row>
    <row r="104886" spans="1:6" x14ac:dyDescent="0.25">
      <c r="A104886"/>
      <c r="B104886"/>
      <c r="C104886"/>
      <c r="E104886"/>
      <c r="F104886"/>
    </row>
    <row r="104887" spans="1:6" x14ac:dyDescent="0.25">
      <c r="A104887"/>
      <c r="B104887"/>
      <c r="C104887"/>
      <c r="E104887"/>
      <c r="F104887"/>
    </row>
    <row r="104888" spans="1:6" x14ac:dyDescent="0.25">
      <c r="A104888"/>
      <c r="B104888"/>
      <c r="C104888"/>
      <c r="E104888"/>
      <c r="F104888"/>
    </row>
    <row r="104889" spans="1:6" x14ac:dyDescent="0.25">
      <c r="A104889"/>
      <c r="B104889"/>
      <c r="C104889"/>
      <c r="E104889"/>
      <c r="F104889"/>
    </row>
    <row r="104890" spans="1:6" x14ac:dyDescent="0.25">
      <c r="A104890"/>
      <c r="B104890"/>
      <c r="C104890"/>
      <c r="E104890"/>
      <c r="F104890"/>
    </row>
    <row r="104891" spans="1:6" x14ac:dyDescent="0.25">
      <c r="A104891"/>
      <c r="B104891"/>
      <c r="C104891"/>
      <c r="E104891"/>
      <c r="F104891"/>
    </row>
    <row r="104892" spans="1:6" x14ac:dyDescent="0.25">
      <c r="A104892"/>
      <c r="B104892"/>
      <c r="C104892"/>
      <c r="E104892"/>
      <c r="F104892"/>
    </row>
    <row r="104893" spans="1:6" x14ac:dyDescent="0.25">
      <c r="A104893"/>
      <c r="B104893"/>
      <c r="C104893"/>
      <c r="E104893"/>
      <c r="F104893"/>
    </row>
    <row r="104894" spans="1:6" x14ac:dyDescent="0.25">
      <c r="A104894"/>
      <c r="B104894"/>
      <c r="C104894"/>
      <c r="E104894"/>
      <c r="F104894"/>
    </row>
    <row r="104895" spans="1:6" x14ac:dyDescent="0.25">
      <c r="A104895"/>
      <c r="B104895"/>
      <c r="C104895"/>
      <c r="E104895"/>
      <c r="F104895"/>
    </row>
    <row r="104896" spans="1:6" x14ac:dyDescent="0.25">
      <c r="A104896"/>
      <c r="B104896"/>
      <c r="C104896"/>
      <c r="E104896"/>
      <c r="F104896"/>
    </row>
    <row r="104897" spans="1:6" x14ac:dyDescent="0.25">
      <c r="A104897"/>
      <c r="B104897"/>
      <c r="C104897"/>
      <c r="E104897"/>
      <c r="F104897"/>
    </row>
    <row r="104898" spans="1:6" x14ac:dyDescent="0.25">
      <c r="A104898"/>
      <c r="B104898"/>
      <c r="C104898"/>
      <c r="E104898"/>
      <c r="F104898"/>
    </row>
    <row r="104899" spans="1:6" x14ac:dyDescent="0.25">
      <c r="A104899"/>
      <c r="B104899"/>
      <c r="C104899"/>
      <c r="E104899"/>
      <c r="F104899"/>
    </row>
    <row r="104900" spans="1:6" x14ac:dyDescent="0.25">
      <c r="A104900"/>
      <c r="B104900"/>
      <c r="C104900"/>
      <c r="E104900"/>
      <c r="F104900"/>
    </row>
    <row r="104901" spans="1:6" x14ac:dyDescent="0.25">
      <c r="A104901"/>
      <c r="B104901"/>
      <c r="C104901"/>
      <c r="E104901"/>
      <c r="F104901"/>
    </row>
    <row r="104902" spans="1:6" x14ac:dyDescent="0.25">
      <c r="A104902"/>
      <c r="B104902"/>
      <c r="C104902"/>
      <c r="E104902"/>
      <c r="F104902"/>
    </row>
    <row r="104903" spans="1:6" x14ac:dyDescent="0.25">
      <c r="A104903"/>
      <c r="B104903"/>
      <c r="C104903"/>
      <c r="E104903"/>
      <c r="F104903"/>
    </row>
    <row r="104904" spans="1:6" x14ac:dyDescent="0.25">
      <c r="A104904"/>
      <c r="B104904"/>
      <c r="C104904"/>
      <c r="E104904"/>
      <c r="F104904"/>
    </row>
    <row r="104905" spans="1:6" x14ac:dyDescent="0.25">
      <c r="A104905"/>
      <c r="B104905"/>
      <c r="C104905"/>
      <c r="E104905"/>
      <c r="F104905"/>
    </row>
    <row r="104906" spans="1:6" x14ac:dyDescent="0.25">
      <c r="A104906"/>
      <c r="B104906"/>
      <c r="C104906"/>
      <c r="E104906"/>
      <c r="F104906"/>
    </row>
    <row r="104907" spans="1:6" x14ac:dyDescent="0.25">
      <c r="A104907"/>
      <c r="B104907"/>
      <c r="C104907"/>
      <c r="E104907"/>
      <c r="F104907"/>
    </row>
    <row r="104908" spans="1:6" x14ac:dyDescent="0.25">
      <c r="A104908"/>
      <c r="B104908"/>
      <c r="C104908"/>
      <c r="E104908"/>
      <c r="F104908"/>
    </row>
    <row r="104909" spans="1:6" x14ac:dyDescent="0.25">
      <c r="A104909"/>
      <c r="B104909"/>
      <c r="C104909"/>
      <c r="E104909"/>
      <c r="F104909"/>
    </row>
    <row r="104910" spans="1:6" x14ac:dyDescent="0.25">
      <c r="A104910"/>
      <c r="B104910"/>
      <c r="C104910"/>
      <c r="E104910"/>
      <c r="F104910"/>
    </row>
    <row r="104911" spans="1:6" x14ac:dyDescent="0.25">
      <c r="A104911"/>
      <c r="B104911"/>
      <c r="C104911"/>
      <c r="E104911"/>
      <c r="F104911"/>
    </row>
    <row r="104912" spans="1:6" x14ac:dyDescent="0.25">
      <c r="A104912"/>
      <c r="B104912"/>
      <c r="C104912"/>
      <c r="E104912"/>
      <c r="F104912"/>
    </row>
    <row r="104913" spans="1:6" x14ac:dyDescent="0.25">
      <c r="A104913"/>
      <c r="B104913"/>
      <c r="C104913"/>
      <c r="E104913"/>
      <c r="F104913"/>
    </row>
    <row r="104914" spans="1:6" x14ac:dyDescent="0.25">
      <c r="A104914"/>
      <c r="B104914"/>
      <c r="C104914"/>
      <c r="E104914"/>
      <c r="F104914"/>
    </row>
    <row r="104915" spans="1:6" x14ac:dyDescent="0.25">
      <c r="A104915"/>
      <c r="B104915"/>
      <c r="C104915"/>
      <c r="E104915"/>
      <c r="F104915"/>
    </row>
    <row r="104916" spans="1:6" x14ac:dyDescent="0.25">
      <c r="A104916"/>
      <c r="B104916"/>
      <c r="C104916"/>
      <c r="E104916"/>
      <c r="F104916"/>
    </row>
    <row r="104917" spans="1:6" x14ac:dyDescent="0.25">
      <c r="A104917"/>
      <c r="B104917"/>
      <c r="C104917"/>
      <c r="E104917"/>
      <c r="F104917"/>
    </row>
    <row r="104918" spans="1:6" x14ac:dyDescent="0.25">
      <c r="A104918"/>
      <c r="B104918"/>
      <c r="C104918"/>
      <c r="E104918"/>
      <c r="F104918"/>
    </row>
    <row r="104919" spans="1:6" x14ac:dyDescent="0.25">
      <c r="A104919"/>
      <c r="B104919"/>
      <c r="C104919"/>
      <c r="E104919"/>
      <c r="F104919"/>
    </row>
    <row r="104920" spans="1:6" x14ac:dyDescent="0.25">
      <c r="A104920"/>
      <c r="B104920"/>
      <c r="C104920"/>
      <c r="E104920"/>
      <c r="F104920"/>
    </row>
    <row r="104921" spans="1:6" x14ac:dyDescent="0.25">
      <c r="A104921"/>
      <c r="B104921"/>
      <c r="C104921"/>
      <c r="E104921"/>
      <c r="F104921"/>
    </row>
    <row r="104922" spans="1:6" x14ac:dyDescent="0.25">
      <c r="A104922"/>
      <c r="B104922"/>
      <c r="C104922"/>
      <c r="E104922"/>
      <c r="F104922"/>
    </row>
    <row r="104923" spans="1:6" x14ac:dyDescent="0.25">
      <c r="A104923"/>
      <c r="B104923"/>
      <c r="C104923"/>
      <c r="E104923"/>
      <c r="F104923"/>
    </row>
    <row r="104924" spans="1:6" x14ac:dyDescent="0.25">
      <c r="A104924"/>
      <c r="B104924"/>
      <c r="C104924"/>
      <c r="E104924"/>
      <c r="F104924"/>
    </row>
    <row r="104925" spans="1:6" x14ac:dyDescent="0.25">
      <c r="A104925"/>
      <c r="B104925"/>
      <c r="C104925"/>
      <c r="E104925"/>
      <c r="F104925"/>
    </row>
    <row r="104926" spans="1:6" x14ac:dyDescent="0.25">
      <c r="A104926"/>
      <c r="B104926"/>
      <c r="C104926"/>
      <c r="E104926"/>
      <c r="F104926"/>
    </row>
    <row r="104927" spans="1:6" x14ac:dyDescent="0.25">
      <c r="A104927"/>
      <c r="B104927"/>
      <c r="C104927"/>
      <c r="E104927"/>
      <c r="F104927"/>
    </row>
    <row r="104928" spans="1:6" x14ac:dyDescent="0.25">
      <c r="A104928"/>
      <c r="B104928"/>
      <c r="C104928"/>
      <c r="E104928"/>
      <c r="F104928"/>
    </row>
    <row r="104929" spans="1:6" x14ac:dyDescent="0.25">
      <c r="A104929"/>
      <c r="B104929"/>
      <c r="C104929"/>
      <c r="E104929"/>
      <c r="F104929"/>
    </row>
    <row r="104930" spans="1:6" x14ac:dyDescent="0.25">
      <c r="A104930"/>
      <c r="B104930"/>
      <c r="C104930"/>
      <c r="E104930"/>
      <c r="F104930"/>
    </row>
    <row r="104931" spans="1:6" x14ac:dyDescent="0.25">
      <c r="A104931"/>
      <c r="B104931"/>
      <c r="C104931"/>
      <c r="E104931"/>
      <c r="F104931"/>
    </row>
    <row r="104932" spans="1:6" x14ac:dyDescent="0.25">
      <c r="A104932"/>
      <c r="B104932"/>
      <c r="C104932"/>
      <c r="E104932"/>
      <c r="F104932"/>
    </row>
    <row r="104933" spans="1:6" x14ac:dyDescent="0.25">
      <c r="A104933"/>
      <c r="B104933"/>
      <c r="C104933"/>
      <c r="E104933"/>
      <c r="F104933"/>
    </row>
    <row r="104934" spans="1:6" x14ac:dyDescent="0.25">
      <c r="A104934"/>
      <c r="B104934"/>
      <c r="C104934"/>
      <c r="E104934"/>
      <c r="F104934"/>
    </row>
    <row r="104935" spans="1:6" x14ac:dyDescent="0.25">
      <c r="A104935"/>
      <c r="B104935"/>
      <c r="C104935"/>
      <c r="E104935"/>
      <c r="F104935"/>
    </row>
    <row r="104936" spans="1:6" x14ac:dyDescent="0.25">
      <c r="A104936"/>
      <c r="B104936"/>
      <c r="C104936"/>
      <c r="E104936"/>
      <c r="F104936"/>
    </row>
    <row r="104937" spans="1:6" x14ac:dyDescent="0.25">
      <c r="A104937"/>
      <c r="B104937"/>
      <c r="C104937"/>
      <c r="E104937"/>
      <c r="F104937"/>
    </row>
    <row r="104938" spans="1:6" x14ac:dyDescent="0.25">
      <c r="A104938"/>
      <c r="B104938"/>
      <c r="C104938"/>
      <c r="E104938"/>
      <c r="F104938"/>
    </row>
    <row r="104939" spans="1:6" x14ac:dyDescent="0.25">
      <c r="A104939"/>
      <c r="B104939"/>
      <c r="C104939"/>
      <c r="E104939"/>
      <c r="F104939"/>
    </row>
    <row r="104940" spans="1:6" x14ac:dyDescent="0.25">
      <c r="A104940"/>
      <c r="B104940"/>
      <c r="C104940"/>
      <c r="E104940"/>
      <c r="F104940"/>
    </row>
    <row r="104941" spans="1:6" x14ac:dyDescent="0.25">
      <c r="A104941"/>
      <c r="B104941"/>
      <c r="C104941"/>
      <c r="E104941"/>
      <c r="F104941"/>
    </row>
    <row r="104942" spans="1:6" x14ac:dyDescent="0.25">
      <c r="A104942"/>
      <c r="B104942"/>
      <c r="C104942"/>
      <c r="E104942"/>
      <c r="F104942"/>
    </row>
    <row r="104943" spans="1:6" x14ac:dyDescent="0.25">
      <c r="A104943"/>
      <c r="B104943"/>
      <c r="C104943"/>
      <c r="E104943"/>
      <c r="F104943"/>
    </row>
    <row r="104944" spans="1:6" x14ac:dyDescent="0.25">
      <c r="A104944"/>
      <c r="B104944"/>
      <c r="C104944"/>
      <c r="E104944"/>
      <c r="F104944"/>
    </row>
    <row r="104945" spans="1:6" x14ac:dyDescent="0.25">
      <c r="A104945"/>
      <c r="B104945"/>
      <c r="C104945"/>
      <c r="E104945"/>
      <c r="F104945"/>
    </row>
    <row r="104946" spans="1:6" x14ac:dyDescent="0.25">
      <c r="A104946"/>
      <c r="B104946"/>
      <c r="C104946"/>
      <c r="E104946"/>
      <c r="F104946"/>
    </row>
    <row r="104947" spans="1:6" x14ac:dyDescent="0.25">
      <c r="A104947"/>
      <c r="B104947"/>
      <c r="C104947"/>
      <c r="E104947"/>
      <c r="F104947"/>
    </row>
    <row r="104948" spans="1:6" x14ac:dyDescent="0.25">
      <c r="A104948"/>
      <c r="B104948"/>
      <c r="C104948"/>
      <c r="E104948"/>
      <c r="F104948"/>
    </row>
    <row r="104949" spans="1:6" x14ac:dyDescent="0.25">
      <c r="A104949"/>
      <c r="B104949"/>
      <c r="C104949"/>
      <c r="E104949"/>
      <c r="F104949"/>
    </row>
    <row r="104950" spans="1:6" x14ac:dyDescent="0.25">
      <c r="A104950"/>
      <c r="B104950"/>
      <c r="C104950"/>
      <c r="E104950"/>
      <c r="F104950"/>
    </row>
    <row r="104951" spans="1:6" x14ac:dyDescent="0.25">
      <c r="A104951"/>
      <c r="B104951"/>
      <c r="C104951"/>
      <c r="E104951"/>
      <c r="F104951"/>
    </row>
    <row r="104952" spans="1:6" x14ac:dyDescent="0.25">
      <c r="A104952"/>
      <c r="B104952"/>
      <c r="C104952"/>
      <c r="E104952"/>
      <c r="F104952"/>
    </row>
    <row r="104953" spans="1:6" x14ac:dyDescent="0.25">
      <c r="A104953"/>
      <c r="B104953"/>
      <c r="C104953"/>
      <c r="E104953"/>
      <c r="F104953"/>
    </row>
    <row r="104954" spans="1:6" x14ac:dyDescent="0.25">
      <c r="A104954"/>
      <c r="B104954"/>
      <c r="C104954"/>
      <c r="E104954"/>
      <c r="F104954"/>
    </row>
    <row r="104955" spans="1:6" x14ac:dyDescent="0.25">
      <c r="A104955"/>
      <c r="B104955"/>
      <c r="C104955"/>
      <c r="E104955"/>
      <c r="F104955"/>
    </row>
    <row r="104956" spans="1:6" x14ac:dyDescent="0.25">
      <c r="A104956"/>
      <c r="B104956"/>
      <c r="C104956"/>
      <c r="E104956"/>
      <c r="F104956"/>
    </row>
    <row r="104957" spans="1:6" x14ac:dyDescent="0.25">
      <c r="A104957"/>
      <c r="B104957"/>
      <c r="C104957"/>
      <c r="E104957"/>
      <c r="F104957"/>
    </row>
    <row r="104958" spans="1:6" x14ac:dyDescent="0.25">
      <c r="A104958"/>
      <c r="B104958"/>
      <c r="C104958"/>
      <c r="E104958"/>
      <c r="F104958"/>
    </row>
    <row r="104959" spans="1:6" x14ac:dyDescent="0.25">
      <c r="A104959"/>
      <c r="B104959"/>
      <c r="C104959"/>
      <c r="E104959"/>
      <c r="F104959"/>
    </row>
    <row r="104960" spans="1:6" x14ac:dyDescent="0.25">
      <c r="A104960"/>
      <c r="B104960"/>
      <c r="C104960"/>
      <c r="E104960"/>
      <c r="F104960"/>
    </row>
    <row r="104961" spans="1:6" x14ac:dyDescent="0.25">
      <c r="A104961"/>
      <c r="B104961"/>
      <c r="C104961"/>
      <c r="E104961"/>
      <c r="F104961"/>
    </row>
    <row r="104962" spans="1:6" x14ac:dyDescent="0.25">
      <c r="A104962"/>
      <c r="B104962"/>
      <c r="C104962"/>
      <c r="E104962"/>
      <c r="F104962"/>
    </row>
    <row r="104963" spans="1:6" x14ac:dyDescent="0.25">
      <c r="A104963"/>
      <c r="B104963"/>
      <c r="C104963"/>
      <c r="E104963"/>
      <c r="F104963"/>
    </row>
    <row r="104964" spans="1:6" x14ac:dyDescent="0.25">
      <c r="A104964"/>
      <c r="B104964"/>
      <c r="C104964"/>
      <c r="E104964"/>
      <c r="F104964"/>
    </row>
    <row r="104965" spans="1:6" x14ac:dyDescent="0.25">
      <c r="A104965"/>
      <c r="B104965"/>
      <c r="C104965"/>
      <c r="E104965"/>
      <c r="F104965"/>
    </row>
    <row r="104966" spans="1:6" x14ac:dyDescent="0.25">
      <c r="A104966"/>
      <c r="B104966"/>
      <c r="C104966"/>
      <c r="E104966"/>
      <c r="F104966"/>
    </row>
    <row r="104967" spans="1:6" x14ac:dyDescent="0.25">
      <c r="A104967"/>
      <c r="B104967"/>
      <c r="C104967"/>
      <c r="E104967"/>
      <c r="F104967"/>
    </row>
    <row r="104968" spans="1:6" x14ac:dyDescent="0.25">
      <c r="A104968"/>
      <c r="B104968"/>
      <c r="C104968"/>
      <c r="E104968"/>
      <c r="F104968"/>
    </row>
    <row r="104969" spans="1:6" x14ac:dyDescent="0.25">
      <c r="A104969"/>
      <c r="B104969"/>
      <c r="C104969"/>
      <c r="E104969"/>
      <c r="F104969"/>
    </row>
    <row r="104970" spans="1:6" x14ac:dyDescent="0.25">
      <c r="A104970"/>
      <c r="B104970"/>
      <c r="C104970"/>
      <c r="E104970"/>
      <c r="F104970"/>
    </row>
    <row r="104971" spans="1:6" x14ac:dyDescent="0.25">
      <c r="A104971"/>
      <c r="B104971"/>
      <c r="C104971"/>
      <c r="E104971"/>
      <c r="F104971"/>
    </row>
    <row r="104972" spans="1:6" x14ac:dyDescent="0.25">
      <c r="A104972"/>
      <c r="B104972"/>
      <c r="C104972"/>
      <c r="E104972"/>
      <c r="F104972"/>
    </row>
    <row r="104973" spans="1:6" x14ac:dyDescent="0.25">
      <c r="A104973"/>
      <c r="B104973"/>
      <c r="C104973"/>
      <c r="E104973"/>
      <c r="F104973"/>
    </row>
    <row r="104974" spans="1:6" x14ac:dyDescent="0.25">
      <c r="A104974"/>
      <c r="B104974"/>
      <c r="C104974"/>
      <c r="E104974"/>
      <c r="F104974"/>
    </row>
    <row r="104975" spans="1:6" x14ac:dyDescent="0.25">
      <c r="A104975"/>
      <c r="B104975"/>
      <c r="C104975"/>
      <c r="E104975"/>
      <c r="F104975"/>
    </row>
    <row r="104976" spans="1:6" x14ac:dyDescent="0.25">
      <c r="A104976"/>
      <c r="B104976"/>
      <c r="C104976"/>
      <c r="E104976"/>
      <c r="F104976"/>
    </row>
    <row r="104977" spans="1:6" x14ac:dyDescent="0.25">
      <c r="A104977"/>
      <c r="B104977"/>
      <c r="C104977"/>
      <c r="E104977"/>
      <c r="F104977"/>
    </row>
    <row r="104978" spans="1:6" x14ac:dyDescent="0.25">
      <c r="A104978"/>
      <c r="B104978"/>
      <c r="C104978"/>
      <c r="E104978"/>
      <c r="F104978"/>
    </row>
    <row r="104979" spans="1:6" x14ac:dyDescent="0.25">
      <c r="A104979"/>
      <c r="B104979"/>
      <c r="C104979"/>
      <c r="E104979"/>
      <c r="F104979"/>
    </row>
    <row r="104980" spans="1:6" x14ac:dyDescent="0.25">
      <c r="A104980"/>
      <c r="B104980"/>
      <c r="C104980"/>
      <c r="E104980"/>
      <c r="F104980"/>
    </row>
    <row r="104981" spans="1:6" x14ac:dyDescent="0.25">
      <c r="A104981"/>
      <c r="B104981"/>
      <c r="C104981"/>
      <c r="E104981"/>
      <c r="F104981"/>
    </row>
    <row r="104982" spans="1:6" x14ac:dyDescent="0.25">
      <c r="A104982"/>
      <c r="B104982"/>
      <c r="C104982"/>
      <c r="E104982"/>
      <c r="F104982"/>
    </row>
    <row r="104983" spans="1:6" x14ac:dyDescent="0.25">
      <c r="A104983"/>
      <c r="B104983"/>
      <c r="C104983"/>
      <c r="E104983"/>
      <c r="F104983"/>
    </row>
    <row r="104984" spans="1:6" x14ac:dyDescent="0.25">
      <c r="A104984"/>
      <c r="B104984"/>
      <c r="C104984"/>
      <c r="E104984"/>
      <c r="F104984"/>
    </row>
    <row r="104985" spans="1:6" x14ac:dyDescent="0.25">
      <c r="A104985"/>
      <c r="B104985"/>
      <c r="C104985"/>
      <c r="E104985"/>
      <c r="F104985"/>
    </row>
    <row r="104986" spans="1:6" x14ac:dyDescent="0.25">
      <c r="A104986"/>
      <c r="B104986"/>
      <c r="C104986"/>
      <c r="E104986"/>
      <c r="F104986"/>
    </row>
    <row r="104987" spans="1:6" x14ac:dyDescent="0.25">
      <c r="A104987"/>
      <c r="B104987"/>
      <c r="C104987"/>
      <c r="E104987"/>
      <c r="F104987"/>
    </row>
    <row r="104988" spans="1:6" x14ac:dyDescent="0.25">
      <c r="A104988"/>
      <c r="B104988"/>
      <c r="C104988"/>
      <c r="E104988"/>
      <c r="F104988"/>
    </row>
    <row r="104989" spans="1:6" x14ac:dyDescent="0.25">
      <c r="A104989"/>
      <c r="B104989"/>
      <c r="C104989"/>
      <c r="E104989"/>
      <c r="F104989"/>
    </row>
    <row r="104990" spans="1:6" x14ac:dyDescent="0.25">
      <c r="A104990"/>
      <c r="B104990"/>
      <c r="C104990"/>
      <c r="E104990"/>
      <c r="F104990"/>
    </row>
    <row r="104991" spans="1:6" x14ac:dyDescent="0.25">
      <c r="A104991"/>
      <c r="B104991"/>
      <c r="C104991"/>
      <c r="E104991"/>
      <c r="F104991"/>
    </row>
    <row r="104992" spans="1:6" x14ac:dyDescent="0.25">
      <c r="A104992"/>
      <c r="B104992"/>
      <c r="C104992"/>
      <c r="E104992"/>
      <c r="F104992"/>
    </row>
    <row r="104993" spans="1:6" x14ac:dyDescent="0.25">
      <c r="A104993"/>
      <c r="B104993"/>
      <c r="C104993"/>
      <c r="E104993"/>
      <c r="F104993"/>
    </row>
    <row r="104994" spans="1:6" x14ac:dyDescent="0.25">
      <c r="A104994"/>
      <c r="B104994"/>
      <c r="C104994"/>
      <c r="E104994"/>
      <c r="F104994"/>
    </row>
    <row r="104995" spans="1:6" x14ac:dyDescent="0.25">
      <c r="A104995"/>
      <c r="B104995"/>
      <c r="C104995"/>
      <c r="E104995"/>
      <c r="F104995"/>
    </row>
    <row r="104996" spans="1:6" x14ac:dyDescent="0.25">
      <c r="A104996"/>
      <c r="B104996"/>
      <c r="C104996"/>
      <c r="E104996"/>
      <c r="F104996"/>
    </row>
    <row r="104997" spans="1:6" x14ac:dyDescent="0.25">
      <c r="A104997"/>
      <c r="B104997"/>
      <c r="C104997"/>
      <c r="E104997"/>
      <c r="F104997"/>
    </row>
    <row r="104998" spans="1:6" x14ac:dyDescent="0.25">
      <c r="A104998"/>
      <c r="B104998"/>
      <c r="C104998"/>
      <c r="E104998"/>
      <c r="F104998"/>
    </row>
    <row r="104999" spans="1:6" x14ac:dyDescent="0.25">
      <c r="A104999"/>
      <c r="B104999"/>
      <c r="C104999"/>
      <c r="E104999"/>
      <c r="F104999"/>
    </row>
    <row r="105000" spans="1:6" x14ac:dyDescent="0.25">
      <c r="A105000"/>
      <c r="B105000"/>
      <c r="C105000"/>
      <c r="E105000"/>
      <c r="F105000"/>
    </row>
    <row r="105001" spans="1:6" x14ac:dyDescent="0.25">
      <c r="A105001"/>
      <c r="B105001"/>
      <c r="C105001"/>
      <c r="E105001"/>
      <c r="F105001"/>
    </row>
    <row r="105002" spans="1:6" x14ac:dyDescent="0.25">
      <c r="A105002"/>
      <c r="B105002"/>
      <c r="C105002"/>
      <c r="E105002"/>
      <c r="F105002"/>
    </row>
    <row r="105003" spans="1:6" x14ac:dyDescent="0.25">
      <c r="A105003"/>
      <c r="B105003"/>
      <c r="C105003"/>
      <c r="E105003"/>
      <c r="F105003"/>
    </row>
    <row r="105004" spans="1:6" x14ac:dyDescent="0.25">
      <c r="A105004"/>
      <c r="B105004"/>
      <c r="C105004"/>
      <c r="E105004"/>
      <c r="F105004"/>
    </row>
    <row r="105005" spans="1:6" x14ac:dyDescent="0.25">
      <c r="A105005"/>
      <c r="B105005"/>
      <c r="C105005"/>
      <c r="E105005"/>
      <c r="F105005"/>
    </row>
    <row r="105006" spans="1:6" x14ac:dyDescent="0.25">
      <c r="A105006"/>
      <c r="B105006"/>
      <c r="C105006"/>
      <c r="E105006"/>
      <c r="F105006"/>
    </row>
    <row r="105007" spans="1:6" x14ac:dyDescent="0.25">
      <c r="A105007"/>
      <c r="B105007"/>
      <c r="C105007"/>
      <c r="E105007"/>
      <c r="F105007"/>
    </row>
    <row r="105008" spans="1:6" x14ac:dyDescent="0.25">
      <c r="A105008"/>
      <c r="B105008"/>
      <c r="C105008"/>
      <c r="E105008"/>
      <c r="F105008"/>
    </row>
    <row r="105009" spans="1:6" x14ac:dyDescent="0.25">
      <c r="A105009"/>
      <c r="B105009"/>
      <c r="C105009"/>
      <c r="E105009"/>
      <c r="F105009"/>
    </row>
    <row r="105010" spans="1:6" x14ac:dyDescent="0.25">
      <c r="A105010"/>
      <c r="B105010"/>
      <c r="C105010"/>
      <c r="E105010"/>
      <c r="F105010"/>
    </row>
    <row r="105011" spans="1:6" x14ac:dyDescent="0.25">
      <c r="A105011"/>
      <c r="B105011"/>
      <c r="C105011"/>
      <c r="E105011"/>
      <c r="F105011"/>
    </row>
    <row r="105012" spans="1:6" x14ac:dyDescent="0.25">
      <c r="A105012"/>
      <c r="B105012"/>
      <c r="C105012"/>
      <c r="E105012"/>
      <c r="F105012"/>
    </row>
    <row r="105013" spans="1:6" x14ac:dyDescent="0.25">
      <c r="A105013"/>
      <c r="B105013"/>
      <c r="C105013"/>
      <c r="E105013"/>
      <c r="F105013"/>
    </row>
    <row r="105014" spans="1:6" x14ac:dyDescent="0.25">
      <c r="A105014"/>
      <c r="B105014"/>
      <c r="C105014"/>
      <c r="E105014"/>
      <c r="F105014"/>
    </row>
    <row r="105015" spans="1:6" x14ac:dyDescent="0.25">
      <c r="A105015"/>
      <c r="B105015"/>
      <c r="C105015"/>
      <c r="E105015"/>
      <c r="F105015"/>
    </row>
    <row r="105016" spans="1:6" x14ac:dyDescent="0.25">
      <c r="A105016"/>
      <c r="B105016"/>
      <c r="C105016"/>
      <c r="E105016"/>
      <c r="F105016"/>
    </row>
    <row r="105017" spans="1:6" x14ac:dyDescent="0.25">
      <c r="A105017"/>
      <c r="B105017"/>
      <c r="C105017"/>
      <c r="E105017"/>
      <c r="F105017"/>
    </row>
    <row r="105018" spans="1:6" x14ac:dyDescent="0.25">
      <c r="A105018"/>
      <c r="B105018"/>
      <c r="C105018"/>
      <c r="E105018"/>
      <c r="F105018"/>
    </row>
    <row r="105019" spans="1:6" x14ac:dyDescent="0.25">
      <c r="A105019"/>
      <c r="B105019"/>
      <c r="C105019"/>
      <c r="E105019"/>
      <c r="F105019"/>
    </row>
    <row r="105020" spans="1:6" x14ac:dyDescent="0.25">
      <c r="A105020"/>
      <c r="B105020"/>
      <c r="C105020"/>
      <c r="E105020"/>
      <c r="F105020"/>
    </row>
    <row r="105021" spans="1:6" x14ac:dyDescent="0.25">
      <c r="A105021"/>
      <c r="B105021"/>
      <c r="C105021"/>
      <c r="E105021"/>
      <c r="F105021"/>
    </row>
    <row r="105022" spans="1:6" x14ac:dyDescent="0.25">
      <c r="A105022"/>
      <c r="B105022"/>
      <c r="C105022"/>
      <c r="E105022"/>
      <c r="F105022"/>
    </row>
    <row r="105023" spans="1:6" x14ac:dyDescent="0.25">
      <c r="A105023"/>
      <c r="B105023"/>
      <c r="C105023"/>
      <c r="E105023"/>
      <c r="F105023"/>
    </row>
    <row r="105024" spans="1:6" x14ac:dyDescent="0.25">
      <c r="A105024"/>
      <c r="B105024"/>
      <c r="C105024"/>
      <c r="E105024"/>
      <c r="F105024"/>
    </row>
    <row r="105025" spans="1:6" x14ac:dyDescent="0.25">
      <c r="A105025"/>
      <c r="B105025"/>
      <c r="C105025"/>
      <c r="E105025"/>
      <c r="F105025"/>
    </row>
    <row r="105026" spans="1:6" x14ac:dyDescent="0.25">
      <c r="A105026"/>
      <c r="B105026"/>
      <c r="C105026"/>
      <c r="E105026"/>
      <c r="F105026"/>
    </row>
    <row r="105027" spans="1:6" x14ac:dyDescent="0.25">
      <c r="A105027"/>
      <c r="B105027"/>
      <c r="C105027"/>
      <c r="E105027"/>
      <c r="F105027"/>
    </row>
    <row r="105028" spans="1:6" x14ac:dyDescent="0.25">
      <c r="A105028"/>
      <c r="B105028"/>
      <c r="C105028"/>
      <c r="E105028"/>
      <c r="F105028"/>
    </row>
    <row r="105029" spans="1:6" x14ac:dyDescent="0.25">
      <c r="A105029"/>
      <c r="B105029"/>
      <c r="C105029"/>
      <c r="E105029"/>
      <c r="F105029"/>
    </row>
    <row r="105030" spans="1:6" x14ac:dyDescent="0.25">
      <c r="A105030"/>
      <c r="B105030"/>
      <c r="C105030"/>
      <c r="E105030"/>
      <c r="F105030"/>
    </row>
    <row r="105031" spans="1:6" x14ac:dyDescent="0.25">
      <c r="A105031"/>
      <c r="B105031"/>
      <c r="C105031"/>
      <c r="E105031"/>
      <c r="F105031"/>
    </row>
    <row r="105032" spans="1:6" x14ac:dyDescent="0.25">
      <c r="A105032"/>
      <c r="B105032"/>
      <c r="C105032"/>
      <c r="E105032"/>
      <c r="F105032"/>
    </row>
    <row r="105033" spans="1:6" x14ac:dyDescent="0.25">
      <c r="A105033"/>
      <c r="B105033"/>
      <c r="C105033"/>
      <c r="E105033"/>
      <c r="F105033"/>
    </row>
    <row r="105034" spans="1:6" x14ac:dyDescent="0.25">
      <c r="A105034"/>
      <c r="B105034"/>
      <c r="C105034"/>
      <c r="E105034"/>
      <c r="F105034"/>
    </row>
    <row r="105035" spans="1:6" x14ac:dyDescent="0.25">
      <c r="A105035"/>
      <c r="B105035"/>
      <c r="C105035"/>
      <c r="E105035"/>
      <c r="F105035"/>
    </row>
    <row r="105036" spans="1:6" x14ac:dyDescent="0.25">
      <c r="A105036"/>
      <c r="B105036"/>
      <c r="C105036"/>
      <c r="E105036"/>
      <c r="F105036"/>
    </row>
    <row r="105037" spans="1:6" x14ac:dyDescent="0.25">
      <c r="A105037"/>
      <c r="B105037"/>
      <c r="C105037"/>
      <c r="E105037"/>
      <c r="F105037"/>
    </row>
    <row r="105038" spans="1:6" x14ac:dyDescent="0.25">
      <c r="A105038"/>
      <c r="B105038"/>
      <c r="C105038"/>
      <c r="E105038"/>
      <c r="F105038"/>
    </row>
    <row r="105039" spans="1:6" x14ac:dyDescent="0.25">
      <c r="A105039"/>
      <c r="B105039"/>
      <c r="C105039"/>
      <c r="E105039"/>
      <c r="F105039"/>
    </row>
    <row r="105040" spans="1:6" x14ac:dyDescent="0.25">
      <c r="A105040"/>
      <c r="B105040"/>
      <c r="C105040"/>
      <c r="E105040"/>
      <c r="F105040"/>
    </row>
    <row r="105041" spans="1:6" x14ac:dyDescent="0.25">
      <c r="A105041"/>
      <c r="B105041"/>
      <c r="C105041"/>
      <c r="E105041"/>
      <c r="F105041"/>
    </row>
    <row r="105042" spans="1:6" x14ac:dyDescent="0.25">
      <c r="A105042"/>
      <c r="B105042"/>
      <c r="C105042"/>
      <c r="E105042"/>
      <c r="F105042"/>
    </row>
    <row r="105043" spans="1:6" x14ac:dyDescent="0.25">
      <c r="A105043"/>
      <c r="B105043"/>
      <c r="C105043"/>
      <c r="E105043"/>
      <c r="F105043"/>
    </row>
    <row r="105044" spans="1:6" x14ac:dyDescent="0.25">
      <c r="A105044"/>
      <c r="B105044"/>
      <c r="C105044"/>
      <c r="E105044"/>
      <c r="F105044"/>
    </row>
    <row r="105045" spans="1:6" x14ac:dyDescent="0.25">
      <c r="A105045"/>
      <c r="B105045"/>
      <c r="C105045"/>
      <c r="E105045"/>
      <c r="F105045"/>
    </row>
    <row r="105046" spans="1:6" x14ac:dyDescent="0.25">
      <c r="A105046"/>
      <c r="B105046"/>
      <c r="C105046"/>
      <c r="E105046"/>
      <c r="F105046"/>
    </row>
    <row r="105047" spans="1:6" x14ac:dyDescent="0.25">
      <c r="A105047"/>
      <c r="B105047"/>
      <c r="C105047"/>
      <c r="E105047"/>
      <c r="F105047"/>
    </row>
    <row r="105048" spans="1:6" x14ac:dyDescent="0.25">
      <c r="A105048"/>
      <c r="B105048"/>
      <c r="C105048"/>
      <c r="E105048"/>
      <c r="F105048"/>
    </row>
    <row r="105049" spans="1:6" x14ac:dyDescent="0.25">
      <c r="A105049"/>
      <c r="B105049"/>
      <c r="C105049"/>
      <c r="E105049"/>
      <c r="F105049"/>
    </row>
    <row r="105050" spans="1:6" x14ac:dyDescent="0.25">
      <c r="A105050"/>
      <c r="B105050"/>
      <c r="C105050"/>
      <c r="E105050"/>
      <c r="F105050"/>
    </row>
    <row r="105051" spans="1:6" x14ac:dyDescent="0.25">
      <c r="A105051"/>
      <c r="B105051"/>
      <c r="C105051"/>
      <c r="E105051"/>
      <c r="F105051"/>
    </row>
    <row r="105052" spans="1:6" x14ac:dyDescent="0.25">
      <c r="A105052"/>
      <c r="B105052"/>
      <c r="C105052"/>
      <c r="E105052"/>
      <c r="F105052"/>
    </row>
    <row r="105053" spans="1:6" x14ac:dyDescent="0.25">
      <c r="A105053"/>
      <c r="B105053"/>
      <c r="C105053"/>
      <c r="E105053"/>
      <c r="F105053"/>
    </row>
    <row r="105054" spans="1:6" x14ac:dyDescent="0.25">
      <c r="A105054"/>
      <c r="B105054"/>
      <c r="C105054"/>
      <c r="E105054"/>
      <c r="F105054"/>
    </row>
    <row r="105055" spans="1:6" x14ac:dyDescent="0.25">
      <c r="A105055"/>
      <c r="B105055"/>
      <c r="C105055"/>
      <c r="E105055"/>
      <c r="F105055"/>
    </row>
    <row r="105056" spans="1:6" x14ac:dyDescent="0.25">
      <c r="A105056"/>
      <c r="B105056"/>
      <c r="C105056"/>
      <c r="E105056"/>
      <c r="F105056"/>
    </row>
    <row r="105057" spans="1:6" x14ac:dyDescent="0.25">
      <c r="A105057"/>
      <c r="B105057"/>
      <c r="C105057"/>
      <c r="E105057"/>
      <c r="F105057"/>
    </row>
    <row r="105058" spans="1:6" x14ac:dyDescent="0.25">
      <c r="A105058"/>
      <c r="B105058"/>
      <c r="C105058"/>
      <c r="E105058"/>
      <c r="F105058"/>
    </row>
    <row r="105059" spans="1:6" x14ac:dyDescent="0.25">
      <c r="A105059"/>
      <c r="B105059"/>
      <c r="C105059"/>
      <c r="E105059"/>
      <c r="F105059"/>
    </row>
    <row r="105060" spans="1:6" x14ac:dyDescent="0.25">
      <c r="A105060"/>
      <c r="B105060"/>
      <c r="C105060"/>
      <c r="E105060"/>
      <c r="F105060"/>
    </row>
    <row r="105061" spans="1:6" x14ac:dyDescent="0.25">
      <c r="A105061"/>
      <c r="B105061"/>
      <c r="C105061"/>
      <c r="E105061"/>
      <c r="F105061"/>
    </row>
    <row r="105062" spans="1:6" x14ac:dyDescent="0.25">
      <c r="A105062"/>
      <c r="B105062"/>
      <c r="C105062"/>
      <c r="E105062"/>
      <c r="F105062"/>
    </row>
    <row r="105063" spans="1:6" x14ac:dyDescent="0.25">
      <c r="A105063"/>
      <c r="B105063"/>
      <c r="C105063"/>
      <c r="E105063"/>
      <c r="F105063"/>
    </row>
    <row r="105064" spans="1:6" x14ac:dyDescent="0.25">
      <c r="A105064"/>
      <c r="B105064"/>
      <c r="C105064"/>
      <c r="E105064"/>
      <c r="F105064"/>
    </row>
    <row r="105065" spans="1:6" x14ac:dyDescent="0.25">
      <c r="A105065"/>
      <c r="B105065"/>
      <c r="C105065"/>
      <c r="E105065"/>
      <c r="F105065"/>
    </row>
    <row r="105066" spans="1:6" x14ac:dyDescent="0.25">
      <c r="A105066"/>
      <c r="B105066"/>
      <c r="C105066"/>
      <c r="E105066"/>
      <c r="F105066"/>
    </row>
    <row r="105067" spans="1:6" x14ac:dyDescent="0.25">
      <c r="A105067"/>
      <c r="B105067"/>
      <c r="C105067"/>
      <c r="E105067"/>
      <c r="F105067"/>
    </row>
    <row r="105068" spans="1:6" x14ac:dyDescent="0.25">
      <c r="A105068"/>
      <c r="B105068"/>
      <c r="C105068"/>
      <c r="E105068"/>
      <c r="F105068"/>
    </row>
    <row r="105069" spans="1:6" x14ac:dyDescent="0.25">
      <c r="A105069"/>
      <c r="B105069"/>
      <c r="C105069"/>
      <c r="E105069"/>
      <c r="F105069"/>
    </row>
    <row r="105070" spans="1:6" x14ac:dyDescent="0.25">
      <c r="A105070"/>
      <c r="B105070"/>
      <c r="C105070"/>
      <c r="E105070"/>
      <c r="F105070"/>
    </row>
    <row r="105071" spans="1:6" x14ac:dyDescent="0.25">
      <c r="A105071"/>
      <c r="B105071"/>
      <c r="C105071"/>
      <c r="E105071"/>
      <c r="F105071"/>
    </row>
    <row r="105072" spans="1:6" x14ac:dyDescent="0.25">
      <c r="A105072"/>
      <c r="B105072"/>
      <c r="C105072"/>
      <c r="E105072"/>
      <c r="F105072"/>
    </row>
    <row r="105073" spans="1:6" x14ac:dyDescent="0.25">
      <c r="A105073"/>
      <c r="B105073"/>
      <c r="C105073"/>
      <c r="E105073"/>
      <c r="F105073"/>
    </row>
    <row r="105074" spans="1:6" x14ac:dyDescent="0.25">
      <c r="A105074"/>
      <c r="B105074"/>
      <c r="C105074"/>
      <c r="E105074"/>
      <c r="F105074"/>
    </row>
    <row r="105075" spans="1:6" x14ac:dyDescent="0.25">
      <c r="A105075"/>
      <c r="B105075"/>
      <c r="C105075"/>
      <c r="E105075"/>
      <c r="F105075"/>
    </row>
    <row r="105076" spans="1:6" x14ac:dyDescent="0.25">
      <c r="A105076"/>
      <c r="B105076"/>
      <c r="C105076"/>
      <c r="E105076"/>
      <c r="F105076"/>
    </row>
    <row r="105077" spans="1:6" x14ac:dyDescent="0.25">
      <c r="A105077"/>
      <c r="B105077"/>
      <c r="C105077"/>
      <c r="E105077"/>
      <c r="F105077"/>
    </row>
    <row r="105078" spans="1:6" x14ac:dyDescent="0.25">
      <c r="A105078"/>
      <c r="B105078"/>
      <c r="C105078"/>
      <c r="E105078"/>
      <c r="F105078"/>
    </row>
    <row r="105079" spans="1:6" x14ac:dyDescent="0.25">
      <c r="A105079"/>
      <c r="B105079"/>
      <c r="C105079"/>
      <c r="E105079"/>
      <c r="F105079"/>
    </row>
    <row r="105080" spans="1:6" x14ac:dyDescent="0.25">
      <c r="A105080"/>
      <c r="B105080"/>
      <c r="C105080"/>
      <c r="E105080"/>
      <c r="F105080"/>
    </row>
    <row r="105081" spans="1:6" x14ac:dyDescent="0.25">
      <c r="A105081"/>
      <c r="B105081"/>
      <c r="C105081"/>
      <c r="E105081"/>
      <c r="F105081"/>
    </row>
    <row r="105082" spans="1:6" x14ac:dyDescent="0.25">
      <c r="A105082"/>
      <c r="B105082"/>
      <c r="C105082"/>
      <c r="E105082"/>
      <c r="F105082"/>
    </row>
    <row r="105083" spans="1:6" x14ac:dyDescent="0.25">
      <c r="A105083"/>
      <c r="B105083"/>
      <c r="C105083"/>
      <c r="E105083"/>
      <c r="F105083"/>
    </row>
    <row r="105084" spans="1:6" x14ac:dyDescent="0.25">
      <c r="A105084"/>
      <c r="B105084"/>
      <c r="C105084"/>
      <c r="E105084"/>
      <c r="F105084"/>
    </row>
    <row r="105085" spans="1:6" x14ac:dyDescent="0.25">
      <c r="A105085"/>
      <c r="B105085"/>
      <c r="C105085"/>
      <c r="E105085"/>
      <c r="F105085"/>
    </row>
    <row r="105086" spans="1:6" x14ac:dyDescent="0.25">
      <c r="A105086"/>
      <c r="B105086"/>
      <c r="C105086"/>
      <c r="E105086"/>
      <c r="F105086"/>
    </row>
    <row r="105087" spans="1:6" x14ac:dyDescent="0.25">
      <c r="A105087"/>
      <c r="B105087"/>
      <c r="C105087"/>
      <c r="E105087"/>
      <c r="F105087"/>
    </row>
    <row r="105088" spans="1:6" x14ac:dyDescent="0.25">
      <c r="A105088"/>
      <c r="B105088"/>
      <c r="C105088"/>
      <c r="E105088"/>
      <c r="F105088"/>
    </row>
    <row r="105089" spans="1:6" x14ac:dyDescent="0.25">
      <c r="A105089"/>
      <c r="B105089"/>
      <c r="C105089"/>
      <c r="E105089"/>
      <c r="F105089"/>
    </row>
    <row r="105090" spans="1:6" x14ac:dyDescent="0.25">
      <c r="A105090"/>
      <c r="B105090"/>
      <c r="C105090"/>
      <c r="E105090"/>
      <c r="F105090"/>
    </row>
    <row r="105091" spans="1:6" x14ac:dyDescent="0.25">
      <c r="A105091"/>
      <c r="B105091"/>
      <c r="C105091"/>
      <c r="E105091"/>
      <c r="F105091"/>
    </row>
    <row r="105092" spans="1:6" x14ac:dyDescent="0.25">
      <c r="A105092"/>
      <c r="B105092"/>
      <c r="C105092"/>
      <c r="E105092"/>
      <c r="F105092"/>
    </row>
    <row r="105093" spans="1:6" x14ac:dyDescent="0.25">
      <c r="A105093"/>
      <c r="B105093"/>
      <c r="C105093"/>
      <c r="E105093"/>
      <c r="F105093"/>
    </row>
    <row r="105094" spans="1:6" x14ac:dyDescent="0.25">
      <c r="A105094"/>
      <c r="B105094"/>
      <c r="C105094"/>
      <c r="E105094"/>
      <c r="F105094"/>
    </row>
    <row r="105095" spans="1:6" x14ac:dyDescent="0.25">
      <c r="A105095"/>
      <c r="B105095"/>
      <c r="C105095"/>
      <c r="E105095"/>
      <c r="F105095"/>
    </row>
    <row r="105096" spans="1:6" x14ac:dyDescent="0.25">
      <c r="A105096"/>
      <c r="B105096"/>
      <c r="C105096"/>
      <c r="E105096"/>
      <c r="F105096"/>
    </row>
    <row r="105097" spans="1:6" x14ac:dyDescent="0.25">
      <c r="A105097"/>
      <c r="B105097"/>
      <c r="C105097"/>
      <c r="E105097"/>
      <c r="F105097"/>
    </row>
    <row r="105098" spans="1:6" x14ac:dyDescent="0.25">
      <c r="A105098"/>
      <c r="B105098"/>
      <c r="C105098"/>
      <c r="E105098"/>
      <c r="F105098"/>
    </row>
    <row r="105099" spans="1:6" x14ac:dyDescent="0.25">
      <c r="A105099"/>
      <c r="B105099"/>
      <c r="C105099"/>
      <c r="E105099"/>
      <c r="F105099"/>
    </row>
    <row r="105100" spans="1:6" x14ac:dyDescent="0.25">
      <c r="A105100"/>
      <c r="B105100"/>
      <c r="C105100"/>
      <c r="E105100"/>
      <c r="F105100"/>
    </row>
    <row r="105101" spans="1:6" x14ac:dyDescent="0.25">
      <c r="A105101"/>
      <c r="B105101"/>
      <c r="C105101"/>
      <c r="E105101"/>
      <c r="F105101"/>
    </row>
    <row r="105102" spans="1:6" x14ac:dyDescent="0.25">
      <c r="A105102"/>
      <c r="B105102"/>
      <c r="C105102"/>
      <c r="E105102"/>
      <c r="F105102"/>
    </row>
    <row r="105103" spans="1:6" x14ac:dyDescent="0.25">
      <c r="A105103"/>
      <c r="B105103"/>
      <c r="C105103"/>
      <c r="E105103"/>
      <c r="F105103"/>
    </row>
    <row r="105104" spans="1:6" x14ac:dyDescent="0.25">
      <c r="A105104"/>
      <c r="B105104"/>
      <c r="C105104"/>
      <c r="E105104"/>
      <c r="F105104"/>
    </row>
    <row r="105105" spans="1:6" x14ac:dyDescent="0.25">
      <c r="A105105"/>
      <c r="B105105"/>
      <c r="C105105"/>
      <c r="E105105"/>
      <c r="F105105"/>
    </row>
    <row r="105106" spans="1:6" x14ac:dyDescent="0.25">
      <c r="A105106"/>
      <c r="B105106"/>
      <c r="C105106"/>
      <c r="E105106"/>
      <c r="F105106"/>
    </row>
    <row r="105107" spans="1:6" x14ac:dyDescent="0.25">
      <c r="A105107"/>
      <c r="B105107"/>
      <c r="C105107"/>
      <c r="E105107"/>
      <c r="F105107"/>
    </row>
    <row r="105108" spans="1:6" x14ac:dyDescent="0.25">
      <c r="A105108"/>
      <c r="B105108"/>
      <c r="C105108"/>
      <c r="E105108"/>
      <c r="F105108"/>
    </row>
    <row r="105109" spans="1:6" x14ac:dyDescent="0.25">
      <c r="A105109"/>
      <c r="B105109"/>
      <c r="C105109"/>
      <c r="E105109"/>
      <c r="F105109"/>
    </row>
    <row r="105110" spans="1:6" x14ac:dyDescent="0.25">
      <c r="A105110"/>
      <c r="B105110"/>
      <c r="C105110"/>
      <c r="E105110"/>
      <c r="F105110"/>
    </row>
    <row r="105111" spans="1:6" x14ac:dyDescent="0.25">
      <c r="A105111"/>
      <c r="B105111"/>
      <c r="C105111"/>
      <c r="E105111"/>
      <c r="F105111"/>
    </row>
    <row r="105112" spans="1:6" x14ac:dyDescent="0.25">
      <c r="A105112"/>
      <c r="B105112"/>
      <c r="C105112"/>
      <c r="E105112"/>
      <c r="F105112"/>
    </row>
    <row r="105113" spans="1:6" x14ac:dyDescent="0.25">
      <c r="A105113"/>
      <c r="B105113"/>
      <c r="C105113"/>
      <c r="E105113"/>
      <c r="F105113"/>
    </row>
    <row r="105114" spans="1:6" x14ac:dyDescent="0.25">
      <c r="A105114"/>
      <c r="B105114"/>
      <c r="C105114"/>
      <c r="E105114"/>
      <c r="F105114"/>
    </row>
    <row r="105115" spans="1:6" x14ac:dyDescent="0.25">
      <c r="A105115"/>
      <c r="B105115"/>
      <c r="C105115"/>
      <c r="E105115"/>
      <c r="F105115"/>
    </row>
    <row r="105116" spans="1:6" x14ac:dyDescent="0.25">
      <c r="A105116"/>
      <c r="B105116"/>
      <c r="C105116"/>
      <c r="E105116"/>
      <c r="F105116"/>
    </row>
    <row r="105117" spans="1:6" x14ac:dyDescent="0.25">
      <c r="A105117"/>
      <c r="B105117"/>
      <c r="C105117"/>
      <c r="E105117"/>
      <c r="F105117"/>
    </row>
    <row r="105118" spans="1:6" x14ac:dyDescent="0.25">
      <c r="A105118"/>
      <c r="B105118"/>
      <c r="C105118"/>
      <c r="E105118"/>
      <c r="F105118"/>
    </row>
    <row r="105119" spans="1:6" x14ac:dyDescent="0.25">
      <c r="A105119"/>
      <c r="B105119"/>
      <c r="C105119"/>
      <c r="E105119"/>
      <c r="F105119"/>
    </row>
    <row r="105120" spans="1:6" x14ac:dyDescent="0.25">
      <c r="A105120"/>
      <c r="B105120"/>
      <c r="C105120"/>
      <c r="E105120"/>
      <c r="F105120"/>
    </row>
    <row r="105121" spans="1:6" x14ac:dyDescent="0.25">
      <c r="A105121"/>
      <c r="B105121"/>
      <c r="C105121"/>
      <c r="E105121"/>
      <c r="F105121"/>
    </row>
    <row r="105122" spans="1:6" x14ac:dyDescent="0.25">
      <c r="A105122"/>
      <c r="B105122"/>
      <c r="C105122"/>
      <c r="E105122"/>
      <c r="F105122"/>
    </row>
    <row r="105123" spans="1:6" x14ac:dyDescent="0.25">
      <c r="A105123"/>
      <c r="B105123"/>
      <c r="C105123"/>
      <c r="E105123"/>
      <c r="F105123"/>
    </row>
    <row r="105124" spans="1:6" x14ac:dyDescent="0.25">
      <c r="A105124"/>
      <c r="B105124"/>
      <c r="C105124"/>
      <c r="E105124"/>
      <c r="F105124"/>
    </row>
    <row r="105125" spans="1:6" x14ac:dyDescent="0.25">
      <c r="A105125"/>
      <c r="B105125"/>
      <c r="C105125"/>
      <c r="E105125"/>
      <c r="F105125"/>
    </row>
    <row r="105126" spans="1:6" x14ac:dyDescent="0.25">
      <c r="A105126"/>
      <c r="B105126"/>
      <c r="C105126"/>
      <c r="E105126"/>
      <c r="F105126"/>
    </row>
    <row r="105127" spans="1:6" x14ac:dyDescent="0.25">
      <c r="A105127"/>
      <c r="B105127"/>
      <c r="C105127"/>
      <c r="E105127"/>
      <c r="F105127"/>
    </row>
    <row r="105128" spans="1:6" x14ac:dyDescent="0.25">
      <c r="A105128"/>
      <c r="B105128"/>
      <c r="C105128"/>
      <c r="E105128"/>
      <c r="F105128"/>
    </row>
    <row r="105129" spans="1:6" x14ac:dyDescent="0.25">
      <c r="A105129"/>
      <c r="B105129"/>
      <c r="C105129"/>
      <c r="E105129"/>
      <c r="F105129"/>
    </row>
    <row r="105130" spans="1:6" x14ac:dyDescent="0.25">
      <c r="A105130"/>
      <c r="B105130"/>
      <c r="C105130"/>
      <c r="E105130"/>
      <c r="F105130"/>
    </row>
    <row r="105131" spans="1:6" x14ac:dyDescent="0.25">
      <c r="A105131"/>
      <c r="B105131"/>
      <c r="C105131"/>
      <c r="E105131"/>
      <c r="F105131"/>
    </row>
    <row r="105132" spans="1:6" x14ac:dyDescent="0.25">
      <c r="A105132"/>
      <c r="B105132"/>
      <c r="C105132"/>
      <c r="E105132"/>
      <c r="F105132"/>
    </row>
    <row r="105133" spans="1:6" x14ac:dyDescent="0.25">
      <c r="A105133"/>
      <c r="B105133"/>
      <c r="C105133"/>
      <c r="E105133"/>
      <c r="F105133"/>
    </row>
    <row r="105134" spans="1:6" x14ac:dyDescent="0.25">
      <c r="A105134"/>
      <c r="B105134"/>
      <c r="C105134"/>
      <c r="E105134"/>
      <c r="F105134"/>
    </row>
    <row r="105135" spans="1:6" x14ac:dyDescent="0.25">
      <c r="A105135"/>
      <c r="B105135"/>
      <c r="C105135"/>
      <c r="E105135"/>
      <c r="F105135"/>
    </row>
    <row r="105136" spans="1:6" x14ac:dyDescent="0.25">
      <c r="A105136"/>
      <c r="B105136"/>
      <c r="C105136"/>
      <c r="E105136"/>
      <c r="F105136"/>
    </row>
    <row r="105137" spans="1:6" x14ac:dyDescent="0.25">
      <c r="A105137"/>
      <c r="B105137"/>
      <c r="C105137"/>
      <c r="E105137"/>
      <c r="F105137"/>
    </row>
    <row r="105138" spans="1:6" x14ac:dyDescent="0.25">
      <c r="A105138"/>
      <c r="B105138"/>
      <c r="C105138"/>
      <c r="E105138"/>
      <c r="F105138"/>
    </row>
    <row r="105139" spans="1:6" x14ac:dyDescent="0.25">
      <c r="A105139"/>
      <c r="B105139"/>
      <c r="C105139"/>
      <c r="E105139"/>
      <c r="F105139"/>
    </row>
    <row r="105140" spans="1:6" x14ac:dyDescent="0.25">
      <c r="A105140"/>
      <c r="B105140"/>
      <c r="C105140"/>
      <c r="E105140"/>
      <c r="F105140"/>
    </row>
    <row r="105141" spans="1:6" x14ac:dyDescent="0.25">
      <c r="A105141"/>
      <c r="B105141"/>
      <c r="C105141"/>
      <c r="E105141"/>
      <c r="F105141"/>
    </row>
    <row r="105142" spans="1:6" x14ac:dyDescent="0.25">
      <c r="A105142"/>
      <c r="B105142"/>
      <c r="C105142"/>
      <c r="E105142"/>
      <c r="F105142"/>
    </row>
    <row r="105143" spans="1:6" x14ac:dyDescent="0.25">
      <c r="A105143"/>
      <c r="B105143"/>
      <c r="C105143"/>
      <c r="E105143"/>
      <c r="F105143"/>
    </row>
    <row r="105144" spans="1:6" x14ac:dyDescent="0.25">
      <c r="A105144"/>
      <c r="B105144"/>
      <c r="C105144"/>
      <c r="E105144"/>
      <c r="F105144"/>
    </row>
    <row r="105145" spans="1:6" x14ac:dyDescent="0.25">
      <c r="A105145"/>
      <c r="B105145"/>
      <c r="C105145"/>
      <c r="E105145"/>
      <c r="F105145"/>
    </row>
    <row r="105146" spans="1:6" x14ac:dyDescent="0.25">
      <c r="A105146"/>
      <c r="B105146"/>
      <c r="C105146"/>
      <c r="E105146"/>
      <c r="F105146"/>
    </row>
    <row r="105147" spans="1:6" x14ac:dyDescent="0.25">
      <c r="A105147"/>
      <c r="B105147"/>
      <c r="C105147"/>
      <c r="E105147"/>
      <c r="F105147"/>
    </row>
    <row r="105148" spans="1:6" x14ac:dyDescent="0.25">
      <c r="A105148"/>
      <c r="B105148"/>
      <c r="C105148"/>
      <c r="E105148"/>
      <c r="F105148"/>
    </row>
    <row r="105149" spans="1:6" x14ac:dyDescent="0.25">
      <c r="A105149"/>
      <c r="B105149"/>
      <c r="C105149"/>
      <c r="E105149"/>
      <c r="F105149"/>
    </row>
    <row r="105150" spans="1:6" x14ac:dyDescent="0.25">
      <c r="A105150"/>
      <c r="B105150"/>
      <c r="C105150"/>
      <c r="E105150"/>
      <c r="F105150"/>
    </row>
    <row r="105151" spans="1:6" x14ac:dyDescent="0.25">
      <c r="A105151"/>
      <c r="B105151"/>
      <c r="C105151"/>
      <c r="E105151"/>
      <c r="F105151"/>
    </row>
    <row r="105152" spans="1:6" x14ac:dyDescent="0.25">
      <c r="A105152"/>
      <c r="B105152"/>
      <c r="C105152"/>
      <c r="E105152"/>
      <c r="F105152"/>
    </row>
    <row r="105153" spans="1:6" x14ac:dyDescent="0.25">
      <c r="A105153"/>
      <c r="B105153"/>
      <c r="C105153"/>
      <c r="E105153"/>
      <c r="F105153"/>
    </row>
    <row r="105154" spans="1:6" x14ac:dyDescent="0.25">
      <c r="A105154"/>
      <c r="B105154"/>
      <c r="C105154"/>
      <c r="E105154"/>
      <c r="F105154"/>
    </row>
    <row r="105155" spans="1:6" x14ac:dyDescent="0.25">
      <c r="A105155"/>
      <c r="B105155"/>
      <c r="C105155"/>
      <c r="E105155"/>
      <c r="F105155"/>
    </row>
    <row r="105156" spans="1:6" x14ac:dyDescent="0.25">
      <c r="A105156"/>
      <c r="B105156"/>
      <c r="C105156"/>
      <c r="E105156"/>
      <c r="F105156"/>
    </row>
    <row r="105157" spans="1:6" x14ac:dyDescent="0.25">
      <c r="A105157"/>
      <c r="B105157"/>
      <c r="C105157"/>
      <c r="E105157"/>
      <c r="F105157"/>
    </row>
    <row r="105158" spans="1:6" x14ac:dyDescent="0.25">
      <c r="A105158"/>
      <c r="B105158"/>
      <c r="C105158"/>
      <c r="E105158"/>
      <c r="F105158"/>
    </row>
    <row r="105159" spans="1:6" x14ac:dyDescent="0.25">
      <c r="A105159"/>
      <c r="B105159"/>
      <c r="C105159"/>
      <c r="E105159"/>
      <c r="F105159"/>
    </row>
    <row r="105160" spans="1:6" x14ac:dyDescent="0.25">
      <c r="A105160"/>
      <c r="B105160"/>
      <c r="C105160"/>
      <c r="E105160"/>
      <c r="F105160"/>
    </row>
    <row r="105161" spans="1:6" x14ac:dyDescent="0.25">
      <c r="A105161"/>
      <c r="B105161"/>
      <c r="C105161"/>
      <c r="E105161"/>
      <c r="F105161"/>
    </row>
    <row r="105162" spans="1:6" x14ac:dyDescent="0.25">
      <c r="A105162"/>
      <c r="B105162"/>
      <c r="C105162"/>
      <c r="E105162"/>
      <c r="F105162"/>
    </row>
    <row r="105163" spans="1:6" x14ac:dyDescent="0.25">
      <c r="A105163"/>
      <c r="B105163"/>
      <c r="C105163"/>
      <c r="E105163"/>
      <c r="F105163"/>
    </row>
    <row r="105164" spans="1:6" x14ac:dyDescent="0.25">
      <c r="A105164"/>
      <c r="B105164"/>
      <c r="C105164"/>
      <c r="E105164"/>
      <c r="F105164"/>
    </row>
    <row r="105165" spans="1:6" x14ac:dyDescent="0.25">
      <c r="A105165"/>
      <c r="B105165"/>
      <c r="C105165"/>
      <c r="E105165"/>
      <c r="F105165"/>
    </row>
    <row r="105166" spans="1:6" x14ac:dyDescent="0.25">
      <c r="A105166"/>
      <c r="B105166"/>
      <c r="C105166"/>
      <c r="E105166"/>
      <c r="F105166"/>
    </row>
    <row r="105167" spans="1:6" x14ac:dyDescent="0.25">
      <c r="A105167"/>
      <c r="B105167"/>
      <c r="C105167"/>
      <c r="E105167"/>
      <c r="F105167"/>
    </row>
    <row r="105168" spans="1:6" x14ac:dyDescent="0.25">
      <c r="A105168"/>
      <c r="B105168"/>
      <c r="C105168"/>
      <c r="E105168"/>
      <c r="F105168"/>
    </row>
    <row r="105169" spans="1:6" x14ac:dyDescent="0.25">
      <c r="A105169"/>
      <c r="B105169"/>
      <c r="C105169"/>
      <c r="E105169"/>
      <c r="F105169"/>
    </row>
    <row r="105170" spans="1:6" x14ac:dyDescent="0.25">
      <c r="A105170"/>
      <c r="B105170"/>
      <c r="C105170"/>
      <c r="E105170"/>
      <c r="F105170"/>
    </row>
    <row r="105171" spans="1:6" x14ac:dyDescent="0.25">
      <c r="A105171"/>
      <c r="B105171"/>
      <c r="C105171"/>
      <c r="E105171"/>
      <c r="F105171"/>
    </row>
    <row r="105172" spans="1:6" x14ac:dyDescent="0.25">
      <c r="A105172"/>
      <c r="B105172"/>
      <c r="C105172"/>
      <c r="E105172"/>
      <c r="F105172"/>
    </row>
    <row r="105173" spans="1:6" x14ac:dyDescent="0.25">
      <c r="A105173"/>
      <c r="B105173"/>
      <c r="C105173"/>
      <c r="E105173"/>
      <c r="F105173"/>
    </row>
    <row r="105174" spans="1:6" x14ac:dyDescent="0.25">
      <c r="A105174"/>
      <c r="B105174"/>
      <c r="C105174"/>
      <c r="E105174"/>
      <c r="F105174"/>
    </row>
    <row r="105175" spans="1:6" x14ac:dyDescent="0.25">
      <c r="A105175"/>
      <c r="B105175"/>
      <c r="C105175"/>
      <c r="E105175"/>
      <c r="F105175"/>
    </row>
    <row r="105176" spans="1:6" x14ac:dyDescent="0.25">
      <c r="A105176"/>
      <c r="B105176"/>
      <c r="C105176"/>
      <c r="E105176"/>
      <c r="F105176"/>
    </row>
    <row r="105177" spans="1:6" x14ac:dyDescent="0.25">
      <c r="A105177"/>
      <c r="B105177"/>
      <c r="C105177"/>
      <c r="E105177"/>
      <c r="F105177"/>
    </row>
    <row r="105178" spans="1:6" x14ac:dyDescent="0.25">
      <c r="A105178"/>
      <c r="B105178"/>
      <c r="C105178"/>
      <c r="E105178"/>
      <c r="F105178"/>
    </row>
    <row r="105179" spans="1:6" x14ac:dyDescent="0.25">
      <c r="A105179"/>
      <c r="B105179"/>
      <c r="C105179"/>
      <c r="E105179"/>
      <c r="F105179"/>
    </row>
    <row r="105180" spans="1:6" x14ac:dyDescent="0.25">
      <c r="A105180"/>
      <c r="B105180"/>
      <c r="C105180"/>
      <c r="E105180"/>
      <c r="F105180"/>
    </row>
    <row r="105181" spans="1:6" x14ac:dyDescent="0.25">
      <c r="A105181"/>
      <c r="B105181"/>
      <c r="C105181"/>
      <c r="E105181"/>
      <c r="F105181"/>
    </row>
    <row r="105182" spans="1:6" x14ac:dyDescent="0.25">
      <c r="A105182"/>
      <c r="B105182"/>
      <c r="C105182"/>
      <c r="E105182"/>
      <c r="F105182"/>
    </row>
    <row r="105183" spans="1:6" x14ac:dyDescent="0.25">
      <c r="A105183"/>
      <c r="B105183"/>
      <c r="C105183"/>
      <c r="E105183"/>
      <c r="F105183"/>
    </row>
    <row r="105184" spans="1:6" x14ac:dyDescent="0.25">
      <c r="A105184"/>
      <c r="B105184"/>
      <c r="C105184"/>
      <c r="E105184"/>
      <c r="F105184"/>
    </row>
    <row r="105185" spans="1:6" x14ac:dyDescent="0.25">
      <c r="A105185"/>
      <c r="B105185"/>
      <c r="C105185"/>
      <c r="E105185"/>
      <c r="F105185"/>
    </row>
    <row r="105186" spans="1:6" x14ac:dyDescent="0.25">
      <c r="A105186"/>
      <c r="B105186"/>
      <c r="C105186"/>
      <c r="E105186"/>
      <c r="F105186"/>
    </row>
    <row r="105187" spans="1:6" x14ac:dyDescent="0.25">
      <c r="A105187"/>
      <c r="B105187"/>
      <c r="C105187"/>
      <c r="E105187"/>
      <c r="F105187"/>
    </row>
    <row r="105188" spans="1:6" x14ac:dyDescent="0.25">
      <c r="A105188"/>
      <c r="B105188"/>
      <c r="C105188"/>
      <c r="E105188"/>
      <c r="F105188"/>
    </row>
    <row r="105189" spans="1:6" x14ac:dyDescent="0.25">
      <c r="A105189"/>
      <c r="B105189"/>
      <c r="C105189"/>
      <c r="E105189"/>
      <c r="F105189"/>
    </row>
    <row r="105190" spans="1:6" x14ac:dyDescent="0.25">
      <c r="A105190"/>
      <c r="B105190"/>
      <c r="C105190"/>
      <c r="E105190"/>
      <c r="F105190"/>
    </row>
    <row r="105191" spans="1:6" x14ac:dyDescent="0.25">
      <c r="A105191"/>
      <c r="B105191"/>
      <c r="C105191"/>
      <c r="E105191"/>
      <c r="F105191"/>
    </row>
    <row r="105192" spans="1:6" x14ac:dyDescent="0.25">
      <c r="A105192"/>
      <c r="B105192"/>
      <c r="C105192"/>
      <c r="E105192"/>
      <c r="F105192"/>
    </row>
    <row r="105193" spans="1:6" x14ac:dyDescent="0.25">
      <c r="A105193"/>
      <c r="B105193"/>
      <c r="C105193"/>
      <c r="E105193"/>
      <c r="F105193"/>
    </row>
    <row r="105194" spans="1:6" x14ac:dyDescent="0.25">
      <c r="A105194"/>
      <c r="B105194"/>
      <c r="C105194"/>
      <c r="E105194"/>
      <c r="F105194"/>
    </row>
    <row r="105195" spans="1:6" x14ac:dyDescent="0.25">
      <c r="A105195"/>
      <c r="B105195"/>
      <c r="C105195"/>
      <c r="E105195"/>
      <c r="F105195"/>
    </row>
    <row r="105196" spans="1:6" x14ac:dyDescent="0.25">
      <c r="A105196"/>
      <c r="B105196"/>
      <c r="C105196"/>
      <c r="E105196"/>
      <c r="F105196"/>
    </row>
    <row r="105197" spans="1:6" x14ac:dyDescent="0.25">
      <c r="A105197"/>
      <c r="B105197"/>
      <c r="C105197"/>
      <c r="E105197"/>
      <c r="F105197"/>
    </row>
    <row r="105198" spans="1:6" x14ac:dyDescent="0.25">
      <c r="A105198"/>
      <c r="B105198"/>
      <c r="C105198"/>
      <c r="E105198"/>
      <c r="F105198"/>
    </row>
    <row r="105199" spans="1:6" x14ac:dyDescent="0.25">
      <c r="A105199"/>
      <c r="B105199"/>
      <c r="C105199"/>
      <c r="E105199"/>
      <c r="F105199"/>
    </row>
    <row r="105200" spans="1:6" x14ac:dyDescent="0.25">
      <c r="A105200"/>
      <c r="B105200"/>
      <c r="C105200"/>
      <c r="E105200"/>
      <c r="F105200"/>
    </row>
    <row r="105201" spans="1:6" x14ac:dyDescent="0.25">
      <c r="A105201"/>
      <c r="B105201"/>
      <c r="C105201"/>
      <c r="E105201"/>
      <c r="F105201"/>
    </row>
    <row r="105202" spans="1:6" x14ac:dyDescent="0.25">
      <c r="A105202"/>
      <c r="B105202"/>
      <c r="C105202"/>
      <c r="E105202"/>
      <c r="F105202"/>
    </row>
    <row r="105203" spans="1:6" x14ac:dyDescent="0.25">
      <c r="A105203"/>
      <c r="B105203"/>
      <c r="C105203"/>
      <c r="E105203"/>
      <c r="F105203"/>
    </row>
    <row r="105204" spans="1:6" x14ac:dyDescent="0.25">
      <c r="A105204"/>
      <c r="B105204"/>
      <c r="C105204"/>
      <c r="E105204"/>
      <c r="F105204"/>
    </row>
    <row r="105205" spans="1:6" x14ac:dyDescent="0.25">
      <c r="A105205"/>
      <c r="B105205"/>
      <c r="C105205"/>
      <c r="E105205"/>
      <c r="F105205"/>
    </row>
    <row r="105206" spans="1:6" x14ac:dyDescent="0.25">
      <c r="A105206"/>
      <c r="B105206"/>
      <c r="C105206"/>
      <c r="E105206"/>
      <c r="F105206"/>
    </row>
    <row r="105207" spans="1:6" x14ac:dyDescent="0.25">
      <c r="A105207"/>
      <c r="B105207"/>
      <c r="C105207"/>
      <c r="E105207"/>
      <c r="F105207"/>
    </row>
    <row r="105208" spans="1:6" x14ac:dyDescent="0.25">
      <c r="A105208"/>
      <c r="B105208"/>
      <c r="C105208"/>
      <c r="E105208"/>
      <c r="F105208"/>
    </row>
    <row r="105209" spans="1:6" x14ac:dyDescent="0.25">
      <c r="A105209"/>
      <c r="B105209"/>
      <c r="C105209"/>
      <c r="E105209"/>
      <c r="F105209"/>
    </row>
    <row r="105210" spans="1:6" x14ac:dyDescent="0.25">
      <c r="A105210"/>
      <c r="B105210"/>
      <c r="C105210"/>
      <c r="E105210"/>
      <c r="F105210"/>
    </row>
    <row r="105211" spans="1:6" x14ac:dyDescent="0.25">
      <c r="A105211"/>
      <c r="B105211"/>
      <c r="C105211"/>
      <c r="E105211"/>
      <c r="F105211"/>
    </row>
    <row r="105212" spans="1:6" x14ac:dyDescent="0.25">
      <c r="A105212"/>
      <c r="B105212"/>
      <c r="C105212"/>
      <c r="E105212"/>
      <c r="F105212"/>
    </row>
    <row r="105213" spans="1:6" x14ac:dyDescent="0.25">
      <c r="A105213"/>
      <c r="B105213"/>
      <c r="C105213"/>
      <c r="E105213"/>
      <c r="F105213"/>
    </row>
    <row r="105214" spans="1:6" x14ac:dyDescent="0.25">
      <c r="A105214"/>
      <c r="B105214"/>
      <c r="C105214"/>
      <c r="E105214"/>
      <c r="F105214"/>
    </row>
    <row r="105215" spans="1:6" x14ac:dyDescent="0.25">
      <c r="A105215"/>
      <c r="B105215"/>
      <c r="C105215"/>
      <c r="E105215"/>
      <c r="F105215"/>
    </row>
    <row r="105216" spans="1:6" x14ac:dyDescent="0.25">
      <c r="A105216"/>
      <c r="B105216"/>
      <c r="C105216"/>
      <c r="E105216"/>
      <c r="F105216"/>
    </row>
    <row r="105217" spans="1:6" x14ac:dyDescent="0.25">
      <c r="A105217"/>
      <c r="B105217"/>
      <c r="C105217"/>
      <c r="E105217"/>
      <c r="F105217"/>
    </row>
    <row r="105218" spans="1:6" x14ac:dyDescent="0.25">
      <c r="A105218"/>
      <c r="B105218"/>
      <c r="C105218"/>
      <c r="E105218"/>
      <c r="F105218"/>
    </row>
    <row r="105219" spans="1:6" x14ac:dyDescent="0.25">
      <c r="A105219"/>
      <c r="B105219"/>
      <c r="C105219"/>
      <c r="E105219"/>
      <c r="F105219"/>
    </row>
    <row r="105220" spans="1:6" x14ac:dyDescent="0.25">
      <c r="A105220"/>
      <c r="B105220"/>
      <c r="C105220"/>
      <c r="E105220"/>
      <c r="F105220"/>
    </row>
    <row r="105221" spans="1:6" x14ac:dyDescent="0.25">
      <c r="A105221"/>
      <c r="B105221"/>
      <c r="C105221"/>
      <c r="E105221"/>
      <c r="F105221"/>
    </row>
    <row r="105222" spans="1:6" x14ac:dyDescent="0.25">
      <c r="A105222"/>
      <c r="B105222"/>
      <c r="C105222"/>
      <c r="E105222"/>
      <c r="F105222"/>
    </row>
    <row r="105223" spans="1:6" x14ac:dyDescent="0.25">
      <c r="A105223"/>
      <c r="B105223"/>
      <c r="C105223"/>
      <c r="E105223"/>
      <c r="F105223"/>
    </row>
    <row r="105224" spans="1:6" x14ac:dyDescent="0.25">
      <c r="A105224"/>
      <c r="B105224"/>
      <c r="C105224"/>
      <c r="E105224"/>
      <c r="F105224"/>
    </row>
    <row r="105225" spans="1:6" x14ac:dyDescent="0.25">
      <c r="A105225"/>
      <c r="B105225"/>
      <c r="C105225"/>
      <c r="E105225"/>
      <c r="F105225"/>
    </row>
    <row r="105226" spans="1:6" x14ac:dyDescent="0.25">
      <c r="A105226"/>
      <c r="B105226"/>
      <c r="C105226"/>
      <c r="E105226"/>
      <c r="F105226"/>
    </row>
    <row r="105227" spans="1:6" x14ac:dyDescent="0.25">
      <c r="A105227"/>
      <c r="B105227"/>
      <c r="C105227"/>
      <c r="E105227"/>
      <c r="F105227"/>
    </row>
    <row r="105228" spans="1:6" x14ac:dyDescent="0.25">
      <c r="A105228"/>
      <c r="B105228"/>
      <c r="C105228"/>
      <c r="E105228"/>
      <c r="F105228"/>
    </row>
    <row r="105229" spans="1:6" x14ac:dyDescent="0.25">
      <c r="A105229"/>
      <c r="B105229"/>
      <c r="C105229"/>
      <c r="E105229"/>
      <c r="F105229"/>
    </row>
    <row r="105230" spans="1:6" x14ac:dyDescent="0.25">
      <c r="A105230"/>
      <c r="B105230"/>
      <c r="C105230"/>
      <c r="E105230"/>
      <c r="F105230"/>
    </row>
    <row r="105231" spans="1:6" x14ac:dyDescent="0.25">
      <c r="A105231"/>
      <c r="B105231"/>
      <c r="C105231"/>
      <c r="E105231"/>
      <c r="F105231"/>
    </row>
    <row r="105232" spans="1:6" x14ac:dyDescent="0.25">
      <c r="A105232"/>
      <c r="B105232"/>
      <c r="C105232"/>
      <c r="E105232"/>
      <c r="F105232"/>
    </row>
    <row r="105233" spans="1:6" x14ac:dyDescent="0.25">
      <c r="A105233"/>
      <c r="B105233"/>
      <c r="C105233"/>
      <c r="E105233"/>
      <c r="F105233"/>
    </row>
    <row r="105234" spans="1:6" x14ac:dyDescent="0.25">
      <c r="A105234"/>
      <c r="B105234"/>
      <c r="C105234"/>
      <c r="E105234"/>
      <c r="F105234"/>
    </row>
    <row r="105235" spans="1:6" x14ac:dyDescent="0.25">
      <c r="A105235"/>
      <c r="B105235"/>
      <c r="C105235"/>
      <c r="E105235"/>
      <c r="F105235"/>
    </row>
    <row r="105236" spans="1:6" x14ac:dyDescent="0.25">
      <c r="A105236"/>
      <c r="B105236"/>
      <c r="C105236"/>
      <c r="E105236"/>
      <c r="F105236"/>
    </row>
    <row r="105237" spans="1:6" x14ac:dyDescent="0.25">
      <c r="A105237"/>
      <c r="B105237"/>
      <c r="C105237"/>
      <c r="E105237"/>
      <c r="F105237"/>
    </row>
    <row r="105238" spans="1:6" x14ac:dyDescent="0.25">
      <c r="A105238"/>
      <c r="B105238"/>
      <c r="C105238"/>
      <c r="E105238"/>
      <c r="F105238"/>
    </row>
    <row r="105239" spans="1:6" x14ac:dyDescent="0.25">
      <c r="A105239"/>
      <c r="B105239"/>
      <c r="C105239"/>
      <c r="E105239"/>
      <c r="F105239"/>
    </row>
    <row r="105240" spans="1:6" x14ac:dyDescent="0.25">
      <c r="A105240"/>
      <c r="B105240"/>
      <c r="C105240"/>
      <c r="E105240"/>
      <c r="F105240"/>
    </row>
    <row r="105241" spans="1:6" x14ac:dyDescent="0.25">
      <c r="A105241"/>
      <c r="B105241"/>
      <c r="C105241"/>
      <c r="E105241"/>
      <c r="F105241"/>
    </row>
    <row r="105242" spans="1:6" x14ac:dyDescent="0.25">
      <c r="A105242"/>
      <c r="B105242"/>
      <c r="C105242"/>
      <c r="E105242"/>
      <c r="F105242"/>
    </row>
    <row r="105243" spans="1:6" x14ac:dyDescent="0.25">
      <c r="A105243"/>
      <c r="B105243"/>
      <c r="C105243"/>
      <c r="E105243"/>
      <c r="F105243"/>
    </row>
    <row r="105244" spans="1:6" x14ac:dyDescent="0.25">
      <c r="A105244"/>
      <c r="B105244"/>
      <c r="C105244"/>
      <c r="E105244"/>
      <c r="F105244"/>
    </row>
    <row r="105245" spans="1:6" x14ac:dyDescent="0.25">
      <c r="A105245"/>
      <c r="B105245"/>
      <c r="C105245"/>
      <c r="E105245"/>
      <c r="F105245"/>
    </row>
    <row r="105246" spans="1:6" x14ac:dyDescent="0.25">
      <c r="A105246"/>
      <c r="B105246"/>
      <c r="C105246"/>
      <c r="E105246"/>
      <c r="F105246"/>
    </row>
    <row r="105247" spans="1:6" x14ac:dyDescent="0.25">
      <c r="A105247"/>
      <c r="B105247"/>
      <c r="C105247"/>
      <c r="E105247"/>
      <c r="F105247"/>
    </row>
    <row r="105248" spans="1:6" x14ac:dyDescent="0.25">
      <c r="A105248"/>
      <c r="B105248"/>
      <c r="C105248"/>
      <c r="E105248"/>
      <c r="F105248"/>
    </row>
    <row r="105249" spans="1:6" x14ac:dyDescent="0.25">
      <c r="A105249"/>
      <c r="B105249"/>
      <c r="C105249"/>
      <c r="E105249"/>
      <c r="F105249"/>
    </row>
    <row r="105250" spans="1:6" x14ac:dyDescent="0.25">
      <c r="A105250"/>
      <c r="B105250"/>
      <c r="C105250"/>
      <c r="E105250"/>
      <c r="F105250"/>
    </row>
    <row r="105251" spans="1:6" x14ac:dyDescent="0.25">
      <c r="A105251"/>
      <c r="B105251"/>
      <c r="C105251"/>
      <c r="E105251"/>
      <c r="F105251"/>
    </row>
    <row r="105252" spans="1:6" x14ac:dyDescent="0.25">
      <c r="A105252"/>
      <c r="B105252"/>
      <c r="C105252"/>
      <c r="E105252"/>
      <c r="F105252"/>
    </row>
    <row r="105253" spans="1:6" x14ac:dyDescent="0.25">
      <c r="A105253"/>
      <c r="B105253"/>
      <c r="C105253"/>
      <c r="E105253"/>
      <c r="F105253"/>
    </row>
    <row r="105254" spans="1:6" x14ac:dyDescent="0.25">
      <c r="A105254"/>
      <c r="B105254"/>
      <c r="C105254"/>
      <c r="E105254"/>
      <c r="F105254"/>
    </row>
    <row r="105255" spans="1:6" x14ac:dyDescent="0.25">
      <c r="A105255"/>
      <c r="B105255"/>
      <c r="C105255"/>
      <c r="E105255"/>
      <c r="F105255"/>
    </row>
    <row r="105256" spans="1:6" x14ac:dyDescent="0.25">
      <c r="A105256"/>
      <c r="B105256"/>
      <c r="C105256"/>
      <c r="E105256"/>
      <c r="F105256"/>
    </row>
    <row r="105257" spans="1:6" x14ac:dyDescent="0.25">
      <c r="A105257"/>
      <c r="B105257"/>
      <c r="C105257"/>
      <c r="E105257"/>
      <c r="F105257"/>
    </row>
    <row r="105258" spans="1:6" x14ac:dyDescent="0.25">
      <c r="A105258"/>
      <c r="B105258"/>
      <c r="C105258"/>
      <c r="E105258"/>
      <c r="F105258"/>
    </row>
    <row r="105259" spans="1:6" x14ac:dyDescent="0.25">
      <c r="A105259"/>
      <c r="B105259"/>
      <c r="C105259"/>
      <c r="E105259"/>
      <c r="F105259"/>
    </row>
    <row r="105260" spans="1:6" x14ac:dyDescent="0.25">
      <c r="A105260"/>
      <c r="B105260"/>
      <c r="C105260"/>
      <c r="E105260"/>
      <c r="F105260"/>
    </row>
    <row r="105261" spans="1:6" x14ac:dyDescent="0.25">
      <c r="A105261"/>
      <c r="B105261"/>
      <c r="C105261"/>
      <c r="E105261"/>
      <c r="F105261"/>
    </row>
    <row r="105262" spans="1:6" x14ac:dyDescent="0.25">
      <c r="A105262"/>
      <c r="B105262"/>
      <c r="C105262"/>
      <c r="E105262"/>
      <c r="F105262"/>
    </row>
    <row r="105263" spans="1:6" x14ac:dyDescent="0.25">
      <c r="A105263"/>
      <c r="B105263"/>
      <c r="C105263"/>
      <c r="E105263"/>
      <c r="F105263"/>
    </row>
    <row r="105264" spans="1:6" x14ac:dyDescent="0.25">
      <c r="A105264"/>
      <c r="B105264"/>
      <c r="C105264"/>
      <c r="E105264"/>
      <c r="F105264"/>
    </row>
    <row r="105265" spans="1:6" x14ac:dyDescent="0.25">
      <c r="A105265"/>
      <c r="B105265"/>
      <c r="C105265"/>
      <c r="E105265"/>
      <c r="F105265"/>
    </row>
    <row r="105266" spans="1:6" x14ac:dyDescent="0.25">
      <c r="A105266"/>
      <c r="B105266"/>
      <c r="C105266"/>
      <c r="E105266"/>
      <c r="F105266"/>
    </row>
    <row r="105267" spans="1:6" x14ac:dyDescent="0.25">
      <c r="A105267"/>
      <c r="B105267"/>
      <c r="C105267"/>
      <c r="E105267"/>
      <c r="F105267"/>
    </row>
    <row r="105268" spans="1:6" x14ac:dyDescent="0.25">
      <c r="A105268"/>
      <c r="B105268"/>
      <c r="C105268"/>
      <c r="E105268"/>
      <c r="F105268"/>
    </row>
    <row r="105269" spans="1:6" x14ac:dyDescent="0.25">
      <c r="A105269"/>
      <c r="B105269"/>
      <c r="C105269"/>
      <c r="E105269"/>
      <c r="F105269"/>
    </row>
    <row r="105270" spans="1:6" x14ac:dyDescent="0.25">
      <c r="A105270"/>
      <c r="B105270"/>
      <c r="C105270"/>
      <c r="E105270"/>
      <c r="F105270"/>
    </row>
    <row r="105271" spans="1:6" x14ac:dyDescent="0.25">
      <c r="A105271"/>
      <c r="B105271"/>
      <c r="C105271"/>
      <c r="E105271"/>
      <c r="F105271"/>
    </row>
    <row r="105272" spans="1:6" x14ac:dyDescent="0.25">
      <c r="A105272"/>
      <c r="B105272"/>
      <c r="C105272"/>
      <c r="E105272"/>
      <c r="F105272"/>
    </row>
    <row r="105273" spans="1:6" x14ac:dyDescent="0.25">
      <c r="A105273"/>
      <c r="B105273"/>
      <c r="C105273"/>
      <c r="E105273"/>
      <c r="F105273"/>
    </row>
    <row r="105274" spans="1:6" x14ac:dyDescent="0.25">
      <c r="A105274"/>
      <c r="B105274"/>
      <c r="C105274"/>
      <c r="E105274"/>
      <c r="F105274"/>
    </row>
    <row r="105275" spans="1:6" x14ac:dyDescent="0.25">
      <c r="A105275"/>
      <c r="B105275"/>
      <c r="C105275"/>
      <c r="E105275"/>
      <c r="F105275"/>
    </row>
    <row r="105276" spans="1:6" x14ac:dyDescent="0.25">
      <c r="A105276"/>
      <c r="B105276"/>
      <c r="C105276"/>
      <c r="E105276"/>
      <c r="F105276"/>
    </row>
    <row r="105277" spans="1:6" x14ac:dyDescent="0.25">
      <c r="A105277"/>
      <c r="B105277"/>
      <c r="C105277"/>
      <c r="E105277"/>
      <c r="F105277"/>
    </row>
    <row r="105278" spans="1:6" x14ac:dyDescent="0.25">
      <c r="A105278"/>
      <c r="B105278"/>
      <c r="C105278"/>
      <c r="E105278"/>
      <c r="F105278"/>
    </row>
    <row r="105279" spans="1:6" x14ac:dyDescent="0.25">
      <c r="A105279"/>
      <c r="B105279"/>
      <c r="C105279"/>
      <c r="E105279"/>
      <c r="F105279"/>
    </row>
    <row r="105280" spans="1:6" x14ac:dyDescent="0.25">
      <c r="A105280"/>
      <c r="B105280"/>
      <c r="C105280"/>
      <c r="E105280"/>
      <c r="F105280"/>
    </row>
    <row r="105281" spans="1:6" x14ac:dyDescent="0.25">
      <c r="A105281"/>
      <c r="B105281"/>
      <c r="C105281"/>
      <c r="E105281"/>
      <c r="F105281"/>
    </row>
    <row r="105282" spans="1:6" x14ac:dyDescent="0.25">
      <c r="A105282"/>
      <c r="B105282"/>
      <c r="C105282"/>
      <c r="E105282"/>
      <c r="F105282"/>
    </row>
    <row r="105283" spans="1:6" x14ac:dyDescent="0.25">
      <c r="A105283"/>
      <c r="B105283"/>
      <c r="C105283"/>
      <c r="E105283"/>
      <c r="F105283"/>
    </row>
    <row r="105284" spans="1:6" x14ac:dyDescent="0.25">
      <c r="A105284"/>
      <c r="B105284"/>
      <c r="C105284"/>
      <c r="E105284"/>
      <c r="F105284"/>
    </row>
    <row r="105285" spans="1:6" x14ac:dyDescent="0.25">
      <c r="A105285"/>
      <c r="B105285"/>
      <c r="C105285"/>
      <c r="E105285"/>
      <c r="F105285"/>
    </row>
    <row r="105286" spans="1:6" x14ac:dyDescent="0.25">
      <c r="A105286"/>
      <c r="B105286"/>
      <c r="C105286"/>
      <c r="E105286"/>
      <c r="F105286"/>
    </row>
    <row r="105287" spans="1:6" x14ac:dyDescent="0.25">
      <c r="A105287"/>
      <c r="B105287"/>
      <c r="C105287"/>
      <c r="E105287"/>
      <c r="F105287"/>
    </row>
    <row r="105288" spans="1:6" x14ac:dyDescent="0.25">
      <c r="A105288"/>
      <c r="B105288"/>
      <c r="C105288"/>
      <c r="E105288"/>
      <c r="F105288"/>
    </row>
    <row r="105289" spans="1:6" x14ac:dyDescent="0.25">
      <c r="A105289"/>
      <c r="B105289"/>
      <c r="C105289"/>
      <c r="E105289"/>
      <c r="F105289"/>
    </row>
    <row r="105290" spans="1:6" x14ac:dyDescent="0.25">
      <c r="A105290"/>
      <c r="B105290"/>
      <c r="C105290"/>
      <c r="E105290"/>
      <c r="F105290"/>
    </row>
    <row r="105291" spans="1:6" x14ac:dyDescent="0.25">
      <c r="A105291"/>
      <c r="B105291"/>
      <c r="C105291"/>
      <c r="E105291"/>
      <c r="F105291"/>
    </row>
    <row r="105292" spans="1:6" x14ac:dyDescent="0.25">
      <c r="A105292"/>
      <c r="B105292"/>
      <c r="C105292"/>
      <c r="E105292"/>
      <c r="F105292"/>
    </row>
    <row r="105293" spans="1:6" x14ac:dyDescent="0.25">
      <c r="A105293"/>
      <c r="B105293"/>
      <c r="C105293"/>
      <c r="E105293"/>
      <c r="F105293"/>
    </row>
    <row r="105294" spans="1:6" x14ac:dyDescent="0.25">
      <c r="A105294"/>
      <c r="B105294"/>
      <c r="C105294"/>
      <c r="E105294"/>
      <c r="F105294"/>
    </row>
    <row r="105295" spans="1:6" x14ac:dyDescent="0.25">
      <c r="A105295"/>
      <c r="B105295"/>
      <c r="C105295"/>
      <c r="E105295"/>
      <c r="F105295"/>
    </row>
    <row r="105296" spans="1:6" x14ac:dyDescent="0.25">
      <c r="A105296"/>
      <c r="B105296"/>
      <c r="C105296"/>
      <c r="E105296"/>
      <c r="F105296"/>
    </row>
    <row r="105297" spans="1:6" x14ac:dyDescent="0.25">
      <c r="A105297"/>
      <c r="B105297"/>
      <c r="C105297"/>
      <c r="E105297"/>
      <c r="F105297"/>
    </row>
    <row r="105298" spans="1:6" x14ac:dyDescent="0.25">
      <c r="A105298"/>
      <c r="B105298"/>
      <c r="C105298"/>
      <c r="E105298"/>
      <c r="F105298"/>
    </row>
    <row r="105299" spans="1:6" x14ac:dyDescent="0.25">
      <c r="A105299"/>
      <c r="B105299"/>
      <c r="C105299"/>
      <c r="E105299"/>
      <c r="F105299"/>
    </row>
    <row r="105300" spans="1:6" x14ac:dyDescent="0.25">
      <c r="A105300"/>
      <c r="B105300"/>
      <c r="C105300"/>
      <c r="E105300"/>
      <c r="F105300"/>
    </row>
    <row r="105301" spans="1:6" x14ac:dyDescent="0.25">
      <c r="A105301"/>
      <c r="B105301"/>
      <c r="C105301"/>
      <c r="E105301"/>
      <c r="F105301"/>
    </row>
    <row r="105302" spans="1:6" x14ac:dyDescent="0.25">
      <c r="A105302"/>
      <c r="B105302"/>
      <c r="C105302"/>
      <c r="E105302"/>
      <c r="F105302"/>
    </row>
    <row r="105303" spans="1:6" x14ac:dyDescent="0.25">
      <c r="A105303"/>
      <c r="B105303"/>
      <c r="C105303"/>
      <c r="E105303"/>
      <c r="F105303"/>
    </row>
    <row r="105304" spans="1:6" x14ac:dyDescent="0.25">
      <c r="A105304"/>
      <c r="B105304"/>
      <c r="C105304"/>
      <c r="E105304"/>
      <c r="F105304"/>
    </row>
    <row r="105305" spans="1:6" x14ac:dyDescent="0.25">
      <c r="A105305"/>
      <c r="B105305"/>
      <c r="C105305"/>
      <c r="E105305"/>
      <c r="F105305"/>
    </row>
    <row r="105306" spans="1:6" x14ac:dyDescent="0.25">
      <c r="A105306"/>
      <c r="B105306"/>
      <c r="C105306"/>
      <c r="E105306"/>
      <c r="F105306"/>
    </row>
    <row r="105307" spans="1:6" x14ac:dyDescent="0.25">
      <c r="A105307"/>
      <c r="B105307"/>
      <c r="C105307"/>
      <c r="E105307"/>
      <c r="F105307"/>
    </row>
    <row r="105308" spans="1:6" x14ac:dyDescent="0.25">
      <c r="A105308"/>
      <c r="B105308"/>
      <c r="C105308"/>
      <c r="E105308"/>
      <c r="F105308"/>
    </row>
    <row r="105309" spans="1:6" x14ac:dyDescent="0.25">
      <c r="A105309"/>
      <c r="B105309"/>
      <c r="C105309"/>
      <c r="E105309"/>
      <c r="F105309"/>
    </row>
    <row r="105310" spans="1:6" x14ac:dyDescent="0.25">
      <c r="A105310"/>
      <c r="B105310"/>
      <c r="C105310"/>
      <c r="E105310"/>
      <c r="F105310"/>
    </row>
    <row r="105311" spans="1:6" x14ac:dyDescent="0.25">
      <c r="A105311"/>
      <c r="B105311"/>
      <c r="C105311"/>
      <c r="E105311"/>
      <c r="F105311"/>
    </row>
    <row r="105312" spans="1:6" x14ac:dyDescent="0.25">
      <c r="A105312"/>
      <c r="B105312"/>
      <c r="C105312"/>
      <c r="E105312"/>
      <c r="F105312"/>
    </row>
    <row r="105313" spans="1:6" x14ac:dyDescent="0.25">
      <c r="A105313"/>
      <c r="B105313"/>
      <c r="C105313"/>
      <c r="E105313"/>
      <c r="F105313"/>
    </row>
    <row r="105314" spans="1:6" x14ac:dyDescent="0.25">
      <c r="A105314"/>
      <c r="B105314"/>
      <c r="C105314"/>
      <c r="E105314"/>
      <c r="F105314"/>
    </row>
    <row r="105315" spans="1:6" x14ac:dyDescent="0.25">
      <c r="A105315"/>
      <c r="B105315"/>
      <c r="C105315"/>
      <c r="E105315"/>
      <c r="F105315"/>
    </row>
    <row r="105316" spans="1:6" x14ac:dyDescent="0.25">
      <c r="A105316"/>
      <c r="B105316"/>
      <c r="C105316"/>
      <c r="E105316"/>
      <c r="F105316"/>
    </row>
    <row r="105317" spans="1:6" x14ac:dyDescent="0.25">
      <c r="A105317"/>
      <c r="B105317"/>
      <c r="C105317"/>
      <c r="E105317"/>
      <c r="F105317"/>
    </row>
    <row r="105318" spans="1:6" x14ac:dyDescent="0.25">
      <c r="A105318"/>
      <c r="B105318"/>
      <c r="C105318"/>
      <c r="E105318"/>
      <c r="F105318"/>
    </row>
    <row r="105319" spans="1:6" x14ac:dyDescent="0.25">
      <c r="A105319"/>
      <c r="B105319"/>
      <c r="C105319"/>
      <c r="E105319"/>
      <c r="F105319"/>
    </row>
    <row r="105320" spans="1:6" x14ac:dyDescent="0.25">
      <c r="A105320"/>
      <c r="B105320"/>
      <c r="C105320"/>
      <c r="E105320"/>
      <c r="F105320"/>
    </row>
    <row r="105321" spans="1:6" x14ac:dyDescent="0.25">
      <c r="A105321"/>
      <c r="B105321"/>
      <c r="C105321"/>
      <c r="E105321"/>
      <c r="F105321"/>
    </row>
    <row r="105322" spans="1:6" x14ac:dyDescent="0.25">
      <c r="A105322"/>
      <c r="B105322"/>
      <c r="C105322"/>
      <c r="E105322"/>
      <c r="F105322"/>
    </row>
    <row r="105323" spans="1:6" x14ac:dyDescent="0.25">
      <c r="A105323"/>
      <c r="B105323"/>
      <c r="C105323"/>
      <c r="E105323"/>
      <c r="F105323"/>
    </row>
    <row r="105324" spans="1:6" x14ac:dyDescent="0.25">
      <c r="A105324"/>
      <c r="B105324"/>
      <c r="C105324"/>
      <c r="E105324"/>
      <c r="F105324"/>
    </row>
    <row r="105325" spans="1:6" x14ac:dyDescent="0.25">
      <c r="A105325"/>
      <c r="B105325"/>
      <c r="C105325"/>
      <c r="E105325"/>
      <c r="F105325"/>
    </row>
    <row r="105326" spans="1:6" x14ac:dyDescent="0.25">
      <c r="A105326"/>
      <c r="B105326"/>
      <c r="C105326"/>
      <c r="E105326"/>
      <c r="F105326"/>
    </row>
    <row r="105327" spans="1:6" x14ac:dyDescent="0.25">
      <c r="A105327"/>
      <c r="B105327"/>
      <c r="C105327"/>
      <c r="E105327"/>
      <c r="F105327"/>
    </row>
    <row r="105328" spans="1:6" x14ac:dyDescent="0.25">
      <c r="A105328"/>
      <c r="B105328"/>
      <c r="C105328"/>
      <c r="E105328"/>
      <c r="F105328"/>
    </row>
    <row r="105329" spans="1:6" x14ac:dyDescent="0.25">
      <c r="A105329"/>
      <c r="B105329"/>
      <c r="C105329"/>
      <c r="E105329"/>
      <c r="F105329"/>
    </row>
    <row r="105330" spans="1:6" x14ac:dyDescent="0.25">
      <c r="A105330"/>
      <c r="B105330"/>
      <c r="C105330"/>
      <c r="E105330"/>
      <c r="F105330"/>
    </row>
    <row r="105331" spans="1:6" x14ac:dyDescent="0.25">
      <c r="A105331"/>
      <c r="B105331"/>
      <c r="C105331"/>
      <c r="E105331"/>
      <c r="F105331"/>
    </row>
    <row r="105332" spans="1:6" x14ac:dyDescent="0.25">
      <c r="A105332"/>
      <c r="B105332"/>
      <c r="C105332"/>
      <c r="E105332"/>
      <c r="F105332"/>
    </row>
    <row r="105333" spans="1:6" x14ac:dyDescent="0.25">
      <c r="A105333"/>
      <c r="B105333"/>
      <c r="C105333"/>
      <c r="E105333"/>
      <c r="F105333"/>
    </row>
    <row r="105334" spans="1:6" x14ac:dyDescent="0.25">
      <c r="A105334"/>
      <c r="B105334"/>
      <c r="C105334"/>
      <c r="E105334"/>
      <c r="F105334"/>
    </row>
    <row r="105335" spans="1:6" x14ac:dyDescent="0.25">
      <c r="A105335"/>
      <c r="B105335"/>
      <c r="C105335"/>
      <c r="E105335"/>
      <c r="F105335"/>
    </row>
    <row r="105336" spans="1:6" x14ac:dyDescent="0.25">
      <c r="A105336"/>
      <c r="B105336"/>
      <c r="C105336"/>
      <c r="E105336"/>
      <c r="F105336"/>
    </row>
    <row r="105337" spans="1:6" x14ac:dyDescent="0.25">
      <c r="A105337"/>
      <c r="B105337"/>
      <c r="C105337"/>
      <c r="E105337"/>
      <c r="F105337"/>
    </row>
    <row r="105338" spans="1:6" x14ac:dyDescent="0.25">
      <c r="A105338"/>
      <c r="B105338"/>
      <c r="C105338"/>
      <c r="E105338"/>
      <c r="F105338"/>
    </row>
    <row r="105339" spans="1:6" x14ac:dyDescent="0.25">
      <c r="A105339"/>
      <c r="B105339"/>
      <c r="C105339"/>
      <c r="E105339"/>
      <c r="F105339"/>
    </row>
    <row r="105340" spans="1:6" x14ac:dyDescent="0.25">
      <c r="A105340"/>
      <c r="B105340"/>
      <c r="C105340"/>
      <c r="E105340"/>
      <c r="F105340"/>
    </row>
    <row r="105341" spans="1:6" x14ac:dyDescent="0.25">
      <c r="A105341"/>
      <c r="B105341"/>
      <c r="C105341"/>
      <c r="E105341"/>
      <c r="F105341"/>
    </row>
    <row r="105342" spans="1:6" x14ac:dyDescent="0.25">
      <c r="A105342"/>
      <c r="B105342"/>
      <c r="C105342"/>
      <c r="E105342"/>
      <c r="F105342"/>
    </row>
    <row r="105343" spans="1:6" x14ac:dyDescent="0.25">
      <c r="A105343"/>
      <c r="B105343"/>
      <c r="C105343"/>
      <c r="E105343"/>
      <c r="F105343"/>
    </row>
    <row r="105344" spans="1:6" x14ac:dyDescent="0.25">
      <c r="A105344"/>
      <c r="B105344"/>
      <c r="C105344"/>
      <c r="E105344"/>
      <c r="F105344"/>
    </row>
    <row r="105345" spans="1:6" x14ac:dyDescent="0.25">
      <c r="A105345"/>
      <c r="B105345"/>
      <c r="C105345"/>
      <c r="E105345"/>
      <c r="F105345"/>
    </row>
    <row r="105346" spans="1:6" x14ac:dyDescent="0.25">
      <c r="A105346"/>
      <c r="B105346"/>
      <c r="C105346"/>
      <c r="E105346"/>
      <c r="F105346"/>
    </row>
    <row r="105347" spans="1:6" x14ac:dyDescent="0.25">
      <c r="A105347"/>
      <c r="B105347"/>
      <c r="C105347"/>
      <c r="E105347"/>
      <c r="F105347"/>
    </row>
    <row r="105348" spans="1:6" x14ac:dyDescent="0.25">
      <c r="A105348"/>
      <c r="B105348"/>
      <c r="C105348"/>
      <c r="E105348"/>
      <c r="F105348"/>
    </row>
    <row r="105349" spans="1:6" x14ac:dyDescent="0.25">
      <c r="A105349"/>
      <c r="B105349"/>
      <c r="C105349"/>
      <c r="E105349"/>
      <c r="F105349"/>
    </row>
    <row r="105350" spans="1:6" x14ac:dyDescent="0.25">
      <c r="A105350"/>
      <c r="B105350"/>
      <c r="C105350"/>
      <c r="E105350"/>
      <c r="F105350"/>
    </row>
    <row r="105351" spans="1:6" x14ac:dyDescent="0.25">
      <c r="A105351"/>
      <c r="B105351"/>
      <c r="C105351"/>
      <c r="E105351"/>
      <c r="F105351"/>
    </row>
    <row r="105352" spans="1:6" x14ac:dyDescent="0.25">
      <c r="A105352"/>
      <c r="B105352"/>
      <c r="C105352"/>
      <c r="E105352"/>
      <c r="F105352"/>
    </row>
    <row r="105353" spans="1:6" x14ac:dyDescent="0.25">
      <c r="A105353"/>
      <c r="B105353"/>
      <c r="C105353"/>
      <c r="E105353"/>
      <c r="F105353"/>
    </row>
    <row r="105354" spans="1:6" x14ac:dyDescent="0.25">
      <c r="A105354"/>
      <c r="B105354"/>
      <c r="C105354"/>
      <c r="E105354"/>
      <c r="F105354"/>
    </row>
    <row r="105355" spans="1:6" x14ac:dyDescent="0.25">
      <c r="A105355"/>
      <c r="B105355"/>
      <c r="C105355"/>
      <c r="E105355"/>
      <c r="F105355"/>
    </row>
    <row r="105356" spans="1:6" x14ac:dyDescent="0.25">
      <c r="A105356"/>
      <c r="B105356"/>
      <c r="C105356"/>
      <c r="E105356"/>
      <c r="F105356"/>
    </row>
    <row r="105357" spans="1:6" x14ac:dyDescent="0.25">
      <c r="A105357"/>
      <c r="B105357"/>
      <c r="C105357"/>
      <c r="E105357"/>
      <c r="F105357"/>
    </row>
    <row r="105358" spans="1:6" x14ac:dyDescent="0.25">
      <c r="A105358"/>
      <c r="B105358"/>
      <c r="C105358"/>
      <c r="E105358"/>
      <c r="F105358"/>
    </row>
    <row r="105359" spans="1:6" x14ac:dyDescent="0.25">
      <c r="A105359"/>
      <c r="B105359"/>
      <c r="C105359"/>
      <c r="E105359"/>
      <c r="F105359"/>
    </row>
    <row r="105360" spans="1:6" x14ac:dyDescent="0.25">
      <c r="A105360"/>
      <c r="B105360"/>
      <c r="C105360"/>
      <c r="E105360"/>
      <c r="F105360"/>
    </row>
    <row r="105361" spans="1:6" x14ac:dyDescent="0.25">
      <c r="A105361"/>
      <c r="B105361"/>
      <c r="C105361"/>
      <c r="E105361"/>
      <c r="F105361"/>
    </row>
    <row r="105362" spans="1:6" x14ac:dyDescent="0.25">
      <c r="A105362"/>
      <c r="B105362"/>
      <c r="C105362"/>
      <c r="E105362"/>
      <c r="F105362"/>
    </row>
    <row r="105363" spans="1:6" x14ac:dyDescent="0.25">
      <c r="A105363"/>
      <c r="B105363"/>
      <c r="C105363"/>
      <c r="E105363"/>
      <c r="F105363"/>
    </row>
    <row r="105364" spans="1:6" x14ac:dyDescent="0.25">
      <c r="A105364"/>
      <c r="B105364"/>
      <c r="C105364"/>
      <c r="E105364"/>
      <c r="F105364"/>
    </row>
    <row r="105365" spans="1:6" x14ac:dyDescent="0.25">
      <c r="A105365"/>
      <c r="B105365"/>
      <c r="C105365"/>
      <c r="E105365"/>
      <c r="F105365"/>
    </row>
    <row r="105366" spans="1:6" x14ac:dyDescent="0.25">
      <c r="A105366"/>
      <c r="B105366"/>
      <c r="C105366"/>
      <c r="E105366"/>
      <c r="F105366"/>
    </row>
    <row r="105367" spans="1:6" x14ac:dyDescent="0.25">
      <c r="A105367"/>
      <c r="B105367"/>
      <c r="C105367"/>
      <c r="E105367"/>
      <c r="F105367"/>
    </row>
    <row r="105368" spans="1:6" x14ac:dyDescent="0.25">
      <c r="A105368"/>
      <c r="B105368"/>
      <c r="C105368"/>
      <c r="E105368"/>
      <c r="F105368"/>
    </row>
    <row r="105369" spans="1:6" x14ac:dyDescent="0.25">
      <c r="A105369"/>
      <c r="B105369"/>
      <c r="C105369"/>
      <c r="E105369"/>
      <c r="F105369"/>
    </row>
    <row r="105370" spans="1:6" x14ac:dyDescent="0.25">
      <c r="A105370"/>
      <c r="B105370"/>
      <c r="C105370"/>
      <c r="E105370"/>
      <c r="F105370"/>
    </row>
    <row r="105371" spans="1:6" x14ac:dyDescent="0.25">
      <c r="A105371"/>
      <c r="B105371"/>
      <c r="C105371"/>
      <c r="E105371"/>
      <c r="F105371"/>
    </row>
    <row r="105372" spans="1:6" x14ac:dyDescent="0.25">
      <c r="A105372"/>
      <c r="B105372"/>
      <c r="C105372"/>
      <c r="E105372"/>
      <c r="F105372"/>
    </row>
    <row r="105373" spans="1:6" x14ac:dyDescent="0.25">
      <c r="A105373"/>
      <c r="B105373"/>
      <c r="C105373"/>
      <c r="E105373"/>
      <c r="F105373"/>
    </row>
    <row r="105374" spans="1:6" x14ac:dyDescent="0.25">
      <c r="A105374"/>
      <c r="B105374"/>
      <c r="C105374"/>
      <c r="E105374"/>
      <c r="F105374"/>
    </row>
    <row r="105375" spans="1:6" x14ac:dyDescent="0.25">
      <c r="A105375"/>
      <c r="B105375"/>
      <c r="C105375"/>
      <c r="E105375"/>
      <c r="F105375"/>
    </row>
    <row r="105376" spans="1:6" x14ac:dyDescent="0.25">
      <c r="A105376"/>
      <c r="B105376"/>
      <c r="C105376"/>
      <c r="E105376"/>
      <c r="F105376"/>
    </row>
    <row r="105377" spans="1:6" x14ac:dyDescent="0.25">
      <c r="A105377"/>
      <c r="B105377"/>
      <c r="C105377"/>
      <c r="E105377"/>
      <c r="F105377"/>
    </row>
    <row r="105378" spans="1:6" x14ac:dyDescent="0.25">
      <c r="A105378"/>
      <c r="B105378"/>
      <c r="C105378"/>
      <c r="E105378"/>
      <c r="F105378"/>
    </row>
    <row r="105379" spans="1:6" x14ac:dyDescent="0.25">
      <c r="A105379"/>
      <c r="B105379"/>
      <c r="C105379"/>
      <c r="E105379"/>
      <c r="F105379"/>
    </row>
    <row r="105380" spans="1:6" x14ac:dyDescent="0.25">
      <c r="A105380"/>
      <c r="B105380"/>
      <c r="C105380"/>
      <c r="E105380"/>
      <c r="F105380"/>
    </row>
    <row r="105381" spans="1:6" x14ac:dyDescent="0.25">
      <c r="A105381"/>
      <c r="B105381"/>
      <c r="C105381"/>
      <c r="E105381"/>
      <c r="F105381"/>
    </row>
    <row r="105382" spans="1:6" x14ac:dyDescent="0.25">
      <c r="A105382"/>
      <c r="B105382"/>
      <c r="C105382"/>
      <c r="E105382"/>
      <c r="F105382"/>
    </row>
    <row r="105383" spans="1:6" x14ac:dyDescent="0.25">
      <c r="A105383"/>
      <c r="B105383"/>
      <c r="C105383"/>
      <c r="E105383"/>
      <c r="F105383"/>
    </row>
    <row r="105384" spans="1:6" x14ac:dyDescent="0.25">
      <c r="A105384"/>
      <c r="B105384"/>
      <c r="C105384"/>
      <c r="E105384"/>
      <c r="F105384"/>
    </row>
    <row r="105385" spans="1:6" x14ac:dyDescent="0.25">
      <c r="A105385"/>
      <c r="B105385"/>
      <c r="C105385"/>
      <c r="E105385"/>
      <c r="F105385"/>
    </row>
    <row r="105386" spans="1:6" x14ac:dyDescent="0.25">
      <c r="A105386"/>
      <c r="B105386"/>
      <c r="C105386"/>
      <c r="E105386"/>
      <c r="F105386"/>
    </row>
    <row r="105387" spans="1:6" x14ac:dyDescent="0.25">
      <c r="A105387"/>
      <c r="B105387"/>
      <c r="C105387"/>
      <c r="E105387"/>
      <c r="F105387"/>
    </row>
    <row r="105388" spans="1:6" x14ac:dyDescent="0.25">
      <c r="A105388"/>
      <c r="B105388"/>
      <c r="C105388"/>
      <c r="E105388"/>
      <c r="F105388"/>
    </row>
    <row r="105389" spans="1:6" x14ac:dyDescent="0.25">
      <c r="A105389"/>
      <c r="B105389"/>
      <c r="C105389"/>
      <c r="E105389"/>
      <c r="F105389"/>
    </row>
    <row r="105390" spans="1:6" x14ac:dyDescent="0.25">
      <c r="A105390"/>
      <c r="B105390"/>
      <c r="C105390"/>
      <c r="E105390"/>
      <c r="F105390"/>
    </row>
    <row r="105391" spans="1:6" x14ac:dyDescent="0.25">
      <c r="A105391"/>
      <c r="B105391"/>
      <c r="C105391"/>
      <c r="E105391"/>
      <c r="F105391"/>
    </row>
    <row r="105392" spans="1:6" x14ac:dyDescent="0.25">
      <c r="A105392"/>
      <c r="B105392"/>
      <c r="C105392"/>
      <c r="E105392"/>
      <c r="F105392"/>
    </row>
    <row r="105393" spans="1:6" x14ac:dyDescent="0.25">
      <c r="A105393"/>
      <c r="B105393"/>
      <c r="C105393"/>
      <c r="E105393"/>
      <c r="F105393"/>
    </row>
    <row r="105394" spans="1:6" x14ac:dyDescent="0.25">
      <c r="A105394"/>
      <c r="B105394"/>
      <c r="C105394"/>
      <c r="E105394"/>
      <c r="F105394"/>
    </row>
    <row r="105395" spans="1:6" x14ac:dyDescent="0.25">
      <c r="A105395"/>
      <c r="B105395"/>
      <c r="C105395"/>
      <c r="E105395"/>
      <c r="F105395"/>
    </row>
    <row r="105396" spans="1:6" x14ac:dyDescent="0.25">
      <c r="A105396"/>
      <c r="B105396"/>
      <c r="C105396"/>
      <c r="E105396"/>
      <c r="F105396"/>
    </row>
    <row r="105397" spans="1:6" x14ac:dyDescent="0.25">
      <c r="A105397"/>
      <c r="B105397"/>
      <c r="C105397"/>
      <c r="E105397"/>
      <c r="F105397"/>
    </row>
    <row r="105398" spans="1:6" x14ac:dyDescent="0.25">
      <c r="A105398"/>
      <c r="B105398"/>
      <c r="C105398"/>
      <c r="E105398"/>
      <c r="F105398"/>
    </row>
    <row r="105399" spans="1:6" x14ac:dyDescent="0.25">
      <c r="A105399"/>
      <c r="B105399"/>
      <c r="C105399"/>
      <c r="E105399"/>
      <c r="F105399"/>
    </row>
    <row r="105400" spans="1:6" x14ac:dyDescent="0.25">
      <c r="A105400"/>
      <c r="B105400"/>
      <c r="C105400"/>
      <c r="E105400"/>
      <c r="F105400"/>
    </row>
    <row r="105401" spans="1:6" x14ac:dyDescent="0.25">
      <c r="A105401"/>
      <c r="B105401"/>
      <c r="C105401"/>
      <c r="E105401"/>
      <c r="F105401"/>
    </row>
    <row r="105402" spans="1:6" x14ac:dyDescent="0.25">
      <c r="A105402"/>
      <c r="B105402"/>
      <c r="C105402"/>
      <c r="E105402"/>
      <c r="F105402"/>
    </row>
    <row r="105403" spans="1:6" x14ac:dyDescent="0.25">
      <c r="A105403"/>
      <c r="B105403"/>
      <c r="C105403"/>
      <c r="E105403"/>
      <c r="F105403"/>
    </row>
    <row r="105404" spans="1:6" x14ac:dyDescent="0.25">
      <c r="A105404"/>
      <c r="B105404"/>
      <c r="C105404"/>
      <c r="E105404"/>
      <c r="F105404"/>
    </row>
    <row r="105405" spans="1:6" x14ac:dyDescent="0.25">
      <c r="A105405"/>
      <c r="B105405"/>
      <c r="C105405"/>
      <c r="E105405"/>
      <c r="F105405"/>
    </row>
    <row r="105406" spans="1:6" x14ac:dyDescent="0.25">
      <c r="A105406"/>
      <c r="B105406"/>
      <c r="C105406"/>
      <c r="E105406"/>
      <c r="F105406"/>
    </row>
    <row r="105407" spans="1:6" x14ac:dyDescent="0.25">
      <c r="A105407"/>
      <c r="B105407"/>
      <c r="C105407"/>
      <c r="E105407"/>
      <c r="F105407"/>
    </row>
    <row r="105408" spans="1:6" x14ac:dyDescent="0.25">
      <c r="A105408"/>
      <c r="B105408"/>
      <c r="C105408"/>
      <c r="E105408"/>
      <c r="F105408"/>
    </row>
    <row r="105409" spans="1:6" x14ac:dyDescent="0.25">
      <c r="A105409"/>
      <c r="B105409"/>
      <c r="C105409"/>
      <c r="E105409"/>
      <c r="F105409"/>
    </row>
    <row r="105410" spans="1:6" x14ac:dyDescent="0.25">
      <c r="A105410"/>
      <c r="B105410"/>
      <c r="C105410"/>
      <c r="E105410"/>
      <c r="F105410"/>
    </row>
    <row r="105411" spans="1:6" x14ac:dyDescent="0.25">
      <c r="A105411"/>
      <c r="B105411"/>
      <c r="C105411"/>
      <c r="E105411"/>
      <c r="F105411"/>
    </row>
    <row r="105412" spans="1:6" x14ac:dyDescent="0.25">
      <c r="A105412"/>
      <c r="B105412"/>
      <c r="C105412"/>
      <c r="E105412"/>
      <c r="F105412"/>
    </row>
    <row r="105413" spans="1:6" x14ac:dyDescent="0.25">
      <c r="A105413"/>
      <c r="B105413"/>
      <c r="C105413"/>
      <c r="E105413"/>
      <c r="F105413"/>
    </row>
    <row r="105414" spans="1:6" x14ac:dyDescent="0.25">
      <c r="A105414"/>
      <c r="B105414"/>
      <c r="C105414"/>
      <c r="E105414"/>
      <c r="F105414"/>
    </row>
    <row r="105415" spans="1:6" x14ac:dyDescent="0.25">
      <c r="A105415"/>
      <c r="B105415"/>
      <c r="C105415"/>
      <c r="E105415"/>
      <c r="F105415"/>
    </row>
    <row r="105416" spans="1:6" x14ac:dyDescent="0.25">
      <c r="A105416"/>
      <c r="B105416"/>
      <c r="C105416"/>
      <c r="E105416"/>
      <c r="F105416"/>
    </row>
    <row r="105417" spans="1:6" x14ac:dyDescent="0.25">
      <c r="A105417"/>
      <c r="B105417"/>
      <c r="C105417"/>
      <c r="E105417"/>
      <c r="F105417"/>
    </row>
    <row r="105418" spans="1:6" x14ac:dyDescent="0.25">
      <c r="A105418"/>
      <c r="B105418"/>
      <c r="C105418"/>
      <c r="E105418"/>
      <c r="F105418"/>
    </row>
    <row r="105419" spans="1:6" x14ac:dyDescent="0.25">
      <c r="A105419"/>
      <c r="B105419"/>
      <c r="C105419"/>
      <c r="E105419"/>
      <c r="F105419"/>
    </row>
    <row r="105420" spans="1:6" x14ac:dyDescent="0.25">
      <c r="A105420"/>
      <c r="B105420"/>
      <c r="C105420"/>
      <c r="E105420"/>
      <c r="F105420"/>
    </row>
    <row r="105421" spans="1:6" x14ac:dyDescent="0.25">
      <c r="A105421"/>
      <c r="B105421"/>
      <c r="C105421"/>
      <c r="E105421"/>
      <c r="F105421"/>
    </row>
    <row r="105422" spans="1:6" x14ac:dyDescent="0.25">
      <c r="A105422"/>
      <c r="B105422"/>
      <c r="C105422"/>
      <c r="E105422"/>
      <c r="F105422"/>
    </row>
    <row r="105423" spans="1:6" x14ac:dyDescent="0.25">
      <c r="A105423"/>
      <c r="B105423"/>
      <c r="C105423"/>
      <c r="E105423"/>
      <c r="F105423"/>
    </row>
    <row r="105424" spans="1:6" x14ac:dyDescent="0.25">
      <c r="A105424"/>
      <c r="B105424"/>
      <c r="C105424"/>
      <c r="E105424"/>
      <c r="F105424"/>
    </row>
    <row r="105425" spans="1:6" x14ac:dyDescent="0.25">
      <c r="A105425"/>
      <c r="B105425"/>
      <c r="C105425"/>
      <c r="E105425"/>
      <c r="F105425"/>
    </row>
    <row r="105426" spans="1:6" x14ac:dyDescent="0.25">
      <c r="A105426"/>
      <c r="B105426"/>
      <c r="C105426"/>
      <c r="E105426"/>
      <c r="F105426"/>
    </row>
    <row r="105427" spans="1:6" x14ac:dyDescent="0.25">
      <c r="A105427"/>
      <c r="B105427"/>
      <c r="C105427"/>
      <c r="E105427"/>
      <c r="F105427"/>
    </row>
    <row r="105428" spans="1:6" x14ac:dyDescent="0.25">
      <c r="A105428"/>
      <c r="B105428"/>
      <c r="C105428"/>
      <c r="E105428"/>
      <c r="F105428"/>
    </row>
    <row r="105429" spans="1:6" x14ac:dyDescent="0.25">
      <c r="A105429"/>
      <c r="B105429"/>
      <c r="C105429"/>
      <c r="E105429"/>
      <c r="F105429"/>
    </row>
    <row r="105430" spans="1:6" x14ac:dyDescent="0.25">
      <c r="A105430"/>
      <c r="B105430"/>
      <c r="C105430"/>
      <c r="E105430"/>
      <c r="F105430"/>
    </row>
    <row r="105431" spans="1:6" x14ac:dyDescent="0.25">
      <c r="A105431"/>
      <c r="B105431"/>
      <c r="C105431"/>
      <c r="E105431"/>
      <c r="F105431"/>
    </row>
    <row r="105432" spans="1:6" x14ac:dyDescent="0.25">
      <c r="A105432"/>
      <c r="B105432"/>
      <c r="C105432"/>
      <c r="E105432"/>
      <c r="F105432"/>
    </row>
    <row r="105433" spans="1:6" x14ac:dyDescent="0.25">
      <c r="A105433"/>
      <c r="B105433"/>
      <c r="C105433"/>
      <c r="E105433"/>
      <c r="F105433"/>
    </row>
    <row r="105434" spans="1:6" x14ac:dyDescent="0.25">
      <c r="A105434"/>
      <c r="B105434"/>
      <c r="C105434"/>
      <c r="E105434"/>
      <c r="F105434"/>
    </row>
    <row r="105435" spans="1:6" x14ac:dyDescent="0.25">
      <c r="A105435"/>
      <c r="B105435"/>
      <c r="C105435"/>
      <c r="E105435"/>
      <c r="F105435"/>
    </row>
    <row r="105436" spans="1:6" x14ac:dyDescent="0.25">
      <c r="A105436"/>
      <c r="B105436"/>
      <c r="C105436"/>
      <c r="E105436"/>
      <c r="F105436"/>
    </row>
    <row r="105437" spans="1:6" x14ac:dyDescent="0.25">
      <c r="A105437"/>
      <c r="B105437"/>
      <c r="C105437"/>
      <c r="E105437"/>
      <c r="F105437"/>
    </row>
    <row r="105438" spans="1:6" x14ac:dyDescent="0.25">
      <c r="A105438"/>
      <c r="B105438"/>
      <c r="C105438"/>
      <c r="E105438"/>
      <c r="F105438"/>
    </row>
    <row r="105439" spans="1:6" x14ac:dyDescent="0.25">
      <c r="A105439"/>
      <c r="B105439"/>
      <c r="C105439"/>
      <c r="E105439"/>
      <c r="F105439"/>
    </row>
    <row r="105440" spans="1:6" x14ac:dyDescent="0.25">
      <c r="A105440"/>
      <c r="B105440"/>
      <c r="C105440"/>
      <c r="E105440"/>
      <c r="F105440"/>
    </row>
    <row r="105441" spans="1:6" x14ac:dyDescent="0.25">
      <c r="A105441"/>
      <c r="B105441"/>
      <c r="C105441"/>
      <c r="E105441"/>
      <c r="F105441"/>
    </row>
    <row r="105442" spans="1:6" x14ac:dyDescent="0.25">
      <c r="A105442"/>
      <c r="B105442"/>
      <c r="C105442"/>
      <c r="E105442"/>
      <c r="F105442"/>
    </row>
    <row r="105443" spans="1:6" x14ac:dyDescent="0.25">
      <c r="A105443"/>
      <c r="B105443"/>
      <c r="C105443"/>
      <c r="E105443"/>
      <c r="F105443"/>
    </row>
    <row r="105444" spans="1:6" x14ac:dyDescent="0.25">
      <c r="A105444"/>
      <c r="B105444"/>
      <c r="C105444"/>
      <c r="E105444"/>
      <c r="F105444"/>
    </row>
    <row r="105445" spans="1:6" x14ac:dyDescent="0.25">
      <c r="A105445"/>
      <c r="B105445"/>
      <c r="C105445"/>
      <c r="E105445"/>
      <c r="F105445"/>
    </row>
    <row r="105446" spans="1:6" x14ac:dyDescent="0.25">
      <c r="A105446"/>
      <c r="B105446"/>
      <c r="C105446"/>
      <c r="E105446"/>
      <c r="F105446"/>
    </row>
    <row r="105447" spans="1:6" x14ac:dyDescent="0.25">
      <c r="A105447"/>
      <c r="B105447"/>
      <c r="C105447"/>
      <c r="E105447"/>
      <c r="F105447"/>
    </row>
    <row r="105448" spans="1:6" x14ac:dyDescent="0.25">
      <c r="A105448"/>
      <c r="B105448"/>
      <c r="C105448"/>
      <c r="E105448"/>
      <c r="F105448"/>
    </row>
    <row r="105449" spans="1:6" x14ac:dyDescent="0.25">
      <c r="A105449"/>
      <c r="B105449"/>
      <c r="C105449"/>
      <c r="E105449"/>
      <c r="F105449"/>
    </row>
    <row r="105450" spans="1:6" x14ac:dyDescent="0.25">
      <c r="A105450"/>
      <c r="B105450"/>
      <c r="C105450"/>
      <c r="E105450"/>
      <c r="F105450"/>
    </row>
    <row r="105451" spans="1:6" x14ac:dyDescent="0.25">
      <c r="A105451"/>
      <c r="B105451"/>
      <c r="C105451"/>
      <c r="E105451"/>
      <c r="F105451"/>
    </row>
    <row r="105452" spans="1:6" x14ac:dyDescent="0.25">
      <c r="A105452"/>
      <c r="B105452"/>
      <c r="C105452"/>
      <c r="E105452"/>
      <c r="F105452"/>
    </row>
    <row r="105453" spans="1:6" x14ac:dyDescent="0.25">
      <c r="A105453"/>
      <c r="B105453"/>
      <c r="C105453"/>
      <c r="E105453"/>
      <c r="F105453"/>
    </row>
    <row r="105454" spans="1:6" x14ac:dyDescent="0.25">
      <c r="A105454"/>
      <c r="B105454"/>
      <c r="C105454"/>
      <c r="E105454"/>
      <c r="F105454"/>
    </row>
    <row r="105455" spans="1:6" x14ac:dyDescent="0.25">
      <c r="A105455"/>
      <c r="B105455"/>
      <c r="C105455"/>
      <c r="E105455"/>
      <c r="F105455"/>
    </row>
    <row r="105456" spans="1:6" x14ac:dyDescent="0.25">
      <c r="A105456"/>
      <c r="B105456"/>
      <c r="C105456"/>
      <c r="E105456"/>
      <c r="F105456"/>
    </row>
    <row r="105457" spans="1:6" x14ac:dyDescent="0.25">
      <c r="A105457"/>
      <c r="B105457"/>
      <c r="C105457"/>
      <c r="E105457"/>
      <c r="F105457"/>
    </row>
    <row r="105458" spans="1:6" x14ac:dyDescent="0.25">
      <c r="A105458"/>
      <c r="B105458"/>
      <c r="C105458"/>
      <c r="E105458"/>
      <c r="F105458"/>
    </row>
    <row r="105459" spans="1:6" x14ac:dyDescent="0.25">
      <c r="A105459"/>
      <c r="B105459"/>
      <c r="C105459"/>
      <c r="E105459"/>
      <c r="F105459"/>
    </row>
    <row r="105460" spans="1:6" x14ac:dyDescent="0.25">
      <c r="A105460"/>
      <c r="B105460"/>
      <c r="C105460"/>
      <c r="E105460"/>
      <c r="F105460"/>
    </row>
    <row r="105461" spans="1:6" x14ac:dyDescent="0.25">
      <c r="A105461"/>
      <c r="B105461"/>
      <c r="C105461"/>
      <c r="E105461"/>
      <c r="F105461"/>
    </row>
    <row r="105462" spans="1:6" x14ac:dyDescent="0.25">
      <c r="A105462"/>
      <c r="B105462"/>
      <c r="C105462"/>
      <c r="E105462"/>
      <c r="F105462"/>
    </row>
    <row r="105463" spans="1:6" x14ac:dyDescent="0.25">
      <c r="A105463"/>
      <c r="B105463"/>
      <c r="C105463"/>
      <c r="E105463"/>
      <c r="F105463"/>
    </row>
    <row r="105464" spans="1:6" x14ac:dyDescent="0.25">
      <c r="A105464"/>
      <c r="B105464"/>
      <c r="C105464"/>
      <c r="E105464"/>
      <c r="F105464"/>
    </row>
    <row r="105465" spans="1:6" x14ac:dyDescent="0.25">
      <c r="A105465"/>
      <c r="B105465"/>
      <c r="C105465"/>
      <c r="E105465"/>
      <c r="F105465"/>
    </row>
    <row r="105466" spans="1:6" x14ac:dyDescent="0.25">
      <c r="A105466"/>
      <c r="B105466"/>
      <c r="C105466"/>
      <c r="E105466"/>
      <c r="F105466"/>
    </row>
    <row r="105467" spans="1:6" x14ac:dyDescent="0.25">
      <c r="A105467"/>
      <c r="B105467"/>
      <c r="C105467"/>
      <c r="E105467"/>
      <c r="F105467"/>
    </row>
    <row r="105468" spans="1:6" x14ac:dyDescent="0.25">
      <c r="A105468"/>
      <c r="B105468"/>
      <c r="C105468"/>
      <c r="E105468"/>
      <c r="F105468"/>
    </row>
    <row r="105469" spans="1:6" x14ac:dyDescent="0.25">
      <c r="A105469"/>
      <c r="B105469"/>
      <c r="C105469"/>
      <c r="E105469"/>
      <c r="F105469"/>
    </row>
    <row r="105470" spans="1:6" x14ac:dyDescent="0.25">
      <c r="A105470"/>
      <c r="B105470"/>
      <c r="C105470"/>
      <c r="E105470"/>
      <c r="F105470"/>
    </row>
    <row r="105471" spans="1:6" x14ac:dyDescent="0.25">
      <c r="A105471"/>
      <c r="B105471"/>
      <c r="C105471"/>
      <c r="E105471"/>
      <c r="F105471"/>
    </row>
    <row r="105472" spans="1:6" x14ac:dyDescent="0.25">
      <c r="A105472"/>
      <c r="B105472"/>
      <c r="C105472"/>
      <c r="E105472"/>
      <c r="F105472"/>
    </row>
    <row r="105473" spans="1:6" x14ac:dyDescent="0.25">
      <c r="A105473"/>
      <c r="B105473"/>
      <c r="C105473"/>
      <c r="E105473"/>
      <c r="F105473"/>
    </row>
    <row r="105474" spans="1:6" x14ac:dyDescent="0.25">
      <c r="A105474"/>
      <c r="B105474"/>
      <c r="C105474"/>
      <c r="E105474"/>
      <c r="F105474"/>
    </row>
    <row r="105475" spans="1:6" x14ac:dyDescent="0.25">
      <c r="A105475"/>
      <c r="B105475"/>
      <c r="C105475"/>
      <c r="E105475"/>
      <c r="F105475"/>
    </row>
    <row r="105476" spans="1:6" x14ac:dyDescent="0.25">
      <c r="A105476"/>
      <c r="B105476"/>
      <c r="C105476"/>
      <c r="E105476"/>
      <c r="F105476"/>
    </row>
    <row r="105477" spans="1:6" x14ac:dyDescent="0.25">
      <c r="A105477"/>
      <c r="B105477"/>
      <c r="C105477"/>
      <c r="E105477"/>
      <c r="F105477"/>
    </row>
    <row r="105478" spans="1:6" x14ac:dyDescent="0.25">
      <c r="A105478"/>
      <c r="B105478"/>
      <c r="C105478"/>
      <c r="E105478"/>
      <c r="F105478"/>
    </row>
    <row r="105479" spans="1:6" x14ac:dyDescent="0.25">
      <c r="A105479"/>
      <c r="B105479"/>
      <c r="C105479"/>
      <c r="E105479"/>
      <c r="F105479"/>
    </row>
    <row r="105480" spans="1:6" x14ac:dyDescent="0.25">
      <c r="A105480"/>
      <c r="B105480"/>
      <c r="C105480"/>
      <c r="E105480"/>
      <c r="F105480"/>
    </row>
    <row r="105481" spans="1:6" x14ac:dyDescent="0.25">
      <c r="A105481"/>
      <c r="B105481"/>
      <c r="C105481"/>
      <c r="E105481"/>
      <c r="F105481"/>
    </row>
    <row r="105482" spans="1:6" x14ac:dyDescent="0.25">
      <c r="A105482"/>
      <c r="B105482"/>
      <c r="C105482"/>
      <c r="E105482"/>
      <c r="F105482"/>
    </row>
    <row r="105483" spans="1:6" x14ac:dyDescent="0.25">
      <c r="A105483"/>
      <c r="B105483"/>
      <c r="C105483"/>
      <c r="E105483"/>
      <c r="F105483"/>
    </row>
    <row r="105484" spans="1:6" x14ac:dyDescent="0.25">
      <c r="A105484"/>
      <c r="B105484"/>
      <c r="C105484"/>
      <c r="E105484"/>
      <c r="F105484"/>
    </row>
    <row r="105485" spans="1:6" x14ac:dyDescent="0.25">
      <c r="A105485"/>
      <c r="B105485"/>
      <c r="C105485"/>
      <c r="E105485"/>
      <c r="F105485"/>
    </row>
    <row r="105486" spans="1:6" x14ac:dyDescent="0.25">
      <c r="A105486"/>
      <c r="B105486"/>
      <c r="C105486"/>
      <c r="E105486"/>
      <c r="F105486"/>
    </row>
    <row r="105487" spans="1:6" x14ac:dyDescent="0.25">
      <c r="A105487"/>
      <c r="B105487"/>
      <c r="C105487"/>
      <c r="E105487"/>
      <c r="F105487"/>
    </row>
    <row r="105488" spans="1:6" x14ac:dyDescent="0.25">
      <c r="A105488"/>
      <c r="B105488"/>
      <c r="C105488"/>
      <c r="E105488"/>
      <c r="F105488"/>
    </row>
    <row r="105489" spans="1:6" x14ac:dyDescent="0.25">
      <c r="A105489"/>
      <c r="B105489"/>
      <c r="C105489"/>
      <c r="E105489"/>
      <c r="F105489"/>
    </row>
    <row r="105490" spans="1:6" x14ac:dyDescent="0.25">
      <c r="A105490"/>
      <c r="B105490"/>
      <c r="C105490"/>
      <c r="E105490"/>
      <c r="F105490"/>
    </row>
    <row r="105491" spans="1:6" x14ac:dyDescent="0.25">
      <c r="A105491"/>
      <c r="B105491"/>
      <c r="C105491"/>
      <c r="E105491"/>
      <c r="F105491"/>
    </row>
    <row r="105492" spans="1:6" x14ac:dyDescent="0.25">
      <c r="A105492"/>
      <c r="B105492"/>
      <c r="C105492"/>
      <c r="E105492"/>
      <c r="F105492"/>
    </row>
    <row r="105493" spans="1:6" x14ac:dyDescent="0.25">
      <c r="A105493"/>
      <c r="B105493"/>
      <c r="C105493"/>
      <c r="E105493"/>
      <c r="F105493"/>
    </row>
    <row r="105494" spans="1:6" x14ac:dyDescent="0.25">
      <c r="A105494"/>
      <c r="B105494"/>
      <c r="C105494"/>
      <c r="E105494"/>
      <c r="F105494"/>
    </row>
    <row r="105495" spans="1:6" x14ac:dyDescent="0.25">
      <c r="A105495"/>
      <c r="B105495"/>
      <c r="C105495"/>
      <c r="E105495"/>
      <c r="F105495"/>
    </row>
    <row r="105496" spans="1:6" x14ac:dyDescent="0.25">
      <c r="A105496"/>
      <c r="B105496"/>
      <c r="C105496"/>
      <c r="E105496"/>
      <c r="F105496"/>
    </row>
    <row r="105497" spans="1:6" x14ac:dyDescent="0.25">
      <c r="A105497"/>
      <c r="B105497"/>
      <c r="C105497"/>
      <c r="E105497"/>
      <c r="F105497"/>
    </row>
    <row r="105498" spans="1:6" x14ac:dyDescent="0.25">
      <c r="A105498"/>
      <c r="B105498"/>
      <c r="C105498"/>
      <c r="E105498"/>
      <c r="F105498"/>
    </row>
    <row r="105499" spans="1:6" x14ac:dyDescent="0.25">
      <c r="A105499"/>
      <c r="B105499"/>
      <c r="C105499"/>
      <c r="E105499"/>
      <c r="F105499"/>
    </row>
    <row r="105500" spans="1:6" x14ac:dyDescent="0.25">
      <c r="A105500"/>
      <c r="B105500"/>
      <c r="C105500"/>
      <c r="E105500"/>
      <c r="F105500"/>
    </row>
    <row r="105501" spans="1:6" x14ac:dyDescent="0.25">
      <c r="A105501"/>
      <c r="B105501"/>
      <c r="C105501"/>
      <c r="E105501"/>
      <c r="F105501"/>
    </row>
    <row r="105502" spans="1:6" x14ac:dyDescent="0.25">
      <c r="A105502"/>
      <c r="B105502"/>
      <c r="C105502"/>
      <c r="E105502"/>
      <c r="F105502"/>
    </row>
    <row r="105503" spans="1:6" x14ac:dyDescent="0.25">
      <c r="A105503"/>
      <c r="B105503"/>
      <c r="C105503"/>
      <c r="E105503"/>
      <c r="F105503"/>
    </row>
    <row r="105504" spans="1:6" x14ac:dyDescent="0.25">
      <c r="A105504"/>
      <c r="B105504"/>
      <c r="C105504"/>
      <c r="E105504"/>
      <c r="F105504"/>
    </row>
    <row r="105505" spans="1:6" x14ac:dyDescent="0.25">
      <c r="A105505"/>
      <c r="B105505"/>
      <c r="C105505"/>
      <c r="E105505"/>
      <c r="F105505"/>
    </row>
    <row r="105506" spans="1:6" x14ac:dyDescent="0.25">
      <c r="A105506"/>
      <c r="B105506"/>
      <c r="C105506"/>
      <c r="E105506"/>
      <c r="F105506"/>
    </row>
    <row r="105507" spans="1:6" x14ac:dyDescent="0.25">
      <c r="A105507"/>
      <c r="B105507"/>
      <c r="C105507"/>
      <c r="E105507"/>
      <c r="F105507"/>
    </row>
    <row r="105508" spans="1:6" x14ac:dyDescent="0.25">
      <c r="A105508"/>
      <c r="B105508"/>
      <c r="C105508"/>
      <c r="E105508"/>
      <c r="F105508"/>
    </row>
    <row r="105509" spans="1:6" x14ac:dyDescent="0.25">
      <c r="A105509"/>
      <c r="B105509"/>
      <c r="C105509"/>
      <c r="E105509"/>
      <c r="F105509"/>
    </row>
    <row r="105510" spans="1:6" x14ac:dyDescent="0.25">
      <c r="A105510"/>
      <c r="B105510"/>
      <c r="C105510"/>
      <c r="E105510"/>
      <c r="F105510"/>
    </row>
    <row r="105511" spans="1:6" x14ac:dyDescent="0.25">
      <c r="A105511"/>
      <c r="B105511"/>
      <c r="C105511"/>
      <c r="E105511"/>
      <c r="F105511"/>
    </row>
    <row r="105512" spans="1:6" x14ac:dyDescent="0.25">
      <c r="A105512"/>
      <c r="B105512"/>
      <c r="C105512"/>
      <c r="E105512"/>
      <c r="F105512"/>
    </row>
    <row r="105513" spans="1:6" x14ac:dyDescent="0.25">
      <c r="A105513"/>
      <c r="B105513"/>
      <c r="C105513"/>
      <c r="E105513"/>
      <c r="F105513"/>
    </row>
    <row r="105514" spans="1:6" x14ac:dyDescent="0.25">
      <c r="A105514"/>
      <c r="B105514"/>
      <c r="C105514"/>
      <c r="E105514"/>
      <c r="F105514"/>
    </row>
    <row r="105515" spans="1:6" x14ac:dyDescent="0.25">
      <c r="A105515"/>
      <c r="B105515"/>
      <c r="C105515"/>
      <c r="E105515"/>
      <c r="F105515"/>
    </row>
    <row r="105516" spans="1:6" x14ac:dyDescent="0.25">
      <c r="A105516"/>
      <c r="B105516"/>
      <c r="C105516"/>
      <c r="E105516"/>
      <c r="F105516"/>
    </row>
    <row r="105517" spans="1:6" x14ac:dyDescent="0.25">
      <c r="A105517"/>
      <c r="B105517"/>
      <c r="C105517"/>
      <c r="E105517"/>
      <c r="F105517"/>
    </row>
    <row r="105518" spans="1:6" x14ac:dyDescent="0.25">
      <c r="A105518"/>
      <c r="B105518"/>
      <c r="C105518"/>
      <c r="E105518"/>
      <c r="F105518"/>
    </row>
    <row r="105519" spans="1:6" x14ac:dyDescent="0.25">
      <c r="A105519"/>
      <c r="B105519"/>
      <c r="C105519"/>
      <c r="E105519"/>
      <c r="F105519"/>
    </row>
    <row r="105520" spans="1:6" x14ac:dyDescent="0.25">
      <c r="A105520"/>
      <c r="B105520"/>
      <c r="C105520"/>
      <c r="E105520"/>
      <c r="F105520"/>
    </row>
    <row r="105521" spans="1:6" x14ac:dyDescent="0.25">
      <c r="A105521"/>
      <c r="B105521"/>
      <c r="C105521"/>
      <c r="E105521"/>
      <c r="F105521"/>
    </row>
    <row r="105522" spans="1:6" x14ac:dyDescent="0.25">
      <c r="A105522"/>
      <c r="B105522"/>
      <c r="C105522"/>
      <c r="E105522"/>
      <c r="F105522"/>
    </row>
    <row r="105523" spans="1:6" x14ac:dyDescent="0.25">
      <c r="A105523"/>
      <c r="B105523"/>
      <c r="C105523"/>
      <c r="E105523"/>
      <c r="F105523"/>
    </row>
    <row r="105524" spans="1:6" x14ac:dyDescent="0.25">
      <c r="A105524"/>
      <c r="B105524"/>
      <c r="C105524"/>
      <c r="E105524"/>
      <c r="F105524"/>
    </row>
    <row r="105525" spans="1:6" x14ac:dyDescent="0.25">
      <c r="A105525"/>
      <c r="B105525"/>
      <c r="C105525"/>
      <c r="E105525"/>
      <c r="F105525"/>
    </row>
    <row r="105526" spans="1:6" x14ac:dyDescent="0.25">
      <c r="A105526"/>
      <c r="B105526"/>
      <c r="C105526"/>
      <c r="E105526"/>
      <c r="F105526"/>
    </row>
    <row r="105527" spans="1:6" x14ac:dyDescent="0.25">
      <c r="A105527"/>
      <c r="B105527"/>
      <c r="C105527"/>
      <c r="E105527"/>
      <c r="F105527"/>
    </row>
    <row r="105528" spans="1:6" x14ac:dyDescent="0.25">
      <c r="A105528"/>
      <c r="B105528"/>
      <c r="C105528"/>
      <c r="E105528"/>
      <c r="F105528"/>
    </row>
    <row r="105529" spans="1:6" x14ac:dyDescent="0.25">
      <c r="A105529"/>
      <c r="B105529"/>
      <c r="C105529"/>
      <c r="E105529"/>
      <c r="F105529"/>
    </row>
    <row r="105530" spans="1:6" x14ac:dyDescent="0.25">
      <c r="A105530"/>
      <c r="B105530"/>
      <c r="C105530"/>
      <c r="E105530"/>
      <c r="F105530"/>
    </row>
    <row r="105531" spans="1:6" x14ac:dyDescent="0.25">
      <c r="A105531"/>
      <c r="B105531"/>
      <c r="C105531"/>
      <c r="E105531"/>
      <c r="F105531"/>
    </row>
    <row r="105532" spans="1:6" x14ac:dyDescent="0.25">
      <c r="A105532"/>
      <c r="B105532"/>
      <c r="C105532"/>
      <c r="E105532"/>
      <c r="F105532"/>
    </row>
    <row r="105533" spans="1:6" x14ac:dyDescent="0.25">
      <c r="A105533"/>
      <c r="B105533"/>
      <c r="C105533"/>
      <c r="E105533"/>
      <c r="F105533"/>
    </row>
    <row r="105534" spans="1:6" x14ac:dyDescent="0.25">
      <c r="A105534"/>
      <c r="B105534"/>
      <c r="C105534"/>
      <c r="E105534"/>
      <c r="F105534"/>
    </row>
    <row r="105535" spans="1:6" x14ac:dyDescent="0.25">
      <c r="A105535"/>
      <c r="B105535"/>
      <c r="C105535"/>
      <c r="E105535"/>
      <c r="F105535"/>
    </row>
    <row r="105536" spans="1:6" x14ac:dyDescent="0.25">
      <c r="A105536"/>
      <c r="B105536"/>
      <c r="C105536"/>
      <c r="E105536"/>
      <c r="F105536"/>
    </row>
    <row r="105537" spans="1:6" x14ac:dyDescent="0.25">
      <c r="A105537"/>
      <c r="B105537"/>
      <c r="C105537"/>
      <c r="E105537"/>
      <c r="F105537"/>
    </row>
    <row r="105538" spans="1:6" x14ac:dyDescent="0.25">
      <c r="A105538"/>
      <c r="B105538"/>
      <c r="C105538"/>
      <c r="E105538"/>
      <c r="F105538"/>
    </row>
    <row r="105539" spans="1:6" x14ac:dyDescent="0.25">
      <c r="A105539"/>
      <c r="B105539"/>
      <c r="C105539"/>
      <c r="E105539"/>
      <c r="F105539"/>
    </row>
    <row r="105540" spans="1:6" x14ac:dyDescent="0.25">
      <c r="A105540"/>
      <c r="B105540"/>
      <c r="C105540"/>
      <c r="E105540"/>
      <c r="F105540"/>
    </row>
    <row r="105541" spans="1:6" x14ac:dyDescent="0.25">
      <c r="A105541"/>
      <c r="B105541"/>
      <c r="C105541"/>
      <c r="E105541"/>
      <c r="F105541"/>
    </row>
    <row r="105542" spans="1:6" x14ac:dyDescent="0.25">
      <c r="A105542"/>
      <c r="B105542"/>
      <c r="C105542"/>
      <c r="E105542"/>
      <c r="F105542"/>
    </row>
    <row r="105543" spans="1:6" x14ac:dyDescent="0.25">
      <c r="A105543"/>
      <c r="B105543"/>
      <c r="C105543"/>
      <c r="E105543"/>
      <c r="F105543"/>
    </row>
    <row r="105544" spans="1:6" x14ac:dyDescent="0.25">
      <c r="A105544"/>
      <c r="B105544"/>
      <c r="C105544"/>
      <c r="E105544"/>
      <c r="F105544"/>
    </row>
    <row r="105545" spans="1:6" x14ac:dyDescent="0.25">
      <c r="A105545"/>
      <c r="B105545"/>
      <c r="C105545"/>
      <c r="E105545"/>
      <c r="F105545"/>
    </row>
    <row r="105546" spans="1:6" x14ac:dyDescent="0.25">
      <c r="A105546"/>
      <c r="B105546"/>
      <c r="C105546"/>
      <c r="E105546"/>
      <c r="F105546"/>
    </row>
    <row r="105547" spans="1:6" x14ac:dyDescent="0.25">
      <c r="A105547"/>
      <c r="B105547"/>
      <c r="C105547"/>
      <c r="E105547"/>
      <c r="F105547"/>
    </row>
    <row r="105548" spans="1:6" x14ac:dyDescent="0.25">
      <c r="A105548"/>
      <c r="B105548"/>
      <c r="C105548"/>
      <c r="E105548"/>
      <c r="F105548"/>
    </row>
    <row r="105549" spans="1:6" x14ac:dyDescent="0.25">
      <c r="A105549"/>
      <c r="B105549"/>
      <c r="C105549"/>
      <c r="E105549"/>
      <c r="F105549"/>
    </row>
    <row r="105550" spans="1:6" x14ac:dyDescent="0.25">
      <c r="A105550"/>
      <c r="B105550"/>
      <c r="C105550"/>
      <c r="E105550"/>
      <c r="F105550"/>
    </row>
    <row r="105551" spans="1:6" x14ac:dyDescent="0.25">
      <c r="A105551"/>
      <c r="B105551"/>
      <c r="C105551"/>
      <c r="E105551"/>
      <c r="F105551"/>
    </row>
    <row r="105552" spans="1:6" x14ac:dyDescent="0.25">
      <c r="A105552"/>
      <c r="B105552"/>
      <c r="C105552"/>
      <c r="E105552"/>
      <c r="F105552"/>
    </row>
    <row r="105553" spans="1:6" x14ac:dyDescent="0.25">
      <c r="A105553"/>
      <c r="B105553"/>
      <c r="C105553"/>
      <c r="E105553"/>
      <c r="F105553"/>
    </row>
    <row r="105554" spans="1:6" x14ac:dyDescent="0.25">
      <c r="A105554"/>
      <c r="B105554"/>
      <c r="C105554"/>
      <c r="E105554"/>
      <c r="F105554"/>
    </row>
    <row r="105555" spans="1:6" x14ac:dyDescent="0.25">
      <c r="A105555"/>
      <c r="B105555"/>
      <c r="C105555"/>
      <c r="E105555"/>
      <c r="F105555"/>
    </row>
    <row r="105556" spans="1:6" x14ac:dyDescent="0.25">
      <c r="A105556"/>
      <c r="B105556"/>
      <c r="C105556"/>
      <c r="E105556"/>
      <c r="F105556"/>
    </row>
    <row r="105557" spans="1:6" x14ac:dyDescent="0.25">
      <c r="A105557"/>
      <c r="B105557"/>
      <c r="C105557"/>
      <c r="E105557"/>
      <c r="F105557"/>
    </row>
    <row r="105558" spans="1:6" x14ac:dyDescent="0.25">
      <c r="A105558"/>
      <c r="B105558"/>
      <c r="C105558"/>
      <c r="E105558"/>
      <c r="F105558"/>
    </row>
    <row r="105559" spans="1:6" x14ac:dyDescent="0.25">
      <c r="A105559"/>
      <c r="B105559"/>
      <c r="C105559"/>
      <c r="E105559"/>
      <c r="F105559"/>
    </row>
    <row r="105560" spans="1:6" x14ac:dyDescent="0.25">
      <c r="A105560"/>
      <c r="B105560"/>
      <c r="C105560"/>
      <c r="E105560"/>
      <c r="F105560"/>
    </row>
    <row r="105561" spans="1:6" x14ac:dyDescent="0.25">
      <c r="A105561"/>
      <c r="B105561"/>
      <c r="C105561"/>
      <c r="E105561"/>
      <c r="F105561"/>
    </row>
    <row r="105562" spans="1:6" x14ac:dyDescent="0.25">
      <c r="A105562"/>
      <c r="B105562"/>
      <c r="C105562"/>
      <c r="E105562"/>
      <c r="F105562"/>
    </row>
    <row r="105563" spans="1:6" x14ac:dyDescent="0.25">
      <c r="A105563"/>
      <c r="B105563"/>
      <c r="C105563"/>
      <c r="E105563"/>
      <c r="F105563"/>
    </row>
    <row r="105564" spans="1:6" x14ac:dyDescent="0.25">
      <c r="A105564"/>
      <c r="B105564"/>
      <c r="C105564"/>
      <c r="E105564"/>
      <c r="F105564"/>
    </row>
    <row r="105565" spans="1:6" x14ac:dyDescent="0.25">
      <c r="A105565"/>
      <c r="B105565"/>
      <c r="C105565"/>
      <c r="E105565"/>
      <c r="F105565"/>
    </row>
    <row r="105566" spans="1:6" x14ac:dyDescent="0.25">
      <c r="A105566"/>
      <c r="B105566"/>
      <c r="C105566"/>
      <c r="E105566"/>
      <c r="F105566"/>
    </row>
    <row r="105567" spans="1:6" x14ac:dyDescent="0.25">
      <c r="A105567"/>
      <c r="B105567"/>
      <c r="C105567"/>
      <c r="E105567"/>
      <c r="F105567"/>
    </row>
    <row r="105568" spans="1:6" x14ac:dyDescent="0.25">
      <c r="A105568"/>
      <c r="B105568"/>
      <c r="C105568"/>
      <c r="E105568"/>
      <c r="F105568"/>
    </row>
    <row r="105569" spans="1:6" x14ac:dyDescent="0.25">
      <c r="A105569"/>
      <c r="B105569"/>
      <c r="C105569"/>
      <c r="E105569"/>
      <c r="F105569"/>
    </row>
    <row r="105570" spans="1:6" x14ac:dyDescent="0.25">
      <c r="A105570"/>
      <c r="B105570"/>
      <c r="C105570"/>
      <c r="E105570"/>
      <c r="F105570"/>
    </row>
    <row r="105571" spans="1:6" x14ac:dyDescent="0.25">
      <c r="A105571"/>
      <c r="B105571"/>
      <c r="C105571"/>
      <c r="E105571"/>
      <c r="F105571"/>
    </row>
    <row r="105572" spans="1:6" x14ac:dyDescent="0.25">
      <c r="A105572"/>
      <c r="B105572"/>
      <c r="C105572"/>
      <c r="E105572"/>
      <c r="F105572"/>
    </row>
    <row r="105573" spans="1:6" x14ac:dyDescent="0.25">
      <c r="A105573"/>
      <c r="B105573"/>
      <c r="C105573"/>
      <c r="E105573"/>
      <c r="F105573"/>
    </row>
    <row r="105574" spans="1:6" x14ac:dyDescent="0.25">
      <c r="A105574"/>
      <c r="B105574"/>
      <c r="C105574"/>
      <c r="E105574"/>
      <c r="F105574"/>
    </row>
    <row r="105575" spans="1:6" x14ac:dyDescent="0.25">
      <c r="A105575"/>
      <c r="B105575"/>
      <c r="C105575"/>
      <c r="E105575"/>
      <c r="F105575"/>
    </row>
    <row r="105576" spans="1:6" x14ac:dyDescent="0.25">
      <c r="A105576"/>
      <c r="B105576"/>
      <c r="C105576"/>
      <c r="E105576"/>
      <c r="F105576"/>
    </row>
    <row r="105577" spans="1:6" x14ac:dyDescent="0.25">
      <c r="A105577"/>
      <c r="B105577"/>
      <c r="C105577"/>
      <c r="E105577"/>
      <c r="F105577"/>
    </row>
    <row r="105578" spans="1:6" x14ac:dyDescent="0.25">
      <c r="A105578"/>
      <c r="B105578"/>
      <c r="C105578"/>
      <c r="E105578"/>
      <c r="F105578"/>
    </row>
    <row r="105579" spans="1:6" x14ac:dyDescent="0.25">
      <c r="A105579"/>
      <c r="B105579"/>
      <c r="C105579"/>
      <c r="E105579"/>
      <c r="F105579"/>
    </row>
    <row r="105580" spans="1:6" x14ac:dyDescent="0.25">
      <c r="A105580"/>
      <c r="B105580"/>
      <c r="C105580"/>
      <c r="E105580"/>
      <c r="F105580"/>
    </row>
    <row r="105581" spans="1:6" x14ac:dyDescent="0.25">
      <c r="A105581"/>
      <c r="B105581"/>
      <c r="C105581"/>
      <c r="E105581"/>
      <c r="F105581"/>
    </row>
    <row r="105582" spans="1:6" x14ac:dyDescent="0.25">
      <c r="A105582"/>
      <c r="B105582"/>
      <c r="C105582"/>
      <c r="E105582"/>
      <c r="F105582"/>
    </row>
    <row r="105583" spans="1:6" x14ac:dyDescent="0.25">
      <c r="A105583"/>
      <c r="B105583"/>
      <c r="C105583"/>
      <c r="E105583"/>
      <c r="F105583"/>
    </row>
    <row r="105584" spans="1:6" x14ac:dyDescent="0.25">
      <c r="A105584"/>
      <c r="B105584"/>
      <c r="C105584"/>
      <c r="E105584"/>
      <c r="F105584"/>
    </row>
    <row r="105585" spans="1:6" x14ac:dyDescent="0.25">
      <c r="A105585"/>
      <c r="B105585"/>
      <c r="C105585"/>
      <c r="E105585"/>
      <c r="F105585"/>
    </row>
    <row r="105586" spans="1:6" x14ac:dyDescent="0.25">
      <c r="A105586"/>
      <c r="B105586"/>
      <c r="C105586"/>
      <c r="E105586"/>
      <c r="F105586"/>
    </row>
    <row r="105587" spans="1:6" x14ac:dyDescent="0.25">
      <c r="A105587"/>
      <c r="B105587"/>
      <c r="C105587"/>
      <c r="E105587"/>
      <c r="F105587"/>
    </row>
    <row r="105588" spans="1:6" x14ac:dyDescent="0.25">
      <c r="A105588"/>
      <c r="B105588"/>
      <c r="C105588"/>
      <c r="E105588"/>
      <c r="F105588"/>
    </row>
    <row r="105589" spans="1:6" x14ac:dyDescent="0.25">
      <c r="A105589"/>
      <c r="B105589"/>
      <c r="C105589"/>
      <c r="E105589"/>
      <c r="F105589"/>
    </row>
    <row r="105590" spans="1:6" x14ac:dyDescent="0.25">
      <c r="A105590"/>
      <c r="B105590"/>
      <c r="C105590"/>
      <c r="E105590"/>
      <c r="F105590"/>
    </row>
    <row r="105591" spans="1:6" x14ac:dyDescent="0.25">
      <c r="A105591"/>
      <c r="B105591"/>
      <c r="C105591"/>
      <c r="E105591"/>
      <c r="F105591"/>
    </row>
    <row r="105592" spans="1:6" x14ac:dyDescent="0.25">
      <c r="A105592"/>
      <c r="B105592"/>
      <c r="C105592"/>
      <c r="E105592"/>
      <c r="F105592"/>
    </row>
    <row r="105593" spans="1:6" x14ac:dyDescent="0.25">
      <c r="A105593"/>
      <c r="B105593"/>
      <c r="C105593"/>
      <c r="E105593"/>
      <c r="F105593"/>
    </row>
    <row r="105594" spans="1:6" x14ac:dyDescent="0.25">
      <c r="A105594"/>
      <c r="B105594"/>
      <c r="C105594"/>
      <c r="E105594"/>
      <c r="F105594"/>
    </row>
    <row r="105595" spans="1:6" x14ac:dyDescent="0.25">
      <c r="A105595"/>
      <c r="B105595"/>
      <c r="C105595"/>
      <c r="E105595"/>
      <c r="F105595"/>
    </row>
    <row r="105596" spans="1:6" x14ac:dyDescent="0.25">
      <c r="A105596"/>
      <c r="B105596"/>
      <c r="C105596"/>
      <c r="E105596"/>
      <c r="F105596"/>
    </row>
    <row r="105597" spans="1:6" x14ac:dyDescent="0.25">
      <c r="A105597"/>
      <c r="B105597"/>
      <c r="C105597"/>
      <c r="E105597"/>
      <c r="F105597"/>
    </row>
    <row r="105598" spans="1:6" x14ac:dyDescent="0.25">
      <c r="A105598"/>
      <c r="B105598"/>
      <c r="C105598"/>
      <c r="E105598"/>
      <c r="F105598"/>
    </row>
    <row r="105599" spans="1:6" x14ac:dyDescent="0.25">
      <c r="A105599"/>
      <c r="B105599"/>
      <c r="C105599"/>
      <c r="E105599"/>
      <c r="F105599"/>
    </row>
    <row r="105600" spans="1:6" x14ac:dyDescent="0.25">
      <c r="A105600"/>
      <c r="B105600"/>
      <c r="C105600"/>
      <c r="E105600"/>
      <c r="F105600"/>
    </row>
    <row r="105601" spans="1:6" x14ac:dyDescent="0.25">
      <c r="A105601"/>
      <c r="B105601"/>
      <c r="C105601"/>
      <c r="E105601"/>
      <c r="F105601"/>
    </row>
    <row r="105602" spans="1:6" x14ac:dyDescent="0.25">
      <c r="A105602"/>
      <c r="B105602"/>
      <c r="C105602"/>
      <c r="E105602"/>
      <c r="F105602"/>
    </row>
    <row r="105603" spans="1:6" x14ac:dyDescent="0.25">
      <c r="A105603"/>
      <c r="B105603"/>
      <c r="C105603"/>
      <c r="E105603"/>
      <c r="F105603"/>
    </row>
    <row r="105604" spans="1:6" x14ac:dyDescent="0.25">
      <c r="A105604"/>
      <c r="B105604"/>
      <c r="C105604"/>
      <c r="E105604"/>
      <c r="F105604"/>
    </row>
    <row r="105605" spans="1:6" x14ac:dyDescent="0.25">
      <c r="A105605"/>
      <c r="B105605"/>
      <c r="C105605"/>
      <c r="E105605"/>
      <c r="F105605"/>
    </row>
    <row r="105606" spans="1:6" x14ac:dyDescent="0.25">
      <c r="A105606"/>
      <c r="B105606"/>
      <c r="C105606"/>
      <c r="E105606"/>
      <c r="F105606"/>
    </row>
    <row r="105607" spans="1:6" x14ac:dyDescent="0.25">
      <c r="A105607"/>
      <c r="B105607"/>
      <c r="C105607"/>
      <c r="E105607"/>
      <c r="F105607"/>
    </row>
    <row r="105608" spans="1:6" x14ac:dyDescent="0.25">
      <c r="A105608"/>
      <c r="B105608"/>
      <c r="C105608"/>
      <c r="E105608"/>
      <c r="F105608"/>
    </row>
    <row r="105609" spans="1:6" x14ac:dyDescent="0.25">
      <c r="A105609"/>
      <c r="B105609"/>
      <c r="C105609"/>
      <c r="E105609"/>
      <c r="F105609"/>
    </row>
    <row r="105610" spans="1:6" x14ac:dyDescent="0.25">
      <c r="A105610"/>
      <c r="B105610"/>
      <c r="C105610"/>
      <c r="E105610"/>
      <c r="F105610"/>
    </row>
    <row r="105611" spans="1:6" x14ac:dyDescent="0.25">
      <c r="A105611"/>
      <c r="B105611"/>
      <c r="C105611"/>
      <c r="E105611"/>
      <c r="F105611"/>
    </row>
    <row r="105612" spans="1:6" x14ac:dyDescent="0.25">
      <c r="A105612"/>
      <c r="B105612"/>
      <c r="C105612"/>
      <c r="E105612"/>
      <c r="F105612"/>
    </row>
    <row r="105613" spans="1:6" x14ac:dyDescent="0.25">
      <c r="A105613"/>
      <c r="B105613"/>
      <c r="C105613"/>
      <c r="E105613"/>
      <c r="F105613"/>
    </row>
    <row r="105614" spans="1:6" x14ac:dyDescent="0.25">
      <c r="A105614"/>
      <c r="B105614"/>
      <c r="C105614"/>
      <c r="E105614"/>
      <c r="F105614"/>
    </row>
    <row r="105615" spans="1:6" x14ac:dyDescent="0.25">
      <c r="A105615"/>
      <c r="B105615"/>
      <c r="C105615"/>
      <c r="E105615"/>
      <c r="F105615"/>
    </row>
    <row r="105616" spans="1:6" x14ac:dyDescent="0.25">
      <c r="A105616"/>
      <c r="B105616"/>
      <c r="C105616"/>
      <c r="E105616"/>
      <c r="F105616"/>
    </row>
    <row r="105617" spans="1:6" x14ac:dyDescent="0.25">
      <c r="A105617"/>
      <c r="B105617"/>
      <c r="C105617"/>
      <c r="E105617"/>
      <c r="F105617"/>
    </row>
    <row r="105618" spans="1:6" x14ac:dyDescent="0.25">
      <c r="A105618"/>
      <c r="B105618"/>
      <c r="C105618"/>
      <c r="E105618"/>
      <c r="F105618"/>
    </row>
    <row r="105619" spans="1:6" x14ac:dyDescent="0.25">
      <c r="A105619"/>
      <c r="B105619"/>
      <c r="C105619"/>
      <c r="E105619"/>
      <c r="F105619"/>
    </row>
    <row r="105620" spans="1:6" x14ac:dyDescent="0.25">
      <c r="A105620"/>
      <c r="B105620"/>
      <c r="C105620"/>
      <c r="E105620"/>
      <c r="F105620"/>
    </row>
    <row r="105621" spans="1:6" x14ac:dyDescent="0.25">
      <c r="A105621"/>
      <c r="B105621"/>
      <c r="C105621"/>
      <c r="E105621"/>
      <c r="F105621"/>
    </row>
    <row r="105622" spans="1:6" x14ac:dyDescent="0.25">
      <c r="A105622"/>
      <c r="B105622"/>
      <c r="C105622"/>
      <c r="E105622"/>
      <c r="F105622"/>
    </row>
    <row r="105623" spans="1:6" x14ac:dyDescent="0.25">
      <c r="A105623"/>
      <c r="B105623"/>
      <c r="C105623"/>
      <c r="E105623"/>
      <c r="F105623"/>
    </row>
    <row r="105624" spans="1:6" x14ac:dyDescent="0.25">
      <c r="A105624"/>
      <c r="B105624"/>
      <c r="C105624"/>
      <c r="E105624"/>
      <c r="F105624"/>
    </row>
    <row r="105625" spans="1:6" x14ac:dyDescent="0.25">
      <c r="A105625"/>
      <c r="B105625"/>
      <c r="C105625"/>
      <c r="E105625"/>
      <c r="F105625"/>
    </row>
    <row r="105626" spans="1:6" x14ac:dyDescent="0.25">
      <c r="A105626"/>
      <c r="B105626"/>
      <c r="C105626"/>
      <c r="E105626"/>
      <c r="F105626"/>
    </row>
    <row r="105627" spans="1:6" x14ac:dyDescent="0.25">
      <c r="A105627"/>
      <c r="B105627"/>
      <c r="C105627"/>
      <c r="E105627"/>
      <c r="F105627"/>
    </row>
    <row r="105628" spans="1:6" x14ac:dyDescent="0.25">
      <c r="A105628"/>
      <c r="B105628"/>
      <c r="C105628"/>
      <c r="E105628"/>
      <c r="F105628"/>
    </row>
    <row r="105629" spans="1:6" x14ac:dyDescent="0.25">
      <c r="A105629"/>
      <c r="B105629"/>
      <c r="C105629"/>
      <c r="E105629"/>
      <c r="F105629"/>
    </row>
    <row r="105630" spans="1:6" x14ac:dyDescent="0.25">
      <c r="A105630"/>
      <c r="B105630"/>
      <c r="C105630"/>
      <c r="E105630"/>
      <c r="F105630"/>
    </row>
    <row r="105631" spans="1:6" x14ac:dyDescent="0.25">
      <c r="A105631"/>
      <c r="B105631"/>
      <c r="C105631"/>
      <c r="E105631"/>
      <c r="F105631"/>
    </row>
    <row r="105632" spans="1:6" x14ac:dyDescent="0.25">
      <c r="A105632"/>
      <c r="B105632"/>
      <c r="C105632"/>
      <c r="E105632"/>
      <c r="F105632"/>
    </row>
    <row r="105633" spans="1:6" x14ac:dyDescent="0.25">
      <c r="A105633"/>
      <c r="B105633"/>
      <c r="C105633"/>
      <c r="E105633"/>
      <c r="F105633"/>
    </row>
    <row r="105634" spans="1:6" x14ac:dyDescent="0.25">
      <c r="A105634"/>
      <c r="B105634"/>
      <c r="C105634"/>
      <c r="E105634"/>
      <c r="F105634"/>
    </row>
    <row r="105635" spans="1:6" x14ac:dyDescent="0.25">
      <c r="A105635"/>
      <c r="B105635"/>
      <c r="C105635"/>
      <c r="E105635"/>
      <c r="F105635"/>
    </row>
    <row r="105636" spans="1:6" x14ac:dyDescent="0.25">
      <c r="A105636"/>
      <c r="B105636"/>
      <c r="C105636"/>
      <c r="E105636"/>
      <c r="F105636"/>
    </row>
    <row r="105637" spans="1:6" x14ac:dyDescent="0.25">
      <c r="A105637"/>
      <c r="B105637"/>
      <c r="C105637"/>
      <c r="E105637"/>
      <c r="F105637"/>
    </row>
    <row r="105638" spans="1:6" x14ac:dyDescent="0.25">
      <c r="A105638"/>
      <c r="B105638"/>
      <c r="C105638"/>
      <c r="E105638"/>
      <c r="F105638"/>
    </row>
    <row r="105639" spans="1:6" x14ac:dyDescent="0.25">
      <c r="A105639"/>
      <c r="B105639"/>
      <c r="C105639"/>
      <c r="E105639"/>
      <c r="F105639"/>
    </row>
    <row r="105640" spans="1:6" x14ac:dyDescent="0.25">
      <c r="A105640"/>
      <c r="B105640"/>
      <c r="C105640"/>
      <c r="E105640"/>
      <c r="F105640"/>
    </row>
    <row r="105641" spans="1:6" x14ac:dyDescent="0.25">
      <c r="A105641"/>
      <c r="B105641"/>
      <c r="C105641"/>
      <c r="E105641"/>
      <c r="F105641"/>
    </row>
    <row r="105642" spans="1:6" x14ac:dyDescent="0.25">
      <c r="A105642"/>
      <c r="B105642"/>
      <c r="C105642"/>
      <c r="E105642"/>
      <c r="F105642"/>
    </row>
    <row r="105643" spans="1:6" x14ac:dyDescent="0.25">
      <c r="A105643"/>
      <c r="B105643"/>
      <c r="C105643"/>
      <c r="E105643"/>
      <c r="F105643"/>
    </row>
    <row r="105644" spans="1:6" x14ac:dyDescent="0.25">
      <c r="A105644"/>
      <c r="B105644"/>
      <c r="C105644"/>
      <c r="E105644"/>
      <c r="F105644"/>
    </row>
    <row r="105645" spans="1:6" x14ac:dyDescent="0.25">
      <c r="A105645"/>
      <c r="B105645"/>
      <c r="C105645"/>
      <c r="E105645"/>
      <c r="F105645"/>
    </row>
    <row r="105646" spans="1:6" x14ac:dyDescent="0.25">
      <c r="A105646"/>
      <c r="B105646"/>
      <c r="C105646"/>
      <c r="E105646"/>
      <c r="F105646"/>
    </row>
    <row r="105647" spans="1:6" x14ac:dyDescent="0.25">
      <c r="A105647"/>
      <c r="B105647"/>
      <c r="C105647"/>
      <c r="E105647"/>
      <c r="F105647"/>
    </row>
    <row r="105648" spans="1:6" x14ac:dyDescent="0.25">
      <c r="A105648"/>
      <c r="B105648"/>
      <c r="C105648"/>
      <c r="E105648"/>
      <c r="F105648"/>
    </row>
    <row r="105649" spans="1:6" x14ac:dyDescent="0.25">
      <c r="A105649"/>
      <c r="B105649"/>
      <c r="C105649"/>
      <c r="E105649"/>
      <c r="F105649"/>
    </row>
    <row r="105650" spans="1:6" x14ac:dyDescent="0.25">
      <c r="A105650"/>
      <c r="B105650"/>
      <c r="C105650"/>
      <c r="E105650"/>
      <c r="F105650"/>
    </row>
    <row r="105651" spans="1:6" x14ac:dyDescent="0.25">
      <c r="A105651"/>
      <c r="B105651"/>
      <c r="C105651"/>
      <c r="E105651"/>
      <c r="F105651"/>
    </row>
    <row r="105652" spans="1:6" x14ac:dyDescent="0.25">
      <c r="A105652"/>
      <c r="B105652"/>
      <c r="C105652"/>
      <c r="E105652"/>
      <c r="F105652"/>
    </row>
    <row r="105653" spans="1:6" x14ac:dyDescent="0.25">
      <c r="A105653"/>
      <c r="B105653"/>
      <c r="C105653"/>
      <c r="E105653"/>
      <c r="F105653"/>
    </row>
    <row r="105654" spans="1:6" x14ac:dyDescent="0.25">
      <c r="A105654"/>
      <c r="B105654"/>
      <c r="C105654"/>
      <c r="E105654"/>
      <c r="F105654"/>
    </row>
    <row r="105655" spans="1:6" x14ac:dyDescent="0.25">
      <c r="A105655"/>
      <c r="B105655"/>
      <c r="C105655"/>
      <c r="E105655"/>
      <c r="F105655"/>
    </row>
    <row r="105656" spans="1:6" x14ac:dyDescent="0.25">
      <c r="A105656"/>
      <c r="B105656"/>
      <c r="C105656"/>
      <c r="E105656"/>
      <c r="F105656"/>
    </row>
    <row r="105657" spans="1:6" x14ac:dyDescent="0.25">
      <c r="A105657"/>
      <c r="B105657"/>
      <c r="C105657"/>
      <c r="E105657"/>
      <c r="F105657"/>
    </row>
    <row r="105658" spans="1:6" x14ac:dyDescent="0.25">
      <c r="A105658"/>
      <c r="B105658"/>
      <c r="C105658"/>
      <c r="E105658"/>
      <c r="F105658"/>
    </row>
    <row r="105659" spans="1:6" x14ac:dyDescent="0.25">
      <c r="A105659"/>
      <c r="B105659"/>
      <c r="C105659"/>
      <c r="E105659"/>
      <c r="F105659"/>
    </row>
    <row r="105660" spans="1:6" x14ac:dyDescent="0.25">
      <c r="A105660"/>
      <c r="B105660"/>
      <c r="C105660"/>
      <c r="E105660"/>
      <c r="F105660"/>
    </row>
    <row r="105661" spans="1:6" x14ac:dyDescent="0.25">
      <c r="A105661"/>
      <c r="B105661"/>
      <c r="C105661"/>
      <c r="E105661"/>
      <c r="F105661"/>
    </row>
    <row r="105662" spans="1:6" x14ac:dyDescent="0.25">
      <c r="A105662"/>
      <c r="B105662"/>
      <c r="C105662"/>
      <c r="E105662"/>
      <c r="F105662"/>
    </row>
    <row r="105663" spans="1:6" x14ac:dyDescent="0.25">
      <c r="A105663"/>
      <c r="B105663"/>
      <c r="C105663"/>
      <c r="E105663"/>
      <c r="F105663"/>
    </row>
    <row r="105664" spans="1:6" x14ac:dyDescent="0.25">
      <c r="A105664"/>
      <c r="B105664"/>
      <c r="C105664"/>
      <c r="E105664"/>
      <c r="F105664"/>
    </row>
    <row r="105665" spans="1:6" x14ac:dyDescent="0.25">
      <c r="A105665"/>
      <c r="B105665"/>
      <c r="C105665"/>
      <c r="E105665"/>
      <c r="F105665"/>
    </row>
    <row r="105666" spans="1:6" x14ac:dyDescent="0.25">
      <c r="A105666"/>
      <c r="B105666"/>
      <c r="C105666"/>
      <c r="E105666"/>
      <c r="F105666"/>
    </row>
    <row r="105667" spans="1:6" x14ac:dyDescent="0.25">
      <c r="A105667"/>
      <c r="B105667"/>
      <c r="C105667"/>
      <c r="E105667"/>
      <c r="F105667"/>
    </row>
    <row r="105668" spans="1:6" x14ac:dyDescent="0.25">
      <c r="A105668"/>
      <c r="B105668"/>
      <c r="C105668"/>
      <c r="E105668"/>
      <c r="F105668"/>
    </row>
    <row r="105669" spans="1:6" x14ac:dyDescent="0.25">
      <c r="A105669"/>
      <c r="B105669"/>
      <c r="C105669"/>
      <c r="E105669"/>
      <c r="F105669"/>
    </row>
    <row r="105670" spans="1:6" x14ac:dyDescent="0.25">
      <c r="A105670"/>
      <c r="B105670"/>
      <c r="C105670"/>
      <c r="E105670"/>
      <c r="F105670"/>
    </row>
    <row r="105671" spans="1:6" x14ac:dyDescent="0.25">
      <c r="A105671"/>
      <c r="B105671"/>
      <c r="C105671"/>
      <c r="E105671"/>
      <c r="F105671"/>
    </row>
    <row r="105672" spans="1:6" x14ac:dyDescent="0.25">
      <c r="A105672"/>
      <c r="B105672"/>
      <c r="C105672"/>
      <c r="E105672"/>
      <c r="F105672"/>
    </row>
    <row r="105673" spans="1:6" x14ac:dyDescent="0.25">
      <c r="A105673"/>
      <c r="B105673"/>
      <c r="C105673"/>
      <c r="E105673"/>
      <c r="F105673"/>
    </row>
    <row r="105674" spans="1:6" x14ac:dyDescent="0.25">
      <c r="A105674"/>
      <c r="B105674"/>
      <c r="C105674"/>
      <c r="E105674"/>
      <c r="F105674"/>
    </row>
    <row r="105675" spans="1:6" x14ac:dyDescent="0.25">
      <c r="A105675"/>
      <c r="B105675"/>
      <c r="C105675"/>
      <c r="E105675"/>
      <c r="F105675"/>
    </row>
    <row r="105676" spans="1:6" x14ac:dyDescent="0.25">
      <c r="A105676"/>
      <c r="B105676"/>
      <c r="C105676"/>
      <c r="E105676"/>
      <c r="F105676"/>
    </row>
    <row r="105677" spans="1:6" x14ac:dyDescent="0.25">
      <c r="A105677"/>
      <c r="B105677"/>
      <c r="C105677"/>
      <c r="E105677"/>
      <c r="F105677"/>
    </row>
    <row r="105678" spans="1:6" x14ac:dyDescent="0.25">
      <c r="A105678"/>
      <c r="B105678"/>
      <c r="C105678"/>
      <c r="E105678"/>
      <c r="F105678"/>
    </row>
    <row r="105679" spans="1:6" x14ac:dyDescent="0.25">
      <c r="A105679"/>
      <c r="B105679"/>
      <c r="C105679"/>
      <c r="E105679"/>
      <c r="F105679"/>
    </row>
    <row r="105680" spans="1:6" x14ac:dyDescent="0.25">
      <c r="A105680"/>
      <c r="B105680"/>
      <c r="C105680"/>
      <c r="E105680"/>
      <c r="F105680"/>
    </row>
    <row r="105681" spans="1:6" x14ac:dyDescent="0.25">
      <c r="A105681"/>
      <c r="B105681"/>
      <c r="C105681"/>
      <c r="E105681"/>
      <c r="F105681"/>
    </row>
    <row r="105682" spans="1:6" x14ac:dyDescent="0.25">
      <c r="A105682"/>
      <c r="B105682"/>
      <c r="C105682"/>
      <c r="E105682"/>
      <c r="F105682"/>
    </row>
    <row r="105683" spans="1:6" x14ac:dyDescent="0.25">
      <c r="A105683"/>
      <c r="B105683"/>
      <c r="C105683"/>
      <c r="E105683"/>
      <c r="F105683"/>
    </row>
    <row r="105684" spans="1:6" x14ac:dyDescent="0.25">
      <c r="A105684"/>
      <c r="B105684"/>
      <c r="C105684"/>
      <c r="E105684"/>
      <c r="F105684"/>
    </row>
    <row r="105685" spans="1:6" x14ac:dyDescent="0.25">
      <c r="A105685"/>
      <c r="B105685"/>
      <c r="C105685"/>
      <c r="E105685"/>
      <c r="F105685"/>
    </row>
    <row r="105686" spans="1:6" x14ac:dyDescent="0.25">
      <c r="A105686"/>
      <c r="B105686"/>
      <c r="C105686"/>
      <c r="E105686"/>
      <c r="F105686"/>
    </row>
    <row r="105687" spans="1:6" x14ac:dyDescent="0.25">
      <c r="A105687"/>
      <c r="B105687"/>
      <c r="C105687"/>
      <c r="E105687"/>
      <c r="F105687"/>
    </row>
    <row r="105688" spans="1:6" x14ac:dyDescent="0.25">
      <c r="A105688"/>
      <c r="B105688"/>
      <c r="C105688"/>
      <c r="E105688"/>
      <c r="F105688"/>
    </row>
    <row r="105689" spans="1:6" x14ac:dyDescent="0.25">
      <c r="A105689"/>
      <c r="B105689"/>
      <c r="C105689"/>
      <c r="E105689"/>
      <c r="F105689"/>
    </row>
    <row r="105690" spans="1:6" x14ac:dyDescent="0.25">
      <c r="A105690"/>
      <c r="B105690"/>
      <c r="C105690"/>
      <c r="E105690"/>
      <c r="F105690"/>
    </row>
    <row r="105691" spans="1:6" x14ac:dyDescent="0.25">
      <c r="A105691"/>
      <c r="B105691"/>
      <c r="C105691"/>
      <c r="E105691"/>
      <c r="F105691"/>
    </row>
    <row r="105692" spans="1:6" x14ac:dyDescent="0.25">
      <c r="A105692"/>
      <c r="B105692"/>
      <c r="C105692"/>
      <c r="E105692"/>
      <c r="F105692"/>
    </row>
    <row r="105693" spans="1:6" x14ac:dyDescent="0.25">
      <c r="A105693"/>
      <c r="B105693"/>
      <c r="C105693"/>
      <c r="E105693"/>
      <c r="F105693"/>
    </row>
    <row r="105694" spans="1:6" x14ac:dyDescent="0.25">
      <c r="A105694"/>
      <c r="B105694"/>
      <c r="C105694"/>
      <c r="E105694"/>
      <c r="F105694"/>
    </row>
    <row r="105695" spans="1:6" x14ac:dyDescent="0.25">
      <c r="A105695"/>
      <c r="B105695"/>
      <c r="C105695"/>
      <c r="E105695"/>
      <c r="F105695"/>
    </row>
    <row r="105696" spans="1:6" x14ac:dyDescent="0.25">
      <c r="A105696"/>
      <c r="B105696"/>
      <c r="C105696"/>
      <c r="E105696"/>
      <c r="F105696"/>
    </row>
    <row r="105697" spans="1:6" x14ac:dyDescent="0.25">
      <c r="A105697"/>
      <c r="B105697"/>
      <c r="C105697"/>
      <c r="E105697"/>
      <c r="F105697"/>
    </row>
    <row r="105698" spans="1:6" x14ac:dyDescent="0.25">
      <c r="A105698"/>
      <c r="B105698"/>
      <c r="C105698"/>
      <c r="E105698"/>
      <c r="F105698"/>
    </row>
    <row r="105699" spans="1:6" x14ac:dyDescent="0.25">
      <c r="A105699"/>
      <c r="B105699"/>
      <c r="C105699"/>
      <c r="E105699"/>
      <c r="F105699"/>
    </row>
    <row r="105700" spans="1:6" x14ac:dyDescent="0.25">
      <c r="A105700"/>
      <c r="B105700"/>
      <c r="C105700"/>
      <c r="E105700"/>
      <c r="F105700"/>
    </row>
    <row r="105701" spans="1:6" x14ac:dyDescent="0.25">
      <c r="A105701"/>
      <c r="B105701"/>
      <c r="C105701"/>
      <c r="E105701"/>
      <c r="F105701"/>
    </row>
    <row r="105702" spans="1:6" x14ac:dyDescent="0.25">
      <c r="A105702"/>
      <c r="B105702"/>
      <c r="C105702"/>
      <c r="E105702"/>
      <c r="F105702"/>
    </row>
    <row r="105703" spans="1:6" x14ac:dyDescent="0.25">
      <c r="A105703"/>
      <c r="B105703"/>
      <c r="C105703"/>
      <c r="E105703"/>
      <c r="F105703"/>
    </row>
    <row r="105704" spans="1:6" x14ac:dyDescent="0.25">
      <c r="A105704"/>
      <c r="B105704"/>
      <c r="C105704"/>
      <c r="E105704"/>
      <c r="F105704"/>
    </row>
    <row r="105705" spans="1:6" x14ac:dyDescent="0.25">
      <c r="A105705"/>
      <c r="B105705"/>
      <c r="C105705"/>
      <c r="E105705"/>
      <c r="F105705"/>
    </row>
    <row r="105706" spans="1:6" x14ac:dyDescent="0.25">
      <c r="A105706"/>
      <c r="B105706"/>
      <c r="C105706"/>
      <c r="E105706"/>
      <c r="F105706"/>
    </row>
    <row r="105707" spans="1:6" x14ac:dyDescent="0.25">
      <c r="A105707"/>
      <c r="B105707"/>
      <c r="C105707"/>
      <c r="E105707"/>
      <c r="F105707"/>
    </row>
    <row r="105708" spans="1:6" x14ac:dyDescent="0.25">
      <c r="A105708"/>
      <c r="B105708"/>
      <c r="C105708"/>
      <c r="E105708"/>
      <c r="F105708"/>
    </row>
    <row r="105709" spans="1:6" x14ac:dyDescent="0.25">
      <c r="A105709"/>
      <c r="B105709"/>
      <c r="C105709"/>
      <c r="E105709"/>
      <c r="F105709"/>
    </row>
    <row r="105710" spans="1:6" x14ac:dyDescent="0.25">
      <c r="A105710"/>
      <c r="B105710"/>
      <c r="C105710"/>
      <c r="E105710"/>
      <c r="F105710"/>
    </row>
    <row r="105711" spans="1:6" x14ac:dyDescent="0.25">
      <c r="A105711"/>
      <c r="B105711"/>
      <c r="C105711"/>
      <c r="E105711"/>
      <c r="F105711"/>
    </row>
    <row r="105712" spans="1:6" x14ac:dyDescent="0.25">
      <c r="A105712"/>
      <c r="B105712"/>
      <c r="C105712"/>
      <c r="E105712"/>
      <c r="F105712"/>
    </row>
    <row r="105713" spans="1:6" x14ac:dyDescent="0.25">
      <c r="A105713"/>
      <c r="B105713"/>
      <c r="C105713"/>
      <c r="E105713"/>
      <c r="F105713"/>
    </row>
    <row r="105714" spans="1:6" x14ac:dyDescent="0.25">
      <c r="A105714"/>
      <c r="B105714"/>
      <c r="C105714"/>
      <c r="E105714"/>
      <c r="F105714"/>
    </row>
    <row r="105715" spans="1:6" x14ac:dyDescent="0.25">
      <c r="A105715"/>
      <c r="B105715"/>
      <c r="C105715"/>
      <c r="E105715"/>
      <c r="F105715"/>
    </row>
    <row r="105716" spans="1:6" x14ac:dyDescent="0.25">
      <c r="A105716"/>
      <c r="B105716"/>
      <c r="C105716"/>
      <c r="E105716"/>
      <c r="F105716"/>
    </row>
    <row r="105717" spans="1:6" x14ac:dyDescent="0.25">
      <c r="A105717"/>
      <c r="B105717"/>
      <c r="C105717"/>
      <c r="E105717"/>
      <c r="F105717"/>
    </row>
    <row r="105718" spans="1:6" x14ac:dyDescent="0.25">
      <c r="A105718"/>
      <c r="B105718"/>
      <c r="C105718"/>
      <c r="E105718"/>
      <c r="F105718"/>
    </row>
    <row r="105719" spans="1:6" x14ac:dyDescent="0.25">
      <c r="A105719"/>
      <c r="B105719"/>
      <c r="C105719"/>
      <c r="E105719"/>
      <c r="F105719"/>
    </row>
    <row r="105720" spans="1:6" x14ac:dyDescent="0.25">
      <c r="A105720"/>
      <c r="B105720"/>
      <c r="C105720"/>
      <c r="E105720"/>
      <c r="F105720"/>
    </row>
    <row r="105721" spans="1:6" x14ac:dyDescent="0.25">
      <c r="A105721"/>
      <c r="B105721"/>
      <c r="C105721"/>
      <c r="E105721"/>
      <c r="F105721"/>
    </row>
    <row r="105722" spans="1:6" x14ac:dyDescent="0.25">
      <c r="A105722"/>
      <c r="B105722"/>
      <c r="C105722"/>
      <c r="E105722"/>
      <c r="F105722"/>
    </row>
    <row r="105723" spans="1:6" x14ac:dyDescent="0.25">
      <c r="A105723"/>
      <c r="B105723"/>
      <c r="C105723"/>
      <c r="E105723"/>
      <c r="F105723"/>
    </row>
    <row r="105724" spans="1:6" x14ac:dyDescent="0.25">
      <c r="A105724"/>
      <c r="B105724"/>
      <c r="C105724"/>
      <c r="E105724"/>
      <c r="F105724"/>
    </row>
    <row r="105725" spans="1:6" x14ac:dyDescent="0.25">
      <c r="A105725"/>
      <c r="B105725"/>
      <c r="C105725"/>
      <c r="E105725"/>
      <c r="F105725"/>
    </row>
    <row r="105726" spans="1:6" x14ac:dyDescent="0.25">
      <c r="A105726"/>
      <c r="B105726"/>
      <c r="C105726"/>
      <c r="E105726"/>
      <c r="F105726"/>
    </row>
    <row r="105727" spans="1:6" x14ac:dyDescent="0.25">
      <c r="A105727"/>
      <c r="B105727"/>
      <c r="C105727"/>
      <c r="E105727"/>
      <c r="F105727"/>
    </row>
    <row r="105728" spans="1:6" x14ac:dyDescent="0.25">
      <c r="A105728"/>
      <c r="B105728"/>
      <c r="C105728"/>
      <c r="E105728"/>
      <c r="F105728"/>
    </row>
    <row r="105729" spans="1:6" x14ac:dyDescent="0.25">
      <c r="A105729"/>
      <c r="B105729"/>
      <c r="C105729"/>
      <c r="E105729"/>
      <c r="F105729"/>
    </row>
    <row r="105730" spans="1:6" x14ac:dyDescent="0.25">
      <c r="A105730"/>
      <c r="B105730"/>
      <c r="C105730"/>
      <c r="E105730"/>
      <c r="F105730"/>
    </row>
    <row r="105731" spans="1:6" x14ac:dyDescent="0.25">
      <c r="A105731"/>
      <c r="B105731"/>
      <c r="C105731"/>
      <c r="E105731"/>
      <c r="F105731"/>
    </row>
    <row r="105732" spans="1:6" x14ac:dyDescent="0.25">
      <c r="A105732"/>
      <c r="B105732"/>
      <c r="C105732"/>
      <c r="E105732"/>
      <c r="F105732"/>
    </row>
    <row r="105733" spans="1:6" x14ac:dyDescent="0.25">
      <c r="A105733"/>
      <c r="B105733"/>
      <c r="C105733"/>
      <c r="E105733"/>
      <c r="F105733"/>
    </row>
    <row r="105734" spans="1:6" x14ac:dyDescent="0.25">
      <c r="A105734"/>
      <c r="B105734"/>
      <c r="C105734"/>
      <c r="E105734"/>
      <c r="F105734"/>
    </row>
    <row r="105735" spans="1:6" x14ac:dyDescent="0.25">
      <c r="A105735"/>
      <c r="B105735"/>
      <c r="C105735"/>
      <c r="E105735"/>
      <c r="F105735"/>
    </row>
    <row r="105736" spans="1:6" x14ac:dyDescent="0.25">
      <c r="A105736"/>
      <c r="B105736"/>
      <c r="C105736"/>
      <c r="E105736"/>
      <c r="F105736"/>
    </row>
    <row r="105737" spans="1:6" x14ac:dyDescent="0.25">
      <c r="A105737"/>
      <c r="B105737"/>
      <c r="C105737"/>
      <c r="E105737"/>
      <c r="F105737"/>
    </row>
    <row r="105738" spans="1:6" x14ac:dyDescent="0.25">
      <c r="A105738"/>
      <c r="B105738"/>
      <c r="C105738"/>
      <c r="E105738"/>
      <c r="F105738"/>
    </row>
    <row r="105739" spans="1:6" x14ac:dyDescent="0.25">
      <c r="A105739"/>
      <c r="B105739"/>
      <c r="C105739"/>
      <c r="E105739"/>
      <c r="F105739"/>
    </row>
    <row r="105740" spans="1:6" x14ac:dyDescent="0.25">
      <c r="A105740"/>
      <c r="B105740"/>
      <c r="C105740"/>
      <c r="E105740"/>
      <c r="F105740"/>
    </row>
    <row r="105741" spans="1:6" x14ac:dyDescent="0.25">
      <c r="A105741"/>
      <c r="B105741"/>
      <c r="C105741"/>
      <c r="E105741"/>
      <c r="F105741"/>
    </row>
    <row r="105742" spans="1:6" x14ac:dyDescent="0.25">
      <c r="A105742"/>
      <c r="B105742"/>
      <c r="C105742"/>
      <c r="E105742"/>
      <c r="F105742"/>
    </row>
    <row r="105743" spans="1:6" x14ac:dyDescent="0.25">
      <c r="A105743"/>
      <c r="B105743"/>
      <c r="C105743"/>
      <c r="E105743"/>
      <c r="F105743"/>
    </row>
    <row r="105744" spans="1:6" x14ac:dyDescent="0.25">
      <c r="A105744"/>
      <c r="B105744"/>
      <c r="C105744"/>
      <c r="E105744"/>
      <c r="F105744"/>
    </row>
    <row r="105745" spans="1:6" x14ac:dyDescent="0.25">
      <c r="A105745"/>
      <c r="B105745"/>
      <c r="C105745"/>
      <c r="E105745"/>
      <c r="F105745"/>
    </row>
    <row r="105746" spans="1:6" x14ac:dyDescent="0.25">
      <c r="A105746"/>
      <c r="B105746"/>
      <c r="C105746"/>
      <c r="E105746"/>
      <c r="F105746"/>
    </row>
    <row r="105747" spans="1:6" x14ac:dyDescent="0.25">
      <c r="A105747"/>
      <c r="B105747"/>
      <c r="C105747"/>
      <c r="E105747"/>
      <c r="F105747"/>
    </row>
    <row r="105748" spans="1:6" x14ac:dyDescent="0.25">
      <c r="A105748"/>
      <c r="B105748"/>
      <c r="C105748"/>
      <c r="E105748"/>
      <c r="F105748"/>
    </row>
    <row r="105749" spans="1:6" x14ac:dyDescent="0.25">
      <c r="A105749"/>
      <c r="B105749"/>
      <c r="C105749"/>
      <c r="E105749"/>
      <c r="F105749"/>
    </row>
    <row r="105750" spans="1:6" x14ac:dyDescent="0.25">
      <c r="A105750"/>
      <c r="B105750"/>
      <c r="C105750"/>
      <c r="E105750"/>
      <c r="F105750"/>
    </row>
    <row r="105751" spans="1:6" x14ac:dyDescent="0.25">
      <c r="A105751"/>
      <c r="B105751"/>
      <c r="C105751"/>
      <c r="E105751"/>
      <c r="F105751"/>
    </row>
    <row r="105752" spans="1:6" x14ac:dyDescent="0.25">
      <c r="A105752"/>
      <c r="B105752"/>
      <c r="C105752"/>
      <c r="E105752"/>
      <c r="F105752"/>
    </row>
    <row r="105753" spans="1:6" x14ac:dyDescent="0.25">
      <c r="A105753"/>
      <c r="B105753"/>
      <c r="C105753"/>
      <c r="E105753"/>
      <c r="F105753"/>
    </row>
    <row r="105754" spans="1:6" x14ac:dyDescent="0.25">
      <c r="A105754"/>
      <c r="B105754"/>
      <c r="C105754"/>
      <c r="E105754"/>
      <c r="F105754"/>
    </row>
    <row r="105755" spans="1:6" x14ac:dyDescent="0.25">
      <c r="A105755"/>
      <c r="B105755"/>
      <c r="C105755"/>
      <c r="E105755"/>
      <c r="F105755"/>
    </row>
    <row r="105756" spans="1:6" x14ac:dyDescent="0.25">
      <c r="A105756"/>
      <c r="B105756"/>
      <c r="C105756"/>
      <c r="E105756"/>
      <c r="F105756"/>
    </row>
    <row r="105757" spans="1:6" x14ac:dyDescent="0.25">
      <c r="A105757"/>
      <c r="B105757"/>
      <c r="C105757"/>
      <c r="E105757"/>
      <c r="F105757"/>
    </row>
    <row r="105758" spans="1:6" x14ac:dyDescent="0.25">
      <c r="A105758"/>
      <c r="B105758"/>
      <c r="C105758"/>
      <c r="E105758"/>
      <c r="F105758"/>
    </row>
    <row r="105759" spans="1:6" x14ac:dyDescent="0.25">
      <c r="A105759"/>
      <c r="B105759"/>
      <c r="C105759"/>
      <c r="E105759"/>
      <c r="F105759"/>
    </row>
    <row r="105760" spans="1:6" x14ac:dyDescent="0.25">
      <c r="A105760"/>
      <c r="B105760"/>
      <c r="C105760"/>
      <c r="E105760"/>
      <c r="F105760"/>
    </row>
    <row r="105761" spans="1:6" x14ac:dyDescent="0.25">
      <c r="A105761"/>
      <c r="B105761"/>
      <c r="C105761"/>
      <c r="E105761"/>
      <c r="F105761"/>
    </row>
    <row r="105762" spans="1:6" x14ac:dyDescent="0.25">
      <c r="A105762"/>
      <c r="B105762"/>
      <c r="C105762"/>
      <c r="E105762"/>
      <c r="F105762"/>
    </row>
    <row r="105763" spans="1:6" x14ac:dyDescent="0.25">
      <c r="A105763"/>
      <c r="B105763"/>
      <c r="C105763"/>
      <c r="E105763"/>
      <c r="F105763"/>
    </row>
    <row r="105764" spans="1:6" x14ac:dyDescent="0.25">
      <c r="A105764"/>
      <c r="B105764"/>
      <c r="C105764"/>
      <c r="E105764"/>
      <c r="F105764"/>
    </row>
    <row r="105765" spans="1:6" x14ac:dyDescent="0.25">
      <c r="A105765"/>
      <c r="B105765"/>
      <c r="C105765"/>
      <c r="E105765"/>
      <c r="F105765"/>
    </row>
    <row r="105766" spans="1:6" x14ac:dyDescent="0.25">
      <c r="A105766"/>
      <c r="B105766"/>
      <c r="C105766"/>
      <c r="E105766"/>
      <c r="F105766"/>
    </row>
    <row r="105767" spans="1:6" x14ac:dyDescent="0.25">
      <c r="A105767"/>
      <c r="B105767"/>
      <c r="C105767"/>
      <c r="E105767"/>
      <c r="F105767"/>
    </row>
    <row r="105768" spans="1:6" x14ac:dyDescent="0.25">
      <c r="A105768"/>
      <c r="B105768"/>
      <c r="C105768"/>
      <c r="E105768"/>
      <c r="F105768"/>
    </row>
    <row r="105769" spans="1:6" x14ac:dyDescent="0.25">
      <c r="A105769"/>
      <c r="B105769"/>
      <c r="C105769"/>
      <c r="E105769"/>
      <c r="F105769"/>
    </row>
    <row r="105770" spans="1:6" x14ac:dyDescent="0.25">
      <c r="A105770"/>
      <c r="B105770"/>
      <c r="C105770"/>
      <c r="E105770"/>
      <c r="F105770"/>
    </row>
    <row r="105771" spans="1:6" x14ac:dyDescent="0.25">
      <c r="A105771"/>
      <c r="B105771"/>
      <c r="C105771"/>
      <c r="E105771"/>
      <c r="F105771"/>
    </row>
    <row r="105772" spans="1:6" x14ac:dyDescent="0.25">
      <c r="A105772"/>
      <c r="B105772"/>
      <c r="C105772"/>
      <c r="E105772"/>
      <c r="F105772"/>
    </row>
    <row r="105773" spans="1:6" x14ac:dyDescent="0.25">
      <c r="A105773"/>
      <c r="B105773"/>
      <c r="C105773"/>
      <c r="E105773"/>
      <c r="F105773"/>
    </row>
    <row r="105774" spans="1:6" x14ac:dyDescent="0.25">
      <c r="A105774"/>
      <c r="B105774"/>
      <c r="C105774"/>
      <c r="E105774"/>
      <c r="F105774"/>
    </row>
    <row r="105775" spans="1:6" x14ac:dyDescent="0.25">
      <c r="A105775"/>
      <c r="B105775"/>
      <c r="C105775"/>
      <c r="E105775"/>
      <c r="F105775"/>
    </row>
    <row r="105776" spans="1:6" x14ac:dyDescent="0.25">
      <c r="A105776"/>
      <c r="B105776"/>
      <c r="C105776"/>
      <c r="E105776"/>
      <c r="F105776"/>
    </row>
    <row r="105777" spans="1:6" x14ac:dyDescent="0.25">
      <c r="A105777"/>
      <c r="B105777"/>
      <c r="C105777"/>
      <c r="E105777"/>
      <c r="F105777"/>
    </row>
    <row r="105778" spans="1:6" x14ac:dyDescent="0.25">
      <c r="A105778"/>
      <c r="B105778"/>
      <c r="C105778"/>
      <c r="E105778"/>
      <c r="F105778"/>
    </row>
    <row r="105779" spans="1:6" x14ac:dyDescent="0.25">
      <c r="A105779"/>
      <c r="B105779"/>
      <c r="C105779"/>
      <c r="E105779"/>
      <c r="F105779"/>
    </row>
    <row r="105780" spans="1:6" x14ac:dyDescent="0.25">
      <c r="A105780"/>
      <c r="B105780"/>
      <c r="C105780"/>
      <c r="E105780"/>
      <c r="F105780"/>
    </row>
    <row r="105781" spans="1:6" x14ac:dyDescent="0.25">
      <c r="A105781"/>
      <c r="B105781"/>
      <c r="C105781"/>
      <c r="E105781"/>
      <c r="F105781"/>
    </row>
    <row r="105782" spans="1:6" x14ac:dyDescent="0.25">
      <c r="A105782"/>
      <c r="B105782"/>
      <c r="C105782"/>
      <c r="E105782"/>
      <c r="F105782"/>
    </row>
    <row r="105783" spans="1:6" x14ac:dyDescent="0.25">
      <c r="A105783"/>
      <c r="B105783"/>
      <c r="C105783"/>
      <c r="E105783"/>
      <c r="F105783"/>
    </row>
    <row r="105784" spans="1:6" x14ac:dyDescent="0.25">
      <c r="A105784"/>
      <c r="B105784"/>
      <c r="C105784"/>
      <c r="E105784"/>
      <c r="F105784"/>
    </row>
    <row r="105785" spans="1:6" x14ac:dyDescent="0.25">
      <c r="A105785"/>
      <c r="B105785"/>
      <c r="C105785"/>
      <c r="E105785"/>
      <c r="F105785"/>
    </row>
    <row r="105786" spans="1:6" x14ac:dyDescent="0.25">
      <c r="A105786"/>
      <c r="B105786"/>
      <c r="C105786"/>
      <c r="E105786"/>
      <c r="F105786"/>
    </row>
    <row r="105787" spans="1:6" x14ac:dyDescent="0.25">
      <c r="A105787"/>
      <c r="B105787"/>
      <c r="C105787"/>
      <c r="E105787"/>
      <c r="F105787"/>
    </row>
    <row r="105788" spans="1:6" x14ac:dyDescent="0.25">
      <c r="A105788"/>
      <c r="B105788"/>
      <c r="C105788"/>
      <c r="E105788"/>
      <c r="F105788"/>
    </row>
    <row r="105789" spans="1:6" x14ac:dyDescent="0.25">
      <c r="A105789"/>
      <c r="B105789"/>
      <c r="C105789"/>
      <c r="E105789"/>
      <c r="F105789"/>
    </row>
    <row r="105790" spans="1:6" x14ac:dyDescent="0.25">
      <c r="A105790"/>
      <c r="B105790"/>
      <c r="C105790"/>
      <c r="E105790"/>
      <c r="F105790"/>
    </row>
    <row r="105791" spans="1:6" x14ac:dyDescent="0.25">
      <c r="A105791"/>
      <c r="B105791"/>
      <c r="C105791"/>
      <c r="E105791"/>
      <c r="F105791"/>
    </row>
    <row r="105792" spans="1:6" x14ac:dyDescent="0.25">
      <c r="A105792"/>
      <c r="B105792"/>
      <c r="C105792"/>
      <c r="E105792"/>
      <c r="F105792"/>
    </row>
    <row r="105793" spans="1:6" x14ac:dyDescent="0.25">
      <c r="A105793"/>
      <c r="B105793"/>
      <c r="C105793"/>
      <c r="E105793"/>
      <c r="F105793"/>
    </row>
    <row r="105794" spans="1:6" x14ac:dyDescent="0.25">
      <c r="A105794"/>
      <c r="B105794"/>
      <c r="C105794"/>
      <c r="E105794"/>
      <c r="F105794"/>
    </row>
    <row r="105795" spans="1:6" x14ac:dyDescent="0.25">
      <c r="A105795"/>
      <c r="B105795"/>
      <c r="C105795"/>
      <c r="E105795"/>
      <c r="F105795"/>
    </row>
    <row r="105796" spans="1:6" x14ac:dyDescent="0.25">
      <c r="A105796"/>
      <c r="B105796"/>
      <c r="C105796"/>
      <c r="E105796"/>
      <c r="F105796"/>
    </row>
    <row r="105797" spans="1:6" x14ac:dyDescent="0.25">
      <c r="A105797"/>
      <c r="B105797"/>
      <c r="C105797"/>
      <c r="E105797"/>
      <c r="F105797"/>
    </row>
    <row r="105798" spans="1:6" x14ac:dyDescent="0.25">
      <c r="A105798"/>
      <c r="B105798"/>
      <c r="C105798"/>
      <c r="E105798"/>
      <c r="F105798"/>
    </row>
    <row r="105799" spans="1:6" x14ac:dyDescent="0.25">
      <c r="A105799"/>
      <c r="B105799"/>
      <c r="C105799"/>
      <c r="E105799"/>
      <c r="F105799"/>
    </row>
    <row r="105800" spans="1:6" x14ac:dyDescent="0.25">
      <c r="A105800"/>
      <c r="B105800"/>
      <c r="C105800"/>
      <c r="E105800"/>
      <c r="F105800"/>
    </row>
    <row r="105801" spans="1:6" x14ac:dyDescent="0.25">
      <c r="A105801"/>
      <c r="B105801"/>
      <c r="C105801"/>
      <c r="E105801"/>
      <c r="F105801"/>
    </row>
    <row r="105802" spans="1:6" x14ac:dyDescent="0.25">
      <c r="A105802"/>
      <c r="B105802"/>
      <c r="C105802"/>
      <c r="E105802"/>
      <c r="F105802"/>
    </row>
    <row r="105803" spans="1:6" x14ac:dyDescent="0.25">
      <c r="A105803"/>
      <c r="B105803"/>
      <c r="C105803"/>
      <c r="E105803"/>
      <c r="F105803"/>
    </row>
    <row r="105804" spans="1:6" x14ac:dyDescent="0.25">
      <c r="A105804"/>
      <c r="B105804"/>
      <c r="C105804"/>
      <c r="E105804"/>
      <c r="F105804"/>
    </row>
    <row r="105805" spans="1:6" x14ac:dyDescent="0.25">
      <c r="A105805"/>
      <c r="B105805"/>
      <c r="C105805"/>
      <c r="E105805"/>
      <c r="F105805"/>
    </row>
    <row r="105806" spans="1:6" x14ac:dyDescent="0.25">
      <c r="A105806"/>
      <c r="B105806"/>
      <c r="C105806"/>
      <c r="E105806"/>
      <c r="F105806"/>
    </row>
    <row r="105807" spans="1:6" x14ac:dyDescent="0.25">
      <c r="A105807"/>
      <c r="B105807"/>
      <c r="C105807"/>
      <c r="E105807"/>
      <c r="F105807"/>
    </row>
    <row r="105808" spans="1:6" x14ac:dyDescent="0.25">
      <c r="A105808"/>
      <c r="B105808"/>
      <c r="C105808"/>
      <c r="E105808"/>
      <c r="F105808"/>
    </row>
    <row r="105809" spans="1:6" x14ac:dyDescent="0.25">
      <c r="A105809"/>
      <c r="B105809"/>
      <c r="C105809"/>
      <c r="E105809"/>
      <c r="F105809"/>
    </row>
    <row r="105810" spans="1:6" x14ac:dyDescent="0.25">
      <c r="A105810"/>
      <c r="B105810"/>
      <c r="C105810"/>
      <c r="E105810"/>
      <c r="F105810"/>
    </row>
    <row r="105811" spans="1:6" x14ac:dyDescent="0.25">
      <c r="A105811"/>
      <c r="B105811"/>
      <c r="C105811"/>
      <c r="E105811"/>
      <c r="F105811"/>
    </row>
    <row r="105812" spans="1:6" x14ac:dyDescent="0.25">
      <c r="A105812"/>
      <c r="B105812"/>
      <c r="C105812"/>
      <c r="E105812"/>
      <c r="F105812"/>
    </row>
    <row r="105813" spans="1:6" x14ac:dyDescent="0.25">
      <c r="A105813"/>
      <c r="B105813"/>
      <c r="C105813"/>
      <c r="E105813"/>
      <c r="F105813"/>
    </row>
    <row r="105814" spans="1:6" x14ac:dyDescent="0.25">
      <c r="A105814"/>
      <c r="B105814"/>
      <c r="C105814"/>
      <c r="E105814"/>
      <c r="F105814"/>
    </row>
    <row r="105815" spans="1:6" x14ac:dyDescent="0.25">
      <c r="A105815"/>
      <c r="B105815"/>
      <c r="C105815"/>
      <c r="E105815"/>
      <c r="F105815"/>
    </row>
    <row r="105816" spans="1:6" x14ac:dyDescent="0.25">
      <c r="A105816"/>
      <c r="B105816"/>
      <c r="C105816"/>
      <c r="E105816"/>
      <c r="F105816"/>
    </row>
    <row r="105817" spans="1:6" x14ac:dyDescent="0.25">
      <c r="A105817"/>
      <c r="B105817"/>
      <c r="C105817"/>
      <c r="E105817"/>
      <c r="F105817"/>
    </row>
    <row r="105818" spans="1:6" x14ac:dyDescent="0.25">
      <c r="A105818"/>
      <c r="B105818"/>
      <c r="C105818"/>
      <c r="E105818"/>
      <c r="F105818"/>
    </row>
    <row r="105819" spans="1:6" x14ac:dyDescent="0.25">
      <c r="A105819"/>
      <c r="B105819"/>
      <c r="C105819"/>
      <c r="E105819"/>
      <c r="F105819"/>
    </row>
    <row r="105820" spans="1:6" x14ac:dyDescent="0.25">
      <c r="A105820"/>
      <c r="B105820"/>
      <c r="C105820"/>
      <c r="E105820"/>
      <c r="F105820"/>
    </row>
    <row r="105821" spans="1:6" x14ac:dyDescent="0.25">
      <c r="A105821"/>
      <c r="B105821"/>
      <c r="C105821"/>
      <c r="E105821"/>
      <c r="F105821"/>
    </row>
    <row r="105822" spans="1:6" x14ac:dyDescent="0.25">
      <c r="A105822"/>
      <c r="B105822"/>
      <c r="C105822"/>
      <c r="E105822"/>
      <c r="F105822"/>
    </row>
    <row r="105823" spans="1:6" x14ac:dyDescent="0.25">
      <c r="A105823"/>
      <c r="B105823"/>
      <c r="C105823"/>
      <c r="E105823"/>
      <c r="F105823"/>
    </row>
    <row r="105824" spans="1:6" x14ac:dyDescent="0.25">
      <c r="A105824"/>
      <c r="B105824"/>
      <c r="C105824"/>
      <c r="E105824"/>
      <c r="F105824"/>
    </row>
    <row r="105825" spans="1:6" x14ac:dyDescent="0.25">
      <c r="A105825"/>
      <c r="B105825"/>
      <c r="C105825"/>
      <c r="E105825"/>
      <c r="F105825"/>
    </row>
    <row r="105826" spans="1:6" x14ac:dyDescent="0.25">
      <c r="A105826"/>
      <c r="B105826"/>
      <c r="C105826"/>
      <c r="E105826"/>
      <c r="F105826"/>
    </row>
    <row r="105827" spans="1:6" x14ac:dyDescent="0.25">
      <c r="A105827"/>
      <c r="B105827"/>
      <c r="C105827"/>
      <c r="E105827"/>
      <c r="F105827"/>
    </row>
    <row r="105828" spans="1:6" x14ac:dyDescent="0.25">
      <c r="A105828"/>
      <c r="B105828"/>
      <c r="C105828"/>
      <c r="E105828"/>
      <c r="F105828"/>
    </row>
    <row r="105829" spans="1:6" x14ac:dyDescent="0.25">
      <c r="A105829"/>
      <c r="B105829"/>
      <c r="C105829"/>
      <c r="E105829"/>
      <c r="F105829"/>
    </row>
    <row r="105830" spans="1:6" x14ac:dyDescent="0.25">
      <c r="A105830"/>
      <c r="B105830"/>
      <c r="C105830"/>
      <c r="E105830"/>
      <c r="F105830"/>
    </row>
    <row r="105831" spans="1:6" x14ac:dyDescent="0.25">
      <c r="A105831"/>
      <c r="B105831"/>
      <c r="C105831"/>
      <c r="E105831"/>
      <c r="F105831"/>
    </row>
    <row r="105832" spans="1:6" x14ac:dyDescent="0.25">
      <c r="A105832"/>
      <c r="B105832"/>
      <c r="C105832"/>
      <c r="E105832"/>
      <c r="F105832"/>
    </row>
    <row r="105833" spans="1:6" x14ac:dyDescent="0.25">
      <c r="A105833"/>
      <c r="B105833"/>
      <c r="C105833"/>
      <c r="E105833"/>
      <c r="F105833"/>
    </row>
    <row r="105834" spans="1:6" x14ac:dyDescent="0.25">
      <c r="A105834"/>
      <c r="B105834"/>
      <c r="C105834"/>
      <c r="E105834"/>
      <c r="F105834"/>
    </row>
    <row r="105835" spans="1:6" x14ac:dyDescent="0.25">
      <c r="A105835"/>
      <c r="B105835"/>
      <c r="C105835"/>
      <c r="E105835"/>
      <c r="F105835"/>
    </row>
    <row r="105836" spans="1:6" x14ac:dyDescent="0.25">
      <c r="A105836"/>
      <c r="B105836"/>
      <c r="C105836"/>
      <c r="E105836"/>
      <c r="F105836"/>
    </row>
    <row r="105837" spans="1:6" x14ac:dyDescent="0.25">
      <c r="A105837"/>
      <c r="B105837"/>
      <c r="C105837"/>
      <c r="E105837"/>
      <c r="F105837"/>
    </row>
    <row r="105838" spans="1:6" x14ac:dyDescent="0.25">
      <c r="A105838"/>
      <c r="B105838"/>
      <c r="C105838"/>
      <c r="E105838"/>
      <c r="F105838"/>
    </row>
    <row r="105839" spans="1:6" x14ac:dyDescent="0.25">
      <c r="A105839"/>
      <c r="B105839"/>
      <c r="C105839"/>
      <c r="E105839"/>
      <c r="F105839"/>
    </row>
    <row r="105840" spans="1:6" x14ac:dyDescent="0.25">
      <c r="A105840"/>
      <c r="B105840"/>
      <c r="C105840"/>
      <c r="E105840"/>
      <c r="F105840"/>
    </row>
    <row r="105841" spans="1:6" x14ac:dyDescent="0.25">
      <c r="A105841"/>
      <c r="B105841"/>
      <c r="C105841"/>
      <c r="E105841"/>
      <c r="F105841"/>
    </row>
    <row r="105842" spans="1:6" x14ac:dyDescent="0.25">
      <c r="A105842"/>
      <c r="B105842"/>
      <c r="C105842"/>
      <c r="E105842"/>
      <c r="F105842"/>
    </row>
    <row r="105843" spans="1:6" x14ac:dyDescent="0.25">
      <c r="A105843"/>
      <c r="B105843"/>
      <c r="C105843"/>
      <c r="E105843"/>
      <c r="F105843"/>
    </row>
    <row r="105844" spans="1:6" x14ac:dyDescent="0.25">
      <c r="A105844"/>
      <c r="B105844"/>
      <c r="C105844"/>
      <c r="E105844"/>
      <c r="F105844"/>
    </row>
    <row r="105845" spans="1:6" x14ac:dyDescent="0.25">
      <c r="A105845"/>
      <c r="B105845"/>
      <c r="C105845"/>
      <c r="E105845"/>
      <c r="F105845"/>
    </row>
    <row r="105846" spans="1:6" x14ac:dyDescent="0.25">
      <c r="A105846"/>
      <c r="B105846"/>
      <c r="C105846"/>
      <c r="E105846"/>
      <c r="F105846"/>
    </row>
    <row r="105847" spans="1:6" x14ac:dyDescent="0.25">
      <c r="A105847"/>
      <c r="B105847"/>
      <c r="C105847"/>
      <c r="E105847"/>
      <c r="F105847"/>
    </row>
    <row r="105848" spans="1:6" x14ac:dyDescent="0.25">
      <c r="A105848"/>
      <c r="B105848"/>
      <c r="C105848"/>
      <c r="E105848"/>
      <c r="F105848"/>
    </row>
    <row r="105849" spans="1:6" x14ac:dyDescent="0.25">
      <c r="A105849"/>
      <c r="B105849"/>
      <c r="C105849"/>
      <c r="E105849"/>
      <c r="F105849"/>
    </row>
    <row r="105850" spans="1:6" x14ac:dyDescent="0.25">
      <c r="A105850"/>
      <c r="B105850"/>
      <c r="C105850"/>
      <c r="E105850"/>
      <c r="F105850"/>
    </row>
    <row r="105851" spans="1:6" x14ac:dyDescent="0.25">
      <c r="A105851"/>
      <c r="B105851"/>
      <c r="C105851"/>
      <c r="E105851"/>
      <c r="F105851"/>
    </row>
    <row r="105852" spans="1:6" x14ac:dyDescent="0.25">
      <c r="A105852"/>
      <c r="B105852"/>
      <c r="C105852"/>
      <c r="E105852"/>
      <c r="F105852"/>
    </row>
    <row r="105853" spans="1:6" x14ac:dyDescent="0.25">
      <c r="A105853"/>
      <c r="B105853"/>
      <c r="C105853"/>
      <c r="E105853"/>
      <c r="F105853"/>
    </row>
    <row r="105854" spans="1:6" x14ac:dyDescent="0.25">
      <c r="A105854"/>
      <c r="B105854"/>
      <c r="C105854"/>
      <c r="E105854"/>
      <c r="F105854"/>
    </row>
    <row r="105855" spans="1:6" x14ac:dyDescent="0.25">
      <c r="A105855"/>
      <c r="B105855"/>
      <c r="C105855"/>
      <c r="E105855"/>
      <c r="F105855"/>
    </row>
    <row r="105856" spans="1:6" x14ac:dyDescent="0.25">
      <c r="A105856"/>
      <c r="B105856"/>
      <c r="C105856"/>
      <c r="E105856"/>
      <c r="F105856"/>
    </row>
    <row r="105857" spans="1:6" x14ac:dyDescent="0.25">
      <c r="A105857"/>
      <c r="B105857"/>
      <c r="C105857"/>
      <c r="E105857"/>
      <c r="F105857"/>
    </row>
    <row r="105858" spans="1:6" x14ac:dyDescent="0.25">
      <c r="A105858"/>
      <c r="B105858"/>
      <c r="C105858"/>
      <c r="E105858"/>
      <c r="F105858"/>
    </row>
    <row r="105859" spans="1:6" x14ac:dyDescent="0.25">
      <c r="A105859"/>
      <c r="B105859"/>
      <c r="C105859"/>
      <c r="E105859"/>
      <c r="F105859"/>
    </row>
    <row r="105860" spans="1:6" x14ac:dyDescent="0.25">
      <c r="A105860"/>
      <c r="B105860"/>
      <c r="C105860"/>
      <c r="E105860"/>
      <c r="F105860"/>
    </row>
    <row r="105861" spans="1:6" x14ac:dyDescent="0.25">
      <c r="A105861"/>
      <c r="B105861"/>
      <c r="C105861"/>
      <c r="E105861"/>
      <c r="F105861"/>
    </row>
    <row r="105862" spans="1:6" x14ac:dyDescent="0.25">
      <c r="A105862"/>
      <c r="B105862"/>
      <c r="C105862"/>
      <c r="E105862"/>
      <c r="F105862"/>
    </row>
    <row r="105863" spans="1:6" x14ac:dyDescent="0.25">
      <c r="A105863"/>
      <c r="B105863"/>
      <c r="C105863"/>
      <c r="E105863"/>
      <c r="F105863"/>
    </row>
    <row r="105864" spans="1:6" x14ac:dyDescent="0.25">
      <c r="A105864"/>
      <c r="B105864"/>
      <c r="C105864"/>
      <c r="E105864"/>
      <c r="F105864"/>
    </row>
    <row r="105865" spans="1:6" x14ac:dyDescent="0.25">
      <c r="A105865"/>
      <c r="B105865"/>
      <c r="C105865"/>
      <c r="E105865"/>
      <c r="F105865"/>
    </row>
    <row r="105866" spans="1:6" x14ac:dyDescent="0.25">
      <c r="A105866"/>
      <c r="B105866"/>
      <c r="C105866"/>
      <c r="E105866"/>
      <c r="F105866"/>
    </row>
    <row r="105867" spans="1:6" x14ac:dyDescent="0.25">
      <c r="A105867"/>
      <c r="B105867"/>
      <c r="C105867"/>
      <c r="E105867"/>
      <c r="F105867"/>
    </row>
    <row r="105868" spans="1:6" x14ac:dyDescent="0.25">
      <c r="A105868"/>
      <c r="B105868"/>
      <c r="C105868"/>
      <c r="E105868"/>
      <c r="F105868"/>
    </row>
    <row r="105869" spans="1:6" x14ac:dyDescent="0.25">
      <c r="A105869"/>
      <c r="B105869"/>
      <c r="C105869"/>
      <c r="E105869"/>
      <c r="F105869"/>
    </row>
    <row r="105870" spans="1:6" x14ac:dyDescent="0.25">
      <c r="A105870"/>
      <c r="B105870"/>
      <c r="C105870"/>
      <c r="E105870"/>
      <c r="F105870"/>
    </row>
    <row r="105871" spans="1:6" x14ac:dyDescent="0.25">
      <c r="A105871"/>
      <c r="B105871"/>
      <c r="C105871"/>
      <c r="E105871"/>
      <c r="F105871"/>
    </row>
    <row r="105872" spans="1:6" x14ac:dyDescent="0.25">
      <c r="A105872"/>
      <c r="B105872"/>
      <c r="C105872"/>
      <c r="E105872"/>
      <c r="F105872"/>
    </row>
    <row r="105873" spans="1:6" x14ac:dyDescent="0.25">
      <c r="A105873"/>
      <c r="B105873"/>
      <c r="C105873"/>
      <c r="E105873"/>
      <c r="F105873"/>
    </row>
    <row r="105874" spans="1:6" x14ac:dyDescent="0.25">
      <c r="A105874"/>
      <c r="B105874"/>
      <c r="C105874"/>
      <c r="E105874"/>
      <c r="F105874"/>
    </row>
    <row r="105875" spans="1:6" x14ac:dyDescent="0.25">
      <c r="A105875"/>
      <c r="B105875"/>
      <c r="C105875"/>
      <c r="E105875"/>
      <c r="F105875"/>
    </row>
    <row r="105876" spans="1:6" x14ac:dyDescent="0.25">
      <c r="A105876"/>
      <c r="B105876"/>
      <c r="C105876"/>
      <c r="E105876"/>
      <c r="F105876"/>
    </row>
    <row r="105877" spans="1:6" x14ac:dyDescent="0.25">
      <c r="A105877"/>
      <c r="B105877"/>
      <c r="C105877"/>
      <c r="E105877"/>
      <c r="F105877"/>
    </row>
    <row r="105878" spans="1:6" x14ac:dyDescent="0.25">
      <c r="A105878"/>
      <c r="B105878"/>
      <c r="C105878"/>
      <c r="E105878"/>
      <c r="F105878"/>
    </row>
    <row r="105879" spans="1:6" x14ac:dyDescent="0.25">
      <c r="A105879"/>
      <c r="B105879"/>
      <c r="C105879"/>
      <c r="E105879"/>
      <c r="F105879"/>
    </row>
    <row r="105880" spans="1:6" x14ac:dyDescent="0.25">
      <c r="A105880"/>
      <c r="B105880"/>
      <c r="C105880"/>
      <c r="E105880"/>
      <c r="F105880"/>
    </row>
    <row r="105881" spans="1:6" x14ac:dyDescent="0.25">
      <c r="A105881"/>
      <c r="B105881"/>
      <c r="C105881"/>
      <c r="E105881"/>
      <c r="F105881"/>
    </row>
    <row r="105882" spans="1:6" x14ac:dyDescent="0.25">
      <c r="A105882"/>
      <c r="B105882"/>
      <c r="C105882"/>
      <c r="E105882"/>
      <c r="F105882"/>
    </row>
    <row r="105883" spans="1:6" x14ac:dyDescent="0.25">
      <c r="A105883"/>
      <c r="B105883"/>
      <c r="C105883"/>
      <c r="E105883"/>
      <c r="F105883"/>
    </row>
    <row r="105884" spans="1:6" x14ac:dyDescent="0.25">
      <c r="A105884"/>
      <c r="B105884"/>
      <c r="C105884"/>
      <c r="E105884"/>
      <c r="F105884"/>
    </row>
    <row r="105885" spans="1:6" x14ac:dyDescent="0.25">
      <c r="A105885"/>
      <c r="B105885"/>
      <c r="C105885"/>
      <c r="E105885"/>
      <c r="F105885"/>
    </row>
    <row r="105886" spans="1:6" x14ac:dyDescent="0.25">
      <c r="A105886"/>
      <c r="B105886"/>
      <c r="C105886"/>
      <c r="E105886"/>
      <c r="F105886"/>
    </row>
    <row r="105887" spans="1:6" x14ac:dyDescent="0.25">
      <c r="A105887"/>
      <c r="B105887"/>
      <c r="C105887"/>
      <c r="E105887"/>
      <c r="F105887"/>
    </row>
    <row r="105888" spans="1:6" x14ac:dyDescent="0.25">
      <c r="A105888"/>
      <c r="B105888"/>
      <c r="C105888"/>
      <c r="E105888"/>
      <c r="F105888"/>
    </row>
    <row r="105889" spans="1:6" x14ac:dyDescent="0.25">
      <c r="A105889"/>
      <c r="B105889"/>
      <c r="C105889"/>
      <c r="E105889"/>
      <c r="F105889"/>
    </row>
    <row r="105890" spans="1:6" x14ac:dyDescent="0.25">
      <c r="A105890"/>
      <c r="B105890"/>
      <c r="C105890"/>
      <c r="E105890"/>
      <c r="F105890"/>
    </row>
    <row r="105891" spans="1:6" x14ac:dyDescent="0.25">
      <c r="A105891"/>
      <c r="B105891"/>
      <c r="C105891"/>
      <c r="E105891"/>
      <c r="F105891"/>
    </row>
    <row r="105892" spans="1:6" x14ac:dyDescent="0.25">
      <c r="A105892"/>
      <c r="B105892"/>
      <c r="C105892"/>
      <c r="E105892"/>
      <c r="F105892"/>
    </row>
    <row r="105893" spans="1:6" x14ac:dyDescent="0.25">
      <c r="A105893"/>
      <c r="B105893"/>
      <c r="C105893"/>
      <c r="E105893"/>
      <c r="F105893"/>
    </row>
    <row r="105894" spans="1:6" x14ac:dyDescent="0.25">
      <c r="A105894"/>
      <c r="B105894"/>
      <c r="C105894"/>
      <c r="E105894"/>
      <c r="F105894"/>
    </row>
    <row r="105895" spans="1:6" x14ac:dyDescent="0.25">
      <c r="A105895"/>
      <c r="B105895"/>
      <c r="C105895"/>
      <c r="E105895"/>
      <c r="F105895"/>
    </row>
    <row r="105896" spans="1:6" x14ac:dyDescent="0.25">
      <c r="A105896"/>
      <c r="B105896"/>
      <c r="C105896"/>
      <c r="E105896"/>
      <c r="F105896"/>
    </row>
    <row r="105897" spans="1:6" x14ac:dyDescent="0.25">
      <c r="A105897"/>
      <c r="B105897"/>
      <c r="C105897"/>
      <c r="E105897"/>
      <c r="F105897"/>
    </row>
    <row r="105898" spans="1:6" x14ac:dyDescent="0.25">
      <c r="A105898"/>
      <c r="B105898"/>
      <c r="C105898"/>
      <c r="E105898"/>
      <c r="F105898"/>
    </row>
    <row r="105899" spans="1:6" x14ac:dyDescent="0.25">
      <c r="A105899"/>
      <c r="B105899"/>
      <c r="C105899"/>
      <c r="E105899"/>
      <c r="F105899"/>
    </row>
    <row r="105900" spans="1:6" x14ac:dyDescent="0.25">
      <c r="A105900"/>
      <c r="B105900"/>
      <c r="C105900"/>
      <c r="E105900"/>
      <c r="F105900"/>
    </row>
    <row r="105901" spans="1:6" x14ac:dyDescent="0.25">
      <c r="A105901"/>
      <c r="B105901"/>
      <c r="C105901"/>
      <c r="E105901"/>
      <c r="F105901"/>
    </row>
    <row r="105902" spans="1:6" x14ac:dyDescent="0.25">
      <c r="A105902"/>
      <c r="B105902"/>
      <c r="C105902"/>
      <c r="E105902"/>
      <c r="F105902"/>
    </row>
    <row r="105903" spans="1:6" x14ac:dyDescent="0.25">
      <c r="A105903"/>
      <c r="B105903"/>
      <c r="C105903"/>
      <c r="E105903"/>
      <c r="F105903"/>
    </row>
    <row r="105904" spans="1:6" x14ac:dyDescent="0.25">
      <c r="A105904"/>
      <c r="B105904"/>
      <c r="C105904"/>
      <c r="E105904"/>
      <c r="F105904"/>
    </row>
    <row r="105905" spans="1:6" x14ac:dyDescent="0.25">
      <c r="A105905"/>
      <c r="B105905"/>
      <c r="C105905"/>
      <c r="E105905"/>
      <c r="F105905"/>
    </row>
    <row r="105906" spans="1:6" x14ac:dyDescent="0.25">
      <c r="A105906"/>
      <c r="B105906"/>
      <c r="C105906"/>
      <c r="E105906"/>
      <c r="F105906"/>
    </row>
    <row r="105907" spans="1:6" x14ac:dyDescent="0.25">
      <c r="A105907"/>
      <c r="B105907"/>
      <c r="C105907"/>
      <c r="E105907"/>
      <c r="F105907"/>
    </row>
    <row r="105908" spans="1:6" x14ac:dyDescent="0.25">
      <c r="A105908"/>
      <c r="B105908"/>
      <c r="C105908"/>
      <c r="E105908"/>
      <c r="F105908"/>
    </row>
    <row r="105909" spans="1:6" x14ac:dyDescent="0.25">
      <c r="A105909"/>
      <c r="B105909"/>
      <c r="C105909"/>
      <c r="E105909"/>
      <c r="F105909"/>
    </row>
    <row r="105910" spans="1:6" x14ac:dyDescent="0.25">
      <c r="A105910"/>
      <c r="B105910"/>
      <c r="C105910"/>
      <c r="E105910"/>
      <c r="F105910"/>
    </row>
    <row r="105911" spans="1:6" x14ac:dyDescent="0.25">
      <c r="A105911"/>
      <c r="B105911"/>
      <c r="C105911"/>
      <c r="E105911"/>
      <c r="F105911"/>
    </row>
    <row r="105912" spans="1:6" x14ac:dyDescent="0.25">
      <c r="A105912"/>
      <c r="B105912"/>
      <c r="C105912"/>
      <c r="E105912"/>
      <c r="F105912"/>
    </row>
    <row r="105913" spans="1:6" x14ac:dyDescent="0.25">
      <c r="A105913"/>
      <c r="B105913"/>
      <c r="C105913"/>
      <c r="E105913"/>
      <c r="F105913"/>
    </row>
    <row r="105914" spans="1:6" x14ac:dyDescent="0.25">
      <c r="A105914"/>
      <c r="B105914"/>
      <c r="C105914"/>
      <c r="E105914"/>
      <c r="F105914"/>
    </row>
    <row r="105915" spans="1:6" x14ac:dyDescent="0.25">
      <c r="A105915"/>
      <c r="B105915"/>
      <c r="C105915"/>
      <c r="E105915"/>
      <c r="F105915"/>
    </row>
    <row r="105916" spans="1:6" x14ac:dyDescent="0.25">
      <c r="A105916"/>
      <c r="B105916"/>
      <c r="C105916"/>
      <c r="E105916"/>
      <c r="F105916"/>
    </row>
    <row r="105917" spans="1:6" x14ac:dyDescent="0.25">
      <c r="A105917"/>
      <c r="B105917"/>
      <c r="C105917"/>
      <c r="E105917"/>
      <c r="F105917"/>
    </row>
    <row r="105918" spans="1:6" x14ac:dyDescent="0.25">
      <c r="A105918"/>
      <c r="B105918"/>
      <c r="C105918"/>
      <c r="E105918"/>
      <c r="F105918"/>
    </row>
    <row r="105919" spans="1:6" x14ac:dyDescent="0.25">
      <c r="A105919"/>
      <c r="B105919"/>
      <c r="C105919"/>
      <c r="E105919"/>
      <c r="F105919"/>
    </row>
    <row r="105920" spans="1:6" x14ac:dyDescent="0.25">
      <c r="A105920"/>
      <c r="B105920"/>
      <c r="C105920"/>
      <c r="E105920"/>
      <c r="F105920"/>
    </row>
    <row r="105921" spans="1:6" x14ac:dyDescent="0.25">
      <c r="A105921"/>
      <c r="B105921"/>
      <c r="C105921"/>
      <c r="E105921"/>
      <c r="F105921"/>
    </row>
    <row r="105922" spans="1:6" x14ac:dyDescent="0.25">
      <c r="A105922"/>
      <c r="B105922"/>
      <c r="C105922"/>
      <c r="E105922"/>
      <c r="F105922"/>
    </row>
    <row r="105923" spans="1:6" x14ac:dyDescent="0.25">
      <c r="A105923"/>
      <c r="B105923"/>
      <c r="C105923"/>
      <c r="E105923"/>
      <c r="F105923"/>
    </row>
    <row r="105924" spans="1:6" x14ac:dyDescent="0.25">
      <c r="A105924"/>
      <c r="B105924"/>
      <c r="C105924"/>
      <c r="E105924"/>
      <c r="F105924"/>
    </row>
    <row r="105925" spans="1:6" x14ac:dyDescent="0.25">
      <c r="A105925"/>
      <c r="B105925"/>
      <c r="C105925"/>
      <c r="E105925"/>
      <c r="F105925"/>
    </row>
    <row r="105926" spans="1:6" x14ac:dyDescent="0.25">
      <c r="A105926"/>
      <c r="B105926"/>
      <c r="C105926"/>
      <c r="E105926"/>
      <c r="F105926"/>
    </row>
    <row r="105927" spans="1:6" x14ac:dyDescent="0.25">
      <c r="A105927"/>
      <c r="B105927"/>
      <c r="C105927"/>
      <c r="E105927"/>
      <c r="F105927"/>
    </row>
    <row r="105928" spans="1:6" x14ac:dyDescent="0.25">
      <c r="A105928"/>
      <c r="B105928"/>
      <c r="C105928"/>
      <c r="E105928"/>
      <c r="F105928"/>
    </row>
    <row r="105929" spans="1:6" x14ac:dyDescent="0.25">
      <c r="A105929"/>
      <c r="B105929"/>
      <c r="C105929"/>
      <c r="E105929"/>
      <c r="F105929"/>
    </row>
    <row r="105930" spans="1:6" x14ac:dyDescent="0.25">
      <c r="A105930"/>
      <c r="B105930"/>
      <c r="C105930"/>
      <c r="E105930"/>
      <c r="F105930"/>
    </row>
    <row r="105931" spans="1:6" x14ac:dyDescent="0.25">
      <c r="A105931"/>
      <c r="B105931"/>
      <c r="C105931"/>
      <c r="E105931"/>
      <c r="F105931"/>
    </row>
    <row r="105932" spans="1:6" x14ac:dyDescent="0.25">
      <c r="A105932"/>
      <c r="B105932"/>
      <c r="C105932"/>
      <c r="E105932"/>
      <c r="F105932"/>
    </row>
    <row r="105933" spans="1:6" x14ac:dyDescent="0.25">
      <c r="A105933"/>
      <c r="B105933"/>
      <c r="C105933"/>
      <c r="E105933"/>
      <c r="F105933"/>
    </row>
    <row r="105934" spans="1:6" x14ac:dyDescent="0.25">
      <c r="A105934"/>
      <c r="B105934"/>
      <c r="C105934"/>
      <c r="E105934"/>
      <c r="F105934"/>
    </row>
    <row r="105935" spans="1:6" x14ac:dyDescent="0.25">
      <c r="A105935"/>
      <c r="B105935"/>
      <c r="C105935"/>
      <c r="E105935"/>
      <c r="F105935"/>
    </row>
    <row r="105936" spans="1:6" x14ac:dyDescent="0.25">
      <c r="A105936"/>
      <c r="B105936"/>
      <c r="C105936"/>
      <c r="E105936"/>
      <c r="F105936"/>
    </row>
    <row r="105937" spans="1:6" x14ac:dyDescent="0.25">
      <c r="A105937"/>
      <c r="B105937"/>
      <c r="C105937"/>
      <c r="E105937"/>
      <c r="F105937"/>
    </row>
    <row r="105938" spans="1:6" x14ac:dyDescent="0.25">
      <c r="A105938"/>
      <c r="B105938"/>
      <c r="C105938"/>
      <c r="E105938"/>
      <c r="F105938"/>
    </row>
    <row r="105939" spans="1:6" x14ac:dyDescent="0.25">
      <c r="A105939"/>
      <c r="B105939"/>
      <c r="C105939"/>
      <c r="E105939"/>
      <c r="F105939"/>
    </row>
    <row r="105940" spans="1:6" x14ac:dyDescent="0.25">
      <c r="A105940"/>
      <c r="B105940"/>
      <c r="C105940"/>
      <c r="E105940"/>
      <c r="F105940"/>
    </row>
    <row r="105941" spans="1:6" x14ac:dyDescent="0.25">
      <c r="A105941"/>
      <c r="B105941"/>
      <c r="C105941"/>
      <c r="E105941"/>
      <c r="F105941"/>
    </row>
    <row r="105942" spans="1:6" x14ac:dyDescent="0.25">
      <c r="A105942"/>
      <c r="B105942"/>
      <c r="C105942"/>
      <c r="E105942"/>
      <c r="F105942"/>
    </row>
    <row r="105943" spans="1:6" x14ac:dyDescent="0.25">
      <c r="A105943"/>
      <c r="B105943"/>
      <c r="C105943"/>
      <c r="E105943"/>
      <c r="F105943"/>
    </row>
    <row r="105944" spans="1:6" x14ac:dyDescent="0.25">
      <c r="A105944"/>
      <c r="B105944"/>
      <c r="C105944"/>
      <c r="E105944"/>
      <c r="F105944"/>
    </row>
    <row r="105945" spans="1:6" x14ac:dyDescent="0.25">
      <c r="A105945"/>
      <c r="B105945"/>
      <c r="C105945"/>
      <c r="E105945"/>
      <c r="F105945"/>
    </row>
    <row r="105946" spans="1:6" x14ac:dyDescent="0.25">
      <c r="A105946"/>
      <c r="B105946"/>
      <c r="C105946"/>
      <c r="E105946"/>
      <c r="F105946"/>
    </row>
    <row r="105947" spans="1:6" x14ac:dyDescent="0.25">
      <c r="A105947"/>
      <c r="B105947"/>
      <c r="C105947"/>
      <c r="E105947"/>
      <c r="F105947"/>
    </row>
    <row r="105948" spans="1:6" x14ac:dyDescent="0.25">
      <c r="A105948"/>
      <c r="B105948"/>
      <c r="C105948"/>
      <c r="E105948"/>
      <c r="F105948"/>
    </row>
    <row r="105949" spans="1:6" x14ac:dyDescent="0.25">
      <c r="A105949"/>
      <c r="B105949"/>
      <c r="C105949"/>
      <c r="E105949"/>
      <c r="F105949"/>
    </row>
    <row r="105950" spans="1:6" x14ac:dyDescent="0.25">
      <c r="A105950"/>
      <c r="B105950"/>
      <c r="C105950"/>
      <c r="E105950"/>
      <c r="F105950"/>
    </row>
    <row r="105951" spans="1:6" x14ac:dyDescent="0.25">
      <c r="A105951"/>
      <c r="B105951"/>
      <c r="C105951"/>
      <c r="E105951"/>
      <c r="F105951"/>
    </row>
    <row r="105952" spans="1:6" x14ac:dyDescent="0.25">
      <c r="A105952"/>
      <c r="B105952"/>
      <c r="C105952"/>
      <c r="E105952"/>
      <c r="F105952"/>
    </row>
    <row r="105953" spans="1:6" x14ac:dyDescent="0.25">
      <c r="A105953"/>
      <c r="B105953"/>
      <c r="C105953"/>
      <c r="E105953"/>
      <c r="F105953"/>
    </row>
    <row r="105954" spans="1:6" x14ac:dyDescent="0.25">
      <c r="A105954"/>
      <c r="B105954"/>
      <c r="C105954"/>
      <c r="E105954"/>
      <c r="F105954"/>
    </row>
    <row r="105955" spans="1:6" x14ac:dyDescent="0.25">
      <c r="A105955"/>
      <c r="B105955"/>
      <c r="C105955"/>
      <c r="E105955"/>
      <c r="F105955"/>
    </row>
    <row r="105956" spans="1:6" x14ac:dyDescent="0.25">
      <c r="A105956"/>
      <c r="B105956"/>
      <c r="C105956"/>
      <c r="E105956"/>
      <c r="F105956"/>
    </row>
    <row r="105957" spans="1:6" x14ac:dyDescent="0.25">
      <c r="A105957"/>
      <c r="B105957"/>
      <c r="C105957"/>
      <c r="E105957"/>
      <c r="F105957"/>
    </row>
    <row r="105958" spans="1:6" x14ac:dyDescent="0.25">
      <c r="A105958"/>
      <c r="B105958"/>
      <c r="C105958"/>
      <c r="E105958"/>
      <c r="F105958"/>
    </row>
    <row r="105959" spans="1:6" x14ac:dyDescent="0.25">
      <c r="A105959"/>
      <c r="B105959"/>
      <c r="C105959"/>
      <c r="E105959"/>
      <c r="F105959"/>
    </row>
    <row r="105960" spans="1:6" x14ac:dyDescent="0.25">
      <c r="A105960"/>
      <c r="B105960"/>
      <c r="C105960"/>
      <c r="E105960"/>
      <c r="F105960"/>
    </row>
    <row r="105961" spans="1:6" x14ac:dyDescent="0.25">
      <c r="A105961"/>
      <c r="B105961"/>
      <c r="C105961"/>
      <c r="E105961"/>
      <c r="F105961"/>
    </row>
    <row r="105962" spans="1:6" x14ac:dyDescent="0.25">
      <c r="A105962"/>
      <c r="B105962"/>
      <c r="C105962"/>
      <c r="E105962"/>
      <c r="F105962"/>
    </row>
    <row r="105963" spans="1:6" x14ac:dyDescent="0.25">
      <c r="A105963"/>
      <c r="B105963"/>
      <c r="C105963"/>
      <c r="E105963"/>
      <c r="F105963"/>
    </row>
    <row r="105964" spans="1:6" x14ac:dyDescent="0.25">
      <c r="A105964"/>
      <c r="B105964"/>
      <c r="C105964"/>
      <c r="E105964"/>
      <c r="F105964"/>
    </row>
    <row r="105965" spans="1:6" x14ac:dyDescent="0.25">
      <c r="A105965"/>
      <c r="B105965"/>
      <c r="C105965"/>
      <c r="E105965"/>
      <c r="F105965"/>
    </row>
    <row r="105966" spans="1:6" x14ac:dyDescent="0.25">
      <c r="A105966"/>
      <c r="B105966"/>
      <c r="C105966"/>
      <c r="E105966"/>
      <c r="F105966"/>
    </row>
    <row r="105967" spans="1:6" x14ac:dyDescent="0.25">
      <c r="A105967"/>
      <c r="B105967"/>
      <c r="C105967"/>
      <c r="E105967"/>
      <c r="F105967"/>
    </row>
    <row r="105968" spans="1:6" x14ac:dyDescent="0.25">
      <c r="A105968"/>
      <c r="B105968"/>
      <c r="C105968"/>
      <c r="E105968"/>
      <c r="F105968"/>
    </row>
    <row r="105969" spans="1:6" x14ac:dyDescent="0.25">
      <c r="A105969"/>
      <c r="B105969"/>
      <c r="C105969"/>
      <c r="E105969"/>
      <c r="F105969"/>
    </row>
    <row r="105970" spans="1:6" x14ac:dyDescent="0.25">
      <c r="A105970"/>
      <c r="B105970"/>
      <c r="C105970"/>
      <c r="E105970"/>
      <c r="F105970"/>
    </row>
    <row r="105971" spans="1:6" x14ac:dyDescent="0.25">
      <c r="A105971"/>
      <c r="B105971"/>
      <c r="C105971"/>
      <c r="E105971"/>
      <c r="F105971"/>
    </row>
    <row r="105972" spans="1:6" x14ac:dyDescent="0.25">
      <c r="A105972"/>
      <c r="B105972"/>
      <c r="C105972"/>
      <c r="E105972"/>
      <c r="F105972"/>
    </row>
    <row r="105973" spans="1:6" x14ac:dyDescent="0.25">
      <c r="A105973"/>
      <c r="B105973"/>
      <c r="C105973"/>
      <c r="E105973"/>
      <c r="F105973"/>
    </row>
    <row r="105974" spans="1:6" x14ac:dyDescent="0.25">
      <c r="A105974"/>
      <c r="B105974"/>
      <c r="C105974"/>
      <c r="E105974"/>
      <c r="F105974"/>
    </row>
    <row r="105975" spans="1:6" x14ac:dyDescent="0.25">
      <c r="A105975"/>
      <c r="B105975"/>
      <c r="C105975"/>
      <c r="E105975"/>
      <c r="F105975"/>
    </row>
    <row r="105976" spans="1:6" x14ac:dyDescent="0.25">
      <c r="A105976"/>
      <c r="B105976"/>
      <c r="C105976"/>
      <c r="E105976"/>
      <c r="F105976"/>
    </row>
    <row r="105977" spans="1:6" x14ac:dyDescent="0.25">
      <c r="A105977"/>
      <c r="B105977"/>
      <c r="C105977"/>
      <c r="E105977"/>
      <c r="F105977"/>
    </row>
    <row r="105978" spans="1:6" x14ac:dyDescent="0.25">
      <c r="A105978"/>
      <c r="B105978"/>
      <c r="C105978"/>
      <c r="E105978"/>
      <c r="F105978"/>
    </row>
    <row r="105979" spans="1:6" x14ac:dyDescent="0.25">
      <c r="A105979"/>
      <c r="B105979"/>
      <c r="C105979"/>
      <c r="E105979"/>
      <c r="F105979"/>
    </row>
    <row r="105980" spans="1:6" x14ac:dyDescent="0.25">
      <c r="A105980"/>
      <c r="B105980"/>
      <c r="C105980"/>
      <c r="E105980"/>
      <c r="F105980"/>
    </row>
    <row r="105981" spans="1:6" x14ac:dyDescent="0.25">
      <c r="A105981"/>
      <c r="B105981"/>
      <c r="C105981"/>
      <c r="E105981"/>
      <c r="F105981"/>
    </row>
    <row r="105982" spans="1:6" x14ac:dyDescent="0.25">
      <c r="A105982"/>
      <c r="B105982"/>
      <c r="C105982"/>
      <c r="E105982"/>
      <c r="F105982"/>
    </row>
    <row r="105983" spans="1:6" x14ac:dyDescent="0.25">
      <c r="A105983"/>
      <c r="B105983"/>
      <c r="C105983"/>
      <c r="E105983"/>
      <c r="F105983"/>
    </row>
    <row r="105984" spans="1:6" x14ac:dyDescent="0.25">
      <c r="A105984"/>
      <c r="B105984"/>
      <c r="C105984"/>
      <c r="E105984"/>
      <c r="F105984"/>
    </row>
    <row r="105985" spans="1:6" x14ac:dyDescent="0.25">
      <c r="A105985"/>
      <c r="B105985"/>
      <c r="C105985"/>
      <c r="E105985"/>
      <c r="F105985"/>
    </row>
    <row r="105986" spans="1:6" x14ac:dyDescent="0.25">
      <c r="A105986"/>
      <c r="B105986"/>
      <c r="C105986"/>
      <c r="E105986"/>
      <c r="F105986"/>
    </row>
    <row r="105987" spans="1:6" x14ac:dyDescent="0.25">
      <c r="A105987"/>
      <c r="B105987"/>
      <c r="C105987"/>
      <c r="E105987"/>
      <c r="F105987"/>
    </row>
    <row r="105988" spans="1:6" x14ac:dyDescent="0.25">
      <c r="A105988"/>
      <c r="B105988"/>
      <c r="C105988"/>
      <c r="E105988"/>
      <c r="F105988"/>
    </row>
    <row r="105989" spans="1:6" x14ac:dyDescent="0.25">
      <c r="A105989"/>
      <c r="B105989"/>
      <c r="C105989"/>
      <c r="E105989"/>
      <c r="F105989"/>
    </row>
    <row r="105990" spans="1:6" x14ac:dyDescent="0.25">
      <c r="A105990"/>
      <c r="B105990"/>
      <c r="C105990"/>
      <c r="E105990"/>
      <c r="F105990"/>
    </row>
    <row r="105991" spans="1:6" x14ac:dyDescent="0.25">
      <c r="A105991"/>
      <c r="B105991"/>
      <c r="C105991"/>
      <c r="E105991"/>
      <c r="F105991"/>
    </row>
    <row r="105992" spans="1:6" x14ac:dyDescent="0.25">
      <c r="A105992"/>
      <c r="B105992"/>
      <c r="C105992"/>
      <c r="E105992"/>
      <c r="F105992"/>
    </row>
    <row r="105993" spans="1:6" x14ac:dyDescent="0.25">
      <c r="A105993"/>
      <c r="B105993"/>
      <c r="C105993"/>
      <c r="E105993"/>
      <c r="F105993"/>
    </row>
    <row r="105994" spans="1:6" x14ac:dyDescent="0.25">
      <c r="A105994"/>
      <c r="B105994"/>
      <c r="C105994"/>
      <c r="E105994"/>
      <c r="F105994"/>
    </row>
    <row r="105995" spans="1:6" x14ac:dyDescent="0.25">
      <c r="A105995"/>
      <c r="B105995"/>
      <c r="C105995"/>
      <c r="E105995"/>
      <c r="F105995"/>
    </row>
    <row r="105996" spans="1:6" x14ac:dyDescent="0.25">
      <c r="A105996"/>
      <c r="B105996"/>
      <c r="C105996"/>
      <c r="E105996"/>
      <c r="F105996"/>
    </row>
    <row r="105997" spans="1:6" x14ac:dyDescent="0.25">
      <c r="A105997"/>
      <c r="B105997"/>
      <c r="C105997"/>
      <c r="E105997"/>
      <c r="F105997"/>
    </row>
    <row r="105998" spans="1:6" x14ac:dyDescent="0.25">
      <c r="A105998"/>
      <c r="B105998"/>
      <c r="C105998"/>
      <c r="E105998"/>
      <c r="F105998"/>
    </row>
    <row r="105999" spans="1:6" x14ac:dyDescent="0.25">
      <c r="A105999"/>
      <c r="B105999"/>
      <c r="C105999"/>
      <c r="E105999"/>
      <c r="F105999"/>
    </row>
    <row r="106000" spans="1:6" x14ac:dyDescent="0.25">
      <c r="A106000"/>
      <c r="B106000"/>
      <c r="C106000"/>
      <c r="E106000"/>
      <c r="F106000"/>
    </row>
    <row r="106001" spans="1:6" x14ac:dyDescent="0.25">
      <c r="A106001"/>
      <c r="B106001"/>
      <c r="C106001"/>
      <c r="E106001"/>
      <c r="F106001"/>
    </row>
    <row r="106002" spans="1:6" x14ac:dyDescent="0.25">
      <c r="A106002"/>
      <c r="B106002"/>
      <c r="C106002"/>
      <c r="E106002"/>
      <c r="F106002"/>
    </row>
    <row r="106003" spans="1:6" x14ac:dyDescent="0.25">
      <c r="A106003"/>
      <c r="B106003"/>
      <c r="C106003"/>
      <c r="E106003"/>
      <c r="F106003"/>
    </row>
    <row r="106004" spans="1:6" x14ac:dyDescent="0.25">
      <c r="A106004"/>
      <c r="B106004"/>
      <c r="C106004"/>
      <c r="E106004"/>
      <c r="F106004"/>
    </row>
    <row r="106005" spans="1:6" x14ac:dyDescent="0.25">
      <c r="A106005"/>
      <c r="B106005"/>
      <c r="C106005"/>
      <c r="E106005"/>
      <c r="F106005"/>
    </row>
    <row r="106006" spans="1:6" x14ac:dyDescent="0.25">
      <c r="A106006"/>
      <c r="B106006"/>
      <c r="C106006"/>
      <c r="E106006"/>
      <c r="F106006"/>
    </row>
    <row r="106007" spans="1:6" x14ac:dyDescent="0.25">
      <c r="A106007"/>
      <c r="B106007"/>
      <c r="C106007"/>
      <c r="E106007"/>
      <c r="F106007"/>
    </row>
    <row r="106008" spans="1:6" x14ac:dyDescent="0.25">
      <c r="A106008"/>
      <c r="B106008"/>
      <c r="C106008"/>
      <c r="E106008"/>
      <c r="F106008"/>
    </row>
    <row r="106009" spans="1:6" x14ac:dyDescent="0.25">
      <c r="A106009"/>
      <c r="B106009"/>
      <c r="C106009"/>
      <c r="E106009"/>
      <c r="F106009"/>
    </row>
    <row r="106010" spans="1:6" x14ac:dyDescent="0.25">
      <c r="A106010"/>
      <c r="B106010"/>
      <c r="C106010"/>
      <c r="E106010"/>
      <c r="F106010"/>
    </row>
    <row r="106011" spans="1:6" x14ac:dyDescent="0.25">
      <c r="A106011"/>
      <c r="B106011"/>
      <c r="C106011"/>
      <c r="E106011"/>
      <c r="F106011"/>
    </row>
    <row r="106012" spans="1:6" x14ac:dyDescent="0.25">
      <c r="A106012"/>
      <c r="B106012"/>
      <c r="C106012"/>
      <c r="E106012"/>
      <c r="F106012"/>
    </row>
    <row r="106013" spans="1:6" x14ac:dyDescent="0.25">
      <c r="A106013"/>
      <c r="B106013"/>
      <c r="C106013"/>
      <c r="E106013"/>
      <c r="F106013"/>
    </row>
    <row r="106014" spans="1:6" x14ac:dyDescent="0.25">
      <c r="A106014"/>
      <c r="B106014"/>
      <c r="C106014"/>
      <c r="E106014"/>
      <c r="F106014"/>
    </row>
    <row r="106015" spans="1:6" x14ac:dyDescent="0.25">
      <c r="A106015"/>
      <c r="B106015"/>
      <c r="C106015"/>
      <c r="E106015"/>
      <c r="F106015"/>
    </row>
    <row r="106016" spans="1:6" x14ac:dyDescent="0.25">
      <c r="A106016"/>
      <c r="B106016"/>
      <c r="C106016"/>
      <c r="E106016"/>
      <c r="F106016"/>
    </row>
    <row r="106017" spans="1:6" x14ac:dyDescent="0.25">
      <c r="A106017"/>
      <c r="B106017"/>
      <c r="C106017"/>
      <c r="E106017"/>
      <c r="F106017"/>
    </row>
    <row r="106018" spans="1:6" x14ac:dyDescent="0.25">
      <c r="A106018"/>
      <c r="B106018"/>
      <c r="C106018"/>
      <c r="E106018"/>
      <c r="F106018"/>
    </row>
    <row r="106019" spans="1:6" x14ac:dyDescent="0.25">
      <c r="A106019"/>
      <c r="B106019"/>
      <c r="C106019"/>
      <c r="E106019"/>
      <c r="F106019"/>
    </row>
    <row r="106020" spans="1:6" x14ac:dyDescent="0.25">
      <c r="A106020"/>
      <c r="B106020"/>
      <c r="C106020"/>
      <c r="E106020"/>
      <c r="F106020"/>
    </row>
    <row r="106021" spans="1:6" x14ac:dyDescent="0.25">
      <c r="A106021"/>
      <c r="B106021"/>
      <c r="C106021"/>
      <c r="E106021"/>
      <c r="F106021"/>
    </row>
    <row r="106022" spans="1:6" x14ac:dyDescent="0.25">
      <c r="A106022"/>
      <c r="B106022"/>
      <c r="C106022"/>
      <c r="E106022"/>
      <c r="F106022"/>
    </row>
    <row r="106023" spans="1:6" x14ac:dyDescent="0.25">
      <c r="A106023"/>
      <c r="B106023"/>
      <c r="C106023"/>
      <c r="E106023"/>
      <c r="F106023"/>
    </row>
    <row r="106024" spans="1:6" x14ac:dyDescent="0.25">
      <c r="A106024"/>
      <c r="B106024"/>
      <c r="C106024"/>
      <c r="E106024"/>
      <c r="F106024"/>
    </row>
    <row r="106025" spans="1:6" x14ac:dyDescent="0.25">
      <c r="A106025"/>
      <c r="B106025"/>
      <c r="C106025"/>
      <c r="E106025"/>
      <c r="F106025"/>
    </row>
    <row r="106026" spans="1:6" x14ac:dyDescent="0.25">
      <c r="A106026"/>
      <c r="B106026"/>
      <c r="C106026"/>
      <c r="E106026"/>
      <c r="F106026"/>
    </row>
    <row r="106027" spans="1:6" x14ac:dyDescent="0.25">
      <c r="A106027"/>
      <c r="B106027"/>
      <c r="C106027"/>
      <c r="E106027"/>
      <c r="F106027"/>
    </row>
    <row r="106028" spans="1:6" x14ac:dyDescent="0.25">
      <c r="A106028"/>
      <c r="B106028"/>
      <c r="C106028"/>
      <c r="E106028"/>
      <c r="F106028"/>
    </row>
    <row r="106029" spans="1:6" x14ac:dyDescent="0.25">
      <c r="A106029"/>
      <c r="B106029"/>
      <c r="C106029"/>
      <c r="E106029"/>
      <c r="F106029"/>
    </row>
    <row r="106030" spans="1:6" x14ac:dyDescent="0.25">
      <c r="A106030"/>
      <c r="B106030"/>
      <c r="C106030"/>
      <c r="E106030"/>
      <c r="F106030"/>
    </row>
    <row r="106031" spans="1:6" x14ac:dyDescent="0.25">
      <c r="A106031"/>
      <c r="B106031"/>
      <c r="C106031"/>
      <c r="E106031"/>
      <c r="F106031"/>
    </row>
    <row r="106032" spans="1:6" x14ac:dyDescent="0.25">
      <c r="A106032"/>
      <c r="B106032"/>
      <c r="C106032"/>
      <c r="E106032"/>
      <c r="F106032"/>
    </row>
    <row r="106033" spans="1:6" x14ac:dyDescent="0.25">
      <c r="A106033"/>
      <c r="B106033"/>
      <c r="C106033"/>
      <c r="E106033"/>
      <c r="F106033"/>
    </row>
    <row r="106034" spans="1:6" x14ac:dyDescent="0.25">
      <c r="A106034"/>
      <c r="B106034"/>
      <c r="C106034"/>
      <c r="E106034"/>
      <c r="F106034"/>
    </row>
    <row r="106035" spans="1:6" x14ac:dyDescent="0.25">
      <c r="A106035"/>
      <c r="B106035"/>
      <c r="C106035"/>
      <c r="E106035"/>
      <c r="F106035"/>
    </row>
    <row r="106036" spans="1:6" x14ac:dyDescent="0.25">
      <c r="A106036"/>
      <c r="B106036"/>
      <c r="C106036"/>
      <c r="E106036"/>
      <c r="F106036"/>
    </row>
    <row r="106037" spans="1:6" x14ac:dyDescent="0.25">
      <c r="A106037"/>
      <c r="B106037"/>
      <c r="C106037"/>
      <c r="E106037"/>
      <c r="F106037"/>
    </row>
    <row r="106038" spans="1:6" x14ac:dyDescent="0.25">
      <c r="A106038"/>
      <c r="B106038"/>
      <c r="C106038"/>
      <c r="E106038"/>
      <c r="F106038"/>
    </row>
    <row r="106039" spans="1:6" x14ac:dyDescent="0.25">
      <c r="A106039"/>
      <c r="B106039"/>
      <c r="C106039"/>
      <c r="E106039"/>
      <c r="F106039"/>
    </row>
    <row r="106040" spans="1:6" x14ac:dyDescent="0.25">
      <c r="A106040"/>
      <c r="B106040"/>
      <c r="C106040"/>
      <c r="E106040"/>
      <c r="F106040"/>
    </row>
    <row r="106041" spans="1:6" x14ac:dyDescent="0.25">
      <c r="A106041"/>
      <c r="B106041"/>
      <c r="C106041"/>
      <c r="E106041"/>
      <c r="F106041"/>
    </row>
    <row r="106042" spans="1:6" x14ac:dyDescent="0.25">
      <c r="A106042"/>
      <c r="B106042"/>
      <c r="C106042"/>
      <c r="E106042"/>
      <c r="F106042"/>
    </row>
    <row r="106043" spans="1:6" x14ac:dyDescent="0.25">
      <c r="A106043"/>
      <c r="B106043"/>
      <c r="C106043"/>
      <c r="E106043"/>
      <c r="F106043"/>
    </row>
    <row r="106044" spans="1:6" x14ac:dyDescent="0.25">
      <c r="A106044"/>
      <c r="B106044"/>
      <c r="C106044"/>
      <c r="E106044"/>
      <c r="F106044"/>
    </row>
    <row r="106045" spans="1:6" x14ac:dyDescent="0.25">
      <c r="A106045"/>
      <c r="B106045"/>
      <c r="C106045"/>
      <c r="E106045"/>
      <c r="F106045"/>
    </row>
    <row r="106046" spans="1:6" x14ac:dyDescent="0.25">
      <c r="A106046"/>
      <c r="B106046"/>
      <c r="C106046"/>
      <c r="E106046"/>
      <c r="F106046"/>
    </row>
    <row r="106047" spans="1:6" x14ac:dyDescent="0.25">
      <c r="A106047"/>
      <c r="B106047"/>
      <c r="C106047"/>
      <c r="E106047"/>
      <c r="F106047"/>
    </row>
    <row r="106048" spans="1:6" x14ac:dyDescent="0.25">
      <c r="A106048"/>
      <c r="B106048"/>
      <c r="C106048"/>
      <c r="E106048"/>
      <c r="F106048"/>
    </row>
    <row r="106049" spans="1:6" x14ac:dyDescent="0.25">
      <c r="A106049"/>
      <c r="B106049"/>
      <c r="C106049"/>
      <c r="E106049"/>
      <c r="F106049"/>
    </row>
    <row r="106050" spans="1:6" x14ac:dyDescent="0.25">
      <c r="A106050"/>
      <c r="B106050"/>
      <c r="C106050"/>
      <c r="E106050"/>
      <c r="F106050"/>
    </row>
    <row r="106051" spans="1:6" x14ac:dyDescent="0.25">
      <c r="A106051"/>
      <c r="B106051"/>
      <c r="C106051"/>
      <c r="E106051"/>
      <c r="F106051"/>
    </row>
    <row r="106052" spans="1:6" x14ac:dyDescent="0.25">
      <c r="A106052"/>
      <c r="B106052"/>
      <c r="C106052"/>
      <c r="E106052"/>
      <c r="F106052"/>
    </row>
    <row r="106053" spans="1:6" x14ac:dyDescent="0.25">
      <c r="A106053"/>
      <c r="B106053"/>
      <c r="C106053"/>
      <c r="E106053"/>
      <c r="F106053"/>
    </row>
    <row r="106054" spans="1:6" x14ac:dyDescent="0.25">
      <c r="A106054"/>
      <c r="B106054"/>
      <c r="C106054"/>
      <c r="E106054"/>
      <c r="F106054"/>
    </row>
    <row r="106055" spans="1:6" x14ac:dyDescent="0.25">
      <c r="A106055"/>
      <c r="B106055"/>
      <c r="C106055"/>
      <c r="E106055"/>
      <c r="F106055"/>
    </row>
    <row r="106056" spans="1:6" x14ac:dyDescent="0.25">
      <c r="A106056"/>
      <c r="B106056"/>
      <c r="C106056"/>
      <c r="E106056"/>
      <c r="F106056"/>
    </row>
    <row r="106057" spans="1:6" x14ac:dyDescent="0.25">
      <c r="A106057"/>
      <c r="B106057"/>
      <c r="C106057"/>
      <c r="E106057"/>
      <c r="F106057"/>
    </row>
    <row r="106058" spans="1:6" x14ac:dyDescent="0.25">
      <c r="A106058"/>
      <c r="B106058"/>
      <c r="C106058"/>
      <c r="E106058"/>
      <c r="F106058"/>
    </row>
    <row r="106059" spans="1:6" x14ac:dyDescent="0.25">
      <c r="A106059"/>
      <c r="B106059"/>
      <c r="C106059"/>
      <c r="E106059"/>
      <c r="F106059"/>
    </row>
    <row r="106060" spans="1:6" x14ac:dyDescent="0.25">
      <c r="A106060"/>
      <c r="B106060"/>
      <c r="C106060"/>
      <c r="E106060"/>
      <c r="F106060"/>
    </row>
    <row r="106061" spans="1:6" x14ac:dyDescent="0.25">
      <c r="A106061"/>
      <c r="B106061"/>
      <c r="C106061"/>
      <c r="E106061"/>
      <c r="F106061"/>
    </row>
    <row r="106062" spans="1:6" x14ac:dyDescent="0.25">
      <c r="A106062"/>
      <c r="B106062"/>
      <c r="C106062"/>
      <c r="E106062"/>
      <c r="F106062"/>
    </row>
    <row r="106063" spans="1:6" x14ac:dyDescent="0.25">
      <c r="A106063"/>
      <c r="B106063"/>
      <c r="C106063"/>
      <c r="E106063"/>
      <c r="F106063"/>
    </row>
    <row r="106064" spans="1:6" x14ac:dyDescent="0.25">
      <c r="A106064"/>
      <c r="B106064"/>
      <c r="C106064"/>
      <c r="E106064"/>
      <c r="F106064"/>
    </row>
    <row r="106065" spans="1:6" x14ac:dyDescent="0.25">
      <c r="A106065"/>
      <c r="B106065"/>
      <c r="C106065"/>
      <c r="E106065"/>
      <c r="F106065"/>
    </row>
    <row r="106066" spans="1:6" x14ac:dyDescent="0.25">
      <c r="A106066"/>
      <c r="B106066"/>
      <c r="C106066"/>
      <c r="E106066"/>
      <c r="F106066"/>
    </row>
    <row r="106067" spans="1:6" x14ac:dyDescent="0.25">
      <c r="A106067"/>
      <c r="B106067"/>
      <c r="C106067"/>
      <c r="E106067"/>
      <c r="F106067"/>
    </row>
    <row r="106068" spans="1:6" x14ac:dyDescent="0.25">
      <c r="A106068"/>
      <c r="B106068"/>
      <c r="C106068"/>
      <c r="E106068"/>
      <c r="F106068"/>
    </row>
    <row r="106069" spans="1:6" x14ac:dyDescent="0.25">
      <c r="A106069"/>
      <c r="B106069"/>
      <c r="C106069"/>
      <c r="E106069"/>
      <c r="F106069"/>
    </row>
    <row r="106070" spans="1:6" x14ac:dyDescent="0.25">
      <c r="A106070"/>
      <c r="B106070"/>
      <c r="C106070"/>
      <c r="E106070"/>
      <c r="F106070"/>
    </row>
    <row r="106071" spans="1:6" x14ac:dyDescent="0.25">
      <c r="A106071"/>
      <c r="B106071"/>
      <c r="C106071"/>
      <c r="E106071"/>
      <c r="F106071"/>
    </row>
    <row r="106072" spans="1:6" x14ac:dyDescent="0.25">
      <c r="A106072"/>
      <c r="B106072"/>
      <c r="C106072"/>
      <c r="E106072"/>
      <c r="F106072"/>
    </row>
    <row r="106073" spans="1:6" x14ac:dyDescent="0.25">
      <c r="A106073"/>
      <c r="B106073"/>
      <c r="C106073"/>
      <c r="E106073"/>
      <c r="F106073"/>
    </row>
    <row r="106074" spans="1:6" x14ac:dyDescent="0.25">
      <c r="A106074"/>
      <c r="B106074"/>
      <c r="C106074"/>
      <c r="E106074"/>
      <c r="F106074"/>
    </row>
    <row r="106075" spans="1:6" x14ac:dyDescent="0.25">
      <c r="A106075"/>
      <c r="B106075"/>
      <c r="C106075"/>
      <c r="E106075"/>
      <c r="F106075"/>
    </row>
    <row r="106076" spans="1:6" x14ac:dyDescent="0.25">
      <c r="A106076"/>
      <c r="B106076"/>
      <c r="C106076"/>
      <c r="E106076"/>
      <c r="F106076"/>
    </row>
    <row r="106077" spans="1:6" x14ac:dyDescent="0.25">
      <c r="A106077"/>
      <c r="B106077"/>
      <c r="C106077"/>
      <c r="E106077"/>
      <c r="F106077"/>
    </row>
    <row r="106078" spans="1:6" x14ac:dyDescent="0.25">
      <c r="A106078"/>
      <c r="B106078"/>
      <c r="C106078"/>
      <c r="E106078"/>
      <c r="F106078"/>
    </row>
    <row r="106079" spans="1:6" x14ac:dyDescent="0.25">
      <c r="A106079"/>
      <c r="B106079"/>
      <c r="C106079"/>
      <c r="E106079"/>
      <c r="F106079"/>
    </row>
    <row r="106080" spans="1:6" x14ac:dyDescent="0.25">
      <c r="A106080"/>
      <c r="B106080"/>
      <c r="C106080"/>
      <c r="E106080"/>
      <c r="F106080"/>
    </row>
    <row r="106081" spans="1:6" x14ac:dyDescent="0.25">
      <c r="A106081"/>
      <c r="B106081"/>
      <c r="C106081"/>
      <c r="E106081"/>
      <c r="F106081"/>
    </row>
    <row r="106082" spans="1:6" x14ac:dyDescent="0.25">
      <c r="A106082"/>
      <c r="B106082"/>
      <c r="C106082"/>
      <c r="E106082"/>
      <c r="F106082"/>
    </row>
    <row r="106083" spans="1:6" x14ac:dyDescent="0.25">
      <c r="A106083"/>
      <c r="B106083"/>
      <c r="C106083"/>
      <c r="E106083"/>
      <c r="F106083"/>
    </row>
    <row r="106084" spans="1:6" x14ac:dyDescent="0.25">
      <c r="A106084"/>
      <c r="B106084"/>
      <c r="C106084"/>
      <c r="E106084"/>
      <c r="F106084"/>
    </row>
    <row r="106085" spans="1:6" x14ac:dyDescent="0.25">
      <c r="A106085"/>
      <c r="B106085"/>
      <c r="C106085"/>
      <c r="E106085"/>
      <c r="F106085"/>
    </row>
    <row r="106086" spans="1:6" x14ac:dyDescent="0.25">
      <c r="A106086"/>
      <c r="B106086"/>
      <c r="C106086"/>
      <c r="E106086"/>
      <c r="F106086"/>
    </row>
    <row r="106087" spans="1:6" x14ac:dyDescent="0.25">
      <c r="A106087"/>
      <c r="B106087"/>
      <c r="C106087"/>
      <c r="E106087"/>
      <c r="F106087"/>
    </row>
    <row r="106088" spans="1:6" x14ac:dyDescent="0.25">
      <c r="A106088"/>
      <c r="B106088"/>
      <c r="C106088"/>
      <c r="E106088"/>
      <c r="F106088"/>
    </row>
    <row r="106089" spans="1:6" x14ac:dyDescent="0.25">
      <c r="A106089"/>
      <c r="B106089"/>
      <c r="C106089"/>
      <c r="E106089"/>
      <c r="F106089"/>
    </row>
    <row r="106090" spans="1:6" x14ac:dyDescent="0.25">
      <c r="A106090"/>
      <c r="B106090"/>
      <c r="C106090"/>
      <c r="E106090"/>
      <c r="F106090"/>
    </row>
    <row r="106091" spans="1:6" x14ac:dyDescent="0.25">
      <c r="A106091"/>
      <c r="B106091"/>
      <c r="C106091"/>
      <c r="E106091"/>
      <c r="F106091"/>
    </row>
    <row r="106092" spans="1:6" x14ac:dyDescent="0.25">
      <c r="A106092"/>
      <c r="B106092"/>
      <c r="C106092"/>
      <c r="E106092"/>
      <c r="F106092"/>
    </row>
    <row r="106093" spans="1:6" x14ac:dyDescent="0.25">
      <c r="A106093"/>
      <c r="B106093"/>
      <c r="C106093"/>
      <c r="E106093"/>
      <c r="F106093"/>
    </row>
    <row r="106094" spans="1:6" x14ac:dyDescent="0.25">
      <c r="A106094"/>
      <c r="B106094"/>
      <c r="C106094"/>
      <c r="E106094"/>
      <c r="F106094"/>
    </row>
    <row r="106095" spans="1:6" x14ac:dyDescent="0.25">
      <c r="A106095"/>
      <c r="B106095"/>
      <c r="C106095"/>
      <c r="E106095"/>
      <c r="F106095"/>
    </row>
    <row r="106096" spans="1:6" x14ac:dyDescent="0.25">
      <c r="A106096"/>
      <c r="B106096"/>
      <c r="C106096"/>
      <c r="E106096"/>
      <c r="F106096"/>
    </row>
    <row r="106097" spans="1:6" x14ac:dyDescent="0.25">
      <c r="A106097"/>
      <c r="B106097"/>
      <c r="C106097"/>
      <c r="E106097"/>
      <c r="F106097"/>
    </row>
    <row r="106098" spans="1:6" x14ac:dyDescent="0.25">
      <c r="A106098"/>
      <c r="B106098"/>
      <c r="C106098"/>
      <c r="E106098"/>
      <c r="F106098"/>
    </row>
    <row r="106099" spans="1:6" x14ac:dyDescent="0.25">
      <c r="A106099"/>
      <c r="B106099"/>
      <c r="C106099"/>
      <c r="E106099"/>
      <c r="F106099"/>
    </row>
    <row r="106100" spans="1:6" x14ac:dyDescent="0.25">
      <c r="A106100"/>
      <c r="B106100"/>
      <c r="C106100"/>
      <c r="E106100"/>
      <c r="F106100"/>
    </row>
    <row r="106101" spans="1:6" x14ac:dyDescent="0.25">
      <c r="A106101"/>
      <c r="B106101"/>
      <c r="C106101"/>
      <c r="E106101"/>
      <c r="F106101"/>
    </row>
    <row r="106102" spans="1:6" x14ac:dyDescent="0.25">
      <c r="A106102"/>
      <c r="B106102"/>
      <c r="C106102"/>
      <c r="E106102"/>
      <c r="F106102"/>
    </row>
    <row r="106103" spans="1:6" x14ac:dyDescent="0.25">
      <c r="A106103"/>
      <c r="B106103"/>
      <c r="C106103"/>
      <c r="E106103"/>
      <c r="F106103"/>
    </row>
    <row r="106104" spans="1:6" x14ac:dyDescent="0.25">
      <c r="A106104"/>
      <c r="B106104"/>
      <c r="C106104"/>
      <c r="E106104"/>
      <c r="F106104"/>
    </row>
    <row r="106105" spans="1:6" x14ac:dyDescent="0.25">
      <c r="A106105"/>
      <c r="B106105"/>
      <c r="C106105"/>
      <c r="E106105"/>
      <c r="F106105"/>
    </row>
    <row r="106106" spans="1:6" x14ac:dyDescent="0.25">
      <c r="A106106"/>
      <c r="B106106"/>
      <c r="C106106"/>
      <c r="E106106"/>
      <c r="F106106"/>
    </row>
    <row r="106107" spans="1:6" x14ac:dyDescent="0.25">
      <c r="A106107"/>
      <c r="B106107"/>
      <c r="C106107"/>
      <c r="E106107"/>
      <c r="F106107"/>
    </row>
    <row r="106108" spans="1:6" x14ac:dyDescent="0.25">
      <c r="A106108"/>
      <c r="B106108"/>
      <c r="C106108"/>
      <c r="E106108"/>
      <c r="F106108"/>
    </row>
    <row r="106109" spans="1:6" x14ac:dyDescent="0.25">
      <c r="A106109"/>
      <c r="B106109"/>
      <c r="C106109"/>
      <c r="E106109"/>
      <c r="F106109"/>
    </row>
    <row r="106110" spans="1:6" x14ac:dyDescent="0.25">
      <c r="A106110"/>
      <c r="B106110"/>
      <c r="C106110"/>
      <c r="E106110"/>
      <c r="F106110"/>
    </row>
    <row r="106111" spans="1:6" x14ac:dyDescent="0.25">
      <c r="A106111"/>
      <c r="B106111"/>
      <c r="C106111"/>
      <c r="E106111"/>
      <c r="F106111"/>
    </row>
    <row r="106112" spans="1:6" x14ac:dyDescent="0.25">
      <c r="A106112"/>
      <c r="B106112"/>
      <c r="C106112"/>
      <c r="E106112"/>
      <c r="F106112"/>
    </row>
    <row r="106113" spans="1:6" x14ac:dyDescent="0.25">
      <c r="A106113"/>
      <c r="B106113"/>
      <c r="C106113"/>
      <c r="E106113"/>
      <c r="F106113"/>
    </row>
    <row r="106114" spans="1:6" x14ac:dyDescent="0.25">
      <c r="A106114"/>
      <c r="B106114"/>
      <c r="C106114"/>
      <c r="E106114"/>
      <c r="F106114"/>
    </row>
    <row r="106115" spans="1:6" x14ac:dyDescent="0.25">
      <c r="A106115"/>
      <c r="B106115"/>
      <c r="C106115"/>
      <c r="E106115"/>
      <c r="F106115"/>
    </row>
    <row r="106116" spans="1:6" x14ac:dyDescent="0.25">
      <c r="A106116"/>
      <c r="B106116"/>
      <c r="C106116"/>
      <c r="E106116"/>
      <c r="F106116"/>
    </row>
    <row r="106117" spans="1:6" x14ac:dyDescent="0.25">
      <c r="A106117"/>
      <c r="B106117"/>
      <c r="C106117"/>
      <c r="E106117"/>
      <c r="F106117"/>
    </row>
    <row r="106118" spans="1:6" x14ac:dyDescent="0.25">
      <c r="A106118"/>
      <c r="B106118"/>
      <c r="C106118"/>
      <c r="E106118"/>
      <c r="F106118"/>
    </row>
    <row r="106119" spans="1:6" x14ac:dyDescent="0.25">
      <c r="A106119"/>
      <c r="B106119"/>
      <c r="C106119"/>
      <c r="E106119"/>
      <c r="F106119"/>
    </row>
    <row r="106120" spans="1:6" x14ac:dyDescent="0.25">
      <c r="A106120"/>
      <c r="B106120"/>
      <c r="C106120"/>
      <c r="E106120"/>
      <c r="F106120"/>
    </row>
    <row r="106121" spans="1:6" x14ac:dyDescent="0.25">
      <c r="A106121"/>
      <c r="B106121"/>
      <c r="C106121"/>
      <c r="E106121"/>
      <c r="F106121"/>
    </row>
    <row r="106122" spans="1:6" x14ac:dyDescent="0.25">
      <c r="A106122"/>
      <c r="B106122"/>
      <c r="C106122"/>
      <c r="E106122"/>
      <c r="F106122"/>
    </row>
    <row r="106123" spans="1:6" x14ac:dyDescent="0.25">
      <c r="A106123"/>
      <c r="B106123"/>
      <c r="C106123"/>
      <c r="E106123"/>
      <c r="F106123"/>
    </row>
    <row r="106124" spans="1:6" x14ac:dyDescent="0.25">
      <c r="A106124"/>
      <c r="B106124"/>
      <c r="C106124"/>
      <c r="E106124"/>
      <c r="F106124"/>
    </row>
    <row r="106125" spans="1:6" x14ac:dyDescent="0.25">
      <c r="A106125"/>
      <c r="B106125"/>
      <c r="C106125"/>
      <c r="E106125"/>
      <c r="F106125"/>
    </row>
    <row r="106126" spans="1:6" x14ac:dyDescent="0.25">
      <c r="A106126"/>
      <c r="B106126"/>
      <c r="C106126"/>
      <c r="E106126"/>
      <c r="F106126"/>
    </row>
    <row r="106127" spans="1:6" x14ac:dyDescent="0.25">
      <c r="A106127"/>
      <c r="B106127"/>
      <c r="C106127"/>
      <c r="E106127"/>
      <c r="F106127"/>
    </row>
    <row r="106128" spans="1:6" x14ac:dyDescent="0.25">
      <c r="A106128"/>
      <c r="B106128"/>
      <c r="C106128"/>
      <c r="E106128"/>
      <c r="F106128"/>
    </row>
    <row r="106129" spans="1:6" x14ac:dyDescent="0.25">
      <c r="A106129"/>
      <c r="B106129"/>
      <c r="C106129"/>
      <c r="E106129"/>
      <c r="F106129"/>
    </row>
    <row r="106130" spans="1:6" x14ac:dyDescent="0.25">
      <c r="A106130"/>
      <c r="B106130"/>
      <c r="C106130"/>
      <c r="E106130"/>
      <c r="F106130"/>
    </row>
    <row r="106131" spans="1:6" x14ac:dyDescent="0.25">
      <c r="A106131"/>
      <c r="B106131"/>
      <c r="C106131"/>
      <c r="E106131"/>
      <c r="F106131"/>
    </row>
    <row r="106132" spans="1:6" x14ac:dyDescent="0.25">
      <c r="A106132"/>
      <c r="B106132"/>
      <c r="C106132"/>
      <c r="E106132"/>
      <c r="F106132"/>
    </row>
    <row r="106133" spans="1:6" x14ac:dyDescent="0.25">
      <c r="A106133"/>
      <c r="B106133"/>
      <c r="C106133"/>
      <c r="E106133"/>
      <c r="F106133"/>
    </row>
    <row r="106134" spans="1:6" x14ac:dyDescent="0.25">
      <c r="A106134"/>
      <c r="B106134"/>
      <c r="C106134"/>
      <c r="E106134"/>
      <c r="F106134"/>
    </row>
    <row r="106135" spans="1:6" x14ac:dyDescent="0.25">
      <c r="A106135"/>
      <c r="B106135"/>
      <c r="C106135"/>
      <c r="E106135"/>
      <c r="F106135"/>
    </row>
    <row r="106136" spans="1:6" x14ac:dyDescent="0.25">
      <c r="A106136"/>
      <c r="B106136"/>
      <c r="C106136"/>
      <c r="E106136"/>
      <c r="F106136"/>
    </row>
    <row r="106137" spans="1:6" x14ac:dyDescent="0.25">
      <c r="A106137"/>
      <c r="B106137"/>
      <c r="C106137"/>
      <c r="E106137"/>
      <c r="F106137"/>
    </row>
    <row r="106138" spans="1:6" x14ac:dyDescent="0.25">
      <c r="A106138"/>
      <c r="B106138"/>
      <c r="C106138"/>
      <c r="E106138"/>
      <c r="F106138"/>
    </row>
    <row r="106139" spans="1:6" x14ac:dyDescent="0.25">
      <c r="A106139"/>
      <c r="B106139"/>
      <c r="C106139"/>
      <c r="E106139"/>
      <c r="F106139"/>
    </row>
    <row r="106140" spans="1:6" x14ac:dyDescent="0.25">
      <c r="A106140"/>
      <c r="B106140"/>
      <c r="C106140"/>
      <c r="E106140"/>
      <c r="F106140"/>
    </row>
    <row r="106141" spans="1:6" x14ac:dyDescent="0.25">
      <c r="A106141"/>
      <c r="B106141"/>
      <c r="C106141"/>
      <c r="E106141"/>
      <c r="F106141"/>
    </row>
    <row r="106142" spans="1:6" x14ac:dyDescent="0.25">
      <c r="A106142"/>
      <c r="B106142"/>
      <c r="C106142"/>
      <c r="E106142"/>
      <c r="F106142"/>
    </row>
    <row r="106143" spans="1:6" x14ac:dyDescent="0.25">
      <c r="A106143"/>
      <c r="B106143"/>
      <c r="C106143"/>
      <c r="E106143"/>
      <c r="F106143"/>
    </row>
    <row r="106144" spans="1:6" x14ac:dyDescent="0.25">
      <c r="A106144"/>
      <c r="B106144"/>
      <c r="C106144"/>
      <c r="E106144"/>
      <c r="F106144"/>
    </row>
    <row r="106145" spans="1:6" x14ac:dyDescent="0.25">
      <c r="A106145"/>
      <c r="B106145"/>
      <c r="C106145"/>
      <c r="E106145"/>
      <c r="F106145"/>
    </row>
    <row r="106146" spans="1:6" x14ac:dyDescent="0.25">
      <c r="A106146"/>
      <c r="B106146"/>
      <c r="C106146"/>
      <c r="E106146"/>
      <c r="F106146"/>
    </row>
    <row r="106147" spans="1:6" x14ac:dyDescent="0.25">
      <c r="A106147"/>
      <c r="B106147"/>
      <c r="C106147"/>
      <c r="E106147"/>
      <c r="F106147"/>
    </row>
    <row r="106148" spans="1:6" x14ac:dyDescent="0.25">
      <c r="A106148"/>
      <c r="B106148"/>
      <c r="C106148"/>
      <c r="E106148"/>
      <c r="F106148"/>
    </row>
    <row r="106149" spans="1:6" x14ac:dyDescent="0.25">
      <c r="A106149"/>
      <c r="B106149"/>
      <c r="C106149"/>
      <c r="E106149"/>
      <c r="F106149"/>
    </row>
    <row r="106150" spans="1:6" x14ac:dyDescent="0.25">
      <c r="A106150"/>
      <c r="B106150"/>
      <c r="C106150"/>
      <c r="E106150"/>
      <c r="F106150"/>
    </row>
    <row r="106151" spans="1:6" x14ac:dyDescent="0.25">
      <c r="A106151"/>
      <c r="B106151"/>
      <c r="C106151"/>
      <c r="E106151"/>
      <c r="F106151"/>
    </row>
    <row r="106152" spans="1:6" x14ac:dyDescent="0.25">
      <c r="A106152"/>
      <c r="B106152"/>
      <c r="C106152"/>
      <c r="E106152"/>
      <c r="F106152"/>
    </row>
    <row r="106153" spans="1:6" x14ac:dyDescent="0.25">
      <c r="A106153"/>
      <c r="B106153"/>
      <c r="C106153"/>
      <c r="E106153"/>
      <c r="F106153"/>
    </row>
    <row r="106154" spans="1:6" x14ac:dyDescent="0.25">
      <c r="A106154"/>
      <c r="B106154"/>
      <c r="C106154"/>
      <c r="E106154"/>
      <c r="F106154"/>
    </row>
    <row r="106155" spans="1:6" x14ac:dyDescent="0.25">
      <c r="A106155"/>
      <c r="B106155"/>
      <c r="C106155"/>
      <c r="E106155"/>
      <c r="F106155"/>
    </row>
    <row r="106156" spans="1:6" x14ac:dyDescent="0.25">
      <c r="A106156"/>
      <c r="B106156"/>
      <c r="C106156"/>
      <c r="E106156"/>
      <c r="F106156"/>
    </row>
    <row r="106157" spans="1:6" x14ac:dyDescent="0.25">
      <c r="A106157"/>
      <c r="B106157"/>
      <c r="C106157"/>
      <c r="E106157"/>
      <c r="F106157"/>
    </row>
    <row r="106158" spans="1:6" x14ac:dyDescent="0.25">
      <c r="A106158"/>
      <c r="B106158"/>
      <c r="C106158"/>
      <c r="E106158"/>
      <c r="F106158"/>
    </row>
    <row r="106159" spans="1:6" x14ac:dyDescent="0.25">
      <c r="A106159"/>
      <c r="B106159"/>
      <c r="C106159"/>
      <c r="E106159"/>
      <c r="F106159"/>
    </row>
    <row r="106160" spans="1:6" x14ac:dyDescent="0.25">
      <c r="A106160"/>
      <c r="B106160"/>
      <c r="C106160"/>
      <c r="E106160"/>
      <c r="F106160"/>
    </row>
    <row r="106161" spans="1:6" x14ac:dyDescent="0.25">
      <c r="A106161"/>
      <c r="B106161"/>
      <c r="C106161"/>
      <c r="E106161"/>
      <c r="F106161"/>
    </row>
    <row r="106162" spans="1:6" x14ac:dyDescent="0.25">
      <c r="A106162"/>
      <c r="B106162"/>
      <c r="C106162"/>
      <c r="E106162"/>
      <c r="F106162"/>
    </row>
    <row r="106163" spans="1:6" x14ac:dyDescent="0.25">
      <c r="A106163"/>
      <c r="B106163"/>
      <c r="C106163"/>
      <c r="E106163"/>
      <c r="F106163"/>
    </row>
    <row r="106164" spans="1:6" x14ac:dyDescent="0.25">
      <c r="A106164"/>
      <c r="B106164"/>
      <c r="C106164"/>
      <c r="E106164"/>
      <c r="F106164"/>
    </row>
    <row r="106165" spans="1:6" x14ac:dyDescent="0.25">
      <c r="A106165"/>
      <c r="B106165"/>
      <c r="C106165"/>
      <c r="E106165"/>
      <c r="F106165"/>
    </row>
    <row r="106166" spans="1:6" x14ac:dyDescent="0.25">
      <c r="A106166"/>
      <c r="B106166"/>
      <c r="C106166"/>
      <c r="E106166"/>
      <c r="F106166"/>
    </row>
    <row r="106167" spans="1:6" x14ac:dyDescent="0.25">
      <c r="A106167"/>
      <c r="B106167"/>
      <c r="C106167"/>
      <c r="E106167"/>
      <c r="F106167"/>
    </row>
    <row r="106168" spans="1:6" x14ac:dyDescent="0.25">
      <c r="A106168"/>
      <c r="B106168"/>
      <c r="C106168"/>
      <c r="E106168"/>
      <c r="F106168"/>
    </row>
    <row r="106169" spans="1:6" x14ac:dyDescent="0.25">
      <c r="A106169"/>
      <c r="B106169"/>
      <c r="C106169"/>
      <c r="E106169"/>
      <c r="F106169"/>
    </row>
    <row r="106170" spans="1:6" x14ac:dyDescent="0.25">
      <c r="A106170"/>
      <c r="B106170"/>
      <c r="C106170"/>
      <c r="E106170"/>
      <c r="F106170"/>
    </row>
    <row r="106171" spans="1:6" x14ac:dyDescent="0.25">
      <c r="A106171"/>
      <c r="B106171"/>
      <c r="C106171"/>
      <c r="E106171"/>
      <c r="F106171"/>
    </row>
    <row r="106172" spans="1:6" x14ac:dyDescent="0.25">
      <c r="A106172"/>
      <c r="B106172"/>
      <c r="C106172"/>
      <c r="E106172"/>
      <c r="F106172"/>
    </row>
    <row r="106173" spans="1:6" x14ac:dyDescent="0.25">
      <c r="A106173"/>
      <c r="B106173"/>
      <c r="C106173"/>
      <c r="E106173"/>
      <c r="F106173"/>
    </row>
    <row r="106174" spans="1:6" x14ac:dyDescent="0.25">
      <c r="A106174"/>
      <c r="B106174"/>
      <c r="C106174"/>
      <c r="E106174"/>
      <c r="F106174"/>
    </row>
    <row r="106175" spans="1:6" x14ac:dyDescent="0.25">
      <c r="A106175"/>
      <c r="B106175"/>
      <c r="C106175"/>
      <c r="E106175"/>
      <c r="F106175"/>
    </row>
    <row r="106176" spans="1:6" x14ac:dyDescent="0.25">
      <c r="A106176"/>
      <c r="B106176"/>
      <c r="C106176"/>
      <c r="E106176"/>
      <c r="F106176"/>
    </row>
    <row r="106177" spans="1:6" x14ac:dyDescent="0.25">
      <c r="A106177"/>
      <c r="B106177"/>
      <c r="C106177"/>
      <c r="E106177"/>
      <c r="F106177"/>
    </row>
    <row r="106178" spans="1:6" x14ac:dyDescent="0.25">
      <c r="A106178"/>
      <c r="B106178"/>
      <c r="C106178"/>
      <c r="E106178"/>
      <c r="F106178"/>
    </row>
    <row r="106179" spans="1:6" x14ac:dyDescent="0.25">
      <c r="A106179"/>
      <c r="B106179"/>
      <c r="C106179"/>
      <c r="E106179"/>
      <c r="F106179"/>
    </row>
    <row r="106180" spans="1:6" x14ac:dyDescent="0.25">
      <c r="A106180"/>
      <c r="B106180"/>
      <c r="C106180"/>
      <c r="E106180"/>
      <c r="F106180"/>
    </row>
    <row r="106181" spans="1:6" x14ac:dyDescent="0.25">
      <c r="A106181"/>
      <c r="B106181"/>
      <c r="C106181"/>
      <c r="E106181"/>
      <c r="F106181"/>
    </row>
    <row r="106182" spans="1:6" x14ac:dyDescent="0.25">
      <c r="A106182"/>
      <c r="B106182"/>
      <c r="C106182"/>
      <c r="E106182"/>
      <c r="F106182"/>
    </row>
    <row r="106183" spans="1:6" x14ac:dyDescent="0.25">
      <c r="A106183"/>
      <c r="B106183"/>
      <c r="C106183"/>
      <c r="E106183"/>
      <c r="F106183"/>
    </row>
    <row r="106184" spans="1:6" x14ac:dyDescent="0.25">
      <c r="A106184"/>
      <c r="B106184"/>
      <c r="C106184"/>
      <c r="E106184"/>
      <c r="F106184"/>
    </row>
    <row r="106185" spans="1:6" x14ac:dyDescent="0.25">
      <c r="A106185"/>
      <c r="B106185"/>
      <c r="C106185"/>
      <c r="E106185"/>
      <c r="F106185"/>
    </row>
    <row r="106186" spans="1:6" x14ac:dyDescent="0.25">
      <c r="A106186"/>
      <c r="B106186"/>
      <c r="C106186"/>
      <c r="E106186"/>
      <c r="F106186"/>
    </row>
    <row r="106187" spans="1:6" x14ac:dyDescent="0.25">
      <c r="A106187"/>
      <c r="B106187"/>
      <c r="C106187"/>
      <c r="E106187"/>
      <c r="F106187"/>
    </row>
    <row r="106188" spans="1:6" x14ac:dyDescent="0.25">
      <c r="A106188"/>
      <c r="B106188"/>
      <c r="C106188"/>
      <c r="E106188"/>
      <c r="F106188"/>
    </row>
    <row r="106189" spans="1:6" x14ac:dyDescent="0.25">
      <c r="A106189"/>
      <c r="B106189"/>
      <c r="C106189"/>
      <c r="E106189"/>
      <c r="F106189"/>
    </row>
    <row r="106190" spans="1:6" x14ac:dyDescent="0.25">
      <c r="A106190"/>
      <c r="B106190"/>
      <c r="C106190"/>
      <c r="E106190"/>
      <c r="F106190"/>
    </row>
    <row r="106191" spans="1:6" x14ac:dyDescent="0.25">
      <c r="A106191"/>
      <c r="B106191"/>
      <c r="C106191"/>
      <c r="E106191"/>
      <c r="F106191"/>
    </row>
    <row r="106192" spans="1:6" x14ac:dyDescent="0.25">
      <c r="A106192"/>
      <c r="B106192"/>
      <c r="C106192"/>
      <c r="E106192"/>
      <c r="F106192"/>
    </row>
    <row r="106193" spans="1:6" x14ac:dyDescent="0.25">
      <c r="A106193"/>
      <c r="B106193"/>
      <c r="C106193"/>
      <c r="E106193"/>
      <c r="F106193"/>
    </row>
    <row r="106194" spans="1:6" x14ac:dyDescent="0.25">
      <c r="A106194"/>
      <c r="B106194"/>
      <c r="C106194"/>
      <c r="E106194"/>
      <c r="F106194"/>
    </row>
    <row r="106195" spans="1:6" x14ac:dyDescent="0.25">
      <c r="A106195"/>
      <c r="B106195"/>
      <c r="C106195"/>
      <c r="E106195"/>
      <c r="F106195"/>
    </row>
    <row r="106196" spans="1:6" x14ac:dyDescent="0.25">
      <c r="A106196"/>
      <c r="B106196"/>
      <c r="C106196"/>
      <c r="E106196"/>
      <c r="F106196"/>
    </row>
    <row r="106197" spans="1:6" x14ac:dyDescent="0.25">
      <c r="A106197"/>
      <c r="B106197"/>
      <c r="C106197"/>
      <c r="E106197"/>
      <c r="F106197"/>
    </row>
    <row r="106198" spans="1:6" x14ac:dyDescent="0.25">
      <c r="A106198"/>
      <c r="B106198"/>
      <c r="C106198"/>
      <c r="E106198"/>
      <c r="F106198"/>
    </row>
    <row r="106199" spans="1:6" x14ac:dyDescent="0.25">
      <c r="A106199"/>
      <c r="B106199"/>
      <c r="C106199"/>
      <c r="E106199"/>
      <c r="F106199"/>
    </row>
    <row r="106200" spans="1:6" x14ac:dyDescent="0.25">
      <c r="A106200"/>
      <c r="B106200"/>
      <c r="C106200"/>
      <c r="E106200"/>
      <c r="F106200"/>
    </row>
    <row r="106201" spans="1:6" x14ac:dyDescent="0.25">
      <c r="A106201"/>
      <c r="B106201"/>
      <c r="C106201"/>
      <c r="E106201"/>
      <c r="F106201"/>
    </row>
    <row r="106202" spans="1:6" x14ac:dyDescent="0.25">
      <c r="A106202"/>
      <c r="B106202"/>
      <c r="C106202"/>
      <c r="E106202"/>
      <c r="F106202"/>
    </row>
    <row r="106203" spans="1:6" x14ac:dyDescent="0.25">
      <c r="A106203"/>
      <c r="B106203"/>
      <c r="C106203"/>
      <c r="E106203"/>
      <c r="F106203"/>
    </row>
    <row r="106204" spans="1:6" x14ac:dyDescent="0.25">
      <c r="A106204"/>
      <c r="B106204"/>
      <c r="C106204"/>
      <c r="E106204"/>
      <c r="F106204"/>
    </row>
    <row r="106205" spans="1:6" x14ac:dyDescent="0.25">
      <c r="A106205"/>
      <c r="B106205"/>
      <c r="C106205"/>
      <c r="E106205"/>
      <c r="F106205"/>
    </row>
    <row r="106206" spans="1:6" x14ac:dyDescent="0.25">
      <c r="A106206"/>
      <c r="B106206"/>
      <c r="C106206"/>
      <c r="E106206"/>
      <c r="F106206"/>
    </row>
    <row r="106207" spans="1:6" x14ac:dyDescent="0.25">
      <c r="A106207"/>
      <c r="B106207"/>
      <c r="C106207"/>
      <c r="E106207"/>
      <c r="F106207"/>
    </row>
    <row r="106208" spans="1:6" x14ac:dyDescent="0.25">
      <c r="A106208"/>
      <c r="B106208"/>
      <c r="C106208"/>
      <c r="E106208"/>
      <c r="F106208"/>
    </row>
    <row r="106209" spans="1:6" x14ac:dyDescent="0.25">
      <c r="A106209"/>
      <c r="B106209"/>
      <c r="C106209"/>
      <c r="E106209"/>
      <c r="F106209"/>
    </row>
    <row r="106210" spans="1:6" x14ac:dyDescent="0.25">
      <c r="A106210"/>
      <c r="B106210"/>
      <c r="C106210"/>
      <c r="E106210"/>
      <c r="F106210"/>
    </row>
    <row r="106211" spans="1:6" x14ac:dyDescent="0.25">
      <c r="A106211"/>
      <c r="B106211"/>
      <c r="C106211"/>
      <c r="E106211"/>
      <c r="F106211"/>
    </row>
    <row r="106212" spans="1:6" x14ac:dyDescent="0.25">
      <c r="A106212"/>
      <c r="B106212"/>
      <c r="C106212"/>
      <c r="E106212"/>
      <c r="F106212"/>
    </row>
    <row r="106213" spans="1:6" x14ac:dyDescent="0.25">
      <c r="A106213"/>
      <c r="B106213"/>
      <c r="C106213"/>
      <c r="E106213"/>
      <c r="F106213"/>
    </row>
    <row r="106214" spans="1:6" x14ac:dyDescent="0.25">
      <c r="A106214"/>
      <c r="B106214"/>
      <c r="C106214"/>
      <c r="E106214"/>
      <c r="F106214"/>
    </row>
    <row r="106215" spans="1:6" x14ac:dyDescent="0.25">
      <c r="A106215"/>
      <c r="B106215"/>
      <c r="C106215"/>
      <c r="E106215"/>
      <c r="F106215"/>
    </row>
    <row r="106216" spans="1:6" x14ac:dyDescent="0.25">
      <c r="A106216"/>
      <c r="B106216"/>
      <c r="C106216"/>
      <c r="E106216"/>
      <c r="F106216"/>
    </row>
    <row r="106217" spans="1:6" x14ac:dyDescent="0.25">
      <c r="A106217"/>
      <c r="B106217"/>
      <c r="C106217"/>
      <c r="E106217"/>
      <c r="F106217"/>
    </row>
    <row r="106218" spans="1:6" x14ac:dyDescent="0.25">
      <c r="A106218"/>
      <c r="B106218"/>
      <c r="C106218"/>
      <c r="E106218"/>
      <c r="F106218"/>
    </row>
    <row r="106219" spans="1:6" x14ac:dyDescent="0.25">
      <c r="A106219"/>
      <c r="B106219"/>
      <c r="C106219"/>
      <c r="E106219"/>
      <c r="F106219"/>
    </row>
    <row r="106220" spans="1:6" x14ac:dyDescent="0.25">
      <c r="A106220"/>
      <c r="B106220"/>
      <c r="C106220"/>
      <c r="E106220"/>
      <c r="F106220"/>
    </row>
    <row r="106221" spans="1:6" x14ac:dyDescent="0.25">
      <c r="A106221"/>
      <c r="B106221"/>
      <c r="C106221"/>
      <c r="E106221"/>
      <c r="F106221"/>
    </row>
    <row r="106222" spans="1:6" x14ac:dyDescent="0.25">
      <c r="A106222"/>
      <c r="B106222"/>
      <c r="C106222"/>
      <c r="E106222"/>
      <c r="F106222"/>
    </row>
    <row r="106223" spans="1:6" x14ac:dyDescent="0.25">
      <c r="A106223"/>
      <c r="B106223"/>
      <c r="C106223"/>
      <c r="E106223"/>
      <c r="F106223"/>
    </row>
    <row r="106224" spans="1:6" x14ac:dyDescent="0.25">
      <c r="A106224"/>
      <c r="B106224"/>
      <c r="C106224"/>
      <c r="E106224"/>
      <c r="F106224"/>
    </row>
    <row r="106225" spans="1:6" x14ac:dyDescent="0.25">
      <c r="A106225"/>
      <c r="B106225"/>
      <c r="C106225"/>
      <c r="E106225"/>
      <c r="F106225"/>
    </row>
    <row r="106226" spans="1:6" x14ac:dyDescent="0.25">
      <c r="A106226"/>
      <c r="B106226"/>
      <c r="C106226"/>
      <c r="E106226"/>
      <c r="F106226"/>
    </row>
    <row r="106227" spans="1:6" x14ac:dyDescent="0.25">
      <c r="A106227"/>
      <c r="B106227"/>
      <c r="C106227"/>
      <c r="E106227"/>
      <c r="F106227"/>
    </row>
    <row r="106228" spans="1:6" x14ac:dyDescent="0.25">
      <c r="A106228"/>
      <c r="B106228"/>
      <c r="C106228"/>
      <c r="E106228"/>
      <c r="F106228"/>
    </row>
    <row r="106229" spans="1:6" x14ac:dyDescent="0.25">
      <c r="A106229"/>
      <c r="B106229"/>
      <c r="C106229"/>
      <c r="E106229"/>
      <c r="F106229"/>
    </row>
    <row r="106230" spans="1:6" x14ac:dyDescent="0.25">
      <c r="A106230"/>
      <c r="B106230"/>
      <c r="C106230"/>
      <c r="E106230"/>
      <c r="F106230"/>
    </row>
    <row r="106231" spans="1:6" x14ac:dyDescent="0.25">
      <c r="A106231"/>
      <c r="B106231"/>
      <c r="C106231"/>
      <c r="E106231"/>
      <c r="F106231"/>
    </row>
    <row r="106232" spans="1:6" x14ac:dyDescent="0.25">
      <c r="A106232"/>
      <c r="B106232"/>
      <c r="C106232"/>
      <c r="E106232"/>
      <c r="F106232"/>
    </row>
    <row r="106233" spans="1:6" x14ac:dyDescent="0.25">
      <c r="A106233"/>
      <c r="B106233"/>
      <c r="C106233"/>
      <c r="E106233"/>
      <c r="F106233"/>
    </row>
    <row r="106234" spans="1:6" x14ac:dyDescent="0.25">
      <c r="A106234"/>
      <c r="B106234"/>
      <c r="C106234"/>
      <c r="E106234"/>
      <c r="F106234"/>
    </row>
    <row r="106235" spans="1:6" x14ac:dyDescent="0.25">
      <c r="A106235"/>
      <c r="B106235"/>
      <c r="C106235"/>
      <c r="E106235"/>
      <c r="F106235"/>
    </row>
    <row r="106236" spans="1:6" x14ac:dyDescent="0.25">
      <c r="A106236"/>
      <c r="B106236"/>
      <c r="C106236"/>
      <c r="E106236"/>
      <c r="F106236"/>
    </row>
    <row r="106237" spans="1:6" x14ac:dyDescent="0.25">
      <c r="A106237"/>
      <c r="B106237"/>
      <c r="C106237"/>
      <c r="E106237"/>
      <c r="F106237"/>
    </row>
    <row r="106238" spans="1:6" x14ac:dyDescent="0.25">
      <c r="A106238"/>
      <c r="B106238"/>
      <c r="C106238"/>
      <c r="E106238"/>
      <c r="F106238"/>
    </row>
    <row r="106239" spans="1:6" x14ac:dyDescent="0.25">
      <c r="A106239"/>
      <c r="B106239"/>
      <c r="C106239"/>
      <c r="E106239"/>
      <c r="F106239"/>
    </row>
    <row r="106240" spans="1:6" x14ac:dyDescent="0.25">
      <c r="A106240"/>
      <c r="B106240"/>
      <c r="C106240"/>
      <c r="E106240"/>
      <c r="F106240"/>
    </row>
    <row r="106241" spans="1:6" x14ac:dyDescent="0.25">
      <c r="A106241"/>
      <c r="B106241"/>
      <c r="C106241"/>
      <c r="E106241"/>
      <c r="F106241"/>
    </row>
    <row r="106242" spans="1:6" x14ac:dyDescent="0.25">
      <c r="A106242"/>
      <c r="B106242"/>
      <c r="C106242"/>
      <c r="E106242"/>
      <c r="F106242"/>
    </row>
    <row r="106243" spans="1:6" x14ac:dyDescent="0.25">
      <c r="A106243"/>
      <c r="B106243"/>
      <c r="C106243"/>
      <c r="E106243"/>
      <c r="F106243"/>
    </row>
    <row r="106244" spans="1:6" x14ac:dyDescent="0.25">
      <c r="A106244"/>
      <c r="B106244"/>
      <c r="C106244"/>
      <c r="E106244"/>
      <c r="F106244"/>
    </row>
    <row r="106245" spans="1:6" x14ac:dyDescent="0.25">
      <c r="A106245"/>
      <c r="B106245"/>
      <c r="C106245"/>
      <c r="E106245"/>
      <c r="F106245"/>
    </row>
    <row r="106246" spans="1:6" x14ac:dyDescent="0.25">
      <c r="A106246"/>
      <c r="B106246"/>
      <c r="C106246"/>
      <c r="E106246"/>
      <c r="F106246"/>
    </row>
    <row r="106247" spans="1:6" x14ac:dyDescent="0.25">
      <c r="A106247"/>
      <c r="B106247"/>
      <c r="C106247"/>
      <c r="E106247"/>
      <c r="F106247"/>
    </row>
    <row r="106248" spans="1:6" x14ac:dyDescent="0.25">
      <c r="A106248"/>
      <c r="B106248"/>
      <c r="C106248"/>
      <c r="E106248"/>
      <c r="F106248"/>
    </row>
    <row r="106249" spans="1:6" x14ac:dyDescent="0.25">
      <c r="A106249"/>
      <c r="B106249"/>
      <c r="C106249"/>
      <c r="E106249"/>
      <c r="F106249"/>
    </row>
    <row r="106250" spans="1:6" x14ac:dyDescent="0.25">
      <c r="A106250"/>
      <c r="B106250"/>
      <c r="C106250"/>
      <c r="E106250"/>
      <c r="F106250"/>
    </row>
    <row r="106251" spans="1:6" x14ac:dyDescent="0.25">
      <c r="A106251"/>
      <c r="B106251"/>
      <c r="C106251"/>
      <c r="E106251"/>
      <c r="F106251"/>
    </row>
    <row r="106252" spans="1:6" x14ac:dyDescent="0.25">
      <c r="A106252"/>
      <c r="B106252"/>
      <c r="C106252"/>
      <c r="E106252"/>
      <c r="F106252"/>
    </row>
    <row r="106253" spans="1:6" x14ac:dyDescent="0.25">
      <c r="A106253"/>
      <c r="B106253"/>
      <c r="C106253"/>
      <c r="E106253"/>
      <c r="F106253"/>
    </row>
    <row r="106254" spans="1:6" x14ac:dyDescent="0.25">
      <c r="A106254"/>
      <c r="B106254"/>
      <c r="C106254"/>
      <c r="E106254"/>
      <c r="F106254"/>
    </row>
    <row r="106255" spans="1:6" x14ac:dyDescent="0.25">
      <c r="A106255"/>
      <c r="B106255"/>
      <c r="C106255"/>
      <c r="E106255"/>
      <c r="F106255"/>
    </row>
    <row r="106256" spans="1:6" x14ac:dyDescent="0.25">
      <c r="A106256"/>
      <c r="B106256"/>
      <c r="C106256"/>
      <c r="E106256"/>
      <c r="F106256"/>
    </row>
    <row r="106257" spans="1:6" x14ac:dyDescent="0.25">
      <c r="A106257"/>
      <c r="B106257"/>
      <c r="C106257"/>
      <c r="E106257"/>
      <c r="F106257"/>
    </row>
    <row r="106258" spans="1:6" x14ac:dyDescent="0.25">
      <c r="A106258"/>
      <c r="B106258"/>
      <c r="C106258"/>
      <c r="E106258"/>
      <c r="F106258"/>
    </row>
    <row r="106259" spans="1:6" x14ac:dyDescent="0.25">
      <c r="A106259"/>
      <c r="B106259"/>
      <c r="C106259"/>
      <c r="E106259"/>
      <c r="F106259"/>
    </row>
    <row r="106260" spans="1:6" x14ac:dyDescent="0.25">
      <c r="A106260"/>
      <c r="B106260"/>
      <c r="C106260"/>
      <c r="E106260"/>
      <c r="F106260"/>
    </row>
    <row r="106261" spans="1:6" x14ac:dyDescent="0.25">
      <c r="A106261"/>
      <c r="B106261"/>
      <c r="C106261"/>
      <c r="E106261"/>
      <c r="F106261"/>
    </row>
    <row r="106262" spans="1:6" x14ac:dyDescent="0.25">
      <c r="A106262"/>
      <c r="B106262"/>
      <c r="C106262"/>
      <c r="E106262"/>
      <c r="F106262"/>
    </row>
    <row r="106263" spans="1:6" x14ac:dyDescent="0.25">
      <c r="A106263"/>
      <c r="B106263"/>
      <c r="C106263"/>
      <c r="E106263"/>
      <c r="F106263"/>
    </row>
    <row r="106264" spans="1:6" x14ac:dyDescent="0.25">
      <c r="A106264"/>
      <c r="B106264"/>
      <c r="C106264"/>
      <c r="E106264"/>
      <c r="F106264"/>
    </row>
    <row r="106265" spans="1:6" x14ac:dyDescent="0.25">
      <c r="A106265"/>
      <c r="B106265"/>
      <c r="C106265"/>
      <c r="E106265"/>
      <c r="F106265"/>
    </row>
    <row r="106266" spans="1:6" x14ac:dyDescent="0.25">
      <c r="A106266"/>
      <c r="B106266"/>
      <c r="C106266"/>
      <c r="E106266"/>
      <c r="F106266"/>
    </row>
    <row r="106267" spans="1:6" x14ac:dyDescent="0.25">
      <c r="A106267"/>
      <c r="B106267"/>
      <c r="C106267"/>
      <c r="E106267"/>
      <c r="F106267"/>
    </row>
    <row r="106268" spans="1:6" x14ac:dyDescent="0.25">
      <c r="A106268"/>
      <c r="B106268"/>
      <c r="C106268"/>
      <c r="E106268"/>
      <c r="F106268"/>
    </row>
    <row r="106269" spans="1:6" x14ac:dyDescent="0.25">
      <c r="A106269"/>
      <c r="B106269"/>
      <c r="C106269"/>
      <c r="E106269"/>
      <c r="F106269"/>
    </row>
    <row r="106270" spans="1:6" x14ac:dyDescent="0.25">
      <c r="A106270"/>
      <c r="B106270"/>
      <c r="C106270"/>
      <c r="E106270"/>
      <c r="F106270"/>
    </row>
    <row r="106271" spans="1:6" x14ac:dyDescent="0.25">
      <c r="A106271"/>
      <c r="B106271"/>
      <c r="C106271"/>
      <c r="E106271"/>
      <c r="F106271"/>
    </row>
    <row r="106272" spans="1:6" x14ac:dyDescent="0.25">
      <c r="A106272"/>
      <c r="B106272"/>
      <c r="C106272"/>
      <c r="E106272"/>
      <c r="F106272"/>
    </row>
    <row r="106273" spans="1:6" x14ac:dyDescent="0.25">
      <c r="A106273"/>
      <c r="B106273"/>
      <c r="C106273"/>
      <c r="E106273"/>
      <c r="F106273"/>
    </row>
    <row r="106274" spans="1:6" x14ac:dyDescent="0.25">
      <c r="A106274"/>
      <c r="B106274"/>
      <c r="C106274"/>
      <c r="E106274"/>
      <c r="F106274"/>
    </row>
    <row r="106275" spans="1:6" x14ac:dyDescent="0.25">
      <c r="A106275"/>
      <c r="B106275"/>
      <c r="C106275"/>
      <c r="E106275"/>
      <c r="F106275"/>
    </row>
    <row r="106276" spans="1:6" x14ac:dyDescent="0.25">
      <c r="A106276"/>
      <c r="B106276"/>
      <c r="C106276"/>
      <c r="E106276"/>
      <c r="F106276"/>
    </row>
    <row r="106277" spans="1:6" x14ac:dyDescent="0.25">
      <c r="A106277"/>
      <c r="B106277"/>
      <c r="C106277"/>
      <c r="E106277"/>
      <c r="F106277"/>
    </row>
    <row r="106278" spans="1:6" x14ac:dyDescent="0.25">
      <c r="A106278"/>
      <c r="B106278"/>
      <c r="C106278"/>
      <c r="E106278"/>
      <c r="F106278"/>
    </row>
    <row r="106279" spans="1:6" x14ac:dyDescent="0.25">
      <c r="A106279"/>
      <c r="B106279"/>
      <c r="C106279"/>
      <c r="E106279"/>
      <c r="F106279"/>
    </row>
    <row r="106280" spans="1:6" x14ac:dyDescent="0.25">
      <c r="A106280"/>
      <c r="B106280"/>
      <c r="C106280"/>
      <c r="E106280"/>
      <c r="F106280"/>
    </row>
    <row r="106281" spans="1:6" x14ac:dyDescent="0.25">
      <c r="A106281"/>
      <c r="B106281"/>
      <c r="C106281"/>
      <c r="E106281"/>
      <c r="F106281"/>
    </row>
    <row r="106282" spans="1:6" x14ac:dyDescent="0.25">
      <c r="A106282"/>
      <c r="B106282"/>
      <c r="C106282"/>
      <c r="E106282"/>
      <c r="F106282"/>
    </row>
    <row r="106283" spans="1:6" x14ac:dyDescent="0.25">
      <c r="A106283"/>
      <c r="B106283"/>
      <c r="C106283"/>
      <c r="E106283"/>
      <c r="F106283"/>
    </row>
    <row r="106284" spans="1:6" x14ac:dyDescent="0.25">
      <c r="A106284"/>
      <c r="B106284"/>
      <c r="C106284"/>
      <c r="E106284"/>
      <c r="F106284"/>
    </row>
    <row r="106285" spans="1:6" x14ac:dyDescent="0.25">
      <c r="A106285"/>
      <c r="B106285"/>
      <c r="C106285"/>
      <c r="E106285"/>
      <c r="F106285"/>
    </row>
    <row r="106286" spans="1:6" x14ac:dyDescent="0.25">
      <c r="A106286"/>
      <c r="B106286"/>
      <c r="C106286"/>
      <c r="E106286"/>
      <c r="F106286"/>
    </row>
    <row r="106287" spans="1:6" x14ac:dyDescent="0.25">
      <c r="A106287"/>
      <c r="B106287"/>
      <c r="C106287"/>
      <c r="E106287"/>
      <c r="F106287"/>
    </row>
    <row r="106288" spans="1:6" x14ac:dyDescent="0.25">
      <c r="A106288"/>
      <c r="B106288"/>
      <c r="C106288"/>
      <c r="E106288"/>
      <c r="F106288"/>
    </row>
    <row r="106289" spans="1:6" x14ac:dyDescent="0.25">
      <c r="A106289"/>
      <c r="B106289"/>
      <c r="C106289"/>
      <c r="E106289"/>
      <c r="F106289"/>
    </row>
    <row r="106290" spans="1:6" x14ac:dyDescent="0.25">
      <c r="A106290"/>
      <c r="B106290"/>
      <c r="C106290"/>
      <c r="E106290"/>
      <c r="F106290"/>
    </row>
    <row r="106291" spans="1:6" x14ac:dyDescent="0.25">
      <c r="A106291"/>
      <c r="B106291"/>
      <c r="C106291"/>
      <c r="E106291"/>
      <c r="F106291"/>
    </row>
    <row r="106292" spans="1:6" x14ac:dyDescent="0.25">
      <c r="A106292"/>
      <c r="B106292"/>
      <c r="C106292"/>
      <c r="E106292"/>
      <c r="F106292"/>
    </row>
    <row r="106293" spans="1:6" x14ac:dyDescent="0.25">
      <c r="A106293"/>
      <c r="B106293"/>
      <c r="C106293"/>
      <c r="E106293"/>
      <c r="F106293"/>
    </row>
    <row r="106294" spans="1:6" x14ac:dyDescent="0.25">
      <c r="A106294"/>
      <c r="B106294"/>
      <c r="C106294"/>
      <c r="E106294"/>
      <c r="F106294"/>
    </row>
    <row r="106295" spans="1:6" x14ac:dyDescent="0.25">
      <c r="A106295"/>
      <c r="B106295"/>
      <c r="C106295"/>
      <c r="E106295"/>
      <c r="F106295"/>
    </row>
    <row r="106296" spans="1:6" x14ac:dyDescent="0.25">
      <c r="A106296"/>
      <c r="B106296"/>
      <c r="C106296"/>
      <c r="E106296"/>
      <c r="F106296"/>
    </row>
    <row r="106297" spans="1:6" x14ac:dyDescent="0.25">
      <c r="A106297"/>
      <c r="B106297"/>
      <c r="C106297"/>
      <c r="E106297"/>
      <c r="F106297"/>
    </row>
    <row r="106298" spans="1:6" x14ac:dyDescent="0.25">
      <c r="A106298"/>
      <c r="B106298"/>
      <c r="C106298"/>
      <c r="E106298"/>
      <c r="F106298"/>
    </row>
    <row r="106299" spans="1:6" x14ac:dyDescent="0.25">
      <c r="A106299"/>
      <c r="B106299"/>
      <c r="C106299"/>
      <c r="E106299"/>
      <c r="F106299"/>
    </row>
    <row r="106300" spans="1:6" x14ac:dyDescent="0.25">
      <c r="A106300"/>
      <c r="B106300"/>
      <c r="C106300"/>
      <c r="E106300"/>
      <c r="F106300"/>
    </row>
    <row r="106301" spans="1:6" x14ac:dyDescent="0.25">
      <c r="A106301"/>
      <c r="B106301"/>
      <c r="C106301"/>
      <c r="E106301"/>
      <c r="F106301"/>
    </row>
    <row r="106302" spans="1:6" x14ac:dyDescent="0.25">
      <c r="A106302"/>
      <c r="B106302"/>
      <c r="C106302"/>
      <c r="E106302"/>
      <c r="F106302"/>
    </row>
    <row r="106303" spans="1:6" x14ac:dyDescent="0.25">
      <c r="A106303"/>
      <c r="B106303"/>
      <c r="C106303"/>
      <c r="E106303"/>
      <c r="F106303"/>
    </row>
    <row r="106304" spans="1:6" x14ac:dyDescent="0.25">
      <c r="A106304"/>
      <c r="B106304"/>
      <c r="C106304"/>
      <c r="E106304"/>
      <c r="F106304"/>
    </row>
    <row r="106305" spans="1:6" x14ac:dyDescent="0.25">
      <c r="A106305"/>
      <c r="B106305"/>
      <c r="C106305"/>
      <c r="E106305"/>
      <c r="F106305"/>
    </row>
    <row r="106306" spans="1:6" x14ac:dyDescent="0.25">
      <c r="A106306"/>
      <c r="B106306"/>
      <c r="C106306"/>
      <c r="E106306"/>
      <c r="F106306"/>
    </row>
    <row r="106307" spans="1:6" x14ac:dyDescent="0.25">
      <c r="A106307"/>
      <c r="B106307"/>
      <c r="C106307"/>
      <c r="E106307"/>
      <c r="F106307"/>
    </row>
    <row r="106308" spans="1:6" x14ac:dyDescent="0.25">
      <c r="A106308"/>
      <c r="B106308"/>
      <c r="C106308"/>
      <c r="E106308"/>
      <c r="F106308"/>
    </row>
    <row r="106309" spans="1:6" x14ac:dyDescent="0.25">
      <c r="A106309"/>
      <c r="B106309"/>
      <c r="C106309"/>
      <c r="E106309"/>
      <c r="F106309"/>
    </row>
    <row r="106310" spans="1:6" x14ac:dyDescent="0.25">
      <c r="A106310"/>
      <c r="B106310"/>
      <c r="C106310"/>
      <c r="E106310"/>
      <c r="F106310"/>
    </row>
    <row r="106311" spans="1:6" x14ac:dyDescent="0.25">
      <c r="A106311"/>
      <c r="B106311"/>
      <c r="C106311"/>
      <c r="E106311"/>
      <c r="F106311"/>
    </row>
    <row r="106312" spans="1:6" x14ac:dyDescent="0.25">
      <c r="A106312"/>
      <c r="B106312"/>
      <c r="C106312"/>
      <c r="E106312"/>
      <c r="F106312"/>
    </row>
    <row r="106313" spans="1:6" x14ac:dyDescent="0.25">
      <c r="A106313"/>
      <c r="B106313"/>
      <c r="C106313"/>
      <c r="E106313"/>
      <c r="F106313"/>
    </row>
    <row r="106314" spans="1:6" x14ac:dyDescent="0.25">
      <c r="A106314"/>
      <c r="B106314"/>
      <c r="C106314"/>
      <c r="E106314"/>
      <c r="F106314"/>
    </row>
    <row r="106315" spans="1:6" x14ac:dyDescent="0.25">
      <c r="A106315"/>
      <c r="B106315"/>
      <c r="C106315"/>
      <c r="E106315"/>
      <c r="F106315"/>
    </row>
    <row r="106316" spans="1:6" x14ac:dyDescent="0.25">
      <c r="A106316"/>
      <c r="B106316"/>
      <c r="C106316"/>
      <c r="E106316"/>
      <c r="F106316"/>
    </row>
    <row r="106317" spans="1:6" x14ac:dyDescent="0.25">
      <c r="A106317"/>
      <c r="B106317"/>
      <c r="C106317"/>
      <c r="E106317"/>
      <c r="F106317"/>
    </row>
    <row r="106318" spans="1:6" x14ac:dyDescent="0.25">
      <c r="A106318"/>
      <c r="B106318"/>
      <c r="C106318"/>
      <c r="E106318"/>
      <c r="F106318"/>
    </row>
    <row r="106319" spans="1:6" x14ac:dyDescent="0.25">
      <c r="A106319"/>
      <c r="B106319"/>
      <c r="C106319"/>
      <c r="E106319"/>
      <c r="F106319"/>
    </row>
    <row r="106320" spans="1:6" x14ac:dyDescent="0.25">
      <c r="A106320"/>
      <c r="B106320"/>
      <c r="C106320"/>
      <c r="E106320"/>
      <c r="F106320"/>
    </row>
    <row r="106321" spans="1:6" x14ac:dyDescent="0.25">
      <c r="A106321"/>
      <c r="B106321"/>
      <c r="C106321"/>
      <c r="E106321"/>
      <c r="F106321"/>
    </row>
    <row r="106322" spans="1:6" x14ac:dyDescent="0.25">
      <c r="A106322"/>
      <c r="B106322"/>
      <c r="C106322"/>
      <c r="E106322"/>
      <c r="F106322"/>
    </row>
    <row r="106323" spans="1:6" x14ac:dyDescent="0.25">
      <c r="A106323"/>
      <c r="B106323"/>
      <c r="C106323"/>
      <c r="E106323"/>
      <c r="F106323"/>
    </row>
    <row r="106324" spans="1:6" x14ac:dyDescent="0.25">
      <c r="A106324"/>
      <c r="B106324"/>
      <c r="C106324"/>
      <c r="E106324"/>
      <c r="F106324"/>
    </row>
    <row r="106325" spans="1:6" x14ac:dyDescent="0.25">
      <c r="A106325"/>
      <c r="B106325"/>
      <c r="C106325"/>
      <c r="E106325"/>
      <c r="F106325"/>
    </row>
    <row r="106326" spans="1:6" x14ac:dyDescent="0.25">
      <c r="A106326"/>
      <c r="B106326"/>
      <c r="C106326"/>
      <c r="E106326"/>
      <c r="F106326"/>
    </row>
    <row r="106327" spans="1:6" x14ac:dyDescent="0.25">
      <c r="A106327"/>
      <c r="B106327"/>
      <c r="C106327"/>
      <c r="E106327"/>
      <c r="F106327"/>
    </row>
    <row r="106328" spans="1:6" x14ac:dyDescent="0.25">
      <c r="A106328"/>
      <c r="B106328"/>
      <c r="C106328"/>
      <c r="E106328"/>
      <c r="F106328"/>
    </row>
    <row r="106329" spans="1:6" x14ac:dyDescent="0.25">
      <c r="A106329"/>
      <c r="B106329"/>
      <c r="C106329"/>
      <c r="E106329"/>
      <c r="F106329"/>
    </row>
    <row r="106330" spans="1:6" x14ac:dyDescent="0.25">
      <c r="A106330"/>
      <c r="B106330"/>
      <c r="C106330"/>
      <c r="E106330"/>
      <c r="F106330"/>
    </row>
    <row r="106331" spans="1:6" x14ac:dyDescent="0.25">
      <c r="A106331"/>
      <c r="B106331"/>
      <c r="C106331"/>
      <c r="E106331"/>
      <c r="F106331"/>
    </row>
    <row r="106332" spans="1:6" x14ac:dyDescent="0.25">
      <c r="A106332"/>
      <c r="B106332"/>
      <c r="C106332"/>
      <c r="E106332"/>
      <c r="F106332"/>
    </row>
    <row r="106333" spans="1:6" x14ac:dyDescent="0.25">
      <c r="A106333"/>
      <c r="B106333"/>
      <c r="C106333"/>
      <c r="E106333"/>
      <c r="F106333"/>
    </row>
    <row r="106334" spans="1:6" x14ac:dyDescent="0.25">
      <c r="A106334"/>
      <c r="B106334"/>
      <c r="C106334"/>
      <c r="E106334"/>
      <c r="F106334"/>
    </row>
    <row r="106335" spans="1:6" x14ac:dyDescent="0.25">
      <c r="A106335"/>
      <c r="B106335"/>
      <c r="C106335"/>
      <c r="E106335"/>
      <c r="F106335"/>
    </row>
    <row r="106336" spans="1:6" x14ac:dyDescent="0.25">
      <c r="A106336"/>
      <c r="B106336"/>
      <c r="C106336"/>
      <c r="E106336"/>
      <c r="F106336"/>
    </row>
    <row r="106337" spans="1:6" x14ac:dyDescent="0.25">
      <c r="A106337"/>
      <c r="B106337"/>
      <c r="C106337"/>
      <c r="E106337"/>
      <c r="F106337"/>
    </row>
    <row r="106338" spans="1:6" x14ac:dyDescent="0.25">
      <c r="A106338"/>
      <c r="B106338"/>
      <c r="C106338"/>
      <c r="E106338"/>
      <c r="F106338"/>
    </row>
    <row r="106339" spans="1:6" x14ac:dyDescent="0.25">
      <c r="A106339"/>
      <c r="B106339"/>
      <c r="C106339"/>
      <c r="E106339"/>
      <c r="F106339"/>
    </row>
    <row r="106340" spans="1:6" x14ac:dyDescent="0.25">
      <c r="A106340"/>
      <c r="B106340"/>
      <c r="C106340"/>
      <c r="E106340"/>
      <c r="F106340"/>
    </row>
    <row r="106341" spans="1:6" x14ac:dyDescent="0.25">
      <c r="A106341"/>
      <c r="B106341"/>
      <c r="C106341"/>
      <c r="E106341"/>
      <c r="F106341"/>
    </row>
    <row r="106342" spans="1:6" x14ac:dyDescent="0.25">
      <c r="A106342"/>
      <c r="B106342"/>
      <c r="C106342"/>
      <c r="E106342"/>
      <c r="F106342"/>
    </row>
    <row r="106343" spans="1:6" x14ac:dyDescent="0.25">
      <c r="A106343"/>
      <c r="B106343"/>
      <c r="C106343"/>
      <c r="E106343"/>
      <c r="F106343"/>
    </row>
    <row r="106344" spans="1:6" x14ac:dyDescent="0.25">
      <c r="A106344"/>
      <c r="B106344"/>
      <c r="C106344"/>
      <c r="E106344"/>
      <c r="F106344"/>
    </row>
    <row r="106345" spans="1:6" x14ac:dyDescent="0.25">
      <c r="A106345"/>
      <c r="B106345"/>
      <c r="C106345"/>
      <c r="E106345"/>
      <c r="F106345"/>
    </row>
    <row r="106346" spans="1:6" x14ac:dyDescent="0.25">
      <c r="A106346"/>
      <c r="B106346"/>
      <c r="C106346"/>
      <c r="E106346"/>
      <c r="F106346"/>
    </row>
    <row r="106347" spans="1:6" x14ac:dyDescent="0.25">
      <c r="A106347"/>
      <c r="B106347"/>
      <c r="C106347"/>
      <c r="E106347"/>
      <c r="F106347"/>
    </row>
    <row r="106348" spans="1:6" x14ac:dyDescent="0.25">
      <c r="A106348"/>
      <c r="B106348"/>
      <c r="C106348"/>
      <c r="E106348"/>
      <c r="F106348"/>
    </row>
    <row r="106349" spans="1:6" x14ac:dyDescent="0.25">
      <c r="A106349"/>
      <c r="B106349"/>
      <c r="C106349"/>
      <c r="E106349"/>
      <c r="F106349"/>
    </row>
    <row r="106350" spans="1:6" x14ac:dyDescent="0.25">
      <c r="A106350"/>
      <c r="B106350"/>
      <c r="C106350"/>
      <c r="E106350"/>
      <c r="F106350"/>
    </row>
    <row r="106351" spans="1:6" x14ac:dyDescent="0.25">
      <c r="A106351"/>
      <c r="B106351"/>
      <c r="C106351"/>
      <c r="E106351"/>
      <c r="F106351"/>
    </row>
    <row r="106352" spans="1:6" x14ac:dyDescent="0.25">
      <c r="A106352"/>
      <c r="B106352"/>
      <c r="C106352"/>
      <c r="E106352"/>
      <c r="F106352"/>
    </row>
    <row r="106353" spans="1:6" x14ac:dyDescent="0.25">
      <c r="A106353"/>
      <c r="B106353"/>
      <c r="C106353"/>
      <c r="E106353"/>
      <c r="F106353"/>
    </row>
    <row r="106354" spans="1:6" x14ac:dyDescent="0.25">
      <c r="A106354"/>
      <c r="B106354"/>
      <c r="C106354"/>
      <c r="E106354"/>
      <c r="F106354"/>
    </row>
    <row r="106355" spans="1:6" x14ac:dyDescent="0.25">
      <c r="A106355"/>
      <c r="B106355"/>
      <c r="C106355"/>
      <c r="E106355"/>
      <c r="F106355"/>
    </row>
    <row r="106356" spans="1:6" x14ac:dyDescent="0.25">
      <c r="A106356"/>
      <c r="B106356"/>
      <c r="C106356"/>
      <c r="E106356"/>
      <c r="F106356"/>
    </row>
    <row r="106357" spans="1:6" x14ac:dyDescent="0.25">
      <c r="A106357"/>
      <c r="B106357"/>
      <c r="C106357"/>
      <c r="E106357"/>
      <c r="F106357"/>
    </row>
    <row r="106358" spans="1:6" x14ac:dyDescent="0.25">
      <c r="A106358"/>
      <c r="B106358"/>
      <c r="C106358"/>
      <c r="E106358"/>
      <c r="F106358"/>
    </row>
    <row r="106359" spans="1:6" x14ac:dyDescent="0.25">
      <c r="A106359"/>
      <c r="B106359"/>
      <c r="C106359"/>
      <c r="E106359"/>
      <c r="F106359"/>
    </row>
    <row r="106360" spans="1:6" x14ac:dyDescent="0.25">
      <c r="A106360"/>
      <c r="B106360"/>
      <c r="C106360"/>
      <c r="E106360"/>
      <c r="F106360"/>
    </row>
    <row r="106361" spans="1:6" x14ac:dyDescent="0.25">
      <c r="A106361"/>
      <c r="B106361"/>
      <c r="C106361"/>
      <c r="E106361"/>
      <c r="F106361"/>
    </row>
    <row r="106362" spans="1:6" x14ac:dyDescent="0.25">
      <c r="A106362"/>
      <c r="B106362"/>
      <c r="C106362"/>
      <c r="E106362"/>
      <c r="F106362"/>
    </row>
    <row r="106363" spans="1:6" x14ac:dyDescent="0.25">
      <c r="A106363"/>
      <c r="B106363"/>
      <c r="C106363"/>
      <c r="E106363"/>
      <c r="F106363"/>
    </row>
    <row r="106364" spans="1:6" x14ac:dyDescent="0.25">
      <c r="A106364"/>
      <c r="B106364"/>
      <c r="C106364"/>
      <c r="E106364"/>
      <c r="F106364"/>
    </row>
    <row r="106365" spans="1:6" x14ac:dyDescent="0.25">
      <c r="A106365"/>
      <c r="B106365"/>
      <c r="C106365"/>
      <c r="E106365"/>
      <c r="F106365"/>
    </row>
    <row r="106366" spans="1:6" x14ac:dyDescent="0.25">
      <c r="A106366"/>
      <c r="B106366"/>
      <c r="C106366"/>
      <c r="E106366"/>
      <c r="F106366"/>
    </row>
    <row r="106367" spans="1:6" x14ac:dyDescent="0.25">
      <c r="A106367"/>
      <c r="B106367"/>
      <c r="C106367"/>
      <c r="E106367"/>
      <c r="F106367"/>
    </row>
    <row r="106368" spans="1:6" x14ac:dyDescent="0.25">
      <c r="A106368"/>
      <c r="B106368"/>
      <c r="C106368"/>
      <c r="E106368"/>
      <c r="F106368"/>
    </row>
    <row r="106369" spans="1:6" x14ac:dyDescent="0.25">
      <c r="A106369"/>
      <c r="B106369"/>
      <c r="C106369"/>
      <c r="E106369"/>
      <c r="F106369"/>
    </row>
    <row r="106370" spans="1:6" x14ac:dyDescent="0.25">
      <c r="A106370"/>
      <c r="B106370"/>
      <c r="C106370"/>
      <c r="E106370"/>
      <c r="F106370"/>
    </row>
    <row r="106371" spans="1:6" x14ac:dyDescent="0.25">
      <c r="A106371"/>
      <c r="B106371"/>
      <c r="C106371"/>
      <c r="E106371"/>
      <c r="F106371"/>
    </row>
    <row r="106372" spans="1:6" x14ac:dyDescent="0.25">
      <c r="A106372"/>
      <c r="B106372"/>
      <c r="C106372"/>
      <c r="E106372"/>
      <c r="F106372"/>
    </row>
    <row r="106373" spans="1:6" x14ac:dyDescent="0.25">
      <c r="A106373"/>
      <c r="B106373"/>
      <c r="C106373"/>
      <c r="E106373"/>
      <c r="F106373"/>
    </row>
    <row r="106374" spans="1:6" x14ac:dyDescent="0.25">
      <c r="A106374"/>
      <c r="B106374"/>
      <c r="C106374"/>
      <c r="E106374"/>
      <c r="F106374"/>
    </row>
    <row r="106375" spans="1:6" x14ac:dyDescent="0.25">
      <c r="A106375"/>
      <c r="B106375"/>
      <c r="C106375"/>
      <c r="E106375"/>
      <c r="F106375"/>
    </row>
    <row r="106376" spans="1:6" x14ac:dyDescent="0.25">
      <c r="A106376"/>
      <c r="B106376"/>
      <c r="C106376"/>
      <c r="E106376"/>
      <c r="F106376"/>
    </row>
    <row r="106377" spans="1:6" x14ac:dyDescent="0.25">
      <c r="A106377"/>
      <c r="B106377"/>
      <c r="C106377"/>
      <c r="E106377"/>
      <c r="F106377"/>
    </row>
    <row r="106378" spans="1:6" x14ac:dyDescent="0.25">
      <c r="A106378"/>
      <c r="B106378"/>
      <c r="C106378"/>
      <c r="E106378"/>
      <c r="F106378"/>
    </row>
    <row r="106379" spans="1:6" x14ac:dyDescent="0.25">
      <c r="A106379"/>
      <c r="B106379"/>
      <c r="C106379"/>
      <c r="E106379"/>
      <c r="F106379"/>
    </row>
    <row r="106380" spans="1:6" x14ac:dyDescent="0.25">
      <c r="A106380"/>
      <c r="B106380"/>
      <c r="C106380"/>
      <c r="E106380"/>
      <c r="F106380"/>
    </row>
    <row r="106381" spans="1:6" x14ac:dyDescent="0.25">
      <c r="A106381"/>
      <c r="B106381"/>
      <c r="C106381"/>
      <c r="E106381"/>
      <c r="F106381"/>
    </row>
    <row r="106382" spans="1:6" x14ac:dyDescent="0.25">
      <c r="A106382"/>
      <c r="B106382"/>
      <c r="C106382"/>
      <c r="E106382"/>
      <c r="F106382"/>
    </row>
    <row r="106383" spans="1:6" x14ac:dyDescent="0.25">
      <c r="A106383"/>
      <c r="B106383"/>
      <c r="C106383"/>
      <c r="E106383"/>
      <c r="F106383"/>
    </row>
    <row r="106384" spans="1:6" x14ac:dyDescent="0.25">
      <c r="A106384"/>
      <c r="B106384"/>
      <c r="C106384"/>
      <c r="E106384"/>
      <c r="F106384"/>
    </row>
    <row r="106385" spans="1:6" x14ac:dyDescent="0.25">
      <c r="A106385"/>
      <c r="B106385"/>
      <c r="C106385"/>
      <c r="E106385"/>
      <c r="F106385"/>
    </row>
    <row r="106386" spans="1:6" x14ac:dyDescent="0.25">
      <c r="A106386"/>
      <c r="B106386"/>
      <c r="C106386"/>
      <c r="E106386"/>
      <c r="F106386"/>
    </row>
    <row r="106387" spans="1:6" x14ac:dyDescent="0.25">
      <c r="A106387"/>
      <c r="B106387"/>
      <c r="C106387"/>
      <c r="E106387"/>
      <c r="F106387"/>
    </row>
    <row r="106388" spans="1:6" x14ac:dyDescent="0.25">
      <c r="A106388"/>
      <c r="B106388"/>
      <c r="C106388"/>
      <c r="E106388"/>
      <c r="F106388"/>
    </row>
    <row r="106389" spans="1:6" x14ac:dyDescent="0.25">
      <c r="A106389"/>
      <c r="B106389"/>
      <c r="C106389"/>
      <c r="E106389"/>
      <c r="F106389"/>
    </row>
    <row r="106390" spans="1:6" x14ac:dyDescent="0.25">
      <c r="A106390"/>
      <c r="B106390"/>
      <c r="C106390"/>
      <c r="E106390"/>
      <c r="F106390"/>
    </row>
    <row r="106391" spans="1:6" x14ac:dyDescent="0.25">
      <c r="A106391"/>
      <c r="B106391"/>
      <c r="C106391"/>
      <c r="E106391"/>
      <c r="F106391"/>
    </row>
    <row r="106392" spans="1:6" x14ac:dyDescent="0.25">
      <c r="A106392"/>
      <c r="B106392"/>
      <c r="C106392"/>
      <c r="E106392"/>
      <c r="F106392"/>
    </row>
    <row r="106393" spans="1:6" x14ac:dyDescent="0.25">
      <c r="A106393"/>
      <c r="B106393"/>
      <c r="C106393"/>
      <c r="E106393"/>
      <c r="F106393"/>
    </row>
    <row r="106394" spans="1:6" x14ac:dyDescent="0.25">
      <c r="A106394"/>
      <c r="B106394"/>
      <c r="C106394"/>
      <c r="E106394"/>
      <c r="F106394"/>
    </row>
    <row r="106395" spans="1:6" x14ac:dyDescent="0.25">
      <c r="A106395"/>
      <c r="B106395"/>
      <c r="C106395"/>
      <c r="E106395"/>
      <c r="F106395"/>
    </row>
    <row r="106396" spans="1:6" x14ac:dyDescent="0.25">
      <c r="A106396"/>
      <c r="B106396"/>
      <c r="C106396"/>
      <c r="E106396"/>
      <c r="F106396"/>
    </row>
    <row r="106397" spans="1:6" x14ac:dyDescent="0.25">
      <c r="A106397"/>
      <c r="B106397"/>
      <c r="C106397"/>
      <c r="E106397"/>
      <c r="F106397"/>
    </row>
    <row r="106398" spans="1:6" x14ac:dyDescent="0.25">
      <c r="A106398"/>
      <c r="B106398"/>
      <c r="C106398"/>
      <c r="E106398"/>
      <c r="F106398"/>
    </row>
    <row r="106399" spans="1:6" x14ac:dyDescent="0.25">
      <c r="A106399"/>
      <c r="B106399"/>
      <c r="C106399"/>
      <c r="E106399"/>
      <c r="F106399"/>
    </row>
    <row r="106400" spans="1:6" x14ac:dyDescent="0.25">
      <c r="A106400"/>
      <c r="B106400"/>
      <c r="C106400"/>
      <c r="E106400"/>
      <c r="F106400"/>
    </row>
    <row r="106401" spans="1:6" x14ac:dyDescent="0.25">
      <c r="A106401"/>
      <c r="B106401"/>
      <c r="C106401"/>
      <c r="E106401"/>
      <c r="F106401"/>
    </row>
    <row r="106402" spans="1:6" x14ac:dyDescent="0.25">
      <c r="A106402"/>
      <c r="B106402"/>
      <c r="C106402"/>
      <c r="E106402"/>
      <c r="F106402"/>
    </row>
    <row r="106403" spans="1:6" x14ac:dyDescent="0.25">
      <c r="A106403"/>
      <c r="B106403"/>
      <c r="C106403"/>
      <c r="E106403"/>
      <c r="F106403"/>
    </row>
    <row r="106404" spans="1:6" x14ac:dyDescent="0.25">
      <c r="A106404"/>
      <c r="B106404"/>
      <c r="C106404"/>
      <c r="E106404"/>
      <c r="F106404"/>
    </row>
    <row r="106405" spans="1:6" x14ac:dyDescent="0.25">
      <c r="A106405"/>
      <c r="B106405"/>
      <c r="C106405"/>
      <c r="E106405"/>
      <c r="F106405"/>
    </row>
    <row r="106406" spans="1:6" x14ac:dyDescent="0.25">
      <c r="A106406"/>
      <c r="B106406"/>
      <c r="C106406"/>
      <c r="E106406"/>
      <c r="F106406"/>
    </row>
    <row r="106407" spans="1:6" x14ac:dyDescent="0.25">
      <c r="A106407"/>
      <c r="B106407"/>
      <c r="C106407"/>
      <c r="E106407"/>
      <c r="F106407"/>
    </row>
    <row r="106408" spans="1:6" x14ac:dyDescent="0.25">
      <c r="A106408"/>
      <c r="B106408"/>
      <c r="C106408"/>
      <c r="E106408"/>
      <c r="F106408"/>
    </row>
    <row r="106409" spans="1:6" x14ac:dyDescent="0.25">
      <c r="A106409"/>
      <c r="B106409"/>
      <c r="C106409"/>
      <c r="E106409"/>
      <c r="F106409"/>
    </row>
    <row r="106410" spans="1:6" x14ac:dyDescent="0.25">
      <c r="A106410"/>
      <c r="B106410"/>
      <c r="C106410"/>
      <c r="E106410"/>
      <c r="F106410"/>
    </row>
    <row r="106411" spans="1:6" x14ac:dyDescent="0.25">
      <c r="A106411"/>
      <c r="B106411"/>
      <c r="C106411"/>
      <c r="E106411"/>
      <c r="F106411"/>
    </row>
    <row r="106412" spans="1:6" x14ac:dyDescent="0.25">
      <c r="A106412"/>
      <c r="B106412"/>
      <c r="C106412"/>
      <c r="E106412"/>
      <c r="F106412"/>
    </row>
    <row r="106413" spans="1:6" x14ac:dyDescent="0.25">
      <c r="A106413"/>
      <c r="B106413"/>
      <c r="C106413"/>
      <c r="E106413"/>
      <c r="F106413"/>
    </row>
    <row r="106414" spans="1:6" x14ac:dyDescent="0.25">
      <c r="A106414"/>
      <c r="B106414"/>
      <c r="C106414"/>
      <c r="E106414"/>
      <c r="F106414"/>
    </row>
    <row r="106415" spans="1:6" x14ac:dyDescent="0.25">
      <c r="A106415"/>
      <c r="B106415"/>
      <c r="C106415"/>
      <c r="E106415"/>
      <c r="F106415"/>
    </row>
    <row r="106416" spans="1:6" x14ac:dyDescent="0.25">
      <c r="A106416"/>
      <c r="B106416"/>
      <c r="C106416"/>
      <c r="E106416"/>
      <c r="F106416"/>
    </row>
    <row r="106417" spans="1:6" x14ac:dyDescent="0.25">
      <c r="A106417"/>
      <c r="B106417"/>
      <c r="C106417"/>
      <c r="E106417"/>
      <c r="F106417"/>
    </row>
    <row r="106418" spans="1:6" x14ac:dyDescent="0.25">
      <c r="A106418"/>
      <c r="B106418"/>
      <c r="C106418"/>
      <c r="E106418"/>
      <c r="F106418"/>
    </row>
    <row r="106419" spans="1:6" x14ac:dyDescent="0.25">
      <c r="A106419"/>
      <c r="B106419"/>
      <c r="C106419"/>
      <c r="E106419"/>
      <c r="F106419"/>
    </row>
    <row r="106420" spans="1:6" x14ac:dyDescent="0.25">
      <c r="A106420"/>
      <c r="B106420"/>
      <c r="C106420"/>
      <c r="E106420"/>
      <c r="F106420"/>
    </row>
    <row r="106421" spans="1:6" x14ac:dyDescent="0.25">
      <c r="A106421"/>
      <c r="B106421"/>
      <c r="C106421"/>
      <c r="E106421"/>
      <c r="F106421"/>
    </row>
    <row r="106422" spans="1:6" x14ac:dyDescent="0.25">
      <c r="A106422"/>
      <c r="B106422"/>
      <c r="C106422"/>
      <c r="E106422"/>
      <c r="F106422"/>
    </row>
    <row r="106423" spans="1:6" x14ac:dyDescent="0.25">
      <c r="A106423"/>
      <c r="B106423"/>
      <c r="C106423"/>
      <c r="E106423"/>
      <c r="F106423"/>
    </row>
    <row r="106424" spans="1:6" x14ac:dyDescent="0.25">
      <c r="A106424"/>
      <c r="B106424"/>
      <c r="C106424"/>
      <c r="E106424"/>
      <c r="F106424"/>
    </row>
    <row r="106425" spans="1:6" x14ac:dyDescent="0.25">
      <c r="A106425"/>
      <c r="B106425"/>
      <c r="C106425"/>
      <c r="E106425"/>
      <c r="F106425"/>
    </row>
    <row r="106426" spans="1:6" x14ac:dyDescent="0.25">
      <c r="A106426"/>
      <c r="B106426"/>
      <c r="C106426"/>
      <c r="E106426"/>
      <c r="F106426"/>
    </row>
    <row r="106427" spans="1:6" x14ac:dyDescent="0.25">
      <c r="A106427"/>
      <c r="B106427"/>
      <c r="C106427"/>
      <c r="E106427"/>
      <c r="F106427"/>
    </row>
    <row r="106428" spans="1:6" x14ac:dyDescent="0.25">
      <c r="A106428"/>
      <c r="B106428"/>
      <c r="C106428"/>
      <c r="E106428"/>
      <c r="F106428"/>
    </row>
    <row r="106429" spans="1:6" x14ac:dyDescent="0.25">
      <c r="A106429"/>
      <c r="B106429"/>
      <c r="C106429"/>
      <c r="E106429"/>
      <c r="F106429"/>
    </row>
    <row r="106430" spans="1:6" x14ac:dyDescent="0.25">
      <c r="A106430"/>
      <c r="B106430"/>
      <c r="C106430"/>
      <c r="E106430"/>
      <c r="F106430"/>
    </row>
    <row r="106431" spans="1:6" x14ac:dyDescent="0.25">
      <c r="A106431"/>
      <c r="B106431"/>
      <c r="C106431"/>
      <c r="E106431"/>
      <c r="F106431"/>
    </row>
    <row r="106432" spans="1:6" x14ac:dyDescent="0.25">
      <c r="A106432"/>
      <c r="B106432"/>
      <c r="C106432"/>
      <c r="E106432"/>
      <c r="F106432"/>
    </row>
    <row r="106433" spans="1:6" x14ac:dyDescent="0.25">
      <c r="A106433"/>
      <c r="B106433"/>
      <c r="C106433"/>
      <c r="E106433"/>
      <c r="F106433"/>
    </row>
    <row r="106434" spans="1:6" x14ac:dyDescent="0.25">
      <c r="A106434"/>
      <c r="B106434"/>
      <c r="C106434"/>
      <c r="E106434"/>
      <c r="F106434"/>
    </row>
    <row r="106435" spans="1:6" x14ac:dyDescent="0.25">
      <c r="A106435"/>
      <c r="B106435"/>
      <c r="C106435"/>
      <c r="E106435"/>
      <c r="F106435"/>
    </row>
    <row r="106436" spans="1:6" x14ac:dyDescent="0.25">
      <c r="A106436"/>
      <c r="B106436"/>
      <c r="C106436"/>
      <c r="E106436"/>
      <c r="F106436"/>
    </row>
    <row r="106437" spans="1:6" x14ac:dyDescent="0.25">
      <c r="A106437"/>
      <c r="B106437"/>
      <c r="C106437"/>
      <c r="E106437"/>
      <c r="F106437"/>
    </row>
    <row r="106438" spans="1:6" x14ac:dyDescent="0.25">
      <c r="A106438"/>
      <c r="B106438"/>
      <c r="C106438"/>
      <c r="E106438"/>
      <c r="F106438"/>
    </row>
    <row r="106439" spans="1:6" x14ac:dyDescent="0.25">
      <c r="A106439"/>
      <c r="B106439"/>
      <c r="C106439"/>
      <c r="E106439"/>
      <c r="F106439"/>
    </row>
    <row r="106440" spans="1:6" x14ac:dyDescent="0.25">
      <c r="A106440"/>
      <c r="B106440"/>
      <c r="C106440"/>
      <c r="E106440"/>
      <c r="F106440"/>
    </row>
    <row r="106441" spans="1:6" x14ac:dyDescent="0.25">
      <c r="A106441"/>
      <c r="B106441"/>
      <c r="C106441"/>
      <c r="E106441"/>
      <c r="F106441"/>
    </row>
    <row r="106442" spans="1:6" x14ac:dyDescent="0.25">
      <c r="A106442"/>
      <c r="B106442"/>
      <c r="C106442"/>
      <c r="E106442"/>
      <c r="F106442"/>
    </row>
    <row r="106443" spans="1:6" x14ac:dyDescent="0.25">
      <c r="A106443"/>
      <c r="B106443"/>
      <c r="C106443"/>
      <c r="E106443"/>
      <c r="F106443"/>
    </row>
    <row r="106444" spans="1:6" x14ac:dyDescent="0.25">
      <c r="A106444"/>
      <c r="B106444"/>
      <c r="C106444"/>
      <c r="E106444"/>
      <c r="F106444"/>
    </row>
    <row r="106445" spans="1:6" x14ac:dyDescent="0.25">
      <c r="A106445"/>
      <c r="B106445"/>
      <c r="C106445"/>
      <c r="E106445"/>
      <c r="F106445"/>
    </row>
    <row r="106446" spans="1:6" x14ac:dyDescent="0.25">
      <c r="A106446"/>
      <c r="B106446"/>
      <c r="C106446"/>
      <c r="E106446"/>
      <c r="F106446"/>
    </row>
    <row r="106447" spans="1:6" x14ac:dyDescent="0.25">
      <c r="A106447"/>
      <c r="B106447"/>
      <c r="C106447"/>
      <c r="E106447"/>
      <c r="F106447"/>
    </row>
    <row r="106448" spans="1:6" x14ac:dyDescent="0.25">
      <c r="A106448"/>
      <c r="B106448"/>
      <c r="C106448"/>
      <c r="E106448"/>
      <c r="F106448"/>
    </row>
    <row r="106449" spans="1:6" x14ac:dyDescent="0.25">
      <c r="A106449"/>
      <c r="B106449"/>
      <c r="C106449"/>
      <c r="E106449"/>
      <c r="F106449"/>
    </row>
    <row r="106450" spans="1:6" x14ac:dyDescent="0.25">
      <c r="A106450"/>
      <c r="B106450"/>
      <c r="C106450"/>
      <c r="E106450"/>
      <c r="F106450"/>
    </row>
    <row r="106451" spans="1:6" x14ac:dyDescent="0.25">
      <c r="A106451"/>
      <c r="B106451"/>
      <c r="C106451"/>
      <c r="E106451"/>
      <c r="F106451"/>
    </row>
    <row r="106452" spans="1:6" x14ac:dyDescent="0.25">
      <c r="A106452"/>
      <c r="B106452"/>
      <c r="C106452"/>
      <c r="E106452"/>
      <c r="F106452"/>
    </row>
    <row r="106453" spans="1:6" x14ac:dyDescent="0.25">
      <c r="A106453"/>
      <c r="B106453"/>
      <c r="C106453"/>
      <c r="E106453"/>
      <c r="F106453"/>
    </row>
    <row r="106454" spans="1:6" x14ac:dyDescent="0.25">
      <c r="A106454"/>
      <c r="B106454"/>
      <c r="C106454"/>
      <c r="E106454"/>
      <c r="F106454"/>
    </row>
    <row r="106455" spans="1:6" x14ac:dyDescent="0.25">
      <c r="A106455"/>
      <c r="B106455"/>
      <c r="C106455"/>
      <c r="E106455"/>
      <c r="F106455"/>
    </row>
    <row r="106456" spans="1:6" x14ac:dyDescent="0.25">
      <c r="A106456"/>
      <c r="B106456"/>
      <c r="C106456"/>
      <c r="E106456"/>
      <c r="F106456"/>
    </row>
    <row r="106457" spans="1:6" x14ac:dyDescent="0.25">
      <c r="A106457"/>
      <c r="B106457"/>
      <c r="C106457"/>
      <c r="E106457"/>
      <c r="F106457"/>
    </row>
    <row r="106458" spans="1:6" x14ac:dyDescent="0.25">
      <c r="A106458"/>
      <c r="B106458"/>
      <c r="C106458"/>
      <c r="E106458"/>
      <c r="F106458"/>
    </row>
    <row r="106459" spans="1:6" x14ac:dyDescent="0.25">
      <c r="A106459"/>
      <c r="B106459"/>
      <c r="C106459"/>
      <c r="E106459"/>
      <c r="F106459"/>
    </row>
    <row r="106460" spans="1:6" x14ac:dyDescent="0.25">
      <c r="A106460"/>
      <c r="B106460"/>
      <c r="C106460"/>
      <c r="E106460"/>
      <c r="F106460"/>
    </row>
    <row r="106461" spans="1:6" x14ac:dyDescent="0.25">
      <c r="A106461"/>
      <c r="B106461"/>
      <c r="C106461"/>
      <c r="E106461"/>
      <c r="F106461"/>
    </row>
    <row r="106462" spans="1:6" x14ac:dyDescent="0.25">
      <c r="A106462"/>
      <c r="B106462"/>
      <c r="C106462"/>
      <c r="E106462"/>
      <c r="F106462"/>
    </row>
    <row r="106463" spans="1:6" x14ac:dyDescent="0.25">
      <c r="A106463"/>
      <c r="B106463"/>
      <c r="C106463"/>
      <c r="E106463"/>
      <c r="F106463"/>
    </row>
    <row r="106464" spans="1:6" x14ac:dyDescent="0.25">
      <c r="A106464"/>
      <c r="B106464"/>
      <c r="C106464"/>
      <c r="E106464"/>
      <c r="F106464"/>
    </row>
    <row r="106465" spans="1:6" x14ac:dyDescent="0.25">
      <c r="A106465"/>
      <c r="B106465"/>
      <c r="C106465"/>
      <c r="E106465"/>
      <c r="F106465"/>
    </row>
    <row r="106466" spans="1:6" x14ac:dyDescent="0.25">
      <c r="A106466"/>
      <c r="B106466"/>
      <c r="C106466"/>
      <c r="E106466"/>
      <c r="F106466"/>
    </row>
    <row r="106467" spans="1:6" x14ac:dyDescent="0.25">
      <c r="A106467"/>
      <c r="B106467"/>
      <c r="C106467"/>
      <c r="E106467"/>
      <c r="F106467"/>
    </row>
    <row r="106468" spans="1:6" x14ac:dyDescent="0.25">
      <c r="A106468"/>
      <c r="B106468"/>
      <c r="C106468"/>
      <c r="E106468"/>
      <c r="F106468"/>
    </row>
    <row r="106469" spans="1:6" x14ac:dyDescent="0.25">
      <c r="A106469"/>
      <c r="B106469"/>
      <c r="C106469"/>
      <c r="E106469"/>
      <c r="F106469"/>
    </row>
    <row r="106470" spans="1:6" x14ac:dyDescent="0.25">
      <c r="A106470"/>
      <c r="B106470"/>
      <c r="C106470"/>
      <c r="E106470"/>
      <c r="F106470"/>
    </row>
    <row r="106471" spans="1:6" x14ac:dyDescent="0.25">
      <c r="A106471"/>
      <c r="B106471"/>
      <c r="C106471"/>
      <c r="E106471"/>
      <c r="F106471"/>
    </row>
    <row r="106472" spans="1:6" x14ac:dyDescent="0.25">
      <c r="A106472"/>
      <c r="B106472"/>
      <c r="C106472"/>
      <c r="E106472"/>
      <c r="F106472"/>
    </row>
    <row r="106473" spans="1:6" x14ac:dyDescent="0.25">
      <c r="A106473"/>
      <c r="B106473"/>
      <c r="C106473"/>
      <c r="E106473"/>
      <c r="F106473"/>
    </row>
    <row r="106474" spans="1:6" x14ac:dyDescent="0.25">
      <c r="A106474"/>
      <c r="B106474"/>
      <c r="C106474"/>
      <c r="E106474"/>
      <c r="F106474"/>
    </row>
    <row r="106475" spans="1:6" x14ac:dyDescent="0.25">
      <c r="A106475"/>
      <c r="B106475"/>
      <c r="C106475"/>
      <c r="E106475"/>
      <c r="F106475"/>
    </row>
    <row r="106476" spans="1:6" x14ac:dyDescent="0.25">
      <c r="A106476"/>
      <c r="B106476"/>
      <c r="C106476"/>
      <c r="E106476"/>
      <c r="F106476"/>
    </row>
    <row r="106477" spans="1:6" x14ac:dyDescent="0.25">
      <c r="A106477"/>
      <c r="B106477"/>
      <c r="C106477"/>
      <c r="E106477"/>
      <c r="F106477"/>
    </row>
    <row r="106478" spans="1:6" x14ac:dyDescent="0.25">
      <c r="A106478"/>
      <c r="B106478"/>
      <c r="C106478"/>
      <c r="E106478"/>
      <c r="F106478"/>
    </row>
    <row r="106479" spans="1:6" x14ac:dyDescent="0.25">
      <c r="A106479"/>
      <c r="B106479"/>
      <c r="C106479"/>
      <c r="E106479"/>
      <c r="F106479"/>
    </row>
    <row r="106480" spans="1:6" x14ac:dyDescent="0.25">
      <c r="A106480"/>
      <c r="B106480"/>
      <c r="C106480"/>
      <c r="E106480"/>
      <c r="F106480"/>
    </row>
    <row r="106481" spans="1:6" x14ac:dyDescent="0.25">
      <c r="A106481"/>
      <c r="B106481"/>
      <c r="C106481"/>
      <c r="E106481"/>
      <c r="F106481"/>
    </row>
    <row r="106482" spans="1:6" x14ac:dyDescent="0.25">
      <c r="A106482"/>
      <c r="B106482"/>
      <c r="C106482"/>
      <c r="E106482"/>
      <c r="F106482"/>
    </row>
    <row r="106483" spans="1:6" x14ac:dyDescent="0.25">
      <c r="A106483"/>
      <c r="B106483"/>
      <c r="C106483"/>
      <c r="E106483"/>
      <c r="F106483"/>
    </row>
    <row r="106484" spans="1:6" x14ac:dyDescent="0.25">
      <c r="A106484"/>
      <c r="B106484"/>
      <c r="C106484"/>
      <c r="E106484"/>
      <c r="F106484"/>
    </row>
    <row r="106485" spans="1:6" x14ac:dyDescent="0.25">
      <c r="A106485"/>
      <c r="B106485"/>
      <c r="C106485"/>
      <c r="E106485"/>
      <c r="F106485"/>
    </row>
    <row r="106486" spans="1:6" x14ac:dyDescent="0.25">
      <c r="A106486"/>
      <c r="B106486"/>
      <c r="C106486"/>
      <c r="E106486"/>
      <c r="F106486"/>
    </row>
    <row r="106487" spans="1:6" x14ac:dyDescent="0.25">
      <c r="A106487"/>
      <c r="B106487"/>
      <c r="C106487"/>
      <c r="E106487"/>
      <c r="F106487"/>
    </row>
    <row r="106488" spans="1:6" x14ac:dyDescent="0.25">
      <c r="A106488"/>
      <c r="B106488"/>
      <c r="C106488"/>
      <c r="E106488"/>
      <c r="F106488"/>
    </row>
    <row r="106489" spans="1:6" x14ac:dyDescent="0.25">
      <c r="A106489"/>
      <c r="B106489"/>
      <c r="C106489"/>
      <c r="E106489"/>
      <c r="F106489"/>
    </row>
    <row r="106490" spans="1:6" x14ac:dyDescent="0.25">
      <c r="A106490"/>
      <c r="B106490"/>
      <c r="C106490"/>
      <c r="E106490"/>
      <c r="F106490"/>
    </row>
    <row r="106491" spans="1:6" x14ac:dyDescent="0.25">
      <c r="A106491"/>
      <c r="B106491"/>
      <c r="C106491"/>
      <c r="E106491"/>
      <c r="F106491"/>
    </row>
    <row r="106492" spans="1:6" x14ac:dyDescent="0.25">
      <c r="A106492"/>
      <c r="B106492"/>
      <c r="C106492"/>
      <c r="E106492"/>
      <c r="F106492"/>
    </row>
    <row r="106493" spans="1:6" x14ac:dyDescent="0.25">
      <c r="A106493"/>
      <c r="B106493"/>
      <c r="C106493"/>
      <c r="E106493"/>
      <c r="F106493"/>
    </row>
    <row r="106494" spans="1:6" x14ac:dyDescent="0.25">
      <c r="A106494"/>
      <c r="B106494"/>
      <c r="C106494"/>
      <c r="E106494"/>
      <c r="F106494"/>
    </row>
    <row r="106495" spans="1:6" x14ac:dyDescent="0.25">
      <c r="A106495"/>
      <c r="B106495"/>
      <c r="C106495"/>
      <c r="E106495"/>
      <c r="F106495"/>
    </row>
    <row r="106496" spans="1:6" x14ac:dyDescent="0.25">
      <c r="A106496"/>
      <c r="B106496"/>
      <c r="C106496"/>
      <c r="E106496"/>
      <c r="F106496"/>
    </row>
    <row r="106497" spans="1:6" x14ac:dyDescent="0.25">
      <c r="A106497"/>
      <c r="B106497"/>
      <c r="C106497"/>
      <c r="E106497"/>
      <c r="F106497"/>
    </row>
    <row r="106498" spans="1:6" x14ac:dyDescent="0.25">
      <c r="A106498"/>
      <c r="B106498"/>
      <c r="C106498"/>
      <c r="E106498"/>
      <c r="F106498"/>
    </row>
    <row r="106499" spans="1:6" x14ac:dyDescent="0.25">
      <c r="A106499"/>
      <c r="B106499"/>
      <c r="C106499"/>
      <c r="E106499"/>
      <c r="F106499"/>
    </row>
    <row r="106500" spans="1:6" x14ac:dyDescent="0.25">
      <c r="A106500"/>
      <c r="B106500"/>
      <c r="C106500"/>
      <c r="E106500"/>
      <c r="F106500"/>
    </row>
    <row r="106501" spans="1:6" x14ac:dyDescent="0.25">
      <c r="A106501"/>
      <c r="B106501"/>
      <c r="C106501"/>
      <c r="E106501"/>
      <c r="F106501"/>
    </row>
    <row r="106502" spans="1:6" x14ac:dyDescent="0.25">
      <c r="A106502"/>
      <c r="B106502"/>
      <c r="C106502"/>
      <c r="E106502"/>
      <c r="F106502"/>
    </row>
    <row r="106503" spans="1:6" x14ac:dyDescent="0.25">
      <c r="A106503"/>
      <c r="B106503"/>
      <c r="C106503"/>
      <c r="E106503"/>
      <c r="F106503"/>
    </row>
    <row r="106504" spans="1:6" x14ac:dyDescent="0.25">
      <c r="A106504"/>
      <c r="B106504"/>
      <c r="C106504"/>
      <c r="E106504"/>
      <c r="F106504"/>
    </row>
    <row r="106505" spans="1:6" x14ac:dyDescent="0.25">
      <c r="A106505"/>
      <c r="B106505"/>
      <c r="C106505"/>
      <c r="E106505"/>
      <c r="F106505"/>
    </row>
    <row r="106506" spans="1:6" x14ac:dyDescent="0.25">
      <c r="A106506"/>
      <c r="B106506"/>
      <c r="C106506"/>
      <c r="E106506"/>
      <c r="F106506"/>
    </row>
    <row r="106507" spans="1:6" x14ac:dyDescent="0.25">
      <c r="A106507"/>
      <c r="B106507"/>
      <c r="C106507"/>
      <c r="E106507"/>
      <c r="F106507"/>
    </row>
    <row r="106508" spans="1:6" x14ac:dyDescent="0.25">
      <c r="A106508"/>
      <c r="B106508"/>
      <c r="C106508"/>
      <c r="E106508"/>
      <c r="F106508"/>
    </row>
    <row r="106509" spans="1:6" x14ac:dyDescent="0.25">
      <c r="A106509"/>
      <c r="B106509"/>
      <c r="C106509"/>
      <c r="E106509"/>
      <c r="F106509"/>
    </row>
    <row r="106510" spans="1:6" x14ac:dyDescent="0.25">
      <c r="A106510"/>
      <c r="B106510"/>
      <c r="C106510"/>
      <c r="E106510"/>
      <c r="F106510"/>
    </row>
    <row r="106511" spans="1:6" x14ac:dyDescent="0.25">
      <c r="A106511"/>
      <c r="B106511"/>
      <c r="C106511"/>
      <c r="E106511"/>
      <c r="F106511"/>
    </row>
    <row r="106512" spans="1:6" x14ac:dyDescent="0.25">
      <c r="A106512"/>
      <c r="B106512"/>
      <c r="C106512"/>
      <c r="E106512"/>
      <c r="F106512"/>
    </row>
    <row r="106513" spans="1:6" x14ac:dyDescent="0.25">
      <c r="A106513"/>
      <c r="B106513"/>
      <c r="C106513"/>
      <c r="E106513"/>
      <c r="F106513"/>
    </row>
    <row r="106514" spans="1:6" x14ac:dyDescent="0.25">
      <c r="A106514"/>
      <c r="B106514"/>
      <c r="C106514"/>
      <c r="E106514"/>
      <c r="F106514"/>
    </row>
    <row r="106515" spans="1:6" x14ac:dyDescent="0.25">
      <c r="A106515"/>
      <c r="B106515"/>
      <c r="C106515"/>
      <c r="E106515"/>
      <c r="F106515"/>
    </row>
    <row r="106516" spans="1:6" x14ac:dyDescent="0.25">
      <c r="A106516"/>
      <c r="B106516"/>
      <c r="C106516"/>
      <c r="E106516"/>
      <c r="F106516"/>
    </row>
    <row r="106517" spans="1:6" x14ac:dyDescent="0.25">
      <c r="A106517"/>
      <c r="B106517"/>
      <c r="C106517"/>
      <c r="E106517"/>
      <c r="F106517"/>
    </row>
    <row r="106518" spans="1:6" x14ac:dyDescent="0.25">
      <c r="A106518"/>
      <c r="B106518"/>
      <c r="C106518"/>
      <c r="E106518"/>
      <c r="F106518"/>
    </row>
    <row r="106519" spans="1:6" x14ac:dyDescent="0.25">
      <c r="A106519"/>
      <c r="B106519"/>
      <c r="C106519"/>
      <c r="E106519"/>
      <c r="F106519"/>
    </row>
    <row r="106520" spans="1:6" x14ac:dyDescent="0.25">
      <c r="A106520"/>
      <c r="B106520"/>
      <c r="C106520"/>
      <c r="E106520"/>
      <c r="F106520"/>
    </row>
    <row r="106521" spans="1:6" x14ac:dyDescent="0.25">
      <c r="A106521"/>
      <c r="B106521"/>
      <c r="C106521"/>
      <c r="E106521"/>
      <c r="F106521"/>
    </row>
    <row r="106522" spans="1:6" x14ac:dyDescent="0.25">
      <c r="A106522"/>
      <c r="B106522"/>
      <c r="C106522"/>
      <c r="E106522"/>
      <c r="F106522"/>
    </row>
    <row r="106523" spans="1:6" x14ac:dyDescent="0.25">
      <c r="A106523"/>
      <c r="B106523"/>
      <c r="C106523"/>
      <c r="E106523"/>
      <c r="F106523"/>
    </row>
    <row r="106524" spans="1:6" x14ac:dyDescent="0.25">
      <c r="A106524"/>
      <c r="B106524"/>
      <c r="C106524"/>
      <c r="E106524"/>
      <c r="F106524"/>
    </row>
    <row r="106525" spans="1:6" x14ac:dyDescent="0.25">
      <c r="A106525"/>
      <c r="B106525"/>
      <c r="C106525"/>
      <c r="E106525"/>
      <c r="F106525"/>
    </row>
    <row r="106526" spans="1:6" x14ac:dyDescent="0.25">
      <c r="A106526"/>
      <c r="B106526"/>
      <c r="C106526"/>
      <c r="E106526"/>
      <c r="F106526"/>
    </row>
    <row r="106527" spans="1:6" x14ac:dyDescent="0.25">
      <c r="A106527"/>
      <c r="B106527"/>
      <c r="C106527"/>
      <c r="E106527"/>
      <c r="F106527"/>
    </row>
    <row r="106528" spans="1:6" x14ac:dyDescent="0.25">
      <c r="A106528"/>
      <c r="B106528"/>
      <c r="C106528"/>
      <c r="E106528"/>
      <c r="F106528"/>
    </row>
    <row r="106529" spans="1:6" x14ac:dyDescent="0.25">
      <c r="A106529"/>
      <c r="B106529"/>
      <c r="C106529"/>
      <c r="E106529"/>
      <c r="F106529"/>
    </row>
    <row r="106530" spans="1:6" x14ac:dyDescent="0.25">
      <c r="A106530"/>
      <c r="B106530"/>
      <c r="C106530"/>
      <c r="E106530"/>
      <c r="F106530"/>
    </row>
    <row r="106531" spans="1:6" x14ac:dyDescent="0.25">
      <c r="A106531"/>
      <c r="B106531"/>
      <c r="C106531"/>
      <c r="E106531"/>
      <c r="F106531"/>
    </row>
    <row r="106532" spans="1:6" x14ac:dyDescent="0.25">
      <c r="A106532"/>
      <c r="B106532"/>
      <c r="C106532"/>
      <c r="E106532"/>
      <c r="F106532"/>
    </row>
    <row r="106533" spans="1:6" x14ac:dyDescent="0.25">
      <c r="A106533"/>
      <c r="B106533"/>
      <c r="C106533"/>
      <c r="E106533"/>
      <c r="F106533"/>
    </row>
    <row r="106534" spans="1:6" x14ac:dyDescent="0.25">
      <c r="A106534"/>
      <c r="B106534"/>
      <c r="C106534"/>
      <c r="E106534"/>
      <c r="F106534"/>
    </row>
    <row r="106535" spans="1:6" x14ac:dyDescent="0.25">
      <c r="A106535"/>
      <c r="B106535"/>
      <c r="C106535"/>
      <c r="E106535"/>
      <c r="F106535"/>
    </row>
    <row r="106536" spans="1:6" x14ac:dyDescent="0.25">
      <c r="A106536"/>
      <c r="B106536"/>
      <c r="C106536"/>
      <c r="E106536"/>
      <c r="F106536"/>
    </row>
    <row r="106537" spans="1:6" x14ac:dyDescent="0.25">
      <c r="A106537"/>
      <c r="B106537"/>
      <c r="C106537"/>
      <c r="E106537"/>
      <c r="F106537"/>
    </row>
    <row r="106538" spans="1:6" x14ac:dyDescent="0.25">
      <c r="A106538"/>
      <c r="B106538"/>
      <c r="C106538"/>
      <c r="E106538"/>
      <c r="F106538"/>
    </row>
    <row r="106539" spans="1:6" x14ac:dyDescent="0.25">
      <c r="A106539"/>
      <c r="B106539"/>
      <c r="C106539"/>
      <c r="E106539"/>
      <c r="F106539"/>
    </row>
    <row r="106540" spans="1:6" x14ac:dyDescent="0.25">
      <c r="A106540"/>
      <c r="B106540"/>
      <c r="C106540"/>
      <c r="E106540"/>
      <c r="F106540"/>
    </row>
    <row r="106541" spans="1:6" x14ac:dyDescent="0.25">
      <c r="A106541"/>
      <c r="B106541"/>
      <c r="C106541"/>
      <c r="E106541"/>
      <c r="F106541"/>
    </row>
    <row r="106542" spans="1:6" x14ac:dyDescent="0.25">
      <c r="A106542"/>
      <c r="B106542"/>
      <c r="C106542"/>
      <c r="E106542"/>
      <c r="F106542"/>
    </row>
    <row r="106543" spans="1:6" x14ac:dyDescent="0.25">
      <c r="A106543"/>
      <c r="B106543"/>
      <c r="C106543"/>
      <c r="E106543"/>
      <c r="F106543"/>
    </row>
    <row r="106544" spans="1:6" x14ac:dyDescent="0.25">
      <c r="A106544"/>
      <c r="B106544"/>
      <c r="C106544"/>
      <c r="E106544"/>
      <c r="F106544"/>
    </row>
    <row r="106545" spans="1:6" x14ac:dyDescent="0.25">
      <c r="A106545"/>
      <c r="B106545"/>
      <c r="C106545"/>
      <c r="E106545"/>
      <c r="F106545"/>
    </row>
    <row r="106546" spans="1:6" x14ac:dyDescent="0.25">
      <c r="A106546"/>
      <c r="B106546"/>
      <c r="C106546"/>
      <c r="E106546"/>
      <c r="F106546"/>
    </row>
    <row r="106547" spans="1:6" x14ac:dyDescent="0.25">
      <c r="A106547"/>
      <c r="B106547"/>
      <c r="C106547"/>
      <c r="E106547"/>
      <c r="F106547"/>
    </row>
    <row r="106548" spans="1:6" x14ac:dyDescent="0.25">
      <c r="A106548"/>
      <c r="B106548"/>
      <c r="C106548"/>
      <c r="E106548"/>
      <c r="F106548"/>
    </row>
    <row r="106549" spans="1:6" x14ac:dyDescent="0.25">
      <c r="A106549"/>
      <c r="B106549"/>
      <c r="C106549"/>
      <c r="E106549"/>
      <c r="F106549"/>
    </row>
    <row r="106550" spans="1:6" x14ac:dyDescent="0.25">
      <c r="A106550"/>
      <c r="B106550"/>
      <c r="C106550"/>
      <c r="E106550"/>
      <c r="F106550"/>
    </row>
    <row r="106551" spans="1:6" x14ac:dyDescent="0.25">
      <c r="A106551"/>
      <c r="B106551"/>
      <c r="C106551"/>
      <c r="E106551"/>
      <c r="F106551"/>
    </row>
    <row r="106552" spans="1:6" x14ac:dyDescent="0.25">
      <c r="A106552"/>
      <c r="B106552"/>
      <c r="C106552"/>
      <c r="E106552"/>
      <c r="F106552"/>
    </row>
    <row r="106553" spans="1:6" x14ac:dyDescent="0.25">
      <c r="A106553"/>
      <c r="B106553"/>
      <c r="C106553"/>
      <c r="E106553"/>
      <c r="F106553"/>
    </row>
    <row r="106554" spans="1:6" x14ac:dyDescent="0.25">
      <c r="A106554"/>
      <c r="B106554"/>
      <c r="C106554"/>
      <c r="E106554"/>
      <c r="F106554"/>
    </row>
    <row r="106555" spans="1:6" x14ac:dyDescent="0.25">
      <c r="A106555"/>
      <c r="B106555"/>
      <c r="C106555"/>
      <c r="E106555"/>
      <c r="F106555"/>
    </row>
    <row r="106556" spans="1:6" x14ac:dyDescent="0.25">
      <c r="A106556"/>
      <c r="B106556"/>
      <c r="C106556"/>
      <c r="E106556"/>
      <c r="F106556"/>
    </row>
    <row r="106557" spans="1:6" x14ac:dyDescent="0.25">
      <c r="A106557"/>
      <c r="B106557"/>
      <c r="C106557"/>
      <c r="E106557"/>
      <c r="F106557"/>
    </row>
    <row r="106558" spans="1:6" x14ac:dyDescent="0.25">
      <c r="A106558"/>
      <c r="B106558"/>
      <c r="C106558"/>
      <c r="E106558"/>
      <c r="F106558"/>
    </row>
    <row r="106559" spans="1:6" x14ac:dyDescent="0.25">
      <c r="A106559"/>
      <c r="B106559"/>
      <c r="C106559"/>
      <c r="E106559"/>
      <c r="F106559"/>
    </row>
    <row r="106560" spans="1:6" x14ac:dyDescent="0.25">
      <c r="A106560"/>
      <c r="B106560"/>
      <c r="C106560"/>
      <c r="E106560"/>
      <c r="F106560"/>
    </row>
    <row r="106561" spans="1:6" x14ac:dyDescent="0.25">
      <c r="A106561"/>
      <c r="B106561"/>
      <c r="C106561"/>
      <c r="E106561"/>
      <c r="F106561"/>
    </row>
    <row r="106562" spans="1:6" x14ac:dyDescent="0.25">
      <c r="A106562"/>
      <c r="B106562"/>
      <c r="C106562"/>
      <c r="E106562"/>
      <c r="F106562"/>
    </row>
    <row r="106563" spans="1:6" x14ac:dyDescent="0.25">
      <c r="A106563"/>
      <c r="B106563"/>
      <c r="C106563"/>
      <c r="E106563"/>
      <c r="F106563"/>
    </row>
    <row r="106564" spans="1:6" x14ac:dyDescent="0.25">
      <c r="A106564"/>
      <c r="B106564"/>
      <c r="C106564"/>
      <c r="E106564"/>
      <c r="F106564"/>
    </row>
    <row r="106565" spans="1:6" x14ac:dyDescent="0.25">
      <c r="A106565"/>
      <c r="B106565"/>
      <c r="C106565"/>
      <c r="E106565"/>
      <c r="F106565"/>
    </row>
    <row r="106566" spans="1:6" x14ac:dyDescent="0.25">
      <c r="A106566"/>
      <c r="B106566"/>
      <c r="C106566"/>
      <c r="E106566"/>
      <c r="F106566"/>
    </row>
    <row r="106567" spans="1:6" x14ac:dyDescent="0.25">
      <c r="A106567"/>
      <c r="B106567"/>
      <c r="C106567"/>
      <c r="E106567"/>
      <c r="F106567"/>
    </row>
    <row r="106568" spans="1:6" x14ac:dyDescent="0.25">
      <c r="A106568"/>
      <c r="B106568"/>
      <c r="C106568"/>
      <c r="E106568"/>
      <c r="F106568"/>
    </row>
    <row r="106569" spans="1:6" x14ac:dyDescent="0.25">
      <c r="A106569"/>
      <c r="B106569"/>
      <c r="C106569"/>
      <c r="E106569"/>
      <c r="F106569"/>
    </row>
    <row r="106570" spans="1:6" x14ac:dyDescent="0.25">
      <c r="A106570"/>
      <c r="B106570"/>
      <c r="C106570"/>
      <c r="E106570"/>
      <c r="F106570"/>
    </row>
    <row r="106571" spans="1:6" x14ac:dyDescent="0.25">
      <c r="A106571"/>
      <c r="B106571"/>
      <c r="C106571"/>
      <c r="E106571"/>
      <c r="F106571"/>
    </row>
    <row r="106572" spans="1:6" x14ac:dyDescent="0.25">
      <c r="A106572"/>
      <c r="B106572"/>
      <c r="C106572"/>
      <c r="E106572"/>
      <c r="F106572"/>
    </row>
    <row r="106573" spans="1:6" x14ac:dyDescent="0.25">
      <c r="A106573"/>
      <c r="B106573"/>
      <c r="C106573"/>
      <c r="E106573"/>
      <c r="F106573"/>
    </row>
    <row r="106574" spans="1:6" x14ac:dyDescent="0.25">
      <c r="A106574"/>
      <c r="B106574"/>
      <c r="C106574"/>
      <c r="E106574"/>
      <c r="F106574"/>
    </row>
    <row r="106575" spans="1:6" x14ac:dyDescent="0.25">
      <c r="A106575"/>
      <c r="B106575"/>
      <c r="C106575"/>
      <c r="E106575"/>
      <c r="F106575"/>
    </row>
    <row r="106576" spans="1:6" x14ac:dyDescent="0.25">
      <c r="A106576"/>
      <c r="B106576"/>
      <c r="C106576"/>
      <c r="E106576"/>
      <c r="F106576"/>
    </row>
    <row r="106577" spans="1:6" x14ac:dyDescent="0.25">
      <c r="A106577"/>
      <c r="B106577"/>
      <c r="C106577"/>
      <c r="E106577"/>
      <c r="F106577"/>
    </row>
    <row r="106578" spans="1:6" x14ac:dyDescent="0.25">
      <c r="A106578"/>
      <c r="B106578"/>
      <c r="C106578"/>
      <c r="E106578"/>
      <c r="F106578"/>
    </row>
    <row r="106579" spans="1:6" x14ac:dyDescent="0.25">
      <c r="A106579"/>
      <c r="B106579"/>
      <c r="C106579"/>
      <c r="E106579"/>
      <c r="F106579"/>
    </row>
    <row r="106580" spans="1:6" x14ac:dyDescent="0.25">
      <c r="A106580"/>
      <c r="B106580"/>
      <c r="C106580"/>
      <c r="E106580"/>
      <c r="F106580"/>
    </row>
    <row r="106581" spans="1:6" x14ac:dyDescent="0.25">
      <c r="A106581"/>
      <c r="B106581"/>
      <c r="C106581"/>
      <c r="E106581"/>
      <c r="F106581"/>
    </row>
    <row r="106582" spans="1:6" x14ac:dyDescent="0.25">
      <c r="A106582"/>
      <c r="B106582"/>
      <c r="C106582"/>
      <c r="E106582"/>
      <c r="F106582"/>
    </row>
    <row r="106583" spans="1:6" x14ac:dyDescent="0.25">
      <c r="A106583"/>
      <c r="B106583"/>
      <c r="C106583"/>
      <c r="E106583"/>
      <c r="F106583"/>
    </row>
    <row r="106584" spans="1:6" x14ac:dyDescent="0.25">
      <c r="A106584"/>
      <c r="B106584"/>
      <c r="C106584"/>
      <c r="E106584"/>
      <c r="F106584"/>
    </row>
    <row r="106585" spans="1:6" x14ac:dyDescent="0.25">
      <c r="A106585"/>
      <c r="B106585"/>
      <c r="C106585"/>
      <c r="E106585"/>
      <c r="F106585"/>
    </row>
    <row r="106586" spans="1:6" x14ac:dyDescent="0.25">
      <c r="A106586"/>
      <c r="B106586"/>
      <c r="C106586"/>
      <c r="E106586"/>
      <c r="F106586"/>
    </row>
    <row r="106587" spans="1:6" x14ac:dyDescent="0.25">
      <c r="A106587"/>
      <c r="B106587"/>
      <c r="C106587"/>
      <c r="E106587"/>
      <c r="F106587"/>
    </row>
    <row r="106588" spans="1:6" x14ac:dyDescent="0.25">
      <c r="A106588"/>
      <c r="B106588"/>
      <c r="C106588"/>
      <c r="E106588"/>
      <c r="F106588"/>
    </row>
    <row r="106589" spans="1:6" x14ac:dyDescent="0.25">
      <c r="A106589"/>
      <c r="B106589"/>
      <c r="C106589"/>
      <c r="E106589"/>
      <c r="F106589"/>
    </row>
    <row r="106590" spans="1:6" x14ac:dyDescent="0.25">
      <c r="A106590"/>
      <c r="B106590"/>
      <c r="C106590"/>
      <c r="E106590"/>
      <c r="F106590"/>
    </row>
    <row r="106591" spans="1:6" x14ac:dyDescent="0.25">
      <c r="A106591"/>
      <c r="B106591"/>
      <c r="C106591"/>
      <c r="E106591"/>
      <c r="F106591"/>
    </row>
    <row r="106592" spans="1:6" x14ac:dyDescent="0.25">
      <c r="A106592"/>
      <c r="B106592"/>
      <c r="C106592"/>
      <c r="E106592"/>
      <c r="F106592"/>
    </row>
    <row r="106593" spans="1:6" x14ac:dyDescent="0.25">
      <c r="A106593"/>
      <c r="B106593"/>
      <c r="C106593"/>
      <c r="E106593"/>
      <c r="F106593"/>
    </row>
    <row r="106594" spans="1:6" x14ac:dyDescent="0.25">
      <c r="A106594"/>
      <c r="B106594"/>
      <c r="C106594"/>
      <c r="E106594"/>
      <c r="F106594"/>
    </row>
    <row r="106595" spans="1:6" x14ac:dyDescent="0.25">
      <c r="A106595"/>
      <c r="B106595"/>
      <c r="C106595"/>
      <c r="E106595"/>
      <c r="F106595"/>
    </row>
    <row r="106596" spans="1:6" x14ac:dyDescent="0.25">
      <c r="A106596"/>
      <c r="B106596"/>
      <c r="C106596"/>
      <c r="E106596"/>
      <c r="F106596"/>
    </row>
    <row r="106597" spans="1:6" x14ac:dyDescent="0.25">
      <c r="A106597"/>
      <c r="B106597"/>
      <c r="C106597"/>
      <c r="E106597"/>
      <c r="F106597"/>
    </row>
    <row r="106598" spans="1:6" x14ac:dyDescent="0.25">
      <c r="A106598"/>
      <c r="B106598"/>
      <c r="C106598"/>
      <c r="E106598"/>
      <c r="F106598"/>
    </row>
    <row r="106599" spans="1:6" x14ac:dyDescent="0.25">
      <c r="A106599"/>
      <c r="B106599"/>
      <c r="C106599"/>
      <c r="E106599"/>
      <c r="F106599"/>
    </row>
    <row r="106600" spans="1:6" x14ac:dyDescent="0.25">
      <c r="A106600"/>
      <c r="B106600"/>
      <c r="C106600"/>
      <c r="E106600"/>
      <c r="F106600"/>
    </row>
    <row r="106601" spans="1:6" x14ac:dyDescent="0.25">
      <c r="A106601"/>
      <c r="B106601"/>
      <c r="C106601"/>
      <c r="E106601"/>
      <c r="F106601"/>
    </row>
    <row r="106602" spans="1:6" x14ac:dyDescent="0.25">
      <c r="A106602"/>
      <c r="B106602"/>
      <c r="C106602"/>
      <c r="E106602"/>
      <c r="F106602"/>
    </row>
    <row r="106603" spans="1:6" x14ac:dyDescent="0.25">
      <c r="A106603"/>
      <c r="B106603"/>
      <c r="C106603"/>
      <c r="E106603"/>
      <c r="F106603"/>
    </row>
    <row r="106604" spans="1:6" x14ac:dyDescent="0.25">
      <c r="A106604"/>
      <c r="B106604"/>
      <c r="C106604"/>
      <c r="E106604"/>
      <c r="F106604"/>
    </row>
    <row r="106605" spans="1:6" x14ac:dyDescent="0.25">
      <c r="A106605"/>
      <c r="B106605"/>
      <c r="C106605"/>
      <c r="E106605"/>
      <c r="F106605"/>
    </row>
    <row r="106606" spans="1:6" x14ac:dyDescent="0.25">
      <c r="A106606"/>
      <c r="B106606"/>
      <c r="C106606"/>
      <c r="E106606"/>
      <c r="F106606"/>
    </row>
    <row r="106607" spans="1:6" x14ac:dyDescent="0.25">
      <c r="A106607"/>
      <c r="B106607"/>
      <c r="C106607"/>
      <c r="E106607"/>
      <c r="F106607"/>
    </row>
    <row r="106608" spans="1:6" x14ac:dyDescent="0.25">
      <c r="A106608"/>
      <c r="B106608"/>
      <c r="C106608"/>
      <c r="E106608"/>
      <c r="F106608"/>
    </row>
    <row r="106609" spans="1:6" x14ac:dyDescent="0.25">
      <c r="A106609"/>
      <c r="B106609"/>
      <c r="C106609"/>
      <c r="E106609"/>
      <c r="F106609"/>
    </row>
    <row r="106610" spans="1:6" x14ac:dyDescent="0.25">
      <c r="A106610"/>
      <c r="B106610"/>
      <c r="C106610"/>
      <c r="E106610"/>
      <c r="F106610"/>
    </row>
    <row r="106611" spans="1:6" x14ac:dyDescent="0.25">
      <c r="A106611"/>
      <c r="B106611"/>
      <c r="C106611"/>
      <c r="E106611"/>
      <c r="F106611"/>
    </row>
    <row r="106612" spans="1:6" x14ac:dyDescent="0.25">
      <c r="A106612"/>
      <c r="B106612"/>
      <c r="C106612"/>
      <c r="E106612"/>
      <c r="F106612"/>
    </row>
    <row r="106613" spans="1:6" x14ac:dyDescent="0.25">
      <c r="A106613"/>
      <c r="B106613"/>
      <c r="C106613"/>
      <c r="E106613"/>
      <c r="F106613"/>
    </row>
    <row r="106614" spans="1:6" x14ac:dyDescent="0.25">
      <c r="A106614"/>
      <c r="B106614"/>
      <c r="C106614"/>
      <c r="E106614"/>
      <c r="F106614"/>
    </row>
    <row r="106615" spans="1:6" x14ac:dyDescent="0.25">
      <c r="A106615"/>
      <c r="B106615"/>
      <c r="C106615"/>
      <c r="E106615"/>
      <c r="F106615"/>
    </row>
    <row r="106616" spans="1:6" x14ac:dyDescent="0.25">
      <c r="A106616"/>
      <c r="B106616"/>
      <c r="C106616"/>
      <c r="E106616"/>
      <c r="F106616"/>
    </row>
    <row r="106617" spans="1:6" x14ac:dyDescent="0.25">
      <c r="A106617"/>
      <c r="B106617"/>
      <c r="C106617"/>
      <c r="E106617"/>
      <c r="F106617"/>
    </row>
    <row r="106618" spans="1:6" x14ac:dyDescent="0.25">
      <c r="A106618"/>
      <c r="B106618"/>
      <c r="C106618"/>
      <c r="E106618"/>
      <c r="F106618"/>
    </row>
    <row r="106619" spans="1:6" x14ac:dyDescent="0.25">
      <c r="A106619"/>
      <c r="B106619"/>
      <c r="C106619"/>
      <c r="E106619"/>
      <c r="F106619"/>
    </row>
    <row r="106620" spans="1:6" x14ac:dyDescent="0.25">
      <c r="A106620"/>
      <c r="B106620"/>
      <c r="C106620"/>
      <c r="E106620"/>
      <c r="F106620"/>
    </row>
    <row r="106621" spans="1:6" x14ac:dyDescent="0.25">
      <c r="A106621"/>
      <c r="B106621"/>
      <c r="C106621"/>
      <c r="E106621"/>
      <c r="F106621"/>
    </row>
    <row r="106622" spans="1:6" x14ac:dyDescent="0.25">
      <c r="A106622"/>
      <c r="B106622"/>
      <c r="C106622"/>
      <c r="E106622"/>
      <c r="F106622"/>
    </row>
    <row r="106623" spans="1:6" x14ac:dyDescent="0.25">
      <c r="A106623"/>
      <c r="B106623"/>
      <c r="C106623"/>
      <c r="E106623"/>
      <c r="F106623"/>
    </row>
    <row r="106624" spans="1:6" x14ac:dyDescent="0.25">
      <c r="A106624"/>
      <c r="B106624"/>
      <c r="C106624"/>
      <c r="E106624"/>
      <c r="F106624"/>
    </row>
    <row r="106625" spans="1:6" x14ac:dyDescent="0.25">
      <c r="A106625"/>
      <c r="B106625"/>
      <c r="C106625"/>
      <c r="E106625"/>
      <c r="F106625"/>
    </row>
    <row r="106626" spans="1:6" x14ac:dyDescent="0.25">
      <c r="A106626"/>
      <c r="B106626"/>
      <c r="C106626"/>
      <c r="E106626"/>
      <c r="F106626"/>
    </row>
    <row r="106627" spans="1:6" x14ac:dyDescent="0.25">
      <c r="A106627"/>
      <c r="B106627"/>
      <c r="C106627"/>
      <c r="E106627"/>
      <c r="F106627"/>
    </row>
    <row r="106628" spans="1:6" x14ac:dyDescent="0.25">
      <c r="A106628"/>
      <c r="B106628"/>
      <c r="C106628"/>
      <c r="E106628"/>
      <c r="F106628"/>
    </row>
    <row r="106629" spans="1:6" x14ac:dyDescent="0.25">
      <c r="A106629"/>
      <c r="B106629"/>
      <c r="C106629"/>
      <c r="E106629"/>
      <c r="F106629"/>
    </row>
    <row r="106630" spans="1:6" x14ac:dyDescent="0.25">
      <c r="A106630"/>
      <c r="B106630"/>
      <c r="C106630"/>
      <c r="E106630"/>
      <c r="F106630"/>
    </row>
    <row r="106631" spans="1:6" x14ac:dyDescent="0.25">
      <c r="A106631"/>
      <c r="B106631"/>
      <c r="C106631"/>
      <c r="E106631"/>
      <c r="F106631"/>
    </row>
    <row r="106632" spans="1:6" x14ac:dyDescent="0.25">
      <c r="A106632"/>
      <c r="B106632"/>
      <c r="C106632"/>
      <c r="E106632"/>
      <c r="F106632"/>
    </row>
    <row r="106633" spans="1:6" x14ac:dyDescent="0.25">
      <c r="A106633"/>
      <c r="B106633"/>
      <c r="C106633"/>
      <c r="E106633"/>
      <c r="F106633"/>
    </row>
    <row r="106634" spans="1:6" x14ac:dyDescent="0.25">
      <c r="A106634"/>
      <c r="B106634"/>
      <c r="C106634"/>
      <c r="E106634"/>
      <c r="F106634"/>
    </row>
    <row r="106635" spans="1:6" x14ac:dyDescent="0.25">
      <c r="A106635"/>
      <c r="B106635"/>
      <c r="C106635"/>
      <c r="E106635"/>
      <c r="F106635"/>
    </row>
    <row r="106636" spans="1:6" x14ac:dyDescent="0.25">
      <c r="A106636"/>
      <c r="B106636"/>
      <c r="C106636"/>
      <c r="E106636"/>
      <c r="F106636"/>
    </row>
    <row r="106637" spans="1:6" x14ac:dyDescent="0.25">
      <c r="A106637"/>
      <c r="B106637"/>
      <c r="C106637"/>
      <c r="E106637"/>
      <c r="F106637"/>
    </row>
    <row r="106638" spans="1:6" x14ac:dyDescent="0.25">
      <c r="A106638"/>
      <c r="B106638"/>
      <c r="C106638"/>
      <c r="E106638"/>
      <c r="F106638"/>
    </row>
    <row r="106639" spans="1:6" x14ac:dyDescent="0.25">
      <c r="A106639"/>
      <c r="B106639"/>
      <c r="C106639"/>
      <c r="E106639"/>
      <c r="F106639"/>
    </row>
    <row r="106640" spans="1:6" x14ac:dyDescent="0.25">
      <c r="A106640"/>
      <c r="B106640"/>
      <c r="C106640"/>
      <c r="E106640"/>
      <c r="F106640"/>
    </row>
    <row r="106641" spans="1:6" x14ac:dyDescent="0.25">
      <c r="A106641"/>
      <c r="B106641"/>
      <c r="C106641"/>
      <c r="E106641"/>
      <c r="F106641"/>
    </row>
    <row r="106642" spans="1:6" x14ac:dyDescent="0.25">
      <c r="A106642"/>
      <c r="B106642"/>
      <c r="C106642"/>
      <c r="E106642"/>
      <c r="F106642"/>
    </row>
    <row r="106643" spans="1:6" x14ac:dyDescent="0.25">
      <c r="A106643"/>
      <c r="B106643"/>
      <c r="C106643"/>
      <c r="E106643"/>
      <c r="F106643"/>
    </row>
    <row r="106644" spans="1:6" x14ac:dyDescent="0.25">
      <c r="A106644"/>
      <c r="B106644"/>
      <c r="C106644"/>
      <c r="E106644"/>
      <c r="F106644"/>
    </row>
    <row r="106645" spans="1:6" x14ac:dyDescent="0.25">
      <c r="A106645"/>
      <c r="B106645"/>
      <c r="C106645"/>
      <c r="E106645"/>
      <c r="F106645"/>
    </row>
    <row r="106646" spans="1:6" x14ac:dyDescent="0.25">
      <c r="A106646"/>
      <c r="B106646"/>
      <c r="C106646"/>
      <c r="E106646"/>
      <c r="F106646"/>
    </row>
    <row r="106647" spans="1:6" x14ac:dyDescent="0.25">
      <c r="A106647"/>
      <c r="B106647"/>
      <c r="C106647"/>
      <c r="E106647"/>
      <c r="F106647"/>
    </row>
    <row r="106648" spans="1:6" x14ac:dyDescent="0.25">
      <c r="A106648"/>
      <c r="B106648"/>
      <c r="C106648"/>
      <c r="E106648"/>
      <c r="F106648"/>
    </row>
    <row r="106649" spans="1:6" x14ac:dyDescent="0.25">
      <c r="A106649"/>
      <c r="B106649"/>
      <c r="C106649"/>
      <c r="E106649"/>
      <c r="F106649"/>
    </row>
    <row r="106650" spans="1:6" x14ac:dyDescent="0.25">
      <c r="A106650"/>
      <c r="B106650"/>
      <c r="C106650"/>
      <c r="E106650"/>
      <c r="F106650"/>
    </row>
    <row r="106651" spans="1:6" x14ac:dyDescent="0.25">
      <c r="A106651"/>
      <c r="B106651"/>
      <c r="C106651"/>
      <c r="E106651"/>
      <c r="F106651"/>
    </row>
    <row r="106652" spans="1:6" x14ac:dyDescent="0.25">
      <c r="A106652"/>
      <c r="B106652"/>
      <c r="C106652"/>
      <c r="E106652"/>
      <c r="F106652"/>
    </row>
    <row r="106653" spans="1:6" x14ac:dyDescent="0.25">
      <c r="A106653"/>
      <c r="B106653"/>
      <c r="C106653"/>
      <c r="E106653"/>
      <c r="F106653"/>
    </row>
    <row r="106654" spans="1:6" x14ac:dyDescent="0.25">
      <c r="A106654"/>
      <c r="B106654"/>
      <c r="C106654"/>
      <c r="E106654"/>
      <c r="F106654"/>
    </row>
    <row r="106655" spans="1:6" x14ac:dyDescent="0.25">
      <c r="A106655"/>
      <c r="B106655"/>
      <c r="C106655"/>
      <c r="E106655"/>
      <c r="F106655"/>
    </row>
    <row r="106656" spans="1:6" x14ac:dyDescent="0.25">
      <c r="A106656"/>
      <c r="B106656"/>
      <c r="C106656"/>
      <c r="E106656"/>
      <c r="F106656"/>
    </row>
    <row r="106657" spans="1:6" x14ac:dyDescent="0.25">
      <c r="A106657"/>
      <c r="B106657"/>
      <c r="C106657"/>
      <c r="E106657"/>
      <c r="F106657"/>
    </row>
    <row r="106658" spans="1:6" x14ac:dyDescent="0.25">
      <c r="A106658"/>
      <c r="B106658"/>
      <c r="C106658"/>
      <c r="E106658"/>
      <c r="F106658"/>
    </row>
    <row r="106659" spans="1:6" x14ac:dyDescent="0.25">
      <c r="A106659"/>
      <c r="B106659"/>
      <c r="C106659"/>
      <c r="E106659"/>
      <c r="F106659"/>
    </row>
    <row r="106660" spans="1:6" x14ac:dyDescent="0.25">
      <c r="A106660"/>
      <c r="B106660"/>
      <c r="C106660"/>
      <c r="E106660"/>
      <c r="F106660"/>
    </row>
    <row r="106661" spans="1:6" x14ac:dyDescent="0.25">
      <c r="A106661"/>
      <c r="B106661"/>
      <c r="C106661"/>
      <c r="E106661"/>
      <c r="F106661"/>
    </row>
    <row r="106662" spans="1:6" x14ac:dyDescent="0.25">
      <c r="A106662"/>
      <c r="B106662"/>
      <c r="C106662"/>
      <c r="E106662"/>
      <c r="F106662"/>
    </row>
    <row r="106663" spans="1:6" x14ac:dyDescent="0.25">
      <c r="A106663"/>
      <c r="B106663"/>
      <c r="C106663"/>
      <c r="E106663"/>
      <c r="F106663"/>
    </row>
    <row r="106664" spans="1:6" x14ac:dyDescent="0.25">
      <c r="A106664"/>
      <c r="B106664"/>
      <c r="C106664"/>
      <c r="E106664"/>
      <c r="F106664"/>
    </row>
    <row r="106665" spans="1:6" x14ac:dyDescent="0.25">
      <c r="A106665"/>
      <c r="B106665"/>
      <c r="C106665"/>
      <c r="E106665"/>
      <c r="F106665"/>
    </row>
    <row r="106666" spans="1:6" x14ac:dyDescent="0.25">
      <c r="A106666"/>
      <c r="B106666"/>
      <c r="C106666"/>
      <c r="E106666"/>
      <c r="F106666"/>
    </row>
    <row r="106667" spans="1:6" x14ac:dyDescent="0.25">
      <c r="A106667"/>
      <c r="B106667"/>
      <c r="C106667"/>
      <c r="E106667"/>
      <c r="F106667"/>
    </row>
    <row r="106668" spans="1:6" x14ac:dyDescent="0.25">
      <c r="A106668"/>
      <c r="B106668"/>
      <c r="C106668"/>
      <c r="E106668"/>
      <c r="F106668"/>
    </row>
    <row r="106669" spans="1:6" x14ac:dyDescent="0.25">
      <c r="A106669"/>
      <c r="B106669"/>
      <c r="C106669"/>
      <c r="E106669"/>
      <c r="F106669"/>
    </row>
    <row r="106670" spans="1:6" x14ac:dyDescent="0.25">
      <c r="A106670"/>
      <c r="B106670"/>
      <c r="C106670"/>
      <c r="E106670"/>
      <c r="F106670"/>
    </row>
    <row r="106671" spans="1:6" x14ac:dyDescent="0.25">
      <c r="A106671"/>
      <c r="B106671"/>
      <c r="C106671"/>
      <c r="E106671"/>
      <c r="F106671"/>
    </row>
    <row r="106672" spans="1:6" x14ac:dyDescent="0.25">
      <c r="A106672"/>
      <c r="B106672"/>
      <c r="C106672"/>
      <c r="E106672"/>
      <c r="F106672"/>
    </row>
    <row r="106673" spans="1:6" x14ac:dyDescent="0.25">
      <c r="A106673"/>
      <c r="B106673"/>
      <c r="C106673"/>
      <c r="E106673"/>
      <c r="F106673"/>
    </row>
    <row r="106674" spans="1:6" x14ac:dyDescent="0.25">
      <c r="A106674"/>
      <c r="B106674"/>
      <c r="C106674"/>
      <c r="E106674"/>
      <c r="F106674"/>
    </row>
    <row r="106675" spans="1:6" x14ac:dyDescent="0.25">
      <c r="A106675"/>
      <c r="B106675"/>
      <c r="C106675"/>
      <c r="E106675"/>
      <c r="F106675"/>
    </row>
    <row r="106676" spans="1:6" x14ac:dyDescent="0.25">
      <c r="A106676"/>
      <c r="B106676"/>
      <c r="C106676"/>
      <c r="E106676"/>
      <c r="F106676"/>
    </row>
    <row r="106677" spans="1:6" x14ac:dyDescent="0.25">
      <c r="A106677"/>
      <c r="B106677"/>
      <c r="C106677"/>
      <c r="E106677"/>
      <c r="F106677"/>
    </row>
    <row r="106678" spans="1:6" x14ac:dyDescent="0.25">
      <c r="A106678"/>
      <c r="B106678"/>
      <c r="C106678"/>
      <c r="E106678"/>
      <c r="F106678"/>
    </row>
    <row r="106679" spans="1:6" x14ac:dyDescent="0.25">
      <c r="A106679"/>
      <c r="B106679"/>
      <c r="C106679"/>
      <c r="E106679"/>
      <c r="F106679"/>
    </row>
    <row r="106680" spans="1:6" x14ac:dyDescent="0.25">
      <c r="A106680"/>
      <c r="B106680"/>
      <c r="C106680"/>
      <c r="E106680"/>
      <c r="F106680"/>
    </row>
    <row r="106681" spans="1:6" x14ac:dyDescent="0.25">
      <c r="A106681"/>
      <c r="B106681"/>
      <c r="C106681"/>
      <c r="E106681"/>
      <c r="F106681"/>
    </row>
    <row r="106682" spans="1:6" x14ac:dyDescent="0.25">
      <c r="A106682"/>
      <c r="B106682"/>
      <c r="C106682"/>
      <c r="E106682"/>
      <c r="F106682"/>
    </row>
    <row r="106683" spans="1:6" x14ac:dyDescent="0.25">
      <c r="A106683"/>
      <c r="B106683"/>
      <c r="C106683"/>
      <c r="E106683"/>
      <c r="F106683"/>
    </row>
    <row r="106684" spans="1:6" x14ac:dyDescent="0.25">
      <c r="A106684"/>
      <c r="B106684"/>
      <c r="C106684"/>
      <c r="E106684"/>
      <c r="F106684"/>
    </row>
    <row r="106685" spans="1:6" x14ac:dyDescent="0.25">
      <c r="A106685"/>
      <c r="B106685"/>
      <c r="C106685"/>
      <c r="E106685"/>
      <c r="F106685"/>
    </row>
    <row r="106686" spans="1:6" x14ac:dyDescent="0.25">
      <c r="A106686"/>
      <c r="B106686"/>
      <c r="C106686"/>
      <c r="E106686"/>
      <c r="F106686"/>
    </row>
    <row r="106687" spans="1:6" x14ac:dyDescent="0.25">
      <c r="A106687"/>
      <c r="B106687"/>
      <c r="C106687"/>
      <c r="E106687"/>
      <c r="F106687"/>
    </row>
    <row r="106688" spans="1:6" x14ac:dyDescent="0.25">
      <c r="A106688"/>
      <c r="B106688"/>
      <c r="C106688"/>
      <c r="E106688"/>
      <c r="F106688"/>
    </row>
    <row r="106689" spans="1:6" x14ac:dyDescent="0.25">
      <c r="A106689"/>
      <c r="B106689"/>
      <c r="C106689"/>
      <c r="E106689"/>
      <c r="F106689"/>
    </row>
    <row r="106690" spans="1:6" x14ac:dyDescent="0.25">
      <c r="A106690"/>
      <c r="B106690"/>
      <c r="C106690"/>
      <c r="E106690"/>
      <c r="F106690"/>
    </row>
    <row r="106691" spans="1:6" x14ac:dyDescent="0.25">
      <c r="A106691"/>
      <c r="B106691"/>
      <c r="C106691"/>
      <c r="E106691"/>
      <c r="F106691"/>
    </row>
    <row r="106692" spans="1:6" x14ac:dyDescent="0.25">
      <c r="A106692"/>
      <c r="B106692"/>
      <c r="C106692"/>
      <c r="E106692"/>
      <c r="F106692"/>
    </row>
    <row r="106693" spans="1:6" x14ac:dyDescent="0.25">
      <c r="A106693"/>
      <c r="B106693"/>
      <c r="C106693"/>
      <c r="E106693"/>
      <c r="F106693"/>
    </row>
    <row r="106694" spans="1:6" x14ac:dyDescent="0.25">
      <c r="A106694"/>
      <c r="B106694"/>
      <c r="C106694"/>
      <c r="E106694"/>
      <c r="F106694"/>
    </row>
    <row r="106695" spans="1:6" x14ac:dyDescent="0.25">
      <c r="A106695"/>
      <c r="B106695"/>
      <c r="C106695"/>
      <c r="E106695"/>
      <c r="F106695"/>
    </row>
    <row r="106696" spans="1:6" x14ac:dyDescent="0.25">
      <c r="A106696"/>
      <c r="B106696"/>
      <c r="C106696"/>
      <c r="E106696"/>
      <c r="F106696"/>
    </row>
    <row r="106697" spans="1:6" x14ac:dyDescent="0.25">
      <c r="A106697"/>
      <c r="B106697"/>
      <c r="C106697"/>
      <c r="E106697"/>
      <c r="F106697"/>
    </row>
    <row r="106698" spans="1:6" x14ac:dyDescent="0.25">
      <c r="A106698"/>
      <c r="B106698"/>
      <c r="C106698"/>
      <c r="E106698"/>
      <c r="F106698"/>
    </row>
    <row r="106699" spans="1:6" x14ac:dyDescent="0.25">
      <c r="A106699"/>
      <c r="B106699"/>
      <c r="C106699"/>
      <c r="E106699"/>
      <c r="F106699"/>
    </row>
    <row r="106700" spans="1:6" x14ac:dyDescent="0.25">
      <c r="A106700"/>
      <c r="B106700"/>
      <c r="C106700"/>
      <c r="E106700"/>
      <c r="F106700"/>
    </row>
    <row r="106701" spans="1:6" x14ac:dyDescent="0.25">
      <c r="A106701"/>
      <c r="B106701"/>
      <c r="C106701"/>
      <c r="E106701"/>
      <c r="F106701"/>
    </row>
    <row r="106702" spans="1:6" x14ac:dyDescent="0.25">
      <c r="A106702"/>
      <c r="B106702"/>
      <c r="C106702"/>
      <c r="E106702"/>
      <c r="F106702"/>
    </row>
    <row r="106703" spans="1:6" x14ac:dyDescent="0.25">
      <c r="A106703"/>
      <c r="B106703"/>
      <c r="C106703"/>
      <c r="E106703"/>
      <c r="F106703"/>
    </row>
    <row r="106704" spans="1:6" x14ac:dyDescent="0.25">
      <c r="A106704"/>
      <c r="B106704"/>
      <c r="C106704"/>
      <c r="E106704"/>
      <c r="F106704"/>
    </row>
    <row r="106705" spans="1:6" x14ac:dyDescent="0.25">
      <c r="A106705"/>
      <c r="B106705"/>
      <c r="C106705"/>
      <c r="E106705"/>
      <c r="F106705"/>
    </row>
    <row r="106706" spans="1:6" x14ac:dyDescent="0.25">
      <c r="A106706"/>
      <c r="B106706"/>
      <c r="C106706"/>
      <c r="E106706"/>
      <c r="F106706"/>
    </row>
    <row r="106707" spans="1:6" x14ac:dyDescent="0.25">
      <c r="A106707"/>
      <c r="B106707"/>
      <c r="C106707"/>
      <c r="E106707"/>
      <c r="F106707"/>
    </row>
    <row r="106708" spans="1:6" x14ac:dyDescent="0.25">
      <c r="A106708"/>
      <c r="B106708"/>
      <c r="C106708"/>
      <c r="E106708"/>
      <c r="F106708"/>
    </row>
    <row r="106709" spans="1:6" x14ac:dyDescent="0.25">
      <c r="A106709"/>
      <c r="B106709"/>
      <c r="C106709"/>
      <c r="E106709"/>
      <c r="F106709"/>
    </row>
    <row r="106710" spans="1:6" x14ac:dyDescent="0.25">
      <c r="A106710"/>
      <c r="B106710"/>
      <c r="C106710"/>
      <c r="E106710"/>
      <c r="F106710"/>
    </row>
    <row r="106711" spans="1:6" x14ac:dyDescent="0.25">
      <c r="A106711"/>
      <c r="B106711"/>
      <c r="C106711"/>
      <c r="E106711"/>
      <c r="F106711"/>
    </row>
    <row r="106712" spans="1:6" x14ac:dyDescent="0.25">
      <c r="A106712"/>
      <c r="B106712"/>
      <c r="C106712"/>
      <c r="E106712"/>
      <c r="F106712"/>
    </row>
    <row r="106713" spans="1:6" x14ac:dyDescent="0.25">
      <c r="A106713"/>
      <c r="B106713"/>
      <c r="C106713"/>
      <c r="E106713"/>
      <c r="F106713"/>
    </row>
    <row r="106714" spans="1:6" x14ac:dyDescent="0.25">
      <c r="A106714"/>
      <c r="B106714"/>
      <c r="C106714"/>
      <c r="E106714"/>
      <c r="F106714"/>
    </row>
    <row r="106715" spans="1:6" x14ac:dyDescent="0.25">
      <c r="A106715"/>
      <c r="B106715"/>
      <c r="C106715"/>
      <c r="E106715"/>
      <c r="F106715"/>
    </row>
    <row r="106716" spans="1:6" x14ac:dyDescent="0.25">
      <c r="A106716"/>
      <c r="B106716"/>
      <c r="C106716"/>
      <c r="E106716"/>
      <c r="F106716"/>
    </row>
    <row r="106717" spans="1:6" x14ac:dyDescent="0.25">
      <c r="A106717"/>
      <c r="B106717"/>
      <c r="C106717"/>
      <c r="E106717"/>
      <c r="F106717"/>
    </row>
    <row r="106718" spans="1:6" x14ac:dyDescent="0.25">
      <c r="A106718"/>
      <c r="B106718"/>
      <c r="C106718"/>
      <c r="E106718"/>
      <c r="F106718"/>
    </row>
    <row r="106719" spans="1:6" x14ac:dyDescent="0.25">
      <c r="A106719"/>
      <c r="B106719"/>
      <c r="C106719"/>
      <c r="E106719"/>
      <c r="F106719"/>
    </row>
    <row r="106720" spans="1:6" x14ac:dyDescent="0.25">
      <c r="A106720"/>
      <c r="B106720"/>
      <c r="C106720"/>
      <c r="E106720"/>
      <c r="F106720"/>
    </row>
    <row r="106721" spans="1:6" x14ac:dyDescent="0.25">
      <c r="A106721"/>
      <c r="B106721"/>
      <c r="C106721"/>
      <c r="E106721"/>
      <c r="F106721"/>
    </row>
    <row r="106722" spans="1:6" x14ac:dyDescent="0.25">
      <c r="A106722"/>
      <c r="B106722"/>
      <c r="C106722"/>
      <c r="E106722"/>
      <c r="F106722"/>
    </row>
    <row r="106723" spans="1:6" x14ac:dyDescent="0.25">
      <c r="A106723"/>
      <c r="B106723"/>
      <c r="C106723"/>
      <c r="E106723"/>
      <c r="F106723"/>
    </row>
    <row r="106724" spans="1:6" x14ac:dyDescent="0.25">
      <c r="A106724"/>
      <c r="B106724"/>
      <c r="C106724"/>
      <c r="E106724"/>
      <c r="F106724"/>
    </row>
    <row r="106725" spans="1:6" x14ac:dyDescent="0.25">
      <c r="A106725"/>
      <c r="B106725"/>
      <c r="C106725"/>
      <c r="E106725"/>
      <c r="F106725"/>
    </row>
    <row r="106726" spans="1:6" x14ac:dyDescent="0.25">
      <c r="A106726"/>
      <c r="B106726"/>
      <c r="C106726"/>
      <c r="E106726"/>
      <c r="F106726"/>
    </row>
    <row r="106727" spans="1:6" x14ac:dyDescent="0.25">
      <c r="A106727"/>
      <c r="B106727"/>
      <c r="C106727"/>
      <c r="E106727"/>
      <c r="F106727"/>
    </row>
    <row r="106728" spans="1:6" x14ac:dyDescent="0.25">
      <c r="A106728"/>
      <c r="B106728"/>
      <c r="C106728"/>
      <c r="E106728"/>
      <c r="F106728"/>
    </row>
    <row r="106729" spans="1:6" x14ac:dyDescent="0.25">
      <c r="A106729"/>
      <c r="B106729"/>
      <c r="C106729"/>
      <c r="E106729"/>
      <c r="F106729"/>
    </row>
    <row r="106730" spans="1:6" x14ac:dyDescent="0.25">
      <c r="A106730"/>
      <c r="B106730"/>
      <c r="C106730"/>
      <c r="E106730"/>
      <c r="F106730"/>
    </row>
    <row r="106731" spans="1:6" x14ac:dyDescent="0.25">
      <c r="A106731"/>
      <c r="B106731"/>
      <c r="C106731"/>
      <c r="E106731"/>
      <c r="F106731"/>
    </row>
    <row r="106732" spans="1:6" x14ac:dyDescent="0.25">
      <c r="A106732"/>
      <c r="B106732"/>
      <c r="C106732"/>
      <c r="E106732"/>
      <c r="F106732"/>
    </row>
    <row r="106733" spans="1:6" x14ac:dyDescent="0.25">
      <c r="A106733"/>
      <c r="B106733"/>
      <c r="C106733"/>
      <c r="E106733"/>
      <c r="F106733"/>
    </row>
    <row r="106734" spans="1:6" x14ac:dyDescent="0.25">
      <c r="A106734"/>
      <c r="B106734"/>
      <c r="C106734"/>
      <c r="E106734"/>
      <c r="F106734"/>
    </row>
    <row r="106735" spans="1:6" x14ac:dyDescent="0.25">
      <c r="A106735"/>
      <c r="B106735"/>
      <c r="C106735"/>
      <c r="E106735"/>
      <c r="F106735"/>
    </row>
    <row r="106736" spans="1:6" x14ac:dyDescent="0.25">
      <c r="A106736"/>
      <c r="B106736"/>
      <c r="C106736"/>
      <c r="E106736"/>
      <c r="F106736"/>
    </row>
    <row r="106737" spans="1:6" x14ac:dyDescent="0.25">
      <c r="A106737"/>
      <c r="B106737"/>
      <c r="C106737"/>
      <c r="E106737"/>
      <c r="F106737"/>
    </row>
    <row r="106738" spans="1:6" x14ac:dyDescent="0.25">
      <c r="A106738"/>
      <c r="B106738"/>
      <c r="C106738"/>
      <c r="E106738"/>
      <c r="F106738"/>
    </row>
    <row r="106739" spans="1:6" x14ac:dyDescent="0.25">
      <c r="A106739"/>
      <c r="B106739"/>
      <c r="C106739"/>
      <c r="E106739"/>
      <c r="F106739"/>
    </row>
    <row r="106740" spans="1:6" x14ac:dyDescent="0.25">
      <c r="A106740"/>
      <c r="B106740"/>
      <c r="C106740"/>
      <c r="E106740"/>
      <c r="F106740"/>
    </row>
    <row r="106741" spans="1:6" x14ac:dyDescent="0.25">
      <c r="A106741"/>
      <c r="B106741"/>
      <c r="C106741"/>
      <c r="E106741"/>
      <c r="F106741"/>
    </row>
    <row r="106742" spans="1:6" x14ac:dyDescent="0.25">
      <c r="A106742"/>
      <c r="B106742"/>
      <c r="C106742"/>
      <c r="E106742"/>
      <c r="F106742"/>
    </row>
    <row r="106743" spans="1:6" x14ac:dyDescent="0.25">
      <c r="A106743"/>
      <c r="B106743"/>
      <c r="C106743"/>
      <c r="E106743"/>
      <c r="F106743"/>
    </row>
    <row r="106744" spans="1:6" x14ac:dyDescent="0.25">
      <c r="A106744"/>
      <c r="B106744"/>
      <c r="C106744"/>
      <c r="E106744"/>
      <c r="F106744"/>
    </row>
    <row r="106745" spans="1:6" x14ac:dyDescent="0.25">
      <c r="A106745"/>
      <c r="B106745"/>
      <c r="C106745"/>
      <c r="E106745"/>
      <c r="F106745"/>
    </row>
    <row r="106746" spans="1:6" x14ac:dyDescent="0.25">
      <c r="A106746"/>
      <c r="B106746"/>
      <c r="C106746"/>
      <c r="E106746"/>
      <c r="F106746"/>
    </row>
    <row r="106747" spans="1:6" x14ac:dyDescent="0.25">
      <c r="A106747"/>
      <c r="B106747"/>
      <c r="C106747"/>
      <c r="E106747"/>
      <c r="F106747"/>
    </row>
    <row r="106748" spans="1:6" x14ac:dyDescent="0.25">
      <c r="A106748"/>
      <c r="B106748"/>
      <c r="C106748"/>
      <c r="E106748"/>
      <c r="F106748"/>
    </row>
    <row r="106749" spans="1:6" x14ac:dyDescent="0.25">
      <c r="A106749"/>
      <c r="B106749"/>
      <c r="C106749"/>
      <c r="E106749"/>
      <c r="F106749"/>
    </row>
    <row r="106750" spans="1:6" x14ac:dyDescent="0.25">
      <c r="A106750"/>
      <c r="B106750"/>
      <c r="C106750"/>
      <c r="E106750"/>
      <c r="F106750"/>
    </row>
    <row r="106751" spans="1:6" x14ac:dyDescent="0.25">
      <c r="A106751"/>
      <c r="B106751"/>
      <c r="C106751"/>
      <c r="E106751"/>
      <c r="F106751"/>
    </row>
    <row r="106752" spans="1:6" x14ac:dyDescent="0.25">
      <c r="A106752"/>
      <c r="B106752"/>
      <c r="C106752"/>
      <c r="E106752"/>
      <c r="F106752"/>
    </row>
    <row r="106753" spans="1:6" x14ac:dyDescent="0.25">
      <c r="A106753"/>
      <c r="B106753"/>
      <c r="C106753"/>
      <c r="E106753"/>
      <c r="F106753"/>
    </row>
    <row r="106754" spans="1:6" x14ac:dyDescent="0.25">
      <c r="A106754"/>
      <c r="B106754"/>
      <c r="C106754"/>
      <c r="E106754"/>
      <c r="F106754"/>
    </row>
    <row r="106755" spans="1:6" x14ac:dyDescent="0.25">
      <c r="A106755"/>
      <c r="B106755"/>
      <c r="C106755"/>
      <c r="E106755"/>
      <c r="F106755"/>
    </row>
    <row r="106756" spans="1:6" x14ac:dyDescent="0.25">
      <c r="A106756"/>
      <c r="B106756"/>
      <c r="C106756"/>
      <c r="E106756"/>
      <c r="F106756"/>
    </row>
    <row r="106757" spans="1:6" x14ac:dyDescent="0.25">
      <c r="A106757"/>
      <c r="B106757"/>
      <c r="C106757"/>
      <c r="E106757"/>
      <c r="F106757"/>
    </row>
    <row r="106758" spans="1:6" x14ac:dyDescent="0.25">
      <c r="A106758"/>
      <c r="B106758"/>
      <c r="C106758"/>
      <c r="E106758"/>
      <c r="F106758"/>
    </row>
    <row r="106759" spans="1:6" x14ac:dyDescent="0.25">
      <c r="A106759"/>
      <c r="B106759"/>
      <c r="C106759"/>
      <c r="E106759"/>
      <c r="F106759"/>
    </row>
    <row r="106760" spans="1:6" x14ac:dyDescent="0.25">
      <c r="A106760"/>
      <c r="B106760"/>
      <c r="C106760"/>
      <c r="E106760"/>
      <c r="F106760"/>
    </row>
    <row r="106761" spans="1:6" x14ac:dyDescent="0.25">
      <c r="A106761"/>
      <c r="B106761"/>
      <c r="C106761"/>
      <c r="E106761"/>
      <c r="F106761"/>
    </row>
    <row r="106762" spans="1:6" x14ac:dyDescent="0.25">
      <c r="A106762"/>
      <c r="B106762"/>
      <c r="C106762"/>
      <c r="E106762"/>
      <c r="F106762"/>
    </row>
    <row r="106763" spans="1:6" x14ac:dyDescent="0.25">
      <c r="A106763"/>
      <c r="B106763"/>
      <c r="C106763"/>
      <c r="E106763"/>
      <c r="F106763"/>
    </row>
    <row r="106764" spans="1:6" x14ac:dyDescent="0.25">
      <c r="A106764"/>
      <c r="B106764"/>
      <c r="C106764"/>
      <c r="E106764"/>
      <c r="F106764"/>
    </row>
    <row r="106765" spans="1:6" x14ac:dyDescent="0.25">
      <c r="A106765"/>
      <c r="B106765"/>
      <c r="C106765"/>
      <c r="E106765"/>
      <c r="F106765"/>
    </row>
    <row r="106766" spans="1:6" x14ac:dyDescent="0.25">
      <c r="A106766"/>
      <c r="B106766"/>
      <c r="C106766"/>
      <c r="E106766"/>
      <c r="F106766"/>
    </row>
    <row r="106767" spans="1:6" x14ac:dyDescent="0.25">
      <c r="A106767"/>
      <c r="B106767"/>
      <c r="C106767"/>
      <c r="E106767"/>
      <c r="F106767"/>
    </row>
    <row r="106768" spans="1:6" x14ac:dyDescent="0.25">
      <c r="A106768"/>
      <c r="B106768"/>
      <c r="C106768"/>
      <c r="E106768"/>
      <c r="F106768"/>
    </row>
    <row r="106769" spans="1:6" x14ac:dyDescent="0.25">
      <c r="A106769"/>
      <c r="B106769"/>
      <c r="C106769"/>
      <c r="E106769"/>
      <c r="F106769"/>
    </row>
    <row r="106770" spans="1:6" x14ac:dyDescent="0.25">
      <c r="A106770"/>
      <c r="B106770"/>
      <c r="C106770"/>
      <c r="E106770"/>
      <c r="F106770"/>
    </row>
    <row r="106771" spans="1:6" x14ac:dyDescent="0.25">
      <c r="A106771"/>
      <c r="B106771"/>
      <c r="C106771"/>
      <c r="E106771"/>
      <c r="F106771"/>
    </row>
    <row r="106772" spans="1:6" x14ac:dyDescent="0.25">
      <c r="A106772"/>
      <c r="B106772"/>
      <c r="C106772"/>
      <c r="E106772"/>
      <c r="F106772"/>
    </row>
    <row r="106773" spans="1:6" x14ac:dyDescent="0.25">
      <c r="A106773"/>
      <c r="B106773"/>
      <c r="C106773"/>
      <c r="E106773"/>
      <c r="F106773"/>
    </row>
    <row r="106774" spans="1:6" x14ac:dyDescent="0.25">
      <c r="A106774"/>
      <c r="B106774"/>
      <c r="C106774"/>
      <c r="E106774"/>
      <c r="F106774"/>
    </row>
    <row r="106775" spans="1:6" x14ac:dyDescent="0.25">
      <c r="A106775"/>
      <c r="B106775"/>
      <c r="C106775"/>
      <c r="E106775"/>
      <c r="F106775"/>
    </row>
    <row r="106776" spans="1:6" x14ac:dyDescent="0.25">
      <c r="A106776"/>
      <c r="B106776"/>
      <c r="C106776"/>
      <c r="E106776"/>
      <c r="F106776"/>
    </row>
    <row r="106777" spans="1:6" x14ac:dyDescent="0.25">
      <c r="A106777"/>
      <c r="B106777"/>
      <c r="C106777"/>
      <c r="E106777"/>
      <c r="F106777"/>
    </row>
    <row r="106778" spans="1:6" x14ac:dyDescent="0.25">
      <c r="A106778"/>
      <c r="B106778"/>
      <c r="C106778"/>
      <c r="E106778"/>
      <c r="F106778"/>
    </row>
    <row r="106779" spans="1:6" x14ac:dyDescent="0.25">
      <c r="A106779"/>
      <c r="B106779"/>
      <c r="C106779"/>
      <c r="E106779"/>
      <c r="F106779"/>
    </row>
    <row r="106780" spans="1:6" x14ac:dyDescent="0.25">
      <c r="A106780"/>
      <c r="B106780"/>
      <c r="C106780"/>
      <c r="E106780"/>
      <c r="F106780"/>
    </row>
    <row r="106781" spans="1:6" x14ac:dyDescent="0.25">
      <c r="A106781"/>
      <c r="B106781"/>
      <c r="C106781"/>
      <c r="E106781"/>
      <c r="F106781"/>
    </row>
    <row r="106782" spans="1:6" x14ac:dyDescent="0.25">
      <c r="A106782"/>
      <c r="B106782"/>
      <c r="C106782"/>
      <c r="E106782"/>
      <c r="F106782"/>
    </row>
    <row r="106783" spans="1:6" x14ac:dyDescent="0.25">
      <c r="A106783"/>
      <c r="B106783"/>
      <c r="C106783"/>
      <c r="E106783"/>
      <c r="F106783"/>
    </row>
    <row r="106784" spans="1:6" x14ac:dyDescent="0.25">
      <c r="A106784"/>
      <c r="B106784"/>
      <c r="C106784"/>
      <c r="E106784"/>
      <c r="F106784"/>
    </row>
    <row r="106785" spans="1:6" x14ac:dyDescent="0.25">
      <c r="A106785"/>
      <c r="B106785"/>
      <c r="C106785"/>
      <c r="E106785"/>
      <c r="F106785"/>
    </row>
    <row r="106786" spans="1:6" x14ac:dyDescent="0.25">
      <c r="A106786"/>
      <c r="B106786"/>
      <c r="C106786"/>
      <c r="E106786"/>
      <c r="F106786"/>
    </row>
    <row r="106787" spans="1:6" x14ac:dyDescent="0.25">
      <c r="A106787"/>
      <c r="B106787"/>
      <c r="C106787"/>
      <c r="E106787"/>
      <c r="F106787"/>
    </row>
    <row r="106788" spans="1:6" x14ac:dyDescent="0.25">
      <c r="A106788"/>
      <c r="B106788"/>
      <c r="C106788"/>
      <c r="E106788"/>
      <c r="F106788"/>
    </row>
    <row r="106789" spans="1:6" x14ac:dyDescent="0.25">
      <c r="A106789"/>
      <c r="B106789"/>
      <c r="C106789"/>
      <c r="E106789"/>
      <c r="F106789"/>
    </row>
    <row r="106790" spans="1:6" x14ac:dyDescent="0.25">
      <c r="A106790"/>
      <c r="B106790"/>
      <c r="C106790"/>
      <c r="E106790"/>
      <c r="F106790"/>
    </row>
    <row r="106791" spans="1:6" x14ac:dyDescent="0.25">
      <c r="A106791"/>
      <c r="B106791"/>
      <c r="C106791"/>
      <c r="E106791"/>
      <c r="F106791"/>
    </row>
    <row r="106792" spans="1:6" x14ac:dyDescent="0.25">
      <c r="A106792"/>
      <c r="B106792"/>
      <c r="C106792"/>
      <c r="E106792"/>
      <c r="F106792"/>
    </row>
    <row r="106793" spans="1:6" x14ac:dyDescent="0.25">
      <c r="A106793"/>
      <c r="B106793"/>
      <c r="C106793"/>
      <c r="E106793"/>
      <c r="F106793"/>
    </row>
    <row r="106794" spans="1:6" x14ac:dyDescent="0.25">
      <c r="A106794"/>
      <c r="B106794"/>
      <c r="C106794"/>
      <c r="E106794"/>
      <c r="F106794"/>
    </row>
    <row r="106795" spans="1:6" x14ac:dyDescent="0.25">
      <c r="A106795"/>
      <c r="B106795"/>
      <c r="C106795"/>
      <c r="E106795"/>
      <c r="F106795"/>
    </row>
    <row r="106796" spans="1:6" x14ac:dyDescent="0.25">
      <c r="A106796"/>
      <c r="B106796"/>
      <c r="C106796"/>
      <c r="E106796"/>
      <c r="F106796"/>
    </row>
    <row r="106797" spans="1:6" x14ac:dyDescent="0.25">
      <c r="A106797"/>
      <c r="B106797"/>
      <c r="C106797"/>
      <c r="E106797"/>
      <c r="F106797"/>
    </row>
    <row r="106798" spans="1:6" x14ac:dyDescent="0.25">
      <c r="A106798"/>
      <c r="B106798"/>
      <c r="C106798"/>
      <c r="E106798"/>
      <c r="F106798"/>
    </row>
    <row r="106799" spans="1:6" x14ac:dyDescent="0.25">
      <c r="A106799"/>
      <c r="B106799"/>
      <c r="C106799"/>
      <c r="E106799"/>
      <c r="F106799"/>
    </row>
    <row r="106800" spans="1:6" x14ac:dyDescent="0.25">
      <c r="A106800"/>
      <c r="B106800"/>
      <c r="C106800"/>
      <c r="E106800"/>
      <c r="F106800"/>
    </row>
    <row r="106801" spans="1:6" x14ac:dyDescent="0.25">
      <c r="A106801"/>
      <c r="B106801"/>
      <c r="C106801"/>
      <c r="E106801"/>
      <c r="F106801"/>
    </row>
    <row r="106802" spans="1:6" x14ac:dyDescent="0.25">
      <c r="A106802"/>
      <c r="B106802"/>
      <c r="C106802"/>
      <c r="E106802"/>
      <c r="F106802"/>
    </row>
    <row r="106803" spans="1:6" x14ac:dyDescent="0.25">
      <c r="A106803"/>
      <c r="B106803"/>
      <c r="C106803"/>
      <c r="E106803"/>
      <c r="F106803"/>
    </row>
    <row r="106804" spans="1:6" x14ac:dyDescent="0.25">
      <c r="A106804"/>
      <c r="B106804"/>
      <c r="C106804"/>
      <c r="E106804"/>
      <c r="F106804"/>
    </row>
    <row r="106805" spans="1:6" x14ac:dyDescent="0.25">
      <c r="A106805"/>
      <c r="B106805"/>
      <c r="C106805"/>
      <c r="E106805"/>
      <c r="F106805"/>
    </row>
    <row r="106806" spans="1:6" x14ac:dyDescent="0.25">
      <c r="A106806"/>
      <c r="B106806"/>
      <c r="C106806"/>
      <c r="E106806"/>
      <c r="F106806"/>
    </row>
    <row r="106807" spans="1:6" x14ac:dyDescent="0.25">
      <c r="A106807"/>
      <c r="B106807"/>
      <c r="C106807"/>
      <c r="E106807"/>
      <c r="F106807"/>
    </row>
    <row r="106808" spans="1:6" x14ac:dyDescent="0.25">
      <c r="A106808"/>
      <c r="B106808"/>
      <c r="C106808"/>
      <c r="E106808"/>
      <c r="F106808"/>
    </row>
    <row r="106809" spans="1:6" x14ac:dyDescent="0.25">
      <c r="A106809"/>
      <c r="B106809"/>
      <c r="C106809"/>
      <c r="E106809"/>
      <c r="F106809"/>
    </row>
    <row r="106810" spans="1:6" x14ac:dyDescent="0.25">
      <c r="A106810"/>
      <c r="B106810"/>
      <c r="C106810"/>
      <c r="E106810"/>
      <c r="F106810"/>
    </row>
    <row r="106811" spans="1:6" x14ac:dyDescent="0.25">
      <c r="A106811"/>
      <c r="B106811"/>
      <c r="C106811"/>
      <c r="E106811"/>
      <c r="F106811"/>
    </row>
    <row r="106812" spans="1:6" x14ac:dyDescent="0.25">
      <c r="A106812"/>
      <c r="B106812"/>
      <c r="C106812"/>
      <c r="E106812"/>
      <c r="F106812"/>
    </row>
    <row r="106813" spans="1:6" x14ac:dyDescent="0.25">
      <c r="A106813"/>
      <c r="B106813"/>
      <c r="C106813"/>
      <c r="E106813"/>
      <c r="F106813"/>
    </row>
    <row r="106814" spans="1:6" x14ac:dyDescent="0.25">
      <c r="A106814"/>
      <c r="B106814"/>
      <c r="C106814"/>
      <c r="E106814"/>
      <c r="F106814"/>
    </row>
    <row r="106815" spans="1:6" x14ac:dyDescent="0.25">
      <c r="A106815"/>
      <c r="B106815"/>
      <c r="C106815"/>
      <c r="E106815"/>
      <c r="F106815"/>
    </row>
    <row r="106816" spans="1:6" x14ac:dyDescent="0.25">
      <c r="A106816"/>
      <c r="B106816"/>
      <c r="C106816"/>
      <c r="E106816"/>
      <c r="F106816"/>
    </row>
    <row r="106817" spans="1:6" x14ac:dyDescent="0.25">
      <c r="A106817"/>
      <c r="B106817"/>
      <c r="C106817"/>
      <c r="E106817"/>
      <c r="F106817"/>
    </row>
    <row r="106818" spans="1:6" x14ac:dyDescent="0.25">
      <c r="A106818"/>
      <c r="B106818"/>
      <c r="C106818"/>
      <c r="E106818"/>
      <c r="F106818"/>
    </row>
    <row r="106819" spans="1:6" x14ac:dyDescent="0.25">
      <c r="A106819"/>
      <c r="B106819"/>
      <c r="C106819"/>
      <c r="E106819"/>
      <c r="F106819"/>
    </row>
    <row r="106820" spans="1:6" x14ac:dyDescent="0.25">
      <c r="A106820"/>
      <c r="B106820"/>
      <c r="C106820"/>
      <c r="E106820"/>
      <c r="F106820"/>
    </row>
    <row r="106821" spans="1:6" x14ac:dyDescent="0.25">
      <c r="A106821"/>
      <c r="B106821"/>
      <c r="C106821"/>
      <c r="E106821"/>
      <c r="F106821"/>
    </row>
    <row r="106822" spans="1:6" x14ac:dyDescent="0.25">
      <c r="A106822"/>
      <c r="B106822"/>
      <c r="C106822"/>
      <c r="E106822"/>
      <c r="F106822"/>
    </row>
    <row r="106823" spans="1:6" x14ac:dyDescent="0.25">
      <c r="A106823"/>
      <c r="B106823"/>
      <c r="C106823"/>
      <c r="E106823"/>
      <c r="F106823"/>
    </row>
    <row r="106824" spans="1:6" x14ac:dyDescent="0.25">
      <c r="A106824"/>
      <c r="B106824"/>
      <c r="C106824"/>
      <c r="E106824"/>
      <c r="F106824"/>
    </row>
    <row r="106825" spans="1:6" x14ac:dyDescent="0.25">
      <c r="A106825"/>
      <c r="B106825"/>
      <c r="C106825"/>
      <c r="E106825"/>
      <c r="F106825"/>
    </row>
    <row r="106826" spans="1:6" x14ac:dyDescent="0.25">
      <c r="A106826"/>
      <c r="B106826"/>
      <c r="C106826"/>
      <c r="E106826"/>
      <c r="F106826"/>
    </row>
    <row r="106827" spans="1:6" x14ac:dyDescent="0.25">
      <c r="A106827"/>
      <c r="B106827"/>
      <c r="C106827"/>
      <c r="E106827"/>
      <c r="F106827"/>
    </row>
    <row r="106828" spans="1:6" x14ac:dyDescent="0.25">
      <c r="A106828"/>
      <c r="B106828"/>
      <c r="C106828"/>
      <c r="E106828"/>
      <c r="F106828"/>
    </row>
    <row r="106829" spans="1:6" x14ac:dyDescent="0.25">
      <c r="A106829"/>
      <c r="B106829"/>
      <c r="C106829"/>
      <c r="E106829"/>
      <c r="F106829"/>
    </row>
    <row r="106830" spans="1:6" x14ac:dyDescent="0.25">
      <c r="A106830"/>
      <c r="B106830"/>
      <c r="C106830"/>
      <c r="E106830"/>
      <c r="F106830"/>
    </row>
    <row r="106831" spans="1:6" x14ac:dyDescent="0.25">
      <c r="A106831"/>
      <c r="B106831"/>
      <c r="C106831"/>
      <c r="E106831"/>
      <c r="F106831"/>
    </row>
    <row r="106832" spans="1:6" x14ac:dyDescent="0.25">
      <c r="A106832"/>
      <c r="B106832"/>
      <c r="C106832"/>
      <c r="E106832"/>
      <c r="F106832"/>
    </row>
    <row r="106833" spans="1:6" x14ac:dyDescent="0.25">
      <c r="A106833"/>
      <c r="B106833"/>
      <c r="C106833"/>
      <c r="E106833"/>
      <c r="F106833"/>
    </row>
    <row r="106834" spans="1:6" x14ac:dyDescent="0.25">
      <c r="A106834"/>
      <c r="B106834"/>
      <c r="C106834"/>
      <c r="E106834"/>
      <c r="F106834"/>
    </row>
    <row r="106835" spans="1:6" x14ac:dyDescent="0.25">
      <c r="A106835"/>
      <c r="B106835"/>
      <c r="C106835"/>
      <c r="E106835"/>
      <c r="F106835"/>
    </row>
    <row r="106836" spans="1:6" x14ac:dyDescent="0.25">
      <c r="A106836"/>
      <c r="B106836"/>
      <c r="C106836"/>
      <c r="E106836"/>
      <c r="F106836"/>
    </row>
    <row r="106837" spans="1:6" x14ac:dyDescent="0.25">
      <c r="A106837"/>
      <c r="B106837"/>
      <c r="C106837"/>
      <c r="E106837"/>
      <c r="F106837"/>
    </row>
    <row r="106838" spans="1:6" x14ac:dyDescent="0.25">
      <c r="A106838"/>
      <c r="B106838"/>
      <c r="C106838"/>
      <c r="E106838"/>
      <c r="F106838"/>
    </row>
    <row r="106839" spans="1:6" x14ac:dyDescent="0.25">
      <c r="A106839"/>
      <c r="B106839"/>
      <c r="C106839"/>
      <c r="E106839"/>
      <c r="F106839"/>
    </row>
    <row r="106840" spans="1:6" x14ac:dyDescent="0.25">
      <c r="A106840"/>
      <c r="B106840"/>
      <c r="C106840"/>
      <c r="E106840"/>
      <c r="F106840"/>
    </row>
    <row r="106841" spans="1:6" x14ac:dyDescent="0.25">
      <c r="A106841"/>
      <c r="B106841"/>
      <c r="C106841"/>
      <c r="E106841"/>
      <c r="F106841"/>
    </row>
    <row r="106842" spans="1:6" x14ac:dyDescent="0.25">
      <c r="A106842"/>
      <c r="B106842"/>
      <c r="C106842"/>
      <c r="E106842"/>
      <c r="F106842"/>
    </row>
    <row r="106843" spans="1:6" x14ac:dyDescent="0.25">
      <c r="A106843"/>
      <c r="B106843"/>
      <c r="C106843"/>
      <c r="E106843"/>
      <c r="F106843"/>
    </row>
    <row r="106844" spans="1:6" x14ac:dyDescent="0.25">
      <c r="A106844"/>
      <c r="B106844"/>
      <c r="C106844"/>
      <c r="E106844"/>
      <c r="F106844"/>
    </row>
    <row r="106845" spans="1:6" x14ac:dyDescent="0.25">
      <c r="A106845"/>
      <c r="B106845"/>
      <c r="C106845"/>
      <c r="E106845"/>
      <c r="F106845"/>
    </row>
    <row r="106846" spans="1:6" x14ac:dyDescent="0.25">
      <c r="A106846"/>
      <c r="B106846"/>
      <c r="C106846"/>
      <c r="E106846"/>
      <c r="F106846"/>
    </row>
    <row r="106847" spans="1:6" x14ac:dyDescent="0.25">
      <c r="A106847"/>
      <c r="B106847"/>
      <c r="C106847"/>
      <c r="E106847"/>
      <c r="F106847"/>
    </row>
    <row r="106848" spans="1:6" x14ac:dyDescent="0.25">
      <c r="A106848"/>
      <c r="B106848"/>
      <c r="C106848"/>
      <c r="E106848"/>
      <c r="F106848"/>
    </row>
    <row r="106849" spans="1:6" x14ac:dyDescent="0.25">
      <c r="A106849"/>
      <c r="B106849"/>
      <c r="C106849"/>
      <c r="E106849"/>
      <c r="F106849"/>
    </row>
    <row r="106850" spans="1:6" x14ac:dyDescent="0.25">
      <c r="A106850"/>
      <c r="B106850"/>
      <c r="C106850"/>
      <c r="E106850"/>
      <c r="F106850"/>
    </row>
    <row r="106851" spans="1:6" x14ac:dyDescent="0.25">
      <c r="A106851"/>
      <c r="B106851"/>
      <c r="C106851"/>
      <c r="E106851"/>
      <c r="F106851"/>
    </row>
    <row r="106852" spans="1:6" x14ac:dyDescent="0.25">
      <c r="A106852"/>
      <c r="B106852"/>
      <c r="C106852"/>
      <c r="E106852"/>
      <c r="F106852"/>
    </row>
    <row r="106853" spans="1:6" x14ac:dyDescent="0.25">
      <c r="A106853"/>
      <c r="B106853"/>
      <c r="C106853"/>
      <c r="E106853"/>
      <c r="F106853"/>
    </row>
    <row r="106854" spans="1:6" x14ac:dyDescent="0.25">
      <c r="A106854"/>
      <c r="B106854"/>
      <c r="C106854"/>
      <c r="E106854"/>
      <c r="F106854"/>
    </row>
    <row r="106855" spans="1:6" x14ac:dyDescent="0.25">
      <c r="A106855"/>
      <c r="B106855"/>
      <c r="C106855"/>
      <c r="E106855"/>
      <c r="F106855"/>
    </row>
    <row r="106856" spans="1:6" x14ac:dyDescent="0.25">
      <c r="A106856"/>
      <c r="B106856"/>
      <c r="C106856"/>
      <c r="E106856"/>
      <c r="F106856"/>
    </row>
    <row r="106857" spans="1:6" x14ac:dyDescent="0.25">
      <c r="A106857"/>
      <c r="B106857"/>
      <c r="C106857"/>
      <c r="E106857"/>
      <c r="F106857"/>
    </row>
    <row r="106858" spans="1:6" x14ac:dyDescent="0.25">
      <c r="A106858"/>
      <c r="B106858"/>
      <c r="C106858"/>
      <c r="E106858"/>
      <c r="F106858"/>
    </row>
    <row r="106859" spans="1:6" x14ac:dyDescent="0.25">
      <c r="A106859"/>
      <c r="B106859"/>
      <c r="C106859"/>
      <c r="E106859"/>
      <c r="F106859"/>
    </row>
    <row r="106860" spans="1:6" x14ac:dyDescent="0.25">
      <c r="A106860"/>
      <c r="B106860"/>
      <c r="C106860"/>
      <c r="E106860"/>
      <c r="F106860"/>
    </row>
    <row r="106861" spans="1:6" x14ac:dyDescent="0.25">
      <c r="A106861"/>
      <c r="B106861"/>
      <c r="C106861"/>
      <c r="E106861"/>
      <c r="F106861"/>
    </row>
    <row r="106862" spans="1:6" x14ac:dyDescent="0.25">
      <c r="A106862"/>
      <c r="B106862"/>
      <c r="C106862"/>
      <c r="E106862"/>
      <c r="F106862"/>
    </row>
    <row r="106863" spans="1:6" x14ac:dyDescent="0.25">
      <c r="A106863"/>
      <c r="B106863"/>
      <c r="C106863"/>
      <c r="E106863"/>
      <c r="F106863"/>
    </row>
    <row r="106864" spans="1:6" x14ac:dyDescent="0.25">
      <c r="A106864"/>
      <c r="B106864"/>
      <c r="C106864"/>
      <c r="E106864"/>
      <c r="F106864"/>
    </row>
    <row r="106865" spans="1:6" x14ac:dyDescent="0.25">
      <c r="A106865"/>
      <c r="B106865"/>
      <c r="C106865"/>
      <c r="E106865"/>
      <c r="F106865"/>
    </row>
    <row r="106866" spans="1:6" x14ac:dyDescent="0.25">
      <c r="A106866"/>
      <c r="B106866"/>
      <c r="C106866"/>
      <c r="E106866"/>
      <c r="F106866"/>
    </row>
    <row r="106867" spans="1:6" x14ac:dyDescent="0.25">
      <c r="A106867"/>
      <c r="B106867"/>
      <c r="C106867"/>
      <c r="E106867"/>
      <c r="F106867"/>
    </row>
    <row r="106868" spans="1:6" x14ac:dyDescent="0.25">
      <c r="A106868"/>
      <c r="B106868"/>
      <c r="C106868"/>
      <c r="E106868"/>
      <c r="F106868"/>
    </row>
    <row r="106869" spans="1:6" x14ac:dyDescent="0.25">
      <c r="A106869"/>
      <c r="B106869"/>
      <c r="C106869"/>
      <c r="E106869"/>
      <c r="F106869"/>
    </row>
    <row r="106870" spans="1:6" x14ac:dyDescent="0.25">
      <c r="A106870"/>
      <c r="B106870"/>
      <c r="C106870"/>
      <c r="E106870"/>
      <c r="F106870"/>
    </row>
    <row r="106871" spans="1:6" x14ac:dyDescent="0.25">
      <c r="A106871"/>
      <c r="B106871"/>
      <c r="C106871"/>
      <c r="E106871"/>
      <c r="F106871"/>
    </row>
    <row r="106872" spans="1:6" x14ac:dyDescent="0.25">
      <c r="A106872"/>
      <c r="B106872"/>
      <c r="C106872"/>
      <c r="E106872"/>
      <c r="F106872"/>
    </row>
    <row r="106873" spans="1:6" x14ac:dyDescent="0.25">
      <c r="A106873"/>
      <c r="B106873"/>
      <c r="C106873"/>
      <c r="E106873"/>
      <c r="F106873"/>
    </row>
    <row r="106874" spans="1:6" x14ac:dyDescent="0.25">
      <c r="A106874"/>
      <c r="B106874"/>
      <c r="C106874"/>
      <c r="E106874"/>
      <c r="F106874"/>
    </row>
    <row r="106875" spans="1:6" x14ac:dyDescent="0.25">
      <c r="A106875"/>
      <c r="B106875"/>
      <c r="C106875"/>
      <c r="E106875"/>
      <c r="F106875"/>
    </row>
    <row r="106876" spans="1:6" x14ac:dyDescent="0.25">
      <c r="A106876"/>
      <c r="B106876"/>
      <c r="C106876"/>
      <c r="E106876"/>
      <c r="F106876"/>
    </row>
    <row r="106877" spans="1:6" x14ac:dyDescent="0.25">
      <c r="A106877"/>
      <c r="B106877"/>
      <c r="C106877"/>
      <c r="E106877"/>
      <c r="F106877"/>
    </row>
    <row r="106878" spans="1:6" x14ac:dyDescent="0.25">
      <c r="A106878"/>
      <c r="B106878"/>
      <c r="C106878"/>
      <c r="E106878"/>
      <c r="F106878"/>
    </row>
    <row r="106879" spans="1:6" x14ac:dyDescent="0.25">
      <c r="A106879"/>
      <c r="B106879"/>
      <c r="C106879"/>
      <c r="E106879"/>
      <c r="F106879"/>
    </row>
    <row r="106880" spans="1:6" x14ac:dyDescent="0.25">
      <c r="A106880"/>
      <c r="B106880"/>
      <c r="C106880"/>
      <c r="E106880"/>
      <c r="F106880"/>
    </row>
    <row r="106881" spans="1:6" x14ac:dyDescent="0.25">
      <c r="A106881"/>
      <c r="B106881"/>
      <c r="C106881"/>
      <c r="E106881"/>
      <c r="F106881"/>
    </row>
    <row r="106882" spans="1:6" x14ac:dyDescent="0.25">
      <c r="A106882"/>
      <c r="B106882"/>
      <c r="C106882"/>
      <c r="E106882"/>
      <c r="F106882"/>
    </row>
    <row r="106883" spans="1:6" x14ac:dyDescent="0.25">
      <c r="A106883"/>
      <c r="B106883"/>
      <c r="C106883"/>
      <c r="E106883"/>
      <c r="F106883"/>
    </row>
    <row r="106884" spans="1:6" x14ac:dyDescent="0.25">
      <c r="A106884"/>
      <c r="B106884"/>
      <c r="C106884"/>
      <c r="E106884"/>
      <c r="F106884"/>
    </row>
    <row r="106885" spans="1:6" x14ac:dyDescent="0.25">
      <c r="A106885"/>
      <c r="B106885"/>
      <c r="C106885"/>
      <c r="E106885"/>
      <c r="F106885"/>
    </row>
    <row r="106886" spans="1:6" x14ac:dyDescent="0.25">
      <c r="A106886"/>
      <c r="B106886"/>
      <c r="C106886"/>
      <c r="E106886"/>
      <c r="F106886"/>
    </row>
    <row r="106887" spans="1:6" x14ac:dyDescent="0.25">
      <c r="A106887"/>
      <c r="B106887"/>
      <c r="C106887"/>
      <c r="E106887"/>
      <c r="F106887"/>
    </row>
    <row r="106888" spans="1:6" x14ac:dyDescent="0.25">
      <c r="A106888"/>
      <c r="B106888"/>
      <c r="C106888"/>
      <c r="E106888"/>
      <c r="F106888"/>
    </row>
    <row r="106889" spans="1:6" x14ac:dyDescent="0.25">
      <c r="A106889"/>
      <c r="B106889"/>
      <c r="C106889"/>
      <c r="E106889"/>
      <c r="F106889"/>
    </row>
    <row r="106890" spans="1:6" x14ac:dyDescent="0.25">
      <c r="A106890"/>
      <c r="B106890"/>
      <c r="C106890"/>
      <c r="E106890"/>
      <c r="F106890"/>
    </row>
    <row r="106891" spans="1:6" x14ac:dyDescent="0.25">
      <c r="A106891"/>
      <c r="B106891"/>
      <c r="C106891"/>
      <c r="E106891"/>
      <c r="F106891"/>
    </row>
    <row r="106892" spans="1:6" x14ac:dyDescent="0.25">
      <c r="A106892"/>
      <c r="B106892"/>
      <c r="C106892"/>
      <c r="E106892"/>
      <c r="F106892"/>
    </row>
    <row r="106893" spans="1:6" x14ac:dyDescent="0.25">
      <c r="A106893"/>
      <c r="B106893"/>
      <c r="C106893"/>
      <c r="E106893"/>
      <c r="F106893"/>
    </row>
    <row r="106894" spans="1:6" x14ac:dyDescent="0.25">
      <c r="A106894"/>
      <c r="B106894"/>
      <c r="C106894"/>
      <c r="E106894"/>
      <c r="F106894"/>
    </row>
    <row r="106895" spans="1:6" x14ac:dyDescent="0.25">
      <c r="A106895"/>
      <c r="B106895"/>
      <c r="C106895"/>
      <c r="E106895"/>
      <c r="F106895"/>
    </row>
    <row r="106896" spans="1:6" x14ac:dyDescent="0.25">
      <c r="A106896"/>
      <c r="B106896"/>
      <c r="C106896"/>
      <c r="E106896"/>
      <c r="F106896"/>
    </row>
    <row r="106897" spans="1:6" x14ac:dyDescent="0.25">
      <c r="A106897"/>
      <c r="B106897"/>
      <c r="C106897"/>
      <c r="E106897"/>
      <c r="F106897"/>
    </row>
    <row r="106898" spans="1:6" x14ac:dyDescent="0.25">
      <c r="A106898"/>
      <c r="B106898"/>
      <c r="C106898"/>
      <c r="E106898"/>
      <c r="F106898"/>
    </row>
    <row r="106899" spans="1:6" x14ac:dyDescent="0.25">
      <c r="A106899"/>
      <c r="B106899"/>
      <c r="C106899"/>
      <c r="E106899"/>
      <c r="F106899"/>
    </row>
    <row r="106900" spans="1:6" x14ac:dyDescent="0.25">
      <c r="A106900"/>
      <c r="B106900"/>
      <c r="C106900"/>
      <c r="E106900"/>
      <c r="F106900"/>
    </row>
    <row r="106901" spans="1:6" x14ac:dyDescent="0.25">
      <c r="A106901"/>
      <c r="B106901"/>
      <c r="C106901"/>
      <c r="E106901"/>
      <c r="F106901"/>
    </row>
    <row r="106902" spans="1:6" x14ac:dyDescent="0.25">
      <c r="A106902"/>
      <c r="B106902"/>
      <c r="C106902"/>
      <c r="E106902"/>
      <c r="F106902"/>
    </row>
    <row r="106903" spans="1:6" x14ac:dyDescent="0.25">
      <c r="A106903"/>
      <c r="B106903"/>
      <c r="C106903"/>
      <c r="E106903"/>
      <c r="F106903"/>
    </row>
    <row r="106904" spans="1:6" x14ac:dyDescent="0.25">
      <c r="A106904"/>
      <c r="B106904"/>
      <c r="C106904"/>
      <c r="E106904"/>
      <c r="F106904"/>
    </row>
    <row r="106905" spans="1:6" x14ac:dyDescent="0.25">
      <c r="A106905"/>
      <c r="B106905"/>
      <c r="C106905"/>
      <c r="E106905"/>
      <c r="F106905"/>
    </row>
    <row r="106906" spans="1:6" x14ac:dyDescent="0.25">
      <c r="A106906"/>
      <c r="B106906"/>
      <c r="C106906"/>
      <c r="E106906"/>
      <c r="F106906"/>
    </row>
    <row r="106907" spans="1:6" x14ac:dyDescent="0.25">
      <c r="A106907"/>
      <c r="B106907"/>
      <c r="C106907"/>
      <c r="E106907"/>
      <c r="F106907"/>
    </row>
    <row r="106908" spans="1:6" x14ac:dyDescent="0.25">
      <c r="A106908"/>
      <c r="B106908"/>
      <c r="C106908"/>
      <c r="E106908"/>
      <c r="F106908"/>
    </row>
    <row r="106909" spans="1:6" x14ac:dyDescent="0.25">
      <c r="A106909"/>
      <c r="B106909"/>
      <c r="C106909"/>
      <c r="E106909"/>
      <c r="F106909"/>
    </row>
    <row r="106910" spans="1:6" x14ac:dyDescent="0.25">
      <c r="A106910"/>
      <c r="B106910"/>
      <c r="C106910"/>
      <c r="E106910"/>
      <c r="F106910"/>
    </row>
    <row r="106911" spans="1:6" x14ac:dyDescent="0.25">
      <c r="A106911"/>
      <c r="B106911"/>
      <c r="C106911"/>
      <c r="E106911"/>
      <c r="F106911"/>
    </row>
    <row r="106912" spans="1:6" x14ac:dyDescent="0.25">
      <c r="A106912"/>
      <c r="B106912"/>
      <c r="C106912"/>
      <c r="E106912"/>
      <c r="F106912"/>
    </row>
    <row r="106913" spans="1:6" x14ac:dyDescent="0.25">
      <c r="A106913"/>
      <c r="B106913"/>
      <c r="C106913"/>
      <c r="E106913"/>
      <c r="F106913"/>
    </row>
    <row r="106914" spans="1:6" x14ac:dyDescent="0.25">
      <c r="A106914"/>
      <c r="B106914"/>
      <c r="C106914"/>
      <c r="E106914"/>
      <c r="F106914"/>
    </row>
    <row r="106915" spans="1:6" x14ac:dyDescent="0.25">
      <c r="A106915"/>
      <c r="B106915"/>
      <c r="C106915"/>
      <c r="E106915"/>
      <c r="F106915"/>
    </row>
    <row r="106916" spans="1:6" x14ac:dyDescent="0.25">
      <c r="A106916"/>
      <c r="B106916"/>
      <c r="C106916"/>
      <c r="E106916"/>
      <c r="F106916"/>
    </row>
    <row r="106917" spans="1:6" x14ac:dyDescent="0.25">
      <c r="A106917"/>
      <c r="B106917"/>
      <c r="C106917"/>
      <c r="E106917"/>
      <c r="F106917"/>
    </row>
    <row r="106918" spans="1:6" x14ac:dyDescent="0.25">
      <c r="A106918"/>
      <c r="B106918"/>
      <c r="C106918"/>
      <c r="E106918"/>
      <c r="F106918"/>
    </row>
    <row r="106919" spans="1:6" x14ac:dyDescent="0.25">
      <c r="A106919"/>
      <c r="B106919"/>
      <c r="C106919"/>
      <c r="E106919"/>
      <c r="F106919"/>
    </row>
    <row r="106920" spans="1:6" x14ac:dyDescent="0.25">
      <c r="A106920"/>
      <c r="B106920"/>
      <c r="C106920"/>
      <c r="E106920"/>
      <c r="F106920"/>
    </row>
    <row r="106921" spans="1:6" x14ac:dyDescent="0.25">
      <c r="A106921"/>
      <c r="B106921"/>
      <c r="C106921"/>
      <c r="E106921"/>
      <c r="F106921"/>
    </row>
    <row r="106922" spans="1:6" x14ac:dyDescent="0.25">
      <c r="A106922"/>
      <c r="B106922"/>
      <c r="C106922"/>
      <c r="E106922"/>
      <c r="F106922"/>
    </row>
    <row r="106923" spans="1:6" x14ac:dyDescent="0.25">
      <c r="A106923"/>
      <c r="B106923"/>
      <c r="C106923"/>
      <c r="E106923"/>
      <c r="F106923"/>
    </row>
    <row r="106924" spans="1:6" x14ac:dyDescent="0.25">
      <c r="A106924"/>
      <c r="B106924"/>
      <c r="C106924"/>
      <c r="E106924"/>
      <c r="F106924"/>
    </row>
    <row r="106925" spans="1:6" x14ac:dyDescent="0.25">
      <c r="A106925"/>
      <c r="B106925"/>
      <c r="C106925"/>
      <c r="E106925"/>
      <c r="F106925"/>
    </row>
    <row r="106926" spans="1:6" x14ac:dyDescent="0.25">
      <c r="A106926"/>
      <c r="B106926"/>
      <c r="C106926"/>
      <c r="E106926"/>
      <c r="F106926"/>
    </row>
    <row r="106927" spans="1:6" x14ac:dyDescent="0.25">
      <c r="A106927"/>
      <c r="B106927"/>
      <c r="C106927"/>
      <c r="E106927"/>
      <c r="F106927"/>
    </row>
    <row r="106928" spans="1:6" x14ac:dyDescent="0.25">
      <c r="A106928"/>
      <c r="B106928"/>
      <c r="C106928"/>
      <c r="E106928"/>
      <c r="F106928"/>
    </row>
    <row r="106929" spans="1:6" x14ac:dyDescent="0.25">
      <c r="A106929"/>
      <c r="B106929"/>
      <c r="C106929"/>
      <c r="E106929"/>
      <c r="F106929"/>
    </row>
    <row r="106930" spans="1:6" x14ac:dyDescent="0.25">
      <c r="A106930"/>
      <c r="B106930"/>
      <c r="C106930"/>
      <c r="E106930"/>
      <c r="F106930"/>
    </row>
    <row r="106931" spans="1:6" x14ac:dyDescent="0.25">
      <c r="A106931"/>
      <c r="B106931"/>
      <c r="C106931"/>
      <c r="E106931"/>
      <c r="F106931"/>
    </row>
    <row r="106932" spans="1:6" x14ac:dyDescent="0.25">
      <c r="A106932"/>
      <c r="B106932"/>
      <c r="C106932"/>
      <c r="E106932"/>
      <c r="F106932"/>
    </row>
    <row r="106933" spans="1:6" x14ac:dyDescent="0.25">
      <c r="A106933"/>
      <c r="B106933"/>
      <c r="C106933"/>
      <c r="E106933"/>
      <c r="F106933"/>
    </row>
    <row r="106934" spans="1:6" x14ac:dyDescent="0.25">
      <c r="A106934"/>
      <c r="B106934"/>
      <c r="C106934"/>
      <c r="E106934"/>
      <c r="F106934"/>
    </row>
    <row r="106935" spans="1:6" x14ac:dyDescent="0.25">
      <c r="A106935"/>
      <c r="B106935"/>
      <c r="C106935"/>
      <c r="E106935"/>
      <c r="F106935"/>
    </row>
    <row r="106936" spans="1:6" x14ac:dyDescent="0.25">
      <c r="A106936"/>
      <c r="B106936"/>
      <c r="C106936"/>
      <c r="E106936"/>
      <c r="F106936"/>
    </row>
    <row r="106937" spans="1:6" x14ac:dyDescent="0.25">
      <c r="A106937"/>
      <c r="B106937"/>
      <c r="C106937"/>
      <c r="E106937"/>
      <c r="F106937"/>
    </row>
    <row r="106938" spans="1:6" x14ac:dyDescent="0.25">
      <c r="A106938"/>
      <c r="B106938"/>
      <c r="C106938"/>
      <c r="E106938"/>
      <c r="F106938"/>
    </row>
    <row r="106939" spans="1:6" x14ac:dyDescent="0.25">
      <c r="A106939"/>
      <c r="B106939"/>
      <c r="C106939"/>
      <c r="E106939"/>
      <c r="F106939"/>
    </row>
    <row r="106940" spans="1:6" x14ac:dyDescent="0.25">
      <c r="A106940"/>
      <c r="B106940"/>
      <c r="C106940"/>
      <c r="E106940"/>
      <c r="F106940"/>
    </row>
    <row r="106941" spans="1:6" x14ac:dyDescent="0.25">
      <c r="A106941"/>
      <c r="B106941"/>
      <c r="C106941"/>
      <c r="E106941"/>
      <c r="F106941"/>
    </row>
    <row r="106942" spans="1:6" x14ac:dyDescent="0.25">
      <c r="A106942"/>
      <c r="B106942"/>
      <c r="C106942"/>
      <c r="E106942"/>
      <c r="F106942"/>
    </row>
    <row r="106943" spans="1:6" x14ac:dyDescent="0.25">
      <c r="A106943"/>
      <c r="B106943"/>
      <c r="C106943"/>
      <c r="E106943"/>
      <c r="F106943"/>
    </row>
    <row r="106944" spans="1:6" x14ac:dyDescent="0.25">
      <c r="A106944"/>
      <c r="B106944"/>
      <c r="C106944"/>
      <c r="E106944"/>
      <c r="F106944"/>
    </row>
    <row r="106945" spans="1:6" x14ac:dyDescent="0.25">
      <c r="A106945"/>
      <c r="B106945"/>
      <c r="C106945"/>
      <c r="E106945"/>
      <c r="F106945"/>
    </row>
    <row r="106946" spans="1:6" x14ac:dyDescent="0.25">
      <c r="A106946"/>
      <c r="B106946"/>
      <c r="C106946"/>
      <c r="E106946"/>
      <c r="F106946"/>
    </row>
    <row r="106947" spans="1:6" x14ac:dyDescent="0.25">
      <c r="A106947"/>
      <c r="B106947"/>
      <c r="C106947"/>
      <c r="E106947"/>
      <c r="F106947"/>
    </row>
    <row r="106948" spans="1:6" x14ac:dyDescent="0.25">
      <c r="A106948"/>
      <c r="B106948"/>
      <c r="C106948"/>
      <c r="E106948"/>
      <c r="F106948"/>
    </row>
    <row r="106949" spans="1:6" x14ac:dyDescent="0.25">
      <c r="A106949"/>
      <c r="B106949"/>
      <c r="C106949"/>
      <c r="E106949"/>
      <c r="F106949"/>
    </row>
    <row r="106950" spans="1:6" x14ac:dyDescent="0.25">
      <c r="A106950"/>
      <c r="B106950"/>
      <c r="C106950"/>
      <c r="E106950"/>
      <c r="F106950"/>
    </row>
    <row r="106951" spans="1:6" x14ac:dyDescent="0.25">
      <c r="A106951"/>
      <c r="B106951"/>
      <c r="C106951"/>
      <c r="E106951"/>
      <c r="F106951"/>
    </row>
    <row r="106952" spans="1:6" x14ac:dyDescent="0.25">
      <c r="A106952"/>
      <c r="B106952"/>
      <c r="C106952"/>
      <c r="E106952"/>
      <c r="F106952"/>
    </row>
    <row r="106953" spans="1:6" x14ac:dyDescent="0.25">
      <c r="A106953"/>
      <c r="B106953"/>
      <c r="C106953"/>
      <c r="E106953"/>
      <c r="F106953"/>
    </row>
    <row r="106954" spans="1:6" x14ac:dyDescent="0.25">
      <c r="A106954"/>
      <c r="B106954"/>
      <c r="C106954"/>
      <c r="E106954"/>
      <c r="F106954"/>
    </row>
    <row r="106955" spans="1:6" x14ac:dyDescent="0.25">
      <c r="A106955"/>
      <c r="B106955"/>
      <c r="C106955"/>
      <c r="E106955"/>
      <c r="F106955"/>
    </row>
    <row r="106956" spans="1:6" x14ac:dyDescent="0.25">
      <c r="A106956"/>
      <c r="B106956"/>
      <c r="C106956"/>
      <c r="E106956"/>
      <c r="F106956"/>
    </row>
    <row r="106957" spans="1:6" x14ac:dyDescent="0.25">
      <c r="A106957"/>
      <c r="B106957"/>
      <c r="C106957"/>
      <c r="E106957"/>
      <c r="F106957"/>
    </row>
    <row r="106958" spans="1:6" x14ac:dyDescent="0.25">
      <c r="A106958"/>
      <c r="B106958"/>
      <c r="C106958"/>
      <c r="E106958"/>
      <c r="F106958"/>
    </row>
    <row r="106959" spans="1:6" x14ac:dyDescent="0.25">
      <c r="A106959"/>
      <c r="B106959"/>
      <c r="C106959"/>
      <c r="E106959"/>
      <c r="F106959"/>
    </row>
    <row r="106960" spans="1:6" x14ac:dyDescent="0.25">
      <c r="A106960"/>
      <c r="B106960"/>
      <c r="C106960"/>
      <c r="E106960"/>
      <c r="F106960"/>
    </row>
    <row r="106961" spans="1:6" x14ac:dyDescent="0.25">
      <c r="A106961"/>
      <c r="B106961"/>
      <c r="C106961"/>
      <c r="E106961"/>
      <c r="F106961"/>
    </row>
    <row r="106962" spans="1:6" x14ac:dyDescent="0.25">
      <c r="A106962"/>
      <c r="B106962"/>
      <c r="C106962"/>
      <c r="E106962"/>
      <c r="F106962"/>
    </row>
    <row r="106963" spans="1:6" x14ac:dyDescent="0.25">
      <c r="A106963"/>
      <c r="B106963"/>
      <c r="C106963"/>
      <c r="E106963"/>
      <c r="F106963"/>
    </row>
    <row r="106964" spans="1:6" x14ac:dyDescent="0.25">
      <c r="A106964"/>
      <c r="B106964"/>
      <c r="C106964"/>
      <c r="E106964"/>
      <c r="F106964"/>
    </row>
    <row r="106965" spans="1:6" x14ac:dyDescent="0.25">
      <c r="A106965"/>
      <c r="B106965"/>
      <c r="C106965"/>
      <c r="E106965"/>
      <c r="F106965"/>
    </row>
    <row r="106966" spans="1:6" x14ac:dyDescent="0.25">
      <c r="A106966"/>
      <c r="B106966"/>
      <c r="C106966"/>
      <c r="E106966"/>
      <c r="F106966"/>
    </row>
    <row r="106967" spans="1:6" x14ac:dyDescent="0.25">
      <c r="A106967"/>
      <c r="B106967"/>
      <c r="C106967"/>
      <c r="E106967"/>
      <c r="F106967"/>
    </row>
    <row r="106968" spans="1:6" x14ac:dyDescent="0.25">
      <c r="A106968"/>
      <c r="B106968"/>
      <c r="C106968"/>
      <c r="E106968"/>
      <c r="F106968"/>
    </row>
    <row r="106969" spans="1:6" x14ac:dyDescent="0.25">
      <c r="A106969"/>
      <c r="B106969"/>
      <c r="C106969"/>
      <c r="E106969"/>
      <c r="F106969"/>
    </row>
    <row r="106970" spans="1:6" x14ac:dyDescent="0.25">
      <c r="A106970"/>
      <c r="B106970"/>
      <c r="C106970"/>
      <c r="E106970"/>
      <c r="F106970"/>
    </row>
    <row r="106971" spans="1:6" x14ac:dyDescent="0.25">
      <c r="A106971"/>
      <c r="B106971"/>
      <c r="C106971"/>
      <c r="E106971"/>
      <c r="F106971"/>
    </row>
    <row r="106972" spans="1:6" x14ac:dyDescent="0.25">
      <c r="A106972"/>
      <c r="B106972"/>
      <c r="C106972"/>
      <c r="E106972"/>
      <c r="F106972"/>
    </row>
    <row r="106973" spans="1:6" x14ac:dyDescent="0.25">
      <c r="A106973"/>
      <c r="B106973"/>
      <c r="C106973"/>
      <c r="E106973"/>
      <c r="F106973"/>
    </row>
    <row r="106974" spans="1:6" x14ac:dyDescent="0.25">
      <c r="A106974"/>
      <c r="B106974"/>
      <c r="C106974"/>
      <c r="E106974"/>
      <c r="F106974"/>
    </row>
    <row r="106975" spans="1:6" x14ac:dyDescent="0.25">
      <c r="A106975"/>
      <c r="B106975"/>
      <c r="C106975"/>
      <c r="E106975"/>
      <c r="F106975"/>
    </row>
    <row r="106976" spans="1:6" x14ac:dyDescent="0.25">
      <c r="A106976"/>
      <c r="B106976"/>
      <c r="C106976"/>
      <c r="E106976"/>
      <c r="F106976"/>
    </row>
    <row r="106977" spans="1:6" x14ac:dyDescent="0.25">
      <c r="A106977"/>
      <c r="B106977"/>
      <c r="C106977"/>
      <c r="E106977"/>
      <c r="F106977"/>
    </row>
    <row r="106978" spans="1:6" x14ac:dyDescent="0.25">
      <c r="A106978"/>
      <c r="B106978"/>
      <c r="C106978"/>
      <c r="E106978"/>
      <c r="F106978"/>
    </row>
    <row r="106979" spans="1:6" x14ac:dyDescent="0.25">
      <c r="A106979"/>
      <c r="B106979"/>
      <c r="C106979"/>
      <c r="E106979"/>
      <c r="F106979"/>
    </row>
    <row r="106980" spans="1:6" x14ac:dyDescent="0.25">
      <c r="A106980"/>
      <c r="B106980"/>
      <c r="C106980"/>
      <c r="E106980"/>
      <c r="F106980"/>
    </row>
    <row r="106981" spans="1:6" x14ac:dyDescent="0.25">
      <c r="A106981"/>
      <c r="B106981"/>
      <c r="C106981"/>
      <c r="E106981"/>
      <c r="F106981"/>
    </row>
    <row r="106982" spans="1:6" x14ac:dyDescent="0.25">
      <c r="A106982"/>
      <c r="B106982"/>
      <c r="C106982"/>
      <c r="E106982"/>
      <c r="F106982"/>
    </row>
    <row r="106983" spans="1:6" x14ac:dyDescent="0.25">
      <c r="A106983"/>
      <c r="B106983"/>
      <c r="C106983"/>
      <c r="E106983"/>
      <c r="F106983"/>
    </row>
    <row r="106984" spans="1:6" x14ac:dyDescent="0.25">
      <c r="A106984"/>
      <c r="B106984"/>
      <c r="C106984"/>
      <c r="E106984"/>
      <c r="F106984"/>
    </row>
    <row r="106985" spans="1:6" x14ac:dyDescent="0.25">
      <c r="A106985"/>
      <c r="B106985"/>
      <c r="C106985"/>
      <c r="E106985"/>
      <c r="F106985"/>
    </row>
    <row r="106986" spans="1:6" x14ac:dyDescent="0.25">
      <c r="A106986"/>
      <c r="B106986"/>
      <c r="C106986"/>
      <c r="E106986"/>
      <c r="F106986"/>
    </row>
    <row r="106987" spans="1:6" x14ac:dyDescent="0.25">
      <c r="A106987"/>
      <c r="B106987"/>
      <c r="C106987"/>
      <c r="E106987"/>
      <c r="F106987"/>
    </row>
    <row r="106988" spans="1:6" x14ac:dyDescent="0.25">
      <c r="A106988"/>
      <c r="B106988"/>
      <c r="C106988"/>
      <c r="E106988"/>
      <c r="F106988"/>
    </row>
    <row r="106989" spans="1:6" x14ac:dyDescent="0.25">
      <c r="A106989"/>
      <c r="B106989"/>
      <c r="C106989"/>
      <c r="E106989"/>
      <c r="F106989"/>
    </row>
    <row r="106990" spans="1:6" x14ac:dyDescent="0.25">
      <c r="A106990"/>
      <c r="B106990"/>
      <c r="C106990"/>
      <c r="E106990"/>
      <c r="F106990"/>
    </row>
    <row r="106991" spans="1:6" x14ac:dyDescent="0.25">
      <c r="A106991"/>
      <c r="B106991"/>
      <c r="C106991"/>
      <c r="E106991"/>
      <c r="F106991"/>
    </row>
    <row r="106992" spans="1:6" x14ac:dyDescent="0.25">
      <c r="A106992"/>
      <c r="B106992"/>
      <c r="C106992"/>
      <c r="E106992"/>
      <c r="F106992"/>
    </row>
    <row r="106993" spans="1:6" x14ac:dyDescent="0.25">
      <c r="A106993"/>
      <c r="B106993"/>
      <c r="C106993"/>
      <c r="E106993"/>
      <c r="F106993"/>
    </row>
    <row r="106994" spans="1:6" x14ac:dyDescent="0.25">
      <c r="A106994"/>
      <c r="B106994"/>
      <c r="C106994"/>
      <c r="E106994"/>
      <c r="F106994"/>
    </row>
    <row r="106995" spans="1:6" x14ac:dyDescent="0.25">
      <c r="A106995"/>
      <c r="B106995"/>
      <c r="C106995"/>
      <c r="E106995"/>
      <c r="F106995"/>
    </row>
    <row r="106996" spans="1:6" x14ac:dyDescent="0.25">
      <c r="A106996"/>
      <c r="B106996"/>
      <c r="C106996"/>
      <c r="E106996"/>
      <c r="F106996"/>
    </row>
    <row r="106997" spans="1:6" x14ac:dyDescent="0.25">
      <c r="A106997"/>
      <c r="B106997"/>
      <c r="C106997"/>
      <c r="E106997"/>
      <c r="F106997"/>
    </row>
    <row r="106998" spans="1:6" x14ac:dyDescent="0.25">
      <c r="A106998"/>
      <c r="B106998"/>
      <c r="C106998"/>
      <c r="E106998"/>
      <c r="F106998"/>
    </row>
    <row r="106999" spans="1:6" x14ac:dyDescent="0.25">
      <c r="A106999"/>
      <c r="B106999"/>
      <c r="C106999"/>
      <c r="E106999"/>
      <c r="F106999"/>
    </row>
    <row r="107000" spans="1:6" x14ac:dyDescent="0.25">
      <c r="A107000"/>
      <c r="B107000"/>
      <c r="C107000"/>
      <c r="E107000"/>
      <c r="F107000"/>
    </row>
    <row r="107001" spans="1:6" x14ac:dyDescent="0.25">
      <c r="A107001"/>
      <c r="B107001"/>
      <c r="C107001"/>
      <c r="E107001"/>
      <c r="F107001"/>
    </row>
    <row r="107002" spans="1:6" x14ac:dyDescent="0.25">
      <c r="A107002"/>
      <c r="B107002"/>
      <c r="C107002"/>
      <c r="E107002"/>
      <c r="F107002"/>
    </row>
    <row r="107003" spans="1:6" x14ac:dyDescent="0.25">
      <c r="A107003"/>
      <c r="B107003"/>
      <c r="C107003"/>
      <c r="E107003"/>
      <c r="F107003"/>
    </row>
    <row r="107004" spans="1:6" x14ac:dyDescent="0.25">
      <c r="A107004"/>
      <c r="B107004"/>
      <c r="C107004"/>
      <c r="E107004"/>
      <c r="F107004"/>
    </row>
    <row r="107005" spans="1:6" x14ac:dyDescent="0.25">
      <c r="A107005"/>
      <c r="B107005"/>
      <c r="C107005"/>
      <c r="E107005"/>
      <c r="F107005"/>
    </row>
    <row r="107006" spans="1:6" x14ac:dyDescent="0.25">
      <c r="A107006"/>
      <c r="B107006"/>
      <c r="C107006"/>
      <c r="E107006"/>
      <c r="F107006"/>
    </row>
    <row r="107007" spans="1:6" x14ac:dyDescent="0.25">
      <c r="A107007"/>
      <c r="B107007"/>
      <c r="C107007"/>
      <c r="E107007"/>
      <c r="F107007"/>
    </row>
    <row r="107008" spans="1:6" x14ac:dyDescent="0.25">
      <c r="A107008"/>
      <c r="B107008"/>
      <c r="C107008"/>
      <c r="E107008"/>
      <c r="F107008"/>
    </row>
    <row r="107009" spans="1:6" x14ac:dyDescent="0.25">
      <c r="A107009"/>
      <c r="B107009"/>
      <c r="C107009"/>
      <c r="E107009"/>
      <c r="F107009"/>
    </row>
    <row r="107010" spans="1:6" x14ac:dyDescent="0.25">
      <c r="A107010"/>
      <c r="B107010"/>
      <c r="C107010"/>
      <c r="E107010"/>
      <c r="F107010"/>
    </row>
    <row r="107011" spans="1:6" x14ac:dyDescent="0.25">
      <c r="A107011"/>
      <c r="B107011"/>
      <c r="C107011"/>
      <c r="E107011"/>
      <c r="F107011"/>
    </row>
    <row r="107012" spans="1:6" x14ac:dyDescent="0.25">
      <c r="A107012"/>
      <c r="B107012"/>
      <c r="C107012"/>
      <c r="E107012"/>
      <c r="F107012"/>
    </row>
    <row r="107013" spans="1:6" x14ac:dyDescent="0.25">
      <c r="A107013"/>
      <c r="B107013"/>
      <c r="C107013"/>
      <c r="E107013"/>
      <c r="F107013"/>
    </row>
    <row r="107014" spans="1:6" x14ac:dyDescent="0.25">
      <c r="A107014"/>
      <c r="B107014"/>
      <c r="C107014"/>
      <c r="E107014"/>
      <c r="F107014"/>
    </row>
    <row r="107015" spans="1:6" x14ac:dyDescent="0.25">
      <c r="A107015"/>
      <c r="B107015"/>
      <c r="C107015"/>
      <c r="E107015"/>
      <c r="F107015"/>
    </row>
    <row r="107016" spans="1:6" x14ac:dyDescent="0.25">
      <c r="A107016"/>
      <c r="B107016"/>
      <c r="C107016"/>
      <c r="E107016"/>
      <c r="F107016"/>
    </row>
    <row r="107017" spans="1:6" x14ac:dyDescent="0.25">
      <c r="A107017"/>
      <c r="B107017"/>
      <c r="C107017"/>
      <c r="E107017"/>
      <c r="F107017"/>
    </row>
    <row r="107018" spans="1:6" x14ac:dyDescent="0.25">
      <c r="A107018"/>
      <c r="B107018"/>
      <c r="C107018"/>
      <c r="E107018"/>
      <c r="F107018"/>
    </row>
    <row r="107019" spans="1:6" x14ac:dyDescent="0.25">
      <c r="A107019"/>
      <c r="B107019"/>
      <c r="C107019"/>
      <c r="E107019"/>
      <c r="F107019"/>
    </row>
    <row r="107020" spans="1:6" x14ac:dyDescent="0.25">
      <c r="A107020"/>
      <c r="B107020"/>
      <c r="C107020"/>
      <c r="E107020"/>
      <c r="F107020"/>
    </row>
    <row r="107021" spans="1:6" x14ac:dyDescent="0.25">
      <c r="A107021"/>
      <c r="B107021"/>
      <c r="C107021"/>
      <c r="E107021"/>
      <c r="F107021"/>
    </row>
    <row r="107022" spans="1:6" x14ac:dyDescent="0.25">
      <c r="A107022"/>
      <c r="B107022"/>
      <c r="C107022"/>
      <c r="E107022"/>
      <c r="F107022"/>
    </row>
    <row r="107023" spans="1:6" x14ac:dyDescent="0.25">
      <c r="A107023"/>
      <c r="B107023"/>
      <c r="C107023"/>
      <c r="E107023"/>
      <c r="F107023"/>
    </row>
    <row r="107024" spans="1:6" x14ac:dyDescent="0.25">
      <c r="A107024"/>
      <c r="B107024"/>
      <c r="C107024"/>
      <c r="E107024"/>
      <c r="F107024"/>
    </row>
    <row r="107025" spans="1:6" x14ac:dyDescent="0.25">
      <c r="A107025"/>
      <c r="B107025"/>
      <c r="C107025"/>
      <c r="E107025"/>
      <c r="F107025"/>
    </row>
    <row r="107026" spans="1:6" x14ac:dyDescent="0.25">
      <c r="A107026"/>
      <c r="B107026"/>
      <c r="C107026"/>
      <c r="E107026"/>
      <c r="F107026"/>
    </row>
    <row r="107027" spans="1:6" x14ac:dyDescent="0.25">
      <c r="A107027"/>
      <c r="B107027"/>
      <c r="C107027"/>
      <c r="E107027"/>
      <c r="F107027"/>
    </row>
    <row r="107028" spans="1:6" x14ac:dyDescent="0.25">
      <c r="A107028"/>
      <c r="B107028"/>
      <c r="C107028"/>
      <c r="E107028"/>
      <c r="F107028"/>
    </row>
    <row r="107029" spans="1:6" x14ac:dyDescent="0.25">
      <c r="A107029"/>
      <c r="B107029"/>
      <c r="C107029"/>
      <c r="E107029"/>
      <c r="F107029"/>
    </row>
    <row r="107030" spans="1:6" x14ac:dyDescent="0.25">
      <c r="A107030"/>
      <c r="B107030"/>
      <c r="C107030"/>
      <c r="E107030"/>
      <c r="F107030"/>
    </row>
    <row r="107031" spans="1:6" x14ac:dyDescent="0.25">
      <c r="A107031"/>
      <c r="B107031"/>
      <c r="C107031"/>
      <c r="E107031"/>
      <c r="F107031"/>
    </row>
    <row r="107032" spans="1:6" x14ac:dyDescent="0.25">
      <c r="A107032"/>
      <c r="B107032"/>
      <c r="C107032"/>
      <c r="E107032"/>
      <c r="F107032"/>
    </row>
    <row r="107033" spans="1:6" x14ac:dyDescent="0.25">
      <c r="A107033"/>
      <c r="B107033"/>
      <c r="C107033"/>
      <c r="E107033"/>
      <c r="F107033"/>
    </row>
    <row r="107034" spans="1:6" x14ac:dyDescent="0.25">
      <c r="A107034"/>
      <c r="B107034"/>
      <c r="C107034"/>
      <c r="E107034"/>
      <c r="F107034"/>
    </row>
    <row r="107035" spans="1:6" x14ac:dyDescent="0.25">
      <c r="A107035"/>
      <c r="B107035"/>
      <c r="C107035"/>
      <c r="E107035"/>
      <c r="F107035"/>
    </row>
    <row r="107036" spans="1:6" x14ac:dyDescent="0.25">
      <c r="A107036"/>
      <c r="B107036"/>
      <c r="C107036"/>
      <c r="E107036"/>
      <c r="F107036"/>
    </row>
    <row r="107037" spans="1:6" x14ac:dyDescent="0.25">
      <c r="A107037"/>
      <c r="B107037"/>
      <c r="C107037"/>
      <c r="E107037"/>
      <c r="F107037"/>
    </row>
    <row r="107038" spans="1:6" x14ac:dyDescent="0.25">
      <c r="A107038"/>
      <c r="B107038"/>
      <c r="C107038"/>
      <c r="E107038"/>
      <c r="F107038"/>
    </row>
    <row r="107039" spans="1:6" x14ac:dyDescent="0.25">
      <c r="A107039"/>
      <c r="B107039"/>
      <c r="C107039"/>
      <c r="E107039"/>
      <c r="F107039"/>
    </row>
    <row r="107040" spans="1:6" x14ac:dyDescent="0.25">
      <c r="A107040"/>
      <c r="B107040"/>
      <c r="C107040"/>
      <c r="E107040"/>
      <c r="F107040"/>
    </row>
    <row r="107041" spans="1:6" x14ac:dyDescent="0.25">
      <c r="A107041"/>
      <c r="B107041"/>
      <c r="C107041"/>
      <c r="E107041"/>
      <c r="F107041"/>
    </row>
    <row r="107042" spans="1:6" x14ac:dyDescent="0.25">
      <c r="A107042"/>
      <c r="B107042"/>
      <c r="C107042"/>
      <c r="E107042"/>
      <c r="F107042"/>
    </row>
    <row r="107043" spans="1:6" x14ac:dyDescent="0.25">
      <c r="A107043"/>
      <c r="B107043"/>
      <c r="C107043"/>
      <c r="E107043"/>
      <c r="F107043"/>
    </row>
    <row r="107044" spans="1:6" x14ac:dyDescent="0.25">
      <c r="A107044"/>
      <c r="B107044"/>
      <c r="C107044"/>
      <c r="E107044"/>
      <c r="F107044"/>
    </row>
    <row r="107045" spans="1:6" x14ac:dyDescent="0.25">
      <c r="A107045"/>
      <c r="B107045"/>
      <c r="C107045"/>
      <c r="E107045"/>
      <c r="F107045"/>
    </row>
    <row r="107046" spans="1:6" x14ac:dyDescent="0.25">
      <c r="A107046"/>
      <c r="B107046"/>
      <c r="C107046"/>
      <c r="E107046"/>
      <c r="F107046"/>
    </row>
    <row r="107047" spans="1:6" x14ac:dyDescent="0.25">
      <c r="A107047"/>
      <c r="B107047"/>
      <c r="C107047"/>
      <c r="E107047"/>
      <c r="F107047"/>
    </row>
    <row r="107048" spans="1:6" x14ac:dyDescent="0.25">
      <c r="A107048"/>
      <c r="B107048"/>
      <c r="C107048"/>
      <c r="E107048"/>
      <c r="F107048"/>
    </row>
    <row r="107049" spans="1:6" x14ac:dyDescent="0.25">
      <c r="A107049"/>
      <c r="B107049"/>
      <c r="C107049"/>
      <c r="E107049"/>
      <c r="F107049"/>
    </row>
    <row r="107050" spans="1:6" x14ac:dyDescent="0.25">
      <c r="A107050"/>
      <c r="B107050"/>
      <c r="C107050"/>
      <c r="E107050"/>
      <c r="F107050"/>
    </row>
    <row r="107051" spans="1:6" x14ac:dyDescent="0.25">
      <c r="A107051"/>
      <c r="B107051"/>
      <c r="C107051"/>
      <c r="E107051"/>
      <c r="F107051"/>
    </row>
    <row r="107052" spans="1:6" x14ac:dyDescent="0.25">
      <c r="A107052"/>
      <c r="B107052"/>
      <c r="C107052"/>
      <c r="E107052"/>
      <c r="F107052"/>
    </row>
    <row r="107053" spans="1:6" x14ac:dyDescent="0.25">
      <c r="A107053"/>
      <c r="B107053"/>
      <c r="C107053"/>
      <c r="E107053"/>
      <c r="F107053"/>
    </row>
    <row r="107054" spans="1:6" x14ac:dyDescent="0.25">
      <c r="A107054"/>
      <c r="B107054"/>
      <c r="C107054"/>
      <c r="E107054"/>
      <c r="F107054"/>
    </row>
    <row r="107055" spans="1:6" x14ac:dyDescent="0.25">
      <c r="A107055"/>
      <c r="B107055"/>
      <c r="C107055"/>
      <c r="E107055"/>
      <c r="F107055"/>
    </row>
    <row r="107056" spans="1:6" x14ac:dyDescent="0.25">
      <c r="A107056"/>
      <c r="B107056"/>
      <c r="C107056"/>
      <c r="E107056"/>
      <c r="F107056"/>
    </row>
    <row r="107057" spans="1:6" x14ac:dyDescent="0.25">
      <c r="A107057"/>
      <c r="B107057"/>
      <c r="C107057"/>
      <c r="E107057"/>
      <c r="F107057"/>
    </row>
    <row r="107058" spans="1:6" x14ac:dyDescent="0.25">
      <c r="A107058"/>
      <c r="B107058"/>
      <c r="C107058"/>
      <c r="E107058"/>
      <c r="F107058"/>
    </row>
    <row r="107059" spans="1:6" x14ac:dyDescent="0.25">
      <c r="A107059"/>
      <c r="B107059"/>
      <c r="C107059"/>
      <c r="E107059"/>
      <c r="F107059"/>
    </row>
    <row r="107060" spans="1:6" x14ac:dyDescent="0.25">
      <c r="A107060"/>
      <c r="B107060"/>
      <c r="C107060"/>
      <c r="E107060"/>
      <c r="F107060"/>
    </row>
    <row r="107061" spans="1:6" x14ac:dyDescent="0.25">
      <c r="A107061"/>
      <c r="B107061"/>
      <c r="C107061"/>
      <c r="E107061"/>
      <c r="F107061"/>
    </row>
    <row r="107062" spans="1:6" x14ac:dyDescent="0.25">
      <c r="A107062"/>
      <c r="B107062"/>
      <c r="C107062"/>
      <c r="E107062"/>
      <c r="F107062"/>
    </row>
    <row r="107063" spans="1:6" x14ac:dyDescent="0.25">
      <c r="A107063"/>
      <c r="B107063"/>
      <c r="C107063"/>
      <c r="E107063"/>
      <c r="F107063"/>
    </row>
    <row r="107064" spans="1:6" x14ac:dyDescent="0.25">
      <c r="A107064"/>
      <c r="B107064"/>
      <c r="C107064"/>
      <c r="E107064"/>
      <c r="F107064"/>
    </row>
    <row r="107065" spans="1:6" x14ac:dyDescent="0.25">
      <c r="A107065"/>
      <c r="B107065"/>
      <c r="C107065"/>
      <c r="E107065"/>
      <c r="F107065"/>
    </row>
    <row r="107066" spans="1:6" x14ac:dyDescent="0.25">
      <c r="A107066"/>
      <c r="B107066"/>
      <c r="C107066"/>
      <c r="E107066"/>
      <c r="F107066"/>
    </row>
    <row r="107067" spans="1:6" x14ac:dyDescent="0.25">
      <c r="A107067"/>
      <c r="B107067"/>
      <c r="C107067"/>
      <c r="E107067"/>
      <c r="F107067"/>
    </row>
    <row r="107068" spans="1:6" x14ac:dyDescent="0.25">
      <c r="A107068"/>
      <c r="B107068"/>
      <c r="C107068"/>
      <c r="E107068"/>
      <c r="F107068"/>
    </row>
    <row r="107069" spans="1:6" x14ac:dyDescent="0.25">
      <c r="A107069"/>
      <c r="B107069"/>
      <c r="C107069"/>
      <c r="E107069"/>
      <c r="F107069"/>
    </row>
    <row r="107070" spans="1:6" x14ac:dyDescent="0.25">
      <c r="A107070"/>
      <c r="B107070"/>
      <c r="C107070"/>
      <c r="E107070"/>
      <c r="F107070"/>
    </row>
    <row r="107071" spans="1:6" x14ac:dyDescent="0.25">
      <c r="A107071"/>
      <c r="B107071"/>
      <c r="C107071"/>
      <c r="E107071"/>
      <c r="F107071"/>
    </row>
    <row r="107072" spans="1:6" x14ac:dyDescent="0.25">
      <c r="A107072"/>
      <c r="B107072"/>
      <c r="C107072"/>
      <c r="E107072"/>
      <c r="F107072"/>
    </row>
    <row r="107073" spans="1:6" x14ac:dyDescent="0.25">
      <c r="A107073"/>
      <c r="B107073"/>
      <c r="C107073"/>
      <c r="E107073"/>
      <c r="F107073"/>
    </row>
    <row r="107074" spans="1:6" x14ac:dyDescent="0.25">
      <c r="A107074"/>
      <c r="B107074"/>
      <c r="C107074"/>
      <c r="E107074"/>
      <c r="F107074"/>
    </row>
    <row r="107075" spans="1:6" x14ac:dyDescent="0.25">
      <c r="A107075"/>
      <c r="B107075"/>
      <c r="C107075"/>
      <c r="E107075"/>
      <c r="F107075"/>
    </row>
    <row r="107076" spans="1:6" x14ac:dyDescent="0.25">
      <c r="A107076"/>
      <c r="B107076"/>
      <c r="C107076"/>
      <c r="E107076"/>
      <c r="F107076"/>
    </row>
    <row r="107077" spans="1:6" x14ac:dyDescent="0.25">
      <c r="A107077"/>
      <c r="B107077"/>
      <c r="C107077"/>
      <c r="E107077"/>
      <c r="F107077"/>
    </row>
    <row r="107078" spans="1:6" x14ac:dyDescent="0.25">
      <c r="A107078"/>
      <c r="B107078"/>
      <c r="C107078"/>
      <c r="E107078"/>
      <c r="F107078"/>
    </row>
    <row r="107079" spans="1:6" x14ac:dyDescent="0.25">
      <c r="A107079"/>
      <c r="B107079"/>
      <c r="C107079"/>
      <c r="E107079"/>
      <c r="F107079"/>
    </row>
    <row r="107080" spans="1:6" x14ac:dyDescent="0.25">
      <c r="A107080"/>
      <c r="B107080"/>
      <c r="C107080"/>
      <c r="E107080"/>
      <c r="F107080"/>
    </row>
    <row r="107081" spans="1:6" x14ac:dyDescent="0.25">
      <c r="A107081"/>
      <c r="B107081"/>
      <c r="C107081"/>
      <c r="E107081"/>
      <c r="F107081"/>
    </row>
    <row r="107082" spans="1:6" x14ac:dyDescent="0.25">
      <c r="A107082"/>
      <c r="B107082"/>
      <c r="C107082"/>
      <c r="E107082"/>
      <c r="F107082"/>
    </row>
    <row r="107083" spans="1:6" x14ac:dyDescent="0.25">
      <c r="A107083"/>
      <c r="B107083"/>
      <c r="C107083"/>
      <c r="E107083"/>
      <c r="F107083"/>
    </row>
    <row r="107084" spans="1:6" x14ac:dyDescent="0.25">
      <c r="A107084"/>
      <c r="B107084"/>
      <c r="C107084"/>
      <c r="E107084"/>
      <c r="F107084"/>
    </row>
    <row r="107085" spans="1:6" x14ac:dyDescent="0.25">
      <c r="A107085"/>
      <c r="B107085"/>
      <c r="C107085"/>
      <c r="E107085"/>
      <c r="F107085"/>
    </row>
    <row r="107086" spans="1:6" x14ac:dyDescent="0.25">
      <c r="A107086"/>
      <c r="B107086"/>
      <c r="C107086"/>
      <c r="E107086"/>
      <c r="F107086"/>
    </row>
    <row r="107087" spans="1:6" x14ac:dyDescent="0.25">
      <c r="A107087"/>
      <c r="B107087"/>
      <c r="C107087"/>
      <c r="E107087"/>
      <c r="F107087"/>
    </row>
    <row r="107088" spans="1:6" x14ac:dyDescent="0.25">
      <c r="A107088"/>
      <c r="B107088"/>
      <c r="C107088"/>
      <c r="E107088"/>
      <c r="F107088"/>
    </row>
    <row r="107089" spans="1:6" x14ac:dyDescent="0.25">
      <c r="A107089"/>
      <c r="B107089"/>
      <c r="C107089"/>
      <c r="E107089"/>
      <c r="F107089"/>
    </row>
    <row r="107090" spans="1:6" x14ac:dyDescent="0.25">
      <c r="A107090"/>
      <c r="B107090"/>
      <c r="C107090"/>
      <c r="E107090"/>
      <c r="F107090"/>
    </row>
    <row r="107091" spans="1:6" x14ac:dyDescent="0.25">
      <c r="A107091"/>
      <c r="B107091"/>
      <c r="C107091"/>
      <c r="E107091"/>
      <c r="F107091"/>
    </row>
    <row r="107092" spans="1:6" x14ac:dyDescent="0.25">
      <c r="A107092"/>
      <c r="B107092"/>
      <c r="C107092"/>
      <c r="E107092"/>
      <c r="F107092"/>
    </row>
    <row r="107093" spans="1:6" x14ac:dyDescent="0.25">
      <c r="A107093"/>
      <c r="B107093"/>
      <c r="C107093"/>
      <c r="E107093"/>
      <c r="F107093"/>
    </row>
    <row r="107094" spans="1:6" x14ac:dyDescent="0.25">
      <c r="A107094"/>
      <c r="B107094"/>
      <c r="C107094"/>
      <c r="E107094"/>
      <c r="F107094"/>
    </row>
    <row r="107095" spans="1:6" x14ac:dyDescent="0.25">
      <c r="A107095"/>
      <c r="B107095"/>
      <c r="C107095"/>
      <c r="E107095"/>
      <c r="F107095"/>
    </row>
    <row r="107096" spans="1:6" x14ac:dyDescent="0.25">
      <c r="A107096"/>
      <c r="B107096"/>
      <c r="C107096"/>
      <c r="E107096"/>
      <c r="F107096"/>
    </row>
    <row r="107097" spans="1:6" x14ac:dyDescent="0.25">
      <c r="A107097"/>
      <c r="B107097"/>
      <c r="C107097"/>
      <c r="E107097"/>
      <c r="F107097"/>
    </row>
    <row r="107098" spans="1:6" x14ac:dyDescent="0.25">
      <c r="A107098"/>
      <c r="B107098"/>
      <c r="C107098"/>
      <c r="E107098"/>
      <c r="F107098"/>
    </row>
    <row r="107099" spans="1:6" x14ac:dyDescent="0.25">
      <c r="A107099"/>
      <c r="B107099"/>
      <c r="C107099"/>
      <c r="E107099"/>
      <c r="F107099"/>
    </row>
    <row r="107100" spans="1:6" x14ac:dyDescent="0.25">
      <c r="A107100"/>
      <c r="B107100"/>
      <c r="C107100"/>
      <c r="E107100"/>
      <c r="F107100"/>
    </row>
    <row r="107101" spans="1:6" x14ac:dyDescent="0.25">
      <c r="A107101"/>
      <c r="B107101"/>
      <c r="C107101"/>
      <c r="E107101"/>
      <c r="F107101"/>
    </row>
    <row r="107102" spans="1:6" x14ac:dyDescent="0.25">
      <c r="A107102"/>
      <c r="B107102"/>
      <c r="C107102"/>
      <c r="E107102"/>
      <c r="F107102"/>
    </row>
    <row r="107103" spans="1:6" x14ac:dyDescent="0.25">
      <c r="A107103"/>
      <c r="B107103"/>
      <c r="C107103"/>
      <c r="E107103"/>
      <c r="F107103"/>
    </row>
    <row r="107104" spans="1:6" x14ac:dyDescent="0.25">
      <c r="A107104"/>
      <c r="B107104"/>
      <c r="C107104"/>
      <c r="E107104"/>
      <c r="F107104"/>
    </row>
    <row r="107105" spans="1:6" x14ac:dyDescent="0.25">
      <c r="A107105"/>
      <c r="B107105"/>
      <c r="C107105"/>
      <c r="E107105"/>
      <c r="F107105"/>
    </row>
    <row r="107106" spans="1:6" x14ac:dyDescent="0.25">
      <c r="A107106"/>
      <c r="B107106"/>
      <c r="C107106"/>
      <c r="E107106"/>
      <c r="F107106"/>
    </row>
    <row r="107107" spans="1:6" x14ac:dyDescent="0.25">
      <c r="A107107"/>
      <c r="B107107"/>
      <c r="C107107"/>
      <c r="E107107"/>
      <c r="F107107"/>
    </row>
    <row r="107108" spans="1:6" x14ac:dyDescent="0.25">
      <c r="A107108"/>
      <c r="B107108"/>
      <c r="C107108"/>
      <c r="E107108"/>
      <c r="F107108"/>
    </row>
    <row r="107109" spans="1:6" x14ac:dyDescent="0.25">
      <c r="A107109"/>
      <c r="B107109"/>
      <c r="C107109"/>
      <c r="E107109"/>
      <c r="F107109"/>
    </row>
    <row r="107110" spans="1:6" x14ac:dyDescent="0.25">
      <c r="A107110"/>
      <c r="B107110"/>
      <c r="C107110"/>
      <c r="E107110"/>
      <c r="F107110"/>
    </row>
    <row r="107111" spans="1:6" x14ac:dyDescent="0.25">
      <c r="A107111"/>
      <c r="B107111"/>
      <c r="C107111"/>
      <c r="E107111"/>
      <c r="F107111"/>
    </row>
    <row r="107112" spans="1:6" x14ac:dyDescent="0.25">
      <c r="A107112"/>
      <c r="B107112"/>
      <c r="C107112"/>
      <c r="E107112"/>
      <c r="F107112"/>
    </row>
    <row r="107113" spans="1:6" x14ac:dyDescent="0.25">
      <c r="A107113"/>
      <c r="B107113"/>
      <c r="C107113"/>
      <c r="E107113"/>
      <c r="F107113"/>
    </row>
    <row r="107114" spans="1:6" x14ac:dyDescent="0.25">
      <c r="A107114"/>
      <c r="B107114"/>
      <c r="C107114"/>
      <c r="E107114"/>
      <c r="F107114"/>
    </row>
    <row r="107115" spans="1:6" x14ac:dyDescent="0.25">
      <c r="A107115"/>
      <c r="B107115"/>
      <c r="C107115"/>
      <c r="E107115"/>
      <c r="F107115"/>
    </row>
    <row r="107116" spans="1:6" x14ac:dyDescent="0.25">
      <c r="A107116"/>
      <c r="B107116"/>
      <c r="C107116"/>
      <c r="E107116"/>
      <c r="F107116"/>
    </row>
    <row r="107117" spans="1:6" x14ac:dyDescent="0.25">
      <c r="A107117"/>
      <c r="B107117"/>
      <c r="C107117"/>
      <c r="E107117"/>
      <c r="F107117"/>
    </row>
    <row r="107118" spans="1:6" x14ac:dyDescent="0.25">
      <c r="A107118"/>
      <c r="B107118"/>
      <c r="C107118"/>
      <c r="E107118"/>
      <c r="F107118"/>
    </row>
    <row r="107119" spans="1:6" x14ac:dyDescent="0.25">
      <c r="A107119"/>
      <c r="B107119"/>
      <c r="C107119"/>
      <c r="E107119"/>
      <c r="F107119"/>
    </row>
    <row r="107120" spans="1:6" x14ac:dyDescent="0.25">
      <c r="A107120"/>
      <c r="B107120"/>
      <c r="C107120"/>
      <c r="E107120"/>
      <c r="F107120"/>
    </row>
    <row r="107121" spans="1:6" x14ac:dyDescent="0.25">
      <c r="A107121"/>
      <c r="B107121"/>
      <c r="C107121"/>
      <c r="E107121"/>
      <c r="F107121"/>
    </row>
    <row r="107122" spans="1:6" x14ac:dyDescent="0.25">
      <c r="A107122"/>
      <c r="B107122"/>
      <c r="C107122"/>
      <c r="E107122"/>
      <c r="F107122"/>
    </row>
    <row r="107123" spans="1:6" x14ac:dyDescent="0.25">
      <c r="A107123"/>
      <c r="B107123"/>
      <c r="C107123"/>
      <c r="E107123"/>
      <c r="F107123"/>
    </row>
    <row r="107124" spans="1:6" x14ac:dyDescent="0.25">
      <c r="A107124"/>
      <c r="B107124"/>
      <c r="C107124"/>
      <c r="E107124"/>
      <c r="F107124"/>
    </row>
    <row r="107125" spans="1:6" x14ac:dyDescent="0.25">
      <c r="A107125"/>
      <c r="B107125"/>
      <c r="C107125"/>
      <c r="E107125"/>
      <c r="F107125"/>
    </row>
    <row r="107126" spans="1:6" x14ac:dyDescent="0.25">
      <c r="A107126"/>
      <c r="B107126"/>
      <c r="C107126"/>
      <c r="E107126"/>
      <c r="F107126"/>
    </row>
    <row r="107127" spans="1:6" x14ac:dyDescent="0.25">
      <c r="A107127"/>
      <c r="B107127"/>
      <c r="C107127"/>
      <c r="E107127"/>
      <c r="F107127"/>
    </row>
    <row r="107128" spans="1:6" x14ac:dyDescent="0.25">
      <c r="A107128"/>
      <c r="B107128"/>
      <c r="C107128"/>
      <c r="E107128"/>
      <c r="F107128"/>
    </row>
    <row r="107129" spans="1:6" x14ac:dyDescent="0.25">
      <c r="A107129"/>
      <c r="B107129"/>
      <c r="C107129"/>
      <c r="E107129"/>
      <c r="F107129"/>
    </row>
    <row r="107130" spans="1:6" x14ac:dyDescent="0.25">
      <c r="A107130"/>
      <c r="B107130"/>
      <c r="C107130"/>
      <c r="E107130"/>
      <c r="F107130"/>
    </row>
    <row r="107131" spans="1:6" x14ac:dyDescent="0.25">
      <c r="A107131"/>
      <c r="B107131"/>
      <c r="C107131"/>
      <c r="E107131"/>
      <c r="F107131"/>
    </row>
    <row r="107132" spans="1:6" x14ac:dyDescent="0.25">
      <c r="A107132"/>
      <c r="B107132"/>
      <c r="C107132"/>
      <c r="E107132"/>
      <c r="F107132"/>
    </row>
    <row r="107133" spans="1:6" x14ac:dyDescent="0.25">
      <c r="A107133"/>
      <c r="B107133"/>
      <c r="C107133"/>
      <c r="E107133"/>
      <c r="F107133"/>
    </row>
    <row r="107134" spans="1:6" x14ac:dyDescent="0.25">
      <c r="A107134"/>
      <c r="B107134"/>
      <c r="C107134"/>
      <c r="E107134"/>
      <c r="F107134"/>
    </row>
    <row r="107135" spans="1:6" x14ac:dyDescent="0.25">
      <c r="A107135"/>
      <c r="B107135"/>
      <c r="C107135"/>
      <c r="E107135"/>
      <c r="F107135"/>
    </row>
    <row r="107136" spans="1:6" x14ac:dyDescent="0.25">
      <c r="A107136"/>
      <c r="B107136"/>
      <c r="C107136"/>
      <c r="E107136"/>
      <c r="F107136"/>
    </row>
    <row r="107137" spans="1:6" x14ac:dyDescent="0.25">
      <c r="A107137"/>
      <c r="B107137"/>
      <c r="C107137"/>
      <c r="E107137"/>
      <c r="F107137"/>
    </row>
    <row r="107138" spans="1:6" x14ac:dyDescent="0.25">
      <c r="A107138"/>
      <c r="B107138"/>
      <c r="C107138"/>
      <c r="E107138"/>
      <c r="F107138"/>
    </row>
    <row r="107139" spans="1:6" x14ac:dyDescent="0.25">
      <c r="A107139"/>
      <c r="B107139"/>
      <c r="C107139"/>
      <c r="E107139"/>
      <c r="F107139"/>
    </row>
    <row r="107140" spans="1:6" x14ac:dyDescent="0.25">
      <c r="A107140"/>
      <c r="B107140"/>
      <c r="C107140"/>
      <c r="E107140"/>
      <c r="F107140"/>
    </row>
    <row r="107141" spans="1:6" x14ac:dyDescent="0.25">
      <c r="A107141"/>
      <c r="B107141"/>
      <c r="C107141"/>
      <c r="E107141"/>
      <c r="F107141"/>
    </row>
    <row r="107142" spans="1:6" x14ac:dyDescent="0.25">
      <c r="A107142"/>
      <c r="B107142"/>
      <c r="C107142"/>
      <c r="E107142"/>
      <c r="F107142"/>
    </row>
    <row r="107143" spans="1:6" x14ac:dyDescent="0.25">
      <c r="A107143"/>
      <c r="B107143"/>
      <c r="C107143"/>
      <c r="E107143"/>
      <c r="F107143"/>
    </row>
    <row r="107144" spans="1:6" x14ac:dyDescent="0.25">
      <c r="A107144"/>
      <c r="B107144"/>
      <c r="C107144"/>
      <c r="E107144"/>
      <c r="F107144"/>
    </row>
    <row r="107145" spans="1:6" x14ac:dyDescent="0.25">
      <c r="A107145"/>
      <c r="B107145"/>
      <c r="C107145"/>
      <c r="E107145"/>
      <c r="F107145"/>
    </row>
    <row r="107146" spans="1:6" x14ac:dyDescent="0.25">
      <c r="A107146"/>
      <c r="B107146"/>
      <c r="C107146"/>
      <c r="E107146"/>
      <c r="F107146"/>
    </row>
    <row r="107147" spans="1:6" x14ac:dyDescent="0.25">
      <c r="A107147"/>
      <c r="B107147"/>
      <c r="C107147"/>
      <c r="E107147"/>
      <c r="F107147"/>
    </row>
    <row r="107148" spans="1:6" x14ac:dyDescent="0.25">
      <c r="A107148"/>
      <c r="B107148"/>
      <c r="C107148"/>
      <c r="E107148"/>
      <c r="F107148"/>
    </row>
    <row r="107149" spans="1:6" x14ac:dyDescent="0.25">
      <c r="A107149"/>
      <c r="B107149"/>
      <c r="C107149"/>
      <c r="E107149"/>
      <c r="F107149"/>
    </row>
    <row r="107150" spans="1:6" x14ac:dyDescent="0.25">
      <c r="A107150"/>
      <c r="B107150"/>
      <c r="C107150"/>
      <c r="E107150"/>
      <c r="F107150"/>
    </row>
    <row r="107151" spans="1:6" x14ac:dyDescent="0.25">
      <c r="A107151"/>
      <c r="B107151"/>
      <c r="C107151"/>
      <c r="E107151"/>
      <c r="F107151"/>
    </row>
    <row r="107152" spans="1:6" x14ac:dyDescent="0.25">
      <c r="A107152"/>
      <c r="B107152"/>
      <c r="C107152"/>
      <c r="E107152"/>
      <c r="F107152"/>
    </row>
    <row r="107153" spans="1:6" x14ac:dyDescent="0.25">
      <c r="A107153"/>
      <c r="B107153"/>
      <c r="C107153"/>
      <c r="E107153"/>
      <c r="F107153"/>
    </row>
    <row r="107154" spans="1:6" x14ac:dyDescent="0.25">
      <c r="A107154"/>
      <c r="B107154"/>
      <c r="C107154"/>
      <c r="E107154"/>
      <c r="F107154"/>
    </row>
    <row r="107155" spans="1:6" x14ac:dyDescent="0.25">
      <c r="A107155"/>
      <c r="B107155"/>
      <c r="C107155"/>
      <c r="E107155"/>
      <c r="F107155"/>
    </row>
    <row r="107156" spans="1:6" x14ac:dyDescent="0.25">
      <c r="A107156"/>
      <c r="B107156"/>
      <c r="C107156"/>
      <c r="E107156"/>
      <c r="F107156"/>
    </row>
    <row r="107157" spans="1:6" x14ac:dyDescent="0.25">
      <c r="A107157"/>
      <c r="B107157"/>
      <c r="C107157"/>
      <c r="E107157"/>
      <c r="F107157"/>
    </row>
    <row r="107158" spans="1:6" x14ac:dyDescent="0.25">
      <c r="A107158"/>
      <c r="B107158"/>
      <c r="C107158"/>
      <c r="E107158"/>
      <c r="F107158"/>
    </row>
    <row r="107159" spans="1:6" x14ac:dyDescent="0.25">
      <c r="A107159"/>
      <c r="B107159"/>
      <c r="C107159"/>
      <c r="E107159"/>
      <c r="F107159"/>
    </row>
    <row r="107160" spans="1:6" x14ac:dyDescent="0.25">
      <c r="A107160"/>
      <c r="B107160"/>
      <c r="C107160"/>
      <c r="E107160"/>
      <c r="F107160"/>
    </row>
    <row r="107161" spans="1:6" x14ac:dyDescent="0.25">
      <c r="A107161"/>
      <c r="B107161"/>
      <c r="C107161"/>
      <c r="E107161"/>
      <c r="F107161"/>
    </row>
    <row r="107162" spans="1:6" x14ac:dyDescent="0.25">
      <c r="A107162"/>
      <c r="B107162"/>
      <c r="C107162"/>
      <c r="E107162"/>
      <c r="F107162"/>
    </row>
    <row r="107163" spans="1:6" x14ac:dyDescent="0.25">
      <c r="A107163"/>
      <c r="B107163"/>
      <c r="C107163"/>
      <c r="E107163"/>
      <c r="F107163"/>
    </row>
    <row r="107164" spans="1:6" x14ac:dyDescent="0.25">
      <c r="A107164"/>
      <c r="B107164"/>
      <c r="C107164"/>
      <c r="E107164"/>
      <c r="F107164"/>
    </row>
    <row r="107165" spans="1:6" x14ac:dyDescent="0.25">
      <c r="A107165"/>
      <c r="B107165"/>
      <c r="C107165"/>
      <c r="E107165"/>
      <c r="F107165"/>
    </row>
    <row r="107166" spans="1:6" x14ac:dyDescent="0.25">
      <c r="A107166"/>
      <c r="B107166"/>
      <c r="C107166"/>
      <c r="E107166"/>
      <c r="F107166"/>
    </row>
    <row r="107167" spans="1:6" x14ac:dyDescent="0.25">
      <c r="A107167"/>
      <c r="B107167"/>
      <c r="C107167"/>
      <c r="E107167"/>
      <c r="F107167"/>
    </row>
    <row r="107168" spans="1:6" x14ac:dyDescent="0.25">
      <c r="A107168"/>
      <c r="B107168"/>
      <c r="C107168"/>
      <c r="E107168"/>
      <c r="F107168"/>
    </row>
    <row r="107169" spans="1:6" x14ac:dyDescent="0.25">
      <c r="A107169"/>
      <c r="B107169"/>
      <c r="C107169"/>
      <c r="E107169"/>
      <c r="F107169"/>
    </row>
    <row r="107170" spans="1:6" x14ac:dyDescent="0.25">
      <c r="A107170"/>
      <c r="B107170"/>
      <c r="C107170"/>
      <c r="E107170"/>
      <c r="F107170"/>
    </row>
    <row r="107171" spans="1:6" x14ac:dyDescent="0.25">
      <c r="A107171"/>
      <c r="B107171"/>
      <c r="C107171"/>
      <c r="E107171"/>
      <c r="F107171"/>
    </row>
    <row r="107172" spans="1:6" x14ac:dyDescent="0.25">
      <c r="A107172"/>
      <c r="B107172"/>
      <c r="C107172"/>
      <c r="E107172"/>
      <c r="F107172"/>
    </row>
    <row r="107173" spans="1:6" x14ac:dyDescent="0.25">
      <c r="A107173"/>
      <c r="B107173"/>
      <c r="C107173"/>
      <c r="E107173"/>
      <c r="F107173"/>
    </row>
    <row r="107174" spans="1:6" x14ac:dyDescent="0.25">
      <c r="A107174"/>
      <c r="B107174"/>
      <c r="C107174"/>
      <c r="E107174"/>
      <c r="F107174"/>
    </row>
    <row r="107175" spans="1:6" x14ac:dyDescent="0.25">
      <c r="A107175"/>
      <c r="B107175"/>
      <c r="C107175"/>
      <c r="E107175"/>
      <c r="F107175"/>
    </row>
    <row r="107176" spans="1:6" x14ac:dyDescent="0.25">
      <c r="A107176"/>
      <c r="B107176"/>
      <c r="C107176"/>
      <c r="E107176"/>
      <c r="F107176"/>
    </row>
    <row r="107177" spans="1:6" x14ac:dyDescent="0.25">
      <c r="A107177"/>
      <c r="B107177"/>
      <c r="C107177"/>
      <c r="E107177"/>
      <c r="F107177"/>
    </row>
    <row r="107178" spans="1:6" x14ac:dyDescent="0.25">
      <c r="A107178"/>
      <c r="B107178"/>
      <c r="C107178"/>
      <c r="E107178"/>
      <c r="F107178"/>
    </row>
    <row r="107179" spans="1:6" x14ac:dyDescent="0.25">
      <c r="A107179"/>
      <c r="B107179"/>
      <c r="C107179"/>
      <c r="E107179"/>
      <c r="F107179"/>
    </row>
    <row r="107180" spans="1:6" x14ac:dyDescent="0.25">
      <c r="A107180"/>
      <c r="B107180"/>
      <c r="C107180"/>
      <c r="E107180"/>
      <c r="F107180"/>
    </row>
    <row r="107181" spans="1:6" x14ac:dyDescent="0.25">
      <c r="A107181"/>
      <c r="B107181"/>
      <c r="C107181"/>
      <c r="E107181"/>
      <c r="F107181"/>
    </row>
    <row r="107182" spans="1:6" x14ac:dyDescent="0.25">
      <c r="A107182"/>
      <c r="B107182"/>
      <c r="C107182"/>
      <c r="E107182"/>
      <c r="F107182"/>
    </row>
    <row r="107183" spans="1:6" x14ac:dyDescent="0.25">
      <c r="A107183"/>
      <c r="B107183"/>
      <c r="C107183"/>
      <c r="E107183"/>
      <c r="F107183"/>
    </row>
    <row r="107184" spans="1:6" x14ac:dyDescent="0.25">
      <c r="A107184"/>
      <c r="B107184"/>
      <c r="C107184"/>
      <c r="E107184"/>
      <c r="F107184"/>
    </row>
    <row r="107185" spans="1:6" x14ac:dyDescent="0.25">
      <c r="A107185"/>
      <c r="B107185"/>
      <c r="C107185"/>
      <c r="E107185"/>
      <c r="F107185"/>
    </row>
    <row r="107186" spans="1:6" x14ac:dyDescent="0.25">
      <c r="A107186"/>
      <c r="B107186"/>
      <c r="C107186"/>
      <c r="E107186"/>
      <c r="F107186"/>
    </row>
    <row r="107187" spans="1:6" x14ac:dyDescent="0.25">
      <c r="A107187"/>
      <c r="B107187"/>
      <c r="C107187"/>
      <c r="E107187"/>
      <c r="F107187"/>
    </row>
    <row r="107188" spans="1:6" x14ac:dyDescent="0.25">
      <c r="A107188"/>
      <c r="B107188"/>
      <c r="C107188"/>
      <c r="E107188"/>
      <c r="F107188"/>
    </row>
    <row r="107189" spans="1:6" x14ac:dyDescent="0.25">
      <c r="A107189"/>
      <c r="B107189"/>
      <c r="C107189"/>
      <c r="E107189"/>
      <c r="F107189"/>
    </row>
    <row r="107190" spans="1:6" x14ac:dyDescent="0.25">
      <c r="A107190"/>
      <c r="B107190"/>
      <c r="C107190"/>
      <c r="E107190"/>
      <c r="F107190"/>
    </row>
    <row r="107191" spans="1:6" x14ac:dyDescent="0.25">
      <c r="A107191"/>
      <c r="B107191"/>
      <c r="C107191"/>
      <c r="E107191"/>
      <c r="F107191"/>
    </row>
    <row r="107192" spans="1:6" x14ac:dyDescent="0.25">
      <c r="A107192"/>
      <c r="B107192"/>
      <c r="C107192"/>
      <c r="E107192"/>
      <c r="F107192"/>
    </row>
    <row r="107193" spans="1:6" x14ac:dyDescent="0.25">
      <c r="A107193"/>
      <c r="B107193"/>
      <c r="C107193"/>
      <c r="E107193"/>
      <c r="F107193"/>
    </row>
    <row r="107194" spans="1:6" x14ac:dyDescent="0.25">
      <c r="A107194"/>
      <c r="B107194"/>
      <c r="C107194"/>
      <c r="E107194"/>
      <c r="F107194"/>
    </row>
    <row r="107195" spans="1:6" x14ac:dyDescent="0.25">
      <c r="A107195"/>
      <c r="B107195"/>
      <c r="C107195"/>
      <c r="E107195"/>
      <c r="F107195"/>
    </row>
    <row r="107196" spans="1:6" x14ac:dyDescent="0.25">
      <c r="A107196"/>
      <c r="B107196"/>
      <c r="C107196"/>
      <c r="E107196"/>
      <c r="F107196"/>
    </row>
    <row r="107197" spans="1:6" x14ac:dyDescent="0.25">
      <c r="A107197"/>
      <c r="B107197"/>
      <c r="C107197"/>
      <c r="E107197"/>
      <c r="F107197"/>
    </row>
    <row r="107198" spans="1:6" x14ac:dyDescent="0.25">
      <c r="A107198"/>
      <c r="B107198"/>
      <c r="C107198"/>
      <c r="E107198"/>
      <c r="F107198"/>
    </row>
    <row r="107199" spans="1:6" x14ac:dyDescent="0.25">
      <c r="A107199"/>
      <c r="B107199"/>
      <c r="C107199"/>
      <c r="E107199"/>
      <c r="F107199"/>
    </row>
    <row r="107200" spans="1:6" x14ac:dyDescent="0.25">
      <c r="A107200"/>
      <c r="B107200"/>
      <c r="C107200"/>
      <c r="E107200"/>
      <c r="F107200"/>
    </row>
    <row r="107201" spans="1:6" x14ac:dyDescent="0.25">
      <c r="A107201"/>
      <c r="B107201"/>
      <c r="C107201"/>
      <c r="E107201"/>
      <c r="F107201"/>
    </row>
    <row r="107202" spans="1:6" x14ac:dyDescent="0.25">
      <c r="A107202"/>
      <c r="B107202"/>
      <c r="C107202"/>
      <c r="E107202"/>
      <c r="F107202"/>
    </row>
    <row r="107203" spans="1:6" x14ac:dyDescent="0.25">
      <c r="A107203"/>
      <c r="B107203"/>
      <c r="C107203"/>
      <c r="E107203"/>
      <c r="F107203"/>
    </row>
    <row r="107204" spans="1:6" x14ac:dyDescent="0.25">
      <c r="A107204"/>
      <c r="B107204"/>
      <c r="C107204"/>
      <c r="E107204"/>
      <c r="F107204"/>
    </row>
    <row r="107205" spans="1:6" x14ac:dyDescent="0.25">
      <c r="A107205"/>
      <c r="B107205"/>
      <c r="C107205"/>
      <c r="E107205"/>
      <c r="F107205"/>
    </row>
    <row r="107206" spans="1:6" x14ac:dyDescent="0.25">
      <c r="A107206"/>
      <c r="B107206"/>
      <c r="C107206"/>
      <c r="E107206"/>
      <c r="F107206"/>
    </row>
    <row r="107207" spans="1:6" x14ac:dyDescent="0.25">
      <c r="A107207"/>
      <c r="B107207"/>
      <c r="C107207"/>
      <c r="E107207"/>
      <c r="F107207"/>
    </row>
    <row r="107208" spans="1:6" x14ac:dyDescent="0.25">
      <c r="A107208"/>
      <c r="B107208"/>
      <c r="C107208"/>
      <c r="E107208"/>
      <c r="F107208"/>
    </row>
    <row r="107209" spans="1:6" x14ac:dyDescent="0.25">
      <c r="A107209"/>
      <c r="B107209"/>
      <c r="C107209"/>
      <c r="E107209"/>
      <c r="F107209"/>
    </row>
    <row r="107210" spans="1:6" x14ac:dyDescent="0.25">
      <c r="A107210"/>
      <c r="B107210"/>
      <c r="C107210"/>
      <c r="E107210"/>
      <c r="F107210"/>
    </row>
    <row r="107211" spans="1:6" x14ac:dyDescent="0.25">
      <c r="A107211"/>
      <c r="B107211"/>
      <c r="C107211"/>
      <c r="E107211"/>
      <c r="F107211"/>
    </row>
    <row r="107212" spans="1:6" x14ac:dyDescent="0.25">
      <c r="A107212"/>
      <c r="B107212"/>
      <c r="C107212"/>
      <c r="E107212"/>
      <c r="F107212"/>
    </row>
    <row r="107213" spans="1:6" x14ac:dyDescent="0.25">
      <c r="A107213"/>
      <c r="B107213"/>
      <c r="C107213"/>
      <c r="E107213"/>
      <c r="F107213"/>
    </row>
    <row r="107214" spans="1:6" x14ac:dyDescent="0.25">
      <c r="A107214"/>
      <c r="B107214"/>
      <c r="C107214"/>
      <c r="E107214"/>
      <c r="F107214"/>
    </row>
    <row r="107215" spans="1:6" x14ac:dyDescent="0.25">
      <c r="A107215"/>
      <c r="B107215"/>
      <c r="C107215"/>
      <c r="E107215"/>
      <c r="F107215"/>
    </row>
    <row r="107216" spans="1:6" x14ac:dyDescent="0.25">
      <c r="A107216"/>
      <c r="B107216"/>
      <c r="C107216"/>
      <c r="E107216"/>
      <c r="F107216"/>
    </row>
    <row r="107217" spans="1:6" x14ac:dyDescent="0.25">
      <c r="A107217"/>
      <c r="B107217"/>
      <c r="C107217"/>
      <c r="E107217"/>
      <c r="F107217"/>
    </row>
    <row r="107218" spans="1:6" x14ac:dyDescent="0.25">
      <c r="A107218"/>
      <c r="B107218"/>
      <c r="C107218"/>
      <c r="E107218"/>
      <c r="F107218"/>
    </row>
    <row r="107219" spans="1:6" x14ac:dyDescent="0.25">
      <c r="A107219"/>
      <c r="B107219"/>
      <c r="C107219"/>
      <c r="E107219"/>
      <c r="F107219"/>
    </row>
    <row r="107220" spans="1:6" x14ac:dyDescent="0.25">
      <c r="A107220"/>
      <c r="B107220"/>
      <c r="C107220"/>
      <c r="E107220"/>
      <c r="F107220"/>
    </row>
    <row r="107221" spans="1:6" x14ac:dyDescent="0.25">
      <c r="A107221"/>
      <c r="B107221"/>
      <c r="C107221"/>
      <c r="E107221"/>
      <c r="F107221"/>
    </row>
    <row r="107222" spans="1:6" x14ac:dyDescent="0.25">
      <c r="A107222"/>
      <c r="B107222"/>
      <c r="C107222"/>
      <c r="E107222"/>
      <c r="F107222"/>
    </row>
    <row r="107223" spans="1:6" x14ac:dyDescent="0.25">
      <c r="A107223"/>
      <c r="B107223"/>
      <c r="C107223"/>
      <c r="E107223"/>
      <c r="F107223"/>
    </row>
    <row r="107224" spans="1:6" x14ac:dyDescent="0.25">
      <c r="A107224"/>
      <c r="B107224"/>
      <c r="C107224"/>
      <c r="E107224"/>
      <c r="F107224"/>
    </row>
    <row r="107225" spans="1:6" x14ac:dyDescent="0.25">
      <c r="A107225"/>
      <c r="B107225"/>
      <c r="C107225"/>
      <c r="E107225"/>
      <c r="F107225"/>
    </row>
    <row r="107226" spans="1:6" x14ac:dyDescent="0.25">
      <c r="A107226"/>
      <c r="B107226"/>
      <c r="C107226"/>
      <c r="E107226"/>
      <c r="F107226"/>
    </row>
    <row r="107227" spans="1:6" x14ac:dyDescent="0.25">
      <c r="A107227"/>
      <c r="B107227"/>
      <c r="C107227"/>
      <c r="E107227"/>
      <c r="F107227"/>
    </row>
    <row r="107228" spans="1:6" x14ac:dyDescent="0.25">
      <c r="A107228"/>
      <c r="B107228"/>
      <c r="C107228"/>
      <c r="E107228"/>
      <c r="F107228"/>
    </row>
    <row r="107229" spans="1:6" x14ac:dyDescent="0.25">
      <c r="A107229"/>
      <c r="B107229"/>
      <c r="C107229"/>
      <c r="E107229"/>
      <c r="F107229"/>
    </row>
    <row r="107230" spans="1:6" x14ac:dyDescent="0.25">
      <c r="A107230"/>
      <c r="B107230"/>
      <c r="C107230"/>
      <c r="E107230"/>
      <c r="F107230"/>
    </row>
    <row r="107231" spans="1:6" x14ac:dyDescent="0.25">
      <c r="A107231"/>
      <c r="B107231"/>
      <c r="C107231"/>
      <c r="E107231"/>
      <c r="F107231"/>
    </row>
    <row r="107232" spans="1:6" x14ac:dyDescent="0.25">
      <c r="A107232"/>
      <c r="B107232"/>
      <c r="C107232"/>
      <c r="E107232"/>
      <c r="F107232"/>
    </row>
    <row r="107233" spans="1:6" x14ac:dyDescent="0.25">
      <c r="A107233"/>
      <c r="B107233"/>
      <c r="C107233"/>
      <c r="E107233"/>
      <c r="F107233"/>
    </row>
    <row r="107234" spans="1:6" x14ac:dyDescent="0.25">
      <c r="A107234"/>
      <c r="B107234"/>
      <c r="C107234"/>
      <c r="E107234"/>
      <c r="F107234"/>
    </row>
    <row r="107235" spans="1:6" x14ac:dyDescent="0.25">
      <c r="A107235"/>
      <c r="B107235"/>
      <c r="C107235"/>
      <c r="E107235"/>
      <c r="F107235"/>
    </row>
    <row r="107236" spans="1:6" x14ac:dyDescent="0.25">
      <c r="A107236"/>
      <c r="B107236"/>
      <c r="C107236"/>
      <c r="E107236"/>
      <c r="F107236"/>
    </row>
    <row r="107237" spans="1:6" x14ac:dyDescent="0.25">
      <c r="A107237"/>
      <c r="B107237"/>
      <c r="C107237"/>
      <c r="E107237"/>
      <c r="F107237"/>
    </row>
    <row r="107238" spans="1:6" x14ac:dyDescent="0.25">
      <c r="A107238"/>
      <c r="B107238"/>
      <c r="C107238"/>
      <c r="E107238"/>
      <c r="F107238"/>
    </row>
    <row r="107239" spans="1:6" x14ac:dyDescent="0.25">
      <c r="A107239"/>
      <c r="B107239"/>
      <c r="C107239"/>
      <c r="E107239"/>
      <c r="F107239"/>
    </row>
    <row r="107240" spans="1:6" x14ac:dyDescent="0.25">
      <c r="A107240"/>
      <c r="B107240"/>
      <c r="C107240"/>
      <c r="E107240"/>
      <c r="F107240"/>
    </row>
    <row r="107241" spans="1:6" x14ac:dyDescent="0.25">
      <c r="A107241"/>
      <c r="B107241"/>
      <c r="C107241"/>
      <c r="E107241"/>
      <c r="F107241"/>
    </row>
    <row r="107242" spans="1:6" x14ac:dyDescent="0.25">
      <c r="A107242"/>
      <c r="B107242"/>
      <c r="C107242"/>
      <c r="E107242"/>
      <c r="F107242"/>
    </row>
    <row r="107243" spans="1:6" x14ac:dyDescent="0.25">
      <c r="A107243"/>
      <c r="B107243"/>
      <c r="C107243"/>
      <c r="E107243"/>
      <c r="F107243"/>
    </row>
    <row r="107244" spans="1:6" x14ac:dyDescent="0.25">
      <c r="A107244"/>
      <c r="B107244"/>
      <c r="C107244"/>
      <c r="E107244"/>
      <c r="F107244"/>
    </row>
    <row r="107245" spans="1:6" x14ac:dyDescent="0.25">
      <c r="A107245"/>
      <c r="B107245"/>
      <c r="C107245"/>
      <c r="E107245"/>
      <c r="F107245"/>
    </row>
    <row r="107246" spans="1:6" x14ac:dyDescent="0.25">
      <c r="A107246"/>
      <c r="B107246"/>
      <c r="C107246"/>
      <c r="E107246"/>
      <c r="F107246"/>
    </row>
    <row r="107247" spans="1:6" x14ac:dyDescent="0.25">
      <c r="A107247"/>
      <c r="B107247"/>
      <c r="C107247"/>
      <c r="E107247"/>
      <c r="F107247"/>
    </row>
    <row r="107248" spans="1:6" x14ac:dyDescent="0.25">
      <c r="A107248"/>
      <c r="B107248"/>
      <c r="C107248"/>
      <c r="E107248"/>
      <c r="F107248"/>
    </row>
    <row r="107249" spans="1:6" x14ac:dyDescent="0.25">
      <c r="A107249"/>
      <c r="B107249"/>
      <c r="C107249"/>
      <c r="E107249"/>
      <c r="F107249"/>
    </row>
    <row r="107250" spans="1:6" x14ac:dyDescent="0.25">
      <c r="A107250"/>
      <c r="B107250"/>
      <c r="C107250"/>
      <c r="E107250"/>
      <c r="F107250"/>
    </row>
    <row r="107251" spans="1:6" x14ac:dyDescent="0.25">
      <c r="A107251"/>
      <c r="B107251"/>
      <c r="C107251"/>
      <c r="E107251"/>
      <c r="F107251"/>
    </row>
    <row r="107252" spans="1:6" x14ac:dyDescent="0.25">
      <c r="A107252"/>
      <c r="B107252"/>
      <c r="C107252"/>
      <c r="E107252"/>
      <c r="F107252"/>
    </row>
    <row r="107253" spans="1:6" x14ac:dyDescent="0.25">
      <c r="A107253"/>
      <c r="B107253"/>
      <c r="C107253"/>
      <c r="E107253"/>
      <c r="F107253"/>
    </row>
    <row r="107254" spans="1:6" x14ac:dyDescent="0.25">
      <c r="A107254"/>
      <c r="B107254"/>
      <c r="C107254"/>
      <c r="E107254"/>
      <c r="F107254"/>
    </row>
    <row r="107255" spans="1:6" x14ac:dyDescent="0.25">
      <c r="A107255"/>
      <c r="B107255"/>
      <c r="C107255"/>
      <c r="E107255"/>
      <c r="F107255"/>
    </row>
    <row r="107256" spans="1:6" x14ac:dyDescent="0.25">
      <c r="A107256"/>
      <c r="B107256"/>
      <c r="C107256"/>
      <c r="E107256"/>
      <c r="F107256"/>
    </row>
    <row r="107257" spans="1:6" x14ac:dyDescent="0.25">
      <c r="A107257"/>
      <c r="B107257"/>
      <c r="C107257"/>
      <c r="E107257"/>
      <c r="F107257"/>
    </row>
    <row r="107258" spans="1:6" x14ac:dyDescent="0.25">
      <c r="A107258"/>
      <c r="B107258"/>
      <c r="C107258"/>
      <c r="E107258"/>
      <c r="F107258"/>
    </row>
    <row r="107259" spans="1:6" x14ac:dyDescent="0.25">
      <c r="A107259"/>
      <c r="B107259"/>
      <c r="C107259"/>
      <c r="E107259"/>
      <c r="F107259"/>
    </row>
    <row r="107260" spans="1:6" x14ac:dyDescent="0.25">
      <c r="A107260"/>
      <c r="B107260"/>
      <c r="C107260"/>
      <c r="E107260"/>
      <c r="F107260"/>
    </row>
    <row r="107261" spans="1:6" x14ac:dyDescent="0.25">
      <c r="A107261"/>
      <c r="B107261"/>
      <c r="C107261"/>
      <c r="E107261"/>
      <c r="F107261"/>
    </row>
    <row r="107262" spans="1:6" x14ac:dyDescent="0.25">
      <c r="A107262"/>
      <c r="B107262"/>
      <c r="C107262"/>
      <c r="E107262"/>
      <c r="F107262"/>
    </row>
    <row r="107263" spans="1:6" x14ac:dyDescent="0.25">
      <c r="A107263"/>
      <c r="B107263"/>
      <c r="C107263"/>
      <c r="E107263"/>
      <c r="F107263"/>
    </row>
    <row r="107264" spans="1:6" x14ac:dyDescent="0.25">
      <c r="A107264"/>
      <c r="B107264"/>
      <c r="C107264"/>
      <c r="E107264"/>
      <c r="F107264"/>
    </row>
    <row r="107265" spans="1:6" x14ac:dyDescent="0.25">
      <c r="A107265"/>
      <c r="B107265"/>
      <c r="C107265"/>
      <c r="E107265"/>
      <c r="F107265"/>
    </row>
    <row r="107266" spans="1:6" x14ac:dyDescent="0.25">
      <c r="A107266"/>
      <c r="B107266"/>
      <c r="C107266"/>
      <c r="E107266"/>
      <c r="F107266"/>
    </row>
    <row r="107267" spans="1:6" x14ac:dyDescent="0.25">
      <c r="A107267"/>
      <c r="B107267"/>
      <c r="C107267"/>
      <c r="E107267"/>
      <c r="F107267"/>
    </row>
    <row r="107268" spans="1:6" x14ac:dyDescent="0.25">
      <c r="A107268"/>
      <c r="B107268"/>
      <c r="C107268"/>
      <c r="E107268"/>
      <c r="F107268"/>
    </row>
    <row r="107269" spans="1:6" x14ac:dyDescent="0.25">
      <c r="A107269"/>
      <c r="B107269"/>
      <c r="C107269"/>
      <c r="E107269"/>
      <c r="F107269"/>
    </row>
    <row r="107270" spans="1:6" x14ac:dyDescent="0.25">
      <c r="A107270"/>
      <c r="B107270"/>
      <c r="C107270"/>
      <c r="E107270"/>
      <c r="F107270"/>
    </row>
    <row r="107271" spans="1:6" x14ac:dyDescent="0.25">
      <c r="A107271"/>
      <c r="B107271"/>
      <c r="C107271"/>
      <c r="E107271"/>
      <c r="F107271"/>
    </row>
    <row r="107272" spans="1:6" x14ac:dyDescent="0.25">
      <c r="A107272"/>
      <c r="B107272"/>
      <c r="C107272"/>
      <c r="E107272"/>
      <c r="F107272"/>
    </row>
    <row r="107273" spans="1:6" x14ac:dyDescent="0.25">
      <c r="A107273"/>
      <c r="B107273"/>
      <c r="C107273"/>
      <c r="E107273"/>
      <c r="F107273"/>
    </row>
    <row r="107274" spans="1:6" x14ac:dyDescent="0.25">
      <c r="A107274"/>
      <c r="B107274"/>
      <c r="C107274"/>
      <c r="E107274"/>
      <c r="F107274"/>
    </row>
    <row r="107275" spans="1:6" x14ac:dyDescent="0.25">
      <c r="A107275"/>
      <c r="B107275"/>
      <c r="C107275"/>
      <c r="E107275"/>
      <c r="F107275"/>
    </row>
    <row r="107276" spans="1:6" x14ac:dyDescent="0.25">
      <c r="A107276"/>
      <c r="B107276"/>
      <c r="C107276"/>
      <c r="E107276"/>
      <c r="F107276"/>
    </row>
    <row r="107277" spans="1:6" x14ac:dyDescent="0.25">
      <c r="A107277"/>
      <c r="B107277"/>
      <c r="C107277"/>
      <c r="E107277"/>
      <c r="F107277"/>
    </row>
    <row r="107278" spans="1:6" x14ac:dyDescent="0.25">
      <c r="A107278"/>
      <c r="B107278"/>
      <c r="C107278"/>
      <c r="E107278"/>
      <c r="F107278"/>
    </row>
    <row r="107279" spans="1:6" x14ac:dyDescent="0.25">
      <c r="A107279"/>
      <c r="B107279"/>
      <c r="C107279"/>
      <c r="E107279"/>
      <c r="F107279"/>
    </row>
    <row r="107280" spans="1:6" x14ac:dyDescent="0.25">
      <c r="A107280"/>
      <c r="B107280"/>
      <c r="C107280"/>
      <c r="E107280"/>
      <c r="F107280"/>
    </row>
    <row r="107281" spans="1:6" x14ac:dyDescent="0.25">
      <c r="A107281"/>
      <c r="B107281"/>
      <c r="C107281"/>
      <c r="E107281"/>
      <c r="F107281"/>
    </row>
    <row r="107282" spans="1:6" x14ac:dyDescent="0.25">
      <c r="A107282"/>
      <c r="B107282"/>
      <c r="C107282"/>
      <c r="E107282"/>
      <c r="F107282"/>
    </row>
    <row r="107283" spans="1:6" x14ac:dyDescent="0.25">
      <c r="A107283"/>
      <c r="B107283"/>
      <c r="C107283"/>
      <c r="E107283"/>
      <c r="F107283"/>
    </row>
    <row r="107284" spans="1:6" x14ac:dyDescent="0.25">
      <c r="A107284"/>
      <c r="B107284"/>
      <c r="C107284"/>
      <c r="E107284"/>
      <c r="F107284"/>
    </row>
    <row r="107285" spans="1:6" x14ac:dyDescent="0.25">
      <c r="A107285"/>
      <c r="B107285"/>
      <c r="C107285"/>
      <c r="E107285"/>
      <c r="F107285"/>
    </row>
    <row r="107286" spans="1:6" x14ac:dyDescent="0.25">
      <c r="A107286"/>
      <c r="B107286"/>
      <c r="C107286"/>
      <c r="E107286"/>
      <c r="F107286"/>
    </row>
    <row r="107287" spans="1:6" x14ac:dyDescent="0.25">
      <c r="A107287"/>
      <c r="B107287"/>
      <c r="C107287"/>
      <c r="E107287"/>
      <c r="F107287"/>
    </row>
    <row r="107288" spans="1:6" x14ac:dyDescent="0.25">
      <c r="A107288"/>
      <c r="B107288"/>
      <c r="C107288"/>
      <c r="E107288"/>
      <c r="F107288"/>
    </row>
    <row r="107289" spans="1:6" x14ac:dyDescent="0.25">
      <c r="A107289"/>
      <c r="B107289"/>
      <c r="C107289"/>
      <c r="E107289"/>
      <c r="F107289"/>
    </row>
    <row r="107290" spans="1:6" x14ac:dyDescent="0.25">
      <c r="A107290"/>
      <c r="B107290"/>
      <c r="C107290"/>
      <c r="E107290"/>
      <c r="F107290"/>
    </row>
    <row r="107291" spans="1:6" x14ac:dyDescent="0.25">
      <c r="A107291"/>
      <c r="B107291"/>
      <c r="C107291"/>
      <c r="E107291"/>
      <c r="F107291"/>
    </row>
    <row r="107292" spans="1:6" x14ac:dyDescent="0.25">
      <c r="A107292"/>
      <c r="B107292"/>
      <c r="C107292"/>
      <c r="E107292"/>
      <c r="F107292"/>
    </row>
    <row r="107293" spans="1:6" x14ac:dyDescent="0.25">
      <c r="A107293"/>
      <c r="B107293"/>
      <c r="C107293"/>
      <c r="E107293"/>
      <c r="F107293"/>
    </row>
    <row r="107294" spans="1:6" x14ac:dyDescent="0.25">
      <c r="A107294"/>
      <c r="B107294"/>
      <c r="C107294"/>
      <c r="E107294"/>
      <c r="F107294"/>
    </row>
    <row r="107295" spans="1:6" x14ac:dyDescent="0.25">
      <c r="A107295"/>
      <c r="B107295"/>
      <c r="C107295"/>
      <c r="E107295"/>
      <c r="F107295"/>
    </row>
    <row r="107296" spans="1:6" x14ac:dyDescent="0.25">
      <c r="A107296"/>
      <c r="B107296"/>
      <c r="C107296"/>
      <c r="E107296"/>
      <c r="F107296"/>
    </row>
    <row r="107297" spans="1:6" x14ac:dyDescent="0.25">
      <c r="A107297"/>
      <c r="B107297"/>
      <c r="C107297"/>
      <c r="E107297"/>
      <c r="F107297"/>
    </row>
    <row r="107298" spans="1:6" x14ac:dyDescent="0.25">
      <c r="A107298"/>
      <c r="B107298"/>
      <c r="C107298"/>
      <c r="E107298"/>
      <c r="F107298"/>
    </row>
    <row r="107299" spans="1:6" x14ac:dyDescent="0.25">
      <c r="A107299"/>
      <c r="B107299"/>
      <c r="C107299"/>
      <c r="E107299"/>
      <c r="F107299"/>
    </row>
    <row r="107300" spans="1:6" x14ac:dyDescent="0.25">
      <c r="A107300"/>
      <c r="B107300"/>
      <c r="C107300"/>
      <c r="E107300"/>
      <c r="F107300"/>
    </row>
    <row r="107301" spans="1:6" x14ac:dyDescent="0.25">
      <c r="A107301"/>
      <c r="B107301"/>
      <c r="C107301"/>
      <c r="E107301"/>
      <c r="F107301"/>
    </row>
    <row r="107302" spans="1:6" x14ac:dyDescent="0.25">
      <c r="A107302"/>
      <c r="B107302"/>
      <c r="C107302"/>
      <c r="E107302"/>
      <c r="F107302"/>
    </row>
    <row r="107303" spans="1:6" x14ac:dyDescent="0.25">
      <c r="A107303"/>
      <c r="B107303"/>
      <c r="C107303"/>
      <c r="E107303"/>
      <c r="F107303"/>
    </row>
    <row r="107304" spans="1:6" x14ac:dyDescent="0.25">
      <c r="A107304"/>
      <c r="B107304"/>
      <c r="C107304"/>
      <c r="E107304"/>
      <c r="F107304"/>
    </row>
    <row r="107305" spans="1:6" x14ac:dyDescent="0.25">
      <c r="A107305"/>
      <c r="B107305"/>
      <c r="C107305"/>
      <c r="E107305"/>
      <c r="F107305"/>
    </row>
    <row r="107306" spans="1:6" x14ac:dyDescent="0.25">
      <c r="A107306"/>
      <c r="B107306"/>
      <c r="C107306"/>
      <c r="E107306"/>
      <c r="F107306"/>
    </row>
    <row r="107307" spans="1:6" x14ac:dyDescent="0.25">
      <c r="A107307"/>
      <c r="B107307"/>
      <c r="C107307"/>
      <c r="E107307"/>
      <c r="F107307"/>
    </row>
    <row r="107308" spans="1:6" x14ac:dyDescent="0.25">
      <c r="A107308"/>
      <c r="B107308"/>
      <c r="C107308"/>
      <c r="E107308"/>
      <c r="F107308"/>
    </row>
    <row r="107309" spans="1:6" x14ac:dyDescent="0.25">
      <c r="A107309"/>
      <c r="B107309"/>
      <c r="C107309"/>
      <c r="E107309"/>
      <c r="F107309"/>
    </row>
    <row r="107310" spans="1:6" x14ac:dyDescent="0.25">
      <c r="A107310"/>
      <c r="B107310"/>
      <c r="C107310"/>
      <c r="E107310"/>
      <c r="F107310"/>
    </row>
    <row r="107311" spans="1:6" x14ac:dyDescent="0.25">
      <c r="A107311"/>
      <c r="B107311"/>
      <c r="C107311"/>
      <c r="E107311"/>
      <c r="F107311"/>
    </row>
    <row r="107312" spans="1:6" x14ac:dyDescent="0.25">
      <c r="A107312"/>
      <c r="B107312"/>
      <c r="C107312"/>
      <c r="E107312"/>
      <c r="F107312"/>
    </row>
    <row r="107313" spans="1:6" x14ac:dyDescent="0.25">
      <c r="A107313"/>
      <c r="B107313"/>
      <c r="C107313"/>
      <c r="E107313"/>
      <c r="F107313"/>
    </row>
    <row r="107314" spans="1:6" x14ac:dyDescent="0.25">
      <c r="A107314"/>
      <c r="B107314"/>
      <c r="C107314"/>
      <c r="E107314"/>
      <c r="F107314"/>
    </row>
    <row r="107315" spans="1:6" x14ac:dyDescent="0.25">
      <c r="A107315"/>
      <c r="B107315"/>
      <c r="C107315"/>
      <c r="E107315"/>
      <c r="F107315"/>
    </row>
    <row r="107316" spans="1:6" x14ac:dyDescent="0.25">
      <c r="A107316"/>
      <c r="B107316"/>
      <c r="C107316"/>
      <c r="E107316"/>
      <c r="F107316"/>
    </row>
    <row r="107317" spans="1:6" x14ac:dyDescent="0.25">
      <c r="A107317"/>
      <c r="B107317"/>
      <c r="C107317"/>
      <c r="E107317"/>
      <c r="F107317"/>
    </row>
    <row r="107318" spans="1:6" x14ac:dyDescent="0.25">
      <c r="A107318"/>
      <c r="B107318"/>
      <c r="C107318"/>
      <c r="E107318"/>
      <c r="F107318"/>
    </row>
    <row r="107319" spans="1:6" x14ac:dyDescent="0.25">
      <c r="A107319"/>
      <c r="B107319"/>
      <c r="C107319"/>
      <c r="E107319"/>
      <c r="F107319"/>
    </row>
    <row r="107320" spans="1:6" x14ac:dyDescent="0.25">
      <c r="A107320"/>
      <c r="B107320"/>
      <c r="C107320"/>
      <c r="E107320"/>
      <c r="F107320"/>
    </row>
    <row r="107321" spans="1:6" x14ac:dyDescent="0.25">
      <c r="A107321"/>
      <c r="B107321"/>
      <c r="C107321"/>
      <c r="E107321"/>
      <c r="F107321"/>
    </row>
    <row r="107322" spans="1:6" x14ac:dyDescent="0.25">
      <c r="A107322"/>
      <c r="B107322"/>
      <c r="C107322"/>
      <c r="E107322"/>
      <c r="F107322"/>
    </row>
    <row r="107323" spans="1:6" x14ac:dyDescent="0.25">
      <c r="A107323"/>
      <c r="B107323"/>
      <c r="C107323"/>
      <c r="E107323"/>
      <c r="F107323"/>
    </row>
    <row r="107324" spans="1:6" x14ac:dyDescent="0.25">
      <c r="A107324"/>
      <c r="B107324"/>
      <c r="C107324"/>
      <c r="E107324"/>
      <c r="F107324"/>
    </row>
    <row r="107325" spans="1:6" x14ac:dyDescent="0.25">
      <c r="A107325"/>
      <c r="B107325"/>
      <c r="C107325"/>
      <c r="E107325"/>
      <c r="F107325"/>
    </row>
    <row r="107326" spans="1:6" x14ac:dyDescent="0.25">
      <c r="A107326"/>
      <c r="B107326"/>
      <c r="C107326"/>
      <c r="E107326"/>
      <c r="F107326"/>
    </row>
    <row r="107327" spans="1:6" x14ac:dyDescent="0.25">
      <c r="A107327"/>
      <c r="B107327"/>
      <c r="C107327"/>
      <c r="E107327"/>
      <c r="F107327"/>
    </row>
    <row r="107328" spans="1:6" x14ac:dyDescent="0.25">
      <c r="A107328"/>
      <c r="B107328"/>
      <c r="C107328"/>
      <c r="E107328"/>
      <c r="F107328"/>
    </row>
    <row r="107329" spans="1:6" x14ac:dyDescent="0.25">
      <c r="A107329"/>
      <c r="B107329"/>
      <c r="C107329"/>
      <c r="E107329"/>
      <c r="F107329"/>
    </row>
    <row r="107330" spans="1:6" x14ac:dyDescent="0.25">
      <c r="A107330"/>
      <c r="B107330"/>
      <c r="C107330"/>
      <c r="E107330"/>
      <c r="F107330"/>
    </row>
    <row r="107331" spans="1:6" x14ac:dyDescent="0.25">
      <c r="A107331"/>
      <c r="B107331"/>
      <c r="C107331"/>
      <c r="E107331"/>
      <c r="F107331"/>
    </row>
    <row r="107332" spans="1:6" x14ac:dyDescent="0.25">
      <c r="A107332"/>
      <c r="B107332"/>
      <c r="C107332"/>
      <c r="E107332"/>
      <c r="F107332"/>
    </row>
    <row r="107333" spans="1:6" x14ac:dyDescent="0.25">
      <c r="A107333"/>
      <c r="B107333"/>
      <c r="C107333"/>
      <c r="E107333"/>
      <c r="F107333"/>
    </row>
    <row r="107334" spans="1:6" x14ac:dyDescent="0.25">
      <c r="A107334"/>
      <c r="B107334"/>
      <c r="C107334"/>
      <c r="E107334"/>
      <c r="F107334"/>
    </row>
    <row r="107335" spans="1:6" x14ac:dyDescent="0.25">
      <c r="A107335"/>
      <c r="B107335"/>
      <c r="C107335"/>
      <c r="E107335"/>
      <c r="F107335"/>
    </row>
    <row r="107336" spans="1:6" x14ac:dyDescent="0.25">
      <c r="A107336"/>
      <c r="B107336"/>
      <c r="C107336"/>
      <c r="E107336"/>
      <c r="F107336"/>
    </row>
    <row r="107337" spans="1:6" x14ac:dyDescent="0.25">
      <c r="A107337"/>
      <c r="B107337"/>
      <c r="C107337"/>
      <c r="E107337"/>
      <c r="F107337"/>
    </row>
    <row r="107338" spans="1:6" x14ac:dyDescent="0.25">
      <c r="A107338"/>
      <c r="B107338"/>
      <c r="C107338"/>
      <c r="E107338"/>
      <c r="F107338"/>
    </row>
    <row r="107339" spans="1:6" x14ac:dyDescent="0.25">
      <c r="A107339"/>
      <c r="B107339"/>
      <c r="C107339"/>
      <c r="E107339"/>
      <c r="F107339"/>
    </row>
    <row r="107340" spans="1:6" x14ac:dyDescent="0.25">
      <c r="A107340"/>
      <c r="B107340"/>
      <c r="C107340"/>
      <c r="E107340"/>
      <c r="F107340"/>
    </row>
    <row r="107341" spans="1:6" x14ac:dyDescent="0.25">
      <c r="A107341"/>
      <c r="B107341"/>
      <c r="C107341"/>
      <c r="E107341"/>
      <c r="F107341"/>
    </row>
    <row r="107342" spans="1:6" x14ac:dyDescent="0.25">
      <c r="A107342"/>
      <c r="B107342"/>
      <c r="C107342"/>
      <c r="E107342"/>
      <c r="F107342"/>
    </row>
    <row r="107343" spans="1:6" x14ac:dyDescent="0.25">
      <c r="A107343"/>
      <c r="B107343"/>
      <c r="C107343"/>
      <c r="E107343"/>
      <c r="F107343"/>
    </row>
    <row r="107344" spans="1:6" x14ac:dyDescent="0.25">
      <c r="A107344"/>
      <c r="B107344"/>
      <c r="C107344"/>
      <c r="E107344"/>
      <c r="F107344"/>
    </row>
    <row r="107345" spans="1:6" x14ac:dyDescent="0.25">
      <c r="A107345"/>
      <c r="B107345"/>
      <c r="C107345"/>
      <c r="E107345"/>
      <c r="F107345"/>
    </row>
    <row r="107346" spans="1:6" x14ac:dyDescent="0.25">
      <c r="A107346"/>
      <c r="B107346"/>
      <c r="C107346"/>
      <c r="E107346"/>
      <c r="F107346"/>
    </row>
    <row r="107347" spans="1:6" x14ac:dyDescent="0.25">
      <c r="A107347"/>
      <c r="B107347"/>
      <c r="C107347"/>
      <c r="E107347"/>
      <c r="F107347"/>
    </row>
    <row r="107348" spans="1:6" x14ac:dyDescent="0.25">
      <c r="A107348"/>
      <c r="B107348"/>
      <c r="C107348"/>
      <c r="E107348"/>
      <c r="F107348"/>
    </row>
    <row r="107349" spans="1:6" x14ac:dyDescent="0.25">
      <c r="A107349"/>
      <c r="B107349"/>
      <c r="C107349"/>
      <c r="E107349"/>
      <c r="F107349"/>
    </row>
    <row r="107350" spans="1:6" x14ac:dyDescent="0.25">
      <c r="A107350"/>
      <c r="B107350"/>
      <c r="C107350"/>
      <c r="E107350"/>
      <c r="F107350"/>
    </row>
    <row r="107351" spans="1:6" x14ac:dyDescent="0.25">
      <c r="A107351"/>
      <c r="B107351"/>
      <c r="C107351"/>
      <c r="E107351"/>
      <c r="F107351"/>
    </row>
    <row r="107352" spans="1:6" x14ac:dyDescent="0.25">
      <c r="A107352"/>
      <c r="B107352"/>
      <c r="C107352"/>
      <c r="E107352"/>
      <c r="F107352"/>
    </row>
    <row r="107353" spans="1:6" x14ac:dyDescent="0.25">
      <c r="A107353"/>
      <c r="B107353"/>
      <c r="C107353"/>
      <c r="E107353"/>
      <c r="F107353"/>
    </row>
    <row r="107354" spans="1:6" x14ac:dyDescent="0.25">
      <c r="A107354"/>
      <c r="B107354"/>
      <c r="C107354"/>
      <c r="E107354"/>
      <c r="F107354"/>
    </row>
    <row r="107355" spans="1:6" x14ac:dyDescent="0.25">
      <c r="A107355"/>
      <c r="B107355"/>
      <c r="C107355"/>
      <c r="E107355"/>
      <c r="F107355"/>
    </row>
    <row r="107356" spans="1:6" x14ac:dyDescent="0.25">
      <c r="A107356"/>
      <c r="B107356"/>
      <c r="C107356"/>
      <c r="E107356"/>
      <c r="F107356"/>
    </row>
    <row r="107357" spans="1:6" x14ac:dyDescent="0.25">
      <c r="A107357"/>
      <c r="B107357"/>
      <c r="C107357"/>
      <c r="E107357"/>
      <c r="F107357"/>
    </row>
    <row r="107358" spans="1:6" x14ac:dyDescent="0.25">
      <c r="A107358"/>
      <c r="B107358"/>
      <c r="C107358"/>
      <c r="E107358"/>
      <c r="F107358"/>
    </row>
    <row r="107359" spans="1:6" x14ac:dyDescent="0.25">
      <c r="A107359"/>
      <c r="B107359"/>
      <c r="C107359"/>
      <c r="E107359"/>
      <c r="F107359"/>
    </row>
    <row r="107360" spans="1:6" x14ac:dyDescent="0.25">
      <c r="A107360"/>
      <c r="B107360"/>
      <c r="C107360"/>
      <c r="E107360"/>
      <c r="F107360"/>
    </row>
    <row r="107361" spans="1:6" x14ac:dyDescent="0.25">
      <c r="A107361"/>
      <c r="B107361"/>
      <c r="C107361"/>
      <c r="E107361"/>
      <c r="F107361"/>
    </row>
    <row r="107362" spans="1:6" x14ac:dyDescent="0.25">
      <c r="A107362"/>
      <c r="B107362"/>
      <c r="C107362"/>
      <c r="E107362"/>
      <c r="F107362"/>
    </row>
    <row r="107363" spans="1:6" x14ac:dyDescent="0.25">
      <c r="A107363"/>
      <c r="B107363"/>
      <c r="C107363"/>
      <c r="E107363"/>
      <c r="F107363"/>
    </row>
    <row r="107364" spans="1:6" x14ac:dyDescent="0.25">
      <c r="A107364"/>
      <c r="B107364"/>
      <c r="C107364"/>
      <c r="E107364"/>
      <c r="F107364"/>
    </row>
    <row r="107365" spans="1:6" x14ac:dyDescent="0.25">
      <c r="A107365"/>
      <c r="B107365"/>
      <c r="C107365"/>
      <c r="E107365"/>
      <c r="F107365"/>
    </row>
    <row r="107366" spans="1:6" x14ac:dyDescent="0.25">
      <c r="A107366"/>
      <c r="B107366"/>
      <c r="C107366"/>
      <c r="E107366"/>
      <c r="F107366"/>
    </row>
    <row r="107367" spans="1:6" x14ac:dyDescent="0.25">
      <c r="A107367"/>
      <c r="B107367"/>
      <c r="C107367"/>
      <c r="E107367"/>
      <c r="F107367"/>
    </row>
    <row r="107368" spans="1:6" x14ac:dyDescent="0.25">
      <c r="A107368"/>
      <c r="B107368"/>
      <c r="C107368"/>
      <c r="E107368"/>
      <c r="F107368"/>
    </row>
    <row r="107369" spans="1:6" x14ac:dyDescent="0.25">
      <c r="A107369"/>
      <c r="B107369"/>
      <c r="C107369"/>
      <c r="E107369"/>
      <c r="F107369"/>
    </row>
    <row r="107370" spans="1:6" x14ac:dyDescent="0.25">
      <c r="A107370"/>
      <c r="B107370"/>
      <c r="C107370"/>
      <c r="E107370"/>
      <c r="F107370"/>
    </row>
    <row r="107371" spans="1:6" x14ac:dyDescent="0.25">
      <c r="A107371"/>
      <c r="B107371"/>
      <c r="C107371"/>
      <c r="E107371"/>
      <c r="F107371"/>
    </row>
    <row r="107372" spans="1:6" x14ac:dyDescent="0.25">
      <c r="A107372"/>
      <c r="B107372"/>
      <c r="C107372"/>
      <c r="E107372"/>
      <c r="F107372"/>
    </row>
    <row r="107373" spans="1:6" x14ac:dyDescent="0.25">
      <c r="A107373"/>
      <c r="B107373"/>
      <c r="C107373"/>
      <c r="E107373"/>
      <c r="F107373"/>
    </row>
    <row r="107374" spans="1:6" x14ac:dyDescent="0.25">
      <c r="A107374"/>
      <c r="B107374"/>
      <c r="C107374"/>
      <c r="E107374"/>
      <c r="F107374"/>
    </row>
    <row r="107375" spans="1:6" x14ac:dyDescent="0.25">
      <c r="A107375"/>
      <c r="B107375"/>
      <c r="C107375"/>
      <c r="E107375"/>
      <c r="F107375"/>
    </row>
    <row r="107376" spans="1:6" x14ac:dyDescent="0.25">
      <c r="A107376"/>
      <c r="B107376"/>
      <c r="C107376"/>
      <c r="E107376"/>
      <c r="F107376"/>
    </row>
    <row r="107377" spans="1:6" x14ac:dyDescent="0.25">
      <c r="A107377"/>
      <c r="B107377"/>
      <c r="C107377"/>
      <c r="E107377"/>
      <c r="F107377"/>
    </row>
    <row r="107378" spans="1:6" x14ac:dyDescent="0.25">
      <c r="A107378"/>
      <c r="B107378"/>
      <c r="C107378"/>
      <c r="E107378"/>
      <c r="F107378"/>
    </row>
    <row r="107379" spans="1:6" x14ac:dyDescent="0.25">
      <c r="A107379"/>
      <c r="B107379"/>
      <c r="C107379"/>
      <c r="E107379"/>
      <c r="F107379"/>
    </row>
    <row r="107380" spans="1:6" x14ac:dyDescent="0.25">
      <c r="A107380"/>
      <c r="B107380"/>
      <c r="C107380"/>
      <c r="E107380"/>
      <c r="F107380"/>
    </row>
    <row r="107381" spans="1:6" x14ac:dyDescent="0.25">
      <c r="A107381"/>
      <c r="B107381"/>
      <c r="C107381"/>
      <c r="E107381"/>
      <c r="F107381"/>
    </row>
    <row r="107382" spans="1:6" x14ac:dyDescent="0.25">
      <c r="A107382"/>
      <c r="B107382"/>
      <c r="C107382"/>
      <c r="E107382"/>
      <c r="F107382"/>
    </row>
    <row r="107383" spans="1:6" x14ac:dyDescent="0.25">
      <c r="A107383"/>
      <c r="B107383"/>
      <c r="C107383"/>
      <c r="E107383"/>
      <c r="F107383"/>
    </row>
    <row r="107384" spans="1:6" x14ac:dyDescent="0.25">
      <c r="A107384"/>
      <c r="B107384"/>
      <c r="C107384"/>
      <c r="E107384"/>
      <c r="F107384"/>
    </row>
    <row r="107385" spans="1:6" x14ac:dyDescent="0.25">
      <c r="A107385"/>
      <c r="B107385"/>
      <c r="C107385"/>
      <c r="E107385"/>
      <c r="F107385"/>
    </row>
    <row r="107386" spans="1:6" x14ac:dyDescent="0.25">
      <c r="A107386"/>
      <c r="B107386"/>
      <c r="C107386"/>
      <c r="E107386"/>
      <c r="F107386"/>
    </row>
    <row r="107387" spans="1:6" x14ac:dyDescent="0.25">
      <c r="A107387"/>
      <c r="B107387"/>
      <c r="C107387"/>
      <c r="E107387"/>
      <c r="F107387"/>
    </row>
    <row r="107388" spans="1:6" x14ac:dyDescent="0.25">
      <c r="A107388"/>
      <c r="B107388"/>
      <c r="C107388"/>
      <c r="E107388"/>
      <c r="F107388"/>
    </row>
    <row r="107389" spans="1:6" x14ac:dyDescent="0.25">
      <c r="A107389"/>
      <c r="B107389"/>
      <c r="C107389"/>
      <c r="E107389"/>
      <c r="F107389"/>
    </row>
    <row r="107390" spans="1:6" x14ac:dyDescent="0.25">
      <c r="A107390"/>
      <c r="B107390"/>
      <c r="C107390"/>
      <c r="E107390"/>
      <c r="F107390"/>
    </row>
    <row r="107391" spans="1:6" x14ac:dyDescent="0.25">
      <c r="A107391"/>
      <c r="B107391"/>
      <c r="C107391"/>
      <c r="E107391"/>
      <c r="F107391"/>
    </row>
    <row r="107392" spans="1:6" x14ac:dyDescent="0.25">
      <c r="A107392"/>
      <c r="B107392"/>
      <c r="C107392"/>
      <c r="E107392"/>
      <c r="F107392"/>
    </row>
    <row r="107393" spans="1:6" x14ac:dyDescent="0.25">
      <c r="A107393"/>
      <c r="B107393"/>
      <c r="C107393"/>
      <c r="E107393"/>
      <c r="F107393"/>
    </row>
    <row r="107394" spans="1:6" x14ac:dyDescent="0.25">
      <c r="A107394"/>
      <c r="B107394"/>
      <c r="C107394"/>
      <c r="E107394"/>
      <c r="F107394"/>
    </row>
    <row r="107395" spans="1:6" x14ac:dyDescent="0.25">
      <c r="A107395"/>
      <c r="B107395"/>
      <c r="C107395"/>
      <c r="E107395"/>
      <c r="F107395"/>
    </row>
    <row r="107396" spans="1:6" x14ac:dyDescent="0.25">
      <c r="A107396"/>
      <c r="B107396"/>
      <c r="C107396"/>
      <c r="E107396"/>
      <c r="F107396"/>
    </row>
    <row r="107397" spans="1:6" x14ac:dyDescent="0.25">
      <c r="A107397"/>
      <c r="B107397"/>
      <c r="C107397"/>
      <c r="E107397"/>
      <c r="F107397"/>
    </row>
    <row r="107398" spans="1:6" x14ac:dyDescent="0.25">
      <c r="A107398"/>
      <c r="B107398"/>
      <c r="C107398"/>
      <c r="E107398"/>
      <c r="F107398"/>
    </row>
    <row r="107399" spans="1:6" x14ac:dyDescent="0.25">
      <c r="A107399"/>
      <c r="B107399"/>
      <c r="C107399"/>
      <c r="E107399"/>
      <c r="F107399"/>
    </row>
    <row r="107400" spans="1:6" x14ac:dyDescent="0.25">
      <c r="A107400"/>
      <c r="B107400"/>
      <c r="C107400"/>
      <c r="E107400"/>
      <c r="F107400"/>
    </row>
    <row r="107401" spans="1:6" x14ac:dyDescent="0.25">
      <c r="A107401"/>
      <c r="B107401"/>
      <c r="C107401"/>
      <c r="E107401"/>
      <c r="F107401"/>
    </row>
    <row r="107402" spans="1:6" x14ac:dyDescent="0.25">
      <c r="A107402"/>
      <c r="B107402"/>
      <c r="C107402"/>
      <c r="E107402"/>
      <c r="F107402"/>
    </row>
    <row r="107403" spans="1:6" x14ac:dyDescent="0.25">
      <c r="A107403"/>
      <c r="B107403"/>
      <c r="C107403"/>
      <c r="E107403"/>
      <c r="F107403"/>
    </row>
    <row r="107404" spans="1:6" x14ac:dyDescent="0.25">
      <c r="A107404"/>
      <c r="B107404"/>
      <c r="C107404"/>
      <c r="E107404"/>
      <c r="F107404"/>
    </row>
    <row r="107405" spans="1:6" x14ac:dyDescent="0.25">
      <c r="A107405"/>
      <c r="B107405"/>
      <c r="C107405"/>
      <c r="E107405"/>
      <c r="F107405"/>
    </row>
    <row r="107406" spans="1:6" x14ac:dyDescent="0.25">
      <c r="A107406"/>
      <c r="B107406"/>
      <c r="C107406"/>
      <c r="E107406"/>
      <c r="F107406"/>
    </row>
    <row r="107407" spans="1:6" x14ac:dyDescent="0.25">
      <c r="A107407"/>
      <c r="B107407"/>
      <c r="C107407"/>
      <c r="E107407"/>
      <c r="F107407"/>
    </row>
    <row r="107408" spans="1:6" x14ac:dyDescent="0.25">
      <c r="A107408"/>
      <c r="B107408"/>
      <c r="C107408"/>
      <c r="E107408"/>
      <c r="F107408"/>
    </row>
    <row r="107409" spans="1:6" x14ac:dyDescent="0.25">
      <c r="A107409"/>
      <c r="B107409"/>
      <c r="C107409"/>
      <c r="E107409"/>
      <c r="F107409"/>
    </row>
    <row r="107410" spans="1:6" x14ac:dyDescent="0.25">
      <c r="A107410"/>
      <c r="B107410"/>
      <c r="C107410"/>
      <c r="E107410"/>
      <c r="F107410"/>
    </row>
    <row r="107411" spans="1:6" x14ac:dyDescent="0.25">
      <c r="A107411"/>
      <c r="B107411"/>
      <c r="C107411"/>
      <c r="E107411"/>
      <c r="F107411"/>
    </row>
    <row r="107412" spans="1:6" x14ac:dyDescent="0.25">
      <c r="A107412"/>
      <c r="B107412"/>
      <c r="C107412"/>
      <c r="E107412"/>
      <c r="F107412"/>
    </row>
    <row r="107413" spans="1:6" x14ac:dyDescent="0.25">
      <c r="A107413"/>
      <c r="B107413"/>
      <c r="C107413"/>
      <c r="E107413"/>
      <c r="F107413"/>
    </row>
    <row r="107414" spans="1:6" x14ac:dyDescent="0.25">
      <c r="A107414"/>
      <c r="B107414"/>
      <c r="C107414"/>
      <c r="E107414"/>
      <c r="F107414"/>
    </row>
    <row r="107415" spans="1:6" x14ac:dyDescent="0.25">
      <c r="A107415"/>
      <c r="B107415"/>
      <c r="C107415"/>
      <c r="E107415"/>
      <c r="F107415"/>
    </row>
    <row r="107416" spans="1:6" x14ac:dyDescent="0.25">
      <c r="A107416"/>
      <c r="B107416"/>
      <c r="C107416"/>
      <c r="E107416"/>
      <c r="F107416"/>
    </row>
    <row r="107417" spans="1:6" x14ac:dyDescent="0.25">
      <c r="A107417"/>
      <c r="B107417"/>
      <c r="C107417"/>
      <c r="E107417"/>
      <c r="F107417"/>
    </row>
    <row r="107418" spans="1:6" x14ac:dyDescent="0.25">
      <c r="A107418"/>
      <c r="B107418"/>
      <c r="C107418"/>
      <c r="E107418"/>
      <c r="F107418"/>
    </row>
    <row r="107419" spans="1:6" x14ac:dyDescent="0.25">
      <c r="A107419"/>
      <c r="B107419"/>
      <c r="C107419"/>
      <c r="E107419"/>
      <c r="F107419"/>
    </row>
    <row r="107420" spans="1:6" x14ac:dyDescent="0.25">
      <c r="A107420"/>
      <c r="B107420"/>
      <c r="C107420"/>
      <c r="E107420"/>
      <c r="F107420"/>
    </row>
    <row r="107421" spans="1:6" x14ac:dyDescent="0.25">
      <c r="A107421"/>
      <c r="B107421"/>
      <c r="C107421"/>
      <c r="E107421"/>
      <c r="F107421"/>
    </row>
    <row r="107422" spans="1:6" x14ac:dyDescent="0.25">
      <c r="A107422"/>
      <c r="B107422"/>
      <c r="C107422"/>
      <c r="E107422"/>
      <c r="F107422"/>
    </row>
    <row r="107423" spans="1:6" x14ac:dyDescent="0.25">
      <c r="A107423"/>
      <c r="B107423"/>
      <c r="C107423"/>
      <c r="E107423"/>
      <c r="F107423"/>
    </row>
    <row r="107424" spans="1:6" x14ac:dyDescent="0.25">
      <c r="A107424"/>
      <c r="B107424"/>
      <c r="C107424"/>
      <c r="E107424"/>
      <c r="F107424"/>
    </row>
    <row r="107425" spans="1:6" x14ac:dyDescent="0.25">
      <c r="A107425"/>
      <c r="B107425"/>
      <c r="C107425"/>
      <c r="E107425"/>
      <c r="F107425"/>
    </row>
    <row r="107426" spans="1:6" x14ac:dyDescent="0.25">
      <c r="A107426"/>
      <c r="B107426"/>
      <c r="C107426"/>
      <c r="E107426"/>
      <c r="F107426"/>
    </row>
    <row r="107427" spans="1:6" x14ac:dyDescent="0.25">
      <c r="A107427"/>
      <c r="B107427"/>
      <c r="C107427"/>
      <c r="E107427"/>
      <c r="F107427"/>
    </row>
    <row r="107428" spans="1:6" x14ac:dyDescent="0.25">
      <c r="A107428"/>
      <c r="B107428"/>
      <c r="C107428"/>
      <c r="E107428"/>
      <c r="F107428"/>
    </row>
    <row r="107429" spans="1:6" x14ac:dyDescent="0.25">
      <c r="A107429"/>
      <c r="B107429"/>
      <c r="C107429"/>
      <c r="E107429"/>
      <c r="F107429"/>
    </row>
    <row r="107430" spans="1:6" x14ac:dyDescent="0.25">
      <c r="A107430"/>
      <c r="B107430"/>
      <c r="C107430"/>
      <c r="E107430"/>
      <c r="F107430"/>
    </row>
    <row r="107431" spans="1:6" x14ac:dyDescent="0.25">
      <c r="A107431"/>
      <c r="B107431"/>
      <c r="C107431"/>
      <c r="E107431"/>
      <c r="F107431"/>
    </row>
    <row r="107432" spans="1:6" x14ac:dyDescent="0.25">
      <c r="A107432"/>
      <c r="B107432"/>
      <c r="C107432"/>
      <c r="E107432"/>
      <c r="F107432"/>
    </row>
    <row r="107433" spans="1:6" x14ac:dyDescent="0.25">
      <c r="A107433"/>
      <c r="B107433"/>
      <c r="C107433"/>
      <c r="E107433"/>
      <c r="F107433"/>
    </row>
    <row r="107434" spans="1:6" x14ac:dyDescent="0.25">
      <c r="A107434"/>
      <c r="B107434"/>
      <c r="C107434"/>
      <c r="E107434"/>
      <c r="F107434"/>
    </row>
    <row r="107435" spans="1:6" x14ac:dyDescent="0.25">
      <c r="A107435"/>
      <c r="B107435"/>
      <c r="C107435"/>
      <c r="E107435"/>
      <c r="F107435"/>
    </row>
    <row r="107436" spans="1:6" x14ac:dyDescent="0.25">
      <c r="A107436"/>
      <c r="B107436"/>
      <c r="C107436"/>
      <c r="E107436"/>
      <c r="F107436"/>
    </row>
    <row r="107437" spans="1:6" x14ac:dyDescent="0.25">
      <c r="A107437"/>
      <c r="B107437"/>
      <c r="C107437"/>
      <c r="E107437"/>
      <c r="F107437"/>
    </row>
    <row r="107438" spans="1:6" x14ac:dyDescent="0.25">
      <c r="A107438"/>
      <c r="B107438"/>
      <c r="C107438"/>
      <c r="E107438"/>
      <c r="F107438"/>
    </row>
    <row r="107439" spans="1:6" x14ac:dyDescent="0.25">
      <c r="A107439"/>
      <c r="B107439"/>
      <c r="C107439"/>
      <c r="E107439"/>
      <c r="F107439"/>
    </row>
    <row r="107440" spans="1:6" x14ac:dyDescent="0.25">
      <c r="A107440"/>
      <c r="B107440"/>
      <c r="C107440"/>
      <c r="E107440"/>
      <c r="F107440"/>
    </row>
    <row r="107441" spans="1:6" x14ac:dyDescent="0.25">
      <c r="A107441"/>
      <c r="B107441"/>
      <c r="C107441"/>
      <c r="E107441"/>
      <c r="F107441"/>
    </row>
    <row r="107442" spans="1:6" x14ac:dyDescent="0.25">
      <c r="A107442"/>
      <c r="B107442"/>
      <c r="C107442"/>
      <c r="E107442"/>
      <c r="F107442"/>
    </row>
    <row r="107443" spans="1:6" x14ac:dyDescent="0.25">
      <c r="A107443"/>
      <c r="B107443"/>
      <c r="C107443"/>
      <c r="E107443"/>
      <c r="F107443"/>
    </row>
    <row r="107444" spans="1:6" x14ac:dyDescent="0.25">
      <c r="A107444"/>
      <c r="B107444"/>
      <c r="C107444"/>
      <c r="E107444"/>
      <c r="F107444"/>
    </row>
    <row r="107445" spans="1:6" x14ac:dyDescent="0.25">
      <c r="A107445"/>
      <c r="B107445"/>
      <c r="C107445"/>
      <c r="E107445"/>
      <c r="F107445"/>
    </row>
    <row r="107446" spans="1:6" x14ac:dyDescent="0.25">
      <c r="A107446"/>
      <c r="B107446"/>
      <c r="C107446"/>
      <c r="E107446"/>
      <c r="F107446"/>
    </row>
    <row r="107447" spans="1:6" x14ac:dyDescent="0.25">
      <c r="A107447"/>
      <c r="B107447"/>
      <c r="C107447"/>
      <c r="E107447"/>
      <c r="F107447"/>
    </row>
    <row r="107448" spans="1:6" x14ac:dyDescent="0.25">
      <c r="A107448"/>
      <c r="B107448"/>
      <c r="C107448"/>
      <c r="E107448"/>
      <c r="F107448"/>
    </row>
    <row r="107449" spans="1:6" x14ac:dyDescent="0.25">
      <c r="A107449"/>
      <c r="B107449"/>
      <c r="C107449"/>
      <c r="E107449"/>
      <c r="F107449"/>
    </row>
    <row r="107450" spans="1:6" x14ac:dyDescent="0.25">
      <c r="A107450"/>
      <c r="B107450"/>
      <c r="C107450"/>
      <c r="E107450"/>
      <c r="F107450"/>
    </row>
    <row r="107451" spans="1:6" x14ac:dyDescent="0.25">
      <c r="A107451"/>
      <c r="B107451"/>
      <c r="C107451"/>
      <c r="E107451"/>
      <c r="F107451"/>
    </row>
    <row r="107452" spans="1:6" x14ac:dyDescent="0.25">
      <c r="A107452"/>
      <c r="B107452"/>
      <c r="C107452"/>
      <c r="E107452"/>
      <c r="F107452"/>
    </row>
    <row r="107453" spans="1:6" x14ac:dyDescent="0.25">
      <c r="A107453"/>
      <c r="B107453"/>
      <c r="C107453"/>
      <c r="E107453"/>
      <c r="F107453"/>
    </row>
    <row r="107454" spans="1:6" x14ac:dyDescent="0.25">
      <c r="A107454"/>
      <c r="B107454"/>
      <c r="C107454"/>
      <c r="E107454"/>
      <c r="F107454"/>
    </row>
    <row r="107455" spans="1:6" x14ac:dyDescent="0.25">
      <c r="A107455"/>
      <c r="B107455"/>
      <c r="C107455"/>
      <c r="E107455"/>
      <c r="F107455"/>
    </row>
    <row r="107456" spans="1:6" x14ac:dyDescent="0.25">
      <c r="A107456"/>
      <c r="B107456"/>
      <c r="C107456"/>
      <c r="E107456"/>
      <c r="F107456"/>
    </row>
    <row r="107457" spans="1:6" x14ac:dyDescent="0.25">
      <c r="A107457"/>
      <c r="B107457"/>
      <c r="C107457"/>
      <c r="E107457"/>
      <c r="F107457"/>
    </row>
    <row r="107458" spans="1:6" x14ac:dyDescent="0.25">
      <c r="A107458"/>
      <c r="B107458"/>
      <c r="C107458"/>
      <c r="E107458"/>
      <c r="F107458"/>
    </row>
    <row r="107459" spans="1:6" x14ac:dyDescent="0.25">
      <c r="A107459"/>
      <c r="B107459"/>
      <c r="C107459"/>
      <c r="E107459"/>
      <c r="F107459"/>
    </row>
    <row r="107460" spans="1:6" x14ac:dyDescent="0.25">
      <c r="A107460"/>
      <c r="B107460"/>
      <c r="C107460"/>
      <c r="E107460"/>
      <c r="F107460"/>
    </row>
    <row r="107461" spans="1:6" x14ac:dyDescent="0.25">
      <c r="A107461"/>
      <c r="B107461"/>
      <c r="C107461"/>
      <c r="E107461"/>
      <c r="F107461"/>
    </row>
    <row r="107462" spans="1:6" x14ac:dyDescent="0.25">
      <c r="A107462"/>
      <c r="B107462"/>
      <c r="C107462"/>
      <c r="E107462"/>
      <c r="F107462"/>
    </row>
    <row r="107463" spans="1:6" x14ac:dyDescent="0.25">
      <c r="A107463"/>
      <c r="B107463"/>
      <c r="C107463"/>
      <c r="E107463"/>
      <c r="F107463"/>
    </row>
    <row r="107464" spans="1:6" x14ac:dyDescent="0.25">
      <c r="A107464"/>
      <c r="B107464"/>
      <c r="C107464"/>
      <c r="E107464"/>
      <c r="F107464"/>
    </row>
    <row r="107465" spans="1:6" x14ac:dyDescent="0.25">
      <c r="A107465"/>
      <c r="B107465"/>
      <c r="C107465"/>
      <c r="E107465"/>
      <c r="F107465"/>
    </row>
    <row r="107466" spans="1:6" x14ac:dyDescent="0.25">
      <c r="A107466"/>
      <c r="B107466"/>
      <c r="C107466"/>
      <c r="E107466"/>
      <c r="F107466"/>
    </row>
    <row r="107467" spans="1:6" x14ac:dyDescent="0.25">
      <c r="A107467"/>
      <c r="B107467"/>
      <c r="C107467"/>
      <c r="E107467"/>
      <c r="F107467"/>
    </row>
    <row r="107468" spans="1:6" x14ac:dyDescent="0.25">
      <c r="A107468"/>
      <c r="B107468"/>
      <c r="C107468"/>
      <c r="E107468"/>
      <c r="F107468"/>
    </row>
    <row r="107469" spans="1:6" x14ac:dyDescent="0.25">
      <c r="A107469"/>
      <c r="B107469"/>
      <c r="C107469"/>
      <c r="E107469"/>
      <c r="F107469"/>
    </row>
    <row r="107470" spans="1:6" x14ac:dyDescent="0.25">
      <c r="A107470"/>
      <c r="B107470"/>
      <c r="C107470"/>
      <c r="E107470"/>
      <c r="F107470"/>
    </row>
    <row r="107471" spans="1:6" x14ac:dyDescent="0.25">
      <c r="A107471"/>
      <c r="B107471"/>
      <c r="C107471"/>
      <c r="E107471"/>
      <c r="F107471"/>
    </row>
    <row r="107472" spans="1:6" x14ac:dyDescent="0.25">
      <c r="A107472"/>
      <c r="B107472"/>
      <c r="C107472"/>
      <c r="E107472"/>
      <c r="F107472"/>
    </row>
    <row r="107473" spans="1:6" x14ac:dyDescent="0.25">
      <c r="A107473"/>
      <c r="B107473"/>
      <c r="C107473"/>
      <c r="E107473"/>
      <c r="F107473"/>
    </row>
    <row r="107474" spans="1:6" x14ac:dyDescent="0.25">
      <c r="A107474"/>
      <c r="B107474"/>
      <c r="C107474"/>
      <c r="E107474"/>
      <c r="F107474"/>
    </row>
    <row r="107475" spans="1:6" x14ac:dyDescent="0.25">
      <c r="A107475"/>
      <c r="B107475"/>
      <c r="C107475"/>
      <c r="E107475"/>
      <c r="F107475"/>
    </row>
    <row r="107476" spans="1:6" x14ac:dyDescent="0.25">
      <c r="A107476"/>
      <c r="B107476"/>
      <c r="C107476"/>
      <c r="E107476"/>
      <c r="F107476"/>
    </row>
    <row r="107477" spans="1:6" x14ac:dyDescent="0.25">
      <c r="A107477"/>
      <c r="B107477"/>
      <c r="C107477"/>
      <c r="E107477"/>
      <c r="F107477"/>
    </row>
    <row r="107478" spans="1:6" x14ac:dyDescent="0.25">
      <c r="A107478"/>
      <c r="B107478"/>
      <c r="C107478"/>
      <c r="E107478"/>
      <c r="F107478"/>
    </row>
    <row r="107479" spans="1:6" x14ac:dyDescent="0.25">
      <c r="A107479"/>
      <c r="B107479"/>
      <c r="C107479"/>
      <c r="E107479"/>
      <c r="F107479"/>
    </row>
    <row r="107480" spans="1:6" x14ac:dyDescent="0.25">
      <c r="A107480"/>
      <c r="B107480"/>
      <c r="C107480"/>
      <c r="E107480"/>
      <c r="F107480"/>
    </row>
    <row r="107481" spans="1:6" x14ac:dyDescent="0.25">
      <c r="A107481"/>
      <c r="B107481"/>
      <c r="C107481"/>
      <c r="E107481"/>
      <c r="F107481"/>
    </row>
    <row r="107482" spans="1:6" x14ac:dyDescent="0.25">
      <c r="A107482"/>
      <c r="B107482"/>
      <c r="C107482"/>
      <c r="E107482"/>
      <c r="F107482"/>
    </row>
    <row r="107483" spans="1:6" x14ac:dyDescent="0.25">
      <c r="A107483"/>
      <c r="B107483"/>
      <c r="C107483"/>
      <c r="E107483"/>
      <c r="F107483"/>
    </row>
    <row r="107484" spans="1:6" x14ac:dyDescent="0.25">
      <c r="A107484"/>
      <c r="B107484"/>
      <c r="C107484"/>
      <c r="E107484"/>
      <c r="F107484"/>
    </row>
    <row r="107485" spans="1:6" x14ac:dyDescent="0.25">
      <c r="A107485"/>
      <c r="B107485"/>
      <c r="C107485"/>
      <c r="E107485"/>
      <c r="F107485"/>
    </row>
    <row r="107486" spans="1:6" x14ac:dyDescent="0.25">
      <c r="A107486"/>
      <c r="B107486"/>
      <c r="C107486"/>
      <c r="E107486"/>
      <c r="F107486"/>
    </row>
    <row r="107487" spans="1:6" x14ac:dyDescent="0.25">
      <c r="A107487"/>
      <c r="B107487"/>
      <c r="C107487"/>
      <c r="E107487"/>
      <c r="F107487"/>
    </row>
    <row r="107488" spans="1:6" x14ac:dyDescent="0.25">
      <c r="A107488"/>
      <c r="B107488"/>
      <c r="C107488"/>
      <c r="E107488"/>
      <c r="F107488"/>
    </row>
    <row r="107489" spans="1:6" x14ac:dyDescent="0.25">
      <c r="A107489"/>
      <c r="B107489"/>
      <c r="C107489"/>
      <c r="E107489"/>
      <c r="F107489"/>
    </row>
    <row r="107490" spans="1:6" x14ac:dyDescent="0.25">
      <c r="A107490"/>
      <c r="B107490"/>
      <c r="C107490"/>
      <c r="E107490"/>
      <c r="F107490"/>
    </row>
    <row r="107491" spans="1:6" x14ac:dyDescent="0.25">
      <c r="A107491"/>
      <c r="B107491"/>
      <c r="C107491"/>
      <c r="E107491"/>
      <c r="F107491"/>
    </row>
    <row r="107492" spans="1:6" x14ac:dyDescent="0.25">
      <c r="A107492"/>
      <c r="B107492"/>
      <c r="C107492"/>
      <c r="E107492"/>
      <c r="F107492"/>
    </row>
    <row r="107493" spans="1:6" x14ac:dyDescent="0.25">
      <c r="A107493"/>
      <c r="B107493"/>
      <c r="C107493"/>
      <c r="E107493"/>
      <c r="F107493"/>
    </row>
    <row r="107494" spans="1:6" x14ac:dyDescent="0.25">
      <c r="A107494"/>
      <c r="B107494"/>
      <c r="C107494"/>
      <c r="E107494"/>
      <c r="F107494"/>
    </row>
    <row r="107495" spans="1:6" x14ac:dyDescent="0.25">
      <c r="A107495"/>
      <c r="B107495"/>
      <c r="C107495"/>
      <c r="E107495"/>
      <c r="F107495"/>
    </row>
    <row r="107496" spans="1:6" x14ac:dyDescent="0.25">
      <c r="A107496"/>
      <c r="B107496"/>
      <c r="C107496"/>
      <c r="E107496"/>
      <c r="F107496"/>
    </row>
    <row r="107497" spans="1:6" x14ac:dyDescent="0.25">
      <c r="A107497"/>
      <c r="B107497"/>
      <c r="C107497"/>
      <c r="E107497"/>
      <c r="F107497"/>
    </row>
    <row r="107498" spans="1:6" x14ac:dyDescent="0.25">
      <c r="A107498"/>
      <c r="B107498"/>
      <c r="C107498"/>
      <c r="E107498"/>
      <c r="F107498"/>
    </row>
    <row r="107499" spans="1:6" x14ac:dyDescent="0.25">
      <c r="A107499"/>
      <c r="B107499"/>
      <c r="C107499"/>
      <c r="E107499"/>
      <c r="F107499"/>
    </row>
    <row r="107500" spans="1:6" x14ac:dyDescent="0.25">
      <c r="A107500"/>
      <c r="B107500"/>
      <c r="C107500"/>
      <c r="E107500"/>
      <c r="F107500"/>
    </row>
    <row r="107501" spans="1:6" x14ac:dyDescent="0.25">
      <c r="A107501"/>
      <c r="B107501"/>
      <c r="C107501"/>
      <c r="E107501"/>
      <c r="F107501"/>
    </row>
    <row r="107502" spans="1:6" x14ac:dyDescent="0.25">
      <c r="A107502"/>
      <c r="B107502"/>
      <c r="C107502"/>
      <c r="E107502"/>
      <c r="F107502"/>
    </row>
    <row r="107503" spans="1:6" x14ac:dyDescent="0.25">
      <c r="A107503"/>
      <c r="B107503"/>
      <c r="C107503"/>
      <c r="E107503"/>
      <c r="F107503"/>
    </row>
    <row r="107504" spans="1:6" x14ac:dyDescent="0.25">
      <c r="A107504"/>
      <c r="B107504"/>
      <c r="C107504"/>
      <c r="E107504"/>
      <c r="F107504"/>
    </row>
    <row r="107505" spans="1:6" x14ac:dyDescent="0.25">
      <c r="A107505"/>
      <c r="B107505"/>
      <c r="C107505"/>
      <c r="E107505"/>
      <c r="F107505"/>
    </row>
    <row r="107506" spans="1:6" x14ac:dyDescent="0.25">
      <c r="A107506"/>
      <c r="B107506"/>
      <c r="C107506"/>
      <c r="E107506"/>
      <c r="F107506"/>
    </row>
    <row r="107507" spans="1:6" x14ac:dyDescent="0.25">
      <c r="A107507"/>
      <c r="B107507"/>
      <c r="C107507"/>
      <c r="E107507"/>
      <c r="F107507"/>
    </row>
    <row r="107508" spans="1:6" x14ac:dyDescent="0.25">
      <c r="A107508"/>
      <c r="B107508"/>
      <c r="C107508"/>
      <c r="E107508"/>
      <c r="F107508"/>
    </row>
    <row r="107509" spans="1:6" x14ac:dyDescent="0.25">
      <c r="A107509"/>
      <c r="B107509"/>
      <c r="C107509"/>
      <c r="E107509"/>
      <c r="F107509"/>
    </row>
    <row r="107510" spans="1:6" x14ac:dyDescent="0.25">
      <c r="A107510"/>
      <c r="B107510"/>
      <c r="C107510"/>
      <c r="E107510"/>
      <c r="F107510"/>
    </row>
    <row r="107511" spans="1:6" x14ac:dyDescent="0.25">
      <c r="A107511"/>
      <c r="B107511"/>
      <c r="C107511"/>
      <c r="E107511"/>
      <c r="F107511"/>
    </row>
    <row r="107512" spans="1:6" x14ac:dyDescent="0.25">
      <c r="A107512"/>
      <c r="B107512"/>
      <c r="C107512"/>
      <c r="E107512"/>
      <c r="F107512"/>
    </row>
    <row r="107513" spans="1:6" x14ac:dyDescent="0.25">
      <c r="A107513"/>
      <c r="B107513"/>
      <c r="C107513"/>
      <c r="E107513"/>
      <c r="F107513"/>
    </row>
    <row r="107514" spans="1:6" x14ac:dyDescent="0.25">
      <c r="A107514"/>
      <c r="B107514"/>
      <c r="C107514"/>
      <c r="E107514"/>
      <c r="F107514"/>
    </row>
    <row r="107515" spans="1:6" x14ac:dyDescent="0.25">
      <c r="A107515"/>
      <c r="B107515"/>
      <c r="C107515"/>
      <c r="E107515"/>
      <c r="F107515"/>
    </row>
    <row r="107516" spans="1:6" x14ac:dyDescent="0.25">
      <c r="A107516"/>
      <c r="B107516"/>
      <c r="C107516"/>
      <c r="E107516"/>
      <c r="F107516"/>
    </row>
    <row r="107517" spans="1:6" x14ac:dyDescent="0.25">
      <c r="A107517"/>
      <c r="B107517"/>
      <c r="C107517"/>
      <c r="E107517"/>
      <c r="F107517"/>
    </row>
    <row r="107518" spans="1:6" x14ac:dyDescent="0.25">
      <c r="A107518"/>
      <c r="B107518"/>
      <c r="C107518"/>
      <c r="E107518"/>
      <c r="F107518"/>
    </row>
    <row r="107519" spans="1:6" x14ac:dyDescent="0.25">
      <c r="A107519"/>
      <c r="B107519"/>
      <c r="C107519"/>
      <c r="E107519"/>
      <c r="F107519"/>
    </row>
    <row r="107520" spans="1:6" x14ac:dyDescent="0.25">
      <c r="A107520"/>
      <c r="B107520"/>
      <c r="C107520"/>
      <c r="E107520"/>
      <c r="F107520"/>
    </row>
    <row r="107521" spans="1:6" x14ac:dyDescent="0.25">
      <c r="A107521"/>
      <c r="B107521"/>
      <c r="C107521"/>
      <c r="E107521"/>
      <c r="F107521"/>
    </row>
    <row r="107522" spans="1:6" x14ac:dyDescent="0.25">
      <c r="A107522"/>
      <c r="B107522"/>
      <c r="C107522"/>
      <c r="E107522"/>
      <c r="F107522"/>
    </row>
    <row r="107523" spans="1:6" x14ac:dyDescent="0.25">
      <c r="A107523"/>
      <c r="B107523"/>
      <c r="C107523"/>
      <c r="E107523"/>
      <c r="F107523"/>
    </row>
    <row r="107524" spans="1:6" x14ac:dyDescent="0.25">
      <c r="A107524"/>
      <c r="B107524"/>
      <c r="C107524"/>
      <c r="E107524"/>
      <c r="F107524"/>
    </row>
    <row r="107525" spans="1:6" x14ac:dyDescent="0.25">
      <c r="A107525"/>
      <c r="B107525"/>
      <c r="C107525"/>
      <c r="E107525"/>
      <c r="F107525"/>
    </row>
    <row r="107526" spans="1:6" x14ac:dyDescent="0.25">
      <c r="A107526"/>
      <c r="B107526"/>
      <c r="C107526"/>
      <c r="E107526"/>
      <c r="F107526"/>
    </row>
    <row r="107527" spans="1:6" x14ac:dyDescent="0.25">
      <c r="A107527"/>
      <c r="B107527"/>
      <c r="C107527"/>
      <c r="E107527"/>
      <c r="F107527"/>
    </row>
    <row r="107528" spans="1:6" x14ac:dyDescent="0.25">
      <c r="A107528"/>
      <c r="B107528"/>
      <c r="C107528"/>
      <c r="E107528"/>
      <c r="F107528"/>
    </row>
    <row r="107529" spans="1:6" x14ac:dyDescent="0.25">
      <c r="A107529"/>
      <c r="B107529"/>
      <c r="C107529"/>
      <c r="E107529"/>
      <c r="F107529"/>
    </row>
    <row r="107530" spans="1:6" x14ac:dyDescent="0.25">
      <c r="A107530"/>
      <c r="B107530"/>
      <c r="C107530"/>
      <c r="E107530"/>
      <c r="F107530"/>
    </row>
    <row r="107531" spans="1:6" x14ac:dyDescent="0.25">
      <c r="A107531"/>
      <c r="B107531"/>
      <c r="C107531"/>
      <c r="E107531"/>
      <c r="F107531"/>
    </row>
    <row r="107532" spans="1:6" x14ac:dyDescent="0.25">
      <c r="A107532"/>
      <c r="B107532"/>
      <c r="C107532"/>
      <c r="E107532"/>
      <c r="F107532"/>
    </row>
    <row r="107533" spans="1:6" x14ac:dyDescent="0.25">
      <c r="A107533"/>
      <c r="B107533"/>
      <c r="C107533"/>
      <c r="E107533"/>
      <c r="F107533"/>
    </row>
    <row r="107534" spans="1:6" x14ac:dyDescent="0.25">
      <c r="A107534"/>
      <c r="B107534"/>
      <c r="C107534"/>
      <c r="E107534"/>
      <c r="F107534"/>
    </row>
    <row r="107535" spans="1:6" x14ac:dyDescent="0.25">
      <c r="A107535"/>
      <c r="B107535"/>
      <c r="C107535"/>
      <c r="E107535"/>
      <c r="F107535"/>
    </row>
    <row r="107536" spans="1:6" x14ac:dyDescent="0.25">
      <c r="A107536"/>
      <c r="B107536"/>
      <c r="C107536"/>
      <c r="E107536"/>
      <c r="F107536"/>
    </row>
    <row r="107537" spans="1:6" x14ac:dyDescent="0.25">
      <c r="A107537"/>
      <c r="B107537"/>
      <c r="C107537"/>
      <c r="E107537"/>
      <c r="F107537"/>
    </row>
    <row r="107538" spans="1:6" x14ac:dyDescent="0.25">
      <c r="A107538"/>
      <c r="B107538"/>
      <c r="C107538"/>
      <c r="E107538"/>
      <c r="F107538"/>
    </row>
    <row r="107539" spans="1:6" x14ac:dyDescent="0.25">
      <c r="A107539"/>
      <c r="B107539"/>
      <c r="C107539"/>
      <c r="E107539"/>
      <c r="F107539"/>
    </row>
    <row r="107540" spans="1:6" x14ac:dyDescent="0.25">
      <c r="A107540"/>
      <c r="B107540"/>
      <c r="C107540"/>
      <c r="E107540"/>
      <c r="F107540"/>
    </row>
    <row r="107541" spans="1:6" x14ac:dyDescent="0.25">
      <c r="A107541"/>
      <c r="B107541"/>
      <c r="C107541"/>
      <c r="E107541"/>
      <c r="F107541"/>
    </row>
    <row r="107542" spans="1:6" x14ac:dyDescent="0.25">
      <c r="A107542"/>
      <c r="B107542"/>
      <c r="C107542"/>
      <c r="E107542"/>
      <c r="F107542"/>
    </row>
    <row r="107543" spans="1:6" x14ac:dyDescent="0.25">
      <c r="A107543"/>
      <c r="B107543"/>
      <c r="C107543"/>
      <c r="E107543"/>
      <c r="F107543"/>
    </row>
    <row r="107544" spans="1:6" x14ac:dyDescent="0.25">
      <c r="A107544"/>
      <c r="B107544"/>
      <c r="C107544"/>
      <c r="E107544"/>
      <c r="F107544"/>
    </row>
    <row r="107545" spans="1:6" x14ac:dyDescent="0.25">
      <c r="A107545"/>
      <c r="B107545"/>
      <c r="C107545"/>
      <c r="E107545"/>
      <c r="F107545"/>
    </row>
    <row r="107546" spans="1:6" x14ac:dyDescent="0.25">
      <c r="A107546"/>
      <c r="B107546"/>
      <c r="C107546"/>
      <c r="E107546"/>
      <c r="F107546"/>
    </row>
    <row r="107547" spans="1:6" x14ac:dyDescent="0.25">
      <c r="A107547"/>
      <c r="B107547"/>
      <c r="C107547"/>
      <c r="E107547"/>
      <c r="F107547"/>
    </row>
    <row r="107548" spans="1:6" x14ac:dyDescent="0.25">
      <c r="A107548"/>
      <c r="B107548"/>
      <c r="C107548"/>
      <c r="E107548"/>
      <c r="F107548"/>
    </row>
    <row r="107549" spans="1:6" x14ac:dyDescent="0.25">
      <c r="A107549"/>
      <c r="B107549"/>
      <c r="C107549"/>
      <c r="E107549"/>
      <c r="F107549"/>
    </row>
    <row r="107550" spans="1:6" x14ac:dyDescent="0.25">
      <c r="A107550"/>
      <c r="B107550"/>
      <c r="C107550"/>
      <c r="E107550"/>
      <c r="F107550"/>
    </row>
    <row r="107551" spans="1:6" x14ac:dyDescent="0.25">
      <c r="A107551"/>
      <c r="B107551"/>
      <c r="C107551"/>
      <c r="E107551"/>
      <c r="F107551"/>
    </row>
    <row r="107552" spans="1:6" x14ac:dyDescent="0.25">
      <c r="A107552"/>
      <c r="B107552"/>
      <c r="C107552"/>
      <c r="E107552"/>
      <c r="F107552"/>
    </row>
    <row r="107553" spans="1:6" x14ac:dyDescent="0.25">
      <c r="A107553"/>
      <c r="B107553"/>
      <c r="C107553"/>
      <c r="E107553"/>
      <c r="F107553"/>
    </row>
    <row r="107554" spans="1:6" x14ac:dyDescent="0.25">
      <c r="A107554"/>
      <c r="B107554"/>
      <c r="C107554"/>
      <c r="E107554"/>
      <c r="F107554"/>
    </row>
    <row r="107555" spans="1:6" x14ac:dyDescent="0.25">
      <c r="A107555"/>
      <c r="B107555"/>
      <c r="C107555"/>
      <c r="E107555"/>
      <c r="F107555"/>
    </row>
    <row r="107556" spans="1:6" x14ac:dyDescent="0.25">
      <c r="A107556"/>
      <c r="B107556"/>
      <c r="C107556"/>
      <c r="E107556"/>
      <c r="F107556"/>
    </row>
    <row r="107557" spans="1:6" x14ac:dyDescent="0.25">
      <c r="A107557"/>
      <c r="B107557"/>
      <c r="C107557"/>
      <c r="E107557"/>
      <c r="F107557"/>
    </row>
    <row r="107558" spans="1:6" x14ac:dyDescent="0.25">
      <c r="A107558"/>
      <c r="B107558"/>
      <c r="C107558"/>
      <c r="E107558"/>
      <c r="F107558"/>
    </row>
    <row r="107559" spans="1:6" x14ac:dyDescent="0.25">
      <c r="A107559"/>
      <c r="B107559"/>
      <c r="C107559"/>
      <c r="E107559"/>
      <c r="F107559"/>
    </row>
    <row r="107560" spans="1:6" x14ac:dyDescent="0.25">
      <c r="A107560"/>
      <c r="B107560"/>
      <c r="C107560"/>
      <c r="E107560"/>
      <c r="F107560"/>
    </row>
    <row r="107561" spans="1:6" x14ac:dyDescent="0.25">
      <c r="A107561"/>
      <c r="B107561"/>
      <c r="C107561"/>
      <c r="E107561"/>
      <c r="F107561"/>
    </row>
    <row r="107562" spans="1:6" x14ac:dyDescent="0.25">
      <c r="A107562"/>
      <c r="B107562"/>
      <c r="C107562"/>
      <c r="E107562"/>
      <c r="F107562"/>
    </row>
    <row r="107563" spans="1:6" x14ac:dyDescent="0.25">
      <c r="A107563"/>
      <c r="B107563"/>
      <c r="C107563"/>
      <c r="E107563"/>
      <c r="F107563"/>
    </row>
    <row r="107564" spans="1:6" x14ac:dyDescent="0.25">
      <c r="A107564"/>
      <c r="B107564"/>
      <c r="C107564"/>
      <c r="E107564"/>
      <c r="F107564"/>
    </row>
    <row r="107565" spans="1:6" x14ac:dyDescent="0.25">
      <c r="A107565"/>
      <c r="B107565"/>
      <c r="C107565"/>
      <c r="E107565"/>
      <c r="F107565"/>
    </row>
    <row r="107566" spans="1:6" x14ac:dyDescent="0.25">
      <c r="A107566"/>
      <c r="B107566"/>
      <c r="C107566"/>
      <c r="E107566"/>
      <c r="F107566"/>
    </row>
    <row r="107567" spans="1:6" x14ac:dyDescent="0.25">
      <c r="A107567"/>
      <c r="B107567"/>
      <c r="C107567"/>
      <c r="E107567"/>
      <c r="F107567"/>
    </row>
    <row r="107568" spans="1:6" x14ac:dyDescent="0.25">
      <c r="A107568"/>
      <c r="B107568"/>
      <c r="C107568"/>
      <c r="E107568"/>
      <c r="F107568"/>
    </row>
    <row r="107569" spans="1:6" x14ac:dyDescent="0.25">
      <c r="A107569"/>
      <c r="B107569"/>
      <c r="C107569"/>
      <c r="E107569"/>
      <c r="F107569"/>
    </row>
    <row r="107570" spans="1:6" x14ac:dyDescent="0.25">
      <c r="A107570"/>
      <c r="B107570"/>
      <c r="C107570"/>
      <c r="E107570"/>
      <c r="F107570"/>
    </row>
    <row r="107571" spans="1:6" x14ac:dyDescent="0.25">
      <c r="A107571"/>
      <c r="B107571"/>
      <c r="C107571"/>
      <c r="E107571"/>
      <c r="F107571"/>
    </row>
    <row r="107572" spans="1:6" x14ac:dyDescent="0.25">
      <c r="A107572"/>
      <c r="B107572"/>
      <c r="C107572"/>
      <c r="E107572"/>
      <c r="F107572"/>
    </row>
    <row r="107573" spans="1:6" x14ac:dyDescent="0.25">
      <c r="A107573"/>
      <c r="B107573"/>
      <c r="C107573"/>
      <c r="E107573"/>
      <c r="F107573"/>
    </row>
    <row r="107574" spans="1:6" x14ac:dyDescent="0.25">
      <c r="A107574"/>
      <c r="B107574"/>
      <c r="C107574"/>
      <c r="E107574"/>
      <c r="F107574"/>
    </row>
    <row r="107575" spans="1:6" x14ac:dyDescent="0.25">
      <c r="A107575"/>
      <c r="B107575"/>
      <c r="C107575"/>
      <c r="E107575"/>
      <c r="F107575"/>
    </row>
    <row r="107576" spans="1:6" x14ac:dyDescent="0.25">
      <c r="A107576"/>
      <c r="B107576"/>
      <c r="C107576"/>
      <c r="E107576"/>
      <c r="F107576"/>
    </row>
    <row r="107577" spans="1:6" x14ac:dyDescent="0.25">
      <c r="A107577"/>
      <c r="B107577"/>
      <c r="C107577"/>
      <c r="E107577"/>
      <c r="F107577"/>
    </row>
    <row r="107578" spans="1:6" x14ac:dyDescent="0.25">
      <c r="A107578"/>
      <c r="B107578"/>
      <c r="C107578"/>
      <c r="E107578"/>
      <c r="F107578"/>
    </row>
    <row r="107579" spans="1:6" x14ac:dyDescent="0.25">
      <c r="A107579"/>
      <c r="B107579"/>
      <c r="C107579"/>
      <c r="E107579"/>
      <c r="F107579"/>
    </row>
    <row r="107580" spans="1:6" x14ac:dyDescent="0.25">
      <c r="A107580"/>
      <c r="B107580"/>
      <c r="C107580"/>
      <c r="E107580"/>
      <c r="F107580"/>
    </row>
    <row r="107581" spans="1:6" x14ac:dyDescent="0.25">
      <c r="A107581"/>
      <c r="B107581"/>
      <c r="C107581"/>
      <c r="E107581"/>
      <c r="F107581"/>
    </row>
    <row r="107582" spans="1:6" x14ac:dyDescent="0.25">
      <c r="A107582"/>
      <c r="B107582"/>
      <c r="C107582"/>
      <c r="E107582"/>
      <c r="F107582"/>
    </row>
    <row r="107583" spans="1:6" x14ac:dyDescent="0.25">
      <c r="A107583"/>
      <c r="B107583"/>
      <c r="C107583"/>
      <c r="E107583"/>
      <c r="F107583"/>
    </row>
    <row r="107584" spans="1:6" x14ac:dyDescent="0.25">
      <c r="A107584"/>
      <c r="B107584"/>
      <c r="C107584"/>
      <c r="E107584"/>
      <c r="F107584"/>
    </row>
    <row r="107585" spans="1:6" x14ac:dyDescent="0.25">
      <c r="A107585"/>
      <c r="B107585"/>
      <c r="C107585"/>
      <c r="E107585"/>
      <c r="F107585"/>
    </row>
    <row r="107586" spans="1:6" x14ac:dyDescent="0.25">
      <c r="A107586"/>
      <c r="B107586"/>
      <c r="C107586"/>
      <c r="E107586"/>
      <c r="F107586"/>
    </row>
    <row r="107587" spans="1:6" x14ac:dyDescent="0.25">
      <c r="A107587"/>
      <c r="B107587"/>
      <c r="C107587"/>
      <c r="E107587"/>
      <c r="F107587"/>
    </row>
    <row r="107588" spans="1:6" x14ac:dyDescent="0.25">
      <c r="A107588"/>
      <c r="B107588"/>
      <c r="C107588"/>
      <c r="E107588"/>
      <c r="F107588"/>
    </row>
    <row r="107589" spans="1:6" x14ac:dyDescent="0.25">
      <c r="A107589"/>
      <c r="B107589"/>
      <c r="C107589"/>
      <c r="E107589"/>
      <c r="F107589"/>
    </row>
    <row r="107590" spans="1:6" x14ac:dyDescent="0.25">
      <c r="A107590"/>
      <c r="B107590"/>
      <c r="C107590"/>
      <c r="E107590"/>
      <c r="F107590"/>
    </row>
    <row r="107591" spans="1:6" x14ac:dyDescent="0.25">
      <c r="A107591"/>
      <c r="B107591"/>
      <c r="C107591"/>
      <c r="E107591"/>
      <c r="F107591"/>
    </row>
    <row r="107592" spans="1:6" x14ac:dyDescent="0.25">
      <c r="A107592"/>
      <c r="B107592"/>
      <c r="C107592"/>
      <c r="E107592"/>
      <c r="F107592"/>
    </row>
    <row r="107593" spans="1:6" x14ac:dyDescent="0.25">
      <c r="A107593"/>
      <c r="B107593"/>
      <c r="C107593"/>
      <c r="E107593"/>
      <c r="F107593"/>
    </row>
    <row r="107594" spans="1:6" x14ac:dyDescent="0.25">
      <c r="A107594"/>
      <c r="B107594"/>
      <c r="C107594"/>
      <c r="E107594"/>
      <c r="F107594"/>
    </row>
    <row r="107595" spans="1:6" x14ac:dyDescent="0.25">
      <c r="A107595"/>
      <c r="B107595"/>
      <c r="C107595"/>
      <c r="E107595"/>
      <c r="F107595"/>
    </row>
    <row r="107596" spans="1:6" x14ac:dyDescent="0.25">
      <c r="A107596"/>
      <c r="B107596"/>
      <c r="C107596"/>
      <c r="E107596"/>
      <c r="F107596"/>
    </row>
    <row r="107597" spans="1:6" x14ac:dyDescent="0.25">
      <c r="A107597"/>
      <c r="B107597"/>
      <c r="C107597"/>
      <c r="E107597"/>
      <c r="F107597"/>
    </row>
    <row r="107598" spans="1:6" x14ac:dyDescent="0.25">
      <c r="A107598"/>
      <c r="B107598"/>
      <c r="C107598"/>
      <c r="E107598"/>
      <c r="F107598"/>
    </row>
    <row r="107599" spans="1:6" x14ac:dyDescent="0.25">
      <c r="A107599"/>
      <c r="B107599"/>
      <c r="C107599"/>
      <c r="E107599"/>
      <c r="F107599"/>
    </row>
    <row r="107600" spans="1:6" x14ac:dyDescent="0.25">
      <c r="A107600"/>
      <c r="B107600"/>
      <c r="C107600"/>
      <c r="E107600"/>
      <c r="F107600"/>
    </row>
    <row r="107601" spans="1:6" x14ac:dyDescent="0.25">
      <c r="A107601"/>
      <c r="B107601"/>
      <c r="C107601"/>
      <c r="E107601"/>
      <c r="F107601"/>
    </row>
    <row r="107602" spans="1:6" x14ac:dyDescent="0.25">
      <c r="A107602"/>
      <c r="B107602"/>
      <c r="C107602"/>
      <c r="E107602"/>
      <c r="F107602"/>
    </row>
    <row r="107603" spans="1:6" x14ac:dyDescent="0.25">
      <c r="A107603"/>
      <c r="B107603"/>
      <c r="C107603"/>
      <c r="E107603"/>
      <c r="F107603"/>
    </row>
    <row r="107604" spans="1:6" x14ac:dyDescent="0.25">
      <c r="A107604"/>
      <c r="B107604"/>
      <c r="C107604"/>
      <c r="E107604"/>
      <c r="F107604"/>
    </row>
    <row r="107605" spans="1:6" x14ac:dyDescent="0.25">
      <c r="A107605"/>
      <c r="B107605"/>
      <c r="C107605"/>
      <c r="E107605"/>
      <c r="F107605"/>
    </row>
    <row r="107606" spans="1:6" x14ac:dyDescent="0.25">
      <c r="A107606"/>
      <c r="B107606"/>
      <c r="C107606"/>
      <c r="E107606"/>
      <c r="F107606"/>
    </row>
    <row r="107607" spans="1:6" x14ac:dyDescent="0.25">
      <c r="A107607"/>
      <c r="B107607"/>
      <c r="C107607"/>
      <c r="E107607"/>
      <c r="F107607"/>
    </row>
    <row r="107608" spans="1:6" x14ac:dyDescent="0.25">
      <c r="A107608"/>
      <c r="B107608"/>
      <c r="C107608"/>
      <c r="E107608"/>
      <c r="F107608"/>
    </row>
    <row r="107609" spans="1:6" x14ac:dyDescent="0.25">
      <c r="A107609"/>
      <c r="B107609"/>
      <c r="C107609"/>
      <c r="E107609"/>
      <c r="F107609"/>
    </row>
    <row r="107610" spans="1:6" x14ac:dyDescent="0.25">
      <c r="A107610"/>
      <c r="B107610"/>
      <c r="C107610"/>
      <c r="E107610"/>
      <c r="F107610"/>
    </row>
    <row r="107611" spans="1:6" x14ac:dyDescent="0.25">
      <c r="A107611"/>
      <c r="B107611"/>
      <c r="C107611"/>
      <c r="E107611"/>
      <c r="F107611"/>
    </row>
    <row r="107612" spans="1:6" x14ac:dyDescent="0.25">
      <c r="A107612"/>
      <c r="B107612"/>
      <c r="C107612"/>
      <c r="E107612"/>
      <c r="F107612"/>
    </row>
    <row r="107613" spans="1:6" x14ac:dyDescent="0.25">
      <c r="A107613"/>
      <c r="B107613"/>
      <c r="C107613"/>
      <c r="E107613"/>
      <c r="F107613"/>
    </row>
    <row r="107614" spans="1:6" x14ac:dyDescent="0.25">
      <c r="A107614"/>
      <c r="B107614"/>
      <c r="C107614"/>
      <c r="E107614"/>
      <c r="F107614"/>
    </row>
    <row r="107615" spans="1:6" x14ac:dyDescent="0.25">
      <c r="A107615"/>
      <c r="B107615"/>
      <c r="C107615"/>
      <c r="E107615"/>
      <c r="F107615"/>
    </row>
    <row r="107616" spans="1:6" x14ac:dyDescent="0.25">
      <c r="A107616"/>
      <c r="B107616"/>
      <c r="C107616"/>
      <c r="E107616"/>
      <c r="F107616"/>
    </row>
    <row r="107617" spans="1:6" x14ac:dyDescent="0.25">
      <c r="A107617"/>
      <c r="B107617"/>
      <c r="C107617"/>
      <c r="E107617"/>
      <c r="F107617"/>
    </row>
    <row r="107618" spans="1:6" x14ac:dyDescent="0.25">
      <c r="A107618"/>
      <c r="B107618"/>
      <c r="C107618"/>
      <c r="E107618"/>
      <c r="F107618"/>
    </row>
    <row r="107619" spans="1:6" x14ac:dyDescent="0.25">
      <c r="A107619"/>
      <c r="B107619"/>
      <c r="C107619"/>
      <c r="E107619"/>
      <c r="F107619"/>
    </row>
    <row r="107620" spans="1:6" x14ac:dyDescent="0.25">
      <c r="A107620"/>
      <c r="B107620"/>
      <c r="C107620"/>
      <c r="E107620"/>
      <c r="F107620"/>
    </row>
    <row r="107621" spans="1:6" x14ac:dyDescent="0.25">
      <c r="A107621"/>
      <c r="B107621"/>
      <c r="C107621"/>
      <c r="E107621"/>
      <c r="F107621"/>
    </row>
    <row r="107622" spans="1:6" x14ac:dyDescent="0.25">
      <c r="A107622"/>
      <c r="B107622"/>
      <c r="C107622"/>
      <c r="E107622"/>
      <c r="F107622"/>
    </row>
    <row r="107623" spans="1:6" x14ac:dyDescent="0.25">
      <c r="A107623"/>
      <c r="B107623"/>
      <c r="C107623"/>
      <c r="E107623"/>
      <c r="F107623"/>
    </row>
    <row r="107624" spans="1:6" x14ac:dyDescent="0.25">
      <c r="A107624"/>
      <c r="B107624"/>
      <c r="C107624"/>
      <c r="E107624"/>
      <c r="F107624"/>
    </row>
    <row r="107625" spans="1:6" x14ac:dyDescent="0.25">
      <c r="A107625"/>
      <c r="B107625"/>
      <c r="C107625"/>
      <c r="E107625"/>
      <c r="F107625"/>
    </row>
    <row r="107626" spans="1:6" x14ac:dyDescent="0.25">
      <c r="A107626"/>
      <c r="B107626"/>
      <c r="C107626"/>
      <c r="E107626"/>
      <c r="F107626"/>
    </row>
    <row r="107627" spans="1:6" x14ac:dyDescent="0.25">
      <c r="A107627"/>
      <c r="B107627"/>
      <c r="C107627"/>
      <c r="E107627"/>
      <c r="F107627"/>
    </row>
    <row r="107628" spans="1:6" x14ac:dyDescent="0.25">
      <c r="A107628"/>
      <c r="B107628"/>
      <c r="C107628"/>
      <c r="E107628"/>
      <c r="F107628"/>
    </row>
    <row r="107629" spans="1:6" x14ac:dyDescent="0.25">
      <c r="A107629"/>
      <c r="B107629"/>
      <c r="C107629"/>
      <c r="E107629"/>
      <c r="F107629"/>
    </row>
    <row r="107630" spans="1:6" x14ac:dyDescent="0.25">
      <c r="A107630"/>
      <c r="B107630"/>
      <c r="C107630"/>
      <c r="E107630"/>
      <c r="F107630"/>
    </row>
    <row r="107631" spans="1:6" x14ac:dyDescent="0.25">
      <c r="A107631"/>
      <c r="B107631"/>
      <c r="C107631"/>
      <c r="E107631"/>
      <c r="F107631"/>
    </row>
    <row r="107632" spans="1:6" x14ac:dyDescent="0.25">
      <c r="A107632"/>
      <c r="B107632"/>
      <c r="C107632"/>
      <c r="E107632"/>
      <c r="F107632"/>
    </row>
    <row r="107633" spans="1:6" x14ac:dyDescent="0.25">
      <c r="A107633"/>
      <c r="B107633"/>
      <c r="C107633"/>
      <c r="E107633"/>
      <c r="F107633"/>
    </row>
    <row r="107634" spans="1:6" x14ac:dyDescent="0.25">
      <c r="A107634"/>
      <c r="B107634"/>
      <c r="C107634"/>
      <c r="E107634"/>
      <c r="F107634"/>
    </row>
    <row r="107635" spans="1:6" x14ac:dyDescent="0.25">
      <c r="A107635"/>
      <c r="B107635"/>
      <c r="C107635"/>
      <c r="E107635"/>
      <c r="F107635"/>
    </row>
    <row r="107636" spans="1:6" x14ac:dyDescent="0.25">
      <c r="A107636"/>
      <c r="B107636"/>
      <c r="C107636"/>
      <c r="E107636"/>
      <c r="F107636"/>
    </row>
    <row r="107637" spans="1:6" x14ac:dyDescent="0.25">
      <c r="A107637"/>
      <c r="B107637"/>
      <c r="C107637"/>
      <c r="E107637"/>
      <c r="F107637"/>
    </row>
    <row r="107638" spans="1:6" x14ac:dyDescent="0.25">
      <c r="A107638"/>
      <c r="B107638"/>
      <c r="C107638"/>
      <c r="E107638"/>
      <c r="F107638"/>
    </row>
    <row r="107639" spans="1:6" x14ac:dyDescent="0.25">
      <c r="A107639"/>
      <c r="B107639"/>
      <c r="C107639"/>
      <c r="E107639"/>
      <c r="F107639"/>
    </row>
    <row r="107640" spans="1:6" x14ac:dyDescent="0.25">
      <c r="A107640"/>
      <c r="B107640"/>
      <c r="C107640"/>
      <c r="E107640"/>
      <c r="F107640"/>
    </row>
    <row r="107641" spans="1:6" x14ac:dyDescent="0.25">
      <c r="A107641"/>
      <c r="B107641"/>
      <c r="C107641"/>
      <c r="E107641"/>
      <c r="F107641"/>
    </row>
    <row r="107642" spans="1:6" x14ac:dyDescent="0.25">
      <c r="A107642"/>
      <c r="B107642"/>
      <c r="C107642"/>
      <c r="E107642"/>
      <c r="F107642"/>
    </row>
    <row r="107643" spans="1:6" x14ac:dyDescent="0.25">
      <c r="A107643"/>
      <c r="B107643"/>
      <c r="C107643"/>
      <c r="E107643"/>
      <c r="F107643"/>
    </row>
    <row r="107644" spans="1:6" x14ac:dyDescent="0.25">
      <c r="A107644"/>
      <c r="B107644"/>
      <c r="C107644"/>
      <c r="E107644"/>
      <c r="F107644"/>
    </row>
    <row r="107645" spans="1:6" x14ac:dyDescent="0.25">
      <c r="A107645"/>
      <c r="B107645"/>
      <c r="C107645"/>
      <c r="E107645"/>
      <c r="F107645"/>
    </row>
    <row r="107646" spans="1:6" x14ac:dyDescent="0.25">
      <c r="A107646"/>
      <c r="B107646"/>
      <c r="C107646"/>
      <c r="E107646"/>
      <c r="F107646"/>
    </row>
    <row r="107647" spans="1:6" x14ac:dyDescent="0.25">
      <c r="A107647"/>
      <c r="B107647"/>
      <c r="C107647"/>
      <c r="E107647"/>
      <c r="F107647"/>
    </row>
    <row r="107648" spans="1:6" x14ac:dyDescent="0.25">
      <c r="A107648"/>
      <c r="B107648"/>
      <c r="C107648"/>
      <c r="E107648"/>
      <c r="F107648"/>
    </row>
    <row r="107649" spans="1:6" x14ac:dyDescent="0.25">
      <c r="A107649"/>
      <c r="B107649"/>
      <c r="C107649"/>
      <c r="E107649"/>
      <c r="F107649"/>
    </row>
    <row r="107650" spans="1:6" x14ac:dyDescent="0.25">
      <c r="A107650"/>
      <c r="B107650"/>
      <c r="C107650"/>
      <c r="E107650"/>
      <c r="F107650"/>
    </row>
    <row r="107651" spans="1:6" x14ac:dyDescent="0.25">
      <c r="A107651"/>
      <c r="B107651"/>
      <c r="C107651"/>
      <c r="E107651"/>
      <c r="F107651"/>
    </row>
    <row r="107652" spans="1:6" x14ac:dyDescent="0.25">
      <c r="A107652"/>
      <c r="B107652"/>
      <c r="C107652"/>
      <c r="E107652"/>
      <c r="F107652"/>
    </row>
    <row r="107653" spans="1:6" x14ac:dyDescent="0.25">
      <c r="A107653"/>
      <c r="B107653"/>
      <c r="C107653"/>
      <c r="E107653"/>
      <c r="F107653"/>
    </row>
    <row r="107654" spans="1:6" x14ac:dyDescent="0.25">
      <c r="A107654"/>
      <c r="B107654"/>
      <c r="C107654"/>
      <c r="E107654"/>
      <c r="F107654"/>
    </row>
    <row r="107655" spans="1:6" x14ac:dyDescent="0.25">
      <c r="A107655"/>
      <c r="B107655"/>
      <c r="C107655"/>
      <c r="E107655"/>
      <c r="F107655"/>
    </row>
    <row r="107656" spans="1:6" x14ac:dyDescent="0.25">
      <c r="A107656"/>
      <c r="B107656"/>
      <c r="C107656"/>
      <c r="E107656"/>
      <c r="F107656"/>
    </row>
    <row r="107657" spans="1:6" x14ac:dyDescent="0.25">
      <c r="A107657"/>
      <c r="B107657"/>
      <c r="C107657"/>
      <c r="E107657"/>
      <c r="F107657"/>
    </row>
    <row r="107658" spans="1:6" x14ac:dyDescent="0.25">
      <c r="A107658"/>
      <c r="B107658"/>
      <c r="C107658"/>
      <c r="E107658"/>
      <c r="F107658"/>
    </row>
    <row r="107659" spans="1:6" x14ac:dyDescent="0.25">
      <c r="A107659"/>
      <c r="B107659"/>
      <c r="C107659"/>
      <c r="E107659"/>
      <c r="F107659"/>
    </row>
    <row r="107660" spans="1:6" x14ac:dyDescent="0.25">
      <c r="A107660"/>
      <c r="B107660"/>
      <c r="C107660"/>
      <c r="E107660"/>
      <c r="F107660"/>
    </row>
    <row r="107661" spans="1:6" x14ac:dyDescent="0.25">
      <c r="A107661"/>
      <c r="B107661"/>
      <c r="C107661"/>
      <c r="E107661"/>
      <c r="F107661"/>
    </row>
    <row r="107662" spans="1:6" x14ac:dyDescent="0.25">
      <c r="A107662"/>
      <c r="B107662"/>
      <c r="C107662"/>
      <c r="E107662"/>
      <c r="F107662"/>
    </row>
    <row r="107663" spans="1:6" x14ac:dyDescent="0.25">
      <c r="A107663"/>
      <c r="B107663"/>
      <c r="C107663"/>
      <c r="E107663"/>
      <c r="F107663"/>
    </row>
    <row r="107664" spans="1:6" x14ac:dyDescent="0.25">
      <c r="A107664"/>
      <c r="B107664"/>
      <c r="C107664"/>
      <c r="E107664"/>
      <c r="F107664"/>
    </row>
    <row r="107665" spans="1:6" x14ac:dyDescent="0.25">
      <c r="A107665"/>
      <c r="B107665"/>
      <c r="C107665"/>
      <c r="E107665"/>
      <c r="F107665"/>
    </row>
    <row r="107666" spans="1:6" x14ac:dyDescent="0.25">
      <c r="A107666"/>
      <c r="B107666"/>
      <c r="C107666"/>
      <c r="E107666"/>
      <c r="F107666"/>
    </row>
    <row r="107667" spans="1:6" x14ac:dyDescent="0.25">
      <c r="A107667"/>
      <c r="B107667"/>
      <c r="C107667"/>
      <c r="E107667"/>
      <c r="F107667"/>
    </row>
    <row r="107668" spans="1:6" x14ac:dyDescent="0.25">
      <c r="A107668"/>
      <c r="B107668"/>
      <c r="C107668"/>
      <c r="E107668"/>
      <c r="F107668"/>
    </row>
    <row r="107669" spans="1:6" x14ac:dyDescent="0.25">
      <c r="A107669"/>
      <c r="B107669"/>
      <c r="C107669"/>
      <c r="E107669"/>
      <c r="F107669"/>
    </row>
    <row r="107670" spans="1:6" x14ac:dyDescent="0.25">
      <c r="A107670"/>
      <c r="B107670"/>
      <c r="C107670"/>
      <c r="E107670"/>
      <c r="F107670"/>
    </row>
    <row r="107671" spans="1:6" x14ac:dyDescent="0.25">
      <c r="A107671"/>
      <c r="B107671"/>
      <c r="C107671"/>
      <c r="E107671"/>
      <c r="F107671"/>
    </row>
    <row r="107672" spans="1:6" x14ac:dyDescent="0.25">
      <c r="A107672"/>
      <c r="B107672"/>
      <c r="C107672"/>
      <c r="E107672"/>
      <c r="F107672"/>
    </row>
    <row r="107673" spans="1:6" x14ac:dyDescent="0.25">
      <c r="A107673"/>
      <c r="B107673"/>
      <c r="C107673"/>
      <c r="E107673"/>
      <c r="F107673"/>
    </row>
    <row r="107674" spans="1:6" x14ac:dyDescent="0.25">
      <c r="A107674"/>
      <c r="B107674"/>
      <c r="C107674"/>
      <c r="E107674"/>
      <c r="F107674"/>
    </row>
    <row r="107675" spans="1:6" x14ac:dyDescent="0.25">
      <c r="A107675"/>
      <c r="B107675"/>
      <c r="C107675"/>
      <c r="E107675"/>
      <c r="F107675"/>
    </row>
    <row r="107676" spans="1:6" x14ac:dyDescent="0.25">
      <c r="A107676"/>
      <c r="B107676"/>
      <c r="C107676"/>
      <c r="E107676"/>
      <c r="F107676"/>
    </row>
    <row r="107677" spans="1:6" x14ac:dyDescent="0.25">
      <c r="A107677"/>
      <c r="B107677"/>
      <c r="C107677"/>
      <c r="E107677"/>
      <c r="F107677"/>
    </row>
    <row r="107678" spans="1:6" x14ac:dyDescent="0.25">
      <c r="A107678"/>
      <c r="B107678"/>
      <c r="C107678"/>
      <c r="E107678"/>
      <c r="F107678"/>
    </row>
    <row r="107679" spans="1:6" x14ac:dyDescent="0.25">
      <c r="A107679"/>
      <c r="B107679"/>
      <c r="C107679"/>
      <c r="E107679"/>
      <c r="F107679"/>
    </row>
    <row r="107680" spans="1:6" x14ac:dyDescent="0.25">
      <c r="A107680"/>
      <c r="B107680"/>
      <c r="C107680"/>
      <c r="E107680"/>
      <c r="F107680"/>
    </row>
    <row r="107681" spans="1:6" x14ac:dyDescent="0.25">
      <c r="A107681"/>
      <c r="B107681"/>
      <c r="C107681"/>
      <c r="E107681"/>
      <c r="F107681"/>
    </row>
    <row r="107682" spans="1:6" x14ac:dyDescent="0.25">
      <c r="A107682"/>
      <c r="B107682"/>
      <c r="C107682"/>
      <c r="E107682"/>
      <c r="F107682"/>
    </row>
    <row r="107683" spans="1:6" x14ac:dyDescent="0.25">
      <c r="A107683"/>
      <c r="B107683"/>
      <c r="C107683"/>
      <c r="E107683"/>
      <c r="F107683"/>
    </row>
    <row r="107684" spans="1:6" x14ac:dyDescent="0.25">
      <c r="A107684"/>
      <c r="B107684"/>
      <c r="C107684"/>
      <c r="E107684"/>
      <c r="F107684"/>
    </row>
    <row r="107685" spans="1:6" x14ac:dyDescent="0.25">
      <c r="A107685"/>
      <c r="B107685"/>
      <c r="C107685"/>
      <c r="E107685"/>
      <c r="F107685"/>
    </row>
    <row r="107686" spans="1:6" x14ac:dyDescent="0.25">
      <c r="A107686"/>
      <c r="B107686"/>
      <c r="C107686"/>
      <c r="E107686"/>
      <c r="F107686"/>
    </row>
    <row r="107687" spans="1:6" x14ac:dyDescent="0.25">
      <c r="A107687"/>
      <c r="B107687"/>
      <c r="C107687"/>
      <c r="E107687"/>
      <c r="F107687"/>
    </row>
    <row r="107688" spans="1:6" x14ac:dyDescent="0.25">
      <c r="A107688"/>
      <c r="B107688"/>
      <c r="C107688"/>
      <c r="E107688"/>
      <c r="F107688"/>
    </row>
    <row r="107689" spans="1:6" x14ac:dyDescent="0.25">
      <c r="A107689"/>
      <c r="B107689"/>
      <c r="C107689"/>
      <c r="E107689"/>
      <c r="F107689"/>
    </row>
    <row r="107690" spans="1:6" x14ac:dyDescent="0.25">
      <c r="A107690"/>
      <c r="B107690"/>
      <c r="C107690"/>
      <c r="E107690"/>
      <c r="F107690"/>
    </row>
    <row r="107691" spans="1:6" x14ac:dyDescent="0.25">
      <c r="A107691"/>
      <c r="B107691"/>
      <c r="C107691"/>
      <c r="E107691"/>
      <c r="F107691"/>
    </row>
    <row r="107692" spans="1:6" x14ac:dyDescent="0.25">
      <c r="A107692"/>
      <c r="B107692"/>
      <c r="C107692"/>
      <c r="E107692"/>
      <c r="F107692"/>
    </row>
    <row r="107693" spans="1:6" x14ac:dyDescent="0.25">
      <c r="A107693"/>
      <c r="B107693"/>
      <c r="C107693"/>
      <c r="E107693"/>
      <c r="F107693"/>
    </row>
    <row r="107694" spans="1:6" x14ac:dyDescent="0.25">
      <c r="A107694"/>
      <c r="B107694"/>
      <c r="C107694"/>
      <c r="E107694"/>
      <c r="F107694"/>
    </row>
    <row r="107695" spans="1:6" x14ac:dyDescent="0.25">
      <c r="A107695"/>
      <c r="B107695"/>
      <c r="C107695"/>
      <c r="E107695"/>
      <c r="F107695"/>
    </row>
    <row r="107696" spans="1:6" x14ac:dyDescent="0.25">
      <c r="A107696"/>
      <c r="B107696"/>
      <c r="C107696"/>
      <c r="E107696"/>
      <c r="F107696"/>
    </row>
    <row r="107697" spans="1:6" x14ac:dyDescent="0.25">
      <c r="A107697"/>
      <c r="B107697"/>
      <c r="C107697"/>
      <c r="E107697"/>
      <c r="F107697"/>
    </row>
    <row r="107698" spans="1:6" x14ac:dyDescent="0.25">
      <c r="A107698"/>
      <c r="B107698"/>
      <c r="C107698"/>
      <c r="E107698"/>
      <c r="F107698"/>
    </row>
    <row r="107699" spans="1:6" x14ac:dyDescent="0.25">
      <c r="A107699"/>
      <c r="B107699"/>
      <c r="C107699"/>
      <c r="E107699"/>
      <c r="F107699"/>
    </row>
    <row r="107700" spans="1:6" x14ac:dyDescent="0.25">
      <c r="A107700"/>
      <c r="B107700"/>
      <c r="C107700"/>
      <c r="E107700"/>
      <c r="F107700"/>
    </row>
    <row r="107701" spans="1:6" x14ac:dyDescent="0.25">
      <c r="A107701"/>
      <c r="B107701"/>
      <c r="C107701"/>
      <c r="E107701"/>
      <c r="F107701"/>
    </row>
    <row r="107702" spans="1:6" x14ac:dyDescent="0.25">
      <c r="A107702"/>
      <c r="B107702"/>
      <c r="C107702"/>
      <c r="E107702"/>
      <c r="F107702"/>
    </row>
    <row r="107703" spans="1:6" x14ac:dyDescent="0.25">
      <c r="A107703"/>
      <c r="B107703"/>
      <c r="C107703"/>
      <c r="E107703"/>
      <c r="F107703"/>
    </row>
    <row r="107704" spans="1:6" x14ac:dyDescent="0.25">
      <c r="A107704"/>
      <c r="B107704"/>
      <c r="C107704"/>
      <c r="E107704"/>
      <c r="F107704"/>
    </row>
    <row r="107705" spans="1:6" x14ac:dyDescent="0.25">
      <c r="A107705"/>
      <c r="B107705"/>
      <c r="C107705"/>
      <c r="E107705"/>
      <c r="F107705"/>
    </row>
    <row r="107706" spans="1:6" x14ac:dyDescent="0.25">
      <c r="A107706"/>
      <c r="B107706"/>
      <c r="C107706"/>
      <c r="E107706"/>
      <c r="F107706"/>
    </row>
    <row r="107707" spans="1:6" x14ac:dyDescent="0.25">
      <c r="A107707"/>
      <c r="B107707"/>
      <c r="C107707"/>
      <c r="E107707"/>
      <c r="F107707"/>
    </row>
    <row r="107708" spans="1:6" x14ac:dyDescent="0.25">
      <c r="A107708"/>
      <c r="B107708"/>
      <c r="C107708"/>
      <c r="E107708"/>
      <c r="F107708"/>
    </row>
    <row r="107709" spans="1:6" x14ac:dyDescent="0.25">
      <c r="A107709"/>
      <c r="B107709"/>
      <c r="C107709"/>
      <c r="E107709"/>
      <c r="F107709"/>
    </row>
    <row r="107710" spans="1:6" x14ac:dyDescent="0.25">
      <c r="A107710"/>
      <c r="B107710"/>
      <c r="C107710"/>
      <c r="E107710"/>
      <c r="F107710"/>
    </row>
    <row r="107711" spans="1:6" x14ac:dyDescent="0.25">
      <c r="A107711"/>
      <c r="B107711"/>
      <c r="C107711"/>
      <c r="E107711"/>
      <c r="F107711"/>
    </row>
    <row r="107712" spans="1:6" x14ac:dyDescent="0.25">
      <c r="A107712"/>
      <c r="B107712"/>
      <c r="C107712"/>
      <c r="E107712"/>
      <c r="F107712"/>
    </row>
    <row r="107713" spans="1:6" x14ac:dyDescent="0.25">
      <c r="A107713"/>
      <c r="B107713"/>
      <c r="C107713"/>
      <c r="E107713"/>
      <c r="F107713"/>
    </row>
    <row r="107714" spans="1:6" x14ac:dyDescent="0.25">
      <c r="A107714"/>
      <c r="B107714"/>
      <c r="C107714"/>
      <c r="E107714"/>
      <c r="F107714"/>
    </row>
    <row r="107715" spans="1:6" x14ac:dyDescent="0.25">
      <c r="A107715"/>
      <c r="B107715"/>
      <c r="C107715"/>
      <c r="E107715"/>
      <c r="F107715"/>
    </row>
    <row r="107716" spans="1:6" x14ac:dyDescent="0.25">
      <c r="A107716"/>
      <c r="B107716"/>
      <c r="C107716"/>
      <c r="E107716"/>
      <c r="F107716"/>
    </row>
    <row r="107717" spans="1:6" x14ac:dyDescent="0.25">
      <c r="A107717"/>
      <c r="B107717"/>
      <c r="C107717"/>
      <c r="E107717"/>
      <c r="F107717"/>
    </row>
    <row r="107718" spans="1:6" x14ac:dyDescent="0.25">
      <c r="A107718"/>
      <c r="B107718"/>
      <c r="C107718"/>
      <c r="E107718"/>
      <c r="F107718"/>
    </row>
    <row r="107719" spans="1:6" x14ac:dyDescent="0.25">
      <c r="A107719"/>
      <c r="B107719"/>
      <c r="C107719"/>
      <c r="E107719"/>
      <c r="F107719"/>
    </row>
    <row r="107720" spans="1:6" x14ac:dyDescent="0.25">
      <c r="A107720"/>
      <c r="B107720"/>
      <c r="C107720"/>
      <c r="E107720"/>
      <c r="F107720"/>
    </row>
    <row r="107721" spans="1:6" x14ac:dyDescent="0.25">
      <c r="A107721"/>
      <c r="B107721"/>
      <c r="C107721"/>
      <c r="E107721"/>
      <c r="F107721"/>
    </row>
    <row r="107722" spans="1:6" x14ac:dyDescent="0.25">
      <c r="A107722"/>
      <c r="B107722"/>
      <c r="C107722"/>
      <c r="E107722"/>
      <c r="F107722"/>
    </row>
    <row r="107723" spans="1:6" x14ac:dyDescent="0.25">
      <c r="A107723"/>
      <c r="B107723"/>
      <c r="C107723"/>
      <c r="E107723"/>
      <c r="F107723"/>
    </row>
    <row r="107724" spans="1:6" x14ac:dyDescent="0.25">
      <c r="A107724"/>
      <c r="B107724"/>
      <c r="C107724"/>
      <c r="E107724"/>
      <c r="F107724"/>
    </row>
    <row r="107725" spans="1:6" x14ac:dyDescent="0.25">
      <c r="A107725"/>
      <c r="B107725"/>
      <c r="C107725"/>
      <c r="E107725"/>
      <c r="F107725"/>
    </row>
    <row r="107726" spans="1:6" x14ac:dyDescent="0.25">
      <c r="A107726"/>
      <c r="B107726"/>
      <c r="C107726"/>
      <c r="E107726"/>
      <c r="F107726"/>
    </row>
    <row r="107727" spans="1:6" x14ac:dyDescent="0.25">
      <c r="A107727"/>
      <c r="B107727"/>
      <c r="C107727"/>
      <c r="E107727"/>
      <c r="F107727"/>
    </row>
    <row r="107728" spans="1:6" x14ac:dyDescent="0.25">
      <c r="A107728"/>
      <c r="B107728"/>
      <c r="C107728"/>
      <c r="E107728"/>
      <c r="F107728"/>
    </row>
    <row r="107729" spans="1:6" x14ac:dyDescent="0.25">
      <c r="A107729"/>
      <c r="B107729"/>
      <c r="C107729"/>
      <c r="E107729"/>
      <c r="F107729"/>
    </row>
    <row r="107730" spans="1:6" x14ac:dyDescent="0.25">
      <c r="A107730"/>
      <c r="B107730"/>
      <c r="C107730"/>
      <c r="E107730"/>
      <c r="F107730"/>
    </row>
    <row r="107731" spans="1:6" x14ac:dyDescent="0.25">
      <c r="A107731"/>
      <c r="B107731"/>
      <c r="C107731"/>
      <c r="E107731"/>
      <c r="F107731"/>
    </row>
    <row r="107732" spans="1:6" x14ac:dyDescent="0.25">
      <c r="A107732"/>
      <c r="B107732"/>
      <c r="C107732"/>
      <c r="E107732"/>
      <c r="F107732"/>
    </row>
    <row r="107733" spans="1:6" x14ac:dyDescent="0.25">
      <c r="A107733"/>
      <c r="B107733"/>
      <c r="C107733"/>
      <c r="E107733"/>
      <c r="F107733"/>
    </row>
    <row r="107734" spans="1:6" x14ac:dyDescent="0.25">
      <c r="A107734"/>
      <c r="B107734"/>
      <c r="C107734"/>
      <c r="E107734"/>
      <c r="F107734"/>
    </row>
    <row r="107735" spans="1:6" x14ac:dyDescent="0.25">
      <c r="A107735"/>
      <c r="B107735"/>
      <c r="C107735"/>
      <c r="E107735"/>
      <c r="F107735"/>
    </row>
    <row r="107736" spans="1:6" x14ac:dyDescent="0.25">
      <c r="A107736"/>
      <c r="B107736"/>
      <c r="C107736"/>
      <c r="E107736"/>
      <c r="F107736"/>
    </row>
    <row r="107737" spans="1:6" x14ac:dyDescent="0.25">
      <c r="A107737"/>
      <c r="B107737"/>
      <c r="C107737"/>
      <c r="E107737"/>
      <c r="F107737"/>
    </row>
    <row r="107738" spans="1:6" x14ac:dyDescent="0.25">
      <c r="A107738"/>
      <c r="B107738"/>
      <c r="C107738"/>
      <c r="E107738"/>
      <c r="F107738"/>
    </row>
    <row r="107739" spans="1:6" x14ac:dyDescent="0.25">
      <c r="A107739"/>
      <c r="B107739"/>
      <c r="C107739"/>
      <c r="E107739"/>
      <c r="F107739"/>
    </row>
    <row r="107740" spans="1:6" x14ac:dyDescent="0.25">
      <c r="A107740"/>
      <c r="B107740"/>
      <c r="C107740"/>
      <c r="E107740"/>
      <c r="F107740"/>
    </row>
    <row r="107741" spans="1:6" x14ac:dyDescent="0.25">
      <c r="A107741"/>
      <c r="B107741"/>
      <c r="C107741"/>
      <c r="E107741"/>
      <c r="F107741"/>
    </row>
    <row r="107742" spans="1:6" x14ac:dyDescent="0.25">
      <c r="A107742"/>
      <c r="B107742"/>
      <c r="C107742"/>
      <c r="E107742"/>
      <c r="F107742"/>
    </row>
    <row r="107743" spans="1:6" x14ac:dyDescent="0.25">
      <c r="A107743"/>
      <c r="B107743"/>
      <c r="C107743"/>
      <c r="E107743"/>
      <c r="F107743"/>
    </row>
    <row r="107744" spans="1:6" x14ac:dyDescent="0.25">
      <c r="A107744"/>
      <c r="B107744"/>
      <c r="C107744"/>
      <c r="E107744"/>
      <c r="F107744"/>
    </row>
    <row r="107745" spans="1:6" x14ac:dyDescent="0.25">
      <c r="A107745"/>
      <c r="B107745"/>
      <c r="C107745"/>
      <c r="E107745"/>
      <c r="F107745"/>
    </row>
    <row r="107746" spans="1:6" x14ac:dyDescent="0.25">
      <c r="A107746"/>
      <c r="B107746"/>
      <c r="C107746"/>
      <c r="E107746"/>
      <c r="F107746"/>
    </row>
    <row r="107747" spans="1:6" x14ac:dyDescent="0.25">
      <c r="A107747"/>
      <c r="B107747"/>
      <c r="C107747"/>
      <c r="E107747"/>
      <c r="F107747"/>
    </row>
    <row r="107748" spans="1:6" x14ac:dyDescent="0.25">
      <c r="A107748"/>
      <c r="B107748"/>
      <c r="C107748"/>
      <c r="E107748"/>
      <c r="F107748"/>
    </row>
    <row r="107749" spans="1:6" x14ac:dyDescent="0.25">
      <c r="A107749"/>
      <c r="B107749"/>
      <c r="C107749"/>
      <c r="E107749"/>
      <c r="F107749"/>
    </row>
    <row r="107750" spans="1:6" x14ac:dyDescent="0.25">
      <c r="A107750"/>
      <c r="B107750"/>
      <c r="C107750"/>
      <c r="E107750"/>
      <c r="F107750"/>
    </row>
    <row r="107751" spans="1:6" x14ac:dyDescent="0.25">
      <c r="A107751"/>
      <c r="B107751"/>
      <c r="C107751"/>
      <c r="E107751"/>
      <c r="F107751"/>
    </row>
    <row r="107752" spans="1:6" x14ac:dyDescent="0.25">
      <c r="A107752"/>
      <c r="B107752"/>
      <c r="C107752"/>
      <c r="E107752"/>
      <c r="F107752"/>
    </row>
    <row r="107753" spans="1:6" x14ac:dyDescent="0.25">
      <c r="A107753"/>
      <c r="B107753"/>
      <c r="C107753"/>
      <c r="E107753"/>
      <c r="F107753"/>
    </row>
    <row r="107754" spans="1:6" x14ac:dyDescent="0.25">
      <c r="A107754"/>
      <c r="B107754"/>
      <c r="C107754"/>
      <c r="E107754"/>
      <c r="F107754"/>
    </row>
    <row r="107755" spans="1:6" x14ac:dyDescent="0.25">
      <c r="A107755"/>
      <c r="B107755"/>
      <c r="C107755"/>
      <c r="E107755"/>
      <c r="F107755"/>
    </row>
    <row r="107756" spans="1:6" x14ac:dyDescent="0.25">
      <c r="A107756"/>
      <c r="B107756"/>
      <c r="C107756"/>
      <c r="E107756"/>
      <c r="F107756"/>
    </row>
    <row r="107757" spans="1:6" x14ac:dyDescent="0.25">
      <c r="A107757"/>
      <c r="B107757"/>
      <c r="C107757"/>
      <c r="E107757"/>
      <c r="F107757"/>
    </row>
    <row r="107758" spans="1:6" x14ac:dyDescent="0.25">
      <c r="A107758"/>
      <c r="B107758"/>
      <c r="C107758"/>
      <c r="E107758"/>
      <c r="F107758"/>
    </row>
    <row r="107759" spans="1:6" x14ac:dyDescent="0.25">
      <c r="A107759"/>
      <c r="B107759"/>
      <c r="C107759"/>
      <c r="E107759"/>
      <c r="F107759"/>
    </row>
    <row r="107760" spans="1:6" x14ac:dyDescent="0.25">
      <c r="A107760"/>
      <c r="B107760"/>
      <c r="C107760"/>
      <c r="E107760"/>
      <c r="F107760"/>
    </row>
    <row r="107761" spans="1:6" x14ac:dyDescent="0.25">
      <c r="A107761"/>
      <c r="B107761"/>
      <c r="C107761"/>
      <c r="E107761"/>
      <c r="F107761"/>
    </row>
    <row r="107762" spans="1:6" x14ac:dyDescent="0.25">
      <c r="A107762"/>
      <c r="B107762"/>
      <c r="C107762"/>
      <c r="E107762"/>
      <c r="F107762"/>
    </row>
    <row r="107763" spans="1:6" x14ac:dyDescent="0.25">
      <c r="A107763"/>
      <c r="B107763"/>
      <c r="C107763"/>
      <c r="E107763"/>
      <c r="F107763"/>
    </row>
    <row r="107764" spans="1:6" x14ac:dyDescent="0.25">
      <c r="A107764"/>
      <c r="B107764"/>
      <c r="C107764"/>
      <c r="E107764"/>
      <c r="F107764"/>
    </row>
    <row r="107765" spans="1:6" x14ac:dyDescent="0.25">
      <c r="A107765"/>
      <c r="B107765"/>
      <c r="C107765"/>
      <c r="E107765"/>
      <c r="F107765"/>
    </row>
    <row r="107766" spans="1:6" x14ac:dyDescent="0.25">
      <c r="A107766"/>
      <c r="B107766"/>
      <c r="C107766"/>
      <c r="E107766"/>
      <c r="F107766"/>
    </row>
    <row r="107767" spans="1:6" x14ac:dyDescent="0.25">
      <c r="A107767"/>
      <c r="B107767"/>
      <c r="C107767"/>
      <c r="E107767"/>
      <c r="F107767"/>
    </row>
    <row r="107768" spans="1:6" x14ac:dyDescent="0.25">
      <c r="A107768"/>
      <c r="B107768"/>
      <c r="C107768"/>
      <c r="E107768"/>
      <c r="F107768"/>
    </row>
    <row r="107769" spans="1:6" x14ac:dyDescent="0.25">
      <c r="A107769"/>
      <c r="B107769"/>
      <c r="C107769"/>
      <c r="E107769"/>
      <c r="F107769"/>
    </row>
    <row r="107770" spans="1:6" x14ac:dyDescent="0.25">
      <c r="A107770"/>
      <c r="B107770"/>
      <c r="C107770"/>
      <c r="E107770"/>
      <c r="F107770"/>
    </row>
    <row r="107771" spans="1:6" x14ac:dyDescent="0.25">
      <c r="A107771"/>
      <c r="B107771"/>
      <c r="C107771"/>
      <c r="E107771"/>
      <c r="F107771"/>
    </row>
    <row r="107772" spans="1:6" x14ac:dyDescent="0.25">
      <c r="A107772"/>
      <c r="B107772"/>
      <c r="C107772"/>
      <c r="E107772"/>
      <c r="F107772"/>
    </row>
    <row r="107773" spans="1:6" x14ac:dyDescent="0.25">
      <c r="A107773"/>
      <c r="B107773"/>
      <c r="C107773"/>
      <c r="E107773"/>
      <c r="F107773"/>
    </row>
    <row r="107774" spans="1:6" x14ac:dyDescent="0.25">
      <c r="A107774"/>
      <c r="B107774"/>
      <c r="C107774"/>
      <c r="E107774"/>
      <c r="F107774"/>
    </row>
    <row r="107775" spans="1:6" x14ac:dyDescent="0.25">
      <c r="A107775"/>
      <c r="B107775"/>
      <c r="C107775"/>
      <c r="E107775"/>
      <c r="F107775"/>
    </row>
    <row r="107776" spans="1:6" x14ac:dyDescent="0.25">
      <c r="A107776"/>
      <c r="B107776"/>
      <c r="C107776"/>
      <c r="E107776"/>
      <c r="F107776"/>
    </row>
    <row r="107777" spans="1:6" x14ac:dyDescent="0.25">
      <c r="A107777"/>
      <c r="B107777"/>
      <c r="C107777"/>
      <c r="E107777"/>
      <c r="F107777"/>
    </row>
    <row r="107778" spans="1:6" x14ac:dyDescent="0.25">
      <c r="A107778"/>
      <c r="B107778"/>
      <c r="C107778"/>
      <c r="E107778"/>
      <c r="F107778"/>
    </row>
    <row r="107779" spans="1:6" x14ac:dyDescent="0.25">
      <c r="A107779"/>
      <c r="B107779"/>
      <c r="C107779"/>
      <c r="E107779"/>
      <c r="F107779"/>
    </row>
    <row r="107780" spans="1:6" x14ac:dyDescent="0.25">
      <c r="A107780"/>
      <c r="B107780"/>
      <c r="C107780"/>
      <c r="E107780"/>
      <c r="F107780"/>
    </row>
    <row r="107781" spans="1:6" x14ac:dyDescent="0.25">
      <c r="A107781"/>
      <c r="B107781"/>
      <c r="C107781"/>
      <c r="E107781"/>
      <c r="F107781"/>
    </row>
    <row r="107782" spans="1:6" x14ac:dyDescent="0.25">
      <c r="A107782"/>
      <c r="B107782"/>
      <c r="C107782"/>
      <c r="E107782"/>
      <c r="F107782"/>
    </row>
    <row r="107783" spans="1:6" x14ac:dyDescent="0.25">
      <c r="A107783"/>
      <c r="B107783"/>
      <c r="C107783"/>
      <c r="E107783"/>
      <c r="F107783"/>
    </row>
    <row r="107784" spans="1:6" x14ac:dyDescent="0.25">
      <c r="A107784"/>
      <c r="B107784"/>
      <c r="C107784"/>
      <c r="E107784"/>
      <c r="F107784"/>
    </row>
    <row r="107785" spans="1:6" x14ac:dyDescent="0.25">
      <c r="A107785"/>
      <c r="B107785"/>
      <c r="C107785"/>
      <c r="E107785"/>
      <c r="F107785"/>
    </row>
    <row r="107786" spans="1:6" x14ac:dyDescent="0.25">
      <c r="A107786"/>
      <c r="B107786"/>
      <c r="C107786"/>
      <c r="E107786"/>
      <c r="F107786"/>
    </row>
    <row r="107787" spans="1:6" x14ac:dyDescent="0.25">
      <c r="A107787"/>
      <c r="B107787"/>
      <c r="C107787"/>
      <c r="E107787"/>
      <c r="F107787"/>
    </row>
    <row r="107788" spans="1:6" x14ac:dyDescent="0.25">
      <c r="A107788"/>
      <c r="B107788"/>
      <c r="C107788"/>
      <c r="E107788"/>
      <c r="F107788"/>
    </row>
    <row r="107789" spans="1:6" x14ac:dyDescent="0.25">
      <c r="A107789"/>
      <c r="B107789"/>
      <c r="C107789"/>
      <c r="E107789"/>
      <c r="F107789"/>
    </row>
    <row r="107790" spans="1:6" x14ac:dyDescent="0.25">
      <c r="A107790"/>
      <c r="B107790"/>
      <c r="C107790"/>
      <c r="E107790"/>
      <c r="F107790"/>
    </row>
    <row r="107791" spans="1:6" x14ac:dyDescent="0.25">
      <c r="A107791"/>
      <c r="B107791"/>
      <c r="C107791"/>
      <c r="E107791"/>
      <c r="F107791"/>
    </row>
    <row r="107792" spans="1:6" x14ac:dyDescent="0.25">
      <c r="A107792"/>
      <c r="B107792"/>
      <c r="C107792"/>
      <c r="E107792"/>
      <c r="F107792"/>
    </row>
    <row r="107793" spans="1:6" x14ac:dyDescent="0.25">
      <c r="A107793"/>
      <c r="B107793"/>
      <c r="C107793"/>
      <c r="E107793"/>
      <c r="F107793"/>
    </row>
    <row r="107794" spans="1:6" x14ac:dyDescent="0.25">
      <c r="A107794"/>
      <c r="B107794"/>
      <c r="C107794"/>
      <c r="E107794"/>
      <c r="F107794"/>
    </row>
    <row r="107795" spans="1:6" x14ac:dyDescent="0.25">
      <c r="A107795"/>
      <c r="B107795"/>
      <c r="C107795"/>
      <c r="E107795"/>
      <c r="F107795"/>
    </row>
    <row r="107796" spans="1:6" x14ac:dyDescent="0.25">
      <c r="A107796"/>
      <c r="B107796"/>
      <c r="C107796"/>
      <c r="E107796"/>
      <c r="F107796"/>
    </row>
    <row r="107797" spans="1:6" x14ac:dyDescent="0.25">
      <c r="A107797"/>
      <c r="B107797"/>
      <c r="C107797"/>
      <c r="E107797"/>
      <c r="F107797"/>
    </row>
    <row r="107798" spans="1:6" x14ac:dyDescent="0.25">
      <c r="A107798"/>
      <c r="B107798"/>
      <c r="C107798"/>
      <c r="E107798"/>
      <c r="F107798"/>
    </row>
    <row r="107799" spans="1:6" x14ac:dyDescent="0.25">
      <c r="A107799"/>
      <c r="B107799"/>
      <c r="C107799"/>
      <c r="E107799"/>
      <c r="F107799"/>
    </row>
    <row r="107800" spans="1:6" x14ac:dyDescent="0.25">
      <c r="A107800"/>
      <c r="B107800"/>
      <c r="C107800"/>
      <c r="E107800"/>
      <c r="F107800"/>
    </row>
    <row r="107801" spans="1:6" x14ac:dyDescent="0.25">
      <c r="A107801"/>
      <c r="B107801"/>
      <c r="C107801"/>
      <c r="E107801"/>
      <c r="F107801"/>
    </row>
    <row r="107802" spans="1:6" x14ac:dyDescent="0.25">
      <c r="A107802"/>
      <c r="B107802"/>
      <c r="C107802"/>
      <c r="E107802"/>
      <c r="F107802"/>
    </row>
    <row r="107803" spans="1:6" x14ac:dyDescent="0.25">
      <c r="A107803"/>
      <c r="B107803"/>
      <c r="C107803"/>
      <c r="E107803"/>
      <c r="F107803"/>
    </row>
    <row r="107804" spans="1:6" x14ac:dyDescent="0.25">
      <c r="A107804"/>
      <c r="B107804"/>
      <c r="C107804"/>
      <c r="E107804"/>
      <c r="F107804"/>
    </row>
    <row r="107805" spans="1:6" x14ac:dyDescent="0.25">
      <c r="A107805"/>
      <c r="B107805"/>
      <c r="C107805"/>
      <c r="E107805"/>
      <c r="F107805"/>
    </row>
    <row r="107806" spans="1:6" x14ac:dyDescent="0.25">
      <c r="A107806"/>
      <c r="B107806"/>
      <c r="C107806"/>
      <c r="E107806"/>
      <c r="F107806"/>
    </row>
    <row r="107807" spans="1:6" x14ac:dyDescent="0.25">
      <c r="A107807"/>
      <c r="B107807"/>
      <c r="C107807"/>
      <c r="E107807"/>
      <c r="F107807"/>
    </row>
    <row r="107808" spans="1:6" x14ac:dyDescent="0.25">
      <c r="A107808"/>
      <c r="B107808"/>
      <c r="C107808"/>
      <c r="E107808"/>
      <c r="F107808"/>
    </row>
    <row r="107809" spans="1:6" x14ac:dyDescent="0.25">
      <c r="A107809"/>
      <c r="B107809"/>
      <c r="C107809"/>
      <c r="E107809"/>
      <c r="F107809"/>
    </row>
    <row r="107810" spans="1:6" x14ac:dyDescent="0.25">
      <c r="A107810"/>
      <c r="B107810"/>
      <c r="C107810"/>
      <c r="E107810"/>
      <c r="F107810"/>
    </row>
    <row r="107811" spans="1:6" x14ac:dyDescent="0.25">
      <c r="A107811"/>
      <c r="B107811"/>
      <c r="C107811"/>
      <c r="E107811"/>
      <c r="F107811"/>
    </row>
    <row r="107812" spans="1:6" x14ac:dyDescent="0.25">
      <c r="A107812"/>
      <c r="B107812"/>
      <c r="C107812"/>
      <c r="E107812"/>
      <c r="F107812"/>
    </row>
    <row r="107813" spans="1:6" x14ac:dyDescent="0.25">
      <c r="A107813"/>
      <c r="B107813"/>
      <c r="C107813"/>
      <c r="E107813"/>
      <c r="F107813"/>
    </row>
    <row r="107814" spans="1:6" x14ac:dyDescent="0.25">
      <c r="A107814"/>
      <c r="B107814"/>
      <c r="C107814"/>
      <c r="E107814"/>
      <c r="F107814"/>
    </row>
    <row r="107815" spans="1:6" x14ac:dyDescent="0.25">
      <c r="A107815"/>
      <c r="B107815"/>
      <c r="C107815"/>
      <c r="E107815"/>
      <c r="F107815"/>
    </row>
    <row r="107816" spans="1:6" x14ac:dyDescent="0.25">
      <c r="A107816"/>
      <c r="B107816"/>
      <c r="C107816"/>
      <c r="E107816"/>
      <c r="F107816"/>
    </row>
    <row r="107817" spans="1:6" x14ac:dyDescent="0.25">
      <c r="A107817"/>
      <c r="B107817"/>
      <c r="C107817"/>
      <c r="E107817"/>
      <c r="F107817"/>
    </row>
    <row r="107818" spans="1:6" x14ac:dyDescent="0.25">
      <c r="A107818"/>
      <c r="B107818"/>
      <c r="C107818"/>
      <c r="E107818"/>
      <c r="F107818"/>
    </row>
    <row r="107819" spans="1:6" x14ac:dyDescent="0.25">
      <c r="A107819"/>
      <c r="B107819"/>
      <c r="C107819"/>
      <c r="E107819"/>
      <c r="F107819"/>
    </row>
    <row r="107820" spans="1:6" x14ac:dyDescent="0.25">
      <c r="A107820"/>
      <c r="B107820"/>
      <c r="C107820"/>
      <c r="E107820"/>
      <c r="F107820"/>
    </row>
    <row r="107821" spans="1:6" x14ac:dyDescent="0.25">
      <c r="A107821"/>
      <c r="B107821"/>
      <c r="C107821"/>
      <c r="E107821"/>
      <c r="F107821"/>
    </row>
    <row r="107822" spans="1:6" x14ac:dyDescent="0.25">
      <c r="A107822"/>
      <c r="B107822"/>
      <c r="C107822"/>
      <c r="E107822"/>
      <c r="F107822"/>
    </row>
    <row r="107823" spans="1:6" x14ac:dyDescent="0.25">
      <c r="A107823"/>
      <c r="B107823"/>
      <c r="C107823"/>
      <c r="E107823"/>
      <c r="F107823"/>
    </row>
    <row r="107824" spans="1:6" x14ac:dyDescent="0.25">
      <c r="A107824"/>
      <c r="B107824"/>
      <c r="C107824"/>
      <c r="E107824"/>
      <c r="F107824"/>
    </row>
    <row r="107825" spans="1:6" x14ac:dyDescent="0.25">
      <c r="A107825"/>
      <c r="B107825"/>
      <c r="C107825"/>
      <c r="E107825"/>
      <c r="F107825"/>
    </row>
    <row r="107826" spans="1:6" x14ac:dyDescent="0.25">
      <c r="A107826"/>
      <c r="B107826"/>
      <c r="C107826"/>
      <c r="E107826"/>
      <c r="F107826"/>
    </row>
    <row r="107827" spans="1:6" x14ac:dyDescent="0.25">
      <c r="A107827"/>
      <c r="B107827"/>
      <c r="C107827"/>
      <c r="E107827"/>
      <c r="F107827"/>
    </row>
    <row r="107828" spans="1:6" x14ac:dyDescent="0.25">
      <c r="A107828"/>
      <c r="B107828"/>
      <c r="C107828"/>
      <c r="E107828"/>
      <c r="F107828"/>
    </row>
    <row r="107829" spans="1:6" x14ac:dyDescent="0.25">
      <c r="A107829"/>
      <c r="B107829"/>
      <c r="C107829"/>
      <c r="E107829"/>
      <c r="F107829"/>
    </row>
    <row r="107830" spans="1:6" x14ac:dyDescent="0.25">
      <c r="A107830"/>
      <c r="B107830"/>
      <c r="C107830"/>
      <c r="E107830"/>
      <c r="F107830"/>
    </row>
    <row r="107831" spans="1:6" x14ac:dyDescent="0.25">
      <c r="A107831"/>
      <c r="B107831"/>
      <c r="C107831"/>
      <c r="E107831"/>
      <c r="F107831"/>
    </row>
    <row r="107832" spans="1:6" x14ac:dyDescent="0.25">
      <c r="A107832"/>
      <c r="B107832"/>
      <c r="C107832"/>
      <c r="E107832"/>
      <c r="F107832"/>
    </row>
    <row r="107833" spans="1:6" x14ac:dyDescent="0.25">
      <c r="A107833"/>
      <c r="B107833"/>
      <c r="C107833"/>
      <c r="E107833"/>
      <c r="F107833"/>
    </row>
    <row r="107834" spans="1:6" x14ac:dyDescent="0.25">
      <c r="A107834"/>
      <c r="B107834"/>
      <c r="C107834"/>
      <c r="E107834"/>
      <c r="F107834"/>
    </row>
    <row r="107835" spans="1:6" x14ac:dyDescent="0.25">
      <c r="A107835"/>
      <c r="B107835"/>
      <c r="C107835"/>
      <c r="E107835"/>
      <c r="F107835"/>
    </row>
    <row r="107836" spans="1:6" x14ac:dyDescent="0.25">
      <c r="A107836"/>
      <c r="B107836"/>
      <c r="C107836"/>
      <c r="E107836"/>
      <c r="F107836"/>
    </row>
    <row r="107837" spans="1:6" x14ac:dyDescent="0.25">
      <c r="A107837"/>
      <c r="B107837"/>
      <c r="C107837"/>
      <c r="E107837"/>
      <c r="F107837"/>
    </row>
    <row r="107838" spans="1:6" x14ac:dyDescent="0.25">
      <c r="A107838"/>
      <c r="B107838"/>
      <c r="C107838"/>
      <c r="E107838"/>
      <c r="F107838"/>
    </row>
    <row r="107839" spans="1:6" x14ac:dyDescent="0.25">
      <c r="A107839"/>
      <c r="B107839"/>
      <c r="C107839"/>
      <c r="E107839"/>
      <c r="F107839"/>
    </row>
    <row r="107840" spans="1:6" x14ac:dyDescent="0.25">
      <c r="A107840"/>
      <c r="B107840"/>
      <c r="C107840"/>
      <c r="E107840"/>
      <c r="F107840"/>
    </row>
    <row r="107841" spans="1:6" x14ac:dyDescent="0.25">
      <c r="A107841"/>
      <c r="B107841"/>
      <c r="C107841"/>
      <c r="E107841"/>
      <c r="F107841"/>
    </row>
    <row r="107842" spans="1:6" x14ac:dyDescent="0.25">
      <c r="A107842"/>
      <c r="B107842"/>
      <c r="C107842"/>
      <c r="E107842"/>
      <c r="F107842"/>
    </row>
    <row r="107843" spans="1:6" x14ac:dyDescent="0.25">
      <c r="A107843"/>
      <c r="B107843"/>
      <c r="C107843"/>
      <c r="E107843"/>
      <c r="F107843"/>
    </row>
    <row r="107844" spans="1:6" x14ac:dyDescent="0.25">
      <c r="A107844"/>
      <c r="B107844"/>
      <c r="C107844"/>
      <c r="E107844"/>
      <c r="F107844"/>
    </row>
    <row r="107845" spans="1:6" x14ac:dyDescent="0.25">
      <c r="A107845"/>
      <c r="B107845"/>
      <c r="C107845"/>
      <c r="E107845"/>
      <c r="F107845"/>
    </row>
    <row r="107846" spans="1:6" x14ac:dyDescent="0.25">
      <c r="A107846"/>
      <c r="B107846"/>
      <c r="C107846"/>
      <c r="E107846"/>
      <c r="F107846"/>
    </row>
    <row r="107847" spans="1:6" x14ac:dyDescent="0.25">
      <c r="A107847"/>
      <c r="B107847"/>
      <c r="C107847"/>
      <c r="E107847"/>
      <c r="F107847"/>
    </row>
    <row r="107848" spans="1:6" x14ac:dyDescent="0.25">
      <c r="A107848"/>
      <c r="B107848"/>
      <c r="C107848"/>
      <c r="E107848"/>
      <c r="F107848"/>
    </row>
    <row r="107849" spans="1:6" x14ac:dyDescent="0.25">
      <c r="A107849"/>
      <c r="B107849"/>
      <c r="C107849"/>
      <c r="E107849"/>
      <c r="F107849"/>
    </row>
    <row r="107850" spans="1:6" x14ac:dyDescent="0.25">
      <c r="A107850"/>
      <c r="B107850"/>
      <c r="C107850"/>
      <c r="E107850"/>
      <c r="F107850"/>
    </row>
    <row r="107851" spans="1:6" x14ac:dyDescent="0.25">
      <c r="A107851"/>
      <c r="B107851"/>
      <c r="C107851"/>
      <c r="E107851"/>
      <c r="F107851"/>
    </row>
    <row r="107852" spans="1:6" x14ac:dyDescent="0.25">
      <c r="A107852"/>
      <c r="B107852"/>
      <c r="C107852"/>
      <c r="E107852"/>
      <c r="F107852"/>
    </row>
    <row r="107853" spans="1:6" x14ac:dyDescent="0.25">
      <c r="A107853"/>
      <c r="B107853"/>
      <c r="C107853"/>
      <c r="E107853"/>
      <c r="F107853"/>
    </row>
    <row r="107854" spans="1:6" x14ac:dyDescent="0.25">
      <c r="A107854"/>
      <c r="B107854"/>
      <c r="C107854"/>
      <c r="E107854"/>
      <c r="F107854"/>
    </row>
    <row r="107855" spans="1:6" x14ac:dyDescent="0.25">
      <c r="A107855"/>
      <c r="B107855"/>
      <c r="C107855"/>
      <c r="E107855"/>
      <c r="F107855"/>
    </row>
    <row r="107856" spans="1:6" x14ac:dyDescent="0.25">
      <c r="A107856"/>
      <c r="B107856"/>
      <c r="C107856"/>
      <c r="E107856"/>
      <c r="F107856"/>
    </row>
    <row r="107857" spans="1:6" x14ac:dyDescent="0.25">
      <c r="A107857"/>
      <c r="B107857"/>
      <c r="C107857"/>
      <c r="E107857"/>
      <c r="F107857"/>
    </row>
    <row r="107858" spans="1:6" x14ac:dyDescent="0.25">
      <c r="A107858"/>
      <c r="B107858"/>
      <c r="C107858"/>
      <c r="E107858"/>
      <c r="F107858"/>
    </row>
    <row r="107859" spans="1:6" x14ac:dyDescent="0.25">
      <c r="A107859"/>
      <c r="B107859"/>
      <c r="C107859"/>
      <c r="E107859"/>
      <c r="F107859"/>
    </row>
    <row r="107860" spans="1:6" x14ac:dyDescent="0.25">
      <c r="A107860"/>
      <c r="B107860"/>
      <c r="C107860"/>
      <c r="E107860"/>
      <c r="F107860"/>
    </row>
    <row r="107861" spans="1:6" x14ac:dyDescent="0.25">
      <c r="A107861"/>
      <c r="B107861"/>
      <c r="C107861"/>
      <c r="E107861"/>
      <c r="F107861"/>
    </row>
    <row r="107862" spans="1:6" x14ac:dyDescent="0.25">
      <c r="A107862"/>
      <c r="B107862"/>
      <c r="C107862"/>
      <c r="E107862"/>
      <c r="F107862"/>
    </row>
    <row r="107863" spans="1:6" x14ac:dyDescent="0.25">
      <c r="A107863"/>
      <c r="B107863"/>
      <c r="C107863"/>
      <c r="E107863"/>
      <c r="F107863"/>
    </row>
    <row r="107864" spans="1:6" x14ac:dyDescent="0.25">
      <c r="A107864"/>
      <c r="B107864"/>
      <c r="C107864"/>
      <c r="E107864"/>
      <c r="F107864"/>
    </row>
    <row r="107865" spans="1:6" x14ac:dyDescent="0.25">
      <c r="A107865"/>
      <c r="B107865"/>
      <c r="C107865"/>
      <c r="E107865"/>
      <c r="F107865"/>
    </row>
    <row r="107866" spans="1:6" x14ac:dyDescent="0.25">
      <c r="A107866"/>
      <c r="B107866"/>
      <c r="C107866"/>
      <c r="E107866"/>
      <c r="F107866"/>
    </row>
    <row r="107867" spans="1:6" x14ac:dyDescent="0.25">
      <c r="A107867"/>
      <c r="B107867"/>
      <c r="C107867"/>
      <c r="E107867"/>
      <c r="F107867"/>
    </row>
    <row r="107868" spans="1:6" x14ac:dyDescent="0.25">
      <c r="A107868"/>
      <c r="B107868"/>
      <c r="C107868"/>
      <c r="E107868"/>
      <c r="F107868"/>
    </row>
    <row r="107869" spans="1:6" x14ac:dyDescent="0.25">
      <c r="A107869"/>
      <c r="B107869"/>
      <c r="C107869"/>
      <c r="E107869"/>
      <c r="F107869"/>
    </row>
    <row r="107870" spans="1:6" x14ac:dyDescent="0.25">
      <c r="A107870"/>
      <c r="B107870"/>
      <c r="C107870"/>
      <c r="E107870"/>
      <c r="F107870"/>
    </row>
    <row r="107871" spans="1:6" x14ac:dyDescent="0.25">
      <c r="A107871"/>
      <c r="B107871"/>
      <c r="C107871"/>
      <c r="E107871"/>
      <c r="F107871"/>
    </row>
    <row r="107872" spans="1:6" x14ac:dyDescent="0.25">
      <c r="A107872"/>
      <c r="B107872"/>
      <c r="C107872"/>
      <c r="E107872"/>
      <c r="F107872"/>
    </row>
    <row r="107873" spans="1:6" x14ac:dyDescent="0.25">
      <c r="A107873"/>
      <c r="B107873"/>
      <c r="C107873"/>
      <c r="E107873"/>
      <c r="F107873"/>
    </row>
    <row r="107874" spans="1:6" x14ac:dyDescent="0.25">
      <c r="A107874"/>
      <c r="B107874"/>
      <c r="C107874"/>
      <c r="E107874"/>
      <c r="F107874"/>
    </row>
    <row r="107875" spans="1:6" x14ac:dyDescent="0.25">
      <c r="A107875"/>
      <c r="B107875"/>
      <c r="C107875"/>
      <c r="E107875"/>
      <c r="F107875"/>
    </row>
    <row r="107876" spans="1:6" x14ac:dyDescent="0.25">
      <c r="A107876"/>
      <c r="B107876"/>
      <c r="C107876"/>
      <c r="E107876"/>
      <c r="F107876"/>
    </row>
    <row r="107877" spans="1:6" x14ac:dyDescent="0.25">
      <c r="A107877"/>
      <c r="B107877"/>
      <c r="C107877"/>
      <c r="E107877"/>
      <c r="F107877"/>
    </row>
    <row r="107878" spans="1:6" x14ac:dyDescent="0.25">
      <c r="A107878"/>
      <c r="B107878"/>
      <c r="C107878"/>
      <c r="E107878"/>
      <c r="F107878"/>
    </row>
    <row r="107879" spans="1:6" x14ac:dyDescent="0.25">
      <c r="A107879"/>
      <c r="B107879"/>
      <c r="C107879"/>
      <c r="E107879"/>
      <c r="F107879"/>
    </row>
    <row r="107880" spans="1:6" x14ac:dyDescent="0.25">
      <c r="A107880"/>
      <c r="B107880"/>
      <c r="C107880"/>
      <c r="E107880"/>
      <c r="F107880"/>
    </row>
    <row r="107881" spans="1:6" x14ac:dyDescent="0.25">
      <c r="A107881"/>
      <c r="B107881"/>
      <c r="C107881"/>
      <c r="E107881"/>
      <c r="F107881"/>
    </row>
    <row r="107882" spans="1:6" x14ac:dyDescent="0.25">
      <c r="A107882"/>
      <c r="B107882"/>
      <c r="C107882"/>
      <c r="E107882"/>
      <c r="F107882"/>
    </row>
    <row r="107883" spans="1:6" x14ac:dyDescent="0.25">
      <c r="A107883"/>
      <c r="B107883"/>
      <c r="C107883"/>
      <c r="E107883"/>
      <c r="F107883"/>
    </row>
    <row r="107884" spans="1:6" x14ac:dyDescent="0.25">
      <c r="A107884"/>
      <c r="B107884"/>
      <c r="C107884"/>
      <c r="E107884"/>
      <c r="F107884"/>
    </row>
    <row r="107885" spans="1:6" x14ac:dyDescent="0.25">
      <c r="A107885"/>
      <c r="B107885"/>
      <c r="C107885"/>
      <c r="E107885"/>
      <c r="F107885"/>
    </row>
    <row r="107886" spans="1:6" x14ac:dyDescent="0.25">
      <c r="A107886"/>
      <c r="B107886"/>
      <c r="C107886"/>
      <c r="E107886"/>
      <c r="F107886"/>
    </row>
    <row r="107887" spans="1:6" x14ac:dyDescent="0.25">
      <c r="A107887"/>
      <c r="B107887"/>
      <c r="C107887"/>
      <c r="E107887"/>
      <c r="F107887"/>
    </row>
    <row r="107888" spans="1:6" x14ac:dyDescent="0.25">
      <c r="A107888"/>
      <c r="B107888"/>
      <c r="C107888"/>
      <c r="E107888"/>
      <c r="F107888"/>
    </row>
    <row r="107889" spans="1:6" x14ac:dyDescent="0.25">
      <c r="A107889"/>
      <c r="B107889"/>
      <c r="C107889"/>
      <c r="E107889"/>
      <c r="F107889"/>
    </row>
    <row r="107890" spans="1:6" x14ac:dyDescent="0.25">
      <c r="A107890"/>
      <c r="B107890"/>
      <c r="C107890"/>
      <c r="E107890"/>
      <c r="F107890"/>
    </row>
    <row r="107891" spans="1:6" x14ac:dyDescent="0.25">
      <c r="A107891"/>
      <c r="B107891"/>
      <c r="C107891"/>
      <c r="E107891"/>
      <c r="F107891"/>
    </row>
    <row r="107892" spans="1:6" x14ac:dyDescent="0.25">
      <c r="A107892"/>
      <c r="B107892"/>
      <c r="C107892"/>
      <c r="E107892"/>
      <c r="F107892"/>
    </row>
    <row r="107893" spans="1:6" x14ac:dyDescent="0.25">
      <c r="A107893"/>
      <c r="B107893"/>
      <c r="C107893"/>
      <c r="E107893"/>
      <c r="F107893"/>
    </row>
    <row r="107894" spans="1:6" x14ac:dyDescent="0.25">
      <c r="A107894"/>
      <c r="B107894"/>
      <c r="C107894"/>
      <c r="E107894"/>
      <c r="F107894"/>
    </row>
    <row r="107895" spans="1:6" x14ac:dyDescent="0.25">
      <c r="A107895"/>
      <c r="B107895"/>
      <c r="C107895"/>
      <c r="E107895"/>
      <c r="F107895"/>
    </row>
    <row r="107896" spans="1:6" x14ac:dyDescent="0.25">
      <c r="A107896"/>
      <c r="B107896"/>
      <c r="C107896"/>
      <c r="E107896"/>
      <c r="F107896"/>
    </row>
    <row r="107897" spans="1:6" x14ac:dyDescent="0.25">
      <c r="A107897"/>
      <c r="B107897"/>
      <c r="C107897"/>
      <c r="E107897"/>
      <c r="F107897"/>
    </row>
    <row r="107898" spans="1:6" x14ac:dyDescent="0.25">
      <c r="A107898"/>
      <c r="B107898"/>
      <c r="C107898"/>
      <c r="E107898"/>
      <c r="F107898"/>
    </row>
    <row r="107899" spans="1:6" x14ac:dyDescent="0.25">
      <c r="A107899"/>
      <c r="B107899"/>
      <c r="C107899"/>
      <c r="E107899"/>
      <c r="F107899"/>
    </row>
    <row r="107900" spans="1:6" x14ac:dyDescent="0.25">
      <c r="A107900"/>
      <c r="B107900"/>
      <c r="C107900"/>
      <c r="E107900"/>
      <c r="F107900"/>
    </row>
    <row r="107901" spans="1:6" x14ac:dyDescent="0.25">
      <c r="A107901"/>
      <c r="B107901"/>
      <c r="C107901"/>
      <c r="E107901"/>
      <c r="F107901"/>
    </row>
    <row r="107902" spans="1:6" x14ac:dyDescent="0.25">
      <c r="A107902"/>
      <c r="B107902"/>
      <c r="C107902"/>
      <c r="E107902"/>
      <c r="F107902"/>
    </row>
    <row r="107903" spans="1:6" x14ac:dyDescent="0.25">
      <c r="A107903"/>
      <c r="B107903"/>
      <c r="C107903"/>
      <c r="E107903"/>
      <c r="F107903"/>
    </row>
    <row r="107904" spans="1:6" x14ac:dyDescent="0.25">
      <c r="A107904"/>
      <c r="B107904"/>
      <c r="C107904"/>
      <c r="E107904"/>
      <c r="F107904"/>
    </row>
    <row r="107905" spans="1:6" x14ac:dyDescent="0.25">
      <c r="A107905"/>
      <c r="B107905"/>
      <c r="C107905"/>
      <c r="E107905"/>
      <c r="F107905"/>
    </row>
    <row r="107906" spans="1:6" x14ac:dyDescent="0.25">
      <c r="A107906"/>
      <c r="B107906"/>
      <c r="C107906"/>
      <c r="E107906"/>
      <c r="F107906"/>
    </row>
    <row r="107907" spans="1:6" x14ac:dyDescent="0.25">
      <c r="A107907"/>
      <c r="B107907"/>
      <c r="C107907"/>
      <c r="E107907"/>
      <c r="F107907"/>
    </row>
    <row r="107908" spans="1:6" x14ac:dyDescent="0.25">
      <c r="A107908"/>
      <c r="B107908"/>
      <c r="C107908"/>
      <c r="E107908"/>
      <c r="F107908"/>
    </row>
    <row r="107909" spans="1:6" x14ac:dyDescent="0.25">
      <c r="A107909"/>
      <c r="B107909"/>
      <c r="C107909"/>
      <c r="E107909"/>
      <c r="F107909"/>
    </row>
    <row r="107910" spans="1:6" x14ac:dyDescent="0.25">
      <c r="A107910"/>
      <c r="B107910"/>
      <c r="C107910"/>
      <c r="E107910"/>
      <c r="F107910"/>
    </row>
    <row r="107911" spans="1:6" x14ac:dyDescent="0.25">
      <c r="A107911"/>
      <c r="B107911"/>
      <c r="C107911"/>
      <c r="E107911"/>
      <c r="F107911"/>
    </row>
    <row r="107912" spans="1:6" x14ac:dyDescent="0.25">
      <c r="A107912"/>
      <c r="B107912"/>
      <c r="C107912"/>
      <c r="E107912"/>
      <c r="F107912"/>
    </row>
    <row r="107913" spans="1:6" x14ac:dyDescent="0.25">
      <c r="A107913"/>
      <c r="B107913"/>
      <c r="C107913"/>
      <c r="E107913"/>
      <c r="F107913"/>
    </row>
    <row r="107914" spans="1:6" x14ac:dyDescent="0.25">
      <c r="A107914"/>
      <c r="B107914"/>
      <c r="C107914"/>
      <c r="E107914"/>
      <c r="F107914"/>
    </row>
    <row r="107915" spans="1:6" x14ac:dyDescent="0.25">
      <c r="A107915"/>
      <c r="B107915"/>
      <c r="C107915"/>
      <c r="E107915"/>
      <c r="F107915"/>
    </row>
    <row r="107916" spans="1:6" x14ac:dyDescent="0.25">
      <c r="A107916"/>
      <c r="B107916"/>
      <c r="C107916"/>
      <c r="E107916"/>
      <c r="F107916"/>
    </row>
    <row r="107917" spans="1:6" x14ac:dyDescent="0.25">
      <c r="A107917"/>
      <c r="B107917"/>
      <c r="C107917"/>
      <c r="E107917"/>
      <c r="F107917"/>
    </row>
    <row r="107918" spans="1:6" x14ac:dyDescent="0.25">
      <c r="A107918"/>
      <c r="B107918"/>
      <c r="C107918"/>
      <c r="E107918"/>
      <c r="F107918"/>
    </row>
    <row r="107919" spans="1:6" x14ac:dyDescent="0.25">
      <c r="A107919"/>
      <c r="B107919"/>
      <c r="C107919"/>
      <c r="E107919"/>
      <c r="F107919"/>
    </row>
    <row r="107920" spans="1:6" x14ac:dyDescent="0.25">
      <c r="A107920"/>
      <c r="B107920"/>
      <c r="C107920"/>
      <c r="E107920"/>
      <c r="F107920"/>
    </row>
    <row r="107921" spans="1:6" x14ac:dyDescent="0.25">
      <c r="A107921"/>
      <c r="B107921"/>
      <c r="C107921"/>
      <c r="E107921"/>
      <c r="F107921"/>
    </row>
    <row r="107922" spans="1:6" x14ac:dyDescent="0.25">
      <c r="A107922"/>
      <c r="B107922"/>
      <c r="C107922"/>
      <c r="E107922"/>
      <c r="F107922"/>
    </row>
    <row r="107923" spans="1:6" x14ac:dyDescent="0.25">
      <c r="A107923"/>
      <c r="B107923"/>
      <c r="C107923"/>
      <c r="E107923"/>
      <c r="F107923"/>
    </row>
    <row r="107924" spans="1:6" x14ac:dyDescent="0.25">
      <c r="A107924"/>
      <c r="B107924"/>
      <c r="C107924"/>
      <c r="E107924"/>
      <c r="F107924"/>
    </row>
    <row r="107925" spans="1:6" x14ac:dyDescent="0.25">
      <c r="A107925"/>
      <c r="B107925"/>
      <c r="C107925"/>
      <c r="E107925"/>
      <c r="F107925"/>
    </row>
    <row r="107926" spans="1:6" x14ac:dyDescent="0.25">
      <c r="A107926"/>
      <c r="B107926"/>
      <c r="C107926"/>
      <c r="E107926"/>
      <c r="F107926"/>
    </row>
    <row r="107927" spans="1:6" x14ac:dyDescent="0.25">
      <c r="A107927"/>
      <c r="B107927"/>
      <c r="C107927"/>
      <c r="E107927"/>
      <c r="F107927"/>
    </row>
    <row r="107928" spans="1:6" x14ac:dyDescent="0.25">
      <c r="A107928"/>
      <c r="B107928"/>
      <c r="C107928"/>
      <c r="E107928"/>
      <c r="F107928"/>
    </row>
    <row r="107929" spans="1:6" x14ac:dyDescent="0.25">
      <c r="A107929"/>
      <c r="B107929"/>
      <c r="C107929"/>
      <c r="E107929"/>
      <c r="F107929"/>
    </row>
    <row r="107930" spans="1:6" x14ac:dyDescent="0.25">
      <c r="A107930"/>
      <c r="B107930"/>
      <c r="C107930"/>
      <c r="E107930"/>
      <c r="F107930"/>
    </row>
    <row r="107931" spans="1:6" x14ac:dyDescent="0.25">
      <c r="A107931"/>
      <c r="B107931"/>
      <c r="C107931"/>
      <c r="E107931"/>
      <c r="F107931"/>
    </row>
    <row r="107932" spans="1:6" x14ac:dyDescent="0.25">
      <c r="A107932"/>
      <c r="B107932"/>
      <c r="C107932"/>
      <c r="E107932"/>
      <c r="F107932"/>
    </row>
    <row r="107933" spans="1:6" x14ac:dyDescent="0.25">
      <c r="A107933"/>
      <c r="B107933"/>
      <c r="C107933"/>
      <c r="E107933"/>
      <c r="F107933"/>
    </row>
    <row r="107934" spans="1:6" x14ac:dyDescent="0.25">
      <c r="A107934"/>
      <c r="B107934"/>
      <c r="C107934"/>
      <c r="E107934"/>
      <c r="F107934"/>
    </row>
    <row r="107935" spans="1:6" x14ac:dyDescent="0.25">
      <c r="A107935"/>
      <c r="B107935"/>
      <c r="C107935"/>
      <c r="E107935"/>
      <c r="F107935"/>
    </row>
    <row r="107936" spans="1:6" x14ac:dyDescent="0.25">
      <c r="A107936"/>
      <c r="B107936"/>
      <c r="C107936"/>
      <c r="E107936"/>
      <c r="F107936"/>
    </row>
    <row r="107937" spans="1:6" x14ac:dyDescent="0.25">
      <c r="A107937"/>
      <c r="B107937"/>
      <c r="C107937"/>
      <c r="E107937"/>
      <c r="F107937"/>
    </row>
    <row r="107938" spans="1:6" x14ac:dyDescent="0.25">
      <c r="A107938"/>
      <c r="B107938"/>
      <c r="C107938"/>
      <c r="E107938"/>
      <c r="F107938"/>
    </row>
    <row r="107939" spans="1:6" x14ac:dyDescent="0.25">
      <c r="A107939"/>
      <c r="B107939"/>
      <c r="C107939"/>
      <c r="E107939"/>
      <c r="F107939"/>
    </row>
    <row r="107940" spans="1:6" x14ac:dyDescent="0.25">
      <c r="A107940"/>
      <c r="B107940"/>
      <c r="C107940"/>
      <c r="E107940"/>
      <c r="F107940"/>
    </row>
    <row r="107941" spans="1:6" x14ac:dyDescent="0.25">
      <c r="A107941"/>
      <c r="B107941"/>
      <c r="C107941"/>
      <c r="E107941"/>
      <c r="F107941"/>
    </row>
    <row r="107942" spans="1:6" x14ac:dyDescent="0.25">
      <c r="A107942"/>
      <c r="B107942"/>
      <c r="C107942"/>
      <c r="E107942"/>
      <c r="F107942"/>
    </row>
    <row r="107943" spans="1:6" x14ac:dyDescent="0.25">
      <c r="A107943"/>
      <c r="B107943"/>
      <c r="C107943"/>
      <c r="E107943"/>
      <c r="F107943"/>
    </row>
    <row r="107944" spans="1:6" x14ac:dyDescent="0.25">
      <c r="A107944"/>
      <c r="B107944"/>
      <c r="C107944"/>
      <c r="E107944"/>
      <c r="F107944"/>
    </row>
    <row r="107945" spans="1:6" x14ac:dyDescent="0.25">
      <c r="A107945"/>
      <c r="B107945"/>
      <c r="C107945"/>
      <c r="E107945"/>
      <c r="F107945"/>
    </row>
    <row r="107946" spans="1:6" x14ac:dyDescent="0.25">
      <c r="A107946"/>
      <c r="B107946"/>
      <c r="C107946"/>
      <c r="E107946"/>
      <c r="F107946"/>
    </row>
    <row r="107947" spans="1:6" x14ac:dyDescent="0.25">
      <c r="A107947"/>
      <c r="B107947"/>
      <c r="C107947"/>
      <c r="E107947"/>
      <c r="F107947"/>
    </row>
    <row r="107948" spans="1:6" x14ac:dyDescent="0.25">
      <c r="A107948"/>
      <c r="B107948"/>
      <c r="C107948"/>
      <c r="E107948"/>
      <c r="F107948"/>
    </row>
    <row r="107949" spans="1:6" x14ac:dyDescent="0.25">
      <c r="A107949"/>
      <c r="B107949"/>
      <c r="C107949"/>
      <c r="E107949"/>
      <c r="F107949"/>
    </row>
    <row r="107950" spans="1:6" x14ac:dyDescent="0.25">
      <c r="A107950"/>
      <c r="B107950"/>
      <c r="C107950"/>
      <c r="E107950"/>
      <c r="F107950"/>
    </row>
    <row r="107951" spans="1:6" x14ac:dyDescent="0.25">
      <c r="A107951"/>
      <c r="B107951"/>
      <c r="C107951"/>
      <c r="E107951"/>
      <c r="F107951"/>
    </row>
    <row r="107952" spans="1:6" x14ac:dyDescent="0.25">
      <c r="A107952"/>
      <c r="B107952"/>
      <c r="C107952"/>
      <c r="E107952"/>
      <c r="F107952"/>
    </row>
    <row r="107953" spans="1:6" x14ac:dyDescent="0.25">
      <c r="A107953"/>
      <c r="B107953"/>
      <c r="C107953"/>
      <c r="E107953"/>
      <c r="F107953"/>
    </row>
    <row r="107954" spans="1:6" x14ac:dyDescent="0.25">
      <c r="A107954"/>
      <c r="B107954"/>
      <c r="C107954"/>
      <c r="E107954"/>
      <c r="F107954"/>
    </row>
    <row r="107955" spans="1:6" x14ac:dyDescent="0.25">
      <c r="A107955"/>
      <c r="B107955"/>
      <c r="C107955"/>
      <c r="E107955"/>
      <c r="F107955"/>
    </row>
    <row r="107956" spans="1:6" x14ac:dyDescent="0.25">
      <c r="A107956"/>
      <c r="B107956"/>
      <c r="C107956"/>
      <c r="E107956"/>
      <c r="F107956"/>
    </row>
    <row r="107957" spans="1:6" x14ac:dyDescent="0.25">
      <c r="A107957"/>
      <c r="B107957"/>
      <c r="C107957"/>
      <c r="E107957"/>
      <c r="F107957"/>
    </row>
    <row r="107958" spans="1:6" x14ac:dyDescent="0.25">
      <c r="A107958"/>
      <c r="B107958"/>
      <c r="C107958"/>
      <c r="E107958"/>
      <c r="F107958"/>
    </row>
    <row r="107959" spans="1:6" x14ac:dyDescent="0.25">
      <c r="A107959"/>
      <c r="B107959"/>
      <c r="C107959"/>
      <c r="E107959"/>
      <c r="F107959"/>
    </row>
    <row r="107960" spans="1:6" x14ac:dyDescent="0.25">
      <c r="A107960"/>
      <c r="B107960"/>
      <c r="C107960"/>
      <c r="E107960"/>
      <c r="F107960"/>
    </row>
    <row r="107961" spans="1:6" x14ac:dyDescent="0.25">
      <c r="A107961"/>
      <c r="B107961"/>
      <c r="C107961"/>
      <c r="E107961"/>
      <c r="F107961"/>
    </row>
    <row r="107962" spans="1:6" x14ac:dyDescent="0.25">
      <c r="A107962"/>
      <c r="B107962"/>
      <c r="C107962"/>
      <c r="E107962"/>
      <c r="F107962"/>
    </row>
    <row r="107963" spans="1:6" x14ac:dyDescent="0.25">
      <c r="A107963"/>
      <c r="B107963"/>
      <c r="C107963"/>
      <c r="E107963"/>
      <c r="F107963"/>
    </row>
    <row r="107964" spans="1:6" x14ac:dyDescent="0.25">
      <c r="A107964"/>
      <c r="B107964"/>
      <c r="C107964"/>
      <c r="E107964"/>
      <c r="F107964"/>
    </row>
    <row r="107965" spans="1:6" x14ac:dyDescent="0.25">
      <c r="A107965"/>
      <c r="B107965"/>
      <c r="C107965"/>
      <c r="E107965"/>
      <c r="F107965"/>
    </row>
    <row r="107966" spans="1:6" x14ac:dyDescent="0.25">
      <c r="A107966"/>
      <c r="B107966"/>
      <c r="C107966"/>
      <c r="E107966"/>
      <c r="F107966"/>
    </row>
    <row r="107967" spans="1:6" x14ac:dyDescent="0.25">
      <c r="A107967"/>
      <c r="B107967"/>
      <c r="C107967"/>
      <c r="E107967"/>
      <c r="F107967"/>
    </row>
    <row r="107968" spans="1:6" x14ac:dyDescent="0.25">
      <c r="A107968"/>
      <c r="B107968"/>
      <c r="C107968"/>
      <c r="E107968"/>
      <c r="F107968"/>
    </row>
    <row r="107969" spans="1:6" x14ac:dyDescent="0.25">
      <c r="A107969"/>
      <c r="B107969"/>
      <c r="C107969"/>
      <c r="E107969"/>
      <c r="F107969"/>
    </row>
    <row r="107970" spans="1:6" x14ac:dyDescent="0.25">
      <c r="A107970"/>
      <c r="B107970"/>
      <c r="C107970"/>
      <c r="E107970"/>
      <c r="F107970"/>
    </row>
    <row r="107971" spans="1:6" x14ac:dyDescent="0.25">
      <c r="A107971"/>
      <c r="B107971"/>
      <c r="C107971"/>
      <c r="E107971"/>
      <c r="F107971"/>
    </row>
    <row r="107972" spans="1:6" x14ac:dyDescent="0.25">
      <c r="A107972"/>
      <c r="B107972"/>
      <c r="C107972"/>
      <c r="E107972"/>
      <c r="F107972"/>
    </row>
    <row r="107973" spans="1:6" x14ac:dyDescent="0.25">
      <c r="A107973"/>
      <c r="B107973"/>
      <c r="C107973"/>
      <c r="E107973"/>
      <c r="F107973"/>
    </row>
    <row r="107974" spans="1:6" x14ac:dyDescent="0.25">
      <c r="A107974"/>
      <c r="B107974"/>
      <c r="C107974"/>
      <c r="E107974"/>
      <c r="F107974"/>
    </row>
    <row r="107975" spans="1:6" x14ac:dyDescent="0.25">
      <c r="A107975"/>
      <c r="B107975"/>
      <c r="C107975"/>
      <c r="E107975"/>
      <c r="F107975"/>
    </row>
    <row r="107976" spans="1:6" x14ac:dyDescent="0.25">
      <c r="A107976"/>
      <c r="B107976"/>
      <c r="C107976"/>
      <c r="E107976"/>
      <c r="F107976"/>
    </row>
    <row r="107977" spans="1:6" x14ac:dyDescent="0.25">
      <c r="A107977"/>
      <c r="B107977"/>
      <c r="C107977"/>
      <c r="E107977"/>
      <c r="F107977"/>
    </row>
    <row r="107978" spans="1:6" x14ac:dyDescent="0.25">
      <c r="A107978"/>
      <c r="B107978"/>
      <c r="C107978"/>
      <c r="E107978"/>
      <c r="F107978"/>
    </row>
    <row r="107979" spans="1:6" x14ac:dyDescent="0.25">
      <c r="A107979"/>
      <c r="B107979"/>
      <c r="C107979"/>
      <c r="E107979"/>
      <c r="F107979"/>
    </row>
    <row r="107980" spans="1:6" x14ac:dyDescent="0.25">
      <c r="A107980"/>
      <c r="B107980"/>
      <c r="C107980"/>
      <c r="E107980"/>
      <c r="F107980"/>
    </row>
    <row r="107981" spans="1:6" x14ac:dyDescent="0.25">
      <c r="A107981"/>
      <c r="B107981"/>
      <c r="C107981"/>
      <c r="E107981"/>
      <c r="F107981"/>
    </row>
    <row r="107982" spans="1:6" x14ac:dyDescent="0.25">
      <c r="A107982"/>
      <c r="B107982"/>
      <c r="C107982"/>
      <c r="E107982"/>
      <c r="F107982"/>
    </row>
    <row r="107983" spans="1:6" x14ac:dyDescent="0.25">
      <c r="A107983"/>
      <c r="B107983"/>
      <c r="C107983"/>
      <c r="E107983"/>
      <c r="F107983"/>
    </row>
    <row r="107984" spans="1:6" x14ac:dyDescent="0.25">
      <c r="A107984"/>
      <c r="B107984"/>
      <c r="C107984"/>
      <c r="E107984"/>
      <c r="F107984"/>
    </row>
    <row r="107985" spans="1:6" x14ac:dyDescent="0.25">
      <c r="A107985"/>
      <c r="B107985"/>
      <c r="C107985"/>
      <c r="E107985"/>
      <c r="F107985"/>
    </row>
    <row r="107986" spans="1:6" x14ac:dyDescent="0.25">
      <c r="A107986"/>
      <c r="B107986"/>
      <c r="C107986"/>
      <c r="E107986"/>
      <c r="F107986"/>
    </row>
    <row r="107987" spans="1:6" x14ac:dyDescent="0.25">
      <c r="A107987"/>
      <c r="B107987"/>
      <c r="C107987"/>
      <c r="E107987"/>
      <c r="F107987"/>
    </row>
    <row r="107988" spans="1:6" x14ac:dyDescent="0.25">
      <c r="A107988"/>
      <c r="B107988"/>
      <c r="C107988"/>
      <c r="E107988"/>
      <c r="F107988"/>
    </row>
    <row r="107989" spans="1:6" x14ac:dyDescent="0.25">
      <c r="A107989"/>
      <c r="B107989"/>
      <c r="C107989"/>
      <c r="E107989"/>
      <c r="F107989"/>
    </row>
    <row r="107990" spans="1:6" x14ac:dyDescent="0.25">
      <c r="A107990"/>
      <c r="B107990"/>
      <c r="C107990"/>
      <c r="E107990"/>
      <c r="F107990"/>
    </row>
    <row r="107991" spans="1:6" x14ac:dyDescent="0.25">
      <c r="A107991"/>
      <c r="B107991"/>
      <c r="C107991"/>
      <c r="E107991"/>
      <c r="F107991"/>
    </row>
    <row r="107992" spans="1:6" x14ac:dyDescent="0.25">
      <c r="A107992"/>
      <c r="B107992"/>
      <c r="C107992"/>
      <c r="E107992"/>
      <c r="F107992"/>
    </row>
    <row r="107993" spans="1:6" x14ac:dyDescent="0.25">
      <c r="A107993"/>
      <c r="B107993"/>
      <c r="C107993"/>
      <c r="E107993"/>
      <c r="F107993"/>
    </row>
    <row r="107994" spans="1:6" x14ac:dyDescent="0.25">
      <c r="A107994"/>
      <c r="B107994"/>
      <c r="C107994"/>
      <c r="E107994"/>
      <c r="F107994"/>
    </row>
    <row r="107995" spans="1:6" x14ac:dyDescent="0.25">
      <c r="A107995"/>
      <c r="B107995"/>
      <c r="C107995"/>
      <c r="E107995"/>
      <c r="F107995"/>
    </row>
    <row r="107996" spans="1:6" x14ac:dyDescent="0.25">
      <c r="A107996"/>
      <c r="B107996"/>
      <c r="C107996"/>
      <c r="E107996"/>
      <c r="F107996"/>
    </row>
    <row r="107997" spans="1:6" x14ac:dyDescent="0.25">
      <c r="A107997"/>
      <c r="B107997"/>
      <c r="C107997"/>
      <c r="E107997"/>
      <c r="F107997"/>
    </row>
    <row r="107998" spans="1:6" x14ac:dyDescent="0.25">
      <c r="A107998"/>
      <c r="B107998"/>
      <c r="C107998"/>
      <c r="E107998"/>
      <c r="F107998"/>
    </row>
    <row r="107999" spans="1:6" x14ac:dyDescent="0.25">
      <c r="A107999"/>
      <c r="B107999"/>
      <c r="C107999"/>
      <c r="E107999"/>
      <c r="F107999"/>
    </row>
    <row r="108000" spans="1:6" x14ac:dyDescent="0.25">
      <c r="A108000"/>
      <c r="B108000"/>
      <c r="C108000"/>
      <c r="E108000"/>
      <c r="F108000"/>
    </row>
    <row r="108001" spans="1:6" x14ac:dyDescent="0.25">
      <c r="A108001"/>
      <c r="B108001"/>
      <c r="C108001"/>
      <c r="E108001"/>
      <c r="F108001"/>
    </row>
    <row r="108002" spans="1:6" x14ac:dyDescent="0.25">
      <c r="A108002"/>
      <c r="B108002"/>
      <c r="C108002"/>
      <c r="E108002"/>
      <c r="F108002"/>
    </row>
    <row r="108003" spans="1:6" x14ac:dyDescent="0.25">
      <c r="A108003"/>
      <c r="B108003"/>
      <c r="C108003"/>
      <c r="E108003"/>
      <c r="F108003"/>
    </row>
    <row r="108004" spans="1:6" x14ac:dyDescent="0.25">
      <c r="A108004"/>
      <c r="B108004"/>
      <c r="C108004"/>
      <c r="E108004"/>
      <c r="F108004"/>
    </row>
    <row r="108005" spans="1:6" x14ac:dyDescent="0.25">
      <c r="A108005"/>
      <c r="B108005"/>
      <c r="C108005"/>
      <c r="E108005"/>
      <c r="F108005"/>
    </row>
    <row r="108006" spans="1:6" x14ac:dyDescent="0.25">
      <c r="A108006"/>
      <c r="B108006"/>
      <c r="C108006"/>
      <c r="E108006"/>
      <c r="F108006"/>
    </row>
    <row r="108007" spans="1:6" x14ac:dyDescent="0.25">
      <c r="A108007"/>
      <c r="B108007"/>
      <c r="C108007"/>
      <c r="E108007"/>
      <c r="F108007"/>
    </row>
    <row r="108008" spans="1:6" x14ac:dyDescent="0.25">
      <c r="A108008"/>
      <c r="B108008"/>
      <c r="C108008"/>
      <c r="E108008"/>
      <c r="F108008"/>
    </row>
    <row r="108009" spans="1:6" x14ac:dyDescent="0.25">
      <c r="A108009"/>
      <c r="B108009"/>
      <c r="C108009"/>
      <c r="E108009"/>
      <c r="F108009"/>
    </row>
    <row r="108010" spans="1:6" x14ac:dyDescent="0.25">
      <c r="A108010"/>
      <c r="B108010"/>
      <c r="C108010"/>
      <c r="E108010"/>
      <c r="F108010"/>
    </row>
    <row r="108011" spans="1:6" x14ac:dyDescent="0.25">
      <c r="A108011"/>
      <c r="B108011"/>
      <c r="C108011"/>
      <c r="E108011"/>
      <c r="F108011"/>
    </row>
    <row r="108012" spans="1:6" x14ac:dyDescent="0.25">
      <c r="A108012"/>
      <c r="B108012"/>
      <c r="C108012"/>
      <c r="E108012"/>
      <c r="F108012"/>
    </row>
    <row r="108013" spans="1:6" x14ac:dyDescent="0.25">
      <c r="A108013"/>
      <c r="B108013"/>
      <c r="C108013"/>
      <c r="E108013"/>
      <c r="F108013"/>
    </row>
    <row r="108014" spans="1:6" x14ac:dyDescent="0.25">
      <c r="A108014"/>
      <c r="B108014"/>
      <c r="C108014"/>
      <c r="E108014"/>
      <c r="F108014"/>
    </row>
    <row r="108015" spans="1:6" x14ac:dyDescent="0.25">
      <c r="A108015"/>
      <c r="B108015"/>
      <c r="C108015"/>
      <c r="E108015"/>
      <c r="F108015"/>
    </row>
    <row r="108016" spans="1:6" x14ac:dyDescent="0.25">
      <c r="A108016"/>
      <c r="B108016"/>
      <c r="C108016"/>
      <c r="E108016"/>
      <c r="F108016"/>
    </row>
    <row r="108017" spans="1:6" x14ac:dyDescent="0.25">
      <c r="A108017"/>
      <c r="B108017"/>
      <c r="C108017"/>
      <c r="E108017"/>
      <c r="F108017"/>
    </row>
    <row r="108018" spans="1:6" x14ac:dyDescent="0.25">
      <c r="A108018"/>
      <c r="B108018"/>
      <c r="C108018"/>
      <c r="E108018"/>
      <c r="F108018"/>
    </row>
    <row r="108019" spans="1:6" x14ac:dyDescent="0.25">
      <c r="A108019"/>
      <c r="B108019"/>
      <c r="C108019"/>
      <c r="E108019"/>
      <c r="F108019"/>
    </row>
    <row r="108020" spans="1:6" x14ac:dyDescent="0.25">
      <c r="A108020"/>
      <c r="B108020"/>
      <c r="C108020"/>
      <c r="E108020"/>
      <c r="F108020"/>
    </row>
    <row r="108021" spans="1:6" x14ac:dyDescent="0.25">
      <c r="A108021"/>
      <c r="B108021"/>
      <c r="C108021"/>
      <c r="E108021"/>
      <c r="F108021"/>
    </row>
    <row r="108022" spans="1:6" x14ac:dyDescent="0.25">
      <c r="A108022"/>
      <c r="B108022"/>
      <c r="C108022"/>
      <c r="E108022"/>
      <c r="F108022"/>
    </row>
    <row r="108023" spans="1:6" x14ac:dyDescent="0.25">
      <c r="A108023"/>
      <c r="B108023"/>
      <c r="C108023"/>
      <c r="E108023"/>
      <c r="F108023"/>
    </row>
    <row r="108024" spans="1:6" x14ac:dyDescent="0.25">
      <c r="A108024"/>
      <c r="B108024"/>
      <c r="C108024"/>
      <c r="E108024"/>
      <c r="F108024"/>
    </row>
    <row r="108025" spans="1:6" x14ac:dyDescent="0.25">
      <c r="A108025"/>
      <c r="B108025"/>
      <c r="C108025"/>
      <c r="E108025"/>
      <c r="F108025"/>
    </row>
    <row r="108026" spans="1:6" x14ac:dyDescent="0.25">
      <c r="A108026"/>
      <c r="B108026"/>
      <c r="C108026"/>
      <c r="E108026"/>
      <c r="F108026"/>
    </row>
    <row r="108027" spans="1:6" x14ac:dyDescent="0.25">
      <c r="A108027"/>
      <c r="B108027"/>
      <c r="C108027"/>
      <c r="E108027"/>
      <c r="F108027"/>
    </row>
    <row r="108028" spans="1:6" x14ac:dyDescent="0.25">
      <c r="A108028"/>
      <c r="B108028"/>
      <c r="C108028"/>
      <c r="E108028"/>
      <c r="F108028"/>
    </row>
    <row r="108029" spans="1:6" x14ac:dyDescent="0.25">
      <c r="A108029"/>
      <c r="B108029"/>
      <c r="C108029"/>
      <c r="E108029"/>
      <c r="F108029"/>
    </row>
    <row r="108030" spans="1:6" x14ac:dyDescent="0.25">
      <c r="A108030"/>
      <c r="B108030"/>
      <c r="C108030"/>
      <c r="E108030"/>
      <c r="F108030"/>
    </row>
    <row r="108031" spans="1:6" x14ac:dyDescent="0.25">
      <c r="A108031"/>
      <c r="B108031"/>
      <c r="C108031"/>
      <c r="E108031"/>
      <c r="F108031"/>
    </row>
    <row r="108032" spans="1:6" x14ac:dyDescent="0.25">
      <c r="A108032"/>
      <c r="B108032"/>
      <c r="C108032"/>
      <c r="E108032"/>
      <c r="F108032"/>
    </row>
    <row r="108033" spans="1:6" x14ac:dyDescent="0.25">
      <c r="A108033"/>
      <c r="B108033"/>
      <c r="C108033"/>
      <c r="E108033"/>
      <c r="F108033"/>
    </row>
    <row r="108034" spans="1:6" x14ac:dyDescent="0.25">
      <c r="A108034"/>
      <c r="B108034"/>
      <c r="C108034"/>
      <c r="E108034"/>
      <c r="F108034"/>
    </row>
    <row r="108035" spans="1:6" x14ac:dyDescent="0.25">
      <c r="A108035"/>
      <c r="B108035"/>
      <c r="C108035"/>
      <c r="E108035"/>
      <c r="F108035"/>
    </row>
    <row r="108036" spans="1:6" x14ac:dyDescent="0.25">
      <c r="A108036"/>
      <c r="B108036"/>
      <c r="C108036"/>
      <c r="E108036"/>
      <c r="F108036"/>
    </row>
    <row r="108037" spans="1:6" x14ac:dyDescent="0.25">
      <c r="A108037"/>
      <c r="B108037"/>
      <c r="C108037"/>
      <c r="E108037"/>
      <c r="F108037"/>
    </row>
    <row r="108038" spans="1:6" x14ac:dyDescent="0.25">
      <c r="A108038"/>
      <c r="B108038"/>
      <c r="C108038"/>
      <c r="E108038"/>
      <c r="F108038"/>
    </row>
    <row r="108039" spans="1:6" x14ac:dyDescent="0.25">
      <c r="A108039"/>
      <c r="B108039"/>
      <c r="C108039"/>
      <c r="E108039"/>
      <c r="F108039"/>
    </row>
    <row r="108040" spans="1:6" x14ac:dyDescent="0.25">
      <c r="A108040"/>
      <c r="B108040"/>
      <c r="C108040"/>
      <c r="E108040"/>
      <c r="F108040"/>
    </row>
    <row r="108041" spans="1:6" x14ac:dyDescent="0.25">
      <c r="A108041"/>
      <c r="B108041"/>
      <c r="C108041"/>
      <c r="E108041"/>
      <c r="F108041"/>
    </row>
    <row r="108042" spans="1:6" x14ac:dyDescent="0.25">
      <c r="A108042"/>
      <c r="B108042"/>
      <c r="C108042"/>
      <c r="E108042"/>
      <c r="F108042"/>
    </row>
    <row r="108043" spans="1:6" x14ac:dyDescent="0.25">
      <c r="A108043"/>
      <c r="B108043"/>
      <c r="C108043"/>
      <c r="E108043"/>
      <c r="F108043"/>
    </row>
    <row r="108044" spans="1:6" x14ac:dyDescent="0.25">
      <c r="A108044"/>
      <c r="B108044"/>
      <c r="C108044"/>
      <c r="E108044"/>
      <c r="F108044"/>
    </row>
    <row r="108045" spans="1:6" x14ac:dyDescent="0.25">
      <c r="A108045"/>
      <c r="B108045"/>
      <c r="C108045"/>
      <c r="E108045"/>
      <c r="F108045"/>
    </row>
    <row r="108046" spans="1:6" x14ac:dyDescent="0.25">
      <c r="A108046"/>
      <c r="B108046"/>
      <c r="C108046"/>
      <c r="E108046"/>
      <c r="F108046"/>
    </row>
    <row r="108047" spans="1:6" x14ac:dyDescent="0.25">
      <c r="A108047"/>
      <c r="B108047"/>
      <c r="C108047"/>
      <c r="E108047"/>
      <c r="F108047"/>
    </row>
    <row r="108048" spans="1:6" x14ac:dyDescent="0.25">
      <c r="A108048"/>
      <c r="B108048"/>
      <c r="C108048"/>
      <c r="E108048"/>
      <c r="F108048"/>
    </row>
    <row r="108049" spans="1:6" x14ac:dyDescent="0.25">
      <c r="A108049"/>
      <c r="B108049"/>
      <c r="C108049"/>
      <c r="E108049"/>
      <c r="F108049"/>
    </row>
    <row r="108050" spans="1:6" x14ac:dyDescent="0.25">
      <c r="A108050"/>
      <c r="B108050"/>
      <c r="C108050"/>
      <c r="E108050"/>
      <c r="F108050"/>
    </row>
    <row r="108051" spans="1:6" x14ac:dyDescent="0.25">
      <c r="A108051"/>
      <c r="B108051"/>
      <c r="C108051"/>
      <c r="E108051"/>
      <c r="F108051"/>
    </row>
    <row r="108052" spans="1:6" x14ac:dyDescent="0.25">
      <c r="A108052"/>
      <c r="B108052"/>
      <c r="C108052"/>
      <c r="E108052"/>
      <c r="F108052"/>
    </row>
    <row r="108053" spans="1:6" x14ac:dyDescent="0.25">
      <c r="A108053"/>
      <c r="B108053"/>
      <c r="C108053"/>
      <c r="E108053"/>
      <c r="F108053"/>
    </row>
    <row r="108054" spans="1:6" x14ac:dyDescent="0.25">
      <c r="A108054"/>
      <c r="B108054"/>
      <c r="C108054"/>
      <c r="E108054"/>
      <c r="F108054"/>
    </row>
    <row r="108055" spans="1:6" x14ac:dyDescent="0.25">
      <c r="A108055"/>
      <c r="B108055"/>
      <c r="C108055"/>
      <c r="E108055"/>
      <c r="F108055"/>
    </row>
    <row r="108056" spans="1:6" x14ac:dyDescent="0.25">
      <c r="A108056"/>
      <c r="B108056"/>
      <c r="C108056"/>
      <c r="E108056"/>
      <c r="F108056"/>
    </row>
    <row r="108057" spans="1:6" x14ac:dyDescent="0.25">
      <c r="A108057"/>
      <c r="B108057"/>
      <c r="C108057"/>
      <c r="E108057"/>
      <c r="F108057"/>
    </row>
    <row r="108058" spans="1:6" x14ac:dyDescent="0.25">
      <c r="A108058"/>
      <c r="B108058"/>
      <c r="C108058"/>
      <c r="E108058"/>
      <c r="F108058"/>
    </row>
    <row r="108059" spans="1:6" x14ac:dyDescent="0.25">
      <c r="A108059"/>
      <c r="B108059"/>
      <c r="C108059"/>
      <c r="E108059"/>
      <c r="F108059"/>
    </row>
    <row r="108060" spans="1:6" x14ac:dyDescent="0.25">
      <c r="A108060"/>
      <c r="B108060"/>
      <c r="C108060"/>
      <c r="E108060"/>
      <c r="F108060"/>
    </row>
    <row r="108061" spans="1:6" x14ac:dyDescent="0.25">
      <c r="A108061"/>
      <c r="B108061"/>
      <c r="C108061"/>
      <c r="E108061"/>
      <c r="F108061"/>
    </row>
    <row r="108062" spans="1:6" x14ac:dyDescent="0.25">
      <c r="A108062"/>
      <c r="B108062"/>
      <c r="C108062"/>
      <c r="E108062"/>
      <c r="F108062"/>
    </row>
    <row r="108063" spans="1:6" x14ac:dyDescent="0.25">
      <c r="A108063"/>
      <c r="B108063"/>
      <c r="C108063"/>
      <c r="E108063"/>
      <c r="F108063"/>
    </row>
    <row r="108064" spans="1:6" x14ac:dyDescent="0.25">
      <c r="A108064"/>
      <c r="B108064"/>
      <c r="C108064"/>
      <c r="E108064"/>
      <c r="F108064"/>
    </row>
    <row r="108065" spans="1:6" x14ac:dyDescent="0.25">
      <c r="A108065"/>
      <c r="B108065"/>
      <c r="C108065"/>
      <c r="E108065"/>
      <c r="F108065"/>
    </row>
    <row r="108066" spans="1:6" x14ac:dyDescent="0.25">
      <c r="A108066"/>
      <c r="B108066"/>
      <c r="C108066"/>
      <c r="E108066"/>
      <c r="F108066"/>
    </row>
    <row r="108067" spans="1:6" x14ac:dyDescent="0.25">
      <c r="A108067"/>
      <c r="B108067"/>
      <c r="C108067"/>
      <c r="E108067"/>
      <c r="F108067"/>
    </row>
    <row r="108068" spans="1:6" x14ac:dyDescent="0.25">
      <c r="A108068"/>
      <c r="B108068"/>
      <c r="C108068"/>
      <c r="E108068"/>
      <c r="F108068"/>
    </row>
    <row r="108069" spans="1:6" x14ac:dyDescent="0.25">
      <c r="A108069"/>
      <c r="B108069"/>
      <c r="C108069"/>
      <c r="E108069"/>
      <c r="F108069"/>
    </row>
    <row r="108070" spans="1:6" x14ac:dyDescent="0.25">
      <c r="A108070"/>
      <c r="B108070"/>
      <c r="C108070"/>
      <c r="E108070"/>
      <c r="F108070"/>
    </row>
    <row r="108071" spans="1:6" x14ac:dyDescent="0.25">
      <c r="A108071"/>
      <c r="B108071"/>
      <c r="C108071"/>
      <c r="E108071"/>
      <c r="F108071"/>
    </row>
    <row r="108072" spans="1:6" x14ac:dyDescent="0.25">
      <c r="A108072"/>
      <c r="B108072"/>
      <c r="C108072"/>
      <c r="E108072"/>
      <c r="F108072"/>
    </row>
    <row r="108073" spans="1:6" x14ac:dyDescent="0.25">
      <c r="A108073"/>
      <c r="B108073"/>
      <c r="C108073"/>
      <c r="E108073"/>
      <c r="F108073"/>
    </row>
    <row r="108074" spans="1:6" x14ac:dyDescent="0.25">
      <c r="A108074"/>
      <c r="B108074"/>
      <c r="C108074"/>
      <c r="E108074"/>
      <c r="F108074"/>
    </row>
    <row r="108075" spans="1:6" x14ac:dyDescent="0.25">
      <c r="A108075"/>
      <c r="B108075"/>
      <c r="C108075"/>
      <c r="E108075"/>
      <c r="F108075"/>
    </row>
    <row r="108076" spans="1:6" x14ac:dyDescent="0.25">
      <c r="A108076"/>
      <c r="B108076"/>
      <c r="C108076"/>
      <c r="E108076"/>
      <c r="F108076"/>
    </row>
    <row r="108077" spans="1:6" x14ac:dyDescent="0.25">
      <c r="A108077"/>
      <c r="B108077"/>
      <c r="C108077"/>
      <c r="E108077"/>
      <c r="F108077"/>
    </row>
    <row r="108078" spans="1:6" x14ac:dyDescent="0.25">
      <c r="A108078"/>
      <c r="B108078"/>
      <c r="C108078"/>
      <c r="E108078"/>
      <c r="F108078"/>
    </row>
    <row r="108079" spans="1:6" x14ac:dyDescent="0.25">
      <c r="A108079"/>
      <c r="B108079"/>
      <c r="C108079"/>
      <c r="E108079"/>
      <c r="F108079"/>
    </row>
    <row r="108080" spans="1:6" x14ac:dyDescent="0.25">
      <c r="A108080"/>
      <c r="B108080"/>
      <c r="C108080"/>
      <c r="E108080"/>
      <c r="F108080"/>
    </row>
    <row r="108081" spans="1:6" x14ac:dyDescent="0.25">
      <c r="A108081"/>
      <c r="B108081"/>
      <c r="C108081"/>
      <c r="E108081"/>
      <c r="F108081"/>
    </row>
    <row r="108082" spans="1:6" x14ac:dyDescent="0.25">
      <c r="A108082"/>
      <c r="B108082"/>
      <c r="C108082"/>
      <c r="E108082"/>
      <c r="F108082"/>
    </row>
    <row r="108083" spans="1:6" x14ac:dyDescent="0.25">
      <c r="A108083"/>
      <c r="B108083"/>
      <c r="C108083"/>
      <c r="E108083"/>
      <c r="F108083"/>
    </row>
    <row r="108084" spans="1:6" x14ac:dyDescent="0.25">
      <c r="A108084"/>
      <c r="B108084"/>
      <c r="C108084"/>
      <c r="E108084"/>
      <c r="F108084"/>
    </row>
    <row r="108085" spans="1:6" x14ac:dyDescent="0.25">
      <c r="A108085"/>
      <c r="B108085"/>
      <c r="C108085"/>
      <c r="E108085"/>
      <c r="F108085"/>
    </row>
    <row r="108086" spans="1:6" x14ac:dyDescent="0.25">
      <c r="A108086"/>
      <c r="B108086"/>
      <c r="C108086"/>
      <c r="E108086"/>
      <c r="F108086"/>
    </row>
    <row r="108087" spans="1:6" x14ac:dyDescent="0.25">
      <c r="A108087"/>
      <c r="B108087"/>
      <c r="C108087"/>
      <c r="E108087"/>
      <c r="F108087"/>
    </row>
    <row r="108088" spans="1:6" x14ac:dyDescent="0.25">
      <c r="A108088"/>
      <c r="B108088"/>
      <c r="C108088"/>
      <c r="E108088"/>
      <c r="F108088"/>
    </row>
    <row r="108089" spans="1:6" x14ac:dyDescent="0.25">
      <c r="A108089"/>
      <c r="B108089"/>
      <c r="C108089"/>
      <c r="E108089"/>
      <c r="F108089"/>
    </row>
    <row r="108090" spans="1:6" x14ac:dyDescent="0.25">
      <c r="A108090"/>
      <c r="B108090"/>
      <c r="C108090"/>
      <c r="E108090"/>
      <c r="F108090"/>
    </row>
    <row r="108091" spans="1:6" x14ac:dyDescent="0.25">
      <c r="A108091"/>
      <c r="B108091"/>
      <c r="C108091"/>
      <c r="E108091"/>
      <c r="F108091"/>
    </row>
    <row r="108092" spans="1:6" x14ac:dyDescent="0.25">
      <c r="A108092"/>
      <c r="B108092"/>
      <c r="C108092"/>
      <c r="E108092"/>
      <c r="F108092"/>
    </row>
    <row r="108093" spans="1:6" x14ac:dyDescent="0.25">
      <c r="A108093"/>
      <c r="B108093"/>
      <c r="C108093"/>
      <c r="E108093"/>
      <c r="F108093"/>
    </row>
    <row r="108094" spans="1:6" x14ac:dyDescent="0.25">
      <c r="A108094"/>
      <c r="B108094"/>
      <c r="C108094"/>
      <c r="E108094"/>
      <c r="F108094"/>
    </row>
    <row r="108095" spans="1:6" x14ac:dyDescent="0.25">
      <c r="A108095"/>
      <c r="B108095"/>
      <c r="C108095"/>
      <c r="E108095"/>
      <c r="F108095"/>
    </row>
    <row r="108096" spans="1:6" x14ac:dyDescent="0.25">
      <c r="A108096"/>
      <c r="B108096"/>
      <c r="C108096"/>
      <c r="E108096"/>
      <c r="F108096"/>
    </row>
    <row r="108097" spans="1:6" x14ac:dyDescent="0.25">
      <c r="A108097"/>
      <c r="B108097"/>
      <c r="C108097"/>
      <c r="E108097"/>
      <c r="F108097"/>
    </row>
    <row r="108098" spans="1:6" x14ac:dyDescent="0.25">
      <c r="A108098"/>
      <c r="B108098"/>
      <c r="C108098"/>
      <c r="E108098"/>
      <c r="F108098"/>
    </row>
    <row r="108099" spans="1:6" x14ac:dyDescent="0.25">
      <c r="A108099"/>
      <c r="B108099"/>
      <c r="C108099"/>
      <c r="E108099"/>
      <c r="F108099"/>
    </row>
    <row r="108100" spans="1:6" x14ac:dyDescent="0.25">
      <c r="A108100"/>
      <c r="B108100"/>
      <c r="C108100"/>
      <c r="E108100"/>
      <c r="F108100"/>
    </row>
    <row r="108101" spans="1:6" x14ac:dyDescent="0.25">
      <c r="A108101"/>
      <c r="B108101"/>
      <c r="C108101"/>
      <c r="E108101"/>
      <c r="F108101"/>
    </row>
    <row r="108102" spans="1:6" x14ac:dyDescent="0.25">
      <c r="A108102"/>
      <c r="B108102"/>
      <c r="C108102"/>
      <c r="E108102"/>
      <c r="F108102"/>
    </row>
    <row r="108103" spans="1:6" x14ac:dyDescent="0.25">
      <c r="A108103"/>
      <c r="B108103"/>
      <c r="C108103"/>
      <c r="E108103"/>
      <c r="F108103"/>
    </row>
    <row r="108104" spans="1:6" x14ac:dyDescent="0.25">
      <c r="A108104"/>
      <c r="B108104"/>
      <c r="C108104"/>
      <c r="E108104"/>
      <c r="F108104"/>
    </row>
    <row r="108105" spans="1:6" x14ac:dyDescent="0.25">
      <c r="A108105"/>
      <c r="B108105"/>
      <c r="C108105"/>
      <c r="E108105"/>
      <c r="F108105"/>
    </row>
    <row r="108106" spans="1:6" x14ac:dyDescent="0.25">
      <c r="A108106"/>
      <c r="B108106"/>
      <c r="C108106"/>
      <c r="E108106"/>
      <c r="F108106"/>
    </row>
    <row r="108107" spans="1:6" x14ac:dyDescent="0.25">
      <c r="A108107"/>
      <c r="B108107"/>
      <c r="C108107"/>
      <c r="E108107"/>
      <c r="F108107"/>
    </row>
    <row r="108108" spans="1:6" x14ac:dyDescent="0.25">
      <c r="A108108"/>
      <c r="B108108"/>
      <c r="C108108"/>
      <c r="E108108"/>
      <c r="F108108"/>
    </row>
    <row r="108109" spans="1:6" x14ac:dyDescent="0.25">
      <c r="A108109"/>
      <c r="B108109"/>
      <c r="C108109"/>
      <c r="E108109"/>
      <c r="F108109"/>
    </row>
    <row r="108110" spans="1:6" x14ac:dyDescent="0.25">
      <c r="A108110"/>
      <c r="B108110"/>
      <c r="C108110"/>
      <c r="E108110"/>
      <c r="F108110"/>
    </row>
    <row r="108111" spans="1:6" x14ac:dyDescent="0.25">
      <c r="A108111"/>
      <c r="B108111"/>
      <c r="C108111"/>
      <c r="E108111"/>
      <c r="F108111"/>
    </row>
    <row r="108112" spans="1:6" x14ac:dyDescent="0.25">
      <c r="A108112"/>
      <c r="B108112"/>
      <c r="C108112"/>
      <c r="E108112"/>
      <c r="F108112"/>
    </row>
    <row r="108113" spans="1:6" x14ac:dyDescent="0.25">
      <c r="A108113"/>
      <c r="B108113"/>
      <c r="C108113"/>
      <c r="E108113"/>
      <c r="F108113"/>
    </row>
    <row r="108114" spans="1:6" x14ac:dyDescent="0.25">
      <c r="A108114"/>
      <c r="B108114"/>
      <c r="C108114"/>
      <c r="E108114"/>
      <c r="F108114"/>
    </row>
    <row r="108115" spans="1:6" x14ac:dyDescent="0.25">
      <c r="A108115"/>
      <c r="B108115"/>
      <c r="C108115"/>
      <c r="E108115"/>
      <c r="F108115"/>
    </row>
    <row r="108116" spans="1:6" x14ac:dyDescent="0.25">
      <c r="A108116"/>
      <c r="B108116"/>
      <c r="C108116"/>
      <c r="E108116"/>
      <c r="F108116"/>
    </row>
    <row r="108117" spans="1:6" x14ac:dyDescent="0.25">
      <c r="A108117"/>
      <c r="B108117"/>
      <c r="C108117"/>
      <c r="E108117"/>
      <c r="F108117"/>
    </row>
    <row r="108118" spans="1:6" x14ac:dyDescent="0.25">
      <c r="A108118"/>
      <c r="B108118"/>
      <c r="C108118"/>
      <c r="E108118"/>
      <c r="F108118"/>
    </row>
    <row r="108119" spans="1:6" x14ac:dyDescent="0.25">
      <c r="A108119"/>
      <c r="B108119"/>
      <c r="C108119"/>
      <c r="E108119"/>
      <c r="F108119"/>
    </row>
    <row r="108120" spans="1:6" x14ac:dyDescent="0.25">
      <c r="A108120"/>
      <c r="B108120"/>
      <c r="C108120"/>
      <c r="E108120"/>
      <c r="F108120"/>
    </row>
    <row r="108121" spans="1:6" x14ac:dyDescent="0.25">
      <c r="A108121"/>
      <c r="B108121"/>
      <c r="C108121"/>
      <c r="E108121"/>
      <c r="F108121"/>
    </row>
    <row r="108122" spans="1:6" x14ac:dyDescent="0.25">
      <c r="A108122"/>
      <c r="B108122"/>
      <c r="C108122"/>
      <c r="E108122"/>
      <c r="F108122"/>
    </row>
    <row r="108123" spans="1:6" x14ac:dyDescent="0.25">
      <c r="A108123"/>
      <c r="B108123"/>
      <c r="C108123"/>
      <c r="E108123"/>
      <c r="F108123"/>
    </row>
    <row r="108124" spans="1:6" x14ac:dyDescent="0.25">
      <c r="A108124"/>
      <c r="B108124"/>
      <c r="C108124"/>
      <c r="E108124"/>
      <c r="F108124"/>
    </row>
    <row r="108125" spans="1:6" x14ac:dyDescent="0.25">
      <c r="A108125"/>
      <c r="B108125"/>
      <c r="C108125"/>
      <c r="E108125"/>
      <c r="F108125"/>
    </row>
    <row r="108126" spans="1:6" x14ac:dyDescent="0.25">
      <c r="A108126"/>
      <c r="B108126"/>
      <c r="C108126"/>
      <c r="E108126"/>
      <c r="F108126"/>
    </row>
    <row r="108127" spans="1:6" x14ac:dyDescent="0.25">
      <c r="A108127"/>
      <c r="B108127"/>
      <c r="C108127"/>
      <c r="E108127"/>
      <c r="F108127"/>
    </row>
    <row r="108128" spans="1:6" x14ac:dyDescent="0.25">
      <c r="A108128"/>
      <c r="B108128"/>
      <c r="C108128"/>
      <c r="E108128"/>
      <c r="F108128"/>
    </row>
    <row r="108129" spans="1:6" x14ac:dyDescent="0.25">
      <c r="A108129"/>
      <c r="B108129"/>
      <c r="C108129"/>
      <c r="E108129"/>
      <c r="F108129"/>
    </row>
    <row r="108130" spans="1:6" x14ac:dyDescent="0.25">
      <c r="A108130"/>
      <c r="B108130"/>
      <c r="C108130"/>
      <c r="E108130"/>
      <c r="F108130"/>
    </row>
    <row r="108131" spans="1:6" x14ac:dyDescent="0.25">
      <c r="A108131"/>
      <c r="B108131"/>
      <c r="C108131"/>
      <c r="E108131"/>
      <c r="F108131"/>
    </row>
    <row r="108132" spans="1:6" x14ac:dyDescent="0.25">
      <c r="A108132"/>
      <c r="B108132"/>
      <c r="C108132"/>
      <c r="E108132"/>
      <c r="F108132"/>
    </row>
    <row r="108133" spans="1:6" x14ac:dyDescent="0.25">
      <c r="A108133"/>
      <c r="B108133"/>
      <c r="C108133"/>
      <c r="E108133"/>
      <c r="F108133"/>
    </row>
    <row r="108134" spans="1:6" x14ac:dyDescent="0.25">
      <c r="A108134"/>
      <c r="B108134"/>
      <c r="C108134"/>
      <c r="E108134"/>
      <c r="F108134"/>
    </row>
    <row r="108135" spans="1:6" x14ac:dyDescent="0.25">
      <c r="A108135"/>
      <c r="B108135"/>
      <c r="C108135"/>
      <c r="E108135"/>
      <c r="F108135"/>
    </row>
    <row r="108136" spans="1:6" x14ac:dyDescent="0.25">
      <c r="A108136"/>
      <c r="B108136"/>
      <c r="C108136"/>
      <c r="E108136"/>
      <c r="F108136"/>
    </row>
    <row r="108137" spans="1:6" x14ac:dyDescent="0.25">
      <c r="A108137"/>
      <c r="B108137"/>
      <c r="C108137"/>
      <c r="E108137"/>
      <c r="F108137"/>
    </row>
    <row r="108138" spans="1:6" x14ac:dyDescent="0.25">
      <c r="A108138"/>
      <c r="B108138"/>
      <c r="C108138"/>
      <c r="E108138"/>
      <c r="F108138"/>
    </row>
    <row r="108139" spans="1:6" x14ac:dyDescent="0.25">
      <c r="A108139"/>
      <c r="B108139"/>
      <c r="C108139"/>
      <c r="E108139"/>
      <c r="F108139"/>
    </row>
    <row r="108140" spans="1:6" x14ac:dyDescent="0.25">
      <c r="A108140"/>
      <c r="B108140"/>
      <c r="C108140"/>
      <c r="E108140"/>
      <c r="F108140"/>
    </row>
    <row r="108141" spans="1:6" x14ac:dyDescent="0.25">
      <c r="A108141"/>
      <c r="B108141"/>
      <c r="C108141"/>
      <c r="E108141"/>
      <c r="F108141"/>
    </row>
    <row r="108142" spans="1:6" x14ac:dyDescent="0.25">
      <c r="A108142"/>
      <c r="B108142"/>
      <c r="C108142"/>
      <c r="E108142"/>
      <c r="F108142"/>
    </row>
    <row r="108143" spans="1:6" x14ac:dyDescent="0.25">
      <c r="A108143"/>
      <c r="B108143"/>
      <c r="C108143"/>
      <c r="E108143"/>
      <c r="F108143"/>
    </row>
    <row r="108144" spans="1:6" x14ac:dyDescent="0.25">
      <c r="A108144"/>
      <c r="B108144"/>
      <c r="C108144"/>
      <c r="E108144"/>
      <c r="F108144"/>
    </row>
    <row r="108145" spans="1:6" x14ac:dyDescent="0.25">
      <c r="A108145"/>
      <c r="B108145"/>
      <c r="C108145"/>
      <c r="E108145"/>
      <c r="F108145"/>
    </row>
    <row r="108146" spans="1:6" x14ac:dyDescent="0.25">
      <c r="A108146"/>
      <c r="B108146"/>
      <c r="C108146"/>
      <c r="E108146"/>
      <c r="F108146"/>
    </row>
    <row r="108147" spans="1:6" x14ac:dyDescent="0.25">
      <c r="A108147"/>
      <c r="B108147"/>
      <c r="C108147"/>
      <c r="E108147"/>
      <c r="F108147"/>
    </row>
    <row r="108148" spans="1:6" x14ac:dyDescent="0.25">
      <c r="A108148"/>
      <c r="B108148"/>
      <c r="C108148"/>
      <c r="E108148"/>
      <c r="F108148"/>
    </row>
    <row r="108149" spans="1:6" x14ac:dyDescent="0.25">
      <c r="A108149"/>
      <c r="B108149"/>
      <c r="C108149"/>
      <c r="E108149"/>
      <c r="F108149"/>
    </row>
    <row r="108150" spans="1:6" x14ac:dyDescent="0.25">
      <c r="A108150"/>
      <c r="B108150"/>
      <c r="C108150"/>
      <c r="E108150"/>
      <c r="F108150"/>
    </row>
    <row r="108151" spans="1:6" x14ac:dyDescent="0.25">
      <c r="A108151"/>
      <c r="B108151"/>
      <c r="C108151"/>
      <c r="E108151"/>
      <c r="F108151"/>
    </row>
    <row r="108152" spans="1:6" x14ac:dyDescent="0.25">
      <c r="A108152"/>
      <c r="B108152"/>
      <c r="C108152"/>
      <c r="E108152"/>
      <c r="F108152"/>
    </row>
    <row r="108153" spans="1:6" x14ac:dyDescent="0.25">
      <c r="A108153"/>
      <c r="B108153"/>
      <c r="C108153"/>
      <c r="E108153"/>
      <c r="F108153"/>
    </row>
    <row r="108154" spans="1:6" x14ac:dyDescent="0.25">
      <c r="A108154"/>
      <c r="B108154"/>
      <c r="C108154"/>
      <c r="E108154"/>
      <c r="F108154"/>
    </row>
    <row r="108155" spans="1:6" x14ac:dyDescent="0.25">
      <c r="A108155"/>
      <c r="B108155"/>
      <c r="C108155"/>
      <c r="E108155"/>
      <c r="F108155"/>
    </row>
    <row r="108156" spans="1:6" x14ac:dyDescent="0.25">
      <c r="A108156"/>
      <c r="B108156"/>
      <c r="C108156"/>
      <c r="E108156"/>
      <c r="F108156"/>
    </row>
    <row r="108157" spans="1:6" x14ac:dyDescent="0.25">
      <c r="A108157"/>
      <c r="B108157"/>
      <c r="C108157"/>
      <c r="E108157"/>
      <c r="F108157"/>
    </row>
    <row r="108158" spans="1:6" x14ac:dyDescent="0.25">
      <c r="A108158"/>
      <c r="B108158"/>
      <c r="C108158"/>
      <c r="E108158"/>
      <c r="F108158"/>
    </row>
    <row r="108159" spans="1:6" x14ac:dyDescent="0.25">
      <c r="A108159"/>
      <c r="B108159"/>
      <c r="C108159"/>
      <c r="E108159"/>
      <c r="F108159"/>
    </row>
    <row r="108160" spans="1:6" x14ac:dyDescent="0.25">
      <c r="A108160"/>
      <c r="B108160"/>
      <c r="C108160"/>
      <c r="E108160"/>
      <c r="F108160"/>
    </row>
    <row r="108161" spans="1:6" x14ac:dyDescent="0.25">
      <c r="A108161"/>
      <c r="B108161"/>
      <c r="C108161"/>
      <c r="E108161"/>
      <c r="F108161"/>
    </row>
    <row r="108162" spans="1:6" x14ac:dyDescent="0.25">
      <c r="A108162"/>
      <c r="B108162"/>
      <c r="C108162"/>
      <c r="E108162"/>
      <c r="F108162"/>
    </row>
    <row r="108163" spans="1:6" x14ac:dyDescent="0.25">
      <c r="A108163"/>
      <c r="B108163"/>
      <c r="C108163"/>
      <c r="E108163"/>
      <c r="F108163"/>
    </row>
    <row r="108164" spans="1:6" x14ac:dyDescent="0.25">
      <c r="A108164"/>
      <c r="B108164"/>
      <c r="C108164"/>
      <c r="E108164"/>
      <c r="F108164"/>
    </row>
    <row r="108165" spans="1:6" x14ac:dyDescent="0.25">
      <c r="A108165"/>
      <c r="B108165"/>
      <c r="C108165"/>
      <c r="E108165"/>
      <c r="F108165"/>
    </row>
    <row r="108166" spans="1:6" x14ac:dyDescent="0.25">
      <c r="A108166"/>
      <c r="B108166"/>
      <c r="C108166"/>
      <c r="E108166"/>
      <c r="F108166"/>
    </row>
    <row r="108167" spans="1:6" x14ac:dyDescent="0.25">
      <c r="A108167"/>
      <c r="B108167"/>
      <c r="C108167"/>
      <c r="E108167"/>
      <c r="F108167"/>
    </row>
    <row r="108168" spans="1:6" x14ac:dyDescent="0.25">
      <c r="A108168"/>
      <c r="B108168"/>
      <c r="C108168"/>
      <c r="E108168"/>
      <c r="F108168"/>
    </row>
    <row r="108169" spans="1:6" x14ac:dyDescent="0.25">
      <c r="A108169"/>
      <c r="B108169"/>
      <c r="C108169"/>
      <c r="E108169"/>
      <c r="F108169"/>
    </row>
    <row r="108170" spans="1:6" x14ac:dyDescent="0.25">
      <c r="A108170"/>
      <c r="B108170"/>
      <c r="C108170"/>
      <c r="E108170"/>
      <c r="F108170"/>
    </row>
    <row r="108171" spans="1:6" x14ac:dyDescent="0.25">
      <c r="A108171"/>
      <c r="B108171"/>
      <c r="C108171"/>
      <c r="E108171"/>
      <c r="F108171"/>
    </row>
    <row r="108172" spans="1:6" x14ac:dyDescent="0.25">
      <c r="A108172"/>
      <c r="B108172"/>
      <c r="C108172"/>
      <c r="E108172"/>
      <c r="F108172"/>
    </row>
    <row r="108173" spans="1:6" x14ac:dyDescent="0.25">
      <c r="A108173"/>
      <c r="B108173"/>
      <c r="C108173"/>
      <c r="E108173"/>
      <c r="F108173"/>
    </row>
    <row r="108174" spans="1:6" x14ac:dyDescent="0.25">
      <c r="A108174"/>
      <c r="B108174"/>
      <c r="C108174"/>
      <c r="E108174"/>
      <c r="F108174"/>
    </row>
    <row r="108175" spans="1:6" x14ac:dyDescent="0.25">
      <c r="A108175"/>
      <c r="B108175"/>
      <c r="C108175"/>
      <c r="E108175"/>
      <c r="F108175"/>
    </row>
    <row r="108176" spans="1:6" x14ac:dyDescent="0.25">
      <c r="A108176"/>
      <c r="B108176"/>
      <c r="C108176"/>
      <c r="E108176"/>
      <c r="F108176"/>
    </row>
    <row r="108177" spans="1:6" x14ac:dyDescent="0.25">
      <c r="A108177"/>
      <c r="B108177"/>
      <c r="C108177"/>
      <c r="E108177"/>
      <c r="F108177"/>
    </row>
    <row r="108178" spans="1:6" x14ac:dyDescent="0.25">
      <c r="A108178"/>
      <c r="B108178"/>
      <c r="C108178"/>
      <c r="E108178"/>
      <c r="F108178"/>
    </row>
    <row r="108179" spans="1:6" x14ac:dyDescent="0.25">
      <c r="A108179"/>
      <c r="B108179"/>
      <c r="C108179"/>
      <c r="E108179"/>
      <c r="F108179"/>
    </row>
    <row r="108180" spans="1:6" x14ac:dyDescent="0.25">
      <c r="A108180"/>
      <c r="B108180"/>
      <c r="C108180"/>
      <c r="E108180"/>
      <c r="F108180"/>
    </row>
    <row r="108181" spans="1:6" x14ac:dyDescent="0.25">
      <c r="A108181"/>
      <c r="B108181"/>
      <c r="C108181"/>
      <c r="E108181"/>
      <c r="F108181"/>
    </row>
    <row r="108182" spans="1:6" x14ac:dyDescent="0.25">
      <c r="A108182"/>
      <c r="B108182"/>
      <c r="C108182"/>
      <c r="E108182"/>
      <c r="F108182"/>
    </row>
    <row r="108183" spans="1:6" x14ac:dyDescent="0.25">
      <c r="A108183"/>
      <c r="B108183"/>
      <c r="C108183"/>
      <c r="E108183"/>
      <c r="F108183"/>
    </row>
    <row r="108184" spans="1:6" x14ac:dyDescent="0.25">
      <c r="A108184"/>
      <c r="B108184"/>
      <c r="C108184"/>
      <c r="E108184"/>
      <c r="F108184"/>
    </row>
    <row r="108185" spans="1:6" x14ac:dyDescent="0.25">
      <c r="A108185"/>
      <c r="B108185"/>
      <c r="C108185"/>
      <c r="E108185"/>
      <c r="F108185"/>
    </row>
    <row r="108186" spans="1:6" x14ac:dyDescent="0.25">
      <c r="A108186"/>
      <c r="B108186"/>
      <c r="C108186"/>
      <c r="E108186"/>
      <c r="F108186"/>
    </row>
    <row r="108187" spans="1:6" x14ac:dyDescent="0.25">
      <c r="A108187"/>
      <c r="B108187"/>
      <c r="C108187"/>
      <c r="E108187"/>
      <c r="F108187"/>
    </row>
    <row r="108188" spans="1:6" x14ac:dyDescent="0.25">
      <c r="A108188"/>
      <c r="B108188"/>
      <c r="C108188"/>
      <c r="E108188"/>
      <c r="F108188"/>
    </row>
    <row r="108189" spans="1:6" x14ac:dyDescent="0.25">
      <c r="A108189"/>
      <c r="B108189"/>
      <c r="C108189"/>
      <c r="E108189"/>
      <c r="F108189"/>
    </row>
    <row r="108190" spans="1:6" x14ac:dyDescent="0.25">
      <c r="A108190"/>
      <c r="B108190"/>
      <c r="C108190"/>
      <c r="E108190"/>
      <c r="F108190"/>
    </row>
    <row r="108191" spans="1:6" x14ac:dyDescent="0.25">
      <c r="A108191"/>
      <c r="B108191"/>
      <c r="C108191"/>
      <c r="E108191"/>
      <c r="F108191"/>
    </row>
    <row r="108192" spans="1:6" x14ac:dyDescent="0.25">
      <c r="A108192"/>
      <c r="B108192"/>
      <c r="C108192"/>
      <c r="E108192"/>
      <c r="F108192"/>
    </row>
    <row r="108193" spans="1:6" x14ac:dyDescent="0.25">
      <c r="A108193"/>
      <c r="B108193"/>
      <c r="C108193"/>
      <c r="E108193"/>
      <c r="F108193"/>
    </row>
    <row r="108194" spans="1:6" x14ac:dyDescent="0.25">
      <c r="A108194"/>
      <c r="B108194"/>
      <c r="C108194"/>
      <c r="E108194"/>
      <c r="F108194"/>
    </row>
    <row r="108195" spans="1:6" x14ac:dyDescent="0.25">
      <c r="A108195"/>
      <c r="B108195"/>
      <c r="C108195"/>
      <c r="E108195"/>
      <c r="F108195"/>
    </row>
    <row r="108196" spans="1:6" x14ac:dyDescent="0.25">
      <c r="A108196"/>
      <c r="B108196"/>
      <c r="C108196"/>
      <c r="E108196"/>
      <c r="F108196"/>
    </row>
    <row r="108197" spans="1:6" x14ac:dyDescent="0.25">
      <c r="A108197"/>
      <c r="B108197"/>
      <c r="C108197"/>
      <c r="E108197"/>
      <c r="F108197"/>
    </row>
    <row r="108198" spans="1:6" x14ac:dyDescent="0.25">
      <c r="A108198"/>
      <c r="B108198"/>
      <c r="C108198"/>
      <c r="E108198"/>
      <c r="F108198"/>
    </row>
    <row r="108199" spans="1:6" x14ac:dyDescent="0.25">
      <c r="A108199"/>
      <c r="B108199"/>
      <c r="C108199"/>
      <c r="E108199"/>
      <c r="F108199"/>
    </row>
    <row r="108200" spans="1:6" x14ac:dyDescent="0.25">
      <c r="A108200"/>
      <c r="B108200"/>
      <c r="C108200"/>
      <c r="E108200"/>
      <c r="F108200"/>
    </row>
    <row r="108201" spans="1:6" x14ac:dyDescent="0.25">
      <c r="A108201"/>
      <c r="B108201"/>
      <c r="C108201"/>
      <c r="E108201"/>
      <c r="F108201"/>
    </row>
    <row r="108202" spans="1:6" x14ac:dyDescent="0.25">
      <c r="A108202"/>
      <c r="B108202"/>
      <c r="C108202"/>
      <c r="E108202"/>
      <c r="F108202"/>
    </row>
    <row r="108203" spans="1:6" x14ac:dyDescent="0.25">
      <c r="A108203"/>
      <c r="B108203"/>
      <c r="C108203"/>
      <c r="E108203"/>
      <c r="F108203"/>
    </row>
    <row r="108204" spans="1:6" x14ac:dyDescent="0.25">
      <c r="A108204"/>
      <c r="B108204"/>
      <c r="C108204"/>
      <c r="E108204"/>
      <c r="F108204"/>
    </row>
    <row r="108205" spans="1:6" x14ac:dyDescent="0.25">
      <c r="A108205"/>
      <c r="B108205"/>
      <c r="C108205"/>
      <c r="E108205"/>
      <c r="F108205"/>
    </row>
    <row r="108206" spans="1:6" x14ac:dyDescent="0.25">
      <c r="A108206"/>
      <c r="B108206"/>
      <c r="C108206"/>
      <c r="E108206"/>
      <c r="F108206"/>
    </row>
    <row r="108207" spans="1:6" x14ac:dyDescent="0.25">
      <c r="A108207"/>
      <c r="B108207"/>
      <c r="C108207"/>
      <c r="E108207"/>
      <c r="F108207"/>
    </row>
    <row r="108208" spans="1:6" x14ac:dyDescent="0.25">
      <c r="A108208"/>
      <c r="B108208"/>
      <c r="C108208"/>
      <c r="E108208"/>
      <c r="F108208"/>
    </row>
    <row r="108209" spans="1:6" x14ac:dyDescent="0.25">
      <c r="A108209"/>
      <c r="B108209"/>
      <c r="C108209"/>
      <c r="E108209"/>
      <c r="F108209"/>
    </row>
    <row r="108210" spans="1:6" x14ac:dyDescent="0.25">
      <c r="A108210"/>
      <c r="B108210"/>
      <c r="C108210"/>
      <c r="E108210"/>
      <c r="F108210"/>
    </row>
    <row r="108211" spans="1:6" x14ac:dyDescent="0.25">
      <c r="A108211"/>
      <c r="B108211"/>
      <c r="C108211"/>
      <c r="E108211"/>
      <c r="F108211"/>
    </row>
    <row r="108212" spans="1:6" x14ac:dyDescent="0.25">
      <c r="A108212"/>
      <c r="B108212"/>
      <c r="C108212"/>
      <c r="E108212"/>
      <c r="F108212"/>
    </row>
    <row r="108213" spans="1:6" x14ac:dyDescent="0.25">
      <c r="A108213"/>
      <c r="B108213"/>
      <c r="C108213"/>
      <c r="E108213"/>
      <c r="F108213"/>
    </row>
    <row r="108214" spans="1:6" x14ac:dyDescent="0.25">
      <c r="A108214"/>
      <c r="B108214"/>
      <c r="C108214"/>
      <c r="E108214"/>
      <c r="F108214"/>
    </row>
    <row r="108215" spans="1:6" x14ac:dyDescent="0.25">
      <c r="A108215"/>
      <c r="B108215"/>
      <c r="C108215"/>
      <c r="E108215"/>
      <c r="F108215"/>
    </row>
    <row r="108216" spans="1:6" x14ac:dyDescent="0.25">
      <c r="A108216"/>
      <c r="B108216"/>
      <c r="C108216"/>
      <c r="E108216"/>
      <c r="F108216"/>
    </row>
    <row r="108217" spans="1:6" x14ac:dyDescent="0.25">
      <c r="A108217"/>
      <c r="B108217"/>
      <c r="C108217"/>
      <c r="E108217"/>
      <c r="F108217"/>
    </row>
    <row r="108218" spans="1:6" x14ac:dyDescent="0.25">
      <c r="A108218"/>
      <c r="B108218"/>
      <c r="C108218"/>
      <c r="E108218"/>
      <c r="F108218"/>
    </row>
    <row r="108219" spans="1:6" x14ac:dyDescent="0.25">
      <c r="A108219"/>
      <c r="B108219"/>
      <c r="C108219"/>
      <c r="E108219"/>
      <c r="F108219"/>
    </row>
    <row r="108220" spans="1:6" x14ac:dyDescent="0.25">
      <c r="A108220"/>
      <c r="B108220"/>
      <c r="C108220"/>
      <c r="E108220"/>
      <c r="F108220"/>
    </row>
    <row r="108221" spans="1:6" x14ac:dyDescent="0.25">
      <c r="A108221"/>
      <c r="B108221"/>
      <c r="C108221"/>
      <c r="E108221"/>
      <c r="F108221"/>
    </row>
    <row r="108222" spans="1:6" x14ac:dyDescent="0.25">
      <c r="A108222"/>
      <c r="B108222"/>
      <c r="C108222"/>
      <c r="E108222"/>
      <c r="F108222"/>
    </row>
    <row r="108223" spans="1:6" x14ac:dyDescent="0.25">
      <c r="A108223"/>
      <c r="B108223"/>
      <c r="C108223"/>
      <c r="E108223"/>
      <c r="F108223"/>
    </row>
    <row r="108224" spans="1:6" x14ac:dyDescent="0.25">
      <c r="A108224"/>
      <c r="B108224"/>
      <c r="C108224"/>
      <c r="E108224"/>
      <c r="F108224"/>
    </row>
    <row r="108225" spans="1:6" x14ac:dyDescent="0.25">
      <c r="A108225"/>
      <c r="B108225"/>
      <c r="C108225"/>
      <c r="E108225"/>
      <c r="F108225"/>
    </row>
    <row r="108226" spans="1:6" x14ac:dyDescent="0.25">
      <c r="A108226"/>
      <c r="B108226"/>
      <c r="C108226"/>
      <c r="E108226"/>
      <c r="F108226"/>
    </row>
    <row r="108227" spans="1:6" x14ac:dyDescent="0.25">
      <c r="A108227"/>
      <c r="B108227"/>
      <c r="C108227"/>
      <c r="E108227"/>
      <c r="F108227"/>
    </row>
    <row r="108228" spans="1:6" x14ac:dyDescent="0.25">
      <c r="A108228"/>
      <c r="B108228"/>
      <c r="C108228"/>
      <c r="E108228"/>
      <c r="F108228"/>
    </row>
    <row r="108229" spans="1:6" x14ac:dyDescent="0.25">
      <c r="A108229"/>
      <c r="B108229"/>
      <c r="C108229"/>
      <c r="E108229"/>
      <c r="F108229"/>
    </row>
    <row r="108230" spans="1:6" x14ac:dyDescent="0.25">
      <c r="A108230"/>
      <c r="B108230"/>
      <c r="C108230"/>
      <c r="E108230"/>
      <c r="F108230"/>
    </row>
    <row r="108231" spans="1:6" x14ac:dyDescent="0.25">
      <c r="A108231"/>
      <c r="B108231"/>
      <c r="C108231"/>
      <c r="E108231"/>
      <c r="F108231"/>
    </row>
    <row r="108232" spans="1:6" x14ac:dyDescent="0.25">
      <c r="A108232"/>
      <c r="B108232"/>
      <c r="C108232"/>
      <c r="E108232"/>
      <c r="F108232"/>
    </row>
    <row r="108233" spans="1:6" x14ac:dyDescent="0.25">
      <c r="A108233"/>
      <c r="B108233"/>
      <c r="C108233"/>
      <c r="E108233"/>
      <c r="F108233"/>
    </row>
    <row r="108234" spans="1:6" x14ac:dyDescent="0.25">
      <c r="A108234"/>
      <c r="B108234"/>
      <c r="C108234"/>
      <c r="E108234"/>
      <c r="F108234"/>
    </row>
    <row r="108235" spans="1:6" x14ac:dyDescent="0.25">
      <c r="A108235"/>
      <c r="B108235"/>
      <c r="C108235"/>
      <c r="E108235"/>
      <c r="F108235"/>
    </row>
    <row r="108236" spans="1:6" x14ac:dyDescent="0.25">
      <c r="A108236"/>
      <c r="B108236"/>
      <c r="C108236"/>
      <c r="E108236"/>
      <c r="F108236"/>
    </row>
    <row r="108237" spans="1:6" x14ac:dyDescent="0.25">
      <c r="A108237"/>
      <c r="B108237"/>
      <c r="C108237"/>
      <c r="E108237"/>
      <c r="F108237"/>
    </row>
    <row r="108238" spans="1:6" x14ac:dyDescent="0.25">
      <c r="A108238"/>
      <c r="B108238"/>
      <c r="C108238"/>
      <c r="E108238"/>
      <c r="F108238"/>
    </row>
    <row r="108239" spans="1:6" x14ac:dyDescent="0.25">
      <c r="A108239"/>
      <c r="B108239"/>
      <c r="C108239"/>
      <c r="E108239"/>
      <c r="F108239"/>
    </row>
    <row r="108240" spans="1:6" x14ac:dyDescent="0.25">
      <c r="A108240"/>
      <c r="B108240"/>
      <c r="C108240"/>
      <c r="E108240"/>
      <c r="F108240"/>
    </row>
    <row r="108241" spans="1:6" x14ac:dyDescent="0.25">
      <c r="A108241"/>
      <c r="B108241"/>
      <c r="C108241"/>
      <c r="E108241"/>
      <c r="F108241"/>
    </row>
    <row r="108242" spans="1:6" x14ac:dyDescent="0.25">
      <c r="A108242"/>
      <c r="B108242"/>
      <c r="C108242"/>
      <c r="E108242"/>
      <c r="F108242"/>
    </row>
    <row r="108243" spans="1:6" x14ac:dyDescent="0.25">
      <c r="A108243"/>
      <c r="B108243"/>
      <c r="C108243"/>
      <c r="E108243"/>
      <c r="F108243"/>
    </row>
    <row r="108244" spans="1:6" x14ac:dyDescent="0.25">
      <c r="A108244"/>
      <c r="B108244"/>
      <c r="C108244"/>
      <c r="E108244"/>
      <c r="F108244"/>
    </row>
    <row r="108245" spans="1:6" x14ac:dyDescent="0.25">
      <c r="A108245"/>
      <c r="B108245"/>
      <c r="C108245"/>
      <c r="E108245"/>
      <c r="F108245"/>
    </row>
    <row r="108246" spans="1:6" x14ac:dyDescent="0.25">
      <c r="A108246"/>
      <c r="B108246"/>
      <c r="C108246"/>
      <c r="E108246"/>
      <c r="F108246"/>
    </row>
    <row r="108247" spans="1:6" x14ac:dyDescent="0.25">
      <c r="A108247"/>
      <c r="B108247"/>
      <c r="C108247"/>
      <c r="E108247"/>
      <c r="F108247"/>
    </row>
    <row r="108248" spans="1:6" x14ac:dyDescent="0.25">
      <c r="A108248"/>
      <c r="B108248"/>
      <c r="C108248"/>
      <c r="E108248"/>
      <c r="F108248"/>
    </row>
    <row r="108249" spans="1:6" x14ac:dyDescent="0.25">
      <c r="A108249"/>
      <c r="B108249"/>
      <c r="C108249"/>
      <c r="E108249"/>
      <c r="F108249"/>
    </row>
    <row r="108250" spans="1:6" x14ac:dyDescent="0.25">
      <c r="A108250"/>
      <c r="B108250"/>
      <c r="C108250"/>
      <c r="E108250"/>
      <c r="F108250"/>
    </row>
    <row r="108251" spans="1:6" x14ac:dyDescent="0.25">
      <c r="A108251"/>
      <c r="B108251"/>
      <c r="C108251"/>
      <c r="E108251"/>
      <c r="F108251"/>
    </row>
    <row r="108252" spans="1:6" x14ac:dyDescent="0.25">
      <c r="A108252"/>
      <c r="B108252"/>
      <c r="C108252"/>
      <c r="E108252"/>
      <c r="F108252"/>
    </row>
    <row r="108253" spans="1:6" x14ac:dyDescent="0.25">
      <c r="A108253"/>
      <c r="B108253"/>
      <c r="C108253"/>
      <c r="E108253"/>
      <c r="F108253"/>
    </row>
    <row r="108254" spans="1:6" x14ac:dyDescent="0.25">
      <c r="A108254"/>
      <c r="B108254"/>
      <c r="C108254"/>
      <c r="E108254"/>
      <c r="F108254"/>
    </row>
    <row r="108255" spans="1:6" x14ac:dyDescent="0.25">
      <c r="A108255"/>
      <c r="B108255"/>
      <c r="C108255"/>
      <c r="E108255"/>
      <c r="F108255"/>
    </row>
    <row r="108256" spans="1:6" x14ac:dyDescent="0.25">
      <c r="A108256"/>
      <c r="B108256"/>
      <c r="C108256"/>
      <c r="E108256"/>
      <c r="F108256"/>
    </row>
    <row r="108257" spans="1:6" x14ac:dyDescent="0.25">
      <c r="A108257"/>
      <c r="B108257"/>
      <c r="C108257"/>
      <c r="E108257"/>
      <c r="F108257"/>
    </row>
    <row r="108258" spans="1:6" x14ac:dyDescent="0.25">
      <c r="A108258"/>
      <c r="B108258"/>
      <c r="C108258"/>
      <c r="E108258"/>
      <c r="F108258"/>
    </row>
    <row r="108259" spans="1:6" x14ac:dyDescent="0.25">
      <c r="A108259"/>
      <c r="B108259"/>
      <c r="C108259"/>
      <c r="E108259"/>
      <c r="F108259"/>
    </row>
    <row r="108260" spans="1:6" x14ac:dyDescent="0.25">
      <c r="A108260"/>
      <c r="B108260"/>
      <c r="C108260"/>
      <c r="E108260"/>
      <c r="F108260"/>
    </row>
    <row r="108261" spans="1:6" x14ac:dyDescent="0.25">
      <c r="A108261"/>
      <c r="B108261"/>
      <c r="C108261"/>
      <c r="E108261"/>
      <c r="F108261"/>
    </row>
    <row r="108262" spans="1:6" x14ac:dyDescent="0.25">
      <c r="A108262"/>
      <c r="B108262"/>
      <c r="C108262"/>
      <c r="E108262"/>
      <c r="F108262"/>
    </row>
    <row r="108263" spans="1:6" x14ac:dyDescent="0.25">
      <c r="A108263"/>
      <c r="B108263"/>
      <c r="C108263"/>
      <c r="E108263"/>
      <c r="F108263"/>
    </row>
    <row r="108264" spans="1:6" x14ac:dyDescent="0.25">
      <c r="A108264"/>
      <c r="B108264"/>
      <c r="C108264"/>
      <c r="E108264"/>
      <c r="F108264"/>
    </row>
    <row r="108265" spans="1:6" x14ac:dyDescent="0.25">
      <c r="A108265"/>
      <c r="B108265"/>
      <c r="C108265"/>
      <c r="E108265"/>
      <c r="F108265"/>
    </row>
    <row r="108266" spans="1:6" x14ac:dyDescent="0.25">
      <c r="A108266"/>
      <c r="B108266"/>
      <c r="C108266"/>
      <c r="E108266"/>
      <c r="F108266"/>
    </row>
    <row r="108267" spans="1:6" x14ac:dyDescent="0.25">
      <c r="A108267"/>
      <c r="B108267"/>
      <c r="C108267"/>
      <c r="E108267"/>
      <c r="F108267"/>
    </row>
    <row r="108268" spans="1:6" x14ac:dyDescent="0.25">
      <c r="A108268"/>
      <c r="B108268"/>
      <c r="C108268"/>
      <c r="E108268"/>
      <c r="F108268"/>
    </row>
    <row r="108269" spans="1:6" x14ac:dyDescent="0.25">
      <c r="A108269"/>
      <c r="B108269"/>
      <c r="C108269"/>
      <c r="E108269"/>
      <c r="F108269"/>
    </row>
    <row r="108270" spans="1:6" x14ac:dyDescent="0.25">
      <c r="A108270"/>
      <c r="B108270"/>
      <c r="C108270"/>
      <c r="E108270"/>
      <c r="F108270"/>
    </row>
    <row r="108271" spans="1:6" x14ac:dyDescent="0.25">
      <c r="A108271"/>
      <c r="B108271"/>
      <c r="C108271"/>
      <c r="E108271"/>
      <c r="F108271"/>
    </row>
    <row r="108272" spans="1:6" x14ac:dyDescent="0.25">
      <c r="A108272"/>
      <c r="B108272"/>
      <c r="C108272"/>
      <c r="E108272"/>
      <c r="F108272"/>
    </row>
    <row r="108273" spans="1:6" x14ac:dyDescent="0.25">
      <c r="A108273"/>
      <c r="B108273"/>
      <c r="C108273"/>
      <c r="E108273"/>
      <c r="F108273"/>
    </row>
    <row r="108274" spans="1:6" x14ac:dyDescent="0.25">
      <c r="A108274"/>
      <c r="B108274"/>
      <c r="C108274"/>
      <c r="E108274"/>
      <c r="F108274"/>
    </row>
    <row r="108275" spans="1:6" x14ac:dyDescent="0.25">
      <c r="A108275"/>
      <c r="B108275"/>
      <c r="C108275"/>
      <c r="E108275"/>
      <c r="F108275"/>
    </row>
    <row r="108276" spans="1:6" x14ac:dyDescent="0.25">
      <c r="A108276"/>
      <c r="B108276"/>
      <c r="C108276"/>
      <c r="E108276"/>
      <c r="F108276"/>
    </row>
    <row r="108277" spans="1:6" x14ac:dyDescent="0.25">
      <c r="A108277"/>
      <c r="B108277"/>
      <c r="C108277"/>
      <c r="E108277"/>
      <c r="F108277"/>
    </row>
    <row r="108278" spans="1:6" x14ac:dyDescent="0.25">
      <c r="A108278"/>
      <c r="B108278"/>
      <c r="C108278"/>
      <c r="E108278"/>
      <c r="F108278"/>
    </row>
    <row r="108279" spans="1:6" x14ac:dyDescent="0.25">
      <c r="A108279"/>
      <c r="B108279"/>
      <c r="C108279"/>
      <c r="E108279"/>
      <c r="F108279"/>
    </row>
    <row r="108280" spans="1:6" x14ac:dyDescent="0.25">
      <c r="A108280"/>
      <c r="B108280"/>
      <c r="C108280"/>
      <c r="E108280"/>
      <c r="F108280"/>
    </row>
    <row r="108281" spans="1:6" x14ac:dyDescent="0.25">
      <c r="A108281"/>
      <c r="B108281"/>
      <c r="C108281"/>
      <c r="E108281"/>
      <c r="F108281"/>
    </row>
    <row r="108282" spans="1:6" x14ac:dyDescent="0.25">
      <c r="A108282"/>
      <c r="B108282"/>
      <c r="C108282"/>
      <c r="E108282"/>
      <c r="F108282"/>
    </row>
    <row r="108283" spans="1:6" x14ac:dyDescent="0.25">
      <c r="A108283"/>
      <c r="B108283"/>
      <c r="C108283"/>
      <c r="E108283"/>
      <c r="F108283"/>
    </row>
    <row r="108284" spans="1:6" x14ac:dyDescent="0.25">
      <c r="A108284"/>
      <c r="B108284"/>
      <c r="C108284"/>
      <c r="E108284"/>
      <c r="F108284"/>
    </row>
    <row r="108285" spans="1:6" x14ac:dyDescent="0.25">
      <c r="A108285"/>
      <c r="B108285"/>
      <c r="C108285"/>
      <c r="E108285"/>
      <c r="F108285"/>
    </row>
    <row r="108286" spans="1:6" x14ac:dyDescent="0.25">
      <c r="A108286"/>
      <c r="B108286"/>
      <c r="C108286"/>
      <c r="E108286"/>
      <c r="F108286"/>
    </row>
    <row r="108287" spans="1:6" x14ac:dyDescent="0.25">
      <c r="A108287"/>
      <c r="B108287"/>
      <c r="C108287"/>
      <c r="E108287"/>
      <c r="F108287"/>
    </row>
    <row r="108288" spans="1:6" x14ac:dyDescent="0.25">
      <c r="A108288"/>
      <c r="B108288"/>
      <c r="C108288"/>
      <c r="E108288"/>
      <c r="F108288"/>
    </row>
    <row r="108289" spans="1:6" x14ac:dyDescent="0.25">
      <c r="A108289"/>
      <c r="B108289"/>
      <c r="C108289"/>
      <c r="E108289"/>
      <c r="F108289"/>
    </row>
    <row r="108290" spans="1:6" x14ac:dyDescent="0.25">
      <c r="A108290"/>
      <c r="B108290"/>
      <c r="C108290"/>
      <c r="E108290"/>
      <c r="F108290"/>
    </row>
    <row r="108291" spans="1:6" x14ac:dyDescent="0.25">
      <c r="A108291"/>
      <c r="B108291"/>
      <c r="C108291"/>
      <c r="E108291"/>
      <c r="F108291"/>
    </row>
    <row r="108292" spans="1:6" x14ac:dyDescent="0.25">
      <c r="A108292"/>
      <c r="B108292"/>
      <c r="C108292"/>
      <c r="E108292"/>
      <c r="F108292"/>
    </row>
    <row r="108293" spans="1:6" x14ac:dyDescent="0.25">
      <c r="A108293"/>
      <c r="B108293"/>
      <c r="C108293"/>
      <c r="E108293"/>
      <c r="F108293"/>
    </row>
    <row r="108294" spans="1:6" x14ac:dyDescent="0.25">
      <c r="A108294"/>
      <c r="B108294"/>
      <c r="C108294"/>
      <c r="E108294"/>
      <c r="F108294"/>
    </row>
    <row r="108295" spans="1:6" x14ac:dyDescent="0.25">
      <c r="A108295"/>
      <c r="B108295"/>
      <c r="C108295"/>
      <c r="E108295"/>
      <c r="F108295"/>
    </row>
    <row r="108296" spans="1:6" x14ac:dyDescent="0.25">
      <c r="A108296"/>
      <c r="B108296"/>
      <c r="C108296"/>
      <c r="E108296"/>
      <c r="F108296"/>
    </row>
    <row r="108297" spans="1:6" x14ac:dyDescent="0.25">
      <c r="A108297"/>
      <c r="B108297"/>
      <c r="C108297"/>
      <c r="E108297"/>
      <c r="F108297"/>
    </row>
    <row r="108298" spans="1:6" x14ac:dyDescent="0.25">
      <c r="A108298"/>
      <c r="B108298"/>
      <c r="C108298"/>
      <c r="E108298"/>
      <c r="F108298"/>
    </row>
    <row r="108299" spans="1:6" x14ac:dyDescent="0.25">
      <c r="A108299"/>
      <c r="B108299"/>
      <c r="C108299"/>
      <c r="E108299"/>
      <c r="F108299"/>
    </row>
    <row r="108300" spans="1:6" x14ac:dyDescent="0.25">
      <c r="A108300"/>
      <c r="B108300"/>
      <c r="C108300"/>
      <c r="E108300"/>
      <c r="F108300"/>
    </row>
    <row r="108301" spans="1:6" x14ac:dyDescent="0.25">
      <c r="A108301"/>
      <c r="B108301"/>
      <c r="C108301"/>
      <c r="E108301"/>
      <c r="F108301"/>
    </row>
    <row r="108302" spans="1:6" x14ac:dyDescent="0.25">
      <c r="A108302"/>
      <c r="B108302"/>
      <c r="C108302"/>
      <c r="E108302"/>
      <c r="F108302"/>
    </row>
    <row r="108303" spans="1:6" x14ac:dyDescent="0.25">
      <c r="A108303"/>
      <c r="B108303"/>
      <c r="C108303"/>
      <c r="E108303"/>
      <c r="F108303"/>
    </row>
    <row r="108304" spans="1:6" x14ac:dyDescent="0.25">
      <c r="A108304"/>
      <c r="B108304"/>
      <c r="C108304"/>
      <c r="E108304"/>
      <c r="F108304"/>
    </row>
    <row r="108305" spans="1:6" x14ac:dyDescent="0.25">
      <c r="A108305"/>
      <c r="B108305"/>
      <c r="C108305"/>
      <c r="E108305"/>
      <c r="F108305"/>
    </row>
    <row r="108306" spans="1:6" x14ac:dyDescent="0.25">
      <c r="A108306"/>
      <c r="B108306"/>
      <c r="C108306"/>
      <c r="E108306"/>
      <c r="F108306"/>
    </row>
    <row r="108307" spans="1:6" x14ac:dyDescent="0.25">
      <c r="A108307"/>
      <c r="B108307"/>
      <c r="C108307"/>
      <c r="E108307"/>
      <c r="F108307"/>
    </row>
    <row r="108308" spans="1:6" x14ac:dyDescent="0.25">
      <c r="A108308"/>
      <c r="B108308"/>
      <c r="C108308"/>
      <c r="E108308"/>
      <c r="F108308"/>
    </row>
    <row r="108309" spans="1:6" x14ac:dyDescent="0.25">
      <c r="A108309"/>
      <c r="B108309"/>
      <c r="C108309"/>
      <c r="E108309"/>
      <c r="F108309"/>
    </row>
    <row r="108310" spans="1:6" x14ac:dyDescent="0.25">
      <c r="A108310"/>
      <c r="B108310"/>
      <c r="C108310"/>
      <c r="E108310"/>
      <c r="F108310"/>
    </row>
    <row r="108311" spans="1:6" x14ac:dyDescent="0.25">
      <c r="A108311"/>
      <c r="B108311"/>
      <c r="C108311"/>
      <c r="E108311"/>
      <c r="F108311"/>
    </row>
    <row r="108312" spans="1:6" x14ac:dyDescent="0.25">
      <c r="A108312"/>
      <c r="B108312"/>
      <c r="C108312"/>
      <c r="E108312"/>
      <c r="F108312"/>
    </row>
    <row r="108313" spans="1:6" x14ac:dyDescent="0.25">
      <c r="A108313"/>
      <c r="B108313"/>
      <c r="C108313"/>
      <c r="E108313"/>
      <c r="F108313"/>
    </row>
    <row r="108314" spans="1:6" x14ac:dyDescent="0.25">
      <c r="A108314"/>
      <c r="B108314"/>
      <c r="C108314"/>
      <c r="E108314"/>
      <c r="F108314"/>
    </row>
    <row r="108315" spans="1:6" x14ac:dyDescent="0.25">
      <c r="A108315"/>
      <c r="B108315"/>
      <c r="C108315"/>
      <c r="E108315"/>
      <c r="F108315"/>
    </row>
    <row r="108316" spans="1:6" x14ac:dyDescent="0.25">
      <c r="A108316"/>
      <c r="B108316"/>
      <c r="C108316"/>
      <c r="E108316"/>
      <c r="F108316"/>
    </row>
    <row r="108317" spans="1:6" x14ac:dyDescent="0.25">
      <c r="A108317"/>
      <c r="B108317"/>
      <c r="C108317"/>
      <c r="E108317"/>
      <c r="F108317"/>
    </row>
    <row r="108318" spans="1:6" x14ac:dyDescent="0.25">
      <c r="A108318"/>
      <c r="B108318"/>
      <c r="C108318"/>
      <c r="E108318"/>
      <c r="F108318"/>
    </row>
    <row r="108319" spans="1:6" x14ac:dyDescent="0.25">
      <c r="A108319"/>
      <c r="B108319"/>
      <c r="C108319"/>
      <c r="E108319"/>
      <c r="F108319"/>
    </row>
    <row r="108320" spans="1:6" x14ac:dyDescent="0.25">
      <c r="A108320"/>
      <c r="B108320"/>
      <c r="C108320"/>
      <c r="E108320"/>
      <c r="F108320"/>
    </row>
    <row r="108321" spans="1:6" x14ac:dyDescent="0.25">
      <c r="A108321"/>
      <c r="B108321"/>
      <c r="C108321"/>
      <c r="E108321"/>
      <c r="F108321"/>
    </row>
    <row r="108322" spans="1:6" x14ac:dyDescent="0.25">
      <c r="A108322"/>
      <c r="B108322"/>
      <c r="C108322"/>
      <c r="E108322"/>
      <c r="F108322"/>
    </row>
    <row r="108323" spans="1:6" x14ac:dyDescent="0.25">
      <c r="A108323"/>
      <c r="B108323"/>
      <c r="C108323"/>
      <c r="E108323"/>
      <c r="F108323"/>
    </row>
    <row r="108324" spans="1:6" x14ac:dyDescent="0.25">
      <c r="A108324"/>
      <c r="B108324"/>
      <c r="C108324"/>
      <c r="E108324"/>
      <c r="F108324"/>
    </row>
    <row r="108325" spans="1:6" x14ac:dyDescent="0.25">
      <c r="A108325"/>
      <c r="B108325"/>
      <c r="C108325"/>
      <c r="E108325"/>
      <c r="F108325"/>
    </row>
    <row r="108326" spans="1:6" x14ac:dyDescent="0.25">
      <c r="A108326"/>
      <c r="B108326"/>
      <c r="C108326"/>
      <c r="E108326"/>
      <c r="F108326"/>
    </row>
    <row r="108327" spans="1:6" x14ac:dyDescent="0.25">
      <c r="A108327"/>
      <c r="B108327"/>
      <c r="C108327"/>
      <c r="E108327"/>
      <c r="F108327"/>
    </row>
    <row r="108328" spans="1:6" x14ac:dyDescent="0.25">
      <c r="A108328"/>
      <c r="B108328"/>
      <c r="C108328"/>
      <c r="E108328"/>
      <c r="F108328"/>
    </row>
    <row r="108329" spans="1:6" x14ac:dyDescent="0.25">
      <c r="A108329"/>
      <c r="B108329"/>
      <c r="C108329"/>
      <c r="E108329"/>
      <c r="F108329"/>
    </row>
    <row r="108330" spans="1:6" x14ac:dyDescent="0.25">
      <c r="A108330"/>
      <c r="B108330"/>
      <c r="C108330"/>
      <c r="E108330"/>
      <c r="F108330"/>
    </row>
    <row r="108331" spans="1:6" x14ac:dyDescent="0.25">
      <c r="A108331"/>
      <c r="B108331"/>
      <c r="C108331"/>
      <c r="E108331"/>
      <c r="F108331"/>
    </row>
    <row r="108332" spans="1:6" x14ac:dyDescent="0.25">
      <c r="A108332"/>
      <c r="B108332"/>
      <c r="C108332"/>
      <c r="E108332"/>
      <c r="F108332"/>
    </row>
    <row r="108333" spans="1:6" x14ac:dyDescent="0.25">
      <c r="A108333"/>
      <c r="B108333"/>
      <c r="C108333"/>
      <c r="E108333"/>
      <c r="F108333"/>
    </row>
    <row r="108334" spans="1:6" x14ac:dyDescent="0.25">
      <c r="A108334"/>
      <c r="B108334"/>
      <c r="C108334"/>
      <c r="E108334"/>
      <c r="F108334"/>
    </row>
    <row r="108335" spans="1:6" x14ac:dyDescent="0.25">
      <c r="A108335"/>
      <c r="B108335"/>
      <c r="C108335"/>
      <c r="E108335"/>
      <c r="F108335"/>
    </row>
    <row r="108336" spans="1:6" x14ac:dyDescent="0.25">
      <c r="A108336"/>
      <c r="B108336"/>
      <c r="C108336"/>
      <c r="E108336"/>
      <c r="F108336"/>
    </row>
    <row r="108337" spans="1:6" x14ac:dyDescent="0.25">
      <c r="A108337"/>
      <c r="B108337"/>
      <c r="C108337"/>
      <c r="E108337"/>
      <c r="F108337"/>
    </row>
    <row r="108338" spans="1:6" x14ac:dyDescent="0.25">
      <c r="A108338"/>
      <c r="B108338"/>
      <c r="C108338"/>
      <c r="E108338"/>
      <c r="F108338"/>
    </row>
    <row r="108339" spans="1:6" x14ac:dyDescent="0.25">
      <c r="A108339"/>
      <c r="B108339"/>
      <c r="C108339"/>
      <c r="E108339"/>
      <c r="F108339"/>
    </row>
    <row r="108340" spans="1:6" x14ac:dyDescent="0.25">
      <c r="A108340"/>
      <c r="B108340"/>
      <c r="C108340"/>
      <c r="E108340"/>
      <c r="F108340"/>
    </row>
    <row r="108341" spans="1:6" x14ac:dyDescent="0.25">
      <c r="A108341"/>
      <c r="B108341"/>
      <c r="C108341"/>
      <c r="E108341"/>
      <c r="F108341"/>
    </row>
    <row r="108342" spans="1:6" x14ac:dyDescent="0.25">
      <c r="A108342"/>
      <c r="B108342"/>
      <c r="C108342"/>
      <c r="E108342"/>
      <c r="F108342"/>
    </row>
    <row r="108343" spans="1:6" x14ac:dyDescent="0.25">
      <c r="A108343"/>
      <c r="B108343"/>
      <c r="C108343"/>
      <c r="E108343"/>
      <c r="F108343"/>
    </row>
    <row r="108344" spans="1:6" x14ac:dyDescent="0.25">
      <c r="A108344"/>
      <c r="B108344"/>
      <c r="C108344"/>
      <c r="E108344"/>
      <c r="F108344"/>
    </row>
    <row r="108345" spans="1:6" x14ac:dyDescent="0.25">
      <c r="A108345"/>
      <c r="B108345"/>
      <c r="C108345"/>
      <c r="E108345"/>
      <c r="F108345"/>
    </row>
    <row r="108346" spans="1:6" x14ac:dyDescent="0.25">
      <c r="A108346"/>
      <c r="B108346"/>
      <c r="C108346"/>
      <c r="E108346"/>
      <c r="F108346"/>
    </row>
    <row r="108347" spans="1:6" x14ac:dyDescent="0.25">
      <c r="A108347"/>
      <c r="B108347"/>
      <c r="C108347"/>
      <c r="E108347"/>
      <c r="F108347"/>
    </row>
    <row r="108348" spans="1:6" x14ac:dyDescent="0.25">
      <c r="A108348"/>
      <c r="B108348"/>
      <c r="C108348"/>
      <c r="E108348"/>
      <c r="F108348"/>
    </row>
    <row r="108349" spans="1:6" x14ac:dyDescent="0.25">
      <c r="A108349"/>
      <c r="B108349"/>
      <c r="C108349"/>
      <c r="E108349"/>
      <c r="F108349"/>
    </row>
    <row r="108350" spans="1:6" x14ac:dyDescent="0.25">
      <c r="A108350"/>
      <c r="B108350"/>
      <c r="C108350"/>
      <c r="E108350"/>
      <c r="F108350"/>
    </row>
    <row r="108351" spans="1:6" x14ac:dyDescent="0.25">
      <c r="A108351"/>
      <c r="B108351"/>
      <c r="C108351"/>
      <c r="E108351"/>
      <c r="F108351"/>
    </row>
    <row r="108352" spans="1:6" x14ac:dyDescent="0.25">
      <c r="A108352"/>
      <c r="B108352"/>
      <c r="C108352"/>
      <c r="E108352"/>
      <c r="F108352"/>
    </row>
    <row r="108353" spans="1:6" x14ac:dyDescent="0.25">
      <c r="A108353"/>
      <c r="B108353"/>
      <c r="C108353"/>
      <c r="E108353"/>
      <c r="F108353"/>
    </row>
    <row r="108354" spans="1:6" x14ac:dyDescent="0.25">
      <c r="A108354"/>
      <c r="B108354"/>
      <c r="C108354"/>
      <c r="E108354"/>
      <c r="F108354"/>
    </row>
    <row r="108355" spans="1:6" x14ac:dyDescent="0.25">
      <c r="A108355"/>
      <c r="B108355"/>
      <c r="C108355"/>
      <c r="E108355"/>
      <c r="F108355"/>
    </row>
    <row r="108356" spans="1:6" x14ac:dyDescent="0.25">
      <c r="A108356"/>
      <c r="B108356"/>
      <c r="C108356"/>
      <c r="E108356"/>
      <c r="F108356"/>
    </row>
    <row r="108357" spans="1:6" x14ac:dyDescent="0.25">
      <c r="A108357"/>
      <c r="B108357"/>
      <c r="C108357"/>
      <c r="E108357"/>
      <c r="F108357"/>
    </row>
    <row r="108358" spans="1:6" x14ac:dyDescent="0.25">
      <c r="A108358"/>
      <c r="B108358"/>
      <c r="C108358"/>
      <c r="E108358"/>
      <c r="F108358"/>
    </row>
    <row r="108359" spans="1:6" x14ac:dyDescent="0.25">
      <c r="A108359"/>
      <c r="B108359"/>
      <c r="C108359"/>
      <c r="E108359"/>
      <c r="F108359"/>
    </row>
    <row r="108360" spans="1:6" x14ac:dyDescent="0.25">
      <c r="A108360"/>
      <c r="B108360"/>
      <c r="C108360"/>
      <c r="E108360"/>
      <c r="F108360"/>
    </row>
    <row r="108361" spans="1:6" x14ac:dyDescent="0.25">
      <c r="A108361"/>
      <c r="B108361"/>
      <c r="C108361"/>
      <c r="E108361"/>
      <c r="F108361"/>
    </row>
    <row r="108362" spans="1:6" x14ac:dyDescent="0.25">
      <c r="A108362"/>
      <c r="B108362"/>
      <c r="C108362"/>
      <c r="E108362"/>
      <c r="F108362"/>
    </row>
    <row r="108363" spans="1:6" x14ac:dyDescent="0.25">
      <c r="A108363"/>
      <c r="B108363"/>
      <c r="C108363"/>
      <c r="E108363"/>
      <c r="F108363"/>
    </row>
    <row r="108364" spans="1:6" x14ac:dyDescent="0.25">
      <c r="A108364"/>
      <c r="B108364"/>
      <c r="C108364"/>
      <c r="E108364"/>
      <c r="F108364"/>
    </row>
    <row r="108365" spans="1:6" x14ac:dyDescent="0.25">
      <c r="A108365"/>
      <c r="B108365"/>
      <c r="C108365"/>
      <c r="E108365"/>
      <c r="F108365"/>
    </row>
    <row r="108366" spans="1:6" x14ac:dyDescent="0.25">
      <c r="A108366"/>
      <c r="B108366"/>
      <c r="C108366"/>
      <c r="E108366"/>
      <c r="F108366"/>
    </row>
    <row r="108367" spans="1:6" x14ac:dyDescent="0.25">
      <c r="A108367"/>
      <c r="B108367"/>
      <c r="C108367"/>
      <c r="E108367"/>
      <c r="F108367"/>
    </row>
    <row r="108368" spans="1:6" x14ac:dyDescent="0.25">
      <c r="A108368"/>
      <c r="B108368"/>
      <c r="C108368"/>
      <c r="E108368"/>
      <c r="F108368"/>
    </row>
    <row r="108369" spans="1:6" x14ac:dyDescent="0.25">
      <c r="A108369"/>
      <c r="B108369"/>
      <c r="C108369"/>
      <c r="E108369"/>
      <c r="F108369"/>
    </row>
    <row r="108370" spans="1:6" x14ac:dyDescent="0.25">
      <c r="A108370"/>
      <c r="B108370"/>
      <c r="C108370"/>
      <c r="E108370"/>
      <c r="F108370"/>
    </row>
    <row r="108371" spans="1:6" x14ac:dyDescent="0.25">
      <c r="A108371"/>
      <c r="B108371"/>
      <c r="C108371"/>
      <c r="E108371"/>
      <c r="F108371"/>
    </row>
    <row r="108372" spans="1:6" x14ac:dyDescent="0.25">
      <c r="A108372"/>
      <c r="B108372"/>
      <c r="C108372"/>
      <c r="E108372"/>
      <c r="F108372"/>
    </row>
    <row r="108373" spans="1:6" x14ac:dyDescent="0.25">
      <c r="A108373"/>
      <c r="B108373"/>
      <c r="C108373"/>
      <c r="E108373"/>
      <c r="F108373"/>
    </row>
    <row r="108374" spans="1:6" x14ac:dyDescent="0.25">
      <c r="A108374"/>
      <c r="B108374"/>
      <c r="C108374"/>
      <c r="E108374"/>
      <c r="F108374"/>
    </row>
    <row r="108375" spans="1:6" x14ac:dyDescent="0.25">
      <c r="A108375"/>
      <c r="B108375"/>
      <c r="C108375"/>
      <c r="E108375"/>
      <c r="F108375"/>
    </row>
    <row r="108376" spans="1:6" x14ac:dyDescent="0.25">
      <c r="A108376"/>
      <c r="B108376"/>
      <c r="C108376"/>
      <c r="E108376"/>
      <c r="F108376"/>
    </row>
    <row r="108377" spans="1:6" x14ac:dyDescent="0.25">
      <c r="A108377"/>
      <c r="B108377"/>
      <c r="C108377"/>
      <c r="E108377"/>
      <c r="F108377"/>
    </row>
    <row r="108378" spans="1:6" x14ac:dyDescent="0.25">
      <c r="A108378"/>
      <c r="B108378"/>
      <c r="C108378"/>
      <c r="E108378"/>
      <c r="F108378"/>
    </row>
    <row r="108379" spans="1:6" x14ac:dyDescent="0.25">
      <c r="A108379"/>
      <c r="B108379"/>
      <c r="C108379"/>
      <c r="E108379"/>
      <c r="F108379"/>
    </row>
    <row r="108380" spans="1:6" x14ac:dyDescent="0.25">
      <c r="A108380"/>
      <c r="B108380"/>
      <c r="C108380"/>
      <c r="E108380"/>
      <c r="F108380"/>
    </row>
    <row r="108381" spans="1:6" x14ac:dyDescent="0.25">
      <c r="A108381"/>
      <c r="B108381"/>
      <c r="C108381"/>
      <c r="E108381"/>
      <c r="F108381"/>
    </row>
    <row r="108382" spans="1:6" x14ac:dyDescent="0.25">
      <c r="A108382"/>
      <c r="B108382"/>
      <c r="C108382"/>
      <c r="E108382"/>
      <c r="F108382"/>
    </row>
    <row r="108383" spans="1:6" x14ac:dyDescent="0.25">
      <c r="A108383"/>
      <c r="B108383"/>
      <c r="C108383"/>
      <c r="E108383"/>
      <c r="F108383"/>
    </row>
    <row r="108384" spans="1:6" x14ac:dyDescent="0.25">
      <c r="A108384"/>
      <c r="B108384"/>
      <c r="C108384"/>
      <c r="E108384"/>
      <c r="F108384"/>
    </row>
    <row r="108385" spans="1:6" x14ac:dyDescent="0.25">
      <c r="A108385"/>
      <c r="B108385"/>
      <c r="C108385"/>
      <c r="E108385"/>
      <c r="F108385"/>
    </row>
    <row r="108386" spans="1:6" x14ac:dyDescent="0.25">
      <c r="A108386"/>
      <c r="B108386"/>
      <c r="C108386"/>
      <c r="E108386"/>
      <c r="F108386"/>
    </row>
    <row r="108387" spans="1:6" x14ac:dyDescent="0.25">
      <c r="A108387"/>
      <c r="B108387"/>
      <c r="C108387"/>
      <c r="E108387"/>
      <c r="F108387"/>
    </row>
    <row r="108388" spans="1:6" x14ac:dyDescent="0.25">
      <c r="A108388"/>
      <c r="B108388"/>
      <c r="C108388"/>
      <c r="E108388"/>
      <c r="F108388"/>
    </row>
    <row r="108389" spans="1:6" x14ac:dyDescent="0.25">
      <c r="A108389"/>
      <c r="B108389"/>
      <c r="C108389"/>
      <c r="E108389"/>
      <c r="F108389"/>
    </row>
    <row r="108390" spans="1:6" x14ac:dyDescent="0.25">
      <c r="A108390"/>
      <c r="B108390"/>
      <c r="C108390"/>
      <c r="E108390"/>
      <c r="F108390"/>
    </row>
    <row r="108391" spans="1:6" x14ac:dyDescent="0.25">
      <c r="A108391"/>
      <c r="B108391"/>
      <c r="C108391"/>
      <c r="E108391"/>
      <c r="F108391"/>
    </row>
    <row r="108392" spans="1:6" x14ac:dyDescent="0.25">
      <c r="A108392"/>
      <c r="B108392"/>
      <c r="C108392"/>
      <c r="E108392"/>
      <c r="F108392"/>
    </row>
    <row r="108393" spans="1:6" x14ac:dyDescent="0.25">
      <c r="A108393"/>
      <c r="B108393"/>
      <c r="C108393"/>
      <c r="E108393"/>
      <c r="F108393"/>
    </row>
    <row r="108394" spans="1:6" x14ac:dyDescent="0.25">
      <c r="A108394"/>
      <c r="B108394"/>
      <c r="C108394"/>
      <c r="E108394"/>
      <c r="F108394"/>
    </row>
    <row r="108395" spans="1:6" x14ac:dyDescent="0.25">
      <c r="A108395"/>
      <c r="B108395"/>
      <c r="C108395"/>
      <c r="E108395"/>
      <c r="F108395"/>
    </row>
    <row r="108396" spans="1:6" x14ac:dyDescent="0.25">
      <c r="A108396"/>
      <c r="B108396"/>
      <c r="C108396"/>
      <c r="E108396"/>
      <c r="F108396"/>
    </row>
    <row r="108397" spans="1:6" x14ac:dyDescent="0.25">
      <c r="A108397"/>
      <c r="B108397"/>
      <c r="C108397"/>
      <c r="E108397"/>
      <c r="F108397"/>
    </row>
    <row r="108398" spans="1:6" x14ac:dyDescent="0.25">
      <c r="A108398"/>
      <c r="B108398"/>
      <c r="C108398"/>
      <c r="E108398"/>
      <c r="F108398"/>
    </row>
    <row r="108399" spans="1:6" x14ac:dyDescent="0.25">
      <c r="A108399"/>
      <c r="B108399"/>
      <c r="C108399"/>
      <c r="E108399"/>
      <c r="F108399"/>
    </row>
    <row r="108400" spans="1:6" x14ac:dyDescent="0.25">
      <c r="A108400"/>
      <c r="B108400"/>
      <c r="C108400"/>
      <c r="E108400"/>
      <c r="F108400"/>
    </row>
    <row r="108401" spans="1:6" x14ac:dyDescent="0.25">
      <c r="A108401"/>
      <c r="B108401"/>
      <c r="C108401"/>
      <c r="E108401"/>
      <c r="F108401"/>
    </row>
    <row r="108402" spans="1:6" x14ac:dyDescent="0.25">
      <c r="A108402"/>
      <c r="B108402"/>
      <c r="C108402"/>
      <c r="E108402"/>
      <c r="F108402"/>
    </row>
    <row r="108403" spans="1:6" x14ac:dyDescent="0.25">
      <c r="A108403"/>
      <c r="B108403"/>
      <c r="C108403"/>
      <c r="E108403"/>
      <c r="F108403"/>
    </row>
    <row r="108404" spans="1:6" x14ac:dyDescent="0.25">
      <c r="A108404"/>
      <c r="B108404"/>
      <c r="C108404"/>
      <c r="E108404"/>
      <c r="F108404"/>
    </row>
    <row r="108405" spans="1:6" x14ac:dyDescent="0.25">
      <c r="A108405"/>
      <c r="B108405"/>
      <c r="C108405"/>
      <c r="E108405"/>
      <c r="F108405"/>
    </row>
    <row r="108406" spans="1:6" x14ac:dyDescent="0.25">
      <c r="A108406"/>
      <c r="B108406"/>
      <c r="C108406"/>
      <c r="E108406"/>
      <c r="F108406"/>
    </row>
    <row r="108407" spans="1:6" x14ac:dyDescent="0.25">
      <c r="A108407"/>
      <c r="B108407"/>
      <c r="C108407"/>
      <c r="E108407"/>
      <c r="F108407"/>
    </row>
    <row r="108408" spans="1:6" x14ac:dyDescent="0.25">
      <c r="A108408"/>
      <c r="B108408"/>
      <c r="C108408"/>
      <c r="E108408"/>
      <c r="F108408"/>
    </row>
    <row r="108409" spans="1:6" x14ac:dyDescent="0.25">
      <c r="A108409"/>
      <c r="B108409"/>
      <c r="C108409"/>
      <c r="E108409"/>
      <c r="F108409"/>
    </row>
    <row r="108410" spans="1:6" x14ac:dyDescent="0.25">
      <c r="A108410"/>
      <c r="B108410"/>
      <c r="C108410"/>
      <c r="E108410"/>
      <c r="F108410"/>
    </row>
    <row r="108411" spans="1:6" x14ac:dyDescent="0.25">
      <c r="A108411"/>
      <c r="B108411"/>
      <c r="C108411"/>
      <c r="E108411"/>
      <c r="F108411"/>
    </row>
    <row r="108412" spans="1:6" x14ac:dyDescent="0.25">
      <c r="A108412"/>
      <c r="B108412"/>
      <c r="C108412"/>
      <c r="E108412"/>
      <c r="F108412"/>
    </row>
    <row r="108413" spans="1:6" x14ac:dyDescent="0.25">
      <c r="A108413"/>
      <c r="B108413"/>
      <c r="C108413"/>
      <c r="E108413"/>
      <c r="F108413"/>
    </row>
    <row r="108414" spans="1:6" x14ac:dyDescent="0.25">
      <c r="A108414"/>
      <c r="B108414"/>
      <c r="C108414"/>
      <c r="E108414"/>
      <c r="F108414"/>
    </row>
    <row r="108415" spans="1:6" x14ac:dyDescent="0.25">
      <c r="A108415"/>
      <c r="B108415"/>
      <c r="C108415"/>
      <c r="E108415"/>
      <c r="F108415"/>
    </row>
    <row r="108416" spans="1:6" x14ac:dyDescent="0.25">
      <c r="A108416"/>
      <c r="B108416"/>
      <c r="C108416"/>
      <c r="E108416"/>
      <c r="F108416"/>
    </row>
    <row r="108417" spans="1:6" x14ac:dyDescent="0.25">
      <c r="A108417"/>
      <c r="B108417"/>
      <c r="C108417"/>
      <c r="E108417"/>
      <c r="F108417"/>
    </row>
    <row r="108418" spans="1:6" x14ac:dyDescent="0.25">
      <c r="A108418"/>
      <c r="B108418"/>
      <c r="C108418"/>
      <c r="E108418"/>
      <c r="F108418"/>
    </row>
    <row r="108419" spans="1:6" x14ac:dyDescent="0.25">
      <c r="A108419"/>
      <c r="B108419"/>
      <c r="C108419"/>
      <c r="E108419"/>
      <c r="F108419"/>
    </row>
    <row r="108420" spans="1:6" x14ac:dyDescent="0.25">
      <c r="A108420"/>
      <c r="B108420"/>
      <c r="C108420"/>
      <c r="E108420"/>
      <c r="F108420"/>
    </row>
    <row r="108421" spans="1:6" x14ac:dyDescent="0.25">
      <c r="A108421"/>
      <c r="B108421"/>
      <c r="C108421"/>
      <c r="E108421"/>
      <c r="F108421"/>
    </row>
    <row r="108422" spans="1:6" x14ac:dyDescent="0.25">
      <c r="A108422"/>
      <c r="B108422"/>
      <c r="C108422"/>
      <c r="E108422"/>
      <c r="F108422"/>
    </row>
    <row r="108423" spans="1:6" x14ac:dyDescent="0.25">
      <c r="A108423"/>
      <c r="B108423"/>
      <c r="C108423"/>
      <c r="E108423"/>
      <c r="F108423"/>
    </row>
    <row r="108424" spans="1:6" x14ac:dyDescent="0.25">
      <c r="A108424"/>
      <c r="B108424"/>
      <c r="C108424"/>
      <c r="E108424"/>
      <c r="F108424"/>
    </row>
    <row r="108425" spans="1:6" x14ac:dyDescent="0.25">
      <c r="A108425"/>
      <c r="B108425"/>
      <c r="C108425"/>
      <c r="E108425"/>
      <c r="F108425"/>
    </row>
    <row r="108426" spans="1:6" x14ac:dyDescent="0.25">
      <c r="A108426"/>
      <c r="B108426"/>
      <c r="C108426"/>
      <c r="E108426"/>
      <c r="F108426"/>
    </row>
    <row r="108427" spans="1:6" x14ac:dyDescent="0.25">
      <c r="A108427"/>
      <c r="B108427"/>
      <c r="C108427"/>
      <c r="E108427"/>
      <c r="F108427"/>
    </row>
    <row r="108428" spans="1:6" x14ac:dyDescent="0.25">
      <c r="A108428"/>
      <c r="B108428"/>
      <c r="C108428"/>
      <c r="E108428"/>
      <c r="F108428"/>
    </row>
    <row r="108429" spans="1:6" x14ac:dyDescent="0.25">
      <c r="A108429"/>
      <c r="B108429"/>
      <c r="C108429"/>
      <c r="E108429"/>
      <c r="F108429"/>
    </row>
    <row r="108430" spans="1:6" x14ac:dyDescent="0.25">
      <c r="A108430"/>
      <c r="B108430"/>
      <c r="C108430"/>
      <c r="E108430"/>
      <c r="F108430"/>
    </row>
    <row r="108431" spans="1:6" x14ac:dyDescent="0.25">
      <c r="A108431"/>
      <c r="B108431"/>
      <c r="C108431"/>
      <c r="E108431"/>
      <c r="F108431"/>
    </row>
    <row r="108432" spans="1:6" x14ac:dyDescent="0.25">
      <c r="A108432"/>
      <c r="B108432"/>
      <c r="C108432"/>
      <c r="E108432"/>
      <c r="F108432"/>
    </row>
    <row r="108433" spans="1:6" x14ac:dyDescent="0.25">
      <c r="A108433"/>
      <c r="B108433"/>
      <c r="C108433"/>
      <c r="E108433"/>
      <c r="F108433"/>
    </row>
    <row r="108434" spans="1:6" x14ac:dyDescent="0.25">
      <c r="A108434"/>
      <c r="B108434"/>
      <c r="C108434"/>
      <c r="E108434"/>
      <c r="F108434"/>
    </row>
    <row r="108435" spans="1:6" x14ac:dyDescent="0.25">
      <c r="A108435"/>
      <c r="B108435"/>
      <c r="C108435"/>
      <c r="E108435"/>
      <c r="F108435"/>
    </row>
    <row r="108436" spans="1:6" x14ac:dyDescent="0.25">
      <c r="A108436"/>
      <c r="B108436"/>
      <c r="C108436"/>
      <c r="E108436"/>
      <c r="F108436"/>
    </row>
    <row r="108437" spans="1:6" x14ac:dyDescent="0.25">
      <c r="A108437"/>
      <c r="B108437"/>
      <c r="C108437"/>
      <c r="E108437"/>
      <c r="F108437"/>
    </row>
    <row r="108438" spans="1:6" x14ac:dyDescent="0.25">
      <c r="A108438"/>
      <c r="B108438"/>
      <c r="C108438"/>
      <c r="E108438"/>
      <c r="F108438"/>
    </row>
    <row r="108439" spans="1:6" x14ac:dyDescent="0.25">
      <c r="A108439"/>
      <c r="B108439"/>
      <c r="C108439"/>
      <c r="E108439"/>
      <c r="F108439"/>
    </row>
    <row r="108440" spans="1:6" x14ac:dyDescent="0.25">
      <c r="A108440"/>
      <c r="B108440"/>
      <c r="C108440"/>
      <c r="E108440"/>
      <c r="F108440"/>
    </row>
    <row r="108441" spans="1:6" x14ac:dyDescent="0.25">
      <c r="A108441"/>
      <c r="B108441"/>
      <c r="C108441"/>
      <c r="E108441"/>
      <c r="F108441"/>
    </row>
    <row r="108442" spans="1:6" x14ac:dyDescent="0.25">
      <c r="A108442"/>
      <c r="B108442"/>
      <c r="C108442"/>
      <c r="E108442"/>
      <c r="F108442"/>
    </row>
    <row r="108443" spans="1:6" x14ac:dyDescent="0.25">
      <c r="A108443"/>
      <c r="B108443"/>
      <c r="C108443"/>
      <c r="E108443"/>
      <c r="F108443"/>
    </row>
    <row r="108444" spans="1:6" x14ac:dyDescent="0.25">
      <c r="A108444"/>
      <c r="B108444"/>
      <c r="C108444"/>
      <c r="E108444"/>
      <c r="F108444"/>
    </row>
    <row r="108445" spans="1:6" x14ac:dyDescent="0.25">
      <c r="A108445"/>
      <c r="B108445"/>
      <c r="C108445"/>
      <c r="E108445"/>
      <c r="F108445"/>
    </row>
    <row r="108446" spans="1:6" x14ac:dyDescent="0.25">
      <c r="A108446"/>
      <c r="B108446"/>
      <c r="C108446"/>
      <c r="E108446"/>
      <c r="F108446"/>
    </row>
    <row r="108447" spans="1:6" x14ac:dyDescent="0.25">
      <c r="A108447"/>
      <c r="B108447"/>
      <c r="C108447"/>
      <c r="E108447"/>
      <c r="F108447"/>
    </row>
    <row r="108448" spans="1:6" x14ac:dyDescent="0.25">
      <c r="A108448"/>
      <c r="B108448"/>
      <c r="C108448"/>
      <c r="E108448"/>
      <c r="F108448"/>
    </row>
    <row r="108449" spans="1:6" x14ac:dyDescent="0.25">
      <c r="A108449"/>
      <c r="B108449"/>
      <c r="C108449"/>
      <c r="E108449"/>
      <c r="F108449"/>
    </row>
    <row r="108450" spans="1:6" x14ac:dyDescent="0.25">
      <c r="A108450"/>
      <c r="B108450"/>
      <c r="C108450"/>
      <c r="E108450"/>
      <c r="F108450"/>
    </row>
    <row r="108451" spans="1:6" x14ac:dyDescent="0.25">
      <c r="A108451"/>
      <c r="B108451"/>
      <c r="C108451"/>
      <c r="E108451"/>
      <c r="F108451"/>
    </row>
    <row r="108452" spans="1:6" x14ac:dyDescent="0.25">
      <c r="A108452"/>
      <c r="B108452"/>
      <c r="C108452"/>
      <c r="E108452"/>
      <c r="F108452"/>
    </row>
    <row r="108453" spans="1:6" x14ac:dyDescent="0.25">
      <c r="A108453"/>
      <c r="B108453"/>
      <c r="C108453"/>
      <c r="E108453"/>
      <c r="F108453"/>
    </row>
    <row r="108454" spans="1:6" x14ac:dyDescent="0.25">
      <c r="A108454"/>
      <c r="B108454"/>
      <c r="C108454"/>
      <c r="E108454"/>
      <c r="F108454"/>
    </row>
    <row r="108455" spans="1:6" x14ac:dyDescent="0.25">
      <c r="A108455"/>
      <c r="B108455"/>
      <c r="C108455"/>
      <c r="E108455"/>
      <c r="F108455"/>
    </row>
    <row r="108456" spans="1:6" x14ac:dyDescent="0.25">
      <c r="A108456"/>
      <c r="B108456"/>
      <c r="C108456"/>
      <c r="E108456"/>
      <c r="F108456"/>
    </row>
    <row r="108457" spans="1:6" x14ac:dyDescent="0.25">
      <c r="A108457"/>
      <c r="B108457"/>
      <c r="C108457"/>
      <c r="E108457"/>
      <c r="F108457"/>
    </row>
    <row r="108458" spans="1:6" x14ac:dyDescent="0.25">
      <c r="A108458"/>
      <c r="B108458"/>
      <c r="C108458"/>
      <c r="E108458"/>
      <c r="F108458"/>
    </row>
    <row r="108459" spans="1:6" x14ac:dyDescent="0.25">
      <c r="A108459"/>
      <c r="B108459"/>
      <c r="C108459"/>
      <c r="E108459"/>
      <c r="F108459"/>
    </row>
    <row r="108460" spans="1:6" x14ac:dyDescent="0.25">
      <c r="A108460"/>
      <c r="B108460"/>
      <c r="C108460"/>
      <c r="E108460"/>
      <c r="F108460"/>
    </row>
    <row r="108461" spans="1:6" x14ac:dyDescent="0.25">
      <c r="A108461"/>
      <c r="B108461"/>
      <c r="C108461"/>
      <c r="E108461"/>
      <c r="F108461"/>
    </row>
    <row r="108462" spans="1:6" x14ac:dyDescent="0.25">
      <c r="A108462"/>
      <c r="B108462"/>
      <c r="C108462"/>
      <c r="E108462"/>
      <c r="F108462"/>
    </row>
    <row r="108463" spans="1:6" x14ac:dyDescent="0.25">
      <c r="A108463"/>
      <c r="B108463"/>
      <c r="C108463"/>
      <c r="E108463"/>
      <c r="F108463"/>
    </row>
    <row r="108464" spans="1:6" x14ac:dyDescent="0.25">
      <c r="A108464"/>
      <c r="B108464"/>
      <c r="C108464"/>
      <c r="E108464"/>
      <c r="F108464"/>
    </row>
    <row r="108465" spans="1:6" x14ac:dyDescent="0.25">
      <c r="A108465"/>
      <c r="B108465"/>
      <c r="C108465"/>
      <c r="E108465"/>
      <c r="F108465"/>
    </row>
    <row r="108466" spans="1:6" x14ac:dyDescent="0.25">
      <c r="A108466"/>
      <c r="B108466"/>
      <c r="C108466"/>
      <c r="E108466"/>
      <c r="F108466"/>
    </row>
    <row r="108467" spans="1:6" x14ac:dyDescent="0.25">
      <c r="A108467"/>
      <c r="B108467"/>
      <c r="C108467"/>
      <c r="E108467"/>
      <c r="F108467"/>
    </row>
    <row r="108468" spans="1:6" x14ac:dyDescent="0.25">
      <c r="A108468"/>
      <c r="B108468"/>
      <c r="C108468"/>
      <c r="E108468"/>
      <c r="F108468"/>
    </row>
    <row r="108469" spans="1:6" x14ac:dyDescent="0.25">
      <c r="A108469"/>
      <c r="B108469"/>
      <c r="C108469"/>
      <c r="E108469"/>
      <c r="F108469"/>
    </row>
    <row r="108470" spans="1:6" x14ac:dyDescent="0.25">
      <c r="A108470"/>
      <c r="B108470"/>
      <c r="C108470"/>
      <c r="E108470"/>
      <c r="F108470"/>
    </row>
    <row r="108471" spans="1:6" x14ac:dyDescent="0.25">
      <c r="A108471"/>
      <c r="B108471"/>
      <c r="C108471"/>
      <c r="E108471"/>
      <c r="F108471"/>
    </row>
    <row r="108472" spans="1:6" x14ac:dyDescent="0.25">
      <c r="A108472"/>
      <c r="B108472"/>
      <c r="C108472"/>
      <c r="E108472"/>
      <c r="F108472"/>
    </row>
    <row r="108473" spans="1:6" x14ac:dyDescent="0.25">
      <c r="A108473"/>
      <c r="B108473"/>
      <c r="C108473"/>
      <c r="E108473"/>
      <c r="F108473"/>
    </row>
    <row r="108474" spans="1:6" x14ac:dyDescent="0.25">
      <c r="A108474"/>
      <c r="B108474"/>
      <c r="C108474"/>
      <c r="E108474"/>
      <c r="F108474"/>
    </row>
    <row r="108475" spans="1:6" x14ac:dyDescent="0.25">
      <c r="A108475"/>
      <c r="B108475"/>
      <c r="C108475"/>
      <c r="E108475"/>
      <c r="F108475"/>
    </row>
    <row r="108476" spans="1:6" x14ac:dyDescent="0.25">
      <c r="A108476"/>
      <c r="B108476"/>
      <c r="C108476"/>
      <c r="E108476"/>
      <c r="F108476"/>
    </row>
    <row r="108477" spans="1:6" x14ac:dyDescent="0.25">
      <c r="A108477"/>
      <c r="B108477"/>
      <c r="C108477"/>
      <c r="E108477"/>
      <c r="F108477"/>
    </row>
    <row r="108478" spans="1:6" x14ac:dyDescent="0.25">
      <c r="A108478"/>
      <c r="B108478"/>
      <c r="C108478"/>
      <c r="E108478"/>
      <c r="F108478"/>
    </row>
    <row r="108479" spans="1:6" x14ac:dyDescent="0.25">
      <c r="A108479"/>
      <c r="B108479"/>
      <c r="C108479"/>
      <c r="E108479"/>
      <c r="F108479"/>
    </row>
    <row r="108480" spans="1:6" x14ac:dyDescent="0.25">
      <c r="A108480"/>
      <c r="B108480"/>
      <c r="C108480"/>
      <c r="E108480"/>
      <c r="F108480"/>
    </row>
    <row r="108481" spans="1:6" x14ac:dyDescent="0.25">
      <c r="A108481"/>
      <c r="B108481"/>
      <c r="C108481"/>
      <c r="E108481"/>
      <c r="F108481"/>
    </row>
    <row r="108482" spans="1:6" x14ac:dyDescent="0.25">
      <c r="A108482"/>
      <c r="B108482"/>
      <c r="C108482"/>
      <c r="E108482"/>
      <c r="F108482"/>
    </row>
    <row r="108483" spans="1:6" x14ac:dyDescent="0.25">
      <c r="A108483"/>
      <c r="B108483"/>
      <c r="C108483"/>
      <c r="E108483"/>
      <c r="F108483"/>
    </row>
    <row r="108484" spans="1:6" x14ac:dyDescent="0.25">
      <c r="A108484"/>
      <c r="B108484"/>
      <c r="C108484"/>
      <c r="E108484"/>
      <c r="F108484"/>
    </row>
    <row r="108485" spans="1:6" x14ac:dyDescent="0.25">
      <c r="A108485"/>
      <c r="B108485"/>
      <c r="C108485"/>
      <c r="E108485"/>
      <c r="F108485"/>
    </row>
    <row r="108486" spans="1:6" x14ac:dyDescent="0.25">
      <c r="A108486"/>
      <c r="B108486"/>
      <c r="C108486"/>
      <c r="E108486"/>
      <c r="F108486"/>
    </row>
    <row r="108487" spans="1:6" x14ac:dyDescent="0.25">
      <c r="A108487"/>
      <c r="B108487"/>
      <c r="C108487"/>
      <c r="E108487"/>
      <c r="F108487"/>
    </row>
    <row r="108488" spans="1:6" x14ac:dyDescent="0.25">
      <c r="A108488"/>
      <c r="B108488"/>
      <c r="C108488"/>
      <c r="E108488"/>
      <c r="F108488"/>
    </row>
    <row r="108489" spans="1:6" x14ac:dyDescent="0.25">
      <c r="A108489"/>
      <c r="B108489"/>
      <c r="C108489"/>
      <c r="E108489"/>
      <c r="F108489"/>
    </row>
    <row r="108490" spans="1:6" x14ac:dyDescent="0.25">
      <c r="A108490"/>
      <c r="B108490"/>
      <c r="C108490"/>
      <c r="E108490"/>
      <c r="F108490"/>
    </row>
    <row r="108491" spans="1:6" x14ac:dyDescent="0.25">
      <c r="A108491"/>
      <c r="B108491"/>
      <c r="C108491"/>
      <c r="E108491"/>
      <c r="F108491"/>
    </row>
    <row r="108492" spans="1:6" x14ac:dyDescent="0.25">
      <c r="A108492"/>
      <c r="B108492"/>
      <c r="C108492"/>
      <c r="E108492"/>
      <c r="F108492"/>
    </row>
    <row r="108493" spans="1:6" x14ac:dyDescent="0.25">
      <c r="A108493"/>
      <c r="B108493"/>
      <c r="C108493"/>
      <c r="E108493"/>
      <c r="F108493"/>
    </row>
    <row r="108494" spans="1:6" x14ac:dyDescent="0.25">
      <c r="A108494"/>
      <c r="B108494"/>
      <c r="C108494"/>
      <c r="E108494"/>
      <c r="F108494"/>
    </row>
    <row r="108495" spans="1:6" x14ac:dyDescent="0.25">
      <c r="A108495"/>
      <c r="B108495"/>
      <c r="C108495"/>
      <c r="E108495"/>
      <c r="F108495"/>
    </row>
    <row r="108496" spans="1:6" x14ac:dyDescent="0.25">
      <c r="A108496"/>
      <c r="B108496"/>
      <c r="C108496"/>
      <c r="E108496"/>
      <c r="F108496"/>
    </row>
    <row r="108497" spans="1:6" x14ac:dyDescent="0.25">
      <c r="A108497"/>
      <c r="B108497"/>
      <c r="C108497"/>
      <c r="E108497"/>
      <c r="F108497"/>
    </row>
    <row r="108498" spans="1:6" x14ac:dyDescent="0.25">
      <c r="A108498"/>
      <c r="B108498"/>
      <c r="C108498"/>
      <c r="E108498"/>
      <c r="F108498"/>
    </row>
    <row r="108499" spans="1:6" x14ac:dyDescent="0.25">
      <c r="A108499"/>
      <c r="B108499"/>
      <c r="C108499"/>
      <c r="E108499"/>
      <c r="F108499"/>
    </row>
    <row r="108500" spans="1:6" x14ac:dyDescent="0.25">
      <c r="A108500"/>
      <c r="B108500"/>
      <c r="C108500"/>
      <c r="E108500"/>
      <c r="F108500"/>
    </row>
    <row r="108501" spans="1:6" x14ac:dyDescent="0.25">
      <c r="A108501"/>
      <c r="B108501"/>
      <c r="C108501"/>
      <c r="E108501"/>
      <c r="F108501"/>
    </row>
    <row r="108502" spans="1:6" x14ac:dyDescent="0.25">
      <c r="A108502"/>
      <c r="B108502"/>
      <c r="C108502"/>
      <c r="E108502"/>
      <c r="F108502"/>
    </row>
    <row r="108503" spans="1:6" x14ac:dyDescent="0.25">
      <c r="A108503"/>
      <c r="B108503"/>
      <c r="C108503"/>
      <c r="E108503"/>
      <c r="F108503"/>
    </row>
    <row r="108504" spans="1:6" x14ac:dyDescent="0.25">
      <c r="A108504"/>
      <c r="B108504"/>
      <c r="C108504"/>
      <c r="E108504"/>
      <c r="F108504"/>
    </row>
    <row r="108505" spans="1:6" x14ac:dyDescent="0.25">
      <c r="A108505"/>
      <c r="B108505"/>
      <c r="C108505"/>
      <c r="E108505"/>
      <c r="F108505"/>
    </row>
    <row r="108506" spans="1:6" x14ac:dyDescent="0.25">
      <c r="A108506"/>
      <c r="B108506"/>
      <c r="C108506"/>
      <c r="E108506"/>
      <c r="F108506"/>
    </row>
    <row r="108507" spans="1:6" x14ac:dyDescent="0.25">
      <c r="A108507"/>
      <c r="B108507"/>
      <c r="C108507"/>
      <c r="E108507"/>
      <c r="F108507"/>
    </row>
    <row r="108508" spans="1:6" x14ac:dyDescent="0.25">
      <c r="A108508"/>
      <c r="B108508"/>
      <c r="C108508"/>
      <c r="E108508"/>
      <c r="F108508"/>
    </row>
    <row r="108509" spans="1:6" x14ac:dyDescent="0.25">
      <c r="A108509"/>
      <c r="B108509"/>
      <c r="C108509"/>
      <c r="E108509"/>
      <c r="F108509"/>
    </row>
    <row r="108510" spans="1:6" x14ac:dyDescent="0.25">
      <c r="A108510"/>
      <c r="B108510"/>
      <c r="C108510"/>
      <c r="E108510"/>
      <c r="F108510"/>
    </row>
    <row r="108511" spans="1:6" x14ac:dyDescent="0.25">
      <c r="A108511"/>
      <c r="B108511"/>
      <c r="C108511"/>
      <c r="E108511"/>
      <c r="F108511"/>
    </row>
    <row r="108512" spans="1:6" x14ac:dyDescent="0.25">
      <c r="A108512"/>
      <c r="B108512"/>
      <c r="C108512"/>
      <c r="E108512"/>
      <c r="F108512"/>
    </row>
    <row r="108513" spans="1:6" x14ac:dyDescent="0.25">
      <c r="A108513"/>
      <c r="B108513"/>
      <c r="C108513"/>
      <c r="E108513"/>
      <c r="F108513"/>
    </row>
    <row r="108514" spans="1:6" x14ac:dyDescent="0.25">
      <c r="A108514"/>
      <c r="B108514"/>
      <c r="C108514"/>
      <c r="E108514"/>
      <c r="F108514"/>
    </row>
    <row r="108515" spans="1:6" x14ac:dyDescent="0.25">
      <c r="A108515"/>
      <c r="B108515"/>
      <c r="C108515"/>
      <c r="E108515"/>
      <c r="F108515"/>
    </row>
    <row r="108516" spans="1:6" x14ac:dyDescent="0.25">
      <c r="A108516"/>
      <c r="B108516"/>
      <c r="C108516"/>
      <c r="E108516"/>
      <c r="F108516"/>
    </row>
    <row r="108517" spans="1:6" x14ac:dyDescent="0.25">
      <c r="A108517"/>
      <c r="B108517"/>
      <c r="C108517"/>
      <c r="E108517"/>
      <c r="F108517"/>
    </row>
    <row r="108518" spans="1:6" x14ac:dyDescent="0.25">
      <c r="A108518"/>
      <c r="B108518"/>
      <c r="C108518"/>
      <c r="E108518"/>
      <c r="F108518"/>
    </row>
    <row r="108519" spans="1:6" x14ac:dyDescent="0.25">
      <c r="A108519"/>
      <c r="B108519"/>
      <c r="C108519"/>
      <c r="E108519"/>
      <c r="F108519"/>
    </row>
    <row r="108520" spans="1:6" x14ac:dyDescent="0.25">
      <c r="A108520"/>
      <c r="B108520"/>
      <c r="C108520"/>
      <c r="E108520"/>
      <c r="F108520"/>
    </row>
    <row r="108521" spans="1:6" x14ac:dyDescent="0.25">
      <c r="A108521"/>
      <c r="B108521"/>
      <c r="C108521"/>
      <c r="E108521"/>
      <c r="F108521"/>
    </row>
    <row r="108522" spans="1:6" x14ac:dyDescent="0.25">
      <c r="A108522"/>
      <c r="B108522"/>
      <c r="C108522"/>
      <c r="E108522"/>
      <c r="F108522"/>
    </row>
    <row r="108523" spans="1:6" x14ac:dyDescent="0.25">
      <c r="A108523"/>
      <c r="B108523"/>
      <c r="C108523"/>
      <c r="E108523"/>
      <c r="F108523"/>
    </row>
    <row r="108524" spans="1:6" x14ac:dyDescent="0.25">
      <c r="A108524"/>
      <c r="B108524"/>
      <c r="C108524"/>
      <c r="E108524"/>
      <c r="F108524"/>
    </row>
    <row r="108525" spans="1:6" x14ac:dyDescent="0.25">
      <c r="A108525"/>
      <c r="B108525"/>
      <c r="C108525"/>
      <c r="E108525"/>
      <c r="F108525"/>
    </row>
    <row r="108526" spans="1:6" x14ac:dyDescent="0.25">
      <c r="A108526"/>
      <c r="B108526"/>
      <c r="C108526"/>
      <c r="E108526"/>
      <c r="F108526"/>
    </row>
    <row r="108527" spans="1:6" x14ac:dyDescent="0.25">
      <c r="A108527"/>
      <c r="B108527"/>
      <c r="C108527"/>
      <c r="E108527"/>
      <c r="F108527"/>
    </row>
    <row r="108528" spans="1:6" x14ac:dyDescent="0.25">
      <c r="A108528"/>
      <c r="B108528"/>
      <c r="C108528"/>
      <c r="E108528"/>
      <c r="F108528"/>
    </row>
    <row r="108529" spans="1:6" x14ac:dyDescent="0.25">
      <c r="A108529"/>
      <c r="B108529"/>
      <c r="C108529"/>
      <c r="E108529"/>
      <c r="F108529"/>
    </row>
    <row r="108530" spans="1:6" x14ac:dyDescent="0.25">
      <c r="A108530"/>
      <c r="B108530"/>
      <c r="C108530"/>
      <c r="E108530"/>
      <c r="F108530"/>
    </row>
    <row r="108531" spans="1:6" x14ac:dyDescent="0.25">
      <c r="A108531"/>
      <c r="B108531"/>
      <c r="C108531"/>
      <c r="E108531"/>
      <c r="F108531"/>
    </row>
    <row r="108532" spans="1:6" x14ac:dyDescent="0.25">
      <c r="A108532"/>
      <c r="B108532"/>
      <c r="C108532"/>
      <c r="E108532"/>
      <c r="F108532"/>
    </row>
    <row r="108533" spans="1:6" x14ac:dyDescent="0.25">
      <c r="A108533"/>
      <c r="B108533"/>
      <c r="C108533"/>
      <c r="E108533"/>
      <c r="F108533"/>
    </row>
    <row r="108534" spans="1:6" x14ac:dyDescent="0.25">
      <c r="A108534"/>
      <c r="B108534"/>
      <c r="C108534"/>
      <c r="E108534"/>
      <c r="F108534"/>
    </row>
    <row r="108535" spans="1:6" x14ac:dyDescent="0.25">
      <c r="A108535"/>
      <c r="B108535"/>
      <c r="C108535"/>
      <c r="E108535"/>
      <c r="F108535"/>
    </row>
    <row r="108536" spans="1:6" x14ac:dyDescent="0.25">
      <c r="A108536"/>
      <c r="B108536"/>
      <c r="C108536"/>
      <c r="E108536"/>
      <c r="F108536"/>
    </row>
    <row r="108537" spans="1:6" x14ac:dyDescent="0.25">
      <c r="A108537"/>
      <c r="B108537"/>
      <c r="C108537"/>
      <c r="E108537"/>
      <c r="F108537"/>
    </row>
    <row r="108538" spans="1:6" x14ac:dyDescent="0.25">
      <c r="A108538"/>
      <c r="B108538"/>
      <c r="C108538"/>
      <c r="E108538"/>
      <c r="F108538"/>
    </row>
    <row r="108539" spans="1:6" x14ac:dyDescent="0.25">
      <c r="A108539"/>
      <c r="B108539"/>
      <c r="C108539"/>
      <c r="E108539"/>
      <c r="F108539"/>
    </row>
    <row r="108540" spans="1:6" x14ac:dyDescent="0.25">
      <c r="A108540"/>
      <c r="B108540"/>
      <c r="C108540"/>
      <c r="E108540"/>
      <c r="F108540"/>
    </row>
    <row r="108541" spans="1:6" x14ac:dyDescent="0.25">
      <c r="A108541"/>
      <c r="B108541"/>
      <c r="C108541"/>
      <c r="E108541"/>
      <c r="F108541"/>
    </row>
    <row r="108542" spans="1:6" x14ac:dyDescent="0.25">
      <c r="A108542"/>
      <c r="B108542"/>
      <c r="C108542"/>
      <c r="E108542"/>
      <c r="F108542"/>
    </row>
    <row r="108543" spans="1:6" x14ac:dyDescent="0.25">
      <c r="A108543"/>
      <c r="B108543"/>
      <c r="C108543"/>
      <c r="E108543"/>
      <c r="F108543"/>
    </row>
    <row r="108544" spans="1:6" x14ac:dyDescent="0.25">
      <c r="A108544"/>
      <c r="B108544"/>
      <c r="C108544"/>
      <c r="E108544"/>
      <c r="F108544"/>
    </row>
    <row r="108545" spans="1:6" x14ac:dyDescent="0.25">
      <c r="A108545"/>
      <c r="B108545"/>
      <c r="C108545"/>
      <c r="E108545"/>
      <c r="F108545"/>
    </row>
    <row r="108546" spans="1:6" x14ac:dyDescent="0.25">
      <c r="A108546"/>
      <c r="B108546"/>
      <c r="C108546"/>
      <c r="E108546"/>
      <c r="F108546"/>
    </row>
    <row r="108547" spans="1:6" x14ac:dyDescent="0.25">
      <c r="A108547"/>
      <c r="B108547"/>
      <c r="C108547"/>
      <c r="E108547"/>
      <c r="F108547"/>
    </row>
    <row r="108548" spans="1:6" x14ac:dyDescent="0.25">
      <c r="A108548"/>
      <c r="B108548"/>
      <c r="C108548"/>
      <c r="E108548"/>
      <c r="F108548"/>
    </row>
    <row r="108549" spans="1:6" x14ac:dyDescent="0.25">
      <c r="A108549"/>
      <c r="B108549"/>
      <c r="C108549"/>
      <c r="E108549"/>
      <c r="F108549"/>
    </row>
    <row r="108550" spans="1:6" x14ac:dyDescent="0.25">
      <c r="A108550"/>
      <c r="B108550"/>
      <c r="C108550"/>
      <c r="E108550"/>
      <c r="F108550"/>
    </row>
    <row r="108551" spans="1:6" x14ac:dyDescent="0.25">
      <c r="A108551"/>
      <c r="B108551"/>
      <c r="C108551"/>
      <c r="E108551"/>
      <c r="F108551"/>
    </row>
    <row r="108552" spans="1:6" x14ac:dyDescent="0.25">
      <c r="A108552"/>
      <c r="B108552"/>
      <c r="C108552"/>
      <c r="E108552"/>
      <c r="F108552"/>
    </row>
    <row r="108553" spans="1:6" x14ac:dyDescent="0.25">
      <c r="A108553"/>
      <c r="B108553"/>
      <c r="C108553"/>
      <c r="E108553"/>
      <c r="F108553"/>
    </row>
    <row r="108554" spans="1:6" x14ac:dyDescent="0.25">
      <c r="A108554"/>
      <c r="B108554"/>
      <c r="C108554"/>
      <c r="E108554"/>
      <c r="F108554"/>
    </row>
    <row r="108555" spans="1:6" x14ac:dyDescent="0.25">
      <c r="A108555"/>
      <c r="B108555"/>
      <c r="C108555"/>
      <c r="E108555"/>
      <c r="F108555"/>
    </row>
    <row r="108556" spans="1:6" x14ac:dyDescent="0.25">
      <c r="A108556"/>
      <c r="B108556"/>
      <c r="C108556"/>
      <c r="E108556"/>
      <c r="F108556"/>
    </row>
    <row r="108557" spans="1:6" x14ac:dyDescent="0.25">
      <c r="A108557"/>
      <c r="B108557"/>
      <c r="C108557"/>
      <c r="E108557"/>
      <c r="F108557"/>
    </row>
    <row r="108558" spans="1:6" x14ac:dyDescent="0.25">
      <c r="A108558"/>
      <c r="B108558"/>
      <c r="C108558"/>
      <c r="E108558"/>
      <c r="F108558"/>
    </row>
    <row r="108559" spans="1:6" x14ac:dyDescent="0.25">
      <c r="A108559"/>
      <c r="B108559"/>
      <c r="C108559"/>
      <c r="E108559"/>
      <c r="F108559"/>
    </row>
    <row r="108560" spans="1:6" x14ac:dyDescent="0.25">
      <c r="A108560"/>
      <c r="B108560"/>
      <c r="C108560"/>
      <c r="E108560"/>
      <c r="F108560"/>
    </row>
    <row r="108561" spans="1:6" x14ac:dyDescent="0.25">
      <c r="A108561"/>
      <c r="B108561"/>
      <c r="C108561"/>
      <c r="E108561"/>
      <c r="F108561"/>
    </row>
    <row r="108562" spans="1:6" x14ac:dyDescent="0.25">
      <c r="A108562"/>
      <c r="B108562"/>
      <c r="C108562"/>
      <c r="E108562"/>
      <c r="F108562"/>
    </row>
    <row r="108563" spans="1:6" x14ac:dyDescent="0.25">
      <c r="A108563"/>
      <c r="B108563"/>
      <c r="C108563"/>
      <c r="E108563"/>
      <c r="F108563"/>
    </row>
    <row r="108564" spans="1:6" x14ac:dyDescent="0.25">
      <c r="A108564"/>
      <c r="B108564"/>
      <c r="C108564"/>
      <c r="E108564"/>
      <c r="F108564"/>
    </row>
    <row r="108565" spans="1:6" x14ac:dyDescent="0.25">
      <c r="A108565"/>
      <c r="B108565"/>
      <c r="C108565"/>
      <c r="E108565"/>
      <c r="F108565"/>
    </row>
    <row r="108566" spans="1:6" x14ac:dyDescent="0.25">
      <c r="A108566"/>
      <c r="B108566"/>
      <c r="C108566"/>
      <c r="E108566"/>
      <c r="F108566"/>
    </row>
    <row r="108567" spans="1:6" x14ac:dyDescent="0.25">
      <c r="A108567"/>
      <c r="B108567"/>
      <c r="C108567"/>
      <c r="E108567"/>
      <c r="F108567"/>
    </row>
    <row r="108568" spans="1:6" x14ac:dyDescent="0.25">
      <c r="A108568"/>
      <c r="B108568"/>
      <c r="C108568"/>
      <c r="E108568"/>
      <c r="F108568"/>
    </row>
    <row r="108569" spans="1:6" x14ac:dyDescent="0.25">
      <c r="A108569"/>
      <c r="B108569"/>
      <c r="C108569"/>
      <c r="E108569"/>
      <c r="F108569"/>
    </row>
    <row r="108570" spans="1:6" x14ac:dyDescent="0.25">
      <c r="A108570"/>
      <c r="B108570"/>
      <c r="C108570"/>
      <c r="E108570"/>
      <c r="F108570"/>
    </row>
    <row r="108571" spans="1:6" x14ac:dyDescent="0.25">
      <c r="A108571"/>
      <c r="B108571"/>
      <c r="C108571"/>
      <c r="E108571"/>
      <c r="F108571"/>
    </row>
    <row r="108572" spans="1:6" x14ac:dyDescent="0.25">
      <c r="A108572"/>
      <c r="B108572"/>
      <c r="C108572"/>
      <c r="E108572"/>
      <c r="F108572"/>
    </row>
    <row r="108573" spans="1:6" x14ac:dyDescent="0.25">
      <c r="A108573"/>
      <c r="B108573"/>
      <c r="C108573"/>
      <c r="E108573"/>
      <c r="F108573"/>
    </row>
    <row r="108574" spans="1:6" x14ac:dyDescent="0.25">
      <c r="A108574"/>
      <c r="B108574"/>
      <c r="C108574"/>
      <c r="E108574"/>
      <c r="F108574"/>
    </row>
    <row r="108575" spans="1:6" x14ac:dyDescent="0.25">
      <c r="A108575"/>
      <c r="B108575"/>
      <c r="C108575"/>
      <c r="E108575"/>
      <c r="F108575"/>
    </row>
    <row r="108576" spans="1:6" x14ac:dyDescent="0.25">
      <c r="A108576"/>
      <c r="B108576"/>
      <c r="C108576"/>
      <c r="E108576"/>
      <c r="F108576"/>
    </row>
    <row r="108577" spans="1:6" x14ac:dyDescent="0.25">
      <c r="A108577"/>
      <c r="B108577"/>
      <c r="C108577"/>
      <c r="E108577"/>
      <c r="F108577"/>
    </row>
    <row r="108578" spans="1:6" x14ac:dyDescent="0.25">
      <c r="A108578"/>
      <c r="B108578"/>
      <c r="C108578"/>
      <c r="E108578"/>
      <c r="F108578"/>
    </row>
    <row r="108579" spans="1:6" x14ac:dyDescent="0.25">
      <c r="A108579"/>
      <c r="B108579"/>
      <c r="C108579"/>
      <c r="E108579"/>
      <c r="F108579"/>
    </row>
    <row r="108580" spans="1:6" x14ac:dyDescent="0.25">
      <c r="A108580"/>
      <c r="B108580"/>
      <c r="C108580"/>
      <c r="E108580"/>
      <c r="F108580"/>
    </row>
    <row r="108581" spans="1:6" x14ac:dyDescent="0.25">
      <c r="A108581"/>
      <c r="B108581"/>
      <c r="C108581"/>
      <c r="E108581"/>
      <c r="F108581"/>
    </row>
    <row r="108582" spans="1:6" x14ac:dyDescent="0.25">
      <c r="A108582"/>
      <c r="B108582"/>
      <c r="C108582"/>
      <c r="E108582"/>
      <c r="F108582"/>
    </row>
    <row r="108583" spans="1:6" x14ac:dyDescent="0.25">
      <c r="A108583"/>
      <c r="B108583"/>
      <c r="C108583"/>
      <c r="E108583"/>
      <c r="F108583"/>
    </row>
    <row r="108584" spans="1:6" x14ac:dyDescent="0.25">
      <c r="A108584"/>
      <c r="B108584"/>
      <c r="C108584"/>
      <c r="E108584"/>
      <c r="F108584"/>
    </row>
    <row r="108585" spans="1:6" x14ac:dyDescent="0.25">
      <c r="A108585"/>
      <c r="B108585"/>
      <c r="C108585"/>
      <c r="E108585"/>
      <c r="F108585"/>
    </row>
    <row r="108586" spans="1:6" x14ac:dyDescent="0.25">
      <c r="A108586"/>
      <c r="B108586"/>
      <c r="C108586"/>
      <c r="E108586"/>
      <c r="F108586"/>
    </row>
    <row r="108587" spans="1:6" x14ac:dyDescent="0.25">
      <c r="A108587"/>
      <c r="B108587"/>
      <c r="C108587"/>
      <c r="E108587"/>
      <c r="F108587"/>
    </row>
    <row r="108588" spans="1:6" x14ac:dyDescent="0.25">
      <c r="A108588"/>
      <c r="B108588"/>
      <c r="C108588"/>
      <c r="E108588"/>
      <c r="F108588"/>
    </row>
    <row r="108589" spans="1:6" x14ac:dyDescent="0.25">
      <c r="A108589"/>
      <c r="B108589"/>
      <c r="C108589"/>
      <c r="E108589"/>
      <c r="F108589"/>
    </row>
    <row r="108590" spans="1:6" x14ac:dyDescent="0.25">
      <c r="A108590"/>
      <c r="B108590"/>
      <c r="C108590"/>
      <c r="E108590"/>
      <c r="F108590"/>
    </row>
    <row r="108591" spans="1:6" x14ac:dyDescent="0.25">
      <c r="A108591"/>
      <c r="B108591"/>
      <c r="C108591"/>
      <c r="E108591"/>
      <c r="F108591"/>
    </row>
    <row r="108592" spans="1:6" x14ac:dyDescent="0.25">
      <c r="A108592"/>
      <c r="B108592"/>
      <c r="C108592"/>
      <c r="E108592"/>
      <c r="F108592"/>
    </row>
    <row r="108593" spans="1:6" x14ac:dyDescent="0.25">
      <c r="A108593"/>
      <c r="B108593"/>
      <c r="C108593"/>
      <c r="E108593"/>
      <c r="F108593"/>
    </row>
    <row r="108594" spans="1:6" x14ac:dyDescent="0.25">
      <c r="A108594"/>
      <c r="B108594"/>
      <c r="C108594"/>
      <c r="E108594"/>
      <c r="F108594"/>
    </row>
    <row r="108595" spans="1:6" x14ac:dyDescent="0.25">
      <c r="A108595"/>
      <c r="B108595"/>
      <c r="C108595"/>
      <c r="E108595"/>
      <c r="F108595"/>
    </row>
    <row r="108596" spans="1:6" x14ac:dyDescent="0.25">
      <c r="A108596"/>
      <c r="B108596"/>
      <c r="C108596"/>
      <c r="E108596"/>
      <c r="F108596"/>
    </row>
    <row r="108597" spans="1:6" x14ac:dyDescent="0.25">
      <c r="A108597"/>
      <c r="B108597"/>
      <c r="C108597"/>
      <c r="E108597"/>
      <c r="F108597"/>
    </row>
    <row r="108598" spans="1:6" x14ac:dyDescent="0.25">
      <c r="A108598"/>
      <c r="B108598"/>
      <c r="C108598"/>
      <c r="E108598"/>
      <c r="F108598"/>
    </row>
    <row r="108599" spans="1:6" x14ac:dyDescent="0.25">
      <c r="A108599"/>
      <c r="B108599"/>
      <c r="C108599"/>
      <c r="E108599"/>
      <c r="F108599"/>
    </row>
    <row r="108600" spans="1:6" x14ac:dyDescent="0.25">
      <c r="A108600"/>
      <c r="B108600"/>
      <c r="C108600"/>
      <c r="E108600"/>
      <c r="F108600"/>
    </row>
    <row r="108601" spans="1:6" x14ac:dyDescent="0.25">
      <c r="A108601"/>
      <c r="B108601"/>
      <c r="C108601"/>
      <c r="E108601"/>
      <c r="F108601"/>
    </row>
    <row r="108602" spans="1:6" x14ac:dyDescent="0.25">
      <c r="A108602"/>
      <c r="B108602"/>
      <c r="C108602"/>
      <c r="E108602"/>
      <c r="F108602"/>
    </row>
    <row r="108603" spans="1:6" x14ac:dyDescent="0.25">
      <c r="A108603"/>
      <c r="B108603"/>
      <c r="C108603"/>
      <c r="E108603"/>
      <c r="F108603"/>
    </row>
    <row r="108604" spans="1:6" x14ac:dyDescent="0.25">
      <c r="A108604"/>
      <c r="B108604"/>
      <c r="C108604"/>
      <c r="E108604"/>
      <c r="F108604"/>
    </row>
    <row r="108605" spans="1:6" x14ac:dyDescent="0.25">
      <c r="A108605"/>
      <c r="B108605"/>
      <c r="C108605"/>
      <c r="E108605"/>
      <c r="F108605"/>
    </row>
    <row r="108606" spans="1:6" x14ac:dyDescent="0.25">
      <c r="A108606"/>
      <c r="B108606"/>
      <c r="C108606"/>
      <c r="E108606"/>
      <c r="F108606"/>
    </row>
    <row r="108607" spans="1:6" x14ac:dyDescent="0.25">
      <c r="A108607"/>
      <c r="B108607"/>
      <c r="C108607"/>
      <c r="E108607"/>
      <c r="F108607"/>
    </row>
    <row r="108608" spans="1:6" x14ac:dyDescent="0.25">
      <c r="A108608"/>
      <c r="B108608"/>
      <c r="C108608"/>
      <c r="E108608"/>
      <c r="F108608"/>
    </row>
    <row r="108609" spans="1:6" x14ac:dyDescent="0.25">
      <c r="A108609"/>
      <c r="B108609"/>
      <c r="C108609"/>
      <c r="E108609"/>
      <c r="F108609"/>
    </row>
    <row r="108610" spans="1:6" x14ac:dyDescent="0.25">
      <c r="A108610"/>
      <c r="B108610"/>
      <c r="C108610"/>
      <c r="E108610"/>
      <c r="F108610"/>
    </row>
    <row r="108611" spans="1:6" x14ac:dyDescent="0.25">
      <c r="A108611"/>
      <c r="B108611"/>
      <c r="C108611"/>
      <c r="E108611"/>
      <c r="F108611"/>
    </row>
    <row r="108612" spans="1:6" x14ac:dyDescent="0.25">
      <c r="A108612"/>
      <c r="B108612"/>
      <c r="C108612"/>
      <c r="E108612"/>
      <c r="F108612"/>
    </row>
    <row r="108613" spans="1:6" x14ac:dyDescent="0.25">
      <c r="A108613"/>
      <c r="B108613"/>
      <c r="C108613"/>
      <c r="E108613"/>
      <c r="F108613"/>
    </row>
    <row r="108614" spans="1:6" x14ac:dyDescent="0.25">
      <c r="A108614"/>
      <c r="B108614"/>
      <c r="C108614"/>
      <c r="E108614"/>
      <c r="F108614"/>
    </row>
    <row r="108615" spans="1:6" x14ac:dyDescent="0.25">
      <c r="A108615"/>
      <c r="B108615"/>
      <c r="C108615"/>
      <c r="E108615"/>
      <c r="F108615"/>
    </row>
    <row r="108616" spans="1:6" x14ac:dyDescent="0.25">
      <c r="A108616"/>
      <c r="B108616"/>
      <c r="C108616"/>
      <c r="E108616"/>
      <c r="F108616"/>
    </row>
    <row r="108617" spans="1:6" x14ac:dyDescent="0.25">
      <c r="A108617"/>
      <c r="B108617"/>
      <c r="C108617"/>
      <c r="E108617"/>
      <c r="F108617"/>
    </row>
    <row r="108618" spans="1:6" x14ac:dyDescent="0.25">
      <c r="A108618"/>
      <c r="B108618"/>
      <c r="C108618"/>
      <c r="E108618"/>
      <c r="F108618"/>
    </row>
    <row r="108619" spans="1:6" x14ac:dyDescent="0.25">
      <c r="A108619"/>
      <c r="B108619"/>
      <c r="C108619"/>
      <c r="E108619"/>
      <c r="F108619"/>
    </row>
    <row r="108620" spans="1:6" x14ac:dyDescent="0.25">
      <c r="A108620"/>
      <c r="B108620"/>
      <c r="C108620"/>
      <c r="E108620"/>
      <c r="F108620"/>
    </row>
    <row r="108621" spans="1:6" x14ac:dyDescent="0.25">
      <c r="A108621"/>
      <c r="B108621"/>
      <c r="C108621"/>
      <c r="E108621"/>
      <c r="F108621"/>
    </row>
    <row r="108622" spans="1:6" x14ac:dyDescent="0.25">
      <c r="A108622"/>
      <c r="B108622"/>
      <c r="C108622"/>
      <c r="E108622"/>
      <c r="F108622"/>
    </row>
    <row r="108623" spans="1:6" x14ac:dyDescent="0.25">
      <c r="A108623"/>
      <c r="B108623"/>
      <c r="C108623"/>
      <c r="E108623"/>
      <c r="F108623"/>
    </row>
    <row r="108624" spans="1:6" x14ac:dyDescent="0.25">
      <c r="A108624"/>
      <c r="B108624"/>
      <c r="C108624"/>
      <c r="E108624"/>
      <c r="F108624"/>
    </row>
    <row r="108625" spans="1:6" x14ac:dyDescent="0.25">
      <c r="A108625"/>
      <c r="B108625"/>
      <c r="C108625"/>
      <c r="E108625"/>
      <c r="F108625"/>
    </row>
    <row r="108626" spans="1:6" x14ac:dyDescent="0.25">
      <c r="A108626"/>
      <c r="B108626"/>
      <c r="C108626"/>
      <c r="E108626"/>
      <c r="F108626"/>
    </row>
    <row r="108627" spans="1:6" x14ac:dyDescent="0.25">
      <c r="A108627"/>
      <c r="B108627"/>
      <c r="C108627"/>
      <c r="E108627"/>
      <c r="F108627"/>
    </row>
    <row r="108628" spans="1:6" x14ac:dyDescent="0.25">
      <c r="A108628"/>
      <c r="B108628"/>
      <c r="C108628"/>
      <c r="E108628"/>
      <c r="F108628"/>
    </row>
    <row r="108629" spans="1:6" x14ac:dyDescent="0.25">
      <c r="A108629"/>
      <c r="B108629"/>
      <c r="C108629"/>
      <c r="E108629"/>
      <c r="F108629"/>
    </row>
    <row r="108630" spans="1:6" x14ac:dyDescent="0.25">
      <c r="A108630"/>
      <c r="B108630"/>
      <c r="C108630"/>
      <c r="E108630"/>
      <c r="F108630"/>
    </row>
    <row r="108631" spans="1:6" x14ac:dyDescent="0.25">
      <c r="A108631"/>
      <c r="B108631"/>
      <c r="C108631"/>
      <c r="E108631"/>
      <c r="F108631"/>
    </row>
    <row r="108632" spans="1:6" x14ac:dyDescent="0.25">
      <c r="A108632"/>
      <c r="B108632"/>
      <c r="C108632"/>
      <c r="E108632"/>
      <c r="F108632"/>
    </row>
    <row r="108633" spans="1:6" x14ac:dyDescent="0.25">
      <c r="A108633"/>
      <c r="B108633"/>
      <c r="C108633"/>
      <c r="E108633"/>
      <c r="F108633"/>
    </row>
    <row r="108634" spans="1:6" x14ac:dyDescent="0.25">
      <c r="A108634"/>
      <c r="B108634"/>
      <c r="C108634"/>
      <c r="E108634"/>
      <c r="F108634"/>
    </row>
    <row r="108635" spans="1:6" x14ac:dyDescent="0.25">
      <c r="A108635"/>
      <c r="B108635"/>
      <c r="C108635"/>
      <c r="E108635"/>
      <c r="F108635"/>
    </row>
    <row r="108636" spans="1:6" x14ac:dyDescent="0.25">
      <c r="A108636"/>
      <c r="B108636"/>
      <c r="C108636"/>
      <c r="E108636"/>
      <c r="F108636"/>
    </row>
    <row r="108637" spans="1:6" x14ac:dyDescent="0.25">
      <c r="A108637"/>
      <c r="B108637"/>
      <c r="C108637"/>
      <c r="E108637"/>
      <c r="F108637"/>
    </row>
    <row r="108638" spans="1:6" x14ac:dyDescent="0.25">
      <c r="A108638"/>
      <c r="B108638"/>
      <c r="C108638"/>
      <c r="E108638"/>
      <c r="F108638"/>
    </row>
    <row r="108639" spans="1:6" x14ac:dyDescent="0.25">
      <c r="A108639"/>
      <c r="B108639"/>
      <c r="C108639"/>
      <c r="E108639"/>
      <c r="F108639"/>
    </row>
    <row r="108640" spans="1:6" x14ac:dyDescent="0.25">
      <c r="A108640"/>
      <c r="B108640"/>
      <c r="C108640"/>
      <c r="E108640"/>
      <c r="F108640"/>
    </row>
    <row r="108641" spans="1:6" x14ac:dyDescent="0.25">
      <c r="A108641"/>
      <c r="B108641"/>
      <c r="C108641"/>
      <c r="E108641"/>
      <c r="F108641"/>
    </row>
    <row r="108642" spans="1:6" x14ac:dyDescent="0.25">
      <c r="A108642"/>
      <c r="B108642"/>
      <c r="C108642"/>
      <c r="E108642"/>
      <c r="F108642"/>
    </row>
    <row r="108643" spans="1:6" x14ac:dyDescent="0.25">
      <c r="A108643"/>
      <c r="B108643"/>
      <c r="C108643"/>
      <c r="E108643"/>
      <c r="F108643"/>
    </row>
    <row r="108644" spans="1:6" x14ac:dyDescent="0.25">
      <c r="A108644"/>
      <c r="B108644"/>
      <c r="C108644"/>
      <c r="E108644"/>
      <c r="F108644"/>
    </row>
    <row r="108645" spans="1:6" x14ac:dyDescent="0.25">
      <c r="A108645"/>
      <c r="B108645"/>
      <c r="C108645"/>
      <c r="E108645"/>
      <c r="F108645"/>
    </row>
    <row r="108646" spans="1:6" x14ac:dyDescent="0.25">
      <c r="A108646"/>
      <c r="B108646"/>
      <c r="C108646"/>
      <c r="E108646"/>
      <c r="F108646"/>
    </row>
    <row r="108647" spans="1:6" x14ac:dyDescent="0.25">
      <c r="A108647"/>
      <c r="B108647"/>
      <c r="C108647"/>
      <c r="E108647"/>
      <c r="F108647"/>
    </row>
    <row r="108648" spans="1:6" x14ac:dyDescent="0.25">
      <c r="A108648"/>
      <c r="B108648"/>
      <c r="C108648"/>
      <c r="E108648"/>
      <c r="F108648"/>
    </row>
    <row r="108649" spans="1:6" x14ac:dyDescent="0.25">
      <c r="A108649"/>
      <c r="B108649"/>
      <c r="C108649"/>
      <c r="E108649"/>
      <c r="F108649"/>
    </row>
    <row r="108650" spans="1:6" x14ac:dyDescent="0.25">
      <c r="A108650"/>
      <c r="B108650"/>
      <c r="C108650"/>
      <c r="E108650"/>
      <c r="F108650"/>
    </row>
    <row r="108651" spans="1:6" x14ac:dyDescent="0.25">
      <c r="A108651"/>
      <c r="B108651"/>
      <c r="C108651"/>
      <c r="E108651"/>
      <c r="F108651"/>
    </row>
    <row r="108652" spans="1:6" x14ac:dyDescent="0.25">
      <c r="A108652"/>
      <c r="B108652"/>
      <c r="C108652"/>
      <c r="E108652"/>
      <c r="F108652"/>
    </row>
    <row r="108653" spans="1:6" x14ac:dyDescent="0.25">
      <c r="A108653"/>
      <c r="B108653"/>
      <c r="C108653"/>
      <c r="E108653"/>
      <c r="F108653"/>
    </row>
    <row r="108654" spans="1:6" x14ac:dyDescent="0.25">
      <c r="A108654"/>
      <c r="B108654"/>
      <c r="C108654"/>
      <c r="E108654"/>
      <c r="F108654"/>
    </row>
    <row r="108655" spans="1:6" x14ac:dyDescent="0.25">
      <c r="A108655"/>
      <c r="B108655"/>
      <c r="C108655"/>
      <c r="E108655"/>
      <c r="F108655"/>
    </row>
    <row r="108656" spans="1:6" x14ac:dyDescent="0.25">
      <c r="A108656"/>
      <c r="B108656"/>
      <c r="C108656"/>
      <c r="E108656"/>
      <c r="F108656"/>
    </row>
    <row r="108657" spans="1:6" x14ac:dyDescent="0.25">
      <c r="A108657"/>
      <c r="B108657"/>
      <c r="C108657"/>
      <c r="E108657"/>
      <c r="F108657"/>
    </row>
    <row r="108658" spans="1:6" x14ac:dyDescent="0.25">
      <c r="A108658"/>
      <c r="B108658"/>
      <c r="C108658"/>
      <c r="E108658"/>
      <c r="F108658"/>
    </row>
    <row r="108659" spans="1:6" x14ac:dyDescent="0.25">
      <c r="A108659"/>
      <c r="B108659"/>
      <c r="C108659"/>
      <c r="E108659"/>
      <c r="F108659"/>
    </row>
    <row r="108660" spans="1:6" x14ac:dyDescent="0.25">
      <c r="A108660"/>
      <c r="B108660"/>
      <c r="C108660"/>
      <c r="E108660"/>
      <c r="F108660"/>
    </row>
    <row r="108661" spans="1:6" x14ac:dyDescent="0.25">
      <c r="A108661"/>
      <c r="B108661"/>
      <c r="C108661"/>
      <c r="E108661"/>
      <c r="F108661"/>
    </row>
    <row r="108662" spans="1:6" x14ac:dyDescent="0.25">
      <c r="A108662"/>
      <c r="B108662"/>
      <c r="C108662"/>
      <c r="E108662"/>
      <c r="F108662"/>
    </row>
    <row r="108663" spans="1:6" x14ac:dyDescent="0.25">
      <c r="A108663"/>
      <c r="B108663"/>
      <c r="C108663"/>
      <c r="E108663"/>
      <c r="F108663"/>
    </row>
    <row r="108664" spans="1:6" x14ac:dyDescent="0.25">
      <c r="A108664"/>
      <c r="B108664"/>
      <c r="C108664"/>
      <c r="E108664"/>
      <c r="F108664"/>
    </row>
    <row r="108665" spans="1:6" x14ac:dyDescent="0.25">
      <c r="A108665"/>
      <c r="B108665"/>
      <c r="C108665"/>
      <c r="E108665"/>
      <c r="F108665"/>
    </row>
    <row r="108666" spans="1:6" x14ac:dyDescent="0.25">
      <c r="A108666"/>
      <c r="B108666"/>
      <c r="C108666"/>
      <c r="E108666"/>
      <c r="F108666"/>
    </row>
    <row r="108667" spans="1:6" x14ac:dyDescent="0.25">
      <c r="A108667"/>
      <c r="B108667"/>
      <c r="C108667"/>
      <c r="E108667"/>
      <c r="F108667"/>
    </row>
    <row r="108668" spans="1:6" x14ac:dyDescent="0.25">
      <c r="A108668"/>
      <c r="B108668"/>
      <c r="C108668"/>
      <c r="E108668"/>
      <c r="F108668"/>
    </row>
    <row r="108669" spans="1:6" x14ac:dyDescent="0.25">
      <c r="A108669"/>
      <c r="B108669"/>
      <c r="C108669"/>
      <c r="E108669"/>
      <c r="F108669"/>
    </row>
    <row r="108670" spans="1:6" x14ac:dyDescent="0.25">
      <c r="A108670"/>
      <c r="B108670"/>
      <c r="C108670"/>
      <c r="E108670"/>
      <c r="F108670"/>
    </row>
    <row r="108671" spans="1:6" x14ac:dyDescent="0.25">
      <c r="A108671"/>
      <c r="B108671"/>
      <c r="C108671"/>
      <c r="E108671"/>
      <c r="F108671"/>
    </row>
    <row r="108672" spans="1:6" x14ac:dyDescent="0.25">
      <c r="A108672"/>
      <c r="B108672"/>
      <c r="C108672"/>
      <c r="E108672"/>
      <c r="F108672"/>
    </row>
    <row r="108673" spans="1:6" x14ac:dyDescent="0.25">
      <c r="A108673"/>
      <c r="B108673"/>
      <c r="C108673"/>
      <c r="E108673"/>
      <c r="F108673"/>
    </row>
    <row r="108674" spans="1:6" x14ac:dyDescent="0.25">
      <c r="A108674"/>
      <c r="B108674"/>
      <c r="C108674"/>
      <c r="E108674"/>
      <c r="F108674"/>
    </row>
    <row r="108675" spans="1:6" x14ac:dyDescent="0.25">
      <c r="A108675"/>
      <c r="B108675"/>
      <c r="C108675"/>
      <c r="E108675"/>
      <c r="F108675"/>
    </row>
    <row r="108676" spans="1:6" x14ac:dyDescent="0.25">
      <c r="A108676"/>
      <c r="B108676"/>
      <c r="C108676"/>
      <c r="E108676"/>
      <c r="F108676"/>
    </row>
    <row r="108677" spans="1:6" x14ac:dyDescent="0.25">
      <c r="A108677"/>
      <c r="B108677"/>
      <c r="C108677"/>
      <c r="E108677"/>
      <c r="F108677"/>
    </row>
    <row r="108678" spans="1:6" x14ac:dyDescent="0.25">
      <c r="A108678"/>
      <c r="B108678"/>
      <c r="C108678"/>
      <c r="E108678"/>
      <c r="F108678"/>
    </row>
    <row r="108679" spans="1:6" x14ac:dyDescent="0.25">
      <c r="A108679"/>
      <c r="B108679"/>
      <c r="C108679"/>
      <c r="E108679"/>
      <c r="F108679"/>
    </row>
    <row r="108680" spans="1:6" x14ac:dyDescent="0.25">
      <c r="A108680"/>
      <c r="B108680"/>
      <c r="C108680"/>
      <c r="E108680"/>
      <c r="F108680"/>
    </row>
    <row r="108681" spans="1:6" x14ac:dyDescent="0.25">
      <c r="A108681"/>
      <c r="B108681"/>
      <c r="C108681"/>
      <c r="E108681"/>
      <c r="F108681"/>
    </row>
    <row r="108682" spans="1:6" x14ac:dyDescent="0.25">
      <c r="A108682"/>
      <c r="B108682"/>
      <c r="C108682"/>
      <c r="E108682"/>
      <c r="F108682"/>
    </row>
    <row r="108683" spans="1:6" x14ac:dyDescent="0.25">
      <c r="A108683"/>
      <c r="B108683"/>
      <c r="C108683"/>
      <c r="E108683"/>
      <c r="F108683"/>
    </row>
    <row r="108684" spans="1:6" x14ac:dyDescent="0.25">
      <c r="A108684"/>
      <c r="B108684"/>
      <c r="C108684"/>
      <c r="E108684"/>
      <c r="F108684"/>
    </row>
    <row r="108685" spans="1:6" x14ac:dyDescent="0.25">
      <c r="A108685"/>
      <c r="B108685"/>
      <c r="C108685"/>
      <c r="E108685"/>
      <c r="F108685"/>
    </row>
    <row r="108686" spans="1:6" x14ac:dyDescent="0.25">
      <c r="A108686"/>
      <c r="B108686"/>
      <c r="C108686"/>
      <c r="E108686"/>
      <c r="F108686"/>
    </row>
    <row r="108687" spans="1:6" x14ac:dyDescent="0.25">
      <c r="A108687"/>
      <c r="B108687"/>
      <c r="C108687"/>
      <c r="E108687"/>
      <c r="F108687"/>
    </row>
    <row r="108688" spans="1:6" x14ac:dyDescent="0.25">
      <c r="A108688"/>
      <c r="B108688"/>
      <c r="C108688"/>
      <c r="E108688"/>
      <c r="F108688"/>
    </row>
    <row r="108689" spans="1:6" x14ac:dyDescent="0.25">
      <c r="A108689"/>
      <c r="B108689"/>
      <c r="C108689"/>
      <c r="E108689"/>
      <c r="F108689"/>
    </row>
    <row r="108690" spans="1:6" x14ac:dyDescent="0.25">
      <c r="A108690"/>
      <c r="B108690"/>
      <c r="C108690"/>
      <c r="E108690"/>
      <c r="F108690"/>
    </row>
    <row r="108691" spans="1:6" x14ac:dyDescent="0.25">
      <c r="A108691"/>
      <c r="B108691"/>
      <c r="C108691"/>
      <c r="E108691"/>
      <c r="F108691"/>
    </row>
    <row r="108692" spans="1:6" x14ac:dyDescent="0.25">
      <c r="A108692"/>
      <c r="B108692"/>
      <c r="C108692"/>
      <c r="E108692"/>
      <c r="F108692"/>
    </row>
    <row r="108693" spans="1:6" x14ac:dyDescent="0.25">
      <c r="A108693"/>
      <c r="B108693"/>
      <c r="C108693"/>
      <c r="E108693"/>
      <c r="F108693"/>
    </row>
    <row r="108694" spans="1:6" x14ac:dyDescent="0.25">
      <c r="A108694"/>
      <c r="B108694"/>
      <c r="C108694"/>
      <c r="E108694"/>
      <c r="F108694"/>
    </row>
    <row r="108695" spans="1:6" x14ac:dyDescent="0.25">
      <c r="A108695"/>
      <c r="B108695"/>
      <c r="C108695"/>
      <c r="E108695"/>
      <c r="F108695"/>
    </row>
    <row r="108696" spans="1:6" x14ac:dyDescent="0.25">
      <c r="A108696"/>
      <c r="B108696"/>
      <c r="C108696"/>
      <c r="E108696"/>
      <c r="F108696"/>
    </row>
    <row r="108697" spans="1:6" x14ac:dyDescent="0.25">
      <c r="A108697"/>
      <c r="B108697"/>
      <c r="C108697"/>
      <c r="E108697"/>
      <c r="F108697"/>
    </row>
    <row r="108698" spans="1:6" x14ac:dyDescent="0.25">
      <c r="A108698"/>
      <c r="B108698"/>
      <c r="C108698"/>
      <c r="E108698"/>
      <c r="F108698"/>
    </row>
    <row r="108699" spans="1:6" x14ac:dyDescent="0.25">
      <c r="A108699"/>
      <c r="B108699"/>
      <c r="C108699"/>
      <c r="E108699"/>
      <c r="F108699"/>
    </row>
    <row r="108700" spans="1:6" x14ac:dyDescent="0.25">
      <c r="A108700"/>
      <c r="B108700"/>
      <c r="C108700"/>
      <c r="E108700"/>
      <c r="F108700"/>
    </row>
    <row r="108701" spans="1:6" x14ac:dyDescent="0.25">
      <c r="A108701"/>
      <c r="B108701"/>
      <c r="C108701"/>
      <c r="E108701"/>
      <c r="F108701"/>
    </row>
    <row r="108702" spans="1:6" x14ac:dyDescent="0.25">
      <c r="A108702"/>
      <c r="B108702"/>
      <c r="C108702"/>
      <c r="E108702"/>
      <c r="F108702"/>
    </row>
    <row r="108703" spans="1:6" x14ac:dyDescent="0.25">
      <c r="A108703"/>
      <c r="B108703"/>
      <c r="C108703"/>
      <c r="E108703"/>
      <c r="F108703"/>
    </row>
    <row r="108704" spans="1:6" x14ac:dyDescent="0.25">
      <c r="A108704"/>
      <c r="B108704"/>
      <c r="C108704"/>
      <c r="E108704"/>
      <c r="F108704"/>
    </row>
    <row r="108705" spans="1:6" x14ac:dyDescent="0.25">
      <c r="A108705"/>
      <c r="B108705"/>
      <c r="C108705"/>
      <c r="E108705"/>
      <c r="F108705"/>
    </row>
    <row r="108706" spans="1:6" x14ac:dyDescent="0.25">
      <c r="A108706"/>
      <c r="B108706"/>
      <c r="C108706"/>
      <c r="E108706"/>
      <c r="F108706"/>
    </row>
    <row r="108707" spans="1:6" x14ac:dyDescent="0.25">
      <c r="A108707"/>
      <c r="B108707"/>
      <c r="C108707"/>
      <c r="E108707"/>
      <c r="F108707"/>
    </row>
    <row r="108708" spans="1:6" x14ac:dyDescent="0.25">
      <c r="A108708"/>
      <c r="B108708"/>
      <c r="C108708"/>
      <c r="E108708"/>
      <c r="F108708"/>
    </row>
    <row r="108709" spans="1:6" x14ac:dyDescent="0.25">
      <c r="A108709"/>
      <c r="B108709"/>
      <c r="C108709"/>
      <c r="E108709"/>
      <c r="F108709"/>
    </row>
    <row r="108710" spans="1:6" x14ac:dyDescent="0.25">
      <c r="A108710"/>
      <c r="B108710"/>
      <c r="C108710"/>
      <c r="E108710"/>
      <c r="F108710"/>
    </row>
    <row r="108711" spans="1:6" x14ac:dyDescent="0.25">
      <c r="A108711"/>
      <c r="B108711"/>
      <c r="C108711"/>
      <c r="E108711"/>
      <c r="F108711"/>
    </row>
    <row r="108712" spans="1:6" x14ac:dyDescent="0.25">
      <c r="A108712"/>
      <c r="B108712"/>
      <c r="C108712"/>
      <c r="E108712"/>
      <c r="F108712"/>
    </row>
    <row r="108713" spans="1:6" x14ac:dyDescent="0.25">
      <c r="A108713"/>
      <c r="B108713"/>
      <c r="C108713"/>
      <c r="E108713"/>
      <c r="F108713"/>
    </row>
    <row r="108714" spans="1:6" x14ac:dyDescent="0.25">
      <c r="A108714"/>
      <c r="B108714"/>
      <c r="C108714"/>
      <c r="E108714"/>
      <c r="F108714"/>
    </row>
    <row r="108715" spans="1:6" x14ac:dyDescent="0.25">
      <c r="A108715"/>
      <c r="B108715"/>
      <c r="C108715"/>
      <c r="E108715"/>
      <c r="F108715"/>
    </row>
    <row r="108716" spans="1:6" x14ac:dyDescent="0.25">
      <c r="A108716"/>
      <c r="B108716"/>
      <c r="C108716"/>
      <c r="E108716"/>
      <c r="F108716"/>
    </row>
    <row r="108717" spans="1:6" x14ac:dyDescent="0.25">
      <c r="A108717"/>
      <c r="B108717"/>
      <c r="C108717"/>
      <c r="E108717"/>
      <c r="F108717"/>
    </row>
    <row r="108718" spans="1:6" x14ac:dyDescent="0.25">
      <c r="A108718"/>
      <c r="B108718"/>
      <c r="C108718"/>
      <c r="E108718"/>
      <c r="F108718"/>
    </row>
    <row r="108719" spans="1:6" x14ac:dyDescent="0.25">
      <c r="A108719"/>
      <c r="B108719"/>
      <c r="C108719"/>
      <c r="E108719"/>
      <c r="F108719"/>
    </row>
    <row r="108720" spans="1:6" x14ac:dyDescent="0.25">
      <c r="A108720"/>
      <c r="B108720"/>
      <c r="C108720"/>
      <c r="E108720"/>
      <c r="F108720"/>
    </row>
    <row r="108721" spans="1:6" x14ac:dyDescent="0.25">
      <c r="A108721"/>
      <c r="B108721"/>
      <c r="C108721"/>
      <c r="E108721"/>
      <c r="F108721"/>
    </row>
    <row r="108722" spans="1:6" x14ac:dyDescent="0.25">
      <c r="A108722"/>
      <c r="B108722"/>
      <c r="C108722"/>
      <c r="E108722"/>
      <c r="F108722"/>
    </row>
    <row r="108723" spans="1:6" x14ac:dyDescent="0.25">
      <c r="A108723"/>
      <c r="B108723"/>
      <c r="C108723"/>
      <c r="E108723"/>
      <c r="F108723"/>
    </row>
    <row r="108724" spans="1:6" x14ac:dyDescent="0.25">
      <c r="A108724"/>
      <c r="B108724"/>
      <c r="C108724"/>
      <c r="E108724"/>
      <c r="F108724"/>
    </row>
    <row r="108725" spans="1:6" x14ac:dyDescent="0.25">
      <c r="A108725"/>
      <c r="B108725"/>
      <c r="C108725"/>
      <c r="E108725"/>
      <c r="F108725"/>
    </row>
    <row r="108726" spans="1:6" x14ac:dyDescent="0.25">
      <c r="A108726"/>
      <c r="B108726"/>
      <c r="C108726"/>
      <c r="E108726"/>
      <c r="F108726"/>
    </row>
    <row r="108727" spans="1:6" x14ac:dyDescent="0.25">
      <c r="A108727"/>
      <c r="B108727"/>
      <c r="C108727"/>
      <c r="E108727"/>
      <c r="F108727"/>
    </row>
    <row r="108728" spans="1:6" x14ac:dyDescent="0.25">
      <c r="A108728"/>
      <c r="B108728"/>
      <c r="C108728"/>
      <c r="E108728"/>
      <c r="F108728"/>
    </row>
    <row r="108729" spans="1:6" x14ac:dyDescent="0.25">
      <c r="A108729"/>
      <c r="B108729"/>
      <c r="C108729"/>
      <c r="E108729"/>
      <c r="F108729"/>
    </row>
    <row r="108730" spans="1:6" x14ac:dyDescent="0.25">
      <c r="A108730"/>
      <c r="B108730"/>
      <c r="C108730"/>
      <c r="E108730"/>
      <c r="F108730"/>
    </row>
    <row r="108731" spans="1:6" x14ac:dyDescent="0.25">
      <c r="A108731"/>
      <c r="B108731"/>
      <c r="C108731"/>
      <c r="E108731"/>
      <c r="F108731"/>
    </row>
    <row r="108732" spans="1:6" x14ac:dyDescent="0.25">
      <c r="A108732"/>
      <c r="B108732"/>
      <c r="C108732"/>
      <c r="E108732"/>
      <c r="F108732"/>
    </row>
    <row r="108733" spans="1:6" x14ac:dyDescent="0.25">
      <c r="A108733"/>
      <c r="B108733"/>
      <c r="C108733"/>
      <c r="E108733"/>
      <c r="F108733"/>
    </row>
    <row r="108734" spans="1:6" x14ac:dyDescent="0.25">
      <c r="A108734"/>
      <c r="B108734"/>
      <c r="C108734"/>
      <c r="E108734"/>
      <c r="F108734"/>
    </row>
    <row r="108735" spans="1:6" x14ac:dyDescent="0.25">
      <c r="A108735"/>
      <c r="B108735"/>
      <c r="C108735"/>
      <c r="E108735"/>
      <c r="F108735"/>
    </row>
    <row r="108736" spans="1:6" x14ac:dyDescent="0.25">
      <c r="A108736"/>
      <c r="B108736"/>
      <c r="C108736"/>
      <c r="E108736"/>
      <c r="F108736"/>
    </row>
    <row r="108737" spans="1:6" x14ac:dyDescent="0.25">
      <c r="A108737"/>
      <c r="B108737"/>
      <c r="C108737"/>
      <c r="E108737"/>
      <c r="F108737"/>
    </row>
    <row r="108738" spans="1:6" x14ac:dyDescent="0.25">
      <c r="A108738"/>
      <c r="B108738"/>
      <c r="C108738"/>
      <c r="E108738"/>
      <c r="F108738"/>
    </row>
    <row r="108739" spans="1:6" x14ac:dyDescent="0.25">
      <c r="A108739"/>
      <c r="B108739"/>
      <c r="C108739"/>
      <c r="E108739"/>
      <c r="F108739"/>
    </row>
    <row r="108740" spans="1:6" x14ac:dyDescent="0.25">
      <c r="A108740"/>
      <c r="B108740"/>
      <c r="C108740"/>
      <c r="E108740"/>
      <c r="F108740"/>
    </row>
    <row r="108741" spans="1:6" x14ac:dyDescent="0.25">
      <c r="A108741"/>
      <c r="B108741"/>
      <c r="C108741"/>
      <c r="E108741"/>
      <c r="F108741"/>
    </row>
    <row r="108742" spans="1:6" x14ac:dyDescent="0.25">
      <c r="A108742"/>
      <c r="B108742"/>
      <c r="C108742"/>
      <c r="E108742"/>
      <c r="F108742"/>
    </row>
    <row r="108743" spans="1:6" x14ac:dyDescent="0.25">
      <c r="A108743"/>
      <c r="B108743"/>
      <c r="C108743"/>
      <c r="E108743"/>
      <c r="F108743"/>
    </row>
    <row r="108744" spans="1:6" x14ac:dyDescent="0.25">
      <c r="A108744"/>
      <c r="B108744"/>
      <c r="C108744"/>
      <c r="E108744"/>
      <c r="F108744"/>
    </row>
    <row r="108745" spans="1:6" x14ac:dyDescent="0.25">
      <c r="A108745"/>
      <c r="B108745"/>
      <c r="C108745"/>
      <c r="E108745"/>
      <c r="F108745"/>
    </row>
    <row r="108746" spans="1:6" x14ac:dyDescent="0.25">
      <c r="A108746"/>
      <c r="B108746"/>
      <c r="C108746"/>
      <c r="E108746"/>
      <c r="F108746"/>
    </row>
    <row r="108747" spans="1:6" x14ac:dyDescent="0.25">
      <c r="A108747"/>
      <c r="B108747"/>
      <c r="C108747"/>
      <c r="E108747"/>
      <c r="F108747"/>
    </row>
    <row r="108748" spans="1:6" x14ac:dyDescent="0.25">
      <c r="A108748"/>
      <c r="B108748"/>
      <c r="C108748"/>
      <c r="E108748"/>
      <c r="F108748"/>
    </row>
    <row r="108749" spans="1:6" x14ac:dyDescent="0.25">
      <c r="A108749"/>
      <c r="B108749"/>
      <c r="C108749"/>
      <c r="E108749"/>
      <c r="F108749"/>
    </row>
    <row r="108750" spans="1:6" x14ac:dyDescent="0.25">
      <c r="A108750"/>
      <c r="B108750"/>
      <c r="C108750"/>
      <c r="E108750"/>
      <c r="F108750"/>
    </row>
    <row r="108751" spans="1:6" x14ac:dyDescent="0.25">
      <c r="A108751"/>
      <c r="B108751"/>
      <c r="C108751"/>
      <c r="E108751"/>
      <c r="F108751"/>
    </row>
    <row r="108752" spans="1:6" x14ac:dyDescent="0.25">
      <c r="A108752"/>
      <c r="B108752"/>
      <c r="C108752"/>
      <c r="E108752"/>
      <c r="F108752"/>
    </row>
    <row r="108753" spans="1:6" x14ac:dyDescent="0.25">
      <c r="A108753"/>
      <c r="B108753"/>
      <c r="C108753"/>
      <c r="E108753"/>
      <c r="F108753"/>
    </row>
    <row r="108754" spans="1:6" x14ac:dyDescent="0.25">
      <c r="A108754"/>
      <c r="B108754"/>
      <c r="C108754"/>
      <c r="E108754"/>
      <c r="F108754"/>
    </row>
    <row r="108755" spans="1:6" x14ac:dyDescent="0.25">
      <c r="A108755"/>
      <c r="B108755"/>
      <c r="C108755"/>
      <c r="E108755"/>
      <c r="F108755"/>
    </row>
    <row r="108756" spans="1:6" x14ac:dyDescent="0.25">
      <c r="A108756"/>
      <c r="B108756"/>
      <c r="C108756"/>
      <c r="E108756"/>
      <c r="F108756"/>
    </row>
    <row r="108757" spans="1:6" x14ac:dyDescent="0.25">
      <c r="A108757"/>
      <c r="B108757"/>
      <c r="C108757"/>
      <c r="E108757"/>
      <c r="F108757"/>
    </row>
    <row r="108758" spans="1:6" x14ac:dyDescent="0.25">
      <c r="A108758"/>
      <c r="B108758"/>
      <c r="C108758"/>
      <c r="E108758"/>
      <c r="F108758"/>
    </row>
    <row r="108759" spans="1:6" x14ac:dyDescent="0.25">
      <c r="A108759"/>
      <c r="B108759"/>
      <c r="C108759"/>
      <c r="E108759"/>
      <c r="F108759"/>
    </row>
    <row r="108760" spans="1:6" x14ac:dyDescent="0.25">
      <c r="A108760"/>
      <c r="B108760"/>
      <c r="C108760"/>
      <c r="E108760"/>
      <c r="F108760"/>
    </row>
    <row r="108761" spans="1:6" x14ac:dyDescent="0.25">
      <c r="A108761"/>
      <c r="B108761"/>
      <c r="C108761"/>
      <c r="E108761"/>
      <c r="F108761"/>
    </row>
    <row r="108762" spans="1:6" x14ac:dyDescent="0.25">
      <c r="A108762"/>
      <c r="B108762"/>
      <c r="C108762"/>
      <c r="E108762"/>
      <c r="F108762"/>
    </row>
    <row r="108763" spans="1:6" x14ac:dyDescent="0.25">
      <c r="A108763"/>
      <c r="B108763"/>
      <c r="C108763"/>
      <c r="E108763"/>
      <c r="F108763"/>
    </row>
    <row r="108764" spans="1:6" x14ac:dyDescent="0.25">
      <c r="A108764"/>
      <c r="B108764"/>
      <c r="C108764"/>
      <c r="E108764"/>
      <c r="F108764"/>
    </row>
    <row r="108765" spans="1:6" x14ac:dyDescent="0.25">
      <c r="A108765"/>
      <c r="B108765"/>
      <c r="C108765"/>
      <c r="E108765"/>
      <c r="F108765"/>
    </row>
    <row r="108766" spans="1:6" x14ac:dyDescent="0.25">
      <c r="A108766"/>
      <c r="B108766"/>
      <c r="C108766"/>
      <c r="E108766"/>
      <c r="F108766"/>
    </row>
    <row r="108767" spans="1:6" x14ac:dyDescent="0.25">
      <c r="A108767"/>
      <c r="B108767"/>
      <c r="C108767"/>
      <c r="E108767"/>
      <c r="F108767"/>
    </row>
    <row r="108768" spans="1:6" x14ac:dyDescent="0.25">
      <c r="A108768"/>
      <c r="B108768"/>
      <c r="C108768"/>
      <c r="E108768"/>
      <c r="F108768"/>
    </row>
    <row r="108769" spans="1:6" x14ac:dyDescent="0.25">
      <c r="A108769"/>
      <c r="B108769"/>
      <c r="C108769"/>
      <c r="E108769"/>
      <c r="F108769"/>
    </row>
    <row r="108770" spans="1:6" x14ac:dyDescent="0.25">
      <c r="A108770"/>
      <c r="B108770"/>
      <c r="C108770"/>
      <c r="E108770"/>
      <c r="F108770"/>
    </row>
    <row r="108771" spans="1:6" x14ac:dyDescent="0.25">
      <c r="A108771"/>
      <c r="B108771"/>
      <c r="C108771"/>
      <c r="E108771"/>
      <c r="F108771"/>
    </row>
    <row r="108772" spans="1:6" x14ac:dyDescent="0.25">
      <c r="A108772"/>
      <c r="B108772"/>
      <c r="C108772"/>
      <c r="E108772"/>
      <c r="F108772"/>
    </row>
    <row r="108773" spans="1:6" x14ac:dyDescent="0.25">
      <c r="A108773"/>
      <c r="B108773"/>
      <c r="C108773"/>
      <c r="E108773"/>
      <c r="F108773"/>
    </row>
    <row r="108774" spans="1:6" x14ac:dyDescent="0.25">
      <c r="A108774"/>
      <c r="B108774"/>
      <c r="C108774"/>
      <c r="E108774"/>
      <c r="F108774"/>
    </row>
    <row r="108775" spans="1:6" x14ac:dyDescent="0.25">
      <c r="A108775"/>
      <c r="B108775"/>
      <c r="C108775"/>
      <c r="E108775"/>
      <c r="F108775"/>
    </row>
    <row r="108776" spans="1:6" x14ac:dyDescent="0.25">
      <c r="A108776"/>
      <c r="B108776"/>
      <c r="C108776"/>
      <c r="E108776"/>
      <c r="F108776"/>
    </row>
    <row r="108777" spans="1:6" x14ac:dyDescent="0.25">
      <c r="A108777"/>
      <c r="B108777"/>
      <c r="C108777"/>
      <c r="E108777"/>
      <c r="F108777"/>
    </row>
    <row r="108778" spans="1:6" x14ac:dyDescent="0.25">
      <c r="A108778"/>
      <c r="B108778"/>
      <c r="C108778"/>
      <c r="E108778"/>
      <c r="F108778"/>
    </row>
    <row r="108779" spans="1:6" x14ac:dyDescent="0.25">
      <c r="A108779"/>
      <c r="B108779"/>
      <c r="C108779"/>
      <c r="E108779"/>
      <c r="F108779"/>
    </row>
    <row r="108780" spans="1:6" x14ac:dyDescent="0.25">
      <c r="A108780"/>
      <c r="B108780"/>
      <c r="C108780"/>
      <c r="E108780"/>
      <c r="F108780"/>
    </row>
    <row r="108781" spans="1:6" x14ac:dyDescent="0.25">
      <c r="A108781"/>
      <c r="B108781"/>
      <c r="C108781"/>
      <c r="E108781"/>
      <c r="F108781"/>
    </row>
    <row r="108782" spans="1:6" x14ac:dyDescent="0.25">
      <c r="A108782"/>
      <c r="B108782"/>
      <c r="C108782"/>
      <c r="E108782"/>
      <c r="F108782"/>
    </row>
    <row r="108783" spans="1:6" x14ac:dyDescent="0.25">
      <c r="A108783"/>
      <c r="B108783"/>
      <c r="C108783"/>
      <c r="E108783"/>
      <c r="F108783"/>
    </row>
    <row r="108784" spans="1:6" x14ac:dyDescent="0.25">
      <c r="A108784"/>
      <c r="B108784"/>
      <c r="C108784"/>
      <c r="E108784"/>
      <c r="F108784"/>
    </row>
    <row r="108785" spans="1:6" x14ac:dyDescent="0.25">
      <c r="A108785"/>
      <c r="B108785"/>
      <c r="C108785"/>
      <c r="E108785"/>
      <c r="F108785"/>
    </row>
    <row r="108786" spans="1:6" x14ac:dyDescent="0.25">
      <c r="A108786"/>
      <c r="B108786"/>
      <c r="C108786"/>
      <c r="E108786"/>
      <c r="F108786"/>
    </row>
    <row r="108787" spans="1:6" x14ac:dyDescent="0.25">
      <c r="A108787"/>
      <c r="B108787"/>
      <c r="C108787"/>
      <c r="E108787"/>
      <c r="F108787"/>
    </row>
    <row r="108788" spans="1:6" x14ac:dyDescent="0.25">
      <c r="A108788"/>
      <c r="B108788"/>
      <c r="C108788"/>
      <c r="E108788"/>
      <c r="F108788"/>
    </row>
    <row r="108789" spans="1:6" x14ac:dyDescent="0.25">
      <c r="A108789"/>
      <c r="B108789"/>
      <c r="C108789"/>
      <c r="E108789"/>
      <c r="F108789"/>
    </row>
    <row r="108790" spans="1:6" x14ac:dyDescent="0.25">
      <c r="A108790"/>
      <c r="B108790"/>
      <c r="C108790"/>
      <c r="E108790"/>
      <c r="F108790"/>
    </row>
    <row r="108791" spans="1:6" x14ac:dyDescent="0.25">
      <c r="A108791"/>
      <c r="B108791"/>
      <c r="C108791"/>
      <c r="E108791"/>
      <c r="F108791"/>
    </row>
    <row r="108792" spans="1:6" x14ac:dyDescent="0.25">
      <c r="A108792"/>
      <c r="B108792"/>
      <c r="C108792"/>
      <c r="E108792"/>
      <c r="F108792"/>
    </row>
    <row r="108793" spans="1:6" x14ac:dyDescent="0.25">
      <c r="A108793"/>
      <c r="B108793"/>
      <c r="C108793"/>
      <c r="E108793"/>
      <c r="F108793"/>
    </row>
    <row r="108794" spans="1:6" x14ac:dyDescent="0.25">
      <c r="A108794"/>
      <c r="B108794"/>
      <c r="C108794"/>
      <c r="E108794"/>
      <c r="F108794"/>
    </row>
    <row r="108795" spans="1:6" x14ac:dyDescent="0.25">
      <c r="A108795"/>
      <c r="B108795"/>
      <c r="C108795"/>
      <c r="E108795"/>
      <c r="F108795"/>
    </row>
    <row r="108796" spans="1:6" x14ac:dyDescent="0.25">
      <c r="A108796"/>
      <c r="B108796"/>
      <c r="C108796"/>
      <c r="E108796"/>
      <c r="F108796"/>
    </row>
    <row r="108797" spans="1:6" x14ac:dyDescent="0.25">
      <c r="A108797"/>
      <c r="B108797"/>
      <c r="C108797"/>
      <c r="E108797"/>
      <c r="F108797"/>
    </row>
    <row r="108798" spans="1:6" x14ac:dyDescent="0.25">
      <c r="A108798"/>
      <c r="B108798"/>
      <c r="C108798"/>
      <c r="E108798"/>
      <c r="F108798"/>
    </row>
    <row r="108799" spans="1:6" x14ac:dyDescent="0.25">
      <c r="A108799"/>
      <c r="B108799"/>
      <c r="C108799"/>
      <c r="E108799"/>
      <c r="F108799"/>
    </row>
    <row r="108800" spans="1:6" x14ac:dyDescent="0.25">
      <c r="A108800"/>
      <c r="B108800"/>
      <c r="C108800"/>
      <c r="E108800"/>
      <c r="F108800"/>
    </row>
    <row r="108801" spans="1:6" x14ac:dyDescent="0.25">
      <c r="A108801"/>
      <c r="B108801"/>
      <c r="C108801"/>
      <c r="E108801"/>
      <c r="F108801"/>
    </row>
    <row r="108802" spans="1:6" x14ac:dyDescent="0.25">
      <c r="A108802"/>
      <c r="B108802"/>
      <c r="C108802"/>
      <c r="E108802"/>
      <c r="F108802"/>
    </row>
    <row r="108803" spans="1:6" x14ac:dyDescent="0.25">
      <c r="A108803"/>
      <c r="B108803"/>
      <c r="C108803"/>
      <c r="E108803"/>
      <c r="F108803"/>
    </row>
    <row r="108804" spans="1:6" x14ac:dyDescent="0.25">
      <c r="A108804"/>
      <c r="B108804"/>
      <c r="C108804"/>
      <c r="E108804"/>
      <c r="F108804"/>
    </row>
    <row r="108805" spans="1:6" x14ac:dyDescent="0.25">
      <c r="A108805"/>
      <c r="B108805"/>
      <c r="C108805"/>
      <c r="E108805"/>
      <c r="F108805"/>
    </row>
    <row r="108806" spans="1:6" x14ac:dyDescent="0.25">
      <c r="A108806"/>
      <c r="B108806"/>
      <c r="C108806"/>
      <c r="E108806"/>
      <c r="F108806"/>
    </row>
    <row r="108807" spans="1:6" x14ac:dyDescent="0.25">
      <c r="A108807"/>
      <c r="B108807"/>
      <c r="C108807"/>
      <c r="E108807"/>
      <c r="F108807"/>
    </row>
    <row r="108808" spans="1:6" x14ac:dyDescent="0.25">
      <c r="A108808"/>
      <c r="B108808"/>
      <c r="C108808"/>
      <c r="E108808"/>
      <c r="F108808"/>
    </row>
    <row r="108809" spans="1:6" x14ac:dyDescent="0.25">
      <c r="A108809"/>
      <c r="B108809"/>
      <c r="C108809"/>
      <c r="E108809"/>
      <c r="F108809"/>
    </row>
    <row r="108810" spans="1:6" x14ac:dyDescent="0.25">
      <c r="A108810"/>
      <c r="B108810"/>
      <c r="C108810"/>
      <c r="E108810"/>
      <c r="F108810"/>
    </row>
    <row r="108811" spans="1:6" x14ac:dyDescent="0.25">
      <c r="A108811"/>
      <c r="B108811"/>
      <c r="C108811"/>
      <c r="E108811"/>
      <c r="F108811"/>
    </row>
    <row r="108812" spans="1:6" x14ac:dyDescent="0.25">
      <c r="A108812"/>
      <c r="B108812"/>
      <c r="C108812"/>
      <c r="E108812"/>
      <c r="F108812"/>
    </row>
    <row r="108813" spans="1:6" x14ac:dyDescent="0.25">
      <c r="A108813"/>
      <c r="B108813"/>
      <c r="C108813"/>
      <c r="E108813"/>
      <c r="F108813"/>
    </row>
    <row r="108814" spans="1:6" x14ac:dyDescent="0.25">
      <c r="A108814"/>
      <c r="B108814"/>
      <c r="C108814"/>
      <c r="E108814"/>
      <c r="F108814"/>
    </row>
    <row r="108815" spans="1:6" x14ac:dyDescent="0.25">
      <c r="A108815"/>
      <c r="B108815"/>
      <c r="C108815"/>
      <c r="E108815"/>
      <c r="F108815"/>
    </row>
    <row r="108816" spans="1:6" x14ac:dyDescent="0.25">
      <c r="A108816"/>
      <c r="B108816"/>
      <c r="C108816"/>
      <c r="E108816"/>
      <c r="F108816"/>
    </row>
    <row r="108817" spans="1:6" x14ac:dyDescent="0.25">
      <c r="A108817"/>
      <c r="B108817"/>
      <c r="C108817"/>
      <c r="E108817"/>
      <c r="F108817"/>
    </row>
    <row r="108818" spans="1:6" x14ac:dyDescent="0.25">
      <c r="A108818"/>
      <c r="B108818"/>
      <c r="C108818"/>
      <c r="E108818"/>
      <c r="F108818"/>
    </row>
    <row r="108819" spans="1:6" x14ac:dyDescent="0.25">
      <c r="A108819"/>
      <c r="B108819"/>
      <c r="C108819"/>
      <c r="E108819"/>
      <c r="F108819"/>
    </row>
    <row r="108820" spans="1:6" x14ac:dyDescent="0.25">
      <c r="A108820"/>
      <c r="B108820"/>
      <c r="C108820"/>
      <c r="E108820"/>
      <c r="F108820"/>
    </row>
    <row r="108821" spans="1:6" x14ac:dyDescent="0.25">
      <c r="A108821"/>
      <c r="B108821"/>
      <c r="C108821"/>
      <c r="E108821"/>
      <c r="F108821"/>
    </row>
    <row r="108822" spans="1:6" x14ac:dyDescent="0.25">
      <c r="A108822"/>
      <c r="B108822"/>
      <c r="C108822"/>
      <c r="E108822"/>
      <c r="F108822"/>
    </row>
    <row r="108823" spans="1:6" x14ac:dyDescent="0.25">
      <c r="A108823"/>
      <c r="B108823"/>
      <c r="C108823"/>
      <c r="E108823"/>
      <c r="F108823"/>
    </row>
    <row r="108824" spans="1:6" x14ac:dyDescent="0.25">
      <c r="A108824"/>
      <c r="B108824"/>
      <c r="C108824"/>
      <c r="E108824"/>
      <c r="F108824"/>
    </row>
    <row r="108825" spans="1:6" x14ac:dyDescent="0.25">
      <c r="A108825"/>
      <c r="B108825"/>
      <c r="C108825"/>
      <c r="E108825"/>
      <c r="F108825"/>
    </row>
    <row r="108826" spans="1:6" x14ac:dyDescent="0.25">
      <c r="A108826"/>
      <c r="B108826"/>
      <c r="C108826"/>
      <c r="E108826"/>
      <c r="F108826"/>
    </row>
    <row r="108827" spans="1:6" x14ac:dyDescent="0.25">
      <c r="A108827"/>
      <c r="B108827"/>
      <c r="C108827"/>
      <c r="E108827"/>
      <c r="F108827"/>
    </row>
    <row r="108828" spans="1:6" x14ac:dyDescent="0.25">
      <c r="A108828"/>
      <c r="B108828"/>
      <c r="C108828"/>
      <c r="E108828"/>
      <c r="F108828"/>
    </row>
    <row r="108829" spans="1:6" x14ac:dyDescent="0.25">
      <c r="A108829"/>
      <c r="B108829"/>
      <c r="C108829"/>
      <c r="E108829"/>
      <c r="F108829"/>
    </row>
    <row r="108830" spans="1:6" x14ac:dyDescent="0.25">
      <c r="A108830"/>
      <c r="B108830"/>
      <c r="C108830"/>
      <c r="E108830"/>
      <c r="F108830"/>
    </row>
    <row r="108831" spans="1:6" x14ac:dyDescent="0.25">
      <c r="A108831"/>
      <c r="B108831"/>
      <c r="C108831"/>
      <c r="E108831"/>
      <c r="F108831"/>
    </row>
    <row r="108832" spans="1:6" x14ac:dyDescent="0.25">
      <c r="A108832"/>
      <c r="B108832"/>
      <c r="C108832"/>
      <c r="E108832"/>
      <c r="F108832"/>
    </row>
    <row r="108833" spans="1:6" x14ac:dyDescent="0.25">
      <c r="A108833"/>
      <c r="B108833"/>
      <c r="C108833"/>
      <c r="E108833"/>
      <c r="F108833"/>
    </row>
    <row r="108834" spans="1:6" x14ac:dyDescent="0.25">
      <c r="A108834"/>
      <c r="B108834"/>
      <c r="C108834"/>
      <c r="E108834"/>
      <c r="F108834"/>
    </row>
    <row r="108835" spans="1:6" x14ac:dyDescent="0.25">
      <c r="A108835"/>
      <c r="B108835"/>
      <c r="C108835"/>
      <c r="E108835"/>
      <c r="F108835"/>
    </row>
    <row r="108836" spans="1:6" x14ac:dyDescent="0.25">
      <c r="A108836"/>
      <c r="B108836"/>
      <c r="C108836"/>
      <c r="E108836"/>
      <c r="F108836"/>
    </row>
    <row r="108837" spans="1:6" x14ac:dyDescent="0.25">
      <c r="A108837"/>
      <c r="B108837"/>
      <c r="C108837"/>
      <c r="E108837"/>
      <c r="F108837"/>
    </row>
    <row r="108838" spans="1:6" x14ac:dyDescent="0.25">
      <c r="A108838"/>
      <c r="B108838"/>
      <c r="C108838"/>
      <c r="E108838"/>
      <c r="F108838"/>
    </row>
    <row r="108839" spans="1:6" x14ac:dyDescent="0.25">
      <c r="A108839"/>
      <c r="B108839"/>
      <c r="C108839"/>
      <c r="E108839"/>
      <c r="F108839"/>
    </row>
    <row r="108840" spans="1:6" x14ac:dyDescent="0.25">
      <c r="A108840"/>
      <c r="B108840"/>
      <c r="C108840"/>
      <c r="E108840"/>
      <c r="F108840"/>
    </row>
    <row r="108841" spans="1:6" x14ac:dyDescent="0.25">
      <c r="A108841"/>
      <c r="B108841"/>
      <c r="C108841"/>
      <c r="E108841"/>
      <c r="F108841"/>
    </row>
    <row r="108842" spans="1:6" x14ac:dyDescent="0.25">
      <c r="A108842"/>
      <c r="B108842"/>
      <c r="C108842"/>
      <c r="E108842"/>
      <c r="F108842"/>
    </row>
    <row r="108843" spans="1:6" x14ac:dyDescent="0.25">
      <c r="A108843"/>
      <c r="B108843"/>
      <c r="C108843"/>
      <c r="E108843"/>
      <c r="F108843"/>
    </row>
    <row r="108844" spans="1:6" x14ac:dyDescent="0.25">
      <c r="A108844"/>
      <c r="B108844"/>
      <c r="C108844"/>
      <c r="E108844"/>
      <c r="F108844"/>
    </row>
    <row r="108845" spans="1:6" x14ac:dyDescent="0.25">
      <c r="A108845"/>
      <c r="B108845"/>
      <c r="C108845"/>
      <c r="E108845"/>
      <c r="F108845"/>
    </row>
    <row r="108846" spans="1:6" x14ac:dyDescent="0.25">
      <c r="A108846"/>
      <c r="B108846"/>
      <c r="C108846"/>
      <c r="E108846"/>
      <c r="F108846"/>
    </row>
    <row r="108847" spans="1:6" x14ac:dyDescent="0.25">
      <c r="A108847"/>
      <c r="B108847"/>
      <c r="C108847"/>
      <c r="E108847"/>
      <c r="F108847"/>
    </row>
    <row r="108848" spans="1:6" x14ac:dyDescent="0.25">
      <c r="A108848"/>
      <c r="B108848"/>
      <c r="C108848"/>
      <c r="E108848"/>
      <c r="F108848"/>
    </row>
    <row r="108849" spans="1:6" x14ac:dyDescent="0.25">
      <c r="A108849"/>
      <c r="B108849"/>
      <c r="C108849"/>
      <c r="E108849"/>
      <c r="F108849"/>
    </row>
    <row r="108850" spans="1:6" x14ac:dyDescent="0.25">
      <c r="A108850"/>
      <c r="B108850"/>
      <c r="C108850"/>
      <c r="E108850"/>
      <c r="F108850"/>
    </row>
    <row r="108851" spans="1:6" x14ac:dyDescent="0.25">
      <c r="A108851"/>
      <c r="B108851"/>
      <c r="C108851"/>
      <c r="E108851"/>
      <c r="F108851"/>
    </row>
    <row r="108852" spans="1:6" x14ac:dyDescent="0.25">
      <c r="A108852"/>
      <c r="B108852"/>
      <c r="C108852"/>
      <c r="E108852"/>
      <c r="F108852"/>
    </row>
    <row r="108853" spans="1:6" x14ac:dyDescent="0.25">
      <c r="A108853"/>
      <c r="B108853"/>
      <c r="C108853"/>
      <c r="E108853"/>
      <c r="F108853"/>
    </row>
    <row r="108854" spans="1:6" x14ac:dyDescent="0.25">
      <c r="A108854"/>
      <c r="B108854"/>
      <c r="C108854"/>
      <c r="E108854"/>
      <c r="F108854"/>
    </row>
    <row r="108855" spans="1:6" x14ac:dyDescent="0.25">
      <c r="A108855"/>
      <c r="B108855"/>
      <c r="C108855"/>
      <c r="E108855"/>
      <c r="F108855"/>
    </row>
    <row r="108856" spans="1:6" x14ac:dyDescent="0.25">
      <c r="A108856"/>
      <c r="B108856"/>
      <c r="C108856"/>
      <c r="E108856"/>
      <c r="F108856"/>
    </row>
    <row r="108857" spans="1:6" x14ac:dyDescent="0.25">
      <c r="A108857"/>
      <c r="B108857"/>
      <c r="C108857"/>
      <c r="E108857"/>
      <c r="F108857"/>
    </row>
    <row r="108858" spans="1:6" x14ac:dyDescent="0.25">
      <c r="A108858"/>
      <c r="B108858"/>
      <c r="C108858"/>
      <c r="E108858"/>
      <c r="F108858"/>
    </row>
    <row r="108859" spans="1:6" x14ac:dyDescent="0.25">
      <c r="A108859"/>
      <c r="B108859"/>
      <c r="C108859"/>
      <c r="E108859"/>
      <c r="F108859"/>
    </row>
    <row r="108860" spans="1:6" x14ac:dyDescent="0.25">
      <c r="A108860"/>
      <c r="B108860"/>
      <c r="C108860"/>
      <c r="E108860"/>
      <c r="F108860"/>
    </row>
    <row r="108861" spans="1:6" x14ac:dyDescent="0.25">
      <c r="A108861"/>
      <c r="B108861"/>
      <c r="C108861"/>
      <c r="E108861"/>
      <c r="F108861"/>
    </row>
    <row r="108862" spans="1:6" x14ac:dyDescent="0.25">
      <c r="A108862"/>
      <c r="B108862"/>
      <c r="C108862"/>
      <c r="E108862"/>
      <c r="F108862"/>
    </row>
    <row r="108863" spans="1:6" x14ac:dyDescent="0.25">
      <c r="A108863"/>
      <c r="B108863"/>
      <c r="C108863"/>
      <c r="E108863"/>
      <c r="F108863"/>
    </row>
    <row r="108864" spans="1:6" x14ac:dyDescent="0.25">
      <c r="A108864"/>
      <c r="B108864"/>
      <c r="C108864"/>
      <c r="E108864"/>
      <c r="F108864"/>
    </row>
    <row r="108865" spans="1:6" x14ac:dyDescent="0.25">
      <c r="A108865"/>
      <c r="B108865"/>
      <c r="C108865"/>
      <c r="E108865"/>
      <c r="F108865"/>
    </row>
    <row r="108866" spans="1:6" x14ac:dyDescent="0.25">
      <c r="A108866"/>
      <c r="B108866"/>
      <c r="C108866"/>
      <c r="E108866"/>
      <c r="F108866"/>
    </row>
    <row r="108867" spans="1:6" x14ac:dyDescent="0.25">
      <c r="A108867"/>
      <c r="B108867"/>
      <c r="C108867"/>
      <c r="E108867"/>
      <c r="F108867"/>
    </row>
    <row r="108868" spans="1:6" x14ac:dyDescent="0.25">
      <c r="A108868"/>
      <c r="B108868"/>
      <c r="C108868"/>
      <c r="E108868"/>
      <c r="F108868"/>
    </row>
    <row r="108869" spans="1:6" x14ac:dyDescent="0.25">
      <c r="A108869"/>
      <c r="B108869"/>
      <c r="C108869"/>
      <c r="E108869"/>
      <c r="F108869"/>
    </row>
    <row r="108870" spans="1:6" x14ac:dyDescent="0.25">
      <c r="A108870"/>
      <c r="B108870"/>
      <c r="C108870"/>
      <c r="E108870"/>
      <c r="F108870"/>
    </row>
    <row r="108871" spans="1:6" x14ac:dyDescent="0.25">
      <c r="A108871"/>
      <c r="B108871"/>
      <c r="C108871"/>
      <c r="E108871"/>
      <c r="F108871"/>
    </row>
    <row r="108872" spans="1:6" x14ac:dyDescent="0.25">
      <c r="A108872"/>
      <c r="B108872"/>
      <c r="C108872"/>
      <c r="E108872"/>
      <c r="F108872"/>
    </row>
    <row r="108873" spans="1:6" x14ac:dyDescent="0.25">
      <c r="A108873"/>
      <c r="B108873"/>
      <c r="C108873"/>
      <c r="E108873"/>
      <c r="F108873"/>
    </row>
    <row r="108874" spans="1:6" x14ac:dyDescent="0.25">
      <c r="A108874"/>
      <c r="B108874"/>
      <c r="C108874"/>
      <c r="E108874"/>
      <c r="F108874"/>
    </row>
    <row r="108875" spans="1:6" x14ac:dyDescent="0.25">
      <c r="A108875"/>
      <c r="B108875"/>
      <c r="C108875"/>
      <c r="E108875"/>
      <c r="F108875"/>
    </row>
    <row r="108876" spans="1:6" x14ac:dyDescent="0.25">
      <c r="A108876"/>
      <c r="B108876"/>
      <c r="C108876"/>
      <c r="E108876"/>
      <c r="F108876"/>
    </row>
    <row r="108877" spans="1:6" x14ac:dyDescent="0.25">
      <c r="A108877"/>
      <c r="B108877"/>
      <c r="C108877"/>
      <c r="E108877"/>
      <c r="F108877"/>
    </row>
    <row r="108878" spans="1:6" x14ac:dyDescent="0.25">
      <c r="A108878"/>
      <c r="B108878"/>
      <c r="C108878"/>
      <c r="E108878"/>
      <c r="F108878"/>
    </row>
    <row r="108879" spans="1:6" x14ac:dyDescent="0.25">
      <c r="A108879"/>
      <c r="B108879"/>
      <c r="C108879"/>
      <c r="E108879"/>
      <c r="F108879"/>
    </row>
    <row r="108880" spans="1:6" x14ac:dyDescent="0.25">
      <c r="A108880"/>
      <c r="B108880"/>
      <c r="C108880"/>
      <c r="E108880"/>
      <c r="F108880"/>
    </row>
    <row r="108881" spans="1:6" x14ac:dyDescent="0.25">
      <c r="A108881"/>
      <c r="B108881"/>
      <c r="C108881"/>
      <c r="E108881"/>
      <c r="F108881"/>
    </row>
    <row r="108882" spans="1:6" x14ac:dyDescent="0.25">
      <c r="A108882"/>
      <c r="B108882"/>
      <c r="C108882"/>
      <c r="E108882"/>
      <c r="F108882"/>
    </row>
    <row r="108883" spans="1:6" x14ac:dyDescent="0.25">
      <c r="A108883"/>
      <c r="B108883"/>
      <c r="C108883"/>
      <c r="E108883"/>
      <c r="F108883"/>
    </row>
    <row r="108884" spans="1:6" x14ac:dyDescent="0.25">
      <c r="A108884"/>
      <c r="B108884"/>
      <c r="C108884"/>
      <c r="E108884"/>
      <c r="F108884"/>
    </row>
    <row r="108885" spans="1:6" x14ac:dyDescent="0.25">
      <c r="A108885"/>
      <c r="B108885"/>
      <c r="C108885"/>
      <c r="E108885"/>
      <c r="F108885"/>
    </row>
    <row r="108886" spans="1:6" x14ac:dyDescent="0.25">
      <c r="A108886"/>
      <c r="B108886"/>
      <c r="C108886"/>
      <c r="E108886"/>
      <c r="F108886"/>
    </row>
    <row r="108887" spans="1:6" x14ac:dyDescent="0.25">
      <c r="A108887"/>
      <c r="B108887"/>
      <c r="C108887"/>
      <c r="E108887"/>
      <c r="F108887"/>
    </row>
    <row r="108888" spans="1:6" x14ac:dyDescent="0.25">
      <c r="A108888"/>
      <c r="B108888"/>
      <c r="C108888"/>
      <c r="E108888"/>
      <c r="F108888"/>
    </row>
    <row r="108889" spans="1:6" x14ac:dyDescent="0.25">
      <c r="A108889"/>
      <c r="B108889"/>
      <c r="C108889"/>
      <c r="E108889"/>
      <c r="F108889"/>
    </row>
    <row r="108890" spans="1:6" x14ac:dyDescent="0.25">
      <c r="A108890"/>
      <c r="B108890"/>
      <c r="C108890"/>
      <c r="E108890"/>
      <c r="F108890"/>
    </row>
    <row r="108891" spans="1:6" x14ac:dyDescent="0.25">
      <c r="A108891"/>
      <c r="B108891"/>
      <c r="C108891"/>
      <c r="E108891"/>
      <c r="F108891"/>
    </row>
    <row r="108892" spans="1:6" x14ac:dyDescent="0.25">
      <c r="A108892"/>
      <c r="B108892"/>
      <c r="C108892"/>
      <c r="E108892"/>
      <c r="F108892"/>
    </row>
    <row r="108893" spans="1:6" x14ac:dyDescent="0.25">
      <c r="A108893"/>
      <c r="B108893"/>
      <c r="C108893"/>
      <c r="E108893"/>
      <c r="F108893"/>
    </row>
    <row r="108894" spans="1:6" x14ac:dyDescent="0.25">
      <c r="A108894"/>
      <c r="B108894"/>
      <c r="C108894"/>
      <c r="E108894"/>
      <c r="F108894"/>
    </row>
    <row r="108895" spans="1:6" x14ac:dyDescent="0.25">
      <c r="A108895"/>
      <c r="B108895"/>
      <c r="C108895"/>
      <c r="E108895"/>
      <c r="F108895"/>
    </row>
    <row r="108896" spans="1:6" x14ac:dyDescent="0.25">
      <c r="A108896"/>
      <c r="B108896"/>
      <c r="C108896"/>
      <c r="E108896"/>
      <c r="F108896"/>
    </row>
    <row r="108897" spans="1:6" x14ac:dyDescent="0.25">
      <c r="A108897"/>
      <c r="B108897"/>
      <c r="C108897"/>
      <c r="E108897"/>
      <c r="F108897"/>
    </row>
    <row r="108898" spans="1:6" x14ac:dyDescent="0.25">
      <c r="A108898"/>
      <c r="B108898"/>
      <c r="C108898"/>
      <c r="E108898"/>
      <c r="F108898"/>
    </row>
    <row r="108899" spans="1:6" x14ac:dyDescent="0.25">
      <c r="A108899"/>
      <c r="B108899"/>
      <c r="C108899"/>
      <c r="E108899"/>
      <c r="F108899"/>
    </row>
    <row r="108900" spans="1:6" x14ac:dyDescent="0.25">
      <c r="A108900"/>
      <c r="B108900"/>
      <c r="C108900"/>
      <c r="E108900"/>
      <c r="F108900"/>
    </row>
    <row r="108901" spans="1:6" x14ac:dyDescent="0.25">
      <c r="A108901"/>
      <c r="B108901"/>
      <c r="C108901"/>
      <c r="E108901"/>
      <c r="F108901"/>
    </row>
    <row r="108902" spans="1:6" x14ac:dyDescent="0.25">
      <c r="A108902"/>
      <c r="B108902"/>
      <c r="C108902"/>
      <c r="E108902"/>
      <c r="F108902"/>
    </row>
    <row r="108903" spans="1:6" x14ac:dyDescent="0.25">
      <c r="A108903"/>
      <c r="B108903"/>
      <c r="C108903"/>
      <c r="E108903"/>
      <c r="F108903"/>
    </row>
    <row r="108904" spans="1:6" x14ac:dyDescent="0.25">
      <c r="A108904"/>
      <c r="B108904"/>
      <c r="C108904"/>
      <c r="E108904"/>
      <c r="F108904"/>
    </row>
    <row r="108905" spans="1:6" x14ac:dyDescent="0.25">
      <c r="A108905"/>
      <c r="B108905"/>
      <c r="C108905"/>
      <c r="E108905"/>
      <c r="F108905"/>
    </row>
    <row r="108906" spans="1:6" x14ac:dyDescent="0.25">
      <c r="A108906"/>
      <c r="B108906"/>
      <c r="C108906"/>
      <c r="E108906"/>
      <c r="F108906"/>
    </row>
    <row r="108907" spans="1:6" x14ac:dyDescent="0.25">
      <c r="A108907"/>
      <c r="B108907"/>
      <c r="C108907"/>
      <c r="E108907"/>
      <c r="F108907"/>
    </row>
    <row r="108908" spans="1:6" x14ac:dyDescent="0.25">
      <c r="A108908"/>
      <c r="B108908"/>
      <c r="C108908"/>
      <c r="E108908"/>
      <c r="F108908"/>
    </row>
    <row r="108909" spans="1:6" x14ac:dyDescent="0.25">
      <c r="A108909"/>
      <c r="B108909"/>
      <c r="C108909"/>
      <c r="E108909"/>
      <c r="F108909"/>
    </row>
    <row r="108910" spans="1:6" x14ac:dyDescent="0.25">
      <c r="A108910"/>
      <c r="B108910"/>
      <c r="C108910"/>
      <c r="E108910"/>
      <c r="F108910"/>
    </row>
    <row r="108911" spans="1:6" x14ac:dyDescent="0.25">
      <c r="A108911"/>
      <c r="B108911"/>
      <c r="C108911"/>
      <c r="E108911"/>
      <c r="F108911"/>
    </row>
    <row r="108912" spans="1:6" x14ac:dyDescent="0.25">
      <c r="A108912"/>
      <c r="B108912"/>
      <c r="C108912"/>
      <c r="E108912"/>
      <c r="F108912"/>
    </row>
    <row r="108913" spans="1:6" x14ac:dyDescent="0.25">
      <c r="A108913"/>
      <c r="B108913"/>
      <c r="C108913"/>
      <c r="E108913"/>
      <c r="F108913"/>
    </row>
    <row r="108914" spans="1:6" x14ac:dyDescent="0.25">
      <c r="A108914"/>
      <c r="B108914"/>
      <c r="C108914"/>
      <c r="E108914"/>
      <c r="F108914"/>
    </row>
    <row r="108915" spans="1:6" x14ac:dyDescent="0.25">
      <c r="A108915"/>
      <c r="B108915"/>
      <c r="C108915"/>
      <c r="E108915"/>
      <c r="F108915"/>
    </row>
    <row r="108916" spans="1:6" x14ac:dyDescent="0.25">
      <c r="A108916"/>
      <c r="B108916"/>
      <c r="C108916"/>
      <c r="E108916"/>
      <c r="F108916"/>
    </row>
    <row r="108917" spans="1:6" x14ac:dyDescent="0.25">
      <c r="A108917"/>
      <c r="B108917"/>
      <c r="C108917"/>
      <c r="E108917"/>
      <c r="F108917"/>
    </row>
    <row r="108918" spans="1:6" x14ac:dyDescent="0.25">
      <c r="A108918"/>
      <c r="B108918"/>
      <c r="C108918"/>
      <c r="E108918"/>
      <c r="F108918"/>
    </row>
    <row r="108919" spans="1:6" x14ac:dyDescent="0.25">
      <c r="A108919"/>
      <c r="B108919"/>
      <c r="C108919"/>
      <c r="E108919"/>
      <c r="F108919"/>
    </row>
    <row r="108920" spans="1:6" x14ac:dyDescent="0.25">
      <c r="A108920"/>
      <c r="B108920"/>
      <c r="C108920"/>
      <c r="E108920"/>
      <c r="F108920"/>
    </row>
    <row r="108921" spans="1:6" x14ac:dyDescent="0.25">
      <c r="A108921"/>
      <c r="B108921"/>
      <c r="C108921"/>
      <c r="E108921"/>
      <c r="F108921"/>
    </row>
    <row r="108922" spans="1:6" x14ac:dyDescent="0.25">
      <c r="A108922"/>
      <c r="B108922"/>
      <c r="C108922"/>
      <c r="E108922"/>
      <c r="F108922"/>
    </row>
    <row r="108923" spans="1:6" x14ac:dyDescent="0.25">
      <c r="A108923"/>
      <c r="B108923"/>
      <c r="C108923"/>
      <c r="E108923"/>
      <c r="F108923"/>
    </row>
    <row r="108924" spans="1:6" x14ac:dyDescent="0.25">
      <c r="A108924"/>
      <c r="B108924"/>
      <c r="C108924"/>
      <c r="E108924"/>
      <c r="F108924"/>
    </row>
    <row r="108925" spans="1:6" x14ac:dyDescent="0.25">
      <c r="A108925"/>
      <c r="B108925"/>
      <c r="C108925"/>
      <c r="E108925"/>
      <c r="F108925"/>
    </row>
    <row r="108926" spans="1:6" x14ac:dyDescent="0.25">
      <c r="A108926"/>
      <c r="B108926"/>
      <c r="C108926"/>
      <c r="E108926"/>
      <c r="F108926"/>
    </row>
    <row r="108927" spans="1:6" x14ac:dyDescent="0.25">
      <c r="A108927"/>
      <c r="B108927"/>
      <c r="C108927"/>
      <c r="E108927"/>
      <c r="F108927"/>
    </row>
    <row r="108928" spans="1:6" x14ac:dyDescent="0.25">
      <c r="A108928"/>
      <c r="B108928"/>
      <c r="C108928"/>
      <c r="E108928"/>
      <c r="F108928"/>
    </row>
    <row r="108929" spans="1:6" x14ac:dyDescent="0.25">
      <c r="A108929"/>
      <c r="B108929"/>
      <c r="C108929"/>
      <c r="E108929"/>
      <c r="F108929"/>
    </row>
    <row r="108930" spans="1:6" x14ac:dyDescent="0.25">
      <c r="A108930"/>
      <c r="B108930"/>
      <c r="C108930"/>
      <c r="E108930"/>
      <c r="F108930"/>
    </row>
    <row r="108931" spans="1:6" x14ac:dyDescent="0.25">
      <c r="A108931"/>
      <c r="B108931"/>
      <c r="C108931"/>
      <c r="E108931"/>
      <c r="F108931"/>
    </row>
    <row r="108932" spans="1:6" x14ac:dyDescent="0.25">
      <c r="A108932"/>
      <c r="B108932"/>
      <c r="C108932"/>
      <c r="E108932"/>
      <c r="F108932"/>
    </row>
    <row r="108933" spans="1:6" x14ac:dyDescent="0.25">
      <c r="A108933"/>
      <c r="B108933"/>
      <c r="C108933"/>
      <c r="E108933"/>
      <c r="F108933"/>
    </row>
    <row r="108934" spans="1:6" x14ac:dyDescent="0.25">
      <c r="A108934"/>
      <c r="B108934"/>
      <c r="C108934"/>
      <c r="E108934"/>
      <c r="F108934"/>
    </row>
    <row r="108935" spans="1:6" x14ac:dyDescent="0.25">
      <c r="A108935"/>
      <c r="B108935"/>
      <c r="C108935"/>
      <c r="E108935"/>
      <c r="F108935"/>
    </row>
    <row r="108936" spans="1:6" x14ac:dyDescent="0.25">
      <c r="A108936"/>
      <c r="B108936"/>
      <c r="C108936"/>
      <c r="E108936"/>
      <c r="F108936"/>
    </row>
    <row r="108937" spans="1:6" x14ac:dyDescent="0.25">
      <c r="A108937"/>
      <c r="B108937"/>
      <c r="C108937"/>
      <c r="E108937"/>
      <c r="F108937"/>
    </row>
    <row r="108938" spans="1:6" x14ac:dyDescent="0.25">
      <c r="A108938"/>
      <c r="B108938"/>
      <c r="C108938"/>
      <c r="E108938"/>
      <c r="F108938"/>
    </row>
    <row r="108939" spans="1:6" x14ac:dyDescent="0.25">
      <c r="A108939"/>
      <c r="B108939"/>
      <c r="C108939"/>
      <c r="E108939"/>
      <c r="F108939"/>
    </row>
    <row r="108940" spans="1:6" x14ac:dyDescent="0.25">
      <c r="A108940"/>
      <c r="B108940"/>
      <c r="C108940"/>
      <c r="E108940"/>
      <c r="F108940"/>
    </row>
    <row r="108941" spans="1:6" x14ac:dyDescent="0.25">
      <c r="A108941"/>
      <c r="B108941"/>
      <c r="C108941"/>
      <c r="E108941"/>
      <c r="F108941"/>
    </row>
    <row r="108942" spans="1:6" x14ac:dyDescent="0.25">
      <c r="A108942"/>
      <c r="B108942"/>
      <c r="C108942"/>
      <c r="E108942"/>
      <c r="F108942"/>
    </row>
    <row r="108943" spans="1:6" x14ac:dyDescent="0.25">
      <c r="A108943"/>
      <c r="B108943"/>
      <c r="C108943"/>
      <c r="E108943"/>
      <c r="F108943"/>
    </row>
    <row r="108944" spans="1:6" x14ac:dyDescent="0.25">
      <c r="A108944"/>
      <c r="B108944"/>
      <c r="C108944"/>
      <c r="E108944"/>
      <c r="F108944"/>
    </row>
    <row r="108945" spans="1:6" x14ac:dyDescent="0.25">
      <c r="A108945"/>
      <c r="B108945"/>
      <c r="C108945"/>
      <c r="E108945"/>
      <c r="F108945"/>
    </row>
    <row r="108946" spans="1:6" x14ac:dyDescent="0.25">
      <c r="A108946"/>
      <c r="B108946"/>
      <c r="C108946"/>
      <c r="E108946"/>
      <c r="F108946"/>
    </row>
    <row r="108947" spans="1:6" x14ac:dyDescent="0.25">
      <c r="A108947"/>
      <c r="B108947"/>
      <c r="C108947"/>
      <c r="E108947"/>
      <c r="F108947"/>
    </row>
    <row r="108948" spans="1:6" x14ac:dyDescent="0.25">
      <c r="A108948"/>
      <c r="B108948"/>
      <c r="C108948"/>
      <c r="E108948"/>
      <c r="F108948"/>
    </row>
    <row r="108949" spans="1:6" x14ac:dyDescent="0.25">
      <c r="A108949"/>
      <c r="B108949"/>
      <c r="C108949"/>
      <c r="E108949"/>
      <c r="F108949"/>
    </row>
    <row r="108950" spans="1:6" x14ac:dyDescent="0.25">
      <c r="A108950"/>
      <c r="B108950"/>
      <c r="C108950"/>
      <c r="E108950"/>
      <c r="F108950"/>
    </row>
    <row r="108951" spans="1:6" x14ac:dyDescent="0.25">
      <c r="A108951"/>
      <c r="B108951"/>
      <c r="C108951"/>
      <c r="E108951"/>
      <c r="F108951"/>
    </row>
    <row r="108952" spans="1:6" x14ac:dyDescent="0.25">
      <c r="A108952"/>
      <c r="B108952"/>
      <c r="C108952"/>
      <c r="E108952"/>
      <c r="F108952"/>
    </row>
    <row r="108953" spans="1:6" x14ac:dyDescent="0.25">
      <c r="A108953"/>
      <c r="B108953"/>
      <c r="C108953"/>
      <c r="E108953"/>
      <c r="F108953"/>
    </row>
    <row r="108954" spans="1:6" x14ac:dyDescent="0.25">
      <c r="A108954"/>
      <c r="B108954"/>
      <c r="C108954"/>
      <c r="E108954"/>
      <c r="F108954"/>
    </row>
    <row r="108955" spans="1:6" x14ac:dyDescent="0.25">
      <c r="A108955"/>
      <c r="B108955"/>
      <c r="C108955"/>
      <c r="E108955"/>
      <c r="F108955"/>
    </row>
    <row r="108956" spans="1:6" x14ac:dyDescent="0.25">
      <c r="A108956"/>
      <c r="B108956"/>
      <c r="C108956"/>
      <c r="E108956"/>
      <c r="F108956"/>
    </row>
    <row r="108957" spans="1:6" x14ac:dyDescent="0.25">
      <c r="A108957"/>
      <c r="B108957"/>
      <c r="C108957"/>
      <c r="E108957"/>
      <c r="F108957"/>
    </row>
    <row r="108958" spans="1:6" x14ac:dyDescent="0.25">
      <c r="A108958"/>
      <c r="B108958"/>
      <c r="C108958"/>
      <c r="E108958"/>
      <c r="F108958"/>
    </row>
    <row r="108959" spans="1:6" x14ac:dyDescent="0.25">
      <c r="A108959"/>
      <c r="B108959"/>
      <c r="C108959"/>
      <c r="E108959"/>
      <c r="F108959"/>
    </row>
    <row r="108960" spans="1:6" x14ac:dyDescent="0.25">
      <c r="A108960"/>
      <c r="B108960"/>
      <c r="C108960"/>
      <c r="E108960"/>
      <c r="F108960"/>
    </row>
    <row r="108961" spans="1:6" x14ac:dyDescent="0.25">
      <c r="A108961"/>
      <c r="B108961"/>
      <c r="C108961"/>
      <c r="E108961"/>
      <c r="F108961"/>
    </row>
    <row r="108962" spans="1:6" x14ac:dyDescent="0.25">
      <c r="A108962"/>
      <c r="B108962"/>
      <c r="C108962"/>
      <c r="E108962"/>
      <c r="F108962"/>
    </row>
    <row r="108963" spans="1:6" x14ac:dyDescent="0.25">
      <c r="A108963"/>
      <c r="B108963"/>
      <c r="C108963"/>
      <c r="E108963"/>
      <c r="F108963"/>
    </row>
    <row r="108964" spans="1:6" x14ac:dyDescent="0.25">
      <c r="A108964"/>
      <c r="B108964"/>
      <c r="C108964"/>
      <c r="E108964"/>
      <c r="F108964"/>
    </row>
    <row r="108965" spans="1:6" x14ac:dyDescent="0.25">
      <c r="A108965"/>
      <c r="B108965"/>
      <c r="C108965"/>
      <c r="E108965"/>
      <c r="F108965"/>
    </row>
    <row r="108966" spans="1:6" x14ac:dyDescent="0.25">
      <c r="A108966"/>
      <c r="B108966"/>
      <c r="C108966"/>
      <c r="E108966"/>
      <c r="F108966"/>
    </row>
    <row r="108967" spans="1:6" x14ac:dyDescent="0.25">
      <c r="A108967"/>
      <c r="B108967"/>
      <c r="C108967"/>
      <c r="E108967"/>
      <c r="F108967"/>
    </row>
    <row r="108968" spans="1:6" x14ac:dyDescent="0.25">
      <c r="A108968"/>
      <c r="B108968"/>
      <c r="C108968"/>
      <c r="E108968"/>
      <c r="F108968"/>
    </row>
    <row r="108969" spans="1:6" x14ac:dyDescent="0.25">
      <c r="A108969"/>
      <c r="B108969"/>
      <c r="C108969"/>
      <c r="E108969"/>
      <c r="F108969"/>
    </row>
    <row r="108970" spans="1:6" x14ac:dyDescent="0.25">
      <c r="A108970"/>
      <c r="B108970"/>
      <c r="C108970"/>
      <c r="E108970"/>
      <c r="F108970"/>
    </row>
    <row r="108971" spans="1:6" x14ac:dyDescent="0.25">
      <c r="A108971"/>
      <c r="B108971"/>
      <c r="C108971"/>
      <c r="E108971"/>
      <c r="F108971"/>
    </row>
    <row r="108972" spans="1:6" x14ac:dyDescent="0.25">
      <c r="A108972"/>
      <c r="B108972"/>
      <c r="C108972"/>
      <c r="E108972"/>
      <c r="F108972"/>
    </row>
    <row r="108973" spans="1:6" x14ac:dyDescent="0.25">
      <c r="A108973"/>
      <c r="B108973"/>
      <c r="C108973"/>
      <c r="E108973"/>
      <c r="F108973"/>
    </row>
    <row r="108974" spans="1:6" x14ac:dyDescent="0.25">
      <c r="A108974"/>
      <c r="B108974"/>
      <c r="C108974"/>
      <c r="E108974"/>
      <c r="F108974"/>
    </row>
    <row r="108975" spans="1:6" x14ac:dyDescent="0.25">
      <c r="A108975"/>
      <c r="B108975"/>
      <c r="C108975"/>
      <c r="E108975"/>
      <c r="F108975"/>
    </row>
    <row r="108976" spans="1:6" x14ac:dyDescent="0.25">
      <c r="A108976"/>
      <c r="B108976"/>
      <c r="C108976"/>
      <c r="E108976"/>
      <c r="F108976"/>
    </row>
    <row r="108977" spans="1:6" x14ac:dyDescent="0.25">
      <c r="A108977"/>
      <c r="B108977"/>
      <c r="C108977"/>
      <c r="E108977"/>
      <c r="F108977"/>
    </row>
    <row r="108978" spans="1:6" x14ac:dyDescent="0.25">
      <c r="A108978"/>
      <c r="B108978"/>
      <c r="C108978"/>
      <c r="E108978"/>
      <c r="F108978"/>
    </row>
    <row r="108979" spans="1:6" x14ac:dyDescent="0.25">
      <c r="A108979"/>
      <c r="B108979"/>
      <c r="C108979"/>
      <c r="E108979"/>
      <c r="F108979"/>
    </row>
    <row r="108980" spans="1:6" x14ac:dyDescent="0.25">
      <c r="A108980"/>
      <c r="B108980"/>
      <c r="C108980"/>
      <c r="E108980"/>
      <c r="F108980"/>
    </row>
    <row r="108981" spans="1:6" x14ac:dyDescent="0.25">
      <c r="A108981"/>
      <c r="B108981"/>
      <c r="C108981"/>
      <c r="E108981"/>
      <c r="F108981"/>
    </row>
    <row r="108982" spans="1:6" x14ac:dyDescent="0.25">
      <c r="A108982"/>
      <c r="B108982"/>
      <c r="C108982"/>
      <c r="E108982"/>
      <c r="F108982"/>
    </row>
    <row r="108983" spans="1:6" x14ac:dyDescent="0.25">
      <c r="A108983"/>
      <c r="B108983"/>
      <c r="C108983"/>
      <c r="E108983"/>
      <c r="F108983"/>
    </row>
    <row r="108984" spans="1:6" x14ac:dyDescent="0.25">
      <c r="A108984"/>
      <c r="B108984"/>
      <c r="C108984"/>
      <c r="E108984"/>
      <c r="F108984"/>
    </row>
    <row r="108985" spans="1:6" x14ac:dyDescent="0.25">
      <c r="A108985"/>
      <c r="B108985"/>
      <c r="C108985"/>
      <c r="E108985"/>
      <c r="F108985"/>
    </row>
    <row r="108986" spans="1:6" x14ac:dyDescent="0.25">
      <c r="A108986"/>
      <c r="B108986"/>
      <c r="C108986"/>
      <c r="E108986"/>
      <c r="F108986"/>
    </row>
    <row r="108987" spans="1:6" x14ac:dyDescent="0.25">
      <c r="A108987"/>
      <c r="B108987"/>
      <c r="C108987"/>
      <c r="E108987"/>
      <c r="F108987"/>
    </row>
    <row r="108988" spans="1:6" x14ac:dyDescent="0.25">
      <c r="A108988"/>
      <c r="B108988"/>
      <c r="C108988"/>
      <c r="E108988"/>
      <c r="F108988"/>
    </row>
    <row r="108989" spans="1:6" x14ac:dyDescent="0.25">
      <c r="A108989"/>
      <c r="B108989"/>
      <c r="C108989"/>
      <c r="E108989"/>
      <c r="F108989"/>
    </row>
    <row r="108990" spans="1:6" x14ac:dyDescent="0.25">
      <c r="A108990"/>
      <c r="B108990"/>
      <c r="C108990"/>
      <c r="E108990"/>
      <c r="F108990"/>
    </row>
    <row r="108991" spans="1:6" x14ac:dyDescent="0.25">
      <c r="A108991"/>
      <c r="B108991"/>
      <c r="C108991"/>
      <c r="E108991"/>
      <c r="F108991"/>
    </row>
    <row r="108992" spans="1:6" x14ac:dyDescent="0.25">
      <c r="A108992"/>
      <c r="B108992"/>
      <c r="C108992"/>
      <c r="E108992"/>
      <c r="F108992"/>
    </row>
    <row r="108993" spans="1:6" x14ac:dyDescent="0.25">
      <c r="A108993"/>
      <c r="B108993"/>
      <c r="C108993"/>
      <c r="E108993"/>
      <c r="F108993"/>
    </row>
    <row r="108994" spans="1:6" x14ac:dyDescent="0.25">
      <c r="A108994"/>
      <c r="B108994"/>
      <c r="C108994"/>
      <c r="E108994"/>
      <c r="F108994"/>
    </row>
    <row r="108995" spans="1:6" x14ac:dyDescent="0.25">
      <c r="A108995"/>
      <c r="B108995"/>
      <c r="C108995"/>
      <c r="E108995"/>
      <c r="F108995"/>
    </row>
    <row r="108996" spans="1:6" x14ac:dyDescent="0.25">
      <c r="A108996"/>
      <c r="B108996"/>
      <c r="C108996"/>
      <c r="E108996"/>
      <c r="F108996"/>
    </row>
    <row r="108997" spans="1:6" x14ac:dyDescent="0.25">
      <c r="A108997"/>
      <c r="B108997"/>
      <c r="C108997"/>
      <c r="E108997"/>
      <c r="F108997"/>
    </row>
    <row r="108998" spans="1:6" x14ac:dyDescent="0.25">
      <c r="A108998"/>
      <c r="B108998"/>
      <c r="C108998"/>
      <c r="E108998"/>
      <c r="F108998"/>
    </row>
    <row r="108999" spans="1:6" x14ac:dyDescent="0.25">
      <c r="A108999"/>
      <c r="B108999"/>
      <c r="C108999"/>
      <c r="E108999"/>
      <c r="F108999"/>
    </row>
    <row r="109000" spans="1:6" x14ac:dyDescent="0.25">
      <c r="A109000"/>
      <c r="B109000"/>
      <c r="C109000"/>
      <c r="E109000"/>
      <c r="F109000"/>
    </row>
    <row r="109001" spans="1:6" x14ac:dyDescent="0.25">
      <c r="A109001"/>
      <c r="B109001"/>
      <c r="C109001"/>
      <c r="E109001"/>
      <c r="F109001"/>
    </row>
    <row r="109002" spans="1:6" x14ac:dyDescent="0.25">
      <c r="A109002"/>
      <c r="B109002"/>
      <c r="C109002"/>
      <c r="E109002"/>
      <c r="F109002"/>
    </row>
    <row r="109003" spans="1:6" x14ac:dyDescent="0.25">
      <c r="A109003"/>
      <c r="B109003"/>
      <c r="C109003"/>
      <c r="E109003"/>
      <c r="F109003"/>
    </row>
    <row r="109004" spans="1:6" x14ac:dyDescent="0.25">
      <c r="A109004"/>
      <c r="B109004"/>
      <c r="C109004"/>
      <c r="E109004"/>
      <c r="F109004"/>
    </row>
    <row r="109005" spans="1:6" x14ac:dyDescent="0.25">
      <c r="A109005"/>
      <c r="B109005"/>
      <c r="C109005"/>
      <c r="E109005"/>
      <c r="F109005"/>
    </row>
    <row r="109006" spans="1:6" x14ac:dyDescent="0.25">
      <c r="A109006"/>
      <c r="B109006"/>
      <c r="C109006"/>
      <c r="E109006"/>
      <c r="F109006"/>
    </row>
    <row r="109007" spans="1:6" x14ac:dyDescent="0.25">
      <c r="A109007"/>
      <c r="B109007"/>
      <c r="C109007"/>
      <c r="E109007"/>
      <c r="F109007"/>
    </row>
    <row r="109008" spans="1:6" x14ac:dyDescent="0.25">
      <c r="A109008"/>
      <c r="B109008"/>
      <c r="C109008"/>
      <c r="E109008"/>
      <c r="F109008"/>
    </row>
    <row r="109009" spans="1:6" x14ac:dyDescent="0.25">
      <c r="A109009"/>
      <c r="B109009"/>
      <c r="C109009"/>
      <c r="E109009"/>
      <c r="F109009"/>
    </row>
    <row r="109010" spans="1:6" x14ac:dyDescent="0.25">
      <c r="A109010"/>
      <c r="B109010"/>
      <c r="C109010"/>
      <c r="E109010"/>
      <c r="F109010"/>
    </row>
    <row r="109011" spans="1:6" x14ac:dyDescent="0.25">
      <c r="A109011"/>
      <c r="B109011"/>
      <c r="C109011"/>
      <c r="E109011"/>
      <c r="F109011"/>
    </row>
    <row r="109012" spans="1:6" x14ac:dyDescent="0.25">
      <c r="A109012"/>
      <c r="B109012"/>
      <c r="C109012"/>
      <c r="E109012"/>
      <c r="F109012"/>
    </row>
    <row r="109013" spans="1:6" x14ac:dyDescent="0.25">
      <c r="A109013"/>
      <c r="B109013"/>
      <c r="C109013"/>
      <c r="E109013"/>
      <c r="F109013"/>
    </row>
    <row r="109014" spans="1:6" x14ac:dyDescent="0.25">
      <c r="A109014"/>
      <c r="B109014"/>
      <c r="C109014"/>
      <c r="E109014"/>
      <c r="F109014"/>
    </row>
    <row r="109015" spans="1:6" x14ac:dyDescent="0.25">
      <c r="A109015"/>
      <c r="B109015"/>
      <c r="C109015"/>
      <c r="E109015"/>
      <c r="F109015"/>
    </row>
    <row r="109016" spans="1:6" x14ac:dyDescent="0.25">
      <c r="A109016"/>
      <c r="B109016"/>
      <c r="C109016"/>
      <c r="E109016"/>
      <c r="F109016"/>
    </row>
    <row r="109017" spans="1:6" x14ac:dyDescent="0.25">
      <c r="A109017"/>
      <c r="B109017"/>
      <c r="C109017"/>
      <c r="E109017"/>
      <c r="F109017"/>
    </row>
    <row r="109018" spans="1:6" x14ac:dyDescent="0.25">
      <c r="A109018"/>
      <c r="B109018"/>
      <c r="C109018"/>
      <c r="E109018"/>
      <c r="F109018"/>
    </row>
    <row r="109019" spans="1:6" x14ac:dyDescent="0.25">
      <c r="A109019"/>
      <c r="B109019"/>
      <c r="C109019"/>
      <c r="E109019"/>
      <c r="F109019"/>
    </row>
    <row r="109020" spans="1:6" x14ac:dyDescent="0.25">
      <c r="A109020"/>
      <c r="B109020"/>
      <c r="C109020"/>
      <c r="E109020"/>
      <c r="F109020"/>
    </row>
    <row r="109021" spans="1:6" x14ac:dyDescent="0.25">
      <c r="A109021"/>
      <c r="B109021"/>
      <c r="C109021"/>
      <c r="E109021"/>
      <c r="F109021"/>
    </row>
    <row r="109022" spans="1:6" x14ac:dyDescent="0.25">
      <c r="A109022"/>
      <c r="B109022"/>
      <c r="C109022"/>
      <c r="E109022"/>
      <c r="F109022"/>
    </row>
    <row r="109023" spans="1:6" x14ac:dyDescent="0.25">
      <c r="A109023"/>
      <c r="B109023"/>
      <c r="C109023"/>
      <c r="E109023"/>
      <c r="F109023"/>
    </row>
    <row r="109024" spans="1:6" x14ac:dyDescent="0.25">
      <c r="A109024"/>
      <c r="B109024"/>
      <c r="C109024"/>
      <c r="E109024"/>
      <c r="F109024"/>
    </row>
    <row r="109025" spans="1:6" x14ac:dyDescent="0.25">
      <c r="A109025"/>
      <c r="B109025"/>
      <c r="C109025"/>
      <c r="E109025"/>
      <c r="F109025"/>
    </row>
    <row r="109026" spans="1:6" x14ac:dyDescent="0.25">
      <c r="A109026"/>
      <c r="B109026"/>
      <c r="C109026"/>
      <c r="E109026"/>
      <c r="F109026"/>
    </row>
    <row r="109027" spans="1:6" x14ac:dyDescent="0.25">
      <c r="A109027"/>
      <c r="B109027"/>
      <c r="C109027"/>
      <c r="E109027"/>
      <c r="F109027"/>
    </row>
    <row r="109028" spans="1:6" x14ac:dyDescent="0.25">
      <c r="A109028"/>
      <c r="B109028"/>
      <c r="C109028"/>
      <c r="E109028"/>
      <c r="F109028"/>
    </row>
    <row r="109029" spans="1:6" x14ac:dyDescent="0.25">
      <c r="A109029"/>
      <c r="B109029"/>
      <c r="C109029"/>
      <c r="E109029"/>
      <c r="F109029"/>
    </row>
    <row r="109030" spans="1:6" x14ac:dyDescent="0.25">
      <c r="A109030"/>
      <c r="B109030"/>
      <c r="C109030"/>
      <c r="E109030"/>
      <c r="F109030"/>
    </row>
    <row r="109031" spans="1:6" x14ac:dyDescent="0.25">
      <c r="A109031"/>
      <c r="B109031"/>
      <c r="C109031"/>
      <c r="E109031"/>
      <c r="F109031"/>
    </row>
    <row r="109032" spans="1:6" x14ac:dyDescent="0.25">
      <c r="A109032"/>
      <c r="B109032"/>
      <c r="C109032"/>
      <c r="E109032"/>
      <c r="F109032"/>
    </row>
    <row r="109033" spans="1:6" x14ac:dyDescent="0.25">
      <c r="A109033"/>
      <c r="B109033"/>
      <c r="C109033"/>
      <c r="E109033"/>
      <c r="F109033"/>
    </row>
    <row r="109034" spans="1:6" x14ac:dyDescent="0.25">
      <c r="A109034"/>
      <c r="B109034"/>
      <c r="C109034"/>
      <c r="E109034"/>
      <c r="F109034"/>
    </row>
    <row r="109035" spans="1:6" x14ac:dyDescent="0.25">
      <c r="A109035"/>
      <c r="B109035"/>
      <c r="C109035"/>
      <c r="E109035"/>
      <c r="F109035"/>
    </row>
    <row r="109036" spans="1:6" x14ac:dyDescent="0.25">
      <c r="A109036"/>
      <c r="B109036"/>
      <c r="C109036"/>
      <c r="E109036"/>
      <c r="F109036"/>
    </row>
    <row r="109037" spans="1:6" x14ac:dyDescent="0.25">
      <c r="A109037"/>
      <c r="B109037"/>
      <c r="C109037"/>
      <c r="E109037"/>
      <c r="F109037"/>
    </row>
    <row r="109038" spans="1:6" x14ac:dyDescent="0.25">
      <c r="A109038"/>
      <c r="B109038"/>
      <c r="C109038"/>
      <c r="E109038"/>
      <c r="F109038"/>
    </row>
    <row r="109039" spans="1:6" x14ac:dyDescent="0.25">
      <c r="A109039"/>
      <c r="B109039"/>
      <c r="C109039"/>
      <c r="E109039"/>
      <c r="F109039"/>
    </row>
    <row r="109040" spans="1:6" x14ac:dyDescent="0.25">
      <c r="A109040"/>
      <c r="B109040"/>
      <c r="C109040"/>
      <c r="E109040"/>
      <c r="F109040"/>
    </row>
    <row r="109041" spans="1:6" x14ac:dyDescent="0.25">
      <c r="A109041"/>
      <c r="B109041"/>
      <c r="C109041"/>
      <c r="E109041"/>
      <c r="F109041"/>
    </row>
    <row r="109042" spans="1:6" x14ac:dyDescent="0.25">
      <c r="A109042"/>
      <c r="B109042"/>
      <c r="C109042"/>
      <c r="E109042"/>
      <c r="F109042"/>
    </row>
    <row r="109043" spans="1:6" x14ac:dyDescent="0.25">
      <c r="A109043"/>
      <c r="B109043"/>
      <c r="C109043"/>
      <c r="E109043"/>
      <c r="F109043"/>
    </row>
    <row r="109044" spans="1:6" x14ac:dyDescent="0.25">
      <c r="A109044"/>
      <c r="B109044"/>
      <c r="C109044"/>
      <c r="E109044"/>
      <c r="F109044"/>
    </row>
    <row r="109045" spans="1:6" x14ac:dyDescent="0.25">
      <c r="A109045"/>
      <c r="B109045"/>
      <c r="C109045"/>
      <c r="E109045"/>
      <c r="F109045"/>
    </row>
    <row r="109046" spans="1:6" x14ac:dyDescent="0.25">
      <c r="A109046"/>
      <c r="B109046"/>
      <c r="C109046"/>
      <c r="E109046"/>
      <c r="F109046"/>
    </row>
    <row r="109047" spans="1:6" x14ac:dyDescent="0.25">
      <c r="A109047"/>
      <c r="B109047"/>
      <c r="C109047"/>
      <c r="E109047"/>
      <c r="F109047"/>
    </row>
    <row r="109048" spans="1:6" x14ac:dyDescent="0.25">
      <c r="A109048"/>
      <c r="B109048"/>
      <c r="C109048"/>
      <c r="E109048"/>
      <c r="F109048"/>
    </row>
    <row r="109049" spans="1:6" x14ac:dyDescent="0.25">
      <c r="A109049"/>
      <c r="B109049"/>
      <c r="C109049"/>
      <c r="E109049"/>
      <c r="F109049"/>
    </row>
    <row r="109050" spans="1:6" x14ac:dyDescent="0.25">
      <c r="A109050"/>
      <c r="B109050"/>
      <c r="C109050"/>
      <c r="E109050"/>
      <c r="F109050"/>
    </row>
    <row r="109051" spans="1:6" x14ac:dyDescent="0.25">
      <c r="A109051"/>
      <c r="B109051"/>
      <c r="C109051"/>
      <c r="E109051"/>
      <c r="F109051"/>
    </row>
    <row r="109052" spans="1:6" x14ac:dyDescent="0.25">
      <c r="A109052"/>
      <c r="B109052"/>
      <c r="C109052"/>
      <c r="E109052"/>
      <c r="F109052"/>
    </row>
    <row r="109053" spans="1:6" x14ac:dyDescent="0.25">
      <c r="A109053"/>
      <c r="B109053"/>
      <c r="C109053"/>
      <c r="E109053"/>
      <c r="F109053"/>
    </row>
    <row r="109054" spans="1:6" x14ac:dyDescent="0.25">
      <c r="A109054"/>
      <c r="B109054"/>
      <c r="C109054"/>
      <c r="E109054"/>
      <c r="F109054"/>
    </row>
    <row r="109055" spans="1:6" x14ac:dyDescent="0.25">
      <c r="A109055"/>
      <c r="B109055"/>
      <c r="C109055"/>
      <c r="E109055"/>
      <c r="F109055"/>
    </row>
    <row r="109056" spans="1:6" x14ac:dyDescent="0.25">
      <c r="A109056"/>
      <c r="B109056"/>
      <c r="C109056"/>
      <c r="E109056"/>
      <c r="F109056"/>
    </row>
    <row r="109057" spans="1:6" x14ac:dyDescent="0.25">
      <c r="A109057"/>
      <c r="B109057"/>
      <c r="C109057"/>
      <c r="E109057"/>
      <c r="F109057"/>
    </row>
    <row r="109058" spans="1:6" x14ac:dyDescent="0.25">
      <c r="A109058"/>
      <c r="B109058"/>
      <c r="C109058"/>
      <c r="E109058"/>
      <c r="F109058"/>
    </row>
    <row r="109059" spans="1:6" x14ac:dyDescent="0.25">
      <c r="A109059"/>
      <c r="B109059"/>
      <c r="C109059"/>
      <c r="E109059"/>
      <c r="F109059"/>
    </row>
    <row r="109060" spans="1:6" x14ac:dyDescent="0.25">
      <c r="A109060"/>
      <c r="B109060"/>
      <c r="C109060"/>
      <c r="E109060"/>
      <c r="F109060"/>
    </row>
    <row r="109061" spans="1:6" x14ac:dyDescent="0.25">
      <c r="A109061"/>
      <c r="B109061"/>
      <c r="C109061"/>
      <c r="E109061"/>
      <c r="F109061"/>
    </row>
    <row r="109062" spans="1:6" x14ac:dyDescent="0.25">
      <c r="A109062"/>
      <c r="B109062"/>
      <c r="C109062"/>
      <c r="E109062"/>
      <c r="F109062"/>
    </row>
    <row r="109063" spans="1:6" x14ac:dyDescent="0.25">
      <c r="A109063"/>
      <c r="B109063"/>
      <c r="C109063"/>
      <c r="E109063"/>
      <c r="F109063"/>
    </row>
    <row r="109064" spans="1:6" x14ac:dyDescent="0.25">
      <c r="A109064"/>
      <c r="B109064"/>
      <c r="C109064"/>
      <c r="E109064"/>
      <c r="F109064"/>
    </row>
    <row r="109065" spans="1:6" x14ac:dyDescent="0.25">
      <c r="A109065"/>
      <c r="B109065"/>
      <c r="C109065"/>
      <c r="E109065"/>
      <c r="F109065"/>
    </row>
    <row r="109066" spans="1:6" x14ac:dyDescent="0.25">
      <c r="A109066"/>
      <c r="B109066"/>
      <c r="C109066"/>
      <c r="E109066"/>
      <c r="F109066"/>
    </row>
    <row r="109067" spans="1:6" x14ac:dyDescent="0.25">
      <c r="A109067"/>
      <c r="B109067"/>
      <c r="C109067"/>
      <c r="E109067"/>
      <c r="F109067"/>
    </row>
    <row r="109068" spans="1:6" x14ac:dyDescent="0.25">
      <c r="A109068"/>
      <c r="B109068"/>
      <c r="C109068"/>
      <c r="E109068"/>
      <c r="F109068"/>
    </row>
    <row r="109069" spans="1:6" x14ac:dyDescent="0.25">
      <c r="A109069"/>
      <c r="B109069"/>
      <c r="C109069"/>
      <c r="E109069"/>
      <c r="F109069"/>
    </row>
    <row r="109070" spans="1:6" x14ac:dyDescent="0.25">
      <c r="A109070"/>
      <c r="B109070"/>
      <c r="C109070"/>
      <c r="E109070"/>
      <c r="F109070"/>
    </row>
    <row r="109071" spans="1:6" x14ac:dyDescent="0.25">
      <c r="A109071"/>
      <c r="B109071"/>
      <c r="C109071"/>
      <c r="E109071"/>
      <c r="F109071"/>
    </row>
    <row r="109072" spans="1:6" x14ac:dyDescent="0.25">
      <c r="A109072"/>
      <c r="B109072"/>
      <c r="C109072"/>
      <c r="E109072"/>
      <c r="F109072"/>
    </row>
    <row r="109073" spans="1:6" x14ac:dyDescent="0.25">
      <c r="A109073"/>
      <c r="B109073"/>
      <c r="C109073"/>
      <c r="E109073"/>
      <c r="F109073"/>
    </row>
    <row r="109074" spans="1:6" x14ac:dyDescent="0.25">
      <c r="A109074"/>
      <c r="B109074"/>
      <c r="C109074"/>
      <c r="E109074"/>
      <c r="F109074"/>
    </row>
    <row r="109075" spans="1:6" x14ac:dyDescent="0.25">
      <c r="A109075"/>
      <c r="B109075"/>
      <c r="C109075"/>
      <c r="E109075"/>
      <c r="F109075"/>
    </row>
    <row r="109076" spans="1:6" x14ac:dyDescent="0.25">
      <c r="A109076"/>
      <c r="B109076"/>
      <c r="C109076"/>
      <c r="E109076"/>
      <c r="F109076"/>
    </row>
    <row r="109077" spans="1:6" x14ac:dyDescent="0.25">
      <c r="A109077"/>
      <c r="B109077"/>
      <c r="C109077"/>
      <c r="E109077"/>
      <c r="F109077"/>
    </row>
    <row r="109078" spans="1:6" x14ac:dyDescent="0.25">
      <c r="A109078"/>
      <c r="B109078"/>
      <c r="C109078"/>
      <c r="E109078"/>
      <c r="F109078"/>
    </row>
    <row r="109079" spans="1:6" x14ac:dyDescent="0.25">
      <c r="A109079"/>
      <c r="B109079"/>
      <c r="C109079"/>
      <c r="E109079"/>
      <c r="F109079"/>
    </row>
    <row r="109080" spans="1:6" x14ac:dyDescent="0.25">
      <c r="A109080"/>
      <c r="B109080"/>
      <c r="C109080"/>
      <c r="E109080"/>
      <c r="F109080"/>
    </row>
    <row r="109081" spans="1:6" x14ac:dyDescent="0.25">
      <c r="A109081"/>
      <c r="B109081"/>
      <c r="C109081"/>
      <c r="E109081"/>
      <c r="F109081"/>
    </row>
    <row r="109082" spans="1:6" x14ac:dyDescent="0.25">
      <c r="A109082"/>
      <c r="B109082"/>
      <c r="C109082"/>
      <c r="E109082"/>
      <c r="F109082"/>
    </row>
    <row r="109083" spans="1:6" x14ac:dyDescent="0.25">
      <c r="A109083"/>
      <c r="B109083"/>
      <c r="C109083"/>
      <c r="E109083"/>
      <c r="F109083"/>
    </row>
    <row r="109084" spans="1:6" x14ac:dyDescent="0.25">
      <c r="A109084"/>
      <c r="B109084"/>
      <c r="C109084"/>
      <c r="E109084"/>
      <c r="F109084"/>
    </row>
    <row r="109085" spans="1:6" x14ac:dyDescent="0.25">
      <c r="A109085"/>
      <c r="B109085"/>
      <c r="C109085"/>
      <c r="E109085"/>
      <c r="F109085"/>
    </row>
    <row r="109086" spans="1:6" x14ac:dyDescent="0.25">
      <c r="A109086"/>
      <c r="B109086"/>
      <c r="C109086"/>
      <c r="E109086"/>
      <c r="F109086"/>
    </row>
    <row r="109087" spans="1:6" x14ac:dyDescent="0.25">
      <c r="A109087"/>
      <c r="B109087"/>
      <c r="C109087"/>
      <c r="E109087"/>
      <c r="F109087"/>
    </row>
    <row r="109088" spans="1:6" x14ac:dyDescent="0.25">
      <c r="A109088"/>
      <c r="B109088"/>
      <c r="C109088"/>
      <c r="E109088"/>
      <c r="F109088"/>
    </row>
    <row r="109089" spans="1:6" x14ac:dyDescent="0.25">
      <c r="A109089"/>
      <c r="B109089"/>
      <c r="C109089"/>
      <c r="E109089"/>
      <c r="F109089"/>
    </row>
    <row r="109090" spans="1:6" x14ac:dyDescent="0.25">
      <c r="A109090"/>
      <c r="B109090"/>
      <c r="C109090"/>
      <c r="E109090"/>
      <c r="F109090"/>
    </row>
    <row r="109091" spans="1:6" x14ac:dyDescent="0.25">
      <c r="A109091"/>
      <c r="B109091"/>
      <c r="C109091"/>
      <c r="E109091"/>
      <c r="F109091"/>
    </row>
    <row r="109092" spans="1:6" x14ac:dyDescent="0.25">
      <c r="A109092"/>
      <c r="B109092"/>
      <c r="C109092"/>
      <c r="E109092"/>
      <c r="F109092"/>
    </row>
    <row r="109093" spans="1:6" x14ac:dyDescent="0.25">
      <c r="A109093"/>
      <c r="B109093"/>
      <c r="C109093"/>
      <c r="E109093"/>
      <c r="F109093"/>
    </row>
    <row r="109094" spans="1:6" x14ac:dyDescent="0.25">
      <c r="A109094"/>
      <c r="B109094"/>
      <c r="C109094"/>
      <c r="E109094"/>
      <c r="F109094"/>
    </row>
    <row r="109095" spans="1:6" x14ac:dyDescent="0.25">
      <c r="A109095"/>
      <c r="B109095"/>
      <c r="C109095"/>
      <c r="E109095"/>
      <c r="F109095"/>
    </row>
    <row r="109096" spans="1:6" x14ac:dyDescent="0.25">
      <c r="A109096"/>
      <c r="B109096"/>
      <c r="C109096"/>
      <c r="E109096"/>
      <c r="F109096"/>
    </row>
    <row r="109097" spans="1:6" x14ac:dyDescent="0.25">
      <c r="A109097"/>
      <c r="B109097"/>
      <c r="C109097"/>
      <c r="E109097"/>
      <c r="F109097"/>
    </row>
    <row r="109098" spans="1:6" x14ac:dyDescent="0.25">
      <c r="A109098"/>
      <c r="B109098"/>
      <c r="C109098"/>
      <c r="E109098"/>
      <c r="F109098"/>
    </row>
    <row r="109099" spans="1:6" x14ac:dyDescent="0.25">
      <c r="A109099"/>
      <c r="B109099"/>
      <c r="C109099"/>
      <c r="E109099"/>
      <c r="F109099"/>
    </row>
    <row r="109100" spans="1:6" x14ac:dyDescent="0.25">
      <c r="A109100"/>
      <c r="B109100"/>
      <c r="C109100"/>
      <c r="E109100"/>
      <c r="F109100"/>
    </row>
    <row r="109101" spans="1:6" x14ac:dyDescent="0.25">
      <c r="A109101"/>
      <c r="B109101"/>
      <c r="C109101"/>
      <c r="E109101"/>
      <c r="F109101"/>
    </row>
    <row r="109102" spans="1:6" x14ac:dyDescent="0.25">
      <c r="A109102"/>
      <c r="B109102"/>
      <c r="C109102"/>
      <c r="E109102"/>
      <c r="F109102"/>
    </row>
    <row r="109103" spans="1:6" x14ac:dyDescent="0.25">
      <c r="A109103"/>
      <c r="B109103"/>
      <c r="C109103"/>
      <c r="E109103"/>
      <c r="F109103"/>
    </row>
    <row r="109104" spans="1:6" x14ac:dyDescent="0.25">
      <c r="A109104"/>
      <c r="B109104"/>
      <c r="C109104"/>
      <c r="E109104"/>
      <c r="F109104"/>
    </row>
    <row r="109105" spans="1:6" x14ac:dyDescent="0.25">
      <c r="A109105"/>
      <c r="B109105"/>
      <c r="C109105"/>
      <c r="E109105"/>
      <c r="F109105"/>
    </row>
    <row r="109106" spans="1:6" x14ac:dyDescent="0.25">
      <c r="A109106"/>
      <c r="B109106"/>
      <c r="C109106"/>
      <c r="E109106"/>
      <c r="F109106"/>
    </row>
    <row r="109107" spans="1:6" x14ac:dyDescent="0.25">
      <c r="A109107"/>
      <c r="B109107"/>
      <c r="C109107"/>
      <c r="E109107"/>
      <c r="F109107"/>
    </row>
    <row r="109108" spans="1:6" x14ac:dyDescent="0.25">
      <c r="A109108"/>
      <c r="B109108"/>
      <c r="C109108"/>
      <c r="E109108"/>
      <c r="F109108"/>
    </row>
    <row r="109109" spans="1:6" x14ac:dyDescent="0.25">
      <c r="A109109"/>
      <c r="B109109"/>
      <c r="C109109"/>
      <c r="E109109"/>
      <c r="F109109"/>
    </row>
    <row r="109110" spans="1:6" x14ac:dyDescent="0.25">
      <c r="A109110"/>
      <c r="B109110"/>
      <c r="C109110"/>
      <c r="E109110"/>
      <c r="F109110"/>
    </row>
    <row r="109111" spans="1:6" x14ac:dyDescent="0.25">
      <c r="A109111"/>
      <c r="B109111"/>
      <c r="C109111"/>
      <c r="E109111"/>
      <c r="F109111"/>
    </row>
    <row r="109112" spans="1:6" x14ac:dyDescent="0.25">
      <c r="A109112"/>
      <c r="B109112"/>
      <c r="C109112"/>
      <c r="E109112"/>
      <c r="F109112"/>
    </row>
    <row r="109113" spans="1:6" x14ac:dyDescent="0.25">
      <c r="A109113"/>
      <c r="B109113"/>
      <c r="C109113"/>
      <c r="E109113"/>
      <c r="F109113"/>
    </row>
    <row r="109114" spans="1:6" x14ac:dyDescent="0.25">
      <c r="A109114"/>
      <c r="B109114"/>
      <c r="C109114"/>
      <c r="E109114"/>
      <c r="F109114"/>
    </row>
    <row r="109115" spans="1:6" x14ac:dyDescent="0.25">
      <c r="A109115"/>
      <c r="B109115"/>
      <c r="C109115"/>
      <c r="E109115"/>
      <c r="F109115"/>
    </row>
    <row r="109116" spans="1:6" x14ac:dyDescent="0.25">
      <c r="A109116"/>
      <c r="B109116"/>
      <c r="C109116"/>
      <c r="E109116"/>
      <c r="F109116"/>
    </row>
    <row r="109117" spans="1:6" x14ac:dyDescent="0.25">
      <c r="A109117"/>
      <c r="B109117"/>
      <c r="C109117"/>
      <c r="E109117"/>
      <c r="F109117"/>
    </row>
    <row r="109118" spans="1:6" x14ac:dyDescent="0.25">
      <c r="A109118"/>
      <c r="B109118"/>
      <c r="C109118"/>
      <c r="E109118"/>
      <c r="F109118"/>
    </row>
    <row r="109119" spans="1:6" x14ac:dyDescent="0.25">
      <c r="A109119"/>
      <c r="B109119"/>
      <c r="C109119"/>
      <c r="E109119"/>
      <c r="F109119"/>
    </row>
    <row r="109120" spans="1:6" x14ac:dyDescent="0.25">
      <c r="A109120"/>
      <c r="B109120"/>
      <c r="C109120"/>
      <c r="E109120"/>
      <c r="F109120"/>
    </row>
    <row r="109121" spans="1:6" x14ac:dyDescent="0.25">
      <c r="A109121"/>
      <c r="B109121"/>
      <c r="C109121"/>
      <c r="E109121"/>
      <c r="F109121"/>
    </row>
    <row r="109122" spans="1:6" x14ac:dyDescent="0.25">
      <c r="A109122"/>
      <c r="B109122"/>
      <c r="C109122"/>
      <c r="E109122"/>
      <c r="F109122"/>
    </row>
    <row r="109123" spans="1:6" x14ac:dyDescent="0.25">
      <c r="A109123"/>
      <c r="B109123"/>
      <c r="C109123"/>
      <c r="E109123"/>
      <c r="F109123"/>
    </row>
    <row r="109124" spans="1:6" x14ac:dyDescent="0.25">
      <c r="A109124"/>
      <c r="B109124"/>
      <c r="C109124"/>
      <c r="E109124"/>
      <c r="F109124"/>
    </row>
    <row r="109125" spans="1:6" x14ac:dyDescent="0.25">
      <c r="A109125"/>
      <c r="B109125"/>
      <c r="C109125"/>
      <c r="E109125"/>
      <c r="F109125"/>
    </row>
    <row r="109126" spans="1:6" x14ac:dyDescent="0.25">
      <c r="A109126"/>
      <c r="B109126"/>
      <c r="C109126"/>
      <c r="E109126"/>
      <c r="F109126"/>
    </row>
    <row r="109127" spans="1:6" x14ac:dyDescent="0.25">
      <c r="A109127"/>
      <c r="B109127"/>
      <c r="C109127"/>
      <c r="E109127"/>
      <c r="F109127"/>
    </row>
    <row r="109128" spans="1:6" x14ac:dyDescent="0.25">
      <c r="A109128"/>
      <c r="B109128"/>
      <c r="C109128"/>
      <c r="E109128"/>
      <c r="F109128"/>
    </row>
    <row r="109129" spans="1:6" x14ac:dyDescent="0.25">
      <c r="A109129"/>
      <c r="B109129"/>
      <c r="C109129"/>
      <c r="E109129"/>
      <c r="F109129"/>
    </row>
    <row r="109130" spans="1:6" x14ac:dyDescent="0.25">
      <c r="A109130"/>
      <c r="B109130"/>
      <c r="C109130"/>
      <c r="E109130"/>
      <c r="F109130"/>
    </row>
    <row r="109131" spans="1:6" x14ac:dyDescent="0.25">
      <c r="A109131"/>
      <c r="B109131"/>
      <c r="C109131"/>
      <c r="E109131"/>
      <c r="F109131"/>
    </row>
    <row r="109132" spans="1:6" x14ac:dyDescent="0.25">
      <c r="A109132"/>
      <c r="B109132"/>
      <c r="C109132"/>
      <c r="E109132"/>
      <c r="F109132"/>
    </row>
    <row r="109133" spans="1:6" x14ac:dyDescent="0.25">
      <c r="A109133"/>
      <c r="B109133"/>
      <c r="C109133"/>
      <c r="E109133"/>
      <c r="F109133"/>
    </row>
    <row r="109134" spans="1:6" x14ac:dyDescent="0.25">
      <c r="A109134"/>
      <c r="B109134"/>
      <c r="C109134"/>
      <c r="E109134"/>
      <c r="F109134"/>
    </row>
    <row r="109135" spans="1:6" x14ac:dyDescent="0.25">
      <c r="A109135"/>
      <c r="B109135"/>
      <c r="C109135"/>
      <c r="E109135"/>
      <c r="F109135"/>
    </row>
    <row r="109136" spans="1:6" x14ac:dyDescent="0.25">
      <c r="A109136"/>
      <c r="B109136"/>
      <c r="C109136"/>
      <c r="E109136"/>
      <c r="F109136"/>
    </row>
    <row r="109137" spans="1:6" x14ac:dyDescent="0.25">
      <c r="A109137"/>
      <c r="B109137"/>
      <c r="C109137"/>
      <c r="E109137"/>
      <c r="F109137"/>
    </row>
    <row r="109138" spans="1:6" x14ac:dyDescent="0.25">
      <c r="A109138"/>
      <c r="B109138"/>
      <c r="C109138"/>
      <c r="E109138"/>
      <c r="F109138"/>
    </row>
    <row r="109139" spans="1:6" x14ac:dyDescent="0.25">
      <c r="A109139"/>
      <c r="B109139"/>
      <c r="C109139"/>
      <c r="E109139"/>
      <c r="F109139"/>
    </row>
    <row r="109140" spans="1:6" x14ac:dyDescent="0.25">
      <c r="A109140"/>
      <c r="B109140"/>
      <c r="C109140"/>
      <c r="E109140"/>
      <c r="F109140"/>
    </row>
    <row r="109141" spans="1:6" x14ac:dyDescent="0.25">
      <c r="A109141"/>
      <c r="B109141"/>
      <c r="C109141"/>
      <c r="E109141"/>
      <c r="F109141"/>
    </row>
    <row r="109142" spans="1:6" x14ac:dyDescent="0.25">
      <c r="A109142"/>
      <c r="B109142"/>
      <c r="C109142"/>
      <c r="E109142"/>
      <c r="F109142"/>
    </row>
    <row r="109143" spans="1:6" x14ac:dyDescent="0.25">
      <c r="A109143"/>
      <c r="B109143"/>
      <c r="C109143"/>
      <c r="E109143"/>
      <c r="F109143"/>
    </row>
    <row r="109144" spans="1:6" x14ac:dyDescent="0.25">
      <c r="A109144"/>
      <c r="B109144"/>
      <c r="C109144"/>
      <c r="E109144"/>
      <c r="F109144"/>
    </row>
    <row r="109145" spans="1:6" x14ac:dyDescent="0.25">
      <c r="A109145"/>
      <c r="B109145"/>
      <c r="C109145"/>
      <c r="E109145"/>
      <c r="F109145"/>
    </row>
    <row r="109146" spans="1:6" x14ac:dyDescent="0.25">
      <c r="A109146"/>
      <c r="B109146"/>
      <c r="C109146"/>
      <c r="E109146"/>
      <c r="F109146"/>
    </row>
    <row r="109147" spans="1:6" x14ac:dyDescent="0.25">
      <c r="A109147"/>
      <c r="B109147"/>
      <c r="C109147"/>
      <c r="E109147"/>
      <c r="F109147"/>
    </row>
    <row r="109148" spans="1:6" x14ac:dyDescent="0.25">
      <c r="A109148"/>
      <c r="B109148"/>
      <c r="C109148"/>
      <c r="E109148"/>
      <c r="F109148"/>
    </row>
    <row r="109149" spans="1:6" x14ac:dyDescent="0.25">
      <c r="A109149"/>
      <c r="B109149"/>
      <c r="C109149"/>
      <c r="E109149"/>
      <c r="F109149"/>
    </row>
    <row r="109150" spans="1:6" x14ac:dyDescent="0.25">
      <c r="A109150"/>
      <c r="B109150"/>
      <c r="C109150"/>
      <c r="E109150"/>
      <c r="F109150"/>
    </row>
    <row r="109151" spans="1:6" x14ac:dyDescent="0.25">
      <c r="A109151"/>
      <c r="B109151"/>
      <c r="C109151"/>
      <c r="E109151"/>
      <c r="F109151"/>
    </row>
    <row r="109152" spans="1:6" x14ac:dyDescent="0.25">
      <c r="A109152"/>
      <c r="B109152"/>
      <c r="C109152"/>
      <c r="E109152"/>
      <c r="F109152"/>
    </row>
    <row r="109153" spans="1:6" x14ac:dyDescent="0.25">
      <c r="A109153"/>
      <c r="B109153"/>
      <c r="C109153"/>
      <c r="E109153"/>
      <c r="F109153"/>
    </row>
    <row r="109154" spans="1:6" x14ac:dyDescent="0.25">
      <c r="A109154"/>
      <c r="B109154"/>
      <c r="C109154"/>
      <c r="E109154"/>
      <c r="F109154"/>
    </row>
    <row r="109155" spans="1:6" x14ac:dyDescent="0.25">
      <c r="A109155"/>
      <c r="B109155"/>
      <c r="C109155"/>
      <c r="E109155"/>
      <c r="F109155"/>
    </row>
    <row r="109156" spans="1:6" x14ac:dyDescent="0.25">
      <c r="A109156"/>
      <c r="B109156"/>
      <c r="C109156"/>
      <c r="E109156"/>
      <c r="F109156"/>
    </row>
    <row r="109157" spans="1:6" x14ac:dyDescent="0.25">
      <c r="A109157"/>
      <c r="B109157"/>
      <c r="C109157"/>
      <c r="E109157"/>
      <c r="F109157"/>
    </row>
    <row r="109158" spans="1:6" x14ac:dyDescent="0.25">
      <c r="A109158"/>
      <c r="B109158"/>
      <c r="C109158"/>
      <c r="E109158"/>
      <c r="F109158"/>
    </row>
    <row r="109159" spans="1:6" x14ac:dyDescent="0.25">
      <c r="A109159"/>
      <c r="B109159"/>
      <c r="C109159"/>
      <c r="E109159"/>
      <c r="F109159"/>
    </row>
    <row r="109160" spans="1:6" x14ac:dyDescent="0.25">
      <c r="A109160"/>
      <c r="B109160"/>
      <c r="C109160"/>
      <c r="E109160"/>
      <c r="F109160"/>
    </row>
    <row r="109161" spans="1:6" x14ac:dyDescent="0.25">
      <c r="A109161"/>
      <c r="B109161"/>
      <c r="C109161"/>
      <c r="E109161"/>
      <c r="F109161"/>
    </row>
    <row r="109162" spans="1:6" x14ac:dyDescent="0.25">
      <c r="A109162"/>
      <c r="B109162"/>
      <c r="C109162"/>
      <c r="E109162"/>
      <c r="F109162"/>
    </row>
    <row r="109163" spans="1:6" x14ac:dyDescent="0.25">
      <c r="A109163"/>
      <c r="B109163"/>
      <c r="C109163"/>
      <c r="E109163"/>
      <c r="F109163"/>
    </row>
    <row r="109164" spans="1:6" x14ac:dyDescent="0.25">
      <c r="A109164"/>
      <c r="B109164"/>
      <c r="C109164"/>
      <c r="E109164"/>
      <c r="F109164"/>
    </row>
    <row r="109165" spans="1:6" x14ac:dyDescent="0.25">
      <c r="A109165"/>
      <c r="B109165"/>
      <c r="C109165"/>
      <c r="E109165"/>
      <c r="F109165"/>
    </row>
    <row r="109166" spans="1:6" x14ac:dyDescent="0.25">
      <c r="A109166"/>
      <c r="B109166"/>
      <c r="C109166"/>
      <c r="E109166"/>
      <c r="F109166"/>
    </row>
    <row r="109167" spans="1:6" x14ac:dyDescent="0.25">
      <c r="A109167"/>
      <c r="B109167"/>
      <c r="C109167"/>
      <c r="E109167"/>
      <c r="F109167"/>
    </row>
    <row r="109168" spans="1:6" x14ac:dyDescent="0.25">
      <c r="A109168"/>
      <c r="B109168"/>
      <c r="C109168"/>
      <c r="E109168"/>
      <c r="F109168"/>
    </row>
    <row r="109169" spans="1:6" x14ac:dyDescent="0.25">
      <c r="A109169"/>
      <c r="B109169"/>
      <c r="C109169"/>
      <c r="E109169"/>
      <c r="F109169"/>
    </row>
    <row r="109170" spans="1:6" x14ac:dyDescent="0.25">
      <c r="A109170"/>
      <c r="B109170"/>
      <c r="C109170"/>
      <c r="E109170"/>
      <c r="F109170"/>
    </row>
    <row r="109171" spans="1:6" x14ac:dyDescent="0.25">
      <c r="A109171"/>
      <c r="B109171"/>
      <c r="C109171"/>
      <c r="E109171"/>
      <c r="F109171"/>
    </row>
    <row r="109172" spans="1:6" x14ac:dyDescent="0.25">
      <c r="A109172"/>
      <c r="B109172"/>
      <c r="C109172"/>
      <c r="E109172"/>
      <c r="F109172"/>
    </row>
    <row r="109173" spans="1:6" x14ac:dyDescent="0.25">
      <c r="A109173"/>
      <c r="B109173"/>
      <c r="C109173"/>
      <c r="E109173"/>
      <c r="F109173"/>
    </row>
    <row r="109174" spans="1:6" x14ac:dyDescent="0.25">
      <c r="A109174"/>
      <c r="B109174"/>
      <c r="C109174"/>
      <c r="E109174"/>
      <c r="F109174"/>
    </row>
    <row r="109175" spans="1:6" x14ac:dyDescent="0.25">
      <c r="A109175"/>
      <c r="B109175"/>
      <c r="C109175"/>
      <c r="E109175"/>
      <c r="F109175"/>
    </row>
    <row r="109176" spans="1:6" x14ac:dyDescent="0.25">
      <c r="A109176"/>
      <c r="B109176"/>
      <c r="C109176"/>
      <c r="E109176"/>
      <c r="F109176"/>
    </row>
    <row r="109177" spans="1:6" x14ac:dyDescent="0.25">
      <c r="A109177"/>
      <c r="B109177"/>
      <c r="C109177"/>
      <c r="E109177"/>
      <c r="F109177"/>
    </row>
    <row r="109178" spans="1:6" x14ac:dyDescent="0.25">
      <c r="A109178"/>
      <c r="B109178"/>
      <c r="C109178"/>
      <c r="E109178"/>
      <c r="F109178"/>
    </row>
    <row r="109179" spans="1:6" x14ac:dyDescent="0.25">
      <c r="A109179"/>
      <c r="B109179"/>
      <c r="C109179"/>
      <c r="E109179"/>
      <c r="F109179"/>
    </row>
    <row r="109180" spans="1:6" x14ac:dyDescent="0.25">
      <c r="A109180"/>
      <c r="B109180"/>
      <c r="C109180"/>
      <c r="E109180"/>
      <c r="F109180"/>
    </row>
    <row r="109181" spans="1:6" x14ac:dyDescent="0.25">
      <c r="A109181"/>
      <c r="B109181"/>
      <c r="C109181"/>
      <c r="E109181"/>
      <c r="F109181"/>
    </row>
    <row r="109182" spans="1:6" x14ac:dyDescent="0.25">
      <c r="A109182"/>
      <c r="B109182"/>
      <c r="C109182"/>
      <c r="E109182"/>
      <c r="F109182"/>
    </row>
    <row r="109183" spans="1:6" x14ac:dyDescent="0.25">
      <c r="A109183"/>
      <c r="B109183"/>
      <c r="C109183"/>
      <c r="E109183"/>
      <c r="F109183"/>
    </row>
    <row r="109184" spans="1:6" x14ac:dyDescent="0.25">
      <c r="A109184"/>
      <c r="B109184"/>
      <c r="C109184"/>
      <c r="E109184"/>
      <c r="F109184"/>
    </row>
    <row r="109185" spans="1:6" x14ac:dyDescent="0.25">
      <c r="A109185"/>
      <c r="B109185"/>
      <c r="C109185"/>
      <c r="E109185"/>
      <c r="F109185"/>
    </row>
    <row r="109186" spans="1:6" x14ac:dyDescent="0.25">
      <c r="A109186"/>
      <c r="B109186"/>
      <c r="C109186"/>
      <c r="E109186"/>
      <c r="F109186"/>
    </row>
    <row r="109187" spans="1:6" x14ac:dyDescent="0.25">
      <c r="A109187"/>
      <c r="B109187"/>
      <c r="C109187"/>
      <c r="E109187"/>
      <c r="F109187"/>
    </row>
    <row r="109188" spans="1:6" x14ac:dyDescent="0.25">
      <c r="A109188"/>
      <c r="B109188"/>
      <c r="C109188"/>
      <c r="E109188"/>
      <c r="F109188"/>
    </row>
    <row r="109189" spans="1:6" x14ac:dyDescent="0.25">
      <c r="A109189"/>
      <c r="B109189"/>
      <c r="C109189"/>
      <c r="E109189"/>
      <c r="F109189"/>
    </row>
    <row r="109190" spans="1:6" x14ac:dyDescent="0.25">
      <c r="A109190"/>
      <c r="B109190"/>
      <c r="C109190"/>
      <c r="E109190"/>
      <c r="F109190"/>
    </row>
    <row r="109191" spans="1:6" x14ac:dyDescent="0.25">
      <c r="A109191"/>
      <c r="B109191"/>
      <c r="C109191"/>
      <c r="E109191"/>
      <c r="F109191"/>
    </row>
    <row r="109192" spans="1:6" x14ac:dyDescent="0.25">
      <c r="A109192"/>
      <c r="B109192"/>
      <c r="C109192"/>
      <c r="E109192"/>
      <c r="F109192"/>
    </row>
    <row r="109193" spans="1:6" x14ac:dyDescent="0.25">
      <c r="A109193"/>
      <c r="B109193"/>
      <c r="C109193"/>
      <c r="E109193"/>
      <c r="F109193"/>
    </row>
    <row r="109194" spans="1:6" x14ac:dyDescent="0.25">
      <c r="A109194"/>
      <c r="B109194"/>
      <c r="C109194"/>
      <c r="E109194"/>
      <c r="F109194"/>
    </row>
    <row r="109195" spans="1:6" x14ac:dyDescent="0.25">
      <c r="A109195"/>
      <c r="B109195"/>
      <c r="C109195"/>
      <c r="E109195"/>
      <c r="F109195"/>
    </row>
    <row r="109196" spans="1:6" x14ac:dyDescent="0.25">
      <c r="A109196"/>
      <c r="B109196"/>
      <c r="C109196"/>
      <c r="E109196"/>
      <c r="F109196"/>
    </row>
    <row r="109197" spans="1:6" x14ac:dyDescent="0.25">
      <c r="A109197"/>
      <c r="B109197"/>
      <c r="C109197"/>
      <c r="E109197"/>
      <c r="F109197"/>
    </row>
    <row r="109198" spans="1:6" x14ac:dyDescent="0.25">
      <c r="A109198"/>
      <c r="B109198"/>
      <c r="C109198"/>
      <c r="E109198"/>
      <c r="F109198"/>
    </row>
    <row r="109199" spans="1:6" x14ac:dyDescent="0.25">
      <c r="A109199"/>
      <c r="B109199"/>
      <c r="C109199"/>
      <c r="E109199"/>
      <c r="F109199"/>
    </row>
    <row r="109200" spans="1:6" x14ac:dyDescent="0.25">
      <c r="A109200"/>
      <c r="B109200"/>
      <c r="C109200"/>
      <c r="E109200"/>
      <c r="F109200"/>
    </row>
    <row r="109201" spans="1:6" x14ac:dyDescent="0.25">
      <c r="A109201"/>
      <c r="B109201"/>
      <c r="C109201"/>
      <c r="E109201"/>
      <c r="F109201"/>
    </row>
    <row r="109202" spans="1:6" x14ac:dyDescent="0.25">
      <c r="A109202"/>
      <c r="B109202"/>
      <c r="C109202"/>
      <c r="E109202"/>
      <c r="F109202"/>
    </row>
    <row r="109203" spans="1:6" x14ac:dyDescent="0.25">
      <c r="A109203"/>
      <c r="B109203"/>
      <c r="C109203"/>
      <c r="E109203"/>
      <c r="F109203"/>
    </row>
    <row r="109204" spans="1:6" x14ac:dyDescent="0.25">
      <c r="A109204"/>
      <c r="B109204"/>
      <c r="C109204"/>
      <c r="E109204"/>
      <c r="F109204"/>
    </row>
    <row r="109205" spans="1:6" x14ac:dyDescent="0.25">
      <c r="A109205"/>
      <c r="B109205"/>
      <c r="C109205"/>
      <c r="E109205"/>
      <c r="F109205"/>
    </row>
    <row r="109206" spans="1:6" x14ac:dyDescent="0.25">
      <c r="A109206"/>
      <c r="B109206"/>
      <c r="C109206"/>
      <c r="E109206"/>
      <c r="F109206"/>
    </row>
    <row r="109207" spans="1:6" x14ac:dyDescent="0.25">
      <c r="A109207"/>
      <c r="B109207"/>
      <c r="C109207"/>
      <c r="E109207"/>
      <c r="F109207"/>
    </row>
    <row r="109208" spans="1:6" x14ac:dyDescent="0.25">
      <c r="A109208"/>
      <c r="B109208"/>
      <c r="C109208"/>
      <c r="E109208"/>
      <c r="F109208"/>
    </row>
    <row r="109209" spans="1:6" x14ac:dyDescent="0.25">
      <c r="A109209"/>
      <c r="B109209"/>
      <c r="C109209"/>
      <c r="E109209"/>
      <c r="F109209"/>
    </row>
    <row r="109210" spans="1:6" x14ac:dyDescent="0.25">
      <c r="A109210"/>
      <c r="B109210"/>
      <c r="C109210"/>
      <c r="E109210"/>
      <c r="F109210"/>
    </row>
    <row r="109211" spans="1:6" x14ac:dyDescent="0.25">
      <c r="A109211"/>
      <c r="B109211"/>
      <c r="C109211"/>
      <c r="E109211"/>
      <c r="F109211"/>
    </row>
    <row r="109212" spans="1:6" x14ac:dyDescent="0.25">
      <c r="A109212"/>
      <c r="B109212"/>
      <c r="C109212"/>
      <c r="E109212"/>
      <c r="F109212"/>
    </row>
    <row r="109213" spans="1:6" x14ac:dyDescent="0.25">
      <c r="A109213"/>
      <c r="B109213"/>
      <c r="C109213"/>
      <c r="E109213"/>
      <c r="F109213"/>
    </row>
    <row r="109214" spans="1:6" x14ac:dyDescent="0.25">
      <c r="A109214"/>
      <c r="B109214"/>
      <c r="C109214"/>
      <c r="E109214"/>
      <c r="F109214"/>
    </row>
    <row r="109215" spans="1:6" x14ac:dyDescent="0.25">
      <c r="A109215"/>
      <c r="B109215"/>
      <c r="C109215"/>
      <c r="E109215"/>
      <c r="F109215"/>
    </row>
    <row r="109216" spans="1:6" x14ac:dyDescent="0.25">
      <c r="A109216"/>
      <c r="B109216"/>
      <c r="C109216"/>
      <c r="E109216"/>
      <c r="F109216"/>
    </row>
    <row r="109217" spans="1:6" x14ac:dyDescent="0.25">
      <c r="A109217"/>
      <c r="B109217"/>
      <c r="C109217"/>
      <c r="E109217"/>
      <c r="F109217"/>
    </row>
    <row r="109218" spans="1:6" x14ac:dyDescent="0.25">
      <c r="A109218"/>
      <c r="B109218"/>
      <c r="C109218"/>
      <c r="E109218"/>
      <c r="F109218"/>
    </row>
    <row r="109219" spans="1:6" x14ac:dyDescent="0.25">
      <c r="A109219"/>
      <c r="B109219"/>
      <c r="C109219"/>
      <c r="E109219"/>
      <c r="F109219"/>
    </row>
    <row r="109220" spans="1:6" x14ac:dyDescent="0.25">
      <c r="A109220"/>
      <c r="B109220"/>
      <c r="C109220"/>
      <c r="E109220"/>
      <c r="F109220"/>
    </row>
    <row r="109221" spans="1:6" x14ac:dyDescent="0.25">
      <c r="A109221"/>
      <c r="B109221"/>
      <c r="C109221"/>
      <c r="E109221"/>
      <c r="F109221"/>
    </row>
    <row r="109222" spans="1:6" x14ac:dyDescent="0.25">
      <c r="A109222"/>
      <c r="B109222"/>
      <c r="C109222"/>
      <c r="E109222"/>
      <c r="F109222"/>
    </row>
    <row r="109223" spans="1:6" x14ac:dyDescent="0.25">
      <c r="A109223"/>
      <c r="B109223"/>
      <c r="C109223"/>
      <c r="E109223"/>
      <c r="F109223"/>
    </row>
    <row r="109224" spans="1:6" x14ac:dyDescent="0.25">
      <c r="A109224"/>
      <c r="B109224"/>
      <c r="C109224"/>
      <c r="E109224"/>
      <c r="F109224"/>
    </row>
    <row r="109225" spans="1:6" x14ac:dyDescent="0.25">
      <c r="A109225"/>
      <c r="B109225"/>
      <c r="C109225"/>
      <c r="E109225"/>
      <c r="F109225"/>
    </row>
    <row r="109226" spans="1:6" x14ac:dyDescent="0.25">
      <c r="A109226"/>
      <c r="B109226"/>
      <c r="C109226"/>
      <c r="E109226"/>
      <c r="F109226"/>
    </row>
    <row r="109227" spans="1:6" x14ac:dyDescent="0.25">
      <c r="A109227"/>
      <c r="B109227"/>
      <c r="C109227"/>
      <c r="E109227"/>
      <c r="F109227"/>
    </row>
    <row r="109228" spans="1:6" x14ac:dyDescent="0.25">
      <c r="A109228"/>
      <c r="B109228"/>
      <c r="C109228"/>
      <c r="E109228"/>
      <c r="F109228"/>
    </row>
    <row r="109229" spans="1:6" x14ac:dyDescent="0.25">
      <c r="A109229"/>
      <c r="B109229"/>
      <c r="C109229"/>
      <c r="E109229"/>
      <c r="F109229"/>
    </row>
    <row r="109230" spans="1:6" x14ac:dyDescent="0.25">
      <c r="A109230"/>
      <c r="B109230"/>
      <c r="C109230"/>
      <c r="E109230"/>
      <c r="F109230"/>
    </row>
    <row r="109231" spans="1:6" x14ac:dyDescent="0.25">
      <c r="A109231"/>
      <c r="B109231"/>
      <c r="C109231"/>
      <c r="E109231"/>
      <c r="F109231"/>
    </row>
    <row r="109232" spans="1:6" x14ac:dyDescent="0.25">
      <c r="A109232"/>
      <c r="B109232"/>
      <c r="C109232"/>
      <c r="E109232"/>
      <c r="F109232"/>
    </row>
    <row r="109233" spans="1:6" x14ac:dyDescent="0.25">
      <c r="A109233"/>
      <c r="B109233"/>
      <c r="C109233"/>
      <c r="E109233"/>
      <c r="F109233"/>
    </row>
    <row r="109234" spans="1:6" x14ac:dyDescent="0.25">
      <c r="A109234"/>
      <c r="B109234"/>
      <c r="C109234"/>
      <c r="E109234"/>
      <c r="F109234"/>
    </row>
    <row r="109235" spans="1:6" x14ac:dyDescent="0.25">
      <c r="A109235"/>
      <c r="B109235"/>
      <c r="C109235"/>
      <c r="E109235"/>
      <c r="F109235"/>
    </row>
    <row r="109236" spans="1:6" x14ac:dyDescent="0.25">
      <c r="A109236"/>
      <c r="B109236"/>
      <c r="C109236"/>
      <c r="E109236"/>
      <c r="F109236"/>
    </row>
    <row r="109237" spans="1:6" x14ac:dyDescent="0.25">
      <c r="A109237"/>
      <c r="B109237"/>
      <c r="C109237"/>
      <c r="E109237"/>
      <c r="F109237"/>
    </row>
    <row r="109238" spans="1:6" x14ac:dyDescent="0.25">
      <c r="A109238"/>
      <c r="B109238"/>
      <c r="C109238"/>
      <c r="E109238"/>
      <c r="F109238"/>
    </row>
    <row r="109239" spans="1:6" x14ac:dyDescent="0.25">
      <c r="A109239"/>
      <c r="B109239"/>
      <c r="C109239"/>
      <c r="E109239"/>
      <c r="F109239"/>
    </row>
    <row r="109240" spans="1:6" x14ac:dyDescent="0.25">
      <c r="A109240"/>
      <c r="B109240"/>
      <c r="C109240"/>
      <c r="E109240"/>
      <c r="F109240"/>
    </row>
    <row r="109241" spans="1:6" x14ac:dyDescent="0.25">
      <c r="A109241"/>
      <c r="B109241"/>
      <c r="C109241"/>
      <c r="E109241"/>
      <c r="F109241"/>
    </row>
    <row r="109242" spans="1:6" x14ac:dyDescent="0.25">
      <c r="A109242"/>
      <c r="B109242"/>
      <c r="C109242"/>
      <c r="E109242"/>
      <c r="F109242"/>
    </row>
    <row r="109243" spans="1:6" x14ac:dyDescent="0.25">
      <c r="A109243"/>
      <c r="B109243"/>
      <c r="C109243"/>
      <c r="E109243"/>
      <c r="F109243"/>
    </row>
    <row r="109244" spans="1:6" x14ac:dyDescent="0.25">
      <c r="A109244"/>
      <c r="B109244"/>
      <c r="C109244"/>
      <c r="E109244"/>
      <c r="F109244"/>
    </row>
    <row r="109245" spans="1:6" x14ac:dyDescent="0.25">
      <c r="A109245"/>
      <c r="B109245"/>
      <c r="C109245"/>
      <c r="E109245"/>
      <c r="F109245"/>
    </row>
    <row r="109246" spans="1:6" x14ac:dyDescent="0.25">
      <c r="A109246"/>
      <c r="B109246"/>
      <c r="C109246"/>
      <c r="E109246"/>
      <c r="F109246"/>
    </row>
    <row r="109247" spans="1:6" x14ac:dyDescent="0.25">
      <c r="A109247"/>
      <c r="B109247"/>
      <c r="C109247"/>
      <c r="E109247"/>
      <c r="F109247"/>
    </row>
    <row r="109248" spans="1:6" x14ac:dyDescent="0.25">
      <c r="A109248"/>
      <c r="B109248"/>
      <c r="C109248"/>
      <c r="E109248"/>
      <c r="F109248"/>
    </row>
    <row r="109249" spans="1:6" x14ac:dyDescent="0.25">
      <c r="A109249"/>
      <c r="B109249"/>
      <c r="C109249"/>
      <c r="E109249"/>
      <c r="F109249"/>
    </row>
    <row r="109250" spans="1:6" x14ac:dyDescent="0.25">
      <c r="A109250"/>
      <c r="B109250"/>
      <c r="C109250"/>
      <c r="E109250"/>
      <c r="F109250"/>
    </row>
    <row r="109251" spans="1:6" x14ac:dyDescent="0.25">
      <c r="A109251"/>
      <c r="B109251"/>
      <c r="C109251"/>
      <c r="E109251"/>
      <c r="F109251"/>
    </row>
    <row r="109252" spans="1:6" x14ac:dyDescent="0.25">
      <c r="A109252"/>
      <c r="B109252"/>
      <c r="C109252"/>
      <c r="E109252"/>
      <c r="F109252"/>
    </row>
    <row r="109253" spans="1:6" x14ac:dyDescent="0.25">
      <c r="A109253"/>
      <c r="B109253"/>
      <c r="C109253"/>
      <c r="E109253"/>
      <c r="F109253"/>
    </row>
    <row r="109254" spans="1:6" x14ac:dyDescent="0.25">
      <c r="A109254"/>
      <c r="B109254"/>
      <c r="C109254"/>
      <c r="E109254"/>
      <c r="F109254"/>
    </row>
    <row r="109255" spans="1:6" x14ac:dyDescent="0.25">
      <c r="A109255"/>
      <c r="B109255"/>
      <c r="C109255"/>
      <c r="E109255"/>
      <c r="F109255"/>
    </row>
    <row r="109256" spans="1:6" x14ac:dyDescent="0.25">
      <c r="A109256"/>
      <c r="B109256"/>
      <c r="C109256"/>
      <c r="E109256"/>
      <c r="F109256"/>
    </row>
    <row r="109257" spans="1:6" x14ac:dyDescent="0.25">
      <c r="A109257"/>
      <c r="B109257"/>
      <c r="C109257"/>
      <c r="E109257"/>
      <c r="F109257"/>
    </row>
    <row r="109258" spans="1:6" x14ac:dyDescent="0.25">
      <c r="A109258"/>
      <c r="B109258"/>
      <c r="C109258"/>
      <c r="E109258"/>
      <c r="F109258"/>
    </row>
    <row r="109259" spans="1:6" x14ac:dyDescent="0.25">
      <c r="A109259"/>
      <c r="B109259"/>
      <c r="C109259"/>
      <c r="E109259"/>
      <c r="F109259"/>
    </row>
    <row r="109260" spans="1:6" x14ac:dyDescent="0.25">
      <c r="A109260"/>
      <c r="B109260"/>
      <c r="C109260"/>
      <c r="E109260"/>
      <c r="F109260"/>
    </row>
    <row r="109261" spans="1:6" x14ac:dyDescent="0.25">
      <c r="A109261"/>
      <c r="B109261"/>
      <c r="C109261"/>
      <c r="E109261"/>
      <c r="F109261"/>
    </row>
    <row r="109262" spans="1:6" x14ac:dyDescent="0.25">
      <c r="A109262"/>
      <c r="B109262"/>
      <c r="C109262"/>
      <c r="E109262"/>
      <c r="F109262"/>
    </row>
    <row r="109263" spans="1:6" x14ac:dyDescent="0.25">
      <c r="A109263"/>
      <c r="B109263"/>
      <c r="C109263"/>
      <c r="E109263"/>
      <c r="F109263"/>
    </row>
    <row r="109264" spans="1:6" x14ac:dyDescent="0.25">
      <c r="A109264"/>
      <c r="B109264"/>
      <c r="C109264"/>
      <c r="E109264"/>
      <c r="F109264"/>
    </row>
    <row r="109265" spans="1:6" x14ac:dyDescent="0.25">
      <c r="A109265"/>
      <c r="B109265"/>
      <c r="C109265"/>
      <c r="E109265"/>
      <c r="F109265"/>
    </row>
    <row r="109266" spans="1:6" x14ac:dyDescent="0.25">
      <c r="A109266"/>
      <c r="B109266"/>
      <c r="C109266"/>
      <c r="E109266"/>
      <c r="F109266"/>
    </row>
    <row r="109267" spans="1:6" x14ac:dyDescent="0.25">
      <c r="A109267"/>
      <c r="B109267"/>
      <c r="C109267"/>
      <c r="E109267"/>
      <c r="F109267"/>
    </row>
    <row r="109268" spans="1:6" x14ac:dyDescent="0.25">
      <c r="A109268"/>
      <c r="B109268"/>
      <c r="C109268"/>
      <c r="E109268"/>
      <c r="F109268"/>
    </row>
    <row r="109269" spans="1:6" x14ac:dyDescent="0.25">
      <c r="A109269"/>
      <c r="B109269"/>
      <c r="C109269"/>
      <c r="E109269"/>
      <c r="F109269"/>
    </row>
    <row r="109270" spans="1:6" x14ac:dyDescent="0.25">
      <c r="A109270"/>
      <c r="B109270"/>
      <c r="C109270"/>
      <c r="E109270"/>
      <c r="F109270"/>
    </row>
    <row r="109271" spans="1:6" x14ac:dyDescent="0.25">
      <c r="A109271"/>
      <c r="B109271"/>
      <c r="C109271"/>
      <c r="E109271"/>
      <c r="F109271"/>
    </row>
    <row r="109272" spans="1:6" x14ac:dyDescent="0.25">
      <c r="A109272"/>
      <c r="B109272"/>
      <c r="C109272"/>
      <c r="E109272"/>
      <c r="F109272"/>
    </row>
    <row r="109273" spans="1:6" x14ac:dyDescent="0.25">
      <c r="A109273"/>
      <c r="B109273"/>
      <c r="C109273"/>
      <c r="E109273"/>
      <c r="F109273"/>
    </row>
    <row r="109274" spans="1:6" x14ac:dyDescent="0.25">
      <c r="A109274"/>
      <c r="B109274"/>
      <c r="C109274"/>
      <c r="E109274"/>
      <c r="F109274"/>
    </row>
    <row r="109275" spans="1:6" x14ac:dyDescent="0.25">
      <c r="A109275"/>
      <c r="B109275"/>
      <c r="C109275"/>
      <c r="E109275"/>
      <c r="F109275"/>
    </row>
    <row r="109276" spans="1:6" x14ac:dyDescent="0.25">
      <c r="A109276"/>
      <c r="B109276"/>
      <c r="C109276"/>
      <c r="E109276"/>
      <c r="F109276"/>
    </row>
    <row r="109277" spans="1:6" x14ac:dyDescent="0.25">
      <c r="A109277"/>
      <c r="B109277"/>
      <c r="C109277"/>
      <c r="E109277"/>
      <c r="F109277"/>
    </row>
    <row r="109278" spans="1:6" x14ac:dyDescent="0.25">
      <c r="A109278"/>
      <c r="B109278"/>
      <c r="C109278"/>
      <c r="E109278"/>
      <c r="F109278"/>
    </row>
    <row r="109279" spans="1:6" x14ac:dyDescent="0.25">
      <c r="A109279"/>
      <c r="B109279"/>
      <c r="C109279"/>
      <c r="E109279"/>
      <c r="F109279"/>
    </row>
    <row r="109280" spans="1:6" x14ac:dyDescent="0.25">
      <c r="A109280"/>
      <c r="B109280"/>
      <c r="C109280"/>
      <c r="E109280"/>
      <c r="F109280"/>
    </row>
    <row r="109281" spans="1:6" x14ac:dyDescent="0.25">
      <c r="A109281"/>
      <c r="B109281"/>
      <c r="C109281"/>
      <c r="E109281"/>
      <c r="F109281"/>
    </row>
    <row r="109282" spans="1:6" x14ac:dyDescent="0.25">
      <c r="A109282"/>
      <c r="B109282"/>
      <c r="C109282"/>
      <c r="E109282"/>
      <c r="F109282"/>
    </row>
    <row r="109283" spans="1:6" x14ac:dyDescent="0.25">
      <c r="A109283"/>
      <c r="B109283"/>
      <c r="C109283"/>
      <c r="E109283"/>
      <c r="F109283"/>
    </row>
    <row r="109284" spans="1:6" x14ac:dyDescent="0.25">
      <c r="A109284"/>
      <c r="B109284"/>
      <c r="C109284"/>
      <c r="E109284"/>
      <c r="F109284"/>
    </row>
    <row r="109285" spans="1:6" x14ac:dyDescent="0.25">
      <c r="A109285"/>
      <c r="B109285"/>
      <c r="C109285"/>
      <c r="E109285"/>
      <c r="F109285"/>
    </row>
    <row r="109286" spans="1:6" x14ac:dyDescent="0.25">
      <c r="A109286"/>
      <c r="B109286"/>
      <c r="C109286"/>
      <c r="E109286"/>
      <c r="F109286"/>
    </row>
    <row r="109287" spans="1:6" x14ac:dyDescent="0.25">
      <c r="A109287"/>
      <c r="B109287"/>
      <c r="C109287"/>
      <c r="E109287"/>
      <c r="F109287"/>
    </row>
    <row r="109288" spans="1:6" x14ac:dyDescent="0.25">
      <c r="A109288"/>
      <c r="B109288"/>
      <c r="C109288"/>
      <c r="E109288"/>
      <c r="F109288"/>
    </row>
    <row r="109289" spans="1:6" x14ac:dyDescent="0.25">
      <c r="A109289"/>
      <c r="B109289"/>
      <c r="C109289"/>
      <c r="E109289"/>
      <c r="F109289"/>
    </row>
    <row r="109290" spans="1:6" x14ac:dyDescent="0.25">
      <c r="A109290"/>
      <c r="B109290"/>
      <c r="C109290"/>
      <c r="E109290"/>
      <c r="F109290"/>
    </row>
    <row r="109291" spans="1:6" x14ac:dyDescent="0.25">
      <c r="A109291"/>
      <c r="B109291"/>
      <c r="C109291"/>
      <c r="E109291"/>
      <c r="F109291"/>
    </row>
    <row r="109292" spans="1:6" x14ac:dyDescent="0.25">
      <c r="A109292"/>
      <c r="B109292"/>
      <c r="C109292"/>
      <c r="E109292"/>
      <c r="F109292"/>
    </row>
    <row r="109293" spans="1:6" x14ac:dyDescent="0.25">
      <c r="A109293"/>
      <c r="B109293"/>
      <c r="C109293"/>
      <c r="E109293"/>
      <c r="F109293"/>
    </row>
    <row r="109294" spans="1:6" x14ac:dyDescent="0.25">
      <c r="A109294"/>
      <c r="B109294"/>
      <c r="C109294"/>
      <c r="E109294"/>
      <c r="F109294"/>
    </row>
    <row r="109295" spans="1:6" x14ac:dyDescent="0.25">
      <c r="A109295"/>
      <c r="B109295"/>
      <c r="C109295"/>
      <c r="E109295"/>
      <c r="F109295"/>
    </row>
    <row r="109296" spans="1:6" x14ac:dyDescent="0.25">
      <c r="A109296"/>
      <c r="B109296"/>
      <c r="C109296"/>
      <c r="E109296"/>
      <c r="F109296"/>
    </row>
    <row r="109297" spans="1:6" x14ac:dyDescent="0.25">
      <c r="A109297"/>
      <c r="B109297"/>
      <c r="C109297"/>
      <c r="E109297"/>
      <c r="F109297"/>
    </row>
    <row r="109298" spans="1:6" x14ac:dyDescent="0.25">
      <c r="A109298"/>
      <c r="B109298"/>
      <c r="C109298"/>
      <c r="E109298"/>
      <c r="F109298"/>
    </row>
    <row r="109299" spans="1:6" x14ac:dyDescent="0.25">
      <c r="A109299"/>
      <c r="B109299"/>
      <c r="C109299"/>
      <c r="E109299"/>
      <c r="F109299"/>
    </row>
    <row r="109300" spans="1:6" x14ac:dyDescent="0.25">
      <c r="A109300"/>
      <c r="B109300"/>
      <c r="C109300"/>
      <c r="E109300"/>
      <c r="F109300"/>
    </row>
    <row r="109301" spans="1:6" x14ac:dyDescent="0.25">
      <c r="A109301"/>
      <c r="B109301"/>
      <c r="C109301"/>
      <c r="E109301"/>
      <c r="F109301"/>
    </row>
    <row r="109302" spans="1:6" x14ac:dyDescent="0.25">
      <c r="A109302"/>
      <c r="B109302"/>
      <c r="C109302"/>
      <c r="E109302"/>
      <c r="F109302"/>
    </row>
    <row r="109303" spans="1:6" x14ac:dyDescent="0.25">
      <c r="A109303"/>
      <c r="B109303"/>
      <c r="C109303"/>
      <c r="E109303"/>
      <c r="F109303"/>
    </row>
    <row r="109304" spans="1:6" x14ac:dyDescent="0.25">
      <c r="A109304"/>
      <c r="B109304"/>
      <c r="C109304"/>
      <c r="E109304"/>
      <c r="F109304"/>
    </row>
    <row r="109305" spans="1:6" x14ac:dyDescent="0.25">
      <c r="A109305"/>
      <c r="B109305"/>
      <c r="C109305"/>
      <c r="E109305"/>
      <c r="F109305"/>
    </row>
    <row r="109306" spans="1:6" x14ac:dyDescent="0.25">
      <c r="A109306"/>
      <c r="B109306"/>
      <c r="C109306"/>
      <c r="E109306"/>
      <c r="F109306"/>
    </row>
    <row r="109307" spans="1:6" x14ac:dyDescent="0.25">
      <c r="A109307"/>
      <c r="B109307"/>
      <c r="C109307"/>
      <c r="E109307"/>
      <c r="F109307"/>
    </row>
    <row r="109308" spans="1:6" x14ac:dyDescent="0.25">
      <c r="A109308"/>
      <c r="B109308"/>
      <c r="C109308"/>
      <c r="E109308"/>
      <c r="F109308"/>
    </row>
    <row r="109309" spans="1:6" x14ac:dyDescent="0.25">
      <c r="A109309"/>
      <c r="B109309"/>
      <c r="C109309"/>
      <c r="E109309"/>
      <c r="F109309"/>
    </row>
    <row r="109310" spans="1:6" x14ac:dyDescent="0.25">
      <c r="A109310"/>
      <c r="B109310"/>
      <c r="C109310"/>
      <c r="E109310"/>
      <c r="F109310"/>
    </row>
    <row r="109311" spans="1:6" x14ac:dyDescent="0.25">
      <c r="A109311"/>
      <c r="B109311"/>
      <c r="C109311"/>
      <c r="E109311"/>
      <c r="F109311"/>
    </row>
    <row r="109312" spans="1:6" x14ac:dyDescent="0.25">
      <c r="A109312"/>
      <c r="B109312"/>
      <c r="C109312"/>
      <c r="E109312"/>
      <c r="F109312"/>
    </row>
    <row r="109313" spans="1:6" x14ac:dyDescent="0.25">
      <c r="A109313"/>
      <c r="B109313"/>
      <c r="C109313"/>
      <c r="E109313"/>
      <c r="F109313"/>
    </row>
    <row r="109314" spans="1:6" x14ac:dyDescent="0.25">
      <c r="A109314"/>
      <c r="B109314"/>
      <c r="C109314"/>
      <c r="E109314"/>
      <c r="F109314"/>
    </row>
    <row r="109315" spans="1:6" x14ac:dyDescent="0.25">
      <c r="A109315"/>
      <c r="B109315"/>
      <c r="C109315"/>
      <c r="E109315"/>
      <c r="F109315"/>
    </row>
    <row r="109316" spans="1:6" x14ac:dyDescent="0.25">
      <c r="A109316"/>
      <c r="B109316"/>
      <c r="C109316"/>
      <c r="E109316"/>
      <c r="F109316"/>
    </row>
    <row r="109317" spans="1:6" x14ac:dyDescent="0.25">
      <c r="A109317"/>
      <c r="B109317"/>
      <c r="C109317"/>
      <c r="E109317"/>
      <c r="F109317"/>
    </row>
    <row r="109318" spans="1:6" x14ac:dyDescent="0.25">
      <c r="A109318"/>
      <c r="B109318"/>
      <c r="C109318"/>
      <c r="E109318"/>
      <c r="F109318"/>
    </row>
    <row r="109319" spans="1:6" x14ac:dyDescent="0.25">
      <c r="A109319"/>
      <c r="B109319"/>
      <c r="C109319"/>
      <c r="E109319"/>
      <c r="F109319"/>
    </row>
    <row r="109320" spans="1:6" x14ac:dyDescent="0.25">
      <c r="A109320"/>
      <c r="B109320"/>
      <c r="C109320"/>
      <c r="E109320"/>
      <c r="F109320"/>
    </row>
    <row r="109321" spans="1:6" x14ac:dyDescent="0.25">
      <c r="A109321"/>
      <c r="B109321"/>
      <c r="C109321"/>
      <c r="E109321"/>
      <c r="F109321"/>
    </row>
    <row r="109322" spans="1:6" x14ac:dyDescent="0.25">
      <c r="A109322"/>
      <c r="B109322"/>
      <c r="C109322"/>
      <c r="E109322"/>
      <c r="F109322"/>
    </row>
    <row r="109323" spans="1:6" x14ac:dyDescent="0.25">
      <c r="A109323"/>
      <c r="B109323"/>
      <c r="C109323"/>
      <c r="E109323"/>
      <c r="F109323"/>
    </row>
    <row r="109324" spans="1:6" x14ac:dyDescent="0.25">
      <c r="A109324"/>
      <c r="B109324"/>
      <c r="C109324"/>
      <c r="E109324"/>
      <c r="F109324"/>
    </row>
    <row r="109325" spans="1:6" x14ac:dyDescent="0.25">
      <c r="A109325"/>
      <c r="B109325"/>
      <c r="C109325"/>
      <c r="E109325"/>
      <c r="F109325"/>
    </row>
    <row r="109326" spans="1:6" x14ac:dyDescent="0.25">
      <c r="A109326"/>
      <c r="B109326"/>
      <c r="C109326"/>
      <c r="E109326"/>
      <c r="F109326"/>
    </row>
    <row r="109327" spans="1:6" x14ac:dyDescent="0.25">
      <c r="A109327"/>
      <c r="B109327"/>
      <c r="C109327"/>
      <c r="E109327"/>
      <c r="F109327"/>
    </row>
    <row r="109328" spans="1:6" x14ac:dyDescent="0.25">
      <c r="A109328"/>
      <c r="B109328"/>
      <c r="C109328"/>
      <c r="E109328"/>
      <c r="F109328"/>
    </row>
    <row r="109329" spans="1:6" x14ac:dyDescent="0.25">
      <c r="A109329"/>
      <c r="B109329"/>
      <c r="C109329"/>
      <c r="E109329"/>
      <c r="F109329"/>
    </row>
    <row r="109330" spans="1:6" x14ac:dyDescent="0.25">
      <c r="A109330"/>
      <c r="B109330"/>
      <c r="C109330"/>
      <c r="E109330"/>
      <c r="F109330"/>
    </row>
    <row r="109331" spans="1:6" x14ac:dyDescent="0.25">
      <c r="A109331"/>
      <c r="B109331"/>
      <c r="C109331"/>
      <c r="E109331"/>
      <c r="F109331"/>
    </row>
    <row r="109332" spans="1:6" x14ac:dyDescent="0.25">
      <c r="A109332"/>
      <c r="B109332"/>
      <c r="C109332"/>
      <c r="E109332"/>
      <c r="F109332"/>
    </row>
    <row r="109333" spans="1:6" x14ac:dyDescent="0.25">
      <c r="A109333"/>
      <c r="B109333"/>
      <c r="C109333"/>
      <c r="E109333"/>
      <c r="F109333"/>
    </row>
    <row r="109334" spans="1:6" x14ac:dyDescent="0.25">
      <c r="A109334"/>
      <c r="B109334"/>
      <c r="C109334"/>
      <c r="E109334"/>
      <c r="F109334"/>
    </row>
    <row r="109335" spans="1:6" x14ac:dyDescent="0.25">
      <c r="A109335"/>
      <c r="B109335"/>
      <c r="C109335"/>
      <c r="E109335"/>
      <c r="F109335"/>
    </row>
    <row r="109336" spans="1:6" x14ac:dyDescent="0.25">
      <c r="A109336"/>
      <c r="B109336"/>
      <c r="C109336"/>
      <c r="E109336"/>
      <c r="F109336"/>
    </row>
    <row r="109337" spans="1:6" x14ac:dyDescent="0.25">
      <c r="A109337"/>
      <c r="B109337"/>
      <c r="C109337"/>
      <c r="E109337"/>
      <c r="F109337"/>
    </row>
    <row r="109338" spans="1:6" x14ac:dyDescent="0.25">
      <c r="A109338"/>
      <c r="B109338"/>
      <c r="C109338"/>
      <c r="E109338"/>
      <c r="F109338"/>
    </row>
    <row r="109339" spans="1:6" x14ac:dyDescent="0.25">
      <c r="A109339"/>
      <c r="B109339"/>
      <c r="C109339"/>
      <c r="E109339"/>
      <c r="F109339"/>
    </row>
    <row r="109340" spans="1:6" x14ac:dyDescent="0.25">
      <c r="A109340"/>
      <c r="B109340"/>
      <c r="C109340"/>
      <c r="E109340"/>
      <c r="F109340"/>
    </row>
    <row r="109341" spans="1:6" x14ac:dyDescent="0.25">
      <c r="A109341"/>
      <c r="B109341"/>
      <c r="C109341"/>
      <c r="E109341"/>
      <c r="F109341"/>
    </row>
    <row r="109342" spans="1:6" x14ac:dyDescent="0.25">
      <c r="A109342"/>
      <c r="B109342"/>
      <c r="C109342"/>
      <c r="E109342"/>
      <c r="F109342"/>
    </row>
    <row r="109343" spans="1:6" x14ac:dyDescent="0.25">
      <c r="A109343"/>
      <c r="B109343"/>
      <c r="C109343"/>
      <c r="E109343"/>
      <c r="F109343"/>
    </row>
    <row r="109344" spans="1:6" x14ac:dyDescent="0.25">
      <c r="A109344"/>
      <c r="B109344"/>
      <c r="C109344"/>
      <c r="E109344"/>
      <c r="F109344"/>
    </row>
    <row r="109345" spans="1:6" x14ac:dyDescent="0.25">
      <c r="A109345"/>
      <c r="B109345"/>
      <c r="C109345"/>
      <c r="E109345"/>
      <c r="F109345"/>
    </row>
    <row r="109346" spans="1:6" x14ac:dyDescent="0.25">
      <c r="A109346"/>
      <c r="B109346"/>
      <c r="C109346"/>
      <c r="E109346"/>
      <c r="F109346"/>
    </row>
    <row r="109347" spans="1:6" x14ac:dyDescent="0.25">
      <c r="A109347"/>
      <c r="B109347"/>
      <c r="C109347"/>
      <c r="E109347"/>
      <c r="F109347"/>
    </row>
    <row r="109348" spans="1:6" x14ac:dyDescent="0.25">
      <c r="A109348"/>
      <c r="B109348"/>
      <c r="C109348"/>
      <c r="E109348"/>
      <c r="F109348"/>
    </row>
    <row r="109349" spans="1:6" x14ac:dyDescent="0.25">
      <c r="A109349"/>
      <c r="B109349"/>
      <c r="C109349"/>
      <c r="E109349"/>
      <c r="F109349"/>
    </row>
    <row r="109350" spans="1:6" x14ac:dyDescent="0.25">
      <c r="A109350"/>
      <c r="B109350"/>
      <c r="C109350"/>
      <c r="E109350"/>
      <c r="F109350"/>
    </row>
    <row r="109351" spans="1:6" x14ac:dyDescent="0.25">
      <c r="A109351"/>
      <c r="B109351"/>
      <c r="C109351"/>
      <c r="E109351"/>
      <c r="F109351"/>
    </row>
    <row r="109352" spans="1:6" x14ac:dyDescent="0.25">
      <c r="A109352"/>
      <c r="B109352"/>
      <c r="C109352"/>
      <c r="E109352"/>
      <c r="F109352"/>
    </row>
    <row r="109353" spans="1:6" x14ac:dyDescent="0.25">
      <c r="A109353"/>
      <c r="B109353"/>
      <c r="C109353"/>
      <c r="E109353"/>
      <c r="F109353"/>
    </row>
    <row r="109354" spans="1:6" x14ac:dyDescent="0.25">
      <c r="A109354"/>
      <c r="B109354"/>
      <c r="C109354"/>
      <c r="E109354"/>
      <c r="F109354"/>
    </row>
    <row r="109355" spans="1:6" x14ac:dyDescent="0.25">
      <c r="A109355"/>
      <c r="B109355"/>
      <c r="C109355"/>
      <c r="E109355"/>
      <c r="F109355"/>
    </row>
    <row r="109356" spans="1:6" x14ac:dyDescent="0.25">
      <c r="A109356"/>
      <c r="B109356"/>
      <c r="C109356"/>
      <c r="E109356"/>
      <c r="F109356"/>
    </row>
    <row r="109357" spans="1:6" x14ac:dyDescent="0.25">
      <c r="A109357"/>
      <c r="B109357"/>
      <c r="C109357"/>
      <c r="E109357"/>
      <c r="F109357"/>
    </row>
    <row r="109358" spans="1:6" x14ac:dyDescent="0.25">
      <c r="A109358"/>
      <c r="B109358"/>
      <c r="C109358"/>
      <c r="E109358"/>
      <c r="F109358"/>
    </row>
    <row r="109359" spans="1:6" x14ac:dyDescent="0.25">
      <c r="A109359"/>
      <c r="B109359"/>
      <c r="C109359"/>
      <c r="E109359"/>
      <c r="F109359"/>
    </row>
    <row r="109360" spans="1:6" x14ac:dyDescent="0.25">
      <c r="A109360"/>
      <c r="B109360"/>
      <c r="C109360"/>
      <c r="E109360"/>
      <c r="F109360"/>
    </row>
    <row r="109361" spans="1:6" x14ac:dyDescent="0.25">
      <c r="A109361"/>
      <c r="B109361"/>
      <c r="C109361"/>
      <c r="E109361"/>
      <c r="F109361"/>
    </row>
    <row r="109362" spans="1:6" x14ac:dyDescent="0.25">
      <c r="A109362"/>
      <c r="B109362"/>
      <c r="C109362"/>
      <c r="E109362"/>
      <c r="F109362"/>
    </row>
    <row r="109363" spans="1:6" x14ac:dyDescent="0.25">
      <c r="A109363"/>
      <c r="B109363"/>
      <c r="C109363"/>
      <c r="E109363"/>
      <c r="F109363"/>
    </row>
    <row r="109364" spans="1:6" x14ac:dyDescent="0.25">
      <c r="A109364"/>
      <c r="B109364"/>
      <c r="C109364"/>
      <c r="E109364"/>
      <c r="F109364"/>
    </row>
    <row r="109365" spans="1:6" x14ac:dyDescent="0.25">
      <c r="A109365"/>
      <c r="B109365"/>
      <c r="C109365"/>
      <c r="E109365"/>
      <c r="F109365"/>
    </row>
    <row r="109366" spans="1:6" x14ac:dyDescent="0.25">
      <c r="A109366"/>
      <c r="B109366"/>
      <c r="C109366"/>
      <c r="E109366"/>
      <c r="F109366"/>
    </row>
    <row r="109367" spans="1:6" x14ac:dyDescent="0.25">
      <c r="A109367"/>
      <c r="B109367"/>
      <c r="C109367"/>
      <c r="E109367"/>
      <c r="F109367"/>
    </row>
    <row r="109368" spans="1:6" x14ac:dyDescent="0.25">
      <c r="A109368"/>
      <c r="B109368"/>
      <c r="C109368"/>
      <c r="E109368"/>
      <c r="F109368"/>
    </row>
    <row r="109369" spans="1:6" x14ac:dyDescent="0.25">
      <c r="A109369"/>
      <c r="B109369"/>
      <c r="C109369"/>
      <c r="E109369"/>
      <c r="F109369"/>
    </row>
    <row r="109370" spans="1:6" x14ac:dyDescent="0.25">
      <c r="A109370"/>
      <c r="B109370"/>
      <c r="C109370"/>
      <c r="E109370"/>
      <c r="F109370"/>
    </row>
    <row r="109371" spans="1:6" x14ac:dyDescent="0.25">
      <c r="A109371"/>
      <c r="B109371"/>
      <c r="C109371"/>
      <c r="E109371"/>
      <c r="F109371"/>
    </row>
    <row r="109372" spans="1:6" x14ac:dyDescent="0.25">
      <c r="A109372"/>
      <c r="B109372"/>
      <c r="C109372"/>
      <c r="E109372"/>
      <c r="F109372"/>
    </row>
    <row r="109373" spans="1:6" x14ac:dyDescent="0.25">
      <c r="A109373"/>
      <c r="B109373"/>
      <c r="C109373"/>
      <c r="E109373"/>
      <c r="F109373"/>
    </row>
    <row r="109374" spans="1:6" x14ac:dyDescent="0.25">
      <c r="A109374"/>
      <c r="B109374"/>
      <c r="C109374"/>
      <c r="E109374"/>
      <c r="F109374"/>
    </row>
    <row r="109375" spans="1:6" x14ac:dyDescent="0.25">
      <c r="A109375"/>
      <c r="B109375"/>
      <c r="C109375"/>
      <c r="E109375"/>
      <c r="F109375"/>
    </row>
    <row r="109376" spans="1:6" x14ac:dyDescent="0.25">
      <c r="A109376"/>
      <c r="B109376"/>
      <c r="C109376"/>
      <c r="E109376"/>
      <c r="F109376"/>
    </row>
    <row r="109377" spans="1:6" x14ac:dyDescent="0.25">
      <c r="A109377"/>
      <c r="B109377"/>
      <c r="C109377"/>
      <c r="E109377"/>
      <c r="F109377"/>
    </row>
    <row r="109378" spans="1:6" x14ac:dyDescent="0.25">
      <c r="A109378"/>
      <c r="B109378"/>
      <c r="C109378"/>
      <c r="E109378"/>
      <c r="F109378"/>
    </row>
    <row r="109379" spans="1:6" x14ac:dyDescent="0.25">
      <c r="A109379"/>
      <c r="B109379"/>
      <c r="C109379"/>
      <c r="E109379"/>
      <c r="F109379"/>
    </row>
    <row r="109380" spans="1:6" x14ac:dyDescent="0.25">
      <c r="A109380"/>
      <c r="B109380"/>
      <c r="C109380"/>
      <c r="E109380"/>
      <c r="F109380"/>
    </row>
    <row r="109381" spans="1:6" x14ac:dyDescent="0.25">
      <c r="A109381"/>
      <c r="B109381"/>
      <c r="C109381"/>
      <c r="E109381"/>
      <c r="F109381"/>
    </row>
    <row r="109382" spans="1:6" x14ac:dyDescent="0.25">
      <c r="A109382"/>
      <c r="B109382"/>
      <c r="C109382"/>
      <c r="E109382"/>
      <c r="F109382"/>
    </row>
    <row r="109383" spans="1:6" x14ac:dyDescent="0.25">
      <c r="A109383"/>
      <c r="B109383"/>
      <c r="C109383"/>
      <c r="E109383"/>
      <c r="F109383"/>
    </row>
    <row r="109384" spans="1:6" x14ac:dyDescent="0.25">
      <c r="A109384"/>
      <c r="B109384"/>
      <c r="C109384"/>
      <c r="E109384"/>
      <c r="F109384"/>
    </row>
    <row r="109385" spans="1:6" x14ac:dyDescent="0.25">
      <c r="A109385"/>
      <c r="B109385"/>
      <c r="C109385"/>
      <c r="E109385"/>
      <c r="F109385"/>
    </row>
    <row r="109386" spans="1:6" x14ac:dyDescent="0.25">
      <c r="A109386"/>
      <c r="B109386"/>
      <c r="C109386"/>
      <c r="E109386"/>
      <c r="F109386"/>
    </row>
    <row r="109387" spans="1:6" x14ac:dyDescent="0.25">
      <c r="A109387"/>
      <c r="B109387"/>
      <c r="C109387"/>
      <c r="E109387"/>
      <c r="F109387"/>
    </row>
    <row r="109388" spans="1:6" x14ac:dyDescent="0.25">
      <c r="A109388"/>
      <c r="B109388"/>
      <c r="C109388"/>
      <c r="E109388"/>
      <c r="F109388"/>
    </row>
    <row r="109389" spans="1:6" x14ac:dyDescent="0.25">
      <c r="A109389"/>
      <c r="B109389"/>
      <c r="C109389"/>
      <c r="E109389"/>
      <c r="F109389"/>
    </row>
    <row r="109390" spans="1:6" x14ac:dyDescent="0.25">
      <c r="A109390"/>
      <c r="B109390"/>
      <c r="C109390"/>
      <c r="E109390"/>
      <c r="F109390"/>
    </row>
    <row r="109391" spans="1:6" x14ac:dyDescent="0.25">
      <c r="A109391"/>
      <c r="B109391"/>
      <c r="C109391"/>
      <c r="E109391"/>
      <c r="F109391"/>
    </row>
    <row r="109392" spans="1:6" x14ac:dyDescent="0.25">
      <c r="A109392"/>
      <c r="B109392"/>
      <c r="C109392"/>
      <c r="E109392"/>
      <c r="F109392"/>
    </row>
    <row r="109393" spans="1:6" x14ac:dyDescent="0.25">
      <c r="A109393"/>
      <c r="B109393"/>
      <c r="C109393"/>
      <c r="E109393"/>
      <c r="F109393"/>
    </row>
    <row r="109394" spans="1:6" x14ac:dyDescent="0.25">
      <c r="A109394"/>
      <c r="B109394"/>
      <c r="C109394"/>
      <c r="E109394"/>
      <c r="F109394"/>
    </row>
    <row r="109395" spans="1:6" x14ac:dyDescent="0.25">
      <c r="A109395"/>
      <c r="B109395"/>
      <c r="C109395"/>
      <c r="E109395"/>
      <c r="F109395"/>
    </row>
    <row r="109396" spans="1:6" x14ac:dyDescent="0.25">
      <c r="A109396"/>
      <c r="B109396"/>
      <c r="C109396"/>
      <c r="E109396"/>
      <c r="F109396"/>
    </row>
    <row r="109397" spans="1:6" x14ac:dyDescent="0.25">
      <c r="A109397"/>
      <c r="B109397"/>
      <c r="C109397"/>
      <c r="E109397"/>
      <c r="F109397"/>
    </row>
    <row r="109398" spans="1:6" x14ac:dyDescent="0.25">
      <c r="A109398"/>
      <c r="B109398"/>
      <c r="C109398"/>
      <c r="E109398"/>
      <c r="F109398"/>
    </row>
    <row r="109399" spans="1:6" x14ac:dyDescent="0.25">
      <c r="A109399"/>
      <c r="B109399"/>
      <c r="C109399"/>
      <c r="E109399"/>
      <c r="F109399"/>
    </row>
    <row r="109400" spans="1:6" x14ac:dyDescent="0.25">
      <c r="A109400"/>
      <c r="B109400"/>
      <c r="C109400"/>
      <c r="E109400"/>
      <c r="F109400"/>
    </row>
    <row r="109401" spans="1:6" x14ac:dyDescent="0.25">
      <c r="A109401"/>
      <c r="B109401"/>
      <c r="C109401"/>
      <c r="E109401"/>
      <c r="F109401"/>
    </row>
    <row r="109402" spans="1:6" x14ac:dyDescent="0.25">
      <c r="A109402"/>
      <c r="B109402"/>
      <c r="C109402"/>
      <c r="E109402"/>
      <c r="F109402"/>
    </row>
    <row r="109403" spans="1:6" x14ac:dyDescent="0.25">
      <c r="A109403"/>
      <c r="B109403"/>
      <c r="C109403"/>
      <c r="E109403"/>
      <c r="F109403"/>
    </row>
    <row r="109404" spans="1:6" x14ac:dyDescent="0.25">
      <c r="A109404"/>
      <c r="B109404"/>
      <c r="C109404"/>
      <c r="E109404"/>
      <c r="F109404"/>
    </row>
    <row r="109405" spans="1:6" x14ac:dyDescent="0.25">
      <c r="A109405"/>
      <c r="B109405"/>
      <c r="C109405"/>
      <c r="E109405"/>
      <c r="F109405"/>
    </row>
    <row r="109406" spans="1:6" x14ac:dyDescent="0.25">
      <c r="A109406"/>
      <c r="B109406"/>
      <c r="C109406"/>
      <c r="E109406"/>
      <c r="F109406"/>
    </row>
    <row r="109407" spans="1:6" x14ac:dyDescent="0.25">
      <c r="A109407"/>
      <c r="B109407"/>
      <c r="C109407"/>
      <c r="E109407"/>
      <c r="F109407"/>
    </row>
    <row r="109408" spans="1:6" x14ac:dyDescent="0.25">
      <c r="A109408"/>
      <c r="B109408"/>
      <c r="C109408"/>
      <c r="E109408"/>
      <c r="F109408"/>
    </row>
    <row r="109409" spans="1:6" x14ac:dyDescent="0.25">
      <c r="A109409"/>
      <c r="B109409"/>
      <c r="C109409"/>
      <c r="E109409"/>
      <c r="F109409"/>
    </row>
    <row r="109410" spans="1:6" x14ac:dyDescent="0.25">
      <c r="A109410"/>
      <c r="B109410"/>
      <c r="C109410"/>
      <c r="E109410"/>
      <c r="F109410"/>
    </row>
    <row r="109411" spans="1:6" x14ac:dyDescent="0.25">
      <c r="A109411"/>
      <c r="B109411"/>
      <c r="C109411"/>
      <c r="E109411"/>
      <c r="F109411"/>
    </row>
    <row r="109412" spans="1:6" x14ac:dyDescent="0.25">
      <c r="A109412"/>
      <c r="B109412"/>
      <c r="C109412"/>
      <c r="E109412"/>
      <c r="F109412"/>
    </row>
    <row r="109413" spans="1:6" x14ac:dyDescent="0.25">
      <c r="A109413"/>
      <c r="B109413"/>
      <c r="C109413"/>
      <c r="E109413"/>
      <c r="F109413"/>
    </row>
    <row r="109414" spans="1:6" x14ac:dyDescent="0.25">
      <c r="A109414"/>
      <c r="B109414"/>
      <c r="C109414"/>
      <c r="E109414"/>
      <c r="F109414"/>
    </row>
    <row r="109415" spans="1:6" x14ac:dyDescent="0.25">
      <c r="A109415"/>
      <c r="B109415"/>
      <c r="C109415"/>
      <c r="E109415"/>
      <c r="F109415"/>
    </row>
    <row r="109416" spans="1:6" x14ac:dyDescent="0.25">
      <c r="A109416"/>
      <c r="B109416"/>
      <c r="C109416"/>
      <c r="E109416"/>
      <c r="F109416"/>
    </row>
    <row r="109417" spans="1:6" x14ac:dyDescent="0.25">
      <c r="A109417"/>
      <c r="B109417"/>
      <c r="C109417"/>
      <c r="E109417"/>
      <c r="F109417"/>
    </row>
    <row r="109418" spans="1:6" x14ac:dyDescent="0.25">
      <c r="A109418"/>
      <c r="B109418"/>
      <c r="C109418"/>
      <c r="E109418"/>
      <c r="F109418"/>
    </row>
    <row r="109419" spans="1:6" x14ac:dyDescent="0.25">
      <c r="A109419"/>
      <c r="B109419"/>
      <c r="C109419"/>
      <c r="E109419"/>
      <c r="F109419"/>
    </row>
    <row r="109420" spans="1:6" x14ac:dyDescent="0.25">
      <c r="A109420"/>
      <c r="B109420"/>
      <c r="C109420"/>
      <c r="E109420"/>
      <c r="F109420"/>
    </row>
    <row r="109421" spans="1:6" x14ac:dyDescent="0.25">
      <c r="A109421"/>
      <c r="B109421"/>
      <c r="C109421"/>
      <c r="E109421"/>
      <c r="F109421"/>
    </row>
    <row r="109422" spans="1:6" x14ac:dyDescent="0.25">
      <c r="A109422"/>
      <c r="B109422"/>
      <c r="C109422"/>
      <c r="E109422"/>
      <c r="F109422"/>
    </row>
    <row r="109423" spans="1:6" x14ac:dyDescent="0.25">
      <c r="A109423"/>
      <c r="B109423"/>
      <c r="C109423"/>
      <c r="E109423"/>
      <c r="F109423"/>
    </row>
    <row r="109424" spans="1:6" x14ac:dyDescent="0.25">
      <c r="A109424"/>
      <c r="B109424"/>
      <c r="C109424"/>
      <c r="E109424"/>
      <c r="F109424"/>
    </row>
    <row r="109425" spans="1:6" x14ac:dyDescent="0.25">
      <c r="A109425"/>
      <c r="B109425"/>
      <c r="C109425"/>
      <c r="E109425"/>
      <c r="F109425"/>
    </row>
    <row r="109426" spans="1:6" x14ac:dyDescent="0.25">
      <c r="A109426"/>
      <c r="B109426"/>
      <c r="C109426"/>
      <c r="E109426"/>
      <c r="F109426"/>
    </row>
    <row r="109427" spans="1:6" x14ac:dyDescent="0.25">
      <c r="A109427"/>
      <c r="B109427"/>
      <c r="C109427"/>
      <c r="E109427"/>
      <c r="F109427"/>
    </row>
    <row r="109428" spans="1:6" x14ac:dyDescent="0.25">
      <c r="A109428"/>
      <c r="B109428"/>
      <c r="C109428"/>
      <c r="E109428"/>
      <c r="F109428"/>
    </row>
    <row r="109429" spans="1:6" x14ac:dyDescent="0.25">
      <c r="A109429"/>
      <c r="B109429"/>
      <c r="C109429"/>
      <c r="E109429"/>
      <c r="F109429"/>
    </row>
    <row r="109430" spans="1:6" x14ac:dyDescent="0.25">
      <c r="A109430"/>
      <c r="B109430"/>
      <c r="C109430"/>
      <c r="E109430"/>
      <c r="F109430"/>
    </row>
    <row r="109431" spans="1:6" x14ac:dyDescent="0.25">
      <c r="A109431"/>
      <c r="B109431"/>
      <c r="C109431"/>
      <c r="E109431"/>
      <c r="F109431"/>
    </row>
    <row r="109432" spans="1:6" x14ac:dyDescent="0.25">
      <c r="A109432"/>
      <c r="B109432"/>
      <c r="C109432"/>
      <c r="E109432"/>
      <c r="F109432"/>
    </row>
    <row r="109433" spans="1:6" x14ac:dyDescent="0.25">
      <c r="A109433"/>
      <c r="B109433"/>
      <c r="C109433"/>
      <c r="E109433"/>
      <c r="F109433"/>
    </row>
    <row r="109434" spans="1:6" x14ac:dyDescent="0.25">
      <c r="A109434"/>
      <c r="B109434"/>
      <c r="C109434"/>
      <c r="E109434"/>
      <c r="F109434"/>
    </row>
    <row r="109435" spans="1:6" x14ac:dyDescent="0.25">
      <c r="A109435"/>
      <c r="B109435"/>
      <c r="C109435"/>
      <c r="E109435"/>
      <c r="F109435"/>
    </row>
    <row r="109436" spans="1:6" x14ac:dyDescent="0.25">
      <c r="A109436"/>
      <c r="B109436"/>
      <c r="C109436"/>
      <c r="E109436"/>
      <c r="F109436"/>
    </row>
    <row r="109437" spans="1:6" x14ac:dyDescent="0.25">
      <c r="A109437"/>
      <c r="B109437"/>
      <c r="C109437"/>
      <c r="E109437"/>
      <c r="F109437"/>
    </row>
    <row r="109438" spans="1:6" x14ac:dyDescent="0.25">
      <c r="A109438"/>
      <c r="B109438"/>
      <c r="C109438"/>
      <c r="E109438"/>
      <c r="F109438"/>
    </row>
    <row r="109439" spans="1:6" x14ac:dyDescent="0.25">
      <c r="A109439"/>
      <c r="B109439"/>
      <c r="C109439"/>
      <c r="E109439"/>
      <c r="F109439"/>
    </row>
    <row r="109440" spans="1:6" x14ac:dyDescent="0.25">
      <c r="A109440"/>
      <c r="B109440"/>
      <c r="C109440"/>
      <c r="E109440"/>
      <c r="F109440"/>
    </row>
    <row r="109441" spans="1:6" x14ac:dyDescent="0.25">
      <c r="A109441"/>
      <c r="B109441"/>
      <c r="C109441"/>
      <c r="E109441"/>
      <c r="F109441"/>
    </row>
    <row r="109442" spans="1:6" x14ac:dyDescent="0.25">
      <c r="A109442"/>
      <c r="B109442"/>
      <c r="C109442"/>
      <c r="E109442"/>
      <c r="F109442"/>
    </row>
    <row r="109443" spans="1:6" x14ac:dyDescent="0.25">
      <c r="A109443"/>
      <c r="B109443"/>
      <c r="C109443"/>
      <c r="E109443"/>
      <c r="F109443"/>
    </row>
    <row r="109444" spans="1:6" x14ac:dyDescent="0.25">
      <c r="A109444"/>
      <c r="B109444"/>
      <c r="C109444"/>
      <c r="E109444"/>
      <c r="F109444"/>
    </row>
    <row r="109445" spans="1:6" x14ac:dyDescent="0.25">
      <c r="A109445"/>
      <c r="B109445"/>
      <c r="C109445"/>
      <c r="E109445"/>
      <c r="F109445"/>
    </row>
    <row r="109446" spans="1:6" x14ac:dyDescent="0.25">
      <c r="A109446"/>
      <c r="B109446"/>
      <c r="C109446"/>
      <c r="E109446"/>
      <c r="F109446"/>
    </row>
    <row r="109447" spans="1:6" x14ac:dyDescent="0.25">
      <c r="A109447"/>
      <c r="B109447"/>
      <c r="C109447"/>
      <c r="E109447"/>
      <c r="F109447"/>
    </row>
    <row r="109448" spans="1:6" x14ac:dyDescent="0.25">
      <c r="A109448"/>
      <c r="B109448"/>
      <c r="C109448"/>
      <c r="E109448"/>
      <c r="F109448"/>
    </row>
    <row r="109449" spans="1:6" x14ac:dyDescent="0.25">
      <c r="A109449"/>
      <c r="B109449"/>
      <c r="C109449"/>
      <c r="E109449"/>
      <c r="F109449"/>
    </row>
    <row r="109450" spans="1:6" x14ac:dyDescent="0.25">
      <c r="A109450"/>
      <c r="B109450"/>
      <c r="C109450"/>
      <c r="E109450"/>
      <c r="F109450"/>
    </row>
    <row r="109451" spans="1:6" x14ac:dyDescent="0.25">
      <c r="A109451"/>
      <c r="B109451"/>
      <c r="C109451"/>
      <c r="E109451"/>
      <c r="F109451"/>
    </row>
    <row r="109452" spans="1:6" x14ac:dyDescent="0.25">
      <c r="A109452"/>
      <c r="B109452"/>
      <c r="C109452"/>
      <c r="E109452"/>
      <c r="F109452"/>
    </row>
    <row r="109453" spans="1:6" x14ac:dyDescent="0.25">
      <c r="A109453"/>
      <c r="B109453"/>
      <c r="C109453"/>
      <c r="E109453"/>
      <c r="F109453"/>
    </row>
    <row r="109454" spans="1:6" x14ac:dyDescent="0.25">
      <c r="A109454"/>
      <c r="B109454"/>
      <c r="C109454"/>
      <c r="E109454"/>
      <c r="F109454"/>
    </row>
    <row r="109455" spans="1:6" x14ac:dyDescent="0.25">
      <c r="A109455"/>
      <c r="B109455"/>
      <c r="C109455"/>
      <c r="E109455"/>
      <c r="F109455"/>
    </row>
    <row r="109456" spans="1:6" x14ac:dyDescent="0.25">
      <c r="A109456"/>
      <c r="B109456"/>
      <c r="C109456"/>
      <c r="E109456"/>
      <c r="F109456"/>
    </row>
    <row r="109457" spans="1:6" x14ac:dyDescent="0.25">
      <c r="A109457"/>
      <c r="B109457"/>
      <c r="C109457"/>
      <c r="E109457"/>
      <c r="F109457"/>
    </row>
    <row r="109458" spans="1:6" x14ac:dyDescent="0.25">
      <c r="A109458"/>
      <c r="B109458"/>
      <c r="C109458"/>
      <c r="E109458"/>
      <c r="F109458"/>
    </row>
    <row r="109459" spans="1:6" x14ac:dyDescent="0.25">
      <c r="A109459"/>
      <c r="B109459"/>
      <c r="C109459"/>
      <c r="E109459"/>
      <c r="F109459"/>
    </row>
    <row r="109460" spans="1:6" x14ac:dyDescent="0.25">
      <c r="A109460"/>
      <c r="B109460"/>
      <c r="C109460"/>
      <c r="E109460"/>
      <c r="F109460"/>
    </row>
    <row r="109461" spans="1:6" x14ac:dyDescent="0.25">
      <c r="A109461"/>
      <c r="B109461"/>
      <c r="C109461"/>
      <c r="E109461"/>
      <c r="F109461"/>
    </row>
    <row r="109462" spans="1:6" x14ac:dyDescent="0.25">
      <c r="A109462"/>
      <c r="B109462"/>
      <c r="C109462"/>
      <c r="E109462"/>
      <c r="F109462"/>
    </row>
    <row r="109463" spans="1:6" x14ac:dyDescent="0.25">
      <c r="A109463"/>
      <c r="B109463"/>
      <c r="C109463"/>
      <c r="E109463"/>
      <c r="F109463"/>
    </row>
    <row r="109464" spans="1:6" x14ac:dyDescent="0.25">
      <c r="A109464"/>
      <c r="B109464"/>
      <c r="C109464"/>
      <c r="E109464"/>
      <c r="F109464"/>
    </row>
    <row r="109465" spans="1:6" x14ac:dyDescent="0.25">
      <c r="A109465"/>
      <c r="B109465"/>
      <c r="C109465"/>
      <c r="E109465"/>
      <c r="F109465"/>
    </row>
    <row r="109466" spans="1:6" x14ac:dyDescent="0.25">
      <c r="A109466"/>
      <c r="B109466"/>
      <c r="C109466"/>
      <c r="E109466"/>
      <c r="F109466"/>
    </row>
    <row r="109467" spans="1:6" x14ac:dyDescent="0.25">
      <c r="A109467"/>
      <c r="B109467"/>
      <c r="C109467"/>
      <c r="E109467"/>
      <c r="F109467"/>
    </row>
    <row r="109468" spans="1:6" x14ac:dyDescent="0.25">
      <c r="A109468"/>
      <c r="B109468"/>
      <c r="C109468"/>
      <c r="E109468"/>
      <c r="F109468"/>
    </row>
    <row r="109469" spans="1:6" x14ac:dyDescent="0.25">
      <c r="A109469"/>
      <c r="B109469"/>
      <c r="C109469"/>
      <c r="E109469"/>
      <c r="F109469"/>
    </row>
    <row r="109470" spans="1:6" x14ac:dyDescent="0.25">
      <c r="A109470"/>
      <c r="B109470"/>
      <c r="C109470"/>
      <c r="E109470"/>
      <c r="F109470"/>
    </row>
    <row r="109471" spans="1:6" x14ac:dyDescent="0.25">
      <c r="A109471"/>
      <c r="B109471"/>
      <c r="C109471"/>
      <c r="E109471"/>
      <c r="F109471"/>
    </row>
    <row r="109472" spans="1:6" x14ac:dyDescent="0.25">
      <c r="A109472"/>
      <c r="B109472"/>
      <c r="C109472"/>
      <c r="E109472"/>
      <c r="F109472"/>
    </row>
    <row r="109473" spans="1:6" x14ac:dyDescent="0.25">
      <c r="A109473"/>
      <c r="B109473"/>
      <c r="C109473"/>
      <c r="E109473"/>
      <c r="F109473"/>
    </row>
    <row r="109474" spans="1:6" x14ac:dyDescent="0.25">
      <c r="A109474"/>
      <c r="B109474"/>
      <c r="C109474"/>
      <c r="E109474"/>
      <c r="F109474"/>
    </row>
    <row r="109475" spans="1:6" x14ac:dyDescent="0.25">
      <c r="A109475"/>
      <c r="B109475"/>
      <c r="C109475"/>
      <c r="E109475"/>
      <c r="F109475"/>
    </row>
    <row r="109476" spans="1:6" x14ac:dyDescent="0.25">
      <c r="A109476"/>
      <c r="B109476"/>
      <c r="C109476"/>
      <c r="E109476"/>
      <c r="F109476"/>
    </row>
    <row r="109477" spans="1:6" x14ac:dyDescent="0.25">
      <c r="A109477"/>
      <c r="B109477"/>
      <c r="C109477"/>
      <c r="E109477"/>
      <c r="F109477"/>
    </row>
    <row r="109478" spans="1:6" x14ac:dyDescent="0.25">
      <c r="A109478"/>
      <c r="B109478"/>
      <c r="C109478"/>
      <c r="E109478"/>
      <c r="F109478"/>
    </row>
    <row r="109479" spans="1:6" x14ac:dyDescent="0.25">
      <c r="A109479"/>
      <c r="B109479"/>
      <c r="C109479"/>
      <c r="E109479"/>
      <c r="F109479"/>
    </row>
    <row r="109480" spans="1:6" x14ac:dyDescent="0.25">
      <c r="A109480"/>
      <c r="B109480"/>
      <c r="C109480"/>
      <c r="E109480"/>
      <c r="F109480"/>
    </row>
    <row r="109481" spans="1:6" x14ac:dyDescent="0.25">
      <c r="A109481"/>
      <c r="B109481"/>
      <c r="C109481"/>
      <c r="E109481"/>
      <c r="F109481"/>
    </row>
    <row r="109482" spans="1:6" x14ac:dyDescent="0.25">
      <c r="A109482"/>
      <c r="B109482"/>
      <c r="C109482"/>
      <c r="E109482"/>
      <c r="F109482"/>
    </row>
    <row r="109483" spans="1:6" x14ac:dyDescent="0.25">
      <c r="A109483"/>
      <c r="B109483"/>
      <c r="C109483"/>
      <c r="E109483"/>
      <c r="F109483"/>
    </row>
    <row r="109484" spans="1:6" x14ac:dyDescent="0.25">
      <c r="A109484"/>
      <c r="B109484"/>
      <c r="C109484"/>
      <c r="E109484"/>
      <c r="F109484"/>
    </row>
    <row r="109485" spans="1:6" x14ac:dyDescent="0.25">
      <c r="A109485"/>
      <c r="B109485"/>
      <c r="C109485"/>
      <c r="E109485"/>
      <c r="F109485"/>
    </row>
    <row r="109486" spans="1:6" x14ac:dyDescent="0.25">
      <c r="A109486"/>
      <c r="B109486"/>
      <c r="C109486"/>
      <c r="E109486"/>
      <c r="F109486"/>
    </row>
    <row r="109487" spans="1:6" x14ac:dyDescent="0.25">
      <c r="A109487"/>
      <c r="B109487"/>
      <c r="C109487"/>
      <c r="E109487"/>
      <c r="F109487"/>
    </row>
    <row r="109488" spans="1:6" x14ac:dyDescent="0.25">
      <c r="A109488"/>
      <c r="B109488"/>
      <c r="C109488"/>
      <c r="E109488"/>
      <c r="F109488"/>
    </row>
    <row r="109489" spans="1:6" x14ac:dyDescent="0.25">
      <c r="A109489"/>
      <c r="B109489"/>
      <c r="C109489"/>
      <c r="E109489"/>
      <c r="F109489"/>
    </row>
    <row r="109490" spans="1:6" x14ac:dyDescent="0.25">
      <c r="A109490"/>
      <c r="B109490"/>
      <c r="C109490"/>
      <c r="E109490"/>
      <c r="F109490"/>
    </row>
    <row r="109491" spans="1:6" x14ac:dyDescent="0.25">
      <c r="A109491"/>
      <c r="B109491"/>
      <c r="C109491"/>
      <c r="E109491"/>
      <c r="F109491"/>
    </row>
    <row r="109492" spans="1:6" x14ac:dyDescent="0.25">
      <c r="A109492"/>
      <c r="B109492"/>
      <c r="C109492"/>
      <c r="E109492"/>
      <c r="F109492"/>
    </row>
    <row r="109493" spans="1:6" x14ac:dyDescent="0.25">
      <c r="A109493"/>
      <c r="B109493"/>
      <c r="C109493"/>
      <c r="E109493"/>
      <c r="F109493"/>
    </row>
    <row r="109494" spans="1:6" x14ac:dyDescent="0.25">
      <c r="A109494"/>
      <c r="B109494"/>
      <c r="C109494"/>
      <c r="E109494"/>
      <c r="F109494"/>
    </row>
    <row r="109495" spans="1:6" x14ac:dyDescent="0.25">
      <c r="A109495"/>
      <c r="B109495"/>
      <c r="C109495"/>
      <c r="E109495"/>
      <c r="F109495"/>
    </row>
    <row r="109496" spans="1:6" x14ac:dyDescent="0.25">
      <c r="A109496"/>
      <c r="B109496"/>
      <c r="C109496"/>
      <c r="E109496"/>
      <c r="F109496"/>
    </row>
    <row r="109497" spans="1:6" x14ac:dyDescent="0.25">
      <c r="A109497"/>
      <c r="B109497"/>
      <c r="C109497"/>
      <c r="E109497"/>
      <c r="F109497"/>
    </row>
    <row r="109498" spans="1:6" x14ac:dyDescent="0.25">
      <c r="A109498"/>
      <c r="B109498"/>
      <c r="C109498"/>
      <c r="E109498"/>
      <c r="F109498"/>
    </row>
    <row r="109499" spans="1:6" x14ac:dyDescent="0.25">
      <c r="A109499"/>
      <c r="B109499"/>
      <c r="C109499"/>
      <c r="E109499"/>
      <c r="F109499"/>
    </row>
    <row r="109500" spans="1:6" x14ac:dyDescent="0.25">
      <c r="A109500"/>
      <c r="B109500"/>
      <c r="C109500"/>
      <c r="E109500"/>
      <c r="F109500"/>
    </row>
    <row r="109501" spans="1:6" x14ac:dyDescent="0.25">
      <c r="A109501"/>
      <c r="B109501"/>
      <c r="C109501"/>
      <c r="E109501"/>
      <c r="F109501"/>
    </row>
    <row r="109502" spans="1:6" x14ac:dyDescent="0.25">
      <c r="A109502"/>
      <c r="B109502"/>
      <c r="C109502"/>
      <c r="E109502"/>
      <c r="F109502"/>
    </row>
    <row r="109503" spans="1:6" x14ac:dyDescent="0.25">
      <c r="A109503"/>
      <c r="B109503"/>
      <c r="C109503"/>
      <c r="E109503"/>
      <c r="F109503"/>
    </row>
    <row r="109504" spans="1:6" x14ac:dyDescent="0.25">
      <c r="A109504"/>
      <c r="B109504"/>
      <c r="C109504"/>
      <c r="E109504"/>
      <c r="F109504"/>
    </row>
    <row r="109505" spans="1:6" x14ac:dyDescent="0.25">
      <c r="A109505"/>
      <c r="B109505"/>
      <c r="C109505"/>
      <c r="E109505"/>
      <c r="F109505"/>
    </row>
    <row r="109506" spans="1:6" x14ac:dyDescent="0.25">
      <c r="A109506"/>
      <c r="B109506"/>
      <c r="C109506"/>
      <c r="E109506"/>
      <c r="F109506"/>
    </row>
    <row r="109507" spans="1:6" x14ac:dyDescent="0.25">
      <c r="A109507"/>
      <c r="B109507"/>
      <c r="C109507"/>
      <c r="E109507"/>
      <c r="F109507"/>
    </row>
    <row r="109508" spans="1:6" x14ac:dyDescent="0.25">
      <c r="A109508"/>
      <c r="B109508"/>
      <c r="C109508"/>
      <c r="E109508"/>
      <c r="F109508"/>
    </row>
    <row r="109509" spans="1:6" x14ac:dyDescent="0.25">
      <c r="A109509"/>
      <c r="B109509"/>
      <c r="C109509"/>
      <c r="E109509"/>
      <c r="F109509"/>
    </row>
    <row r="109510" spans="1:6" x14ac:dyDescent="0.25">
      <c r="A109510"/>
      <c r="B109510"/>
      <c r="C109510"/>
      <c r="E109510"/>
      <c r="F109510"/>
    </row>
    <row r="109511" spans="1:6" x14ac:dyDescent="0.25">
      <c r="A109511"/>
      <c r="B109511"/>
      <c r="C109511"/>
      <c r="E109511"/>
      <c r="F109511"/>
    </row>
    <row r="109512" spans="1:6" x14ac:dyDescent="0.25">
      <c r="A109512"/>
      <c r="B109512"/>
      <c r="C109512"/>
      <c r="E109512"/>
      <c r="F109512"/>
    </row>
    <row r="109513" spans="1:6" x14ac:dyDescent="0.25">
      <c r="A109513"/>
      <c r="B109513"/>
      <c r="C109513"/>
      <c r="E109513"/>
      <c r="F109513"/>
    </row>
    <row r="109514" spans="1:6" x14ac:dyDescent="0.25">
      <c r="A109514"/>
      <c r="B109514"/>
      <c r="C109514"/>
      <c r="E109514"/>
      <c r="F109514"/>
    </row>
    <row r="109515" spans="1:6" x14ac:dyDescent="0.25">
      <c r="A109515"/>
      <c r="B109515"/>
      <c r="C109515"/>
      <c r="E109515"/>
      <c r="F109515"/>
    </row>
    <row r="109516" spans="1:6" x14ac:dyDescent="0.25">
      <c r="A109516"/>
      <c r="B109516"/>
      <c r="C109516"/>
      <c r="E109516"/>
      <c r="F109516"/>
    </row>
    <row r="109517" spans="1:6" x14ac:dyDescent="0.25">
      <c r="A109517"/>
      <c r="B109517"/>
      <c r="C109517"/>
      <c r="E109517"/>
      <c r="F109517"/>
    </row>
    <row r="109518" spans="1:6" x14ac:dyDescent="0.25">
      <c r="A109518"/>
      <c r="B109518"/>
      <c r="C109518"/>
      <c r="E109518"/>
      <c r="F109518"/>
    </row>
    <row r="109519" spans="1:6" x14ac:dyDescent="0.25">
      <c r="A109519"/>
      <c r="B109519"/>
      <c r="C109519"/>
      <c r="E109519"/>
      <c r="F109519"/>
    </row>
    <row r="109520" spans="1:6" x14ac:dyDescent="0.25">
      <c r="A109520"/>
      <c r="B109520"/>
      <c r="C109520"/>
      <c r="E109520"/>
      <c r="F109520"/>
    </row>
    <row r="109521" spans="1:6" x14ac:dyDescent="0.25">
      <c r="A109521"/>
      <c r="B109521"/>
      <c r="C109521"/>
      <c r="E109521"/>
      <c r="F109521"/>
    </row>
    <row r="109522" spans="1:6" x14ac:dyDescent="0.25">
      <c r="A109522"/>
      <c r="B109522"/>
      <c r="C109522"/>
      <c r="E109522"/>
      <c r="F109522"/>
    </row>
    <row r="109523" spans="1:6" x14ac:dyDescent="0.25">
      <c r="A109523"/>
      <c r="B109523"/>
      <c r="C109523"/>
      <c r="E109523"/>
      <c r="F109523"/>
    </row>
    <row r="109524" spans="1:6" x14ac:dyDescent="0.25">
      <c r="A109524"/>
      <c r="B109524"/>
      <c r="C109524"/>
      <c r="E109524"/>
      <c r="F109524"/>
    </row>
    <row r="109525" spans="1:6" x14ac:dyDescent="0.25">
      <c r="A109525"/>
      <c r="B109525"/>
      <c r="C109525"/>
      <c r="E109525"/>
      <c r="F109525"/>
    </row>
    <row r="109526" spans="1:6" x14ac:dyDescent="0.25">
      <c r="A109526"/>
      <c r="B109526"/>
      <c r="C109526"/>
      <c r="E109526"/>
      <c r="F109526"/>
    </row>
    <row r="109527" spans="1:6" x14ac:dyDescent="0.25">
      <c r="A109527"/>
      <c r="B109527"/>
      <c r="C109527"/>
      <c r="E109527"/>
      <c r="F109527"/>
    </row>
    <row r="109528" spans="1:6" x14ac:dyDescent="0.25">
      <c r="A109528"/>
      <c r="B109528"/>
      <c r="C109528"/>
      <c r="E109528"/>
      <c r="F109528"/>
    </row>
    <row r="109529" spans="1:6" x14ac:dyDescent="0.25">
      <c r="A109529"/>
      <c r="B109529"/>
      <c r="C109529"/>
      <c r="E109529"/>
      <c r="F109529"/>
    </row>
    <row r="109530" spans="1:6" x14ac:dyDescent="0.25">
      <c r="A109530"/>
      <c r="B109530"/>
      <c r="C109530"/>
      <c r="E109530"/>
      <c r="F109530"/>
    </row>
    <row r="109531" spans="1:6" x14ac:dyDescent="0.25">
      <c r="A109531"/>
      <c r="B109531"/>
      <c r="C109531"/>
      <c r="E109531"/>
      <c r="F109531"/>
    </row>
    <row r="109532" spans="1:6" x14ac:dyDescent="0.25">
      <c r="A109532"/>
      <c r="B109532"/>
      <c r="C109532"/>
      <c r="E109532"/>
      <c r="F109532"/>
    </row>
    <row r="109533" spans="1:6" x14ac:dyDescent="0.25">
      <c r="A109533"/>
      <c r="B109533"/>
      <c r="C109533"/>
      <c r="E109533"/>
      <c r="F109533"/>
    </row>
    <row r="109534" spans="1:6" x14ac:dyDescent="0.25">
      <c r="A109534"/>
      <c r="B109534"/>
      <c r="C109534"/>
      <c r="E109534"/>
      <c r="F109534"/>
    </row>
    <row r="109535" spans="1:6" x14ac:dyDescent="0.25">
      <c r="A109535"/>
      <c r="B109535"/>
      <c r="C109535"/>
      <c r="E109535"/>
      <c r="F109535"/>
    </row>
    <row r="109536" spans="1:6" x14ac:dyDescent="0.25">
      <c r="A109536"/>
      <c r="B109536"/>
      <c r="C109536"/>
      <c r="E109536"/>
      <c r="F109536"/>
    </row>
    <row r="109537" spans="1:6" x14ac:dyDescent="0.25">
      <c r="A109537"/>
      <c r="B109537"/>
      <c r="C109537"/>
      <c r="E109537"/>
      <c r="F109537"/>
    </row>
    <row r="109538" spans="1:6" x14ac:dyDescent="0.25">
      <c r="A109538"/>
      <c r="B109538"/>
      <c r="C109538"/>
      <c r="E109538"/>
      <c r="F109538"/>
    </row>
    <row r="109539" spans="1:6" x14ac:dyDescent="0.25">
      <c r="A109539"/>
      <c r="B109539"/>
      <c r="C109539"/>
      <c r="E109539"/>
      <c r="F109539"/>
    </row>
    <row r="109540" spans="1:6" x14ac:dyDescent="0.25">
      <c r="A109540"/>
      <c r="B109540"/>
      <c r="C109540"/>
      <c r="E109540"/>
      <c r="F109540"/>
    </row>
    <row r="109541" spans="1:6" x14ac:dyDescent="0.25">
      <c r="A109541"/>
      <c r="B109541"/>
      <c r="C109541"/>
      <c r="E109541"/>
      <c r="F109541"/>
    </row>
    <row r="109542" spans="1:6" x14ac:dyDescent="0.25">
      <c r="A109542"/>
      <c r="B109542"/>
      <c r="C109542"/>
      <c r="E109542"/>
      <c r="F109542"/>
    </row>
    <row r="109543" spans="1:6" x14ac:dyDescent="0.25">
      <c r="A109543"/>
      <c r="B109543"/>
      <c r="C109543"/>
      <c r="E109543"/>
      <c r="F109543"/>
    </row>
    <row r="109544" spans="1:6" x14ac:dyDescent="0.25">
      <c r="A109544"/>
      <c r="B109544"/>
      <c r="C109544"/>
      <c r="E109544"/>
      <c r="F109544"/>
    </row>
    <row r="109545" spans="1:6" x14ac:dyDescent="0.25">
      <c r="A109545"/>
      <c r="B109545"/>
      <c r="C109545"/>
      <c r="E109545"/>
      <c r="F109545"/>
    </row>
    <row r="109546" spans="1:6" x14ac:dyDescent="0.25">
      <c r="A109546"/>
      <c r="B109546"/>
      <c r="C109546"/>
      <c r="E109546"/>
      <c r="F109546"/>
    </row>
    <row r="109547" spans="1:6" x14ac:dyDescent="0.25">
      <c r="A109547"/>
      <c r="B109547"/>
      <c r="C109547"/>
      <c r="E109547"/>
      <c r="F109547"/>
    </row>
    <row r="109548" spans="1:6" x14ac:dyDescent="0.25">
      <c r="A109548"/>
      <c r="B109548"/>
      <c r="C109548"/>
      <c r="E109548"/>
      <c r="F109548"/>
    </row>
    <row r="109549" spans="1:6" x14ac:dyDescent="0.25">
      <c r="A109549"/>
      <c r="B109549"/>
      <c r="C109549"/>
      <c r="E109549"/>
      <c r="F109549"/>
    </row>
    <row r="109550" spans="1:6" x14ac:dyDescent="0.25">
      <c r="A109550"/>
      <c r="B109550"/>
      <c r="C109550"/>
      <c r="E109550"/>
      <c r="F109550"/>
    </row>
    <row r="109551" spans="1:6" x14ac:dyDescent="0.25">
      <c r="A109551"/>
      <c r="B109551"/>
      <c r="C109551"/>
      <c r="E109551"/>
      <c r="F109551"/>
    </row>
    <row r="109552" spans="1:6" x14ac:dyDescent="0.25">
      <c r="A109552"/>
      <c r="B109552"/>
      <c r="C109552"/>
      <c r="E109552"/>
      <c r="F109552"/>
    </row>
    <row r="109553" spans="1:6" x14ac:dyDescent="0.25">
      <c r="A109553"/>
      <c r="B109553"/>
      <c r="C109553"/>
      <c r="E109553"/>
      <c r="F109553"/>
    </row>
    <row r="109554" spans="1:6" x14ac:dyDescent="0.25">
      <c r="A109554"/>
      <c r="B109554"/>
      <c r="C109554"/>
      <c r="E109554"/>
      <c r="F109554"/>
    </row>
    <row r="109555" spans="1:6" x14ac:dyDescent="0.25">
      <c r="A109555"/>
      <c r="B109555"/>
      <c r="C109555"/>
      <c r="E109555"/>
      <c r="F109555"/>
    </row>
    <row r="109556" spans="1:6" x14ac:dyDescent="0.25">
      <c r="A109556"/>
      <c r="B109556"/>
      <c r="C109556"/>
      <c r="E109556"/>
      <c r="F109556"/>
    </row>
    <row r="109557" spans="1:6" x14ac:dyDescent="0.25">
      <c r="A109557"/>
      <c r="B109557"/>
      <c r="C109557"/>
      <c r="E109557"/>
      <c r="F109557"/>
    </row>
    <row r="109558" spans="1:6" x14ac:dyDescent="0.25">
      <c r="A109558"/>
      <c r="B109558"/>
      <c r="C109558"/>
      <c r="E109558"/>
      <c r="F109558"/>
    </row>
    <row r="109559" spans="1:6" x14ac:dyDescent="0.25">
      <c r="A109559"/>
      <c r="B109559"/>
      <c r="C109559"/>
      <c r="E109559"/>
      <c r="F109559"/>
    </row>
    <row r="109560" spans="1:6" x14ac:dyDescent="0.25">
      <c r="A109560"/>
      <c r="B109560"/>
      <c r="C109560"/>
      <c r="E109560"/>
      <c r="F109560"/>
    </row>
    <row r="109561" spans="1:6" x14ac:dyDescent="0.25">
      <c r="A109561"/>
      <c r="B109561"/>
      <c r="C109561"/>
      <c r="E109561"/>
      <c r="F109561"/>
    </row>
    <row r="109562" spans="1:6" x14ac:dyDescent="0.25">
      <c r="A109562"/>
      <c r="B109562"/>
      <c r="C109562"/>
      <c r="E109562"/>
      <c r="F109562"/>
    </row>
    <row r="109563" spans="1:6" x14ac:dyDescent="0.25">
      <c r="A109563"/>
      <c r="B109563"/>
      <c r="C109563"/>
      <c r="E109563"/>
      <c r="F109563"/>
    </row>
    <row r="109564" spans="1:6" x14ac:dyDescent="0.25">
      <c r="A109564"/>
      <c r="B109564"/>
      <c r="C109564"/>
      <c r="E109564"/>
      <c r="F109564"/>
    </row>
    <row r="109565" spans="1:6" x14ac:dyDescent="0.25">
      <c r="A109565"/>
      <c r="B109565"/>
      <c r="C109565"/>
      <c r="E109565"/>
      <c r="F109565"/>
    </row>
    <row r="109566" spans="1:6" x14ac:dyDescent="0.25">
      <c r="A109566"/>
      <c r="B109566"/>
      <c r="C109566"/>
      <c r="E109566"/>
      <c r="F109566"/>
    </row>
    <row r="109567" spans="1:6" x14ac:dyDescent="0.25">
      <c r="A109567"/>
      <c r="B109567"/>
      <c r="C109567"/>
      <c r="E109567"/>
      <c r="F109567"/>
    </row>
    <row r="109568" spans="1:6" x14ac:dyDescent="0.25">
      <c r="A109568"/>
      <c r="B109568"/>
      <c r="C109568"/>
      <c r="E109568"/>
      <c r="F109568"/>
    </row>
    <row r="109569" spans="1:6" x14ac:dyDescent="0.25">
      <c r="A109569"/>
      <c r="B109569"/>
      <c r="C109569"/>
      <c r="E109569"/>
      <c r="F109569"/>
    </row>
    <row r="109570" spans="1:6" x14ac:dyDescent="0.25">
      <c r="A109570"/>
      <c r="B109570"/>
      <c r="C109570"/>
      <c r="E109570"/>
      <c r="F109570"/>
    </row>
    <row r="109571" spans="1:6" x14ac:dyDescent="0.25">
      <c r="A109571"/>
      <c r="B109571"/>
      <c r="C109571"/>
      <c r="E109571"/>
      <c r="F109571"/>
    </row>
    <row r="109572" spans="1:6" x14ac:dyDescent="0.25">
      <c r="A109572"/>
      <c r="B109572"/>
      <c r="C109572"/>
      <c r="E109572"/>
      <c r="F109572"/>
    </row>
    <row r="109573" spans="1:6" x14ac:dyDescent="0.25">
      <c r="A109573"/>
      <c r="B109573"/>
      <c r="C109573"/>
      <c r="E109573"/>
      <c r="F109573"/>
    </row>
    <row r="109574" spans="1:6" x14ac:dyDescent="0.25">
      <c r="A109574"/>
      <c r="B109574"/>
      <c r="C109574"/>
      <c r="E109574"/>
      <c r="F109574"/>
    </row>
    <row r="109575" spans="1:6" x14ac:dyDescent="0.25">
      <c r="A109575"/>
      <c r="B109575"/>
      <c r="C109575"/>
      <c r="E109575"/>
      <c r="F109575"/>
    </row>
    <row r="109576" spans="1:6" x14ac:dyDescent="0.25">
      <c r="A109576"/>
      <c r="B109576"/>
      <c r="C109576"/>
      <c r="E109576"/>
      <c r="F109576"/>
    </row>
    <row r="109577" spans="1:6" x14ac:dyDescent="0.25">
      <c r="A109577"/>
      <c r="B109577"/>
      <c r="C109577"/>
      <c r="E109577"/>
      <c r="F109577"/>
    </row>
    <row r="109578" spans="1:6" x14ac:dyDescent="0.25">
      <c r="A109578"/>
      <c r="B109578"/>
      <c r="C109578"/>
      <c r="E109578"/>
      <c r="F109578"/>
    </row>
    <row r="109579" spans="1:6" x14ac:dyDescent="0.25">
      <c r="A109579"/>
      <c r="B109579"/>
      <c r="C109579"/>
      <c r="E109579"/>
      <c r="F109579"/>
    </row>
    <row r="109580" spans="1:6" x14ac:dyDescent="0.25">
      <c r="A109580"/>
      <c r="B109580"/>
      <c r="C109580"/>
      <c r="E109580"/>
      <c r="F109580"/>
    </row>
    <row r="109581" spans="1:6" x14ac:dyDescent="0.25">
      <c r="A109581"/>
      <c r="B109581"/>
      <c r="C109581"/>
      <c r="E109581"/>
      <c r="F109581"/>
    </row>
    <row r="109582" spans="1:6" x14ac:dyDescent="0.25">
      <c r="A109582"/>
      <c r="B109582"/>
      <c r="C109582"/>
      <c r="E109582"/>
      <c r="F109582"/>
    </row>
    <row r="109583" spans="1:6" x14ac:dyDescent="0.25">
      <c r="A109583"/>
      <c r="B109583"/>
      <c r="C109583"/>
      <c r="E109583"/>
      <c r="F109583"/>
    </row>
    <row r="109584" spans="1:6" x14ac:dyDescent="0.25">
      <c r="A109584"/>
      <c r="B109584"/>
      <c r="C109584"/>
      <c r="E109584"/>
      <c r="F109584"/>
    </row>
    <row r="109585" spans="1:6" x14ac:dyDescent="0.25">
      <c r="A109585"/>
      <c r="B109585"/>
      <c r="C109585"/>
      <c r="E109585"/>
      <c r="F109585"/>
    </row>
    <row r="109586" spans="1:6" x14ac:dyDescent="0.25">
      <c r="A109586"/>
      <c r="B109586"/>
      <c r="C109586"/>
      <c r="E109586"/>
      <c r="F109586"/>
    </row>
    <row r="109587" spans="1:6" x14ac:dyDescent="0.25">
      <c r="A109587"/>
      <c r="B109587"/>
      <c r="C109587"/>
      <c r="E109587"/>
      <c r="F109587"/>
    </row>
    <row r="109588" spans="1:6" x14ac:dyDescent="0.25">
      <c r="A109588"/>
      <c r="B109588"/>
      <c r="C109588"/>
      <c r="E109588"/>
      <c r="F109588"/>
    </row>
    <row r="109589" spans="1:6" x14ac:dyDescent="0.25">
      <c r="A109589"/>
      <c r="B109589"/>
      <c r="C109589"/>
      <c r="E109589"/>
      <c r="F109589"/>
    </row>
    <row r="109590" spans="1:6" x14ac:dyDescent="0.25">
      <c r="A109590"/>
      <c r="B109590"/>
      <c r="C109590"/>
      <c r="E109590"/>
      <c r="F109590"/>
    </row>
    <row r="109591" spans="1:6" x14ac:dyDescent="0.25">
      <c r="A109591"/>
      <c r="B109591"/>
      <c r="C109591"/>
      <c r="E109591"/>
      <c r="F109591"/>
    </row>
    <row r="109592" spans="1:6" x14ac:dyDescent="0.25">
      <c r="A109592"/>
      <c r="B109592"/>
      <c r="C109592"/>
      <c r="E109592"/>
      <c r="F109592"/>
    </row>
    <row r="109593" spans="1:6" x14ac:dyDescent="0.25">
      <c r="A109593"/>
      <c r="B109593"/>
      <c r="C109593"/>
      <c r="E109593"/>
      <c r="F109593"/>
    </row>
    <row r="109594" spans="1:6" x14ac:dyDescent="0.25">
      <c r="A109594"/>
      <c r="B109594"/>
      <c r="C109594"/>
      <c r="E109594"/>
      <c r="F109594"/>
    </row>
    <row r="109595" spans="1:6" x14ac:dyDescent="0.25">
      <c r="A109595"/>
      <c r="B109595"/>
      <c r="C109595"/>
      <c r="E109595"/>
      <c r="F109595"/>
    </row>
    <row r="109596" spans="1:6" x14ac:dyDescent="0.25">
      <c r="A109596"/>
      <c r="B109596"/>
      <c r="C109596"/>
      <c r="E109596"/>
      <c r="F109596"/>
    </row>
    <row r="109597" spans="1:6" x14ac:dyDescent="0.25">
      <c r="A109597"/>
      <c r="B109597"/>
      <c r="C109597"/>
      <c r="E109597"/>
      <c r="F109597"/>
    </row>
    <row r="109598" spans="1:6" x14ac:dyDescent="0.25">
      <c r="A109598"/>
      <c r="B109598"/>
      <c r="C109598"/>
      <c r="E109598"/>
      <c r="F109598"/>
    </row>
    <row r="109599" spans="1:6" x14ac:dyDescent="0.25">
      <c r="A109599"/>
      <c r="B109599"/>
      <c r="C109599"/>
      <c r="E109599"/>
      <c r="F109599"/>
    </row>
    <row r="109600" spans="1:6" x14ac:dyDescent="0.25">
      <c r="A109600"/>
      <c r="B109600"/>
      <c r="C109600"/>
      <c r="E109600"/>
      <c r="F109600"/>
    </row>
    <row r="109601" spans="1:6" x14ac:dyDescent="0.25">
      <c r="A109601"/>
      <c r="B109601"/>
      <c r="C109601"/>
      <c r="E109601"/>
      <c r="F109601"/>
    </row>
    <row r="109602" spans="1:6" x14ac:dyDescent="0.25">
      <c r="A109602"/>
      <c r="B109602"/>
      <c r="C109602"/>
      <c r="E109602"/>
      <c r="F109602"/>
    </row>
    <row r="109603" spans="1:6" x14ac:dyDescent="0.25">
      <c r="A109603"/>
      <c r="B109603"/>
      <c r="C109603"/>
      <c r="E109603"/>
      <c r="F109603"/>
    </row>
    <row r="109604" spans="1:6" x14ac:dyDescent="0.25">
      <c r="A109604"/>
      <c r="B109604"/>
      <c r="C109604"/>
      <c r="E109604"/>
      <c r="F109604"/>
    </row>
    <row r="109605" spans="1:6" x14ac:dyDescent="0.25">
      <c r="A109605"/>
      <c r="B109605"/>
      <c r="C109605"/>
      <c r="E109605"/>
      <c r="F109605"/>
    </row>
    <row r="109606" spans="1:6" x14ac:dyDescent="0.25">
      <c r="A109606"/>
      <c r="B109606"/>
      <c r="C109606"/>
      <c r="E109606"/>
      <c r="F109606"/>
    </row>
    <row r="109607" spans="1:6" x14ac:dyDescent="0.25">
      <c r="A109607"/>
      <c r="B109607"/>
      <c r="C109607"/>
      <c r="E109607"/>
      <c r="F109607"/>
    </row>
    <row r="109608" spans="1:6" x14ac:dyDescent="0.25">
      <c r="A109608"/>
      <c r="B109608"/>
      <c r="C109608"/>
      <c r="E109608"/>
      <c r="F109608"/>
    </row>
    <row r="109609" spans="1:6" x14ac:dyDescent="0.25">
      <c r="A109609"/>
      <c r="B109609"/>
      <c r="C109609"/>
      <c r="E109609"/>
      <c r="F109609"/>
    </row>
    <row r="109610" spans="1:6" x14ac:dyDescent="0.25">
      <c r="A109610"/>
      <c r="B109610"/>
      <c r="C109610"/>
      <c r="E109610"/>
      <c r="F109610"/>
    </row>
    <row r="109611" spans="1:6" x14ac:dyDescent="0.25">
      <c r="A109611"/>
      <c r="B109611"/>
      <c r="C109611"/>
      <c r="E109611"/>
      <c r="F109611"/>
    </row>
    <row r="109612" spans="1:6" x14ac:dyDescent="0.25">
      <c r="A109612"/>
      <c r="B109612"/>
      <c r="C109612"/>
      <c r="E109612"/>
      <c r="F109612"/>
    </row>
    <row r="109613" spans="1:6" x14ac:dyDescent="0.25">
      <c r="A109613"/>
      <c r="B109613"/>
      <c r="C109613"/>
      <c r="E109613"/>
      <c r="F109613"/>
    </row>
    <row r="109614" spans="1:6" x14ac:dyDescent="0.25">
      <c r="A109614"/>
      <c r="B109614"/>
      <c r="C109614"/>
      <c r="E109614"/>
      <c r="F109614"/>
    </row>
    <row r="109615" spans="1:6" x14ac:dyDescent="0.25">
      <c r="A109615"/>
      <c r="B109615"/>
      <c r="C109615"/>
      <c r="E109615"/>
      <c r="F109615"/>
    </row>
    <row r="109616" spans="1:6" x14ac:dyDescent="0.25">
      <c r="A109616"/>
      <c r="B109616"/>
      <c r="C109616"/>
      <c r="E109616"/>
      <c r="F109616"/>
    </row>
    <row r="109617" spans="1:6" x14ac:dyDescent="0.25">
      <c r="A109617"/>
      <c r="B109617"/>
      <c r="C109617"/>
      <c r="E109617"/>
      <c r="F109617"/>
    </row>
    <row r="109618" spans="1:6" x14ac:dyDescent="0.25">
      <c r="A109618"/>
      <c r="B109618"/>
      <c r="C109618"/>
      <c r="E109618"/>
      <c r="F109618"/>
    </row>
    <row r="109619" spans="1:6" x14ac:dyDescent="0.25">
      <c r="A109619"/>
      <c r="B109619"/>
      <c r="C109619"/>
      <c r="E109619"/>
      <c r="F109619"/>
    </row>
    <row r="109620" spans="1:6" x14ac:dyDescent="0.25">
      <c r="A109620"/>
      <c r="B109620"/>
      <c r="C109620"/>
      <c r="E109620"/>
      <c r="F109620"/>
    </row>
    <row r="109621" spans="1:6" x14ac:dyDescent="0.25">
      <c r="A109621"/>
      <c r="B109621"/>
      <c r="C109621"/>
      <c r="E109621"/>
      <c r="F109621"/>
    </row>
    <row r="109622" spans="1:6" x14ac:dyDescent="0.25">
      <c r="A109622"/>
      <c r="B109622"/>
      <c r="C109622"/>
      <c r="E109622"/>
      <c r="F109622"/>
    </row>
    <row r="109623" spans="1:6" x14ac:dyDescent="0.25">
      <c r="A109623"/>
      <c r="B109623"/>
      <c r="C109623"/>
      <c r="E109623"/>
      <c r="F109623"/>
    </row>
    <row r="109624" spans="1:6" x14ac:dyDescent="0.25">
      <c r="A109624"/>
      <c r="B109624"/>
      <c r="C109624"/>
      <c r="E109624"/>
      <c r="F109624"/>
    </row>
    <row r="109625" spans="1:6" x14ac:dyDescent="0.25">
      <c r="A109625"/>
      <c r="B109625"/>
      <c r="C109625"/>
      <c r="E109625"/>
      <c r="F109625"/>
    </row>
    <row r="109626" spans="1:6" x14ac:dyDescent="0.25">
      <c r="A109626"/>
      <c r="B109626"/>
      <c r="C109626"/>
      <c r="E109626"/>
      <c r="F109626"/>
    </row>
    <row r="109627" spans="1:6" x14ac:dyDescent="0.25">
      <c r="A109627"/>
      <c r="B109627"/>
      <c r="C109627"/>
      <c r="E109627"/>
      <c r="F109627"/>
    </row>
    <row r="109628" spans="1:6" x14ac:dyDescent="0.25">
      <c r="A109628"/>
      <c r="B109628"/>
      <c r="C109628"/>
      <c r="E109628"/>
      <c r="F109628"/>
    </row>
    <row r="109629" spans="1:6" x14ac:dyDescent="0.25">
      <c r="A109629"/>
      <c r="B109629"/>
      <c r="C109629"/>
      <c r="E109629"/>
      <c r="F109629"/>
    </row>
    <row r="109630" spans="1:6" x14ac:dyDescent="0.25">
      <c r="A109630"/>
      <c r="B109630"/>
      <c r="C109630"/>
      <c r="E109630"/>
      <c r="F109630"/>
    </row>
    <row r="109631" spans="1:6" x14ac:dyDescent="0.25">
      <c r="A109631"/>
      <c r="B109631"/>
      <c r="C109631"/>
      <c r="E109631"/>
      <c r="F109631"/>
    </row>
    <row r="109632" spans="1:6" x14ac:dyDescent="0.25">
      <c r="A109632"/>
      <c r="B109632"/>
      <c r="C109632"/>
      <c r="E109632"/>
      <c r="F109632"/>
    </row>
    <row r="109633" spans="1:6" x14ac:dyDescent="0.25">
      <c r="A109633"/>
      <c r="B109633"/>
      <c r="C109633"/>
      <c r="E109633"/>
      <c r="F109633"/>
    </row>
    <row r="109634" spans="1:6" x14ac:dyDescent="0.25">
      <c r="A109634"/>
      <c r="B109634"/>
      <c r="C109634"/>
      <c r="E109634"/>
      <c r="F109634"/>
    </row>
    <row r="109635" spans="1:6" x14ac:dyDescent="0.25">
      <c r="A109635"/>
      <c r="B109635"/>
      <c r="C109635"/>
      <c r="E109635"/>
      <c r="F109635"/>
    </row>
    <row r="109636" spans="1:6" x14ac:dyDescent="0.25">
      <c r="A109636"/>
      <c r="B109636"/>
      <c r="C109636"/>
      <c r="E109636"/>
      <c r="F109636"/>
    </row>
    <row r="109637" spans="1:6" x14ac:dyDescent="0.25">
      <c r="A109637"/>
      <c r="B109637"/>
      <c r="C109637"/>
      <c r="E109637"/>
      <c r="F109637"/>
    </row>
    <row r="109638" spans="1:6" x14ac:dyDescent="0.25">
      <c r="A109638"/>
      <c r="B109638"/>
      <c r="C109638"/>
      <c r="E109638"/>
      <c r="F109638"/>
    </row>
    <row r="109639" spans="1:6" x14ac:dyDescent="0.25">
      <c r="A109639"/>
      <c r="B109639"/>
      <c r="C109639"/>
      <c r="E109639"/>
      <c r="F109639"/>
    </row>
    <row r="109640" spans="1:6" x14ac:dyDescent="0.25">
      <c r="A109640"/>
      <c r="B109640"/>
      <c r="C109640"/>
      <c r="E109640"/>
      <c r="F109640"/>
    </row>
    <row r="109641" spans="1:6" x14ac:dyDescent="0.25">
      <c r="A109641"/>
      <c r="B109641"/>
      <c r="C109641"/>
      <c r="E109641"/>
      <c r="F109641"/>
    </row>
    <row r="109642" spans="1:6" x14ac:dyDescent="0.25">
      <c r="A109642"/>
      <c r="B109642"/>
      <c r="C109642"/>
      <c r="E109642"/>
      <c r="F109642"/>
    </row>
    <row r="109643" spans="1:6" x14ac:dyDescent="0.25">
      <c r="A109643"/>
      <c r="B109643"/>
      <c r="C109643"/>
      <c r="E109643"/>
      <c r="F109643"/>
    </row>
    <row r="109644" spans="1:6" x14ac:dyDescent="0.25">
      <c r="A109644"/>
      <c r="B109644"/>
      <c r="C109644"/>
      <c r="E109644"/>
      <c r="F109644"/>
    </row>
    <row r="109645" spans="1:6" x14ac:dyDescent="0.25">
      <c r="A109645"/>
      <c r="B109645"/>
      <c r="C109645"/>
      <c r="E109645"/>
      <c r="F109645"/>
    </row>
    <row r="109646" spans="1:6" x14ac:dyDescent="0.25">
      <c r="A109646"/>
      <c r="B109646"/>
      <c r="C109646"/>
      <c r="E109646"/>
      <c r="F109646"/>
    </row>
    <row r="109647" spans="1:6" x14ac:dyDescent="0.25">
      <c r="A109647"/>
      <c r="B109647"/>
      <c r="C109647"/>
      <c r="E109647"/>
      <c r="F109647"/>
    </row>
    <row r="109648" spans="1:6" x14ac:dyDescent="0.25">
      <c r="A109648"/>
      <c r="B109648"/>
      <c r="C109648"/>
      <c r="E109648"/>
      <c r="F109648"/>
    </row>
    <row r="109649" spans="1:6" x14ac:dyDescent="0.25">
      <c r="A109649"/>
      <c r="B109649"/>
      <c r="C109649"/>
      <c r="E109649"/>
      <c r="F109649"/>
    </row>
    <row r="109650" spans="1:6" x14ac:dyDescent="0.25">
      <c r="A109650"/>
      <c r="B109650"/>
      <c r="C109650"/>
      <c r="E109650"/>
      <c r="F109650"/>
    </row>
    <row r="109651" spans="1:6" x14ac:dyDescent="0.25">
      <c r="A109651"/>
      <c r="B109651"/>
      <c r="C109651"/>
      <c r="E109651"/>
      <c r="F109651"/>
    </row>
    <row r="109652" spans="1:6" x14ac:dyDescent="0.25">
      <c r="A109652"/>
      <c r="B109652"/>
      <c r="C109652"/>
      <c r="E109652"/>
      <c r="F109652"/>
    </row>
    <row r="109653" spans="1:6" x14ac:dyDescent="0.25">
      <c r="A109653"/>
      <c r="B109653"/>
      <c r="C109653"/>
      <c r="E109653"/>
      <c r="F109653"/>
    </row>
    <row r="109654" spans="1:6" x14ac:dyDescent="0.25">
      <c r="A109654"/>
      <c r="B109654"/>
      <c r="C109654"/>
      <c r="E109654"/>
      <c r="F109654"/>
    </row>
    <row r="109655" spans="1:6" x14ac:dyDescent="0.25">
      <c r="A109655"/>
      <c r="B109655"/>
      <c r="C109655"/>
      <c r="E109655"/>
      <c r="F109655"/>
    </row>
    <row r="109656" spans="1:6" x14ac:dyDescent="0.25">
      <c r="A109656"/>
      <c r="B109656"/>
      <c r="C109656"/>
      <c r="E109656"/>
      <c r="F109656"/>
    </row>
    <row r="109657" spans="1:6" x14ac:dyDescent="0.25">
      <c r="A109657"/>
      <c r="B109657"/>
      <c r="C109657"/>
      <c r="E109657"/>
      <c r="F109657"/>
    </row>
    <row r="109658" spans="1:6" x14ac:dyDescent="0.25">
      <c r="A109658"/>
      <c r="B109658"/>
      <c r="C109658"/>
      <c r="E109658"/>
      <c r="F109658"/>
    </row>
    <row r="109659" spans="1:6" x14ac:dyDescent="0.25">
      <c r="A109659"/>
      <c r="B109659"/>
      <c r="C109659"/>
      <c r="E109659"/>
      <c r="F109659"/>
    </row>
    <row r="109660" spans="1:6" x14ac:dyDescent="0.25">
      <c r="A109660"/>
      <c r="B109660"/>
      <c r="C109660"/>
      <c r="E109660"/>
      <c r="F109660"/>
    </row>
    <row r="109661" spans="1:6" x14ac:dyDescent="0.25">
      <c r="A109661"/>
      <c r="B109661"/>
      <c r="C109661"/>
      <c r="E109661"/>
      <c r="F109661"/>
    </row>
    <row r="109662" spans="1:6" x14ac:dyDescent="0.25">
      <c r="A109662"/>
      <c r="B109662"/>
      <c r="C109662"/>
      <c r="E109662"/>
      <c r="F109662"/>
    </row>
    <row r="109663" spans="1:6" x14ac:dyDescent="0.25">
      <c r="A109663"/>
      <c r="B109663"/>
      <c r="C109663"/>
      <c r="E109663"/>
      <c r="F109663"/>
    </row>
    <row r="109664" spans="1:6" x14ac:dyDescent="0.25">
      <c r="A109664"/>
      <c r="B109664"/>
      <c r="C109664"/>
      <c r="E109664"/>
      <c r="F109664"/>
    </row>
    <row r="109665" spans="1:6" x14ac:dyDescent="0.25">
      <c r="A109665"/>
      <c r="B109665"/>
      <c r="C109665"/>
      <c r="E109665"/>
      <c r="F109665"/>
    </row>
    <row r="109666" spans="1:6" x14ac:dyDescent="0.25">
      <c r="A109666"/>
      <c r="B109666"/>
      <c r="C109666"/>
      <c r="E109666"/>
      <c r="F109666"/>
    </row>
    <row r="109667" spans="1:6" x14ac:dyDescent="0.25">
      <c r="A109667"/>
      <c r="B109667"/>
      <c r="C109667"/>
      <c r="E109667"/>
      <c r="F109667"/>
    </row>
    <row r="109668" spans="1:6" x14ac:dyDescent="0.25">
      <c r="A109668"/>
      <c r="B109668"/>
      <c r="C109668"/>
      <c r="E109668"/>
      <c r="F109668"/>
    </row>
    <row r="109669" spans="1:6" x14ac:dyDescent="0.25">
      <c r="A109669"/>
      <c r="B109669"/>
      <c r="C109669"/>
      <c r="E109669"/>
      <c r="F109669"/>
    </row>
    <row r="109670" spans="1:6" x14ac:dyDescent="0.25">
      <c r="A109670"/>
      <c r="B109670"/>
      <c r="C109670"/>
      <c r="E109670"/>
      <c r="F109670"/>
    </row>
    <row r="109671" spans="1:6" x14ac:dyDescent="0.25">
      <c r="A109671"/>
      <c r="B109671"/>
      <c r="C109671"/>
      <c r="E109671"/>
      <c r="F109671"/>
    </row>
    <row r="109672" spans="1:6" x14ac:dyDescent="0.25">
      <c r="A109672"/>
      <c r="B109672"/>
      <c r="C109672"/>
      <c r="E109672"/>
      <c r="F109672"/>
    </row>
    <row r="109673" spans="1:6" x14ac:dyDescent="0.25">
      <c r="A109673"/>
      <c r="B109673"/>
      <c r="C109673"/>
      <c r="E109673"/>
      <c r="F109673"/>
    </row>
    <row r="109674" spans="1:6" x14ac:dyDescent="0.25">
      <c r="A109674"/>
      <c r="B109674"/>
      <c r="C109674"/>
      <c r="E109674"/>
      <c r="F109674"/>
    </row>
    <row r="109675" spans="1:6" x14ac:dyDescent="0.25">
      <c r="A109675"/>
      <c r="B109675"/>
      <c r="C109675"/>
      <c r="E109675"/>
      <c r="F109675"/>
    </row>
    <row r="109676" spans="1:6" x14ac:dyDescent="0.25">
      <c r="A109676"/>
      <c r="B109676"/>
      <c r="C109676"/>
      <c r="E109676"/>
      <c r="F109676"/>
    </row>
    <row r="109677" spans="1:6" x14ac:dyDescent="0.25">
      <c r="A109677"/>
      <c r="B109677"/>
      <c r="C109677"/>
      <c r="E109677"/>
      <c r="F109677"/>
    </row>
    <row r="109678" spans="1:6" x14ac:dyDescent="0.25">
      <c r="A109678"/>
      <c r="B109678"/>
      <c r="C109678"/>
      <c r="E109678"/>
      <c r="F109678"/>
    </row>
    <row r="109679" spans="1:6" x14ac:dyDescent="0.25">
      <c r="A109679"/>
      <c r="B109679"/>
      <c r="C109679"/>
      <c r="E109679"/>
      <c r="F109679"/>
    </row>
    <row r="109680" spans="1:6" x14ac:dyDescent="0.25">
      <c r="A109680"/>
      <c r="B109680"/>
      <c r="C109680"/>
      <c r="E109680"/>
      <c r="F109680"/>
    </row>
    <row r="109681" spans="1:6" x14ac:dyDescent="0.25">
      <c r="A109681"/>
      <c r="B109681"/>
      <c r="C109681"/>
      <c r="E109681"/>
      <c r="F109681"/>
    </row>
    <row r="109682" spans="1:6" x14ac:dyDescent="0.25">
      <c r="A109682"/>
      <c r="B109682"/>
      <c r="C109682"/>
      <c r="E109682"/>
      <c r="F109682"/>
    </row>
    <row r="109683" spans="1:6" x14ac:dyDescent="0.25">
      <c r="A109683"/>
      <c r="B109683"/>
      <c r="C109683"/>
      <c r="E109683"/>
      <c r="F109683"/>
    </row>
    <row r="109684" spans="1:6" x14ac:dyDescent="0.25">
      <c r="A109684"/>
      <c r="B109684"/>
      <c r="C109684"/>
      <c r="E109684"/>
      <c r="F109684"/>
    </row>
    <row r="109685" spans="1:6" x14ac:dyDescent="0.25">
      <c r="A109685"/>
      <c r="B109685"/>
      <c r="C109685"/>
      <c r="E109685"/>
      <c r="F109685"/>
    </row>
    <row r="109686" spans="1:6" x14ac:dyDescent="0.25">
      <c r="A109686"/>
      <c r="B109686"/>
      <c r="C109686"/>
      <c r="E109686"/>
      <c r="F109686"/>
    </row>
    <row r="109687" spans="1:6" x14ac:dyDescent="0.25">
      <c r="A109687"/>
      <c r="B109687"/>
      <c r="C109687"/>
      <c r="E109687"/>
      <c r="F109687"/>
    </row>
    <row r="109688" spans="1:6" x14ac:dyDescent="0.25">
      <c r="A109688"/>
      <c r="B109688"/>
      <c r="C109688"/>
      <c r="E109688"/>
      <c r="F109688"/>
    </row>
    <row r="109689" spans="1:6" x14ac:dyDescent="0.25">
      <c r="A109689"/>
      <c r="B109689"/>
      <c r="C109689"/>
      <c r="E109689"/>
      <c r="F109689"/>
    </row>
    <row r="109690" spans="1:6" x14ac:dyDescent="0.25">
      <c r="A109690"/>
      <c r="B109690"/>
      <c r="C109690"/>
      <c r="E109690"/>
      <c r="F109690"/>
    </row>
    <row r="109691" spans="1:6" x14ac:dyDescent="0.25">
      <c r="A109691"/>
      <c r="B109691"/>
      <c r="C109691"/>
      <c r="E109691"/>
      <c r="F109691"/>
    </row>
    <row r="109692" spans="1:6" x14ac:dyDescent="0.25">
      <c r="A109692"/>
      <c r="B109692"/>
      <c r="C109692"/>
      <c r="E109692"/>
      <c r="F109692"/>
    </row>
    <row r="109693" spans="1:6" x14ac:dyDescent="0.25">
      <c r="A109693"/>
      <c r="B109693"/>
      <c r="C109693"/>
      <c r="E109693"/>
      <c r="F109693"/>
    </row>
    <row r="109694" spans="1:6" x14ac:dyDescent="0.25">
      <c r="A109694"/>
      <c r="B109694"/>
      <c r="C109694"/>
      <c r="E109694"/>
      <c r="F109694"/>
    </row>
    <row r="109695" spans="1:6" x14ac:dyDescent="0.25">
      <c r="A109695"/>
      <c r="B109695"/>
      <c r="C109695"/>
      <c r="E109695"/>
      <c r="F109695"/>
    </row>
    <row r="109696" spans="1:6" x14ac:dyDescent="0.25">
      <c r="A109696"/>
      <c r="B109696"/>
      <c r="C109696"/>
      <c r="E109696"/>
      <c r="F109696"/>
    </row>
    <row r="109697" spans="1:6" x14ac:dyDescent="0.25">
      <c r="A109697"/>
      <c r="B109697"/>
      <c r="C109697"/>
      <c r="E109697"/>
      <c r="F109697"/>
    </row>
    <row r="109698" spans="1:6" x14ac:dyDescent="0.25">
      <c r="A109698"/>
      <c r="B109698"/>
      <c r="C109698"/>
      <c r="E109698"/>
      <c r="F109698"/>
    </row>
    <row r="109699" spans="1:6" x14ac:dyDescent="0.25">
      <c r="A109699"/>
      <c r="B109699"/>
      <c r="C109699"/>
      <c r="E109699"/>
      <c r="F109699"/>
    </row>
    <row r="109700" spans="1:6" x14ac:dyDescent="0.25">
      <c r="A109700"/>
      <c r="B109700"/>
      <c r="C109700"/>
      <c r="E109700"/>
      <c r="F109700"/>
    </row>
    <row r="109701" spans="1:6" x14ac:dyDescent="0.25">
      <c r="A109701"/>
      <c r="B109701"/>
      <c r="C109701"/>
      <c r="E109701"/>
      <c r="F109701"/>
    </row>
    <row r="109702" spans="1:6" x14ac:dyDescent="0.25">
      <c r="A109702"/>
      <c r="B109702"/>
      <c r="C109702"/>
      <c r="E109702"/>
      <c r="F109702"/>
    </row>
    <row r="109703" spans="1:6" x14ac:dyDescent="0.25">
      <c r="A109703"/>
      <c r="B109703"/>
      <c r="C109703"/>
      <c r="E109703"/>
      <c r="F109703"/>
    </row>
    <row r="109704" spans="1:6" x14ac:dyDescent="0.25">
      <c r="A109704"/>
      <c r="B109704"/>
      <c r="C109704"/>
      <c r="E109704"/>
      <c r="F109704"/>
    </row>
    <row r="109705" spans="1:6" x14ac:dyDescent="0.25">
      <c r="A109705"/>
      <c r="B109705"/>
      <c r="C109705"/>
      <c r="E109705"/>
      <c r="F109705"/>
    </row>
    <row r="109706" spans="1:6" x14ac:dyDescent="0.25">
      <c r="A109706"/>
      <c r="B109706"/>
      <c r="C109706"/>
      <c r="E109706"/>
      <c r="F109706"/>
    </row>
    <row r="109707" spans="1:6" x14ac:dyDescent="0.25">
      <c r="A109707"/>
      <c r="B109707"/>
      <c r="C109707"/>
      <c r="E109707"/>
      <c r="F109707"/>
    </row>
    <row r="109708" spans="1:6" x14ac:dyDescent="0.25">
      <c r="A109708"/>
      <c r="B109708"/>
      <c r="C109708"/>
      <c r="E109708"/>
      <c r="F109708"/>
    </row>
    <row r="109709" spans="1:6" x14ac:dyDescent="0.25">
      <c r="A109709"/>
      <c r="B109709"/>
      <c r="C109709"/>
      <c r="E109709"/>
      <c r="F109709"/>
    </row>
    <row r="109710" spans="1:6" x14ac:dyDescent="0.25">
      <c r="A109710"/>
      <c r="B109710"/>
      <c r="C109710"/>
      <c r="E109710"/>
      <c r="F109710"/>
    </row>
    <row r="109711" spans="1:6" x14ac:dyDescent="0.25">
      <c r="A109711"/>
      <c r="B109711"/>
      <c r="C109711"/>
      <c r="E109711"/>
      <c r="F109711"/>
    </row>
    <row r="109712" spans="1:6" x14ac:dyDescent="0.25">
      <c r="A109712"/>
      <c r="B109712"/>
      <c r="C109712"/>
      <c r="E109712"/>
      <c r="F109712"/>
    </row>
    <row r="109713" spans="1:6" x14ac:dyDescent="0.25">
      <c r="A109713"/>
      <c r="B109713"/>
      <c r="C109713"/>
      <c r="E109713"/>
      <c r="F109713"/>
    </row>
    <row r="109714" spans="1:6" x14ac:dyDescent="0.25">
      <c r="A109714"/>
      <c r="B109714"/>
      <c r="C109714"/>
      <c r="E109714"/>
      <c r="F109714"/>
    </row>
    <row r="109715" spans="1:6" x14ac:dyDescent="0.25">
      <c r="A109715"/>
      <c r="B109715"/>
      <c r="C109715"/>
      <c r="E109715"/>
      <c r="F109715"/>
    </row>
    <row r="109716" spans="1:6" x14ac:dyDescent="0.25">
      <c r="A109716"/>
      <c r="B109716"/>
      <c r="C109716"/>
      <c r="E109716"/>
      <c r="F109716"/>
    </row>
    <row r="109717" spans="1:6" x14ac:dyDescent="0.25">
      <c r="A109717"/>
      <c r="B109717"/>
      <c r="C109717"/>
      <c r="E109717"/>
      <c r="F109717"/>
    </row>
    <row r="109718" spans="1:6" x14ac:dyDescent="0.25">
      <c r="A109718"/>
      <c r="B109718"/>
      <c r="C109718"/>
      <c r="E109718"/>
      <c r="F109718"/>
    </row>
    <row r="109719" spans="1:6" x14ac:dyDescent="0.25">
      <c r="A109719"/>
      <c r="B109719"/>
      <c r="C109719"/>
      <c r="E109719"/>
      <c r="F109719"/>
    </row>
    <row r="109720" spans="1:6" x14ac:dyDescent="0.25">
      <c r="A109720"/>
      <c r="B109720"/>
      <c r="C109720"/>
      <c r="E109720"/>
      <c r="F109720"/>
    </row>
    <row r="109721" spans="1:6" x14ac:dyDescent="0.25">
      <c r="A109721"/>
      <c r="B109721"/>
      <c r="C109721"/>
      <c r="E109721"/>
      <c r="F109721"/>
    </row>
    <row r="109722" spans="1:6" x14ac:dyDescent="0.25">
      <c r="A109722"/>
      <c r="B109722"/>
      <c r="C109722"/>
      <c r="E109722"/>
      <c r="F109722"/>
    </row>
    <row r="109723" spans="1:6" x14ac:dyDescent="0.25">
      <c r="A109723"/>
      <c r="B109723"/>
      <c r="C109723"/>
      <c r="E109723"/>
      <c r="F109723"/>
    </row>
    <row r="109724" spans="1:6" x14ac:dyDescent="0.25">
      <c r="A109724"/>
      <c r="B109724"/>
      <c r="C109724"/>
      <c r="E109724"/>
      <c r="F109724"/>
    </row>
    <row r="109725" spans="1:6" x14ac:dyDescent="0.25">
      <c r="A109725"/>
      <c r="B109725"/>
      <c r="C109725"/>
      <c r="E109725"/>
      <c r="F109725"/>
    </row>
    <row r="109726" spans="1:6" x14ac:dyDescent="0.25">
      <c r="A109726"/>
      <c r="B109726"/>
      <c r="C109726"/>
      <c r="E109726"/>
      <c r="F109726"/>
    </row>
    <row r="109727" spans="1:6" x14ac:dyDescent="0.25">
      <c r="A109727"/>
      <c r="B109727"/>
      <c r="C109727"/>
      <c r="E109727"/>
      <c r="F109727"/>
    </row>
    <row r="109728" spans="1:6" x14ac:dyDescent="0.25">
      <c r="A109728"/>
      <c r="B109728"/>
      <c r="C109728"/>
      <c r="E109728"/>
      <c r="F109728"/>
    </row>
    <row r="109729" spans="1:6" x14ac:dyDescent="0.25">
      <c r="A109729"/>
      <c r="B109729"/>
      <c r="C109729"/>
      <c r="E109729"/>
      <c r="F109729"/>
    </row>
    <row r="109730" spans="1:6" x14ac:dyDescent="0.25">
      <c r="A109730"/>
      <c r="B109730"/>
      <c r="C109730"/>
      <c r="E109730"/>
      <c r="F109730"/>
    </row>
    <row r="109731" spans="1:6" x14ac:dyDescent="0.25">
      <c r="A109731"/>
      <c r="B109731"/>
      <c r="C109731"/>
      <c r="E109731"/>
      <c r="F109731"/>
    </row>
    <row r="109732" spans="1:6" x14ac:dyDescent="0.25">
      <c r="A109732"/>
      <c r="B109732"/>
      <c r="C109732"/>
      <c r="E109732"/>
      <c r="F109732"/>
    </row>
    <row r="109733" spans="1:6" x14ac:dyDescent="0.25">
      <c r="A109733"/>
      <c r="B109733"/>
      <c r="C109733"/>
      <c r="E109733"/>
      <c r="F109733"/>
    </row>
    <row r="109734" spans="1:6" x14ac:dyDescent="0.25">
      <c r="A109734"/>
      <c r="B109734"/>
      <c r="C109734"/>
      <c r="E109734"/>
      <c r="F109734"/>
    </row>
    <row r="109735" spans="1:6" x14ac:dyDescent="0.25">
      <c r="A109735"/>
      <c r="B109735"/>
      <c r="C109735"/>
      <c r="E109735"/>
      <c r="F109735"/>
    </row>
    <row r="109736" spans="1:6" x14ac:dyDescent="0.25">
      <c r="A109736"/>
      <c r="B109736"/>
      <c r="C109736"/>
      <c r="E109736"/>
      <c r="F109736"/>
    </row>
    <row r="109737" spans="1:6" x14ac:dyDescent="0.25">
      <c r="A109737"/>
      <c r="B109737"/>
      <c r="C109737"/>
      <c r="E109737"/>
      <c r="F109737"/>
    </row>
    <row r="109738" spans="1:6" x14ac:dyDescent="0.25">
      <c r="A109738"/>
      <c r="B109738"/>
      <c r="C109738"/>
      <c r="E109738"/>
      <c r="F109738"/>
    </row>
    <row r="109739" spans="1:6" x14ac:dyDescent="0.25">
      <c r="A109739"/>
      <c r="B109739"/>
      <c r="C109739"/>
      <c r="E109739"/>
      <c r="F109739"/>
    </row>
    <row r="109740" spans="1:6" x14ac:dyDescent="0.25">
      <c r="A109740"/>
      <c r="B109740"/>
      <c r="C109740"/>
      <c r="E109740"/>
      <c r="F109740"/>
    </row>
    <row r="109741" spans="1:6" x14ac:dyDescent="0.25">
      <c r="A109741"/>
      <c r="B109741"/>
      <c r="C109741"/>
      <c r="E109741"/>
      <c r="F109741"/>
    </row>
    <row r="109742" spans="1:6" x14ac:dyDescent="0.25">
      <c r="A109742"/>
      <c r="B109742"/>
      <c r="C109742"/>
      <c r="E109742"/>
      <c r="F109742"/>
    </row>
    <row r="109743" spans="1:6" x14ac:dyDescent="0.25">
      <c r="A109743"/>
      <c r="B109743"/>
      <c r="C109743"/>
      <c r="E109743"/>
      <c r="F109743"/>
    </row>
    <row r="109744" spans="1:6" x14ac:dyDescent="0.25">
      <c r="A109744"/>
      <c r="B109744"/>
      <c r="C109744"/>
      <c r="E109744"/>
      <c r="F109744"/>
    </row>
    <row r="109745" spans="1:6" x14ac:dyDescent="0.25">
      <c r="A109745"/>
      <c r="B109745"/>
      <c r="C109745"/>
      <c r="E109745"/>
      <c r="F109745"/>
    </row>
    <row r="109746" spans="1:6" x14ac:dyDescent="0.25">
      <c r="A109746"/>
      <c r="B109746"/>
      <c r="C109746"/>
      <c r="E109746"/>
      <c r="F109746"/>
    </row>
    <row r="109747" spans="1:6" x14ac:dyDescent="0.25">
      <c r="A109747"/>
      <c r="B109747"/>
      <c r="C109747"/>
      <c r="E109747"/>
      <c r="F109747"/>
    </row>
    <row r="109748" spans="1:6" x14ac:dyDescent="0.25">
      <c r="A109748"/>
      <c r="B109748"/>
      <c r="C109748"/>
      <c r="E109748"/>
      <c r="F109748"/>
    </row>
    <row r="109749" spans="1:6" x14ac:dyDescent="0.25">
      <c r="A109749"/>
      <c r="B109749"/>
      <c r="C109749"/>
      <c r="E109749"/>
      <c r="F109749"/>
    </row>
    <row r="109750" spans="1:6" x14ac:dyDescent="0.25">
      <c r="A109750"/>
      <c r="B109750"/>
      <c r="C109750"/>
      <c r="E109750"/>
      <c r="F109750"/>
    </row>
    <row r="109751" spans="1:6" x14ac:dyDescent="0.25">
      <c r="A109751"/>
      <c r="B109751"/>
      <c r="C109751"/>
      <c r="E109751"/>
      <c r="F109751"/>
    </row>
    <row r="109752" spans="1:6" x14ac:dyDescent="0.25">
      <c r="A109752"/>
      <c r="B109752"/>
      <c r="C109752"/>
      <c r="E109752"/>
      <c r="F109752"/>
    </row>
    <row r="109753" spans="1:6" x14ac:dyDescent="0.25">
      <c r="A109753"/>
      <c r="B109753"/>
      <c r="C109753"/>
      <c r="E109753"/>
      <c r="F109753"/>
    </row>
    <row r="109754" spans="1:6" x14ac:dyDescent="0.25">
      <c r="A109754"/>
      <c r="B109754"/>
      <c r="C109754"/>
      <c r="E109754"/>
      <c r="F109754"/>
    </row>
    <row r="109755" spans="1:6" x14ac:dyDescent="0.25">
      <c r="A109755"/>
      <c r="B109755"/>
      <c r="C109755"/>
      <c r="E109755"/>
      <c r="F109755"/>
    </row>
    <row r="109756" spans="1:6" x14ac:dyDescent="0.25">
      <c r="A109756"/>
      <c r="B109756"/>
      <c r="C109756"/>
      <c r="E109756"/>
      <c r="F109756"/>
    </row>
    <row r="109757" spans="1:6" x14ac:dyDescent="0.25">
      <c r="A109757"/>
      <c r="B109757"/>
      <c r="C109757"/>
      <c r="E109757"/>
      <c r="F109757"/>
    </row>
    <row r="109758" spans="1:6" x14ac:dyDescent="0.25">
      <c r="A109758"/>
      <c r="B109758"/>
      <c r="C109758"/>
      <c r="E109758"/>
      <c r="F109758"/>
    </row>
    <row r="109759" spans="1:6" x14ac:dyDescent="0.25">
      <c r="A109759"/>
      <c r="B109759"/>
      <c r="C109759"/>
      <c r="E109759"/>
      <c r="F109759"/>
    </row>
    <row r="109760" spans="1:6" x14ac:dyDescent="0.25">
      <c r="A109760"/>
      <c r="B109760"/>
      <c r="C109760"/>
      <c r="E109760"/>
      <c r="F109760"/>
    </row>
    <row r="109761" spans="1:6" x14ac:dyDescent="0.25">
      <c r="A109761"/>
      <c r="B109761"/>
      <c r="C109761"/>
      <c r="E109761"/>
      <c r="F109761"/>
    </row>
    <row r="109762" spans="1:6" x14ac:dyDescent="0.25">
      <c r="A109762"/>
      <c r="B109762"/>
      <c r="C109762"/>
      <c r="E109762"/>
      <c r="F109762"/>
    </row>
    <row r="109763" spans="1:6" x14ac:dyDescent="0.25">
      <c r="A109763"/>
      <c r="B109763"/>
      <c r="C109763"/>
      <c r="E109763"/>
      <c r="F109763"/>
    </row>
    <row r="109764" spans="1:6" x14ac:dyDescent="0.25">
      <c r="A109764"/>
      <c r="B109764"/>
      <c r="C109764"/>
      <c r="E109764"/>
      <c r="F109764"/>
    </row>
    <row r="109765" spans="1:6" x14ac:dyDescent="0.25">
      <c r="A109765"/>
      <c r="B109765"/>
      <c r="C109765"/>
      <c r="E109765"/>
      <c r="F109765"/>
    </row>
    <row r="109766" spans="1:6" x14ac:dyDescent="0.25">
      <c r="A109766"/>
      <c r="B109766"/>
      <c r="C109766"/>
      <c r="E109766"/>
      <c r="F109766"/>
    </row>
    <row r="109767" spans="1:6" x14ac:dyDescent="0.25">
      <c r="A109767"/>
      <c r="B109767"/>
      <c r="C109767"/>
      <c r="E109767"/>
      <c r="F109767"/>
    </row>
    <row r="109768" spans="1:6" x14ac:dyDescent="0.25">
      <c r="A109768"/>
      <c r="B109768"/>
      <c r="C109768"/>
      <c r="E109768"/>
      <c r="F109768"/>
    </row>
    <row r="109769" spans="1:6" x14ac:dyDescent="0.25">
      <c r="A109769"/>
      <c r="B109769"/>
      <c r="C109769"/>
      <c r="E109769"/>
      <c r="F109769"/>
    </row>
    <row r="109770" spans="1:6" x14ac:dyDescent="0.25">
      <c r="A109770"/>
      <c r="B109770"/>
      <c r="C109770"/>
      <c r="E109770"/>
      <c r="F109770"/>
    </row>
    <row r="109771" spans="1:6" x14ac:dyDescent="0.25">
      <c r="A109771"/>
      <c r="B109771"/>
      <c r="C109771"/>
      <c r="E109771"/>
      <c r="F109771"/>
    </row>
    <row r="109772" spans="1:6" x14ac:dyDescent="0.25">
      <c r="A109772"/>
      <c r="B109772"/>
      <c r="C109772"/>
      <c r="E109772"/>
      <c r="F109772"/>
    </row>
    <row r="109773" spans="1:6" x14ac:dyDescent="0.25">
      <c r="A109773"/>
      <c r="B109773"/>
      <c r="C109773"/>
      <c r="E109773"/>
      <c r="F109773"/>
    </row>
    <row r="109774" spans="1:6" x14ac:dyDescent="0.25">
      <c r="A109774"/>
      <c r="B109774"/>
      <c r="C109774"/>
      <c r="E109774"/>
      <c r="F109774"/>
    </row>
    <row r="109775" spans="1:6" x14ac:dyDescent="0.25">
      <c r="A109775"/>
      <c r="B109775"/>
      <c r="C109775"/>
      <c r="E109775"/>
      <c r="F109775"/>
    </row>
    <row r="109776" spans="1:6" x14ac:dyDescent="0.25">
      <c r="A109776"/>
      <c r="B109776"/>
      <c r="C109776"/>
      <c r="E109776"/>
      <c r="F109776"/>
    </row>
    <row r="109777" spans="1:6" x14ac:dyDescent="0.25">
      <c r="A109777"/>
      <c r="B109777"/>
      <c r="C109777"/>
      <c r="E109777"/>
      <c r="F109777"/>
    </row>
    <row r="109778" spans="1:6" x14ac:dyDescent="0.25">
      <c r="A109778"/>
      <c r="B109778"/>
      <c r="C109778"/>
      <c r="E109778"/>
      <c r="F109778"/>
    </row>
    <row r="109779" spans="1:6" x14ac:dyDescent="0.25">
      <c r="A109779"/>
      <c r="B109779"/>
      <c r="C109779"/>
      <c r="E109779"/>
      <c r="F109779"/>
    </row>
    <row r="109780" spans="1:6" x14ac:dyDescent="0.25">
      <c r="A109780"/>
      <c r="B109780"/>
      <c r="C109780"/>
      <c r="E109780"/>
      <c r="F109780"/>
    </row>
    <row r="109781" spans="1:6" x14ac:dyDescent="0.25">
      <c r="A109781"/>
      <c r="B109781"/>
      <c r="C109781"/>
      <c r="E109781"/>
      <c r="F109781"/>
    </row>
    <row r="109782" spans="1:6" x14ac:dyDescent="0.25">
      <c r="A109782"/>
      <c r="B109782"/>
      <c r="C109782"/>
      <c r="E109782"/>
      <c r="F109782"/>
    </row>
    <row r="109783" spans="1:6" x14ac:dyDescent="0.25">
      <c r="A109783"/>
      <c r="B109783"/>
      <c r="C109783"/>
      <c r="E109783"/>
      <c r="F109783"/>
    </row>
    <row r="109784" spans="1:6" x14ac:dyDescent="0.25">
      <c r="A109784"/>
      <c r="B109784"/>
      <c r="C109784"/>
      <c r="E109784"/>
      <c r="F109784"/>
    </row>
    <row r="109785" spans="1:6" x14ac:dyDescent="0.25">
      <c r="A109785"/>
      <c r="B109785"/>
      <c r="C109785"/>
      <c r="E109785"/>
      <c r="F109785"/>
    </row>
    <row r="109786" spans="1:6" x14ac:dyDescent="0.25">
      <c r="A109786"/>
      <c r="B109786"/>
      <c r="C109786"/>
      <c r="E109786"/>
      <c r="F109786"/>
    </row>
    <row r="109787" spans="1:6" x14ac:dyDescent="0.25">
      <c r="A109787"/>
      <c r="B109787"/>
      <c r="C109787"/>
      <c r="E109787"/>
      <c r="F109787"/>
    </row>
    <row r="109788" spans="1:6" x14ac:dyDescent="0.25">
      <c r="A109788"/>
      <c r="B109788"/>
      <c r="C109788"/>
      <c r="E109788"/>
      <c r="F109788"/>
    </row>
    <row r="109789" spans="1:6" x14ac:dyDescent="0.25">
      <c r="A109789"/>
      <c r="B109789"/>
      <c r="C109789"/>
      <c r="E109789"/>
      <c r="F109789"/>
    </row>
    <row r="109790" spans="1:6" x14ac:dyDescent="0.25">
      <c r="A109790"/>
      <c r="B109790"/>
      <c r="C109790"/>
      <c r="E109790"/>
      <c r="F109790"/>
    </row>
    <row r="109791" spans="1:6" x14ac:dyDescent="0.25">
      <c r="A109791"/>
      <c r="B109791"/>
      <c r="C109791"/>
      <c r="E109791"/>
      <c r="F109791"/>
    </row>
    <row r="109792" spans="1:6" x14ac:dyDescent="0.25">
      <c r="A109792"/>
      <c r="B109792"/>
      <c r="C109792"/>
      <c r="E109792"/>
      <c r="F109792"/>
    </row>
    <row r="109793" spans="1:6" x14ac:dyDescent="0.25">
      <c r="A109793"/>
      <c r="B109793"/>
      <c r="C109793"/>
      <c r="E109793"/>
      <c r="F109793"/>
    </row>
    <row r="109794" spans="1:6" x14ac:dyDescent="0.25">
      <c r="A109794"/>
      <c r="B109794"/>
      <c r="C109794"/>
      <c r="E109794"/>
      <c r="F109794"/>
    </row>
    <row r="109795" spans="1:6" x14ac:dyDescent="0.25">
      <c r="A109795"/>
      <c r="B109795"/>
      <c r="C109795"/>
      <c r="E109795"/>
      <c r="F109795"/>
    </row>
    <row r="109796" spans="1:6" x14ac:dyDescent="0.25">
      <c r="A109796"/>
      <c r="B109796"/>
      <c r="C109796"/>
      <c r="E109796"/>
      <c r="F109796"/>
    </row>
    <row r="109797" spans="1:6" x14ac:dyDescent="0.25">
      <c r="A109797"/>
      <c r="B109797"/>
      <c r="C109797"/>
      <c r="E109797"/>
      <c r="F109797"/>
    </row>
    <row r="109798" spans="1:6" x14ac:dyDescent="0.25">
      <c r="A109798"/>
      <c r="B109798"/>
      <c r="C109798"/>
      <c r="E109798"/>
      <c r="F109798"/>
    </row>
    <row r="109799" spans="1:6" x14ac:dyDescent="0.25">
      <c r="A109799"/>
      <c r="B109799"/>
      <c r="C109799"/>
      <c r="E109799"/>
      <c r="F109799"/>
    </row>
    <row r="109800" spans="1:6" x14ac:dyDescent="0.25">
      <c r="A109800"/>
      <c r="B109800"/>
      <c r="C109800"/>
      <c r="E109800"/>
      <c r="F109800"/>
    </row>
    <row r="109801" spans="1:6" x14ac:dyDescent="0.25">
      <c r="A109801"/>
      <c r="B109801"/>
      <c r="C109801"/>
      <c r="E109801"/>
      <c r="F109801"/>
    </row>
    <row r="109802" spans="1:6" x14ac:dyDescent="0.25">
      <c r="A109802"/>
      <c r="B109802"/>
      <c r="C109802"/>
      <c r="E109802"/>
      <c r="F109802"/>
    </row>
    <row r="109803" spans="1:6" x14ac:dyDescent="0.25">
      <c r="A109803"/>
      <c r="B109803"/>
      <c r="C109803"/>
      <c r="E109803"/>
      <c r="F109803"/>
    </row>
    <row r="109804" spans="1:6" x14ac:dyDescent="0.25">
      <c r="A109804"/>
      <c r="B109804"/>
      <c r="C109804"/>
      <c r="E109804"/>
      <c r="F109804"/>
    </row>
    <row r="109805" spans="1:6" x14ac:dyDescent="0.25">
      <c r="A109805"/>
      <c r="B109805"/>
      <c r="C109805"/>
      <c r="E109805"/>
      <c r="F109805"/>
    </row>
    <row r="109806" spans="1:6" x14ac:dyDescent="0.25">
      <c r="A109806"/>
      <c r="B109806"/>
      <c r="C109806"/>
      <c r="E109806"/>
      <c r="F109806"/>
    </row>
    <row r="109807" spans="1:6" x14ac:dyDescent="0.25">
      <c r="A109807"/>
      <c r="B109807"/>
      <c r="C109807"/>
      <c r="E109807"/>
      <c r="F109807"/>
    </row>
    <row r="109808" spans="1:6" x14ac:dyDescent="0.25">
      <c r="A109808"/>
      <c r="B109808"/>
      <c r="C109808"/>
      <c r="E109808"/>
      <c r="F109808"/>
    </row>
    <row r="109809" spans="1:6" x14ac:dyDescent="0.25">
      <c r="A109809"/>
      <c r="B109809"/>
      <c r="C109809"/>
      <c r="E109809"/>
      <c r="F109809"/>
    </row>
    <row r="109810" spans="1:6" x14ac:dyDescent="0.25">
      <c r="A109810"/>
      <c r="B109810"/>
      <c r="C109810"/>
      <c r="E109810"/>
      <c r="F109810"/>
    </row>
    <row r="109811" spans="1:6" x14ac:dyDescent="0.25">
      <c r="A109811"/>
      <c r="B109811"/>
      <c r="C109811"/>
      <c r="E109811"/>
      <c r="F109811"/>
    </row>
    <row r="109812" spans="1:6" x14ac:dyDescent="0.25">
      <c r="A109812"/>
      <c r="B109812"/>
      <c r="C109812"/>
      <c r="E109812"/>
      <c r="F109812"/>
    </row>
    <row r="109813" spans="1:6" x14ac:dyDescent="0.25">
      <c r="A109813"/>
      <c r="B109813"/>
      <c r="C109813"/>
      <c r="E109813"/>
      <c r="F109813"/>
    </row>
    <row r="109814" spans="1:6" x14ac:dyDescent="0.25">
      <c r="A109814"/>
      <c r="B109814"/>
      <c r="C109814"/>
      <c r="E109814"/>
      <c r="F109814"/>
    </row>
    <row r="109815" spans="1:6" x14ac:dyDescent="0.25">
      <c r="A109815"/>
      <c r="B109815"/>
      <c r="C109815"/>
      <c r="E109815"/>
      <c r="F109815"/>
    </row>
    <row r="109816" spans="1:6" x14ac:dyDescent="0.25">
      <c r="A109816"/>
      <c r="B109816"/>
      <c r="C109816"/>
      <c r="E109816"/>
      <c r="F109816"/>
    </row>
    <row r="109817" spans="1:6" x14ac:dyDescent="0.25">
      <c r="A109817"/>
      <c r="B109817"/>
      <c r="C109817"/>
      <c r="E109817"/>
      <c r="F109817"/>
    </row>
    <row r="109818" spans="1:6" x14ac:dyDescent="0.25">
      <c r="A109818"/>
      <c r="B109818"/>
      <c r="C109818"/>
      <c r="E109818"/>
      <c r="F109818"/>
    </row>
    <row r="109819" spans="1:6" x14ac:dyDescent="0.25">
      <c r="A109819"/>
      <c r="B109819"/>
      <c r="C109819"/>
      <c r="E109819"/>
      <c r="F109819"/>
    </row>
    <row r="109820" spans="1:6" x14ac:dyDescent="0.25">
      <c r="A109820"/>
      <c r="B109820"/>
      <c r="C109820"/>
      <c r="E109820"/>
      <c r="F109820"/>
    </row>
    <row r="109821" spans="1:6" x14ac:dyDescent="0.25">
      <c r="A109821"/>
      <c r="B109821"/>
      <c r="C109821"/>
      <c r="E109821"/>
      <c r="F109821"/>
    </row>
    <row r="109822" spans="1:6" x14ac:dyDescent="0.25">
      <c r="A109822"/>
      <c r="B109822"/>
      <c r="C109822"/>
      <c r="E109822"/>
      <c r="F109822"/>
    </row>
    <row r="109823" spans="1:6" x14ac:dyDescent="0.25">
      <c r="A109823"/>
      <c r="B109823"/>
      <c r="C109823"/>
      <c r="E109823"/>
      <c r="F109823"/>
    </row>
    <row r="109824" spans="1:6" x14ac:dyDescent="0.25">
      <c r="A109824"/>
      <c r="B109824"/>
      <c r="C109824"/>
      <c r="E109824"/>
      <c r="F109824"/>
    </row>
    <row r="109825" spans="1:6" x14ac:dyDescent="0.25">
      <c r="A109825"/>
      <c r="B109825"/>
      <c r="C109825"/>
      <c r="E109825"/>
      <c r="F109825"/>
    </row>
    <row r="109826" spans="1:6" x14ac:dyDescent="0.25">
      <c r="A109826"/>
      <c r="B109826"/>
      <c r="C109826"/>
      <c r="E109826"/>
      <c r="F109826"/>
    </row>
    <row r="109827" spans="1:6" x14ac:dyDescent="0.25">
      <c r="A109827"/>
      <c r="B109827"/>
      <c r="C109827"/>
      <c r="E109827"/>
      <c r="F109827"/>
    </row>
    <row r="109828" spans="1:6" x14ac:dyDescent="0.25">
      <c r="A109828"/>
      <c r="B109828"/>
      <c r="C109828"/>
      <c r="E109828"/>
      <c r="F109828"/>
    </row>
    <row r="109829" spans="1:6" x14ac:dyDescent="0.25">
      <c r="A109829"/>
      <c r="B109829"/>
      <c r="C109829"/>
      <c r="E109829"/>
      <c r="F109829"/>
    </row>
    <row r="109830" spans="1:6" x14ac:dyDescent="0.25">
      <c r="A109830"/>
      <c r="B109830"/>
      <c r="C109830"/>
      <c r="E109830"/>
      <c r="F109830"/>
    </row>
    <row r="109831" spans="1:6" x14ac:dyDescent="0.25">
      <c r="A109831"/>
      <c r="B109831"/>
      <c r="C109831"/>
      <c r="E109831"/>
      <c r="F109831"/>
    </row>
    <row r="109832" spans="1:6" x14ac:dyDescent="0.25">
      <c r="A109832"/>
      <c r="B109832"/>
      <c r="C109832"/>
      <c r="E109832"/>
      <c r="F109832"/>
    </row>
    <row r="109833" spans="1:6" x14ac:dyDescent="0.25">
      <c r="A109833"/>
      <c r="B109833"/>
      <c r="C109833"/>
      <c r="E109833"/>
      <c r="F109833"/>
    </row>
    <row r="109834" spans="1:6" x14ac:dyDescent="0.25">
      <c r="A109834"/>
      <c r="B109834"/>
      <c r="C109834"/>
      <c r="E109834"/>
      <c r="F109834"/>
    </row>
    <row r="109835" spans="1:6" x14ac:dyDescent="0.25">
      <c r="A109835"/>
      <c r="B109835"/>
      <c r="C109835"/>
      <c r="E109835"/>
      <c r="F109835"/>
    </row>
    <row r="109836" spans="1:6" x14ac:dyDescent="0.25">
      <c r="A109836"/>
      <c r="B109836"/>
      <c r="C109836"/>
      <c r="E109836"/>
      <c r="F109836"/>
    </row>
    <row r="109837" spans="1:6" x14ac:dyDescent="0.25">
      <c r="A109837"/>
      <c r="B109837"/>
      <c r="C109837"/>
      <c r="E109837"/>
      <c r="F109837"/>
    </row>
    <row r="109838" spans="1:6" x14ac:dyDescent="0.25">
      <c r="A109838"/>
      <c r="B109838"/>
      <c r="C109838"/>
      <c r="E109838"/>
      <c r="F109838"/>
    </row>
    <row r="109839" spans="1:6" x14ac:dyDescent="0.25">
      <c r="A109839"/>
      <c r="B109839"/>
      <c r="C109839"/>
      <c r="E109839"/>
      <c r="F109839"/>
    </row>
    <row r="109840" spans="1:6" x14ac:dyDescent="0.25">
      <c r="A109840"/>
      <c r="B109840"/>
      <c r="C109840"/>
      <c r="E109840"/>
      <c r="F109840"/>
    </row>
    <row r="109841" spans="1:6" x14ac:dyDescent="0.25">
      <c r="A109841"/>
      <c r="B109841"/>
      <c r="C109841"/>
      <c r="E109841"/>
      <c r="F109841"/>
    </row>
    <row r="109842" spans="1:6" x14ac:dyDescent="0.25">
      <c r="A109842"/>
      <c r="B109842"/>
      <c r="C109842"/>
      <c r="E109842"/>
      <c r="F109842"/>
    </row>
    <row r="109843" spans="1:6" x14ac:dyDescent="0.25">
      <c r="A109843"/>
      <c r="B109843"/>
      <c r="C109843"/>
      <c r="E109843"/>
      <c r="F109843"/>
    </row>
    <row r="109844" spans="1:6" x14ac:dyDescent="0.25">
      <c r="A109844"/>
      <c r="B109844"/>
      <c r="C109844"/>
      <c r="E109844"/>
      <c r="F109844"/>
    </row>
    <row r="109845" spans="1:6" x14ac:dyDescent="0.25">
      <c r="A109845"/>
      <c r="B109845"/>
      <c r="C109845"/>
      <c r="E109845"/>
      <c r="F109845"/>
    </row>
    <row r="109846" spans="1:6" x14ac:dyDescent="0.25">
      <c r="A109846"/>
      <c r="B109846"/>
      <c r="C109846"/>
      <c r="E109846"/>
      <c r="F109846"/>
    </row>
    <row r="109847" spans="1:6" x14ac:dyDescent="0.25">
      <c r="A109847"/>
      <c r="B109847"/>
      <c r="C109847"/>
      <c r="E109847"/>
      <c r="F109847"/>
    </row>
    <row r="109848" spans="1:6" x14ac:dyDescent="0.25">
      <c r="A109848"/>
      <c r="B109848"/>
      <c r="C109848"/>
      <c r="E109848"/>
      <c r="F109848"/>
    </row>
    <row r="109849" spans="1:6" x14ac:dyDescent="0.25">
      <c r="A109849"/>
      <c r="B109849"/>
      <c r="C109849"/>
      <c r="E109849"/>
      <c r="F109849"/>
    </row>
    <row r="109850" spans="1:6" x14ac:dyDescent="0.25">
      <c r="A109850"/>
      <c r="B109850"/>
      <c r="C109850"/>
      <c r="E109850"/>
      <c r="F109850"/>
    </row>
    <row r="109851" spans="1:6" x14ac:dyDescent="0.25">
      <c r="A109851"/>
      <c r="B109851"/>
      <c r="C109851"/>
      <c r="E109851"/>
      <c r="F109851"/>
    </row>
    <row r="109852" spans="1:6" x14ac:dyDescent="0.25">
      <c r="A109852"/>
      <c r="B109852"/>
      <c r="C109852"/>
      <c r="E109852"/>
      <c r="F109852"/>
    </row>
    <row r="109853" spans="1:6" x14ac:dyDescent="0.25">
      <c r="A109853"/>
      <c r="B109853"/>
      <c r="C109853"/>
      <c r="E109853"/>
      <c r="F109853"/>
    </row>
    <row r="109854" spans="1:6" x14ac:dyDescent="0.25">
      <c r="A109854"/>
      <c r="B109854"/>
      <c r="C109854"/>
      <c r="E109854"/>
      <c r="F109854"/>
    </row>
    <row r="109855" spans="1:6" x14ac:dyDescent="0.25">
      <c r="A109855"/>
      <c r="B109855"/>
      <c r="C109855"/>
      <c r="E109855"/>
      <c r="F109855"/>
    </row>
    <row r="109856" spans="1:6" x14ac:dyDescent="0.25">
      <c r="A109856"/>
      <c r="B109856"/>
      <c r="C109856"/>
      <c r="E109856"/>
      <c r="F109856"/>
    </row>
    <row r="109857" spans="1:6" x14ac:dyDescent="0.25">
      <c r="A109857"/>
      <c r="B109857"/>
      <c r="C109857"/>
      <c r="E109857"/>
      <c r="F109857"/>
    </row>
    <row r="109858" spans="1:6" x14ac:dyDescent="0.25">
      <c r="A109858"/>
      <c r="B109858"/>
      <c r="C109858"/>
      <c r="E109858"/>
      <c r="F109858"/>
    </row>
    <row r="109859" spans="1:6" x14ac:dyDescent="0.25">
      <c r="A109859"/>
      <c r="B109859"/>
      <c r="C109859"/>
      <c r="E109859"/>
      <c r="F109859"/>
    </row>
    <row r="109860" spans="1:6" x14ac:dyDescent="0.25">
      <c r="A109860"/>
      <c r="B109860"/>
      <c r="C109860"/>
      <c r="E109860"/>
      <c r="F109860"/>
    </row>
    <row r="109861" spans="1:6" x14ac:dyDescent="0.25">
      <c r="A109861"/>
      <c r="B109861"/>
      <c r="C109861"/>
      <c r="E109861"/>
      <c r="F109861"/>
    </row>
    <row r="109862" spans="1:6" x14ac:dyDescent="0.25">
      <c r="A109862"/>
      <c r="B109862"/>
      <c r="C109862"/>
      <c r="E109862"/>
      <c r="F109862"/>
    </row>
    <row r="109863" spans="1:6" x14ac:dyDescent="0.25">
      <c r="A109863"/>
      <c r="B109863"/>
      <c r="C109863"/>
      <c r="E109863"/>
      <c r="F109863"/>
    </row>
    <row r="109864" spans="1:6" x14ac:dyDescent="0.25">
      <c r="A109864"/>
      <c r="B109864"/>
      <c r="C109864"/>
      <c r="E109864"/>
      <c r="F109864"/>
    </row>
    <row r="109865" spans="1:6" x14ac:dyDescent="0.25">
      <c r="A109865"/>
      <c r="B109865"/>
      <c r="C109865"/>
      <c r="E109865"/>
      <c r="F109865"/>
    </row>
    <row r="109866" spans="1:6" x14ac:dyDescent="0.25">
      <c r="A109866"/>
      <c r="B109866"/>
      <c r="C109866"/>
      <c r="E109866"/>
      <c r="F109866"/>
    </row>
    <row r="109867" spans="1:6" x14ac:dyDescent="0.25">
      <c r="A109867"/>
      <c r="B109867"/>
      <c r="C109867"/>
      <c r="E109867"/>
      <c r="F109867"/>
    </row>
    <row r="109868" spans="1:6" x14ac:dyDescent="0.25">
      <c r="A109868"/>
      <c r="B109868"/>
      <c r="C109868"/>
      <c r="E109868"/>
      <c r="F109868"/>
    </row>
    <row r="109869" spans="1:6" x14ac:dyDescent="0.25">
      <c r="A109869"/>
      <c r="B109869"/>
      <c r="C109869"/>
      <c r="E109869"/>
      <c r="F109869"/>
    </row>
    <row r="109870" spans="1:6" x14ac:dyDescent="0.25">
      <c r="A109870"/>
      <c r="B109870"/>
      <c r="C109870"/>
      <c r="E109870"/>
      <c r="F109870"/>
    </row>
    <row r="109871" spans="1:6" x14ac:dyDescent="0.25">
      <c r="A109871"/>
      <c r="B109871"/>
      <c r="C109871"/>
      <c r="E109871"/>
      <c r="F109871"/>
    </row>
    <row r="109872" spans="1:6" x14ac:dyDescent="0.25">
      <c r="A109872"/>
      <c r="B109872"/>
      <c r="C109872"/>
      <c r="E109872"/>
      <c r="F109872"/>
    </row>
    <row r="109873" spans="1:6" x14ac:dyDescent="0.25">
      <c r="A109873"/>
      <c r="B109873"/>
      <c r="C109873"/>
      <c r="E109873"/>
      <c r="F109873"/>
    </row>
    <row r="109874" spans="1:6" x14ac:dyDescent="0.25">
      <c r="A109874"/>
      <c r="B109874"/>
      <c r="C109874"/>
      <c r="E109874"/>
      <c r="F109874"/>
    </row>
    <row r="109875" spans="1:6" x14ac:dyDescent="0.25">
      <c r="A109875"/>
      <c r="B109875"/>
      <c r="C109875"/>
      <c r="E109875"/>
      <c r="F109875"/>
    </row>
    <row r="109876" spans="1:6" x14ac:dyDescent="0.25">
      <c r="A109876"/>
      <c r="B109876"/>
      <c r="C109876"/>
      <c r="E109876"/>
      <c r="F109876"/>
    </row>
    <row r="109877" spans="1:6" x14ac:dyDescent="0.25">
      <c r="A109877"/>
      <c r="B109877"/>
      <c r="C109877"/>
      <c r="E109877"/>
      <c r="F109877"/>
    </row>
    <row r="109878" spans="1:6" x14ac:dyDescent="0.25">
      <c r="A109878"/>
      <c r="B109878"/>
      <c r="C109878"/>
      <c r="E109878"/>
      <c r="F109878"/>
    </row>
    <row r="109879" spans="1:6" x14ac:dyDescent="0.25">
      <c r="A109879"/>
      <c r="B109879"/>
      <c r="C109879"/>
      <c r="E109879"/>
      <c r="F109879"/>
    </row>
    <row r="109880" spans="1:6" x14ac:dyDescent="0.25">
      <c r="A109880"/>
      <c r="B109880"/>
      <c r="C109880"/>
      <c r="E109880"/>
      <c r="F109880"/>
    </row>
    <row r="109881" spans="1:6" x14ac:dyDescent="0.25">
      <c r="A109881"/>
      <c r="B109881"/>
      <c r="C109881"/>
      <c r="E109881"/>
      <c r="F109881"/>
    </row>
    <row r="109882" spans="1:6" x14ac:dyDescent="0.25">
      <c r="A109882"/>
      <c r="B109882"/>
      <c r="C109882"/>
      <c r="E109882"/>
      <c r="F109882"/>
    </row>
    <row r="109883" spans="1:6" x14ac:dyDescent="0.25">
      <c r="A109883"/>
      <c r="B109883"/>
      <c r="C109883"/>
      <c r="E109883"/>
      <c r="F109883"/>
    </row>
    <row r="109884" spans="1:6" x14ac:dyDescent="0.25">
      <c r="A109884"/>
      <c r="B109884"/>
      <c r="C109884"/>
      <c r="E109884"/>
      <c r="F109884"/>
    </row>
    <row r="109885" spans="1:6" x14ac:dyDescent="0.25">
      <c r="A109885"/>
      <c r="B109885"/>
      <c r="C109885"/>
      <c r="E109885"/>
      <c r="F109885"/>
    </row>
    <row r="109886" spans="1:6" x14ac:dyDescent="0.25">
      <c r="A109886"/>
      <c r="B109886"/>
      <c r="C109886"/>
      <c r="E109886"/>
      <c r="F109886"/>
    </row>
    <row r="109887" spans="1:6" x14ac:dyDescent="0.25">
      <c r="A109887"/>
      <c r="B109887"/>
      <c r="C109887"/>
      <c r="E109887"/>
      <c r="F109887"/>
    </row>
    <row r="109888" spans="1:6" x14ac:dyDescent="0.25">
      <c r="A109888"/>
      <c r="B109888"/>
      <c r="C109888"/>
      <c r="E109888"/>
      <c r="F109888"/>
    </row>
    <row r="109889" spans="1:6" x14ac:dyDescent="0.25">
      <c r="A109889"/>
      <c r="B109889"/>
      <c r="C109889"/>
      <c r="E109889"/>
      <c r="F109889"/>
    </row>
    <row r="109890" spans="1:6" x14ac:dyDescent="0.25">
      <c r="A109890"/>
      <c r="B109890"/>
      <c r="C109890"/>
      <c r="E109890"/>
      <c r="F109890"/>
    </row>
    <row r="109891" spans="1:6" x14ac:dyDescent="0.25">
      <c r="A109891"/>
      <c r="B109891"/>
      <c r="C109891"/>
      <c r="E109891"/>
      <c r="F109891"/>
    </row>
    <row r="109892" spans="1:6" x14ac:dyDescent="0.25">
      <c r="A109892"/>
      <c r="B109892"/>
      <c r="C109892"/>
      <c r="E109892"/>
      <c r="F109892"/>
    </row>
    <row r="109893" spans="1:6" x14ac:dyDescent="0.25">
      <c r="A109893"/>
      <c r="B109893"/>
      <c r="C109893"/>
      <c r="E109893"/>
      <c r="F109893"/>
    </row>
    <row r="109894" spans="1:6" x14ac:dyDescent="0.25">
      <c r="A109894"/>
      <c r="B109894"/>
      <c r="C109894"/>
      <c r="E109894"/>
      <c r="F109894"/>
    </row>
    <row r="109895" spans="1:6" x14ac:dyDescent="0.25">
      <c r="A109895"/>
      <c r="B109895"/>
      <c r="C109895"/>
      <c r="E109895"/>
      <c r="F109895"/>
    </row>
    <row r="109896" spans="1:6" x14ac:dyDescent="0.25">
      <c r="A109896"/>
      <c r="B109896"/>
      <c r="C109896"/>
      <c r="E109896"/>
      <c r="F109896"/>
    </row>
    <row r="109897" spans="1:6" x14ac:dyDescent="0.25">
      <c r="A109897"/>
      <c r="B109897"/>
      <c r="C109897"/>
      <c r="E109897"/>
      <c r="F109897"/>
    </row>
    <row r="109898" spans="1:6" x14ac:dyDescent="0.25">
      <c r="A109898"/>
      <c r="B109898"/>
      <c r="C109898"/>
      <c r="E109898"/>
      <c r="F109898"/>
    </row>
    <row r="109899" spans="1:6" x14ac:dyDescent="0.25">
      <c r="A109899"/>
      <c r="B109899"/>
      <c r="C109899"/>
      <c r="E109899"/>
      <c r="F109899"/>
    </row>
    <row r="109900" spans="1:6" x14ac:dyDescent="0.25">
      <c r="A109900"/>
      <c r="B109900"/>
      <c r="C109900"/>
      <c r="E109900"/>
      <c r="F109900"/>
    </row>
    <row r="109901" spans="1:6" x14ac:dyDescent="0.25">
      <c r="A109901"/>
      <c r="B109901"/>
      <c r="C109901"/>
      <c r="E109901"/>
      <c r="F109901"/>
    </row>
    <row r="109902" spans="1:6" x14ac:dyDescent="0.25">
      <c r="A109902"/>
      <c r="B109902"/>
      <c r="C109902"/>
      <c r="E109902"/>
      <c r="F109902"/>
    </row>
    <row r="109903" spans="1:6" x14ac:dyDescent="0.25">
      <c r="A109903"/>
      <c r="B109903"/>
      <c r="C109903"/>
      <c r="E109903"/>
      <c r="F109903"/>
    </row>
    <row r="109904" spans="1:6" x14ac:dyDescent="0.25">
      <c r="A109904"/>
      <c r="B109904"/>
      <c r="C109904"/>
      <c r="E109904"/>
      <c r="F109904"/>
    </row>
    <row r="109905" spans="1:6" x14ac:dyDescent="0.25">
      <c r="A109905"/>
      <c r="B109905"/>
      <c r="C109905"/>
      <c r="E109905"/>
      <c r="F109905"/>
    </row>
    <row r="109906" spans="1:6" x14ac:dyDescent="0.25">
      <c r="A109906"/>
      <c r="B109906"/>
      <c r="C109906"/>
      <c r="E109906"/>
      <c r="F109906"/>
    </row>
    <row r="109907" spans="1:6" x14ac:dyDescent="0.25">
      <c r="A109907"/>
      <c r="B109907"/>
      <c r="C109907"/>
      <c r="E109907"/>
      <c r="F109907"/>
    </row>
    <row r="109908" spans="1:6" x14ac:dyDescent="0.25">
      <c r="A109908"/>
      <c r="B109908"/>
      <c r="C109908"/>
      <c r="E109908"/>
      <c r="F109908"/>
    </row>
    <row r="109909" spans="1:6" x14ac:dyDescent="0.25">
      <c r="A109909"/>
      <c r="B109909"/>
      <c r="C109909"/>
      <c r="E109909"/>
      <c r="F109909"/>
    </row>
    <row r="109910" spans="1:6" x14ac:dyDescent="0.25">
      <c r="A109910"/>
      <c r="B109910"/>
      <c r="C109910"/>
      <c r="E109910"/>
      <c r="F109910"/>
    </row>
    <row r="109911" spans="1:6" x14ac:dyDescent="0.25">
      <c r="A109911"/>
      <c r="B109911"/>
      <c r="C109911"/>
      <c r="E109911"/>
      <c r="F109911"/>
    </row>
    <row r="109912" spans="1:6" x14ac:dyDescent="0.25">
      <c r="A109912"/>
      <c r="B109912"/>
      <c r="C109912"/>
      <c r="E109912"/>
      <c r="F109912"/>
    </row>
    <row r="109913" spans="1:6" x14ac:dyDescent="0.25">
      <c r="A109913"/>
      <c r="B109913"/>
      <c r="C109913"/>
      <c r="E109913"/>
      <c r="F109913"/>
    </row>
    <row r="109914" spans="1:6" x14ac:dyDescent="0.25">
      <c r="A109914"/>
      <c r="B109914"/>
      <c r="C109914"/>
      <c r="E109914"/>
      <c r="F109914"/>
    </row>
    <row r="109915" spans="1:6" x14ac:dyDescent="0.25">
      <c r="A109915"/>
      <c r="B109915"/>
      <c r="C109915"/>
      <c r="E109915"/>
      <c r="F109915"/>
    </row>
    <row r="109916" spans="1:6" x14ac:dyDescent="0.25">
      <c r="A109916"/>
      <c r="B109916"/>
      <c r="C109916"/>
      <c r="E109916"/>
      <c r="F109916"/>
    </row>
    <row r="109917" spans="1:6" x14ac:dyDescent="0.25">
      <c r="A109917"/>
      <c r="B109917"/>
      <c r="C109917"/>
      <c r="E109917"/>
      <c r="F109917"/>
    </row>
    <row r="109918" spans="1:6" x14ac:dyDescent="0.25">
      <c r="A109918"/>
      <c r="B109918"/>
      <c r="C109918"/>
      <c r="E109918"/>
      <c r="F109918"/>
    </row>
    <row r="109919" spans="1:6" x14ac:dyDescent="0.25">
      <c r="A109919"/>
      <c r="B109919"/>
      <c r="C109919"/>
      <c r="E109919"/>
      <c r="F109919"/>
    </row>
    <row r="109920" spans="1:6" x14ac:dyDescent="0.25">
      <c r="A109920"/>
      <c r="B109920"/>
      <c r="C109920"/>
      <c r="E109920"/>
      <c r="F109920"/>
    </row>
    <row r="109921" spans="1:6" x14ac:dyDescent="0.25">
      <c r="A109921"/>
      <c r="B109921"/>
      <c r="C109921"/>
      <c r="E109921"/>
      <c r="F109921"/>
    </row>
    <row r="109922" spans="1:6" x14ac:dyDescent="0.25">
      <c r="A109922"/>
      <c r="B109922"/>
      <c r="C109922"/>
      <c r="E109922"/>
      <c r="F109922"/>
    </row>
    <row r="109923" spans="1:6" x14ac:dyDescent="0.25">
      <c r="A109923"/>
      <c r="B109923"/>
      <c r="C109923"/>
      <c r="E109923"/>
      <c r="F109923"/>
    </row>
    <row r="109924" spans="1:6" x14ac:dyDescent="0.25">
      <c r="A109924"/>
      <c r="B109924"/>
      <c r="C109924"/>
      <c r="E109924"/>
      <c r="F109924"/>
    </row>
    <row r="109925" spans="1:6" x14ac:dyDescent="0.25">
      <c r="A109925"/>
      <c r="B109925"/>
      <c r="C109925"/>
      <c r="E109925"/>
      <c r="F109925"/>
    </row>
    <row r="109926" spans="1:6" x14ac:dyDescent="0.25">
      <c r="A109926"/>
      <c r="B109926"/>
      <c r="C109926"/>
      <c r="E109926"/>
      <c r="F109926"/>
    </row>
    <row r="109927" spans="1:6" x14ac:dyDescent="0.25">
      <c r="A109927"/>
      <c r="B109927"/>
      <c r="C109927"/>
      <c r="E109927"/>
      <c r="F109927"/>
    </row>
    <row r="109928" spans="1:6" x14ac:dyDescent="0.25">
      <c r="A109928"/>
      <c r="B109928"/>
      <c r="C109928"/>
      <c r="E109928"/>
      <c r="F109928"/>
    </row>
    <row r="109929" spans="1:6" x14ac:dyDescent="0.25">
      <c r="A109929"/>
      <c r="B109929"/>
      <c r="C109929"/>
      <c r="E109929"/>
      <c r="F109929"/>
    </row>
    <row r="109930" spans="1:6" x14ac:dyDescent="0.25">
      <c r="A109930"/>
      <c r="B109930"/>
      <c r="C109930"/>
      <c r="E109930"/>
      <c r="F109930"/>
    </row>
    <row r="109931" spans="1:6" x14ac:dyDescent="0.25">
      <c r="A109931"/>
      <c r="B109931"/>
      <c r="C109931"/>
      <c r="E109931"/>
      <c r="F109931"/>
    </row>
    <row r="109932" spans="1:6" x14ac:dyDescent="0.25">
      <c r="A109932"/>
      <c r="B109932"/>
      <c r="C109932"/>
      <c r="E109932"/>
      <c r="F109932"/>
    </row>
    <row r="109933" spans="1:6" x14ac:dyDescent="0.25">
      <c r="A109933"/>
      <c r="B109933"/>
      <c r="C109933"/>
      <c r="E109933"/>
      <c r="F109933"/>
    </row>
    <row r="109934" spans="1:6" x14ac:dyDescent="0.25">
      <c r="A109934"/>
      <c r="B109934"/>
      <c r="C109934"/>
      <c r="E109934"/>
      <c r="F109934"/>
    </row>
    <row r="109935" spans="1:6" x14ac:dyDescent="0.25">
      <c r="A109935"/>
      <c r="B109935"/>
      <c r="C109935"/>
      <c r="E109935"/>
      <c r="F109935"/>
    </row>
    <row r="109936" spans="1:6" x14ac:dyDescent="0.25">
      <c r="A109936"/>
      <c r="B109936"/>
      <c r="C109936"/>
      <c r="E109936"/>
      <c r="F109936"/>
    </row>
    <row r="109937" spans="1:6" x14ac:dyDescent="0.25">
      <c r="A109937"/>
      <c r="B109937"/>
      <c r="C109937"/>
      <c r="E109937"/>
      <c r="F109937"/>
    </row>
    <row r="109938" spans="1:6" x14ac:dyDescent="0.25">
      <c r="A109938"/>
      <c r="B109938"/>
      <c r="C109938"/>
      <c r="E109938"/>
      <c r="F109938"/>
    </row>
    <row r="109939" spans="1:6" x14ac:dyDescent="0.25">
      <c r="A109939"/>
      <c r="B109939"/>
      <c r="C109939"/>
      <c r="E109939"/>
      <c r="F109939"/>
    </row>
    <row r="109940" spans="1:6" x14ac:dyDescent="0.25">
      <c r="A109940"/>
      <c r="B109940"/>
      <c r="C109940"/>
      <c r="E109940"/>
      <c r="F109940"/>
    </row>
    <row r="109941" spans="1:6" x14ac:dyDescent="0.25">
      <c r="A109941"/>
      <c r="B109941"/>
      <c r="C109941"/>
      <c r="E109941"/>
      <c r="F109941"/>
    </row>
    <row r="109942" spans="1:6" x14ac:dyDescent="0.25">
      <c r="A109942"/>
      <c r="B109942"/>
      <c r="C109942"/>
      <c r="E109942"/>
      <c r="F109942"/>
    </row>
    <row r="109943" spans="1:6" x14ac:dyDescent="0.25">
      <c r="A109943"/>
      <c r="B109943"/>
      <c r="C109943"/>
      <c r="E109943"/>
      <c r="F109943"/>
    </row>
    <row r="109944" spans="1:6" x14ac:dyDescent="0.25">
      <c r="A109944"/>
      <c r="B109944"/>
      <c r="C109944"/>
      <c r="E109944"/>
      <c r="F109944"/>
    </row>
    <row r="109945" spans="1:6" x14ac:dyDescent="0.25">
      <c r="A109945"/>
      <c r="B109945"/>
      <c r="C109945"/>
      <c r="E109945"/>
      <c r="F109945"/>
    </row>
    <row r="109946" spans="1:6" x14ac:dyDescent="0.25">
      <c r="A109946"/>
      <c r="B109946"/>
      <c r="C109946"/>
      <c r="E109946"/>
      <c r="F109946"/>
    </row>
    <row r="109947" spans="1:6" x14ac:dyDescent="0.25">
      <c r="A109947"/>
      <c r="B109947"/>
      <c r="C109947"/>
      <c r="E109947"/>
      <c r="F109947"/>
    </row>
    <row r="109948" spans="1:6" x14ac:dyDescent="0.25">
      <c r="A109948"/>
      <c r="B109948"/>
      <c r="C109948"/>
      <c r="E109948"/>
      <c r="F109948"/>
    </row>
    <row r="109949" spans="1:6" x14ac:dyDescent="0.25">
      <c r="A109949"/>
      <c r="B109949"/>
      <c r="C109949"/>
      <c r="E109949"/>
      <c r="F109949"/>
    </row>
    <row r="109950" spans="1:6" x14ac:dyDescent="0.25">
      <c r="A109950"/>
      <c r="B109950"/>
      <c r="C109950"/>
      <c r="E109950"/>
      <c r="F109950"/>
    </row>
    <row r="109951" spans="1:6" x14ac:dyDescent="0.25">
      <c r="A109951"/>
      <c r="B109951"/>
      <c r="C109951"/>
      <c r="E109951"/>
      <c r="F109951"/>
    </row>
    <row r="109952" spans="1:6" x14ac:dyDescent="0.25">
      <c r="A109952"/>
      <c r="B109952"/>
      <c r="C109952"/>
      <c r="E109952"/>
      <c r="F109952"/>
    </row>
    <row r="109953" spans="1:6" x14ac:dyDescent="0.25">
      <c r="A109953"/>
      <c r="B109953"/>
      <c r="C109953"/>
      <c r="E109953"/>
      <c r="F109953"/>
    </row>
    <row r="109954" spans="1:6" x14ac:dyDescent="0.25">
      <c r="A109954"/>
      <c r="B109954"/>
      <c r="C109954"/>
      <c r="E109954"/>
      <c r="F109954"/>
    </row>
    <row r="109955" spans="1:6" x14ac:dyDescent="0.25">
      <c r="A109955"/>
      <c r="B109955"/>
      <c r="C109955"/>
      <c r="E109955"/>
      <c r="F109955"/>
    </row>
    <row r="109956" spans="1:6" x14ac:dyDescent="0.25">
      <c r="A109956"/>
      <c r="B109956"/>
      <c r="C109956"/>
      <c r="E109956"/>
      <c r="F109956"/>
    </row>
    <row r="109957" spans="1:6" x14ac:dyDescent="0.25">
      <c r="A109957"/>
      <c r="B109957"/>
      <c r="C109957"/>
      <c r="E109957"/>
      <c r="F109957"/>
    </row>
    <row r="109958" spans="1:6" x14ac:dyDescent="0.25">
      <c r="A109958"/>
      <c r="B109958"/>
      <c r="C109958"/>
      <c r="E109958"/>
      <c r="F109958"/>
    </row>
    <row r="109959" spans="1:6" x14ac:dyDescent="0.25">
      <c r="A109959"/>
      <c r="B109959"/>
      <c r="C109959"/>
      <c r="E109959"/>
      <c r="F109959"/>
    </row>
    <row r="109960" spans="1:6" x14ac:dyDescent="0.25">
      <c r="A109960"/>
      <c r="B109960"/>
      <c r="C109960"/>
      <c r="E109960"/>
      <c r="F109960"/>
    </row>
    <row r="109961" spans="1:6" x14ac:dyDescent="0.25">
      <c r="A109961"/>
      <c r="B109961"/>
      <c r="C109961"/>
      <c r="E109961"/>
      <c r="F109961"/>
    </row>
    <row r="109962" spans="1:6" x14ac:dyDescent="0.25">
      <c r="A109962"/>
      <c r="B109962"/>
      <c r="C109962"/>
      <c r="E109962"/>
      <c r="F109962"/>
    </row>
    <row r="109963" spans="1:6" x14ac:dyDescent="0.25">
      <c r="A109963"/>
      <c r="B109963"/>
      <c r="C109963"/>
      <c r="E109963"/>
      <c r="F109963"/>
    </row>
    <row r="109964" spans="1:6" x14ac:dyDescent="0.25">
      <c r="A109964"/>
      <c r="B109964"/>
      <c r="C109964"/>
      <c r="E109964"/>
      <c r="F109964"/>
    </row>
    <row r="109965" spans="1:6" x14ac:dyDescent="0.25">
      <c r="A109965"/>
      <c r="B109965"/>
      <c r="C109965"/>
      <c r="E109965"/>
      <c r="F109965"/>
    </row>
    <row r="109966" spans="1:6" x14ac:dyDescent="0.25">
      <c r="A109966"/>
      <c r="B109966"/>
      <c r="C109966"/>
      <c r="E109966"/>
      <c r="F109966"/>
    </row>
    <row r="109967" spans="1:6" x14ac:dyDescent="0.25">
      <c r="A109967"/>
      <c r="B109967"/>
      <c r="C109967"/>
      <c r="E109967"/>
      <c r="F109967"/>
    </row>
    <row r="109968" spans="1:6" x14ac:dyDescent="0.25">
      <c r="A109968"/>
      <c r="B109968"/>
      <c r="C109968"/>
      <c r="E109968"/>
      <c r="F109968"/>
    </row>
    <row r="109969" spans="1:6" x14ac:dyDescent="0.25">
      <c r="A109969"/>
      <c r="B109969"/>
      <c r="C109969"/>
      <c r="E109969"/>
      <c r="F109969"/>
    </row>
    <row r="109970" spans="1:6" x14ac:dyDescent="0.25">
      <c r="A109970"/>
      <c r="B109970"/>
      <c r="C109970"/>
      <c r="E109970"/>
      <c r="F109970"/>
    </row>
    <row r="109971" spans="1:6" x14ac:dyDescent="0.25">
      <c r="A109971"/>
      <c r="B109971"/>
      <c r="C109971"/>
      <c r="E109971"/>
      <c r="F109971"/>
    </row>
    <row r="109972" spans="1:6" x14ac:dyDescent="0.25">
      <c r="A109972"/>
      <c r="B109972"/>
      <c r="C109972"/>
      <c r="E109972"/>
      <c r="F109972"/>
    </row>
    <row r="109973" spans="1:6" x14ac:dyDescent="0.25">
      <c r="A109973"/>
      <c r="B109973"/>
      <c r="C109973"/>
      <c r="E109973"/>
      <c r="F109973"/>
    </row>
    <row r="109974" spans="1:6" x14ac:dyDescent="0.25">
      <c r="A109974"/>
      <c r="B109974"/>
      <c r="C109974"/>
      <c r="E109974"/>
      <c r="F109974"/>
    </row>
    <row r="109975" spans="1:6" x14ac:dyDescent="0.25">
      <c r="A109975"/>
      <c r="B109975"/>
      <c r="C109975"/>
      <c r="E109975"/>
      <c r="F109975"/>
    </row>
    <row r="109976" spans="1:6" x14ac:dyDescent="0.25">
      <c r="A109976"/>
      <c r="B109976"/>
      <c r="C109976"/>
      <c r="E109976"/>
      <c r="F109976"/>
    </row>
    <row r="109977" spans="1:6" x14ac:dyDescent="0.25">
      <c r="A109977"/>
      <c r="B109977"/>
      <c r="C109977"/>
      <c r="E109977"/>
      <c r="F109977"/>
    </row>
    <row r="109978" spans="1:6" x14ac:dyDescent="0.25">
      <c r="A109978"/>
      <c r="B109978"/>
      <c r="C109978"/>
      <c r="E109978"/>
      <c r="F109978"/>
    </row>
    <row r="109979" spans="1:6" x14ac:dyDescent="0.25">
      <c r="A109979"/>
      <c r="B109979"/>
      <c r="C109979"/>
      <c r="E109979"/>
      <c r="F109979"/>
    </row>
    <row r="109980" spans="1:6" x14ac:dyDescent="0.25">
      <c r="A109980"/>
      <c r="B109980"/>
      <c r="C109980"/>
      <c r="E109980"/>
      <c r="F109980"/>
    </row>
    <row r="109981" spans="1:6" x14ac:dyDescent="0.25">
      <c r="A109981"/>
      <c r="B109981"/>
      <c r="C109981"/>
      <c r="E109981"/>
      <c r="F109981"/>
    </row>
    <row r="109982" spans="1:6" x14ac:dyDescent="0.25">
      <c r="A109982"/>
      <c r="B109982"/>
      <c r="C109982"/>
      <c r="E109982"/>
      <c r="F109982"/>
    </row>
    <row r="109983" spans="1:6" x14ac:dyDescent="0.25">
      <c r="A109983"/>
      <c r="B109983"/>
      <c r="C109983"/>
      <c r="E109983"/>
      <c r="F109983"/>
    </row>
    <row r="109984" spans="1:6" x14ac:dyDescent="0.25">
      <c r="A109984"/>
      <c r="B109984"/>
      <c r="C109984"/>
      <c r="E109984"/>
      <c r="F109984"/>
    </row>
    <row r="109985" spans="1:6" x14ac:dyDescent="0.25">
      <c r="A109985"/>
      <c r="B109985"/>
      <c r="C109985"/>
      <c r="E109985"/>
      <c r="F109985"/>
    </row>
    <row r="109986" spans="1:6" x14ac:dyDescent="0.25">
      <c r="A109986"/>
      <c r="B109986"/>
      <c r="C109986"/>
      <c r="E109986"/>
      <c r="F109986"/>
    </row>
    <row r="109987" spans="1:6" x14ac:dyDescent="0.25">
      <c r="A109987"/>
      <c r="B109987"/>
      <c r="C109987"/>
      <c r="E109987"/>
      <c r="F109987"/>
    </row>
    <row r="109988" spans="1:6" x14ac:dyDescent="0.25">
      <c r="A109988"/>
      <c r="B109988"/>
      <c r="C109988"/>
      <c r="E109988"/>
      <c r="F109988"/>
    </row>
    <row r="109989" spans="1:6" x14ac:dyDescent="0.25">
      <c r="A109989"/>
      <c r="B109989"/>
      <c r="C109989"/>
      <c r="E109989"/>
      <c r="F109989"/>
    </row>
    <row r="109990" spans="1:6" x14ac:dyDescent="0.25">
      <c r="A109990"/>
      <c r="B109990"/>
      <c r="C109990"/>
      <c r="E109990"/>
      <c r="F109990"/>
    </row>
    <row r="109991" spans="1:6" x14ac:dyDescent="0.25">
      <c r="A109991"/>
      <c r="B109991"/>
      <c r="C109991"/>
      <c r="E109991"/>
      <c r="F109991"/>
    </row>
    <row r="109992" spans="1:6" x14ac:dyDescent="0.25">
      <c r="A109992"/>
      <c r="B109992"/>
      <c r="C109992"/>
      <c r="E109992"/>
      <c r="F109992"/>
    </row>
    <row r="109993" spans="1:6" x14ac:dyDescent="0.25">
      <c r="A109993"/>
      <c r="B109993"/>
      <c r="C109993"/>
      <c r="E109993"/>
      <c r="F109993"/>
    </row>
    <row r="109994" spans="1:6" x14ac:dyDescent="0.25">
      <c r="A109994"/>
      <c r="B109994"/>
      <c r="C109994"/>
      <c r="E109994"/>
      <c r="F109994"/>
    </row>
    <row r="109995" spans="1:6" x14ac:dyDescent="0.25">
      <c r="A109995"/>
      <c r="B109995"/>
      <c r="C109995"/>
      <c r="E109995"/>
      <c r="F109995"/>
    </row>
    <row r="109996" spans="1:6" x14ac:dyDescent="0.25">
      <c r="A109996"/>
      <c r="B109996"/>
      <c r="C109996"/>
      <c r="E109996"/>
      <c r="F109996"/>
    </row>
    <row r="109997" spans="1:6" x14ac:dyDescent="0.25">
      <c r="A109997"/>
      <c r="B109997"/>
      <c r="C109997"/>
      <c r="E109997"/>
      <c r="F109997"/>
    </row>
    <row r="109998" spans="1:6" x14ac:dyDescent="0.25">
      <c r="A109998"/>
      <c r="B109998"/>
      <c r="C109998"/>
      <c r="E109998"/>
      <c r="F109998"/>
    </row>
    <row r="109999" spans="1:6" x14ac:dyDescent="0.25">
      <c r="A109999"/>
      <c r="B109999"/>
      <c r="C109999"/>
      <c r="E109999"/>
      <c r="F109999"/>
    </row>
    <row r="110000" spans="1:6" x14ac:dyDescent="0.25">
      <c r="A110000"/>
      <c r="B110000"/>
      <c r="C110000"/>
      <c r="E110000"/>
      <c r="F110000"/>
    </row>
    <row r="110001" spans="1:6" x14ac:dyDescent="0.25">
      <c r="A110001"/>
      <c r="B110001"/>
      <c r="C110001"/>
      <c r="E110001"/>
      <c r="F110001"/>
    </row>
    <row r="110002" spans="1:6" x14ac:dyDescent="0.25">
      <c r="A110002"/>
      <c r="B110002"/>
      <c r="C110002"/>
      <c r="E110002"/>
      <c r="F110002"/>
    </row>
    <row r="110003" spans="1:6" x14ac:dyDescent="0.25">
      <c r="A110003"/>
      <c r="B110003"/>
      <c r="C110003"/>
      <c r="E110003"/>
      <c r="F110003"/>
    </row>
    <row r="110004" spans="1:6" x14ac:dyDescent="0.25">
      <c r="A110004"/>
      <c r="B110004"/>
      <c r="C110004"/>
      <c r="E110004"/>
      <c r="F110004"/>
    </row>
    <row r="110005" spans="1:6" x14ac:dyDescent="0.25">
      <c r="A110005"/>
      <c r="B110005"/>
      <c r="C110005"/>
      <c r="E110005"/>
      <c r="F110005"/>
    </row>
    <row r="110006" spans="1:6" x14ac:dyDescent="0.25">
      <c r="A110006"/>
      <c r="B110006"/>
      <c r="C110006"/>
      <c r="E110006"/>
      <c r="F110006"/>
    </row>
    <row r="110007" spans="1:6" x14ac:dyDescent="0.25">
      <c r="A110007"/>
      <c r="B110007"/>
      <c r="C110007"/>
      <c r="E110007"/>
      <c r="F110007"/>
    </row>
    <row r="110008" spans="1:6" x14ac:dyDescent="0.25">
      <c r="A110008"/>
      <c r="B110008"/>
      <c r="C110008"/>
      <c r="E110008"/>
      <c r="F110008"/>
    </row>
    <row r="110009" spans="1:6" x14ac:dyDescent="0.25">
      <c r="A110009"/>
      <c r="B110009"/>
      <c r="C110009"/>
      <c r="E110009"/>
      <c r="F110009"/>
    </row>
    <row r="110010" spans="1:6" x14ac:dyDescent="0.25">
      <c r="A110010"/>
      <c r="B110010"/>
      <c r="C110010"/>
      <c r="E110010"/>
      <c r="F110010"/>
    </row>
    <row r="110011" spans="1:6" x14ac:dyDescent="0.25">
      <c r="A110011"/>
      <c r="B110011"/>
      <c r="C110011"/>
      <c r="E110011"/>
      <c r="F110011"/>
    </row>
    <row r="110012" spans="1:6" x14ac:dyDescent="0.25">
      <c r="A110012"/>
      <c r="B110012"/>
      <c r="C110012"/>
      <c r="E110012"/>
      <c r="F110012"/>
    </row>
    <row r="110013" spans="1:6" x14ac:dyDescent="0.25">
      <c r="A110013"/>
      <c r="B110013"/>
      <c r="C110013"/>
      <c r="E110013"/>
      <c r="F110013"/>
    </row>
    <row r="110014" spans="1:6" x14ac:dyDescent="0.25">
      <c r="A110014"/>
      <c r="B110014"/>
      <c r="C110014"/>
      <c r="E110014"/>
      <c r="F110014"/>
    </row>
    <row r="110015" spans="1:6" x14ac:dyDescent="0.25">
      <c r="A110015"/>
      <c r="B110015"/>
      <c r="C110015"/>
      <c r="E110015"/>
      <c r="F110015"/>
    </row>
    <row r="110016" spans="1:6" x14ac:dyDescent="0.25">
      <c r="A110016"/>
      <c r="B110016"/>
      <c r="C110016"/>
      <c r="E110016"/>
      <c r="F110016"/>
    </row>
    <row r="110017" spans="1:6" x14ac:dyDescent="0.25">
      <c r="A110017"/>
      <c r="B110017"/>
      <c r="C110017"/>
      <c r="E110017"/>
      <c r="F110017"/>
    </row>
    <row r="110018" spans="1:6" x14ac:dyDescent="0.25">
      <c r="A110018"/>
      <c r="B110018"/>
      <c r="C110018"/>
      <c r="E110018"/>
      <c r="F110018"/>
    </row>
    <row r="110019" spans="1:6" x14ac:dyDescent="0.25">
      <c r="A110019"/>
      <c r="B110019"/>
      <c r="C110019"/>
      <c r="E110019"/>
      <c r="F110019"/>
    </row>
    <row r="110020" spans="1:6" x14ac:dyDescent="0.25">
      <c r="A110020"/>
      <c r="B110020"/>
      <c r="C110020"/>
      <c r="E110020"/>
      <c r="F110020"/>
    </row>
    <row r="110021" spans="1:6" x14ac:dyDescent="0.25">
      <c r="A110021"/>
      <c r="B110021"/>
      <c r="C110021"/>
      <c r="E110021"/>
      <c r="F110021"/>
    </row>
    <row r="110022" spans="1:6" x14ac:dyDescent="0.25">
      <c r="A110022"/>
      <c r="B110022"/>
      <c r="C110022"/>
      <c r="E110022"/>
      <c r="F110022"/>
    </row>
    <row r="110023" spans="1:6" x14ac:dyDescent="0.25">
      <c r="A110023"/>
      <c r="B110023"/>
      <c r="C110023"/>
      <c r="E110023"/>
      <c r="F110023"/>
    </row>
    <row r="110024" spans="1:6" x14ac:dyDescent="0.25">
      <c r="A110024"/>
      <c r="B110024"/>
      <c r="C110024"/>
      <c r="E110024"/>
      <c r="F110024"/>
    </row>
    <row r="110025" spans="1:6" x14ac:dyDescent="0.25">
      <c r="A110025"/>
      <c r="B110025"/>
      <c r="C110025"/>
      <c r="E110025"/>
      <c r="F110025"/>
    </row>
    <row r="110026" spans="1:6" x14ac:dyDescent="0.25">
      <c r="A110026"/>
      <c r="B110026"/>
      <c r="C110026"/>
      <c r="E110026"/>
      <c r="F110026"/>
    </row>
    <row r="110027" spans="1:6" x14ac:dyDescent="0.25">
      <c r="A110027"/>
      <c r="B110027"/>
      <c r="C110027"/>
      <c r="E110027"/>
      <c r="F110027"/>
    </row>
    <row r="110028" spans="1:6" x14ac:dyDescent="0.25">
      <c r="A110028"/>
      <c r="B110028"/>
      <c r="C110028"/>
      <c r="E110028"/>
      <c r="F110028"/>
    </row>
    <row r="110029" spans="1:6" x14ac:dyDescent="0.25">
      <c r="A110029"/>
      <c r="B110029"/>
      <c r="C110029"/>
      <c r="E110029"/>
      <c r="F110029"/>
    </row>
    <row r="110030" spans="1:6" x14ac:dyDescent="0.25">
      <c r="A110030"/>
      <c r="B110030"/>
      <c r="C110030"/>
      <c r="E110030"/>
      <c r="F110030"/>
    </row>
    <row r="110031" spans="1:6" x14ac:dyDescent="0.25">
      <c r="A110031"/>
      <c r="B110031"/>
      <c r="C110031"/>
      <c r="E110031"/>
      <c r="F110031"/>
    </row>
    <row r="110032" spans="1:6" x14ac:dyDescent="0.25">
      <c r="A110032"/>
      <c r="B110032"/>
      <c r="C110032"/>
      <c r="E110032"/>
      <c r="F110032"/>
    </row>
    <row r="110033" spans="1:6" x14ac:dyDescent="0.25">
      <c r="A110033"/>
      <c r="B110033"/>
      <c r="C110033"/>
      <c r="E110033"/>
      <c r="F110033"/>
    </row>
    <row r="110034" spans="1:6" x14ac:dyDescent="0.25">
      <c r="A110034"/>
      <c r="B110034"/>
      <c r="C110034"/>
      <c r="E110034"/>
      <c r="F110034"/>
    </row>
    <row r="110035" spans="1:6" x14ac:dyDescent="0.25">
      <c r="A110035"/>
      <c r="B110035"/>
      <c r="C110035"/>
      <c r="E110035"/>
      <c r="F110035"/>
    </row>
    <row r="110036" spans="1:6" x14ac:dyDescent="0.25">
      <c r="A110036"/>
      <c r="B110036"/>
      <c r="C110036"/>
      <c r="E110036"/>
      <c r="F110036"/>
    </row>
    <row r="110037" spans="1:6" x14ac:dyDescent="0.25">
      <c r="A110037"/>
      <c r="B110037"/>
      <c r="C110037"/>
      <c r="E110037"/>
      <c r="F110037"/>
    </row>
    <row r="110038" spans="1:6" x14ac:dyDescent="0.25">
      <c r="A110038"/>
      <c r="B110038"/>
      <c r="C110038"/>
      <c r="E110038"/>
      <c r="F110038"/>
    </row>
    <row r="110039" spans="1:6" x14ac:dyDescent="0.25">
      <c r="A110039"/>
      <c r="B110039"/>
      <c r="C110039"/>
      <c r="E110039"/>
      <c r="F110039"/>
    </row>
    <row r="110040" spans="1:6" x14ac:dyDescent="0.25">
      <c r="A110040"/>
      <c r="B110040"/>
      <c r="C110040"/>
      <c r="E110040"/>
      <c r="F110040"/>
    </row>
    <row r="110041" spans="1:6" x14ac:dyDescent="0.25">
      <c r="A110041"/>
      <c r="B110041"/>
      <c r="C110041"/>
      <c r="E110041"/>
      <c r="F110041"/>
    </row>
    <row r="110042" spans="1:6" x14ac:dyDescent="0.25">
      <c r="A110042"/>
      <c r="B110042"/>
      <c r="C110042"/>
      <c r="E110042"/>
      <c r="F110042"/>
    </row>
    <row r="110043" spans="1:6" x14ac:dyDescent="0.25">
      <c r="A110043"/>
      <c r="B110043"/>
      <c r="C110043"/>
      <c r="E110043"/>
      <c r="F110043"/>
    </row>
    <row r="110044" spans="1:6" x14ac:dyDescent="0.25">
      <c r="A110044"/>
      <c r="B110044"/>
      <c r="C110044"/>
      <c r="E110044"/>
      <c r="F110044"/>
    </row>
    <row r="110045" spans="1:6" x14ac:dyDescent="0.25">
      <c r="A110045"/>
      <c r="B110045"/>
      <c r="C110045"/>
      <c r="E110045"/>
      <c r="F110045"/>
    </row>
    <row r="110046" spans="1:6" x14ac:dyDescent="0.25">
      <c r="A110046"/>
      <c r="B110046"/>
      <c r="C110046"/>
      <c r="E110046"/>
      <c r="F110046"/>
    </row>
    <row r="110047" spans="1:6" x14ac:dyDescent="0.25">
      <c r="A110047"/>
      <c r="B110047"/>
      <c r="C110047"/>
      <c r="E110047"/>
      <c r="F110047"/>
    </row>
    <row r="110048" spans="1:6" x14ac:dyDescent="0.25">
      <c r="A110048"/>
      <c r="B110048"/>
      <c r="C110048"/>
      <c r="E110048"/>
      <c r="F110048"/>
    </row>
    <row r="110049" spans="1:6" x14ac:dyDescent="0.25">
      <c r="A110049"/>
      <c r="B110049"/>
      <c r="C110049"/>
      <c r="E110049"/>
      <c r="F110049"/>
    </row>
    <row r="110050" spans="1:6" x14ac:dyDescent="0.25">
      <c r="A110050"/>
      <c r="B110050"/>
      <c r="C110050"/>
      <c r="E110050"/>
      <c r="F110050"/>
    </row>
    <row r="110051" spans="1:6" x14ac:dyDescent="0.25">
      <c r="A110051"/>
      <c r="B110051"/>
      <c r="C110051"/>
      <c r="E110051"/>
      <c r="F110051"/>
    </row>
    <row r="110052" spans="1:6" x14ac:dyDescent="0.25">
      <c r="A110052"/>
      <c r="B110052"/>
      <c r="C110052"/>
      <c r="E110052"/>
      <c r="F110052"/>
    </row>
    <row r="110053" spans="1:6" x14ac:dyDescent="0.25">
      <c r="A110053"/>
      <c r="B110053"/>
      <c r="C110053"/>
      <c r="E110053"/>
      <c r="F110053"/>
    </row>
    <row r="110054" spans="1:6" x14ac:dyDescent="0.25">
      <c r="A110054"/>
      <c r="B110054"/>
      <c r="C110054"/>
      <c r="E110054"/>
      <c r="F110054"/>
    </row>
    <row r="110055" spans="1:6" x14ac:dyDescent="0.25">
      <c r="A110055"/>
      <c r="B110055"/>
      <c r="C110055"/>
      <c r="E110055"/>
      <c r="F110055"/>
    </row>
    <row r="110056" spans="1:6" x14ac:dyDescent="0.25">
      <c r="A110056"/>
      <c r="B110056"/>
      <c r="C110056"/>
      <c r="E110056"/>
      <c r="F110056"/>
    </row>
    <row r="110057" spans="1:6" x14ac:dyDescent="0.25">
      <c r="A110057"/>
      <c r="B110057"/>
      <c r="C110057"/>
      <c r="E110057"/>
      <c r="F110057"/>
    </row>
    <row r="110058" spans="1:6" x14ac:dyDescent="0.25">
      <c r="A110058"/>
      <c r="B110058"/>
      <c r="C110058"/>
      <c r="E110058"/>
      <c r="F110058"/>
    </row>
    <row r="110059" spans="1:6" x14ac:dyDescent="0.25">
      <c r="A110059"/>
      <c r="B110059"/>
      <c r="C110059"/>
      <c r="E110059"/>
      <c r="F110059"/>
    </row>
    <row r="110060" spans="1:6" x14ac:dyDescent="0.25">
      <c r="A110060"/>
      <c r="B110060"/>
      <c r="C110060"/>
      <c r="E110060"/>
      <c r="F110060"/>
    </row>
    <row r="110061" spans="1:6" x14ac:dyDescent="0.25">
      <c r="A110061"/>
      <c r="B110061"/>
      <c r="C110061"/>
      <c r="E110061"/>
      <c r="F110061"/>
    </row>
    <row r="110062" spans="1:6" x14ac:dyDescent="0.25">
      <c r="A110062"/>
      <c r="B110062"/>
      <c r="C110062"/>
      <c r="E110062"/>
      <c r="F110062"/>
    </row>
    <row r="110063" spans="1:6" x14ac:dyDescent="0.25">
      <c r="A110063"/>
      <c r="B110063"/>
      <c r="C110063"/>
      <c r="E110063"/>
      <c r="F110063"/>
    </row>
    <row r="110064" spans="1:6" x14ac:dyDescent="0.25">
      <c r="A110064"/>
      <c r="B110064"/>
      <c r="C110064"/>
      <c r="E110064"/>
      <c r="F110064"/>
    </row>
    <row r="110065" spans="1:6" x14ac:dyDescent="0.25">
      <c r="A110065"/>
      <c r="B110065"/>
      <c r="C110065"/>
      <c r="E110065"/>
      <c r="F110065"/>
    </row>
    <row r="110066" spans="1:6" x14ac:dyDescent="0.25">
      <c r="A110066"/>
      <c r="B110066"/>
      <c r="C110066"/>
      <c r="E110066"/>
      <c r="F110066"/>
    </row>
    <row r="110067" spans="1:6" x14ac:dyDescent="0.25">
      <c r="A110067"/>
      <c r="B110067"/>
      <c r="C110067"/>
      <c r="E110067"/>
      <c r="F110067"/>
    </row>
    <row r="110068" spans="1:6" x14ac:dyDescent="0.25">
      <c r="A110068"/>
      <c r="B110068"/>
      <c r="C110068"/>
      <c r="E110068"/>
      <c r="F110068"/>
    </row>
    <row r="110069" spans="1:6" x14ac:dyDescent="0.25">
      <c r="A110069"/>
      <c r="B110069"/>
      <c r="C110069"/>
      <c r="E110069"/>
      <c r="F110069"/>
    </row>
    <row r="110070" spans="1:6" x14ac:dyDescent="0.25">
      <c r="A110070"/>
      <c r="B110070"/>
      <c r="C110070"/>
      <c r="E110070"/>
      <c r="F110070"/>
    </row>
    <row r="110071" spans="1:6" x14ac:dyDescent="0.25">
      <c r="A110071"/>
      <c r="B110071"/>
      <c r="C110071"/>
      <c r="E110071"/>
      <c r="F110071"/>
    </row>
    <row r="110072" spans="1:6" x14ac:dyDescent="0.25">
      <c r="A110072"/>
      <c r="B110072"/>
      <c r="C110072"/>
      <c r="E110072"/>
      <c r="F110072"/>
    </row>
    <row r="110073" spans="1:6" x14ac:dyDescent="0.25">
      <c r="A110073"/>
      <c r="B110073"/>
      <c r="C110073"/>
      <c r="E110073"/>
      <c r="F110073"/>
    </row>
    <row r="110074" spans="1:6" x14ac:dyDescent="0.25">
      <c r="A110074"/>
      <c r="B110074"/>
      <c r="C110074"/>
      <c r="E110074"/>
      <c r="F110074"/>
    </row>
    <row r="110075" spans="1:6" x14ac:dyDescent="0.25">
      <c r="A110075"/>
      <c r="B110075"/>
      <c r="C110075"/>
      <c r="E110075"/>
      <c r="F110075"/>
    </row>
    <row r="110076" spans="1:6" x14ac:dyDescent="0.25">
      <c r="A110076"/>
      <c r="B110076"/>
      <c r="C110076"/>
      <c r="E110076"/>
      <c r="F110076"/>
    </row>
    <row r="110077" spans="1:6" x14ac:dyDescent="0.25">
      <c r="A110077"/>
      <c r="B110077"/>
      <c r="C110077"/>
      <c r="E110077"/>
      <c r="F110077"/>
    </row>
    <row r="110078" spans="1:6" x14ac:dyDescent="0.25">
      <c r="A110078"/>
      <c r="B110078"/>
      <c r="C110078"/>
      <c r="E110078"/>
      <c r="F110078"/>
    </row>
    <row r="110079" spans="1:6" x14ac:dyDescent="0.25">
      <c r="A110079"/>
      <c r="B110079"/>
      <c r="C110079"/>
      <c r="E110079"/>
      <c r="F110079"/>
    </row>
    <row r="110080" spans="1:6" x14ac:dyDescent="0.25">
      <c r="A110080"/>
      <c r="B110080"/>
      <c r="C110080"/>
      <c r="E110080"/>
      <c r="F110080"/>
    </row>
    <row r="110081" spans="1:6" x14ac:dyDescent="0.25">
      <c r="A110081"/>
      <c r="B110081"/>
      <c r="C110081"/>
      <c r="E110081"/>
      <c r="F110081"/>
    </row>
    <row r="110082" spans="1:6" x14ac:dyDescent="0.25">
      <c r="A110082"/>
      <c r="B110082"/>
      <c r="C110082"/>
      <c r="E110082"/>
      <c r="F110082"/>
    </row>
    <row r="110083" spans="1:6" x14ac:dyDescent="0.25">
      <c r="A110083"/>
      <c r="B110083"/>
      <c r="C110083"/>
      <c r="E110083"/>
      <c r="F110083"/>
    </row>
    <row r="110084" spans="1:6" x14ac:dyDescent="0.25">
      <c r="A110084"/>
      <c r="B110084"/>
      <c r="C110084"/>
      <c r="E110084"/>
      <c r="F110084"/>
    </row>
    <row r="110085" spans="1:6" x14ac:dyDescent="0.25">
      <c r="A110085"/>
      <c r="B110085"/>
      <c r="C110085"/>
      <c r="E110085"/>
      <c r="F110085"/>
    </row>
    <row r="110086" spans="1:6" x14ac:dyDescent="0.25">
      <c r="A110086"/>
      <c r="B110086"/>
      <c r="C110086"/>
      <c r="E110086"/>
      <c r="F110086"/>
    </row>
    <row r="110087" spans="1:6" x14ac:dyDescent="0.25">
      <c r="A110087"/>
      <c r="B110087"/>
      <c r="C110087"/>
      <c r="E110087"/>
      <c r="F110087"/>
    </row>
    <row r="110088" spans="1:6" x14ac:dyDescent="0.25">
      <c r="A110088"/>
      <c r="B110088"/>
      <c r="C110088"/>
      <c r="E110088"/>
      <c r="F110088"/>
    </row>
    <row r="110089" spans="1:6" x14ac:dyDescent="0.25">
      <c r="A110089"/>
      <c r="B110089"/>
      <c r="C110089"/>
      <c r="E110089"/>
      <c r="F110089"/>
    </row>
    <row r="110090" spans="1:6" x14ac:dyDescent="0.25">
      <c r="A110090"/>
      <c r="B110090"/>
      <c r="C110090"/>
      <c r="E110090"/>
      <c r="F110090"/>
    </row>
    <row r="110091" spans="1:6" x14ac:dyDescent="0.25">
      <c r="A110091"/>
      <c r="B110091"/>
      <c r="C110091"/>
      <c r="E110091"/>
      <c r="F110091"/>
    </row>
    <row r="110092" spans="1:6" x14ac:dyDescent="0.25">
      <c r="A110092"/>
      <c r="B110092"/>
      <c r="C110092"/>
      <c r="E110092"/>
      <c r="F110092"/>
    </row>
    <row r="110093" spans="1:6" x14ac:dyDescent="0.25">
      <c r="A110093"/>
      <c r="B110093"/>
      <c r="C110093"/>
      <c r="E110093"/>
      <c r="F110093"/>
    </row>
    <row r="110094" spans="1:6" x14ac:dyDescent="0.25">
      <c r="A110094"/>
      <c r="B110094"/>
      <c r="C110094"/>
      <c r="E110094"/>
      <c r="F110094"/>
    </row>
    <row r="110095" spans="1:6" x14ac:dyDescent="0.25">
      <c r="A110095"/>
      <c r="B110095"/>
      <c r="C110095"/>
      <c r="E110095"/>
      <c r="F110095"/>
    </row>
    <row r="110096" spans="1:6" x14ac:dyDescent="0.25">
      <c r="A110096"/>
      <c r="B110096"/>
      <c r="C110096"/>
      <c r="E110096"/>
      <c r="F110096"/>
    </row>
    <row r="110097" spans="1:6" x14ac:dyDescent="0.25">
      <c r="A110097"/>
      <c r="B110097"/>
      <c r="C110097"/>
      <c r="E110097"/>
      <c r="F110097"/>
    </row>
    <row r="110098" spans="1:6" x14ac:dyDescent="0.25">
      <c r="A110098"/>
      <c r="B110098"/>
      <c r="C110098"/>
      <c r="E110098"/>
      <c r="F110098"/>
    </row>
    <row r="110099" spans="1:6" x14ac:dyDescent="0.25">
      <c r="A110099"/>
      <c r="B110099"/>
      <c r="C110099"/>
      <c r="E110099"/>
      <c r="F110099"/>
    </row>
    <row r="110100" spans="1:6" x14ac:dyDescent="0.25">
      <c r="A110100"/>
      <c r="B110100"/>
      <c r="C110100"/>
      <c r="E110100"/>
      <c r="F110100"/>
    </row>
    <row r="110101" spans="1:6" x14ac:dyDescent="0.25">
      <c r="A110101"/>
      <c r="B110101"/>
      <c r="C110101"/>
      <c r="E110101"/>
      <c r="F110101"/>
    </row>
    <row r="110102" spans="1:6" x14ac:dyDescent="0.25">
      <c r="A110102"/>
      <c r="B110102"/>
      <c r="C110102"/>
      <c r="E110102"/>
      <c r="F110102"/>
    </row>
    <row r="110103" spans="1:6" x14ac:dyDescent="0.25">
      <c r="A110103"/>
      <c r="B110103"/>
      <c r="C110103"/>
      <c r="E110103"/>
      <c r="F110103"/>
    </row>
    <row r="110104" spans="1:6" x14ac:dyDescent="0.25">
      <c r="A110104"/>
      <c r="B110104"/>
      <c r="C110104"/>
      <c r="E110104"/>
      <c r="F110104"/>
    </row>
    <row r="110105" spans="1:6" x14ac:dyDescent="0.25">
      <c r="A110105"/>
      <c r="B110105"/>
      <c r="C110105"/>
      <c r="E110105"/>
      <c r="F110105"/>
    </row>
    <row r="110106" spans="1:6" x14ac:dyDescent="0.25">
      <c r="A110106"/>
      <c r="B110106"/>
      <c r="C110106"/>
      <c r="E110106"/>
      <c r="F110106"/>
    </row>
    <row r="110107" spans="1:6" x14ac:dyDescent="0.25">
      <c r="A110107"/>
      <c r="B110107"/>
      <c r="C110107"/>
      <c r="E110107"/>
      <c r="F110107"/>
    </row>
    <row r="110108" spans="1:6" x14ac:dyDescent="0.25">
      <c r="A110108"/>
      <c r="B110108"/>
      <c r="C110108"/>
      <c r="E110108"/>
      <c r="F110108"/>
    </row>
    <row r="110109" spans="1:6" x14ac:dyDescent="0.25">
      <c r="A110109"/>
      <c r="B110109"/>
      <c r="C110109"/>
      <c r="E110109"/>
      <c r="F110109"/>
    </row>
    <row r="110110" spans="1:6" x14ac:dyDescent="0.25">
      <c r="A110110"/>
      <c r="B110110"/>
      <c r="C110110"/>
      <c r="E110110"/>
      <c r="F110110"/>
    </row>
    <row r="110111" spans="1:6" x14ac:dyDescent="0.25">
      <c r="A110111"/>
      <c r="B110111"/>
      <c r="C110111"/>
      <c r="E110111"/>
      <c r="F110111"/>
    </row>
    <row r="110112" spans="1:6" x14ac:dyDescent="0.25">
      <c r="A110112"/>
      <c r="B110112"/>
      <c r="C110112"/>
      <c r="E110112"/>
      <c r="F110112"/>
    </row>
    <row r="110113" spans="1:6" x14ac:dyDescent="0.25">
      <c r="A110113"/>
      <c r="B110113"/>
      <c r="C110113"/>
      <c r="E110113"/>
      <c r="F110113"/>
    </row>
    <row r="110114" spans="1:6" x14ac:dyDescent="0.25">
      <c r="A110114"/>
      <c r="B110114"/>
      <c r="C110114"/>
      <c r="E110114"/>
      <c r="F110114"/>
    </row>
    <row r="110115" spans="1:6" x14ac:dyDescent="0.25">
      <c r="A110115"/>
      <c r="B110115"/>
      <c r="C110115"/>
      <c r="E110115"/>
      <c r="F110115"/>
    </row>
    <row r="110116" spans="1:6" x14ac:dyDescent="0.25">
      <c r="A110116"/>
      <c r="B110116"/>
      <c r="C110116"/>
      <c r="E110116"/>
      <c r="F110116"/>
    </row>
    <row r="110117" spans="1:6" x14ac:dyDescent="0.25">
      <c r="A110117"/>
      <c r="B110117"/>
      <c r="C110117"/>
      <c r="E110117"/>
      <c r="F110117"/>
    </row>
    <row r="110118" spans="1:6" x14ac:dyDescent="0.25">
      <c r="A110118"/>
      <c r="B110118"/>
      <c r="C110118"/>
      <c r="E110118"/>
      <c r="F110118"/>
    </row>
    <row r="110119" spans="1:6" x14ac:dyDescent="0.25">
      <c r="A110119"/>
      <c r="B110119"/>
      <c r="C110119"/>
      <c r="E110119"/>
      <c r="F110119"/>
    </row>
    <row r="110120" spans="1:6" x14ac:dyDescent="0.25">
      <c r="A110120"/>
      <c r="B110120"/>
      <c r="C110120"/>
      <c r="E110120"/>
      <c r="F110120"/>
    </row>
    <row r="110121" spans="1:6" x14ac:dyDescent="0.25">
      <c r="A110121"/>
      <c r="B110121"/>
      <c r="C110121"/>
      <c r="E110121"/>
      <c r="F110121"/>
    </row>
    <row r="110122" spans="1:6" x14ac:dyDescent="0.25">
      <c r="A110122"/>
      <c r="B110122"/>
      <c r="C110122"/>
      <c r="E110122"/>
      <c r="F110122"/>
    </row>
    <row r="110123" spans="1:6" x14ac:dyDescent="0.25">
      <c r="A110123"/>
      <c r="B110123"/>
      <c r="C110123"/>
      <c r="E110123"/>
      <c r="F110123"/>
    </row>
    <row r="110124" spans="1:6" x14ac:dyDescent="0.25">
      <c r="A110124"/>
      <c r="B110124"/>
      <c r="C110124"/>
      <c r="E110124"/>
      <c r="F110124"/>
    </row>
    <row r="110125" spans="1:6" x14ac:dyDescent="0.25">
      <c r="A110125"/>
      <c r="B110125"/>
      <c r="C110125"/>
      <c r="E110125"/>
      <c r="F110125"/>
    </row>
    <row r="110126" spans="1:6" x14ac:dyDescent="0.25">
      <c r="A110126"/>
      <c r="B110126"/>
      <c r="C110126"/>
      <c r="E110126"/>
      <c r="F110126"/>
    </row>
    <row r="110127" spans="1:6" x14ac:dyDescent="0.25">
      <c r="A110127"/>
      <c r="B110127"/>
      <c r="C110127"/>
      <c r="E110127"/>
      <c r="F110127"/>
    </row>
    <row r="110128" spans="1:6" x14ac:dyDescent="0.25">
      <c r="A110128"/>
      <c r="B110128"/>
      <c r="C110128"/>
      <c r="E110128"/>
      <c r="F110128"/>
    </row>
    <row r="110129" spans="1:6" x14ac:dyDescent="0.25">
      <c r="A110129"/>
      <c r="B110129"/>
      <c r="C110129"/>
      <c r="E110129"/>
      <c r="F110129"/>
    </row>
    <row r="110130" spans="1:6" x14ac:dyDescent="0.25">
      <c r="A110130"/>
      <c r="B110130"/>
      <c r="C110130"/>
      <c r="E110130"/>
      <c r="F110130"/>
    </row>
    <row r="110131" spans="1:6" x14ac:dyDescent="0.25">
      <c r="A110131"/>
      <c r="B110131"/>
      <c r="C110131"/>
      <c r="E110131"/>
      <c r="F110131"/>
    </row>
    <row r="110132" spans="1:6" x14ac:dyDescent="0.25">
      <c r="A110132"/>
      <c r="B110132"/>
      <c r="C110132"/>
      <c r="E110132"/>
      <c r="F110132"/>
    </row>
    <row r="110133" spans="1:6" x14ac:dyDescent="0.25">
      <c r="A110133"/>
      <c r="B110133"/>
      <c r="C110133"/>
      <c r="E110133"/>
      <c r="F110133"/>
    </row>
    <row r="110134" spans="1:6" x14ac:dyDescent="0.25">
      <c r="A110134"/>
      <c r="B110134"/>
      <c r="C110134"/>
      <c r="E110134"/>
      <c r="F110134"/>
    </row>
    <row r="110135" spans="1:6" x14ac:dyDescent="0.25">
      <c r="A110135"/>
      <c r="B110135"/>
      <c r="C110135"/>
      <c r="E110135"/>
      <c r="F110135"/>
    </row>
    <row r="110136" spans="1:6" x14ac:dyDescent="0.25">
      <c r="A110136"/>
      <c r="B110136"/>
      <c r="C110136"/>
      <c r="E110136"/>
      <c r="F110136"/>
    </row>
    <row r="110137" spans="1:6" x14ac:dyDescent="0.25">
      <c r="A110137"/>
      <c r="B110137"/>
      <c r="C110137"/>
      <c r="E110137"/>
      <c r="F110137"/>
    </row>
    <row r="110138" spans="1:6" x14ac:dyDescent="0.25">
      <c r="A110138"/>
      <c r="B110138"/>
      <c r="C110138"/>
      <c r="E110138"/>
      <c r="F110138"/>
    </row>
    <row r="110139" spans="1:6" x14ac:dyDescent="0.25">
      <c r="A110139"/>
      <c r="B110139"/>
      <c r="C110139"/>
      <c r="E110139"/>
      <c r="F110139"/>
    </row>
    <row r="110140" spans="1:6" x14ac:dyDescent="0.25">
      <c r="A110140"/>
      <c r="B110140"/>
      <c r="C110140"/>
      <c r="E110140"/>
      <c r="F110140"/>
    </row>
    <row r="110141" spans="1:6" x14ac:dyDescent="0.25">
      <c r="A110141"/>
      <c r="B110141"/>
      <c r="C110141"/>
      <c r="E110141"/>
      <c r="F110141"/>
    </row>
    <row r="110142" spans="1:6" x14ac:dyDescent="0.25">
      <c r="A110142"/>
      <c r="B110142"/>
      <c r="C110142"/>
      <c r="E110142"/>
      <c r="F110142"/>
    </row>
    <row r="110143" spans="1:6" x14ac:dyDescent="0.25">
      <c r="A110143"/>
      <c r="B110143"/>
      <c r="C110143"/>
      <c r="E110143"/>
      <c r="F110143"/>
    </row>
    <row r="110144" spans="1:6" x14ac:dyDescent="0.25">
      <c r="A110144"/>
      <c r="B110144"/>
      <c r="C110144"/>
      <c r="E110144"/>
      <c r="F110144"/>
    </row>
    <row r="110145" spans="1:6" x14ac:dyDescent="0.25">
      <c r="A110145"/>
      <c r="B110145"/>
      <c r="C110145"/>
      <c r="E110145"/>
      <c r="F110145"/>
    </row>
    <row r="110146" spans="1:6" x14ac:dyDescent="0.25">
      <c r="A110146"/>
      <c r="B110146"/>
      <c r="C110146"/>
      <c r="E110146"/>
      <c r="F110146"/>
    </row>
    <row r="110147" spans="1:6" x14ac:dyDescent="0.25">
      <c r="A110147"/>
      <c r="B110147"/>
      <c r="C110147"/>
      <c r="E110147"/>
      <c r="F110147"/>
    </row>
    <row r="110148" spans="1:6" x14ac:dyDescent="0.25">
      <c r="A110148"/>
      <c r="B110148"/>
      <c r="C110148"/>
      <c r="E110148"/>
      <c r="F110148"/>
    </row>
    <row r="110149" spans="1:6" x14ac:dyDescent="0.25">
      <c r="A110149"/>
      <c r="B110149"/>
      <c r="C110149"/>
      <c r="E110149"/>
      <c r="F110149"/>
    </row>
    <row r="110150" spans="1:6" x14ac:dyDescent="0.25">
      <c r="A110150"/>
      <c r="B110150"/>
      <c r="C110150"/>
      <c r="E110150"/>
      <c r="F110150"/>
    </row>
    <row r="110151" spans="1:6" x14ac:dyDescent="0.25">
      <c r="A110151"/>
      <c r="B110151"/>
      <c r="C110151"/>
      <c r="E110151"/>
      <c r="F110151"/>
    </row>
    <row r="110152" spans="1:6" x14ac:dyDescent="0.25">
      <c r="A110152"/>
      <c r="B110152"/>
      <c r="C110152"/>
      <c r="E110152"/>
      <c r="F110152"/>
    </row>
    <row r="110153" spans="1:6" x14ac:dyDescent="0.25">
      <c r="A110153"/>
      <c r="B110153"/>
      <c r="C110153"/>
      <c r="E110153"/>
      <c r="F110153"/>
    </row>
    <row r="110154" spans="1:6" x14ac:dyDescent="0.25">
      <c r="A110154"/>
      <c r="B110154"/>
      <c r="C110154"/>
      <c r="E110154"/>
      <c r="F110154"/>
    </row>
    <row r="110155" spans="1:6" x14ac:dyDescent="0.25">
      <c r="A110155"/>
      <c r="B110155"/>
      <c r="C110155"/>
      <c r="E110155"/>
      <c r="F110155"/>
    </row>
    <row r="110156" spans="1:6" x14ac:dyDescent="0.25">
      <c r="A110156"/>
      <c r="B110156"/>
      <c r="C110156"/>
      <c r="E110156"/>
      <c r="F110156"/>
    </row>
    <row r="110157" spans="1:6" x14ac:dyDescent="0.25">
      <c r="A110157"/>
      <c r="B110157"/>
      <c r="C110157"/>
      <c r="E110157"/>
      <c r="F110157"/>
    </row>
    <row r="110158" spans="1:6" x14ac:dyDescent="0.25">
      <c r="A110158"/>
      <c r="B110158"/>
      <c r="C110158"/>
      <c r="E110158"/>
      <c r="F110158"/>
    </row>
    <row r="110159" spans="1:6" x14ac:dyDescent="0.25">
      <c r="A110159"/>
      <c r="B110159"/>
      <c r="C110159"/>
      <c r="E110159"/>
      <c r="F110159"/>
    </row>
    <row r="110160" spans="1:6" x14ac:dyDescent="0.25">
      <c r="A110160"/>
      <c r="B110160"/>
      <c r="C110160"/>
      <c r="E110160"/>
      <c r="F110160"/>
    </row>
    <row r="110161" spans="1:6" x14ac:dyDescent="0.25">
      <c r="A110161"/>
      <c r="B110161"/>
      <c r="C110161"/>
      <c r="E110161"/>
      <c r="F110161"/>
    </row>
    <row r="110162" spans="1:6" x14ac:dyDescent="0.25">
      <c r="A110162"/>
      <c r="B110162"/>
      <c r="C110162"/>
      <c r="E110162"/>
      <c r="F110162"/>
    </row>
    <row r="110163" spans="1:6" x14ac:dyDescent="0.25">
      <c r="A110163"/>
      <c r="B110163"/>
      <c r="C110163"/>
      <c r="E110163"/>
      <c r="F110163"/>
    </row>
    <row r="110164" spans="1:6" x14ac:dyDescent="0.25">
      <c r="A110164"/>
      <c r="B110164"/>
      <c r="C110164"/>
      <c r="E110164"/>
      <c r="F110164"/>
    </row>
    <row r="110165" spans="1:6" x14ac:dyDescent="0.25">
      <c r="A110165"/>
      <c r="B110165"/>
      <c r="C110165"/>
      <c r="E110165"/>
      <c r="F110165"/>
    </row>
    <row r="110166" spans="1:6" x14ac:dyDescent="0.25">
      <c r="A110166"/>
      <c r="B110166"/>
      <c r="C110166"/>
      <c r="E110166"/>
      <c r="F110166"/>
    </row>
    <row r="110167" spans="1:6" x14ac:dyDescent="0.25">
      <c r="A110167"/>
      <c r="B110167"/>
      <c r="C110167"/>
      <c r="E110167"/>
      <c r="F110167"/>
    </row>
    <row r="110168" spans="1:6" x14ac:dyDescent="0.25">
      <c r="A110168"/>
      <c r="B110168"/>
      <c r="C110168"/>
      <c r="E110168"/>
      <c r="F110168"/>
    </row>
    <row r="110169" spans="1:6" x14ac:dyDescent="0.25">
      <c r="A110169"/>
      <c r="B110169"/>
      <c r="C110169"/>
      <c r="E110169"/>
      <c r="F110169"/>
    </row>
    <row r="110170" spans="1:6" x14ac:dyDescent="0.25">
      <c r="A110170"/>
      <c r="B110170"/>
      <c r="C110170"/>
      <c r="E110170"/>
      <c r="F110170"/>
    </row>
    <row r="110171" spans="1:6" x14ac:dyDescent="0.25">
      <c r="A110171"/>
      <c r="B110171"/>
      <c r="C110171"/>
      <c r="E110171"/>
      <c r="F110171"/>
    </row>
    <row r="110172" spans="1:6" x14ac:dyDescent="0.25">
      <c r="A110172"/>
      <c r="B110172"/>
      <c r="C110172"/>
      <c r="E110172"/>
      <c r="F110172"/>
    </row>
    <row r="110173" spans="1:6" x14ac:dyDescent="0.25">
      <c r="A110173"/>
      <c r="B110173"/>
      <c r="C110173"/>
      <c r="E110173"/>
      <c r="F110173"/>
    </row>
    <row r="110174" spans="1:6" x14ac:dyDescent="0.25">
      <c r="A110174"/>
      <c r="B110174"/>
      <c r="C110174"/>
      <c r="E110174"/>
      <c r="F110174"/>
    </row>
    <row r="110175" spans="1:6" x14ac:dyDescent="0.25">
      <c r="A110175"/>
      <c r="B110175"/>
      <c r="C110175"/>
      <c r="E110175"/>
      <c r="F110175"/>
    </row>
    <row r="110176" spans="1:6" x14ac:dyDescent="0.25">
      <c r="A110176"/>
      <c r="B110176"/>
      <c r="C110176"/>
      <c r="E110176"/>
      <c r="F110176"/>
    </row>
    <row r="110177" spans="1:6" x14ac:dyDescent="0.25">
      <c r="A110177"/>
      <c r="B110177"/>
      <c r="C110177"/>
      <c r="E110177"/>
      <c r="F110177"/>
    </row>
    <row r="110178" spans="1:6" x14ac:dyDescent="0.25">
      <c r="A110178"/>
      <c r="B110178"/>
      <c r="C110178"/>
      <c r="E110178"/>
      <c r="F110178"/>
    </row>
    <row r="110179" spans="1:6" x14ac:dyDescent="0.25">
      <c r="A110179"/>
      <c r="B110179"/>
      <c r="C110179"/>
      <c r="E110179"/>
      <c r="F110179"/>
    </row>
    <row r="110180" spans="1:6" x14ac:dyDescent="0.25">
      <c r="A110180"/>
      <c r="B110180"/>
      <c r="C110180"/>
      <c r="E110180"/>
      <c r="F110180"/>
    </row>
    <row r="110181" spans="1:6" x14ac:dyDescent="0.25">
      <c r="A110181"/>
      <c r="B110181"/>
      <c r="C110181"/>
      <c r="E110181"/>
      <c r="F110181"/>
    </row>
    <row r="110182" spans="1:6" x14ac:dyDescent="0.25">
      <c r="A110182"/>
      <c r="B110182"/>
      <c r="C110182"/>
      <c r="E110182"/>
      <c r="F110182"/>
    </row>
    <row r="110183" spans="1:6" x14ac:dyDescent="0.25">
      <c r="A110183"/>
      <c r="B110183"/>
      <c r="C110183"/>
      <c r="E110183"/>
      <c r="F110183"/>
    </row>
    <row r="110184" spans="1:6" x14ac:dyDescent="0.25">
      <c r="A110184"/>
      <c r="B110184"/>
      <c r="C110184"/>
      <c r="E110184"/>
      <c r="F110184"/>
    </row>
    <row r="110185" spans="1:6" x14ac:dyDescent="0.25">
      <c r="A110185"/>
      <c r="B110185"/>
      <c r="C110185"/>
      <c r="E110185"/>
      <c r="F110185"/>
    </row>
    <row r="110186" spans="1:6" x14ac:dyDescent="0.25">
      <c r="A110186"/>
      <c r="B110186"/>
      <c r="C110186"/>
      <c r="E110186"/>
      <c r="F110186"/>
    </row>
    <row r="110187" spans="1:6" x14ac:dyDescent="0.25">
      <c r="A110187"/>
      <c r="B110187"/>
      <c r="C110187"/>
      <c r="E110187"/>
      <c r="F110187"/>
    </row>
    <row r="110188" spans="1:6" x14ac:dyDescent="0.25">
      <c r="A110188"/>
      <c r="B110188"/>
      <c r="C110188"/>
      <c r="E110188"/>
      <c r="F110188"/>
    </row>
    <row r="110189" spans="1:6" x14ac:dyDescent="0.25">
      <c r="A110189"/>
      <c r="B110189"/>
      <c r="C110189"/>
      <c r="E110189"/>
      <c r="F110189"/>
    </row>
    <row r="110190" spans="1:6" x14ac:dyDescent="0.25">
      <c r="A110190"/>
      <c r="B110190"/>
      <c r="C110190"/>
      <c r="E110190"/>
      <c r="F110190"/>
    </row>
    <row r="110191" spans="1:6" x14ac:dyDescent="0.25">
      <c r="A110191"/>
      <c r="B110191"/>
      <c r="C110191"/>
      <c r="E110191"/>
      <c r="F110191"/>
    </row>
    <row r="110192" spans="1:6" x14ac:dyDescent="0.25">
      <c r="A110192"/>
      <c r="B110192"/>
      <c r="C110192"/>
      <c r="E110192"/>
      <c r="F110192"/>
    </row>
    <row r="110193" spans="1:6" x14ac:dyDescent="0.25">
      <c r="A110193"/>
      <c r="B110193"/>
      <c r="C110193"/>
      <c r="E110193"/>
      <c r="F110193"/>
    </row>
    <row r="110194" spans="1:6" x14ac:dyDescent="0.25">
      <c r="A110194"/>
      <c r="B110194"/>
      <c r="C110194"/>
      <c r="E110194"/>
      <c r="F110194"/>
    </row>
    <row r="110195" spans="1:6" x14ac:dyDescent="0.25">
      <c r="A110195"/>
      <c r="B110195"/>
      <c r="C110195"/>
      <c r="E110195"/>
      <c r="F110195"/>
    </row>
    <row r="110196" spans="1:6" x14ac:dyDescent="0.25">
      <c r="A110196"/>
      <c r="B110196"/>
      <c r="C110196"/>
      <c r="E110196"/>
      <c r="F110196"/>
    </row>
    <row r="110197" spans="1:6" x14ac:dyDescent="0.25">
      <c r="A110197"/>
      <c r="B110197"/>
      <c r="C110197"/>
      <c r="E110197"/>
      <c r="F110197"/>
    </row>
    <row r="110198" spans="1:6" x14ac:dyDescent="0.25">
      <c r="A110198"/>
      <c r="B110198"/>
      <c r="C110198"/>
      <c r="E110198"/>
      <c r="F110198"/>
    </row>
    <row r="110199" spans="1:6" x14ac:dyDescent="0.25">
      <c r="A110199"/>
      <c r="B110199"/>
      <c r="C110199"/>
      <c r="E110199"/>
      <c r="F110199"/>
    </row>
    <row r="110200" spans="1:6" x14ac:dyDescent="0.25">
      <c r="A110200"/>
      <c r="B110200"/>
      <c r="C110200"/>
      <c r="E110200"/>
      <c r="F110200"/>
    </row>
    <row r="110201" spans="1:6" x14ac:dyDescent="0.25">
      <c r="A110201"/>
      <c r="B110201"/>
      <c r="C110201"/>
      <c r="E110201"/>
      <c r="F110201"/>
    </row>
    <row r="110202" spans="1:6" x14ac:dyDescent="0.25">
      <c r="A110202"/>
      <c r="B110202"/>
      <c r="C110202"/>
      <c r="E110202"/>
      <c r="F110202"/>
    </row>
    <row r="110203" spans="1:6" x14ac:dyDescent="0.25">
      <c r="A110203"/>
      <c r="B110203"/>
      <c r="C110203"/>
      <c r="E110203"/>
      <c r="F110203"/>
    </row>
    <row r="110204" spans="1:6" x14ac:dyDescent="0.25">
      <c r="A110204"/>
      <c r="B110204"/>
      <c r="C110204"/>
      <c r="E110204"/>
      <c r="F110204"/>
    </row>
    <row r="110205" spans="1:6" x14ac:dyDescent="0.25">
      <c r="A110205"/>
      <c r="B110205"/>
      <c r="C110205"/>
      <c r="E110205"/>
      <c r="F110205"/>
    </row>
    <row r="110206" spans="1:6" x14ac:dyDescent="0.25">
      <c r="A110206"/>
      <c r="B110206"/>
      <c r="C110206"/>
      <c r="E110206"/>
      <c r="F110206"/>
    </row>
    <row r="110207" spans="1:6" x14ac:dyDescent="0.25">
      <c r="A110207"/>
      <c r="B110207"/>
      <c r="C110207"/>
      <c r="E110207"/>
      <c r="F110207"/>
    </row>
    <row r="110208" spans="1:6" x14ac:dyDescent="0.25">
      <c r="A110208"/>
      <c r="B110208"/>
      <c r="C110208"/>
      <c r="E110208"/>
      <c r="F110208"/>
    </row>
    <row r="110209" spans="1:6" x14ac:dyDescent="0.25">
      <c r="A110209"/>
      <c r="B110209"/>
      <c r="C110209"/>
      <c r="E110209"/>
      <c r="F110209"/>
    </row>
    <row r="110210" spans="1:6" x14ac:dyDescent="0.25">
      <c r="A110210"/>
      <c r="B110210"/>
      <c r="C110210"/>
      <c r="E110210"/>
      <c r="F110210"/>
    </row>
    <row r="110211" spans="1:6" x14ac:dyDescent="0.25">
      <c r="A110211"/>
      <c r="B110211"/>
      <c r="C110211"/>
      <c r="E110211"/>
      <c r="F110211"/>
    </row>
    <row r="110212" spans="1:6" x14ac:dyDescent="0.25">
      <c r="A110212"/>
      <c r="B110212"/>
      <c r="C110212"/>
      <c r="E110212"/>
      <c r="F110212"/>
    </row>
    <row r="110213" spans="1:6" x14ac:dyDescent="0.25">
      <c r="A110213"/>
      <c r="B110213"/>
      <c r="C110213"/>
      <c r="E110213"/>
      <c r="F110213"/>
    </row>
    <row r="110214" spans="1:6" x14ac:dyDescent="0.25">
      <c r="A110214"/>
      <c r="B110214"/>
      <c r="C110214"/>
      <c r="E110214"/>
      <c r="F110214"/>
    </row>
    <row r="110215" spans="1:6" x14ac:dyDescent="0.25">
      <c r="A110215"/>
      <c r="B110215"/>
      <c r="C110215"/>
      <c r="E110215"/>
      <c r="F110215"/>
    </row>
    <row r="110216" spans="1:6" x14ac:dyDescent="0.25">
      <c r="A110216"/>
      <c r="B110216"/>
      <c r="C110216"/>
      <c r="E110216"/>
      <c r="F110216"/>
    </row>
    <row r="110217" spans="1:6" x14ac:dyDescent="0.25">
      <c r="A110217"/>
      <c r="B110217"/>
      <c r="C110217"/>
      <c r="E110217"/>
      <c r="F110217"/>
    </row>
    <row r="110218" spans="1:6" x14ac:dyDescent="0.25">
      <c r="A110218"/>
      <c r="B110218"/>
      <c r="C110218"/>
      <c r="E110218"/>
      <c r="F110218"/>
    </row>
    <row r="110219" spans="1:6" x14ac:dyDescent="0.25">
      <c r="A110219"/>
      <c r="B110219"/>
      <c r="C110219"/>
      <c r="E110219"/>
      <c r="F110219"/>
    </row>
    <row r="110220" spans="1:6" x14ac:dyDescent="0.25">
      <c r="A110220"/>
      <c r="B110220"/>
      <c r="C110220"/>
      <c r="E110220"/>
      <c r="F110220"/>
    </row>
    <row r="110221" spans="1:6" x14ac:dyDescent="0.25">
      <c r="A110221"/>
      <c r="B110221"/>
      <c r="C110221"/>
      <c r="E110221"/>
      <c r="F110221"/>
    </row>
    <row r="110222" spans="1:6" x14ac:dyDescent="0.25">
      <c r="A110222"/>
      <c r="B110222"/>
      <c r="C110222"/>
      <c r="E110222"/>
      <c r="F110222"/>
    </row>
    <row r="110223" spans="1:6" x14ac:dyDescent="0.25">
      <c r="A110223"/>
      <c r="B110223"/>
      <c r="C110223"/>
      <c r="E110223"/>
      <c r="F110223"/>
    </row>
    <row r="110224" spans="1:6" x14ac:dyDescent="0.25">
      <c r="A110224"/>
      <c r="B110224"/>
      <c r="C110224"/>
      <c r="E110224"/>
      <c r="F110224"/>
    </row>
    <row r="110225" spans="1:6" x14ac:dyDescent="0.25">
      <c r="A110225"/>
      <c r="B110225"/>
      <c r="C110225"/>
      <c r="E110225"/>
      <c r="F110225"/>
    </row>
    <row r="110226" spans="1:6" x14ac:dyDescent="0.25">
      <c r="A110226"/>
      <c r="B110226"/>
      <c r="C110226"/>
      <c r="E110226"/>
      <c r="F110226"/>
    </row>
    <row r="110227" spans="1:6" x14ac:dyDescent="0.25">
      <c r="A110227"/>
      <c r="B110227"/>
      <c r="C110227"/>
      <c r="E110227"/>
      <c r="F110227"/>
    </row>
    <row r="110228" spans="1:6" x14ac:dyDescent="0.25">
      <c r="A110228"/>
      <c r="B110228"/>
      <c r="C110228"/>
      <c r="E110228"/>
      <c r="F110228"/>
    </row>
    <row r="110229" spans="1:6" x14ac:dyDescent="0.25">
      <c r="A110229"/>
      <c r="B110229"/>
      <c r="C110229"/>
      <c r="E110229"/>
      <c r="F110229"/>
    </row>
    <row r="110230" spans="1:6" x14ac:dyDescent="0.25">
      <c r="A110230"/>
      <c r="B110230"/>
      <c r="C110230"/>
      <c r="E110230"/>
      <c r="F110230"/>
    </row>
    <row r="110231" spans="1:6" x14ac:dyDescent="0.25">
      <c r="A110231"/>
      <c r="B110231"/>
      <c r="C110231"/>
      <c r="E110231"/>
      <c r="F110231"/>
    </row>
    <row r="110232" spans="1:6" x14ac:dyDescent="0.25">
      <c r="A110232"/>
      <c r="B110232"/>
      <c r="C110232"/>
      <c r="E110232"/>
      <c r="F110232"/>
    </row>
    <row r="110233" spans="1:6" x14ac:dyDescent="0.25">
      <c r="A110233"/>
      <c r="B110233"/>
      <c r="C110233"/>
      <c r="E110233"/>
      <c r="F110233"/>
    </row>
    <row r="110234" spans="1:6" x14ac:dyDescent="0.25">
      <c r="A110234"/>
      <c r="B110234"/>
      <c r="C110234"/>
      <c r="E110234"/>
      <c r="F110234"/>
    </row>
    <row r="110235" spans="1:6" x14ac:dyDescent="0.25">
      <c r="A110235"/>
      <c r="B110235"/>
      <c r="C110235"/>
      <c r="E110235"/>
      <c r="F110235"/>
    </row>
    <row r="110236" spans="1:6" x14ac:dyDescent="0.25">
      <c r="A110236"/>
      <c r="B110236"/>
      <c r="C110236"/>
      <c r="E110236"/>
      <c r="F110236"/>
    </row>
    <row r="110237" spans="1:6" x14ac:dyDescent="0.25">
      <c r="A110237"/>
      <c r="B110237"/>
      <c r="C110237"/>
      <c r="E110237"/>
      <c r="F110237"/>
    </row>
    <row r="110238" spans="1:6" x14ac:dyDescent="0.25">
      <c r="A110238"/>
      <c r="B110238"/>
      <c r="C110238"/>
      <c r="E110238"/>
      <c r="F110238"/>
    </row>
    <row r="110239" spans="1:6" x14ac:dyDescent="0.25">
      <c r="A110239"/>
      <c r="B110239"/>
      <c r="C110239"/>
      <c r="E110239"/>
      <c r="F110239"/>
    </row>
    <row r="110240" spans="1:6" x14ac:dyDescent="0.25">
      <c r="A110240"/>
      <c r="B110240"/>
      <c r="C110240"/>
      <c r="E110240"/>
      <c r="F110240"/>
    </row>
    <row r="110241" spans="1:6" x14ac:dyDescent="0.25">
      <c r="A110241"/>
      <c r="B110241"/>
      <c r="C110241"/>
      <c r="E110241"/>
      <c r="F110241"/>
    </row>
    <row r="110242" spans="1:6" x14ac:dyDescent="0.25">
      <c r="A110242"/>
      <c r="B110242"/>
      <c r="C110242"/>
      <c r="E110242"/>
      <c r="F110242"/>
    </row>
    <row r="110243" spans="1:6" x14ac:dyDescent="0.25">
      <c r="A110243"/>
      <c r="B110243"/>
      <c r="C110243"/>
      <c r="E110243"/>
      <c r="F110243"/>
    </row>
    <row r="110244" spans="1:6" x14ac:dyDescent="0.25">
      <c r="A110244"/>
      <c r="B110244"/>
      <c r="C110244"/>
      <c r="E110244"/>
      <c r="F110244"/>
    </row>
    <row r="110245" spans="1:6" x14ac:dyDescent="0.25">
      <c r="A110245"/>
      <c r="B110245"/>
      <c r="C110245"/>
      <c r="E110245"/>
      <c r="F110245"/>
    </row>
    <row r="110246" spans="1:6" x14ac:dyDescent="0.25">
      <c r="A110246"/>
      <c r="B110246"/>
      <c r="C110246"/>
      <c r="E110246"/>
      <c r="F110246"/>
    </row>
    <row r="110247" spans="1:6" x14ac:dyDescent="0.25">
      <c r="A110247"/>
      <c r="B110247"/>
      <c r="C110247"/>
      <c r="E110247"/>
      <c r="F110247"/>
    </row>
    <row r="110248" spans="1:6" x14ac:dyDescent="0.25">
      <c r="A110248"/>
      <c r="B110248"/>
      <c r="C110248"/>
      <c r="E110248"/>
      <c r="F110248"/>
    </row>
    <row r="110249" spans="1:6" x14ac:dyDescent="0.25">
      <c r="A110249"/>
      <c r="B110249"/>
      <c r="C110249"/>
      <c r="E110249"/>
      <c r="F110249"/>
    </row>
    <row r="110250" spans="1:6" x14ac:dyDescent="0.25">
      <c r="A110250"/>
      <c r="B110250"/>
      <c r="C110250"/>
      <c r="E110250"/>
      <c r="F110250"/>
    </row>
    <row r="110251" spans="1:6" x14ac:dyDescent="0.25">
      <c r="A110251"/>
      <c r="B110251"/>
      <c r="C110251"/>
      <c r="E110251"/>
      <c r="F110251"/>
    </row>
    <row r="110252" spans="1:6" x14ac:dyDescent="0.25">
      <c r="A110252"/>
      <c r="B110252"/>
      <c r="C110252"/>
      <c r="E110252"/>
      <c r="F110252"/>
    </row>
    <row r="110253" spans="1:6" x14ac:dyDescent="0.25">
      <c r="A110253"/>
      <c r="B110253"/>
      <c r="C110253"/>
      <c r="E110253"/>
      <c r="F110253"/>
    </row>
    <row r="110254" spans="1:6" x14ac:dyDescent="0.25">
      <c r="A110254"/>
      <c r="B110254"/>
      <c r="C110254"/>
      <c r="E110254"/>
      <c r="F110254"/>
    </row>
    <row r="110255" spans="1:6" x14ac:dyDescent="0.25">
      <c r="A110255"/>
      <c r="B110255"/>
      <c r="C110255"/>
      <c r="E110255"/>
      <c r="F110255"/>
    </row>
    <row r="110256" spans="1:6" x14ac:dyDescent="0.25">
      <c r="A110256"/>
      <c r="B110256"/>
      <c r="C110256"/>
      <c r="E110256"/>
      <c r="F110256"/>
    </row>
    <row r="110257" spans="1:6" x14ac:dyDescent="0.25">
      <c r="A110257"/>
      <c r="B110257"/>
      <c r="C110257"/>
      <c r="E110257"/>
      <c r="F110257"/>
    </row>
    <row r="110258" spans="1:6" x14ac:dyDescent="0.25">
      <c r="A110258"/>
      <c r="B110258"/>
      <c r="C110258"/>
      <c r="E110258"/>
      <c r="F110258"/>
    </row>
    <row r="110259" spans="1:6" x14ac:dyDescent="0.25">
      <c r="A110259"/>
      <c r="B110259"/>
      <c r="C110259"/>
      <c r="E110259"/>
      <c r="F110259"/>
    </row>
    <row r="110260" spans="1:6" x14ac:dyDescent="0.25">
      <c r="A110260"/>
      <c r="B110260"/>
      <c r="C110260"/>
      <c r="E110260"/>
      <c r="F110260"/>
    </row>
    <row r="110261" spans="1:6" x14ac:dyDescent="0.25">
      <c r="A110261"/>
      <c r="B110261"/>
      <c r="C110261"/>
      <c r="E110261"/>
      <c r="F110261"/>
    </row>
    <row r="110262" spans="1:6" x14ac:dyDescent="0.25">
      <c r="A110262"/>
      <c r="B110262"/>
      <c r="C110262"/>
      <c r="E110262"/>
      <c r="F110262"/>
    </row>
    <row r="110263" spans="1:6" x14ac:dyDescent="0.25">
      <c r="A110263"/>
      <c r="B110263"/>
      <c r="C110263"/>
      <c r="E110263"/>
      <c r="F110263"/>
    </row>
    <row r="110264" spans="1:6" x14ac:dyDescent="0.25">
      <c r="A110264"/>
      <c r="B110264"/>
      <c r="C110264"/>
      <c r="E110264"/>
      <c r="F110264"/>
    </row>
    <row r="110265" spans="1:6" x14ac:dyDescent="0.25">
      <c r="A110265"/>
      <c r="B110265"/>
      <c r="C110265"/>
      <c r="E110265"/>
      <c r="F110265"/>
    </row>
    <row r="110266" spans="1:6" x14ac:dyDescent="0.25">
      <c r="A110266"/>
      <c r="B110266"/>
      <c r="C110266"/>
      <c r="E110266"/>
      <c r="F110266"/>
    </row>
    <row r="110267" spans="1:6" x14ac:dyDescent="0.25">
      <c r="A110267"/>
      <c r="B110267"/>
      <c r="C110267"/>
      <c r="E110267"/>
      <c r="F110267"/>
    </row>
    <row r="110268" spans="1:6" x14ac:dyDescent="0.25">
      <c r="A110268"/>
      <c r="B110268"/>
      <c r="C110268"/>
      <c r="E110268"/>
      <c r="F110268"/>
    </row>
    <row r="110269" spans="1:6" x14ac:dyDescent="0.25">
      <c r="A110269"/>
      <c r="B110269"/>
      <c r="C110269"/>
      <c r="E110269"/>
      <c r="F110269"/>
    </row>
    <row r="110270" spans="1:6" x14ac:dyDescent="0.25">
      <c r="A110270"/>
      <c r="B110270"/>
      <c r="C110270"/>
      <c r="E110270"/>
      <c r="F110270"/>
    </row>
    <row r="110271" spans="1:6" x14ac:dyDescent="0.25">
      <c r="A110271"/>
      <c r="B110271"/>
      <c r="C110271"/>
      <c r="E110271"/>
      <c r="F110271"/>
    </row>
    <row r="110272" spans="1:6" x14ac:dyDescent="0.25">
      <c r="A110272"/>
      <c r="B110272"/>
      <c r="C110272"/>
      <c r="E110272"/>
      <c r="F110272"/>
    </row>
    <row r="110273" spans="1:6" x14ac:dyDescent="0.25">
      <c r="A110273"/>
      <c r="B110273"/>
      <c r="C110273"/>
      <c r="E110273"/>
      <c r="F110273"/>
    </row>
    <row r="110274" spans="1:6" x14ac:dyDescent="0.25">
      <c r="A110274"/>
      <c r="B110274"/>
      <c r="C110274"/>
      <c r="E110274"/>
      <c r="F110274"/>
    </row>
    <row r="110275" spans="1:6" x14ac:dyDescent="0.25">
      <c r="A110275"/>
      <c r="B110275"/>
      <c r="C110275"/>
      <c r="E110275"/>
      <c r="F110275"/>
    </row>
    <row r="110276" spans="1:6" x14ac:dyDescent="0.25">
      <c r="A110276"/>
      <c r="B110276"/>
      <c r="C110276"/>
      <c r="E110276"/>
      <c r="F110276"/>
    </row>
    <row r="110277" spans="1:6" x14ac:dyDescent="0.25">
      <c r="A110277"/>
      <c r="B110277"/>
      <c r="C110277"/>
      <c r="E110277"/>
      <c r="F110277"/>
    </row>
    <row r="110278" spans="1:6" x14ac:dyDescent="0.25">
      <c r="A110278"/>
      <c r="B110278"/>
      <c r="C110278"/>
      <c r="E110278"/>
      <c r="F110278"/>
    </row>
    <row r="110279" spans="1:6" x14ac:dyDescent="0.25">
      <c r="A110279"/>
      <c r="B110279"/>
      <c r="C110279"/>
      <c r="E110279"/>
      <c r="F110279"/>
    </row>
    <row r="110280" spans="1:6" x14ac:dyDescent="0.25">
      <c r="A110280"/>
      <c r="B110280"/>
      <c r="C110280"/>
      <c r="E110280"/>
      <c r="F110280"/>
    </row>
    <row r="110281" spans="1:6" x14ac:dyDescent="0.25">
      <c r="A110281"/>
      <c r="B110281"/>
      <c r="C110281"/>
      <c r="E110281"/>
      <c r="F110281"/>
    </row>
    <row r="110282" spans="1:6" x14ac:dyDescent="0.25">
      <c r="A110282"/>
      <c r="B110282"/>
      <c r="C110282"/>
      <c r="E110282"/>
      <c r="F110282"/>
    </row>
    <row r="110283" spans="1:6" x14ac:dyDescent="0.25">
      <c r="A110283"/>
      <c r="B110283"/>
      <c r="C110283"/>
      <c r="E110283"/>
      <c r="F110283"/>
    </row>
    <row r="110284" spans="1:6" x14ac:dyDescent="0.25">
      <c r="A110284"/>
      <c r="B110284"/>
      <c r="C110284"/>
      <c r="E110284"/>
      <c r="F110284"/>
    </row>
    <row r="110285" spans="1:6" x14ac:dyDescent="0.25">
      <c r="A110285"/>
      <c r="B110285"/>
      <c r="C110285"/>
      <c r="E110285"/>
      <c r="F110285"/>
    </row>
    <row r="110286" spans="1:6" x14ac:dyDescent="0.25">
      <c r="A110286"/>
      <c r="B110286"/>
      <c r="C110286"/>
      <c r="E110286"/>
      <c r="F110286"/>
    </row>
    <row r="110287" spans="1:6" x14ac:dyDescent="0.25">
      <c r="A110287"/>
      <c r="B110287"/>
      <c r="C110287"/>
      <c r="E110287"/>
      <c r="F110287"/>
    </row>
    <row r="110288" spans="1:6" x14ac:dyDescent="0.25">
      <c r="A110288"/>
      <c r="B110288"/>
      <c r="C110288"/>
      <c r="E110288"/>
      <c r="F110288"/>
    </row>
    <row r="110289" spans="1:6" x14ac:dyDescent="0.25">
      <c r="A110289"/>
      <c r="B110289"/>
      <c r="C110289"/>
      <c r="E110289"/>
      <c r="F110289"/>
    </row>
    <row r="110290" spans="1:6" x14ac:dyDescent="0.25">
      <c r="A110290"/>
      <c r="B110290"/>
      <c r="C110290"/>
      <c r="E110290"/>
      <c r="F110290"/>
    </row>
    <row r="110291" spans="1:6" x14ac:dyDescent="0.25">
      <c r="A110291"/>
      <c r="B110291"/>
      <c r="C110291"/>
      <c r="E110291"/>
      <c r="F110291"/>
    </row>
    <row r="110292" spans="1:6" x14ac:dyDescent="0.25">
      <c r="A110292"/>
      <c r="B110292"/>
      <c r="C110292"/>
      <c r="E110292"/>
      <c r="F110292"/>
    </row>
    <row r="110293" spans="1:6" x14ac:dyDescent="0.25">
      <c r="A110293"/>
      <c r="B110293"/>
      <c r="C110293"/>
      <c r="E110293"/>
      <c r="F110293"/>
    </row>
    <row r="110294" spans="1:6" x14ac:dyDescent="0.25">
      <c r="A110294"/>
      <c r="B110294"/>
      <c r="C110294"/>
      <c r="E110294"/>
      <c r="F110294"/>
    </row>
    <row r="110295" spans="1:6" x14ac:dyDescent="0.25">
      <c r="A110295"/>
      <c r="B110295"/>
      <c r="C110295"/>
      <c r="E110295"/>
      <c r="F110295"/>
    </row>
    <row r="110296" spans="1:6" x14ac:dyDescent="0.25">
      <c r="A110296"/>
      <c r="B110296"/>
      <c r="C110296"/>
      <c r="E110296"/>
      <c r="F110296"/>
    </row>
    <row r="110297" spans="1:6" x14ac:dyDescent="0.25">
      <c r="A110297"/>
      <c r="B110297"/>
      <c r="C110297"/>
      <c r="E110297"/>
      <c r="F110297"/>
    </row>
    <row r="110298" spans="1:6" x14ac:dyDescent="0.25">
      <c r="A110298"/>
      <c r="B110298"/>
      <c r="C110298"/>
      <c r="E110298"/>
      <c r="F110298"/>
    </row>
    <row r="110299" spans="1:6" x14ac:dyDescent="0.25">
      <c r="A110299"/>
      <c r="B110299"/>
      <c r="C110299"/>
      <c r="E110299"/>
      <c r="F110299"/>
    </row>
    <row r="110300" spans="1:6" x14ac:dyDescent="0.25">
      <c r="A110300"/>
      <c r="B110300"/>
      <c r="C110300"/>
      <c r="E110300"/>
      <c r="F110300"/>
    </row>
    <row r="110301" spans="1:6" x14ac:dyDescent="0.25">
      <c r="A110301"/>
      <c r="B110301"/>
      <c r="C110301"/>
      <c r="E110301"/>
      <c r="F110301"/>
    </row>
    <row r="110302" spans="1:6" x14ac:dyDescent="0.25">
      <c r="A110302"/>
      <c r="B110302"/>
      <c r="C110302"/>
      <c r="E110302"/>
      <c r="F110302"/>
    </row>
    <row r="110303" spans="1:6" x14ac:dyDescent="0.25">
      <c r="A110303"/>
      <c r="B110303"/>
      <c r="C110303"/>
      <c r="E110303"/>
      <c r="F110303"/>
    </row>
    <row r="110304" spans="1:6" x14ac:dyDescent="0.25">
      <c r="A110304"/>
      <c r="B110304"/>
      <c r="C110304"/>
      <c r="E110304"/>
      <c r="F110304"/>
    </row>
    <row r="110305" spans="1:6" x14ac:dyDescent="0.25">
      <c r="A110305"/>
      <c r="B110305"/>
      <c r="C110305"/>
      <c r="E110305"/>
      <c r="F110305"/>
    </row>
    <row r="110306" spans="1:6" x14ac:dyDescent="0.25">
      <c r="A110306"/>
      <c r="B110306"/>
      <c r="C110306"/>
      <c r="E110306"/>
      <c r="F110306"/>
    </row>
    <row r="110307" spans="1:6" x14ac:dyDescent="0.25">
      <c r="A110307"/>
      <c r="B110307"/>
      <c r="C110307"/>
      <c r="E110307"/>
      <c r="F110307"/>
    </row>
    <row r="110308" spans="1:6" x14ac:dyDescent="0.25">
      <c r="A110308"/>
      <c r="B110308"/>
      <c r="C110308"/>
      <c r="E110308"/>
      <c r="F110308"/>
    </row>
    <row r="110309" spans="1:6" x14ac:dyDescent="0.25">
      <c r="A110309"/>
      <c r="B110309"/>
      <c r="C110309"/>
      <c r="E110309"/>
      <c r="F110309"/>
    </row>
    <row r="110310" spans="1:6" x14ac:dyDescent="0.25">
      <c r="A110310"/>
      <c r="B110310"/>
      <c r="C110310"/>
      <c r="E110310"/>
      <c r="F110310"/>
    </row>
    <row r="110311" spans="1:6" x14ac:dyDescent="0.25">
      <c r="A110311"/>
      <c r="B110311"/>
      <c r="C110311"/>
      <c r="E110311"/>
      <c r="F110311"/>
    </row>
    <row r="110312" spans="1:6" x14ac:dyDescent="0.25">
      <c r="A110312"/>
      <c r="B110312"/>
      <c r="C110312"/>
      <c r="E110312"/>
      <c r="F110312"/>
    </row>
    <row r="110313" spans="1:6" x14ac:dyDescent="0.25">
      <c r="A110313"/>
      <c r="B110313"/>
      <c r="C110313"/>
      <c r="E110313"/>
      <c r="F110313"/>
    </row>
    <row r="110314" spans="1:6" x14ac:dyDescent="0.25">
      <c r="A110314"/>
      <c r="B110314"/>
      <c r="C110314"/>
      <c r="E110314"/>
      <c r="F110314"/>
    </row>
    <row r="110315" spans="1:6" x14ac:dyDescent="0.25">
      <c r="A110315"/>
      <c r="B110315"/>
      <c r="C110315"/>
      <c r="E110315"/>
      <c r="F110315"/>
    </row>
    <row r="110316" spans="1:6" x14ac:dyDescent="0.25">
      <c r="A110316"/>
      <c r="B110316"/>
      <c r="C110316"/>
      <c r="E110316"/>
      <c r="F110316"/>
    </row>
    <row r="110317" spans="1:6" x14ac:dyDescent="0.25">
      <c r="A110317"/>
      <c r="B110317"/>
      <c r="C110317"/>
      <c r="E110317"/>
      <c r="F110317"/>
    </row>
    <row r="110318" spans="1:6" x14ac:dyDescent="0.25">
      <c r="A110318"/>
      <c r="B110318"/>
      <c r="C110318"/>
      <c r="E110318"/>
      <c r="F110318"/>
    </row>
    <row r="110319" spans="1:6" x14ac:dyDescent="0.25">
      <c r="A110319"/>
      <c r="B110319"/>
      <c r="C110319"/>
      <c r="E110319"/>
      <c r="F110319"/>
    </row>
    <row r="110320" spans="1:6" x14ac:dyDescent="0.25">
      <c r="A110320"/>
      <c r="B110320"/>
      <c r="C110320"/>
      <c r="E110320"/>
      <c r="F110320"/>
    </row>
    <row r="110321" spans="1:6" x14ac:dyDescent="0.25">
      <c r="A110321"/>
      <c r="B110321"/>
      <c r="C110321"/>
      <c r="E110321"/>
      <c r="F110321"/>
    </row>
    <row r="110322" spans="1:6" x14ac:dyDescent="0.25">
      <c r="A110322"/>
      <c r="B110322"/>
      <c r="C110322"/>
      <c r="E110322"/>
      <c r="F110322"/>
    </row>
    <row r="110323" spans="1:6" x14ac:dyDescent="0.25">
      <c r="A110323"/>
      <c r="B110323"/>
      <c r="C110323"/>
      <c r="E110323"/>
      <c r="F110323"/>
    </row>
    <row r="110324" spans="1:6" x14ac:dyDescent="0.25">
      <c r="A110324"/>
      <c r="B110324"/>
      <c r="C110324"/>
      <c r="E110324"/>
      <c r="F110324"/>
    </row>
    <row r="110325" spans="1:6" x14ac:dyDescent="0.25">
      <c r="A110325"/>
      <c r="B110325"/>
      <c r="C110325"/>
      <c r="E110325"/>
      <c r="F110325"/>
    </row>
    <row r="110326" spans="1:6" x14ac:dyDescent="0.25">
      <c r="A110326"/>
      <c r="B110326"/>
      <c r="C110326"/>
      <c r="E110326"/>
      <c r="F110326"/>
    </row>
    <row r="110327" spans="1:6" x14ac:dyDescent="0.25">
      <c r="A110327"/>
      <c r="B110327"/>
      <c r="C110327"/>
      <c r="E110327"/>
      <c r="F110327"/>
    </row>
    <row r="110328" spans="1:6" x14ac:dyDescent="0.25">
      <c r="A110328"/>
      <c r="B110328"/>
      <c r="C110328"/>
      <c r="E110328"/>
      <c r="F110328"/>
    </row>
    <row r="110329" spans="1:6" x14ac:dyDescent="0.25">
      <c r="A110329"/>
      <c r="B110329"/>
      <c r="C110329"/>
      <c r="E110329"/>
      <c r="F110329"/>
    </row>
    <row r="110330" spans="1:6" x14ac:dyDescent="0.25">
      <c r="A110330"/>
      <c r="B110330"/>
      <c r="C110330"/>
      <c r="E110330"/>
      <c r="F110330"/>
    </row>
    <row r="110331" spans="1:6" x14ac:dyDescent="0.25">
      <c r="A110331"/>
      <c r="B110331"/>
      <c r="C110331"/>
      <c r="E110331"/>
      <c r="F110331"/>
    </row>
    <row r="110332" spans="1:6" x14ac:dyDescent="0.25">
      <c r="A110332"/>
      <c r="B110332"/>
      <c r="C110332"/>
      <c r="E110332"/>
      <c r="F110332"/>
    </row>
    <row r="110333" spans="1:6" x14ac:dyDescent="0.25">
      <c r="A110333"/>
      <c r="B110333"/>
      <c r="C110333"/>
      <c r="E110333"/>
      <c r="F110333"/>
    </row>
    <row r="110334" spans="1:6" x14ac:dyDescent="0.25">
      <c r="A110334"/>
      <c r="B110334"/>
      <c r="C110334"/>
      <c r="E110334"/>
      <c r="F110334"/>
    </row>
    <row r="110335" spans="1:6" x14ac:dyDescent="0.25">
      <c r="A110335"/>
      <c r="B110335"/>
      <c r="C110335"/>
      <c r="E110335"/>
      <c r="F110335"/>
    </row>
    <row r="110336" spans="1:6" x14ac:dyDescent="0.25">
      <c r="A110336"/>
      <c r="B110336"/>
      <c r="C110336"/>
      <c r="E110336"/>
      <c r="F110336"/>
    </row>
    <row r="110337" spans="1:6" x14ac:dyDescent="0.25">
      <c r="A110337"/>
      <c r="B110337"/>
      <c r="C110337"/>
      <c r="E110337"/>
      <c r="F110337"/>
    </row>
    <row r="110338" spans="1:6" x14ac:dyDescent="0.25">
      <c r="A110338"/>
      <c r="B110338"/>
      <c r="C110338"/>
      <c r="E110338"/>
      <c r="F110338"/>
    </row>
    <row r="110339" spans="1:6" x14ac:dyDescent="0.25">
      <c r="A110339"/>
      <c r="B110339"/>
      <c r="C110339"/>
      <c r="E110339"/>
      <c r="F110339"/>
    </row>
    <row r="110340" spans="1:6" x14ac:dyDescent="0.25">
      <c r="A110340"/>
      <c r="B110340"/>
      <c r="C110340"/>
      <c r="E110340"/>
      <c r="F110340"/>
    </row>
    <row r="110341" spans="1:6" x14ac:dyDescent="0.25">
      <c r="A110341"/>
      <c r="B110341"/>
      <c r="C110341"/>
      <c r="E110341"/>
      <c r="F110341"/>
    </row>
    <row r="110342" spans="1:6" x14ac:dyDescent="0.25">
      <c r="A110342"/>
      <c r="B110342"/>
      <c r="C110342"/>
      <c r="E110342"/>
      <c r="F110342"/>
    </row>
    <row r="110343" spans="1:6" x14ac:dyDescent="0.25">
      <c r="A110343"/>
      <c r="B110343"/>
      <c r="C110343"/>
      <c r="E110343"/>
      <c r="F110343"/>
    </row>
    <row r="110344" spans="1:6" x14ac:dyDescent="0.25">
      <c r="A110344"/>
      <c r="B110344"/>
      <c r="C110344"/>
      <c r="E110344"/>
      <c r="F110344"/>
    </row>
    <row r="110345" spans="1:6" x14ac:dyDescent="0.25">
      <c r="A110345"/>
      <c r="B110345"/>
      <c r="C110345"/>
      <c r="E110345"/>
      <c r="F110345"/>
    </row>
    <row r="110346" spans="1:6" x14ac:dyDescent="0.25">
      <c r="A110346"/>
      <c r="B110346"/>
      <c r="C110346"/>
      <c r="E110346"/>
      <c r="F110346"/>
    </row>
    <row r="110347" spans="1:6" x14ac:dyDescent="0.25">
      <c r="A110347"/>
      <c r="B110347"/>
      <c r="C110347"/>
      <c r="E110347"/>
      <c r="F110347"/>
    </row>
    <row r="110348" spans="1:6" x14ac:dyDescent="0.25">
      <c r="A110348"/>
      <c r="B110348"/>
      <c r="C110348"/>
      <c r="E110348"/>
      <c r="F110348"/>
    </row>
    <row r="110349" spans="1:6" x14ac:dyDescent="0.25">
      <c r="A110349"/>
      <c r="B110349"/>
      <c r="C110349"/>
      <c r="E110349"/>
      <c r="F110349"/>
    </row>
    <row r="110350" spans="1:6" x14ac:dyDescent="0.25">
      <c r="A110350"/>
      <c r="B110350"/>
      <c r="C110350"/>
      <c r="E110350"/>
      <c r="F110350"/>
    </row>
    <row r="110351" spans="1:6" x14ac:dyDescent="0.25">
      <c r="A110351"/>
      <c r="B110351"/>
      <c r="C110351"/>
      <c r="E110351"/>
      <c r="F110351"/>
    </row>
    <row r="110352" spans="1:6" x14ac:dyDescent="0.25">
      <c r="A110352"/>
      <c r="B110352"/>
      <c r="C110352"/>
      <c r="E110352"/>
      <c r="F110352"/>
    </row>
    <row r="110353" spans="1:6" x14ac:dyDescent="0.25">
      <c r="A110353"/>
      <c r="B110353"/>
      <c r="C110353"/>
      <c r="E110353"/>
      <c r="F110353"/>
    </row>
    <row r="110354" spans="1:6" x14ac:dyDescent="0.25">
      <c r="A110354"/>
      <c r="B110354"/>
      <c r="C110354"/>
      <c r="E110354"/>
      <c r="F110354"/>
    </row>
    <row r="110355" spans="1:6" x14ac:dyDescent="0.25">
      <c r="A110355"/>
      <c r="B110355"/>
      <c r="C110355"/>
      <c r="E110355"/>
      <c r="F110355"/>
    </row>
    <row r="110356" spans="1:6" x14ac:dyDescent="0.25">
      <c r="A110356"/>
      <c r="B110356"/>
      <c r="C110356"/>
      <c r="E110356"/>
      <c r="F110356"/>
    </row>
    <row r="110357" spans="1:6" x14ac:dyDescent="0.25">
      <c r="A110357"/>
      <c r="B110357"/>
      <c r="C110357"/>
      <c r="E110357"/>
      <c r="F110357"/>
    </row>
    <row r="110358" spans="1:6" x14ac:dyDescent="0.25">
      <c r="A110358"/>
      <c r="B110358"/>
      <c r="C110358"/>
      <c r="E110358"/>
      <c r="F110358"/>
    </row>
    <row r="110359" spans="1:6" x14ac:dyDescent="0.25">
      <c r="A110359"/>
      <c r="B110359"/>
      <c r="C110359"/>
      <c r="E110359"/>
      <c r="F110359"/>
    </row>
    <row r="110360" spans="1:6" x14ac:dyDescent="0.25">
      <c r="A110360"/>
      <c r="B110360"/>
      <c r="C110360"/>
      <c r="E110360"/>
      <c r="F110360"/>
    </row>
    <row r="110361" spans="1:6" x14ac:dyDescent="0.25">
      <c r="A110361"/>
      <c r="B110361"/>
      <c r="C110361"/>
      <c r="E110361"/>
      <c r="F110361"/>
    </row>
    <row r="110362" spans="1:6" x14ac:dyDescent="0.25">
      <c r="A110362"/>
      <c r="B110362"/>
      <c r="C110362"/>
      <c r="E110362"/>
      <c r="F110362"/>
    </row>
    <row r="110363" spans="1:6" x14ac:dyDescent="0.25">
      <c r="A110363"/>
      <c r="B110363"/>
      <c r="C110363"/>
      <c r="E110363"/>
      <c r="F110363"/>
    </row>
    <row r="110364" spans="1:6" x14ac:dyDescent="0.25">
      <c r="A110364"/>
      <c r="B110364"/>
      <c r="C110364"/>
      <c r="E110364"/>
      <c r="F110364"/>
    </row>
    <row r="110365" spans="1:6" x14ac:dyDescent="0.25">
      <c r="A110365"/>
      <c r="B110365"/>
      <c r="C110365"/>
      <c r="E110365"/>
      <c r="F110365"/>
    </row>
    <row r="110366" spans="1:6" x14ac:dyDescent="0.25">
      <c r="A110366"/>
      <c r="B110366"/>
      <c r="C110366"/>
      <c r="E110366"/>
      <c r="F110366"/>
    </row>
    <row r="110367" spans="1:6" x14ac:dyDescent="0.25">
      <c r="A110367"/>
      <c r="B110367"/>
      <c r="C110367"/>
      <c r="E110367"/>
      <c r="F110367"/>
    </row>
    <row r="110368" spans="1:6" x14ac:dyDescent="0.25">
      <c r="A110368"/>
      <c r="B110368"/>
      <c r="C110368"/>
      <c r="E110368"/>
      <c r="F110368"/>
    </row>
    <row r="110369" spans="1:6" x14ac:dyDescent="0.25">
      <c r="A110369"/>
      <c r="B110369"/>
      <c r="C110369"/>
      <c r="E110369"/>
      <c r="F110369"/>
    </row>
    <row r="110370" spans="1:6" x14ac:dyDescent="0.25">
      <c r="A110370"/>
      <c r="B110370"/>
      <c r="C110370"/>
      <c r="E110370"/>
      <c r="F110370"/>
    </row>
    <row r="110371" spans="1:6" x14ac:dyDescent="0.25">
      <c r="A110371"/>
      <c r="B110371"/>
      <c r="C110371"/>
      <c r="E110371"/>
      <c r="F110371"/>
    </row>
    <row r="110372" spans="1:6" x14ac:dyDescent="0.25">
      <c r="A110372"/>
      <c r="B110372"/>
      <c r="C110372"/>
      <c r="E110372"/>
      <c r="F110372"/>
    </row>
    <row r="110373" spans="1:6" x14ac:dyDescent="0.25">
      <c r="A110373"/>
      <c r="B110373"/>
      <c r="C110373"/>
      <c r="E110373"/>
      <c r="F110373"/>
    </row>
    <row r="110374" spans="1:6" x14ac:dyDescent="0.25">
      <c r="A110374"/>
      <c r="B110374"/>
      <c r="C110374"/>
      <c r="E110374"/>
      <c r="F110374"/>
    </row>
    <row r="110375" spans="1:6" x14ac:dyDescent="0.25">
      <c r="A110375"/>
      <c r="B110375"/>
      <c r="C110375"/>
      <c r="E110375"/>
      <c r="F110375"/>
    </row>
    <row r="110376" spans="1:6" x14ac:dyDescent="0.25">
      <c r="A110376"/>
      <c r="B110376"/>
      <c r="C110376"/>
      <c r="E110376"/>
      <c r="F110376"/>
    </row>
    <row r="110377" spans="1:6" x14ac:dyDescent="0.25">
      <c r="A110377"/>
      <c r="B110377"/>
      <c r="C110377"/>
      <c r="E110377"/>
      <c r="F110377"/>
    </row>
    <row r="110378" spans="1:6" x14ac:dyDescent="0.25">
      <c r="A110378"/>
      <c r="B110378"/>
      <c r="C110378"/>
      <c r="E110378"/>
      <c r="F110378"/>
    </row>
    <row r="110379" spans="1:6" x14ac:dyDescent="0.25">
      <c r="A110379"/>
      <c r="B110379"/>
      <c r="C110379"/>
      <c r="E110379"/>
      <c r="F110379"/>
    </row>
    <row r="110380" spans="1:6" x14ac:dyDescent="0.25">
      <c r="A110380"/>
      <c r="B110380"/>
      <c r="C110380"/>
      <c r="E110380"/>
      <c r="F110380"/>
    </row>
    <row r="110381" spans="1:6" x14ac:dyDescent="0.25">
      <c r="A110381"/>
      <c r="B110381"/>
      <c r="C110381"/>
      <c r="E110381"/>
      <c r="F110381"/>
    </row>
    <row r="110382" spans="1:6" x14ac:dyDescent="0.25">
      <c r="A110382"/>
      <c r="B110382"/>
      <c r="C110382"/>
      <c r="E110382"/>
      <c r="F110382"/>
    </row>
    <row r="110383" spans="1:6" x14ac:dyDescent="0.25">
      <c r="A110383"/>
      <c r="B110383"/>
      <c r="C110383"/>
      <c r="E110383"/>
      <c r="F110383"/>
    </row>
    <row r="110384" spans="1:6" x14ac:dyDescent="0.25">
      <c r="A110384"/>
      <c r="B110384"/>
      <c r="C110384"/>
      <c r="E110384"/>
      <c r="F110384"/>
    </row>
    <row r="110385" spans="1:6" x14ac:dyDescent="0.25">
      <c r="A110385"/>
      <c r="B110385"/>
      <c r="C110385"/>
      <c r="E110385"/>
      <c r="F110385"/>
    </row>
    <row r="110386" spans="1:6" x14ac:dyDescent="0.25">
      <c r="A110386"/>
      <c r="B110386"/>
      <c r="C110386"/>
      <c r="E110386"/>
      <c r="F110386"/>
    </row>
    <row r="110387" spans="1:6" x14ac:dyDescent="0.25">
      <c r="A110387"/>
      <c r="B110387"/>
      <c r="C110387"/>
      <c r="E110387"/>
      <c r="F110387"/>
    </row>
    <row r="110388" spans="1:6" x14ac:dyDescent="0.25">
      <c r="A110388"/>
      <c r="B110388"/>
      <c r="C110388"/>
      <c r="E110388"/>
      <c r="F110388"/>
    </row>
    <row r="110389" spans="1:6" x14ac:dyDescent="0.25">
      <c r="A110389"/>
      <c r="B110389"/>
      <c r="C110389"/>
      <c r="E110389"/>
      <c r="F110389"/>
    </row>
    <row r="110390" spans="1:6" x14ac:dyDescent="0.25">
      <c r="A110390"/>
      <c r="B110390"/>
      <c r="C110390"/>
      <c r="E110390"/>
      <c r="F110390"/>
    </row>
    <row r="110391" spans="1:6" x14ac:dyDescent="0.25">
      <c r="A110391"/>
      <c r="B110391"/>
      <c r="C110391"/>
      <c r="E110391"/>
      <c r="F110391"/>
    </row>
    <row r="110392" spans="1:6" x14ac:dyDescent="0.25">
      <c r="A110392"/>
      <c r="B110392"/>
      <c r="C110392"/>
      <c r="E110392"/>
      <c r="F110392"/>
    </row>
    <row r="110393" spans="1:6" x14ac:dyDescent="0.25">
      <c r="A110393"/>
      <c r="B110393"/>
      <c r="C110393"/>
      <c r="E110393"/>
      <c r="F110393"/>
    </row>
    <row r="110394" spans="1:6" x14ac:dyDescent="0.25">
      <c r="A110394"/>
      <c r="B110394"/>
      <c r="C110394"/>
      <c r="E110394"/>
      <c r="F110394"/>
    </row>
    <row r="110395" spans="1:6" x14ac:dyDescent="0.25">
      <c r="A110395"/>
      <c r="B110395"/>
      <c r="C110395"/>
      <c r="E110395"/>
      <c r="F110395"/>
    </row>
    <row r="110396" spans="1:6" x14ac:dyDescent="0.25">
      <c r="A110396"/>
      <c r="B110396"/>
      <c r="C110396"/>
      <c r="E110396"/>
      <c r="F110396"/>
    </row>
    <row r="110397" spans="1:6" x14ac:dyDescent="0.25">
      <c r="A110397"/>
      <c r="B110397"/>
      <c r="C110397"/>
      <c r="E110397"/>
      <c r="F110397"/>
    </row>
    <row r="110398" spans="1:6" x14ac:dyDescent="0.25">
      <c r="A110398"/>
      <c r="B110398"/>
      <c r="C110398"/>
      <c r="E110398"/>
      <c r="F110398"/>
    </row>
    <row r="110399" spans="1:6" x14ac:dyDescent="0.25">
      <c r="A110399"/>
      <c r="B110399"/>
      <c r="C110399"/>
      <c r="E110399"/>
      <c r="F110399"/>
    </row>
    <row r="110400" spans="1:6" x14ac:dyDescent="0.25">
      <c r="A110400"/>
      <c r="B110400"/>
      <c r="C110400"/>
      <c r="E110400"/>
      <c r="F110400"/>
    </row>
    <row r="110401" spans="1:6" x14ac:dyDescent="0.25">
      <c r="A110401"/>
      <c r="B110401"/>
      <c r="C110401"/>
      <c r="E110401"/>
      <c r="F110401"/>
    </row>
    <row r="110402" spans="1:6" x14ac:dyDescent="0.25">
      <c r="A110402"/>
      <c r="B110402"/>
      <c r="C110402"/>
      <c r="E110402"/>
      <c r="F110402"/>
    </row>
    <row r="110403" spans="1:6" x14ac:dyDescent="0.25">
      <c r="A110403"/>
      <c r="B110403"/>
      <c r="C110403"/>
      <c r="E110403"/>
      <c r="F110403"/>
    </row>
    <row r="110404" spans="1:6" x14ac:dyDescent="0.25">
      <c r="A110404"/>
      <c r="B110404"/>
      <c r="C110404"/>
      <c r="E110404"/>
      <c r="F110404"/>
    </row>
    <row r="110405" spans="1:6" x14ac:dyDescent="0.25">
      <c r="A110405"/>
      <c r="B110405"/>
      <c r="C110405"/>
      <c r="E110405"/>
      <c r="F110405"/>
    </row>
    <row r="110406" spans="1:6" x14ac:dyDescent="0.25">
      <c r="A110406"/>
      <c r="B110406"/>
      <c r="C110406"/>
      <c r="E110406"/>
      <c r="F110406"/>
    </row>
    <row r="110407" spans="1:6" x14ac:dyDescent="0.25">
      <c r="A110407"/>
      <c r="B110407"/>
      <c r="C110407"/>
      <c r="E110407"/>
      <c r="F110407"/>
    </row>
    <row r="110408" spans="1:6" x14ac:dyDescent="0.25">
      <c r="A110408"/>
      <c r="B110408"/>
      <c r="C110408"/>
      <c r="E110408"/>
      <c r="F110408"/>
    </row>
    <row r="110409" spans="1:6" x14ac:dyDescent="0.25">
      <c r="A110409"/>
      <c r="B110409"/>
      <c r="C110409"/>
      <c r="E110409"/>
      <c r="F110409"/>
    </row>
    <row r="110410" spans="1:6" x14ac:dyDescent="0.25">
      <c r="A110410"/>
      <c r="B110410"/>
      <c r="C110410"/>
      <c r="E110410"/>
      <c r="F110410"/>
    </row>
    <row r="110411" spans="1:6" x14ac:dyDescent="0.25">
      <c r="A110411"/>
      <c r="B110411"/>
      <c r="C110411"/>
      <c r="E110411"/>
      <c r="F110411"/>
    </row>
    <row r="110412" spans="1:6" x14ac:dyDescent="0.25">
      <c r="A110412"/>
      <c r="B110412"/>
      <c r="C110412"/>
      <c r="E110412"/>
      <c r="F110412"/>
    </row>
    <row r="110413" spans="1:6" x14ac:dyDescent="0.25">
      <c r="A110413"/>
      <c r="B110413"/>
      <c r="C110413"/>
      <c r="E110413"/>
      <c r="F110413"/>
    </row>
    <row r="110414" spans="1:6" x14ac:dyDescent="0.25">
      <c r="A110414"/>
      <c r="B110414"/>
      <c r="C110414"/>
      <c r="E110414"/>
      <c r="F110414"/>
    </row>
    <row r="110415" spans="1:6" x14ac:dyDescent="0.25">
      <c r="A110415"/>
      <c r="B110415"/>
      <c r="C110415"/>
      <c r="E110415"/>
      <c r="F110415"/>
    </row>
    <row r="110416" spans="1:6" x14ac:dyDescent="0.25">
      <c r="A110416"/>
      <c r="B110416"/>
      <c r="C110416"/>
      <c r="E110416"/>
      <c r="F110416"/>
    </row>
    <row r="110417" spans="1:6" x14ac:dyDescent="0.25">
      <c r="A110417"/>
      <c r="B110417"/>
      <c r="C110417"/>
      <c r="E110417"/>
      <c r="F110417"/>
    </row>
    <row r="110418" spans="1:6" x14ac:dyDescent="0.25">
      <c r="A110418"/>
      <c r="B110418"/>
      <c r="C110418"/>
      <c r="E110418"/>
      <c r="F110418"/>
    </row>
    <row r="110419" spans="1:6" x14ac:dyDescent="0.25">
      <c r="A110419"/>
      <c r="B110419"/>
      <c r="C110419"/>
      <c r="E110419"/>
      <c r="F110419"/>
    </row>
    <row r="110420" spans="1:6" x14ac:dyDescent="0.25">
      <c r="A110420"/>
      <c r="B110420"/>
      <c r="C110420"/>
      <c r="E110420"/>
      <c r="F110420"/>
    </row>
    <row r="110421" spans="1:6" x14ac:dyDescent="0.25">
      <c r="A110421"/>
      <c r="B110421"/>
      <c r="C110421"/>
      <c r="E110421"/>
      <c r="F110421"/>
    </row>
    <row r="110422" spans="1:6" x14ac:dyDescent="0.25">
      <c r="A110422"/>
      <c r="B110422"/>
      <c r="C110422"/>
      <c r="E110422"/>
      <c r="F110422"/>
    </row>
    <row r="110423" spans="1:6" x14ac:dyDescent="0.25">
      <c r="A110423"/>
      <c r="B110423"/>
      <c r="C110423"/>
      <c r="E110423"/>
      <c r="F110423"/>
    </row>
    <row r="110424" spans="1:6" x14ac:dyDescent="0.25">
      <c r="A110424"/>
      <c r="B110424"/>
      <c r="C110424"/>
      <c r="E110424"/>
      <c r="F110424"/>
    </row>
    <row r="110425" spans="1:6" x14ac:dyDescent="0.25">
      <c r="A110425"/>
      <c r="B110425"/>
      <c r="C110425"/>
      <c r="E110425"/>
      <c r="F110425"/>
    </row>
    <row r="110426" spans="1:6" x14ac:dyDescent="0.25">
      <c r="A110426"/>
      <c r="B110426"/>
      <c r="C110426"/>
      <c r="E110426"/>
      <c r="F110426"/>
    </row>
    <row r="110427" spans="1:6" x14ac:dyDescent="0.25">
      <c r="A110427"/>
      <c r="B110427"/>
      <c r="C110427"/>
      <c r="E110427"/>
      <c r="F110427"/>
    </row>
    <row r="110428" spans="1:6" x14ac:dyDescent="0.25">
      <c r="A110428"/>
      <c r="B110428"/>
      <c r="C110428"/>
      <c r="E110428"/>
      <c r="F110428"/>
    </row>
    <row r="110429" spans="1:6" x14ac:dyDescent="0.25">
      <c r="A110429"/>
      <c r="B110429"/>
      <c r="C110429"/>
      <c r="E110429"/>
      <c r="F110429"/>
    </row>
    <row r="110430" spans="1:6" x14ac:dyDescent="0.25">
      <c r="A110430"/>
      <c r="B110430"/>
      <c r="C110430"/>
      <c r="E110430"/>
      <c r="F110430"/>
    </row>
    <row r="110431" spans="1:6" x14ac:dyDescent="0.25">
      <c r="A110431"/>
      <c r="B110431"/>
      <c r="C110431"/>
      <c r="E110431"/>
      <c r="F110431"/>
    </row>
    <row r="110432" spans="1:6" x14ac:dyDescent="0.25">
      <c r="A110432"/>
      <c r="B110432"/>
      <c r="C110432"/>
      <c r="E110432"/>
      <c r="F110432"/>
    </row>
    <row r="110433" spans="1:6" x14ac:dyDescent="0.25">
      <c r="A110433"/>
      <c r="B110433"/>
      <c r="C110433"/>
      <c r="E110433"/>
      <c r="F110433"/>
    </row>
    <row r="110434" spans="1:6" x14ac:dyDescent="0.25">
      <c r="A110434"/>
      <c r="B110434"/>
      <c r="C110434"/>
      <c r="E110434"/>
      <c r="F110434"/>
    </row>
    <row r="110435" spans="1:6" x14ac:dyDescent="0.25">
      <c r="A110435"/>
      <c r="B110435"/>
      <c r="C110435"/>
      <c r="E110435"/>
      <c r="F110435"/>
    </row>
    <row r="110436" spans="1:6" x14ac:dyDescent="0.25">
      <c r="A110436"/>
      <c r="B110436"/>
      <c r="C110436"/>
      <c r="E110436"/>
      <c r="F110436"/>
    </row>
    <row r="110437" spans="1:6" x14ac:dyDescent="0.25">
      <c r="A110437"/>
      <c r="B110437"/>
      <c r="C110437"/>
      <c r="E110437"/>
      <c r="F110437"/>
    </row>
    <row r="110438" spans="1:6" x14ac:dyDescent="0.25">
      <c r="A110438"/>
      <c r="B110438"/>
      <c r="C110438"/>
      <c r="E110438"/>
      <c r="F110438"/>
    </row>
    <row r="110439" spans="1:6" x14ac:dyDescent="0.25">
      <c r="A110439"/>
      <c r="B110439"/>
      <c r="C110439"/>
      <c r="E110439"/>
      <c r="F110439"/>
    </row>
    <row r="110440" spans="1:6" x14ac:dyDescent="0.25">
      <c r="A110440"/>
      <c r="B110440"/>
      <c r="C110440"/>
      <c r="E110440"/>
      <c r="F110440"/>
    </row>
    <row r="110441" spans="1:6" x14ac:dyDescent="0.25">
      <c r="A110441"/>
      <c r="B110441"/>
      <c r="C110441"/>
      <c r="E110441"/>
      <c r="F110441"/>
    </row>
    <row r="110442" spans="1:6" x14ac:dyDescent="0.25">
      <c r="A110442"/>
      <c r="B110442"/>
      <c r="C110442"/>
      <c r="E110442"/>
      <c r="F110442"/>
    </row>
    <row r="110443" spans="1:6" x14ac:dyDescent="0.25">
      <c r="A110443"/>
      <c r="B110443"/>
      <c r="C110443"/>
      <c r="E110443"/>
      <c r="F110443"/>
    </row>
    <row r="110444" spans="1:6" x14ac:dyDescent="0.25">
      <c r="A110444"/>
      <c r="B110444"/>
      <c r="C110444"/>
      <c r="E110444"/>
      <c r="F110444"/>
    </row>
    <row r="110445" spans="1:6" x14ac:dyDescent="0.25">
      <c r="A110445"/>
      <c r="B110445"/>
      <c r="C110445"/>
      <c r="E110445"/>
      <c r="F110445"/>
    </row>
    <row r="110446" spans="1:6" x14ac:dyDescent="0.25">
      <c r="A110446"/>
      <c r="B110446"/>
      <c r="C110446"/>
      <c r="E110446"/>
      <c r="F110446"/>
    </row>
    <row r="110447" spans="1:6" x14ac:dyDescent="0.25">
      <c r="A110447"/>
      <c r="B110447"/>
      <c r="C110447"/>
      <c r="E110447"/>
      <c r="F110447"/>
    </row>
    <row r="110448" spans="1:6" x14ac:dyDescent="0.25">
      <c r="A110448"/>
      <c r="B110448"/>
      <c r="C110448"/>
      <c r="E110448"/>
      <c r="F110448"/>
    </row>
    <row r="110449" spans="1:6" x14ac:dyDescent="0.25">
      <c r="A110449"/>
      <c r="B110449"/>
      <c r="C110449"/>
      <c r="E110449"/>
      <c r="F110449"/>
    </row>
    <row r="110450" spans="1:6" x14ac:dyDescent="0.25">
      <c r="A110450"/>
      <c r="B110450"/>
      <c r="C110450"/>
      <c r="E110450"/>
      <c r="F110450"/>
    </row>
    <row r="110451" spans="1:6" x14ac:dyDescent="0.25">
      <c r="A110451"/>
      <c r="B110451"/>
      <c r="C110451"/>
      <c r="E110451"/>
      <c r="F110451"/>
    </row>
    <row r="110452" spans="1:6" x14ac:dyDescent="0.25">
      <c r="A110452"/>
      <c r="B110452"/>
      <c r="C110452"/>
      <c r="E110452"/>
      <c r="F110452"/>
    </row>
    <row r="110453" spans="1:6" x14ac:dyDescent="0.25">
      <c r="A110453"/>
      <c r="B110453"/>
      <c r="C110453"/>
      <c r="E110453"/>
      <c r="F110453"/>
    </row>
    <row r="110454" spans="1:6" x14ac:dyDescent="0.25">
      <c r="A110454"/>
      <c r="B110454"/>
      <c r="C110454"/>
      <c r="E110454"/>
      <c r="F110454"/>
    </row>
    <row r="110455" spans="1:6" x14ac:dyDescent="0.25">
      <c r="A110455"/>
      <c r="B110455"/>
      <c r="C110455"/>
      <c r="E110455"/>
      <c r="F110455"/>
    </row>
    <row r="110456" spans="1:6" x14ac:dyDescent="0.25">
      <c r="A110456"/>
      <c r="B110456"/>
      <c r="C110456"/>
      <c r="E110456"/>
      <c r="F110456"/>
    </row>
    <row r="110457" spans="1:6" x14ac:dyDescent="0.25">
      <c r="A110457"/>
      <c r="B110457"/>
      <c r="C110457"/>
      <c r="E110457"/>
      <c r="F110457"/>
    </row>
    <row r="110458" spans="1:6" x14ac:dyDescent="0.25">
      <c r="A110458"/>
      <c r="B110458"/>
      <c r="C110458"/>
      <c r="E110458"/>
      <c r="F110458"/>
    </row>
    <row r="110459" spans="1:6" x14ac:dyDescent="0.25">
      <c r="A110459"/>
      <c r="B110459"/>
      <c r="C110459"/>
      <c r="E110459"/>
      <c r="F110459"/>
    </row>
    <row r="110460" spans="1:6" x14ac:dyDescent="0.25">
      <c r="A110460"/>
      <c r="B110460"/>
      <c r="C110460"/>
      <c r="E110460"/>
      <c r="F110460"/>
    </row>
    <row r="110461" spans="1:6" x14ac:dyDescent="0.25">
      <c r="A110461"/>
      <c r="B110461"/>
      <c r="C110461"/>
      <c r="E110461"/>
      <c r="F110461"/>
    </row>
    <row r="110462" spans="1:6" x14ac:dyDescent="0.25">
      <c r="A110462"/>
      <c r="B110462"/>
      <c r="C110462"/>
      <c r="E110462"/>
      <c r="F110462"/>
    </row>
    <row r="110463" spans="1:6" x14ac:dyDescent="0.25">
      <c r="A110463"/>
      <c r="B110463"/>
      <c r="C110463"/>
      <c r="E110463"/>
      <c r="F110463"/>
    </row>
    <row r="110464" spans="1:6" x14ac:dyDescent="0.25">
      <c r="A110464"/>
      <c r="B110464"/>
      <c r="C110464"/>
      <c r="E110464"/>
      <c r="F110464"/>
    </row>
    <row r="110465" spans="1:6" x14ac:dyDescent="0.25">
      <c r="A110465"/>
      <c r="B110465"/>
      <c r="C110465"/>
      <c r="E110465"/>
      <c r="F110465"/>
    </row>
    <row r="110466" spans="1:6" x14ac:dyDescent="0.25">
      <c r="A110466"/>
      <c r="B110466"/>
      <c r="C110466"/>
      <c r="E110466"/>
      <c r="F110466"/>
    </row>
    <row r="110467" spans="1:6" x14ac:dyDescent="0.25">
      <c r="A110467"/>
      <c r="B110467"/>
      <c r="C110467"/>
      <c r="E110467"/>
      <c r="F110467"/>
    </row>
    <row r="110468" spans="1:6" x14ac:dyDescent="0.25">
      <c r="A110468"/>
      <c r="B110468"/>
      <c r="C110468"/>
      <c r="E110468"/>
      <c r="F110468"/>
    </row>
    <row r="110469" spans="1:6" x14ac:dyDescent="0.25">
      <c r="A110469"/>
      <c r="B110469"/>
      <c r="C110469"/>
      <c r="E110469"/>
      <c r="F110469"/>
    </row>
    <row r="110470" spans="1:6" x14ac:dyDescent="0.25">
      <c r="A110470"/>
      <c r="B110470"/>
      <c r="C110470"/>
      <c r="E110470"/>
      <c r="F110470"/>
    </row>
    <row r="110471" spans="1:6" x14ac:dyDescent="0.25">
      <c r="A110471"/>
      <c r="B110471"/>
      <c r="C110471"/>
      <c r="E110471"/>
      <c r="F110471"/>
    </row>
    <row r="110472" spans="1:6" x14ac:dyDescent="0.25">
      <c r="A110472"/>
      <c r="B110472"/>
      <c r="C110472"/>
      <c r="E110472"/>
      <c r="F110472"/>
    </row>
    <row r="110473" spans="1:6" x14ac:dyDescent="0.25">
      <c r="A110473"/>
      <c r="B110473"/>
      <c r="C110473"/>
      <c r="E110473"/>
      <c r="F110473"/>
    </row>
    <row r="110474" spans="1:6" x14ac:dyDescent="0.25">
      <c r="A110474"/>
      <c r="B110474"/>
      <c r="C110474"/>
      <c r="E110474"/>
      <c r="F110474"/>
    </row>
    <row r="110475" spans="1:6" x14ac:dyDescent="0.25">
      <c r="A110475"/>
      <c r="B110475"/>
      <c r="C110475"/>
      <c r="E110475"/>
      <c r="F110475"/>
    </row>
    <row r="110476" spans="1:6" x14ac:dyDescent="0.25">
      <c r="A110476"/>
      <c r="B110476"/>
      <c r="C110476"/>
      <c r="E110476"/>
      <c r="F110476"/>
    </row>
    <row r="110477" spans="1:6" x14ac:dyDescent="0.25">
      <c r="A110477"/>
      <c r="B110477"/>
      <c r="C110477"/>
      <c r="E110477"/>
      <c r="F110477"/>
    </row>
    <row r="110478" spans="1:6" x14ac:dyDescent="0.25">
      <c r="A110478"/>
      <c r="B110478"/>
      <c r="C110478"/>
      <c r="E110478"/>
      <c r="F110478"/>
    </row>
    <row r="110479" spans="1:6" x14ac:dyDescent="0.25">
      <c r="A110479"/>
      <c r="B110479"/>
      <c r="C110479"/>
      <c r="E110479"/>
      <c r="F110479"/>
    </row>
    <row r="110480" spans="1:6" x14ac:dyDescent="0.25">
      <c r="A110480"/>
      <c r="B110480"/>
      <c r="C110480"/>
      <c r="E110480"/>
      <c r="F110480"/>
    </row>
    <row r="110481" spans="1:6" x14ac:dyDescent="0.25">
      <c r="A110481"/>
      <c r="B110481"/>
      <c r="C110481"/>
      <c r="E110481"/>
      <c r="F110481"/>
    </row>
    <row r="110482" spans="1:6" x14ac:dyDescent="0.25">
      <c r="A110482"/>
      <c r="B110482"/>
      <c r="C110482"/>
      <c r="E110482"/>
      <c r="F110482"/>
    </row>
    <row r="110483" spans="1:6" x14ac:dyDescent="0.25">
      <c r="A110483"/>
      <c r="B110483"/>
      <c r="C110483"/>
      <c r="E110483"/>
      <c r="F110483"/>
    </row>
    <row r="110484" spans="1:6" x14ac:dyDescent="0.25">
      <c r="A110484"/>
      <c r="B110484"/>
      <c r="C110484"/>
      <c r="E110484"/>
      <c r="F110484"/>
    </row>
    <row r="110485" spans="1:6" x14ac:dyDescent="0.25">
      <c r="A110485"/>
      <c r="B110485"/>
      <c r="C110485"/>
      <c r="E110485"/>
      <c r="F110485"/>
    </row>
    <row r="110486" spans="1:6" x14ac:dyDescent="0.25">
      <c r="A110486"/>
      <c r="B110486"/>
      <c r="C110486"/>
      <c r="E110486"/>
      <c r="F110486"/>
    </row>
    <row r="110487" spans="1:6" x14ac:dyDescent="0.25">
      <c r="A110487"/>
      <c r="B110487"/>
      <c r="C110487"/>
      <c r="E110487"/>
      <c r="F110487"/>
    </row>
    <row r="110488" spans="1:6" x14ac:dyDescent="0.25">
      <c r="A110488"/>
      <c r="B110488"/>
      <c r="C110488"/>
      <c r="E110488"/>
      <c r="F110488"/>
    </row>
    <row r="110489" spans="1:6" x14ac:dyDescent="0.25">
      <c r="A110489"/>
      <c r="B110489"/>
      <c r="C110489"/>
      <c r="E110489"/>
      <c r="F110489"/>
    </row>
    <row r="110490" spans="1:6" x14ac:dyDescent="0.25">
      <c r="A110490"/>
      <c r="B110490"/>
      <c r="C110490"/>
      <c r="E110490"/>
      <c r="F110490"/>
    </row>
    <row r="110491" spans="1:6" x14ac:dyDescent="0.25">
      <c r="A110491"/>
      <c r="B110491"/>
      <c r="C110491"/>
      <c r="E110491"/>
      <c r="F110491"/>
    </row>
    <row r="110492" spans="1:6" x14ac:dyDescent="0.25">
      <c r="A110492"/>
      <c r="B110492"/>
      <c r="C110492"/>
      <c r="E110492"/>
      <c r="F110492"/>
    </row>
    <row r="110493" spans="1:6" x14ac:dyDescent="0.25">
      <c r="A110493"/>
      <c r="B110493"/>
      <c r="C110493"/>
      <c r="E110493"/>
      <c r="F110493"/>
    </row>
    <row r="110494" spans="1:6" x14ac:dyDescent="0.25">
      <c r="A110494"/>
      <c r="B110494"/>
      <c r="C110494"/>
      <c r="E110494"/>
      <c r="F110494"/>
    </row>
    <row r="110495" spans="1:6" x14ac:dyDescent="0.25">
      <c r="A110495"/>
      <c r="B110495"/>
      <c r="C110495"/>
      <c r="E110495"/>
      <c r="F110495"/>
    </row>
    <row r="110496" spans="1:6" x14ac:dyDescent="0.25">
      <c r="A110496"/>
      <c r="B110496"/>
      <c r="C110496"/>
      <c r="E110496"/>
      <c r="F110496"/>
    </row>
    <row r="110497" spans="1:6" x14ac:dyDescent="0.25">
      <c r="A110497"/>
      <c r="B110497"/>
      <c r="C110497"/>
      <c r="E110497"/>
      <c r="F110497"/>
    </row>
    <row r="110498" spans="1:6" x14ac:dyDescent="0.25">
      <c r="A110498"/>
      <c r="B110498"/>
      <c r="C110498"/>
      <c r="E110498"/>
      <c r="F110498"/>
    </row>
    <row r="110499" spans="1:6" x14ac:dyDescent="0.25">
      <c r="A110499"/>
      <c r="B110499"/>
      <c r="C110499"/>
      <c r="E110499"/>
      <c r="F110499"/>
    </row>
    <row r="110500" spans="1:6" x14ac:dyDescent="0.25">
      <c r="A110500"/>
      <c r="B110500"/>
      <c r="C110500"/>
      <c r="E110500"/>
      <c r="F110500"/>
    </row>
    <row r="110501" spans="1:6" x14ac:dyDescent="0.25">
      <c r="A110501"/>
      <c r="B110501"/>
      <c r="C110501"/>
      <c r="E110501"/>
      <c r="F110501"/>
    </row>
    <row r="110502" spans="1:6" x14ac:dyDescent="0.25">
      <c r="A110502"/>
      <c r="B110502"/>
      <c r="C110502"/>
      <c r="E110502"/>
      <c r="F110502"/>
    </row>
    <row r="110503" spans="1:6" x14ac:dyDescent="0.25">
      <c r="A110503"/>
      <c r="B110503"/>
      <c r="C110503"/>
      <c r="E110503"/>
      <c r="F110503"/>
    </row>
    <row r="110504" spans="1:6" x14ac:dyDescent="0.25">
      <c r="A110504"/>
      <c r="B110504"/>
      <c r="C110504"/>
      <c r="E110504"/>
      <c r="F110504"/>
    </row>
    <row r="110505" spans="1:6" x14ac:dyDescent="0.25">
      <c r="A110505"/>
      <c r="B110505"/>
      <c r="C110505"/>
      <c r="E110505"/>
      <c r="F110505"/>
    </row>
    <row r="110506" spans="1:6" x14ac:dyDescent="0.25">
      <c r="A110506"/>
      <c r="B110506"/>
      <c r="C110506"/>
      <c r="E110506"/>
      <c r="F110506"/>
    </row>
    <row r="110507" spans="1:6" x14ac:dyDescent="0.25">
      <c r="A110507"/>
      <c r="B110507"/>
      <c r="C110507"/>
      <c r="E110507"/>
      <c r="F110507"/>
    </row>
    <row r="110508" spans="1:6" x14ac:dyDescent="0.25">
      <c r="A110508"/>
      <c r="B110508"/>
      <c r="C110508"/>
      <c r="E110508"/>
      <c r="F110508"/>
    </row>
    <row r="110509" spans="1:6" x14ac:dyDescent="0.25">
      <c r="A110509"/>
      <c r="B110509"/>
      <c r="C110509"/>
      <c r="E110509"/>
      <c r="F110509"/>
    </row>
    <row r="110510" spans="1:6" x14ac:dyDescent="0.25">
      <c r="A110510"/>
      <c r="B110510"/>
      <c r="C110510"/>
      <c r="E110510"/>
      <c r="F110510"/>
    </row>
    <row r="110511" spans="1:6" x14ac:dyDescent="0.25">
      <c r="A110511"/>
      <c r="B110511"/>
      <c r="C110511"/>
      <c r="E110511"/>
      <c r="F110511"/>
    </row>
    <row r="110512" spans="1:6" x14ac:dyDescent="0.25">
      <c r="A110512"/>
      <c r="B110512"/>
      <c r="C110512"/>
      <c r="E110512"/>
      <c r="F110512"/>
    </row>
    <row r="110513" spans="1:6" x14ac:dyDescent="0.25">
      <c r="A110513"/>
      <c r="B110513"/>
      <c r="C110513"/>
      <c r="E110513"/>
      <c r="F110513"/>
    </row>
    <row r="110514" spans="1:6" x14ac:dyDescent="0.25">
      <c r="A110514"/>
      <c r="B110514"/>
      <c r="C110514"/>
      <c r="E110514"/>
      <c r="F110514"/>
    </row>
    <row r="110515" spans="1:6" x14ac:dyDescent="0.25">
      <c r="A110515"/>
      <c r="B110515"/>
      <c r="C110515"/>
      <c r="E110515"/>
      <c r="F110515"/>
    </row>
    <row r="110516" spans="1:6" x14ac:dyDescent="0.25">
      <c r="A110516"/>
      <c r="B110516"/>
      <c r="C110516"/>
      <c r="E110516"/>
      <c r="F110516"/>
    </row>
    <row r="110517" spans="1:6" x14ac:dyDescent="0.25">
      <c r="A110517"/>
      <c r="B110517"/>
      <c r="C110517"/>
      <c r="E110517"/>
      <c r="F110517"/>
    </row>
    <row r="110518" spans="1:6" x14ac:dyDescent="0.25">
      <c r="A110518"/>
      <c r="B110518"/>
      <c r="C110518"/>
      <c r="E110518"/>
      <c r="F110518"/>
    </row>
    <row r="110519" spans="1:6" x14ac:dyDescent="0.25">
      <c r="A110519"/>
      <c r="B110519"/>
      <c r="C110519"/>
      <c r="E110519"/>
      <c r="F110519"/>
    </row>
    <row r="110520" spans="1:6" x14ac:dyDescent="0.25">
      <c r="A110520"/>
      <c r="B110520"/>
      <c r="C110520"/>
      <c r="E110520"/>
      <c r="F110520"/>
    </row>
    <row r="110521" spans="1:6" x14ac:dyDescent="0.25">
      <c r="A110521"/>
      <c r="B110521"/>
      <c r="C110521"/>
      <c r="E110521"/>
      <c r="F110521"/>
    </row>
    <row r="110522" spans="1:6" x14ac:dyDescent="0.25">
      <c r="A110522"/>
      <c r="B110522"/>
      <c r="C110522"/>
      <c r="E110522"/>
      <c r="F110522"/>
    </row>
    <row r="110523" spans="1:6" x14ac:dyDescent="0.25">
      <c r="A110523"/>
      <c r="B110523"/>
      <c r="C110523"/>
      <c r="E110523"/>
      <c r="F110523"/>
    </row>
    <row r="110524" spans="1:6" x14ac:dyDescent="0.25">
      <c r="A110524"/>
      <c r="B110524"/>
      <c r="C110524"/>
      <c r="E110524"/>
      <c r="F110524"/>
    </row>
    <row r="110525" spans="1:6" x14ac:dyDescent="0.25">
      <c r="A110525"/>
      <c r="B110525"/>
      <c r="C110525"/>
      <c r="E110525"/>
      <c r="F110525"/>
    </row>
    <row r="110526" spans="1:6" x14ac:dyDescent="0.25">
      <c r="A110526"/>
      <c r="B110526"/>
      <c r="C110526"/>
      <c r="E110526"/>
      <c r="F110526"/>
    </row>
    <row r="110527" spans="1:6" x14ac:dyDescent="0.25">
      <c r="A110527"/>
      <c r="B110527"/>
      <c r="C110527"/>
      <c r="E110527"/>
      <c r="F110527"/>
    </row>
    <row r="110528" spans="1:6" x14ac:dyDescent="0.25">
      <c r="A110528"/>
      <c r="B110528"/>
      <c r="C110528"/>
      <c r="E110528"/>
      <c r="F110528"/>
    </row>
    <row r="110529" spans="1:6" x14ac:dyDescent="0.25">
      <c r="A110529"/>
      <c r="B110529"/>
      <c r="C110529"/>
      <c r="E110529"/>
      <c r="F110529"/>
    </row>
    <row r="110530" spans="1:6" x14ac:dyDescent="0.25">
      <c r="A110530"/>
      <c r="B110530"/>
      <c r="C110530"/>
      <c r="E110530"/>
      <c r="F110530"/>
    </row>
    <row r="110531" spans="1:6" x14ac:dyDescent="0.25">
      <c r="A110531"/>
      <c r="B110531"/>
      <c r="C110531"/>
      <c r="E110531"/>
      <c r="F110531"/>
    </row>
    <row r="110532" spans="1:6" x14ac:dyDescent="0.25">
      <c r="A110532"/>
      <c r="B110532"/>
      <c r="C110532"/>
      <c r="E110532"/>
      <c r="F110532"/>
    </row>
    <row r="110533" spans="1:6" x14ac:dyDescent="0.25">
      <c r="A110533"/>
      <c r="B110533"/>
      <c r="C110533"/>
      <c r="E110533"/>
      <c r="F110533"/>
    </row>
    <row r="110534" spans="1:6" x14ac:dyDescent="0.25">
      <c r="A110534"/>
      <c r="B110534"/>
      <c r="C110534"/>
      <c r="E110534"/>
      <c r="F110534"/>
    </row>
    <row r="110535" spans="1:6" x14ac:dyDescent="0.25">
      <c r="A110535"/>
      <c r="B110535"/>
      <c r="C110535"/>
      <c r="E110535"/>
      <c r="F110535"/>
    </row>
    <row r="110536" spans="1:6" x14ac:dyDescent="0.25">
      <c r="A110536"/>
      <c r="B110536"/>
      <c r="C110536"/>
      <c r="E110536"/>
      <c r="F110536"/>
    </row>
    <row r="110537" spans="1:6" x14ac:dyDescent="0.25">
      <c r="A110537"/>
      <c r="B110537"/>
      <c r="C110537"/>
      <c r="E110537"/>
      <c r="F110537"/>
    </row>
    <row r="110538" spans="1:6" x14ac:dyDescent="0.25">
      <c r="A110538"/>
      <c r="B110538"/>
      <c r="C110538"/>
      <c r="E110538"/>
      <c r="F110538"/>
    </row>
    <row r="110539" spans="1:6" x14ac:dyDescent="0.25">
      <c r="A110539"/>
      <c r="B110539"/>
      <c r="C110539"/>
      <c r="E110539"/>
      <c r="F110539"/>
    </row>
    <row r="110540" spans="1:6" x14ac:dyDescent="0.25">
      <c r="A110540"/>
      <c r="B110540"/>
      <c r="C110540"/>
      <c r="E110540"/>
      <c r="F110540"/>
    </row>
    <row r="110541" spans="1:6" x14ac:dyDescent="0.25">
      <c r="A110541"/>
      <c r="B110541"/>
      <c r="C110541"/>
      <c r="E110541"/>
      <c r="F110541"/>
    </row>
    <row r="110542" spans="1:6" x14ac:dyDescent="0.25">
      <c r="A110542"/>
      <c r="B110542"/>
      <c r="C110542"/>
      <c r="E110542"/>
      <c r="F110542"/>
    </row>
    <row r="110543" spans="1:6" x14ac:dyDescent="0.25">
      <c r="A110543"/>
      <c r="B110543"/>
      <c r="C110543"/>
      <c r="E110543"/>
      <c r="F110543"/>
    </row>
    <row r="110544" spans="1:6" x14ac:dyDescent="0.25">
      <c r="A110544"/>
      <c r="B110544"/>
      <c r="C110544"/>
      <c r="E110544"/>
      <c r="F110544"/>
    </row>
    <row r="110545" spans="1:6" x14ac:dyDescent="0.25">
      <c r="A110545"/>
      <c r="B110545"/>
      <c r="C110545"/>
      <c r="E110545"/>
      <c r="F110545"/>
    </row>
    <row r="110546" spans="1:6" x14ac:dyDescent="0.25">
      <c r="A110546"/>
      <c r="B110546"/>
      <c r="C110546"/>
      <c r="E110546"/>
      <c r="F110546"/>
    </row>
    <row r="110547" spans="1:6" x14ac:dyDescent="0.25">
      <c r="A110547"/>
      <c r="B110547"/>
      <c r="C110547"/>
      <c r="E110547"/>
      <c r="F110547"/>
    </row>
    <row r="110548" spans="1:6" x14ac:dyDescent="0.25">
      <c r="A110548"/>
      <c r="B110548"/>
      <c r="C110548"/>
      <c r="E110548"/>
      <c r="F110548"/>
    </row>
    <row r="110549" spans="1:6" x14ac:dyDescent="0.25">
      <c r="A110549"/>
      <c r="B110549"/>
      <c r="C110549"/>
      <c r="E110549"/>
      <c r="F110549"/>
    </row>
    <row r="110550" spans="1:6" x14ac:dyDescent="0.25">
      <c r="A110550"/>
      <c r="B110550"/>
      <c r="C110550"/>
      <c r="E110550"/>
      <c r="F110550"/>
    </row>
    <row r="110551" spans="1:6" x14ac:dyDescent="0.25">
      <c r="A110551"/>
      <c r="B110551"/>
      <c r="C110551"/>
      <c r="E110551"/>
      <c r="F110551"/>
    </row>
    <row r="110552" spans="1:6" x14ac:dyDescent="0.25">
      <c r="A110552"/>
      <c r="B110552"/>
      <c r="C110552"/>
      <c r="E110552"/>
      <c r="F110552"/>
    </row>
    <row r="110553" spans="1:6" x14ac:dyDescent="0.25">
      <c r="A110553"/>
      <c r="B110553"/>
      <c r="C110553"/>
      <c r="E110553"/>
      <c r="F110553"/>
    </row>
    <row r="110554" spans="1:6" x14ac:dyDescent="0.25">
      <c r="A110554"/>
      <c r="B110554"/>
      <c r="C110554"/>
      <c r="E110554"/>
      <c r="F110554"/>
    </row>
    <row r="110555" spans="1:6" x14ac:dyDescent="0.25">
      <c r="A110555"/>
      <c r="B110555"/>
      <c r="C110555"/>
      <c r="E110555"/>
      <c r="F110555"/>
    </row>
    <row r="110556" spans="1:6" x14ac:dyDescent="0.25">
      <c r="A110556"/>
      <c r="B110556"/>
      <c r="C110556"/>
      <c r="E110556"/>
      <c r="F110556"/>
    </row>
    <row r="110557" spans="1:6" x14ac:dyDescent="0.25">
      <c r="A110557"/>
      <c r="B110557"/>
      <c r="C110557"/>
      <c r="E110557"/>
      <c r="F110557"/>
    </row>
    <row r="110558" spans="1:6" x14ac:dyDescent="0.25">
      <c r="A110558"/>
      <c r="B110558"/>
      <c r="C110558"/>
      <c r="E110558"/>
      <c r="F110558"/>
    </row>
    <row r="110559" spans="1:6" x14ac:dyDescent="0.25">
      <c r="A110559"/>
      <c r="B110559"/>
      <c r="C110559"/>
      <c r="E110559"/>
      <c r="F110559"/>
    </row>
    <row r="110560" spans="1:6" x14ac:dyDescent="0.25">
      <c r="A110560"/>
      <c r="B110560"/>
      <c r="C110560"/>
      <c r="E110560"/>
      <c r="F110560"/>
    </row>
    <row r="110561" spans="1:6" x14ac:dyDescent="0.25">
      <c r="A110561"/>
      <c r="B110561"/>
      <c r="C110561"/>
      <c r="E110561"/>
      <c r="F110561"/>
    </row>
    <row r="110562" spans="1:6" x14ac:dyDescent="0.25">
      <c r="A110562"/>
      <c r="B110562"/>
      <c r="C110562"/>
      <c r="E110562"/>
      <c r="F110562"/>
    </row>
    <row r="110563" spans="1:6" x14ac:dyDescent="0.25">
      <c r="A110563"/>
      <c r="B110563"/>
      <c r="C110563"/>
      <c r="E110563"/>
      <c r="F110563"/>
    </row>
    <row r="110564" spans="1:6" x14ac:dyDescent="0.25">
      <c r="A110564"/>
      <c r="B110564"/>
      <c r="C110564"/>
      <c r="E110564"/>
      <c r="F110564"/>
    </row>
    <row r="110565" spans="1:6" x14ac:dyDescent="0.25">
      <c r="A110565"/>
      <c r="B110565"/>
      <c r="C110565"/>
      <c r="E110565"/>
      <c r="F110565"/>
    </row>
    <row r="110566" spans="1:6" x14ac:dyDescent="0.25">
      <c r="A110566"/>
      <c r="B110566"/>
      <c r="C110566"/>
      <c r="E110566"/>
      <c r="F110566"/>
    </row>
    <row r="110567" spans="1:6" x14ac:dyDescent="0.25">
      <c r="A110567"/>
      <c r="B110567"/>
      <c r="C110567"/>
      <c r="E110567"/>
      <c r="F110567"/>
    </row>
    <row r="110568" spans="1:6" x14ac:dyDescent="0.25">
      <c r="A110568"/>
      <c r="B110568"/>
      <c r="C110568"/>
      <c r="E110568"/>
      <c r="F110568"/>
    </row>
    <row r="110569" spans="1:6" x14ac:dyDescent="0.25">
      <c r="A110569"/>
      <c r="B110569"/>
      <c r="C110569"/>
      <c r="E110569"/>
      <c r="F110569"/>
    </row>
    <row r="110570" spans="1:6" x14ac:dyDescent="0.25">
      <c r="A110570"/>
      <c r="B110570"/>
      <c r="C110570"/>
      <c r="E110570"/>
      <c r="F110570"/>
    </row>
    <row r="110571" spans="1:6" x14ac:dyDescent="0.25">
      <c r="A110571"/>
      <c r="B110571"/>
      <c r="C110571"/>
      <c r="E110571"/>
      <c r="F110571"/>
    </row>
    <row r="110572" spans="1:6" x14ac:dyDescent="0.25">
      <c r="A110572"/>
      <c r="B110572"/>
      <c r="C110572"/>
      <c r="E110572"/>
      <c r="F110572"/>
    </row>
    <row r="110573" spans="1:6" x14ac:dyDescent="0.25">
      <c r="A110573"/>
      <c r="B110573"/>
      <c r="C110573"/>
      <c r="E110573"/>
      <c r="F110573"/>
    </row>
    <row r="110574" spans="1:6" x14ac:dyDescent="0.25">
      <c r="A110574"/>
      <c r="B110574"/>
      <c r="C110574"/>
      <c r="E110574"/>
      <c r="F110574"/>
    </row>
    <row r="110575" spans="1:6" x14ac:dyDescent="0.25">
      <c r="A110575"/>
      <c r="B110575"/>
      <c r="C110575"/>
      <c r="E110575"/>
      <c r="F110575"/>
    </row>
    <row r="110576" spans="1:6" x14ac:dyDescent="0.25">
      <c r="A110576"/>
      <c r="B110576"/>
      <c r="C110576"/>
      <c r="E110576"/>
      <c r="F110576"/>
    </row>
    <row r="110577" spans="1:6" x14ac:dyDescent="0.25">
      <c r="A110577"/>
      <c r="B110577"/>
      <c r="C110577"/>
      <c r="E110577"/>
      <c r="F110577"/>
    </row>
    <row r="110578" spans="1:6" x14ac:dyDescent="0.25">
      <c r="A110578"/>
      <c r="B110578"/>
      <c r="C110578"/>
      <c r="E110578"/>
      <c r="F110578"/>
    </row>
    <row r="110579" spans="1:6" x14ac:dyDescent="0.25">
      <c r="A110579"/>
      <c r="B110579"/>
      <c r="C110579"/>
      <c r="E110579"/>
      <c r="F110579"/>
    </row>
    <row r="110580" spans="1:6" x14ac:dyDescent="0.25">
      <c r="A110580"/>
      <c r="B110580"/>
      <c r="C110580"/>
      <c r="E110580"/>
      <c r="F110580"/>
    </row>
    <row r="110581" spans="1:6" x14ac:dyDescent="0.25">
      <c r="A110581"/>
      <c r="B110581"/>
      <c r="C110581"/>
      <c r="E110581"/>
      <c r="F110581"/>
    </row>
    <row r="110582" spans="1:6" x14ac:dyDescent="0.25">
      <c r="A110582"/>
      <c r="B110582"/>
      <c r="C110582"/>
      <c r="E110582"/>
      <c r="F110582"/>
    </row>
    <row r="110583" spans="1:6" x14ac:dyDescent="0.25">
      <c r="A110583"/>
      <c r="B110583"/>
      <c r="C110583"/>
      <c r="E110583"/>
      <c r="F110583"/>
    </row>
    <row r="110584" spans="1:6" x14ac:dyDescent="0.25">
      <c r="A110584"/>
      <c r="B110584"/>
      <c r="C110584"/>
      <c r="E110584"/>
      <c r="F110584"/>
    </row>
    <row r="110585" spans="1:6" x14ac:dyDescent="0.25">
      <c r="A110585"/>
      <c r="B110585"/>
      <c r="C110585"/>
      <c r="E110585"/>
      <c r="F110585"/>
    </row>
    <row r="110586" spans="1:6" x14ac:dyDescent="0.25">
      <c r="A110586"/>
      <c r="B110586"/>
      <c r="C110586"/>
      <c r="E110586"/>
      <c r="F110586"/>
    </row>
    <row r="110587" spans="1:6" x14ac:dyDescent="0.25">
      <c r="A110587"/>
      <c r="B110587"/>
      <c r="C110587"/>
      <c r="E110587"/>
      <c r="F110587"/>
    </row>
    <row r="110588" spans="1:6" x14ac:dyDescent="0.25">
      <c r="A110588"/>
      <c r="B110588"/>
      <c r="C110588"/>
      <c r="E110588"/>
      <c r="F110588"/>
    </row>
    <row r="110589" spans="1:6" x14ac:dyDescent="0.25">
      <c r="A110589"/>
      <c r="B110589"/>
      <c r="C110589"/>
      <c r="E110589"/>
      <c r="F110589"/>
    </row>
    <row r="110590" spans="1:6" x14ac:dyDescent="0.25">
      <c r="A110590"/>
      <c r="B110590"/>
      <c r="C110590"/>
      <c r="E110590"/>
      <c r="F110590"/>
    </row>
    <row r="110591" spans="1:6" x14ac:dyDescent="0.25">
      <c r="A110591"/>
      <c r="B110591"/>
      <c r="C110591"/>
      <c r="E110591"/>
      <c r="F110591"/>
    </row>
    <row r="110592" spans="1:6" x14ac:dyDescent="0.25">
      <c r="A110592"/>
      <c r="B110592"/>
      <c r="C110592"/>
      <c r="E110592"/>
      <c r="F110592"/>
    </row>
    <row r="110593" spans="1:6" x14ac:dyDescent="0.25">
      <c r="A110593"/>
      <c r="B110593"/>
      <c r="C110593"/>
      <c r="E110593"/>
      <c r="F110593"/>
    </row>
    <row r="110594" spans="1:6" x14ac:dyDescent="0.25">
      <c r="A110594"/>
      <c r="B110594"/>
      <c r="C110594"/>
      <c r="E110594"/>
      <c r="F110594"/>
    </row>
    <row r="110595" spans="1:6" x14ac:dyDescent="0.25">
      <c r="A110595"/>
      <c r="B110595"/>
      <c r="C110595"/>
      <c r="E110595"/>
      <c r="F110595"/>
    </row>
    <row r="110596" spans="1:6" x14ac:dyDescent="0.25">
      <c r="A110596"/>
      <c r="B110596"/>
      <c r="C110596"/>
      <c r="E110596"/>
      <c r="F110596"/>
    </row>
    <row r="110597" spans="1:6" x14ac:dyDescent="0.25">
      <c r="A110597"/>
      <c r="B110597"/>
      <c r="C110597"/>
      <c r="E110597"/>
      <c r="F110597"/>
    </row>
    <row r="110598" spans="1:6" x14ac:dyDescent="0.25">
      <c r="A110598"/>
      <c r="B110598"/>
      <c r="C110598"/>
      <c r="E110598"/>
      <c r="F110598"/>
    </row>
    <row r="110599" spans="1:6" x14ac:dyDescent="0.25">
      <c r="A110599"/>
      <c r="B110599"/>
      <c r="C110599"/>
      <c r="E110599"/>
      <c r="F110599"/>
    </row>
    <row r="110600" spans="1:6" x14ac:dyDescent="0.25">
      <c r="A110600"/>
      <c r="B110600"/>
      <c r="C110600"/>
      <c r="E110600"/>
      <c r="F110600"/>
    </row>
    <row r="110601" spans="1:6" x14ac:dyDescent="0.25">
      <c r="A110601"/>
      <c r="B110601"/>
      <c r="C110601"/>
      <c r="E110601"/>
      <c r="F110601"/>
    </row>
    <row r="110602" spans="1:6" x14ac:dyDescent="0.25">
      <c r="A110602"/>
      <c r="B110602"/>
      <c r="C110602"/>
      <c r="E110602"/>
      <c r="F110602"/>
    </row>
    <row r="110603" spans="1:6" x14ac:dyDescent="0.25">
      <c r="A110603"/>
      <c r="B110603"/>
      <c r="C110603"/>
      <c r="E110603"/>
      <c r="F110603"/>
    </row>
    <row r="110604" spans="1:6" x14ac:dyDescent="0.25">
      <c r="A110604"/>
      <c r="B110604"/>
      <c r="C110604"/>
      <c r="E110604"/>
      <c r="F110604"/>
    </row>
    <row r="110605" spans="1:6" x14ac:dyDescent="0.25">
      <c r="A110605"/>
      <c r="B110605"/>
      <c r="C110605"/>
      <c r="E110605"/>
      <c r="F110605"/>
    </row>
    <row r="110606" spans="1:6" x14ac:dyDescent="0.25">
      <c r="A110606"/>
      <c r="B110606"/>
      <c r="C110606"/>
      <c r="E110606"/>
      <c r="F110606"/>
    </row>
    <row r="110607" spans="1:6" x14ac:dyDescent="0.25">
      <c r="A110607"/>
      <c r="B110607"/>
      <c r="C110607"/>
      <c r="E110607"/>
      <c r="F110607"/>
    </row>
    <row r="110608" spans="1:6" x14ac:dyDescent="0.25">
      <c r="A110608"/>
      <c r="B110608"/>
      <c r="C110608"/>
      <c r="E110608"/>
      <c r="F110608"/>
    </row>
    <row r="110609" spans="1:6" x14ac:dyDescent="0.25">
      <c r="A110609"/>
      <c r="B110609"/>
      <c r="C110609"/>
      <c r="E110609"/>
      <c r="F110609"/>
    </row>
    <row r="110610" spans="1:6" x14ac:dyDescent="0.25">
      <c r="A110610"/>
      <c r="B110610"/>
      <c r="C110610"/>
      <c r="E110610"/>
      <c r="F110610"/>
    </row>
    <row r="110611" spans="1:6" x14ac:dyDescent="0.25">
      <c r="A110611"/>
      <c r="B110611"/>
      <c r="C110611"/>
      <c r="E110611"/>
      <c r="F110611"/>
    </row>
    <row r="110612" spans="1:6" x14ac:dyDescent="0.25">
      <c r="A110612"/>
      <c r="B110612"/>
      <c r="C110612"/>
      <c r="E110612"/>
      <c r="F110612"/>
    </row>
    <row r="110613" spans="1:6" x14ac:dyDescent="0.25">
      <c r="A110613"/>
      <c r="B110613"/>
      <c r="C110613"/>
      <c r="E110613"/>
      <c r="F110613"/>
    </row>
    <row r="110614" spans="1:6" x14ac:dyDescent="0.25">
      <c r="A110614"/>
      <c r="B110614"/>
      <c r="C110614"/>
      <c r="E110614"/>
      <c r="F110614"/>
    </row>
    <row r="110615" spans="1:6" x14ac:dyDescent="0.25">
      <c r="A110615"/>
      <c r="B110615"/>
      <c r="C110615"/>
      <c r="E110615"/>
      <c r="F110615"/>
    </row>
    <row r="110616" spans="1:6" x14ac:dyDescent="0.25">
      <c r="A110616"/>
      <c r="B110616"/>
      <c r="C110616"/>
      <c r="E110616"/>
      <c r="F110616"/>
    </row>
    <row r="110617" spans="1:6" x14ac:dyDescent="0.25">
      <c r="A110617"/>
      <c r="B110617"/>
      <c r="C110617"/>
      <c r="E110617"/>
      <c r="F110617"/>
    </row>
    <row r="110618" spans="1:6" x14ac:dyDescent="0.25">
      <c r="A110618"/>
      <c r="B110618"/>
      <c r="C110618"/>
      <c r="E110618"/>
      <c r="F110618"/>
    </row>
    <row r="110619" spans="1:6" x14ac:dyDescent="0.25">
      <c r="A110619"/>
      <c r="B110619"/>
      <c r="C110619"/>
      <c r="E110619"/>
      <c r="F110619"/>
    </row>
    <row r="110620" spans="1:6" x14ac:dyDescent="0.25">
      <c r="A110620"/>
      <c r="B110620"/>
      <c r="C110620"/>
      <c r="E110620"/>
      <c r="F110620"/>
    </row>
    <row r="110621" spans="1:6" x14ac:dyDescent="0.25">
      <c r="A110621"/>
      <c r="B110621"/>
      <c r="C110621"/>
      <c r="E110621"/>
      <c r="F110621"/>
    </row>
    <row r="110622" spans="1:6" x14ac:dyDescent="0.25">
      <c r="A110622"/>
      <c r="B110622"/>
      <c r="C110622"/>
      <c r="E110622"/>
      <c r="F110622"/>
    </row>
    <row r="110623" spans="1:6" x14ac:dyDescent="0.25">
      <c r="A110623"/>
      <c r="B110623"/>
      <c r="C110623"/>
      <c r="E110623"/>
      <c r="F110623"/>
    </row>
    <row r="110624" spans="1:6" x14ac:dyDescent="0.25">
      <c r="A110624"/>
      <c r="B110624"/>
      <c r="C110624"/>
      <c r="E110624"/>
      <c r="F110624"/>
    </row>
    <row r="110625" spans="1:6" x14ac:dyDescent="0.25">
      <c r="A110625"/>
      <c r="B110625"/>
      <c r="C110625"/>
      <c r="E110625"/>
      <c r="F110625"/>
    </row>
    <row r="110626" spans="1:6" x14ac:dyDescent="0.25">
      <c r="A110626"/>
      <c r="B110626"/>
      <c r="C110626"/>
      <c r="E110626"/>
      <c r="F110626"/>
    </row>
    <row r="110627" spans="1:6" x14ac:dyDescent="0.25">
      <c r="A110627"/>
      <c r="B110627"/>
      <c r="C110627"/>
      <c r="E110627"/>
      <c r="F110627"/>
    </row>
    <row r="110628" spans="1:6" x14ac:dyDescent="0.25">
      <c r="A110628"/>
      <c r="B110628"/>
      <c r="C110628"/>
      <c r="E110628"/>
      <c r="F110628"/>
    </row>
    <row r="110629" spans="1:6" x14ac:dyDescent="0.25">
      <c r="A110629"/>
      <c r="B110629"/>
      <c r="C110629"/>
      <c r="E110629"/>
      <c r="F110629"/>
    </row>
    <row r="110630" spans="1:6" x14ac:dyDescent="0.25">
      <c r="A110630"/>
      <c r="B110630"/>
      <c r="C110630"/>
      <c r="E110630"/>
      <c r="F110630"/>
    </row>
    <row r="110631" spans="1:6" x14ac:dyDescent="0.25">
      <c r="A110631"/>
      <c r="B110631"/>
      <c r="C110631"/>
      <c r="E110631"/>
      <c r="F110631"/>
    </row>
    <row r="110632" spans="1:6" x14ac:dyDescent="0.25">
      <c r="A110632"/>
      <c r="B110632"/>
      <c r="C110632"/>
      <c r="E110632"/>
      <c r="F110632"/>
    </row>
    <row r="110633" spans="1:6" x14ac:dyDescent="0.25">
      <c r="A110633"/>
      <c r="B110633"/>
      <c r="C110633"/>
      <c r="E110633"/>
      <c r="F110633"/>
    </row>
    <row r="110634" spans="1:6" x14ac:dyDescent="0.25">
      <c r="A110634"/>
      <c r="B110634"/>
      <c r="C110634"/>
      <c r="E110634"/>
      <c r="F110634"/>
    </row>
    <row r="110635" spans="1:6" x14ac:dyDescent="0.25">
      <c r="A110635"/>
      <c r="B110635"/>
      <c r="C110635"/>
      <c r="E110635"/>
      <c r="F110635"/>
    </row>
    <row r="110636" spans="1:6" x14ac:dyDescent="0.25">
      <c r="A110636"/>
      <c r="B110636"/>
      <c r="C110636"/>
      <c r="E110636"/>
      <c r="F110636"/>
    </row>
    <row r="110637" spans="1:6" x14ac:dyDescent="0.25">
      <c r="A110637"/>
      <c r="B110637"/>
      <c r="C110637"/>
      <c r="E110637"/>
      <c r="F110637"/>
    </row>
    <row r="110638" spans="1:6" x14ac:dyDescent="0.25">
      <c r="A110638"/>
      <c r="B110638"/>
      <c r="C110638"/>
      <c r="E110638"/>
      <c r="F110638"/>
    </row>
    <row r="110639" spans="1:6" x14ac:dyDescent="0.25">
      <c r="A110639"/>
      <c r="B110639"/>
      <c r="C110639"/>
      <c r="E110639"/>
      <c r="F110639"/>
    </row>
    <row r="110640" spans="1:6" x14ac:dyDescent="0.25">
      <c r="A110640"/>
      <c r="B110640"/>
      <c r="C110640"/>
      <c r="E110640"/>
      <c r="F110640"/>
    </row>
    <row r="110641" spans="1:6" x14ac:dyDescent="0.25">
      <c r="A110641"/>
      <c r="B110641"/>
      <c r="C110641"/>
      <c r="E110641"/>
      <c r="F110641"/>
    </row>
    <row r="110642" spans="1:6" x14ac:dyDescent="0.25">
      <c r="A110642"/>
      <c r="B110642"/>
      <c r="C110642"/>
      <c r="E110642"/>
      <c r="F110642"/>
    </row>
    <row r="110643" spans="1:6" x14ac:dyDescent="0.25">
      <c r="A110643"/>
      <c r="B110643"/>
      <c r="C110643"/>
      <c r="E110643"/>
      <c r="F110643"/>
    </row>
    <row r="110644" spans="1:6" x14ac:dyDescent="0.25">
      <c r="A110644"/>
      <c r="B110644"/>
      <c r="C110644"/>
      <c r="E110644"/>
      <c r="F110644"/>
    </row>
    <row r="110645" spans="1:6" x14ac:dyDescent="0.25">
      <c r="A110645"/>
      <c r="B110645"/>
      <c r="C110645"/>
      <c r="E110645"/>
      <c r="F110645"/>
    </row>
    <row r="110646" spans="1:6" x14ac:dyDescent="0.25">
      <c r="A110646"/>
      <c r="B110646"/>
      <c r="C110646"/>
      <c r="E110646"/>
      <c r="F110646"/>
    </row>
    <row r="110647" spans="1:6" x14ac:dyDescent="0.25">
      <c r="A110647"/>
      <c r="B110647"/>
      <c r="C110647"/>
      <c r="E110647"/>
      <c r="F110647"/>
    </row>
    <row r="110648" spans="1:6" x14ac:dyDescent="0.25">
      <c r="A110648"/>
      <c r="B110648"/>
      <c r="C110648"/>
      <c r="E110648"/>
      <c r="F110648"/>
    </row>
    <row r="110649" spans="1:6" x14ac:dyDescent="0.25">
      <c r="A110649"/>
      <c r="B110649"/>
      <c r="C110649"/>
      <c r="E110649"/>
      <c r="F110649"/>
    </row>
    <row r="110650" spans="1:6" x14ac:dyDescent="0.25">
      <c r="A110650"/>
      <c r="B110650"/>
      <c r="C110650"/>
      <c r="E110650"/>
      <c r="F110650"/>
    </row>
    <row r="110651" spans="1:6" x14ac:dyDescent="0.25">
      <c r="A110651"/>
      <c r="B110651"/>
      <c r="C110651"/>
      <c r="E110651"/>
      <c r="F110651"/>
    </row>
    <row r="110652" spans="1:6" x14ac:dyDescent="0.25">
      <c r="A110652"/>
      <c r="B110652"/>
      <c r="C110652"/>
      <c r="E110652"/>
      <c r="F110652"/>
    </row>
    <row r="110653" spans="1:6" x14ac:dyDescent="0.25">
      <c r="A110653"/>
      <c r="B110653"/>
      <c r="C110653"/>
      <c r="E110653"/>
      <c r="F110653"/>
    </row>
    <row r="110654" spans="1:6" x14ac:dyDescent="0.25">
      <c r="A110654"/>
      <c r="B110654"/>
      <c r="C110654"/>
      <c r="E110654"/>
      <c r="F110654"/>
    </row>
    <row r="110655" spans="1:6" x14ac:dyDescent="0.25">
      <c r="A110655"/>
      <c r="B110655"/>
      <c r="C110655"/>
      <c r="E110655"/>
      <c r="F110655"/>
    </row>
    <row r="110656" spans="1:6" x14ac:dyDescent="0.25">
      <c r="A110656"/>
      <c r="B110656"/>
      <c r="C110656"/>
      <c r="E110656"/>
      <c r="F110656"/>
    </row>
    <row r="110657" spans="1:6" x14ac:dyDescent="0.25">
      <c r="A110657"/>
      <c r="B110657"/>
      <c r="C110657"/>
      <c r="E110657"/>
      <c r="F110657"/>
    </row>
    <row r="110658" spans="1:6" x14ac:dyDescent="0.25">
      <c r="A110658"/>
      <c r="B110658"/>
      <c r="C110658"/>
      <c r="E110658"/>
      <c r="F110658"/>
    </row>
    <row r="110659" spans="1:6" x14ac:dyDescent="0.25">
      <c r="A110659"/>
      <c r="B110659"/>
      <c r="C110659"/>
      <c r="E110659"/>
      <c r="F110659"/>
    </row>
    <row r="110660" spans="1:6" x14ac:dyDescent="0.25">
      <c r="A110660"/>
      <c r="B110660"/>
      <c r="C110660"/>
      <c r="E110660"/>
      <c r="F110660"/>
    </row>
    <row r="110661" spans="1:6" x14ac:dyDescent="0.25">
      <c r="A110661"/>
      <c r="B110661"/>
      <c r="C110661"/>
      <c r="E110661"/>
      <c r="F110661"/>
    </row>
    <row r="110662" spans="1:6" x14ac:dyDescent="0.25">
      <c r="A110662"/>
      <c r="B110662"/>
      <c r="C110662"/>
      <c r="E110662"/>
      <c r="F110662"/>
    </row>
    <row r="110663" spans="1:6" x14ac:dyDescent="0.25">
      <c r="A110663"/>
      <c r="B110663"/>
      <c r="C110663"/>
      <c r="E110663"/>
      <c r="F110663"/>
    </row>
    <row r="110664" spans="1:6" x14ac:dyDescent="0.25">
      <c r="A110664"/>
      <c r="B110664"/>
      <c r="C110664"/>
      <c r="E110664"/>
      <c r="F110664"/>
    </row>
    <row r="110665" spans="1:6" x14ac:dyDescent="0.25">
      <c r="A110665"/>
      <c r="B110665"/>
      <c r="C110665"/>
      <c r="E110665"/>
      <c r="F110665"/>
    </row>
    <row r="110666" spans="1:6" x14ac:dyDescent="0.25">
      <c r="A110666"/>
      <c r="B110666"/>
      <c r="C110666"/>
      <c r="E110666"/>
      <c r="F110666"/>
    </row>
    <row r="110667" spans="1:6" x14ac:dyDescent="0.25">
      <c r="A110667"/>
      <c r="B110667"/>
      <c r="C110667"/>
      <c r="E110667"/>
      <c r="F110667"/>
    </row>
    <row r="110668" spans="1:6" x14ac:dyDescent="0.25">
      <c r="A110668"/>
      <c r="B110668"/>
      <c r="C110668"/>
      <c r="E110668"/>
      <c r="F110668"/>
    </row>
    <row r="110669" spans="1:6" x14ac:dyDescent="0.25">
      <c r="A110669"/>
      <c r="B110669"/>
      <c r="C110669"/>
      <c r="E110669"/>
      <c r="F110669"/>
    </row>
    <row r="110670" spans="1:6" x14ac:dyDescent="0.25">
      <c r="A110670"/>
      <c r="B110670"/>
      <c r="C110670"/>
      <c r="E110670"/>
      <c r="F110670"/>
    </row>
    <row r="110671" spans="1:6" x14ac:dyDescent="0.25">
      <c r="A110671"/>
      <c r="B110671"/>
      <c r="C110671"/>
      <c r="E110671"/>
      <c r="F110671"/>
    </row>
    <row r="110672" spans="1:6" x14ac:dyDescent="0.25">
      <c r="A110672"/>
      <c r="B110672"/>
      <c r="C110672"/>
      <c r="E110672"/>
      <c r="F110672"/>
    </row>
    <row r="110673" spans="1:6" x14ac:dyDescent="0.25">
      <c r="A110673"/>
      <c r="B110673"/>
      <c r="C110673"/>
      <c r="E110673"/>
      <c r="F110673"/>
    </row>
    <row r="110674" spans="1:6" x14ac:dyDescent="0.25">
      <c r="A110674"/>
      <c r="B110674"/>
      <c r="C110674"/>
      <c r="E110674"/>
      <c r="F110674"/>
    </row>
    <row r="110675" spans="1:6" x14ac:dyDescent="0.25">
      <c r="A110675"/>
      <c r="B110675"/>
      <c r="C110675"/>
      <c r="E110675"/>
      <c r="F110675"/>
    </row>
    <row r="110676" spans="1:6" x14ac:dyDescent="0.25">
      <c r="A110676"/>
      <c r="B110676"/>
      <c r="C110676"/>
      <c r="E110676"/>
      <c r="F110676"/>
    </row>
    <row r="110677" spans="1:6" x14ac:dyDescent="0.25">
      <c r="A110677"/>
      <c r="B110677"/>
      <c r="C110677"/>
      <c r="E110677"/>
      <c r="F110677"/>
    </row>
    <row r="110678" spans="1:6" x14ac:dyDescent="0.25">
      <c r="A110678"/>
      <c r="B110678"/>
      <c r="C110678"/>
      <c r="E110678"/>
      <c r="F110678"/>
    </row>
    <row r="110679" spans="1:6" x14ac:dyDescent="0.25">
      <c r="A110679"/>
      <c r="B110679"/>
      <c r="C110679"/>
      <c r="E110679"/>
      <c r="F110679"/>
    </row>
    <row r="110680" spans="1:6" x14ac:dyDescent="0.25">
      <c r="A110680"/>
      <c r="B110680"/>
      <c r="C110680"/>
      <c r="E110680"/>
      <c r="F110680"/>
    </row>
    <row r="110681" spans="1:6" x14ac:dyDescent="0.25">
      <c r="A110681"/>
      <c r="B110681"/>
      <c r="C110681"/>
      <c r="E110681"/>
      <c r="F110681"/>
    </row>
    <row r="110682" spans="1:6" x14ac:dyDescent="0.25">
      <c r="A110682"/>
      <c r="B110682"/>
      <c r="C110682"/>
      <c r="E110682"/>
      <c r="F110682"/>
    </row>
    <row r="110683" spans="1:6" x14ac:dyDescent="0.25">
      <c r="A110683"/>
      <c r="B110683"/>
      <c r="C110683"/>
      <c r="E110683"/>
      <c r="F110683"/>
    </row>
    <row r="110684" spans="1:6" x14ac:dyDescent="0.25">
      <c r="A110684"/>
      <c r="B110684"/>
      <c r="C110684"/>
      <c r="E110684"/>
      <c r="F110684"/>
    </row>
    <row r="110685" spans="1:6" x14ac:dyDescent="0.25">
      <c r="A110685"/>
      <c r="B110685"/>
      <c r="C110685"/>
      <c r="E110685"/>
      <c r="F110685"/>
    </row>
    <row r="110686" spans="1:6" x14ac:dyDescent="0.25">
      <c r="A110686"/>
      <c r="B110686"/>
      <c r="C110686"/>
      <c r="E110686"/>
      <c r="F110686"/>
    </row>
    <row r="110687" spans="1:6" x14ac:dyDescent="0.25">
      <c r="A110687"/>
      <c r="B110687"/>
      <c r="C110687"/>
      <c r="E110687"/>
      <c r="F110687"/>
    </row>
    <row r="110688" spans="1:6" x14ac:dyDescent="0.25">
      <c r="A110688"/>
      <c r="B110688"/>
      <c r="C110688"/>
      <c r="E110688"/>
      <c r="F110688"/>
    </row>
    <row r="110689" spans="1:6" x14ac:dyDescent="0.25">
      <c r="A110689"/>
      <c r="B110689"/>
      <c r="C110689"/>
      <c r="E110689"/>
      <c r="F110689"/>
    </row>
    <row r="110690" spans="1:6" x14ac:dyDescent="0.25">
      <c r="A110690"/>
      <c r="B110690"/>
      <c r="C110690"/>
      <c r="E110690"/>
      <c r="F110690"/>
    </row>
    <row r="110691" spans="1:6" x14ac:dyDescent="0.25">
      <c r="A110691"/>
      <c r="B110691"/>
      <c r="C110691"/>
      <c r="E110691"/>
      <c r="F110691"/>
    </row>
    <row r="110692" spans="1:6" x14ac:dyDescent="0.25">
      <c r="A110692"/>
      <c r="B110692"/>
      <c r="C110692"/>
      <c r="E110692"/>
      <c r="F110692"/>
    </row>
    <row r="110693" spans="1:6" x14ac:dyDescent="0.25">
      <c r="A110693"/>
      <c r="B110693"/>
      <c r="C110693"/>
      <c r="E110693"/>
      <c r="F110693"/>
    </row>
    <row r="110694" spans="1:6" x14ac:dyDescent="0.25">
      <c r="A110694"/>
      <c r="B110694"/>
      <c r="C110694"/>
      <c r="E110694"/>
      <c r="F110694"/>
    </row>
    <row r="110695" spans="1:6" x14ac:dyDescent="0.25">
      <c r="A110695"/>
      <c r="B110695"/>
      <c r="C110695"/>
      <c r="E110695"/>
      <c r="F110695"/>
    </row>
    <row r="110696" spans="1:6" x14ac:dyDescent="0.25">
      <c r="A110696"/>
      <c r="B110696"/>
      <c r="C110696"/>
      <c r="E110696"/>
      <c r="F110696"/>
    </row>
    <row r="110697" spans="1:6" x14ac:dyDescent="0.25">
      <c r="A110697"/>
      <c r="B110697"/>
      <c r="C110697"/>
      <c r="E110697"/>
      <c r="F110697"/>
    </row>
    <row r="110698" spans="1:6" x14ac:dyDescent="0.25">
      <c r="A110698"/>
      <c r="B110698"/>
      <c r="C110698"/>
      <c r="E110698"/>
      <c r="F110698"/>
    </row>
    <row r="110699" spans="1:6" x14ac:dyDescent="0.25">
      <c r="A110699"/>
      <c r="B110699"/>
      <c r="C110699"/>
      <c r="E110699"/>
      <c r="F110699"/>
    </row>
    <row r="110700" spans="1:6" x14ac:dyDescent="0.25">
      <c r="A110700"/>
      <c r="B110700"/>
      <c r="C110700"/>
      <c r="E110700"/>
      <c r="F110700"/>
    </row>
    <row r="110701" spans="1:6" x14ac:dyDescent="0.25">
      <c r="A110701"/>
      <c r="B110701"/>
      <c r="C110701"/>
      <c r="E110701"/>
      <c r="F110701"/>
    </row>
    <row r="110702" spans="1:6" x14ac:dyDescent="0.25">
      <c r="A110702"/>
      <c r="B110702"/>
      <c r="C110702"/>
      <c r="E110702"/>
      <c r="F110702"/>
    </row>
    <row r="110703" spans="1:6" x14ac:dyDescent="0.25">
      <c r="A110703"/>
      <c r="B110703"/>
      <c r="C110703"/>
      <c r="E110703"/>
      <c r="F110703"/>
    </row>
    <row r="110704" spans="1:6" x14ac:dyDescent="0.25">
      <c r="A110704"/>
      <c r="B110704"/>
      <c r="C110704"/>
      <c r="E110704"/>
      <c r="F110704"/>
    </row>
    <row r="110705" spans="1:6" x14ac:dyDescent="0.25">
      <c r="A110705"/>
      <c r="B110705"/>
      <c r="C110705"/>
      <c r="E110705"/>
      <c r="F110705"/>
    </row>
    <row r="110706" spans="1:6" x14ac:dyDescent="0.25">
      <c r="A110706"/>
      <c r="B110706"/>
      <c r="C110706"/>
      <c r="E110706"/>
      <c r="F110706"/>
    </row>
    <row r="110707" spans="1:6" x14ac:dyDescent="0.25">
      <c r="A110707"/>
      <c r="B110707"/>
      <c r="C110707"/>
      <c r="E110707"/>
      <c r="F110707"/>
    </row>
    <row r="110708" spans="1:6" x14ac:dyDescent="0.25">
      <c r="A110708"/>
      <c r="B110708"/>
      <c r="C110708"/>
      <c r="E110708"/>
      <c r="F110708"/>
    </row>
    <row r="110709" spans="1:6" x14ac:dyDescent="0.25">
      <c r="A110709"/>
      <c r="B110709"/>
      <c r="C110709"/>
      <c r="E110709"/>
      <c r="F110709"/>
    </row>
    <row r="110710" spans="1:6" x14ac:dyDescent="0.25">
      <c r="A110710"/>
      <c r="B110710"/>
      <c r="C110710"/>
      <c r="E110710"/>
      <c r="F110710"/>
    </row>
    <row r="110711" spans="1:6" x14ac:dyDescent="0.25">
      <c r="A110711"/>
      <c r="B110711"/>
      <c r="C110711"/>
      <c r="E110711"/>
      <c r="F110711"/>
    </row>
    <row r="110712" spans="1:6" x14ac:dyDescent="0.25">
      <c r="A110712"/>
      <c r="B110712"/>
      <c r="C110712"/>
      <c r="E110712"/>
      <c r="F110712"/>
    </row>
    <row r="110713" spans="1:6" x14ac:dyDescent="0.25">
      <c r="A110713"/>
      <c r="B110713"/>
      <c r="C110713"/>
      <c r="E110713"/>
      <c r="F110713"/>
    </row>
    <row r="110714" spans="1:6" x14ac:dyDescent="0.25">
      <c r="A110714"/>
      <c r="B110714"/>
      <c r="C110714"/>
      <c r="E110714"/>
      <c r="F110714"/>
    </row>
    <row r="110715" spans="1:6" x14ac:dyDescent="0.25">
      <c r="A110715"/>
      <c r="B110715"/>
      <c r="C110715"/>
      <c r="E110715"/>
      <c r="F110715"/>
    </row>
    <row r="110716" spans="1:6" x14ac:dyDescent="0.25">
      <c r="A110716"/>
      <c r="B110716"/>
      <c r="C110716"/>
      <c r="E110716"/>
      <c r="F110716"/>
    </row>
    <row r="110717" spans="1:6" x14ac:dyDescent="0.25">
      <c r="A110717"/>
      <c r="B110717"/>
      <c r="C110717"/>
      <c r="E110717"/>
      <c r="F110717"/>
    </row>
    <row r="110718" spans="1:6" x14ac:dyDescent="0.25">
      <c r="A110718"/>
      <c r="B110718"/>
      <c r="C110718"/>
      <c r="E110718"/>
      <c r="F110718"/>
    </row>
    <row r="110719" spans="1:6" x14ac:dyDescent="0.25">
      <c r="A110719"/>
      <c r="B110719"/>
      <c r="C110719"/>
      <c r="E110719"/>
      <c r="F110719"/>
    </row>
    <row r="110720" spans="1:6" x14ac:dyDescent="0.25">
      <c r="A110720"/>
      <c r="B110720"/>
      <c r="C110720"/>
      <c r="E110720"/>
      <c r="F110720"/>
    </row>
    <row r="110721" spans="1:6" x14ac:dyDescent="0.25">
      <c r="A110721"/>
      <c r="B110721"/>
      <c r="C110721"/>
      <c r="E110721"/>
      <c r="F110721"/>
    </row>
    <row r="110722" spans="1:6" x14ac:dyDescent="0.25">
      <c r="A110722"/>
      <c r="B110722"/>
      <c r="C110722"/>
      <c r="E110722"/>
      <c r="F110722"/>
    </row>
    <row r="110723" spans="1:6" x14ac:dyDescent="0.25">
      <c r="A110723"/>
      <c r="B110723"/>
      <c r="C110723"/>
      <c r="E110723"/>
      <c r="F110723"/>
    </row>
    <row r="110724" spans="1:6" x14ac:dyDescent="0.25">
      <c r="A110724"/>
      <c r="B110724"/>
      <c r="C110724"/>
      <c r="E110724"/>
      <c r="F110724"/>
    </row>
    <row r="110725" spans="1:6" x14ac:dyDescent="0.25">
      <c r="A110725"/>
      <c r="B110725"/>
      <c r="C110725"/>
      <c r="E110725"/>
      <c r="F110725"/>
    </row>
    <row r="110726" spans="1:6" x14ac:dyDescent="0.25">
      <c r="A110726"/>
      <c r="B110726"/>
      <c r="C110726"/>
      <c r="E110726"/>
      <c r="F110726"/>
    </row>
    <row r="110727" spans="1:6" x14ac:dyDescent="0.25">
      <c r="A110727"/>
      <c r="B110727"/>
      <c r="C110727"/>
      <c r="E110727"/>
      <c r="F110727"/>
    </row>
    <row r="110728" spans="1:6" x14ac:dyDescent="0.25">
      <c r="A110728"/>
      <c r="B110728"/>
      <c r="C110728"/>
      <c r="E110728"/>
      <c r="F110728"/>
    </row>
    <row r="110729" spans="1:6" x14ac:dyDescent="0.25">
      <c r="A110729"/>
      <c r="B110729"/>
      <c r="C110729"/>
      <c r="E110729"/>
      <c r="F110729"/>
    </row>
    <row r="110730" spans="1:6" x14ac:dyDescent="0.25">
      <c r="A110730"/>
      <c r="B110730"/>
      <c r="C110730"/>
      <c r="E110730"/>
      <c r="F110730"/>
    </row>
    <row r="110731" spans="1:6" x14ac:dyDescent="0.25">
      <c r="A110731"/>
      <c r="B110731"/>
      <c r="C110731"/>
      <c r="E110731"/>
      <c r="F110731"/>
    </row>
    <row r="110732" spans="1:6" x14ac:dyDescent="0.25">
      <c r="A110732"/>
      <c r="B110732"/>
      <c r="C110732"/>
      <c r="E110732"/>
      <c r="F110732"/>
    </row>
    <row r="110733" spans="1:6" x14ac:dyDescent="0.25">
      <c r="A110733"/>
      <c r="B110733"/>
      <c r="C110733"/>
      <c r="E110733"/>
      <c r="F110733"/>
    </row>
    <row r="110734" spans="1:6" x14ac:dyDescent="0.25">
      <c r="A110734"/>
      <c r="B110734"/>
      <c r="C110734"/>
      <c r="E110734"/>
      <c r="F110734"/>
    </row>
    <row r="110735" spans="1:6" x14ac:dyDescent="0.25">
      <c r="A110735"/>
      <c r="B110735"/>
      <c r="C110735"/>
      <c r="E110735"/>
      <c r="F110735"/>
    </row>
    <row r="110736" spans="1:6" x14ac:dyDescent="0.25">
      <c r="A110736"/>
      <c r="B110736"/>
      <c r="C110736"/>
      <c r="E110736"/>
      <c r="F110736"/>
    </row>
    <row r="110737" spans="1:6" x14ac:dyDescent="0.25">
      <c r="A110737"/>
      <c r="B110737"/>
      <c r="C110737"/>
      <c r="E110737"/>
      <c r="F110737"/>
    </row>
    <row r="110738" spans="1:6" x14ac:dyDescent="0.25">
      <c r="A110738"/>
      <c r="B110738"/>
      <c r="C110738"/>
      <c r="E110738"/>
      <c r="F110738"/>
    </row>
    <row r="110739" spans="1:6" x14ac:dyDescent="0.25">
      <c r="A110739"/>
      <c r="B110739"/>
      <c r="C110739"/>
      <c r="E110739"/>
      <c r="F110739"/>
    </row>
    <row r="110740" spans="1:6" x14ac:dyDescent="0.25">
      <c r="A110740"/>
      <c r="B110740"/>
      <c r="C110740"/>
      <c r="E110740"/>
      <c r="F110740"/>
    </row>
    <row r="110741" spans="1:6" x14ac:dyDescent="0.25">
      <c r="A110741"/>
      <c r="B110741"/>
      <c r="C110741"/>
      <c r="E110741"/>
      <c r="F110741"/>
    </row>
    <row r="110742" spans="1:6" x14ac:dyDescent="0.25">
      <c r="A110742"/>
      <c r="B110742"/>
      <c r="C110742"/>
      <c r="E110742"/>
      <c r="F110742"/>
    </row>
    <row r="110743" spans="1:6" x14ac:dyDescent="0.25">
      <c r="A110743"/>
      <c r="B110743"/>
      <c r="C110743"/>
      <c r="E110743"/>
      <c r="F110743"/>
    </row>
    <row r="110744" spans="1:6" x14ac:dyDescent="0.25">
      <c r="A110744"/>
      <c r="B110744"/>
      <c r="C110744"/>
      <c r="E110744"/>
      <c r="F110744"/>
    </row>
    <row r="110745" spans="1:6" x14ac:dyDescent="0.25">
      <c r="A110745"/>
      <c r="B110745"/>
      <c r="C110745"/>
      <c r="E110745"/>
      <c r="F110745"/>
    </row>
    <row r="110746" spans="1:6" x14ac:dyDescent="0.25">
      <c r="A110746"/>
      <c r="B110746"/>
      <c r="C110746"/>
      <c r="E110746"/>
      <c r="F110746"/>
    </row>
    <row r="110747" spans="1:6" x14ac:dyDescent="0.25">
      <c r="A110747"/>
      <c r="B110747"/>
      <c r="C110747"/>
      <c r="E110747"/>
      <c r="F110747"/>
    </row>
    <row r="110748" spans="1:6" x14ac:dyDescent="0.25">
      <c r="A110748"/>
      <c r="B110748"/>
      <c r="C110748"/>
      <c r="E110748"/>
      <c r="F110748"/>
    </row>
    <row r="110749" spans="1:6" x14ac:dyDescent="0.25">
      <c r="A110749"/>
      <c r="B110749"/>
      <c r="C110749"/>
      <c r="E110749"/>
      <c r="F110749"/>
    </row>
    <row r="110750" spans="1:6" x14ac:dyDescent="0.25">
      <c r="A110750"/>
      <c r="B110750"/>
      <c r="C110750"/>
      <c r="E110750"/>
      <c r="F110750"/>
    </row>
    <row r="110751" spans="1:6" x14ac:dyDescent="0.25">
      <c r="A110751"/>
      <c r="B110751"/>
      <c r="C110751"/>
      <c r="E110751"/>
      <c r="F110751"/>
    </row>
    <row r="110752" spans="1:6" x14ac:dyDescent="0.25">
      <c r="A110752"/>
      <c r="B110752"/>
      <c r="C110752"/>
      <c r="E110752"/>
      <c r="F110752"/>
    </row>
    <row r="110753" spans="1:6" x14ac:dyDescent="0.25">
      <c r="A110753"/>
      <c r="B110753"/>
      <c r="C110753"/>
      <c r="E110753"/>
      <c r="F110753"/>
    </row>
    <row r="110754" spans="1:6" x14ac:dyDescent="0.25">
      <c r="A110754"/>
      <c r="B110754"/>
      <c r="C110754"/>
      <c r="E110754"/>
      <c r="F110754"/>
    </row>
    <row r="110755" spans="1:6" x14ac:dyDescent="0.25">
      <c r="A110755"/>
      <c r="B110755"/>
      <c r="C110755"/>
      <c r="E110755"/>
      <c r="F110755"/>
    </row>
    <row r="110756" spans="1:6" x14ac:dyDescent="0.25">
      <c r="A110756"/>
      <c r="B110756"/>
      <c r="C110756"/>
      <c r="E110756"/>
      <c r="F110756"/>
    </row>
    <row r="110757" spans="1:6" x14ac:dyDescent="0.25">
      <c r="A110757"/>
      <c r="B110757"/>
      <c r="C110757"/>
      <c r="E110757"/>
      <c r="F110757"/>
    </row>
    <row r="110758" spans="1:6" x14ac:dyDescent="0.25">
      <c r="A110758"/>
      <c r="B110758"/>
      <c r="C110758"/>
      <c r="E110758"/>
      <c r="F110758"/>
    </row>
    <row r="110759" spans="1:6" x14ac:dyDescent="0.25">
      <c r="A110759"/>
      <c r="B110759"/>
      <c r="C110759"/>
      <c r="E110759"/>
      <c r="F110759"/>
    </row>
    <row r="110760" spans="1:6" x14ac:dyDescent="0.25">
      <c r="A110760"/>
      <c r="B110760"/>
      <c r="C110760"/>
      <c r="E110760"/>
      <c r="F110760"/>
    </row>
    <row r="110761" spans="1:6" x14ac:dyDescent="0.25">
      <c r="A110761"/>
      <c r="B110761"/>
      <c r="C110761"/>
      <c r="E110761"/>
      <c r="F110761"/>
    </row>
    <row r="110762" spans="1:6" x14ac:dyDescent="0.25">
      <c r="A110762"/>
      <c r="B110762"/>
      <c r="C110762"/>
      <c r="E110762"/>
      <c r="F110762"/>
    </row>
    <row r="110763" spans="1:6" x14ac:dyDescent="0.25">
      <c r="A110763"/>
      <c r="B110763"/>
      <c r="C110763"/>
      <c r="E110763"/>
      <c r="F110763"/>
    </row>
    <row r="110764" spans="1:6" x14ac:dyDescent="0.25">
      <c r="A110764"/>
      <c r="B110764"/>
      <c r="C110764"/>
      <c r="E110764"/>
      <c r="F110764"/>
    </row>
    <row r="110765" spans="1:6" x14ac:dyDescent="0.25">
      <c r="A110765"/>
      <c r="B110765"/>
      <c r="C110765"/>
      <c r="E110765"/>
      <c r="F110765"/>
    </row>
    <row r="110766" spans="1:6" x14ac:dyDescent="0.25">
      <c r="A110766"/>
      <c r="B110766"/>
      <c r="C110766"/>
      <c r="E110766"/>
      <c r="F110766"/>
    </row>
    <row r="110767" spans="1:6" x14ac:dyDescent="0.25">
      <c r="A110767"/>
      <c r="B110767"/>
      <c r="C110767"/>
      <c r="E110767"/>
      <c r="F110767"/>
    </row>
    <row r="110768" spans="1:6" x14ac:dyDescent="0.25">
      <c r="A110768"/>
      <c r="B110768"/>
      <c r="C110768"/>
      <c r="E110768"/>
      <c r="F110768"/>
    </row>
    <row r="110769" spans="1:6" x14ac:dyDescent="0.25">
      <c r="A110769"/>
      <c r="B110769"/>
      <c r="C110769"/>
      <c r="E110769"/>
      <c r="F110769"/>
    </row>
    <row r="110770" spans="1:6" x14ac:dyDescent="0.25">
      <c r="A110770"/>
      <c r="B110770"/>
      <c r="C110770"/>
      <c r="E110770"/>
      <c r="F110770"/>
    </row>
    <row r="110771" spans="1:6" x14ac:dyDescent="0.25">
      <c r="A110771"/>
      <c r="B110771"/>
      <c r="C110771"/>
      <c r="E110771"/>
      <c r="F110771"/>
    </row>
    <row r="110772" spans="1:6" x14ac:dyDescent="0.25">
      <c r="A110772"/>
      <c r="B110772"/>
      <c r="C110772"/>
      <c r="E110772"/>
      <c r="F110772"/>
    </row>
    <row r="110773" spans="1:6" x14ac:dyDescent="0.25">
      <c r="A110773"/>
      <c r="B110773"/>
      <c r="C110773"/>
      <c r="E110773"/>
      <c r="F110773"/>
    </row>
    <row r="110774" spans="1:6" x14ac:dyDescent="0.25">
      <c r="A110774"/>
      <c r="B110774"/>
      <c r="C110774"/>
      <c r="E110774"/>
      <c r="F110774"/>
    </row>
    <row r="110775" spans="1:6" x14ac:dyDescent="0.25">
      <c r="A110775"/>
      <c r="B110775"/>
      <c r="C110775"/>
      <c r="E110775"/>
      <c r="F110775"/>
    </row>
    <row r="110776" spans="1:6" x14ac:dyDescent="0.25">
      <c r="A110776"/>
      <c r="B110776"/>
      <c r="C110776"/>
      <c r="E110776"/>
      <c r="F110776"/>
    </row>
    <row r="110777" spans="1:6" x14ac:dyDescent="0.25">
      <c r="A110777"/>
      <c r="B110777"/>
      <c r="C110777"/>
      <c r="E110777"/>
      <c r="F110777"/>
    </row>
    <row r="110778" spans="1:6" x14ac:dyDescent="0.25">
      <c r="A110778"/>
      <c r="B110778"/>
      <c r="C110778"/>
      <c r="E110778"/>
      <c r="F110778"/>
    </row>
    <row r="110779" spans="1:6" x14ac:dyDescent="0.25">
      <c r="A110779"/>
      <c r="B110779"/>
      <c r="C110779"/>
      <c r="E110779"/>
      <c r="F110779"/>
    </row>
    <row r="110780" spans="1:6" x14ac:dyDescent="0.25">
      <c r="A110780"/>
      <c r="B110780"/>
      <c r="C110780"/>
      <c r="E110780"/>
      <c r="F110780"/>
    </row>
    <row r="110781" spans="1:6" x14ac:dyDescent="0.25">
      <c r="A110781"/>
      <c r="B110781"/>
      <c r="C110781"/>
      <c r="E110781"/>
      <c r="F110781"/>
    </row>
    <row r="110782" spans="1:6" x14ac:dyDescent="0.25">
      <c r="A110782"/>
      <c r="B110782"/>
      <c r="C110782"/>
      <c r="E110782"/>
      <c r="F110782"/>
    </row>
    <row r="110783" spans="1:6" x14ac:dyDescent="0.25">
      <c r="A110783"/>
      <c r="B110783"/>
      <c r="C110783"/>
      <c r="E110783"/>
      <c r="F110783"/>
    </row>
    <row r="110784" spans="1:6" x14ac:dyDescent="0.25">
      <c r="A110784"/>
      <c r="B110784"/>
      <c r="C110784"/>
      <c r="E110784"/>
      <c r="F110784"/>
    </row>
    <row r="110785" spans="1:6" x14ac:dyDescent="0.25">
      <c r="A110785"/>
      <c r="B110785"/>
      <c r="C110785"/>
      <c r="E110785"/>
      <c r="F110785"/>
    </row>
    <row r="110786" spans="1:6" x14ac:dyDescent="0.25">
      <c r="A110786"/>
      <c r="B110786"/>
      <c r="C110786"/>
      <c r="E110786"/>
      <c r="F110786"/>
    </row>
    <row r="110787" spans="1:6" x14ac:dyDescent="0.25">
      <c r="A110787"/>
      <c r="B110787"/>
      <c r="C110787"/>
      <c r="E110787"/>
      <c r="F110787"/>
    </row>
    <row r="110788" spans="1:6" x14ac:dyDescent="0.25">
      <c r="A110788"/>
      <c r="B110788"/>
      <c r="C110788"/>
      <c r="E110788"/>
      <c r="F110788"/>
    </row>
    <row r="110789" spans="1:6" x14ac:dyDescent="0.25">
      <c r="A110789"/>
      <c r="B110789"/>
      <c r="C110789"/>
      <c r="E110789"/>
      <c r="F110789"/>
    </row>
    <row r="110790" spans="1:6" x14ac:dyDescent="0.25">
      <c r="A110790"/>
      <c r="B110790"/>
      <c r="C110790"/>
      <c r="E110790"/>
      <c r="F110790"/>
    </row>
    <row r="110791" spans="1:6" x14ac:dyDescent="0.25">
      <c r="A110791"/>
      <c r="B110791"/>
      <c r="C110791"/>
      <c r="E110791"/>
      <c r="F110791"/>
    </row>
    <row r="110792" spans="1:6" x14ac:dyDescent="0.25">
      <c r="A110792"/>
      <c r="B110792"/>
      <c r="C110792"/>
      <c r="E110792"/>
      <c r="F110792"/>
    </row>
    <row r="110793" spans="1:6" x14ac:dyDescent="0.25">
      <c r="A110793"/>
      <c r="B110793"/>
      <c r="C110793"/>
      <c r="E110793"/>
      <c r="F110793"/>
    </row>
    <row r="110794" spans="1:6" x14ac:dyDescent="0.25">
      <c r="A110794"/>
      <c r="B110794"/>
      <c r="C110794"/>
      <c r="E110794"/>
      <c r="F110794"/>
    </row>
    <row r="110795" spans="1:6" x14ac:dyDescent="0.25">
      <c r="A110795"/>
      <c r="B110795"/>
      <c r="C110795"/>
      <c r="E110795"/>
      <c r="F110795"/>
    </row>
    <row r="110796" spans="1:6" x14ac:dyDescent="0.25">
      <c r="A110796"/>
      <c r="B110796"/>
      <c r="C110796"/>
      <c r="E110796"/>
      <c r="F110796"/>
    </row>
    <row r="110797" spans="1:6" x14ac:dyDescent="0.25">
      <c r="A110797"/>
      <c r="B110797"/>
      <c r="C110797"/>
      <c r="E110797"/>
      <c r="F110797"/>
    </row>
    <row r="110798" spans="1:6" x14ac:dyDescent="0.25">
      <c r="A110798"/>
      <c r="B110798"/>
      <c r="C110798"/>
      <c r="E110798"/>
      <c r="F110798"/>
    </row>
    <row r="110799" spans="1:6" x14ac:dyDescent="0.25">
      <c r="A110799"/>
      <c r="B110799"/>
      <c r="C110799"/>
      <c r="E110799"/>
      <c r="F110799"/>
    </row>
    <row r="110800" spans="1:6" x14ac:dyDescent="0.25">
      <c r="A110800"/>
      <c r="B110800"/>
      <c r="C110800"/>
      <c r="E110800"/>
      <c r="F110800"/>
    </row>
    <row r="110801" spans="1:6" x14ac:dyDescent="0.25">
      <c r="A110801"/>
      <c r="B110801"/>
      <c r="C110801"/>
      <c r="E110801"/>
      <c r="F110801"/>
    </row>
    <row r="110802" spans="1:6" x14ac:dyDescent="0.25">
      <c r="A110802"/>
      <c r="B110802"/>
      <c r="C110802"/>
      <c r="E110802"/>
      <c r="F110802"/>
    </row>
    <row r="110803" spans="1:6" x14ac:dyDescent="0.25">
      <c r="A110803"/>
      <c r="B110803"/>
      <c r="C110803"/>
      <c r="E110803"/>
      <c r="F110803"/>
    </row>
    <row r="110804" spans="1:6" x14ac:dyDescent="0.25">
      <c r="A110804"/>
      <c r="B110804"/>
      <c r="C110804"/>
      <c r="E110804"/>
      <c r="F110804"/>
    </row>
    <row r="110805" spans="1:6" x14ac:dyDescent="0.25">
      <c r="A110805"/>
      <c r="B110805"/>
      <c r="C110805"/>
      <c r="E110805"/>
      <c r="F110805"/>
    </row>
    <row r="110806" spans="1:6" x14ac:dyDescent="0.25">
      <c r="A110806"/>
      <c r="B110806"/>
      <c r="C110806"/>
      <c r="E110806"/>
      <c r="F110806"/>
    </row>
    <row r="110807" spans="1:6" x14ac:dyDescent="0.25">
      <c r="A110807"/>
      <c r="B110807"/>
      <c r="C110807"/>
      <c r="E110807"/>
      <c r="F110807"/>
    </row>
    <row r="110808" spans="1:6" x14ac:dyDescent="0.25">
      <c r="A110808"/>
      <c r="B110808"/>
      <c r="C110808"/>
      <c r="E110808"/>
      <c r="F110808"/>
    </row>
    <row r="110809" spans="1:6" x14ac:dyDescent="0.25">
      <c r="A110809"/>
      <c r="B110809"/>
      <c r="C110809"/>
      <c r="E110809"/>
      <c r="F110809"/>
    </row>
    <row r="110810" spans="1:6" x14ac:dyDescent="0.25">
      <c r="A110810"/>
      <c r="B110810"/>
      <c r="C110810"/>
      <c r="E110810"/>
      <c r="F110810"/>
    </row>
    <row r="110811" spans="1:6" x14ac:dyDescent="0.25">
      <c r="A110811"/>
      <c r="B110811"/>
      <c r="C110811"/>
      <c r="E110811"/>
      <c r="F110811"/>
    </row>
    <row r="110812" spans="1:6" x14ac:dyDescent="0.25">
      <c r="A110812"/>
      <c r="B110812"/>
      <c r="C110812"/>
      <c r="E110812"/>
      <c r="F110812"/>
    </row>
    <row r="110813" spans="1:6" x14ac:dyDescent="0.25">
      <c r="A110813"/>
      <c r="B110813"/>
      <c r="C110813"/>
      <c r="E110813"/>
      <c r="F110813"/>
    </row>
    <row r="110814" spans="1:6" x14ac:dyDescent="0.25">
      <c r="A110814"/>
      <c r="B110814"/>
      <c r="C110814"/>
      <c r="E110814"/>
      <c r="F110814"/>
    </row>
    <row r="110815" spans="1:6" x14ac:dyDescent="0.25">
      <c r="A110815"/>
      <c r="B110815"/>
      <c r="C110815"/>
      <c r="E110815"/>
      <c r="F110815"/>
    </row>
    <row r="110816" spans="1:6" x14ac:dyDescent="0.25">
      <c r="A110816"/>
      <c r="B110816"/>
      <c r="C110816"/>
      <c r="E110816"/>
      <c r="F110816"/>
    </row>
    <row r="110817" spans="1:6" x14ac:dyDescent="0.25">
      <c r="A110817"/>
      <c r="B110817"/>
      <c r="C110817"/>
      <c r="E110817"/>
      <c r="F110817"/>
    </row>
    <row r="110818" spans="1:6" x14ac:dyDescent="0.25">
      <c r="A110818"/>
      <c r="B110818"/>
      <c r="C110818"/>
      <c r="E110818"/>
      <c r="F110818"/>
    </row>
    <row r="110819" spans="1:6" x14ac:dyDescent="0.25">
      <c r="A110819"/>
      <c r="B110819"/>
      <c r="C110819"/>
      <c r="E110819"/>
      <c r="F110819"/>
    </row>
    <row r="110820" spans="1:6" x14ac:dyDescent="0.25">
      <c r="A110820"/>
      <c r="B110820"/>
      <c r="C110820"/>
      <c r="E110820"/>
      <c r="F110820"/>
    </row>
    <row r="110821" spans="1:6" x14ac:dyDescent="0.25">
      <c r="A110821"/>
      <c r="B110821"/>
      <c r="C110821"/>
      <c r="E110821"/>
      <c r="F110821"/>
    </row>
    <row r="110822" spans="1:6" x14ac:dyDescent="0.25">
      <c r="A110822"/>
      <c r="B110822"/>
      <c r="C110822"/>
      <c r="E110822"/>
      <c r="F110822"/>
    </row>
    <row r="110823" spans="1:6" x14ac:dyDescent="0.25">
      <c r="A110823"/>
      <c r="B110823"/>
      <c r="C110823"/>
      <c r="E110823"/>
      <c r="F110823"/>
    </row>
    <row r="110824" spans="1:6" x14ac:dyDescent="0.25">
      <c r="A110824"/>
      <c r="B110824"/>
      <c r="C110824"/>
      <c r="E110824"/>
      <c r="F110824"/>
    </row>
    <row r="110825" spans="1:6" x14ac:dyDescent="0.25">
      <c r="A110825"/>
      <c r="B110825"/>
      <c r="C110825"/>
      <c r="E110825"/>
      <c r="F110825"/>
    </row>
    <row r="110826" spans="1:6" x14ac:dyDescent="0.25">
      <c r="A110826"/>
      <c r="B110826"/>
      <c r="C110826"/>
      <c r="E110826"/>
      <c r="F110826"/>
    </row>
    <row r="110827" spans="1:6" x14ac:dyDescent="0.25">
      <c r="A110827"/>
      <c r="B110827"/>
      <c r="C110827"/>
      <c r="E110827"/>
      <c r="F110827"/>
    </row>
    <row r="110828" spans="1:6" x14ac:dyDescent="0.25">
      <c r="A110828"/>
      <c r="B110828"/>
      <c r="C110828"/>
      <c r="E110828"/>
      <c r="F110828"/>
    </row>
    <row r="110829" spans="1:6" x14ac:dyDescent="0.25">
      <c r="A110829"/>
      <c r="B110829"/>
      <c r="C110829"/>
      <c r="E110829"/>
      <c r="F110829"/>
    </row>
    <row r="110830" spans="1:6" x14ac:dyDescent="0.25">
      <c r="A110830"/>
      <c r="B110830"/>
      <c r="C110830"/>
      <c r="E110830"/>
      <c r="F110830"/>
    </row>
    <row r="110831" spans="1:6" x14ac:dyDescent="0.25">
      <c r="A110831"/>
      <c r="B110831"/>
      <c r="C110831"/>
      <c r="E110831"/>
      <c r="F110831"/>
    </row>
    <row r="110832" spans="1:6" x14ac:dyDescent="0.25">
      <c r="A110832"/>
      <c r="B110832"/>
      <c r="C110832"/>
      <c r="E110832"/>
      <c r="F110832"/>
    </row>
    <row r="110833" spans="1:6" x14ac:dyDescent="0.25">
      <c r="A110833"/>
      <c r="B110833"/>
      <c r="C110833"/>
      <c r="E110833"/>
      <c r="F110833"/>
    </row>
    <row r="110834" spans="1:6" x14ac:dyDescent="0.25">
      <c r="A110834"/>
      <c r="B110834"/>
      <c r="C110834"/>
      <c r="E110834"/>
      <c r="F110834"/>
    </row>
    <row r="110835" spans="1:6" x14ac:dyDescent="0.25">
      <c r="A110835"/>
      <c r="B110835"/>
      <c r="C110835"/>
      <c r="E110835"/>
      <c r="F110835"/>
    </row>
    <row r="110836" spans="1:6" x14ac:dyDescent="0.25">
      <c r="A110836"/>
      <c r="B110836"/>
      <c r="C110836"/>
      <c r="E110836"/>
      <c r="F110836"/>
    </row>
    <row r="110837" spans="1:6" x14ac:dyDescent="0.25">
      <c r="A110837"/>
      <c r="B110837"/>
      <c r="C110837"/>
      <c r="E110837"/>
      <c r="F110837"/>
    </row>
    <row r="110838" spans="1:6" x14ac:dyDescent="0.25">
      <c r="A110838"/>
      <c r="B110838"/>
      <c r="C110838"/>
      <c r="E110838"/>
      <c r="F110838"/>
    </row>
    <row r="110839" spans="1:6" x14ac:dyDescent="0.25">
      <c r="A110839"/>
      <c r="B110839"/>
      <c r="C110839"/>
      <c r="E110839"/>
      <c r="F110839"/>
    </row>
    <row r="110840" spans="1:6" x14ac:dyDescent="0.25">
      <c r="A110840"/>
      <c r="B110840"/>
      <c r="C110840"/>
      <c r="E110840"/>
      <c r="F110840"/>
    </row>
    <row r="110841" spans="1:6" x14ac:dyDescent="0.25">
      <c r="A110841"/>
      <c r="B110841"/>
      <c r="C110841"/>
      <c r="E110841"/>
      <c r="F110841"/>
    </row>
    <row r="110842" spans="1:6" x14ac:dyDescent="0.25">
      <c r="A110842"/>
      <c r="B110842"/>
      <c r="C110842"/>
      <c r="E110842"/>
      <c r="F110842"/>
    </row>
    <row r="110843" spans="1:6" x14ac:dyDescent="0.25">
      <c r="A110843"/>
      <c r="B110843"/>
      <c r="C110843"/>
      <c r="E110843"/>
      <c r="F110843"/>
    </row>
    <row r="110844" spans="1:6" x14ac:dyDescent="0.25">
      <c r="A110844"/>
      <c r="B110844"/>
      <c r="C110844"/>
      <c r="E110844"/>
      <c r="F110844"/>
    </row>
    <row r="110845" spans="1:6" x14ac:dyDescent="0.25">
      <c r="A110845"/>
      <c r="B110845"/>
      <c r="C110845"/>
      <c r="E110845"/>
      <c r="F110845"/>
    </row>
    <row r="110846" spans="1:6" x14ac:dyDescent="0.25">
      <c r="A110846"/>
      <c r="B110846"/>
      <c r="C110846"/>
      <c r="E110846"/>
      <c r="F110846"/>
    </row>
    <row r="110847" spans="1:6" x14ac:dyDescent="0.25">
      <c r="A110847"/>
      <c r="B110847"/>
      <c r="C110847"/>
      <c r="E110847"/>
      <c r="F110847"/>
    </row>
    <row r="110848" spans="1:6" x14ac:dyDescent="0.25">
      <c r="A110848"/>
      <c r="B110848"/>
      <c r="C110848"/>
      <c r="E110848"/>
      <c r="F110848"/>
    </row>
    <row r="110849" spans="1:6" x14ac:dyDescent="0.25">
      <c r="A110849"/>
      <c r="B110849"/>
      <c r="C110849"/>
      <c r="E110849"/>
      <c r="F110849"/>
    </row>
    <row r="110850" spans="1:6" x14ac:dyDescent="0.25">
      <c r="A110850"/>
      <c r="B110850"/>
      <c r="C110850"/>
      <c r="E110850"/>
      <c r="F110850"/>
    </row>
    <row r="110851" spans="1:6" x14ac:dyDescent="0.25">
      <c r="A110851"/>
      <c r="B110851"/>
      <c r="C110851"/>
      <c r="E110851"/>
      <c r="F110851"/>
    </row>
    <row r="110852" spans="1:6" x14ac:dyDescent="0.25">
      <c r="A110852"/>
      <c r="B110852"/>
      <c r="C110852"/>
      <c r="E110852"/>
      <c r="F110852"/>
    </row>
    <row r="110853" spans="1:6" x14ac:dyDescent="0.25">
      <c r="A110853"/>
      <c r="B110853"/>
      <c r="C110853"/>
      <c r="E110853"/>
      <c r="F110853"/>
    </row>
    <row r="110854" spans="1:6" x14ac:dyDescent="0.25">
      <c r="A110854"/>
      <c r="B110854"/>
      <c r="C110854"/>
      <c r="E110854"/>
      <c r="F110854"/>
    </row>
    <row r="110855" spans="1:6" x14ac:dyDescent="0.25">
      <c r="A110855"/>
      <c r="B110855"/>
      <c r="C110855"/>
      <c r="E110855"/>
      <c r="F110855"/>
    </row>
    <row r="110856" spans="1:6" x14ac:dyDescent="0.25">
      <c r="A110856"/>
      <c r="B110856"/>
      <c r="C110856"/>
      <c r="E110856"/>
      <c r="F110856"/>
    </row>
    <row r="110857" spans="1:6" x14ac:dyDescent="0.25">
      <c r="A110857"/>
      <c r="B110857"/>
      <c r="C110857"/>
      <c r="E110857"/>
      <c r="F110857"/>
    </row>
    <row r="110858" spans="1:6" x14ac:dyDescent="0.25">
      <c r="A110858"/>
      <c r="B110858"/>
      <c r="C110858"/>
      <c r="E110858"/>
      <c r="F110858"/>
    </row>
    <row r="110859" spans="1:6" x14ac:dyDescent="0.25">
      <c r="A110859"/>
      <c r="B110859"/>
      <c r="C110859"/>
      <c r="E110859"/>
      <c r="F110859"/>
    </row>
    <row r="110860" spans="1:6" x14ac:dyDescent="0.25">
      <c r="A110860"/>
      <c r="B110860"/>
      <c r="C110860"/>
      <c r="E110860"/>
      <c r="F110860"/>
    </row>
    <row r="110861" spans="1:6" x14ac:dyDescent="0.25">
      <c r="A110861"/>
      <c r="B110861"/>
      <c r="C110861"/>
      <c r="E110861"/>
      <c r="F110861"/>
    </row>
    <row r="110862" spans="1:6" x14ac:dyDescent="0.25">
      <c r="A110862"/>
      <c r="B110862"/>
      <c r="C110862"/>
      <c r="E110862"/>
      <c r="F110862"/>
    </row>
    <row r="110863" spans="1:6" x14ac:dyDescent="0.25">
      <c r="A110863"/>
      <c r="B110863"/>
      <c r="C110863"/>
      <c r="E110863"/>
      <c r="F110863"/>
    </row>
    <row r="110864" spans="1:6" x14ac:dyDescent="0.25">
      <c r="A110864"/>
      <c r="B110864"/>
      <c r="C110864"/>
      <c r="E110864"/>
      <c r="F110864"/>
    </row>
    <row r="110865" spans="1:6" x14ac:dyDescent="0.25">
      <c r="A110865"/>
      <c r="B110865"/>
      <c r="C110865"/>
      <c r="E110865"/>
      <c r="F110865"/>
    </row>
    <row r="110866" spans="1:6" x14ac:dyDescent="0.25">
      <c r="A110866"/>
      <c r="B110866"/>
      <c r="C110866"/>
      <c r="E110866"/>
      <c r="F110866"/>
    </row>
    <row r="110867" spans="1:6" x14ac:dyDescent="0.25">
      <c r="A110867"/>
      <c r="B110867"/>
      <c r="C110867"/>
      <c r="E110867"/>
      <c r="F110867"/>
    </row>
    <row r="110868" spans="1:6" x14ac:dyDescent="0.25">
      <c r="A110868"/>
      <c r="B110868"/>
      <c r="C110868"/>
      <c r="E110868"/>
      <c r="F110868"/>
    </row>
    <row r="110869" spans="1:6" x14ac:dyDescent="0.25">
      <c r="A110869"/>
      <c r="B110869"/>
      <c r="C110869"/>
      <c r="E110869"/>
      <c r="F110869"/>
    </row>
    <row r="110870" spans="1:6" x14ac:dyDescent="0.25">
      <c r="A110870"/>
      <c r="B110870"/>
      <c r="C110870"/>
      <c r="E110870"/>
      <c r="F110870"/>
    </row>
    <row r="110871" spans="1:6" x14ac:dyDescent="0.25">
      <c r="A110871"/>
      <c r="B110871"/>
      <c r="C110871"/>
      <c r="E110871"/>
      <c r="F110871"/>
    </row>
    <row r="110872" spans="1:6" x14ac:dyDescent="0.25">
      <c r="A110872"/>
      <c r="B110872"/>
      <c r="C110872"/>
      <c r="E110872"/>
      <c r="F110872"/>
    </row>
    <row r="110873" spans="1:6" x14ac:dyDescent="0.25">
      <c r="A110873"/>
      <c r="B110873"/>
      <c r="C110873"/>
      <c r="E110873"/>
      <c r="F110873"/>
    </row>
    <row r="110874" spans="1:6" x14ac:dyDescent="0.25">
      <c r="A110874"/>
      <c r="B110874"/>
      <c r="C110874"/>
      <c r="E110874"/>
      <c r="F110874"/>
    </row>
    <row r="110875" spans="1:6" x14ac:dyDescent="0.25">
      <c r="A110875"/>
      <c r="B110875"/>
      <c r="C110875"/>
      <c r="E110875"/>
      <c r="F110875"/>
    </row>
    <row r="110876" spans="1:6" x14ac:dyDescent="0.25">
      <c r="A110876"/>
      <c r="B110876"/>
      <c r="C110876"/>
      <c r="E110876"/>
      <c r="F110876"/>
    </row>
    <row r="110877" spans="1:6" x14ac:dyDescent="0.25">
      <c r="A110877"/>
      <c r="B110877"/>
      <c r="C110877"/>
      <c r="E110877"/>
      <c r="F110877"/>
    </row>
    <row r="110878" spans="1:6" x14ac:dyDescent="0.25">
      <c r="A110878"/>
      <c r="B110878"/>
      <c r="C110878"/>
      <c r="E110878"/>
      <c r="F110878"/>
    </row>
    <row r="110879" spans="1:6" x14ac:dyDescent="0.25">
      <c r="A110879"/>
      <c r="B110879"/>
      <c r="C110879"/>
      <c r="E110879"/>
      <c r="F110879"/>
    </row>
    <row r="110880" spans="1:6" x14ac:dyDescent="0.25">
      <c r="A110880"/>
      <c r="B110880"/>
      <c r="C110880"/>
      <c r="E110880"/>
      <c r="F110880"/>
    </row>
    <row r="110881" spans="1:6" x14ac:dyDescent="0.25">
      <c r="A110881"/>
      <c r="B110881"/>
      <c r="C110881"/>
      <c r="E110881"/>
      <c r="F110881"/>
    </row>
    <row r="110882" spans="1:6" x14ac:dyDescent="0.25">
      <c r="A110882"/>
      <c r="B110882"/>
      <c r="C110882"/>
      <c r="E110882"/>
      <c r="F110882"/>
    </row>
    <row r="110883" spans="1:6" x14ac:dyDescent="0.25">
      <c r="A110883"/>
      <c r="B110883"/>
      <c r="C110883"/>
      <c r="E110883"/>
      <c r="F110883"/>
    </row>
    <row r="110884" spans="1:6" x14ac:dyDescent="0.25">
      <c r="A110884"/>
      <c r="B110884"/>
      <c r="C110884"/>
      <c r="E110884"/>
      <c r="F110884"/>
    </row>
    <row r="110885" spans="1:6" x14ac:dyDescent="0.25">
      <c r="A110885"/>
      <c r="B110885"/>
      <c r="C110885"/>
      <c r="E110885"/>
      <c r="F110885"/>
    </row>
    <row r="110886" spans="1:6" x14ac:dyDescent="0.25">
      <c r="A110886"/>
      <c r="B110886"/>
      <c r="C110886"/>
      <c r="E110886"/>
      <c r="F110886"/>
    </row>
    <row r="110887" spans="1:6" x14ac:dyDescent="0.25">
      <c r="A110887"/>
      <c r="B110887"/>
      <c r="C110887"/>
      <c r="E110887"/>
      <c r="F110887"/>
    </row>
    <row r="110888" spans="1:6" x14ac:dyDescent="0.25">
      <c r="A110888"/>
      <c r="B110888"/>
      <c r="C110888"/>
      <c r="E110888"/>
      <c r="F110888"/>
    </row>
    <row r="110889" spans="1:6" x14ac:dyDescent="0.25">
      <c r="A110889"/>
      <c r="B110889"/>
      <c r="C110889"/>
      <c r="E110889"/>
      <c r="F110889"/>
    </row>
    <row r="110890" spans="1:6" x14ac:dyDescent="0.25">
      <c r="A110890"/>
      <c r="B110890"/>
      <c r="C110890"/>
      <c r="E110890"/>
      <c r="F110890"/>
    </row>
    <row r="110891" spans="1:6" x14ac:dyDescent="0.25">
      <c r="A110891"/>
      <c r="B110891"/>
      <c r="C110891"/>
      <c r="E110891"/>
      <c r="F110891"/>
    </row>
    <row r="110892" spans="1:6" x14ac:dyDescent="0.25">
      <c r="A110892"/>
      <c r="B110892"/>
      <c r="C110892"/>
      <c r="E110892"/>
      <c r="F110892"/>
    </row>
    <row r="110893" spans="1:6" x14ac:dyDescent="0.25">
      <c r="A110893"/>
      <c r="B110893"/>
      <c r="C110893"/>
      <c r="E110893"/>
      <c r="F110893"/>
    </row>
    <row r="110894" spans="1:6" x14ac:dyDescent="0.25">
      <c r="A110894"/>
      <c r="B110894"/>
      <c r="C110894"/>
      <c r="E110894"/>
      <c r="F110894"/>
    </row>
    <row r="110895" spans="1:6" x14ac:dyDescent="0.25">
      <c r="A110895"/>
      <c r="B110895"/>
      <c r="C110895"/>
      <c r="E110895"/>
      <c r="F110895"/>
    </row>
    <row r="110896" spans="1:6" x14ac:dyDescent="0.25">
      <c r="A110896"/>
      <c r="B110896"/>
      <c r="C110896"/>
      <c r="E110896"/>
      <c r="F110896"/>
    </row>
    <row r="110897" spans="1:6" x14ac:dyDescent="0.25">
      <c r="A110897"/>
      <c r="B110897"/>
      <c r="C110897"/>
      <c r="E110897"/>
      <c r="F110897"/>
    </row>
    <row r="110898" spans="1:6" x14ac:dyDescent="0.25">
      <c r="A110898"/>
      <c r="B110898"/>
      <c r="C110898"/>
      <c r="E110898"/>
      <c r="F110898"/>
    </row>
    <row r="110899" spans="1:6" x14ac:dyDescent="0.25">
      <c r="A110899"/>
      <c r="B110899"/>
      <c r="C110899"/>
      <c r="E110899"/>
      <c r="F110899"/>
    </row>
    <row r="110900" spans="1:6" x14ac:dyDescent="0.25">
      <c r="A110900"/>
      <c r="B110900"/>
      <c r="C110900"/>
      <c r="E110900"/>
      <c r="F110900"/>
    </row>
    <row r="110901" spans="1:6" x14ac:dyDescent="0.25">
      <c r="A110901"/>
      <c r="B110901"/>
      <c r="C110901"/>
      <c r="E110901"/>
      <c r="F110901"/>
    </row>
    <row r="110902" spans="1:6" x14ac:dyDescent="0.25">
      <c r="A110902"/>
      <c r="B110902"/>
      <c r="C110902"/>
      <c r="E110902"/>
      <c r="F110902"/>
    </row>
    <row r="110903" spans="1:6" x14ac:dyDescent="0.25">
      <c r="A110903"/>
      <c r="B110903"/>
      <c r="C110903"/>
      <c r="E110903"/>
      <c r="F110903"/>
    </row>
    <row r="110904" spans="1:6" x14ac:dyDescent="0.25">
      <c r="A110904"/>
      <c r="B110904"/>
      <c r="C110904"/>
      <c r="E110904"/>
      <c r="F110904"/>
    </row>
    <row r="110905" spans="1:6" x14ac:dyDescent="0.25">
      <c r="A110905"/>
      <c r="B110905"/>
      <c r="C110905"/>
      <c r="E110905"/>
      <c r="F110905"/>
    </row>
    <row r="110906" spans="1:6" x14ac:dyDescent="0.25">
      <c r="A110906"/>
      <c r="B110906"/>
      <c r="C110906"/>
      <c r="E110906"/>
      <c r="F110906"/>
    </row>
    <row r="110907" spans="1:6" x14ac:dyDescent="0.25">
      <c r="A110907"/>
      <c r="B110907"/>
      <c r="C110907"/>
      <c r="E110907"/>
      <c r="F110907"/>
    </row>
    <row r="110908" spans="1:6" x14ac:dyDescent="0.25">
      <c r="A110908"/>
      <c r="B110908"/>
      <c r="C110908"/>
      <c r="E110908"/>
      <c r="F110908"/>
    </row>
    <row r="110909" spans="1:6" x14ac:dyDescent="0.25">
      <c r="A110909"/>
      <c r="B110909"/>
      <c r="C110909"/>
      <c r="E110909"/>
      <c r="F110909"/>
    </row>
    <row r="110910" spans="1:6" x14ac:dyDescent="0.25">
      <c r="A110910"/>
      <c r="B110910"/>
      <c r="C110910"/>
      <c r="E110910"/>
      <c r="F110910"/>
    </row>
    <row r="110911" spans="1:6" x14ac:dyDescent="0.25">
      <c r="A110911"/>
      <c r="B110911"/>
      <c r="C110911"/>
      <c r="E110911"/>
      <c r="F110911"/>
    </row>
    <row r="110912" spans="1:6" x14ac:dyDescent="0.25">
      <c r="A110912"/>
      <c r="B110912"/>
      <c r="C110912"/>
      <c r="E110912"/>
      <c r="F110912"/>
    </row>
    <row r="110913" spans="1:6" x14ac:dyDescent="0.25">
      <c r="A110913"/>
      <c r="B110913"/>
      <c r="C110913"/>
      <c r="E110913"/>
      <c r="F110913"/>
    </row>
    <row r="110914" spans="1:6" x14ac:dyDescent="0.25">
      <c r="A110914"/>
      <c r="B110914"/>
      <c r="C110914"/>
      <c r="E110914"/>
      <c r="F110914"/>
    </row>
    <row r="110915" spans="1:6" x14ac:dyDescent="0.25">
      <c r="A110915"/>
      <c r="B110915"/>
      <c r="C110915"/>
      <c r="E110915"/>
      <c r="F110915"/>
    </row>
    <row r="110916" spans="1:6" x14ac:dyDescent="0.25">
      <c r="A110916"/>
      <c r="B110916"/>
      <c r="C110916"/>
      <c r="E110916"/>
      <c r="F110916"/>
    </row>
    <row r="110917" spans="1:6" x14ac:dyDescent="0.25">
      <c r="A110917"/>
      <c r="B110917"/>
      <c r="C110917"/>
      <c r="E110917"/>
      <c r="F110917"/>
    </row>
    <row r="110918" spans="1:6" x14ac:dyDescent="0.25">
      <c r="A110918"/>
      <c r="B110918"/>
      <c r="C110918"/>
      <c r="E110918"/>
      <c r="F110918"/>
    </row>
    <row r="110919" spans="1:6" x14ac:dyDescent="0.25">
      <c r="A110919"/>
      <c r="B110919"/>
      <c r="C110919"/>
      <c r="E110919"/>
      <c r="F110919"/>
    </row>
    <row r="110920" spans="1:6" x14ac:dyDescent="0.25">
      <c r="A110920"/>
      <c r="B110920"/>
      <c r="C110920"/>
      <c r="E110920"/>
      <c r="F110920"/>
    </row>
    <row r="110921" spans="1:6" x14ac:dyDescent="0.25">
      <c r="A110921"/>
      <c r="B110921"/>
      <c r="C110921"/>
      <c r="E110921"/>
      <c r="F110921"/>
    </row>
    <row r="110922" spans="1:6" x14ac:dyDescent="0.25">
      <c r="A110922"/>
      <c r="B110922"/>
      <c r="C110922"/>
      <c r="E110922"/>
      <c r="F110922"/>
    </row>
    <row r="110923" spans="1:6" x14ac:dyDescent="0.25">
      <c r="A110923"/>
      <c r="B110923"/>
      <c r="C110923"/>
      <c r="E110923"/>
      <c r="F110923"/>
    </row>
    <row r="110924" spans="1:6" x14ac:dyDescent="0.25">
      <c r="A110924"/>
      <c r="B110924"/>
      <c r="C110924"/>
      <c r="E110924"/>
      <c r="F110924"/>
    </row>
    <row r="110925" spans="1:6" x14ac:dyDescent="0.25">
      <c r="A110925"/>
      <c r="B110925"/>
      <c r="C110925"/>
      <c r="E110925"/>
      <c r="F110925"/>
    </row>
    <row r="110926" spans="1:6" x14ac:dyDescent="0.25">
      <c r="A110926"/>
      <c r="B110926"/>
      <c r="C110926"/>
      <c r="E110926"/>
      <c r="F110926"/>
    </row>
    <row r="110927" spans="1:6" x14ac:dyDescent="0.25">
      <c r="A110927"/>
      <c r="B110927"/>
      <c r="C110927"/>
      <c r="E110927"/>
      <c r="F110927"/>
    </row>
    <row r="110928" spans="1:6" x14ac:dyDescent="0.25">
      <c r="A110928"/>
      <c r="B110928"/>
      <c r="C110928"/>
      <c r="E110928"/>
      <c r="F110928"/>
    </row>
    <row r="110929" spans="1:6" x14ac:dyDescent="0.25">
      <c r="A110929"/>
      <c r="B110929"/>
      <c r="C110929"/>
      <c r="E110929"/>
      <c r="F110929"/>
    </row>
    <row r="110930" spans="1:6" x14ac:dyDescent="0.25">
      <c r="A110930"/>
      <c r="B110930"/>
      <c r="C110930"/>
      <c r="E110930"/>
      <c r="F110930"/>
    </row>
    <row r="110931" spans="1:6" x14ac:dyDescent="0.25">
      <c r="A110931"/>
      <c r="B110931"/>
      <c r="C110931"/>
      <c r="E110931"/>
      <c r="F110931"/>
    </row>
    <row r="110932" spans="1:6" x14ac:dyDescent="0.25">
      <c r="A110932"/>
      <c r="B110932"/>
      <c r="C110932"/>
      <c r="E110932"/>
      <c r="F110932"/>
    </row>
    <row r="110933" spans="1:6" x14ac:dyDescent="0.25">
      <c r="A110933"/>
      <c r="B110933"/>
      <c r="C110933"/>
      <c r="E110933"/>
      <c r="F110933"/>
    </row>
    <row r="110934" spans="1:6" x14ac:dyDescent="0.25">
      <c r="A110934"/>
      <c r="B110934"/>
      <c r="C110934"/>
      <c r="E110934"/>
      <c r="F110934"/>
    </row>
    <row r="110935" spans="1:6" x14ac:dyDescent="0.25">
      <c r="A110935"/>
      <c r="B110935"/>
      <c r="C110935"/>
      <c r="E110935"/>
      <c r="F110935"/>
    </row>
    <row r="110936" spans="1:6" x14ac:dyDescent="0.25">
      <c r="A110936"/>
      <c r="B110936"/>
      <c r="C110936"/>
      <c r="E110936"/>
      <c r="F110936"/>
    </row>
    <row r="110937" spans="1:6" x14ac:dyDescent="0.25">
      <c r="A110937"/>
      <c r="B110937"/>
      <c r="C110937"/>
      <c r="E110937"/>
      <c r="F110937"/>
    </row>
    <row r="110938" spans="1:6" x14ac:dyDescent="0.25">
      <c r="A110938"/>
      <c r="B110938"/>
      <c r="C110938"/>
      <c r="E110938"/>
      <c r="F110938"/>
    </row>
    <row r="110939" spans="1:6" x14ac:dyDescent="0.25">
      <c r="A110939"/>
      <c r="B110939"/>
      <c r="C110939"/>
      <c r="E110939"/>
      <c r="F110939"/>
    </row>
    <row r="110940" spans="1:6" x14ac:dyDescent="0.25">
      <c r="A110940"/>
      <c r="B110940"/>
      <c r="C110940"/>
      <c r="E110940"/>
      <c r="F110940"/>
    </row>
    <row r="110941" spans="1:6" x14ac:dyDescent="0.25">
      <c r="A110941"/>
      <c r="B110941"/>
      <c r="C110941"/>
      <c r="E110941"/>
      <c r="F110941"/>
    </row>
    <row r="110942" spans="1:6" x14ac:dyDescent="0.25">
      <c r="A110942"/>
      <c r="B110942"/>
      <c r="C110942"/>
      <c r="E110942"/>
      <c r="F110942"/>
    </row>
    <row r="110943" spans="1:6" x14ac:dyDescent="0.25">
      <c r="A110943"/>
      <c r="B110943"/>
      <c r="C110943"/>
      <c r="E110943"/>
      <c r="F110943"/>
    </row>
    <row r="110944" spans="1:6" x14ac:dyDescent="0.25">
      <c r="A110944"/>
      <c r="B110944"/>
      <c r="C110944"/>
      <c r="E110944"/>
      <c r="F110944"/>
    </row>
    <row r="110945" spans="1:6" x14ac:dyDescent="0.25">
      <c r="A110945"/>
      <c r="B110945"/>
      <c r="C110945"/>
      <c r="E110945"/>
      <c r="F110945"/>
    </row>
    <row r="110946" spans="1:6" x14ac:dyDescent="0.25">
      <c r="A110946"/>
      <c r="B110946"/>
      <c r="C110946"/>
      <c r="E110946"/>
      <c r="F110946"/>
    </row>
    <row r="110947" spans="1:6" x14ac:dyDescent="0.25">
      <c r="A110947"/>
      <c r="B110947"/>
      <c r="C110947"/>
      <c r="E110947"/>
      <c r="F110947"/>
    </row>
    <row r="110948" spans="1:6" x14ac:dyDescent="0.25">
      <c r="A110948"/>
      <c r="B110948"/>
      <c r="C110948"/>
      <c r="E110948"/>
      <c r="F110948"/>
    </row>
    <row r="110949" spans="1:6" x14ac:dyDescent="0.25">
      <c r="A110949"/>
      <c r="B110949"/>
      <c r="C110949"/>
      <c r="E110949"/>
      <c r="F110949"/>
    </row>
    <row r="110950" spans="1:6" x14ac:dyDescent="0.25">
      <c r="A110950"/>
      <c r="B110950"/>
      <c r="C110950"/>
      <c r="E110950"/>
      <c r="F110950"/>
    </row>
    <row r="110951" spans="1:6" x14ac:dyDescent="0.25">
      <c r="A110951"/>
      <c r="B110951"/>
      <c r="C110951"/>
      <c r="E110951"/>
      <c r="F110951"/>
    </row>
    <row r="110952" spans="1:6" x14ac:dyDescent="0.25">
      <c r="A110952"/>
      <c r="B110952"/>
      <c r="C110952"/>
      <c r="E110952"/>
      <c r="F110952"/>
    </row>
    <row r="110953" spans="1:6" x14ac:dyDescent="0.25">
      <c r="A110953"/>
      <c r="B110953"/>
      <c r="C110953"/>
      <c r="E110953"/>
      <c r="F110953"/>
    </row>
    <row r="110954" spans="1:6" x14ac:dyDescent="0.25">
      <c r="A110954"/>
      <c r="B110954"/>
      <c r="C110954"/>
      <c r="E110954"/>
      <c r="F110954"/>
    </row>
    <row r="110955" spans="1:6" x14ac:dyDescent="0.25">
      <c r="A110955"/>
      <c r="B110955"/>
      <c r="C110955"/>
      <c r="E110955"/>
      <c r="F110955"/>
    </row>
    <row r="110956" spans="1:6" x14ac:dyDescent="0.25">
      <c r="A110956"/>
      <c r="B110956"/>
      <c r="C110956"/>
      <c r="E110956"/>
      <c r="F110956"/>
    </row>
    <row r="110957" spans="1:6" x14ac:dyDescent="0.25">
      <c r="A110957"/>
      <c r="B110957"/>
      <c r="C110957"/>
      <c r="E110957"/>
      <c r="F110957"/>
    </row>
    <row r="110958" spans="1:6" x14ac:dyDescent="0.25">
      <c r="A110958"/>
      <c r="B110958"/>
      <c r="C110958"/>
      <c r="E110958"/>
      <c r="F110958"/>
    </row>
    <row r="110959" spans="1:6" x14ac:dyDescent="0.25">
      <c r="A110959"/>
      <c r="B110959"/>
      <c r="C110959"/>
      <c r="E110959"/>
      <c r="F110959"/>
    </row>
    <row r="110960" spans="1:6" x14ac:dyDescent="0.25">
      <c r="A110960"/>
      <c r="B110960"/>
      <c r="C110960"/>
      <c r="E110960"/>
      <c r="F110960"/>
    </row>
    <row r="110961" spans="1:6" x14ac:dyDescent="0.25">
      <c r="A110961"/>
      <c r="B110961"/>
      <c r="C110961"/>
      <c r="E110961"/>
      <c r="F110961"/>
    </row>
    <row r="110962" spans="1:6" x14ac:dyDescent="0.25">
      <c r="A110962"/>
      <c r="B110962"/>
      <c r="C110962"/>
      <c r="E110962"/>
      <c r="F110962"/>
    </row>
    <row r="110963" spans="1:6" x14ac:dyDescent="0.25">
      <c r="A110963"/>
      <c r="B110963"/>
      <c r="C110963"/>
      <c r="E110963"/>
      <c r="F110963"/>
    </row>
    <row r="110964" spans="1:6" x14ac:dyDescent="0.25">
      <c r="A110964"/>
      <c r="B110964"/>
      <c r="C110964"/>
      <c r="E110964"/>
      <c r="F110964"/>
    </row>
    <row r="110965" spans="1:6" x14ac:dyDescent="0.25">
      <c r="A110965"/>
      <c r="B110965"/>
      <c r="C110965"/>
      <c r="E110965"/>
      <c r="F110965"/>
    </row>
    <row r="110966" spans="1:6" x14ac:dyDescent="0.25">
      <c r="A110966"/>
      <c r="B110966"/>
      <c r="C110966"/>
      <c r="E110966"/>
      <c r="F110966"/>
    </row>
    <row r="110967" spans="1:6" x14ac:dyDescent="0.25">
      <c r="A110967"/>
      <c r="B110967"/>
      <c r="C110967"/>
      <c r="E110967"/>
      <c r="F110967"/>
    </row>
    <row r="110968" spans="1:6" x14ac:dyDescent="0.25">
      <c r="A110968"/>
      <c r="B110968"/>
      <c r="C110968"/>
      <c r="E110968"/>
      <c r="F110968"/>
    </row>
    <row r="110969" spans="1:6" x14ac:dyDescent="0.25">
      <c r="A110969"/>
      <c r="B110969"/>
      <c r="C110969"/>
      <c r="E110969"/>
      <c r="F110969"/>
    </row>
    <row r="110970" spans="1:6" x14ac:dyDescent="0.25">
      <c r="A110970"/>
      <c r="B110970"/>
      <c r="C110970"/>
      <c r="E110970"/>
      <c r="F110970"/>
    </row>
    <row r="110971" spans="1:6" x14ac:dyDescent="0.25">
      <c r="A110971"/>
      <c r="B110971"/>
      <c r="C110971"/>
      <c r="E110971"/>
      <c r="F110971"/>
    </row>
    <row r="110972" spans="1:6" x14ac:dyDescent="0.25">
      <c r="A110972"/>
      <c r="B110972"/>
      <c r="C110972"/>
      <c r="E110972"/>
      <c r="F110972"/>
    </row>
    <row r="110973" spans="1:6" x14ac:dyDescent="0.25">
      <c r="A110973"/>
      <c r="B110973"/>
      <c r="C110973"/>
      <c r="E110973"/>
      <c r="F110973"/>
    </row>
    <row r="110974" spans="1:6" x14ac:dyDescent="0.25">
      <c r="A110974"/>
      <c r="B110974"/>
      <c r="C110974"/>
      <c r="E110974"/>
      <c r="F110974"/>
    </row>
    <row r="110975" spans="1:6" x14ac:dyDescent="0.25">
      <c r="A110975"/>
      <c r="B110975"/>
      <c r="C110975"/>
      <c r="E110975"/>
      <c r="F110975"/>
    </row>
    <row r="110976" spans="1:6" x14ac:dyDescent="0.25">
      <c r="A110976"/>
      <c r="B110976"/>
      <c r="C110976"/>
      <c r="E110976"/>
      <c r="F110976"/>
    </row>
    <row r="110977" spans="1:6" x14ac:dyDescent="0.25">
      <c r="A110977"/>
      <c r="B110977"/>
      <c r="C110977"/>
      <c r="E110977"/>
      <c r="F110977"/>
    </row>
    <row r="110978" spans="1:6" x14ac:dyDescent="0.25">
      <c r="A110978"/>
      <c r="B110978"/>
      <c r="C110978"/>
      <c r="E110978"/>
      <c r="F110978"/>
    </row>
    <row r="110979" spans="1:6" x14ac:dyDescent="0.25">
      <c r="A110979"/>
      <c r="B110979"/>
      <c r="C110979"/>
      <c r="E110979"/>
      <c r="F110979"/>
    </row>
    <row r="110980" spans="1:6" x14ac:dyDescent="0.25">
      <c r="A110980"/>
      <c r="B110980"/>
      <c r="C110980"/>
      <c r="E110980"/>
      <c r="F110980"/>
    </row>
    <row r="110981" spans="1:6" x14ac:dyDescent="0.25">
      <c r="A110981"/>
      <c r="B110981"/>
      <c r="C110981"/>
      <c r="E110981"/>
      <c r="F110981"/>
    </row>
    <row r="110982" spans="1:6" x14ac:dyDescent="0.25">
      <c r="A110982"/>
      <c r="B110982"/>
      <c r="C110982"/>
      <c r="E110982"/>
      <c r="F110982"/>
    </row>
    <row r="110983" spans="1:6" x14ac:dyDescent="0.25">
      <c r="A110983"/>
      <c r="B110983"/>
      <c r="C110983"/>
      <c r="E110983"/>
      <c r="F110983"/>
    </row>
    <row r="110984" spans="1:6" x14ac:dyDescent="0.25">
      <c r="A110984"/>
      <c r="B110984"/>
      <c r="C110984"/>
      <c r="E110984"/>
      <c r="F110984"/>
    </row>
    <row r="110985" spans="1:6" x14ac:dyDescent="0.25">
      <c r="A110985"/>
      <c r="B110985"/>
      <c r="C110985"/>
      <c r="E110985"/>
      <c r="F110985"/>
    </row>
    <row r="110986" spans="1:6" x14ac:dyDescent="0.25">
      <c r="A110986"/>
      <c r="B110986"/>
      <c r="C110986"/>
      <c r="E110986"/>
      <c r="F110986"/>
    </row>
    <row r="110987" spans="1:6" x14ac:dyDescent="0.25">
      <c r="A110987"/>
      <c r="B110987"/>
      <c r="C110987"/>
      <c r="E110987"/>
      <c r="F110987"/>
    </row>
    <row r="110988" spans="1:6" x14ac:dyDescent="0.25">
      <c r="A110988"/>
      <c r="B110988"/>
      <c r="C110988"/>
      <c r="E110988"/>
      <c r="F110988"/>
    </row>
    <row r="110989" spans="1:6" x14ac:dyDescent="0.25">
      <c r="A110989"/>
      <c r="B110989"/>
      <c r="C110989"/>
      <c r="E110989"/>
      <c r="F110989"/>
    </row>
    <row r="110990" spans="1:6" x14ac:dyDescent="0.25">
      <c r="A110990"/>
      <c r="B110990"/>
      <c r="C110990"/>
      <c r="E110990"/>
      <c r="F110990"/>
    </row>
    <row r="110991" spans="1:6" x14ac:dyDescent="0.25">
      <c r="A110991"/>
      <c r="B110991"/>
      <c r="C110991"/>
      <c r="E110991"/>
      <c r="F110991"/>
    </row>
    <row r="110992" spans="1:6" x14ac:dyDescent="0.25">
      <c r="A110992"/>
      <c r="B110992"/>
      <c r="C110992"/>
      <c r="E110992"/>
      <c r="F110992"/>
    </row>
    <row r="110993" spans="1:6" x14ac:dyDescent="0.25">
      <c r="A110993"/>
      <c r="B110993"/>
      <c r="C110993"/>
      <c r="E110993"/>
      <c r="F110993"/>
    </row>
    <row r="110994" spans="1:6" x14ac:dyDescent="0.25">
      <c r="A110994"/>
      <c r="B110994"/>
      <c r="C110994"/>
      <c r="E110994"/>
      <c r="F110994"/>
    </row>
    <row r="110995" spans="1:6" x14ac:dyDescent="0.25">
      <c r="A110995"/>
      <c r="B110995"/>
      <c r="C110995"/>
      <c r="E110995"/>
      <c r="F110995"/>
    </row>
    <row r="110996" spans="1:6" x14ac:dyDescent="0.25">
      <c r="A110996"/>
      <c r="B110996"/>
      <c r="C110996"/>
      <c r="E110996"/>
      <c r="F110996"/>
    </row>
    <row r="110997" spans="1:6" x14ac:dyDescent="0.25">
      <c r="A110997"/>
      <c r="B110997"/>
      <c r="C110997"/>
      <c r="E110997"/>
      <c r="F110997"/>
    </row>
    <row r="110998" spans="1:6" x14ac:dyDescent="0.25">
      <c r="A110998"/>
      <c r="B110998"/>
      <c r="C110998"/>
      <c r="E110998"/>
      <c r="F110998"/>
    </row>
    <row r="110999" spans="1:6" x14ac:dyDescent="0.25">
      <c r="A110999"/>
      <c r="B110999"/>
      <c r="C110999"/>
      <c r="E110999"/>
      <c r="F110999"/>
    </row>
    <row r="111000" spans="1:6" x14ac:dyDescent="0.25">
      <c r="A111000"/>
      <c r="B111000"/>
      <c r="C111000"/>
      <c r="E111000"/>
      <c r="F111000"/>
    </row>
    <row r="111001" spans="1:6" x14ac:dyDescent="0.25">
      <c r="A111001"/>
      <c r="B111001"/>
      <c r="C111001"/>
      <c r="E111001"/>
      <c r="F111001"/>
    </row>
    <row r="111002" spans="1:6" x14ac:dyDescent="0.25">
      <c r="A111002"/>
      <c r="B111002"/>
      <c r="C111002"/>
      <c r="E111002"/>
      <c r="F111002"/>
    </row>
    <row r="111003" spans="1:6" x14ac:dyDescent="0.25">
      <c r="A111003"/>
      <c r="B111003"/>
      <c r="C111003"/>
      <c r="E111003"/>
      <c r="F111003"/>
    </row>
    <row r="111004" spans="1:6" x14ac:dyDescent="0.25">
      <c r="A111004"/>
      <c r="B111004"/>
      <c r="C111004"/>
      <c r="E111004"/>
      <c r="F111004"/>
    </row>
    <row r="111005" spans="1:6" x14ac:dyDescent="0.25">
      <c r="A111005"/>
      <c r="B111005"/>
      <c r="C111005"/>
      <c r="E111005"/>
      <c r="F111005"/>
    </row>
    <row r="111006" spans="1:6" x14ac:dyDescent="0.25">
      <c r="A111006"/>
      <c r="B111006"/>
      <c r="C111006"/>
      <c r="E111006"/>
      <c r="F111006"/>
    </row>
    <row r="111007" spans="1:6" x14ac:dyDescent="0.25">
      <c r="A111007"/>
      <c r="B111007"/>
      <c r="C111007"/>
      <c r="E111007"/>
      <c r="F111007"/>
    </row>
    <row r="111008" spans="1:6" x14ac:dyDescent="0.25">
      <c r="A111008"/>
      <c r="B111008"/>
      <c r="C111008"/>
      <c r="E111008"/>
      <c r="F111008"/>
    </row>
    <row r="111009" spans="1:6" x14ac:dyDescent="0.25">
      <c r="A111009"/>
      <c r="B111009"/>
      <c r="C111009"/>
      <c r="E111009"/>
      <c r="F111009"/>
    </row>
    <row r="111010" spans="1:6" x14ac:dyDescent="0.25">
      <c r="A111010"/>
      <c r="B111010"/>
      <c r="C111010"/>
      <c r="E111010"/>
      <c r="F111010"/>
    </row>
    <row r="111011" spans="1:6" x14ac:dyDescent="0.25">
      <c r="A111011"/>
      <c r="B111011"/>
      <c r="C111011"/>
      <c r="E111011"/>
      <c r="F111011"/>
    </row>
    <row r="111012" spans="1:6" x14ac:dyDescent="0.25">
      <c r="A111012"/>
      <c r="B111012"/>
      <c r="C111012"/>
      <c r="E111012"/>
      <c r="F111012"/>
    </row>
    <row r="111013" spans="1:6" x14ac:dyDescent="0.25">
      <c r="A111013"/>
      <c r="B111013"/>
      <c r="C111013"/>
      <c r="E111013"/>
      <c r="F111013"/>
    </row>
    <row r="111014" spans="1:6" x14ac:dyDescent="0.25">
      <c r="A111014"/>
      <c r="B111014"/>
      <c r="C111014"/>
      <c r="E111014"/>
      <c r="F111014"/>
    </row>
    <row r="111015" spans="1:6" x14ac:dyDescent="0.25">
      <c r="A111015"/>
      <c r="B111015"/>
      <c r="C111015"/>
      <c r="E111015"/>
      <c r="F111015"/>
    </row>
    <row r="111016" spans="1:6" x14ac:dyDescent="0.25">
      <c r="A111016"/>
      <c r="B111016"/>
      <c r="C111016"/>
      <c r="E111016"/>
      <c r="F111016"/>
    </row>
    <row r="111017" spans="1:6" x14ac:dyDescent="0.25">
      <c r="A111017"/>
      <c r="B111017"/>
      <c r="C111017"/>
      <c r="E111017"/>
      <c r="F111017"/>
    </row>
    <row r="111018" spans="1:6" x14ac:dyDescent="0.25">
      <c r="A111018"/>
      <c r="B111018"/>
      <c r="C111018"/>
      <c r="E111018"/>
      <c r="F111018"/>
    </row>
    <row r="111019" spans="1:6" x14ac:dyDescent="0.25">
      <c r="A111019"/>
      <c r="B111019"/>
      <c r="C111019"/>
      <c r="E111019"/>
      <c r="F111019"/>
    </row>
    <row r="111020" spans="1:6" x14ac:dyDescent="0.25">
      <c r="A111020"/>
      <c r="B111020"/>
      <c r="C111020"/>
      <c r="E111020"/>
      <c r="F111020"/>
    </row>
    <row r="111021" spans="1:6" x14ac:dyDescent="0.25">
      <c r="A111021"/>
      <c r="B111021"/>
      <c r="C111021"/>
      <c r="E111021"/>
      <c r="F111021"/>
    </row>
    <row r="111022" spans="1:6" x14ac:dyDescent="0.25">
      <c r="A111022"/>
      <c r="B111022"/>
      <c r="C111022"/>
      <c r="E111022"/>
      <c r="F111022"/>
    </row>
    <row r="111023" spans="1:6" x14ac:dyDescent="0.25">
      <c r="A111023"/>
      <c r="B111023"/>
      <c r="C111023"/>
      <c r="E111023"/>
      <c r="F111023"/>
    </row>
    <row r="111024" spans="1:6" x14ac:dyDescent="0.25">
      <c r="A111024"/>
      <c r="B111024"/>
      <c r="C111024"/>
      <c r="E111024"/>
      <c r="F111024"/>
    </row>
    <row r="111025" spans="1:6" x14ac:dyDescent="0.25">
      <c r="A111025"/>
      <c r="B111025"/>
      <c r="C111025"/>
      <c r="E111025"/>
      <c r="F111025"/>
    </row>
    <row r="111026" spans="1:6" x14ac:dyDescent="0.25">
      <c r="A111026"/>
      <c r="B111026"/>
      <c r="C111026"/>
      <c r="E111026"/>
      <c r="F111026"/>
    </row>
    <row r="111027" spans="1:6" x14ac:dyDescent="0.25">
      <c r="A111027"/>
      <c r="B111027"/>
      <c r="C111027"/>
      <c r="E111027"/>
      <c r="F111027"/>
    </row>
    <row r="111028" spans="1:6" x14ac:dyDescent="0.25">
      <c r="A111028"/>
      <c r="B111028"/>
      <c r="C111028"/>
      <c r="E111028"/>
      <c r="F111028"/>
    </row>
    <row r="111029" spans="1:6" x14ac:dyDescent="0.25">
      <c r="A111029"/>
      <c r="B111029"/>
      <c r="C111029"/>
      <c r="E111029"/>
      <c r="F111029"/>
    </row>
    <row r="111030" spans="1:6" x14ac:dyDescent="0.25">
      <c r="A111030"/>
      <c r="B111030"/>
      <c r="C111030"/>
      <c r="E111030"/>
      <c r="F111030"/>
    </row>
    <row r="111031" spans="1:6" x14ac:dyDescent="0.25">
      <c r="A111031"/>
      <c r="B111031"/>
      <c r="C111031"/>
      <c r="E111031"/>
      <c r="F111031"/>
    </row>
    <row r="111032" spans="1:6" x14ac:dyDescent="0.25">
      <c r="A111032"/>
      <c r="B111032"/>
      <c r="C111032"/>
      <c r="E111032"/>
      <c r="F111032"/>
    </row>
    <row r="111033" spans="1:6" x14ac:dyDescent="0.25">
      <c r="A111033"/>
      <c r="B111033"/>
      <c r="C111033"/>
      <c r="E111033"/>
      <c r="F111033"/>
    </row>
    <row r="111034" spans="1:6" x14ac:dyDescent="0.25">
      <c r="A111034"/>
      <c r="B111034"/>
      <c r="C111034"/>
      <c r="E111034"/>
      <c r="F111034"/>
    </row>
    <row r="111035" spans="1:6" x14ac:dyDescent="0.25">
      <c r="A111035"/>
      <c r="B111035"/>
      <c r="C111035"/>
      <c r="E111035"/>
      <c r="F111035"/>
    </row>
    <row r="111036" spans="1:6" x14ac:dyDescent="0.25">
      <c r="A111036"/>
      <c r="B111036"/>
      <c r="C111036"/>
      <c r="E111036"/>
      <c r="F111036"/>
    </row>
    <row r="111037" spans="1:6" x14ac:dyDescent="0.25">
      <c r="A111037"/>
      <c r="B111037"/>
      <c r="C111037"/>
      <c r="E111037"/>
      <c r="F111037"/>
    </row>
    <row r="111038" spans="1:6" x14ac:dyDescent="0.25">
      <c r="A111038"/>
      <c r="B111038"/>
      <c r="C111038"/>
      <c r="E111038"/>
      <c r="F111038"/>
    </row>
    <row r="111039" spans="1:6" x14ac:dyDescent="0.25">
      <c r="A111039"/>
      <c r="B111039"/>
      <c r="C111039"/>
      <c r="E111039"/>
      <c r="F111039"/>
    </row>
    <row r="111040" spans="1:6" x14ac:dyDescent="0.25">
      <c r="A111040"/>
      <c r="B111040"/>
      <c r="C111040"/>
      <c r="E111040"/>
      <c r="F111040"/>
    </row>
    <row r="111041" spans="1:6" x14ac:dyDescent="0.25">
      <c r="A111041"/>
      <c r="B111041"/>
      <c r="C111041"/>
      <c r="E111041"/>
      <c r="F111041"/>
    </row>
    <row r="111042" spans="1:6" x14ac:dyDescent="0.25">
      <c r="A111042"/>
      <c r="B111042"/>
      <c r="C111042"/>
      <c r="E111042"/>
      <c r="F111042"/>
    </row>
    <row r="111043" spans="1:6" x14ac:dyDescent="0.25">
      <c r="A111043"/>
      <c r="B111043"/>
      <c r="C111043"/>
      <c r="E111043"/>
      <c r="F111043"/>
    </row>
    <row r="111044" spans="1:6" x14ac:dyDescent="0.25">
      <c r="A111044"/>
      <c r="B111044"/>
      <c r="C111044"/>
      <c r="E111044"/>
      <c r="F111044"/>
    </row>
    <row r="111045" spans="1:6" x14ac:dyDescent="0.25">
      <c r="A111045"/>
      <c r="B111045"/>
      <c r="C111045"/>
      <c r="E111045"/>
      <c r="F111045"/>
    </row>
    <row r="111046" spans="1:6" x14ac:dyDescent="0.25">
      <c r="A111046"/>
      <c r="B111046"/>
      <c r="C111046"/>
      <c r="E111046"/>
      <c r="F111046"/>
    </row>
    <row r="111047" spans="1:6" x14ac:dyDescent="0.25">
      <c r="A111047"/>
      <c r="B111047"/>
      <c r="C111047"/>
      <c r="E111047"/>
      <c r="F111047"/>
    </row>
    <row r="111048" spans="1:6" x14ac:dyDescent="0.25">
      <c r="A111048"/>
      <c r="B111048"/>
      <c r="C111048"/>
      <c r="E111048"/>
      <c r="F111048"/>
    </row>
    <row r="111049" spans="1:6" x14ac:dyDescent="0.25">
      <c r="A111049"/>
      <c r="B111049"/>
      <c r="C111049"/>
      <c r="E111049"/>
      <c r="F111049"/>
    </row>
    <row r="111050" spans="1:6" x14ac:dyDescent="0.25">
      <c r="A111050"/>
      <c r="B111050"/>
      <c r="C111050"/>
      <c r="E111050"/>
      <c r="F111050"/>
    </row>
    <row r="111051" spans="1:6" x14ac:dyDescent="0.25">
      <c r="A111051"/>
      <c r="B111051"/>
      <c r="C111051"/>
      <c r="E111051"/>
      <c r="F111051"/>
    </row>
    <row r="111052" spans="1:6" x14ac:dyDescent="0.25">
      <c r="A111052"/>
      <c r="B111052"/>
      <c r="C111052"/>
      <c r="E111052"/>
      <c r="F111052"/>
    </row>
    <row r="111053" spans="1:6" x14ac:dyDescent="0.25">
      <c r="A111053"/>
      <c r="B111053"/>
      <c r="C111053"/>
      <c r="E111053"/>
      <c r="F111053"/>
    </row>
    <row r="111054" spans="1:6" x14ac:dyDescent="0.25">
      <c r="A111054"/>
      <c r="B111054"/>
      <c r="C111054"/>
      <c r="E111054"/>
      <c r="F111054"/>
    </row>
    <row r="111055" spans="1:6" x14ac:dyDescent="0.25">
      <c r="A111055"/>
      <c r="B111055"/>
      <c r="C111055"/>
      <c r="E111055"/>
      <c r="F111055"/>
    </row>
    <row r="111056" spans="1:6" x14ac:dyDescent="0.25">
      <c r="A111056"/>
      <c r="B111056"/>
      <c r="C111056"/>
      <c r="E111056"/>
      <c r="F111056"/>
    </row>
    <row r="111057" spans="1:6" x14ac:dyDescent="0.25">
      <c r="A111057"/>
      <c r="B111057"/>
      <c r="C111057"/>
      <c r="E111057"/>
      <c r="F111057"/>
    </row>
    <row r="111058" spans="1:6" x14ac:dyDescent="0.25">
      <c r="A111058"/>
      <c r="B111058"/>
      <c r="C111058"/>
      <c r="E111058"/>
      <c r="F111058"/>
    </row>
    <row r="111059" spans="1:6" x14ac:dyDescent="0.25">
      <c r="A111059"/>
      <c r="B111059"/>
      <c r="C111059"/>
      <c r="E111059"/>
      <c r="F111059"/>
    </row>
    <row r="111060" spans="1:6" x14ac:dyDescent="0.25">
      <c r="A111060"/>
      <c r="B111060"/>
      <c r="C111060"/>
      <c r="E111060"/>
      <c r="F111060"/>
    </row>
    <row r="111061" spans="1:6" x14ac:dyDescent="0.25">
      <c r="A111061"/>
      <c r="B111061"/>
      <c r="C111061"/>
      <c r="E111061"/>
      <c r="F111061"/>
    </row>
    <row r="111062" spans="1:6" x14ac:dyDescent="0.25">
      <c r="A111062"/>
      <c r="B111062"/>
      <c r="C111062"/>
      <c r="E111062"/>
      <c r="F111062"/>
    </row>
    <row r="111063" spans="1:6" x14ac:dyDescent="0.25">
      <c r="A111063"/>
      <c r="B111063"/>
      <c r="C111063"/>
      <c r="E111063"/>
      <c r="F111063"/>
    </row>
    <row r="111064" spans="1:6" x14ac:dyDescent="0.25">
      <c r="A111064"/>
      <c r="B111064"/>
      <c r="C111064"/>
      <c r="E111064"/>
      <c r="F111064"/>
    </row>
    <row r="111065" spans="1:6" x14ac:dyDescent="0.25">
      <c r="A111065"/>
      <c r="B111065"/>
      <c r="C111065"/>
      <c r="E111065"/>
      <c r="F111065"/>
    </row>
    <row r="111066" spans="1:6" x14ac:dyDescent="0.25">
      <c r="A111066"/>
      <c r="B111066"/>
      <c r="C111066"/>
      <c r="E111066"/>
      <c r="F111066"/>
    </row>
    <row r="111067" spans="1:6" x14ac:dyDescent="0.25">
      <c r="A111067"/>
      <c r="B111067"/>
      <c r="C111067"/>
      <c r="E111067"/>
      <c r="F111067"/>
    </row>
    <row r="111068" spans="1:6" x14ac:dyDescent="0.25">
      <c r="A111068"/>
      <c r="B111068"/>
      <c r="C111068"/>
      <c r="E111068"/>
      <c r="F111068"/>
    </row>
    <row r="111069" spans="1:6" x14ac:dyDescent="0.25">
      <c r="A111069"/>
      <c r="B111069"/>
      <c r="C111069"/>
      <c r="E111069"/>
      <c r="F111069"/>
    </row>
    <row r="111070" spans="1:6" x14ac:dyDescent="0.25">
      <c r="A111070"/>
      <c r="B111070"/>
      <c r="C111070"/>
      <c r="E111070"/>
      <c r="F111070"/>
    </row>
    <row r="111071" spans="1:6" x14ac:dyDescent="0.25">
      <c r="A111071"/>
      <c r="B111071"/>
      <c r="C111071"/>
      <c r="E111071"/>
      <c r="F111071"/>
    </row>
    <row r="111072" spans="1:6" x14ac:dyDescent="0.25">
      <c r="A111072"/>
      <c r="B111072"/>
      <c r="C111072"/>
      <c r="E111072"/>
      <c r="F111072"/>
    </row>
    <row r="111073" spans="1:6" x14ac:dyDescent="0.25">
      <c r="A111073"/>
      <c r="B111073"/>
      <c r="C111073"/>
      <c r="E111073"/>
      <c r="F111073"/>
    </row>
    <row r="111074" spans="1:6" x14ac:dyDescent="0.25">
      <c r="A111074"/>
      <c r="B111074"/>
      <c r="C111074"/>
      <c r="E111074"/>
      <c r="F111074"/>
    </row>
    <row r="111075" spans="1:6" x14ac:dyDescent="0.25">
      <c r="A111075"/>
      <c r="B111075"/>
      <c r="C111075"/>
      <c r="E111075"/>
      <c r="F111075"/>
    </row>
    <row r="111076" spans="1:6" x14ac:dyDescent="0.25">
      <c r="A111076"/>
      <c r="B111076"/>
      <c r="C111076"/>
      <c r="E111076"/>
      <c r="F111076"/>
    </row>
    <row r="111077" spans="1:6" x14ac:dyDescent="0.25">
      <c r="A111077"/>
      <c r="B111077"/>
      <c r="C111077"/>
      <c r="E111077"/>
      <c r="F111077"/>
    </row>
    <row r="111078" spans="1:6" x14ac:dyDescent="0.25">
      <c r="A111078"/>
      <c r="B111078"/>
      <c r="C111078"/>
      <c r="E111078"/>
      <c r="F111078"/>
    </row>
    <row r="111079" spans="1:6" x14ac:dyDescent="0.25">
      <c r="A111079"/>
      <c r="B111079"/>
      <c r="C111079"/>
      <c r="E111079"/>
      <c r="F111079"/>
    </row>
    <row r="111080" spans="1:6" x14ac:dyDescent="0.25">
      <c r="A111080"/>
      <c r="B111080"/>
      <c r="C111080"/>
      <c r="E111080"/>
      <c r="F111080"/>
    </row>
    <row r="111081" spans="1:6" x14ac:dyDescent="0.25">
      <c r="A111081"/>
      <c r="B111081"/>
      <c r="C111081"/>
      <c r="E111081"/>
      <c r="F111081"/>
    </row>
    <row r="111082" spans="1:6" x14ac:dyDescent="0.25">
      <c r="A111082"/>
      <c r="B111082"/>
      <c r="C111082"/>
      <c r="E111082"/>
      <c r="F111082"/>
    </row>
    <row r="111083" spans="1:6" x14ac:dyDescent="0.25">
      <c r="A111083"/>
      <c r="B111083"/>
      <c r="C111083"/>
      <c r="E111083"/>
      <c r="F111083"/>
    </row>
    <row r="111084" spans="1:6" x14ac:dyDescent="0.25">
      <c r="A111084"/>
      <c r="B111084"/>
      <c r="C111084"/>
      <c r="E111084"/>
      <c r="F111084"/>
    </row>
    <row r="111085" spans="1:6" x14ac:dyDescent="0.25">
      <c r="A111085"/>
      <c r="B111085"/>
      <c r="C111085"/>
      <c r="E111085"/>
      <c r="F111085"/>
    </row>
    <row r="111086" spans="1:6" x14ac:dyDescent="0.25">
      <c r="A111086"/>
      <c r="B111086"/>
      <c r="C111086"/>
      <c r="E111086"/>
      <c r="F111086"/>
    </row>
    <row r="111087" spans="1:6" x14ac:dyDescent="0.25">
      <c r="A111087"/>
      <c r="B111087"/>
      <c r="C111087"/>
      <c r="E111087"/>
      <c r="F111087"/>
    </row>
    <row r="111088" spans="1:6" x14ac:dyDescent="0.25">
      <c r="A111088"/>
      <c r="B111088"/>
      <c r="C111088"/>
      <c r="E111088"/>
      <c r="F111088"/>
    </row>
    <row r="111089" spans="1:6" x14ac:dyDescent="0.25">
      <c r="A111089"/>
      <c r="B111089"/>
      <c r="C111089"/>
      <c r="E111089"/>
      <c r="F111089"/>
    </row>
    <row r="111090" spans="1:6" x14ac:dyDescent="0.25">
      <c r="A111090"/>
      <c r="B111090"/>
      <c r="C111090"/>
      <c r="E111090"/>
      <c r="F111090"/>
    </row>
    <row r="111091" spans="1:6" x14ac:dyDescent="0.25">
      <c r="A111091"/>
      <c r="B111091"/>
      <c r="C111091"/>
      <c r="E111091"/>
      <c r="F111091"/>
    </row>
    <row r="111092" spans="1:6" x14ac:dyDescent="0.25">
      <c r="A111092"/>
      <c r="B111092"/>
      <c r="C111092"/>
      <c r="E111092"/>
      <c r="F111092"/>
    </row>
    <row r="111093" spans="1:6" x14ac:dyDescent="0.25">
      <c r="A111093"/>
      <c r="B111093"/>
      <c r="C111093"/>
      <c r="E111093"/>
      <c r="F111093"/>
    </row>
    <row r="111094" spans="1:6" x14ac:dyDescent="0.25">
      <c r="A111094"/>
      <c r="B111094"/>
      <c r="C111094"/>
      <c r="E111094"/>
      <c r="F111094"/>
    </row>
    <row r="111095" spans="1:6" x14ac:dyDescent="0.25">
      <c r="A111095"/>
      <c r="B111095"/>
      <c r="C111095"/>
      <c r="E111095"/>
      <c r="F111095"/>
    </row>
    <row r="111096" spans="1:6" x14ac:dyDescent="0.25">
      <c r="A111096"/>
      <c r="B111096"/>
      <c r="C111096"/>
      <c r="E111096"/>
      <c r="F111096"/>
    </row>
    <row r="111097" spans="1:6" x14ac:dyDescent="0.25">
      <c r="A111097"/>
      <c r="B111097"/>
      <c r="C111097"/>
      <c r="E111097"/>
      <c r="F111097"/>
    </row>
    <row r="111098" spans="1:6" x14ac:dyDescent="0.25">
      <c r="A111098"/>
      <c r="B111098"/>
      <c r="C111098"/>
      <c r="E111098"/>
      <c r="F111098"/>
    </row>
    <row r="111099" spans="1:6" x14ac:dyDescent="0.25">
      <c r="A111099"/>
      <c r="B111099"/>
      <c r="C111099"/>
      <c r="E111099"/>
      <c r="F111099"/>
    </row>
    <row r="111100" spans="1:6" x14ac:dyDescent="0.25">
      <c r="A111100"/>
      <c r="B111100"/>
      <c r="C111100"/>
      <c r="E111100"/>
      <c r="F111100"/>
    </row>
    <row r="111101" spans="1:6" x14ac:dyDescent="0.25">
      <c r="A111101"/>
      <c r="B111101"/>
      <c r="C111101"/>
      <c r="E111101"/>
      <c r="F111101"/>
    </row>
    <row r="111102" spans="1:6" x14ac:dyDescent="0.25">
      <c r="A111102"/>
      <c r="B111102"/>
      <c r="C111102"/>
      <c r="E111102"/>
      <c r="F111102"/>
    </row>
    <row r="111103" spans="1:6" x14ac:dyDescent="0.25">
      <c r="A111103"/>
      <c r="B111103"/>
      <c r="C111103"/>
      <c r="E111103"/>
      <c r="F111103"/>
    </row>
    <row r="111104" spans="1:6" x14ac:dyDescent="0.25">
      <c r="A111104"/>
      <c r="B111104"/>
      <c r="C111104"/>
      <c r="E111104"/>
      <c r="F111104"/>
    </row>
    <row r="111105" spans="1:6" x14ac:dyDescent="0.25">
      <c r="A111105"/>
      <c r="B111105"/>
      <c r="C111105"/>
      <c r="E111105"/>
      <c r="F111105"/>
    </row>
    <row r="111106" spans="1:6" x14ac:dyDescent="0.25">
      <c r="A111106"/>
      <c r="B111106"/>
      <c r="C111106"/>
      <c r="E111106"/>
      <c r="F111106"/>
    </row>
    <row r="111107" spans="1:6" x14ac:dyDescent="0.25">
      <c r="A111107"/>
      <c r="B111107"/>
      <c r="C111107"/>
      <c r="E111107"/>
      <c r="F111107"/>
    </row>
    <row r="111108" spans="1:6" x14ac:dyDescent="0.25">
      <c r="A111108"/>
      <c r="B111108"/>
      <c r="C111108"/>
      <c r="E111108"/>
      <c r="F111108"/>
    </row>
    <row r="111109" spans="1:6" x14ac:dyDescent="0.25">
      <c r="A111109"/>
      <c r="B111109"/>
      <c r="C111109"/>
      <c r="E111109"/>
      <c r="F111109"/>
    </row>
    <row r="111110" spans="1:6" x14ac:dyDescent="0.25">
      <c r="A111110"/>
      <c r="B111110"/>
      <c r="C111110"/>
      <c r="E111110"/>
      <c r="F111110"/>
    </row>
    <row r="111111" spans="1:6" x14ac:dyDescent="0.25">
      <c r="A111111"/>
      <c r="B111111"/>
      <c r="C111111"/>
      <c r="E111111"/>
      <c r="F111111"/>
    </row>
    <row r="111112" spans="1:6" x14ac:dyDescent="0.25">
      <c r="A111112"/>
      <c r="B111112"/>
      <c r="C111112"/>
      <c r="E111112"/>
      <c r="F111112"/>
    </row>
    <row r="111113" spans="1:6" x14ac:dyDescent="0.25">
      <c r="A111113"/>
      <c r="B111113"/>
      <c r="C111113"/>
      <c r="E111113"/>
      <c r="F111113"/>
    </row>
    <row r="111114" spans="1:6" x14ac:dyDescent="0.25">
      <c r="A111114"/>
      <c r="B111114"/>
      <c r="C111114"/>
      <c r="E111114"/>
      <c r="F111114"/>
    </row>
    <row r="111115" spans="1:6" x14ac:dyDescent="0.25">
      <c r="A111115"/>
      <c r="B111115"/>
      <c r="C111115"/>
      <c r="E111115"/>
      <c r="F111115"/>
    </row>
    <row r="111116" spans="1:6" x14ac:dyDescent="0.25">
      <c r="A111116"/>
      <c r="B111116"/>
      <c r="C111116"/>
      <c r="E111116"/>
      <c r="F111116"/>
    </row>
    <row r="111117" spans="1:6" x14ac:dyDescent="0.25">
      <c r="A111117"/>
      <c r="B111117"/>
      <c r="C111117"/>
      <c r="E111117"/>
      <c r="F111117"/>
    </row>
    <row r="111118" spans="1:6" x14ac:dyDescent="0.25">
      <c r="A111118"/>
      <c r="B111118"/>
      <c r="C111118"/>
      <c r="E111118"/>
      <c r="F111118"/>
    </row>
    <row r="111119" spans="1:6" x14ac:dyDescent="0.25">
      <c r="A111119"/>
      <c r="B111119"/>
      <c r="C111119"/>
      <c r="E111119"/>
      <c r="F111119"/>
    </row>
    <row r="111120" spans="1:6" x14ac:dyDescent="0.25">
      <c r="A111120"/>
      <c r="B111120"/>
      <c r="C111120"/>
      <c r="E111120"/>
      <c r="F111120"/>
    </row>
    <row r="111121" spans="1:6" x14ac:dyDescent="0.25">
      <c r="A111121"/>
      <c r="B111121"/>
      <c r="C111121"/>
      <c r="E111121"/>
      <c r="F111121"/>
    </row>
    <row r="111122" spans="1:6" x14ac:dyDescent="0.25">
      <c r="A111122"/>
      <c r="B111122"/>
      <c r="C111122"/>
      <c r="E111122"/>
      <c r="F111122"/>
    </row>
    <row r="111123" spans="1:6" x14ac:dyDescent="0.25">
      <c r="A111123"/>
      <c r="B111123"/>
      <c r="C111123"/>
      <c r="E111123"/>
      <c r="F111123"/>
    </row>
    <row r="111124" spans="1:6" x14ac:dyDescent="0.25">
      <c r="A111124"/>
      <c r="B111124"/>
      <c r="C111124"/>
      <c r="E111124"/>
      <c r="F111124"/>
    </row>
    <row r="111125" spans="1:6" x14ac:dyDescent="0.25">
      <c r="A111125"/>
      <c r="B111125"/>
      <c r="C111125"/>
      <c r="E111125"/>
      <c r="F111125"/>
    </row>
    <row r="111126" spans="1:6" x14ac:dyDescent="0.25">
      <c r="A111126"/>
      <c r="B111126"/>
      <c r="C111126"/>
      <c r="E111126"/>
      <c r="F111126"/>
    </row>
    <row r="111127" spans="1:6" x14ac:dyDescent="0.25">
      <c r="A111127"/>
      <c r="B111127"/>
      <c r="C111127"/>
      <c r="E111127"/>
      <c r="F111127"/>
    </row>
    <row r="111128" spans="1:6" x14ac:dyDescent="0.25">
      <c r="A111128"/>
      <c r="B111128"/>
      <c r="C111128"/>
      <c r="E111128"/>
      <c r="F111128"/>
    </row>
    <row r="111129" spans="1:6" x14ac:dyDescent="0.25">
      <c r="A111129"/>
      <c r="B111129"/>
      <c r="C111129"/>
      <c r="E111129"/>
      <c r="F111129"/>
    </row>
    <row r="111130" spans="1:6" x14ac:dyDescent="0.25">
      <c r="A111130"/>
      <c r="B111130"/>
      <c r="C111130"/>
      <c r="E111130"/>
      <c r="F111130"/>
    </row>
    <row r="111131" spans="1:6" x14ac:dyDescent="0.25">
      <c r="A111131"/>
      <c r="B111131"/>
      <c r="C111131"/>
      <c r="E111131"/>
      <c r="F111131"/>
    </row>
    <row r="111132" spans="1:6" x14ac:dyDescent="0.25">
      <c r="A111132"/>
      <c r="B111132"/>
      <c r="C111132"/>
      <c r="E111132"/>
      <c r="F111132"/>
    </row>
    <row r="111133" spans="1:6" x14ac:dyDescent="0.25">
      <c r="A111133"/>
      <c r="B111133"/>
      <c r="C111133"/>
      <c r="E111133"/>
      <c r="F111133"/>
    </row>
    <row r="111134" spans="1:6" x14ac:dyDescent="0.25">
      <c r="A111134"/>
      <c r="B111134"/>
      <c r="C111134"/>
      <c r="E111134"/>
      <c r="F111134"/>
    </row>
    <row r="111135" spans="1:6" x14ac:dyDescent="0.25">
      <c r="A111135"/>
      <c r="B111135"/>
      <c r="C111135"/>
      <c r="E111135"/>
      <c r="F111135"/>
    </row>
    <row r="111136" spans="1:6" x14ac:dyDescent="0.25">
      <c r="A111136"/>
      <c r="B111136"/>
      <c r="C111136"/>
      <c r="E111136"/>
      <c r="F111136"/>
    </row>
    <row r="111137" spans="1:6" x14ac:dyDescent="0.25">
      <c r="A111137"/>
      <c r="B111137"/>
      <c r="C111137"/>
      <c r="E111137"/>
      <c r="F111137"/>
    </row>
    <row r="111138" spans="1:6" x14ac:dyDescent="0.25">
      <c r="A111138"/>
      <c r="B111138"/>
      <c r="C111138"/>
      <c r="E111138"/>
      <c r="F111138"/>
    </row>
    <row r="111139" spans="1:6" x14ac:dyDescent="0.25">
      <c r="A111139"/>
      <c r="B111139"/>
      <c r="C111139"/>
      <c r="E111139"/>
      <c r="F111139"/>
    </row>
    <row r="111140" spans="1:6" x14ac:dyDescent="0.25">
      <c r="A111140"/>
      <c r="B111140"/>
      <c r="C111140"/>
      <c r="E111140"/>
      <c r="F111140"/>
    </row>
    <row r="111141" spans="1:6" x14ac:dyDescent="0.25">
      <c r="A111141"/>
      <c r="B111141"/>
      <c r="C111141"/>
      <c r="E111141"/>
      <c r="F111141"/>
    </row>
    <row r="111142" spans="1:6" x14ac:dyDescent="0.25">
      <c r="A111142"/>
      <c r="B111142"/>
      <c r="C111142"/>
      <c r="E111142"/>
      <c r="F111142"/>
    </row>
    <row r="111143" spans="1:6" x14ac:dyDescent="0.25">
      <c r="A111143"/>
      <c r="B111143"/>
      <c r="C111143"/>
      <c r="E111143"/>
      <c r="F111143"/>
    </row>
    <row r="111144" spans="1:6" x14ac:dyDescent="0.25">
      <c r="A111144"/>
      <c r="B111144"/>
      <c r="C111144"/>
      <c r="E111144"/>
      <c r="F111144"/>
    </row>
    <row r="111145" spans="1:6" x14ac:dyDescent="0.25">
      <c r="A111145"/>
      <c r="B111145"/>
      <c r="C111145"/>
      <c r="E111145"/>
      <c r="F111145"/>
    </row>
    <row r="111146" spans="1:6" x14ac:dyDescent="0.25">
      <c r="A111146"/>
      <c r="B111146"/>
      <c r="C111146"/>
      <c r="E111146"/>
      <c r="F111146"/>
    </row>
    <row r="111147" spans="1:6" x14ac:dyDescent="0.25">
      <c r="A111147"/>
      <c r="B111147"/>
      <c r="C111147"/>
      <c r="E111147"/>
      <c r="F111147"/>
    </row>
    <row r="111148" spans="1:6" x14ac:dyDescent="0.25">
      <c r="A111148"/>
      <c r="B111148"/>
      <c r="C111148"/>
      <c r="E111148"/>
      <c r="F111148"/>
    </row>
    <row r="111149" spans="1:6" x14ac:dyDescent="0.25">
      <c r="A111149"/>
      <c r="B111149"/>
      <c r="C111149"/>
      <c r="E111149"/>
      <c r="F111149"/>
    </row>
    <row r="111150" spans="1:6" x14ac:dyDescent="0.25">
      <c r="A111150"/>
      <c r="B111150"/>
      <c r="C111150"/>
      <c r="E111150"/>
      <c r="F111150"/>
    </row>
    <row r="111151" spans="1:6" x14ac:dyDescent="0.25">
      <c r="A111151"/>
      <c r="B111151"/>
      <c r="C111151"/>
      <c r="E111151"/>
      <c r="F111151"/>
    </row>
    <row r="111152" spans="1:6" x14ac:dyDescent="0.25">
      <c r="A111152"/>
      <c r="B111152"/>
      <c r="C111152"/>
      <c r="E111152"/>
      <c r="F111152"/>
    </row>
    <row r="111153" spans="1:6" x14ac:dyDescent="0.25">
      <c r="A111153"/>
      <c r="B111153"/>
      <c r="C111153"/>
      <c r="E111153"/>
      <c r="F111153"/>
    </row>
    <row r="111154" spans="1:6" x14ac:dyDescent="0.25">
      <c r="A111154"/>
      <c r="B111154"/>
      <c r="C111154"/>
      <c r="E111154"/>
      <c r="F111154"/>
    </row>
    <row r="111155" spans="1:6" x14ac:dyDescent="0.25">
      <c r="A111155"/>
      <c r="B111155"/>
      <c r="C111155"/>
      <c r="E111155"/>
      <c r="F111155"/>
    </row>
    <row r="111156" spans="1:6" x14ac:dyDescent="0.25">
      <c r="A111156"/>
      <c r="B111156"/>
      <c r="C111156"/>
      <c r="E111156"/>
      <c r="F111156"/>
    </row>
    <row r="111157" spans="1:6" x14ac:dyDescent="0.25">
      <c r="A111157"/>
      <c r="B111157"/>
      <c r="C111157"/>
      <c r="E111157"/>
      <c r="F111157"/>
    </row>
    <row r="111158" spans="1:6" x14ac:dyDescent="0.25">
      <c r="A111158"/>
      <c r="B111158"/>
      <c r="C111158"/>
      <c r="E111158"/>
      <c r="F111158"/>
    </row>
    <row r="111159" spans="1:6" x14ac:dyDescent="0.25">
      <c r="A111159"/>
      <c r="B111159"/>
      <c r="C111159"/>
      <c r="E111159"/>
      <c r="F111159"/>
    </row>
    <row r="111160" spans="1:6" x14ac:dyDescent="0.25">
      <c r="A111160"/>
      <c r="B111160"/>
      <c r="C111160"/>
      <c r="E111160"/>
      <c r="F111160"/>
    </row>
    <row r="111161" spans="1:6" x14ac:dyDescent="0.25">
      <c r="A111161"/>
      <c r="B111161"/>
      <c r="C111161"/>
      <c r="E111161"/>
      <c r="F111161"/>
    </row>
    <row r="111162" spans="1:6" x14ac:dyDescent="0.25">
      <c r="A111162"/>
      <c r="B111162"/>
      <c r="C111162"/>
      <c r="E111162"/>
      <c r="F111162"/>
    </row>
    <row r="111163" spans="1:6" x14ac:dyDescent="0.25">
      <c r="A111163"/>
      <c r="B111163"/>
      <c r="C111163"/>
      <c r="E111163"/>
      <c r="F111163"/>
    </row>
    <row r="111164" spans="1:6" x14ac:dyDescent="0.25">
      <c r="A111164"/>
      <c r="B111164"/>
      <c r="C111164"/>
      <c r="E111164"/>
      <c r="F111164"/>
    </row>
    <row r="111165" spans="1:6" x14ac:dyDescent="0.25">
      <c r="A111165"/>
      <c r="B111165"/>
      <c r="C111165"/>
      <c r="E111165"/>
      <c r="F111165"/>
    </row>
    <row r="111166" spans="1:6" x14ac:dyDescent="0.25">
      <c r="A111166"/>
      <c r="B111166"/>
      <c r="C111166"/>
      <c r="E111166"/>
      <c r="F111166"/>
    </row>
    <row r="111167" spans="1:6" x14ac:dyDescent="0.25">
      <c r="A111167"/>
      <c r="B111167"/>
      <c r="C111167"/>
      <c r="E111167"/>
      <c r="F111167"/>
    </row>
    <row r="111168" spans="1:6" x14ac:dyDescent="0.25">
      <c r="A111168"/>
      <c r="B111168"/>
      <c r="C111168"/>
      <c r="E111168"/>
      <c r="F111168"/>
    </row>
    <row r="111169" spans="1:6" x14ac:dyDescent="0.25">
      <c r="A111169"/>
      <c r="B111169"/>
      <c r="C111169"/>
      <c r="E111169"/>
      <c r="F111169"/>
    </row>
    <row r="111170" spans="1:6" x14ac:dyDescent="0.25">
      <c r="A111170"/>
      <c r="B111170"/>
      <c r="C111170"/>
      <c r="E111170"/>
      <c r="F111170"/>
    </row>
    <row r="111171" spans="1:6" x14ac:dyDescent="0.25">
      <c r="A111171"/>
      <c r="B111171"/>
      <c r="C111171"/>
      <c r="E111171"/>
      <c r="F111171"/>
    </row>
    <row r="111172" spans="1:6" x14ac:dyDescent="0.25">
      <c r="A111172"/>
      <c r="B111172"/>
      <c r="C111172"/>
      <c r="E111172"/>
      <c r="F111172"/>
    </row>
    <row r="111173" spans="1:6" x14ac:dyDescent="0.25">
      <c r="A111173"/>
      <c r="B111173"/>
      <c r="C111173"/>
      <c r="E111173"/>
      <c r="F111173"/>
    </row>
    <row r="111174" spans="1:6" x14ac:dyDescent="0.25">
      <c r="A111174"/>
      <c r="B111174"/>
      <c r="C111174"/>
      <c r="E111174"/>
      <c r="F111174"/>
    </row>
    <row r="111175" spans="1:6" x14ac:dyDescent="0.25">
      <c r="A111175"/>
      <c r="B111175"/>
      <c r="C111175"/>
      <c r="E111175"/>
      <c r="F111175"/>
    </row>
    <row r="111176" spans="1:6" x14ac:dyDescent="0.25">
      <c r="A111176"/>
      <c r="B111176"/>
      <c r="C111176"/>
      <c r="E111176"/>
      <c r="F111176"/>
    </row>
    <row r="111177" spans="1:6" x14ac:dyDescent="0.25">
      <c r="A111177"/>
      <c r="B111177"/>
      <c r="C111177"/>
      <c r="E111177"/>
      <c r="F111177"/>
    </row>
    <row r="111178" spans="1:6" x14ac:dyDescent="0.25">
      <c r="A111178"/>
      <c r="B111178"/>
      <c r="C111178"/>
      <c r="E111178"/>
      <c r="F111178"/>
    </row>
    <row r="111179" spans="1:6" x14ac:dyDescent="0.25">
      <c r="A111179"/>
      <c r="B111179"/>
      <c r="C111179"/>
      <c r="E111179"/>
      <c r="F111179"/>
    </row>
    <row r="111180" spans="1:6" x14ac:dyDescent="0.25">
      <c r="A111180"/>
      <c r="B111180"/>
      <c r="C111180"/>
      <c r="E111180"/>
      <c r="F111180"/>
    </row>
    <row r="111181" spans="1:6" x14ac:dyDescent="0.25">
      <c r="A111181"/>
      <c r="B111181"/>
      <c r="C111181"/>
      <c r="E111181"/>
      <c r="F111181"/>
    </row>
    <row r="111182" spans="1:6" x14ac:dyDescent="0.25">
      <c r="A111182"/>
      <c r="B111182"/>
      <c r="C111182"/>
      <c r="E111182"/>
      <c r="F111182"/>
    </row>
    <row r="111183" spans="1:6" x14ac:dyDescent="0.25">
      <c r="A111183"/>
      <c r="B111183"/>
      <c r="C111183"/>
      <c r="E111183"/>
      <c r="F111183"/>
    </row>
    <row r="111184" spans="1:6" x14ac:dyDescent="0.25">
      <c r="A111184"/>
      <c r="B111184"/>
      <c r="C111184"/>
      <c r="E111184"/>
      <c r="F111184"/>
    </row>
    <row r="111185" spans="1:6" x14ac:dyDescent="0.25">
      <c r="A111185"/>
      <c r="B111185"/>
      <c r="C111185"/>
      <c r="E111185"/>
      <c r="F111185"/>
    </row>
    <row r="111186" spans="1:6" x14ac:dyDescent="0.25">
      <c r="A111186"/>
      <c r="B111186"/>
      <c r="C111186"/>
      <c r="E111186"/>
      <c r="F111186"/>
    </row>
    <row r="111187" spans="1:6" x14ac:dyDescent="0.25">
      <c r="A111187"/>
      <c r="B111187"/>
      <c r="C111187"/>
      <c r="E111187"/>
      <c r="F111187"/>
    </row>
    <row r="111188" spans="1:6" x14ac:dyDescent="0.25">
      <c r="A111188"/>
      <c r="B111188"/>
      <c r="C111188"/>
      <c r="E111188"/>
      <c r="F111188"/>
    </row>
    <row r="111189" spans="1:6" x14ac:dyDescent="0.25">
      <c r="A111189"/>
      <c r="B111189"/>
      <c r="C111189"/>
      <c r="E111189"/>
      <c r="F111189"/>
    </row>
    <row r="111190" spans="1:6" x14ac:dyDescent="0.25">
      <c r="A111190"/>
      <c r="B111190"/>
      <c r="C111190"/>
      <c r="E111190"/>
      <c r="F111190"/>
    </row>
    <row r="111191" spans="1:6" x14ac:dyDescent="0.25">
      <c r="A111191"/>
      <c r="B111191"/>
      <c r="C111191"/>
      <c r="E111191"/>
      <c r="F111191"/>
    </row>
    <row r="111192" spans="1:6" x14ac:dyDescent="0.25">
      <c r="A111192"/>
      <c r="B111192"/>
      <c r="C111192"/>
      <c r="E111192"/>
      <c r="F111192"/>
    </row>
    <row r="111193" spans="1:6" x14ac:dyDescent="0.25">
      <c r="A111193"/>
      <c r="B111193"/>
      <c r="C111193"/>
      <c r="E111193"/>
      <c r="F111193"/>
    </row>
    <row r="111194" spans="1:6" x14ac:dyDescent="0.25">
      <c r="A111194"/>
      <c r="B111194"/>
      <c r="C111194"/>
      <c r="E111194"/>
      <c r="F111194"/>
    </row>
    <row r="111195" spans="1:6" x14ac:dyDescent="0.25">
      <c r="A111195"/>
      <c r="B111195"/>
      <c r="C111195"/>
      <c r="E111195"/>
      <c r="F111195"/>
    </row>
    <row r="111196" spans="1:6" x14ac:dyDescent="0.25">
      <c r="A111196"/>
      <c r="B111196"/>
      <c r="C111196"/>
      <c r="E111196"/>
      <c r="F111196"/>
    </row>
    <row r="111197" spans="1:6" x14ac:dyDescent="0.25">
      <c r="A111197"/>
      <c r="B111197"/>
      <c r="C111197"/>
      <c r="E111197"/>
      <c r="F111197"/>
    </row>
    <row r="111198" spans="1:6" x14ac:dyDescent="0.25">
      <c r="A111198"/>
      <c r="B111198"/>
      <c r="C111198"/>
      <c r="E111198"/>
      <c r="F111198"/>
    </row>
    <row r="111199" spans="1:6" x14ac:dyDescent="0.25">
      <c r="A111199"/>
      <c r="B111199"/>
      <c r="C111199"/>
      <c r="E111199"/>
      <c r="F111199"/>
    </row>
    <row r="111200" spans="1:6" x14ac:dyDescent="0.25">
      <c r="A111200"/>
      <c r="B111200"/>
      <c r="C111200"/>
      <c r="E111200"/>
      <c r="F111200"/>
    </row>
    <row r="111201" spans="1:6" x14ac:dyDescent="0.25">
      <c r="A111201"/>
      <c r="B111201"/>
      <c r="C111201"/>
      <c r="E111201"/>
      <c r="F111201"/>
    </row>
    <row r="111202" spans="1:6" x14ac:dyDescent="0.25">
      <c r="A111202"/>
      <c r="B111202"/>
      <c r="C111202"/>
      <c r="E111202"/>
      <c r="F111202"/>
    </row>
    <row r="111203" spans="1:6" x14ac:dyDescent="0.25">
      <c r="A111203"/>
      <c r="B111203"/>
      <c r="C111203"/>
      <c r="E111203"/>
      <c r="F111203"/>
    </row>
    <row r="111204" spans="1:6" x14ac:dyDescent="0.25">
      <c r="A111204"/>
      <c r="B111204"/>
      <c r="C111204"/>
      <c r="E111204"/>
      <c r="F111204"/>
    </row>
    <row r="111205" spans="1:6" x14ac:dyDescent="0.25">
      <c r="A111205"/>
      <c r="B111205"/>
      <c r="C111205"/>
      <c r="E111205"/>
      <c r="F111205"/>
    </row>
    <row r="111206" spans="1:6" x14ac:dyDescent="0.25">
      <c r="A111206"/>
      <c r="B111206"/>
      <c r="C111206"/>
      <c r="E111206"/>
      <c r="F111206"/>
    </row>
    <row r="111207" spans="1:6" x14ac:dyDescent="0.25">
      <c r="A111207"/>
      <c r="B111207"/>
      <c r="C111207"/>
      <c r="E111207"/>
      <c r="F111207"/>
    </row>
    <row r="111208" spans="1:6" x14ac:dyDescent="0.25">
      <c r="A111208"/>
      <c r="B111208"/>
      <c r="C111208"/>
      <c r="E111208"/>
      <c r="F111208"/>
    </row>
    <row r="111209" spans="1:6" x14ac:dyDescent="0.25">
      <c r="A111209"/>
      <c r="B111209"/>
      <c r="C111209"/>
      <c r="E111209"/>
      <c r="F111209"/>
    </row>
    <row r="111210" spans="1:6" x14ac:dyDescent="0.25">
      <c r="A111210"/>
      <c r="B111210"/>
      <c r="C111210"/>
      <c r="E111210"/>
      <c r="F111210"/>
    </row>
    <row r="111211" spans="1:6" x14ac:dyDescent="0.25">
      <c r="A111211"/>
      <c r="B111211"/>
      <c r="C111211"/>
      <c r="E111211"/>
      <c r="F111211"/>
    </row>
    <row r="111212" spans="1:6" x14ac:dyDescent="0.25">
      <c r="A111212"/>
      <c r="B111212"/>
      <c r="C111212"/>
      <c r="E111212"/>
      <c r="F111212"/>
    </row>
    <row r="111213" spans="1:6" x14ac:dyDescent="0.25">
      <c r="A111213"/>
      <c r="B111213"/>
      <c r="C111213"/>
      <c r="E111213"/>
      <c r="F111213"/>
    </row>
    <row r="111214" spans="1:6" x14ac:dyDescent="0.25">
      <c r="A111214"/>
      <c r="B111214"/>
      <c r="C111214"/>
      <c r="E111214"/>
      <c r="F111214"/>
    </row>
    <row r="111215" spans="1:6" x14ac:dyDescent="0.25">
      <c r="A111215"/>
      <c r="B111215"/>
      <c r="C111215"/>
      <c r="E111215"/>
      <c r="F111215"/>
    </row>
    <row r="111216" spans="1:6" x14ac:dyDescent="0.25">
      <c r="A111216"/>
      <c r="B111216"/>
      <c r="C111216"/>
      <c r="E111216"/>
      <c r="F111216"/>
    </row>
    <row r="111217" spans="1:6" x14ac:dyDescent="0.25">
      <c r="A111217"/>
      <c r="B111217"/>
      <c r="C111217"/>
      <c r="E111217"/>
      <c r="F111217"/>
    </row>
    <row r="111218" spans="1:6" x14ac:dyDescent="0.25">
      <c r="A111218"/>
      <c r="B111218"/>
      <c r="C111218"/>
      <c r="E111218"/>
      <c r="F111218"/>
    </row>
    <row r="111219" spans="1:6" x14ac:dyDescent="0.25">
      <c r="A111219"/>
      <c r="B111219"/>
      <c r="C111219"/>
      <c r="E111219"/>
      <c r="F111219"/>
    </row>
    <row r="111220" spans="1:6" x14ac:dyDescent="0.25">
      <c r="A111220"/>
      <c r="B111220"/>
      <c r="C111220"/>
      <c r="E111220"/>
      <c r="F111220"/>
    </row>
    <row r="111221" spans="1:6" x14ac:dyDescent="0.25">
      <c r="A111221"/>
      <c r="B111221"/>
      <c r="C111221"/>
      <c r="E111221"/>
      <c r="F111221"/>
    </row>
    <row r="111222" spans="1:6" x14ac:dyDescent="0.25">
      <c r="A111222"/>
      <c r="B111222"/>
      <c r="C111222"/>
      <c r="E111222"/>
      <c r="F111222"/>
    </row>
    <row r="111223" spans="1:6" x14ac:dyDescent="0.25">
      <c r="A111223"/>
      <c r="B111223"/>
      <c r="C111223"/>
      <c r="E111223"/>
      <c r="F111223"/>
    </row>
    <row r="111224" spans="1:6" x14ac:dyDescent="0.25">
      <c r="A111224"/>
      <c r="B111224"/>
      <c r="C111224"/>
      <c r="E111224"/>
      <c r="F111224"/>
    </row>
    <row r="111225" spans="1:6" x14ac:dyDescent="0.25">
      <c r="A111225"/>
      <c r="B111225"/>
      <c r="C111225"/>
      <c r="E111225"/>
      <c r="F111225"/>
    </row>
    <row r="111226" spans="1:6" x14ac:dyDescent="0.25">
      <c r="A111226"/>
      <c r="B111226"/>
      <c r="C111226"/>
      <c r="E111226"/>
      <c r="F111226"/>
    </row>
    <row r="111227" spans="1:6" x14ac:dyDescent="0.25">
      <c r="A111227"/>
      <c r="B111227"/>
      <c r="C111227"/>
      <c r="E111227"/>
      <c r="F111227"/>
    </row>
    <row r="111228" spans="1:6" x14ac:dyDescent="0.25">
      <c r="A111228"/>
      <c r="B111228"/>
      <c r="C111228"/>
      <c r="E111228"/>
      <c r="F111228"/>
    </row>
    <row r="111229" spans="1:6" x14ac:dyDescent="0.25">
      <c r="A111229"/>
      <c r="B111229"/>
      <c r="C111229"/>
      <c r="E111229"/>
      <c r="F111229"/>
    </row>
    <row r="111230" spans="1:6" x14ac:dyDescent="0.25">
      <c r="A111230"/>
      <c r="B111230"/>
      <c r="C111230"/>
      <c r="E111230"/>
      <c r="F111230"/>
    </row>
    <row r="111231" spans="1:6" x14ac:dyDescent="0.25">
      <c r="A111231"/>
      <c r="B111231"/>
      <c r="C111231"/>
      <c r="E111231"/>
      <c r="F111231"/>
    </row>
    <row r="111232" spans="1:6" x14ac:dyDescent="0.25">
      <c r="A111232"/>
      <c r="B111232"/>
      <c r="C111232"/>
      <c r="E111232"/>
      <c r="F111232"/>
    </row>
    <row r="111233" spans="1:6" x14ac:dyDescent="0.25">
      <c r="A111233"/>
      <c r="B111233"/>
      <c r="C111233"/>
      <c r="E111233"/>
      <c r="F111233"/>
    </row>
    <row r="111234" spans="1:6" x14ac:dyDescent="0.25">
      <c r="A111234"/>
      <c r="B111234"/>
      <c r="C111234"/>
      <c r="E111234"/>
      <c r="F111234"/>
    </row>
    <row r="111235" spans="1:6" x14ac:dyDescent="0.25">
      <c r="A111235"/>
      <c r="B111235"/>
      <c r="C111235"/>
      <c r="E111235"/>
      <c r="F111235"/>
    </row>
    <row r="111236" spans="1:6" x14ac:dyDescent="0.25">
      <c r="A111236"/>
      <c r="B111236"/>
      <c r="C111236"/>
      <c r="E111236"/>
      <c r="F111236"/>
    </row>
    <row r="111237" spans="1:6" x14ac:dyDescent="0.25">
      <c r="A111237"/>
      <c r="B111237"/>
      <c r="C111237"/>
      <c r="E111237"/>
      <c r="F111237"/>
    </row>
    <row r="111238" spans="1:6" x14ac:dyDescent="0.25">
      <c r="A111238"/>
      <c r="B111238"/>
      <c r="C111238"/>
      <c r="E111238"/>
      <c r="F111238"/>
    </row>
    <row r="111239" spans="1:6" x14ac:dyDescent="0.25">
      <c r="A111239"/>
      <c r="B111239"/>
      <c r="C111239"/>
      <c r="E111239"/>
      <c r="F111239"/>
    </row>
    <row r="111240" spans="1:6" x14ac:dyDescent="0.25">
      <c r="A111240"/>
      <c r="B111240"/>
      <c r="C111240"/>
      <c r="E111240"/>
      <c r="F111240"/>
    </row>
    <row r="111241" spans="1:6" x14ac:dyDescent="0.25">
      <c r="A111241"/>
      <c r="B111241"/>
      <c r="C111241"/>
      <c r="E111241"/>
      <c r="F111241"/>
    </row>
    <row r="111242" spans="1:6" x14ac:dyDescent="0.25">
      <c r="A111242"/>
      <c r="B111242"/>
      <c r="C111242"/>
      <c r="E111242"/>
      <c r="F111242"/>
    </row>
    <row r="111243" spans="1:6" x14ac:dyDescent="0.25">
      <c r="A111243"/>
      <c r="B111243"/>
      <c r="C111243"/>
      <c r="E111243"/>
      <c r="F111243"/>
    </row>
    <row r="111244" spans="1:6" x14ac:dyDescent="0.25">
      <c r="A111244"/>
      <c r="B111244"/>
      <c r="C111244"/>
      <c r="E111244"/>
      <c r="F111244"/>
    </row>
    <row r="111245" spans="1:6" x14ac:dyDescent="0.25">
      <c r="A111245"/>
      <c r="B111245"/>
      <c r="C111245"/>
      <c r="E111245"/>
      <c r="F111245"/>
    </row>
    <row r="111246" spans="1:6" x14ac:dyDescent="0.25">
      <c r="A111246"/>
      <c r="B111246"/>
      <c r="C111246"/>
      <c r="E111246"/>
      <c r="F111246"/>
    </row>
    <row r="111247" spans="1:6" x14ac:dyDescent="0.25">
      <c r="A111247"/>
      <c r="B111247"/>
      <c r="C111247"/>
      <c r="E111247"/>
      <c r="F111247"/>
    </row>
    <row r="111248" spans="1:6" x14ac:dyDescent="0.25">
      <c r="A111248"/>
      <c r="B111248"/>
      <c r="C111248"/>
      <c r="E111248"/>
      <c r="F111248"/>
    </row>
    <row r="111249" spans="1:6" x14ac:dyDescent="0.25">
      <c r="A111249"/>
      <c r="B111249"/>
      <c r="C111249"/>
      <c r="E111249"/>
      <c r="F111249"/>
    </row>
    <row r="111250" spans="1:6" x14ac:dyDescent="0.25">
      <c r="A111250"/>
      <c r="B111250"/>
      <c r="C111250"/>
      <c r="E111250"/>
      <c r="F111250"/>
    </row>
    <row r="111251" spans="1:6" x14ac:dyDescent="0.25">
      <c r="A111251"/>
      <c r="B111251"/>
      <c r="C111251"/>
      <c r="E111251"/>
      <c r="F111251"/>
    </row>
    <row r="111252" spans="1:6" x14ac:dyDescent="0.25">
      <c r="A111252"/>
      <c r="B111252"/>
      <c r="C111252"/>
      <c r="E111252"/>
      <c r="F111252"/>
    </row>
    <row r="111253" spans="1:6" x14ac:dyDescent="0.25">
      <c r="A111253"/>
      <c r="B111253"/>
      <c r="C111253"/>
      <c r="E111253"/>
      <c r="F111253"/>
    </row>
    <row r="111254" spans="1:6" x14ac:dyDescent="0.25">
      <c r="A111254"/>
      <c r="B111254"/>
      <c r="C111254"/>
      <c r="E111254"/>
      <c r="F111254"/>
    </row>
    <row r="111255" spans="1:6" x14ac:dyDescent="0.25">
      <c r="A111255"/>
      <c r="B111255"/>
      <c r="C111255"/>
      <c r="E111255"/>
      <c r="F111255"/>
    </row>
    <row r="111256" spans="1:6" x14ac:dyDescent="0.25">
      <c r="A111256"/>
      <c r="B111256"/>
      <c r="C111256"/>
      <c r="E111256"/>
      <c r="F111256"/>
    </row>
    <row r="111257" spans="1:6" x14ac:dyDescent="0.25">
      <c r="A111257"/>
      <c r="B111257"/>
      <c r="C111257"/>
      <c r="E111257"/>
      <c r="F111257"/>
    </row>
    <row r="111258" spans="1:6" x14ac:dyDescent="0.25">
      <c r="A111258"/>
      <c r="B111258"/>
      <c r="C111258"/>
      <c r="E111258"/>
      <c r="F111258"/>
    </row>
    <row r="111259" spans="1:6" x14ac:dyDescent="0.25">
      <c r="A111259"/>
      <c r="B111259"/>
      <c r="C111259"/>
      <c r="E111259"/>
      <c r="F111259"/>
    </row>
    <row r="111260" spans="1:6" x14ac:dyDescent="0.25">
      <c r="A111260"/>
      <c r="B111260"/>
      <c r="C111260"/>
      <c r="E111260"/>
      <c r="F111260"/>
    </row>
    <row r="111261" spans="1:6" x14ac:dyDescent="0.25">
      <c r="A111261"/>
      <c r="B111261"/>
      <c r="C111261"/>
      <c r="E111261"/>
      <c r="F111261"/>
    </row>
    <row r="111262" spans="1:6" x14ac:dyDescent="0.25">
      <c r="A111262"/>
      <c r="B111262"/>
      <c r="C111262"/>
      <c r="E111262"/>
      <c r="F111262"/>
    </row>
    <row r="111263" spans="1:6" x14ac:dyDescent="0.25">
      <c r="A111263"/>
      <c r="B111263"/>
      <c r="C111263"/>
      <c r="E111263"/>
      <c r="F111263"/>
    </row>
    <row r="111264" spans="1:6" x14ac:dyDescent="0.25">
      <c r="A111264"/>
      <c r="B111264"/>
      <c r="C111264"/>
      <c r="E111264"/>
      <c r="F111264"/>
    </row>
    <row r="111265" spans="1:6" x14ac:dyDescent="0.25">
      <c r="A111265"/>
      <c r="B111265"/>
      <c r="C111265"/>
      <c r="E111265"/>
      <c r="F111265"/>
    </row>
    <row r="111266" spans="1:6" x14ac:dyDescent="0.25">
      <c r="A111266"/>
      <c r="B111266"/>
      <c r="C111266"/>
      <c r="E111266"/>
      <c r="F111266"/>
    </row>
    <row r="111267" spans="1:6" x14ac:dyDescent="0.25">
      <c r="A111267"/>
      <c r="B111267"/>
      <c r="C111267"/>
      <c r="E111267"/>
      <c r="F111267"/>
    </row>
    <row r="111268" spans="1:6" x14ac:dyDescent="0.25">
      <c r="A111268"/>
      <c r="B111268"/>
      <c r="C111268"/>
      <c r="E111268"/>
      <c r="F111268"/>
    </row>
    <row r="111269" spans="1:6" x14ac:dyDescent="0.25">
      <c r="A111269"/>
      <c r="B111269"/>
      <c r="C111269"/>
      <c r="E111269"/>
      <c r="F111269"/>
    </row>
    <row r="111270" spans="1:6" x14ac:dyDescent="0.25">
      <c r="A111270"/>
      <c r="B111270"/>
      <c r="C111270"/>
      <c r="E111270"/>
      <c r="F111270"/>
    </row>
    <row r="111271" spans="1:6" x14ac:dyDescent="0.25">
      <c r="A111271"/>
      <c r="B111271"/>
      <c r="C111271"/>
      <c r="E111271"/>
      <c r="F111271"/>
    </row>
    <row r="111272" spans="1:6" x14ac:dyDescent="0.25">
      <c r="A111272"/>
      <c r="B111272"/>
      <c r="C111272"/>
      <c r="E111272"/>
      <c r="F111272"/>
    </row>
    <row r="111273" spans="1:6" x14ac:dyDescent="0.25">
      <c r="A111273"/>
      <c r="B111273"/>
      <c r="C111273"/>
      <c r="E111273"/>
      <c r="F111273"/>
    </row>
    <row r="111274" spans="1:6" x14ac:dyDescent="0.25">
      <c r="A111274"/>
      <c r="B111274"/>
      <c r="C111274"/>
      <c r="E111274"/>
      <c r="F111274"/>
    </row>
    <row r="111275" spans="1:6" x14ac:dyDescent="0.25">
      <c r="A111275"/>
      <c r="B111275"/>
      <c r="C111275"/>
      <c r="E111275"/>
      <c r="F111275"/>
    </row>
    <row r="111276" spans="1:6" x14ac:dyDescent="0.25">
      <c r="A111276"/>
      <c r="B111276"/>
      <c r="C111276"/>
      <c r="E111276"/>
      <c r="F111276"/>
    </row>
    <row r="111277" spans="1:6" x14ac:dyDescent="0.25">
      <c r="A111277"/>
      <c r="B111277"/>
      <c r="C111277"/>
      <c r="E111277"/>
      <c r="F111277"/>
    </row>
    <row r="111278" spans="1:6" x14ac:dyDescent="0.25">
      <c r="A111278"/>
      <c r="B111278"/>
      <c r="C111278"/>
      <c r="E111278"/>
      <c r="F111278"/>
    </row>
    <row r="111279" spans="1:6" x14ac:dyDescent="0.25">
      <c r="A111279"/>
      <c r="B111279"/>
      <c r="C111279"/>
      <c r="E111279"/>
      <c r="F111279"/>
    </row>
    <row r="111280" spans="1:6" x14ac:dyDescent="0.25">
      <c r="A111280"/>
      <c r="B111280"/>
      <c r="C111280"/>
      <c r="E111280"/>
      <c r="F111280"/>
    </row>
    <row r="111281" spans="1:6" x14ac:dyDescent="0.25">
      <c r="A111281"/>
      <c r="B111281"/>
      <c r="C111281"/>
      <c r="E111281"/>
      <c r="F111281"/>
    </row>
    <row r="111282" spans="1:6" x14ac:dyDescent="0.25">
      <c r="A111282"/>
      <c r="B111282"/>
      <c r="C111282"/>
      <c r="E111282"/>
      <c r="F111282"/>
    </row>
    <row r="111283" spans="1:6" x14ac:dyDescent="0.25">
      <c r="A111283"/>
      <c r="B111283"/>
      <c r="C111283"/>
      <c r="E111283"/>
      <c r="F111283"/>
    </row>
    <row r="111284" spans="1:6" x14ac:dyDescent="0.25">
      <c r="A111284"/>
      <c r="B111284"/>
      <c r="C111284"/>
      <c r="E111284"/>
      <c r="F111284"/>
    </row>
    <row r="111285" spans="1:6" x14ac:dyDescent="0.25">
      <c r="A111285"/>
      <c r="B111285"/>
      <c r="C111285"/>
      <c r="E111285"/>
      <c r="F111285"/>
    </row>
    <row r="111286" spans="1:6" x14ac:dyDescent="0.25">
      <c r="A111286"/>
      <c r="B111286"/>
      <c r="C111286"/>
      <c r="E111286"/>
      <c r="F111286"/>
    </row>
    <row r="111287" spans="1:6" x14ac:dyDescent="0.25">
      <c r="A111287"/>
      <c r="B111287"/>
      <c r="C111287"/>
      <c r="E111287"/>
      <c r="F111287"/>
    </row>
    <row r="111288" spans="1:6" x14ac:dyDescent="0.25">
      <c r="A111288"/>
      <c r="B111288"/>
      <c r="C111288"/>
      <c r="E111288"/>
      <c r="F111288"/>
    </row>
    <row r="111289" spans="1:6" x14ac:dyDescent="0.25">
      <c r="A111289"/>
      <c r="B111289"/>
      <c r="C111289"/>
      <c r="E111289"/>
      <c r="F111289"/>
    </row>
    <row r="111290" spans="1:6" x14ac:dyDescent="0.25">
      <c r="A111290"/>
      <c r="B111290"/>
      <c r="C111290"/>
      <c r="E111290"/>
      <c r="F111290"/>
    </row>
    <row r="111291" spans="1:6" x14ac:dyDescent="0.25">
      <c r="A111291"/>
      <c r="B111291"/>
      <c r="C111291"/>
      <c r="E111291"/>
      <c r="F111291"/>
    </row>
    <row r="111292" spans="1:6" x14ac:dyDescent="0.25">
      <c r="A111292"/>
      <c r="B111292"/>
      <c r="C111292"/>
      <c r="E111292"/>
      <c r="F111292"/>
    </row>
    <row r="111293" spans="1:6" x14ac:dyDescent="0.25">
      <c r="A111293"/>
      <c r="B111293"/>
      <c r="C111293"/>
      <c r="E111293"/>
      <c r="F111293"/>
    </row>
    <row r="111294" spans="1:6" x14ac:dyDescent="0.25">
      <c r="A111294"/>
      <c r="B111294"/>
      <c r="C111294"/>
      <c r="E111294"/>
      <c r="F111294"/>
    </row>
    <row r="111295" spans="1:6" x14ac:dyDescent="0.25">
      <c r="A111295"/>
      <c r="B111295"/>
      <c r="C111295"/>
      <c r="E111295"/>
      <c r="F111295"/>
    </row>
    <row r="111296" spans="1:6" x14ac:dyDescent="0.25">
      <c r="A111296"/>
      <c r="B111296"/>
      <c r="C111296"/>
      <c r="E111296"/>
      <c r="F111296"/>
    </row>
    <row r="111297" spans="1:6" x14ac:dyDescent="0.25">
      <c r="A111297"/>
      <c r="B111297"/>
      <c r="C111297"/>
      <c r="E111297"/>
      <c r="F111297"/>
    </row>
    <row r="111298" spans="1:6" x14ac:dyDescent="0.25">
      <c r="A111298"/>
      <c r="B111298"/>
      <c r="C111298"/>
      <c r="E111298"/>
      <c r="F111298"/>
    </row>
    <row r="111299" spans="1:6" x14ac:dyDescent="0.25">
      <c r="A111299"/>
      <c r="B111299"/>
      <c r="C111299"/>
      <c r="E111299"/>
      <c r="F111299"/>
    </row>
    <row r="111300" spans="1:6" x14ac:dyDescent="0.25">
      <c r="A111300"/>
      <c r="B111300"/>
      <c r="C111300"/>
      <c r="E111300"/>
      <c r="F111300"/>
    </row>
    <row r="111301" spans="1:6" x14ac:dyDescent="0.25">
      <c r="A111301"/>
      <c r="B111301"/>
      <c r="C111301"/>
      <c r="E111301"/>
      <c r="F111301"/>
    </row>
    <row r="111302" spans="1:6" x14ac:dyDescent="0.25">
      <c r="A111302"/>
      <c r="B111302"/>
      <c r="C111302"/>
      <c r="E111302"/>
      <c r="F111302"/>
    </row>
    <row r="111303" spans="1:6" x14ac:dyDescent="0.25">
      <c r="A111303"/>
      <c r="B111303"/>
      <c r="C111303"/>
      <c r="E111303"/>
      <c r="F111303"/>
    </row>
    <row r="111304" spans="1:6" x14ac:dyDescent="0.25">
      <c r="A111304"/>
      <c r="B111304"/>
      <c r="C111304"/>
      <c r="E111304"/>
      <c r="F111304"/>
    </row>
    <row r="111305" spans="1:6" x14ac:dyDescent="0.25">
      <c r="A111305"/>
      <c r="B111305"/>
      <c r="C111305"/>
      <c r="E111305"/>
      <c r="F111305"/>
    </row>
    <row r="111306" spans="1:6" x14ac:dyDescent="0.25">
      <c r="A111306"/>
      <c r="B111306"/>
      <c r="C111306"/>
      <c r="E111306"/>
      <c r="F111306"/>
    </row>
    <row r="111307" spans="1:6" x14ac:dyDescent="0.25">
      <c r="A111307"/>
      <c r="B111307"/>
      <c r="C111307"/>
      <c r="E111307"/>
      <c r="F111307"/>
    </row>
    <row r="111308" spans="1:6" x14ac:dyDescent="0.25">
      <c r="A111308"/>
      <c r="B111308"/>
      <c r="C111308"/>
      <c r="E111308"/>
      <c r="F111308"/>
    </row>
    <row r="111309" spans="1:6" x14ac:dyDescent="0.25">
      <c r="A111309"/>
      <c r="B111309"/>
      <c r="C111309"/>
      <c r="E111309"/>
      <c r="F111309"/>
    </row>
    <row r="111310" spans="1:6" x14ac:dyDescent="0.25">
      <c r="A111310"/>
      <c r="B111310"/>
      <c r="C111310"/>
      <c r="E111310"/>
      <c r="F111310"/>
    </row>
    <row r="111311" spans="1:6" x14ac:dyDescent="0.25">
      <c r="A111311"/>
      <c r="B111311"/>
      <c r="C111311"/>
      <c r="E111311"/>
      <c r="F111311"/>
    </row>
    <row r="111312" spans="1:6" x14ac:dyDescent="0.25">
      <c r="A111312"/>
      <c r="B111312"/>
      <c r="C111312"/>
      <c r="E111312"/>
      <c r="F111312"/>
    </row>
    <row r="111313" spans="1:6" x14ac:dyDescent="0.25">
      <c r="A111313"/>
      <c r="B111313"/>
      <c r="C111313"/>
      <c r="E111313"/>
      <c r="F111313"/>
    </row>
    <row r="111314" spans="1:6" x14ac:dyDescent="0.25">
      <c r="A111314"/>
      <c r="B111314"/>
      <c r="C111314"/>
      <c r="E111314"/>
      <c r="F111314"/>
    </row>
    <row r="111315" spans="1:6" x14ac:dyDescent="0.25">
      <c r="A111315"/>
      <c r="B111315"/>
      <c r="C111315"/>
      <c r="E111315"/>
      <c r="F111315"/>
    </row>
    <row r="111316" spans="1:6" x14ac:dyDescent="0.25">
      <c r="A111316"/>
      <c r="B111316"/>
      <c r="C111316"/>
      <c r="E111316"/>
      <c r="F111316"/>
    </row>
    <row r="111317" spans="1:6" x14ac:dyDescent="0.25">
      <c r="A111317"/>
      <c r="B111317"/>
      <c r="C111317"/>
      <c r="E111317"/>
      <c r="F111317"/>
    </row>
    <row r="111318" spans="1:6" x14ac:dyDescent="0.25">
      <c r="A111318"/>
      <c r="B111318"/>
      <c r="C111318"/>
      <c r="E111318"/>
      <c r="F111318"/>
    </row>
    <row r="111319" spans="1:6" x14ac:dyDescent="0.25">
      <c r="A111319"/>
      <c r="B111319"/>
      <c r="C111319"/>
      <c r="E111319"/>
      <c r="F111319"/>
    </row>
    <row r="111320" spans="1:6" x14ac:dyDescent="0.25">
      <c r="A111320"/>
      <c r="B111320"/>
      <c r="C111320"/>
      <c r="E111320"/>
      <c r="F111320"/>
    </row>
    <row r="111321" spans="1:6" x14ac:dyDescent="0.25">
      <c r="A111321"/>
      <c r="B111321"/>
      <c r="C111321"/>
      <c r="E111321"/>
      <c r="F111321"/>
    </row>
    <row r="111322" spans="1:6" x14ac:dyDescent="0.25">
      <c r="A111322"/>
      <c r="B111322"/>
      <c r="C111322"/>
      <c r="E111322"/>
      <c r="F111322"/>
    </row>
    <row r="111323" spans="1:6" x14ac:dyDescent="0.25">
      <c r="A111323"/>
      <c r="B111323"/>
      <c r="C111323"/>
      <c r="E111323"/>
      <c r="F111323"/>
    </row>
    <row r="111324" spans="1:6" x14ac:dyDescent="0.25">
      <c r="A111324"/>
      <c r="B111324"/>
      <c r="C111324"/>
      <c r="E111324"/>
      <c r="F111324"/>
    </row>
    <row r="111325" spans="1:6" x14ac:dyDescent="0.25">
      <c r="A111325"/>
      <c r="B111325"/>
      <c r="C111325"/>
      <c r="E111325"/>
      <c r="F111325"/>
    </row>
    <row r="111326" spans="1:6" x14ac:dyDescent="0.25">
      <c r="A111326"/>
      <c r="B111326"/>
      <c r="C111326"/>
      <c r="E111326"/>
      <c r="F111326"/>
    </row>
    <row r="111327" spans="1:6" x14ac:dyDescent="0.25">
      <c r="A111327"/>
      <c r="B111327"/>
      <c r="C111327"/>
      <c r="E111327"/>
      <c r="F111327"/>
    </row>
    <row r="111328" spans="1:6" x14ac:dyDescent="0.25">
      <c r="A111328"/>
      <c r="B111328"/>
      <c r="C111328"/>
      <c r="E111328"/>
      <c r="F111328"/>
    </row>
    <row r="111329" spans="1:6" x14ac:dyDescent="0.25">
      <c r="A111329"/>
      <c r="B111329"/>
      <c r="C111329"/>
      <c r="E111329"/>
      <c r="F111329"/>
    </row>
    <row r="111330" spans="1:6" x14ac:dyDescent="0.25">
      <c r="A111330"/>
      <c r="B111330"/>
      <c r="C111330"/>
      <c r="E111330"/>
      <c r="F111330"/>
    </row>
    <row r="111331" spans="1:6" x14ac:dyDescent="0.25">
      <c r="A111331"/>
      <c r="B111331"/>
      <c r="C111331"/>
      <c r="E111331"/>
      <c r="F111331"/>
    </row>
    <row r="111332" spans="1:6" x14ac:dyDescent="0.25">
      <c r="A111332"/>
      <c r="B111332"/>
      <c r="C111332"/>
      <c r="E111332"/>
      <c r="F111332"/>
    </row>
    <row r="111333" spans="1:6" x14ac:dyDescent="0.25">
      <c r="A111333"/>
      <c r="B111333"/>
      <c r="C111333"/>
      <c r="E111333"/>
      <c r="F111333"/>
    </row>
    <row r="111334" spans="1:6" x14ac:dyDescent="0.25">
      <c r="A111334"/>
      <c r="B111334"/>
      <c r="C111334"/>
      <c r="E111334"/>
      <c r="F111334"/>
    </row>
    <row r="111335" spans="1:6" x14ac:dyDescent="0.25">
      <c r="A111335"/>
      <c r="B111335"/>
      <c r="C111335"/>
      <c r="E111335"/>
      <c r="F111335"/>
    </row>
    <row r="111336" spans="1:6" x14ac:dyDescent="0.25">
      <c r="A111336"/>
      <c r="B111336"/>
      <c r="C111336"/>
      <c r="E111336"/>
      <c r="F111336"/>
    </row>
    <row r="111337" spans="1:6" x14ac:dyDescent="0.25">
      <c r="A111337"/>
      <c r="B111337"/>
      <c r="C111337"/>
      <c r="E111337"/>
      <c r="F111337"/>
    </row>
    <row r="111338" spans="1:6" x14ac:dyDescent="0.25">
      <c r="A111338"/>
      <c r="B111338"/>
      <c r="C111338"/>
      <c r="E111338"/>
      <c r="F111338"/>
    </row>
    <row r="111339" spans="1:6" x14ac:dyDescent="0.25">
      <c r="A111339"/>
      <c r="B111339"/>
      <c r="C111339"/>
      <c r="E111339"/>
      <c r="F111339"/>
    </row>
    <row r="111340" spans="1:6" x14ac:dyDescent="0.25">
      <c r="A111340"/>
      <c r="B111340"/>
      <c r="C111340"/>
      <c r="E111340"/>
      <c r="F111340"/>
    </row>
    <row r="111341" spans="1:6" x14ac:dyDescent="0.25">
      <c r="A111341"/>
      <c r="B111341"/>
      <c r="C111341"/>
      <c r="E111341"/>
      <c r="F111341"/>
    </row>
    <row r="111342" spans="1:6" x14ac:dyDescent="0.25">
      <c r="A111342"/>
      <c r="B111342"/>
      <c r="C111342"/>
      <c r="E111342"/>
      <c r="F111342"/>
    </row>
    <row r="111343" spans="1:6" x14ac:dyDescent="0.25">
      <c r="A111343"/>
      <c r="B111343"/>
      <c r="C111343"/>
      <c r="E111343"/>
      <c r="F111343"/>
    </row>
    <row r="111344" spans="1:6" x14ac:dyDescent="0.25">
      <c r="A111344"/>
      <c r="B111344"/>
      <c r="C111344"/>
      <c r="E111344"/>
      <c r="F111344"/>
    </row>
    <row r="111345" spans="1:6" x14ac:dyDescent="0.25">
      <c r="A111345"/>
      <c r="B111345"/>
      <c r="C111345"/>
      <c r="E111345"/>
      <c r="F111345"/>
    </row>
    <row r="111346" spans="1:6" x14ac:dyDescent="0.25">
      <c r="A111346"/>
      <c r="B111346"/>
      <c r="C111346"/>
      <c r="E111346"/>
      <c r="F111346"/>
    </row>
    <row r="111347" spans="1:6" x14ac:dyDescent="0.25">
      <c r="A111347"/>
      <c r="B111347"/>
      <c r="C111347"/>
      <c r="E111347"/>
      <c r="F111347"/>
    </row>
    <row r="111348" spans="1:6" x14ac:dyDescent="0.25">
      <c r="A111348"/>
      <c r="B111348"/>
      <c r="C111348"/>
      <c r="E111348"/>
      <c r="F111348"/>
    </row>
    <row r="111349" spans="1:6" x14ac:dyDescent="0.25">
      <c r="A111349"/>
      <c r="B111349"/>
      <c r="C111349"/>
      <c r="E111349"/>
      <c r="F111349"/>
    </row>
    <row r="111350" spans="1:6" x14ac:dyDescent="0.25">
      <c r="A111350"/>
      <c r="B111350"/>
      <c r="C111350"/>
      <c r="E111350"/>
      <c r="F111350"/>
    </row>
    <row r="111351" spans="1:6" x14ac:dyDescent="0.25">
      <c r="A111351"/>
      <c r="B111351"/>
      <c r="C111351"/>
      <c r="E111351"/>
      <c r="F111351"/>
    </row>
    <row r="111352" spans="1:6" x14ac:dyDescent="0.25">
      <c r="A111352"/>
      <c r="B111352"/>
      <c r="C111352"/>
      <c r="E111352"/>
      <c r="F111352"/>
    </row>
    <row r="111353" spans="1:6" x14ac:dyDescent="0.25">
      <c r="A111353"/>
      <c r="B111353"/>
      <c r="C111353"/>
      <c r="E111353"/>
      <c r="F111353"/>
    </row>
    <row r="111354" spans="1:6" x14ac:dyDescent="0.25">
      <c r="A111354"/>
      <c r="B111354"/>
      <c r="C111354"/>
      <c r="E111354"/>
      <c r="F111354"/>
    </row>
    <row r="111355" spans="1:6" x14ac:dyDescent="0.25">
      <c r="A111355"/>
      <c r="B111355"/>
      <c r="C111355"/>
      <c r="E111355"/>
      <c r="F111355"/>
    </row>
    <row r="111356" spans="1:6" x14ac:dyDescent="0.25">
      <c r="A111356"/>
      <c r="B111356"/>
      <c r="C111356"/>
      <c r="E111356"/>
      <c r="F111356"/>
    </row>
    <row r="111357" spans="1:6" x14ac:dyDescent="0.25">
      <c r="A111357"/>
      <c r="B111357"/>
      <c r="C111357"/>
      <c r="E111357"/>
      <c r="F111357"/>
    </row>
    <row r="111358" spans="1:6" x14ac:dyDescent="0.25">
      <c r="A111358"/>
      <c r="B111358"/>
      <c r="C111358"/>
      <c r="E111358"/>
      <c r="F111358"/>
    </row>
    <row r="111359" spans="1:6" x14ac:dyDescent="0.25">
      <c r="A111359"/>
      <c r="B111359"/>
      <c r="C111359"/>
      <c r="E111359"/>
      <c r="F111359"/>
    </row>
    <row r="111360" spans="1:6" x14ac:dyDescent="0.25">
      <c r="A111360"/>
      <c r="B111360"/>
      <c r="C111360"/>
      <c r="E111360"/>
      <c r="F111360"/>
    </row>
    <row r="111361" spans="1:6" x14ac:dyDescent="0.25">
      <c r="A111361"/>
      <c r="B111361"/>
      <c r="C111361"/>
      <c r="E111361"/>
      <c r="F111361"/>
    </row>
    <row r="111362" spans="1:6" x14ac:dyDescent="0.25">
      <c r="A111362"/>
      <c r="B111362"/>
      <c r="C111362"/>
      <c r="E111362"/>
      <c r="F111362"/>
    </row>
    <row r="111363" spans="1:6" x14ac:dyDescent="0.25">
      <c r="A111363"/>
      <c r="B111363"/>
      <c r="C111363"/>
      <c r="E111363"/>
      <c r="F111363"/>
    </row>
    <row r="111364" spans="1:6" x14ac:dyDescent="0.25">
      <c r="A111364"/>
      <c r="B111364"/>
      <c r="C111364"/>
      <c r="E111364"/>
      <c r="F111364"/>
    </row>
    <row r="111365" spans="1:6" x14ac:dyDescent="0.25">
      <c r="A111365"/>
      <c r="B111365"/>
      <c r="C111365"/>
      <c r="E111365"/>
      <c r="F111365"/>
    </row>
    <row r="111366" spans="1:6" x14ac:dyDescent="0.25">
      <c r="A111366"/>
      <c r="B111366"/>
      <c r="C111366"/>
      <c r="E111366"/>
      <c r="F111366"/>
    </row>
    <row r="111367" spans="1:6" x14ac:dyDescent="0.25">
      <c r="A111367"/>
      <c r="B111367"/>
      <c r="C111367"/>
      <c r="E111367"/>
      <c r="F111367"/>
    </row>
    <row r="111368" spans="1:6" x14ac:dyDescent="0.25">
      <c r="A111368"/>
      <c r="B111368"/>
      <c r="C111368"/>
      <c r="E111368"/>
      <c r="F111368"/>
    </row>
    <row r="111369" spans="1:6" x14ac:dyDescent="0.25">
      <c r="A111369"/>
      <c r="B111369"/>
      <c r="C111369"/>
      <c r="E111369"/>
      <c r="F111369"/>
    </row>
    <row r="111370" spans="1:6" x14ac:dyDescent="0.25">
      <c r="A111370"/>
      <c r="B111370"/>
      <c r="C111370"/>
      <c r="E111370"/>
      <c r="F111370"/>
    </row>
    <row r="111371" spans="1:6" x14ac:dyDescent="0.25">
      <c r="A111371"/>
      <c r="B111371"/>
      <c r="C111371"/>
      <c r="E111371"/>
      <c r="F111371"/>
    </row>
    <row r="111372" spans="1:6" x14ac:dyDescent="0.25">
      <c r="A111372"/>
      <c r="B111372"/>
      <c r="C111372"/>
      <c r="E111372"/>
      <c r="F111372"/>
    </row>
    <row r="111373" spans="1:6" x14ac:dyDescent="0.25">
      <c r="A111373"/>
      <c r="B111373"/>
      <c r="C111373"/>
      <c r="E111373"/>
      <c r="F111373"/>
    </row>
    <row r="111374" spans="1:6" x14ac:dyDescent="0.25">
      <c r="A111374"/>
      <c r="B111374"/>
      <c r="C111374"/>
      <c r="E111374"/>
      <c r="F111374"/>
    </row>
    <row r="111375" spans="1:6" x14ac:dyDescent="0.25">
      <c r="A111375"/>
      <c r="B111375"/>
      <c r="C111375"/>
      <c r="E111375"/>
      <c r="F111375"/>
    </row>
    <row r="111376" spans="1:6" x14ac:dyDescent="0.25">
      <c r="A111376"/>
      <c r="B111376"/>
      <c r="C111376"/>
      <c r="E111376"/>
      <c r="F111376"/>
    </row>
    <row r="111377" spans="1:6" x14ac:dyDescent="0.25">
      <c r="A111377"/>
      <c r="B111377"/>
      <c r="C111377"/>
      <c r="E111377"/>
      <c r="F111377"/>
    </row>
    <row r="111378" spans="1:6" x14ac:dyDescent="0.25">
      <c r="A111378"/>
      <c r="B111378"/>
      <c r="C111378"/>
      <c r="E111378"/>
      <c r="F111378"/>
    </row>
    <row r="111379" spans="1:6" x14ac:dyDescent="0.25">
      <c r="A111379"/>
      <c r="B111379"/>
      <c r="C111379"/>
      <c r="E111379"/>
      <c r="F111379"/>
    </row>
    <row r="111380" spans="1:6" x14ac:dyDescent="0.25">
      <c r="A111380"/>
      <c r="B111380"/>
      <c r="C111380"/>
      <c r="E111380"/>
      <c r="F111380"/>
    </row>
    <row r="111381" spans="1:6" x14ac:dyDescent="0.25">
      <c r="A111381"/>
      <c r="B111381"/>
      <c r="C111381"/>
      <c r="E111381"/>
      <c r="F111381"/>
    </row>
    <row r="111382" spans="1:6" x14ac:dyDescent="0.25">
      <c r="A111382"/>
      <c r="B111382"/>
      <c r="C111382"/>
      <c r="E111382"/>
      <c r="F111382"/>
    </row>
    <row r="111383" spans="1:6" x14ac:dyDescent="0.25">
      <c r="A111383"/>
      <c r="B111383"/>
      <c r="C111383"/>
      <c r="E111383"/>
      <c r="F111383"/>
    </row>
    <row r="111384" spans="1:6" x14ac:dyDescent="0.25">
      <c r="A111384"/>
      <c r="B111384"/>
      <c r="C111384"/>
      <c r="E111384"/>
      <c r="F111384"/>
    </row>
    <row r="111385" spans="1:6" x14ac:dyDescent="0.25">
      <c r="A111385"/>
      <c r="B111385"/>
      <c r="C111385"/>
      <c r="E111385"/>
      <c r="F111385"/>
    </row>
    <row r="111386" spans="1:6" x14ac:dyDescent="0.25">
      <c r="A111386"/>
      <c r="B111386"/>
      <c r="C111386"/>
      <c r="E111386"/>
      <c r="F111386"/>
    </row>
    <row r="111387" spans="1:6" x14ac:dyDescent="0.25">
      <c r="A111387"/>
      <c r="B111387"/>
      <c r="C111387"/>
      <c r="E111387"/>
      <c r="F111387"/>
    </row>
    <row r="111388" spans="1:6" x14ac:dyDescent="0.25">
      <c r="A111388"/>
      <c r="B111388"/>
      <c r="C111388"/>
      <c r="E111388"/>
      <c r="F111388"/>
    </row>
    <row r="111389" spans="1:6" x14ac:dyDescent="0.25">
      <c r="A111389"/>
      <c r="B111389"/>
      <c r="C111389"/>
      <c r="E111389"/>
      <c r="F111389"/>
    </row>
    <row r="111390" spans="1:6" x14ac:dyDescent="0.25">
      <c r="A111390"/>
      <c r="B111390"/>
      <c r="C111390"/>
      <c r="E111390"/>
      <c r="F111390"/>
    </row>
    <row r="111391" spans="1:6" x14ac:dyDescent="0.25">
      <c r="A111391"/>
      <c r="B111391"/>
      <c r="C111391"/>
      <c r="E111391"/>
      <c r="F111391"/>
    </row>
    <row r="111392" spans="1:6" x14ac:dyDescent="0.25">
      <c r="A111392"/>
      <c r="B111392"/>
      <c r="C111392"/>
      <c r="E111392"/>
      <c r="F111392"/>
    </row>
    <row r="111393" spans="1:6" x14ac:dyDescent="0.25">
      <c r="A111393"/>
      <c r="B111393"/>
      <c r="C111393"/>
      <c r="E111393"/>
      <c r="F111393"/>
    </row>
    <row r="111394" spans="1:6" x14ac:dyDescent="0.25">
      <c r="A111394"/>
      <c r="B111394"/>
      <c r="C111394"/>
      <c r="E111394"/>
      <c r="F111394"/>
    </row>
    <row r="111395" spans="1:6" x14ac:dyDescent="0.25">
      <c r="A111395"/>
      <c r="B111395"/>
      <c r="C111395"/>
      <c r="E111395"/>
      <c r="F111395"/>
    </row>
    <row r="111396" spans="1:6" x14ac:dyDescent="0.25">
      <c r="A111396"/>
      <c r="B111396"/>
      <c r="C111396"/>
      <c r="E111396"/>
      <c r="F111396"/>
    </row>
    <row r="111397" spans="1:6" x14ac:dyDescent="0.25">
      <c r="A111397"/>
      <c r="B111397"/>
      <c r="C111397"/>
      <c r="E111397"/>
      <c r="F111397"/>
    </row>
    <row r="111398" spans="1:6" x14ac:dyDescent="0.25">
      <c r="A111398"/>
      <c r="B111398"/>
      <c r="C111398"/>
      <c r="E111398"/>
      <c r="F111398"/>
    </row>
    <row r="111399" spans="1:6" x14ac:dyDescent="0.25">
      <c r="A111399"/>
      <c r="B111399"/>
      <c r="C111399"/>
      <c r="E111399"/>
      <c r="F111399"/>
    </row>
    <row r="111400" spans="1:6" x14ac:dyDescent="0.25">
      <c r="A111400"/>
      <c r="B111400"/>
      <c r="C111400"/>
      <c r="E111400"/>
      <c r="F111400"/>
    </row>
    <row r="111401" spans="1:6" x14ac:dyDescent="0.25">
      <c r="A111401"/>
      <c r="B111401"/>
      <c r="C111401"/>
      <c r="E111401"/>
      <c r="F111401"/>
    </row>
    <row r="111402" spans="1:6" x14ac:dyDescent="0.25">
      <c r="A111402"/>
      <c r="B111402"/>
      <c r="C111402"/>
      <c r="E111402"/>
      <c r="F111402"/>
    </row>
    <row r="111403" spans="1:6" x14ac:dyDescent="0.25">
      <c r="A111403"/>
      <c r="B111403"/>
      <c r="C111403"/>
      <c r="E111403"/>
      <c r="F111403"/>
    </row>
    <row r="111404" spans="1:6" x14ac:dyDescent="0.25">
      <c r="A111404"/>
      <c r="B111404"/>
      <c r="C111404"/>
      <c r="E111404"/>
      <c r="F111404"/>
    </row>
    <row r="111405" spans="1:6" x14ac:dyDescent="0.25">
      <c r="A111405"/>
      <c r="B111405"/>
      <c r="C111405"/>
      <c r="E111405"/>
      <c r="F111405"/>
    </row>
    <row r="111406" spans="1:6" x14ac:dyDescent="0.25">
      <c r="A111406"/>
      <c r="B111406"/>
      <c r="C111406"/>
      <c r="E111406"/>
      <c r="F111406"/>
    </row>
    <row r="111407" spans="1:6" x14ac:dyDescent="0.25">
      <c r="A111407"/>
      <c r="B111407"/>
      <c r="C111407"/>
      <c r="E111407"/>
      <c r="F111407"/>
    </row>
    <row r="111408" spans="1:6" x14ac:dyDescent="0.25">
      <c r="A111408"/>
      <c r="B111408"/>
      <c r="C111408"/>
      <c r="E111408"/>
      <c r="F111408"/>
    </row>
    <row r="111409" spans="1:6" x14ac:dyDescent="0.25">
      <c r="A111409"/>
      <c r="B111409"/>
      <c r="C111409"/>
      <c r="E111409"/>
      <c r="F111409"/>
    </row>
    <row r="111410" spans="1:6" x14ac:dyDescent="0.25">
      <c r="A111410"/>
      <c r="B111410"/>
      <c r="C111410"/>
      <c r="E111410"/>
      <c r="F111410"/>
    </row>
    <row r="111411" spans="1:6" x14ac:dyDescent="0.25">
      <c r="A111411"/>
      <c r="B111411"/>
      <c r="C111411"/>
      <c r="E111411"/>
      <c r="F111411"/>
    </row>
    <row r="111412" spans="1:6" x14ac:dyDescent="0.25">
      <c r="A111412"/>
      <c r="B111412"/>
      <c r="C111412"/>
      <c r="E111412"/>
      <c r="F111412"/>
    </row>
    <row r="111413" spans="1:6" x14ac:dyDescent="0.25">
      <c r="A111413"/>
      <c r="B111413"/>
      <c r="C111413"/>
      <c r="E111413"/>
      <c r="F111413"/>
    </row>
    <row r="111414" spans="1:6" x14ac:dyDescent="0.25">
      <c r="A111414"/>
      <c r="B111414"/>
      <c r="C111414"/>
      <c r="E111414"/>
      <c r="F111414"/>
    </row>
    <row r="111415" spans="1:6" x14ac:dyDescent="0.25">
      <c r="A111415"/>
      <c r="B111415"/>
      <c r="C111415"/>
      <c r="E111415"/>
      <c r="F111415"/>
    </row>
    <row r="111416" spans="1:6" x14ac:dyDescent="0.25">
      <c r="A111416"/>
      <c r="B111416"/>
      <c r="C111416"/>
      <c r="E111416"/>
      <c r="F111416"/>
    </row>
    <row r="111417" spans="1:6" x14ac:dyDescent="0.25">
      <c r="A111417"/>
      <c r="B111417"/>
      <c r="C111417"/>
      <c r="E111417"/>
      <c r="F111417"/>
    </row>
    <row r="111418" spans="1:6" x14ac:dyDescent="0.25">
      <c r="A111418"/>
      <c r="B111418"/>
      <c r="C111418"/>
      <c r="E111418"/>
      <c r="F111418"/>
    </row>
    <row r="111419" spans="1:6" x14ac:dyDescent="0.25">
      <c r="A111419"/>
      <c r="B111419"/>
      <c r="C111419"/>
      <c r="E111419"/>
      <c r="F111419"/>
    </row>
    <row r="111420" spans="1:6" x14ac:dyDescent="0.25">
      <c r="A111420"/>
      <c r="B111420"/>
      <c r="C111420"/>
      <c r="E111420"/>
      <c r="F111420"/>
    </row>
    <row r="111421" spans="1:6" x14ac:dyDescent="0.25">
      <c r="A111421"/>
      <c r="B111421"/>
      <c r="C111421"/>
      <c r="E111421"/>
      <c r="F111421"/>
    </row>
    <row r="111422" spans="1:6" x14ac:dyDescent="0.25">
      <c r="A111422"/>
      <c r="B111422"/>
      <c r="C111422"/>
      <c r="E111422"/>
      <c r="F111422"/>
    </row>
    <row r="111423" spans="1:6" x14ac:dyDescent="0.25">
      <c r="A111423"/>
      <c r="B111423"/>
      <c r="C111423"/>
      <c r="E111423"/>
      <c r="F111423"/>
    </row>
    <row r="111424" spans="1:6" x14ac:dyDescent="0.25">
      <c r="A111424"/>
      <c r="B111424"/>
      <c r="C111424"/>
      <c r="E111424"/>
      <c r="F111424"/>
    </row>
    <row r="111425" spans="1:6" x14ac:dyDescent="0.25">
      <c r="A111425"/>
      <c r="B111425"/>
      <c r="C111425"/>
      <c r="E111425"/>
      <c r="F111425"/>
    </row>
    <row r="111426" spans="1:6" x14ac:dyDescent="0.25">
      <c r="A111426"/>
      <c r="B111426"/>
      <c r="C111426"/>
      <c r="E111426"/>
      <c r="F111426"/>
    </row>
    <row r="111427" spans="1:6" x14ac:dyDescent="0.25">
      <c r="A111427"/>
      <c r="B111427"/>
      <c r="C111427"/>
      <c r="E111427"/>
      <c r="F111427"/>
    </row>
    <row r="111428" spans="1:6" x14ac:dyDescent="0.25">
      <c r="A111428"/>
      <c r="B111428"/>
      <c r="C111428"/>
      <c r="E111428"/>
      <c r="F111428"/>
    </row>
    <row r="111429" spans="1:6" x14ac:dyDescent="0.25">
      <c r="A111429"/>
      <c r="B111429"/>
      <c r="C111429"/>
      <c r="E111429"/>
      <c r="F111429"/>
    </row>
    <row r="111430" spans="1:6" x14ac:dyDescent="0.25">
      <c r="A111430"/>
      <c r="B111430"/>
      <c r="C111430"/>
      <c r="E111430"/>
      <c r="F111430"/>
    </row>
    <row r="111431" spans="1:6" x14ac:dyDescent="0.25">
      <c r="A111431"/>
      <c r="B111431"/>
      <c r="C111431"/>
      <c r="E111431"/>
      <c r="F111431"/>
    </row>
    <row r="111432" spans="1:6" x14ac:dyDescent="0.25">
      <c r="A111432"/>
      <c r="B111432"/>
      <c r="C111432"/>
      <c r="E111432"/>
      <c r="F111432"/>
    </row>
    <row r="111433" spans="1:6" x14ac:dyDescent="0.25">
      <c r="A111433"/>
      <c r="B111433"/>
      <c r="C111433"/>
      <c r="E111433"/>
      <c r="F111433"/>
    </row>
    <row r="111434" spans="1:6" x14ac:dyDescent="0.25">
      <c r="A111434"/>
      <c r="B111434"/>
      <c r="C111434"/>
      <c r="E111434"/>
      <c r="F111434"/>
    </row>
    <row r="111435" spans="1:6" x14ac:dyDescent="0.25">
      <c r="A111435"/>
      <c r="B111435"/>
      <c r="C111435"/>
      <c r="E111435"/>
      <c r="F111435"/>
    </row>
    <row r="111436" spans="1:6" x14ac:dyDescent="0.25">
      <c r="A111436"/>
      <c r="B111436"/>
      <c r="C111436"/>
      <c r="E111436"/>
      <c r="F111436"/>
    </row>
    <row r="111437" spans="1:6" x14ac:dyDescent="0.25">
      <c r="A111437"/>
      <c r="B111437"/>
      <c r="C111437"/>
      <c r="E111437"/>
      <c r="F111437"/>
    </row>
    <row r="111438" spans="1:6" x14ac:dyDescent="0.25">
      <c r="A111438"/>
      <c r="B111438"/>
      <c r="C111438"/>
      <c r="E111438"/>
      <c r="F111438"/>
    </row>
    <row r="111439" spans="1:6" x14ac:dyDescent="0.25">
      <c r="A111439"/>
      <c r="B111439"/>
      <c r="C111439"/>
      <c r="E111439"/>
      <c r="F111439"/>
    </row>
    <row r="111440" spans="1:6" x14ac:dyDescent="0.25">
      <c r="A111440"/>
      <c r="B111440"/>
      <c r="C111440"/>
      <c r="E111440"/>
      <c r="F111440"/>
    </row>
    <row r="111441" spans="1:6" x14ac:dyDescent="0.25">
      <c r="A111441"/>
      <c r="B111441"/>
      <c r="C111441"/>
      <c r="E111441"/>
      <c r="F111441"/>
    </row>
    <row r="111442" spans="1:6" x14ac:dyDescent="0.25">
      <c r="A111442"/>
      <c r="B111442"/>
      <c r="C111442"/>
      <c r="E111442"/>
      <c r="F111442"/>
    </row>
    <row r="111443" spans="1:6" x14ac:dyDescent="0.25">
      <c r="A111443"/>
      <c r="B111443"/>
      <c r="C111443"/>
      <c r="E111443"/>
      <c r="F111443"/>
    </row>
    <row r="111444" spans="1:6" x14ac:dyDescent="0.25">
      <c r="A111444"/>
      <c r="B111444"/>
      <c r="C111444"/>
      <c r="E111444"/>
      <c r="F111444"/>
    </row>
    <row r="111445" spans="1:6" x14ac:dyDescent="0.25">
      <c r="A111445"/>
      <c r="B111445"/>
      <c r="C111445"/>
      <c r="E111445"/>
      <c r="F111445"/>
    </row>
    <row r="111446" spans="1:6" x14ac:dyDescent="0.25">
      <c r="A111446"/>
      <c r="B111446"/>
      <c r="C111446"/>
      <c r="E111446"/>
      <c r="F111446"/>
    </row>
    <row r="111447" spans="1:6" x14ac:dyDescent="0.25">
      <c r="A111447"/>
      <c r="B111447"/>
      <c r="C111447"/>
      <c r="E111447"/>
      <c r="F111447"/>
    </row>
    <row r="111448" spans="1:6" x14ac:dyDescent="0.25">
      <c r="A111448"/>
      <c r="B111448"/>
      <c r="C111448"/>
      <c r="E111448"/>
      <c r="F111448"/>
    </row>
    <row r="111449" spans="1:6" x14ac:dyDescent="0.25">
      <c r="A111449"/>
      <c r="B111449"/>
      <c r="C111449"/>
      <c r="E111449"/>
      <c r="F111449"/>
    </row>
    <row r="111450" spans="1:6" x14ac:dyDescent="0.25">
      <c r="A111450"/>
      <c r="B111450"/>
      <c r="C111450"/>
      <c r="E111450"/>
      <c r="F111450"/>
    </row>
    <row r="111451" spans="1:6" x14ac:dyDescent="0.25">
      <c r="A111451"/>
      <c r="B111451"/>
      <c r="C111451"/>
      <c r="E111451"/>
      <c r="F111451"/>
    </row>
    <row r="111452" spans="1:6" x14ac:dyDescent="0.25">
      <c r="A111452"/>
      <c r="B111452"/>
      <c r="C111452"/>
      <c r="E111452"/>
      <c r="F111452"/>
    </row>
    <row r="111453" spans="1:6" x14ac:dyDescent="0.25">
      <c r="A111453"/>
      <c r="B111453"/>
      <c r="C111453"/>
      <c r="E111453"/>
      <c r="F111453"/>
    </row>
    <row r="111454" spans="1:6" x14ac:dyDescent="0.25">
      <c r="A111454"/>
      <c r="B111454"/>
      <c r="C111454"/>
      <c r="E111454"/>
      <c r="F111454"/>
    </row>
    <row r="111455" spans="1:6" x14ac:dyDescent="0.25">
      <c r="A111455"/>
      <c r="B111455"/>
      <c r="C111455"/>
      <c r="E111455"/>
      <c r="F111455"/>
    </row>
    <row r="111456" spans="1:6" x14ac:dyDescent="0.25">
      <c r="A111456"/>
      <c r="B111456"/>
      <c r="C111456"/>
      <c r="E111456"/>
      <c r="F111456"/>
    </row>
    <row r="111457" spans="1:6" x14ac:dyDescent="0.25">
      <c r="A111457"/>
      <c r="B111457"/>
      <c r="C111457"/>
      <c r="E111457"/>
      <c r="F111457"/>
    </row>
    <row r="111458" spans="1:6" x14ac:dyDescent="0.25">
      <c r="A111458"/>
      <c r="B111458"/>
      <c r="C111458"/>
      <c r="E111458"/>
      <c r="F111458"/>
    </row>
    <row r="111459" spans="1:6" x14ac:dyDescent="0.25">
      <c r="A111459"/>
      <c r="B111459"/>
      <c r="C111459"/>
      <c r="E111459"/>
      <c r="F111459"/>
    </row>
    <row r="111460" spans="1:6" x14ac:dyDescent="0.25">
      <c r="A111460"/>
      <c r="B111460"/>
      <c r="C111460"/>
      <c r="E111460"/>
      <c r="F111460"/>
    </row>
    <row r="111461" spans="1:6" x14ac:dyDescent="0.25">
      <c r="A111461"/>
      <c r="B111461"/>
      <c r="C111461"/>
      <c r="E111461"/>
      <c r="F111461"/>
    </row>
    <row r="111462" spans="1:6" x14ac:dyDescent="0.25">
      <c r="A111462"/>
      <c r="B111462"/>
      <c r="C111462"/>
      <c r="E111462"/>
      <c r="F111462"/>
    </row>
    <row r="111463" spans="1:6" x14ac:dyDescent="0.25">
      <c r="A111463"/>
      <c r="B111463"/>
      <c r="C111463"/>
      <c r="E111463"/>
      <c r="F111463"/>
    </row>
    <row r="111464" spans="1:6" x14ac:dyDescent="0.25">
      <c r="A111464"/>
      <c r="B111464"/>
      <c r="C111464"/>
      <c r="E111464"/>
      <c r="F111464"/>
    </row>
    <row r="111465" spans="1:6" x14ac:dyDescent="0.25">
      <c r="A111465"/>
      <c r="B111465"/>
      <c r="C111465"/>
      <c r="E111465"/>
      <c r="F111465"/>
    </row>
    <row r="111466" spans="1:6" x14ac:dyDescent="0.25">
      <c r="A111466"/>
      <c r="B111466"/>
      <c r="C111466"/>
      <c r="E111466"/>
      <c r="F111466"/>
    </row>
    <row r="111467" spans="1:6" x14ac:dyDescent="0.25">
      <c r="A111467"/>
      <c r="B111467"/>
      <c r="C111467"/>
      <c r="E111467"/>
      <c r="F111467"/>
    </row>
    <row r="111468" spans="1:6" x14ac:dyDescent="0.25">
      <c r="A111468"/>
      <c r="B111468"/>
      <c r="C111468"/>
      <c r="E111468"/>
      <c r="F111468"/>
    </row>
    <row r="111469" spans="1:6" x14ac:dyDescent="0.25">
      <c r="A111469"/>
      <c r="B111469"/>
      <c r="C111469"/>
      <c r="E111469"/>
      <c r="F111469"/>
    </row>
    <row r="111470" spans="1:6" x14ac:dyDescent="0.25">
      <c r="A111470"/>
      <c r="B111470"/>
      <c r="C111470"/>
      <c r="E111470"/>
      <c r="F111470"/>
    </row>
    <row r="111471" spans="1:6" x14ac:dyDescent="0.25">
      <c r="A111471"/>
      <c r="B111471"/>
      <c r="C111471"/>
      <c r="E111471"/>
      <c r="F111471"/>
    </row>
    <row r="111472" spans="1:6" x14ac:dyDescent="0.25">
      <c r="A111472"/>
      <c r="B111472"/>
      <c r="C111472"/>
      <c r="E111472"/>
      <c r="F111472"/>
    </row>
    <row r="111473" spans="1:6" x14ac:dyDescent="0.25">
      <c r="A111473"/>
      <c r="B111473"/>
      <c r="C111473"/>
      <c r="E111473"/>
      <c r="F111473"/>
    </row>
    <row r="111474" spans="1:6" x14ac:dyDescent="0.25">
      <c r="A111474"/>
      <c r="B111474"/>
      <c r="C111474"/>
      <c r="E111474"/>
      <c r="F111474"/>
    </row>
    <row r="111475" spans="1:6" x14ac:dyDescent="0.25">
      <c r="A111475"/>
      <c r="B111475"/>
      <c r="C111475"/>
      <c r="E111475"/>
      <c r="F111475"/>
    </row>
    <row r="111476" spans="1:6" x14ac:dyDescent="0.25">
      <c r="A111476"/>
      <c r="B111476"/>
      <c r="C111476"/>
      <c r="E111476"/>
      <c r="F111476"/>
    </row>
    <row r="111477" spans="1:6" x14ac:dyDescent="0.25">
      <c r="A111477"/>
      <c r="B111477"/>
      <c r="C111477"/>
      <c r="E111477"/>
      <c r="F111477"/>
    </row>
    <row r="111478" spans="1:6" x14ac:dyDescent="0.25">
      <c r="A111478"/>
      <c r="B111478"/>
      <c r="C111478"/>
      <c r="E111478"/>
      <c r="F111478"/>
    </row>
    <row r="111479" spans="1:6" x14ac:dyDescent="0.25">
      <c r="A111479"/>
      <c r="B111479"/>
      <c r="C111479"/>
      <c r="E111479"/>
      <c r="F111479"/>
    </row>
    <row r="111480" spans="1:6" x14ac:dyDescent="0.25">
      <c r="A111480"/>
      <c r="B111480"/>
      <c r="C111480"/>
      <c r="E111480"/>
      <c r="F111480"/>
    </row>
    <row r="111481" spans="1:6" x14ac:dyDescent="0.25">
      <c r="A111481"/>
      <c r="B111481"/>
      <c r="C111481"/>
      <c r="E111481"/>
      <c r="F111481"/>
    </row>
    <row r="111482" spans="1:6" x14ac:dyDescent="0.25">
      <c r="A111482"/>
      <c r="B111482"/>
      <c r="C111482"/>
      <c r="E111482"/>
      <c r="F111482"/>
    </row>
    <row r="111483" spans="1:6" x14ac:dyDescent="0.25">
      <c r="A111483"/>
      <c r="B111483"/>
      <c r="C111483"/>
      <c r="E111483"/>
      <c r="F111483"/>
    </row>
    <row r="111484" spans="1:6" x14ac:dyDescent="0.25">
      <c r="A111484"/>
      <c r="B111484"/>
      <c r="C111484"/>
      <c r="E111484"/>
      <c r="F111484"/>
    </row>
    <row r="111485" spans="1:6" x14ac:dyDescent="0.25">
      <c r="A111485"/>
      <c r="B111485"/>
      <c r="C111485"/>
      <c r="E111485"/>
      <c r="F111485"/>
    </row>
    <row r="111486" spans="1:6" x14ac:dyDescent="0.25">
      <c r="A111486"/>
      <c r="B111486"/>
      <c r="C111486"/>
      <c r="E111486"/>
      <c r="F111486"/>
    </row>
    <row r="111487" spans="1:6" x14ac:dyDescent="0.25">
      <c r="A111487"/>
      <c r="B111487"/>
      <c r="C111487"/>
      <c r="E111487"/>
      <c r="F111487"/>
    </row>
    <row r="111488" spans="1:6" x14ac:dyDescent="0.25">
      <c r="A111488"/>
      <c r="B111488"/>
      <c r="C111488"/>
      <c r="E111488"/>
      <c r="F111488"/>
    </row>
    <row r="111489" spans="1:6" x14ac:dyDescent="0.25">
      <c r="A111489"/>
      <c r="B111489"/>
      <c r="C111489"/>
      <c r="E111489"/>
      <c r="F111489"/>
    </row>
    <row r="111490" spans="1:6" x14ac:dyDescent="0.25">
      <c r="A111490"/>
      <c r="B111490"/>
      <c r="C111490"/>
      <c r="E111490"/>
      <c r="F111490"/>
    </row>
    <row r="111491" spans="1:6" x14ac:dyDescent="0.25">
      <c r="A111491"/>
      <c r="B111491"/>
      <c r="C111491"/>
      <c r="E111491"/>
      <c r="F111491"/>
    </row>
    <row r="111492" spans="1:6" x14ac:dyDescent="0.25">
      <c r="A111492"/>
      <c r="B111492"/>
      <c r="C111492"/>
      <c r="E111492"/>
      <c r="F111492"/>
    </row>
    <row r="111493" spans="1:6" x14ac:dyDescent="0.25">
      <c r="A111493"/>
      <c r="B111493"/>
      <c r="C111493"/>
      <c r="E111493"/>
      <c r="F111493"/>
    </row>
    <row r="111494" spans="1:6" x14ac:dyDescent="0.25">
      <c r="A111494"/>
      <c r="B111494"/>
      <c r="C111494"/>
      <c r="E111494"/>
      <c r="F111494"/>
    </row>
    <row r="111495" spans="1:6" x14ac:dyDescent="0.25">
      <c r="A111495"/>
      <c r="B111495"/>
      <c r="C111495"/>
      <c r="E111495"/>
      <c r="F111495"/>
    </row>
    <row r="111496" spans="1:6" x14ac:dyDescent="0.25">
      <c r="A111496"/>
      <c r="B111496"/>
      <c r="C111496"/>
      <c r="E111496"/>
      <c r="F111496"/>
    </row>
    <row r="111497" spans="1:6" x14ac:dyDescent="0.25">
      <c r="A111497"/>
      <c r="B111497"/>
      <c r="C111497"/>
      <c r="E111497"/>
      <c r="F111497"/>
    </row>
    <row r="111498" spans="1:6" x14ac:dyDescent="0.25">
      <c r="A111498"/>
      <c r="B111498"/>
      <c r="C111498"/>
      <c r="E111498"/>
      <c r="F111498"/>
    </row>
    <row r="111499" spans="1:6" x14ac:dyDescent="0.25">
      <c r="A111499"/>
      <c r="B111499"/>
      <c r="C111499"/>
      <c r="E111499"/>
      <c r="F111499"/>
    </row>
    <row r="111500" spans="1:6" x14ac:dyDescent="0.25">
      <c r="A111500"/>
      <c r="B111500"/>
      <c r="C111500"/>
      <c r="E111500"/>
      <c r="F111500"/>
    </row>
    <row r="111501" spans="1:6" x14ac:dyDescent="0.25">
      <c r="A111501"/>
      <c r="B111501"/>
      <c r="C111501"/>
      <c r="E111501"/>
      <c r="F111501"/>
    </row>
    <row r="111502" spans="1:6" x14ac:dyDescent="0.25">
      <c r="A111502"/>
      <c r="B111502"/>
      <c r="C111502"/>
      <c r="E111502"/>
      <c r="F111502"/>
    </row>
    <row r="111503" spans="1:6" x14ac:dyDescent="0.25">
      <c r="A111503"/>
      <c r="B111503"/>
      <c r="C111503"/>
      <c r="E111503"/>
      <c r="F111503"/>
    </row>
    <row r="111504" spans="1:6" x14ac:dyDescent="0.25">
      <c r="A111504"/>
      <c r="B111504"/>
      <c r="C111504"/>
      <c r="E111504"/>
      <c r="F111504"/>
    </row>
    <row r="111505" spans="1:6" x14ac:dyDescent="0.25">
      <c r="A111505"/>
      <c r="B111505"/>
      <c r="C111505"/>
      <c r="E111505"/>
      <c r="F111505"/>
    </row>
    <row r="111506" spans="1:6" x14ac:dyDescent="0.25">
      <c r="A111506"/>
      <c r="B111506"/>
      <c r="C111506"/>
      <c r="E111506"/>
      <c r="F111506"/>
    </row>
    <row r="111507" spans="1:6" x14ac:dyDescent="0.25">
      <c r="A111507"/>
      <c r="B111507"/>
      <c r="C111507"/>
      <c r="E111507"/>
      <c r="F111507"/>
    </row>
    <row r="111508" spans="1:6" x14ac:dyDescent="0.25">
      <c r="A111508"/>
      <c r="B111508"/>
      <c r="C111508"/>
      <c r="E111508"/>
      <c r="F111508"/>
    </row>
    <row r="111509" spans="1:6" x14ac:dyDescent="0.25">
      <c r="A111509"/>
      <c r="B111509"/>
      <c r="C111509"/>
      <c r="E111509"/>
      <c r="F111509"/>
    </row>
    <row r="111510" spans="1:6" x14ac:dyDescent="0.25">
      <c r="A111510"/>
      <c r="B111510"/>
      <c r="C111510"/>
      <c r="E111510"/>
      <c r="F111510"/>
    </row>
    <row r="111511" spans="1:6" x14ac:dyDescent="0.25">
      <c r="A111511"/>
      <c r="B111511"/>
      <c r="C111511"/>
      <c r="E111511"/>
      <c r="F111511"/>
    </row>
    <row r="111512" spans="1:6" x14ac:dyDescent="0.25">
      <c r="A111512"/>
      <c r="B111512"/>
      <c r="C111512"/>
      <c r="E111512"/>
      <c r="F111512"/>
    </row>
    <row r="111513" spans="1:6" x14ac:dyDescent="0.25">
      <c r="A111513"/>
      <c r="B111513"/>
      <c r="C111513"/>
      <c r="E111513"/>
      <c r="F111513"/>
    </row>
    <row r="111514" spans="1:6" x14ac:dyDescent="0.25">
      <c r="A111514"/>
      <c r="B111514"/>
      <c r="C111514"/>
      <c r="E111514"/>
      <c r="F111514"/>
    </row>
    <row r="111515" spans="1:6" x14ac:dyDescent="0.25">
      <c r="A111515"/>
      <c r="B111515"/>
      <c r="C111515"/>
      <c r="E111515"/>
      <c r="F111515"/>
    </row>
    <row r="111516" spans="1:6" x14ac:dyDescent="0.25">
      <c r="A111516"/>
      <c r="B111516"/>
      <c r="C111516"/>
      <c r="E111516"/>
      <c r="F111516"/>
    </row>
    <row r="111517" spans="1:6" x14ac:dyDescent="0.25">
      <c r="A111517"/>
      <c r="B111517"/>
      <c r="C111517"/>
      <c r="E111517"/>
      <c r="F111517"/>
    </row>
    <row r="111518" spans="1:6" x14ac:dyDescent="0.25">
      <c r="A111518"/>
      <c r="B111518"/>
      <c r="C111518"/>
      <c r="E111518"/>
      <c r="F111518"/>
    </row>
    <row r="111519" spans="1:6" x14ac:dyDescent="0.25">
      <c r="A111519"/>
      <c r="B111519"/>
      <c r="C111519"/>
      <c r="E111519"/>
      <c r="F111519"/>
    </row>
    <row r="111520" spans="1:6" x14ac:dyDescent="0.25">
      <c r="A111520"/>
      <c r="B111520"/>
      <c r="C111520"/>
      <c r="E111520"/>
      <c r="F111520"/>
    </row>
    <row r="111521" spans="1:6" x14ac:dyDescent="0.25">
      <c r="A111521"/>
      <c r="B111521"/>
      <c r="C111521"/>
      <c r="E111521"/>
      <c r="F111521"/>
    </row>
    <row r="111522" spans="1:6" x14ac:dyDescent="0.25">
      <c r="A111522"/>
      <c r="B111522"/>
      <c r="C111522"/>
      <c r="E111522"/>
      <c r="F111522"/>
    </row>
    <row r="111523" spans="1:6" x14ac:dyDescent="0.25">
      <c r="A111523"/>
      <c r="B111523"/>
      <c r="C111523"/>
      <c r="E111523"/>
      <c r="F111523"/>
    </row>
    <row r="111524" spans="1:6" x14ac:dyDescent="0.25">
      <c r="A111524"/>
      <c r="B111524"/>
      <c r="C111524"/>
      <c r="E111524"/>
      <c r="F111524"/>
    </row>
    <row r="111525" spans="1:6" x14ac:dyDescent="0.25">
      <c r="A111525"/>
      <c r="B111525"/>
      <c r="C111525"/>
      <c r="E111525"/>
      <c r="F111525"/>
    </row>
    <row r="111526" spans="1:6" x14ac:dyDescent="0.25">
      <c r="A111526"/>
      <c r="B111526"/>
      <c r="C111526"/>
      <c r="E111526"/>
      <c r="F111526"/>
    </row>
    <row r="111527" spans="1:6" x14ac:dyDescent="0.25">
      <c r="A111527"/>
      <c r="B111527"/>
      <c r="C111527"/>
      <c r="E111527"/>
      <c r="F111527"/>
    </row>
    <row r="111528" spans="1:6" x14ac:dyDescent="0.25">
      <c r="A111528"/>
      <c r="B111528"/>
      <c r="C111528"/>
      <c r="E111528"/>
      <c r="F111528"/>
    </row>
    <row r="111529" spans="1:6" x14ac:dyDescent="0.25">
      <c r="A111529"/>
      <c r="B111529"/>
      <c r="C111529"/>
      <c r="E111529"/>
      <c r="F111529"/>
    </row>
    <row r="111530" spans="1:6" x14ac:dyDescent="0.25">
      <c r="A111530"/>
      <c r="B111530"/>
      <c r="C111530"/>
      <c r="E111530"/>
      <c r="F111530"/>
    </row>
    <row r="111531" spans="1:6" x14ac:dyDescent="0.25">
      <c r="A111531"/>
      <c r="B111531"/>
      <c r="C111531"/>
      <c r="E111531"/>
      <c r="F111531"/>
    </row>
    <row r="111532" spans="1:6" x14ac:dyDescent="0.25">
      <c r="A111532"/>
      <c r="B111532"/>
      <c r="C111532"/>
      <c r="E111532"/>
      <c r="F111532"/>
    </row>
    <row r="111533" spans="1:6" x14ac:dyDescent="0.25">
      <c r="A111533"/>
      <c r="B111533"/>
      <c r="C111533"/>
      <c r="E111533"/>
      <c r="F111533"/>
    </row>
    <row r="111534" spans="1:6" x14ac:dyDescent="0.25">
      <c r="A111534"/>
      <c r="B111534"/>
      <c r="C111534"/>
      <c r="E111534"/>
      <c r="F111534"/>
    </row>
    <row r="111535" spans="1:6" x14ac:dyDescent="0.25">
      <c r="A111535"/>
      <c r="B111535"/>
      <c r="C111535"/>
      <c r="E111535"/>
      <c r="F111535"/>
    </row>
    <row r="111536" spans="1:6" x14ac:dyDescent="0.25">
      <c r="A111536"/>
      <c r="B111536"/>
      <c r="C111536"/>
      <c r="E111536"/>
      <c r="F111536"/>
    </row>
    <row r="111537" spans="1:6" x14ac:dyDescent="0.25">
      <c r="A111537"/>
      <c r="B111537"/>
      <c r="C111537"/>
      <c r="E111537"/>
      <c r="F111537"/>
    </row>
    <row r="111538" spans="1:6" x14ac:dyDescent="0.25">
      <c r="A111538"/>
      <c r="B111538"/>
      <c r="C111538"/>
      <c r="E111538"/>
      <c r="F111538"/>
    </row>
    <row r="111539" spans="1:6" x14ac:dyDescent="0.25">
      <c r="A111539"/>
      <c r="B111539"/>
      <c r="C111539"/>
      <c r="E111539"/>
      <c r="F111539"/>
    </row>
    <row r="111540" spans="1:6" x14ac:dyDescent="0.25">
      <c r="A111540"/>
      <c r="B111540"/>
      <c r="C111540"/>
      <c r="E111540"/>
      <c r="F111540"/>
    </row>
    <row r="111541" spans="1:6" x14ac:dyDescent="0.25">
      <c r="A111541"/>
      <c r="B111541"/>
      <c r="C111541"/>
      <c r="E111541"/>
      <c r="F111541"/>
    </row>
    <row r="111542" spans="1:6" x14ac:dyDescent="0.25">
      <c r="A111542"/>
      <c r="B111542"/>
      <c r="C111542"/>
      <c r="E111542"/>
      <c r="F111542"/>
    </row>
    <row r="111543" spans="1:6" x14ac:dyDescent="0.25">
      <c r="A111543"/>
      <c r="B111543"/>
      <c r="C111543"/>
      <c r="E111543"/>
      <c r="F111543"/>
    </row>
    <row r="111544" spans="1:6" x14ac:dyDescent="0.25">
      <c r="A111544"/>
      <c r="B111544"/>
      <c r="C111544"/>
      <c r="E111544"/>
      <c r="F111544"/>
    </row>
    <row r="111545" spans="1:6" x14ac:dyDescent="0.25">
      <c r="A111545"/>
      <c r="B111545"/>
      <c r="C111545"/>
      <c r="E111545"/>
      <c r="F111545"/>
    </row>
    <row r="111546" spans="1:6" x14ac:dyDescent="0.25">
      <c r="A111546"/>
      <c r="B111546"/>
      <c r="C111546"/>
      <c r="E111546"/>
      <c r="F111546"/>
    </row>
    <row r="111547" spans="1:6" x14ac:dyDescent="0.25">
      <c r="A111547"/>
      <c r="B111547"/>
      <c r="C111547"/>
      <c r="E111547"/>
      <c r="F111547"/>
    </row>
    <row r="111548" spans="1:6" x14ac:dyDescent="0.25">
      <c r="A111548"/>
      <c r="B111548"/>
      <c r="C111548"/>
      <c r="E111548"/>
      <c r="F111548"/>
    </row>
    <row r="111549" spans="1:6" x14ac:dyDescent="0.25">
      <c r="A111549"/>
      <c r="B111549"/>
      <c r="C111549"/>
      <c r="E111549"/>
      <c r="F111549"/>
    </row>
    <row r="111550" spans="1:6" x14ac:dyDescent="0.25">
      <c r="A111550"/>
      <c r="B111550"/>
      <c r="C111550"/>
      <c r="E111550"/>
      <c r="F111550"/>
    </row>
    <row r="111551" spans="1:6" x14ac:dyDescent="0.25">
      <c r="A111551"/>
      <c r="B111551"/>
      <c r="C111551"/>
      <c r="E111551"/>
      <c r="F111551"/>
    </row>
    <row r="111552" spans="1:6" x14ac:dyDescent="0.25">
      <c r="A111552"/>
      <c r="B111552"/>
      <c r="C111552"/>
      <c r="E111552"/>
      <c r="F111552"/>
    </row>
    <row r="111553" spans="1:6" x14ac:dyDescent="0.25">
      <c r="A111553"/>
      <c r="B111553"/>
      <c r="C111553"/>
      <c r="E111553"/>
      <c r="F111553"/>
    </row>
    <row r="111554" spans="1:6" x14ac:dyDescent="0.25">
      <c r="A111554"/>
      <c r="B111554"/>
      <c r="C111554"/>
      <c r="E111554"/>
      <c r="F111554"/>
    </row>
    <row r="111555" spans="1:6" x14ac:dyDescent="0.25">
      <c r="A111555"/>
      <c r="B111555"/>
      <c r="C111555"/>
      <c r="E111555"/>
      <c r="F111555"/>
    </row>
    <row r="111556" spans="1:6" x14ac:dyDescent="0.25">
      <c r="A111556"/>
      <c r="B111556"/>
      <c r="C111556"/>
      <c r="E111556"/>
      <c r="F111556"/>
    </row>
    <row r="111557" spans="1:6" x14ac:dyDescent="0.25">
      <c r="A111557"/>
      <c r="B111557"/>
      <c r="C111557"/>
      <c r="E111557"/>
      <c r="F111557"/>
    </row>
    <row r="111558" spans="1:6" x14ac:dyDescent="0.25">
      <c r="A111558"/>
      <c r="B111558"/>
      <c r="C111558"/>
      <c r="E111558"/>
      <c r="F111558"/>
    </row>
    <row r="111559" spans="1:6" x14ac:dyDescent="0.25">
      <c r="A111559"/>
      <c r="B111559"/>
      <c r="C111559"/>
      <c r="E111559"/>
      <c r="F111559"/>
    </row>
    <row r="111560" spans="1:6" x14ac:dyDescent="0.25">
      <c r="A111560"/>
      <c r="B111560"/>
      <c r="C111560"/>
      <c r="E111560"/>
      <c r="F111560"/>
    </row>
    <row r="111561" spans="1:6" x14ac:dyDescent="0.25">
      <c r="A111561"/>
      <c r="B111561"/>
      <c r="C111561"/>
      <c r="E111561"/>
      <c r="F111561"/>
    </row>
    <row r="111562" spans="1:6" x14ac:dyDescent="0.25">
      <c r="A111562"/>
      <c r="B111562"/>
      <c r="C111562"/>
      <c r="E111562"/>
      <c r="F111562"/>
    </row>
    <row r="111563" spans="1:6" x14ac:dyDescent="0.25">
      <c r="A111563"/>
      <c r="B111563"/>
      <c r="C111563"/>
      <c r="E111563"/>
      <c r="F111563"/>
    </row>
    <row r="111564" spans="1:6" x14ac:dyDescent="0.25">
      <c r="A111564"/>
      <c r="B111564"/>
      <c r="C111564"/>
      <c r="E111564"/>
      <c r="F111564"/>
    </row>
    <row r="111565" spans="1:6" x14ac:dyDescent="0.25">
      <c r="A111565"/>
      <c r="B111565"/>
      <c r="C111565"/>
      <c r="E111565"/>
      <c r="F111565"/>
    </row>
    <row r="111566" spans="1:6" x14ac:dyDescent="0.25">
      <c r="A111566"/>
      <c r="B111566"/>
      <c r="C111566"/>
      <c r="E111566"/>
      <c r="F111566"/>
    </row>
    <row r="111567" spans="1:6" x14ac:dyDescent="0.25">
      <c r="A111567"/>
      <c r="B111567"/>
      <c r="C111567"/>
      <c r="E111567"/>
      <c r="F111567"/>
    </row>
    <row r="111568" spans="1:6" x14ac:dyDescent="0.25">
      <c r="A111568"/>
      <c r="B111568"/>
      <c r="C111568"/>
      <c r="E111568"/>
      <c r="F111568"/>
    </row>
    <row r="111569" spans="1:6" x14ac:dyDescent="0.25">
      <c r="A111569"/>
      <c r="B111569"/>
      <c r="C111569"/>
      <c r="E111569"/>
      <c r="F111569"/>
    </row>
    <row r="111570" spans="1:6" x14ac:dyDescent="0.25">
      <c r="A111570"/>
      <c r="B111570"/>
      <c r="C111570"/>
      <c r="E111570"/>
      <c r="F111570"/>
    </row>
    <row r="111571" spans="1:6" x14ac:dyDescent="0.25">
      <c r="A111571"/>
      <c r="B111571"/>
      <c r="C111571"/>
      <c r="E111571"/>
      <c r="F111571"/>
    </row>
    <row r="111572" spans="1:6" x14ac:dyDescent="0.25">
      <c r="A111572"/>
      <c r="B111572"/>
      <c r="C111572"/>
      <c r="E111572"/>
      <c r="F111572"/>
    </row>
    <row r="111573" spans="1:6" x14ac:dyDescent="0.25">
      <c r="A111573"/>
      <c r="B111573"/>
      <c r="C111573"/>
      <c r="E111573"/>
      <c r="F111573"/>
    </row>
    <row r="111574" spans="1:6" x14ac:dyDescent="0.25">
      <c r="A111574"/>
      <c r="B111574"/>
      <c r="C111574"/>
      <c r="E111574"/>
      <c r="F111574"/>
    </row>
    <row r="111575" spans="1:6" x14ac:dyDescent="0.25">
      <c r="A111575"/>
      <c r="B111575"/>
      <c r="C111575"/>
      <c r="E111575"/>
      <c r="F111575"/>
    </row>
    <row r="111576" spans="1:6" x14ac:dyDescent="0.25">
      <c r="A111576"/>
      <c r="B111576"/>
      <c r="C111576"/>
      <c r="E111576"/>
      <c r="F111576"/>
    </row>
    <row r="111577" spans="1:6" x14ac:dyDescent="0.25">
      <c r="A111577"/>
      <c r="B111577"/>
      <c r="C111577"/>
      <c r="E111577"/>
      <c r="F111577"/>
    </row>
    <row r="111578" spans="1:6" x14ac:dyDescent="0.25">
      <c r="A111578"/>
      <c r="B111578"/>
      <c r="C111578"/>
      <c r="E111578"/>
      <c r="F111578"/>
    </row>
    <row r="111579" spans="1:6" x14ac:dyDescent="0.25">
      <c r="A111579"/>
      <c r="B111579"/>
      <c r="C111579"/>
      <c r="E111579"/>
      <c r="F111579"/>
    </row>
    <row r="111580" spans="1:6" x14ac:dyDescent="0.25">
      <c r="A111580"/>
      <c r="B111580"/>
      <c r="C111580"/>
      <c r="E111580"/>
      <c r="F111580"/>
    </row>
    <row r="111581" spans="1:6" x14ac:dyDescent="0.25">
      <c r="A111581"/>
      <c r="B111581"/>
      <c r="C111581"/>
      <c r="E111581"/>
      <c r="F111581"/>
    </row>
    <row r="111582" spans="1:6" x14ac:dyDescent="0.25">
      <c r="A111582"/>
      <c r="B111582"/>
      <c r="C111582"/>
      <c r="E111582"/>
      <c r="F111582"/>
    </row>
    <row r="111583" spans="1:6" x14ac:dyDescent="0.25">
      <c r="A111583"/>
      <c r="B111583"/>
      <c r="C111583"/>
      <c r="E111583"/>
      <c r="F111583"/>
    </row>
    <row r="111584" spans="1:6" x14ac:dyDescent="0.25">
      <c r="A111584"/>
      <c r="B111584"/>
      <c r="C111584"/>
      <c r="E111584"/>
      <c r="F111584"/>
    </row>
    <row r="111585" spans="1:6" x14ac:dyDescent="0.25">
      <c r="A111585"/>
      <c r="B111585"/>
      <c r="C111585"/>
      <c r="E111585"/>
      <c r="F111585"/>
    </row>
    <row r="111586" spans="1:6" x14ac:dyDescent="0.25">
      <c r="A111586"/>
      <c r="B111586"/>
      <c r="C111586"/>
      <c r="E111586"/>
      <c r="F111586"/>
    </row>
    <row r="111587" spans="1:6" x14ac:dyDescent="0.25">
      <c r="A111587"/>
      <c r="B111587"/>
      <c r="C111587"/>
      <c r="E111587"/>
      <c r="F111587"/>
    </row>
    <row r="111588" spans="1:6" x14ac:dyDescent="0.25">
      <c r="A111588"/>
      <c r="B111588"/>
      <c r="C111588"/>
      <c r="E111588"/>
      <c r="F111588"/>
    </row>
    <row r="111589" spans="1:6" x14ac:dyDescent="0.25">
      <c r="A111589"/>
      <c r="B111589"/>
      <c r="C111589"/>
      <c r="E111589"/>
      <c r="F111589"/>
    </row>
    <row r="111590" spans="1:6" x14ac:dyDescent="0.25">
      <c r="A111590"/>
      <c r="B111590"/>
      <c r="C111590"/>
      <c r="E111590"/>
      <c r="F111590"/>
    </row>
    <row r="111591" spans="1:6" x14ac:dyDescent="0.25">
      <c r="A111591"/>
      <c r="B111591"/>
      <c r="C111591"/>
      <c r="E111591"/>
      <c r="F111591"/>
    </row>
    <row r="111592" spans="1:6" x14ac:dyDescent="0.25">
      <c r="A111592"/>
      <c r="B111592"/>
      <c r="C111592"/>
      <c r="E111592"/>
      <c r="F111592"/>
    </row>
    <row r="111593" spans="1:6" x14ac:dyDescent="0.25">
      <c r="A111593"/>
      <c r="B111593"/>
      <c r="C111593"/>
      <c r="E111593"/>
      <c r="F111593"/>
    </row>
    <row r="111594" spans="1:6" x14ac:dyDescent="0.25">
      <c r="A111594"/>
      <c r="B111594"/>
      <c r="C111594"/>
      <c r="E111594"/>
      <c r="F111594"/>
    </row>
    <row r="111595" spans="1:6" x14ac:dyDescent="0.25">
      <c r="A111595"/>
      <c r="B111595"/>
      <c r="C111595"/>
      <c r="E111595"/>
      <c r="F111595"/>
    </row>
    <row r="111596" spans="1:6" x14ac:dyDescent="0.25">
      <c r="A111596"/>
      <c r="B111596"/>
      <c r="C111596"/>
      <c r="E111596"/>
      <c r="F111596"/>
    </row>
    <row r="111597" spans="1:6" x14ac:dyDescent="0.25">
      <c r="A111597"/>
      <c r="B111597"/>
      <c r="C111597"/>
      <c r="E111597"/>
      <c r="F111597"/>
    </row>
    <row r="111598" spans="1:6" x14ac:dyDescent="0.25">
      <c r="A111598"/>
      <c r="B111598"/>
      <c r="C111598"/>
      <c r="E111598"/>
      <c r="F111598"/>
    </row>
    <row r="111599" spans="1:6" x14ac:dyDescent="0.25">
      <c r="A111599"/>
      <c r="B111599"/>
      <c r="C111599"/>
      <c r="E111599"/>
      <c r="F111599"/>
    </row>
    <row r="111600" spans="1:6" x14ac:dyDescent="0.25">
      <c r="A111600"/>
      <c r="B111600"/>
      <c r="C111600"/>
      <c r="E111600"/>
      <c r="F111600"/>
    </row>
    <row r="111601" spans="1:6" x14ac:dyDescent="0.25">
      <c r="A111601"/>
      <c r="B111601"/>
      <c r="C111601"/>
      <c r="E111601"/>
      <c r="F111601"/>
    </row>
    <row r="111602" spans="1:6" x14ac:dyDescent="0.25">
      <c r="A111602"/>
      <c r="B111602"/>
      <c r="C111602"/>
      <c r="E111602"/>
      <c r="F111602"/>
    </row>
    <row r="111603" spans="1:6" x14ac:dyDescent="0.25">
      <c r="A111603"/>
      <c r="B111603"/>
      <c r="C111603"/>
      <c r="E111603"/>
      <c r="F111603"/>
    </row>
    <row r="111604" spans="1:6" x14ac:dyDescent="0.25">
      <c r="A111604"/>
      <c r="B111604"/>
      <c r="C111604"/>
      <c r="E111604"/>
      <c r="F111604"/>
    </row>
    <row r="111605" spans="1:6" x14ac:dyDescent="0.25">
      <c r="A111605"/>
      <c r="B111605"/>
      <c r="C111605"/>
      <c r="E111605"/>
      <c r="F111605"/>
    </row>
    <row r="111606" spans="1:6" x14ac:dyDescent="0.25">
      <c r="A111606"/>
      <c r="B111606"/>
      <c r="C111606"/>
      <c r="E111606"/>
      <c r="F111606"/>
    </row>
    <row r="111607" spans="1:6" x14ac:dyDescent="0.25">
      <c r="A111607"/>
      <c r="B111607"/>
      <c r="C111607"/>
      <c r="E111607"/>
      <c r="F111607"/>
    </row>
    <row r="111608" spans="1:6" x14ac:dyDescent="0.25">
      <c r="A111608"/>
      <c r="B111608"/>
      <c r="C111608"/>
      <c r="E111608"/>
      <c r="F111608"/>
    </row>
    <row r="111609" spans="1:6" x14ac:dyDescent="0.25">
      <c r="A111609"/>
      <c r="B111609"/>
      <c r="C111609"/>
      <c r="E111609"/>
      <c r="F111609"/>
    </row>
    <row r="111610" spans="1:6" x14ac:dyDescent="0.25">
      <c r="A111610"/>
      <c r="B111610"/>
      <c r="C111610"/>
      <c r="E111610"/>
      <c r="F111610"/>
    </row>
    <row r="111611" spans="1:6" x14ac:dyDescent="0.25">
      <c r="A111611"/>
      <c r="B111611"/>
      <c r="C111611"/>
      <c r="E111611"/>
      <c r="F111611"/>
    </row>
    <row r="111612" spans="1:6" x14ac:dyDescent="0.25">
      <c r="A111612"/>
      <c r="B111612"/>
      <c r="C111612"/>
      <c r="E111612"/>
      <c r="F111612"/>
    </row>
    <row r="111613" spans="1:6" x14ac:dyDescent="0.25">
      <c r="A111613"/>
      <c r="B111613"/>
      <c r="C111613"/>
      <c r="E111613"/>
      <c r="F111613"/>
    </row>
    <row r="111614" spans="1:6" x14ac:dyDescent="0.25">
      <c r="A111614"/>
      <c r="B111614"/>
      <c r="C111614"/>
      <c r="E111614"/>
      <c r="F111614"/>
    </row>
    <row r="111615" spans="1:6" x14ac:dyDescent="0.25">
      <c r="A111615"/>
      <c r="B111615"/>
      <c r="C111615"/>
      <c r="E111615"/>
      <c r="F111615"/>
    </row>
    <row r="111616" spans="1:6" x14ac:dyDescent="0.25">
      <c r="A111616"/>
      <c r="B111616"/>
      <c r="C111616"/>
      <c r="E111616"/>
      <c r="F111616"/>
    </row>
    <row r="111617" spans="1:6" x14ac:dyDescent="0.25">
      <c r="A111617"/>
      <c r="B111617"/>
      <c r="C111617"/>
      <c r="E111617"/>
      <c r="F111617"/>
    </row>
    <row r="111618" spans="1:6" x14ac:dyDescent="0.25">
      <c r="A111618"/>
      <c r="B111618"/>
      <c r="C111618"/>
      <c r="E111618"/>
      <c r="F111618"/>
    </row>
    <row r="111619" spans="1:6" x14ac:dyDescent="0.25">
      <c r="A111619"/>
      <c r="B111619"/>
      <c r="C111619"/>
      <c r="E111619"/>
      <c r="F111619"/>
    </row>
    <row r="111620" spans="1:6" x14ac:dyDescent="0.25">
      <c r="A111620"/>
      <c r="B111620"/>
      <c r="C111620"/>
      <c r="E111620"/>
      <c r="F111620"/>
    </row>
    <row r="111621" spans="1:6" x14ac:dyDescent="0.25">
      <c r="A111621"/>
      <c r="B111621"/>
      <c r="C111621"/>
      <c r="E111621"/>
      <c r="F111621"/>
    </row>
    <row r="111622" spans="1:6" x14ac:dyDescent="0.25">
      <c r="A111622"/>
      <c r="B111622"/>
      <c r="C111622"/>
      <c r="E111622"/>
      <c r="F111622"/>
    </row>
    <row r="111623" spans="1:6" x14ac:dyDescent="0.25">
      <c r="A111623"/>
      <c r="B111623"/>
      <c r="C111623"/>
      <c r="E111623"/>
      <c r="F111623"/>
    </row>
    <row r="111624" spans="1:6" x14ac:dyDescent="0.25">
      <c r="A111624"/>
      <c r="B111624"/>
      <c r="C111624"/>
      <c r="E111624"/>
      <c r="F111624"/>
    </row>
    <row r="111625" spans="1:6" x14ac:dyDescent="0.25">
      <c r="A111625"/>
      <c r="B111625"/>
      <c r="C111625"/>
      <c r="E111625"/>
      <c r="F111625"/>
    </row>
    <row r="111626" spans="1:6" x14ac:dyDescent="0.25">
      <c r="A111626"/>
      <c r="B111626"/>
      <c r="C111626"/>
      <c r="E111626"/>
      <c r="F111626"/>
    </row>
    <row r="111627" spans="1:6" x14ac:dyDescent="0.25">
      <c r="A111627"/>
      <c r="B111627"/>
      <c r="C111627"/>
      <c r="E111627"/>
      <c r="F111627"/>
    </row>
    <row r="111628" spans="1:6" x14ac:dyDescent="0.25">
      <c r="A111628"/>
      <c r="B111628"/>
      <c r="C111628"/>
      <c r="E111628"/>
      <c r="F111628"/>
    </row>
    <row r="111629" spans="1:6" x14ac:dyDescent="0.25">
      <c r="A111629"/>
      <c r="B111629"/>
      <c r="C111629"/>
      <c r="E111629"/>
      <c r="F111629"/>
    </row>
    <row r="111630" spans="1:6" x14ac:dyDescent="0.25">
      <c r="A111630"/>
      <c r="B111630"/>
      <c r="C111630"/>
      <c r="E111630"/>
      <c r="F111630"/>
    </row>
    <row r="111631" spans="1:6" x14ac:dyDescent="0.25">
      <c r="A111631"/>
      <c r="B111631"/>
      <c r="C111631"/>
      <c r="E111631"/>
      <c r="F111631"/>
    </row>
    <row r="111632" spans="1:6" x14ac:dyDescent="0.25">
      <c r="A111632"/>
      <c r="B111632"/>
      <c r="C111632"/>
      <c r="E111632"/>
      <c r="F111632"/>
    </row>
    <row r="111633" spans="1:6" x14ac:dyDescent="0.25">
      <c r="A111633"/>
      <c r="B111633"/>
      <c r="C111633"/>
      <c r="E111633"/>
      <c r="F111633"/>
    </row>
    <row r="111634" spans="1:6" x14ac:dyDescent="0.25">
      <c r="A111634"/>
      <c r="B111634"/>
      <c r="C111634"/>
      <c r="E111634"/>
      <c r="F111634"/>
    </row>
    <row r="111635" spans="1:6" x14ac:dyDescent="0.25">
      <c r="A111635"/>
      <c r="B111635"/>
      <c r="C111635"/>
      <c r="E111635"/>
      <c r="F111635"/>
    </row>
    <row r="111636" spans="1:6" x14ac:dyDescent="0.25">
      <c r="A111636"/>
      <c r="B111636"/>
      <c r="C111636"/>
      <c r="E111636"/>
      <c r="F111636"/>
    </row>
    <row r="111637" spans="1:6" x14ac:dyDescent="0.25">
      <c r="A111637"/>
      <c r="B111637"/>
      <c r="C111637"/>
      <c r="E111637"/>
      <c r="F111637"/>
    </row>
    <row r="111638" spans="1:6" x14ac:dyDescent="0.25">
      <c r="A111638"/>
      <c r="B111638"/>
      <c r="C111638"/>
      <c r="E111638"/>
      <c r="F111638"/>
    </row>
    <row r="111639" spans="1:6" x14ac:dyDescent="0.25">
      <c r="A111639"/>
      <c r="B111639"/>
      <c r="C111639"/>
      <c r="E111639"/>
      <c r="F111639"/>
    </row>
    <row r="111640" spans="1:6" x14ac:dyDescent="0.25">
      <c r="A111640"/>
      <c r="B111640"/>
      <c r="C111640"/>
      <c r="E111640"/>
      <c r="F111640"/>
    </row>
    <row r="111641" spans="1:6" x14ac:dyDescent="0.25">
      <c r="A111641"/>
      <c r="B111641"/>
      <c r="C111641"/>
      <c r="E111641"/>
      <c r="F111641"/>
    </row>
    <row r="111642" spans="1:6" x14ac:dyDescent="0.25">
      <c r="A111642"/>
      <c r="B111642"/>
      <c r="C111642"/>
      <c r="E111642"/>
      <c r="F111642"/>
    </row>
    <row r="111643" spans="1:6" x14ac:dyDescent="0.25">
      <c r="A111643"/>
      <c r="B111643"/>
      <c r="C111643"/>
      <c r="E111643"/>
      <c r="F111643"/>
    </row>
    <row r="111644" spans="1:6" x14ac:dyDescent="0.25">
      <c r="A111644"/>
      <c r="B111644"/>
      <c r="C111644"/>
      <c r="E111644"/>
      <c r="F111644"/>
    </row>
    <row r="111645" spans="1:6" x14ac:dyDescent="0.25">
      <c r="A111645"/>
      <c r="B111645"/>
      <c r="C111645"/>
      <c r="E111645"/>
      <c r="F111645"/>
    </row>
    <row r="111646" spans="1:6" x14ac:dyDescent="0.25">
      <c r="A111646"/>
      <c r="B111646"/>
      <c r="C111646"/>
      <c r="E111646"/>
      <c r="F111646"/>
    </row>
    <row r="111647" spans="1:6" x14ac:dyDescent="0.25">
      <c r="A111647"/>
      <c r="B111647"/>
      <c r="C111647"/>
      <c r="E111647"/>
      <c r="F111647"/>
    </row>
    <row r="111648" spans="1:6" x14ac:dyDescent="0.25">
      <c r="A111648"/>
      <c r="B111648"/>
      <c r="C111648"/>
      <c r="E111648"/>
      <c r="F111648"/>
    </row>
    <row r="111649" spans="1:6" x14ac:dyDescent="0.25">
      <c r="A111649"/>
      <c r="B111649"/>
      <c r="C111649"/>
      <c r="E111649"/>
      <c r="F111649"/>
    </row>
    <row r="111650" spans="1:6" x14ac:dyDescent="0.25">
      <c r="A111650"/>
      <c r="B111650"/>
      <c r="C111650"/>
      <c r="E111650"/>
      <c r="F111650"/>
    </row>
    <row r="111651" spans="1:6" x14ac:dyDescent="0.25">
      <c r="A111651"/>
      <c r="B111651"/>
      <c r="C111651"/>
      <c r="E111651"/>
      <c r="F111651"/>
    </row>
    <row r="111652" spans="1:6" x14ac:dyDescent="0.25">
      <c r="A111652"/>
      <c r="B111652"/>
      <c r="C111652"/>
      <c r="E111652"/>
      <c r="F111652"/>
    </row>
    <row r="111653" spans="1:6" x14ac:dyDescent="0.25">
      <c r="A111653"/>
      <c r="B111653"/>
      <c r="C111653"/>
      <c r="E111653"/>
      <c r="F111653"/>
    </row>
    <row r="111654" spans="1:6" x14ac:dyDescent="0.25">
      <c r="A111654"/>
      <c r="B111654"/>
      <c r="C111654"/>
      <c r="E111654"/>
      <c r="F111654"/>
    </row>
    <row r="111655" spans="1:6" x14ac:dyDescent="0.25">
      <c r="A111655"/>
      <c r="B111655"/>
      <c r="C111655"/>
      <c r="E111655"/>
      <c r="F111655"/>
    </row>
    <row r="111656" spans="1:6" x14ac:dyDescent="0.25">
      <c r="A111656"/>
      <c r="B111656"/>
      <c r="C111656"/>
      <c r="E111656"/>
      <c r="F111656"/>
    </row>
    <row r="111657" spans="1:6" x14ac:dyDescent="0.25">
      <c r="A111657"/>
      <c r="B111657"/>
      <c r="C111657"/>
      <c r="E111657"/>
      <c r="F111657"/>
    </row>
    <row r="111658" spans="1:6" x14ac:dyDescent="0.25">
      <c r="A111658"/>
      <c r="B111658"/>
      <c r="C111658"/>
      <c r="E111658"/>
      <c r="F111658"/>
    </row>
    <row r="111659" spans="1:6" x14ac:dyDescent="0.25">
      <c r="A111659"/>
      <c r="B111659"/>
      <c r="C111659"/>
      <c r="E111659"/>
      <c r="F111659"/>
    </row>
    <row r="111660" spans="1:6" x14ac:dyDescent="0.25">
      <c r="A111660"/>
      <c r="B111660"/>
      <c r="C111660"/>
      <c r="E111660"/>
      <c r="F111660"/>
    </row>
    <row r="111661" spans="1:6" x14ac:dyDescent="0.25">
      <c r="A111661"/>
      <c r="B111661"/>
      <c r="C111661"/>
      <c r="E111661"/>
      <c r="F111661"/>
    </row>
    <row r="111662" spans="1:6" x14ac:dyDescent="0.25">
      <c r="A111662"/>
      <c r="B111662"/>
      <c r="C111662"/>
      <c r="E111662"/>
      <c r="F111662"/>
    </row>
    <row r="111663" spans="1:6" x14ac:dyDescent="0.25">
      <c r="A111663"/>
      <c r="B111663"/>
      <c r="C111663"/>
      <c r="E111663"/>
      <c r="F111663"/>
    </row>
    <row r="111664" spans="1:6" x14ac:dyDescent="0.25">
      <c r="A111664"/>
      <c r="B111664"/>
      <c r="C111664"/>
      <c r="E111664"/>
      <c r="F111664"/>
    </row>
    <row r="111665" spans="1:6" x14ac:dyDescent="0.25">
      <c r="A111665"/>
      <c r="B111665"/>
      <c r="C111665"/>
      <c r="E111665"/>
      <c r="F111665"/>
    </row>
    <row r="111666" spans="1:6" x14ac:dyDescent="0.25">
      <c r="A111666"/>
      <c r="B111666"/>
      <c r="C111666"/>
      <c r="E111666"/>
      <c r="F111666"/>
    </row>
    <row r="111667" spans="1:6" x14ac:dyDescent="0.25">
      <c r="A111667"/>
      <c r="B111667"/>
      <c r="C111667"/>
      <c r="E111667"/>
      <c r="F111667"/>
    </row>
    <row r="111668" spans="1:6" x14ac:dyDescent="0.25">
      <c r="A111668"/>
      <c r="B111668"/>
      <c r="C111668"/>
      <c r="E111668"/>
      <c r="F111668"/>
    </row>
    <row r="111669" spans="1:6" x14ac:dyDescent="0.25">
      <c r="A111669"/>
      <c r="B111669"/>
      <c r="C111669"/>
      <c r="E111669"/>
      <c r="F111669"/>
    </row>
    <row r="111670" spans="1:6" x14ac:dyDescent="0.25">
      <c r="A111670"/>
      <c r="B111670"/>
      <c r="C111670"/>
      <c r="E111670"/>
      <c r="F111670"/>
    </row>
    <row r="111671" spans="1:6" x14ac:dyDescent="0.25">
      <c r="A111671"/>
      <c r="B111671"/>
      <c r="C111671"/>
      <c r="E111671"/>
      <c r="F111671"/>
    </row>
    <row r="111672" spans="1:6" x14ac:dyDescent="0.25">
      <c r="A111672"/>
      <c r="B111672"/>
      <c r="C111672"/>
      <c r="E111672"/>
      <c r="F111672"/>
    </row>
    <row r="111673" spans="1:6" x14ac:dyDescent="0.25">
      <c r="A111673"/>
      <c r="B111673"/>
      <c r="C111673"/>
      <c r="E111673"/>
      <c r="F111673"/>
    </row>
    <row r="111674" spans="1:6" x14ac:dyDescent="0.25">
      <c r="A111674"/>
      <c r="B111674"/>
      <c r="C111674"/>
      <c r="E111674"/>
      <c r="F111674"/>
    </row>
    <row r="111675" spans="1:6" x14ac:dyDescent="0.25">
      <c r="A111675"/>
      <c r="B111675"/>
      <c r="C111675"/>
      <c r="E111675"/>
      <c r="F111675"/>
    </row>
    <row r="111676" spans="1:6" x14ac:dyDescent="0.25">
      <c r="A111676"/>
      <c r="B111676"/>
      <c r="C111676"/>
      <c r="E111676"/>
      <c r="F111676"/>
    </row>
    <row r="111677" spans="1:6" x14ac:dyDescent="0.25">
      <c r="A111677"/>
      <c r="B111677"/>
      <c r="C111677"/>
      <c r="E111677"/>
      <c r="F111677"/>
    </row>
    <row r="111678" spans="1:6" x14ac:dyDescent="0.25">
      <c r="A111678"/>
      <c r="B111678"/>
      <c r="C111678"/>
      <c r="E111678"/>
      <c r="F111678"/>
    </row>
    <row r="111679" spans="1:6" x14ac:dyDescent="0.25">
      <c r="A111679"/>
      <c r="B111679"/>
      <c r="C111679"/>
      <c r="E111679"/>
      <c r="F111679"/>
    </row>
    <row r="111680" spans="1:6" x14ac:dyDescent="0.25">
      <c r="A111680"/>
      <c r="B111680"/>
      <c r="C111680"/>
      <c r="E111680"/>
      <c r="F111680"/>
    </row>
    <row r="111681" spans="1:6" x14ac:dyDescent="0.25">
      <c r="A111681"/>
      <c r="B111681"/>
      <c r="C111681"/>
      <c r="E111681"/>
      <c r="F111681"/>
    </row>
    <row r="111682" spans="1:6" x14ac:dyDescent="0.25">
      <c r="A111682"/>
      <c r="B111682"/>
      <c r="C111682"/>
      <c r="E111682"/>
      <c r="F111682"/>
    </row>
    <row r="111683" spans="1:6" x14ac:dyDescent="0.25">
      <c r="A111683"/>
      <c r="B111683"/>
      <c r="C111683"/>
      <c r="E111683"/>
      <c r="F111683"/>
    </row>
    <row r="111684" spans="1:6" x14ac:dyDescent="0.25">
      <c r="A111684"/>
      <c r="B111684"/>
      <c r="C111684"/>
      <c r="E111684"/>
      <c r="F111684"/>
    </row>
    <row r="111685" spans="1:6" x14ac:dyDescent="0.25">
      <c r="A111685"/>
      <c r="B111685"/>
      <c r="C111685"/>
      <c r="E111685"/>
      <c r="F111685"/>
    </row>
    <row r="111686" spans="1:6" x14ac:dyDescent="0.25">
      <c r="A111686"/>
      <c r="B111686"/>
      <c r="C111686"/>
      <c r="E111686"/>
      <c r="F111686"/>
    </row>
    <row r="111687" spans="1:6" x14ac:dyDescent="0.25">
      <c r="A111687"/>
      <c r="B111687"/>
      <c r="C111687"/>
      <c r="E111687"/>
      <c r="F111687"/>
    </row>
    <row r="111688" spans="1:6" x14ac:dyDescent="0.25">
      <c r="A111688"/>
      <c r="B111688"/>
      <c r="C111688"/>
      <c r="E111688"/>
      <c r="F111688"/>
    </row>
    <row r="111689" spans="1:6" x14ac:dyDescent="0.25">
      <c r="A111689"/>
      <c r="B111689"/>
      <c r="C111689"/>
      <c r="E111689"/>
      <c r="F111689"/>
    </row>
    <row r="111690" spans="1:6" x14ac:dyDescent="0.25">
      <c r="A111690"/>
      <c r="B111690"/>
      <c r="C111690"/>
      <c r="E111690"/>
      <c r="F111690"/>
    </row>
    <row r="111691" spans="1:6" x14ac:dyDescent="0.25">
      <c r="A111691"/>
      <c r="B111691"/>
      <c r="C111691"/>
      <c r="E111691"/>
      <c r="F111691"/>
    </row>
    <row r="111692" spans="1:6" x14ac:dyDescent="0.25">
      <c r="A111692"/>
      <c r="B111692"/>
      <c r="C111692"/>
      <c r="E111692"/>
      <c r="F111692"/>
    </row>
    <row r="111693" spans="1:6" x14ac:dyDescent="0.25">
      <c r="A111693"/>
      <c r="B111693"/>
      <c r="C111693"/>
      <c r="E111693"/>
      <c r="F111693"/>
    </row>
    <row r="111694" spans="1:6" x14ac:dyDescent="0.25">
      <c r="A111694"/>
      <c r="B111694"/>
      <c r="C111694"/>
      <c r="E111694"/>
      <c r="F111694"/>
    </row>
    <row r="111695" spans="1:6" x14ac:dyDescent="0.25">
      <c r="A111695"/>
      <c r="B111695"/>
      <c r="C111695"/>
      <c r="E111695"/>
      <c r="F111695"/>
    </row>
    <row r="111696" spans="1:6" x14ac:dyDescent="0.25">
      <c r="A111696"/>
      <c r="B111696"/>
      <c r="C111696"/>
      <c r="E111696"/>
      <c r="F111696"/>
    </row>
    <row r="111697" spans="1:6" x14ac:dyDescent="0.25">
      <c r="A111697"/>
      <c r="B111697"/>
      <c r="C111697"/>
      <c r="E111697"/>
      <c r="F111697"/>
    </row>
    <row r="111698" spans="1:6" x14ac:dyDescent="0.25">
      <c r="A111698"/>
      <c r="B111698"/>
      <c r="C111698"/>
      <c r="E111698"/>
      <c r="F111698"/>
    </row>
    <row r="111699" spans="1:6" x14ac:dyDescent="0.25">
      <c r="A111699"/>
      <c r="B111699"/>
      <c r="C111699"/>
      <c r="E111699"/>
      <c r="F111699"/>
    </row>
    <row r="111700" spans="1:6" x14ac:dyDescent="0.25">
      <c r="A111700"/>
      <c r="B111700"/>
      <c r="C111700"/>
      <c r="E111700"/>
      <c r="F111700"/>
    </row>
    <row r="111701" spans="1:6" x14ac:dyDescent="0.25">
      <c r="A111701"/>
      <c r="B111701"/>
      <c r="C111701"/>
      <c r="E111701"/>
      <c r="F111701"/>
    </row>
    <row r="111702" spans="1:6" x14ac:dyDescent="0.25">
      <c r="A111702"/>
      <c r="B111702"/>
      <c r="C111702"/>
      <c r="E111702"/>
      <c r="F111702"/>
    </row>
    <row r="111703" spans="1:6" x14ac:dyDescent="0.25">
      <c r="A111703"/>
      <c r="B111703"/>
      <c r="C111703"/>
      <c r="E111703"/>
      <c r="F111703"/>
    </row>
    <row r="111704" spans="1:6" x14ac:dyDescent="0.25">
      <c r="A111704"/>
      <c r="B111704"/>
      <c r="C111704"/>
      <c r="E111704"/>
      <c r="F111704"/>
    </row>
    <row r="111705" spans="1:6" x14ac:dyDescent="0.25">
      <c r="A111705"/>
      <c r="B111705"/>
      <c r="C111705"/>
      <c r="E111705"/>
      <c r="F111705"/>
    </row>
    <row r="111706" spans="1:6" x14ac:dyDescent="0.25">
      <c r="A111706"/>
      <c r="B111706"/>
      <c r="C111706"/>
      <c r="E111706"/>
      <c r="F111706"/>
    </row>
    <row r="111707" spans="1:6" x14ac:dyDescent="0.25">
      <c r="A111707"/>
      <c r="B111707"/>
      <c r="C111707"/>
      <c r="E111707"/>
      <c r="F111707"/>
    </row>
    <row r="111708" spans="1:6" x14ac:dyDescent="0.25">
      <c r="A111708"/>
      <c r="B111708"/>
      <c r="C111708"/>
      <c r="E111708"/>
      <c r="F111708"/>
    </row>
    <row r="111709" spans="1:6" x14ac:dyDescent="0.25">
      <c r="A111709"/>
      <c r="B111709"/>
      <c r="C111709"/>
      <c r="E111709"/>
      <c r="F111709"/>
    </row>
    <row r="111710" spans="1:6" x14ac:dyDescent="0.25">
      <c r="A111710"/>
      <c r="B111710"/>
      <c r="C111710"/>
      <c r="E111710"/>
      <c r="F111710"/>
    </row>
    <row r="111711" spans="1:6" x14ac:dyDescent="0.25">
      <c r="A111711"/>
      <c r="B111711"/>
      <c r="C111711"/>
      <c r="E111711"/>
      <c r="F111711"/>
    </row>
    <row r="111712" spans="1:6" x14ac:dyDescent="0.25">
      <c r="A111712"/>
      <c r="B111712"/>
      <c r="C111712"/>
      <c r="E111712"/>
      <c r="F111712"/>
    </row>
    <row r="111713" spans="1:6" x14ac:dyDescent="0.25">
      <c r="A111713"/>
      <c r="B111713"/>
      <c r="C111713"/>
      <c r="E111713"/>
      <c r="F111713"/>
    </row>
    <row r="111714" spans="1:6" x14ac:dyDescent="0.25">
      <c r="A111714"/>
      <c r="B111714"/>
      <c r="C111714"/>
      <c r="E111714"/>
      <c r="F111714"/>
    </row>
    <row r="111715" spans="1:6" x14ac:dyDescent="0.25">
      <c r="A111715"/>
      <c r="B111715"/>
      <c r="C111715"/>
      <c r="E111715"/>
      <c r="F111715"/>
    </row>
    <row r="111716" spans="1:6" x14ac:dyDescent="0.25">
      <c r="A111716"/>
      <c r="B111716"/>
      <c r="C111716"/>
      <c r="E111716"/>
      <c r="F111716"/>
    </row>
    <row r="111717" spans="1:6" x14ac:dyDescent="0.25">
      <c r="A111717"/>
      <c r="B111717"/>
      <c r="C111717"/>
      <c r="E111717"/>
      <c r="F111717"/>
    </row>
    <row r="111718" spans="1:6" x14ac:dyDescent="0.25">
      <c r="A111718"/>
      <c r="B111718"/>
      <c r="C111718"/>
      <c r="E111718"/>
      <c r="F111718"/>
    </row>
    <row r="111719" spans="1:6" x14ac:dyDescent="0.25">
      <c r="A111719"/>
      <c r="B111719"/>
      <c r="C111719"/>
      <c r="E111719"/>
      <c r="F111719"/>
    </row>
    <row r="111720" spans="1:6" x14ac:dyDescent="0.25">
      <c r="A111720"/>
      <c r="B111720"/>
      <c r="C111720"/>
      <c r="E111720"/>
      <c r="F111720"/>
    </row>
    <row r="111721" spans="1:6" x14ac:dyDescent="0.25">
      <c r="A111721"/>
      <c r="B111721"/>
      <c r="C111721"/>
      <c r="E111721"/>
      <c r="F111721"/>
    </row>
    <row r="111722" spans="1:6" x14ac:dyDescent="0.25">
      <c r="A111722"/>
      <c r="B111722"/>
      <c r="C111722"/>
      <c r="E111722"/>
      <c r="F111722"/>
    </row>
    <row r="111723" spans="1:6" x14ac:dyDescent="0.25">
      <c r="A111723"/>
      <c r="B111723"/>
      <c r="C111723"/>
      <c r="E111723"/>
      <c r="F111723"/>
    </row>
    <row r="111724" spans="1:6" x14ac:dyDescent="0.25">
      <c r="A111724"/>
      <c r="B111724"/>
      <c r="C111724"/>
      <c r="E111724"/>
      <c r="F111724"/>
    </row>
    <row r="111725" spans="1:6" x14ac:dyDescent="0.25">
      <c r="A111725"/>
      <c r="B111725"/>
      <c r="C111725"/>
      <c r="E111725"/>
      <c r="F111725"/>
    </row>
    <row r="111726" spans="1:6" x14ac:dyDescent="0.25">
      <c r="A111726"/>
      <c r="B111726"/>
      <c r="C111726"/>
      <c r="E111726"/>
      <c r="F111726"/>
    </row>
    <row r="111727" spans="1:6" x14ac:dyDescent="0.25">
      <c r="A111727"/>
      <c r="B111727"/>
      <c r="C111727"/>
      <c r="E111727"/>
      <c r="F111727"/>
    </row>
    <row r="111728" spans="1:6" x14ac:dyDescent="0.25">
      <c r="A111728"/>
      <c r="B111728"/>
      <c r="C111728"/>
      <c r="E111728"/>
      <c r="F111728"/>
    </row>
    <row r="111729" spans="1:6" x14ac:dyDescent="0.25">
      <c r="A111729"/>
      <c r="B111729"/>
      <c r="C111729"/>
      <c r="E111729"/>
      <c r="F111729"/>
    </row>
    <row r="111730" spans="1:6" x14ac:dyDescent="0.25">
      <c r="A111730"/>
      <c r="B111730"/>
      <c r="C111730"/>
      <c r="E111730"/>
      <c r="F111730"/>
    </row>
    <row r="111731" spans="1:6" x14ac:dyDescent="0.25">
      <c r="A111731"/>
      <c r="B111731"/>
      <c r="C111731"/>
      <c r="E111731"/>
      <c r="F111731"/>
    </row>
    <row r="111732" spans="1:6" x14ac:dyDescent="0.25">
      <c r="A111732"/>
      <c r="B111732"/>
      <c r="C111732"/>
      <c r="E111732"/>
      <c r="F111732"/>
    </row>
    <row r="111733" spans="1:6" x14ac:dyDescent="0.25">
      <c r="A111733"/>
      <c r="B111733"/>
      <c r="C111733"/>
      <c r="E111733"/>
      <c r="F111733"/>
    </row>
    <row r="111734" spans="1:6" x14ac:dyDescent="0.25">
      <c r="A111734"/>
      <c r="B111734"/>
      <c r="C111734"/>
      <c r="E111734"/>
      <c r="F111734"/>
    </row>
    <row r="111735" spans="1:6" x14ac:dyDescent="0.25">
      <c r="A111735"/>
      <c r="B111735"/>
      <c r="C111735"/>
      <c r="E111735"/>
      <c r="F111735"/>
    </row>
    <row r="111736" spans="1:6" x14ac:dyDescent="0.25">
      <c r="A111736"/>
      <c r="B111736"/>
      <c r="C111736"/>
      <c r="E111736"/>
      <c r="F111736"/>
    </row>
    <row r="111737" spans="1:6" x14ac:dyDescent="0.25">
      <c r="A111737"/>
      <c r="B111737"/>
      <c r="C111737"/>
      <c r="E111737"/>
      <c r="F111737"/>
    </row>
    <row r="111738" spans="1:6" x14ac:dyDescent="0.25">
      <c r="A111738"/>
      <c r="B111738"/>
      <c r="C111738"/>
      <c r="E111738"/>
      <c r="F111738"/>
    </row>
    <row r="111739" spans="1:6" x14ac:dyDescent="0.25">
      <c r="A111739"/>
      <c r="B111739"/>
      <c r="C111739"/>
      <c r="E111739"/>
      <c r="F111739"/>
    </row>
    <row r="111740" spans="1:6" x14ac:dyDescent="0.25">
      <c r="A111740"/>
      <c r="B111740"/>
      <c r="C111740"/>
      <c r="E111740"/>
      <c r="F111740"/>
    </row>
    <row r="111741" spans="1:6" x14ac:dyDescent="0.25">
      <c r="A111741"/>
      <c r="B111741"/>
      <c r="C111741"/>
      <c r="E111741"/>
      <c r="F111741"/>
    </row>
    <row r="111742" spans="1:6" x14ac:dyDescent="0.25">
      <c r="A111742"/>
      <c r="B111742"/>
      <c r="C111742"/>
      <c r="E111742"/>
      <c r="F111742"/>
    </row>
    <row r="111743" spans="1:6" x14ac:dyDescent="0.25">
      <c r="A111743"/>
      <c r="B111743"/>
      <c r="C111743"/>
      <c r="E111743"/>
      <c r="F111743"/>
    </row>
    <row r="111744" spans="1:6" x14ac:dyDescent="0.25">
      <c r="A111744"/>
      <c r="B111744"/>
      <c r="C111744"/>
      <c r="E111744"/>
      <c r="F111744"/>
    </row>
    <row r="111745" spans="1:6" x14ac:dyDescent="0.25">
      <c r="A111745"/>
      <c r="B111745"/>
      <c r="C111745"/>
      <c r="E111745"/>
      <c r="F111745"/>
    </row>
    <row r="111746" spans="1:6" x14ac:dyDescent="0.25">
      <c r="A111746"/>
      <c r="B111746"/>
      <c r="C111746"/>
      <c r="E111746"/>
      <c r="F111746"/>
    </row>
    <row r="111747" spans="1:6" x14ac:dyDescent="0.25">
      <c r="A111747"/>
      <c r="B111747"/>
      <c r="C111747"/>
      <c r="E111747"/>
      <c r="F111747"/>
    </row>
    <row r="111748" spans="1:6" x14ac:dyDescent="0.25">
      <c r="A111748"/>
      <c r="B111748"/>
      <c r="C111748"/>
      <c r="E111748"/>
      <c r="F111748"/>
    </row>
    <row r="111749" spans="1:6" x14ac:dyDescent="0.25">
      <c r="A111749"/>
      <c r="B111749"/>
      <c r="C111749"/>
      <c r="E111749"/>
      <c r="F111749"/>
    </row>
    <row r="111750" spans="1:6" x14ac:dyDescent="0.25">
      <c r="A111750"/>
      <c r="B111750"/>
      <c r="C111750"/>
      <c r="E111750"/>
      <c r="F111750"/>
    </row>
    <row r="111751" spans="1:6" x14ac:dyDescent="0.25">
      <c r="A111751"/>
      <c r="B111751"/>
      <c r="C111751"/>
      <c r="E111751"/>
      <c r="F111751"/>
    </row>
    <row r="111752" spans="1:6" x14ac:dyDescent="0.25">
      <c r="A111752"/>
      <c r="B111752"/>
      <c r="C111752"/>
      <c r="E111752"/>
      <c r="F111752"/>
    </row>
    <row r="111753" spans="1:6" x14ac:dyDescent="0.25">
      <c r="A111753"/>
      <c r="B111753"/>
      <c r="C111753"/>
      <c r="E111753"/>
      <c r="F111753"/>
    </row>
    <row r="111754" spans="1:6" x14ac:dyDescent="0.25">
      <c r="A111754"/>
      <c r="B111754"/>
      <c r="C111754"/>
      <c r="E111754"/>
      <c r="F111754"/>
    </row>
    <row r="111755" spans="1:6" x14ac:dyDescent="0.25">
      <c r="A111755"/>
      <c r="B111755"/>
      <c r="C111755"/>
      <c r="E111755"/>
      <c r="F111755"/>
    </row>
    <row r="111756" spans="1:6" x14ac:dyDescent="0.25">
      <c r="A111756"/>
      <c r="B111756"/>
      <c r="C111756"/>
      <c r="E111756"/>
      <c r="F111756"/>
    </row>
    <row r="111757" spans="1:6" x14ac:dyDescent="0.25">
      <c r="A111757"/>
      <c r="B111757"/>
      <c r="C111757"/>
      <c r="E111757"/>
      <c r="F111757"/>
    </row>
    <row r="111758" spans="1:6" x14ac:dyDescent="0.25">
      <c r="A111758"/>
      <c r="B111758"/>
      <c r="C111758"/>
      <c r="E111758"/>
      <c r="F111758"/>
    </row>
    <row r="111759" spans="1:6" x14ac:dyDescent="0.25">
      <c r="A111759"/>
      <c r="B111759"/>
      <c r="C111759"/>
      <c r="E111759"/>
      <c r="F111759"/>
    </row>
    <row r="111760" spans="1:6" x14ac:dyDescent="0.25">
      <c r="A111760"/>
      <c r="B111760"/>
      <c r="C111760"/>
      <c r="E111760"/>
      <c r="F111760"/>
    </row>
    <row r="111761" spans="1:6" x14ac:dyDescent="0.25">
      <c r="A111761"/>
      <c r="B111761"/>
      <c r="C111761"/>
      <c r="E111761"/>
      <c r="F111761"/>
    </row>
    <row r="111762" spans="1:6" x14ac:dyDescent="0.25">
      <c r="A111762"/>
      <c r="B111762"/>
      <c r="C111762"/>
      <c r="E111762"/>
      <c r="F111762"/>
    </row>
    <row r="111763" spans="1:6" x14ac:dyDescent="0.25">
      <c r="A111763"/>
      <c r="B111763"/>
      <c r="C111763"/>
      <c r="E111763"/>
      <c r="F111763"/>
    </row>
    <row r="111764" spans="1:6" x14ac:dyDescent="0.25">
      <c r="A111764"/>
      <c r="B111764"/>
      <c r="C111764"/>
      <c r="E111764"/>
      <c r="F111764"/>
    </row>
    <row r="111765" spans="1:6" x14ac:dyDescent="0.25">
      <c r="A111765"/>
      <c r="B111765"/>
      <c r="C111765"/>
      <c r="E111765"/>
      <c r="F111765"/>
    </row>
    <row r="111766" spans="1:6" x14ac:dyDescent="0.25">
      <c r="A111766"/>
      <c r="B111766"/>
      <c r="C111766"/>
      <c r="E111766"/>
      <c r="F111766"/>
    </row>
    <row r="111767" spans="1:6" x14ac:dyDescent="0.25">
      <c r="A111767"/>
      <c r="B111767"/>
      <c r="C111767"/>
      <c r="E111767"/>
      <c r="F111767"/>
    </row>
    <row r="111768" spans="1:6" x14ac:dyDescent="0.25">
      <c r="A111768"/>
      <c r="B111768"/>
      <c r="C111768"/>
      <c r="E111768"/>
      <c r="F111768"/>
    </row>
    <row r="111769" spans="1:6" x14ac:dyDescent="0.25">
      <c r="A111769"/>
      <c r="B111769"/>
      <c r="C111769"/>
      <c r="E111769"/>
      <c r="F111769"/>
    </row>
    <row r="111770" spans="1:6" x14ac:dyDescent="0.25">
      <c r="A111770"/>
      <c r="B111770"/>
      <c r="C111770"/>
      <c r="E111770"/>
      <c r="F111770"/>
    </row>
    <row r="111771" spans="1:6" x14ac:dyDescent="0.25">
      <c r="A111771"/>
      <c r="B111771"/>
      <c r="C111771"/>
      <c r="E111771"/>
      <c r="F111771"/>
    </row>
    <row r="111772" spans="1:6" x14ac:dyDescent="0.25">
      <c r="A111772"/>
      <c r="B111772"/>
      <c r="C111772"/>
      <c r="E111772"/>
      <c r="F111772"/>
    </row>
    <row r="111773" spans="1:6" x14ac:dyDescent="0.25">
      <c r="A111773"/>
      <c r="B111773"/>
      <c r="C111773"/>
      <c r="E111773"/>
      <c r="F111773"/>
    </row>
    <row r="111774" spans="1:6" x14ac:dyDescent="0.25">
      <c r="A111774"/>
      <c r="B111774"/>
      <c r="C111774"/>
      <c r="E111774"/>
      <c r="F111774"/>
    </row>
    <row r="111775" spans="1:6" x14ac:dyDescent="0.25">
      <c r="A111775"/>
      <c r="B111775"/>
      <c r="C111775"/>
      <c r="E111775"/>
      <c r="F111775"/>
    </row>
    <row r="111776" spans="1:6" x14ac:dyDescent="0.25">
      <c r="A111776"/>
      <c r="B111776"/>
      <c r="C111776"/>
      <c r="E111776"/>
      <c r="F111776"/>
    </row>
    <row r="111777" spans="1:6" x14ac:dyDescent="0.25">
      <c r="A111777"/>
      <c r="B111777"/>
      <c r="C111777"/>
      <c r="E111777"/>
      <c r="F111777"/>
    </row>
    <row r="111778" spans="1:6" x14ac:dyDescent="0.25">
      <c r="A111778"/>
      <c r="B111778"/>
      <c r="C111778"/>
      <c r="E111778"/>
      <c r="F111778"/>
    </row>
    <row r="111779" spans="1:6" x14ac:dyDescent="0.25">
      <c r="A111779"/>
      <c r="B111779"/>
      <c r="C111779"/>
      <c r="E111779"/>
      <c r="F111779"/>
    </row>
    <row r="111780" spans="1:6" x14ac:dyDescent="0.25">
      <c r="A111780"/>
      <c r="B111780"/>
      <c r="C111780"/>
      <c r="E111780"/>
      <c r="F111780"/>
    </row>
    <row r="111781" spans="1:6" x14ac:dyDescent="0.25">
      <c r="A111781"/>
      <c r="B111781"/>
      <c r="C111781"/>
      <c r="E111781"/>
      <c r="F111781"/>
    </row>
    <row r="111782" spans="1:6" x14ac:dyDescent="0.25">
      <c r="A111782"/>
      <c r="B111782"/>
      <c r="C111782"/>
      <c r="E111782"/>
      <c r="F111782"/>
    </row>
    <row r="111783" spans="1:6" x14ac:dyDescent="0.25">
      <c r="A111783"/>
      <c r="B111783"/>
      <c r="C111783"/>
      <c r="E111783"/>
      <c r="F111783"/>
    </row>
    <row r="111784" spans="1:6" x14ac:dyDescent="0.25">
      <c r="A111784"/>
      <c r="B111784"/>
      <c r="C111784"/>
      <c r="E111784"/>
      <c r="F111784"/>
    </row>
    <row r="111785" spans="1:6" x14ac:dyDescent="0.25">
      <c r="A111785"/>
      <c r="B111785"/>
      <c r="C111785"/>
      <c r="E111785"/>
      <c r="F111785"/>
    </row>
    <row r="111786" spans="1:6" x14ac:dyDescent="0.25">
      <c r="A111786"/>
      <c r="B111786"/>
      <c r="C111786"/>
      <c r="E111786"/>
      <c r="F111786"/>
    </row>
    <row r="111787" spans="1:6" x14ac:dyDescent="0.25">
      <c r="A111787"/>
      <c r="B111787"/>
      <c r="C111787"/>
      <c r="E111787"/>
      <c r="F111787"/>
    </row>
    <row r="111788" spans="1:6" x14ac:dyDescent="0.25">
      <c r="A111788"/>
      <c r="B111788"/>
      <c r="C111788"/>
      <c r="E111788"/>
      <c r="F111788"/>
    </row>
    <row r="111789" spans="1:6" x14ac:dyDescent="0.25">
      <c r="A111789"/>
      <c r="B111789"/>
      <c r="C111789"/>
      <c r="E111789"/>
      <c r="F111789"/>
    </row>
    <row r="111790" spans="1:6" x14ac:dyDescent="0.25">
      <c r="A111790"/>
      <c r="B111790"/>
      <c r="C111790"/>
      <c r="E111790"/>
      <c r="F111790"/>
    </row>
    <row r="111791" spans="1:6" x14ac:dyDescent="0.25">
      <c r="A111791"/>
      <c r="B111791"/>
      <c r="C111791"/>
      <c r="E111791"/>
      <c r="F111791"/>
    </row>
    <row r="111792" spans="1:6" x14ac:dyDescent="0.25">
      <c r="A111792"/>
      <c r="B111792"/>
      <c r="C111792"/>
      <c r="E111792"/>
      <c r="F111792"/>
    </row>
    <row r="111793" spans="1:6" x14ac:dyDescent="0.25">
      <c r="A111793"/>
      <c r="B111793"/>
      <c r="C111793"/>
      <c r="E111793"/>
      <c r="F111793"/>
    </row>
    <row r="111794" spans="1:6" x14ac:dyDescent="0.25">
      <c r="A111794"/>
      <c r="B111794"/>
      <c r="C111794"/>
      <c r="E111794"/>
      <c r="F111794"/>
    </row>
    <row r="111795" spans="1:6" x14ac:dyDescent="0.25">
      <c r="A111795"/>
      <c r="B111795"/>
      <c r="C111795"/>
      <c r="E111795"/>
      <c r="F111795"/>
    </row>
    <row r="111796" spans="1:6" x14ac:dyDescent="0.25">
      <c r="A111796"/>
      <c r="B111796"/>
      <c r="C111796"/>
      <c r="E111796"/>
      <c r="F111796"/>
    </row>
    <row r="111797" spans="1:6" x14ac:dyDescent="0.25">
      <c r="A111797"/>
      <c r="B111797"/>
      <c r="C111797"/>
      <c r="E111797"/>
      <c r="F111797"/>
    </row>
    <row r="111798" spans="1:6" x14ac:dyDescent="0.25">
      <c r="A111798"/>
      <c r="B111798"/>
      <c r="C111798"/>
      <c r="E111798"/>
      <c r="F111798"/>
    </row>
    <row r="111799" spans="1:6" x14ac:dyDescent="0.25">
      <c r="A111799"/>
      <c r="B111799"/>
      <c r="C111799"/>
      <c r="E111799"/>
      <c r="F111799"/>
    </row>
    <row r="111800" spans="1:6" x14ac:dyDescent="0.25">
      <c r="A111800"/>
      <c r="B111800"/>
      <c r="C111800"/>
      <c r="E111800"/>
      <c r="F111800"/>
    </row>
    <row r="111801" spans="1:6" x14ac:dyDescent="0.25">
      <c r="A111801"/>
      <c r="B111801"/>
      <c r="C111801"/>
      <c r="E111801"/>
      <c r="F111801"/>
    </row>
    <row r="111802" spans="1:6" x14ac:dyDescent="0.25">
      <c r="A111802"/>
      <c r="B111802"/>
      <c r="C111802"/>
      <c r="E111802"/>
      <c r="F111802"/>
    </row>
    <row r="111803" spans="1:6" x14ac:dyDescent="0.25">
      <c r="A111803"/>
      <c r="B111803"/>
      <c r="C111803"/>
      <c r="E111803"/>
      <c r="F111803"/>
    </row>
    <row r="111804" spans="1:6" x14ac:dyDescent="0.25">
      <c r="A111804"/>
      <c r="B111804"/>
      <c r="C111804"/>
      <c r="E111804"/>
      <c r="F111804"/>
    </row>
    <row r="111805" spans="1:6" x14ac:dyDescent="0.25">
      <c r="A111805"/>
      <c r="B111805"/>
      <c r="C111805"/>
      <c r="E111805"/>
      <c r="F111805"/>
    </row>
    <row r="111806" spans="1:6" x14ac:dyDescent="0.25">
      <c r="A111806"/>
      <c r="B111806"/>
      <c r="C111806"/>
      <c r="E111806"/>
      <c r="F111806"/>
    </row>
    <row r="111807" spans="1:6" x14ac:dyDescent="0.25">
      <c r="A111807"/>
      <c r="B111807"/>
      <c r="C111807"/>
      <c r="E111807"/>
      <c r="F111807"/>
    </row>
    <row r="111808" spans="1:6" x14ac:dyDescent="0.25">
      <c r="A111808"/>
      <c r="B111808"/>
      <c r="C111808"/>
      <c r="E111808"/>
      <c r="F111808"/>
    </row>
    <row r="111809" spans="1:6" x14ac:dyDescent="0.25">
      <c r="A111809"/>
      <c r="B111809"/>
      <c r="C111809"/>
      <c r="E111809"/>
      <c r="F111809"/>
    </row>
    <row r="111810" spans="1:6" x14ac:dyDescent="0.25">
      <c r="A111810"/>
      <c r="B111810"/>
      <c r="C111810"/>
      <c r="E111810"/>
      <c r="F111810"/>
    </row>
    <row r="111811" spans="1:6" x14ac:dyDescent="0.25">
      <c r="A111811"/>
      <c r="B111811"/>
      <c r="C111811"/>
      <c r="E111811"/>
      <c r="F111811"/>
    </row>
    <row r="111812" spans="1:6" x14ac:dyDescent="0.25">
      <c r="A111812"/>
      <c r="B111812"/>
      <c r="C111812"/>
      <c r="E111812"/>
      <c r="F111812"/>
    </row>
    <row r="111813" spans="1:6" x14ac:dyDescent="0.25">
      <c r="A111813"/>
      <c r="B111813"/>
      <c r="C111813"/>
      <c r="E111813"/>
      <c r="F111813"/>
    </row>
    <row r="111814" spans="1:6" x14ac:dyDescent="0.25">
      <c r="A111814"/>
      <c r="B111814"/>
      <c r="C111814"/>
      <c r="E111814"/>
      <c r="F111814"/>
    </row>
    <row r="111815" spans="1:6" x14ac:dyDescent="0.25">
      <c r="A111815"/>
      <c r="B111815"/>
      <c r="C111815"/>
      <c r="E111815"/>
      <c r="F111815"/>
    </row>
    <row r="111816" spans="1:6" x14ac:dyDescent="0.25">
      <c r="A111816"/>
      <c r="B111816"/>
      <c r="C111816"/>
      <c r="E111816"/>
      <c r="F111816"/>
    </row>
    <row r="111817" spans="1:6" x14ac:dyDescent="0.25">
      <c r="A111817"/>
      <c r="B111817"/>
      <c r="C111817"/>
      <c r="E111817"/>
      <c r="F111817"/>
    </row>
    <row r="111818" spans="1:6" x14ac:dyDescent="0.25">
      <c r="A111818"/>
      <c r="B111818"/>
      <c r="C111818"/>
      <c r="E111818"/>
      <c r="F111818"/>
    </row>
    <row r="111819" spans="1:6" x14ac:dyDescent="0.25">
      <c r="A111819"/>
      <c r="B111819"/>
      <c r="C111819"/>
      <c r="E111819"/>
      <c r="F111819"/>
    </row>
    <row r="111820" spans="1:6" x14ac:dyDescent="0.25">
      <c r="A111820"/>
      <c r="B111820"/>
      <c r="C111820"/>
      <c r="E111820"/>
      <c r="F111820"/>
    </row>
    <row r="111821" spans="1:6" x14ac:dyDescent="0.25">
      <c r="A111821"/>
      <c r="B111821"/>
      <c r="C111821"/>
      <c r="E111821"/>
      <c r="F111821"/>
    </row>
    <row r="111822" spans="1:6" x14ac:dyDescent="0.25">
      <c r="A111822"/>
      <c r="B111822"/>
      <c r="C111822"/>
      <c r="E111822"/>
      <c r="F111822"/>
    </row>
    <row r="111823" spans="1:6" x14ac:dyDescent="0.25">
      <c r="A111823"/>
      <c r="B111823"/>
      <c r="C111823"/>
      <c r="E111823"/>
      <c r="F111823"/>
    </row>
    <row r="111824" spans="1:6" x14ac:dyDescent="0.25">
      <c r="A111824"/>
      <c r="B111824"/>
      <c r="C111824"/>
      <c r="E111824"/>
      <c r="F111824"/>
    </row>
    <row r="111825" spans="1:6" x14ac:dyDescent="0.25">
      <c r="A111825"/>
      <c r="B111825"/>
      <c r="C111825"/>
      <c r="E111825"/>
      <c r="F111825"/>
    </row>
    <row r="111826" spans="1:6" x14ac:dyDescent="0.25">
      <c r="A111826"/>
      <c r="B111826"/>
      <c r="C111826"/>
      <c r="E111826"/>
      <c r="F111826"/>
    </row>
    <row r="111827" spans="1:6" x14ac:dyDescent="0.25">
      <c r="A111827"/>
      <c r="B111827"/>
      <c r="C111827"/>
      <c r="E111827"/>
      <c r="F111827"/>
    </row>
    <row r="111828" spans="1:6" x14ac:dyDescent="0.25">
      <c r="A111828"/>
      <c r="B111828"/>
      <c r="C111828"/>
      <c r="E111828"/>
      <c r="F111828"/>
    </row>
    <row r="111829" spans="1:6" x14ac:dyDescent="0.25">
      <c r="A111829"/>
      <c r="B111829"/>
      <c r="C111829"/>
      <c r="E111829"/>
      <c r="F111829"/>
    </row>
    <row r="111830" spans="1:6" x14ac:dyDescent="0.25">
      <c r="A111830"/>
      <c r="B111830"/>
      <c r="C111830"/>
      <c r="E111830"/>
      <c r="F111830"/>
    </row>
    <row r="111831" spans="1:6" x14ac:dyDescent="0.25">
      <c r="A111831"/>
      <c r="B111831"/>
      <c r="C111831"/>
      <c r="E111831"/>
      <c r="F111831"/>
    </row>
    <row r="111832" spans="1:6" x14ac:dyDescent="0.25">
      <c r="A111832"/>
      <c r="B111832"/>
      <c r="C111832"/>
      <c r="E111832"/>
      <c r="F111832"/>
    </row>
    <row r="111833" spans="1:6" x14ac:dyDescent="0.25">
      <c r="A111833"/>
      <c r="B111833"/>
      <c r="C111833"/>
      <c r="E111833"/>
      <c r="F111833"/>
    </row>
    <row r="111834" spans="1:6" x14ac:dyDescent="0.25">
      <c r="A111834"/>
      <c r="B111834"/>
      <c r="C111834"/>
      <c r="E111834"/>
      <c r="F111834"/>
    </row>
    <row r="111835" spans="1:6" x14ac:dyDescent="0.25">
      <c r="A111835"/>
      <c r="B111835"/>
      <c r="C111835"/>
      <c r="E111835"/>
      <c r="F111835"/>
    </row>
    <row r="111836" spans="1:6" x14ac:dyDescent="0.25">
      <c r="A111836"/>
      <c r="B111836"/>
      <c r="C111836"/>
      <c r="E111836"/>
      <c r="F111836"/>
    </row>
    <row r="111837" spans="1:6" x14ac:dyDescent="0.25">
      <c r="A111837"/>
      <c r="B111837"/>
      <c r="C111837"/>
      <c r="E111837"/>
      <c r="F111837"/>
    </row>
    <row r="111838" spans="1:6" x14ac:dyDescent="0.25">
      <c r="A111838"/>
      <c r="B111838"/>
      <c r="C111838"/>
      <c r="E111838"/>
      <c r="F111838"/>
    </row>
    <row r="111839" spans="1:6" x14ac:dyDescent="0.25">
      <c r="A111839"/>
      <c r="B111839"/>
      <c r="C111839"/>
      <c r="E111839"/>
      <c r="F111839"/>
    </row>
    <row r="111840" spans="1:6" x14ac:dyDescent="0.25">
      <c r="A111840"/>
      <c r="B111840"/>
      <c r="C111840"/>
      <c r="E111840"/>
      <c r="F111840"/>
    </row>
    <row r="111841" spans="1:6" x14ac:dyDescent="0.25">
      <c r="A111841"/>
      <c r="B111841"/>
      <c r="C111841"/>
      <c r="E111841"/>
      <c r="F111841"/>
    </row>
    <row r="111842" spans="1:6" x14ac:dyDescent="0.25">
      <c r="A111842"/>
      <c r="B111842"/>
      <c r="C111842"/>
      <c r="E111842"/>
      <c r="F111842"/>
    </row>
    <row r="111843" spans="1:6" x14ac:dyDescent="0.25">
      <c r="A111843"/>
      <c r="B111843"/>
      <c r="C111843"/>
      <c r="E111843"/>
      <c r="F111843"/>
    </row>
    <row r="111844" spans="1:6" x14ac:dyDescent="0.25">
      <c r="A111844"/>
      <c r="B111844"/>
      <c r="C111844"/>
      <c r="E111844"/>
      <c r="F111844"/>
    </row>
    <row r="111845" spans="1:6" x14ac:dyDescent="0.25">
      <c r="A111845"/>
      <c r="B111845"/>
      <c r="C111845"/>
      <c r="E111845"/>
      <c r="F111845"/>
    </row>
    <row r="111846" spans="1:6" x14ac:dyDescent="0.25">
      <c r="A111846"/>
      <c r="B111846"/>
      <c r="C111846"/>
      <c r="E111846"/>
      <c r="F111846"/>
    </row>
    <row r="111847" spans="1:6" x14ac:dyDescent="0.25">
      <c r="A111847"/>
      <c r="B111847"/>
      <c r="C111847"/>
      <c r="E111847"/>
      <c r="F111847"/>
    </row>
    <row r="111848" spans="1:6" x14ac:dyDescent="0.25">
      <c r="A111848"/>
      <c r="B111848"/>
      <c r="C111848"/>
      <c r="E111848"/>
      <c r="F111848"/>
    </row>
    <row r="111849" spans="1:6" x14ac:dyDescent="0.25">
      <c r="A111849"/>
      <c r="B111849"/>
      <c r="C111849"/>
      <c r="E111849"/>
      <c r="F111849"/>
    </row>
    <row r="111850" spans="1:6" x14ac:dyDescent="0.25">
      <c r="A111850"/>
      <c r="B111850"/>
      <c r="C111850"/>
      <c r="E111850"/>
      <c r="F111850"/>
    </row>
    <row r="111851" spans="1:6" x14ac:dyDescent="0.25">
      <c r="A111851"/>
      <c r="B111851"/>
      <c r="C111851"/>
      <c r="E111851"/>
      <c r="F111851"/>
    </row>
    <row r="111852" spans="1:6" x14ac:dyDescent="0.25">
      <c r="A111852"/>
      <c r="B111852"/>
      <c r="C111852"/>
      <c r="E111852"/>
      <c r="F111852"/>
    </row>
    <row r="111853" spans="1:6" x14ac:dyDescent="0.25">
      <c r="A111853"/>
      <c r="B111853"/>
      <c r="C111853"/>
      <c r="E111853"/>
      <c r="F111853"/>
    </row>
    <row r="111854" spans="1:6" x14ac:dyDescent="0.25">
      <c r="A111854"/>
      <c r="B111854"/>
      <c r="C111854"/>
      <c r="E111854"/>
      <c r="F111854"/>
    </row>
    <row r="111855" spans="1:6" x14ac:dyDescent="0.25">
      <c r="A111855"/>
      <c r="B111855"/>
      <c r="C111855"/>
      <c r="E111855"/>
      <c r="F111855"/>
    </row>
    <row r="111856" spans="1:6" x14ac:dyDescent="0.25">
      <c r="A111856"/>
      <c r="B111856"/>
      <c r="C111856"/>
      <c r="E111856"/>
      <c r="F111856"/>
    </row>
    <row r="111857" spans="1:6" x14ac:dyDescent="0.25">
      <c r="A111857"/>
      <c r="B111857"/>
      <c r="C111857"/>
      <c r="E111857"/>
      <c r="F111857"/>
    </row>
    <row r="111858" spans="1:6" x14ac:dyDescent="0.25">
      <c r="A111858"/>
      <c r="B111858"/>
      <c r="C111858"/>
      <c r="E111858"/>
      <c r="F111858"/>
    </row>
    <row r="111859" spans="1:6" x14ac:dyDescent="0.25">
      <c r="A111859"/>
      <c r="B111859"/>
      <c r="C111859"/>
      <c r="E111859"/>
      <c r="F111859"/>
    </row>
    <row r="111860" spans="1:6" x14ac:dyDescent="0.25">
      <c r="A111860"/>
      <c r="B111860"/>
      <c r="C111860"/>
      <c r="E111860"/>
      <c r="F111860"/>
    </row>
    <row r="111861" spans="1:6" x14ac:dyDescent="0.25">
      <c r="A111861"/>
      <c r="B111861"/>
      <c r="C111861"/>
      <c r="E111861"/>
      <c r="F111861"/>
    </row>
    <row r="111862" spans="1:6" x14ac:dyDescent="0.25">
      <c r="A111862"/>
      <c r="B111862"/>
      <c r="C111862"/>
      <c r="E111862"/>
      <c r="F111862"/>
    </row>
    <row r="111863" spans="1:6" x14ac:dyDescent="0.25">
      <c r="A111863"/>
      <c r="B111863"/>
      <c r="C111863"/>
      <c r="E111863"/>
      <c r="F111863"/>
    </row>
    <row r="111864" spans="1:6" x14ac:dyDescent="0.25">
      <c r="A111864"/>
      <c r="B111864"/>
      <c r="C111864"/>
      <c r="E111864"/>
      <c r="F111864"/>
    </row>
    <row r="111865" spans="1:6" x14ac:dyDescent="0.25">
      <c r="A111865"/>
      <c r="B111865"/>
      <c r="C111865"/>
      <c r="E111865"/>
      <c r="F111865"/>
    </row>
    <row r="111866" spans="1:6" x14ac:dyDescent="0.25">
      <c r="A111866"/>
      <c r="B111866"/>
      <c r="C111866"/>
      <c r="E111866"/>
      <c r="F111866"/>
    </row>
    <row r="111867" spans="1:6" x14ac:dyDescent="0.25">
      <c r="A111867"/>
      <c r="B111867"/>
      <c r="C111867"/>
      <c r="E111867"/>
      <c r="F111867"/>
    </row>
    <row r="111868" spans="1:6" x14ac:dyDescent="0.25">
      <c r="A111868"/>
      <c r="B111868"/>
      <c r="C111868"/>
      <c r="E111868"/>
      <c r="F111868"/>
    </row>
    <row r="111869" spans="1:6" x14ac:dyDescent="0.25">
      <c r="A111869"/>
      <c r="B111869"/>
      <c r="C111869"/>
      <c r="E111869"/>
      <c r="F111869"/>
    </row>
    <row r="111870" spans="1:6" x14ac:dyDescent="0.25">
      <c r="A111870"/>
      <c r="B111870"/>
      <c r="C111870"/>
      <c r="E111870"/>
      <c r="F111870"/>
    </row>
    <row r="111871" spans="1:6" x14ac:dyDescent="0.25">
      <c r="A111871"/>
      <c r="B111871"/>
      <c r="C111871"/>
      <c r="E111871"/>
      <c r="F111871"/>
    </row>
    <row r="111872" spans="1:6" x14ac:dyDescent="0.25">
      <c r="A111872"/>
      <c r="B111872"/>
      <c r="C111872"/>
      <c r="E111872"/>
      <c r="F111872"/>
    </row>
    <row r="111873" spans="1:6" x14ac:dyDescent="0.25">
      <c r="A111873"/>
      <c r="B111873"/>
      <c r="C111873"/>
      <c r="E111873"/>
      <c r="F111873"/>
    </row>
    <row r="111874" spans="1:6" x14ac:dyDescent="0.25">
      <c r="A111874"/>
      <c r="B111874"/>
      <c r="C111874"/>
      <c r="E111874"/>
      <c r="F111874"/>
    </row>
    <row r="111875" spans="1:6" x14ac:dyDescent="0.25">
      <c r="A111875"/>
      <c r="B111875"/>
      <c r="C111875"/>
      <c r="E111875"/>
      <c r="F111875"/>
    </row>
    <row r="111876" spans="1:6" x14ac:dyDescent="0.25">
      <c r="A111876"/>
      <c r="B111876"/>
      <c r="C111876"/>
      <c r="E111876"/>
      <c r="F111876"/>
    </row>
    <row r="111877" spans="1:6" x14ac:dyDescent="0.25">
      <c r="A111877"/>
      <c r="B111877"/>
      <c r="C111877"/>
      <c r="E111877"/>
      <c r="F111877"/>
    </row>
    <row r="111878" spans="1:6" x14ac:dyDescent="0.25">
      <c r="A111878"/>
      <c r="B111878"/>
      <c r="C111878"/>
      <c r="E111878"/>
      <c r="F111878"/>
    </row>
    <row r="111879" spans="1:6" x14ac:dyDescent="0.25">
      <c r="A111879"/>
      <c r="B111879"/>
      <c r="C111879"/>
      <c r="E111879"/>
      <c r="F111879"/>
    </row>
    <row r="111880" spans="1:6" x14ac:dyDescent="0.25">
      <c r="A111880"/>
      <c r="B111880"/>
      <c r="C111880"/>
      <c r="E111880"/>
      <c r="F111880"/>
    </row>
    <row r="111881" spans="1:6" x14ac:dyDescent="0.25">
      <c r="A111881"/>
      <c r="B111881"/>
      <c r="C111881"/>
      <c r="E111881"/>
      <c r="F111881"/>
    </row>
    <row r="111882" spans="1:6" x14ac:dyDescent="0.25">
      <c r="A111882"/>
      <c r="B111882"/>
      <c r="C111882"/>
      <c r="E111882"/>
      <c r="F111882"/>
    </row>
    <row r="111883" spans="1:6" x14ac:dyDescent="0.25">
      <c r="A111883"/>
      <c r="B111883"/>
      <c r="C111883"/>
      <c r="E111883"/>
      <c r="F111883"/>
    </row>
    <row r="111884" spans="1:6" x14ac:dyDescent="0.25">
      <c r="A111884"/>
      <c r="B111884"/>
      <c r="C111884"/>
      <c r="E111884"/>
      <c r="F111884"/>
    </row>
    <row r="111885" spans="1:6" x14ac:dyDescent="0.25">
      <c r="A111885"/>
      <c r="B111885"/>
      <c r="C111885"/>
      <c r="E111885"/>
      <c r="F111885"/>
    </row>
    <row r="111886" spans="1:6" x14ac:dyDescent="0.25">
      <c r="A111886"/>
      <c r="B111886"/>
      <c r="C111886"/>
      <c r="E111886"/>
      <c r="F111886"/>
    </row>
    <row r="111887" spans="1:6" x14ac:dyDescent="0.25">
      <c r="A111887"/>
      <c r="B111887"/>
      <c r="C111887"/>
      <c r="E111887"/>
      <c r="F111887"/>
    </row>
    <row r="111888" spans="1:6" x14ac:dyDescent="0.25">
      <c r="A111888"/>
      <c r="B111888"/>
      <c r="C111888"/>
      <c r="E111888"/>
      <c r="F111888"/>
    </row>
    <row r="111889" spans="1:6" x14ac:dyDescent="0.25">
      <c r="A111889"/>
      <c r="B111889"/>
      <c r="C111889"/>
      <c r="E111889"/>
      <c r="F111889"/>
    </row>
    <row r="111890" spans="1:6" x14ac:dyDescent="0.25">
      <c r="A111890"/>
      <c r="B111890"/>
      <c r="C111890"/>
      <c r="E111890"/>
      <c r="F111890"/>
    </row>
    <row r="111891" spans="1:6" x14ac:dyDescent="0.25">
      <c r="A111891"/>
      <c r="B111891"/>
      <c r="C111891"/>
      <c r="E111891"/>
      <c r="F111891"/>
    </row>
    <row r="111892" spans="1:6" x14ac:dyDescent="0.25">
      <c r="A111892"/>
      <c r="B111892"/>
      <c r="C111892"/>
      <c r="E111892"/>
      <c r="F111892"/>
    </row>
    <row r="111893" spans="1:6" x14ac:dyDescent="0.25">
      <c r="A111893"/>
      <c r="B111893"/>
      <c r="C111893"/>
      <c r="E111893"/>
      <c r="F111893"/>
    </row>
    <row r="111894" spans="1:6" x14ac:dyDescent="0.25">
      <c r="A111894"/>
      <c r="B111894"/>
      <c r="C111894"/>
      <c r="E111894"/>
      <c r="F111894"/>
    </row>
    <row r="111895" spans="1:6" x14ac:dyDescent="0.25">
      <c r="A111895"/>
      <c r="B111895"/>
      <c r="C111895"/>
      <c r="E111895"/>
      <c r="F111895"/>
    </row>
    <row r="111896" spans="1:6" x14ac:dyDescent="0.25">
      <c r="A111896"/>
      <c r="B111896"/>
      <c r="C111896"/>
      <c r="E111896"/>
      <c r="F111896"/>
    </row>
    <row r="111897" spans="1:6" x14ac:dyDescent="0.25">
      <c r="A111897"/>
      <c r="B111897"/>
      <c r="C111897"/>
      <c r="E111897"/>
      <c r="F111897"/>
    </row>
    <row r="111898" spans="1:6" x14ac:dyDescent="0.25">
      <c r="A111898"/>
      <c r="B111898"/>
      <c r="C111898"/>
      <c r="E111898"/>
      <c r="F111898"/>
    </row>
    <row r="111899" spans="1:6" x14ac:dyDescent="0.25">
      <c r="A111899"/>
      <c r="B111899"/>
      <c r="C111899"/>
      <c r="E111899"/>
      <c r="F111899"/>
    </row>
    <row r="111900" spans="1:6" x14ac:dyDescent="0.25">
      <c r="A111900"/>
      <c r="B111900"/>
      <c r="C111900"/>
      <c r="E111900"/>
      <c r="F111900"/>
    </row>
    <row r="111901" spans="1:6" x14ac:dyDescent="0.25">
      <c r="A111901"/>
      <c r="B111901"/>
      <c r="C111901"/>
      <c r="E111901"/>
      <c r="F111901"/>
    </row>
    <row r="111902" spans="1:6" x14ac:dyDescent="0.25">
      <c r="A111902"/>
      <c r="B111902"/>
      <c r="C111902"/>
      <c r="E111902"/>
      <c r="F111902"/>
    </row>
    <row r="111903" spans="1:6" x14ac:dyDescent="0.25">
      <c r="A111903"/>
      <c r="B111903"/>
      <c r="C111903"/>
      <c r="E111903"/>
      <c r="F111903"/>
    </row>
    <row r="111904" spans="1:6" x14ac:dyDescent="0.25">
      <c r="A111904"/>
      <c r="B111904"/>
      <c r="C111904"/>
      <c r="E111904"/>
      <c r="F111904"/>
    </row>
    <row r="111905" spans="1:6" x14ac:dyDescent="0.25">
      <c r="A111905"/>
      <c r="B111905"/>
      <c r="C111905"/>
      <c r="E111905"/>
      <c r="F111905"/>
    </row>
    <row r="111906" spans="1:6" x14ac:dyDescent="0.25">
      <c r="A111906"/>
      <c r="B111906"/>
      <c r="C111906"/>
      <c r="E111906"/>
      <c r="F111906"/>
    </row>
    <row r="111907" spans="1:6" x14ac:dyDescent="0.25">
      <c r="A111907"/>
      <c r="B111907"/>
      <c r="C111907"/>
      <c r="E111907"/>
      <c r="F111907"/>
    </row>
    <row r="111908" spans="1:6" x14ac:dyDescent="0.25">
      <c r="A111908"/>
      <c r="B111908"/>
      <c r="C111908"/>
      <c r="E111908"/>
      <c r="F111908"/>
    </row>
    <row r="111909" spans="1:6" x14ac:dyDescent="0.25">
      <c r="A111909"/>
      <c r="B111909"/>
      <c r="C111909"/>
      <c r="E111909"/>
      <c r="F111909"/>
    </row>
    <row r="111910" spans="1:6" x14ac:dyDescent="0.25">
      <c r="A111910"/>
      <c r="B111910"/>
      <c r="C111910"/>
      <c r="E111910"/>
      <c r="F111910"/>
    </row>
    <row r="111911" spans="1:6" x14ac:dyDescent="0.25">
      <c r="A111911"/>
      <c r="B111911"/>
      <c r="C111911"/>
      <c r="E111911"/>
      <c r="F111911"/>
    </row>
    <row r="111912" spans="1:6" x14ac:dyDescent="0.25">
      <c r="A111912"/>
      <c r="B111912"/>
      <c r="C111912"/>
      <c r="E111912"/>
      <c r="F111912"/>
    </row>
    <row r="111913" spans="1:6" x14ac:dyDescent="0.25">
      <c r="A111913"/>
      <c r="B111913"/>
      <c r="C111913"/>
      <c r="E111913"/>
      <c r="F111913"/>
    </row>
    <row r="111914" spans="1:6" x14ac:dyDescent="0.25">
      <c r="A111914"/>
      <c r="B111914"/>
      <c r="C111914"/>
      <c r="E111914"/>
      <c r="F111914"/>
    </row>
    <row r="111915" spans="1:6" x14ac:dyDescent="0.25">
      <c r="A111915"/>
      <c r="B111915"/>
      <c r="C111915"/>
      <c r="E111915"/>
      <c r="F111915"/>
    </row>
    <row r="111916" spans="1:6" x14ac:dyDescent="0.25">
      <c r="A111916"/>
      <c r="B111916"/>
      <c r="C111916"/>
      <c r="E111916"/>
      <c r="F111916"/>
    </row>
    <row r="111917" spans="1:6" x14ac:dyDescent="0.25">
      <c r="A111917"/>
      <c r="B111917"/>
      <c r="C111917"/>
      <c r="E111917"/>
      <c r="F111917"/>
    </row>
    <row r="111918" spans="1:6" x14ac:dyDescent="0.25">
      <c r="A111918"/>
      <c r="B111918"/>
      <c r="C111918"/>
      <c r="E111918"/>
      <c r="F111918"/>
    </row>
    <row r="111919" spans="1:6" x14ac:dyDescent="0.25">
      <c r="A111919"/>
      <c r="B111919"/>
      <c r="C111919"/>
      <c r="E111919"/>
      <c r="F111919"/>
    </row>
    <row r="111920" spans="1:6" x14ac:dyDescent="0.25">
      <c r="A111920"/>
      <c r="B111920"/>
      <c r="C111920"/>
      <c r="E111920"/>
      <c r="F111920"/>
    </row>
    <row r="111921" spans="1:6" x14ac:dyDescent="0.25">
      <c r="A111921"/>
      <c r="B111921"/>
      <c r="C111921"/>
      <c r="E111921"/>
      <c r="F111921"/>
    </row>
    <row r="111922" spans="1:6" x14ac:dyDescent="0.25">
      <c r="A111922"/>
      <c r="B111922"/>
      <c r="C111922"/>
      <c r="E111922"/>
      <c r="F111922"/>
    </row>
    <row r="111923" spans="1:6" x14ac:dyDescent="0.25">
      <c r="A111923"/>
      <c r="B111923"/>
      <c r="C111923"/>
      <c r="E111923"/>
      <c r="F111923"/>
    </row>
    <row r="111924" spans="1:6" x14ac:dyDescent="0.25">
      <c r="A111924"/>
      <c r="B111924"/>
      <c r="C111924"/>
      <c r="E111924"/>
      <c r="F111924"/>
    </row>
    <row r="111925" spans="1:6" x14ac:dyDescent="0.25">
      <c r="A111925"/>
      <c r="B111925"/>
      <c r="C111925"/>
      <c r="E111925"/>
      <c r="F111925"/>
    </row>
    <row r="111926" spans="1:6" x14ac:dyDescent="0.25">
      <c r="A111926"/>
      <c r="B111926"/>
      <c r="C111926"/>
      <c r="E111926"/>
      <c r="F111926"/>
    </row>
    <row r="111927" spans="1:6" x14ac:dyDescent="0.25">
      <c r="A111927"/>
      <c r="B111927"/>
      <c r="C111927"/>
      <c r="E111927"/>
      <c r="F111927"/>
    </row>
    <row r="111928" spans="1:6" x14ac:dyDescent="0.25">
      <c r="A111928"/>
      <c r="B111928"/>
      <c r="C111928"/>
      <c r="E111928"/>
      <c r="F111928"/>
    </row>
    <row r="111929" spans="1:6" x14ac:dyDescent="0.25">
      <c r="A111929"/>
      <c r="B111929"/>
      <c r="C111929"/>
      <c r="E111929"/>
      <c r="F111929"/>
    </row>
    <row r="111930" spans="1:6" x14ac:dyDescent="0.25">
      <c r="A111930"/>
      <c r="B111930"/>
      <c r="C111930"/>
      <c r="E111930"/>
      <c r="F111930"/>
    </row>
    <row r="111931" spans="1:6" x14ac:dyDescent="0.25">
      <c r="A111931"/>
      <c r="B111931"/>
      <c r="C111931"/>
      <c r="E111931"/>
      <c r="F111931"/>
    </row>
    <row r="111932" spans="1:6" x14ac:dyDescent="0.25">
      <c r="A111932"/>
      <c r="B111932"/>
      <c r="C111932"/>
      <c r="E111932"/>
      <c r="F111932"/>
    </row>
    <row r="111933" spans="1:6" x14ac:dyDescent="0.25">
      <c r="A111933"/>
      <c r="B111933"/>
      <c r="C111933"/>
      <c r="E111933"/>
      <c r="F111933"/>
    </row>
    <row r="111934" spans="1:6" x14ac:dyDescent="0.25">
      <c r="A111934"/>
      <c r="B111934"/>
      <c r="C111934"/>
      <c r="E111934"/>
      <c r="F111934"/>
    </row>
    <row r="111935" spans="1:6" x14ac:dyDescent="0.25">
      <c r="A111935"/>
      <c r="B111935"/>
      <c r="C111935"/>
      <c r="E111935"/>
      <c r="F111935"/>
    </row>
    <row r="111936" spans="1:6" x14ac:dyDescent="0.25">
      <c r="A111936"/>
      <c r="B111936"/>
      <c r="C111936"/>
      <c r="E111936"/>
      <c r="F111936"/>
    </row>
    <row r="111937" spans="1:6" x14ac:dyDescent="0.25">
      <c r="A111937"/>
      <c r="B111937"/>
      <c r="C111937"/>
      <c r="E111937"/>
      <c r="F111937"/>
    </row>
    <row r="111938" spans="1:6" x14ac:dyDescent="0.25">
      <c r="A111938"/>
      <c r="B111938"/>
      <c r="C111938"/>
      <c r="E111938"/>
      <c r="F111938"/>
    </row>
    <row r="111939" spans="1:6" x14ac:dyDescent="0.25">
      <c r="A111939"/>
      <c r="B111939"/>
      <c r="C111939"/>
      <c r="E111939"/>
      <c r="F111939"/>
    </row>
    <row r="111940" spans="1:6" x14ac:dyDescent="0.25">
      <c r="A111940"/>
      <c r="B111940"/>
      <c r="C111940"/>
      <c r="E111940"/>
      <c r="F111940"/>
    </row>
    <row r="111941" spans="1:6" x14ac:dyDescent="0.25">
      <c r="A111941"/>
      <c r="B111941"/>
      <c r="C111941"/>
      <c r="E111941"/>
      <c r="F111941"/>
    </row>
    <row r="111942" spans="1:6" x14ac:dyDescent="0.25">
      <c r="A111942"/>
      <c r="B111942"/>
      <c r="C111942"/>
      <c r="E111942"/>
      <c r="F111942"/>
    </row>
    <row r="111943" spans="1:6" x14ac:dyDescent="0.25">
      <c r="A111943"/>
      <c r="B111943"/>
      <c r="C111943"/>
      <c r="E111943"/>
      <c r="F111943"/>
    </row>
    <row r="111944" spans="1:6" x14ac:dyDescent="0.25">
      <c r="A111944"/>
      <c r="B111944"/>
      <c r="C111944"/>
      <c r="E111944"/>
      <c r="F111944"/>
    </row>
    <row r="111945" spans="1:6" x14ac:dyDescent="0.25">
      <c r="A111945"/>
      <c r="B111945"/>
      <c r="C111945"/>
      <c r="E111945"/>
      <c r="F111945"/>
    </row>
    <row r="111946" spans="1:6" x14ac:dyDescent="0.25">
      <c r="A111946"/>
      <c r="B111946"/>
      <c r="C111946"/>
      <c r="E111946"/>
      <c r="F111946"/>
    </row>
    <row r="111947" spans="1:6" x14ac:dyDescent="0.25">
      <c r="A111947"/>
      <c r="B111947"/>
      <c r="C111947"/>
      <c r="E111947"/>
      <c r="F111947"/>
    </row>
    <row r="111948" spans="1:6" x14ac:dyDescent="0.25">
      <c r="A111948"/>
      <c r="B111948"/>
      <c r="C111948"/>
      <c r="E111948"/>
      <c r="F111948"/>
    </row>
    <row r="111949" spans="1:6" x14ac:dyDescent="0.25">
      <c r="A111949"/>
      <c r="B111949"/>
      <c r="C111949"/>
      <c r="E111949"/>
      <c r="F111949"/>
    </row>
    <row r="111950" spans="1:6" x14ac:dyDescent="0.25">
      <c r="A111950"/>
      <c r="B111950"/>
      <c r="C111950"/>
      <c r="E111950"/>
      <c r="F111950"/>
    </row>
    <row r="111951" spans="1:6" x14ac:dyDescent="0.25">
      <c r="A111951"/>
      <c r="B111951"/>
      <c r="C111951"/>
      <c r="E111951"/>
      <c r="F111951"/>
    </row>
    <row r="111952" spans="1:6" x14ac:dyDescent="0.25">
      <c r="A111952"/>
      <c r="B111952"/>
      <c r="C111952"/>
      <c r="E111952"/>
      <c r="F111952"/>
    </row>
    <row r="111953" spans="1:6" x14ac:dyDescent="0.25">
      <c r="A111953"/>
      <c r="B111953"/>
      <c r="C111953"/>
      <c r="E111953"/>
      <c r="F111953"/>
    </row>
    <row r="111954" spans="1:6" x14ac:dyDescent="0.25">
      <c r="A111954"/>
      <c r="B111954"/>
      <c r="C111954"/>
      <c r="E111954"/>
      <c r="F111954"/>
    </row>
    <row r="111955" spans="1:6" x14ac:dyDescent="0.25">
      <c r="A111955"/>
      <c r="B111955"/>
      <c r="C111955"/>
      <c r="E111955"/>
      <c r="F111955"/>
    </row>
    <row r="111956" spans="1:6" x14ac:dyDescent="0.25">
      <c r="A111956"/>
      <c r="B111956"/>
      <c r="C111956"/>
      <c r="E111956"/>
      <c r="F111956"/>
    </row>
    <row r="111957" spans="1:6" x14ac:dyDescent="0.25">
      <c r="A111957"/>
      <c r="B111957"/>
      <c r="C111957"/>
      <c r="E111957"/>
      <c r="F111957"/>
    </row>
    <row r="111958" spans="1:6" x14ac:dyDescent="0.25">
      <c r="A111958"/>
      <c r="B111958"/>
      <c r="C111958"/>
      <c r="E111958"/>
      <c r="F111958"/>
    </row>
    <row r="111959" spans="1:6" x14ac:dyDescent="0.25">
      <c r="A111959"/>
      <c r="B111959"/>
      <c r="C111959"/>
      <c r="E111959"/>
      <c r="F111959"/>
    </row>
    <row r="111960" spans="1:6" x14ac:dyDescent="0.25">
      <c r="A111960"/>
      <c r="B111960"/>
      <c r="C111960"/>
      <c r="E111960"/>
      <c r="F111960"/>
    </row>
    <row r="111961" spans="1:6" x14ac:dyDescent="0.25">
      <c r="A111961"/>
      <c r="B111961"/>
      <c r="C111961"/>
      <c r="E111961"/>
      <c r="F111961"/>
    </row>
    <row r="111962" spans="1:6" x14ac:dyDescent="0.25">
      <c r="A111962"/>
      <c r="B111962"/>
      <c r="C111962"/>
      <c r="E111962"/>
      <c r="F111962"/>
    </row>
    <row r="111963" spans="1:6" x14ac:dyDescent="0.25">
      <c r="A111963"/>
      <c r="B111963"/>
      <c r="C111963"/>
      <c r="E111963"/>
      <c r="F111963"/>
    </row>
    <row r="111964" spans="1:6" x14ac:dyDescent="0.25">
      <c r="A111964"/>
      <c r="B111964"/>
      <c r="C111964"/>
      <c r="E111964"/>
      <c r="F111964"/>
    </row>
    <row r="111965" spans="1:6" x14ac:dyDescent="0.25">
      <c r="A111965"/>
      <c r="B111965"/>
      <c r="C111965"/>
      <c r="E111965"/>
      <c r="F111965"/>
    </row>
    <row r="111966" spans="1:6" x14ac:dyDescent="0.25">
      <c r="A111966"/>
      <c r="B111966"/>
      <c r="C111966"/>
      <c r="E111966"/>
      <c r="F111966"/>
    </row>
    <row r="111967" spans="1:6" x14ac:dyDescent="0.25">
      <c r="A111967"/>
      <c r="B111967"/>
      <c r="C111967"/>
      <c r="E111967"/>
      <c r="F111967"/>
    </row>
    <row r="111968" spans="1:6" x14ac:dyDescent="0.25">
      <c r="A111968"/>
      <c r="B111968"/>
      <c r="C111968"/>
      <c r="E111968"/>
      <c r="F111968"/>
    </row>
    <row r="111969" spans="1:6" x14ac:dyDescent="0.25">
      <c r="A111969"/>
      <c r="B111969"/>
      <c r="C111969"/>
      <c r="E111969"/>
      <c r="F111969"/>
    </row>
    <row r="111970" spans="1:6" x14ac:dyDescent="0.25">
      <c r="A111970"/>
      <c r="B111970"/>
      <c r="C111970"/>
      <c r="E111970"/>
      <c r="F111970"/>
    </row>
    <row r="111971" spans="1:6" x14ac:dyDescent="0.25">
      <c r="A111971"/>
      <c r="B111971"/>
      <c r="C111971"/>
      <c r="E111971"/>
      <c r="F111971"/>
    </row>
    <row r="111972" spans="1:6" x14ac:dyDescent="0.25">
      <c r="A111972"/>
      <c r="B111972"/>
      <c r="C111972"/>
      <c r="E111972"/>
      <c r="F111972"/>
    </row>
    <row r="111973" spans="1:6" x14ac:dyDescent="0.25">
      <c r="A111973"/>
      <c r="B111973"/>
      <c r="C111973"/>
      <c r="E111973"/>
      <c r="F111973"/>
    </row>
    <row r="111974" spans="1:6" x14ac:dyDescent="0.25">
      <c r="A111974"/>
      <c r="B111974"/>
      <c r="C111974"/>
      <c r="E111974"/>
      <c r="F111974"/>
    </row>
    <row r="111975" spans="1:6" x14ac:dyDescent="0.25">
      <c r="A111975"/>
      <c r="B111975"/>
      <c r="C111975"/>
      <c r="E111975"/>
      <c r="F111975"/>
    </row>
    <row r="111976" spans="1:6" x14ac:dyDescent="0.25">
      <c r="A111976"/>
      <c r="B111976"/>
      <c r="C111976"/>
      <c r="E111976"/>
      <c r="F111976"/>
    </row>
    <row r="111977" spans="1:6" x14ac:dyDescent="0.25">
      <c r="A111977"/>
      <c r="B111977"/>
      <c r="C111977"/>
      <c r="E111977"/>
      <c r="F111977"/>
    </row>
    <row r="111978" spans="1:6" x14ac:dyDescent="0.25">
      <c r="A111978"/>
      <c r="B111978"/>
      <c r="C111978"/>
      <c r="E111978"/>
      <c r="F111978"/>
    </row>
    <row r="111979" spans="1:6" x14ac:dyDescent="0.25">
      <c r="A111979"/>
      <c r="B111979"/>
      <c r="C111979"/>
      <c r="E111979"/>
      <c r="F111979"/>
    </row>
    <row r="111980" spans="1:6" x14ac:dyDescent="0.25">
      <c r="A111980"/>
      <c r="B111980"/>
      <c r="C111980"/>
      <c r="E111980"/>
      <c r="F111980"/>
    </row>
    <row r="111981" spans="1:6" x14ac:dyDescent="0.25">
      <c r="A111981"/>
      <c r="B111981"/>
      <c r="C111981"/>
      <c r="E111981"/>
      <c r="F111981"/>
    </row>
    <row r="111982" spans="1:6" x14ac:dyDescent="0.25">
      <c r="A111982"/>
      <c r="B111982"/>
      <c r="C111982"/>
      <c r="E111982"/>
      <c r="F111982"/>
    </row>
    <row r="111983" spans="1:6" x14ac:dyDescent="0.25">
      <c r="A111983"/>
      <c r="B111983"/>
      <c r="C111983"/>
      <c r="E111983"/>
      <c r="F111983"/>
    </row>
    <row r="111984" spans="1:6" x14ac:dyDescent="0.25">
      <c r="A111984"/>
      <c r="B111984"/>
      <c r="C111984"/>
      <c r="E111984"/>
      <c r="F111984"/>
    </row>
    <row r="111985" spans="1:6" x14ac:dyDescent="0.25">
      <c r="A111985"/>
      <c r="B111985"/>
      <c r="C111985"/>
      <c r="E111985"/>
      <c r="F111985"/>
    </row>
    <row r="111986" spans="1:6" x14ac:dyDescent="0.25">
      <c r="A111986"/>
      <c r="B111986"/>
      <c r="C111986"/>
      <c r="E111986"/>
      <c r="F111986"/>
    </row>
    <row r="111987" spans="1:6" x14ac:dyDescent="0.25">
      <c r="A111987"/>
      <c r="B111987"/>
      <c r="C111987"/>
      <c r="E111987"/>
      <c r="F111987"/>
    </row>
    <row r="111988" spans="1:6" x14ac:dyDescent="0.25">
      <c r="A111988"/>
      <c r="B111988"/>
      <c r="C111988"/>
      <c r="E111988"/>
      <c r="F111988"/>
    </row>
    <row r="111989" spans="1:6" x14ac:dyDescent="0.25">
      <c r="A111989"/>
      <c r="B111989"/>
      <c r="C111989"/>
      <c r="E111989"/>
      <c r="F111989"/>
    </row>
    <row r="111990" spans="1:6" x14ac:dyDescent="0.25">
      <c r="A111990"/>
      <c r="B111990"/>
      <c r="C111990"/>
      <c r="E111990"/>
      <c r="F111990"/>
    </row>
    <row r="111991" spans="1:6" x14ac:dyDescent="0.25">
      <c r="A111991"/>
      <c r="B111991"/>
      <c r="C111991"/>
      <c r="E111991"/>
      <c r="F111991"/>
    </row>
    <row r="111992" spans="1:6" x14ac:dyDescent="0.25">
      <c r="A111992"/>
      <c r="B111992"/>
      <c r="C111992"/>
      <c r="E111992"/>
      <c r="F111992"/>
    </row>
    <row r="111993" spans="1:6" x14ac:dyDescent="0.25">
      <c r="A111993"/>
      <c r="B111993"/>
      <c r="C111993"/>
      <c r="E111993"/>
      <c r="F111993"/>
    </row>
    <row r="111994" spans="1:6" x14ac:dyDescent="0.25">
      <c r="A111994"/>
      <c r="B111994"/>
      <c r="C111994"/>
      <c r="E111994"/>
      <c r="F111994"/>
    </row>
    <row r="111995" spans="1:6" x14ac:dyDescent="0.25">
      <c r="A111995"/>
      <c r="B111995"/>
      <c r="C111995"/>
      <c r="E111995"/>
      <c r="F111995"/>
    </row>
    <row r="111996" spans="1:6" x14ac:dyDescent="0.25">
      <c r="A111996"/>
      <c r="B111996"/>
      <c r="C111996"/>
      <c r="E111996"/>
      <c r="F111996"/>
    </row>
    <row r="111997" spans="1:6" x14ac:dyDescent="0.25">
      <c r="A111997"/>
      <c r="B111997"/>
      <c r="C111997"/>
      <c r="E111997"/>
      <c r="F111997"/>
    </row>
    <row r="111998" spans="1:6" x14ac:dyDescent="0.25">
      <c r="A111998"/>
      <c r="B111998"/>
      <c r="C111998"/>
      <c r="E111998"/>
      <c r="F111998"/>
    </row>
    <row r="111999" spans="1:6" x14ac:dyDescent="0.25">
      <c r="A111999"/>
      <c r="B111999"/>
      <c r="C111999"/>
      <c r="E111999"/>
      <c r="F111999"/>
    </row>
    <row r="112000" spans="1:6" x14ac:dyDescent="0.25">
      <c r="A112000"/>
      <c r="B112000"/>
      <c r="C112000"/>
      <c r="E112000"/>
      <c r="F112000"/>
    </row>
    <row r="112001" spans="1:6" x14ac:dyDescent="0.25">
      <c r="A112001"/>
      <c r="B112001"/>
      <c r="C112001"/>
      <c r="E112001"/>
      <c r="F112001"/>
    </row>
    <row r="112002" spans="1:6" x14ac:dyDescent="0.25">
      <c r="A112002"/>
      <c r="B112002"/>
      <c r="C112002"/>
      <c r="E112002"/>
      <c r="F112002"/>
    </row>
    <row r="112003" spans="1:6" x14ac:dyDescent="0.25">
      <c r="A112003"/>
      <c r="B112003"/>
      <c r="C112003"/>
      <c r="E112003"/>
      <c r="F112003"/>
    </row>
    <row r="112004" spans="1:6" x14ac:dyDescent="0.25">
      <c r="A112004"/>
      <c r="B112004"/>
      <c r="C112004"/>
      <c r="E112004"/>
      <c r="F112004"/>
    </row>
    <row r="112005" spans="1:6" x14ac:dyDescent="0.25">
      <c r="A112005"/>
      <c r="B112005"/>
      <c r="C112005"/>
      <c r="E112005"/>
      <c r="F112005"/>
    </row>
    <row r="112006" spans="1:6" x14ac:dyDescent="0.25">
      <c r="A112006"/>
      <c r="B112006"/>
      <c r="C112006"/>
      <c r="E112006"/>
      <c r="F112006"/>
    </row>
    <row r="112007" spans="1:6" x14ac:dyDescent="0.25">
      <c r="A112007"/>
      <c r="B112007"/>
      <c r="C112007"/>
      <c r="E112007"/>
      <c r="F112007"/>
    </row>
    <row r="112008" spans="1:6" x14ac:dyDescent="0.25">
      <c r="A112008"/>
      <c r="B112008"/>
      <c r="C112008"/>
      <c r="E112008"/>
      <c r="F112008"/>
    </row>
    <row r="112009" spans="1:6" x14ac:dyDescent="0.25">
      <c r="A112009"/>
      <c r="B112009"/>
      <c r="C112009"/>
      <c r="E112009"/>
      <c r="F112009"/>
    </row>
    <row r="112010" spans="1:6" x14ac:dyDescent="0.25">
      <c r="A112010"/>
      <c r="B112010"/>
      <c r="C112010"/>
      <c r="E112010"/>
      <c r="F112010"/>
    </row>
    <row r="112011" spans="1:6" x14ac:dyDescent="0.25">
      <c r="A112011"/>
      <c r="B112011"/>
      <c r="C112011"/>
      <c r="E112011"/>
      <c r="F112011"/>
    </row>
    <row r="112012" spans="1:6" x14ac:dyDescent="0.25">
      <c r="A112012"/>
      <c r="B112012"/>
      <c r="C112012"/>
      <c r="E112012"/>
      <c r="F112012"/>
    </row>
    <row r="112013" spans="1:6" x14ac:dyDescent="0.25">
      <c r="A112013"/>
      <c r="B112013"/>
      <c r="C112013"/>
      <c r="E112013"/>
      <c r="F112013"/>
    </row>
    <row r="112014" spans="1:6" x14ac:dyDescent="0.25">
      <c r="A112014"/>
      <c r="B112014"/>
      <c r="C112014"/>
      <c r="E112014"/>
      <c r="F112014"/>
    </row>
    <row r="112015" spans="1:6" x14ac:dyDescent="0.25">
      <c r="A112015"/>
      <c r="B112015"/>
      <c r="C112015"/>
      <c r="E112015"/>
      <c r="F112015"/>
    </row>
    <row r="112016" spans="1:6" x14ac:dyDescent="0.25">
      <c r="A112016"/>
      <c r="B112016"/>
      <c r="C112016"/>
      <c r="E112016"/>
      <c r="F112016"/>
    </row>
    <row r="112017" spans="1:6" x14ac:dyDescent="0.25">
      <c r="A112017"/>
      <c r="B112017"/>
      <c r="C112017"/>
      <c r="E112017"/>
      <c r="F112017"/>
    </row>
    <row r="112018" spans="1:6" x14ac:dyDescent="0.25">
      <c r="A112018"/>
      <c r="B112018"/>
      <c r="C112018"/>
      <c r="E112018"/>
      <c r="F112018"/>
    </row>
    <row r="112019" spans="1:6" x14ac:dyDescent="0.25">
      <c r="A112019"/>
      <c r="B112019"/>
      <c r="C112019"/>
      <c r="E112019"/>
      <c r="F112019"/>
    </row>
    <row r="112020" spans="1:6" x14ac:dyDescent="0.25">
      <c r="A112020"/>
      <c r="B112020"/>
      <c r="C112020"/>
      <c r="E112020"/>
      <c r="F112020"/>
    </row>
    <row r="112021" spans="1:6" x14ac:dyDescent="0.25">
      <c r="A112021"/>
      <c r="B112021"/>
      <c r="C112021"/>
      <c r="E112021"/>
      <c r="F112021"/>
    </row>
    <row r="112022" spans="1:6" x14ac:dyDescent="0.25">
      <c r="A112022"/>
      <c r="B112022"/>
      <c r="C112022"/>
      <c r="E112022"/>
      <c r="F112022"/>
    </row>
    <row r="112023" spans="1:6" x14ac:dyDescent="0.25">
      <c r="A112023"/>
      <c r="B112023"/>
      <c r="C112023"/>
      <c r="E112023"/>
      <c r="F112023"/>
    </row>
    <row r="112024" spans="1:6" x14ac:dyDescent="0.25">
      <c r="A112024"/>
      <c r="B112024"/>
      <c r="C112024"/>
      <c r="E112024"/>
      <c r="F112024"/>
    </row>
    <row r="112025" spans="1:6" x14ac:dyDescent="0.25">
      <c r="A112025"/>
      <c r="B112025"/>
      <c r="C112025"/>
      <c r="E112025"/>
      <c r="F112025"/>
    </row>
    <row r="112026" spans="1:6" x14ac:dyDescent="0.25">
      <c r="A112026"/>
      <c r="B112026"/>
      <c r="C112026"/>
      <c r="E112026"/>
      <c r="F112026"/>
    </row>
    <row r="112027" spans="1:6" x14ac:dyDescent="0.25">
      <c r="A112027"/>
      <c r="B112027"/>
      <c r="C112027"/>
      <c r="E112027"/>
      <c r="F112027"/>
    </row>
    <row r="112028" spans="1:6" x14ac:dyDescent="0.25">
      <c r="A112028"/>
      <c r="B112028"/>
      <c r="C112028"/>
      <c r="E112028"/>
      <c r="F112028"/>
    </row>
    <row r="112029" spans="1:6" x14ac:dyDescent="0.25">
      <c r="A112029"/>
      <c r="B112029"/>
      <c r="C112029"/>
      <c r="E112029"/>
      <c r="F112029"/>
    </row>
    <row r="112030" spans="1:6" x14ac:dyDescent="0.25">
      <c r="A112030"/>
      <c r="B112030"/>
      <c r="C112030"/>
      <c r="E112030"/>
      <c r="F112030"/>
    </row>
    <row r="112031" spans="1:6" x14ac:dyDescent="0.25">
      <c r="A112031"/>
      <c r="B112031"/>
      <c r="C112031"/>
      <c r="E112031"/>
      <c r="F112031"/>
    </row>
    <row r="112032" spans="1:6" x14ac:dyDescent="0.25">
      <c r="A112032"/>
      <c r="B112032"/>
      <c r="C112032"/>
      <c r="E112032"/>
      <c r="F112032"/>
    </row>
    <row r="112033" spans="1:6" x14ac:dyDescent="0.25">
      <c r="A112033"/>
      <c r="B112033"/>
      <c r="C112033"/>
      <c r="E112033"/>
      <c r="F112033"/>
    </row>
    <row r="112034" spans="1:6" x14ac:dyDescent="0.25">
      <c r="A112034"/>
      <c r="B112034"/>
      <c r="C112034"/>
      <c r="E112034"/>
      <c r="F112034"/>
    </row>
    <row r="112035" spans="1:6" x14ac:dyDescent="0.25">
      <c r="A112035"/>
      <c r="B112035"/>
      <c r="C112035"/>
      <c r="E112035"/>
      <c r="F112035"/>
    </row>
    <row r="112036" spans="1:6" x14ac:dyDescent="0.25">
      <c r="A112036"/>
      <c r="B112036"/>
      <c r="C112036"/>
      <c r="E112036"/>
      <c r="F112036"/>
    </row>
    <row r="112037" spans="1:6" x14ac:dyDescent="0.25">
      <c r="A112037"/>
      <c r="B112037"/>
      <c r="C112037"/>
      <c r="E112037"/>
      <c r="F112037"/>
    </row>
    <row r="112038" spans="1:6" x14ac:dyDescent="0.25">
      <c r="A112038"/>
      <c r="B112038"/>
      <c r="C112038"/>
      <c r="E112038"/>
      <c r="F112038"/>
    </row>
    <row r="112039" spans="1:6" x14ac:dyDescent="0.25">
      <c r="A112039"/>
      <c r="B112039"/>
      <c r="C112039"/>
      <c r="E112039"/>
      <c r="F112039"/>
    </row>
    <row r="112040" spans="1:6" x14ac:dyDescent="0.25">
      <c r="A112040"/>
      <c r="B112040"/>
      <c r="C112040"/>
      <c r="E112040"/>
      <c r="F112040"/>
    </row>
    <row r="112041" spans="1:6" x14ac:dyDescent="0.25">
      <c r="A112041"/>
      <c r="B112041"/>
      <c r="C112041"/>
      <c r="E112041"/>
      <c r="F112041"/>
    </row>
    <row r="112042" spans="1:6" x14ac:dyDescent="0.25">
      <c r="A112042"/>
      <c r="B112042"/>
      <c r="C112042"/>
      <c r="E112042"/>
      <c r="F112042"/>
    </row>
    <row r="112043" spans="1:6" x14ac:dyDescent="0.25">
      <c r="A112043"/>
      <c r="B112043"/>
      <c r="C112043"/>
      <c r="E112043"/>
      <c r="F112043"/>
    </row>
    <row r="112044" spans="1:6" x14ac:dyDescent="0.25">
      <c r="A112044"/>
      <c r="B112044"/>
      <c r="C112044"/>
      <c r="E112044"/>
      <c r="F112044"/>
    </row>
    <row r="112045" spans="1:6" x14ac:dyDescent="0.25">
      <c r="A112045"/>
      <c r="B112045"/>
      <c r="C112045"/>
      <c r="E112045"/>
      <c r="F112045"/>
    </row>
    <row r="112046" spans="1:6" x14ac:dyDescent="0.25">
      <c r="A112046"/>
      <c r="B112046"/>
      <c r="C112046"/>
      <c r="E112046"/>
      <c r="F112046"/>
    </row>
    <row r="112047" spans="1:6" x14ac:dyDescent="0.25">
      <c r="A112047"/>
      <c r="B112047"/>
      <c r="C112047"/>
      <c r="E112047"/>
      <c r="F112047"/>
    </row>
    <row r="112048" spans="1:6" x14ac:dyDescent="0.25">
      <c r="A112048"/>
      <c r="B112048"/>
      <c r="C112048"/>
      <c r="E112048"/>
      <c r="F112048"/>
    </row>
    <row r="112049" spans="1:6" x14ac:dyDescent="0.25">
      <c r="A112049"/>
      <c r="B112049"/>
      <c r="C112049"/>
      <c r="E112049"/>
      <c r="F112049"/>
    </row>
    <row r="112050" spans="1:6" x14ac:dyDescent="0.25">
      <c r="A112050"/>
      <c r="B112050"/>
      <c r="C112050"/>
      <c r="E112050"/>
      <c r="F112050"/>
    </row>
    <row r="112051" spans="1:6" x14ac:dyDescent="0.25">
      <c r="A112051"/>
      <c r="B112051"/>
      <c r="C112051"/>
      <c r="E112051"/>
      <c r="F112051"/>
    </row>
    <row r="112052" spans="1:6" x14ac:dyDescent="0.25">
      <c r="A112052"/>
      <c r="B112052"/>
      <c r="C112052"/>
      <c r="E112052"/>
      <c r="F112052"/>
    </row>
    <row r="112053" spans="1:6" x14ac:dyDescent="0.25">
      <c r="A112053"/>
      <c r="B112053"/>
      <c r="C112053"/>
      <c r="E112053"/>
      <c r="F112053"/>
    </row>
    <row r="112054" spans="1:6" x14ac:dyDescent="0.25">
      <c r="A112054"/>
      <c r="B112054"/>
      <c r="C112054"/>
      <c r="E112054"/>
      <c r="F112054"/>
    </row>
    <row r="112055" spans="1:6" x14ac:dyDescent="0.25">
      <c r="A112055"/>
      <c r="B112055"/>
      <c r="C112055"/>
      <c r="E112055"/>
      <c r="F112055"/>
    </row>
    <row r="112056" spans="1:6" x14ac:dyDescent="0.25">
      <c r="A112056"/>
      <c r="B112056"/>
      <c r="C112056"/>
      <c r="E112056"/>
      <c r="F112056"/>
    </row>
    <row r="112057" spans="1:6" x14ac:dyDescent="0.25">
      <c r="A112057"/>
      <c r="B112057"/>
      <c r="C112057"/>
      <c r="E112057"/>
      <c r="F112057"/>
    </row>
    <row r="112058" spans="1:6" x14ac:dyDescent="0.25">
      <c r="A112058"/>
      <c r="B112058"/>
      <c r="C112058"/>
      <c r="E112058"/>
      <c r="F112058"/>
    </row>
    <row r="112059" spans="1:6" x14ac:dyDescent="0.25">
      <c r="A112059"/>
      <c r="B112059"/>
      <c r="C112059"/>
      <c r="E112059"/>
      <c r="F112059"/>
    </row>
    <row r="112060" spans="1:6" x14ac:dyDescent="0.25">
      <c r="A112060"/>
      <c r="B112060"/>
      <c r="C112060"/>
      <c r="E112060"/>
      <c r="F112060"/>
    </row>
    <row r="112061" spans="1:6" x14ac:dyDescent="0.25">
      <c r="A112061"/>
      <c r="B112061"/>
      <c r="C112061"/>
      <c r="E112061"/>
      <c r="F112061"/>
    </row>
    <row r="112062" spans="1:6" x14ac:dyDescent="0.25">
      <c r="A112062"/>
      <c r="B112062"/>
      <c r="C112062"/>
      <c r="E112062"/>
      <c r="F112062"/>
    </row>
    <row r="112063" spans="1:6" x14ac:dyDescent="0.25">
      <c r="A112063"/>
      <c r="B112063"/>
      <c r="C112063"/>
      <c r="E112063"/>
      <c r="F112063"/>
    </row>
    <row r="112064" spans="1:6" x14ac:dyDescent="0.25">
      <c r="A112064"/>
      <c r="B112064"/>
      <c r="C112064"/>
      <c r="E112064"/>
      <c r="F112064"/>
    </row>
    <row r="112065" spans="1:6" x14ac:dyDescent="0.25">
      <c r="A112065"/>
      <c r="B112065"/>
      <c r="C112065"/>
      <c r="E112065"/>
      <c r="F112065"/>
    </row>
    <row r="112066" spans="1:6" x14ac:dyDescent="0.25">
      <c r="A112066"/>
      <c r="B112066"/>
      <c r="C112066"/>
      <c r="E112066"/>
      <c r="F112066"/>
    </row>
    <row r="112067" spans="1:6" x14ac:dyDescent="0.25">
      <c r="A112067"/>
      <c r="B112067"/>
      <c r="C112067"/>
      <c r="E112067"/>
      <c r="F112067"/>
    </row>
    <row r="112068" spans="1:6" x14ac:dyDescent="0.25">
      <c r="A112068"/>
      <c r="B112068"/>
      <c r="C112068"/>
      <c r="E112068"/>
      <c r="F112068"/>
    </row>
    <row r="112069" spans="1:6" x14ac:dyDescent="0.25">
      <c r="A112069"/>
      <c r="B112069"/>
      <c r="C112069"/>
      <c r="E112069"/>
      <c r="F112069"/>
    </row>
    <row r="112070" spans="1:6" x14ac:dyDescent="0.25">
      <c r="A112070"/>
      <c r="B112070"/>
      <c r="C112070"/>
      <c r="E112070"/>
      <c r="F112070"/>
    </row>
    <row r="112071" spans="1:6" x14ac:dyDescent="0.25">
      <c r="A112071"/>
      <c r="B112071"/>
      <c r="C112071"/>
      <c r="E112071"/>
      <c r="F112071"/>
    </row>
    <row r="112072" spans="1:6" x14ac:dyDescent="0.25">
      <c r="A112072"/>
      <c r="B112072"/>
      <c r="C112072"/>
      <c r="E112072"/>
      <c r="F112072"/>
    </row>
    <row r="112073" spans="1:6" x14ac:dyDescent="0.25">
      <c r="A112073"/>
      <c r="B112073"/>
      <c r="C112073"/>
      <c r="E112073"/>
      <c r="F112073"/>
    </row>
    <row r="112074" spans="1:6" x14ac:dyDescent="0.25">
      <c r="A112074"/>
      <c r="B112074"/>
      <c r="C112074"/>
      <c r="E112074"/>
      <c r="F112074"/>
    </row>
    <row r="112075" spans="1:6" x14ac:dyDescent="0.25">
      <c r="A112075"/>
      <c r="B112075"/>
      <c r="C112075"/>
      <c r="E112075"/>
      <c r="F112075"/>
    </row>
    <row r="112076" spans="1:6" x14ac:dyDescent="0.25">
      <c r="A112076"/>
      <c r="B112076"/>
      <c r="C112076"/>
      <c r="E112076"/>
      <c r="F112076"/>
    </row>
    <row r="112077" spans="1:6" x14ac:dyDescent="0.25">
      <c r="A112077"/>
      <c r="B112077"/>
      <c r="C112077"/>
      <c r="E112077"/>
      <c r="F112077"/>
    </row>
    <row r="112078" spans="1:6" x14ac:dyDescent="0.25">
      <c r="A112078"/>
      <c r="B112078"/>
      <c r="C112078"/>
      <c r="E112078"/>
      <c r="F112078"/>
    </row>
    <row r="112079" spans="1:6" x14ac:dyDescent="0.25">
      <c r="A112079"/>
      <c r="B112079"/>
      <c r="C112079"/>
      <c r="E112079"/>
      <c r="F112079"/>
    </row>
    <row r="112080" spans="1:6" x14ac:dyDescent="0.25">
      <c r="A112080"/>
      <c r="B112080"/>
      <c r="C112080"/>
      <c r="E112080"/>
      <c r="F112080"/>
    </row>
    <row r="112081" spans="1:6" x14ac:dyDescent="0.25">
      <c r="A112081"/>
      <c r="B112081"/>
      <c r="C112081"/>
      <c r="E112081"/>
      <c r="F112081"/>
    </row>
    <row r="112082" spans="1:6" x14ac:dyDescent="0.25">
      <c r="A112082"/>
      <c r="B112082"/>
      <c r="C112082"/>
      <c r="E112082"/>
      <c r="F112082"/>
    </row>
    <row r="112083" spans="1:6" x14ac:dyDescent="0.25">
      <c r="A112083"/>
      <c r="B112083"/>
      <c r="C112083"/>
      <c r="E112083"/>
      <c r="F112083"/>
    </row>
    <row r="112084" spans="1:6" x14ac:dyDescent="0.25">
      <c r="A112084"/>
      <c r="B112084"/>
      <c r="C112084"/>
      <c r="E112084"/>
      <c r="F112084"/>
    </row>
    <row r="112085" spans="1:6" x14ac:dyDescent="0.25">
      <c r="A112085"/>
      <c r="B112085"/>
      <c r="C112085"/>
      <c r="E112085"/>
      <c r="F112085"/>
    </row>
    <row r="112086" spans="1:6" x14ac:dyDescent="0.25">
      <c r="A112086"/>
      <c r="B112086"/>
      <c r="C112086"/>
      <c r="E112086"/>
      <c r="F112086"/>
    </row>
    <row r="112087" spans="1:6" x14ac:dyDescent="0.25">
      <c r="A112087"/>
      <c r="B112087"/>
      <c r="C112087"/>
      <c r="E112087"/>
      <c r="F112087"/>
    </row>
    <row r="112088" spans="1:6" x14ac:dyDescent="0.25">
      <c r="A112088"/>
      <c r="B112088"/>
      <c r="C112088"/>
      <c r="E112088"/>
      <c r="F112088"/>
    </row>
    <row r="112089" spans="1:6" x14ac:dyDescent="0.25">
      <c r="A112089"/>
      <c r="B112089"/>
      <c r="C112089"/>
      <c r="E112089"/>
      <c r="F112089"/>
    </row>
    <row r="112090" spans="1:6" x14ac:dyDescent="0.25">
      <c r="A112090"/>
      <c r="B112090"/>
      <c r="C112090"/>
      <c r="E112090"/>
      <c r="F112090"/>
    </row>
    <row r="112091" spans="1:6" x14ac:dyDescent="0.25">
      <c r="A112091"/>
      <c r="B112091"/>
      <c r="C112091"/>
      <c r="E112091"/>
      <c r="F112091"/>
    </row>
    <row r="112092" spans="1:6" x14ac:dyDescent="0.25">
      <c r="A112092"/>
      <c r="B112092"/>
      <c r="C112092"/>
      <c r="E112092"/>
      <c r="F112092"/>
    </row>
    <row r="112093" spans="1:6" x14ac:dyDescent="0.25">
      <c r="A112093"/>
      <c r="B112093"/>
      <c r="C112093"/>
      <c r="E112093"/>
      <c r="F112093"/>
    </row>
    <row r="112094" spans="1:6" x14ac:dyDescent="0.25">
      <c r="A112094"/>
      <c r="B112094"/>
      <c r="C112094"/>
      <c r="E112094"/>
      <c r="F112094"/>
    </row>
    <row r="112095" spans="1:6" x14ac:dyDescent="0.25">
      <c r="A112095"/>
      <c r="B112095"/>
      <c r="C112095"/>
      <c r="E112095"/>
      <c r="F112095"/>
    </row>
    <row r="112096" spans="1:6" x14ac:dyDescent="0.25">
      <c r="A112096"/>
      <c r="B112096"/>
      <c r="C112096"/>
      <c r="E112096"/>
      <c r="F112096"/>
    </row>
    <row r="112097" spans="1:6" x14ac:dyDescent="0.25">
      <c r="A112097"/>
      <c r="B112097"/>
      <c r="C112097"/>
      <c r="E112097"/>
      <c r="F112097"/>
    </row>
    <row r="112098" spans="1:6" x14ac:dyDescent="0.25">
      <c r="A112098"/>
      <c r="B112098"/>
      <c r="C112098"/>
      <c r="E112098"/>
      <c r="F112098"/>
    </row>
    <row r="112099" spans="1:6" x14ac:dyDescent="0.25">
      <c r="A112099"/>
      <c r="B112099"/>
      <c r="C112099"/>
      <c r="E112099"/>
      <c r="F112099"/>
    </row>
    <row r="112100" spans="1:6" x14ac:dyDescent="0.25">
      <c r="A112100"/>
      <c r="B112100"/>
      <c r="C112100"/>
      <c r="E112100"/>
      <c r="F112100"/>
    </row>
    <row r="112101" spans="1:6" x14ac:dyDescent="0.25">
      <c r="A112101"/>
      <c r="B112101"/>
      <c r="C112101"/>
      <c r="E112101"/>
      <c r="F112101"/>
    </row>
    <row r="112102" spans="1:6" x14ac:dyDescent="0.25">
      <c r="A112102"/>
      <c r="B112102"/>
      <c r="C112102"/>
      <c r="E112102"/>
      <c r="F112102"/>
    </row>
    <row r="112103" spans="1:6" x14ac:dyDescent="0.25">
      <c r="A112103"/>
      <c r="B112103"/>
      <c r="C112103"/>
      <c r="E112103"/>
      <c r="F112103"/>
    </row>
    <row r="112104" spans="1:6" x14ac:dyDescent="0.25">
      <c r="A112104"/>
      <c r="B112104"/>
      <c r="C112104"/>
      <c r="E112104"/>
      <c r="F112104"/>
    </row>
    <row r="112105" spans="1:6" x14ac:dyDescent="0.25">
      <c r="A112105"/>
      <c r="B112105"/>
      <c r="C112105"/>
      <c r="E112105"/>
      <c r="F112105"/>
    </row>
    <row r="112106" spans="1:6" x14ac:dyDescent="0.25">
      <c r="A112106"/>
      <c r="B112106"/>
      <c r="C112106"/>
      <c r="E112106"/>
      <c r="F112106"/>
    </row>
    <row r="112107" spans="1:6" x14ac:dyDescent="0.25">
      <c r="A112107"/>
      <c r="B112107"/>
      <c r="C112107"/>
      <c r="E112107"/>
      <c r="F112107"/>
    </row>
    <row r="112108" spans="1:6" x14ac:dyDescent="0.25">
      <c r="A112108"/>
      <c r="B112108"/>
      <c r="C112108"/>
      <c r="E112108"/>
      <c r="F112108"/>
    </row>
    <row r="112109" spans="1:6" x14ac:dyDescent="0.25">
      <c r="A112109"/>
      <c r="B112109"/>
      <c r="C112109"/>
      <c r="E112109"/>
      <c r="F112109"/>
    </row>
    <row r="112110" spans="1:6" x14ac:dyDescent="0.25">
      <c r="A112110"/>
      <c r="B112110"/>
      <c r="C112110"/>
      <c r="E112110"/>
      <c r="F112110"/>
    </row>
    <row r="112111" spans="1:6" x14ac:dyDescent="0.25">
      <c r="A112111"/>
      <c r="B112111"/>
      <c r="C112111"/>
      <c r="E112111"/>
      <c r="F112111"/>
    </row>
    <row r="112112" spans="1:6" x14ac:dyDescent="0.25">
      <c r="A112112"/>
      <c r="B112112"/>
      <c r="C112112"/>
      <c r="E112112"/>
      <c r="F112112"/>
    </row>
    <row r="112113" spans="1:6" x14ac:dyDescent="0.25">
      <c r="A112113"/>
      <c r="B112113"/>
      <c r="C112113"/>
      <c r="E112113"/>
      <c r="F112113"/>
    </row>
    <row r="112114" spans="1:6" x14ac:dyDescent="0.25">
      <c r="A112114"/>
      <c r="B112114"/>
      <c r="C112114"/>
      <c r="E112114"/>
      <c r="F112114"/>
    </row>
    <row r="112115" spans="1:6" x14ac:dyDescent="0.25">
      <c r="A112115"/>
      <c r="B112115"/>
      <c r="C112115"/>
      <c r="E112115"/>
      <c r="F112115"/>
    </row>
    <row r="112116" spans="1:6" x14ac:dyDescent="0.25">
      <c r="A112116"/>
      <c r="B112116"/>
      <c r="C112116"/>
      <c r="E112116"/>
      <c r="F112116"/>
    </row>
    <row r="112117" spans="1:6" x14ac:dyDescent="0.25">
      <c r="A112117"/>
      <c r="B112117"/>
      <c r="C112117"/>
      <c r="E112117"/>
      <c r="F112117"/>
    </row>
    <row r="112118" spans="1:6" x14ac:dyDescent="0.25">
      <c r="A112118"/>
      <c r="B112118"/>
      <c r="C112118"/>
      <c r="E112118"/>
      <c r="F112118"/>
    </row>
    <row r="112119" spans="1:6" x14ac:dyDescent="0.25">
      <c r="A112119"/>
      <c r="B112119"/>
      <c r="C112119"/>
      <c r="E112119"/>
      <c r="F112119"/>
    </row>
    <row r="112120" spans="1:6" x14ac:dyDescent="0.25">
      <c r="A112120"/>
      <c r="B112120"/>
      <c r="C112120"/>
      <c r="E112120"/>
      <c r="F112120"/>
    </row>
    <row r="112121" spans="1:6" x14ac:dyDescent="0.25">
      <c r="A112121"/>
      <c r="B112121"/>
      <c r="C112121"/>
      <c r="E112121"/>
      <c r="F112121"/>
    </row>
    <row r="112122" spans="1:6" x14ac:dyDescent="0.25">
      <c r="A112122"/>
      <c r="B112122"/>
      <c r="C112122"/>
      <c r="E112122"/>
      <c r="F112122"/>
    </row>
    <row r="112123" spans="1:6" x14ac:dyDescent="0.25">
      <c r="A112123"/>
      <c r="B112123"/>
      <c r="C112123"/>
      <c r="E112123"/>
      <c r="F112123"/>
    </row>
    <row r="112124" spans="1:6" x14ac:dyDescent="0.25">
      <c r="A112124"/>
      <c r="B112124"/>
      <c r="C112124"/>
      <c r="E112124"/>
      <c r="F112124"/>
    </row>
    <row r="112125" spans="1:6" x14ac:dyDescent="0.25">
      <c r="A112125"/>
      <c r="B112125"/>
      <c r="C112125"/>
      <c r="E112125"/>
      <c r="F112125"/>
    </row>
    <row r="112126" spans="1:6" x14ac:dyDescent="0.25">
      <c r="A112126"/>
      <c r="B112126"/>
      <c r="C112126"/>
      <c r="E112126"/>
      <c r="F112126"/>
    </row>
    <row r="112127" spans="1:6" x14ac:dyDescent="0.25">
      <c r="A112127"/>
      <c r="B112127"/>
      <c r="C112127"/>
      <c r="E112127"/>
      <c r="F112127"/>
    </row>
    <row r="112128" spans="1:6" x14ac:dyDescent="0.25">
      <c r="A112128"/>
      <c r="B112128"/>
      <c r="C112128"/>
      <c r="E112128"/>
      <c r="F112128"/>
    </row>
    <row r="112129" spans="1:6" x14ac:dyDescent="0.25">
      <c r="A112129"/>
      <c r="B112129"/>
      <c r="C112129"/>
      <c r="E112129"/>
      <c r="F112129"/>
    </row>
    <row r="112130" spans="1:6" x14ac:dyDescent="0.25">
      <c r="A112130"/>
      <c r="B112130"/>
      <c r="C112130"/>
      <c r="E112130"/>
      <c r="F112130"/>
    </row>
    <row r="112131" spans="1:6" x14ac:dyDescent="0.25">
      <c r="A112131"/>
      <c r="B112131"/>
      <c r="C112131"/>
      <c r="E112131"/>
      <c r="F112131"/>
    </row>
    <row r="112132" spans="1:6" x14ac:dyDescent="0.25">
      <c r="A112132"/>
      <c r="B112132"/>
      <c r="C112132"/>
      <c r="E112132"/>
      <c r="F112132"/>
    </row>
    <row r="112133" spans="1:6" x14ac:dyDescent="0.25">
      <c r="A112133"/>
      <c r="B112133"/>
      <c r="C112133"/>
      <c r="E112133"/>
      <c r="F112133"/>
    </row>
    <row r="112134" spans="1:6" x14ac:dyDescent="0.25">
      <c r="A112134"/>
      <c r="B112134"/>
      <c r="C112134"/>
      <c r="E112134"/>
      <c r="F112134"/>
    </row>
    <row r="112135" spans="1:6" x14ac:dyDescent="0.25">
      <c r="A112135"/>
      <c r="B112135"/>
      <c r="C112135"/>
      <c r="E112135"/>
      <c r="F112135"/>
    </row>
    <row r="112136" spans="1:6" x14ac:dyDescent="0.25">
      <c r="A112136"/>
      <c r="B112136"/>
      <c r="C112136"/>
      <c r="E112136"/>
      <c r="F112136"/>
    </row>
    <row r="112137" spans="1:6" x14ac:dyDescent="0.25">
      <c r="A112137"/>
      <c r="B112137"/>
      <c r="C112137"/>
      <c r="E112137"/>
      <c r="F112137"/>
    </row>
    <row r="112138" spans="1:6" x14ac:dyDescent="0.25">
      <c r="A112138"/>
      <c r="B112138"/>
      <c r="C112138"/>
      <c r="E112138"/>
      <c r="F112138"/>
    </row>
    <row r="112139" spans="1:6" x14ac:dyDescent="0.25">
      <c r="A112139"/>
      <c r="B112139"/>
      <c r="C112139"/>
      <c r="E112139"/>
      <c r="F112139"/>
    </row>
    <row r="112140" spans="1:6" x14ac:dyDescent="0.25">
      <c r="A112140"/>
      <c r="B112140"/>
      <c r="C112140"/>
      <c r="E112140"/>
      <c r="F112140"/>
    </row>
    <row r="112141" spans="1:6" x14ac:dyDescent="0.25">
      <c r="A112141"/>
      <c r="B112141"/>
      <c r="C112141"/>
      <c r="E112141"/>
      <c r="F112141"/>
    </row>
    <row r="112142" spans="1:6" x14ac:dyDescent="0.25">
      <c r="A112142"/>
      <c r="B112142"/>
      <c r="C112142"/>
      <c r="E112142"/>
      <c r="F112142"/>
    </row>
    <row r="112143" spans="1:6" x14ac:dyDescent="0.25">
      <c r="A112143"/>
      <c r="B112143"/>
      <c r="C112143"/>
      <c r="E112143"/>
      <c r="F112143"/>
    </row>
    <row r="112144" spans="1:6" x14ac:dyDescent="0.25">
      <c r="A112144"/>
      <c r="B112144"/>
      <c r="C112144"/>
      <c r="E112144"/>
      <c r="F112144"/>
    </row>
    <row r="112145" spans="1:6" x14ac:dyDescent="0.25">
      <c r="A112145"/>
      <c r="B112145"/>
      <c r="C112145"/>
      <c r="E112145"/>
      <c r="F112145"/>
    </row>
    <row r="112146" spans="1:6" x14ac:dyDescent="0.25">
      <c r="A112146"/>
      <c r="B112146"/>
      <c r="C112146"/>
      <c r="E112146"/>
      <c r="F112146"/>
    </row>
    <row r="112147" spans="1:6" x14ac:dyDescent="0.25">
      <c r="A112147"/>
      <c r="B112147"/>
      <c r="C112147"/>
      <c r="E112147"/>
      <c r="F112147"/>
    </row>
    <row r="112148" spans="1:6" x14ac:dyDescent="0.25">
      <c r="A112148"/>
      <c r="B112148"/>
      <c r="C112148"/>
      <c r="E112148"/>
      <c r="F112148"/>
    </row>
    <row r="112149" spans="1:6" x14ac:dyDescent="0.25">
      <c r="A112149"/>
      <c r="B112149"/>
      <c r="C112149"/>
      <c r="E112149"/>
      <c r="F112149"/>
    </row>
    <row r="112150" spans="1:6" x14ac:dyDescent="0.25">
      <c r="A112150"/>
      <c r="B112150"/>
      <c r="C112150"/>
      <c r="E112150"/>
      <c r="F112150"/>
    </row>
    <row r="112151" spans="1:6" x14ac:dyDescent="0.25">
      <c r="A112151"/>
      <c r="B112151"/>
      <c r="C112151"/>
      <c r="E112151"/>
      <c r="F112151"/>
    </row>
    <row r="112152" spans="1:6" x14ac:dyDescent="0.25">
      <c r="A112152"/>
      <c r="B112152"/>
      <c r="C112152"/>
      <c r="E112152"/>
      <c r="F112152"/>
    </row>
    <row r="112153" spans="1:6" x14ac:dyDescent="0.25">
      <c r="A112153"/>
      <c r="B112153"/>
      <c r="C112153"/>
      <c r="E112153"/>
      <c r="F112153"/>
    </row>
    <row r="112154" spans="1:6" x14ac:dyDescent="0.25">
      <c r="A112154"/>
      <c r="B112154"/>
      <c r="C112154"/>
      <c r="E112154"/>
      <c r="F112154"/>
    </row>
    <row r="112155" spans="1:6" x14ac:dyDescent="0.25">
      <c r="A112155"/>
      <c r="B112155"/>
      <c r="C112155"/>
      <c r="E112155"/>
      <c r="F112155"/>
    </row>
    <row r="112156" spans="1:6" x14ac:dyDescent="0.25">
      <c r="A112156"/>
      <c r="B112156"/>
      <c r="C112156"/>
      <c r="E112156"/>
      <c r="F112156"/>
    </row>
    <row r="112157" spans="1:6" x14ac:dyDescent="0.25">
      <c r="A112157"/>
      <c r="B112157"/>
      <c r="C112157"/>
      <c r="E112157"/>
      <c r="F112157"/>
    </row>
    <row r="112158" spans="1:6" x14ac:dyDescent="0.25">
      <c r="A112158"/>
      <c r="B112158"/>
      <c r="C112158"/>
      <c r="E112158"/>
      <c r="F112158"/>
    </row>
    <row r="112159" spans="1:6" x14ac:dyDescent="0.25">
      <c r="A112159"/>
      <c r="B112159"/>
      <c r="C112159"/>
      <c r="E112159"/>
      <c r="F112159"/>
    </row>
    <row r="112160" spans="1:6" x14ac:dyDescent="0.25">
      <c r="A112160"/>
      <c r="B112160"/>
      <c r="C112160"/>
      <c r="E112160"/>
      <c r="F112160"/>
    </row>
    <row r="112161" spans="1:6" x14ac:dyDescent="0.25">
      <c r="A112161"/>
      <c r="B112161"/>
      <c r="C112161"/>
      <c r="E112161"/>
      <c r="F112161"/>
    </row>
    <row r="112162" spans="1:6" x14ac:dyDescent="0.25">
      <c r="A112162"/>
      <c r="B112162"/>
      <c r="C112162"/>
      <c r="E112162"/>
      <c r="F112162"/>
    </row>
    <row r="112163" spans="1:6" x14ac:dyDescent="0.25">
      <c r="A112163"/>
      <c r="B112163"/>
      <c r="C112163"/>
      <c r="E112163"/>
      <c r="F112163"/>
    </row>
    <row r="112164" spans="1:6" x14ac:dyDescent="0.25">
      <c r="A112164"/>
      <c r="B112164"/>
      <c r="C112164"/>
      <c r="E112164"/>
      <c r="F112164"/>
    </row>
    <row r="112165" spans="1:6" x14ac:dyDescent="0.25">
      <c r="A112165"/>
      <c r="B112165"/>
      <c r="C112165"/>
      <c r="E112165"/>
      <c r="F112165"/>
    </row>
    <row r="112166" spans="1:6" x14ac:dyDescent="0.25">
      <c r="A112166"/>
      <c r="B112166"/>
      <c r="C112166"/>
      <c r="E112166"/>
      <c r="F112166"/>
    </row>
    <row r="112167" spans="1:6" x14ac:dyDescent="0.25">
      <c r="A112167"/>
      <c r="B112167"/>
      <c r="C112167"/>
      <c r="E112167"/>
      <c r="F112167"/>
    </row>
    <row r="112168" spans="1:6" x14ac:dyDescent="0.25">
      <c r="A112168"/>
      <c r="B112168"/>
      <c r="C112168"/>
      <c r="E112168"/>
      <c r="F112168"/>
    </row>
    <row r="112169" spans="1:6" x14ac:dyDescent="0.25">
      <c r="A112169"/>
      <c r="B112169"/>
      <c r="C112169"/>
      <c r="E112169"/>
      <c r="F112169"/>
    </row>
    <row r="112170" spans="1:6" x14ac:dyDescent="0.25">
      <c r="A112170"/>
      <c r="B112170"/>
      <c r="C112170"/>
      <c r="E112170"/>
      <c r="F112170"/>
    </row>
    <row r="112171" spans="1:6" x14ac:dyDescent="0.25">
      <c r="A112171"/>
      <c r="B112171"/>
      <c r="C112171"/>
      <c r="E112171"/>
      <c r="F112171"/>
    </row>
    <row r="112172" spans="1:6" x14ac:dyDescent="0.25">
      <c r="A112172"/>
      <c r="B112172"/>
      <c r="C112172"/>
      <c r="E112172"/>
      <c r="F112172"/>
    </row>
    <row r="112173" spans="1:6" x14ac:dyDescent="0.25">
      <c r="A112173"/>
      <c r="B112173"/>
      <c r="C112173"/>
      <c r="E112173"/>
      <c r="F112173"/>
    </row>
    <row r="112174" spans="1:6" x14ac:dyDescent="0.25">
      <c r="A112174"/>
      <c r="B112174"/>
      <c r="C112174"/>
      <c r="E112174"/>
      <c r="F112174"/>
    </row>
    <row r="112175" spans="1:6" x14ac:dyDescent="0.25">
      <c r="A112175"/>
      <c r="B112175"/>
      <c r="C112175"/>
      <c r="E112175"/>
      <c r="F112175"/>
    </row>
    <row r="112176" spans="1:6" x14ac:dyDescent="0.25">
      <c r="A112176"/>
      <c r="B112176"/>
      <c r="C112176"/>
      <c r="E112176"/>
      <c r="F112176"/>
    </row>
    <row r="112177" spans="1:6" x14ac:dyDescent="0.25">
      <c r="A112177"/>
      <c r="B112177"/>
      <c r="C112177"/>
      <c r="E112177"/>
      <c r="F112177"/>
    </row>
    <row r="112178" spans="1:6" x14ac:dyDescent="0.25">
      <c r="A112178"/>
      <c r="B112178"/>
      <c r="C112178"/>
      <c r="E112178"/>
      <c r="F112178"/>
    </row>
    <row r="112179" spans="1:6" x14ac:dyDescent="0.25">
      <c r="A112179"/>
      <c r="B112179"/>
      <c r="C112179"/>
      <c r="E112179"/>
      <c r="F112179"/>
    </row>
    <row r="112180" spans="1:6" x14ac:dyDescent="0.25">
      <c r="A112180"/>
      <c r="B112180"/>
      <c r="C112180"/>
      <c r="E112180"/>
      <c r="F112180"/>
    </row>
    <row r="112181" spans="1:6" x14ac:dyDescent="0.25">
      <c r="A112181"/>
      <c r="B112181"/>
      <c r="C112181"/>
      <c r="E112181"/>
      <c r="F112181"/>
    </row>
    <row r="112182" spans="1:6" x14ac:dyDescent="0.25">
      <c r="A112182"/>
      <c r="B112182"/>
      <c r="C112182"/>
      <c r="E112182"/>
      <c r="F112182"/>
    </row>
    <row r="112183" spans="1:6" x14ac:dyDescent="0.25">
      <c r="A112183"/>
      <c r="B112183"/>
      <c r="C112183"/>
      <c r="E112183"/>
      <c r="F112183"/>
    </row>
    <row r="112184" spans="1:6" x14ac:dyDescent="0.25">
      <c r="A112184"/>
      <c r="B112184"/>
      <c r="C112184"/>
      <c r="E112184"/>
      <c r="F112184"/>
    </row>
    <row r="112185" spans="1:6" x14ac:dyDescent="0.25">
      <c r="A112185"/>
      <c r="B112185"/>
      <c r="C112185"/>
      <c r="E112185"/>
      <c r="F112185"/>
    </row>
    <row r="112186" spans="1:6" x14ac:dyDescent="0.25">
      <c r="A112186"/>
      <c r="B112186"/>
      <c r="C112186"/>
      <c r="E112186"/>
      <c r="F112186"/>
    </row>
    <row r="112187" spans="1:6" x14ac:dyDescent="0.25">
      <c r="A112187"/>
      <c r="B112187"/>
      <c r="C112187"/>
      <c r="E112187"/>
      <c r="F112187"/>
    </row>
    <row r="112188" spans="1:6" x14ac:dyDescent="0.25">
      <c r="A112188"/>
      <c r="B112188"/>
      <c r="C112188"/>
      <c r="E112188"/>
      <c r="F112188"/>
    </row>
    <row r="112189" spans="1:6" x14ac:dyDescent="0.25">
      <c r="A112189"/>
      <c r="B112189"/>
      <c r="C112189"/>
      <c r="E112189"/>
      <c r="F112189"/>
    </row>
    <row r="112190" spans="1:6" x14ac:dyDescent="0.25">
      <c r="A112190"/>
      <c r="B112190"/>
      <c r="C112190"/>
      <c r="E112190"/>
      <c r="F112190"/>
    </row>
    <row r="112191" spans="1:6" x14ac:dyDescent="0.25">
      <c r="A112191"/>
      <c r="B112191"/>
      <c r="C112191"/>
      <c r="E112191"/>
      <c r="F112191"/>
    </row>
    <row r="112192" spans="1:6" x14ac:dyDescent="0.25">
      <c r="A112192"/>
      <c r="B112192"/>
      <c r="C112192"/>
      <c r="E112192"/>
      <c r="F112192"/>
    </row>
    <row r="112193" spans="1:6" x14ac:dyDescent="0.25">
      <c r="A112193"/>
      <c r="B112193"/>
      <c r="C112193"/>
      <c r="E112193"/>
      <c r="F112193"/>
    </row>
    <row r="112194" spans="1:6" x14ac:dyDescent="0.25">
      <c r="A112194"/>
      <c r="B112194"/>
      <c r="C112194"/>
      <c r="E112194"/>
      <c r="F112194"/>
    </row>
    <row r="112195" spans="1:6" x14ac:dyDescent="0.25">
      <c r="A112195"/>
      <c r="B112195"/>
      <c r="C112195"/>
      <c r="E112195"/>
      <c r="F112195"/>
    </row>
    <row r="112196" spans="1:6" x14ac:dyDescent="0.25">
      <c r="A112196"/>
      <c r="B112196"/>
      <c r="C112196"/>
      <c r="E112196"/>
      <c r="F112196"/>
    </row>
    <row r="112197" spans="1:6" x14ac:dyDescent="0.25">
      <c r="A112197"/>
      <c r="B112197"/>
      <c r="C112197"/>
      <c r="E112197"/>
      <c r="F112197"/>
    </row>
    <row r="112198" spans="1:6" x14ac:dyDescent="0.25">
      <c r="A112198"/>
      <c r="B112198"/>
      <c r="C112198"/>
      <c r="E112198"/>
      <c r="F112198"/>
    </row>
    <row r="112199" spans="1:6" x14ac:dyDescent="0.25">
      <c r="A112199"/>
      <c r="B112199"/>
      <c r="C112199"/>
      <c r="E112199"/>
      <c r="F112199"/>
    </row>
    <row r="112200" spans="1:6" x14ac:dyDescent="0.25">
      <c r="A112200"/>
      <c r="B112200"/>
      <c r="C112200"/>
      <c r="E112200"/>
      <c r="F112200"/>
    </row>
    <row r="112201" spans="1:6" x14ac:dyDescent="0.25">
      <c r="A112201"/>
      <c r="B112201"/>
      <c r="C112201"/>
      <c r="E112201"/>
      <c r="F112201"/>
    </row>
    <row r="112202" spans="1:6" x14ac:dyDescent="0.25">
      <c r="A112202"/>
      <c r="B112202"/>
      <c r="C112202"/>
      <c r="E112202"/>
      <c r="F112202"/>
    </row>
    <row r="112203" spans="1:6" x14ac:dyDescent="0.25">
      <c r="A112203"/>
      <c r="B112203"/>
      <c r="C112203"/>
      <c r="E112203"/>
      <c r="F112203"/>
    </row>
    <row r="112204" spans="1:6" x14ac:dyDescent="0.25">
      <c r="A112204"/>
      <c r="B112204"/>
      <c r="C112204"/>
      <c r="E112204"/>
      <c r="F112204"/>
    </row>
    <row r="112205" spans="1:6" x14ac:dyDescent="0.25">
      <c r="A112205"/>
      <c r="B112205"/>
      <c r="C112205"/>
      <c r="E112205"/>
      <c r="F112205"/>
    </row>
    <row r="112206" spans="1:6" x14ac:dyDescent="0.25">
      <c r="A112206"/>
      <c r="B112206"/>
      <c r="C112206"/>
      <c r="E112206"/>
      <c r="F112206"/>
    </row>
    <row r="112207" spans="1:6" x14ac:dyDescent="0.25">
      <c r="A112207"/>
      <c r="B112207"/>
      <c r="C112207"/>
      <c r="E112207"/>
      <c r="F112207"/>
    </row>
    <row r="112208" spans="1:6" x14ac:dyDescent="0.25">
      <c r="A112208"/>
      <c r="B112208"/>
      <c r="C112208"/>
      <c r="E112208"/>
      <c r="F112208"/>
    </row>
    <row r="112209" spans="1:6" x14ac:dyDescent="0.25">
      <c r="A112209"/>
      <c r="B112209"/>
      <c r="C112209"/>
      <c r="E112209"/>
      <c r="F112209"/>
    </row>
    <row r="112210" spans="1:6" x14ac:dyDescent="0.25">
      <c r="A112210"/>
      <c r="B112210"/>
      <c r="C112210"/>
      <c r="E112210"/>
      <c r="F112210"/>
    </row>
    <row r="112211" spans="1:6" x14ac:dyDescent="0.25">
      <c r="A112211"/>
      <c r="B112211"/>
      <c r="C112211"/>
      <c r="E112211"/>
      <c r="F112211"/>
    </row>
    <row r="112212" spans="1:6" x14ac:dyDescent="0.25">
      <c r="A112212"/>
      <c r="B112212"/>
      <c r="C112212"/>
      <c r="E112212"/>
      <c r="F112212"/>
    </row>
    <row r="112213" spans="1:6" x14ac:dyDescent="0.25">
      <c r="A112213"/>
      <c r="B112213"/>
      <c r="C112213"/>
      <c r="E112213"/>
      <c r="F112213"/>
    </row>
    <row r="112214" spans="1:6" x14ac:dyDescent="0.25">
      <c r="A112214"/>
      <c r="B112214"/>
      <c r="C112214"/>
      <c r="E112214"/>
      <c r="F112214"/>
    </row>
    <row r="112215" spans="1:6" x14ac:dyDescent="0.25">
      <c r="A112215"/>
      <c r="B112215"/>
      <c r="C112215"/>
      <c r="E112215"/>
      <c r="F112215"/>
    </row>
    <row r="112216" spans="1:6" x14ac:dyDescent="0.25">
      <c r="A112216"/>
      <c r="B112216"/>
      <c r="C112216"/>
      <c r="E112216"/>
      <c r="F112216"/>
    </row>
    <row r="112217" spans="1:6" x14ac:dyDescent="0.25">
      <c r="A112217"/>
      <c r="B112217"/>
      <c r="C112217"/>
      <c r="E112217"/>
      <c r="F112217"/>
    </row>
    <row r="112218" spans="1:6" x14ac:dyDescent="0.25">
      <c r="A112218"/>
      <c r="B112218"/>
      <c r="C112218"/>
      <c r="E112218"/>
      <c r="F112218"/>
    </row>
    <row r="112219" spans="1:6" x14ac:dyDescent="0.25">
      <c r="A112219"/>
      <c r="B112219"/>
      <c r="C112219"/>
      <c r="E112219"/>
      <c r="F112219"/>
    </row>
    <row r="112220" spans="1:6" x14ac:dyDescent="0.25">
      <c r="A112220"/>
      <c r="B112220"/>
      <c r="C112220"/>
      <c r="E112220"/>
      <c r="F112220"/>
    </row>
    <row r="112221" spans="1:6" x14ac:dyDescent="0.25">
      <c r="A112221"/>
      <c r="B112221"/>
      <c r="C112221"/>
      <c r="E112221"/>
      <c r="F112221"/>
    </row>
    <row r="112222" spans="1:6" x14ac:dyDescent="0.25">
      <c r="A112222"/>
      <c r="B112222"/>
      <c r="C112222"/>
      <c r="E112222"/>
      <c r="F112222"/>
    </row>
    <row r="112223" spans="1:6" x14ac:dyDescent="0.25">
      <c r="A112223"/>
      <c r="B112223"/>
      <c r="C112223"/>
      <c r="E112223"/>
      <c r="F112223"/>
    </row>
    <row r="112224" spans="1:6" x14ac:dyDescent="0.25">
      <c r="A112224"/>
      <c r="B112224"/>
      <c r="C112224"/>
      <c r="E112224"/>
      <c r="F112224"/>
    </row>
    <row r="112225" spans="1:6" x14ac:dyDescent="0.25">
      <c r="A112225"/>
      <c r="B112225"/>
      <c r="C112225"/>
      <c r="E112225"/>
      <c r="F112225"/>
    </row>
    <row r="112226" spans="1:6" x14ac:dyDescent="0.25">
      <c r="A112226"/>
      <c r="B112226"/>
      <c r="C112226"/>
      <c r="E112226"/>
      <c r="F112226"/>
    </row>
    <row r="112227" spans="1:6" x14ac:dyDescent="0.25">
      <c r="A112227"/>
      <c r="B112227"/>
      <c r="C112227"/>
      <c r="E112227"/>
      <c r="F112227"/>
    </row>
    <row r="112228" spans="1:6" x14ac:dyDescent="0.25">
      <c r="A112228"/>
      <c r="B112228"/>
      <c r="C112228"/>
      <c r="E112228"/>
      <c r="F112228"/>
    </row>
    <row r="112229" spans="1:6" x14ac:dyDescent="0.25">
      <c r="A112229"/>
      <c r="B112229"/>
      <c r="C112229"/>
      <c r="E112229"/>
      <c r="F112229"/>
    </row>
    <row r="112230" spans="1:6" x14ac:dyDescent="0.25">
      <c r="A112230"/>
      <c r="B112230"/>
      <c r="C112230"/>
      <c r="E112230"/>
      <c r="F112230"/>
    </row>
    <row r="112231" spans="1:6" x14ac:dyDescent="0.25">
      <c r="A112231"/>
      <c r="B112231"/>
      <c r="C112231"/>
      <c r="E112231"/>
      <c r="F112231"/>
    </row>
    <row r="112232" spans="1:6" x14ac:dyDescent="0.25">
      <c r="A112232"/>
      <c r="B112232"/>
      <c r="C112232"/>
      <c r="E112232"/>
      <c r="F112232"/>
    </row>
    <row r="112233" spans="1:6" x14ac:dyDescent="0.25">
      <c r="A112233"/>
      <c r="B112233"/>
      <c r="C112233"/>
      <c r="E112233"/>
      <c r="F112233"/>
    </row>
    <row r="112234" spans="1:6" x14ac:dyDescent="0.25">
      <c r="A112234"/>
      <c r="B112234"/>
      <c r="C112234"/>
      <c r="E112234"/>
      <c r="F112234"/>
    </row>
    <row r="112235" spans="1:6" x14ac:dyDescent="0.25">
      <c r="A112235"/>
      <c r="B112235"/>
      <c r="C112235"/>
      <c r="E112235"/>
      <c r="F112235"/>
    </row>
    <row r="112236" spans="1:6" x14ac:dyDescent="0.25">
      <c r="A112236"/>
      <c r="B112236"/>
      <c r="C112236"/>
      <c r="E112236"/>
      <c r="F112236"/>
    </row>
    <row r="112237" spans="1:6" x14ac:dyDescent="0.25">
      <c r="A112237"/>
      <c r="B112237"/>
      <c r="C112237"/>
      <c r="E112237"/>
      <c r="F112237"/>
    </row>
    <row r="112238" spans="1:6" x14ac:dyDescent="0.25">
      <c r="A112238"/>
      <c r="B112238"/>
      <c r="C112238"/>
      <c r="E112238"/>
      <c r="F112238"/>
    </row>
    <row r="112239" spans="1:6" x14ac:dyDescent="0.25">
      <c r="A112239"/>
      <c r="B112239"/>
      <c r="C112239"/>
      <c r="E112239"/>
      <c r="F112239"/>
    </row>
    <row r="112240" spans="1:6" x14ac:dyDescent="0.25">
      <c r="A112240"/>
      <c r="B112240"/>
      <c r="C112240"/>
      <c r="E112240"/>
      <c r="F112240"/>
    </row>
    <row r="112241" spans="1:6" x14ac:dyDescent="0.25">
      <c r="A112241"/>
      <c r="B112241"/>
      <c r="C112241"/>
      <c r="E112241"/>
      <c r="F112241"/>
    </row>
    <row r="112242" spans="1:6" x14ac:dyDescent="0.25">
      <c r="A112242"/>
      <c r="B112242"/>
      <c r="C112242"/>
      <c r="E112242"/>
      <c r="F112242"/>
    </row>
    <row r="112243" spans="1:6" x14ac:dyDescent="0.25">
      <c r="A112243"/>
      <c r="B112243"/>
      <c r="C112243"/>
      <c r="E112243"/>
      <c r="F112243"/>
    </row>
    <row r="112244" spans="1:6" x14ac:dyDescent="0.25">
      <c r="A112244"/>
      <c r="B112244"/>
      <c r="C112244"/>
      <c r="E112244"/>
      <c r="F112244"/>
    </row>
    <row r="112245" spans="1:6" x14ac:dyDescent="0.25">
      <c r="A112245"/>
      <c r="B112245"/>
      <c r="C112245"/>
      <c r="E112245"/>
      <c r="F112245"/>
    </row>
    <row r="112246" spans="1:6" x14ac:dyDescent="0.25">
      <c r="A112246"/>
      <c r="B112246"/>
      <c r="C112246"/>
      <c r="E112246"/>
      <c r="F112246"/>
    </row>
    <row r="112247" spans="1:6" x14ac:dyDescent="0.25">
      <c r="A112247"/>
      <c r="B112247"/>
      <c r="C112247"/>
      <c r="E112247"/>
      <c r="F112247"/>
    </row>
    <row r="112248" spans="1:6" x14ac:dyDescent="0.25">
      <c r="A112248"/>
      <c r="B112248"/>
      <c r="C112248"/>
      <c r="E112248"/>
      <c r="F112248"/>
    </row>
    <row r="112249" spans="1:6" x14ac:dyDescent="0.25">
      <c r="A112249"/>
      <c r="B112249"/>
      <c r="C112249"/>
      <c r="E112249"/>
      <c r="F112249"/>
    </row>
    <row r="112250" spans="1:6" x14ac:dyDescent="0.25">
      <c r="A112250"/>
      <c r="B112250"/>
      <c r="C112250"/>
      <c r="E112250"/>
      <c r="F112250"/>
    </row>
    <row r="112251" spans="1:6" x14ac:dyDescent="0.25">
      <c r="A112251"/>
      <c r="B112251"/>
      <c r="C112251"/>
      <c r="E112251"/>
      <c r="F112251"/>
    </row>
    <row r="112252" spans="1:6" x14ac:dyDescent="0.25">
      <c r="A112252"/>
      <c r="B112252"/>
      <c r="C112252"/>
      <c r="E112252"/>
      <c r="F112252"/>
    </row>
    <row r="112253" spans="1:6" x14ac:dyDescent="0.25">
      <c r="A112253"/>
      <c r="B112253"/>
      <c r="C112253"/>
      <c r="E112253"/>
      <c r="F112253"/>
    </row>
    <row r="112254" spans="1:6" x14ac:dyDescent="0.25">
      <c r="A112254"/>
      <c r="B112254"/>
      <c r="C112254"/>
      <c r="E112254"/>
      <c r="F112254"/>
    </row>
    <row r="112255" spans="1:6" x14ac:dyDescent="0.25">
      <c r="A112255"/>
      <c r="B112255"/>
      <c r="C112255"/>
      <c r="E112255"/>
      <c r="F112255"/>
    </row>
    <row r="112256" spans="1:6" x14ac:dyDescent="0.25">
      <c r="A112256"/>
      <c r="B112256"/>
      <c r="C112256"/>
      <c r="E112256"/>
      <c r="F112256"/>
    </row>
    <row r="112257" spans="1:6" x14ac:dyDescent="0.25">
      <c r="A112257"/>
      <c r="B112257"/>
      <c r="C112257"/>
      <c r="E112257"/>
      <c r="F112257"/>
    </row>
    <row r="112258" spans="1:6" x14ac:dyDescent="0.25">
      <c r="A112258"/>
      <c r="B112258"/>
      <c r="C112258"/>
      <c r="E112258"/>
      <c r="F112258"/>
    </row>
    <row r="112259" spans="1:6" x14ac:dyDescent="0.25">
      <c r="A112259"/>
      <c r="B112259"/>
      <c r="C112259"/>
      <c r="E112259"/>
      <c r="F112259"/>
    </row>
    <row r="112260" spans="1:6" x14ac:dyDescent="0.25">
      <c r="A112260"/>
      <c r="B112260"/>
      <c r="C112260"/>
      <c r="E112260"/>
      <c r="F112260"/>
    </row>
    <row r="112261" spans="1:6" x14ac:dyDescent="0.25">
      <c r="A112261"/>
      <c r="B112261"/>
      <c r="C112261"/>
      <c r="E112261"/>
      <c r="F112261"/>
    </row>
    <row r="112262" spans="1:6" x14ac:dyDescent="0.25">
      <c r="A112262"/>
      <c r="B112262"/>
      <c r="C112262"/>
      <c r="E112262"/>
      <c r="F112262"/>
    </row>
    <row r="112263" spans="1:6" x14ac:dyDescent="0.25">
      <c r="A112263"/>
      <c r="B112263"/>
      <c r="C112263"/>
      <c r="E112263"/>
      <c r="F112263"/>
    </row>
    <row r="112264" spans="1:6" x14ac:dyDescent="0.25">
      <c r="A112264"/>
      <c r="B112264"/>
      <c r="C112264"/>
      <c r="E112264"/>
      <c r="F112264"/>
    </row>
    <row r="112265" spans="1:6" x14ac:dyDescent="0.25">
      <c r="A112265"/>
      <c r="B112265"/>
      <c r="C112265"/>
      <c r="E112265"/>
      <c r="F112265"/>
    </row>
    <row r="112266" spans="1:6" x14ac:dyDescent="0.25">
      <c r="A112266"/>
      <c r="B112266"/>
      <c r="C112266"/>
      <c r="E112266"/>
      <c r="F112266"/>
    </row>
    <row r="112267" spans="1:6" x14ac:dyDescent="0.25">
      <c r="A112267"/>
      <c r="B112267"/>
      <c r="C112267"/>
      <c r="E112267"/>
      <c r="F112267"/>
    </row>
    <row r="112268" spans="1:6" x14ac:dyDescent="0.25">
      <c r="A112268"/>
      <c r="B112268"/>
      <c r="C112268"/>
      <c r="E112268"/>
      <c r="F112268"/>
    </row>
    <row r="112269" spans="1:6" x14ac:dyDescent="0.25">
      <c r="A112269"/>
      <c r="B112269"/>
      <c r="C112269"/>
      <c r="E112269"/>
      <c r="F112269"/>
    </row>
    <row r="112270" spans="1:6" x14ac:dyDescent="0.25">
      <c r="A112270"/>
      <c r="B112270"/>
      <c r="C112270"/>
      <c r="E112270"/>
      <c r="F112270"/>
    </row>
    <row r="112271" spans="1:6" x14ac:dyDescent="0.25">
      <c r="A112271"/>
      <c r="B112271"/>
      <c r="C112271"/>
      <c r="E112271"/>
      <c r="F112271"/>
    </row>
    <row r="112272" spans="1:6" x14ac:dyDescent="0.25">
      <c r="A112272"/>
      <c r="B112272"/>
      <c r="C112272"/>
      <c r="E112272"/>
      <c r="F112272"/>
    </row>
    <row r="112273" spans="1:6" x14ac:dyDescent="0.25">
      <c r="A112273"/>
      <c r="B112273"/>
      <c r="C112273"/>
      <c r="E112273"/>
      <c r="F112273"/>
    </row>
    <row r="112274" spans="1:6" x14ac:dyDescent="0.25">
      <c r="A112274"/>
      <c r="B112274"/>
      <c r="C112274"/>
      <c r="E112274"/>
      <c r="F112274"/>
    </row>
    <row r="112275" spans="1:6" x14ac:dyDescent="0.25">
      <c r="A112275"/>
      <c r="B112275"/>
      <c r="C112275"/>
      <c r="E112275"/>
      <c r="F112275"/>
    </row>
    <row r="112276" spans="1:6" x14ac:dyDescent="0.25">
      <c r="A112276"/>
      <c r="B112276"/>
      <c r="C112276"/>
      <c r="E112276"/>
      <c r="F112276"/>
    </row>
    <row r="112277" spans="1:6" x14ac:dyDescent="0.25">
      <c r="A112277"/>
      <c r="B112277"/>
      <c r="C112277"/>
      <c r="E112277"/>
      <c r="F112277"/>
    </row>
    <row r="112278" spans="1:6" x14ac:dyDescent="0.25">
      <c r="A112278"/>
      <c r="B112278"/>
      <c r="C112278"/>
      <c r="E112278"/>
      <c r="F112278"/>
    </row>
    <row r="112279" spans="1:6" x14ac:dyDescent="0.25">
      <c r="A112279"/>
      <c r="B112279"/>
      <c r="C112279"/>
      <c r="E112279"/>
      <c r="F112279"/>
    </row>
    <row r="112280" spans="1:6" x14ac:dyDescent="0.25">
      <c r="A112280"/>
      <c r="B112280"/>
      <c r="C112280"/>
      <c r="E112280"/>
      <c r="F112280"/>
    </row>
    <row r="112281" spans="1:6" x14ac:dyDescent="0.25">
      <c r="A112281"/>
      <c r="B112281"/>
      <c r="C112281"/>
      <c r="E112281"/>
      <c r="F112281"/>
    </row>
    <row r="112282" spans="1:6" x14ac:dyDescent="0.25">
      <c r="A112282"/>
      <c r="B112282"/>
      <c r="C112282"/>
      <c r="E112282"/>
      <c r="F112282"/>
    </row>
    <row r="112283" spans="1:6" x14ac:dyDescent="0.25">
      <c r="A112283"/>
      <c r="B112283"/>
      <c r="C112283"/>
      <c r="E112283"/>
      <c r="F112283"/>
    </row>
    <row r="112284" spans="1:6" x14ac:dyDescent="0.25">
      <c r="A112284"/>
      <c r="B112284"/>
      <c r="C112284"/>
      <c r="E112284"/>
      <c r="F112284"/>
    </row>
    <row r="112285" spans="1:6" x14ac:dyDescent="0.25">
      <c r="A112285"/>
      <c r="B112285"/>
      <c r="C112285"/>
      <c r="E112285"/>
      <c r="F112285"/>
    </row>
    <row r="112286" spans="1:6" x14ac:dyDescent="0.25">
      <c r="A112286"/>
      <c r="B112286"/>
      <c r="C112286"/>
      <c r="E112286"/>
      <c r="F112286"/>
    </row>
    <row r="112287" spans="1:6" x14ac:dyDescent="0.25">
      <c r="A112287"/>
      <c r="B112287"/>
      <c r="C112287"/>
      <c r="E112287"/>
      <c r="F112287"/>
    </row>
    <row r="112288" spans="1:6" x14ac:dyDescent="0.25">
      <c r="A112288"/>
      <c r="B112288"/>
      <c r="C112288"/>
      <c r="E112288"/>
      <c r="F112288"/>
    </row>
    <row r="112289" spans="1:6" x14ac:dyDescent="0.25">
      <c r="A112289"/>
      <c r="B112289"/>
      <c r="C112289"/>
      <c r="E112289"/>
      <c r="F112289"/>
    </row>
    <row r="112290" spans="1:6" x14ac:dyDescent="0.25">
      <c r="A112290"/>
      <c r="B112290"/>
      <c r="C112290"/>
      <c r="E112290"/>
      <c r="F112290"/>
    </row>
    <row r="112291" spans="1:6" x14ac:dyDescent="0.25">
      <c r="A112291"/>
      <c r="B112291"/>
      <c r="C112291"/>
      <c r="E112291"/>
      <c r="F112291"/>
    </row>
    <row r="112292" spans="1:6" x14ac:dyDescent="0.25">
      <c r="A112292"/>
      <c r="B112292"/>
      <c r="C112292"/>
      <c r="E112292"/>
      <c r="F112292"/>
    </row>
    <row r="112293" spans="1:6" x14ac:dyDescent="0.25">
      <c r="A112293"/>
      <c r="B112293"/>
      <c r="C112293"/>
      <c r="E112293"/>
      <c r="F112293"/>
    </row>
    <row r="112294" spans="1:6" x14ac:dyDescent="0.25">
      <c r="A112294"/>
      <c r="B112294"/>
      <c r="C112294"/>
      <c r="E112294"/>
      <c r="F112294"/>
    </row>
    <row r="112295" spans="1:6" x14ac:dyDescent="0.25">
      <c r="A112295"/>
      <c r="B112295"/>
      <c r="C112295"/>
      <c r="E112295"/>
      <c r="F112295"/>
    </row>
    <row r="112296" spans="1:6" x14ac:dyDescent="0.25">
      <c r="A112296"/>
      <c r="B112296"/>
      <c r="C112296"/>
      <c r="E112296"/>
      <c r="F112296"/>
    </row>
    <row r="112297" spans="1:6" x14ac:dyDescent="0.25">
      <c r="A112297"/>
      <c r="B112297"/>
      <c r="C112297"/>
      <c r="E112297"/>
      <c r="F112297"/>
    </row>
    <row r="112298" spans="1:6" x14ac:dyDescent="0.25">
      <c r="A112298"/>
      <c r="B112298"/>
      <c r="C112298"/>
      <c r="E112298"/>
      <c r="F112298"/>
    </row>
    <row r="112299" spans="1:6" x14ac:dyDescent="0.25">
      <c r="A112299"/>
      <c r="B112299"/>
      <c r="C112299"/>
      <c r="E112299"/>
      <c r="F112299"/>
    </row>
    <row r="112300" spans="1:6" x14ac:dyDescent="0.25">
      <c r="A112300"/>
      <c r="B112300"/>
      <c r="C112300"/>
      <c r="E112300"/>
      <c r="F112300"/>
    </row>
    <row r="112301" spans="1:6" x14ac:dyDescent="0.25">
      <c r="A112301"/>
      <c r="B112301"/>
      <c r="C112301"/>
      <c r="E112301"/>
      <c r="F112301"/>
    </row>
    <row r="112302" spans="1:6" x14ac:dyDescent="0.25">
      <c r="A112302"/>
      <c r="B112302"/>
      <c r="C112302"/>
      <c r="E112302"/>
      <c r="F112302"/>
    </row>
    <row r="112303" spans="1:6" x14ac:dyDescent="0.25">
      <c r="A112303"/>
      <c r="B112303"/>
      <c r="C112303"/>
      <c r="E112303"/>
      <c r="F112303"/>
    </row>
    <row r="112304" spans="1:6" x14ac:dyDescent="0.25">
      <c r="A112304"/>
      <c r="B112304"/>
      <c r="C112304"/>
      <c r="E112304"/>
      <c r="F112304"/>
    </row>
    <row r="112305" spans="1:6" x14ac:dyDescent="0.25">
      <c r="A112305"/>
      <c r="B112305"/>
      <c r="C112305"/>
      <c r="E112305"/>
      <c r="F112305"/>
    </row>
    <row r="112306" spans="1:6" x14ac:dyDescent="0.25">
      <c r="A112306"/>
      <c r="B112306"/>
      <c r="C112306"/>
      <c r="E112306"/>
      <c r="F112306"/>
    </row>
    <row r="112307" spans="1:6" x14ac:dyDescent="0.25">
      <c r="A112307"/>
      <c r="B112307"/>
      <c r="C112307"/>
      <c r="E112307"/>
      <c r="F112307"/>
    </row>
    <row r="112308" spans="1:6" x14ac:dyDescent="0.25">
      <c r="A112308"/>
      <c r="B112308"/>
      <c r="C112308"/>
      <c r="E112308"/>
      <c r="F112308"/>
    </row>
    <row r="112309" spans="1:6" x14ac:dyDescent="0.25">
      <c r="A112309"/>
      <c r="B112309"/>
      <c r="C112309"/>
      <c r="E112309"/>
      <c r="F112309"/>
    </row>
    <row r="112310" spans="1:6" x14ac:dyDescent="0.25">
      <c r="A112310"/>
      <c r="B112310"/>
      <c r="C112310"/>
      <c r="E112310"/>
      <c r="F112310"/>
    </row>
    <row r="112311" spans="1:6" x14ac:dyDescent="0.25">
      <c r="A112311"/>
      <c r="B112311"/>
      <c r="C112311"/>
      <c r="E112311"/>
      <c r="F112311"/>
    </row>
    <row r="112312" spans="1:6" x14ac:dyDescent="0.25">
      <c r="A112312"/>
      <c r="B112312"/>
      <c r="C112312"/>
      <c r="E112312"/>
      <c r="F112312"/>
    </row>
    <row r="112313" spans="1:6" x14ac:dyDescent="0.25">
      <c r="A112313"/>
      <c r="B112313"/>
      <c r="C112313"/>
      <c r="E112313"/>
      <c r="F112313"/>
    </row>
    <row r="112314" spans="1:6" x14ac:dyDescent="0.25">
      <c r="A112314"/>
      <c r="B112314"/>
      <c r="C112314"/>
      <c r="E112314"/>
      <c r="F112314"/>
    </row>
    <row r="112315" spans="1:6" x14ac:dyDescent="0.25">
      <c r="A112315"/>
      <c r="B112315"/>
      <c r="C112315"/>
      <c r="E112315"/>
      <c r="F112315"/>
    </row>
    <row r="112316" spans="1:6" x14ac:dyDescent="0.25">
      <c r="A112316"/>
      <c r="B112316"/>
      <c r="C112316"/>
      <c r="E112316"/>
      <c r="F112316"/>
    </row>
    <row r="112317" spans="1:6" x14ac:dyDescent="0.25">
      <c r="A112317"/>
      <c r="B112317"/>
      <c r="C112317"/>
      <c r="E112317"/>
      <c r="F112317"/>
    </row>
    <row r="112318" spans="1:6" x14ac:dyDescent="0.25">
      <c r="A112318"/>
      <c r="B112318"/>
      <c r="C112318"/>
      <c r="E112318"/>
      <c r="F112318"/>
    </row>
    <row r="112319" spans="1:6" x14ac:dyDescent="0.25">
      <c r="A112319"/>
      <c r="B112319"/>
      <c r="C112319"/>
      <c r="E112319"/>
      <c r="F112319"/>
    </row>
    <row r="112320" spans="1:6" x14ac:dyDescent="0.25">
      <c r="A112320"/>
      <c r="B112320"/>
      <c r="C112320"/>
      <c r="E112320"/>
      <c r="F112320"/>
    </row>
    <row r="112321" spans="1:6" x14ac:dyDescent="0.25">
      <c r="A112321"/>
      <c r="B112321"/>
      <c r="C112321"/>
      <c r="E112321"/>
      <c r="F112321"/>
    </row>
    <row r="112322" spans="1:6" x14ac:dyDescent="0.25">
      <c r="A112322"/>
      <c r="B112322"/>
      <c r="C112322"/>
      <c r="E112322"/>
      <c r="F112322"/>
    </row>
    <row r="112323" spans="1:6" x14ac:dyDescent="0.25">
      <c r="A112323"/>
      <c r="B112323"/>
      <c r="C112323"/>
      <c r="E112323"/>
      <c r="F112323"/>
    </row>
    <row r="112324" spans="1:6" x14ac:dyDescent="0.25">
      <c r="A112324"/>
      <c r="B112324"/>
      <c r="C112324"/>
      <c r="E112324"/>
      <c r="F112324"/>
    </row>
    <row r="112325" spans="1:6" x14ac:dyDescent="0.25">
      <c r="A112325"/>
      <c r="B112325"/>
      <c r="C112325"/>
      <c r="E112325"/>
      <c r="F112325"/>
    </row>
    <row r="112326" spans="1:6" x14ac:dyDescent="0.25">
      <c r="A112326"/>
      <c r="B112326"/>
      <c r="C112326"/>
      <c r="E112326"/>
      <c r="F112326"/>
    </row>
    <row r="112327" spans="1:6" x14ac:dyDescent="0.25">
      <c r="A112327"/>
      <c r="B112327"/>
      <c r="C112327"/>
      <c r="E112327"/>
      <c r="F112327"/>
    </row>
    <row r="112328" spans="1:6" x14ac:dyDescent="0.25">
      <c r="A112328"/>
      <c r="B112328"/>
      <c r="C112328"/>
      <c r="E112328"/>
      <c r="F112328"/>
    </row>
    <row r="112329" spans="1:6" x14ac:dyDescent="0.25">
      <c r="A112329"/>
      <c r="B112329"/>
      <c r="C112329"/>
      <c r="E112329"/>
      <c r="F112329"/>
    </row>
    <row r="112330" spans="1:6" x14ac:dyDescent="0.25">
      <c r="A112330"/>
      <c r="B112330"/>
      <c r="C112330"/>
      <c r="E112330"/>
      <c r="F112330"/>
    </row>
    <row r="112331" spans="1:6" x14ac:dyDescent="0.25">
      <c r="A112331"/>
      <c r="B112331"/>
      <c r="C112331"/>
      <c r="E112331"/>
      <c r="F112331"/>
    </row>
    <row r="112332" spans="1:6" x14ac:dyDescent="0.25">
      <c r="A112332"/>
      <c r="B112332"/>
      <c r="C112332"/>
      <c r="E112332"/>
      <c r="F112332"/>
    </row>
    <row r="112333" spans="1:6" x14ac:dyDescent="0.25">
      <c r="A112333"/>
      <c r="B112333"/>
      <c r="C112333"/>
      <c r="E112333"/>
      <c r="F112333"/>
    </row>
    <row r="112334" spans="1:6" x14ac:dyDescent="0.25">
      <c r="A112334"/>
      <c r="B112334"/>
      <c r="C112334"/>
      <c r="E112334"/>
      <c r="F112334"/>
    </row>
    <row r="112335" spans="1:6" x14ac:dyDescent="0.25">
      <c r="A112335"/>
      <c r="B112335"/>
      <c r="C112335"/>
      <c r="E112335"/>
      <c r="F112335"/>
    </row>
    <row r="112336" spans="1:6" x14ac:dyDescent="0.25">
      <c r="A112336"/>
      <c r="B112336"/>
      <c r="C112336"/>
      <c r="E112336"/>
      <c r="F112336"/>
    </row>
    <row r="112337" spans="1:6" x14ac:dyDescent="0.25">
      <c r="A112337"/>
      <c r="B112337"/>
      <c r="C112337"/>
      <c r="E112337"/>
      <c r="F112337"/>
    </row>
    <row r="112338" spans="1:6" x14ac:dyDescent="0.25">
      <c r="A112338"/>
      <c r="B112338"/>
      <c r="C112338"/>
      <c r="E112338"/>
      <c r="F112338"/>
    </row>
    <row r="112339" spans="1:6" x14ac:dyDescent="0.25">
      <c r="A112339"/>
      <c r="B112339"/>
      <c r="C112339"/>
      <c r="E112339"/>
      <c r="F112339"/>
    </row>
    <row r="112340" spans="1:6" x14ac:dyDescent="0.25">
      <c r="A112340"/>
      <c r="B112340"/>
      <c r="C112340"/>
      <c r="E112340"/>
      <c r="F112340"/>
    </row>
    <row r="112341" spans="1:6" x14ac:dyDescent="0.25">
      <c r="A112341"/>
      <c r="B112341"/>
      <c r="C112341"/>
      <c r="E112341"/>
      <c r="F112341"/>
    </row>
    <row r="112342" spans="1:6" x14ac:dyDescent="0.25">
      <c r="A112342"/>
      <c r="B112342"/>
      <c r="C112342"/>
      <c r="E112342"/>
      <c r="F112342"/>
    </row>
    <row r="112343" spans="1:6" x14ac:dyDescent="0.25">
      <c r="A112343"/>
      <c r="B112343"/>
      <c r="C112343"/>
      <c r="E112343"/>
      <c r="F112343"/>
    </row>
    <row r="112344" spans="1:6" x14ac:dyDescent="0.25">
      <c r="A112344"/>
      <c r="B112344"/>
      <c r="C112344"/>
      <c r="E112344"/>
      <c r="F112344"/>
    </row>
    <row r="112345" spans="1:6" x14ac:dyDescent="0.25">
      <c r="A112345"/>
      <c r="B112345"/>
      <c r="C112345"/>
      <c r="E112345"/>
      <c r="F112345"/>
    </row>
    <row r="112346" spans="1:6" x14ac:dyDescent="0.25">
      <c r="A112346"/>
      <c r="B112346"/>
      <c r="C112346"/>
      <c r="E112346"/>
      <c r="F112346"/>
    </row>
    <row r="112347" spans="1:6" x14ac:dyDescent="0.25">
      <c r="A112347"/>
      <c r="B112347"/>
      <c r="C112347"/>
      <c r="E112347"/>
      <c r="F112347"/>
    </row>
    <row r="112348" spans="1:6" x14ac:dyDescent="0.25">
      <c r="A112348"/>
      <c r="B112348"/>
      <c r="C112348"/>
      <c r="E112348"/>
      <c r="F112348"/>
    </row>
    <row r="112349" spans="1:6" x14ac:dyDescent="0.25">
      <c r="A112349"/>
      <c r="B112349"/>
      <c r="C112349"/>
      <c r="E112349"/>
      <c r="F112349"/>
    </row>
    <row r="112350" spans="1:6" x14ac:dyDescent="0.25">
      <c r="A112350"/>
      <c r="B112350"/>
      <c r="C112350"/>
      <c r="E112350"/>
      <c r="F112350"/>
    </row>
    <row r="112351" spans="1:6" x14ac:dyDescent="0.25">
      <c r="A112351"/>
      <c r="B112351"/>
      <c r="C112351"/>
      <c r="E112351"/>
      <c r="F112351"/>
    </row>
    <row r="112352" spans="1:6" x14ac:dyDescent="0.25">
      <c r="A112352"/>
      <c r="B112352"/>
      <c r="C112352"/>
      <c r="E112352"/>
      <c r="F112352"/>
    </row>
    <row r="112353" spans="1:6" x14ac:dyDescent="0.25">
      <c r="A112353"/>
      <c r="B112353"/>
      <c r="C112353"/>
      <c r="E112353"/>
      <c r="F112353"/>
    </row>
    <row r="112354" spans="1:6" x14ac:dyDescent="0.25">
      <c r="A112354"/>
      <c r="B112354"/>
      <c r="C112354"/>
      <c r="E112354"/>
      <c r="F112354"/>
    </row>
    <row r="112355" spans="1:6" x14ac:dyDescent="0.25">
      <c r="A112355"/>
      <c r="B112355"/>
      <c r="C112355"/>
      <c r="E112355"/>
      <c r="F112355"/>
    </row>
    <row r="112356" spans="1:6" x14ac:dyDescent="0.25">
      <c r="A112356"/>
      <c r="B112356"/>
      <c r="C112356"/>
      <c r="E112356"/>
      <c r="F112356"/>
    </row>
    <row r="112357" spans="1:6" x14ac:dyDescent="0.25">
      <c r="A112357"/>
      <c r="B112357"/>
      <c r="C112357"/>
      <c r="E112357"/>
      <c r="F112357"/>
    </row>
    <row r="112358" spans="1:6" x14ac:dyDescent="0.25">
      <c r="A112358"/>
      <c r="B112358"/>
      <c r="C112358"/>
      <c r="E112358"/>
      <c r="F112358"/>
    </row>
    <row r="112359" spans="1:6" x14ac:dyDescent="0.25">
      <c r="A112359"/>
      <c r="B112359"/>
      <c r="C112359"/>
      <c r="E112359"/>
      <c r="F112359"/>
    </row>
    <row r="112360" spans="1:6" x14ac:dyDescent="0.25">
      <c r="A112360"/>
      <c r="B112360"/>
      <c r="C112360"/>
      <c r="E112360"/>
      <c r="F112360"/>
    </row>
    <row r="112361" spans="1:6" x14ac:dyDescent="0.25">
      <c r="A112361"/>
      <c r="B112361"/>
      <c r="C112361"/>
      <c r="E112361"/>
      <c r="F112361"/>
    </row>
    <row r="112362" spans="1:6" x14ac:dyDescent="0.25">
      <c r="A112362"/>
      <c r="B112362"/>
      <c r="C112362"/>
      <c r="E112362"/>
      <c r="F112362"/>
    </row>
    <row r="112363" spans="1:6" x14ac:dyDescent="0.25">
      <c r="A112363"/>
      <c r="B112363"/>
      <c r="C112363"/>
      <c r="E112363"/>
      <c r="F112363"/>
    </row>
    <row r="112364" spans="1:6" x14ac:dyDescent="0.25">
      <c r="A112364"/>
      <c r="B112364"/>
      <c r="C112364"/>
      <c r="E112364"/>
      <c r="F112364"/>
    </row>
    <row r="112365" spans="1:6" x14ac:dyDescent="0.25">
      <c r="A112365"/>
      <c r="B112365"/>
      <c r="C112365"/>
      <c r="E112365"/>
      <c r="F112365"/>
    </row>
    <row r="112366" spans="1:6" x14ac:dyDescent="0.25">
      <c r="A112366"/>
      <c r="B112366"/>
      <c r="C112366"/>
      <c r="E112366"/>
      <c r="F112366"/>
    </row>
    <row r="112367" spans="1:6" x14ac:dyDescent="0.25">
      <c r="A112367"/>
      <c r="B112367"/>
      <c r="C112367"/>
      <c r="E112367"/>
      <c r="F112367"/>
    </row>
    <row r="112368" spans="1:6" x14ac:dyDescent="0.25">
      <c r="A112368"/>
      <c r="B112368"/>
      <c r="C112368"/>
      <c r="E112368"/>
      <c r="F112368"/>
    </row>
    <row r="112369" spans="1:6" x14ac:dyDescent="0.25">
      <c r="A112369"/>
      <c r="B112369"/>
      <c r="C112369"/>
      <c r="E112369"/>
      <c r="F112369"/>
    </row>
    <row r="112370" spans="1:6" x14ac:dyDescent="0.25">
      <c r="A112370"/>
      <c r="B112370"/>
      <c r="C112370"/>
      <c r="E112370"/>
      <c r="F112370"/>
    </row>
    <row r="112371" spans="1:6" x14ac:dyDescent="0.25">
      <c r="A112371"/>
      <c r="B112371"/>
      <c r="C112371"/>
      <c r="E112371"/>
      <c r="F112371"/>
    </row>
    <row r="112372" spans="1:6" x14ac:dyDescent="0.25">
      <c r="A112372"/>
      <c r="B112372"/>
      <c r="C112372"/>
      <c r="E112372"/>
      <c r="F112372"/>
    </row>
    <row r="112373" spans="1:6" x14ac:dyDescent="0.25">
      <c r="A112373"/>
      <c r="B112373"/>
      <c r="C112373"/>
      <c r="E112373"/>
      <c r="F112373"/>
    </row>
    <row r="112374" spans="1:6" x14ac:dyDescent="0.25">
      <c r="A112374"/>
      <c r="B112374"/>
      <c r="C112374"/>
      <c r="E112374"/>
      <c r="F112374"/>
    </row>
    <row r="112375" spans="1:6" x14ac:dyDescent="0.25">
      <c r="A112375"/>
      <c r="B112375"/>
      <c r="C112375"/>
      <c r="E112375"/>
      <c r="F112375"/>
    </row>
    <row r="112376" spans="1:6" x14ac:dyDescent="0.25">
      <c r="A112376"/>
      <c r="B112376"/>
      <c r="C112376"/>
      <c r="E112376"/>
      <c r="F112376"/>
    </row>
    <row r="112377" spans="1:6" x14ac:dyDescent="0.25">
      <c r="A112377"/>
      <c r="B112377"/>
      <c r="C112377"/>
      <c r="E112377"/>
      <c r="F112377"/>
    </row>
    <row r="112378" spans="1:6" x14ac:dyDescent="0.25">
      <c r="A112378"/>
      <c r="B112378"/>
      <c r="C112378"/>
      <c r="E112378"/>
      <c r="F112378"/>
    </row>
    <row r="112379" spans="1:6" x14ac:dyDescent="0.25">
      <c r="A112379"/>
      <c r="B112379"/>
      <c r="C112379"/>
      <c r="E112379"/>
      <c r="F112379"/>
    </row>
    <row r="112380" spans="1:6" x14ac:dyDescent="0.25">
      <c r="A112380"/>
      <c r="B112380"/>
      <c r="C112380"/>
      <c r="E112380"/>
      <c r="F112380"/>
    </row>
    <row r="112381" spans="1:6" x14ac:dyDescent="0.25">
      <c r="A112381"/>
      <c r="B112381"/>
      <c r="C112381"/>
      <c r="E112381"/>
      <c r="F112381"/>
    </row>
    <row r="112382" spans="1:6" x14ac:dyDescent="0.25">
      <c r="A112382"/>
      <c r="B112382"/>
      <c r="C112382"/>
      <c r="E112382"/>
      <c r="F112382"/>
    </row>
    <row r="112383" spans="1:6" x14ac:dyDescent="0.25">
      <c r="A112383"/>
      <c r="B112383"/>
      <c r="C112383"/>
      <c r="E112383"/>
      <c r="F112383"/>
    </row>
    <row r="112384" spans="1:6" x14ac:dyDescent="0.25">
      <c r="A112384"/>
      <c r="B112384"/>
      <c r="C112384"/>
      <c r="E112384"/>
      <c r="F112384"/>
    </row>
    <row r="112385" spans="1:6" x14ac:dyDescent="0.25">
      <c r="A112385"/>
      <c r="B112385"/>
      <c r="C112385"/>
      <c r="E112385"/>
      <c r="F112385"/>
    </row>
    <row r="112386" spans="1:6" x14ac:dyDescent="0.25">
      <c r="A112386"/>
      <c r="B112386"/>
      <c r="C112386"/>
      <c r="E112386"/>
      <c r="F112386"/>
    </row>
    <row r="112387" spans="1:6" x14ac:dyDescent="0.25">
      <c r="A112387"/>
      <c r="B112387"/>
      <c r="C112387"/>
      <c r="E112387"/>
      <c r="F112387"/>
    </row>
    <row r="112388" spans="1:6" x14ac:dyDescent="0.25">
      <c r="A112388"/>
      <c r="B112388"/>
      <c r="C112388"/>
      <c r="E112388"/>
      <c r="F112388"/>
    </row>
    <row r="112389" spans="1:6" x14ac:dyDescent="0.25">
      <c r="A112389"/>
      <c r="B112389"/>
      <c r="C112389"/>
      <c r="E112389"/>
      <c r="F112389"/>
    </row>
    <row r="112390" spans="1:6" x14ac:dyDescent="0.25">
      <c r="A112390"/>
      <c r="B112390"/>
      <c r="C112390"/>
      <c r="E112390"/>
      <c r="F112390"/>
    </row>
    <row r="112391" spans="1:6" x14ac:dyDescent="0.25">
      <c r="A112391"/>
      <c r="B112391"/>
      <c r="C112391"/>
      <c r="E112391"/>
      <c r="F112391"/>
    </row>
    <row r="112392" spans="1:6" x14ac:dyDescent="0.25">
      <c r="A112392"/>
      <c r="B112392"/>
      <c r="C112392"/>
      <c r="E112392"/>
      <c r="F112392"/>
    </row>
    <row r="112393" spans="1:6" x14ac:dyDescent="0.25">
      <c r="A112393"/>
      <c r="B112393"/>
      <c r="C112393"/>
      <c r="E112393"/>
      <c r="F112393"/>
    </row>
    <row r="112394" spans="1:6" x14ac:dyDescent="0.25">
      <c r="A112394"/>
      <c r="B112394"/>
      <c r="C112394"/>
      <c r="E112394"/>
      <c r="F112394"/>
    </row>
    <row r="112395" spans="1:6" x14ac:dyDescent="0.25">
      <c r="A112395"/>
      <c r="B112395"/>
      <c r="C112395"/>
      <c r="E112395"/>
      <c r="F112395"/>
    </row>
    <row r="112396" spans="1:6" x14ac:dyDescent="0.25">
      <c r="A112396"/>
      <c r="B112396"/>
      <c r="C112396"/>
      <c r="E112396"/>
      <c r="F112396"/>
    </row>
    <row r="112397" spans="1:6" x14ac:dyDescent="0.25">
      <c r="A112397"/>
      <c r="B112397"/>
      <c r="C112397"/>
      <c r="E112397"/>
      <c r="F112397"/>
    </row>
    <row r="112398" spans="1:6" x14ac:dyDescent="0.25">
      <c r="A112398"/>
      <c r="B112398"/>
      <c r="C112398"/>
      <c r="E112398"/>
      <c r="F112398"/>
    </row>
    <row r="112399" spans="1:6" x14ac:dyDescent="0.25">
      <c r="A112399"/>
      <c r="B112399"/>
      <c r="C112399"/>
      <c r="E112399"/>
      <c r="F112399"/>
    </row>
    <row r="112400" spans="1:6" x14ac:dyDescent="0.25">
      <c r="A112400"/>
      <c r="B112400"/>
      <c r="C112400"/>
      <c r="E112400"/>
      <c r="F112400"/>
    </row>
    <row r="112401" spans="1:6" x14ac:dyDescent="0.25">
      <c r="A112401"/>
      <c r="B112401"/>
      <c r="C112401"/>
      <c r="E112401"/>
      <c r="F112401"/>
    </row>
    <row r="112402" spans="1:6" x14ac:dyDescent="0.25">
      <c r="A112402"/>
      <c r="B112402"/>
      <c r="C112402"/>
      <c r="E112402"/>
      <c r="F112402"/>
    </row>
    <row r="112403" spans="1:6" x14ac:dyDescent="0.25">
      <c r="A112403"/>
      <c r="B112403"/>
      <c r="C112403"/>
      <c r="E112403"/>
      <c r="F112403"/>
    </row>
    <row r="112404" spans="1:6" x14ac:dyDescent="0.25">
      <c r="A112404"/>
      <c r="B112404"/>
      <c r="C112404"/>
      <c r="E112404"/>
      <c r="F112404"/>
    </row>
    <row r="112405" spans="1:6" x14ac:dyDescent="0.25">
      <c r="A112405"/>
      <c r="B112405"/>
      <c r="C112405"/>
      <c r="E112405"/>
      <c r="F112405"/>
    </row>
    <row r="112406" spans="1:6" x14ac:dyDescent="0.25">
      <c r="A112406"/>
      <c r="B112406"/>
      <c r="C112406"/>
      <c r="E112406"/>
      <c r="F112406"/>
    </row>
    <row r="112407" spans="1:6" x14ac:dyDescent="0.25">
      <c r="A112407"/>
      <c r="B112407"/>
      <c r="C112407"/>
      <c r="E112407"/>
      <c r="F112407"/>
    </row>
    <row r="112408" spans="1:6" x14ac:dyDescent="0.25">
      <c r="A112408"/>
      <c r="B112408"/>
      <c r="C112408"/>
      <c r="E112408"/>
      <c r="F112408"/>
    </row>
    <row r="112409" spans="1:6" x14ac:dyDescent="0.25">
      <c r="A112409"/>
      <c r="B112409"/>
      <c r="C112409"/>
      <c r="E112409"/>
      <c r="F112409"/>
    </row>
    <row r="112410" spans="1:6" x14ac:dyDescent="0.25">
      <c r="A112410"/>
      <c r="B112410"/>
      <c r="C112410"/>
      <c r="E112410"/>
      <c r="F112410"/>
    </row>
    <row r="112411" spans="1:6" x14ac:dyDescent="0.25">
      <c r="A112411"/>
      <c r="B112411"/>
      <c r="C112411"/>
      <c r="E112411"/>
      <c r="F112411"/>
    </row>
    <row r="112412" spans="1:6" x14ac:dyDescent="0.25">
      <c r="A112412"/>
      <c r="B112412"/>
      <c r="C112412"/>
      <c r="E112412"/>
      <c r="F112412"/>
    </row>
    <row r="112413" spans="1:6" x14ac:dyDescent="0.25">
      <c r="A112413"/>
      <c r="B112413"/>
      <c r="C112413"/>
      <c r="E112413"/>
      <c r="F112413"/>
    </row>
    <row r="112414" spans="1:6" x14ac:dyDescent="0.25">
      <c r="A112414"/>
      <c r="B112414"/>
      <c r="C112414"/>
      <c r="E112414"/>
      <c r="F112414"/>
    </row>
    <row r="112415" spans="1:6" x14ac:dyDescent="0.25">
      <c r="A112415"/>
      <c r="B112415"/>
      <c r="C112415"/>
      <c r="E112415"/>
      <c r="F112415"/>
    </row>
    <row r="112416" spans="1:6" x14ac:dyDescent="0.25">
      <c r="A112416"/>
      <c r="B112416"/>
      <c r="C112416"/>
      <c r="E112416"/>
      <c r="F112416"/>
    </row>
    <row r="112417" spans="1:6" x14ac:dyDescent="0.25">
      <c r="A112417"/>
      <c r="B112417"/>
      <c r="C112417"/>
      <c r="E112417"/>
      <c r="F112417"/>
    </row>
    <row r="112418" spans="1:6" x14ac:dyDescent="0.25">
      <c r="A112418"/>
      <c r="B112418"/>
      <c r="C112418"/>
      <c r="E112418"/>
      <c r="F112418"/>
    </row>
    <row r="112419" spans="1:6" x14ac:dyDescent="0.25">
      <c r="A112419"/>
      <c r="B112419"/>
      <c r="C112419"/>
      <c r="E112419"/>
      <c r="F112419"/>
    </row>
    <row r="112420" spans="1:6" x14ac:dyDescent="0.25">
      <c r="A112420"/>
      <c r="B112420"/>
      <c r="C112420"/>
      <c r="E112420"/>
      <c r="F112420"/>
    </row>
    <row r="112421" spans="1:6" x14ac:dyDescent="0.25">
      <c r="A112421"/>
      <c r="B112421"/>
      <c r="C112421"/>
      <c r="E112421"/>
      <c r="F112421"/>
    </row>
    <row r="112422" spans="1:6" x14ac:dyDescent="0.25">
      <c r="A112422"/>
      <c r="B112422"/>
      <c r="C112422"/>
      <c r="E112422"/>
      <c r="F112422"/>
    </row>
    <row r="112423" spans="1:6" x14ac:dyDescent="0.25">
      <c r="A112423"/>
      <c r="B112423"/>
      <c r="C112423"/>
      <c r="E112423"/>
      <c r="F112423"/>
    </row>
    <row r="112424" spans="1:6" x14ac:dyDescent="0.25">
      <c r="A112424"/>
      <c r="B112424"/>
      <c r="C112424"/>
      <c r="E112424"/>
      <c r="F112424"/>
    </row>
    <row r="112425" spans="1:6" x14ac:dyDescent="0.25">
      <c r="A112425"/>
      <c r="B112425"/>
      <c r="C112425"/>
      <c r="E112425"/>
      <c r="F112425"/>
    </row>
    <row r="112426" spans="1:6" x14ac:dyDescent="0.25">
      <c r="A112426"/>
      <c r="B112426"/>
      <c r="C112426"/>
      <c r="E112426"/>
      <c r="F112426"/>
    </row>
    <row r="112427" spans="1:6" x14ac:dyDescent="0.25">
      <c r="A112427"/>
      <c r="B112427"/>
      <c r="C112427"/>
      <c r="E112427"/>
      <c r="F112427"/>
    </row>
    <row r="112428" spans="1:6" x14ac:dyDescent="0.25">
      <c r="A112428"/>
      <c r="B112428"/>
      <c r="C112428"/>
      <c r="E112428"/>
      <c r="F112428"/>
    </row>
    <row r="112429" spans="1:6" x14ac:dyDescent="0.25">
      <c r="A112429"/>
      <c r="B112429"/>
      <c r="C112429"/>
      <c r="E112429"/>
      <c r="F112429"/>
    </row>
    <row r="112430" spans="1:6" x14ac:dyDescent="0.25">
      <c r="A112430"/>
      <c r="B112430"/>
      <c r="C112430"/>
      <c r="E112430"/>
      <c r="F112430"/>
    </row>
    <row r="112431" spans="1:6" x14ac:dyDescent="0.25">
      <c r="A112431"/>
      <c r="B112431"/>
      <c r="C112431"/>
      <c r="E112431"/>
      <c r="F112431"/>
    </row>
    <row r="112432" spans="1:6" x14ac:dyDescent="0.25">
      <c r="A112432"/>
      <c r="B112432"/>
      <c r="C112432"/>
      <c r="E112432"/>
      <c r="F112432"/>
    </row>
    <row r="112433" spans="1:6" x14ac:dyDescent="0.25">
      <c r="A112433"/>
      <c r="B112433"/>
      <c r="C112433"/>
      <c r="E112433"/>
      <c r="F112433"/>
    </row>
    <row r="112434" spans="1:6" x14ac:dyDescent="0.25">
      <c r="A112434"/>
      <c r="B112434"/>
      <c r="C112434"/>
      <c r="E112434"/>
      <c r="F112434"/>
    </row>
    <row r="112435" spans="1:6" x14ac:dyDescent="0.25">
      <c r="A112435"/>
      <c r="B112435"/>
      <c r="C112435"/>
      <c r="E112435"/>
      <c r="F112435"/>
    </row>
    <row r="112436" spans="1:6" x14ac:dyDescent="0.25">
      <c r="A112436"/>
      <c r="B112436"/>
      <c r="C112436"/>
      <c r="E112436"/>
      <c r="F112436"/>
    </row>
    <row r="112437" spans="1:6" x14ac:dyDescent="0.25">
      <c r="A112437"/>
      <c r="B112437"/>
      <c r="C112437"/>
      <c r="E112437"/>
      <c r="F112437"/>
    </row>
    <row r="112438" spans="1:6" x14ac:dyDescent="0.25">
      <c r="A112438"/>
      <c r="B112438"/>
      <c r="C112438"/>
      <c r="E112438"/>
      <c r="F112438"/>
    </row>
    <row r="112439" spans="1:6" x14ac:dyDescent="0.25">
      <c r="A112439"/>
      <c r="B112439"/>
      <c r="C112439"/>
      <c r="E112439"/>
      <c r="F112439"/>
    </row>
    <row r="112440" spans="1:6" x14ac:dyDescent="0.25">
      <c r="A112440"/>
      <c r="B112440"/>
      <c r="C112440"/>
      <c r="E112440"/>
      <c r="F112440"/>
    </row>
    <row r="112441" spans="1:6" x14ac:dyDescent="0.25">
      <c r="A112441"/>
      <c r="B112441"/>
      <c r="C112441"/>
      <c r="E112441"/>
      <c r="F112441"/>
    </row>
    <row r="112442" spans="1:6" x14ac:dyDescent="0.25">
      <c r="A112442"/>
      <c r="B112442"/>
      <c r="C112442"/>
      <c r="E112442"/>
      <c r="F112442"/>
    </row>
    <row r="112443" spans="1:6" x14ac:dyDescent="0.25">
      <c r="A112443"/>
      <c r="B112443"/>
      <c r="C112443"/>
      <c r="E112443"/>
      <c r="F112443"/>
    </row>
    <row r="112444" spans="1:6" x14ac:dyDescent="0.25">
      <c r="A112444"/>
      <c r="B112444"/>
      <c r="C112444"/>
      <c r="E112444"/>
      <c r="F112444"/>
    </row>
    <row r="112445" spans="1:6" x14ac:dyDescent="0.25">
      <c r="A112445"/>
      <c r="B112445"/>
      <c r="C112445"/>
      <c r="E112445"/>
      <c r="F112445"/>
    </row>
    <row r="112446" spans="1:6" x14ac:dyDescent="0.25">
      <c r="A112446"/>
      <c r="B112446"/>
      <c r="C112446"/>
      <c r="E112446"/>
      <c r="F112446"/>
    </row>
    <row r="112447" spans="1:6" x14ac:dyDescent="0.25">
      <c r="A112447"/>
      <c r="B112447"/>
      <c r="C112447"/>
      <c r="E112447"/>
      <c r="F112447"/>
    </row>
    <row r="112448" spans="1:6" x14ac:dyDescent="0.25">
      <c r="A112448"/>
      <c r="B112448"/>
      <c r="C112448"/>
      <c r="E112448"/>
      <c r="F112448"/>
    </row>
    <row r="112449" spans="1:6" x14ac:dyDescent="0.25">
      <c r="A112449"/>
      <c r="B112449"/>
      <c r="C112449"/>
      <c r="E112449"/>
      <c r="F112449"/>
    </row>
    <row r="112450" spans="1:6" x14ac:dyDescent="0.25">
      <c r="A112450"/>
      <c r="B112450"/>
      <c r="C112450"/>
      <c r="E112450"/>
      <c r="F112450"/>
    </row>
    <row r="112451" spans="1:6" x14ac:dyDescent="0.25">
      <c r="A112451"/>
      <c r="B112451"/>
      <c r="C112451"/>
      <c r="E112451"/>
      <c r="F112451"/>
    </row>
    <row r="112452" spans="1:6" x14ac:dyDescent="0.25">
      <c r="A112452"/>
      <c r="B112452"/>
      <c r="C112452"/>
      <c r="E112452"/>
      <c r="F112452"/>
    </row>
    <row r="112453" spans="1:6" x14ac:dyDescent="0.25">
      <c r="A112453"/>
      <c r="B112453"/>
      <c r="C112453"/>
      <c r="E112453"/>
      <c r="F112453"/>
    </row>
    <row r="112454" spans="1:6" x14ac:dyDescent="0.25">
      <c r="A112454"/>
      <c r="B112454"/>
      <c r="C112454"/>
      <c r="E112454"/>
      <c r="F112454"/>
    </row>
    <row r="112455" spans="1:6" x14ac:dyDescent="0.25">
      <c r="A112455"/>
      <c r="B112455"/>
      <c r="C112455"/>
      <c r="E112455"/>
      <c r="F112455"/>
    </row>
    <row r="112456" spans="1:6" x14ac:dyDescent="0.25">
      <c r="A112456"/>
      <c r="B112456"/>
      <c r="C112456"/>
      <c r="E112456"/>
      <c r="F112456"/>
    </row>
    <row r="112457" spans="1:6" x14ac:dyDescent="0.25">
      <c r="A112457"/>
      <c r="B112457"/>
      <c r="C112457"/>
      <c r="E112457"/>
      <c r="F112457"/>
    </row>
    <row r="112458" spans="1:6" x14ac:dyDescent="0.25">
      <c r="A112458"/>
      <c r="B112458"/>
      <c r="C112458"/>
      <c r="E112458"/>
      <c r="F112458"/>
    </row>
    <row r="112459" spans="1:6" x14ac:dyDescent="0.25">
      <c r="A112459"/>
      <c r="B112459"/>
      <c r="C112459"/>
      <c r="E112459"/>
      <c r="F112459"/>
    </row>
    <row r="112460" spans="1:6" x14ac:dyDescent="0.25">
      <c r="A112460"/>
      <c r="B112460"/>
      <c r="C112460"/>
      <c r="E112460"/>
      <c r="F112460"/>
    </row>
    <row r="112461" spans="1:6" x14ac:dyDescent="0.25">
      <c r="A112461"/>
      <c r="B112461"/>
      <c r="C112461"/>
      <c r="E112461"/>
      <c r="F112461"/>
    </row>
    <row r="112462" spans="1:6" x14ac:dyDescent="0.25">
      <c r="A112462"/>
      <c r="B112462"/>
      <c r="C112462"/>
      <c r="E112462"/>
      <c r="F112462"/>
    </row>
    <row r="112463" spans="1:6" x14ac:dyDescent="0.25">
      <c r="A112463"/>
      <c r="B112463"/>
      <c r="C112463"/>
      <c r="E112463"/>
      <c r="F112463"/>
    </row>
    <row r="112464" spans="1:6" x14ac:dyDescent="0.25">
      <c r="A112464"/>
      <c r="B112464"/>
      <c r="C112464"/>
      <c r="E112464"/>
      <c r="F112464"/>
    </row>
    <row r="112465" spans="1:6" x14ac:dyDescent="0.25">
      <c r="A112465"/>
      <c r="B112465"/>
      <c r="C112465"/>
      <c r="E112465"/>
      <c r="F112465"/>
    </row>
    <row r="112466" spans="1:6" x14ac:dyDescent="0.25">
      <c r="A112466"/>
      <c r="B112466"/>
      <c r="C112466"/>
      <c r="E112466"/>
      <c r="F112466"/>
    </row>
    <row r="112467" spans="1:6" x14ac:dyDescent="0.25">
      <c r="A112467"/>
      <c r="B112467"/>
      <c r="C112467"/>
      <c r="E112467"/>
      <c r="F112467"/>
    </row>
    <row r="112468" spans="1:6" x14ac:dyDescent="0.25">
      <c r="A112468"/>
      <c r="B112468"/>
      <c r="C112468"/>
      <c r="E112468"/>
      <c r="F112468"/>
    </row>
    <row r="112469" spans="1:6" x14ac:dyDescent="0.25">
      <c r="A112469"/>
      <c r="B112469"/>
      <c r="C112469"/>
      <c r="E112469"/>
      <c r="F112469"/>
    </row>
    <row r="112470" spans="1:6" x14ac:dyDescent="0.25">
      <c r="A112470"/>
      <c r="B112470"/>
      <c r="C112470"/>
      <c r="E112470"/>
      <c r="F112470"/>
    </row>
    <row r="112471" spans="1:6" x14ac:dyDescent="0.25">
      <c r="A112471"/>
      <c r="B112471"/>
      <c r="C112471"/>
      <c r="E112471"/>
      <c r="F112471"/>
    </row>
    <row r="112472" spans="1:6" x14ac:dyDescent="0.25">
      <c r="A112472"/>
      <c r="B112472"/>
      <c r="C112472"/>
      <c r="E112472"/>
      <c r="F112472"/>
    </row>
    <row r="112473" spans="1:6" x14ac:dyDescent="0.25">
      <c r="A112473"/>
      <c r="B112473"/>
      <c r="C112473"/>
      <c r="E112473"/>
      <c r="F112473"/>
    </row>
    <row r="112474" spans="1:6" x14ac:dyDescent="0.25">
      <c r="A112474"/>
      <c r="B112474"/>
      <c r="C112474"/>
      <c r="E112474"/>
      <c r="F112474"/>
    </row>
    <row r="112475" spans="1:6" x14ac:dyDescent="0.25">
      <c r="A112475"/>
      <c r="B112475"/>
      <c r="C112475"/>
      <c r="E112475"/>
      <c r="F112475"/>
    </row>
    <row r="112476" spans="1:6" x14ac:dyDescent="0.25">
      <c r="A112476"/>
      <c r="B112476"/>
      <c r="C112476"/>
      <c r="E112476"/>
      <c r="F112476"/>
    </row>
    <row r="112477" spans="1:6" x14ac:dyDescent="0.25">
      <c r="A112477"/>
      <c r="B112477"/>
      <c r="C112477"/>
      <c r="E112477"/>
      <c r="F112477"/>
    </row>
    <row r="112478" spans="1:6" x14ac:dyDescent="0.25">
      <c r="A112478"/>
      <c r="B112478"/>
      <c r="C112478"/>
      <c r="E112478"/>
      <c r="F112478"/>
    </row>
    <row r="112479" spans="1:6" x14ac:dyDescent="0.25">
      <c r="A112479"/>
      <c r="B112479"/>
      <c r="C112479"/>
      <c r="E112479"/>
      <c r="F112479"/>
    </row>
    <row r="112480" spans="1:6" x14ac:dyDescent="0.25">
      <c r="A112480"/>
      <c r="B112480"/>
      <c r="C112480"/>
      <c r="E112480"/>
      <c r="F112480"/>
    </row>
    <row r="112481" spans="1:6" x14ac:dyDescent="0.25">
      <c r="A112481"/>
      <c r="B112481"/>
      <c r="C112481"/>
      <c r="E112481"/>
      <c r="F112481"/>
    </row>
    <row r="112482" spans="1:6" x14ac:dyDescent="0.25">
      <c r="A112482"/>
      <c r="B112482"/>
      <c r="C112482"/>
      <c r="E112482"/>
      <c r="F112482"/>
    </row>
    <row r="112483" spans="1:6" x14ac:dyDescent="0.25">
      <c r="A112483"/>
      <c r="B112483"/>
      <c r="C112483"/>
      <c r="E112483"/>
      <c r="F112483"/>
    </row>
    <row r="112484" spans="1:6" x14ac:dyDescent="0.25">
      <c r="A112484"/>
      <c r="B112484"/>
      <c r="C112484"/>
      <c r="E112484"/>
      <c r="F112484"/>
    </row>
    <row r="112485" spans="1:6" x14ac:dyDescent="0.25">
      <c r="A112485"/>
      <c r="B112485"/>
      <c r="C112485"/>
      <c r="E112485"/>
      <c r="F112485"/>
    </row>
    <row r="112486" spans="1:6" x14ac:dyDescent="0.25">
      <c r="A112486"/>
      <c r="B112486"/>
      <c r="C112486"/>
      <c r="E112486"/>
      <c r="F112486"/>
    </row>
    <row r="112487" spans="1:6" x14ac:dyDescent="0.25">
      <c r="A112487"/>
      <c r="B112487"/>
      <c r="C112487"/>
      <c r="E112487"/>
      <c r="F112487"/>
    </row>
    <row r="112488" spans="1:6" x14ac:dyDescent="0.25">
      <c r="A112488"/>
      <c r="B112488"/>
      <c r="C112488"/>
      <c r="E112488"/>
      <c r="F112488"/>
    </row>
    <row r="112489" spans="1:6" x14ac:dyDescent="0.25">
      <c r="A112489"/>
      <c r="B112489"/>
      <c r="C112489"/>
      <c r="E112489"/>
      <c r="F112489"/>
    </row>
    <row r="112490" spans="1:6" x14ac:dyDescent="0.25">
      <c r="A112490"/>
      <c r="B112490"/>
      <c r="C112490"/>
      <c r="E112490"/>
      <c r="F112490"/>
    </row>
    <row r="112491" spans="1:6" x14ac:dyDescent="0.25">
      <c r="A112491"/>
      <c r="B112491"/>
      <c r="C112491"/>
      <c r="E112491"/>
      <c r="F112491"/>
    </row>
    <row r="112492" spans="1:6" x14ac:dyDescent="0.25">
      <c r="A112492"/>
      <c r="B112492"/>
      <c r="C112492"/>
      <c r="E112492"/>
      <c r="F112492"/>
    </row>
    <row r="112493" spans="1:6" x14ac:dyDescent="0.25">
      <c r="A112493"/>
      <c r="B112493"/>
      <c r="C112493"/>
      <c r="E112493"/>
      <c r="F112493"/>
    </row>
    <row r="112494" spans="1:6" x14ac:dyDescent="0.25">
      <c r="A112494"/>
      <c r="B112494"/>
      <c r="C112494"/>
      <c r="E112494"/>
      <c r="F112494"/>
    </row>
    <row r="112495" spans="1:6" x14ac:dyDescent="0.25">
      <c r="A112495"/>
      <c r="B112495"/>
      <c r="C112495"/>
      <c r="E112495"/>
      <c r="F112495"/>
    </row>
    <row r="112496" spans="1:6" x14ac:dyDescent="0.25">
      <c r="A112496"/>
      <c r="B112496"/>
      <c r="C112496"/>
      <c r="E112496"/>
      <c r="F112496"/>
    </row>
    <row r="112497" spans="1:6" x14ac:dyDescent="0.25">
      <c r="A112497"/>
      <c r="B112497"/>
      <c r="C112497"/>
      <c r="E112497"/>
      <c r="F112497"/>
    </row>
    <row r="112498" spans="1:6" x14ac:dyDescent="0.25">
      <c r="A112498"/>
      <c r="B112498"/>
      <c r="C112498"/>
      <c r="E112498"/>
      <c r="F112498"/>
    </row>
    <row r="112499" spans="1:6" x14ac:dyDescent="0.25">
      <c r="A112499"/>
      <c r="B112499"/>
      <c r="C112499"/>
      <c r="E112499"/>
      <c r="F112499"/>
    </row>
    <row r="112500" spans="1:6" x14ac:dyDescent="0.25">
      <c r="A112500"/>
      <c r="B112500"/>
      <c r="C112500"/>
      <c r="E112500"/>
      <c r="F112500"/>
    </row>
    <row r="112501" spans="1:6" x14ac:dyDescent="0.25">
      <c r="A112501"/>
      <c r="B112501"/>
      <c r="C112501"/>
      <c r="E112501"/>
      <c r="F112501"/>
    </row>
    <row r="112502" spans="1:6" x14ac:dyDescent="0.25">
      <c r="A112502"/>
      <c r="B112502"/>
      <c r="C112502"/>
      <c r="E112502"/>
      <c r="F112502"/>
    </row>
    <row r="112503" spans="1:6" x14ac:dyDescent="0.25">
      <c r="A112503"/>
      <c r="B112503"/>
      <c r="C112503"/>
      <c r="E112503"/>
      <c r="F112503"/>
    </row>
    <row r="112504" spans="1:6" x14ac:dyDescent="0.25">
      <c r="A112504"/>
      <c r="B112504"/>
      <c r="C112504"/>
      <c r="E112504"/>
      <c r="F112504"/>
    </row>
    <row r="112505" spans="1:6" x14ac:dyDescent="0.25">
      <c r="A112505"/>
      <c r="B112505"/>
      <c r="C112505"/>
      <c r="E112505"/>
      <c r="F112505"/>
    </row>
    <row r="112506" spans="1:6" x14ac:dyDescent="0.25">
      <c r="A112506"/>
      <c r="B112506"/>
      <c r="C112506"/>
      <c r="E112506"/>
      <c r="F112506"/>
    </row>
    <row r="112507" spans="1:6" x14ac:dyDescent="0.25">
      <c r="A112507"/>
      <c r="B112507"/>
      <c r="C112507"/>
      <c r="E112507"/>
      <c r="F112507"/>
    </row>
    <row r="112508" spans="1:6" x14ac:dyDescent="0.25">
      <c r="A112508"/>
      <c r="B112508"/>
      <c r="C112508"/>
      <c r="E112508"/>
      <c r="F112508"/>
    </row>
    <row r="112509" spans="1:6" x14ac:dyDescent="0.25">
      <c r="A112509"/>
      <c r="B112509"/>
      <c r="C112509"/>
      <c r="E112509"/>
      <c r="F112509"/>
    </row>
    <row r="112510" spans="1:6" x14ac:dyDescent="0.25">
      <c r="A112510"/>
      <c r="B112510"/>
      <c r="C112510"/>
      <c r="E112510"/>
      <c r="F112510"/>
    </row>
    <row r="112511" spans="1:6" x14ac:dyDescent="0.25">
      <c r="A112511"/>
      <c r="B112511"/>
      <c r="C112511"/>
      <c r="E112511"/>
      <c r="F112511"/>
    </row>
    <row r="112512" spans="1:6" x14ac:dyDescent="0.25">
      <c r="A112512"/>
      <c r="B112512"/>
      <c r="C112512"/>
      <c r="E112512"/>
      <c r="F112512"/>
    </row>
    <row r="112513" spans="1:6" x14ac:dyDescent="0.25">
      <c r="A112513"/>
      <c r="B112513"/>
      <c r="C112513"/>
      <c r="E112513"/>
      <c r="F112513"/>
    </row>
    <row r="112514" spans="1:6" x14ac:dyDescent="0.25">
      <c r="A112514"/>
      <c r="B112514"/>
      <c r="C112514"/>
      <c r="E112514"/>
      <c r="F112514"/>
    </row>
    <row r="112515" spans="1:6" x14ac:dyDescent="0.25">
      <c r="A112515"/>
      <c r="B112515"/>
      <c r="C112515"/>
      <c r="E112515"/>
      <c r="F112515"/>
    </row>
    <row r="112516" spans="1:6" x14ac:dyDescent="0.25">
      <c r="A112516"/>
      <c r="B112516"/>
      <c r="C112516"/>
      <c r="E112516"/>
      <c r="F112516"/>
    </row>
    <row r="112517" spans="1:6" x14ac:dyDescent="0.25">
      <c r="A112517"/>
      <c r="B112517"/>
      <c r="C112517"/>
      <c r="E112517"/>
      <c r="F112517"/>
    </row>
    <row r="112518" spans="1:6" x14ac:dyDescent="0.25">
      <c r="A112518"/>
      <c r="B112518"/>
      <c r="C112518"/>
      <c r="E112518"/>
      <c r="F112518"/>
    </row>
    <row r="112519" spans="1:6" x14ac:dyDescent="0.25">
      <c r="A112519"/>
      <c r="B112519"/>
      <c r="C112519"/>
      <c r="E112519"/>
      <c r="F112519"/>
    </row>
    <row r="112520" spans="1:6" x14ac:dyDescent="0.25">
      <c r="A112520"/>
      <c r="B112520"/>
      <c r="C112520"/>
      <c r="E112520"/>
      <c r="F112520"/>
    </row>
    <row r="112521" spans="1:6" x14ac:dyDescent="0.25">
      <c r="A112521"/>
      <c r="B112521"/>
      <c r="C112521"/>
      <c r="E112521"/>
      <c r="F112521"/>
    </row>
    <row r="112522" spans="1:6" x14ac:dyDescent="0.25">
      <c r="A112522"/>
      <c r="B112522"/>
      <c r="C112522"/>
      <c r="E112522"/>
      <c r="F112522"/>
    </row>
    <row r="112523" spans="1:6" x14ac:dyDescent="0.25">
      <c r="A112523"/>
      <c r="B112523"/>
      <c r="C112523"/>
      <c r="E112523"/>
      <c r="F112523"/>
    </row>
    <row r="112524" spans="1:6" x14ac:dyDescent="0.25">
      <c r="A112524"/>
      <c r="B112524"/>
      <c r="C112524"/>
      <c r="E112524"/>
      <c r="F112524"/>
    </row>
    <row r="112525" spans="1:6" x14ac:dyDescent="0.25">
      <c r="A112525"/>
      <c r="B112525"/>
      <c r="C112525"/>
      <c r="E112525"/>
      <c r="F112525"/>
    </row>
    <row r="112526" spans="1:6" x14ac:dyDescent="0.25">
      <c r="A112526"/>
      <c r="B112526"/>
      <c r="C112526"/>
      <c r="E112526"/>
      <c r="F112526"/>
    </row>
    <row r="112527" spans="1:6" x14ac:dyDescent="0.25">
      <c r="A112527"/>
      <c r="B112527"/>
      <c r="C112527"/>
      <c r="E112527"/>
      <c r="F112527"/>
    </row>
    <row r="112528" spans="1:6" x14ac:dyDescent="0.25">
      <c r="A112528"/>
      <c r="B112528"/>
      <c r="C112528"/>
      <c r="E112528"/>
      <c r="F112528"/>
    </row>
    <row r="112529" spans="1:6" x14ac:dyDescent="0.25">
      <c r="A112529"/>
      <c r="B112529"/>
      <c r="C112529"/>
      <c r="E112529"/>
      <c r="F112529"/>
    </row>
    <row r="112530" spans="1:6" x14ac:dyDescent="0.25">
      <c r="A112530"/>
      <c r="B112530"/>
      <c r="C112530"/>
      <c r="E112530"/>
      <c r="F112530"/>
    </row>
    <row r="112531" spans="1:6" x14ac:dyDescent="0.25">
      <c r="A112531"/>
      <c r="B112531"/>
      <c r="C112531"/>
      <c r="E112531"/>
      <c r="F112531"/>
    </row>
    <row r="112532" spans="1:6" x14ac:dyDescent="0.25">
      <c r="A112532"/>
      <c r="B112532"/>
      <c r="C112532"/>
      <c r="E112532"/>
      <c r="F112532"/>
    </row>
    <row r="112533" spans="1:6" x14ac:dyDescent="0.25">
      <c r="A112533"/>
      <c r="B112533"/>
      <c r="C112533"/>
      <c r="E112533"/>
      <c r="F112533"/>
    </row>
    <row r="112534" spans="1:6" x14ac:dyDescent="0.25">
      <c r="A112534"/>
      <c r="B112534"/>
      <c r="C112534"/>
      <c r="E112534"/>
      <c r="F112534"/>
    </row>
    <row r="112535" spans="1:6" x14ac:dyDescent="0.25">
      <c r="A112535"/>
      <c r="B112535"/>
      <c r="C112535"/>
      <c r="E112535"/>
      <c r="F112535"/>
    </row>
    <row r="112536" spans="1:6" x14ac:dyDescent="0.25">
      <c r="A112536"/>
      <c r="B112536"/>
      <c r="C112536"/>
      <c r="E112536"/>
      <c r="F112536"/>
    </row>
    <row r="112537" spans="1:6" x14ac:dyDescent="0.25">
      <c r="A112537"/>
      <c r="B112537"/>
      <c r="C112537"/>
      <c r="E112537"/>
      <c r="F112537"/>
    </row>
    <row r="112538" spans="1:6" x14ac:dyDescent="0.25">
      <c r="A112538"/>
      <c r="B112538"/>
      <c r="C112538"/>
      <c r="E112538"/>
      <c r="F112538"/>
    </row>
    <row r="112539" spans="1:6" x14ac:dyDescent="0.25">
      <c r="A112539"/>
      <c r="B112539"/>
      <c r="C112539"/>
      <c r="E112539"/>
      <c r="F112539"/>
    </row>
    <row r="112540" spans="1:6" x14ac:dyDescent="0.25">
      <c r="A112540"/>
      <c r="B112540"/>
      <c r="C112540"/>
      <c r="E112540"/>
      <c r="F112540"/>
    </row>
    <row r="112541" spans="1:6" x14ac:dyDescent="0.25">
      <c r="A112541"/>
      <c r="B112541"/>
      <c r="C112541"/>
      <c r="E112541"/>
      <c r="F112541"/>
    </row>
    <row r="112542" spans="1:6" x14ac:dyDescent="0.25">
      <c r="A112542"/>
      <c r="B112542"/>
      <c r="C112542"/>
      <c r="E112542"/>
      <c r="F112542"/>
    </row>
    <row r="112543" spans="1:6" x14ac:dyDescent="0.25">
      <c r="A112543"/>
      <c r="B112543"/>
      <c r="C112543"/>
      <c r="E112543"/>
      <c r="F112543"/>
    </row>
    <row r="112544" spans="1:6" x14ac:dyDescent="0.25">
      <c r="A112544"/>
      <c r="B112544"/>
      <c r="C112544"/>
      <c r="E112544"/>
      <c r="F112544"/>
    </row>
    <row r="112545" spans="1:6" x14ac:dyDescent="0.25">
      <c r="A112545"/>
      <c r="B112545"/>
      <c r="C112545"/>
      <c r="E112545"/>
      <c r="F112545"/>
    </row>
    <row r="112546" spans="1:6" x14ac:dyDescent="0.25">
      <c r="A112546"/>
      <c r="B112546"/>
      <c r="C112546"/>
      <c r="E112546"/>
      <c r="F112546"/>
    </row>
    <row r="112547" spans="1:6" x14ac:dyDescent="0.25">
      <c r="A112547"/>
      <c r="B112547"/>
      <c r="C112547"/>
      <c r="E112547"/>
      <c r="F112547"/>
    </row>
    <row r="112548" spans="1:6" x14ac:dyDescent="0.25">
      <c r="A112548"/>
      <c r="B112548"/>
      <c r="C112548"/>
      <c r="E112548"/>
      <c r="F112548"/>
    </row>
    <row r="112549" spans="1:6" x14ac:dyDescent="0.25">
      <c r="A112549"/>
      <c r="B112549"/>
      <c r="C112549"/>
      <c r="E112549"/>
      <c r="F112549"/>
    </row>
    <row r="112550" spans="1:6" x14ac:dyDescent="0.25">
      <c r="A112550"/>
      <c r="B112550"/>
      <c r="C112550"/>
      <c r="E112550"/>
      <c r="F112550"/>
    </row>
    <row r="112551" spans="1:6" x14ac:dyDescent="0.25">
      <c r="A112551"/>
      <c r="B112551"/>
      <c r="C112551"/>
      <c r="E112551"/>
      <c r="F112551"/>
    </row>
    <row r="112552" spans="1:6" x14ac:dyDescent="0.25">
      <c r="A112552"/>
      <c r="B112552"/>
      <c r="C112552"/>
      <c r="E112552"/>
      <c r="F112552"/>
    </row>
    <row r="112553" spans="1:6" x14ac:dyDescent="0.25">
      <c r="A112553"/>
      <c r="B112553"/>
      <c r="C112553"/>
      <c r="E112553"/>
      <c r="F112553"/>
    </row>
    <row r="112554" spans="1:6" x14ac:dyDescent="0.25">
      <c r="A112554"/>
      <c r="B112554"/>
      <c r="C112554"/>
      <c r="E112554"/>
      <c r="F112554"/>
    </row>
    <row r="112555" spans="1:6" x14ac:dyDescent="0.25">
      <c r="A112555"/>
      <c r="B112555"/>
      <c r="C112555"/>
      <c r="E112555"/>
      <c r="F112555"/>
    </row>
    <row r="112556" spans="1:6" x14ac:dyDescent="0.25">
      <c r="A112556"/>
      <c r="B112556"/>
      <c r="C112556"/>
      <c r="E112556"/>
      <c r="F112556"/>
    </row>
    <row r="112557" spans="1:6" x14ac:dyDescent="0.25">
      <c r="A112557"/>
      <c r="B112557"/>
      <c r="C112557"/>
      <c r="E112557"/>
      <c r="F112557"/>
    </row>
    <row r="112558" spans="1:6" x14ac:dyDescent="0.25">
      <c r="A112558"/>
      <c r="B112558"/>
      <c r="C112558"/>
      <c r="E112558"/>
      <c r="F112558"/>
    </row>
    <row r="112559" spans="1:6" x14ac:dyDescent="0.25">
      <c r="A112559"/>
      <c r="B112559"/>
      <c r="C112559"/>
      <c r="E112559"/>
      <c r="F112559"/>
    </row>
    <row r="112560" spans="1:6" x14ac:dyDescent="0.25">
      <c r="A112560"/>
      <c r="B112560"/>
      <c r="C112560"/>
      <c r="E112560"/>
      <c r="F112560"/>
    </row>
    <row r="112561" spans="1:6" x14ac:dyDescent="0.25">
      <c r="A112561"/>
      <c r="B112561"/>
      <c r="C112561"/>
      <c r="E112561"/>
      <c r="F112561"/>
    </row>
    <row r="112562" spans="1:6" x14ac:dyDescent="0.25">
      <c r="A112562"/>
      <c r="B112562"/>
      <c r="C112562"/>
      <c r="E112562"/>
      <c r="F112562"/>
    </row>
    <row r="112563" spans="1:6" x14ac:dyDescent="0.25">
      <c r="A112563"/>
      <c r="B112563"/>
      <c r="C112563"/>
      <c r="E112563"/>
      <c r="F112563"/>
    </row>
    <row r="112564" spans="1:6" x14ac:dyDescent="0.25">
      <c r="A112564"/>
      <c r="B112564"/>
      <c r="C112564"/>
      <c r="E112564"/>
      <c r="F112564"/>
    </row>
    <row r="112565" spans="1:6" x14ac:dyDescent="0.25">
      <c r="A112565"/>
      <c r="B112565"/>
      <c r="C112565"/>
      <c r="E112565"/>
      <c r="F112565"/>
    </row>
    <row r="112566" spans="1:6" x14ac:dyDescent="0.25">
      <c r="A112566"/>
      <c r="B112566"/>
      <c r="C112566"/>
      <c r="E112566"/>
      <c r="F112566"/>
    </row>
    <row r="112567" spans="1:6" x14ac:dyDescent="0.25">
      <c r="A112567"/>
      <c r="B112567"/>
      <c r="C112567"/>
      <c r="E112567"/>
      <c r="F112567"/>
    </row>
    <row r="112568" spans="1:6" x14ac:dyDescent="0.25">
      <c r="A112568"/>
      <c r="B112568"/>
      <c r="C112568"/>
      <c r="E112568"/>
      <c r="F112568"/>
    </row>
    <row r="112569" spans="1:6" x14ac:dyDescent="0.25">
      <c r="A112569"/>
      <c r="B112569"/>
      <c r="C112569"/>
      <c r="E112569"/>
      <c r="F112569"/>
    </row>
    <row r="112570" spans="1:6" x14ac:dyDescent="0.25">
      <c r="A112570"/>
      <c r="B112570"/>
      <c r="C112570"/>
      <c r="E112570"/>
      <c r="F112570"/>
    </row>
    <row r="112571" spans="1:6" x14ac:dyDescent="0.25">
      <c r="A112571"/>
      <c r="B112571"/>
      <c r="C112571"/>
      <c r="E112571"/>
      <c r="F112571"/>
    </row>
    <row r="112572" spans="1:6" x14ac:dyDescent="0.25">
      <c r="A112572"/>
      <c r="B112572"/>
      <c r="C112572"/>
      <c r="E112572"/>
      <c r="F112572"/>
    </row>
    <row r="112573" spans="1:6" x14ac:dyDescent="0.25">
      <c r="A112573"/>
      <c r="B112573"/>
      <c r="C112573"/>
      <c r="E112573"/>
      <c r="F112573"/>
    </row>
    <row r="112574" spans="1:6" x14ac:dyDescent="0.25">
      <c r="A112574"/>
      <c r="B112574"/>
      <c r="C112574"/>
      <c r="E112574"/>
      <c r="F112574"/>
    </row>
    <row r="112575" spans="1:6" x14ac:dyDescent="0.25">
      <c r="A112575"/>
      <c r="B112575"/>
      <c r="C112575"/>
      <c r="E112575"/>
      <c r="F112575"/>
    </row>
    <row r="112576" spans="1:6" x14ac:dyDescent="0.25">
      <c r="A112576"/>
      <c r="B112576"/>
      <c r="C112576"/>
      <c r="E112576"/>
      <c r="F112576"/>
    </row>
    <row r="112577" spans="1:6" x14ac:dyDescent="0.25">
      <c r="A112577"/>
      <c r="B112577"/>
      <c r="C112577"/>
      <c r="E112577"/>
      <c r="F112577"/>
    </row>
    <row r="112578" spans="1:6" x14ac:dyDescent="0.25">
      <c r="A112578"/>
      <c r="B112578"/>
      <c r="C112578"/>
      <c r="E112578"/>
      <c r="F112578"/>
    </row>
    <row r="112579" spans="1:6" x14ac:dyDescent="0.25">
      <c r="A112579"/>
      <c r="B112579"/>
      <c r="C112579"/>
      <c r="E112579"/>
      <c r="F112579"/>
    </row>
    <row r="112580" spans="1:6" x14ac:dyDescent="0.25">
      <c r="A112580"/>
      <c r="B112580"/>
      <c r="C112580"/>
      <c r="E112580"/>
      <c r="F112580"/>
    </row>
    <row r="112581" spans="1:6" x14ac:dyDescent="0.25">
      <c r="A112581"/>
      <c r="B112581"/>
      <c r="C112581"/>
      <c r="E112581"/>
      <c r="F112581"/>
    </row>
    <row r="112582" spans="1:6" x14ac:dyDescent="0.25">
      <c r="A112582"/>
      <c r="B112582"/>
      <c r="C112582"/>
      <c r="E112582"/>
      <c r="F112582"/>
    </row>
    <row r="112583" spans="1:6" x14ac:dyDescent="0.25">
      <c r="A112583"/>
      <c r="B112583"/>
      <c r="C112583"/>
      <c r="E112583"/>
      <c r="F112583"/>
    </row>
    <row r="112584" spans="1:6" x14ac:dyDescent="0.25">
      <c r="A112584"/>
      <c r="B112584"/>
      <c r="C112584"/>
      <c r="E112584"/>
      <c r="F112584"/>
    </row>
    <row r="112585" spans="1:6" x14ac:dyDescent="0.25">
      <c r="A112585"/>
      <c r="B112585"/>
      <c r="C112585"/>
      <c r="E112585"/>
      <c r="F112585"/>
    </row>
    <row r="112586" spans="1:6" x14ac:dyDescent="0.25">
      <c r="A112586"/>
      <c r="B112586"/>
      <c r="C112586"/>
      <c r="E112586"/>
      <c r="F112586"/>
    </row>
    <row r="112587" spans="1:6" x14ac:dyDescent="0.25">
      <c r="A112587"/>
      <c r="B112587"/>
      <c r="C112587"/>
      <c r="E112587"/>
      <c r="F112587"/>
    </row>
    <row r="112588" spans="1:6" x14ac:dyDescent="0.25">
      <c r="A112588"/>
      <c r="B112588"/>
      <c r="C112588"/>
      <c r="E112588"/>
      <c r="F112588"/>
    </row>
    <row r="112589" spans="1:6" x14ac:dyDescent="0.25">
      <c r="A112589"/>
      <c r="B112589"/>
      <c r="C112589"/>
      <c r="E112589"/>
      <c r="F112589"/>
    </row>
    <row r="112590" spans="1:6" x14ac:dyDescent="0.25">
      <c r="A112590"/>
      <c r="B112590"/>
      <c r="C112590"/>
      <c r="E112590"/>
      <c r="F112590"/>
    </row>
    <row r="112591" spans="1:6" x14ac:dyDescent="0.25">
      <c r="A112591"/>
      <c r="B112591"/>
      <c r="C112591"/>
      <c r="E112591"/>
      <c r="F112591"/>
    </row>
    <row r="112592" spans="1:6" x14ac:dyDescent="0.25">
      <c r="A112592"/>
      <c r="B112592"/>
      <c r="C112592"/>
      <c r="E112592"/>
      <c r="F112592"/>
    </row>
    <row r="112593" spans="1:6" x14ac:dyDescent="0.25">
      <c r="A112593"/>
      <c r="B112593"/>
      <c r="C112593"/>
      <c r="E112593"/>
      <c r="F112593"/>
    </row>
    <row r="112594" spans="1:6" x14ac:dyDescent="0.25">
      <c r="A112594"/>
      <c r="B112594"/>
      <c r="C112594"/>
      <c r="E112594"/>
      <c r="F112594"/>
    </row>
    <row r="112595" spans="1:6" x14ac:dyDescent="0.25">
      <c r="A112595"/>
      <c r="B112595"/>
      <c r="C112595"/>
      <c r="E112595"/>
      <c r="F112595"/>
    </row>
    <row r="112596" spans="1:6" x14ac:dyDescent="0.25">
      <c r="A112596"/>
      <c r="B112596"/>
      <c r="C112596"/>
      <c r="E112596"/>
      <c r="F112596"/>
    </row>
    <row r="112597" spans="1:6" x14ac:dyDescent="0.25">
      <c r="A112597"/>
      <c r="B112597"/>
      <c r="C112597"/>
      <c r="E112597"/>
      <c r="F112597"/>
    </row>
    <row r="112598" spans="1:6" x14ac:dyDescent="0.25">
      <c r="A112598"/>
      <c r="B112598"/>
      <c r="C112598"/>
      <c r="E112598"/>
      <c r="F112598"/>
    </row>
    <row r="112599" spans="1:6" x14ac:dyDescent="0.25">
      <c r="A112599"/>
      <c r="B112599"/>
      <c r="C112599"/>
      <c r="E112599"/>
      <c r="F112599"/>
    </row>
    <row r="112600" spans="1:6" x14ac:dyDescent="0.25">
      <c r="A112600"/>
      <c r="B112600"/>
      <c r="C112600"/>
      <c r="E112600"/>
      <c r="F112600"/>
    </row>
    <row r="112601" spans="1:6" x14ac:dyDescent="0.25">
      <c r="A112601"/>
      <c r="B112601"/>
      <c r="C112601"/>
      <c r="E112601"/>
      <c r="F112601"/>
    </row>
    <row r="112602" spans="1:6" x14ac:dyDescent="0.25">
      <c r="A112602"/>
      <c r="B112602"/>
      <c r="C112602"/>
      <c r="E112602"/>
      <c r="F112602"/>
    </row>
    <row r="112603" spans="1:6" x14ac:dyDescent="0.25">
      <c r="A112603"/>
      <c r="B112603"/>
      <c r="C112603"/>
      <c r="E112603"/>
      <c r="F112603"/>
    </row>
    <row r="112604" spans="1:6" x14ac:dyDescent="0.25">
      <c r="A112604"/>
      <c r="B112604"/>
      <c r="C112604"/>
      <c r="E112604"/>
      <c r="F112604"/>
    </row>
    <row r="112605" spans="1:6" x14ac:dyDescent="0.25">
      <c r="A112605"/>
      <c r="B112605"/>
      <c r="C112605"/>
      <c r="E112605"/>
      <c r="F112605"/>
    </row>
    <row r="112606" spans="1:6" x14ac:dyDescent="0.25">
      <c r="A112606"/>
      <c r="B112606"/>
      <c r="C112606"/>
      <c r="E112606"/>
      <c r="F112606"/>
    </row>
    <row r="112607" spans="1:6" x14ac:dyDescent="0.25">
      <c r="A112607"/>
      <c r="B112607"/>
      <c r="C112607"/>
      <c r="E112607"/>
      <c r="F112607"/>
    </row>
    <row r="112608" spans="1:6" x14ac:dyDescent="0.25">
      <c r="A112608"/>
      <c r="B112608"/>
      <c r="C112608"/>
      <c r="E112608"/>
      <c r="F112608"/>
    </row>
    <row r="112609" spans="1:6" x14ac:dyDescent="0.25">
      <c r="A112609"/>
      <c r="B112609"/>
      <c r="C112609"/>
      <c r="E112609"/>
      <c r="F112609"/>
    </row>
    <row r="112610" spans="1:6" x14ac:dyDescent="0.25">
      <c r="A112610"/>
      <c r="B112610"/>
      <c r="C112610"/>
      <c r="E112610"/>
      <c r="F112610"/>
    </row>
    <row r="112611" spans="1:6" x14ac:dyDescent="0.25">
      <c r="A112611"/>
      <c r="B112611"/>
      <c r="C112611"/>
      <c r="E112611"/>
      <c r="F112611"/>
    </row>
    <row r="112612" spans="1:6" x14ac:dyDescent="0.25">
      <c r="A112612"/>
      <c r="B112612"/>
      <c r="C112612"/>
      <c r="E112612"/>
      <c r="F112612"/>
    </row>
    <row r="112613" spans="1:6" x14ac:dyDescent="0.25">
      <c r="A112613"/>
      <c r="B112613"/>
      <c r="C112613"/>
      <c r="E112613"/>
      <c r="F112613"/>
    </row>
    <row r="112614" spans="1:6" x14ac:dyDescent="0.25">
      <c r="A112614"/>
      <c r="B112614"/>
      <c r="C112614"/>
      <c r="E112614"/>
      <c r="F112614"/>
    </row>
    <row r="112615" spans="1:6" x14ac:dyDescent="0.25">
      <c r="A112615"/>
      <c r="B112615"/>
      <c r="C112615"/>
      <c r="E112615"/>
      <c r="F112615"/>
    </row>
    <row r="112616" spans="1:6" x14ac:dyDescent="0.25">
      <c r="A112616"/>
      <c r="B112616"/>
      <c r="C112616"/>
      <c r="E112616"/>
      <c r="F112616"/>
    </row>
    <row r="112617" spans="1:6" x14ac:dyDescent="0.25">
      <c r="A112617"/>
      <c r="B112617"/>
      <c r="C112617"/>
      <c r="E112617"/>
      <c r="F112617"/>
    </row>
    <row r="112618" spans="1:6" x14ac:dyDescent="0.25">
      <c r="A112618"/>
      <c r="B112618"/>
      <c r="C112618"/>
      <c r="E112618"/>
      <c r="F112618"/>
    </row>
    <row r="112619" spans="1:6" x14ac:dyDescent="0.25">
      <c r="A112619"/>
      <c r="B112619"/>
      <c r="C112619"/>
      <c r="E112619"/>
      <c r="F112619"/>
    </row>
    <row r="112620" spans="1:6" x14ac:dyDescent="0.25">
      <c r="A112620"/>
      <c r="B112620"/>
      <c r="C112620"/>
      <c r="E112620"/>
      <c r="F112620"/>
    </row>
    <row r="112621" spans="1:6" x14ac:dyDescent="0.25">
      <c r="A112621"/>
      <c r="B112621"/>
      <c r="C112621"/>
      <c r="E112621"/>
      <c r="F112621"/>
    </row>
    <row r="112622" spans="1:6" x14ac:dyDescent="0.25">
      <c r="A112622"/>
      <c r="B112622"/>
      <c r="C112622"/>
      <c r="E112622"/>
      <c r="F112622"/>
    </row>
    <row r="112623" spans="1:6" x14ac:dyDescent="0.25">
      <c r="A112623"/>
      <c r="B112623"/>
      <c r="C112623"/>
      <c r="E112623"/>
      <c r="F112623"/>
    </row>
    <row r="112624" spans="1:6" x14ac:dyDescent="0.25">
      <c r="A112624"/>
      <c r="B112624"/>
      <c r="C112624"/>
      <c r="E112624"/>
      <c r="F112624"/>
    </row>
    <row r="112625" spans="1:6" x14ac:dyDescent="0.25">
      <c r="A112625"/>
      <c r="B112625"/>
      <c r="C112625"/>
      <c r="E112625"/>
      <c r="F112625"/>
    </row>
    <row r="112626" spans="1:6" x14ac:dyDescent="0.25">
      <c r="A112626"/>
      <c r="B112626"/>
      <c r="C112626"/>
      <c r="E112626"/>
      <c r="F112626"/>
    </row>
    <row r="112627" spans="1:6" x14ac:dyDescent="0.25">
      <c r="A112627"/>
      <c r="B112627"/>
      <c r="C112627"/>
      <c r="E112627"/>
      <c r="F112627"/>
    </row>
    <row r="112628" spans="1:6" x14ac:dyDescent="0.25">
      <c r="A112628"/>
      <c r="B112628"/>
      <c r="C112628"/>
      <c r="E112628"/>
      <c r="F112628"/>
    </row>
    <row r="112629" spans="1:6" x14ac:dyDescent="0.25">
      <c r="A112629"/>
      <c r="B112629"/>
      <c r="C112629"/>
      <c r="E112629"/>
      <c r="F112629"/>
    </row>
    <row r="112630" spans="1:6" x14ac:dyDescent="0.25">
      <c r="A112630"/>
      <c r="B112630"/>
      <c r="C112630"/>
      <c r="E112630"/>
      <c r="F112630"/>
    </row>
    <row r="112631" spans="1:6" x14ac:dyDescent="0.25">
      <c r="A112631"/>
      <c r="B112631"/>
      <c r="C112631"/>
      <c r="E112631"/>
      <c r="F112631"/>
    </row>
    <row r="112632" spans="1:6" x14ac:dyDescent="0.25">
      <c r="A112632"/>
      <c r="B112632"/>
      <c r="C112632"/>
      <c r="E112632"/>
      <c r="F112632"/>
    </row>
    <row r="112633" spans="1:6" x14ac:dyDescent="0.25">
      <c r="A112633"/>
      <c r="B112633"/>
      <c r="C112633"/>
      <c r="E112633"/>
      <c r="F112633"/>
    </row>
    <row r="112634" spans="1:6" x14ac:dyDescent="0.25">
      <c r="A112634"/>
      <c r="B112634"/>
      <c r="C112634"/>
      <c r="E112634"/>
      <c r="F112634"/>
    </row>
    <row r="112635" spans="1:6" x14ac:dyDescent="0.25">
      <c r="A112635"/>
      <c r="B112635"/>
      <c r="C112635"/>
      <c r="E112635"/>
      <c r="F112635"/>
    </row>
    <row r="112636" spans="1:6" x14ac:dyDescent="0.25">
      <c r="A112636"/>
      <c r="B112636"/>
      <c r="C112636"/>
      <c r="E112636"/>
      <c r="F112636"/>
    </row>
    <row r="112637" spans="1:6" x14ac:dyDescent="0.25">
      <c r="A112637"/>
      <c r="B112637"/>
      <c r="C112637"/>
      <c r="E112637"/>
      <c r="F112637"/>
    </row>
    <row r="112638" spans="1:6" x14ac:dyDescent="0.25">
      <c r="A112638"/>
      <c r="B112638"/>
      <c r="C112638"/>
      <c r="E112638"/>
      <c r="F112638"/>
    </row>
    <row r="112639" spans="1:6" x14ac:dyDescent="0.25">
      <c r="A112639"/>
      <c r="B112639"/>
      <c r="C112639"/>
      <c r="E112639"/>
      <c r="F112639"/>
    </row>
    <row r="112640" spans="1:6" x14ac:dyDescent="0.25">
      <c r="A112640"/>
      <c r="B112640"/>
      <c r="C112640"/>
      <c r="E112640"/>
      <c r="F112640"/>
    </row>
    <row r="112641" spans="1:6" x14ac:dyDescent="0.25">
      <c r="A112641"/>
      <c r="B112641"/>
      <c r="C112641"/>
      <c r="E112641"/>
      <c r="F112641"/>
    </row>
    <row r="112642" spans="1:6" x14ac:dyDescent="0.25">
      <c r="A112642"/>
      <c r="B112642"/>
      <c r="C112642"/>
      <c r="E112642"/>
      <c r="F112642"/>
    </row>
    <row r="112643" spans="1:6" x14ac:dyDescent="0.25">
      <c r="A112643"/>
      <c r="B112643"/>
      <c r="C112643"/>
      <c r="E112643"/>
      <c r="F112643"/>
    </row>
    <row r="112644" spans="1:6" x14ac:dyDescent="0.25">
      <c r="A112644"/>
      <c r="B112644"/>
      <c r="C112644"/>
      <c r="E112644"/>
      <c r="F112644"/>
    </row>
    <row r="112645" spans="1:6" x14ac:dyDescent="0.25">
      <c r="A112645"/>
      <c r="B112645"/>
      <c r="C112645"/>
      <c r="E112645"/>
      <c r="F112645"/>
    </row>
    <row r="112646" spans="1:6" x14ac:dyDescent="0.25">
      <c r="A112646"/>
      <c r="B112646"/>
      <c r="C112646"/>
      <c r="E112646"/>
      <c r="F112646"/>
    </row>
    <row r="112647" spans="1:6" x14ac:dyDescent="0.25">
      <c r="A112647"/>
      <c r="B112647"/>
      <c r="C112647"/>
      <c r="E112647"/>
      <c r="F112647"/>
    </row>
    <row r="112648" spans="1:6" x14ac:dyDescent="0.25">
      <c r="A112648"/>
      <c r="B112648"/>
      <c r="C112648"/>
      <c r="E112648"/>
      <c r="F112648"/>
    </row>
    <row r="112649" spans="1:6" x14ac:dyDescent="0.25">
      <c r="A112649"/>
      <c r="B112649"/>
      <c r="C112649"/>
      <c r="E112649"/>
      <c r="F112649"/>
    </row>
    <row r="112650" spans="1:6" x14ac:dyDescent="0.25">
      <c r="A112650"/>
      <c r="B112650"/>
      <c r="C112650"/>
      <c r="E112650"/>
      <c r="F112650"/>
    </row>
    <row r="112651" spans="1:6" x14ac:dyDescent="0.25">
      <c r="A112651"/>
      <c r="B112651"/>
      <c r="C112651"/>
      <c r="E112651"/>
      <c r="F112651"/>
    </row>
    <row r="112652" spans="1:6" x14ac:dyDescent="0.25">
      <c r="A112652"/>
      <c r="B112652"/>
      <c r="C112652"/>
      <c r="E112652"/>
      <c r="F112652"/>
    </row>
    <row r="112653" spans="1:6" x14ac:dyDescent="0.25">
      <c r="A112653"/>
      <c r="B112653"/>
      <c r="C112653"/>
      <c r="E112653"/>
      <c r="F112653"/>
    </row>
    <row r="112654" spans="1:6" x14ac:dyDescent="0.25">
      <c r="A112654"/>
      <c r="B112654"/>
      <c r="C112654"/>
      <c r="E112654"/>
      <c r="F112654"/>
    </row>
    <row r="112655" spans="1:6" x14ac:dyDescent="0.25">
      <c r="A112655"/>
      <c r="B112655"/>
      <c r="C112655"/>
      <c r="E112655"/>
      <c r="F112655"/>
    </row>
    <row r="112656" spans="1:6" x14ac:dyDescent="0.25">
      <c r="A112656"/>
      <c r="B112656"/>
      <c r="C112656"/>
      <c r="E112656"/>
      <c r="F112656"/>
    </row>
    <row r="112657" spans="1:6" x14ac:dyDescent="0.25">
      <c r="A112657"/>
      <c r="B112657"/>
      <c r="C112657"/>
      <c r="E112657"/>
      <c r="F112657"/>
    </row>
    <row r="112658" spans="1:6" x14ac:dyDescent="0.25">
      <c r="A112658"/>
      <c r="B112658"/>
      <c r="C112658"/>
      <c r="E112658"/>
      <c r="F112658"/>
    </row>
    <row r="112659" spans="1:6" x14ac:dyDescent="0.25">
      <c r="A112659"/>
      <c r="B112659"/>
      <c r="C112659"/>
      <c r="E112659"/>
      <c r="F112659"/>
    </row>
    <row r="112660" spans="1:6" x14ac:dyDescent="0.25">
      <c r="A112660"/>
      <c r="B112660"/>
      <c r="C112660"/>
      <c r="E112660"/>
      <c r="F112660"/>
    </row>
    <row r="112661" spans="1:6" x14ac:dyDescent="0.25">
      <c r="A112661"/>
      <c r="B112661"/>
      <c r="C112661"/>
      <c r="E112661"/>
      <c r="F112661"/>
    </row>
    <row r="112662" spans="1:6" x14ac:dyDescent="0.25">
      <c r="A112662"/>
      <c r="B112662"/>
      <c r="C112662"/>
      <c r="E112662"/>
      <c r="F112662"/>
    </row>
    <row r="112663" spans="1:6" x14ac:dyDescent="0.25">
      <c r="A112663"/>
      <c r="B112663"/>
      <c r="C112663"/>
      <c r="E112663"/>
      <c r="F112663"/>
    </row>
    <row r="112664" spans="1:6" x14ac:dyDescent="0.25">
      <c r="A112664"/>
      <c r="B112664"/>
      <c r="C112664"/>
      <c r="E112664"/>
      <c r="F112664"/>
    </row>
    <row r="112665" spans="1:6" x14ac:dyDescent="0.25">
      <c r="A112665"/>
      <c r="B112665"/>
      <c r="C112665"/>
      <c r="E112665"/>
      <c r="F112665"/>
    </row>
    <row r="112666" spans="1:6" x14ac:dyDescent="0.25">
      <c r="A112666"/>
      <c r="B112666"/>
      <c r="C112666"/>
      <c r="E112666"/>
      <c r="F112666"/>
    </row>
    <row r="112667" spans="1:6" x14ac:dyDescent="0.25">
      <c r="A112667"/>
      <c r="B112667"/>
      <c r="C112667"/>
      <c r="E112667"/>
      <c r="F112667"/>
    </row>
    <row r="112668" spans="1:6" x14ac:dyDescent="0.25">
      <c r="A112668"/>
      <c r="B112668"/>
      <c r="C112668"/>
      <c r="E112668"/>
      <c r="F112668"/>
    </row>
    <row r="112669" spans="1:6" x14ac:dyDescent="0.25">
      <c r="A112669"/>
      <c r="B112669"/>
      <c r="C112669"/>
      <c r="E112669"/>
      <c r="F112669"/>
    </row>
    <row r="112670" spans="1:6" x14ac:dyDescent="0.25">
      <c r="A112670"/>
      <c r="B112670"/>
      <c r="C112670"/>
      <c r="E112670"/>
      <c r="F112670"/>
    </row>
    <row r="112671" spans="1:6" x14ac:dyDescent="0.25">
      <c r="A112671"/>
      <c r="B112671"/>
      <c r="C112671"/>
      <c r="E112671"/>
      <c r="F112671"/>
    </row>
    <row r="112672" spans="1:6" x14ac:dyDescent="0.25">
      <c r="A112672"/>
      <c r="B112672"/>
      <c r="C112672"/>
      <c r="E112672"/>
      <c r="F112672"/>
    </row>
    <row r="112673" spans="1:6" x14ac:dyDescent="0.25">
      <c r="A112673"/>
      <c r="B112673"/>
      <c r="C112673"/>
      <c r="E112673"/>
      <c r="F112673"/>
    </row>
    <row r="112674" spans="1:6" x14ac:dyDescent="0.25">
      <c r="A112674"/>
      <c r="B112674"/>
      <c r="C112674"/>
      <c r="E112674"/>
      <c r="F112674"/>
    </row>
    <row r="112675" spans="1:6" x14ac:dyDescent="0.25">
      <c r="A112675"/>
      <c r="B112675"/>
      <c r="C112675"/>
      <c r="E112675"/>
      <c r="F112675"/>
    </row>
    <row r="112676" spans="1:6" x14ac:dyDescent="0.25">
      <c r="A112676"/>
      <c r="B112676"/>
      <c r="C112676"/>
      <c r="E112676"/>
      <c r="F112676"/>
    </row>
    <row r="112677" spans="1:6" x14ac:dyDescent="0.25">
      <c r="A112677"/>
      <c r="B112677"/>
      <c r="C112677"/>
      <c r="E112677"/>
      <c r="F112677"/>
    </row>
    <row r="112678" spans="1:6" x14ac:dyDescent="0.25">
      <c r="A112678"/>
      <c r="B112678"/>
      <c r="C112678"/>
      <c r="E112678"/>
      <c r="F112678"/>
    </row>
    <row r="112679" spans="1:6" x14ac:dyDescent="0.25">
      <c r="A112679"/>
      <c r="B112679"/>
      <c r="C112679"/>
      <c r="E112679"/>
      <c r="F112679"/>
    </row>
    <row r="112680" spans="1:6" x14ac:dyDescent="0.25">
      <c r="A112680"/>
      <c r="B112680"/>
      <c r="C112680"/>
      <c r="E112680"/>
      <c r="F112680"/>
    </row>
    <row r="112681" spans="1:6" x14ac:dyDescent="0.25">
      <c r="A112681"/>
      <c r="B112681"/>
      <c r="C112681"/>
      <c r="E112681"/>
      <c r="F112681"/>
    </row>
    <row r="112682" spans="1:6" x14ac:dyDescent="0.25">
      <c r="A112682"/>
      <c r="B112682"/>
      <c r="C112682"/>
      <c r="E112682"/>
      <c r="F112682"/>
    </row>
    <row r="112683" spans="1:6" x14ac:dyDescent="0.25">
      <c r="A112683"/>
      <c r="B112683"/>
      <c r="C112683"/>
      <c r="E112683"/>
      <c r="F112683"/>
    </row>
    <row r="112684" spans="1:6" x14ac:dyDescent="0.25">
      <c r="A112684"/>
      <c r="B112684"/>
      <c r="C112684"/>
      <c r="E112684"/>
      <c r="F112684"/>
    </row>
    <row r="112685" spans="1:6" x14ac:dyDescent="0.25">
      <c r="A112685"/>
      <c r="B112685"/>
      <c r="C112685"/>
      <c r="E112685"/>
      <c r="F112685"/>
    </row>
    <row r="112686" spans="1:6" x14ac:dyDescent="0.25">
      <c r="A112686"/>
      <c r="B112686"/>
      <c r="C112686"/>
      <c r="E112686"/>
      <c r="F112686"/>
    </row>
    <row r="112687" spans="1:6" x14ac:dyDescent="0.25">
      <c r="A112687"/>
      <c r="B112687"/>
      <c r="C112687"/>
      <c r="E112687"/>
      <c r="F112687"/>
    </row>
    <row r="112688" spans="1:6" x14ac:dyDescent="0.25">
      <c r="A112688"/>
      <c r="B112688"/>
      <c r="C112688"/>
      <c r="E112688"/>
      <c r="F112688"/>
    </row>
    <row r="112689" spans="1:6" x14ac:dyDescent="0.25">
      <c r="A112689"/>
      <c r="B112689"/>
      <c r="C112689"/>
      <c r="E112689"/>
      <c r="F112689"/>
    </row>
    <row r="112690" spans="1:6" x14ac:dyDescent="0.25">
      <c r="A112690"/>
      <c r="B112690"/>
      <c r="C112690"/>
      <c r="E112690"/>
      <c r="F112690"/>
    </row>
    <row r="112691" spans="1:6" x14ac:dyDescent="0.25">
      <c r="A112691"/>
      <c r="B112691"/>
      <c r="C112691"/>
      <c r="E112691"/>
      <c r="F112691"/>
    </row>
    <row r="112692" spans="1:6" x14ac:dyDescent="0.25">
      <c r="A112692"/>
      <c r="B112692"/>
      <c r="C112692"/>
      <c r="E112692"/>
      <c r="F112692"/>
    </row>
    <row r="112693" spans="1:6" x14ac:dyDescent="0.25">
      <c r="A112693"/>
      <c r="B112693"/>
      <c r="C112693"/>
      <c r="E112693"/>
      <c r="F112693"/>
    </row>
    <row r="112694" spans="1:6" x14ac:dyDescent="0.25">
      <c r="A112694"/>
      <c r="B112694"/>
      <c r="C112694"/>
      <c r="E112694"/>
      <c r="F112694"/>
    </row>
    <row r="112695" spans="1:6" x14ac:dyDescent="0.25">
      <c r="A112695"/>
      <c r="B112695"/>
      <c r="C112695"/>
      <c r="E112695"/>
      <c r="F112695"/>
    </row>
    <row r="112696" spans="1:6" x14ac:dyDescent="0.25">
      <c r="A112696"/>
      <c r="B112696"/>
      <c r="C112696"/>
      <c r="E112696"/>
      <c r="F112696"/>
    </row>
    <row r="112697" spans="1:6" x14ac:dyDescent="0.25">
      <c r="A112697"/>
      <c r="B112697"/>
      <c r="C112697"/>
      <c r="E112697"/>
      <c r="F112697"/>
    </row>
    <row r="112698" spans="1:6" x14ac:dyDescent="0.25">
      <c r="A112698"/>
      <c r="B112698"/>
      <c r="C112698"/>
      <c r="E112698"/>
      <c r="F112698"/>
    </row>
    <row r="112699" spans="1:6" x14ac:dyDescent="0.25">
      <c r="A112699"/>
      <c r="B112699"/>
      <c r="C112699"/>
      <c r="E112699"/>
      <c r="F112699"/>
    </row>
    <row r="112700" spans="1:6" x14ac:dyDescent="0.25">
      <c r="A112700"/>
      <c r="B112700"/>
      <c r="C112700"/>
      <c r="E112700"/>
      <c r="F112700"/>
    </row>
    <row r="112701" spans="1:6" x14ac:dyDescent="0.25">
      <c r="A112701"/>
      <c r="B112701"/>
      <c r="C112701"/>
      <c r="E112701"/>
      <c r="F112701"/>
    </row>
    <row r="112702" spans="1:6" x14ac:dyDescent="0.25">
      <c r="A112702"/>
      <c r="B112702"/>
      <c r="C112702"/>
      <c r="E112702"/>
      <c r="F112702"/>
    </row>
    <row r="112703" spans="1:6" x14ac:dyDescent="0.25">
      <c r="A112703"/>
      <c r="B112703"/>
      <c r="C112703"/>
      <c r="E112703"/>
      <c r="F112703"/>
    </row>
    <row r="112704" spans="1:6" x14ac:dyDescent="0.25">
      <c r="A112704"/>
      <c r="B112704"/>
      <c r="C112704"/>
      <c r="E112704"/>
      <c r="F112704"/>
    </row>
    <row r="112705" spans="1:6" x14ac:dyDescent="0.25">
      <c r="A112705"/>
      <c r="B112705"/>
      <c r="C112705"/>
      <c r="E112705"/>
      <c r="F112705"/>
    </row>
    <row r="112706" spans="1:6" x14ac:dyDescent="0.25">
      <c r="A112706"/>
      <c r="B112706"/>
      <c r="C112706"/>
      <c r="E112706"/>
      <c r="F112706"/>
    </row>
    <row r="112707" spans="1:6" x14ac:dyDescent="0.25">
      <c r="A112707"/>
      <c r="B112707"/>
      <c r="C112707"/>
      <c r="E112707"/>
      <c r="F112707"/>
    </row>
    <row r="112708" spans="1:6" x14ac:dyDescent="0.25">
      <c r="A112708"/>
      <c r="B112708"/>
      <c r="C112708"/>
      <c r="E112708"/>
      <c r="F112708"/>
    </row>
    <row r="112709" spans="1:6" x14ac:dyDescent="0.25">
      <c r="A112709"/>
      <c r="B112709"/>
      <c r="C112709"/>
      <c r="E112709"/>
      <c r="F112709"/>
    </row>
    <row r="112710" spans="1:6" x14ac:dyDescent="0.25">
      <c r="A112710"/>
      <c r="B112710"/>
      <c r="C112710"/>
      <c r="E112710"/>
      <c r="F112710"/>
    </row>
    <row r="112711" spans="1:6" x14ac:dyDescent="0.25">
      <c r="A112711"/>
      <c r="B112711"/>
      <c r="C112711"/>
      <c r="E112711"/>
      <c r="F112711"/>
    </row>
    <row r="112712" spans="1:6" x14ac:dyDescent="0.25">
      <c r="A112712"/>
      <c r="B112712"/>
      <c r="C112712"/>
      <c r="E112712"/>
      <c r="F112712"/>
    </row>
    <row r="112713" spans="1:6" x14ac:dyDescent="0.25">
      <c r="A112713"/>
      <c r="B112713"/>
      <c r="C112713"/>
      <c r="E112713"/>
      <c r="F112713"/>
    </row>
    <row r="112714" spans="1:6" x14ac:dyDescent="0.25">
      <c r="A112714"/>
      <c r="B112714"/>
      <c r="C112714"/>
      <c r="E112714"/>
      <c r="F112714"/>
    </row>
    <row r="112715" spans="1:6" x14ac:dyDescent="0.25">
      <c r="A112715"/>
      <c r="B112715"/>
      <c r="C112715"/>
      <c r="E112715"/>
      <c r="F112715"/>
    </row>
    <row r="112716" spans="1:6" x14ac:dyDescent="0.25">
      <c r="A112716"/>
      <c r="B112716"/>
      <c r="C112716"/>
      <c r="E112716"/>
      <c r="F112716"/>
    </row>
    <row r="112717" spans="1:6" x14ac:dyDescent="0.25">
      <c r="A112717"/>
      <c r="B112717"/>
      <c r="C112717"/>
      <c r="E112717"/>
      <c r="F112717"/>
    </row>
    <row r="112718" spans="1:6" x14ac:dyDescent="0.25">
      <c r="A112718"/>
      <c r="B112718"/>
      <c r="C112718"/>
      <c r="E112718"/>
      <c r="F112718"/>
    </row>
    <row r="112719" spans="1:6" x14ac:dyDescent="0.25">
      <c r="A112719"/>
      <c r="B112719"/>
      <c r="C112719"/>
      <c r="E112719"/>
      <c r="F112719"/>
    </row>
    <row r="112720" spans="1:6" x14ac:dyDescent="0.25">
      <c r="A112720"/>
      <c r="B112720"/>
      <c r="C112720"/>
      <c r="E112720"/>
      <c r="F112720"/>
    </row>
    <row r="112721" spans="1:6" x14ac:dyDescent="0.25">
      <c r="A112721"/>
      <c r="B112721"/>
      <c r="C112721"/>
      <c r="E112721"/>
      <c r="F112721"/>
    </row>
    <row r="112722" spans="1:6" x14ac:dyDescent="0.25">
      <c r="A112722"/>
      <c r="B112722"/>
      <c r="C112722"/>
      <c r="E112722"/>
      <c r="F112722"/>
    </row>
    <row r="112723" spans="1:6" x14ac:dyDescent="0.25">
      <c r="A112723"/>
      <c r="B112723"/>
      <c r="C112723"/>
      <c r="E112723"/>
      <c r="F112723"/>
    </row>
    <row r="112724" spans="1:6" x14ac:dyDescent="0.25">
      <c r="A112724"/>
      <c r="B112724"/>
      <c r="C112724"/>
      <c r="E112724"/>
      <c r="F112724"/>
    </row>
    <row r="112725" spans="1:6" x14ac:dyDescent="0.25">
      <c r="A112725"/>
      <c r="B112725"/>
      <c r="C112725"/>
      <c r="E112725"/>
      <c r="F112725"/>
    </row>
    <row r="112726" spans="1:6" x14ac:dyDescent="0.25">
      <c r="A112726"/>
      <c r="B112726"/>
      <c r="C112726"/>
      <c r="E112726"/>
      <c r="F112726"/>
    </row>
    <row r="112727" spans="1:6" x14ac:dyDescent="0.25">
      <c r="A112727"/>
      <c r="B112727"/>
      <c r="C112727"/>
      <c r="E112727"/>
      <c r="F112727"/>
    </row>
    <row r="112728" spans="1:6" x14ac:dyDescent="0.25">
      <c r="A112728"/>
      <c r="B112728"/>
      <c r="C112728"/>
      <c r="E112728"/>
      <c r="F112728"/>
    </row>
    <row r="112729" spans="1:6" x14ac:dyDescent="0.25">
      <c r="A112729"/>
      <c r="B112729"/>
      <c r="C112729"/>
      <c r="E112729"/>
      <c r="F112729"/>
    </row>
    <row r="112730" spans="1:6" x14ac:dyDescent="0.25">
      <c r="A112730"/>
      <c r="B112730"/>
      <c r="C112730"/>
      <c r="E112730"/>
      <c r="F112730"/>
    </row>
    <row r="112731" spans="1:6" x14ac:dyDescent="0.25">
      <c r="A112731"/>
      <c r="B112731"/>
      <c r="C112731"/>
      <c r="E112731"/>
      <c r="F112731"/>
    </row>
    <row r="112732" spans="1:6" x14ac:dyDescent="0.25">
      <c r="A112732"/>
      <c r="B112732"/>
      <c r="C112732"/>
      <c r="E112732"/>
      <c r="F112732"/>
    </row>
    <row r="112733" spans="1:6" x14ac:dyDescent="0.25">
      <c r="A112733"/>
      <c r="B112733"/>
      <c r="C112733"/>
      <c r="E112733"/>
      <c r="F112733"/>
    </row>
    <row r="112734" spans="1:6" x14ac:dyDescent="0.25">
      <c r="A112734"/>
      <c r="B112734"/>
      <c r="C112734"/>
      <c r="E112734"/>
      <c r="F112734"/>
    </row>
    <row r="112735" spans="1:6" x14ac:dyDescent="0.25">
      <c r="A112735"/>
      <c r="B112735"/>
      <c r="C112735"/>
      <c r="E112735"/>
      <c r="F112735"/>
    </row>
    <row r="112736" spans="1:6" x14ac:dyDescent="0.25">
      <c r="A112736"/>
      <c r="B112736"/>
      <c r="C112736"/>
      <c r="E112736"/>
      <c r="F112736"/>
    </row>
    <row r="112737" spans="1:6" x14ac:dyDescent="0.25">
      <c r="A112737"/>
      <c r="B112737"/>
      <c r="C112737"/>
      <c r="E112737"/>
      <c r="F112737"/>
    </row>
    <row r="112738" spans="1:6" x14ac:dyDescent="0.25">
      <c r="A112738"/>
      <c r="B112738"/>
      <c r="C112738"/>
      <c r="E112738"/>
      <c r="F112738"/>
    </row>
    <row r="112739" spans="1:6" x14ac:dyDescent="0.25">
      <c r="A112739"/>
      <c r="B112739"/>
      <c r="C112739"/>
      <c r="E112739"/>
      <c r="F112739"/>
    </row>
    <row r="112740" spans="1:6" x14ac:dyDescent="0.25">
      <c r="A112740"/>
      <c r="B112740"/>
      <c r="C112740"/>
      <c r="E112740"/>
      <c r="F112740"/>
    </row>
    <row r="112741" spans="1:6" x14ac:dyDescent="0.25">
      <c r="A112741"/>
      <c r="B112741"/>
      <c r="C112741"/>
      <c r="E112741"/>
      <c r="F112741"/>
    </row>
    <row r="112742" spans="1:6" x14ac:dyDescent="0.25">
      <c r="A112742"/>
      <c r="B112742"/>
      <c r="C112742"/>
      <c r="E112742"/>
      <c r="F112742"/>
    </row>
    <row r="112743" spans="1:6" x14ac:dyDescent="0.25">
      <c r="A112743"/>
      <c r="B112743"/>
      <c r="C112743"/>
      <c r="E112743"/>
      <c r="F112743"/>
    </row>
    <row r="112744" spans="1:6" x14ac:dyDescent="0.25">
      <c r="A112744"/>
      <c r="B112744"/>
      <c r="C112744"/>
      <c r="E112744"/>
      <c r="F112744"/>
    </row>
    <row r="112745" spans="1:6" x14ac:dyDescent="0.25">
      <c r="A112745"/>
      <c r="B112745"/>
      <c r="C112745"/>
      <c r="E112745"/>
      <c r="F112745"/>
    </row>
    <row r="112746" spans="1:6" x14ac:dyDescent="0.25">
      <c r="A112746"/>
      <c r="B112746"/>
      <c r="C112746"/>
      <c r="E112746"/>
      <c r="F112746"/>
    </row>
    <row r="112747" spans="1:6" x14ac:dyDescent="0.25">
      <c r="A112747"/>
      <c r="B112747"/>
      <c r="C112747"/>
      <c r="E112747"/>
      <c r="F112747"/>
    </row>
    <row r="112748" spans="1:6" x14ac:dyDescent="0.25">
      <c r="A112748"/>
      <c r="B112748"/>
      <c r="C112748"/>
      <c r="E112748"/>
      <c r="F112748"/>
    </row>
    <row r="112749" spans="1:6" x14ac:dyDescent="0.25">
      <c r="A112749"/>
      <c r="B112749"/>
      <c r="C112749"/>
      <c r="E112749"/>
      <c r="F112749"/>
    </row>
    <row r="112750" spans="1:6" x14ac:dyDescent="0.25">
      <c r="A112750"/>
      <c r="B112750"/>
      <c r="C112750"/>
      <c r="E112750"/>
      <c r="F112750"/>
    </row>
    <row r="112751" spans="1:6" x14ac:dyDescent="0.25">
      <c r="A112751"/>
      <c r="B112751"/>
      <c r="C112751"/>
      <c r="E112751"/>
      <c r="F112751"/>
    </row>
    <row r="112752" spans="1:6" x14ac:dyDescent="0.25">
      <c r="A112752"/>
      <c r="B112752"/>
      <c r="C112752"/>
      <c r="E112752"/>
      <c r="F112752"/>
    </row>
    <row r="112753" spans="1:6" x14ac:dyDescent="0.25">
      <c r="A112753"/>
      <c r="B112753"/>
      <c r="C112753"/>
      <c r="E112753"/>
      <c r="F112753"/>
    </row>
    <row r="112754" spans="1:6" x14ac:dyDescent="0.25">
      <c r="A112754"/>
      <c r="B112754"/>
      <c r="C112754"/>
      <c r="E112754"/>
      <c r="F112754"/>
    </row>
    <row r="112755" spans="1:6" x14ac:dyDescent="0.25">
      <c r="A112755"/>
      <c r="B112755"/>
      <c r="C112755"/>
      <c r="E112755"/>
      <c r="F112755"/>
    </row>
    <row r="112756" spans="1:6" x14ac:dyDescent="0.25">
      <c r="A112756"/>
      <c r="B112756"/>
      <c r="C112756"/>
      <c r="E112756"/>
      <c r="F112756"/>
    </row>
    <row r="112757" spans="1:6" x14ac:dyDescent="0.25">
      <c r="A112757"/>
      <c r="B112757"/>
      <c r="C112757"/>
      <c r="E112757"/>
      <c r="F112757"/>
    </row>
    <row r="112758" spans="1:6" x14ac:dyDescent="0.25">
      <c r="A112758"/>
      <c r="B112758"/>
      <c r="C112758"/>
      <c r="E112758"/>
      <c r="F112758"/>
    </row>
    <row r="112759" spans="1:6" x14ac:dyDescent="0.25">
      <c r="A112759"/>
      <c r="B112759"/>
      <c r="C112759"/>
      <c r="E112759"/>
      <c r="F112759"/>
    </row>
    <row r="112760" spans="1:6" x14ac:dyDescent="0.25">
      <c r="A112760"/>
      <c r="B112760"/>
      <c r="C112760"/>
      <c r="E112760"/>
      <c r="F112760"/>
    </row>
    <row r="112761" spans="1:6" x14ac:dyDescent="0.25">
      <c r="A112761"/>
      <c r="B112761"/>
      <c r="C112761"/>
      <c r="E112761"/>
      <c r="F112761"/>
    </row>
    <row r="112762" spans="1:6" x14ac:dyDescent="0.25">
      <c r="A112762"/>
      <c r="B112762"/>
      <c r="C112762"/>
      <c r="E112762"/>
      <c r="F112762"/>
    </row>
    <row r="112763" spans="1:6" x14ac:dyDescent="0.25">
      <c r="A112763"/>
      <c r="B112763"/>
      <c r="C112763"/>
      <c r="E112763"/>
      <c r="F112763"/>
    </row>
    <row r="112764" spans="1:6" x14ac:dyDescent="0.25">
      <c r="A112764"/>
      <c r="B112764"/>
      <c r="C112764"/>
      <c r="E112764"/>
      <c r="F112764"/>
    </row>
    <row r="112765" spans="1:6" x14ac:dyDescent="0.25">
      <c r="A112765"/>
      <c r="B112765"/>
      <c r="C112765"/>
      <c r="E112765"/>
      <c r="F112765"/>
    </row>
    <row r="112766" spans="1:6" x14ac:dyDescent="0.25">
      <c r="A112766"/>
      <c r="B112766"/>
      <c r="C112766"/>
      <c r="E112766"/>
      <c r="F112766"/>
    </row>
    <row r="112767" spans="1:6" x14ac:dyDescent="0.25">
      <c r="A112767"/>
      <c r="B112767"/>
      <c r="C112767"/>
      <c r="E112767"/>
      <c r="F112767"/>
    </row>
    <row r="112768" spans="1:6" x14ac:dyDescent="0.25">
      <c r="A112768"/>
      <c r="B112768"/>
      <c r="C112768"/>
      <c r="E112768"/>
      <c r="F112768"/>
    </row>
    <row r="112769" spans="1:6" x14ac:dyDescent="0.25">
      <c r="A112769"/>
      <c r="B112769"/>
      <c r="C112769"/>
      <c r="E112769"/>
      <c r="F112769"/>
    </row>
    <row r="112770" spans="1:6" x14ac:dyDescent="0.25">
      <c r="A112770"/>
      <c r="B112770"/>
      <c r="C112770"/>
      <c r="E112770"/>
      <c r="F112770"/>
    </row>
    <row r="112771" spans="1:6" x14ac:dyDescent="0.25">
      <c r="A112771"/>
      <c r="B112771"/>
      <c r="C112771"/>
      <c r="E112771"/>
      <c r="F112771"/>
    </row>
    <row r="112772" spans="1:6" x14ac:dyDescent="0.25">
      <c r="A112772"/>
      <c r="B112772"/>
      <c r="C112772"/>
      <c r="E112772"/>
      <c r="F112772"/>
    </row>
    <row r="112773" spans="1:6" x14ac:dyDescent="0.25">
      <c r="A112773"/>
      <c r="B112773"/>
      <c r="C112773"/>
      <c r="E112773"/>
      <c r="F112773"/>
    </row>
    <row r="112774" spans="1:6" x14ac:dyDescent="0.25">
      <c r="A112774"/>
      <c r="B112774"/>
      <c r="C112774"/>
      <c r="E112774"/>
      <c r="F112774"/>
    </row>
    <row r="112775" spans="1:6" x14ac:dyDescent="0.25">
      <c r="A112775"/>
      <c r="B112775"/>
      <c r="C112775"/>
      <c r="E112775"/>
      <c r="F112775"/>
    </row>
    <row r="112776" spans="1:6" x14ac:dyDescent="0.25">
      <c r="A112776"/>
      <c r="B112776"/>
      <c r="C112776"/>
      <c r="E112776"/>
      <c r="F112776"/>
    </row>
    <row r="112777" spans="1:6" x14ac:dyDescent="0.25">
      <c r="A112777"/>
      <c r="B112777"/>
      <c r="C112777"/>
      <c r="E112777"/>
      <c r="F112777"/>
    </row>
    <row r="112778" spans="1:6" x14ac:dyDescent="0.25">
      <c r="A112778"/>
      <c r="B112778"/>
      <c r="C112778"/>
      <c r="E112778"/>
      <c r="F112778"/>
    </row>
    <row r="112779" spans="1:6" x14ac:dyDescent="0.25">
      <c r="A112779"/>
      <c r="B112779"/>
      <c r="C112779"/>
      <c r="E112779"/>
      <c r="F112779"/>
    </row>
    <row r="112780" spans="1:6" x14ac:dyDescent="0.25">
      <c r="A112780"/>
      <c r="B112780"/>
      <c r="C112780"/>
      <c r="E112780"/>
      <c r="F112780"/>
    </row>
    <row r="112781" spans="1:6" x14ac:dyDescent="0.25">
      <c r="A112781"/>
      <c r="B112781"/>
      <c r="C112781"/>
      <c r="E112781"/>
      <c r="F112781"/>
    </row>
    <row r="112782" spans="1:6" x14ac:dyDescent="0.25">
      <c r="A112782"/>
      <c r="B112782"/>
      <c r="C112782"/>
      <c r="E112782"/>
      <c r="F112782"/>
    </row>
    <row r="112783" spans="1:6" x14ac:dyDescent="0.25">
      <c r="A112783"/>
      <c r="B112783"/>
      <c r="C112783"/>
      <c r="E112783"/>
      <c r="F112783"/>
    </row>
    <row r="112784" spans="1:6" x14ac:dyDescent="0.25">
      <c r="A112784"/>
      <c r="B112784"/>
      <c r="C112784"/>
      <c r="E112784"/>
      <c r="F112784"/>
    </row>
    <row r="112785" spans="1:6" x14ac:dyDescent="0.25">
      <c r="A112785"/>
      <c r="B112785"/>
      <c r="C112785"/>
      <c r="E112785"/>
      <c r="F112785"/>
    </row>
    <row r="112786" spans="1:6" x14ac:dyDescent="0.25">
      <c r="A112786"/>
      <c r="B112786"/>
      <c r="C112786"/>
      <c r="E112786"/>
      <c r="F112786"/>
    </row>
    <row r="112787" spans="1:6" x14ac:dyDescent="0.25">
      <c r="A112787"/>
      <c r="B112787"/>
      <c r="C112787"/>
      <c r="E112787"/>
      <c r="F112787"/>
    </row>
    <row r="112788" spans="1:6" x14ac:dyDescent="0.25">
      <c r="A112788"/>
      <c r="B112788"/>
      <c r="C112788"/>
      <c r="E112788"/>
      <c r="F112788"/>
    </row>
    <row r="112789" spans="1:6" x14ac:dyDescent="0.25">
      <c r="A112789"/>
      <c r="B112789"/>
      <c r="C112789"/>
      <c r="E112789"/>
      <c r="F112789"/>
    </row>
    <row r="112790" spans="1:6" x14ac:dyDescent="0.25">
      <c r="A112790"/>
      <c r="B112790"/>
      <c r="C112790"/>
      <c r="E112790"/>
      <c r="F112790"/>
    </row>
    <row r="112791" spans="1:6" x14ac:dyDescent="0.25">
      <c r="A112791"/>
      <c r="B112791"/>
      <c r="C112791"/>
      <c r="E112791"/>
      <c r="F112791"/>
    </row>
    <row r="112792" spans="1:6" x14ac:dyDescent="0.25">
      <c r="A112792"/>
      <c r="B112792"/>
      <c r="C112792"/>
      <c r="E112792"/>
      <c r="F112792"/>
    </row>
    <row r="112793" spans="1:6" x14ac:dyDescent="0.25">
      <c r="A112793"/>
      <c r="B112793"/>
      <c r="C112793"/>
      <c r="E112793"/>
      <c r="F112793"/>
    </row>
    <row r="112794" spans="1:6" x14ac:dyDescent="0.25">
      <c r="A112794"/>
      <c r="B112794"/>
      <c r="C112794"/>
      <c r="E112794"/>
      <c r="F112794"/>
    </row>
    <row r="112795" spans="1:6" x14ac:dyDescent="0.25">
      <c r="A112795"/>
      <c r="B112795"/>
      <c r="C112795"/>
      <c r="E112795"/>
      <c r="F112795"/>
    </row>
    <row r="112796" spans="1:6" x14ac:dyDescent="0.25">
      <c r="A112796"/>
      <c r="B112796"/>
      <c r="C112796"/>
      <c r="E112796"/>
      <c r="F112796"/>
    </row>
    <row r="112797" spans="1:6" x14ac:dyDescent="0.25">
      <c r="A112797"/>
      <c r="B112797"/>
      <c r="C112797"/>
      <c r="E112797"/>
      <c r="F112797"/>
    </row>
    <row r="112798" spans="1:6" x14ac:dyDescent="0.25">
      <c r="A112798"/>
      <c r="B112798"/>
      <c r="C112798"/>
      <c r="E112798"/>
      <c r="F112798"/>
    </row>
    <row r="112799" spans="1:6" x14ac:dyDescent="0.25">
      <c r="A112799"/>
      <c r="B112799"/>
      <c r="C112799"/>
      <c r="E112799"/>
      <c r="F112799"/>
    </row>
    <row r="112800" spans="1:6" x14ac:dyDescent="0.25">
      <c r="A112800"/>
      <c r="B112800"/>
      <c r="C112800"/>
      <c r="E112800"/>
      <c r="F112800"/>
    </row>
    <row r="112801" spans="1:6" x14ac:dyDescent="0.25">
      <c r="A112801"/>
      <c r="B112801"/>
      <c r="C112801"/>
      <c r="E112801"/>
      <c r="F112801"/>
    </row>
    <row r="112802" spans="1:6" x14ac:dyDescent="0.25">
      <c r="A112802"/>
      <c r="B112802"/>
      <c r="C112802"/>
      <c r="E112802"/>
      <c r="F112802"/>
    </row>
    <row r="112803" spans="1:6" x14ac:dyDescent="0.25">
      <c r="A112803"/>
      <c r="B112803"/>
      <c r="C112803"/>
      <c r="E112803"/>
      <c r="F112803"/>
    </row>
    <row r="112804" spans="1:6" x14ac:dyDescent="0.25">
      <c r="A112804"/>
      <c r="B112804"/>
      <c r="C112804"/>
      <c r="E112804"/>
      <c r="F112804"/>
    </row>
    <row r="112805" spans="1:6" x14ac:dyDescent="0.25">
      <c r="A112805"/>
      <c r="B112805"/>
      <c r="C112805"/>
      <c r="E112805"/>
      <c r="F112805"/>
    </row>
    <row r="112806" spans="1:6" x14ac:dyDescent="0.25">
      <c r="A112806"/>
      <c r="B112806"/>
      <c r="C112806"/>
      <c r="E112806"/>
      <c r="F112806"/>
    </row>
    <row r="112807" spans="1:6" x14ac:dyDescent="0.25">
      <c r="A112807"/>
      <c r="B112807"/>
      <c r="C112807"/>
      <c r="E112807"/>
      <c r="F112807"/>
    </row>
    <row r="112808" spans="1:6" x14ac:dyDescent="0.25">
      <c r="A112808"/>
      <c r="B112808"/>
      <c r="C112808"/>
      <c r="E112808"/>
      <c r="F112808"/>
    </row>
    <row r="112809" spans="1:6" x14ac:dyDescent="0.25">
      <c r="A112809"/>
      <c r="B112809"/>
      <c r="C112809"/>
      <c r="E112809"/>
      <c r="F112809"/>
    </row>
    <row r="112810" spans="1:6" x14ac:dyDescent="0.25">
      <c r="A112810"/>
      <c r="B112810"/>
      <c r="C112810"/>
      <c r="E112810"/>
      <c r="F112810"/>
    </row>
    <row r="112811" spans="1:6" x14ac:dyDescent="0.25">
      <c r="A112811"/>
      <c r="B112811"/>
      <c r="C112811"/>
      <c r="E112811"/>
      <c r="F112811"/>
    </row>
    <row r="112812" spans="1:6" x14ac:dyDescent="0.25">
      <c r="A112812"/>
      <c r="B112812"/>
      <c r="C112812"/>
      <c r="E112812"/>
      <c r="F112812"/>
    </row>
    <row r="112813" spans="1:6" x14ac:dyDescent="0.25">
      <c r="A112813"/>
      <c r="B112813"/>
      <c r="C112813"/>
      <c r="E112813"/>
      <c r="F112813"/>
    </row>
    <row r="112814" spans="1:6" x14ac:dyDescent="0.25">
      <c r="A112814"/>
      <c r="B112814"/>
      <c r="C112814"/>
      <c r="E112814"/>
      <c r="F112814"/>
    </row>
    <row r="112815" spans="1:6" x14ac:dyDescent="0.25">
      <c r="A112815"/>
      <c r="B112815"/>
      <c r="C112815"/>
      <c r="E112815"/>
      <c r="F112815"/>
    </row>
    <row r="112816" spans="1:6" x14ac:dyDescent="0.25">
      <c r="A112816"/>
      <c r="B112816"/>
      <c r="C112816"/>
      <c r="E112816"/>
      <c r="F112816"/>
    </row>
    <row r="112817" spans="1:6" x14ac:dyDescent="0.25">
      <c r="A112817"/>
      <c r="B112817"/>
      <c r="C112817"/>
      <c r="E112817"/>
      <c r="F112817"/>
    </row>
    <row r="112818" spans="1:6" x14ac:dyDescent="0.25">
      <c r="A112818"/>
      <c r="B112818"/>
      <c r="C112818"/>
      <c r="E112818"/>
      <c r="F112818"/>
    </row>
    <row r="112819" spans="1:6" x14ac:dyDescent="0.25">
      <c r="A112819"/>
      <c r="B112819"/>
      <c r="C112819"/>
      <c r="E112819"/>
      <c r="F112819"/>
    </row>
    <row r="112820" spans="1:6" x14ac:dyDescent="0.25">
      <c r="A112820"/>
      <c r="B112820"/>
      <c r="C112820"/>
      <c r="E112820"/>
      <c r="F112820"/>
    </row>
    <row r="112821" spans="1:6" x14ac:dyDescent="0.25">
      <c r="A112821"/>
      <c r="B112821"/>
      <c r="C112821"/>
      <c r="E112821"/>
      <c r="F112821"/>
    </row>
    <row r="112822" spans="1:6" x14ac:dyDescent="0.25">
      <c r="A112822"/>
      <c r="B112822"/>
      <c r="C112822"/>
      <c r="E112822"/>
      <c r="F112822"/>
    </row>
    <row r="112823" spans="1:6" x14ac:dyDescent="0.25">
      <c r="A112823"/>
      <c r="B112823"/>
      <c r="C112823"/>
      <c r="E112823"/>
      <c r="F112823"/>
    </row>
    <row r="112824" spans="1:6" x14ac:dyDescent="0.25">
      <c r="A112824"/>
      <c r="B112824"/>
      <c r="C112824"/>
      <c r="E112824"/>
      <c r="F112824"/>
    </row>
    <row r="112825" spans="1:6" x14ac:dyDescent="0.25">
      <c r="A112825"/>
      <c r="B112825"/>
      <c r="C112825"/>
      <c r="E112825"/>
      <c r="F112825"/>
    </row>
    <row r="112826" spans="1:6" x14ac:dyDescent="0.25">
      <c r="A112826"/>
      <c r="B112826"/>
      <c r="C112826"/>
      <c r="E112826"/>
      <c r="F112826"/>
    </row>
    <row r="112827" spans="1:6" x14ac:dyDescent="0.25">
      <c r="A112827"/>
      <c r="B112827"/>
      <c r="C112827"/>
      <c r="E112827"/>
      <c r="F112827"/>
    </row>
    <row r="112828" spans="1:6" x14ac:dyDescent="0.25">
      <c r="A112828"/>
      <c r="B112828"/>
      <c r="C112828"/>
      <c r="E112828"/>
      <c r="F112828"/>
    </row>
    <row r="112829" spans="1:6" x14ac:dyDescent="0.25">
      <c r="A112829"/>
      <c r="B112829"/>
      <c r="C112829"/>
      <c r="E112829"/>
      <c r="F112829"/>
    </row>
    <row r="112830" spans="1:6" x14ac:dyDescent="0.25">
      <c r="A112830"/>
      <c r="B112830"/>
      <c r="C112830"/>
      <c r="E112830"/>
      <c r="F112830"/>
    </row>
    <row r="112831" spans="1:6" x14ac:dyDescent="0.25">
      <c r="A112831"/>
      <c r="B112831"/>
      <c r="C112831"/>
      <c r="E112831"/>
      <c r="F112831"/>
    </row>
    <row r="112832" spans="1:6" x14ac:dyDescent="0.25">
      <c r="A112832"/>
      <c r="B112832"/>
      <c r="C112832"/>
      <c r="E112832"/>
      <c r="F112832"/>
    </row>
    <row r="112833" spans="1:6" x14ac:dyDescent="0.25">
      <c r="A112833"/>
      <c r="B112833"/>
      <c r="C112833"/>
      <c r="E112833"/>
      <c r="F112833"/>
    </row>
    <row r="112834" spans="1:6" x14ac:dyDescent="0.25">
      <c r="A112834"/>
      <c r="B112834"/>
      <c r="C112834"/>
      <c r="E112834"/>
      <c r="F112834"/>
    </row>
    <row r="112835" spans="1:6" x14ac:dyDescent="0.25">
      <c r="A112835"/>
      <c r="B112835"/>
      <c r="C112835"/>
      <c r="E112835"/>
      <c r="F112835"/>
    </row>
    <row r="112836" spans="1:6" x14ac:dyDescent="0.25">
      <c r="A112836"/>
      <c r="B112836"/>
      <c r="C112836"/>
      <c r="E112836"/>
      <c r="F112836"/>
    </row>
    <row r="112837" spans="1:6" x14ac:dyDescent="0.25">
      <c r="A112837"/>
      <c r="B112837"/>
      <c r="C112837"/>
      <c r="E112837"/>
      <c r="F112837"/>
    </row>
    <row r="112838" spans="1:6" x14ac:dyDescent="0.25">
      <c r="A112838"/>
      <c r="B112838"/>
      <c r="C112838"/>
      <c r="E112838"/>
      <c r="F112838"/>
    </row>
    <row r="112839" spans="1:6" x14ac:dyDescent="0.25">
      <c r="A112839"/>
      <c r="B112839"/>
      <c r="C112839"/>
      <c r="E112839"/>
      <c r="F112839"/>
    </row>
    <row r="112840" spans="1:6" x14ac:dyDescent="0.25">
      <c r="A112840"/>
      <c r="B112840"/>
      <c r="C112840"/>
      <c r="E112840"/>
      <c r="F112840"/>
    </row>
    <row r="112841" spans="1:6" x14ac:dyDescent="0.25">
      <c r="A112841"/>
      <c r="B112841"/>
      <c r="C112841"/>
      <c r="E112841"/>
      <c r="F112841"/>
    </row>
    <row r="112842" spans="1:6" x14ac:dyDescent="0.25">
      <c r="A112842"/>
      <c r="B112842"/>
      <c r="C112842"/>
      <c r="E112842"/>
      <c r="F112842"/>
    </row>
    <row r="112843" spans="1:6" x14ac:dyDescent="0.25">
      <c r="A112843"/>
      <c r="B112843"/>
      <c r="C112843"/>
      <c r="E112843"/>
      <c r="F112843"/>
    </row>
    <row r="112844" spans="1:6" x14ac:dyDescent="0.25">
      <c r="A112844"/>
      <c r="B112844"/>
      <c r="C112844"/>
      <c r="E112844"/>
      <c r="F112844"/>
    </row>
    <row r="112845" spans="1:6" x14ac:dyDescent="0.25">
      <c r="A112845"/>
      <c r="B112845"/>
      <c r="C112845"/>
      <c r="E112845"/>
      <c r="F112845"/>
    </row>
    <row r="112846" spans="1:6" x14ac:dyDescent="0.25">
      <c r="A112846"/>
      <c r="B112846"/>
      <c r="C112846"/>
      <c r="E112846"/>
      <c r="F112846"/>
    </row>
    <row r="112847" spans="1:6" x14ac:dyDescent="0.25">
      <c r="A112847"/>
      <c r="B112847"/>
      <c r="C112847"/>
      <c r="E112847"/>
      <c r="F112847"/>
    </row>
    <row r="112848" spans="1:6" x14ac:dyDescent="0.25">
      <c r="A112848"/>
      <c r="B112848"/>
      <c r="C112848"/>
      <c r="E112848"/>
      <c r="F112848"/>
    </row>
    <row r="112849" spans="1:6" x14ac:dyDescent="0.25">
      <c r="A112849"/>
      <c r="B112849"/>
      <c r="C112849"/>
      <c r="E112849"/>
      <c r="F112849"/>
    </row>
    <row r="112850" spans="1:6" x14ac:dyDescent="0.25">
      <c r="A112850"/>
      <c r="B112850"/>
      <c r="C112850"/>
      <c r="E112850"/>
      <c r="F112850"/>
    </row>
    <row r="112851" spans="1:6" x14ac:dyDescent="0.25">
      <c r="A112851"/>
      <c r="B112851"/>
      <c r="C112851"/>
      <c r="E112851"/>
      <c r="F112851"/>
    </row>
    <row r="112852" spans="1:6" x14ac:dyDescent="0.25">
      <c r="A112852"/>
      <c r="B112852"/>
      <c r="C112852"/>
      <c r="E112852"/>
      <c r="F112852"/>
    </row>
    <row r="112853" spans="1:6" x14ac:dyDescent="0.25">
      <c r="A112853"/>
      <c r="B112853"/>
      <c r="C112853"/>
      <c r="E112853"/>
      <c r="F112853"/>
    </row>
    <row r="112854" spans="1:6" x14ac:dyDescent="0.25">
      <c r="A112854"/>
      <c r="B112854"/>
      <c r="C112854"/>
      <c r="E112854"/>
      <c r="F112854"/>
    </row>
    <row r="112855" spans="1:6" x14ac:dyDescent="0.25">
      <c r="A112855"/>
      <c r="B112855"/>
      <c r="C112855"/>
      <c r="E112855"/>
      <c r="F112855"/>
    </row>
    <row r="112856" spans="1:6" x14ac:dyDescent="0.25">
      <c r="A112856"/>
      <c r="B112856"/>
      <c r="C112856"/>
      <c r="E112856"/>
      <c r="F112856"/>
    </row>
    <row r="112857" spans="1:6" x14ac:dyDescent="0.25">
      <c r="A112857"/>
      <c r="B112857"/>
      <c r="C112857"/>
      <c r="E112857"/>
      <c r="F112857"/>
    </row>
    <row r="112858" spans="1:6" x14ac:dyDescent="0.25">
      <c r="A112858"/>
      <c r="B112858"/>
      <c r="C112858"/>
      <c r="E112858"/>
      <c r="F112858"/>
    </row>
    <row r="112859" spans="1:6" x14ac:dyDescent="0.25">
      <c r="A112859"/>
      <c r="B112859"/>
      <c r="C112859"/>
      <c r="E112859"/>
      <c r="F112859"/>
    </row>
    <row r="112860" spans="1:6" x14ac:dyDescent="0.25">
      <c r="A112860"/>
      <c r="B112860"/>
      <c r="C112860"/>
      <c r="E112860"/>
      <c r="F112860"/>
    </row>
    <row r="112861" spans="1:6" x14ac:dyDescent="0.25">
      <c r="A112861"/>
      <c r="B112861"/>
      <c r="C112861"/>
      <c r="E112861"/>
      <c r="F112861"/>
    </row>
    <row r="112862" spans="1:6" x14ac:dyDescent="0.25">
      <c r="A112862"/>
      <c r="B112862"/>
      <c r="C112862"/>
      <c r="E112862"/>
      <c r="F112862"/>
    </row>
    <row r="112863" spans="1:6" x14ac:dyDescent="0.25">
      <c r="A112863"/>
      <c r="B112863"/>
      <c r="C112863"/>
      <c r="E112863"/>
      <c r="F112863"/>
    </row>
    <row r="112864" spans="1:6" x14ac:dyDescent="0.25">
      <c r="A112864"/>
      <c r="B112864"/>
      <c r="C112864"/>
      <c r="E112864"/>
      <c r="F112864"/>
    </row>
    <row r="112865" spans="1:6" x14ac:dyDescent="0.25">
      <c r="A112865"/>
      <c r="B112865"/>
      <c r="C112865"/>
      <c r="E112865"/>
      <c r="F112865"/>
    </row>
    <row r="112866" spans="1:6" x14ac:dyDescent="0.25">
      <c r="A112866"/>
      <c r="B112866"/>
      <c r="C112866"/>
      <c r="E112866"/>
      <c r="F112866"/>
    </row>
    <row r="112867" spans="1:6" x14ac:dyDescent="0.25">
      <c r="A112867"/>
      <c r="B112867"/>
      <c r="C112867"/>
      <c r="E112867"/>
      <c r="F112867"/>
    </row>
    <row r="112868" spans="1:6" x14ac:dyDescent="0.25">
      <c r="A112868"/>
      <c r="B112868"/>
      <c r="C112868"/>
      <c r="E112868"/>
      <c r="F112868"/>
    </row>
    <row r="112869" spans="1:6" x14ac:dyDescent="0.25">
      <c r="A112869"/>
      <c r="B112869"/>
      <c r="C112869"/>
      <c r="E112869"/>
      <c r="F112869"/>
    </row>
    <row r="112870" spans="1:6" x14ac:dyDescent="0.25">
      <c r="A112870"/>
      <c r="B112870"/>
      <c r="C112870"/>
      <c r="E112870"/>
      <c r="F112870"/>
    </row>
    <row r="112871" spans="1:6" x14ac:dyDescent="0.25">
      <c r="A112871"/>
      <c r="B112871"/>
      <c r="C112871"/>
      <c r="E112871"/>
      <c r="F112871"/>
    </row>
    <row r="112872" spans="1:6" x14ac:dyDescent="0.25">
      <c r="A112872"/>
      <c r="B112872"/>
      <c r="C112872"/>
      <c r="E112872"/>
      <c r="F112872"/>
    </row>
    <row r="112873" spans="1:6" x14ac:dyDescent="0.25">
      <c r="A112873"/>
      <c r="B112873"/>
      <c r="C112873"/>
      <c r="E112873"/>
      <c r="F112873"/>
    </row>
    <row r="112874" spans="1:6" x14ac:dyDescent="0.25">
      <c r="A112874"/>
      <c r="B112874"/>
      <c r="C112874"/>
      <c r="E112874"/>
      <c r="F112874"/>
    </row>
    <row r="112875" spans="1:6" x14ac:dyDescent="0.25">
      <c r="A112875"/>
      <c r="B112875"/>
      <c r="C112875"/>
      <c r="E112875"/>
      <c r="F112875"/>
    </row>
    <row r="112876" spans="1:6" x14ac:dyDescent="0.25">
      <c r="A112876"/>
      <c r="B112876"/>
      <c r="C112876"/>
      <c r="E112876"/>
      <c r="F112876"/>
    </row>
    <row r="112877" spans="1:6" x14ac:dyDescent="0.25">
      <c r="A112877"/>
      <c r="B112877"/>
      <c r="C112877"/>
      <c r="E112877"/>
      <c r="F112877"/>
    </row>
    <row r="112878" spans="1:6" x14ac:dyDescent="0.25">
      <c r="A112878"/>
      <c r="B112878"/>
      <c r="C112878"/>
      <c r="E112878"/>
      <c r="F112878"/>
    </row>
    <row r="112879" spans="1:6" x14ac:dyDescent="0.25">
      <c r="A112879"/>
      <c r="B112879"/>
      <c r="C112879"/>
      <c r="E112879"/>
      <c r="F112879"/>
    </row>
    <row r="112880" spans="1:6" x14ac:dyDescent="0.25">
      <c r="A112880"/>
      <c r="B112880"/>
      <c r="C112880"/>
      <c r="E112880"/>
      <c r="F112880"/>
    </row>
    <row r="112881" spans="1:6" x14ac:dyDescent="0.25">
      <c r="A112881"/>
      <c r="B112881"/>
      <c r="C112881"/>
      <c r="E112881"/>
      <c r="F112881"/>
    </row>
    <row r="112882" spans="1:6" x14ac:dyDescent="0.25">
      <c r="A112882"/>
      <c r="B112882"/>
      <c r="C112882"/>
      <c r="E112882"/>
      <c r="F112882"/>
    </row>
    <row r="112883" spans="1:6" x14ac:dyDescent="0.25">
      <c r="A112883"/>
      <c r="B112883"/>
      <c r="C112883"/>
      <c r="E112883"/>
      <c r="F112883"/>
    </row>
    <row r="112884" spans="1:6" x14ac:dyDescent="0.25">
      <c r="A112884"/>
      <c r="B112884"/>
      <c r="C112884"/>
      <c r="E112884"/>
      <c r="F112884"/>
    </row>
    <row r="112885" spans="1:6" x14ac:dyDescent="0.25">
      <c r="A112885"/>
      <c r="B112885"/>
      <c r="C112885"/>
      <c r="E112885"/>
      <c r="F112885"/>
    </row>
    <row r="112886" spans="1:6" x14ac:dyDescent="0.25">
      <c r="A112886"/>
      <c r="B112886"/>
      <c r="C112886"/>
      <c r="E112886"/>
      <c r="F112886"/>
    </row>
    <row r="112887" spans="1:6" x14ac:dyDescent="0.25">
      <c r="A112887"/>
      <c r="B112887"/>
      <c r="C112887"/>
      <c r="E112887"/>
      <c r="F112887"/>
    </row>
    <row r="112888" spans="1:6" x14ac:dyDescent="0.25">
      <c r="A112888"/>
      <c r="B112888"/>
      <c r="C112888"/>
      <c r="E112888"/>
      <c r="F112888"/>
    </row>
    <row r="112889" spans="1:6" x14ac:dyDescent="0.25">
      <c r="A112889"/>
      <c r="B112889"/>
      <c r="C112889"/>
      <c r="E112889"/>
      <c r="F112889"/>
    </row>
    <row r="112890" spans="1:6" x14ac:dyDescent="0.25">
      <c r="A112890"/>
      <c r="B112890"/>
      <c r="C112890"/>
      <c r="E112890"/>
      <c r="F112890"/>
    </row>
    <row r="112891" spans="1:6" x14ac:dyDescent="0.25">
      <c r="A112891"/>
      <c r="B112891"/>
      <c r="C112891"/>
      <c r="E112891"/>
      <c r="F112891"/>
    </row>
    <row r="112892" spans="1:6" x14ac:dyDescent="0.25">
      <c r="A112892"/>
      <c r="B112892"/>
      <c r="C112892"/>
      <c r="E112892"/>
      <c r="F112892"/>
    </row>
    <row r="112893" spans="1:6" x14ac:dyDescent="0.25">
      <c r="A112893"/>
      <c r="B112893"/>
      <c r="C112893"/>
      <c r="E112893"/>
      <c r="F112893"/>
    </row>
    <row r="112894" spans="1:6" x14ac:dyDescent="0.25">
      <c r="A112894"/>
      <c r="B112894"/>
      <c r="C112894"/>
      <c r="E112894"/>
      <c r="F112894"/>
    </row>
    <row r="112895" spans="1:6" x14ac:dyDescent="0.25">
      <c r="A112895"/>
      <c r="B112895"/>
      <c r="C112895"/>
      <c r="E112895"/>
      <c r="F112895"/>
    </row>
    <row r="112896" spans="1:6" x14ac:dyDescent="0.25">
      <c r="A112896"/>
      <c r="B112896"/>
      <c r="C112896"/>
      <c r="E112896"/>
      <c r="F112896"/>
    </row>
    <row r="112897" spans="1:6" x14ac:dyDescent="0.25">
      <c r="A112897"/>
      <c r="B112897"/>
      <c r="C112897"/>
      <c r="E112897"/>
      <c r="F112897"/>
    </row>
    <row r="112898" spans="1:6" x14ac:dyDescent="0.25">
      <c r="A112898"/>
      <c r="B112898"/>
      <c r="C112898"/>
      <c r="E112898"/>
      <c r="F112898"/>
    </row>
    <row r="112899" spans="1:6" x14ac:dyDescent="0.25">
      <c r="A112899"/>
      <c r="B112899"/>
      <c r="C112899"/>
      <c r="E112899"/>
      <c r="F112899"/>
    </row>
    <row r="112900" spans="1:6" x14ac:dyDescent="0.25">
      <c r="A112900"/>
      <c r="B112900"/>
      <c r="C112900"/>
      <c r="E112900"/>
      <c r="F112900"/>
    </row>
    <row r="112901" spans="1:6" x14ac:dyDescent="0.25">
      <c r="A112901"/>
      <c r="B112901"/>
      <c r="C112901"/>
      <c r="E112901"/>
      <c r="F112901"/>
    </row>
    <row r="112902" spans="1:6" x14ac:dyDescent="0.25">
      <c r="A112902"/>
      <c r="B112902"/>
      <c r="C112902"/>
      <c r="E112902"/>
      <c r="F112902"/>
    </row>
    <row r="112903" spans="1:6" x14ac:dyDescent="0.25">
      <c r="A112903"/>
      <c r="B112903"/>
      <c r="C112903"/>
      <c r="E112903"/>
      <c r="F112903"/>
    </row>
    <row r="112904" spans="1:6" x14ac:dyDescent="0.25">
      <c r="A112904"/>
      <c r="B112904"/>
      <c r="C112904"/>
      <c r="E112904"/>
      <c r="F112904"/>
    </row>
    <row r="112905" spans="1:6" x14ac:dyDescent="0.25">
      <c r="A112905"/>
      <c r="B112905"/>
      <c r="C112905"/>
      <c r="E112905"/>
      <c r="F112905"/>
    </row>
    <row r="112906" spans="1:6" x14ac:dyDescent="0.25">
      <c r="A112906"/>
      <c r="B112906"/>
      <c r="C112906"/>
      <c r="E112906"/>
      <c r="F112906"/>
    </row>
    <row r="112907" spans="1:6" x14ac:dyDescent="0.25">
      <c r="A112907"/>
      <c r="B112907"/>
      <c r="C112907"/>
      <c r="E112907"/>
      <c r="F112907"/>
    </row>
    <row r="112908" spans="1:6" x14ac:dyDescent="0.25">
      <c r="A112908"/>
      <c r="B112908"/>
      <c r="C112908"/>
      <c r="E112908"/>
      <c r="F112908"/>
    </row>
    <row r="112909" spans="1:6" x14ac:dyDescent="0.25">
      <c r="A112909"/>
      <c r="B112909"/>
      <c r="C112909"/>
      <c r="E112909"/>
      <c r="F112909"/>
    </row>
    <row r="112910" spans="1:6" x14ac:dyDescent="0.25">
      <c r="A112910"/>
      <c r="B112910"/>
      <c r="C112910"/>
      <c r="E112910"/>
      <c r="F112910"/>
    </row>
    <row r="112911" spans="1:6" x14ac:dyDescent="0.25">
      <c r="A112911"/>
      <c r="B112911"/>
      <c r="C112911"/>
      <c r="E112911"/>
      <c r="F112911"/>
    </row>
    <row r="112912" spans="1:6" x14ac:dyDescent="0.25">
      <c r="A112912"/>
      <c r="B112912"/>
      <c r="C112912"/>
      <c r="E112912"/>
      <c r="F112912"/>
    </row>
    <row r="112913" spans="1:6" x14ac:dyDescent="0.25">
      <c r="A112913"/>
      <c r="B112913"/>
      <c r="C112913"/>
      <c r="E112913"/>
      <c r="F112913"/>
    </row>
    <row r="112914" spans="1:6" x14ac:dyDescent="0.25">
      <c r="A112914"/>
      <c r="B112914"/>
      <c r="C112914"/>
      <c r="E112914"/>
      <c r="F112914"/>
    </row>
    <row r="112915" spans="1:6" x14ac:dyDescent="0.25">
      <c r="A112915"/>
      <c r="B112915"/>
      <c r="C112915"/>
      <c r="E112915"/>
      <c r="F112915"/>
    </row>
    <row r="112916" spans="1:6" x14ac:dyDescent="0.25">
      <c r="A112916"/>
      <c r="B112916"/>
      <c r="C112916"/>
      <c r="E112916"/>
      <c r="F112916"/>
    </row>
    <row r="112917" spans="1:6" x14ac:dyDescent="0.25">
      <c r="A112917"/>
      <c r="B112917"/>
      <c r="C112917"/>
      <c r="E112917"/>
      <c r="F112917"/>
    </row>
    <row r="112918" spans="1:6" x14ac:dyDescent="0.25">
      <c r="A112918"/>
      <c r="B112918"/>
      <c r="C112918"/>
      <c r="E112918"/>
      <c r="F112918"/>
    </row>
    <row r="112919" spans="1:6" x14ac:dyDescent="0.25">
      <c r="A112919"/>
      <c r="B112919"/>
      <c r="C112919"/>
      <c r="E112919"/>
      <c r="F112919"/>
    </row>
    <row r="112920" spans="1:6" x14ac:dyDescent="0.25">
      <c r="A112920"/>
      <c r="B112920"/>
      <c r="C112920"/>
      <c r="E112920"/>
      <c r="F112920"/>
    </row>
    <row r="112921" spans="1:6" x14ac:dyDescent="0.25">
      <c r="A112921"/>
      <c r="B112921"/>
      <c r="C112921"/>
      <c r="E112921"/>
      <c r="F112921"/>
    </row>
    <row r="112922" spans="1:6" x14ac:dyDescent="0.25">
      <c r="A112922"/>
      <c r="B112922"/>
      <c r="C112922"/>
      <c r="E112922"/>
      <c r="F112922"/>
    </row>
    <row r="112923" spans="1:6" x14ac:dyDescent="0.25">
      <c r="A112923"/>
      <c r="B112923"/>
      <c r="C112923"/>
      <c r="E112923"/>
      <c r="F112923"/>
    </row>
    <row r="112924" spans="1:6" x14ac:dyDescent="0.25">
      <c r="A112924"/>
      <c r="B112924"/>
      <c r="C112924"/>
      <c r="E112924"/>
      <c r="F112924"/>
    </row>
    <row r="112925" spans="1:6" x14ac:dyDescent="0.25">
      <c r="A112925"/>
      <c r="B112925"/>
      <c r="C112925"/>
      <c r="E112925"/>
      <c r="F112925"/>
    </row>
    <row r="112926" spans="1:6" x14ac:dyDescent="0.25">
      <c r="A112926"/>
      <c r="B112926"/>
      <c r="C112926"/>
      <c r="E112926"/>
      <c r="F112926"/>
    </row>
    <row r="112927" spans="1:6" x14ac:dyDescent="0.25">
      <c r="A112927"/>
      <c r="B112927"/>
      <c r="C112927"/>
      <c r="E112927"/>
      <c r="F112927"/>
    </row>
    <row r="112928" spans="1:6" x14ac:dyDescent="0.25">
      <c r="A112928"/>
      <c r="B112928"/>
      <c r="C112928"/>
      <c r="E112928"/>
      <c r="F112928"/>
    </row>
    <row r="112929" spans="1:6" x14ac:dyDescent="0.25">
      <c r="A112929"/>
      <c r="B112929"/>
      <c r="C112929"/>
      <c r="E112929"/>
      <c r="F112929"/>
    </row>
    <row r="112930" spans="1:6" x14ac:dyDescent="0.25">
      <c r="A112930"/>
      <c r="B112930"/>
      <c r="C112930"/>
      <c r="E112930"/>
      <c r="F112930"/>
    </row>
    <row r="112931" spans="1:6" x14ac:dyDescent="0.25">
      <c r="A112931"/>
      <c r="B112931"/>
      <c r="C112931"/>
      <c r="E112931"/>
      <c r="F112931"/>
    </row>
    <row r="112932" spans="1:6" x14ac:dyDescent="0.25">
      <c r="A112932"/>
      <c r="B112932"/>
      <c r="C112932"/>
      <c r="E112932"/>
      <c r="F112932"/>
    </row>
    <row r="112933" spans="1:6" x14ac:dyDescent="0.25">
      <c r="A112933"/>
      <c r="B112933"/>
      <c r="C112933"/>
      <c r="E112933"/>
      <c r="F112933"/>
    </row>
    <row r="112934" spans="1:6" x14ac:dyDescent="0.25">
      <c r="A112934"/>
      <c r="B112934"/>
      <c r="C112934"/>
      <c r="E112934"/>
      <c r="F112934"/>
    </row>
    <row r="112935" spans="1:6" x14ac:dyDescent="0.25">
      <c r="A112935"/>
      <c r="B112935"/>
      <c r="C112935"/>
      <c r="E112935"/>
      <c r="F112935"/>
    </row>
    <row r="112936" spans="1:6" x14ac:dyDescent="0.25">
      <c r="A112936"/>
      <c r="B112936"/>
      <c r="C112936"/>
      <c r="E112936"/>
      <c r="F112936"/>
    </row>
    <row r="112937" spans="1:6" x14ac:dyDescent="0.25">
      <c r="A112937"/>
      <c r="B112937"/>
      <c r="C112937"/>
      <c r="E112937"/>
      <c r="F112937"/>
    </row>
    <row r="112938" spans="1:6" x14ac:dyDescent="0.25">
      <c r="A112938"/>
      <c r="B112938"/>
      <c r="C112938"/>
      <c r="E112938"/>
      <c r="F112938"/>
    </row>
    <row r="112939" spans="1:6" x14ac:dyDescent="0.25">
      <c r="A112939"/>
      <c r="B112939"/>
      <c r="C112939"/>
      <c r="E112939"/>
      <c r="F112939"/>
    </row>
    <row r="112940" spans="1:6" x14ac:dyDescent="0.25">
      <c r="A112940"/>
      <c r="B112940"/>
      <c r="C112940"/>
      <c r="E112940"/>
      <c r="F112940"/>
    </row>
    <row r="112941" spans="1:6" x14ac:dyDescent="0.25">
      <c r="A112941"/>
      <c r="B112941"/>
      <c r="C112941"/>
      <c r="E112941"/>
      <c r="F112941"/>
    </row>
    <row r="112942" spans="1:6" x14ac:dyDescent="0.25">
      <c r="A112942"/>
      <c r="B112942"/>
      <c r="C112942"/>
      <c r="E112942"/>
      <c r="F112942"/>
    </row>
    <row r="112943" spans="1:6" x14ac:dyDescent="0.25">
      <c r="A112943"/>
      <c r="B112943"/>
      <c r="C112943"/>
      <c r="E112943"/>
      <c r="F112943"/>
    </row>
    <row r="112944" spans="1:6" x14ac:dyDescent="0.25">
      <c r="A112944"/>
      <c r="B112944"/>
      <c r="C112944"/>
      <c r="E112944"/>
      <c r="F112944"/>
    </row>
    <row r="112945" spans="1:6" x14ac:dyDescent="0.25">
      <c r="A112945"/>
      <c r="B112945"/>
      <c r="C112945"/>
      <c r="E112945"/>
      <c r="F112945"/>
    </row>
    <row r="112946" spans="1:6" x14ac:dyDescent="0.25">
      <c r="A112946"/>
      <c r="B112946"/>
      <c r="C112946"/>
      <c r="E112946"/>
      <c r="F112946"/>
    </row>
    <row r="112947" spans="1:6" x14ac:dyDescent="0.25">
      <c r="A112947"/>
      <c r="B112947"/>
      <c r="C112947"/>
      <c r="E112947"/>
      <c r="F112947"/>
    </row>
    <row r="112948" spans="1:6" x14ac:dyDescent="0.25">
      <c r="A112948"/>
      <c r="B112948"/>
      <c r="C112948"/>
      <c r="E112948"/>
      <c r="F112948"/>
    </row>
    <row r="112949" spans="1:6" x14ac:dyDescent="0.25">
      <c r="A112949"/>
      <c r="B112949"/>
      <c r="C112949"/>
      <c r="E112949"/>
      <c r="F112949"/>
    </row>
    <row r="112950" spans="1:6" x14ac:dyDescent="0.25">
      <c r="A112950"/>
      <c r="B112950"/>
      <c r="C112950"/>
      <c r="E112950"/>
      <c r="F112950"/>
    </row>
    <row r="112951" spans="1:6" x14ac:dyDescent="0.25">
      <c r="A112951"/>
      <c r="B112951"/>
      <c r="C112951"/>
      <c r="E112951"/>
      <c r="F112951"/>
    </row>
    <row r="112952" spans="1:6" x14ac:dyDescent="0.25">
      <c r="A112952"/>
      <c r="B112952"/>
      <c r="C112952"/>
      <c r="E112952"/>
      <c r="F112952"/>
    </row>
    <row r="112953" spans="1:6" x14ac:dyDescent="0.25">
      <c r="A112953"/>
      <c r="B112953"/>
      <c r="C112953"/>
      <c r="E112953"/>
      <c r="F112953"/>
    </row>
    <row r="112954" spans="1:6" x14ac:dyDescent="0.25">
      <c r="A112954"/>
      <c r="B112954"/>
      <c r="C112954"/>
      <c r="E112954"/>
      <c r="F112954"/>
    </row>
    <row r="112955" spans="1:6" x14ac:dyDescent="0.25">
      <c r="A112955"/>
      <c r="B112955"/>
      <c r="C112955"/>
      <c r="E112955"/>
      <c r="F112955"/>
    </row>
    <row r="112956" spans="1:6" x14ac:dyDescent="0.25">
      <c r="A112956"/>
      <c r="B112956"/>
      <c r="C112956"/>
      <c r="E112956"/>
      <c r="F112956"/>
    </row>
    <row r="112957" spans="1:6" x14ac:dyDescent="0.25">
      <c r="A112957"/>
      <c r="B112957"/>
      <c r="C112957"/>
      <c r="E112957"/>
      <c r="F112957"/>
    </row>
    <row r="112958" spans="1:6" x14ac:dyDescent="0.25">
      <c r="A112958"/>
      <c r="B112958"/>
      <c r="C112958"/>
      <c r="E112958"/>
      <c r="F112958"/>
    </row>
    <row r="112959" spans="1:6" x14ac:dyDescent="0.25">
      <c r="A112959"/>
      <c r="B112959"/>
      <c r="C112959"/>
      <c r="E112959"/>
      <c r="F112959"/>
    </row>
    <row r="112960" spans="1:6" x14ac:dyDescent="0.25">
      <c r="A112960"/>
      <c r="B112960"/>
      <c r="C112960"/>
      <c r="E112960"/>
      <c r="F112960"/>
    </row>
    <row r="112961" spans="1:6" x14ac:dyDescent="0.25">
      <c r="A112961"/>
      <c r="B112961"/>
      <c r="C112961"/>
      <c r="E112961"/>
      <c r="F112961"/>
    </row>
    <row r="112962" spans="1:6" x14ac:dyDescent="0.25">
      <c r="A112962"/>
      <c r="B112962"/>
      <c r="C112962"/>
      <c r="E112962"/>
      <c r="F112962"/>
    </row>
    <row r="112963" spans="1:6" x14ac:dyDescent="0.25">
      <c r="A112963"/>
      <c r="B112963"/>
      <c r="C112963"/>
      <c r="E112963"/>
      <c r="F112963"/>
    </row>
    <row r="112964" spans="1:6" x14ac:dyDescent="0.25">
      <c r="A112964"/>
      <c r="B112964"/>
      <c r="C112964"/>
      <c r="E112964"/>
      <c r="F112964"/>
    </row>
    <row r="112965" spans="1:6" x14ac:dyDescent="0.25">
      <c r="A112965"/>
      <c r="B112965"/>
      <c r="C112965"/>
      <c r="E112965"/>
      <c r="F112965"/>
    </row>
    <row r="112966" spans="1:6" x14ac:dyDescent="0.25">
      <c r="A112966"/>
      <c r="B112966"/>
      <c r="C112966"/>
      <c r="E112966"/>
      <c r="F112966"/>
    </row>
    <row r="112967" spans="1:6" x14ac:dyDescent="0.25">
      <c r="A112967"/>
      <c r="B112967"/>
      <c r="C112967"/>
      <c r="E112967"/>
      <c r="F112967"/>
    </row>
    <row r="112968" spans="1:6" x14ac:dyDescent="0.25">
      <c r="A112968"/>
      <c r="B112968"/>
      <c r="C112968"/>
      <c r="E112968"/>
      <c r="F112968"/>
    </row>
    <row r="112969" spans="1:6" x14ac:dyDescent="0.25">
      <c r="A112969"/>
      <c r="B112969"/>
      <c r="C112969"/>
      <c r="E112969"/>
      <c r="F112969"/>
    </row>
    <row r="112970" spans="1:6" x14ac:dyDescent="0.25">
      <c r="A112970"/>
      <c r="B112970"/>
      <c r="C112970"/>
      <c r="E112970"/>
      <c r="F112970"/>
    </row>
    <row r="112971" spans="1:6" x14ac:dyDescent="0.25">
      <c r="A112971"/>
      <c r="B112971"/>
      <c r="C112971"/>
      <c r="E112971"/>
      <c r="F112971"/>
    </row>
    <row r="112972" spans="1:6" x14ac:dyDescent="0.25">
      <c r="A112972"/>
      <c r="B112972"/>
      <c r="C112972"/>
      <c r="E112972"/>
      <c r="F112972"/>
    </row>
    <row r="112973" spans="1:6" x14ac:dyDescent="0.25">
      <c r="A112973"/>
      <c r="B112973"/>
      <c r="C112973"/>
      <c r="E112973"/>
      <c r="F112973"/>
    </row>
    <row r="112974" spans="1:6" x14ac:dyDescent="0.25">
      <c r="A112974"/>
      <c r="B112974"/>
      <c r="C112974"/>
      <c r="E112974"/>
      <c r="F112974"/>
    </row>
    <row r="112975" spans="1:6" x14ac:dyDescent="0.25">
      <c r="A112975"/>
      <c r="B112975"/>
      <c r="C112975"/>
      <c r="E112975"/>
      <c r="F112975"/>
    </row>
    <row r="112976" spans="1:6" x14ac:dyDescent="0.25">
      <c r="A112976"/>
      <c r="B112976"/>
      <c r="C112976"/>
      <c r="E112976"/>
      <c r="F112976"/>
    </row>
    <row r="112977" spans="1:6" x14ac:dyDescent="0.25">
      <c r="A112977"/>
      <c r="B112977"/>
      <c r="C112977"/>
      <c r="E112977"/>
      <c r="F112977"/>
    </row>
    <row r="112978" spans="1:6" x14ac:dyDescent="0.25">
      <c r="A112978"/>
      <c r="B112978"/>
      <c r="C112978"/>
      <c r="E112978"/>
      <c r="F112978"/>
    </row>
    <row r="112979" spans="1:6" x14ac:dyDescent="0.25">
      <c r="A112979"/>
      <c r="B112979"/>
      <c r="C112979"/>
      <c r="E112979"/>
      <c r="F112979"/>
    </row>
    <row r="112980" spans="1:6" x14ac:dyDescent="0.25">
      <c r="A112980"/>
      <c r="B112980"/>
      <c r="C112980"/>
      <c r="E112980"/>
      <c r="F112980"/>
    </row>
    <row r="112981" spans="1:6" x14ac:dyDescent="0.25">
      <c r="A112981"/>
      <c r="B112981"/>
      <c r="C112981"/>
      <c r="E112981"/>
      <c r="F112981"/>
    </row>
    <row r="112982" spans="1:6" x14ac:dyDescent="0.25">
      <c r="A112982"/>
      <c r="B112982"/>
      <c r="C112982"/>
      <c r="E112982"/>
      <c r="F112982"/>
    </row>
    <row r="112983" spans="1:6" x14ac:dyDescent="0.25">
      <c r="A112983"/>
      <c r="B112983"/>
      <c r="C112983"/>
      <c r="E112983"/>
      <c r="F112983"/>
    </row>
    <row r="112984" spans="1:6" x14ac:dyDescent="0.25">
      <c r="A112984"/>
      <c r="B112984"/>
      <c r="C112984"/>
      <c r="E112984"/>
      <c r="F112984"/>
    </row>
    <row r="112985" spans="1:6" x14ac:dyDescent="0.25">
      <c r="A112985"/>
      <c r="B112985"/>
      <c r="C112985"/>
      <c r="E112985"/>
      <c r="F112985"/>
    </row>
    <row r="112986" spans="1:6" x14ac:dyDescent="0.25">
      <c r="A112986"/>
      <c r="B112986"/>
      <c r="C112986"/>
      <c r="E112986"/>
      <c r="F112986"/>
    </row>
    <row r="112987" spans="1:6" x14ac:dyDescent="0.25">
      <c r="A112987"/>
      <c r="B112987"/>
      <c r="C112987"/>
      <c r="E112987"/>
      <c r="F112987"/>
    </row>
    <row r="112988" spans="1:6" x14ac:dyDescent="0.25">
      <c r="A112988"/>
      <c r="B112988"/>
      <c r="C112988"/>
      <c r="E112988"/>
      <c r="F112988"/>
    </row>
    <row r="112989" spans="1:6" x14ac:dyDescent="0.25">
      <c r="A112989"/>
      <c r="B112989"/>
      <c r="C112989"/>
      <c r="E112989"/>
      <c r="F112989"/>
    </row>
    <row r="112990" spans="1:6" x14ac:dyDescent="0.25">
      <c r="A112990"/>
      <c r="B112990"/>
      <c r="C112990"/>
      <c r="E112990"/>
      <c r="F112990"/>
    </row>
    <row r="112991" spans="1:6" x14ac:dyDescent="0.25">
      <c r="A112991"/>
      <c r="B112991"/>
      <c r="C112991"/>
      <c r="E112991"/>
      <c r="F112991"/>
    </row>
    <row r="112992" spans="1:6" x14ac:dyDescent="0.25">
      <c r="A112992"/>
      <c r="B112992"/>
      <c r="C112992"/>
      <c r="E112992"/>
      <c r="F112992"/>
    </row>
    <row r="112993" spans="1:6" x14ac:dyDescent="0.25">
      <c r="A112993"/>
      <c r="B112993"/>
      <c r="C112993"/>
      <c r="E112993"/>
      <c r="F112993"/>
    </row>
    <row r="112994" spans="1:6" x14ac:dyDescent="0.25">
      <c r="A112994"/>
      <c r="B112994"/>
      <c r="C112994"/>
      <c r="E112994"/>
      <c r="F112994"/>
    </row>
    <row r="112995" spans="1:6" x14ac:dyDescent="0.25">
      <c r="A112995"/>
      <c r="B112995"/>
      <c r="C112995"/>
      <c r="E112995"/>
      <c r="F112995"/>
    </row>
    <row r="112996" spans="1:6" x14ac:dyDescent="0.25">
      <c r="A112996"/>
      <c r="B112996"/>
      <c r="C112996"/>
      <c r="E112996"/>
      <c r="F112996"/>
    </row>
    <row r="112997" spans="1:6" x14ac:dyDescent="0.25">
      <c r="A112997"/>
      <c r="B112997"/>
      <c r="C112997"/>
      <c r="E112997"/>
      <c r="F112997"/>
    </row>
    <row r="112998" spans="1:6" x14ac:dyDescent="0.25">
      <c r="A112998"/>
      <c r="B112998"/>
      <c r="C112998"/>
      <c r="E112998"/>
      <c r="F112998"/>
    </row>
    <row r="112999" spans="1:6" x14ac:dyDescent="0.25">
      <c r="A112999"/>
      <c r="B112999"/>
      <c r="C112999"/>
      <c r="E112999"/>
      <c r="F112999"/>
    </row>
    <row r="113000" spans="1:6" x14ac:dyDescent="0.25">
      <c r="A113000"/>
      <c r="B113000"/>
      <c r="C113000"/>
      <c r="E113000"/>
      <c r="F113000"/>
    </row>
    <row r="113001" spans="1:6" x14ac:dyDescent="0.25">
      <c r="A113001"/>
      <c r="B113001"/>
      <c r="C113001"/>
      <c r="E113001"/>
      <c r="F113001"/>
    </row>
    <row r="113002" spans="1:6" x14ac:dyDescent="0.25">
      <c r="A113002"/>
      <c r="B113002"/>
      <c r="C113002"/>
      <c r="E113002"/>
      <c r="F113002"/>
    </row>
    <row r="113003" spans="1:6" x14ac:dyDescent="0.25">
      <c r="A113003"/>
      <c r="B113003"/>
      <c r="C113003"/>
      <c r="E113003"/>
      <c r="F113003"/>
    </row>
    <row r="113004" spans="1:6" x14ac:dyDescent="0.25">
      <c r="A113004"/>
      <c r="B113004"/>
      <c r="C113004"/>
      <c r="E113004"/>
      <c r="F113004"/>
    </row>
    <row r="113005" spans="1:6" x14ac:dyDescent="0.25">
      <c r="A113005"/>
      <c r="B113005"/>
      <c r="C113005"/>
      <c r="E113005"/>
      <c r="F113005"/>
    </row>
    <row r="113006" spans="1:6" x14ac:dyDescent="0.25">
      <c r="A113006"/>
      <c r="B113006"/>
      <c r="C113006"/>
      <c r="E113006"/>
      <c r="F113006"/>
    </row>
    <row r="113007" spans="1:6" x14ac:dyDescent="0.25">
      <c r="A113007"/>
      <c r="B113007"/>
      <c r="C113007"/>
      <c r="E113007"/>
      <c r="F113007"/>
    </row>
    <row r="113008" spans="1:6" x14ac:dyDescent="0.25">
      <c r="A113008"/>
      <c r="B113008"/>
      <c r="C113008"/>
      <c r="E113008"/>
      <c r="F113008"/>
    </row>
    <row r="113009" spans="1:6" x14ac:dyDescent="0.25">
      <c r="A113009"/>
      <c r="B113009"/>
      <c r="C113009"/>
      <c r="E113009"/>
      <c r="F113009"/>
    </row>
    <row r="113010" spans="1:6" x14ac:dyDescent="0.25">
      <c r="A113010"/>
      <c r="B113010"/>
      <c r="C113010"/>
      <c r="E113010"/>
      <c r="F113010"/>
    </row>
    <row r="113011" spans="1:6" x14ac:dyDescent="0.25">
      <c r="A113011"/>
      <c r="B113011"/>
      <c r="C113011"/>
      <c r="E113011"/>
      <c r="F113011"/>
    </row>
    <row r="113012" spans="1:6" x14ac:dyDescent="0.25">
      <c r="A113012"/>
      <c r="B113012"/>
      <c r="C113012"/>
      <c r="E113012"/>
      <c r="F113012"/>
    </row>
    <row r="113013" spans="1:6" x14ac:dyDescent="0.25">
      <c r="A113013"/>
      <c r="B113013"/>
      <c r="C113013"/>
      <c r="E113013"/>
      <c r="F113013"/>
    </row>
    <row r="113014" spans="1:6" x14ac:dyDescent="0.25">
      <c r="A113014"/>
      <c r="B113014"/>
      <c r="C113014"/>
      <c r="E113014"/>
      <c r="F113014"/>
    </row>
    <row r="113015" spans="1:6" x14ac:dyDescent="0.25">
      <c r="A113015"/>
      <c r="B113015"/>
      <c r="C113015"/>
      <c r="E113015"/>
      <c r="F113015"/>
    </row>
    <row r="113016" spans="1:6" x14ac:dyDescent="0.25">
      <c r="A113016"/>
      <c r="B113016"/>
      <c r="C113016"/>
      <c r="E113016"/>
      <c r="F113016"/>
    </row>
    <row r="113017" spans="1:6" x14ac:dyDescent="0.25">
      <c r="A113017"/>
      <c r="B113017"/>
      <c r="C113017"/>
      <c r="E113017"/>
      <c r="F113017"/>
    </row>
    <row r="113018" spans="1:6" x14ac:dyDescent="0.25">
      <c r="A113018"/>
      <c r="B113018"/>
      <c r="C113018"/>
      <c r="E113018"/>
      <c r="F113018"/>
    </row>
    <row r="113019" spans="1:6" x14ac:dyDescent="0.25">
      <c r="A113019"/>
      <c r="B113019"/>
      <c r="C113019"/>
      <c r="E113019"/>
      <c r="F113019"/>
    </row>
    <row r="113020" spans="1:6" x14ac:dyDescent="0.25">
      <c r="A113020"/>
      <c r="B113020"/>
      <c r="C113020"/>
      <c r="E113020"/>
      <c r="F113020"/>
    </row>
    <row r="113021" spans="1:6" x14ac:dyDescent="0.25">
      <c r="A113021"/>
      <c r="B113021"/>
      <c r="C113021"/>
      <c r="E113021"/>
      <c r="F113021"/>
    </row>
    <row r="113022" spans="1:6" x14ac:dyDescent="0.25">
      <c r="A113022"/>
      <c r="B113022"/>
      <c r="C113022"/>
      <c r="E113022"/>
      <c r="F113022"/>
    </row>
    <row r="113023" spans="1:6" x14ac:dyDescent="0.25">
      <c r="A113023"/>
      <c r="B113023"/>
      <c r="C113023"/>
      <c r="E113023"/>
      <c r="F113023"/>
    </row>
    <row r="113024" spans="1:6" x14ac:dyDescent="0.25">
      <c r="A113024"/>
      <c r="B113024"/>
      <c r="C113024"/>
      <c r="E113024"/>
      <c r="F113024"/>
    </row>
    <row r="113025" spans="1:6" x14ac:dyDescent="0.25">
      <c r="A113025"/>
      <c r="B113025"/>
      <c r="C113025"/>
      <c r="E113025"/>
      <c r="F113025"/>
    </row>
    <row r="113026" spans="1:6" x14ac:dyDescent="0.25">
      <c r="A113026"/>
      <c r="B113026"/>
      <c r="C113026"/>
      <c r="E113026"/>
      <c r="F113026"/>
    </row>
    <row r="113027" spans="1:6" x14ac:dyDescent="0.25">
      <c r="A113027"/>
      <c r="B113027"/>
      <c r="C113027"/>
      <c r="E113027"/>
      <c r="F113027"/>
    </row>
    <row r="113028" spans="1:6" x14ac:dyDescent="0.25">
      <c r="A113028"/>
      <c r="B113028"/>
      <c r="C113028"/>
      <c r="E113028"/>
      <c r="F113028"/>
    </row>
    <row r="113029" spans="1:6" x14ac:dyDescent="0.25">
      <c r="A113029"/>
      <c r="B113029"/>
      <c r="C113029"/>
      <c r="E113029"/>
      <c r="F113029"/>
    </row>
    <row r="113030" spans="1:6" x14ac:dyDescent="0.25">
      <c r="A113030"/>
      <c r="B113030"/>
      <c r="C113030"/>
      <c r="E113030"/>
      <c r="F113030"/>
    </row>
    <row r="113031" spans="1:6" x14ac:dyDescent="0.25">
      <c r="A113031"/>
      <c r="B113031"/>
      <c r="C113031"/>
      <c r="E113031"/>
      <c r="F113031"/>
    </row>
    <row r="113032" spans="1:6" x14ac:dyDescent="0.25">
      <c r="A113032"/>
      <c r="B113032"/>
      <c r="C113032"/>
      <c r="E113032"/>
      <c r="F113032"/>
    </row>
    <row r="113033" spans="1:6" x14ac:dyDescent="0.25">
      <c r="A113033"/>
      <c r="B113033"/>
      <c r="C113033"/>
      <c r="E113033"/>
      <c r="F113033"/>
    </row>
    <row r="113034" spans="1:6" x14ac:dyDescent="0.25">
      <c r="A113034"/>
      <c r="B113034"/>
      <c r="C113034"/>
      <c r="E113034"/>
      <c r="F113034"/>
    </row>
    <row r="113035" spans="1:6" x14ac:dyDescent="0.25">
      <c r="A113035"/>
      <c r="B113035"/>
      <c r="C113035"/>
      <c r="E113035"/>
      <c r="F113035"/>
    </row>
    <row r="113036" spans="1:6" x14ac:dyDescent="0.25">
      <c r="A113036"/>
      <c r="B113036"/>
      <c r="C113036"/>
      <c r="E113036"/>
      <c r="F113036"/>
    </row>
    <row r="113037" spans="1:6" x14ac:dyDescent="0.25">
      <c r="A113037"/>
      <c r="B113037"/>
      <c r="C113037"/>
      <c r="E113037"/>
      <c r="F113037"/>
    </row>
    <row r="113038" spans="1:6" x14ac:dyDescent="0.25">
      <c r="A113038"/>
      <c r="B113038"/>
      <c r="C113038"/>
      <c r="E113038"/>
      <c r="F113038"/>
    </row>
    <row r="113039" spans="1:6" x14ac:dyDescent="0.25">
      <c r="A113039"/>
      <c r="B113039"/>
      <c r="C113039"/>
      <c r="E113039"/>
      <c r="F113039"/>
    </row>
    <row r="113040" spans="1:6" x14ac:dyDescent="0.25">
      <c r="A113040"/>
      <c r="B113040"/>
      <c r="C113040"/>
      <c r="E113040"/>
      <c r="F113040"/>
    </row>
    <row r="113041" spans="1:6" x14ac:dyDescent="0.25">
      <c r="A113041"/>
      <c r="B113041"/>
      <c r="C113041"/>
      <c r="E113041"/>
      <c r="F113041"/>
    </row>
    <row r="113042" spans="1:6" x14ac:dyDescent="0.25">
      <c r="A113042"/>
      <c r="B113042"/>
      <c r="C113042"/>
      <c r="E113042"/>
      <c r="F113042"/>
    </row>
    <row r="113043" spans="1:6" x14ac:dyDescent="0.25">
      <c r="A113043"/>
      <c r="B113043"/>
      <c r="C113043"/>
      <c r="E113043"/>
      <c r="F113043"/>
    </row>
    <row r="113044" spans="1:6" x14ac:dyDescent="0.25">
      <c r="A113044"/>
      <c r="B113044"/>
      <c r="C113044"/>
      <c r="E113044"/>
      <c r="F113044"/>
    </row>
    <row r="113045" spans="1:6" x14ac:dyDescent="0.25">
      <c r="A113045"/>
      <c r="B113045"/>
      <c r="C113045"/>
      <c r="E113045"/>
      <c r="F113045"/>
    </row>
    <row r="113046" spans="1:6" x14ac:dyDescent="0.25">
      <c r="A113046"/>
      <c r="B113046"/>
      <c r="C113046"/>
      <c r="E113046"/>
      <c r="F113046"/>
    </row>
    <row r="113047" spans="1:6" x14ac:dyDescent="0.25">
      <c r="A113047"/>
      <c r="B113047"/>
      <c r="C113047"/>
      <c r="E113047"/>
      <c r="F113047"/>
    </row>
    <row r="113048" spans="1:6" x14ac:dyDescent="0.25">
      <c r="A113048"/>
      <c r="B113048"/>
      <c r="C113048"/>
      <c r="E113048"/>
      <c r="F113048"/>
    </row>
    <row r="113049" spans="1:6" x14ac:dyDescent="0.25">
      <c r="A113049"/>
      <c r="B113049"/>
      <c r="C113049"/>
      <c r="E113049"/>
      <c r="F113049"/>
    </row>
    <row r="113050" spans="1:6" x14ac:dyDescent="0.25">
      <c r="A113050"/>
      <c r="B113050"/>
      <c r="C113050"/>
      <c r="E113050"/>
      <c r="F113050"/>
    </row>
    <row r="113051" spans="1:6" x14ac:dyDescent="0.25">
      <c r="A113051"/>
      <c r="B113051"/>
      <c r="C113051"/>
      <c r="E113051"/>
      <c r="F113051"/>
    </row>
    <row r="113052" spans="1:6" x14ac:dyDescent="0.25">
      <c r="A113052"/>
      <c r="B113052"/>
      <c r="C113052"/>
      <c r="E113052"/>
      <c r="F113052"/>
    </row>
    <row r="113053" spans="1:6" x14ac:dyDescent="0.25">
      <c r="A113053"/>
      <c r="B113053"/>
      <c r="C113053"/>
      <c r="E113053"/>
      <c r="F113053"/>
    </row>
    <row r="113054" spans="1:6" x14ac:dyDescent="0.25">
      <c r="A113054"/>
      <c r="B113054"/>
      <c r="C113054"/>
      <c r="E113054"/>
      <c r="F113054"/>
    </row>
    <row r="113055" spans="1:6" x14ac:dyDescent="0.25">
      <c r="A113055"/>
      <c r="B113055"/>
      <c r="C113055"/>
      <c r="E113055"/>
      <c r="F113055"/>
    </row>
    <row r="113056" spans="1:6" x14ac:dyDescent="0.25">
      <c r="A113056"/>
      <c r="B113056"/>
      <c r="C113056"/>
      <c r="E113056"/>
      <c r="F113056"/>
    </row>
    <row r="113057" spans="1:6" x14ac:dyDescent="0.25">
      <c r="A113057"/>
      <c r="B113057"/>
      <c r="C113057"/>
      <c r="E113057"/>
      <c r="F113057"/>
    </row>
    <row r="113058" spans="1:6" x14ac:dyDescent="0.25">
      <c r="A113058"/>
      <c r="B113058"/>
      <c r="C113058"/>
      <c r="E113058"/>
      <c r="F113058"/>
    </row>
    <row r="113059" spans="1:6" x14ac:dyDescent="0.25">
      <c r="A113059"/>
      <c r="B113059"/>
      <c r="C113059"/>
      <c r="E113059"/>
      <c r="F113059"/>
    </row>
    <row r="113060" spans="1:6" x14ac:dyDescent="0.25">
      <c r="A113060"/>
      <c r="B113060"/>
      <c r="C113060"/>
      <c r="E113060"/>
      <c r="F113060"/>
    </row>
    <row r="113061" spans="1:6" x14ac:dyDescent="0.25">
      <c r="A113061"/>
      <c r="B113061"/>
      <c r="C113061"/>
      <c r="E113061"/>
      <c r="F113061"/>
    </row>
    <row r="113062" spans="1:6" x14ac:dyDescent="0.25">
      <c r="A113062"/>
      <c r="B113062"/>
      <c r="C113062"/>
      <c r="E113062"/>
      <c r="F113062"/>
    </row>
    <row r="113063" spans="1:6" x14ac:dyDescent="0.25">
      <c r="A113063"/>
      <c r="B113063"/>
      <c r="C113063"/>
      <c r="E113063"/>
      <c r="F113063"/>
    </row>
    <row r="113064" spans="1:6" x14ac:dyDescent="0.25">
      <c r="A113064"/>
      <c r="B113064"/>
      <c r="C113064"/>
      <c r="E113064"/>
      <c r="F113064"/>
    </row>
    <row r="113065" spans="1:6" x14ac:dyDescent="0.25">
      <c r="A113065"/>
      <c r="B113065"/>
      <c r="C113065"/>
      <c r="E113065"/>
      <c r="F113065"/>
    </row>
    <row r="113066" spans="1:6" x14ac:dyDescent="0.25">
      <c r="A113066"/>
      <c r="B113066"/>
      <c r="C113066"/>
      <c r="E113066"/>
      <c r="F113066"/>
    </row>
    <row r="113067" spans="1:6" x14ac:dyDescent="0.25">
      <c r="A113067"/>
      <c r="B113067"/>
      <c r="C113067"/>
      <c r="E113067"/>
      <c r="F113067"/>
    </row>
    <row r="113068" spans="1:6" x14ac:dyDescent="0.25">
      <c r="A113068"/>
      <c r="B113068"/>
      <c r="C113068"/>
      <c r="E113068"/>
      <c r="F113068"/>
    </row>
    <row r="113069" spans="1:6" x14ac:dyDescent="0.25">
      <c r="A113069"/>
      <c r="B113069"/>
      <c r="C113069"/>
      <c r="E113069"/>
      <c r="F113069"/>
    </row>
    <row r="113070" spans="1:6" x14ac:dyDescent="0.25">
      <c r="A113070"/>
      <c r="B113070"/>
      <c r="C113070"/>
      <c r="E113070"/>
      <c r="F113070"/>
    </row>
    <row r="113071" spans="1:6" x14ac:dyDescent="0.25">
      <c r="A113071"/>
      <c r="B113071"/>
      <c r="C113071"/>
      <c r="E113071"/>
      <c r="F113071"/>
    </row>
    <row r="113072" spans="1:6" x14ac:dyDescent="0.25">
      <c r="A113072"/>
      <c r="B113072"/>
      <c r="C113072"/>
      <c r="E113072"/>
      <c r="F113072"/>
    </row>
    <row r="113073" spans="1:6" x14ac:dyDescent="0.25">
      <c r="A113073"/>
      <c r="B113073"/>
      <c r="C113073"/>
      <c r="E113073"/>
      <c r="F113073"/>
    </row>
    <row r="113074" spans="1:6" x14ac:dyDescent="0.25">
      <c r="A113074"/>
      <c r="B113074"/>
      <c r="C113074"/>
      <c r="E113074"/>
      <c r="F113074"/>
    </row>
    <row r="113075" spans="1:6" x14ac:dyDescent="0.25">
      <c r="A113075"/>
      <c r="B113075"/>
      <c r="C113075"/>
      <c r="E113075"/>
      <c r="F113075"/>
    </row>
    <row r="113076" spans="1:6" x14ac:dyDescent="0.25">
      <c r="A113076"/>
      <c r="B113076"/>
      <c r="C113076"/>
      <c r="E113076"/>
      <c r="F113076"/>
    </row>
    <row r="113077" spans="1:6" x14ac:dyDescent="0.25">
      <c r="A113077"/>
      <c r="B113077"/>
      <c r="C113077"/>
      <c r="E113077"/>
      <c r="F113077"/>
    </row>
    <row r="113078" spans="1:6" x14ac:dyDescent="0.25">
      <c r="A113078"/>
      <c r="B113078"/>
      <c r="C113078"/>
      <c r="E113078"/>
      <c r="F113078"/>
    </row>
    <row r="113079" spans="1:6" x14ac:dyDescent="0.25">
      <c r="A113079"/>
      <c r="B113079"/>
      <c r="C113079"/>
      <c r="E113079"/>
      <c r="F113079"/>
    </row>
    <row r="113080" spans="1:6" x14ac:dyDescent="0.25">
      <c r="A113080"/>
      <c r="B113080"/>
      <c r="C113080"/>
      <c r="E113080"/>
      <c r="F113080"/>
    </row>
    <row r="113081" spans="1:6" x14ac:dyDescent="0.25">
      <c r="A113081"/>
      <c r="B113081"/>
      <c r="C113081"/>
      <c r="E113081"/>
      <c r="F113081"/>
    </row>
    <row r="113082" spans="1:6" x14ac:dyDescent="0.25">
      <c r="A113082"/>
      <c r="B113082"/>
      <c r="C113082"/>
      <c r="E113082"/>
      <c r="F113082"/>
    </row>
    <row r="113083" spans="1:6" x14ac:dyDescent="0.25">
      <c r="A113083"/>
      <c r="B113083"/>
      <c r="C113083"/>
      <c r="E113083"/>
      <c r="F113083"/>
    </row>
    <row r="113084" spans="1:6" x14ac:dyDescent="0.25">
      <c r="A113084"/>
      <c r="B113084"/>
      <c r="C113084"/>
      <c r="E113084"/>
      <c r="F113084"/>
    </row>
    <row r="113085" spans="1:6" x14ac:dyDescent="0.25">
      <c r="A113085"/>
      <c r="B113085"/>
      <c r="C113085"/>
      <c r="E113085"/>
      <c r="F113085"/>
    </row>
    <row r="113086" spans="1:6" x14ac:dyDescent="0.25">
      <c r="A113086"/>
      <c r="B113086"/>
      <c r="C113086"/>
      <c r="E113086"/>
      <c r="F113086"/>
    </row>
    <row r="113087" spans="1:6" x14ac:dyDescent="0.25">
      <c r="A113087"/>
      <c r="B113087"/>
      <c r="C113087"/>
      <c r="E113087"/>
      <c r="F113087"/>
    </row>
    <row r="113088" spans="1:6" x14ac:dyDescent="0.25">
      <c r="A113088"/>
      <c r="B113088"/>
      <c r="C113088"/>
      <c r="E113088"/>
      <c r="F113088"/>
    </row>
    <row r="113089" spans="1:6" x14ac:dyDescent="0.25">
      <c r="A113089"/>
      <c r="B113089"/>
      <c r="C113089"/>
      <c r="E113089"/>
      <c r="F113089"/>
    </row>
    <row r="113090" spans="1:6" x14ac:dyDescent="0.25">
      <c r="A113090"/>
      <c r="B113090"/>
      <c r="C113090"/>
      <c r="E113090"/>
      <c r="F113090"/>
    </row>
    <row r="113091" spans="1:6" x14ac:dyDescent="0.25">
      <c r="A113091"/>
      <c r="B113091"/>
      <c r="C113091"/>
      <c r="E113091"/>
      <c r="F113091"/>
    </row>
    <row r="113092" spans="1:6" x14ac:dyDescent="0.25">
      <c r="A113092"/>
      <c r="B113092"/>
      <c r="C113092"/>
      <c r="E113092"/>
      <c r="F113092"/>
    </row>
    <row r="113093" spans="1:6" x14ac:dyDescent="0.25">
      <c r="A113093"/>
      <c r="B113093"/>
      <c r="C113093"/>
      <c r="E113093"/>
      <c r="F113093"/>
    </row>
    <row r="113094" spans="1:6" x14ac:dyDescent="0.25">
      <c r="A113094"/>
      <c r="B113094"/>
      <c r="C113094"/>
      <c r="E113094"/>
      <c r="F113094"/>
    </row>
    <row r="113095" spans="1:6" x14ac:dyDescent="0.25">
      <c r="A113095"/>
      <c r="B113095"/>
      <c r="C113095"/>
      <c r="E113095"/>
      <c r="F113095"/>
    </row>
    <row r="113096" spans="1:6" x14ac:dyDescent="0.25">
      <c r="A113096"/>
      <c r="B113096"/>
      <c r="C113096"/>
      <c r="E113096"/>
      <c r="F113096"/>
    </row>
    <row r="113097" spans="1:6" x14ac:dyDescent="0.25">
      <c r="A113097"/>
      <c r="B113097"/>
      <c r="C113097"/>
      <c r="E113097"/>
      <c r="F113097"/>
    </row>
    <row r="113098" spans="1:6" x14ac:dyDescent="0.25">
      <c r="A113098"/>
      <c r="B113098"/>
      <c r="C113098"/>
      <c r="E113098"/>
      <c r="F113098"/>
    </row>
    <row r="113099" spans="1:6" x14ac:dyDescent="0.25">
      <c r="A113099"/>
      <c r="B113099"/>
      <c r="C113099"/>
      <c r="E113099"/>
      <c r="F113099"/>
    </row>
    <row r="113100" spans="1:6" x14ac:dyDescent="0.25">
      <c r="A113100"/>
      <c r="B113100"/>
      <c r="C113100"/>
      <c r="E113100"/>
      <c r="F113100"/>
    </row>
    <row r="113101" spans="1:6" x14ac:dyDescent="0.25">
      <c r="A113101"/>
      <c r="B113101"/>
      <c r="C113101"/>
      <c r="E113101"/>
      <c r="F113101"/>
    </row>
    <row r="113102" spans="1:6" x14ac:dyDescent="0.25">
      <c r="A113102"/>
      <c r="B113102"/>
      <c r="C113102"/>
      <c r="E113102"/>
      <c r="F113102"/>
    </row>
    <row r="113103" spans="1:6" x14ac:dyDescent="0.25">
      <c r="A113103"/>
      <c r="B113103"/>
      <c r="C113103"/>
      <c r="E113103"/>
      <c r="F113103"/>
    </row>
    <row r="113104" spans="1:6" x14ac:dyDescent="0.25">
      <c r="A113104"/>
      <c r="B113104"/>
      <c r="C113104"/>
      <c r="E113104"/>
      <c r="F113104"/>
    </row>
    <row r="113105" spans="1:6" x14ac:dyDescent="0.25">
      <c r="A113105"/>
      <c r="B113105"/>
      <c r="C113105"/>
      <c r="E113105"/>
      <c r="F113105"/>
    </row>
    <row r="113106" spans="1:6" x14ac:dyDescent="0.25">
      <c r="A113106"/>
      <c r="B113106"/>
      <c r="C113106"/>
      <c r="E113106"/>
      <c r="F113106"/>
    </row>
    <row r="113107" spans="1:6" x14ac:dyDescent="0.25">
      <c r="A113107"/>
      <c r="B113107"/>
      <c r="C113107"/>
      <c r="E113107"/>
      <c r="F113107"/>
    </row>
    <row r="113108" spans="1:6" x14ac:dyDescent="0.25">
      <c r="A113108"/>
      <c r="B113108"/>
      <c r="C113108"/>
      <c r="E113108"/>
      <c r="F113108"/>
    </row>
    <row r="113109" spans="1:6" x14ac:dyDescent="0.25">
      <c r="A113109"/>
      <c r="B113109"/>
      <c r="C113109"/>
      <c r="E113109"/>
      <c r="F113109"/>
    </row>
    <row r="113110" spans="1:6" x14ac:dyDescent="0.25">
      <c r="A113110"/>
      <c r="B113110"/>
      <c r="C113110"/>
      <c r="E113110"/>
      <c r="F113110"/>
    </row>
    <row r="113111" spans="1:6" x14ac:dyDescent="0.25">
      <c r="A113111"/>
      <c r="B113111"/>
      <c r="C113111"/>
      <c r="E113111"/>
      <c r="F113111"/>
    </row>
    <row r="113112" spans="1:6" x14ac:dyDescent="0.25">
      <c r="A113112"/>
      <c r="B113112"/>
      <c r="C113112"/>
      <c r="E113112"/>
      <c r="F113112"/>
    </row>
    <row r="113113" spans="1:6" x14ac:dyDescent="0.25">
      <c r="A113113"/>
      <c r="B113113"/>
      <c r="C113113"/>
      <c r="E113113"/>
      <c r="F113113"/>
    </row>
    <row r="113114" spans="1:6" x14ac:dyDescent="0.25">
      <c r="A113114"/>
      <c r="B113114"/>
      <c r="C113114"/>
      <c r="E113114"/>
      <c r="F113114"/>
    </row>
    <row r="113115" spans="1:6" x14ac:dyDescent="0.25">
      <c r="A113115"/>
      <c r="B113115"/>
      <c r="C113115"/>
      <c r="E113115"/>
      <c r="F113115"/>
    </row>
    <row r="113116" spans="1:6" x14ac:dyDescent="0.25">
      <c r="A113116"/>
      <c r="B113116"/>
      <c r="C113116"/>
      <c r="E113116"/>
      <c r="F113116"/>
    </row>
    <row r="113117" spans="1:6" x14ac:dyDescent="0.25">
      <c r="A113117"/>
      <c r="B113117"/>
      <c r="C113117"/>
      <c r="E113117"/>
      <c r="F113117"/>
    </row>
    <row r="113118" spans="1:6" x14ac:dyDescent="0.25">
      <c r="A113118"/>
      <c r="B113118"/>
      <c r="C113118"/>
      <c r="E113118"/>
      <c r="F113118"/>
    </row>
    <row r="113119" spans="1:6" x14ac:dyDescent="0.25">
      <c r="A113119"/>
      <c r="B113119"/>
      <c r="C113119"/>
      <c r="E113119"/>
      <c r="F113119"/>
    </row>
    <row r="113120" spans="1:6" x14ac:dyDescent="0.25">
      <c r="A113120"/>
      <c r="B113120"/>
      <c r="C113120"/>
      <c r="E113120"/>
      <c r="F113120"/>
    </row>
    <row r="113121" spans="1:6" x14ac:dyDescent="0.25">
      <c r="A113121"/>
      <c r="B113121"/>
      <c r="C113121"/>
      <c r="E113121"/>
      <c r="F113121"/>
    </row>
    <row r="113122" spans="1:6" x14ac:dyDescent="0.25">
      <c r="A113122"/>
      <c r="B113122"/>
      <c r="C113122"/>
      <c r="E113122"/>
      <c r="F113122"/>
    </row>
    <row r="113123" spans="1:6" x14ac:dyDescent="0.25">
      <c r="A113123"/>
      <c r="B113123"/>
      <c r="C113123"/>
      <c r="E113123"/>
      <c r="F113123"/>
    </row>
    <row r="113124" spans="1:6" x14ac:dyDescent="0.25">
      <c r="A113124"/>
      <c r="B113124"/>
      <c r="C113124"/>
      <c r="E113124"/>
      <c r="F113124"/>
    </row>
    <row r="113125" spans="1:6" x14ac:dyDescent="0.25">
      <c r="A113125"/>
      <c r="B113125"/>
      <c r="C113125"/>
      <c r="E113125"/>
      <c r="F113125"/>
    </row>
    <row r="113126" spans="1:6" x14ac:dyDescent="0.25">
      <c r="A113126"/>
      <c r="B113126"/>
      <c r="C113126"/>
      <c r="E113126"/>
      <c r="F113126"/>
    </row>
    <row r="113127" spans="1:6" x14ac:dyDescent="0.25">
      <c r="A113127"/>
      <c r="B113127"/>
      <c r="C113127"/>
      <c r="E113127"/>
      <c r="F113127"/>
    </row>
    <row r="113128" spans="1:6" x14ac:dyDescent="0.25">
      <c r="A113128"/>
      <c r="B113128"/>
      <c r="C113128"/>
      <c r="E113128"/>
      <c r="F113128"/>
    </row>
    <row r="113129" spans="1:6" x14ac:dyDescent="0.25">
      <c r="A113129"/>
      <c r="B113129"/>
      <c r="C113129"/>
      <c r="E113129"/>
      <c r="F113129"/>
    </row>
    <row r="113130" spans="1:6" x14ac:dyDescent="0.25">
      <c r="A113130"/>
      <c r="B113130"/>
      <c r="C113130"/>
      <c r="E113130"/>
      <c r="F113130"/>
    </row>
    <row r="113131" spans="1:6" x14ac:dyDescent="0.25">
      <c r="A113131"/>
      <c r="B113131"/>
      <c r="C113131"/>
      <c r="E113131"/>
      <c r="F113131"/>
    </row>
    <row r="113132" spans="1:6" x14ac:dyDescent="0.25">
      <c r="A113132"/>
      <c r="B113132"/>
      <c r="C113132"/>
      <c r="E113132"/>
      <c r="F113132"/>
    </row>
    <row r="113133" spans="1:6" x14ac:dyDescent="0.25">
      <c r="A113133"/>
      <c r="B113133"/>
      <c r="C113133"/>
      <c r="E113133"/>
      <c r="F113133"/>
    </row>
    <row r="113134" spans="1:6" x14ac:dyDescent="0.25">
      <c r="A113134"/>
      <c r="B113134"/>
      <c r="C113134"/>
      <c r="E113134"/>
      <c r="F113134"/>
    </row>
    <row r="113135" spans="1:6" x14ac:dyDescent="0.25">
      <c r="A113135"/>
      <c r="B113135"/>
      <c r="C113135"/>
      <c r="E113135"/>
      <c r="F113135"/>
    </row>
    <row r="113136" spans="1:6" x14ac:dyDescent="0.25">
      <c r="A113136"/>
      <c r="B113136"/>
      <c r="C113136"/>
      <c r="E113136"/>
      <c r="F113136"/>
    </row>
    <row r="113137" spans="1:6" x14ac:dyDescent="0.25">
      <c r="A113137"/>
      <c r="B113137"/>
      <c r="C113137"/>
      <c r="E113137"/>
      <c r="F113137"/>
    </row>
    <row r="113138" spans="1:6" x14ac:dyDescent="0.25">
      <c r="A113138"/>
      <c r="B113138"/>
      <c r="C113138"/>
      <c r="E113138"/>
      <c r="F113138"/>
    </row>
    <row r="113139" spans="1:6" x14ac:dyDescent="0.25">
      <c r="A113139"/>
      <c r="B113139"/>
      <c r="C113139"/>
      <c r="E113139"/>
      <c r="F113139"/>
    </row>
    <row r="113140" spans="1:6" x14ac:dyDescent="0.25">
      <c r="A113140"/>
      <c r="B113140"/>
      <c r="C113140"/>
      <c r="E113140"/>
      <c r="F113140"/>
    </row>
    <row r="113141" spans="1:6" x14ac:dyDescent="0.25">
      <c r="A113141"/>
      <c r="B113141"/>
      <c r="C113141"/>
      <c r="E113141"/>
      <c r="F113141"/>
    </row>
    <row r="113142" spans="1:6" x14ac:dyDescent="0.25">
      <c r="A113142"/>
      <c r="B113142"/>
      <c r="C113142"/>
      <c r="E113142"/>
      <c r="F113142"/>
    </row>
    <row r="113143" spans="1:6" x14ac:dyDescent="0.25">
      <c r="A113143"/>
      <c r="B113143"/>
      <c r="C113143"/>
      <c r="E113143"/>
      <c r="F113143"/>
    </row>
    <row r="113144" spans="1:6" x14ac:dyDescent="0.25">
      <c r="A113144"/>
      <c r="B113144"/>
      <c r="C113144"/>
      <c r="E113144"/>
      <c r="F113144"/>
    </row>
    <row r="113145" spans="1:6" x14ac:dyDescent="0.25">
      <c r="A113145"/>
      <c r="B113145"/>
      <c r="C113145"/>
      <c r="E113145"/>
      <c r="F113145"/>
    </row>
    <row r="113146" spans="1:6" x14ac:dyDescent="0.25">
      <c r="A113146"/>
      <c r="B113146"/>
      <c r="C113146"/>
      <c r="E113146"/>
      <c r="F113146"/>
    </row>
    <row r="113147" spans="1:6" x14ac:dyDescent="0.25">
      <c r="A113147"/>
      <c r="B113147"/>
      <c r="C113147"/>
      <c r="E113147"/>
      <c r="F113147"/>
    </row>
    <row r="113148" spans="1:6" x14ac:dyDescent="0.25">
      <c r="A113148"/>
      <c r="B113148"/>
      <c r="C113148"/>
      <c r="E113148"/>
      <c r="F113148"/>
    </row>
    <row r="113149" spans="1:6" x14ac:dyDescent="0.25">
      <c r="A113149"/>
      <c r="B113149"/>
      <c r="C113149"/>
      <c r="E113149"/>
      <c r="F113149"/>
    </row>
    <row r="113150" spans="1:6" x14ac:dyDescent="0.25">
      <c r="A113150"/>
      <c r="B113150"/>
      <c r="C113150"/>
      <c r="E113150"/>
      <c r="F113150"/>
    </row>
    <row r="113151" spans="1:6" x14ac:dyDescent="0.25">
      <c r="A113151"/>
      <c r="B113151"/>
      <c r="C113151"/>
      <c r="E113151"/>
      <c r="F113151"/>
    </row>
    <row r="113152" spans="1:6" x14ac:dyDescent="0.25">
      <c r="A113152"/>
      <c r="B113152"/>
      <c r="C113152"/>
      <c r="E113152"/>
      <c r="F113152"/>
    </row>
    <row r="113153" spans="1:6" x14ac:dyDescent="0.25">
      <c r="A113153"/>
      <c r="B113153"/>
      <c r="C113153"/>
      <c r="E113153"/>
      <c r="F113153"/>
    </row>
    <row r="113154" spans="1:6" x14ac:dyDescent="0.25">
      <c r="A113154"/>
      <c r="B113154"/>
      <c r="C113154"/>
      <c r="E113154"/>
      <c r="F113154"/>
    </row>
    <row r="113155" spans="1:6" x14ac:dyDescent="0.25">
      <c r="A113155"/>
      <c r="B113155"/>
      <c r="C113155"/>
      <c r="E113155"/>
      <c r="F113155"/>
    </row>
    <row r="113156" spans="1:6" x14ac:dyDescent="0.25">
      <c r="A113156"/>
      <c r="B113156"/>
      <c r="C113156"/>
      <c r="E113156"/>
      <c r="F113156"/>
    </row>
    <row r="113157" spans="1:6" x14ac:dyDescent="0.25">
      <c r="A113157"/>
      <c r="B113157"/>
      <c r="C113157"/>
      <c r="E113157"/>
      <c r="F113157"/>
    </row>
    <row r="113158" spans="1:6" x14ac:dyDescent="0.25">
      <c r="A113158"/>
      <c r="B113158"/>
      <c r="C113158"/>
      <c r="E113158"/>
      <c r="F113158"/>
    </row>
    <row r="113159" spans="1:6" x14ac:dyDescent="0.25">
      <c r="A113159"/>
      <c r="B113159"/>
      <c r="C113159"/>
      <c r="E113159"/>
      <c r="F113159"/>
    </row>
    <row r="113160" spans="1:6" x14ac:dyDescent="0.25">
      <c r="A113160"/>
      <c r="B113160"/>
      <c r="C113160"/>
      <c r="E113160"/>
      <c r="F113160"/>
    </row>
    <row r="113161" spans="1:6" x14ac:dyDescent="0.25">
      <c r="A113161"/>
      <c r="B113161"/>
      <c r="C113161"/>
      <c r="E113161"/>
      <c r="F113161"/>
    </row>
    <row r="113162" spans="1:6" x14ac:dyDescent="0.25">
      <c r="A113162"/>
      <c r="B113162"/>
      <c r="C113162"/>
      <c r="E113162"/>
      <c r="F113162"/>
    </row>
    <row r="113163" spans="1:6" x14ac:dyDescent="0.25">
      <c r="A113163"/>
      <c r="B113163"/>
      <c r="C113163"/>
      <c r="E113163"/>
      <c r="F113163"/>
    </row>
    <row r="113164" spans="1:6" x14ac:dyDescent="0.25">
      <c r="A113164"/>
      <c r="B113164"/>
      <c r="C113164"/>
      <c r="E113164"/>
      <c r="F113164"/>
    </row>
    <row r="113165" spans="1:6" x14ac:dyDescent="0.25">
      <c r="A113165"/>
      <c r="B113165"/>
      <c r="C113165"/>
      <c r="E113165"/>
      <c r="F113165"/>
    </row>
    <row r="113166" spans="1:6" x14ac:dyDescent="0.25">
      <c r="A113166"/>
      <c r="B113166"/>
      <c r="C113166"/>
      <c r="E113166"/>
      <c r="F113166"/>
    </row>
    <row r="113167" spans="1:6" x14ac:dyDescent="0.25">
      <c r="A113167"/>
      <c r="B113167"/>
      <c r="C113167"/>
      <c r="E113167"/>
      <c r="F113167"/>
    </row>
    <row r="113168" spans="1:6" x14ac:dyDescent="0.25">
      <c r="A113168"/>
      <c r="B113168"/>
      <c r="C113168"/>
      <c r="E113168"/>
      <c r="F113168"/>
    </row>
    <row r="113169" spans="1:6" x14ac:dyDescent="0.25">
      <c r="A113169"/>
      <c r="B113169"/>
      <c r="C113169"/>
      <c r="E113169"/>
      <c r="F113169"/>
    </row>
    <row r="113170" spans="1:6" x14ac:dyDescent="0.25">
      <c r="A113170"/>
      <c r="B113170"/>
      <c r="C113170"/>
      <c r="E113170"/>
      <c r="F113170"/>
    </row>
    <row r="113171" spans="1:6" x14ac:dyDescent="0.25">
      <c r="A113171"/>
      <c r="B113171"/>
      <c r="C113171"/>
      <c r="E113171"/>
      <c r="F113171"/>
    </row>
    <row r="113172" spans="1:6" x14ac:dyDescent="0.25">
      <c r="A113172"/>
      <c r="B113172"/>
      <c r="C113172"/>
      <c r="E113172"/>
      <c r="F113172"/>
    </row>
    <row r="113173" spans="1:6" x14ac:dyDescent="0.25">
      <c r="A113173"/>
      <c r="B113173"/>
      <c r="C113173"/>
      <c r="E113173"/>
      <c r="F113173"/>
    </row>
    <row r="113174" spans="1:6" x14ac:dyDescent="0.25">
      <c r="A113174"/>
      <c r="B113174"/>
      <c r="C113174"/>
      <c r="E113174"/>
      <c r="F113174"/>
    </row>
    <row r="113175" spans="1:6" x14ac:dyDescent="0.25">
      <c r="A113175"/>
      <c r="B113175"/>
      <c r="C113175"/>
      <c r="E113175"/>
      <c r="F113175"/>
    </row>
    <row r="113176" spans="1:6" x14ac:dyDescent="0.25">
      <c r="A113176"/>
      <c r="B113176"/>
      <c r="C113176"/>
      <c r="E113176"/>
      <c r="F113176"/>
    </row>
    <row r="113177" spans="1:6" x14ac:dyDescent="0.25">
      <c r="A113177"/>
      <c r="B113177"/>
      <c r="C113177"/>
      <c r="E113177"/>
      <c r="F113177"/>
    </row>
    <row r="113178" spans="1:6" x14ac:dyDescent="0.25">
      <c r="A113178"/>
      <c r="B113178"/>
      <c r="C113178"/>
      <c r="E113178"/>
      <c r="F113178"/>
    </row>
    <row r="113179" spans="1:6" x14ac:dyDescent="0.25">
      <c r="A113179"/>
      <c r="B113179"/>
      <c r="C113179"/>
      <c r="E113179"/>
      <c r="F113179"/>
    </row>
    <row r="113180" spans="1:6" x14ac:dyDescent="0.25">
      <c r="A113180"/>
      <c r="B113180"/>
      <c r="C113180"/>
      <c r="E113180"/>
      <c r="F113180"/>
    </row>
    <row r="113181" spans="1:6" x14ac:dyDescent="0.25">
      <c r="A113181"/>
      <c r="B113181"/>
      <c r="C113181"/>
      <c r="E113181"/>
      <c r="F113181"/>
    </row>
    <row r="113182" spans="1:6" x14ac:dyDescent="0.25">
      <c r="A113182"/>
      <c r="B113182"/>
      <c r="C113182"/>
      <c r="E113182"/>
      <c r="F113182"/>
    </row>
    <row r="113183" spans="1:6" x14ac:dyDescent="0.25">
      <c r="A113183"/>
      <c r="B113183"/>
      <c r="C113183"/>
      <c r="E113183"/>
      <c r="F113183"/>
    </row>
    <row r="113184" spans="1:6" x14ac:dyDescent="0.25">
      <c r="A113184"/>
      <c r="B113184"/>
      <c r="C113184"/>
      <c r="E113184"/>
      <c r="F113184"/>
    </row>
    <row r="113185" spans="1:6" x14ac:dyDescent="0.25">
      <c r="A113185"/>
      <c r="B113185"/>
      <c r="C113185"/>
      <c r="E113185"/>
      <c r="F113185"/>
    </row>
    <row r="113186" spans="1:6" x14ac:dyDescent="0.25">
      <c r="A113186"/>
      <c r="B113186"/>
      <c r="C113186"/>
      <c r="E113186"/>
      <c r="F113186"/>
    </row>
    <row r="113187" spans="1:6" x14ac:dyDescent="0.25">
      <c r="A113187"/>
      <c r="B113187"/>
      <c r="C113187"/>
      <c r="E113187"/>
      <c r="F113187"/>
    </row>
    <row r="113188" spans="1:6" x14ac:dyDescent="0.25">
      <c r="A113188"/>
      <c r="B113188"/>
      <c r="C113188"/>
      <c r="E113188"/>
      <c r="F113188"/>
    </row>
    <row r="113189" spans="1:6" x14ac:dyDescent="0.25">
      <c r="A113189"/>
      <c r="B113189"/>
      <c r="C113189"/>
      <c r="E113189"/>
      <c r="F113189"/>
    </row>
    <row r="113190" spans="1:6" x14ac:dyDescent="0.25">
      <c r="A113190"/>
      <c r="B113190"/>
      <c r="C113190"/>
      <c r="E113190"/>
      <c r="F113190"/>
    </row>
    <row r="113191" spans="1:6" x14ac:dyDescent="0.25">
      <c r="A113191"/>
      <c r="B113191"/>
      <c r="C113191"/>
      <c r="E113191"/>
      <c r="F113191"/>
    </row>
    <row r="113192" spans="1:6" x14ac:dyDescent="0.25">
      <c r="A113192"/>
      <c r="B113192"/>
      <c r="C113192"/>
      <c r="E113192"/>
      <c r="F113192"/>
    </row>
    <row r="113193" spans="1:6" x14ac:dyDescent="0.25">
      <c r="A113193"/>
      <c r="B113193"/>
      <c r="C113193"/>
      <c r="E113193"/>
      <c r="F113193"/>
    </row>
    <row r="113194" spans="1:6" x14ac:dyDescent="0.25">
      <c r="A113194"/>
      <c r="B113194"/>
      <c r="C113194"/>
      <c r="E113194"/>
      <c r="F113194"/>
    </row>
    <row r="113195" spans="1:6" x14ac:dyDescent="0.25">
      <c r="A113195"/>
      <c r="B113195"/>
      <c r="C113195"/>
      <c r="E113195"/>
      <c r="F113195"/>
    </row>
    <row r="113196" spans="1:6" x14ac:dyDescent="0.25">
      <c r="A113196"/>
      <c r="B113196"/>
      <c r="C113196"/>
      <c r="E113196"/>
      <c r="F113196"/>
    </row>
    <row r="113197" spans="1:6" x14ac:dyDescent="0.25">
      <c r="A113197"/>
      <c r="B113197"/>
      <c r="C113197"/>
      <c r="E113197"/>
      <c r="F113197"/>
    </row>
    <row r="113198" spans="1:6" x14ac:dyDescent="0.25">
      <c r="A113198"/>
      <c r="B113198"/>
      <c r="C113198"/>
      <c r="E113198"/>
      <c r="F113198"/>
    </row>
    <row r="113199" spans="1:6" x14ac:dyDescent="0.25">
      <c r="A113199"/>
      <c r="B113199"/>
      <c r="C113199"/>
      <c r="E113199"/>
      <c r="F113199"/>
    </row>
    <row r="113200" spans="1:6" x14ac:dyDescent="0.25">
      <c r="A113200"/>
      <c r="B113200"/>
      <c r="C113200"/>
      <c r="E113200"/>
      <c r="F113200"/>
    </row>
    <row r="113201" spans="1:6" x14ac:dyDescent="0.25">
      <c r="A113201"/>
      <c r="B113201"/>
      <c r="C113201"/>
      <c r="E113201"/>
      <c r="F113201"/>
    </row>
    <row r="113202" spans="1:6" x14ac:dyDescent="0.25">
      <c r="A113202"/>
      <c r="B113202"/>
      <c r="C113202"/>
      <c r="E113202"/>
      <c r="F113202"/>
    </row>
    <row r="113203" spans="1:6" x14ac:dyDescent="0.25">
      <c r="A113203"/>
      <c r="B113203"/>
      <c r="C113203"/>
      <c r="E113203"/>
      <c r="F113203"/>
    </row>
    <row r="113204" spans="1:6" x14ac:dyDescent="0.25">
      <c r="A113204"/>
      <c r="B113204"/>
      <c r="C113204"/>
      <c r="E113204"/>
      <c r="F113204"/>
    </row>
    <row r="113205" spans="1:6" x14ac:dyDescent="0.25">
      <c r="A113205"/>
      <c r="B113205"/>
      <c r="C113205"/>
      <c r="E113205"/>
      <c r="F113205"/>
    </row>
    <row r="113206" spans="1:6" x14ac:dyDescent="0.25">
      <c r="A113206"/>
      <c r="B113206"/>
      <c r="C113206"/>
      <c r="E113206"/>
      <c r="F113206"/>
    </row>
    <row r="113207" spans="1:6" x14ac:dyDescent="0.25">
      <c r="A113207"/>
      <c r="B113207"/>
      <c r="C113207"/>
      <c r="E113207"/>
      <c r="F113207"/>
    </row>
    <row r="113208" spans="1:6" x14ac:dyDescent="0.25">
      <c r="A113208"/>
      <c r="B113208"/>
      <c r="C113208"/>
      <c r="E113208"/>
      <c r="F113208"/>
    </row>
    <row r="113209" spans="1:6" x14ac:dyDescent="0.25">
      <c r="A113209"/>
      <c r="B113209"/>
      <c r="C113209"/>
      <c r="E113209"/>
      <c r="F113209"/>
    </row>
    <row r="113210" spans="1:6" x14ac:dyDescent="0.25">
      <c r="A113210"/>
      <c r="B113210"/>
      <c r="C113210"/>
      <c r="E113210"/>
      <c r="F113210"/>
    </row>
    <row r="113211" spans="1:6" x14ac:dyDescent="0.25">
      <c r="A113211"/>
      <c r="B113211"/>
      <c r="C113211"/>
      <c r="E113211"/>
      <c r="F113211"/>
    </row>
    <row r="113212" spans="1:6" x14ac:dyDescent="0.25">
      <c r="A113212"/>
      <c r="B113212"/>
      <c r="C113212"/>
      <c r="E113212"/>
      <c r="F113212"/>
    </row>
    <row r="113213" spans="1:6" x14ac:dyDescent="0.25">
      <c r="A113213"/>
      <c r="B113213"/>
      <c r="C113213"/>
      <c r="E113213"/>
      <c r="F113213"/>
    </row>
    <row r="113214" spans="1:6" x14ac:dyDescent="0.25">
      <c r="A113214"/>
      <c r="B113214"/>
      <c r="C113214"/>
      <c r="E113214"/>
      <c r="F113214"/>
    </row>
    <row r="113215" spans="1:6" x14ac:dyDescent="0.25">
      <c r="A113215"/>
      <c r="B113215"/>
      <c r="C113215"/>
      <c r="E113215"/>
      <c r="F113215"/>
    </row>
    <row r="113216" spans="1:6" x14ac:dyDescent="0.25">
      <c r="A113216"/>
      <c r="B113216"/>
      <c r="C113216"/>
      <c r="E113216"/>
      <c r="F113216"/>
    </row>
    <row r="113217" spans="1:6" x14ac:dyDescent="0.25">
      <c r="A113217"/>
      <c r="B113217"/>
      <c r="C113217"/>
      <c r="E113217"/>
      <c r="F113217"/>
    </row>
    <row r="113218" spans="1:6" x14ac:dyDescent="0.25">
      <c r="A113218"/>
      <c r="B113218"/>
      <c r="C113218"/>
      <c r="E113218"/>
      <c r="F113218"/>
    </row>
    <row r="113219" spans="1:6" x14ac:dyDescent="0.25">
      <c r="A113219"/>
      <c r="B113219"/>
      <c r="C113219"/>
      <c r="E113219"/>
      <c r="F113219"/>
    </row>
    <row r="113220" spans="1:6" x14ac:dyDescent="0.25">
      <c r="A113220"/>
      <c r="B113220"/>
      <c r="C113220"/>
      <c r="E113220"/>
      <c r="F113220"/>
    </row>
    <row r="113221" spans="1:6" x14ac:dyDescent="0.25">
      <c r="A113221"/>
      <c r="B113221"/>
      <c r="C113221"/>
      <c r="E113221"/>
      <c r="F113221"/>
    </row>
    <row r="113222" spans="1:6" x14ac:dyDescent="0.25">
      <c r="A113222"/>
      <c r="B113222"/>
      <c r="C113222"/>
      <c r="E113222"/>
      <c r="F113222"/>
    </row>
    <row r="113223" spans="1:6" x14ac:dyDescent="0.25">
      <c r="A113223"/>
      <c r="B113223"/>
      <c r="C113223"/>
      <c r="E113223"/>
      <c r="F113223"/>
    </row>
    <row r="113224" spans="1:6" x14ac:dyDescent="0.25">
      <c r="A113224"/>
      <c r="B113224"/>
      <c r="C113224"/>
      <c r="E113224"/>
      <c r="F113224"/>
    </row>
    <row r="113225" spans="1:6" x14ac:dyDescent="0.25">
      <c r="A113225"/>
      <c r="B113225"/>
      <c r="C113225"/>
      <c r="E113225"/>
      <c r="F113225"/>
    </row>
    <row r="113226" spans="1:6" x14ac:dyDescent="0.25">
      <c r="A113226"/>
      <c r="B113226"/>
      <c r="C113226"/>
      <c r="E113226"/>
      <c r="F113226"/>
    </row>
    <row r="113227" spans="1:6" x14ac:dyDescent="0.25">
      <c r="A113227"/>
      <c r="B113227"/>
      <c r="C113227"/>
      <c r="E113227"/>
      <c r="F113227"/>
    </row>
    <row r="113228" spans="1:6" x14ac:dyDescent="0.25">
      <c r="A113228"/>
      <c r="B113228"/>
      <c r="C113228"/>
      <c r="E113228"/>
      <c r="F113228"/>
    </row>
    <row r="113229" spans="1:6" x14ac:dyDescent="0.25">
      <c r="A113229"/>
      <c r="B113229"/>
      <c r="C113229"/>
      <c r="E113229"/>
      <c r="F113229"/>
    </row>
    <row r="113230" spans="1:6" x14ac:dyDescent="0.25">
      <c r="A113230"/>
      <c r="B113230"/>
      <c r="C113230"/>
      <c r="E113230"/>
      <c r="F113230"/>
    </row>
    <row r="113231" spans="1:6" x14ac:dyDescent="0.25">
      <c r="A113231"/>
      <c r="B113231"/>
      <c r="C113231"/>
      <c r="E113231"/>
      <c r="F113231"/>
    </row>
    <row r="113232" spans="1:6" x14ac:dyDescent="0.25">
      <c r="A113232"/>
      <c r="B113232"/>
      <c r="C113232"/>
      <c r="E113232"/>
      <c r="F113232"/>
    </row>
    <row r="113233" spans="1:6" x14ac:dyDescent="0.25">
      <c r="A113233"/>
      <c r="B113233"/>
      <c r="C113233"/>
      <c r="E113233"/>
      <c r="F113233"/>
    </row>
    <row r="113234" spans="1:6" x14ac:dyDescent="0.25">
      <c r="A113234"/>
      <c r="B113234"/>
      <c r="C113234"/>
      <c r="E113234"/>
      <c r="F113234"/>
    </row>
    <row r="113235" spans="1:6" x14ac:dyDescent="0.25">
      <c r="A113235"/>
      <c r="B113235"/>
      <c r="C113235"/>
      <c r="E113235"/>
      <c r="F113235"/>
    </row>
    <row r="113236" spans="1:6" x14ac:dyDescent="0.25">
      <c r="A113236"/>
      <c r="B113236"/>
      <c r="C113236"/>
      <c r="E113236"/>
      <c r="F113236"/>
    </row>
    <row r="113237" spans="1:6" x14ac:dyDescent="0.25">
      <c r="A113237"/>
      <c r="B113237"/>
      <c r="C113237"/>
      <c r="E113237"/>
      <c r="F113237"/>
    </row>
    <row r="113238" spans="1:6" x14ac:dyDescent="0.25">
      <c r="A113238"/>
      <c r="B113238"/>
      <c r="C113238"/>
      <c r="E113238"/>
      <c r="F113238"/>
    </row>
    <row r="113239" spans="1:6" x14ac:dyDescent="0.25">
      <c r="A113239"/>
      <c r="B113239"/>
      <c r="C113239"/>
      <c r="E113239"/>
      <c r="F113239"/>
    </row>
    <row r="113240" spans="1:6" x14ac:dyDescent="0.25">
      <c r="A113240"/>
      <c r="B113240"/>
      <c r="C113240"/>
      <c r="E113240"/>
      <c r="F113240"/>
    </row>
    <row r="113241" spans="1:6" x14ac:dyDescent="0.25">
      <c r="A113241"/>
      <c r="B113241"/>
      <c r="C113241"/>
      <c r="E113241"/>
      <c r="F113241"/>
    </row>
    <row r="113242" spans="1:6" x14ac:dyDescent="0.25">
      <c r="A113242"/>
      <c r="B113242"/>
      <c r="C113242"/>
      <c r="E113242"/>
      <c r="F113242"/>
    </row>
    <row r="113243" spans="1:6" x14ac:dyDescent="0.25">
      <c r="A113243"/>
      <c r="B113243"/>
      <c r="C113243"/>
      <c r="E113243"/>
      <c r="F113243"/>
    </row>
    <row r="113244" spans="1:6" x14ac:dyDescent="0.25">
      <c r="A113244"/>
      <c r="B113244"/>
      <c r="C113244"/>
      <c r="E113244"/>
      <c r="F113244"/>
    </row>
    <row r="113245" spans="1:6" x14ac:dyDescent="0.25">
      <c r="A113245"/>
      <c r="B113245"/>
      <c r="C113245"/>
      <c r="E113245"/>
      <c r="F113245"/>
    </row>
    <row r="113246" spans="1:6" x14ac:dyDescent="0.25">
      <c r="A113246"/>
      <c r="B113246"/>
      <c r="C113246"/>
      <c r="E113246"/>
      <c r="F113246"/>
    </row>
    <row r="113247" spans="1:6" x14ac:dyDescent="0.25">
      <c r="A113247"/>
      <c r="B113247"/>
      <c r="C113247"/>
      <c r="E113247"/>
      <c r="F113247"/>
    </row>
    <row r="113248" spans="1:6" x14ac:dyDescent="0.25">
      <c r="A113248"/>
      <c r="B113248"/>
      <c r="C113248"/>
      <c r="E113248"/>
      <c r="F113248"/>
    </row>
    <row r="113249" spans="1:6" x14ac:dyDescent="0.25">
      <c r="A113249"/>
      <c r="B113249"/>
      <c r="C113249"/>
      <c r="E113249"/>
      <c r="F113249"/>
    </row>
    <row r="113250" spans="1:6" x14ac:dyDescent="0.25">
      <c r="A113250"/>
      <c r="B113250"/>
      <c r="C113250"/>
      <c r="E113250"/>
      <c r="F113250"/>
    </row>
    <row r="113251" spans="1:6" x14ac:dyDescent="0.25">
      <c r="A113251"/>
      <c r="B113251"/>
      <c r="C113251"/>
      <c r="E113251"/>
      <c r="F113251"/>
    </row>
    <row r="113252" spans="1:6" x14ac:dyDescent="0.25">
      <c r="A113252"/>
      <c r="B113252"/>
      <c r="C113252"/>
      <c r="E113252"/>
      <c r="F113252"/>
    </row>
    <row r="113253" spans="1:6" x14ac:dyDescent="0.25">
      <c r="A113253"/>
      <c r="B113253"/>
      <c r="C113253"/>
      <c r="E113253"/>
      <c r="F113253"/>
    </row>
    <row r="113254" spans="1:6" x14ac:dyDescent="0.25">
      <c r="A113254"/>
      <c r="B113254"/>
      <c r="C113254"/>
      <c r="E113254"/>
      <c r="F113254"/>
    </row>
    <row r="113255" spans="1:6" x14ac:dyDescent="0.25">
      <c r="A113255"/>
      <c r="B113255"/>
      <c r="C113255"/>
      <c r="E113255"/>
      <c r="F113255"/>
    </row>
    <row r="113256" spans="1:6" x14ac:dyDescent="0.25">
      <c r="A113256"/>
      <c r="B113256"/>
      <c r="C113256"/>
      <c r="E113256"/>
      <c r="F113256"/>
    </row>
    <row r="113257" spans="1:6" x14ac:dyDescent="0.25">
      <c r="A113257"/>
      <c r="B113257"/>
      <c r="C113257"/>
      <c r="E113257"/>
      <c r="F113257"/>
    </row>
    <row r="113258" spans="1:6" x14ac:dyDescent="0.25">
      <c r="A113258"/>
      <c r="B113258"/>
      <c r="C113258"/>
      <c r="E113258"/>
      <c r="F113258"/>
    </row>
    <row r="113259" spans="1:6" x14ac:dyDescent="0.25">
      <c r="A113259"/>
      <c r="B113259"/>
      <c r="C113259"/>
      <c r="E113259"/>
      <c r="F113259"/>
    </row>
    <row r="113260" spans="1:6" x14ac:dyDescent="0.25">
      <c r="A113260"/>
      <c r="B113260"/>
      <c r="C113260"/>
      <c r="E113260"/>
      <c r="F113260"/>
    </row>
    <row r="113261" spans="1:6" x14ac:dyDescent="0.25">
      <c r="A113261"/>
      <c r="B113261"/>
      <c r="C113261"/>
      <c r="E113261"/>
      <c r="F113261"/>
    </row>
    <row r="113262" spans="1:6" x14ac:dyDescent="0.25">
      <c r="A113262"/>
      <c r="B113262"/>
      <c r="C113262"/>
      <c r="E113262"/>
      <c r="F113262"/>
    </row>
    <row r="113263" spans="1:6" x14ac:dyDescent="0.25">
      <c r="A113263"/>
      <c r="B113263"/>
      <c r="C113263"/>
      <c r="E113263"/>
      <c r="F113263"/>
    </row>
    <row r="113264" spans="1:6" x14ac:dyDescent="0.25">
      <c r="A113264"/>
      <c r="B113264"/>
      <c r="C113264"/>
      <c r="E113264"/>
      <c r="F113264"/>
    </row>
    <row r="113265" spans="1:6" x14ac:dyDescent="0.25">
      <c r="A113265"/>
      <c r="B113265"/>
      <c r="C113265"/>
      <c r="E113265"/>
      <c r="F113265"/>
    </row>
    <row r="113266" spans="1:6" x14ac:dyDescent="0.25">
      <c r="A113266"/>
      <c r="B113266"/>
      <c r="C113266"/>
      <c r="E113266"/>
      <c r="F113266"/>
    </row>
    <row r="113267" spans="1:6" x14ac:dyDescent="0.25">
      <c r="A113267"/>
      <c r="B113267"/>
      <c r="C113267"/>
      <c r="E113267"/>
      <c r="F113267"/>
    </row>
    <row r="113268" spans="1:6" x14ac:dyDescent="0.25">
      <c r="A113268"/>
      <c r="B113268"/>
      <c r="C113268"/>
      <c r="E113268"/>
      <c r="F113268"/>
    </row>
    <row r="113269" spans="1:6" x14ac:dyDescent="0.25">
      <c r="A113269"/>
      <c r="B113269"/>
      <c r="C113269"/>
      <c r="E113269"/>
      <c r="F113269"/>
    </row>
    <row r="113270" spans="1:6" x14ac:dyDescent="0.25">
      <c r="A113270"/>
      <c r="B113270"/>
      <c r="C113270"/>
      <c r="E113270"/>
      <c r="F113270"/>
    </row>
    <row r="113271" spans="1:6" x14ac:dyDescent="0.25">
      <c r="A113271"/>
      <c r="B113271"/>
      <c r="C113271"/>
      <c r="E113271"/>
      <c r="F113271"/>
    </row>
    <row r="113272" spans="1:6" x14ac:dyDescent="0.25">
      <c r="A113272"/>
      <c r="B113272"/>
      <c r="C113272"/>
      <c r="E113272"/>
      <c r="F113272"/>
    </row>
    <row r="113273" spans="1:6" x14ac:dyDescent="0.25">
      <c r="A113273"/>
      <c r="B113273"/>
      <c r="C113273"/>
      <c r="E113273"/>
      <c r="F113273"/>
    </row>
    <row r="113274" spans="1:6" x14ac:dyDescent="0.25">
      <c r="A113274"/>
      <c r="B113274"/>
      <c r="C113274"/>
      <c r="E113274"/>
      <c r="F113274"/>
    </row>
    <row r="113275" spans="1:6" x14ac:dyDescent="0.25">
      <c r="A113275"/>
      <c r="B113275"/>
      <c r="C113275"/>
      <c r="E113275"/>
      <c r="F113275"/>
    </row>
    <row r="113276" spans="1:6" x14ac:dyDescent="0.25">
      <c r="A113276"/>
      <c r="B113276"/>
      <c r="C113276"/>
      <c r="E113276"/>
      <c r="F113276"/>
    </row>
    <row r="113277" spans="1:6" x14ac:dyDescent="0.25">
      <c r="A113277"/>
      <c r="B113277"/>
      <c r="C113277"/>
      <c r="E113277"/>
      <c r="F113277"/>
    </row>
    <row r="113278" spans="1:6" x14ac:dyDescent="0.25">
      <c r="A113278"/>
      <c r="B113278"/>
      <c r="C113278"/>
      <c r="E113278"/>
      <c r="F113278"/>
    </row>
    <row r="113279" spans="1:6" x14ac:dyDescent="0.25">
      <c r="A113279"/>
      <c r="B113279"/>
      <c r="C113279"/>
      <c r="E113279"/>
      <c r="F113279"/>
    </row>
    <row r="113280" spans="1:6" x14ac:dyDescent="0.25">
      <c r="A113280"/>
      <c r="B113280"/>
      <c r="C113280"/>
      <c r="E113280"/>
      <c r="F113280"/>
    </row>
    <row r="113281" spans="1:6" x14ac:dyDescent="0.25">
      <c r="A113281"/>
      <c r="B113281"/>
      <c r="C113281"/>
      <c r="E113281"/>
      <c r="F113281"/>
    </row>
    <row r="113282" spans="1:6" x14ac:dyDescent="0.25">
      <c r="A113282"/>
      <c r="B113282"/>
      <c r="C113282"/>
      <c r="E113282"/>
      <c r="F113282"/>
    </row>
    <row r="113283" spans="1:6" x14ac:dyDescent="0.25">
      <c r="A113283"/>
      <c r="B113283"/>
      <c r="C113283"/>
      <c r="E113283"/>
      <c r="F113283"/>
    </row>
    <row r="113284" spans="1:6" x14ac:dyDescent="0.25">
      <c r="A113284"/>
      <c r="B113284"/>
      <c r="C113284"/>
      <c r="E113284"/>
      <c r="F113284"/>
    </row>
    <row r="113285" spans="1:6" x14ac:dyDescent="0.25">
      <c r="A113285"/>
      <c r="B113285"/>
      <c r="C113285"/>
      <c r="E113285"/>
      <c r="F113285"/>
    </row>
    <row r="113286" spans="1:6" x14ac:dyDescent="0.25">
      <c r="A113286"/>
      <c r="B113286"/>
      <c r="C113286"/>
      <c r="E113286"/>
      <c r="F113286"/>
    </row>
    <row r="113287" spans="1:6" x14ac:dyDescent="0.25">
      <c r="A113287"/>
      <c r="B113287"/>
      <c r="C113287"/>
      <c r="E113287"/>
      <c r="F113287"/>
    </row>
    <row r="113288" spans="1:6" x14ac:dyDescent="0.25">
      <c r="A113288"/>
      <c r="B113288"/>
      <c r="C113288"/>
      <c r="E113288"/>
      <c r="F113288"/>
    </row>
    <row r="113289" spans="1:6" x14ac:dyDescent="0.25">
      <c r="A113289"/>
      <c r="B113289"/>
      <c r="C113289"/>
      <c r="E113289"/>
      <c r="F113289"/>
    </row>
    <row r="113290" spans="1:6" x14ac:dyDescent="0.25">
      <c r="A113290"/>
      <c r="B113290"/>
      <c r="C113290"/>
      <c r="E113290"/>
      <c r="F113290"/>
    </row>
    <row r="113291" spans="1:6" x14ac:dyDescent="0.25">
      <c r="A113291"/>
      <c r="B113291"/>
      <c r="C113291"/>
      <c r="E113291"/>
      <c r="F113291"/>
    </row>
    <row r="113292" spans="1:6" x14ac:dyDescent="0.25">
      <c r="A113292"/>
      <c r="B113292"/>
      <c r="C113292"/>
      <c r="E113292"/>
      <c r="F113292"/>
    </row>
    <row r="113293" spans="1:6" x14ac:dyDescent="0.25">
      <c r="A113293"/>
      <c r="B113293"/>
      <c r="C113293"/>
      <c r="E113293"/>
      <c r="F113293"/>
    </row>
    <row r="113294" spans="1:6" x14ac:dyDescent="0.25">
      <c r="A113294"/>
      <c r="B113294"/>
      <c r="C113294"/>
      <c r="E113294"/>
      <c r="F113294"/>
    </row>
    <row r="113295" spans="1:6" x14ac:dyDescent="0.25">
      <c r="A113295"/>
      <c r="B113295"/>
      <c r="C113295"/>
      <c r="E113295"/>
      <c r="F113295"/>
    </row>
    <row r="113296" spans="1:6" x14ac:dyDescent="0.25">
      <c r="A113296"/>
      <c r="B113296"/>
      <c r="C113296"/>
      <c r="E113296"/>
      <c r="F113296"/>
    </row>
    <row r="113297" spans="1:6" x14ac:dyDescent="0.25">
      <c r="A113297"/>
      <c r="B113297"/>
      <c r="C113297"/>
      <c r="E113297"/>
      <c r="F113297"/>
    </row>
    <row r="113298" spans="1:6" x14ac:dyDescent="0.25">
      <c r="A113298"/>
      <c r="B113298"/>
      <c r="C113298"/>
      <c r="E113298"/>
      <c r="F113298"/>
    </row>
    <row r="113299" spans="1:6" x14ac:dyDescent="0.25">
      <c r="A113299"/>
      <c r="B113299"/>
      <c r="C113299"/>
      <c r="E113299"/>
      <c r="F113299"/>
    </row>
    <row r="113300" spans="1:6" x14ac:dyDescent="0.25">
      <c r="A113300"/>
      <c r="B113300"/>
      <c r="C113300"/>
      <c r="E113300"/>
      <c r="F113300"/>
    </row>
    <row r="113301" spans="1:6" x14ac:dyDescent="0.25">
      <c r="A113301"/>
      <c r="B113301"/>
      <c r="C113301"/>
      <c r="E113301"/>
      <c r="F113301"/>
    </row>
    <row r="113302" spans="1:6" x14ac:dyDescent="0.25">
      <c r="A113302"/>
      <c r="B113302"/>
      <c r="C113302"/>
      <c r="E113302"/>
      <c r="F113302"/>
    </row>
    <row r="113303" spans="1:6" x14ac:dyDescent="0.25">
      <c r="A113303"/>
      <c r="B113303"/>
      <c r="C113303"/>
      <c r="E113303"/>
      <c r="F113303"/>
    </row>
    <row r="113304" spans="1:6" x14ac:dyDescent="0.25">
      <c r="A113304"/>
      <c r="B113304"/>
      <c r="C113304"/>
      <c r="E113304"/>
      <c r="F113304"/>
    </row>
    <row r="113305" spans="1:6" x14ac:dyDescent="0.25">
      <c r="A113305"/>
      <c r="B113305"/>
      <c r="C113305"/>
      <c r="E113305"/>
      <c r="F113305"/>
    </row>
    <row r="113306" spans="1:6" x14ac:dyDescent="0.25">
      <c r="A113306"/>
      <c r="B113306"/>
      <c r="C113306"/>
      <c r="E113306"/>
      <c r="F113306"/>
    </row>
    <row r="113307" spans="1:6" x14ac:dyDescent="0.25">
      <c r="A113307"/>
      <c r="B113307"/>
      <c r="C113307"/>
      <c r="E113307"/>
      <c r="F113307"/>
    </row>
    <row r="113308" spans="1:6" x14ac:dyDescent="0.25">
      <c r="A113308"/>
      <c r="B113308"/>
      <c r="C113308"/>
      <c r="E113308"/>
      <c r="F113308"/>
    </row>
    <row r="113309" spans="1:6" x14ac:dyDescent="0.25">
      <c r="A113309"/>
      <c r="B113309"/>
      <c r="C113309"/>
      <c r="E113309"/>
      <c r="F113309"/>
    </row>
    <row r="113310" spans="1:6" x14ac:dyDescent="0.25">
      <c r="A113310"/>
      <c r="B113310"/>
      <c r="C113310"/>
      <c r="E113310"/>
      <c r="F113310"/>
    </row>
    <row r="113311" spans="1:6" x14ac:dyDescent="0.25">
      <c r="A113311"/>
      <c r="B113311"/>
      <c r="C113311"/>
      <c r="E113311"/>
      <c r="F113311"/>
    </row>
    <row r="113312" spans="1:6" x14ac:dyDescent="0.25">
      <c r="A113312"/>
      <c r="B113312"/>
      <c r="C113312"/>
      <c r="E113312"/>
      <c r="F113312"/>
    </row>
    <row r="113313" spans="1:6" x14ac:dyDescent="0.25">
      <c r="A113313"/>
      <c r="B113313"/>
      <c r="C113313"/>
      <c r="E113313"/>
      <c r="F113313"/>
    </row>
    <row r="113314" spans="1:6" x14ac:dyDescent="0.25">
      <c r="A113314"/>
      <c r="B113314"/>
      <c r="C113314"/>
      <c r="E113314"/>
      <c r="F113314"/>
    </row>
    <row r="113315" spans="1:6" x14ac:dyDescent="0.25">
      <c r="A113315"/>
      <c r="B113315"/>
      <c r="C113315"/>
      <c r="E113315"/>
      <c r="F113315"/>
    </row>
    <row r="113316" spans="1:6" x14ac:dyDescent="0.25">
      <c r="A113316"/>
      <c r="B113316"/>
      <c r="C113316"/>
      <c r="E113316"/>
      <c r="F113316"/>
    </row>
    <row r="113317" spans="1:6" x14ac:dyDescent="0.25">
      <c r="A113317"/>
      <c r="B113317"/>
      <c r="C113317"/>
      <c r="E113317"/>
      <c r="F113317"/>
    </row>
    <row r="113318" spans="1:6" x14ac:dyDescent="0.25">
      <c r="A113318"/>
      <c r="B113318"/>
      <c r="C113318"/>
      <c r="E113318"/>
      <c r="F113318"/>
    </row>
    <row r="113319" spans="1:6" x14ac:dyDescent="0.25">
      <c r="A113319"/>
      <c r="B113319"/>
      <c r="C113319"/>
      <c r="E113319"/>
      <c r="F113319"/>
    </row>
    <row r="113320" spans="1:6" x14ac:dyDescent="0.25">
      <c r="A113320"/>
      <c r="B113320"/>
      <c r="C113320"/>
      <c r="E113320"/>
      <c r="F113320"/>
    </row>
    <row r="113321" spans="1:6" x14ac:dyDescent="0.25">
      <c r="A113321"/>
      <c r="B113321"/>
      <c r="C113321"/>
      <c r="E113321"/>
      <c r="F113321"/>
    </row>
    <row r="113322" spans="1:6" x14ac:dyDescent="0.25">
      <c r="A113322"/>
      <c r="B113322"/>
      <c r="C113322"/>
      <c r="E113322"/>
      <c r="F113322"/>
    </row>
    <row r="113323" spans="1:6" x14ac:dyDescent="0.25">
      <c r="A113323"/>
      <c r="B113323"/>
      <c r="C113323"/>
      <c r="E113323"/>
      <c r="F113323"/>
    </row>
    <row r="113324" spans="1:6" x14ac:dyDescent="0.25">
      <c r="A113324"/>
      <c r="B113324"/>
      <c r="C113324"/>
      <c r="E113324"/>
      <c r="F113324"/>
    </row>
    <row r="113325" spans="1:6" x14ac:dyDescent="0.25">
      <c r="A113325"/>
      <c r="B113325"/>
      <c r="C113325"/>
      <c r="E113325"/>
      <c r="F113325"/>
    </row>
    <row r="113326" spans="1:6" x14ac:dyDescent="0.25">
      <c r="A113326"/>
      <c r="B113326"/>
      <c r="C113326"/>
      <c r="E113326"/>
      <c r="F113326"/>
    </row>
    <row r="113327" spans="1:6" x14ac:dyDescent="0.25">
      <c r="A113327"/>
      <c r="B113327"/>
      <c r="C113327"/>
      <c r="E113327"/>
      <c r="F113327"/>
    </row>
    <row r="113328" spans="1:6" x14ac:dyDescent="0.25">
      <c r="A113328"/>
      <c r="B113328"/>
      <c r="C113328"/>
      <c r="E113328"/>
      <c r="F113328"/>
    </row>
    <row r="113329" spans="1:6" x14ac:dyDescent="0.25">
      <c r="A113329"/>
      <c r="B113329"/>
      <c r="C113329"/>
      <c r="E113329"/>
      <c r="F113329"/>
    </row>
    <row r="113330" spans="1:6" x14ac:dyDescent="0.25">
      <c r="A113330"/>
      <c r="B113330"/>
      <c r="C113330"/>
      <c r="E113330"/>
      <c r="F113330"/>
    </row>
    <row r="113331" spans="1:6" x14ac:dyDescent="0.25">
      <c r="A113331"/>
      <c r="B113331"/>
      <c r="C113331"/>
      <c r="E113331"/>
      <c r="F113331"/>
    </row>
    <row r="113332" spans="1:6" x14ac:dyDescent="0.25">
      <c r="A113332"/>
      <c r="B113332"/>
      <c r="C113332"/>
      <c r="E113332"/>
      <c r="F113332"/>
    </row>
    <row r="113333" spans="1:6" x14ac:dyDescent="0.25">
      <c r="A113333"/>
      <c r="B113333"/>
      <c r="C113333"/>
      <c r="E113333"/>
      <c r="F113333"/>
    </row>
    <row r="113334" spans="1:6" x14ac:dyDescent="0.25">
      <c r="A113334"/>
      <c r="B113334"/>
      <c r="C113334"/>
      <c r="E113334"/>
      <c r="F113334"/>
    </row>
    <row r="113335" spans="1:6" x14ac:dyDescent="0.25">
      <c r="A113335"/>
      <c r="B113335"/>
      <c r="C113335"/>
      <c r="E113335"/>
      <c r="F113335"/>
    </row>
    <row r="113336" spans="1:6" x14ac:dyDescent="0.25">
      <c r="A113336"/>
      <c r="B113336"/>
      <c r="C113336"/>
      <c r="E113336"/>
      <c r="F113336"/>
    </row>
    <row r="113337" spans="1:6" x14ac:dyDescent="0.25">
      <c r="A113337"/>
      <c r="B113337"/>
      <c r="C113337"/>
      <c r="E113337"/>
      <c r="F113337"/>
    </row>
    <row r="113338" spans="1:6" x14ac:dyDescent="0.25">
      <c r="A113338"/>
      <c r="B113338"/>
      <c r="C113338"/>
      <c r="E113338"/>
      <c r="F113338"/>
    </row>
    <row r="113339" spans="1:6" x14ac:dyDescent="0.25">
      <c r="A113339"/>
      <c r="B113339"/>
      <c r="C113339"/>
      <c r="E113339"/>
      <c r="F113339"/>
    </row>
    <row r="113340" spans="1:6" x14ac:dyDescent="0.25">
      <c r="A113340"/>
      <c r="B113340"/>
      <c r="C113340"/>
      <c r="E113340"/>
      <c r="F113340"/>
    </row>
    <row r="113341" spans="1:6" x14ac:dyDescent="0.25">
      <c r="A113341"/>
      <c r="B113341"/>
      <c r="C113341"/>
      <c r="E113341"/>
      <c r="F113341"/>
    </row>
    <row r="113342" spans="1:6" x14ac:dyDescent="0.25">
      <c r="A113342"/>
      <c r="B113342"/>
      <c r="C113342"/>
      <c r="E113342"/>
      <c r="F113342"/>
    </row>
    <row r="113343" spans="1:6" x14ac:dyDescent="0.25">
      <c r="A113343"/>
      <c r="B113343"/>
      <c r="C113343"/>
      <c r="E113343"/>
      <c r="F113343"/>
    </row>
    <row r="113344" spans="1:6" x14ac:dyDescent="0.25">
      <c r="A113344"/>
      <c r="B113344"/>
      <c r="C113344"/>
      <c r="E113344"/>
      <c r="F113344"/>
    </row>
    <row r="113345" spans="1:6" x14ac:dyDescent="0.25">
      <c r="A113345"/>
      <c r="B113345"/>
      <c r="C113345"/>
      <c r="E113345"/>
      <c r="F113345"/>
    </row>
    <row r="113346" spans="1:6" x14ac:dyDescent="0.25">
      <c r="A113346"/>
      <c r="B113346"/>
      <c r="C113346"/>
      <c r="E113346"/>
      <c r="F113346"/>
    </row>
    <row r="113347" spans="1:6" x14ac:dyDescent="0.25">
      <c r="A113347"/>
      <c r="B113347"/>
      <c r="C113347"/>
      <c r="E113347"/>
      <c r="F113347"/>
    </row>
    <row r="113348" spans="1:6" x14ac:dyDescent="0.25">
      <c r="A113348"/>
      <c r="B113348"/>
      <c r="C113348"/>
      <c r="E113348"/>
      <c r="F113348"/>
    </row>
    <row r="113349" spans="1:6" x14ac:dyDescent="0.25">
      <c r="A113349"/>
      <c r="B113349"/>
      <c r="C113349"/>
      <c r="E113349"/>
      <c r="F113349"/>
    </row>
    <row r="113350" spans="1:6" x14ac:dyDescent="0.25">
      <c r="A113350"/>
      <c r="B113350"/>
      <c r="C113350"/>
      <c r="E113350"/>
      <c r="F113350"/>
    </row>
    <row r="113351" spans="1:6" x14ac:dyDescent="0.25">
      <c r="A113351"/>
      <c r="B113351"/>
      <c r="C113351"/>
      <c r="E113351"/>
      <c r="F113351"/>
    </row>
    <row r="113352" spans="1:6" x14ac:dyDescent="0.25">
      <c r="A113352"/>
      <c r="B113352"/>
      <c r="C113352"/>
      <c r="E113352"/>
      <c r="F113352"/>
    </row>
    <row r="113353" spans="1:6" x14ac:dyDescent="0.25">
      <c r="A113353"/>
      <c r="B113353"/>
      <c r="C113353"/>
      <c r="E113353"/>
      <c r="F113353"/>
    </row>
    <row r="113354" spans="1:6" x14ac:dyDescent="0.25">
      <c r="A113354"/>
      <c r="B113354"/>
      <c r="C113354"/>
      <c r="E113354"/>
      <c r="F113354"/>
    </row>
    <row r="113355" spans="1:6" x14ac:dyDescent="0.25">
      <c r="A113355"/>
      <c r="B113355"/>
      <c r="C113355"/>
      <c r="E113355"/>
      <c r="F113355"/>
    </row>
    <row r="113356" spans="1:6" x14ac:dyDescent="0.25">
      <c r="A113356"/>
      <c r="B113356"/>
      <c r="C113356"/>
      <c r="E113356"/>
      <c r="F113356"/>
    </row>
    <row r="113357" spans="1:6" x14ac:dyDescent="0.25">
      <c r="A113357"/>
      <c r="B113357"/>
      <c r="C113357"/>
      <c r="E113357"/>
      <c r="F113357"/>
    </row>
    <row r="113358" spans="1:6" x14ac:dyDescent="0.25">
      <c r="A113358"/>
      <c r="B113358"/>
      <c r="C113358"/>
      <c r="E113358"/>
      <c r="F113358"/>
    </row>
    <row r="113359" spans="1:6" x14ac:dyDescent="0.25">
      <c r="A113359"/>
      <c r="B113359"/>
      <c r="C113359"/>
      <c r="E113359"/>
      <c r="F113359"/>
    </row>
    <row r="113360" spans="1:6" x14ac:dyDescent="0.25">
      <c r="A113360"/>
      <c r="B113360"/>
      <c r="C113360"/>
      <c r="E113360"/>
      <c r="F113360"/>
    </row>
    <row r="113361" spans="1:6" x14ac:dyDescent="0.25">
      <c r="A113361"/>
      <c r="B113361"/>
      <c r="C113361"/>
      <c r="E113361"/>
      <c r="F113361"/>
    </row>
    <row r="113362" spans="1:6" x14ac:dyDescent="0.25">
      <c r="A113362"/>
      <c r="B113362"/>
      <c r="C113362"/>
      <c r="E113362"/>
      <c r="F113362"/>
    </row>
    <row r="113363" spans="1:6" x14ac:dyDescent="0.25">
      <c r="A113363"/>
      <c r="B113363"/>
      <c r="C113363"/>
      <c r="E113363"/>
      <c r="F113363"/>
    </row>
    <row r="113364" spans="1:6" x14ac:dyDescent="0.25">
      <c r="A113364"/>
      <c r="B113364"/>
      <c r="C113364"/>
      <c r="E113364"/>
      <c r="F113364"/>
    </row>
    <row r="113365" spans="1:6" x14ac:dyDescent="0.25">
      <c r="A113365"/>
      <c r="B113365"/>
      <c r="C113365"/>
      <c r="E113365"/>
      <c r="F113365"/>
    </row>
    <row r="113366" spans="1:6" x14ac:dyDescent="0.25">
      <c r="A113366"/>
      <c r="B113366"/>
      <c r="C113366"/>
      <c r="E113366"/>
      <c r="F113366"/>
    </row>
    <row r="113367" spans="1:6" x14ac:dyDescent="0.25">
      <c r="A113367"/>
      <c r="B113367"/>
      <c r="C113367"/>
      <c r="E113367"/>
      <c r="F113367"/>
    </row>
    <row r="113368" spans="1:6" x14ac:dyDescent="0.25">
      <c r="A113368"/>
      <c r="B113368"/>
      <c r="C113368"/>
      <c r="E113368"/>
      <c r="F113368"/>
    </row>
    <row r="113369" spans="1:6" x14ac:dyDescent="0.25">
      <c r="A113369"/>
      <c r="B113369"/>
      <c r="C113369"/>
      <c r="E113369"/>
      <c r="F113369"/>
    </row>
    <row r="113370" spans="1:6" x14ac:dyDescent="0.25">
      <c r="A113370"/>
      <c r="B113370"/>
      <c r="C113370"/>
      <c r="E113370"/>
      <c r="F113370"/>
    </row>
    <row r="113371" spans="1:6" x14ac:dyDescent="0.25">
      <c r="A113371"/>
      <c r="B113371"/>
      <c r="C113371"/>
      <c r="E113371"/>
      <c r="F113371"/>
    </row>
    <row r="113372" spans="1:6" x14ac:dyDescent="0.25">
      <c r="A113372"/>
      <c r="B113372"/>
      <c r="C113372"/>
      <c r="E113372"/>
      <c r="F113372"/>
    </row>
    <row r="113373" spans="1:6" x14ac:dyDescent="0.25">
      <c r="A113373"/>
      <c r="B113373"/>
      <c r="C113373"/>
      <c r="E113373"/>
      <c r="F113373"/>
    </row>
    <row r="113374" spans="1:6" x14ac:dyDescent="0.25">
      <c r="A113374"/>
      <c r="B113374"/>
      <c r="C113374"/>
      <c r="E113374"/>
      <c r="F113374"/>
    </row>
    <row r="113375" spans="1:6" x14ac:dyDescent="0.25">
      <c r="A113375"/>
      <c r="B113375"/>
      <c r="C113375"/>
      <c r="E113375"/>
      <c r="F113375"/>
    </row>
    <row r="113376" spans="1:6" x14ac:dyDescent="0.25">
      <c r="A113376"/>
      <c r="B113376"/>
      <c r="C113376"/>
      <c r="E113376"/>
      <c r="F113376"/>
    </row>
    <row r="113377" spans="1:6" x14ac:dyDescent="0.25">
      <c r="A113377"/>
      <c r="B113377"/>
      <c r="C113377"/>
      <c r="E113377"/>
      <c r="F113377"/>
    </row>
    <row r="113378" spans="1:6" x14ac:dyDescent="0.25">
      <c r="A113378"/>
      <c r="B113378"/>
      <c r="C113378"/>
      <c r="E113378"/>
      <c r="F113378"/>
    </row>
    <row r="113379" spans="1:6" x14ac:dyDescent="0.25">
      <c r="A113379"/>
      <c r="B113379"/>
      <c r="C113379"/>
      <c r="E113379"/>
      <c r="F113379"/>
    </row>
    <row r="113380" spans="1:6" x14ac:dyDescent="0.25">
      <c r="A113380"/>
      <c r="B113380"/>
      <c r="C113380"/>
      <c r="E113380"/>
      <c r="F113380"/>
    </row>
    <row r="113381" spans="1:6" x14ac:dyDescent="0.25">
      <c r="A113381"/>
      <c r="B113381"/>
      <c r="C113381"/>
      <c r="E113381"/>
      <c r="F113381"/>
    </row>
    <row r="113382" spans="1:6" x14ac:dyDescent="0.25">
      <c r="A113382"/>
      <c r="B113382"/>
      <c r="C113382"/>
      <c r="E113382"/>
      <c r="F113382"/>
    </row>
    <row r="113383" spans="1:6" x14ac:dyDescent="0.25">
      <c r="A113383"/>
      <c r="B113383"/>
      <c r="C113383"/>
      <c r="E113383"/>
      <c r="F113383"/>
    </row>
    <row r="113384" spans="1:6" x14ac:dyDescent="0.25">
      <c r="A113384"/>
      <c r="B113384"/>
      <c r="C113384"/>
      <c r="E113384"/>
      <c r="F113384"/>
    </row>
    <row r="113385" spans="1:6" x14ac:dyDescent="0.25">
      <c r="A113385"/>
      <c r="B113385"/>
      <c r="C113385"/>
      <c r="E113385"/>
      <c r="F113385"/>
    </row>
    <row r="113386" spans="1:6" x14ac:dyDescent="0.25">
      <c r="A113386"/>
      <c r="B113386"/>
      <c r="C113386"/>
      <c r="E113386"/>
      <c r="F113386"/>
    </row>
    <row r="113387" spans="1:6" x14ac:dyDescent="0.25">
      <c r="A113387"/>
      <c r="B113387"/>
      <c r="C113387"/>
      <c r="E113387"/>
      <c r="F113387"/>
    </row>
    <row r="113388" spans="1:6" x14ac:dyDescent="0.25">
      <c r="A113388"/>
      <c r="B113388"/>
      <c r="C113388"/>
      <c r="E113388"/>
      <c r="F113388"/>
    </row>
    <row r="113389" spans="1:6" x14ac:dyDescent="0.25">
      <c r="A113389"/>
      <c r="B113389"/>
      <c r="C113389"/>
      <c r="E113389"/>
      <c r="F113389"/>
    </row>
    <row r="113390" spans="1:6" x14ac:dyDescent="0.25">
      <c r="A113390"/>
      <c r="B113390"/>
      <c r="C113390"/>
      <c r="E113390"/>
      <c r="F113390"/>
    </row>
    <row r="113391" spans="1:6" x14ac:dyDescent="0.25">
      <c r="A113391"/>
      <c r="B113391"/>
      <c r="C113391"/>
      <c r="E113391"/>
      <c r="F113391"/>
    </row>
    <row r="113392" spans="1:6" x14ac:dyDescent="0.25">
      <c r="A113392"/>
      <c r="B113392"/>
      <c r="C113392"/>
      <c r="E113392"/>
      <c r="F113392"/>
    </row>
    <row r="113393" spans="1:6" x14ac:dyDescent="0.25">
      <c r="A113393"/>
      <c r="B113393"/>
      <c r="C113393"/>
      <c r="E113393"/>
      <c r="F113393"/>
    </row>
    <row r="113394" spans="1:6" x14ac:dyDescent="0.25">
      <c r="A113394"/>
      <c r="B113394"/>
      <c r="C113394"/>
      <c r="E113394"/>
      <c r="F113394"/>
    </row>
    <row r="113395" spans="1:6" x14ac:dyDescent="0.25">
      <c r="A113395"/>
      <c r="B113395"/>
      <c r="C113395"/>
      <c r="E113395"/>
      <c r="F113395"/>
    </row>
    <row r="113396" spans="1:6" x14ac:dyDescent="0.25">
      <c r="A113396"/>
      <c r="B113396"/>
      <c r="C113396"/>
      <c r="E113396"/>
      <c r="F113396"/>
    </row>
    <row r="113397" spans="1:6" x14ac:dyDescent="0.25">
      <c r="A113397"/>
      <c r="B113397"/>
      <c r="C113397"/>
      <c r="E113397"/>
      <c r="F113397"/>
    </row>
    <row r="113398" spans="1:6" x14ac:dyDescent="0.25">
      <c r="A113398"/>
      <c r="B113398"/>
      <c r="C113398"/>
      <c r="E113398"/>
      <c r="F113398"/>
    </row>
    <row r="113399" spans="1:6" x14ac:dyDescent="0.25">
      <c r="A113399"/>
      <c r="B113399"/>
      <c r="C113399"/>
      <c r="E113399"/>
      <c r="F113399"/>
    </row>
    <row r="113400" spans="1:6" x14ac:dyDescent="0.25">
      <c r="A113400"/>
      <c r="B113400"/>
      <c r="C113400"/>
      <c r="E113400"/>
      <c r="F113400"/>
    </row>
    <row r="113401" spans="1:6" x14ac:dyDescent="0.25">
      <c r="A113401"/>
      <c r="B113401"/>
      <c r="C113401"/>
      <c r="E113401"/>
      <c r="F113401"/>
    </row>
    <row r="113402" spans="1:6" x14ac:dyDescent="0.25">
      <c r="A113402"/>
      <c r="B113402"/>
      <c r="C113402"/>
      <c r="E113402"/>
      <c r="F113402"/>
    </row>
    <row r="113403" spans="1:6" x14ac:dyDescent="0.25">
      <c r="A113403"/>
      <c r="B113403"/>
      <c r="C113403"/>
      <c r="E113403"/>
      <c r="F113403"/>
    </row>
    <row r="113404" spans="1:6" x14ac:dyDescent="0.25">
      <c r="A113404"/>
      <c r="B113404"/>
      <c r="C113404"/>
      <c r="E113404"/>
      <c r="F113404"/>
    </row>
    <row r="113405" spans="1:6" x14ac:dyDescent="0.25">
      <c r="A113405"/>
      <c r="B113405"/>
      <c r="C113405"/>
      <c r="E113405"/>
      <c r="F113405"/>
    </row>
    <row r="113406" spans="1:6" x14ac:dyDescent="0.25">
      <c r="A113406"/>
      <c r="B113406"/>
      <c r="C113406"/>
      <c r="E113406"/>
      <c r="F113406"/>
    </row>
    <row r="113407" spans="1:6" x14ac:dyDescent="0.25">
      <c r="A113407"/>
      <c r="B113407"/>
      <c r="C113407"/>
      <c r="E113407"/>
      <c r="F113407"/>
    </row>
    <row r="113408" spans="1:6" x14ac:dyDescent="0.25">
      <c r="A113408"/>
      <c r="B113408"/>
      <c r="C113408"/>
      <c r="E113408"/>
      <c r="F113408"/>
    </row>
    <row r="113409" spans="1:6" x14ac:dyDescent="0.25">
      <c r="A113409"/>
      <c r="B113409"/>
      <c r="C113409"/>
      <c r="E113409"/>
      <c r="F113409"/>
    </row>
    <row r="113410" spans="1:6" x14ac:dyDescent="0.25">
      <c r="A113410"/>
      <c r="B113410"/>
      <c r="C113410"/>
      <c r="E113410"/>
      <c r="F113410"/>
    </row>
    <row r="113411" spans="1:6" x14ac:dyDescent="0.25">
      <c r="A113411"/>
      <c r="B113411"/>
      <c r="C113411"/>
      <c r="E113411"/>
      <c r="F113411"/>
    </row>
    <row r="113412" spans="1:6" x14ac:dyDescent="0.25">
      <c r="A113412"/>
      <c r="B113412"/>
      <c r="C113412"/>
      <c r="E113412"/>
      <c r="F113412"/>
    </row>
    <row r="113413" spans="1:6" x14ac:dyDescent="0.25">
      <c r="A113413"/>
      <c r="B113413"/>
      <c r="C113413"/>
      <c r="E113413"/>
      <c r="F113413"/>
    </row>
    <row r="113414" spans="1:6" x14ac:dyDescent="0.25">
      <c r="A113414"/>
      <c r="B113414"/>
      <c r="C113414"/>
      <c r="E113414"/>
      <c r="F113414"/>
    </row>
    <row r="113415" spans="1:6" x14ac:dyDescent="0.25">
      <c r="A113415"/>
      <c r="B113415"/>
      <c r="C113415"/>
      <c r="E113415"/>
      <c r="F113415"/>
    </row>
    <row r="113416" spans="1:6" x14ac:dyDescent="0.25">
      <c r="A113416"/>
      <c r="B113416"/>
      <c r="C113416"/>
      <c r="E113416"/>
      <c r="F113416"/>
    </row>
    <row r="113417" spans="1:6" x14ac:dyDescent="0.25">
      <c r="A113417"/>
      <c r="B113417"/>
      <c r="C113417"/>
      <c r="E113417"/>
      <c r="F113417"/>
    </row>
    <row r="113418" spans="1:6" x14ac:dyDescent="0.25">
      <c r="A113418"/>
      <c r="B113418"/>
      <c r="C113418"/>
      <c r="E113418"/>
      <c r="F113418"/>
    </row>
    <row r="113419" spans="1:6" x14ac:dyDescent="0.25">
      <c r="A113419"/>
      <c r="B113419"/>
      <c r="C113419"/>
      <c r="E113419"/>
      <c r="F113419"/>
    </row>
    <row r="113420" spans="1:6" x14ac:dyDescent="0.25">
      <c r="A113420"/>
      <c r="B113420"/>
      <c r="C113420"/>
      <c r="E113420"/>
      <c r="F113420"/>
    </row>
    <row r="113421" spans="1:6" x14ac:dyDescent="0.25">
      <c r="A113421"/>
      <c r="B113421"/>
      <c r="C113421"/>
      <c r="E113421"/>
      <c r="F113421"/>
    </row>
    <row r="113422" spans="1:6" x14ac:dyDescent="0.25">
      <c r="A113422"/>
      <c r="B113422"/>
      <c r="C113422"/>
      <c r="E113422"/>
      <c r="F113422"/>
    </row>
    <row r="113423" spans="1:6" x14ac:dyDescent="0.25">
      <c r="A113423"/>
      <c r="B113423"/>
      <c r="C113423"/>
      <c r="E113423"/>
      <c r="F113423"/>
    </row>
    <row r="113424" spans="1:6" x14ac:dyDescent="0.25">
      <c r="A113424"/>
      <c r="B113424"/>
      <c r="C113424"/>
      <c r="E113424"/>
      <c r="F113424"/>
    </row>
    <row r="113425" spans="1:6" x14ac:dyDescent="0.25">
      <c r="A113425"/>
      <c r="B113425"/>
      <c r="C113425"/>
      <c r="E113425"/>
      <c r="F113425"/>
    </row>
    <row r="113426" spans="1:6" x14ac:dyDescent="0.25">
      <c r="A113426"/>
      <c r="B113426"/>
      <c r="C113426"/>
      <c r="E113426"/>
      <c r="F113426"/>
    </row>
    <row r="113427" spans="1:6" x14ac:dyDescent="0.25">
      <c r="A113427"/>
      <c r="B113427"/>
      <c r="C113427"/>
      <c r="E113427"/>
      <c r="F113427"/>
    </row>
    <row r="113428" spans="1:6" x14ac:dyDescent="0.25">
      <c r="A113428"/>
      <c r="B113428"/>
      <c r="C113428"/>
      <c r="E113428"/>
      <c r="F113428"/>
    </row>
    <row r="113429" spans="1:6" x14ac:dyDescent="0.25">
      <c r="A113429"/>
      <c r="B113429"/>
      <c r="C113429"/>
      <c r="E113429"/>
      <c r="F113429"/>
    </row>
    <row r="113430" spans="1:6" x14ac:dyDescent="0.25">
      <c r="A113430"/>
      <c r="B113430"/>
      <c r="C113430"/>
      <c r="E113430"/>
      <c r="F113430"/>
    </row>
    <row r="113431" spans="1:6" x14ac:dyDescent="0.25">
      <c r="A113431"/>
      <c r="B113431"/>
      <c r="C113431"/>
      <c r="E113431"/>
      <c r="F113431"/>
    </row>
    <row r="113432" spans="1:6" x14ac:dyDescent="0.25">
      <c r="A113432"/>
      <c r="B113432"/>
      <c r="C113432"/>
      <c r="E113432"/>
      <c r="F113432"/>
    </row>
    <row r="113433" spans="1:6" x14ac:dyDescent="0.25">
      <c r="A113433"/>
      <c r="B113433"/>
      <c r="C113433"/>
      <c r="E113433"/>
      <c r="F113433"/>
    </row>
    <row r="113434" spans="1:6" x14ac:dyDescent="0.25">
      <c r="A113434"/>
      <c r="B113434"/>
      <c r="C113434"/>
      <c r="E113434"/>
      <c r="F113434"/>
    </row>
    <row r="113435" spans="1:6" x14ac:dyDescent="0.25">
      <c r="A113435"/>
      <c r="B113435"/>
      <c r="C113435"/>
      <c r="E113435"/>
      <c r="F113435"/>
    </row>
    <row r="113436" spans="1:6" x14ac:dyDescent="0.25">
      <c r="A113436"/>
      <c r="B113436"/>
      <c r="C113436"/>
      <c r="E113436"/>
      <c r="F113436"/>
    </row>
    <row r="113437" spans="1:6" x14ac:dyDescent="0.25">
      <c r="A113437"/>
      <c r="B113437"/>
      <c r="C113437"/>
      <c r="E113437"/>
      <c r="F113437"/>
    </row>
    <row r="113438" spans="1:6" x14ac:dyDescent="0.25">
      <c r="A113438"/>
      <c r="B113438"/>
      <c r="C113438"/>
      <c r="E113438"/>
      <c r="F113438"/>
    </row>
    <row r="113439" spans="1:6" x14ac:dyDescent="0.25">
      <c r="A113439"/>
      <c r="B113439"/>
      <c r="C113439"/>
      <c r="E113439"/>
      <c r="F113439"/>
    </row>
    <row r="113440" spans="1:6" x14ac:dyDescent="0.25">
      <c r="A113440"/>
      <c r="B113440"/>
      <c r="C113440"/>
      <c r="E113440"/>
      <c r="F113440"/>
    </row>
    <row r="113441" spans="1:6" x14ac:dyDescent="0.25">
      <c r="A113441"/>
      <c r="B113441"/>
      <c r="C113441"/>
      <c r="E113441"/>
      <c r="F113441"/>
    </row>
    <row r="113442" spans="1:6" x14ac:dyDescent="0.25">
      <c r="A113442"/>
      <c r="B113442"/>
      <c r="C113442"/>
      <c r="E113442"/>
      <c r="F113442"/>
    </row>
    <row r="113443" spans="1:6" x14ac:dyDescent="0.25">
      <c r="A113443"/>
      <c r="B113443"/>
      <c r="C113443"/>
      <c r="E113443"/>
      <c r="F113443"/>
    </row>
    <row r="113444" spans="1:6" x14ac:dyDescent="0.25">
      <c r="A113444"/>
      <c r="B113444"/>
      <c r="C113444"/>
      <c r="E113444"/>
      <c r="F113444"/>
    </row>
    <row r="113445" spans="1:6" x14ac:dyDescent="0.25">
      <c r="A113445"/>
      <c r="B113445"/>
      <c r="C113445"/>
      <c r="E113445"/>
      <c r="F113445"/>
    </row>
    <row r="113446" spans="1:6" x14ac:dyDescent="0.25">
      <c r="A113446"/>
      <c r="B113446"/>
      <c r="C113446"/>
      <c r="E113446"/>
      <c r="F113446"/>
    </row>
    <row r="113447" spans="1:6" x14ac:dyDescent="0.25">
      <c r="A113447"/>
      <c r="B113447"/>
      <c r="C113447"/>
      <c r="E113447"/>
      <c r="F113447"/>
    </row>
    <row r="113448" spans="1:6" x14ac:dyDescent="0.25">
      <c r="A113448"/>
      <c r="B113448"/>
      <c r="C113448"/>
      <c r="E113448"/>
      <c r="F113448"/>
    </row>
    <row r="113449" spans="1:6" x14ac:dyDescent="0.25">
      <c r="A113449"/>
      <c r="B113449"/>
      <c r="C113449"/>
      <c r="E113449"/>
      <c r="F113449"/>
    </row>
    <row r="113450" spans="1:6" x14ac:dyDescent="0.25">
      <c r="A113450"/>
      <c r="B113450"/>
      <c r="C113450"/>
      <c r="E113450"/>
      <c r="F113450"/>
    </row>
    <row r="113451" spans="1:6" x14ac:dyDescent="0.25">
      <c r="A113451"/>
      <c r="B113451"/>
      <c r="C113451"/>
      <c r="E113451"/>
      <c r="F113451"/>
    </row>
    <row r="113452" spans="1:6" x14ac:dyDescent="0.25">
      <c r="A113452"/>
      <c r="B113452"/>
      <c r="C113452"/>
      <c r="E113452"/>
      <c r="F113452"/>
    </row>
    <row r="113453" spans="1:6" x14ac:dyDescent="0.25">
      <c r="A113453"/>
      <c r="B113453"/>
      <c r="C113453"/>
      <c r="E113453"/>
      <c r="F113453"/>
    </row>
    <row r="113454" spans="1:6" x14ac:dyDescent="0.25">
      <c r="A113454"/>
      <c r="B113454"/>
      <c r="C113454"/>
      <c r="E113454"/>
      <c r="F113454"/>
    </row>
    <row r="113455" spans="1:6" x14ac:dyDescent="0.25">
      <c r="A113455"/>
      <c r="B113455"/>
      <c r="C113455"/>
      <c r="E113455"/>
      <c r="F113455"/>
    </row>
    <row r="113456" spans="1:6" x14ac:dyDescent="0.25">
      <c r="A113456"/>
      <c r="B113456"/>
      <c r="C113456"/>
      <c r="E113456"/>
      <c r="F113456"/>
    </row>
    <row r="113457" spans="1:6" x14ac:dyDescent="0.25">
      <c r="A113457"/>
      <c r="B113457"/>
      <c r="C113457"/>
      <c r="E113457"/>
      <c r="F113457"/>
    </row>
    <row r="113458" spans="1:6" x14ac:dyDescent="0.25">
      <c r="A113458"/>
      <c r="B113458"/>
      <c r="C113458"/>
      <c r="E113458"/>
      <c r="F113458"/>
    </row>
    <row r="113459" spans="1:6" x14ac:dyDescent="0.25">
      <c r="A113459"/>
      <c r="B113459"/>
      <c r="C113459"/>
      <c r="E113459"/>
      <c r="F113459"/>
    </row>
    <row r="113460" spans="1:6" x14ac:dyDescent="0.25">
      <c r="A113460"/>
      <c r="B113460"/>
      <c r="C113460"/>
      <c r="E113460"/>
      <c r="F113460"/>
    </row>
    <row r="113461" spans="1:6" x14ac:dyDescent="0.25">
      <c r="A113461"/>
      <c r="B113461"/>
      <c r="C113461"/>
      <c r="E113461"/>
      <c r="F113461"/>
    </row>
    <row r="113462" spans="1:6" x14ac:dyDescent="0.25">
      <c r="A113462"/>
      <c r="B113462"/>
      <c r="C113462"/>
      <c r="E113462"/>
      <c r="F113462"/>
    </row>
    <row r="113463" spans="1:6" x14ac:dyDescent="0.25">
      <c r="A113463"/>
      <c r="B113463"/>
      <c r="C113463"/>
      <c r="E113463"/>
      <c r="F113463"/>
    </row>
    <row r="113464" spans="1:6" x14ac:dyDescent="0.25">
      <c r="A113464"/>
      <c r="B113464"/>
      <c r="C113464"/>
      <c r="E113464"/>
      <c r="F113464"/>
    </row>
    <row r="113465" spans="1:6" x14ac:dyDescent="0.25">
      <c r="A113465"/>
      <c r="B113465"/>
      <c r="C113465"/>
      <c r="E113465"/>
      <c r="F113465"/>
    </row>
    <row r="113466" spans="1:6" x14ac:dyDescent="0.25">
      <c r="A113466"/>
      <c r="B113466"/>
      <c r="C113466"/>
      <c r="E113466"/>
      <c r="F113466"/>
    </row>
    <row r="113467" spans="1:6" x14ac:dyDescent="0.25">
      <c r="A113467"/>
      <c r="B113467"/>
      <c r="C113467"/>
      <c r="E113467"/>
      <c r="F113467"/>
    </row>
    <row r="113468" spans="1:6" x14ac:dyDescent="0.25">
      <c r="A113468"/>
      <c r="B113468"/>
      <c r="C113468"/>
      <c r="E113468"/>
      <c r="F113468"/>
    </row>
    <row r="113469" spans="1:6" x14ac:dyDescent="0.25">
      <c r="A113469"/>
      <c r="B113469"/>
      <c r="C113469"/>
      <c r="E113469"/>
      <c r="F113469"/>
    </row>
    <row r="113470" spans="1:6" x14ac:dyDescent="0.25">
      <c r="A113470"/>
      <c r="B113470"/>
      <c r="C113470"/>
      <c r="E113470"/>
      <c r="F113470"/>
    </row>
    <row r="113471" spans="1:6" x14ac:dyDescent="0.25">
      <c r="A113471"/>
      <c r="B113471"/>
      <c r="C113471"/>
      <c r="E113471"/>
      <c r="F113471"/>
    </row>
    <row r="113472" spans="1:6" x14ac:dyDescent="0.25">
      <c r="A113472"/>
      <c r="B113472"/>
      <c r="C113472"/>
      <c r="E113472"/>
      <c r="F113472"/>
    </row>
    <row r="113473" spans="1:6" x14ac:dyDescent="0.25">
      <c r="A113473"/>
      <c r="B113473"/>
      <c r="C113473"/>
      <c r="E113473"/>
      <c r="F113473"/>
    </row>
    <row r="113474" spans="1:6" x14ac:dyDescent="0.25">
      <c r="A113474"/>
      <c r="B113474"/>
      <c r="C113474"/>
      <c r="E113474"/>
      <c r="F113474"/>
    </row>
    <row r="113475" spans="1:6" x14ac:dyDescent="0.25">
      <c r="A113475"/>
      <c r="B113475"/>
      <c r="C113475"/>
      <c r="E113475"/>
      <c r="F113475"/>
    </row>
    <row r="113476" spans="1:6" x14ac:dyDescent="0.25">
      <c r="A113476"/>
      <c r="B113476"/>
      <c r="C113476"/>
      <c r="E113476"/>
      <c r="F113476"/>
    </row>
    <row r="113477" spans="1:6" x14ac:dyDescent="0.25">
      <c r="A113477"/>
      <c r="B113477"/>
      <c r="C113477"/>
      <c r="E113477"/>
      <c r="F113477"/>
    </row>
    <row r="113478" spans="1:6" x14ac:dyDescent="0.25">
      <c r="A113478"/>
      <c r="B113478"/>
      <c r="C113478"/>
      <c r="E113478"/>
      <c r="F113478"/>
    </row>
    <row r="113479" spans="1:6" x14ac:dyDescent="0.25">
      <c r="A113479"/>
      <c r="B113479"/>
      <c r="C113479"/>
      <c r="E113479"/>
      <c r="F113479"/>
    </row>
    <row r="113480" spans="1:6" x14ac:dyDescent="0.25">
      <c r="A113480"/>
      <c r="B113480"/>
      <c r="C113480"/>
      <c r="E113480"/>
      <c r="F113480"/>
    </row>
    <row r="113481" spans="1:6" x14ac:dyDescent="0.25">
      <c r="A113481"/>
      <c r="B113481"/>
      <c r="C113481"/>
      <c r="E113481"/>
      <c r="F113481"/>
    </row>
    <row r="113482" spans="1:6" x14ac:dyDescent="0.25">
      <c r="A113482"/>
      <c r="B113482"/>
      <c r="C113482"/>
      <c r="E113482"/>
      <c r="F113482"/>
    </row>
    <row r="113483" spans="1:6" x14ac:dyDescent="0.25">
      <c r="A113483"/>
      <c r="B113483"/>
      <c r="C113483"/>
      <c r="E113483"/>
      <c r="F113483"/>
    </row>
    <row r="113484" spans="1:6" x14ac:dyDescent="0.25">
      <c r="A113484"/>
      <c r="B113484"/>
      <c r="C113484"/>
      <c r="E113484"/>
      <c r="F113484"/>
    </row>
    <row r="113485" spans="1:6" x14ac:dyDescent="0.25">
      <c r="A113485"/>
      <c r="B113485"/>
      <c r="C113485"/>
      <c r="E113485"/>
      <c r="F113485"/>
    </row>
    <row r="113486" spans="1:6" x14ac:dyDescent="0.25">
      <c r="A113486"/>
      <c r="B113486"/>
      <c r="C113486"/>
      <c r="E113486"/>
      <c r="F113486"/>
    </row>
    <row r="113487" spans="1:6" x14ac:dyDescent="0.25">
      <c r="A113487"/>
      <c r="B113487"/>
      <c r="C113487"/>
      <c r="E113487"/>
      <c r="F113487"/>
    </row>
    <row r="113488" spans="1:6" x14ac:dyDescent="0.25">
      <c r="A113488"/>
      <c r="B113488"/>
      <c r="C113488"/>
      <c r="E113488"/>
      <c r="F113488"/>
    </row>
    <row r="113489" spans="1:6" x14ac:dyDescent="0.25">
      <c r="A113489"/>
      <c r="B113489"/>
      <c r="C113489"/>
      <c r="E113489"/>
      <c r="F113489"/>
    </row>
    <row r="113490" spans="1:6" x14ac:dyDescent="0.25">
      <c r="A113490"/>
      <c r="B113490"/>
      <c r="C113490"/>
      <c r="E113490"/>
      <c r="F113490"/>
    </row>
    <row r="113491" spans="1:6" x14ac:dyDescent="0.25">
      <c r="A113491"/>
      <c r="B113491"/>
      <c r="C113491"/>
      <c r="E113491"/>
      <c r="F113491"/>
    </row>
    <row r="113492" spans="1:6" x14ac:dyDescent="0.25">
      <c r="A113492"/>
      <c r="B113492"/>
      <c r="C113492"/>
      <c r="E113492"/>
      <c r="F113492"/>
    </row>
    <row r="113493" spans="1:6" x14ac:dyDescent="0.25">
      <c r="A113493"/>
      <c r="B113493"/>
      <c r="C113493"/>
      <c r="E113493"/>
      <c r="F113493"/>
    </row>
    <row r="113494" spans="1:6" x14ac:dyDescent="0.25">
      <c r="A113494"/>
      <c r="B113494"/>
      <c r="C113494"/>
      <c r="E113494"/>
      <c r="F113494"/>
    </row>
    <row r="113495" spans="1:6" x14ac:dyDescent="0.25">
      <c r="A113495"/>
      <c r="B113495"/>
      <c r="C113495"/>
      <c r="E113495"/>
      <c r="F113495"/>
    </row>
    <row r="113496" spans="1:6" x14ac:dyDescent="0.25">
      <c r="A113496"/>
      <c r="B113496"/>
      <c r="C113496"/>
      <c r="E113496"/>
      <c r="F113496"/>
    </row>
    <row r="113497" spans="1:6" x14ac:dyDescent="0.25">
      <c r="A113497"/>
      <c r="B113497"/>
      <c r="C113497"/>
      <c r="E113497"/>
      <c r="F113497"/>
    </row>
    <row r="113498" spans="1:6" x14ac:dyDescent="0.25">
      <c r="A113498"/>
      <c r="B113498"/>
      <c r="C113498"/>
      <c r="E113498"/>
      <c r="F113498"/>
    </row>
    <row r="113499" spans="1:6" x14ac:dyDescent="0.25">
      <c r="A113499"/>
      <c r="B113499"/>
      <c r="C113499"/>
      <c r="E113499"/>
      <c r="F113499"/>
    </row>
    <row r="113500" spans="1:6" x14ac:dyDescent="0.25">
      <c r="A113500"/>
      <c r="B113500"/>
      <c r="C113500"/>
      <c r="E113500"/>
      <c r="F113500"/>
    </row>
    <row r="113501" spans="1:6" x14ac:dyDescent="0.25">
      <c r="A113501"/>
      <c r="B113501"/>
      <c r="C113501"/>
      <c r="E113501"/>
      <c r="F113501"/>
    </row>
    <row r="113502" spans="1:6" x14ac:dyDescent="0.25">
      <c r="A113502"/>
      <c r="B113502"/>
      <c r="C113502"/>
      <c r="E113502"/>
      <c r="F113502"/>
    </row>
    <row r="113503" spans="1:6" x14ac:dyDescent="0.25">
      <c r="A113503"/>
      <c r="B113503"/>
      <c r="C113503"/>
      <c r="E113503"/>
      <c r="F113503"/>
    </row>
    <row r="113504" spans="1:6" x14ac:dyDescent="0.25">
      <c r="A113504"/>
      <c r="B113504"/>
      <c r="C113504"/>
      <c r="E113504"/>
      <c r="F113504"/>
    </row>
    <row r="113505" spans="1:6" x14ac:dyDescent="0.25">
      <c r="A113505"/>
      <c r="B113505"/>
      <c r="C113505"/>
      <c r="E113505"/>
      <c r="F113505"/>
    </row>
    <row r="113506" spans="1:6" x14ac:dyDescent="0.25">
      <c r="A113506"/>
      <c r="B113506"/>
      <c r="C113506"/>
      <c r="E113506"/>
      <c r="F113506"/>
    </row>
    <row r="113507" spans="1:6" x14ac:dyDescent="0.25">
      <c r="A113507"/>
      <c r="B113507"/>
      <c r="C113507"/>
      <c r="E113507"/>
      <c r="F113507"/>
    </row>
    <row r="113508" spans="1:6" x14ac:dyDescent="0.25">
      <c r="A113508"/>
      <c r="B113508"/>
      <c r="C113508"/>
      <c r="E113508"/>
      <c r="F113508"/>
    </row>
    <row r="113509" spans="1:6" x14ac:dyDescent="0.25">
      <c r="A113509"/>
      <c r="B113509"/>
      <c r="C113509"/>
      <c r="E113509"/>
      <c r="F113509"/>
    </row>
    <row r="113510" spans="1:6" x14ac:dyDescent="0.25">
      <c r="A113510"/>
      <c r="B113510"/>
      <c r="C113510"/>
      <c r="E113510"/>
      <c r="F113510"/>
    </row>
    <row r="113511" spans="1:6" x14ac:dyDescent="0.25">
      <c r="A113511"/>
      <c r="B113511"/>
      <c r="C113511"/>
      <c r="E113511"/>
      <c r="F113511"/>
    </row>
    <row r="113512" spans="1:6" x14ac:dyDescent="0.25">
      <c r="A113512"/>
      <c r="B113512"/>
      <c r="C113512"/>
      <c r="E113512"/>
      <c r="F113512"/>
    </row>
    <row r="113513" spans="1:6" x14ac:dyDescent="0.25">
      <c r="A113513"/>
      <c r="B113513"/>
      <c r="C113513"/>
      <c r="E113513"/>
      <c r="F113513"/>
    </row>
    <row r="113514" spans="1:6" x14ac:dyDescent="0.25">
      <c r="A113514"/>
      <c r="B113514"/>
      <c r="C113514"/>
      <c r="E113514"/>
      <c r="F113514"/>
    </row>
    <row r="113515" spans="1:6" x14ac:dyDescent="0.25">
      <c r="A113515"/>
      <c r="B113515"/>
      <c r="C113515"/>
      <c r="E113515"/>
      <c r="F113515"/>
    </row>
    <row r="113516" spans="1:6" x14ac:dyDescent="0.25">
      <c r="A113516"/>
      <c r="B113516"/>
      <c r="C113516"/>
      <c r="E113516"/>
      <c r="F113516"/>
    </row>
    <row r="113517" spans="1:6" x14ac:dyDescent="0.25">
      <c r="A113517"/>
      <c r="B113517"/>
      <c r="C113517"/>
      <c r="E113517"/>
      <c r="F113517"/>
    </row>
    <row r="113518" spans="1:6" x14ac:dyDescent="0.25">
      <c r="A113518"/>
      <c r="B113518"/>
      <c r="C113518"/>
      <c r="E113518"/>
      <c r="F113518"/>
    </row>
    <row r="113519" spans="1:6" x14ac:dyDescent="0.25">
      <c r="A113519"/>
      <c r="B113519"/>
      <c r="C113519"/>
      <c r="E113519"/>
      <c r="F113519"/>
    </row>
    <row r="113520" spans="1:6" x14ac:dyDescent="0.25">
      <c r="A113520"/>
      <c r="B113520"/>
      <c r="C113520"/>
      <c r="E113520"/>
      <c r="F113520"/>
    </row>
    <row r="113521" spans="1:6" x14ac:dyDescent="0.25">
      <c r="A113521"/>
      <c r="B113521"/>
      <c r="C113521"/>
      <c r="E113521"/>
      <c r="F113521"/>
    </row>
    <row r="113522" spans="1:6" x14ac:dyDescent="0.25">
      <c r="A113522"/>
      <c r="B113522"/>
      <c r="C113522"/>
      <c r="E113522"/>
      <c r="F113522"/>
    </row>
    <row r="113523" spans="1:6" x14ac:dyDescent="0.25">
      <c r="A113523"/>
      <c r="B113523"/>
      <c r="C113523"/>
      <c r="E113523"/>
      <c r="F113523"/>
    </row>
    <row r="113524" spans="1:6" x14ac:dyDescent="0.25">
      <c r="A113524"/>
      <c r="B113524"/>
      <c r="C113524"/>
      <c r="E113524"/>
      <c r="F113524"/>
    </row>
    <row r="113525" spans="1:6" x14ac:dyDescent="0.25">
      <c r="A113525"/>
      <c r="B113525"/>
      <c r="C113525"/>
      <c r="E113525"/>
      <c r="F113525"/>
    </row>
    <row r="113526" spans="1:6" x14ac:dyDescent="0.25">
      <c r="A113526"/>
      <c r="B113526"/>
      <c r="C113526"/>
      <c r="E113526"/>
      <c r="F113526"/>
    </row>
    <row r="113527" spans="1:6" x14ac:dyDescent="0.25">
      <c r="A113527"/>
      <c r="B113527"/>
      <c r="C113527"/>
      <c r="E113527"/>
      <c r="F113527"/>
    </row>
    <row r="113528" spans="1:6" x14ac:dyDescent="0.25">
      <c r="A113528"/>
      <c r="B113528"/>
      <c r="C113528"/>
      <c r="E113528"/>
      <c r="F113528"/>
    </row>
    <row r="113529" spans="1:6" x14ac:dyDescent="0.25">
      <c r="A113529"/>
      <c r="B113529"/>
      <c r="C113529"/>
      <c r="E113529"/>
      <c r="F113529"/>
    </row>
    <row r="113530" spans="1:6" x14ac:dyDescent="0.25">
      <c r="A113530"/>
      <c r="B113530"/>
      <c r="C113530"/>
      <c r="E113530"/>
      <c r="F113530"/>
    </row>
    <row r="113531" spans="1:6" x14ac:dyDescent="0.25">
      <c r="A113531"/>
      <c r="B113531"/>
      <c r="C113531"/>
      <c r="E113531"/>
      <c r="F113531"/>
    </row>
    <row r="113532" spans="1:6" x14ac:dyDescent="0.25">
      <c r="A113532"/>
      <c r="B113532"/>
      <c r="C113532"/>
      <c r="E113532"/>
      <c r="F113532"/>
    </row>
    <row r="113533" spans="1:6" x14ac:dyDescent="0.25">
      <c r="A113533"/>
      <c r="B113533"/>
      <c r="C113533"/>
      <c r="E113533"/>
      <c r="F113533"/>
    </row>
    <row r="113534" spans="1:6" x14ac:dyDescent="0.25">
      <c r="A113534"/>
      <c r="B113534"/>
      <c r="C113534"/>
      <c r="E113534"/>
      <c r="F113534"/>
    </row>
    <row r="113535" spans="1:6" x14ac:dyDescent="0.25">
      <c r="A113535"/>
      <c r="B113535"/>
      <c r="C113535"/>
      <c r="E113535"/>
      <c r="F113535"/>
    </row>
    <row r="113536" spans="1:6" x14ac:dyDescent="0.25">
      <c r="A113536"/>
      <c r="B113536"/>
      <c r="C113536"/>
      <c r="E113536"/>
      <c r="F113536"/>
    </row>
    <row r="113537" spans="1:6" x14ac:dyDescent="0.25">
      <c r="A113537"/>
      <c r="B113537"/>
      <c r="C113537"/>
      <c r="E113537"/>
      <c r="F113537"/>
    </row>
    <row r="113538" spans="1:6" x14ac:dyDescent="0.25">
      <c r="A113538"/>
      <c r="B113538"/>
      <c r="C113538"/>
      <c r="E113538"/>
      <c r="F113538"/>
    </row>
    <row r="113539" spans="1:6" x14ac:dyDescent="0.25">
      <c r="A113539"/>
      <c r="B113539"/>
      <c r="C113539"/>
      <c r="E113539"/>
      <c r="F113539"/>
    </row>
    <row r="113540" spans="1:6" x14ac:dyDescent="0.25">
      <c r="A113540"/>
      <c r="B113540"/>
      <c r="C113540"/>
      <c r="E113540"/>
      <c r="F113540"/>
    </row>
    <row r="113541" spans="1:6" x14ac:dyDescent="0.25">
      <c r="A113541"/>
      <c r="B113541"/>
      <c r="C113541"/>
      <c r="E113541"/>
      <c r="F113541"/>
    </row>
    <row r="113542" spans="1:6" x14ac:dyDescent="0.25">
      <c r="A113542"/>
      <c r="B113542"/>
      <c r="C113542"/>
      <c r="E113542"/>
      <c r="F113542"/>
    </row>
    <row r="113543" spans="1:6" x14ac:dyDescent="0.25">
      <c r="A113543"/>
      <c r="B113543"/>
      <c r="C113543"/>
      <c r="E113543"/>
      <c r="F113543"/>
    </row>
    <row r="113544" spans="1:6" x14ac:dyDescent="0.25">
      <c r="A113544"/>
      <c r="B113544"/>
      <c r="C113544"/>
      <c r="E113544"/>
      <c r="F113544"/>
    </row>
    <row r="113545" spans="1:6" x14ac:dyDescent="0.25">
      <c r="A113545"/>
      <c r="B113545"/>
      <c r="C113545"/>
      <c r="E113545"/>
      <c r="F113545"/>
    </row>
    <row r="113546" spans="1:6" x14ac:dyDescent="0.25">
      <c r="A113546"/>
      <c r="B113546"/>
      <c r="C113546"/>
      <c r="E113546"/>
      <c r="F113546"/>
    </row>
    <row r="113547" spans="1:6" x14ac:dyDescent="0.25">
      <c r="A113547"/>
      <c r="B113547"/>
      <c r="C113547"/>
      <c r="E113547"/>
      <c r="F113547"/>
    </row>
    <row r="113548" spans="1:6" x14ac:dyDescent="0.25">
      <c r="A113548"/>
      <c r="B113548"/>
      <c r="C113548"/>
      <c r="E113548"/>
      <c r="F113548"/>
    </row>
    <row r="113549" spans="1:6" x14ac:dyDescent="0.25">
      <c r="A113549"/>
      <c r="B113549"/>
      <c r="C113549"/>
      <c r="E113549"/>
      <c r="F113549"/>
    </row>
    <row r="113550" spans="1:6" x14ac:dyDescent="0.25">
      <c r="A113550"/>
      <c r="B113550"/>
      <c r="C113550"/>
      <c r="E113550"/>
      <c r="F113550"/>
    </row>
    <row r="113551" spans="1:6" x14ac:dyDescent="0.25">
      <c r="A113551"/>
      <c r="B113551"/>
      <c r="C113551"/>
      <c r="E113551"/>
      <c r="F113551"/>
    </row>
    <row r="113552" spans="1:6" x14ac:dyDescent="0.25">
      <c r="A113552"/>
      <c r="B113552"/>
      <c r="C113552"/>
      <c r="E113552"/>
      <c r="F113552"/>
    </row>
    <row r="113553" spans="1:6" x14ac:dyDescent="0.25">
      <c r="A113553"/>
      <c r="B113553"/>
      <c r="C113553"/>
      <c r="E113553"/>
      <c r="F113553"/>
    </row>
    <row r="113554" spans="1:6" x14ac:dyDescent="0.25">
      <c r="A113554"/>
      <c r="B113554"/>
      <c r="C113554"/>
      <c r="E113554"/>
      <c r="F113554"/>
    </row>
    <row r="113555" spans="1:6" x14ac:dyDescent="0.25">
      <c r="A113555"/>
      <c r="B113555"/>
      <c r="C113555"/>
      <c r="E113555"/>
      <c r="F113555"/>
    </row>
    <row r="113556" spans="1:6" x14ac:dyDescent="0.25">
      <c r="A113556"/>
      <c r="B113556"/>
      <c r="C113556"/>
      <c r="E113556"/>
      <c r="F113556"/>
    </row>
    <row r="113557" spans="1:6" x14ac:dyDescent="0.25">
      <c r="A113557"/>
      <c r="B113557"/>
      <c r="C113557"/>
      <c r="E113557"/>
      <c r="F113557"/>
    </row>
    <row r="113558" spans="1:6" x14ac:dyDescent="0.25">
      <c r="A113558"/>
      <c r="B113558"/>
      <c r="C113558"/>
      <c r="E113558"/>
      <c r="F113558"/>
    </row>
    <row r="113559" spans="1:6" x14ac:dyDescent="0.25">
      <c r="A113559"/>
      <c r="B113559"/>
      <c r="C113559"/>
      <c r="E113559"/>
      <c r="F113559"/>
    </row>
    <row r="113560" spans="1:6" x14ac:dyDescent="0.25">
      <c r="A113560"/>
      <c r="B113560"/>
      <c r="C113560"/>
      <c r="E113560"/>
      <c r="F113560"/>
    </row>
    <row r="113561" spans="1:6" x14ac:dyDescent="0.25">
      <c r="A113561"/>
      <c r="B113561"/>
      <c r="C113561"/>
      <c r="E113561"/>
      <c r="F113561"/>
    </row>
    <row r="113562" spans="1:6" x14ac:dyDescent="0.25">
      <c r="A113562"/>
      <c r="B113562"/>
      <c r="C113562"/>
      <c r="E113562"/>
      <c r="F113562"/>
    </row>
    <row r="113563" spans="1:6" x14ac:dyDescent="0.25">
      <c r="A113563"/>
      <c r="B113563"/>
      <c r="C113563"/>
      <c r="E113563"/>
      <c r="F113563"/>
    </row>
    <row r="113564" spans="1:6" x14ac:dyDescent="0.25">
      <c r="A113564"/>
      <c r="B113564"/>
      <c r="C113564"/>
      <c r="E113564"/>
      <c r="F113564"/>
    </row>
    <row r="113565" spans="1:6" x14ac:dyDescent="0.25">
      <c r="A113565"/>
      <c r="B113565"/>
      <c r="C113565"/>
      <c r="E113565"/>
      <c r="F113565"/>
    </row>
    <row r="113566" spans="1:6" x14ac:dyDescent="0.25">
      <c r="A113566"/>
      <c r="B113566"/>
      <c r="C113566"/>
      <c r="E113566"/>
      <c r="F113566"/>
    </row>
    <row r="113567" spans="1:6" x14ac:dyDescent="0.25">
      <c r="A113567"/>
      <c r="B113567"/>
      <c r="C113567"/>
      <c r="E113567"/>
      <c r="F113567"/>
    </row>
    <row r="113568" spans="1:6" x14ac:dyDescent="0.25">
      <c r="A113568"/>
      <c r="B113568"/>
      <c r="C113568"/>
      <c r="E113568"/>
      <c r="F113568"/>
    </row>
    <row r="113569" spans="1:6" x14ac:dyDescent="0.25">
      <c r="A113569"/>
      <c r="B113569"/>
      <c r="C113569"/>
      <c r="E113569"/>
      <c r="F113569"/>
    </row>
    <row r="113570" spans="1:6" x14ac:dyDescent="0.25">
      <c r="A113570"/>
      <c r="B113570"/>
      <c r="C113570"/>
      <c r="E113570"/>
      <c r="F113570"/>
    </row>
    <row r="113571" spans="1:6" x14ac:dyDescent="0.25">
      <c r="A113571"/>
      <c r="B113571"/>
      <c r="C113571"/>
      <c r="E113571"/>
      <c r="F113571"/>
    </row>
    <row r="113572" spans="1:6" x14ac:dyDescent="0.25">
      <c r="A113572"/>
      <c r="B113572"/>
      <c r="C113572"/>
      <c r="E113572"/>
      <c r="F113572"/>
    </row>
    <row r="113573" spans="1:6" x14ac:dyDescent="0.25">
      <c r="A113573"/>
      <c r="B113573"/>
      <c r="C113573"/>
      <c r="E113573"/>
      <c r="F113573"/>
    </row>
    <row r="113574" spans="1:6" x14ac:dyDescent="0.25">
      <c r="A113574"/>
      <c r="B113574"/>
      <c r="C113574"/>
      <c r="E113574"/>
      <c r="F113574"/>
    </row>
    <row r="113575" spans="1:6" x14ac:dyDescent="0.25">
      <c r="A113575"/>
      <c r="B113575"/>
      <c r="C113575"/>
      <c r="E113575"/>
      <c r="F113575"/>
    </row>
    <row r="113576" spans="1:6" x14ac:dyDescent="0.25">
      <c r="A113576"/>
      <c r="B113576"/>
      <c r="C113576"/>
      <c r="E113576"/>
      <c r="F113576"/>
    </row>
    <row r="113577" spans="1:6" x14ac:dyDescent="0.25">
      <c r="A113577"/>
      <c r="B113577"/>
      <c r="C113577"/>
      <c r="E113577"/>
      <c r="F113577"/>
    </row>
    <row r="113578" spans="1:6" x14ac:dyDescent="0.25">
      <c r="A113578"/>
      <c r="B113578"/>
      <c r="C113578"/>
      <c r="E113578"/>
      <c r="F113578"/>
    </row>
    <row r="113579" spans="1:6" x14ac:dyDescent="0.25">
      <c r="A113579"/>
      <c r="B113579"/>
      <c r="C113579"/>
      <c r="E113579"/>
      <c r="F113579"/>
    </row>
    <row r="113580" spans="1:6" x14ac:dyDescent="0.25">
      <c r="A113580"/>
      <c r="B113580"/>
      <c r="C113580"/>
      <c r="E113580"/>
      <c r="F113580"/>
    </row>
    <row r="113581" spans="1:6" x14ac:dyDescent="0.25">
      <c r="A113581"/>
      <c r="B113581"/>
      <c r="C113581"/>
      <c r="E113581"/>
      <c r="F113581"/>
    </row>
    <row r="113582" spans="1:6" x14ac:dyDescent="0.25">
      <c r="A113582"/>
      <c r="B113582"/>
      <c r="C113582"/>
      <c r="E113582"/>
      <c r="F113582"/>
    </row>
    <row r="113583" spans="1:6" x14ac:dyDescent="0.25">
      <c r="A113583"/>
      <c r="B113583"/>
      <c r="C113583"/>
      <c r="E113583"/>
      <c r="F113583"/>
    </row>
    <row r="113584" spans="1:6" x14ac:dyDescent="0.25">
      <c r="A113584"/>
      <c r="B113584"/>
      <c r="C113584"/>
      <c r="E113584"/>
      <c r="F113584"/>
    </row>
    <row r="113585" spans="1:6" x14ac:dyDescent="0.25">
      <c r="A113585"/>
      <c r="B113585"/>
      <c r="C113585"/>
      <c r="E113585"/>
      <c r="F113585"/>
    </row>
    <row r="113586" spans="1:6" x14ac:dyDescent="0.25">
      <c r="A113586"/>
      <c r="B113586"/>
      <c r="C113586"/>
      <c r="E113586"/>
      <c r="F113586"/>
    </row>
    <row r="113587" spans="1:6" x14ac:dyDescent="0.25">
      <c r="A113587"/>
      <c r="B113587"/>
      <c r="C113587"/>
      <c r="E113587"/>
      <c r="F113587"/>
    </row>
    <row r="113588" spans="1:6" x14ac:dyDescent="0.25">
      <c r="A113588"/>
      <c r="B113588"/>
      <c r="C113588"/>
      <c r="E113588"/>
      <c r="F113588"/>
    </row>
    <row r="113589" spans="1:6" x14ac:dyDescent="0.25">
      <c r="A113589"/>
      <c r="B113589"/>
      <c r="C113589"/>
      <c r="E113589"/>
      <c r="F113589"/>
    </row>
    <row r="113590" spans="1:6" x14ac:dyDescent="0.25">
      <c r="A113590"/>
      <c r="B113590"/>
      <c r="C113590"/>
      <c r="E113590"/>
      <c r="F113590"/>
    </row>
    <row r="113591" spans="1:6" x14ac:dyDescent="0.25">
      <c r="A113591"/>
      <c r="B113591"/>
      <c r="C113591"/>
      <c r="E113591"/>
      <c r="F113591"/>
    </row>
    <row r="113592" spans="1:6" x14ac:dyDescent="0.25">
      <c r="A113592"/>
      <c r="B113592"/>
      <c r="C113592"/>
      <c r="E113592"/>
      <c r="F113592"/>
    </row>
    <row r="113593" spans="1:6" x14ac:dyDescent="0.25">
      <c r="A113593"/>
      <c r="B113593"/>
      <c r="C113593"/>
      <c r="E113593"/>
      <c r="F113593"/>
    </row>
    <row r="113594" spans="1:6" x14ac:dyDescent="0.25">
      <c r="A113594"/>
      <c r="B113594"/>
      <c r="C113594"/>
      <c r="E113594"/>
      <c r="F113594"/>
    </row>
    <row r="113595" spans="1:6" x14ac:dyDescent="0.25">
      <c r="A113595"/>
      <c r="B113595"/>
      <c r="C113595"/>
      <c r="E113595"/>
      <c r="F113595"/>
    </row>
    <row r="113596" spans="1:6" x14ac:dyDescent="0.25">
      <c r="A113596"/>
      <c r="B113596"/>
      <c r="C113596"/>
      <c r="E113596"/>
      <c r="F113596"/>
    </row>
    <row r="113597" spans="1:6" x14ac:dyDescent="0.25">
      <c r="A113597"/>
      <c r="B113597"/>
      <c r="C113597"/>
      <c r="E113597"/>
      <c r="F113597"/>
    </row>
    <row r="113598" spans="1:6" x14ac:dyDescent="0.25">
      <c r="A113598"/>
      <c r="B113598"/>
      <c r="C113598"/>
      <c r="E113598"/>
      <c r="F113598"/>
    </row>
    <row r="113599" spans="1:6" x14ac:dyDescent="0.25">
      <c r="A113599"/>
      <c r="B113599"/>
      <c r="C113599"/>
      <c r="E113599"/>
      <c r="F113599"/>
    </row>
    <row r="113600" spans="1:6" x14ac:dyDescent="0.25">
      <c r="A113600"/>
      <c r="B113600"/>
      <c r="C113600"/>
      <c r="E113600"/>
      <c r="F113600"/>
    </row>
    <row r="113601" spans="1:6" x14ac:dyDescent="0.25">
      <c r="A113601"/>
      <c r="B113601"/>
      <c r="C113601"/>
      <c r="E113601"/>
      <c r="F113601"/>
    </row>
    <row r="113602" spans="1:6" x14ac:dyDescent="0.25">
      <c r="A113602"/>
      <c r="B113602"/>
      <c r="C113602"/>
      <c r="E113602"/>
      <c r="F113602"/>
    </row>
    <row r="113603" spans="1:6" x14ac:dyDescent="0.25">
      <c r="A113603"/>
      <c r="B113603"/>
      <c r="C113603"/>
      <c r="E113603"/>
      <c r="F113603"/>
    </row>
    <row r="113604" spans="1:6" x14ac:dyDescent="0.25">
      <c r="A113604"/>
      <c r="B113604"/>
      <c r="C113604"/>
      <c r="E113604"/>
      <c r="F113604"/>
    </row>
    <row r="113605" spans="1:6" x14ac:dyDescent="0.25">
      <c r="A113605"/>
      <c r="B113605"/>
      <c r="C113605"/>
      <c r="E113605"/>
      <c r="F113605"/>
    </row>
    <row r="113606" spans="1:6" x14ac:dyDescent="0.25">
      <c r="A113606"/>
      <c r="B113606"/>
      <c r="C113606"/>
      <c r="E113606"/>
      <c r="F113606"/>
    </row>
    <row r="113607" spans="1:6" x14ac:dyDescent="0.25">
      <c r="A113607"/>
      <c r="B113607"/>
      <c r="C113607"/>
      <c r="E113607"/>
      <c r="F113607"/>
    </row>
    <row r="113608" spans="1:6" x14ac:dyDescent="0.25">
      <c r="A113608"/>
      <c r="B113608"/>
      <c r="C113608"/>
      <c r="E113608"/>
      <c r="F113608"/>
    </row>
    <row r="113609" spans="1:6" x14ac:dyDescent="0.25">
      <c r="A113609"/>
      <c r="B113609"/>
      <c r="C113609"/>
      <c r="E113609"/>
      <c r="F113609"/>
    </row>
    <row r="113610" spans="1:6" x14ac:dyDescent="0.25">
      <c r="A113610"/>
      <c r="B113610"/>
      <c r="C113610"/>
      <c r="E113610"/>
      <c r="F113610"/>
    </row>
    <row r="113611" spans="1:6" x14ac:dyDescent="0.25">
      <c r="A113611"/>
      <c r="B113611"/>
      <c r="C113611"/>
      <c r="E113611"/>
      <c r="F113611"/>
    </row>
    <row r="113612" spans="1:6" x14ac:dyDescent="0.25">
      <c r="A113612"/>
      <c r="B113612"/>
      <c r="C113612"/>
      <c r="E113612"/>
      <c r="F113612"/>
    </row>
    <row r="113613" spans="1:6" x14ac:dyDescent="0.25">
      <c r="A113613"/>
      <c r="B113613"/>
      <c r="C113613"/>
      <c r="E113613"/>
      <c r="F113613"/>
    </row>
    <row r="113614" spans="1:6" x14ac:dyDescent="0.25">
      <c r="A113614"/>
      <c r="B113614"/>
      <c r="C113614"/>
      <c r="E113614"/>
      <c r="F113614"/>
    </row>
    <row r="113615" spans="1:6" x14ac:dyDescent="0.25">
      <c r="A113615"/>
      <c r="B113615"/>
      <c r="C113615"/>
      <c r="E113615"/>
      <c r="F113615"/>
    </row>
    <row r="113616" spans="1:6" x14ac:dyDescent="0.25">
      <c r="A113616"/>
      <c r="B113616"/>
      <c r="C113616"/>
      <c r="E113616"/>
      <c r="F113616"/>
    </row>
    <row r="113617" spans="1:6" x14ac:dyDescent="0.25">
      <c r="A113617"/>
      <c r="B113617"/>
      <c r="C113617"/>
      <c r="E113617"/>
      <c r="F113617"/>
    </row>
    <row r="113618" spans="1:6" x14ac:dyDescent="0.25">
      <c r="A113618"/>
      <c r="B113618"/>
      <c r="C113618"/>
      <c r="E113618"/>
      <c r="F113618"/>
    </row>
    <row r="113619" spans="1:6" x14ac:dyDescent="0.25">
      <c r="A113619"/>
      <c r="B113619"/>
      <c r="C113619"/>
      <c r="E113619"/>
      <c r="F113619"/>
    </row>
    <row r="113620" spans="1:6" x14ac:dyDescent="0.25">
      <c r="A113620"/>
      <c r="B113620"/>
      <c r="C113620"/>
      <c r="E113620"/>
      <c r="F113620"/>
    </row>
    <row r="113621" spans="1:6" x14ac:dyDescent="0.25">
      <c r="A113621"/>
      <c r="B113621"/>
      <c r="C113621"/>
      <c r="E113621"/>
      <c r="F113621"/>
    </row>
    <row r="113622" spans="1:6" x14ac:dyDescent="0.25">
      <c r="A113622"/>
      <c r="B113622"/>
      <c r="C113622"/>
      <c r="E113622"/>
      <c r="F113622"/>
    </row>
    <row r="113623" spans="1:6" x14ac:dyDescent="0.25">
      <c r="A113623"/>
      <c r="B113623"/>
      <c r="C113623"/>
      <c r="E113623"/>
      <c r="F113623"/>
    </row>
    <row r="113624" spans="1:6" x14ac:dyDescent="0.25">
      <c r="A113624"/>
      <c r="B113624"/>
      <c r="C113624"/>
      <c r="E113624"/>
      <c r="F113624"/>
    </row>
    <row r="113625" spans="1:6" x14ac:dyDescent="0.25">
      <c r="A113625"/>
      <c r="B113625"/>
      <c r="C113625"/>
      <c r="E113625"/>
      <c r="F113625"/>
    </row>
    <row r="113626" spans="1:6" x14ac:dyDescent="0.25">
      <c r="A113626"/>
      <c r="B113626"/>
      <c r="C113626"/>
      <c r="E113626"/>
      <c r="F113626"/>
    </row>
    <row r="113627" spans="1:6" x14ac:dyDescent="0.25">
      <c r="A113627"/>
      <c r="B113627"/>
      <c r="C113627"/>
      <c r="E113627"/>
      <c r="F113627"/>
    </row>
    <row r="113628" spans="1:6" x14ac:dyDescent="0.25">
      <c r="A113628"/>
      <c r="B113628"/>
      <c r="C113628"/>
      <c r="E113628"/>
      <c r="F113628"/>
    </row>
    <row r="113629" spans="1:6" x14ac:dyDescent="0.25">
      <c r="A113629"/>
      <c r="B113629"/>
      <c r="C113629"/>
      <c r="E113629"/>
      <c r="F113629"/>
    </row>
    <row r="113630" spans="1:6" x14ac:dyDescent="0.25">
      <c r="A113630"/>
      <c r="B113630"/>
      <c r="C113630"/>
      <c r="E113630"/>
      <c r="F113630"/>
    </row>
    <row r="113631" spans="1:6" x14ac:dyDescent="0.25">
      <c r="A113631"/>
      <c r="B113631"/>
      <c r="C113631"/>
      <c r="E113631"/>
      <c r="F113631"/>
    </row>
    <row r="113632" spans="1:6" x14ac:dyDescent="0.25">
      <c r="A113632"/>
      <c r="B113632"/>
      <c r="C113632"/>
      <c r="E113632"/>
      <c r="F113632"/>
    </row>
    <row r="113633" spans="1:6" x14ac:dyDescent="0.25">
      <c r="A113633"/>
      <c r="B113633"/>
      <c r="C113633"/>
      <c r="E113633"/>
      <c r="F113633"/>
    </row>
    <row r="113634" spans="1:6" x14ac:dyDescent="0.25">
      <c r="A113634"/>
      <c r="B113634"/>
      <c r="C113634"/>
      <c r="E113634"/>
      <c r="F113634"/>
    </row>
    <row r="113635" spans="1:6" x14ac:dyDescent="0.25">
      <c r="A113635"/>
      <c r="B113635"/>
      <c r="C113635"/>
      <c r="E113635"/>
      <c r="F113635"/>
    </row>
    <row r="113636" spans="1:6" x14ac:dyDescent="0.25">
      <c r="A113636"/>
      <c r="B113636"/>
      <c r="C113636"/>
      <c r="E113636"/>
      <c r="F113636"/>
    </row>
    <row r="113637" spans="1:6" x14ac:dyDescent="0.25">
      <c r="A113637"/>
      <c r="B113637"/>
      <c r="C113637"/>
      <c r="E113637"/>
      <c r="F113637"/>
    </row>
    <row r="113638" spans="1:6" x14ac:dyDescent="0.25">
      <c r="A113638"/>
      <c r="B113638"/>
      <c r="C113638"/>
      <c r="E113638"/>
      <c r="F113638"/>
    </row>
    <row r="113639" spans="1:6" x14ac:dyDescent="0.25">
      <c r="A113639"/>
      <c r="B113639"/>
      <c r="C113639"/>
      <c r="E113639"/>
      <c r="F113639"/>
    </row>
    <row r="113640" spans="1:6" x14ac:dyDescent="0.25">
      <c r="A113640"/>
      <c r="B113640"/>
      <c r="C113640"/>
      <c r="E113640"/>
      <c r="F113640"/>
    </row>
    <row r="113641" spans="1:6" x14ac:dyDescent="0.25">
      <c r="A113641"/>
      <c r="B113641"/>
      <c r="C113641"/>
      <c r="E113641"/>
      <c r="F113641"/>
    </row>
    <row r="113642" spans="1:6" x14ac:dyDescent="0.25">
      <c r="A113642"/>
      <c r="B113642"/>
      <c r="C113642"/>
      <c r="E113642"/>
      <c r="F113642"/>
    </row>
    <row r="113643" spans="1:6" x14ac:dyDescent="0.25">
      <c r="A113643"/>
      <c r="B113643"/>
      <c r="C113643"/>
      <c r="E113643"/>
      <c r="F113643"/>
    </row>
    <row r="113644" spans="1:6" x14ac:dyDescent="0.25">
      <c r="A113644"/>
      <c r="B113644"/>
      <c r="C113644"/>
      <c r="E113644"/>
      <c r="F113644"/>
    </row>
    <row r="113645" spans="1:6" x14ac:dyDescent="0.25">
      <c r="A113645"/>
      <c r="B113645"/>
      <c r="C113645"/>
      <c r="E113645"/>
      <c r="F113645"/>
    </row>
    <row r="113646" spans="1:6" x14ac:dyDescent="0.25">
      <c r="A113646"/>
      <c r="B113646"/>
      <c r="C113646"/>
      <c r="E113646"/>
      <c r="F113646"/>
    </row>
    <row r="113647" spans="1:6" x14ac:dyDescent="0.25">
      <c r="A113647"/>
      <c r="B113647"/>
      <c r="C113647"/>
      <c r="E113647"/>
      <c r="F113647"/>
    </row>
    <row r="113648" spans="1:6" x14ac:dyDescent="0.25">
      <c r="A113648"/>
      <c r="B113648"/>
      <c r="C113648"/>
      <c r="E113648"/>
      <c r="F113648"/>
    </row>
    <row r="113649" spans="1:6" x14ac:dyDescent="0.25">
      <c r="A113649"/>
      <c r="B113649"/>
      <c r="C113649"/>
      <c r="E113649"/>
      <c r="F113649"/>
    </row>
    <row r="113650" spans="1:6" x14ac:dyDescent="0.25">
      <c r="A113650"/>
      <c r="B113650"/>
      <c r="C113650"/>
      <c r="E113650"/>
      <c r="F113650"/>
    </row>
    <row r="113651" spans="1:6" x14ac:dyDescent="0.25">
      <c r="A113651"/>
      <c r="B113651"/>
      <c r="C113651"/>
      <c r="E113651"/>
      <c r="F113651"/>
    </row>
    <row r="113652" spans="1:6" x14ac:dyDescent="0.25">
      <c r="A113652"/>
      <c r="B113652"/>
      <c r="C113652"/>
      <c r="E113652"/>
      <c r="F113652"/>
    </row>
    <row r="113653" spans="1:6" x14ac:dyDescent="0.25">
      <c r="A113653"/>
      <c r="B113653"/>
      <c r="C113653"/>
      <c r="E113653"/>
      <c r="F113653"/>
    </row>
    <row r="113654" spans="1:6" x14ac:dyDescent="0.25">
      <c r="A113654"/>
      <c r="B113654"/>
      <c r="C113654"/>
      <c r="E113654"/>
      <c r="F113654"/>
    </row>
    <row r="113655" spans="1:6" x14ac:dyDescent="0.25">
      <c r="A113655"/>
      <c r="B113655"/>
      <c r="C113655"/>
      <c r="E113655"/>
      <c r="F113655"/>
    </row>
    <row r="113656" spans="1:6" x14ac:dyDescent="0.25">
      <c r="A113656"/>
      <c r="B113656"/>
      <c r="C113656"/>
      <c r="E113656"/>
      <c r="F113656"/>
    </row>
    <row r="113657" spans="1:6" x14ac:dyDescent="0.25">
      <c r="A113657"/>
      <c r="B113657"/>
      <c r="C113657"/>
      <c r="E113657"/>
      <c r="F113657"/>
    </row>
    <row r="113658" spans="1:6" x14ac:dyDescent="0.25">
      <c r="A113658"/>
      <c r="B113658"/>
      <c r="C113658"/>
      <c r="E113658"/>
      <c r="F113658"/>
    </row>
    <row r="113659" spans="1:6" x14ac:dyDescent="0.25">
      <c r="A113659"/>
      <c r="B113659"/>
      <c r="C113659"/>
      <c r="E113659"/>
      <c r="F113659"/>
    </row>
    <row r="113660" spans="1:6" x14ac:dyDescent="0.25">
      <c r="A113660"/>
      <c r="B113660"/>
      <c r="C113660"/>
      <c r="E113660"/>
      <c r="F113660"/>
    </row>
    <row r="113661" spans="1:6" x14ac:dyDescent="0.25">
      <c r="A113661"/>
      <c r="B113661"/>
      <c r="C113661"/>
      <c r="E113661"/>
      <c r="F113661"/>
    </row>
    <row r="113662" spans="1:6" x14ac:dyDescent="0.25">
      <c r="A113662"/>
      <c r="B113662"/>
      <c r="C113662"/>
      <c r="E113662"/>
      <c r="F113662"/>
    </row>
    <row r="113663" spans="1:6" x14ac:dyDescent="0.25">
      <c r="A113663"/>
      <c r="B113663"/>
      <c r="C113663"/>
      <c r="E113663"/>
      <c r="F113663"/>
    </row>
    <row r="113664" spans="1:6" x14ac:dyDescent="0.25">
      <c r="A113664"/>
      <c r="B113664"/>
      <c r="C113664"/>
      <c r="E113664"/>
      <c r="F113664"/>
    </row>
    <row r="113665" spans="1:6" x14ac:dyDescent="0.25">
      <c r="A113665"/>
      <c r="B113665"/>
      <c r="C113665"/>
      <c r="E113665"/>
      <c r="F113665"/>
    </row>
    <row r="113666" spans="1:6" x14ac:dyDescent="0.25">
      <c r="A113666"/>
      <c r="B113666"/>
      <c r="C113666"/>
      <c r="E113666"/>
      <c r="F113666"/>
    </row>
    <row r="113667" spans="1:6" x14ac:dyDescent="0.25">
      <c r="A113667"/>
      <c r="B113667"/>
      <c r="C113667"/>
      <c r="E113667"/>
      <c r="F113667"/>
    </row>
    <row r="113668" spans="1:6" x14ac:dyDescent="0.25">
      <c r="A113668"/>
      <c r="B113668"/>
      <c r="C113668"/>
      <c r="E113668"/>
      <c r="F113668"/>
    </row>
    <row r="113669" spans="1:6" x14ac:dyDescent="0.25">
      <c r="A113669"/>
      <c r="B113669"/>
      <c r="C113669"/>
      <c r="E113669"/>
      <c r="F113669"/>
    </row>
    <row r="113670" spans="1:6" x14ac:dyDescent="0.25">
      <c r="A113670"/>
      <c r="B113670"/>
      <c r="C113670"/>
      <c r="E113670"/>
      <c r="F113670"/>
    </row>
    <row r="113671" spans="1:6" x14ac:dyDescent="0.25">
      <c r="A113671"/>
      <c r="B113671"/>
      <c r="C113671"/>
      <c r="E113671"/>
      <c r="F113671"/>
    </row>
    <row r="113672" spans="1:6" x14ac:dyDescent="0.25">
      <c r="A113672"/>
      <c r="B113672"/>
      <c r="C113672"/>
      <c r="E113672"/>
      <c r="F113672"/>
    </row>
    <row r="113673" spans="1:6" x14ac:dyDescent="0.25">
      <c r="A113673"/>
      <c r="B113673"/>
      <c r="C113673"/>
      <c r="E113673"/>
      <c r="F113673"/>
    </row>
    <row r="113674" spans="1:6" x14ac:dyDescent="0.25">
      <c r="A113674"/>
      <c r="B113674"/>
      <c r="C113674"/>
      <c r="E113674"/>
      <c r="F113674"/>
    </row>
    <row r="113675" spans="1:6" x14ac:dyDescent="0.25">
      <c r="A113675"/>
      <c r="B113675"/>
      <c r="C113675"/>
      <c r="E113675"/>
      <c r="F113675"/>
    </row>
    <row r="113676" spans="1:6" x14ac:dyDescent="0.25">
      <c r="A113676"/>
      <c r="B113676"/>
      <c r="C113676"/>
      <c r="E113676"/>
      <c r="F113676"/>
    </row>
    <row r="113677" spans="1:6" x14ac:dyDescent="0.25">
      <c r="A113677"/>
      <c r="B113677"/>
      <c r="C113677"/>
      <c r="E113677"/>
      <c r="F113677"/>
    </row>
    <row r="113678" spans="1:6" x14ac:dyDescent="0.25">
      <c r="A113678"/>
      <c r="B113678"/>
      <c r="C113678"/>
      <c r="E113678"/>
      <c r="F113678"/>
    </row>
    <row r="113679" spans="1:6" x14ac:dyDescent="0.25">
      <c r="A113679"/>
      <c r="B113679"/>
      <c r="C113679"/>
      <c r="E113679"/>
      <c r="F113679"/>
    </row>
    <row r="113680" spans="1:6" x14ac:dyDescent="0.25">
      <c r="A113680"/>
      <c r="B113680"/>
      <c r="C113680"/>
      <c r="E113680"/>
      <c r="F113680"/>
    </row>
    <row r="113681" spans="1:6" x14ac:dyDescent="0.25">
      <c r="A113681"/>
      <c r="B113681"/>
      <c r="C113681"/>
      <c r="E113681"/>
      <c r="F113681"/>
    </row>
    <row r="113682" spans="1:6" x14ac:dyDescent="0.25">
      <c r="A113682"/>
      <c r="B113682"/>
      <c r="C113682"/>
      <c r="E113682"/>
      <c r="F113682"/>
    </row>
    <row r="113683" spans="1:6" x14ac:dyDescent="0.25">
      <c r="A113683"/>
      <c r="B113683"/>
      <c r="C113683"/>
      <c r="E113683"/>
      <c r="F113683"/>
    </row>
    <row r="113684" spans="1:6" x14ac:dyDescent="0.25">
      <c r="A113684"/>
      <c r="B113684"/>
      <c r="C113684"/>
      <c r="E113684"/>
      <c r="F113684"/>
    </row>
    <row r="113685" spans="1:6" x14ac:dyDescent="0.25">
      <c r="A113685"/>
      <c r="B113685"/>
      <c r="C113685"/>
      <c r="E113685"/>
      <c r="F113685"/>
    </row>
    <row r="113686" spans="1:6" x14ac:dyDescent="0.25">
      <c r="A113686"/>
      <c r="B113686"/>
      <c r="C113686"/>
      <c r="E113686"/>
      <c r="F113686"/>
    </row>
    <row r="113687" spans="1:6" x14ac:dyDescent="0.25">
      <c r="A113687"/>
      <c r="B113687"/>
      <c r="C113687"/>
      <c r="E113687"/>
      <c r="F113687"/>
    </row>
    <row r="113688" spans="1:6" x14ac:dyDescent="0.25">
      <c r="A113688"/>
      <c r="B113688"/>
      <c r="C113688"/>
      <c r="E113688"/>
      <c r="F113688"/>
    </row>
    <row r="113689" spans="1:6" x14ac:dyDescent="0.25">
      <c r="A113689"/>
      <c r="B113689"/>
      <c r="C113689"/>
      <c r="E113689"/>
      <c r="F113689"/>
    </row>
    <row r="113690" spans="1:6" x14ac:dyDescent="0.25">
      <c r="A113690"/>
      <c r="B113690"/>
      <c r="C113690"/>
      <c r="E113690"/>
      <c r="F113690"/>
    </row>
    <row r="113691" spans="1:6" x14ac:dyDescent="0.25">
      <c r="A113691"/>
      <c r="B113691"/>
      <c r="C113691"/>
      <c r="E113691"/>
      <c r="F113691"/>
    </row>
    <row r="113692" spans="1:6" x14ac:dyDescent="0.25">
      <c r="A113692"/>
      <c r="B113692"/>
      <c r="C113692"/>
      <c r="E113692"/>
      <c r="F113692"/>
    </row>
    <row r="113693" spans="1:6" x14ac:dyDescent="0.25">
      <c r="A113693"/>
      <c r="B113693"/>
      <c r="C113693"/>
      <c r="E113693"/>
      <c r="F113693"/>
    </row>
    <row r="113694" spans="1:6" x14ac:dyDescent="0.25">
      <c r="A113694"/>
      <c r="B113694"/>
      <c r="C113694"/>
      <c r="E113694"/>
      <c r="F113694"/>
    </row>
    <row r="113695" spans="1:6" x14ac:dyDescent="0.25">
      <c r="A113695"/>
      <c r="B113695"/>
      <c r="C113695"/>
      <c r="E113695"/>
      <c r="F113695"/>
    </row>
    <row r="113696" spans="1:6" x14ac:dyDescent="0.25">
      <c r="A113696"/>
      <c r="B113696"/>
      <c r="C113696"/>
      <c r="E113696"/>
      <c r="F113696"/>
    </row>
    <row r="113697" spans="1:6" x14ac:dyDescent="0.25">
      <c r="A113697"/>
      <c r="B113697"/>
      <c r="C113697"/>
      <c r="E113697"/>
      <c r="F113697"/>
    </row>
    <row r="113698" spans="1:6" x14ac:dyDescent="0.25">
      <c r="A113698"/>
      <c r="B113698"/>
      <c r="C113698"/>
      <c r="E113698"/>
      <c r="F113698"/>
    </row>
    <row r="113699" spans="1:6" x14ac:dyDescent="0.25">
      <c r="A113699"/>
      <c r="B113699"/>
      <c r="C113699"/>
      <c r="E113699"/>
      <c r="F113699"/>
    </row>
    <row r="113700" spans="1:6" x14ac:dyDescent="0.25">
      <c r="A113700"/>
      <c r="B113700"/>
      <c r="C113700"/>
      <c r="E113700"/>
      <c r="F113700"/>
    </row>
    <row r="113701" spans="1:6" x14ac:dyDescent="0.25">
      <c r="A113701"/>
      <c r="B113701"/>
      <c r="C113701"/>
      <c r="E113701"/>
      <c r="F113701"/>
    </row>
    <row r="113702" spans="1:6" x14ac:dyDescent="0.25">
      <c r="A113702"/>
      <c r="B113702"/>
      <c r="C113702"/>
      <c r="E113702"/>
      <c r="F113702"/>
    </row>
    <row r="113703" spans="1:6" x14ac:dyDescent="0.25">
      <c r="A113703"/>
      <c r="B113703"/>
      <c r="C113703"/>
      <c r="E113703"/>
      <c r="F113703"/>
    </row>
    <row r="113704" spans="1:6" x14ac:dyDescent="0.25">
      <c r="A113704"/>
      <c r="B113704"/>
      <c r="C113704"/>
      <c r="E113704"/>
      <c r="F113704"/>
    </row>
    <row r="113705" spans="1:6" x14ac:dyDescent="0.25">
      <c r="A113705"/>
      <c r="B113705"/>
      <c r="C113705"/>
      <c r="E113705"/>
      <c r="F113705"/>
    </row>
    <row r="113706" spans="1:6" x14ac:dyDescent="0.25">
      <c r="A113706"/>
      <c r="B113706"/>
      <c r="C113706"/>
      <c r="E113706"/>
      <c r="F113706"/>
    </row>
    <row r="113707" spans="1:6" x14ac:dyDescent="0.25">
      <c r="A113707"/>
      <c r="B113707"/>
      <c r="C113707"/>
      <c r="E113707"/>
      <c r="F113707"/>
    </row>
    <row r="113708" spans="1:6" x14ac:dyDescent="0.25">
      <c r="A113708"/>
      <c r="B113708"/>
      <c r="C113708"/>
      <c r="E113708"/>
      <c r="F113708"/>
    </row>
    <row r="113709" spans="1:6" x14ac:dyDescent="0.25">
      <c r="A113709"/>
      <c r="B113709"/>
      <c r="C113709"/>
      <c r="E113709"/>
      <c r="F113709"/>
    </row>
    <row r="113710" spans="1:6" x14ac:dyDescent="0.25">
      <c r="A113710"/>
      <c r="B113710"/>
      <c r="C113710"/>
      <c r="E113710"/>
      <c r="F113710"/>
    </row>
    <row r="113711" spans="1:6" x14ac:dyDescent="0.25">
      <c r="A113711"/>
      <c r="B113711"/>
      <c r="C113711"/>
      <c r="E113711"/>
      <c r="F113711"/>
    </row>
    <row r="113712" spans="1:6" x14ac:dyDescent="0.25">
      <c r="A113712"/>
      <c r="B113712"/>
      <c r="C113712"/>
      <c r="E113712"/>
      <c r="F113712"/>
    </row>
    <row r="113713" spans="1:6" x14ac:dyDescent="0.25">
      <c r="A113713"/>
      <c r="B113713"/>
      <c r="C113713"/>
      <c r="E113713"/>
      <c r="F113713"/>
    </row>
    <row r="113714" spans="1:6" x14ac:dyDescent="0.25">
      <c r="A113714"/>
      <c r="B113714"/>
      <c r="C113714"/>
      <c r="E113714"/>
      <c r="F113714"/>
    </row>
    <row r="113715" spans="1:6" x14ac:dyDescent="0.25">
      <c r="A113715"/>
      <c r="B113715"/>
      <c r="C113715"/>
      <c r="E113715"/>
      <c r="F113715"/>
    </row>
    <row r="113716" spans="1:6" x14ac:dyDescent="0.25">
      <c r="A113716"/>
      <c r="B113716"/>
      <c r="C113716"/>
      <c r="E113716"/>
      <c r="F113716"/>
    </row>
    <row r="113717" spans="1:6" x14ac:dyDescent="0.25">
      <c r="A113717"/>
      <c r="B113717"/>
      <c r="C113717"/>
      <c r="E113717"/>
      <c r="F113717"/>
    </row>
    <row r="113718" spans="1:6" x14ac:dyDescent="0.25">
      <c r="A113718"/>
      <c r="B113718"/>
      <c r="C113718"/>
      <c r="E113718"/>
      <c r="F113718"/>
    </row>
    <row r="113719" spans="1:6" x14ac:dyDescent="0.25">
      <c r="A113719"/>
      <c r="B113719"/>
      <c r="C113719"/>
      <c r="E113719"/>
      <c r="F113719"/>
    </row>
    <row r="113720" spans="1:6" x14ac:dyDescent="0.25">
      <c r="A113720"/>
      <c r="B113720"/>
      <c r="C113720"/>
      <c r="E113720"/>
      <c r="F113720"/>
    </row>
    <row r="113721" spans="1:6" x14ac:dyDescent="0.25">
      <c r="A113721"/>
      <c r="B113721"/>
      <c r="C113721"/>
      <c r="E113721"/>
      <c r="F113721"/>
    </row>
    <row r="113722" spans="1:6" x14ac:dyDescent="0.25">
      <c r="A113722"/>
      <c r="B113722"/>
      <c r="C113722"/>
      <c r="E113722"/>
      <c r="F113722"/>
    </row>
    <row r="113723" spans="1:6" x14ac:dyDescent="0.25">
      <c r="A113723"/>
      <c r="B113723"/>
      <c r="C113723"/>
      <c r="E113723"/>
      <c r="F113723"/>
    </row>
    <row r="113724" spans="1:6" x14ac:dyDescent="0.25">
      <c r="A113724"/>
      <c r="B113724"/>
      <c r="C113724"/>
      <c r="E113724"/>
      <c r="F113724"/>
    </row>
    <row r="113725" spans="1:6" x14ac:dyDescent="0.25">
      <c r="A113725"/>
      <c r="B113725"/>
      <c r="C113725"/>
      <c r="E113725"/>
      <c r="F113725"/>
    </row>
    <row r="113726" spans="1:6" x14ac:dyDescent="0.25">
      <c r="A113726"/>
      <c r="B113726"/>
      <c r="C113726"/>
      <c r="E113726"/>
      <c r="F113726"/>
    </row>
    <row r="113727" spans="1:6" x14ac:dyDescent="0.25">
      <c r="A113727"/>
      <c r="B113727"/>
      <c r="C113727"/>
      <c r="E113727"/>
      <c r="F113727"/>
    </row>
    <row r="113728" spans="1:6" x14ac:dyDescent="0.25">
      <c r="A113728"/>
      <c r="B113728"/>
      <c r="C113728"/>
      <c r="E113728"/>
      <c r="F113728"/>
    </row>
    <row r="113729" spans="1:6" x14ac:dyDescent="0.25">
      <c r="A113729"/>
      <c r="B113729"/>
      <c r="C113729"/>
      <c r="E113729"/>
      <c r="F113729"/>
    </row>
    <row r="113730" spans="1:6" x14ac:dyDescent="0.25">
      <c r="A113730"/>
      <c r="B113730"/>
      <c r="C113730"/>
      <c r="E113730"/>
      <c r="F113730"/>
    </row>
    <row r="113731" spans="1:6" x14ac:dyDescent="0.25">
      <c r="A113731"/>
      <c r="B113731"/>
      <c r="C113731"/>
      <c r="E113731"/>
      <c r="F113731"/>
    </row>
    <row r="113732" spans="1:6" x14ac:dyDescent="0.25">
      <c r="A113732"/>
      <c r="B113732"/>
      <c r="C113732"/>
      <c r="E113732"/>
      <c r="F113732"/>
    </row>
    <row r="113733" spans="1:6" x14ac:dyDescent="0.25">
      <c r="A113733"/>
      <c r="B113733"/>
      <c r="C113733"/>
      <c r="E113733"/>
      <c r="F113733"/>
    </row>
    <row r="113734" spans="1:6" x14ac:dyDescent="0.25">
      <c r="A113734"/>
      <c r="B113734"/>
      <c r="C113734"/>
      <c r="E113734"/>
      <c r="F113734"/>
    </row>
    <row r="113735" spans="1:6" x14ac:dyDescent="0.25">
      <c r="A113735"/>
      <c r="B113735"/>
      <c r="C113735"/>
      <c r="E113735"/>
      <c r="F113735"/>
    </row>
    <row r="113736" spans="1:6" x14ac:dyDescent="0.25">
      <c r="A113736"/>
      <c r="B113736"/>
      <c r="C113736"/>
      <c r="E113736"/>
      <c r="F113736"/>
    </row>
    <row r="113737" spans="1:6" x14ac:dyDescent="0.25">
      <c r="A113737"/>
      <c r="B113737"/>
      <c r="C113737"/>
      <c r="E113737"/>
      <c r="F113737"/>
    </row>
    <row r="113738" spans="1:6" x14ac:dyDescent="0.25">
      <c r="A113738"/>
      <c r="B113738"/>
      <c r="C113738"/>
      <c r="E113738"/>
      <c r="F113738"/>
    </row>
    <row r="113739" spans="1:6" x14ac:dyDescent="0.25">
      <c r="A113739"/>
      <c r="B113739"/>
      <c r="C113739"/>
      <c r="E113739"/>
      <c r="F113739"/>
    </row>
    <row r="113740" spans="1:6" x14ac:dyDescent="0.25">
      <c r="A113740"/>
      <c r="B113740"/>
      <c r="C113740"/>
      <c r="E113740"/>
      <c r="F113740"/>
    </row>
    <row r="113741" spans="1:6" x14ac:dyDescent="0.25">
      <c r="A113741"/>
      <c r="B113741"/>
      <c r="C113741"/>
      <c r="E113741"/>
      <c r="F113741"/>
    </row>
    <row r="113742" spans="1:6" x14ac:dyDescent="0.25">
      <c r="A113742"/>
      <c r="B113742"/>
      <c r="C113742"/>
      <c r="E113742"/>
      <c r="F113742"/>
    </row>
    <row r="113743" spans="1:6" x14ac:dyDescent="0.25">
      <c r="A113743"/>
      <c r="B113743"/>
      <c r="C113743"/>
      <c r="E113743"/>
      <c r="F113743"/>
    </row>
    <row r="113744" spans="1:6" x14ac:dyDescent="0.25">
      <c r="A113744"/>
      <c r="B113744"/>
      <c r="C113744"/>
      <c r="E113744"/>
      <c r="F113744"/>
    </row>
    <row r="113745" spans="1:6" x14ac:dyDescent="0.25">
      <c r="A113745"/>
      <c r="B113745"/>
      <c r="C113745"/>
      <c r="E113745"/>
      <c r="F113745"/>
    </row>
    <row r="113746" spans="1:6" x14ac:dyDescent="0.25">
      <c r="A113746"/>
      <c r="B113746"/>
      <c r="C113746"/>
      <c r="E113746"/>
      <c r="F113746"/>
    </row>
    <row r="113747" spans="1:6" x14ac:dyDescent="0.25">
      <c r="A113747"/>
      <c r="B113747"/>
      <c r="C113747"/>
      <c r="E113747"/>
      <c r="F113747"/>
    </row>
    <row r="113748" spans="1:6" x14ac:dyDescent="0.25">
      <c r="A113748"/>
      <c r="B113748"/>
      <c r="C113748"/>
      <c r="E113748"/>
      <c r="F113748"/>
    </row>
    <row r="113749" spans="1:6" x14ac:dyDescent="0.25">
      <c r="A113749"/>
      <c r="B113749"/>
      <c r="C113749"/>
      <c r="E113749"/>
      <c r="F113749"/>
    </row>
    <row r="113750" spans="1:6" x14ac:dyDescent="0.25">
      <c r="A113750"/>
      <c r="B113750"/>
      <c r="C113750"/>
      <c r="E113750"/>
      <c r="F113750"/>
    </row>
    <row r="113751" spans="1:6" x14ac:dyDescent="0.25">
      <c r="A113751"/>
      <c r="B113751"/>
      <c r="C113751"/>
      <c r="E113751"/>
      <c r="F113751"/>
    </row>
    <row r="113752" spans="1:6" x14ac:dyDescent="0.25">
      <c r="A113752"/>
      <c r="B113752"/>
      <c r="C113752"/>
      <c r="E113752"/>
      <c r="F113752"/>
    </row>
    <row r="113753" spans="1:6" x14ac:dyDescent="0.25">
      <c r="A113753"/>
      <c r="B113753"/>
      <c r="C113753"/>
      <c r="E113753"/>
      <c r="F113753"/>
    </row>
    <row r="113754" spans="1:6" x14ac:dyDescent="0.25">
      <c r="A113754"/>
      <c r="B113754"/>
      <c r="C113754"/>
      <c r="E113754"/>
      <c r="F113754"/>
    </row>
    <row r="113755" spans="1:6" x14ac:dyDescent="0.25">
      <c r="A113755"/>
      <c r="B113755"/>
      <c r="C113755"/>
      <c r="E113755"/>
      <c r="F113755"/>
    </row>
    <row r="113756" spans="1:6" x14ac:dyDescent="0.25">
      <c r="A113756"/>
      <c r="B113756"/>
      <c r="C113756"/>
      <c r="E113756"/>
      <c r="F113756"/>
    </row>
    <row r="113757" spans="1:6" x14ac:dyDescent="0.25">
      <c r="A113757"/>
      <c r="B113757"/>
      <c r="C113757"/>
      <c r="E113757"/>
      <c r="F113757"/>
    </row>
    <row r="113758" spans="1:6" x14ac:dyDescent="0.25">
      <c r="A113758"/>
      <c r="B113758"/>
      <c r="C113758"/>
      <c r="E113758"/>
      <c r="F113758"/>
    </row>
    <row r="113759" spans="1:6" x14ac:dyDescent="0.25">
      <c r="A113759"/>
      <c r="B113759"/>
      <c r="C113759"/>
      <c r="E113759"/>
      <c r="F113759"/>
    </row>
    <row r="113760" spans="1:6" x14ac:dyDescent="0.25">
      <c r="A113760"/>
      <c r="B113760"/>
      <c r="C113760"/>
      <c r="E113760"/>
      <c r="F113760"/>
    </row>
    <row r="113761" spans="1:6" x14ac:dyDescent="0.25">
      <c r="A113761"/>
      <c r="B113761"/>
      <c r="C113761"/>
      <c r="E113761"/>
      <c r="F113761"/>
    </row>
    <row r="113762" spans="1:6" x14ac:dyDescent="0.25">
      <c r="A113762"/>
      <c r="B113762"/>
      <c r="C113762"/>
      <c r="E113762"/>
      <c r="F113762"/>
    </row>
    <row r="113763" spans="1:6" x14ac:dyDescent="0.25">
      <c r="A113763"/>
      <c r="B113763"/>
      <c r="C113763"/>
      <c r="E113763"/>
      <c r="F113763"/>
    </row>
    <row r="113764" spans="1:6" x14ac:dyDescent="0.25">
      <c r="A113764"/>
      <c r="B113764"/>
      <c r="C113764"/>
      <c r="E113764"/>
      <c r="F113764"/>
    </row>
    <row r="113765" spans="1:6" x14ac:dyDescent="0.25">
      <c r="A113765"/>
      <c r="B113765"/>
      <c r="C113765"/>
      <c r="E113765"/>
      <c r="F113765"/>
    </row>
    <row r="113766" spans="1:6" x14ac:dyDescent="0.25">
      <c r="A113766"/>
      <c r="B113766"/>
      <c r="C113766"/>
      <c r="E113766"/>
      <c r="F113766"/>
    </row>
    <row r="113767" spans="1:6" x14ac:dyDescent="0.25">
      <c r="A113767"/>
      <c r="B113767"/>
      <c r="C113767"/>
      <c r="E113767"/>
      <c r="F113767"/>
    </row>
    <row r="113768" spans="1:6" x14ac:dyDescent="0.25">
      <c r="A113768"/>
      <c r="B113768"/>
      <c r="C113768"/>
      <c r="E113768"/>
      <c r="F113768"/>
    </row>
    <row r="113769" spans="1:6" x14ac:dyDescent="0.25">
      <c r="A113769"/>
      <c r="B113769"/>
      <c r="C113769"/>
      <c r="E113769"/>
      <c r="F113769"/>
    </row>
    <row r="113770" spans="1:6" x14ac:dyDescent="0.25">
      <c r="A113770"/>
      <c r="B113770"/>
      <c r="C113770"/>
      <c r="E113770"/>
      <c r="F113770"/>
    </row>
    <row r="113771" spans="1:6" x14ac:dyDescent="0.25">
      <c r="A113771"/>
      <c r="B113771"/>
      <c r="C113771"/>
      <c r="E113771"/>
      <c r="F113771"/>
    </row>
    <row r="113772" spans="1:6" x14ac:dyDescent="0.25">
      <c r="A113772"/>
      <c r="B113772"/>
      <c r="C113772"/>
      <c r="E113772"/>
      <c r="F113772"/>
    </row>
    <row r="113773" spans="1:6" x14ac:dyDescent="0.25">
      <c r="A113773"/>
      <c r="B113773"/>
      <c r="C113773"/>
      <c r="E113773"/>
      <c r="F113773"/>
    </row>
    <row r="113774" spans="1:6" x14ac:dyDescent="0.25">
      <c r="A113774"/>
      <c r="B113774"/>
      <c r="C113774"/>
      <c r="E113774"/>
      <c r="F113774"/>
    </row>
    <row r="113775" spans="1:6" x14ac:dyDescent="0.25">
      <c r="A113775"/>
      <c r="B113775"/>
      <c r="C113775"/>
      <c r="E113775"/>
      <c r="F113775"/>
    </row>
    <row r="113776" spans="1:6" x14ac:dyDescent="0.25">
      <c r="A113776"/>
      <c r="B113776"/>
      <c r="C113776"/>
      <c r="E113776"/>
      <c r="F113776"/>
    </row>
    <row r="113777" spans="1:6" x14ac:dyDescent="0.25">
      <c r="A113777"/>
      <c r="B113777"/>
      <c r="C113777"/>
      <c r="E113777"/>
      <c r="F113777"/>
    </row>
    <row r="113778" spans="1:6" x14ac:dyDescent="0.25">
      <c r="A113778"/>
      <c r="B113778"/>
      <c r="C113778"/>
      <c r="E113778"/>
      <c r="F113778"/>
    </row>
    <row r="113779" spans="1:6" x14ac:dyDescent="0.25">
      <c r="A113779"/>
      <c r="B113779"/>
      <c r="C113779"/>
      <c r="E113779"/>
      <c r="F113779"/>
    </row>
    <row r="113780" spans="1:6" x14ac:dyDescent="0.25">
      <c r="A113780"/>
      <c r="B113780"/>
      <c r="C113780"/>
      <c r="E113780"/>
      <c r="F113780"/>
    </row>
    <row r="113781" spans="1:6" x14ac:dyDescent="0.25">
      <c r="A113781"/>
      <c r="B113781"/>
      <c r="C113781"/>
      <c r="E113781"/>
      <c r="F113781"/>
    </row>
    <row r="113782" spans="1:6" x14ac:dyDescent="0.25">
      <c r="A113782"/>
      <c r="B113782"/>
      <c r="C113782"/>
      <c r="E113782"/>
      <c r="F113782"/>
    </row>
    <row r="113783" spans="1:6" x14ac:dyDescent="0.25">
      <c r="A113783"/>
      <c r="B113783"/>
      <c r="C113783"/>
      <c r="E113783"/>
      <c r="F113783"/>
    </row>
    <row r="113784" spans="1:6" x14ac:dyDescent="0.25">
      <c r="A113784"/>
      <c r="B113784"/>
      <c r="C113784"/>
      <c r="E113784"/>
      <c r="F113784"/>
    </row>
    <row r="113785" spans="1:6" x14ac:dyDescent="0.25">
      <c r="A113785"/>
      <c r="B113785"/>
      <c r="C113785"/>
      <c r="E113785"/>
      <c r="F113785"/>
    </row>
    <row r="113786" spans="1:6" x14ac:dyDescent="0.25">
      <c r="A113786"/>
      <c r="B113786"/>
      <c r="C113786"/>
      <c r="E113786"/>
      <c r="F113786"/>
    </row>
    <row r="113787" spans="1:6" x14ac:dyDescent="0.25">
      <c r="A113787"/>
      <c r="B113787"/>
      <c r="C113787"/>
      <c r="E113787"/>
      <c r="F113787"/>
    </row>
    <row r="113788" spans="1:6" x14ac:dyDescent="0.25">
      <c r="A113788"/>
      <c r="B113788"/>
      <c r="C113788"/>
      <c r="E113788"/>
      <c r="F113788"/>
    </row>
    <row r="113789" spans="1:6" x14ac:dyDescent="0.25">
      <c r="A113789"/>
      <c r="B113789"/>
      <c r="C113789"/>
      <c r="E113789"/>
      <c r="F113789"/>
    </row>
    <row r="113790" spans="1:6" x14ac:dyDescent="0.25">
      <c r="A113790"/>
      <c r="B113790"/>
      <c r="C113790"/>
      <c r="E113790"/>
      <c r="F113790"/>
    </row>
    <row r="113791" spans="1:6" x14ac:dyDescent="0.25">
      <c r="A113791"/>
      <c r="B113791"/>
      <c r="C113791"/>
      <c r="E113791"/>
      <c r="F113791"/>
    </row>
    <row r="113792" spans="1:6" x14ac:dyDescent="0.25">
      <c r="A113792"/>
      <c r="B113792"/>
      <c r="C113792"/>
      <c r="E113792"/>
      <c r="F113792"/>
    </row>
    <row r="113793" spans="1:6" x14ac:dyDescent="0.25">
      <c r="A113793"/>
      <c r="B113793"/>
      <c r="C113793"/>
      <c r="E113793"/>
      <c r="F113793"/>
    </row>
    <row r="113794" spans="1:6" x14ac:dyDescent="0.25">
      <c r="A113794"/>
      <c r="B113794"/>
      <c r="C113794"/>
      <c r="E113794"/>
      <c r="F113794"/>
    </row>
    <row r="113795" spans="1:6" x14ac:dyDescent="0.25">
      <c r="A113795"/>
      <c r="B113795"/>
      <c r="C113795"/>
      <c r="E113795"/>
      <c r="F113795"/>
    </row>
    <row r="113796" spans="1:6" x14ac:dyDescent="0.25">
      <c r="A113796"/>
      <c r="B113796"/>
      <c r="C113796"/>
      <c r="E113796"/>
      <c r="F113796"/>
    </row>
    <row r="113797" spans="1:6" x14ac:dyDescent="0.25">
      <c r="A113797"/>
      <c r="B113797"/>
      <c r="C113797"/>
      <c r="E113797"/>
      <c r="F113797"/>
    </row>
    <row r="113798" spans="1:6" x14ac:dyDescent="0.25">
      <c r="A113798"/>
      <c r="B113798"/>
      <c r="C113798"/>
      <c r="E113798"/>
      <c r="F113798"/>
    </row>
    <row r="113799" spans="1:6" x14ac:dyDescent="0.25">
      <c r="A113799"/>
      <c r="B113799"/>
      <c r="C113799"/>
      <c r="E113799"/>
      <c r="F113799"/>
    </row>
    <row r="113800" spans="1:6" x14ac:dyDescent="0.25">
      <c r="A113800"/>
      <c r="B113800"/>
      <c r="C113800"/>
      <c r="E113800"/>
      <c r="F113800"/>
    </row>
    <row r="113801" spans="1:6" x14ac:dyDescent="0.25">
      <c r="A113801"/>
      <c r="B113801"/>
      <c r="C113801"/>
      <c r="E113801"/>
      <c r="F113801"/>
    </row>
    <row r="113802" spans="1:6" x14ac:dyDescent="0.25">
      <c r="A113802"/>
      <c r="B113802"/>
      <c r="C113802"/>
      <c r="E113802"/>
      <c r="F113802"/>
    </row>
    <row r="113803" spans="1:6" x14ac:dyDescent="0.25">
      <c r="A113803"/>
      <c r="B113803"/>
      <c r="C113803"/>
      <c r="E113803"/>
      <c r="F113803"/>
    </row>
    <row r="113804" spans="1:6" x14ac:dyDescent="0.25">
      <c r="A113804"/>
      <c r="B113804"/>
      <c r="C113804"/>
      <c r="E113804"/>
      <c r="F113804"/>
    </row>
    <row r="113805" spans="1:6" x14ac:dyDescent="0.25">
      <c r="A113805"/>
      <c r="B113805"/>
      <c r="C113805"/>
      <c r="E113805"/>
      <c r="F113805"/>
    </row>
    <row r="113806" spans="1:6" x14ac:dyDescent="0.25">
      <c r="A113806"/>
      <c r="B113806"/>
      <c r="C113806"/>
      <c r="E113806"/>
      <c r="F113806"/>
    </row>
    <row r="113807" spans="1:6" x14ac:dyDescent="0.25">
      <c r="A113807"/>
      <c r="B113807"/>
      <c r="C113807"/>
      <c r="E113807"/>
      <c r="F113807"/>
    </row>
    <row r="113808" spans="1:6" x14ac:dyDescent="0.25">
      <c r="A113808"/>
      <c r="B113808"/>
      <c r="C113808"/>
      <c r="E113808"/>
      <c r="F113808"/>
    </row>
    <row r="113809" spans="1:6" x14ac:dyDescent="0.25">
      <c r="A113809"/>
      <c r="B113809"/>
      <c r="C113809"/>
      <c r="E113809"/>
      <c r="F113809"/>
    </row>
    <row r="113810" spans="1:6" x14ac:dyDescent="0.25">
      <c r="A113810"/>
      <c r="B113810"/>
      <c r="C113810"/>
      <c r="E113810"/>
      <c r="F113810"/>
    </row>
    <row r="113811" spans="1:6" x14ac:dyDescent="0.25">
      <c r="A113811"/>
      <c r="B113811"/>
      <c r="C113811"/>
      <c r="E113811"/>
      <c r="F113811"/>
    </row>
    <row r="113812" spans="1:6" x14ac:dyDescent="0.25">
      <c r="A113812"/>
      <c r="B113812"/>
      <c r="C113812"/>
      <c r="E113812"/>
      <c r="F113812"/>
    </row>
    <row r="113813" spans="1:6" x14ac:dyDescent="0.25">
      <c r="A113813"/>
      <c r="B113813"/>
      <c r="C113813"/>
      <c r="E113813"/>
      <c r="F113813"/>
    </row>
    <row r="113814" spans="1:6" x14ac:dyDescent="0.25">
      <c r="A113814"/>
      <c r="B113814"/>
      <c r="C113814"/>
      <c r="E113814"/>
      <c r="F113814"/>
    </row>
    <row r="113815" spans="1:6" x14ac:dyDescent="0.25">
      <c r="A113815"/>
      <c r="B113815"/>
      <c r="C113815"/>
      <c r="E113815"/>
      <c r="F113815"/>
    </row>
    <row r="113816" spans="1:6" x14ac:dyDescent="0.25">
      <c r="A113816"/>
      <c r="B113816"/>
      <c r="C113816"/>
      <c r="E113816"/>
      <c r="F113816"/>
    </row>
    <row r="113817" spans="1:6" x14ac:dyDescent="0.25">
      <c r="A113817"/>
      <c r="B113817"/>
      <c r="C113817"/>
      <c r="E113817"/>
      <c r="F113817"/>
    </row>
    <row r="113818" spans="1:6" x14ac:dyDescent="0.25">
      <c r="A113818"/>
      <c r="B113818"/>
      <c r="C113818"/>
      <c r="E113818"/>
      <c r="F113818"/>
    </row>
    <row r="113819" spans="1:6" x14ac:dyDescent="0.25">
      <c r="A113819"/>
      <c r="B113819"/>
      <c r="C113819"/>
      <c r="E113819"/>
      <c r="F113819"/>
    </row>
    <row r="113820" spans="1:6" x14ac:dyDescent="0.25">
      <c r="A113820"/>
      <c r="B113820"/>
      <c r="C113820"/>
      <c r="E113820"/>
      <c r="F113820"/>
    </row>
    <row r="113821" spans="1:6" x14ac:dyDescent="0.25">
      <c r="A113821"/>
      <c r="B113821"/>
      <c r="C113821"/>
      <c r="E113821"/>
      <c r="F113821"/>
    </row>
    <row r="113822" spans="1:6" x14ac:dyDescent="0.25">
      <c r="A113822"/>
      <c r="B113822"/>
      <c r="C113822"/>
      <c r="E113822"/>
      <c r="F113822"/>
    </row>
    <row r="113823" spans="1:6" x14ac:dyDescent="0.25">
      <c r="A113823"/>
      <c r="B113823"/>
      <c r="C113823"/>
      <c r="E113823"/>
      <c r="F113823"/>
    </row>
    <row r="113824" spans="1:6" x14ac:dyDescent="0.25">
      <c r="A113824"/>
      <c r="B113824"/>
      <c r="C113824"/>
      <c r="E113824"/>
      <c r="F113824"/>
    </row>
    <row r="113825" spans="1:6" x14ac:dyDescent="0.25">
      <c r="A113825"/>
      <c r="B113825"/>
      <c r="C113825"/>
      <c r="E113825"/>
      <c r="F113825"/>
    </row>
    <row r="113826" spans="1:6" x14ac:dyDescent="0.25">
      <c r="A113826"/>
      <c r="B113826"/>
      <c r="C113826"/>
      <c r="E113826"/>
      <c r="F113826"/>
    </row>
    <row r="113827" spans="1:6" x14ac:dyDescent="0.25">
      <c r="A113827"/>
      <c r="B113827"/>
      <c r="C113827"/>
      <c r="E113827"/>
      <c r="F113827"/>
    </row>
    <row r="113828" spans="1:6" x14ac:dyDescent="0.25">
      <c r="A113828"/>
      <c r="B113828"/>
      <c r="C113828"/>
      <c r="E113828"/>
      <c r="F113828"/>
    </row>
    <row r="113829" spans="1:6" x14ac:dyDescent="0.25">
      <c r="A113829"/>
      <c r="B113829"/>
      <c r="C113829"/>
      <c r="E113829"/>
      <c r="F113829"/>
    </row>
    <row r="113830" spans="1:6" x14ac:dyDescent="0.25">
      <c r="A113830"/>
      <c r="B113830"/>
      <c r="C113830"/>
      <c r="E113830"/>
      <c r="F113830"/>
    </row>
    <row r="113831" spans="1:6" x14ac:dyDescent="0.25">
      <c r="A113831"/>
      <c r="B113831"/>
      <c r="C113831"/>
      <c r="E113831"/>
      <c r="F113831"/>
    </row>
    <row r="113832" spans="1:6" x14ac:dyDescent="0.25">
      <c r="A113832"/>
      <c r="B113832"/>
      <c r="C113832"/>
      <c r="E113832"/>
      <c r="F113832"/>
    </row>
    <row r="113833" spans="1:6" x14ac:dyDescent="0.25">
      <c r="A113833"/>
      <c r="B113833"/>
      <c r="C113833"/>
      <c r="E113833"/>
      <c r="F113833"/>
    </row>
    <row r="113834" spans="1:6" x14ac:dyDescent="0.25">
      <c r="A113834"/>
      <c r="B113834"/>
      <c r="C113834"/>
      <c r="E113834"/>
      <c r="F113834"/>
    </row>
    <row r="113835" spans="1:6" x14ac:dyDescent="0.25">
      <c r="A113835"/>
      <c r="B113835"/>
      <c r="C113835"/>
      <c r="E113835"/>
      <c r="F113835"/>
    </row>
    <row r="113836" spans="1:6" x14ac:dyDescent="0.25">
      <c r="A113836"/>
      <c r="B113836"/>
      <c r="C113836"/>
      <c r="E113836"/>
      <c r="F113836"/>
    </row>
    <row r="113837" spans="1:6" x14ac:dyDescent="0.25">
      <c r="A113837"/>
      <c r="B113837"/>
      <c r="C113837"/>
      <c r="E113837"/>
      <c r="F113837"/>
    </row>
    <row r="113838" spans="1:6" x14ac:dyDescent="0.25">
      <c r="A113838"/>
      <c r="B113838"/>
      <c r="C113838"/>
      <c r="E113838"/>
      <c r="F113838"/>
    </row>
    <row r="113839" spans="1:6" x14ac:dyDescent="0.25">
      <c r="A113839"/>
      <c r="B113839"/>
      <c r="C113839"/>
      <c r="E113839"/>
      <c r="F113839"/>
    </row>
    <row r="113840" spans="1:6" x14ac:dyDescent="0.25">
      <c r="A113840"/>
      <c r="B113840"/>
      <c r="C113840"/>
      <c r="E113840"/>
      <c r="F113840"/>
    </row>
    <row r="113841" spans="1:6" x14ac:dyDescent="0.25">
      <c r="A113841"/>
      <c r="B113841"/>
      <c r="C113841"/>
      <c r="E113841"/>
      <c r="F113841"/>
    </row>
    <row r="113842" spans="1:6" x14ac:dyDescent="0.25">
      <c r="A113842"/>
      <c r="B113842"/>
      <c r="C113842"/>
      <c r="E113842"/>
      <c r="F113842"/>
    </row>
    <row r="113843" spans="1:6" x14ac:dyDescent="0.25">
      <c r="A113843"/>
      <c r="B113843"/>
      <c r="C113843"/>
      <c r="E113843"/>
      <c r="F113843"/>
    </row>
    <row r="113844" spans="1:6" x14ac:dyDescent="0.25">
      <c r="A113844"/>
      <c r="B113844"/>
      <c r="C113844"/>
      <c r="E113844"/>
      <c r="F113844"/>
    </row>
    <row r="113845" spans="1:6" x14ac:dyDescent="0.25">
      <c r="A113845"/>
      <c r="B113845"/>
      <c r="C113845"/>
      <c r="E113845"/>
      <c r="F113845"/>
    </row>
    <row r="113846" spans="1:6" x14ac:dyDescent="0.25">
      <c r="A113846"/>
      <c r="B113846"/>
      <c r="C113846"/>
      <c r="E113846"/>
      <c r="F113846"/>
    </row>
    <row r="113847" spans="1:6" x14ac:dyDescent="0.25">
      <c r="A113847"/>
      <c r="B113847"/>
      <c r="C113847"/>
      <c r="E113847"/>
      <c r="F113847"/>
    </row>
    <row r="113848" spans="1:6" x14ac:dyDescent="0.25">
      <c r="A113848"/>
      <c r="B113848"/>
      <c r="C113848"/>
      <c r="E113848"/>
      <c r="F113848"/>
    </row>
    <row r="113849" spans="1:6" x14ac:dyDescent="0.25">
      <c r="A113849"/>
      <c r="B113849"/>
      <c r="C113849"/>
      <c r="E113849"/>
      <c r="F113849"/>
    </row>
    <row r="113850" spans="1:6" x14ac:dyDescent="0.25">
      <c r="A113850"/>
      <c r="B113850"/>
      <c r="C113850"/>
      <c r="E113850"/>
      <c r="F113850"/>
    </row>
    <row r="113851" spans="1:6" x14ac:dyDescent="0.25">
      <c r="A113851"/>
      <c r="B113851"/>
      <c r="C113851"/>
      <c r="E113851"/>
      <c r="F113851"/>
    </row>
    <row r="113852" spans="1:6" x14ac:dyDescent="0.25">
      <c r="A113852"/>
      <c r="B113852"/>
      <c r="C113852"/>
      <c r="E113852"/>
      <c r="F113852"/>
    </row>
    <row r="113853" spans="1:6" x14ac:dyDescent="0.25">
      <c r="A113853"/>
      <c r="B113853"/>
      <c r="C113853"/>
      <c r="E113853"/>
      <c r="F113853"/>
    </row>
    <row r="113854" spans="1:6" x14ac:dyDescent="0.25">
      <c r="A113854"/>
      <c r="B113854"/>
      <c r="C113854"/>
      <c r="E113854"/>
      <c r="F113854"/>
    </row>
    <row r="113855" spans="1:6" x14ac:dyDescent="0.25">
      <c r="A113855"/>
      <c r="B113855"/>
      <c r="C113855"/>
      <c r="E113855"/>
      <c r="F113855"/>
    </row>
    <row r="113856" spans="1:6" x14ac:dyDescent="0.25">
      <c r="A113856"/>
      <c r="B113856"/>
      <c r="C113856"/>
      <c r="E113856"/>
      <c r="F113856"/>
    </row>
    <row r="113857" spans="1:6" x14ac:dyDescent="0.25">
      <c r="A113857"/>
      <c r="B113857"/>
      <c r="C113857"/>
      <c r="E113857"/>
      <c r="F113857"/>
    </row>
    <row r="113858" spans="1:6" x14ac:dyDescent="0.25">
      <c r="A113858"/>
      <c r="B113858"/>
      <c r="C113858"/>
      <c r="E113858"/>
      <c r="F113858"/>
    </row>
    <row r="113859" spans="1:6" x14ac:dyDescent="0.25">
      <c r="A113859"/>
      <c r="B113859"/>
      <c r="C113859"/>
      <c r="E113859"/>
      <c r="F113859"/>
    </row>
    <row r="113860" spans="1:6" x14ac:dyDescent="0.25">
      <c r="A113860"/>
      <c r="B113860"/>
      <c r="C113860"/>
      <c r="E113860"/>
      <c r="F113860"/>
    </row>
    <row r="113861" spans="1:6" x14ac:dyDescent="0.25">
      <c r="A113861"/>
      <c r="B113861"/>
      <c r="C113861"/>
      <c r="E113861"/>
      <c r="F113861"/>
    </row>
    <row r="113862" spans="1:6" x14ac:dyDescent="0.25">
      <c r="A113862"/>
      <c r="B113862"/>
      <c r="C113862"/>
      <c r="E113862"/>
      <c r="F113862"/>
    </row>
    <row r="113863" spans="1:6" x14ac:dyDescent="0.25">
      <c r="A113863"/>
      <c r="B113863"/>
      <c r="C113863"/>
      <c r="E113863"/>
      <c r="F113863"/>
    </row>
    <row r="113864" spans="1:6" x14ac:dyDescent="0.25">
      <c r="A113864"/>
      <c r="B113864"/>
      <c r="C113864"/>
      <c r="E113864"/>
      <c r="F113864"/>
    </row>
    <row r="113865" spans="1:6" x14ac:dyDescent="0.25">
      <c r="A113865"/>
      <c r="B113865"/>
      <c r="C113865"/>
      <c r="E113865"/>
      <c r="F113865"/>
    </row>
    <row r="113866" spans="1:6" x14ac:dyDescent="0.25">
      <c r="A113866"/>
      <c r="B113866"/>
      <c r="C113866"/>
      <c r="E113866"/>
      <c r="F113866"/>
    </row>
    <row r="113867" spans="1:6" x14ac:dyDescent="0.25">
      <c r="A113867"/>
      <c r="B113867"/>
      <c r="C113867"/>
      <c r="E113867"/>
      <c r="F113867"/>
    </row>
    <row r="113868" spans="1:6" x14ac:dyDescent="0.25">
      <c r="A113868"/>
      <c r="B113868"/>
      <c r="C113868"/>
      <c r="E113868"/>
      <c r="F113868"/>
    </row>
    <row r="113869" spans="1:6" x14ac:dyDescent="0.25">
      <c r="A113869"/>
      <c r="B113869"/>
      <c r="C113869"/>
      <c r="E113869"/>
      <c r="F113869"/>
    </row>
    <row r="113870" spans="1:6" x14ac:dyDescent="0.25">
      <c r="A113870"/>
      <c r="B113870"/>
      <c r="C113870"/>
      <c r="E113870"/>
      <c r="F113870"/>
    </row>
    <row r="113871" spans="1:6" x14ac:dyDescent="0.25">
      <c r="A113871"/>
      <c r="B113871"/>
      <c r="C113871"/>
      <c r="E113871"/>
      <c r="F113871"/>
    </row>
    <row r="113872" spans="1:6" x14ac:dyDescent="0.25">
      <c r="A113872"/>
      <c r="B113872"/>
      <c r="C113872"/>
      <c r="E113872"/>
      <c r="F113872"/>
    </row>
    <row r="113873" spans="1:6" x14ac:dyDescent="0.25">
      <c r="A113873"/>
      <c r="B113873"/>
      <c r="C113873"/>
      <c r="E113873"/>
      <c r="F113873"/>
    </row>
    <row r="113874" spans="1:6" x14ac:dyDescent="0.25">
      <c r="A113874"/>
      <c r="B113874"/>
      <c r="C113874"/>
      <c r="E113874"/>
      <c r="F113874"/>
    </row>
    <row r="113875" spans="1:6" x14ac:dyDescent="0.25">
      <c r="A113875"/>
      <c r="B113875"/>
      <c r="C113875"/>
      <c r="E113875"/>
      <c r="F113875"/>
    </row>
    <row r="113876" spans="1:6" x14ac:dyDescent="0.25">
      <c r="A113876"/>
      <c r="B113876"/>
      <c r="C113876"/>
      <c r="E113876"/>
      <c r="F113876"/>
    </row>
    <row r="113877" spans="1:6" x14ac:dyDescent="0.25">
      <c r="A113877"/>
      <c r="B113877"/>
      <c r="C113877"/>
      <c r="E113877"/>
      <c r="F113877"/>
    </row>
    <row r="113878" spans="1:6" x14ac:dyDescent="0.25">
      <c r="A113878"/>
      <c r="B113878"/>
      <c r="C113878"/>
      <c r="E113878"/>
      <c r="F113878"/>
    </row>
    <row r="113879" spans="1:6" x14ac:dyDescent="0.25">
      <c r="A113879"/>
      <c r="B113879"/>
      <c r="C113879"/>
      <c r="E113879"/>
      <c r="F113879"/>
    </row>
    <row r="113880" spans="1:6" x14ac:dyDescent="0.25">
      <c r="A113880"/>
      <c r="B113880"/>
      <c r="C113880"/>
      <c r="E113880"/>
      <c r="F113880"/>
    </row>
    <row r="113881" spans="1:6" x14ac:dyDescent="0.25">
      <c r="A113881"/>
      <c r="B113881"/>
      <c r="C113881"/>
      <c r="E113881"/>
      <c r="F113881"/>
    </row>
    <row r="113882" spans="1:6" x14ac:dyDescent="0.25">
      <c r="A113882"/>
      <c r="B113882"/>
      <c r="C113882"/>
      <c r="E113882"/>
      <c r="F113882"/>
    </row>
    <row r="113883" spans="1:6" x14ac:dyDescent="0.25">
      <c r="A113883"/>
      <c r="B113883"/>
      <c r="C113883"/>
      <c r="E113883"/>
      <c r="F113883"/>
    </row>
    <row r="113884" spans="1:6" x14ac:dyDescent="0.25">
      <c r="A113884"/>
      <c r="B113884"/>
      <c r="C113884"/>
      <c r="E113884"/>
      <c r="F113884"/>
    </row>
    <row r="113885" spans="1:6" x14ac:dyDescent="0.25">
      <c r="A113885"/>
      <c r="B113885"/>
      <c r="C113885"/>
      <c r="E113885"/>
      <c r="F113885"/>
    </row>
    <row r="113886" spans="1:6" x14ac:dyDescent="0.25">
      <c r="A113886"/>
      <c r="B113886"/>
      <c r="C113886"/>
      <c r="E113886"/>
      <c r="F113886"/>
    </row>
    <row r="113887" spans="1:6" x14ac:dyDescent="0.25">
      <c r="A113887"/>
      <c r="B113887"/>
      <c r="C113887"/>
      <c r="E113887"/>
      <c r="F113887"/>
    </row>
    <row r="113888" spans="1:6" x14ac:dyDescent="0.25">
      <c r="A113888"/>
      <c r="B113888"/>
      <c r="C113888"/>
      <c r="E113888"/>
      <c r="F113888"/>
    </row>
    <row r="113889" spans="1:6" x14ac:dyDescent="0.25">
      <c r="A113889"/>
      <c r="B113889"/>
      <c r="C113889"/>
      <c r="E113889"/>
      <c r="F113889"/>
    </row>
    <row r="113890" spans="1:6" x14ac:dyDescent="0.25">
      <c r="A113890"/>
      <c r="B113890"/>
      <c r="C113890"/>
      <c r="E113890"/>
      <c r="F113890"/>
    </row>
    <row r="113891" spans="1:6" x14ac:dyDescent="0.25">
      <c r="A113891"/>
      <c r="B113891"/>
      <c r="C113891"/>
      <c r="E113891"/>
      <c r="F113891"/>
    </row>
    <row r="113892" spans="1:6" x14ac:dyDescent="0.25">
      <c r="A113892"/>
      <c r="B113892"/>
      <c r="C113892"/>
      <c r="E113892"/>
      <c r="F113892"/>
    </row>
    <row r="113893" spans="1:6" x14ac:dyDescent="0.25">
      <c r="A113893"/>
      <c r="B113893"/>
      <c r="C113893"/>
      <c r="E113893"/>
      <c r="F113893"/>
    </row>
    <row r="113894" spans="1:6" x14ac:dyDescent="0.25">
      <c r="A113894"/>
      <c r="B113894"/>
      <c r="C113894"/>
      <c r="E113894"/>
      <c r="F113894"/>
    </row>
    <row r="113895" spans="1:6" x14ac:dyDescent="0.25">
      <c r="A113895"/>
      <c r="B113895"/>
      <c r="C113895"/>
      <c r="E113895"/>
      <c r="F113895"/>
    </row>
    <row r="113896" spans="1:6" x14ac:dyDescent="0.25">
      <c r="A113896"/>
      <c r="B113896"/>
      <c r="C113896"/>
      <c r="E113896"/>
      <c r="F113896"/>
    </row>
    <row r="113897" spans="1:6" x14ac:dyDescent="0.25">
      <c r="A113897"/>
      <c r="B113897"/>
      <c r="C113897"/>
      <c r="E113897"/>
      <c r="F113897"/>
    </row>
    <row r="113898" spans="1:6" x14ac:dyDescent="0.25">
      <c r="A113898"/>
      <c r="B113898"/>
      <c r="C113898"/>
      <c r="E113898"/>
      <c r="F113898"/>
    </row>
    <row r="113899" spans="1:6" x14ac:dyDescent="0.25">
      <c r="A113899"/>
      <c r="B113899"/>
      <c r="C113899"/>
      <c r="E113899"/>
      <c r="F113899"/>
    </row>
    <row r="113900" spans="1:6" x14ac:dyDescent="0.25">
      <c r="A113900"/>
      <c r="B113900"/>
      <c r="C113900"/>
      <c r="E113900"/>
      <c r="F113900"/>
    </row>
    <row r="113901" spans="1:6" x14ac:dyDescent="0.25">
      <c r="A113901"/>
      <c r="B113901"/>
      <c r="C113901"/>
      <c r="E113901"/>
      <c r="F113901"/>
    </row>
    <row r="113902" spans="1:6" x14ac:dyDescent="0.25">
      <c r="A113902"/>
      <c r="B113902"/>
      <c r="C113902"/>
      <c r="E113902"/>
      <c r="F113902"/>
    </row>
    <row r="113903" spans="1:6" x14ac:dyDescent="0.25">
      <c r="A113903"/>
      <c r="B113903"/>
      <c r="C113903"/>
      <c r="E113903"/>
      <c r="F113903"/>
    </row>
    <row r="113904" spans="1:6" x14ac:dyDescent="0.25">
      <c r="A113904"/>
      <c r="B113904"/>
      <c r="C113904"/>
      <c r="E113904"/>
      <c r="F113904"/>
    </row>
    <row r="113905" spans="1:6" x14ac:dyDescent="0.25">
      <c r="A113905"/>
      <c r="B113905"/>
      <c r="C113905"/>
      <c r="E113905"/>
      <c r="F113905"/>
    </row>
    <row r="113906" spans="1:6" x14ac:dyDescent="0.25">
      <c r="A113906"/>
      <c r="B113906"/>
      <c r="C113906"/>
      <c r="E113906"/>
      <c r="F113906"/>
    </row>
    <row r="113907" spans="1:6" x14ac:dyDescent="0.25">
      <c r="A113907"/>
      <c r="B113907"/>
      <c r="C113907"/>
      <c r="E113907"/>
      <c r="F113907"/>
    </row>
    <row r="113908" spans="1:6" x14ac:dyDescent="0.25">
      <c r="A113908"/>
      <c r="B113908"/>
      <c r="C113908"/>
      <c r="E113908"/>
      <c r="F113908"/>
    </row>
    <row r="113909" spans="1:6" x14ac:dyDescent="0.25">
      <c r="A113909"/>
      <c r="B113909"/>
      <c r="C113909"/>
      <c r="E113909"/>
      <c r="F113909"/>
    </row>
    <row r="113910" spans="1:6" x14ac:dyDescent="0.25">
      <c r="A113910"/>
      <c r="B113910"/>
      <c r="C113910"/>
      <c r="E113910"/>
      <c r="F113910"/>
    </row>
    <row r="113911" spans="1:6" x14ac:dyDescent="0.25">
      <c r="A113911"/>
      <c r="B113911"/>
      <c r="C113911"/>
      <c r="E113911"/>
      <c r="F113911"/>
    </row>
    <row r="113912" spans="1:6" x14ac:dyDescent="0.25">
      <c r="A113912"/>
      <c r="B113912"/>
      <c r="C113912"/>
      <c r="E113912"/>
      <c r="F113912"/>
    </row>
    <row r="113913" spans="1:6" x14ac:dyDescent="0.25">
      <c r="A113913"/>
      <c r="B113913"/>
      <c r="C113913"/>
      <c r="E113913"/>
      <c r="F113913"/>
    </row>
    <row r="113914" spans="1:6" x14ac:dyDescent="0.25">
      <c r="A113914"/>
      <c r="B113914"/>
      <c r="C113914"/>
      <c r="E113914"/>
      <c r="F113914"/>
    </row>
    <row r="113915" spans="1:6" x14ac:dyDescent="0.25">
      <c r="A113915"/>
      <c r="B113915"/>
      <c r="C113915"/>
      <c r="E113915"/>
      <c r="F113915"/>
    </row>
    <row r="113916" spans="1:6" x14ac:dyDescent="0.25">
      <c r="A113916"/>
      <c r="B113916"/>
      <c r="C113916"/>
      <c r="E113916"/>
      <c r="F113916"/>
    </row>
    <row r="113917" spans="1:6" x14ac:dyDescent="0.25">
      <c r="A113917"/>
      <c r="B113917"/>
      <c r="C113917"/>
      <c r="E113917"/>
      <c r="F113917"/>
    </row>
    <row r="113918" spans="1:6" x14ac:dyDescent="0.25">
      <c r="A113918"/>
      <c r="B113918"/>
      <c r="C113918"/>
      <c r="E113918"/>
      <c r="F113918"/>
    </row>
    <row r="113919" spans="1:6" x14ac:dyDescent="0.25">
      <c r="A113919"/>
      <c r="B113919"/>
      <c r="C113919"/>
      <c r="E113919"/>
      <c r="F113919"/>
    </row>
    <row r="113920" spans="1:6" x14ac:dyDescent="0.25">
      <c r="A113920"/>
      <c r="B113920"/>
      <c r="C113920"/>
      <c r="E113920"/>
      <c r="F113920"/>
    </row>
    <row r="113921" spans="1:6" x14ac:dyDescent="0.25">
      <c r="A113921"/>
      <c r="B113921"/>
      <c r="C113921"/>
      <c r="E113921"/>
      <c r="F113921"/>
    </row>
    <row r="113922" spans="1:6" x14ac:dyDescent="0.25">
      <c r="A113922"/>
      <c r="B113922"/>
      <c r="C113922"/>
      <c r="E113922"/>
      <c r="F113922"/>
    </row>
    <row r="113923" spans="1:6" x14ac:dyDescent="0.25">
      <c r="A113923"/>
      <c r="B113923"/>
      <c r="C113923"/>
      <c r="E113923"/>
      <c r="F113923"/>
    </row>
    <row r="113924" spans="1:6" x14ac:dyDescent="0.25">
      <c r="A113924"/>
      <c r="B113924"/>
      <c r="C113924"/>
      <c r="E113924"/>
      <c r="F113924"/>
    </row>
    <row r="113925" spans="1:6" x14ac:dyDescent="0.25">
      <c r="A113925"/>
      <c r="B113925"/>
      <c r="C113925"/>
      <c r="E113925"/>
      <c r="F113925"/>
    </row>
    <row r="113926" spans="1:6" x14ac:dyDescent="0.25">
      <c r="A113926"/>
      <c r="B113926"/>
      <c r="C113926"/>
      <c r="E113926"/>
      <c r="F113926"/>
    </row>
    <row r="113927" spans="1:6" x14ac:dyDescent="0.25">
      <c r="A113927"/>
      <c r="B113927"/>
      <c r="C113927"/>
      <c r="E113927"/>
      <c r="F113927"/>
    </row>
    <row r="113928" spans="1:6" x14ac:dyDescent="0.25">
      <c r="A113928"/>
      <c r="B113928"/>
      <c r="C113928"/>
      <c r="E113928"/>
      <c r="F113928"/>
    </row>
    <row r="113929" spans="1:6" x14ac:dyDescent="0.25">
      <c r="A113929"/>
      <c r="B113929"/>
      <c r="C113929"/>
      <c r="E113929"/>
      <c r="F113929"/>
    </row>
    <row r="113930" spans="1:6" x14ac:dyDescent="0.25">
      <c r="A113930"/>
      <c r="B113930"/>
      <c r="C113930"/>
      <c r="E113930"/>
      <c r="F113930"/>
    </row>
    <row r="113931" spans="1:6" x14ac:dyDescent="0.25">
      <c r="A113931"/>
      <c r="B113931"/>
      <c r="C113931"/>
      <c r="E113931"/>
      <c r="F113931"/>
    </row>
    <row r="113932" spans="1:6" x14ac:dyDescent="0.25">
      <c r="A113932"/>
      <c r="B113932"/>
      <c r="C113932"/>
      <c r="E113932"/>
      <c r="F113932"/>
    </row>
    <row r="113933" spans="1:6" x14ac:dyDescent="0.25">
      <c r="A113933"/>
      <c r="B113933"/>
      <c r="C113933"/>
      <c r="E113933"/>
      <c r="F113933"/>
    </row>
    <row r="113934" spans="1:6" x14ac:dyDescent="0.25">
      <c r="A113934"/>
      <c r="B113934"/>
      <c r="C113934"/>
      <c r="E113934"/>
      <c r="F113934"/>
    </row>
    <row r="113935" spans="1:6" x14ac:dyDescent="0.25">
      <c r="A113935"/>
      <c r="B113935"/>
      <c r="C113935"/>
      <c r="E113935"/>
      <c r="F113935"/>
    </row>
    <row r="113936" spans="1:6" x14ac:dyDescent="0.25">
      <c r="A113936"/>
      <c r="B113936"/>
      <c r="C113936"/>
      <c r="E113936"/>
      <c r="F113936"/>
    </row>
    <row r="113937" spans="1:6" x14ac:dyDescent="0.25">
      <c r="A113937"/>
      <c r="B113937"/>
      <c r="C113937"/>
      <c r="E113937"/>
      <c r="F113937"/>
    </row>
    <row r="113938" spans="1:6" x14ac:dyDescent="0.25">
      <c r="A113938"/>
      <c r="B113938"/>
      <c r="C113938"/>
      <c r="E113938"/>
      <c r="F113938"/>
    </row>
    <row r="113939" spans="1:6" x14ac:dyDescent="0.25">
      <c r="A113939"/>
      <c r="B113939"/>
      <c r="C113939"/>
      <c r="E113939"/>
      <c r="F113939"/>
    </row>
    <row r="113940" spans="1:6" x14ac:dyDescent="0.25">
      <c r="A113940"/>
      <c r="B113940"/>
      <c r="C113940"/>
      <c r="E113940"/>
      <c r="F113940"/>
    </row>
    <row r="113941" spans="1:6" x14ac:dyDescent="0.25">
      <c r="A113941"/>
      <c r="B113941"/>
      <c r="C113941"/>
      <c r="E113941"/>
      <c r="F113941"/>
    </row>
    <row r="113942" spans="1:6" x14ac:dyDescent="0.25">
      <c r="A113942"/>
      <c r="B113942"/>
      <c r="C113942"/>
      <c r="E113942"/>
      <c r="F113942"/>
    </row>
    <row r="113943" spans="1:6" x14ac:dyDescent="0.25">
      <c r="A113943"/>
      <c r="B113943"/>
      <c r="C113943"/>
      <c r="E113943"/>
      <c r="F113943"/>
    </row>
    <row r="113944" spans="1:6" x14ac:dyDescent="0.25">
      <c r="A113944"/>
      <c r="B113944"/>
      <c r="C113944"/>
      <c r="E113944"/>
      <c r="F113944"/>
    </row>
    <row r="113945" spans="1:6" x14ac:dyDescent="0.25">
      <c r="A113945"/>
      <c r="B113945"/>
      <c r="C113945"/>
      <c r="E113945"/>
      <c r="F113945"/>
    </row>
    <row r="113946" spans="1:6" x14ac:dyDescent="0.25">
      <c r="A113946"/>
      <c r="B113946"/>
      <c r="C113946"/>
      <c r="E113946"/>
      <c r="F113946"/>
    </row>
    <row r="113947" spans="1:6" x14ac:dyDescent="0.25">
      <c r="A113947"/>
      <c r="B113947"/>
      <c r="C113947"/>
      <c r="E113947"/>
      <c r="F113947"/>
    </row>
    <row r="113948" spans="1:6" x14ac:dyDescent="0.25">
      <c r="A113948"/>
      <c r="B113948"/>
      <c r="C113948"/>
      <c r="E113948"/>
      <c r="F113948"/>
    </row>
    <row r="113949" spans="1:6" x14ac:dyDescent="0.25">
      <c r="A113949"/>
      <c r="B113949"/>
      <c r="C113949"/>
      <c r="E113949"/>
      <c r="F113949"/>
    </row>
    <row r="113950" spans="1:6" x14ac:dyDescent="0.25">
      <c r="A113950"/>
      <c r="B113950"/>
      <c r="C113950"/>
      <c r="E113950"/>
      <c r="F113950"/>
    </row>
    <row r="113951" spans="1:6" x14ac:dyDescent="0.25">
      <c r="A113951"/>
      <c r="B113951"/>
      <c r="C113951"/>
      <c r="E113951"/>
      <c r="F113951"/>
    </row>
    <row r="113952" spans="1:6" x14ac:dyDescent="0.25">
      <c r="A113952"/>
      <c r="B113952"/>
      <c r="C113952"/>
      <c r="E113952"/>
      <c r="F113952"/>
    </row>
    <row r="113953" spans="1:6" x14ac:dyDescent="0.25">
      <c r="A113953"/>
      <c r="B113953"/>
      <c r="C113953"/>
      <c r="E113953"/>
      <c r="F113953"/>
    </row>
    <row r="113954" spans="1:6" x14ac:dyDescent="0.25">
      <c r="A113954"/>
      <c r="B113954"/>
      <c r="C113954"/>
      <c r="E113954"/>
      <c r="F113954"/>
    </row>
    <row r="113955" spans="1:6" x14ac:dyDescent="0.25">
      <c r="A113955"/>
      <c r="B113955"/>
      <c r="C113955"/>
      <c r="E113955"/>
      <c r="F113955"/>
    </row>
    <row r="113956" spans="1:6" x14ac:dyDescent="0.25">
      <c r="A113956"/>
      <c r="B113956"/>
      <c r="C113956"/>
      <c r="E113956"/>
      <c r="F113956"/>
    </row>
    <row r="113957" spans="1:6" x14ac:dyDescent="0.25">
      <c r="A113957"/>
      <c r="B113957"/>
      <c r="C113957"/>
      <c r="E113957"/>
      <c r="F113957"/>
    </row>
    <row r="113958" spans="1:6" x14ac:dyDescent="0.25">
      <c r="A113958"/>
      <c r="B113958"/>
      <c r="C113958"/>
      <c r="E113958"/>
      <c r="F113958"/>
    </row>
    <row r="113959" spans="1:6" x14ac:dyDescent="0.25">
      <c r="A113959"/>
      <c r="B113959"/>
      <c r="C113959"/>
      <c r="E113959"/>
      <c r="F113959"/>
    </row>
    <row r="113960" spans="1:6" x14ac:dyDescent="0.25">
      <c r="A113960"/>
      <c r="B113960"/>
      <c r="C113960"/>
      <c r="E113960"/>
      <c r="F113960"/>
    </row>
    <row r="113961" spans="1:6" x14ac:dyDescent="0.25">
      <c r="A113961"/>
      <c r="B113961"/>
      <c r="C113961"/>
      <c r="E113961"/>
      <c r="F113961"/>
    </row>
    <row r="113962" spans="1:6" x14ac:dyDescent="0.25">
      <c r="A113962"/>
      <c r="B113962"/>
      <c r="C113962"/>
      <c r="E113962"/>
      <c r="F113962"/>
    </row>
    <row r="113963" spans="1:6" x14ac:dyDescent="0.25">
      <c r="A113963"/>
      <c r="B113963"/>
      <c r="C113963"/>
      <c r="E113963"/>
      <c r="F113963"/>
    </row>
    <row r="113964" spans="1:6" x14ac:dyDescent="0.25">
      <c r="A113964"/>
      <c r="B113964"/>
      <c r="C113964"/>
      <c r="E113964"/>
      <c r="F113964"/>
    </row>
    <row r="113965" spans="1:6" x14ac:dyDescent="0.25">
      <c r="A113965"/>
      <c r="B113965"/>
      <c r="C113965"/>
      <c r="E113965"/>
      <c r="F113965"/>
    </row>
    <row r="113966" spans="1:6" x14ac:dyDescent="0.25">
      <c r="A113966"/>
      <c r="B113966"/>
      <c r="C113966"/>
      <c r="E113966"/>
      <c r="F113966"/>
    </row>
    <row r="113967" spans="1:6" x14ac:dyDescent="0.25">
      <c r="A113967"/>
      <c r="B113967"/>
      <c r="C113967"/>
      <c r="E113967"/>
      <c r="F113967"/>
    </row>
    <row r="113968" spans="1:6" x14ac:dyDescent="0.25">
      <c r="A113968"/>
      <c r="B113968"/>
      <c r="C113968"/>
      <c r="E113968"/>
      <c r="F113968"/>
    </row>
    <row r="113969" spans="1:6" x14ac:dyDescent="0.25">
      <c r="A113969"/>
      <c r="B113969"/>
      <c r="C113969"/>
      <c r="E113969"/>
      <c r="F113969"/>
    </row>
    <row r="113970" spans="1:6" x14ac:dyDescent="0.25">
      <c r="A113970"/>
      <c r="B113970"/>
      <c r="C113970"/>
      <c r="E113970"/>
      <c r="F113970"/>
    </row>
    <row r="113971" spans="1:6" x14ac:dyDescent="0.25">
      <c r="A113971"/>
      <c r="B113971"/>
      <c r="C113971"/>
      <c r="E113971"/>
      <c r="F113971"/>
    </row>
    <row r="113972" spans="1:6" x14ac:dyDescent="0.25">
      <c r="A113972"/>
      <c r="B113972"/>
      <c r="C113972"/>
      <c r="E113972"/>
      <c r="F113972"/>
    </row>
    <row r="113973" spans="1:6" x14ac:dyDescent="0.25">
      <c r="A113973"/>
      <c r="B113973"/>
      <c r="C113973"/>
      <c r="E113973"/>
      <c r="F113973"/>
    </row>
    <row r="113974" spans="1:6" x14ac:dyDescent="0.25">
      <c r="A113974"/>
      <c r="B113974"/>
      <c r="C113974"/>
      <c r="E113974"/>
      <c r="F113974"/>
    </row>
    <row r="113975" spans="1:6" x14ac:dyDescent="0.25">
      <c r="A113975"/>
      <c r="B113975"/>
      <c r="C113975"/>
      <c r="E113975"/>
      <c r="F113975"/>
    </row>
    <row r="113976" spans="1:6" x14ac:dyDescent="0.25">
      <c r="A113976"/>
      <c r="B113976"/>
      <c r="C113976"/>
      <c r="E113976"/>
      <c r="F113976"/>
    </row>
    <row r="113977" spans="1:6" x14ac:dyDescent="0.25">
      <c r="A113977"/>
      <c r="B113977"/>
      <c r="C113977"/>
      <c r="E113977"/>
      <c r="F113977"/>
    </row>
    <row r="113978" spans="1:6" x14ac:dyDescent="0.25">
      <c r="A113978"/>
      <c r="B113978"/>
      <c r="C113978"/>
      <c r="E113978"/>
      <c r="F113978"/>
    </row>
    <row r="113979" spans="1:6" x14ac:dyDescent="0.25">
      <c r="A113979"/>
      <c r="B113979"/>
      <c r="C113979"/>
      <c r="E113979"/>
      <c r="F113979"/>
    </row>
    <row r="113980" spans="1:6" x14ac:dyDescent="0.25">
      <c r="A113980"/>
      <c r="B113980"/>
      <c r="C113980"/>
      <c r="E113980"/>
      <c r="F113980"/>
    </row>
    <row r="113981" spans="1:6" x14ac:dyDescent="0.25">
      <c r="A113981"/>
      <c r="B113981"/>
      <c r="C113981"/>
      <c r="E113981"/>
      <c r="F113981"/>
    </row>
    <row r="113982" spans="1:6" x14ac:dyDescent="0.25">
      <c r="A113982"/>
      <c r="B113982"/>
      <c r="C113982"/>
      <c r="E113982"/>
      <c r="F113982"/>
    </row>
    <row r="113983" spans="1:6" x14ac:dyDescent="0.25">
      <c r="A113983"/>
      <c r="B113983"/>
      <c r="C113983"/>
      <c r="E113983"/>
      <c r="F113983"/>
    </row>
    <row r="113984" spans="1:6" x14ac:dyDescent="0.25">
      <c r="A113984"/>
      <c r="B113984"/>
      <c r="C113984"/>
      <c r="E113984"/>
      <c r="F113984"/>
    </row>
    <row r="113985" spans="1:6" x14ac:dyDescent="0.25">
      <c r="A113985"/>
      <c r="B113985"/>
      <c r="C113985"/>
      <c r="E113985"/>
      <c r="F113985"/>
    </row>
    <row r="113986" spans="1:6" x14ac:dyDescent="0.25">
      <c r="A113986"/>
      <c r="B113986"/>
      <c r="C113986"/>
      <c r="E113986"/>
      <c r="F113986"/>
    </row>
    <row r="113987" spans="1:6" x14ac:dyDescent="0.25">
      <c r="A113987"/>
      <c r="B113987"/>
      <c r="C113987"/>
      <c r="E113987"/>
      <c r="F113987"/>
    </row>
    <row r="113988" spans="1:6" x14ac:dyDescent="0.25">
      <c r="A113988"/>
      <c r="B113988"/>
      <c r="C113988"/>
      <c r="E113988"/>
      <c r="F113988"/>
    </row>
    <row r="113989" spans="1:6" x14ac:dyDescent="0.25">
      <c r="A113989"/>
      <c r="B113989"/>
      <c r="C113989"/>
      <c r="E113989"/>
      <c r="F113989"/>
    </row>
    <row r="113990" spans="1:6" x14ac:dyDescent="0.25">
      <c r="A113990"/>
      <c r="B113990"/>
      <c r="C113990"/>
      <c r="E113990"/>
      <c r="F113990"/>
    </row>
    <row r="113991" spans="1:6" x14ac:dyDescent="0.25">
      <c r="A113991"/>
      <c r="B113991"/>
      <c r="C113991"/>
      <c r="E113991"/>
      <c r="F113991"/>
    </row>
    <row r="113992" spans="1:6" x14ac:dyDescent="0.25">
      <c r="A113992"/>
      <c r="B113992"/>
      <c r="C113992"/>
      <c r="E113992"/>
      <c r="F113992"/>
    </row>
    <row r="113993" spans="1:6" x14ac:dyDescent="0.25">
      <c r="A113993"/>
      <c r="B113993"/>
      <c r="C113993"/>
      <c r="E113993"/>
      <c r="F113993"/>
    </row>
    <row r="113994" spans="1:6" x14ac:dyDescent="0.25">
      <c r="A113994"/>
      <c r="B113994"/>
      <c r="C113994"/>
      <c r="E113994"/>
      <c r="F113994"/>
    </row>
    <row r="113995" spans="1:6" x14ac:dyDescent="0.25">
      <c r="A113995"/>
      <c r="B113995"/>
      <c r="C113995"/>
      <c r="E113995"/>
      <c r="F113995"/>
    </row>
    <row r="113996" spans="1:6" x14ac:dyDescent="0.25">
      <c r="A113996"/>
      <c r="B113996"/>
      <c r="C113996"/>
      <c r="E113996"/>
      <c r="F113996"/>
    </row>
    <row r="113997" spans="1:6" x14ac:dyDescent="0.25">
      <c r="A113997"/>
      <c r="B113997"/>
      <c r="C113997"/>
      <c r="E113997"/>
      <c r="F113997"/>
    </row>
    <row r="113998" spans="1:6" x14ac:dyDescent="0.25">
      <c r="A113998"/>
      <c r="B113998"/>
      <c r="C113998"/>
      <c r="E113998"/>
      <c r="F113998"/>
    </row>
    <row r="113999" spans="1:6" x14ac:dyDescent="0.25">
      <c r="A113999"/>
      <c r="B113999"/>
      <c r="C113999"/>
      <c r="E113999"/>
      <c r="F113999"/>
    </row>
    <row r="114000" spans="1:6" x14ac:dyDescent="0.25">
      <c r="A114000"/>
      <c r="B114000"/>
      <c r="C114000"/>
      <c r="E114000"/>
      <c r="F114000"/>
    </row>
    <row r="114001" spans="1:6" x14ac:dyDescent="0.25">
      <c r="A114001"/>
      <c r="B114001"/>
      <c r="C114001"/>
      <c r="E114001"/>
      <c r="F114001"/>
    </row>
    <row r="114002" spans="1:6" x14ac:dyDescent="0.25">
      <c r="A114002"/>
      <c r="B114002"/>
      <c r="C114002"/>
      <c r="E114002"/>
      <c r="F114002"/>
    </row>
    <row r="114003" spans="1:6" x14ac:dyDescent="0.25">
      <c r="A114003"/>
      <c r="B114003"/>
      <c r="C114003"/>
      <c r="E114003"/>
      <c r="F114003"/>
    </row>
    <row r="114004" spans="1:6" x14ac:dyDescent="0.25">
      <c r="A114004"/>
      <c r="B114004"/>
      <c r="C114004"/>
      <c r="E114004"/>
      <c r="F114004"/>
    </row>
    <row r="114005" spans="1:6" x14ac:dyDescent="0.25">
      <c r="A114005"/>
      <c r="B114005"/>
      <c r="C114005"/>
      <c r="E114005"/>
      <c r="F114005"/>
    </row>
    <row r="114006" spans="1:6" x14ac:dyDescent="0.25">
      <c r="A114006"/>
      <c r="B114006"/>
      <c r="C114006"/>
      <c r="E114006"/>
      <c r="F114006"/>
    </row>
    <row r="114007" spans="1:6" x14ac:dyDescent="0.25">
      <c r="A114007"/>
      <c r="B114007"/>
      <c r="C114007"/>
      <c r="E114007"/>
      <c r="F114007"/>
    </row>
    <row r="114008" spans="1:6" x14ac:dyDescent="0.25">
      <c r="A114008"/>
      <c r="B114008"/>
      <c r="C114008"/>
      <c r="E114008"/>
      <c r="F114008"/>
    </row>
    <row r="114009" spans="1:6" x14ac:dyDescent="0.25">
      <c r="A114009"/>
      <c r="B114009"/>
      <c r="C114009"/>
      <c r="E114009"/>
      <c r="F114009"/>
    </row>
    <row r="114010" spans="1:6" x14ac:dyDescent="0.25">
      <c r="A114010"/>
      <c r="B114010"/>
      <c r="C114010"/>
      <c r="E114010"/>
      <c r="F114010"/>
    </row>
    <row r="114011" spans="1:6" x14ac:dyDescent="0.25">
      <c r="A114011"/>
      <c r="B114011"/>
      <c r="C114011"/>
      <c r="E114011"/>
      <c r="F114011"/>
    </row>
    <row r="114012" spans="1:6" x14ac:dyDescent="0.25">
      <c r="A114012"/>
      <c r="B114012"/>
      <c r="C114012"/>
      <c r="E114012"/>
      <c r="F114012"/>
    </row>
    <row r="114013" spans="1:6" x14ac:dyDescent="0.25">
      <c r="A114013"/>
      <c r="B114013"/>
      <c r="C114013"/>
      <c r="E114013"/>
      <c r="F114013"/>
    </row>
    <row r="114014" spans="1:6" x14ac:dyDescent="0.25">
      <c r="A114014"/>
      <c r="B114014"/>
      <c r="C114014"/>
      <c r="E114014"/>
      <c r="F114014"/>
    </row>
    <row r="114015" spans="1:6" x14ac:dyDescent="0.25">
      <c r="A114015"/>
      <c r="B114015"/>
      <c r="C114015"/>
      <c r="E114015"/>
      <c r="F114015"/>
    </row>
    <row r="114016" spans="1:6" x14ac:dyDescent="0.25">
      <c r="A114016"/>
      <c r="B114016"/>
      <c r="C114016"/>
      <c r="E114016"/>
      <c r="F114016"/>
    </row>
    <row r="114017" spans="1:6" x14ac:dyDescent="0.25">
      <c r="A114017"/>
      <c r="B114017"/>
      <c r="C114017"/>
      <c r="E114017"/>
      <c r="F114017"/>
    </row>
    <row r="114018" spans="1:6" x14ac:dyDescent="0.25">
      <c r="A114018"/>
      <c r="B114018"/>
      <c r="C114018"/>
      <c r="E114018"/>
      <c r="F114018"/>
    </row>
    <row r="114019" spans="1:6" x14ac:dyDescent="0.25">
      <c r="A114019"/>
      <c r="B114019"/>
      <c r="C114019"/>
      <c r="E114019"/>
      <c r="F114019"/>
    </row>
    <row r="114020" spans="1:6" x14ac:dyDescent="0.25">
      <c r="A114020"/>
      <c r="B114020"/>
      <c r="C114020"/>
      <c r="E114020"/>
      <c r="F114020"/>
    </row>
    <row r="114021" spans="1:6" x14ac:dyDescent="0.25">
      <c r="A114021"/>
      <c r="B114021"/>
      <c r="C114021"/>
      <c r="E114021"/>
      <c r="F114021"/>
    </row>
    <row r="114022" spans="1:6" x14ac:dyDescent="0.25">
      <c r="A114022"/>
      <c r="B114022"/>
      <c r="C114022"/>
      <c r="E114022"/>
      <c r="F114022"/>
    </row>
    <row r="114023" spans="1:6" x14ac:dyDescent="0.25">
      <c r="A114023"/>
      <c r="B114023"/>
      <c r="C114023"/>
      <c r="E114023"/>
      <c r="F114023"/>
    </row>
    <row r="114024" spans="1:6" x14ac:dyDescent="0.25">
      <c r="A114024"/>
      <c r="B114024"/>
      <c r="C114024"/>
      <c r="E114024"/>
      <c r="F114024"/>
    </row>
    <row r="114025" spans="1:6" x14ac:dyDescent="0.25">
      <c r="A114025"/>
      <c r="B114025"/>
      <c r="C114025"/>
      <c r="E114025"/>
      <c r="F114025"/>
    </row>
    <row r="114026" spans="1:6" x14ac:dyDescent="0.25">
      <c r="A114026"/>
      <c r="B114026"/>
      <c r="C114026"/>
      <c r="E114026"/>
      <c r="F114026"/>
    </row>
    <row r="114027" spans="1:6" x14ac:dyDescent="0.25">
      <c r="A114027"/>
      <c r="B114027"/>
      <c r="C114027"/>
      <c r="E114027"/>
      <c r="F114027"/>
    </row>
    <row r="114028" spans="1:6" x14ac:dyDescent="0.25">
      <c r="A114028"/>
      <c r="B114028"/>
      <c r="C114028"/>
      <c r="E114028"/>
      <c r="F114028"/>
    </row>
    <row r="114029" spans="1:6" x14ac:dyDescent="0.25">
      <c r="A114029"/>
      <c r="B114029"/>
      <c r="C114029"/>
      <c r="E114029"/>
      <c r="F114029"/>
    </row>
    <row r="114030" spans="1:6" x14ac:dyDescent="0.25">
      <c r="A114030"/>
      <c r="B114030"/>
      <c r="C114030"/>
      <c r="E114030"/>
      <c r="F114030"/>
    </row>
    <row r="114031" spans="1:6" x14ac:dyDescent="0.25">
      <c r="A114031"/>
      <c r="B114031"/>
      <c r="C114031"/>
      <c r="E114031"/>
      <c r="F114031"/>
    </row>
    <row r="114032" spans="1:6" x14ac:dyDescent="0.25">
      <c r="A114032"/>
      <c r="B114032"/>
      <c r="C114032"/>
      <c r="E114032"/>
      <c r="F114032"/>
    </row>
    <row r="114033" spans="1:6" x14ac:dyDescent="0.25">
      <c r="A114033"/>
      <c r="B114033"/>
      <c r="C114033"/>
      <c r="E114033"/>
      <c r="F114033"/>
    </row>
    <row r="114034" spans="1:6" x14ac:dyDescent="0.25">
      <c r="A114034"/>
      <c r="B114034"/>
      <c r="C114034"/>
      <c r="E114034"/>
      <c r="F114034"/>
    </row>
    <row r="114035" spans="1:6" x14ac:dyDescent="0.25">
      <c r="A114035"/>
      <c r="B114035"/>
      <c r="C114035"/>
      <c r="E114035"/>
      <c r="F114035"/>
    </row>
    <row r="114036" spans="1:6" x14ac:dyDescent="0.25">
      <c r="A114036"/>
      <c r="B114036"/>
      <c r="C114036"/>
      <c r="E114036"/>
      <c r="F114036"/>
    </row>
    <row r="114037" spans="1:6" x14ac:dyDescent="0.25">
      <c r="A114037"/>
      <c r="B114037"/>
      <c r="C114037"/>
      <c r="E114037"/>
      <c r="F114037"/>
    </row>
    <row r="114038" spans="1:6" x14ac:dyDescent="0.25">
      <c r="A114038"/>
      <c r="B114038"/>
      <c r="C114038"/>
      <c r="E114038"/>
      <c r="F114038"/>
    </row>
    <row r="114039" spans="1:6" x14ac:dyDescent="0.25">
      <c r="A114039"/>
      <c r="B114039"/>
      <c r="C114039"/>
      <c r="E114039"/>
      <c r="F114039"/>
    </row>
    <row r="114040" spans="1:6" x14ac:dyDescent="0.25">
      <c r="A114040"/>
      <c r="B114040"/>
      <c r="C114040"/>
      <c r="E114040"/>
      <c r="F114040"/>
    </row>
    <row r="114041" spans="1:6" x14ac:dyDescent="0.25">
      <c r="A114041"/>
      <c r="B114041"/>
      <c r="C114041"/>
      <c r="E114041"/>
      <c r="F114041"/>
    </row>
    <row r="114042" spans="1:6" x14ac:dyDescent="0.25">
      <c r="A114042"/>
      <c r="B114042"/>
      <c r="C114042"/>
      <c r="E114042"/>
      <c r="F114042"/>
    </row>
    <row r="114043" spans="1:6" x14ac:dyDescent="0.25">
      <c r="A114043"/>
      <c r="B114043"/>
      <c r="C114043"/>
      <c r="E114043"/>
      <c r="F114043"/>
    </row>
    <row r="114044" spans="1:6" x14ac:dyDescent="0.25">
      <c r="A114044"/>
      <c r="B114044"/>
      <c r="C114044"/>
      <c r="E114044"/>
      <c r="F114044"/>
    </row>
    <row r="114045" spans="1:6" x14ac:dyDescent="0.25">
      <c r="A114045"/>
      <c r="B114045"/>
      <c r="C114045"/>
      <c r="E114045"/>
      <c r="F114045"/>
    </row>
    <row r="114046" spans="1:6" x14ac:dyDescent="0.25">
      <c r="A114046"/>
      <c r="B114046"/>
      <c r="C114046"/>
      <c r="E114046"/>
      <c r="F114046"/>
    </row>
    <row r="114047" spans="1:6" x14ac:dyDescent="0.25">
      <c r="A114047"/>
      <c r="B114047"/>
      <c r="C114047"/>
      <c r="E114047"/>
      <c r="F114047"/>
    </row>
    <row r="114048" spans="1:6" x14ac:dyDescent="0.25">
      <c r="A114048"/>
      <c r="B114048"/>
      <c r="C114048"/>
      <c r="E114048"/>
      <c r="F114048"/>
    </row>
    <row r="114049" spans="1:6" x14ac:dyDescent="0.25">
      <c r="A114049"/>
      <c r="B114049"/>
      <c r="C114049"/>
      <c r="E114049"/>
      <c r="F114049"/>
    </row>
    <row r="114050" spans="1:6" x14ac:dyDescent="0.25">
      <c r="A114050"/>
      <c r="B114050"/>
      <c r="C114050"/>
      <c r="E114050"/>
      <c r="F114050"/>
    </row>
    <row r="114051" spans="1:6" x14ac:dyDescent="0.25">
      <c r="A114051"/>
      <c r="B114051"/>
      <c r="C114051"/>
      <c r="E114051"/>
      <c r="F114051"/>
    </row>
    <row r="114052" spans="1:6" x14ac:dyDescent="0.25">
      <c r="A114052"/>
      <c r="B114052"/>
      <c r="C114052"/>
      <c r="E114052"/>
      <c r="F114052"/>
    </row>
    <row r="114053" spans="1:6" x14ac:dyDescent="0.25">
      <c r="A114053"/>
      <c r="B114053"/>
      <c r="C114053"/>
      <c r="E114053"/>
      <c r="F114053"/>
    </row>
    <row r="114054" spans="1:6" x14ac:dyDescent="0.25">
      <c r="A114054"/>
      <c r="B114054"/>
      <c r="C114054"/>
      <c r="E114054"/>
      <c r="F114054"/>
    </row>
    <row r="114055" spans="1:6" x14ac:dyDescent="0.25">
      <c r="A114055"/>
      <c r="B114055"/>
      <c r="C114055"/>
      <c r="E114055"/>
      <c r="F114055"/>
    </row>
    <row r="114056" spans="1:6" x14ac:dyDescent="0.25">
      <c r="A114056"/>
      <c r="B114056"/>
      <c r="C114056"/>
      <c r="E114056"/>
      <c r="F114056"/>
    </row>
    <row r="114057" spans="1:6" x14ac:dyDescent="0.25">
      <c r="A114057"/>
      <c r="B114057"/>
      <c r="C114057"/>
      <c r="E114057"/>
      <c r="F114057"/>
    </row>
    <row r="114058" spans="1:6" x14ac:dyDescent="0.25">
      <c r="A114058"/>
      <c r="B114058"/>
      <c r="C114058"/>
      <c r="E114058"/>
      <c r="F114058"/>
    </row>
    <row r="114059" spans="1:6" x14ac:dyDescent="0.25">
      <c r="A114059"/>
      <c r="B114059"/>
      <c r="C114059"/>
      <c r="E114059"/>
      <c r="F114059"/>
    </row>
    <row r="114060" spans="1:6" x14ac:dyDescent="0.25">
      <c r="A114060"/>
      <c r="B114060"/>
      <c r="C114060"/>
      <c r="E114060"/>
      <c r="F114060"/>
    </row>
    <row r="114061" spans="1:6" x14ac:dyDescent="0.25">
      <c r="A114061"/>
      <c r="B114061"/>
      <c r="C114061"/>
      <c r="E114061"/>
      <c r="F114061"/>
    </row>
    <row r="114062" spans="1:6" x14ac:dyDescent="0.25">
      <c r="A114062"/>
      <c r="B114062"/>
      <c r="C114062"/>
      <c r="E114062"/>
      <c r="F114062"/>
    </row>
    <row r="114063" spans="1:6" x14ac:dyDescent="0.25">
      <c r="A114063"/>
      <c r="B114063"/>
      <c r="C114063"/>
      <c r="E114063"/>
      <c r="F114063"/>
    </row>
    <row r="114064" spans="1:6" x14ac:dyDescent="0.25">
      <c r="A114064"/>
      <c r="B114064"/>
      <c r="C114064"/>
      <c r="E114064"/>
      <c r="F114064"/>
    </row>
    <row r="114065" spans="1:6" x14ac:dyDescent="0.25">
      <c r="A114065"/>
      <c r="B114065"/>
      <c r="C114065"/>
      <c r="E114065"/>
      <c r="F114065"/>
    </row>
    <row r="114066" spans="1:6" x14ac:dyDescent="0.25">
      <c r="A114066"/>
      <c r="B114066"/>
      <c r="C114066"/>
      <c r="E114066"/>
      <c r="F114066"/>
    </row>
    <row r="114067" spans="1:6" x14ac:dyDescent="0.25">
      <c r="A114067"/>
      <c r="B114067"/>
      <c r="C114067"/>
      <c r="E114067"/>
      <c r="F114067"/>
    </row>
    <row r="114068" spans="1:6" x14ac:dyDescent="0.25">
      <c r="A114068"/>
      <c r="B114068"/>
      <c r="C114068"/>
      <c r="E114068"/>
      <c r="F114068"/>
    </row>
    <row r="114069" spans="1:6" x14ac:dyDescent="0.25">
      <c r="A114069"/>
      <c r="B114069"/>
      <c r="C114069"/>
      <c r="E114069"/>
      <c r="F114069"/>
    </row>
    <row r="114070" spans="1:6" x14ac:dyDescent="0.25">
      <c r="A114070"/>
      <c r="B114070"/>
      <c r="C114070"/>
      <c r="E114070"/>
      <c r="F114070"/>
    </row>
    <row r="114071" spans="1:6" x14ac:dyDescent="0.25">
      <c r="A114071"/>
      <c r="B114071"/>
      <c r="C114071"/>
      <c r="E114071"/>
      <c r="F114071"/>
    </row>
    <row r="114072" spans="1:6" x14ac:dyDescent="0.25">
      <c r="A114072"/>
      <c r="B114072"/>
      <c r="C114072"/>
      <c r="E114072"/>
      <c r="F114072"/>
    </row>
    <row r="114073" spans="1:6" x14ac:dyDescent="0.25">
      <c r="A114073"/>
      <c r="B114073"/>
      <c r="C114073"/>
      <c r="E114073"/>
      <c r="F114073"/>
    </row>
    <row r="114074" spans="1:6" x14ac:dyDescent="0.25">
      <c r="A114074"/>
      <c r="B114074"/>
      <c r="C114074"/>
      <c r="E114074"/>
      <c r="F114074"/>
    </row>
    <row r="114075" spans="1:6" x14ac:dyDescent="0.25">
      <c r="A114075"/>
      <c r="B114075"/>
      <c r="C114075"/>
      <c r="E114075"/>
      <c r="F114075"/>
    </row>
    <row r="114076" spans="1:6" x14ac:dyDescent="0.25">
      <c r="A114076"/>
      <c r="B114076"/>
      <c r="C114076"/>
      <c r="E114076"/>
      <c r="F114076"/>
    </row>
    <row r="114077" spans="1:6" x14ac:dyDescent="0.25">
      <c r="A114077"/>
      <c r="B114077"/>
      <c r="C114077"/>
      <c r="E114077"/>
      <c r="F114077"/>
    </row>
    <row r="114078" spans="1:6" x14ac:dyDescent="0.25">
      <c r="A114078"/>
      <c r="B114078"/>
      <c r="C114078"/>
      <c r="E114078"/>
      <c r="F114078"/>
    </row>
    <row r="114079" spans="1:6" x14ac:dyDescent="0.25">
      <c r="A114079"/>
      <c r="B114079"/>
      <c r="C114079"/>
      <c r="E114079"/>
      <c r="F114079"/>
    </row>
    <row r="114080" spans="1:6" x14ac:dyDescent="0.25">
      <c r="A114080"/>
      <c r="B114080"/>
      <c r="C114080"/>
      <c r="E114080"/>
      <c r="F114080"/>
    </row>
    <row r="114081" spans="1:6" x14ac:dyDescent="0.25">
      <c r="A114081"/>
      <c r="B114081"/>
      <c r="C114081"/>
      <c r="E114081"/>
      <c r="F114081"/>
    </row>
    <row r="114082" spans="1:6" x14ac:dyDescent="0.25">
      <c r="A114082"/>
      <c r="B114082"/>
      <c r="C114082"/>
      <c r="E114082"/>
      <c r="F114082"/>
    </row>
    <row r="114083" spans="1:6" x14ac:dyDescent="0.25">
      <c r="A114083"/>
      <c r="B114083"/>
      <c r="C114083"/>
      <c r="E114083"/>
      <c r="F114083"/>
    </row>
    <row r="114084" spans="1:6" x14ac:dyDescent="0.25">
      <c r="A114084"/>
      <c r="B114084"/>
      <c r="C114084"/>
      <c r="E114084"/>
      <c r="F114084"/>
    </row>
    <row r="114085" spans="1:6" x14ac:dyDescent="0.25">
      <c r="A114085"/>
      <c r="B114085"/>
      <c r="C114085"/>
      <c r="E114085"/>
      <c r="F114085"/>
    </row>
    <row r="114086" spans="1:6" x14ac:dyDescent="0.25">
      <c r="A114086"/>
      <c r="B114086"/>
      <c r="C114086"/>
      <c r="E114086"/>
      <c r="F114086"/>
    </row>
    <row r="114087" spans="1:6" x14ac:dyDescent="0.25">
      <c r="A114087"/>
      <c r="B114087"/>
      <c r="C114087"/>
      <c r="E114087"/>
      <c r="F114087"/>
    </row>
    <row r="114088" spans="1:6" x14ac:dyDescent="0.25">
      <c r="A114088"/>
      <c r="B114088"/>
      <c r="C114088"/>
      <c r="E114088"/>
      <c r="F114088"/>
    </row>
    <row r="114089" spans="1:6" x14ac:dyDescent="0.25">
      <c r="A114089"/>
      <c r="B114089"/>
      <c r="C114089"/>
      <c r="E114089"/>
      <c r="F114089"/>
    </row>
    <row r="114090" spans="1:6" x14ac:dyDescent="0.25">
      <c r="A114090"/>
      <c r="B114090"/>
      <c r="C114090"/>
      <c r="E114090"/>
      <c r="F114090"/>
    </row>
    <row r="114091" spans="1:6" x14ac:dyDescent="0.25">
      <c r="A114091"/>
      <c r="B114091"/>
      <c r="C114091"/>
      <c r="E114091"/>
      <c r="F114091"/>
    </row>
    <row r="114092" spans="1:6" x14ac:dyDescent="0.25">
      <c r="A114092"/>
      <c r="B114092"/>
      <c r="C114092"/>
      <c r="E114092"/>
      <c r="F114092"/>
    </row>
    <row r="114093" spans="1:6" x14ac:dyDescent="0.25">
      <c r="A114093"/>
      <c r="B114093"/>
      <c r="C114093"/>
      <c r="E114093"/>
      <c r="F114093"/>
    </row>
    <row r="114094" spans="1:6" x14ac:dyDescent="0.25">
      <c r="A114094"/>
      <c r="B114094"/>
      <c r="C114094"/>
      <c r="E114094"/>
      <c r="F114094"/>
    </row>
    <row r="114095" spans="1:6" x14ac:dyDescent="0.25">
      <c r="A114095"/>
      <c r="B114095"/>
      <c r="C114095"/>
      <c r="E114095"/>
      <c r="F114095"/>
    </row>
    <row r="114096" spans="1:6" x14ac:dyDescent="0.25">
      <c r="A114096"/>
      <c r="B114096"/>
      <c r="C114096"/>
      <c r="E114096"/>
      <c r="F114096"/>
    </row>
    <row r="114097" spans="1:6" x14ac:dyDescent="0.25">
      <c r="A114097"/>
      <c r="B114097"/>
      <c r="C114097"/>
      <c r="E114097"/>
      <c r="F114097"/>
    </row>
    <row r="114098" spans="1:6" x14ac:dyDescent="0.25">
      <c r="A114098"/>
      <c r="B114098"/>
      <c r="C114098"/>
      <c r="E114098"/>
      <c r="F114098"/>
    </row>
    <row r="114099" spans="1:6" x14ac:dyDescent="0.25">
      <c r="A114099"/>
      <c r="B114099"/>
      <c r="C114099"/>
      <c r="E114099"/>
      <c r="F114099"/>
    </row>
    <row r="114100" spans="1:6" x14ac:dyDescent="0.25">
      <c r="A114100"/>
      <c r="B114100"/>
      <c r="C114100"/>
      <c r="E114100"/>
      <c r="F114100"/>
    </row>
    <row r="114101" spans="1:6" x14ac:dyDescent="0.25">
      <c r="A114101"/>
      <c r="B114101"/>
      <c r="C114101"/>
      <c r="E114101"/>
      <c r="F114101"/>
    </row>
    <row r="114102" spans="1:6" x14ac:dyDescent="0.25">
      <c r="A114102"/>
      <c r="B114102"/>
      <c r="C114102"/>
      <c r="E114102"/>
      <c r="F114102"/>
    </row>
    <row r="114103" spans="1:6" x14ac:dyDescent="0.25">
      <c r="A114103"/>
      <c r="B114103"/>
      <c r="C114103"/>
      <c r="E114103"/>
      <c r="F114103"/>
    </row>
    <row r="114104" spans="1:6" x14ac:dyDescent="0.25">
      <c r="A114104"/>
      <c r="B114104"/>
      <c r="C114104"/>
      <c r="E114104"/>
      <c r="F114104"/>
    </row>
    <row r="114105" spans="1:6" x14ac:dyDescent="0.25">
      <c r="A114105"/>
      <c r="B114105"/>
      <c r="C114105"/>
      <c r="E114105"/>
      <c r="F114105"/>
    </row>
    <row r="114106" spans="1:6" x14ac:dyDescent="0.25">
      <c r="A114106"/>
      <c r="B114106"/>
      <c r="C114106"/>
      <c r="E114106"/>
      <c r="F114106"/>
    </row>
    <row r="114107" spans="1:6" x14ac:dyDescent="0.25">
      <c r="A114107"/>
      <c r="B114107"/>
      <c r="C114107"/>
      <c r="E114107"/>
      <c r="F114107"/>
    </row>
    <row r="114108" spans="1:6" x14ac:dyDescent="0.25">
      <c r="A114108"/>
      <c r="B114108"/>
      <c r="C114108"/>
      <c r="E114108"/>
      <c r="F114108"/>
    </row>
    <row r="114109" spans="1:6" x14ac:dyDescent="0.25">
      <c r="A114109"/>
      <c r="B114109"/>
      <c r="C114109"/>
      <c r="E114109"/>
      <c r="F114109"/>
    </row>
    <row r="114110" spans="1:6" x14ac:dyDescent="0.25">
      <c r="A114110"/>
      <c r="B114110"/>
      <c r="C114110"/>
      <c r="E114110"/>
      <c r="F114110"/>
    </row>
    <row r="114111" spans="1:6" x14ac:dyDescent="0.25">
      <c r="A114111"/>
      <c r="B114111"/>
      <c r="C114111"/>
      <c r="E114111"/>
      <c r="F114111"/>
    </row>
    <row r="114112" spans="1:6" x14ac:dyDescent="0.25">
      <c r="A114112"/>
      <c r="B114112"/>
      <c r="C114112"/>
      <c r="E114112"/>
      <c r="F114112"/>
    </row>
    <row r="114113" spans="1:6" x14ac:dyDescent="0.25">
      <c r="A114113"/>
      <c r="B114113"/>
      <c r="C114113"/>
      <c r="E114113"/>
      <c r="F114113"/>
    </row>
    <row r="114114" spans="1:6" x14ac:dyDescent="0.25">
      <c r="A114114"/>
      <c r="B114114"/>
      <c r="C114114"/>
      <c r="E114114"/>
      <c r="F114114"/>
    </row>
    <row r="114115" spans="1:6" x14ac:dyDescent="0.25">
      <c r="A114115"/>
      <c r="B114115"/>
      <c r="C114115"/>
      <c r="E114115"/>
      <c r="F114115"/>
    </row>
    <row r="114116" spans="1:6" x14ac:dyDescent="0.25">
      <c r="A114116"/>
      <c r="B114116"/>
      <c r="C114116"/>
      <c r="E114116"/>
      <c r="F114116"/>
    </row>
    <row r="114117" spans="1:6" x14ac:dyDescent="0.25">
      <c r="A114117"/>
      <c r="B114117"/>
      <c r="C114117"/>
      <c r="E114117"/>
      <c r="F114117"/>
    </row>
    <row r="114118" spans="1:6" x14ac:dyDescent="0.25">
      <c r="A114118"/>
      <c r="B114118"/>
      <c r="C114118"/>
      <c r="E114118"/>
      <c r="F114118"/>
    </row>
    <row r="114119" spans="1:6" x14ac:dyDescent="0.25">
      <c r="A114119"/>
      <c r="B114119"/>
      <c r="C114119"/>
      <c r="E114119"/>
      <c r="F114119"/>
    </row>
    <row r="114120" spans="1:6" x14ac:dyDescent="0.25">
      <c r="A114120"/>
      <c r="B114120"/>
      <c r="C114120"/>
      <c r="E114120"/>
      <c r="F114120"/>
    </row>
    <row r="114121" spans="1:6" x14ac:dyDescent="0.25">
      <c r="A114121"/>
      <c r="B114121"/>
      <c r="C114121"/>
      <c r="E114121"/>
      <c r="F114121"/>
    </row>
    <row r="114122" spans="1:6" x14ac:dyDescent="0.25">
      <c r="A114122"/>
      <c r="B114122"/>
      <c r="C114122"/>
      <c r="E114122"/>
      <c r="F114122"/>
    </row>
    <row r="114123" spans="1:6" x14ac:dyDescent="0.25">
      <c r="A114123"/>
      <c r="B114123"/>
      <c r="C114123"/>
      <c r="E114123"/>
      <c r="F114123"/>
    </row>
    <row r="114124" spans="1:6" x14ac:dyDescent="0.25">
      <c r="A114124"/>
      <c r="B114124"/>
      <c r="C114124"/>
      <c r="E114124"/>
      <c r="F114124"/>
    </row>
    <row r="114125" spans="1:6" x14ac:dyDescent="0.25">
      <c r="A114125"/>
      <c r="B114125"/>
      <c r="C114125"/>
      <c r="E114125"/>
      <c r="F114125"/>
    </row>
    <row r="114126" spans="1:6" x14ac:dyDescent="0.25">
      <c r="A114126"/>
      <c r="B114126"/>
      <c r="C114126"/>
      <c r="E114126"/>
      <c r="F114126"/>
    </row>
    <row r="114127" spans="1:6" x14ac:dyDescent="0.25">
      <c r="A114127"/>
      <c r="B114127"/>
      <c r="C114127"/>
      <c r="E114127"/>
      <c r="F114127"/>
    </row>
    <row r="114128" spans="1:6" x14ac:dyDescent="0.25">
      <c r="A114128"/>
      <c r="B114128"/>
      <c r="C114128"/>
      <c r="E114128"/>
      <c r="F114128"/>
    </row>
    <row r="114129" spans="1:6" x14ac:dyDescent="0.25">
      <c r="A114129"/>
      <c r="B114129"/>
      <c r="C114129"/>
      <c r="E114129"/>
      <c r="F114129"/>
    </row>
    <row r="114130" spans="1:6" x14ac:dyDescent="0.25">
      <c r="A114130"/>
      <c r="B114130"/>
      <c r="C114130"/>
      <c r="E114130"/>
      <c r="F114130"/>
    </row>
    <row r="114131" spans="1:6" x14ac:dyDescent="0.25">
      <c r="A114131"/>
      <c r="B114131"/>
      <c r="C114131"/>
      <c r="E114131"/>
      <c r="F114131"/>
    </row>
    <row r="114132" spans="1:6" x14ac:dyDescent="0.25">
      <c r="A114132"/>
      <c r="B114132"/>
      <c r="C114132"/>
      <c r="E114132"/>
      <c r="F114132"/>
    </row>
    <row r="114133" spans="1:6" x14ac:dyDescent="0.25">
      <c r="A114133"/>
      <c r="B114133"/>
      <c r="C114133"/>
      <c r="E114133"/>
      <c r="F114133"/>
    </row>
    <row r="114134" spans="1:6" x14ac:dyDescent="0.25">
      <c r="A114134"/>
      <c r="B114134"/>
      <c r="C114134"/>
      <c r="E114134"/>
      <c r="F114134"/>
    </row>
    <row r="114135" spans="1:6" x14ac:dyDescent="0.25">
      <c r="A114135"/>
      <c r="B114135"/>
      <c r="C114135"/>
      <c r="E114135"/>
      <c r="F114135"/>
    </row>
    <row r="114136" spans="1:6" x14ac:dyDescent="0.25">
      <c r="A114136"/>
      <c r="B114136"/>
      <c r="C114136"/>
      <c r="E114136"/>
      <c r="F114136"/>
    </row>
    <row r="114137" spans="1:6" x14ac:dyDescent="0.25">
      <c r="A114137"/>
      <c r="B114137"/>
      <c r="C114137"/>
      <c r="E114137"/>
      <c r="F114137"/>
    </row>
    <row r="114138" spans="1:6" x14ac:dyDescent="0.25">
      <c r="A114138"/>
      <c r="B114138"/>
      <c r="C114138"/>
      <c r="E114138"/>
      <c r="F114138"/>
    </row>
    <row r="114139" spans="1:6" x14ac:dyDescent="0.25">
      <c r="A114139"/>
      <c r="B114139"/>
      <c r="C114139"/>
      <c r="E114139"/>
      <c r="F114139"/>
    </row>
    <row r="114140" spans="1:6" x14ac:dyDescent="0.25">
      <c r="A114140"/>
      <c r="B114140"/>
      <c r="C114140"/>
      <c r="E114140"/>
      <c r="F114140"/>
    </row>
    <row r="114141" spans="1:6" x14ac:dyDescent="0.25">
      <c r="A114141"/>
      <c r="B114141"/>
      <c r="C114141"/>
      <c r="E114141"/>
      <c r="F114141"/>
    </row>
    <row r="114142" spans="1:6" x14ac:dyDescent="0.25">
      <c r="A114142"/>
      <c r="B114142"/>
      <c r="C114142"/>
      <c r="E114142"/>
      <c r="F114142"/>
    </row>
    <row r="114143" spans="1:6" x14ac:dyDescent="0.25">
      <c r="A114143"/>
      <c r="B114143"/>
      <c r="C114143"/>
      <c r="E114143"/>
      <c r="F114143"/>
    </row>
    <row r="114144" spans="1:6" x14ac:dyDescent="0.25">
      <c r="A114144"/>
      <c r="B114144"/>
      <c r="C114144"/>
      <c r="E114144"/>
      <c r="F114144"/>
    </row>
    <row r="114145" spans="1:6" x14ac:dyDescent="0.25">
      <c r="A114145"/>
      <c r="B114145"/>
      <c r="C114145"/>
      <c r="E114145"/>
      <c r="F114145"/>
    </row>
    <row r="114146" spans="1:6" x14ac:dyDescent="0.25">
      <c r="A114146"/>
      <c r="B114146"/>
      <c r="C114146"/>
      <c r="E114146"/>
      <c r="F114146"/>
    </row>
    <row r="114147" spans="1:6" x14ac:dyDescent="0.25">
      <c r="A114147"/>
      <c r="B114147"/>
      <c r="C114147"/>
      <c r="E114147"/>
      <c r="F114147"/>
    </row>
    <row r="114148" spans="1:6" x14ac:dyDescent="0.25">
      <c r="A114148"/>
      <c r="B114148"/>
      <c r="C114148"/>
      <c r="E114148"/>
      <c r="F114148"/>
    </row>
    <row r="114149" spans="1:6" x14ac:dyDescent="0.25">
      <c r="A114149"/>
      <c r="B114149"/>
      <c r="C114149"/>
      <c r="E114149"/>
      <c r="F114149"/>
    </row>
    <row r="114150" spans="1:6" x14ac:dyDescent="0.25">
      <c r="A114150"/>
      <c r="B114150"/>
      <c r="C114150"/>
      <c r="E114150"/>
      <c r="F114150"/>
    </row>
    <row r="114151" spans="1:6" x14ac:dyDescent="0.25">
      <c r="A114151"/>
      <c r="B114151"/>
      <c r="C114151"/>
      <c r="E114151"/>
      <c r="F114151"/>
    </row>
    <row r="114152" spans="1:6" x14ac:dyDescent="0.25">
      <c r="A114152"/>
      <c r="B114152"/>
      <c r="C114152"/>
      <c r="E114152"/>
      <c r="F114152"/>
    </row>
    <row r="114153" spans="1:6" x14ac:dyDescent="0.25">
      <c r="A114153"/>
      <c r="B114153"/>
      <c r="C114153"/>
      <c r="E114153"/>
      <c r="F114153"/>
    </row>
    <row r="114154" spans="1:6" x14ac:dyDescent="0.25">
      <c r="A114154"/>
      <c r="B114154"/>
      <c r="C114154"/>
      <c r="E114154"/>
      <c r="F114154"/>
    </row>
    <row r="114155" spans="1:6" x14ac:dyDescent="0.25">
      <c r="A114155"/>
      <c r="B114155"/>
      <c r="C114155"/>
      <c r="E114155"/>
      <c r="F114155"/>
    </row>
    <row r="114156" spans="1:6" x14ac:dyDescent="0.25">
      <c r="A114156"/>
      <c r="B114156"/>
      <c r="C114156"/>
      <c r="E114156"/>
      <c r="F114156"/>
    </row>
    <row r="114157" spans="1:6" x14ac:dyDescent="0.25">
      <c r="A114157"/>
      <c r="B114157"/>
      <c r="C114157"/>
      <c r="E114157"/>
      <c r="F114157"/>
    </row>
    <row r="114158" spans="1:6" x14ac:dyDescent="0.25">
      <c r="A114158"/>
      <c r="B114158"/>
      <c r="C114158"/>
      <c r="E114158"/>
      <c r="F114158"/>
    </row>
    <row r="114159" spans="1:6" x14ac:dyDescent="0.25">
      <c r="A114159"/>
      <c r="B114159"/>
      <c r="C114159"/>
      <c r="E114159"/>
      <c r="F114159"/>
    </row>
    <row r="114160" spans="1:6" x14ac:dyDescent="0.25">
      <c r="A114160"/>
      <c r="B114160"/>
      <c r="C114160"/>
      <c r="E114160"/>
      <c r="F114160"/>
    </row>
    <row r="114161" spans="1:6" x14ac:dyDescent="0.25">
      <c r="A114161"/>
      <c r="B114161"/>
      <c r="C114161"/>
      <c r="E114161"/>
      <c r="F114161"/>
    </row>
    <row r="114162" spans="1:6" x14ac:dyDescent="0.25">
      <c r="A114162"/>
      <c r="B114162"/>
      <c r="C114162"/>
      <c r="E114162"/>
      <c r="F114162"/>
    </row>
    <row r="114163" spans="1:6" x14ac:dyDescent="0.25">
      <c r="A114163"/>
      <c r="B114163"/>
      <c r="C114163"/>
      <c r="E114163"/>
      <c r="F114163"/>
    </row>
    <row r="114164" spans="1:6" x14ac:dyDescent="0.25">
      <c r="A114164"/>
      <c r="B114164"/>
      <c r="C114164"/>
      <c r="E114164"/>
      <c r="F114164"/>
    </row>
    <row r="114165" spans="1:6" x14ac:dyDescent="0.25">
      <c r="A114165"/>
      <c r="B114165"/>
      <c r="C114165"/>
      <c r="E114165"/>
      <c r="F114165"/>
    </row>
    <row r="114166" spans="1:6" x14ac:dyDescent="0.25">
      <c r="A114166"/>
      <c r="B114166"/>
      <c r="C114166"/>
      <c r="E114166"/>
      <c r="F114166"/>
    </row>
    <row r="114167" spans="1:6" x14ac:dyDescent="0.25">
      <c r="A114167"/>
      <c r="B114167"/>
      <c r="C114167"/>
      <c r="E114167"/>
      <c r="F114167"/>
    </row>
    <row r="114168" spans="1:6" x14ac:dyDescent="0.25">
      <c r="A114168"/>
      <c r="B114168"/>
      <c r="C114168"/>
      <c r="E114168"/>
      <c r="F114168"/>
    </row>
    <row r="114169" spans="1:6" x14ac:dyDescent="0.25">
      <c r="A114169"/>
      <c r="B114169"/>
      <c r="C114169"/>
      <c r="E114169"/>
      <c r="F114169"/>
    </row>
    <row r="114170" spans="1:6" x14ac:dyDescent="0.25">
      <c r="A114170"/>
      <c r="B114170"/>
      <c r="C114170"/>
      <c r="E114170"/>
      <c r="F114170"/>
    </row>
    <row r="114171" spans="1:6" x14ac:dyDescent="0.25">
      <c r="A114171"/>
      <c r="B114171"/>
      <c r="C114171"/>
      <c r="E114171"/>
      <c r="F114171"/>
    </row>
    <row r="114172" spans="1:6" x14ac:dyDescent="0.25">
      <c r="A114172"/>
      <c r="B114172"/>
      <c r="C114172"/>
      <c r="E114172"/>
      <c r="F114172"/>
    </row>
    <row r="114173" spans="1:6" x14ac:dyDescent="0.25">
      <c r="A114173"/>
      <c r="B114173"/>
      <c r="C114173"/>
      <c r="E114173"/>
      <c r="F114173"/>
    </row>
    <row r="114174" spans="1:6" x14ac:dyDescent="0.25">
      <c r="A114174"/>
      <c r="B114174"/>
      <c r="C114174"/>
      <c r="E114174"/>
      <c r="F114174"/>
    </row>
    <row r="114175" spans="1:6" x14ac:dyDescent="0.25">
      <c r="A114175"/>
      <c r="B114175"/>
      <c r="C114175"/>
      <c r="E114175"/>
      <c r="F114175"/>
    </row>
    <row r="114176" spans="1:6" x14ac:dyDescent="0.25">
      <c r="A114176"/>
      <c r="B114176"/>
      <c r="C114176"/>
      <c r="E114176"/>
      <c r="F114176"/>
    </row>
    <row r="114177" spans="1:6" x14ac:dyDescent="0.25">
      <c r="A114177"/>
      <c r="B114177"/>
      <c r="C114177"/>
      <c r="E114177"/>
      <c r="F114177"/>
    </row>
    <row r="114178" spans="1:6" x14ac:dyDescent="0.25">
      <c r="A114178"/>
      <c r="B114178"/>
      <c r="C114178"/>
      <c r="E114178"/>
      <c r="F114178"/>
    </row>
    <row r="114179" spans="1:6" x14ac:dyDescent="0.25">
      <c r="A114179"/>
      <c r="B114179"/>
      <c r="C114179"/>
      <c r="E114179"/>
      <c r="F114179"/>
    </row>
    <row r="114180" spans="1:6" x14ac:dyDescent="0.25">
      <c r="A114180"/>
      <c r="B114180"/>
      <c r="C114180"/>
      <c r="E114180"/>
      <c r="F114180"/>
    </row>
    <row r="114181" spans="1:6" x14ac:dyDescent="0.25">
      <c r="A114181"/>
      <c r="B114181"/>
      <c r="C114181"/>
      <c r="E114181"/>
      <c r="F114181"/>
    </row>
    <row r="114182" spans="1:6" x14ac:dyDescent="0.25">
      <c r="A114182"/>
      <c r="B114182"/>
      <c r="C114182"/>
      <c r="E114182"/>
      <c r="F114182"/>
    </row>
    <row r="114183" spans="1:6" x14ac:dyDescent="0.25">
      <c r="A114183"/>
      <c r="B114183"/>
      <c r="C114183"/>
      <c r="E114183"/>
      <c r="F114183"/>
    </row>
    <row r="114184" spans="1:6" x14ac:dyDescent="0.25">
      <c r="A114184"/>
      <c r="B114184"/>
      <c r="C114184"/>
      <c r="E114184"/>
      <c r="F114184"/>
    </row>
    <row r="114185" spans="1:6" x14ac:dyDescent="0.25">
      <c r="A114185"/>
      <c r="B114185"/>
      <c r="C114185"/>
      <c r="E114185"/>
      <c r="F114185"/>
    </row>
    <row r="114186" spans="1:6" x14ac:dyDescent="0.25">
      <c r="A114186"/>
      <c r="B114186"/>
      <c r="C114186"/>
      <c r="E114186"/>
      <c r="F114186"/>
    </row>
    <row r="114187" spans="1:6" x14ac:dyDescent="0.25">
      <c r="A114187"/>
      <c r="B114187"/>
      <c r="C114187"/>
      <c r="E114187"/>
      <c r="F114187"/>
    </row>
    <row r="114188" spans="1:6" x14ac:dyDescent="0.25">
      <c r="A114188"/>
      <c r="B114188"/>
      <c r="C114188"/>
      <c r="E114188"/>
      <c r="F114188"/>
    </row>
    <row r="114189" spans="1:6" x14ac:dyDescent="0.25">
      <c r="A114189"/>
      <c r="B114189"/>
      <c r="C114189"/>
      <c r="E114189"/>
      <c r="F114189"/>
    </row>
    <row r="114190" spans="1:6" x14ac:dyDescent="0.25">
      <c r="A114190"/>
      <c r="B114190"/>
      <c r="C114190"/>
      <c r="E114190"/>
      <c r="F114190"/>
    </row>
    <row r="114191" spans="1:6" x14ac:dyDescent="0.25">
      <c r="A114191"/>
      <c r="B114191"/>
      <c r="C114191"/>
      <c r="E114191"/>
      <c r="F114191"/>
    </row>
    <row r="114192" spans="1:6" x14ac:dyDescent="0.25">
      <c r="A114192"/>
      <c r="B114192"/>
      <c r="C114192"/>
      <c r="E114192"/>
      <c r="F114192"/>
    </row>
    <row r="114193" spans="1:6" x14ac:dyDescent="0.25">
      <c r="A114193"/>
      <c r="B114193"/>
      <c r="C114193"/>
      <c r="E114193"/>
      <c r="F114193"/>
    </row>
    <row r="114194" spans="1:6" x14ac:dyDescent="0.25">
      <c r="A114194"/>
      <c r="B114194"/>
      <c r="C114194"/>
      <c r="E114194"/>
      <c r="F114194"/>
    </row>
    <row r="114195" spans="1:6" x14ac:dyDescent="0.25">
      <c r="A114195"/>
      <c r="B114195"/>
      <c r="C114195"/>
      <c r="E114195"/>
      <c r="F114195"/>
    </row>
    <row r="114196" spans="1:6" x14ac:dyDescent="0.25">
      <c r="A114196"/>
      <c r="B114196"/>
      <c r="C114196"/>
      <c r="E114196"/>
      <c r="F114196"/>
    </row>
    <row r="114197" spans="1:6" x14ac:dyDescent="0.25">
      <c r="A114197"/>
      <c r="B114197"/>
      <c r="C114197"/>
      <c r="E114197"/>
      <c r="F114197"/>
    </row>
    <row r="114198" spans="1:6" x14ac:dyDescent="0.25">
      <c r="A114198"/>
      <c r="B114198"/>
      <c r="C114198"/>
      <c r="E114198"/>
      <c r="F114198"/>
    </row>
    <row r="114199" spans="1:6" x14ac:dyDescent="0.25">
      <c r="A114199"/>
      <c r="B114199"/>
      <c r="C114199"/>
      <c r="E114199"/>
      <c r="F114199"/>
    </row>
    <row r="114200" spans="1:6" x14ac:dyDescent="0.25">
      <c r="A114200"/>
      <c r="B114200"/>
      <c r="C114200"/>
      <c r="E114200"/>
      <c r="F114200"/>
    </row>
    <row r="114201" spans="1:6" x14ac:dyDescent="0.25">
      <c r="A114201"/>
      <c r="B114201"/>
      <c r="C114201"/>
      <c r="E114201"/>
      <c r="F114201"/>
    </row>
    <row r="114202" spans="1:6" x14ac:dyDescent="0.25">
      <c r="A114202"/>
      <c r="B114202"/>
      <c r="C114202"/>
      <c r="E114202"/>
      <c r="F114202"/>
    </row>
    <row r="114203" spans="1:6" x14ac:dyDescent="0.25">
      <c r="A114203"/>
      <c r="B114203"/>
      <c r="C114203"/>
      <c r="E114203"/>
      <c r="F114203"/>
    </row>
    <row r="114204" spans="1:6" x14ac:dyDescent="0.25">
      <c r="A114204"/>
      <c r="B114204"/>
      <c r="C114204"/>
      <c r="E114204"/>
      <c r="F114204"/>
    </row>
    <row r="114205" spans="1:6" x14ac:dyDescent="0.25">
      <c r="A114205"/>
      <c r="B114205"/>
      <c r="C114205"/>
      <c r="E114205"/>
      <c r="F114205"/>
    </row>
    <row r="114206" spans="1:6" x14ac:dyDescent="0.25">
      <c r="A114206"/>
      <c r="B114206"/>
      <c r="C114206"/>
      <c r="E114206"/>
      <c r="F114206"/>
    </row>
    <row r="114207" spans="1:6" x14ac:dyDescent="0.25">
      <c r="A114207"/>
      <c r="B114207"/>
      <c r="C114207"/>
      <c r="E114207"/>
      <c r="F114207"/>
    </row>
    <row r="114208" spans="1:6" x14ac:dyDescent="0.25">
      <c r="A114208"/>
      <c r="B114208"/>
      <c r="C114208"/>
      <c r="E114208"/>
      <c r="F114208"/>
    </row>
    <row r="114209" spans="1:6" x14ac:dyDescent="0.25">
      <c r="A114209"/>
      <c r="B114209"/>
      <c r="C114209"/>
      <c r="E114209"/>
      <c r="F114209"/>
    </row>
    <row r="114210" spans="1:6" x14ac:dyDescent="0.25">
      <c r="A114210"/>
      <c r="B114210"/>
      <c r="C114210"/>
      <c r="E114210"/>
      <c r="F114210"/>
    </row>
    <row r="114211" spans="1:6" x14ac:dyDescent="0.25">
      <c r="A114211"/>
      <c r="B114211"/>
      <c r="C114211"/>
      <c r="E114211"/>
      <c r="F114211"/>
    </row>
    <row r="114212" spans="1:6" x14ac:dyDescent="0.25">
      <c r="A114212"/>
      <c r="B114212"/>
      <c r="C114212"/>
      <c r="E114212"/>
      <c r="F114212"/>
    </row>
    <row r="114213" spans="1:6" x14ac:dyDescent="0.25">
      <c r="A114213"/>
      <c r="B114213"/>
      <c r="C114213"/>
      <c r="E114213"/>
      <c r="F114213"/>
    </row>
    <row r="114214" spans="1:6" x14ac:dyDescent="0.25">
      <c r="A114214"/>
      <c r="B114214"/>
      <c r="C114214"/>
      <c r="E114214"/>
      <c r="F114214"/>
    </row>
    <row r="114215" spans="1:6" x14ac:dyDescent="0.25">
      <c r="A114215"/>
      <c r="B114215"/>
      <c r="C114215"/>
      <c r="E114215"/>
      <c r="F114215"/>
    </row>
    <row r="114216" spans="1:6" x14ac:dyDescent="0.25">
      <c r="A114216"/>
      <c r="B114216"/>
      <c r="C114216"/>
      <c r="E114216"/>
      <c r="F114216"/>
    </row>
    <row r="114217" spans="1:6" x14ac:dyDescent="0.25">
      <c r="A114217"/>
      <c r="B114217"/>
      <c r="C114217"/>
      <c r="E114217"/>
      <c r="F114217"/>
    </row>
    <row r="114218" spans="1:6" x14ac:dyDescent="0.25">
      <c r="A114218"/>
      <c r="B114218"/>
      <c r="C114218"/>
      <c r="E114218"/>
      <c r="F114218"/>
    </row>
    <row r="114219" spans="1:6" x14ac:dyDescent="0.25">
      <c r="A114219"/>
      <c r="B114219"/>
      <c r="C114219"/>
      <c r="E114219"/>
      <c r="F114219"/>
    </row>
    <row r="114220" spans="1:6" x14ac:dyDescent="0.25">
      <c r="A114220"/>
      <c r="B114220"/>
      <c r="C114220"/>
      <c r="E114220"/>
      <c r="F114220"/>
    </row>
    <row r="114221" spans="1:6" x14ac:dyDescent="0.25">
      <c r="A114221"/>
      <c r="B114221"/>
      <c r="C114221"/>
      <c r="E114221"/>
      <c r="F114221"/>
    </row>
    <row r="114222" spans="1:6" x14ac:dyDescent="0.25">
      <c r="A114222"/>
      <c r="B114222"/>
      <c r="C114222"/>
      <c r="E114222"/>
      <c r="F114222"/>
    </row>
    <row r="114223" spans="1:6" x14ac:dyDescent="0.25">
      <c r="A114223"/>
      <c r="B114223"/>
      <c r="C114223"/>
      <c r="E114223"/>
      <c r="F114223"/>
    </row>
    <row r="114224" spans="1:6" x14ac:dyDescent="0.25">
      <c r="A114224"/>
      <c r="B114224"/>
      <c r="C114224"/>
      <c r="E114224"/>
      <c r="F114224"/>
    </row>
    <row r="114225" spans="1:6" x14ac:dyDescent="0.25">
      <c r="A114225"/>
      <c r="B114225"/>
      <c r="C114225"/>
      <c r="E114225"/>
      <c r="F114225"/>
    </row>
    <row r="114226" spans="1:6" x14ac:dyDescent="0.25">
      <c r="A114226"/>
      <c r="B114226"/>
      <c r="C114226"/>
      <c r="E114226"/>
      <c r="F114226"/>
    </row>
    <row r="114227" spans="1:6" x14ac:dyDescent="0.25">
      <c r="A114227"/>
      <c r="B114227"/>
      <c r="C114227"/>
      <c r="E114227"/>
      <c r="F114227"/>
    </row>
    <row r="114228" spans="1:6" x14ac:dyDescent="0.25">
      <c r="A114228"/>
      <c r="B114228"/>
      <c r="C114228"/>
      <c r="E114228"/>
      <c r="F114228"/>
    </row>
    <row r="114229" spans="1:6" x14ac:dyDescent="0.25">
      <c r="A114229"/>
      <c r="B114229"/>
      <c r="C114229"/>
      <c r="E114229"/>
      <c r="F114229"/>
    </row>
    <row r="114230" spans="1:6" x14ac:dyDescent="0.25">
      <c r="A114230"/>
      <c r="B114230"/>
      <c r="C114230"/>
      <c r="E114230"/>
      <c r="F114230"/>
    </row>
    <row r="114231" spans="1:6" x14ac:dyDescent="0.25">
      <c r="A114231"/>
      <c r="B114231"/>
      <c r="C114231"/>
      <c r="E114231"/>
      <c r="F114231"/>
    </row>
    <row r="114232" spans="1:6" x14ac:dyDescent="0.25">
      <c r="A114232"/>
      <c r="B114232"/>
      <c r="C114232"/>
      <c r="E114232"/>
      <c r="F114232"/>
    </row>
    <row r="114233" spans="1:6" x14ac:dyDescent="0.25">
      <c r="A114233"/>
      <c r="B114233"/>
      <c r="C114233"/>
      <c r="E114233"/>
      <c r="F114233"/>
    </row>
    <row r="114234" spans="1:6" x14ac:dyDescent="0.25">
      <c r="A114234"/>
      <c r="B114234"/>
      <c r="C114234"/>
      <c r="E114234"/>
      <c r="F114234"/>
    </row>
    <row r="114235" spans="1:6" x14ac:dyDescent="0.25">
      <c r="A114235"/>
      <c r="B114235"/>
      <c r="C114235"/>
      <c r="E114235"/>
      <c r="F114235"/>
    </row>
    <row r="114236" spans="1:6" x14ac:dyDescent="0.25">
      <c r="A114236"/>
      <c r="B114236"/>
      <c r="C114236"/>
      <c r="E114236"/>
      <c r="F114236"/>
    </row>
    <row r="114237" spans="1:6" x14ac:dyDescent="0.25">
      <c r="A114237"/>
      <c r="B114237"/>
      <c r="C114237"/>
      <c r="E114237"/>
      <c r="F114237"/>
    </row>
    <row r="114238" spans="1:6" x14ac:dyDescent="0.25">
      <c r="A114238"/>
      <c r="B114238"/>
      <c r="C114238"/>
      <c r="E114238"/>
      <c r="F114238"/>
    </row>
    <row r="114239" spans="1:6" x14ac:dyDescent="0.25">
      <c r="A114239"/>
      <c r="B114239"/>
      <c r="C114239"/>
      <c r="E114239"/>
      <c r="F114239"/>
    </row>
    <row r="114240" spans="1:6" x14ac:dyDescent="0.25">
      <c r="A114240"/>
      <c r="B114240"/>
      <c r="C114240"/>
      <c r="E114240"/>
      <c r="F114240"/>
    </row>
    <row r="114241" spans="1:6" x14ac:dyDescent="0.25">
      <c r="A114241"/>
      <c r="B114241"/>
      <c r="C114241"/>
      <c r="E114241"/>
      <c r="F114241"/>
    </row>
    <row r="114242" spans="1:6" x14ac:dyDescent="0.25">
      <c r="A114242"/>
      <c r="B114242"/>
      <c r="C114242"/>
      <c r="E114242"/>
      <c r="F114242"/>
    </row>
    <row r="114243" spans="1:6" x14ac:dyDescent="0.25">
      <c r="A114243"/>
      <c r="B114243"/>
      <c r="C114243"/>
      <c r="E114243"/>
      <c r="F114243"/>
    </row>
    <row r="114244" spans="1:6" x14ac:dyDescent="0.25">
      <c r="A114244"/>
      <c r="B114244"/>
      <c r="C114244"/>
      <c r="E114244"/>
      <c r="F114244"/>
    </row>
    <row r="114245" spans="1:6" x14ac:dyDescent="0.25">
      <c r="A114245"/>
      <c r="B114245"/>
      <c r="C114245"/>
      <c r="E114245"/>
      <c r="F114245"/>
    </row>
    <row r="114246" spans="1:6" x14ac:dyDescent="0.25">
      <c r="A114246"/>
      <c r="B114246"/>
      <c r="C114246"/>
      <c r="E114246"/>
      <c r="F114246"/>
    </row>
    <row r="114247" spans="1:6" x14ac:dyDescent="0.25">
      <c r="A114247"/>
      <c r="B114247"/>
      <c r="C114247"/>
      <c r="E114247"/>
      <c r="F114247"/>
    </row>
    <row r="114248" spans="1:6" x14ac:dyDescent="0.25">
      <c r="A114248"/>
      <c r="B114248"/>
      <c r="C114248"/>
      <c r="E114248"/>
      <c r="F114248"/>
    </row>
    <row r="114249" spans="1:6" x14ac:dyDescent="0.25">
      <c r="A114249"/>
      <c r="B114249"/>
      <c r="C114249"/>
      <c r="E114249"/>
      <c r="F114249"/>
    </row>
    <row r="114250" spans="1:6" x14ac:dyDescent="0.25">
      <c r="A114250"/>
      <c r="B114250"/>
      <c r="C114250"/>
      <c r="E114250"/>
      <c r="F114250"/>
    </row>
    <row r="114251" spans="1:6" x14ac:dyDescent="0.25">
      <c r="A114251"/>
      <c r="B114251"/>
      <c r="C114251"/>
      <c r="E114251"/>
      <c r="F114251"/>
    </row>
    <row r="114252" spans="1:6" x14ac:dyDescent="0.25">
      <c r="A114252"/>
      <c r="B114252"/>
      <c r="C114252"/>
      <c r="E114252"/>
      <c r="F114252"/>
    </row>
    <row r="114253" spans="1:6" x14ac:dyDescent="0.25">
      <c r="A114253"/>
      <c r="B114253"/>
      <c r="C114253"/>
      <c r="E114253"/>
      <c r="F114253"/>
    </row>
    <row r="114254" spans="1:6" x14ac:dyDescent="0.25">
      <c r="A114254"/>
      <c r="B114254"/>
      <c r="C114254"/>
      <c r="E114254"/>
      <c r="F114254"/>
    </row>
    <row r="114255" spans="1:6" x14ac:dyDescent="0.25">
      <c r="A114255"/>
      <c r="B114255"/>
      <c r="C114255"/>
      <c r="E114255"/>
      <c r="F114255"/>
    </row>
    <row r="114256" spans="1:6" x14ac:dyDescent="0.25">
      <c r="A114256"/>
      <c r="B114256"/>
      <c r="C114256"/>
      <c r="E114256"/>
      <c r="F114256"/>
    </row>
    <row r="114257" spans="1:6" x14ac:dyDescent="0.25">
      <c r="A114257"/>
      <c r="B114257"/>
      <c r="C114257"/>
      <c r="E114257"/>
      <c r="F114257"/>
    </row>
    <row r="114258" spans="1:6" x14ac:dyDescent="0.25">
      <c r="A114258"/>
      <c r="B114258"/>
      <c r="C114258"/>
      <c r="E114258"/>
      <c r="F114258"/>
    </row>
    <row r="114259" spans="1:6" x14ac:dyDescent="0.25">
      <c r="A114259"/>
      <c r="B114259"/>
      <c r="C114259"/>
      <c r="E114259"/>
      <c r="F114259"/>
    </row>
    <row r="114260" spans="1:6" x14ac:dyDescent="0.25">
      <c r="A114260"/>
      <c r="B114260"/>
      <c r="C114260"/>
      <c r="E114260"/>
      <c r="F114260"/>
    </row>
    <row r="114261" spans="1:6" x14ac:dyDescent="0.25">
      <c r="A114261"/>
      <c r="B114261"/>
      <c r="C114261"/>
      <c r="E114261"/>
      <c r="F114261"/>
    </row>
    <row r="114262" spans="1:6" x14ac:dyDescent="0.25">
      <c r="A114262"/>
      <c r="B114262"/>
      <c r="C114262"/>
      <c r="E114262"/>
      <c r="F114262"/>
    </row>
    <row r="114263" spans="1:6" x14ac:dyDescent="0.25">
      <c r="A114263"/>
      <c r="B114263"/>
      <c r="C114263"/>
      <c r="E114263"/>
      <c r="F114263"/>
    </row>
    <row r="114264" spans="1:6" x14ac:dyDescent="0.25">
      <c r="A114264"/>
      <c r="B114264"/>
      <c r="C114264"/>
      <c r="E114264"/>
      <c r="F114264"/>
    </row>
    <row r="114265" spans="1:6" x14ac:dyDescent="0.25">
      <c r="A114265"/>
      <c r="B114265"/>
      <c r="C114265"/>
      <c r="E114265"/>
      <c r="F114265"/>
    </row>
    <row r="114266" spans="1:6" x14ac:dyDescent="0.25">
      <c r="A114266"/>
      <c r="B114266"/>
      <c r="C114266"/>
      <c r="E114266"/>
      <c r="F114266"/>
    </row>
    <row r="114267" spans="1:6" x14ac:dyDescent="0.25">
      <c r="A114267"/>
      <c r="B114267"/>
      <c r="C114267"/>
      <c r="E114267"/>
      <c r="F114267"/>
    </row>
    <row r="114268" spans="1:6" x14ac:dyDescent="0.25">
      <c r="A114268"/>
      <c r="B114268"/>
      <c r="C114268"/>
      <c r="E114268"/>
      <c r="F114268"/>
    </row>
    <row r="114269" spans="1:6" x14ac:dyDescent="0.25">
      <c r="A114269"/>
      <c r="B114269"/>
      <c r="C114269"/>
      <c r="E114269"/>
      <c r="F114269"/>
    </row>
    <row r="114270" spans="1:6" x14ac:dyDescent="0.25">
      <c r="A114270"/>
      <c r="B114270"/>
      <c r="C114270"/>
      <c r="E114270"/>
      <c r="F114270"/>
    </row>
    <row r="114271" spans="1:6" x14ac:dyDescent="0.25">
      <c r="A114271"/>
      <c r="B114271"/>
      <c r="C114271"/>
      <c r="E114271"/>
      <c r="F114271"/>
    </row>
    <row r="114272" spans="1:6" x14ac:dyDescent="0.25">
      <c r="A114272"/>
      <c r="B114272"/>
      <c r="C114272"/>
      <c r="E114272"/>
      <c r="F114272"/>
    </row>
    <row r="114273" spans="1:6" x14ac:dyDescent="0.25">
      <c r="A114273"/>
      <c r="B114273"/>
      <c r="C114273"/>
      <c r="E114273"/>
      <c r="F114273"/>
    </row>
    <row r="114274" spans="1:6" x14ac:dyDescent="0.25">
      <c r="A114274"/>
      <c r="B114274"/>
      <c r="C114274"/>
      <c r="E114274"/>
      <c r="F114274"/>
    </row>
    <row r="114275" spans="1:6" x14ac:dyDescent="0.25">
      <c r="A114275"/>
      <c r="B114275"/>
      <c r="C114275"/>
      <c r="E114275"/>
      <c r="F114275"/>
    </row>
    <row r="114276" spans="1:6" x14ac:dyDescent="0.25">
      <c r="A114276"/>
      <c r="B114276"/>
      <c r="C114276"/>
      <c r="E114276"/>
      <c r="F114276"/>
    </row>
    <row r="114277" spans="1:6" x14ac:dyDescent="0.25">
      <c r="A114277"/>
      <c r="B114277"/>
      <c r="C114277"/>
      <c r="E114277"/>
      <c r="F114277"/>
    </row>
    <row r="114278" spans="1:6" x14ac:dyDescent="0.25">
      <c r="A114278"/>
      <c r="B114278"/>
      <c r="C114278"/>
      <c r="E114278"/>
      <c r="F114278"/>
    </row>
    <row r="114279" spans="1:6" x14ac:dyDescent="0.25">
      <c r="A114279"/>
      <c r="B114279"/>
      <c r="C114279"/>
      <c r="E114279"/>
      <c r="F114279"/>
    </row>
    <row r="114280" spans="1:6" x14ac:dyDescent="0.25">
      <c r="A114280"/>
      <c r="B114280"/>
      <c r="C114280"/>
      <c r="E114280"/>
      <c r="F114280"/>
    </row>
    <row r="114281" spans="1:6" x14ac:dyDescent="0.25">
      <c r="A114281"/>
      <c r="B114281"/>
      <c r="C114281"/>
      <c r="E114281"/>
      <c r="F114281"/>
    </row>
    <row r="114282" spans="1:6" x14ac:dyDescent="0.25">
      <c r="A114282"/>
      <c r="B114282"/>
      <c r="C114282"/>
      <c r="E114282"/>
      <c r="F114282"/>
    </row>
    <row r="114283" spans="1:6" x14ac:dyDescent="0.25">
      <c r="A114283"/>
      <c r="B114283"/>
      <c r="C114283"/>
      <c r="E114283"/>
      <c r="F114283"/>
    </row>
    <row r="114284" spans="1:6" x14ac:dyDescent="0.25">
      <c r="A114284"/>
      <c r="B114284"/>
      <c r="C114284"/>
      <c r="E114284"/>
      <c r="F114284"/>
    </row>
    <row r="114285" spans="1:6" x14ac:dyDescent="0.25">
      <c r="A114285"/>
      <c r="B114285"/>
      <c r="C114285"/>
      <c r="E114285"/>
      <c r="F114285"/>
    </row>
    <row r="114286" spans="1:6" x14ac:dyDescent="0.25">
      <c r="A114286"/>
      <c r="B114286"/>
      <c r="C114286"/>
      <c r="E114286"/>
      <c r="F114286"/>
    </row>
    <row r="114287" spans="1:6" x14ac:dyDescent="0.25">
      <c r="A114287"/>
      <c r="B114287"/>
      <c r="C114287"/>
      <c r="E114287"/>
      <c r="F114287"/>
    </row>
    <row r="114288" spans="1:6" x14ac:dyDescent="0.25">
      <c r="A114288"/>
      <c r="B114288"/>
      <c r="C114288"/>
      <c r="E114288"/>
      <c r="F114288"/>
    </row>
    <row r="114289" spans="1:6" x14ac:dyDescent="0.25">
      <c r="A114289"/>
      <c r="B114289"/>
      <c r="C114289"/>
      <c r="E114289"/>
      <c r="F114289"/>
    </row>
    <row r="114290" spans="1:6" x14ac:dyDescent="0.25">
      <c r="A114290"/>
      <c r="B114290"/>
      <c r="C114290"/>
      <c r="E114290"/>
      <c r="F114290"/>
    </row>
    <row r="114291" spans="1:6" x14ac:dyDescent="0.25">
      <c r="A114291"/>
      <c r="B114291"/>
      <c r="C114291"/>
      <c r="E114291"/>
      <c r="F114291"/>
    </row>
    <row r="114292" spans="1:6" x14ac:dyDescent="0.25">
      <c r="A114292"/>
      <c r="B114292"/>
      <c r="C114292"/>
      <c r="E114292"/>
      <c r="F114292"/>
    </row>
    <row r="114293" spans="1:6" x14ac:dyDescent="0.25">
      <c r="A114293"/>
      <c r="B114293"/>
      <c r="C114293"/>
      <c r="E114293"/>
      <c r="F114293"/>
    </row>
    <row r="114294" spans="1:6" x14ac:dyDescent="0.25">
      <c r="A114294"/>
      <c r="B114294"/>
      <c r="C114294"/>
      <c r="E114294"/>
      <c r="F114294"/>
    </row>
    <row r="114295" spans="1:6" x14ac:dyDescent="0.25">
      <c r="A114295"/>
      <c r="B114295"/>
      <c r="C114295"/>
      <c r="E114295"/>
      <c r="F114295"/>
    </row>
    <row r="114296" spans="1:6" x14ac:dyDescent="0.25">
      <c r="A114296"/>
      <c r="B114296"/>
      <c r="C114296"/>
      <c r="E114296"/>
      <c r="F114296"/>
    </row>
    <row r="114297" spans="1:6" x14ac:dyDescent="0.25">
      <c r="A114297"/>
      <c r="B114297"/>
      <c r="C114297"/>
      <c r="E114297"/>
      <c r="F114297"/>
    </row>
    <row r="114298" spans="1:6" x14ac:dyDescent="0.25">
      <c r="A114298"/>
      <c r="B114298"/>
      <c r="C114298"/>
      <c r="E114298"/>
      <c r="F114298"/>
    </row>
    <row r="114299" spans="1:6" x14ac:dyDescent="0.25">
      <c r="A114299"/>
      <c r="B114299"/>
      <c r="C114299"/>
      <c r="E114299"/>
      <c r="F114299"/>
    </row>
    <row r="114300" spans="1:6" x14ac:dyDescent="0.25">
      <c r="A114300"/>
      <c r="B114300"/>
      <c r="C114300"/>
      <c r="E114300"/>
      <c r="F114300"/>
    </row>
    <row r="114301" spans="1:6" x14ac:dyDescent="0.25">
      <c r="A114301"/>
      <c r="B114301"/>
      <c r="C114301"/>
      <c r="E114301"/>
      <c r="F114301"/>
    </row>
    <row r="114302" spans="1:6" x14ac:dyDescent="0.25">
      <c r="A114302"/>
      <c r="B114302"/>
      <c r="C114302"/>
      <c r="E114302"/>
      <c r="F114302"/>
    </row>
    <row r="114303" spans="1:6" x14ac:dyDescent="0.25">
      <c r="A114303"/>
      <c r="B114303"/>
      <c r="C114303"/>
      <c r="E114303"/>
      <c r="F114303"/>
    </row>
    <row r="114304" spans="1:6" x14ac:dyDescent="0.25">
      <c r="A114304"/>
      <c r="B114304"/>
      <c r="C114304"/>
      <c r="E114304"/>
      <c r="F114304"/>
    </row>
    <row r="114305" spans="1:6" x14ac:dyDescent="0.25">
      <c r="A114305"/>
      <c r="B114305"/>
      <c r="C114305"/>
      <c r="E114305"/>
      <c r="F114305"/>
    </row>
    <row r="114306" spans="1:6" x14ac:dyDescent="0.25">
      <c r="A114306"/>
      <c r="B114306"/>
      <c r="C114306"/>
      <c r="E114306"/>
      <c r="F114306"/>
    </row>
    <row r="114307" spans="1:6" x14ac:dyDescent="0.25">
      <c r="A114307"/>
      <c r="B114307"/>
      <c r="C114307"/>
      <c r="E114307"/>
      <c r="F114307"/>
    </row>
    <row r="114308" spans="1:6" x14ac:dyDescent="0.25">
      <c r="A114308"/>
      <c r="B114308"/>
      <c r="C114308"/>
      <c r="E114308"/>
      <c r="F114308"/>
    </row>
    <row r="114309" spans="1:6" x14ac:dyDescent="0.25">
      <c r="A114309"/>
      <c r="B114309"/>
      <c r="C114309"/>
      <c r="E114309"/>
      <c r="F114309"/>
    </row>
    <row r="114310" spans="1:6" x14ac:dyDescent="0.25">
      <c r="A114310"/>
      <c r="B114310"/>
      <c r="C114310"/>
      <c r="E114310"/>
      <c r="F114310"/>
    </row>
    <row r="114311" spans="1:6" x14ac:dyDescent="0.25">
      <c r="A114311"/>
      <c r="B114311"/>
      <c r="C114311"/>
      <c r="E114311"/>
      <c r="F114311"/>
    </row>
    <row r="114312" spans="1:6" x14ac:dyDescent="0.25">
      <c r="A114312"/>
      <c r="B114312"/>
      <c r="C114312"/>
      <c r="E114312"/>
      <c r="F114312"/>
    </row>
    <row r="114313" spans="1:6" x14ac:dyDescent="0.25">
      <c r="A114313"/>
      <c r="B114313"/>
      <c r="C114313"/>
      <c r="E114313"/>
      <c r="F114313"/>
    </row>
    <row r="114314" spans="1:6" x14ac:dyDescent="0.25">
      <c r="A114314"/>
      <c r="B114314"/>
      <c r="C114314"/>
      <c r="E114314"/>
      <c r="F114314"/>
    </row>
    <row r="114315" spans="1:6" x14ac:dyDescent="0.25">
      <c r="A114315"/>
      <c r="B114315"/>
      <c r="C114315"/>
      <c r="E114315"/>
      <c r="F114315"/>
    </row>
    <row r="114316" spans="1:6" x14ac:dyDescent="0.25">
      <c r="A114316"/>
      <c r="B114316"/>
      <c r="C114316"/>
      <c r="E114316"/>
      <c r="F114316"/>
    </row>
    <row r="114317" spans="1:6" x14ac:dyDescent="0.25">
      <c r="A114317"/>
      <c r="B114317"/>
      <c r="C114317"/>
      <c r="E114317"/>
      <c r="F114317"/>
    </row>
    <row r="114318" spans="1:6" x14ac:dyDescent="0.25">
      <c r="A114318"/>
      <c r="B114318"/>
      <c r="C114318"/>
      <c r="E114318"/>
      <c r="F114318"/>
    </row>
    <row r="114319" spans="1:6" x14ac:dyDescent="0.25">
      <c r="A114319"/>
      <c r="B114319"/>
      <c r="C114319"/>
      <c r="E114319"/>
      <c r="F114319"/>
    </row>
    <row r="114320" spans="1:6" x14ac:dyDescent="0.25">
      <c r="A114320"/>
      <c r="B114320"/>
      <c r="C114320"/>
      <c r="E114320"/>
      <c r="F114320"/>
    </row>
    <row r="114321" spans="1:6" x14ac:dyDescent="0.25">
      <c r="A114321"/>
      <c r="B114321"/>
      <c r="C114321"/>
      <c r="E114321"/>
      <c r="F114321"/>
    </row>
    <row r="114322" spans="1:6" x14ac:dyDescent="0.25">
      <c r="A114322"/>
      <c r="B114322"/>
      <c r="C114322"/>
      <c r="E114322"/>
      <c r="F114322"/>
    </row>
    <row r="114323" spans="1:6" x14ac:dyDescent="0.25">
      <c r="A114323"/>
      <c r="B114323"/>
      <c r="C114323"/>
      <c r="E114323"/>
      <c r="F114323"/>
    </row>
    <row r="114324" spans="1:6" x14ac:dyDescent="0.25">
      <c r="A114324"/>
      <c r="B114324"/>
      <c r="C114324"/>
      <c r="E114324"/>
      <c r="F114324"/>
    </row>
    <row r="114325" spans="1:6" x14ac:dyDescent="0.25">
      <c r="A114325"/>
      <c r="B114325"/>
      <c r="C114325"/>
      <c r="E114325"/>
      <c r="F114325"/>
    </row>
    <row r="114326" spans="1:6" x14ac:dyDescent="0.25">
      <c r="A114326"/>
      <c r="B114326"/>
      <c r="C114326"/>
      <c r="E114326"/>
      <c r="F114326"/>
    </row>
    <row r="114327" spans="1:6" x14ac:dyDescent="0.25">
      <c r="A114327"/>
      <c r="B114327"/>
      <c r="C114327"/>
      <c r="E114327"/>
      <c r="F114327"/>
    </row>
    <row r="114328" spans="1:6" x14ac:dyDescent="0.25">
      <c r="A114328"/>
      <c r="B114328"/>
      <c r="C114328"/>
      <c r="E114328"/>
      <c r="F114328"/>
    </row>
    <row r="114329" spans="1:6" x14ac:dyDescent="0.25">
      <c r="A114329"/>
      <c r="B114329"/>
      <c r="C114329"/>
      <c r="E114329"/>
      <c r="F114329"/>
    </row>
    <row r="114330" spans="1:6" x14ac:dyDescent="0.25">
      <c r="A114330"/>
      <c r="B114330"/>
      <c r="C114330"/>
      <c r="E114330"/>
      <c r="F114330"/>
    </row>
    <row r="114331" spans="1:6" x14ac:dyDescent="0.25">
      <c r="A114331"/>
      <c r="B114331"/>
      <c r="C114331"/>
      <c r="E114331"/>
      <c r="F114331"/>
    </row>
    <row r="114332" spans="1:6" x14ac:dyDescent="0.25">
      <c r="A114332"/>
      <c r="B114332"/>
      <c r="C114332"/>
      <c r="E114332"/>
      <c r="F114332"/>
    </row>
    <row r="114333" spans="1:6" x14ac:dyDescent="0.25">
      <c r="A114333"/>
      <c r="B114333"/>
      <c r="C114333"/>
      <c r="E114333"/>
      <c r="F114333"/>
    </row>
    <row r="114334" spans="1:6" x14ac:dyDescent="0.25">
      <c r="A114334"/>
      <c r="B114334"/>
      <c r="C114334"/>
      <c r="E114334"/>
      <c r="F114334"/>
    </row>
    <row r="114335" spans="1:6" x14ac:dyDescent="0.25">
      <c r="A114335"/>
      <c r="B114335"/>
      <c r="C114335"/>
      <c r="E114335"/>
      <c r="F114335"/>
    </row>
    <row r="114336" spans="1:6" x14ac:dyDescent="0.25">
      <c r="A114336"/>
      <c r="B114336"/>
      <c r="C114336"/>
      <c r="E114336"/>
      <c r="F114336"/>
    </row>
    <row r="114337" spans="1:6" x14ac:dyDescent="0.25">
      <c r="A114337"/>
      <c r="B114337"/>
      <c r="C114337"/>
      <c r="E114337"/>
      <c r="F114337"/>
    </row>
    <row r="114338" spans="1:6" x14ac:dyDescent="0.25">
      <c r="A114338"/>
      <c r="B114338"/>
      <c r="C114338"/>
      <c r="E114338"/>
      <c r="F114338"/>
    </row>
    <row r="114339" spans="1:6" x14ac:dyDescent="0.25">
      <c r="A114339"/>
      <c r="B114339"/>
      <c r="C114339"/>
      <c r="E114339"/>
      <c r="F114339"/>
    </row>
    <row r="114340" spans="1:6" x14ac:dyDescent="0.25">
      <c r="A114340"/>
      <c r="B114340"/>
      <c r="C114340"/>
      <c r="E114340"/>
      <c r="F114340"/>
    </row>
    <row r="114341" spans="1:6" x14ac:dyDescent="0.25">
      <c r="A114341"/>
      <c r="B114341"/>
      <c r="C114341"/>
      <c r="E114341"/>
      <c r="F114341"/>
    </row>
    <row r="114342" spans="1:6" x14ac:dyDescent="0.25">
      <c r="A114342"/>
      <c r="B114342"/>
      <c r="C114342"/>
      <c r="E114342"/>
      <c r="F114342"/>
    </row>
    <row r="114343" spans="1:6" x14ac:dyDescent="0.25">
      <c r="A114343"/>
      <c r="B114343"/>
      <c r="C114343"/>
      <c r="E114343"/>
      <c r="F114343"/>
    </row>
    <row r="114344" spans="1:6" x14ac:dyDescent="0.25">
      <c r="A114344"/>
      <c r="B114344"/>
      <c r="C114344"/>
      <c r="E114344"/>
      <c r="F114344"/>
    </row>
    <row r="114345" spans="1:6" x14ac:dyDescent="0.25">
      <c r="A114345"/>
      <c r="B114345"/>
      <c r="C114345"/>
      <c r="E114345"/>
      <c r="F114345"/>
    </row>
    <row r="114346" spans="1:6" x14ac:dyDescent="0.25">
      <c r="A114346"/>
      <c r="B114346"/>
      <c r="C114346"/>
      <c r="E114346"/>
      <c r="F114346"/>
    </row>
    <row r="114347" spans="1:6" x14ac:dyDescent="0.25">
      <c r="A114347"/>
      <c r="B114347"/>
      <c r="C114347"/>
      <c r="E114347"/>
      <c r="F114347"/>
    </row>
    <row r="114348" spans="1:6" x14ac:dyDescent="0.25">
      <c r="A114348"/>
      <c r="B114348"/>
      <c r="C114348"/>
      <c r="E114348"/>
      <c r="F114348"/>
    </row>
    <row r="114349" spans="1:6" x14ac:dyDescent="0.25">
      <c r="A114349"/>
      <c r="B114349"/>
      <c r="C114349"/>
      <c r="E114349"/>
      <c r="F114349"/>
    </row>
    <row r="114350" spans="1:6" x14ac:dyDescent="0.25">
      <c r="A114350"/>
      <c r="B114350"/>
      <c r="C114350"/>
      <c r="E114350"/>
      <c r="F114350"/>
    </row>
    <row r="114351" spans="1:6" x14ac:dyDescent="0.25">
      <c r="A114351"/>
      <c r="B114351"/>
      <c r="C114351"/>
      <c r="E114351"/>
      <c r="F114351"/>
    </row>
    <row r="114352" spans="1:6" x14ac:dyDescent="0.25">
      <c r="A114352"/>
      <c r="B114352"/>
      <c r="C114352"/>
      <c r="E114352"/>
      <c r="F114352"/>
    </row>
    <row r="114353" spans="1:6" x14ac:dyDescent="0.25">
      <c r="A114353"/>
      <c r="B114353"/>
      <c r="C114353"/>
      <c r="E114353"/>
      <c r="F114353"/>
    </row>
    <row r="114354" spans="1:6" x14ac:dyDescent="0.25">
      <c r="A114354"/>
      <c r="B114354"/>
      <c r="C114354"/>
      <c r="E114354"/>
      <c r="F114354"/>
    </row>
    <row r="114355" spans="1:6" x14ac:dyDescent="0.25">
      <c r="A114355"/>
      <c r="B114355"/>
      <c r="C114355"/>
      <c r="E114355"/>
      <c r="F114355"/>
    </row>
    <row r="114356" spans="1:6" x14ac:dyDescent="0.25">
      <c r="A114356"/>
      <c r="B114356"/>
      <c r="C114356"/>
      <c r="E114356"/>
      <c r="F114356"/>
    </row>
    <row r="114357" spans="1:6" x14ac:dyDescent="0.25">
      <c r="A114357"/>
      <c r="B114357"/>
      <c r="C114357"/>
      <c r="E114357"/>
      <c r="F114357"/>
    </row>
    <row r="114358" spans="1:6" x14ac:dyDescent="0.25">
      <c r="A114358"/>
      <c r="B114358"/>
      <c r="C114358"/>
      <c r="E114358"/>
      <c r="F114358"/>
    </row>
    <row r="114359" spans="1:6" x14ac:dyDescent="0.25">
      <c r="A114359"/>
      <c r="B114359"/>
      <c r="C114359"/>
      <c r="E114359"/>
      <c r="F114359"/>
    </row>
    <row r="114360" spans="1:6" x14ac:dyDescent="0.25">
      <c r="A114360"/>
      <c r="B114360"/>
      <c r="C114360"/>
      <c r="E114360"/>
      <c r="F114360"/>
    </row>
    <row r="114361" spans="1:6" x14ac:dyDescent="0.25">
      <c r="A114361"/>
      <c r="B114361"/>
      <c r="C114361"/>
      <c r="E114361"/>
      <c r="F114361"/>
    </row>
    <row r="114362" spans="1:6" x14ac:dyDescent="0.25">
      <c r="A114362"/>
      <c r="B114362"/>
      <c r="C114362"/>
      <c r="E114362"/>
      <c r="F114362"/>
    </row>
    <row r="114363" spans="1:6" x14ac:dyDescent="0.25">
      <c r="A114363"/>
      <c r="B114363"/>
      <c r="C114363"/>
      <c r="E114363"/>
      <c r="F114363"/>
    </row>
    <row r="114364" spans="1:6" x14ac:dyDescent="0.25">
      <c r="A114364"/>
      <c r="B114364"/>
      <c r="C114364"/>
      <c r="E114364"/>
      <c r="F114364"/>
    </row>
    <row r="114365" spans="1:6" x14ac:dyDescent="0.25">
      <c r="A114365"/>
      <c r="B114365"/>
      <c r="C114365"/>
      <c r="E114365"/>
      <c r="F114365"/>
    </row>
    <row r="114366" spans="1:6" x14ac:dyDescent="0.25">
      <c r="A114366"/>
      <c r="B114366"/>
      <c r="C114366"/>
      <c r="E114366"/>
      <c r="F114366"/>
    </row>
    <row r="114367" spans="1:6" x14ac:dyDescent="0.25">
      <c r="A114367"/>
      <c r="B114367"/>
      <c r="C114367"/>
      <c r="E114367"/>
      <c r="F114367"/>
    </row>
    <row r="114368" spans="1:6" x14ac:dyDescent="0.25">
      <c r="A114368"/>
      <c r="B114368"/>
      <c r="C114368"/>
      <c r="E114368"/>
      <c r="F114368"/>
    </row>
    <row r="114369" spans="1:6" x14ac:dyDescent="0.25">
      <c r="A114369"/>
      <c r="B114369"/>
      <c r="C114369"/>
      <c r="E114369"/>
      <c r="F114369"/>
    </row>
    <row r="114370" spans="1:6" x14ac:dyDescent="0.25">
      <c r="A114370"/>
      <c r="B114370"/>
      <c r="C114370"/>
      <c r="E114370"/>
      <c r="F114370"/>
    </row>
    <row r="114371" spans="1:6" x14ac:dyDescent="0.25">
      <c r="A114371"/>
      <c r="B114371"/>
      <c r="C114371"/>
      <c r="E114371"/>
      <c r="F114371"/>
    </row>
    <row r="114372" spans="1:6" x14ac:dyDescent="0.25">
      <c r="A114372"/>
      <c r="B114372"/>
      <c r="C114372"/>
      <c r="E114372"/>
      <c r="F114372"/>
    </row>
    <row r="114373" spans="1:6" x14ac:dyDescent="0.25">
      <c r="A114373"/>
      <c r="B114373"/>
      <c r="C114373"/>
      <c r="E114373"/>
      <c r="F114373"/>
    </row>
    <row r="114374" spans="1:6" x14ac:dyDescent="0.25">
      <c r="A114374"/>
      <c r="B114374"/>
      <c r="C114374"/>
      <c r="E114374"/>
      <c r="F114374"/>
    </row>
    <row r="114375" spans="1:6" x14ac:dyDescent="0.25">
      <c r="A114375"/>
      <c r="B114375"/>
      <c r="C114375"/>
      <c r="E114375"/>
      <c r="F114375"/>
    </row>
    <row r="114376" spans="1:6" x14ac:dyDescent="0.25">
      <c r="A114376"/>
      <c r="B114376"/>
      <c r="C114376"/>
      <c r="E114376"/>
      <c r="F114376"/>
    </row>
    <row r="114377" spans="1:6" x14ac:dyDescent="0.25">
      <c r="A114377"/>
      <c r="B114377"/>
      <c r="C114377"/>
      <c r="E114377"/>
      <c r="F114377"/>
    </row>
    <row r="114378" spans="1:6" x14ac:dyDescent="0.25">
      <c r="A114378"/>
      <c r="B114378"/>
      <c r="C114378"/>
      <c r="E114378"/>
      <c r="F114378"/>
    </row>
    <row r="114379" spans="1:6" x14ac:dyDescent="0.25">
      <c r="A114379"/>
      <c r="B114379"/>
      <c r="C114379"/>
      <c r="E114379"/>
      <c r="F114379"/>
    </row>
    <row r="114380" spans="1:6" x14ac:dyDescent="0.25">
      <c r="A114380"/>
      <c r="B114380"/>
      <c r="C114380"/>
      <c r="E114380"/>
      <c r="F114380"/>
    </row>
    <row r="114381" spans="1:6" x14ac:dyDescent="0.25">
      <c r="A114381"/>
      <c r="B114381"/>
      <c r="C114381"/>
      <c r="E114381"/>
      <c r="F114381"/>
    </row>
    <row r="114382" spans="1:6" x14ac:dyDescent="0.25">
      <c r="A114382"/>
      <c r="B114382"/>
      <c r="C114382"/>
      <c r="E114382"/>
      <c r="F114382"/>
    </row>
    <row r="114383" spans="1:6" x14ac:dyDescent="0.25">
      <c r="A114383"/>
      <c r="B114383"/>
      <c r="C114383"/>
      <c r="E114383"/>
      <c r="F114383"/>
    </row>
    <row r="114384" spans="1:6" x14ac:dyDescent="0.25">
      <c r="A114384"/>
      <c r="B114384"/>
      <c r="C114384"/>
      <c r="E114384"/>
      <c r="F114384"/>
    </row>
    <row r="114385" spans="1:6" x14ac:dyDescent="0.25">
      <c r="A114385"/>
      <c r="B114385"/>
      <c r="C114385"/>
      <c r="E114385"/>
      <c r="F114385"/>
    </row>
    <row r="114386" spans="1:6" x14ac:dyDescent="0.25">
      <c r="A114386"/>
      <c r="B114386"/>
      <c r="C114386"/>
      <c r="E114386"/>
      <c r="F114386"/>
    </row>
    <row r="114387" spans="1:6" x14ac:dyDescent="0.25">
      <c r="A114387"/>
      <c r="B114387"/>
      <c r="C114387"/>
      <c r="E114387"/>
      <c r="F114387"/>
    </row>
    <row r="114388" spans="1:6" x14ac:dyDescent="0.25">
      <c r="A114388"/>
      <c r="B114388"/>
      <c r="C114388"/>
      <c r="E114388"/>
      <c r="F114388"/>
    </row>
    <row r="114389" spans="1:6" x14ac:dyDescent="0.25">
      <c r="A114389"/>
      <c r="B114389"/>
      <c r="C114389"/>
      <c r="E114389"/>
      <c r="F114389"/>
    </row>
    <row r="114390" spans="1:6" x14ac:dyDescent="0.25">
      <c r="A114390"/>
      <c r="B114390"/>
      <c r="C114390"/>
      <c r="E114390"/>
      <c r="F114390"/>
    </row>
    <row r="114391" spans="1:6" x14ac:dyDescent="0.25">
      <c r="A114391"/>
      <c r="B114391"/>
      <c r="C114391"/>
      <c r="E114391"/>
      <c r="F114391"/>
    </row>
    <row r="114392" spans="1:6" x14ac:dyDescent="0.25">
      <c r="A114392"/>
      <c r="B114392"/>
      <c r="C114392"/>
      <c r="E114392"/>
      <c r="F114392"/>
    </row>
    <row r="114393" spans="1:6" x14ac:dyDescent="0.25">
      <c r="A114393"/>
      <c r="B114393"/>
      <c r="C114393"/>
      <c r="E114393"/>
      <c r="F114393"/>
    </row>
    <row r="114394" spans="1:6" x14ac:dyDescent="0.25">
      <c r="A114394"/>
      <c r="B114394"/>
      <c r="C114394"/>
      <c r="E114394"/>
      <c r="F114394"/>
    </row>
    <row r="114395" spans="1:6" x14ac:dyDescent="0.25">
      <c r="A114395"/>
      <c r="B114395"/>
      <c r="C114395"/>
      <c r="E114395"/>
      <c r="F114395"/>
    </row>
    <row r="114396" spans="1:6" x14ac:dyDescent="0.25">
      <c r="A114396"/>
      <c r="B114396"/>
      <c r="C114396"/>
      <c r="E114396"/>
      <c r="F114396"/>
    </row>
    <row r="114397" spans="1:6" x14ac:dyDescent="0.25">
      <c r="A114397"/>
      <c r="B114397"/>
      <c r="C114397"/>
      <c r="E114397"/>
      <c r="F114397"/>
    </row>
    <row r="114398" spans="1:6" x14ac:dyDescent="0.25">
      <c r="A114398"/>
      <c r="B114398"/>
      <c r="C114398"/>
      <c r="E114398"/>
      <c r="F114398"/>
    </row>
    <row r="114399" spans="1:6" x14ac:dyDescent="0.25">
      <c r="A114399"/>
      <c r="B114399"/>
      <c r="C114399"/>
      <c r="E114399"/>
      <c r="F114399"/>
    </row>
    <row r="114400" spans="1:6" x14ac:dyDescent="0.25">
      <c r="A114400"/>
      <c r="B114400"/>
      <c r="C114400"/>
      <c r="E114400"/>
      <c r="F114400"/>
    </row>
    <row r="114401" spans="1:6" x14ac:dyDescent="0.25">
      <c r="A114401"/>
      <c r="B114401"/>
      <c r="C114401"/>
      <c r="E114401"/>
      <c r="F114401"/>
    </row>
    <row r="114402" spans="1:6" x14ac:dyDescent="0.25">
      <c r="A114402"/>
      <c r="B114402"/>
      <c r="C114402"/>
      <c r="E114402"/>
      <c r="F114402"/>
    </row>
    <row r="114403" spans="1:6" x14ac:dyDescent="0.25">
      <c r="A114403"/>
      <c r="B114403"/>
      <c r="C114403"/>
      <c r="E114403"/>
      <c r="F114403"/>
    </row>
    <row r="114404" spans="1:6" x14ac:dyDescent="0.25">
      <c r="A114404"/>
      <c r="B114404"/>
      <c r="C114404"/>
      <c r="E114404"/>
      <c r="F114404"/>
    </row>
    <row r="114405" spans="1:6" x14ac:dyDescent="0.25">
      <c r="A114405"/>
      <c r="B114405"/>
      <c r="C114405"/>
      <c r="E114405"/>
      <c r="F114405"/>
    </row>
    <row r="114406" spans="1:6" x14ac:dyDescent="0.25">
      <c r="A114406"/>
      <c r="B114406"/>
      <c r="C114406"/>
      <c r="E114406"/>
      <c r="F114406"/>
    </row>
    <row r="114407" spans="1:6" x14ac:dyDescent="0.25">
      <c r="A114407"/>
      <c r="B114407"/>
      <c r="C114407"/>
      <c r="E114407"/>
      <c r="F114407"/>
    </row>
    <row r="114408" spans="1:6" x14ac:dyDescent="0.25">
      <c r="A114408"/>
      <c r="B114408"/>
      <c r="C114408"/>
      <c r="E114408"/>
      <c r="F114408"/>
    </row>
    <row r="114409" spans="1:6" x14ac:dyDescent="0.25">
      <c r="A114409"/>
      <c r="B114409"/>
      <c r="C114409"/>
      <c r="E114409"/>
      <c r="F114409"/>
    </row>
    <row r="114410" spans="1:6" x14ac:dyDescent="0.25">
      <c r="A114410"/>
      <c r="B114410"/>
      <c r="C114410"/>
      <c r="E114410"/>
      <c r="F114410"/>
    </row>
    <row r="114411" spans="1:6" x14ac:dyDescent="0.25">
      <c r="A114411"/>
      <c r="B114411"/>
      <c r="C114411"/>
      <c r="E114411"/>
      <c r="F114411"/>
    </row>
    <row r="114412" spans="1:6" x14ac:dyDescent="0.25">
      <c r="A114412"/>
      <c r="B114412"/>
      <c r="C114412"/>
      <c r="E114412"/>
      <c r="F114412"/>
    </row>
    <row r="114413" spans="1:6" x14ac:dyDescent="0.25">
      <c r="A114413"/>
      <c r="B114413"/>
      <c r="C114413"/>
      <c r="E114413"/>
      <c r="F114413"/>
    </row>
    <row r="114414" spans="1:6" x14ac:dyDescent="0.25">
      <c r="A114414"/>
      <c r="B114414"/>
      <c r="C114414"/>
      <c r="E114414"/>
      <c r="F114414"/>
    </row>
    <row r="114415" spans="1:6" x14ac:dyDescent="0.25">
      <c r="A114415"/>
      <c r="B114415"/>
      <c r="C114415"/>
      <c r="E114415"/>
      <c r="F114415"/>
    </row>
    <row r="114416" spans="1:6" x14ac:dyDescent="0.25">
      <c r="A114416"/>
      <c r="B114416"/>
      <c r="C114416"/>
      <c r="E114416"/>
      <c r="F114416"/>
    </row>
    <row r="114417" spans="1:6" x14ac:dyDescent="0.25">
      <c r="A114417"/>
      <c r="B114417"/>
      <c r="C114417"/>
      <c r="E114417"/>
      <c r="F114417"/>
    </row>
    <row r="114418" spans="1:6" x14ac:dyDescent="0.25">
      <c r="A114418"/>
      <c r="B114418"/>
      <c r="C114418"/>
      <c r="E114418"/>
      <c r="F114418"/>
    </row>
    <row r="114419" spans="1:6" x14ac:dyDescent="0.25">
      <c r="A114419"/>
      <c r="B114419"/>
      <c r="C114419"/>
      <c r="E114419"/>
      <c r="F114419"/>
    </row>
    <row r="114420" spans="1:6" x14ac:dyDescent="0.25">
      <c r="A114420"/>
      <c r="B114420"/>
      <c r="C114420"/>
      <c r="E114420"/>
      <c r="F114420"/>
    </row>
    <row r="114421" spans="1:6" x14ac:dyDescent="0.25">
      <c r="A114421"/>
      <c r="B114421"/>
      <c r="C114421"/>
      <c r="E114421"/>
      <c r="F114421"/>
    </row>
    <row r="114422" spans="1:6" x14ac:dyDescent="0.25">
      <c r="A114422"/>
      <c r="B114422"/>
      <c r="C114422"/>
      <c r="E114422"/>
      <c r="F114422"/>
    </row>
    <row r="114423" spans="1:6" x14ac:dyDescent="0.25">
      <c r="A114423"/>
      <c r="B114423"/>
      <c r="C114423"/>
      <c r="E114423"/>
      <c r="F114423"/>
    </row>
    <row r="114424" spans="1:6" x14ac:dyDescent="0.25">
      <c r="A114424"/>
      <c r="B114424"/>
      <c r="C114424"/>
      <c r="E114424"/>
      <c r="F114424"/>
    </row>
    <row r="114425" spans="1:6" x14ac:dyDescent="0.25">
      <c r="A114425"/>
      <c r="B114425"/>
      <c r="C114425"/>
      <c r="E114425"/>
      <c r="F114425"/>
    </row>
    <row r="114426" spans="1:6" x14ac:dyDescent="0.25">
      <c r="A114426"/>
      <c r="B114426"/>
      <c r="C114426"/>
      <c r="E114426"/>
      <c r="F114426"/>
    </row>
    <row r="114427" spans="1:6" x14ac:dyDescent="0.25">
      <c r="A114427"/>
      <c r="B114427"/>
      <c r="C114427"/>
      <c r="E114427"/>
      <c r="F114427"/>
    </row>
    <row r="114428" spans="1:6" x14ac:dyDescent="0.25">
      <c r="A114428"/>
      <c r="B114428"/>
      <c r="C114428"/>
      <c r="E114428"/>
      <c r="F114428"/>
    </row>
    <row r="114429" spans="1:6" x14ac:dyDescent="0.25">
      <c r="A114429"/>
      <c r="B114429"/>
      <c r="C114429"/>
      <c r="E114429"/>
      <c r="F114429"/>
    </row>
    <row r="114430" spans="1:6" x14ac:dyDescent="0.25">
      <c r="A114430"/>
      <c r="B114430"/>
      <c r="C114430"/>
      <c r="E114430"/>
      <c r="F114430"/>
    </row>
    <row r="114431" spans="1:6" x14ac:dyDescent="0.25">
      <c r="A114431"/>
      <c r="B114431"/>
      <c r="C114431"/>
      <c r="E114431"/>
      <c r="F114431"/>
    </row>
    <row r="114432" spans="1:6" x14ac:dyDescent="0.25">
      <c r="A114432"/>
      <c r="B114432"/>
      <c r="C114432"/>
      <c r="E114432"/>
      <c r="F114432"/>
    </row>
    <row r="114433" spans="1:6" x14ac:dyDescent="0.25">
      <c r="A114433"/>
      <c r="B114433"/>
      <c r="C114433"/>
      <c r="E114433"/>
      <c r="F114433"/>
    </row>
    <row r="114434" spans="1:6" x14ac:dyDescent="0.25">
      <c r="A114434"/>
      <c r="B114434"/>
      <c r="C114434"/>
      <c r="E114434"/>
      <c r="F114434"/>
    </row>
    <row r="114435" spans="1:6" x14ac:dyDescent="0.25">
      <c r="A114435"/>
      <c r="B114435"/>
      <c r="C114435"/>
      <c r="E114435"/>
      <c r="F114435"/>
    </row>
    <row r="114436" spans="1:6" x14ac:dyDescent="0.25">
      <c r="A114436"/>
      <c r="B114436"/>
      <c r="C114436"/>
      <c r="E114436"/>
      <c r="F114436"/>
    </row>
    <row r="114437" spans="1:6" x14ac:dyDescent="0.25">
      <c r="A114437"/>
      <c r="B114437"/>
      <c r="C114437"/>
      <c r="E114437"/>
      <c r="F114437"/>
    </row>
    <row r="114438" spans="1:6" x14ac:dyDescent="0.25">
      <c r="A114438"/>
      <c r="B114438"/>
      <c r="C114438"/>
      <c r="E114438"/>
      <c r="F114438"/>
    </row>
    <row r="114439" spans="1:6" x14ac:dyDescent="0.25">
      <c r="A114439"/>
      <c r="B114439"/>
      <c r="C114439"/>
      <c r="E114439"/>
      <c r="F114439"/>
    </row>
    <row r="114440" spans="1:6" x14ac:dyDescent="0.25">
      <c r="A114440"/>
      <c r="B114440"/>
      <c r="C114440"/>
      <c r="E114440"/>
      <c r="F114440"/>
    </row>
    <row r="114441" spans="1:6" x14ac:dyDescent="0.25">
      <c r="A114441"/>
      <c r="B114441"/>
      <c r="C114441"/>
      <c r="E114441"/>
      <c r="F114441"/>
    </row>
    <row r="114442" spans="1:6" x14ac:dyDescent="0.25">
      <c r="A114442"/>
      <c r="B114442"/>
      <c r="C114442"/>
      <c r="E114442"/>
      <c r="F114442"/>
    </row>
    <row r="114443" spans="1:6" x14ac:dyDescent="0.25">
      <c r="A114443"/>
      <c r="B114443"/>
      <c r="C114443"/>
      <c r="E114443"/>
      <c r="F114443"/>
    </row>
    <row r="114444" spans="1:6" x14ac:dyDescent="0.25">
      <c r="A114444"/>
      <c r="B114444"/>
      <c r="C114444"/>
      <c r="E114444"/>
      <c r="F114444"/>
    </row>
    <row r="114445" spans="1:6" x14ac:dyDescent="0.25">
      <c r="A114445"/>
      <c r="B114445"/>
      <c r="C114445"/>
      <c r="E114445"/>
      <c r="F114445"/>
    </row>
    <row r="114446" spans="1:6" x14ac:dyDescent="0.25">
      <c r="A114446"/>
      <c r="B114446"/>
      <c r="C114446"/>
      <c r="E114446"/>
      <c r="F114446"/>
    </row>
    <row r="114447" spans="1:6" x14ac:dyDescent="0.25">
      <c r="A114447"/>
      <c r="B114447"/>
      <c r="C114447"/>
      <c r="E114447"/>
      <c r="F114447"/>
    </row>
    <row r="114448" spans="1:6" x14ac:dyDescent="0.25">
      <c r="A114448"/>
      <c r="B114448"/>
      <c r="C114448"/>
      <c r="E114448"/>
      <c r="F114448"/>
    </row>
    <row r="114449" spans="1:6" x14ac:dyDescent="0.25">
      <c r="A114449"/>
      <c r="B114449"/>
      <c r="C114449"/>
      <c r="E114449"/>
      <c r="F114449"/>
    </row>
    <row r="114450" spans="1:6" x14ac:dyDescent="0.25">
      <c r="A114450"/>
      <c r="B114450"/>
      <c r="C114450"/>
      <c r="E114450"/>
      <c r="F114450"/>
    </row>
    <row r="114451" spans="1:6" x14ac:dyDescent="0.25">
      <c r="A114451"/>
      <c r="B114451"/>
      <c r="C114451"/>
      <c r="E114451"/>
      <c r="F114451"/>
    </row>
    <row r="114452" spans="1:6" x14ac:dyDescent="0.25">
      <c r="A114452"/>
      <c r="B114452"/>
      <c r="C114452"/>
      <c r="E114452"/>
      <c r="F114452"/>
    </row>
    <row r="114453" spans="1:6" x14ac:dyDescent="0.25">
      <c r="A114453"/>
      <c r="B114453"/>
      <c r="C114453"/>
      <c r="E114453"/>
      <c r="F114453"/>
    </row>
    <row r="114454" spans="1:6" x14ac:dyDescent="0.25">
      <c r="A114454"/>
      <c r="B114454"/>
      <c r="C114454"/>
      <c r="E114454"/>
      <c r="F114454"/>
    </row>
    <row r="114455" spans="1:6" x14ac:dyDescent="0.25">
      <c r="A114455"/>
      <c r="B114455"/>
      <c r="C114455"/>
      <c r="E114455"/>
      <c r="F114455"/>
    </row>
    <row r="114456" spans="1:6" x14ac:dyDescent="0.25">
      <c r="A114456"/>
      <c r="B114456"/>
      <c r="C114456"/>
      <c r="E114456"/>
      <c r="F114456"/>
    </row>
    <row r="114457" spans="1:6" x14ac:dyDescent="0.25">
      <c r="A114457"/>
      <c r="B114457"/>
      <c r="C114457"/>
      <c r="E114457"/>
      <c r="F114457"/>
    </row>
    <row r="114458" spans="1:6" x14ac:dyDescent="0.25">
      <c r="A114458"/>
      <c r="B114458"/>
      <c r="C114458"/>
      <c r="E114458"/>
      <c r="F114458"/>
    </row>
    <row r="114459" spans="1:6" x14ac:dyDescent="0.25">
      <c r="A114459"/>
      <c r="B114459"/>
      <c r="C114459"/>
      <c r="E114459"/>
      <c r="F114459"/>
    </row>
    <row r="114460" spans="1:6" x14ac:dyDescent="0.25">
      <c r="A114460"/>
      <c r="B114460"/>
      <c r="C114460"/>
      <c r="E114460"/>
      <c r="F114460"/>
    </row>
    <row r="114461" spans="1:6" x14ac:dyDescent="0.25">
      <c r="A114461"/>
      <c r="B114461"/>
      <c r="C114461"/>
      <c r="E114461"/>
      <c r="F114461"/>
    </row>
    <row r="114462" spans="1:6" x14ac:dyDescent="0.25">
      <c r="A114462"/>
      <c r="B114462"/>
      <c r="C114462"/>
      <c r="E114462"/>
      <c r="F114462"/>
    </row>
    <row r="114463" spans="1:6" x14ac:dyDescent="0.25">
      <c r="A114463"/>
      <c r="B114463"/>
      <c r="C114463"/>
      <c r="E114463"/>
      <c r="F114463"/>
    </row>
    <row r="114464" spans="1:6" x14ac:dyDescent="0.25">
      <c r="A114464"/>
      <c r="B114464"/>
      <c r="C114464"/>
      <c r="E114464"/>
      <c r="F114464"/>
    </row>
    <row r="114465" spans="1:6" x14ac:dyDescent="0.25">
      <c r="A114465"/>
      <c r="B114465"/>
      <c r="C114465"/>
      <c r="E114465"/>
      <c r="F114465"/>
    </row>
    <row r="114466" spans="1:6" x14ac:dyDescent="0.25">
      <c r="A114466"/>
      <c r="B114466"/>
      <c r="C114466"/>
      <c r="E114466"/>
      <c r="F114466"/>
    </row>
    <row r="114467" spans="1:6" x14ac:dyDescent="0.25">
      <c r="A114467"/>
      <c r="B114467"/>
      <c r="C114467"/>
      <c r="E114467"/>
      <c r="F114467"/>
    </row>
    <row r="114468" spans="1:6" x14ac:dyDescent="0.25">
      <c r="A114468"/>
      <c r="B114468"/>
      <c r="C114468"/>
      <c r="E114468"/>
      <c r="F114468"/>
    </row>
    <row r="114469" spans="1:6" x14ac:dyDescent="0.25">
      <c r="A114469"/>
      <c r="B114469"/>
      <c r="C114469"/>
      <c r="E114469"/>
      <c r="F114469"/>
    </row>
    <row r="114470" spans="1:6" x14ac:dyDescent="0.25">
      <c r="A114470"/>
      <c r="B114470"/>
      <c r="C114470"/>
      <c r="E114470"/>
      <c r="F114470"/>
    </row>
    <row r="114471" spans="1:6" x14ac:dyDescent="0.25">
      <c r="A114471"/>
      <c r="B114471"/>
      <c r="C114471"/>
      <c r="E114471"/>
      <c r="F114471"/>
    </row>
    <row r="114472" spans="1:6" x14ac:dyDescent="0.25">
      <c r="A114472"/>
      <c r="B114472"/>
      <c r="C114472"/>
      <c r="E114472"/>
      <c r="F114472"/>
    </row>
    <row r="114473" spans="1:6" x14ac:dyDescent="0.25">
      <c r="A114473"/>
      <c r="B114473"/>
      <c r="C114473"/>
      <c r="E114473"/>
      <c r="F114473"/>
    </row>
    <row r="114474" spans="1:6" x14ac:dyDescent="0.25">
      <c r="A114474"/>
      <c r="B114474"/>
      <c r="C114474"/>
      <c r="E114474"/>
      <c r="F114474"/>
    </row>
    <row r="114475" spans="1:6" x14ac:dyDescent="0.25">
      <c r="A114475"/>
      <c r="B114475"/>
      <c r="C114475"/>
      <c r="E114475"/>
      <c r="F114475"/>
    </row>
    <row r="114476" spans="1:6" x14ac:dyDescent="0.25">
      <c r="A114476"/>
      <c r="B114476"/>
      <c r="C114476"/>
      <c r="E114476"/>
      <c r="F114476"/>
    </row>
    <row r="114477" spans="1:6" x14ac:dyDescent="0.25">
      <c r="A114477"/>
      <c r="B114477"/>
      <c r="C114477"/>
      <c r="E114477"/>
      <c r="F114477"/>
    </row>
    <row r="114478" spans="1:6" x14ac:dyDescent="0.25">
      <c r="A114478"/>
      <c r="B114478"/>
      <c r="C114478"/>
      <c r="E114478"/>
      <c r="F114478"/>
    </row>
    <row r="114479" spans="1:6" x14ac:dyDescent="0.25">
      <c r="A114479"/>
      <c r="B114479"/>
      <c r="C114479"/>
      <c r="E114479"/>
      <c r="F114479"/>
    </row>
    <row r="114480" spans="1:6" x14ac:dyDescent="0.25">
      <c r="A114480"/>
      <c r="B114480"/>
      <c r="C114480"/>
      <c r="E114480"/>
      <c r="F114480"/>
    </row>
    <row r="114481" spans="1:6" x14ac:dyDescent="0.25">
      <c r="A114481"/>
      <c r="B114481"/>
      <c r="C114481"/>
      <c r="E114481"/>
      <c r="F114481"/>
    </row>
    <row r="114482" spans="1:6" x14ac:dyDescent="0.25">
      <c r="A114482"/>
      <c r="B114482"/>
      <c r="C114482"/>
      <c r="E114482"/>
      <c r="F114482"/>
    </row>
    <row r="114483" spans="1:6" x14ac:dyDescent="0.25">
      <c r="A114483"/>
      <c r="B114483"/>
      <c r="C114483"/>
      <c r="E114483"/>
      <c r="F114483"/>
    </row>
    <row r="114484" spans="1:6" x14ac:dyDescent="0.25">
      <c r="A114484"/>
      <c r="B114484"/>
      <c r="C114484"/>
      <c r="E114484"/>
      <c r="F114484"/>
    </row>
    <row r="114485" spans="1:6" x14ac:dyDescent="0.25">
      <c r="A114485"/>
      <c r="B114485"/>
      <c r="C114485"/>
      <c r="E114485"/>
      <c r="F114485"/>
    </row>
    <row r="114486" spans="1:6" x14ac:dyDescent="0.25">
      <c r="A114486"/>
      <c r="B114486"/>
      <c r="C114486"/>
      <c r="E114486"/>
      <c r="F114486"/>
    </row>
    <row r="114487" spans="1:6" x14ac:dyDescent="0.25">
      <c r="A114487"/>
      <c r="B114487"/>
      <c r="C114487"/>
      <c r="E114487"/>
      <c r="F114487"/>
    </row>
    <row r="114488" spans="1:6" x14ac:dyDescent="0.25">
      <c r="A114488"/>
      <c r="B114488"/>
      <c r="C114488"/>
      <c r="E114488"/>
      <c r="F114488"/>
    </row>
    <row r="114489" spans="1:6" x14ac:dyDescent="0.25">
      <c r="A114489"/>
      <c r="B114489"/>
      <c r="C114489"/>
      <c r="E114489"/>
      <c r="F114489"/>
    </row>
    <row r="114490" spans="1:6" x14ac:dyDescent="0.25">
      <c r="A114490"/>
      <c r="B114490"/>
      <c r="C114490"/>
      <c r="E114490"/>
      <c r="F114490"/>
    </row>
    <row r="114491" spans="1:6" x14ac:dyDescent="0.25">
      <c r="A114491"/>
      <c r="B114491"/>
      <c r="C114491"/>
      <c r="E114491"/>
      <c r="F114491"/>
    </row>
    <row r="114492" spans="1:6" x14ac:dyDescent="0.25">
      <c r="A114492"/>
      <c r="B114492"/>
      <c r="C114492"/>
      <c r="E114492"/>
      <c r="F114492"/>
    </row>
    <row r="114493" spans="1:6" x14ac:dyDescent="0.25">
      <c r="A114493"/>
      <c r="B114493"/>
      <c r="C114493"/>
      <c r="E114493"/>
      <c r="F114493"/>
    </row>
    <row r="114494" spans="1:6" x14ac:dyDescent="0.25">
      <c r="A114494"/>
      <c r="B114494"/>
      <c r="C114494"/>
      <c r="E114494"/>
      <c r="F114494"/>
    </row>
    <row r="114495" spans="1:6" x14ac:dyDescent="0.25">
      <c r="A114495"/>
      <c r="B114495"/>
      <c r="C114495"/>
      <c r="E114495"/>
      <c r="F114495"/>
    </row>
    <row r="114496" spans="1:6" x14ac:dyDescent="0.25">
      <c r="A114496"/>
      <c r="B114496"/>
      <c r="C114496"/>
      <c r="E114496"/>
      <c r="F114496"/>
    </row>
    <row r="114497" spans="1:6" x14ac:dyDescent="0.25">
      <c r="A114497"/>
      <c r="B114497"/>
      <c r="C114497"/>
      <c r="E114497"/>
      <c r="F114497"/>
    </row>
    <row r="114498" spans="1:6" x14ac:dyDescent="0.25">
      <c r="A114498"/>
      <c r="B114498"/>
      <c r="C114498"/>
      <c r="E114498"/>
      <c r="F114498"/>
    </row>
    <row r="114499" spans="1:6" x14ac:dyDescent="0.25">
      <c r="A114499"/>
      <c r="B114499"/>
      <c r="C114499"/>
      <c r="E114499"/>
      <c r="F114499"/>
    </row>
    <row r="114500" spans="1:6" x14ac:dyDescent="0.25">
      <c r="A114500"/>
      <c r="B114500"/>
      <c r="C114500"/>
      <c r="E114500"/>
      <c r="F114500"/>
    </row>
    <row r="114501" spans="1:6" x14ac:dyDescent="0.25">
      <c r="A114501"/>
      <c r="B114501"/>
      <c r="C114501"/>
      <c r="E114501"/>
      <c r="F114501"/>
    </row>
    <row r="114502" spans="1:6" x14ac:dyDescent="0.25">
      <c r="A114502"/>
      <c r="B114502"/>
      <c r="C114502"/>
      <c r="E114502"/>
      <c r="F114502"/>
    </row>
    <row r="114503" spans="1:6" x14ac:dyDescent="0.25">
      <c r="A114503"/>
      <c r="B114503"/>
      <c r="C114503"/>
      <c r="E114503"/>
      <c r="F114503"/>
    </row>
    <row r="114504" spans="1:6" x14ac:dyDescent="0.25">
      <c r="A114504"/>
      <c r="B114504"/>
      <c r="C114504"/>
      <c r="E114504"/>
      <c r="F114504"/>
    </row>
    <row r="114505" spans="1:6" x14ac:dyDescent="0.25">
      <c r="A114505"/>
      <c r="B114505"/>
      <c r="C114505"/>
      <c r="E114505"/>
      <c r="F114505"/>
    </row>
    <row r="114506" spans="1:6" x14ac:dyDescent="0.25">
      <c r="A114506"/>
      <c r="B114506"/>
      <c r="C114506"/>
      <c r="E114506"/>
      <c r="F114506"/>
    </row>
    <row r="114507" spans="1:6" x14ac:dyDescent="0.25">
      <c r="A114507"/>
      <c r="B114507"/>
      <c r="C114507"/>
      <c r="E114507"/>
      <c r="F114507"/>
    </row>
    <row r="114508" spans="1:6" x14ac:dyDescent="0.25">
      <c r="A114508"/>
      <c r="B114508"/>
      <c r="C114508"/>
      <c r="E114508"/>
      <c r="F114508"/>
    </row>
    <row r="114509" spans="1:6" x14ac:dyDescent="0.25">
      <c r="A114509"/>
      <c r="B114509"/>
      <c r="C114509"/>
      <c r="E114509"/>
      <c r="F114509"/>
    </row>
    <row r="114510" spans="1:6" x14ac:dyDescent="0.25">
      <c r="A114510"/>
      <c r="B114510"/>
      <c r="C114510"/>
      <c r="E114510"/>
      <c r="F114510"/>
    </row>
    <row r="114511" spans="1:6" x14ac:dyDescent="0.25">
      <c r="A114511"/>
      <c r="B114511"/>
      <c r="C114511"/>
      <c r="E114511"/>
      <c r="F114511"/>
    </row>
    <row r="114512" spans="1:6" x14ac:dyDescent="0.25">
      <c r="A114512"/>
      <c r="B114512"/>
      <c r="C114512"/>
      <c r="E114512"/>
      <c r="F114512"/>
    </row>
    <row r="114513" spans="1:6" x14ac:dyDescent="0.25">
      <c r="A114513"/>
      <c r="B114513"/>
      <c r="C114513"/>
      <c r="E114513"/>
      <c r="F114513"/>
    </row>
    <row r="114514" spans="1:6" x14ac:dyDescent="0.25">
      <c r="A114514"/>
      <c r="B114514"/>
      <c r="C114514"/>
      <c r="E114514"/>
      <c r="F114514"/>
    </row>
    <row r="114515" spans="1:6" x14ac:dyDescent="0.25">
      <c r="A114515"/>
      <c r="B114515"/>
      <c r="C114515"/>
      <c r="E114515"/>
      <c r="F114515"/>
    </row>
    <row r="114516" spans="1:6" x14ac:dyDescent="0.25">
      <c r="A114516"/>
      <c r="B114516"/>
      <c r="C114516"/>
      <c r="E114516"/>
      <c r="F114516"/>
    </row>
    <row r="114517" spans="1:6" x14ac:dyDescent="0.25">
      <c r="A114517"/>
      <c r="B114517"/>
      <c r="C114517"/>
      <c r="E114517"/>
      <c r="F114517"/>
    </row>
    <row r="114518" spans="1:6" x14ac:dyDescent="0.25">
      <c r="A114518"/>
      <c r="B114518"/>
      <c r="C114518"/>
      <c r="E114518"/>
      <c r="F114518"/>
    </row>
    <row r="114519" spans="1:6" x14ac:dyDescent="0.25">
      <c r="A114519"/>
      <c r="B114519"/>
      <c r="C114519"/>
      <c r="E114519"/>
      <c r="F114519"/>
    </row>
    <row r="114520" spans="1:6" x14ac:dyDescent="0.25">
      <c r="A114520"/>
      <c r="B114520"/>
      <c r="C114520"/>
      <c r="E114520"/>
      <c r="F114520"/>
    </row>
    <row r="114521" spans="1:6" x14ac:dyDescent="0.25">
      <c r="A114521"/>
      <c r="B114521"/>
      <c r="C114521"/>
      <c r="E114521"/>
      <c r="F114521"/>
    </row>
    <row r="114522" spans="1:6" x14ac:dyDescent="0.25">
      <c r="A114522"/>
      <c r="B114522"/>
      <c r="C114522"/>
      <c r="E114522"/>
      <c r="F114522"/>
    </row>
    <row r="114523" spans="1:6" x14ac:dyDescent="0.25">
      <c r="A114523"/>
      <c r="B114523"/>
      <c r="C114523"/>
      <c r="E114523"/>
      <c r="F114523"/>
    </row>
    <row r="114524" spans="1:6" x14ac:dyDescent="0.25">
      <c r="A114524"/>
      <c r="B114524"/>
      <c r="C114524"/>
      <c r="E114524"/>
      <c r="F114524"/>
    </row>
    <row r="114525" spans="1:6" x14ac:dyDescent="0.25">
      <c r="A114525"/>
      <c r="B114525"/>
      <c r="C114525"/>
      <c r="E114525"/>
      <c r="F114525"/>
    </row>
    <row r="114526" spans="1:6" x14ac:dyDescent="0.25">
      <c r="A114526"/>
      <c r="B114526"/>
      <c r="C114526"/>
      <c r="E114526"/>
      <c r="F114526"/>
    </row>
    <row r="114527" spans="1:6" x14ac:dyDescent="0.25">
      <c r="A114527"/>
      <c r="B114527"/>
      <c r="C114527"/>
      <c r="E114527"/>
      <c r="F114527"/>
    </row>
    <row r="114528" spans="1:6" x14ac:dyDescent="0.25">
      <c r="A114528"/>
      <c r="B114528"/>
      <c r="C114528"/>
      <c r="E114528"/>
      <c r="F114528"/>
    </row>
    <row r="114529" spans="1:6" x14ac:dyDescent="0.25">
      <c r="A114529"/>
      <c r="B114529"/>
      <c r="C114529"/>
      <c r="E114529"/>
      <c r="F114529"/>
    </row>
    <row r="114530" spans="1:6" x14ac:dyDescent="0.25">
      <c r="A114530"/>
      <c r="B114530"/>
      <c r="C114530"/>
      <c r="E114530"/>
      <c r="F114530"/>
    </row>
    <row r="114531" spans="1:6" x14ac:dyDescent="0.25">
      <c r="A114531"/>
      <c r="B114531"/>
      <c r="C114531"/>
      <c r="E114531"/>
      <c r="F114531"/>
    </row>
    <row r="114532" spans="1:6" x14ac:dyDescent="0.25">
      <c r="A114532"/>
      <c r="B114532"/>
      <c r="C114532"/>
      <c r="E114532"/>
      <c r="F114532"/>
    </row>
    <row r="114533" spans="1:6" x14ac:dyDescent="0.25">
      <c r="A114533"/>
      <c r="B114533"/>
      <c r="C114533"/>
      <c r="E114533"/>
      <c r="F114533"/>
    </row>
    <row r="114534" spans="1:6" x14ac:dyDescent="0.25">
      <c r="A114534"/>
      <c r="B114534"/>
      <c r="C114534"/>
      <c r="E114534"/>
      <c r="F114534"/>
    </row>
    <row r="114535" spans="1:6" x14ac:dyDescent="0.25">
      <c r="A114535"/>
      <c r="B114535"/>
      <c r="C114535"/>
      <c r="E114535"/>
      <c r="F114535"/>
    </row>
    <row r="114536" spans="1:6" x14ac:dyDescent="0.25">
      <c r="A114536"/>
      <c r="B114536"/>
      <c r="C114536"/>
      <c r="E114536"/>
      <c r="F114536"/>
    </row>
    <row r="114537" spans="1:6" x14ac:dyDescent="0.25">
      <c r="A114537"/>
      <c r="B114537"/>
      <c r="C114537"/>
      <c r="E114537"/>
      <c r="F114537"/>
    </row>
    <row r="114538" spans="1:6" x14ac:dyDescent="0.25">
      <c r="A114538"/>
      <c r="B114538"/>
      <c r="C114538"/>
      <c r="E114538"/>
      <c r="F114538"/>
    </row>
    <row r="114539" spans="1:6" x14ac:dyDescent="0.25">
      <c r="A114539"/>
      <c r="B114539"/>
      <c r="C114539"/>
      <c r="E114539"/>
      <c r="F114539"/>
    </row>
    <row r="114540" spans="1:6" x14ac:dyDescent="0.25">
      <c r="A114540"/>
      <c r="B114540"/>
      <c r="C114540"/>
      <c r="E114540"/>
      <c r="F114540"/>
    </row>
    <row r="114541" spans="1:6" x14ac:dyDescent="0.25">
      <c r="A114541"/>
      <c r="B114541"/>
      <c r="C114541"/>
      <c r="E114541"/>
      <c r="F114541"/>
    </row>
    <row r="114542" spans="1:6" x14ac:dyDescent="0.25">
      <c r="A114542"/>
      <c r="B114542"/>
      <c r="C114542"/>
      <c r="E114542"/>
      <c r="F114542"/>
    </row>
    <row r="114543" spans="1:6" x14ac:dyDescent="0.25">
      <c r="A114543"/>
      <c r="B114543"/>
      <c r="C114543"/>
      <c r="E114543"/>
      <c r="F114543"/>
    </row>
    <row r="114544" spans="1:6" x14ac:dyDescent="0.25">
      <c r="A114544"/>
      <c r="B114544"/>
      <c r="C114544"/>
      <c r="E114544"/>
      <c r="F114544"/>
    </row>
    <row r="114545" spans="1:6" x14ac:dyDescent="0.25">
      <c r="A114545"/>
      <c r="B114545"/>
      <c r="C114545"/>
      <c r="E114545"/>
      <c r="F114545"/>
    </row>
    <row r="114546" spans="1:6" x14ac:dyDescent="0.25">
      <c r="A114546"/>
      <c r="B114546"/>
      <c r="C114546"/>
      <c r="E114546"/>
      <c r="F114546"/>
    </row>
    <row r="114547" spans="1:6" x14ac:dyDescent="0.25">
      <c r="A114547"/>
      <c r="B114547"/>
      <c r="C114547"/>
      <c r="E114547"/>
      <c r="F114547"/>
    </row>
    <row r="114548" spans="1:6" x14ac:dyDescent="0.25">
      <c r="A114548"/>
      <c r="B114548"/>
      <c r="C114548"/>
      <c r="E114548"/>
      <c r="F114548"/>
    </row>
    <row r="114549" spans="1:6" x14ac:dyDescent="0.25">
      <c r="A114549"/>
      <c r="B114549"/>
      <c r="C114549"/>
      <c r="E114549"/>
      <c r="F114549"/>
    </row>
    <row r="114550" spans="1:6" x14ac:dyDescent="0.25">
      <c r="A114550"/>
      <c r="B114550"/>
      <c r="C114550"/>
      <c r="E114550"/>
      <c r="F114550"/>
    </row>
    <row r="114551" spans="1:6" x14ac:dyDescent="0.25">
      <c r="A114551"/>
      <c r="B114551"/>
      <c r="C114551"/>
      <c r="E114551"/>
      <c r="F114551"/>
    </row>
    <row r="114552" spans="1:6" x14ac:dyDescent="0.25">
      <c r="A114552"/>
      <c r="B114552"/>
      <c r="C114552"/>
      <c r="E114552"/>
      <c r="F114552"/>
    </row>
    <row r="114553" spans="1:6" x14ac:dyDescent="0.25">
      <c r="A114553"/>
      <c r="B114553"/>
      <c r="C114553"/>
      <c r="E114553"/>
      <c r="F114553"/>
    </row>
    <row r="114554" spans="1:6" x14ac:dyDescent="0.25">
      <c r="A114554"/>
      <c r="B114554"/>
      <c r="C114554"/>
      <c r="E114554"/>
      <c r="F114554"/>
    </row>
    <row r="114555" spans="1:6" x14ac:dyDescent="0.25">
      <c r="A114555"/>
      <c r="B114555"/>
      <c r="C114555"/>
      <c r="E114555"/>
      <c r="F114555"/>
    </row>
    <row r="114556" spans="1:6" x14ac:dyDescent="0.25">
      <c r="A114556"/>
      <c r="B114556"/>
      <c r="C114556"/>
      <c r="E114556"/>
      <c r="F114556"/>
    </row>
    <row r="114557" spans="1:6" x14ac:dyDescent="0.25">
      <c r="A114557"/>
      <c r="B114557"/>
      <c r="C114557"/>
      <c r="E114557"/>
      <c r="F114557"/>
    </row>
    <row r="114558" spans="1:6" x14ac:dyDescent="0.25">
      <c r="A114558"/>
      <c r="B114558"/>
      <c r="C114558"/>
      <c r="E114558"/>
      <c r="F114558"/>
    </row>
    <row r="114559" spans="1:6" x14ac:dyDescent="0.25">
      <c r="A114559"/>
      <c r="B114559"/>
      <c r="C114559"/>
      <c r="E114559"/>
      <c r="F114559"/>
    </row>
    <row r="114560" spans="1:6" x14ac:dyDescent="0.25">
      <c r="A114560"/>
      <c r="B114560"/>
      <c r="C114560"/>
      <c r="E114560"/>
      <c r="F114560"/>
    </row>
    <row r="114561" spans="1:6" x14ac:dyDescent="0.25">
      <c r="A114561"/>
      <c r="B114561"/>
      <c r="C114561"/>
      <c r="E114561"/>
      <c r="F114561"/>
    </row>
    <row r="114562" spans="1:6" x14ac:dyDescent="0.25">
      <c r="A114562"/>
      <c r="B114562"/>
      <c r="C114562"/>
      <c r="E114562"/>
      <c r="F114562"/>
    </row>
    <row r="114563" spans="1:6" x14ac:dyDescent="0.25">
      <c r="A114563"/>
      <c r="B114563"/>
      <c r="C114563"/>
      <c r="E114563"/>
      <c r="F114563"/>
    </row>
    <row r="114564" spans="1:6" x14ac:dyDescent="0.25">
      <c r="A114564"/>
      <c r="B114564"/>
      <c r="C114564"/>
      <c r="E114564"/>
      <c r="F114564"/>
    </row>
    <row r="114565" spans="1:6" x14ac:dyDescent="0.25">
      <c r="A114565"/>
      <c r="B114565"/>
      <c r="C114565"/>
      <c r="E114565"/>
      <c r="F114565"/>
    </row>
    <row r="114566" spans="1:6" x14ac:dyDescent="0.25">
      <c r="A114566"/>
      <c r="B114566"/>
      <c r="C114566"/>
      <c r="E114566"/>
      <c r="F114566"/>
    </row>
    <row r="114567" spans="1:6" x14ac:dyDescent="0.25">
      <c r="A114567"/>
      <c r="B114567"/>
      <c r="C114567"/>
      <c r="E114567"/>
      <c r="F114567"/>
    </row>
    <row r="114568" spans="1:6" x14ac:dyDescent="0.25">
      <c r="A114568"/>
      <c r="B114568"/>
      <c r="C114568"/>
      <c r="E114568"/>
      <c r="F114568"/>
    </row>
    <row r="114569" spans="1:6" x14ac:dyDescent="0.25">
      <c r="A114569"/>
      <c r="B114569"/>
      <c r="C114569"/>
      <c r="E114569"/>
      <c r="F114569"/>
    </row>
    <row r="114570" spans="1:6" x14ac:dyDescent="0.25">
      <c r="A114570"/>
      <c r="B114570"/>
      <c r="C114570"/>
      <c r="E114570"/>
      <c r="F114570"/>
    </row>
    <row r="114571" spans="1:6" x14ac:dyDescent="0.25">
      <c r="A114571"/>
      <c r="B114571"/>
      <c r="C114571"/>
      <c r="E114571"/>
      <c r="F114571"/>
    </row>
    <row r="114572" spans="1:6" x14ac:dyDescent="0.25">
      <c r="A114572"/>
      <c r="B114572"/>
      <c r="C114572"/>
      <c r="E114572"/>
      <c r="F114572"/>
    </row>
    <row r="114573" spans="1:6" x14ac:dyDescent="0.25">
      <c r="A114573"/>
      <c r="B114573"/>
      <c r="C114573"/>
      <c r="E114573"/>
      <c r="F114573"/>
    </row>
    <row r="114574" spans="1:6" x14ac:dyDescent="0.25">
      <c r="A114574"/>
      <c r="B114574"/>
      <c r="C114574"/>
      <c r="E114574"/>
      <c r="F114574"/>
    </row>
    <row r="114575" spans="1:6" x14ac:dyDescent="0.25">
      <c r="A114575"/>
      <c r="B114575"/>
      <c r="C114575"/>
      <c r="E114575"/>
      <c r="F114575"/>
    </row>
    <row r="114576" spans="1:6" x14ac:dyDescent="0.25">
      <c r="A114576"/>
      <c r="B114576"/>
      <c r="C114576"/>
      <c r="E114576"/>
      <c r="F114576"/>
    </row>
    <row r="114577" spans="1:6" x14ac:dyDescent="0.25">
      <c r="A114577"/>
      <c r="B114577"/>
      <c r="C114577"/>
      <c r="E114577"/>
      <c r="F114577"/>
    </row>
    <row r="114578" spans="1:6" x14ac:dyDescent="0.25">
      <c r="A114578"/>
      <c r="B114578"/>
      <c r="C114578"/>
      <c r="E114578"/>
      <c r="F114578"/>
    </row>
    <row r="114579" spans="1:6" x14ac:dyDescent="0.25">
      <c r="A114579"/>
      <c r="B114579"/>
      <c r="C114579"/>
      <c r="E114579"/>
      <c r="F114579"/>
    </row>
    <row r="114580" spans="1:6" x14ac:dyDescent="0.25">
      <c r="A114580"/>
      <c r="B114580"/>
      <c r="C114580"/>
      <c r="E114580"/>
      <c r="F114580"/>
    </row>
    <row r="114581" spans="1:6" x14ac:dyDescent="0.25">
      <c r="A114581"/>
      <c r="B114581"/>
      <c r="C114581"/>
      <c r="E114581"/>
      <c r="F114581"/>
    </row>
    <row r="114582" spans="1:6" x14ac:dyDescent="0.25">
      <c r="A114582"/>
      <c r="B114582"/>
      <c r="C114582"/>
      <c r="E114582"/>
      <c r="F114582"/>
    </row>
    <row r="114583" spans="1:6" x14ac:dyDescent="0.25">
      <c r="A114583"/>
      <c r="B114583"/>
      <c r="C114583"/>
      <c r="E114583"/>
      <c r="F114583"/>
    </row>
    <row r="114584" spans="1:6" x14ac:dyDescent="0.25">
      <c r="A114584"/>
      <c r="B114584"/>
      <c r="C114584"/>
      <c r="E114584"/>
      <c r="F114584"/>
    </row>
    <row r="114585" spans="1:6" x14ac:dyDescent="0.25">
      <c r="A114585"/>
      <c r="B114585"/>
      <c r="C114585"/>
      <c r="E114585"/>
      <c r="F114585"/>
    </row>
    <row r="114586" spans="1:6" x14ac:dyDescent="0.25">
      <c r="A114586"/>
      <c r="B114586"/>
      <c r="C114586"/>
      <c r="E114586"/>
      <c r="F114586"/>
    </row>
    <row r="114587" spans="1:6" x14ac:dyDescent="0.25">
      <c r="A114587"/>
      <c r="B114587"/>
      <c r="C114587"/>
      <c r="E114587"/>
      <c r="F114587"/>
    </row>
    <row r="114588" spans="1:6" x14ac:dyDescent="0.25">
      <c r="A114588"/>
      <c r="B114588"/>
      <c r="C114588"/>
      <c r="E114588"/>
      <c r="F114588"/>
    </row>
    <row r="114589" spans="1:6" x14ac:dyDescent="0.25">
      <c r="A114589"/>
      <c r="B114589"/>
      <c r="C114589"/>
      <c r="E114589"/>
      <c r="F114589"/>
    </row>
    <row r="114590" spans="1:6" x14ac:dyDescent="0.25">
      <c r="A114590"/>
      <c r="B114590"/>
      <c r="C114590"/>
      <c r="E114590"/>
      <c r="F114590"/>
    </row>
    <row r="114591" spans="1:6" x14ac:dyDescent="0.25">
      <c r="A114591"/>
      <c r="B114591"/>
      <c r="C114591"/>
      <c r="E114591"/>
      <c r="F114591"/>
    </row>
    <row r="114592" spans="1:6" x14ac:dyDescent="0.25">
      <c r="A114592"/>
      <c r="B114592"/>
      <c r="C114592"/>
      <c r="E114592"/>
      <c r="F114592"/>
    </row>
    <row r="114593" spans="1:6" x14ac:dyDescent="0.25">
      <c r="A114593"/>
      <c r="B114593"/>
      <c r="C114593"/>
      <c r="E114593"/>
      <c r="F114593"/>
    </row>
    <row r="114594" spans="1:6" x14ac:dyDescent="0.25">
      <c r="A114594"/>
      <c r="B114594"/>
      <c r="C114594"/>
      <c r="E114594"/>
      <c r="F114594"/>
    </row>
    <row r="114595" spans="1:6" x14ac:dyDescent="0.25">
      <c r="A114595"/>
      <c r="B114595"/>
      <c r="C114595"/>
      <c r="E114595"/>
      <c r="F114595"/>
    </row>
    <row r="114596" spans="1:6" x14ac:dyDescent="0.25">
      <c r="A114596"/>
      <c r="B114596"/>
      <c r="C114596"/>
      <c r="E114596"/>
      <c r="F114596"/>
    </row>
    <row r="114597" spans="1:6" x14ac:dyDescent="0.25">
      <c r="A114597"/>
      <c r="B114597"/>
      <c r="C114597"/>
      <c r="E114597"/>
      <c r="F114597"/>
    </row>
    <row r="114598" spans="1:6" x14ac:dyDescent="0.25">
      <c r="A114598"/>
      <c r="B114598"/>
      <c r="C114598"/>
      <c r="E114598"/>
      <c r="F114598"/>
    </row>
    <row r="114599" spans="1:6" x14ac:dyDescent="0.25">
      <c r="A114599"/>
      <c r="B114599"/>
      <c r="C114599"/>
      <c r="E114599"/>
      <c r="F114599"/>
    </row>
    <row r="114600" spans="1:6" x14ac:dyDescent="0.25">
      <c r="A114600"/>
      <c r="B114600"/>
      <c r="C114600"/>
      <c r="E114600"/>
      <c r="F114600"/>
    </row>
    <row r="114601" spans="1:6" x14ac:dyDescent="0.25">
      <c r="A114601"/>
      <c r="B114601"/>
      <c r="C114601"/>
      <c r="E114601"/>
      <c r="F114601"/>
    </row>
    <row r="114602" spans="1:6" x14ac:dyDescent="0.25">
      <c r="A114602"/>
      <c r="B114602"/>
      <c r="C114602"/>
      <c r="E114602"/>
      <c r="F114602"/>
    </row>
    <row r="114603" spans="1:6" x14ac:dyDescent="0.25">
      <c r="A114603"/>
      <c r="B114603"/>
      <c r="C114603"/>
      <c r="E114603"/>
      <c r="F114603"/>
    </row>
    <row r="114604" spans="1:6" x14ac:dyDescent="0.25">
      <c r="A114604"/>
      <c r="B114604"/>
      <c r="C114604"/>
      <c r="E114604"/>
      <c r="F114604"/>
    </row>
    <row r="114605" spans="1:6" x14ac:dyDescent="0.25">
      <c r="A114605"/>
      <c r="B114605"/>
      <c r="C114605"/>
      <c r="E114605"/>
      <c r="F114605"/>
    </row>
    <row r="114606" spans="1:6" x14ac:dyDescent="0.25">
      <c r="A114606"/>
      <c r="B114606"/>
      <c r="C114606"/>
      <c r="E114606"/>
      <c r="F114606"/>
    </row>
    <row r="114607" spans="1:6" x14ac:dyDescent="0.25">
      <c r="A114607"/>
      <c r="B114607"/>
      <c r="C114607"/>
      <c r="E114607"/>
      <c r="F114607"/>
    </row>
    <row r="114608" spans="1:6" x14ac:dyDescent="0.25">
      <c r="A114608"/>
      <c r="B114608"/>
      <c r="C114608"/>
      <c r="E114608"/>
      <c r="F114608"/>
    </row>
    <row r="114609" spans="1:6" x14ac:dyDescent="0.25">
      <c r="A114609"/>
      <c r="B114609"/>
      <c r="C114609"/>
      <c r="E114609"/>
      <c r="F114609"/>
    </row>
    <row r="114610" spans="1:6" x14ac:dyDescent="0.25">
      <c r="A114610"/>
      <c r="B114610"/>
      <c r="C114610"/>
      <c r="E114610"/>
      <c r="F114610"/>
    </row>
    <row r="114611" spans="1:6" x14ac:dyDescent="0.25">
      <c r="A114611"/>
      <c r="B114611"/>
      <c r="C114611"/>
      <c r="E114611"/>
      <c r="F114611"/>
    </row>
    <row r="114612" spans="1:6" x14ac:dyDescent="0.25">
      <c r="A114612"/>
      <c r="B114612"/>
      <c r="C114612"/>
      <c r="E114612"/>
      <c r="F114612"/>
    </row>
    <row r="114613" spans="1:6" x14ac:dyDescent="0.25">
      <c r="A114613"/>
      <c r="B114613"/>
      <c r="C114613"/>
      <c r="E114613"/>
      <c r="F114613"/>
    </row>
    <row r="114614" spans="1:6" x14ac:dyDescent="0.25">
      <c r="A114614"/>
      <c r="B114614"/>
      <c r="C114614"/>
      <c r="E114614"/>
      <c r="F114614"/>
    </row>
    <row r="114615" spans="1:6" x14ac:dyDescent="0.25">
      <c r="A114615"/>
      <c r="B114615"/>
      <c r="C114615"/>
      <c r="E114615"/>
      <c r="F114615"/>
    </row>
    <row r="114616" spans="1:6" x14ac:dyDescent="0.25">
      <c r="A114616"/>
      <c r="B114616"/>
      <c r="C114616"/>
      <c r="E114616"/>
      <c r="F114616"/>
    </row>
    <row r="114617" spans="1:6" x14ac:dyDescent="0.25">
      <c r="A114617"/>
      <c r="B114617"/>
      <c r="C114617"/>
      <c r="E114617"/>
      <c r="F114617"/>
    </row>
    <row r="114618" spans="1:6" x14ac:dyDescent="0.25">
      <c r="A114618"/>
      <c r="B114618"/>
      <c r="C114618"/>
      <c r="E114618"/>
      <c r="F114618"/>
    </row>
    <row r="114619" spans="1:6" x14ac:dyDescent="0.25">
      <c r="A114619"/>
      <c r="B114619"/>
      <c r="C114619"/>
      <c r="E114619"/>
      <c r="F114619"/>
    </row>
    <row r="114620" spans="1:6" x14ac:dyDescent="0.25">
      <c r="A114620"/>
      <c r="B114620"/>
      <c r="C114620"/>
      <c r="E114620"/>
      <c r="F114620"/>
    </row>
    <row r="114621" spans="1:6" x14ac:dyDescent="0.25">
      <c r="A114621"/>
      <c r="B114621"/>
      <c r="C114621"/>
      <c r="E114621"/>
      <c r="F114621"/>
    </row>
    <row r="114622" spans="1:6" x14ac:dyDescent="0.25">
      <c r="A114622"/>
      <c r="B114622"/>
      <c r="C114622"/>
      <c r="E114622"/>
      <c r="F114622"/>
    </row>
    <row r="114623" spans="1:6" x14ac:dyDescent="0.25">
      <c r="A114623"/>
      <c r="B114623"/>
      <c r="C114623"/>
      <c r="E114623"/>
      <c r="F114623"/>
    </row>
    <row r="114624" spans="1:6" x14ac:dyDescent="0.25">
      <c r="A114624"/>
      <c r="B114624"/>
      <c r="C114624"/>
      <c r="E114624"/>
      <c r="F114624"/>
    </row>
    <row r="114625" spans="1:6" x14ac:dyDescent="0.25">
      <c r="A114625"/>
      <c r="B114625"/>
      <c r="C114625"/>
      <c r="E114625"/>
      <c r="F114625"/>
    </row>
    <row r="114626" spans="1:6" x14ac:dyDescent="0.25">
      <c r="A114626"/>
      <c r="B114626"/>
      <c r="C114626"/>
      <c r="E114626"/>
      <c r="F114626"/>
    </row>
    <row r="114627" spans="1:6" x14ac:dyDescent="0.25">
      <c r="A114627"/>
      <c r="B114627"/>
      <c r="C114627"/>
      <c r="E114627"/>
      <c r="F114627"/>
    </row>
    <row r="114628" spans="1:6" x14ac:dyDescent="0.25">
      <c r="A114628"/>
      <c r="B114628"/>
      <c r="C114628"/>
      <c r="E114628"/>
      <c r="F114628"/>
    </row>
    <row r="114629" spans="1:6" x14ac:dyDescent="0.25">
      <c r="A114629"/>
      <c r="B114629"/>
      <c r="C114629"/>
      <c r="E114629"/>
      <c r="F114629"/>
    </row>
    <row r="114630" spans="1:6" x14ac:dyDescent="0.25">
      <c r="A114630"/>
      <c r="B114630"/>
      <c r="C114630"/>
      <c r="E114630"/>
      <c r="F114630"/>
    </row>
    <row r="114631" spans="1:6" x14ac:dyDescent="0.25">
      <c r="A114631"/>
      <c r="B114631"/>
      <c r="C114631"/>
      <c r="E114631"/>
      <c r="F114631"/>
    </row>
    <row r="114632" spans="1:6" x14ac:dyDescent="0.25">
      <c r="A114632"/>
      <c r="B114632"/>
      <c r="C114632"/>
      <c r="E114632"/>
      <c r="F114632"/>
    </row>
    <row r="114633" spans="1:6" x14ac:dyDescent="0.25">
      <c r="A114633"/>
      <c r="B114633"/>
      <c r="C114633"/>
      <c r="E114633"/>
      <c r="F114633"/>
    </row>
    <row r="114634" spans="1:6" x14ac:dyDescent="0.25">
      <c r="A114634"/>
      <c r="B114634"/>
      <c r="C114634"/>
      <c r="E114634"/>
      <c r="F114634"/>
    </row>
    <row r="114635" spans="1:6" x14ac:dyDescent="0.25">
      <c r="A114635"/>
      <c r="B114635"/>
      <c r="C114635"/>
      <c r="E114635"/>
      <c r="F114635"/>
    </row>
    <row r="114636" spans="1:6" x14ac:dyDescent="0.25">
      <c r="A114636"/>
      <c r="B114636"/>
      <c r="C114636"/>
      <c r="E114636"/>
      <c r="F114636"/>
    </row>
    <row r="114637" spans="1:6" x14ac:dyDescent="0.25">
      <c r="A114637"/>
      <c r="B114637"/>
      <c r="C114637"/>
      <c r="E114637"/>
      <c r="F114637"/>
    </row>
    <row r="114638" spans="1:6" x14ac:dyDescent="0.25">
      <c r="A114638"/>
      <c r="B114638"/>
      <c r="C114638"/>
      <c r="E114638"/>
      <c r="F114638"/>
    </row>
    <row r="114639" spans="1:6" x14ac:dyDescent="0.25">
      <c r="A114639"/>
      <c r="B114639"/>
      <c r="C114639"/>
      <c r="E114639"/>
      <c r="F114639"/>
    </row>
    <row r="114640" spans="1:6" x14ac:dyDescent="0.25">
      <c r="A114640"/>
      <c r="B114640"/>
      <c r="C114640"/>
      <c r="E114640"/>
      <c r="F114640"/>
    </row>
    <row r="114641" spans="1:6" x14ac:dyDescent="0.25">
      <c r="A114641"/>
      <c r="B114641"/>
      <c r="C114641"/>
      <c r="E114641"/>
      <c r="F114641"/>
    </row>
    <row r="114642" spans="1:6" x14ac:dyDescent="0.25">
      <c r="A114642"/>
      <c r="B114642"/>
      <c r="C114642"/>
      <c r="E114642"/>
      <c r="F114642"/>
    </row>
    <row r="114643" spans="1:6" x14ac:dyDescent="0.25">
      <c r="A114643"/>
      <c r="B114643"/>
      <c r="C114643"/>
      <c r="E114643"/>
      <c r="F114643"/>
    </row>
    <row r="114644" spans="1:6" x14ac:dyDescent="0.25">
      <c r="A114644"/>
      <c r="B114644"/>
      <c r="C114644"/>
      <c r="E114644"/>
      <c r="F114644"/>
    </row>
    <row r="114645" spans="1:6" x14ac:dyDescent="0.25">
      <c r="A114645"/>
      <c r="B114645"/>
      <c r="C114645"/>
      <c r="E114645"/>
      <c r="F114645"/>
    </row>
    <row r="114646" spans="1:6" x14ac:dyDescent="0.25">
      <c r="A114646"/>
      <c r="B114646"/>
      <c r="C114646"/>
      <c r="E114646"/>
      <c r="F114646"/>
    </row>
    <row r="114647" spans="1:6" x14ac:dyDescent="0.25">
      <c r="A114647"/>
      <c r="B114647"/>
      <c r="C114647"/>
      <c r="E114647"/>
      <c r="F114647"/>
    </row>
    <row r="114648" spans="1:6" x14ac:dyDescent="0.25">
      <c r="A114648"/>
      <c r="B114648"/>
      <c r="C114648"/>
      <c r="E114648"/>
      <c r="F114648"/>
    </row>
    <row r="114649" spans="1:6" x14ac:dyDescent="0.25">
      <c r="A114649"/>
      <c r="B114649"/>
      <c r="C114649"/>
      <c r="E114649"/>
      <c r="F114649"/>
    </row>
    <row r="114650" spans="1:6" x14ac:dyDescent="0.25">
      <c r="A114650"/>
      <c r="B114650"/>
      <c r="C114650"/>
      <c r="E114650"/>
      <c r="F114650"/>
    </row>
    <row r="114651" spans="1:6" x14ac:dyDescent="0.25">
      <c r="A114651"/>
      <c r="B114651"/>
      <c r="C114651"/>
      <c r="E114651"/>
      <c r="F114651"/>
    </row>
    <row r="114652" spans="1:6" x14ac:dyDescent="0.25">
      <c r="A114652"/>
      <c r="B114652"/>
      <c r="C114652"/>
      <c r="E114652"/>
      <c r="F114652"/>
    </row>
    <row r="114653" spans="1:6" x14ac:dyDescent="0.25">
      <c r="A114653"/>
      <c r="B114653"/>
      <c r="C114653"/>
      <c r="E114653"/>
      <c r="F114653"/>
    </row>
    <row r="114654" spans="1:6" x14ac:dyDescent="0.25">
      <c r="A114654"/>
      <c r="B114654"/>
      <c r="C114654"/>
      <c r="E114654"/>
      <c r="F114654"/>
    </row>
    <row r="114655" spans="1:6" x14ac:dyDescent="0.25">
      <c r="A114655"/>
      <c r="B114655"/>
      <c r="C114655"/>
      <c r="E114655"/>
      <c r="F114655"/>
    </row>
    <row r="114656" spans="1:6" x14ac:dyDescent="0.25">
      <c r="A114656"/>
      <c r="B114656"/>
      <c r="C114656"/>
      <c r="E114656"/>
      <c r="F114656"/>
    </row>
    <row r="114657" spans="1:6" x14ac:dyDescent="0.25">
      <c r="A114657"/>
      <c r="B114657"/>
      <c r="C114657"/>
      <c r="E114657"/>
      <c r="F114657"/>
    </row>
    <row r="114658" spans="1:6" x14ac:dyDescent="0.25">
      <c r="A114658"/>
      <c r="B114658"/>
      <c r="C114658"/>
      <c r="E114658"/>
      <c r="F114658"/>
    </row>
    <row r="114659" spans="1:6" x14ac:dyDescent="0.25">
      <c r="A114659"/>
      <c r="B114659"/>
      <c r="C114659"/>
      <c r="E114659"/>
      <c r="F114659"/>
    </row>
    <row r="114660" spans="1:6" x14ac:dyDescent="0.25">
      <c r="A114660"/>
      <c r="B114660"/>
      <c r="C114660"/>
      <c r="E114660"/>
      <c r="F114660"/>
    </row>
    <row r="114661" spans="1:6" x14ac:dyDescent="0.25">
      <c r="A114661"/>
      <c r="B114661"/>
      <c r="C114661"/>
      <c r="E114661"/>
      <c r="F114661"/>
    </row>
    <row r="114662" spans="1:6" x14ac:dyDescent="0.25">
      <c r="A114662"/>
      <c r="B114662"/>
      <c r="C114662"/>
      <c r="E114662"/>
      <c r="F114662"/>
    </row>
    <row r="114663" spans="1:6" x14ac:dyDescent="0.25">
      <c r="A114663"/>
      <c r="B114663"/>
      <c r="C114663"/>
      <c r="E114663"/>
      <c r="F114663"/>
    </row>
    <row r="114664" spans="1:6" x14ac:dyDescent="0.25">
      <c r="A114664"/>
      <c r="B114664"/>
      <c r="C114664"/>
      <c r="E114664"/>
      <c r="F114664"/>
    </row>
    <row r="114665" spans="1:6" x14ac:dyDescent="0.25">
      <c r="A114665"/>
      <c r="B114665"/>
      <c r="C114665"/>
      <c r="E114665"/>
      <c r="F114665"/>
    </row>
    <row r="114666" spans="1:6" x14ac:dyDescent="0.25">
      <c r="A114666"/>
      <c r="B114666"/>
      <c r="C114666"/>
      <c r="E114666"/>
      <c r="F114666"/>
    </row>
    <row r="114667" spans="1:6" x14ac:dyDescent="0.25">
      <c r="A114667"/>
      <c r="B114667"/>
      <c r="C114667"/>
      <c r="E114667"/>
      <c r="F114667"/>
    </row>
    <row r="114668" spans="1:6" x14ac:dyDescent="0.25">
      <c r="A114668"/>
      <c r="B114668"/>
      <c r="C114668"/>
      <c r="E114668"/>
      <c r="F114668"/>
    </row>
    <row r="114669" spans="1:6" x14ac:dyDescent="0.25">
      <c r="A114669"/>
      <c r="B114669"/>
      <c r="C114669"/>
      <c r="E114669"/>
      <c r="F114669"/>
    </row>
    <row r="114670" spans="1:6" x14ac:dyDescent="0.25">
      <c r="A114670"/>
      <c r="B114670"/>
      <c r="C114670"/>
      <c r="E114670"/>
      <c r="F114670"/>
    </row>
    <row r="114671" spans="1:6" x14ac:dyDescent="0.25">
      <c r="A114671"/>
      <c r="B114671"/>
      <c r="C114671"/>
      <c r="E114671"/>
      <c r="F114671"/>
    </row>
    <row r="114672" spans="1:6" x14ac:dyDescent="0.25">
      <c r="A114672"/>
      <c r="B114672"/>
      <c r="C114672"/>
      <c r="E114672"/>
      <c r="F114672"/>
    </row>
    <row r="114673" spans="1:6" x14ac:dyDescent="0.25">
      <c r="A114673"/>
      <c r="B114673"/>
      <c r="C114673"/>
      <c r="E114673"/>
      <c r="F114673"/>
    </row>
    <row r="114674" spans="1:6" x14ac:dyDescent="0.25">
      <c r="A114674"/>
      <c r="B114674"/>
      <c r="C114674"/>
      <c r="E114674"/>
      <c r="F114674"/>
    </row>
    <row r="114675" spans="1:6" x14ac:dyDescent="0.25">
      <c r="A114675"/>
      <c r="B114675"/>
      <c r="C114675"/>
      <c r="E114675"/>
      <c r="F114675"/>
    </row>
    <row r="114676" spans="1:6" x14ac:dyDescent="0.25">
      <c r="A114676"/>
      <c r="B114676"/>
      <c r="C114676"/>
      <c r="E114676"/>
      <c r="F114676"/>
    </row>
    <row r="114677" spans="1:6" x14ac:dyDescent="0.25">
      <c r="A114677"/>
      <c r="B114677"/>
      <c r="C114677"/>
      <c r="E114677"/>
      <c r="F114677"/>
    </row>
    <row r="114678" spans="1:6" x14ac:dyDescent="0.25">
      <c r="A114678"/>
      <c r="B114678"/>
      <c r="C114678"/>
      <c r="E114678"/>
      <c r="F114678"/>
    </row>
    <row r="114679" spans="1:6" x14ac:dyDescent="0.25">
      <c r="A114679"/>
      <c r="B114679"/>
      <c r="C114679"/>
      <c r="E114679"/>
      <c r="F114679"/>
    </row>
    <row r="114680" spans="1:6" x14ac:dyDescent="0.25">
      <c r="A114680"/>
      <c r="B114680"/>
      <c r="C114680"/>
      <c r="E114680"/>
      <c r="F114680"/>
    </row>
    <row r="114681" spans="1:6" x14ac:dyDescent="0.25">
      <c r="A114681"/>
      <c r="B114681"/>
      <c r="C114681"/>
      <c r="E114681"/>
      <c r="F114681"/>
    </row>
    <row r="114682" spans="1:6" x14ac:dyDescent="0.25">
      <c r="A114682"/>
      <c r="B114682"/>
      <c r="C114682"/>
      <c r="E114682"/>
      <c r="F114682"/>
    </row>
    <row r="114683" spans="1:6" x14ac:dyDescent="0.25">
      <c r="A114683"/>
      <c r="B114683"/>
      <c r="C114683"/>
      <c r="E114683"/>
      <c r="F114683"/>
    </row>
    <row r="114684" spans="1:6" x14ac:dyDescent="0.25">
      <c r="A114684"/>
      <c r="B114684"/>
      <c r="C114684"/>
      <c r="E114684"/>
      <c r="F114684"/>
    </row>
    <row r="114685" spans="1:6" x14ac:dyDescent="0.25">
      <c r="A114685"/>
      <c r="B114685"/>
      <c r="C114685"/>
      <c r="E114685"/>
      <c r="F114685"/>
    </row>
    <row r="114686" spans="1:6" x14ac:dyDescent="0.25">
      <c r="A114686"/>
      <c r="B114686"/>
      <c r="C114686"/>
      <c r="E114686"/>
      <c r="F114686"/>
    </row>
    <row r="114687" spans="1:6" x14ac:dyDescent="0.25">
      <c r="A114687"/>
      <c r="B114687"/>
      <c r="C114687"/>
      <c r="E114687"/>
      <c r="F114687"/>
    </row>
    <row r="114688" spans="1:6" x14ac:dyDescent="0.25">
      <c r="A114688"/>
      <c r="B114688"/>
      <c r="C114688"/>
      <c r="E114688"/>
      <c r="F114688"/>
    </row>
    <row r="114689" spans="1:6" x14ac:dyDescent="0.25">
      <c r="A114689"/>
      <c r="B114689"/>
      <c r="C114689"/>
      <c r="E114689"/>
      <c r="F114689"/>
    </row>
    <row r="114690" spans="1:6" x14ac:dyDescent="0.25">
      <c r="A114690"/>
      <c r="B114690"/>
      <c r="C114690"/>
      <c r="E114690"/>
      <c r="F114690"/>
    </row>
    <row r="114691" spans="1:6" x14ac:dyDescent="0.25">
      <c r="A114691"/>
      <c r="B114691"/>
      <c r="C114691"/>
      <c r="E114691"/>
      <c r="F114691"/>
    </row>
    <row r="114692" spans="1:6" x14ac:dyDescent="0.25">
      <c r="A114692"/>
      <c r="B114692"/>
      <c r="C114692"/>
      <c r="E114692"/>
      <c r="F114692"/>
    </row>
    <row r="114693" spans="1:6" x14ac:dyDescent="0.25">
      <c r="A114693"/>
      <c r="B114693"/>
      <c r="C114693"/>
      <c r="E114693"/>
      <c r="F114693"/>
    </row>
    <row r="114694" spans="1:6" x14ac:dyDescent="0.25">
      <c r="A114694"/>
      <c r="B114694"/>
      <c r="C114694"/>
      <c r="E114694"/>
      <c r="F114694"/>
    </row>
    <row r="114695" spans="1:6" x14ac:dyDescent="0.25">
      <c r="A114695"/>
      <c r="B114695"/>
      <c r="C114695"/>
      <c r="E114695"/>
      <c r="F114695"/>
    </row>
    <row r="114696" spans="1:6" x14ac:dyDescent="0.25">
      <c r="A114696"/>
      <c r="B114696"/>
      <c r="C114696"/>
      <c r="E114696"/>
      <c r="F114696"/>
    </row>
    <row r="114697" spans="1:6" x14ac:dyDescent="0.25">
      <c r="A114697"/>
      <c r="B114697"/>
      <c r="C114697"/>
      <c r="E114697"/>
      <c r="F114697"/>
    </row>
    <row r="114698" spans="1:6" x14ac:dyDescent="0.25">
      <c r="A114698"/>
      <c r="B114698"/>
      <c r="C114698"/>
      <c r="E114698"/>
      <c r="F114698"/>
    </row>
    <row r="114699" spans="1:6" x14ac:dyDescent="0.25">
      <c r="A114699"/>
      <c r="B114699"/>
      <c r="C114699"/>
      <c r="E114699"/>
      <c r="F114699"/>
    </row>
    <row r="114700" spans="1:6" x14ac:dyDescent="0.25">
      <c r="A114700"/>
      <c r="B114700"/>
      <c r="C114700"/>
      <c r="E114700"/>
      <c r="F114700"/>
    </row>
    <row r="114701" spans="1:6" x14ac:dyDescent="0.25">
      <c r="A114701"/>
      <c r="B114701"/>
      <c r="C114701"/>
      <c r="E114701"/>
      <c r="F114701"/>
    </row>
    <row r="114702" spans="1:6" x14ac:dyDescent="0.25">
      <c r="A114702"/>
      <c r="B114702"/>
      <c r="C114702"/>
      <c r="E114702"/>
      <c r="F114702"/>
    </row>
    <row r="114703" spans="1:6" x14ac:dyDescent="0.25">
      <c r="A114703"/>
      <c r="B114703"/>
      <c r="C114703"/>
      <c r="E114703"/>
      <c r="F114703"/>
    </row>
    <row r="114704" spans="1:6" x14ac:dyDescent="0.25">
      <c r="A114704"/>
      <c r="B114704"/>
      <c r="C114704"/>
      <c r="E114704"/>
      <c r="F114704"/>
    </row>
    <row r="114705" spans="1:6" x14ac:dyDescent="0.25">
      <c r="A114705"/>
      <c r="B114705"/>
      <c r="C114705"/>
      <c r="E114705"/>
      <c r="F114705"/>
    </row>
    <row r="114706" spans="1:6" x14ac:dyDescent="0.25">
      <c r="A114706"/>
      <c r="B114706"/>
      <c r="C114706"/>
      <c r="E114706"/>
      <c r="F114706"/>
    </row>
    <row r="114707" spans="1:6" x14ac:dyDescent="0.25">
      <c r="A114707"/>
      <c r="B114707"/>
      <c r="C114707"/>
      <c r="E114707"/>
      <c r="F114707"/>
    </row>
    <row r="114708" spans="1:6" x14ac:dyDescent="0.25">
      <c r="A114708"/>
      <c r="B114708"/>
      <c r="C114708"/>
      <c r="E114708"/>
      <c r="F114708"/>
    </row>
    <row r="114709" spans="1:6" x14ac:dyDescent="0.25">
      <c r="A114709"/>
      <c r="B114709"/>
      <c r="C114709"/>
      <c r="E114709"/>
      <c r="F114709"/>
    </row>
    <row r="114710" spans="1:6" x14ac:dyDescent="0.25">
      <c r="A114710"/>
      <c r="B114710"/>
      <c r="C114710"/>
      <c r="E114710"/>
      <c r="F114710"/>
    </row>
    <row r="114711" spans="1:6" x14ac:dyDescent="0.25">
      <c r="A114711"/>
      <c r="B114711"/>
      <c r="C114711"/>
      <c r="E114711"/>
      <c r="F114711"/>
    </row>
    <row r="114712" spans="1:6" x14ac:dyDescent="0.25">
      <c r="A114712"/>
      <c r="B114712"/>
      <c r="C114712"/>
      <c r="E114712"/>
      <c r="F114712"/>
    </row>
    <row r="114713" spans="1:6" x14ac:dyDescent="0.25">
      <c r="A114713"/>
      <c r="B114713"/>
      <c r="C114713"/>
      <c r="E114713"/>
      <c r="F114713"/>
    </row>
    <row r="114714" spans="1:6" x14ac:dyDescent="0.25">
      <c r="A114714"/>
      <c r="B114714"/>
      <c r="C114714"/>
      <c r="E114714"/>
      <c r="F114714"/>
    </row>
    <row r="114715" spans="1:6" x14ac:dyDescent="0.25">
      <c r="A114715"/>
      <c r="B114715"/>
      <c r="C114715"/>
      <c r="E114715"/>
      <c r="F114715"/>
    </row>
    <row r="114716" spans="1:6" x14ac:dyDescent="0.25">
      <c r="A114716"/>
      <c r="B114716"/>
      <c r="C114716"/>
      <c r="E114716"/>
      <c r="F114716"/>
    </row>
    <row r="114717" spans="1:6" x14ac:dyDescent="0.25">
      <c r="A114717"/>
      <c r="B114717"/>
      <c r="C114717"/>
      <c r="E114717"/>
      <c r="F114717"/>
    </row>
    <row r="114718" spans="1:6" x14ac:dyDescent="0.25">
      <c r="A114718"/>
      <c r="B114718"/>
      <c r="C114718"/>
      <c r="E114718"/>
      <c r="F114718"/>
    </row>
    <row r="114719" spans="1:6" x14ac:dyDescent="0.25">
      <c r="A114719"/>
      <c r="B114719"/>
      <c r="C114719"/>
      <c r="E114719"/>
      <c r="F114719"/>
    </row>
    <row r="114720" spans="1:6" x14ac:dyDescent="0.25">
      <c r="A114720"/>
      <c r="B114720"/>
      <c r="C114720"/>
      <c r="E114720"/>
      <c r="F114720"/>
    </row>
    <row r="114721" spans="1:6" x14ac:dyDescent="0.25">
      <c r="A114721"/>
      <c r="B114721"/>
      <c r="C114721"/>
      <c r="E114721"/>
      <c r="F114721"/>
    </row>
    <row r="114722" spans="1:6" x14ac:dyDescent="0.25">
      <c r="A114722"/>
      <c r="B114722"/>
      <c r="C114722"/>
      <c r="E114722"/>
      <c r="F114722"/>
    </row>
    <row r="114723" spans="1:6" x14ac:dyDescent="0.25">
      <c r="A114723"/>
      <c r="B114723"/>
      <c r="C114723"/>
      <c r="E114723"/>
      <c r="F114723"/>
    </row>
    <row r="114724" spans="1:6" x14ac:dyDescent="0.25">
      <c r="A114724"/>
      <c r="B114724"/>
      <c r="C114724"/>
      <c r="E114724"/>
      <c r="F114724"/>
    </row>
    <row r="114725" spans="1:6" x14ac:dyDescent="0.25">
      <c r="A114725"/>
      <c r="B114725"/>
      <c r="C114725"/>
      <c r="E114725"/>
      <c r="F114725"/>
    </row>
    <row r="114726" spans="1:6" x14ac:dyDescent="0.25">
      <c r="A114726"/>
      <c r="B114726"/>
      <c r="C114726"/>
      <c r="E114726"/>
      <c r="F114726"/>
    </row>
    <row r="114727" spans="1:6" x14ac:dyDescent="0.25">
      <c r="A114727"/>
      <c r="B114727"/>
      <c r="C114727"/>
      <c r="E114727"/>
      <c r="F114727"/>
    </row>
    <row r="114728" spans="1:6" x14ac:dyDescent="0.25">
      <c r="A114728"/>
      <c r="B114728"/>
      <c r="C114728"/>
      <c r="E114728"/>
      <c r="F114728"/>
    </row>
    <row r="114729" spans="1:6" x14ac:dyDescent="0.25">
      <c r="A114729"/>
      <c r="B114729"/>
      <c r="C114729"/>
      <c r="E114729"/>
      <c r="F114729"/>
    </row>
    <row r="114730" spans="1:6" x14ac:dyDescent="0.25">
      <c r="A114730"/>
      <c r="B114730"/>
      <c r="C114730"/>
      <c r="E114730"/>
      <c r="F114730"/>
    </row>
    <row r="114731" spans="1:6" x14ac:dyDescent="0.25">
      <c r="A114731"/>
      <c r="B114731"/>
      <c r="C114731"/>
      <c r="E114731"/>
      <c r="F114731"/>
    </row>
    <row r="114732" spans="1:6" x14ac:dyDescent="0.25">
      <c r="A114732"/>
      <c r="B114732"/>
      <c r="C114732"/>
      <c r="E114732"/>
      <c r="F114732"/>
    </row>
    <row r="114733" spans="1:6" x14ac:dyDescent="0.25">
      <c r="A114733"/>
      <c r="B114733"/>
      <c r="C114733"/>
      <c r="E114733"/>
      <c r="F114733"/>
    </row>
    <row r="114734" spans="1:6" x14ac:dyDescent="0.25">
      <c r="A114734"/>
      <c r="B114734"/>
      <c r="C114734"/>
      <c r="E114734"/>
      <c r="F114734"/>
    </row>
    <row r="114735" spans="1:6" x14ac:dyDescent="0.25">
      <c r="A114735"/>
      <c r="B114735"/>
      <c r="C114735"/>
      <c r="E114735"/>
      <c r="F114735"/>
    </row>
    <row r="114736" spans="1:6" x14ac:dyDescent="0.25">
      <c r="A114736"/>
      <c r="B114736"/>
      <c r="C114736"/>
      <c r="E114736"/>
      <c r="F114736"/>
    </row>
    <row r="114737" spans="1:6" x14ac:dyDescent="0.25">
      <c r="A114737"/>
      <c r="B114737"/>
      <c r="C114737"/>
      <c r="E114737"/>
      <c r="F114737"/>
    </row>
    <row r="114738" spans="1:6" x14ac:dyDescent="0.25">
      <c r="A114738"/>
      <c r="B114738"/>
      <c r="C114738"/>
      <c r="E114738"/>
      <c r="F114738"/>
    </row>
    <row r="114739" spans="1:6" x14ac:dyDescent="0.25">
      <c r="A114739"/>
      <c r="B114739"/>
      <c r="C114739"/>
      <c r="E114739"/>
      <c r="F114739"/>
    </row>
    <row r="114740" spans="1:6" x14ac:dyDescent="0.25">
      <c r="A114740"/>
      <c r="B114740"/>
      <c r="C114740"/>
      <c r="E114740"/>
      <c r="F114740"/>
    </row>
    <row r="114741" spans="1:6" x14ac:dyDescent="0.25">
      <c r="A114741"/>
      <c r="B114741"/>
      <c r="C114741"/>
      <c r="E114741"/>
      <c r="F114741"/>
    </row>
    <row r="114742" spans="1:6" x14ac:dyDescent="0.25">
      <c r="A114742"/>
      <c r="B114742"/>
      <c r="C114742"/>
      <c r="E114742"/>
      <c r="F114742"/>
    </row>
    <row r="114743" spans="1:6" x14ac:dyDescent="0.25">
      <c r="A114743"/>
      <c r="B114743"/>
      <c r="C114743"/>
      <c r="E114743"/>
      <c r="F114743"/>
    </row>
    <row r="114744" spans="1:6" x14ac:dyDescent="0.25">
      <c r="A114744"/>
      <c r="B114744"/>
      <c r="C114744"/>
      <c r="E114744"/>
      <c r="F114744"/>
    </row>
    <row r="114745" spans="1:6" x14ac:dyDescent="0.25">
      <c r="A114745"/>
      <c r="B114745"/>
      <c r="C114745"/>
      <c r="E114745"/>
      <c r="F114745"/>
    </row>
    <row r="114746" spans="1:6" x14ac:dyDescent="0.25">
      <c r="A114746"/>
      <c r="B114746"/>
      <c r="C114746"/>
      <c r="E114746"/>
      <c r="F114746"/>
    </row>
    <row r="114747" spans="1:6" x14ac:dyDescent="0.25">
      <c r="A114747"/>
      <c r="B114747"/>
      <c r="C114747"/>
      <c r="E114747"/>
      <c r="F114747"/>
    </row>
    <row r="114748" spans="1:6" x14ac:dyDescent="0.25">
      <c r="A114748"/>
      <c r="B114748"/>
      <c r="C114748"/>
      <c r="E114748"/>
      <c r="F114748"/>
    </row>
    <row r="114749" spans="1:6" x14ac:dyDescent="0.25">
      <c r="A114749"/>
      <c r="B114749"/>
      <c r="C114749"/>
      <c r="E114749"/>
      <c r="F114749"/>
    </row>
    <row r="114750" spans="1:6" x14ac:dyDescent="0.25">
      <c r="A114750"/>
      <c r="B114750"/>
      <c r="C114750"/>
      <c r="E114750"/>
      <c r="F114750"/>
    </row>
    <row r="114751" spans="1:6" x14ac:dyDescent="0.25">
      <c r="A114751"/>
      <c r="B114751"/>
      <c r="C114751"/>
      <c r="E114751"/>
      <c r="F114751"/>
    </row>
    <row r="114752" spans="1:6" x14ac:dyDescent="0.25">
      <c r="A114752"/>
      <c r="B114752"/>
      <c r="C114752"/>
      <c r="E114752"/>
      <c r="F114752"/>
    </row>
    <row r="114753" spans="1:6" x14ac:dyDescent="0.25">
      <c r="A114753"/>
      <c r="B114753"/>
      <c r="C114753"/>
      <c r="E114753"/>
      <c r="F114753"/>
    </row>
    <row r="114754" spans="1:6" x14ac:dyDescent="0.25">
      <c r="A114754"/>
      <c r="B114754"/>
      <c r="C114754"/>
      <c r="E114754"/>
      <c r="F114754"/>
    </row>
    <row r="114755" spans="1:6" x14ac:dyDescent="0.25">
      <c r="A114755"/>
      <c r="B114755"/>
      <c r="C114755"/>
      <c r="E114755"/>
      <c r="F114755"/>
    </row>
    <row r="114756" spans="1:6" x14ac:dyDescent="0.25">
      <c r="A114756"/>
      <c r="B114756"/>
      <c r="C114756"/>
      <c r="E114756"/>
      <c r="F114756"/>
    </row>
    <row r="114757" spans="1:6" x14ac:dyDescent="0.25">
      <c r="A114757"/>
      <c r="B114757"/>
      <c r="C114757"/>
      <c r="E114757"/>
      <c r="F114757"/>
    </row>
    <row r="114758" spans="1:6" x14ac:dyDescent="0.25">
      <c r="A114758"/>
      <c r="B114758"/>
      <c r="C114758"/>
      <c r="E114758"/>
      <c r="F114758"/>
    </row>
    <row r="114759" spans="1:6" x14ac:dyDescent="0.25">
      <c r="A114759"/>
      <c r="B114759"/>
      <c r="C114759"/>
      <c r="E114759"/>
      <c r="F114759"/>
    </row>
    <row r="114760" spans="1:6" x14ac:dyDescent="0.25">
      <c r="A114760"/>
      <c r="B114760"/>
      <c r="C114760"/>
      <c r="E114760"/>
      <c r="F114760"/>
    </row>
    <row r="114761" spans="1:6" x14ac:dyDescent="0.25">
      <c r="A114761"/>
      <c r="B114761"/>
      <c r="C114761"/>
      <c r="E114761"/>
      <c r="F114761"/>
    </row>
    <row r="114762" spans="1:6" x14ac:dyDescent="0.25">
      <c r="A114762"/>
      <c r="B114762"/>
      <c r="C114762"/>
      <c r="E114762"/>
      <c r="F114762"/>
    </row>
    <row r="114763" spans="1:6" x14ac:dyDescent="0.25">
      <c r="A114763"/>
      <c r="B114763"/>
      <c r="C114763"/>
      <c r="E114763"/>
      <c r="F114763"/>
    </row>
    <row r="114764" spans="1:6" x14ac:dyDescent="0.25">
      <c r="A114764"/>
      <c r="B114764"/>
      <c r="C114764"/>
      <c r="E114764"/>
      <c r="F114764"/>
    </row>
    <row r="114765" spans="1:6" x14ac:dyDescent="0.25">
      <c r="A114765"/>
      <c r="B114765"/>
      <c r="C114765"/>
      <c r="E114765"/>
      <c r="F114765"/>
    </row>
    <row r="114766" spans="1:6" x14ac:dyDescent="0.25">
      <c r="A114766"/>
      <c r="B114766"/>
      <c r="C114766"/>
      <c r="E114766"/>
      <c r="F114766"/>
    </row>
    <row r="114767" spans="1:6" x14ac:dyDescent="0.25">
      <c r="A114767"/>
      <c r="B114767"/>
      <c r="C114767"/>
      <c r="E114767"/>
      <c r="F114767"/>
    </row>
    <row r="114768" spans="1:6" x14ac:dyDescent="0.25">
      <c r="A114768"/>
      <c r="B114768"/>
      <c r="C114768"/>
      <c r="E114768"/>
      <c r="F114768"/>
    </row>
    <row r="114769" spans="1:6" x14ac:dyDescent="0.25">
      <c r="A114769"/>
      <c r="B114769"/>
      <c r="C114769"/>
      <c r="E114769"/>
      <c r="F114769"/>
    </row>
    <row r="114770" spans="1:6" x14ac:dyDescent="0.25">
      <c r="A114770"/>
      <c r="B114770"/>
      <c r="C114770"/>
      <c r="E114770"/>
      <c r="F114770"/>
    </row>
    <row r="114771" spans="1:6" x14ac:dyDescent="0.25">
      <c r="A114771"/>
      <c r="B114771"/>
      <c r="C114771"/>
      <c r="E114771"/>
      <c r="F114771"/>
    </row>
    <row r="114772" spans="1:6" x14ac:dyDescent="0.25">
      <c r="A114772"/>
      <c r="B114772"/>
      <c r="C114772"/>
      <c r="E114772"/>
      <c r="F114772"/>
    </row>
    <row r="114773" spans="1:6" x14ac:dyDescent="0.25">
      <c r="A114773"/>
      <c r="B114773"/>
      <c r="C114773"/>
      <c r="E114773"/>
      <c r="F114773"/>
    </row>
    <row r="114774" spans="1:6" x14ac:dyDescent="0.25">
      <c r="A114774"/>
      <c r="B114774"/>
      <c r="C114774"/>
      <c r="E114774"/>
      <c r="F114774"/>
    </row>
    <row r="114775" spans="1:6" x14ac:dyDescent="0.25">
      <c r="A114775"/>
      <c r="B114775"/>
      <c r="C114775"/>
      <c r="E114775"/>
      <c r="F114775"/>
    </row>
    <row r="114776" spans="1:6" x14ac:dyDescent="0.25">
      <c r="A114776"/>
      <c r="B114776"/>
      <c r="C114776"/>
      <c r="E114776"/>
      <c r="F114776"/>
    </row>
    <row r="114777" spans="1:6" x14ac:dyDescent="0.25">
      <c r="A114777"/>
      <c r="B114777"/>
      <c r="C114777"/>
      <c r="E114777"/>
      <c r="F114777"/>
    </row>
    <row r="114778" spans="1:6" x14ac:dyDescent="0.25">
      <c r="A114778"/>
      <c r="B114778"/>
      <c r="C114778"/>
      <c r="E114778"/>
      <c r="F114778"/>
    </row>
    <row r="114779" spans="1:6" x14ac:dyDescent="0.25">
      <c r="A114779"/>
      <c r="B114779"/>
      <c r="C114779"/>
      <c r="E114779"/>
      <c r="F114779"/>
    </row>
    <row r="114780" spans="1:6" x14ac:dyDescent="0.25">
      <c r="A114780"/>
      <c r="B114780"/>
      <c r="C114780"/>
      <c r="E114780"/>
      <c r="F114780"/>
    </row>
    <row r="114781" spans="1:6" x14ac:dyDescent="0.25">
      <c r="A114781"/>
      <c r="B114781"/>
      <c r="C114781"/>
      <c r="E114781"/>
      <c r="F114781"/>
    </row>
    <row r="114782" spans="1:6" x14ac:dyDescent="0.25">
      <c r="A114782"/>
      <c r="B114782"/>
      <c r="C114782"/>
      <c r="E114782"/>
      <c r="F114782"/>
    </row>
    <row r="114783" spans="1:6" x14ac:dyDescent="0.25">
      <c r="A114783"/>
      <c r="B114783"/>
      <c r="C114783"/>
      <c r="E114783"/>
      <c r="F114783"/>
    </row>
    <row r="114784" spans="1:6" x14ac:dyDescent="0.25">
      <c r="A114784"/>
      <c r="B114784"/>
      <c r="C114784"/>
      <c r="E114784"/>
      <c r="F114784"/>
    </row>
    <row r="114785" spans="1:6" x14ac:dyDescent="0.25">
      <c r="A114785"/>
      <c r="B114785"/>
      <c r="C114785"/>
      <c r="E114785"/>
      <c r="F114785"/>
    </row>
    <row r="114786" spans="1:6" x14ac:dyDescent="0.25">
      <c r="A114786"/>
      <c r="B114786"/>
      <c r="C114786"/>
      <c r="E114786"/>
      <c r="F114786"/>
    </row>
    <row r="114787" spans="1:6" x14ac:dyDescent="0.25">
      <c r="A114787"/>
      <c r="B114787"/>
      <c r="C114787"/>
      <c r="E114787"/>
      <c r="F114787"/>
    </row>
    <row r="114788" spans="1:6" x14ac:dyDescent="0.25">
      <c r="A114788"/>
      <c r="B114788"/>
      <c r="C114788"/>
      <c r="E114788"/>
      <c r="F114788"/>
    </row>
    <row r="114789" spans="1:6" x14ac:dyDescent="0.25">
      <c r="A114789"/>
      <c r="B114789"/>
      <c r="C114789"/>
      <c r="E114789"/>
      <c r="F114789"/>
    </row>
    <row r="114790" spans="1:6" x14ac:dyDescent="0.25">
      <c r="A114790"/>
      <c r="B114790"/>
      <c r="C114790"/>
      <c r="E114790"/>
      <c r="F114790"/>
    </row>
    <row r="114791" spans="1:6" x14ac:dyDescent="0.25">
      <c r="A114791"/>
      <c r="B114791"/>
      <c r="C114791"/>
      <c r="E114791"/>
      <c r="F114791"/>
    </row>
    <row r="114792" spans="1:6" x14ac:dyDescent="0.25">
      <c r="A114792"/>
      <c r="B114792"/>
      <c r="C114792"/>
      <c r="E114792"/>
      <c r="F114792"/>
    </row>
    <row r="114793" spans="1:6" x14ac:dyDescent="0.25">
      <c r="A114793"/>
      <c r="B114793"/>
      <c r="C114793"/>
      <c r="E114793"/>
      <c r="F114793"/>
    </row>
    <row r="114794" spans="1:6" x14ac:dyDescent="0.25">
      <c r="A114794"/>
      <c r="B114794"/>
      <c r="C114794"/>
      <c r="E114794"/>
      <c r="F114794"/>
    </row>
    <row r="114795" spans="1:6" x14ac:dyDescent="0.25">
      <c r="A114795"/>
      <c r="B114795"/>
      <c r="C114795"/>
      <c r="E114795"/>
      <c r="F114795"/>
    </row>
    <row r="114796" spans="1:6" x14ac:dyDescent="0.25">
      <c r="A114796"/>
      <c r="B114796"/>
      <c r="C114796"/>
      <c r="E114796"/>
      <c r="F114796"/>
    </row>
    <row r="114797" spans="1:6" x14ac:dyDescent="0.25">
      <c r="A114797"/>
      <c r="B114797"/>
      <c r="C114797"/>
      <c r="E114797"/>
      <c r="F114797"/>
    </row>
    <row r="114798" spans="1:6" x14ac:dyDescent="0.25">
      <c r="A114798"/>
      <c r="B114798"/>
      <c r="C114798"/>
      <c r="E114798"/>
      <c r="F114798"/>
    </row>
    <row r="114799" spans="1:6" x14ac:dyDescent="0.25">
      <c r="A114799"/>
      <c r="B114799"/>
      <c r="C114799"/>
      <c r="E114799"/>
      <c r="F114799"/>
    </row>
    <row r="114800" spans="1:6" x14ac:dyDescent="0.25">
      <c r="A114800"/>
      <c r="B114800"/>
      <c r="C114800"/>
      <c r="E114800"/>
      <c r="F114800"/>
    </row>
    <row r="114801" spans="1:6" x14ac:dyDescent="0.25">
      <c r="A114801"/>
      <c r="B114801"/>
      <c r="C114801"/>
      <c r="E114801"/>
      <c r="F114801"/>
    </row>
    <row r="114802" spans="1:6" x14ac:dyDescent="0.25">
      <c r="A114802"/>
      <c r="B114802"/>
      <c r="C114802"/>
      <c r="E114802"/>
      <c r="F114802"/>
    </row>
    <row r="114803" spans="1:6" x14ac:dyDescent="0.25">
      <c r="A114803"/>
      <c r="B114803"/>
      <c r="C114803"/>
      <c r="E114803"/>
      <c r="F114803"/>
    </row>
    <row r="114804" spans="1:6" x14ac:dyDescent="0.25">
      <c r="A114804"/>
      <c r="B114804"/>
      <c r="C114804"/>
      <c r="E114804"/>
      <c r="F114804"/>
    </row>
    <row r="114805" spans="1:6" x14ac:dyDescent="0.25">
      <c r="A114805"/>
      <c r="B114805"/>
      <c r="C114805"/>
      <c r="E114805"/>
      <c r="F114805"/>
    </row>
    <row r="114806" spans="1:6" x14ac:dyDescent="0.25">
      <c r="A114806"/>
      <c r="B114806"/>
      <c r="C114806"/>
      <c r="E114806"/>
      <c r="F114806"/>
    </row>
    <row r="114807" spans="1:6" x14ac:dyDescent="0.25">
      <c r="A114807"/>
      <c r="B114807"/>
      <c r="C114807"/>
      <c r="E114807"/>
      <c r="F114807"/>
    </row>
    <row r="114808" spans="1:6" x14ac:dyDescent="0.25">
      <c r="A114808"/>
      <c r="B114808"/>
      <c r="C114808"/>
      <c r="E114808"/>
      <c r="F114808"/>
    </row>
    <row r="114809" spans="1:6" x14ac:dyDescent="0.25">
      <c r="A114809"/>
      <c r="B114809"/>
      <c r="C114809"/>
      <c r="E114809"/>
      <c r="F114809"/>
    </row>
    <row r="114810" spans="1:6" x14ac:dyDescent="0.25">
      <c r="A114810"/>
      <c r="B114810"/>
      <c r="C114810"/>
      <c r="E114810"/>
      <c r="F114810"/>
    </row>
    <row r="114811" spans="1:6" x14ac:dyDescent="0.25">
      <c r="A114811"/>
      <c r="B114811"/>
      <c r="C114811"/>
      <c r="E114811"/>
      <c r="F114811"/>
    </row>
    <row r="114812" spans="1:6" x14ac:dyDescent="0.25">
      <c r="A114812"/>
      <c r="B114812"/>
      <c r="C114812"/>
      <c r="E114812"/>
      <c r="F114812"/>
    </row>
    <row r="114813" spans="1:6" x14ac:dyDescent="0.25">
      <c r="A114813"/>
      <c r="B114813"/>
      <c r="C114813"/>
      <c r="E114813"/>
      <c r="F114813"/>
    </row>
    <row r="114814" spans="1:6" x14ac:dyDescent="0.25">
      <c r="A114814"/>
      <c r="B114814"/>
      <c r="C114814"/>
      <c r="E114814"/>
      <c r="F114814"/>
    </row>
    <row r="114815" spans="1:6" x14ac:dyDescent="0.25">
      <c r="A114815"/>
      <c r="B114815"/>
      <c r="C114815"/>
      <c r="E114815"/>
      <c r="F114815"/>
    </row>
    <row r="114816" spans="1:6" x14ac:dyDescent="0.25">
      <c r="A114816"/>
      <c r="B114816"/>
      <c r="C114816"/>
      <c r="E114816"/>
      <c r="F114816"/>
    </row>
    <row r="114817" spans="1:6" x14ac:dyDescent="0.25">
      <c r="A114817"/>
      <c r="B114817"/>
      <c r="C114817"/>
      <c r="E114817"/>
      <c r="F114817"/>
    </row>
    <row r="114818" spans="1:6" x14ac:dyDescent="0.25">
      <c r="A114818"/>
      <c r="B114818"/>
      <c r="C114818"/>
      <c r="E114818"/>
      <c r="F114818"/>
    </row>
    <row r="114819" spans="1:6" x14ac:dyDescent="0.25">
      <c r="A114819"/>
      <c r="B114819"/>
      <c r="C114819"/>
      <c r="E114819"/>
      <c r="F114819"/>
    </row>
    <row r="114820" spans="1:6" x14ac:dyDescent="0.25">
      <c r="A114820"/>
      <c r="B114820"/>
      <c r="C114820"/>
      <c r="E114820"/>
      <c r="F114820"/>
    </row>
    <row r="114821" spans="1:6" x14ac:dyDescent="0.25">
      <c r="A114821"/>
      <c r="B114821"/>
      <c r="C114821"/>
      <c r="E114821"/>
      <c r="F114821"/>
    </row>
    <row r="114822" spans="1:6" x14ac:dyDescent="0.25">
      <c r="A114822"/>
      <c r="B114822"/>
      <c r="C114822"/>
      <c r="E114822"/>
      <c r="F114822"/>
    </row>
    <row r="114823" spans="1:6" x14ac:dyDescent="0.25">
      <c r="A114823"/>
      <c r="B114823"/>
      <c r="C114823"/>
      <c r="E114823"/>
      <c r="F114823"/>
    </row>
    <row r="114824" spans="1:6" x14ac:dyDescent="0.25">
      <c r="A114824"/>
      <c r="B114824"/>
      <c r="C114824"/>
      <c r="E114824"/>
      <c r="F114824"/>
    </row>
    <row r="114825" spans="1:6" x14ac:dyDescent="0.25">
      <c r="A114825"/>
      <c r="B114825"/>
      <c r="C114825"/>
      <c r="E114825"/>
      <c r="F114825"/>
    </row>
    <row r="114826" spans="1:6" x14ac:dyDescent="0.25">
      <c r="A114826"/>
      <c r="B114826"/>
      <c r="C114826"/>
      <c r="E114826"/>
      <c r="F114826"/>
    </row>
    <row r="114827" spans="1:6" x14ac:dyDescent="0.25">
      <c r="A114827"/>
      <c r="B114827"/>
      <c r="C114827"/>
      <c r="E114827"/>
      <c r="F114827"/>
    </row>
    <row r="114828" spans="1:6" x14ac:dyDescent="0.25">
      <c r="A114828"/>
      <c r="B114828"/>
      <c r="C114828"/>
      <c r="E114828"/>
      <c r="F114828"/>
    </row>
    <row r="114829" spans="1:6" x14ac:dyDescent="0.25">
      <c r="A114829"/>
      <c r="B114829"/>
      <c r="C114829"/>
      <c r="E114829"/>
      <c r="F114829"/>
    </row>
    <row r="114830" spans="1:6" x14ac:dyDescent="0.25">
      <c r="A114830"/>
      <c r="B114830"/>
      <c r="C114830"/>
      <c r="E114830"/>
      <c r="F114830"/>
    </row>
    <row r="114831" spans="1:6" x14ac:dyDescent="0.25">
      <c r="A114831"/>
      <c r="B114831"/>
      <c r="C114831"/>
      <c r="E114831"/>
      <c r="F114831"/>
    </row>
    <row r="114832" spans="1:6" x14ac:dyDescent="0.25">
      <c r="A114832"/>
      <c r="B114832"/>
      <c r="C114832"/>
      <c r="E114832"/>
      <c r="F114832"/>
    </row>
    <row r="114833" spans="1:6" x14ac:dyDescent="0.25">
      <c r="A114833"/>
      <c r="B114833"/>
      <c r="C114833"/>
      <c r="E114833"/>
      <c r="F114833"/>
    </row>
    <row r="114834" spans="1:6" x14ac:dyDescent="0.25">
      <c r="A114834"/>
      <c r="B114834"/>
      <c r="C114834"/>
      <c r="E114834"/>
      <c r="F114834"/>
    </row>
    <row r="114835" spans="1:6" x14ac:dyDescent="0.25">
      <c r="A114835"/>
      <c r="B114835"/>
      <c r="C114835"/>
      <c r="E114835"/>
      <c r="F114835"/>
    </row>
    <row r="114836" spans="1:6" x14ac:dyDescent="0.25">
      <c r="A114836"/>
      <c r="B114836"/>
      <c r="C114836"/>
      <c r="E114836"/>
      <c r="F114836"/>
    </row>
    <row r="114837" spans="1:6" x14ac:dyDescent="0.25">
      <c r="A114837"/>
      <c r="B114837"/>
      <c r="C114837"/>
      <c r="E114837"/>
      <c r="F114837"/>
    </row>
    <row r="114838" spans="1:6" x14ac:dyDescent="0.25">
      <c r="A114838"/>
      <c r="B114838"/>
      <c r="C114838"/>
      <c r="E114838"/>
      <c r="F114838"/>
    </row>
    <row r="114839" spans="1:6" x14ac:dyDescent="0.25">
      <c r="A114839"/>
      <c r="B114839"/>
      <c r="C114839"/>
      <c r="E114839"/>
      <c r="F114839"/>
    </row>
    <row r="114840" spans="1:6" x14ac:dyDescent="0.25">
      <c r="A114840"/>
      <c r="B114840"/>
      <c r="C114840"/>
      <c r="E114840"/>
      <c r="F114840"/>
    </row>
    <row r="114841" spans="1:6" x14ac:dyDescent="0.25">
      <c r="A114841"/>
      <c r="B114841"/>
      <c r="C114841"/>
      <c r="E114841"/>
      <c r="F114841"/>
    </row>
    <row r="114842" spans="1:6" x14ac:dyDescent="0.25">
      <c r="A114842"/>
      <c r="B114842"/>
      <c r="C114842"/>
      <c r="E114842"/>
      <c r="F114842"/>
    </row>
    <row r="114843" spans="1:6" x14ac:dyDescent="0.25">
      <c r="A114843"/>
      <c r="B114843"/>
      <c r="C114843"/>
      <c r="E114843"/>
      <c r="F114843"/>
    </row>
    <row r="114844" spans="1:6" x14ac:dyDescent="0.25">
      <c r="A114844"/>
      <c r="B114844"/>
      <c r="C114844"/>
      <c r="E114844"/>
      <c r="F114844"/>
    </row>
    <row r="114845" spans="1:6" x14ac:dyDescent="0.25">
      <c r="A114845"/>
      <c r="B114845"/>
      <c r="C114845"/>
      <c r="E114845"/>
      <c r="F114845"/>
    </row>
    <row r="114846" spans="1:6" x14ac:dyDescent="0.25">
      <c r="A114846"/>
      <c r="B114846"/>
      <c r="C114846"/>
      <c r="E114846"/>
      <c r="F114846"/>
    </row>
    <row r="114847" spans="1:6" x14ac:dyDescent="0.25">
      <c r="A114847"/>
      <c r="B114847"/>
      <c r="C114847"/>
      <c r="E114847"/>
      <c r="F114847"/>
    </row>
    <row r="114848" spans="1:6" x14ac:dyDescent="0.25">
      <c r="A114848"/>
      <c r="B114848"/>
      <c r="C114848"/>
      <c r="E114848"/>
      <c r="F114848"/>
    </row>
    <row r="114849" spans="1:6" x14ac:dyDescent="0.25">
      <c r="A114849"/>
      <c r="B114849"/>
      <c r="C114849"/>
      <c r="E114849"/>
      <c r="F114849"/>
    </row>
    <row r="114850" spans="1:6" x14ac:dyDescent="0.25">
      <c r="A114850"/>
      <c r="B114850"/>
      <c r="C114850"/>
      <c r="E114850"/>
      <c r="F114850"/>
    </row>
    <row r="114851" spans="1:6" x14ac:dyDescent="0.25">
      <c r="A114851"/>
      <c r="B114851"/>
      <c r="C114851"/>
      <c r="E114851"/>
      <c r="F114851"/>
    </row>
    <row r="114852" spans="1:6" x14ac:dyDescent="0.25">
      <c r="A114852"/>
      <c r="B114852"/>
      <c r="C114852"/>
      <c r="E114852"/>
      <c r="F114852"/>
    </row>
    <row r="114853" spans="1:6" x14ac:dyDescent="0.25">
      <c r="A114853"/>
      <c r="B114853"/>
      <c r="C114853"/>
      <c r="E114853"/>
      <c r="F114853"/>
    </row>
    <row r="114854" spans="1:6" x14ac:dyDescent="0.25">
      <c r="A114854"/>
      <c r="B114854"/>
      <c r="C114854"/>
      <c r="E114854"/>
      <c r="F114854"/>
    </row>
    <row r="114855" spans="1:6" x14ac:dyDescent="0.25">
      <c r="A114855"/>
      <c r="B114855"/>
      <c r="C114855"/>
      <c r="E114855"/>
      <c r="F114855"/>
    </row>
    <row r="114856" spans="1:6" x14ac:dyDescent="0.25">
      <c r="A114856"/>
      <c r="B114856"/>
      <c r="C114856"/>
      <c r="E114856"/>
      <c r="F114856"/>
    </row>
    <row r="114857" spans="1:6" x14ac:dyDescent="0.25">
      <c r="A114857"/>
      <c r="B114857"/>
      <c r="C114857"/>
      <c r="E114857"/>
      <c r="F114857"/>
    </row>
    <row r="114858" spans="1:6" x14ac:dyDescent="0.25">
      <c r="A114858"/>
      <c r="B114858"/>
      <c r="C114858"/>
      <c r="E114858"/>
      <c r="F114858"/>
    </row>
    <row r="114859" spans="1:6" x14ac:dyDescent="0.25">
      <c r="A114859"/>
      <c r="B114859"/>
      <c r="C114859"/>
      <c r="E114859"/>
      <c r="F114859"/>
    </row>
    <row r="114860" spans="1:6" x14ac:dyDescent="0.25">
      <c r="A114860"/>
      <c r="B114860"/>
      <c r="C114860"/>
      <c r="E114860"/>
      <c r="F114860"/>
    </row>
    <row r="114861" spans="1:6" x14ac:dyDescent="0.25">
      <c r="A114861"/>
      <c r="B114861"/>
      <c r="C114861"/>
      <c r="E114861"/>
      <c r="F114861"/>
    </row>
    <row r="114862" spans="1:6" x14ac:dyDescent="0.25">
      <c r="A114862"/>
      <c r="B114862"/>
      <c r="C114862"/>
      <c r="E114862"/>
      <c r="F114862"/>
    </row>
    <row r="114863" spans="1:6" x14ac:dyDescent="0.25">
      <c r="A114863"/>
      <c r="B114863"/>
      <c r="C114863"/>
      <c r="E114863"/>
      <c r="F114863"/>
    </row>
    <row r="114864" spans="1:6" x14ac:dyDescent="0.25">
      <c r="A114864"/>
      <c r="B114864"/>
      <c r="C114864"/>
      <c r="E114864"/>
      <c r="F114864"/>
    </row>
    <row r="114865" spans="1:6" x14ac:dyDescent="0.25">
      <c r="A114865"/>
      <c r="B114865"/>
      <c r="C114865"/>
      <c r="E114865"/>
      <c r="F114865"/>
    </row>
    <row r="114866" spans="1:6" x14ac:dyDescent="0.25">
      <c r="A114866"/>
      <c r="B114866"/>
      <c r="C114866"/>
      <c r="E114866"/>
      <c r="F114866"/>
    </row>
    <row r="114867" spans="1:6" x14ac:dyDescent="0.25">
      <c r="A114867"/>
      <c r="B114867"/>
      <c r="C114867"/>
      <c r="E114867"/>
      <c r="F114867"/>
    </row>
    <row r="114868" spans="1:6" x14ac:dyDescent="0.25">
      <c r="A114868"/>
      <c r="B114868"/>
      <c r="C114868"/>
      <c r="E114868"/>
      <c r="F114868"/>
    </row>
    <row r="114869" spans="1:6" x14ac:dyDescent="0.25">
      <c r="A114869"/>
      <c r="B114869"/>
      <c r="C114869"/>
      <c r="E114869"/>
      <c r="F114869"/>
    </row>
    <row r="114870" spans="1:6" x14ac:dyDescent="0.25">
      <c r="A114870"/>
      <c r="B114870"/>
      <c r="C114870"/>
      <c r="E114870"/>
      <c r="F114870"/>
    </row>
    <row r="114871" spans="1:6" x14ac:dyDescent="0.25">
      <c r="A114871"/>
      <c r="B114871"/>
      <c r="C114871"/>
      <c r="E114871"/>
      <c r="F114871"/>
    </row>
    <row r="114872" spans="1:6" x14ac:dyDescent="0.25">
      <c r="A114872"/>
      <c r="B114872"/>
      <c r="C114872"/>
      <c r="E114872"/>
      <c r="F114872"/>
    </row>
    <row r="114873" spans="1:6" x14ac:dyDescent="0.25">
      <c r="A114873"/>
      <c r="B114873"/>
      <c r="C114873"/>
      <c r="E114873"/>
      <c r="F114873"/>
    </row>
    <row r="114874" spans="1:6" x14ac:dyDescent="0.25">
      <c r="A114874"/>
      <c r="B114874"/>
      <c r="C114874"/>
      <c r="E114874"/>
      <c r="F114874"/>
    </row>
    <row r="114875" spans="1:6" x14ac:dyDescent="0.25">
      <c r="A114875"/>
      <c r="B114875"/>
      <c r="C114875"/>
      <c r="E114875"/>
      <c r="F114875"/>
    </row>
    <row r="114876" spans="1:6" x14ac:dyDescent="0.25">
      <c r="A114876"/>
      <c r="B114876"/>
      <c r="C114876"/>
      <c r="E114876"/>
      <c r="F114876"/>
    </row>
    <row r="114877" spans="1:6" x14ac:dyDescent="0.25">
      <c r="A114877"/>
      <c r="B114877"/>
      <c r="C114877"/>
      <c r="E114877"/>
      <c r="F114877"/>
    </row>
    <row r="114878" spans="1:6" x14ac:dyDescent="0.25">
      <c r="A114878"/>
      <c r="B114878"/>
      <c r="C114878"/>
      <c r="E114878"/>
      <c r="F114878"/>
    </row>
    <row r="114879" spans="1:6" x14ac:dyDescent="0.25">
      <c r="A114879"/>
      <c r="B114879"/>
      <c r="C114879"/>
      <c r="E114879"/>
      <c r="F114879"/>
    </row>
    <row r="114880" spans="1:6" x14ac:dyDescent="0.25">
      <c r="A114880"/>
      <c r="B114880"/>
      <c r="C114880"/>
      <c r="E114880"/>
      <c r="F114880"/>
    </row>
    <row r="114881" spans="1:6" x14ac:dyDescent="0.25">
      <c r="A114881"/>
      <c r="B114881"/>
      <c r="C114881"/>
      <c r="E114881"/>
      <c r="F114881"/>
    </row>
    <row r="114882" spans="1:6" x14ac:dyDescent="0.25">
      <c r="A114882"/>
      <c r="B114882"/>
      <c r="C114882"/>
      <c r="E114882"/>
      <c r="F114882"/>
    </row>
    <row r="114883" spans="1:6" x14ac:dyDescent="0.25">
      <c r="A114883"/>
      <c r="B114883"/>
      <c r="C114883"/>
      <c r="E114883"/>
      <c r="F114883"/>
    </row>
    <row r="114884" spans="1:6" x14ac:dyDescent="0.25">
      <c r="A114884"/>
      <c r="B114884"/>
      <c r="C114884"/>
      <c r="E114884"/>
      <c r="F114884"/>
    </row>
    <row r="114885" spans="1:6" x14ac:dyDescent="0.25">
      <c r="A114885"/>
      <c r="B114885"/>
      <c r="C114885"/>
      <c r="E114885"/>
      <c r="F114885"/>
    </row>
    <row r="114886" spans="1:6" x14ac:dyDescent="0.25">
      <c r="A114886"/>
      <c r="B114886"/>
      <c r="C114886"/>
      <c r="E114886"/>
      <c r="F114886"/>
    </row>
    <row r="114887" spans="1:6" x14ac:dyDescent="0.25">
      <c r="A114887"/>
      <c r="B114887"/>
      <c r="C114887"/>
      <c r="E114887"/>
      <c r="F114887"/>
    </row>
    <row r="114888" spans="1:6" x14ac:dyDescent="0.25">
      <c r="A114888"/>
      <c r="B114888"/>
      <c r="C114888"/>
      <c r="E114888"/>
      <c r="F114888"/>
    </row>
    <row r="114889" spans="1:6" x14ac:dyDescent="0.25">
      <c r="A114889"/>
      <c r="B114889"/>
      <c r="C114889"/>
      <c r="E114889"/>
      <c r="F114889"/>
    </row>
    <row r="114890" spans="1:6" x14ac:dyDescent="0.25">
      <c r="A114890"/>
      <c r="B114890"/>
      <c r="C114890"/>
      <c r="E114890"/>
      <c r="F114890"/>
    </row>
    <row r="114891" spans="1:6" x14ac:dyDescent="0.25">
      <c r="A114891"/>
      <c r="B114891"/>
      <c r="C114891"/>
      <c r="E114891"/>
      <c r="F114891"/>
    </row>
    <row r="114892" spans="1:6" x14ac:dyDescent="0.25">
      <c r="A114892"/>
      <c r="B114892"/>
      <c r="C114892"/>
      <c r="E114892"/>
      <c r="F114892"/>
    </row>
    <row r="114893" spans="1:6" x14ac:dyDescent="0.25">
      <c r="A114893"/>
      <c r="B114893"/>
      <c r="C114893"/>
      <c r="E114893"/>
      <c r="F114893"/>
    </row>
    <row r="114894" spans="1:6" x14ac:dyDescent="0.25">
      <c r="A114894"/>
      <c r="B114894"/>
      <c r="C114894"/>
      <c r="E114894"/>
      <c r="F114894"/>
    </row>
    <row r="114895" spans="1:6" x14ac:dyDescent="0.25">
      <c r="A114895"/>
      <c r="B114895"/>
      <c r="C114895"/>
      <c r="E114895"/>
      <c r="F114895"/>
    </row>
    <row r="114896" spans="1:6" x14ac:dyDescent="0.25">
      <c r="A114896"/>
      <c r="B114896"/>
      <c r="C114896"/>
      <c r="E114896"/>
      <c r="F114896"/>
    </row>
    <row r="114897" spans="1:6" x14ac:dyDescent="0.25">
      <c r="A114897"/>
      <c r="B114897"/>
      <c r="C114897"/>
      <c r="E114897"/>
      <c r="F114897"/>
    </row>
    <row r="114898" spans="1:6" x14ac:dyDescent="0.25">
      <c r="A114898"/>
      <c r="B114898"/>
      <c r="C114898"/>
      <c r="E114898"/>
      <c r="F114898"/>
    </row>
    <row r="114899" spans="1:6" x14ac:dyDescent="0.25">
      <c r="A114899"/>
      <c r="B114899"/>
      <c r="C114899"/>
      <c r="E114899"/>
      <c r="F114899"/>
    </row>
    <row r="114900" spans="1:6" x14ac:dyDescent="0.25">
      <c r="A114900"/>
      <c r="B114900"/>
      <c r="C114900"/>
      <c r="E114900"/>
      <c r="F114900"/>
    </row>
    <row r="114901" spans="1:6" x14ac:dyDescent="0.25">
      <c r="A114901"/>
      <c r="B114901"/>
      <c r="C114901"/>
      <c r="E114901"/>
      <c r="F114901"/>
    </row>
    <row r="114902" spans="1:6" x14ac:dyDescent="0.25">
      <c r="A114902"/>
      <c r="B114902"/>
      <c r="C114902"/>
      <c r="E114902"/>
      <c r="F114902"/>
    </row>
    <row r="114903" spans="1:6" x14ac:dyDescent="0.25">
      <c r="A114903"/>
      <c r="B114903"/>
      <c r="C114903"/>
      <c r="E114903"/>
      <c r="F114903"/>
    </row>
    <row r="114904" spans="1:6" x14ac:dyDescent="0.25">
      <c r="A114904"/>
      <c r="B114904"/>
      <c r="C114904"/>
      <c r="E114904"/>
      <c r="F114904"/>
    </row>
    <row r="114905" spans="1:6" x14ac:dyDescent="0.25">
      <c r="A114905"/>
      <c r="B114905"/>
      <c r="C114905"/>
      <c r="E114905"/>
      <c r="F114905"/>
    </row>
    <row r="114906" spans="1:6" x14ac:dyDescent="0.25">
      <c r="A114906"/>
      <c r="B114906"/>
      <c r="C114906"/>
      <c r="E114906"/>
      <c r="F114906"/>
    </row>
    <row r="114907" spans="1:6" x14ac:dyDescent="0.25">
      <c r="A114907"/>
      <c r="B114907"/>
      <c r="C114907"/>
      <c r="E114907"/>
      <c r="F114907"/>
    </row>
    <row r="114908" spans="1:6" x14ac:dyDescent="0.25">
      <c r="A114908"/>
      <c r="B114908"/>
      <c r="C114908"/>
      <c r="E114908"/>
      <c r="F114908"/>
    </row>
    <row r="114909" spans="1:6" x14ac:dyDescent="0.25">
      <c r="A114909"/>
      <c r="B114909"/>
      <c r="C114909"/>
      <c r="E114909"/>
      <c r="F114909"/>
    </row>
    <row r="114910" spans="1:6" x14ac:dyDescent="0.25">
      <c r="A114910"/>
      <c r="B114910"/>
      <c r="C114910"/>
      <c r="E114910"/>
      <c r="F114910"/>
    </row>
    <row r="114911" spans="1:6" x14ac:dyDescent="0.25">
      <c r="A114911"/>
      <c r="B114911"/>
      <c r="C114911"/>
      <c r="E114911"/>
      <c r="F114911"/>
    </row>
    <row r="114912" spans="1:6" x14ac:dyDescent="0.25">
      <c r="A114912"/>
      <c r="B114912"/>
      <c r="C114912"/>
      <c r="E114912"/>
      <c r="F114912"/>
    </row>
    <row r="114913" spans="1:6" x14ac:dyDescent="0.25">
      <c r="A114913"/>
      <c r="B114913"/>
      <c r="C114913"/>
      <c r="E114913"/>
      <c r="F114913"/>
    </row>
    <row r="114914" spans="1:6" x14ac:dyDescent="0.25">
      <c r="A114914"/>
      <c r="B114914"/>
      <c r="C114914"/>
      <c r="E114914"/>
      <c r="F114914"/>
    </row>
    <row r="114915" spans="1:6" x14ac:dyDescent="0.25">
      <c r="A114915"/>
      <c r="B114915"/>
      <c r="C114915"/>
      <c r="E114915"/>
      <c r="F114915"/>
    </row>
    <row r="114916" spans="1:6" x14ac:dyDescent="0.25">
      <c r="A114916"/>
      <c r="B114916"/>
      <c r="C114916"/>
      <c r="E114916"/>
      <c r="F114916"/>
    </row>
    <row r="114917" spans="1:6" x14ac:dyDescent="0.25">
      <c r="A114917"/>
      <c r="B114917"/>
      <c r="C114917"/>
      <c r="E114917"/>
      <c r="F114917"/>
    </row>
    <row r="114918" spans="1:6" x14ac:dyDescent="0.25">
      <c r="A114918"/>
      <c r="B114918"/>
      <c r="C114918"/>
      <c r="E114918"/>
      <c r="F114918"/>
    </row>
    <row r="114919" spans="1:6" x14ac:dyDescent="0.25">
      <c r="A114919"/>
      <c r="B114919"/>
      <c r="C114919"/>
      <c r="E114919"/>
      <c r="F114919"/>
    </row>
    <row r="114920" spans="1:6" x14ac:dyDescent="0.25">
      <c r="A114920"/>
      <c r="B114920"/>
      <c r="C114920"/>
      <c r="E114920"/>
      <c r="F114920"/>
    </row>
    <row r="114921" spans="1:6" x14ac:dyDescent="0.25">
      <c r="A114921"/>
      <c r="B114921"/>
      <c r="C114921"/>
      <c r="E114921"/>
      <c r="F114921"/>
    </row>
    <row r="114922" spans="1:6" x14ac:dyDescent="0.25">
      <c r="A114922"/>
      <c r="B114922"/>
      <c r="C114922"/>
      <c r="E114922"/>
      <c r="F114922"/>
    </row>
    <row r="114923" spans="1:6" x14ac:dyDescent="0.25">
      <c r="A114923"/>
      <c r="B114923"/>
      <c r="C114923"/>
      <c r="E114923"/>
      <c r="F114923"/>
    </row>
    <row r="114924" spans="1:6" x14ac:dyDescent="0.25">
      <c r="A114924"/>
      <c r="B114924"/>
      <c r="C114924"/>
      <c r="E114924"/>
      <c r="F114924"/>
    </row>
    <row r="114925" spans="1:6" x14ac:dyDescent="0.25">
      <c r="A114925"/>
      <c r="B114925"/>
      <c r="C114925"/>
      <c r="E114925"/>
      <c r="F114925"/>
    </row>
    <row r="114926" spans="1:6" x14ac:dyDescent="0.25">
      <c r="A114926"/>
      <c r="B114926"/>
      <c r="C114926"/>
      <c r="E114926"/>
      <c r="F114926"/>
    </row>
    <row r="114927" spans="1:6" x14ac:dyDescent="0.25">
      <c r="A114927"/>
      <c r="B114927"/>
      <c r="C114927"/>
      <c r="E114927"/>
      <c r="F114927"/>
    </row>
    <row r="114928" spans="1:6" x14ac:dyDescent="0.25">
      <c r="A114928"/>
      <c r="B114928"/>
      <c r="C114928"/>
      <c r="E114928"/>
      <c r="F114928"/>
    </row>
    <row r="114929" spans="1:6" x14ac:dyDescent="0.25">
      <c r="A114929"/>
      <c r="B114929"/>
      <c r="C114929"/>
      <c r="E114929"/>
      <c r="F114929"/>
    </row>
    <row r="114930" spans="1:6" x14ac:dyDescent="0.25">
      <c r="A114930"/>
      <c r="B114930"/>
      <c r="C114930"/>
      <c r="E114930"/>
      <c r="F114930"/>
    </row>
    <row r="114931" spans="1:6" x14ac:dyDescent="0.25">
      <c r="A114931"/>
      <c r="B114931"/>
      <c r="C114931"/>
      <c r="E114931"/>
      <c r="F114931"/>
    </row>
    <row r="114932" spans="1:6" x14ac:dyDescent="0.25">
      <c r="A114932"/>
      <c r="B114932"/>
      <c r="C114932"/>
      <c r="E114932"/>
      <c r="F114932"/>
    </row>
    <row r="114933" spans="1:6" x14ac:dyDescent="0.25">
      <c r="A114933"/>
      <c r="B114933"/>
      <c r="C114933"/>
      <c r="E114933"/>
      <c r="F114933"/>
    </row>
    <row r="114934" spans="1:6" x14ac:dyDescent="0.25">
      <c r="A114934"/>
      <c r="B114934"/>
      <c r="C114934"/>
      <c r="E114934"/>
      <c r="F114934"/>
    </row>
    <row r="114935" spans="1:6" x14ac:dyDescent="0.25">
      <c r="A114935"/>
      <c r="B114935"/>
      <c r="C114935"/>
      <c r="E114935"/>
      <c r="F114935"/>
    </row>
    <row r="114936" spans="1:6" x14ac:dyDescent="0.25">
      <c r="A114936"/>
      <c r="B114936"/>
      <c r="C114936"/>
      <c r="E114936"/>
      <c r="F114936"/>
    </row>
    <row r="114937" spans="1:6" x14ac:dyDescent="0.25">
      <c r="A114937"/>
      <c r="B114937"/>
      <c r="C114937"/>
      <c r="E114937"/>
      <c r="F114937"/>
    </row>
    <row r="114938" spans="1:6" x14ac:dyDescent="0.25">
      <c r="A114938"/>
      <c r="B114938"/>
      <c r="C114938"/>
      <c r="E114938"/>
      <c r="F114938"/>
    </row>
    <row r="114939" spans="1:6" x14ac:dyDescent="0.25">
      <c r="A114939"/>
      <c r="B114939"/>
      <c r="C114939"/>
      <c r="E114939"/>
      <c r="F114939"/>
    </row>
    <row r="114940" spans="1:6" x14ac:dyDescent="0.25">
      <c r="A114940"/>
      <c r="B114940"/>
      <c r="C114940"/>
      <c r="E114940"/>
      <c r="F114940"/>
    </row>
    <row r="114941" spans="1:6" x14ac:dyDescent="0.25">
      <c r="A114941"/>
      <c r="B114941"/>
      <c r="C114941"/>
      <c r="E114941"/>
      <c r="F114941"/>
    </row>
    <row r="114942" spans="1:6" x14ac:dyDescent="0.25">
      <c r="A114942"/>
      <c r="B114942"/>
      <c r="C114942"/>
      <c r="E114942"/>
      <c r="F114942"/>
    </row>
    <row r="114943" spans="1:6" x14ac:dyDescent="0.25">
      <c r="A114943"/>
      <c r="B114943"/>
      <c r="C114943"/>
      <c r="E114943"/>
      <c r="F114943"/>
    </row>
    <row r="114944" spans="1:6" x14ac:dyDescent="0.25">
      <c r="A114944"/>
      <c r="B114944"/>
      <c r="C114944"/>
      <c r="E114944"/>
      <c r="F114944"/>
    </row>
    <row r="114945" spans="1:6" x14ac:dyDescent="0.25">
      <c r="A114945"/>
      <c r="B114945"/>
      <c r="C114945"/>
      <c r="E114945"/>
      <c r="F114945"/>
    </row>
    <row r="114946" spans="1:6" x14ac:dyDescent="0.25">
      <c r="A114946"/>
      <c r="B114946"/>
      <c r="C114946"/>
      <c r="E114946"/>
      <c r="F114946"/>
    </row>
    <row r="114947" spans="1:6" x14ac:dyDescent="0.25">
      <c r="A114947"/>
      <c r="B114947"/>
      <c r="C114947"/>
      <c r="E114947"/>
      <c r="F114947"/>
    </row>
    <row r="114948" spans="1:6" x14ac:dyDescent="0.25">
      <c r="A114948"/>
      <c r="B114948"/>
      <c r="C114948"/>
      <c r="E114948"/>
      <c r="F114948"/>
    </row>
    <row r="114949" spans="1:6" x14ac:dyDescent="0.25">
      <c r="A114949"/>
      <c r="B114949"/>
      <c r="C114949"/>
      <c r="E114949"/>
      <c r="F114949"/>
    </row>
    <row r="114950" spans="1:6" x14ac:dyDescent="0.25">
      <c r="A114950"/>
      <c r="B114950"/>
      <c r="C114950"/>
      <c r="E114950"/>
      <c r="F114950"/>
    </row>
    <row r="114951" spans="1:6" x14ac:dyDescent="0.25">
      <c r="A114951"/>
      <c r="B114951"/>
      <c r="C114951"/>
      <c r="E114951"/>
      <c r="F114951"/>
    </row>
    <row r="114952" spans="1:6" x14ac:dyDescent="0.25">
      <c r="A114952"/>
      <c r="B114952"/>
      <c r="C114952"/>
      <c r="E114952"/>
      <c r="F114952"/>
    </row>
    <row r="114953" spans="1:6" x14ac:dyDescent="0.25">
      <c r="A114953"/>
      <c r="B114953"/>
      <c r="C114953"/>
      <c r="E114953"/>
      <c r="F114953"/>
    </row>
    <row r="114954" spans="1:6" x14ac:dyDescent="0.25">
      <c r="A114954"/>
      <c r="B114954"/>
      <c r="C114954"/>
      <c r="E114954"/>
      <c r="F114954"/>
    </row>
    <row r="114955" spans="1:6" x14ac:dyDescent="0.25">
      <c r="A114955"/>
      <c r="B114955"/>
      <c r="C114955"/>
      <c r="E114955"/>
      <c r="F114955"/>
    </row>
    <row r="114956" spans="1:6" x14ac:dyDescent="0.25">
      <c r="A114956"/>
      <c r="B114956"/>
      <c r="C114956"/>
      <c r="E114956"/>
      <c r="F114956"/>
    </row>
    <row r="114957" spans="1:6" x14ac:dyDescent="0.25">
      <c r="A114957"/>
      <c r="B114957"/>
      <c r="C114957"/>
      <c r="E114957"/>
      <c r="F114957"/>
    </row>
    <row r="114958" spans="1:6" x14ac:dyDescent="0.25">
      <c r="A114958"/>
      <c r="B114958"/>
      <c r="C114958"/>
      <c r="E114958"/>
      <c r="F114958"/>
    </row>
    <row r="114959" spans="1:6" x14ac:dyDescent="0.25">
      <c r="A114959"/>
      <c r="B114959"/>
      <c r="C114959"/>
      <c r="E114959"/>
      <c r="F114959"/>
    </row>
    <row r="114960" spans="1:6" x14ac:dyDescent="0.25">
      <c r="A114960"/>
      <c r="B114960"/>
      <c r="C114960"/>
      <c r="E114960"/>
      <c r="F114960"/>
    </row>
    <row r="114961" spans="1:6" x14ac:dyDescent="0.25">
      <c r="A114961"/>
      <c r="B114961"/>
      <c r="C114961"/>
      <c r="E114961"/>
      <c r="F114961"/>
    </row>
    <row r="114962" spans="1:6" x14ac:dyDescent="0.25">
      <c r="A114962"/>
      <c r="B114962"/>
      <c r="C114962"/>
      <c r="E114962"/>
      <c r="F114962"/>
    </row>
    <row r="114963" spans="1:6" x14ac:dyDescent="0.25">
      <c r="A114963"/>
      <c r="B114963"/>
      <c r="C114963"/>
      <c r="E114963"/>
      <c r="F114963"/>
    </row>
    <row r="114964" spans="1:6" x14ac:dyDescent="0.25">
      <c r="A114964"/>
      <c r="B114964"/>
      <c r="C114964"/>
      <c r="E114964"/>
      <c r="F114964"/>
    </row>
    <row r="114965" spans="1:6" x14ac:dyDescent="0.25">
      <c r="A114965"/>
      <c r="B114965"/>
      <c r="C114965"/>
      <c r="E114965"/>
      <c r="F114965"/>
    </row>
    <row r="114966" spans="1:6" x14ac:dyDescent="0.25">
      <c r="A114966"/>
      <c r="B114966"/>
      <c r="C114966"/>
      <c r="E114966"/>
      <c r="F114966"/>
    </row>
    <row r="114967" spans="1:6" x14ac:dyDescent="0.25">
      <c r="A114967"/>
      <c r="B114967"/>
      <c r="C114967"/>
      <c r="E114967"/>
      <c r="F114967"/>
    </row>
    <row r="114968" spans="1:6" x14ac:dyDescent="0.25">
      <c r="A114968"/>
      <c r="B114968"/>
      <c r="C114968"/>
      <c r="E114968"/>
      <c r="F114968"/>
    </row>
    <row r="114969" spans="1:6" x14ac:dyDescent="0.25">
      <c r="A114969"/>
      <c r="B114969"/>
      <c r="C114969"/>
      <c r="E114969"/>
      <c r="F114969"/>
    </row>
    <row r="114970" spans="1:6" x14ac:dyDescent="0.25">
      <c r="A114970"/>
      <c r="B114970"/>
      <c r="C114970"/>
      <c r="E114970"/>
      <c r="F114970"/>
    </row>
    <row r="114971" spans="1:6" x14ac:dyDescent="0.25">
      <c r="A114971"/>
      <c r="B114971"/>
      <c r="C114971"/>
      <c r="E114971"/>
      <c r="F114971"/>
    </row>
    <row r="114972" spans="1:6" x14ac:dyDescent="0.25">
      <c r="A114972"/>
      <c r="B114972"/>
      <c r="C114972"/>
      <c r="E114972"/>
      <c r="F114972"/>
    </row>
    <row r="114973" spans="1:6" x14ac:dyDescent="0.25">
      <c r="A114973"/>
      <c r="B114973"/>
      <c r="C114973"/>
      <c r="E114973"/>
      <c r="F114973"/>
    </row>
    <row r="114974" spans="1:6" x14ac:dyDescent="0.25">
      <c r="A114974"/>
      <c r="B114974"/>
      <c r="C114974"/>
      <c r="E114974"/>
      <c r="F114974"/>
    </row>
    <row r="114975" spans="1:6" x14ac:dyDescent="0.25">
      <c r="A114975"/>
      <c r="B114975"/>
      <c r="C114975"/>
      <c r="E114975"/>
      <c r="F114975"/>
    </row>
    <row r="114976" spans="1:6" x14ac:dyDescent="0.25">
      <c r="A114976"/>
      <c r="B114976"/>
      <c r="C114976"/>
      <c r="E114976"/>
      <c r="F114976"/>
    </row>
    <row r="114977" spans="1:6" x14ac:dyDescent="0.25">
      <c r="A114977"/>
      <c r="B114977"/>
      <c r="C114977"/>
      <c r="E114977"/>
      <c r="F114977"/>
    </row>
    <row r="114978" spans="1:6" x14ac:dyDescent="0.25">
      <c r="A114978"/>
      <c r="B114978"/>
      <c r="C114978"/>
      <c r="E114978"/>
      <c r="F114978"/>
    </row>
    <row r="114979" spans="1:6" x14ac:dyDescent="0.25">
      <c r="A114979"/>
      <c r="B114979"/>
      <c r="C114979"/>
      <c r="E114979"/>
      <c r="F114979"/>
    </row>
    <row r="114980" spans="1:6" x14ac:dyDescent="0.25">
      <c r="A114980"/>
      <c r="B114980"/>
      <c r="C114980"/>
      <c r="E114980"/>
      <c r="F114980"/>
    </row>
    <row r="114981" spans="1:6" x14ac:dyDescent="0.25">
      <c r="A114981"/>
      <c r="B114981"/>
      <c r="C114981"/>
      <c r="E114981"/>
      <c r="F114981"/>
    </row>
    <row r="114982" spans="1:6" x14ac:dyDescent="0.25">
      <c r="A114982"/>
      <c r="B114982"/>
      <c r="C114982"/>
      <c r="E114982"/>
      <c r="F114982"/>
    </row>
    <row r="114983" spans="1:6" x14ac:dyDescent="0.25">
      <c r="A114983"/>
      <c r="B114983"/>
      <c r="C114983"/>
      <c r="E114983"/>
      <c r="F114983"/>
    </row>
    <row r="114984" spans="1:6" x14ac:dyDescent="0.25">
      <c r="A114984"/>
      <c r="B114984"/>
      <c r="C114984"/>
      <c r="E114984"/>
      <c r="F114984"/>
    </row>
    <row r="114985" spans="1:6" x14ac:dyDescent="0.25">
      <c r="A114985"/>
      <c r="B114985"/>
      <c r="C114985"/>
      <c r="E114985"/>
      <c r="F114985"/>
    </row>
    <row r="114986" spans="1:6" x14ac:dyDescent="0.25">
      <c r="A114986"/>
      <c r="B114986"/>
      <c r="C114986"/>
      <c r="E114986"/>
      <c r="F114986"/>
    </row>
    <row r="114987" spans="1:6" x14ac:dyDescent="0.25">
      <c r="A114987"/>
      <c r="B114987"/>
      <c r="C114987"/>
      <c r="E114987"/>
      <c r="F114987"/>
    </row>
    <row r="114988" spans="1:6" x14ac:dyDescent="0.25">
      <c r="A114988"/>
      <c r="B114988"/>
      <c r="C114988"/>
      <c r="E114988"/>
      <c r="F114988"/>
    </row>
    <row r="114989" spans="1:6" x14ac:dyDescent="0.25">
      <c r="A114989"/>
      <c r="B114989"/>
      <c r="C114989"/>
      <c r="E114989"/>
      <c r="F114989"/>
    </row>
    <row r="114990" spans="1:6" x14ac:dyDescent="0.25">
      <c r="A114990"/>
      <c r="B114990"/>
      <c r="C114990"/>
      <c r="E114990"/>
      <c r="F114990"/>
    </row>
    <row r="114991" spans="1:6" x14ac:dyDescent="0.25">
      <c r="A114991"/>
      <c r="B114991"/>
      <c r="C114991"/>
      <c r="E114991"/>
      <c r="F114991"/>
    </row>
    <row r="114992" spans="1:6" x14ac:dyDescent="0.25">
      <c r="A114992"/>
      <c r="B114992"/>
      <c r="C114992"/>
      <c r="E114992"/>
      <c r="F114992"/>
    </row>
    <row r="114993" spans="1:6" x14ac:dyDescent="0.25">
      <c r="A114993"/>
      <c r="B114993"/>
      <c r="C114993"/>
      <c r="E114993"/>
      <c r="F114993"/>
    </row>
    <row r="114994" spans="1:6" x14ac:dyDescent="0.25">
      <c r="A114994"/>
      <c r="B114994"/>
      <c r="C114994"/>
      <c r="E114994"/>
      <c r="F114994"/>
    </row>
    <row r="114995" spans="1:6" x14ac:dyDescent="0.25">
      <c r="A114995"/>
      <c r="B114995"/>
      <c r="C114995"/>
      <c r="E114995"/>
      <c r="F114995"/>
    </row>
    <row r="114996" spans="1:6" x14ac:dyDescent="0.25">
      <c r="A114996"/>
      <c r="B114996"/>
      <c r="C114996"/>
      <c r="E114996"/>
      <c r="F114996"/>
    </row>
    <row r="114997" spans="1:6" x14ac:dyDescent="0.25">
      <c r="A114997"/>
      <c r="B114997"/>
      <c r="C114997"/>
      <c r="E114997"/>
      <c r="F114997"/>
    </row>
    <row r="114998" spans="1:6" x14ac:dyDescent="0.25">
      <c r="A114998"/>
      <c r="B114998"/>
      <c r="C114998"/>
      <c r="E114998"/>
      <c r="F114998"/>
    </row>
    <row r="114999" spans="1:6" x14ac:dyDescent="0.25">
      <c r="A114999"/>
      <c r="B114999"/>
      <c r="C114999"/>
      <c r="E114999"/>
      <c r="F114999"/>
    </row>
    <row r="115000" spans="1:6" x14ac:dyDescent="0.25">
      <c r="A115000"/>
      <c r="B115000"/>
      <c r="C115000"/>
      <c r="E115000"/>
      <c r="F115000"/>
    </row>
    <row r="115001" spans="1:6" x14ac:dyDescent="0.25">
      <c r="A115001"/>
      <c r="B115001"/>
      <c r="C115001"/>
      <c r="E115001"/>
      <c r="F115001"/>
    </row>
    <row r="115002" spans="1:6" x14ac:dyDescent="0.25">
      <c r="A115002"/>
      <c r="B115002"/>
      <c r="C115002"/>
      <c r="E115002"/>
      <c r="F115002"/>
    </row>
    <row r="115003" spans="1:6" x14ac:dyDescent="0.25">
      <c r="A115003"/>
      <c r="B115003"/>
      <c r="C115003"/>
      <c r="E115003"/>
      <c r="F115003"/>
    </row>
    <row r="115004" spans="1:6" x14ac:dyDescent="0.25">
      <c r="A115004"/>
      <c r="B115004"/>
      <c r="C115004"/>
      <c r="E115004"/>
      <c r="F115004"/>
    </row>
    <row r="115005" spans="1:6" x14ac:dyDescent="0.25">
      <c r="A115005"/>
      <c r="B115005"/>
      <c r="C115005"/>
      <c r="E115005"/>
      <c r="F115005"/>
    </row>
    <row r="115006" spans="1:6" x14ac:dyDescent="0.25">
      <c r="A115006"/>
      <c r="B115006"/>
      <c r="C115006"/>
      <c r="E115006"/>
      <c r="F115006"/>
    </row>
    <row r="115007" spans="1:6" x14ac:dyDescent="0.25">
      <c r="A115007"/>
      <c r="B115007"/>
      <c r="C115007"/>
      <c r="E115007"/>
      <c r="F115007"/>
    </row>
    <row r="115008" spans="1:6" x14ac:dyDescent="0.25">
      <c r="A115008"/>
      <c r="B115008"/>
      <c r="C115008"/>
      <c r="E115008"/>
      <c r="F115008"/>
    </row>
    <row r="115009" spans="1:6" x14ac:dyDescent="0.25">
      <c r="A115009"/>
      <c r="B115009"/>
      <c r="C115009"/>
      <c r="E115009"/>
      <c r="F115009"/>
    </row>
    <row r="115010" spans="1:6" x14ac:dyDescent="0.25">
      <c r="A115010"/>
      <c r="B115010"/>
      <c r="C115010"/>
      <c r="E115010"/>
      <c r="F115010"/>
    </row>
    <row r="115011" spans="1:6" x14ac:dyDescent="0.25">
      <c r="A115011"/>
      <c r="B115011"/>
      <c r="C115011"/>
      <c r="E115011"/>
      <c r="F115011"/>
    </row>
    <row r="115012" spans="1:6" x14ac:dyDescent="0.25">
      <c r="A115012"/>
      <c r="B115012"/>
      <c r="C115012"/>
      <c r="E115012"/>
      <c r="F115012"/>
    </row>
    <row r="115013" spans="1:6" x14ac:dyDescent="0.25">
      <c r="A115013"/>
      <c r="B115013"/>
      <c r="C115013"/>
      <c r="E115013"/>
      <c r="F115013"/>
    </row>
    <row r="115014" spans="1:6" x14ac:dyDescent="0.25">
      <c r="A115014"/>
      <c r="B115014"/>
      <c r="C115014"/>
      <c r="E115014"/>
      <c r="F115014"/>
    </row>
    <row r="115015" spans="1:6" x14ac:dyDescent="0.25">
      <c r="A115015"/>
      <c r="B115015"/>
      <c r="C115015"/>
      <c r="E115015"/>
      <c r="F115015"/>
    </row>
    <row r="115016" spans="1:6" x14ac:dyDescent="0.25">
      <c r="A115016"/>
      <c r="B115016"/>
      <c r="C115016"/>
      <c r="E115016"/>
      <c r="F115016"/>
    </row>
    <row r="115017" spans="1:6" x14ac:dyDescent="0.25">
      <c r="A115017"/>
      <c r="B115017"/>
      <c r="C115017"/>
      <c r="E115017"/>
      <c r="F115017"/>
    </row>
    <row r="115018" spans="1:6" x14ac:dyDescent="0.25">
      <c r="A115018"/>
      <c r="B115018"/>
      <c r="C115018"/>
      <c r="E115018"/>
      <c r="F115018"/>
    </row>
    <row r="115019" spans="1:6" x14ac:dyDescent="0.25">
      <c r="A115019"/>
      <c r="B115019"/>
      <c r="C115019"/>
      <c r="E115019"/>
      <c r="F115019"/>
    </row>
    <row r="115020" spans="1:6" x14ac:dyDescent="0.25">
      <c r="A115020"/>
      <c r="B115020"/>
      <c r="C115020"/>
      <c r="E115020"/>
      <c r="F115020"/>
    </row>
    <row r="115021" spans="1:6" x14ac:dyDescent="0.25">
      <c r="A115021"/>
      <c r="B115021"/>
      <c r="C115021"/>
      <c r="E115021"/>
      <c r="F115021"/>
    </row>
    <row r="115022" spans="1:6" x14ac:dyDescent="0.25">
      <c r="A115022"/>
      <c r="B115022"/>
      <c r="C115022"/>
      <c r="E115022"/>
      <c r="F115022"/>
    </row>
    <row r="115023" spans="1:6" x14ac:dyDescent="0.25">
      <c r="A115023"/>
      <c r="B115023"/>
      <c r="C115023"/>
      <c r="E115023"/>
      <c r="F115023"/>
    </row>
    <row r="115024" spans="1:6" x14ac:dyDescent="0.25">
      <c r="A115024"/>
      <c r="B115024"/>
      <c r="C115024"/>
      <c r="E115024"/>
      <c r="F115024"/>
    </row>
    <row r="115025" spans="1:6" x14ac:dyDescent="0.25">
      <c r="A115025"/>
      <c r="B115025"/>
      <c r="C115025"/>
      <c r="E115025"/>
      <c r="F115025"/>
    </row>
    <row r="115026" spans="1:6" x14ac:dyDescent="0.25">
      <c r="A115026"/>
      <c r="B115026"/>
      <c r="C115026"/>
      <c r="E115026"/>
      <c r="F115026"/>
    </row>
    <row r="115027" spans="1:6" x14ac:dyDescent="0.25">
      <c r="A115027"/>
      <c r="B115027"/>
      <c r="C115027"/>
      <c r="E115027"/>
      <c r="F115027"/>
    </row>
    <row r="115028" spans="1:6" x14ac:dyDescent="0.25">
      <c r="A115028"/>
      <c r="B115028"/>
      <c r="C115028"/>
      <c r="E115028"/>
      <c r="F115028"/>
    </row>
    <row r="115029" spans="1:6" x14ac:dyDescent="0.25">
      <c r="A115029"/>
      <c r="B115029"/>
      <c r="C115029"/>
      <c r="E115029"/>
      <c r="F115029"/>
    </row>
    <row r="115030" spans="1:6" x14ac:dyDescent="0.25">
      <c r="A115030"/>
      <c r="B115030"/>
      <c r="C115030"/>
      <c r="E115030"/>
      <c r="F115030"/>
    </row>
    <row r="115031" spans="1:6" x14ac:dyDescent="0.25">
      <c r="A115031"/>
      <c r="B115031"/>
      <c r="C115031"/>
      <c r="E115031"/>
      <c r="F115031"/>
    </row>
    <row r="115032" spans="1:6" x14ac:dyDescent="0.25">
      <c r="A115032"/>
      <c r="B115032"/>
      <c r="C115032"/>
      <c r="E115032"/>
      <c r="F115032"/>
    </row>
    <row r="115033" spans="1:6" x14ac:dyDescent="0.25">
      <c r="A115033"/>
      <c r="B115033"/>
      <c r="C115033"/>
      <c r="E115033"/>
      <c r="F115033"/>
    </row>
    <row r="115034" spans="1:6" x14ac:dyDescent="0.25">
      <c r="A115034"/>
      <c r="B115034"/>
      <c r="C115034"/>
      <c r="E115034"/>
      <c r="F115034"/>
    </row>
    <row r="115035" spans="1:6" x14ac:dyDescent="0.25">
      <c r="A115035"/>
      <c r="B115035"/>
      <c r="C115035"/>
      <c r="E115035"/>
      <c r="F115035"/>
    </row>
    <row r="115036" spans="1:6" x14ac:dyDescent="0.25">
      <c r="A115036"/>
      <c r="B115036"/>
      <c r="C115036"/>
      <c r="E115036"/>
      <c r="F115036"/>
    </row>
    <row r="115037" spans="1:6" x14ac:dyDescent="0.25">
      <c r="A115037"/>
      <c r="B115037"/>
      <c r="C115037"/>
      <c r="E115037"/>
      <c r="F115037"/>
    </row>
    <row r="115038" spans="1:6" x14ac:dyDescent="0.25">
      <c r="A115038"/>
      <c r="B115038"/>
      <c r="C115038"/>
      <c r="E115038"/>
      <c r="F115038"/>
    </row>
    <row r="115039" spans="1:6" x14ac:dyDescent="0.25">
      <c r="A115039"/>
      <c r="B115039"/>
      <c r="C115039"/>
      <c r="E115039"/>
      <c r="F115039"/>
    </row>
    <row r="115040" spans="1:6" x14ac:dyDescent="0.25">
      <c r="A115040"/>
      <c r="B115040"/>
      <c r="C115040"/>
      <c r="E115040"/>
      <c r="F115040"/>
    </row>
    <row r="115041" spans="1:6" x14ac:dyDescent="0.25">
      <c r="A115041"/>
      <c r="B115041"/>
      <c r="C115041"/>
      <c r="E115041"/>
      <c r="F115041"/>
    </row>
    <row r="115042" spans="1:6" x14ac:dyDescent="0.25">
      <c r="A115042"/>
      <c r="B115042"/>
      <c r="C115042"/>
      <c r="E115042"/>
      <c r="F115042"/>
    </row>
    <row r="115043" spans="1:6" x14ac:dyDescent="0.25">
      <c r="A115043"/>
      <c r="B115043"/>
      <c r="C115043"/>
      <c r="E115043"/>
      <c r="F115043"/>
    </row>
    <row r="115044" spans="1:6" x14ac:dyDescent="0.25">
      <c r="A115044"/>
      <c r="B115044"/>
      <c r="C115044"/>
      <c r="E115044"/>
      <c r="F115044"/>
    </row>
    <row r="115045" spans="1:6" x14ac:dyDescent="0.25">
      <c r="A115045"/>
      <c r="B115045"/>
      <c r="C115045"/>
      <c r="E115045"/>
      <c r="F115045"/>
    </row>
    <row r="115046" spans="1:6" x14ac:dyDescent="0.25">
      <c r="A115046"/>
      <c r="B115046"/>
      <c r="C115046"/>
      <c r="E115046"/>
      <c r="F115046"/>
    </row>
    <row r="115047" spans="1:6" x14ac:dyDescent="0.25">
      <c r="A115047"/>
      <c r="B115047"/>
      <c r="C115047"/>
      <c r="E115047"/>
      <c r="F115047"/>
    </row>
    <row r="115048" spans="1:6" x14ac:dyDescent="0.25">
      <c r="A115048"/>
      <c r="B115048"/>
      <c r="C115048"/>
      <c r="E115048"/>
      <c r="F115048"/>
    </row>
    <row r="115049" spans="1:6" x14ac:dyDescent="0.25">
      <c r="A115049"/>
      <c r="B115049"/>
      <c r="C115049"/>
      <c r="E115049"/>
      <c r="F115049"/>
    </row>
    <row r="115050" spans="1:6" x14ac:dyDescent="0.25">
      <c r="A115050"/>
      <c r="B115050"/>
      <c r="C115050"/>
      <c r="E115050"/>
      <c r="F115050"/>
    </row>
    <row r="115051" spans="1:6" x14ac:dyDescent="0.25">
      <c r="A115051"/>
      <c r="B115051"/>
      <c r="C115051"/>
      <c r="E115051"/>
      <c r="F115051"/>
    </row>
    <row r="115052" spans="1:6" x14ac:dyDescent="0.25">
      <c r="A115052"/>
      <c r="B115052"/>
      <c r="C115052"/>
      <c r="E115052"/>
      <c r="F115052"/>
    </row>
    <row r="115053" spans="1:6" x14ac:dyDescent="0.25">
      <c r="A115053"/>
      <c r="B115053"/>
      <c r="C115053"/>
      <c r="E115053"/>
      <c r="F115053"/>
    </row>
    <row r="115054" spans="1:6" x14ac:dyDescent="0.25">
      <c r="A115054"/>
      <c r="B115054"/>
      <c r="C115054"/>
      <c r="E115054"/>
      <c r="F115054"/>
    </row>
    <row r="115055" spans="1:6" x14ac:dyDescent="0.25">
      <c r="A115055"/>
      <c r="B115055"/>
      <c r="C115055"/>
      <c r="E115055"/>
      <c r="F115055"/>
    </row>
    <row r="115056" spans="1:6" x14ac:dyDescent="0.25">
      <c r="A115056"/>
      <c r="B115056"/>
      <c r="C115056"/>
      <c r="E115056"/>
      <c r="F115056"/>
    </row>
    <row r="115057" spans="1:6" x14ac:dyDescent="0.25">
      <c r="A115057"/>
      <c r="B115057"/>
      <c r="C115057"/>
      <c r="E115057"/>
      <c r="F115057"/>
    </row>
    <row r="115058" spans="1:6" x14ac:dyDescent="0.25">
      <c r="A115058"/>
      <c r="B115058"/>
      <c r="C115058"/>
      <c r="E115058"/>
      <c r="F115058"/>
    </row>
    <row r="115059" spans="1:6" x14ac:dyDescent="0.25">
      <c r="A115059"/>
      <c r="B115059"/>
      <c r="C115059"/>
      <c r="E115059"/>
      <c r="F115059"/>
    </row>
    <row r="115060" spans="1:6" x14ac:dyDescent="0.25">
      <c r="A115060"/>
      <c r="B115060"/>
      <c r="C115060"/>
      <c r="E115060"/>
      <c r="F115060"/>
    </row>
    <row r="115061" spans="1:6" x14ac:dyDescent="0.25">
      <c r="A115061"/>
      <c r="B115061"/>
      <c r="C115061"/>
      <c r="E115061"/>
      <c r="F115061"/>
    </row>
    <row r="115062" spans="1:6" x14ac:dyDescent="0.25">
      <c r="A115062"/>
      <c r="B115062"/>
      <c r="C115062"/>
      <c r="E115062"/>
      <c r="F115062"/>
    </row>
    <row r="115063" spans="1:6" x14ac:dyDescent="0.25">
      <c r="A115063"/>
      <c r="B115063"/>
      <c r="C115063"/>
      <c r="E115063"/>
      <c r="F115063"/>
    </row>
    <row r="115064" spans="1:6" x14ac:dyDescent="0.25">
      <c r="A115064"/>
      <c r="B115064"/>
      <c r="C115064"/>
      <c r="E115064"/>
      <c r="F115064"/>
    </row>
    <row r="115065" spans="1:6" x14ac:dyDescent="0.25">
      <c r="A115065"/>
      <c r="B115065"/>
      <c r="C115065"/>
      <c r="E115065"/>
      <c r="F115065"/>
    </row>
    <row r="115066" spans="1:6" x14ac:dyDescent="0.25">
      <c r="A115066"/>
      <c r="B115066"/>
      <c r="C115066"/>
      <c r="E115066"/>
      <c r="F115066"/>
    </row>
    <row r="115067" spans="1:6" x14ac:dyDescent="0.25">
      <c r="A115067"/>
      <c r="B115067"/>
      <c r="C115067"/>
      <c r="E115067"/>
      <c r="F115067"/>
    </row>
    <row r="115068" spans="1:6" x14ac:dyDescent="0.25">
      <c r="A115068"/>
      <c r="B115068"/>
      <c r="C115068"/>
      <c r="E115068"/>
      <c r="F115068"/>
    </row>
    <row r="115069" spans="1:6" x14ac:dyDescent="0.25">
      <c r="A115069"/>
      <c r="B115069"/>
      <c r="C115069"/>
      <c r="E115069"/>
      <c r="F115069"/>
    </row>
    <row r="115070" spans="1:6" x14ac:dyDescent="0.25">
      <c r="A115070"/>
      <c r="B115070"/>
      <c r="C115070"/>
      <c r="E115070"/>
      <c r="F115070"/>
    </row>
    <row r="115071" spans="1:6" x14ac:dyDescent="0.25">
      <c r="A115071"/>
      <c r="B115071"/>
      <c r="C115071"/>
      <c r="E115071"/>
      <c r="F115071"/>
    </row>
    <row r="115072" spans="1:6" x14ac:dyDescent="0.25">
      <c r="A115072"/>
      <c r="B115072"/>
      <c r="C115072"/>
      <c r="E115072"/>
      <c r="F115072"/>
    </row>
    <row r="115073" spans="1:6" x14ac:dyDescent="0.25">
      <c r="A115073"/>
      <c r="B115073"/>
      <c r="C115073"/>
      <c r="E115073"/>
      <c r="F115073"/>
    </row>
    <row r="115074" spans="1:6" x14ac:dyDescent="0.25">
      <c r="A115074"/>
      <c r="B115074"/>
      <c r="C115074"/>
      <c r="E115074"/>
      <c r="F115074"/>
    </row>
    <row r="115075" spans="1:6" x14ac:dyDescent="0.25">
      <c r="A115075"/>
      <c r="B115075"/>
      <c r="C115075"/>
      <c r="E115075"/>
      <c r="F115075"/>
    </row>
    <row r="115076" spans="1:6" x14ac:dyDescent="0.25">
      <c r="A115076"/>
      <c r="B115076"/>
      <c r="C115076"/>
      <c r="E115076"/>
      <c r="F115076"/>
    </row>
    <row r="115077" spans="1:6" x14ac:dyDescent="0.25">
      <c r="A115077"/>
      <c r="B115077"/>
      <c r="C115077"/>
      <c r="E115077"/>
      <c r="F115077"/>
    </row>
    <row r="115078" spans="1:6" x14ac:dyDescent="0.25">
      <c r="A115078"/>
      <c r="B115078"/>
      <c r="C115078"/>
      <c r="E115078"/>
      <c r="F115078"/>
    </row>
    <row r="115079" spans="1:6" x14ac:dyDescent="0.25">
      <c r="A115079"/>
      <c r="B115079"/>
      <c r="C115079"/>
      <c r="E115079"/>
      <c r="F115079"/>
    </row>
    <row r="115080" spans="1:6" x14ac:dyDescent="0.25">
      <c r="A115080"/>
      <c r="B115080"/>
      <c r="C115080"/>
      <c r="E115080"/>
      <c r="F115080"/>
    </row>
    <row r="115081" spans="1:6" x14ac:dyDescent="0.25">
      <c r="A115081"/>
      <c r="B115081"/>
      <c r="C115081"/>
      <c r="E115081"/>
      <c r="F115081"/>
    </row>
    <row r="115082" spans="1:6" x14ac:dyDescent="0.25">
      <c r="A115082"/>
      <c r="B115082"/>
      <c r="C115082"/>
      <c r="E115082"/>
      <c r="F115082"/>
    </row>
    <row r="115083" spans="1:6" x14ac:dyDescent="0.25">
      <c r="A115083"/>
      <c r="B115083"/>
      <c r="C115083"/>
      <c r="E115083"/>
      <c r="F115083"/>
    </row>
    <row r="115084" spans="1:6" x14ac:dyDescent="0.25">
      <c r="A115084"/>
      <c r="B115084"/>
      <c r="C115084"/>
      <c r="E115084"/>
      <c r="F115084"/>
    </row>
    <row r="115085" spans="1:6" x14ac:dyDescent="0.25">
      <c r="A115085"/>
      <c r="B115085"/>
      <c r="C115085"/>
      <c r="E115085"/>
      <c r="F115085"/>
    </row>
    <row r="115086" spans="1:6" x14ac:dyDescent="0.25">
      <c r="A115086"/>
      <c r="B115086"/>
      <c r="C115086"/>
      <c r="E115086"/>
      <c r="F115086"/>
    </row>
    <row r="115087" spans="1:6" x14ac:dyDescent="0.25">
      <c r="A115087"/>
      <c r="B115087"/>
      <c r="C115087"/>
      <c r="E115087"/>
      <c r="F115087"/>
    </row>
    <row r="115088" spans="1:6" x14ac:dyDescent="0.25">
      <c r="A115088"/>
      <c r="B115088"/>
      <c r="C115088"/>
      <c r="E115088"/>
      <c r="F115088"/>
    </row>
    <row r="115089" spans="1:6" x14ac:dyDescent="0.25">
      <c r="A115089"/>
      <c r="B115089"/>
      <c r="C115089"/>
      <c r="E115089"/>
      <c r="F115089"/>
    </row>
    <row r="115090" spans="1:6" x14ac:dyDescent="0.25">
      <c r="A115090"/>
      <c r="B115090"/>
      <c r="C115090"/>
      <c r="E115090"/>
      <c r="F115090"/>
    </row>
    <row r="115091" spans="1:6" x14ac:dyDescent="0.25">
      <c r="A115091"/>
      <c r="B115091"/>
      <c r="C115091"/>
      <c r="E115091"/>
      <c r="F115091"/>
    </row>
    <row r="115092" spans="1:6" x14ac:dyDescent="0.25">
      <c r="A115092"/>
      <c r="B115092"/>
      <c r="C115092"/>
      <c r="E115092"/>
      <c r="F115092"/>
    </row>
    <row r="115093" spans="1:6" x14ac:dyDescent="0.25">
      <c r="A115093"/>
      <c r="B115093"/>
      <c r="C115093"/>
      <c r="E115093"/>
      <c r="F115093"/>
    </row>
    <row r="115094" spans="1:6" x14ac:dyDescent="0.25">
      <c r="A115094"/>
      <c r="B115094"/>
      <c r="C115094"/>
      <c r="E115094"/>
      <c r="F115094"/>
    </row>
    <row r="115095" spans="1:6" x14ac:dyDescent="0.25">
      <c r="A115095"/>
      <c r="B115095"/>
      <c r="C115095"/>
      <c r="E115095"/>
      <c r="F115095"/>
    </row>
    <row r="115096" spans="1:6" x14ac:dyDescent="0.25">
      <c r="A115096"/>
      <c r="B115096"/>
      <c r="C115096"/>
      <c r="E115096"/>
      <c r="F115096"/>
    </row>
    <row r="115097" spans="1:6" x14ac:dyDescent="0.25">
      <c r="A115097"/>
      <c r="B115097"/>
      <c r="C115097"/>
      <c r="E115097"/>
      <c r="F115097"/>
    </row>
    <row r="115098" spans="1:6" x14ac:dyDescent="0.25">
      <c r="A115098"/>
      <c r="B115098"/>
      <c r="C115098"/>
      <c r="E115098"/>
      <c r="F115098"/>
    </row>
    <row r="115099" spans="1:6" x14ac:dyDescent="0.25">
      <c r="A115099"/>
      <c r="B115099"/>
      <c r="C115099"/>
      <c r="E115099"/>
      <c r="F115099"/>
    </row>
    <row r="115100" spans="1:6" x14ac:dyDescent="0.25">
      <c r="A115100"/>
      <c r="B115100"/>
      <c r="C115100"/>
      <c r="E115100"/>
      <c r="F115100"/>
    </row>
    <row r="115101" spans="1:6" x14ac:dyDescent="0.25">
      <c r="A115101"/>
      <c r="B115101"/>
      <c r="C115101"/>
      <c r="E115101"/>
      <c r="F115101"/>
    </row>
    <row r="115102" spans="1:6" x14ac:dyDescent="0.25">
      <c r="A115102"/>
      <c r="B115102"/>
      <c r="C115102"/>
      <c r="E115102"/>
      <c r="F115102"/>
    </row>
    <row r="115103" spans="1:6" x14ac:dyDescent="0.25">
      <c r="A115103"/>
      <c r="B115103"/>
      <c r="C115103"/>
      <c r="E115103"/>
      <c r="F115103"/>
    </row>
    <row r="115104" spans="1:6" x14ac:dyDescent="0.25">
      <c r="A115104"/>
      <c r="B115104"/>
      <c r="C115104"/>
      <c r="E115104"/>
      <c r="F115104"/>
    </row>
    <row r="115105" spans="1:6" x14ac:dyDescent="0.25">
      <c r="A115105"/>
      <c r="B115105"/>
      <c r="C115105"/>
      <c r="E115105"/>
      <c r="F115105"/>
    </row>
    <row r="115106" spans="1:6" x14ac:dyDescent="0.25">
      <c r="A115106"/>
      <c r="B115106"/>
      <c r="C115106"/>
      <c r="E115106"/>
      <c r="F115106"/>
    </row>
    <row r="115107" spans="1:6" x14ac:dyDescent="0.25">
      <c r="A115107"/>
      <c r="B115107"/>
      <c r="C115107"/>
      <c r="E115107"/>
      <c r="F115107"/>
    </row>
    <row r="115108" spans="1:6" x14ac:dyDescent="0.25">
      <c r="A115108"/>
      <c r="B115108"/>
      <c r="C115108"/>
      <c r="E115108"/>
      <c r="F115108"/>
    </row>
    <row r="115109" spans="1:6" x14ac:dyDescent="0.25">
      <c r="A115109"/>
      <c r="B115109"/>
      <c r="C115109"/>
      <c r="E115109"/>
      <c r="F115109"/>
    </row>
    <row r="115110" spans="1:6" x14ac:dyDescent="0.25">
      <c r="A115110"/>
      <c r="B115110"/>
      <c r="C115110"/>
      <c r="E115110"/>
      <c r="F115110"/>
    </row>
    <row r="115111" spans="1:6" x14ac:dyDescent="0.25">
      <c r="A115111"/>
      <c r="B115111"/>
      <c r="C115111"/>
      <c r="E115111"/>
      <c r="F115111"/>
    </row>
    <row r="115112" spans="1:6" x14ac:dyDescent="0.25">
      <c r="A115112"/>
      <c r="B115112"/>
      <c r="C115112"/>
      <c r="E115112"/>
      <c r="F115112"/>
    </row>
    <row r="115113" spans="1:6" x14ac:dyDescent="0.25">
      <c r="A115113"/>
      <c r="B115113"/>
      <c r="C115113"/>
      <c r="E115113"/>
      <c r="F115113"/>
    </row>
    <row r="115114" spans="1:6" x14ac:dyDescent="0.25">
      <c r="A115114"/>
      <c r="B115114"/>
      <c r="C115114"/>
      <c r="E115114"/>
      <c r="F115114"/>
    </row>
    <row r="115115" spans="1:6" x14ac:dyDescent="0.25">
      <c r="A115115"/>
      <c r="B115115"/>
      <c r="C115115"/>
      <c r="E115115"/>
      <c r="F115115"/>
    </row>
    <row r="115116" spans="1:6" x14ac:dyDescent="0.25">
      <c r="A115116"/>
      <c r="B115116"/>
      <c r="C115116"/>
      <c r="E115116"/>
      <c r="F115116"/>
    </row>
    <row r="115117" spans="1:6" x14ac:dyDescent="0.25">
      <c r="A115117"/>
      <c r="B115117"/>
      <c r="C115117"/>
      <c r="E115117"/>
      <c r="F115117"/>
    </row>
    <row r="115118" spans="1:6" x14ac:dyDescent="0.25">
      <c r="A115118"/>
      <c r="B115118"/>
      <c r="C115118"/>
      <c r="E115118"/>
      <c r="F115118"/>
    </row>
    <row r="115119" spans="1:6" x14ac:dyDescent="0.25">
      <c r="A115119"/>
      <c r="B115119"/>
      <c r="C115119"/>
      <c r="E115119"/>
      <c r="F115119"/>
    </row>
    <row r="115120" spans="1:6" x14ac:dyDescent="0.25">
      <c r="A115120"/>
      <c r="B115120"/>
      <c r="C115120"/>
      <c r="E115120"/>
      <c r="F115120"/>
    </row>
    <row r="115121" spans="1:6" x14ac:dyDescent="0.25">
      <c r="A115121"/>
      <c r="B115121"/>
      <c r="C115121"/>
      <c r="E115121"/>
      <c r="F115121"/>
    </row>
    <row r="115122" spans="1:6" x14ac:dyDescent="0.25">
      <c r="A115122"/>
      <c r="B115122"/>
      <c r="C115122"/>
      <c r="E115122"/>
      <c r="F115122"/>
    </row>
    <row r="115123" spans="1:6" x14ac:dyDescent="0.25">
      <c r="A115123"/>
      <c r="B115123"/>
      <c r="C115123"/>
      <c r="E115123"/>
      <c r="F115123"/>
    </row>
    <row r="115124" spans="1:6" x14ac:dyDescent="0.25">
      <c r="A115124"/>
      <c r="B115124"/>
      <c r="C115124"/>
      <c r="E115124"/>
      <c r="F115124"/>
    </row>
    <row r="115125" spans="1:6" x14ac:dyDescent="0.25">
      <c r="A115125"/>
      <c r="B115125"/>
      <c r="C115125"/>
      <c r="E115125"/>
      <c r="F115125"/>
    </row>
    <row r="115126" spans="1:6" x14ac:dyDescent="0.25">
      <c r="A115126"/>
      <c r="B115126"/>
      <c r="C115126"/>
      <c r="E115126"/>
      <c r="F115126"/>
    </row>
    <row r="115127" spans="1:6" x14ac:dyDescent="0.25">
      <c r="A115127"/>
      <c r="B115127"/>
      <c r="C115127"/>
      <c r="E115127"/>
      <c r="F115127"/>
    </row>
    <row r="115128" spans="1:6" x14ac:dyDescent="0.25">
      <c r="A115128"/>
      <c r="B115128"/>
      <c r="C115128"/>
      <c r="E115128"/>
      <c r="F115128"/>
    </row>
    <row r="115129" spans="1:6" x14ac:dyDescent="0.25">
      <c r="A115129"/>
      <c r="B115129"/>
      <c r="C115129"/>
      <c r="E115129"/>
      <c r="F115129"/>
    </row>
    <row r="115130" spans="1:6" x14ac:dyDescent="0.25">
      <c r="A115130"/>
      <c r="B115130"/>
      <c r="C115130"/>
      <c r="E115130"/>
      <c r="F115130"/>
    </row>
    <row r="115131" spans="1:6" x14ac:dyDescent="0.25">
      <c r="A115131"/>
      <c r="B115131"/>
      <c r="C115131"/>
      <c r="E115131"/>
      <c r="F115131"/>
    </row>
    <row r="115132" spans="1:6" x14ac:dyDescent="0.25">
      <c r="A115132"/>
      <c r="B115132"/>
      <c r="C115132"/>
      <c r="E115132"/>
      <c r="F115132"/>
    </row>
    <row r="115133" spans="1:6" x14ac:dyDescent="0.25">
      <c r="A115133"/>
      <c r="B115133"/>
      <c r="C115133"/>
      <c r="E115133"/>
      <c r="F115133"/>
    </row>
    <row r="115134" spans="1:6" x14ac:dyDescent="0.25">
      <c r="A115134"/>
      <c r="B115134"/>
      <c r="C115134"/>
      <c r="E115134"/>
      <c r="F115134"/>
    </row>
    <row r="115135" spans="1:6" x14ac:dyDescent="0.25">
      <c r="A115135"/>
      <c r="B115135"/>
      <c r="C115135"/>
      <c r="E115135"/>
      <c r="F115135"/>
    </row>
    <row r="115136" spans="1:6" x14ac:dyDescent="0.25">
      <c r="A115136"/>
      <c r="B115136"/>
      <c r="C115136"/>
      <c r="E115136"/>
      <c r="F115136"/>
    </row>
    <row r="115137" spans="1:6" x14ac:dyDescent="0.25">
      <c r="A115137"/>
      <c r="B115137"/>
      <c r="C115137"/>
      <c r="E115137"/>
      <c r="F115137"/>
    </row>
    <row r="115138" spans="1:6" x14ac:dyDescent="0.25">
      <c r="A115138"/>
      <c r="B115138"/>
      <c r="C115138"/>
      <c r="E115138"/>
      <c r="F115138"/>
    </row>
    <row r="115139" spans="1:6" x14ac:dyDescent="0.25">
      <c r="A115139"/>
      <c r="B115139"/>
      <c r="C115139"/>
      <c r="E115139"/>
      <c r="F115139"/>
    </row>
    <row r="115140" spans="1:6" x14ac:dyDescent="0.25">
      <c r="A115140"/>
      <c r="B115140"/>
      <c r="C115140"/>
      <c r="E115140"/>
      <c r="F115140"/>
    </row>
    <row r="115141" spans="1:6" x14ac:dyDescent="0.25">
      <c r="A115141"/>
      <c r="B115141"/>
      <c r="C115141"/>
      <c r="E115141"/>
      <c r="F115141"/>
    </row>
    <row r="115142" spans="1:6" x14ac:dyDescent="0.25">
      <c r="A115142"/>
      <c r="B115142"/>
      <c r="C115142"/>
      <c r="E115142"/>
      <c r="F115142"/>
    </row>
    <row r="115143" spans="1:6" x14ac:dyDescent="0.25">
      <c r="A115143"/>
      <c r="B115143"/>
      <c r="C115143"/>
      <c r="E115143"/>
      <c r="F115143"/>
    </row>
    <row r="115144" spans="1:6" x14ac:dyDescent="0.25">
      <c r="A115144"/>
      <c r="B115144"/>
      <c r="C115144"/>
      <c r="E115144"/>
      <c r="F115144"/>
    </row>
    <row r="115145" spans="1:6" x14ac:dyDescent="0.25">
      <c r="A115145"/>
      <c r="B115145"/>
      <c r="C115145"/>
      <c r="E115145"/>
      <c r="F115145"/>
    </row>
    <row r="115146" spans="1:6" x14ac:dyDescent="0.25">
      <c r="A115146"/>
      <c r="B115146"/>
      <c r="C115146"/>
      <c r="E115146"/>
      <c r="F115146"/>
    </row>
    <row r="115147" spans="1:6" x14ac:dyDescent="0.25">
      <c r="A115147"/>
      <c r="B115147"/>
      <c r="C115147"/>
      <c r="E115147"/>
      <c r="F115147"/>
    </row>
    <row r="115148" spans="1:6" x14ac:dyDescent="0.25">
      <c r="A115148"/>
      <c r="B115148"/>
      <c r="C115148"/>
      <c r="E115148"/>
      <c r="F115148"/>
    </row>
    <row r="115149" spans="1:6" x14ac:dyDescent="0.25">
      <c r="A115149"/>
      <c r="B115149"/>
      <c r="C115149"/>
      <c r="E115149"/>
      <c r="F115149"/>
    </row>
    <row r="115150" spans="1:6" x14ac:dyDescent="0.25">
      <c r="A115150"/>
      <c r="B115150"/>
      <c r="C115150"/>
      <c r="E115150"/>
      <c r="F115150"/>
    </row>
    <row r="115151" spans="1:6" x14ac:dyDescent="0.25">
      <c r="A115151"/>
      <c r="B115151"/>
      <c r="C115151"/>
      <c r="E115151"/>
      <c r="F115151"/>
    </row>
    <row r="115152" spans="1:6" x14ac:dyDescent="0.25">
      <c r="A115152"/>
      <c r="B115152"/>
      <c r="C115152"/>
      <c r="E115152"/>
      <c r="F115152"/>
    </row>
    <row r="115153" spans="1:6" x14ac:dyDescent="0.25">
      <c r="A115153"/>
      <c r="B115153"/>
      <c r="C115153"/>
      <c r="E115153"/>
      <c r="F115153"/>
    </row>
    <row r="115154" spans="1:6" x14ac:dyDescent="0.25">
      <c r="A115154"/>
      <c r="B115154"/>
      <c r="C115154"/>
      <c r="E115154"/>
      <c r="F115154"/>
    </row>
    <row r="115155" spans="1:6" x14ac:dyDescent="0.25">
      <c r="A115155"/>
      <c r="B115155"/>
      <c r="C115155"/>
      <c r="E115155"/>
      <c r="F115155"/>
    </row>
    <row r="115156" spans="1:6" x14ac:dyDescent="0.25">
      <c r="A115156"/>
      <c r="B115156"/>
      <c r="C115156"/>
      <c r="E115156"/>
      <c r="F115156"/>
    </row>
    <row r="115157" spans="1:6" x14ac:dyDescent="0.25">
      <c r="A115157"/>
      <c r="B115157"/>
      <c r="C115157"/>
      <c r="E115157"/>
      <c r="F115157"/>
    </row>
    <row r="115158" spans="1:6" x14ac:dyDescent="0.25">
      <c r="A115158"/>
      <c r="B115158"/>
      <c r="C115158"/>
      <c r="E115158"/>
      <c r="F115158"/>
    </row>
    <row r="115159" spans="1:6" x14ac:dyDescent="0.25">
      <c r="A115159"/>
      <c r="B115159"/>
      <c r="C115159"/>
      <c r="E115159"/>
      <c r="F115159"/>
    </row>
    <row r="115160" spans="1:6" x14ac:dyDescent="0.25">
      <c r="A115160"/>
      <c r="B115160"/>
      <c r="C115160"/>
      <c r="E115160"/>
      <c r="F115160"/>
    </row>
    <row r="115161" spans="1:6" x14ac:dyDescent="0.25">
      <c r="A115161"/>
      <c r="B115161"/>
      <c r="C115161"/>
      <c r="E115161"/>
      <c r="F115161"/>
    </row>
    <row r="115162" spans="1:6" x14ac:dyDescent="0.25">
      <c r="A115162"/>
      <c r="B115162"/>
      <c r="C115162"/>
      <c r="E115162"/>
      <c r="F115162"/>
    </row>
    <row r="115163" spans="1:6" x14ac:dyDescent="0.25">
      <c r="A115163"/>
      <c r="B115163"/>
      <c r="C115163"/>
      <c r="E115163"/>
      <c r="F115163"/>
    </row>
    <row r="115164" spans="1:6" x14ac:dyDescent="0.25">
      <c r="A115164"/>
      <c r="B115164"/>
      <c r="C115164"/>
      <c r="E115164"/>
      <c r="F115164"/>
    </row>
    <row r="115165" spans="1:6" x14ac:dyDescent="0.25">
      <c r="A115165"/>
      <c r="B115165"/>
      <c r="C115165"/>
      <c r="E115165"/>
      <c r="F115165"/>
    </row>
    <row r="115166" spans="1:6" x14ac:dyDescent="0.25">
      <c r="A115166"/>
      <c r="B115166"/>
      <c r="C115166"/>
      <c r="E115166"/>
      <c r="F115166"/>
    </row>
    <row r="115167" spans="1:6" x14ac:dyDescent="0.25">
      <c r="A115167"/>
      <c r="B115167"/>
      <c r="C115167"/>
      <c r="E115167"/>
      <c r="F115167"/>
    </row>
    <row r="115168" spans="1:6" x14ac:dyDescent="0.25">
      <c r="A115168"/>
      <c r="B115168"/>
      <c r="C115168"/>
      <c r="E115168"/>
      <c r="F115168"/>
    </row>
    <row r="115169" spans="1:6" x14ac:dyDescent="0.25">
      <c r="A115169"/>
      <c r="B115169"/>
      <c r="C115169"/>
      <c r="E115169"/>
      <c r="F115169"/>
    </row>
    <row r="115170" spans="1:6" x14ac:dyDescent="0.25">
      <c r="A115170"/>
      <c r="B115170"/>
      <c r="C115170"/>
      <c r="E115170"/>
      <c r="F115170"/>
    </row>
    <row r="115171" spans="1:6" x14ac:dyDescent="0.25">
      <c r="A115171"/>
      <c r="B115171"/>
      <c r="C115171"/>
      <c r="E115171"/>
      <c r="F115171"/>
    </row>
    <row r="115172" spans="1:6" x14ac:dyDescent="0.25">
      <c r="A115172"/>
      <c r="B115172"/>
      <c r="C115172"/>
      <c r="E115172"/>
      <c r="F115172"/>
    </row>
    <row r="115173" spans="1:6" x14ac:dyDescent="0.25">
      <c r="A115173"/>
      <c r="B115173"/>
      <c r="C115173"/>
      <c r="E115173"/>
      <c r="F115173"/>
    </row>
    <row r="115174" spans="1:6" x14ac:dyDescent="0.25">
      <c r="A115174"/>
      <c r="B115174"/>
      <c r="C115174"/>
      <c r="E115174"/>
      <c r="F115174"/>
    </row>
    <row r="115175" spans="1:6" x14ac:dyDescent="0.25">
      <c r="A115175"/>
      <c r="B115175"/>
      <c r="C115175"/>
      <c r="E115175"/>
      <c r="F115175"/>
    </row>
    <row r="115176" spans="1:6" x14ac:dyDescent="0.25">
      <c r="A115176"/>
      <c r="B115176"/>
      <c r="C115176"/>
      <c r="E115176"/>
      <c r="F115176"/>
    </row>
    <row r="115177" spans="1:6" x14ac:dyDescent="0.25">
      <c r="A115177"/>
      <c r="B115177"/>
      <c r="C115177"/>
      <c r="E115177"/>
      <c r="F115177"/>
    </row>
    <row r="115178" spans="1:6" x14ac:dyDescent="0.25">
      <c r="A115178"/>
      <c r="B115178"/>
      <c r="C115178"/>
      <c r="E115178"/>
      <c r="F115178"/>
    </row>
    <row r="115179" spans="1:6" x14ac:dyDescent="0.25">
      <c r="A115179"/>
      <c r="B115179"/>
      <c r="C115179"/>
      <c r="E115179"/>
      <c r="F115179"/>
    </row>
    <row r="115180" spans="1:6" x14ac:dyDescent="0.25">
      <c r="A115180"/>
      <c r="B115180"/>
      <c r="C115180"/>
      <c r="E115180"/>
      <c r="F115180"/>
    </row>
    <row r="115181" spans="1:6" x14ac:dyDescent="0.25">
      <c r="A115181"/>
      <c r="B115181"/>
      <c r="C115181"/>
      <c r="E115181"/>
      <c r="F115181"/>
    </row>
    <row r="115182" spans="1:6" x14ac:dyDescent="0.25">
      <c r="A115182"/>
      <c r="B115182"/>
      <c r="C115182"/>
      <c r="E115182"/>
      <c r="F115182"/>
    </row>
    <row r="115183" spans="1:6" x14ac:dyDescent="0.25">
      <c r="A115183"/>
      <c r="B115183"/>
      <c r="C115183"/>
      <c r="E115183"/>
      <c r="F115183"/>
    </row>
    <row r="115184" spans="1:6" x14ac:dyDescent="0.25">
      <c r="A115184"/>
      <c r="B115184"/>
      <c r="C115184"/>
      <c r="E115184"/>
      <c r="F115184"/>
    </row>
    <row r="115185" spans="1:6" x14ac:dyDescent="0.25">
      <c r="A115185"/>
      <c r="B115185"/>
      <c r="C115185"/>
      <c r="E115185"/>
      <c r="F115185"/>
    </row>
    <row r="115186" spans="1:6" x14ac:dyDescent="0.25">
      <c r="A115186"/>
      <c r="B115186"/>
      <c r="C115186"/>
      <c r="E115186"/>
      <c r="F115186"/>
    </row>
    <row r="115187" spans="1:6" x14ac:dyDescent="0.25">
      <c r="A115187"/>
      <c r="B115187"/>
      <c r="C115187"/>
      <c r="E115187"/>
      <c r="F115187"/>
    </row>
    <row r="115188" spans="1:6" x14ac:dyDescent="0.25">
      <c r="A115188"/>
      <c r="B115188"/>
      <c r="C115188"/>
      <c r="E115188"/>
      <c r="F115188"/>
    </row>
    <row r="115189" spans="1:6" x14ac:dyDescent="0.25">
      <c r="A115189"/>
      <c r="B115189"/>
      <c r="C115189"/>
      <c r="E115189"/>
      <c r="F115189"/>
    </row>
    <row r="115190" spans="1:6" x14ac:dyDescent="0.25">
      <c r="A115190"/>
      <c r="B115190"/>
      <c r="C115190"/>
      <c r="E115190"/>
      <c r="F115190"/>
    </row>
    <row r="115191" spans="1:6" x14ac:dyDescent="0.25">
      <c r="A115191"/>
      <c r="B115191"/>
      <c r="C115191"/>
      <c r="E115191"/>
      <c r="F115191"/>
    </row>
    <row r="115192" spans="1:6" x14ac:dyDescent="0.25">
      <c r="A115192"/>
      <c r="B115192"/>
      <c r="C115192"/>
      <c r="E115192"/>
      <c r="F115192"/>
    </row>
    <row r="115193" spans="1:6" x14ac:dyDescent="0.25">
      <c r="A115193"/>
      <c r="B115193"/>
      <c r="C115193"/>
      <c r="E115193"/>
      <c r="F115193"/>
    </row>
    <row r="115194" spans="1:6" x14ac:dyDescent="0.25">
      <c r="A115194"/>
      <c r="B115194"/>
      <c r="C115194"/>
      <c r="E115194"/>
      <c r="F115194"/>
    </row>
    <row r="115195" spans="1:6" x14ac:dyDescent="0.25">
      <c r="A115195"/>
      <c r="B115195"/>
      <c r="C115195"/>
      <c r="E115195"/>
      <c r="F115195"/>
    </row>
    <row r="115196" spans="1:6" x14ac:dyDescent="0.25">
      <c r="A115196"/>
      <c r="B115196"/>
      <c r="C115196"/>
      <c r="E115196"/>
      <c r="F115196"/>
    </row>
    <row r="115197" spans="1:6" x14ac:dyDescent="0.25">
      <c r="A115197"/>
      <c r="B115197"/>
      <c r="C115197"/>
      <c r="E115197"/>
      <c r="F115197"/>
    </row>
    <row r="115198" spans="1:6" x14ac:dyDescent="0.25">
      <c r="A115198"/>
      <c r="B115198"/>
      <c r="C115198"/>
      <c r="E115198"/>
      <c r="F115198"/>
    </row>
    <row r="115199" spans="1:6" x14ac:dyDescent="0.25">
      <c r="A115199"/>
      <c r="B115199"/>
      <c r="C115199"/>
      <c r="E115199"/>
      <c r="F115199"/>
    </row>
    <row r="115200" spans="1:6" x14ac:dyDescent="0.25">
      <c r="A115200"/>
      <c r="B115200"/>
      <c r="C115200"/>
      <c r="E115200"/>
      <c r="F115200"/>
    </row>
    <row r="115201" spans="1:6" x14ac:dyDescent="0.25">
      <c r="A115201"/>
      <c r="B115201"/>
      <c r="C115201"/>
      <c r="E115201"/>
      <c r="F115201"/>
    </row>
    <row r="115202" spans="1:6" x14ac:dyDescent="0.25">
      <c r="A115202"/>
      <c r="B115202"/>
      <c r="C115202"/>
      <c r="E115202"/>
      <c r="F115202"/>
    </row>
    <row r="115203" spans="1:6" x14ac:dyDescent="0.25">
      <c r="A115203"/>
      <c r="B115203"/>
      <c r="C115203"/>
      <c r="E115203"/>
      <c r="F115203"/>
    </row>
    <row r="115204" spans="1:6" x14ac:dyDescent="0.25">
      <c r="A115204"/>
      <c r="B115204"/>
      <c r="C115204"/>
      <c r="E115204"/>
      <c r="F115204"/>
    </row>
    <row r="115205" spans="1:6" x14ac:dyDescent="0.25">
      <c r="A115205"/>
      <c r="B115205"/>
      <c r="C115205"/>
      <c r="E115205"/>
      <c r="F115205"/>
    </row>
    <row r="115206" spans="1:6" x14ac:dyDescent="0.25">
      <c r="A115206"/>
      <c r="B115206"/>
      <c r="C115206"/>
      <c r="E115206"/>
      <c r="F115206"/>
    </row>
    <row r="115207" spans="1:6" x14ac:dyDescent="0.25">
      <c r="A115207"/>
      <c r="B115207"/>
      <c r="C115207"/>
      <c r="E115207"/>
      <c r="F115207"/>
    </row>
    <row r="115208" spans="1:6" x14ac:dyDescent="0.25">
      <c r="A115208"/>
      <c r="B115208"/>
      <c r="C115208"/>
      <c r="E115208"/>
      <c r="F115208"/>
    </row>
    <row r="115209" spans="1:6" x14ac:dyDescent="0.25">
      <c r="A115209"/>
      <c r="B115209"/>
      <c r="C115209"/>
      <c r="E115209"/>
      <c r="F115209"/>
    </row>
    <row r="115210" spans="1:6" x14ac:dyDescent="0.25">
      <c r="A115210"/>
      <c r="B115210"/>
      <c r="C115210"/>
      <c r="E115210"/>
      <c r="F115210"/>
    </row>
    <row r="115211" spans="1:6" x14ac:dyDescent="0.25">
      <c r="A115211"/>
      <c r="B115211"/>
      <c r="C115211"/>
      <c r="E115211"/>
      <c r="F115211"/>
    </row>
    <row r="115212" spans="1:6" x14ac:dyDescent="0.25">
      <c r="A115212"/>
      <c r="B115212"/>
      <c r="C115212"/>
      <c r="E115212"/>
      <c r="F115212"/>
    </row>
    <row r="115213" spans="1:6" x14ac:dyDescent="0.25">
      <c r="A115213"/>
      <c r="B115213"/>
      <c r="C115213"/>
      <c r="E115213"/>
      <c r="F115213"/>
    </row>
    <row r="115214" spans="1:6" x14ac:dyDescent="0.25">
      <c r="A115214"/>
      <c r="B115214"/>
      <c r="C115214"/>
      <c r="E115214"/>
      <c r="F115214"/>
    </row>
    <row r="115215" spans="1:6" x14ac:dyDescent="0.25">
      <c r="A115215"/>
      <c r="B115215"/>
      <c r="C115215"/>
      <c r="E115215"/>
      <c r="F115215"/>
    </row>
    <row r="115216" spans="1:6" x14ac:dyDescent="0.25">
      <c r="A115216"/>
      <c r="B115216"/>
      <c r="C115216"/>
      <c r="E115216"/>
      <c r="F115216"/>
    </row>
    <row r="115217" spans="1:6" x14ac:dyDescent="0.25">
      <c r="A115217"/>
      <c r="B115217"/>
      <c r="C115217"/>
      <c r="E115217"/>
      <c r="F115217"/>
    </row>
    <row r="115218" spans="1:6" x14ac:dyDescent="0.25">
      <c r="A115218"/>
      <c r="B115218"/>
      <c r="C115218"/>
      <c r="E115218"/>
      <c r="F115218"/>
    </row>
    <row r="115219" spans="1:6" x14ac:dyDescent="0.25">
      <c r="A115219"/>
      <c r="B115219"/>
      <c r="C115219"/>
      <c r="E115219"/>
      <c r="F115219"/>
    </row>
    <row r="115220" spans="1:6" x14ac:dyDescent="0.25">
      <c r="A115220"/>
      <c r="B115220"/>
      <c r="C115220"/>
      <c r="E115220"/>
      <c r="F115220"/>
    </row>
    <row r="115221" spans="1:6" x14ac:dyDescent="0.25">
      <c r="A115221"/>
      <c r="B115221"/>
      <c r="C115221"/>
      <c r="E115221"/>
      <c r="F115221"/>
    </row>
    <row r="115222" spans="1:6" x14ac:dyDescent="0.25">
      <c r="A115222"/>
      <c r="B115222"/>
      <c r="C115222"/>
      <c r="E115222"/>
      <c r="F115222"/>
    </row>
    <row r="115223" spans="1:6" x14ac:dyDescent="0.25">
      <c r="A115223"/>
      <c r="B115223"/>
      <c r="C115223"/>
      <c r="E115223"/>
      <c r="F115223"/>
    </row>
    <row r="115224" spans="1:6" x14ac:dyDescent="0.25">
      <c r="A115224"/>
      <c r="B115224"/>
      <c r="C115224"/>
      <c r="E115224"/>
      <c r="F115224"/>
    </row>
    <row r="115225" spans="1:6" x14ac:dyDescent="0.25">
      <c r="A115225"/>
      <c r="B115225"/>
      <c r="C115225"/>
      <c r="E115225"/>
      <c r="F115225"/>
    </row>
    <row r="115226" spans="1:6" x14ac:dyDescent="0.25">
      <c r="A115226"/>
      <c r="B115226"/>
      <c r="C115226"/>
      <c r="E115226"/>
      <c r="F115226"/>
    </row>
    <row r="115227" spans="1:6" x14ac:dyDescent="0.25">
      <c r="A115227"/>
      <c r="B115227"/>
      <c r="C115227"/>
      <c r="E115227"/>
      <c r="F115227"/>
    </row>
    <row r="115228" spans="1:6" x14ac:dyDescent="0.25">
      <c r="A115228"/>
      <c r="B115228"/>
      <c r="C115228"/>
      <c r="E115228"/>
      <c r="F115228"/>
    </row>
    <row r="115229" spans="1:6" x14ac:dyDescent="0.25">
      <c r="A115229"/>
      <c r="B115229"/>
      <c r="C115229"/>
      <c r="E115229"/>
      <c r="F115229"/>
    </row>
    <row r="115230" spans="1:6" x14ac:dyDescent="0.25">
      <c r="A115230"/>
      <c r="B115230"/>
      <c r="C115230"/>
      <c r="E115230"/>
      <c r="F115230"/>
    </row>
    <row r="115231" spans="1:6" x14ac:dyDescent="0.25">
      <c r="A115231"/>
      <c r="B115231"/>
      <c r="C115231"/>
      <c r="E115231"/>
      <c r="F115231"/>
    </row>
    <row r="115232" spans="1:6" x14ac:dyDescent="0.25">
      <c r="A115232"/>
      <c r="B115232"/>
      <c r="C115232"/>
      <c r="E115232"/>
      <c r="F115232"/>
    </row>
    <row r="115233" spans="1:6" x14ac:dyDescent="0.25">
      <c r="A115233"/>
      <c r="B115233"/>
      <c r="C115233"/>
      <c r="E115233"/>
      <c r="F115233"/>
    </row>
    <row r="115234" spans="1:6" x14ac:dyDescent="0.25">
      <c r="A115234"/>
      <c r="B115234"/>
      <c r="C115234"/>
      <c r="E115234"/>
      <c r="F115234"/>
    </row>
    <row r="115235" spans="1:6" x14ac:dyDescent="0.25">
      <c r="A115235"/>
      <c r="B115235"/>
      <c r="C115235"/>
      <c r="E115235"/>
      <c r="F115235"/>
    </row>
    <row r="115236" spans="1:6" x14ac:dyDescent="0.25">
      <c r="A115236"/>
      <c r="B115236"/>
      <c r="C115236"/>
      <c r="E115236"/>
      <c r="F115236"/>
    </row>
    <row r="115237" spans="1:6" x14ac:dyDescent="0.25">
      <c r="A115237"/>
      <c r="B115237"/>
      <c r="C115237"/>
      <c r="E115237"/>
      <c r="F115237"/>
    </row>
    <row r="115238" spans="1:6" x14ac:dyDescent="0.25">
      <c r="A115238"/>
      <c r="B115238"/>
      <c r="C115238"/>
      <c r="E115238"/>
      <c r="F115238"/>
    </row>
    <row r="115239" spans="1:6" x14ac:dyDescent="0.25">
      <c r="A115239"/>
      <c r="B115239"/>
      <c r="C115239"/>
      <c r="E115239"/>
      <c r="F115239"/>
    </row>
    <row r="115240" spans="1:6" x14ac:dyDescent="0.25">
      <c r="A115240"/>
      <c r="B115240"/>
      <c r="C115240"/>
      <c r="E115240"/>
      <c r="F115240"/>
    </row>
    <row r="115241" spans="1:6" x14ac:dyDescent="0.25">
      <c r="A115241"/>
      <c r="B115241"/>
      <c r="C115241"/>
      <c r="E115241"/>
      <c r="F115241"/>
    </row>
    <row r="115242" spans="1:6" x14ac:dyDescent="0.25">
      <c r="A115242"/>
      <c r="B115242"/>
      <c r="C115242"/>
      <c r="E115242"/>
      <c r="F115242"/>
    </row>
    <row r="115243" spans="1:6" x14ac:dyDescent="0.25">
      <c r="A115243"/>
      <c r="B115243"/>
      <c r="C115243"/>
      <c r="E115243"/>
      <c r="F115243"/>
    </row>
    <row r="115244" spans="1:6" x14ac:dyDescent="0.25">
      <c r="A115244"/>
      <c r="B115244"/>
      <c r="C115244"/>
      <c r="E115244"/>
      <c r="F115244"/>
    </row>
    <row r="115245" spans="1:6" x14ac:dyDescent="0.25">
      <c r="A115245"/>
      <c r="B115245"/>
      <c r="C115245"/>
      <c r="E115245"/>
      <c r="F115245"/>
    </row>
    <row r="115246" spans="1:6" x14ac:dyDescent="0.25">
      <c r="A115246"/>
      <c r="B115246"/>
      <c r="C115246"/>
      <c r="E115246"/>
      <c r="F115246"/>
    </row>
    <row r="115247" spans="1:6" x14ac:dyDescent="0.25">
      <c r="A115247"/>
      <c r="B115247"/>
      <c r="C115247"/>
      <c r="E115247"/>
      <c r="F115247"/>
    </row>
    <row r="115248" spans="1:6" x14ac:dyDescent="0.25">
      <c r="A115248"/>
      <c r="B115248"/>
      <c r="C115248"/>
      <c r="E115248"/>
      <c r="F115248"/>
    </row>
    <row r="115249" spans="1:6" x14ac:dyDescent="0.25">
      <c r="A115249"/>
      <c r="B115249"/>
      <c r="C115249"/>
      <c r="E115249"/>
      <c r="F115249"/>
    </row>
    <row r="115250" spans="1:6" x14ac:dyDescent="0.25">
      <c r="A115250"/>
      <c r="B115250"/>
      <c r="C115250"/>
      <c r="E115250"/>
      <c r="F115250"/>
    </row>
    <row r="115251" spans="1:6" x14ac:dyDescent="0.25">
      <c r="A115251"/>
      <c r="B115251"/>
      <c r="C115251"/>
      <c r="E115251"/>
      <c r="F115251"/>
    </row>
    <row r="115252" spans="1:6" x14ac:dyDescent="0.25">
      <c r="A115252"/>
      <c r="B115252"/>
      <c r="C115252"/>
      <c r="E115252"/>
      <c r="F115252"/>
    </row>
    <row r="115253" spans="1:6" x14ac:dyDescent="0.25">
      <c r="A115253"/>
      <c r="B115253"/>
      <c r="C115253"/>
      <c r="E115253"/>
      <c r="F115253"/>
    </row>
    <row r="115254" spans="1:6" x14ac:dyDescent="0.25">
      <c r="A115254"/>
      <c r="B115254"/>
      <c r="C115254"/>
      <c r="E115254"/>
      <c r="F115254"/>
    </row>
    <row r="115255" spans="1:6" x14ac:dyDescent="0.25">
      <c r="A115255"/>
      <c r="B115255"/>
      <c r="C115255"/>
      <c r="E115255"/>
      <c r="F115255"/>
    </row>
    <row r="115256" spans="1:6" x14ac:dyDescent="0.25">
      <c r="A115256"/>
      <c r="B115256"/>
      <c r="C115256"/>
      <c r="E115256"/>
      <c r="F115256"/>
    </row>
    <row r="115257" spans="1:6" x14ac:dyDescent="0.25">
      <c r="A115257"/>
      <c r="B115257"/>
      <c r="C115257"/>
      <c r="E115257"/>
      <c r="F115257"/>
    </row>
    <row r="115258" spans="1:6" x14ac:dyDescent="0.25">
      <c r="A115258"/>
      <c r="B115258"/>
      <c r="C115258"/>
      <c r="E115258"/>
      <c r="F115258"/>
    </row>
    <row r="115259" spans="1:6" x14ac:dyDescent="0.25">
      <c r="A115259"/>
      <c r="B115259"/>
      <c r="C115259"/>
      <c r="E115259"/>
      <c r="F115259"/>
    </row>
    <row r="115260" spans="1:6" x14ac:dyDescent="0.25">
      <c r="A115260"/>
      <c r="B115260"/>
      <c r="C115260"/>
      <c r="E115260"/>
      <c r="F115260"/>
    </row>
    <row r="115261" spans="1:6" x14ac:dyDescent="0.25">
      <c r="A115261"/>
      <c r="B115261"/>
      <c r="C115261"/>
      <c r="E115261"/>
      <c r="F115261"/>
    </row>
    <row r="115262" spans="1:6" x14ac:dyDescent="0.25">
      <c r="A115262"/>
      <c r="B115262"/>
      <c r="C115262"/>
      <c r="E115262"/>
      <c r="F115262"/>
    </row>
    <row r="115263" spans="1:6" x14ac:dyDescent="0.25">
      <c r="A115263"/>
      <c r="B115263"/>
      <c r="C115263"/>
      <c r="E115263"/>
      <c r="F115263"/>
    </row>
    <row r="115264" spans="1:6" x14ac:dyDescent="0.25">
      <c r="A115264"/>
      <c r="B115264"/>
      <c r="C115264"/>
      <c r="E115264"/>
      <c r="F115264"/>
    </row>
    <row r="115265" spans="1:6" x14ac:dyDescent="0.25">
      <c r="A115265"/>
      <c r="B115265"/>
      <c r="C115265"/>
      <c r="E115265"/>
      <c r="F115265"/>
    </row>
    <row r="115266" spans="1:6" x14ac:dyDescent="0.25">
      <c r="A115266"/>
      <c r="B115266"/>
      <c r="C115266"/>
      <c r="E115266"/>
      <c r="F115266"/>
    </row>
    <row r="115267" spans="1:6" x14ac:dyDescent="0.25">
      <c r="A115267"/>
      <c r="B115267"/>
      <c r="C115267"/>
      <c r="E115267"/>
      <c r="F115267"/>
    </row>
    <row r="115268" spans="1:6" x14ac:dyDescent="0.25">
      <c r="A115268"/>
      <c r="B115268"/>
      <c r="C115268"/>
      <c r="E115268"/>
      <c r="F115268"/>
    </row>
    <row r="115269" spans="1:6" x14ac:dyDescent="0.25">
      <c r="A115269"/>
      <c r="B115269"/>
      <c r="C115269"/>
      <c r="E115269"/>
      <c r="F115269"/>
    </row>
    <row r="115270" spans="1:6" x14ac:dyDescent="0.25">
      <c r="A115270"/>
      <c r="B115270"/>
      <c r="C115270"/>
      <c r="E115270"/>
      <c r="F115270"/>
    </row>
    <row r="115271" spans="1:6" x14ac:dyDescent="0.25">
      <c r="A115271"/>
      <c r="B115271"/>
      <c r="C115271"/>
      <c r="E115271"/>
      <c r="F115271"/>
    </row>
    <row r="115272" spans="1:6" x14ac:dyDescent="0.25">
      <c r="A115272"/>
      <c r="B115272"/>
      <c r="C115272"/>
      <c r="E115272"/>
      <c r="F115272"/>
    </row>
    <row r="115273" spans="1:6" x14ac:dyDescent="0.25">
      <c r="A115273"/>
      <c r="B115273"/>
      <c r="C115273"/>
      <c r="E115273"/>
      <c r="F115273"/>
    </row>
    <row r="115274" spans="1:6" x14ac:dyDescent="0.25">
      <c r="A115274"/>
      <c r="B115274"/>
      <c r="C115274"/>
      <c r="E115274"/>
      <c r="F115274"/>
    </row>
    <row r="115275" spans="1:6" x14ac:dyDescent="0.25">
      <c r="A115275"/>
      <c r="B115275"/>
      <c r="C115275"/>
      <c r="E115275"/>
      <c r="F115275"/>
    </row>
    <row r="115276" spans="1:6" x14ac:dyDescent="0.25">
      <c r="A115276"/>
      <c r="B115276"/>
      <c r="C115276"/>
      <c r="E115276"/>
      <c r="F115276"/>
    </row>
    <row r="115277" spans="1:6" x14ac:dyDescent="0.25">
      <c r="A115277"/>
      <c r="B115277"/>
      <c r="C115277"/>
      <c r="E115277"/>
      <c r="F115277"/>
    </row>
    <row r="115278" spans="1:6" x14ac:dyDescent="0.25">
      <c r="A115278"/>
      <c r="B115278"/>
      <c r="C115278"/>
      <c r="E115278"/>
      <c r="F115278"/>
    </row>
    <row r="115279" spans="1:6" x14ac:dyDescent="0.25">
      <c r="A115279"/>
      <c r="B115279"/>
      <c r="C115279"/>
      <c r="E115279"/>
      <c r="F115279"/>
    </row>
    <row r="115280" spans="1:6" x14ac:dyDescent="0.25">
      <c r="A115280"/>
      <c r="B115280"/>
      <c r="C115280"/>
      <c r="E115280"/>
      <c r="F115280"/>
    </row>
    <row r="115281" spans="1:6" x14ac:dyDescent="0.25">
      <c r="A115281"/>
      <c r="B115281"/>
      <c r="C115281"/>
      <c r="E115281"/>
      <c r="F115281"/>
    </row>
    <row r="115282" spans="1:6" x14ac:dyDescent="0.25">
      <c r="A115282"/>
      <c r="B115282"/>
      <c r="C115282"/>
      <c r="E115282"/>
      <c r="F115282"/>
    </row>
    <row r="115283" spans="1:6" x14ac:dyDescent="0.25">
      <c r="A115283"/>
      <c r="B115283"/>
      <c r="C115283"/>
      <c r="E115283"/>
      <c r="F115283"/>
    </row>
    <row r="115284" spans="1:6" x14ac:dyDescent="0.25">
      <c r="A115284"/>
      <c r="B115284"/>
      <c r="C115284"/>
      <c r="E115284"/>
      <c r="F115284"/>
    </row>
    <row r="115285" spans="1:6" x14ac:dyDescent="0.25">
      <c r="A115285"/>
      <c r="B115285"/>
      <c r="C115285"/>
      <c r="E115285"/>
      <c r="F115285"/>
    </row>
    <row r="115286" spans="1:6" x14ac:dyDescent="0.25">
      <c r="A115286"/>
      <c r="B115286"/>
      <c r="C115286"/>
      <c r="E115286"/>
      <c r="F115286"/>
    </row>
    <row r="115287" spans="1:6" x14ac:dyDescent="0.25">
      <c r="A115287"/>
      <c r="B115287"/>
      <c r="C115287"/>
      <c r="E115287"/>
      <c r="F115287"/>
    </row>
    <row r="115288" spans="1:6" x14ac:dyDescent="0.25">
      <c r="A115288"/>
      <c r="B115288"/>
      <c r="C115288"/>
      <c r="E115288"/>
      <c r="F115288"/>
    </row>
    <row r="115289" spans="1:6" x14ac:dyDescent="0.25">
      <c r="A115289"/>
      <c r="B115289"/>
      <c r="C115289"/>
      <c r="E115289"/>
      <c r="F115289"/>
    </row>
    <row r="115290" spans="1:6" x14ac:dyDescent="0.25">
      <c r="A115290"/>
      <c r="B115290"/>
      <c r="C115290"/>
      <c r="E115290"/>
      <c r="F115290"/>
    </row>
    <row r="115291" spans="1:6" x14ac:dyDescent="0.25">
      <c r="A115291"/>
      <c r="B115291"/>
      <c r="C115291"/>
      <c r="E115291"/>
      <c r="F115291"/>
    </row>
    <row r="115292" spans="1:6" x14ac:dyDescent="0.25">
      <c r="A115292"/>
      <c r="B115292"/>
      <c r="C115292"/>
      <c r="E115292"/>
      <c r="F115292"/>
    </row>
    <row r="115293" spans="1:6" x14ac:dyDescent="0.25">
      <c r="A115293"/>
      <c r="B115293"/>
      <c r="C115293"/>
      <c r="E115293"/>
      <c r="F115293"/>
    </row>
    <row r="115294" spans="1:6" x14ac:dyDescent="0.25">
      <c r="A115294"/>
      <c r="B115294"/>
      <c r="C115294"/>
      <c r="E115294"/>
      <c r="F115294"/>
    </row>
    <row r="115295" spans="1:6" x14ac:dyDescent="0.25">
      <c r="A115295"/>
      <c r="B115295"/>
      <c r="C115295"/>
      <c r="E115295"/>
      <c r="F115295"/>
    </row>
    <row r="115296" spans="1:6" x14ac:dyDescent="0.25">
      <c r="A115296"/>
      <c r="B115296"/>
      <c r="C115296"/>
      <c r="E115296"/>
      <c r="F115296"/>
    </row>
    <row r="115297" spans="1:6" x14ac:dyDescent="0.25">
      <c r="A115297"/>
      <c r="B115297"/>
      <c r="C115297"/>
      <c r="E115297"/>
      <c r="F115297"/>
    </row>
    <row r="115298" spans="1:6" x14ac:dyDescent="0.25">
      <c r="A115298"/>
      <c r="B115298"/>
      <c r="C115298"/>
      <c r="E115298"/>
      <c r="F115298"/>
    </row>
    <row r="115299" spans="1:6" x14ac:dyDescent="0.25">
      <c r="A115299"/>
      <c r="B115299"/>
      <c r="C115299"/>
      <c r="E115299"/>
      <c r="F115299"/>
    </row>
    <row r="115300" spans="1:6" x14ac:dyDescent="0.25">
      <c r="A115300"/>
      <c r="B115300"/>
      <c r="C115300"/>
      <c r="E115300"/>
      <c r="F115300"/>
    </row>
    <row r="115301" spans="1:6" x14ac:dyDescent="0.25">
      <c r="A115301"/>
      <c r="B115301"/>
      <c r="C115301"/>
      <c r="E115301"/>
      <c r="F115301"/>
    </row>
    <row r="115302" spans="1:6" x14ac:dyDescent="0.25">
      <c r="A115302"/>
      <c r="B115302"/>
      <c r="C115302"/>
      <c r="E115302"/>
      <c r="F115302"/>
    </row>
    <row r="115303" spans="1:6" x14ac:dyDescent="0.25">
      <c r="A115303"/>
      <c r="B115303"/>
      <c r="C115303"/>
      <c r="E115303"/>
      <c r="F115303"/>
    </row>
    <row r="115304" spans="1:6" x14ac:dyDescent="0.25">
      <c r="A115304"/>
      <c r="B115304"/>
      <c r="C115304"/>
      <c r="E115304"/>
      <c r="F115304"/>
    </row>
    <row r="115305" spans="1:6" x14ac:dyDescent="0.25">
      <c r="A115305"/>
      <c r="B115305"/>
      <c r="C115305"/>
      <c r="E115305"/>
      <c r="F115305"/>
    </row>
    <row r="115306" spans="1:6" x14ac:dyDescent="0.25">
      <c r="A115306"/>
      <c r="B115306"/>
      <c r="C115306"/>
      <c r="E115306"/>
      <c r="F115306"/>
    </row>
    <row r="115307" spans="1:6" x14ac:dyDescent="0.25">
      <c r="A115307"/>
      <c r="B115307"/>
      <c r="C115307"/>
      <c r="E115307"/>
      <c r="F115307"/>
    </row>
    <row r="115308" spans="1:6" x14ac:dyDescent="0.25">
      <c r="A115308"/>
      <c r="B115308"/>
      <c r="C115308"/>
      <c r="E115308"/>
      <c r="F115308"/>
    </row>
    <row r="115309" spans="1:6" x14ac:dyDescent="0.25">
      <c r="A115309"/>
      <c r="B115309"/>
      <c r="C115309"/>
      <c r="E115309"/>
      <c r="F115309"/>
    </row>
    <row r="115310" spans="1:6" x14ac:dyDescent="0.25">
      <c r="A115310"/>
      <c r="B115310"/>
      <c r="C115310"/>
      <c r="E115310"/>
      <c r="F115310"/>
    </row>
    <row r="115311" spans="1:6" x14ac:dyDescent="0.25">
      <c r="A115311"/>
      <c r="B115311"/>
      <c r="C115311"/>
      <c r="E115311"/>
      <c r="F115311"/>
    </row>
    <row r="115312" spans="1:6" x14ac:dyDescent="0.25">
      <c r="A115312"/>
      <c r="B115312"/>
      <c r="C115312"/>
      <c r="E115312"/>
      <c r="F115312"/>
    </row>
    <row r="115313" spans="1:6" x14ac:dyDescent="0.25">
      <c r="A115313"/>
      <c r="B115313"/>
      <c r="C115313"/>
      <c r="E115313"/>
      <c r="F115313"/>
    </row>
    <row r="115314" spans="1:6" x14ac:dyDescent="0.25">
      <c r="A115314"/>
      <c r="B115314"/>
      <c r="C115314"/>
      <c r="E115314"/>
      <c r="F115314"/>
    </row>
    <row r="115315" spans="1:6" x14ac:dyDescent="0.25">
      <c r="A115315"/>
      <c r="B115315"/>
      <c r="C115315"/>
      <c r="E115315"/>
      <c r="F115315"/>
    </row>
    <row r="115316" spans="1:6" x14ac:dyDescent="0.25">
      <c r="A115316"/>
      <c r="B115316"/>
      <c r="C115316"/>
      <c r="E115316"/>
      <c r="F115316"/>
    </row>
    <row r="115317" spans="1:6" x14ac:dyDescent="0.25">
      <c r="A115317"/>
      <c r="B115317"/>
      <c r="C115317"/>
      <c r="E115317"/>
      <c r="F115317"/>
    </row>
    <row r="115318" spans="1:6" x14ac:dyDescent="0.25">
      <c r="A115318"/>
      <c r="B115318"/>
      <c r="C115318"/>
      <c r="E115318"/>
      <c r="F115318"/>
    </row>
    <row r="115319" spans="1:6" x14ac:dyDescent="0.25">
      <c r="A115319"/>
      <c r="B115319"/>
      <c r="C115319"/>
      <c r="E115319"/>
      <c r="F115319"/>
    </row>
    <row r="115320" spans="1:6" x14ac:dyDescent="0.25">
      <c r="A115320"/>
      <c r="B115320"/>
      <c r="C115320"/>
      <c r="E115320"/>
      <c r="F115320"/>
    </row>
    <row r="115321" spans="1:6" x14ac:dyDescent="0.25">
      <c r="A115321"/>
      <c r="B115321"/>
      <c r="C115321"/>
      <c r="E115321"/>
      <c r="F115321"/>
    </row>
    <row r="115322" spans="1:6" x14ac:dyDescent="0.25">
      <c r="A115322"/>
      <c r="B115322"/>
      <c r="C115322"/>
      <c r="E115322"/>
      <c r="F115322"/>
    </row>
    <row r="115323" spans="1:6" x14ac:dyDescent="0.25">
      <c r="A115323"/>
      <c r="B115323"/>
      <c r="C115323"/>
      <c r="E115323"/>
      <c r="F115323"/>
    </row>
    <row r="115324" spans="1:6" x14ac:dyDescent="0.25">
      <c r="A115324"/>
      <c r="B115324"/>
      <c r="C115324"/>
      <c r="E115324"/>
      <c r="F115324"/>
    </row>
    <row r="115325" spans="1:6" x14ac:dyDescent="0.25">
      <c r="A115325"/>
      <c r="B115325"/>
      <c r="C115325"/>
      <c r="E115325"/>
      <c r="F115325"/>
    </row>
    <row r="115326" spans="1:6" x14ac:dyDescent="0.25">
      <c r="A115326"/>
      <c r="B115326"/>
      <c r="C115326"/>
      <c r="E115326"/>
      <c r="F115326"/>
    </row>
    <row r="115327" spans="1:6" x14ac:dyDescent="0.25">
      <c r="A115327"/>
      <c r="B115327"/>
      <c r="C115327"/>
      <c r="E115327"/>
      <c r="F115327"/>
    </row>
    <row r="115328" spans="1:6" x14ac:dyDescent="0.25">
      <c r="A115328"/>
      <c r="B115328"/>
      <c r="C115328"/>
      <c r="E115328"/>
      <c r="F115328"/>
    </row>
    <row r="115329" spans="1:6" x14ac:dyDescent="0.25">
      <c r="A115329"/>
      <c r="B115329"/>
      <c r="C115329"/>
      <c r="E115329"/>
      <c r="F115329"/>
    </row>
    <row r="115330" spans="1:6" x14ac:dyDescent="0.25">
      <c r="A115330"/>
      <c r="B115330"/>
      <c r="C115330"/>
      <c r="E115330"/>
      <c r="F115330"/>
    </row>
    <row r="115331" spans="1:6" x14ac:dyDescent="0.25">
      <c r="A115331"/>
      <c r="B115331"/>
      <c r="C115331"/>
      <c r="E115331"/>
      <c r="F115331"/>
    </row>
    <row r="115332" spans="1:6" x14ac:dyDescent="0.25">
      <c r="A115332"/>
      <c r="B115332"/>
      <c r="C115332"/>
      <c r="E115332"/>
      <c r="F115332"/>
    </row>
    <row r="115333" spans="1:6" x14ac:dyDescent="0.25">
      <c r="A115333"/>
      <c r="B115333"/>
      <c r="C115333"/>
      <c r="E115333"/>
      <c r="F115333"/>
    </row>
    <row r="115334" spans="1:6" x14ac:dyDescent="0.25">
      <c r="A115334"/>
      <c r="B115334"/>
      <c r="C115334"/>
      <c r="E115334"/>
      <c r="F115334"/>
    </row>
    <row r="115335" spans="1:6" x14ac:dyDescent="0.25">
      <c r="A115335"/>
      <c r="B115335"/>
      <c r="C115335"/>
      <c r="E115335"/>
      <c r="F115335"/>
    </row>
    <row r="115336" spans="1:6" x14ac:dyDescent="0.25">
      <c r="A115336"/>
      <c r="B115336"/>
      <c r="C115336"/>
      <c r="E115336"/>
      <c r="F115336"/>
    </row>
    <row r="115337" spans="1:6" x14ac:dyDescent="0.25">
      <c r="A115337"/>
      <c r="B115337"/>
      <c r="C115337"/>
      <c r="E115337"/>
      <c r="F115337"/>
    </row>
    <row r="115338" spans="1:6" x14ac:dyDescent="0.25">
      <c r="A115338"/>
      <c r="B115338"/>
      <c r="C115338"/>
      <c r="E115338"/>
      <c r="F115338"/>
    </row>
    <row r="115339" spans="1:6" x14ac:dyDescent="0.25">
      <c r="A115339"/>
      <c r="B115339"/>
      <c r="C115339"/>
      <c r="E115339"/>
      <c r="F115339"/>
    </row>
    <row r="115340" spans="1:6" x14ac:dyDescent="0.25">
      <c r="A115340"/>
      <c r="B115340"/>
      <c r="C115340"/>
      <c r="E115340"/>
      <c r="F115340"/>
    </row>
    <row r="115341" spans="1:6" x14ac:dyDescent="0.25">
      <c r="A115341"/>
      <c r="B115341"/>
      <c r="C115341"/>
      <c r="E115341"/>
      <c r="F115341"/>
    </row>
    <row r="115342" spans="1:6" x14ac:dyDescent="0.25">
      <c r="A115342"/>
      <c r="B115342"/>
      <c r="C115342"/>
      <c r="E115342"/>
      <c r="F115342"/>
    </row>
    <row r="115343" spans="1:6" x14ac:dyDescent="0.25">
      <c r="A115343"/>
      <c r="B115343"/>
      <c r="C115343"/>
      <c r="E115343"/>
      <c r="F115343"/>
    </row>
    <row r="115344" spans="1:6" x14ac:dyDescent="0.25">
      <c r="A115344"/>
      <c r="B115344"/>
      <c r="C115344"/>
      <c r="E115344"/>
      <c r="F115344"/>
    </row>
    <row r="115345" spans="1:6" x14ac:dyDescent="0.25">
      <c r="A115345"/>
      <c r="B115345"/>
      <c r="C115345"/>
      <c r="E115345"/>
      <c r="F115345"/>
    </row>
    <row r="115346" spans="1:6" x14ac:dyDescent="0.25">
      <c r="A115346"/>
      <c r="B115346"/>
      <c r="C115346"/>
      <c r="E115346"/>
      <c r="F115346"/>
    </row>
    <row r="115347" spans="1:6" x14ac:dyDescent="0.25">
      <c r="A115347"/>
      <c r="B115347"/>
      <c r="C115347"/>
      <c r="E115347"/>
      <c r="F115347"/>
    </row>
    <row r="115348" spans="1:6" x14ac:dyDescent="0.25">
      <c r="A115348"/>
      <c r="B115348"/>
      <c r="C115348"/>
      <c r="E115348"/>
      <c r="F115348"/>
    </row>
    <row r="115349" spans="1:6" x14ac:dyDescent="0.25">
      <c r="A115349"/>
      <c r="B115349"/>
      <c r="C115349"/>
      <c r="E115349"/>
      <c r="F115349"/>
    </row>
    <row r="115350" spans="1:6" x14ac:dyDescent="0.25">
      <c r="A115350"/>
      <c r="B115350"/>
      <c r="C115350"/>
      <c r="E115350"/>
      <c r="F115350"/>
    </row>
    <row r="115351" spans="1:6" x14ac:dyDescent="0.25">
      <c r="A115351"/>
      <c r="B115351"/>
      <c r="C115351"/>
      <c r="E115351"/>
      <c r="F115351"/>
    </row>
    <row r="115352" spans="1:6" x14ac:dyDescent="0.25">
      <c r="A115352"/>
      <c r="B115352"/>
      <c r="C115352"/>
      <c r="E115352"/>
      <c r="F115352"/>
    </row>
    <row r="115353" spans="1:6" x14ac:dyDescent="0.25">
      <c r="A115353"/>
      <c r="B115353"/>
      <c r="C115353"/>
      <c r="E115353"/>
      <c r="F115353"/>
    </row>
    <row r="115354" spans="1:6" x14ac:dyDescent="0.25">
      <c r="A115354"/>
      <c r="B115354"/>
      <c r="C115354"/>
      <c r="E115354"/>
      <c r="F115354"/>
    </row>
    <row r="115355" spans="1:6" x14ac:dyDescent="0.25">
      <c r="A115355"/>
      <c r="B115355"/>
      <c r="C115355"/>
      <c r="E115355"/>
      <c r="F115355"/>
    </row>
    <row r="115356" spans="1:6" x14ac:dyDescent="0.25">
      <c r="A115356"/>
      <c r="B115356"/>
      <c r="C115356"/>
      <c r="E115356"/>
      <c r="F115356"/>
    </row>
    <row r="115357" spans="1:6" x14ac:dyDescent="0.25">
      <c r="A115357"/>
      <c r="B115357"/>
      <c r="C115357"/>
      <c r="E115357"/>
      <c r="F115357"/>
    </row>
    <row r="115358" spans="1:6" x14ac:dyDescent="0.25">
      <c r="A115358"/>
      <c r="B115358"/>
      <c r="C115358"/>
      <c r="E115358"/>
      <c r="F115358"/>
    </row>
    <row r="115359" spans="1:6" x14ac:dyDescent="0.25">
      <c r="A115359"/>
      <c r="B115359"/>
      <c r="C115359"/>
      <c r="E115359"/>
      <c r="F115359"/>
    </row>
    <row r="115360" spans="1:6" x14ac:dyDescent="0.25">
      <c r="A115360"/>
      <c r="B115360"/>
      <c r="C115360"/>
      <c r="E115360"/>
      <c r="F115360"/>
    </row>
    <row r="115361" spans="1:6" x14ac:dyDescent="0.25">
      <c r="A115361"/>
      <c r="B115361"/>
      <c r="C115361"/>
      <c r="E115361"/>
      <c r="F115361"/>
    </row>
    <row r="115362" spans="1:6" x14ac:dyDescent="0.25">
      <c r="A115362"/>
      <c r="B115362"/>
      <c r="C115362"/>
      <c r="E115362"/>
      <c r="F115362"/>
    </row>
    <row r="115363" spans="1:6" x14ac:dyDescent="0.25">
      <c r="A115363"/>
      <c r="B115363"/>
      <c r="C115363"/>
      <c r="E115363"/>
      <c r="F115363"/>
    </row>
    <row r="115364" spans="1:6" x14ac:dyDescent="0.25">
      <c r="A115364"/>
      <c r="B115364"/>
      <c r="C115364"/>
      <c r="E115364"/>
      <c r="F115364"/>
    </row>
    <row r="115365" spans="1:6" x14ac:dyDescent="0.25">
      <c r="A115365"/>
      <c r="B115365"/>
      <c r="C115365"/>
      <c r="E115365"/>
      <c r="F115365"/>
    </row>
    <row r="115366" spans="1:6" x14ac:dyDescent="0.25">
      <c r="A115366"/>
      <c r="B115366"/>
      <c r="C115366"/>
      <c r="E115366"/>
      <c r="F115366"/>
    </row>
    <row r="115367" spans="1:6" x14ac:dyDescent="0.25">
      <c r="A115367"/>
      <c r="B115367"/>
      <c r="C115367"/>
      <c r="E115367"/>
      <c r="F115367"/>
    </row>
    <row r="115368" spans="1:6" x14ac:dyDescent="0.25">
      <c r="A115368"/>
      <c r="B115368"/>
      <c r="C115368"/>
      <c r="E115368"/>
      <c r="F115368"/>
    </row>
    <row r="115369" spans="1:6" x14ac:dyDescent="0.25">
      <c r="A115369"/>
      <c r="B115369"/>
      <c r="C115369"/>
      <c r="E115369"/>
      <c r="F115369"/>
    </row>
    <row r="115370" spans="1:6" x14ac:dyDescent="0.25">
      <c r="A115370"/>
      <c r="B115370"/>
      <c r="C115370"/>
      <c r="E115370"/>
      <c r="F115370"/>
    </row>
    <row r="115371" spans="1:6" x14ac:dyDescent="0.25">
      <c r="A115371"/>
      <c r="B115371"/>
      <c r="C115371"/>
      <c r="E115371"/>
      <c r="F115371"/>
    </row>
    <row r="115372" spans="1:6" x14ac:dyDescent="0.25">
      <c r="A115372"/>
      <c r="B115372"/>
      <c r="C115372"/>
      <c r="E115372"/>
      <c r="F115372"/>
    </row>
    <row r="115373" spans="1:6" x14ac:dyDescent="0.25">
      <c r="A115373"/>
      <c r="B115373"/>
      <c r="C115373"/>
      <c r="E115373"/>
      <c r="F115373"/>
    </row>
    <row r="115374" spans="1:6" x14ac:dyDescent="0.25">
      <c r="A115374"/>
      <c r="B115374"/>
      <c r="C115374"/>
      <c r="E115374"/>
      <c r="F115374"/>
    </row>
    <row r="115375" spans="1:6" x14ac:dyDescent="0.25">
      <c r="A115375"/>
      <c r="B115375"/>
      <c r="C115375"/>
      <c r="E115375"/>
      <c r="F115375"/>
    </row>
    <row r="115376" spans="1:6" x14ac:dyDescent="0.25">
      <c r="A115376"/>
      <c r="B115376"/>
      <c r="C115376"/>
      <c r="E115376"/>
      <c r="F115376"/>
    </row>
    <row r="115377" spans="1:6" x14ac:dyDescent="0.25">
      <c r="A115377"/>
      <c r="B115377"/>
      <c r="C115377"/>
      <c r="E115377"/>
      <c r="F115377"/>
    </row>
    <row r="115378" spans="1:6" x14ac:dyDescent="0.25">
      <c r="A115378"/>
      <c r="B115378"/>
      <c r="C115378"/>
      <c r="E115378"/>
      <c r="F115378"/>
    </row>
    <row r="115379" spans="1:6" x14ac:dyDescent="0.25">
      <c r="A115379"/>
      <c r="B115379"/>
      <c r="C115379"/>
      <c r="E115379"/>
      <c r="F115379"/>
    </row>
    <row r="115380" spans="1:6" x14ac:dyDescent="0.25">
      <c r="A115380"/>
      <c r="B115380"/>
      <c r="C115380"/>
      <c r="E115380"/>
      <c r="F115380"/>
    </row>
    <row r="115381" spans="1:6" x14ac:dyDescent="0.25">
      <c r="A115381"/>
      <c r="B115381"/>
      <c r="C115381"/>
      <c r="E115381"/>
      <c r="F115381"/>
    </row>
    <row r="115382" spans="1:6" x14ac:dyDescent="0.25">
      <c r="A115382"/>
      <c r="B115382"/>
      <c r="C115382"/>
      <c r="E115382"/>
      <c r="F115382"/>
    </row>
    <row r="115383" spans="1:6" x14ac:dyDescent="0.25">
      <c r="A115383"/>
      <c r="B115383"/>
      <c r="C115383"/>
      <c r="E115383"/>
      <c r="F115383"/>
    </row>
    <row r="115384" spans="1:6" x14ac:dyDescent="0.25">
      <c r="A115384"/>
      <c r="B115384"/>
      <c r="C115384"/>
      <c r="E115384"/>
      <c r="F115384"/>
    </row>
    <row r="115385" spans="1:6" x14ac:dyDescent="0.25">
      <c r="A115385"/>
      <c r="B115385"/>
      <c r="C115385"/>
      <c r="E115385"/>
      <c r="F115385"/>
    </row>
    <row r="115386" spans="1:6" x14ac:dyDescent="0.25">
      <c r="A115386"/>
      <c r="B115386"/>
      <c r="C115386"/>
      <c r="E115386"/>
      <c r="F115386"/>
    </row>
    <row r="115387" spans="1:6" x14ac:dyDescent="0.25">
      <c r="A115387"/>
      <c r="B115387"/>
      <c r="C115387"/>
      <c r="E115387"/>
      <c r="F115387"/>
    </row>
    <row r="115388" spans="1:6" x14ac:dyDescent="0.25">
      <c r="A115388"/>
      <c r="B115388"/>
      <c r="C115388"/>
      <c r="E115388"/>
      <c r="F115388"/>
    </row>
    <row r="115389" spans="1:6" x14ac:dyDescent="0.25">
      <c r="A115389"/>
      <c r="B115389"/>
      <c r="C115389"/>
      <c r="E115389"/>
      <c r="F115389"/>
    </row>
    <row r="115390" spans="1:6" x14ac:dyDescent="0.25">
      <c r="A115390"/>
      <c r="B115390"/>
      <c r="C115390"/>
      <c r="E115390"/>
      <c r="F115390"/>
    </row>
    <row r="115391" spans="1:6" x14ac:dyDescent="0.25">
      <c r="A115391"/>
      <c r="B115391"/>
      <c r="C115391"/>
      <c r="E115391"/>
      <c r="F115391"/>
    </row>
    <row r="115392" spans="1:6" x14ac:dyDescent="0.25">
      <c r="A115392"/>
      <c r="B115392"/>
      <c r="C115392"/>
      <c r="E115392"/>
      <c r="F115392"/>
    </row>
    <row r="115393" spans="1:6" x14ac:dyDescent="0.25">
      <c r="A115393"/>
      <c r="B115393"/>
      <c r="C115393"/>
      <c r="E115393"/>
      <c r="F115393"/>
    </row>
    <row r="115394" spans="1:6" x14ac:dyDescent="0.25">
      <c r="A115394"/>
      <c r="B115394"/>
      <c r="C115394"/>
      <c r="E115394"/>
      <c r="F115394"/>
    </row>
    <row r="115395" spans="1:6" x14ac:dyDescent="0.25">
      <c r="A115395"/>
      <c r="B115395"/>
      <c r="C115395"/>
      <c r="E115395"/>
      <c r="F115395"/>
    </row>
    <row r="115396" spans="1:6" x14ac:dyDescent="0.25">
      <c r="A115396"/>
      <c r="B115396"/>
      <c r="C115396"/>
      <c r="E115396"/>
      <c r="F115396"/>
    </row>
    <row r="115397" spans="1:6" x14ac:dyDescent="0.25">
      <c r="A115397"/>
      <c r="B115397"/>
      <c r="C115397"/>
      <c r="E115397"/>
      <c r="F115397"/>
    </row>
    <row r="115398" spans="1:6" x14ac:dyDescent="0.25">
      <c r="A115398"/>
      <c r="B115398"/>
      <c r="C115398"/>
      <c r="E115398"/>
      <c r="F115398"/>
    </row>
    <row r="115399" spans="1:6" x14ac:dyDescent="0.25">
      <c r="A115399"/>
      <c r="B115399"/>
      <c r="C115399"/>
      <c r="E115399"/>
      <c r="F115399"/>
    </row>
    <row r="115400" spans="1:6" x14ac:dyDescent="0.25">
      <c r="A115400"/>
      <c r="B115400"/>
      <c r="C115400"/>
      <c r="E115400"/>
      <c r="F115400"/>
    </row>
    <row r="115401" spans="1:6" x14ac:dyDescent="0.25">
      <c r="A115401"/>
      <c r="B115401"/>
      <c r="C115401"/>
      <c r="E115401"/>
      <c r="F115401"/>
    </row>
    <row r="115402" spans="1:6" x14ac:dyDescent="0.25">
      <c r="A115402"/>
      <c r="B115402"/>
      <c r="C115402"/>
      <c r="E115402"/>
      <c r="F115402"/>
    </row>
    <row r="115403" spans="1:6" x14ac:dyDescent="0.25">
      <c r="A115403"/>
      <c r="B115403"/>
      <c r="C115403"/>
      <c r="E115403"/>
      <c r="F115403"/>
    </row>
    <row r="115404" spans="1:6" x14ac:dyDescent="0.25">
      <c r="A115404"/>
      <c r="B115404"/>
      <c r="C115404"/>
      <c r="E115404"/>
      <c r="F115404"/>
    </row>
    <row r="115405" spans="1:6" x14ac:dyDescent="0.25">
      <c r="A115405"/>
      <c r="B115405"/>
      <c r="C115405"/>
      <c r="E115405"/>
      <c r="F115405"/>
    </row>
    <row r="115406" spans="1:6" x14ac:dyDescent="0.25">
      <c r="A115406"/>
      <c r="B115406"/>
      <c r="C115406"/>
      <c r="E115406"/>
      <c r="F115406"/>
    </row>
    <row r="115407" spans="1:6" x14ac:dyDescent="0.25">
      <c r="A115407"/>
      <c r="B115407"/>
      <c r="C115407"/>
      <c r="E115407"/>
      <c r="F115407"/>
    </row>
    <row r="115408" spans="1:6" x14ac:dyDescent="0.25">
      <c r="A115408"/>
      <c r="B115408"/>
      <c r="C115408"/>
      <c r="E115408"/>
      <c r="F115408"/>
    </row>
    <row r="115409" spans="1:6" x14ac:dyDescent="0.25">
      <c r="A115409"/>
      <c r="B115409"/>
      <c r="C115409"/>
      <c r="E115409"/>
      <c r="F115409"/>
    </row>
    <row r="115410" spans="1:6" x14ac:dyDescent="0.25">
      <c r="A115410"/>
      <c r="B115410"/>
      <c r="C115410"/>
      <c r="E115410"/>
      <c r="F115410"/>
    </row>
    <row r="115411" spans="1:6" x14ac:dyDescent="0.25">
      <c r="A115411"/>
      <c r="B115411"/>
      <c r="C115411"/>
      <c r="E115411"/>
      <c r="F115411"/>
    </row>
    <row r="115412" spans="1:6" x14ac:dyDescent="0.25">
      <c r="A115412"/>
      <c r="B115412"/>
      <c r="C115412"/>
      <c r="E115412"/>
      <c r="F115412"/>
    </row>
    <row r="115413" spans="1:6" x14ac:dyDescent="0.25">
      <c r="A115413"/>
      <c r="B115413"/>
      <c r="C115413"/>
      <c r="E115413"/>
      <c r="F115413"/>
    </row>
    <row r="115414" spans="1:6" x14ac:dyDescent="0.25">
      <c r="A115414"/>
      <c r="B115414"/>
      <c r="C115414"/>
      <c r="E115414"/>
      <c r="F115414"/>
    </row>
    <row r="115415" spans="1:6" x14ac:dyDescent="0.25">
      <c r="A115415"/>
      <c r="B115415"/>
      <c r="C115415"/>
      <c r="E115415"/>
      <c r="F115415"/>
    </row>
    <row r="115416" spans="1:6" x14ac:dyDescent="0.25">
      <c r="A115416"/>
      <c r="B115416"/>
      <c r="C115416"/>
      <c r="E115416"/>
      <c r="F115416"/>
    </row>
    <row r="115417" spans="1:6" x14ac:dyDescent="0.25">
      <c r="A115417"/>
      <c r="B115417"/>
      <c r="C115417"/>
      <c r="E115417"/>
      <c r="F115417"/>
    </row>
    <row r="115418" spans="1:6" x14ac:dyDescent="0.25">
      <c r="A115418"/>
      <c r="B115418"/>
      <c r="C115418"/>
      <c r="E115418"/>
      <c r="F115418"/>
    </row>
    <row r="115419" spans="1:6" x14ac:dyDescent="0.25">
      <c r="A115419"/>
      <c r="B115419"/>
      <c r="C115419"/>
      <c r="E115419"/>
      <c r="F115419"/>
    </row>
    <row r="115420" spans="1:6" x14ac:dyDescent="0.25">
      <c r="A115420"/>
      <c r="B115420"/>
      <c r="C115420"/>
      <c r="E115420"/>
      <c r="F115420"/>
    </row>
    <row r="115421" spans="1:6" x14ac:dyDescent="0.25">
      <c r="A115421"/>
      <c r="B115421"/>
      <c r="C115421"/>
      <c r="E115421"/>
      <c r="F115421"/>
    </row>
    <row r="115422" spans="1:6" x14ac:dyDescent="0.25">
      <c r="A115422"/>
      <c r="B115422"/>
      <c r="C115422"/>
      <c r="E115422"/>
      <c r="F115422"/>
    </row>
    <row r="115423" spans="1:6" x14ac:dyDescent="0.25">
      <c r="A115423"/>
      <c r="B115423"/>
      <c r="C115423"/>
      <c r="E115423"/>
      <c r="F115423"/>
    </row>
    <row r="115424" spans="1:6" x14ac:dyDescent="0.25">
      <c r="A115424"/>
      <c r="B115424"/>
      <c r="C115424"/>
      <c r="E115424"/>
      <c r="F115424"/>
    </row>
    <row r="115425" spans="1:6" x14ac:dyDescent="0.25">
      <c r="A115425"/>
      <c r="B115425"/>
      <c r="C115425"/>
      <c r="E115425"/>
      <c r="F115425"/>
    </row>
    <row r="115426" spans="1:6" x14ac:dyDescent="0.25">
      <c r="A115426"/>
      <c r="B115426"/>
      <c r="C115426"/>
      <c r="E115426"/>
      <c r="F115426"/>
    </row>
    <row r="115427" spans="1:6" x14ac:dyDescent="0.25">
      <c r="A115427"/>
      <c r="B115427"/>
      <c r="C115427"/>
      <c r="E115427"/>
      <c r="F115427"/>
    </row>
    <row r="115428" spans="1:6" x14ac:dyDescent="0.25">
      <c r="A115428"/>
      <c r="B115428"/>
      <c r="C115428"/>
      <c r="E115428"/>
      <c r="F115428"/>
    </row>
    <row r="115429" spans="1:6" x14ac:dyDescent="0.25">
      <c r="A115429"/>
      <c r="B115429"/>
      <c r="C115429"/>
      <c r="E115429"/>
      <c r="F115429"/>
    </row>
    <row r="115430" spans="1:6" x14ac:dyDescent="0.25">
      <c r="A115430"/>
      <c r="B115430"/>
      <c r="C115430"/>
      <c r="E115430"/>
      <c r="F115430"/>
    </row>
    <row r="115431" spans="1:6" x14ac:dyDescent="0.25">
      <c r="A115431"/>
      <c r="B115431"/>
      <c r="C115431"/>
      <c r="E115431"/>
      <c r="F115431"/>
    </row>
    <row r="115432" spans="1:6" x14ac:dyDescent="0.25">
      <c r="A115432"/>
      <c r="B115432"/>
      <c r="C115432"/>
      <c r="E115432"/>
      <c r="F115432"/>
    </row>
    <row r="115433" spans="1:6" x14ac:dyDescent="0.25">
      <c r="A115433"/>
      <c r="B115433"/>
      <c r="C115433"/>
      <c r="E115433"/>
      <c r="F115433"/>
    </row>
    <row r="115434" spans="1:6" x14ac:dyDescent="0.25">
      <c r="A115434"/>
      <c r="B115434"/>
      <c r="C115434"/>
      <c r="E115434"/>
      <c r="F115434"/>
    </row>
    <row r="115435" spans="1:6" x14ac:dyDescent="0.25">
      <c r="A115435"/>
      <c r="B115435"/>
      <c r="C115435"/>
      <c r="E115435"/>
      <c r="F115435"/>
    </row>
    <row r="115436" spans="1:6" x14ac:dyDescent="0.25">
      <c r="A115436"/>
      <c r="B115436"/>
      <c r="C115436"/>
      <c r="E115436"/>
      <c r="F115436"/>
    </row>
    <row r="115437" spans="1:6" x14ac:dyDescent="0.25">
      <c r="A115437"/>
      <c r="B115437"/>
      <c r="C115437"/>
      <c r="E115437"/>
      <c r="F115437"/>
    </row>
    <row r="115438" spans="1:6" x14ac:dyDescent="0.25">
      <c r="A115438"/>
      <c r="B115438"/>
      <c r="C115438"/>
      <c r="E115438"/>
      <c r="F115438"/>
    </row>
    <row r="115439" spans="1:6" x14ac:dyDescent="0.25">
      <c r="A115439"/>
      <c r="B115439"/>
      <c r="C115439"/>
      <c r="E115439"/>
      <c r="F115439"/>
    </row>
    <row r="115440" spans="1:6" x14ac:dyDescent="0.25">
      <c r="A115440"/>
      <c r="B115440"/>
      <c r="C115440"/>
      <c r="E115440"/>
      <c r="F115440"/>
    </row>
    <row r="115441" spans="1:6" x14ac:dyDescent="0.25">
      <c r="A115441"/>
      <c r="B115441"/>
      <c r="C115441"/>
      <c r="E115441"/>
      <c r="F115441"/>
    </row>
    <row r="115442" spans="1:6" x14ac:dyDescent="0.25">
      <c r="A115442"/>
      <c r="B115442"/>
      <c r="C115442"/>
      <c r="E115442"/>
      <c r="F115442"/>
    </row>
    <row r="115443" spans="1:6" x14ac:dyDescent="0.25">
      <c r="A115443"/>
      <c r="B115443"/>
      <c r="C115443"/>
      <c r="E115443"/>
      <c r="F115443"/>
    </row>
    <row r="115444" spans="1:6" x14ac:dyDescent="0.25">
      <c r="A115444"/>
      <c r="B115444"/>
      <c r="C115444"/>
      <c r="E115444"/>
      <c r="F115444"/>
    </row>
    <row r="115445" spans="1:6" x14ac:dyDescent="0.25">
      <c r="A115445"/>
      <c r="B115445"/>
      <c r="C115445"/>
      <c r="E115445"/>
      <c r="F115445"/>
    </row>
    <row r="115446" spans="1:6" x14ac:dyDescent="0.25">
      <c r="A115446"/>
      <c r="B115446"/>
      <c r="C115446"/>
      <c r="E115446"/>
      <c r="F115446"/>
    </row>
    <row r="115447" spans="1:6" x14ac:dyDescent="0.25">
      <c r="A115447"/>
      <c r="B115447"/>
      <c r="C115447"/>
      <c r="E115447"/>
      <c r="F115447"/>
    </row>
    <row r="115448" spans="1:6" x14ac:dyDescent="0.25">
      <c r="A115448"/>
      <c r="B115448"/>
      <c r="C115448"/>
      <c r="E115448"/>
      <c r="F115448"/>
    </row>
    <row r="115449" spans="1:6" x14ac:dyDescent="0.25">
      <c r="A115449"/>
      <c r="B115449"/>
      <c r="C115449"/>
      <c r="E115449"/>
      <c r="F115449"/>
    </row>
    <row r="115450" spans="1:6" x14ac:dyDescent="0.25">
      <c r="A115450"/>
      <c r="B115450"/>
      <c r="C115450"/>
      <c r="E115450"/>
      <c r="F115450"/>
    </row>
    <row r="115451" spans="1:6" x14ac:dyDescent="0.25">
      <c r="A115451"/>
      <c r="B115451"/>
      <c r="C115451"/>
      <c r="E115451"/>
      <c r="F115451"/>
    </row>
    <row r="115452" spans="1:6" x14ac:dyDescent="0.25">
      <c r="A115452"/>
      <c r="B115452"/>
      <c r="C115452"/>
      <c r="E115452"/>
      <c r="F115452"/>
    </row>
    <row r="115453" spans="1:6" x14ac:dyDescent="0.25">
      <c r="A115453"/>
      <c r="B115453"/>
      <c r="C115453"/>
      <c r="E115453"/>
      <c r="F115453"/>
    </row>
    <row r="115454" spans="1:6" x14ac:dyDescent="0.25">
      <c r="A115454"/>
      <c r="B115454"/>
      <c r="C115454"/>
      <c r="E115454"/>
      <c r="F115454"/>
    </row>
    <row r="115455" spans="1:6" x14ac:dyDescent="0.25">
      <c r="A115455"/>
      <c r="B115455"/>
      <c r="C115455"/>
      <c r="E115455"/>
      <c r="F115455"/>
    </row>
    <row r="115456" spans="1:6" x14ac:dyDescent="0.25">
      <c r="A115456"/>
      <c r="B115456"/>
      <c r="C115456"/>
      <c r="E115456"/>
      <c r="F115456"/>
    </row>
    <row r="115457" spans="1:6" x14ac:dyDescent="0.25">
      <c r="A115457"/>
      <c r="B115457"/>
      <c r="C115457"/>
      <c r="E115457"/>
      <c r="F115457"/>
    </row>
    <row r="115458" spans="1:6" x14ac:dyDescent="0.25">
      <c r="A115458"/>
      <c r="B115458"/>
      <c r="C115458"/>
      <c r="E115458"/>
      <c r="F115458"/>
    </row>
    <row r="115459" spans="1:6" x14ac:dyDescent="0.25">
      <c r="A115459"/>
      <c r="B115459"/>
      <c r="C115459"/>
      <c r="E115459"/>
      <c r="F115459"/>
    </row>
    <row r="115460" spans="1:6" x14ac:dyDescent="0.25">
      <c r="A115460"/>
      <c r="B115460"/>
      <c r="C115460"/>
      <c r="E115460"/>
      <c r="F115460"/>
    </row>
    <row r="115461" spans="1:6" x14ac:dyDescent="0.25">
      <c r="A115461"/>
      <c r="B115461"/>
      <c r="C115461"/>
      <c r="E115461"/>
      <c r="F115461"/>
    </row>
    <row r="115462" spans="1:6" x14ac:dyDescent="0.25">
      <c r="A115462"/>
      <c r="B115462"/>
      <c r="C115462"/>
      <c r="E115462"/>
      <c r="F115462"/>
    </row>
    <row r="115463" spans="1:6" x14ac:dyDescent="0.25">
      <c r="A115463"/>
      <c r="B115463"/>
      <c r="C115463"/>
      <c r="E115463"/>
      <c r="F115463"/>
    </row>
    <row r="115464" spans="1:6" x14ac:dyDescent="0.25">
      <c r="A115464"/>
      <c r="B115464"/>
      <c r="C115464"/>
      <c r="E115464"/>
      <c r="F115464"/>
    </row>
    <row r="115465" spans="1:6" x14ac:dyDescent="0.25">
      <c r="A115465"/>
      <c r="B115465"/>
      <c r="C115465"/>
      <c r="E115465"/>
      <c r="F115465"/>
    </row>
    <row r="115466" spans="1:6" x14ac:dyDescent="0.25">
      <c r="A115466"/>
      <c r="B115466"/>
      <c r="C115466"/>
      <c r="E115466"/>
      <c r="F115466"/>
    </row>
    <row r="115467" spans="1:6" x14ac:dyDescent="0.25">
      <c r="A115467"/>
      <c r="B115467"/>
      <c r="C115467"/>
      <c r="E115467"/>
      <c r="F115467"/>
    </row>
    <row r="115468" spans="1:6" x14ac:dyDescent="0.25">
      <c r="A115468"/>
      <c r="B115468"/>
      <c r="C115468"/>
      <c r="E115468"/>
      <c r="F115468"/>
    </row>
    <row r="115469" spans="1:6" x14ac:dyDescent="0.25">
      <c r="A115469"/>
      <c r="B115469"/>
      <c r="C115469"/>
      <c r="E115469"/>
      <c r="F115469"/>
    </row>
    <row r="115470" spans="1:6" x14ac:dyDescent="0.25">
      <c r="A115470"/>
      <c r="B115470"/>
      <c r="C115470"/>
      <c r="E115470"/>
      <c r="F115470"/>
    </row>
    <row r="115471" spans="1:6" x14ac:dyDescent="0.25">
      <c r="A115471"/>
      <c r="B115471"/>
      <c r="C115471"/>
      <c r="E115471"/>
      <c r="F115471"/>
    </row>
    <row r="115472" spans="1:6" x14ac:dyDescent="0.25">
      <c r="A115472"/>
      <c r="B115472"/>
      <c r="C115472"/>
      <c r="E115472"/>
      <c r="F115472"/>
    </row>
    <row r="115473" spans="1:6" x14ac:dyDescent="0.25">
      <c r="A115473"/>
      <c r="B115473"/>
      <c r="C115473"/>
      <c r="E115473"/>
      <c r="F115473"/>
    </row>
    <row r="115474" spans="1:6" x14ac:dyDescent="0.25">
      <c r="A115474"/>
      <c r="B115474"/>
      <c r="C115474"/>
      <c r="E115474"/>
      <c r="F115474"/>
    </row>
    <row r="115475" spans="1:6" x14ac:dyDescent="0.25">
      <c r="A115475"/>
      <c r="B115475"/>
      <c r="C115475"/>
      <c r="E115475"/>
      <c r="F115475"/>
    </row>
    <row r="115476" spans="1:6" x14ac:dyDescent="0.25">
      <c r="A115476"/>
      <c r="B115476"/>
      <c r="C115476"/>
      <c r="E115476"/>
      <c r="F115476"/>
    </row>
    <row r="115477" spans="1:6" x14ac:dyDescent="0.25">
      <c r="A115477"/>
      <c r="B115477"/>
      <c r="C115477"/>
      <c r="E115477"/>
      <c r="F115477"/>
    </row>
    <row r="115478" spans="1:6" x14ac:dyDescent="0.25">
      <c r="A115478"/>
      <c r="B115478"/>
      <c r="C115478"/>
      <c r="E115478"/>
      <c r="F115478"/>
    </row>
    <row r="115479" spans="1:6" x14ac:dyDescent="0.25">
      <c r="A115479"/>
      <c r="B115479"/>
      <c r="C115479"/>
      <c r="E115479"/>
      <c r="F115479"/>
    </row>
    <row r="115480" spans="1:6" x14ac:dyDescent="0.25">
      <c r="A115480"/>
      <c r="B115480"/>
      <c r="C115480"/>
      <c r="E115480"/>
      <c r="F115480"/>
    </row>
    <row r="115481" spans="1:6" x14ac:dyDescent="0.25">
      <c r="A115481"/>
      <c r="B115481"/>
      <c r="C115481"/>
      <c r="E115481"/>
      <c r="F115481"/>
    </row>
    <row r="115482" spans="1:6" x14ac:dyDescent="0.25">
      <c r="A115482"/>
      <c r="B115482"/>
      <c r="C115482"/>
      <c r="E115482"/>
      <c r="F115482"/>
    </row>
    <row r="115483" spans="1:6" x14ac:dyDescent="0.25">
      <c r="A115483"/>
      <c r="B115483"/>
      <c r="C115483"/>
      <c r="E115483"/>
      <c r="F115483"/>
    </row>
    <row r="115484" spans="1:6" x14ac:dyDescent="0.25">
      <c r="A115484"/>
      <c r="B115484"/>
      <c r="C115484"/>
      <c r="E115484"/>
      <c r="F115484"/>
    </row>
    <row r="115485" spans="1:6" x14ac:dyDescent="0.25">
      <c r="A115485"/>
      <c r="B115485"/>
      <c r="C115485"/>
      <c r="E115485"/>
      <c r="F115485"/>
    </row>
    <row r="115486" spans="1:6" x14ac:dyDescent="0.25">
      <c r="A115486"/>
      <c r="B115486"/>
      <c r="C115486"/>
      <c r="E115486"/>
      <c r="F115486"/>
    </row>
    <row r="115487" spans="1:6" x14ac:dyDescent="0.25">
      <c r="A115487"/>
      <c r="B115487"/>
      <c r="C115487"/>
      <c r="E115487"/>
      <c r="F115487"/>
    </row>
    <row r="115488" spans="1:6" x14ac:dyDescent="0.25">
      <c r="A115488"/>
      <c r="B115488"/>
      <c r="C115488"/>
      <c r="E115488"/>
      <c r="F115488"/>
    </row>
    <row r="115489" spans="1:6" x14ac:dyDescent="0.25">
      <c r="A115489"/>
      <c r="B115489"/>
      <c r="C115489"/>
      <c r="E115489"/>
      <c r="F115489"/>
    </row>
    <row r="115490" spans="1:6" x14ac:dyDescent="0.25">
      <c r="A115490"/>
      <c r="B115490"/>
      <c r="C115490"/>
      <c r="E115490"/>
      <c r="F115490"/>
    </row>
    <row r="115491" spans="1:6" x14ac:dyDescent="0.25">
      <c r="A115491"/>
      <c r="B115491"/>
      <c r="C115491"/>
      <c r="E115491"/>
      <c r="F115491"/>
    </row>
    <row r="115492" spans="1:6" x14ac:dyDescent="0.25">
      <c r="A115492"/>
      <c r="B115492"/>
      <c r="C115492"/>
      <c r="E115492"/>
      <c r="F115492"/>
    </row>
    <row r="115493" spans="1:6" x14ac:dyDescent="0.25">
      <c r="A115493"/>
      <c r="B115493"/>
      <c r="C115493"/>
      <c r="E115493"/>
      <c r="F115493"/>
    </row>
    <row r="115494" spans="1:6" x14ac:dyDescent="0.25">
      <c r="A115494"/>
      <c r="B115494"/>
      <c r="C115494"/>
      <c r="E115494"/>
      <c r="F115494"/>
    </row>
    <row r="115495" spans="1:6" x14ac:dyDescent="0.25">
      <c r="A115495"/>
      <c r="B115495"/>
      <c r="C115495"/>
      <c r="E115495"/>
      <c r="F115495"/>
    </row>
    <row r="115496" spans="1:6" x14ac:dyDescent="0.25">
      <c r="A115496"/>
      <c r="B115496"/>
      <c r="C115496"/>
      <c r="E115496"/>
      <c r="F115496"/>
    </row>
    <row r="115497" spans="1:6" x14ac:dyDescent="0.25">
      <c r="A115497"/>
      <c r="B115497"/>
      <c r="C115497"/>
      <c r="E115497"/>
      <c r="F115497"/>
    </row>
    <row r="115498" spans="1:6" x14ac:dyDescent="0.25">
      <c r="A115498"/>
      <c r="B115498"/>
      <c r="C115498"/>
      <c r="E115498"/>
      <c r="F115498"/>
    </row>
    <row r="115499" spans="1:6" x14ac:dyDescent="0.25">
      <c r="A115499"/>
      <c r="B115499"/>
      <c r="C115499"/>
      <c r="E115499"/>
      <c r="F115499"/>
    </row>
    <row r="115500" spans="1:6" x14ac:dyDescent="0.25">
      <c r="A115500"/>
      <c r="B115500"/>
      <c r="C115500"/>
      <c r="E115500"/>
      <c r="F115500"/>
    </row>
    <row r="115501" spans="1:6" x14ac:dyDescent="0.25">
      <c r="A115501"/>
      <c r="B115501"/>
      <c r="C115501"/>
      <c r="E115501"/>
      <c r="F115501"/>
    </row>
    <row r="115502" spans="1:6" x14ac:dyDescent="0.25">
      <c r="A115502"/>
      <c r="B115502"/>
      <c r="C115502"/>
      <c r="E115502"/>
      <c r="F115502"/>
    </row>
    <row r="115503" spans="1:6" x14ac:dyDescent="0.25">
      <c r="A115503"/>
      <c r="B115503"/>
      <c r="C115503"/>
      <c r="E115503"/>
      <c r="F115503"/>
    </row>
    <row r="115504" spans="1:6" x14ac:dyDescent="0.25">
      <c r="A115504"/>
      <c r="B115504"/>
      <c r="C115504"/>
      <c r="E115504"/>
      <c r="F115504"/>
    </row>
    <row r="115505" spans="1:6" x14ac:dyDescent="0.25">
      <c r="A115505"/>
      <c r="B115505"/>
      <c r="C115505"/>
      <c r="E115505"/>
      <c r="F115505"/>
    </row>
    <row r="115506" spans="1:6" x14ac:dyDescent="0.25">
      <c r="A115506"/>
      <c r="B115506"/>
      <c r="C115506"/>
      <c r="E115506"/>
      <c r="F115506"/>
    </row>
    <row r="115507" spans="1:6" x14ac:dyDescent="0.25">
      <c r="A115507"/>
      <c r="B115507"/>
      <c r="C115507"/>
      <c r="E115507"/>
      <c r="F115507"/>
    </row>
    <row r="115508" spans="1:6" x14ac:dyDescent="0.25">
      <c r="A115508"/>
      <c r="B115508"/>
      <c r="C115508"/>
      <c r="E115508"/>
      <c r="F115508"/>
    </row>
    <row r="115509" spans="1:6" x14ac:dyDescent="0.25">
      <c r="A115509"/>
      <c r="B115509"/>
      <c r="C115509"/>
      <c r="E115509"/>
      <c r="F115509"/>
    </row>
    <row r="115510" spans="1:6" x14ac:dyDescent="0.25">
      <c r="A115510"/>
      <c r="B115510"/>
      <c r="C115510"/>
      <c r="E115510"/>
      <c r="F115510"/>
    </row>
    <row r="115511" spans="1:6" x14ac:dyDescent="0.25">
      <c r="A115511"/>
      <c r="B115511"/>
      <c r="C115511"/>
      <c r="E115511"/>
      <c r="F115511"/>
    </row>
    <row r="115512" spans="1:6" x14ac:dyDescent="0.25">
      <c r="A115512"/>
      <c r="B115512"/>
      <c r="C115512"/>
      <c r="E115512"/>
      <c r="F115512"/>
    </row>
    <row r="115513" spans="1:6" x14ac:dyDescent="0.25">
      <c r="A115513"/>
      <c r="B115513"/>
      <c r="C115513"/>
      <c r="E115513"/>
      <c r="F115513"/>
    </row>
    <row r="115514" spans="1:6" x14ac:dyDescent="0.25">
      <c r="A115514"/>
      <c r="B115514"/>
      <c r="C115514"/>
      <c r="E115514"/>
      <c r="F115514"/>
    </row>
    <row r="115515" spans="1:6" x14ac:dyDescent="0.25">
      <c r="A115515"/>
      <c r="B115515"/>
      <c r="C115515"/>
      <c r="E115515"/>
      <c r="F115515"/>
    </row>
    <row r="115516" spans="1:6" x14ac:dyDescent="0.25">
      <c r="A115516"/>
      <c r="B115516"/>
      <c r="C115516"/>
      <c r="E115516"/>
      <c r="F115516"/>
    </row>
    <row r="115517" spans="1:6" x14ac:dyDescent="0.25">
      <c r="A115517"/>
      <c r="B115517"/>
      <c r="C115517"/>
      <c r="E115517"/>
      <c r="F115517"/>
    </row>
    <row r="115518" spans="1:6" x14ac:dyDescent="0.25">
      <c r="A115518"/>
      <c r="B115518"/>
      <c r="C115518"/>
      <c r="E115518"/>
      <c r="F115518"/>
    </row>
    <row r="115519" spans="1:6" x14ac:dyDescent="0.25">
      <c r="A115519"/>
      <c r="B115519"/>
      <c r="C115519"/>
      <c r="E115519"/>
      <c r="F115519"/>
    </row>
    <row r="115520" spans="1:6" x14ac:dyDescent="0.25">
      <c r="A115520"/>
      <c r="B115520"/>
      <c r="C115520"/>
      <c r="E115520"/>
      <c r="F115520"/>
    </row>
    <row r="115521" spans="1:6" x14ac:dyDescent="0.25">
      <c r="A115521"/>
      <c r="B115521"/>
      <c r="C115521"/>
      <c r="E115521"/>
      <c r="F115521"/>
    </row>
    <row r="115522" spans="1:6" x14ac:dyDescent="0.25">
      <c r="A115522"/>
      <c r="B115522"/>
      <c r="C115522"/>
      <c r="E115522"/>
      <c r="F115522"/>
    </row>
    <row r="115523" spans="1:6" x14ac:dyDescent="0.25">
      <c r="A115523"/>
      <c r="B115523"/>
      <c r="C115523"/>
      <c r="E115523"/>
      <c r="F115523"/>
    </row>
    <row r="115524" spans="1:6" x14ac:dyDescent="0.25">
      <c r="A115524"/>
      <c r="B115524"/>
      <c r="C115524"/>
      <c r="E115524"/>
      <c r="F115524"/>
    </row>
    <row r="115525" spans="1:6" x14ac:dyDescent="0.25">
      <c r="A115525"/>
      <c r="B115525"/>
      <c r="C115525"/>
      <c r="E115525"/>
      <c r="F115525"/>
    </row>
    <row r="115526" spans="1:6" x14ac:dyDescent="0.25">
      <c r="A115526"/>
      <c r="B115526"/>
      <c r="C115526"/>
      <c r="E115526"/>
      <c r="F115526"/>
    </row>
    <row r="115527" spans="1:6" x14ac:dyDescent="0.25">
      <c r="A115527"/>
      <c r="B115527"/>
      <c r="C115527"/>
      <c r="E115527"/>
      <c r="F115527"/>
    </row>
    <row r="115528" spans="1:6" x14ac:dyDescent="0.25">
      <c r="A115528"/>
      <c r="B115528"/>
      <c r="C115528"/>
      <c r="E115528"/>
      <c r="F115528"/>
    </row>
    <row r="115529" spans="1:6" x14ac:dyDescent="0.25">
      <c r="A115529"/>
      <c r="B115529"/>
      <c r="C115529"/>
      <c r="E115529"/>
      <c r="F115529"/>
    </row>
    <row r="115530" spans="1:6" x14ac:dyDescent="0.25">
      <c r="A115530"/>
      <c r="B115530"/>
      <c r="C115530"/>
      <c r="E115530"/>
      <c r="F115530"/>
    </row>
    <row r="115531" spans="1:6" x14ac:dyDescent="0.25">
      <c r="A115531"/>
      <c r="B115531"/>
      <c r="C115531"/>
      <c r="E115531"/>
      <c r="F115531"/>
    </row>
    <row r="115532" spans="1:6" x14ac:dyDescent="0.25">
      <c r="A115532"/>
      <c r="B115532"/>
      <c r="C115532"/>
      <c r="E115532"/>
      <c r="F115532"/>
    </row>
    <row r="115533" spans="1:6" x14ac:dyDescent="0.25">
      <c r="A115533"/>
      <c r="B115533"/>
      <c r="C115533"/>
      <c r="E115533"/>
      <c r="F115533"/>
    </row>
    <row r="115534" spans="1:6" x14ac:dyDescent="0.25">
      <c r="A115534"/>
      <c r="B115534"/>
      <c r="C115534"/>
      <c r="E115534"/>
      <c r="F115534"/>
    </row>
    <row r="115535" spans="1:6" x14ac:dyDescent="0.25">
      <c r="A115535"/>
      <c r="B115535"/>
      <c r="C115535"/>
      <c r="E115535"/>
      <c r="F115535"/>
    </row>
    <row r="115536" spans="1:6" x14ac:dyDescent="0.25">
      <c r="A115536"/>
      <c r="B115536"/>
      <c r="C115536"/>
      <c r="E115536"/>
      <c r="F115536"/>
    </row>
    <row r="115537" spans="1:6" x14ac:dyDescent="0.25">
      <c r="A115537"/>
      <c r="B115537"/>
      <c r="C115537"/>
      <c r="E115537"/>
      <c r="F115537"/>
    </row>
    <row r="115538" spans="1:6" x14ac:dyDescent="0.25">
      <c r="A115538"/>
      <c r="B115538"/>
      <c r="C115538"/>
      <c r="E115538"/>
      <c r="F115538"/>
    </row>
    <row r="115539" spans="1:6" x14ac:dyDescent="0.25">
      <c r="A115539"/>
      <c r="B115539"/>
      <c r="C115539"/>
      <c r="E115539"/>
      <c r="F115539"/>
    </row>
    <row r="115540" spans="1:6" x14ac:dyDescent="0.25">
      <c r="A115540"/>
      <c r="B115540"/>
      <c r="C115540"/>
      <c r="E115540"/>
      <c r="F115540"/>
    </row>
    <row r="115541" spans="1:6" x14ac:dyDescent="0.25">
      <c r="A115541"/>
      <c r="B115541"/>
      <c r="C115541"/>
      <c r="E115541"/>
      <c r="F115541"/>
    </row>
    <row r="115542" spans="1:6" x14ac:dyDescent="0.25">
      <c r="A115542"/>
      <c r="B115542"/>
      <c r="C115542"/>
      <c r="E115542"/>
      <c r="F115542"/>
    </row>
    <row r="115543" spans="1:6" x14ac:dyDescent="0.25">
      <c r="A115543"/>
      <c r="B115543"/>
      <c r="C115543"/>
      <c r="E115543"/>
      <c r="F115543"/>
    </row>
    <row r="115544" spans="1:6" x14ac:dyDescent="0.25">
      <c r="A115544"/>
      <c r="B115544"/>
      <c r="C115544"/>
      <c r="E115544"/>
      <c r="F115544"/>
    </row>
    <row r="115545" spans="1:6" x14ac:dyDescent="0.25">
      <c r="A115545"/>
      <c r="B115545"/>
      <c r="C115545"/>
      <c r="E115545"/>
      <c r="F115545"/>
    </row>
    <row r="115546" spans="1:6" x14ac:dyDescent="0.25">
      <c r="A115546"/>
      <c r="B115546"/>
      <c r="C115546"/>
      <c r="E115546"/>
      <c r="F115546"/>
    </row>
    <row r="115547" spans="1:6" x14ac:dyDescent="0.25">
      <c r="A115547"/>
      <c r="B115547"/>
      <c r="C115547"/>
      <c r="E115547"/>
      <c r="F115547"/>
    </row>
    <row r="115548" spans="1:6" x14ac:dyDescent="0.25">
      <c r="A115548"/>
      <c r="B115548"/>
      <c r="C115548"/>
      <c r="E115548"/>
      <c r="F115548"/>
    </row>
    <row r="115549" spans="1:6" x14ac:dyDescent="0.25">
      <c r="A115549"/>
      <c r="B115549"/>
      <c r="C115549"/>
      <c r="E115549"/>
      <c r="F115549"/>
    </row>
    <row r="115550" spans="1:6" x14ac:dyDescent="0.25">
      <c r="A115550"/>
      <c r="B115550"/>
      <c r="C115550"/>
      <c r="E115550"/>
      <c r="F115550"/>
    </row>
    <row r="115551" spans="1:6" x14ac:dyDescent="0.25">
      <c r="A115551"/>
      <c r="B115551"/>
      <c r="C115551"/>
      <c r="E115551"/>
      <c r="F115551"/>
    </row>
    <row r="115552" spans="1:6" x14ac:dyDescent="0.25">
      <c r="A115552"/>
      <c r="B115552"/>
      <c r="C115552"/>
      <c r="E115552"/>
      <c r="F115552"/>
    </row>
    <row r="115553" spans="1:6" x14ac:dyDescent="0.25">
      <c r="A115553"/>
      <c r="B115553"/>
      <c r="C115553"/>
      <c r="E115553"/>
      <c r="F115553"/>
    </row>
    <row r="115554" spans="1:6" x14ac:dyDescent="0.25">
      <c r="A115554"/>
      <c r="B115554"/>
      <c r="C115554"/>
      <c r="E115554"/>
      <c r="F115554"/>
    </row>
    <row r="115555" spans="1:6" x14ac:dyDescent="0.25">
      <c r="A115555"/>
      <c r="B115555"/>
      <c r="C115555"/>
      <c r="E115555"/>
      <c r="F115555"/>
    </row>
    <row r="115556" spans="1:6" x14ac:dyDescent="0.25">
      <c r="A115556"/>
      <c r="B115556"/>
      <c r="C115556"/>
      <c r="E115556"/>
      <c r="F115556"/>
    </row>
    <row r="115557" spans="1:6" x14ac:dyDescent="0.25">
      <c r="A115557"/>
      <c r="B115557"/>
      <c r="C115557"/>
      <c r="E115557"/>
      <c r="F115557"/>
    </row>
    <row r="115558" spans="1:6" x14ac:dyDescent="0.25">
      <c r="A115558"/>
      <c r="B115558"/>
      <c r="C115558"/>
      <c r="E115558"/>
      <c r="F115558"/>
    </row>
    <row r="115559" spans="1:6" x14ac:dyDescent="0.25">
      <c r="A115559"/>
      <c r="B115559"/>
      <c r="C115559"/>
      <c r="E115559"/>
      <c r="F115559"/>
    </row>
    <row r="115560" spans="1:6" x14ac:dyDescent="0.25">
      <c r="A115560"/>
      <c r="B115560"/>
      <c r="C115560"/>
      <c r="E115560"/>
      <c r="F115560"/>
    </row>
    <row r="115561" spans="1:6" x14ac:dyDescent="0.25">
      <c r="A115561"/>
      <c r="B115561"/>
      <c r="C115561"/>
      <c r="E115561"/>
      <c r="F115561"/>
    </row>
    <row r="115562" spans="1:6" x14ac:dyDescent="0.25">
      <c r="A115562"/>
      <c r="B115562"/>
      <c r="C115562"/>
      <c r="E115562"/>
      <c r="F115562"/>
    </row>
    <row r="115563" spans="1:6" x14ac:dyDescent="0.25">
      <c r="A115563"/>
      <c r="B115563"/>
      <c r="C115563"/>
      <c r="E115563"/>
      <c r="F115563"/>
    </row>
    <row r="115564" spans="1:6" x14ac:dyDescent="0.25">
      <c r="A115564"/>
      <c r="B115564"/>
      <c r="C115564"/>
      <c r="E115564"/>
      <c r="F115564"/>
    </row>
    <row r="115565" spans="1:6" x14ac:dyDescent="0.25">
      <c r="A115565"/>
      <c r="B115565"/>
      <c r="C115565"/>
      <c r="E115565"/>
      <c r="F115565"/>
    </row>
    <row r="115566" spans="1:6" x14ac:dyDescent="0.25">
      <c r="A115566"/>
      <c r="B115566"/>
      <c r="C115566"/>
      <c r="E115566"/>
      <c r="F115566"/>
    </row>
    <row r="115567" spans="1:6" x14ac:dyDescent="0.25">
      <c r="A115567"/>
      <c r="B115567"/>
      <c r="C115567"/>
      <c r="E115567"/>
      <c r="F115567"/>
    </row>
    <row r="115568" spans="1:6" x14ac:dyDescent="0.25">
      <c r="A115568"/>
      <c r="B115568"/>
      <c r="C115568"/>
      <c r="E115568"/>
      <c r="F115568"/>
    </row>
    <row r="115569" spans="1:6" x14ac:dyDescent="0.25">
      <c r="A115569"/>
      <c r="B115569"/>
      <c r="C115569"/>
      <c r="E115569"/>
      <c r="F115569"/>
    </row>
    <row r="115570" spans="1:6" x14ac:dyDescent="0.25">
      <c r="A115570"/>
      <c r="B115570"/>
      <c r="C115570"/>
      <c r="E115570"/>
      <c r="F115570"/>
    </row>
    <row r="115571" spans="1:6" x14ac:dyDescent="0.25">
      <c r="A115571"/>
      <c r="B115571"/>
      <c r="C115571"/>
      <c r="E115571"/>
      <c r="F115571"/>
    </row>
    <row r="115572" spans="1:6" x14ac:dyDescent="0.25">
      <c r="A115572"/>
      <c r="B115572"/>
      <c r="C115572"/>
      <c r="E115572"/>
      <c r="F115572"/>
    </row>
    <row r="115573" spans="1:6" x14ac:dyDescent="0.25">
      <c r="A115573"/>
      <c r="B115573"/>
      <c r="C115573"/>
      <c r="E115573"/>
      <c r="F115573"/>
    </row>
    <row r="115574" spans="1:6" x14ac:dyDescent="0.25">
      <c r="A115574"/>
      <c r="B115574"/>
      <c r="C115574"/>
      <c r="E115574"/>
      <c r="F115574"/>
    </row>
    <row r="115575" spans="1:6" x14ac:dyDescent="0.25">
      <c r="A115575"/>
      <c r="B115575"/>
      <c r="C115575"/>
      <c r="E115575"/>
      <c r="F115575"/>
    </row>
    <row r="115576" spans="1:6" x14ac:dyDescent="0.25">
      <c r="A115576"/>
      <c r="B115576"/>
      <c r="C115576"/>
      <c r="E115576"/>
      <c r="F115576"/>
    </row>
    <row r="115577" spans="1:6" x14ac:dyDescent="0.25">
      <c r="A115577"/>
      <c r="B115577"/>
      <c r="C115577"/>
      <c r="E115577"/>
      <c r="F115577"/>
    </row>
    <row r="115578" spans="1:6" x14ac:dyDescent="0.25">
      <c r="A115578"/>
      <c r="B115578"/>
      <c r="C115578"/>
      <c r="E115578"/>
      <c r="F115578"/>
    </row>
    <row r="115579" spans="1:6" x14ac:dyDescent="0.25">
      <c r="A115579"/>
      <c r="B115579"/>
      <c r="C115579"/>
      <c r="E115579"/>
      <c r="F115579"/>
    </row>
    <row r="115580" spans="1:6" x14ac:dyDescent="0.25">
      <c r="A115580"/>
      <c r="B115580"/>
      <c r="C115580"/>
      <c r="E115580"/>
      <c r="F115580"/>
    </row>
    <row r="115581" spans="1:6" x14ac:dyDescent="0.25">
      <c r="A115581"/>
      <c r="B115581"/>
      <c r="C115581"/>
      <c r="E115581"/>
      <c r="F115581"/>
    </row>
    <row r="115582" spans="1:6" x14ac:dyDescent="0.25">
      <c r="A115582"/>
      <c r="B115582"/>
      <c r="C115582"/>
      <c r="E115582"/>
      <c r="F115582"/>
    </row>
    <row r="115583" spans="1:6" x14ac:dyDescent="0.25">
      <c r="A115583"/>
      <c r="B115583"/>
      <c r="C115583"/>
      <c r="E115583"/>
      <c r="F115583"/>
    </row>
    <row r="115584" spans="1:6" x14ac:dyDescent="0.25">
      <c r="A115584"/>
      <c r="B115584"/>
      <c r="C115584"/>
      <c r="E115584"/>
      <c r="F115584"/>
    </row>
    <row r="115585" spans="1:6" x14ac:dyDescent="0.25">
      <c r="A115585"/>
      <c r="B115585"/>
      <c r="C115585"/>
      <c r="E115585"/>
      <c r="F115585"/>
    </row>
    <row r="115586" spans="1:6" x14ac:dyDescent="0.25">
      <c r="A115586"/>
      <c r="B115586"/>
      <c r="C115586"/>
      <c r="E115586"/>
      <c r="F115586"/>
    </row>
    <row r="115587" spans="1:6" x14ac:dyDescent="0.25">
      <c r="A115587"/>
      <c r="B115587"/>
      <c r="C115587"/>
      <c r="E115587"/>
      <c r="F115587"/>
    </row>
    <row r="115588" spans="1:6" x14ac:dyDescent="0.25">
      <c r="A115588"/>
      <c r="B115588"/>
      <c r="C115588"/>
      <c r="E115588"/>
      <c r="F115588"/>
    </row>
    <row r="115589" spans="1:6" x14ac:dyDescent="0.25">
      <c r="A115589"/>
      <c r="B115589"/>
      <c r="C115589"/>
      <c r="E115589"/>
      <c r="F115589"/>
    </row>
    <row r="115590" spans="1:6" x14ac:dyDescent="0.25">
      <c r="A115590"/>
      <c r="B115590"/>
      <c r="C115590"/>
      <c r="E115590"/>
      <c r="F115590"/>
    </row>
    <row r="115591" spans="1:6" x14ac:dyDescent="0.25">
      <c r="A115591"/>
      <c r="B115591"/>
      <c r="C115591"/>
      <c r="E115591"/>
      <c r="F115591"/>
    </row>
    <row r="115592" spans="1:6" x14ac:dyDescent="0.25">
      <c r="A115592"/>
      <c r="B115592"/>
      <c r="C115592"/>
      <c r="E115592"/>
      <c r="F115592"/>
    </row>
    <row r="115593" spans="1:6" x14ac:dyDescent="0.25">
      <c r="A115593"/>
      <c r="B115593"/>
      <c r="C115593"/>
      <c r="E115593"/>
      <c r="F115593"/>
    </row>
    <row r="115594" spans="1:6" x14ac:dyDescent="0.25">
      <c r="A115594"/>
      <c r="B115594"/>
      <c r="C115594"/>
      <c r="E115594"/>
      <c r="F115594"/>
    </row>
    <row r="115595" spans="1:6" x14ac:dyDescent="0.25">
      <c r="A115595"/>
      <c r="B115595"/>
      <c r="C115595"/>
      <c r="E115595"/>
      <c r="F115595"/>
    </row>
    <row r="115596" spans="1:6" x14ac:dyDescent="0.25">
      <c r="A115596"/>
      <c r="B115596"/>
      <c r="C115596"/>
      <c r="E115596"/>
      <c r="F115596"/>
    </row>
    <row r="115597" spans="1:6" x14ac:dyDescent="0.25">
      <c r="A115597"/>
      <c r="B115597"/>
      <c r="C115597"/>
      <c r="E115597"/>
      <c r="F115597"/>
    </row>
    <row r="115598" spans="1:6" x14ac:dyDescent="0.25">
      <c r="A115598"/>
      <c r="B115598"/>
      <c r="C115598"/>
      <c r="E115598"/>
      <c r="F115598"/>
    </row>
    <row r="115599" spans="1:6" x14ac:dyDescent="0.25">
      <c r="A115599"/>
      <c r="B115599"/>
      <c r="C115599"/>
      <c r="E115599"/>
      <c r="F115599"/>
    </row>
    <row r="115600" spans="1:6" x14ac:dyDescent="0.25">
      <c r="A115600"/>
      <c r="B115600"/>
      <c r="C115600"/>
      <c r="E115600"/>
      <c r="F115600"/>
    </row>
    <row r="115601" spans="1:6" x14ac:dyDescent="0.25">
      <c r="A115601"/>
      <c r="B115601"/>
      <c r="C115601"/>
      <c r="E115601"/>
      <c r="F115601"/>
    </row>
    <row r="115602" spans="1:6" x14ac:dyDescent="0.25">
      <c r="A115602"/>
      <c r="B115602"/>
      <c r="C115602"/>
      <c r="E115602"/>
      <c r="F115602"/>
    </row>
    <row r="115603" spans="1:6" x14ac:dyDescent="0.25">
      <c r="A115603"/>
      <c r="B115603"/>
      <c r="C115603"/>
      <c r="E115603"/>
      <c r="F115603"/>
    </row>
    <row r="115604" spans="1:6" x14ac:dyDescent="0.25">
      <c r="A115604"/>
      <c r="B115604"/>
      <c r="C115604"/>
      <c r="E115604"/>
      <c r="F115604"/>
    </row>
    <row r="115605" spans="1:6" x14ac:dyDescent="0.25">
      <c r="A115605"/>
      <c r="B115605"/>
      <c r="C115605"/>
      <c r="E115605"/>
      <c r="F115605"/>
    </row>
    <row r="115606" spans="1:6" x14ac:dyDescent="0.25">
      <c r="A115606"/>
      <c r="B115606"/>
      <c r="C115606"/>
      <c r="E115606"/>
      <c r="F115606"/>
    </row>
    <row r="115607" spans="1:6" x14ac:dyDescent="0.25">
      <c r="A115607"/>
      <c r="B115607"/>
      <c r="C115607"/>
      <c r="E115607"/>
      <c r="F115607"/>
    </row>
    <row r="115608" spans="1:6" x14ac:dyDescent="0.25">
      <c r="A115608"/>
      <c r="B115608"/>
      <c r="C115608"/>
      <c r="E115608"/>
      <c r="F115608"/>
    </row>
    <row r="115609" spans="1:6" x14ac:dyDescent="0.25">
      <c r="A115609"/>
      <c r="B115609"/>
      <c r="C115609"/>
      <c r="E115609"/>
      <c r="F115609"/>
    </row>
    <row r="115610" spans="1:6" x14ac:dyDescent="0.25">
      <c r="A115610"/>
      <c r="B115610"/>
      <c r="C115610"/>
      <c r="E115610"/>
      <c r="F115610"/>
    </row>
    <row r="115611" spans="1:6" x14ac:dyDescent="0.25">
      <c r="A115611"/>
      <c r="B115611"/>
      <c r="C115611"/>
      <c r="E115611"/>
      <c r="F115611"/>
    </row>
    <row r="115612" spans="1:6" x14ac:dyDescent="0.25">
      <c r="A115612"/>
      <c r="B115612"/>
      <c r="C115612"/>
      <c r="E115612"/>
      <c r="F115612"/>
    </row>
    <row r="115613" spans="1:6" x14ac:dyDescent="0.25">
      <c r="A115613"/>
      <c r="B115613"/>
      <c r="C115613"/>
      <c r="E115613"/>
      <c r="F115613"/>
    </row>
    <row r="115614" spans="1:6" x14ac:dyDescent="0.25">
      <c r="A115614"/>
      <c r="B115614"/>
      <c r="C115614"/>
      <c r="E115614"/>
      <c r="F115614"/>
    </row>
    <row r="115615" spans="1:6" x14ac:dyDescent="0.25">
      <c r="A115615"/>
      <c r="B115615"/>
      <c r="C115615"/>
      <c r="E115615"/>
      <c r="F115615"/>
    </row>
    <row r="115616" spans="1:6" x14ac:dyDescent="0.25">
      <c r="A115616"/>
      <c r="B115616"/>
      <c r="C115616"/>
      <c r="E115616"/>
      <c r="F115616"/>
    </row>
    <row r="115617" spans="1:6" x14ac:dyDescent="0.25">
      <c r="A115617"/>
      <c r="B115617"/>
      <c r="C115617"/>
      <c r="E115617"/>
      <c r="F115617"/>
    </row>
    <row r="115618" spans="1:6" x14ac:dyDescent="0.25">
      <c r="A115618"/>
      <c r="B115618"/>
      <c r="C115618"/>
      <c r="E115618"/>
      <c r="F115618"/>
    </row>
    <row r="115619" spans="1:6" x14ac:dyDescent="0.25">
      <c r="A115619"/>
      <c r="B115619"/>
      <c r="C115619"/>
      <c r="E115619"/>
      <c r="F115619"/>
    </row>
    <row r="115620" spans="1:6" x14ac:dyDescent="0.25">
      <c r="A115620"/>
      <c r="B115620"/>
      <c r="C115620"/>
      <c r="E115620"/>
      <c r="F115620"/>
    </row>
    <row r="115621" spans="1:6" x14ac:dyDescent="0.25">
      <c r="A115621"/>
      <c r="B115621"/>
      <c r="C115621"/>
      <c r="E115621"/>
      <c r="F115621"/>
    </row>
    <row r="115622" spans="1:6" x14ac:dyDescent="0.25">
      <c r="A115622"/>
      <c r="B115622"/>
      <c r="C115622"/>
      <c r="E115622"/>
      <c r="F115622"/>
    </row>
    <row r="115623" spans="1:6" x14ac:dyDescent="0.25">
      <c r="A115623"/>
      <c r="B115623"/>
      <c r="C115623"/>
      <c r="E115623"/>
      <c r="F115623"/>
    </row>
    <row r="115624" spans="1:6" x14ac:dyDescent="0.25">
      <c r="A115624"/>
      <c r="B115624"/>
      <c r="C115624"/>
      <c r="E115624"/>
      <c r="F115624"/>
    </row>
    <row r="115625" spans="1:6" x14ac:dyDescent="0.25">
      <c r="A115625"/>
      <c r="B115625"/>
      <c r="C115625"/>
      <c r="E115625"/>
      <c r="F115625"/>
    </row>
    <row r="115626" spans="1:6" x14ac:dyDescent="0.25">
      <c r="A115626"/>
      <c r="B115626"/>
      <c r="C115626"/>
      <c r="E115626"/>
      <c r="F115626"/>
    </row>
    <row r="115627" spans="1:6" x14ac:dyDescent="0.25">
      <c r="A115627"/>
      <c r="B115627"/>
      <c r="C115627"/>
      <c r="E115627"/>
      <c r="F115627"/>
    </row>
    <row r="115628" spans="1:6" x14ac:dyDescent="0.25">
      <c r="A115628"/>
      <c r="B115628"/>
      <c r="C115628"/>
      <c r="E115628"/>
      <c r="F115628"/>
    </row>
    <row r="115629" spans="1:6" x14ac:dyDescent="0.25">
      <c r="A115629"/>
      <c r="B115629"/>
      <c r="C115629"/>
      <c r="E115629"/>
      <c r="F115629"/>
    </row>
    <row r="115630" spans="1:6" x14ac:dyDescent="0.25">
      <c r="A115630"/>
      <c r="B115630"/>
      <c r="C115630"/>
      <c r="E115630"/>
      <c r="F115630"/>
    </row>
    <row r="115631" spans="1:6" x14ac:dyDescent="0.25">
      <c r="A115631"/>
      <c r="B115631"/>
      <c r="C115631"/>
      <c r="E115631"/>
      <c r="F115631"/>
    </row>
    <row r="115632" spans="1:6" x14ac:dyDescent="0.25">
      <c r="A115632"/>
      <c r="B115632"/>
      <c r="C115632"/>
      <c r="E115632"/>
      <c r="F115632"/>
    </row>
    <row r="115633" spans="1:6" x14ac:dyDescent="0.25">
      <c r="A115633"/>
      <c r="B115633"/>
      <c r="C115633"/>
      <c r="E115633"/>
      <c r="F115633"/>
    </row>
    <row r="115634" spans="1:6" x14ac:dyDescent="0.25">
      <c r="A115634"/>
      <c r="B115634"/>
      <c r="C115634"/>
      <c r="E115634"/>
      <c r="F115634"/>
    </row>
    <row r="115635" spans="1:6" x14ac:dyDescent="0.25">
      <c r="A115635"/>
      <c r="B115635"/>
      <c r="C115635"/>
      <c r="E115635"/>
      <c r="F115635"/>
    </row>
    <row r="115636" spans="1:6" x14ac:dyDescent="0.25">
      <c r="A115636"/>
      <c r="B115636"/>
      <c r="C115636"/>
      <c r="E115636"/>
      <c r="F115636"/>
    </row>
    <row r="115637" spans="1:6" x14ac:dyDescent="0.25">
      <c r="A115637"/>
      <c r="B115637"/>
      <c r="C115637"/>
      <c r="E115637"/>
      <c r="F115637"/>
    </row>
    <row r="115638" spans="1:6" x14ac:dyDescent="0.25">
      <c r="A115638"/>
      <c r="B115638"/>
      <c r="C115638"/>
      <c r="E115638"/>
      <c r="F115638"/>
    </row>
    <row r="115639" spans="1:6" x14ac:dyDescent="0.25">
      <c r="A115639"/>
      <c r="B115639"/>
      <c r="C115639"/>
      <c r="E115639"/>
      <c r="F115639"/>
    </row>
    <row r="115640" spans="1:6" x14ac:dyDescent="0.25">
      <c r="A115640"/>
      <c r="B115640"/>
      <c r="C115640"/>
      <c r="E115640"/>
      <c r="F115640"/>
    </row>
    <row r="115641" spans="1:6" x14ac:dyDescent="0.25">
      <c r="A115641"/>
      <c r="B115641"/>
      <c r="C115641"/>
      <c r="E115641"/>
      <c r="F115641"/>
    </row>
    <row r="115642" spans="1:6" x14ac:dyDescent="0.25">
      <c r="A115642"/>
      <c r="B115642"/>
      <c r="C115642"/>
      <c r="E115642"/>
      <c r="F115642"/>
    </row>
    <row r="115643" spans="1:6" x14ac:dyDescent="0.25">
      <c r="A115643"/>
      <c r="B115643"/>
      <c r="C115643"/>
      <c r="E115643"/>
      <c r="F115643"/>
    </row>
    <row r="115644" spans="1:6" x14ac:dyDescent="0.25">
      <c r="A115644"/>
      <c r="B115644"/>
      <c r="C115644"/>
      <c r="E115644"/>
      <c r="F115644"/>
    </row>
    <row r="115645" spans="1:6" x14ac:dyDescent="0.25">
      <c r="A115645"/>
      <c r="B115645"/>
      <c r="C115645"/>
      <c r="E115645"/>
      <c r="F115645"/>
    </row>
    <row r="115646" spans="1:6" x14ac:dyDescent="0.25">
      <c r="A115646"/>
      <c r="B115646"/>
      <c r="C115646"/>
      <c r="E115646"/>
      <c r="F115646"/>
    </row>
    <row r="115647" spans="1:6" x14ac:dyDescent="0.25">
      <c r="A115647"/>
      <c r="B115647"/>
      <c r="C115647"/>
      <c r="E115647"/>
      <c r="F115647"/>
    </row>
    <row r="115648" spans="1:6" x14ac:dyDescent="0.25">
      <c r="A115648"/>
      <c r="B115648"/>
      <c r="C115648"/>
      <c r="E115648"/>
      <c r="F115648"/>
    </row>
    <row r="115649" spans="1:6" x14ac:dyDescent="0.25">
      <c r="A115649"/>
      <c r="B115649"/>
      <c r="C115649"/>
      <c r="E115649"/>
      <c r="F115649"/>
    </row>
    <row r="115650" spans="1:6" x14ac:dyDescent="0.25">
      <c r="A115650"/>
      <c r="B115650"/>
      <c r="C115650"/>
      <c r="E115650"/>
      <c r="F115650"/>
    </row>
    <row r="115651" spans="1:6" x14ac:dyDescent="0.25">
      <c r="A115651"/>
      <c r="B115651"/>
      <c r="C115651"/>
      <c r="E115651"/>
      <c r="F115651"/>
    </row>
    <row r="115652" spans="1:6" x14ac:dyDescent="0.25">
      <c r="A115652"/>
      <c r="B115652"/>
      <c r="C115652"/>
      <c r="E115652"/>
      <c r="F115652"/>
    </row>
    <row r="115653" spans="1:6" x14ac:dyDescent="0.25">
      <c r="A115653"/>
      <c r="B115653"/>
      <c r="C115653"/>
      <c r="E115653"/>
      <c r="F115653"/>
    </row>
    <row r="115654" spans="1:6" x14ac:dyDescent="0.25">
      <c r="A115654"/>
      <c r="B115654"/>
      <c r="C115654"/>
      <c r="E115654"/>
      <c r="F115654"/>
    </row>
    <row r="115655" spans="1:6" x14ac:dyDescent="0.25">
      <c r="A115655"/>
      <c r="B115655"/>
      <c r="C115655"/>
      <c r="E115655"/>
      <c r="F115655"/>
    </row>
    <row r="115656" spans="1:6" x14ac:dyDescent="0.25">
      <c r="A115656"/>
      <c r="B115656"/>
      <c r="C115656"/>
      <c r="E115656"/>
      <c r="F115656"/>
    </row>
    <row r="115657" spans="1:6" x14ac:dyDescent="0.25">
      <c r="A115657"/>
      <c r="B115657"/>
      <c r="C115657"/>
      <c r="E115657"/>
      <c r="F115657"/>
    </row>
    <row r="115658" spans="1:6" x14ac:dyDescent="0.25">
      <c r="A115658"/>
      <c r="B115658"/>
      <c r="C115658"/>
      <c r="E115658"/>
      <c r="F115658"/>
    </row>
    <row r="115659" spans="1:6" x14ac:dyDescent="0.25">
      <c r="A115659"/>
      <c r="B115659"/>
      <c r="C115659"/>
      <c r="E115659"/>
      <c r="F115659"/>
    </row>
    <row r="115660" spans="1:6" x14ac:dyDescent="0.25">
      <c r="A115660"/>
      <c r="B115660"/>
      <c r="C115660"/>
      <c r="E115660"/>
      <c r="F115660"/>
    </row>
    <row r="115661" spans="1:6" x14ac:dyDescent="0.25">
      <c r="A115661"/>
      <c r="B115661"/>
      <c r="C115661"/>
      <c r="E115661"/>
      <c r="F115661"/>
    </row>
    <row r="115662" spans="1:6" x14ac:dyDescent="0.25">
      <c r="A115662"/>
      <c r="B115662"/>
      <c r="C115662"/>
      <c r="E115662"/>
      <c r="F115662"/>
    </row>
    <row r="115663" spans="1:6" x14ac:dyDescent="0.25">
      <c r="A115663"/>
      <c r="B115663"/>
      <c r="C115663"/>
      <c r="E115663"/>
      <c r="F115663"/>
    </row>
    <row r="115664" spans="1:6" x14ac:dyDescent="0.25">
      <c r="A115664"/>
      <c r="B115664"/>
      <c r="C115664"/>
      <c r="E115664"/>
      <c r="F115664"/>
    </row>
    <row r="115665" spans="1:6" x14ac:dyDescent="0.25">
      <c r="A115665"/>
      <c r="B115665"/>
      <c r="C115665"/>
      <c r="E115665"/>
      <c r="F115665"/>
    </row>
    <row r="115666" spans="1:6" x14ac:dyDescent="0.25">
      <c r="A115666"/>
      <c r="B115666"/>
      <c r="C115666"/>
      <c r="E115666"/>
      <c r="F115666"/>
    </row>
    <row r="115667" spans="1:6" x14ac:dyDescent="0.25">
      <c r="A115667"/>
      <c r="B115667"/>
      <c r="C115667"/>
      <c r="E115667"/>
      <c r="F115667"/>
    </row>
    <row r="115668" spans="1:6" x14ac:dyDescent="0.25">
      <c r="A115668"/>
      <c r="B115668"/>
      <c r="C115668"/>
      <c r="E115668"/>
      <c r="F115668"/>
    </row>
    <row r="115669" spans="1:6" x14ac:dyDescent="0.25">
      <c r="A115669"/>
      <c r="B115669"/>
      <c r="C115669"/>
      <c r="E115669"/>
      <c r="F115669"/>
    </row>
    <row r="115670" spans="1:6" x14ac:dyDescent="0.25">
      <c r="A115670"/>
      <c r="B115670"/>
      <c r="C115670"/>
      <c r="E115670"/>
      <c r="F115670"/>
    </row>
    <row r="115671" spans="1:6" x14ac:dyDescent="0.25">
      <c r="A115671"/>
      <c r="B115671"/>
      <c r="C115671"/>
      <c r="E115671"/>
      <c r="F115671"/>
    </row>
    <row r="115672" spans="1:6" x14ac:dyDescent="0.25">
      <c r="A115672"/>
      <c r="B115672"/>
      <c r="C115672"/>
      <c r="E115672"/>
      <c r="F115672"/>
    </row>
    <row r="115673" spans="1:6" x14ac:dyDescent="0.25">
      <c r="A115673"/>
      <c r="B115673"/>
      <c r="C115673"/>
      <c r="E115673"/>
      <c r="F115673"/>
    </row>
    <row r="115674" spans="1:6" x14ac:dyDescent="0.25">
      <c r="A115674"/>
      <c r="B115674"/>
      <c r="C115674"/>
      <c r="E115674"/>
      <c r="F115674"/>
    </row>
    <row r="115675" spans="1:6" x14ac:dyDescent="0.25">
      <c r="A115675"/>
      <c r="B115675"/>
      <c r="C115675"/>
      <c r="E115675"/>
      <c r="F115675"/>
    </row>
    <row r="115676" spans="1:6" x14ac:dyDescent="0.25">
      <c r="A115676"/>
      <c r="B115676"/>
      <c r="C115676"/>
      <c r="E115676"/>
      <c r="F115676"/>
    </row>
    <row r="115677" spans="1:6" x14ac:dyDescent="0.25">
      <c r="A115677"/>
      <c r="B115677"/>
      <c r="C115677"/>
      <c r="E115677"/>
      <c r="F115677"/>
    </row>
    <row r="115678" spans="1:6" x14ac:dyDescent="0.25">
      <c r="A115678"/>
      <c r="B115678"/>
      <c r="C115678"/>
      <c r="E115678"/>
      <c r="F115678"/>
    </row>
    <row r="115679" spans="1:6" x14ac:dyDescent="0.25">
      <c r="A115679"/>
      <c r="B115679"/>
      <c r="C115679"/>
      <c r="E115679"/>
      <c r="F115679"/>
    </row>
    <row r="115680" spans="1:6" x14ac:dyDescent="0.25">
      <c r="A115680"/>
      <c r="B115680"/>
      <c r="C115680"/>
      <c r="E115680"/>
      <c r="F115680"/>
    </row>
    <row r="115681" spans="1:6" x14ac:dyDescent="0.25">
      <c r="A115681"/>
      <c r="B115681"/>
      <c r="C115681"/>
      <c r="E115681"/>
      <c r="F115681"/>
    </row>
    <row r="115682" spans="1:6" x14ac:dyDescent="0.25">
      <c r="A115682"/>
      <c r="B115682"/>
      <c r="C115682"/>
      <c r="E115682"/>
      <c r="F115682"/>
    </row>
    <row r="115683" spans="1:6" x14ac:dyDescent="0.25">
      <c r="A115683"/>
      <c r="B115683"/>
      <c r="C115683"/>
      <c r="E115683"/>
      <c r="F115683"/>
    </row>
    <row r="115684" spans="1:6" x14ac:dyDescent="0.25">
      <c r="A115684"/>
      <c r="B115684"/>
      <c r="C115684"/>
      <c r="E115684"/>
      <c r="F115684"/>
    </row>
    <row r="115685" spans="1:6" x14ac:dyDescent="0.25">
      <c r="A115685"/>
      <c r="B115685"/>
      <c r="C115685"/>
      <c r="E115685"/>
      <c r="F115685"/>
    </row>
    <row r="115686" spans="1:6" x14ac:dyDescent="0.25">
      <c r="A115686"/>
      <c r="B115686"/>
      <c r="C115686"/>
      <c r="E115686"/>
      <c r="F115686"/>
    </row>
    <row r="115687" spans="1:6" x14ac:dyDescent="0.25">
      <c r="A115687"/>
      <c r="B115687"/>
      <c r="C115687"/>
      <c r="E115687"/>
      <c r="F115687"/>
    </row>
    <row r="115688" spans="1:6" x14ac:dyDescent="0.25">
      <c r="A115688"/>
      <c r="B115688"/>
      <c r="C115688"/>
      <c r="E115688"/>
      <c r="F115688"/>
    </row>
    <row r="115689" spans="1:6" x14ac:dyDescent="0.25">
      <c r="A115689"/>
      <c r="B115689"/>
      <c r="C115689"/>
      <c r="E115689"/>
      <c r="F115689"/>
    </row>
    <row r="115690" spans="1:6" x14ac:dyDescent="0.25">
      <c r="A115690"/>
      <c r="B115690"/>
      <c r="C115690"/>
      <c r="E115690"/>
      <c r="F115690"/>
    </row>
    <row r="115691" spans="1:6" x14ac:dyDescent="0.25">
      <c r="A115691"/>
      <c r="B115691"/>
      <c r="C115691"/>
      <c r="E115691"/>
      <c r="F115691"/>
    </row>
    <row r="115692" spans="1:6" x14ac:dyDescent="0.25">
      <c r="A115692"/>
      <c r="B115692"/>
      <c r="C115692"/>
      <c r="E115692"/>
      <c r="F115692"/>
    </row>
    <row r="115693" spans="1:6" x14ac:dyDescent="0.25">
      <c r="A115693"/>
      <c r="B115693"/>
      <c r="C115693"/>
      <c r="E115693"/>
      <c r="F115693"/>
    </row>
    <row r="115694" spans="1:6" x14ac:dyDescent="0.25">
      <c r="A115694"/>
      <c r="B115694"/>
      <c r="C115694"/>
      <c r="E115694"/>
      <c r="F115694"/>
    </row>
    <row r="115695" spans="1:6" x14ac:dyDescent="0.25">
      <c r="A115695"/>
      <c r="B115695"/>
      <c r="C115695"/>
      <c r="E115695"/>
      <c r="F115695"/>
    </row>
    <row r="115696" spans="1:6" x14ac:dyDescent="0.25">
      <c r="A115696"/>
      <c r="B115696"/>
      <c r="C115696"/>
      <c r="E115696"/>
      <c r="F115696"/>
    </row>
    <row r="115697" spans="1:6" x14ac:dyDescent="0.25">
      <c r="A115697"/>
      <c r="B115697"/>
      <c r="C115697"/>
      <c r="E115697"/>
      <c r="F115697"/>
    </row>
    <row r="115698" spans="1:6" x14ac:dyDescent="0.25">
      <c r="A115698"/>
      <c r="B115698"/>
      <c r="C115698"/>
      <c r="E115698"/>
      <c r="F115698"/>
    </row>
    <row r="115699" spans="1:6" x14ac:dyDescent="0.25">
      <c r="A115699"/>
      <c r="B115699"/>
      <c r="C115699"/>
      <c r="E115699"/>
      <c r="F115699"/>
    </row>
    <row r="115700" spans="1:6" x14ac:dyDescent="0.25">
      <c r="A115700"/>
      <c r="B115700"/>
      <c r="C115700"/>
      <c r="E115700"/>
      <c r="F115700"/>
    </row>
    <row r="115701" spans="1:6" x14ac:dyDescent="0.25">
      <c r="A115701"/>
      <c r="B115701"/>
      <c r="C115701"/>
      <c r="E115701"/>
      <c r="F115701"/>
    </row>
    <row r="115702" spans="1:6" x14ac:dyDescent="0.25">
      <c r="A115702"/>
      <c r="B115702"/>
      <c r="C115702"/>
      <c r="E115702"/>
      <c r="F115702"/>
    </row>
    <row r="115703" spans="1:6" x14ac:dyDescent="0.25">
      <c r="A115703"/>
      <c r="B115703"/>
      <c r="C115703"/>
      <c r="E115703"/>
      <c r="F115703"/>
    </row>
    <row r="115704" spans="1:6" x14ac:dyDescent="0.25">
      <c r="A115704"/>
      <c r="B115704"/>
      <c r="C115704"/>
      <c r="E115704"/>
      <c r="F115704"/>
    </row>
    <row r="115705" spans="1:6" x14ac:dyDescent="0.25">
      <c r="A115705"/>
      <c r="B115705"/>
      <c r="C115705"/>
      <c r="E115705"/>
      <c r="F115705"/>
    </row>
    <row r="115706" spans="1:6" x14ac:dyDescent="0.25">
      <c r="A115706"/>
      <c r="B115706"/>
      <c r="C115706"/>
      <c r="E115706"/>
      <c r="F115706"/>
    </row>
    <row r="115707" spans="1:6" x14ac:dyDescent="0.25">
      <c r="A115707"/>
      <c r="B115707"/>
      <c r="C115707"/>
      <c r="E115707"/>
      <c r="F115707"/>
    </row>
    <row r="115708" spans="1:6" x14ac:dyDescent="0.25">
      <c r="A115708"/>
      <c r="B115708"/>
      <c r="C115708"/>
      <c r="E115708"/>
      <c r="F115708"/>
    </row>
    <row r="115709" spans="1:6" x14ac:dyDescent="0.25">
      <c r="A115709"/>
      <c r="B115709"/>
      <c r="C115709"/>
      <c r="E115709"/>
      <c r="F115709"/>
    </row>
    <row r="115710" spans="1:6" x14ac:dyDescent="0.25">
      <c r="A115710"/>
      <c r="B115710"/>
      <c r="C115710"/>
      <c r="E115710"/>
      <c r="F115710"/>
    </row>
    <row r="115711" spans="1:6" x14ac:dyDescent="0.25">
      <c r="A115711"/>
      <c r="B115711"/>
      <c r="C115711"/>
      <c r="E115711"/>
      <c r="F115711"/>
    </row>
    <row r="115712" spans="1:6" x14ac:dyDescent="0.25">
      <c r="A115712"/>
      <c r="B115712"/>
      <c r="C115712"/>
      <c r="E115712"/>
      <c r="F115712"/>
    </row>
    <row r="115713" spans="1:6" x14ac:dyDescent="0.25">
      <c r="A115713"/>
      <c r="B115713"/>
      <c r="C115713"/>
      <c r="E115713"/>
      <c r="F115713"/>
    </row>
    <row r="115714" spans="1:6" x14ac:dyDescent="0.25">
      <c r="A115714"/>
      <c r="B115714"/>
      <c r="C115714"/>
      <c r="E115714"/>
      <c r="F115714"/>
    </row>
    <row r="115715" spans="1:6" x14ac:dyDescent="0.25">
      <c r="A115715"/>
      <c r="B115715"/>
      <c r="C115715"/>
      <c r="E115715"/>
      <c r="F115715"/>
    </row>
    <row r="115716" spans="1:6" x14ac:dyDescent="0.25">
      <c r="A115716"/>
      <c r="B115716"/>
      <c r="C115716"/>
      <c r="E115716"/>
      <c r="F115716"/>
    </row>
    <row r="115717" spans="1:6" x14ac:dyDescent="0.25">
      <c r="A115717"/>
      <c r="B115717"/>
      <c r="C115717"/>
      <c r="E115717"/>
      <c r="F115717"/>
    </row>
    <row r="115718" spans="1:6" x14ac:dyDescent="0.25">
      <c r="A115718"/>
      <c r="B115718"/>
      <c r="C115718"/>
      <c r="E115718"/>
      <c r="F115718"/>
    </row>
    <row r="115719" spans="1:6" x14ac:dyDescent="0.25">
      <c r="A115719"/>
      <c r="B115719"/>
      <c r="C115719"/>
      <c r="E115719"/>
      <c r="F115719"/>
    </row>
    <row r="115720" spans="1:6" x14ac:dyDescent="0.25">
      <c r="A115720"/>
      <c r="B115720"/>
      <c r="C115720"/>
      <c r="E115720"/>
      <c r="F115720"/>
    </row>
    <row r="115721" spans="1:6" x14ac:dyDescent="0.25">
      <c r="A115721"/>
      <c r="B115721"/>
      <c r="C115721"/>
      <c r="E115721"/>
      <c r="F115721"/>
    </row>
    <row r="115722" spans="1:6" x14ac:dyDescent="0.25">
      <c r="A115722"/>
      <c r="B115722"/>
      <c r="C115722"/>
      <c r="E115722"/>
      <c r="F115722"/>
    </row>
    <row r="115723" spans="1:6" x14ac:dyDescent="0.25">
      <c r="A115723"/>
      <c r="B115723"/>
      <c r="C115723"/>
      <c r="E115723"/>
      <c r="F115723"/>
    </row>
    <row r="115724" spans="1:6" x14ac:dyDescent="0.25">
      <c r="A115724"/>
      <c r="B115724"/>
      <c r="C115724"/>
      <c r="E115724"/>
      <c r="F115724"/>
    </row>
    <row r="115725" spans="1:6" x14ac:dyDescent="0.25">
      <c r="A115725"/>
      <c r="B115725"/>
      <c r="C115725"/>
      <c r="E115725"/>
      <c r="F115725"/>
    </row>
    <row r="115726" spans="1:6" x14ac:dyDescent="0.25">
      <c r="A115726"/>
      <c r="B115726"/>
      <c r="C115726"/>
      <c r="E115726"/>
      <c r="F115726"/>
    </row>
    <row r="115727" spans="1:6" x14ac:dyDescent="0.25">
      <c r="A115727"/>
      <c r="B115727"/>
      <c r="C115727"/>
      <c r="E115727"/>
      <c r="F115727"/>
    </row>
    <row r="115728" spans="1:6" x14ac:dyDescent="0.25">
      <c r="A115728"/>
      <c r="B115728"/>
      <c r="C115728"/>
      <c r="E115728"/>
      <c r="F115728"/>
    </row>
    <row r="115729" spans="1:6" x14ac:dyDescent="0.25">
      <c r="A115729"/>
      <c r="B115729"/>
      <c r="C115729"/>
      <c r="E115729"/>
      <c r="F115729"/>
    </row>
    <row r="115730" spans="1:6" x14ac:dyDescent="0.25">
      <c r="A115730"/>
      <c r="B115730"/>
      <c r="C115730"/>
      <c r="E115730"/>
      <c r="F115730"/>
    </row>
    <row r="115731" spans="1:6" x14ac:dyDescent="0.25">
      <c r="A115731"/>
      <c r="B115731"/>
      <c r="C115731"/>
      <c r="E115731"/>
      <c r="F115731"/>
    </row>
    <row r="115732" spans="1:6" x14ac:dyDescent="0.25">
      <c r="A115732"/>
      <c r="B115732"/>
      <c r="C115732"/>
      <c r="E115732"/>
      <c r="F115732"/>
    </row>
    <row r="115733" spans="1:6" x14ac:dyDescent="0.25">
      <c r="A115733"/>
      <c r="B115733"/>
      <c r="C115733"/>
      <c r="E115733"/>
      <c r="F115733"/>
    </row>
    <row r="115734" spans="1:6" x14ac:dyDescent="0.25">
      <c r="A115734"/>
      <c r="B115734"/>
      <c r="C115734"/>
      <c r="E115734"/>
      <c r="F115734"/>
    </row>
    <row r="115735" spans="1:6" x14ac:dyDescent="0.25">
      <c r="A115735"/>
      <c r="B115735"/>
      <c r="C115735"/>
      <c r="E115735"/>
      <c r="F115735"/>
    </row>
    <row r="115736" spans="1:6" x14ac:dyDescent="0.25">
      <c r="A115736"/>
      <c r="B115736"/>
      <c r="C115736"/>
      <c r="E115736"/>
      <c r="F115736"/>
    </row>
    <row r="115737" spans="1:6" x14ac:dyDescent="0.25">
      <c r="A115737"/>
      <c r="B115737"/>
      <c r="C115737"/>
      <c r="E115737"/>
      <c r="F115737"/>
    </row>
    <row r="115738" spans="1:6" x14ac:dyDescent="0.25">
      <c r="A115738"/>
      <c r="B115738"/>
      <c r="C115738"/>
      <c r="E115738"/>
      <c r="F115738"/>
    </row>
    <row r="115739" spans="1:6" x14ac:dyDescent="0.25">
      <c r="A115739"/>
      <c r="B115739"/>
      <c r="C115739"/>
      <c r="E115739"/>
      <c r="F115739"/>
    </row>
    <row r="115740" spans="1:6" x14ac:dyDescent="0.25">
      <c r="A115740"/>
      <c r="B115740"/>
      <c r="C115740"/>
      <c r="E115740"/>
      <c r="F115740"/>
    </row>
    <row r="115741" spans="1:6" x14ac:dyDescent="0.25">
      <c r="A115741"/>
      <c r="B115741"/>
      <c r="C115741"/>
      <c r="E115741"/>
      <c r="F115741"/>
    </row>
    <row r="115742" spans="1:6" x14ac:dyDescent="0.25">
      <c r="A115742"/>
      <c r="B115742"/>
      <c r="C115742"/>
      <c r="E115742"/>
      <c r="F115742"/>
    </row>
    <row r="115743" spans="1:6" x14ac:dyDescent="0.25">
      <c r="A115743"/>
      <c r="B115743"/>
      <c r="C115743"/>
      <c r="E115743"/>
      <c r="F115743"/>
    </row>
    <row r="115744" spans="1:6" x14ac:dyDescent="0.25">
      <c r="A115744"/>
      <c r="B115744"/>
      <c r="C115744"/>
      <c r="E115744"/>
      <c r="F115744"/>
    </row>
    <row r="115745" spans="1:6" x14ac:dyDescent="0.25">
      <c r="A115745"/>
      <c r="B115745"/>
      <c r="C115745"/>
      <c r="E115745"/>
      <c r="F115745"/>
    </row>
    <row r="115746" spans="1:6" x14ac:dyDescent="0.25">
      <c r="A115746"/>
      <c r="B115746"/>
      <c r="C115746"/>
      <c r="E115746"/>
      <c r="F115746"/>
    </row>
    <row r="115747" spans="1:6" x14ac:dyDescent="0.25">
      <c r="A115747"/>
      <c r="B115747"/>
      <c r="C115747"/>
      <c r="E115747"/>
      <c r="F115747"/>
    </row>
    <row r="115748" spans="1:6" x14ac:dyDescent="0.25">
      <c r="A115748"/>
      <c r="B115748"/>
      <c r="C115748"/>
      <c r="E115748"/>
      <c r="F115748"/>
    </row>
    <row r="115749" spans="1:6" x14ac:dyDescent="0.25">
      <c r="A115749"/>
      <c r="B115749"/>
      <c r="C115749"/>
      <c r="E115749"/>
      <c r="F115749"/>
    </row>
    <row r="115750" spans="1:6" x14ac:dyDescent="0.25">
      <c r="A115750"/>
      <c r="B115750"/>
      <c r="C115750"/>
      <c r="E115750"/>
      <c r="F115750"/>
    </row>
    <row r="115751" spans="1:6" x14ac:dyDescent="0.25">
      <c r="A115751"/>
      <c r="B115751"/>
      <c r="C115751"/>
      <c r="E115751"/>
      <c r="F115751"/>
    </row>
    <row r="115752" spans="1:6" x14ac:dyDescent="0.25">
      <c r="A115752"/>
      <c r="B115752"/>
      <c r="C115752"/>
      <c r="E115752"/>
      <c r="F115752"/>
    </row>
    <row r="115753" spans="1:6" x14ac:dyDescent="0.25">
      <c r="A115753"/>
      <c r="B115753"/>
      <c r="C115753"/>
      <c r="E115753"/>
      <c r="F115753"/>
    </row>
    <row r="115754" spans="1:6" x14ac:dyDescent="0.25">
      <c r="A115754"/>
      <c r="B115754"/>
      <c r="C115754"/>
      <c r="E115754"/>
      <c r="F115754"/>
    </row>
    <row r="115755" spans="1:6" x14ac:dyDescent="0.25">
      <c r="A115755"/>
      <c r="B115755"/>
      <c r="C115755"/>
      <c r="E115755"/>
      <c r="F115755"/>
    </row>
    <row r="115756" spans="1:6" x14ac:dyDescent="0.25">
      <c r="A115756"/>
      <c r="B115756"/>
      <c r="C115756"/>
      <c r="E115756"/>
      <c r="F115756"/>
    </row>
    <row r="115757" spans="1:6" x14ac:dyDescent="0.25">
      <c r="A115757"/>
      <c r="B115757"/>
      <c r="C115757"/>
      <c r="E115757"/>
      <c r="F115757"/>
    </row>
    <row r="115758" spans="1:6" x14ac:dyDescent="0.25">
      <c r="A115758"/>
      <c r="B115758"/>
      <c r="C115758"/>
      <c r="E115758"/>
      <c r="F115758"/>
    </row>
    <row r="115759" spans="1:6" x14ac:dyDescent="0.25">
      <c r="A115759"/>
      <c r="B115759"/>
      <c r="C115759"/>
      <c r="E115759"/>
      <c r="F115759"/>
    </row>
    <row r="115760" spans="1:6" x14ac:dyDescent="0.25">
      <c r="A115760"/>
      <c r="B115760"/>
      <c r="C115760"/>
      <c r="E115760"/>
      <c r="F115760"/>
    </row>
    <row r="115761" spans="1:6" x14ac:dyDescent="0.25">
      <c r="A115761"/>
      <c r="B115761"/>
      <c r="C115761"/>
      <c r="E115761"/>
      <c r="F115761"/>
    </row>
    <row r="115762" spans="1:6" x14ac:dyDescent="0.25">
      <c r="A115762"/>
      <c r="B115762"/>
      <c r="C115762"/>
      <c r="E115762"/>
      <c r="F115762"/>
    </row>
    <row r="115763" spans="1:6" x14ac:dyDescent="0.25">
      <c r="A115763"/>
      <c r="B115763"/>
      <c r="C115763"/>
      <c r="E115763"/>
      <c r="F115763"/>
    </row>
    <row r="115764" spans="1:6" x14ac:dyDescent="0.25">
      <c r="A115764"/>
      <c r="B115764"/>
      <c r="C115764"/>
      <c r="E115764"/>
      <c r="F115764"/>
    </row>
    <row r="115765" spans="1:6" x14ac:dyDescent="0.25">
      <c r="A115765"/>
      <c r="B115765"/>
      <c r="C115765"/>
      <c r="E115765"/>
      <c r="F115765"/>
    </row>
    <row r="115766" spans="1:6" x14ac:dyDescent="0.25">
      <c r="A115766"/>
      <c r="B115766"/>
      <c r="C115766"/>
      <c r="E115766"/>
      <c r="F115766"/>
    </row>
    <row r="115767" spans="1:6" x14ac:dyDescent="0.25">
      <c r="A115767"/>
      <c r="B115767"/>
      <c r="C115767"/>
      <c r="E115767"/>
      <c r="F115767"/>
    </row>
    <row r="115768" spans="1:6" x14ac:dyDescent="0.25">
      <c r="A115768"/>
      <c r="B115768"/>
      <c r="C115768"/>
      <c r="E115768"/>
      <c r="F115768"/>
    </row>
    <row r="115769" spans="1:6" x14ac:dyDescent="0.25">
      <c r="A115769"/>
      <c r="B115769"/>
      <c r="C115769"/>
      <c r="E115769"/>
      <c r="F115769"/>
    </row>
    <row r="115770" spans="1:6" x14ac:dyDescent="0.25">
      <c r="A115770"/>
      <c r="B115770"/>
      <c r="C115770"/>
      <c r="E115770"/>
      <c r="F115770"/>
    </row>
    <row r="115771" spans="1:6" x14ac:dyDescent="0.25">
      <c r="A115771"/>
      <c r="B115771"/>
      <c r="C115771"/>
      <c r="E115771"/>
      <c r="F115771"/>
    </row>
    <row r="115772" spans="1:6" x14ac:dyDescent="0.25">
      <c r="A115772"/>
      <c r="B115772"/>
      <c r="C115772"/>
      <c r="E115772"/>
      <c r="F115772"/>
    </row>
    <row r="115773" spans="1:6" x14ac:dyDescent="0.25">
      <c r="A115773"/>
      <c r="B115773"/>
      <c r="C115773"/>
      <c r="E115773"/>
      <c r="F115773"/>
    </row>
    <row r="115774" spans="1:6" x14ac:dyDescent="0.25">
      <c r="A115774"/>
      <c r="B115774"/>
      <c r="C115774"/>
      <c r="E115774"/>
      <c r="F115774"/>
    </row>
    <row r="115775" spans="1:6" x14ac:dyDescent="0.25">
      <c r="A115775"/>
      <c r="B115775"/>
      <c r="C115775"/>
      <c r="E115775"/>
      <c r="F115775"/>
    </row>
    <row r="115776" spans="1:6" x14ac:dyDescent="0.25">
      <c r="A115776"/>
      <c r="B115776"/>
      <c r="C115776"/>
      <c r="E115776"/>
      <c r="F115776"/>
    </row>
    <row r="115777" spans="1:6" x14ac:dyDescent="0.25">
      <c r="A115777"/>
      <c r="B115777"/>
      <c r="C115777"/>
      <c r="E115777"/>
      <c r="F115777"/>
    </row>
    <row r="115778" spans="1:6" x14ac:dyDescent="0.25">
      <c r="A115778"/>
      <c r="B115778"/>
      <c r="C115778"/>
      <c r="E115778"/>
      <c r="F115778"/>
    </row>
    <row r="115779" spans="1:6" x14ac:dyDescent="0.25">
      <c r="A115779"/>
      <c r="B115779"/>
      <c r="C115779"/>
      <c r="E115779"/>
      <c r="F115779"/>
    </row>
    <row r="115780" spans="1:6" x14ac:dyDescent="0.25">
      <c r="A115780"/>
      <c r="B115780"/>
      <c r="C115780"/>
      <c r="E115780"/>
      <c r="F115780"/>
    </row>
    <row r="115781" spans="1:6" x14ac:dyDescent="0.25">
      <c r="A115781"/>
      <c r="B115781"/>
      <c r="C115781"/>
      <c r="E115781"/>
      <c r="F115781"/>
    </row>
    <row r="115782" spans="1:6" x14ac:dyDescent="0.25">
      <c r="A115782"/>
      <c r="B115782"/>
      <c r="C115782"/>
      <c r="E115782"/>
      <c r="F115782"/>
    </row>
    <row r="115783" spans="1:6" x14ac:dyDescent="0.25">
      <c r="A115783"/>
      <c r="B115783"/>
      <c r="C115783"/>
      <c r="E115783"/>
      <c r="F115783"/>
    </row>
    <row r="115784" spans="1:6" x14ac:dyDescent="0.25">
      <c r="A115784"/>
      <c r="B115784"/>
      <c r="C115784"/>
      <c r="E115784"/>
      <c r="F115784"/>
    </row>
    <row r="115785" spans="1:6" x14ac:dyDescent="0.25">
      <c r="A115785"/>
      <c r="B115785"/>
      <c r="C115785"/>
      <c r="E115785"/>
      <c r="F115785"/>
    </row>
    <row r="115786" spans="1:6" x14ac:dyDescent="0.25">
      <c r="A115786"/>
      <c r="B115786"/>
      <c r="C115786"/>
      <c r="E115786"/>
      <c r="F115786"/>
    </row>
    <row r="115787" spans="1:6" x14ac:dyDescent="0.25">
      <c r="A115787"/>
      <c r="B115787"/>
      <c r="C115787"/>
      <c r="E115787"/>
      <c r="F115787"/>
    </row>
    <row r="115788" spans="1:6" x14ac:dyDescent="0.25">
      <c r="A115788"/>
      <c r="B115788"/>
      <c r="C115788"/>
      <c r="E115788"/>
      <c r="F115788"/>
    </row>
    <row r="115789" spans="1:6" x14ac:dyDescent="0.25">
      <c r="A115789"/>
      <c r="B115789"/>
      <c r="C115789"/>
      <c r="E115789"/>
      <c r="F115789"/>
    </row>
    <row r="115790" spans="1:6" x14ac:dyDescent="0.25">
      <c r="A115790"/>
      <c r="B115790"/>
      <c r="C115790"/>
      <c r="E115790"/>
      <c r="F115790"/>
    </row>
    <row r="115791" spans="1:6" x14ac:dyDescent="0.25">
      <c r="A115791"/>
      <c r="B115791"/>
      <c r="C115791"/>
      <c r="E115791"/>
      <c r="F115791"/>
    </row>
    <row r="115792" spans="1:6" x14ac:dyDescent="0.25">
      <c r="A115792"/>
      <c r="B115792"/>
      <c r="C115792"/>
      <c r="E115792"/>
      <c r="F115792"/>
    </row>
    <row r="115793" spans="1:6" x14ac:dyDescent="0.25">
      <c r="A115793"/>
      <c r="B115793"/>
      <c r="C115793"/>
      <c r="E115793"/>
      <c r="F115793"/>
    </row>
    <row r="115794" spans="1:6" x14ac:dyDescent="0.25">
      <c r="A115794"/>
      <c r="B115794"/>
      <c r="C115794"/>
      <c r="E115794"/>
      <c r="F115794"/>
    </row>
    <row r="115795" spans="1:6" x14ac:dyDescent="0.25">
      <c r="A115795"/>
      <c r="B115795"/>
      <c r="C115795"/>
      <c r="E115795"/>
      <c r="F115795"/>
    </row>
    <row r="115796" spans="1:6" x14ac:dyDescent="0.25">
      <c r="A115796"/>
      <c r="B115796"/>
      <c r="C115796"/>
      <c r="E115796"/>
      <c r="F115796"/>
    </row>
    <row r="115797" spans="1:6" x14ac:dyDescent="0.25">
      <c r="A115797"/>
      <c r="B115797"/>
      <c r="C115797"/>
      <c r="E115797"/>
      <c r="F115797"/>
    </row>
    <row r="115798" spans="1:6" x14ac:dyDescent="0.25">
      <c r="A115798"/>
      <c r="B115798"/>
      <c r="C115798"/>
      <c r="E115798"/>
      <c r="F115798"/>
    </row>
    <row r="115799" spans="1:6" x14ac:dyDescent="0.25">
      <c r="A115799"/>
      <c r="B115799"/>
      <c r="C115799"/>
      <c r="E115799"/>
      <c r="F115799"/>
    </row>
    <row r="115800" spans="1:6" x14ac:dyDescent="0.25">
      <c r="A115800"/>
      <c r="B115800"/>
      <c r="C115800"/>
      <c r="E115800"/>
      <c r="F115800"/>
    </row>
    <row r="115801" spans="1:6" x14ac:dyDescent="0.25">
      <c r="A115801"/>
      <c r="B115801"/>
      <c r="C115801"/>
      <c r="E115801"/>
      <c r="F115801"/>
    </row>
    <row r="115802" spans="1:6" x14ac:dyDescent="0.25">
      <c r="A115802"/>
      <c r="B115802"/>
      <c r="C115802"/>
      <c r="E115802"/>
      <c r="F115802"/>
    </row>
    <row r="115803" spans="1:6" x14ac:dyDescent="0.25">
      <c r="A115803"/>
      <c r="B115803"/>
      <c r="C115803"/>
      <c r="E115803"/>
      <c r="F115803"/>
    </row>
    <row r="115804" spans="1:6" x14ac:dyDescent="0.25">
      <c r="A115804"/>
      <c r="B115804"/>
      <c r="C115804"/>
      <c r="E115804"/>
      <c r="F115804"/>
    </row>
    <row r="115805" spans="1:6" x14ac:dyDescent="0.25">
      <c r="A115805"/>
      <c r="B115805"/>
      <c r="C115805"/>
      <c r="E115805"/>
      <c r="F115805"/>
    </row>
    <row r="115806" spans="1:6" x14ac:dyDescent="0.25">
      <c r="A115806"/>
      <c r="B115806"/>
      <c r="C115806"/>
      <c r="E115806"/>
      <c r="F115806"/>
    </row>
    <row r="115807" spans="1:6" x14ac:dyDescent="0.25">
      <c r="A115807"/>
      <c r="B115807"/>
      <c r="C115807"/>
      <c r="E115807"/>
      <c r="F115807"/>
    </row>
    <row r="115808" spans="1:6" x14ac:dyDescent="0.25">
      <c r="A115808"/>
      <c r="B115808"/>
      <c r="C115808"/>
      <c r="E115808"/>
      <c r="F115808"/>
    </row>
    <row r="115809" spans="1:6" x14ac:dyDescent="0.25">
      <c r="A115809"/>
      <c r="B115809"/>
      <c r="C115809"/>
      <c r="E115809"/>
      <c r="F115809"/>
    </row>
    <row r="115810" spans="1:6" x14ac:dyDescent="0.25">
      <c r="A115810"/>
      <c r="B115810"/>
      <c r="C115810"/>
      <c r="E115810"/>
      <c r="F115810"/>
    </row>
    <row r="115811" spans="1:6" x14ac:dyDescent="0.25">
      <c r="A115811"/>
      <c r="B115811"/>
      <c r="C115811"/>
      <c r="E115811"/>
      <c r="F115811"/>
    </row>
    <row r="115812" spans="1:6" x14ac:dyDescent="0.25">
      <c r="A115812"/>
      <c r="B115812"/>
      <c r="C115812"/>
      <c r="E115812"/>
      <c r="F115812"/>
    </row>
    <row r="115813" spans="1:6" x14ac:dyDescent="0.25">
      <c r="A115813"/>
      <c r="B115813"/>
      <c r="C115813"/>
      <c r="E115813"/>
      <c r="F115813"/>
    </row>
    <row r="115814" spans="1:6" x14ac:dyDescent="0.25">
      <c r="A115814"/>
      <c r="B115814"/>
      <c r="C115814"/>
      <c r="E115814"/>
      <c r="F115814"/>
    </row>
    <row r="115815" spans="1:6" x14ac:dyDescent="0.25">
      <c r="A115815"/>
      <c r="B115815"/>
      <c r="C115815"/>
      <c r="E115815"/>
      <c r="F115815"/>
    </row>
    <row r="115816" spans="1:6" x14ac:dyDescent="0.25">
      <c r="A115816"/>
      <c r="B115816"/>
      <c r="C115816"/>
      <c r="E115816"/>
      <c r="F115816"/>
    </row>
    <row r="115817" spans="1:6" x14ac:dyDescent="0.25">
      <c r="A115817"/>
      <c r="B115817"/>
      <c r="C115817"/>
      <c r="E115817"/>
      <c r="F115817"/>
    </row>
    <row r="115818" spans="1:6" x14ac:dyDescent="0.25">
      <c r="A115818"/>
      <c r="B115818"/>
      <c r="C115818"/>
      <c r="E115818"/>
      <c r="F115818"/>
    </row>
    <row r="115819" spans="1:6" x14ac:dyDescent="0.25">
      <c r="A115819"/>
      <c r="B115819"/>
      <c r="C115819"/>
      <c r="E115819"/>
      <c r="F115819"/>
    </row>
    <row r="115820" spans="1:6" x14ac:dyDescent="0.25">
      <c r="A115820"/>
      <c r="B115820"/>
      <c r="C115820"/>
      <c r="E115820"/>
      <c r="F115820"/>
    </row>
    <row r="115821" spans="1:6" x14ac:dyDescent="0.25">
      <c r="A115821"/>
      <c r="B115821"/>
      <c r="C115821"/>
      <c r="E115821"/>
      <c r="F115821"/>
    </row>
    <row r="115822" spans="1:6" x14ac:dyDescent="0.25">
      <c r="A115822"/>
      <c r="B115822"/>
      <c r="C115822"/>
      <c r="E115822"/>
      <c r="F115822"/>
    </row>
    <row r="115823" spans="1:6" x14ac:dyDescent="0.25">
      <c r="A115823"/>
      <c r="B115823"/>
      <c r="C115823"/>
      <c r="E115823"/>
      <c r="F115823"/>
    </row>
    <row r="115824" spans="1:6" x14ac:dyDescent="0.25">
      <c r="A115824"/>
      <c r="B115824"/>
      <c r="C115824"/>
      <c r="E115824"/>
      <c r="F115824"/>
    </row>
    <row r="115825" spans="1:6" x14ac:dyDescent="0.25">
      <c r="A115825"/>
      <c r="B115825"/>
      <c r="C115825"/>
      <c r="E115825"/>
      <c r="F115825"/>
    </row>
    <row r="115826" spans="1:6" x14ac:dyDescent="0.25">
      <c r="A115826"/>
      <c r="B115826"/>
      <c r="C115826"/>
      <c r="E115826"/>
      <c r="F115826"/>
    </row>
    <row r="115827" spans="1:6" x14ac:dyDescent="0.25">
      <c r="A115827"/>
      <c r="B115827"/>
      <c r="C115827"/>
      <c r="E115827"/>
      <c r="F115827"/>
    </row>
    <row r="115828" spans="1:6" x14ac:dyDescent="0.25">
      <c r="A115828"/>
      <c r="B115828"/>
      <c r="C115828"/>
      <c r="E115828"/>
      <c r="F115828"/>
    </row>
    <row r="115829" spans="1:6" x14ac:dyDescent="0.25">
      <c r="A115829"/>
      <c r="B115829"/>
      <c r="C115829"/>
      <c r="E115829"/>
      <c r="F115829"/>
    </row>
    <row r="115830" spans="1:6" x14ac:dyDescent="0.25">
      <c r="A115830"/>
      <c r="B115830"/>
      <c r="C115830"/>
      <c r="E115830"/>
      <c r="F115830"/>
    </row>
    <row r="115831" spans="1:6" x14ac:dyDescent="0.25">
      <c r="A115831"/>
      <c r="B115831"/>
      <c r="C115831"/>
      <c r="E115831"/>
      <c r="F115831"/>
    </row>
    <row r="115832" spans="1:6" x14ac:dyDescent="0.25">
      <c r="A115832"/>
      <c r="B115832"/>
      <c r="C115832"/>
      <c r="E115832"/>
      <c r="F115832"/>
    </row>
    <row r="115833" spans="1:6" x14ac:dyDescent="0.25">
      <c r="A115833"/>
      <c r="B115833"/>
      <c r="C115833"/>
      <c r="E115833"/>
      <c r="F115833"/>
    </row>
    <row r="115834" spans="1:6" x14ac:dyDescent="0.25">
      <c r="A115834"/>
      <c r="B115834"/>
      <c r="C115834"/>
      <c r="E115834"/>
      <c r="F115834"/>
    </row>
    <row r="115835" spans="1:6" x14ac:dyDescent="0.25">
      <c r="A115835"/>
      <c r="B115835"/>
      <c r="C115835"/>
      <c r="E115835"/>
      <c r="F115835"/>
    </row>
    <row r="115836" spans="1:6" x14ac:dyDescent="0.25">
      <c r="A115836"/>
      <c r="B115836"/>
      <c r="C115836"/>
      <c r="E115836"/>
      <c r="F115836"/>
    </row>
    <row r="115837" spans="1:6" x14ac:dyDescent="0.25">
      <c r="A115837"/>
      <c r="B115837"/>
      <c r="C115837"/>
      <c r="E115837"/>
      <c r="F115837"/>
    </row>
    <row r="115838" spans="1:6" x14ac:dyDescent="0.25">
      <c r="A115838"/>
      <c r="B115838"/>
      <c r="C115838"/>
      <c r="E115838"/>
      <c r="F115838"/>
    </row>
    <row r="115839" spans="1:6" x14ac:dyDescent="0.25">
      <c r="A115839"/>
      <c r="B115839"/>
      <c r="C115839"/>
      <c r="E115839"/>
      <c r="F115839"/>
    </row>
    <row r="115840" spans="1:6" x14ac:dyDescent="0.25">
      <c r="A115840"/>
      <c r="B115840"/>
      <c r="C115840"/>
      <c r="E115840"/>
      <c r="F115840"/>
    </row>
    <row r="115841" spans="1:6" x14ac:dyDescent="0.25">
      <c r="A115841"/>
      <c r="B115841"/>
      <c r="C115841"/>
      <c r="E115841"/>
      <c r="F115841"/>
    </row>
    <row r="115842" spans="1:6" x14ac:dyDescent="0.25">
      <c r="A115842"/>
      <c r="B115842"/>
      <c r="C115842"/>
      <c r="E115842"/>
      <c r="F115842"/>
    </row>
    <row r="115843" spans="1:6" x14ac:dyDescent="0.25">
      <c r="A115843"/>
      <c r="B115843"/>
      <c r="C115843"/>
      <c r="E115843"/>
      <c r="F115843"/>
    </row>
    <row r="115844" spans="1:6" x14ac:dyDescent="0.25">
      <c r="A115844"/>
      <c r="B115844"/>
      <c r="C115844"/>
      <c r="E115844"/>
      <c r="F115844"/>
    </row>
    <row r="115845" spans="1:6" x14ac:dyDescent="0.25">
      <c r="A115845"/>
      <c r="B115845"/>
      <c r="C115845"/>
      <c r="E115845"/>
      <c r="F115845"/>
    </row>
    <row r="115846" spans="1:6" x14ac:dyDescent="0.25">
      <c r="A115846"/>
      <c r="B115846"/>
      <c r="C115846"/>
      <c r="E115846"/>
      <c r="F115846"/>
    </row>
    <row r="115847" spans="1:6" x14ac:dyDescent="0.25">
      <c r="A115847"/>
      <c r="B115847"/>
      <c r="C115847"/>
      <c r="E115847"/>
      <c r="F115847"/>
    </row>
    <row r="115848" spans="1:6" x14ac:dyDescent="0.25">
      <c r="A115848"/>
      <c r="B115848"/>
      <c r="C115848"/>
      <c r="E115848"/>
      <c r="F115848"/>
    </row>
    <row r="115849" spans="1:6" x14ac:dyDescent="0.25">
      <c r="A115849"/>
      <c r="B115849"/>
      <c r="C115849"/>
      <c r="E115849"/>
      <c r="F115849"/>
    </row>
    <row r="115850" spans="1:6" x14ac:dyDescent="0.25">
      <c r="A115850"/>
      <c r="B115850"/>
      <c r="C115850"/>
      <c r="E115850"/>
      <c r="F115850"/>
    </row>
    <row r="115851" spans="1:6" x14ac:dyDescent="0.25">
      <c r="A115851"/>
      <c r="B115851"/>
      <c r="C115851"/>
      <c r="E115851"/>
      <c r="F115851"/>
    </row>
    <row r="115852" spans="1:6" x14ac:dyDescent="0.25">
      <c r="A115852"/>
      <c r="B115852"/>
      <c r="C115852"/>
      <c r="E115852"/>
      <c r="F115852"/>
    </row>
    <row r="115853" spans="1:6" x14ac:dyDescent="0.25">
      <c r="A115853"/>
      <c r="B115853"/>
      <c r="C115853"/>
      <c r="E115853"/>
      <c r="F115853"/>
    </row>
    <row r="115854" spans="1:6" x14ac:dyDescent="0.25">
      <c r="A115854"/>
      <c r="B115854"/>
      <c r="C115854"/>
      <c r="E115854"/>
      <c r="F115854"/>
    </row>
    <row r="115855" spans="1:6" x14ac:dyDescent="0.25">
      <c r="A115855"/>
      <c r="B115855"/>
      <c r="C115855"/>
      <c r="E115855"/>
      <c r="F115855"/>
    </row>
    <row r="115856" spans="1:6" x14ac:dyDescent="0.25">
      <c r="A115856"/>
      <c r="B115856"/>
      <c r="C115856"/>
      <c r="E115856"/>
      <c r="F115856"/>
    </row>
    <row r="115857" spans="1:6" x14ac:dyDescent="0.25">
      <c r="A115857"/>
      <c r="B115857"/>
      <c r="C115857"/>
      <c r="E115857"/>
      <c r="F115857"/>
    </row>
    <row r="115858" spans="1:6" x14ac:dyDescent="0.25">
      <c r="A115858"/>
      <c r="B115858"/>
      <c r="C115858"/>
      <c r="E115858"/>
      <c r="F115858"/>
    </row>
    <row r="115859" spans="1:6" x14ac:dyDescent="0.25">
      <c r="A115859"/>
      <c r="B115859"/>
      <c r="C115859"/>
      <c r="E115859"/>
      <c r="F115859"/>
    </row>
    <row r="115860" spans="1:6" x14ac:dyDescent="0.25">
      <c r="A115860"/>
      <c r="B115860"/>
      <c r="C115860"/>
      <c r="E115860"/>
      <c r="F115860"/>
    </row>
    <row r="115861" spans="1:6" x14ac:dyDescent="0.25">
      <c r="A115861"/>
      <c r="B115861"/>
      <c r="C115861"/>
      <c r="E115861"/>
      <c r="F115861"/>
    </row>
    <row r="115862" spans="1:6" x14ac:dyDescent="0.25">
      <c r="A115862"/>
      <c r="B115862"/>
      <c r="C115862"/>
      <c r="E115862"/>
      <c r="F115862"/>
    </row>
    <row r="115863" spans="1:6" x14ac:dyDescent="0.25">
      <c r="A115863"/>
      <c r="B115863"/>
      <c r="C115863"/>
      <c r="E115863"/>
      <c r="F115863"/>
    </row>
    <row r="115864" spans="1:6" x14ac:dyDescent="0.25">
      <c r="A115864"/>
      <c r="B115864"/>
      <c r="C115864"/>
      <c r="E115864"/>
      <c r="F115864"/>
    </row>
    <row r="115865" spans="1:6" x14ac:dyDescent="0.25">
      <c r="A115865"/>
      <c r="B115865"/>
      <c r="C115865"/>
      <c r="E115865"/>
      <c r="F115865"/>
    </row>
    <row r="115866" spans="1:6" x14ac:dyDescent="0.25">
      <c r="A115866"/>
      <c r="B115866"/>
      <c r="C115866"/>
      <c r="E115866"/>
      <c r="F115866"/>
    </row>
    <row r="115867" spans="1:6" x14ac:dyDescent="0.25">
      <c r="A115867"/>
      <c r="B115867"/>
      <c r="C115867"/>
      <c r="E115867"/>
      <c r="F115867"/>
    </row>
    <row r="115868" spans="1:6" x14ac:dyDescent="0.25">
      <c r="A115868"/>
      <c r="B115868"/>
      <c r="C115868"/>
      <c r="E115868"/>
      <c r="F115868"/>
    </row>
    <row r="115869" spans="1:6" x14ac:dyDescent="0.25">
      <c r="A115869"/>
      <c r="B115869"/>
      <c r="C115869"/>
      <c r="E115869"/>
      <c r="F115869"/>
    </row>
    <row r="115870" spans="1:6" x14ac:dyDescent="0.25">
      <c r="A115870"/>
      <c r="B115870"/>
      <c r="C115870"/>
      <c r="E115870"/>
      <c r="F115870"/>
    </row>
    <row r="115871" spans="1:6" x14ac:dyDescent="0.25">
      <c r="A115871"/>
      <c r="B115871"/>
      <c r="C115871"/>
      <c r="E115871"/>
      <c r="F115871"/>
    </row>
    <row r="115872" spans="1:6" x14ac:dyDescent="0.25">
      <c r="A115872"/>
      <c r="B115872"/>
      <c r="C115872"/>
      <c r="E115872"/>
      <c r="F115872"/>
    </row>
    <row r="115873" spans="1:6" x14ac:dyDescent="0.25">
      <c r="A115873"/>
      <c r="B115873"/>
      <c r="C115873"/>
      <c r="E115873"/>
      <c r="F115873"/>
    </row>
    <row r="115874" spans="1:6" x14ac:dyDescent="0.25">
      <c r="A115874"/>
      <c r="B115874"/>
      <c r="C115874"/>
      <c r="E115874"/>
      <c r="F115874"/>
    </row>
    <row r="115875" spans="1:6" x14ac:dyDescent="0.25">
      <c r="A115875"/>
      <c r="B115875"/>
      <c r="C115875"/>
      <c r="E115875"/>
      <c r="F115875"/>
    </row>
    <row r="115876" spans="1:6" x14ac:dyDescent="0.25">
      <c r="A115876"/>
      <c r="B115876"/>
      <c r="C115876"/>
      <c r="E115876"/>
      <c r="F115876"/>
    </row>
    <row r="115877" spans="1:6" x14ac:dyDescent="0.25">
      <c r="A115877"/>
      <c r="B115877"/>
      <c r="C115877"/>
      <c r="E115877"/>
      <c r="F115877"/>
    </row>
    <row r="115878" spans="1:6" x14ac:dyDescent="0.25">
      <c r="A115878"/>
      <c r="B115878"/>
      <c r="C115878"/>
      <c r="E115878"/>
      <c r="F115878"/>
    </row>
    <row r="115879" spans="1:6" x14ac:dyDescent="0.25">
      <c r="A115879"/>
      <c r="B115879"/>
      <c r="C115879"/>
      <c r="E115879"/>
      <c r="F115879"/>
    </row>
    <row r="115880" spans="1:6" x14ac:dyDescent="0.25">
      <c r="A115880"/>
      <c r="B115880"/>
      <c r="C115880"/>
      <c r="E115880"/>
      <c r="F115880"/>
    </row>
    <row r="115881" spans="1:6" x14ac:dyDescent="0.25">
      <c r="A115881"/>
      <c r="B115881"/>
      <c r="C115881"/>
      <c r="E115881"/>
      <c r="F115881"/>
    </row>
    <row r="115882" spans="1:6" x14ac:dyDescent="0.25">
      <c r="A115882"/>
      <c r="B115882"/>
      <c r="C115882"/>
      <c r="E115882"/>
      <c r="F115882"/>
    </row>
    <row r="115883" spans="1:6" x14ac:dyDescent="0.25">
      <c r="A115883"/>
      <c r="B115883"/>
      <c r="C115883"/>
      <c r="E115883"/>
      <c r="F115883"/>
    </row>
    <row r="115884" spans="1:6" x14ac:dyDescent="0.25">
      <c r="A115884"/>
      <c r="B115884"/>
      <c r="C115884"/>
      <c r="E115884"/>
      <c r="F115884"/>
    </row>
    <row r="115885" spans="1:6" x14ac:dyDescent="0.25">
      <c r="A115885"/>
      <c r="B115885"/>
      <c r="C115885"/>
      <c r="E115885"/>
      <c r="F115885"/>
    </row>
    <row r="115886" spans="1:6" x14ac:dyDescent="0.25">
      <c r="A115886"/>
      <c r="B115886"/>
      <c r="C115886"/>
      <c r="E115886"/>
      <c r="F115886"/>
    </row>
    <row r="115887" spans="1:6" x14ac:dyDescent="0.25">
      <c r="A115887"/>
      <c r="B115887"/>
      <c r="C115887"/>
      <c r="E115887"/>
      <c r="F115887"/>
    </row>
    <row r="115888" spans="1:6" x14ac:dyDescent="0.25">
      <c r="A115888"/>
      <c r="B115888"/>
      <c r="C115888"/>
      <c r="E115888"/>
      <c r="F115888"/>
    </row>
    <row r="115889" spans="1:6" x14ac:dyDescent="0.25">
      <c r="A115889"/>
      <c r="B115889"/>
      <c r="C115889"/>
      <c r="E115889"/>
      <c r="F115889"/>
    </row>
    <row r="115890" spans="1:6" x14ac:dyDescent="0.25">
      <c r="A115890"/>
      <c r="B115890"/>
      <c r="C115890"/>
      <c r="E115890"/>
      <c r="F115890"/>
    </row>
    <row r="115891" spans="1:6" x14ac:dyDescent="0.25">
      <c r="A115891"/>
      <c r="B115891"/>
      <c r="C115891"/>
      <c r="E115891"/>
      <c r="F115891"/>
    </row>
    <row r="115892" spans="1:6" x14ac:dyDescent="0.25">
      <c r="A115892"/>
      <c r="B115892"/>
      <c r="C115892"/>
      <c r="E115892"/>
      <c r="F115892"/>
    </row>
    <row r="115893" spans="1:6" x14ac:dyDescent="0.25">
      <c r="A115893"/>
      <c r="B115893"/>
      <c r="C115893"/>
      <c r="E115893"/>
      <c r="F115893"/>
    </row>
    <row r="115894" spans="1:6" x14ac:dyDescent="0.25">
      <c r="A115894"/>
      <c r="B115894"/>
      <c r="C115894"/>
      <c r="E115894"/>
      <c r="F115894"/>
    </row>
    <row r="115895" spans="1:6" x14ac:dyDescent="0.25">
      <c r="A115895"/>
      <c r="B115895"/>
      <c r="C115895"/>
      <c r="E115895"/>
      <c r="F115895"/>
    </row>
    <row r="115896" spans="1:6" x14ac:dyDescent="0.25">
      <c r="A115896"/>
      <c r="B115896"/>
      <c r="C115896"/>
      <c r="E115896"/>
      <c r="F115896"/>
    </row>
    <row r="115897" spans="1:6" x14ac:dyDescent="0.25">
      <c r="A115897"/>
      <c r="B115897"/>
      <c r="C115897"/>
      <c r="E115897"/>
      <c r="F115897"/>
    </row>
    <row r="115898" spans="1:6" x14ac:dyDescent="0.25">
      <c r="A115898"/>
      <c r="B115898"/>
      <c r="C115898"/>
      <c r="E115898"/>
      <c r="F115898"/>
    </row>
    <row r="115899" spans="1:6" x14ac:dyDescent="0.25">
      <c r="A115899"/>
      <c r="B115899"/>
      <c r="C115899"/>
      <c r="E115899"/>
      <c r="F115899"/>
    </row>
    <row r="115900" spans="1:6" x14ac:dyDescent="0.25">
      <c r="A115900"/>
      <c r="B115900"/>
      <c r="C115900"/>
      <c r="E115900"/>
      <c r="F115900"/>
    </row>
    <row r="115901" spans="1:6" x14ac:dyDescent="0.25">
      <c r="A115901"/>
      <c r="B115901"/>
      <c r="C115901"/>
      <c r="E115901"/>
      <c r="F115901"/>
    </row>
    <row r="115902" spans="1:6" x14ac:dyDescent="0.25">
      <c r="A115902"/>
      <c r="B115902"/>
      <c r="C115902"/>
      <c r="E115902"/>
      <c r="F115902"/>
    </row>
    <row r="115903" spans="1:6" x14ac:dyDescent="0.25">
      <c r="A115903"/>
      <c r="B115903"/>
      <c r="C115903"/>
      <c r="E115903"/>
      <c r="F115903"/>
    </row>
    <row r="115904" spans="1:6" x14ac:dyDescent="0.25">
      <c r="A115904"/>
      <c r="B115904"/>
      <c r="C115904"/>
      <c r="E115904"/>
      <c r="F115904"/>
    </row>
    <row r="115905" spans="1:6" x14ac:dyDescent="0.25">
      <c r="A115905"/>
      <c r="B115905"/>
      <c r="C115905"/>
      <c r="E115905"/>
      <c r="F115905"/>
    </row>
    <row r="115906" spans="1:6" x14ac:dyDescent="0.25">
      <c r="A115906"/>
      <c r="B115906"/>
      <c r="C115906"/>
      <c r="E115906"/>
      <c r="F115906"/>
    </row>
    <row r="115907" spans="1:6" x14ac:dyDescent="0.25">
      <c r="A115907"/>
      <c r="B115907"/>
      <c r="C115907"/>
      <c r="E115907"/>
      <c r="F115907"/>
    </row>
    <row r="115908" spans="1:6" x14ac:dyDescent="0.25">
      <c r="A115908"/>
      <c r="B115908"/>
      <c r="C115908"/>
      <c r="E115908"/>
      <c r="F115908"/>
    </row>
    <row r="115909" spans="1:6" x14ac:dyDescent="0.25">
      <c r="A115909"/>
      <c r="B115909"/>
      <c r="C115909"/>
      <c r="E115909"/>
      <c r="F115909"/>
    </row>
    <row r="115910" spans="1:6" x14ac:dyDescent="0.25">
      <c r="A115910"/>
      <c r="B115910"/>
      <c r="C115910"/>
      <c r="E115910"/>
      <c r="F115910"/>
    </row>
    <row r="115911" spans="1:6" x14ac:dyDescent="0.25">
      <c r="A115911"/>
      <c r="B115911"/>
      <c r="C115911"/>
      <c r="E115911"/>
      <c r="F115911"/>
    </row>
    <row r="115912" spans="1:6" x14ac:dyDescent="0.25">
      <c r="A115912"/>
      <c r="B115912"/>
      <c r="C115912"/>
      <c r="E115912"/>
      <c r="F115912"/>
    </row>
    <row r="115913" spans="1:6" x14ac:dyDescent="0.25">
      <c r="A115913"/>
      <c r="B115913"/>
      <c r="C115913"/>
      <c r="E115913"/>
      <c r="F115913"/>
    </row>
    <row r="115914" spans="1:6" x14ac:dyDescent="0.25">
      <c r="A115914"/>
      <c r="B115914"/>
      <c r="C115914"/>
      <c r="E115914"/>
      <c r="F115914"/>
    </row>
    <row r="115915" spans="1:6" x14ac:dyDescent="0.25">
      <c r="A115915"/>
      <c r="B115915"/>
      <c r="C115915"/>
      <c r="E115915"/>
      <c r="F115915"/>
    </row>
    <row r="115916" spans="1:6" x14ac:dyDescent="0.25">
      <c r="A115916"/>
      <c r="B115916"/>
      <c r="C115916"/>
      <c r="E115916"/>
      <c r="F115916"/>
    </row>
    <row r="115917" spans="1:6" x14ac:dyDescent="0.25">
      <c r="A115917"/>
      <c r="B115917"/>
      <c r="C115917"/>
      <c r="E115917"/>
      <c r="F115917"/>
    </row>
    <row r="115918" spans="1:6" x14ac:dyDescent="0.25">
      <c r="A115918"/>
      <c r="B115918"/>
      <c r="C115918"/>
      <c r="E115918"/>
      <c r="F115918"/>
    </row>
    <row r="115919" spans="1:6" x14ac:dyDescent="0.25">
      <c r="A115919"/>
      <c r="B115919"/>
      <c r="C115919"/>
      <c r="E115919"/>
      <c r="F115919"/>
    </row>
    <row r="115920" spans="1:6" x14ac:dyDescent="0.25">
      <c r="A115920"/>
      <c r="B115920"/>
      <c r="C115920"/>
      <c r="E115920"/>
      <c r="F115920"/>
    </row>
    <row r="115921" spans="1:6" x14ac:dyDescent="0.25">
      <c r="A115921"/>
      <c r="B115921"/>
      <c r="C115921"/>
      <c r="E115921"/>
      <c r="F115921"/>
    </row>
    <row r="115922" spans="1:6" x14ac:dyDescent="0.25">
      <c r="A115922"/>
      <c r="B115922"/>
      <c r="C115922"/>
      <c r="E115922"/>
      <c r="F115922"/>
    </row>
    <row r="115923" spans="1:6" x14ac:dyDescent="0.25">
      <c r="A115923"/>
      <c r="B115923"/>
      <c r="C115923"/>
      <c r="E115923"/>
      <c r="F115923"/>
    </row>
    <row r="115924" spans="1:6" x14ac:dyDescent="0.25">
      <c r="A115924"/>
      <c r="B115924"/>
      <c r="C115924"/>
      <c r="E115924"/>
      <c r="F115924"/>
    </row>
    <row r="115925" spans="1:6" x14ac:dyDescent="0.25">
      <c r="A115925"/>
      <c r="B115925"/>
      <c r="C115925"/>
      <c r="E115925"/>
      <c r="F115925"/>
    </row>
    <row r="115926" spans="1:6" x14ac:dyDescent="0.25">
      <c r="A115926"/>
      <c r="B115926"/>
      <c r="C115926"/>
      <c r="E115926"/>
      <c r="F115926"/>
    </row>
    <row r="115927" spans="1:6" x14ac:dyDescent="0.25">
      <c r="A115927"/>
      <c r="B115927"/>
      <c r="C115927"/>
      <c r="E115927"/>
      <c r="F115927"/>
    </row>
    <row r="115928" spans="1:6" x14ac:dyDescent="0.25">
      <c r="A115928"/>
      <c r="B115928"/>
      <c r="C115928"/>
      <c r="E115928"/>
      <c r="F115928"/>
    </row>
    <row r="115929" spans="1:6" x14ac:dyDescent="0.25">
      <c r="A115929"/>
      <c r="B115929"/>
      <c r="C115929"/>
      <c r="E115929"/>
      <c r="F115929"/>
    </row>
    <row r="115930" spans="1:6" x14ac:dyDescent="0.25">
      <c r="A115930"/>
      <c r="B115930"/>
      <c r="C115930"/>
      <c r="E115930"/>
      <c r="F115930"/>
    </row>
    <row r="115931" spans="1:6" x14ac:dyDescent="0.25">
      <c r="A115931"/>
      <c r="B115931"/>
      <c r="C115931"/>
      <c r="E115931"/>
      <c r="F115931"/>
    </row>
    <row r="115932" spans="1:6" x14ac:dyDescent="0.25">
      <c r="A115932"/>
      <c r="B115932"/>
      <c r="C115932"/>
      <c r="E115932"/>
      <c r="F115932"/>
    </row>
    <row r="115933" spans="1:6" x14ac:dyDescent="0.25">
      <c r="A115933"/>
      <c r="B115933"/>
      <c r="C115933"/>
      <c r="E115933"/>
      <c r="F115933"/>
    </row>
    <row r="115934" spans="1:6" x14ac:dyDescent="0.25">
      <c r="A115934"/>
      <c r="B115934"/>
      <c r="C115934"/>
      <c r="E115934"/>
      <c r="F115934"/>
    </row>
    <row r="115935" spans="1:6" x14ac:dyDescent="0.25">
      <c r="A115935"/>
      <c r="B115935"/>
      <c r="C115935"/>
      <c r="E115935"/>
      <c r="F115935"/>
    </row>
    <row r="115936" spans="1:6" x14ac:dyDescent="0.25">
      <c r="A115936"/>
      <c r="B115936"/>
      <c r="C115936"/>
      <c r="E115936"/>
      <c r="F115936"/>
    </row>
    <row r="115937" spans="1:6" x14ac:dyDescent="0.25">
      <c r="A115937"/>
      <c r="B115937"/>
      <c r="C115937"/>
      <c r="E115937"/>
      <c r="F115937"/>
    </row>
    <row r="115938" spans="1:6" x14ac:dyDescent="0.25">
      <c r="A115938"/>
      <c r="B115938"/>
      <c r="C115938"/>
      <c r="E115938"/>
      <c r="F115938"/>
    </row>
    <row r="115939" spans="1:6" x14ac:dyDescent="0.25">
      <c r="A115939"/>
      <c r="B115939"/>
      <c r="C115939"/>
      <c r="E115939"/>
      <c r="F115939"/>
    </row>
    <row r="115940" spans="1:6" x14ac:dyDescent="0.25">
      <c r="A115940"/>
      <c r="B115940"/>
      <c r="C115940"/>
      <c r="E115940"/>
      <c r="F115940"/>
    </row>
    <row r="115941" spans="1:6" x14ac:dyDescent="0.25">
      <c r="A115941"/>
      <c r="B115941"/>
      <c r="C115941"/>
      <c r="E115941"/>
      <c r="F115941"/>
    </row>
    <row r="115942" spans="1:6" x14ac:dyDescent="0.25">
      <c r="A115942"/>
      <c r="B115942"/>
      <c r="C115942"/>
      <c r="E115942"/>
      <c r="F115942"/>
    </row>
    <row r="115943" spans="1:6" x14ac:dyDescent="0.25">
      <c r="A115943"/>
      <c r="B115943"/>
      <c r="C115943"/>
      <c r="E115943"/>
      <c r="F115943"/>
    </row>
    <row r="115944" spans="1:6" x14ac:dyDescent="0.25">
      <c r="A115944"/>
      <c r="B115944"/>
      <c r="C115944"/>
      <c r="E115944"/>
      <c r="F115944"/>
    </row>
    <row r="115945" spans="1:6" x14ac:dyDescent="0.25">
      <c r="A115945"/>
      <c r="B115945"/>
      <c r="C115945"/>
      <c r="E115945"/>
      <c r="F115945"/>
    </row>
    <row r="115946" spans="1:6" x14ac:dyDescent="0.25">
      <c r="A115946"/>
      <c r="B115946"/>
      <c r="C115946"/>
      <c r="E115946"/>
      <c r="F115946"/>
    </row>
    <row r="115947" spans="1:6" x14ac:dyDescent="0.25">
      <c r="A115947"/>
      <c r="B115947"/>
      <c r="C115947"/>
      <c r="E115947"/>
      <c r="F115947"/>
    </row>
    <row r="115948" spans="1:6" x14ac:dyDescent="0.25">
      <c r="A115948"/>
      <c r="B115948"/>
      <c r="C115948"/>
      <c r="E115948"/>
      <c r="F115948"/>
    </row>
    <row r="115949" spans="1:6" x14ac:dyDescent="0.25">
      <c r="A115949"/>
      <c r="B115949"/>
      <c r="C115949"/>
      <c r="E115949"/>
      <c r="F115949"/>
    </row>
    <row r="115950" spans="1:6" x14ac:dyDescent="0.25">
      <c r="A115950"/>
      <c r="B115950"/>
      <c r="C115950"/>
      <c r="E115950"/>
      <c r="F115950"/>
    </row>
    <row r="115951" spans="1:6" x14ac:dyDescent="0.25">
      <c r="A115951"/>
      <c r="B115951"/>
      <c r="C115951"/>
      <c r="E115951"/>
      <c r="F115951"/>
    </row>
    <row r="115952" spans="1:6" x14ac:dyDescent="0.25">
      <c r="A115952"/>
      <c r="B115952"/>
      <c r="C115952"/>
      <c r="E115952"/>
      <c r="F115952"/>
    </row>
    <row r="115953" spans="1:6" x14ac:dyDescent="0.25">
      <c r="A115953"/>
      <c r="B115953"/>
      <c r="C115953"/>
      <c r="E115953"/>
      <c r="F115953"/>
    </row>
    <row r="115954" spans="1:6" x14ac:dyDescent="0.25">
      <c r="A115954"/>
      <c r="B115954"/>
      <c r="C115954"/>
      <c r="E115954"/>
      <c r="F115954"/>
    </row>
    <row r="115955" spans="1:6" x14ac:dyDescent="0.25">
      <c r="A115955"/>
      <c r="B115955"/>
      <c r="C115955"/>
      <c r="E115955"/>
      <c r="F115955"/>
    </row>
    <row r="115956" spans="1:6" x14ac:dyDescent="0.25">
      <c r="A115956"/>
      <c r="B115956"/>
      <c r="C115956"/>
      <c r="E115956"/>
      <c r="F115956"/>
    </row>
    <row r="115957" spans="1:6" x14ac:dyDescent="0.25">
      <c r="A115957"/>
      <c r="B115957"/>
      <c r="C115957"/>
      <c r="E115957"/>
      <c r="F115957"/>
    </row>
    <row r="115958" spans="1:6" x14ac:dyDescent="0.25">
      <c r="A115958"/>
      <c r="B115958"/>
      <c r="C115958"/>
      <c r="E115958"/>
      <c r="F115958"/>
    </row>
    <row r="115959" spans="1:6" x14ac:dyDescent="0.25">
      <c r="A115959"/>
      <c r="B115959"/>
      <c r="C115959"/>
      <c r="E115959"/>
      <c r="F115959"/>
    </row>
    <row r="115960" spans="1:6" x14ac:dyDescent="0.25">
      <c r="A115960"/>
      <c r="B115960"/>
      <c r="C115960"/>
      <c r="E115960"/>
      <c r="F115960"/>
    </row>
    <row r="115961" spans="1:6" x14ac:dyDescent="0.25">
      <c r="A115961"/>
      <c r="B115961"/>
      <c r="C115961"/>
      <c r="E115961"/>
      <c r="F115961"/>
    </row>
    <row r="115962" spans="1:6" x14ac:dyDescent="0.25">
      <c r="A115962"/>
      <c r="B115962"/>
      <c r="C115962"/>
      <c r="E115962"/>
      <c r="F115962"/>
    </row>
    <row r="115963" spans="1:6" x14ac:dyDescent="0.25">
      <c r="A115963"/>
      <c r="B115963"/>
      <c r="C115963"/>
      <c r="E115963"/>
      <c r="F115963"/>
    </row>
    <row r="115964" spans="1:6" x14ac:dyDescent="0.25">
      <c r="A115964"/>
      <c r="B115964"/>
      <c r="C115964"/>
      <c r="E115964"/>
      <c r="F115964"/>
    </row>
    <row r="115965" spans="1:6" x14ac:dyDescent="0.25">
      <c r="A115965"/>
      <c r="B115965"/>
      <c r="C115965"/>
      <c r="E115965"/>
      <c r="F115965"/>
    </row>
    <row r="115966" spans="1:6" x14ac:dyDescent="0.25">
      <c r="A115966"/>
      <c r="B115966"/>
      <c r="C115966"/>
      <c r="E115966"/>
      <c r="F115966"/>
    </row>
    <row r="115967" spans="1:6" x14ac:dyDescent="0.25">
      <c r="A115967"/>
      <c r="B115967"/>
      <c r="C115967"/>
      <c r="E115967"/>
      <c r="F115967"/>
    </row>
    <row r="115968" spans="1:6" x14ac:dyDescent="0.25">
      <c r="A115968"/>
      <c r="B115968"/>
      <c r="C115968"/>
      <c r="E115968"/>
      <c r="F115968"/>
    </row>
    <row r="115969" spans="1:6" x14ac:dyDescent="0.25">
      <c r="A115969"/>
      <c r="B115969"/>
      <c r="C115969"/>
      <c r="E115969"/>
      <c r="F115969"/>
    </row>
    <row r="115970" spans="1:6" x14ac:dyDescent="0.25">
      <c r="A115970"/>
      <c r="B115970"/>
      <c r="C115970"/>
      <c r="E115970"/>
      <c r="F115970"/>
    </row>
    <row r="115971" spans="1:6" x14ac:dyDescent="0.25">
      <c r="A115971"/>
      <c r="B115971"/>
      <c r="C115971"/>
      <c r="E115971"/>
      <c r="F115971"/>
    </row>
    <row r="115972" spans="1:6" x14ac:dyDescent="0.25">
      <c r="A115972"/>
      <c r="B115972"/>
      <c r="C115972"/>
      <c r="E115972"/>
      <c r="F115972"/>
    </row>
    <row r="115973" spans="1:6" x14ac:dyDescent="0.25">
      <c r="A115973"/>
      <c r="B115973"/>
      <c r="C115973"/>
      <c r="E115973"/>
      <c r="F115973"/>
    </row>
    <row r="115974" spans="1:6" x14ac:dyDescent="0.25">
      <c r="A115974"/>
      <c r="B115974"/>
      <c r="C115974"/>
      <c r="E115974"/>
      <c r="F115974"/>
    </row>
    <row r="115975" spans="1:6" x14ac:dyDescent="0.25">
      <c r="A115975"/>
      <c r="B115975"/>
      <c r="C115975"/>
      <c r="E115975"/>
      <c r="F115975"/>
    </row>
    <row r="115976" spans="1:6" x14ac:dyDescent="0.25">
      <c r="A115976"/>
      <c r="B115976"/>
      <c r="C115976"/>
      <c r="E115976"/>
      <c r="F115976"/>
    </row>
    <row r="115977" spans="1:6" x14ac:dyDescent="0.25">
      <c r="A115977"/>
      <c r="B115977"/>
      <c r="C115977"/>
      <c r="E115977"/>
      <c r="F115977"/>
    </row>
    <row r="115978" spans="1:6" x14ac:dyDescent="0.25">
      <c r="A115978"/>
      <c r="B115978"/>
      <c r="C115978"/>
      <c r="E115978"/>
      <c r="F115978"/>
    </row>
    <row r="115979" spans="1:6" x14ac:dyDescent="0.25">
      <c r="A115979"/>
      <c r="B115979"/>
      <c r="C115979"/>
      <c r="E115979"/>
      <c r="F115979"/>
    </row>
    <row r="115980" spans="1:6" x14ac:dyDescent="0.25">
      <c r="A115980"/>
      <c r="B115980"/>
      <c r="C115980"/>
      <c r="E115980"/>
      <c r="F115980"/>
    </row>
    <row r="115981" spans="1:6" x14ac:dyDescent="0.25">
      <c r="A115981"/>
      <c r="B115981"/>
      <c r="C115981"/>
      <c r="E115981"/>
      <c r="F115981"/>
    </row>
    <row r="115982" spans="1:6" x14ac:dyDescent="0.25">
      <c r="A115982"/>
      <c r="B115982"/>
      <c r="C115982"/>
      <c r="E115982"/>
      <c r="F115982"/>
    </row>
    <row r="115983" spans="1:6" x14ac:dyDescent="0.25">
      <c r="A115983"/>
      <c r="B115983"/>
      <c r="C115983"/>
      <c r="E115983"/>
      <c r="F115983"/>
    </row>
    <row r="115984" spans="1:6" x14ac:dyDescent="0.25">
      <c r="A115984"/>
      <c r="B115984"/>
      <c r="C115984"/>
      <c r="E115984"/>
      <c r="F115984"/>
    </row>
    <row r="115985" spans="1:6" x14ac:dyDescent="0.25">
      <c r="A115985"/>
      <c r="B115985"/>
      <c r="C115985"/>
      <c r="E115985"/>
      <c r="F115985"/>
    </row>
    <row r="115986" spans="1:6" x14ac:dyDescent="0.25">
      <c r="A115986"/>
      <c r="B115986"/>
      <c r="C115986"/>
      <c r="E115986"/>
      <c r="F115986"/>
    </row>
    <row r="115987" spans="1:6" x14ac:dyDescent="0.25">
      <c r="A115987"/>
      <c r="B115987"/>
      <c r="C115987"/>
      <c r="E115987"/>
      <c r="F115987"/>
    </row>
    <row r="115988" spans="1:6" x14ac:dyDescent="0.25">
      <c r="A115988"/>
      <c r="B115988"/>
      <c r="C115988"/>
      <c r="E115988"/>
      <c r="F115988"/>
    </row>
    <row r="115989" spans="1:6" x14ac:dyDescent="0.25">
      <c r="A115989"/>
      <c r="B115989"/>
      <c r="C115989"/>
      <c r="E115989"/>
      <c r="F115989"/>
    </row>
    <row r="115990" spans="1:6" x14ac:dyDescent="0.25">
      <c r="A115990"/>
      <c r="B115990"/>
      <c r="C115990"/>
      <c r="E115990"/>
      <c r="F115990"/>
    </row>
    <row r="115991" spans="1:6" x14ac:dyDescent="0.25">
      <c r="A115991"/>
      <c r="B115991"/>
      <c r="C115991"/>
      <c r="E115991"/>
      <c r="F115991"/>
    </row>
    <row r="115992" spans="1:6" x14ac:dyDescent="0.25">
      <c r="A115992"/>
      <c r="B115992"/>
      <c r="C115992"/>
      <c r="E115992"/>
      <c r="F115992"/>
    </row>
    <row r="115993" spans="1:6" x14ac:dyDescent="0.25">
      <c r="A115993"/>
      <c r="B115993"/>
      <c r="C115993"/>
      <c r="E115993"/>
      <c r="F115993"/>
    </row>
    <row r="115994" spans="1:6" x14ac:dyDescent="0.25">
      <c r="A115994"/>
      <c r="B115994"/>
      <c r="C115994"/>
      <c r="E115994"/>
      <c r="F115994"/>
    </row>
    <row r="115995" spans="1:6" x14ac:dyDescent="0.25">
      <c r="A115995"/>
      <c r="B115995"/>
      <c r="C115995"/>
      <c r="E115995"/>
      <c r="F115995"/>
    </row>
    <row r="115996" spans="1:6" x14ac:dyDescent="0.25">
      <c r="A115996"/>
      <c r="B115996"/>
      <c r="C115996"/>
      <c r="E115996"/>
      <c r="F115996"/>
    </row>
    <row r="115997" spans="1:6" x14ac:dyDescent="0.25">
      <c r="A115997"/>
      <c r="B115997"/>
      <c r="C115997"/>
      <c r="E115997"/>
      <c r="F115997"/>
    </row>
    <row r="115998" spans="1:6" x14ac:dyDescent="0.25">
      <c r="A115998"/>
      <c r="B115998"/>
      <c r="C115998"/>
      <c r="E115998"/>
      <c r="F115998"/>
    </row>
    <row r="115999" spans="1:6" x14ac:dyDescent="0.25">
      <c r="A115999"/>
      <c r="B115999"/>
      <c r="C115999"/>
      <c r="E115999"/>
      <c r="F115999"/>
    </row>
    <row r="116000" spans="1:6" x14ac:dyDescent="0.25">
      <c r="A116000"/>
      <c r="B116000"/>
      <c r="C116000"/>
      <c r="E116000"/>
      <c r="F116000"/>
    </row>
    <row r="116001" spans="1:6" x14ac:dyDescent="0.25">
      <c r="A116001"/>
      <c r="B116001"/>
      <c r="C116001"/>
      <c r="E116001"/>
      <c r="F116001"/>
    </row>
    <row r="116002" spans="1:6" x14ac:dyDescent="0.25">
      <c r="A116002"/>
      <c r="B116002"/>
      <c r="C116002"/>
      <c r="E116002"/>
      <c r="F116002"/>
    </row>
    <row r="116003" spans="1:6" x14ac:dyDescent="0.25">
      <c r="A116003"/>
      <c r="B116003"/>
      <c r="C116003"/>
      <c r="E116003"/>
      <c r="F116003"/>
    </row>
    <row r="116004" spans="1:6" x14ac:dyDescent="0.25">
      <c r="A116004"/>
      <c r="B116004"/>
      <c r="C116004"/>
      <c r="E116004"/>
      <c r="F116004"/>
    </row>
    <row r="116005" spans="1:6" x14ac:dyDescent="0.25">
      <c r="A116005"/>
      <c r="B116005"/>
      <c r="C116005"/>
      <c r="E116005"/>
      <c r="F116005"/>
    </row>
    <row r="116006" spans="1:6" x14ac:dyDescent="0.25">
      <c r="A116006"/>
      <c r="B116006"/>
      <c r="C116006"/>
      <c r="E116006"/>
      <c r="F116006"/>
    </row>
    <row r="116007" spans="1:6" x14ac:dyDescent="0.25">
      <c r="A116007"/>
      <c r="B116007"/>
      <c r="C116007"/>
      <c r="E116007"/>
      <c r="F116007"/>
    </row>
    <row r="116008" spans="1:6" x14ac:dyDescent="0.25">
      <c r="A116008"/>
      <c r="B116008"/>
      <c r="C116008"/>
      <c r="E116008"/>
      <c r="F116008"/>
    </row>
    <row r="116009" spans="1:6" x14ac:dyDescent="0.25">
      <c r="A116009"/>
      <c r="B116009"/>
      <c r="C116009"/>
      <c r="E116009"/>
      <c r="F116009"/>
    </row>
    <row r="116010" spans="1:6" x14ac:dyDescent="0.25">
      <c r="A116010"/>
      <c r="B116010"/>
      <c r="C116010"/>
      <c r="E116010"/>
      <c r="F116010"/>
    </row>
    <row r="116011" spans="1:6" x14ac:dyDescent="0.25">
      <c r="A116011"/>
      <c r="B116011"/>
      <c r="C116011"/>
      <c r="E116011"/>
      <c r="F116011"/>
    </row>
    <row r="116012" spans="1:6" x14ac:dyDescent="0.25">
      <c r="A116012"/>
      <c r="B116012"/>
      <c r="C116012"/>
      <c r="E116012"/>
      <c r="F116012"/>
    </row>
    <row r="116013" spans="1:6" x14ac:dyDescent="0.25">
      <c r="A116013"/>
      <c r="B116013"/>
      <c r="C116013"/>
      <c r="E116013"/>
      <c r="F116013"/>
    </row>
    <row r="116014" spans="1:6" x14ac:dyDescent="0.25">
      <c r="A116014"/>
      <c r="B116014"/>
      <c r="C116014"/>
      <c r="E116014"/>
      <c r="F116014"/>
    </row>
    <row r="116015" spans="1:6" x14ac:dyDescent="0.25">
      <c r="A116015"/>
      <c r="B116015"/>
      <c r="C116015"/>
      <c r="E116015"/>
      <c r="F116015"/>
    </row>
    <row r="116016" spans="1:6" x14ac:dyDescent="0.25">
      <c r="A116016"/>
      <c r="B116016"/>
      <c r="C116016"/>
      <c r="E116016"/>
      <c r="F116016"/>
    </row>
    <row r="116017" spans="1:6" x14ac:dyDescent="0.25">
      <c r="A116017"/>
      <c r="B116017"/>
      <c r="C116017"/>
      <c r="E116017"/>
      <c r="F116017"/>
    </row>
    <row r="116018" spans="1:6" x14ac:dyDescent="0.25">
      <c r="A116018"/>
      <c r="B116018"/>
      <c r="C116018"/>
      <c r="E116018"/>
      <c r="F116018"/>
    </row>
    <row r="116019" spans="1:6" x14ac:dyDescent="0.25">
      <c r="A116019"/>
      <c r="B116019"/>
      <c r="C116019"/>
      <c r="E116019"/>
      <c r="F116019"/>
    </row>
    <row r="116020" spans="1:6" x14ac:dyDescent="0.25">
      <c r="A116020"/>
      <c r="B116020"/>
      <c r="C116020"/>
      <c r="E116020"/>
      <c r="F116020"/>
    </row>
    <row r="116021" spans="1:6" x14ac:dyDescent="0.25">
      <c r="A116021"/>
      <c r="B116021"/>
      <c r="C116021"/>
      <c r="E116021"/>
      <c r="F116021"/>
    </row>
    <row r="116022" spans="1:6" x14ac:dyDescent="0.25">
      <c r="A116022"/>
      <c r="B116022"/>
      <c r="C116022"/>
      <c r="E116022"/>
      <c r="F116022"/>
    </row>
    <row r="116023" spans="1:6" x14ac:dyDescent="0.25">
      <c r="A116023"/>
      <c r="B116023"/>
      <c r="C116023"/>
      <c r="E116023"/>
      <c r="F116023"/>
    </row>
    <row r="116024" spans="1:6" x14ac:dyDescent="0.25">
      <c r="A116024"/>
      <c r="B116024"/>
      <c r="C116024"/>
      <c r="E116024"/>
      <c r="F116024"/>
    </row>
    <row r="116025" spans="1:6" x14ac:dyDescent="0.25">
      <c r="A116025"/>
      <c r="B116025"/>
      <c r="C116025"/>
      <c r="E116025"/>
      <c r="F116025"/>
    </row>
    <row r="116026" spans="1:6" x14ac:dyDescent="0.25">
      <c r="A116026"/>
      <c r="B116026"/>
      <c r="C116026"/>
      <c r="E116026"/>
      <c r="F116026"/>
    </row>
    <row r="116027" spans="1:6" x14ac:dyDescent="0.25">
      <c r="A116027"/>
      <c r="B116027"/>
      <c r="C116027"/>
      <c r="E116027"/>
      <c r="F116027"/>
    </row>
    <row r="116028" spans="1:6" x14ac:dyDescent="0.25">
      <c r="A116028"/>
      <c r="B116028"/>
      <c r="C116028"/>
      <c r="E116028"/>
      <c r="F116028"/>
    </row>
    <row r="116029" spans="1:6" x14ac:dyDescent="0.25">
      <c r="A116029"/>
      <c r="B116029"/>
      <c r="C116029"/>
      <c r="E116029"/>
      <c r="F116029"/>
    </row>
    <row r="116030" spans="1:6" x14ac:dyDescent="0.25">
      <c r="A116030"/>
      <c r="B116030"/>
      <c r="C116030"/>
      <c r="E116030"/>
      <c r="F116030"/>
    </row>
    <row r="116031" spans="1:6" x14ac:dyDescent="0.25">
      <c r="A116031"/>
      <c r="B116031"/>
      <c r="C116031"/>
      <c r="E116031"/>
      <c r="F116031"/>
    </row>
    <row r="116032" spans="1:6" x14ac:dyDescent="0.25">
      <c r="A116032"/>
      <c r="B116032"/>
      <c r="C116032"/>
      <c r="E116032"/>
      <c r="F116032"/>
    </row>
    <row r="116033" spans="1:6" x14ac:dyDescent="0.25">
      <c r="A116033"/>
      <c r="B116033"/>
      <c r="C116033"/>
      <c r="E116033"/>
      <c r="F116033"/>
    </row>
    <row r="116034" spans="1:6" x14ac:dyDescent="0.25">
      <c r="A116034"/>
      <c r="B116034"/>
      <c r="C116034"/>
      <c r="E116034"/>
      <c r="F116034"/>
    </row>
    <row r="116035" spans="1:6" x14ac:dyDescent="0.25">
      <c r="A116035"/>
      <c r="B116035"/>
      <c r="C116035"/>
      <c r="E116035"/>
      <c r="F116035"/>
    </row>
    <row r="116036" spans="1:6" x14ac:dyDescent="0.25">
      <c r="A116036"/>
      <c r="B116036"/>
      <c r="C116036"/>
      <c r="E116036"/>
      <c r="F116036"/>
    </row>
    <row r="116037" spans="1:6" x14ac:dyDescent="0.25">
      <c r="A116037"/>
      <c r="B116037"/>
      <c r="C116037"/>
      <c r="E116037"/>
      <c r="F116037"/>
    </row>
    <row r="116038" spans="1:6" x14ac:dyDescent="0.25">
      <c r="A116038"/>
      <c r="B116038"/>
      <c r="C116038"/>
      <c r="E116038"/>
      <c r="F116038"/>
    </row>
    <row r="116039" spans="1:6" x14ac:dyDescent="0.25">
      <c r="A116039"/>
      <c r="B116039"/>
      <c r="C116039"/>
      <c r="E116039"/>
      <c r="F116039"/>
    </row>
    <row r="116040" spans="1:6" x14ac:dyDescent="0.25">
      <c r="A116040"/>
      <c r="B116040"/>
      <c r="C116040"/>
      <c r="E116040"/>
      <c r="F116040"/>
    </row>
    <row r="116041" spans="1:6" x14ac:dyDescent="0.25">
      <c r="A116041"/>
      <c r="B116041"/>
      <c r="C116041"/>
      <c r="E116041"/>
      <c r="F116041"/>
    </row>
    <row r="116042" spans="1:6" x14ac:dyDescent="0.25">
      <c r="A116042"/>
      <c r="B116042"/>
      <c r="C116042"/>
      <c r="E116042"/>
      <c r="F116042"/>
    </row>
    <row r="116043" spans="1:6" x14ac:dyDescent="0.25">
      <c r="A116043"/>
      <c r="B116043"/>
      <c r="C116043"/>
      <c r="E116043"/>
      <c r="F116043"/>
    </row>
    <row r="116044" spans="1:6" x14ac:dyDescent="0.25">
      <c r="A116044"/>
      <c r="B116044"/>
      <c r="C116044"/>
      <c r="E116044"/>
      <c r="F116044"/>
    </row>
    <row r="116045" spans="1:6" x14ac:dyDescent="0.25">
      <c r="A116045"/>
      <c r="B116045"/>
      <c r="C116045"/>
      <c r="E116045"/>
      <c r="F116045"/>
    </row>
    <row r="116046" spans="1:6" x14ac:dyDescent="0.25">
      <c r="A116046"/>
      <c r="B116046"/>
      <c r="C116046"/>
      <c r="E116046"/>
      <c r="F116046"/>
    </row>
    <row r="116047" spans="1:6" x14ac:dyDescent="0.25">
      <c r="A116047"/>
      <c r="B116047"/>
      <c r="C116047"/>
      <c r="E116047"/>
      <c r="F116047"/>
    </row>
    <row r="116048" spans="1:6" x14ac:dyDescent="0.25">
      <c r="A116048"/>
      <c r="B116048"/>
      <c r="C116048"/>
      <c r="E116048"/>
      <c r="F116048"/>
    </row>
    <row r="116049" spans="1:6" x14ac:dyDescent="0.25">
      <c r="A116049"/>
      <c r="B116049"/>
      <c r="C116049"/>
      <c r="E116049"/>
      <c r="F116049"/>
    </row>
    <row r="116050" spans="1:6" x14ac:dyDescent="0.25">
      <c r="A116050"/>
      <c r="B116050"/>
      <c r="C116050"/>
      <c r="E116050"/>
      <c r="F116050"/>
    </row>
    <row r="116051" spans="1:6" x14ac:dyDescent="0.25">
      <c r="A116051"/>
      <c r="B116051"/>
      <c r="C116051"/>
      <c r="E116051"/>
      <c r="F116051"/>
    </row>
    <row r="116052" spans="1:6" x14ac:dyDescent="0.25">
      <c r="A116052"/>
      <c r="B116052"/>
      <c r="C116052"/>
      <c r="E116052"/>
      <c r="F116052"/>
    </row>
    <row r="116053" spans="1:6" x14ac:dyDescent="0.25">
      <c r="A116053"/>
      <c r="B116053"/>
      <c r="C116053"/>
      <c r="E116053"/>
      <c r="F116053"/>
    </row>
    <row r="116054" spans="1:6" x14ac:dyDescent="0.25">
      <c r="A116054"/>
      <c r="B116054"/>
      <c r="C116054"/>
      <c r="E116054"/>
      <c r="F116054"/>
    </row>
    <row r="116055" spans="1:6" x14ac:dyDescent="0.25">
      <c r="A116055"/>
      <c r="B116055"/>
      <c r="C116055"/>
      <c r="E116055"/>
      <c r="F116055"/>
    </row>
    <row r="116056" spans="1:6" x14ac:dyDescent="0.25">
      <c r="A116056"/>
      <c r="B116056"/>
      <c r="C116056"/>
      <c r="E116056"/>
      <c r="F116056"/>
    </row>
    <row r="116057" spans="1:6" x14ac:dyDescent="0.25">
      <c r="A116057"/>
      <c r="B116057"/>
      <c r="C116057"/>
      <c r="E116057"/>
      <c r="F116057"/>
    </row>
    <row r="116058" spans="1:6" x14ac:dyDescent="0.25">
      <c r="A116058"/>
      <c r="B116058"/>
      <c r="C116058"/>
      <c r="E116058"/>
      <c r="F116058"/>
    </row>
    <row r="116059" spans="1:6" x14ac:dyDescent="0.25">
      <c r="A116059"/>
      <c r="B116059"/>
      <c r="C116059"/>
      <c r="E116059"/>
      <c r="F116059"/>
    </row>
    <row r="116060" spans="1:6" x14ac:dyDescent="0.25">
      <c r="A116060"/>
      <c r="B116060"/>
      <c r="C116060"/>
      <c r="E116060"/>
      <c r="F116060"/>
    </row>
    <row r="116061" spans="1:6" x14ac:dyDescent="0.25">
      <c r="A116061"/>
      <c r="B116061"/>
      <c r="C116061"/>
      <c r="E116061"/>
      <c r="F116061"/>
    </row>
    <row r="116062" spans="1:6" x14ac:dyDescent="0.25">
      <c r="A116062"/>
      <c r="B116062"/>
      <c r="C116062"/>
      <c r="E116062"/>
      <c r="F116062"/>
    </row>
    <row r="116063" spans="1:6" x14ac:dyDescent="0.25">
      <c r="A116063"/>
      <c r="B116063"/>
      <c r="C116063"/>
      <c r="E116063"/>
      <c r="F116063"/>
    </row>
    <row r="116064" spans="1:6" x14ac:dyDescent="0.25">
      <c r="A116064"/>
      <c r="B116064"/>
      <c r="C116064"/>
      <c r="E116064"/>
      <c r="F116064"/>
    </row>
    <row r="116065" spans="1:6" x14ac:dyDescent="0.25">
      <c r="A116065"/>
      <c r="B116065"/>
      <c r="C116065"/>
      <c r="E116065"/>
      <c r="F116065"/>
    </row>
    <row r="116066" spans="1:6" x14ac:dyDescent="0.25">
      <c r="A116066"/>
      <c r="B116066"/>
      <c r="C116066"/>
      <c r="E116066"/>
      <c r="F116066"/>
    </row>
    <row r="116067" spans="1:6" x14ac:dyDescent="0.25">
      <c r="A116067"/>
      <c r="B116067"/>
      <c r="C116067"/>
      <c r="E116067"/>
      <c r="F116067"/>
    </row>
    <row r="116068" spans="1:6" x14ac:dyDescent="0.25">
      <c r="A116068"/>
      <c r="B116068"/>
      <c r="C116068"/>
      <c r="E116068"/>
      <c r="F116068"/>
    </row>
    <row r="116069" spans="1:6" x14ac:dyDescent="0.25">
      <c r="A116069"/>
      <c r="B116069"/>
      <c r="C116069"/>
      <c r="E116069"/>
      <c r="F116069"/>
    </row>
    <row r="116070" spans="1:6" x14ac:dyDescent="0.25">
      <c r="A116070"/>
      <c r="B116070"/>
      <c r="C116070"/>
      <c r="E116070"/>
      <c r="F116070"/>
    </row>
    <row r="116071" spans="1:6" x14ac:dyDescent="0.25">
      <c r="A116071"/>
      <c r="B116071"/>
      <c r="C116071"/>
      <c r="E116071"/>
      <c r="F116071"/>
    </row>
    <row r="116072" spans="1:6" x14ac:dyDescent="0.25">
      <c r="A116072"/>
      <c r="B116072"/>
      <c r="C116072"/>
      <c r="E116072"/>
      <c r="F116072"/>
    </row>
    <row r="116073" spans="1:6" x14ac:dyDescent="0.25">
      <c r="A116073"/>
      <c r="B116073"/>
      <c r="C116073"/>
      <c r="E116073"/>
      <c r="F116073"/>
    </row>
    <row r="116074" spans="1:6" x14ac:dyDescent="0.25">
      <c r="A116074"/>
      <c r="B116074"/>
      <c r="C116074"/>
      <c r="E116074"/>
      <c r="F116074"/>
    </row>
    <row r="116075" spans="1:6" x14ac:dyDescent="0.25">
      <c r="A116075"/>
      <c r="B116075"/>
      <c r="C116075"/>
      <c r="E116075"/>
      <c r="F116075"/>
    </row>
    <row r="116076" spans="1:6" x14ac:dyDescent="0.25">
      <c r="A116076"/>
      <c r="B116076"/>
      <c r="C116076"/>
      <c r="E116076"/>
      <c r="F116076"/>
    </row>
    <row r="116077" spans="1:6" x14ac:dyDescent="0.25">
      <c r="A116077"/>
      <c r="B116077"/>
      <c r="C116077"/>
      <c r="E116077"/>
      <c r="F116077"/>
    </row>
    <row r="116078" spans="1:6" x14ac:dyDescent="0.25">
      <c r="A116078"/>
      <c r="B116078"/>
      <c r="C116078"/>
      <c r="E116078"/>
      <c r="F116078"/>
    </row>
    <row r="116079" spans="1:6" x14ac:dyDescent="0.25">
      <c r="A116079"/>
      <c r="B116079"/>
      <c r="C116079"/>
      <c r="E116079"/>
      <c r="F116079"/>
    </row>
    <row r="116080" spans="1:6" x14ac:dyDescent="0.25">
      <c r="A116080"/>
      <c r="B116080"/>
      <c r="C116080"/>
      <c r="E116080"/>
      <c r="F116080"/>
    </row>
    <row r="116081" spans="1:6" x14ac:dyDescent="0.25">
      <c r="A116081"/>
      <c r="B116081"/>
      <c r="C116081"/>
      <c r="E116081"/>
      <c r="F116081"/>
    </row>
    <row r="116082" spans="1:6" x14ac:dyDescent="0.25">
      <c r="A116082"/>
      <c r="B116082"/>
      <c r="C116082"/>
      <c r="E116082"/>
      <c r="F116082"/>
    </row>
    <row r="116083" spans="1:6" x14ac:dyDescent="0.25">
      <c r="A116083"/>
      <c r="B116083"/>
      <c r="C116083"/>
      <c r="E116083"/>
      <c r="F116083"/>
    </row>
    <row r="116084" spans="1:6" x14ac:dyDescent="0.25">
      <c r="A116084"/>
      <c r="B116084"/>
      <c r="C116084"/>
      <c r="E116084"/>
      <c r="F116084"/>
    </row>
    <row r="116085" spans="1:6" x14ac:dyDescent="0.25">
      <c r="A116085"/>
      <c r="B116085"/>
      <c r="C116085"/>
      <c r="E116085"/>
      <c r="F116085"/>
    </row>
    <row r="116086" spans="1:6" x14ac:dyDescent="0.25">
      <c r="A116086"/>
      <c r="B116086"/>
      <c r="C116086"/>
      <c r="E116086"/>
      <c r="F116086"/>
    </row>
    <row r="116087" spans="1:6" x14ac:dyDescent="0.25">
      <c r="A116087"/>
      <c r="B116087"/>
      <c r="C116087"/>
      <c r="E116087"/>
      <c r="F116087"/>
    </row>
    <row r="116088" spans="1:6" x14ac:dyDescent="0.25">
      <c r="A116088"/>
      <c r="B116088"/>
      <c r="C116088"/>
      <c r="E116088"/>
      <c r="F116088"/>
    </row>
    <row r="116089" spans="1:6" x14ac:dyDescent="0.25">
      <c r="A116089"/>
      <c r="B116089"/>
      <c r="C116089"/>
      <c r="E116089"/>
      <c r="F116089"/>
    </row>
    <row r="116090" spans="1:6" x14ac:dyDescent="0.25">
      <c r="A116090"/>
      <c r="B116090"/>
      <c r="C116090"/>
      <c r="E116090"/>
      <c r="F116090"/>
    </row>
    <row r="116091" spans="1:6" x14ac:dyDescent="0.25">
      <c r="A116091"/>
      <c r="B116091"/>
      <c r="C116091"/>
      <c r="E116091"/>
      <c r="F116091"/>
    </row>
    <row r="116092" spans="1:6" x14ac:dyDescent="0.25">
      <c r="A116092"/>
      <c r="B116092"/>
      <c r="C116092"/>
      <c r="E116092"/>
      <c r="F116092"/>
    </row>
    <row r="116093" spans="1:6" x14ac:dyDescent="0.25">
      <c r="A116093"/>
      <c r="B116093"/>
      <c r="C116093"/>
      <c r="E116093"/>
      <c r="F116093"/>
    </row>
    <row r="116094" spans="1:6" x14ac:dyDescent="0.25">
      <c r="A116094"/>
      <c r="B116094"/>
      <c r="C116094"/>
      <c r="E116094"/>
      <c r="F116094"/>
    </row>
    <row r="116095" spans="1:6" x14ac:dyDescent="0.25">
      <c r="A116095"/>
      <c r="B116095"/>
      <c r="C116095"/>
      <c r="E116095"/>
      <c r="F116095"/>
    </row>
    <row r="116096" spans="1:6" x14ac:dyDescent="0.25">
      <c r="A116096"/>
      <c r="B116096"/>
      <c r="C116096"/>
      <c r="E116096"/>
      <c r="F116096"/>
    </row>
    <row r="116097" spans="1:6" x14ac:dyDescent="0.25">
      <c r="A116097"/>
      <c r="B116097"/>
      <c r="C116097"/>
      <c r="E116097"/>
      <c r="F116097"/>
    </row>
    <row r="116098" spans="1:6" x14ac:dyDescent="0.25">
      <c r="A116098"/>
      <c r="B116098"/>
      <c r="C116098"/>
      <c r="E116098"/>
      <c r="F116098"/>
    </row>
    <row r="116099" spans="1:6" x14ac:dyDescent="0.25">
      <c r="A116099"/>
      <c r="B116099"/>
      <c r="C116099"/>
      <c r="E116099"/>
      <c r="F116099"/>
    </row>
    <row r="116100" spans="1:6" x14ac:dyDescent="0.25">
      <c r="A116100"/>
      <c r="B116100"/>
      <c r="C116100"/>
      <c r="E116100"/>
      <c r="F116100"/>
    </row>
    <row r="116101" spans="1:6" x14ac:dyDescent="0.25">
      <c r="A116101"/>
      <c r="B116101"/>
      <c r="C116101"/>
      <c r="E116101"/>
      <c r="F116101"/>
    </row>
    <row r="116102" spans="1:6" x14ac:dyDescent="0.25">
      <c r="A116102"/>
      <c r="B116102"/>
      <c r="C116102"/>
      <c r="E116102"/>
      <c r="F116102"/>
    </row>
    <row r="116103" spans="1:6" x14ac:dyDescent="0.25">
      <c r="A116103"/>
      <c r="B116103"/>
      <c r="C116103"/>
      <c r="E116103"/>
      <c r="F116103"/>
    </row>
    <row r="116104" spans="1:6" x14ac:dyDescent="0.25">
      <c r="A116104"/>
      <c r="B116104"/>
      <c r="C116104"/>
      <c r="E116104"/>
      <c r="F116104"/>
    </row>
    <row r="116105" spans="1:6" x14ac:dyDescent="0.25">
      <c r="A116105"/>
      <c r="B116105"/>
      <c r="C116105"/>
      <c r="E116105"/>
      <c r="F116105"/>
    </row>
    <row r="116106" spans="1:6" x14ac:dyDescent="0.25">
      <c r="A116106"/>
      <c r="B116106"/>
      <c r="C116106"/>
      <c r="E116106"/>
      <c r="F116106"/>
    </row>
    <row r="116107" spans="1:6" x14ac:dyDescent="0.25">
      <c r="A116107"/>
      <c r="B116107"/>
      <c r="C116107"/>
      <c r="E116107"/>
      <c r="F116107"/>
    </row>
    <row r="116108" spans="1:6" x14ac:dyDescent="0.25">
      <c r="A116108"/>
      <c r="B116108"/>
      <c r="C116108"/>
      <c r="E116108"/>
      <c r="F116108"/>
    </row>
    <row r="116109" spans="1:6" x14ac:dyDescent="0.25">
      <c r="A116109"/>
      <c r="B116109"/>
      <c r="C116109"/>
      <c r="E116109"/>
      <c r="F116109"/>
    </row>
    <row r="116110" spans="1:6" x14ac:dyDescent="0.25">
      <c r="A116110"/>
      <c r="B116110"/>
      <c r="C116110"/>
      <c r="E116110"/>
      <c r="F116110"/>
    </row>
    <row r="116111" spans="1:6" x14ac:dyDescent="0.25">
      <c r="A116111"/>
      <c r="B116111"/>
      <c r="C116111"/>
      <c r="E116111"/>
      <c r="F116111"/>
    </row>
    <row r="116112" spans="1:6" x14ac:dyDescent="0.25">
      <c r="A116112"/>
      <c r="B116112"/>
      <c r="C116112"/>
      <c r="E116112"/>
      <c r="F116112"/>
    </row>
    <row r="116113" spans="1:6" x14ac:dyDescent="0.25">
      <c r="A116113"/>
      <c r="B116113"/>
      <c r="C116113"/>
      <c r="E116113"/>
      <c r="F116113"/>
    </row>
    <row r="116114" spans="1:6" x14ac:dyDescent="0.25">
      <c r="A116114"/>
      <c r="B116114"/>
      <c r="C116114"/>
      <c r="E116114"/>
      <c r="F116114"/>
    </row>
    <row r="116115" spans="1:6" x14ac:dyDescent="0.25">
      <c r="A116115"/>
      <c r="B116115"/>
      <c r="C116115"/>
      <c r="E116115"/>
      <c r="F116115"/>
    </row>
    <row r="116116" spans="1:6" x14ac:dyDescent="0.25">
      <c r="A116116"/>
      <c r="B116116"/>
      <c r="C116116"/>
      <c r="E116116"/>
      <c r="F116116"/>
    </row>
    <row r="116117" spans="1:6" x14ac:dyDescent="0.25">
      <c r="A116117"/>
      <c r="B116117"/>
      <c r="C116117"/>
      <c r="E116117"/>
      <c r="F116117"/>
    </row>
    <row r="116118" spans="1:6" x14ac:dyDescent="0.25">
      <c r="A116118"/>
      <c r="B116118"/>
      <c r="C116118"/>
      <c r="E116118"/>
      <c r="F116118"/>
    </row>
    <row r="116119" spans="1:6" x14ac:dyDescent="0.25">
      <c r="A116119"/>
      <c r="B116119"/>
      <c r="C116119"/>
      <c r="E116119"/>
      <c r="F116119"/>
    </row>
    <row r="116120" spans="1:6" x14ac:dyDescent="0.25">
      <c r="A116120"/>
      <c r="B116120"/>
      <c r="C116120"/>
      <c r="E116120"/>
      <c r="F116120"/>
    </row>
    <row r="116121" spans="1:6" x14ac:dyDescent="0.25">
      <c r="A116121"/>
      <c r="B116121"/>
      <c r="C116121"/>
      <c r="E116121"/>
      <c r="F116121"/>
    </row>
    <row r="116122" spans="1:6" x14ac:dyDescent="0.25">
      <c r="A116122"/>
      <c r="B116122"/>
      <c r="C116122"/>
      <c r="E116122"/>
      <c r="F116122"/>
    </row>
    <row r="116123" spans="1:6" x14ac:dyDescent="0.25">
      <c r="A116123"/>
      <c r="B116123"/>
      <c r="C116123"/>
      <c r="E116123"/>
      <c r="F116123"/>
    </row>
    <row r="116124" spans="1:6" x14ac:dyDescent="0.25">
      <c r="A116124"/>
      <c r="B116124"/>
      <c r="C116124"/>
      <c r="E116124"/>
      <c r="F116124"/>
    </row>
    <row r="116125" spans="1:6" x14ac:dyDescent="0.25">
      <c r="A116125"/>
      <c r="B116125"/>
      <c r="C116125"/>
      <c r="E116125"/>
      <c r="F116125"/>
    </row>
    <row r="116126" spans="1:6" x14ac:dyDescent="0.25">
      <c r="A116126"/>
      <c r="B116126"/>
      <c r="C116126"/>
      <c r="E116126"/>
      <c r="F116126"/>
    </row>
    <row r="116127" spans="1:6" x14ac:dyDescent="0.25">
      <c r="A116127"/>
      <c r="B116127"/>
      <c r="C116127"/>
      <c r="E116127"/>
      <c r="F116127"/>
    </row>
    <row r="116128" spans="1:6" x14ac:dyDescent="0.25">
      <c r="A116128"/>
      <c r="B116128"/>
      <c r="C116128"/>
      <c r="E116128"/>
      <c r="F116128"/>
    </row>
    <row r="116129" spans="1:6" x14ac:dyDescent="0.25">
      <c r="A116129"/>
      <c r="B116129"/>
      <c r="C116129"/>
      <c r="E116129"/>
      <c r="F116129"/>
    </row>
    <row r="116130" spans="1:6" x14ac:dyDescent="0.25">
      <c r="A116130"/>
      <c r="B116130"/>
      <c r="C116130"/>
      <c r="E116130"/>
      <c r="F116130"/>
    </row>
    <row r="116131" spans="1:6" x14ac:dyDescent="0.25">
      <c r="A116131"/>
      <c r="B116131"/>
      <c r="C116131"/>
      <c r="E116131"/>
      <c r="F116131"/>
    </row>
    <row r="116132" spans="1:6" x14ac:dyDescent="0.25">
      <c r="A116132"/>
      <c r="B116132"/>
      <c r="C116132"/>
      <c r="E116132"/>
      <c r="F116132"/>
    </row>
    <row r="116133" spans="1:6" x14ac:dyDescent="0.25">
      <c r="A116133"/>
      <c r="B116133"/>
      <c r="C116133"/>
      <c r="E116133"/>
      <c r="F116133"/>
    </row>
    <row r="116134" spans="1:6" x14ac:dyDescent="0.25">
      <c r="A116134"/>
      <c r="B116134"/>
      <c r="C116134"/>
      <c r="E116134"/>
      <c r="F116134"/>
    </row>
    <row r="116135" spans="1:6" x14ac:dyDescent="0.25">
      <c r="A116135"/>
      <c r="B116135"/>
      <c r="C116135"/>
      <c r="E116135"/>
      <c r="F116135"/>
    </row>
    <row r="116136" spans="1:6" x14ac:dyDescent="0.25">
      <c r="A116136"/>
      <c r="B116136"/>
      <c r="C116136"/>
      <c r="E116136"/>
      <c r="F116136"/>
    </row>
    <row r="116137" spans="1:6" x14ac:dyDescent="0.25">
      <c r="A116137"/>
      <c r="B116137"/>
      <c r="C116137"/>
      <c r="E116137"/>
      <c r="F116137"/>
    </row>
    <row r="116138" spans="1:6" x14ac:dyDescent="0.25">
      <c r="A116138"/>
      <c r="B116138"/>
      <c r="C116138"/>
      <c r="E116138"/>
      <c r="F116138"/>
    </row>
    <row r="116139" spans="1:6" x14ac:dyDescent="0.25">
      <c r="A116139"/>
      <c r="B116139"/>
      <c r="C116139"/>
      <c r="E116139"/>
      <c r="F116139"/>
    </row>
    <row r="116140" spans="1:6" x14ac:dyDescent="0.25">
      <c r="A116140"/>
      <c r="B116140"/>
      <c r="C116140"/>
      <c r="E116140"/>
      <c r="F116140"/>
    </row>
    <row r="116141" spans="1:6" x14ac:dyDescent="0.25">
      <c r="A116141"/>
      <c r="B116141"/>
      <c r="C116141"/>
      <c r="E116141"/>
      <c r="F116141"/>
    </row>
    <row r="116142" spans="1:6" x14ac:dyDescent="0.25">
      <c r="A116142"/>
      <c r="B116142"/>
      <c r="C116142"/>
      <c r="E116142"/>
      <c r="F116142"/>
    </row>
    <row r="116143" spans="1:6" x14ac:dyDescent="0.25">
      <c r="A116143"/>
      <c r="B116143"/>
      <c r="C116143"/>
      <c r="E116143"/>
      <c r="F116143"/>
    </row>
    <row r="116144" spans="1:6" x14ac:dyDescent="0.25">
      <c r="A116144"/>
      <c r="B116144"/>
      <c r="C116144"/>
      <c r="E116144"/>
      <c r="F116144"/>
    </row>
    <row r="116145" spans="1:6" x14ac:dyDescent="0.25">
      <c r="A116145"/>
      <c r="B116145"/>
      <c r="C116145"/>
      <c r="E116145"/>
      <c r="F116145"/>
    </row>
    <row r="116146" spans="1:6" x14ac:dyDescent="0.25">
      <c r="A116146"/>
      <c r="B116146"/>
      <c r="C116146"/>
      <c r="E116146"/>
      <c r="F116146"/>
    </row>
    <row r="116147" spans="1:6" x14ac:dyDescent="0.25">
      <c r="A116147"/>
      <c r="B116147"/>
      <c r="C116147"/>
      <c r="E116147"/>
      <c r="F116147"/>
    </row>
    <row r="116148" spans="1:6" x14ac:dyDescent="0.25">
      <c r="A116148"/>
      <c r="B116148"/>
      <c r="C116148"/>
      <c r="E116148"/>
      <c r="F116148"/>
    </row>
    <row r="116149" spans="1:6" x14ac:dyDescent="0.25">
      <c r="A116149"/>
      <c r="B116149"/>
      <c r="C116149"/>
      <c r="E116149"/>
      <c r="F116149"/>
    </row>
    <row r="116150" spans="1:6" x14ac:dyDescent="0.25">
      <c r="A116150"/>
      <c r="B116150"/>
      <c r="C116150"/>
      <c r="E116150"/>
      <c r="F116150"/>
    </row>
    <row r="116151" spans="1:6" x14ac:dyDescent="0.25">
      <c r="A116151"/>
      <c r="B116151"/>
      <c r="C116151"/>
      <c r="E116151"/>
      <c r="F116151"/>
    </row>
    <row r="116152" spans="1:6" x14ac:dyDescent="0.25">
      <c r="A116152"/>
      <c r="B116152"/>
      <c r="C116152"/>
      <c r="E116152"/>
      <c r="F116152"/>
    </row>
    <row r="116153" spans="1:6" x14ac:dyDescent="0.25">
      <c r="A116153"/>
      <c r="B116153"/>
      <c r="C116153"/>
      <c r="E116153"/>
      <c r="F116153"/>
    </row>
    <row r="116154" spans="1:6" x14ac:dyDescent="0.25">
      <c r="A116154"/>
      <c r="B116154"/>
      <c r="C116154"/>
      <c r="E116154"/>
      <c r="F116154"/>
    </row>
    <row r="116155" spans="1:6" x14ac:dyDescent="0.25">
      <c r="A116155"/>
      <c r="B116155"/>
      <c r="C116155"/>
      <c r="E116155"/>
      <c r="F116155"/>
    </row>
    <row r="116156" spans="1:6" x14ac:dyDescent="0.25">
      <c r="A116156"/>
      <c r="B116156"/>
      <c r="C116156"/>
      <c r="E116156"/>
      <c r="F116156"/>
    </row>
    <row r="116157" spans="1:6" x14ac:dyDescent="0.25">
      <c r="A116157"/>
      <c r="B116157"/>
      <c r="C116157"/>
      <c r="E116157"/>
      <c r="F116157"/>
    </row>
    <row r="116158" spans="1:6" x14ac:dyDescent="0.25">
      <c r="A116158"/>
      <c r="B116158"/>
      <c r="C116158"/>
      <c r="E116158"/>
      <c r="F116158"/>
    </row>
    <row r="116159" spans="1:6" x14ac:dyDescent="0.25">
      <c r="A116159"/>
      <c r="B116159"/>
      <c r="C116159"/>
      <c r="E116159"/>
      <c r="F116159"/>
    </row>
    <row r="116160" spans="1:6" x14ac:dyDescent="0.25">
      <c r="A116160"/>
      <c r="B116160"/>
      <c r="C116160"/>
      <c r="E116160"/>
      <c r="F116160"/>
    </row>
    <row r="116161" spans="1:6" x14ac:dyDescent="0.25">
      <c r="A116161"/>
      <c r="B116161"/>
      <c r="C116161"/>
      <c r="E116161"/>
      <c r="F116161"/>
    </row>
    <row r="116162" spans="1:6" x14ac:dyDescent="0.25">
      <c r="A116162"/>
      <c r="B116162"/>
      <c r="C116162"/>
      <c r="E116162"/>
      <c r="F116162"/>
    </row>
    <row r="116163" spans="1:6" x14ac:dyDescent="0.25">
      <c r="A116163"/>
      <c r="B116163"/>
      <c r="C116163"/>
      <c r="E116163"/>
      <c r="F116163"/>
    </row>
    <row r="116164" spans="1:6" x14ac:dyDescent="0.25">
      <c r="A116164"/>
      <c r="B116164"/>
      <c r="C116164"/>
      <c r="E116164"/>
      <c r="F116164"/>
    </row>
    <row r="116165" spans="1:6" x14ac:dyDescent="0.25">
      <c r="A116165"/>
      <c r="B116165"/>
      <c r="C116165"/>
      <c r="E116165"/>
      <c r="F116165"/>
    </row>
    <row r="116166" spans="1:6" x14ac:dyDescent="0.25">
      <c r="A116166"/>
      <c r="B116166"/>
      <c r="C116166"/>
      <c r="E116166"/>
      <c r="F116166"/>
    </row>
    <row r="116167" spans="1:6" x14ac:dyDescent="0.25">
      <c r="A116167"/>
      <c r="B116167"/>
      <c r="C116167"/>
      <c r="E116167"/>
      <c r="F116167"/>
    </row>
    <row r="116168" spans="1:6" x14ac:dyDescent="0.25">
      <c r="A116168"/>
      <c r="B116168"/>
      <c r="C116168"/>
      <c r="E116168"/>
      <c r="F116168"/>
    </row>
    <row r="116169" spans="1:6" x14ac:dyDescent="0.25">
      <c r="A116169"/>
      <c r="B116169"/>
      <c r="C116169"/>
      <c r="E116169"/>
      <c r="F116169"/>
    </row>
    <row r="116170" spans="1:6" x14ac:dyDescent="0.25">
      <c r="A116170"/>
      <c r="B116170"/>
      <c r="C116170"/>
      <c r="E116170"/>
      <c r="F116170"/>
    </row>
    <row r="116171" spans="1:6" x14ac:dyDescent="0.25">
      <c r="A116171"/>
      <c r="B116171"/>
      <c r="C116171"/>
      <c r="E116171"/>
      <c r="F116171"/>
    </row>
    <row r="116172" spans="1:6" x14ac:dyDescent="0.25">
      <c r="A116172"/>
      <c r="B116172"/>
      <c r="C116172"/>
      <c r="E116172"/>
      <c r="F116172"/>
    </row>
    <row r="116173" spans="1:6" x14ac:dyDescent="0.25">
      <c r="A116173"/>
      <c r="B116173"/>
      <c r="C116173"/>
      <c r="E116173"/>
      <c r="F116173"/>
    </row>
    <row r="116174" spans="1:6" x14ac:dyDescent="0.25">
      <c r="A116174"/>
      <c r="B116174"/>
      <c r="C116174"/>
      <c r="E116174"/>
      <c r="F116174"/>
    </row>
    <row r="116175" spans="1:6" x14ac:dyDescent="0.25">
      <c r="A116175"/>
      <c r="B116175"/>
      <c r="C116175"/>
      <c r="E116175"/>
      <c r="F116175"/>
    </row>
    <row r="116176" spans="1:6" x14ac:dyDescent="0.25">
      <c r="A116176"/>
      <c r="B116176"/>
      <c r="C116176"/>
      <c r="E116176"/>
      <c r="F116176"/>
    </row>
    <row r="116177" spans="1:6" x14ac:dyDescent="0.25">
      <c r="A116177"/>
      <c r="B116177"/>
      <c r="C116177"/>
      <c r="E116177"/>
      <c r="F116177"/>
    </row>
    <row r="116178" spans="1:6" x14ac:dyDescent="0.25">
      <c r="A116178"/>
      <c r="B116178"/>
      <c r="C116178"/>
      <c r="E116178"/>
      <c r="F116178"/>
    </row>
    <row r="116179" spans="1:6" x14ac:dyDescent="0.25">
      <c r="A116179"/>
      <c r="B116179"/>
      <c r="C116179"/>
      <c r="E116179"/>
      <c r="F116179"/>
    </row>
    <row r="116180" spans="1:6" x14ac:dyDescent="0.25">
      <c r="A116180"/>
      <c r="B116180"/>
      <c r="C116180"/>
      <c r="E116180"/>
      <c r="F116180"/>
    </row>
    <row r="116181" spans="1:6" x14ac:dyDescent="0.25">
      <c r="A116181"/>
      <c r="B116181"/>
      <c r="C116181"/>
      <c r="E116181"/>
      <c r="F116181"/>
    </row>
    <row r="116182" spans="1:6" x14ac:dyDescent="0.25">
      <c r="A116182"/>
      <c r="B116182"/>
      <c r="C116182"/>
      <c r="E116182"/>
      <c r="F116182"/>
    </row>
    <row r="116183" spans="1:6" x14ac:dyDescent="0.25">
      <c r="A116183"/>
      <c r="B116183"/>
      <c r="C116183"/>
      <c r="E116183"/>
      <c r="F116183"/>
    </row>
    <row r="116184" spans="1:6" x14ac:dyDescent="0.25">
      <c r="A116184"/>
      <c r="B116184"/>
      <c r="C116184"/>
      <c r="E116184"/>
      <c r="F116184"/>
    </row>
    <row r="116185" spans="1:6" x14ac:dyDescent="0.25">
      <c r="A116185"/>
      <c r="B116185"/>
      <c r="C116185"/>
      <c r="E116185"/>
      <c r="F116185"/>
    </row>
    <row r="116186" spans="1:6" x14ac:dyDescent="0.25">
      <c r="A116186"/>
      <c r="B116186"/>
      <c r="C116186"/>
      <c r="E116186"/>
      <c r="F116186"/>
    </row>
    <row r="116187" spans="1:6" x14ac:dyDescent="0.25">
      <c r="A116187"/>
      <c r="B116187"/>
      <c r="C116187"/>
      <c r="E116187"/>
      <c r="F116187"/>
    </row>
    <row r="116188" spans="1:6" x14ac:dyDescent="0.25">
      <c r="A116188"/>
      <c r="B116188"/>
      <c r="C116188"/>
      <c r="E116188"/>
      <c r="F116188"/>
    </row>
    <row r="116189" spans="1:6" x14ac:dyDescent="0.25">
      <c r="A116189"/>
      <c r="B116189"/>
      <c r="C116189"/>
      <c r="E116189"/>
      <c r="F116189"/>
    </row>
    <row r="116190" spans="1:6" x14ac:dyDescent="0.25">
      <c r="A116190"/>
      <c r="B116190"/>
      <c r="C116190"/>
      <c r="E116190"/>
      <c r="F116190"/>
    </row>
    <row r="116191" spans="1:6" x14ac:dyDescent="0.25">
      <c r="A116191"/>
      <c r="B116191"/>
      <c r="C116191"/>
      <c r="E116191"/>
      <c r="F116191"/>
    </row>
    <row r="116192" spans="1:6" x14ac:dyDescent="0.25">
      <c r="A116192"/>
      <c r="B116192"/>
      <c r="C116192"/>
      <c r="E116192"/>
      <c r="F116192"/>
    </row>
    <row r="116193" spans="1:6" x14ac:dyDescent="0.25">
      <c r="A116193"/>
      <c r="B116193"/>
      <c r="C116193"/>
      <c r="E116193"/>
      <c r="F116193"/>
    </row>
    <row r="116194" spans="1:6" x14ac:dyDescent="0.25">
      <c r="A116194"/>
      <c r="B116194"/>
      <c r="C116194"/>
      <c r="E116194"/>
      <c r="F116194"/>
    </row>
    <row r="116195" spans="1:6" x14ac:dyDescent="0.25">
      <c r="A116195"/>
      <c r="B116195"/>
      <c r="C116195"/>
      <c r="E116195"/>
      <c r="F116195"/>
    </row>
    <row r="116196" spans="1:6" x14ac:dyDescent="0.25">
      <c r="A116196"/>
      <c r="B116196"/>
      <c r="C116196"/>
      <c r="E116196"/>
      <c r="F116196"/>
    </row>
    <row r="116197" spans="1:6" x14ac:dyDescent="0.25">
      <c r="A116197"/>
      <c r="B116197"/>
      <c r="C116197"/>
      <c r="E116197"/>
      <c r="F116197"/>
    </row>
    <row r="116198" spans="1:6" x14ac:dyDescent="0.25">
      <c r="A116198"/>
      <c r="B116198"/>
      <c r="C116198"/>
      <c r="E116198"/>
      <c r="F116198"/>
    </row>
    <row r="116199" spans="1:6" x14ac:dyDescent="0.25">
      <c r="A116199"/>
      <c r="B116199"/>
      <c r="C116199"/>
      <c r="E116199"/>
      <c r="F116199"/>
    </row>
    <row r="116200" spans="1:6" x14ac:dyDescent="0.25">
      <c r="A116200"/>
      <c r="B116200"/>
      <c r="C116200"/>
      <c r="E116200"/>
      <c r="F116200"/>
    </row>
    <row r="116201" spans="1:6" x14ac:dyDescent="0.25">
      <c r="A116201"/>
      <c r="B116201"/>
      <c r="C116201"/>
      <c r="E116201"/>
      <c r="F116201"/>
    </row>
    <row r="116202" spans="1:6" x14ac:dyDescent="0.25">
      <c r="A116202"/>
      <c r="B116202"/>
      <c r="C116202"/>
      <c r="E116202"/>
      <c r="F116202"/>
    </row>
    <row r="116203" spans="1:6" x14ac:dyDescent="0.25">
      <c r="A116203"/>
      <c r="B116203"/>
      <c r="C116203"/>
      <c r="E116203"/>
      <c r="F116203"/>
    </row>
    <row r="116204" spans="1:6" x14ac:dyDescent="0.25">
      <c r="A116204"/>
      <c r="B116204"/>
      <c r="C116204"/>
      <c r="E116204"/>
      <c r="F116204"/>
    </row>
    <row r="116205" spans="1:6" x14ac:dyDescent="0.25">
      <c r="A116205"/>
      <c r="B116205"/>
      <c r="C116205"/>
      <c r="E116205"/>
      <c r="F116205"/>
    </row>
    <row r="116206" spans="1:6" x14ac:dyDescent="0.25">
      <c r="A116206"/>
      <c r="B116206"/>
      <c r="C116206"/>
      <c r="E116206"/>
      <c r="F116206"/>
    </row>
    <row r="116207" spans="1:6" x14ac:dyDescent="0.25">
      <c r="A116207"/>
      <c r="B116207"/>
      <c r="C116207"/>
      <c r="E116207"/>
      <c r="F116207"/>
    </row>
    <row r="116208" spans="1:6" x14ac:dyDescent="0.25">
      <c r="A116208"/>
      <c r="B116208"/>
      <c r="C116208"/>
      <c r="E116208"/>
      <c r="F116208"/>
    </row>
    <row r="116209" spans="1:6" x14ac:dyDescent="0.25">
      <c r="A116209"/>
      <c r="B116209"/>
      <c r="C116209"/>
      <c r="E116209"/>
      <c r="F116209"/>
    </row>
    <row r="116210" spans="1:6" x14ac:dyDescent="0.25">
      <c r="A116210"/>
      <c r="B116210"/>
      <c r="C116210"/>
      <c r="E116210"/>
      <c r="F116210"/>
    </row>
    <row r="116211" spans="1:6" x14ac:dyDescent="0.25">
      <c r="A116211"/>
      <c r="B116211"/>
      <c r="C116211"/>
      <c r="E116211"/>
      <c r="F116211"/>
    </row>
    <row r="116212" spans="1:6" x14ac:dyDescent="0.25">
      <c r="A116212"/>
      <c r="B116212"/>
      <c r="C116212"/>
      <c r="E116212"/>
      <c r="F116212"/>
    </row>
    <row r="116213" spans="1:6" x14ac:dyDescent="0.25">
      <c r="A116213"/>
      <c r="B116213"/>
      <c r="C116213"/>
      <c r="E116213"/>
      <c r="F116213"/>
    </row>
    <row r="116214" spans="1:6" x14ac:dyDescent="0.25">
      <c r="A116214"/>
      <c r="B116214"/>
      <c r="C116214"/>
      <c r="E116214"/>
      <c r="F116214"/>
    </row>
    <row r="116215" spans="1:6" x14ac:dyDescent="0.25">
      <c r="A116215"/>
      <c r="B116215"/>
      <c r="C116215"/>
      <c r="E116215"/>
      <c r="F116215"/>
    </row>
    <row r="116216" spans="1:6" x14ac:dyDescent="0.25">
      <c r="A116216"/>
      <c r="B116216"/>
      <c r="C116216"/>
      <c r="E116216"/>
      <c r="F116216"/>
    </row>
    <row r="116217" spans="1:6" x14ac:dyDescent="0.25">
      <c r="A116217"/>
      <c r="B116217"/>
      <c r="C116217"/>
      <c r="E116217"/>
      <c r="F116217"/>
    </row>
    <row r="116218" spans="1:6" x14ac:dyDescent="0.25">
      <c r="A116218"/>
      <c r="B116218"/>
      <c r="C116218"/>
      <c r="E116218"/>
      <c r="F116218"/>
    </row>
    <row r="116219" spans="1:6" x14ac:dyDescent="0.25">
      <c r="A116219"/>
      <c r="B116219"/>
      <c r="C116219"/>
      <c r="E116219"/>
      <c r="F116219"/>
    </row>
    <row r="116220" spans="1:6" x14ac:dyDescent="0.25">
      <c r="A116220"/>
      <c r="B116220"/>
      <c r="C116220"/>
      <c r="E116220"/>
      <c r="F116220"/>
    </row>
    <row r="116221" spans="1:6" x14ac:dyDescent="0.25">
      <c r="A116221"/>
      <c r="B116221"/>
      <c r="C116221"/>
      <c r="E116221"/>
      <c r="F116221"/>
    </row>
    <row r="116222" spans="1:6" x14ac:dyDescent="0.25">
      <c r="A116222"/>
      <c r="B116222"/>
      <c r="C116222"/>
      <c r="E116222"/>
      <c r="F116222"/>
    </row>
    <row r="116223" spans="1:6" x14ac:dyDescent="0.25">
      <c r="A116223"/>
      <c r="B116223"/>
      <c r="C116223"/>
      <c r="E116223"/>
      <c r="F116223"/>
    </row>
    <row r="116224" spans="1:6" x14ac:dyDescent="0.25">
      <c r="A116224"/>
      <c r="B116224"/>
      <c r="C116224"/>
      <c r="E116224"/>
      <c r="F116224"/>
    </row>
    <row r="116225" spans="1:6" x14ac:dyDescent="0.25">
      <c r="A116225"/>
      <c r="B116225"/>
      <c r="C116225"/>
      <c r="E116225"/>
      <c r="F116225"/>
    </row>
    <row r="116226" spans="1:6" x14ac:dyDescent="0.25">
      <c r="A116226"/>
      <c r="B116226"/>
      <c r="C116226"/>
      <c r="E116226"/>
      <c r="F116226"/>
    </row>
    <row r="116227" spans="1:6" x14ac:dyDescent="0.25">
      <c r="A116227"/>
      <c r="B116227"/>
      <c r="C116227"/>
      <c r="E116227"/>
      <c r="F116227"/>
    </row>
    <row r="116228" spans="1:6" x14ac:dyDescent="0.25">
      <c r="A116228"/>
      <c r="B116228"/>
      <c r="C116228"/>
      <c r="E116228"/>
      <c r="F116228"/>
    </row>
    <row r="116229" spans="1:6" x14ac:dyDescent="0.25">
      <c r="A116229"/>
      <c r="B116229"/>
      <c r="C116229"/>
      <c r="E116229"/>
      <c r="F116229"/>
    </row>
    <row r="116230" spans="1:6" x14ac:dyDescent="0.25">
      <c r="A116230"/>
      <c r="B116230"/>
      <c r="C116230"/>
      <c r="E116230"/>
      <c r="F116230"/>
    </row>
    <row r="116231" spans="1:6" x14ac:dyDescent="0.25">
      <c r="A116231"/>
      <c r="B116231"/>
      <c r="C116231"/>
      <c r="E116231"/>
      <c r="F116231"/>
    </row>
    <row r="116232" spans="1:6" x14ac:dyDescent="0.25">
      <c r="A116232"/>
      <c r="B116232"/>
      <c r="C116232"/>
      <c r="E116232"/>
      <c r="F116232"/>
    </row>
    <row r="116233" spans="1:6" x14ac:dyDescent="0.25">
      <c r="A116233"/>
      <c r="B116233"/>
      <c r="C116233"/>
      <c r="E116233"/>
      <c r="F116233"/>
    </row>
    <row r="116234" spans="1:6" x14ac:dyDescent="0.25">
      <c r="A116234"/>
      <c r="B116234"/>
      <c r="C116234"/>
      <c r="E116234"/>
      <c r="F116234"/>
    </row>
    <row r="116235" spans="1:6" x14ac:dyDescent="0.25">
      <c r="A116235"/>
      <c r="B116235"/>
      <c r="C116235"/>
      <c r="E116235"/>
      <c r="F116235"/>
    </row>
    <row r="116236" spans="1:6" x14ac:dyDescent="0.25">
      <c r="A116236"/>
      <c r="B116236"/>
      <c r="C116236"/>
      <c r="E116236"/>
      <c r="F116236"/>
    </row>
    <row r="116237" spans="1:6" x14ac:dyDescent="0.25">
      <c r="A116237"/>
      <c r="B116237"/>
      <c r="C116237"/>
      <c r="E116237"/>
      <c r="F116237"/>
    </row>
    <row r="116238" spans="1:6" x14ac:dyDescent="0.25">
      <c r="A116238"/>
      <c r="B116238"/>
      <c r="C116238"/>
      <c r="E116238"/>
      <c r="F116238"/>
    </row>
    <row r="116239" spans="1:6" x14ac:dyDescent="0.25">
      <c r="A116239"/>
      <c r="B116239"/>
      <c r="C116239"/>
      <c r="E116239"/>
      <c r="F116239"/>
    </row>
    <row r="116240" spans="1:6" x14ac:dyDescent="0.25">
      <c r="A116240"/>
      <c r="B116240"/>
      <c r="C116240"/>
      <c r="E116240"/>
      <c r="F116240"/>
    </row>
    <row r="116241" spans="1:6" x14ac:dyDescent="0.25">
      <c r="A116241"/>
      <c r="B116241"/>
      <c r="C116241"/>
      <c r="E116241"/>
      <c r="F116241"/>
    </row>
    <row r="116242" spans="1:6" x14ac:dyDescent="0.25">
      <c r="A116242"/>
      <c r="B116242"/>
      <c r="C116242"/>
      <c r="E116242"/>
      <c r="F116242"/>
    </row>
    <row r="116243" spans="1:6" x14ac:dyDescent="0.25">
      <c r="A116243"/>
      <c r="B116243"/>
      <c r="C116243"/>
      <c r="E116243"/>
      <c r="F116243"/>
    </row>
    <row r="116244" spans="1:6" x14ac:dyDescent="0.25">
      <c r="A116244"/>
      <c r="B116244"/>
      <c r="C116244"/>
      <c r="E116244"/>
      <c r="F116244"/>
    </row>
    <row r="116245" spans="1:6" x14ac:dyDescent="0.25">
      <c r="A116245"/>
      <c r="B116245"/>
      <c r="C116245"/>
      <c r="E116245"/>
      <c r="F116245"/>
    </row>
    <row r="116246" spans="1:6" x14ac:dyDescent="0.25">
      <c r="A116246"/>
      <c r="B116246"/>
      <c r="C116246"/>
      <c r="E116246"/>
      <c r="F116246"/>
    </row>
    <row r="116247" spans="1:6" x14ac:dyDescent="0.25">
      <c r="A116247"/>
      <c r="B116247"/>
      <c r="C116247"/>
      <c r="E116247"/>
      <c r="F116247"/>
    </row>
    <row r="116248" spans="1:6" x14ac:dyDescent="0.25">
      <c r="A116248"/>
      <c r="B116248"/>
      <c r="C116248"/>
      <c r="E116248"/>
      <c r="F116248"/>
    </row>
    <row r="116249" spans="1:6" x14ac:dyDescent="0.25">
      <c r="A116249"/>
      <c r="B116249"/>
      <c r="C116249"/>
      <c r="E116249"/>
      <c r="F116249"/>
    </row>
    <row r="116250" spans="1:6" x14ac:dyDescent="0.25">
      <c r="A116250"/>
      <c r="B116250"/>
      <c r="C116250"/>
      <c r="E116250"/>
      <c r="F116250"/>
    </row>
    <row r="116251" spans="1:6" x14ac:dyDescent="0.25">
      <c r="A116251"/>
      <c r="B116251"/>
      <c r="C116251"/>
      <c r="E116251"/>
      <c r="F116251"/>
    </row>
    <row r="116252" spans="1:6" x14ac:dyDescent="0.25">
      <c r="A116252"/>
      <c r="B116252"/>
      <c r="C116252"/>
      <c r="E116252"/>
      <c r="F116252"/>
    </row>
    <row r="116253" spans="1:6" x14ac:dyDescent="0.25">
      <c r="A116253"/>
      <c r="B116253"/>
      <c r="C116253"/>
      <c r="E116253"/>
      <c r="F116253"/>
    </row>
    <row r="116254" spans="1:6" x14ac:dyDescent="0.25">
      <c r="A116254"/>
      <c r="B116254"/>
      <c r="C116254"/>
      <c r="E116254"/>
      <c r="F116254"/>
    </row>
    <row r="116255" spans="1:6" x14ac:dyDescent="0.25">
      <c r="A116255"/>
      <c r="B116255"/>
      <c r="C116255"/>
      <c r="E116255"/>
      <c r="F116255"/>
    </row>
    <row r="116256" spans="1:6" x14ac:dyDescent="0.25">
      <c r="A116256"/>
      <c r="B116256"/>
      <c r="C116256"/>
      <c r="E116256"/>
      <c r="F116256"/>
    </row>
    <row r="116257" spans="1:6" x14ac:dyDescent="0.25">
      <c r="A116257"/>
      <c r="B116257"/>
      <c r="C116257"/>
      <c r="E116257"/>
      <c r="F116257"/>
    </row>
    <row r="116258" spans="1:6" x14ac:dyDescent="0.25">
      <c r="A116258"/>
      <c r="B116258"/>
      <c r="C116258"/>
      <c r="E116258"/>
      <c r="F116258"/>
    </row>
    <row r="116259" spans="1:6" x14ac:dyDescent="0.25">
      <c r="A116259"/>
      <c r="B116259"/>
      <c r="C116259"/>
      <c r="E116259"/>
      <c r="F116259"/>
    </row>
    <row r="116260" spans="1:6" x14ac:dyDescent="0.25">
      <c r="A116260"/>
      <c r="B116260"/>
      <c r="C116260"/>
      <c r="E116260"/>
      <c r="F116260"/>
    </row>
    <row r="116261" spans="1:6" x14ac:dyDescent="0.25">
      <c r="A116261"/>
      <c r="B116261"/>
      <c r="C116261"/>
      <c r="E116261"/>
      <c r="F116261"/>
    </row>
    <row r="116262" spans="1:6" x14ac:dyDescent="0.25">
      <c r="A116262"/>
      <c r="B116262"/>
      <c r="C116262"/>
      <c r="E116262"/>
      <c r="F116262"/>
    </row>
    <row r="116263" spans="1:6" x14ac:dyDescent="0.25">
      <c r="A116263"/>
      <c r="B116263"/>
      <c r="C116263"/>
      <c r="E116263"/>
      <c r="F116263"/>
    </row>
    <row r="116264" spans="1:6" x14ac:dyDescent="0.25">
      <c r="A116264"/>
      <c r="B116264"/>
      <c r="C116264"/>
      <c r="E116264"/>
      <c r="F116264"/>
    </row>
    <row r="116265" spans="1:6" x14ac:dyDescent="0.25">
      <c r="A116265"/>
      <c r="B116265"/>
      <c r="C116265"/>
      <c r="E116265"/>
      <c r="F116265"/>
    </row>
    <row r="116266" spans="1:6" x14ac:dyDescent="0.25">
      <c r="A116266"/>
      <c r="B116266"/>
      <c r="C116266"/>
      <c r="E116266"/>
      <c r="F116266"/>
    </row>
    <row r="116267" spans="1:6" x14ac:dyDescent="0.25">
      <c r="A116267"/>
      <c r="B116267"/>
      <c r="C116267"/>
      <c r="E116267"/>
      <c r="F116267"/>
    </row>
    <row r="116268" spans="1:6" x14ac:dyDescent="0.25">
      <c r="A116268"/>
      <c r="B116268"/>
      <c r="C116268"/>
      <c r="E116268"/>
      <c r="F116268"/>
    </row>
    <row r="116269" spans="1:6" x14ac:dyDescent="0.25">
      <c r="A116269"/>
      <c r="B116269"/>
      <c r="C116269"/>
      <c r="E116269"/>
      <c r="F116269"/>
    </row>
    <row r="116270" spans="1:6" x14ac:dyDescent="0.25">
      <c r="A116270"/>
      <c r="B116270"/>
      <c r="C116270"/>
      <c r="E116270"/>
      <c r="F116270"/>
    </row>
    <row r="116271" spans="1:6" x14ac:dyDescent="0.25">
      <c r="A116271"/>
      <c r="B116271"/>
      <c r="C116271"/>
      <c r="E116271"/>
      <c r="F116271"/>
    </row>
    <row r="116272" spans="1:6" x14ac:dyDescent="0.25">
      <c r="A116272"/>
      <c r="B116272"/>
      <c r="C116272"/>
      <c r="E116272"/>
      <c r="F116272"/>
    </row>
    <row r="116273" spans="1:6" x14ac:dyDescent="0.25">
      <c r="A116273"/>
      <c r="B116273"/>
      <c r="C116273"/>
      <c r="E116273"/>
      <c r="F116273"/>
    </row>
    <row r="116274" spans="1:6" x14ac:dyDescent="0.25">
      <c r="A116274"/>
      <c r="B116274"/>
      <c r="C116274"/>
      <c r="E116274"/>
      <c r="F116274"/>
    </row>
    <row r="116275" spans="1:6" x14ac:dyDescent="0.25">
      <c r="A116275"/>
      <c r="B116275"/>
      <c r="C116275"/>
      <c r="E116275"/>
      <c r="F116275"/>
    </row>
    <row r="116276" spans="1:6" x14ac:dyDescent="0.25">
      <c r="A116276"/>
      <c r="B116276"/>
      <c r="C116276"/>
      <c r="E116276"/>
      <c r="F116276"/>
    </row>
    <row r="116277" spans="1:6" x14ac:dyDescent="0.25">
      <c r="A116277"/>
      <c r="B116277"/>
      <c r="C116277"/>
      <c r="E116277"/>
      <c r="F116277"/>
    </row>
    <row r="116278" spans="1:6" x14ac:dyDescent="0.25">
      <c r="A116278"/>
      <c r="B116278"/>
      <c r="C116278"/>
      <c r="E116278"/>
      <c r="F116278"/>
    </row>
    <row r="116279" spans="1:6" x14ac:dyDescent="0.25">
      <c r="A116279"/>
      <c r="B116279"/>
      <c r="C116279"/>
      <c r="E116279"/>
      <c r="F116279"/>
    </row>
    <row r="116280" spans="1:6" x14ac:dyDescent="0.25">
      <c r="A116280"/>
      <c r="B116280"/>
      <c r="C116280"/>
      <c r="E116280"/>
      <c r="F116280"/>
    </row>
    <row r="116281" spans="1:6" x14ac:dyDescent="0.25">
      <c r="A116281"/>
      <c r="B116281"/>
      <c r="C116281"/>
      <c r="E116281"/>
      <c r="F116281"/>
    </row>
    <row r="116282" spans="1:6" x14ac:dyDescent="0.25">
      <c r="A116282"/>
      <c r="B116282"/>
      <c r="C116282"/>
      <c r="E116282"/>
      <c r="F116282"/>
    </row>
    <row r="116283" spans="1:6" x14ac:dyDescent="0.25">
      <c r="A116283"/>
      <c r="B116283"/>
      <c r="C116283"/>
      <c r="E116283"/>
      <c r="F116283"/>
    </row>
    <row r="116284" spans="1:6" x14ac:dyDescent="0.25">
      <c r="A116284"/>
      <c r="B116284"/>
      <c r="C116284"/>
      <c r="E116284"/>
      <c r="F116284"/>
    </row>
    <row r="116285" spans="1:6" x14ac:dyDescent="0.25">
      <c r="A116285"/>
      <c r="B116285"/>
      <c r="C116285"/>
      <c r="E116285"/>
      <c r="F116285"/>
    </row>
    <row r="116286" spans="1:6" x14ac:dyDescent="0.25">
      <c r="A116286"/>
      <c r="B116286"/>
      <c r="C116286"/>
      <c r="E116286"/>
      <c r="F116286"/>
    </row>
    <row r="116287" spans="1:6" x14ac:dyDescent="0.25">
      <c r="A116287"/>
      <c r="B116287"/>
      <c r="C116287"/>
      <c r="E116287"/>
      <c r="F116287"/>
    </row>
    <row r="116288" spans="1:6" x14ac:dyDescent="0.25">
      <c r="A116288"/>
      <c r="B116288"/>
      <c r="C116288"/>
      <c r="E116288"/>
      <c r="F116288"/>
    </row>
    <row r="116289" spans="1:6" x14ac:dyDescent="0.25">
      <c r="A116289"/>
      <c r="B116289"/>
      <c r="C116289"/>
      <c r="E116289"/>
      <c r="F116289"/>
    </row>
    <row r="116290" spans="1:6" x14ac:dyDescent="0.25">
      <c r="A116290"/>
      <c r="B116290"/>
      <c r="C116290"/>
      <c r="E116290"/>
      <c r="F116290"/>
    </row>
    <row r="116291" spans="1:6" x14ac:dyDescent="0.25">
      <c r="A116291"/>
      <c r="B116291"/>
      <c r="C116291"/>
      <c r="E116291"/>
      <c r="F116291"/>
    </row>
    <row r="116292" spans="1:6" x14ac:dyDescent="0.25">
      <c r="A116292"/>
      <c r="B116292"/>
      <c r="C116292"/>
      <c r="E116292"/>
      <c r="F116292"/>
    </row>
    <row r="116293" spans="1:6" x14ac:dyDescent="0.25">
      <c r="A116293"/>
      <c r="B116293"/>
      <c r="C116293"/>
      <c r="E116293"/>
      <c r="F116293"/>
    </row>
    <row r="116294" spans="1:6" x14ac:dyDescent="0.25">
      <c r="A116294"/>
      <c r="B116294"/>
      <c r="C116294"/>
      <c r="E116294"/>
      <c r="F116294"/>
    </row>
    <row r="116295" spans="1:6" x14ac:dyDescent="0.25">
      <c r="A116295"/>
      <c r="B116295"/>
      <c r="C116295"/>
      <c r="E116295"/>
      <c r="F116295"/>
    </row>
    <row r="116296" spans="1:6" x14ac:dyDescent="0.25">
      <c r="A116296"/>
      <c r="B116296"/>
      <c r="C116296"/>
      <c r="E116296"/>
      <c r="F116296"/>
    </row>
    <row r="116297" spans="1:6" x14ac:dyDescent="0.25">
      <c r="A116297"/>
      <c r="B116297"/>
      <c r="C116297"/>
      <c r="E116297"/>
      <c r="F116297"/>
    </row>
    <row r="116298" spans="1:6" x14ac:dyDescent="0.25">
      <c r="A116298"/>
      <c r="B116298"/>
      <c r="C116298"/>
      <c r="E116298"/>
      <c r="F116298"/>
    </row>
    <row r="116299" spans="1:6" x14ac:dyDescent="0.25">
      <c r="A116299"/>
      <c r="B116299"/>
      <c r="C116299"/>
      <c r="E116299"/>
      <c r="F116299"/>
    </row>
    <row r="116300" spans="1:6" x14ac:dyDescent="0.25">
      <c r="A116300"/>
      <c r="B116300"/>
      <c r="C116300"/>
      <c r="E116300"/>
      <c r="F116300"/>
    </row>
    <row r="116301" spans="1:6" x14ac:dyDescent="0.25">
      <c r="A116301"/>
      <c r="B116301"/>
      <c r="C116301"/>
      <c r="E116301"/>
      <c r="F116301"/>
    </row>
    <row r="116302" spans="1:6" x14ac:dyDescent="0.25">
      <c r="A116302"/>
      <c r="B116302"/>
      <c r="C116302"/>
      <c r="E116302"/>
      <c r="F116302"/>
    </row>
    <row r="116303" spans="1:6" x14ac:dyDescent="0.25">
      <c r="A116303"/>
      <c r="B116303"/>
      <c r="C116303"/>
      <c r="E116303"/>
      <c r="F116303"/>
    </row>
    <row r="116304" spans="1:6" x14ac:dyDescent="0.25">
      <c r="A116304"/>
      <c r="B116304"/>
      <c r="C116304"/>
      <c r="E116304"/>
      <c r="F116304"/>
    </row>
    <row r="116305" spans="1:6" x14ac:dyDescent="0.25">
      <c r="A116305"/>
      <c r="B116305"/>
      <c r="C116305"/>
      <c r="E116305"/>
      <c r="F116305"/>
    </row>
    <row r="116306" spans="1:6" x14ac:dyDescent="0.25">
      <c r="A116306"/>
      <c r="B116306"/>
      <c r="C116306"/>
      <c r="E116306"/>
      <c r="F116306"/>
    </row>
    <row r="116307" spans="1:6" x14ac:dyDescent="0.25">
      <c r="A116307"/>
      <c r="B116307"/>
      <c r="C116307"/>
      <c r="E116307"/>
      <c r="F116307"/>
    </row>
    <row r="116308" spans="1:6" x14ac:dyDescent="0.25">
      <c r="A116308"/>
      <c r="B116308"/>
      <c r="C116308"/>
      <c r="E116308"/>
      <c r="F116308"/>
    </row>
    <row r="116309" spans="1:6" x14ac:dyDescent="0.25">
      <c r="A116309"/>
      <c r="B116309"/>
      <c r="C116309"/>
      <c r="E116309"/>
      <c r="F116309"/>
    </row>
    <row r="116310" spans="1:6" x14ac:dyDescent="0.25">
      <c r="A116310"/>
      <c r="B116310"/>
      <c r="C116310"/>
      <c r="E116310"/>
      <c r="F116310"/>
    </row>
    <row r="116311" spans="1:6" x14ac:dyDescent="0.25">
      <c r="A116311"/>
      <c r="B116311"/>
      <c r="C116311"/>
      <c r="E116311"/>
      <c r="F116311"/>
    </row>
    <row r="116312" spans="1:6" x14ac:dyDescent="0.25">
      <c r="A116312"/>
      <c r="B116312"/>
      <c r="C116312"/>
      <c r="E116312"/>
      <c r="F116312"/>
    </row>
    <row r="116313" spans="1:6" x14ac:dyDescent="0.25">
      <c r="A116313"/>
      <c r="B116313"/>
      <c r="C116313"/>
      <c r="E116313"/>
      <c r="F116313"/>
    </row>
    <row r="116314" spans="1:6" x14ac:dyDescent="0.25">
      <c r="A116314"/>
      <c r="B116314"/>
      <c r="C116314"/>
      <c r="E116314"/>
      <c r="F116314"/>
    </row>
    <row r="116315" spans="1:6" x14ac:dyDescent="0.25">
      <c r="A116315"/>
      <c r="B116315"/>
      <c r="C116315"/>
      <c r="E116315"/>
      <c r="F116315"/>
    </row>
    <row r="116316" spans="1:6" x14ac:dyDescent="0.25">
      <c r="A116316"/>
      <c r="B116316"/>
      <c r="C116316"/>
      <c r="E116316"/>
      <c r="F116316"/>
    </row>
    <row r="116317" spans="1:6" x14ac:dyDescent="0.25">
      <c r="A116317"/>
      <c r="B116317"/>
      <c r="C116317"/>
      <c r="E116317"/>
      <c r="F116317"/>
    </row>
    <row r="116318" spans="1:6" x14ac:dyDescent="0.25">
      <c r="A116318"/>
      <c r="B116318"/>
      <c r="C116318"/>
      <c r="E116318"/>
      <c r="F116318"/>
    </row>
    <row r="116319" spans="1:6" x14ac:dyDescent="0.25">
      <c r="A116319"/>
      <c r="B116319"/>
      <c r="C116319"/>
      <c r="E116319"/>
      <c r="F116319"/>
    </row>
    <row r="116320" spans="1:6" x14ac:dyDescent="0.25">
      <c r="A116320"/>
      <c r="B116320"/>
      <c r="C116320"/>
      <c r="E116320"/>
      <c r="F116320"/>
    </row>
    <row r="116321" spans="1:6" x14ac:dyDescent="0.25">
      <c r="A116321"/>
      <c r="B116321"/>
      <c r="C116321"/>
      <c r="E116321"/>
      <c r="F116321"/>
    </row>
    <row r="116322" spans="1:6" x14ac:dyDescent="0.25">
      <c r="A116322"/>
      <c r="B116322"/>
      <c r="C116322"/>
      <c r="E116322"/>
      <c r="F116322"/>
    </row>
    <row r="116323" spans="1:6" x14ac:dyDescent="0.25">
      <c r="A116323"/>
      <c r="B116323"/>
      <c r="C116323"/>
      <c r="E116323"/>
      <c r="F116323"/>
    </row>
    <row r="116324" spans="1:6" x14ac:dyDescent="0.25">
      <c r="A116324"/>
      <c r="B116324"/>
      <c r="C116324"/>
      <c r="E116324"/>
      <c r="F116324"/>
    </row>
    <row r="116325" spans="1:6" x14ac:dyDescent="0.25">
      <c r="A116325"/>
      <c r="B116325"/>
      <c r="C116325"/>
      <c r="E116325"/>
      <c r="F116325"/>
    </row>
    <row r="116326" spans="1:6" x14ac:dyDescent="0.25">
      <c r="A116326"/>
      <c r="B116326"/>
      <c r="C116326"/>
      <c r="E116326"/>
      <c r="F116326"/>
    </row>
    <row r="116327" spans="1:6" x14ac:dyDescent="0.25">
      <c r="A116327"/>
      <c r="B116327"/>
      <c r="C116327"/>
      <c r="E116327"/>
      <c r="F116327"/>
    </row>
    <row r="116328" spans="1:6" x14ac:dyDescent="0.25">
      <c r="A116328"/>
      <c r="B116328"/>
      <c r="C116328"/>
      <c r="E116328"/>
      <c r="F116328"/>
    </row>
    <row r="116329" spans="1:6" x14ac:dyDescent="0.25">
      <c r="A116329"/>
      <c r="B116329"/>
      <c r="C116329"/>
      <c r="E116329"/>
      <c r="F116329"/>
    </row>
    <row r="116330" spans="1:6" x14ac:dyDescent="0.25">
      <c r="A116330"/>
      <c r="B116330"/>
      <c r="C116330"/>
      <c r="E116330"/>
      <c r="F116330"/>
    </row>
    <row r="116331" spans="1:6" x14ac:dyDescent="0.25">
      <c r="A116331"/>
      <c r="B116331"/>
      <c r="C116331"/>
      <c r="E116331"/>
      <c r="F116331"/>
    </row>
    <row r="116332" spans="1:6" x14ac:dyDescent="0.25">
      <c r="A116332"/>
      <c r="B116332"/>
      <c r="C116332"/>
      <c r="E116332"/>
      <c r="F116332"/>
    </row>
    <row r="116333" spans="1:6" x14ac:dyDescent="0.25">
      <c r="A116333"/>
      <c r="B116333"/>
      <c r="C116333"/>
      <c r="E116333"/>
      <c r="F116333"/>
    </row>
    <row r="116334" spans="1:6" x14ac:dyDescent="0.25">
      <c r="A116334"/>
      <c r="B116334"/>
      <c r="C116334"/>
      <c r="E116334"/>
      <c r="F116334"/>
    </row>
    <row r="116335" spans="1:6" x14ac:dyDescent="0.25">
      <c r="A116335"/>
      <c r="B116335"/>
      <c r="C116335"/>
      <c r="E116335"/>
      <c r="F116335"/>
    </row>
    <row r="116336" spans="1:6" x14ac:dyDescent="0.25">
      <c r="A116336"/>
      <c r="B116336"/>
      <c r="C116336"/>
      <c r="E116336"/>
      <c r="F116336"/>
    </row>
    <row r="116337" spans="1:6" x14ac:dyDescent="0.25">
      <c r="A116337"/>
      <c r="B116337"/>
      <c r="C116337"/>
      <c r="E116337"/>
      <c r="F116337"/>
    </row>
    <row r="116338" spans="1:6" x14ac:dyDescent="0.25">
      <c r="A116338"/>
      <c r="B116338"/>
      <c r="C116338"/>
      <c r="E116338"/>
      <c r="F116338"/>
    </row>
    <row r="116339" spans="1:6" x14ac:dyDescent="0.25">
      <c r="A116339"/>
      <c r="B116339"/>
      <c r="C116339"/>
      <c r="E116339"/>
      <c r="F116339"/>
    </row>
    <row r="116340" spans="1:6" x14ac:dyDescent="0.25">
      <c r="A116340"/>
      <c r="B116340"/>
      <c r="C116340"/>
      <c r="E116340"/>
      <c r="F116340"/>
    </row>
    <row r="116341" spans="1:6" x14ac:dyDescent="0.25">
      <c r="A116341"/>
      <c r="B116341"/>
      <c r="C116341"/>
      <c r="E116341"/>
      <c r="F116341"/>
    </row>
    <row r="116342" spans="1:6" x14ac:dyDescent="0.25">
      <c r="A116342"/>
      <c r="B116342"/>
      <c r="C116342"/>
      <c r="E116342"/>
      <c r="F116342"/>
    </row>
    <row r="116343" spans="1:6" x14ac:dyDescent="0.25">
      <c r="A116343"/>
      <c r="B116343"/>
      <c r="C116343"/>
      <c r="E116343"/>
      <c r="F116343"/>
    </row>
    <row r="116344" spans="1:6" x14ac:dyDescent="0.25">
      <c r="A116344"/>
      <c r="B116344"/>
      <c r="C116344"/>
      <c r="E116344"/>
      <c r="F116344"/>
    </row>
    <row r="116345" spans="1:6" x14ac:dyDescent="0.25">
      <c r="A116345"/>
      <c r="B116345"/>
      <c r="C116345"/>
      <c r="E116345"/>
      <c r="F116345"/>
    </row>
    <row r="116346" spans="1:6" x14ac:dyDescent="0.25">
      <c r="A116346"/>
      <c r="B116346"/>
      <c r="C116346"/>
      <c r="E116346"/>
      <c r="F116346"/>
    </row>
    <row r="116347" spans="1:6" x14ac:dyDescent="0.25">
      <c r="A116347"/>
      <c r="B116347"/>
      <c r="C116347"/>
      <c r="E116347"/>
      <c r="F116347"/>
    </row>
    <row r="116348" spans="1:6" x14ac:dyDescent="0.25">
      <c r="A116348"/>
      <c r="B116348"/>
      <c r="C116348"/>
      <c r="E116348"/>
      <c r="F116348"/>
    </row>
    <row r="116349" spans="1:6" x14ac:dyDescent="0.25">
      <c r="A116349"/>
      <c r="B116349"/>
      <c r="C116349"/>
      <c r="E116349"/>
      <c r="F116349"/>
    </row>
    <row r="116350" spans="1:6" x14ac:dyDescent="0.25">
      <c r="A116350"/>
      <c r="B116350"/>
      <c r="C116350"/>
      <c r="E116350"/>
      <c r="F116350"/>
    </row>
    <row r="116351" spans="1:6" x14ac:dyDescent="0.25">
      <c r="A116351"/>
      <c r="B116351"/>
      <c r="C116351"/>
      <c r="E116351"/>
      <c r="F116351"/>
    </row>
    <row r="116352" spans="1:6" x14ac:dyDescent="0.25">
      <c r="A116352"/>
      <c r="B116352"/>
      <c r="C116352"/>
      <c r="E116352"/>
      <c r="F116352"/>
    </row>
    <row r="116353" spans="1:6" x14ac:dyDescent="0.25">
      <c r="A116353"/>
      <c r="B116353"/>
      <c r="C116353"/>
      <c r="E116353"/>
      <c r="F116353"/>
    </row>
    <row r="116354" spans="1:6" x14ac:dyDescent="0.25">
      <c r="A116354"/>
      <c r="B116354"/>
      <c r="C116354"/>
      <c r="E116354"/>
      <c r="F116354"/>
    </row>
    <row r="116355" spans="1:6" x14ac:dyDescent="0.25">
      <c r="A116355"/>
      <c r="B116355"/>
      <c r="C116355"/>
      <c r="E116355"/>
      <c r="F116355"/>
    </row>
    <row r="116356" spans="1:6" x14ac:dyDescent="0.25">
      <c r="A116356"/>
      <c r="B116356"/>
      <c r="C116356"/>
      <c r="E116356"/>
      <c r="F116356"/>
    </row>
    <row r="116357" spans="1:6" x14ac:dyDescent="0.25">
      <c r="A116357"/>
      <c r="B116357"/>
      <c r="C116357"/>
      <c r="E116357"/>
      <c r="F116357"/>
    </row>
    <row r="116358" spans="1:6" x14ac:dyDescent="0.25">
      <c r="A116358"/>
      <c r="B116358"/>
      <c r="C116358"/>
      <c r="E116358"/>
      <c r="F116358"/>
    </row>
    <row r="116359" spans="1:6" x14ac:dyDescent="0.25">
      <c r="A116359"/>
      <c r="B116359"/>
      <c r="C116359"/>
      <c r="E116359"/>
      <c r="F116359"/>
    </row>
    <row r="116360" spans="1:6" x14ac:dyDescent="0.25">
      <c r="A116360"/>
      <c r="B116360"/>
      <c r="C116360"/>
      <c r="E116360"/>
      <c r="F116360"/>
    </row>
    <row r="116361" spans="1:6" x14ac:dyDescent="0.25">
      <c r="A116361"/>
      <c r="B116361"/>
      <c r="C116361"/>
      <c r="E116361"/>
      <c r="F116361"/>
    </row>
    <row r="116362" spans="1:6" x14ac:dyDescent="0.25">
      <c r="A116362"/>
      <c r="B116362"/>
      <c r="C116362"/>
      <c r="E116362"/>
      <c r="F116362"/>
    </row>
    <row r="116363" spans="1:6" x14ac:dyDescent="0.25">
      <c r="A116363"/>
      <c r="B116363"/>
      <c r="C116363"/>
      <c r="E116363"/>
      <c r="F116363"/>
    </row>
    <row r="116364" spans="1:6" x14ac:dyDescent="0.25">
      <c r="A116364"/>
      <c r="B116364"/>
      <c r="C116364"/>
      <c r="E116364"/>
      <c r="F116364"/>
    </row>
    <row r="116365" spans="1:6" x14ac:dyDescent="0.25">
      <c r="A116365"/>
      <c r="B116365"/>
      <c r="C116365"/>
      <c r="E116365"/>
      <c r="F116365"/>
    </row>
    <row r="116366" spans="1:6" x14ac:dyDescent="0.25">
      <c r="A116366"/>
      <c r="B116366"/>
      <c r="C116366"/>
      <c r="E116366"/>
      <c r="F116366"/>
    </row>
    <row r="116367" spans="1:6" x14ac:dyDescent="0.25">
      <c r="A116367"/>
      <c r="B116367"/>
      <c r="C116367"/>
      <c r="E116367"/>
      <c r="F116367"/>
    </row>
    <row r="116368" spans="1:6" x14ac:dyDescent="0.25">
      <c r="A116368"/>
      <c r="B116368"/>
      <c r="C116368"/>
      <c r="E116368"/>
      <c r="F116368"/>
    </row>
    <row r="116369" spans="1:6" x14ac:dyDescent="0.25">
      <c r="A116369"/>
      <c r="B116369"/>
      <c r="C116369"/>
      <c r="E116369"/>
      <c r="F116369"/>
    </row>
    <row r="116370" spans="1:6" x14ac:dyDescent="0.25">
      <c r="A116370"/>
      <c r="B116370"/>
      <c r="C116370"/>
      <c r="E116370"/>
      <c r="F116370"/>
    </row>
    <row r="116371" spans="1:6" x14ac:dyDescent="0.25">
      <c r="A116371"/>
      <c r="B116371"/>
      <c r="C116371"/>
      <c r="E116371"/>
      <c r="F116371"/>
    </row>
    <row r="116372" spans="1:6" x14ac:dyDescent="0.25">
      <c r="A116372"/>
      <c r="B116372"/>
      <c r="C116372"/>
      <c r="E116372"/>
      <c r="F116372"/>
    </row>
    <row r="116373" spans="1:6" x14ac:dyDescent="0.25">
      <c r="A116373"/>
      <c r="B116373"/>
      <c r="C116373"/>
      <c r="E116373"/>
      <c r="F116373"/>
    </row>
    <row r="116374" spans="1:6" x14ac:dyDescent="0.25">
      <c r="A116374"/>
      <c r="B116374"/>
      <c r="C116374"/>
      <c r="E116374"/>
      <c r="F116374"/>
    </row>
    <row r="116375" spans="1:6" x14ac:dyDescent="0.25">
      <c r="A116375"/>
      <c r="B116375"/>
      <c r="C116375"/>
      <c r="E116375"/>
      <c r="F116375"/>
    </row>
    <row r="116376" spans="1:6" x14ac:dyDescent="0.25">
      <c r="A116376"/>
      <c r="B116376"/>
      <c r="C116376"/>
      <c r="E116376"/>
      <c r="F116376"/>
    </row>
    <row r="116377" spans="1:6" x14ac:dyDescent="0.25">
      <c r="A116377"/>
      <c r="B116377"/>
      <c r="C116377"/>
      <c r="E116377"/>
      <c r="F116377"/>
    </row>
    <row r="116378" spans="1:6" x14ac:dyDescent="0.25">
      <c r="A116378"/>
      <c r="B116378"/>
      <c r="C116378"/>
      <c r="E116378"/>
      <c r="F116378"/>
    </row>
    <row r="116379" spans="1:6" x14ac:dyDescent="0.25">
      <c r="A116379"/>
      <c r="B116379"/>
      <c r="C116379"/>
      <c r="E116379"/>
      <c r="F116379"/>
    </row>
    <row r="116380" spans="1:6" x14ac:dyDescent="0.25">
      <c r="A116380"/>
      <c r="B116380"/>
      <c r="C116380"/>
      <c r="E116380"/>
      <c r="F116380"/>
    </row>
    <row r="116381" spans="1:6" x14ac:dyDescent="0.25">
      <c r="A116381"/>
      <c r="B116381"/>
      <c r="C116381"/>
      <c r="E116381"/>
      <c r="F116381"/>
    </row>
    <row r="116382" spans="1:6" x14ac:dyDescent="0.25">
      <c r="A116382"/>
      <c r="B116382"/>
      <c r="C116382"/>
      <c r="E116382"/>
      <c r="F116382"/>
    </row>
    <row r="116383" spans="1:6" x14ac:dyDescent="0.25">
      <c r="A116383"/>
      <c r="B116383"/>
      <c r="C116383"/>
      <c r="E116383"/>
      <c r="F116383"/>
    </row>
    <row r="116384" spans="1:6" x14ac:dyDescent="0.25">
      <c r="A116384"/>
      <c r="B116384"/>
      <c r="C116384"/>
      <c r="E116384"/>
      <c r="F116384"/>
    </row>
    <row r="116385" spans="1:6" x14ac:dyDescent="0.25">
      <c r="A116385"/>
      <c r="B116385"/>
      <c r="C116385"/>
      <c r="E116385"/>
      <c r="F116385"/>
    </row>
    <row r="116386" spans="1:6" x14ac:dyDescent="0.25">
      <c r="A116386"/>
      <c r="B116386"/>
      <c r="C116386"/>
      <c r="E116386"/>
      <c r="F116386"/>
    </row>
    <row r="116387" spans="1:6" x14ac:dyDescent="0.25">
      <c r="A116387"/>
      <c r="B116387"/>
      <c r="C116387"/>
      <c r="E116387"/>
      <c r="F116387"/>
    </row>
    <row r="116388" spans="1:6" x14ac:dyDescent="0.25">
      <c r="A116388"/>
      <c r="B116388"/>
      <c r="C116388"/>
      <c r="E116388"/>
      <c r="F116388"/>
    </row>
    <row r="116389" spans="1:6" x14ac:dyDescent="0.25">
      <c r="A116389"/>
      <c r="B116389"/>
      <c r="C116389"/>
      <c r="E116389"/>
      <c r="F116389"/>
    </row>
    <row r="116390" spans="1:6" x14ac:dyDescent="0.25">
      <c r="A116390"/>
      <c r="B116390"/>
      <c r="C116390"/>
      <c r="E116390"/>
      <c r="F116390"/>
    </row>
    <row r="116391" spans="1:6" x14ac:dyDescent="0.25">
      <c r="A116391"/>
      <c r="B116391"/>
      <c r="C116391"/>
      <c r="E116391"/>
      <c r="F116391"/>
    </row>
    <row r="116392" spans="1:6" x14ac:dyDescent="0.25">
      <c r="A116392"/>
      <c r="B116392"/>
      <c r="C116392"/>
      <c r="E116392"/>
      <c r="F116392"/>
    </row>
    <row r="116393" spans="1:6" x14ac:dyDescent="0.25">
      <c r="A116393"/>
      <c r="B116393"/>
      <c r="C116393"/>
      <c r="E116393"/>
      <c r="F116393"/>
    </row>
    <row r="116394" spans="1:6" x14ac:dyDescent="0.25">
      <c r="A116394"/>
      <c r="B116394"/>
      <c r="C116394"/>
      <c r="E116394"/>
      <c r="F116394"/>
    </row>
    <row r="116395" spans="1:6" x14ac:dyDescent="0.25">
      <c r="A116395"/>
      <c r="B116395"/>
      <c r="C116395"/>
      <c r="E116395"/>
      <c r="F116395"/>
    </row>
    <row r="116396" spans="1:6" x14ac:dyDescent="0.25">
      <c r="A116396"/>
      <c r="B116396"/>
      <c r="C116396"/>
      <c r="E116396"/>
      <c r="F116396"/>
    </row>
    <row r="116397" spans="1:6" x14ac:dyDescent="0.25">
      <c r="A116397"/>
      <c r="B116397"/>
      <c r="C116397"/>
      <c r="E116397"/>
      <c r="F116397"/>
    </row>
    <row r="116398" spans="1:6" x14ac:dyDescent="0.25">
      <c r="A116398"/>
      <c r="B116398"/>
      <c r="C116398"/>
      <c r="E116398"/>
      <c r="F116398"/>
    </row>
    <row r="116399" spans="1:6" x14ac:dyDescent="0.25">
      <c r="A116399"/>
      <c r="B116399"/>
      <c r="C116399"/>
      <c r="E116399"/>
      <c r="F116399"/>
    </row>
    <row r="116400" spans="1:6" x14ac:dyDescent="0.25">
      <c r="A116400"/>
      <c r="B116400"/>
      <c r="C116400"/>
      <c r="E116400"/>
      <c r="F116400"/>
    </row>
    <row r="116401" spans="1:6" x14ac:dyDescent="0.25">
      <c r="A116401"/>
      <c r="B116401"/>
      <c r="C116401"/>
      <c r="E116401"/>
      <c r="F116401"/>
    </row>
    <row r="116402" spans="1:6" x14ac:dyDescent="0.25">
      <c r="A116402"/>
      <c r="B116402"/>
      <c r="C116402"/>
      <c r="E116402"/>
      <c r="F116402"/>
    </row>
    <row r="116403" spans="1:6" x14ac:dyDescent="0.25">
      <c r="A116403"/>
      <c r="B116403"/>
      <c r="C116403"/>
      <c r="E116403"/>
      <c r="F116403"/>
    </row>
    <row r="116404" spans="1:6" x14ac:dyDescent="0.25">
      <c r="A116404"/>
      <c r="B116404"/>
      <c r="C116404"/>
      <c r="E116404"/>
      <c r="F116404"/>
    </row>
    <row r="116405" spans="1:6" x14ac:dyDescent="0.25">
      <c r="A116405"/>
      <c r="B116405"/>
      <c r="C116405"/>
      <c r="E116405"/>
      <c r="F116405"/>
    </row>
    <row r="116406" spans="1:6" x14ac:dyDescent="0.25">
      <c r="A116406"/>
      <c r="B116406"/>
      <c r="C116406"/>
      <c r="E116406"/>
      <c r="F116406"/>
    </row>
    <row r="116407" spans="1:6" x14ac:dyDescent="0.25">
      <c r="A116407"/>
      <c r="B116407"/>
      <c r="C116407"/>
      <c r="E116407"/>
      <c r="F116407"/>
    </row>
    <row r="116408" spans="1:6" x14ac:dyDescent="0.25">
      <c r="A116408"/>
      <c r="B116408"/>
      <c r="C116408"/>
      <c r="E116408"/>
      <c r="F116408"/>
    </row>
    <row r="116409" spans="1:6" x14ac:dyDescent="0.25">
      <c r="A116409"/>
      <c r="B116409"/>
      <c r="C116409"/>
      <c r="E116409"/>
      <c r="F116409"/>
    </row>
    <row r="116410" spans="1:6" x14ac:dyDescent="0.25">
      <c r="A116410"/>
      <c r="B116410"/>
      <c r="C116410"/>
      <c r="E116410"/>
      <c r="F116410"/>
    </row>
    <row r="116411" spans="1:6" x14ac:dyDescent="0.25">
      <c r="A116411"/>
      <c r="B116411"/>
      <c r="C116411"/>
      <c r="E116411"/>
      <c r="F116411"/>
    </row>
    <row r="116412" spans="1:6" x14ac:dyDescent="0.25">
      <c r="A116412"/>
      <c r="B116412"/>
      <c r="C116412"/>
      <c r="E116412"/>
      <c r="F116412"/>
    </row>
    <row r="116413" spans="1:6" x14ac:dyDescent="0.25">
      <c r="A116413"/>
      <c r="B116413"/>
      <c r="C116413"/>
      <c r="E116413"/>
      <c r="F116413"/>
    </row>
    <row r="116414" spans="1:6" x14ac:dyDescent="0.25">
      <c r="A116414"/>
      <c r="B116414"/>
      <c r="C116414"/>
      <c r="E116414"/>
      <c r="F116414"/>
    </row>
    <row r="116415" spans="1:6" x14ac:dyDescent="0.25">
      <c r="A116415"/>
      <c r="B116415"/>
      <c r="C116415"/>
      <c r="E116415"/>
      <c r="F116415"/>
    </row>
    <row r="116416" spans="1:6" x14ac:dyDescent="0.25">
      <c r="A116416"/>
      <c r="B116416"/>
      <c r="C116416"/>
      <c r="E116416"/>
      <c r="F116416"/>
    </row>
    <row r="116417" spans="1:6" x14ac:dyDescent="0.25">
      <c r="A116417"/>
      <c r="B116417"/>
      <c r="C116417"/>
      <c r="E116417"/>
      <c r="F116417"/>
    </row>
    <row r="116418" spans="1:6" x14ac:dyDescent="0.25">
      <c r="A116418"/>
      <c r="B116418"/>
      <c r="C116418"/>
      <c r="E116418"/>
      <c r="F116418"/>
    </row>
    <row r="116419" spans="1:6" x14ac:dyDescent="0.25">
      <c r="A116419"/>
      <c r="B116419"/>
      <c r="C116419"/>
      <c r="E116419"/>
      <c r="F116419"/>
    </row>
    <row r="116420" spans="1:6" x14ac:dyDescent="0.25">
      <c r="A116420"/>
      <c r="B116420"/>
      <c r="C116420"/>
      <c r="E116420"/>
      <c r="F116420"/>
    </row>
    <row r="116421" spans="1:6" x14ac:dyDescent="0.25">
      <c r="A116421"/>
      <c r="B116421"/>
      <c r="C116421"/>
      <c r="E116421"/>
      <c r="F116421"/>
    </row>
    <row r="116422" spans="1:6" x14ac:dyDescent="0.25">
      <c r="A116422"/>
      <c r="B116422"/>
      <c r="C116422"/>
      <c r="E116422"/>
      <c r="F116422"/>
    </row>
    <row r="116423" spans="1:6" x14ac:dyDescent="0.25">
      <c r="A116423"/>
      <c r="B116423"/>
      <c r="C116423"/>
      <c r="E116423"/>
      <c r="F116423"/>
    </row>
    <row r="116424" spans="1:6" x14ac:dyDescent="0.25">
      <c r="A116424"/>
      <c r="B116424"/>
      <c r="C116424"/>
      <c r="E116424"/>
      <c r="F116424"/>
    </row>
    <row r="116425" spans="1:6" x14ac:dyDescent="0.25">
      <c r="A116425"/>
      <c r="B116425"/>
      <c r="C116425"/>
      <c r="E116425"/>
      <c r="F116425"/>
    </row>
    <row r="116426" spans="1:6" x14ac:dyDescent="0.25">
      <c r="A116426"/>
      <c r="B116426"/>
      <c r="C116426"/>
      <c r="E116426"/>
      <c r="F116426"/>
    </row>
    <row r="116427" spans="1:6" x14ac:dyDescent="0.25">
      <c r="A116427"/>
      <c r="B116427"/>
      <c r="C116427"/>
      <c r="E116427"/>
      <c r="F116427"/>
    </row>
    <row r="116428" spans="1:6" x14ac:dyDescent="0.25">
      <c r="A116428"/>
      <c r="B116428"/>
      <c r="C116428"/>
      <c r="E116428"/>
      <c r="F116428"/>
    </row>
    <row r="116429" spans="1:6" x14ac:dyDescent="0.25">
      <c r="A116429"/>
      <c r="B116429"/>
      <c r="C116429"/>
      <c r="E116429"/>
      <c r="F116429"/>
    </row>
    <row r="116430" spans="1:6" x14ac:dyDescent="0.25">
      <c r="A116430"/>
      <c r="B116430"/>
      <c r="C116430"/>
      <c r="E116430"/>
      <c r="F116430"/>
    </row>
    <row r="116431" spans="1:6" x14ac:dyDescent="0.25">
      <c r="A116431"/>
      <c r="B116431"/>
      <c r="C116431"/>
      <c r="E116431"/>
      <c r="F116431"/>
    </row>
    <row r="116432" spans="1:6" x14ac:dyDescent="0.25">
      <c r="A116432"/>
      <c r="B116432"/>
      <c r="C116432"/>
      <c r="E116432"/>
      <c r="F116432"/>
    </row>
    <row r="116433" spans="1:6" x14ac:dyDescent="0.25">
      <c r="A116433"/>
      <c r="B116433"/>
      <c r="C116433"/>
      <c r="E116433"/>
      <c r="F116433"/>
    </row>
    <row r="116434" spans="1:6" x14ac:dyDescent="0.25">
      <c r="A116434"/>
      <c r="B116434"/>
      <c r="C116434"/>
      <c r="E116434"/>
      <c r="F116434"/>
    </row>
    <row r="116435" spans="1:6" x14ac:dyDescent="0.25">
      <c r="A116435"/>
      <c r="B116435"/>
      <c r="C116435"/>
      <c r="E116435"/>
      <c r="F116435"/>
    </row>
    <row r="116436" spans="1:6" x14ac:dyDescent="0.25">
      <c r="A116436"/>
      <c r="B116436"/>
      <c r="C116436"/>
      <c r="E116436"/>
      <c r="F116436"/>
    </row>
    <row r="116437" spans="1:6" x14ac:dyDescent="0.25">
      <c r="A116437"/>
      <c r="B116437"/>
      <c r="C116437"/>
      <c r="E116437"/>
      <c r="F116437"/>
    </row>
    <row r="116438" spans="1:6" x14ac:dyDescent="0.25">
      <c r="A116438"/>
      <c r="B116438"/>
      <c r="C116438"/>
      <c r="E116438"/>
      <c r="F116438"/>
    </row>
    <row r="116439" spans="1:6" x14ac:dyDescent="0.25">
      <c r="A116439"/>
      <c r="B116439"/>
      <c r="C116439"/>
      <c r="E116439"/>
      <c r="F116439"/>
    </row>
    <row r="116440" spans="1:6" x14ac:dyDescent="0.25">
      <c r="A116440"/>
      <c r="B116440"/>
      <c r="C116440"/>
      <c r="E116440"/>
      <c r="F116440"/>
    </row>
    <row r="116441" spans="1:6" x14ac:dyDescent="0.25">
      <c r="A116441"/>
      <c r="B116441"/>
      <c r="C116441"/>
      <c r="E116441"/>
      <c r="F116441"/>
    </row>
    <row r="116442" spans="1:6" x14ac:dyDescent="0.25">
      <c r="A116442"/>
      <c r="B116442"/>
      <c r="C116442"/>
      <c r="E116442"/>
      <c r="F116442"/>
    </row>
    <row r="116443" spans="1:6" x14ac:dyDescent="0.25">
      <c r="A116443"/>
      <c r="B116443"/>
      <c r="C116443"/>
      <c r="E116443"/>
      <c r="F116443"/>
    </row>
    <row r="116444" spans="1:6" x14ac:dyDescent="0.25">
      <c r="A116444"/>
      <c r="B116444"/>
      <c r="C116444"/>
      <c r="E116444"/>
      <c r="F116444"/>
    </row>
    <row r="116445" spans="1:6" x14ac:dyDescent="0.25">
      <c r="A116445"/>
      <c r="B116445"/>
      <c r="C116445"/>
      <c r="E116445"/>
      <c r="F116445"/>
    </row>
    <row r="116446" spans="1:6" x14ac:dyDescent="0.25">
      <c r="A116446"/>
      <c r="B116446"/>
      <c r="C116446"/>
      <c r="E116446"/>
      <c r="F116446"/>
    </row>
    <row r="116447" spans="1:6" x14ac:dyDescent="0.25">
      <c r="A116447"/>
      <c r="B116447"/>
      <c r="C116447"/>
      <c r="E116447"/>
      <c r="F116447"/>
    </row>
    <row r="116448" spans="1:6" x14ac:dyDescent="0.25">
      <c r="A116448"/>
      <c r="B116448"/>
      <c r="C116448"/>
      <c r="E116448"/>
      <c r="F116448"/>
    </row>
    <row r="116449" spans="1:6" x14ac:dyDescent="0.25">
      <c r="A116449"/>
      <c r="B116449"/>
      <c r="C116449"/>
      <c r="E116449"/>
      <c r="F116449"/>
    </row>
    <row r="116450" spans="1:6" x14ac:dyDescent="0.25">
      <c r="A116450"/>
      <c r="B116450"/>
      <c r="C116450"/>
      <c r="E116450"/>
      <c r="F116450"/>
    </row>
    <row r="116451" spans="1:6" x14ac:dyDescent="0.25">
      <c r="A116451"/>
      <c r="B116451"/>
      <c r="C116451"/>
      <c r="E116451"/>
      <c r="F116451"/>
    </row>
    <row r="116452" spans="1:6" x14ac:dyDescent="0.25">
      <c r="A116452"/>
      <c r="B116452"/>
      <c r="C116452"/>
      <c r="E116452"/>
      <c r="F116452"/>
    </row>
    <row r="116453" spans="1:6" x14ac:dyDescent="0.25">
      <c r="A116453"/>
      <c r="B116453"/>
      <c r="C116453"/>
      <c r="E116453"/>
      <c r="F116453"/>
    </row>
    <row r="116454" spans="1:6" x14ac:dyDescent="0.25">
      <c r="A116454"/>
      <c r="B116454"/>
      <c r="C116454"/>
      <c r="E116454"/>
      <c r="F116454"/>
    </row>
    <row r="116455" spans="1:6" x14ac:dyDescent="0.25">
      <c r="A116455"/>
      <c r="B116455"/>
      <c r="C116455"/>
      <c r="E116455"/>
      <c r="F116455"/>
    </row>
    <row r="116456" spans="1:6" x14ac:dyDescent="0.25">
      <c r="A116456"/>
      <c r="B116456"/>
      <c r="C116456"/>
      <c r="E116456"/>
      <c r="F116456"/>
    </row>
    <row r="116457" spans="1:6" x14ac:dyDescent="0.25">
      <c r="A116457"/>
      <c r="B116457"/>
      <c r="C116457"/>
      <c r="E116457"/>
      <c r="F116457"/>
    </row>
    <row r="116458" spans="1:6" x14ac:dyDescent="0.25">
      <c r="A116458"/>
      <c r="B116458"/>
      <c r="C116458"/>
      <c r="E116458"/>
      <c r="F116458"/>
    </row>
    <row r="116459" spans="1:6" x14ac:dyDescent="0.25">
      <c r="A116459"/>
      <c r="B116459"/>
      <c r="C116459"/>
      <c r="E116459"/>
      <c r="F116459"/>
    </row>
    <row r="116460" spans="1:6" x14ac:dyDescent="0.25">
      <c r="A116460"/>
      <c r="B116460"/>
      <c r="C116460"/>
      <c r="E116460"/>
      <c r="F116460"/>
    </row>
    <row r="116461" spans="1:6" x14ac:dyDescent="0.25">
      <c r="A116461"/>
      <c r="B116461"/>
      <c r="C116461"/>
      <c r="E116461"/>
      <c r="F116461"/>
    </row>
    <row r="116462" spans="1:6" x14ac:dyDescent="0.25">
      <c r="A116462"/>
      <c r="B116462"/>
      <c r="C116462"/>
      <c r="E116462"/>
      <c r="F116462"/>
    </row>
    <row r="116463" spans="1:6" x14ac:dyDescent="0.25">
      <c r="A116463"/>
      <c r="B116463"/>
      <c r="C116463"/>
      <c r="E116463"/>
      <c r="F116463"/>
    </row>
    <row r="116464" spans="1:6" x14ac:dyDescent="0.25">
      <c r="A116464"/>
      <c r="B116464"/>
      <c r="C116464"/>
      <c r="E116464"/>
      <c r="F116464"/>
    </row>
    <row r="116465" spans="1:6" x14ac:dyDescent="0.25">
      <c r="A116465"/>
      <c r="B116465"/>
      <c r="C116465"/>
      <c r="E116465"/>
      <c r="F116465"/>
    </row>
    <row r="116466" spans="1:6" x14ac:dyDescent="0.25">
      <c r="A116466"/>
      <c r="B116466"/>
      <c r="C116466"/>
      <c r="E116466"/>
      <c r="F116466"/>
    </row>
    <row r="116467" spans="1:6" x14ac:dyDescent="0.25">
      <c r="A116467"/>
      <c r="B116467"/>
      <c r="C116467"/>
      <c r="E116467"/>
      <c r="F116467"/>
    </row>
    <row r="116468" spans="1:6" x14ac:dyDescent="0.25">
      <c r="A116468"/>
      <c r="B116468"/>
      <c r="C116468"/>
      <c r="E116468"/>
      <c r="F116468"/>
    </row>
    <row r="116469" spans="1:6" x14ac:dyDescent="0.25">
      <c r="A116469"/>
      <c r="B116469"/>
      <c r="C116469"/>
      <c r="E116469"/>
      <c r="F116469"/>
    </row>
    <row r="116470" spans="1:6" x14ac:dyDescent="0.25">
      <c r="A116470"/>
      <c r="B116470"/>
      <c r="C116470"/>
      <c r="E116470"/>
      <c r="F116470"/>
    </row>
    <row r="116471" spans="1:6" x14ac:dyDescent="0.25">
      <c r="A116471"/>
      <c r="B116471"/>
      <c r="C116471"/>
      <c r="E116471"/>
      <c r="F116471"/>
    </row>
    <row r="116472" spans="1:6" x14ac:dyDescent="0.25">
      <c r="A116472"/>
      <c r="B116472"/>
      <c r="C116472"/>
      <c r="E116472"/>
      <c r="F116472"/>
    </row>
    <row r="116473" spans="1:6" x14ac:dyDescent="0.25">
      <c r="A116473"/>
      <c r="B116473"/>
      <c r="C116473"/>
      <c r="E116473"/>
      <c r="F116473"/>
    </row>
    <row r="116474" spans="1:6" x14ac:dyDescent="0.25">
      <c r="A116474"/>
      <c r="B116474"/>
      <c r="C116474"/>
      <c r="E116474"/>
      <c r="F116474"/>
    </row>
    <row r="116475" spans="1:6" x14ac:dyDescent="0.25">
      <c r="A116475"/>
      <c r="B116475"/>
      <c r="C116475"/>
      <c r="E116475"/>
      <c r="F116475"/>
    </row>
    <row r="116476" spans="1:6" x14ac:dyDescent="0.25">
      <c r="A116476"/>
      <c r="B116476"/>
      <c r="C116476"/>
      <c r="E116476"/>
      <c r="F116476"/>
    </row>
    <row r="116477" spans="1:6" x14ac:dyDescent="0.25">
      <c r="A116477"/>
      <c r="B116477"/>
      <c r="C116477"/>
      <c r="E116477"/>
      <c r="F116477"/>
    </row>
    <row r="116478" spans="1:6" x14ac:dyDescent="0.25">
      <c r="A116478"/>
      <c r="B116478"/>
      <c r="C116478"/>
      <c r="E116478"/>
      <c r="F116478"/>
    </row>
    <row r="116479" spans="1:6" x14ac:dyDescent="0.25">
      <c r="A116479"/>
      <c r="B116479"/>
      <c r="C116479"/>
      <c r="E116479"/>
      <c r="F116479"/>
    </row>
    <row r="116480" spans="1:6" x14ac:dyDescent="0.25">
      <c r="A116480"/>
      <c r="B116480"/>
      <c r="C116480"/>
      <c r="E116480"/>
      <c r="F116480"/>
    </row>
    <row r="116481" spans="1:6" x14ac:dyDescent="0.25">
      <c r="A116481"/>
      <c r="B116481"/>
      <c r="C116481"/>
      <c r="E116481"/>
      <c r="F116481"/>
    </row>
    <row r="116482" spans="1:6" x14ac:dyDescent="0.25">
      <c r="A116482"/>
      <c r="B116482"/>
      <c r="C116482"/>
      <c r="E116482"/>
      <c r="F116482"/>
    </row>
    <row r="116483" spans="1:6" x14ac:dyDescent="0.25">
      <c r="A116483"/>
      <c r="B116483"/>
      <c r="C116483"/>
      <c r="E116483"/>
      <c r="F116483"/>
    </row>
    <row r="116484" spans="1:6" x14ac:dyDescent="0.25">
      <c r="A116484"/>
      <c r="B116484"/>
      <c r="C116484"/>
      <c r="E116484"/>
      <c r="F116484"/>
    </row>
    <row r="116485" spans="1:6" x14ac:dyDescent="0.25">
      <c r="A116485"/>
      <c r="B116485"/>
      <c r="C116485"/>
      <c r="E116485"/>
      <c r="F116485"/>
    </row>
    <row r="116486" spans="1:6" x14ac:dyDescent="0.25">
      <c r="A116486"/>
      <c r="B116486"/>
      <c r="C116486"/>
      <c r="E116486"/>
      <c r="F116486"/>
    </row>
    <row r="116487" spans="1:6" x14ac:dyDescent="0.25">
      <c r="A116487"/>
      <c r="B116487"/>
      <c r="C116487"/>
      <c r="E116487"/>
      <c r="F116487"/>
    </row>
    <row r="116488" spans="1:6" x14ac:dyDescent="0.25">
      <c r="A116488"/>
      <c r="B116488"/>
      <c r="C116488"/>
      <c r="E116488"/>
      <c r="F116488"/>
    </row>
    <row r="116489" spans="1:6" x14ac:dyDescent="0.25">
      <c r="A116489"/>
      <c r="B116489"/>
      <c r="C116489"/>
      <c r="E116489"/>
      <c r="F116489"/>
    </row>
    <row r="116490" spans="1:6" x14ac:dyDescent="0.25">
      <c r="A116490"/>
      <c r="B116490"/>
      <c r="C116490"/>
      <c r="E116490"/>
      <c r="F116490"/>
    </row>
    <row r="116491" spans="1:6" x14ac:dyDescent="0.25">
      <c r="A116491"/>
      <c r="B116491"/>
      <c r="C116491"/>
      <c r="E116491"/>
      <c r="F116491"/>
    </row>
    <row r="116492" spans="1:6" x14ac:dyDescent="0.25">
      <c r="A116492"/>
      <c r="B116492"/>
      <c r="C116492"/>
      <c r="E116492"/>
      <c r="F116492"/>
    </row>
    <row r="116493" spans="1:6" x14ac:dyDescent="0.25">
      <c r="A116493"/>
      <c r="B116493"/>
      <c r="C116493"/>
      <c r="E116493"/>
      <c r="F116493"/>
    </row>
    <row r="116494" spans="1:6" x14ac:dyDescent="0.25">
      <c r="A116494"/>
      <c r="B116494"/>
      <c r="C116494"/>
      <c r="E116494"/>
      <c r="F116494"/>
    </row>
    <row r="116495" spans="1:6" x14ac:dyDescent="0.25">
      <c r="A116495"/>
      <c r="B116495"/>
      <c r="C116495"/>
      <c r="E116495"/>
      <c r="F116495"/>
    </row>
    <row r="116496" spans="1:6" x14ac:dyDescent="0.25">
      <c r="A116496"/>
      <c r="B116496"/>
      <c r="C116496"/>
      <c r="E116496"/>
      <c r="F116496"/>
    </row>
    <row r="116497" spans="1:6" x14ac:dyDescent="0.25">
      <c r="A116497"/>
      <c r="B116497"/>
      <c r="C116497"/>
      <c r="E116497"/>
      <c r="F116497"/>
    </row>
    <row r="116498" spans="1:6" x14ac:dyDescent="0.25">
      <c r="A116498"/>
      <c r="B116498"/>
      <c r="C116498"/>
      <c r="E116498"/>
      <c r="F116498"/>
    </row>
    <row r="116499" spans="1:6" x14ac:dyDescent="0.25">
      <c r="A116499"/>
      <c r="B116499"/>
      <c r="C116499"/>
      <c r="E116499"/>
      <c r="F116499"/>
    </row>
    <row r="116500" spans="1:6" x14ac:dyDescent="0.25">
      <c r="A116500"/>
      <c r="B116500"/>
      <c r="C116500"/>
      <c r="E116500"/>
      <c r="F116500"/>
    </row>
    <row r="116501" spans="1:6" x14ac:dyDescent="0.25">
      <c r="A116501"/>
      <c r="B116501"/>
      <c r="C116501"/>
      <c r="E116501"/>
      <c r="F116501"/>
    </row>
    <row r="116502" spans="1:6" x14ac:dyDescent="0.25">
      <c r="A116502"/>
      <c r="B116502"/>
      <c r="C116502"/>
      <c r="E116502"/>
      <c r="F116502"/>
    </row>
    <row r="116503" spans="1:6" x14ac:dyDescent="0.25">
      <c r="A116503"/>
      <c r="B116503"/>
      <c r="C116503"/>
      <c r="E116503"/>
      <c r="F116503"/>
    </row>
    <row r="116504" spans="1:6" x14ac:dyDescent="0.25">
      <c r="A116504"/>
      <c r="B116504"/>
      <c r="C116504"/>
      <c r="E116504"/>
      <c r="F116504"/>
    </row>
    <row r="116505" spans="1:6" x14ac:dyDescent="0.25">
      <c r="A116505"/>
      <c r="B116505"/>
      <c r="C116505"/>
      <c r="E116505"/>
      <c r="F116505"/>
    </row>
    <row r="116506" spans="1:6" x14ac:dyDescent="0.25">
      <c r="A116506"/>
      <c r="B116506"/>
      <c r="C116506"/>
      <c r="E116506"/>
      <c r="F116506"/>
    </row>
    <row r="116507" spans="1:6" x14ac:dyDescent="0.25">
      <c r="A116507"/>
      <c r="B116507"/>
      <c r="C116507"/>
      <c r="E116507"/>
      <c r="F116507"/>
    </row>
    <row r="116508" spans="1:6" x14ac:dyDescent="0.25">
      <c r="A116508"/>
      <c r="B116508"/>
      <c r="C116508"/>
      <c r="E116508"/>
      <c r="F116508"/>
    </row>
    <row r="116509" spans="1:6" x14ac:dyDescent="0.25">
      <c r="A116509"/>
      <c r="B116509"/>
      <c r="C116509"/>
      <c r="E116509"/>
      <c r="F116509"/>
    </row>
    <row r="116510" spans="1:6" x14ac:dyDescent="0.25">
      <c r="A116510"/>
      <c r="B116510"/>
      <c r="C116510"/>
      <c r="E116510"/>
      <c r="F116510"/>
    </row>
    <row r="116511" spans="1:6" x14ac:dyDescent="0.25">
      <c r="A116511"/>
      <c r="B116511"/>
      <c r="C116511"/>
      <c r="E116511"/>
      <c r="F116511"/>
    </row>
    <row r="116512" spans="1:6" x14ac:dyDescent="0.25">
      <c r="A116512"/>
      <c r="B116512"/>
      <c r="C116512"/>
      <c r="E116512"/>
      <c r="F116512"/>
    </row>
    <row r="116513" spans="1:6" x14ac:dyDescent="0.25">
      <c r="A116513"/>
      <c r="B116513"/>
      <c r="C116513"/>
      <c r="E116513"/>
      <c r="F116513"/>
    </row>
    <row r="116514" spans="1:6" x14ac:dyDescent="0.25">
      <c r="A116514"/>
      <c r="B116514"/>
      <c r="C116514"/>
      <c r="E116514"/>
      <c r="F116514"/>
    </row>
    <row r="116515" spans="1:6" x14ac:dyDescent="0.25">
      <c r="A116515"/>
      <c r="B116515"/>
      <c r="C116515"/>
      <c r="E116515"/>
      <c r="F116515"/>
    </row>
    <row r="116516" spans="1:6" x14ac:dyDescent="0.25">
      <c r="A116516"/>
      <c r="B116516"/>
      <c r="C116516"/>
      <c r="E116516"/>
      <c r="F116516"/>
    </row>
    <row r="116517" spans="1:6" x14ac:dyDescent="0.25">
      <c r="A116517"/>
      <c r="B116517"/>
      <c r="C116517"/>
      <c r="E116517"/>
      <c r="F116517"/>
    </row>
    <row r="116518" spans="1:6" x14ac:dyDescent="0.25">
      <c r="A116518"/>
      <c r="B116518"/>
      <c r="C116518"/>
      <c r="E116518"/>
      <c r="F116518"/>
    </row>
    <row r="116519" spans="1:6" x14ac:dyDescent="0.25">
      <c r="A116519"/>
      <c r="B116519"/>
      <c r="C116519"/>
      <c r="E116519"/>
      <c r="F116519"/>
    </row>
    <row r="116520" spans="1:6" x14ac:dyDescent="0.25">
      <c r="A116520"/>
      <c r="B116520"/>
      <c r="C116520"/>
      <c r="E116520"/>
      <c r="F116520"/>
    </row>
    <row r="116521" spans="1:6" x14ac:dyDescent="0.25">
      <c r="A116521"/>
      <c r="B116521"/>
      <c r="C116521"/>
      <c r="E116521"/>
      <c r="F116521"/>
    </row>
    <row r="116522" spans="1:6" x14ac:dyDescent="0.25">
      <c r="A116522"/>
      <c r="B116522"/>
      <c r="C116522"/>
      <c r="E116522"/>
      <c r="F116522"/>
    </row>
    <row r="116523" spans="1:6" x14ac:dyDescent="0.25">
      <c r="A116523"/>
      <c r="B116523"/>
      <c r="C116523"/>
      <c r="E116523"/>
      <c r="F116523"/>
    </row>
    <row r="116524" spans="1:6" x14ac:dyDescent="0.25">
      <c r="A116524"/>
      <c r="B116524"/>
      <c r="C116524"/>
      <c r="E116524"/>
      <c r="F116524"/>
    </row>
    <row r="116525" spans="1:6" x14ac:dyDescent="0.25">
      <c r="A116525"/>
      <c r="B116525"/>
      <c r="C116525"/>
      <c r="E116525"/>
      <c r="F116525"/>
    </row>
    <row r="116526" spans="1:6" x14ac:dyDescent="0.25">
      <c r="A116526"/>
      <c r="B116526"/>
      <c r="C116526"/>
      <c r="E116526"/>
      <c r="F116526"/>
    </row>
    <row r="116527" spans="1:6" x14ac:dyDescent="0.25">
      <c r="A116527"/>
      <c r="B116527"/>
      <c r="C116527"/>
      <c r="E116527"/>
      <c r="F116527"/>
    </row>
    <row r="116528" spans="1:6" x14ac:dyDescent="0.25">
      <c r="A116528"/>
      <c r="B116528"/>
      <c r="C116528"/>
      <c r="E116528"/>
      <c r="F116528"/>
    </row>
    <row r="116529" spans="1:6" x14ac:dyDescent="0.25">
      <c r="A116529"/>
      <c r="B116529"/>
      <c r="C116529"/>
      <c r="E116529"/>
      <c r="F116529"/>
    </row>
    <row r="116530" spans="1:6" x14ac:dyDescent="0.25">
      <c r="A116530"/>
      <c r="B116530"/>
      <c r="C116530"/>
      <c r="E116530"/>
      <c r="F116530"/>
    </row>
    <row r="116531" spans="1:6" x14ac:dyDescent="0.25">
      <c r="A116531"/>
      <c r="B116531"/>
      <c r="C116531"/>
      <c r="E116531"/>
      <c r="F116531"/>
    </row>
    <row r="116532" spans="1:6" x14ac:dyDescent="0.25">
      <c r="A116532"/>
      <c r="B116532"/>
      <c r="C116532"/>
      <c r="E116532"/>
      <c r="F116532"/>
    </row>
    <row r="116533" spans="1:6" x14ac:dyDescent="0.25">
      <c r="A116533"/>
      <c r="B116533"/>
      <c r="C116533"/>
      <c r="E116533"/>
      <c r="F116533"/>
    </row>
    <row r="116534" spans="1:6" x14ac:dyDescent="0.25">
      <c r="A116534"/>
      <c r="B116534"/>
      <c r="C116534"/>
      <c r="E116534"/>
      <c r="F116534"/>
    </row>
    <row r="116535" spans="1:6" x14ac:dyDescent="0.25">
      <c r="A116535"/>
      <c r="B116535"/>
      <c r="C116535"/>
      <c r="E116535"/>
      <c r="F116535"/>
    </row>
    <row r="116536" spans="1:6" x14ac:dyDescent="0.25">
      <c r="A116536"/>
      <c r="B116536"/>
      <c r="C116536"/>
      <c r="E116536"/>
      <c r="F116536"/>
    </row>
    <row r="116537" spans="1:6" x14ac:dyDescent="0.25">
      <c r="A116537"/>
      <c r="B116537"/>
      <c r="C116537"/>
      <c r="E116537"/>
      <c r="F116537"/>
    </row>
    <row r="116538" spans="1:6" x14ac:dyDescent="0.25">
      <c r="A116538"/>
      <c r="B116538"/>
      <c r="C116538"/>
      <c r="E116538"/>
      <c r="F116538"/>
    </row>
    <row r="116539" spans="1:6" x14ac:dyDescent="0.25">
      <c r="A116539"/>
      <c r="B116539"/>
      <c r="C116539"/>
      <c r="E116539"/>
      <c r="F116539"/>
    </row>
    <row r="116540" spans="1:6" x14ac:dyDescent="0.25">
      <c r="A116540"/>
      <c r="B116540"/>
      <c r="C116540"/>
      <c r="E116540"/>
      <c r="F116540"/>
    </row>
    <row r="116541" spans="1:6" x14ac:dyDescent="0.25">
      <c r="A116541"/>
      <c r="B116541"/>
      <c r="C116541"/>
      <c r="E116541"/>
      <c r="F116541"/>
    </row>
    <row r="116542" spans="1:6" x14ac:dyDescent="0.25">
      <c r="A116542"/>
      <c r="B116542"/>
      <c r="C116542"/>
      <c r="E116542"/>
      <c r="F116542"/>
    </row>
    <row r="116543" spans="1:6" x14ac:dyDescent="0.25">
      <c r="A116543"/>
      <c r="B116543"/>
      <c r="C116543"/>
      <c r="E116543"/>
      <c r="F116543"/>
    </row>
    <row r="116544" spans="1:6" x14ac:dyDescent="0.25">
      <c r="A116544"/>
      <c r="B116544"/>
      <c r="C116544"/>
      <c r="E116544"/>
      <c r="F116544"/>
    </row>
    <row r="116545" spans="1:6" x14ac:dyDescent="0.25">
      <c r="A116545"/>
      <c r="B116545"/>
      <c r="C116545"/>
      <c r="E116545"/>
      <c r="F116545"/>
    </row>
    <row r="116546" spans="1:6" x14ac:dyDescent="0.25">
      <c r="A116546"/>
      <c r="B116546"/>
      <c r="C116546"/>
      <c r="E116546"/>
      <c r="F116546"/>
    </row>
    <row r="116547" spans="1:6" x14ac:dyDescent="0.25">
      <c r="A116547"/>
      <c r="B116547"/>
      <c r="C116547"/>
      <c r="E116547"/>
      <c r="F116547"/>
    </row>
    <row r="116548" spans="1:6" x14ac:dyDescent="0.25">
      <c r="A116548"/>
      <c r="B116548"/>
      <c r="C116548"/>
      <c r="E116548"/>
      <c r="F116548"/>
    </row>
    <row r="116549" spans="1:6" x14ac:dyDescent="0.25">
      <c r="A116549"/>
      <c r="B116549"/>
      <c r="C116549"/>
      <c r="E116549"/>
      <c r="F116549"/>
    </row>
    <row r="116550" spans="1:6" x14ac:dyDescent="0.25">
      <c r="A116550"/>
      <c r="B116550"/>
      <c r="C116550"/>
      <c r="E116550"/>
      <c r="F116550"/>
    </row>
    <row r="116551" spans="1:6" x14ac:dyDescent="0.25">
      <c r="A116551"/>
      <c r="B116551"/>
      <c r="C116551"/>
      <c r="E116551"/>
      <c r="F116551"/>
    </row>
    <row r="116552" spans="1:6" x14ac:dyDescent="0.25">
      <c r="A116552"/>
      <c r="B116552"/>
      <c r="C116552"/>
      <c r="E116552"/>
      <c r="F116552"/>
    </row>
    <row r="116553" spans="1:6" x14ac:dyDescent="0.25">
      <c r="A116553"/>
      <c r="B116553"/>
      <c r="C116553"/>
      <c r="E116553"/>
      <c r="F116553"/>
    </row>
    <row r="116554" spans="1:6" x14ac:dyDescent="0.25">
      <c r="A116554"/>
      <c r="B116554"/>
      <c r="C116554"/>
      <c r="E116554"/>
      <c r="F116554"/>
    </row>
    <row r="116555" spans="1:6" x14ac:dyDescent="0.25">
      <c r="A116555"/>
      <c r="B116555"/>
      <c r="C116555"/>
      <c r="E116555"/>
      <c r="F116555"/>
    </row>
    <row r="116556" spans="1:6" x14ac:dyDescent="0.25">
      <c r="A116556"/>
      <c r="B116556"/>
      <c r="C116556"/>
      <c r="E116556"/>
      <c r="F116556"/>
    </row>
    <row r="116557" spans="1:6" x14ac:dyDescent="0.25">
      <c r="A116557"/>
      <c r="B116557"/>
      <c r="C116557"/>
      <c r="E116557"/>
      <c r="F116557"/>
    </row>
    <row r="116558" spans="1:6" x14ac:dyDescent="0.25">
      <c r="A116558"/>
      <c r="B116558"/>
      <c r="C116558"/>
      <c r="E116558"/>
      <c r="F116558"/>
    </row>
    <row r="116559" spans="1:6" x14ac:dyDescent="0.25">
      <c r="A116559"/>
      <c r="B116559"/>
      <c r="C116559"/>
      <c r="E116559"/>
      <c r="F116559"/>
    </row>
    <row r="116560" spans="1:6" x14ac:dyDescent="0.25">
      <c r="A116560"/>
      <c r="B116560"/>
      <c r="C116560"/>
      <c r="E116560"/>
      <c r="F116560"/>
    </row>
    <row r="116561" spans="1:6" x14ac:dyDescent="0.25">
      <c r="A116561"/>
      <c r="B116561"/>
      <c r="C116561"/>
      <c r="E116561"/>
      <c r="F116561"/>
    </row>
    <row r="116562" spans="1:6" x14ac:dyDescent="0.25">
      <c r="A116562"/>
      <c r="B116562"/>
      <c r="C116562"/>
      <c r="E116562"/>
      <c r="F116562"/>
    </row>
    <row r="116563" spans="1:6" x14ac:dyDescent="0.25">
      <c r="A116563"/>
      <c r="B116563"/>
      <c r="C116563"/>
      <c r="E116563"/>
      <c r="F116563"/>
    </row>
    <row r="116564" spans="1:6" x14ac:dyDescent="0.25">
      <c r="A116564"/>
      <c r="B116564"/>
      <c r="C116564"/>
      <c r="E116564"/>
      <c r="F116564"/>
    </row>
    <row r="116565" spans="1:6" x14ac:dyDescent="0.25">
      <c r="A116565"/>
      <c r="B116565"/>
      <c r="C116565"/>
      <c r="E116565"/>
      <c r="F116565"/>
    </row>
    <row r="116566" spans="1:6" x14ac:dyDescent="0.25">
      <c r="A116566"/>
      <c r="B116566"/>
      <c r="C116566"/>
      <c r="E116566"/>
      <c r="F116566"/>
    </row>
    <row r="116567" spans="1:6" x14ac:dyDescent="0.25">
      <c r="A116567"/>
      <c r="B116567"/>
      <c r="C116567"/>
      <c r="E116567"/>
      <c r="F116567"/>
    </row>
    <row r="116568" spans="1:6" x14ac:dyDescent="0.25">
      <c r="A116568"/>
      <c r="B116568"/>
      <c r="C116568"/>
      <c r="E116568"/>
      <c r="F116568"/>
    </row>
    <row r="116569" spans="1:6" x14ac:dyDescent="0.25">
      <c r="A116569"/>
      <c r="B116569"/>
      <c r="C116569"/>
      <c r="E116569"/>
      <c r="F116569"/>
    </row>
    <row r="116570" spans="1:6" x14ac:dyDescent="0.25">
      <c r="A116570"/>
      <c r="B116570"/>
      <c r="C116570"/>
      <c r="E116570"/>
      <c r="F116570"/>
    </row>
    <row r="116571" spans="1:6" x14ac:dyDescent="0.25">
      <c r="A116571"/>
      <c r="B116571"/>
      <c r="C116571"/>
      <c r="E116571"/>
      <c r="F116571"/>
    </row>
    <row r="116572" spans="1:6" x14ac:dyDescent="0.25">
      <c r="A116572"/>
      <c r="B116572"/>
      <c r="C116572"/>
      <c r="E116572"/>
      <c r="F116572"/>
    </row>
    <row r="116573" spans="1:6" x14ac:dyDescent="0.25">
      <c r="A116573"/>
      <c r="B116573"/>
      <c r="C116573"/>
      <c r="E116573"/>
      <c r="F116573"/>
    </row>
    <row r="116574" spans="1:6" x14ac:dyDescent="0.25">
      <c r="A116574"/>
      <c r="B116574"/>
      <c r="C116574"/>
      <c r="E116574"/>
      <c r="F116574"/>
    </row>
    <row r="116575" spans="1:6" x14ac:dyDescent="0.25">
      <c r="A116575"/>
      <c r="B116575"/>
      <c r="C116575"/>
      <c r="E116575"/>
      <c r="F116575"/>
    </row>
    <row r="116576" spans="1:6" x14ac:dyDescent="0.25">
      <c r="A116576"/>
      <c r="B116576"/>
      <c r="C116576"/>
      <c r="E116576"/>
      <c r="F116576"/>
    </row>
    <row r="116577" spans="1:6" x14ac:dyDescent="0.25">
      <c r="A116577"/>
      <c r="B116577"/>
      <c r="C116577"/>
      <c r="E116577"/>
      <c r="F116577"/>
    </row>
    <row r="116578" spans="1:6" x14ac:dyDescent="0.25">
      <c r="A116578"/>
      <c r="B116578"/>
      <c r="C116578"/>
      <c r="E116578"/>
      <c r="F116578"/>
    </row>
    <row r="116579" spans="1:6" x14ac:dyDescent="0.25">
      <c r="A116579"/>
      <c r="B116579"/>
      <c r="C116579"/>
      <c r="E116579"/>
      <c r="F116579"/>
    </row>
    <row r="116580" spans="1:6" x14ac:dyDescent="0.25">
      <c r="A116580"/>
      <c r="B116580"/>
      <c r="C116580"/>
      <c r="E116580"/>
      <c r="F116580"/>
    </row>
    <row r="116581" spans="1:6" x14ac:dyDescent="0.25">
      <c r="A116581"/>
      <c r="B116581"/>
      <c r="C116581"/>
      <c r="E116581"/>
      <c r="F116581"/>
    </row>
    <row r="116582" spans="1:6" x14ac:dyDescent="0.25">
      <c r="A116582"/>
      <c r="B116582"/>
      <c r="C116582"/>
      <c r="E116582"/>
      <c r="F116582"/>
    </row>
    <row r="116583" spans="1:6" x14ac:dyDescent="0.25">
      <c r="A116583"/>
      <c r="B116583"/>
      <c r="C116583"/>
      <c r="E116583"/>
      <c r="F116583"/>
    </row>
    <row r="116584" spans="1:6" x14ac:dyDescent="0.25">
      <c r="A116584"/>
      <c r="B116584"/>
      <c r="C116584"/>
      <c r="E116584"/>
      <c r="F116584"/>
    </row>
    <row r="116585" spans="1:6" x14ac:dyDescent="0.25">
      <c r="A116585"/>
      <c r="B116585"/>
      <c r="C116585"/>
      <c r="E116585"/>
      <c r="F116585"/>
    </row>
    <row r="116586" spans="1:6" x14ac:dyDescent="0.25">
      <c r="A116586"/>
      <c r="B116586"/>
      <c r="C116586"/>
      <c r="E116586"/>
      <c r="F116586"/>
    </row>
    <row r="116587" spans="1:6" x14ac:dyDescent="0.25">
      <c r="A116587"/>
      <c r="B116587"/>
      <c r="C116587"/>
      <c r="E116587"/>
      <c r="F116587"/>
    </row>
    <row r="116588" spans="1:6" x14ac:dyDescent="0.25">
      <c r="A116588"/>
      <c r="B116588"/>
      <c r="C116588"/>
      <c r="E116588"/>
      <c r="F116588"/>
    </row>
    <row r="116589" spans="1:6" x14ac:dyDescent="0.25">
      <c r="A116589"/>
      <c r="B116589"/>
      <c r="C116589"/>
      <c r="E116589"/>
      <c r="F116589"/>
    </row>
    <row r="116590" spans="1:6" x14ac:dyDescent="0.25">
      <c r="A116590"/>
      <c r="B116590"/>
      <c r="C116590"/>
      <c r="E116590"/>
      <c r="F116590"/>
    </row>
    <row r="116591" spans="1:6" x14ac:dyDescent="0.25">
      <c r="A116591"/>
      <c r="B116591"/>
      <c r="C116591"/>
      <c r="E116591"/>
      <c r="F116591"/>
    </row>
    <row r="116592" spans="1:6" x14ac:dyDescent="0.25">
      <c r="A116592"/>
      <c r="B116592"/>
      <c r="C116592"/>
      <c r="E116592"/>
      <c r="F116592"/>
    </row>
    <row r="116593" spans="1:6" x14ac:dyDescent="0.25">
      <c r="A116593"/>
      <c r="B116593"/>
      <c r="C116593"/>
      <c r="E116593"/>
      <c r="F116593"/>
    </row>
    <row r="116594" spans="1:6" x14ac:dyDescent="0.25">
      <c r="A116594"/>
      <c r="B116594"/>
      <c r="C116594"/>
      <c r="E116594"/>
      <c r="F116594"/>
    </row>
    <row r="116595" spans="1:6" x14ac:dyDescent="0.25">
      <c r="A116595"/>
      <c r="B116595"/>
      <c r="C116595"/>
      <c r="E116595"/>
      <c r="F116595"/>
    </row>
    <row r="116596" spans="1:6" x14ac:dyDescent="0.25">
      <c r="A116596"/>
      <c r="B116596"/>
      <c r="C116596"/>
      <c r="E116596"/>
      <c r="F116596"/>
    </row>
    <row r="116597" spans="1:6" x14ac:dyDescent="0.25">
      <c r="A116597"/>
      <c r="B116597"/>
      <c r="C116597"/>
      <c r="E116597"/>
      <c r="F116597"/>
    </row>
    <row r="116598" spans="1:6" x14ac:dyDescent="0.25">
      <c r="A116598"/>
      <c r="B116598"/>
      <c r="C116598"/>
      <c r="E116598"/>
      <c r="F116598"/>
    </row>
    <row r="116599" spans="1:6" x14ac:dyDescent="0.25">
      <c r="A116599"/>
      <c r="B116599"/>
      <c r="C116599"/>
      <c r="E116599"/>
      <c r="F116599"/>
    </row>
    <row r="116600" spans="1:6" x14ac:dyDescent="0.25">
      <c r="A116600"/>
      <c r="B116600"/>
      <c r="C116600"/>
      <c r="E116600"/>
      <c r="F116600"/>
    </row>
    <row r="116601" spans="1:6" x14ac:dyDescent="0.25">
      <c r="A116601"/>
      <c r="B116601"/>
      <c r="C116601"/>
      <c r="E116601"/>
      <c r="F116601"/>
    </row>
    <row r="116602" spans="1:6" x14ac:dyDescent="0.25">
      <c r="A116602"/>
      <c r="B116602"/>
      <c r="C116602"/>
      <c r="E116602"/>
      <c r="F116602"/>
    </row>
    <row r="116603" spans="1:6" x14ac:dyDescent="0.25">
      <c r="A116603"/>
      <c r="B116603"/>
      <c r="C116603"/>
      <c r="E116603"/>
      <c r="F116603"/>
    </row>
    <row r="116604" spans="1:6" x14ac:dyDescent="0.25">
      <c r="A116604"/>
      <c r="B116604"/>
      <c r="C116604"/>
      <c r="E116604"/>
      <c r="F116604"/>
    </row>
    <row r="116605" spans="1:6" x14ac:dyDescent="0.25">
      <c r="A116605"/>
      <c r="B116605"/>
      <c r="C116605"/>
      <c r="E116605"/>
      <c r="F116605"/>
    </row>
    <row r="116606" spans="1:6" x14ac:dyDescent="0.25">
      <c r="A116606"/>
      <c r="B116606"/>
      <c r="C116606"/>
      <c r="E116606"/>
      <c r="F116606"/>
    </row>
    <row r="116607" spans="1:6" x14ac:dyDescent="0.25">
      <c r="A116607"/>
      <c r="B116607"/>
      <c r="C116607"/>
      <c r="E116607"/>
      <c r="F116607"/>
    </row>
    <row r="116608" spans="1:6" x14ac:dyDescent="0.25">
      <c r="A116608"/>
      <c r="B116608"/>
      <c r="C116608"/>
      <c r="E116608"/>
      <c r="F116608"/>
    </row>
    <row r="116609" spans="1:6" x14ac:dyDescent="0.25">
      <c r="A116609"/>
      <c r="B116609"/>
      <c r="C116609"/>
      <c r="E116609"/>
      <c r="F116609"/>
    </row>
    <row r="116610" spans="1:6" x14ac:dyDescent="0.25">
      <c r="A116610"/>
      <c r="B116610"/>
      <c r="C116610"/>
      <c r="E116610"/>
      <c r="F116610"/>
    </row>
    <row r="116611" spans="1:6" x14ac:dyDescent="0.25">
      <c r="A116611"/>
      <c r="B116611"/>
      <c r="C116611"/>
      <c r="E116611"/>
      <c r="F116611"/>
    </row>
    <row r="116612" spans="1:6" x14ac:dyDescent="0.25">
      <c r="A116612"/>
      <c r="B116612"/>
      <c r="C116612"/>
      <c r="E116612"/>
      <c r="F116612"/>
    </row>
    <row r="116613" spans="1:6" x14ac:dyDescent="0.25">
      <c r="A116613"/>
      <c r="B116613"/>
      <c r="C116613"/>
      <c r="E116613"/>
      <c r="F116613"/>
    </row>
    <row r="116614" spans="1:6" x14ac:dyDescent="0.25">
      <c r="A116614"/>
      <c r="B116614"/>
      <c r="C116614"/>
      <c r="E116614"/>
      <c r="F116614"/>
    </row>
    <row r="116615" spans="1:6" x14ac:dyDescent="0.25">
      <c r="A116615"/>
      <c r="B116615"/>
      <c r="C116615"/>
      <c r="E116615"/>
      <c r="F116615"/>
    </row>
    <row r="116616" spans="1:6" x14ac:dyDescent="0.25">
      <c r="A116616"/>
      <c r="B116616"/>
      <c r="C116616"/>
      <c r="E116616"/>
      <c r="F116616"/>
    </row>
    <row r="116617" spans="1:6" x14ac:dyDescent="0.25">
      <c r="A116617"/>
      <c r="B116617"/>
      <c r="C116617"/>
      <c r="E116617"/>
      <c r="F116617"/>
    </row>
    <row r="116618" spans="1:6" x14ac:dyDescent="0.25">
      <c r="A116618"/>
      <c r="B116618"/>
      <c r="C116618"/>
      <c r="E116618"/>
      <c r="F116618"/>
    </row>
    <row r="116619" spans="1:6" x14ac:dyDescent="0.25">
      <c r="A116619"/>
      <c r="B116619"/>
      <c r="C116619"/>
      <c r="E116619"/>
      <c r="F116619"/>
    </row>
    <row r="116620" spans="1:6" x14ac:dyDescent="0.25">
      <c r="A116620"/>
      <c r="B116620"/>
      <c r="C116620"/>
      <c r="E116620"/>
      <c r="F116620"/>
    </row>
    <row r="116621" spans="1:6" x14ac:dyDescent="0.25">
      <c r="A116621"/>
      <c r="B116621"/>
      <c r="C116621"/>
      <c r="E116621"/>
      <c r="F116621"/>
    </row>
    <row r="116622" spans="1:6" x14ac:dyDescent="0.25">
      <c r="A116622"/>
      <c r="B116622"/>
      <c r="C116622"/>
      <c r="E116622"/>
      <c r="F116622"/>
    </row>
    <row r="116623" spans="1:6" x14ac:dyDescent="0.25">
      <c r="A116623"/>
      <c r="B116623"/>
      <c r="C116623"/>
      <c r="E116623"/>
      <c r="F116623"/>
    </row>
    <row r="116624" spans="1:6" x14ac:dyDescent="0.25">
      <c r="A116624"/>
      <c r="B116624"/>
      <c r="C116624"/>
      <c r="E116624"/>
      <c r="F116624"/>
    </row>
    <row r="116625" spans="1:6" x14ac:dyDescent="0.25">
      <c r="A116625"/>
      <c r="B116625"/>
      <c r="C116625"/>
      <c r="E116625"/>
      <c r="F116625"/>
    </row>
    <row r="116626" spans="1:6" x14ac:dyDescent="0.25">
      <c r="A116626"/>
      <c r="B116626"/>
      <c r="C116626"/>
      <c r="E116626"/>
      <c r="F116626"/>
    </row>
    <row r="116627" spans="1:6" x14ac:dyDescent="0.25">
      <c r="A116627"/>
      <c r="B116627"/>
      <c r="C116627"/>
      <c r="E116627"/>
      <c r="F116627"/>
    </row>
    <row r="116628" spans="1:6" x14ac:dyDescent="0.25">
      <c r="A116628"/>
      <c r="B116628"/>
      <c r="C116628"/>
      <c r="E116628"/>
      <c r="F116628"/>
    </row>
    <row r="116629" spans="1:6" x14ac:dyDescent="0.25">
      <c r="A116629"/>
      <c r="B116629"/>
      <c r="C116629"/>
      <c r="E116629"/>
      <c r="F116629"/>
    </row>
    <row r="116630" spans="1:6" x14ac:dyDescent="0.25">
      <c r="A116630"/>
      <c r="B116630"/>
      <c r="C116630"/>
      <c r="E116630"/>
      <c r="F116630"/>
    </row>
    <row r="116631" spans="1:6" x14ac:dyDescent="0.25">
      <c r="A116631"/>
      <c r="B116631"/>
      <c r="C116631"/>
      <c r="E116631"/>
      <c r="F116631"/>
    </row>
    <row r="116632" spans="1:6" x14ac:dyDescent="0.25">
      <c r="A116632"/>
      <c r="B116632"/>
      <c r="C116632"/>
      <c r="E116632"/>
      <c r="F116632"/>
    </row>
    <row r="116633" spans="1:6" x14ac:dyDescent="0.25">
      <c r="A116633"/>
      <c r="B116633"/>
      <c r="C116633"/>
      <c r="E116633"/>
      <c r="F116633"/>
    </row>
    <row r="116634" spans="1:6" x14ac:dyDescent="0.25">
      <c r="A116634"/>
      <c r="B116634"/>
      <c r="C116634"/>
      <c r="E116634"/>
      <c r="F116634"/>
    </row>
    <row r="116635" spans="1:6" x14ac:dyDescent="0.25">
      <c r="A116635"/>
      <c r="B116635"/>
      <c r="C116635"/>
      <c r="E116635"/>
      <c r="F116635"/>
    </row>
    <row r="116636" spans="1:6" x14ac:dyDescent="0.25">
      <c r="A116636"/>
      <c r="B116636"/>
      <c r="C116636"/>
      <c r="E116636"/>
      <c r="F116636"/>
    </row>
    <row r="116637" spans="1:6" x14ac:dyDescent="0.25">
      <c r="A116637"/>
      <c r="B116637"/>
      <c r="C116637"/>
      <c r="E116637"/>
      <c r="F116637"/>
    </row>
    <row r="116638" spans="1:6" x14ac:dyDescent="0.25">
      <c r="A116638"/>
      <c r="B116638"/>
      <c r="C116638"/>
      <c r="E116638"/>
      <c r="F116638"/>
    </row>
    <row r="116639" spans="1:6" x14ac:dyDescent="0.25">
      <c r="A116639"/>
      <c r="B116639"/>
      <c r="C116639"/>
      <c r="E116639"/>
      <c r="F116639"/>
    </row>
    <row r="116640" spans="1:6" x14ac:dyDescent="0.25">
      <c r="A116640"/>
      <c r="B116640"/>
      <c r="C116640"/>
      <c r="E116640"/>
      <c r="F116640"/>
    </row>
    <row r="116641" spans="1:6" x14ac:dyDescent="0.25">
      <c r="A116641"/>
      <c r="B116641"/>
      <c r="C116641"/>
      <c r="E116641"/>
      <c r="F116641"/>
    </row>
    <row r="116642" spans="1:6" x14ac:dyDescent="0.25">
      <c r="A116642"/>
      <c r="B116642"/>
      <c r="C116642"/>
      <c r="E116642"/>
      <c r="F116642"/>
    </row>
    <row r="116643" spans="1:6" x14ac:dyDescent="0.25">
      <c r="A116643"/>
      <c r="B116643"/>
      <c r="C116643"/>
      <c r="E116643"/>
      <c r="F116643"/>
    </row>
    <row r="116644" spans="1:6" x14ac:dyDescent="0.25">
      <c r="A116644"/>
      <c r="B116644"/>
      <c r="C116644"/>
      <c r="E116644"/>
      <c r="F116644"/>
    </row>
    <row r="116645" spans="1:6" x14ac:dyDescent="0.25">
      <c r="A116645"/>
      <c r="B116645"/>
      <c r="C116645"/>
      <c r="E116645"/>
      <c r="F116645"/>
    </row>
    <row r="116646" spans="1:6" x14ac:dyDescent="0.25">
      <c r="A116646"/>
      <c r="B116646"/>
      <c r="C116646"/>
      <c r="E116646"/>
      <c r="F116646"/>
    </row>
    <row r="116647" spans="1:6" x14ac:dyDescent="0.25">
      <c r="A116647"/>
      <c r="B116647"/>
      <c r="C116647"/>
      <c r="E116647"/>
      <c r="F116647"/>
    </row>
    <row r="116648" spans="1:6" x14ac:dyDescent="0.25">
      <c r="A116648"/>
      <c r="B116648"/>
      <c r="C116648"/>
      <c r="E116648"/>
      <c r="F116648"/>
    </row>
    <row r="116649" spans="1:6" x14ac:dyDescent="0.25">
      <c r="A116649"/>
      <c r="B116649"/>
      <c r="C116649"/>
      <c r="E116649"/>
      <c r="F116649"/>
    </row>
    <row r="116650" spans="1:6" x14ac:dyDescent="0.25">
      <c r="A116650"/>
      <c r="B116650"/>
      <c r="C116650"/>
      <c r="E116650"/>
      <c r="F116650"/>
    </row>
    <row r="116651" spans="1:6" x14ac:dyDescent="0.25">
      <c r="A116651"/>
      <c r="B116651"/>
      <c r="C116651"/>
      <c r="E116651"/>
      <c r="F116651"/>
    </row>
    <row r="116652" spans="1:6" x14ac:dyDescent="0.25">
      <c r="A116652"/>
      <c r="B116652"/>
      <c r="C116652"/>
      <c r="E116652"/>
      <c r="F116652"/>
    </row>
    <row r="116653" spans="1:6" x14ac:dyDescent="0.25">
      <c r="A116653"/>
      <c r="B116653"/>
      <c r="C116653"/>
      <c r="E116653"/>
      <c r="F116653"/>
    </row>
    <row r="116654" spans="1:6" x14ac:dyDescent="0.25">
      <c r="A116654"/>
      <c r="B116654"/>
      <c r="C116654"/>
      <c r="E116654"/>
      <c r="F116654"/>
    </row>
    <row r="116655" spans="1:6" x14ac:dyDescent="0.25">
      <c r="A116655"/>
      <c r="B116655"/>
      <c r="C116655"/>
      <c r="E116655"/>
      <c r="F116655"/>
    </row>
    <row r="116656" spans="1:6" x14ac:dyDescent="0.25">
      <c r="A116656"/>
      <c r="B116656"/>
      <c r="C116656"/>
      <c r="E116656"/>
      <c r="F116656"/>
    </row>
    <row r="116657" spans="1:6" x14ac:dyDescent="0.25">
      <c r="A116657"/>
      <c r="B116657"/>
      <c r="C116657"/>
      <c r="E116657"/>
      <c r="F116657"/>
    </row>
    <row r="116658" spans="1:6" x14ac:dyDescent="0.25">
      <c r="A116658"/>
      <c r="B116658"/>
      <c r="C116658"/>
      <c r="E116658"/>
      <c r="F116658"/>
    </row>
    <row r="116659" spans="1:6" x14ac:dyDescent="0.25">
      <c r="A116659"/>
      <c r="B116659"/>
      <c r="C116659"/>
      <c r="E116659"/>
      <c r="F116659"/>
    </row>
    <row r="116660" spans="1:6" x14ac:dyDescent="0.25">
      <c r="A116660"/>
      <c r="B116660"/>
      <c r="C116660"/>
      <c r="E116660"/>
      <c r="F116660"/>
    </row>
    <row r="116661" spans="1:6" x14ac:dyDescent="0.25">
      <c r="A116661"/>
      <c r="B116661"/>
      <c r="C116661"/>
      <c r="E116661"/>
      <c r="F116661"/>
    </row>
    <row r="116662" spans="1:6" x14ac:dyDescent="0.25">
      <c r="A116662"/>
      <c r="B116662"/>
      <c r="C116662"/>
      <c r="E116662"/>
      <c r="F116662"/>
    </row>
    <row r="116663" spans="1:6" x14ac:dyDescent="0.25">
      <c r="A116663"/>
      <c r="B116663"/>
      <c r="C116663"/>
      <c r="E116663"/>
      <c r="F116663"/>
    </row>
    <row r="116664" spans="1:6" x14ac:dyDescent="0.25">
      <c r="A116664"/>
      <c r="B116664"/>
      <c r="C116664"/>
      <c r="E116664"/>
      <c r="F116664"/>
    </row>
    <row r="116665" spans="1:6" x14ac:dyDescent="0.25">
      <c r="A116665"/>
      <c r="B116665"/>
      <c r="C116665"/>
      <c r="E116665"/>
      <c r="F116665"/>
    </row>
    <row r="116666" spans="1:6" x14ac:dyDescent="0.25">
      <c r="A116666"/>
      <c r="B116666"/>
      <c r="C116666"/>
      <c r="E116666"/>
      <c r="F116666"/>
    </row>
    <row r="116667" spans="1:6" x14ac:dyDescent="0.25">
      <c r="A116667"/>
      <c r="B116667"/>
      <c r="C116667"/>
      <c r="E116667"/>
      <c r="F116667"/>
    </row>
    <row r="116668" spans="1:6" x14ac:dyDescent="0.25">
      <c r="A116668"/>
      <c r="B116668"/>
      <c r="C116668"/>
      <c r="E116668"/>
      <c r="F116668"/>
    </row>
    <row r="116669" spans="1:6" x14ac:dyDescent="0.25">
      <c r="A116669"/>
      <c r="B116669"/>
      <c r="C116669"/>
      <c r="E116669"/>
      <c r="F116669"/>
    </row>
    <row r="116670" spans="1:6" x14ac:dyDescent="0.25">
      <c r="A116670"/>
      <c r="B116670"/>
      <c r="C116670"/>
      <c r="E116670"/>
      <c r="F116670"/>
    </row>
    <row r="116671" spans="1:6" x14ac:dyDescent="0.25">
      <c r="A116671"/>
      <c r="B116671"/>
      <c r="C116671"/>
      <c r="E116671"/>
      <c r="F116671"/>
    </row>
    <row r="116672" spans="1:6" x14ac:dyDescent="0.25">
      <c r="A116672"/>
      <c r="B116672"/>
      <c r="C116672"/>
      <c r="E116672"/>
      <c r="F116672"/>
    </row>
    <row r="116673" spans="1:6" x14ac:dyDescent="0.25">
      <c r="A116673"/>
      <c r="B116673"/>
      <c r="C116673"/>
      <c r="E116673"/>
      <c r="F116673"/>
    </row>
    <row r="116674" spans="1:6" x14ac:dyDescent="0.25">
      <c r="A116674"/>
      <c r="B116674"/>
      <c r="C116674"/>
      <c r="E116674"/>
      <c r="F116674"/>
    </row>
    <row r="116675" spans="1:6" x14ac:dyDescent="0.25">
      <c r="A116675"/>
      <c r="B116675"/>
      <c r="C116675"/>
      <c r="E116675"/>
      <c r="F116675"/>
    </row>
    <row r="116676" spans="1:6" x14ac:dyDescent="0.25">
      <c r="A116676"/>
      <c r="B116676"/>
      <c r="C116676"/>
      <c r="E116676"/>
      <c r="F116676"/>
    </row>
    <row r="116677" spans="1:6" x14ac:dyDescent="0.25">
      <c r="A116677"/>
      <c r="B116677"/>
      <c r="C116677"/>
      <c r="E116677"/>
      <c r="F116677"/>
    </row>
    <row r="116678" spans="1:6" x14ac:dyDescent="0.25">
      <c r="A116678"/>
      <c r="B116678"/>
      <c r="C116678"/>
      <c r="E116678"/>
      <c r="F116678"/>
    </row>
    <row r="116679" spans="1:6" x14ac:dyDescent="0.25">
      <c r="A116679"/>
      <c r="B116679"/>
      <c r="C116679"/>
      <c r="E116679"/>
      <c r="F116679"/>
    </row>
    <row r="116680" spans="1:6" x14ac:dyDescent="0.25">
      <c r="A116680"/>
      <c r="B116680"/>
      <c r="C116680"/>
      <c r="E116680"/>
      <c r="F116680"/>
    </row>
    <row r="116681" spans="1:6" x14ac:dyDescent="0.25">
      <c r="A116681"/>
      <c r="B116681"/>
      <c r="C116681"/>
      <c r="E116681"/>
      <c r="F116681"/>
    </row>
    <row r="116682" spans="1:6" x14ac:dyDescent="0.25">
      <c r="A116682"/>
      <c r="B116682"/>
      <c r="C116682"/>
      <c r="E116682"/>
      <c r="F116682"/>
    </row>
    <row r="116683" spans="1:6" x14ac:dyDescent="0.25">
      <c r="A116683"/>
      <c r="B116683"/>
      <c r="C116683"/>
      <c r="E116683"/>
      <c r="F116683"/>
    </row>
    <row r="116684" spans="1:6" x14ac:dyDescent="0.25">
      <c r="A116684"/>
      <c r="B116684"/>
      <c r="C116684"/>
      <c r="E116684"/>
      <c r="F116684"/>
    </row>
    <row r="116685" spans="1:6" x14ac:dyDescent="0.25">
      <c r="A116685"/>
      <c r="B116685"/>
      <c r="C116685"/>
      <c r="E116685"/>
      <c r="F116685"/>
    </row>
    <row r="116686" spans="1:6" x14ac:dyDescent="0.25">
      <c r="A116686"/>
      <c r="B116686"/>
      <c r="C116686"/>
      <c r="E116686"/>
      <c r="F116686"/>
    </row>
    <row r="116687" spans="1:6" x14ac:dyDescent="0.25">
      <c r="A116687"/>
      <c r="B116687"/>
      <c r="C116687"/>
      <c r="E116687"/>
      <c r="F116687"/>
    </row>
    <row r="116688" spans="1:6" x14ac:dyDescent="0.25">
      <c r="A116688"/>
      <c r="B116688"/>
      <c r="C116688"/>
      <c r="E116688"/>
      <c r="F116688"/>
    </row>
    <row r="116689" spans="1:6" x14ac:dyDescent="0.25">
      <c r="A116689"/>
      <c r="B116689"/>
      <c r="C116689"/>
      <c r="E116689"/>
      <c r="F116689"/>
    </row>
    <row r="116690" spans="1:6" x14ac:dyDescent="0.25">
      <c r="A116690"/>
      <c r="B116690"/>
      <c r="C116690"/>
      <c r="E116690"/>
      <c r="F116690"/>
    </row>
    <row r="116691" spans="1:6" x14ac:dyDescent="0.25">
      <c r="A116691"/>
      <c r="B116691"/>
      <c r="C116691"/>
      <c r="E116691"/>
      <c r="F116691"/>
    </row>
    <row r="116692" spans="1:6" x14ac:dyDescent="0.25">
      <c r="A116692"/>
      <c r="B116692"/>
      <c r="C116692"/>
      <c r="E116692"/>
      <c r="F116692"/>
    </row>
    <row r="116693" spans="1:6" x14ac:dyDescent="0.25">
      <c r="A116693"/>
      <c r="B116693"/>
      <c r="C116693"/>
      <c r="E116693"/>
      <c r="F116693"/>
    </row>
    <row r="116694" spans="1:6" x14ac:dyDescent="0.25">
      <c r="A116694"/>
      <c r="B116694"/>
      <c r="C116694"/>
      <c r="E116694"/>
      <c r="F116694"/>
    </row>
    <row r="116695" spans="1:6" x14ac:dyDescent="0.25">
      <c r="A116695"/>
      <c r="B116695"/>
      <c r="C116695"/>
      <c r="E116695"/>
      <c r="F116695"/>
    </row>
    <row r="116696" spans="1:6" x14ac:dyDescent="0.25">
      <c r="A116696"/>
      <c r="B116696"/>
      <c r="C116696"/>
      <c r="E116696"/>
      <c r="F116696"/>
    </row>
    <row r="116697" spans="1:6" x14ac:dyDescent="0.25">
      <c r="A116697"/>
      <c r="B116697"/>
      <c r="C116697"/>
      <c r="E116697"/>
      <c r="F116697"/>
    </row>
    <row r="116698" spans="1:6" x14ac:dyDescent="0.25">
      <c r="A116698"/>
      <c r="B116698"/>
      <c r="C116698"/>
      <c r="E116698"/>
      <c r="F116698"/>
    </row>
    <row r="116699" spans="1:6" x14ac:dyDescent="0.25">
      <c r="A116699"/>
      <c r="B116699"/>
      <c r="C116699"/>
      <c r="E116699"/>
      <c r="F116699"/>
    </row>
    <row r="116700" spans="1:6" x14ac:dyDescent="0.25">
      <c r="A116700"/>
      <c r="B116700"/>
      <c r="C116700"/>
      <c r="E116700"/>
      <c r="F116700"/>
    </row>
    <row r="116701" spans="1:6" x14ac:dyDescent="0.25">
      <c r="A116701"/>
      <c r="B116701"/>
      <c r="C116701"/>
      <c r="E116701"/>
      <c r="F116701"/>
    </row>
    <row r="116702" spans="1:6" x14ac:dyDescent="0.25">
      <c r="A116702"/>
      <c r="B116702"/>
      <c r="C116702"/>
      <c r="E116702"/>
      <c r="F116702"/>
    </row>
    <row r="116703" spans="1:6" x14ac:dyDescent="0.25">
      <c r="A116703"/>
      <c r="B116703"/>
      <c r="C116703"/>
      <c r="E116703"/>
      <c r="F116703"/>
    </row>
    <row r="116704" spans="1:6" x14ac:dyDescent="0.25">
      <c r="A116704"/>
      <c r="B116704"/>
      <c r="C116704"/>
      <c r="E116704"/>
      <c r="F116704"/>
    </row>
    <row r="116705" spans="1:6" x14ac:dyDescent="0.25">
      <c r="A116705"/>
      <c r="B116705"/>
      <c r="C116705"/>
      <c r="E116705"/>
      <c r="F116705"/>
    </row>
    <row r="116706" spans="1:6" x14ac:dyDescent="0.25">
      <c r="A116706"/>
      <c r="B116706"/>
      <c r="C116706"/>
      <c r="E116706"/>
      <c r="F116706"/>
    </row>
    <row r="116707" spans="1:6" x14ac:dyDescent="0.25">
      <c r="A116707"/>
      <c r="B116707"/>
      <c r="C116707"/>
      <c r="E116707"/>
      <c r="F116707"/>
    </row>
    <row r="116708" spans="1:6" x14ac:dyDescent="0.25">
      <c r="A116708"/>
      <c r="B116708"/>
      <c r="C116708"/>
      <c r="E116708"/>
      <c r="F116708"/>
    </row>
    <row r="116709" spans="1:6" x14ac:dyDescent="0.25">
      <c r="A116709"/>
      <c r="B116709"/>
      <c r="C116709"/>
      <c r="E116709"/>
      <c r="F116709"/>
    </row>
    <row r="116710" spans="1:6" x14ac:dyDescent="0.25">
      <c r="A116710"/>
      <c r="B116710"/>
      <c r="C116710"/>
      <c r="E116710"/>
      <c r="F116710"/>
    </row>
    <row r="116711" spans="1:6" x14ac:dyDescent="0.25">
      <c r="A116711"/>
      <c r="B116711"/>
      <c r="C116711"/>
      <c r="E116711"/>
      <c r="F116711"/>
    </row>
    <row r="116712" spans="1:6" x14ac:dyDescent="0.25">
      <c r="A116712"/>
      <c r="B116712"/>
      <c r="C116712"/>
      <c r="E116712"/>
      <c r="F116712"/>
    </row>
    <row r="116713" spans="1:6" x14ac:dyDescent="0.25">
      <c r="A116713"/>
      <c r="B116713"/>
      <c r="C116713"/>
      <c r="E116713"/>
      <c r="F116713"/>
    </row>
    <row r="116714" spans="1:6" x14ac:dyDescent="0.25">
      <c r="A116714"/>
      <c r="B116714"/>
      <c r="C116714"/>
      <c r="E116714"/>
      <c r="F116714"/>
    </row>
    <row r="116715" spans="1:6" x14ac:dyDescent="0.25">
      <c r="A116715"/>
      <c r="B116715"/>
      <c r="C116715"/>
      <c r="E116715"/>
      <c r="F116715"/>
    </row>
    <row r="116716" spans="1:6" x14ac:dyDescent="0.25">
      <c r="A116716"/>
      <c r="B116716"/>
      <c r="C116716"/>
      <c r="E116716"/>
      <c r="F116716"/>
    </row>
    <row r="116717" spans="1:6" x14ac:dyDescent="0.25">
      <c r="A116717"/>
      <c r="B116717"/>
      <c r="C116717"/>
      <c r="E116717"/>
      <c r="F116717"/>
    </row>
    <row r="116718" spans="1:6" x14ac:dyDescent="0.25">
      <c r="A116718"/>
      <c r="B116718"/>
      <c r="C116718"/>
      <c r="E116718"/>
      <c r="F116718"/>
    </row>
    <row r="116719" spans="1:6" x14ac:dyDescent="0.25">
      <c r="A116719"/>
      <c r="B116719"/>
      <c r="C116719"/>
      <c r="E116719"/>
      <c r="F116719"/>
    </row>
    <row r="116720" spans="1:6" x14ac:dyDescent="0.25">
      <c r="A116720"/>
      <c r="B116720"/>
      <c r="C116720"/>
      <c r="E116720"/>
      <c r="F116720"/>
    </row>
    <row r="116721" spans="1:6" x14ac:dyDescent="0.25">
      <c r="A116721"/>
      <c r="B116721"/>
      <c r="C116721"/>
      <c r="E116721"/>
      <c r="F116721"/>
    </row>
    <row r="116722" spans="1:6" x14ac:dyDescent="0.25">
      <c r="A116722"/>
      <c r="B116722"/>
      <c r="C116722"/>
      <c r="E116722"/>
      <c r="F116722"/>
    </row>
    <row r="116723" spans="1:6" x14ac:dyDescent="0.25">
      <c r="A116723"/>
      <c r="B116723"/>
      <c r="C116723"/>
      <c r="E116723"/>
      <c r="F116723"/>
    </row>
    <row r="116724" spans="1:6" x14ac:dyDescent="0.25">
      <c r="A116724"/>
      <c r="B116724"/>
      <c r="C116724"/>
      <c r="E116724"/>
      <c r="F116724"/>
    </row>
    <row r="116725" spans="1:6" x14ac:dyDescent="0.25">
      <c r="A116725"/>
      <c r="B116725"/>
      <c r="C116725"/>
      <c r="E116725"/>
      <c r="F116725"/>
    </row>
    <row r="116726" spans="1:6" x14ac:dyDescent="0.25">
      <c r="A116726"/>
      <c r="B116726"/>
      <c r="C116726"/>
      <c r="E116726"/>
      <c r="F116726"/>
    </row>
    <row r="116727" spans="1:6" x14ac:dyDescent="0.25">
      <c r="A116727"/>
      <c r="B116727"/>
      <c r="C116727"/>
      <c r="E116727"/>
      <c r="F116727"/>
    </row>
    <row r="116728" spans="1:6" x14ac:dyDescent="0.25">
      <c r="A116728"/>
      <c r="B116728"/>
      <c r="C116728"/>
      <c r="E116728"/>
      <c r="F116728"/>
    </row>
    <row r="116729" spans="1:6" x14ac:dyDescent="0.25">
      <c r="A116729"/>
      <c r="B116729"/>
      <c r="C116729"/>
      <c r="E116729"/>
      <c r="F116729"/>
    </row>
    <row r="116730" spans="1:6" x14ac:dyDescent="0.25">
      <c r="A116730"/>
      <c r="B116730"/>
      <c r="C116730"/>
      <c r="E116730"/>
      <c r="F116730"/>
    </row>
    <row r="116731" spans="1:6" x14ac:dyDescent="0.25">
      <c r="A116731"/>
      <c r="B116731"/>
      <c r="C116731"/>
      <c r="E116731"/>
      <c r="F116731"/>
    </row>
    <row r="116732" spans="1:6" x14ac:dyDescent="0.25">
      <c r="A116732"/>
      <c r="B116732"/>
      <c r="C116732"/>
      <c r="E116732"/>
      <c r="F116732"/>
    </row>
    <row r="116733" spans="1:6" x14ac:dyDescent="0.25">
      <c r="A116733"/>
      <c r="B116733"/>
      <c r="C116733"/>
      <c r="E116733"/>
      <c r="F116733"/>
    </row>
    <row r="116734" spans="1:6" x14ac:dyDescent="0.25">
      <c r="A116734"/>
      <c r="B116734"/>
      <c r="C116734"/>
      <c r="E116734"/>
      <c r="F116734"/>
    </row>
    <row r="116735" spans="1:6" x14ac:dyDescent="0.25">
      <c r="A116735"/>
      <c r="B116735"/>
      <c r="C116735"/>
      <c r="E116735"/>
      <c r="F116735"/>
    </row>
    <row r="116736" spans="1:6" x14ac:dyDescent="0.25">
      <c r="A116736"/>
      <c r="B116736"/>
      <c r="C116736"/>
      <c r="E116736"/>
      <c r="F116736"/>
    </row>
    <row r="116737" spans="1:6" x14ac:dyDescent="0.25">
      <c r="A116737"/>
      <c r="B116737"/>
      <c r="C116737"/>
      <c r="E116737"/>
      <c r="F116737"/>
    </row>
    <row r="116738" spans="1:6" x14ac:dyDescent="0.25">
      <c r="A116738"/>
      <c r="B116738"/>
      <c r="C116738"/>
      <c r="E116738"/>
      <c r="F116738"/>
    </row>
    <row r="116739" spans="1:6" x14ac:dyDescent="0.25">
      <c r="A116739"/>
      <c r="B116739"/>
      <c r="C116739"/>
      <c r="E116739"/>
      <c r="F116739"/>
    </row>
    <row r="116740" spans="1:6" x14ac:dyDescent="0.25">
      <c r="A116740"/>
      <c r="B116740"/>
      <c r="C116740"/>
      <c r="E116740"/>
      <c r="F116740"/>
    </row>
    <row r="116741" spans="1:6" x14ac:dyDescent="0.25">
      <c r="A116741"/>
      <c r="B116741"/>
      <c r="C116741"/>
      <c r="E116741"/>
      <c r="F116741"/>
    </row>
    <row r="116742" spans="1:6" x14ac:dyDescent="0.25">
      <c r="A116742"/>
      <c r="B116742"/>
      <c r="C116742"/>
      <c r="E116742"/>
      <c r="F116742"/>
    </row>
    <row r="116743" spans="1:6" x14ac:dyDescent="0.25">
      <c r="A116743"/>
      <c r="B116743"/>
      <c r="C116743"/>
      <c r="E116743"/>
      <c r="F116743"/>
    </row>
    <row r="116744" spans="1:6" x14ac:dyDescent="0.25">
      <c r="A116744"/>
      <c r="B116744"/>
      <c r="C116744"/>
      <c r="E116744"/>
      <c r="F116744"/>
    </row>
    <row r="116745" spans="1:6" x14ac:dyDescent="0.25">
      <c r="A116745"/>
      <c r="B116745"/>
      <c r="C116745"/>
      <c r="E116745"/>
      <c r="F116745"/>
    </row>
    <row r="116746" spans="1:6" x14ac:dyDescent="0.25">
      <c r="A116746"/>
      <c r="B116746"/>
      <c r="C116746"/>
      <c r="E116746"/>
      <c r="F116746"/>
    </row>
    <row r="116747" spans="1:6" x14ac:dyDescent="0.25">
      <c r="A116747"/>
      <c r="B116747"/>
      <c r="C116747"/>
      <c r="E116747"/>
      <c r="F116747"/>
    </row>
    <row r="116748" spans="1:6" x14ac:dyDescent="0.25">
      <c r="A116748"/>
      <c r="B116748"/>
      <c r="C116748"/>
      <c r="E116748"/>
      <c r="F116748"/>
    </row>
    <row r="116749" spans="1:6" x14ac:dyDescent="0.25">
      <c r="A116749"/>
      <c r="B116749"/>
      <c r="C116749"/>
      <c r="E116749"/>
      <c r="F116749"/>
    </row>
    <row r="116750" spans="1:6" x14ac:dyDescent="0.25">
      <c r="A116750"/>
      <c r="B116750"/>
      <c r="C116750"/>
      <c r="E116750"/>
      <c r="F116750"/>
    </row>
    <row r="116751" spans="1:6" x14ac:dyDescent="0.25">
      <c r="A116751"/>
      <c r="B116751"/>
      <c r="C116751"/>
      <c r="E116751"/>
      <c r="F116751"/>
    </row>
    <row r="116752" spans="1:6" x14ac:dyDescent="0.25">
      <c r="A116752"/>
      <c r="B116752"/>
      <c r="C116752"/>
      <c r="E116752"/>
      <c r="F116752"/>
    </row>
    <row r="116753" spans="1:6" x14ac:dyDescent="0.25">
      <c r="A116753"/>
      <c r="B116753"/>
      <c r="C116753"/>
      <c r="E116753"/>
      <c r="F116753"/>
    </row>
    <row r="116754" spans="1:6" x14ac:dyDescent="0.25">
      <c r="A116754"/>
      <c r="B116754"/>
      <c r="C116754"/>
      <c r="E116754"/>
      <c r="F116754"/>
    </row>
    <row r="116755" spans="1:6" x14ac:dyDescent="0.25">
      <c r="A116755"/>
      <c r="B116755"/>
      <c r="C116755"/>
      <c r="E116755"/>
      <c r="F116755"/>
    </row>
    <row r="116756" spans="1:6" x14ac:dyDescent="0.25">
      <c r="A116756"/>
      <c r="B116756"/>
      <c r="C116756"/>
      <c r="E116756"/>
      <c r="F116756"/>
    </row>
    <row r="116757" spans="1:6" x14ac:dyDescent="0.25">
      <c r="A116757"/>
      <c r="B116757"/>
      <c r="C116757"/>
      <c r="E116757"/>
      <c r="F116757"/>
    </row>
    <row r="116758" spans="1:6" x14ac:dyDescent="0.25">
      <c r="A116758"/>
      <c r="B116758"/>
      <c r="C116758"/>
      <c r="E116758"/>
      <c r="F116758"/>
    </row>
    <row r="116759" spans="1:6" x14ac:dyDescent="0.25">
      <c r="A116759"/>
      <c r="B116759"/>
      <c r="C116759"/>
      <c r="E116759"/>
      <c r="F116759"/>
    </row>
    <row r="116760" spans="1:6" x14ac:dyDescent="0.25">
      <c r="A116760"/>
      <c r="B116760"/>
      <c r="C116760"/>
      <c r="E116760"/>
      <c r="F116760"/>
    </row>
    <row r="116761" spans="1:6" x14ac:dyDescent="0.25">
      <c r="A116761"/>
      <c r="B116761"/>
      <c r="C116761"/>
      <c r="E116761"/>
      <c r="F116761"/>
    </row>
    <row r="116762" spans="1:6" x14ac:dyDescent="0.25">
      <c r="A116762"/>
      <c r="B116762"/>
      <c r="C116762"/>
      <c r="E116762"/>
      <c r="F116762"/>
    </row>
    <row r="116763" spans="1:6" x14ac:dyDescent="0.25">
      <c r="A116763"/>
      <c r="B116763"/>
      <c r="C116763"/>
      <c r="E116763"/>
      <c r="F116763"/>
    </row>
    <row r="116764" spans="1:6" x14ac:dyDescent="0.25">
      <c r="A116764"/>
      <c r="B116764"/>
      <c r="C116764"/>
      <c r="E116764"/>
      <c r="F116764"/>
    </row>
    <row r="116765" spans="1:6" x14ac:dyDescent="0.25">
      <c r="A116765"/>
      <c r="B116765"/>
      <c r="C116765"/>
      <c r="E116765"/>
      <c r="F116765"/>
    </row>
    <row r="116766" spans="1:6" x14ac:dyDescent="0.25">
      <c r="A116766"/>
      <c r="B116766"/>
      <c r="C116766"/>
      <c r="E116766"/>
      <c r="F116766"/>
    </row>
    <row r="116767" spans="1:6" x14ac:dyDescent="0.25">
      <c r="A116767"/>
      <c r="B116767"/>
      <c r="C116767"/>
      <c r="E116767"/>
      <c r="F116767"/>
    </row>
    <row r="116768" spans="1:6" x14ac:dyDescent="0.25">
      <c r="A116768"/>
      <c r="B116768"/>
      <c r="C116768"/>
      <c r="E116768"/>
      <c r="F116768"/>
    </row>
    <row r="116769" spans="1:6" x14ac:dyDescent="0.25">
      <c r="A116769"/>
      <c r="B116769"/>
      <c r="C116769"/>
      <c r="E116769"/>
      <c r="F116769"/>
    </row>
    <row r="116770" spans="1:6" x14ac:dyDescent="0.25">
      <c r="A116770"/>
      <c r="B116770"/>
      <c r="C116770"/>
      <c r="E116770"/>
      <c r="F116770"/>
    </row>
    <row r="116771" spans="1:6" x14ac:dyDescent="0.25">
      <c r="A116771"/>
      <c r="B116771"/>
      <c r="C116771"/>
      <c r="E116771"/>
      <c r="F116771"/>
    </row>
    <row r="116772" spans="1:6" x14ac:dyDescent="0.25">
      <c r="A116772"/>
      <c r="B116772"/>
      <c r="C116772"/>
      <c r="E116772"/>
      <c r="F116772"/>
    </row>
    <row r="116773" spans="1:6" x14ac:dyDescent="0.25">
      <c r="A116773"/>
      <c r="B116773"/>
      <c r="C116773"/>
      <c r="E116773"/>
      <c r="F116773"/>
    </row>
    <row r="116774" spans="1:6" x14ac:dyDescent="0.25">
      <c r="A116774"/>
      <c r="B116774"/>
      <c r="C116774"/>
      <c r="E116774"/>
      <c r="F116774"/>
    </row>
    <row r="116775" spans="1:6" x14ac:dyDescent="0.25">
      <c r="A116775"/>
      <c r="B116775"/>
      <c r="C116775"/>
      <c r="E116775"/>
      <c r="F116775"/>
    </row>
    <row r="116776" spans="1:6" x14ac:dyDescent="0.25">
      <c r="A116776"/>
      <c r="B116776"/>
      <c r="C116776"/>
      <c r="E116776"/>
      <c r="F116776"/>
    </row>
    <row r="116777" spans="1:6" x14ac:dyDescent="0.25">
      <c r="A116777"/>
      <c r="B116777"/>
      <c r="C116777"/>
      <c r="E116777"/>
      <c r="F116777"/>
    </row>
    <row r="116778" spans="1:6" x14ac:dyDescent="0.25">
      <c r="A116778"/>
      <c r="B116778"/>
      <c r="C116778"/>
      <c r="E116778"/>
      <c r="F116778"/>
    </row>
    <row r="116779" spans="1:6" x14ac:dyDescent="0.25">
      <c r="A116779"/>
      <c r="B116779"/>
      <c r="C116779"/>
      <c r="E116779"/>
      <c r="F116779"/>
    </row>
    <row r="116780" spans="1:6" x14ac:dyDescent="0.25">
      <c r="A116780"/>
      <c r="B116780"/>
      <c r="C116780"/>
      <c r="E116780"/>
      <c r="F116780"/>
    </row>
    <row r="116781" spans="1:6" x14ac:dyDescent="0.25">
      <c r="A116781"/>
      <c r="B116781"/>
      <c r="C116781"/>
      <c r="E116781"/>
      <c r="F116781"/>
    </row>
    <row r="116782" spans="1:6" x14ac:dyDescent="0.25">
      <c r="A116782"/>
      <c r="B116782"/>
      <c r="C116782"/>
      <c r="E116782"/>
      <c r="F116782"/>
    </row>
    <row r="116783" spans="1:6" x14ac:dyDescent="0.25">
      <c r="A116783"/>
      <c r="B116783"/>
      <c r="C116783"/>
      <c r="E116783"/>
      <c r="F116783"/>
    </row>
    <row r="116784" spans="1:6" x14ac:dyDescent="0.25">
      <c r="A116784"/>
      <c r="B116784"/>
      <c r="C116784"/>
      <c r="E116784"/>
      <c r="F116784"/>
    </row>
    <row r="116785" spans="1:6" x14ac:dyDescent="0.25">
      <c r="A116785"/>
      <c r="B116785"/>
      <c r="C116785"/>
      <c r="E116785"/>
      <c r="F116785"/>
    </row>
    <row r="116786" spans="1:6" x14ac:dyDescent="0.25">
      <c r="A116786"/>
      <c r="B116786"/>
      <c r="C116786"/>
      <c r="E116786"/>
      <c r="F116786"/>
    </row>
    <row r="116787" spans="1:6" x14ac:dyDescent="0.25">
      <c r="A116787"/>
      <c r="B116787"/>
      <c r="C116787"/>
      <c r="E116787"/>
      <c r="F116787"/>
    </row>
    <row r="116788" spans="1:6" x14ac:dyDescent="0.25">
      <c r="A116788"/>
      <c r="B116788"/>
      <c r="C116788"/>
      <c r="E116788"/>
      <c r="F116788"/>
    </row>
    <row r="116789" spans="1:6" x14ac:dyDescent="0.25">
      <c r="A116789"/>
      <c r="B116789"/>
      <c r="C116789"/>
      <c r="E116789"/>
      <c r="F116789"/>
    </row>
    <row r="116790" spans="1:6" x14ac:dyDescent="0.25">
      <c r="A116790"/>
      <c r="B116790"/>
      <c r="C116790"/>
      <c r="E116790"/>
      <c r="F116790"/>
    </row>
    <row r="116791" spans="1:6" x14ac:dyDescent="0.25">
      <c r="A116791"/>
      <c r="B116791"/>
      <c r="C116791"/>
      <c r="E116791"/>
      <c r="F116791"/>
    </row>
    <row r="116792" spans="1:6" x14ac:dyDescent="0.25">
      <c r="A116792"/>
      <c r="B116792"/>
      <c r="C116792"/>
      <c r="E116792"/>
      <c r="F116792"/>
    </row>
    <row r="116793" spans="1:6" x14ac:dyDescent="0.25">
      <c r="A116793"/>
      <c r="B116793"/>
      <c r="C116793"/>
      <c r="E116793"/>
      <c r="F116793"/>
    </row>
    <row r="116794" spans="1:6" x14ac:dyDescent="0.25">
      <c r="A116794"/>
      <c r="B116794"/>
      <c r="C116794"/>
      <c r="E116794"/>
      <c r="F116794"/>
    </row>
    <row r="116795" spans="1:6" x14ac:dyDescent="0.25">
      <c r="A116795"/>
      <c r="B116795"/>
      <c r="C116795"/>
      <c r="E116795"/>
      <c r="F116795"/>
    </row>
    <row r="116796" spans="1:6" x14ac:dyDescent="0.25">
      <c r="A116796"/>
      <c r="B116796"/>
      <c r="C116796"/>
      <c r="E116796"/>
      <c r="F116796"/>
    </row>
    <row r="116797" spans="1:6" x14ac:dyDescent="0.25">
      <c r="A116797"/>
      <c r="B116797"/>
      <c r="C116797"/>
      <c r="E116797"/>
      <c r="F116797"/>
    </row>
    <row r="116798" spans="1:6" x14ac:dyDescent="0.25">
      <c r="A116798"/>
      <c r="B116798"/>
      <c r="C116798"/>
      <c r="E116798"/>
      <c r="F116798"/>
    </row>
    <row r="116799" spans="1:6" x14ac:dyDescent="0.25">
      <c r="A116799"/>
      <c r="B116799"/>
      <c r="C116799"/>
      <c r="E116799"/>
      <c r="F116799"/>
    </row>
    <row r="116800" spans="1:6" x14ac:dyDescent="0.25">
      <c r="A116800"/>
      <c r="B116800"/>
      <c r="C116800"/>
      <c r="E116800"/>
      <c r="F116800"/>
    </row>
    <row r="116801" spans="1:6" x14ac:dyDescent="0.25">
      <c r="A116801"/>
      <c r="B116801"/>
      <c r="C116801"/>
      <c r="E116801"/>
      <c r="F116801"/>
    </row>
    <row r="116802" spans="1:6" x14ac:dyDescent="0.25">
      <c r="A116802"/>
      <c r="B116802"/>
      <c r="C116802"/>
      <c r="E116802"/>
      <c r="F116802"/>
    </row>
    <row r="116803" spans="1:6" x14ac:dyDescent="0.25">
      <c r="A116803"/>
      <c r="B116803"/>
      <c r="C116803"/>
      <c r="E116803"/>
      <c r="F116803"/>
    </row>
    <row r="116804" spans="1:6" x14ac:dyDescent="0.25">
      <c r="A116804"/>
      <c r="B116804"/>
      <c r="C116804"/>
      <c r="E116804"/>
      <c r="F116804"/>
    </row>
    <row r="116805" spans="1:6" x14ac:dyDescent="0.25">
      <c r="A116805"/>
      <c r="B116805"/>
      <c r="C116805"/>
      <c r="E116805"/>
      <c r="F116805"/>
    </row>
    <row r="116806" spans="1:6" x14ac:dyDescent="0.25">
      <c r="A116806"/>
      <c r="B116806"/>
      <c r="C116806"/>
      <c r="E116806"/>
      <c r="F116806"/>
    </row>
    <row r="116807" spans="1:6" x14ac:dyDescent="0.25">
      <c r="A116807"/>
      <c r="B116807"/>
      <c r="C116807"/>
      <c r="E116807"/>
      <c r="F116807"/>
    </row>
    <row r="116808" spans="1:6" x14ac:dyDescent="0.25">
      <c r="A116808"/>
      <c r="B116808"/>
      <c r="C116808"/>
      <c r="E116808"/>
      <c r="F116808"/>
    </row>
    <row r="116809" spans="1:6" x14ac:dyDescent="0.25">
      <c r="A116809"/>
      <c r="B116809"/>
      <c r="C116809"/>
      <c r="E116809"/>
      <c r="F116809"/>
    </row>
    <row r="116810" spans="1:6" x14ac:dyDescent="0.25">
      <c r="A116810"/>
      <c r="B116810"/>
      <c r="C116810"/>
      <c r="E116810"/>
      <c r="F116810"/>
    </row>
    <row r="116811" spans="1:6" x14ac:dyDescent="0.25">
      <c r="A116811"/>
      <c r="B116811"/>
      <c r="C116811"/>
      <c r="E116811"/>
      <c r="F116811"/>
    </row>
    <row r="116812" spans="1:6" x14ac:dyDescent="0.25">
      <c r="A116812"/>
      <c r="B116812"/>
      <c r="C116812"/>
      <c r="E116812"/>
      <c r="F116812"/>
    </row>
    <row r="116813" spans="1:6" x14ac:dyDescent="0.25">
      <c r="A116813"/>
      <c r="B116813"/>
      <c r="C116813"/>
      <c r="E116813"/>
      <c r="F116813"/>
    </row>
    <row r="116814" spans="1:6" x14ac:dyDescent="0.25">
      <c r="A116814"/>
      <c r="B116814"/>
      <c r="C116814"/>
      <c r="E116814"/>
      <c r="F116814"/>
    </row>
    <row r="116815" spans="1:6" x14ac:dyDescent="0.25">
      <c r="A116815"/>
      <c r="B116815"/>
      <c r="C116815"/>
      <c r="E116815"/>
      <c r="F116815"/>
    </row>
    <row r="116816" spans="1:6" x14ac:dyDescent="0.25">
      <c r="A116816"/>
      <c r="B116816"/>
      <c r="C116816"/>
      <c r="E116816"/>
      <c r="F116816"/>
    </row>
    <row r="116817" spans="1:6" x14ac:dyDescent="0.25">
      <c r="A116817"/>
      <c r="B116817"/>
      <c r="C116817"/>
      <c r="E116817"/>
      <c r="F116817"/>
    </row>
    <row r="116818" spans="1:6" x14ac:dyDescent="0.25">
      <c r="A116818"/>
      <c r="B116818"/>
      <c r="C116818"/>
      <c r="E116818"/>
      <c r="F116818"/>
    </row>
    <row r="116819" spans="1:6" x14ac:dyDescent="0.25">
      <c r="A116819"/>
      <c r="B116819"/>
      <c r="C116819"/>
      <c r="E116819"/>
      <c r="F116819"/>
    </row>
    <row r="116820" spans="1:6" x14ac:dyDescent="0.25">
      <c r="A116820"/>
      <c r="B116820"/>
      <c r="C116820"/>
      <c r="E116820"/>
      <c r="F116820"/>
    </row>
    <row r="116821" spans="1:6" x14ac:dyDescent="0.25">
      <c r="A116821"/>
      <c r="B116821"/>
      <c r="C116821"/>
      <c r="E116821"/>
      <c r="F116821"/>
    </row>
    <row r="116822" spans="1:6" x14ac:dyDescent="0.25">
      <c r="A116822"/>
      <c r="B116822"/>
      <c r="C116822"/>
      <c r="E116822"/>
      <c r="F116822"/>
    </row>
    <row r="116823" spans="1:6" x14ac:dyDescent="0.25">
      <c r="A116823"/>
      <c r="B116823"/>
      <c r="C116823"/>
      <c r="E116823"/>
      <c r="F116823"/>
    </row>
    <row r="116824" spans="1:6" x14ac:dyDescent="0.25">
      <c r="A116824"/>
      <c r="B116824"/>
      <c r="C116824"/>
      <c r="E116824"/>
      <c r="F116824"/>
    </row>
    <row r="116825" spans="1:6" x14ac:dyDescent="0.25">
      <c r="A116825"/>
      <c r="B116825"/>
      <c r="C116825"/>
      <c r="E116825"/>
      <c r="F116825"/>
    </row>
    <row r="116826" spans="1:6" x14ac:dyDescent="0.25">
      <c r="A116826"/>
      <c r="B116826"/>
      <c r="C116826"/>
      <c r="E116826"/>
      <c r="F116826"/>
    </row>
    <row r="116827" spans="1:6" x14ac:dyDescent="0.25">
      <c r="A116827"/>
      <c r="B116827"/>
      <c r="C116827"/>
      <c r="E116827"/>
      <c r="F116827"/>
    </row>
    <row r="116828" spans="1:6" x14ac:dyDescent="0.25">
      <c r="A116828"/>
      <c r="B116828"/>
      <c r="C116828"/>
      <c r="E116828"/>
      <c r="F116828"/>
    </row>
    <row r="116829" spans="1:6" x14ac:dyDescent="0.25">
      <c r="A116829"/>
      <c r="B116829"/>
      <c r="C116829"/>
      <c r="E116829"/>
      <c r="F116829"/>
    </row>
    <row r="116830" spans="1:6" x14ac:dyDescent="0.25">
      <c r="A116830"/>
      <c r="B116830"/>
      <c r="C116830"/>
      <c r="E116830"/>
      <c r="F116830"/>
    </row>
    <row r="116831" spans="1:6" x14ac:dyDescent="0.25">
      <c r="A116831"/>
      <c r="B116831"/>
      <c r="C116831"/>
      <c r="E116831"/>
      <c r="F116831"/>
    </row>
    <row r="116832" spans="1:6" x14ac:dyDescent="0.25">
      <c r="A116832"/>
      <c r="B116832"/>
      <c r="C116832"/>
      <c r="E116832"/>
      <c r="F116832"/>
    </row>
    <row r="116833" spans="1:6" x14ac:dyDescent="0.25">
      <c r="A116833"/>
      <c r="B116833"/>
      <c r="C116833"/>
      <c r="E116833"/>
      <c r="F116833"/>
    </row>
    <row r="116834" spans="1:6" x14ac:dyDescent="0.25">
      <c r="A116834"/>
      <c r="B116834"/>
      <c r="C116834"/>
      <c r="E116834"/>
      <c r="F116834"/>
    </row>
    <row r="116835" spans="1:6" x14ac:dyDescent="0.25">
      <c r="A116835"/>
      <c r="B116835"/>
      <c r="C116835"/>
      <c r="E116835"/>
      <c r="F116835"/>
    </row>
    <row r="116836" spans="1:6" x14ac:dyDescent="0.25">
      <c r="A116836"/>
      <c r="B116836"/>
      <c r="C116836"/>
      <c r="E116836"/>
      <c r="F116836"/>
    </row>
    <row r="116837" spans="1:6" x14ac:dyDescent="0.25">
      <c r="A116837"/>
      <c r="B116837"/>
      <c r="C116837"/>
      <c r="E116837"/>
      <c r="F116837"/>
    </row>
    <row r="116838" spans="1:6" x14ac:dyDescent="0.25">
      <c r="A116838"/>
      <c r="B116838"/>
      <c r="C116838"/>
      <c r="E116838"/>
      <c r="F116838"/>
    </row>
    <row r="116839" spans="1:6" x14ac:dyDescent="0.25">
      <c r="A116839"/>
      <c r="B116839"/>
      <c r="C116839"/>
      <c r="E116839"/>
      <c r="F116839"/>
    </row>
    <row r="116840" spans="1:6" x14ac:dyDescent="0.25">
      <c r="A116840"/>
      <c r="B116840"/>
      <c r="C116840"/>
      <c r="E116840"/>
      <c r="F116840"/>
    </row>
    <row r="116841" spans="1:6" x14ac:dyDescent="0.25">
      <c r="A116841"/>
      <c r="B116841"/>
      <c r="C116841"/>
      <c r="E116841"/>
      <c r="F116841"/>
    </row>
    <row r="116842" spans="1:6" x14ac:dyDescent="0.25">
      <c r="A116842"/>
      <c r="B116842"/>
      <c r="C116842"/>
      <c r="E116842"/>
      <c r="F116842"/>
    </row>
    <row r="116843" spans="1:6" x14ac:dyDescent="0.25">
      <c r="A116843"/>
      <c r="B116843"/>
      <c r="C116843"/>
      <c r="E116843"/>
      <c r="F116843"/>
    </row>
    <row r="116844" spans="1:6" x14ac:dyDescent="0.25">
      <c r="A116844"/>
      <c r="B116844"/>
      <c r="C116844"/>
      <c r="E116844"/>
      <c r="F116844"/>
    </row>
    <row r="116845" spans="1:6" x14ac:dyDescent="0.25">
      <c r="A116845"/>
      <c r="B116845"/>
      <c r="C116845"/>
      <c r="E116845"/>
      <c r="F116845"/>
    </row>
    <row r="116846" spans="1:6" x14ac:dyDescent="0.25">
      <c r="A116846"/>
      <c r="B116846"/>
      <c r="C116846"/>
      <c r="E116846"/>
      <c r="F116846"/>
    </row>
    <row r="116847" spans="1:6" x14ac:dyDescent="0.25">
      <c r="A116847"/>
      <c r="B116847"/>
      <c r="C116847"/>
      <c r="E116847"/>
      <c r="F116847"/>
    </row>
    <row r="116848" spans="1:6" x14ac:dyDescent="0.25">
      <c r="A116848"/>
      <c r="B116848"/>
      <c r="C116848"/>
      <c r="E116848"/>
      <c r="F116848"/>
    </row>
    <row r="116849" spans="1:6" x14ac:dyDescent="0.25">
      <c r="A116849"/>
      <c r="B116849"/>
      <c r="C116849"/>
      <c r="E116849"/>
      <c r="F116849"/>
    </row>
    <row r="116850" spans="1:6" x14ac:dyDescent="0.25">
      <c r="A116850"/>
      <c r="B116850"/>
      <c r="C116850"/>
      <c r="E116850"/>
      <c r="F116850"/>
    </row>
    <row r="116851" spans="1:6" x14ac:dyDescent="0.25">
      <c r="A116851"/>
      <c r="B116851"/>
      <c r="C116851"/>
      <c r="E116851"/>
      <c r="F116851"/>
    </row>
    <row r="116852" spans="1:6" x14ac:dyDescent="0.25">
      <c r="A116852"/>
      <c r="B116852"/>
      <c r="C116852"/>
      <c r="E116852"/>
      <c r="F116852"/>
    </row>
    <row r="116853" spans="1:6" x14ac:dyDescent="0.25">
      <c r="A116853"/>
      <c r="B116853"/>
      <c r="C116853"/>
      <c r="E116853"/>
      <c r="F116853"/>
    </row>
    <row r="116854" spans="1:6" x14ac:dyDescent="0.25">
      <c r="A116854"/>
      <c r="B116854"/>
      <c r="C116854"/>
      <c r="E116854"/>
      <c r="F116854"/>
    </row>
    <row r="116855" spans="1:6" x14ac:dyDescent="0.25">
      <c r="A116855"/>
      <c r="B116855"/>
      <c r="C116855"/>
      <c r="E116855"/>
      <c r="F116855"/>
    </row>
    <row r="116856" spans="1:6" x14ac:dyDescent="0.25">
      <c r="A116856"/>
      <c r="B116856"/>
      <c r="C116856"/>
      <c r="E116856"/>
      <c r="F116856"/>
    </row>
    <row r="116857" spans="1:6" x14ac:dyDescent="0.25">
      <c r="A116857"/>
      <c r="B116857"/>
      <c r="C116857"/>
      <c r="E116857"/>
      <c r="F116857"/>
    </row>
    <row r="116858" spans="1:6" x14ac:dyDescent="0.25">
      <c r="A116858"/>
      <c r="B116858"/>
      <c r="C116858"/>
      <c r="E116858"/>
      <c r="F116858"/>
    </row>
    <row r="116859" spans="1:6" x14ac:dyDescent="0.25">
      <c r="A116859"/>
      <c r="B116859"/>
      <c r="C116859"/>
      <c r="E116859"/>
      <c r="F116859"/>
    </row>
    <row r="116860" spans="1:6" x14ac:dyDescent="0.25">
      <c r="A116860"/>
      <c r="B116860"/>
      <c r="C116860"/>
      <c r="E116860"/>
      <c r="F116860"/>
    </row>
    <row r="116861" spans="1:6" x14ac:dyDescent="0.25">
      <c r="A116861"/>
      <c r="B116861"/>
      <c r="C116861"/>
      <c r="E116861"/>
      <c r="F116861"/>
    </row>
    <row r="116862" spans="1:6" x14ac:dyDescent="0.25">
      <c r="A116862"/>
      <c r="B116862"/>
      <c r="C116862"/>
      <c r="E116862"/>
      <c r="F116862"/>
    </row>
    <row r="116863" spans="1:6" x14ac:dyDescent="0.25">
      <c r="A116863"/>
      <c r="B116863"/>
      <c r="C116863"/>
      <c r="E116863"/>
      <c r="F116863"/>
    </row>
    <row r="116864" spans="1:6" x14ac:dyDescent="0.25">
      <c r="A116864"/>
      <c r="B116864"/>
      <c r="C116864"/>
      <c r="E116864"/>
      <c r="F116864"/>
    </row>
    <row r="116865" spans="1:6" x14ac:dyDescent="0.25">
      <c r="A116865"/>
      <c r="B116865"/>
      <c r="C116865"/>
      <c r="E116865"/>
      <c r="F116865"/>
    </row>
    <row r="116866" spans="1:6" x14ac:dyDescent="0.25">
      <c r="A116866"/>
      <c r="B116866"/>
      <c r="C116866"/>
      <c r="E116866"/>
      <c r="F116866"/>
    </row>
    <row r="116867" spans="1:6" x14ac:dyDescent="0.25">
      <c r="A116867"/>
      <c r="B116867"/>
      <c r="C116867"/>
      <c r="E116867"/>
      <c r="F116867"/>
    </row>
    <row r="116868" spans="1:6" x14ac:dyDescent="0.25">
      <c r="A116868"/>
      <c r="B116868"/>
      <c r="C116868"/>
      <c r="E116868"/>
      <c r="F116868"/>
    </row>
    <row r="116869" spans="1:6" x14ac:dyDescent="0.25">
      <c r="A116869"/>
      <c r="B116869"/>
      <c r="C116869"/>
      <c r="E116869"/>
      <c r="F116869"/>
    </row>
    <row r="116870" spans="1:6" x14ac:dyDescent="0.25">
      <c r="A116870"/>
      <c r="B116870"/>
      <c r="C116870"/>
      <c r="E116870"/>
      <c r="F116870"/>
    </row>
    <row r="116871" spans="1:6" x14ac:dyDescent="0.25">
      <c r="A116871"/>
      <c r="B116871"/>
      <c r="C116871"/>
      <c r="E116871"/>
      <c r="F116871"/>
    </row>
    <row r="116872" spans="1:6" x14ac:dyDescent="0.25">
      <c r="A116872"/>
      <c r="B116872"/>
      <c r="C116872"/>
      <c r="E116872"/>
      <c r="F116872"/>
    </row>
    <row r="116873" spans="1:6" x14ac:dyDescent="0.25">
      <c r="A116873"/>
      <c r="B116873"/>
      <c r="C116873"/>
      <c r="E116873"/>
      <c r="F116873"/>
    </row>
    <row r="116874" spans="1:6" x14ac:dyDescent="0.25">
      <c r="A116874"/>
      <c r="B116874"/>
      <c r="C116874"/>
      <c r="E116874"/>
      <c r="F116874"/>
    </row>
    <row r="116875" spans="1:6" x14ac:dyDescent="0.25">
      <c r="A116875"/>
      <c r="B116875"/>
      <c r="C116875"/>
      <c r="E116875"/>
      <c r="F116875"/>
    </row>
    <row r="116876" spans="1:6" x14ac:dyDescent="0.25">
      <c r="A116876"/>
      <c r="B116876"/>
      <c r="C116876"/>
      <c r="E116876"/>
      <c r="F116876"/>
    </row>
    <row r="116877" spans="1:6" x14ac:dyDescent="0.25">
      <c r="A116877"/>
      <c r="B116877"/>
      <c r="C116877"/>
      <c r="E116877"/>
      <c r="F116877"/>
    </row>
    <row r="116878" spans="1:6" x14ac:dyDescent="0.25">
      <c r="A116878"/>
      <c r="B116878"/>
      <c r="C116878"/>
      <c r="E116878"/>
      <c r="F116878"/>
    </row>
    <row r="116879" spans="1:6" x14ac:dyDescent="0.25">
      <c r="A116879"/>
      <c r="B116879"/>
      <c r="C116879"/>
      <c r="E116879"/>
      <c r="F116879"/>
    </row>
    <row r="116880" spans="1:6" x14ac:dyDescent="0.25">
      <c r="A116880"/>
      <c r="B116880"/>
      <c r="C116880"/>
      <c r="E116880"/>
      <c r="F116880"/>
    </row>
    <row r="116881" spans="1:6" x14ac:dyDescent="0.25">
      <c r="A116881"/>
      <c r="B116881"/>
      <c r="C116881"/>
      <c r="E116881"/>
      <c r="F116881"/>
    </row>
    <row r="116882" spans="1:6" x14ac:dyDescent="0.25">
      <c r="A116882"/>
      <c r="B116882"/>
      <c r="C116882"/>
      <c r="E116882"/>
      <c r="F116882"/>
    </row>
    <row r="116883" spans="1:6" x14ac:dyDescent="0.25">
      <c r="A116883"/>
      <c r="B116883"/>
      <c r="C116883"/>
      <c r="E116883"/>
      <c r="F116883"/>
    </row>
    <row r="116884" spans="1:6" x14ac:dyDescent="0.25">
      <c r="A116884"/>
      <c r="B116884"/>
      <c r="C116884"/>
      <c r="E116884"/>
      <c r="F116884"/>
    </row>
    <row r="116885" spans="1:6" x14ac:dyDescent="0.25">
      <c r="A116885"/>
      <c r="B116885"/>
      <c r="C116885"/>
      <c r="E116885"/>
      <c r="F116885"/>
    </row>
    <row r="116886" spans="1:6" x14ac:dyDescent="0.25">
      <c r="A116886"/>
      <c r="B116886"/>
      <c r="C116886"/>
      <c r="E116886"/>
      <c r="F116886"/>
    </row>
    <row r="116887" spans="1:6" x14ac:dyDescent="0.25">
      <c r="A116887"/>
      <c r="B116887"/>
      <c r="C116887"/>
      <c r="E116887"/>
      <c r="F116887"/>
    </row>
    <row r="116888" spans="1:6" x14ac:dyDescent="0.25">
      <c r="A116888"/>
      <c r="B116888"/>
      <c r="C116888"/>
      <c r="E116888"/>
      <c r="F116888"/>
    </row>
    <row r="116889" spans="1:6" x14ac:dyDescent="0.25">
      <c r="A116889"/>
      <c r="B116889"/>
      <c r="C116889"/>
      <c r="E116889"/>
      <c r="F116889"/>
    </row>
    <row r="116890" spans="1:6" x14ac:dyDescent="0.25">
      <c r="A116890"/>
      <c r="B116890"/>
      <c r="C116890"/>
      <c r="E116890"/>
      <c r="F116890"/>
    </row>
    <row r="116891" spans="1:6" x14ac:dyDescent="0.25">
      <c r="A116891"/>
      <c r="B116891"/>
      <c r="C116891"/>
      <c r="E116891"/>
      <c r="F116891"/>
    </row>
    <row r="116892" spans="1:6" x14ac:dyDescent="0.25">
      <c r="A116892"/>
      <c r="B116892"/>
      <c r="C116892"/>
      <c r="E116892"/>
      <c r="F116892"/>
    </row>
    <row r="116893" spans="1:6" x14ac:dyDescent="0.25">
      <c r="A116893"/>
      <c r="B116893"/>
      <c r="C116893"/>
      <c r="E116893"/>
      <c r="F116893"/>
    </row>
    <row r="116894" spans="1:6" x14ac:dyDescent="0.25">
      <c r="A116894"/>
      <c r="B116894"/>
      <c r="C116894"/>
      <c r="E116894"/>
      <c r="F116894"/>
    </row>
    <row r="116895" spans="1:6" x14ac:dyDescent="0.25">
      <c r="A116895"/>
      <c r="B116895"/>
      <c r="C116895"/>
      <c r="E116895"/>
      <c r="F116895"/>
    </row>
    <row r="116896" spans="1:6" x14ac:dyDescent="0.25">
      <c r="A116896"/>
      <c r="B116896"/>
      <c r="C116896"/>
      <c r="E116896"/>
      <c r="F116896"/>
    </row>
    <row r="116897" spans="1:6" x14ac:dyDescent="0.25">
      <c r="A116897"/>
      <c r="B116897"/>
      <c r="C116897"/>
      <c r="E116897"/>
      <c r="F116897"/>
    </row>
    <row r="116898" spans="1:6" x14ac:dyDescent="0.25">
      <c r="A116898"/>
      <c r="B116898"/>
      <c r="C116898"/>
      <c r="E116898"/>
      <c r="F116898"/>
    </row>
    <row r="116899" spans="1:6" x14ac:dyDescent="0.25">
      <c r="A116899"/>
      <c r="B116899"/>
      <c r="C116899"/>
      <c r="E116899"/>
      <c r="F116899"/>
    </row>
    <row r="116900" spans="1:6" x14ac:dyDescent="0.25">
      <c r="A116900"/>
      <c r="B116900"/>
      <c r="C116900"/>
      <c r="E116900"/>
      <c r="F116900"/>
    </row>
    <row r="116901" spans="1:6" x14ac:dyDescent="0.25">
      <c r="A116901"/>
      <c r="B116901"/>
      <c r="C116901"/>
      <c r="E116901"/>
      <c r="F116901"/>
    </row>
    <row r="116902" spans="1:6" x14ac:dyDescent="0.25">
      <c r="A116902"/>
      <c r="B116902"/>
      <c r="C116902"/>
      <c r="E116902"/>
      <c r="F116902"/>
    </row>
    <row r="116903" spans="1:6" x14ac:dyDescent="0.25">
      <c r="A116903"/>
      <c r="B116903"/>
      <c r="C116903"/>
      <c r="E116903"/>
      <c r="F116903"/>
    </row>
    <row r="116904" spans="1:6" x14ac:dyDescent="0.25">
      <c r="A116904"/>
      <c r="B116904"/>
      <c r="C116904"/>
      <c r="E116904"/>
      <c r="F116904"/>
    </row>
    <row r="116905" spans="1:6" x14ac:dyDescent="0.25">
      <c r="A116905"/>
      <c r="B116905"/>
      <c r="C116905"/>
      <c r="E116905"/>
      <c r="F116905"/>
    </row>
    <row r="116906" spans="1:6" x14ac:dyDescent="0.25">
      <c r="A116906"/>
      <c r="B116906"/>
      <c r="C116906"/>
      <c r="E116906"/>
      <c r="F116906"/>
    </row>
    <row r="116907" spans="1:6" x14ac:dyDescent="0.25">
      <c r="A116907"/>
      <c r="B116907"/>
      <c r="C116907"/>
      <c r="E116907"/>
      <c r="F116907"/>
    </row>
    <row r="116908" spans="1:6" x14ac:dyDescent="0.25">
      <c r="A116908"/>
      <c r="B116908"/>
      <c r="C116908"/>
      <c r="E116908"/>
      <c r="F116908"/>
    </row>
    <row r="116909" spans="1:6" x14ac:dyDescent="0.25">
      <c r="A116909"/>
      <c r="B116909"/>
      <c r="C116909"/>
      <c r="E116909"/>
      <c r="F116909"/>
    </row>
    <row r="116910" spans="1:6" x14ac:dyDescent="0.25">
      <c r="A116910"/>
      <c r="B116910"/>
      <c r="C116910"/>
      <c r="E116910"/>
      <c r="F116910"/>
    </row>
    <row r="116911" spans="1:6" x14ac:dyDescent="0.25">
      <c r="A116911"/>
      <c r="B116911"/>
      <c r="C116911"/>
      <c r="E116911"/>
      <c r="F116911"/>
    </row>
    <row r="116912" spans="1:6" x14ac:dyDescent="0.25">
      <c r="A116912"/>
      <c r="B116912"/>
      <c r="C116912"/>
      <c r="E116912"/>
      <c r="F116912"/>
    </row>
    <row r="116913" spans="1:6" x14ac:dyDescent="0.25">
      <c r="A116913"/>
      <c r="B116913"/>
      <c r="C116913"/>
      <c r="E116913"/>
      <c r="F116913"/>
    </row>
    <row r="116914" spans="1:6" x14ac:dyDescent="0.25">
      <c r="A116914"/>
      <c r="B116914"/>
      <c r="C116914"/>
      <c r="E116914"/>
      <c r="F116914"/>
    </row>
    <row r="116915" spans="1:6" x14ac:dyDescent="0.25">
      <c r="A116915"/>
      <c r="B116915"/>
      <c r="C116915"/>
      <c r="E116915"/>
      <c r="F116915"/>
    </row>
    <row r="116916" spans="1:6" x14ac:dyDescent="0.25">
      <c r="A116916"/>
      <c r="B116916"/>
      <c r="C116916"/>
      <c r="E116916"/>
      <c r="F116916"/>
    </row>
    <row r="116917" spans="1:6" x14ac:dyDescent="0.25">
      <c r="A116917"/>
      <c r="B116917"/>
      <c r="C116917"/>
      <c r="E116917"/>
      <c r="F116917"/>
    </row>
    <row r="116918" spans="1:6" x14ac:dyDescent="0.25">
      <c r="A116918"/>
      <c r="B116918"/>
      <c r="C116918"/>
      <c r="E116918"/>
      <c r="F116918"/>
    </row>
    <row r="116919" spans="1:6" x14ac:dyDescent="0.25">
      <c r="A116919"/>
      <c r="B116919"/>
      <c r="C116919"/>
      <c r="E116919"/>
      <c r="F116919"/>
    </row>
    <row r="116920" spans="1:6" x14ac:dyDescent="0.25">
      <c r="A116920"/>
      <c r="B116920"/>
      <c r="C116920"/>
      <c r="E116920"/>
      <c r="F116920"/>
    </row>
    <row r="116921" spans="1:6" x14ac:dyDescent="0.25">
      <c r="A116921"/>
      <c r="B116921"/>
      <c r="C116921"/>
      <c r="E116921"/>
      <c r="F116921"/>
    </row>
    <row r="116922" spans="1:6" x14ac:dyDescent="0.25">
      <c r="A116922"/>
      <c r="B116922"/>
      <c r="C116922"/>
      <c r="E116922"/>
      <c r="F116922"/>
    </row>
    <row r="116923" spans="1:6" x14ac:dyDescent="0.25">
      <c r="A116923"/>
      <c r="B116923"/>
      <c r="C116923"/>
      <c r="E116923"/>
      <c r="F116923"/>
    </row>
    <row r="116924" spans="1:6" x14ac:dyDescent="0.25">
      <c r="A116924"/>
      <c r="B116924"/>
      <c r="C116924"/>
      <c r="E116924"/>
      <c r="F116924"/>
    </row>
    <row r="116925" spans="1:6" x14ac:dyDescent="0.25">
      <c r="A116925"/>
      <c r="B116925"/>
      <c r="C116925"/>
      <c r="E116925"/>
      <c r="F116925"/>
    </row>
    <row r="116926" spans="1:6" x14ac:dyDescent="0.25">
      <c r="A116926"/>
      <c r="B116926"/>
      <c r="C116926"/>
      <c r="E116926"/>
      <c r="F116926"/>
    </row>
    <row r="116927" spans="1:6" x14ac:dyDescent="0.25">
      <c r="A116927"/>
      <c r="B116927"/>
      <c r="C116927"/>
      <c r="E116927"/>
      <c r="F116927"/>
    </row>
    <row r="116928" spans="1:6" x14ac:dyDescent="0.25">
      <c r="A116928"/>
      <c r="B116928"/>
      <c r="C116928"/>
      <c r="E116928"/>
      <c r="F116928"/>
    </row>
    <row r="116929" spans="1:6" x14ac:dyDescent="0.25">
      <c r="A116929"/>
      <c r="B116929"/>
      <c r="C116929"/>
      <c r="E116929"/>
      <c r="F116929"/>
    </row>
    <row r="116930" spans="1:6" x14ac:dyDescent="0.25">
      <c r="A116930"/>
      <c r="B116930"/>
      <c r="C116930"/>
      <c r="E116930"/>
      <c r="F116930"/>
    </row>
    <row r="116931" spans="1:6" x14ac:dyDescent="0.25">
      <c r="A116931"/>
      <c r="B116931"/>
      <c r="C116931"/>
      <c r="E116931"/>
      <c r="F116931"/>
    </row>
    <row r="116932" spans="1:6" x14ac:dyDescent="0.25">
      <c r="A116932"/>
      <c r="B116932"/>
      <c r="C116932"/>
      <c r="E116932"/>
      <c r="F116932"/>
    </row>
    <row r="116933" spans="1:6" x14ac:dyDescent="0.25">
      <c r="A116933"/>
      <c r="B116933"/>
      <c r="C116933"/>
      <c r="E116933"/>
      <c r="F116933"/>
    </row>
    <row r="116934" spans="1:6" x14ac:dyDescent="0.25">
      <c r="A116934"/>
      <c r="B116934"/>
      <c r="C116934"/>
      <c r="E116934"/>
      <c r="F116934"/>
    </row>
    <row r="116935" spans="1:6" x14ac:dyDescent="0.25">
      <c r="A116935"/>
      <c r="B116935"/>
      <c r="C116935"/>
      <c r="E116935"/>
      <c r="F116935"/>
    </row>
    <row r="116936" spans="1:6" x14ac:dyDescent="0.25">
      <c r="A116936"/>
      <c r="B116936"/>
      <c r="C116936"/>
      <c r="E116936"/>
      <c r="F116936"/>
    </row>
    <row r="116937" spans="1:6" x14ac:dyDescent="0.25">
      <c r="A116937"/>
      <c r="B116937"/>
      <c r="C116937"/>
      <c r="E116937"/>
      <c r="F116937"/>
    </row>
    <row r="116938" spans="1:6" x14ac:dyDescent="0.25">
      <c r="A116938"/>
      <c r="B116938"/>
      <c r="C116938"/>
      <c r="E116938"/>
      <c r="F116938"/>
    </row>
    <row r="116939" spans="1:6" x14ac:dyDescent="0.25">
      <c r="A116939"/>
      <c r="B116939"/>
      <c r="C116939"/>
      <c r="E116939"/>
      <c r="F116939"/>
    </row>
    <row r="116940" spans="1:6" x14ac:dyDescent="0.25">
      <c r="A116940"/>
      <c r="B116940"/>
      <c r="C116940"/>
      <c r="E116940"/>
      <c r="F116940"/>
    </row>
    <row r="116941" spans="1:6" x14ac:dyDescent="0.25">
      <c r="A116941"/>
      <c r="B116941"/>
      <c r="C116941"/>
      <c r="E116941"/>
      <c r="F116941"/>
    </row>
    <row r="116942" spans="1:6" x14ac:dyDescent="0.25">
      <c r="A116942"/>
      <c r="B116942"/>
      <c r="C116942"/>
      <c r="E116942"/>
      <c r="F116942"/>
    </row>
    <row r="116943" spans="1:6" x14ac:dyDescent="0.25">
      <c r="A116943"/>
      <c r="B116943"/>
      <c r="C116943"/>
      <c r="E116943"/>
      <c r="F116943"/>
    </row>
    <row r="116944" spans="1:6" x14ac:dyDescent="0.25">
      <c r="A116944"/>
      <c r="B116944"/>
      <c r="C116944"/>
      <c r="E116944"/>
      <c r="F116944"/>
    </row>
    <row r="116945" spans="1:6" x14ac:dyDescent="0.25">
      <c r="A116945"/>
      <c r="B116945"/>
      <c r="C116945"/>
      <c r="E116945"/>
      <c r="F116945"/>
    </row>
    <row r="116946" spans="1:6" x14ac:dyDescent="0.25">
      <c r="A116946"/>
      <c r="B116946"/>
      <c r="C116946"/>
      <c r="E116946"/>
      <c r="F116946"/>
    </row>
    <row r="116947" spans="1:6" x14ac:dyDescent="0.25">
      <c r="A116947"/>
      <c r="B116947"/>
      <c r="C116947"/>
      <c r="E116947"/>
      <c r="F116947"/>
    </row>
    <row r="116948" spans="1:6" x14ac:dyDescent="0.25">
      <c r="A116948"/>
      <c r="B116948"/>
      <c r="C116948"/>
      <c r="E116948"/>
      <c r="F116948"/>
    </row>
    <row r="116949" spans="1:6" x14ac:dyDescent="0.25">
      <c r="A116949"/>
      <c r="B116949"/>
      <c r="C116949"/>
      <c r="E116949"/>
      <c r="F116949"/>
    </row>
    <row r="116950" spans="1:6" x14ac:dyDescent="0.25">
      <c r="A116950"/>
      <c r="B116950"/>
      <c r="C116950"/>
      <c r="E116950"/>
      <c r="F116950"/>
    </row>
    <row r="116951" spans="1:6" x14ac:dyDescent="0.25">
      <c r="A116951"/>
      <c r="B116951"/>
      <c r="C116951"/>
      <c r="E116951"/>
      <c r="F116951"/>
    </row>
    <row r="116952" spans="1:6" x14ac:dyDescent="0.25">
      <c r="A116952"/>
      <c r="B116952"/>
      <c r="C116952"/>
      <c r="E116952"/>
      <c r="F116952"/>
    </row>
    <row r="116953" spans="1:6" x14ac:dyDescent="0.25">
      <c r="A116953"/>
      <c r="B116953"/>
      <c r="C116953"/>
      <c r="E116953"/>
      <c r="F116953"/>
    </row>
    <row r="116954" spans="1:6" x14ac:dyDescent="0.25">
      <c r="A116954"/>
      <c r="B116954"/>
      <c r="C116954"/>
      <c r="E116954"/>
      <c r="F116954"/>
    </row>
    <row r="116955" spans="1:6" x14ac:dyDescent="0.25">
      <c r="A116955"/>
      <c r="B116955"/>
      <c r="C116955"/>
      <c r="E116955"/>
      <c r="F116955"/>
    </row>
    <row r="116956" spans="1:6" x14ac:dyDescent="0.25">
      <c r="A116956"/>
      <c r="B116956"/>
      <c r="C116956"/>
      <c r="E116956"/>
      <c r="F116956"/>
    </row>
    <row r="116957" spans="1:6" x14ac:dyDescent="0.25">
      <c r="A116957"/>
      <c r="B116957"/>
      <c r="C116957"/>
      <c r="E116957"/>
      <c r="F116957"/>
    </row>
    <row r="116958" spans="1:6" x14ac:dyDescent="0.25">
      <c r="A116958"/>
      <c r="B116958"/>
      <c r="C116958"/>
      <c r="E116958"/>
      <c r="F116958"/>
    </row>
    <row r="116959" spans="1:6" x14ac:dyDescent="0.25">
      <c r="A116959"/>
      <c r="B116959"/>
      <c r="C116959"/>
      <c r="E116959"/>
      <c r="F116959"/>
    </row>
    <row r="116960" spans="1:6" x14ac:dyDescent="0.25">
      <c r="A116960"/>
      <c r="B116960"/>
      <c r="C116960"/>
      <c r="E116960"/>
      <c r="F116960"/>
    </row>
    <row r="116961" spans="1:6" x14ac:dyDescent="0.25">
      <c r="A116961"/>
      <c r="B116961"/>
      <c r="C116961"/>
      <c r="E116961"/>
      <c r="F116961"/>
    </row>
    <row r="116962" spans="1:6" x14ac:dyDescent="0.25">
      <c r="A116962"/>
      <c r="B116962"/>
      <c r="C116962"/>
      <c r="E116962"/>
      <c r="F116962"/>
    </row>
    <row r="116963" spans="1:6" x14ac:dyDescent="0.25">
      <c r="A116963"/>
      <c r="B116963"/>
      <c r="C116963"/>
      <c r="E116963"/>
      <c r="F116963"/>
    </row>
    <row r="116964" spans="1:6" x14ac:dyDescent="0.25">
      <c r="A116964"/>
      <c r="B116964"/>
      <c r="C116964"/>
      <c r="E116964"/>
      <c r="F116964"/>
    </row>
    <row r="116965" spans="1:6" x14ac:dyDescent="0.25">
      <c r="A116965"/>
      <c r="B116965"/>
      <c r="C116965"/>
      <c r="E116965"/>
      <c r="F116965"/>
    </row>
    <row r="116966" spans="1:6" x14ac:dyDescent="0.25">
      <c r="A116966"/>
      <c r="B116966"/>
      <c r="C116966"/>
      <c r="E116966"/>
      <c r="F116966"/>
    </row>
    <row r="116967" spans="1:6" x14ac:dyDescent="0.25">
      <c r="A116967"/>
      <c r="B116967"/>
      <c r="C116967"/>
      <c r="E116967"/>
      <c r="F116967"/>
    </row>
    <row r="116968" spans="1:6" x14ac:dyDescent="0.25">
      <c r="A116968"/>
      <c r="B116968"/>
      <c r="C116968"/>
      <c r="E116968"/>
      <c r="F116968"/>
    </row>
    <row r="116969" spans="1:6" x14ac:dyDescent="0.25">
      <c r="A116969"/>
      <c r="B116969"/>
      <c r="C116969"/>
      <c r="E116969"/>
      <c r="F116969"/>
    </row>
    <row r="116970" spans="1:6" x14ac:dyDescent="0.25">
      <c r="A116970"/>
      <c r="B116970"/>
      <c r="C116970"/>
      <c r="E116970"/>
      <c r="F116970"/>
    </row>
    <row r="116971" spans="1:6" x14ac:dyDescent="0.25">
      <c r="A116971"/>
      <c r="B116971"/>
      <c r="C116971"/>
      <c r="E116971"/>
      <c r="F116971"/>
    </row>
    <row r="116972" spans="1:6" x14ac:dyDescent="0.25">
      <c r="A116972"/>
      <c r="B116972"/>
      <c r="C116972"/>
      <c r="E116972"/>
      <c r="F116972"/>
    </row>
    <row r="116973" spans="1:6" x14ac:dyDescent="0.25">
      <c r="A116973"/>
      <c r="B116973"/>
      <c r="C116973"/>
      <c r="E116973"/>
      <c r="F116973"/>
    </row>
    <row r="116974" spans="1:6" x14ac:dyDescent="0.25">
      <c r="A116974"/>
      <c r="B116974"/>
      <c r="C116974"/>
      <c r="E116974"/>
      <c r="F116974"/>
    </row>
    <row r="116975" spans="1:6" x14ac:dyDescent="0.25">
      <c r="A116975"/>
      <c r="B116975"/>
      <c r="C116975"/>
      <c r="E116975"/>
      <c r="F116975"/>
    </row>
    <row r="116976" spans="1:6" x14ac:dyDescent="0.25">
      <c r="A116976"/>
      <c r="B116976"/>
      <c r="C116976"/>
      <c r="E116976"/>
      <c r="F116976"/>
    </row>
    <row r="116977" spans="1:6" x14ac:dyDescent="0.25">
      <c r="A116977"/>
      <c r="B116977"/>
      <c r="C116977"/>
      <c r="E116977"/>
      <c r="F116977"/>
    </row>
    <row r="116978" spans="1:6" x14ac:dyDescent="0.25">
      <c r="A116978"/>
      <c r="B116978"/>
      <c r="C116978"/>
      <c r="E116978"/>
      <c r="F116978"/>
    </row>
    <row r="116979" spans="1:6" x14ac:dyDescent="0.25">
      <c r="A116979"/>
      <c r="B116979"/>
      <c r="C116979"/>
      <c r="E116979"/>
      <c r="F116979"/>
    </row>
    <row r="116980" spans="1:6" x14ac:dyDescent="0.25">
      <c r="A116980"/>
      <c r="B116980"/>
      <c r="C116980"/>
      <c r="E116980"/>
      <c r="F116980"/>
    </row>
    <row r="116981" spans="1:6" x14ac:dyDescent="0.25">
      <c r="A116981"/>
      <c r="B116981"/>
      <c r="C116981"/>
      <c r="E116981"/>
      <c r="F116981"/>
    </row>
    <row r="116982" spans="1:6" x14ac:dyDescent="0.25">
      <c r="A116982"/>
      <c r="B116982"/>
      <c r="C116982"/>
      <c r="E116982"/>
      <c r="F116982"/>
    </row>
    <row r="116983" spans="1:6" x14ac:dyDescent="0.25">
      <c r="A116983"/>
      <c r="B116983"/>
      <c r="C116983"/>
      <c r="E116983"/>
      <c r="F116983"/>
    </row>
    <row r="116984" spans="1:6" x14ac:dyDescent="0.25">
      <c r="A116984"/>
      <c r="B116984"/>
      <c r="C116984"/>
      <c r="E116984"/>
      <c r="F116984"/>
    </row>
    <row r="116985" spans="1:6" x14ac:dyDescent="0.25">
      <c r="A116985"/>
      <c r="B116985"/>
      <c r="C116985"/>
      <c r="E116985"/>
      <c r="F116985"/>
    </row>
    <row r="116986" spans="1:6" x14ac:dyDescent="0.25">
      <c r="A116986"/>
      <c r="B116986"/>
      <c r="C116986"/>
      <c r="E116986"/>
      <c r="F116986"/>
    </row>
    <row r="116987" spans="1:6" x14ac:dyDescent="0.25">
      <c r="A116987"/>
      <c r="B116987"/>
      <c r="C116987"/>
      <c r="E116987"/>
      <c r="F116987"/>
    </row>
    <row r="116988" spans="1:6" x14ac:dyDescent="0.25">
      <c r="A116988"/>
      <c r="B116988"/>
      <c r="C116988"/>
      <c r="E116988"/>
      <c r="F116988"/>
    </row>
    <row r="116989" spans="1:6" x14ac:dyDescent="0.25">
      <c r="A116989"/>
      <c r="B116989"/>
      <c r="C116989"/>
      <c r="E116989"/>
      <c r="F116989"/>
    </row>
    <row r="116990" spans="1:6" x14ac:dyDescent="0.25">
      <c r="A116990"/>
      <c r="B116990"/>
      <c r="C116990"/>
      <c r="E116990"/>
      <c r="F116990"/>
    </row>
    <row r="116991" spans="1:6" x14ac:dyDescent="0.25">
      <c r="A116991"/>
      <c r="B116991"/>
      <c r="C116991"/>
      <c r="E116991"/>
      <c r="F116991"/>
    </row>
    <row r="116992" spans="1:6" x14ac:dyDescent="0.25">
      <c r="A116992"/>
      <c r="B116992"/>
      <c r="C116992"/>
      <c r="E116992"/>
      <c r="F116992"/>
    </row>
    <row r="116993" spans="1:6" x14ac:dyDescent="0.25">
      <c r="A116993"/>
      <c r="B116993"/>
      <c r="C116993"/>
      <c r="E116993"/>
      <c r="F116993"/>
    </row>
    <row r="116994" spans="1:6" x14ac:dyDescent="0.25">
      <c r="A116994"/>
      <c r="B116994"/>
      <c r="C116994"/>
      <c r="E116994"/>
      <c r="F116994"/>
    </row>
    <row r="116995" spans="1:6" x14ac:dyDescent="0.25">
      <c r="A116995"/>
      <c r="B116995"/>
      <c r="C116995"/>
      <c r="E116995"/>
      <c r="F116995"/>
    </row>
    <row r="116996" spans="1:6" x14ac:dyDescent="0.25">
      <c r="A116996"/>
      <c r="B116996"/>
      <c r="C116996"/>
      <c r="E116996"/>
      <c r="F116996"/>
    </row>
    <row r="116997" spans="1:6" x14ac:dyDescent="0.25">
      <c r="A116997"/>
      <c r="B116997"/>
      <c r="C116997"/>
      <c r="E116997"/>
      <c r="F116997"/>
    </row>
    <row r="116998" spans="1:6" x14ac:dyDescent="0.25">
      <c r="A116998"/>
      <c r="B116998"/>
      <c r="C116998"/>
      <c r="E116998"/>
      <c r="F116998"/>
    </row>
    <row r="116999" spans="1:6" x14ac:dyDescent="0.25">
      <c r="A116999"/>
      <c r="B116999"/>
      <c r="C116999"/>
      <c r="E116999"/>
      <c r="F116999"/>
    </row>
    <row r="117000" spans="1:6" x14ac:dyDescent="0.25">
      <c r="A117000"/>
      <c r="B117000"/>
      <c r="C117000"/>
      <c r="E117000"/>
      <c r="F117000"/>
    </row>
    <row r="117001" spans="1:6" x14ac:dyDescent="0.25">
      <c r="A117001"/>
      <c r="B117001"/>
      <c r="C117001"/>
      <c r="E117001"/>
      <c r="F117001"/>
    </row>
    <row r="117002" spans="1:6" x14ac:dyDescent="0.25">
      <c r="A117002"/>
      <c r="B117002"/>
      <c r="C117002"/>
      <c r="E117002"/>
      <c r="F117002"/>
    </row>
    <row r="117003" spans="1:6" x14ac:dyDescent="0.25">
      <c r="A117003"/>
      <c r="B117003"/>
      <c r="C117003"/>
      <c r="E117003"/>
      <c r="F117003"/>
    </row>
    <row r="117004" spans="1:6" x14ac:dyDescent="0.25">
      <c r="A117004"/>
      <c r="B117004"/>
      <c r="C117004"/>
      <c r="E117004"/>
      <c r="F117004"/>
    </row>
    <row r="117005" spans="1:6" x14ac:dyDescent="0.25">
      <c r="A117005"/>
      <c r="B117005"/>
      <c r="C117005"/>
      <c r="E117005"/>
      <c r="F117005"/>
    </row>
    <row r="117006" spans="1:6" x14ac:dyDescent="0.25">
      <c r="A117006"/>
      <c r="B117006"/>
      <c r="C117006"/>
      <c r="E117006"/>
      <c r="F117006"/>
    </row>
    <row r="117007" spans="1:6" x14ac:dyDescent="0.25">
      <c r="A117007"/>
      <c r="B117007"/>
      <c r="C117007"/>
      <c r="E117007"/>
      <c r="F117007"/>
    </row>
    <row r="117008" spans="1:6" x14ac:dyDescent="0.25">
      <c r="A117008"/>
      <c r="B117008"/>
      <c r="C117008"/>
      <c r="E117008"/>
      <c r="F117008"/>
    </row>
    <row r="117009" spans="1:6" x14ac:dyDescent="0.25">
      <c r="A117009"/>
      <c r="B117009"/>
      <c r="C117009"/>
      <c r="E117009"/>
      <c r="F117009"/>
    </row>
    <row r="117010" spans="1:6" x14ac:dyDescent="0.25">
      <c r="A117010"/>
      <c r="B117010"/>
      <c r="C117010"/>
      <c r="E117010"/>
      <c r="F117010"/>
    </row>
    <row r="117011" spans="1:6" x14ac:dyDescent="0.25">
      <c r="A117011"/>
      <c r="B117011"/>
      <c r="C117011"/>
      <c r="E117011"/>
      <c r="F117011"/>
    </row>
    <row r="117012" spans="1:6" x14ac:dyDescent="0.25">
      <c r="A117012"/>
      <c r="B117012"/>
      <c r="C117012"/>
      <c r="E117012"/>
      <c r="F117012"/>
    </row>
    <row r="117013" spans="1:6" x14ac:dyDescent="0.25">
      <c r="A117013"/>
      <c r="B117013"/>
      <c r="C117013"/>
      <c r="E117013"/>
      <c r="F117013"/>
    </row>
    <row r="117014" spans="1:6" x14ac:dyDescent="0.25">
      <c r="A117014"/>
      <c r="B117014"/>
      <c r="C117014"/>
      <c r="E117014"/>
      <c r="F117014"/>
    </row>
    <row r="117015" spans="1:6" x14ac:dyDescent="0.25">
      <c r="A117015"/>
      <c r="B117015"/>
      <c r="C117015"/>
      <c r="E117015"/>
      <c r="F117015"/>
    </row>
    <row r="117016" spans="1:6" x14ac:dyDescent="0.25">
      <c r="A117016"/>
      <c r="B117016"/>
      <c r="C117016"/>
      <c r="E117016"/>
      <c r="F117016"/>
    </row>
    <row r="117017" spans="1:6" x14ac:dyDescent="0.25">
      <c r="A117017"/>
      <c r="B117017"/>
      <c r="C117017"/>
      <c r="E117017"/>
      <c r="F117017"/>
    </row>
    <row r="117018" spans="1:6" x14ac:dyDescent="0.25">
      <c r="A117018"/>
      <c r="B117018"/>
      <c r="C117018"/>
      <c r="E117018"/>
      <c r="F117018"/>
    </row>
    <row r="117019" spans="1:6" x14ac:dyDescent="0.25">
      <c r="A117019"/>
      <c r="B117019"/>
      <c r="C117019"/>
      <c r="E117019"/>
      <c r="F117019"/>
    </row>
    <row r="117020" spans="1:6" x14ac:dyDescent="0.25">
      <c r="A117020"/>
      <c r="B117020"/>
      <c r="C117020"/>
      <c r="E117020"/>
      <c r="F117020"/>
    </row>
    <row r="117021" spans="1:6" x14ac:dyDescent="0.25">
      <c r="A117021"/>
      <c r="B117021"/>
      <c r="C117021"/>
      <c r="E117021"/>
      <c r="F117021"/>
    </row>
    <row r="117022" spans="1:6" x14ac:dyDescent="0.25">
      <c r="A117022"/>
      <c r="B117022"/>
      <c r="C117022"/>
      <c r="E117022"/>
      <c r="F117022"/>
    </row>
    <row r="117023" spans="1:6" x14ac:dyDescent="0.25">
      <c r="A117023"/>
      <c r="B117023"/>
      <c r="C117023"/>
      <c r="E117023"/>
      <c r="F117023"/>
    </row>
    <row r="117024" spans="1:6" x14ac:dyDescent="0.25">
      <c r="A117024"/>
      <c r="B117024"/>
      <c r="C117024"/>
      <c r="E117024"/>
      <c r="F117024"/>
    </row>
    <row r="117025" spans="1:6" x14ac:dyDescent="0.25">
      <c r="A117025"/>
      <c r="B117025"/>
      <c r="C117025"/>
      <c r="E117025"/>
      <c r="F117025"/>
    </row>
    <row r="117026" spans="1:6" x14ac:dyDescent="0.25">
      <c r="A117026"/>
      <c r="B117026"/>
      <c r="C117026"/>
      <c r="E117026"/>
      <c r="F117026"/>
    </row>
    <row r="117027" spans="1:6" x14ac:dyDescent="0.25">
      <c r="A117027"/>
      <c r="B117027"/>
      <c r="C117027"/>
      <c r="E117027"/>
      <c r="F117027"/>
    </row>
    <row r="117028" spans="1:6" x14ac:dyDescent="0.25">
      <c r="A117028"/>
      <c r="B117028"/>
      <c r="C117028"/>
      <c r="E117028"/>
      <c r="F117028"/>
    </row>
    <row r="117029" spans="1:6" x14ac:dyDescent="0.25">
      <c r="A117029"/>
      <c r="B117029"/>
      <c r="C117029"/>
      <c r="E117029"/>
      <c r="F117029"/>
    </row>
    <row r="117030" spans="1:6" x14ac:dyDescent="0.25">
      <c r="A117030"/>
      <c r="B117030"/>
      <c r="C117030"/>
      <c r="E117030"/>
      <c r="F117030"/>
    </row>
    <row r="117031" spans="1:6" x14ac:dyDescent="0.25">
      <c r="A117031"/>
      <c r="B117031"/>
      <c r="C117031"/>
      <c r="E117031"/>
      <c r="F117031"/>
    </row>
    <row r="117032" spans="1:6" x14ac:dyDescent="0.25">
      <c r="A117032"/>
      <c r="B117032"/>
      <c r="C117032"/>
      <c r="E117032"/>
      <c r="F117032"/>
    </row>
    <row r="117033" spans="1:6" x14ac:dyDescent="0.25">
      <c r="A117033"/>
      <c r="B117033"/>
      <c r="C117033"/>
      <c r="E117033"/>
      <c r="F117033"/>
    </row>
    <row r="117034" spans="1:6" x14ac:dyDescent="0.25">
      <c r="A117034"/>
      <c r="B117034"/>
      <c r="C117034"/>
      <c r="E117034"/>
      <c r="F117034"/>
    </row>
    <row r="117035" spans="1:6" x14ac:dyDescent="0.25">
      <c r="A117035"/>
      <c r="B117035"/>
      <c r="C117035"/>
      <c r="E117035"/>
      <c r="F117035"/>
    </row>
    <row r="117036" spans="1:6" x14ac:dyDescent="0.25">
      <c r="A117036"/>
      <c r="B117036"/>
      <c r="C117036"/>
      <c r="E117036"/>
      <c r="F117036"/>
    </row>
    <row r="117037" spans="1:6" x14ac:dyDescent="0.25">
      <c r="A117037"/>
      <c r="B117037"/>
      <c r="C117037"/>
      <c r="E117037"/>
      <c r="F117037"/>
    </row>
    <row r="117038" spans="1:6" x14ac:dyDescent="0.25">
      <c r="A117038"/>
      <c r="B117038"/>
      <c r="C117038"/>
      <c r="E117038"/>
      <c r="F117038"/>
    </row>
    <row r="117039" spans="1:6" x14ac:dyDescent="0.25">
      <c r="A117039"/>
      <c r="B117039"/>
      <c r="C117039"/>
      <c r="E117039"/>
      <c r="F117039"/>
    </row>
    <row r="117040" spans="1:6" x14ac:dyDescent="0.25">
      <c r="A117040"/>
      <c r="B117040"/>
      <c r="C117040"/>
      <c r="E117040"/>
      <c r="F117040"/>
    </row>
    <row r="117041" spans="1:6" x14ac:dyDescent="0.25">
      <c r="A117041"/>
      <c r="B117041"/>
      <c r="C117041"/>
      <c r="E117041"/>
      <c r="F117041"/>
    </row>
    <row r="117042" spans="1:6" x14ac:dyDescent="0.25">
      <c r="A117042"/>
      <c r="B117042"/>
      <c r="C117042"/>
      <c r="E117042"/>
      <c r="F117042"/>
    </row>
    <row r="117043" spans="1:6" x14ac:dyDescent="0.25">
      <c r="A117043"/>
      <c r="B117043"/>
      <c r="C117043"/>
      <c r="E117043"/>
      <c r="F117043"/>
    </row>
    <row r="117044" spans="1:6" x14ac:dyDescent="0.25">
      <c r="A117044"/>
      <c r="B117044"/>
      <c r="C117044"/>
      <c r="E117044"/>
      <c r="F117044"/>
    </row>
    <row r="117045" spans="1:6" x14ac:dyDescent="0.25">
      <c r="A117045"/>
      <c r="B117045"/>
      <c r="C117045"/>
      <c r="E117045"/>
      <c r="F117045"/>
    </row>
    <row r="117046" spans="1:6" x14ac:dyDescent="0.25">
      <c r="A117046"/>
      <c r="B117046"/>
      <c r="C117046"/>
      <c r="E117046"/>
      <c r="F117046"/>
    </row>
    <row r="117047" spans="1:6" x14ac:dyDescent="0.25">
      <c r="A117047"/>
      <c r="B117047"/>
      <c r="C117047"/>
      <c r="E117047"/>
      <c r="F117047"/>
    </row>
    <row r="117048" spans="1:6" x14ac:dyDescent="0.25">
      <c r="A117048"/>
      <c r="B117048"/>
      <c r="C117048"/>
      <c r="E117048"/>
      <c r="F117048"/>
    </row>
    <row r="117049" spans="1:6" x14ac:dyDescent="0.25">
      <c r="A117049"/>
      <c r="B117049"/>
      <c r="C117049"/>
      <c r="E117049"/>
      <c r="F117049"/>
    </row>
    <row r="117050" spans="1:6" x14ac:dyDescent="0.25">
      <c r="A117050"/>
      <c r="B117050"/>
      <c r="C117050"/>
      <c r="E117050"/>
      <c r="F117050"/>
    </row>
    <row r="117051" spans="1:6" x14ac:dyDescent="0.25">
      <c r="A117051"/>
      <c r="B117051"/>
      <c r="C117051"/>
      <c r="E117051"/>
      <c r="F117051"/>
    </row>
    <row r="117052" spans="1:6" x14ac:dyDescent="0.25">
      <c r="A117052"/>
      <c r="B117052"/>
      <c r="C117052"/>
      <c r="E117052"/>
      <c r="F117052"/>
    </row>
    <row r="117053" spans="1:6" x14ac:dyDescent="0.25">
      <c r="A117053"/>
      <c r="B117053"/>
      <c r="C117053"/>
      <c r="E117053"/>
      <c r="F117053"/>
    </row>
    <row r="117054" spans="1:6" x14ac:dyDescent="0.25">
      <c r="A117054"/>
      <c r="B117054"/>
      <c r="C117054"/>
      <c r="E117054"/>
      <c r="F117054"/>
    </row>
    <row r="117055" spans="1:6" x14ac:dyDescent="0.25">
      <c r="A117055"/>
      <c r="B117055"/>
      <c r="C117055"/>
      <c r="E117055"/>
      <c r="F117055"/>
    </row>
    <row r="117056" spans="1:6" x14ac:dyDescent="0.25">
      <c r="A117056"/>
      <c r="B117056"/>
      <c r="C117056"/>
      <c r="E117056"/>
      <c r="F117056"/>
    </row>
    <row r="117057" spans="1:6" x14ac:dyDescent="0.25">
      <c r="A117057"/>
      <c r="B117057"/>
      <c r="C117057"/>
      <c r="E117057"/>
      <c r="F117057"/>
    </row>
    <row r="117058" spans="1:6" x14ac:dyDescent="0.25">
      <c r="A117058"/>
      <c r="B117058"/>
      <c r="C117058"/>
      <c r="E117058"/>
      <c r="F117058"/>
    </row>
    <row r="117059" spans="1:6" x14ac:dyDescent="0.25">
      <c r="A117059"/>
      <c r="B117059"/>
      <c r="C117059"/>
      <c r="E117059"/>
      <c r="F117059"/>
    </row>
    <row r="117060" spans="1:6" x14ac:dyDescent="0.25">
      <c r="A117060"/>
      <c r="B117060"/>
      <c r="C117060"/>
      <c r="E117060"/>
      <c r="F117060"/>
    </row>
    <row r="117061" spans="1:6" x14ac:dyDescent="0.25">
      <c r="A117061"/>
      <c r="B117061"/>
      <c r="C117061"/>
      <c r="E117061"/>
      <c r="F117061"/>
    </row>
    <row r="117062" spans="1:6" x14ac:dyDescent="0.25">
      <c r="A117062"/>
      <c r="B117062"/>
      <c r="C117062"/>
      <c r="E117062"/>
      <c r="F117062"/>
    </row>
    <row r="117063" spans="1:6" x14ac:dyDescent="0.25">
      <c r="A117063"/>
      <c r="B117063"/>
      <c r="C117063"/>
      <c r="E117063"/>
      <c r="F117063"/>
    </row>
    <row r="117064" spans="1:6" x14ac:dyDescent="0.25">
      <c r="A117064"/>
      <c r="B117064"/>
      <c r="C117064"/>
      <c r="E117064"/>
      <c r="F117064"/>
    </row>
    <row r="117065" spans="1:6" x14ac:dyDescent="0.25">
      <c r="A117065"/>
      <c r="B117065"/>
      <c r="C117065"/>
      <c r="E117065"/>
      <c r="F117065"/>
    </row>
    <row r="117066" spans="1:6" x14ac:dyDescent="0.25">
      <c r="A117066"/>
      <c r="B117066"/>
      <c r="C117066"/>
      <c r="E117066"/>
      <c r="F117066"/>
    </row>
    <row r="117067" spans="1:6" x14ac:dyDescent="0.25">
      <c r="A117067"/>
      <c r="B117067"/>
      <c r="C117067"/>
      <c r="E117067"/>
      <c r="F117067"/>
    </row>
    <row r="117068" spans="1:6" x14ac:dyDescent="0.25">
      <c r="A117068"/>
      <c r="B117068"/>
      <c r="C117068"/>
      <c r="E117068"/>
      <c r="F117068"/>
    </row>
    <row r="117069" spans="1:6" x14ac:dyDescent="0.25">
      <c r="A117069"/>
      <c r="B117069"/>
      <c r="C117069"/>
      <c r="E117069"/>
      <c r="F117069"/>
    </row>
    <row r="117070" spans="1:6" x14ac:dyDescent="0.25">
      <c r="A117070"/>
      <c r="B117070"/>
      <c r="C117070"/>
      <c r="E117070"/>
      <c r="F117070"/>
    </row>
    <row r="117071" spans="1:6" x14ac:dyDescent="0.25">
      <c r="A117071"/>
      <c r="B117071"/>
      <c r="C117071"/>
      <c r="E117071"/>
      <c r="F117071"/>
    </row>
    <row r="117072" spans="1:6" x14ac:dyDescent="0.25">
      <c r="A117072"/>
      <c r="B117072"/>
      <c r="C117072"/>
      <c r="E117072"/>
      <c r="F117072"/>
    </row>
    <row r="117073" spans="1:6" x14ac:dyDescent="0.25">
      <c r="A117073"/>
      <c r="B117073"/>
      <c r="C117073"/>
      <c r="E117073"/>
      <c r="F117073"/>
    </row>
    <row r="117074" spans="1:6" x14ac:dyDescent="0.25">
      <c r="A117074"/>
      <c r="B117074"/>
      <c r="C117074"/>
      <c r="E117074"/>
      <c r="F117074"/>
    </row>
    <row r="117075" spans="1:6" x14ac:dyDescent="0.25">
      <c r="A117075"/>
      <c r="B117075"/>
      <c r="C117075"/>
      <c r="E117075"/>
      <c r="F117075"/>
    </row>
    <row r="117076" spans="1:6" x14ac:dyDescent="0.25">
      <c r="A117076"/>
      <c r="B117076"/>
      <c r="C117076"/>
      <c r="E117076"/>
      <c r="F117076"/>
    </row>
    <row r="117077" spans="1:6" x14ac:dyDescent="0.25">
      <c r="A117077"/>
      <c r="B117077"/>
      <c r="C117077"/>
      <c r="E117077"/>
      <c r="F117077"/>
    </row>
    <row r="117078" spans="1:6" x14ac:dyDescent="0.25">
      <c r="A117078"/>
      <c r="B117078"/>
      <c r="C117078"/>
      <c r="E117078"/>
      <c r="F117078"/>
    </row>
    <row r="117079" spans="1:6" x14ac:dyDescent="0.25">
      <c r="A117079"/>
      <c r="B117079"/>
      <c r="C117079"/>
      <c r="E117079"/>
      <c r="F117079"/>
    </row>
    <row r="117080" spans="1:6" x14ac:dyDescent="0.25">
      <c r="A117080"/>
      <c r="B117080"/>
      <c r="C117080"/>
      <c r="E117080"/>
      <c r="F117080"/>
    </row>
    <row r="117081" spans="1:6" x14ac:dyDescent="0.25">
      <c r="A117081"/>
      <c r="B117081"/>
      <c r="C117081"/>
      <c r="E117081"/>
      <c r="F117081"/>
    </row>
    <row r="117082" spans="1:6" x14ac:dyDescent="0.25">
      <c r="A117082"/>
      <c r="B117082"/>
      <c r="C117082"/>
      <c r="E117082"/>
      <c r="F117082"/>
    </row>
    <row r="117083" spans="1:6" x14ac:dyDescent="0.25">
      <c r="A117083"/>
      <c r="B117083"/>
      <c r="C117083"/>
      <c r="E117083"/>
      <c r="F117083"/>
    </row>
    <row r="117084" spans="1:6" x14ac:dyDescent="0.25">
      <c r="A117084"/>
      <c r="B117084"/>
      <c r="C117084"/>
      <c r="E117084"/>
      <c r="F117084"/>
    </row>
    <row r="117085" spans="1:6" x14ac:dyDescent="0.25">
      <c r="A117085"/>
      <c r="B117085"/>
      <c r="C117085"/>
      <c r="E117085"/>
      <c r="F117085"/>
    </row>
    <row r="117086" spans="1:6" x14ac:dyDescent="0.25">
      <c r="A117086"/>
      <c r="B117086"/>
      <c r="C117086"/>
      <c r="E117086"/>
      <c r="F117086"/>
    </row>
    <row r="117087" spans="1:6" x14ac:dyDescent="0.25">
      <c r="A117087"/>
      <c r="B117087"/>
      <c r="C117087"/>
      <c r="E117087"/>
      <c r="F117087"/>
    </row>
    <row r="117088" spans="1:6" x14ac:dyDescent="0.25">
      <c r="A117088"/>
      <c r="B117088"/>
      <c r="C117088"/>
      <c r="E117088"/>
      <c r="F117088"/>
    </row>
    <row r="117089" spans="1:6" x14ac:dyDescent="0.25">
      <c r="A117089"/>
      <c r="B117089"/>
      <c r="C117089"/>
      <c r="E117089"/>
      <c r="F117089"/>
    </row>
    <row r="117090" spans="1:6" x14ac:dyDescent="0.25">
      <c r="A117090"/>
      <c r="B117090"/>
      <c r="C117090"/>
      <c r="E117090"/>
      <c r="F117090"/>
    </row>
    <row r="117091" spans="1:6" x14ac:dyDescent="0.25">
      <c r="A117091"/>
      <c r="B117091"/>
      <c r="C117091"/>
      <c r="E117091"/>
      <c r="F117091"/>
    </row>
    <row r="117092" spans="1:6" x14ac:dyDescent="0.25">
      <c r="A117092"/>
      <c r="B117092"/>
      <c r="C117092"/>
      <c r="E117092"/>
      <c r="F117092"/>
    </row>
    <row r="117093" spans="1:6" x14ac:dyDescent="0.25">
      <c r="A117093"/>
      <c r="B117093"/>
      <c r="C117093"/>
      <c r="E117093"/>
      <c r="F117093"/>
    </row>
    <row r="117094" spans="1:6" x14ac:dyDescent="0.25">
      <c r="A117094"/>
      <c r="B117094"/>
      <c r="C117094"/>
      <c r="E117094"/>
      <c r="F117094"/>
    </row>
    <row r="117095" spans="1:6" x14ac:dyDescent="0.25">
      <c r="A117095"/>
      <c r="B117095"/>
      <c r="C117095"/>
      <c r="E117095"/>
      <c r="F117095"/>
    </row>
    <row r="117096" spans="1:6" x14ac:dyDescent="0.25">
      <c r="A117096"/>
      <c r="B117096"/>
      <c r="C117096"/>
      <c r="E117096"/>
      <c r="F117096"/>
    </row>
    <row r="117097" spans="1:6" x14ac:dyDescent="0.25">
      <c r="A117097"/>
      <c r="B117097"/>
      <c r="C117097"/>
      <c r="E117097"/>
      <c r="F117097"/>
    </row>
    <row r="117098" spans="1:6" x14ac:dyDescent="0.25">
      <c r="A117098"/>
      <c r="B117098"/>
      <c r="C117098"/>
      <c r="E117098"/>
      <c r="F117098"/>
    </row>
    <row r="117099" spans="1:6" x14ac:dyDescent="0.25">
      <c r="A117099"/>
      <c r="B117099"/>
      <c r="C117099"/>
      <c r="E117099"/>
      <c r="F117099"/>
    </row>
    <row r="117100" spans="1:6" x14ac:dyDescent="0.25">
      <c r="A117100"/>
      <c r="B117100"/>
      <c r="C117100"/>
      <c r="E117100"/>
      <c r="F117100"/>
    </row>
    <row r="117101" spans="1:6" x14ac:dyDescent="0.25">
      <c r="A117101"/>
      <c r="B117101"/>
      <c r="C117101"/>
      <c r="E117101"/>
      <c r="F117101"/>
    </row>
    <row r="117102" spans="1:6" x14ac:dyDescent="0.25">
      <c r="A117102"/>
      <c r="B117102"/>
      <c r="C117102"/>
      <c r="E117102"/>
      <c r="F117102"/>
    </row>
    <row r="117103" spans="1:6" x14ac:dyDescent="0.25">
      <c r="A117103"/>
      <c r="B117103"/>
      <c r="C117103"/>
      <c r="E117103"/>
      <c r="F117103"/>
    </row>
    <row r="117104" spans="1:6" x14ac:dyDescent="0.25">
      <c r="A117104"/>
      <c r="B117104"/>
      <c r="C117104"/>
      <c r="E117104"/>
      <c r="F117104"/>
    </row>
    <row r="117105" spans="1:6" x14ac:dyDescent="0.25">
      <c r="A117105"/>
      <c r="B117105"/>
      <c r="C117105"/>
      <c r="E117105"/>
      <c r="F117105"/>
    </row>
    <row r="117106" spans="1:6" x14ac:dyDescent="0.25">
      <c r="A117106"/>
      <c r="B117106"/>
      <c r="C117106"/>
      <c r="E117106"/>
      <c r="F117106"/>
    </row>
    <row r="117107" spans="1:6" x14ac:dyDescent="0.25">
      <c r="A117107"/>
      <c r="B117107"/>
      <c r="C117107"/>
      <c r="E117107"/>
      <c r="F117107"/>
    </row>
    <row r="117108" spans="1:6" x14ac:dyDescent="0.25">
      <c r="A117108"/>
      <c r="B117108"/>
      <c r="C117108"/>
      <c r="E117108"/>
      <c r="F117108"/>
    </row>
    <row r="117109" spans="1:6" x14ac:dyDescent="0.25">
      <c r="A117109"/>
      <c r="B117109"/>
      <c r="C117109"/>
      <c r="E117109"/>
      <c r="F117109"/>
    </row>
    <row r="117110" spans="1:6" x14ac:dyDescent="0.25">
      <c r="A117110"/>
      <c r="B117110"/>
      <c r="C117110"/>
      <c r="E117110"/>
      <c r="F117110"/>
    </row>
    <row r="117111" spans="1:6" x14ac:dyDescent="0.25">
      <c r="A117111"/>
      <c r="B117111"/>
      <c r="C117111"/>
      <c r="E117111"/>
      <c r="F117111"/>
    </row>
    <row r="117112" spans="1:6" x14ac:dyDescent="0.25">
      <c r="A117112"/>
      <c r="B117112"/>
      <c r="C117112"/>
      <c r="E117112"/>
      <c r="F117112"/>
    </row>
    <row r="117113" spans="1:6" x14ac:dyDescent="0.25">
      <c r="A117113"/>
      <c r="B117113"/>
      <c r="C117113"/>
      <c r="E117113"/>
      <c r="F117113"/>
    </row>
    <row r="117114" spans="1:6" x14ac:dyDescent="0.25">
      <c r="A117114"/>
      <c r="B117114"/>
      <c r="C117114"/>
      <c r="E117114"/>
      <c r="F117114"/>
    </row>
    <row r="117115" spans="1:6" x14ac:dyDescent="0.25">
      <c r="A117115"/>
      <c r="B117115"/>
      <c r="C117115"/>
      <c r="E117115"/>
      <c r="F117115"/>
    </row>
    <row r="117116" spans="1:6" x14ac:dyDescent="0.25">
      <c r="A117116"/>
      <c r="B117116"/>
      <c r="C117116"/>
      <c r="E117116"/>
      <c r="F117116"/>
    </row>
    <row r="117117" spans="1:6" x14ac:dyDescent="0.25">
      <c r="A117117"/>
      <c r="B117117"/>
      <c r="C117117"/>
      <c r="E117117"/>
      <c r="F117117"/>
    </row>
    <row r="117118" spans="1:6" x14ac:dyDescent="0.25">
      <c r="A117118"/>
      <c r="B117118"/>
      <c r="C117118"/>
      <c r="E117118"/>
      <c r="F117118"/>
    </row>
    <row r="117119" spans="1:6" x14ac:dyDescent="0.25">
      <c r="A117119"/>
      <c r="B117119"/>
      <c r="C117119"/>
      <c r="E117119"/>
      <c r="F117119"/>
    </row>
    <row r="117120" spans="1:6" x14ac:dyDescent="0.25">
      <c r="A117120"/>
      <c r="B117120"/>
      <c r="C117120"/>
      <c r="E117120"/>
      <c r="F117120"/>
    </row>
    <row r="117121" spans="1:6" x14ac:dyDescent="0.25">
      <c r="A117121"/>
      <c r="B117121"/>
      <c r="C117121"/>
      <c r="E117121"/>
      <c r="F117121"/>
    </row>
    <row r="117122" spans="1:6" x14ac:dyDescent="0.25">
      <c r="A117122"/>
      <c r="B117122"/>
      <c r="C117122"/>
      <c r="E117122"/>
      <c r="F117122"/>
    </row>
    <row r="117123" spans="1:6" x14ac:dyDescent="0.25">
      <c r="A117123"/>
      <c r="B117123"/>
      <c r="C117123"/>
      <c r="E117123"/>
      <c r="F117123"/>
    </row>
    <row r="117124" spans="1:6" x14ac:dyDescent="0.25">
      <c r="A117124"/>
      <c r="B117124"/>
      <c r="C117124"/>
      <c r="E117124"/>
      <c r="F117124"/>
    </row>
    <row r="117125" spans="1:6" x14ac:dyDescent="0.25">
      <c r="A117125"/>
      <c r="B117125"/>
      <c r="C117125"/>
      <c r="E117125"/>
      <c r="F117125"/>
    </row>
    <row r="117126" spans="1:6" x14ac:dyDescent="0.25">
      <c r="A117126"/>
      <c r="B117126"/>
      <c r="C117126"/>
      <c r="E117126"/>
      <c r="F117126"/>
    </row>
    <row r="117127" spans="1:6" x14ac:dyDescent="0.25">
      <c r="A117127"/>
      <c r="B117127"/>
      <c r="C117127"/>
      <c r="E117127"/>
      <c r="F117127"/>
    </row>
    <row r="117128" spans="1:6" x14ac:dyDescent="0.25">
      <c r="A117128"/>
      <c r="B117128"/>
      <c r="C117128"/>
      <c r="E117128"/>
      <c r="F117128"/>
    </row>
    <row r="117129" spans="1:6" x14ac:dyDescent="0.25">
      <c r="A117129"/>
      <c r="B117129"/>
      <c r="C117129"/>
      <c r="E117129"/>
      <c r="F117129"/>
    </row>
    <row r="117130" spans="1:6" x14ac:dyDescent="0.25">
      <c r="A117130"/>
      <c r="B117130"/>
      <c r="C117130"/>
      <c r="E117130"/>
      <c r="F117130"/>
    </row>
    <row r="117131" spans="1:6" x14ac:dyDescent="0.25">
      <c r="A117131"/>
      <c r="B117131"/>
      <c r="C117131"/>
      <c r="E117131"/>
      <c r="F117131"/>
    </row>
    <row r="117132" spans="1:6" x14ac:dyDescent="0.25">
      <c r="A117132"/>
      <c r="B117132"/>
      <c r="C117132"/>
      <c r="E117132"/>
      <c r="F117132"/>
    </row>
    <row r="117133" spans="1:6" x14ac:dyDescent="0.25">
      <c r="A117133"/>
      <c r="B117133"/>
      <c r="C117133"/>
      <c r="E117133"/>
      <c r="F117133"/>
    </row>
    <row r="117134" spans="1:6" x14ac:dyDescent="0.25">
      <c r="A117134"/>
      <c r="B117134"/>
      <c r="C117134"/>
      <c r="E117134"/>
      <c r="F117134"/>
    </row>
    <row r="117135" spans="1:6" x14ac:dyDescent="0.25">
      <c r="A117135"/>
      <c r="B117135"/>
      <c r="C117135"/>
      <c r="E117135"/>
      <c r="F117135"/>
    </row>
    <row r="117136" spans="1:6" x14ac:dyDescent="0.25">
      <c r="A117136"/>
      <c r="B117136"/>
      <c r="C117136"/>
      <c r="E117136"/>
      <c r="F117136"/>
    </row>
    <row r="117137" spans="1:6" x14ac:dyDescent="0.25">
      <c r="A117137"/>
      <c r="B117137"/>
      <c r="C117137"/>
      <c r="E117137"/>
      <c r="F117137"/>
    </row>
    <row r="117138" spans="1:6" x14ac:dyDescent="0.25">
      <c r="A117138"/>
      <c r="B117138"/>
      <c r="C117138"/>
      <c r="E117138"/>
      <c r="F117138"/>
    </row>
    <row r="117139" spans="1:6" x14ac:dyDescent="0.25">
      <c r="A117139"/>
      <c r="B117139"/>
      <c r="C117139"/>
      <c r="E117139"/>
      <c r="F117139"/>
    </row>
    <row r="117140" spans="1:6" x14ac:dyDescent="0.25">
      <c r="A117140"/>
      <c r="B117140"/>
      <c r="C117140"/>
      <c r="E117140"/>
      <c r="F117140"/>
    </row>
    <row r="117141" spans="1:6" x14ac:dyDescent="0.25">
      <c r="A117141"/>
      <c r="B117141"/>
      <c r="C117141"/>
      <c r="E117141"/>
      <c r="F117141"/>
    </row>
    <row r="117142" spans="1:6" x14ac:dyDescent="0.25">
      <c r="A117142"/>
      <c r="B117142"/>
      <c r="C117142"/>
      <c r="E117142"/>
      <c r="F117142"/>
    </row>
    <row r="117143" spans="1:6" x14ac:dyDescent="0.25">
      <c r="A117143"/>
      <c r="B117143"/>
      <c r="C117143"/>
      <c r="E117143"/>
      <c r="F117143"/>
    </row>
    <row r="117144" spans="1:6" x14ac:dyDescent="0.25">
      <c r="A117144"/>
      <c r="B117144"/>
      <c r="C117144"/>
      <c r="E117144"/>
      <c r="F117144"/>
    </row>
    <row r="117145" spans="1:6" x14ac:dyDescent="0.25">
      <c r="A117145"/>
      <c r="B117145"/>
      <c r="C117145"/>
      <c r="E117145"/>
      <c r="F117145"/>
    </row>
    <row r="117146" spans="1:6" x14ac:dyDescent="0.25">
      <c r="A117146"/>
      <c r="B117146"/>
      <c r="C117146"/>
      <c r="E117146"/>
      <c r="F117146"/>
    </row>
    <row r="117147" spans="1:6" x14ac:dyDescent="0.25">
      <c r="A117147"/>
      <c r="B117147"/>
      <c r="C117147"/>
      <c r="E117147"/>
      <c r="F117147"/>
    </row>
    <row r="117148" spans="1:6" x14ac:dyDescent="0.25">
      <c r="A117148"/>
      <c r="B117148"/>
      <c r="C117148"/>
      <c r="E117148"/>
      <c r="F117148"/>
    </row>
    <row r="117149" spans="1:6" x14ac:dyDescent="0.25">
      <c r="A117149"/>
      <c r="B117149"/>
      <c r="C117149"/>
      <c r="E117149"/>
      <c r="F117149"/>
    </row>
    <row r="117150" spans="1:6" x14ac:dyDescent="0.25">
      <c r="A117150"/>
      <c r="B117150"/>
      <c r="C117150"/>
      <c r="E117150"/>
      <c r="F117150"/>
    </row>
    <row r="117151" spans="1:6" x14ac:dyDescent="0.25">
      <c r="A117151"/>
      <c r="B117151"/>
      <c r="C117151"/>
      <c r="E117151"/>
      <c r="F117151"/>
    </row>
    <row r="117152" spans="1:6" x14ac:dyDescent="0.25">
      <c r="A117152"/>
      <c r="B117152"/>
      <c r="C117152"/>
      <c r="E117152"/>
      <c r="F117152"/>
    </row>
    <row r="117153" spans="1:6" x14ac:dyDescent="0.25">
      <c r="A117153"/>
      <c r="B117153"/>
      <c r="C117153"/>
      <c r="E117153"/>
      <c r="F117153"/>
    </row>
    <row r="117154" spans="1:6" x14ac:dyDescent="0.25">
      <c r="A117154"/>
      <c r="B117154"/>
      <c r="C117154"/>
      <c r="E117154"/>
      <c r="F117154"/>
    </row>
    <row r="117155" spans="1:6" x14ac:dyDescent="0.25">
      <c r="A117155"/>
      <c r="B117155"/>
      <c r="C117155"/>
      <c r="E117155"/>
      <c r="F117155"/>
    </row>
    <row r="117156" spans="1:6" x14ac:dyDescent="0.25">
      <c r="A117156"/>
      <c r="B117156"/>
      <c r="C117156"/>
      <c r="E117156"/>
      <c r="F117156"/>
    </row>
    <row r="117157" spans="1:6" x14ac:dyDescent="0.25">
      <c r="A117157"/>
      <c r="B117157"/>
      <c r="C117157"/>
      <c r="E117157"/>
      <c r="F117157"/>
    </row>
    <row r="117158" spans="1:6" x14ac:dyDescent="0.25">
      <c r="A117158"/>
      <c r="B117158"/>
      <c r="C117158"/>
      <c r="E117158"/>
      <c r="F117158"/>
    </row>
    <row r="117159" spans="1:6" x14ac:dyDescent="0.25">
      <c r="A117159"/>
      <c r="B117159"/>
      <c r="C117159"/>
      <c r="E117159"/>
      <c r="F117159"/>
    </row>
    <row r="117160" spans="1:6" x14ac:dyDescent="0.25">
      <c r="A117160"/>
      <c r="B117160"/>
      <c r="C117160"/>
      <c r="E117160"/>
      <c r="F117160"/>
    </row>
    <row r="117161" spans="1:6" x14ac:dyDescent="0.25">
      <c r="A117161"/>
      <c r="B117161"/>
      <c r="C117161"/>
      <c r="E117161"/>
      <c r="F117161"/>
    </row>
    <row r="117162" spans="1:6" x14ac:dyDescent="0.25">
      <c r="A117162"/>
      <c r="B117162"/>
      <c r="C117162"/>
      <c r="E117162"/>
      <c r="F117162"/>
    </row>
    <row r="117163" spans="1:6" x14ac:dyDescent="0.25">
      <c r="A117163"/>
      <c r="B117163"/>
      <c r="C117163"/>
      <c r="E117163"/>
      <c r="F117163"/>
    </row>
    <row r="117164" spans="1:6" x14ac:dyDescent="0.25">
      <c r="A117164"/>
      <c r="B117164"/>
      <c r="C117164"/>
      <c r="E117164"/>
      <c r="F117164"/>
    </row>
    <row r="117165" spans="1:6" x14ac:dyDescent="0.25">
      <c r="A117165"/>
      <c r="B117165"/>
      <c r="C117165"/>
      <c r="E117165"/>
      <c r="F117165"/>
    </row>
    <row r="117166" spans="1:6" x14ac:dyDescent="0.25">
      <c r="A117166"/>
      <c r="B117166"/>
      <c r="C117166"/>
      <c r="E117166"/>
      <c r="F117166"/>
    </row>
    <row r="117167" spans="1:6" x14ac:dyDescent="0.25">
      <c r="A117167"/>
      <c r="B117167"/>
      <c r="C117167"/>
      <c r="E117167"/>
      <c r="F117167"/>
    </row>
    <row r="117168" spans="1:6" x14ac:dyDescent="0.25">
      <c r="A117168"/>
      <c r="B117168"/>
      <c r="C117168"/>
      <c r="E117168"/>
      <c r="F117168"/>
    </row>
    <row r="117169" spans="1:6" x14ac:dyDescent="0.25">
      <c r="A117169"/>
      <c r="B117169"/>
      <c r="C117169"/>
      <c r="E117169"/>
      <c r="F117169"/>
    </row>
    <row r="117170" spans="1:6" x14ac:dyDescent="0.25">
      <c r="A117170"/>
      <c r="B117170"/>
      <c r="C117170"/>
      <c r="E117170"/>
      <c r="F117170"/>
    </row>
    <row r="117171" spans="1:6" x14ac:dyDescent="0.25">
      <c r="A117171"/>
      <c r="B117171"/>
      <c r="C117171"/>
      <c r="E117171"/>
      <c r="F117171"/>
    </row>
    <row r="117172" spans="1:6" x14ac:dyDescent="0.25">
      <c r="A117172"/>
      <c r="B117172"/>
      <c r="C117172"/>
      <c r="E117172"/>
      <c r="F117172"/>
    </row>
    <row r="117173" spans="1:6" x14ac:dyDescent="0.25">
      <c r="A117173"/>
      <c r="B117173"/>
      <c r="C117173"/>
      <c r="E117173"/>
      <c r="F117173"/>
    </row>
    <row r="117174" spans="1:6" x14ac:dyDescent="0.25">
      <c r="A117174"/>
      <c r="B117174"/>
      <c r="C117174"/>
      <c r="E117174"/>
      <c r="F117174"/>
    </row>
    <row r="117175" spans="1:6" x14ac:dyDescent="0.25">
      <c r="A117175"/>
      <c r="B117175"/>
      <c r="C117175"/>
      <c r="E117175"/>
      <c r="F117175"/>
    </row>
    <row r="117176" spans="1:6" x14ac:dyDescent="0.25">
      <c r="A117176"/>
      <c r="B117176"/>
      <c r="C117176"/>
      <c r="E117176"/>
      <c r="F117176"/>
    </row>
    <row r="117177" spans="1:6" x14ac:dyDescent="0.25">
      <c r="A117177"/>
      <c r="B117177"/>
      <c r="C117177"/>
      <c r="E117177"/>
      <c r="F117177"/>
    </row>
    <row r="117178" spans="1:6" x14ac:dyDescent="0.25">
      <c r="A117178"/>
      <c r="B117178"/>
      <c r="C117178"/>
      <c r="E117178"/>
      <c r="F117178"/>
    </row>
    <row r="117179" spans="1:6" x14ac:dyDescent="0.25">
      <c r="A117179"/>
      <c r="B117179"/>
      <c r="C117179"/>
      <c r="E117179"/>
      <c r="F117179"/>
    </row>
    <row r="117180" spans="1:6" x14ac:dyDescent="0.25">
      <c r="A117180"/>
      <c r="B117180"/>
      <c r="C117180"/>
      <c r="E117180"/>
      <c r="F117180"/>
    </row>
    <row r="117181" spans="1:6" x14ac:dyDescent="0.25">
      <c r="A117181"/>
      <c r="B117181"/>
      <c r="C117181"/>
      <c r="E117181"/>
      <c r="F117181"/>
    </row>
    <row r="117182" spans="1:6" x14ac:dyDescent="0.25">
      <c r="A117182"/>
      <c r="B117182"/>
      <c r="C117182"/>
      <c r="E117182"/>
      <c r="F117182"/>
    </row>
    <row r="117183" spans="1:6" x14ac:dyDescent="0.25">
      <c r="A117183"/>
      <c r="B117183"/>
      <c r="C117183"/>
      <c r="E117183"/>
      <c r="F117183"/>
    </row>
    <row r="117184" spans="1:6" x14ac:dyDescent="0.25">
      <c r="A117184"/>
      <c r="B117184"/>
      <c r="C117184"/>
      <c r="E117184"/>
      <c r="F117184"/>
    </row>
    <row r="117185" spans="1:6" x14ac:dyDescent="0.25">
      <c r="A117185"/>
      <c r="B117185"/>
      <c r="C117185"/>
      <c r="E117185"/>
      <c r="F117185"/>
    </row>
    <row r="117186" spans="1:6" x14ac:dyDescent="0.25">
      <c r="A117186"/>
      <c r="B117186"/>
      <c r="C117186"/>
      <c r="E117186"/>
      <c r="F117186"/>
    </row>
    <row r="117187" spans="1:6" x14ac:dyDescent="0.25">
      <c r="A117187"/>
      <c r="B117187"/>
      <c r="C117187"/>
      <c r="E117187"/>
      <c r="F117187"/>
    </row>
    <row r="117188" spans="1:6" x14ac:dyDescent="0.25">
      <c r="A117188"/>
      <c r="B117188"/>
      <c r="C117188"/>
      <c r="E117188"/>
      <c r="F117188"/>
    </row>
    <row r="117189" spans="1:6" x14ac:dyDescent="0.25">
      <c r="A117189"/>
      <c r="B117189"/>
      <c r="C117189"/>
      <c r="E117189"/>
      <c r="F117189"/>
    </row>
    <row r="117190" spans="1:6" x14ac:dyDescent="0.25">
      <c r="A117190"/>
      <c r="B117190"/>
      <c r="C117190"/>
      <c r="E117190"/>
      <c r="F117190"/>
    </row>
    <row r="117191" spans="1:6" x14ac:dyDescent="0.25">
      <c r="A117191"/>
      <c r="B117191"/>
      <c r="C117191"/>
      <c r="E117191"/>
      <c r="F117191"/>
    </row>
    <row r="117192" spans="1:6" x14ac:dyDescent="0.25">
      <c r="A117192"/>
      <c r="B117192"/>
      <c r="C117192"/>
      <c r="E117192"/>
      <c r="F117192"/>
    </row>
    <row r="117193" spans="1:6" x14ac:dyDescent="0.25">
      <c r="A117193"/>
      <c r="B117193"/>
      <c r="C117193"/>
      <c r="E117193"/>
      <c r="F117193"/>
    </row>
    <row r="117194" spans="1:6" x14ac:dyDescent="0.25">
      <c r="A117194"/>
      <c r="B117194"/>
      <c r="C117194"/>
      <c r="E117194"/>
      <c r="F117194"/>
    </row>
    <row r="117195" spans="1:6" x14ac:dyDescent="0.25">
      <c r="A117195"/>
      <c r="B117195"/>
      <c r="C117195"/>
      <c r="E117195"/>
      <c r="F117195"/>
    </row>
    <row r="117196" spans="1:6" x14ac:dyDescent="0.25">
      <c r="A117196"/>
      <c r="B117196"/>
      <c r="C117196"/>
      <c r="E117196"/>
      <c r="F117196"/>
    </row>
    <row r="117197" spans="1:6" x14ac:dyDescent="0.25">
      <c r="A117197"/>
      <c r="B117197"/>
      <c r="C117197"/>
      <c r="E117197"/>
      <c r="F117197"/>
    </row>
    <row r="117198" spans="1:6" x14ac:dyDescent="0.25">
      <c r="A117198"/>
      <c r="B117198"/>
      <c r="C117198"/>
      <c r="E117198"/>
      <c r="F117198"/>
    </row>
    <row r="117199" spans="1:6" x14ac:dyDescent="0.25">
      <c r="A117199"/>
      <c r="B117199"/>
      <c r="C117199"/>
      <c r="E117199"/>
      <c r="F117199"/>
    </row>
    <row r="117200" spans="1:6" x14ac:dyDescent="0.25">
      <c r="A117200"/>
      <c r="B117200"/>
      <c r="C117200"/>
      <c r="E117200"/>
      <c r="F117200"/>
    </row>
    <row r="117201" spans="1:6" x14ac:dyDescent="0.25">
      <c r="A117201"/>
      <c r="B117201"/>
      <c r="C117201"/>
      <c r="E117201"/>
      <c r="F117201"/>
    </row>
    <row r="117202" spans="1:6" x14ac:dyDescent="0.25">
      <c r="A117202"/>
      <c r="B117202"/>
      <c r="C117202"/>
      <c r="E117202"/>
      <c r="F117202"/>
    </row>
    <row r="117203" spans="1:6" x14ac:dyDescent="0.25">
      <c r="A117203"/>
      <c r="B117203"/>
      <c r="C117203"/>
      <c r="E117203"/>
      <c r="F117203"/>
    </row>
    <row r="117204" spans="1:6" x14ac:dyDescent="0.25">
      <c r="A117204"/>
      <c r="B117204"/>
      <c r="C117204"/>
      <c r="E117204"/>
      <c r="F117204"/>
    </row>
    <row r="117205" spans="1:6" x14ac:dyDescent="0.25">
      <c r="A117205"/>
      <c r="B117205"/>
      <c r="C117205"/>
      <c r="E117205"/>
      <c r="F117205"/>
    </row>
    <row r="117206" spans="1:6" x14ac:dyDescent="0.25">
      <c r="A117206"/>
      <c r="B117206"/>
      <c r="C117206"/>
      <c r="E117206"/>
      <c r="F117206"/>
    </row>
    <row r="117207" spans="1:6" x14ac:dyDescent="0.25">
      <c r="A117207"/>
      <c r="B117207"/>
      <c r="C117207"/>
      <c r="E117207"/>
      <c r="F117207"/>
    </row>
    <row r="117208" spans="1:6" x14ac:dyDescent="0.25">
      <c r="A117208"/>
      <c r="B117208"/>
      <c r="C117208"/>
      <c r="E117208"/>
      <c r="F117208"/>
    </row>
    <row r="117209" spans="1:6" x14ac:dyDescent="0.25">
      <c r="A117209"/>
      <c r="B117209"/>
      <c r="C117209"/>
      <c r="E117209"/>
      <c r="F117209"/>
    </row>
    <row r="117210" spans="1:6" x14ac:dyDescent="0.25">
      <c r="A117210"/>
      <c r="B117210"/>
      <c r="C117210"/>
      <c r="E117210"/>
      <c r="F117210"/>
    </row>
    <row r="117211" spans="1:6" x14ac:dyDescent="0.25">
      <c r="A117211"/>
      <c r="B117211"/>
      <c r="C117211"/>
      <c r="E117211"/>
      <c r="F117211"/>
    </row>
    <row r="117212" spans="1:6" x14ac:dyDescent="0.25">
      <c r="A117212"/>
      <c r="B117212"/>
      <c r="C117212"/>
      <c r="E117212"/>
      <c r="F117212"/>
    </row>
    <row r="117213" spans="1:6" x14ac:dyDescent="0.25">
      <c r="A117213"/>
      <c r="B117213"/>
      <c r="C117213"/>
      <c r="E117213"/>
      <c r="F117213"/>
    </row>
    <row r="117214" spans="1:6" x14ac:dyDescent="0.25">
      <c r="A117214"/>
      <c r="B117214"/>
      <c r="C117214"/>
      <c r="E117214"/>
      <c r="F117214"/>
    </row>
    <row r="117215" spans="1:6" x14ac:dyDescent="0.25">
      <c r="A117215"/>
      <c r="B117215"/>
      <c r="C117215"/>
      <c r="E117215"/>
      <c r="F117215"/>
    </row>
    <row r="117216" spans="1:6" x14ac:dyDescent="0.25">
      <c r="A117216"/>
      <c r="B117216"/>
      <c r="C117216"/>
      <c r="E117216"/>
      <c r="F117216"/>
    </row>
    <row r="117217" spans="1:6" x14ac:dyDescent="0.25">
      <c r="A117217"/>
      <c r="B117217"/>
      <c r="C117217"/>
      <c r="E117217"/>
      <c r="F117217"/>
    </row>
    <row r="117218" spans="1:6" x14ac:dyDescent="0.25">
      <c r="A117218"/>
      <c r="B117218"/>
      <c r="C117218"/>
      <c r="E117218"/>
      <c r="F117218"/>
    </row>
    <row r="117219" spans="1:6" x14ac:dyDescent="0.25">
      <c r="A117219"/>
      <c r="B117219"/>
      <c r="C117219"/>
      <c r="E117219"/>
      <c r="F117219"/>
    </row>
    <row r="117220" spans="1:6" x14ac:dyDescent="0.25">
      <c r="A117220"/>
      <c r="B117220"/>
      <c r="C117220"/>
      <c r="E117220"/>
      <c r="F117220"/>
    </row>
    <row r="117221" spans="1:6" x14ac:dyDescent="0.25">
      <c r="A117221"/>
      <c r="B117221"/>
      <c r="C117221"/>
      <c r="E117221"/>
      <c r="F117221"/>
    </row>
    <row r="117222" spans="1:6" x14ac:dyDescent="0.25">
      <c r="A117222"/>
      <c r="B117222"/>
      <c r="C117222"/>
      <c r="E117222"/>
      <c r="F117222"/>
    </row>
    <row r="117223" spans="1:6" x14ac:dyDescent="0.25">
      <c r="A117223"/>
      <c r="B117223"/>
      <c r="C117223"/>
      <c r="E117223"/>
      <c r="F117223"/>
    </row>
    <row r="117224" spans="1:6" x14ac:dyDescent="0.25">
      <c r="A117224"/>
      <c r="B117224"/>
      <c r="C117224"/>
      <c r="E117224"/>
      <c r="F117224"/>
    </row>
    <row r="117225" spans="1:6" x14ac:dyDescent="0.25">
      <c r="A117225"/>
      <c r="B117225"/>
      <c r="C117225"/>
      <c r="E117225"/>
      <c r="F117225"/>
    </row>
    <row r="117226" spans="1:6" x14ac:dyDescent="0.25">
      <c r="A117226"/>
      <c r="B117226"/>
      <c r="C117226"/>
      <c r="E117226"/>
      <c r="F117226"/>
    </row>
    <row r="117227" spans="1:6" x14ac:dyDescent="0.25">
      <c r="A117227"/>
      <c r="B117227"/>
      <c r="C117227"/>
      <c r="E117227"/>
      <c r="F117227"/>
    </row>
    <row r="117228" spans="1:6" x14ac:dyDescent="0.25">
      <c r="A117228"/>
      <c r="B117228"/>
      <c r="C117228"/>
      <c r="E117228"/>
      <c r="F117228"/>
    </row>
    <row r="117229" spans="1:6" x14ac:dyDescent="0.25">
      <c r="A117229"/>
      <c r="B117229"/>
      <c r="C117229"/>
      <c r="E117229"/>
      <c r="F117229"/>
    </row>
    <row r="117230" spans="1:6" x14ac:dyDescent="0.25">
      <c r="A117230"/>
      <c r="B117230"/>
      <c r="C117230"/>
      <c r="E117230"/>
      <c r="F117230"/>
    </row>
    <row r="117231" spans="1:6" x14ac:dyDescent="0.25">
      <c r="A117231"/>
      <c r="B117231"/>
      <c r="C117231"/>
      <c r="E117231"/>
      <c r="F117231"/>
    </row>
    <row r="117232" spans="1:6" x14ac:dyDescent="0.25">
      <c r="A117232"/>
      <c r="B117232"/>
      <c r="C117232"/>
      <c r="E117232"/>
      <c r="F117232"/>
    </row>
    <row r="117233" spans="1:6" x14ac:dyDescent="0.25">
      <c r="A117233"/>
      <c r="B117233"/>
      <c r="C117233"/>
      <c r="E117233"/>
      <c r="F117233"/>
    </row>
    <row r="117234" spans="1:6" x14ac:dyDescent="0.25">
      <c r="A117234"/>
      <c r="B117234"/>
      <c r="C117234"/>
      <c r="E117234"/>
      <c r="F117234"/>
    </row>
    <row r="117235" spans="1:6" x14ac:dyDescent="0.25">
      <c r="A117235"/>
      <c r="B117235"/>
      <c r="C117235"/>
      <c r="E117235"/>
      <c r="F117235"/>
    </row>
    <row r="117236" spans="1:6" x14ac:dyDescent="0.25">
      <c r="A117236"/>
      <c r="B117236"/>
      <c r="C117236"/>
      <c r="E117236"/>
      <c r="F117236"/>
    </row>
    <row r="117237" spans="1:6" x14ac:dyDescent="0.25">
      <c r="A117237"/>
      <c r="B117237"/>
      <c r="C117237"/>
      <c r="E117237"/>
      <c r="F117237"/>
    </row>
    <row r="117238" spans="1:6" x14ac:dyDescent="0.25">
      <c r="A117238"/>
      <c r="B117238"/>
      <c r="C117238"/>
      <c r="E117238"/>
      <c r="F117238"/>
    </row>
    <row r="117239" spans="1:6" x14ac:dyDescent="0.25">
      <c r="A117239"/>
      <c r="B117239"/>
      <c r="C117239"/>
      <c r="E117239"/>
      <c r="F117239"/>
    </row>
    <row r="117240" spans="1:6" x14ac:dyDescent="0.25">
      <c r="A117240"/>
      <c r="B117240"/>
      <c r="C117240"/>
      <c r="E117240"/>
      <c r="F117240"/>
    </row>
    <row r="117241" spans="1:6" x14ac:dyDescent="0.25">
      <c r="A117241"/>
      <c r="B117241"/>
      <c r="C117241"/>
      <c r="E117241"/>
      <c r="F117241"/>
    </row>
    <row r="117242" spans="1:6" x14ac:dyDescent="0.25">
      <c r="A117242"/>
      <c r="B117242"/>
      <c r="C117242"/>
      <c r="E117242"/>
      <c r="F117242"/>
    </row>
    <row r="117243" spans="1:6" x14ac:dyDescent="0.25">
      <c r="A117243"/>
      <c r="B117243"/>
      <c r="C117243"/>
      <c r="E117243"/>
      <c r="F117243"/>
    </row>
    <row r="117244" spans="1:6" x14ac:dyDescent="0.25">
      <c r="A117244"/>
      <c r="B117244"/>
      <c r="C117244"/>
      <c r="E117244"/>
      <c r="F117244"/>
    </row>
    <row r="117245" spans="1:6" x14ac:dyDescent="0.25">
      <c r="A117245"/>
      <c r="B117245"/>
      <c r="C117245"/>
      <c r="E117245"/>
      <c r="F117245"/>
    </row>
    <row r="117246" spans="1:6" x14ac:dyDescent="0.25">
      <c r="A117246"/>
      <c r="B117246"/>
      <c r="C117246"/>
      <c r="E117246"/>
      <c r="F117246"/>
    </row>
    <row r="117247" spans="1:6" x14ac:dyDescent="0.25">
      <c r="A117247"/>
      <c r="B117247"/>
      <c r="C117247"/>
      <c r="E117247"/>
      <c r="F117247"/>
    </row>
    <row r="117248" spans="1:6" x14ac:dyDescent="0.25">
      <c r="A117248"/>
      <c r="B117248"/>
      <c r="C117248"/>
      <c r="E117248"/>
      <c r="F117248"/>
    </row>
    <row r="117249" spans="1:6" x14ac:dyDescent="0.25">
      <c r="A117249"/>
      <c r="B117249"/>
      <c r="C117249"/>
      <c r="E117249"/>
      <c r="F117249"/>
    </row>
    <row r="117250" spans="1:6" x14ac:dyDescent="0.25">
      <c r="A117250"/>
      <c r="B117250"/>
      <c r="C117250"/>
      <c r="E117250"/>
      <c r="F117250"/>
    </row>
    <row r="117251" spans="1:6" x14ac:dyDescent="0.25">
      <c r="A117251"/>
      <c r="B117251"/>
      <c r="C117251"/>
      <c r="E117251"/>
      <c r="F117251"/>
    </row>
    <row r="117252" spans="1:6" x14ac:dyDescent="0.25">
      <c r="A117252"/>
      <c r="B117252"/>
      <c r="C117252"/>
      <c r="E117252"/>
      <c r="F117252"/>
    </row>
    <row r="117253" spans="1:6" x14ac:dyDescent="0.25">
      <c r="A117253"/>
      <c r="B117253"/>
      <c r="C117253"/>
      <c r="E117253"/>
      <c r="F117253"/>
    </row>
    <row r="117254" spans="1:6" x14ac:dyDescent="0.25">
      <c r="A117254"/>
      <c r="B117254"/>
      <c r="C117254"/>
      <c r="E117254"/>
      <c r="F117254"/>
    </row>
    <row r="117255" spans="1:6" x14ac:dyDescent="0.25">
      <c r="A117255"/>
      <c r="B117255"/>
      <c r="C117255"/>
      <c r="E117255"/>
      <c r="F117255"/>
    </row>
    <row r="117256" spans="1:6" x14ac:dyDescent="0.25">
      <c r="A117256"/>
      <c r="B117256"/>
      <c r="C117256"/>
      <c r="E117256"/>
      <c r="F117256"/>
    </row>
    <row r="117257" spans="1:6" x14ac:dyDescent="0.25">
      <c r="A117257"/>
      <c r="B117257"/>
      <c r="C117257"/>
      <c r="E117257"/>
      <c r="F117257"/>
    </row>
    <row r="117258" spans="1:6" x14ac:dyDescent="0.25">
      <c r="A117258"/>
      <c r="B117258"/>
      <c r="C117258"/>
      <c r="E117258"/>
      <c r="F117258"/>
    </row>
    <row r="117259" spans="1:6" x14ac:dyDescent="0.25">
      <c r="A117259"/>
      <c r="B117259"/>
      <c r="C117259"/>
      <c r="E117259"/>
      <c r="F117259"/>
    </row>
    <row r="117260" spans="1:6" x14ac:dyDescent="0.25">
      <c r="A117260"/>
      <c r="B117260"/>
      <c r="C117260"/>
      <c r="E117260"/>
      <c r="F117260"/>
    </row>
    <row r="117261" spans="1:6" x14ac:dyDescent="0.25">
      <c r="A117261"/>
      <c r="B117261"/>
      <c r="C117261"/>
      <c r="E117261"/>
      <c r="F117261"/>
    </row>
    <row r="117262" spans="1:6" x14ac:dyDescent="0.25">
      <c r="A117262"/>
      <c r="B117262"/>
      <c r="C117262"/>
      <c r="E117262"/>
      <c r="F117262"/>
    </row>
    <row r="117263" spans="1:6" x14ac:dyDescent="0.25">
      <c r="A117263"/>
      <c r="B117263"/>
      <c r="C117263"/>
      <c r="E117263"/>
      <c r="F117263"/>
    </row>
    <row r="117264" spans="1:6" x14ac:dyDescent="0.25">
      <c r="A117264"/>
      <c r="B117264"/>
      <c r="C117264"/>
      <c r="E117264"/>
      <c r="F117264"/>
    </row>
    <row r="117265" spans="1:6" x14ac:dyDescent="0.25">
      <c r="A117265"/>
      <c r="B117265"/>
      <c r="C117265"/>
      <c r="E117265"/>
      <c r="F117265"/>
    </row>
    <row r="117266" spans="1:6" x14ac:dyDescent="0.25">
      <c r="A117266"/>
      <c r="B117266"/>
      <c r="C117266"/>
      <c r="E117266"/>
      <c r="F117266"/>
    </row>
    <row r="117267" spans="1:6" x14ac:dyDescent="0.25">
      <c r="A117267"/>
      <c r="B117267"/>
      <c r="C117267"/>
      <c r="E117267"/>
      <c r="F117267"/>
    </row>
    <row r="117268" spans="1:6" x14ac:dyDescent="0.25">
      <c r="A117268"/>
      <c r="B117268"/>
      <c r="C117268"/>
      <c r="E117268"/>
      <c r="F117268"/>
    </row>
    <row r="117269" spans="1:6" x14ac:dyDescent="0.25">
      <c r="A117269"/>
      <c r="B117269"/>
      <c r="C117269"/>
      <c r="E117269"/>
      <c r="F117269"/>
    </row>
    <row r="117270" spans="1:6" x14ac:dyDescent="0.25">
      <c r="A117270"/>
      <c r="B117270"/>
      <c r="C117270"/>
      <c r="E117270"/>
      <c r="F117270"/>
    </row>
    <row r="117271" spans="1:6" x14ac:dyDescent="0.25">
      <c r="A117271"/>
      <c r="B117271"/>
      <c r="C117271"/>
      <c r="E117271"/>
      <c r="F117271"/>
    </row>
    <row r="117272" spans="1:6" x14ac:dyDescent="0.25">
      <c r="A117272"/>
      <c r="B117272"/>
      <c r="C117272"/>
      <c r="E117272"/>
      <c r="F117272"/>
    </row>
    <row r="117273" spans="1:6" x14ac:dyDescent="0.25">
      <c r="A117273"/>
      <c r="B117273"/>
      <c r="C117273"/>
      <c r="E117273"/>
      <c r="F117273"/>
    </row>
    <row r="117274" spans="1:6" x14ac:dyDescent="0.25">
      <c r="A117274"/>
      <c r="B117274"/>
      <c r="C117274"/>
      <c r="E117274"/>
      <c r="F117274"/>
    </row>
    <row r="117275" spans="1:6" x14ac:dyDescent="0.25">
      <c r="A117275"/>
      <c r="B117275"/>
      <c r="C117275"/>
      <c r="E117275"/>
      <c r="F117275"/>
    </row>
    <row r="117276" spans="1:6" x14ac:dyDescent="0.25">
      <c r="A117276"/>
      <c r="B117276"/>
      <c r="C117276"/>
      <c r="E117276"/>
      <c r="F117276"/>
    </row>
    <row r="117277" spans="1:6" x14ac:dyDescent="0.25">
      <c r="A117277"/>
      <c r="B117277"/>
      <c r="C117277"/>
      <c r="E117277"/>
      <c r="F117277"/>
    </row>
    <row r="117278" spans="1:6" x14ac:dyDescent="0.25">
      <c r="A117278"/>
      <c r="B117278"/>
      <c r="C117278"/>
      <c r="E117278"/>
      <c r="F117278"/>
    </row>
    <row r="117279" spans="1:6" x14ac:dyDescent="0.25">
      <c r="A117279"/>
      <c r="B117279"/>
      <c r="C117279"/>
      <c r="E117279"/>
      <c r="F117279"/>
    </row>
    <row r="117280" spans="1:6" x14ac:dyDescent="0.25">
      <c r="A117280"/>
      <c r="B117280"/>
      <c r="C117280"/>
      <c r="E117280"/>
      <c r="F117280"/>
    </row>
    <row r="117281" spans="1:6" x14ac:dyDescent="0.25">
      <c r="A117281"/>
      <c r="B117281"/>
      <c r="C117281"/>
      <c r="E117281"/>
      <c r="F117281"/>
    </row>
    <row r="117282" spans="1:6" x14ac:dyDescent="0.25">
      <c r="A117282"/>
      <c r="B117282"/>
      <c r="C117282"/>
      <c r="E117282"/>
      <c r="F117282"/>
    </row>
    <row r="117283" spans="1:6" x14ac:dyDescent="0.25">
      <c r="A117283"/>
      <c r="B117283"/>
      <c r="C117283"/>
      <c r="E117283"/>
      <c r="F117283"/>
    </row>
    <row r="117284" spans="1:6" x14ac:dyDescent="0.25">
      <c r="A117284"/>
      <c r="B117284"/>
      <c r="C117284"/>
      <c r="E117284"/>
      <c r="F117284"/>
    </row>
    <row r="117285" spans="1:6" x14ac:dyDescent="0.25">
      <c r="A117285"/>
      <c r="B117285"/>
      <c r="C117285"/>
      <c r="E117285"/>
      <c r="F117285"/>
    </row>
    <row r="117286" spans="1:6" x14ac:dyDescent="0.25">
      <c r="A117286"/>
      <c r="B117286"/>
      <c r="C117286"/>
      <c r="E117286"/>
      <c r="F117286"/>
    </row>
    <row r="117287" spans="1:6" x14ac:dyDescent="0.25">
      <c r="A117287"/>
      <c r="B117287"/>
      <c r="C117287"/>
      <c r="E117287"/>
      <c r="F117287"/>
    </row>
    <row r="117288" spans="1:6" x14ac:dyDescent="0.25">
      <c r="A117288"/>
      <c r="B117288"/>
      <c r="C117288"/>
      <c r="E117288"/>
      <c r="F117288"/>
    </row>
    <row r="117289" spans="1:6" x14ac:dyDescent="0.25">
      <c r="A117289"/>
      <c r="B117289"/>
      <c r="C117289"/>
      <c r="E117289"/>
      <c r="F117289"/>
    </row>
    <row r="117290" spans="1:6" x14ac:dyDescent="0.25">
      <c r="A117290"/>
      <c r="B117290"/>
      <c r="C117290"/>
      <c r="E117290"/>
      <c r="F117290"/>
    </row>
    <row r="117291" spans="1:6" x14ac:dyDescent="0.25">
      <c r="A117291"/>
      <c r="B117291"/>
      <c r="C117291"/>
      <c r="E117291"/>
      <c r="F117291"/>
    </row>
    <row r="117292" spans="1:6" x14ac:dyDescent="0.25">
      <c r="A117292"/>
      <c r="B117292"/>
      <c r="C117292"/>
      <c r="E117292"/>
      <c r="F117292"/>
    </row>
    <row r="117293" spans="1:6" x14ac:dyDescent="0.25">
      <c r="A117293"/>
      <c r="B117293"/>
      <c r="C117293"/>
      <c r="E117293"/>
      <c r="F117293"/>
    </row>
    <row r="117294" spans="1:6" x14ac:dyDescent="0.25">
      <c r="A117294"/>
      <c r="B117294"/>
      <c r="C117294"/>
      <c r="E117294"/>
      <c r="F117294"/>
    </row>
    <row r="117295" spans="1:6" x14ac:dyDescent="0.25">
      <c r="A117295"/>
      <c r="B117295"/>
      <c r="C117295"/>
      <c r="E117295"/>
      <c r="F117295"/>
    </row>
    <row r="117296" spans="1:6" x14ac:dyDescent="0.25">
      <c r="A117296"/>
      <c r="B117296"/>
      <c r="C117296"/>
      <c r="E117296"/>
      <c r="F117296"/>
    </row>
    <row r="117297" spans="1:6" x14ac:dyDescent="0.25">
      <c r="A117297"/>
      <c r="B117297"/>
      <c r="C117297"/>
      <c r="E117297"/>
      <c r="F117297"/>
    </row>
    <row r="117298" spans="1:6" x14ac:dyDescent="0.25">
      <c r="A117298"/>
      <c r="B117298"/>
      <c r="C117298"/>
      <c r="E117298"/>
      <c r="F117298"/>
    </row>
    <row r="117299" spans="1:6" x14ac:dyDescent="0.25">
      <c r="A117299"/>
      <c r="B117299"/>
      <c r="C117299"/>
      <c r="E117299"/>
      <c r="F117299"/>
    </row>
    <row r="117300" spans="1:6" x14ac:dyDescent="0.25">
      <c r="A117300"/>
      <c r="B117300"/>
      <c r="C117300"/>
      <c r="E117300"/>
      <c r="F117300"/>
    </row>
    <row r="117301" spans="1:6" x14ac:dyDescent="0.25">
      <c r="A117301"/>
      <c r="B117301"/>
      <c r="C117301"/>
      <c r="E117301"/>
      <c r="F117301"/>
    </row>
    <row r="117302" spans="1:6" x14ac:dyDescent="0.25">
      <c r="A117302"/>
      <c r="B117302"/>
      <c r="C117302"/>
      <c r="E117302"/>
      <c r="F117302"/>
    </row>
    <row r="117303" spans="1:6" x14ac:dyDescent="0.25">
      <c r="A117303"/>
      <c r="B117303"/>
      <c r="C117303"/>
      <c r="E117303"/>
      <c r="F117303"/>
    </row>
    <row r="117304" spans="1:6" x14ac:dyDescent="0.25">
      <c r="A117304"/>
      <c r="B117304"/>
      <c r="C117304"/>
      <c r="E117304"/>
      <c r="F117304"/>
    </row>
    <row r="117305" spans="1:6" x14ac:dyDescent="0.25">
      <c r="A117305"/>
      <c r="B117305"/>
      <c r="C117305"/>
      <c r="E117305"/>
      <c r="F117305"/>
    </row>
    <row r="117306" spans="1:6" x14ac:dyDescent="0.25">
      <c r="A117306"/>
      <c r="B117306"/>
      <c r="C117306"/>
      <c r="E117306"/>
      <c r="F117306"/>
    </row>
    <row r="117307" spans="1:6" x14ac:dyDescent="0.25">
      <c r="A117307"/>
      <c r="B117307"/>
      <c r="C117307"/>
      <c r="E117307"/>
      <c r="F117307"/>
    </row>
    <row r="117308" spans="1:6" x14ac:dyDescent="0.25">
      <c r="A117308"/>
      <c r="B117308"/>
      <c r="C117308"/>
      <c r="E117308"/>
      <c r="F117308"/>
    </row>
    <row r="117309" spans="1:6" x14ac:dyDescent="0.25">
      <c r="A117309"/>
      <c r="B117309"/>
      <c r="C117309"/>
      <c r="E117309"/>
      <c r="F117309"/>
    </row>
    <row r="117310" spans="1:6" x14ac:dyDescent="0.25">
      <c r="A117310"/>
      <c r="B117310"/>
      <c r="C117310"/>
      <c r="E117310"/>
      <c r="F117310"/>
    </row>
    <row r="117311" spans="1:6" x14ac:dyDescent="0.25">
      <c r="A117311"/>
      <c r="B117311"/>
      <c r="C117311"/>
      <c r="E117311"/>
      <c r="F117311"/>
    </row>
    <row r="117312" spans="1:6" x14ac:dyDescent="0.25">
      <c r="A117312"/>
      <c r="B117312"/>
      <c r="C117312"/>
      <c r="E117312"/>
      <c r="F117312"/>
    </row>
    <row r="117313" spans="1:6" x14ac:dyDescent="0.25">
      <c r="A117313"/>
      <c r="B117313"/>
      <c r="C117313"/>
      <c r="E117313"/>
      <c r="F117313"/>
    </row>
    <row r="117314" spans="1:6" x14ac:dyDescent="0.25">
      <c r="A117314"/>
      <c r="B117314"/>
      <c r="C117314"/>
      <c r="E117314"/>
      <c r="F117314"/>
    </row>
    <row r="117315" spans="1:6" x14ac:dyDescent="0.25">
      <c r="A117315"/>
      <c r="B117315"/>
      <c r="C117315"/>
      <c r="E117315"/>
      <c r="F117315"/>
    </row>
    <row r="117316" spans="1:6" x14ac:dyDescent="0.25">
      <c r="A117316"/>
      <c r="B117316"/>
      <c r="C117316"/>
      <c r="E117316"/>
      <c r="F117316"/>
    </row>
    <row r="117317" spans="1:6" x14ac:dyDescent="0.25">
      <c r="A117317"/>
      <c r="B117317"/>
      <c r="C117317"/>
      <c r="E117317"/>
      <c r="F117317"/>
    </row>
    <row r="117318" spans="1:6" x14ac:dyDescent="0.25">
      <c r="A117318"/>
      <c r="B117318"/>
      <c r="C117318"/>
      <c r="E117318"/>
      <c r="F117318"/>
    </row>
    <row r="117319" spans="1:6" x14ac:dyDescent="0.25">
      <c r="A117319"/>
      <c r="B117319"/>
      <c r="C117319"/>
      <c r="E117319"/>
      <c r="F117319"/>
    </row>
    <row r="117320" spans="1:6" x14ac:dyDescent="0.25">
      <c r="A117320"/>
      <c r="B117320"/>
      <c r="C117320"/>
      <c r="E117320"/>
      <c r="F117320"/>
    </row>
    <row r="117321" spans="1:6" x14ac:dyDescent="0.25">
      <c r="A117321"/>
      <c r="B117321"/>
      <c r="C117321"/>
      <c r="E117321"/>
      <c r="F117321"/>
    </row>
    <row r="117322" spans="1:6" x14ac:dyDescent="0.25">
      <c r="A117322"/>
      <c r="B117322"/>
      <c r="C117322"/>
      <c r="E117322"/>
      <c r="F117322"/>
    </row>
    <row r="117323" spans="1:6" x14ac:dyDescent="0.25">
      <c r="A117323"/>
      <c r="B117323"/>
      <c r="C117323"/>
      <c r="E117323"/>
      <c r="F117323"/>
    </row>
    <row r="117324" spans="1:6" x14ac:dyDescent="0.25">
      <c r="A117324"/>
      <c r="B117324"/>
      <c r="C117324"/>
      <c r="E117324"/>
      <c r="F117324"/>
    </row>
    <row r="117325" spans="1:6" x14ac:dyDescent="0.25">
      <c r="A117325"/>
      <c r="B117325"/>
      <c r="C117325"/>
      <c r="E117325"/>
      <c r="F117325"/>
    </row>
    <row r="117326" spans="1:6" x14ac:dyDescent="0.25">
      <c r="A117326"/>
      <c r="B117326"/>
      <c r="C117326"/>
      <c r="E117326"/>
      <c r="F117326"/>
    </row>
    <row r="117327" spans="1:6" x14ac:dyDescent="0.25">
      <c r="A117327"/>
      <c r="B117327"/>
      <c r="C117327"/>
      <c r="E117327"/>
      <c r="F117327"/>
    </row>
    <row r="117328" spans="1:6" x14ac:dyDescent="0.25">
      <c r="A117328"/>
      <c r="B117328"/>
      <c r="C117328"/>
      <c r="E117328"/>
      <c r="F117328"/>
    </row>
    <row r="117329" spans="1:6" x14ac:dyDescent="0.25">
      <c r="A117329"/>
      <c r="B117329"/>
      <c r="C117329"/>
      <c r="E117329"/>
      <c r="F117329"/>
    </row>
    <row r="117330" spans="1:6" x14ac:dyDescent="0.25">
      <c r="A117330"/>
      <c r="B117330"/>
      <c r="C117330"/>
      <c r="E117330"/>
      <c r="F117330"/>
    </row>
    <row r="117331" spans="1:6" x14ac:dyDescent="0.25">
      <c r="A117331"/>
      <c r="B117331"/>
      <c r="C117331"/>
      <c r="E117331"/>
      <c r="F117331"/>
    </row>
    <row r="117332" spans="1:6" x14ac:dyDescent="0.25">
      <c r="A117332"/>
      <c r="B117332"/>
      <c r="C117332"/>
      <c r="E117332"/>
      <c r="F117332"/>
    </row>
    <row r="117333" spans="1:6" x14ac:dyDescent="0.25">
      <c r="A117333"/>
      <c r="B117333"/>
      <c r="C117333"/>
      <c r="E117333"/>
      <c r="F117333"/>
    </row>
    <row r="117334" spans="1:6" x14ac:dyDescent="0.25">
      <c r="A117334"/>
      <c r="B117334"/>
      <c r="C117334"/>
      <c r="E117334"/>
      <c r="F117334"/>
    </row>
    <row r="117335" spans="1:6" x14ac:dyDescent="0.25">
      <c r="A117335"/>
      <c r="B117335"/>
      <c r="C117335"/>
      <c r="E117335"/>
      <c r="F117335"/>
    </row>
    <row r="117336" spans="1:6" x14ac:dyDescent="0.25">
      <c r="A117336"/>
      <c r="B117336"/>
      <c r="C117336"/>
      <c r="E117336"/>
      <c r="F117336"/>
    </row>
    <row r="117337" spans="1:6" x14ac:dyDescent="0.25">
      <c r="A117337"/>
      <c r="B117337"/>
      <c r="C117337"/>
      <c r="E117337"/>
      <c r="F117337"/>
    </row>
    <row r="117338" spans="1:6" x14ac:dyDescent="0.25">
      <c r="A117338"/>
      <c r="B117338"/>
      <c r="C117338"/>
      <c r="E117338"/>
      <c r="F117338"/>
    </row>
    <row r="117339" spans="1:6" x14ac:dyDescent="0.25">
      <c r="A117339"/>
      <c r="B117339"/>
      <c r="C117339"/>
      <c r="E117339"/>
      <c r="F117339"/>
    </row>
    <row r="117340" spans="1:6" x14ac:dyDescent="0.25">
      <c r="A117340"/>
      <c r="B117340"/>
      <c r="C117340"/>
      <c r="E117340"/>
      <c r="F117340"/>
    </row>
    <row r="117341" spans="1:6" x14ac:dyDescent="0.25">
      <c r="A117341"/>
      <c r="B117341"/>
      <c r="C117341"/>
      <c r="E117341"/>
      <c r="F117341"/>
    </row>
    <row r="117342" spans="1:6" x14ac:dyDescent="0.25">
      <c r="A117342"/>
      <c r="B117342"/>
      <c r="C117342"/>
      <c r="E117342"/>
      <c r="F117342"/>
    </row>
    <row r="117343" spans="1:6" x14ac:dyDescent="0.25">
      <c r="A117343"/>
      <c r="B117343"/>
      <c r="C117343"/>
      <c r="E117343"/>
      <c r="F117343"/>
    </row>
    <row r="117344" spans="1:6" x14ac:dyDescent="0.25">
      <c r="A117344"/>
      <c r="B117344"/>
      <c r="C117344"/>
      <c r="E117344"/>
      <c r="F117344"/>
    </row>
    <row r="117345" spans="1:6" x14ac:dyDescent="0.25">
      <c r="A117345"/>
      <c r="B117345"/>
      <c r="C117345"/>
      <c r="E117345"/>
      <c r="F117345"/>
    </row>
    <row r="117346" spans="1:6" x14ac:dyDescent="0.25">
      <c r="A117346"/>
      <c r="B117346"/>
      <c r="C117346"/>
      <c r="E117346"/>
      <c r="F117346"/>
    </row>
    <row r="117347" spans="1:6" x14ac:dyDescent="0.25">
      <c r="A117347"/>
      <c r="B117347"/>
      <c r="C117347"/>
      <c r="E117347"/>
      <c r="F117347"/>
    </row>
    <row r="117348" spans="1:6" x14ac:dyDescent="0.25">
      <c r="A117348"/>
      <c r="B117348"/>
      <c r="C117348"/>
      <c r="E117348"/>
      <c r="F117348"/>
    </row>
    <row r="117349" spans="1:6" x14ac:dyDescent="0.25">
      <c r="A117349"/>
      <c r="B117349"/>
      <c r="C117349"/>
      <c r="E117349"/>
      <c r="F117349"/>
    </row>
    <row r="117350" spans="1:6" x14ac:dyDescent="0.25">
      <c r="A117350"/>
      <c r="B117350"/>
      <c r="C117350"/>
      <c r="E117350"/>
      <c r="F117350"/>
    </row>
    <row r="117351" spans="1:6" x14ac:dyDescent="0.25">
      <c r="A117351"/>
      <c r="B117351"/>
      <c r="C117351"/>
      <c r="E117351"/>
      <c r="F117351"/>
    </row>
    <row r="117352" spans="1:6" x14ac:dyDescent="0.25">
      <c r="A117352"/>
      <c r="B117352"/>
      <c r="C117352"/>
      <c r="E117352"/>
      <c r="F117352"/>
    </row>
    <row r="117353" spans="1:6" x14ac:dyDescent="0.25">
      <c r="A117353"/>
      <c r="B117353"/>
      <c r="C117353"/>
      <c r="E117353"/>
      <c r="F117353"/>
    </row>
    <row r="117354" spans="1:6" x14ac:dyDescent="0.25">
      <c r="A117354"/>
      <c r="B117354"/>
      <c r="C117354"/>
      <c r="E117354"/>
      <c r="F117354"/>
    </row>
    <row r="117355" spans="1:6" x14ac:dyDescent="0.25">
      <c r="A117355"/>
      <c r="B117355"/>
      <c r="C117355"/>
      <c r="E117355"/>
      <c r="F117355"/>
    </row>
    <row r="117356" spans="1:6" x14ac:dyDescent="0.25">
      <c r="A117356"/>
      <c r="B117356"/>
      <c r="C117356"/>
      <c r="E117356"/>
      <c r="F117356"/>
    </row>
    <row r="117357" spans="1:6" x14ac:dyDescent="0.25">
      <c r="A117357"/>
      <c r="B117357"/>
      <c r="C117357"/>
      <c r="E117357"/>
      <c r="F117357"/>
    </row>
    <row r="117358" spans="1:6" x14ac:dyDescent="0.25">
      <c r="A117358"/>
      <c r="B117358"/>
      <c r="C117358"/>
      <c r="E117358"/>
      <c r="F117358"/>
    </row>
    <row r="117359" spans="1:6" x14ac:dyDescent="0.25">
      <c r="A117359"/>
      <c r="B117359"/>
      <c r="C117359"/>
      <c r="E117359"/>
      <c r="F117359"/>
    </row>
    <row r="117360" spans="1:6" x14ac:dyDescent="0.25">
      <c r="A117360"/>
      <c r="B117360"/>
      <c r="C117360"/>
      <c r="E117360"/>
      <c r="F117360"/>
    </row>
    <row r="117361" spans="1:6" x14ac:dyDescent="0.25">
      <c r="A117361"/>
      <c r="B117361"/>
      <c r="C117361"/>
      <c r="E117361"/>
      <c r="F117361"/>
    </row>
    <row r="117362" spans="1:6" x14ac:dyDescent="0.25">
      <c r="A117362"/>
      <c r="B117362"/>
      <c r="C117362"/>
      <c r="E117362"/>
      <c r="F117362"/>
    </row>
    <row r="117363" spans="1:6" x14ac:dyDescent="0.25">
      <c r="A117363"/>
      <c r="B117363"/>
      <c r="C117363"/>
      <c r="E117363"/>
      <c r="F117363"/>
    </row>
    <row r="117364" spans="1:6" x14ac:dyDescent="0.25">
      <c r="A117364"/>
      <c r="B117364"/>
      <c r="C117364"/>
      <c r="E117364"/>
      <c r="F117364"/>
    </row>
    <row r="117365" spans="1:6" x14ac:dyDescent="0.25">
      <c r="A117365"/>
      <c r="B117365"/>
      <c r="C117365"/>
      <c r="E117365"/>
      <c r="F117365"/>
    </row>
    <row r="117366" spans="1:6" x14ac:dyDescent="0.25">
      <c r="A117366"/>
      <c r="B117366"/>
      <c r="C117366"/>
      <c r="E117366"/>
      <c r="F117366"/>
    </row>
    <row r="117367" spans="1:6" x14ac:dyDescent="0.25">
      <c r="A117367"/>
      <c r="B117367"/>
      <c r="C117367"/>
      <c r="E117367"/>
      <c r="F117367"/>
    </row>
    <row r="117368" spans="1:6" x14ac:dyDescent="0.25">
      <c r="A117368"/>
      <c r="B117368"/>
      <c r="C117368"/>
      <c r="E117368"/>
      <c r="F117368"/>
    </row>
    <row r="117369" spans="1:6" x14ac:dyDescent="0.25">
      <c r="A117369"/>
      <c r="B117369"/>
      <c r="C117369"/>
      <c r="E117369"/>
      <c r="F117369"/>
    </row>
    <row r="117370" spans="1:6" x14ac:dyDescent="0.25">
      <c r="A117370"/>
      <c r="B117370"/>
      <c r="C117370"/>
      <c r="E117370"/>
      <c r="F117370"/>
    </row>
    <row r="117371" spans="1:6" x14ac:dyDescent="0.25">
      <c r="A117371"/>
      <c r="B117371"/>
      <c r="C117371"/>
      <c r="E117371"/>
      <c r="F117371"/>
    </row>
    <row r="117372" spans="1:6" x14ac:dyDescent="0.25">
      <c r="A117372"/>
      <c r="B117372"/>
      <c r="C117372"/>
      <c r="E117372"/>
      <c r="F117372"/>
    </row>
    <row r="117373" spans="1:6" x14ac:dyDescent="0.25">
      <c r="A117373"/>
      <c r="B117373"/>
      <c r="C117373"/>
      <c r="E117373"/>
      <c r="F117373"/>
    </row>
    <row r="117374" spans="1:6" x14ac:dyDescent="0.25">
      <c r="A117374"/>
      <c r="B117374"/>
      <c r="C117374"/>
      <c r="E117374"/>
      <c r="F117374"/>
    </row>
    <row r="117375" spans="1:6" x14ac:dyDescent="0.25">
      <c r="A117375"/>
      <c r="B117375"/>
      <c r="C117375"/>
      <c r="E117375"/>
      <c r="F117375"/>
    </row>
    <row r="117376" spans="1:6" x14ac:dyDescent="0.25">
      <c r="A117376"/>
      <c r="B117376"/>
      <c r="C117376"/>
      <c r="E117376"/>
      <c r="F117376"/>
    </row>
    <row r="117377" spans="1:6" x14ac:dyDescent="0.25">
      <c r="A117377"/>
      <c r="B117377"/>
      <c r="C117377"/>
      <c r="E117377"/>
      <c r="F117377"/>
    </row>
    <row r="117378" spans="1:6" x14ac:dyDescent="0.25">
      <c r="A117378"/>
      <c r="B117378"/>
      <c r="C117378"/>
      <c r="E117378"/>
      <c r="F117378"/>
    </row>
    <row r="117379" spans="1:6" x14ac:dyDescent="0.25">
      <c r="A117379"/>
      <c r="B117379"/>
      <c r="C117379"/>
      <c r="E117379"/>
      <c r="F117379"/>
    </row>
    <row r="117380" spans="1:6" x14ac:dyDescent="0.25">
      <c r="A117380"/>
      <c r="B117380"/>
      <c r="C117380"/>
      <c r="E117380"/>
      <c r="F117380"/>
    </row>
    <row r="117381" spans="1:6" x14ac:dyDescent="0.25">
      <c r="A117381"/>
      <c r="B117381"/>
      <c r="C117381"/>
      <c r="E117381"/>
      <c r="F117381"/>
    </row>
    <row r="117382" spans="1:6" x14ac:dyDescent="0.25">
      <c r="A117382"/>
      <c r="B117382"/>
      <c r="C117382"/>
      <c r="E117382"/>
      <c r="F117382"/>
    </row>
    <row r="117383" spans="1:6" x14ac:dyDescent="0.25">
      <c r="A117383"/>
      <c r="B117383"/>
      <c r="C117383"/>
      <c r="E117383"/>
      <c r="F117383"/>
    </row>
    <row r="117384" spans="1:6" x14ac:dyDescent="0.25">
      <c r="A117384"/>
      <c r="B117384"/>
      <c r="C117384"/>
      <c r="E117384"/>
      <c r="F117384"/>
    </row>
    <row r="117385" spans="1:6" x14ac:dyDescent="0.25">
      <c r="A117385"/>
      <c r="B117385"/>
      <c r="C117385"/>
      <c r="E117385"/>
      <c r="F117385"/>
    </row>
    <row r="117386" spans="1:6" x14ac:dyDescent="0.25">
      <c r="A117386"/>
      <c r="B117386"/>
      <c r="C117386"/>
      <c r="E117386"/>
      <c r="F117386"/>
    </row>
    <row r="117387" spans="1:6" x14ac:dyDescent="0.25">
      <c r="A117387"/>
      <c r="B117387"/>
      <c r="C117387"/>
      <c r="E117387"/>
      <c r="F117387"/>
    </row>
    <row r="117388" spans="1:6" x14ac:dyDescent="0.25">
      <c r="A117388"/>
      <c r="B117388"/>
      <c r="C117388"/>
      <c r="E117388"/>
      <c r="F117388"/>
    </row>
    <row r="117389" spans="1:6" x14ac:dyDescent="0.25">
      <c r="A117389"/>
      <c r="B117389"/>
      <c r="C117389"/>
      <c r="E117389"/>
      <c r="F117389"/>
    </row>
    <row r="117390" spans="1:6" x14ac:dyDescent="0.25">
      <c r="A117390"/>
      <c r="B117390"/>
      <c r="C117390"/>
      <c r="E117390"/>
      <c r="F117390"/>
    </row>
    <row r="117391" spans="1:6" x14ac:dyDescent="0.25">
      <c r="A117391"/>
      <c r="B117391"/>
      <c r="C117391"/>
      <c r="E117391"/>
      <c r="F117391"/>
    </row>
    <row r="117392" spans="1:6" x14ac:dyDescent="0.25">
      <c r="A117392"/>
      <c r="B117392"/>
      <c r="C117392"/>
      <c r="E117392"/>
      <c r="F117392"/>
    </row>
    <row r="117393" spans="1:6" x14ac:dyDescent="0.25">
      <c r="A117393"/>
      <c r="B117393"/>
      <c r="C117393"/>
      <c r="E117393"/>
      <c r="F117393"/>
    </row>
    <row r="117394" spans="1:6" x14ac:dyDescent="0.25">
      <c r="A117394"/>
      <c r="B117394"/>
      <c r="C117394"/>
      <c r="E117394"/>
      <c r="F117394"/>
    </row>
    <row r="117395" spans="1:6" x14ac:dyDescent="0.25">
      <c r="A117395"/>
      <c r="B117395"/>
      <c r="C117395"/>
      <c r="E117395"/>
      <c r="F117395"/>
    </row>
    <row r="117396" spans="1:6" x14ac:dyDescent="0.25">
      <c r="A117396"/>
      <c r="B117396"/>
      <c r="C117396"/>
      <c r="E117396"/>
      <c r="F117396"/>
    </row>
    <row r="117397" spans="1:6" x14ac:dyDescent="0.25">
      <c r="A117397"/>
      <c r="B117397"/>
      <c r="C117397"/>
      <c r="E117397"/>
      <c r="F117397"/>
    </row>
    <row r="117398" spans="1:6" x14ac:dyDescent="0.25">
      <c r="A117398"/>
      <c r="B117398"/>
      <c r="C117398"/>
      <c r="E117398"/>
      <c r="F117398"/>
    </row>
    <row r="117399" spans="1:6" x14ac:dyDescent="0.25">
      <c r="A117399"/>
      <c r="B117399"/>
      <c r="C117399"/>
      <c r="E117399"/>
      <c r="F117399"/>
    </row>
    <row r="117400" spans="1:6" x14ac:dyDescent="0.25">
      <c r="A117400"/>
      <c r="B117400"/>
      <c r="C117400"/>
      <c r="E117400"/>
      <c r="F117400"/>
    </row>
    <row r="117401" spans="1:6" x14ac:dyDescent="0.25">
      <c r="A117401"/>
      <c r="B117401"/>
      <c r="C117401"/>
      <c r="E117401"/>
      <c r="F117401"/>
    </row>
    <row r="117402" spans="1:6" x14ac:dyDescent="0.25">
      <c r="A117402"/>
      <c r="B117402"/>
      <c r="C117402"/>
      <c r="E117402"/>
      <c r="F117402"/>
    </row>
    <row r="117403" spans="1:6" x14ac:dyDescent="0.25">
      <c r="A117403"/>
      <c r="B117403"/>
      <c r="C117403"/>
      <c r="E117403"/>
      <c r="F117403"/>
    </row>
    <row r="117404" spans="1:6" x14ac:dyDescent="0.25">
      <c r="A117404"/>
      <c r="B117404"/>
      <c r="C117404"/>
      <c r="E117404"/>
      <c r="F117404"/>
    </row>
    <row r="117405" spans="1:6" x14ac:dyDescent="0.25">
      <c r="A117405"/>
      <c r="B117405"/>
      <c r="C117405"/>
      <c r="E117405"/>
      <c r="F117405"/>
    </row>
    <row r="117406" spans="1:6" x14ac:dyDescent="0.25">
      <c r="A117406"/>
      <c r="B117406"/>
      <c r="C117406"/>
      <c r="E117406"/>
      <c r="F117406"/>
    </row>
    <row r="117407" spans="1:6" x14ac:dyDescent="0.25">
      <c r="A117407"/>
      <c r="B117407"/>
      <c r="C117407"/>
      <c r="E117407"/>
      <c r="F117407"/>
    </row>
    <row r="117408" spans="1:6" x14ac:dyDescent="0.25">
      <c r="A117408"/>
      <c r="B117408"/>
      <c r="C117408"/>
      <c r="E117408"/>
      <c r="F117408"/>
    </row>
    <row r="117409" spans="1:6" x14ac:dyDescent="0.25">
      <c r="A117409"/>
      <c r="B117409"/>
      <c r="C117409"/>
      <c r="E117409"/>
      <c r="F117409"/>
    </row>
    <row r="117410" spans="1:6" x14ac:dyDescent="0.25">
      <c r="A117410"/>
      <c r="B117410"/>
      <c r="C117410"/>
      <c r="E117410"/>
      <c r="F117410"/>
    </row>
    <row r="117411" spans="1:6" x14ac:dyDescent="0.25">
      <c r="A117411"/>
      <c r="B117411"/>
      <c r="C117411"/>
      <c r="E117411"/>
      <c r="F117411"/>
    </row>
    <row r="117412" spans="1:6" x14ac:dyDescent="0.25">
      <c r="A117412"/>
      <c r="B117412"/>
      <c r="C117412"/>
      <c r="E117412"/>
      <c r="F117412"/>
    </row>
    <row r="117413" spans="1:6" x14ac:dyDescent="0.25">
      <c r="A117413"/>
      <c r="B117413"/>
      <c r="C117413"/>
      <c r="E117413"/>
      <c r="F117413"/>
    </row>
    <row r="117414" spans="1:6" x14ac:dyDescent="0.25">
      <c r="A117414"/>
      <c r="B117414"/>
      <c r="C117414"/>
      <c r="E117414"/>
      <c r="F117414"/>
    </row>
    <row r="117415" spans="1:6" x14ac:dyDescent="0.25">
      <c r="A117415"/>
      <c r="B117415"/>
      <c r="C117415"/>
      <c r="E117415"/>
      <c r="F117415"/>
    </row>
    <row r="117416" spans="1:6" x14ac:dyDescent="0.25">
      <c r="A117416"/>
      <c r="B117416"/>
      <c r="C117416"/>
      <c r="E117416"/>
      <c r="F117416"/>
    </row>
    <row r="117417" spans="1:6" x14ac:dyDescent="0.25">
      <c r="A117417"/>
      <c r="B117417"/>
      <c r="C117417"/>
      <c r="E117417"/>
      <c r="F117417"/>
    </row>
    <row r="117418" spans="1:6" x14ac:dyDescent="0.25">
      <c r="A117418"/>
      <c r="B117418"/>
      <c r="C117418"/>
      <c r="E117418"/>
      <c r="F117418"/>
    </row>
    <row r="117419" spans="1:6" x14ac:dyDescent="0.25">
      <c r="A117419"/>
      <c r="B117419"/>
      <c r="C117419"/>
      <c r="E117419"/>
      <c r="F117419"/>
    </row>
    <row r="117420" spans="1:6" x14ac:dyDescent="0.25">
      <c r="A117420"/>
      <c r="B117420"/>
      <c r="C117420"/>
      <c r="E117420"/>
      <c r="F117420"/>
    </row>
    <row r="117421" spans="1:6" x14ac:dyDescent="0.25">
      <c r="A117421"/>
      <c r="B117421"/>
      <c r="C117421"/>
      <c r="E117421"/>
      <c r="F117421"/>
    </row>
    <row r="117422" spans="1:6" x14ac:dyDescent="0.25">
      <c r="A117422"/>
      <c r="B117422"/>
      <c r="C117422"/>
      <c r="E117422"/>
      <c r="F117422"/>
    </row>
    <row r="117423" spans="1:6" x14ac:dyDescent="0.25">
      <c r="A117423"/>
      <c r="B117423"/>
      <c r="C117423"/>
      <c r="E117423"/>
      <c r="F117423"/>
    </row>
    <row r="117424" spans="1:6" x14ac:dyDescent="0.25">
      <c r="A117424"/>
      <c r="B117424"/>
      <c r="C117424"/>
      <c r="E117424"/>
      <c r="F117424"/>
    </row>
    <row r="117425" spans="1:6" x14ac:dyDescent="0.25">
      <c r="A117425"/>
      <c r="B117425"/>
      <c r="C117425"/>
      <c r="E117425"/>
      <c r="F117425"/>
    </row>
    <row r="117426" spans="1:6" x14ac:dyDescent="0.25">
      <c r="A117426"/>
      <c r="B117426"/>
      <c r="C117426"/>
      <c r="E117426"/>
      <c r="F117426"/>
    </row>
    <row r="117427" spans="1:6" x14ac:dyDescent="0.25">
      <c r="A117427"/>
      <c r="B117427"/>
      <c r="C117427"/>
      <c r="E117427"/>
      <c r="F117427"/>
    </row>
    <row r="117428" spans="1:6" x14ac:dyDescent="0.25">
      <c r="A117428"/>
      <c r="B117428"/>
      <c r="C117428"/>
      <c r="E117428"/>
      <c r="F117428"/>
    </row>
    <row r="117429" spans="1:6" x14ac:dyDescent="0.25">
      <c r="A117429"/>
      <c r="B117429"/>
      <c r="C117429"/>
      <c r="E117429"/>
      <c r="F117429"/>
    </row>
    <row r="117430" spans="1:6" x14ac:dyDescent="0.25">
      <c r="A117430"/>
      <c r="B117430"/>
      <c r="C117430"/>
      <c r="E117430"/>
      <c r="F117430"/>
    </row>
    <row r="117431" spans="1:6" x14ac:dyDescent="0.25">
      <c r="A117431"/>
      <c r="B117431"/>
      <c r="C117431"/>
      <c r="E117431"/>
      <c r="F117431"/>
    </row>
    <row r="117432" spans="1:6" x14ac:dyDescent="0.25">
      <c r="A117432"/>
      <c r="B117432"/>
      <c r="C117432"/>
      <c r="E117432"/>
      <c r="F117432"/>
    </row>
    <row r="117433" spans="1:6" x14ac:dyDescent="0.25">
      <c r="A117433"/>
      <c r="B117433"/>
      <c r="C117433"/>
      <c r="E117433"/>
      <c r="F117433"/>
    </row>
    <row r="117434" spans="1:6" x14ac:dyDescent="0.25">
      <c r="A117434"/>
      <c r="B117434"/>
      <c r="C117434"/>
      <c r="E117434"/>
      <c r="F117434"/>
    </row>
    <row r="117435" spans="1:6" x14ac:dyDescent="0.25">
      <c r="A117435"/>
      <c r="B117435"/>
      <c r="C117435"/>
      <c r="E117435"/>
      <c r="F117435"/>
    </row>
    <row r="117436" spans="1:6" x14ac:dyDescent="0.25">
      <c r="A117436"/>
      <c r="B117436"/>
      <c r="C117436"/>
      <c r="E117436"/>
      <c r="F117436"/>
    </row>
    <row r="117437" spans="1:6" x14ac:dyDescent="0.25">
      <c r="A117437"/>
      <c r="B117437"/>
      <c r="C117437"/>
      <c r="E117437"/>
      <c r="F117437"/>
    </row>
    <row r="117438" spans="1:6" x14ac:dyDescent="0.25">
      <c r="A117438"/>
      <c r="B117438"/>
      <c r="C117438"/>
      <c r="E117438"/>
      <c r="F117438"/>
    </row>
    <row r="117439" spans="1:6" x14ac:dyDescent="0.25">
      <c r="A117439"/>
      <c r="B117439"/>
      <c r="C117439"/>
      <c r="E117439"/>
      <c r="F117439"/>
    </row>
    <row r="117440" spans="1:6" x14ac:dyDescent="0.25">
      <c r="A117440"/>
      <c r="B117440"/>
      <c r="C117440"/>
      <c r="E117440"/>
      <c r="F117440"/>
    </row>
    <row r="117441" spans="1:6" x14ac:dyDescent="0.25">
      <c r="A117441"/>
      <c r="B117441"/>
      <c r="C117441"/>
      <c r="E117441"/>
      <c r="F117441"/>
    </row>
    <row r="117442" spans="1:6" x14ac:dyDescent="0.25">
      <c r="A117442"/>
      <c r="B117442"/>
      <c r="C117442"/>
      <c r="E117442"/>
      <c r="F117442"/>
    </row>
    <row r="117443" spans="1:6" x14ac:dyDescent="0.25">
      <c r="A117443"/>
      <c r="B117443"/>
      <c r="C117443"/>
      <c r="E117443"/>
      <c r="F117443"/>
    </row>
    <row r="117444" spans="1:6" x14ac:dyDescent="0.25">
      <c r="A117444"/>
      <c r="B117444"/>
      <c r="C117444"/>
      <c r="E117444"/>
      <c r="F117444"/>
    </row>
    <row r="117445" spans="1:6" x14ac:dyDescent="0.25">
      <c r="A117445"/>
      <c r="B117445"/>
      <c r="C117445"/>
      <c r="E117445"/>
      <c r="F117445"/>
    </row>
    <row r="117446" spans="1:6" x14ac:dyDescent="0.25">
      <c r="A117446"/>
      <c r="B117446"/>
      <c r="C117446"/>
      <c r="E117446"/>
      <c r="F117446"/>
    </row>
    <row r="117447" spans="1:6" x14ac:dyDescent="0.25">
      <c r="A117447"/>
      <c r="B117447"/>
      <c r="C117447"/>
      <c r="E117447"/>
      <c r="F117447"/>
    </row>
    <row r="117448" spans="1:6" x14ac:dyDescent="0.25">
      <c r="A117448"/>
      <c r="B117448"/>
      <c r="C117448"/>
      <c r="E117448"/>
      <c r="F117448"/>
    </row>
    <row r="117449" spans="1:6" x14ac:dyDescent="0.25">
      <c r="A117449"/>
      <c r="B117449"/>
      <c r="C117449"/>
      <c r="E117449"/>
      <c r="F117449"/>
    </row>
    <row r="117450" spans="1:6" x14ac:dyDescent="0.25">
      <c r="A117450"/>
      <c r="B117450"/>
      <c r="C117450"/>
      <c r="E117450"/>
      <c r="F117450"/>
    </row>
    <row r="117451" spans="1:6" x14ac:dyDescent="0.25">
      <c r="A117451"/>
      <c r="B117451"/>
      <c r="C117451"/>
      <c r="E117451"/>
      <c r="F117451"/>
    </row>
    <row r="117452" spans="1:6" x14ac:dyDescent="0.25">
      <c r="A117452"/>
      <c r="B117452"/>
      <c r="C117452"/>
      <c r="E117452"/>
      <c r="F117452"/>
    </row>
    <row r="117453" spans="1:6" x14ac:dyDescent="0.25">
      <c r="A117453"/>
      <c r="B117453"/>
      <c r="C117453"/>
      <c r="E117453"/>
      <c r="F117453"/>
    </row>
    <row r="117454" spans="1:6" x14ac:dyDescent="0.25">
      <c r="A117454"/>
      <c r="B117454"/>
      <c r="C117454"/>
      <c r="E117454"/>
      <c r="F117454"/>
    </row>
    <row r="117455" spans="1:6" x14ac:dyDescent="0.25">
      <c r="A117455"/>
      <c r="B117455"/>
      <c r="C117455"/>
      <c r="E117455"/>
      <c r="F117455"/>
    </row>
    <row r="117456" spans="1:6" x14ac:dyDescent="0.25">
      <c r="A117456"/>
      <c r="B117456"/>
      <c r="C117456"/>
      <c r="E117456"/>
      <c r="F117456"/>
    </row>
    <row r="117457" spans="1:6" x14ac:dyDescent="0.25">
      <c r="A117457"/>
      <c r="B117457"/>
      <c r="C117457"/>
      <c r="E117457"/>
      <c r="F117457"/>
    </row>
    <row r="117458" spans="1:6" x14ac:dyDescent="0.25">
      <c r="A117458"/>
      <c r="B117458"/>
      <c r="C117458"/>
      <c r="E117458"/>
      <c r="F117458"/>
    </row>
    <row r="117459" spans="1:6" x14ac:dyDescent="0.25">
      <c r="A117459"/>
      <c r="B117459"/>
      <c r="C117459"/>
      <c r="E117459"/>
      <c r="F117459"/>
    </row>
    <row r="117460" spans="1:6" x14ac:dyDescent="0.25">
      <c r="A117460"/>
      <c r="B117460"/>
      <c r="C117460"/>
      <c r="E117460"/>
      <c r="F117460"/>
    </row>
    <row r="117461" spans="1:6" x14ac:dyDescent="0.25">
      <c r="A117461"/>
      <c r="B117461"/>
      <c r="C117461"/>
      <c r="E117461"/>
      <c r="F117461"/>
    </row>
    <row r="117462" spans="1:6" x14ac:dyDescent="0.25">
      <c r="A117462"/>
      <c r="B117462"/>
      <c r="C117462"/>
      <c r="E117462"/>
      <c r="F117462"/>
    </row>
    <row r="117463" spans="1:6" x14ac:dyDescent="0.25">
      <c r="A117463"/>
      <c r="B117463"/>
      <c r="C117463"/>
      <c r="E117463"/>
      <c r="F117463"/>
    </row>
    <row r="117464" spans="1:6" x14ac:dyDescent="0.25">
      <c r="A117464"/>
      <c r="B117464"/>
      <c r="C117464"/>
      <c r="E117464"/>
      <c r="F117464"/>
    </row>
    <row r="117465" spans="1:6" x14ac:dyDescent="0.25">
      <c r="A117465"/>
      <c r="B117465"/>
      <c r="C117465"/>
      <c r="E117465"/>
      <c r="F117465"/>
    </row>
    <row r="117466" spans="1:6" x14ac:dyDescent="0.25">
      <c r="A117466"/>
      <c r="B117466"/>
      <c r="C117466"/>
      <c r="E117466"/>
      <c r="F117466"/>
    </row>
    <row r="117467" spans="1:6" x14ac:dyDescent="0.25">
      <c r="A117467"/>
      <c r="B117467"/>
      <c r="C117467"/>
      <c r="E117467"/>
      <c r="F117467"/>
    </row>
    <row r="117468" spans="1:6" x14ac:dyDescent="0.25">
      <c r="A117468"/>
      <c r="B117468"/>
      <c r="C117468"/>
      <c r="E117468"/>
      <c r="F117468"/>
    </row>
    <row r="117469" spans="1:6" x14ac:dyDescent="0.25">
      <c r="A117469"/>
      <c r="B117469"/>
      <c r="C117469"/>
      <c r="E117469"/>
      <c r="F117469"/>
    </row>
    <row r="117470" spans="1:6" x14ac:dyDescent="0.25">
      <c r="A117470"/>
      <c r="B117470"/>
      <c r="C117470"/>
      <c r="E117470"/>
      <c r="F117470"/>
    </row>
    <row r="117471" spans="1:6" x14ac:dyDescent="0.25">
      <c r="A117471"/>
      <c r="B117471"/>
      <c r="C117471"/>
      <c r="E117471"/>
      <c r="F117471"/>
    </row>
    <row r="117472" spans="1:6" x14ac:dyDescent="0.25">
      <c r="A117472"/>
      <c r="B117472"/>
      <c r="C117472"/>
      <c r="E117472"/>
      <c r="F117472"/>
    </row>
    <row r="117473" spans="1:6" x14ac:dyDescent="0.25">
      <c r="A117473"/>
      <c r="B117473"/>
      <c r="C117473"/>
      <c r="E117473"/>
      <c r="F117473"/>
    </row>
    <row r="117474" spans="1:6" x14ac:dyDescent="0.25">
      <c r="A117474"/>
      <c r="B117474"/>
      <c r="C117474"/>
      <c r="E117474"/>
      <c r="F117474"/>
    </row>
    <row r="117475" spans="1:6" x14ac:dyDescent="0.25">
      <c r="A117475"/>
      <c r="B117475"/>
      <c r="C117475"/>
      <c r="E117475"/>
      <c r="F117475"/>
    </row>
    <row r="117476" spans="1:6" x14ac:dyDescent="0.25">
      <c r="A117476"/>
      <c r="B117476"/>
      <c r="C117476"/>
      <c r="E117476"/>
      <c r="F117476"/>
    </row>
    <row r="117477" spans="1:6" x14ac:dyDescent="0.25">
      <c r="A117477"/>
      <c r="B117477"/>
      <c r="C117477"/>
      <c r="E117477"/>
      <c r="F117477"/>
    </row>
    <row r="117478" spans="1:6" x14ac:dyDescent="0.25">
      <c r="A117478"/>
      <c r="B117478"/>
      <c r="C117478"/>
      <c r="E117478"/>
      <c r="F117478"/>
    </row>
    <row r="117479" spans="1:6" x14ac:dyDescent="0.25">
      <c r="A117479"/>
      <c r="B117479"/>
      <c r="C117479"/>
      <c r="E117479"/>
      <c r="F117479"/>
    </row>
    <row r="117480" spans="1:6" x14ac:dyDescent="0.25">
      <c r="A117480"/>
      <c r="B117480"/>
      <c r="C117480"/>
      <c r="E117480"/>
      <c r="F117480"/>
    </row>
    <row r="117481" spans="1:6" x14ac:dyDescent="0.25">
      <c r="A117481"/>
      <c r="B117481"/>
      <c r="C117481"/>
      <c r="E117481"/>
      <c r="F117481"/>
    </row>
    <row r="117482" spans="1:6" x14ac:dyDescent="0.25">
      <c r="A117482"/>
      <c r="B117482"/>
      <c r="C117482"/>
      <c r="E117482"/>
      <c r="F117482"/>
    </row>
    <row r="117483" spans="1:6" x14ac:dyDescent="0.25">
      <c r="A117483"/>
      <c r="B117483"/>
      <c r="C117483"/>
      <c r="E117483"/>
      <c r="F117483"/>
    </row>
    <row r="117484" spans="1:6" x14ac:dyDescent="0.25">
      <c r="A117484"/>
      <c r="B117484"/>
      <c r="C117484"/>
      <c r="E117484"/>
      <c r="F117484"/>
    </row>
    <row r="117485" spans="1:6" x14ac:dyDescent="0.25">
      <c r="A117485"/>
      <c r="B117485"/>
      <c r="C117485"/>
      <c r="E117485"/>
      <c r="F117485"/>
    </row>
    <row r="117486" spans="1:6" x14ac:dyDescent="0.25">
      <c r="A117486"/>
      <c r="B117486"/>
      <c r="C117486"/>
      <c r="E117486"/>
      <c r="F117486"/>
    </row>
    <row r="117487" spans="1:6" x14ac:dyDescent="0.25">
      <c r="A117487"/>
      <c r="B117487"/>
      <c r="C117487"/>
      <c r="E117487"/>
      <c r="F117487"/>
    </row>
    <row r="117488" spans="1:6" x14ac:dyDescent="0.25">
      <c r="A117488"/>
      <c r="B117488"/>
      <c r="C117488"/>
      <c r="E117488"/>
      <c r="F117488"/>
    </row>
    <row r="117489" spans="1:6" x14ac:dyDescent="0.25">
      <c r="A117489"/>
      <c r="B117489"/>
      <c r="C117489"/>
      <c r="E117489"/>
      <c r="F117489"/>
    </row>
    <row r="117490" spans="1:6" x14ac:dyDescent="0.25">
      <c r="A117490"/>
      <c r="B117490"/>
      <c r="C117490"/>
      <c r="E117490"/>
      <c r="F117490"/>
    </row>
    <row r="117491" spans="1:6" x14ac:dyDescent="0.25">
      <c r="A117491"/>
      <c r="B117491"/>
      <c r="C117491"/>
      <c r="E117491"/>
      <c r="F117491"/>
    </row>
    <row r="117492" spans="1:6" x14ac:dyDescent="0.25">
      <c r="A117492"/>
      <c r="B117492"/>
      <c r="C117492"/>
      <c r="E117492"/>
      <c r="F117492"/>
    </row>
    <row r="117493" spans="1:6" x14ac:dyDescent="0.25">
      <c r="A117493"/>
      <c r="B117493"/>
      <c r="C117493"/>
      <c r="E117493"/>
      <c r="F117493"/>
    </row>
    <row r="117494" spans="1:6" x14ac:dyDescent="0.25">
      <c r="A117494"/>
      <c r="B117494"/>
      <c r="C117494"/>
      <c r="E117494"/>
      <c r="F117494"/>
    </row>
    <row r="117495" spans="1:6" x14ac:dyDescent="0.25">
      <c r="A117495"/>
      <c r="B117495"/>
      <c r="C117495"/>
      <c r="E117495"/>
      <c r="F117495"/>
    </row>
    <row r="117496" spans="1:6" x14ac:dyDescent="0.25">
      <c r="A117496"/>
      <c r="B117496"/>
      <c r="C117496"/>
      <c r="E117496"/>
      <c r="F117496"/>
    </row>
    <row r="117497" spans="1:6" x14ac:dyDescent="0.25">
      <c r="A117497"/>
      <c r="B117497"/>
      <c r="C117497"/>
      <c r="E117497"/>
      <c r="F117497"/>
    </row>
    <row r="117498" spans="1:6" x14ac:dyDescent="0.25">
      <c r="A117498"/>
      <c r="B117498"/>
      <c r="C117498"/>
      <c r="E117498"/>
      <c r="F117498"/>
    </row>
    <row r="117499" spans="1:6" x14ac:dyDescent="0.25">
      <c r="A117499"/>
      <c r="B117499"/>
      <c r="C117499"/>
      <c r="E117499"/>
      <c r="F117499"/>
    </row>
    <row r="117500" spans="1:6" x14ac:dyDescent="0.25">
      <c r="A117500"/>
      <c r="B117500"/>
      <c r="C117500"/>
      <c r="E117500"/>
      <c r="F117500"/>
    </row>
    <row r="117501" spans="1:6" x14ac:dyDescent="0.25">
      <c r="A117501"/>
      <c r="B117501"/>
      <c r="C117501"/>
      <c r="E117501"/>
      <c r="F117501"/>
    </row>
    <row r="117502" spans="1:6" x14ac:dyDescent="0.25">
      <c r="A117502"/>
      <c r="B117502"/>
      <c r="C117502"/>
      <c r="E117502"/>
      <c r="F117502"/>
    </row>
    <row r="117503" spans="1:6" x14ac:dyDescent="0.25">
      <c r="A117503"/>
      <c r="B117503"/>
      <c r="C117503"/>
      <c r="E117503"/>
      <c r="F117503"/>
    </row>
    <row r="117504" spans="1:6" x14ac:dyDescent="0.25">
      <c r="A117504"/>
      <c r="B117504"/>
      <c r="C117504"/>
      <c r="E117504"/>
      <c r="F117504"/>
    </row>
    <row r="117505" spans="1:6" x14ac:dyDescent="0.25">
      <c r="A117505"/>
      <c r="B117505"/>
      <c r="C117505"/>
      <c r="E117505"/>
      <c r="F117505"/>
    </row>
    <row r="117506" spans="1:6" x14ac:dyDescent="0.25">
      <c r="A117506"/>
      <c r="B117506"/>
      <c r="C117506"/>
      <c r="E117506"/>
      <c r="F117506"/>
    </row>
    <row r="117507" spans="1:6" x14ac:dyDescent="0.25">
      <c r="A117507"/>
      <c r="B117507"/>
      <c r="C117507"/>
      <c r="E117507"/>
      <c r="F117507"/>
    </row>
    <row r="117508" spans="1:6" x14ac:dyDescent="0.25">
      <c r="A117508"/>
      <c r="B117508"/>
      <c r="C117508"/>
      <c r="E117508"/>
      <c r="F117508"/>
    </row>
    <row r="117509" spans="1:6" x14ac:dyDescent="0.25">
      <c r="A117509"/>
      <c r="B117509"/>
      <c r="C117509"/>
      <c r="E117509"/>
      <c r="F117509"/>
    </row>
    <row r="117510" spans="1:6" x14ac:dyDescent="0.25">
      <c r="A117510"/>
      <c r="B117510"/>
      <c r="C117510"/>
      <c r="E117510"/>
      <c r="F117510"/>
    </row>
    <row r="117511" spans="1:6" x14ac:dyDescent="0.25">
      <c r="A117511"/>
      <c r="B117511"/>
      <c r="C117511"/>
      <c r="E117511"/>
      <c r="F117511"/>
    </row>
    <row r="117512" spans="1:6" x14ac:dyDescent="0.25">
      <c r="A117512"/>
      <c r="B117512"/>
      <c r="C117512"/>
      <c r="E117512"/>
      <c r="F117512"/>
    </row>
    <row r="117513" spans="1:6" x14ac:dyDescent="0.25">
      <c r="A117513"/>
      <c r="B117513"/>
      <c r="C117513"/>
      <c r="E117513"/>
      <c r="F117513"/>
    </row>
    <row r="117514" spans="1:6" x14ac:dyDescent="0.25">
      <c r="A117514"/>
      <c r="B117514"/>
      <c r="C117514"/>
      <c r="E117514"/>
      <c r="F117514"/>
    </row>
    <row r="117515" spans="1:6" x14ac:dyDescent="0.25">
      <c r="A117515"/>
      <c r="B117515"/>
      <c r="C117515"/>
      <c r="E117515"/>
      <c r="F117515"/>
    </row>
    <row r="117516" spans="1:6" x14ac:dyDescent="0.25">
      <c r="A117516"/>
      <c r="B117516"/>
      <c r="C117516"/>
      <c r="E117516"/>
      <c r="F117516"/>
    </row>
    <row r="117517" spans="1:6" x14ac:dyDescent="0.25">
      <c r="A117517"/>
      <c r="B117517"/>
      <c r="C117517"/>
      <c r="E117517"/>
      <c r="F117517"/>
    </row>
    <row r="117518" spans="1:6" x14ac:dyDescent="0.25">
      <c r="A117518"/>
      <c r="B117518"/>
      <c r="C117518"/>
      <c r="E117518"/>
      <c r="F117518"/>
    </row>
    <row r="117519" spans="1:6" x14ac:dyDescent="0.25">
      <c r="A117519"/>
      <c r="B117519"/>
      <c r="C117519"/>
      <c r="E117519"/>
      <c r="F117519"/>
    </row>
    <row r="117520" spans="1:6" x14ac:dyDescent="0.25">
      <c r="A117520"/>
      <c r="B117520"/>
      <c r="C117520"/>
      <c r="E117520"/>
      <c r="F117520"/>
    </row>
    <row r="117521" spans="1:6" x14ac:dyDescent="0.25">
      <c r="A117521"/>
      <c r="B117521"/>
      <c r="C117521"/>
      <c r="E117521"/>
      <c r="F117521"/>
    </row>
    <row r="117522" spans="1:6" x14ac:dyDescent="0.25">
      <c r="A117522"/>
      <c r="B117522"/>
      <c r="C117522"/>
      <c r="E117522"/>
      <c r="F117522"/>
    </row>
    <row r="117523" spans="1:6" x14ac:dyDescent="0.25">
      <c r="A117523"/>
      <c r="B117523"/>
      <c r="C117523"/>
      <c r="E117523"/>
      <c r="F117523"/>
    </row>
    <row r="117524" spans="1:6" x14ac:dyDescent="0.25">
      <c r="A117524"/>
      <c r="B117524"/>
      <c r="C117524"/>
      <c r="E117524"/>
      <c r="F117524"/>
    </row>
    <row r="117525" spans="1:6" x14ac:dyDescent="0.25">
      <c r="A117525"/>
      <c r="B117525"/>
      <c r="C117525"/>
      <c r="E117525"/>
      <c r="F117525"/>
    </row>
    <row r="117526" spans="1:6" x14ac:dyDescent="0.25">
      <c r="A117526"/>
      <c r="B117526"/>
      <c r="C117526"/>
      <c r="E117526"/>
      <c r="F117526"/>
    </row>
    <row r="117527" spans="1:6" x14ac:dyDescent="0.25">
      <c r="A117527"/>
      <c r="B117527"/>
      <c r="C117527"/>
      <c r="E117527"/>
      <c r="F117527"/>
    </row>
    <row r="117528" spans="1:6" x14ac:dyDescent="0.25">
      <c r="A117528"/>
      <c r="B117528"/>
      <c r="C117528"/>
      <c r="E117528"/>
      <c r="F117528"/>
    </row>
    <row r="117529" spans="1:6" x14ac:dyDescent="0.25">
      <c r="A117529"/>
      <c r="B117529"/>
      <c r="C117529"/>
      <c r="E117529"/>
      <c r="F117529"/>
    </row>
    <row r="117530" spans="1:6" x14ac:dyDescent="0.25">
      <c r="A117530"/>
      <c r="B117530"/>
      <c r="C117530"/>
      <c r="E117530"/>
      <c r="F117530"/>
    </row>
    <row r="117531" spans="1:6" x14ac:dyDescent="0.25">
      <c r="A117531"/>
      <c r="B117531"/>
      <c r="C117531"/>
      <c r="E117531"/>
      <c r="F117531"/>
    </row>
    <row r="117532" spans="1:6" x14ac:dyDescent="0.25">
      <c r="A117532"/>
      <c r="B117532"/>
      <c r="C117532"/>
      <c r="E117532"/>
      <c r="F117532"/>
    </row>
    <row r="117533" spans="1:6" x14ac:dyDescent="0.25">
      <c r="A117533"/>
      <c r="B117533"/>
      <c r="C117533"/>
      <c r="E117533"/>
      <c r="F117533"/>
    </row>
    <row r="117534" spans="1:6" x14ac:dyDescent="0.25">
      <c r="A117534"/>
      <c r="B117534"/>
      <c r="C117534"/>
      <c r="E117534"/>
      <c r="F117534"/>
    </row>
    <row r="117535" spans="1:6" x14ac:dyDescent="0.25">
      <c r="A117535"/>
      <c r="B117535"/>
      <c r="C117535"/>
      <c r="E117535"/>
      <c r="F117535"/>
    </row>
    <row r="117536" spans="1:6" x14ac:dyDescent="0.25">
      <c r="A117536"/>
      <c r="B117536"/>
      <c r="C117536"/>
      <c r="E117536"/>
      <c r="F117536"/>
    </row>
    <row r="117537" spans="1:6" x14ac:dyDescent="0.25">
      <c r="A117537"/>
      <c r="B117537"/>
      <c r="C117537"/>
      <c r="E117537"/>
      <c r="F117537"/>
    </row>
    <row r="117538" spans="1:6" x14ac:dyDescent="0.25">
      <c r="A117538"/>
      <c r="B117538"/>
      <c r="C117538"/>
      <c r="E117538"/>
      <c r="F117538"/>
    </row>
    <row r="117539" spans="1:6" x14ac:dyDescent="0.25">
      <c r="A117539"/>
      <c r="B117539"/>
      <c r="C117539"/>
      <c r="E117539"/>
      <c r="F117539"/>
    </row>
    <row r="117540" spans="1:6" x14ac:dyDescent="0.25">
      <c r="A117540"/>
      <c r="B117540"/>
      <c r="C117540"/>
      <c r="E117540"/>
      <c r="F117540"/>
    </row>
    <row r="117541" spans="1:6" x14ac:dyDescent="0.25">
      <c r="A117541"/>
      <c r="B117541"/>
      <c r="C117541"/>
      <c r="E117541"/>
      <c r="F117541"/>
    </row>
    <row r="117542" spans="1:6" x14ac:dyDescent="0.25">
      <c r="A117542"/>
      <c r="B117542"/>
      <c r="C117542"/>
      <c r="E117542"/>
      <c r="F117542"/>
    </row>
    <row r="117543" spans="1:6" x14ac:dyDescent="0.25">
      <c r="A117543"/>
      <c r="B117543"/>
      <c r="C117543"/>
      <c r="E117543"/>
      <c r="F117543"/>
    </row>
    <row r="117544" spans="1:6" x14ac:dyDescent="0.25">
      <c r="A117544"/>
      <c r="B117544"/>
      <c r="C117544"/>
      <c r="E117544"/>
      <c r="F117544"/>
    </row>
    <row r="117545" spans="1:6" x14ac:dyDescent="0.25">
      <c r="A117545"/>
      <c r="B117545"/>
      <c r="C117545"/>
      <c r="E117545"/>
      <c r="F117545"/>
    </row>
    <row r="117546" spans="1:6" x14ac:dyDescent="0.25">
      <c r="A117546"/>
      <c r="B117546"/>
      <c r="C117546"/>
      <c r="E117546"/>
      <c r="F117546"/>
    </row>
    <row r="117547" spans="1:6" x14ac:dyDescent="0.25">
      <c r="A117547"/>
      <c r="B117547"/>
      <c r="C117547"/>
      <c r="E117547"/>
      <c r="F117547"/>
    </row>
    <row r="117548" spans="1:6" x14ac:dyDescent="0.25">
      <c r="A117548"/>
      <c r="B117548"/>
      <c r="C117548"/>
      <c r="E117548"/>
      <c r="F117548"/>
    </row>
    <row r="117549" spans="1:6" x14ac:dyDescent="0.25">
      <c r="A117549"/>
      <c r="B117549"/>
      <c r="C117549"/>
      <c r="E117549"/>
      <c r="F117549"/>
    </row>
    <row r="117550" spans="1:6" x14ac:dyDescent="0.25">
      <c r="A117550"/>
      <c r="B117550"/>
      <c r="C117550"/>
      <c r="E117550"/>
      <c r="F117550"/>
    </row>
    <row r="117551" spans="1:6" x14ac:dyDescent="0.25">
      <c r="A117551"/>
      <c r="B117551"/>
      <c r="C117551"/>
      <c r="E117551"/>
      <c r="F117551"/>
    </row>
    <row r="117552" spans="1:6" x14ac:dyDescent="0.25">
      <c r="A117552"/>
      <c r="B117552"/>
      <c r="C117552"/>
      <c r="E117552"/>
      <c r="F117552"/>
    </row>
    <row r="117553" spans="1:6" x14ac:dyDescent="0.25">
      <c r="A117553"/>
      <c r="B117553"/>
      <c r="C117553"/>
      <c r="E117553"/>
      <c r="F117553"/>
    </row>
    <row r="117554" spans="1:6" x14ac:dyDescent="0.25">
      <c r="A117554"/>
      <c r="B117554"/>
      <c r="C117554"/>
      <c r="E117554"/>
      <c r="F117554"/>
    </row>
    <row r="117555" spans="1:6" x14ac:dyDescent="0.25">
      <c r="A117555"/>
      <c r="B117555"/>
      <c r="C117555"/>
      <c r="E117555"/>
      <c r="F117555"/>
    </row>
    <row r="117556" spans="1:6" x14ac:dyDescent="0.25">
      <c r="A117556"/>
      <c r="B117556"/>
      <c r="C117556"/>
      <c r="E117556"/>
      <c r="F117556"/>
    </row>
    <row r="117557" spans="1:6" x14ac:dyDescent="0.25">
      <c r="A117557"/>
      <c r="B117557"/>
      <c r="C117557"/>
      <c r="E117557"/>
      <c r="F117557"/>
    </row>
    <row r="117558" spans="1:6" x14ac:dyDescent="0.25">
      <c r="A117558"/>
      <c r="B117558"/>
      <c r="C117558"/>
      <c r="E117558"/>
      <c r="F117558"/>
    </row>
    <row r="117559" spans="1:6" x14ac:dyDescent="0.25">
      <c r="A117559"/>
      <c r="B117559"/>
      <c r="C117559"/>
      <c r="E117559"/>
      <c r="F117559"/>
    </row>
    <row r="117560" spans="1:6" x14ac:dyDescent="0.25">
      <c r="A117560"/>
      <c r="B117560"/>
      <c r="C117560"/>
      <c r="E117560"/>
      <c r="F117560"/>
    </row>
    <row r="117561" spans="1:6" x14ac:dyDescent="0.25">
      <c r="A117561"/>
      <c r="B117561"/>
      <c r="C117561"/>
      <c r="E117561"/>
      <c r="F117561"/>
    </row>
    <row r="117562" spans="1:6" x14ac:dyDescent="0.25">
      <c r="A117562"/>
      <c r="B117562"/>
      <c r="C117562"/>
      <c r="E117562"/>
      <c r="F117562"/>
    </row>
    <row r="117563" spans="1:6" x14ac:dyDescent="0.25">
      <c r="A117563"/>
      <c r="B117563"/>
      <c r="C117563"/>
      <c r="E117563"/>
      <c r="F117563"/>
    </row>
    <row r="117564" spans="1:6" x14ac:dyDescent="0.25">
      <c r="A117564"/>
      <c r="B117564"/>
      <c r="C117564"/>
      <c r="E117564"/>
      <c r="F117564"/>
    </row>
    <row r="117565" spans="1:6" x14ac:dyDescent="0.25">
      <c r="A117565"/>
      <c r="B117565"/>
      <c r="C117565"/>
      <c r="E117565"/>
      <c r="F117565"/>
    </row>
    <row r="117566" spans="1:6" x14ac:dyDescent="0.25">
      <c r="A117566"/>
      <c r="B117566"/>
      <c r="C117566"/>
      <c r="E117566"/>
      <c r="F117566"/>
    </row>
    <row r="117567" spans="1:6" x14ac:dyDescent="0.25">
      <c r="A117567"/>
      <c r="B117567"/>
      <c r="C117567"/>
      <c r="E117567"/>
      <c r="F117567"/>
    </row>
    <row r="117568" spans="1:6" x14ac:dyDescent="0.25">
      <c r="A117568"/>
      <c r="B117568"/>
      <c r="C117568"/>
      <c r="E117568"/>
      <c r="F117568"/>
    </row>
    <row r="117569" spans="1:6" x14ac:dyDescent="0.25">
      <c r="A117569"/>
      <c r="B117569"/>
      <c r="C117569"/>
      <c r="E117569"/>
      <c r="F117569"/>
    </row>
    <row r="117570" spans="1:6" x14ac:dyDescent="0.25">
      <c r="A117570"/>
      <c r="B117570"/>
      <c r="C117570"/>
      <c r="E117570"/>
      <c r="F117570"/>
    </row>
    <row r="117571" spans="1:6" x14ac:dyDescent="0.25">
      <c r="A117571"/>
      <c r="B117571"/>
      <c r="C117571"/>
      <c r="E117571"/>
      <c r="F117571"/>
    </row>
    <row r="117572" spans="1:6" x14ac:dyDescent="0.25">
      <c r="A117572"/>
      <c r="B117572"/>
      <c r="C117572"/>
      <c r="E117572"/>
      <c r="F117572"/>
    </row>
    <row r="117573" spans="1:6" x14ac:dyDescent="0.25">
      <c r="A117573"/>
      <c r="B117573"/>
      <c r="C117573"/>
      <c r="E117573"/>
      <c r="F117573"/>
    </row>
    <row r="117574" spans="1:6" x14ac:dyDescent="0.25">
      <c r="A117574"/>
      <c r="B117574"/>
      <c r="C117574"/>
      <c r="E117574"/>
      <c r="F117574"/>
    </row>
    <row r="117575" spans="1:6" x14ac:dyDescent="0.25">
      <c r="A117575"/>
      <c r="B117575"/>
      <c r="C117575"/>
      <c r="E117575"/>
      <c r="F117575"/>
    </row>
    <row r="117576" spans="1:6" x14ac:dyDescent="0.25">
      <c r="A117576"/>
      <c r="B117576"/>
      <c r="C117576"/>
      <c r="E117576"/>
      <c r="F117576"/>
    </row>
    <row r="117577" spans="1:6" x14ac:dyDescent="0.25">
      <c r="A117577"/>
      <c r="B117577"/>
      <c r="C117577"/>
      <c r="E117577"/>
      <c r="F117577"/>
    </row>
    <row r="117578" spans="1:6" x14ac:dyDescent="0.25">
      <c r="A117578"/>
      <c r="B117578"/>
      <c r="C117578"/>
      <c r="E117578"/>
      <c r="F117578"/>
    </row>
    <row r="117579" spans="1:6" x14ac:dyDescent="0.25">
      <c r="A117579"/>
      <c r="B117579"/>
      <c r="C117579"/>
      <c r="E117579"/>
      <c r="F117579"/>
    </row>
    <row r="117580" spans="1:6" x14ac:dyDescent="0.25">
      <c r="A117580"/>
      <c r="B117580"/>
      <c r="C117580"/>
      <c r="E117580"/>
      <c r="F117580"/>
    </row>
    <row r="117581" spans="1:6" x14ac:dyDescent="0.25">
      <c r="A117581"/>
      <c r="B117581"/>
      <c r="C117581"/>
      <c r="E117581"/>
      <c r="F117581"/>
    </row>
    <row r="117582" spans="1:6" x14ac:dyDescent="0.25">
      <c r="A117582"/>
      <c r="B117582"/>
      <c r="C117582"/>
      <c r="E117582"/>
      <c r="F117582"/>
    </row>
    <row r="117583" spans="1:6" x14ac:dyDescent="0.25">
      <c r="A117583"/>
      <c r="B117583"/>
      <c r="C117583"/>
      <c r="E117583"/>
      <c r="F117583"/>
    </row>
    <row r="117584" spans="1:6" x14ac:dyDescent="0.25">
      <c r="A117584"/>
      <c r="B117584"/>
      <c r="C117584"/>
      <c r="E117584"/>
      <c r="F117584"/>
    </row>
    <row r="117585" spans="1:6" x14ac:dyDescent="0.25">
      <c r="A117585"/>
      <c r="B117585"/>
      <c r="C117585"/>
      <c r="E117585"/>
      <c r="F117585"/>
    </row>
    <row r="117586" spans="1:6" x14ac:dyDescent="0.25">
      <c r="A117586"/>
      <c r="B117586"/>
      <c r="C117586"/>
      <c r="E117586"/>
      <c r="F117586"/>
    </row>
    <row r="117587" spans="1:6" x14ac:dyDescent="0.25">
      <c r="A117587"/>
      <c r="B117587"/>
      <c r="C117587"/>
      <c r="E117587"/>
      <c r="F117587"/>
    </row>
    <row r="117588" spans="1:6" x14ac:dyDescent="0.25">
      <c r="A117588"/>
      <c r="B117588"/>
      <c r="C117588"/>
      <c r="E117588"/>
      <c r="F117588"/>
    </row>
    <row r="117589" spans="1:6" x14ac:dyDescent="0.25">
      <c r="A117589"/>
      <c r="B117589"/>
      <c r="C117589"/>
      <c r="E117589"/>
      <c r="F117589"/>
    </row>
    <row r="117590" spans="1:6" x14ac:dyDescent="0.25">
      <c r="A117590"/>
      <c r="B117590"/>
      <c r="C117590"/>
      <c r="E117590"/>
      <c r="F117590"/>
    </row>
    <row r="117591" spans="1:6" x14ac:dyDescent="0.25">
      <c r="A117591"/>
      <c r="B117591"/>
      <c r="C117591"/>
      <c r="E117591"/>
      <c r="F117591"/>
    </row>
    <row r="117592" spans="1:6" x14ac:dyDescent="0.25">
      <c r="A117592"/>
      <c r="B117592"/>
      <c r="C117592"/>
      <c r="E117592"/>
      <c r="F117592"/>
    </row>
    <row r="117593" spans="1:6" x14ac:dyDescent="0.25">
      <c r="A117593"/>
      <c r="B117593"/>
      <c r="C117593"/>
      <c r="E117593"/>
      <c r="F117593"/>
    </row>
    <row r="117594" spans="1:6" x14ac:dyDescent="0.25">
      <c r="A117594"/>
      <c r="B117594"/>
      <c r="C117594"/>
      <c r="E117594"/>
      <c r="F117594"/>
    </row>
    <row r="117595" spans="1:6" x14ac:dyDescent="0.25">
      <c r="A117595"/>
      <c r="B117595"/>
      <c r="C117595"/>
      <c r="E117595"/>
      <c r="F117595"/>
    </row>
    <row r="117596" spans="1:6" x14ac:dyDescent="0.25">
      <c r="A117596"/>
      <c r="B117596"/>
      <c r="C117596"/>
      <c r="E117596"/>
      <c r="F117596"/>
    </row>
    <row r="117597" spans="1:6" x14ac:dyDescent="0.25">
      <c r="A117597"/>
      <c r="B117597"/>
      <c r="C117597"/>
      <c r="E117597"/>
      <c r="F117597"/>
    </row>
    <row r="117598" spans="1:6" x14ac:dyDescent="0.25">
      <c r="A117598"/>
      <c r="B117598"/>
      <c r="C117598"/>
      <c r="E117598"/>
      <c r="F117598"/>
    </row>
    <row r="117599" spans="1:6" x14ac:dyDescent="0.25">
      <c r="A117599"/>
      <c r="B117599"/>
      <c r="C117599"/>
      <c r="E117599"/>
      <c r="F117599"/>
    </row>
    <row r="117600" spans="1:6" x14ac:dyDescent="0.25">
      <c r="A117600"/>
      <c r="B117600"/>
      <c r="C117600"/>
      <c r="E117600"/>
      <c r="F117600"/>
    </row>
    <row r="117601" spans="1:6" x14ac:dyDescent="0.25">
      <c r="A117601"/>
      <c r="B117601"/>
      <c r="C117601"/>
      <c r="E117601"/>
      <c r="F117601"/>
    </row>
    <row r="117602" spans="1:6" x14ac:dyDescent="0.25">
      <c r="A117602"/>
      <c r="B117602"/>
      <c r="C117602"/>
      <c r="E117602"/>
      <c r="F117602"/>
    </row>
    <row r="117603" spans="1:6" x14ac:dyDescent="0.25">
      <c r="A117603"/>
      <c r="B117603"/>
      <c r="C117603"/>
      <c r="E117603"/>
      <c r="F117603"/>
    </row>
    <row r="117604" spans="1:6" x14ac:dyDescent="0.25">
      <c r="A117604"/>
      <c r="B117604"/>
      <c r="C117604"/>
      <c r="E117604"/>
      <c r="F117604"/>
    </row>
    <row r="117605" spans="1:6" x14ac:dyDescent="0.25">
      <c r="A117605"/>
      <c r="B117605"/>
      <c r="C117605"/>
      <c r="E117605"/>
      <c r="F117605"/>
    </row>
    <row r="117606" spans="1:6" x14ac:dyDescent="0.25">
      <c r="A117606"/>
      <c r="B117606"/>
      <c r="C117606"/>
      <c r="E117606"/>
      <c r="F117606"/>
    </row>
    <row r="117607" spans="1:6" x14ac:dyDescent="0.25">
      <c r="A117607"/>
      <c r="B117607"/>
      <c r="C117607"/>
      <c r="E117607"/>
      <c r="F117607"/>
    </row>
    <row r="117608" spans="1:6" x14ac:dyDescent="0.25">
      <c r="A117608"/>
      <c r="B117608"/>
      <c r="C117608"/>
      <c r="E117608"/>
      <c r="F117608"/>
    </row>
    <row r="117609" spans="1:6" x14ac:dyDescent="0.25">
      <c r="A117609"/>
      <c r="B117609"/>
      <c r="C117609"/>
      <c r="E117609"/>
      <c r="F117609"/>
    </row>
    <row r="117610" spans="1:6" x14ac:dyDescent="0.25">
      <c r="A117610"/>
      <c r="B117610"/>
      <c r="C117610"/>
      <c r="E117610"/>
      <c r="F117610"/>
    </row>
    <row r="117611" spans="1:6" x14ac:dyDescent="0.25">
      <c r="A117611"/>
      <c r="B117611"/>
      <c r="C117611"/>
      <c r="E117611"/>
      <c r="F117611"/>
    </row>
    <row r="117612" spans="1:6" x14ac:dyDescent="0.25">
      <c r="A117612"/>
      <c r="B117612"/>
      <c r="C117612"/>
      <c r="E117612"/>
      <c r="F117612"/>
    </row>
    <row r="117613" spans="1:6" x14ac:dyDescent="0.25">
      <c r="A117613"/>
      <c r="B117613"/>
      <c r="C117613"/>
      <c r="E117613"/>
      <c r="F117613"/>
    </row>
    <row r="117614" spans="1:6" x14ac:dyDescent="0.25">
      <c r="A117614"/>
      <c r="B117614"/>
      <c r="C117614"/>
      <c r="E117614"/>
      <c r="F117614"/>
    </row>
    <row r="117615" spans="1:6" x14ac:dyDescent="0.25">
      <c r="A117615"/>
      <c r="B117615"/>
      <c r="C117615"/>
      <c r="E117615"/>
      <c r="F117615"/>
    </row>
    <row r="117616" spans="1:6" x14ac:dyDescent="0.25">
      <c r="A117616"/>
      <c r="B117616"/>
      <c r="C117616"/>
      <c r="E117616"/>
      <c r="F117616"/>
    </row>
    <row r="117617" spans="1:6" x14ac:dyDescent="0.25">
      <c r="A117617"/>
      <c r="B117617"/>
      <c r="C117617"/>
      <c r="E117617"/>
      <c r="F117617"/>
    </row>
    <row r="117618" spans="1:6" x14ac:dyDescent="0.25">
      <c r="A117618"/>
      <c r="B117618"/>
      <c r="C117618"/>
      <c r="E117618"/>
      <c r="F117618"/>
    </row>
    <row r="117619" spans="1:6" x14ac:dyDescent="0.25">
      <c r="A117619"/>
      <c r="B117619"/>
      <c r="C117619"/>
      <c r="E117619"/>
      <c r="F117619"/>
    </row>
    <row r="117620" spans="1:6" x14ac:dyDescent="0.25">
      <c r="A117620"/>
      <c r="B117620"/>
      <c r="C117620"/>
      <c r="E117620"/>
      <c r="F117620"/>
    </row>
    <row r="117621" spans="1:6" x14ac:dyDescent="0.25">
      <c r="A117621"/>
      <c r="B117621"/>
      <c r="C117621"/>
      <c r="E117621"/>
      <c r="F117621"/>
    </row>
    <row r="117622" spans="1:6" x14ac:dyDescent="0.25">
      <c r="A117622"/>
      <c r="B117622"/>
      <c r="C117622"/>
      <c r="E117622"/>
      <c r="F117622"/>
    </row>
    <row r="117623" spans="1:6" x14ac:dyDescent="0.25">
      <c r="A117623"/>
      <c r="B117623"/>
      <c r="C117623"/>
      <c r="E117623"/>
      <c r="F117623"/>
    </row>
    <row r="117624" spans="1:6" x14ac:dyDescent="0.25">
      <c r="A117624"/>
      <c r="B117624"/>
      <c r="C117624"/>
      <c r="E117624"/>
      <c r="F117624"/>
    </row>
    <row r="117625" spans="1:6" x14ac:dyDescent="0.25">
      <c r="A117625"/>
      <c r="B117625"/>
      <c r="C117625"/>
      <c r="E117625"/>
      <c r="F117625"/>
    </row>
    <row r="117626" spans="1:6" x14ac:dyDescent="0.25">
      <c r="A117626"/>
      <c r="B117626"/>
      <c r="C117626"/>
      <c r="E117626"/>
      <c r="F117626"/>
    </row>
    <row r="117627" spans="1:6" x14ac:dyDescent="0.25">
      <c r="A117627"/>
      <c r="B117627"/>
      <c r="C117627"/>
      <c r="E117627"/>
      <c r="F117627"/>
    </row>
    <row r="117628" spans="1:6" x14ac:dyDescent="0.25">
      <c r="A117628"/>
      <c r="B117628"/>
      <c r="C117628"/>
      <c r="E117628"/>
      <c r="F117628"/>
    </row>
    <row r="117629" spans="1:6" x14ac:dyDescent="0.25">
      <c r="A117629"/>
      <c r="B117629"/>
      <c r="C117629"/>
      <c r="E117629"/>
      <c r="F117629"/>
    </row>
    <row r="117630" spans="1:6" x14ac:dyDescent="0.25">
      <c r="A117630"/>
      <c r="B117630"/>
      <c r="C117630"/>
      <c r="E117630"/>
      <c r="F117630"/>
    </row>
    <row r="117631" spans="1:6" x14ac:dyDescent="0.25">
      <c r="A117631"/>
      <c r="B117631"/>
      <c r="C117631"/>
      <c r="E117631"/>
      <c r="F117631"/>
    </row>
    <row r="117632" spans="1:6" x14ac:dyDescent="0.25">
      <c r="A117632"/>
      <c r="B117632"/>
      <c r="C117632"/>
      <c r="E117632"/>
      <c r="F117632"/>
    </row>
    <row r="117633" spans="1:6" x14ac:dyDescent="0.25">
      <c r="A117633"/>
      <c r="B117633"/>
      <c r="C117633"/>
      <c r="E117633"/>
      <c r="F117633"/>
    </row>
    <row r="117634" spans="1:6" x14ac:dyDescent="0.25">
      <c r="A117634"/>
      <c r="B117634"/>
      <c r="C117634"/>
      <c r="E117634"/>
      <c r="F117634"/>
    </row>
    <row r="117635" spans="1:6" x14ac:dyDescent="0.25">
      <c r="A117635"/>
      <c r="B117635"/>
      <c r="C117635"/>
      <c r="E117635"/>
      <c r="F117635"/>
    </row>
    <row r="117636" spans="1:6" x14ac:dyDescent="0.25">
      <c r="A117636"/>
      <c r="B117636"/>
      <c r="C117636"/>
      <c r="E117636"/>
      <c r="F117636"/>
    </row>
    <row r="117637" spans="1:6" x14ac:dyDescent="0.25">
      <c r="A117637"/>
      <c r="B117637"/>
      <c r="C117637"/>
      <c r="E117637"/>
      <c r="F117637"/>
    </row>
    <row r="117638" spans="1:6" x14ac:dyDescent="0.25">
      <c r="A117638"/>
      <c r="B117638"/>
      <c r="C117638"/>
      <c r="E117638"/>
      <c r="F117638"/>
    </row>
    <row r="117639" spans="1:6" x14ac:dyDescent="0.25">
      <c r="A117639"/>
      <c r="B117639"/>
      <c r="C117639"/>
      <c r="E117639"/>
      <c r="F117639"/>
    </row>
    <row r="117640" spans="1:6" x14ac:dyDescent="0.25">
      <c r="A117640"/>
      <c r="B117640"/>
      <c r="C117640"/>
      <c r="E117640"/>
      <c r="F117640"/>
    </row>
    <row r="117641" spans="1:6" x14ac:dyDescent="0.25">
      <c r="A117641"/>
      <c r="B117641"/>
      <c r="C117641"/>
      <c r="E117641"/>
      <c r="F117641"/>
    </row>
    <row r="117642" spans="1:6" x14ac:dyDescent="0.25">
      <c r="A117642"/>
      <c r="B117642"/>
      <c r="C117642"/>
      <c r="E117642"/>
      <c r="F117642"/>
    </row>
    <row r="117643" spans="1:6" x14ac:dyDescent="0.25">
      <c r="A117643"/>
      <c r="B117643"/>
      <c r="C117643"/>
      <c r="E117643"/>
      <c r="F117643"/>
    </row>
    <row r="117644" spans="1:6" x14ac:dyDescent="0.25">
      <c r="A117644"/>
      <c r="B117644"/>
      <c r="C117644"/>
      <c r="E117644"/>
      <c r="F117644"/>
    </row>
    <row r="117645" spans="1:6" x14ac:dyDescent="0.25">
      <c r="A117645"/>
      <c r="B117645"/>
      <c r="C117645"/>
      <c r="E117645"/>
      <c r="F117645"/>
    </row>
    <row r="117646" spans="1:6" x14ac:dyDescent="0.25">
      <c r="A117646"/>
      <c r="B117646"/>
      <c r="C117646"/>
      <c r="E117646"/>
      <c r="F117646"/>
    </row>
    <row r="117647" spans="1:6" x14ac:dyDescent="0.25">
      <c r="A117647"/>
      <c r="B117647"/>
      <c r="C117647"/>
      <c r="E117647"/>
      <c r="F117647"/>
    </row>
    <row r="117648" spans="1:6" x14ac:dyDescent="0.25">
      <c r="A117648"/>
      <c r="B117648"/>
      <c r="C117648"/>
      <c r="E117648"/>
      <c r="F117648"/>
    </row>
    <row r="117649" spans="1:6" x14ac:dyDescent="0.25">
      <c r="A117649"/>
      <c r="B117649"/>
      <c r="C117649"/>
      <c r="E117649"/>
      <c r="F117649"/>
    </row>
    <row r="117650" spans="1:6" x14ac:dyDescent="0.25">
      <c r="A117650"/>
      <c r="B117650"/>
      <c r="C117650"/>
      <c r="E117650"/>
      <c r="F117650"/>
    </row>
    <row r="117651" spans="1:6" x14ac:dyDescent="0.25">
      <c r="A117651"/>
      <c r="B117651"/>
      <c r="C117651"/>
      <c r="E117651"/>
      <c r="F117651"/>
    </row>
    <row r="117652" spans="1:6" x14ac:dyDescent="0.25">
      <c r="A117652"/>
      <c r="B117652"/>
      <c r="C117652"/>
      <c r="E117652"/>
      <c r="F117652"/>
    </row>
    <row r="117653" spans="1:6" x14ac:dyDescent="0.25">
      <c r="A117653"/>
      <c r="B117653"/>
      <c r="C117653"/>
      <c r="E117653"/>
      <c r="F117653"/>
    </row>
    <row r="117654" spans="1:6" x14ac:dyDescent="0.25">
      <c r="A117654"/>
      <c r="B117654"/>
      <c r="C117654"/>
      <c r="E117654"/>
      <c r="F117654"/>
    </row>
    <row r="117655" spans="1:6" x14ac:dyDescent="0.25">
      <c r="A117655"/>
      <c r="B117655"/>
      <c r="C117655"/>
      <c r="E117655"/>
      <c r="F117655"/>
    </row>
    <row r="117656" spans="1:6" x14ac:dyDescent="0.25">
      <c r="A117656"/>
      <c r="B117656"/>
      <c r="C117656"/>
      <c r="E117656"/>
      <c r="F117656"/>
    </row>
    <row r="117657" spans="1:6" x14ac:dyDescent="0.25">
      <c r="A117657"/>
      <c r="B117657"/>
      <c r="C117657"/>
      <c r="E117657"/>
      <c r="F117657"/>
    </row>
    <row r="117658" spans="1:6" x14ac:dyDescent="0.25">
      <c r="A117658"/>
      <c r="B117658"/>
      <c r="C117658"/>
      <c r="E117658"/>
      <c r="F117658"/>
    </row>
    <row r="117659" spans="1:6" x14ac:dyDescent="0.25">
      <c r="A117659"/>
      <c r="B117659"/>
      <c r="C117659"/>
      <c r="E117659"/>
      <c r="F117659"/>
    </row>
    <row r="117660" spans="1:6" x14ac:dyDescent="0.25">
      <c r="A117660"/>
      <c r="B117660"/>
      <c r="C117660"/>
      <c r="E117660"/>
      <c r="F117660"/>
    </row>
    <row r="117661" spans="1:6" x14ac:dyDescent="0.25">
      <c r="A117661"/>
      <c r="B117661"/>
      <c r="C117661"/>
      <c r="E117661"/>
      <c r="F117661"/>
    </row>
    <row r="117662" spans="1:6" x14ac:dyDescent="0.25">
      <c r="A117662"/>
      <c r="B117662"/>
      <c r="C117662"/>
      <c r="E117662"/>
      <c r="F117662"/>
    </row>
    <row r="117663" spans="1:6" x14ac:dyDescent="0.25">
      <c r="A117663"/>
      <c r="B117663"/>
      <c r="C117663"/>
      <c r="E117663"/>
      <c r="F117663"/>
    </row>
    <row r="117664" spans="1:6" x14ac:dyDescent="0.25">
      <c r="A117664"/>
      <c r="B117664"/>
      <c r="C117664"/>
      <c r="E117664"/>
      <c r="F117664"/>
    </row>
    <row r="117665" spans="1:6" x14ac:dyDescent="0.25">
      <c r="A117665"/>
      <c r="B117665"/>
      <c r="C117665"/>
      <c r="E117665"/>
      <c r="F117665"/>
    </row>
    <row r="117666" spans="1:6" x14ac:dyDescent="0.25">
      <c r="A117666"/>
      <c r="B117666"/>
      <c r="C117666"/>
      <c r="E117666"/>
      <c r="F117666"/>
    </row>
    <row r="117667" spans="1:6" x14ac:dyDescent="0.25">
      <c r="A117667"/>
      <c r="B117667"/>
      <c r="C117667"/>
      <c r="E117667"/>
      <c r="F117667"/>
    </row>
    <row r="117668" spans="1:6" x14ac:dyDescent="0.25">
      <c r="A117668"/>
      <c r="B117668"/>
      <c r="C117668"/>
      <c r="E117668"/>
      <c r="F117668"/>
    </row>
    <row r="117669" spans="1:6" x14ac:dyDescent="0.25">
      <c r="A117669"/>
      <c r="B117669"/>
      <c r="C117669"/>
      <c r="E117669"/>
      <c r="F117669"/>
    </row>
    <row r="117670" spans="1:6" x14ac:dyDescent="0.25">
      <c r="A117670"/>
      <c r="B117670"/>
      <c r="C117670"/>
      <c r="E117670"/>
      <c r="F117670"/>
    </row>
    <row r="117671" spans="1:6" x14ac:dyDescent="0.25">
      <c r="A117671"/>
      <c r="B117671"/>
      <c r="C117671"/>
      <c r="E117671"/>
      <c r="F117671"/>
    </row>
    <row r="117672" spans="1:6" x14ac:dyDescent="0.25">
      <c r="A117672"/>
      <c r="B117672"/>
      <c r="C117672"/>
      <c r="E117672"/>
      <c r="F117672"/>
    </row>
    <row r="117673" spans="1:6" x14ac:dyDescent="0.25">
      <c r="A117673"/>
      <c r="B117673"/>
      <c r="C117673"/>
      <c r="E117673"/>
      <c r="F117673"/>
    </row>
    <row r="117674" spans="1:6" x14ac:dyDescent="0.25">
      <c r="A117674"/>
      <c r="B117674"/>
      <c r="C117674"/>
      <c r="E117674"/>
      <c r="F117674"/>
    </row>
    <row r="117675" spans="1:6" x14ac:dyDescent="0.25">
      <c r="A117675"/>
      <c r="B117675"/>
      <c r="C117675"/>
      <c r="E117675"/>
      <c r="F117675"/>
    </row>
    <row r="117676" spans="1:6" x14ac:dyDescent="0.25">
      <c r="A117676"/>
      <c r="B117676"/>
      <c r="C117676"/>
      <c r="E117676"/>
      <c r="F117676"/>
    </row>
    <row r="117677" spans="1:6" x14ac:dyDescent="0.25">
      <c r="A117677"/>
      <c r="B117677"/>
      <c r="C117677"/>
      <c r="E117677"/>
      <c r="F117677"/>
    </row>
    <row r="117678" spans="1:6" x14ac:dyDescent="0.25">
      <c r="A117678"/>
      <c r="B117678"/>
      <c r="C117678"/>
      <c r="E117678"/>
      <c r="F117678"/>
    </row>
    <row r="117679" spans="1:6" x14ac:dyDescent="0.25">
      <c r="A117679"/>
      <c r="B117679"/>
      <c r="C117679"/>
      <c r="E117679"/>
      <c r="F117679"/>
    </row>
    <row r="117680" spans="1:6" x14ac:dyDescent="0.25">
      <c r="A117680"/>
      <c r="B117680"/>
      <c r="C117680"/>
      <c r="E117680"/>
      <c r="F117680"/>
    </row>
    <row r="117681" spans="1:6" x14ac:dyDescent="0.25">
      <c r="A117681"/>
      <c r="B117681"/>
      <c r="C117681"/>
      <c r="E117681"/>
      <c r="F117681"/>
    </row>
    <row r="117682" spans="1:6" x14ac:dyDescent="0.25">
      <c r="A117682"/>
      <c r="B117682"/>
      <c r="C117682"/>
      <c r="E117682"/>
      <c r="F117682"/>
    </row>
    <row r="117683" spans="1:6" x14ac:dyDescent="0.25">
      <c r="A117683"/>
      <c r="B117683"/>
      <c r="C117683"/>
      <c r="E117683"/>
      <c r="F117683"/>
    </row>
    <row r="117684" spans="1:6" x14ac:dyDescent="0.25">
      <c r="A117684"/>
      <c r="B117684"/>
      <c r="C117684"/>
      <c r="E117684"/>
      <c r="F117684"/>
    </row>
    <row r="117685" spans="1:6" x14ac:dyDescent="0.25">
      <c r="A117685"/>
      <c r="B117685"/>
      <c r="C117685"/>
      <c r="E117685"/>
      <c r="F117685"/>
    </row>
    <row r="117686" spans="1:6" x14ac:dyDescent="0.25">
      <c r="A117686"/>
      <c r="B117686"/>
      <c r="C117686"/>
      <c r="E117686"/>
      <c r="F117686"/>
    </row>
    <row r="117687" spans="1:6" x14ac:dyDescent="0.25">
      <c r="A117687"/>
      <c r="B117687"/>
      <c r="C117687"/>
      <c r="E117687"/>
      <c r="F117687"/>
    </row>
    <row r="117688" spans="1:6" x14ac:dyDescent="0.25">
      <c r="A117688"/>
      <c r="B117688"/>
      <c r="C117688"/>
      <c r="E117688"/>
      <c r="F117688"/>
    </row>
    <row r="117689" spans="1:6" x14ac:dyDescent="0.25">
      <c r="A117689"/>
      <c r="B117689"/>
      <c r="C117689"/>
      <c r="E117689"/>
      <c r="F117689"/>
    </row>
    <row r="117690" spans="1:6" x14ac:dyDescent="0.25">
      <c r="A117690"/>
      <c r="B117690"/>
      <c r="C117690"/>
      <c r="E117690"/>
      <c r="F117690"/>
    </row>
    <row r="117691" spans="1:6" x14ac:dyDescent="0.25">
      <c r="A117691"/>
      <c r="B117691"/>
      <c r="C117691"/>
      <c r="E117691"/>
      <c r="F117691"/>
    </row>
    <row r="117692" spans="1:6" x14ac:dyDescent="0.25">
      <c r="A117692"/>
      <c r="B117692"/>
      <c r="C117692"/>
      <c r="E117692"/>
      <c r="F117692"/>
    </row>
    <row r="117693" spans="1:6" x14ac:dyDescent="0.25">
      <c r="A117693"/>
      <c r="B117693"/>
      <c r="C117693"/>
      <c r="E117693"/>
      <c r="F117693"/>
    </row>
    <row r="117694" spans="1:6" x14ac:dyDescent="0.25">
      <c r="A117694"/>
      <c r="B117694"/>
      <c r="C117694"/>
      <c r="E117694"/>
      <c r="F117694"/>
    </row>
    <row r="117695" spans="1:6" x14ac:dyDescent="0.25">
      <c r="A117695"/>
      <c r="B117695"/>
      <c r="C117695"/>
      <c r="E117695"/>
      <c r="F117695"/>
    </row>
    <row r="117696" spans="1:6" x14ac:dyDescent="0.25">
      <c r="A117696"/>
      <c r="B117696"/>
      <c r="C117696"/>
      <c r="E117696"/>
      <c r="F117696"/>
    </row>
    <row r="117697" spans="1:6" x14ac:dyDescent="0.25">
      <c r="A117697"/>
      <c r="B117697"/>
      <c r="C117697"/>
      <c r="E117697"/>
      <c r="F117697"/>
    </row>
    <row r="117698" spans="1:6" x14ac:dyDescent="0.25">
      <c r="A117698"/>
      <c r="B117698"/>
      <c r="C117698"/>
      <c r="E117698"/>
      <c r="F117698"/>
    </row>
    <row r="117699" spans="1:6" x14ac:dyDescent="0.25">
      <c r="A117699"/>
      <c r="B117699"/>
      <c r="C117699"/>
      <c r="E117699"/>
      <c r="F117699"/>
    </row>
    <row r="117700" spans="1:6" x14ac:dyDescent="0.25">
      <c r="A117700"/>
      <c r="B117700"/>
      <c r="C117700"/>
      <c r="E117700"/>
      <c r="F117700"/>
    </row>
    <row r="117701" spans="1:6" x14ac:dyDescent="0.25">
      <c r="A117701"/>
      <c r="B117701"/>
      <c r="C117701"/>
      <c r="E117701"/>
      <c r="F117701"/>
    </row>
    <row r="117702" spans="1:6" x14ac:dyDescent="0.25">
      <c r="A117702"/>
      <c r="B117702"/>
      <c r="C117702"/>
      <c r="E117702"/>
      <c r="F117702"/>
    </row>
    <row r="117703" spans="1:6" x14ac:dyDescent="0.25">
      <c r="A117703"/>
      <c r="B117703"/>
      <c r="C117703"/>
      <c r="E117703"/>
      <c r="F117703"/>
    </row>
    <row r="117704" spans="1:6" x14ac:dyDescent="0.25">
      <c r="A117704"/>
      <c r="B117704"/>
      <c r="C117704"/>
      <c r="E117704"/>
      <c r="F117704"/>
    </row>
    <row r="117705" spans="1:6" x14ac:dyDescent="0.25">
      <c r="A117705"/>
      <c r="B117705"/>
      <c r="C117705"/>
      <c r="E117705"/>
      <c r="F117705"/>
    </row>
    <row r="117706" spans="1:6" x14ac:dyDescent="0.25">
      <c r="A117706"/>
      <c r="B117706"/>
      <c r="C117706"/>
      <c r="E117706"/>
      <c r="F117706"/>
    </row>
    <row r="117707" spans="1:6" x14ac:dyDescent="0.25">
      <c r="A117707"/>
      <c r="B117707"/>
      <c r="C117707"/>
      <c r="E117707"/>
      <c r="F117707"/>
    </row>
    <row r="117708" spans="1:6" x14ac:dyDescent="0.25">
      <c r="A117708"/>
      <c r="B117708"/>
      <c r="C117708"/>
      <c r="E117708"/>
      <c r="F117708"/>
    </row>
    <row r="117709" spans="1:6" x14ac:dyDescent="0.25">
      <c r="A117709"/>
      <c r="B117709"/>
      <c r="C117709"/>
      <c r="E117709"/>
      <c r="F117709"/>
    </row>
    <row r="117710" spans="1:6" x14ac:dyDescent="0.25">
      <c r="A117710"/>
      <c r="B117710"/>
      <c r="C117710"/>
      <c r="E117710"/>
      <c r="F117710"/>
    </row>
    <row r="117711" spans="1:6" x14ac:dyDescent="0.25">
      <c r="A117711"/>
      <c r="B117711"/>
      <c r="C117711"/>
      <c r="E117711"/>
      <c r="F117711"/>
    </row>
    <row r="117712" spans="1:6" x14ac:dyDescent="0.25">
      <c r="A117712"/>
      <c r="B117712"/>
      <c r="C117712"/>
      <c r="E117712"/>
      <c r="F117712"/>
    </row>
    <row r="117713" spans="1:6" x14ac:dyDescent="0.25">
      <c r="A117713"/>
      <c r="B117713"/>
      <c r="C117713"/>
      <c r="E117713"/>
      <c r="F117713"/>
    </row>
    <row r="117714" spans="1:6" x14ac:dyDescent="0.25">
      <c r="A117714"/>
      <c r="B117714"/>
      <c r="C117714"/>
      <c r="E117714"/>
      <c r="F117714"/>
    </row>
    <row r="117715" spans="1:6" x14ac:dyDescent="0.25">
      <c r="A117715"/>
      <c r="B117715"/>
      <c r="C117715"/>
      <c r="E117715"/>
      <c r="F117715"/>
    </row>
    <row r="117716" spans="1:6" x14ac:dyDescent="0.25">
      <c r="A117716"/>
      <c r="B117716"/>
      <c r="C117716"/>
      <c r="E117716"/>
      <c r="F117716"/>
    </row>
    <row r="117717" spans="1:6" x14ac:dyDescent="0.25">
      <c r="A117717"/>
      <c r="B117717"/>
      <c r="C117717"/>
      <c r="E117717"/>
      <c r="F117717"/>
    </row>
    <row r="117718" spans="1:6" x14ac:dyDescent="0.25">
      <c r="A117718"/>
      <c r="B117718"/>
      <c r="C117718"/>
      <c r="E117718"/>
      <c r="F117718"/>
    </row>
    <row r="117719" spans="1:6" x14ac:dyDescent="0.25">
      <c r="A117719"/>
      <c r="B117719"/>
      <c r="C117719"/>
      <c r="E117719"/>
      <c r="F117719"/>
    </row>
    <row r="117720" spans="1:6" x14ac:dyDescent="0.25">
      <c r="A117720"/>
      <c r="B117720"/>
      <c r="C117720"/>
      <c r="E117720"/>
      <c r="F117720"/>
    </row>
    <row r="117721" spans="1:6" x14ac:dyDescent="0.25">
      <c r="A117721"/>
      <c r="B117721"/>
      <c r="C117721"/>
      <c r="E117721"/>
      <c r="F117721"/>
    </row>
    <row r="117722" spans="1:6" x14ac:dyDescent="0.25">
      <c r="A117722"/>
      <c r="B117722"/>
      <c r="C117722"/>
      <c r="E117722"/>
      <c r="F117722"/>
    </row>
    <row r="117723" spans="1:6" x14ac:dyDescent="0.25">
      <c r="A117723"/>
      <c r="B117723"/>
      <c r="C117723"/>
      <c r="E117723"/>
      <c r="F117723"/>
    </row>
    <row r="117724" spans="1:6" x14ac:dyDescent="0.25">
      <c r="A117724"/>
      <c r="B117724"/>
      <c r="C117724"/>
      <c r="E117724"/>
      <c r="F117724"/>
    </row>
    <row r="117725" spans="1:6" x14ac:dyDescent="0.25">
      <c r="A117725"/>
      <c r="B117725"/>
      <c r="C117725"/>
      <c r="E117725"/>
      <c r="F117725"/>
    </row>
    <row r="117726" spans="1:6" x14ac:dyDescent="0.25">
      <c r="A117726"/>
      <c r="B117726"/>
      <c r="C117726"/>
      <c r="E117726"/>
      <c r="F117726"/>
    </row>
    <row r="117727" spans="1:6" x14ac:dyDescent="0.25">
      <c r="A117727"/>
      <c r="B117727"/>
      <c r="C117727"/>
      <c r="E117727"/>
      <c r="F117727"/>
    </row>
    <row r="117728" spans="1:6" x14ac:dyDescent="0.25">
      <c r="A117728"/>
      <c r="B117728"/>
      <c r="C117728"/>
      <c r="E117728"/>
      <c r="F117728"/>
    </row>
    <row r="117729" spans="1:6" x14ac:dyDescent="0.25">
      <c r="A117729"/>
      <c r="B117729"/>
      <c r="C117729"/>
      <c r="E117729"/>
      <c r="F117729"/>
    </row>
    <row r="117730" spans="1:6" x14ac:dyDescent="0.25">
      <c r="A117730"/>
      <c r="B117730"/>
      <c r="C117730"/>
      <c r="E117730"/>
      <c r="F117730"/>
    </row>
    <row r="117731" spans="1:6" x14ac:dyDescent="0.25">
      <c r="A117731"/>
      <c r="B117731"/>
      <c r="C117731"/>
      <c r="E117731"/>
      <c r="F117731"/>
    </row>
    <row r="117732" spans="1:6" x14ac:dyDescent="0.25">
      <c r="A117732"/>
      <c r="B117732"/>
      <c r="C117732"/>
      <c r="E117732"/>
      <c r="F117732"/>
    </row>
    <row r="117733" spans="1:6" x14ac:dyDescent="0.25">
      <c r="A117733"/>
      <c r="B117733"/>
      <c r="C117733"/>
      <c r="E117733"/>
      <c r="F117733"/>
    </row>
    <row r="117734" spans="1:6" x14ac:dyDescent="0.25">
      <c r="A117734"/>
      <c r="B117734"/>
      <c r="C117734"/>
      <c r="E117734"/>
      <c r="F117734"/>
    </row>
    <row r="117735" spans="1:6" x14ac:dyDescent="0.25">
      <c r="A117735"/>
      <c r="B117735"/>
      <c r="C117735"/>
      <c r="E117735"/>
      <c r="F117735"/>
    </row>
    <row r="117736" spans="1:6" x14ac:dyDescent="0.25">
      <c r="A117736"/>
      <c r="B117736"/>
      <c r="C117736"/>
      <c r="E117736"/>
      <c r="F117736"/>
    </row>
    <row r="117737" spans="1:6" x14ac:dyDescent="0.25">
      <c r="A117737"/>
      <c r="B117737"/>
      <c r="C117737"/>
      <c r="E117737"/>
      <c r="F117737"/>
    </row>
    <row r="117738" spans="1:6" x14ac:dyDescent="0.25">
      <c r="A117738"/>
      <c r="B117738"/>
      <c r="C117738"/>
      <c r="E117738"/>
      <c r="F117738"/>
    </row>
    <row r="117739" spans="1:6" x14ac:dyDescent="0.25">
      <c r="A117739"/>
      <c r="B117739"/>
      <c r="C117739"/>
      <c r="E117739"/>
      <c r="F117739"/>
    </row>
    <row r="117740" spans="1:6" x14ac:dyDescent="0.25">
      <c r="A117740"/>
      <c r="B117740"/>
      <c r="C117740"/>
      <c r="E117740"/>
      <c r="F117740"/>
    </row>
    <row r="117741" spans="1:6" x14ac:dyDescent="0.25">
      <c r="A117741"/>
      <c r="B117741"/>
      <c r="C117741"/>
      <c r="E117741"/>
      <c r="F117741"/>
    </row>
    <row r="117742" spans="1:6" x14ac:dyDescent="0.25">
      <c r="A117742"/>
      <c r="B117742"/>
      <c r="C117742"/>
      <c r="E117742"/>
      <c r="F117742"/>
    </row>
    <row r="117743" spans="1:6" x14ac:dyDescent="0.25">
      <c r="A117743"/>
      <c r="B117743"/>
      <c r="C117743"/>
      <c r="E117743"/>
      <c r="F117743"/>
    </row>
    <row r="117744" spans="1:6" x14ac:dyDescent="0.25">
      <c r="A117744"/>
      <c r="B117744"/>
      <c r="C117744"/>
      <c r="E117744"/>
      <c r="F117744"/>
    </row>
    <row r="117745" spans="1:6" x14ac:dyDescent="0.25">
      <c r="A117745"/>
      <c r="B117745"/>
      <c r="C117745"/>
      <c r="E117745"/>
      <c r="F117745"/>
    </row>
    <row r="117746" spans="1:6" x14ac:dyDescent="0.25">
      <c r="A117746"/>
      <c r="B117746"/>
      <c r="C117746"/>
      <c r="E117746"/>
      <c r="F117746"/>
    </row>
    <row r="117747" spans="1:6" x14ac:dyDescent="0.25">
      <c r="A117747"/>
      <c r="B117747"/>
      <c r="C117747"/>
      <c r="E117747"/>
      <c r="F117747"/>
    </row>
    <row r="117748" spans="1:6" x14ac:dyDescent="0.25">
      <c r="A117748"/>
      <c r="B117748"/>
      <c r="C117748"/>
      <c r="E117748"/>
      <c r="F117748"/>
    </row>
    <row r="117749" spans="1:6" x14ac:dyDescent="0.25">
      <c r="A117749"/>
      <c r="B117749"/>
      <c r="C117749"/>
      <c r="E117749"/>
      <c r="F117749"/>
    </row>
    <row r="117750" spans="1:6" x14ac:dyDescent="0.25">
      <c r="A117750"/>
      <c r="B117750"/>
      <c r="C117750"/>
      <c r="E117750"/>
      <c r="F117750"/>
    </row>
    <row r="117751" spans="1:6" x14ac:dyDescent="0.25">
      <c r="A117751"/>
      <c r="B117751"/>
      <c r="C117751"/>
      <c r="E117751"/>
      <c r="F117751"/>
    </row>
    <row r="117752" spans="1:6" x14ac:dyDescent="0.25">
      <c r="A117752"/>
      <c r="B117752"/>
      <c r="C117752"/>
      <c r="E117752"/>
      <c r="F117752"/>
    </row>
    <row r="117753" spans="1:6" x14ac:dyDescent="0.25">
      <c r="A117753"/>
      <c r="B117753"/>
      <c r="C117753"/>
      <c r="E117753"/>
      <c r="F117753"/>
    </row>
    <row r="117754" spans="1:6" x14ac:dyDescent="0.25">
      <c r="A117754"/>
      <c r="B117754"/>
      <c r="C117754"/>
      <c r="E117754"/>
      <c r="F117754"/>
    </row>
    <row r="117755" spans="1:6" x14ac:dyDescent="0.25">
      <c r="A117755"/>
      <c r="B117755"/>
      <c r="C117755"/>
      <c r="E117755"/>
      <c r="F117755"/>
    </row>
    <row r="117756" spans="1:6" x14ac:dyDescent="0.25">
      <c r="A117756"/>
      <c r="B117756"/>
      <c r="C117756"/>
      <c r="E117756"/>
      <c r="F117756"/>
    </row>
    <row r="117757" spans="1:6" x14ac:dyDescent="0.25">
      <c r="A117757"/>
      <c r="B117757"/>
      <c r="C117757"/>
      <c r="E117757"/>
      <c r="F117757"/>
    </row>
    <row r="117758" spans="1:6" x14ac:dyDescent="0.25">
      <c r="A117758"/>
      <c r="B117758"/>
      <c r="C117758"/>
      <c r="E117758"/>
      <c r="F117758"/>
    </row>
    <row r="117759" spans="1:6" x14ac:dyDescent="0.25">
      <c r="A117759"/>
      <c r="B117759"/>
      <c r="C117759"/>
      <c r="E117759"/>
      <c r="F117759"/>
    </row>
    <row r="117760" spans="1:6" x14ac:dyDescent="0.25">
      <c r="A117760"/>
      <c r="B117760"/>
      <c r="C117760"/>
      <c r="E117760"/>
      <c r="F117760"/>
    </row>
    <row r="117761" spans="1:6" x14ac:dyDescent="0.25">
      <c r="A117761"/>
      <c r="B117761"/>
      <c r="C117761"/>
      <c r="E117761"/>
      <c r="F117761"/>
    </row>
    <row r="117762" spans="1:6" x14ac:dyDescent="0.25">
      <c r="A117762"/>
      <c r="B117762"/>
      <c r="C117762"/>
      <c r="E117762"/>
      <c r="F117762"/>
    </row>
    <row r="117763" spans="1:6" x14ac:dyDescent="0.25">
      <c r="A117763"/>
      <c r="B117763"/>
      <c r="C117763"/>
      <c r="E117763"/>
      <c r="F117763"/>
    </row>
    <row r="117764" spans="1:6" x14ac:dyDescent="0.25">
      <c r="A117764"/>
      <c r="B117764"/>
      <c r="C117764"/>
      <c r="E117764"/>
      <c r="F117764"/>
    </row>
    <row r="117765" spans="1:6" x14ac:dyDescent="0.25">
      <c r="A117765"/>
      <c r="B117765"/>
      <c r="C117765"/>
      <c r="E117765"/>
      <c r="F117765"/>
    </row>
    <row r="117766" spans="1:6" x14ac:dyDescent="0.25">
      <c r="A117766"/>
      <c r="B117766"/>
      <c r="C117766"/>
      <c r="E117766"/>
      <c r="F117766"/>
    </row>
    <row r="117767" spans="1:6" x14ac:dyDescent="0.25">
      <c r="A117767"/>
      <c r="B117767"/>
      <c r="C117767"/>
      <c r="E117767"/>
      <c r="F117767"/>
    </row>
    <row r="117768" spans="1:6" x14ac:dyDescent="0.25">
      <c r="A117768"/>
      <c r="B117768"/>
      <c r="C117768"/>
      <c r="E117768"/>
      <c r="F117768"/>
    </row>
    <row r="117769" spans="1:6" x14ac:dyDescent="0.25">
      <c r="A117769"/>
      <c r="B117769"/>
      <c r="C117769"/>
      <c r="E117769"/>
      <c r="F117769"/>
    </row>
    <row r="117770" spans="1:6" x14ac:dyDescent="0.25">
      <c r="A117770"/>
      <c r="B117770"/>
      <c r="C117770"/>
      <c r="E117770"/>
      <c r="F117770"/>
    </row>
    <row r="117771" spans="1:6" x14ac:dyDescent="0.25">
      <c r="A117771"/>
      <c r="B117771"/>
      <c r="C117771"/>
      <c r="E117771"/>
      <c r="F117771"/>
    </row>
    <row r="117772" spans="1:6" x14ac:dyDescent="0.25">
      <c r="A117772"/>
      <c r="B117772"/>
      <c r="C117772"/>
      <c r="E117772"/>
      <c r="F117772"/>
    </row>
    <row r="117773" spans="1:6" x14ac:dyDescent="0.25">
      <c r="A117773"/>
      <c r="B117773"/>
      <c r="C117773"/>
      <c r="E117773"/>
      <c r="F117773"/>
    </row>
    <row r="117774" spans="1:6" x14ac:dyDescent="0.25">
      <c r="A117774"/>
      <c r="B117774"/>
      <c r="C117774"/>
      <c r="E117774"/>
      <c r="F117774"/>
    </row>
    <row r="117775" spans="1:6" x14ac:dyDescent="0.25">
      <c r="A117775"/>
      <c r="B117775"/>
      <c r="C117775"/>
      <c r="E117775"/>
      <c r="F117775"/>
    </row>
    <row r="117776" spans="1:6" x14ac:dyDescent="0.25">
      <c r="A117776"/>
      <c r="B117776"/>
      <c r="C117776"/>
      <c r="E117776"/>
      <c r="F117776"/>
    </row>
    <row r="117777" spans="1:6" x14ac:dyDescent="0.25">
      <c r="A117777"/>
      <c r="B117777"/>
      <c r="C117777"/>
      <c r="E117777"/>
      <c r="F117777"/>
    </row>
    <row r="117778" spans="1:6" x14ac:dyDescent="0.25">
      <c r="A117778"/>
      <c r="B117778"/>
      <c r="C117778"/>
      <c r="E117778"/>
      <c r="F117778"/>
    </row>
    <row r="117779" spans="1:6" x14ac:dyDescent="0.25">
      <c r="A117779"/>
      <c r="B117779"/>
      <c r="C117779"/>
      <c r="E117779"/>
      <c r="F117779"/>
    </row>
    <row r="117780" spans="1:6" x14ac:dyDescent="0.25">
      <c r="A117780"/>
      <c r="B117780"/>
      <c r="C117780"/>
      <c r="E117780"/>
      <c r="F117780"/>
    </row>
    <row r="117781" spans="1:6" x14ac:dyDescent="0.25">
      <c r="A117781"/>
      <c r="B117781"/>
      <c r="C117781"/>
      <c r="E117781"/>
      <c r="F117781"/>
    </row>
    <row r="117782" spans="1:6" x14ac:dyDescent="0.25">
      <c r="A117782"/>
      <c r="B117782"/>
      <c r="C117782"/>
      <c r="E117782"/>
      <c r="F117782"/>
    </row>
    <row r="117783" spans="1:6" x14ac:dyDescent="0.25">
      <c r="A117783"/>
      <c r="B117783"/>
      <c r="C117783"/>
      <c r="E117783"/>
      <c r="F117783"/>
    </row>
    <row r="117784" spans="1:6" x14ac:dyDescent="0.25">
      <c r="A117784"/>
      <c r="B117784"/>
      <c r="C117784"/>
      <c r="E117784"/>
      <c r="F117784"/>
    </row>
    <row r="117785" spans="1:6" x14ac:dyDescent="0.25">
      <c r="A117785"/>
      <c r="B117785"/>
      <c r="C117785"/>
      <c r="E117785"/>
      <c r="F117785"/>
    </row>
    <row r="117786" spans="1:6" x14ac:dyDescent="0.25">
      <c r="A117786"/>
      <c r="B117786"/>
      <c r="C117786"/>
      <c r="E117786"/>
      <c r="F117786"/>
    </row>
    <row r="117787" spans="1:6" x14ac:dyDescent="0.25">
      <c r="A117787"/>
      <c r="B117787"/>
      <c r="C117787"/>
      <c r="E117787"/>
      <c r="F117787"/>
    </row>
    <row r="117788" spans="1:6" x14ac:dyDescent="0.25">
      <c r="A117788"/>
      <c r="B117788"/>
      <c r="C117788"/>
      <c r="E117788"/>
      <c r="F117788"/>
    </row>
    <row r="117789" spans="1:6" x14ac:dyDescent="0.25">
      <c r="A117789"/>
      <c r="B117789"/>
      <c r="C117789"/>
      <c r="E117789"/>
      <c r="F117789"/>
    </row>
    <row r="117790" spans="1:6" x14ac:dyDescent="0.25">
      <c r="A117790"/>
      <c r="B117790"/>
      <c r="C117790"/>
      <c r="E117790"/>
      <c r="F117790"/>
    </row>
    <row r="117791" spans="1:6" x14ac:dyDescent="0.25">
      <c r="A117791"/>
      <c r="B117791"/>
      <c r="C117791"/>
      <c r="E117791"/>
      <c r="F117791"/>
    </row>
    <row r="117792" spans="1:6" x14ac:dyDescent="0.25">
      <c r="A117792"/>
      <c r="B117792"/>
      <c r="C117792"/>
      <c r="E117792"/>
      <c r="F117792"/>
    </row>
    <row r="117793" spans="1:6" x14ac:dyDescent="0.25">
      <c r="A117793"/>
      <c r="B117793"/>
      <c r="C117793"/>
      <c r="E117793"/>
      <c r="F117793"/>
    </row>
    <row r="117794" spans="1:6" x14ac:dyDescent="0.25">
      <c r="A117794"/>
      <c r="B117794"/>
      <c r="C117794"/>
      <c r="E117794"/>
      <c r="F117794"/>
    </row>
    <row r="117795" spans="1:6" x14ac:dyDescent="0.25">
      <c r="A117795"/>
      <c r="B117795"/>
      <c r="C117795"/>
      <c r="E117795"/>
      <c r="F117795"/>
    </row>
    <row r="117796" spans="1:6" x14ac:dyDescent="0.25">
      <c r="A117796"/>
      <c r="B117796"/>
      <c r="C117796"/>
      <c r="E117796"/>
      <c r="F117796"/>
    </row>
    <row r="117797" spans="1:6" x14ac:dyDescent="0.25">
      <c r="A117797"/>
      <c r="B117797"/>
      <c r="C117797"/>
      <c r="E117797"/>
      <c r="F117797"/>
    </row>
    <row r="117798" spans="1:6" x14ac:dyDescent="0.25">
      <c r="A117798"/>
      <c r="B117798"/>
      <c r="C117798"/>
      <c r="E117798"/>
      <c r="F117798"/>
    </row>
    <row r="117799" spans="1:6" x14ac:dyDescent="0.25">
      <c r="A117799"/>
      <c r="B117799"/>
      <c r="C117799"/>
      <c r="E117799"/>
      <c r="F117799"/>
    </row>
    <row r="117800" spans="1:6" x14ac:dyDescent="0.25">
      <c r="A117800"/>
      <c r="B117800"/>
      <c r="C117800"/>
      <c r="E117800"/>
      <c r="F117800"/>
    </row>
    <row r="117801" spans="1:6" x14ac:dyDescent="0.25">
      <c r="A117801"/>
      <c r="B117801"/>
      <c r="C117801"/>
      <c r="E117801"/>
      <c r="F117801"/>
    </row>
    <row r="117802" spans="1:6" x14ac:dyDescent="0.25">
      <c r="A117802"/>
      <c r="B117802"/>
      <c r="C117802"/>
      <c r="E117802"/>
      <c r="F117802"/>
    </row>
    <row r="117803" spans="1:6" x14ac:dyDescent="0.25">
      <c r="A117803"/>
      <c r="B117803"/>
      <c r="C117803"/>
      <c r="E117803"/>
      <c r="F117803"/>
    </row>
    <row r="117804" spans="1:6" x14ac:dyDescent="0.25">
      <c r="A117804"/>
      <c r="B117804"/>
      <c r="C117804"/>
      <c r="E117804"/>
      <c r="F117804"/>
    </row>
    <row r="117805" spans="1:6" x14ac:dyDescent="0.25">
      <c r="A117805"/>
      <c r="B117805"/>
      <c r="C117805"/>
      <c r="E117805"/>
      <c r="F117805"/>
    </row>
    <row r="117806" spans="1:6" x14ac:dyDescent="0.25">
      <c r="A117806"/>
      <c r="B117806"/>
      <c r="C117806"/>
      <c r="E117806"/>
      <c r="F117806"/>
    </row>
    <row r="117807" spans="1:6" x14ac:dyDescent="0.25">
      <c r="A117807"/>
      <c r="B117807"/>
      <c r="C117807"/>
      <c r="E117807"/>
      <c r="F117807"/>
    </row>
    <row r="117808" spans="1:6" x14ac:dyDescent="0.25">
      <c r="A117808"/>
      <c r="B117808"/>
      <c r="C117808"/>
      <c r="E117808"/>
      <c r="F117808"/>
    </row>
    <row r="117809" spans="1:6" x14ac:dyDescent="0.25">
      <c r="A117809"/>
      <c r="B117809"/>
      <c r="C117809"/>
      <c r="E117809"/>
      <c r="F117809"/>
    </row>
    <row r="117810" spans="1:6" x14ac:dyDescent="0.25">
      <c r="A117810"/>
      <c r="B117810"/>
      <c r="C117810"/>
      <c r="E117810"/>
      <c r="F117810"/>
    </row>
    <row r="117811" spans="1:6" x14ac:dyDescent="0.25">
      <c r="A117811"/>
      <c r="B117811"/>
      <c r="C117811"/>
      <c r="E117811"/>
      <c r="F117811"/>
    </row>
    <row r="117812" spans="1:6" x14ac:dyDescent="0.25">
      <c r="A117812"/>
      <c r="B117812"/>
      <c r="C117812"/>
      <c r="E117812"/>
      <c r="F117812"/>
    </row>
    <row r="117813" spans="1:6" x14ac:dyDescent="0.25">
      <c r="A117813"/>
      <c r="B117813"/>
      <c r="C117813"/>
      <c r="E117813"/>
      <c r="F117813"/>
    </row>
    <row r="117814" spans="1:6" x14ac:dyDescent="0.25">
      <c r="A117814"/>
      <c r="B117814"/>
      <c r="C117814"/>
      <c r="E117814"/>
      <c r="F117814"/>
    </row>
    <row r="117815" spans="1:6" x14ac:dyDescent="0.25">
      <c r="A117815"/>
      <c r="B117815"/>
      <c r="C117815"/>
      <c r="E117815"/>
      <c r="F117815"/>
    </row>
    <row r="117816" spans="1:6" x14ac:dyDescent="0.25">
      <c r="A117816"/>
      <c r="B117816"/>
      <c r="C117816"/>
      <c r="E117816"/>
      <c r="F117816"/>
    </row>
    <row r="117817" spans="1:6" x14ac:dyDescent="0.25">
      <c r="A117817"/>
      <c r="B117817"/>
      <c r="C117817"/>
      <c r="E117817"/>
      <c r="F117817"/>
    </row>
    <row r="117818" spans="1:6" x14ac:dyDescent="0.25">
      <c r="A117818"/>
      <c r="B117818"/>
      <c r="C117818"/>
      <c r="E117818"/>
      <c r="F117818"/>
    </row>
    <row r="117819" spans="1:6" x14ac:dyDescent="0.25">
      <c r="A117819"/>
      <c r="B117819"/>
      <c r="C117819"/>
      <c r="E117819"/>
      <c r="F117819"/>
    </row>
    <row r="117820" spans="1:6" x14ac:dyDescent="0.25">
      <c r="A117820"/>
      <c r="B117820"/>
      <c r="C117820"/>
      <c r="E117820"/>
      <c r="F117820"/>
    </row>
    <row r="117821" spans="1:6" x14ac:dyDescent="0.25">
      <c r="A117821"/>
      <c r="B117821"/>
      <c r="C117821"/>
      <c r="E117821"/>
      <c r="F117821"/>
    </row>
    <row r="117822" spans="1:6" x14ac:dyDescent="0.25">
      <c r="A117822"/>
      <c r="B117822"/>
      <c r="C117822"/>
      <c r="E117822"/>
      <c r="F117822"/>
    </row>
    <row r="117823" spans="1:6" x14ac:dyDescent="0.25">
      <c r="A117823"/>
      <c r="B117823"/>
      <c r="C117823"/>
      <c r="E117823"/>
      <c r="F117823"/>
    </row>
    <row r="117824" spans="1:6" x14ac:dyDescent="0.25">
      <c r="A117824"/>
      <c r="B117824"/>
      <c r="C117824"/>
      <c r="E117824"/>
      <c r="F117824"/>
    </row>
    <row r="117825" spans="1:6" x14ac:dyDescent="0.25">
      <c r="A117825"/>
      <c r="B117825"/>
      <c r="C117825"/>
      <c r="E117825"/>
      <c r="F117825"/>
    </row>
    <row r="117826" spans="1:6" x14ac:dyDescent="0.25">
      <c r="A117826"/>
      <c r="B117826"/>
      <c r="C117826"/>
      <c r="E117826"/>
      <c r="F117826"/>
    </row>
    <row r="117827" spans="1:6" x14ac:dyDescent="0.25">
      <c r="A117827"/>
      <c r="B117827"/>
      <c r="C117827"/>
      <c r="E117827"/>
      <c r="F117827"/>
    </row>
    <row r="117828" spans="1:6" x14ac:dyDescent="0.25">
      <c r="A117828"/>
      <c r="B117828"/>
      <c r="C117828"/>
      <c r="E117828"/>
      <c r="F117828"/>
    </row>
    <row r="117829" spans="1:6" x14ac:dyDescent="0.25">
      <c r="A117829"/>
      <c r="B117829"/>
      <c r="C117829"/>
      <c r="E117829"/>
      <c r="F117829"/>
    </row>
    <row r="117830" spans="1:6" x14ac:dyDescent="0.25">
      <c r="A117830"/>
      <c r="B117830"/>
      <c r="C117830"/>
      <c r="E117830"/>
      <c r="F117830"/>
    </row>
    <row r="117831" spans="1:6" x14ac:dyDescent="0.25">
      <c r="A117831"/>
      <c r="B117831"/>
      <c r="C117831"/>
      <c r="E117831"/>
      <c r="F117831"/>
    </row>
    <row r="117832" spans="1:6" x14ac:dyDescent="0.25">
      <c r="A117832"/>
      <c r="B117832"/>
      <c r="C117832"/>
      <c r="E117832"/>
      <c r="F117832"/>
    </row>
    <row r="117833" spans="1:6" x14ac:dyDescent="0.25">
      <c r="A117833"/>
      <c r="B117833"/>
      <c r="C117833"/>
      <c r="E117833"/>
      <c r="F117833"/>
    </row>
    <row r="117834" spans="1:6" x14ac:dyDescent="0.25">
      <c r="A117834"/>
      <c r="B117834"/>
      <c r="C117834"/>
      <c r="E117834"/>
      <c r="F117834"/>
    </row>
    <row r="117835" spans="1:6" x14ac:dyDescent="0.25">
      <c r="A117835"/>
      <c r="B117835"/>
      <c r="C117835"/>
      <c r="E117835"/>
      <c r="F117835"/>
    </row>
    <row r="117836" spans="1:6" x14ac:dyDescent="0.25">
      <c r="A117836"/>
      <c r="B117836"/>
      <c r="C117836"/>
      <c r="E117836"/>
      <c r="F117836"/>
    </row>
    <row r="117837" spans="1:6" x14ac:dyDescent="0.25">
      <c r="A117837"/>
      <c r="B117837"/>
      <c r="C117837"/>
      <c r="E117837"/>
      <c r="F117837"/>
    </row>
    <row r="117838" spans="1:6" x14ac:dyDescent="0.25">
      <c r="A117838"/>
      <c r="B117838"/>
      <c r="C117838"/>
      <c r="E117838"/>
      <c r="F117838"/>
    </row>
    <row r="117839" spans="1:6" x14ac:dyDescent="0.25">
      <c r="A117839"/>
      <c r="B117839"/>
      <c r="C117839"/>
      <c r="E117839"/>
      <c r="F117839"/>
    </row>
    <row r="117840" spans="1:6" x14ac:dyDescent="0.25">
      <c r="A117840"/>
      <c r="B117840"/>
      <c r="C117840"/>
      <c r="E117840"/>
      <c r="F117840"/>
    </row>
    <row r="117841" spans="1:6" x14ac:dyDescent="0.25">
      <c r="A117841"/>
      <c r="B117841"/>
      <c r="C117841"/>
      <c r="E117841"/>
      <c r="F117841"/>
    </row>
    <row r="117842" spans="1:6" x14ac:dyDescent="0.25">
      <c r="A117842"/>
      <c r="B117842"/>
      <c r="C117842"/>
      <c r="E117842"/>
      <c r="F117842"/>
    </row>
    <row r="117843" spans="1:6" x14ac:dyDescent="0.25">
      <c r="A117843"/>
      <c r="B117843"/>
      <c r="C117843"/>
      <c r="E117843"/>
      <c r="F117843"/>
    </row>
    <row r="117844" spans="1:6" x14ac:dyDescent="0.25">
      <c r="A117844"/>
      <c r="B117844"/>
      <c r="C117844"/>
      <c r="E117844"/>
      <c r="F117844"/>
    </row>
    <row r="117845" spans="1:6" x14ac:dyDescent="0.25">
      <c r="A117845"/>
      <c r="B117845"/>
      <c r="C117845"/>
      <c r="E117845"/>
      <c r="F117845"/>
    </row>
    <row r="117846" spans="1:6" x14ac:dyDescent="0.25">
      <c r="A117846"/>
      <c r="B117846"/>
      <c r="C117846"/>
      <c r="E117846"/>
      <c r="F117846"/>
    </row>
    <row r="117847" spans="1:6" x14ac:dyDescent="0.25">
      <c r="A117847"/>
      <c r="B117847"/>
      <c r="C117847"/>
      <c r="E117847"/>
      <c r="F117847"/>
    </row>
    <row r="117848" spans="1:6" x14ac:dyDescent="0.25">
      <c r="A117848"/>
      <c r="B117848"/>
      <c r="C117848"/>
      <c r="E117848"/>
      <c r="F117848"/>
    </row>
    <row r="117849" spans="1:6" x14ac:dyDescent="0.25">
      <c r="A117849"/>
      <c r="B117849"/>
      <c r="C117849"/>
      <c r="E117849"/>
      <c r="F117849"/>
    </row>
    <row r="117850" spans="1:6" x14ac:dyDescent="0.25">
      <c r="A117850"/>
      <c r="B117850"/>
      <c r="C117850"/>
      <c r="E117850"/>
      <c r="F117850"/>
    </row>
    <row r="117851" spans="1:6" x14ac:dyDescent="0.25">
      <c r="A117851"/>
      <c r="B117851"/>
      <c r="C117851"/>
      <c r="E117851"/>
      <c r="F117851"/>
    </row>
    <row r="117852" spans="1:6" x14ac:dyDescent="0.25">
      <c r="A117852"/>
      <c r="B117852"/>
      <c r="C117852"/>
      <c r="E117852"/>
      <c r="F117852"/>
    </row>
    <row r="117853" spans="1:6" x14ac:dyDescent="0.25">
      <c r="A117853"/>
      <c r="B117853"/>
      <c r="C117853"/>
      <c r="E117853"/>
      <c r="F117853"/>
    </row>
    <row r="117854" spans="1:6" x14ac:dyDescent="0.25">
      <c r="A117854"/>
      <c r="B117854"/>
      <c r="C117854"/>
      <c r="E117854"/>
      <c r="F117854"/>
    </row>
    <row r="117855" spans="1:6" x14ac:dyDescent="0.25">
      <c r="A117855"/>
      <c r="B117855"/>
      <c r="C117855"/>
      <c r="E117855"/>
      <c r="F117855"/>
    </row>
    <row r="117856" spans="1:6" x14ac:dyDescent="0.25">
      <c r="A117856"/>
      <c r="B117856"/>
      <c r="C117856"/>
      <c r="E117856"/>
      <c r="F117856"/>
    </row>
    <row r="117857" spans="1:6" x14ac:dyDescent="0.25">
      <c r="A117857"/>
      <c r="B117857"/>
      <c r="C117857"/>
      <c r="E117857"/>
      <c r="F117857"/>
    </row>
    <row r="117858" spans="1:6" x14ac:dyDescent="0.25">
      <c r="A117858"/>
      <c r="B117858"/>
      <c r="C117858"/>
      <c r="E117858"/>
      <c r="F117858"/>
    </row>
    <row r="117859" spans="1:6" x14ac:dyDescent="0.25">
      <c r="A117859"/>
      <c r="B117859"/>
      <c r="C117859"/>
      <c r="E117859"/>
      <c r="F117859"/>
    </row>
    <row r="117860" spans="1:6" x14ac:dyDescent="0.25">
      <c r="A117860"/>
      <c r="B117860"/>
      <c r="C117860"/>
      <c r="E117860"/>
      <c r="F117860"/>
    </row>
    <row r="117861" spans="1:6" x14ac:dyDescent="0.25">
      <c r="A117861"/>
      <c r="B117861"/>
      <c r="C117861"/>
      <c r="E117861"/>
      <c r="F117861"/>
    </row>
    <row r="117862" spans="1:6" x14ac:dyDescent="0.25">
      <c r="A117862"/>
      <c r="B117862"/>
      <c r="C117862"/>
      <c r="E117862"/>
      <c r="F117862"/>
    </row>
    <row r="117863" spans="1:6" x14ac:dyDescent="0.25">
      <c r="A117863"/>
      <c r="B117863"/>
      <c r="C117863"/>
      <c r="E117863"/>
      <c r="F117863"/>
    </row>
    <row r="117864" spans="1:6" x14ac:dyDescent="0.25">
      <c r="A117864"/>
      <c r="B117864"/>
      <c r="C117864"/>
      <c r="E117864"/>
      <c r="F117864"/>
    </row>
    <row r="117865" spans="1:6" x14ac:dyDescent="0.25">
      <c r="A117865"/>
      <c r="B117865"/>
      <c r="C117865"/>
      <c r="E117865"/>
      <c r="F117865"/>
    </row>
    <row r="117866" spans="1:6" x14ac:dyDescent="0.25">
      <c r="A117866"/>
      <c r="B117866"/>
      <c r="C117866"/>
      <c r="E117866"/>
      <c r="F117866"/>
    </row>
    <row r="117867" spans="1:6" x14ac:dyDescent="0.25">
      <c r="A117867"/>
      <c r="B117867"/>
      <c r="C117867"/>
      <c r="E117867"/>
      <c r="F117867"/>
    </row>
    <row r="117868" spans="1:6" x14ac:dyDescent="0.25">
      <c r="A117868"/>
      <c r="B117868"/>
      <c r="C117868"/>
      <c r="E117868"/>
      <c r="F117868"/>
    </row>
    <row r="117869" spans="1:6" x14ac:dyDescent="0.25">
      <c r="A117869"/>
      <c r="B117869"/>
      <c r="C117869"/>
      <c r="E117869"/>
      <c r="F117869"/>
    </row>
    <row r="117870" spans="1:6" x14ac:dyDescent="0.25">
      <c r="A117870"/>
      <c r="B117870"/>
      <c r="C117870"/>
      <c r="E117870"/>
      <c r="F117870"/>
    </row>
    <row r="117871" spans="1:6" x14ac:dyDescent="0.25">
      <c r="A117871"/>
      <c r="B117871"/>
      <c r="C117871"/>
      <c r="E117871"/>
      <c r="F117871"/>
    </row>
    <row r="117872" spans="1:6" x14ac:dyDescent="0.25">
      <c r="A117872"/>
      <c r="B117872"/>
      <c r="C117872"/>
      <c r="E117872"/>
      <c r="F117872"/>
    </row>
    <row r="117873" spans="1:6" x14ac:dyDescent="0.25">
      <c r="A117873"/>
      <c r="B117873"/>
      <c r="C117873"/>
      <c r="E117873"/>
      <c r="F117873"/>
    </row>
    <row r="117874" spans="1:6" x14ac:dyDescent="0.25">
      <c r="A117874"/>
      <c r="B117874"/>
      <c r="C117874"/>
      <c r="E117874"/>
      <c r="F117874"/>
    </row>
    <row r="117875" spans="1:6" x14ac:dyDescent="0.25">
      <c r="A117875"/>
      <c r="B117875"/>
      <c r="C117875"/>
      <c r="E117875"/>
      <c r="F117875"/>
    </row>
    <row r="117876" spans="1:6" x14ac:dyDescent="0.25">
      <c r="A117876"/>
      <c r="B117876"/>
      <c r="C117876"/>
      <c r="E117876"/>
      <c r="F117876"/>
    </row>
    <row r="117877" spans="1:6" x14ac:dyDescent="0.25">
      <c r="A117877"/>
      <c r="B117877"/>
      <c r="C117877"/>
      <c r="E117877"/>
      <c r="F117877"/>
    </row>
    <row r="117878" spans="1:6" x14ac:dyDescent="0.25">
      <c r="A117878"/>
      <c r="B117878"/>
      <c r="C117878"/>
      <c r="E117878"/>
      <c r="F117878"/>
    </row>
    <row r="117879" spans="1:6" x14ac:dyDescent="0.25">
      <c r="A117879"/>
      <c r="B117879"/>
      <c r="C117879"/>
      <c r="E117879"/>
      <c r="F117879"/>
    </row>
    <row r="117880" spans="1:6" x14ac:dyDescent="0.25">
      <c r="A117880"/>
      <c r="B117880"/>
      <c r="C117880"/>
      <c r="E117880"/>
      <c r="F117880"/>
    </row>
    <row r="117881" spans="1:6" x14ac:dyDescent="0.25">
      <c r="A117881"/>
      <c r="B117881"/>
      <c r="C117881"/>
      <c r="E117881"/>
      <c r="F117881"/>
    </row>
    <row r="117882" spans="1:6" x14ac:dyDescent="0.25">
      <c r="A117882"/>
      <c r="B117882"/>
      <c r="C117882"/>
      <c r="E117882"/>
      <c r="F117882"/>
    </row>
    <row r="117883" spans="1:6" x14ac:dyDescent="0.25">
      <c r="A117883"/>
      <c r="B117883"/>
      <c r="C117883"/>
      <c r="E117883"/>
      <c r="F117883"/>
    </row>
    <row r="117884" spans="1:6" x14ac:dyDescent="0.25">
      <c r="A117884"/>
      <c r="B117884"/>
      <c r="C117884"/>
      <c r="E117884"/>
      <c r="F117884"/>
    </row>
    <row r="117885" spans="1:6" x14ac:dyDescent="0.25">
      <c r="A117885"/>
      <c r="B117885"/>
      <c r="C117885"/>
      <c r="E117885"/>
      <c r="F117885"/>
    </row>
    <row r="117886" spans="1:6" x14ac:dyDescent="0.25">
      <c r="A117886"/>
      <c r="B117886"/>
      <c r="C117886"/>
      <c r="E117886"/>
      <c r="F117886"/>
    </row>
    <row r="117887" spans="1:6" x14ac:dyDescent="0.25">
      <c r="A117887"/>
      <c r="B117887"/>
      <c r="C117887"/>
      <c r="E117887"/>
      <c r="F117887"/>
    </row>
    <row r="117888" spans="1:6" x14ac:dyDescent="0.25">
      <c r="A117888"/>
      <c r="B117888"/>
      <c r="C117888"/>
      <c r="E117888"/>
      <c r="F117888"/>
    </row>
    <row r="117889" spans="1:6" x14ac:dyDescent="0.25">
      <c r="A117889"/>
      <c r="B117889"/>
      <c r="C117889"/>
      <c r="E117889"/>
      <c r="F117889"/>
    </row>
    <row r="117890" spans="1:6" x14ac:dyDescent="0.25">
      <c r="A117890"/>
      <c r="B117890"/>
      <c r="C117890"/>
      <c r="E117890"/>
      <c r="F117890"/>
    </row>
    <row r="117891" spans="1:6" x14ac:dyDescent="0.25">
      <c r="A117891"/>
      <c r="B117891"/>
      <c r="C117891"/>
      <c r="E117891"/>
      <c r="F117891"/>
    </row>
    <row r="117892" spans="1:6" x14ac:dyDescent="0.25">
      <c r="A117892"/>
      <c r="B117892"/>
      <c r="C117892"/>
      <c r="E117892"/>
      <c r="F117892"/>
    </row>
    <row r="117893" spans="1:6" x14ac:dyDescent="0.25">
      <c r="A117893"/>
      <c r="B117893"/>
      <c r="C117893"/>
      <c r="E117893"/>
      <c r="F117893"/>
    </row>
    <row r="117894" spans="1:6" x14ac:dyDescent="0.25">
      <c r="A117894"/>
      <c r="B117894"/>
      <c r="C117894"/>
      <c r="E117894"/>
      <c r="F117894"/>
    </row>
    <row r="117895" spans="1:6" x14ac:dyDescent="0.25">
      <c r="A117895"/>
      <c r="B117895"/>
      <c r="C117895"/>
      <c r="E117895"/>
      <c r="F117895"/>
    </row>
    <row r="117896" spans="1:6" x14ac:dyDescent="0.25">
      <c r="A117896"/>
      <c r="B117896"/>
      <c r="C117896"/>
      <c r="E117896"/>
      <c r="F117896"/>
    </row>
    <row r="117897" spans="1:6" x14ac:dyDescent="0.25">
      <c r="A117897"/>
      <c r="B117897"/>
      <c r="C117897"/>
      <c r="E117897"/>
      <c r="F117897"/>
    </row>
    <row r="117898" spans="1:6" x14ac:dyDescent="0.25">
      <c r="A117898"/>
      <c r="B117898"/>
      <c r="C117898"/>
      <c r="E117898"/>
      <c r="F117898"/>
    </row>
    <row r="117899" spans="1:6" x14ac:dyDescent="0.25">
      <c r="A117899"/>
      <c r="B117899"/>
      <c r="C117899"/>
      <c r="E117899"/>
      <c r="F117899"/>
    </row>
    <row r="117900" spans="1:6" x14ac:dyDescent="0.25">
      <c r="A117900"/>
      <c r="B117900"/>
      <c r="C117900"/>
      <c r="E117900"/>
      <c r="F117900"/>
    </row>
    <row r="117901" spans="1:6" x14ac:dyDescent="0.25">
      <c r="A117901"/>
      <c r="B117901"/>
      <c r="C117901"/>
      <c r="E117901"/>
      <c r="F117901"/>
    </row>
    <row r="117902" spans="1:6" x14ac:dyDescent="0.25">
      <c r="A117902"/>
      <c r="B117902"/>
      <c r="C117902"/>
      <c r="E117902"/>
      <c r="F117902"/>
    </row>
    <row r="117903" spans="1:6" x14ac:dyDescent="0.25">
      <c r="A117903"/>
      <c r="B117903"/>
      <c r="C117903"/>
      <c r="E117903"/>
      <c r="F117903"/>
    </row>
    <row r="117904" spans="1:6" x14ac:dyDescent="0.25">
      <c r="A117904"/>
      <c r="B117904"/>
      <c r="C117904"/>
      <c r="E117904"/>
      <c r="F117904"/>
    </row>
    <row r="117905" spans="1:6" x14ac:dyDescent="0.25">
      <c r="A117905"/>
      <c r="B117905"/>
      <c r="C117905"/>
      <c r="E117905"/>
      <c r="F117905"/>
    </row>
    <row r="117906" spans="1:6" x14ac:dyDescent="0.25">
      <c r="A117906"/>
      <c r="B117906"/>
      <c r="C117906"/>
      <c r="E117906"/>
      <c r="F117906"/>
    </row>
    <row r="117907" spans="1:6" x14ac:dyDescent="0.25">
      <c r="A117907"/>
      <c r="B117907"/>
      <c r="C117907"/>
      <c r="E117907"/>
      <c r="F117907"/>
    </row>
    <row r="117908" spans="1:6" x14ac:dyDescent="0.25">
      <c r="A117908"/>
      <c r="B117908"/>
      <c r="C117908"/>
      <c r="E117908"/>
      <c r="F117908"/>
    </row>
    <row r="117909" spans="1:6" x14ac:dyDescent="0.25">
      <c r="A117909"/>
      <c r="B117909"/>
      <c r="C117909"/>
      <c r="E117909"/>
      <c r="F117909"/>
    </row>
    <row r="117910" spans="1:6" x14ac:dyDescent="0.25">
      <c r="A117910"/>
      <c r="B117910"/>
      <c r="C117910"/>
      <c r="E117910"/>
      <c r="F117910"/>
    </row>
    <row r="117911" spans="1:6" x14ac:dyDescent="0.25">
      <c r="A117911"/>
      <c r="B117911"/>
      <c r="C117911"/>
      <c r="E117911"/>
      <c r="F117911"/>
    </row>
    <row r="117912" spans="1:6" x14ac:dyDescent="0.25">
      <c r="A117912"/>
      <c r="B117912"/>
      <c r="C117912"/>
      <c r="E117912"/>
      <c r="F117912"/>
    </row>
    <row r="117913" spans="1:6" x14ac:dyDescent="0.25">
      <c r="A117913"/>
      <c r="B117913"/>
      <c r="C117913"/>
      <c r="E117913"/>
      <c r="F117913"/>
    </row>
    <row r="117914" spans="1:6" x14ac:dyDescent="0.25">
      <c r="A117914"/>
      <c r="B117914"/>
      <c r="C117914"/>
      <c r="E117914"/>
      <c r="F117914"/>
    </row>
    <row r="117915" spans="1:6" x14ac:dyDescent="0.25">
      <c r="A117915"/>
      <c r="B117915"/>
      <c r="C117915"/>
      <c r="E117915"/>
      <c r="F117915"/>
    </row>
    <row r="117916" spans="1:6" x14ac:dyDescent="0.25">
      <c r="A117916"/>
      <c r="B117916"/>
      <c r="C117916"/>
      <c r="E117916"/>
      <c r="F117916"/>
    </row>
    <row r="117917" spans="1:6" x14ac:dyDescent="0.25">
      <c r="A117917"/>
      <c r="B117917"/>
      <c r="C117917"/>
      <c r="E117917"/>
      <c r="F117917"/>
    </row>
    <row r="117918" spans="1:6" x14ac:dyDescent="0.25">
      <c r="A117918"/>
      <c r="B117918"/>
      <c r="C117918"/>
      <c r="E117918"/>
      <c r="F117918"/>
    </row>
    <row r="117919" spans="1:6" x14ac:dyDescent="0.25">
      <c r="A117919"/>
      <c r="B117919"/>
      <c r="C117919"/>
      <c r="E117919"/>
      <c r="F117919"/>
    </row>
    <row r="117920" spans="1:6" x14ac:dyDescent="0.25">
      <c r="A117920"/>
      <c r="B117920"/>
      <c r="C117920"/>
      <c r="E117920"/>
      <c r="F117920"/>
    </row>
    <row r="117921" spans="1:6" x14ac:dyDescent="0.25">
      <c r="A117921"/>
      <c r="B117921"/>
      <c r="C117921"/>
      <c r="E117921"/>
      <c r="F117921"/>
    </row>
    <row r="117922" spans="1:6" x14ac:dyDescent="0.25">
      <c r="A117922"/>
      <c r="B117922"/>
      <c r="C117922"/>
      <c r="E117922"/>
      <c r="F117922"/>
    </row>
    <row r="117923" spans="1:6" x14ac:dyDescent="0.25">
      <c r="A117923"/>
      <c r="B117923"/>
      <c r="C117923"/>
      <c r="E117923"/>
      <c r="F117923"/>
    </row>
    <row r="117924" spans="1:6" x14ac:dyDescent="0.25">
      <c r="A117924"/>
      <c r="B117924"/>
      <c r="C117924"/>
      <c r="E117924"/>
      <c r="F117924"/>
    </row>
    <row r="117925" spans="1:6" x14ac:dyDescent="0.25">
      <c r="A117925"/>
      <c r="B117925"/>
      <c r="C117925"/>
      <c r="E117925"/>
      <c r="F117925"/>
    </row>
    <row r="117926" spans="1:6" x14ac:dyDescent="0.25">
      <c r="A117926"/>
      <c r="B117926"/>
      <c r="C117926"/>
      <c r="E117926"/>
      <c r="F117926"/>
    </row>
    <row r="117927" spans="1:6" x14ac:dyDescent="0.25">
      <c r="A117927"/>
      <c r="B117927"/>
      <c r="C117927"/>
      <c r="E117927"/>
      <c r="F117927"/>
    </row>
    <row r="117928" spans="1:6" x14ac:dyDescent="0.25">
      <c r="A117928"/>
      <c r="B117928"/>
      <c r="C117928"/>
      <c r="E117928"/>
      <c r="F117928"/>
    </row>
    <row r="117929" spans="1:6" x14ac:dyDescent="0.25">
      <c r="A117929"/>
      <c r="B117929"/>
      <c r="C117929"/>
      <c r="E117929"/>
      <c r="F117929"/>
    </row>
    <row r="117930" spans="1:6" x14ac:dyDescent="0.25">
      <c r="A117930"/>
      <c r="B117930"/>
      <c r="C117930"/>
      <c r="E117930"/>
      <c r="F117930"/>
    </row>
    <row r="117931" spans="1:6" x14ac:dyDescent="0.25">
      <c r="A117931"/>
      <c r="B117931"/>
      <c r="C117931"/>
      <c r="E117931"/>
      <c r="F117931"/>
    </row>
    <row r="117932" spans="1:6" x14ac:dyDescent="0.25">
      <c r="A117932"/>
      <c r="B117932"/>
      <c r="C117932"/>
      <c r="E117932"/>
      <c r="F117932"/>
    </row>
    <row r="117933" spans="1:6" x14ac:dyDescent="0.25">
      <c r="A117933"/>
      <c r="B117933"/>
      <c r="C117933"/>
      <c r="E117933"/>
      <c r="F117933"/>
    </row>
    <row r="117934" spans="1:6" x14ac:dyDescent="0.25">
      <c r="A117934"/>
      <c r="B117934"/>
      <c r="C117934"/>
      <c r="E117934"/>
      <c r="F117934"/>
    </row>
    <row r="117935" spans="1:6" x14ac:dyDescent="0.25">
      <c r="A117935"/>
      <c r="B117935"/>
      <c r="C117935"/>
      <c r="E117935"/>
      <c r="F117935"/>
    </row>
    <row r="117936" spans="1:6" x14ac:dyDescent="0.25">
      <c r="A117936"/>
      <c r="B117936"/>
      <c r="C117936"/>
      <c r="E117936"/>
      <c r="F117936"/>
    </row>
    <row r="117937" spans="1:6" x14ac:dyDescent="0.25">
      <c r="A117937"/>
      <c r="B117937"/>
      <c r="C117937"/>
      <c r="E117937"/>
      <c r="F117937"/>
    </row>
    <row r="117938" spans="1:6" x14ac:dyDescent="0.25">
      <c r="A117938"/>
      <c r="B117938"/>
      <c r="C117938"/>
      <c r="E117938"/>
      <c r="F117938"/>
    </row>
    <row r="117939" spans="1:6" x14ac:dyDescent="0.25">
      <c r="A117939"/>
      <c r="B117939"/>
      <c r="C117939"/>
      <c r="E117939"/>
      <c r="F117939"/>
    </row>
    <row r="117940" spans="1:6" x14ac:dyDescent="0.25">
      <c r="A117940"/>
      <c r="B117940"/>
      <c r="C117940"/>
      <c r="E117940"/>
      <c r="F117940"/>
    </row>
    <row r="117941" spans="1:6" x14ac:dyDescent="0.25">
      <c r="A117941"/>
      <c r="B117941"/>
      <c r="C117941"/>
      <c r="E117941"/>
      <c r="F117941"/>
    </row>
    <row r="117942" spans="1:6" x14ac:dyDescent="0.25">
      <c r="A117942"/>
      <c r="B117942"/>
      <c r="C117942"/>
      <c r="E117942"/>
      <c r="F117942"/>
    </row>
    <row r="117943" spans="1:6" x14ac:dyDescent="0.25">
      <c r="A117943"/>
      <c r="B117943"/>
      <c r="C117943"/>
      <c r="E117943"/>
      <c r="F117943"/>
    </row>
    <row r="117944" spans="1:6" x14ac:dyDescent="0.25">
      <c r="A117944"/>
      <c r="B117944"/>
      <c r="C117944"/>
      <c r="E117944"/>
      <c r="F117944"/>
    </row>
    <row r="117945" spans="1:6" x14ac:dyDescent="0.25">
      <c r="A117945"/>
      <c r="B117945"/>
      <c r="C117945"/>
      <c r="E117945"/>
      <c r="F117945"/>
    </row>
    <row r="117946" spans="1:6" x14ac:dyDescent="0.25">
      <c r="A117946"/>
      <c r="B117946"/>
      <c r="C117946"/>
      <c r="E117946"/>
      <c r="F117946"/>
    </row>
    <row r="117947" spans="1:6" x14ac:dyDescent="0.25">
      <c r="A117947"/>
      <c r="B117947"/>
      <c r="C117947"/>
      <c r="E117947"/>
      <c r="F117947"/>
    </row>
    <row r="117948" spans="1:6" x14ac:dyDescent="0.25">
      <c r="A117948"/>
      <c r="B117948"/>
      <c r="C117948"/>
      <c r="E117948"/>
      <c r="F117948"/>
    </row>
    <row r="117949" spans="1:6" x14ac:dyDescent="0.25">
      <c r="A117949"/>
      <c r="B117949"/>
      <c r="C117949"/>
      <c r="E117949"/>
      <c r="F117949"/>
    </row>
    <row r="117950" spans="1:6" x14ac:dyDescent="0.25">
      <c r="A117950"/>
      <c r="B117950"/>
      <c r="C117950"/>
      <c r="E117950"/>
      <c r="F117950"/>
    </row>
    <row r="117951" spans="1:6" x14ac:dyDescent="0.25">
      <c r="A117951"/>
      <c r="B117951"/>
      <c r="C117951"/>
      <c r="E117951"/>
      <c r="F117951"/>
    </row>
    <row r="117952" spans="1:6" x14ac:dyDescent="0.25">
      <c r="A117952"/>
      <c r="B117952"/>
      <c r="C117952"/>
      <c r="E117952"/>
      <c r="F117952"/>
    </row>
    <row r="117953" spans="1:6" x14ac:dyDescent="0.25">
      <c r="A117953"/>
      <c r="B117953"/>
      <c r="C117953"/>
      <c r="E117953"/>
      <c r="F117953"/>
    </row>
    <row r="117954" spans="1:6" x14ac:dyDescent="0.25">
      <c r="A117954"/>
      <c r="B117954"/>
      <c r="C117954"/>
      <c r="E117954"/>
      <c r="F117954"/>
    </row>
    <row r="117955" spans="1:6" x14ac:dyDescent="0.25">
      <c r="A117955"/>
      <c r="B117955"/>
      <c r="C117955"/>
      <c r="E117955"/>
      <c r="F117955"/>
    </row>
    <row r="117956" spans="1:6" x14ac:dyDescent="0.25">
      <c r="A117956"/>
      <c r="B117956"/>
      <c r="C117956"/>
      <c r="E117956"/>
      <c r="F117956"/>
    </row>
    <row r="117957" spans="1:6" x14ac:dyDescent="0.25">
      <c r="A117957"/>
      <c r="B117957"/>
      <c r="C117957"/>
      <c r="E117957"/>
      <c r="F117957"/>
    </row>
    <row r="117958" spans="1:6" x14ac:dyDescent="0.25">
      <c r="A117958"/>
      <c r="B117958"/>
      <c r="C117958"/>
      <c r="E117958"/>
      <c r="F117958"/>
    </row>
    <row r="117959" spans="1:6" x14ac:dyDescent="0.25">
      <c r="A117959"/>
      <c r="B117959"/>
      <c r="C117959"/>
      <c r="E117959"/>
      <c r="F117959"/>
    </row>
    <row r="117960" spans="1:6" x14ac:dyDescent="0.25">
      <c r="A117960"/>
      <c r="B117960"/>
      <c r="C117960"/>
      <c r="E117960"/>
      <c r="F117960"/>
    </row>
    <row r="117961" spans="1:6" x14ac:dyDescent="0.25">
      <c r="A117961"/>
      <c r="B117961"/>
      <c r="C117961"/>
      <c r="E117961"/>
      <c r="F117961"/>
    </row>
    <row r="117962" spans="1:6" x14ac:dyDescent="0.25">
      <c r="A117962"/>
      <c r="B117962"/>
      <c r="C117962"/>
      <c r="E117962"/>
      <c r="F117962"/>
    </row>
    <row r="117963" spans="1:6" x14ac:dyDescent="0.25">
      <c r="A117963"/>
      <c r="B117963"/>
      <c r="C117963"/>
      <c r="E117963"/>
      <c r="F117963"/>
    </row>
    <row r="117964" spans="1:6" x14ac:dyDescent="0.25">
      <c r="A117964"/>
      <c r="B117964"/>
      <c r="C117964"/>
      <c r="E117964"/>
      <c r="F117964"/>
    </row>
    <row r="117965" spans="1:6" x14ac:dyDescent="0.25">
      <c r="A117965"/>
      <c r="B117965"/>
      <c r="C117965"/>
      <c r="E117965"/>
      <c r="F117965"/>
    </row>
    <row r="117966" spans="1:6" x14ac:dyDescent="0.25">
      <c r="A117966"/>
      <c r="B117966"/>
      <c r="C117966"/>
      <c r="E117966"/>
      <c r="F117966"/>
    </row>
    <row r="117967" spans="1:6" x14ac:dyDescent="0.25">
      <c r="A117967"/>
      <c r="B117967"/>
      <c r="C117967"/>
      <c r="E117967"/>
      <c r="F117967"/>
    </row>
    <row r="117968" spans="1:6" x14ac:dyDescent="0.25">
      <c r="A117968"/>
      <c r="B117968"/>
      <c r="C117968"/>
      <c r="E117968"/>
      <c r="F117968"/>
    </row>
    <row r="117969" spans="1:6" x14ac:dyDescent="0.25">
      <c r="A117969"/>
      <c r="B117969"/>
      <c r="C117969"/>
      <c r="E117969"/>
      <c r="F117969"/>
    </row>
    <row r="117970" spans="1:6" x14ac:dyDescent="0.25">
      <c r="A117970"/>
      <c r="B117970"/>
      <c r="C117970"/>
      <c r="E117970"/>
      <c r="F117970"/>
    </row>
    <row r="117971" spans="1:6" x14ac:dyDescent="0.25">
      <c r="A117971"/>
      <c r="B117971"/>
      <c r="C117971"/>
      <c r="E117971"/>
      <c r="F117971"/>
    </row>
    <row r="117972" spans="1:6" x14ac:dyDescent="0.25">
      <c r="A117972"/>
      <c r="B117972"/>
      <c r="C117972"/>
      <c r="E117972"/>
      <c r="F117972"/>
    </row>
    <row r="117973" spans="1:6" x14ac:dyDescent="0.25">
      <c r="A117973"/>
      <c r="B117973"/>
      <c r="C117973"/>
      <c r="E117973"/>
      <c r="F117973"/>
    </row>
    <row r="117974" spans="1:6" x14ac:dyDescent="0.25">
      <c r="A117974"/>
      <c r="B117974"/>
      <c r="C117974"/>
      <c r="E117974"/>
      <c r="F117974"/>
    </row>
    <row r="117975" spans="1:6" x14ac:dyDescent="0.25">
      <c r="A117975"/>
      <c r="B117975"/>
      <c r="C117975"/>
      <c r="E117975"/>
      <c r="F117975"/>
    </row>
    <row r="117976" spans="1:6" x14ac:dyDescent="0.25">
      <c r="A117976"/>
      <c r="B117976"/>
      <c r="C117976"/>
      <c r="E117976"/>
      <c r="F117976"/>
    </row>
    <row r="117977" spans="1:6" x14ac:dyDescent="0.25">
      <c r="A117977"/>
      <c r="B117977"/>
      <c r="C117977"/>
      <c r="E117977"/>
      <c r="F117977"/>
    </row>
    <row r="117978" spans="1:6" x14ac:dyDescent="0.25">
      <c r="A117978"/>
      <c r="B117978"/>
      <c r="C117978"/>
      <c r="E117978"/>
      <c r="F117978"/>
    </row>
    <row r="117979" spans="1:6" x14ac:dyDescent="0.25">
      <c r="A117979"/>
      <c r="B117979"/>
      <c r="C117979"/>
      <c r="E117979"/>
      <c r="F117979"/>
    </row>
    <row r="117980" spans="1:6" x14ac:dyDescent="0.25">
      <c r="A117980"/>
      <c r="B117980"/>
      <c r="C117980"/>
      <c r="E117980"/>
      <c r="F117980"/>
    </row>
    <row r="117981" spans="1:6" x14ac:dyDescent="0.25">
      <c r="A117981"/>
      <c r="B117981"/>
      <c r="C117981"/>
      <c r="E117981"/>
      <c r="F117981"/>
    </row>
    <row r="117982" spans="1:6" x14ac:dyDescent="0.25">
      <c r="A117982"/>
      <c r="B117982"/>
      <c r="C117982"/>
      <c r="E117982"/>
      <c r="F117982"/>
    </row>
    <row r="117983" spans="1:6" x14ac:dyDescent="0.25">
      <c r="A117983"/>
      <c r="B117983"/>
      <c r="C117983"/>
      <c r="E117983"/>
      <c r="F117983"/>
    </row>
    <row r="117984" spans="1:6" x14ac:dyDescent="0.25">
      <c r="A117984"/>
      <c r="B117984"/>
      <c r="C117984"/>
      <c r="E117984"/>
      <c r="F117984"/>
    </row>
    <row r="117985" spans="1:6" x14ac:dyDescent="0.25">
      <c r="A117985"/>
      <c r="B117985"/>
      <c r="C117985"/>
      <c r="E117985"/>
      <c r="F117985"/>
    </row>
    <row r="117986" spans="1:6" x14ac:dyDescent="0.25">
      <c r="A117986"/>
      <c r="B117986"/>
      <c r="C117986"/>
      <c r="E117986"/>
      <c r="F117986"/>
    </row>
    <row r="117987" spans="1:6" x14ac:dyDescent="0.25">
      <c r="A117987"/>
      <c r="B117987"/>
      <c r="C117987"/>
      <c r="E117987"/>
      <c r="F117987"/>
    </row>
    <row r="117988" spans="1:6" x14ac:dyDescent="0.25">
      <c r="A117988"/>
      <c r="B117988"/>
      <c r="C117988"/>
      <c r="E117988"/>
      <c r="F117988"/>
    </row>
    <row r="117989" spans="1:6" x14ac:dyDescent="0.25">
      <c r="A117989"/>
      <c r="B117989"/>
      <c r="C117989"/>
      <c r="E117989"/>
      <c r="F117989"/>
    </row>
    <row r="117990" spans="1:6" x14ac:dyDescent="0.25">
      <c r="A117990"/>
      <c r="B117990"/>
      <c r="C117990"/>
      <c r="E117990"/>
      <c r="F117990"/>
    </row>
    <row r="117991" spans="1:6" x14ac:dyDescent="0.25">
      <c r="A117991"/>
      <c r="B117991"/>
      <c r="C117991"/>
      <c r="E117991"/>
      <c r="F117991"/>
    </row>
    <row r="117992" spans="1:6" x14ac:dyDescent="0.25">
      <c r="A117992"/>
      <c r="B117992"/>
      <c r="C117992"/>
      <c r="E117992"/>
      <c r="F117992"/>
    </row>
    <row r="117993" spans="1:6" x14ac:dyDescent="0.25">
      <c r="A117993"/>
      <c r="B117993"/>
      <c r="C117993"/>
      <c r="E117993"/>
      <c r="F117993"/>
    </row>
    <row r="117994" spans="1:6" x14ac:dyDescent="0.25">
      <c r="A117994"/>
      <c r="B117994"/>
      <c r="C117994"/>
      <c r="E117994"/>
      <c r="F117994"/>
    </row>
    <row r="117995" spans="1:6" x14ac:dyDescent="0.25">
      <c r="A117995"/>
      <c r="B117995"/>
      <c r="C117995"/>
      <c r="E117995"/>
      <c r="F117995"/>
    </row>
    <row r="117996" spans="1:6" x14ac:dyDescent="0.25">
      <c r="A117996"/>
      <c r="B117996"/>
      <c r="C117996"/>
      <c r="E117996"/>
      <c r="F117996"/>
    </row>
    <row r="117997" spans="1:6" x14ac:dyDescent="0.25">
      <c r="A117997"/>
      <c r="B117997"/>
      <c r="C117997"/>
      <c r="E117997"/>
      <c r="F117997"/>
    </row>
    <row r="117998" spans="1:6" x14ac:dyDescent="0.25">
      <c r="A117998"/>
      <c r="B117998"/>
      <c r="C117998"/>
      <c r="E117998"/>
      <c r="F117998"/>
    </row>
    <row r="117999" spans="1:6" x14ac:dyDescent="0.25">
      <c r="A117999"/>
      <c r="B117999"/>
      <c r="C117999"/>
      <c r="E117999"/>
      <c r="F117999"/>
    </row>
    <row r="118000" spans="1:6" x14ac:dyDescent="0.25">
      <c r="A118000"/>
      <c r="B118000"/>
      <c r="C118000"/>
      <c r="E118000"/>
      <c r="F118000"/>
    </row>
    <row r="118001" spans="1:6" x14ac:dyDescent="0.25">
      <c r="A118001"/>
      <c r="B118001"/>
      <c r="C118001"/>
      <c r="E118001"/>
      <c r="F118001"/>
    </row>
    <row r="118002" spans="1:6" x14ac:dyDescent="0.25">
      <c r="A118002"/>
      <c r="B118002"/>
      <c r="C118002"/>
      <c r="E118002"/>
      <c r="F118002"/>
    </row>
    <row r="118003" spans="1:6" x14ac:dyDescent="0.25">
      <c r="A118003"/>
      <c r="B118003"/>
      <c r="C118003"/>
      <c r="E118003"/>
      <c r="F118003"/>
    </row>
    <row r="118004" spans="1:6" x14ac:dyDescent="0.25">
      <c r="A118004"/>
      <c r="B118004"/>
      <c r="C118004"/>
      <c r="E118004"/>
      <c r="F118004"/>
    </row>
    <row r="118005" spans="1:6" x14ac:dyDescent="0.25">
      <c r="A118005"/>
      <c r="B118005"/>
      <c r="C118005"/>
      <c r="E118005"/>
      <c r="F118005"/>
    </row>
    <row r="118006" spans="1:6" x14ac:dyDescent="0.25">
      <c r="A118006"/>
      <c r="B118006"/>
      <c r="C118006"/>
      <c r="E118006"/>
      <c r="F118006"/>
    </row>
    <row r="118007" spans="1:6" x14ac:dyDescent="0.25">
      <c r="A118007"/>
      <c r="B118007"/>
      <c r="C118007"/>
      <c r="E118007"/>
      <c r="F118007"/>
    </row>
    <row r="118008" spans="1:6" x14ac:dyDescent="0.25">
      <c r="A118008"/>
      <c r="B118008"/>
      <c r="C118008"/>
      <c r="E118008"/>
      <c r="F118008"/>
    </row>
    <row r="118009" spans="1:6" x14ac:dyDescent="0.25">
      <c r="A118009"/>
      <c r="B118009"/>
      <c r="C118009"/>
      <c r="E118009"/>
      <c r="F118009"/>
    </row>
    <row r="118010" spans="1:6" x14ac:dyDescent="0.25">
      <c r="A118010"/>
      <c r="B118010"/>
      <c r="C118010"/>
      <c r="E118010"/>
      <c r="F118010"/>
    </row>
    <row r="118011" spans="1:6" x14ac:dyDescent="0.25">
      <c r="A118011"/>
      <c r="B118011"/>
      <c r="C118011"/>
      <c r="E118011"/>
      <c r="F118011"/>
    </row>
    <row r="118012" spans="1:6" x14ac:dyDescent="0.25">
      <c r="A118012"/>
      <c r="B118012"/>
      <c r="C118012"/>
      <c r="E118012"/>
      <c r="F118012"/>
    </row>
    <row r="118013" spans="1:6" x14ac:dyDescent="0.25">
      <c r="A118013"/>
      <c r="B118013"/>
      <c r="C118013"/>
      <c r="E118013"/>
      <c r="F118013"/>
    </row>
    <row r="118014" spans="1:6" x14ac:dyDescent="0.25">
      <c r="A118014"/>
      <c r="B118014"/>
      <c r="C118014"/>
      <c r="E118014"/>
      <c r="F118014"/>
    </row>
    <row r="118015" spans="1:6" x14ac:dyDescent="0.25">
      <c r="A118015"/>
      <c r="B118015"/>
      <c r="C118015"/>
      <c r="E118015"/>
      <c r="F118015"/>
    </row>
    <row r="118016" spans="1:6" x14ac:dyDescent="0.25">
      <c r="A118016"/>
      <c r="B118016"/>
      <c r="C118016"/>
      <c r="E118016"/>
      <c r="F118016"/>
    </row>
    <row r="118017" spans="1:6" x14ac:dyDescent="0.25">
      <c r="A118017"/>
      <c r="B118017"/>
      <c r="C118017"/>
      <c r="E118017"/>
      <c r="F118017"/>
    </row>
    <row r="118018" spans="1:6" x14ac:dyDescent="0.25">
      <c r="A118018"/>
      <c r="B118018"/>
      <c r="C118018"/>
      <c r="E118018"/>
      <c r="F118018"/>
    </row>
    <row r="118019" spans="1:6" x14ac:dyDescent="0.25">
      <c r="A118019"/>
      <c r="B118019"/>
      <c r="C118019"/>
      <c r="E118019"/>
      <c r="F118019"/>
    </row>
    <row r="118020" spans="1:6" x14ac:dyDescent="0.25">
      <c r="A118020"/>
      <c r="B118020"/>
      <c r="C118020"/>
      <c r="E118020"/>
      <c r="F118020"/>
    </row>
    <row r="118021" spans="1:6" x14ac:dyDescent="0.25">
      <c r="A118021"/>
      <c r="B118021"/>
      <c r="C118021"/>
      <c r="E118021"/>
      <c r="F118021"/>
    </row>
    <row r="118022" spans="1:6" x14ac:dyDescent="0.25">
      <c r="A118022"/>
      <c r="B118022"/>
      <c r="C118022"/>
      <c r="E118022"/>
      <c r="F118022"/>
    </row>
    <row r="118023" spans="1:6" x14ac:dyDescent="0.25">
      <c r="A118023"/>
      <c r="B118023"/>
      <c r="C118023"/>
      <c r="E118023"/>
      <c r="F118023"/>
    </row>
    <row r="118024" spans="1:6" x14ac:dyDescent="0.25">
      <c r="A118024"/>
      <c r="B118024"/>
      <c r="C118024"/>
      <c r="E118024"/>
      <c r="F118024"/>
    </row>
    <row r="118025" spans="1:6" x14ac:dyDescent="0.25">
      <c r="A118025"/>
      <c r="B118025"/>
      <c r="C118025"/>
      <c r="E118025"/>
      <c r="F118025"/>
    </row>
    <row r="118026" spans="1:6" x14ac:dyDescent="0.25">
      <c r="A118026"/>
      <c r="B118026"/>
      <c r="C118026"/>
      <c r="E118026"/>
      <c r="F118026"/>
    </row>
    <row r="118027" spans="1:6" x14ac:dyDescent="0.25">
      <c r="A118027"/>
      <c r="B118027"/>
      <c r="C118027"/>
      <c r="E118027"/>
      <c r="F118027"/>
    </row>
    <row r="118028" spans="1:6" x14ac:dyDescent="0.25">
      <c r="A118028"/>
      <c r="B118028"/>
      <c r="C118028"/>
      <c r="E118028"/>
      <c r="F118028"/>
    </row>
    <row r="118029" spans="1:6" x14ac:dyDescent="0.25">
      <c r="A118029"/>
      <c r="B118029"/>
      <c r="C118029"/>
      <c r="E118029"/>
      <c r="F118029"/>
    </row>
    <row r="118030" spans="1:6" x14ac:dyDescent="0.25">
      <c r="A118030"/>
      <c r="B118030"/>
      <c r="C118030"/>
      <c r="E118030"/>
      <c r="F118030"/>
    </row>
    <row r="118031" spans="1:6" x14ac:dyDescent="0.25">
      <c r="A118031"/>
      <c r="B118031"/>
      <c r="C118031"/>
      <c r="E118031"/>
      <c r="F118031"/>
    </row>
    <row r="118032" spans="1:6" x14ac:dyDescent="0.25">
      <c r="A118032"/>
      <c r="B118032"/>
      <c r="C118032"/>
      <c r="E118032"/>
      <c r="F118032"/>
    </row>
    <row r="118033" spans="1:6" x14ac:dyDescent="0.25">
      <c r="A118033"/>
      <c r="B118033"/>
      <c r="C118033"/>
      <c r="E118033"/>
      <c r="F118033"/>
    </row>
    <row r="118034" spans="1:6" x14ac:dyDescent="0.25">
      <c r="A118034"/>
      <c r="B118034"/>
      <c r="C118034"/>
      <c r="E118034"/>
      <c r="F118034"/>
    </row>
    <row r="118035" spans="1:6" x14ac:dyDescent="0.25">
      <c r="A118035"/>
      <c r="B118035"/>
      <c r="C118035"/>
      <c r="E118035"/>
      <c r="F118035"/>
    </row>
    <row r="118036" spans="1:6" x14ac:dyDescent="0.25">
      <c r="A118036"/>
      <c r="B118036"/>
      <c r="C118036"/>
      <c r="E118036"/>
      <c r="F118036"/>
    </row>
    <row r="118037" spans="1:6" x14ac:dyDescent="0.25">
      <c r="A118037"/>
      <c r="B118037"/>
      <c r="C118037"/>
      <c r="E118037"/>
      <c r="F118037"/>
    </row>
    <row r="118038" spans="1:6" x14ac:dyDescent="0.25">
      <c r="A118038"/>
      <c r="B118038"/>
      <c r="C118038"/>
      <c r="E118038"/>
      <c r="F118038"/>
    </row>
    <row r="118039" spans="1:6" x14ac:dyDescent="0.25">
      <c r="A118039"/>
      <c r="B118039"/>
      <c r="C118039"/>
      <c r="E118039"/>
      <c r="F118039"/>
    </row>
    <row r="118040" spans="1:6" x14ac:dyDescent="0.25">
      <c r="A118040"/>
      <c r="B118040"/>
      <c r="C118040"/>
      <c r="E118040"/>
      <c r="F118040"/>
    </row>
    <row r="118041" spans="1:6" x14ac:dyDescent="0.25">
      <c r="A118041"/>
      <c r="B118041"/>
      <c r="C118041"/>
      <c r="E118041"/>
      <c r="F118041"/>
    </row>
    <row r="118042" spans="1:6" x14ac:dyDescent="0.25">
      <c r="A118042"/>
      <c r="B118042"/>
      <c r="C118042"/>
      <c r="E118042"/>
      <c r="F118042"/>
    </row>
    <row r="118043" spans="1:6" x14ac:dyDescent="0.25">
      <c r="A118043"/>
      <c r="B118043"/>
      <c r="C118043"/>
      <c r="E118043"/>
      <c r="F118043"/>
    </row>
    <row r="118044" spans="1:6" x14ac:dyDescent="0.25">
      <c r="A118044"/>
      <c r="B118044"/>
      <c r="C118044"/>
      <c r="E118044"/>
      <c r="F118044"/>
    </row>
    <row r="118045" spans="1:6" x14ac:dyDescent="0.25">
      <c r="A118045"/>
      <c r="B118045"/>
      <c r="C118045"/>
      <c r="E118045"/>
      <c r="F118045"/>
    </row>
    <row r="118046" spans="1:6" x14ac:dyDescent="0.25">
      <c r="A118046"/>
      <c r="B118046"/>
      <c r="C118046"/>
      <c r="E118046"/>
      <c r="F118046"/>
    </row>
    <row r="118047" spans="1:6" x14ac:dyDescent="0.25">
      <c r="A118047"/>
      <c r="B118047"/>
      <c r="C118047"/>
      <c r="E118047"/>
      <c r="F118047"/>
    </row>
    <row r="118048" spans="1:6" x14ac:dyDescent="0.25">
      <c r="A118048"/>
      <c r="B118048"/>
      <c r="C118048"/>
      <c r="E118048"/>
      <c r="F118048"/>
    </row>
    <row r="118049" spans="1:6" x14ac:dyDescent="0.25">
      <c r="A118049"/>
      <c r="B118049"/>
      <c r="C118049"/>
      <c r="E118049"/>
      <c r="F118049"/>
    </row>
    <row r="118050" spans="1:6" x14ac:dyDescent="0.25">
      <c r="A118050"/>
      <c r="B118050"/>
      <c r="C118050"/>
      <c r="E118050"/>
      <c r="F118050"/>
    </row>
    <row r="118051" spans="1:6" x14ac:dyDescent="0.25">
      <c r="A118051"/>
      <c r="B118051"/>
      <c r="C118051"/>
      <c r="E118051"/>
      <c r="F118051"/>
    </row>
    <row r="118052" spans="1:6" x14ac:dyDescent="0.25">
      <c r="A118052"/>
      <c r="B118052"/>
      <c r="C118052"/>
      <c r="E118052"/>
      <c r="F118052"/>
    </row>
    <row r="118053" spans="1:6" x14ac:dyDescent="0.25">
      <c r="A118053"/>
      <c r="B118053"/>
      <c r="C118053"/>
      <c r="E118053"/>
      <c r="F118053"/>
    </row>
    <row r="118054" spans="1:6" x14ac:dyDescent="0.25">
      <c r="A118054"/>
      <c r="B118054"/>
      <c r="C118054"/>
      <c r="E118054"/>
      <c r="F118054"/>
    </row>
    <row r="118055" spans="1:6" x14ac:dyDescent="0.25">
      <c r="A118055"/>
      <c r="B118055"/>
      <c r="C118055"/>
      <c r="E118055"/>
      <c r="F118055"/>
    </row>
    <row r="118056" spans="1:6" x14ac:dyDescent="0.25">
      <c r="A118056"/>
      <c r="B118056"/>
      <c r="C118056"/>
      <c r="E118056"/>
      <c r="F118056"/>
    </row>
    <row r="118057" spans="1:6" x14ac:dyDescent="0.25">
      <c r="A118057"/>
      <c r="B118057"/>
      <c r="C118057"/>
      <c r="E118057"/>
      <c r="F118057"/>
    </row>
    <row r="118058" spans="1:6" x14ac:dyDescent="0.25">
      <c r="A118058"/>
      <c r="B118058"/>
      <c r="C118058"/>
      <c r="E118058"/>
      <c r="F118058"/>
    </row>
    <row r="118059" spans="1:6" x14ac:dyDescent="0.25">
      <c r="A118059"/>
      <c r="B118059"/>
      <c r="C118059"/>
      <c r="E118059"/>
      <c r="F118059"/>
    </row>
    <row r="118060" spans="1:6" x14ac:dyDescent="0.25">
      <c r="A118060"/>
      <c r="B118060"/>
      <c r="C118060"/>
      <c r="E118060"/>
      <c r="F118060"/>
    </row>
    <row r="118061" spans="1:6" x14ac:dyDescent="0.25">
      <c r="A118061"/>
      <c r="B118061"/>
      <c r="C118061"/>
      <c r="E118061"/>
      <c r="F118061"/>
    </row>
    <row r="118062" spans="1:6" x14ac:dyDescent="0.25">
      <c r="A118062"/>
      <c r="B118062"/>
      <c r="C118062"/>
      <c r="E118062"/>
      <c r="F118062"/>
    </row>
    <row r="118063" spans="1:6" x14ac:dyDescent="0.25">
      <c r="A118063"/>
      <c r="B118063"/>
      <c r="C118063"/>
      <c r="E118063"/>
      <c r="F118063"/>
    </row>
    <row r="118064" spans="1:6" x14ac:dyDescent="0.25">
      <c r="A118064"/>
      <c r="B118064"/>
      <c r="C118064"/>
      <c r="E118064"/>
      <c r="F118064"/>
    </row>
    <row r="118065" spans="1:6" x14ac:dyDescent="0.25">
      <c r="A118065"/>
      <c r="B118065"/>
      <c r="C118065"/>
      <c r="E118065"/>
      <c r="F118065"/>
    </row>
    <row r="118066" spans="1:6" x14ac:dyDescent="0.25">
      <c r="A118066"/>
      <c r="B118066"/>
      <c r="C118066"/>
      <c r="E118066"/>
      <c r="F118066"/>
    </row>
    <row r="118067" spans="1:6" x14ac:dyDescent="0.25">
      <c r="A118067"/>
      <c r="B118067"/>
      <c r="C118067"/>
      <c r="E118067"/>
      <c r="F118067"/>
    </row>
    <row r="118068" spans="1:6" x14ac:dyDescent="0.25">
      <c r="A118068"/>
      <c r="B118068"/>
      <c r="C118068"/>
      <c r="E118068"/>
      <c r="F118068"/>
    </row>
    <row r="118069" spans="1:6" x14ac:dyDescent="0.25">
      <c r="A118069"/>
      <c r="B118069"/>
      <c r="C118069"/>
      <c r="E118069"/>
      <c r="F118069"/>
    </row>
    <row r="118070" spans="1:6" x14ac:dyDescent="0.25">
      <c r="A118070"/>
      <c r="B118070"/>
      <c r="C118070"/>
      <c r="E118070"/>
      <c r="F118070"/>
    </row>
    <row r="118071" spans="1:6" x14ac:dyDescent="0.25">
      <c r="A118071"/>
      <c r="B118071"/>
      <c r="C118071"/>
      <c r="E118071"/>
      <c r="F118071"/>
    </row>
    <row r="118072" spans="1:6" x14ac:dyDescent="0.25">
      <c r="A118072"/>
      <c r="B118072"/>
      <c r="C118072"/>
      <c r="E118072"/>
      <c r="F118072"/>
    </row>
    <row r="118073" spans="1:6" x14ac:dyDescent="0.25">
      <c r="A118073"/>
      <c r="B118073"/>
      <c r="C118073"/>
      <c r="E118073"/>
      <c r="F118073"/>
    </row>
    <row r="118074" spans="1:6" x14ac:dyDescent="0.25">
      <c r="A118074"/>
      <c r="B118074"/>
      <c r="C118074"/>
      <c r="E118074"/>
      <c r="F118074"/>
    </row>
    <row r="118075" spans="1:6" x14ac:dyDescent="0.25">
      <c r="A118075"/>
      <c r="B118075"/>
      <c r="C118075"/>
      <c r="E118075"/>
      <c r="F118075"/>
    </row>
    <row r="118076" spans="1:6" x14ac:dyDescent="0.25">
      <c r="A118076"/>
      <c r="B118076"/>
      <c r="C118076"/>
      <c r="E118076"/>
      <c r="F118076"/>
    </row>
    <row r="118077" spans="1:6" x14ac:dyDescent="0.25">
      <c r="A118077"/>
      <c r="B118077"/>
      <c r="C118077"/>
      <c r="E118077"/>
      <c r="F118077"/>
    </row>
    <row r="118078" spans="1:6" x14ac:dyDescent="0.25">
      <c r="A118078"/>
      <c r="B118078"/>
      <c r="C118078"/>
      <c r="E118078"/>
      <c r="F118078"/>
    </row>
    <row r="118079" spans="1:6" x14ac:dyDescent="0.25">
      <c r="A118079"/>
      <c r="B118079"/>
      <c r="C118079"/>
      <c r="E118079"/>
      <c r="F118079"/>
    </row>
    <row r="118080" spans="1:6" x14ac:dyDescent="0.25">
      <c r="A118080"/>
      <c r="B118080"/>
      <c r="C118080"/>
      <c r="E118080"/>
      <c r="F118080"/>
    </row>
    <row r="118081" spans="1:6" x14ac:dyDescent="0.25">
      <c r="A118081"/>
      <c r="B118081"/>
      <c r="C118081"/>
      <c r="E118081"/>
      <c r="F118081"/>
    </row>
    <row r="118082" spans="1:6" x14ac:dyDescent="0.25">
      <c r="A118082"/>
      <c r="B118082"/>
      <c r="C118082"/>
      <c r="E118082"/>
      <c r="F118082"/>
    </row>
    <row r="118083" spans="1:6" x14ac:dyDescent="0.25">
      <c r="A118083"/>
      <c r="B118083"/>
      <c r="C118083"/>
      <c r="E118083"/>
      <c r="F118083"/>
    </row>
    <row r="118084" spans="1:6" x14ac:dyDescent="0.25">
      <c r="A118084"/>
      <c r="B118084"/>
      <c r="C118084"/>
      <c r="E118084"/>
      <c r="F118084"/>
    </row>
    <row r="118085" spans="1:6" x14ac:dyDescent="0.25">
      <c r="A118085"/>
      <c r="B118085"/>
      <c r="C118085"/>
      <c r="E118085"/>
      <c r="F118085"/>
    </row>
    <row r="118086" spans="1:6" x14ac:dyDescent="0.25">
      <c r="A118086"/>
      <c r="B118086"/>
      <c r="C118086"/>
      <c r="E118086"/>
      <c r="F118086"/>
    </row>
    <row r="118087" spans="1:6" x14ac:dyDescent="0.25">
      <c r="A118087"/>
      <c r="B118087"/>
      <c r="C118087"/>
      <c r="E118087"/>
      <c r="F118087"/>
    </row>
    <row r="118088" spans="1:6" x14ac:dyDescent="0.25">
      <c r="A118088"/>
      <c r="B118088"/>
      <c r="C118088"/>
      <c r="E118088"/>
      <c r="F118088"/>
    </row>
    <row r="118089" spans="1:6" x14ac:dyDescent="0.25">
      <c r="A118089"/>
      <c r="B118089"/>
      <c r="C118089"/>
      <c r="E118089"/>
      <c r="F118089"/>
    </row>
    <row r="118090" spans="1:6" x14ac:dyDescent="0.25">
      <c r="A118090"/>
      <c r="B118090"/>
      <c r="C118090"/>
      <c r="E118090"/>
      <c r="F118090"/>
    </row>
    <row r="118091" spans="1:6" x14ac:dyDescent="0.25">
      <c r="A118091"/>
      <c r="B118091"/>
      <c r="C118091"/>
      <c r="E118091"/>
      <c r="F118091"/>
    </row>
    <row r="118092" spans="1:6" x14ac:dyDescent="0.25">
      <c r="A118092"/>
      <c r="B118092"/>
      <c r="C118092"/>
      <c r="E118092"/>
      <c r="F118092"/>
    </row>
    <row r="118093" spans="1:6" x14ac:dyDescent="0.25">
      <c r="A118093"/>
      <c r="B118093"/>
      <c r="C118093"/>
      <c r="E118093"/>
      <c r="F118093"/>
    </row>
    <row r="118094" spans="1:6" x14ac:dyDescent="0.25">
      <c r="A118094"/>
      <c r="B118094"/>
      <c r="C118094"/>
      <c r="E118094"/>
      <c r="F118094"/>
    </row>
    <row r="118095" spans="1:6" x14ac:dyDescent="0.25">
      <c r="A118095"/>
      <c r="B118095"/>
      <c r="C118095"/>
      <c r="E118095"/>
      <c r="F118095"/>
    </row>
    <row r="118096" spans="1:6" x14ac:dyDescent="0.25">
      <c r="A118096"/>
      <c r="B118096"/>
      <c r="C118096"/>
      <c r="E118096"/>
      <c r="F118096"/>
    </row>
    <row r="118097" spans="1:6" x14ac:dyDescent="0.25">
      <c r="A118097"/>
      <c r="B118097"/>
      <c r="C118097"/>
      <c r="E118097"/>
      <c r="F118097"/>
    </row>
    <row r="118098" spans="1:6" x14ac:dyDescent="0.25">
      <c r="A118098"/>
      <c r="B118098"/>
      <c r="C118098"/>
      <c r="E118098"/>
      <c r="F118098"/>
    </row>
    <row r="118099" spans="1:6" x14ac:dyDescent="0.25">
      <c r="A118099"/>
      <c r="B118099"/>
      <c r="C118099"/>
      <c r="E118099"/>
      <c r="F118099"/>
    </row>
    <row r="118100" spans="1:6" x14ac:dyDescent="0.25">
      <c r="A118100"/>
      <c r="B118100"/>
      <c r="C118100"/>
      <c r="E118100"/>
      <c r="F118100"/>
    </row>
    <row r="118101" spans="1:6" x14ac:dyDescent="0.25">
      <c r="A118101"/>
      <c r="B118101"/>
      <c r="C118101"/>
      <c r="E118101"/>
      <c r="F118101"/>
    </row>
    <row r="118102" spans="1:6" x14ac:dyDescent="0.25">
      <c r="A118102"/>
      <c r="B118102"/>
      <c r="C118102"/>
      <c r="E118102"/>
      <c r="F118102"/>
    </row>
    <row r="118103" spans="1:6" x14ac:dyDescent="0.25">
      <c r="A118103"/>
      <c r="B118103"/>
      <c r="C118103"/>
      <c r="E118103"/>
      <c r="F118103"/>
    </row>
    <row r="118104" spans="1:6" x14ac:dyDescent="0.25">
      <c r="A118104"/>
      <c r="B118104"/>
      <c r="C118104"/>
      <c r="E118104"/>
      <c r="F118104"/>
    </row>
    <row r="118105" spans="1:6" x14ac:dyDescent="0.25">
      <c r="A118105"/>
      <c r="B118105"/>
      <c r="C118105"/>
      <c r="E118105"/>
      <c r="F118105"/>
    </row>
    <row r="118106" spans="1:6" x14ac:dyDescent="0.25">
      <c r="A118106"/>
      <c r="B118106"/>
      <c r="C118106"/>
      <c r="E118106"/>
      <c r="F118106"/>
    </row>
    <row r="118107" spans="1:6" x14ac:dyDescent="0.25">
      <c r="A118107"/>
      <c r="B118107"/>
      <c r="C118107"/>
      <c r="E118107"/>
      <c r="F118107"/>
    </row>
    <row r="118108" spans="1:6" x14ac:dyDescent="0.25">
      <c r="A118108"/>
      <c r="B118108"/>
      <c r="C118108"/>
      <c r="E118108"/>
      <c r="F118108"/>
    </row>
    <row r="118109" spans="1:6" x14ac:dyDescent="0.25">
      <c r="A118109"/>
      <c r="B118109"/>
      <c r="C118109"/>
      <c r="E118109"/>
      <c r="F118109"/>
    </row>
    <row r="118110" spans="1:6" x14ac:dyDescent="0.25">
      <c r="A118110"/>
      <c r="B118110"/>
      <c r="C118110"/>
      <c r="E118110"/>
      <c r="F118110"/>
    </row>
    <row r="118111" spans="1:6" x14ac:dyDescent="0.25">
      <c r="A118111"/>
      <c r="B118111"/>
      <c r="C118111"/>
      <c r="E118111"/>
      <c r="F118111"/>
    </row>
    <row r="118112" spans="1:6" x14ac:dyDescent="0.25">
      <c r="A118112"/>
      <c r="B118112"/>
      <c r="C118112"/>
      <c r="E118112"/>
      <c r="F118112"/>
    </row>
    <row r="118113" spans="1:6" x14ac:dyDescent="0.25">
      <c r="A118113"/>
      <c r="B118113"/>
      <c r="C118113"/>
      <c r="E118113"/>
      <c r="F118113"/>
    </row>
    <row r="118114" spans="1:6" x14ac:dyDescent="0.25">
      <c r="A118114"/>
      <c r="B118114"/>
      <c r="C118114"/>
      <c r="E118114"/>
      <c r="F118114"/>
    </row>
    <row r="118115" spans="1:6" x14ac:dyDescent="0.25">
      <c r="A118115"/>
      <c r="B118115"/>
      <c r="C118115"/>
      <c r="E118115"/>
      <c r="F118115"/>
    </row>
    <row r="118116" spans="1:6" x14ac:dyDescent="0.25">
      <c r="A118116"/>
      <c r="B118116"/>
      <c r="C118116"/>
      <c r="E118116"/>
      <c r="F118116"/>
    </row>
    <row r="118117" spans="1:6" x14ac:dyDescent="0.25">
      <c r="A118117"/>
      <c r="B118117"/>
      <c r="C118117"/>
      <c r="E118117"/>
      <c r="F118117"/>
    </row>
    <row r="118118" spans="1:6" x14ac:dyDescent="0.25">
      <c r="A118118"/>
      <c r="B118118"/>
      <c r="C118118"/>
      <c r="E118118"/>
      <c r="F118118"/>
    </row>
    <row r="118119" spans="1:6" x14ac:dyDescent="0.25">
      <c r="A118119"/>
      <c r="B118119"/>
      <c r="C118119"/>
      <c r="E118119"/>
      <c r="F118119"/>
    </row>
    <row r="118120" spans="1:6" x14ac:dyDescent="0.25">
      <c r="A118120"/>
      <c r="B118120"/>
      <c r="C118120"/>
      <c r="E118120"/>
      <c r="F118120"/>
    </row>
    <row r="118121" spans="1:6" x14ac:dyDescent="0.25">
      <c r="A118121"/>
      <c r="B118121"/>
      <c r="C118121"/>
      <c r="E118121"/>
      <c r="F118121"/>
    </row>
    <row r="118122" spans="1:6" x14ac:dyDescent="0.25">
      <c r="A118122"/>
      <c r="B118122"/>
      <c r="C118122"/>
      <c r="E118122"/>
      <c r="F118122"/>
    </row>
    <row r="118123" spans="1:6" x14ac:dyDescent="0.25">
      <c r="A118123"/>
      <c r="B118123"/>
      <c r="C118123"/>
      <c r="E118123"/>
      <c r="F118123"/>
    </row>
    <row r="118124" spans="1:6" x14ac:dyDescent="0.25">
      <c r="A118124"/>
      <c r="B118124"/>
      <c r="C118124"/>
      <c r="E118124"/>
      <c r="F118124"/>
    </row>
    <row r="118125" spans="1:6" x14ac:dyDescent="0.25">
      <c r="A118125"/>
      <c r="B118125"/>
      <c r="C118125"/>
      <c r="E118125"/>
      <c r="F118125"/>
    </row>
    <row r="118126" spans="1:6" x14ac:dyDescent="0.25">
      <c r="A118126"/>
      <c r="B118126"/>
      <c r="C118126"/>
      <c r="E118126"/>
      <c r="F118126"/>
    </row>
    <row r="118127" spans="1:6" x14ac:dyDescent="0.25">
      <c r="A118127"/>
      <c r="B118127"/>
      <c r="C118127"/>
      <c r="E118127"/>
      <c r="F118127"/>
    </row>
    <row r="118128" spans="1:6" x14ac:dyDescent="0.25">
      <c r="A118128"/>
      <c r="B118128"/>
      <c r="C118128"/>
      <c r="E118128"/>
      <c r="F118128"/>
    </row>
    <row r="118129" spans="1:6" x14ac:dyDescent="0.25">
      <c r="A118129"/>
      <c r="B118129"/>
      <c r="C118129"/>
      <c r="E118129"/>
      <c r="F118129"/>
    </row>
    <row r="118130" spans="1:6" x14ac:dyDescent="0.25">
      <c r="A118130"/>
      <c r="B118130"/>
      <c r="C118130"/>
      <c r="E118130"/>
      <c r="F118130"/>
    </row>
    <row r="118131" spans="1:6" x14ac:dyDescent="0.25">
      <c r="A118131"/>
      <c r="B118131"/>
      <c r="C118131"/>
      <c r="E118131"/>
      <c r="F118131"/>
    </row>
    <row r="118132" spans="1:6" x14ac:dyDescent="0.25">
      <c r="A118132"/>
      <c r="B118132"/>
      <c r="C118132"/>
      <c r="E118132"/>
      <c r="F118132"/>
    </row>
    <row r="118133" spans="1:6" x14ac:dyDescent="0.25">
      <c r="A118133"/>
      <c r="B118133"/>
      <c r="C118133"/>
      <c r="E118133"/>
      <c r="F118133"/>
    </row>
    <row r="118134" spans="1:6" x14ac:dyDescent="0.25">
      <c r="A118134"/>
      <c r="B118134"/>
      <c r="C118134"/>
      <c r="E118134"/>
      <c r="F118134"/>
    </row>
    <row r="118135" spans="1:6" x14ac:dyDescent="0.25">
      <c r="A118135"/>
      <c r="B118135"/>
      <c r="C118135"/>
      <c r="E118135"/>
      <c r="F118135"/>
    </row>
    <row r="118136" spans="1:6" x14ac:dyDescent="0.25">
      <c r="A118136"/>
      <c r="B118136"/>
      <c r="C118136"/>
      <c r="E118136"/>
      <c r="F118136"/>
    </row>
    <row r="118137" spans="1:6" x14ac:dyDescent="0.25">
      <c r="A118137"/>
      <c r="B118137"/>
      <c r="C118137"/>
      <c r="E118137"/>
      <c r="F118137"/>
    </row>
    <row r="118138" spans="1:6" x14ac:dyDescent="0.25">
      <c r="A118138"/>
      <c r="B118138"/>
      <c r="C118138"/>
      <c r="E118138"/>
      <c r="F118138"/>
    </row>
    <row r="118139" spans="1:6" x14ac:dyDescent="0.25">
      <c r="A118139"/>
      <c r="B118139"/>
      <c r="C118139"/>
      <c r="E118139"/>
      <c r="F118139"/>
    </row>
    <row r="118140" spans="1:6" x14ac:dyDescent="0.25">
      <c r="A118140"/>
      <c r="B118140"/>
      <c r="C118140"/>
      <c r="E118140"/>
      <c r="F118140"/>
    </row>
    <row r="118141" spans="1:6" x14ac:dyDescent="0.25">
      <c r="A118141"/>
      <c r="B118141"/>
      <c r="C118141"/>
      <c r="E118141"/>
      <c r="F118141"/>
    </row>
    <row r="118142" spans="1:6" x14ac:dyDescent="0.25">
      <c r="A118142"/>
      <c r="B118142"/>
      <c r="C118142"/>
      <c r="E118142"/>
      <c r="F118142"/>
    </row>
    <row r="118143" spans="1:6" x14ac:dyDescent="0.25">
      <c r="A118143"/>
      <c r="B118143"/>
      <c r="C118143"/>
      <c r="E118143"/>
      <c r="F118143"/>
    </row>
    <row r="118144" spans="1:6" x14ac:dyDescent="0.25">
      <c r="A118144"/>
      <c r="B118144"/>
      <c r="C118144"/>
      <c r="E118144"/>
      <c r="F118144"/>
    </row>
    <row r="118145" spans="1:6" x14ac:dyDescent="0.25">
      <c r="A118145"/>
      <c r="B118145"/>
      <c r="C118145"/>
      <c r="E118145"/>
      <c r="F118145"/>
    </row>
    <row r="118146" spans="1:6" x14ac:dyDescent="0.25">
      <c r="A118146"/>
      <c r="B118146"/>
      <c r="C118146"/>
      <c r="E118146"/>
      <c r="F118146"/>
    </row>
    <row r="118147" spans="1:6" x14ac:dyDescent="0.25">
      <c r="A118147"/>
      <c r="B118147"/>
      <c r="C118147"/>
      <c r="E118147"/>
      <c r="F118147"/>
    </row>
    <row r="118148" spans="1:6" x14ac:dyDescent="0.25">
      <c r="A118148"/>
      <c r="B118148"/>
      <c r="C118148"/>
      <c r="E118148"/>
      <c r="F118148"/>
    </row>
    <row r="118149" spans="1:6" x14ac:dyDescent="0.25">
      <c r="A118149"/>
      <c r="B118149"/>
      <c r="C118149"/>
      <c r="E118149"/>
      <c r="F118149"/>
    </row>
    <row r="118150" spans="1:6" x14ac:dyDescent="0.25">
      <c r="A118150"/>
      <c r="B118150"/>
      <c r="C118150"/>
      <c r="E118150"/>
      <c r="F118150"/>
    </row>
    <row r="118151" spans="1:6" x14ac:dyDescent="0.25">
      <c r="A118151"/>
      <c r="B118151"/>
      <c r="C118151"/>
      <c r="E118151"/>
      <c r="F118151"/>
    </row>
    <row r="118152" spans="1:6" x14ac:dyDescent="0.25">
      <c r="A118152"/>
      <c r="B118152"/>
      <c r="C118152"/>
      <c r="E118152"/>
      <c r="F118152"/>
    </row>
    <row r="118153" spans="1:6" x14ac:dyDescent="0.25">
      <c r="A118153"/>
      <c r="B118153"/>
      <c r="C118153"/>
      <c r="E118153"/>
      <c r="F118153"/>
    </row>
    <row r="118154" spans="1:6" x14ac:dyDescent="0.25">
      <c r="A118154"/>
      <c r="B118154"/>
      <c r="C118154"/>
      <c r="E118154"/>
      <c r="F118154"/>
    </row>
    <row r="118155" spans="1:6" x14ac:dyDescent="0.25">
      <c r="A118155"/>
      <c r="B118155"/>
      <c r="C118155"/>
      <c r="E118155"/>
      <c r="F118155"/>
    </row>
    <row r="118156" spans="1:6" x14ac:dyDescent="0.25">
      <c r="A118156"/>
      <c r="B118156"/>
      <c r="C118156"/>
      <c r="E118156"/>
      <c r="F118156"/>
    </row>
    <row r="118157" spans="1:6" x14ac:dyDescent="0.25">
      <c r="A118157"/>
      <c r="B118157"/>
      <c r="C118157"/>
      <c r="E118157"/>
      <c r="F118157"/>
    </row>
    <row r="118158" spans="1:6" x14ac:dyDescent="0.25">
      <c r="A118158"/>
      <c r="B118158"/>
      <c r="C118158"/>
      <c r="E118158"/>
      <c r="F118158"/>
    </row>
    <row r="118159" spans="1:6" x14ac:dyDescent="0.25">
      <c r="A118159"/>
      <c r="B118159"/>
      <c r="C118159"/>
      <c r="E118159"/>
      <c r="F118159"/>
    </row>
    <row r="118160" spans="1:6" x14ac:dyDescent="0.25">
      <c r="A118160"/>
      <c r="B118160"/>
      <c r="C118160"/>
      <c r="E118160"/>
      <c r="F118160"/>
    </row>
    <row r="118161" spans="1:6" x14ac:dyDescent="0.25">
      <c r="A118161"/>
      <c r="B118161"/>
      <c r="C118161"/>
      <c r="E118161"/>
      <c r="F118161"/>
    </row>
    <row r="118162" spans="1:6" x14ac:dyDescent="0.25">
      <c r="A118162"/>
      <c r="B118162"/>
      <c r="C118162"/>
      <c r="E118162"/>
      <c r="F118162"/>
    </row>
    <row r="118163" spans="1:6" x14ac:dyDescent="0.25">
      <c r="A118163"/>
      <c r="B118163"/>
      <c r="C118163"/>
      <c r="E118163"/>
      <c r="F118163"/>
    </row>
    <row r="118164" spans="1:6" x14ac:dyDescent="0.25">
      <c r="A118164"/>
      <c r="B118164"/>
      <c r="C118164"/>
      <c r="E118164"/>
      <c r="F118164"/>
    </row>
    <row r="118165" spans="1:6" x14ac:dyDescent="0.25">
      <c r="A118165"/>
      <c r="B118165"/>
      <c r="C118165"/>
      <c r="E118165"/>
      <c r="F118165"/>
    </row>
    <row r="118166" spans="1:6" x14ac:dyDescent="0.25">
      <c r="A118166"/>
      <c r="B118166"/>
      <c r="C118166"/>
      <c r="E118166"/>
      <c r="F118166"/>
    </row>
    <row r="118167" spans="1:6" x14ac:dyDescent="0.25">
      <c r="A118167"/>
      <c r="B118167"/>
      <c r="C118167"/>
      <c r="E118167"/>
      <c r="F118167"/>
    </row>
    <row r="118168" spans="1:6" x14ac:dyDescent="0.25">
      <c r="A118168"/>
      <c r="B118168"/>
      <c r="C118168"/>
      <c r="E118168"/>
      <c r="F118168"/>
    </row>
    <row r="118169" spans="1:6" x14ac:dyDescent="0.25">
      <c r="A118169"/>
      <c r="B118169"/>
      <c r="C118169"/>
      <c r="E118169"/>
      <c r="F118169"/>
    </row>
    <row r="118170" spans="1:6" x14ac:dyDescent="0.25">
      <c r="A118170"/>
      <c r="B118170"/>
      <c r="C118170"/>
      <c r="E118170"/>
      <c r="F118170"/>
    </row>
    <row r="118171" spans="1:6" x14ac:dyDescent="0.25">
      <c r="A118171"/>
      <c r="B118171"/>
      <c r="C118171"/>
      <c r="E118171"/>
      <c r="F118171"/>
    </row>
    <row r="118172" spans="1:6" x14ac:dyDescent="0.25">
      <c r="A118172"/>
      <c r="B118172"/>
      <c r="C118172"/>
      <c r="E118172"/>
      <c r="F118172"/>
    </row>
    <row r="118173" spans="1:6" x14ac:dyDescent="0.25">
      <c r="A118173"/>
      <c r="B118173"/>
      <c r="C118173"/>
      <c r="E118173"/>
      <c r="F118173"/>
    </row>
    <row r="118174" spans="1:6" x14ac:dyDescent="0.25">
      <c r="A118174"/>
      <c r="B118174"/>
      <c r="C118174"/>
      <c r="E118174"/>
      <c r="F118174"/>
    </row>
    <row r="118175" spans="1:6" x14ac:dyDescent="0.25">
      <c r="A118175"/>
      <c r="B118175"/>
      <c r="C118175"/>
      <c r="E118175"/>
      <c r="F118175"/>
    </row>
    <row r="118176" spans="1:6" x14ac:dyDescent="0.25">
      <c r="A118176"/>
      <c r="B118176"/>
      <c r="C118176"/>
      <c r="E118176"/>
      <c r="F118176"/>
    </row>
    <row r="118177" spans="1:6" x14ac:dyDescent="0.25">
      <c r="A118177"/>
      <c r="B118177"/>
      <c r="C118177"/>
      <c r="E118177"/>
      <c r="F118177"/>
    </row>
    <row r="118178" spans="1:6" x14ac:dyDescent="0.25">
      <c r="A118178"/>
      <c r="B118178"/>
      <c r="C118178"/>
      <c r="E118178"/>
      <c r="F118178"/>
    </row>
    <row r="118179" spans="1:6" x14ac:dyDescent="0.25">
      <c r="A118179"/>
      <c r="B118179"/>
      <c r="C118179"/>
      <c r="E118179"/>
      <c r="F118179"/>
    </row>
    <row r="118180" spans="1:6" x14ac:dyDescent="0.25">
      <c r="A118180"/>
      <c r="B118180"/>
      <c r="C118180"/>
      <c r="E118180"/>
      <c r="F118180"/>
    </row>
    <row r="118181" spans="1:6" x14ac:dyDescent="0.25">
      <c r="A118181"/>
      <c r="B118181"/>
      <c r="C118181"/>
      <c r="E118181"/>
      <c r="F118181"/>
    </row>
    <row r="118182" spans="1:6" x14ac:dyDescent="0.25">
      <c r="A118182"/>
      <c r="B118182"/>
      <c r="C118182"/>
      <c r="E118182"/>
      <c r="F118182"/>
    </row>
    <row r="118183" spans="1:6" x14ac:dyDescent="0.25">
      <c r="A118183"/>
      <c r="B118183"/>
      <c r="C118183"/>
      <c r="E118183"/>
      <c r="F118183"/>
    </row>
    <row r="118184" spans="1:6" x14ac:dyDescent="0.25">
      <c r="A118184"/>
      <c r="B118184"/>
      <c r="C118184"/>
      <c r="E118184"/>
      <c r="F118184"/>
    </row>
    <row r="118185" spans="1:6" x14ac:dyDescent="0.25">
      <c r="A118185"/>
      <c r="B118185"/>
      <c r="C118185"/>
      <c r="E118185"/>
      <c r="F118185"/>
    </row>
    <row r="118186" spans="1:6" x14ac:dyDescent="0.25">
      <c r="A118186"/>
      <c r="B118186"/>
      <c r="C118186"/>
      <c r="E118186"/>
      <c r="F118186"/>
    </row>
    <row r="118187" spans="1:6" x14ac:dyDescent="0.25">
      <c r="A118187"/>
      <c r="B118187"/>
      <c r="C118187"/>
      <c r="E118187"/>
      <c r="F118187"/>
    </row>
    <row r="118188" spans="1:6" x14ac:dyDescent="0.25">
      <c r="A118188"/>
      <c r="B118188"/>
      <c r="C118188"/>
      <c r="E118188"/>
      <c r="F118188"/>
    </row>
    <row r="118189" spans="1:6" x14ac:dyDescent="0.25">
      <c r="A118189"/>
      <c r="B118189"/>
      <c r="C118189"/>
      <c r="E118189"/>
      <c r="F118189"/>
    </row>
    <row r="118190" spans="1:6" x14ac:dyDescent="0.25">
      <c r="A118190"/>
      <c r="B118190"/>
      <c r="C118190"/>
      <c r="E118190"/>
      <c r="F118190"/>
    </row>
    <row r="118191" spans="1:6" x14ac:dyDescent="0.25">
      <c r="A118191"/>
      <c r="B118191"/>
      <c r="C118191"/>
      <c r="E118191"/>
      <c r="F118191"/>
    </row>
    <row r="118192" spans="1:6" x14ac:dyDescent="0.25">
      <c r="A118192"/>
      <c r="B118192"/>
      <c r="C118192"/>
      <c r="E118192"/>
      <c r="F118192"/>
    </row>
    <row r="118193" spans="1:6" x14ac:dyDescent="0.25">
      <c r="A118193"/>
      <c r="B118193"/>
      <c r="C118193"/>
      <c r="E118193"/>
      <c r="F118193"/>
    </row>
    <row r="118194" spans="1:6" x14ac:dyDescent="0.25">
      <c r="A118194"/>
      <c r="B118194"/>
      <c r="C118194"/>
      <c r="E118194"/>
      <c r="F118194"/>
    </row>
    <row r="118195" spans="1:6" x14ac:dyDescent="0.25">
      <c r="A118195"/>
      <c r="B118195"/>
      <c r="C118195"/>
      <c r="E118195"/>
      <c r="F118195"/>
    </row>
    <row r="118196" spans="1:6" x14ac:dyDescent="0.25">
      <c r="A118196"/>
      <c r="B118196"/>
      <c r="C118196"/>
      <c r="E118196"/>
      <c r="F118196"/>
    </row>
    <row r="118197" spans="1:6" x14ac:dyDescent="0.25">
      <c r="A118197"/>
      <c r="B118197"/>
      <c r="C118197"/>
      <c r="E118197"/>
      <c r="F118197"/>
    </row>
    <row r="118198" spans="1:6" x14ac:dyDescent="0.25">
      <c r="A118198"/>
      <c r="B118198"/>
      <c r="C118198"/>
      <c r="E118198"/>
      <c r="F118198"/>
    </row>
    <row r="118199" spans="1:6" x14ac:dyDescent="0.25">
      <c r="A118199"/>
      <c r="B118199"/>
      <c r="C118199"/>
      <c r="E118199"/>
      <c r="F118199"/>
    </row>
    <row r="118200" spans="1:6" x14ac:dyDescent="0.25">
      <c r="A118200"/>
      <c r="B118200"/>
      <c r="C118200"/>
      <c r="E118200"/>
      <c r="F118200"/>
    </row>
    <row r="118201" spans="1:6" x14ac:dyDescent="0.25">
      <c r="A118201"/>
      <c r="B118201"/>
      <c r="C118201"/>
      <c r="E118201"/>
      <c r="F118201"/>
    </row>
    <row r="118202" spans="1:6" x14ac:dyDescent="0.25">
      <c r="A118202"/>
      <c r="B118202"/>
      <c r="C118202"/>
      <c r="E118202"/>
      <c r="F118202"/>
    </row>
    <row r="118203" spans="1:6" x14ac:dyDescent="0.25">
      <c r="A118203"/>
      <c r="B118203"/>
      <c r="C118203"/>
      <c r="E118203"/>
      <c r="F118203"/>
    </row>
    <row r="118204" spans="1:6" x14ac:dyDescent="0.25">
      <c r="A118204"/>
      <c r="B118204"/>
      <c r="C118204"/>
      <c r="E118204"/>
      <c r="F118204"/>
    </row>
    <row r="118205" spans="1:6" x14ac:dyDescent="0.25">
      <c r="A118205"/>
      <c r="B118205"/>
      <c r="C118205"/>
      <c r="E118205"/>
      <c r="F118205"/>
    </row>
    <row r="118206" spans="1:6" x14ac:dyDescent="0.25">
      <c r="A118206"/>
      <c r="B118206"/>
      <c r="C118206"/>
      <c r="E118206"/>
      <c r="F118206"/>
    </row>
    <row r="118207" spans="1:6" x14ac:dyDescent="0.25">
      <c r="A118207"/>
      <c r="B118207"/>
      <c r="C118207"/>
      <c r="E118207"/>
      <c r="F118207"/>
    </row>
    <row r="118208" spans="1:6" x14ac:dyDescent="0.25">
      <c r="A118208"/>
      <c r="B118208"/>
      <c r="C118208"/>
      <c r="E118208"/>
      <c r="F118208"/>
    </row>
    <row r="118209" spans="1:6" x14ac:dyDescent="0.25">
      <c r="A118209"/>
      <c r="B118209"/>
      <c r="C118209"/>
      <c r="E118209"/>
      <c r="F118209"/>
    </row>
    <row r="118210" spans="1:6" x14ac:dyDescent="0.25">
      <c r="A118210"/>
      <c r="B118210"/>
      <c r="C118210"/>
      <c r="E118210"/>
      <c r="F118210"/>
    </row>
    <row r="118211" spans="1:6" x14ac:dyDescent="0.25">
      <c r="A118211"/>
      <c r="B118211"/>
      <c r="C118211"/>
      <c r="E118211"/>
      <c r="F118211"/>
    </row>
    <row r="118212" spans="1:6" x14ac:dyDescent="0.25">
      <c r="A118212"/>
      <c r="B118212"/>
      <c r="C118212"/>
      <c r="E118212"/>
      <c r="F118212"/>
    </row>
    <row r="118213" spans="1:6" x14ac:dyDescent="0.25">
      <c r="A118213"/>
      <c r="B118213"/>
      <c r="C118213"/>
      <c r="E118213"/>
      <c r="F118213"/>
    </row>
    <row r="118214" spans="1:6" x14ac:dyDescent="0.25">
      <c r="A118214"/>
      <c r="B118214"/>
      <c r="C118214"/>
      <c r="E118214"/>
      <c r="F118214"/>
    </row>
    <row r="118215" spans="1:6" x14ac:dyDescent="0.25">
      <c r="A118215"/>
      <c r="B118215"/>
      <c r="C118215"/>
      <c r="E118215"/>
      <c r="F118215"/>
    </row>
    <row r="118216" spans="1:6" x14ac:dyDescent="0.25">
      <c r="A118216"/>
      <c r="B118216"/>
      <c r="C118216"/>
      <c r="E118216"/>
      <c r="F118216"/>
    </row>
    <row r="118217" spans="1:6" x14ac:dyDescent="0.25">
      <c r="A118217"/>
      <c r="B118217"/>
      <c r="C118217"/>
      <c r="E118217"/>
      <c r="F118217"/>
    </row>
    <row r="118218" spans="1:6" x14ac:dyDescent="0.25">
      <c r="A118218"/>
      <c r="B118218"/>
      <c r="C118218"/>
      <c r="E118218"/>
      <c r="F118218"/>
    </row>
    <row r="118219" spans="1:6" x14ac:dyDescent="0.25">
      <c r="A118219"/>
      <c r="B118219"/>
      <c r="C118219"/>
      <c r="E118219"/>
      <c r="F118219"/>
    </row>
    <row r="118220" spans="1:6" x14ac:dyDescent="0.25">
      <c r="A118220"/>
      <c r="B118220"/>
      <c r="C118220"/>
      <c r="E118220"/>
      <c r="F118220"/>
    </row>
    <row r="118221" spans="1:6" x14ac:dyDescent="0.25">
      <c r="A118221"/>
      <c r="B118221"/>
      <c r="C118221"/>
      <c r="E118221"/>
      <c r="F118221"/>
    </row>
    <row r="118222" spans="1:6" x14ac:dyDescent="0.25">
      <c r="A118222"/>
      <c r="B118222"/>
      <c r="C118222"/>
      <c r="E118222"/>
      <c r="F118222"/>
    </row>
    <row r="118223" spans="1:6" x14ac:dyDescent="0.25">
      <c r="A118223"/>
      <c r="B118223"/>
      <c r="C118223"/>
      <c r="E118223"/>
      <c r="F118223"/>
    </row>
    <row r="118224" spans="1:6" x14ac:dyDescent="0.25">
      <c r="A118224"/>
      <c r="B118224"/>
      <c r="C118224"/>
      <c r="E118224"/>
      <c r="F118224"/>
    </row>
    <row r="118225" spans="1:6" x14ac:dyDescent="0.25">
      <c r="A118225"/>
      <c r="B118225"/>
      <c r="C118225"/>
      <c r="E118225"/>
      <c r="F118225"/>
    </row>
    <row r="118226" spans="1:6" x14ac:dyDescent="0.25">
      <c r="A118226"/>
      <c r="B118226"/>
      <c r="C118226"/>
      <c r="E118226"/>
      <c r="F118226"/>
    </row>
    <row r="118227" spans="1:6" x14ac:dyDescent="0.25">
      <c r="A118227"/>
      <c r="B118227"/>
      <c r="C118227"/>
      <c r="E118227"/>
      <c r="F118227"/>
    </row>
    <row r="118228" spans="1:6" x14ac:dyDescent="0.25">
      <c r="A118228"/>
      <c r="B118228"/>
      <c r="C118228"/>
      <c r="E118228"/>
      <c r="F118228"/>
    </row>
    <row r="118229" spans="1:6" x14ac:dyDescent="0.25">
      <c r="A118229"/>
      <c r="B118229"/>
      <c r="C118229"/>
      <c r="E118229"/>
      <c r="F118229"/>
    </row>
    <row r="118230" spans="1:6" x14ac:dyDescent="0.25">
      <c r="A118230"/>
      <c r="B118230"/>
      <c r="C118230"/>
      <c r="E118230"/>
      <c r="F118230"/>
    </row>
    <row r="118231" spans="1:6" x14ac:dyDescent="0.25">
      <c r="A118231"/>
      <c r="B118231"/>
      <c r="C118231"/>
      <c r="E118231"/>
      <c r="F118231"/>
    </row>
    <row r="118232" spans="1:6" x14ac:dyDescent="0.25">
      <c r="A118232"/>
      <c r="B118232"/>
      <c r="C118232"/>
      <c r="E118232"/>
      <c r="F118232"/>
    </row>
    <row r="118233" spans="1:6" x14ac:dyDescent="0.25">
      <c r="A118233"/>
      <c r="B118233"/>
      <c r="C118233"/>
      <c r="E118233"/>
      <c r="F118233"/>
    </row>
    <row r="118234" spans="1:6" x14ac:dyDescent="0.25">
      <c r="A118234"/>
      <c r="B118234"/>
      <c r="C118234"/>
      <c r="E118234"/>
      <c r="F118234"/>
    </row>
    <row r="118235" spans="1:6" x14ac:dyDescent="0.25">
      <c r="A118235"/>
      <c r="B118235"/>
      <c r="C118235"/>
      <c r="E118235"/>
      <c r="F118235"/>
    </row>
    <row r="118236" spans="1:6" x14ac:dyDescent="0.25">
      <c r="A118236"/>
      <c r="B118236"/>
      <c r="C118236"/>
      <c r="E118236"/>
      <c r="F118236"/>
    </row>
    <row r="118237" spans="1:6" x14ac:dyDescent="0.25">
      <c r="A118237"/>
      <c r="B118237"/>
      <c r="C118237"/>
      <c r="E118237"/>
      <c r="F118237"/>
    </row>
    <row r="118238" spans="1:6" x14ac:dyDescent="0.25">
      <c r="A118238"/>
      <c r="B118238"/>
      <c r="C118238"/>
      <c r="E118238"/>
      <c r="F118238"/>
    </row>
    <row r="118239" spans="1:6" x14ac:dyDescent="0.25">
      <c r="A118239"/>
      <c r="B118239"/>
      <c r="C118239"/>
      <c r="E118239"/>
      <c r="F118239"/>
    </row>
    <row r="118240" spans="1:6" x14ac:dyDescent="0.25">
      <c r="A118240"/>
      <c r="B118240"/>
      <c r="C118240"/>
      <c r="E118240"/>
      <c r="F118240"/>
    </row>
    <row r="118241" spans="1:6" x14ac:dyDescent="0.25">
      <c r="A118241"/>
      <c r="B118241"/>
      <c r="C118241"/>
      <c r="E118241"/>
      <c r="F118241"/>
    </row>
    <row r="118242" spans="1:6" x14ac:dyDescent="0.25">
      <c r="A118242"/>
      <c r="B118242"/>
      <c r="C118242"/>
      <c r="E118242"/>
      <c r="F118242"/>
    </row>
    <row r="118243" spans="1:6" x14ac:dyDescent="0.25">
      <c r="A118243"/>
      <c r="B118243"/>
      <c r="C118243"/>
      <c r="E118243"/>
      <c r="F118243"/>
    </row>
    <row r="118244" spans="1:6" x14ac:dyDescent="0.25">
      <c r="A118244"/>
      <c r="B118244"/>
      <c r="C118244"/>
      <c r="E118244"/>
      <c r="F118244"/>
    </row>
    <row r="118245" spans="1:6" x14ac:dyDescent="0.25">
      <c r="A118245"/>
      <c r="B118245"/>
      <c r="C118245"/>
      <c r="E118245"/>
      <c r="F118245"/>
    </row>
    <row r="118246" spans="1:6" x14ac:dyDescent="0.25">
      <c r="A118246"/>
      <c r="B118246"/>
      <c r="C118246"/>
      <c r="E118246"/>
      <c r="F118246"/>
    </row>
    <row r="118247" spans="1:6" x14ac:dyDescent="0.25">
      <c r="A118247"/>
      <c r="B118247"/>
      <c r="C118247"/>
      <c r="E118247"/>
      <c r="F118247"/>
    </row>
    <row r="118248" spans="1:6" x14ac:dyDescent="0.25">
      <c r="A118248"/>
      <c r="B118248"/>
      <c r="C118248"/>
      <c r="E118248"/>
      <c r="F118248"/>
    </row>
    <row r="118249" spans="1:6" x14ac:dyDescent="0.25">
      <c r="A118249"/>
      <c r="B118249"/>
      <c r="C118249"/>
      <c r="E118249"/>
      <c r="F118249"/>
    </row>
    <row r="118250" spans="1:6" x14ac:dyDescent="0.25">
      <c r="A118250"/>
      <c r="B118250"/>
      <c r="C118250"/>
      <c r="E118250"/>
      <c r="F118250"/>
    </row>
    <row r="118251" spans="1:6" x14ac:dyDescent="0.25">
      <c r="A118251"/>
      <c r="B118251"/>
      <c r="C118251"/>
      <c r="E118251"/>
      <c r="F118251"/>
    </row>
    <row r="118252" spans="1:6" x14ac:dyDescent="0.25">
      <c r="A118252"/>
      <c r="B118252"/>
      <c r="C118252"/>
      <c r="E118252"/>
      <c r="F118252"/>
    </row>
    <row r="118253" spans="1:6" x14ac:dyDescent="0.25">
      <c r="A118253"/>
      <c r="B118253"/>
      <c r="C118253"/>
      <c r="E118253"/>
      <c r="F118253"/>
    </row>
    <row r="118254" spans="1:6" x14ac:dyDescent="0.25">
      <c r="A118254"/>
      <c r="B118254"/>
      <c r="C118254"/>
      <c r="E118254"/>
      <c r="F118254"/>
    </row>
    <row r="118255" spans="1:6" x14ac:dyDescent="0.25">
      <c r="A118255"/>
      <c r="B118255"/>
      <c r="C118255"/>
      <c r="E118255"/>
      <c r="F118255"/>
    </row>
    <row r="118256" spans="1:6" x14ac:dyDescent="0.25">
      <c r="A118256"/>
      <c r="B118256"/>
      <c r="C118256"/>
      <c r="E118256"/>
      <c r="F118256"/>
    </row>
    <row r="118257" spans="1:6" x14ac:dyDescent="0.25">
      <c r="A118257"/>
      <c r="B118257"/>
      <c r="C118257"/>
      <c r="E118257"/>
      <c r="F118257"/>
    </row>
    <row r="118258" spans="1:6" x14ac:dyDescent="0.25">
      <c r="A118258"/>
      <c r="B118258"/>
      <c r="C118258"/>
      <c r="E118258"/>
      <c r="F118258"/>
    </row>
    <row r="118259" spans="1:6" x14ac:dyDescent="0.25">
      <c r="A118259"/>
      <c r="B118259"/>
      <c r="C118259"/>
      <c r="E118259"/>
      <c r="F118259"/>
    </row>
    <row r="118260" spans="1:6" x14ac:dyDescent="0.25">
      <c r="A118260"/>
      <c r="B118260"/>
      <c r="C118260"/>
      <c r="E118260"/>
      <c r="F118260"/>
    </row>
    <row r="118261" spans="1:6" x14ac:dyDescent="0.25">
      <c r="A118261"/>
      <c r="B118261"/>
      <c r="C118261"/>
      <c r="E118261"/>
      <c r="F118261"/>
    </row>
    <row r="118262" spans="1:6" x14ac:dyDescent="0.25">
      <c r="A118262"/>
      <c r="B118262"/>
      <c r="C118262"/>
      <c r="E118262"/>
      <c r="F118262"/>
    </row>
    <row r="118263" spans="1:6" x14ac:dyDescent="0.25">
      <c r="A118263"/>
      <c r="B118263"/>
      <c r="C118263"/>
      <c r="E118263"/>
      <c r="F118263"/>
    </row>
    <row r="118264" spans="1:6" x14ac:dyDescent="0.25">
      <c r="A118264"/>
      <c r="B118264"/>
      <c r="C118264"/>
      <c r="E118264"/>
      <c r="F118264"/>
    </row>
    <row r="118265" spans="1:6" x14ac:dyDescent="0.25">
      <c r="A118265"/>
      <c r="B118265"/>
      <c r="C118265"/>
      <c r="E118265"/>
      <c r="F118265"/>
    </row>
    <row r="118266" spans="1:6" x14ac:dyDescent="0.25">
      <c r="A118266"/>
      <c r="B118266"/>
      <c r="C118266"/>
      <c r="E118266"/>
      <c r="F118266"/>
    </row>
    <row r="118267" spans="1:6" x14ac:dyDescent="0.25">
      <c r="A118267"/>
      <c r="B118267"/>
      <c r="C118267"/>
      <c r="E118267"/>
      <c r="F118267"/>
    </row>
    <row r="118268" spans="1:6" x14ac:dyDescent="0.25">
      <c r="A118268"/>
      <c r="B118268"/>
      <c r="C118268"/>
      <c r="E118268"/>
      <c r="F118268"/>
    </row>
    <row r="118269" spans="1:6" x14ac:dyDescent="0.25">
      <c r="A118269"/>
      <c r="B118269"/>
      <c r="C118269"/>
      <c r="E118269"/>
      <c r="F118269"/>
    </row>
    <row r="118270" spans="1:6" x14ac:dyDescent="0.25">
      <c r="A118270"/>
      <c r="B118270"/>
      <c r="C118270"/>
      <c r="E118270"/>
      <c r="F118270"/>
    </row>
    <row r="118271" spans="1:6" x14ac:dyDescent="0.25">
      <c r="A118271"/>
      <c r="B118271"/>
      <c r="C118271"/>
      <c r="E118271"/>
      <c r="F118271"/>
    </row>
    <row r="118272" spans="1:6" x14ac:dyDescent="0.25">
      <c r="A118272"/>
      <c r="B118272"/>
      <c r="C118272"/>
      <c r="E118272"/>
      <c r="F118272"/>
    </row>
    <row r="118273" spans="1:6" x14ac:dyDescent="0.25">
      <c r="A118273"/>
      <c r="B118273"/>
      <c r="C118273"/>
      <c r="E118273"/>
      <c r="F118273"/>
    </row>
    <row r="118274" spans="1:6" x14ac:dyDescent="0.25">
      <c r="A118274"/>
      <c r="B118274"/>
      <c r="C118274"/>
      <c r="E118274"/>
      <c r="F118274"/>
    </row>
    <row r="118275" spans="1:6" x14ac:dyDescent="0.25">
      <c r="A118275"/>
      <c r="B118275"/>
      <c r="C118275"/>
      <c r="E118275"/>
      <c r="F118275"/>
    </row>
    <row r="118276" spans="1:6" x14ac:dyDescent="0.25">
      <c r="A118276"/>
      <c r="B118276"/>
      <c r="C118276"/>
      <c r="E118276"/>
      <c r="F118276"/>
    </row>
    <row r="118277" spans="1:6" x14ac:dyDescent="0.25">
      <c r="A118277"/>
      <c r="B118277"/>
      <c r="C118277"/>
      <c r="E118277"/>
      <c r="F118277"/>
    </row>
    <row r="118278" spans="1:6" x14ac:dyDescent="0.25">
      <c r="A118278"/>
      <c r="B118278"/>
      <c r="C118278"/>
      <c r="E118278"/>
      <c r="F118278"/>
    </row>
    <row r="118279" spans="1:6" x14ac:dyDescent="0.25">
      <c r="A118279"/>
      <c r="B118279"/>
      <c r="C118279"/>
      <c r="E118279"/>
      <c r="F118279"/>
    </row>
    <row r="118280" spans="1:6" x14ac:dyDescent="0.25">
      <c r="A118280"/>
      <c r="B118280"/>
      <c r="C118280"/>
      <c r="E118280"/>
      <c r="F118280"/>
    </row>
    <row r="118281" spans="1:6" x14ac:dyDescent="0.25">
      <c r="A118281"/>
      <c r="B118281"/>
      <c r="C118281"/>
      <c r="E118281"/>
      <c r="F118281"/>
    </row>
    <row r="118282" spans="1:6" x14ac:dyDescent="0.25">
      <c r="A118282"/>
      <c r="B118282"/>
      <c r="C118282"/>
      <c r="E118282"/>
      <c r="F118282"/>
    </row>
    <row r="118283" spans="1:6" x14ac:dyDescent="0.25">
      <c r="A118283"/>
      <c r="B118283"/>
      <c r="C118283"/>
      <c r="E118283"/>
      <c r="F118283"/>
    </row>
    <row r="118284" spans="1:6" x14ac:dyDescent="0.25">
      <c r="A118284"/>
      <c r="B118284"/>
      <c r="C118284"/>
      <c r="E118284"/>
      <c r="F118284"/>
    </row>
    <row r="118285" spans="1:6" x14ac:dyDescent="0.25">
      <c r="A118285"/>
      <c r="B118285"/>
      <c r="C118285"/>
      <c r="E118285"/>
      <c r="F118285"/>
    </row>
    <row r="118286" spans="1:6" x14ac:dyDescent="0.25">
      <c r="A118286"/>
      <c r="B118286"/>
      <c r="C118286"/>
      <c r="E118286"/>
      <c r="F118286"/>
    </row>
    <row r="118287" spans="1:6" x14ac:dyDescent="0.25">
      <c r="A118287"/>
      <c r="B118287"/>
      <c r="C118287"/>
      <c r="E118287"/>
      <c r="F118287"/>
    </row>
    <row r="118288" spans="1:6" x14ac:dyDescent="0.25">
      <c r="A118288"/>
      <c r="B118288"/>
      <c r="C118288"/>
      <c r="E118288"/>
      <c r="F118288"/>
    </row>
    <row r="118289" spans="1:6" x14ac:dyDescent="0.25">
      <c r="A118289"/>
      <c r="B118289"/>
      <c r="C118289"/>
      <c r="E118289"/>
      <c r="F118289"/>
    </row>
    <row r="118290" spans="1:6" x14ac:dyDescent="0.25">
      <c r="A118290"/>
      <c r="B118290"/>
      <c r="C118290"/>
      <c r="E118290"/>
      <c r="F118290"/>
    </row>
    <row r="118291" spans="1:6" x14ac:dyDescent="0.25">
      <c r="A118291"/>
      <c r="B118291"/>
      <c r="C118291"/>
      <c r="E118291"/>
      <c r="F118291"/>
    </row>
    <row r="118292" spans="1:6" x14ac:dyDescent="0.25">
      <c r="A118292"/>
      <c r="B118292"/>
      <c r="C118292"/>
      <c r="E118292"/>
      <c r="F118292"/>
    </row>
    <row r="118293" spans="1:6" x14ac:dyDescent="0.25">
      <c r="A118293"/>
      <c r="B118293"/>
      <c r="C118293"/>
      <c r="E118293"/>
      <c r="F118293"/>
    </row>
    <row r="118294" spans="1:6" x14ac:dyDescent="0.25">
      <c r="A118294"/>
      <c r="B118294"/>
      <c r="C118294"/>
      <c r="E118294"/>
      <c r="F118294"/>
    </row>
    <row r="118295" spans="1:6" x14ac:dyDescent="0.25">
      <c r="A118295"/>
      <c r="B118295"/>
      <c r="C118295"/>
      <c r="E118295"/>
      <c r="F118295"/>
    </row>
    <row r="118296" spans="1:6" x14ac:dyDescent="0.25">
      <c r="A118296"/>
      <c r="B118296"/>
      <c r="C118296"/>
      <c r="E118296"/>
      <c r="F118296"/>
    </row>
    <row r="118297" spans="1:6" x14ac:dyDescent="0.25">
      <c r="A118297"/>
      <c r="B118297"/>
      <c r="C118297"/>
      <c r="E118297"/>
      <c r="F118297"/>
    </row>
    <row r="118298" spans="1:6" x14ac:dyDescent="0.25">
      <c r="A118298"/>
      <c r="B118298"/>
      <c r="C118298"/>
      <c r="E118298"/>
      <c r="F118298"/>
    </row>
    <row r="118299" spans="1:6" x14ac:dyDescent="0.25">
      <c r="A118299"/>
      <c r="B118299"/>
      <c r="C118299"/>
      <c r="E118299"/>
      <c r="F118299"/>
    </row>
    <row r="118300" spans="1:6" x14ac:dyDescent="0.25">
      <c r="A118300"/>
      <c r="B118300"/>
      <c r="C118300"/>
      <c r="E118300"/>
      <c r="F118300"/>
    </row>
    <row r="118301" spans="1:6" x14ac:dyDescent="0.25">
      <c r="A118301"/>
      <c r="B118301"/>
      <c r="C118301"/>
      <c r="E118301"/>
      <c r="F118301"/>
    </row>
    <row r="118302" spans="1:6" x14ac:dyDescent="0.25">
      <c r="A118302"/>
      <c r="B118302"/>
      <c r="C118302"/>
      <c r="E118302"/>
      <c r="F118302"/>
    </row>
    <row r="118303" spans="1:6" x14ac:dyDescent="0.25">
      <c r="A118303"/>
      <c r="B118303"/>
      <c r="C118303"/>
      <c r="E118303"/>
      <c r="F118303"/>
    </row>
    <row r="118304" spans="1:6" x14ac:dyDescent="0.25">
      <c r="A118304"/>
      <c r="B118304"/>
      <c r="C118304"/>
      <c r="E118304"/>
      <c r="F118304"/>
    </row>
    <row r="118305" spans="1:6" x14ac:dyDescent="0.25">
      <c r="A118305"/>
      <c r="B118305"/>
      <c r="C118305"/>
      <c r="E118305"/>
      <c r="F118305"/>
    </row>
    <row r="118306" spans="1:6" x14ac:dyDescent="0.25">
      <c r="A118306"/>
      <c r="B118306"/>
      <c r="C118306"/>
      <c r="E118306"/>
      <c r="F118306"/>
    </row>
    <row r="118307" spans="1:6" x14ac:dyDescent="0.25">
      <c r="A118307"/>
      <c r="B118307"/>
      <c r="C118307"/>
      <c r="E118307"/>
      <c r="F118307"/>
    </row>
    <row r="118308" spans="1:6" x14ac:dyDescent="0.25">
      <c r="A118308"/>
      <c r="B118308"/>
      <c r="C118308"/>
      <c r="E118308"/>
      <c r="F118308"/>
    </row>
    <row r="118309" spans="1:6" x14ac:dyDescent="0.25">
      <c r="A118309"/>
      <c r="B118309"/>
      <c r="C118309"/>
      <c r="E118309"/>
      <c r="F118309"/>
    </row>
    <row r="118310" spans="1:6" x14ac:dyDescent="0.25">
      <c r="A118310"/>
      <c r="B118310"/>
      <c r="C118310"/>
      <c r="E118310"/>
      <c r="F118310"/>
    </row>
    <row r="118311" spans="1:6" x14ac:dyDescent="0.25">
      <c r="A118311"/>
      <c r="B118311"/>
      <c r="C118311"/>
      <c r="E118311"/>
      <c r="F118311"/>
    </row>
    <row r="118312" spans="1:6" x14ac:dyDescent="0.25">
      <c r="A118312"/>
      <c r="B118312"/>
      <c r="C118312"/>
      <c r="E118312"/>
      <c r="F118312"/>
    </row>
    <row r="118313" spans="1:6" x14ac:dyDescent="0.25">
      <c r="A118313"/>
      <c r="B118313"/>
      <c r="C118313"/>
      <c r="E118313"/>
      <c r="F118313"/>
    </row>
    <row r="118314" spans="1:6" x14ac:dyDescent="0.25">
      <c r="A118314"/>
      <c r="B118314"/>
      <c r="C118314"/>
      <c r="E118314"/>
      <c r="F118314"/>
    </row>
    <row r="118315" spans="1:6" x14ac:dyDescent="0.25">
      <c r="A118315"/>
      <c r="B118315"/>
      <c r="C118315"/>
      <c r="E118315"/>
      <c r="F118315"/>
    </row>
    <row r="118316" spans="1:6" x14ac:dyDescent="0.25">
      <c r="A118316"/>
      <c r="B118316"/>
      <c r="C118316"/>
      <c r="E118316"/>
      <c r="F118316"/>
    </row>
    <row r="118317" spans="1:6" x14ac:dyDescent="0.25">
      <c r="A118317"/>
      <c r="B118317"/>
      <c r="C118317"/>
      <c r="E118317"/>
      <c r="F118317"/>
    </row>
    <row r="118318" spans="1:6" x14ac:dyDescent="0.25">
      <c r="A118318"/>
      <c r="B118318"/>
      <c r="C118318"/>
      <c r="E118318"/>
      <c r="F118318"/>
    </row>
    <row r="118319" spans="1:6" x14ac:dyDescent="0.25">
      <c r="A118319"/>
      <c r="B118319"/>
      <c r="C118319"/>
      <c r="E118319"/>
      <c r="F118319"/>
    </row>
    <row r="118320" spans="1:6" x14ac:dyDescent="0.25">
      <c r="A118320"/>
      <c r="B118320"/>
      <c r="C118320"/>
      <c r="E118320"/>
      <c r="F118320"/>
    </row>
    <row r="118321" spans="1:6" x14ac:dyDescent="0.25">
      <c r="A118321"/>
      <c r="B118321"/>
      <c r="C118321"/>
      <c r="E118321"/>
      <c r="F118321"/>
    </row>
    <row r="118322" spans="1:6" x14ac:dyDescent="0.25">
      <c r="A118322"/>
      <c r="B118322"/>
      <c r="C118322"/>
      <c r="E118322"/>
      <c r="F118322"/>
    </row>
    <row r="118323" spans="1:6" x14ac:dyDescent="0.25">
      <c r="A118323"/>
      <c r="B118323"/>
      <c r="C118323"/>
      <c r="E118323"/>
      <c r="F118323"/>
    </row>
    <row r="118324" spans="1:6" x14ac:dyDescent="0.25">
      <c r="A118324"/>
      <c r="B118324"/>
      <c r="C118324"/>
      <c r="E118324"/>
      <c r="F118324"/>
    </row>
    <row r="118325" spans="1:6" x14ac:dyDescent="0.25">
      <c r="A118325"/>
      <c r="B118325"/>
      <c r="C118325"/>
      <c r="E118325"/>
      <c r="F118325"/>
    </row>
    <row r="118326" spans="1:6" x14ac:dyDescent="0.25">
      <c r="A118326"/>
      <c r="B118326"/>
      <c r="C118326"/>
      <c r="E118326"/>
      <c r="F118326"/>
    </row>
    <row r="118327" spans="1:6" x14ac:dyDescent="0.25">
      <c r="A118327"/>
      <c r="B118327"/>
      <c r="C118327"/>
      <c r="E118327"/>
      <c r="F118327"/>
    </row>
    <row r="118328" spans="1:6" x14ac:dyDescent="0.25">
      <c r="A118328"/>
      <c r="B118328"/>
      <c r="C118328"/>
      <c r="E118328"/>
      <c r="F118328"/>
    </row>
    <row r="118329" spans="1:6" x14ac:dyDescent="0.25">
      <c r="A118329"/>
      <c r="B118329"/>
      <c r="C118329"/>
      <c r="E118329"/>
      <c r="F118329"/>
    </row>
    <row r="118330" spans="1:6" x14ac:dyDescent="0.25">
      <c r="A118330"/>
      <c r="B118330"/>
      <c r="C118330"/>
      <c r="E118330"/>
      <c r="F118330"/>
    </row>
    <row r="118331" spans="1:6" x14ac:dyDescent="0.25">
      <c r="A118331"/>
      <c r="B118331"/>
      <c r="C118331"/>
      <c r="E118331"/>
      <c r="F118331"/>
    </row>
    <row r="118332" spans="1:6" x14ac:dyDescent="0.25">
      <c r="A118332"/>
      <c r="B118332"/>
      <c r="C118332"/>
      <c r="E118332"/>
      <c r="F118332"/>
    </row>
    <row r="118333" spans="1:6" x14ac:dyDescent="0.25">
      <c r="A118333"/>
      <c r="B118333"/>
      <c r="C118333"/>
      <c r="E118333"/>
      <c r="F118333"/>
    </row>
    <row r="118334" spans="1:6" x14ac:dyDescent="0.25">
      <c r="A118334"/>
      <c r="B118334"/>
      <c r="C118334"/>
      <c r="E118334"/>
      <c r="F118334"/>
    </row>
    <row r="118335" spans="1:6" x14ac:dyDescent="0.25">
      <c r="A118335"/>
      <c r="B118335"/>
      <c r="C118335"/>
      <c r="E118335"/>
      <c r="F118335"/>
    </row>
    <row r="118336" spans="1:6" x14ac:dyDescent="0.25">
      <c r="A118336"/>
      <c r="B118336"/>
      <c r="C118336"/>
      <c r="E118336"/>
      <c r="F118336"/>
    </row>
    <row r="118337" spans="1:6" x14ac:dyDescent="0.25">
      <c r="A118337"/>
      <c r="B118337"/>
      <c r="C118337"/>
      <c r="E118337"/>
      <c r="F118337"/>
    </row>
    <row r="118338" spans="1:6" x14ac:dyDescent="0.25">
      <c r="A118338"/>
      <c r="B118338"/>
      <c r="C118338"/>
      <c r="E118338"/>
      <c r="F118338"/>
    </row>
    <row r="118339" spans="1:6" x14ac:dyDescent="0.25">
      <c r="A118339"/>
      <c r="B118339"/>
      <c r="C118339"/>
      <c r="E118339"/>
      <c r="F118339"/>
    </row>
    <row r="118340" spans="1:6" x14ac:dyDescent="0.25">
      <c r="A118340"/>
      <c r="B118340"/>
      <c r="C118340"/>
      <c r="E118340"/>
      <c r="F118340"/>
    </row>
    <row r="118341" spans="1:6" x14ac:dyDescent="0.25">
      <c r="A118341"/>
      <c r="B118341"/>
      <c r="C118341"/>
      <c r="E118341"/>
      <c r="F118341"/>
    </row>
    <row r="118342" spans="1:6" x14ac:dyDescent="0.25">
      <c r="A118342"/>
      <c r="B118342"/>
      <c r="C118342"/>
      <c r="E118342"/>
      <c r="F118342"/>
    </row>
    <row r="118343" spans="1:6" x14ac:dyDescent="0.25">
      <c r="A118343"/>
      <c r="B118343"/>
      <c r="C118343"/>
      <c r="E118343"/>
      <c r="F118343"/>
    </row>
    <row r="118344" spans="1:6" x14ac:dyDescent="0.25">
      <c r="A118344"/>
      <c r="B118344"/>
      <c r="C118344"/>
      <c r="E118344"/>
      <c r="F118344"/>
    </row>
    <row r="118345" spans="1:6" x14ac:dyDescent="0.25">
      <c r="A118345"/>
      <c r="B118345"/>
      <c r="C118345"/>
      <c r="E118345"/>
      <c r="F118345"/>
    </row>
    <row r="118346" spans="1:6" x14ac:dyDescent="0.25">
      <c r="A118346"/>
      <c r="B118346"/>
      <c r="C118346"/>
      <c r="E118346"/>
      <c r="F118346"/>
    </row>
    <row r="118347" spans="1:6" x14ac:dyDescent="0.25">
      <c r="A118347"/>
      <c r="B118347"/>
      <c r="C118347"/>
      <c r="E118347"/>
      <c r="F118347"/>
    </row>
    <row r="118348" spans="1:6" x14ac:dyDescent="0.25">
      <c r="A118348"/>
      <c r="B118348"/>
      <c r="C118348"/>
      <c r="E118348"/>
      <c r="F118348"/>
    </row>
    <row r="118349" spans="1:6" x14ac:dyDescent="0.25">
      <c r="A118349"/>
      <c r="B118349"/>
      <c r="C118349"/>
      <c r="E118349"/>
      <c r="F118349"/>
    </row>
    <row r="118350" spans="1:6" x14ac:dyDescent="0.25">
      <c r="A118350"/>
      <c r="B118350"/>
      <c r="C118350"/>
      <c r="E118350"/>
      <c r="F118350"/>
    </row>
    <row r="118351" spans="1:6" x14ac:dyDescent="0.25">
      <c r="A118351"/>
      <c r="B118351"/>
      <c r="C118351"/>
      <c r="E118351"/>
      <c r="F118351"/>
    </row>
    <row r="118352" spans="1:6" x14ac:dyDescent="0.25">
      <c r="A118352"/>
      <c r="B118352"/>
      <c r="C118352"/>
      <c r="E118352"/>
      <c r="F118352"/>
    </row>
    <row r="118353" spans="1:6" x14ac:dyDescent="0.25">
      <c r="A118353"/>
      <c r="B118353"/>
      <c r="C118353"/>
      <c r="E118353"/>
      <c r="F118353"/>
    </row>
    <row r="118354" spans="1:6" x14ac:dyDescent="0.25">
      <c r="A118354"/>
      <c r="B118354"/>
      <c r="C118354"/>
      <c r="E118354"/>
      <c r="F118354"/>
    </row>
    <row r="118355" spans="1:6" x14ac:dyDescent="0.25">
      <c r="A118355"/>
      <c r="B118355"/>
      <c r="C118355"/>
      <c r="E118355"/>
      <c r="F118355"/>
    </row>
    <row r="118356" spans="1:6" x14ac:dyDescent="0.25">
      <c r="A118356"/>
      <c r="B118356"/>
      <c r="C118356"/>
      <c r="E118356"/>
      <c r="F118356"/>
    </row>
    <row r="118357" spans="1:6" x14ac:dyDescent="0.25">
      <c r="A118357"/>
      <c r="B118357"/>
      <c r="C118357"/>
      <c r="E118357"/>
      <c r="F118357"/>
    </row>
    <row r="118358" spans="1:6" x14ac:dyDescent="0.25">
      <c r="A118358"/>
      <c r="B118358"/>
      <c r="C118358"/>
      <c r="E118358"/>
      <c r="F118358"/>
    </row>
    <row r="118359" spans="1:6" x14ac:dyDescent="0.25">
      <c r="A118359"/>
      <c r="B118359"/>
      <c r="C118359"/>
      <c r="E118359"/>
      <c r="F118359"/>
    </row>
    <row r="118360" spans="1:6" x14ac:dyDescent="0.25">
      <c r="A118360"/>
      <c r="B118360"/>
      <c r="C118360"/>
      <c r="E118360"/>
      <c r="F118360"/>
    </row>
    <row r="118361" spans="1:6" x14ac:dyDescent="0.25">
      <c r="A118361"/>
      <c r="B118361"/>
      <c r="C118361"/>
      <c r="E118361"/>
      <c r="F118361"/>
    </row>
    <row r="118362" spans="1:6" x14ac:dyDescent="0.25">
      <c r="A118362"/>
      <c r="B118362"/>
      <c r="C118362"/>
      <c r="E118362"/>
      <c r="F118362"/>
    </row>
    <row r="118363" spans="1:6" x14ac:dyDescent="0.25">
      <c r="A118363"/>
      <c r="B118363"/>
      <c r="C118363"/>
      <c r="E118363"/>
      <c r="F118363"/>
    </row>
    <row r="118364" spans="1:6" x14ac:dyDescent="0.25">
      <c r="A118364"/>
      <c r="B118364"/>
      <c r="C118364"/>
      <c r="E118364"/>
      <c r="F118364"/>
    </row>
    <row r="118365" spans="1:6" x14ac:dyDescent="0.25">
      <c r="A118365"/>
      <c r="B118365"/>
      <c r="C118365"/>
      <c r="E118365"/>
      <c r="F118365"/>
    </row>
    <row r="118366" spans="1:6" x14ac:dyDescent="0.25">
      <c r="A118366"/>
      <c r="B118366"/>
      <c r="C118366"/>
      <c r="E118366"/>
      <c r="F118366"/>
    </row>
    <row r="118367" spans="1:6" x14ac:dyDescent="0.25">
      <c r="A118367"/>
      <c r="B118367"/>
      <c r="C118367"/>
      <c r="E118367"/>
      <c r="F118367"/>
    </row>
    <row r="118368" spans="1:6" x14ac:dyDescent="0.25">
      <c r="A118368"/>
      <c r="B118368"/>
      <c r="C118368"/>
      <c r="E118368"/>
      <c r="F118368"/>
    </row>
    <row r="118369" spans="1:6" x14ac:dyDescent="0.25">
      <c r="A118369"/>
      <c r="B118369"/>
      <c r="C118369"/>
      <c r="E118369"/>
      <c r="F118369"/>
    </row>
    <row r="118370" spans="1:6" x14ac:dyDescent="0.25">
      <c r="A118370"/>
      <c r="B118370"/>
      <c r="C118370"/>
      <c r="E118370"/>
      <c r="F118370"/>
    </row>
    <row r="118371" spans="1:6" x14ac:dyDescent="0.25">
      <c r="A118371"/>
      <c r="B118371"/>
      <c r="C118371"/>
      <c r="E118371"/>
      <c r="F118371"/>
    </row>
    <row r="118372" spans="1:6" x14ac:dyDescent="0.25">
      <c r="A118372"/>
      <c r="B118372"/>
      <c r="C118372"/>
      <c r="E118372"/>
      <c r="F118372"/>
    </row>
    <row r="118373" spans="1:6" x14ac:dyDescent="0.25">
      <c r="A118373"/>
      <c r="B118373"/>
      <c r="C118373"/>
      <c r="E118373"/>
      <c r="F118373"/>
    </row>
    <row r="118374" spans="1:6" x14ac:dyDescent="0.25">
      <c r="A118374"/>
      <c r="B118374"/>
      <c r="C118374"/>
      <c r="E118374"/>
      <c r="F118374"/>
    </row>
    <row r="118375" spans="1:6" x14ac:dyDescent="0.25">
      <c r="A118375"/>
      <c r="B118375"/>
      <c r="C118375"/>
      <c r="E118375"/>
      <c r="F118375"/>
    </row>
    <row r="118376" spans="1:6" x14ac:dyDescent="0.25">
      <c r="A118376"/>
      <c r="B118376"/>
      <c r="C118376"/>
      <c r="E118376"/>
      <c r="F118376"/>
    </row>
    <row r="118377" spans="1:6" x14ac:dyDescent="0.25">
      <c r="A118377"/>
      <c r="B118377"/>
      <c r="C118377"/>
      <c r="E118377"/>
      <c r="F118377"/>
    </row>
    <row r="118378" spans="1:6" x14ac:dyDescent="0.25">
      <c r="A118378"/>
      <c r="B118378"/>
      <c r="C118378"/>
      <c r="E118378"/>
      <c r="F118378"/>
    </row>
    <row r="118379" spans="1:6" x14ac:dyDescent="0.25">
      <c r="A118379"/>
      <c r="B118379"/>
      <c r="C118379"/>
      <c r="E118379"/>
      <c r="F118379"/>
    </row>
    <row r="118380" spans="1:6" x14ac:dyDescent="0.25">
      <c r="A118380"/>
      <c r="B118380"/>
      <c r="C118380"/>
      <c r="E118380"/>
      <c r="F118380"/>
    </row>
    <row r="118381" spans="1:6" x14ac:dyDescent="0.25">
      <c r="A118381"/>
      <c r="B118381"/>
      <c r="C118381"/>
      <c r="E118381"/>
      <c r="F118381"/>
    </row>
    <row r="118382" spans="1:6" x14ac:dyDescent="0.25">
      <c r="A118382"/>
      <c r="B118382"/>
      <c r="C118382"/>
      <c r="E118382"/>
      <c r="F118382"/>
    </row>
    <row r="118383" spans="1:6" x14ac:dyDescent="0.25">
      <c r="A118383"/>
      <c r="B118383"/>
      <c r="C118383"/>
      <c r="E118383"/>
      <c r="F118383"/>
    </row>
    <row r="118384" spans="1:6" x14ac:dyDescent="0.25">
      <c r="A118384"/>
      <c r="B118384"/>
      <c r="C118384"/>
      <c r="E118384"/>
      <c r="F118384"/>
    </row>
    <row r="118385" spans="1:6" x14ac:dyDescent="0.25">
      <c r="A118385"/>
      <c r="B118385"/>
      <c r="C118385"/>
      <c r="E118385"/>
      <c r="F118385"/>
    </row>
    <row r="118386" spans="1:6" x14ac:dyDescent="0.25">
      <c r="A118386"/>
      <c r="B118386"/>
      <c r="C118386"/>
      <c r="E118386"/>
      <c r="F118386"/>
    </row>
    <row r="118387" spans="1:6" x14ac:dyDescent="0.25">
      <c r="A118387"/>
      <c r="B118387"/>
      <c r="C118387"/>
      <c r="E118387"/>
      <c r="F118387"/>
    </row>
    <row r="118388" spans="1:6" x14ac:dyDescent="0.25">
      <c r="A118388"/>
      <c r="B118388"/>
      <c r="C118388"/>
      <c r="E118388"/>
      <c r="F118388"/>
    </row>
    <row r="118389" spans="1:6" x14ac:dyDescent="0.25">
      <c r="A118389"/>
      <c r="B118389"/>
      <c r="C118389"/>
      <c r="E118389"/>
      <c r="F118389"/>
    </row>
    <row r="118390" spans="1:6" x14ac:dyDescent="0.25">
      <c r="A118390"/>
      <c r="B118390"/>
      <c r="C118390"/>
      <c r="E118390"/>
      <c r="F118390"/>
    </row>
    <row r="118391" spans="1:6" x14ac:dyDescent="0.25">
      <c r="A118391"/>
      <c r="B118391"/>
      <c r="C118391"/>
      <c r="E118391"/>
      <c r="F118391"/>
    </row>
    <row r="118392" spans="1:6" x14ac:dyDescent="0.25">
      <c r="A118392"/>
      <c r="B118392"/>
      <c r="C118392"/>
      <c r="E118392"/>
      <c r="F118392"/>
    </row>
    <row r="118393" spans="1:6" x14ac:dyDescent="0.25">
      <c r="A118393"/>
      <c r="B118393"/>
      <c r="C118393"/>
      <c r="E118393"/>
      <c r="F118393"/>
    </row>
    <row r="118394" spans="1:6" x14ac:dyDescent="0.25">
      <c r="A118394"/>
      <c r="B118394"/>
      <c r="C118394"/>
      <c r="E118394"/>
      <c r="F118394"/>
    </row>
    <row r="118395" spans="1:6" x14ac:dyDescent="0.25">
      <c r="A118395"/>
      <c r="B118395"/>
      <c r="C118395"/>
      <c r="E118395"/>
      <c r="F118395"/>
    </row>
    <row r="118396" spans="1:6" x14ac:dyDescent="0.25">
      <c r="A118396"/>
      <c r="B118396"/>
      <c r="C118396"/>
      <c r="E118396"/>
      <c r="F118396"/>
    </row>
    <row r="118397" spans="1:6" x14ac:dyDescent="0.25">
      <c r="A118397"/>
      <c r="B118397"/>
      <c r="C118397"/>
      <c r="E118397"/>
      <c r="F118397"/>
    </row>
    <row r="118398" spans="1:6" x14ac:dyDescent="0.25">
      <c r="A118398"/>
      <c r="B118398"/>
      <c r="C118398"/>
      <c r="E118398"/>
      <c r="F118398"/>
    </row>
    <row r="118399" spans="1:6" x14ac:dyDescent="0.25">
      <c r="A118399"/>
      <c r="B118399"/>
      <c r="C118399"/>
      <c r="E118399"/>
      <c r="F118399"/>
    </row>
    <row r="118400" spans="1:6" x14ac:dyDescent="0.25">
      <c r="A118400"/>
      <c r="B118400"/>
      <c r="C118400"/>
      <c r="E118400"/>
      <c r="F118400"/>
    </row>
    <row r="118401" spans="1:6" x14ac:dyDescent="0.25">
      <c r="A118401"/>
      <c r="B118401"/>
      <c r="C118401"/>
      <c r="E118401"/>
      <c r="F118401"/>
    </row>
    <row r="118402" spans="1:6" x14ac:dyDescent="0.25">
      <c r="A118402"/>
      <c r="B118402"/>
      <c r="C118402"/>
      <c r="E118402"/>
      <c r="F118402"/>
    </row>
    <row r="118403" spans="1:6" x14ac:dyDescent="0.25">
      <c r="A118403"/>
      <c r="B118403"/>
      <c r="C118403"/>
      <c r="E118403"/>
      <c r="F118403"/>
    </row>
    <row r="118404" spans="1:6" x14ac:dyDescent="0.25">
      <c r="A118404"/>
      <c r="B118404"/>
      <c r="C118404"/>
      <c r="E118404"/>
      <c r="F118404"/>
    </row>
    <row r="118405" spans="1:6" x14ac:dyDescent="0.25">
      <c r="A118405"/>
      <c r="B118405"/>
      <c r="C118405"/>
      <c r="E118405"/>
      <c r="F118405"/>
    </row>
    <row r="118406" spans="1:6" x14ac:dyDescent="0.25">
      <c r="A118406"/>
      <c r="B118406"/>
      <c r="C118406"/>
      <c r="E118406"/>
      <c r="F118406"/>
    </row>
    <row r="118407" spans="1:6" x14ac:dyDescent="0.25">
      <c r="A118407"/>
      <c r="B118407"/>
      <c r="C118407"/>
      <c r="E118407"/>
      <c r="F118407"/>
    </row>
    <row r="118408" spans="1:6" x14ac:dyDescent="0.25">
      <c r="A118408"/>
      <c r="B118408"/>
      <c r="C118408"/>
      <c r="E118408"/>
      <c r="F118408"/>
    </row>
    <row r="118409" spans="1:6" x14ac:dyDescent="0.25">
      <c r="A118409"/>
      <c r="B118409"/>
      <c r="C118409"/>
      <c r="E118409"/>
      <c r="F118409"/>
    </row>
    <row r="118410" spans="1:6" x14ac:dyDescent="0.25">
      <c r="A118410"/>
      <c r="B118410"/>
      <c r="C118410"/>
      <c r="E118410"/>
      <c r="F118410"/>
    </row>
    <row r="118411" spans="1:6" x14ac:dyDescent="0.25">
      <c r="A118411"/>
      <c r="B118411"/>
      <c r="C118411"/>
      <c r="E118411"/>
      <c r="F118411"/>
    </row>
    <row r="118412" spans="1:6" x14ac:dyDescent="0.25">
      <c r="A118412"/>
      <c r="B118412"/>
      <c r="C118412"/>
      <c r="E118412"/>
      <c r="F118412"/>
    </row>
    <row r="118413" spans="1:6" x14ac:dyDescent="0.25">
      <c r="A118413"/>
      <c r="B118413"/>
      <c r="C118413"/>
      <c r="E118413"/>
      <c r="F118413"/>
    </row>
    <row r="118414" spans="1:6" x14ac:dyDescent="0.25">
      <c r="A118414"/>
      <c r="B118414"/>
      <c r="C118414"/>
      <c r="E118414"/>
      <c r="F118414"/>
    </row>
    <row r="118415" spans="1:6" x14ac:dyDescent="0.25">
      <c r="A118415"/>
      <c r="B118415"/>
      <c r="C118415"/>
      <c r="E118415"/>
      <c r="F118415"/>
    </row>
    <row r="118416" spans="1:6" x14ac:dyDescent="0.25">
      <c r="A118416"/>
      <c r="B118416"/>
      <c r="C118416"/>
      <c r="E118416"/>
      <c r="F118416"/>
    </row>
    <row r="118417" spans="1:6" x14ac:dyDescent="0.25">
      <c r="A118417"/>
      <c r="B118417"/>
      <c r="C118417"/>
      <c r="E118417"/>
      <c r="F118417"/>
    </row>
    <row r="118418" spans="1:6" x14ac:dyDescent="0.25">
      <c r="A118418"/>
      <c r="B118418"/>
      <c r="C118418"/>
      <c r="E118418"/>
      <c r="F118418"/>
    </row>
    <row r="118419" spans="1:6" x14ac:dyDescent="0.25">
      <c r="A118419"/>
      <c r="B118419"/>
      <c r="C118419"/>
      <c r="E118419"/>
      <c r="F118419"/>
    </row>
    <row r="118420" spans="1:6" x14ac:dyDescent="0.25">
      <c r="A118420"/>
      <c r="B118420"/>
      <c r="C118420"/>
      <c r="E118420"/>
      <c r="F118420"/>
    </row>
    <row r="118421" spans="1:6" x14ac:dyDescent="0.25">
      <c r="A118421"/>
      <c r="B118421"/>
      <c r="C118421"/>
      <c r="E118421"/>
      <c r="F118421"/>
    </row>
    <row r="118422" spans="1:6" x14ac:dyDescent="0.25">
      <c r="A118422"/>
      <c r="B118422"/>
      <c r="C118422"/>
      <c r="E118422"/>
      <c r="F118422"/>
    </row>
    <row r="118423" spans="1:6" x14ac:dyDescent="0.25">
      <c r="A118423"/>
      <c r="B118423"/>
      <c r="C118423"/>
      <c r="E118423"/>
      <c r="F118423"/>
    </row>
    <row r="118424" spans="1:6" x14ac:dyDescent="0.25">
      <c r="A118424"/>
      <c r="B118424"/>
      <c r="C118424"/>
      <c r="E118424"/>
      <c r="F118424"/>
    </row>
    <row r="118425" spans="1:6" x14ac:dyDescent="0.25">
      <c r="A118425"/>
      <c r="B118425"/>
      <c r="C118425"/>
      <c r="E118425"/>
      <c r="F118425"/>
    </row>
    <row r="118426" spans="1:6" x14ac:dyDescent="0.25">
      <c r="A118426"/>
      <c r="B118426"/>
      <c r="C118426"/>
      <c r="E118426"/>
      <c r="F118426"/>
    </row>
    <row r="118427" spans="1:6" x14ac:dyDescent="0.25">
      <c r="A118427"/>
      <c r="B118427"/>
      <c r="C118427"/>
      <c r="E118427"/>
      <c r="F118427"/>
    </row>
    <row r="118428" spans="1:6" x14ac:dyDescent="0.25">
      <c r="A118428"/>
      <c r="B118428"/>
      <c r="C118428"/>
      <c r="E118428"/>
      <c r="F118428"/>
    </row>
    <row r="118429" spans="1:6" x14ac:dyDescent="0.25">
      <c r="A118429"/>
      <c r="B118429"/>
      <c r="C118429"/>
      <c r="E118429"/>
      <c r="F118429"/>
    </row>
    <row r="118430" spans="1:6" x14ac:dyDescent="0.25">
      <c r="A118430"/>
      <c r="B118430"/>
      <c r="C118430"/>
      <c r="E118430"/>
      <c r="F118430"/>
    </row>
    <row r="118431" spans="1:6" x14ac:dyDescent="0.25">
      <c r="A118431"/>
      <c r="B118431"/>
      <c r="C118431"/>
      <c r="E118431"/>
      <c r="F118431"/>
    </row>
    <row r="118432" spans="1:6" x14ac:dyDescent="0.25">
      <c r="A118432"/>
      <c r="B118432"/>
      <c r="C118432"/>
      <c r="E118432"/>
      <c r="F118432"/>
    </row>
    <row r="118433" spans="1:6" x14ac:dyDescent="0.25">
      <c r="A118433"/>
      <c r="B118433"/>
      <c r="C118433"/>
      <c r="E118433"/>
      <c r="F118433"/>
    </row>
    <row r="118434" spans="1:6" x14ac:dyDescent="0.25">
      <c r="A118434"/>
      <c r="B118434"/>
      <c r="C118434"/>
      <c r="E118434"/>
      <c r="F118434"/>
    </row>
    <row r="118435" spans="1:6" x14ac:dyDescent="0.25">
      <c r="A118435"/>
      <c r="B118435"/>
      <c r="C118435"/>
      <c r="E118435"/>
      <c r="F118435"/>
    </row>
    <row r="118436" spans="1:6" x14ac:dyDescent="0.25">
      <c r="A118436"/>
      <c r="B118436"/>
      <c r="C118436"/>
      <c r="E118436"/>
      <c r="F118436"/>
    </row>
    <row r="118437" spans="1:6" x14ac:dyDescent="0.25">
      <c r="A118437"/>
      <c r="B118437"/>
      <c r="C118437"/>
      <c r="E118437"/>
      <c r="F118437"/>
    </row>
    <row r="118438" spans="1:6" x14ac:dyDescent="0.25">
      <c r="A118438"/>
      <c r="B118438"/>
      <c r="C118438"/>
      <c r="E118438"/>
      <c r="F118438"/>
    </row>
    <row r="118439" spans="1:6" x14ac:dyDescent="0.25">
      <c r="A118439"/>
      <c r="B118439"/>
      <c r="C118439"/>
      <c r="E118439"/>
      <c r="F118439"/>
    </row>
    <row r="118440" spans="1:6" x14ac:dyDescent="0.25">
      <c r="A118440"/>
      <c r="B118440"/>
      <c r="C118440"/>
      <c r="E118440"/>
      <c r="F118440"/>
    </row>
    <row r="118441" spans="1:6" x14ac:dyDescent="0.25">
      <c r="A118441"/>
      <c r="B118441"/>
      <c r="C118441"/>
      <c r="E118441"/>
      <c r="F118441"/>
    </row>
    <row r="118442" spans="1:6" x14ac:dyDescent="0.25">
      <c r="A118442"/>
      <c r="B118442"/>
      <c r="C118442"/>
      <c r="E118442"/>
      <c r="F118442"/>
    </row>
    <row r="118443" spans="1:6" x14ac:dyDescent="0.25">
      <c r="A118443"/>
      <c r="B118443"/>
      <c r="C118443"/>
      <c r="E118443"/>
      <c r="F118443"/>
    </row>
    <row r="118444" spans="1:6" x14ac:dyDescent="0.25">
      <c r="A118444"/>
      <c r="B118444"/>
      <c r="C118444"/>
      <c r="E118444"/>
      <c r="F118444"/>
    </row>
    <row r="118445" spans="1:6" x14ac:dyDescent="0.25">
      <c r="A118445"/>
      <c r="B118445"/>
      <c r="C118445"/>
      <c r="E118445"/>
      <c r="F118445"/>
    </row>
    <row r="118446" spans="1:6" x14ac:dyDescent="0.25">
      <c r="A118446"/>
      <c r="B118446"/>
      <c r="C118446"/>
      <c r="E118446"/>
      <c r="F118446"/>
    </row>
    <row r="118447" spans="1:6" x14ac:dyDescent="0.25">
      <c r="A118447"/>
      <c r="B118447"/>
      <c r="C118447"/>
      <c r="E118447"/>
      <c r="F118447"/>
    </row>
    <row r="118448" spans="1:6" x14ac:dyDescent="0.25">
      <c r="A118448"/>
      <c r="B118448"/>
      <c r="C118448"/>
      <c r="E118448"/>
      <c r="F118448"/>
    </row>
    <row r="118449" spans="1:6" x14ac:dyDescent="0.25">
      <c r="A118449"/>
      <c r="B118449"/>
      <c r="C118449"/>
      <c r="E118449"/>
      <c r="F118449"/>
    </row>
    <row r="118450" spans="1:6" x14ac:dyDescent="0.25">
      <c r="A118450"/>
      <c r="B118450"/>
      <c r="C118450"/>
      <c r="E118450"/>
      <c r="F118450"/>
    </row>
    <row r="118451" spans="1:6" x14ac:dyDescent="0.25">
      <c r="A118451"/>
      <c r="B118451"/>
      <c r="C118451"/>
      <c r="E118451"/>
      <c r="F118451"/>
    </row>
    <row r="118452" spans="1:6" x14ac:dyDescent="0.25">
      <c r="A118452"/>
      <c r="B118452"/>
      <c r="C118452"/>
      <c r="E118452"/>
      <c r="F118452"/>
    </row>
    <row r="118453" spans="1:6" x14ac:dyDescent="0.25">
      <c r="A118453"/>
      <c r="B118453"/>
      <c r="C118453"/>
      <c r="E118453"/>
      <c r="F118453"/>
    </row>
    <row r="118454" spans="1:6" x14ac:dyDescent="0.25">
      <c r="A118454"/>
      <c r="B118454"/>
      <c r="C118454"/>
      <c r="E118454"/>
      <c r="F118454"/>
    </row>
    <row r="118455" spans="1:6" x14ac:dyDescent="0.25">
      <c r="A118455"/>
      <c r="B118455"/>
      <c r="C118455"/>
      <c r="E118455"/>
      <c r="F118455"/>
    </row>
    <row r="118456" spans="1:6" x14ac:dyDescent="0.25">
      <c r="A118456"/>
      <c r="B118456"/>
      <c r="C118456"/>
      <c r="E118456"/>
      <c r="F118456"/>
    </row>
    <row r="118457" spans="1:6" x14ac:dyDescent="0.25">
      <c r="A118457"/>
      <c r="B118457"/>
      <c r="C118457"/>
      <c r="E118457"/>
      <c r="F118457"/>
    </row>
    <row r="118458" spans="1:6" x14ac:dyDescent="0.25">
      <c r="A118458"/>
      <c r="B118458"/>
      <c r="C118458"/>
      <c r="E118458"/>
      <c r="F118458"/>
    </row>
    <row r="118459" spans="1:6" x14ac:dyDescent="0.25">
      <c r="A118459"/>
      <c r="B118459"/>
      <c r="C118459"/>
      <c r="E118459"/>
      <c r="F118459"/>
    </row>
    <row r="118460" spans="1:6" x14ac:dyDescent="0.25">
      <c r="A118460"/>
      <c r="B118460"/>
      <c r="C118460"/>
      <c r="E118460"/>
      <c r="F118460"/>
    </row>
    <row r="118461" spans="1:6" x14ac:dyDescent="0.25">
      <c r="A118461"/>
      <c r="B118461"/>
      <c r="C118461"/>
      <c r="E118461"/>
      <c r="F118461"/>
    </row>
    <row r="118462" spans="1:6" x14ac:dyDescent="0.25">
      <c r="A118462"/>
      <c r="B118462"/>
      <c r="C118462"/>
      <c r="E118462"/>
      <c r="F118462"/>
    </row>
    <row r="118463" spans="1:6" x14ac:dyDescent="0.25">
      <c r="A118463"/>
      <c r="B118463"/>
      <c r="C118463"/>
      <c r="E118463"/>
      <c r="F118463"/>
    </row>
    <row r="118464" spans="1:6" x14ac:dyDescent="0.25">
      <c r="A118464"/>
      <c r="B118464"/>
      <c r="C118464"/>
      <c r="E118464"/>
      <c r="F118464"/>
    </row>
    <row r="118465" spans="1:6" x14ac:dyDescent="0.25">
      <c r="A118465"/>
      <c r="B118465"/>
      <c r="C118465"/>
      <c r="E118465"/>
      <c r="F118465"/>
    </row>
    <row r="118466" spans="1:6" x14ac:dyDescent="0.25">
      <c r="A118466"/>
      <c r="B118466"/>
      <c r="C118466"/>
      <c r="E118466"/>
      <c r="F118466"/>
    </row>
    <row r="118467" spans="1:6" x14ac:dyDescent="0.25">
      <c r="A118467"/>
      <c r="B118467"/>
      <c r="C118467"/>
      <c r="E118467"/>
      <c r="F118467"/>
    </row>
    <row r="118468" spans="1:6" x14ac:dyDescent="0.25">
      <c r="A118468"/>
      <c r="B118468"/>
      <c r="C118468"/>
      <c r="E118468"/>
      <c r="F118468"/>
    </row>
    <row r="118469" spans="1:6" x14ac:dyDescent="0.25">
      <c r="A118469"/>
      <c r="B118469"/>
      <c r="C118469"/>
      <c r="E118469"/>
      <c r="F118469"/>
    </row>
    <row r="118470" spans="1:6" x14ac:dyDescent="0.25">
      <c r="A118470"/>
      <c r="B118470"/>
      <c r="C118470"/>
      <c r="E118470"/>
      <c r="F118470"/>
    </row>
    <row r="118471" spans="1:6" x14ac:dyDescent="0.25">
      <c r="A118471"/>
      <c r="B118471"/>
      <c r="C118471"/>
      <c r="E118471"/>
      <c r="F118471"/>
    </row>
    <row r="118472" spans="1:6" x14ac:dyDescent="0.25">
      <c r="A118472"/>
      <c r="B118472"/>
      <c r="C118472"/>
      <c r="E118472"/>
      <c r="F118472"/>
    </row>
    <row r="118473" spans="1:6" x14ac:dyDescent="0.25">
      <c r="A118473"/>
      <c r="B118473"/>
      <c r="C118473"/>
      <c r="E118473"/>
      <c r="F118473"/>
    </row>
    <row r="118474" spans="1:6" x14ac:dyDescent="0.25">
      <c r="A118474"/>
      <c r="B118474"/>
      <c r="C118474"/>
      <c r="E118474"/>
      <c r="F118474"/>
    </row>
    <row r="118475" spans="1:6" x14ac:dyDescent="0.25">
      <c r="A118475"/>
      <c r="B118475"/>
      <c r="C118475"/>
      <c r="E118475"/>
      <c r="F118475"/>
    </row>
    <row r="118476" spans="1:6" x14ac:dyDescent="0.25">
      <c r="A118476"/>
      <c r="B118476"/>
      <c r="C118476"/>
      <c r="E118476"/>
      <c r="F118476"/>
    </row>
    <row r="118477" spans="1:6" x14ac:dyDescent="0.25">
      <c r="A118477"/>
      <c r="B118477"/>
      <c r="C118477"/>
      <c r="E118477"/>
      <c r="F118477"/>
    </row>
    <row r="118478" spans="1:6" x14ac:dyDescent="0.25">
      <c r="A118478"/>
      <c r="B118478"/>
      <c r="C118478"/>
      <c r="E118478"/>
      <c r="F118478"/>
    </row>
    <row r="118479" spans="1:6" x14ac:dyDescent="0.25">
      <c r="A118479"/>
      <c r="B118479"/>
      <c r="C118479"/>
      <c r="E118479"/>
      <c r="F118479"/>
    </row>
    <row r="118480" spans="1:6" x14ac:dyDescent="0.25">
      <c r="A118480"/>
      <c r="B118480"/>
      <c r="C118480"/>
      <c r="E118480"/>
      <c r="F118480"/>
    </row>
    <row r="118481" spans="1:6" x14ac:dyDescent="0.25">
      <c r="A118481"/>
      <c r="B118481"/>
      <c r="C118481"/>
      <c r="E118481"/>
      <c r="F118481"/>
    </row>
    <row r="118482" spans="1:6" x14ac:dyDescent="0.25">
      <c r="A118482"/>
      <c r="B118482"/>
      <c r="C118482"/>
      <c r="E118482"/>
      <c r="F118482"/>
    </row>
    <row r="118483" spans="1:6" x14ac:dyDescent="0.25">
      <c r="A118483"/>
      <c r="B118483"/>
      <c r="C118483"/>
      <c r="E118483"/>
      <c r="F118483"/>
    </row>
    <row r="118484" spans="1:6" x14ac:dyDescent="0.25">
      <c r="A118484"/>
      <c r="B118484"/>
      <c r="C118484"/>
      <c r="E118484"/>
      <c r="F118484"/>
    </row>
    <row r="118485" spans="1:6" x14ac:dyDescent="0.25">
      <c r="A118485"/>
      <c r="B118485"/>
      <c r="C118485"/>
      <c r="E118485"/>
      <c r="F118485"/>
    </row>
    <row r="118486" spans="1:6" x14ac:dyDescent="0.25">
      <c r="A118486"/>
      <c r="B118486"/>
      <c r="C118486"/>
      <c r="E118486"/>
      <c r="F118486"/>
    </row>
    <row r="118487" spans="1:6" x14ac:dyDescent="0.25">
      <c r="A118487"/>
      <c r="B118487"/>
      <c r="C118487"/>
      <c r="E118487"/>
      <c r="F118487"/>
    </row>
    <row r="118488" spans="1:6" x14ac:dyDescent="0.25">
      <c r="A118488"/>
      <c r="B118488"/>
      <c r="C118488"/>
      <c r="E118488"/>
      <c r="F118488"/>
    </row>
    <row r="118489" spans="1:6" x14ac:dyDescent="0.25">
      <c r="A118489"/>
      <c r="B118489"/>
      <c r="C118489"/>
      <c r="E118489"/>
      <c r="F118489"/>
    </row>
    <row r="118490" spans="1:6" x14ac:dyDescent="0.25">
      <c r="A118490"/>
      <c r="B118490"/>
      <c r="C118490"/>
      <c r="E118490"/>
      <c r="F118490"/>
    </row>
    <row r="118491" spans="1:6" x14ac:dyDescent="0.25">
      <c r="A118491"/>
      <c r="B118491"/>
      <c r="C118491"/>
      <c r="E118491"/>
      <c r="F118491"/>
    </row>
    <row r="118492" spans="1:6" x14ac:dyDescent="0.25">
      <c r="A118492"/>
      <c r="B118492"/>
      <c r="C118492"/>
      <c r="E118492"/>
      <c r="F118492"/>
    </row>
    <row r="118493" spans="1:6" x14ac:dyDescent="0.25">
      <c r="A118493"/>
      <c r="B118493"/>
      <c r="C118493"/>
      <c r="E118493"/>
      <c r="F118493"/>
    </row>
    <row r="118494" spans="1:6" x14ac:dyDescent="0.25">
      <c r="A118494"/>
      <c r="B118494"/>
      <c r="C118494"/>
      <c r="E118494"/>
      <c r="F118494"/>
    </row>
    <row r="118495" spans="1:6" x14ac:dyDescent="0.25">
      <c r="A118495"/>
      <c r="B118495"/>
      <c r="C118495"/>
      <c r="E118495"/>
      <c r="F118495"/>
    </row>
    <row r="118496" spans="1:6" x14ac:dyDescent="0.25">
      <c r="A118496"/>
      <c r="B118496"/>
      <c r="C118496"/>
      <c r="E118496"/>
      <c r="F118496"/>
    </row>
    <row r="118497" spans="1:6" x14ac:dyDescent="0.25">
      <c r="A118497"/>
      <c r="B118497"/>
      <c r="C118497"/>
      <c r="E118497"/>
      <c r="F118497"/>
    </row>
    <row r="118498" spans="1:6" x14ac:dyDescent="0.25">
      <c r="A118498"/>
      <c r="B118498"/>
      <c r="C118498"/>
      <c r="E118498"/>
      <c r="F118498"/>
    </row>
    <row r="118499" spans="1:6" x14ac:dyDescent="0.25">
      <c r="A118499"/>
      <c r="B118499"/>
      <c r="C118499"/>
      <c r="E118499"/>
      <c r="F118499"/>
    </row>
    <row r="118500" spans="1:6" x14ac:dyDescent="0.25">
      <c r="A118500"/>
      <c r="B118500"/>
      <c r="C118500"/>
      <c r="E118500"/>
      <c r="F118500"/>
    </row>
    <row r="118501" spans="1:6" x14ac:dyDescent="0.25">
      <c r="A118501"/>
      <c r="B118501"/>
      <c r="C118501"/>
      <c r="E118501"/>
      <c r="F118501"/>
    </row>
    <row r="118502" spans="1:6" x14ac:dyDescent="0.25">
      <c r="A118502"/>
      <c r="B118502"/>
      <c r="C118502"/>
      <c r="E118502"/>
      <c r="F118502"/>
    </row>
    <row r="118503" spans="1:6" x14ac:dyDescent="0.25">
      <c r="A118503"/>
      <c r="B118503"/>
      <c r="C118503"/>
      <c r="E118503"/>
      <c r="F118503"/>
    </row>
    <row r="118504" spans="1:6" x14ac:dyDescent="0.25">
      <c r="A118504"/>
      <c r="B118504"/>
      <c r="C118504"/>
      <c r="E118504"/>
      <c r="F118504"/>
    </row>
    <row r="118505" spans="1:6" x14ac:dyDescent="0.25">
      <c r="A118505"/>
      <c r="B118505"/>
      <c r="C118505"/>
      <c r="E118505"/>
      <c r="F118505"/>
    </row>
    <row r="118506" spans="1:6" x14ac:dyDescent="0.25">
      <c r="A118506"/>
      <c r="B118506"/>
      <c r="C118506"/>
      <c r="E118506"/>
      <c r="F118506"/>
    </row>
    <row r="118507" spans="1:6" x14ac:dyDescent="0.25">
      <c r="A118507"/>
      <c r="B118507"/>
      <c r="C118507"/>
      <c r="E118507"/>
      <c r="F118507"/>
    </row>
    <row r="118508" spans="1:6" x14ac:dyDescent="0.25">
      <c r="A118508"/>
      <c r="B118508"/>
      <c r="C118508"/>
      <c r="E118508"/>
      <c r="F118508"/>
    </row>
    <row r="118509" spans="1:6" x14ac:dyDescent="0.25">
      <c r="A118509"/>
      <c r="B118509"/>
      <c r="C118509"/>
      <c r="E118509"/>
      <c r="F118509"/>
    </row>
    <row r="118510" spans="1:6" x14ac:dyDescent="0.25">
      <c r="A118510"/>
      <c r="B118510"/>
      <c r="C118510"/>
      <c r="E118510"/>
      <c r="F118510"/>
    </row>
    <row r="118511" spans="1:6" x14ac:dyDescent="0.25">
      <c r="A118511"/>
      <c r="B118511"/>
      <c r="C118511"/>
      <c r="E118511"/>
      <c r="F118511"/>
    </row>
    <row r="118512" spans="1:6" x14ac:dyDescent="0.25">
      <c r="A118512"/>
      <c r="B118512"/>
      <c r="C118512"/>
      <c r="E118512"/>
      <c r="F118512"/>
    </row>
    <row r="118513" spans="1:6" x14ac:dyDescent="0.25">
      <c r="A118513"/>
      <c r="B118513"/>
      <c r="C118513"/>
      <c r="E118513"/>
      <c r="F118513"/>
    </row>
    <row r="118514" spans="1:6" x14ac:dyDescent="0.25">
      <c r="A118514"/>
      <c r="B118514"/>
      <c r="C118514"/>
      <c r="E118514"/>
      <c r="F118514"/>
    </row>
    <row r="118515" spans="1:6" x14ac:dyDescent="0.25">
      <c r="A118515"/>
      <c r="B118515"/>
      <c r="C118515"/>
      <c r="E118515"/>
      <c r="F118515"/>
    </row>
    <row r="118516" spans="1:6" x14ac:dyDescent="0.25">
      <c r="A118516"/>
      <c r="B118516"/>
      <c r="C118516"/>
      <c r="E118516"/>
      <c r="F118516"/>
    </row>
    <row r="118517" spans="1:6" x14ac:dyDescent="0.25">
      <c r="A118517"/>
      <c r="B118517"/>
      <c r="C118517"/>
      <c r="E118517"/>
      <c r="F118517"/>
    </row>
    <row r="118518" spans="1:6" x14ac:dyDescent="0.25">
      <c r="A118518"/>
      <c r="B118518"/>
      <c r="C118518"/>
      <c r="E118518"/>
      <c r="F118518"/>
    </row>
    <row r="118519" spans="1:6" x14ac:dyDescent="0.25">
      <c r="A118519"/>
      <c r="B118519"/>
      <c r="C118519"/>
      <c r="E118519"/>
      <c r="F118519"/>
    </row>
    <row r="118520" spans="1:6" x14ac:dyDescent="0.25">
      <c r="A118520"/>
      <c r="B118520"/>
      <c r="C118520"/>
      <c r="E118520"/>
      <c r="F118520"/>
    </row>
    <row r="118521" spans="1:6" x14ac:dyDescent="0.25">
      <c r="A118521"/>
      <c r="B118521"/>
      <c r="C118521"/>
      <c r="E118521"/>
      <c r="F118521"/>
    </row>
    <row r="118522" spans="1:6" x14ac:dyDescent="0.25">
      <c r="A118522"/>
      <c r="B118522"/>
      <c r="C118522"/>
      <c r="E118522"/>
      <c r="F118522"/>
    </row>
    <row r="118523" spans="1:6" x14ac:dyDescent="0.25">
      <c r="A118523"/>
      <c r="B118523"/>
      <c r="C118523"/>
      <c r="E118523"/>
      <c r="F118523"/>
    </row>
    <row r="118524" spans="1:6" x14ac:dyDescent="0.25">
      <c r="A118524"/>
      <c r="B118524"/>
      <c r="C118524"/>
      <c r="E118524"/>
      <c r="F118524"/>
    </row>
    <row r="118525" spans="1:6" x14ac:dyDescent="0.25">
      <c r="A118525"/>
      <c r="B118525"/>
      <c r="C118525"/>
      <c r="E118525"/>
      <c r="F118525"/>
    </row>
    <row r="118526" spans="1:6" x14ac:dyDescent="0.25">
      <c r="A118526"/>
      <c r="B118526"/>
      <c r="C118526"/>
      <c r="E118526"/>
      <c r="F118526"/>
    </row>
    <row r="118527" spans="1:6" x14ac:dyDescent="0.25">
      <c r="A118527"/>
      <c r="B118527"/>
      <c r="C118527"/>
      <c r="E118527"/>
      <c r="F118527"/>
    </row>
    <row r="118528" spans="1:6" x14ac:dyDescent="0.25">
      <c r="A118528"/>
      <c r="B118528"/>
      <c r="C118528"/>
      <c r="E118528"/>
      <c r="F118528"/>
    </row>
    <row r="118529" spans="1:6" x14ac:dyDescent="0.25">
      <c r="A118529"/>
      <c r="B118529"/>
      <c r="C118529"/>
      <c r="E118529"/>
      <c r="F118529"/>
    </row>
    <row r="118530" spans="1:6" x14ac:dyDescent="0.25">
      <c r="A118530"/>
      <c r="B118530"/>
      <c r="C118530"/>
      <c r="E118530"/>
      <c r="F118530"/>
    </row>
    <row r="118531" spans="1:6" x14ac:dyDescent="0.25">
      <c r="A118531"/>
      <c r="B118531"/>
      <c r="C118531"/>
      <c r="E118531"/>
      <c r="F118531"/>
    </row>
    <row r="118532" spans="1:6" x14ac:dyDescent="0.25">
      <c r="A118532"/>
      <c r="B118532"/>
      <c r="C118532"/>
      <c r="E118532"/>
      <c r="F118532"/>
    </row>
    <row r="118533" spans="1:6" x14ac:dyDescent="0.25">
      <c r="A118533"/>
      <c r="B118533"/>
      <c r="C118533"/>
      <c r="E118533"/>
      <c r="F118533"/>
    </row>
    <row r="118534" spans="1:6" x14ac:dyDescent="0.25">
      <c r="A118534"/>
      <c r="B118534"/>
      <c r="C118534"/>
      <c r="E118534"/>
      <c r="F118534"/>
    </row>
    <row r="118535" spans="1:6" x14ac:dyDescent="0.25">
      <c r="A118535"/>
      <c r="B118535"/>
      <c r="C118535"/>
      <c r="E118535"/>
      <c r="F118535"/>
    </row>
    <row r="118536" spans="1:6" x14ac:dyDescent="0.25">
      <c r="A118536"/>
      <c r="B118536"/>
      <c r="C118536"/>
      <c r="E118536"/>
      <c r="F118536"/>
    </row>
    <row r="118537" spans="1:6" x14ac:dyDescent="0.25">
      <c r="A118537"/>
      <c r="B118537"/>
      <c r="C118537"/>
      <c r="E118537"/>
      <c r="F118537"/>
    </row>
    <row r="118538" spans="1:6" x14ac:dyDescent="0.25">
      <c r="A118538"/>
      <c r="B118538"/>
      <c r="C118538"/>
      <c r="E118538"/>
      <c r="F118538"/>
    </row>
    <row r="118539" spans="1:6" x14ac:dyDescent="0.25">
      <c r="A118539"/>
      <c r="B118539"/>
      <c r="C118539"/>
      <c r="E118539"/>
      <c r="F118539"/>
    </row>
    <row r="118540" spans="1:6" x14ac:dyDescent="0.25">
      <c r="A118540"/>
      <c r="B118540"/>
      <c r="C118540"/>
      <c r="E118540"/>
      <c r="F118540"/>
    </row>
    <row r="118541" spans="1:6" x14ac:dyDescent="0.25">
      <c r="A118541"/>
      <c r="B118541"/>
      <c r="C118541"/>
      <c r="E118541"/>
      <c r="F118541"/>
    </row>
    <row r="118542" spans="1:6" x14ac:dyDescent="0.25">
      <c r="A118542"/>
      <c r="B118542"/>
      <c r="C118542"/>
      <c r="E118542"/>
      <c r="F118542"/>
    </row>
    <row r="118543" spans="1:6" x14ac:dyDescent="0.25">
      <c r="A118543"/>
      <c r="B118543"/>
      <c r="C118543"/>
      <c r="E118543"/>
      <c r="F118543"/>
    </row>
    <row r="118544" spans="1:6" x14ac:dyDescent="0.25">
      <c r="A118544"/>
      <c r="B118544"/>
      <c r="C118544"/>
      <c r="E118544"/>
      <c r="F118544"/>
    </row>
    <row r="118545" spans="1:6" x14ac:dyDescent="0.25">
      <c r="A118545"/>
      <c r="B118545"/>
      <c r="C118545"/>
      <c r="E118545"/>
      <c r="F118545"/>
    </row>
    <row r="118546" spans="1:6" x14ac:dyDescent="0.25">
      <c r="A118546"/>
      <c r="B118546"/>
      <c r="C118546"/>
      <c r="E118546"/>
      <c r="F118546"/>
    </row>
    <row r="118547" spans="1:6" x14ac:dyDescent="0.25">
      <c r="A118547"/>
      <c r="B118547"/>
      <c r="C118547"/>
      <c r="E118547"/>
      <c r="F118547"/>
    </row>
    <row r="118548" spans="1:6" x14ac:dyDescent="0.25">
      <c r="A118548"/>
      <c r="B118548"/>
      <c r="C118548"/>
      <c r="E118548"/>
      <c r="F118548"/>
    </row>
    <row r="118549" spans="1:6" x14ac:dyDescent="0.25">
      <c r="A118549"/>
      <c r="B118549"/>
      <c r="C118549"/>
      <c r="E118549"/>
      <c r="F118549"/>
    </row>
    <row r="118550" spans="1:6" x14ac:dyDescent="0.25">
      <c r="A118550"/>
      <c r="B118550"/>
      <c r="C118550"/>
      <c r="E118550"/>
      <c r="F118550"/>
    </row>
    <row r="118551" spans="1:6" x14ac:dyDescent="0.25">
      <c r="A118551"/>
      <c r="B118551"/>
      <c r="C118551"/>
      <c r="E118551"/>
      <c r="F118551"/>
    </row>
    <row r="118552" spans="1:6" x14ac:dyDescent="0.25">
      <c r="A118552"/>
      <c r="B118552"/>
      <c r="C118552"/>
      <c r="E118552"/>
      <c r="F118552"/>
    </row>
    <row r="118553" spans="1:6" x14ac:dyDescent="0.25">
      <c r="A118553"/>
      <c r="B118553"/>
      <c r="C118553"/>
      <c r="E118553"/>
      <c r="F118553"/>
    </row>
    <row r="118554" spans="1:6" x14ac:dyDescent="0.25">
      <c r="A118554"/>
      <c r="B118554"/>
      <c r="C118554"/>
      <c r="E118554"/>
      <c r="F118554"/>
    </row>
    <row r="118555" spans="1:6" x14ac:dyDescent="0.25">
      <c r="A118555"/>
      <c r="B118555"/>
      <c r="C118555"/>
      <c r="E118555"/>
      <c r="F118555"/>
    </row>
    <row r="118556" spans="1:6" x14ac:dyDescent="0.25">
      <c r="A118556"/>
      <c r="B118556"/>
      <c r="C118556"/>
      <c r="E118556"/>
      <c r="F118556"/>
    </row>
    <row r="118557" spans="1:6" x14ac:dyDescent="0.25">
      <c r="A118557"/>
      <c r="B118557"/>
      <c r="C118557"/>
      <c r="E118557"/>
      <c r="F118557"/>
    </row>
    <row r="118558" spans="1:6" x14ac:dyDescent="0.25">
      <c r="A118558"/>
      <c r="B118558"/>
      <c r="C118558"/>
      <c r="E118558"/>
      <c r="F118558"/>
    </row>
    <row r="118559" spans="1:6" x14ac:dyDescent="0.25">
      <c r="A118559"/>
      <c r="B118559"/>
      <c r="C118559"/>
      <c r="E118559"/>
      <c r="F118559"/>
    </row>
    <row r="118560" spans="1:6" x14ac:dyDescent="0.25">
      <c r="A118560"/>
      <c r="B118560"/>
      <c r="C118560"/>
      <c r="E118560"/>
      <c r="F118560"/>
    </row>
    <row r="118561" spans="1:6" x14ac:dyDescent="0.25">
      <c r="A118561"/>
      <c r="B118561"/>
      <c r="C118561"/>
      <c r="E118561"/>
      <c r="F118561"/>
    </row>
    <row r="118562" spans="1:6" x14ac:dyDescent="0.25">
      <c r="A118562"/>
      <c r="B118562"/>
      <c r="C118562"/>
      <c r="E118562"/>
      <c r="F118562"/>
    </row>
    <row r="118563" spans="1:6" x14ac:dyDescent="0.25">
      <c r="A118563"/>
      <c r="B118563"/>
      <c r="C118563"/>
      <c r="E118563"/>
      <c r="F118563"/>
    </row>
    <row r="118564" spans="1:6" x14ac:dyDescent="0.25">
      <c r="A118564"/>
      <c r="B118564"/>
      <c r="C118564"/>
      <c r="E118564"/>
      <c r="F118564"/>
    </row>
    <row r="118565" spans="1:6" x14ac:dyDescent="0.25">
      <c r="A118565"/>
      <c r="B118565"/>
      <c r="C118565"/>
      <c r="E118565"/>
      <c r="F118565"/>
    </row>
    <row r="118566" spans="1:6" x14ac:dyDescent="0.25">
      <c r="A118566"/>
      <c r="B118566"/>
      <c r="C118566"/>
      <c r="E118566"/>
      <c r="F118566"/>
    </row>
    <row r="118567" spans="1:6" x14ac:dyDescent="0.25">
      <c r="A118567"/>
      <c r="B118567"/>
      <c r="C118567"/>
      <c r="E118567"/>
      <c r="F118567"/>
    </row>
    <row r="118568" spans="1:6" x14ac:dyDescent="0.25">
      <c r="A118568"/>
      <c r="B118568"/>
      <c r="C118568"/>
      <c r="E118568"/>
      <c r="F118568"/>
    </row>
    <row r="118569" spans="1:6" x14ac:dyDescent="0.25">
      <c r="A118569"/>
      <c r="B118569"/>
      <c r="C118569"/>
      <c r="E118569"/>
      <c r="F118569"/>
    </row>
    <row r="118570" spans="1:6" x14ac:dyDescent="0.25">
      <c r="A118570"/>
      <c r="B118570"/>
      <c r="C118570"/>
      <c r="E118570"/>
      <c r="F118570"/>
    </row>
    <row r="118571" spans="1:6" x14ac:dyDescent="0.25">
      <c r="A118571"/>
      <c r="B118571"/>
      <c r="C118571"/>
      <c r="E118571"/>
      <c r="F118571"/>
    </row>
    <row r="118572" spans="1:6" x14ac:dyDescent="0.25">
      <c r="A118572"/>
      <c r="B118572"/>
      <c r="C118572"/>
      <c r="E118572"/>
      <c r="F118572"/>
    </row>
    <row r="118573" spans="1:6" x14ac:dyDescent="0.25">
      <c r="A118573"/>
      <c r="B118573"/>
      <c r="C118573"/>
      <c r="E118573"/>
      <c r="F118573"/>
    </row>
    <row r="118574" spans="1:6" x14ac:dyDescent="0.25">
      <c r="A118574"/>
      <c r="B118574"/>
      <c r="C118574"/>
      <c r="E118574"/>
      <c r="F118574"/>
    </row>
    <row r="118575" spans="1:6" x14ac:dyDescent="0.25">
      <c r="A118575"/>
      <c r="B118575"/>
      <c r="C118575"/>
      <c r="E118575"/>
      <c r="F118575"/>
    </row>
    <row r="118576" spans="1:6" x14ac:dyDescent="0.25">
      <c r="A118576"/>
      <c r="B118576"/>
      <c r="C118576"/>
      <c r="E118576"/>
      <c r="F118576"/>
    </row>
    <row r="118577" spans="1:6" x14ac:dyDescent="0.25">
      <c r="A118577"/>
      <c r="B118577"/>
      <c r="C118577"/>
      <c r="E118577"/>
      <c r="F118577"/>
    </row>
    <row r="118578" spans="1:6" x14ac:dyDescent="0.25">
      <c r="A118578"/>
      <c r="B118578"/>
      <c r="C118578"/>
      <c r="E118578"/>
      <c r="F118578"/>
    </row>
    <row r="118579" spans="1:6" x14ac:dyDescent="0.25">
      <c r="A118579"/>
      <c r="B118579"/>
      <c r="C118579"/>
      <c r="E118579"/>
      <c r="F118579"/>
    </row>
    <row r="118580" spans="1:6" x14ac:dyDescent="0.25">
      <c r="A118580"/>
      <c r="B118580"/>
      <c r="C118580"/>
      <c r="E118580"/>
      <c r="F118580"/>
    </row>
    <row r="118581" spans="1:6" x14ac:dyDescent="0.25">
      <c r="A118581"/>
      <c r="B118581"/>
      <c r="C118581"/>
      <c r="E118581"/>
      <c r="F118581"/>
    </row>
    <row r="118582" spans="1:6" x14ac:dyDescent="0.25">
      <c r="A118582"/>
      <c r="B118582"/>
      <c r="C118582"/>
      <c r="E118582"/>
      <c r="F118582"/>
    </row>
    <row r="118583" spans="1:6" x14ac:dyDescent="0.25">
      <c r="A118583"/>
      <c r="B118583"/>
      <c r="C118583"/>
      <c r="E118583"/>
      <c r="F118583"/>
    </row>
    <row r="118584" spans="1:6" x14ac:dyDescent="0.25">
      <c r="A118584"/>
      <c r="B118584"/>
      <c r="C118584"/>
      <c r="E118584"/>
      <c r="F118584"/>
    </row>
    <row r="118585" spans="1:6" x14ac:dyDescent="0.25">
      <c r="A118585"/>
      <c r="B118585"/>
      <c r="C118585"/>
      <c r="E118585"/>
      <c r="F118585"/>
    </row>
    <row r="118586" spans="1:6" x14ac:dyDescent="0.25">
      <c r="A118586"/>
      <c r="B118586"/>
      <c r="C118586"/>
      <c r="E118586"/>
      <c r="F118586"/>
    </row>
    <row r="118587" spans="1:6" x14ac:dyDescent="0.25">
      <c r="A118587"/>
      <c r="B118587"/>
      <c r="C118587"/>
      <c r="E118587"/>
      <c r="F118587"/>
    </row>
    <row r="118588" spans="1:6" x14ac:dyDescent="0.25">
      <c r="A118588"/>
      <c r="B118588"/>
      <c r="C118588"/>
      <c r="E118588"/>
      <c r="F118588"/>
    </row>
    <row r="118589" spans="1:6" x14ac:dyDescent="0.25">
      <c r="A118589"/>
      <c r="B118589"/>
      <c r="C118589"/>
      <c r="E118589"/>
      <c r="F118589"/>
    </row>
    <row r="118590" spans="1:6" x14ac:dyDescent="0.25">
      <c r="A118590"/>
      <c r="B118590"/>
      <c r="C118590"/>
      <c r="E118590"/>
      <c r="F118590"/>
    </row>
    <row r="118591" spans="1:6" x14ac:dyDescent="0.25">
      <c r="A118591"/>
      <c r="B118591"/>
      <c r="C118591"/>
      <c r="E118591"/>
      <c r="F118591"/>
    </row>
    <row r="118592" spans="1:6" x14ac:dyDescent="0.25">
      <c r="A118592"/>
      <c r="B118592"/>
      <c r="C118592"/>
      <c r="E118592"/>
      <c r="F118592"/>
    </row>
    <row r="118593" spans="1:6" x14ac:dyDescent="0.25">
      <c r="A118593"/>
      <c r="B118593"/>
      <c r="C118593"/>
      <c r="E118593"/>
      <c r="F118593"/>
    </row>
    <row r="118594" spans="1:6" x14ac:dyDescent="0.25">
      <c r="A118594"/>
      <c r="B118594"/>
      <c r="C118594"/>
      <c r="E118594"/>
      <c r="F118594"/>
    </row>
    <row r="118595" spans="1:6" x14ac:dyDescent="0.25">
      <c r="A118595"/>
      <c r="B118595"/>
      <c r="C118595"/>
      <c r="E118595"/>
      <c r="F118595"/>
    </row>
    <row r="118596" spans="1:6" x14ac:dyDescent="0.25">
      <c r="A118596"/>
      <c r="B118596"/>
      <c r="C118596"/>
      <c r="E118596"/>
      <c r="F118596"/>
    </row>
    <row r="118597" spans="1:6" x14ac:dyDescent="0.25">
      <c r="A118597"/>
      <c r="B118597"/>
      <c r="C118597"/>
      <c r="E118597"/>
      <c r="F118597"/>
    </row>
    <row r="118598" spans="1:6" x14ac:dyDescent="0.25">
      <c r="A118598"/>
      <c r="B118598"/>
      <c r="C118598"/>
      <c r="E118598"/>
      <c r="F118598"/>
    </row>
    <row r="118599" spans="1:6" x14ac:dyDescent="0.25">
      <c r="A118599"/>
      <c r="B118599"/>
      <c r="C118599"/>
      <c r="E118599"/>
      <c r="F118599"/>
    </row>
    <row r="118600" spans="1:6" x14ac:dyDescent="0.25">
      <c r="A118600"/>
      <c r="B118600"/>
      <c r="C118600"/>
      <c r="E118600"/>
      <c r="F118600"/>
    </row>
    <row r="118601" spans="1:6" x14ac:dyDescent="0.25">
      <c r="A118601"/>
      <c r="B118601"/>
      <c r="C118601"/>
      <c r="E118601"/>
      <c r="F118601"/>
    </row>
    <row r="118602" spans="1:6" x14ac:dyDescent="0.25">
      <c r="A118602"/>
      <c r="B118602"/>
      <c r="C118602"/>
      <c r="E118602"/>
      <c r="F118602"/>
    </row>
    <row r="118603" spans="1:6" x14ac:dyDescent="0.25">
      <c r="A118603"/>
      <c r="B118603"/>
      <c r="C118603"/>
      <c r="E118603"/>
      <c r="F118603"/>
    </row>
    <row r="118604" spans="1:6" x14ac:dyDescent="0.25">
      <c r="A118604"/>
      <c r="B118604"/>
      <c r="C118604"/>
      <c r="E118604"/>
      <c r="F118604"/>
    </row>
    <row r="118605" spans="1:6" x14ac:dyDescent="0.25">
      <c r="A118605"/>
      <c r="B118605"/>
      <c r="C118605"/>
      <c r="E118605"/>
      <c r="F118605"/>
    </row>
    <row r="118606" spans="1:6" x14ac:dyDescent="0.25">
      <c r="A118606"/>
      <c r="B118606"/>
      <c r="C118606"/>
      <c r="E118606"/>
      <c r="F118606"/>
    </row>
    <row r="118607" spans="1:6" x14ac:dyDescent="0.25">
      <c r="A118607"/>
      <c r="B118607"/>
      <c r="C118607"/>
      <c r="E118607"/>
      <c r="F118607"/>
    </row>
    <row r="118608" spans="1:6" x14ac:dyDescent="0.25">
      <c r="A118608"/>
      <c r="B118608"/>
      <c r="C118608"/>
      <c r="E118608"/>
      <c r="F118608"/>
    </row>
    <row r="118609" spans="1:6" x14ac:dyDescent="0.25">
      <c r="A118609"/>
      <c r="B118609"/>
      <c r="C118609"/>
      <c r="E118609"/>
      <c r="F118609"/>
    </row>
    <row r="118610" spans="1:6" x14ac:dyDescent="0.25">
      <c r="A118610"/>
      <c r="B118610"/>
      <c r="C118610"/>
      <c r="E118610"/>
      <c r="F118610"/>
    </row>
    <row r="118611" spans="1:6" x14ac:dyDescent="0.25">
      <c r="A118611"/>
      <c r="B118611"/>
      <c r="C118611"/>
      <c r="E118611"/>
      <c r="F118611"/>
    </row>
    <row r="118612" spans="1:6" x14ac:dyDescent="0.25">
      <c r="A118612"/>
      <c r="B118612"/>
      <c r="C118612"/>
      <c r="E118612"/>
      <c r="F118612"/>
    </row>
    <row r="118613" spans="1:6" x14ac:dyDescent="0.25">
      <c r="A118613"/>
      <c r="B118613"/>
      <c r="C118613"/>
      <c r="E118613"/>
      <c r="F118613"/>
    </row>
    <row r="118614" spans="1:6" x14ac:dyDescent="0.25">
      <c r="A118614"/>
      <c r="B118614"/>
      <c r="C118614"/>
      <c r="E118614"/>
      <c r="F118614"/>
    </row>
    <row r="118615" spans="1:6" x14ac:dyDescent="0.25">
      <c r="A118615"/>
      <c r="B118615"/>
      <c r="C118615"/>
      <c r="E118615"/>
      <c r="F118615"/>
    </row>
    <row r="118616" spans="1:6" x14ac:dyDescent="0.25">
      <c r="A118616"/>
      <c r="B118616"/>
      <c r="C118616"/>
      <c r="E118616"/>
      <c r="F118616"/>
    </row>
    <row r="118617" spans="1:6" x14ac:dyDescent="0.25">
      <c r="A118617"/>
      <c r="B118617"/>
      <c r="C118617"/>
      <c r="E118617"/>
      <c r="F118617"/>
    </row>
    <row r="118618" spans="1:6" x14ac:dyDescent="0.25">
      <c r="A118618"/>
      <c r="B118618"/>
      <c r="C118618"/>
      <c r="E118618"/>
      <c r="F118618"/>
    </row>
    <row r="118619" spans="1:6" x14ac:dyDescent="0.25">
      <c r="A118619"/>
      <c r="B118619"/>
      <c r="C118619"/>
      <c r="E118619"/>
      <c r="F118619"/>
    </row>
    <row r="118620" spans="1:6" x14ac:dyDescent="0.25">
      <c r="A118620"/>
      <c r="B118620"/>
      <c r="C118620"/>
      <c r="E118620"/>
      <c r="F118620"/>
    </row>
    <row r="118621" spans="1:6" x14ac:dyDescent="0.25">
      <c r="A118621"/>
      <c r="B118621"/>
      <c r="C118621"/>
      <c r="E118621"/>
      <c r="F118621"/>
    </row>
    <row r="118622" spans="1:6" x14ac:dyDescent="0.25">
      <c r="A118622"/>
      <c r="B118622"/>
      <c r="C118622"/>
      <c r="E118622"/>
      <c r="F118622"/>
    </row>
    <row r="118623" spans="1:6" x14ac:dyDescent="0.25">
      <c r="A118623"/>
      <c r="B118623"/>
      <c r="C118623"/>
      <c r="E118623"/>
      <c r="F118623"/>
    </row>
    <row r="118624" spans="1:6" x14ac:dyDescent="0.25">
      <c r="A118624"/>
      <c r="B118624"/>
      <c r="C118624"/>
      <c r="E118624"/>
      <c r="F118624"/>
    </row>
    <row r="118625" spans="1:6" x14ac:dyDescent="0.25">
      <c r="A118625"/>
      <c r="B118625"/>
      <c r="C118625"/>
      <c r="E118625"/>
      <c r="F118625"/>
    </row>
    <row r="118626" spans="1:6" x14ac:dyDescent="0.25">
      <c r="A118626"/>
      <c r="B118626"/>
      <c r="C118626"/>
      <c r="E118626"/>
      <c r="F118626"/>
    </row>
    <row r="118627" spans="1:6" x14ac:dyDescent="0.25">
      <c r="A118627"/>
      <c r="B118627"/>
      <c r="C118627"/>
      <c r="E118627"/>
      <c r="F118627"/>
    </row>
    <row r="118628" spans="1:6" x14ac:dyDescent="0.25">
      <c r="A118628"/>
      <c r="B118628"/>
      <c r="C118628"/>
      <c r="E118628"/>
      <c r="F118628"/>
    </row>
    <row r="118629" spans="1:6" x14ac:dyDescent="0.25">
      <c r="A118629"/>
      <c r="B118629"/>
      <c r="C118629"/>
      <c r="E118629"/>
      <c r="F118629"/>
    </row>
    <row r="118630" spans="1:6" x14ac:dyDescent="0.25">
      <c r="A118630"/>
      <c r="B118630"/>
      <c r="C118630"/>
      <c r="E118630"/>
      <c r="F118630"/>
    </row>
    <row r="118631" spans="1:6" x14ac:dyDescent="0.25">
      <c r="A118631"/>
      <c r="B118631"/>
      <c r="C118631"/>
      <c r="E118631"/>
      <c r="F118631"/>
    </row>
    <row r="118632" spans="1:6" x14ac:dyDescent="0.25">
      <c r="A118632"/>
      <c r="B118632"/>
      <c r="C118632"/>
      <c r="E118632"/>
      <c r="F118632"/>
    </row>
    <row r="118633" spans="1:6" x14ac:dyDescent="0.25">
      <c r="A118633"/>
      <c r="B118633"/>
      <c r="C118633"/>
      <c r="E118633"/>
      <c r="F118633"/>
    </row>
    <row r="118634" spans="1:6" x14ac:dyDescent="0.25">
      <c r="A118634"/>
      <c r="B118634"/>
      <c r="C118634"/>
      <c r="E118634"/>
      <c r="F118634"/>
    </row>
    <row r="118635" spans="1:6" x14ac:dyDescent="0.25">
      <c r="A118635"/>
      <c r="B118635"/>
      <c r="C118635"/>
      <c r="E118635"/>
      <c r="F118635"/>
    </row>
    <row r="118636" spans="1:6" x14ac:dyDescent="0.25">
      <c r="A118636"/>
      <c r="B118636"/>
      <c r="C118636"/>
      <c r="E118636"/>
      <c r="F118636"/>
    </row>
    <row r="118637" spans="1:6" x14ac:dyDescent="0.25">
      <c r="A118637"/>
      <c r="B118637"/>
      <c r="C118637"/>
      <c r="E118637"/>
      <c r="F118637"/>
    </row>
    <row r="118638" spans="1:6" x14ac:dyDescent="0.25">
      <c r="A118638"/>
      <c r="B118638"/>
      <c r="C118638"/>
      <c r="E118638"/>
      <c r="F118638"/>
    </row>
    <row r="118639" spans="1:6" x14ac:dyDescent="0.25">
      <c r="A118639"/>
      <c r="B118639"/>
      <c r="C118639"/>
      <c r="E118639"/>
      <c r="F118639"/>
    </row>
    <row r="118640" spans="1:6" x14ac:dyDescent="0.25">
      <c r="A118640"/>
      <c r="B118640"/>
      <c r="C118640"/>
      <c r="E118640"/>
      <c r="F118640"/>
    </row>
    <row r="118641" spans="1:6" x14ac:dyDescent="0.25">
      <c r="A118641"/>
      <c r="B118641"/>
      <c r="C118641"/>
      <c r="E118641"/>
      <c r="F118641"/>
    </row>
    <row r="118642" spans="1:6" x14ac:dyDescent="0.25">
      <c r="A118642"/>
      <c r="B118642"/>
      <c r="C118642"/>
      <c r="E118642"/>
      <c r="F118642"/>
    </row>
    <row r="118643" spans="1:6" x14ac:dyDescent="0.25">
      <c r="A118643"/>
      <c r="B118643"/>
      <c r="C118643"/>
      <c r="E118643"/>
      <c r="F118643"/>
    </row>
    <row r="118644" spans="1:6" x14ac:dyDescent="0.25">
      <c r="A118644"/>
      <c r="B118644"/>
      <c r="C118644"/>
      <c r="E118644"/>
      <c r="F118644"/>
    </row>
    <row r="118645" spans="1:6" x14ac:dyDescent="0.25">
      <c r="A118645"/>
      <c r="B118645"/>
      <c r="C118645"/>
      <c r="E118645"/>
      <c r="F118645"/>
    </row>
    <row r="118646" spans="1:6" x14ac:dyDescent="0.25">
      <c r="A118646"/>
      <c r="B118646"/>
      <c r="C118646"/>
      <c r="E118646"/>
      <c r="F118646"/>
    </row>
    <row r="118647" spans="1:6" x14ac:dyDescent="0.25">
      <c r="A118647"/>
      <c r="B118647"/>
      <c r="C118647"/>
      <c r="E118647"/>
      <c r="F118647"/>
    </row>
    <row r="118648" spans="1:6" x14ac:dyDescent="0.25">
      <c r="A118648"/>
      <c r="B118648"/>
      <c r="C118648"/>
      <c r="E118648"/>
      <c r="F118648"/>
    </row>
    <row r="118649" spans="1:6" x14ac:dyDescent="0.25">
      <c r="A118649"/>
      <c r="B118649"/>
      <c r="C118649"/>
      <c r="E118649"/>
      <c r="F118649"/>
    </row>
    <row r="118650" spans="1:6" x14ac:dyDescent="0.25">
      <c r="A118650"/>
      <c r="B118650"/>
      <c r="C118650"/>
      <c r="E118650"/>
      <c r="F118650"/>
    </row>
    <row r="118651" spans="1:6" x14ac:dyDescent="0.25">
      <c r="A118651"/>
      <c r="B118651"/>
      <c r="C118651"/>
      <c r="E118651"/>
      <c r="F118651"/>
    </row>
    <row r="118652" spans="1:6" x14ac:dyDescent="0.25">
      <c r="A118652"/>
      <c r="B118652"/>
      <c r="C118652"/>
      <c r="E118652"/>
      <c r="F118652"/>
    </row>
    <row r="118653" spans="1:6" x14ac:dyDescent="0.25">
      <c r="A118653"/>
      <c r="B118653"/>
      <c r="C118653"/>
      <c r="E118653"/>
      <c r="F118653"/>
    </row>
    <row r="118654" spans="1:6" x14ac:dyDescent="0.25">
      <c r="A118654"/>
      <c r="B118654"/>
      <c r="C118654"/>
      <c r="E118654"/>
      <c r="F118654"/>
    </row>
    <row r="118655" spans="1:6" x14ac:dyDescent="0.25">
      <c r="A118655"/>
      <c r="B118655"/>
      <c r="C118655"/>
      <c r="E118655"/>
      <c r="F118655"/>
    </row>
    <row r="118656" spans="1:6" x14ac:dyDescent="0.25">
      <c r="A118656"/>
      <c r="B118656"/>
      <c r="C118656"/>
      <c r="E118656"/>
      <c r="F118656"/>
    </row>
    <row r="118657" spans="1:6" x14ac:dyDescent="0.25">
      <c r="A118657"/>
      <c r="B118657"/>
      <c r="C118657"/>
      <c r="E118657"/>
      <c r="F118657"/>
    </row>
    <row r="118658" spans="1:6" x14ac:dyDescent="0.25">
      <c r="A118658"/>
      <c r="B118658"/>
      <c r="C118658"/>
      <c r="E118658"/>
      <c r="F118658"/>
    </row>
    <row r="118659" spans="1:6" x14ac:dyDescent="0.25">
      <c r="A118659"/>
      <c r="B118659"/>
      <c r="C118659"/>
      <c r="E118659"/>
      <c r="F118659"/>
    </row>
    <row r="118660" spans="1:6" x14ac:dyDescent="0.25">
      <c r="A118660"/>
      <c r="B118660"/>
      <c r="C118660"/>
      <c r="E118660"/>
      <c r="F118660"/>
    </row>
    <row r="118661" spans="1:6" x14ac:dyDescent="0.25">
      <c r="A118661"/>
      <c r="B118661"/>
      <c r="C118661"/>
      <c r="E118661"/>
      <c r="F118661"/>
    </row>
    <row r="118662" spans="1:6" x14ac:dyDescent="0.25">
      <c r="A118662"/>
      <c r="B118662"/>
      <c r="C118662"/>
      <c r="E118662"/>
      <c r="F118662"/>
    </row>
    <row r="118663" spans="1:6" x14ac:dyDescent="0.25">
      <c r="A118663"/>
      <c r="B118663"/>
      <c r="C118663"/>
      <c r="E118663"/>
      <c r="F118663"/>
    </row>
    <row r="118664" spans="1:6" x14ac:dyDescent="0.25">
      <c r="A118664"/>
      <c r="B118664"/>
      <c r="C118664"/>
      <c r="E118664"/>
      <c r="F118664"/>
    </row>
    <row r="118665" spans="1:6" x14ac:dyDescent="0.25">
      <c r="A118665"/>
      <c r="B118665"/>
      <c r="C118665"/>
      <c r="E118665"/>
      <c r="F118665"/>
    </row>
    <row r="118666" spans="1:6" x14ac:dyDescent="0.25">
      <c r="A118666"/>
      <c r="B118666"/>
      <c r="C118666"/>
      <c r="E118666"/>
      <c r="F118666"/>
    </row>
    <row r="118667" spans="1:6" x14ac:dyDescent="0.25">
      <c r="A118667"/>
      <c r="B118667"/>
      <c r="C118667"/>
      <c r="E118667"/>
      <c r="F118667"/>
    </row>
    <row r="118668" spans="1:6" x14ac:dyDescent="0.25">
      <c r="A118668"/>
      <c r="B118668"/>
      <c r="C118668"/>
      <c r="E118668"/>
      <c r="F118668"/>
    </row>
    <row r="118669" spans="1:6" x14ac:dyDescent="0.25">
      <c r="A118669"/>
      <c r="B118669"/>
      <c r="C118669"/>
      <c r="E118669"/>
      <c r="F118669"/>
    </row>
    <row r="118670" spans="1:6" x14ac:dyDescent="0.25">
      <c r="A118670"/>
      <c r="B118670"/>
      <c r="C118670"/>
      <c r="E118670"/>
      <c r="F118670"/>
    </row>
    <row r="118671" spans="1:6" x14ac:dyDescent="0.25">
      <c r="A118671"/>
      <c r="B118671"/>
      <c r="C118671"/>
      <c r="E118671"/>
      <c r="F118671"/>
    </row>
    <row r="118672" spans="1:6" x14ac:dyDescent="0.25">
      <c r="A118672"/>
      <c r="B118672"/>
      <c r="C118672"/>
      <c r="E118672"/>
      <c r="F118672"/>
    </row>
    <row r="118673" spans="1:6" x14ac:dyDescent="0.25">
      <c r="A118673"/>
      <c r="B118673"/>
      <c r="C118673"/>
      <c r="E118673"/>
      <c r="F118673"/>
    </row>
    <row r="118674" spans="1:6" x14ac:dyDescent="0.25">
      <c r="A118674"/>
      <c r="B118674"/>
      <c r="C118674"/>
      <c r="E118674"/>
      <c r="F118674"/>
    </row>
    <row r="118675" spans="1:6" x14ac:dyDescent="0.25">
      <c r="A118675"/>
      <c r="B118675"/>
      <c r="C118675"/>
      <c r="E118675"/>
      <c r="F118675"/>
    </row>
    <row r="118676" spans="1:6" x14ac:dyDescent="0.25">
      <c r="A118676"/>
      <c r="B118676"/>
      <c r="C118676"/>
      <c r="E118676"/>
      <c r="F118676"/>
    </row>
    <row r="118677" spans="1:6" x14ac:dyDescent="0.25">
      <c r="A118677"/>
      <c r="B118677"/>
      <c r="C118677"/>
      <c r="E118677"/>
      <c r="F118677"/>
    </row>
    <row r="118678" spans="1:6" x14ac:dyDescent="0.25">
      <c r="A118678"/>
      <c r="B118678"/>
      <c r="C118678"/>
      <c r="E118678"/>
      <c r="F118678"/>
    </row>
    <row r="118679" spans="1:6" x14ac:dyDescent="0.25">
      <c r="A118679"/>
      <c r="B118679"/>
      <c r="C118679"/>
      <c r="E118679"/>
      <c r="F118679"/>
    </row>
    <row r="118680" spans="1:6" x14ac:dyDescent="0.25">
      <c r="A118680"/>
      <c r="B118680"/>
      <c r="C118680"/>
      <c r="E118680"/>
      <c r="F118680"/>
    </row>
    <row r="118681" spans="1:6" x14ac:dyDescent="0.25">
      <c r="A118681"/>
      <c r="B118681"/>
      <c r="C118681"/>
      <c r="E118681"/>
      <c r="F118681"/>
    </row>
    <row r="118682" spans="1:6" x14ac:dyDescent="0.25">
      <c r="A118682"/>
      <c r="B118682"/>
      <c r="C118682"/>
      <c r="E118682"/>
      <c r="F118682"/>
    </row>
    <row r="118683" spans="1:6" x14ac:dyDescent="0.25">
      <c r="A118683"/>
      <c r="B118683"/>
      <c r="C118683"/>
      <c r="E118683"/>
      <c r="F118683"/>
    </row>
    <row r="118684" spans="1:6" x14ac:dyDescent="0.25">
      <c r="A118684"/>
      <c r="B118684"/>
      <c r="C118684"/>
      <c r="E118684"/>
      <c r="F118684"/>
    </row>
    <row r="118685" spans="1:6" x14ac:dyDescent="0.25">
      <c r="A118685"/>
      <c r="B118685"/>
      <c r="C118685"/>
      <c r="E118685"/>
      <c r="F118685"/>
    </row>
    <row r="118686" spans="1:6" x14ac:dyDescent="0.25">
      <c r="A118686"/>
      <c r="B118686"/>
      <c r="C118686"/>
      <c r="E118686"/>
      <c r="F118686"/>
    </row>
    <row r="118687" spans="1:6" x14ac:dyDescent="0.25">
      <c r="A118687"/>
      <c r="B118687"/>
      <c r="C118687"/>
      <c r="E118687"/>
      <c r="F118687"/>
    </row>
    <row r="118688" spans="1:6" x14ac:dyDescent="0.25">
      <c r="A118688"/>
      <c r="B118688"/>
      <c r="C118688"/>
      <c r="E118688"/>
      <c r="F118688"/>
    </row>
    <row r="118689" spans="1:6" x14ac:dyDescent="0.25">
      <c r="A118689"/>
      <c r="B118689"/>
      <c r="C118689"/>
      <c r="E118689"/>
      <c r="F118689"/>
    </row>
    <row r="118690" spans="1:6" x14ac:dyDescent="0.25">
      <c r="A118690"/>
      <c r="B118690"/>
      <c r="C118690"/>
      <c r="E118690"/>
      <c r="F118690"/>
    </row>
    <row r="118691" spans="1:6" x14ac:dyDescent="0.25">
      <c r="A118691"/>
      <c r="B118691"/>
      <c r="C118691"/>
      <c r="E118691"/>
      <c r="F118691"/>
    </row>
    <row r="118692" spans="1:6" x14ac:dyDescent="0.25">
      <c r="A118692"/>
      <c r="B118692"/>
      <c r="C118692"/>
      <c r="E118692"/>
      <c r="F118692"/>
    </row>
    <row r="118693" spans="1:6" x14ac:dyDescent="0.25">
      <c r="A118693"/>
      <c r="B118693"/>
      <c r="C118693"/>
      <c r="E118693"/>
      <c r="F118693"/>
    </row>
    <row r="118694" spans="1:6" x14ac:dyDescent="0.25">
      <c r="A118694"/>
      <c r="B118694"/>
      <c r="C118694"/>
      <c r="E118694"/>
      <c r="F118694"/>
    </row>
    <row r="118695" spans="1:6" x14ac:dyDescent="0.25">
      <c r="A118695"/>
      <c r="B118695"/>
      <c r="C118695"/>
      <c r="E118695"/>
      <c r="F118695"/>
    </row>
    <row r="118696" spans="1:6" x14ac:dyDescent="0.25">
      <c r="A118696"/>
      <c r="B118696"/>
      <c r="C118696"/>
      <c r="E118696"/>
      <c r="F118696"/>
    </row>
    <row r="118697" spans="1:6" x14ac:dyDescent="0.25">
      <c r="A118697"/>
      <c r="B118697"/>
      <c r="C118697"/>
      <c r="E118697"/>
      <c r="F118697"/>
    </row>
    <row r="118698" spans="1:6" x14ac:dyDescent="0.25">
      <c r="A118698"/>
      <c r="B118698"/>
      <c r="C118698"/>
      <c r="E118698"/>
      <c r="F118698"/>
    </row>
    <row r="118699" spans="1:6" x14ac:dyDescent="0.25">
      <c r="A118699"/>
      <c r="B118699"/>
      <c r="C118699"/>
      <c r="E118699"/>
      <c r="F118699"/>
    </row>
    <row r="118700" spans="1:6" x14ac:dyDescent="0.25">
      <c r="A118700"/>
      <c r="B118700"/>
      <c r="C118700"/>
      <c r="E118700"/>
      <c r="F118700"/>
    </row>
    <row r="118701" spans="1:6" x14ac:dyDescent="0.25">
      <c r="A118701"/>
      <c r="B118701"/>
      <c r="C118701"/>
      <c r="E118701"/>
      <c r="F118701"/>
    </row>
    <row r="118702" spans="1:6" x14ac:dyDescent="0.25">
      <c r="A118702"/>
      <c r="B118702"/>
      <c r="C118702"/>
      <c r="E118702"/>
      <c r="F118702"/>
    </row>
    <row r="118703" spans="1:6" x14ac:dyDescent="0.25">
      <c r="A118703"/>
      <c r="B118703"/>
      <c r="C118703"/>
      <c r="E118703"/>
      <c r="F118703"/>
    </row>
    <row r="118704" spans="1:6" x14ac:dyDescent="0.25">
      <c r="A118704"/>
      <c r="B118704"/>
      <c r="C118704"/>
      <c r="E118704"/>
      <c r="F118704"/>
    </row>
    <row r="118705" spans="1:6" x14ac:dyDescent="0.25">
      <c r="A118705"/>
      <c r="B118705"/>
      <c r="C118705"/>
      <c r="E118705"/>
      <c r="F118705"/>
    </row>
    <row r="118706" spans="1:6" x14ac:dyDescent="0.25">
      <c r="A118706"/>
      <c r="B118706"/>
      <c r="C118706"/>
      <c r="E118706"/>
      <c r="F118706"/>
    </row>
    <row r="118707" spans="1:6" x14ac:dyDescent="0.25">
      <c r="A118707"/>
      <c r="B118707"/>
      <c r="C118707"/>
      <c r="E118707"/>
      <c r="F118707"/>
    </row>
    <row r="118708" spans="1:6" x14ac:dyDescent="0.25">
      <c r="A118708"/>
      <c r="B118708"/>
      <c r="C118708"/>
      <c r="E118708"/>
      <c r="F118708"/>
    </row>
    <row r="118709" spans="1:6" x14ac:dyDescent="0.25">
      <c r="A118709"/>
      <c r="B118709"/>
      <c r="C118709"/>
      <c r="E118709"/>
      <c r="F118709"/>
    </row>
    <row r="118710" spans="1:6" x14ac:dyDescent="0.25">
      <c r="A118710"/>
      <c r="B118710"/>
      <c r="C118710"/>
      <c r="E118710"/>
      <c r="F118710"/>
    </row>
    <row r="118711" spans="1:6" x14ac:dyDescent="0.25">
      <c r="A118711"/>
      <c r="B118711"/>
      <c r="C118711"/>
      <c r="E118711"/>
      <c r="F118711"/>
    </row>
    <row r="118712" spans="1:6" x14ac:dyDescent="0.25">
      <c r="A118712"/>
      <c r="B118712"/>
      <c r="C118712"/>
      <c r="E118712"/>
      <c r="F118712"/>
    </row>
    <row r="118713" spans="1:6" x14ac:dyDescent="0.25">
      <c r="A118713"/>
      <c r="B118713"/>
      <c r="C118713"/>
      <c r="E118713"/>
      <c r="F118713"/>
    </row>
    <row r="118714" spans="1:6" x14ac:dyDescent="0.25">
      <c r="A118714"/>
      <c r="B118714"/>
      <c r="C118714"/>
      <c r="E118714"/>
      <c r="F118714"/>
    </row>
    <row r="118715" spans="1:6" x14ac:dyDescent="0.25">
      <c r="A118715"/>
      <c r="B118715"/>
      <c r="C118715"/>
      <c r="E118715"/>
      <c r="F118715"/>
    </row>
    <row r="118716" spans="1:6" x14ac:dyDescent="0.25">
      <c r="A118716"/>
      <c r="B118716"/>
      <c r="C118716"/>
      <c r="E118716"/>
      <c r="F118716"/>
    </row>
    <row r="118717" spans="1:6" x14ac:dyDescent="0.25">
      <c r="A118717"/>
      <c r="B118717"/>
      <c r="C118717"/>
      <c r="E118717"/>
      <c r="F118717"/>
    </row>
    <row r="118718" spans="1:6" x14ac:dyDescent="0.25">
      <c r="A118718"/>
      <c r="B118718"/>
      <c r="C118718"/>
      <c r="E118718"/>
      <c r="F118718"/>
    </row>
    <row r="118719" spans="1:6" x14ac:dyDescent="0.25">
      <c r="A118719"/>
      <c r="B118719"/>
      <c r="C118719"/>
      <c r="E118719"/>
      <c r="F118719"/>
    </row>
    <row r="118720" spans="1:6" x14ac:dyDescent="0.25">
      <c r="A118720"/>
      <c r="B118720"/>
      <c r="C118720"/>
      <c r="E118720"/>
      <c r="F118720"/>
    </row>
    <row r="118721" spans="1:6" x14ac:dyDescent="0.25">
      <c r="A118721"/>
      <c r="B118721"/>
      <c r="C118721"/>
      <c r="E118721"/>
      <c r="F118721"/>
    </row>
    <row r="118722" spans="1:6" x14ac:dyDescent="0.25">
      <c r="A118722"/>
      <c r="B118722"/>
      <c r="C118722"/>
      <c r="E118722"/>
      <c r="F118722"/>
    </row>
    <row r="118723" spans="1:6" x14ac:dyDescent="0.25">
      <c r="A118723"/>
      <c r="B118723"/>
      <c r="C118723"/>
      <c r="E118723"/>
      <c r="F118723"/>
    </row>
    <row r="118724" spans="1:6" x14ac:dyDescent="0.25">
      <c r="A118724"/>
      <c r="B118724"/>
      <c r="C118724"/>
      <c r="E118724"/>
      <c r="F118724"/>
    </row>
    <row r="118725" spans="1:6" x14ac:dyDescent="0.25">
      <c r="A118725"/>
      <c r="B118725"/>
      <c r="C118725"/>
      <c r="E118725"/>
      <c r="F118725"/>
    </row>
    <row r="118726" spans="1:6" x14ac:dyDescent="0.25">
      <c r="A118726"/>
      <c r="B118726"/>
      <c r="C118726"/>
      <c r="E118726"/>
      <c r="F118726"/>
    </row>
    <row r="118727" spans="1:6" x14ac:dyDescent="0.25">
      <c r="A118727"/>
      <c r="B118727"/>
      <c r="C118727"/>
      <c r="E118727"/>
      <c r="F118727"/>
    </row>
    <row r="118728" spans="1:6" x14ac:dyDescent="0.25">
      <c r="A118728"/>
      <c r="B118728"/>
      <c r="C118728"/>
      <c r="E118728"/>
      <c r="F118728"/>
    </row>
    <row r="118729" spans="1:6" x14ac:dyDescent="0.25">
      <c r="A118729"/>
      <c r="B118729"/>
      <c r="C118729"/>
      <c r="E118729"/>
      <c r="F118729"/>
    </row>
    <row r="118730" spans="1:6" x14ac:dyDescent="0.25">
      <c r="A118730"/>
      <c r="B118730"/>
      <c r="C118730"/>
      <c r="E118730"/>
      <c r="F118730"/>
    </row>
    <row r="118731" spans="1:6" x14ac:dyDescent="0.25">
      <c r="A118731"/>
      <c r="B118731"/>
      <c r="C118731"/>
      <c r="E118731"/>
      <c r="F118731"/>
    </row>
    <row r="118732" spans="1:6" x14ac:dyDescent="0.25">
      <c r="A118732"/>
      <c r="B118732"/>
      <c r="C118732"/>
      <c r="E118732"/>
      <c r="F118732"/>
    </row>
    <row r="118733" spans="1:6" x14ac:dyDescent="0.25">
      <c r="A118733"/>
      <c r="B118733"/>
      <c r="C118733"/>
      <c r="E118733"/>
      <c r="F118733"/>
    </row>
    <row r="118734" spans="1:6" x14ac:dyDescent="0.25">
      <c r="A118734"/>
      <c r="B118734"/>
      <c r="C118734"/>
      <c r="E118734"/>
      <c r="F118734"/>
    </row>
    <row r="118735" spans="1:6" x14ac:dyDescent="0.25">
      <c r="A118735"/>
      <c r="B118735"/>
      <c r="C118735"/>
      <c r="E118735"/>
      <c r="F118735"/>
    </row>
    <row r="118736" spans="1:6" x14ac:dyDescent="0.25">
      <c r="A118736"/>
      <c r="B118736"/>
      <c r="C118736"/>
      <c r="E118736"/>
      <c r="F118736"/>
    </row>
    <row r="118737" spans="1:6" x14ac:dyDescent="0.25">
      <c r="A118737"/>
      <c r="B118737"/>
      <c r="C118737"/>
      <c r="E118737"/>
      <c r="F118737"/>
    </row>
    <row r="118738" spans="1:6" x14ac:dyDescent="0.25">
      <c r="A118738"/>
      <c r="B118738"/>
      <c r="C118738"/>
      <c r="E118738"/>
      <c r="F118738"/>
    </row>
    <row r="118739" spans="1:6" x14ac:dyDescent="0.25">
      <c r="A118739"/>
      <c r="B118739"/>
      <c r="C118739"/>
      <c r="E118739"/>
      <c r="F118739"/>
    </row>
    <row r="118740" spans="1:6" x14ac:dyDescent="0.25">
      <c r="A118740"/>
      <c r="B118740"/>
      <c r="C118740"/>
      <c r="E118740"/>
      <c r="F118740"/>
    </row>
    <row r="118741" spans="1:6" x14ac:dyDescent="0.25">
      <c r="A118741"/>
      <c r="B118741"/>
      <c r="C118741"/>
      <c r="E118741"/>
      <c r="F118741"/>
    </row>
    <row r="118742" spans="1:6" x14ac:dyDescent="0.25">
      <c r="A118742"/>
      <c r="B118742"/>
      <c r="C118742"/>
      <c r="E118742"/>
      <c r="F118742"/>
    </row>
    <row r="118743" spans="1:6" x14ac:dyDescent="0.25">
      <c r="A118743"/>
      <c r="B118743"/>
      <c r="C118743"/>
      <c r="E118743"/>
      <c r="F118743"/>
    </row>
    <row r="118744" spans="1:6" x14ac:dyDescent="0.25">
      <c r="A118744"/>
      <c r="B118744"/>
      <c r="C118744"/>
      <c r="E118744"/>
      <c r="F118744"/>
    </row>
    <row r="118745" spans="1:6" x14ac:dyDescent="0.25">
      <c r="A118745"/>
      <c r="B118745"/>
      <c r="C118745"/>
      <c r="E118745"/>
      <c r="F118745"/>
    </row>
    <row r="118746" spans="1:6" x14ac:dyDescent="0.25">
      <c r="A118746"/>
      <c r="B118746"/>
      <c r="C118746"/>
      <c r="E118746"/>
      <c r="F118746"/>
    </row>
    <row r="118747" spans="1:6" x14ac:dyDescent="0.25">
      <c r="A118747"/>
      <c r="B118747"/>
      <c r="C118747"/>
      <c r="E118747"/>
      <c r="F118747"/>
    </row>
    <row r="118748" spans="1:6" x14ac:dyDescent="0.25">
      <c r="A118748"/>
      <c r="B118748"/>
      <c r="C118748"/>
      <c r="E118748"/>
      <c r="F118748"/>
    </row>
    <row r="118749" spans="1:6" x14ac:dyDescent="0.25">
      <c r="A118749"/>
      <c r="B118749"/>
      <c r="C118749"/>
      <c r="E118749"/>
      <c r="F118749"/>
    </row>
    <row r="118750" spans="1:6" x14ac:dyDescent="0.25">
      <c r="A118750"/>
      <c r="B118750"/>
      <c r="C118750"/>
      <c r="E118750"/>
      <c r="F118750"/>
    </row>
    <row r="118751" spans="1:6" x14ac:dyDescent="0.25">
      <c r="A118751"/>
      <c r="B118751"/>
      <c r="C118751"/>
      <c r="E118751"/>
      <c r="F118751"/>
    </row>
    <row r="118752" spans="1:6" x14ac:dyDescent="0.25">
      <c r="A118752"/>
      <c r="B118752"/>
      <c r="C118752"/>
      <c r="E118752"/>
      <c r="F118752"/>
    </row>
    <row r="118753" spans="1:6" x14ac:dyDescent="0.25">
      <c r="A118753"/>
      <c r="B118753"/>
      <c r="C118753"/>
      <c r="E118753"/>
      <c r="F118753"/>
    </row>
    <row r="118754" spans="1:6" x14ac:dyDescent="0.25">
      <c r="A118754"/>
      <c r="B118754"/>
      <c r="C118754"/>
      <c r="E118754"/>
      <c r="F118754"/>
    </row>
    <row r="118755" spans="1:6" x14ac:dyDescent="0.25">
      <c r="A118755"/>
      <c r="B118755"/>
      <c r="C118755"/>
      <c r="E118755"/>
      <c r="F118755"/>
    </row>
    <row r="118756" spans="1:6" x14ac:dyDescent="0.25">
      <c r="A118756"/>
      <c r="B118756"/>
      <c r="C118756"/>
      <c r="E118756"/>
      <c r="F118756"/>
    </row>
    <row r="118757" spans="1:6" x14ac:dyDescent="0.25">
      <c r="A118757"/>
      <c r="B118757"/>
      <c r="C118757"/>
      <c r="E118757"/>
      <c r="F118757"/>
    </row>
    <row r="118758" spans="1:6" x14ac:dyDescent="0.25">
      <c r="A118758"/>
      <c r="B118758"/>
      <c r="C118758"/>
      <c r="E118758"/>
      <c r="F118758"/>
    </row>
    <row r="118759" spans="1:6" x14ac:dyDescent="0.25">
      <c r="A118759"/>
      <c r="B118759"/>
      <c r="C118759"/>
      <c r="E118759"/>
      <c r="F118759"/>
    </row>
    <row r="118760" spans="1:6" x14ac:dyDescent="0.25">
      <c r="A118760"/>
      <c r="B118760"/>
      <c r="C118760"/>
      <c r="E118760"/>
      <c r="F118760"/>
    </row>
    <row r="118761" spans="1:6" x14ac:dyDescent="0.25">
      <c r="A118761"/>
      <c r="B118761"/>
      <c r="C118761"/>
      <c r="E118761"/>
      <c r="F118761"/>
    </row>
    <row r="118762" spans="1:6" x14ac:dyDescent="0.25">
      <c r="A118762"/>
      <c r="B118762"/>
      <c r="C118762"/>
      <c r="E118762"/>
      <c r="F118762"/>
    </row>
    <row r="118763" spans="1:6" x14ac:dyDescent="0.25">
      <c r="A118763"/>
      <c r="B118763"/>
      <c r="C118763"/>
      <c r="E118763"/>
      <c r="F118763"/>
    </row>
    <row r="118764" spans="1:6" x14ac:dyDescent="0.25">
      <c r="A118764"/>
      <c r="B118764"/>
      <c r="C118764"/>
      <c r="E118764"/>
      <c r="F118764"/>
    </row>
    <row r="118765" spans="1:6" x14ac:dyDescent="0.25">
      <c r="A118765"/>
      <c r="B118765"/>
      <c r="C118765"/>
      <c r="E118765"/>
      <c r="F118765"/>
    </row>
    <row r="118766" spans="1:6" x14ac:dyDescent="0.25">
      <c r="A118766"/>
      <c r="B118766"/>
      <c r="C118766"/>
      <c r="E118766"/>
      <c r="F118766"/>
    </row>
    <row r="118767" spans="1:6" x14ac:dyDescent="0.25">
      <c r="A118767"/>
      <c r="B118767"/>
      <c r="C118767"/>
      <c r="E118767"/>
      <c r="F118767"/>
    </row>
    <row r="118768" spans="1:6" x14ac:dyDescent="0.25">
      <c r="A118768"/>
      <c r="B118768"/>
      <c r="C118768"/>
      <c r="E118768"/>
      <c r="F118768"/>
    </row>
    <row r="118769" spans="1:6" x14ac:dyDescent="0.25">
      <c r="A118769"/>
      <c r="B118769"/>
      <c r="C118769"/>
      <c r="E118769"/>
      <c r="F118769"/>
    </row>
    <row r="118770" spans="1:6" x14ac:dyDescent="0.25">
      <c r="A118770"/>
      <c r="B118770"/>
      <c r="C118770"/>
      <c r="E118770"/>
      <c r="F118770"/>
    </row>
    <row r="118771" spans="1:6" x14ac:dyDescent="0.25">
      <c r="A118771"/>
      <c r="B118771"/>
      <c r="C118771"/>
      <c r="E118771"/>
      <c r="F118771"/>
    </row>
    <row r="118772" spans="1:6" x14ac:dyDescent="0.25">
      <c r="A118772"/>
      <c r="B118772"/>
      <c r="C118772"/>
      <c r="E118772"/>
      <c r="F118772"/>
    </row>
    <row r="118773" spans="1:6" x14ac:dyDescent="0.25">
      <c r="A118773"/>
      <c r="B118773"/>
      <c r="C118773"/>
      <c r="E118773"/>
      <c r="F118773"/>
    </row>
    <row r="118774" spans="1:6" x14ac:dyDescent="0.25">
      <c r="A118774"/>
      <c r="B118774"/>
      <c r="C118774"/>
      <c r="E118774"/>
      <c r="F118774"/>
    </row>
    <row r="118775" spans="1:6" x14ac:dyDescent="0.25">
      <c r="A118775"/>
      <c r="B118775"/>
      <c r="C118775"/>
      <c r="E118775"/>
      <c r="F118775"/>
    </row>
    <row r="118776" spans="1:6" x14ac:dyDescent="0.25">
      <c r="A118776"/>
      <c r="B118776"/>
      <c r="C118776"/>
      <c r="E118776"/>
      <c r="F118776"/>
    </row>
    <row r="118777" spans="1:6" x14ac:dyDescent="0.25">
      <c r="A118777"/>
      <c r="B118777"/>
      <c r="C118777"/>
      <c r="E118777"/>
      <c r="F118777"/>
    </row>
    <row r="118778" spans="1:6" x14ac:dyDescent="0.25">
      <c r="A118778"/>
      <c r="B118778"/>
      <c r="C118778"/>
      <c r="E118778"/>
      <c r="F118778"/>
    </row>
    <row r="118779" spans="1:6" x14ac:dyDescent="0.25">
      <c r="A118779"/>
      <c r="B118779"/>
      <c r="C118779"/>
      <c r="E118779"/>
      <c r="F118779"/>
    </row>
    <row r="118780" spans="1:6" x14ac:dyDescent="0.25">
      <c r="A118780"/>
      <c r="B118780"/>
      <c r="C118780"/>
      <c r="E118780"/>
      <c r="F118780"/>
    </row>
    <row r="118781" spans="1:6" x14ac:dyDescent="0.25">
      <c r="A118781"/>
      <c r="B118781"/>
      <c r="C118781"/>
      <c r="E118781"/>
      <c r="F118781"/>
    </row>
    <row r="118782" spans="1:6" x14ac:dyDescent="0.25">
      <c r="A118782"/>
      <c r="B118782"/>
      <c r="C118782"/>
      <c r="E118782"/>
      <c r="F118782"/>
    </row>
    <row r="118783" spans="1:6" x14ac:dyDescent="0.25">
      <c r="A118783"/>
      <c r="B118783"/>
      <c r="C118783"/>
      <c r="E118783"/>
      <c r="F118783"/>
    </row>
    <row r="118784" spans="1:6" x14ac:dyDescent="0.25">
      <c r="A118784"/>
      <c r="B118784"/>
      <c r="C118784"/>
      <c r="E118784"/>
      <c r="F118784"/>
    </row>
    <row r="118785" spans="1:6" x14ac:dyDescent="0.25">
      <c r="A118785"/>
      <c r="B118785"/>
      <c r="C118785"/>
      <c r="E118785"/>
      <c r="F118785"/>
    </row>
    <row r="118786" spans="1:6" x14ac:dyDescent="0.25">
      <c r="A118786"/>
      <c r="B118786"/>
      <c r="C118786"/>
      <c r="E118786"/>
      <c r="F118786"/>
    </row>
    <row r="118787" spans="1:6" x14ac:dyDescent="0.25">
      <c r="A118787"/>
      <c r="B118787"/>
      <c r="C118787"/>
      <c r="E118787"/>
      <c r="F118787"/>
    </row>
    <row r="118788" spans="1:6" x14ac:dyDescent="0.25">
      <c r="A118788"/>
      <c r="B118788"/>
      <c r="C118788"/>
      <c r="E118788"/>
      <c r="F118788"/>
    </row>
    <row r="118789" spans="1:6" x14ac:dyDescent="0.25">
      <c r="A118789"/>
      <c r="B118789"/>
      <c r="C118789"/>
      <c r="E118789"/>
      <c r="F118789"/>
    </row>
    <row r="118790" spans="1:6" x14ac:dyDescent="0.25">
      <c r="A118790"/>
      <c r="B118790"/>
      <c r="C118790"/>
      <c r="E118790"/>
      <c r="F118790"/>
    </row>
    <row r="118791" spans="1:6" x14ac:dyDescent="0.25">
      <c r="A118791"/>
      <c r="B118791"/>
      <c r="C118791"/>
      <c r="E118791"/>
      <c r="F118791"/>
    </row>
    <row r="118792" spans="1:6" x14ac:dyDescent="0.25">
      <c r="A118792"/>
      <c r="B118792"/>
      <c r="C118792"/>
      <c r="E118792"/>
      <c r="F118792"/>
    </row>
    <row r="118793" spans="1:6" x14ac:dyDescent="0.25">
      <c r="A118793"/>
      <c r="B118793"/>
      <c r="C118793"/>
      <c r="E118793"/>
      <c r="F118793"/>
    </row>
    <row r="118794" spans="1:6" x14ac:dyDescent="0.25">
      <c r="A118794"/>
      <c r="B118794"/>
      <c r="C118794"/>
      <c r="E118794"/>
      <c r="F118794"/>
    </row>
    <row r="118795" spans="1:6" x14ac:dyDescent="0.25">
      <c r="A118795"/>
      <c r="B118795"/>
      <c r="C118795"/>
      <c r="E118795"/>
      <c r="F118795"/>
    </row>
    <row r="118796" spans="1:6" x14ac:dyDescent="0.25">
      <c r="A118796"/>
      <c r="B118796"/>
      <c r="C118796"/>
      <c r="E118796"/>
      <c r="F118796"/>
    </row>
    <row r="118797" spans="1:6" x14ac:dyDescent="0.25">
      <c r="A118797"/>
      <c r="B118797"/>
      <c r="C118797"/>
      <c r="E118797"/>
      <c r="F118797"/>
    </row>
    <row r="118798" spans="1:6" x14ac:dyDescent="0.25">
      <c r="A118798"/>
      <c r="B118798"/>
      <c r="C118798"/>
      <c r="E118798"/>
      <c r="F118798"/>
    </row>
    <row r="118799" spans="1:6" x14ac:dyDescent="0.25">
      <c r="A118799"/>
      <c r="B118799"/>
      <c r="C118799"/>
      <c r="E118799"/>
      <c r="F118799"/>
    </row>
    <row r="118800" spans="1:6" x14ac:dyDescent="0.25">
      <c r="A118800"/>
      <c r="B118800"/>
      <c r="C118800"/>
      <c r="E118800"/>
      <c r="F118800"/>
    </row>
    <row r="118801" spans="1:6" x14ac:dyDescent="0.25">
      <c r="A118801"/>
      <c r="B118801"/>
      <c r="C118801"/>
      <c r="E118801"/>
      <c r="F118801"/>
    </row>
    <row r="118802" spans="1:6" x14ac:dyDescent="0.25">
      <c r="A118802"/>
      <c r="B118802"/>
      <c r="C118802"/>
      <c r="E118802"/>
      <c r="F118802"/>
    </row>
    <row r="118803" spans="1:6" x14ac:dyDescent="0.25">
      <c r="A118803"/>
      <c r="B118803"/>
      <c r="C118803"/>
      <c r="E118803"/>
      <c r="F118803"/>
    </row>
    <row r="118804" spans="1:6" x14ac:dyDescent="0.25">
      <c r="A118804"/>
      <c r="B118804"/>
      <c r="C118804"/>
      <c r="E118804"/>
      <c r="F118804"/>
    </row>
    <row r="118805" spans="1:6" x14ac:dyDescent="0.25">
      <c r="A118805"/>
      <c r="B118805"/>
      <c r="C118805"/>
      <c r="E118805"/>
      <c r="F118805"/>
    </row>
    <row r="118806" spans="1:6" x14ac:dyDescent="0.25">
      <c r="A118806"/>
      <c r="B118806"/>
      <c r="C118806"/>
      <c r="E118806"/>
      <c r="F118806"/>
    </row>
    <row r="118807" spans="1:6" x14ac:dyDescent="0.25">
      <c r="A118807"/>
      <c r="B118807"/>
      <c r="C118807"/>
      <c r="E118807"/>
      <c r="F118807"/>
    </row>
    <row r="118808" spans="1:6" x14ac:dyDescent="0.25">
      <c r="A118808"/>
      <c r="B118808"/>
      <c r="C118808"/>
      <c r="E118808"/>
      <c r="F118808"/>
    </row>
    <row r="118809" spans="1:6" x14ac:dyDescent="0.25">
      <c r="A118809"/>
      <c r="B118809"/>
      <c r="C118809"/>
      <c r="E118809"/>
      <c r="F118809"/>
    </row>
    <row r="118810" spans="1:6" x14ac:dyDescent="0.25">
      <c r="A118810"/>
      <c r="B118810"/>
      <c r="C118810"/>
      <c r="E118810"/>
      <c r="F118810"/>
    </row>
    <row r="118811" spans="1:6" x14ac:dyDescent="0.25">
      <c r="A118811"/>
      <c r="B118811"/>
      <c r="C118811"/>
      <c r="E118811"/>
      <c r="F118811"/>
    </row>
    <row r="118812" spans="1:6" x14ac:dyDescent="0.25">
      <c r="A118812"/>
      <c r="B118812"/>
      <c r="C118812"/>
      <c r="E118812"/>
      <c r="F118812"/>
    </row>
    <row r="118813" spans="1:6" x14ac:dyDescent="0.25">
      <c r="A118813"/>
      <c r="B118813"/>
      <c r="C118813"/>
      <c r="E118813"/>
      <c r="F118813"/>
    </row>
    <row r="118814" spans="1:6" x14ac:dyDescent="0.25">
      <c r="A118814"/>
      <c r="B118814"/>
      <c r="C118814"/>
      <c r="E118814"/>
      <c r="F118814"/>
    </row>
    <row r="118815" spans="1:6" x14ac:dyDescent="0.25">
      <c r="A118815"/>
      <c r="B118815"/>
      <c r="C118815"/>
      <c r="E118815"/>
      <c r="F118815"/>
    </row>
    <row r="118816" spans="1:6" x14ac:dyDescent="0.25">
      <c r="A118816"/>
      <c r="B118816"/>
      <c r="C118816"/>
      <c r="E118816"/>
      <c r="F118816"/>
    </row>
    <row r="118817" spans="1:6" x14ac:dyDescent="0.25">
      <c r="A118817"/>
      <c r="B118817"/>
      <c r="C118817"/>
      <c r="E118817"/>
      <c r="F118817"/>
    </row>
    <row r="118818" spans="1:6" x14ac:dyDescent="0.25">
      <c r="A118818"/>
      <c r="B118818"/>
      <c r="C118818"/>
      <c r="E118818"/>
      <c r="F118818"/>
    </row>
    <row r="118819" spans="1:6" x14ac:dyDescent="0.25">
      <c r="A118819"/>
      <c r="B118819"/>
      <c r="C118819"/>
      <c r="E118819"/>
      <c r="F118819"/>
    </row>
    <row r="118820" spans="1:6" x14ac:dyDescent="0.25">
      <c r="A118820"/>
      <c r="B118820"/>
      <c r="C118820"/>
      <c r="E118820"/>
      <c r="F118820"/>
    </row>
    <row r="118821" spans="1:6" x14ac:dyDescent="0.25">
      <c r="A118821"/>
      <c r="B118821"/>
      <c r="C118821"/>
      <c r="E118821"/>
      <c r="F118821"/>
    </row>
    <row r="118822" spans="1:6" x14ac:dyDescent="0.25">
      <c r="A118822"/>
      <c r="B118822"/>
      <c r="C118822"/>
      <c r="E118822"/>
      <c r="F118822"/>
    </row>
    <row r="118823" spans="1:6" x14ac:dyDescent="0.25">
      <c r="A118823"/>
      <c r="B118823"/>
      <c r="C118823"/>
      <c r="E118823"/>
      <c r="F118823"/>
    </row>
    <row r="118824" spans="1:6" x14ac:dyDescent="0.25">
      <c r="A118824"/>
      <c r="B118824"/>
      <c r="C118824"/>
      <c r="E118824"/>
      <c r="F118824"/>
    </row>
    <row r="118825" spans="1:6" x14ac:dyDescent="0.25">
      <c r="A118825"/>
      <c r="B118825"/>
      <c r="C118825"/>
      <c r="E118825"/>
      <c r="F118825"/>
    </row>
    <row r="118826" spans="1:6" x14ac:dyDescent="0.25">
      <c r="A118826"/>
      <c r="B118826"/>
      <c r="C118826"/>
      <c r="E118826"/>
      <c r="F118826"/>
    </row>
    <row r="118827" spans="1:6" x14ac:dyDescent="0.25">
      <c r="A118827"/>
      <c r="B118827"/>
      <c r="C118827"/>
      <c r="E118827"/>
      <c r="F118827"/>
    </row>
    <row r="118828" spans="1:6" x14ac:dyDescent="0.25">
      <c r="A118828"/>
      <c r="B118828"/>
      <c r="C118828"/>
      <c r="E118828"/>
      <c r="F118828"/>
    </row>
    <row r="118829" spans="1:6" x14ac:dyDescent="0.25">
      <c r="A118829"/>
      <c r="B118829"/>
      <c r="C118829"/>
      <c r="E118829"/>
      <c r="F118829"/>
    </row>
    <row r="118830" spans="1:6" x14ac:dyDescent="0.25">
      <c r="A118830"/>
      <c r="B118830"/>
      <c r="C118830"/>
      <c r="E118830"/>
      <c r="F118830"/>
    </row>
    <row r="118831" spans="1:6" x14ac:dyDescent="0.25">
      <c r="A118831"/>
      <c r="B118831"/>
      <c r="C118831"/>
      <c r="E118831"/>
      <c r="F118831"/>
    </row>
    <row r="118832" spans="1:6" x14ac:dyDescent="0.25">
      <c r="A118832"/>
      <c r="B118832"/>
      <c r="C118832"/>
      <c r="E118832"/>
      <c r="F118832"/>
    </row>
    <row r="118833" spans="1:6" x14ac:dyDescent="0.25">
      <c r="A118833"/>
      <c r="B118833"/>
      <c r="C118833"/>
      <c r="E118833"/>
      <c r="F118833"/>
    </row>
    <row r="118834" spans="1:6" x14ac:dyDescent="0.25">
      <c r="A118834"/>
      <c r="B118834"/>
      <c r="C118834"/>
      <c r="E118834"/>
      <c r="F118834"/>
    </row>
    <row r="118835" spans="1:6" x14ac:dyDescent="0.25">
      <c r="A118835"/>
      <c r="B118835"/>
      <c r="C118835"/>
      <c r="E118835"/>
      <c r="F118835"/>
    </row>
    <row r="118836" spans="1:6" x14ac:dyDescent="0.25">
      <c r="A118836"/>
      <c r="B118836"/>
      <c r="C118836"/>
      <c r="E118836"/>
      <c r="F118836"/>
    </row>
    <row r="118837" spans="1:6" x14ac:dyDescent="0.25">
      <c r="A118837"/>
      <c r="B118837"/>
      <c r="C118837"/>
      <c r="E118837"/>
      <c r="F118837"/>
    </row>
    <row r="118838" spans="1:6" x14ac:dyDescent="0.25">
      <c r="A118838"/>
      <c r="B118838"/>
      <c r="C118838"/>
      <c r="E118838"/>
      <c r="F118838"/>
    </row>
    <row r="118839" spans="1:6" x14ac:dyDescent="0.25">
      <c r="A118839"/>
      <c r="B118839"/>
      <c r="C118839"/>
      <c r="E118839"/>
      <c r="F118839"/>
    </row>
    <row r="118840" spans="1:6" x14ac:dyDescent="0.25">
      <c r="A118840"/>
      <c r="B118840"/>
      <c r="C118840"/>
      <c r="E118840"/>
      <c r="F118840"/>
    </row>
    <row r="118841" spans="1:6" x14ac:dyDescent="0.25">
      <c r="A118841"/>
      <c r="B118841"/>
      <c r="C118841"/>
      <c r="E118841"/>
      <c r="F118841"/>
    </row>
    <row r="118842" spans="1:6" x14ac:dyDescent="0.25">
      <c r="A118842"/>
      <c r="B118842"/>
      <c r="C118842"/>
      <c r="E118842"/>
      <c r="F118842"/>
    </row>
    <row r="118843" spans="1:6" x14ac:dyDescent="0.25">
      <c r="A118843"/>
      <c r="B118843"/>
      <c r="C118843"/>
      <c r="E118843"/>
      <c r="F118843"/>
    </row>
    <row r="118844" spans="1:6" x14ac:dyDescent="0.25">
      <c r="A118844"/>
      <c r="B118844"/>
      <c r="C118844"/>
      <c r="E118844"/>
      <c r="F118844"/>
    </row>
    <row r="118845" spans="1:6" x14ac:dyDescent="0.25">
      <c r="A118845"/>
      <c r="B118845"/>
      <c r="C118845"/>
      <c r="E118845"/>
      <c r="F118845"/>
    </row>
    <row r="118846" spans="1:6" x14ac:dyDescent="0.25">
      <c r="A118846"/>
      <c r="B118846"/>
      <c r="C118846"/>
      <c r="E118846"/>
      <c r="F118846"/>
    </row>
    <row r="118847" spans="1:6" x14ac:dyDescent="0.25">
      <c r="A118847"/>
      <c r="B118847"/>
      <c r="C118847"/>
      <c r="E118847"/>
      <c r="F118847"/>
    </row>
    <row r="118848" spans="1:6" x14ac:dyDescent="0.25">
      <c r="A118848"/>
      <c r="B118848"/>
      <c r="C118848"/>
      <c r="E118848"/>
      <c r="F118848"/>
    </row>
    <row r="118849" spans="1:6" x14ac:dyDescent="0.25">
      <c r="A118849"/>
      <c r="B118849"/>
      <c r="C118849"/>
      <c r="E118849"/>
      <c r="F118849"/>
    </row>
    <row r="118850" spans="1:6" x14ac:dyDescent="0.25">
      <c r="A118850"/>
      <c r="B118850"/>
      <c r="C118850"/>
      <c r="E118850"/>
      <c r="F118850"/>
    </row>
    <row r="118851" spans="1:6" x14ac:dyDescent="0.25">
      <c r="A118851"/>
      <c r="B118851"/>
      <c r="C118851"/>
      <c r="E118851"/>
      <c r="F118851"/>
    </row>
    <row r="118852" spans="1:6" x14ac:dyDescent="0.25">
      <c r="A118852"/>
      <c r="B118852"/>
      <c r="C118852"/>
      <c r="E118852"/>
      <c r="F118852"/>
    </row>
    <row r="118853" spans="1:6" x14ac:dyDescent="0.25">
      <c r="A118853"/>
      <c r="B118853"/>
      <c r="C118853"/>
      <c r="E118853"/>
      <c r="F118853"/>
    </row>
    <row r="118854" spans="1:6" x14ac:dyDescent="0.25">
      <c r="A118854"/>
      <c r="B118854"/>
      <c r="C118854"/>
      <c r="E118854"/>
      <c r="F118854"/>
    </row>
    <row r="118855" spans="1:6" x14ac:dyDescent="0.25">
      <c r="A118855"/>
      <c r="B118855"/>
      <c r="C118855"/>
      <c r="E118855"/>
      <c r="F118855"/>
    </row>
    <row r="118856" spans="1:6" x14ac:dyDescent="0.25">
      <c r="A118856"/>
      <c r="B118856"/>
      <c r="C118856"/>
      <c r="E118856"/>
      <c r="F118856"/>
    </row>
    <row r="118857" spans="1:6" x14ac:dyDescent="0.25">
      <c r="A118857"/>
      <c r="B118857"/>
      <c r="C118857"/>
      <c r="E118857"/>
      <c r="F118857"/>
    </row>
    <row r="118858" spans="1:6" x14ac:dyDescent="0.25">
      <c r="A118858"/>
      <c r="B118858"/>
      <c r="C118858"/>
      <c r="E118858"/>
      <c r="F118858"/>
    </row>
    <row r="118859" spans="1:6" x14ac:dyDescent="0.25">
      <c r="A118859"/>
      <c r="B118859"/>
      <c r="C118859"/>
      <c r="E118859"/>
      <c r="F118859"/>
    </row>
    <row r="118860" spans="1:6" x14ac:dyDescent="0.25">
      <c r="A118860"/>
      <c r="B118860"/>
      <c r="C118860"/>
      <c r="E118860"/>
      <c r="F118860"/>
    </row>
    <row r="118861" spans="1:6" x14ac:dyDescent="0.25">
      <c r="A118861"/>
      <c r="B118861"/>
      <c r="C118861"/>
      <c r="E118861"/>
      <c r="F118861"/>
    </row>
    <row r="118862" spans="1:6" x14ac:dyDescent="0.25">
      <c r="A118862"/>
      <c r="B118862"/>
      <c r="C118862"/>
      <c r="E118862"/>
      <c r="F118862"/>
    </row>
    <row r="118863" spans="1:6" x14ac:dyDescent="0.25">
      <c r="A118863"/>
      <c r="B118863"/>
      <c r="C118863"/>
      <c r="E118863"/>
      <c r="F118863"/>
    </row>
    <row r="118864" spans="1:6" x14ac:dyDescent="0.25">
      <c r="A118864"/>
      <c r="B118864"/>
      <c r="C118864"/>
      <c r="E118864"/>
      <c r="F118864"/>
    </row>
    <row r="118865" spans="1:6" x14ac:dyDescent="0.25">
      <c r="A118865"/>
      <c r="B118865"/>
      <c r="C118865"/>
      <c r="E118865"/>
      <c r="F118865"/>
    </row>
    <row r="118866" spans="1:6" x14ac:dyDescent="0.25">
      <c r="A118866"/>
      <c r="B118866"/>
      <c r="C118866"/>
      <c r="E118866"/>
      <c r="F118866"/>
    </row>
    <row r="118867" spans="1:6" x14ac:dyDescent="0.25">
      <c r="A118867"/>
      <c r="B118867"/>
      <c r="C118867"/>
      <c r="E118867"/>
      <c r="F118867"/>
    </row>
    <row r="118868" spans="1:6" x14ac:dyDescent="0.25">
      <c r="A118868"/>
      <c r="B118868"/>
      <c r="C118868"/>
      <c r="E118868"/>
      <c r="F118868"/>
    </row>
    <row r="118869" spans="1:6" x14ac:dyDescent="0.25">
      <c r="A118869"/>
      <c r="B118869"/>
      <c r="C118869"/>
      <c r="E118869"/>
      <c r="F118869"/>
    </row>
    <row r="118870" spans="1:6" x14ac:dyDescent="0.25">
      <c r="A118870"/>
      <c r="B118870"/>
      <c r="C118870"/>
      <c r="E118870"/>
      <c r="F118870"/>
    </row>
    <row r="118871" spans="1:6" x14ac:dyDescent="0.25">
      <c r="A118871"/>
      <c r="B118871"/>
      <c r="C118871"/>
      <c r="E118871"/>
      <c r="F118871"/>
    </row>
    <row r="118872" spans="1:6" x14ac:dyDescent="0.25">
      <c r="A118872"/>
      <c r="B118872"/>
      <c r="C118872"/>
      <c r="E118872"/>
      <c r="F118872"/>
    </row>
    <row r="118873" spans="1:6" x14ac:dyDescent="0.25">
      <c r="A118873"/>
      <c r="B118873"/>
      <c r="C118873"/>
      <c r="E118873"/>
      <c r="F118873"/>
    </row>
    <row r="118874" spans="1:6" x14ac:dyDescent="0.25">
      <c r="A118874"/>
      <c r="B118874"/>
      <c r="C118874"/>
      <c r="E118874"/>
      <c r="F118874"/>
    </row>
    <row r="118875" spans="1:6" x14ac:dyDescent="0.25">
      <c r="A118875"/>
      <c r="B118875"/>
      <c r="C118875"/>
      <c r="E118875"/>
      <c r="F118875"/>
    </row>
    <row r="118876" spans="1:6" x14ac:dyDescent="0.25">
      <c r="A118876"/>
      <c r="B118876"/>
      <c r="C118876"/>
      <c r="E118876"/>
      <c r="F118876"/>
    </row>
    <row r="118877" spans="1:6" x14ac:dyDescent="0.25">
      <c r="A118877"/>
      <c r="B118877"/>
      <c r="C118877"/>
      <c r="E118877"/>
      <c r="F118877"/>
    </row>
    <row r="118878" spans="1:6" x14ac:dyDescent="0.25">
      <c r="A118878"/>
      <c r="B118878"/>
      <c r="C118878"/>
      <c r="E118878"/>
      <c r="F118878"/>
    </row>
    <row r="118879" spans="1:6" x14ac:dyDescent="0.25">
      <c r="A118879"/>
      <c r="B118879"/>
      <c r="C118879"/>
      <c r="E118879"/>
      <c r="F118879"/>
    </row>
    <row r="118880" spans="1:6" x14ac:dyDescent="0.25">
      <c r="A118880"/>
      <c r="B118880"/>
      <c r="C118880"/>
      <c r="E118880"/>
      <c r="F118880"/>
    </row>
    <row r="118881" spans="1:6" x14ac:dyDescent="0.25">
      <c r="A118881"/>
      <c r="B118881"/>
      <c r="C118881"/>
      <c r="E118881"/>
      <c r="F118881"/>
    </row>
    <row r="118882" spans="1:6" x14ac:dyDescent="0.25">
      <c r="A118882"/>
      <c r="B118882"/>
      <c r="C118882"/>
      <c r="E118882"/>
      <c r="F118882"/>
    </row>
    <row r="118883" spans="1:6" x14ac:dyDescent="0.25">
      <c r="A118883"/>
      <c r="B118883"/>
      <c r="C118883"/>
      <c r="E118883"/>
      <c r="F118883"/>
    </row>
    <row r="118884" spans="1:6" x14ac:dyDescent="0.25">
      <c r="A118884"/>
      <c r="B118884"/>
      <c r="C118884"/>
      <c r="E118884"/>
      <c r="F118884"/>
    </row>
    <row r="118885" spans="1:6" x14ac:dyDescent="0.25">
      <c r="A118885"/>
      <c r="B118885"/>
      <c r="C118885"/>
      <c r="E118885"/>
      <c r="F118885"/>
    </row>
    <row r="118886" spans="1:6" x14ac:dyDescent="0.25">
      <c r="A118886"/>
      <c r="B118886"/>
      <c r="C118886"/>
      <c r="E118886"/>
      <c r="F118886"/>
    </row>
    <row r="118887" spans="1:6" x14ac:dyDescent="0.25">
      <c r="A118887"/>
      <c r="B118887"/>
      <c r="C118887"/>
      <c r="E118887"/>
      <c r="F118887"/>
    </row>
    <row r="118888" spans="1:6" x14ac:dyDescent="0.25">
      <c r="A118888"/>
      <c r="B118888"/>
      <c r="C118888"/>
      <c r="E118888"/>
      <c r="F118888"/>
    </row>
    <row r="118889" spans="1:6" x14ac:dyDescent="0.25">
      <c r="A118889"/>
      <c r="B118889"/>
      <c r="C118889"/>
      <c r="E118889"/>
      <c r="F118889"/>
    </row>
    <row r="118890" spans="1:6" x14ac:dyDescent="0.25">
      <c r="A118890"/>
      <c r="B118890"/>
      <c r="C118890"/>
      <c r="E118890"/>
      <c r="F118890"/>
    </row>
    <row r="118891" spans="1:6" x14ac:dyDescent="0.25">
      <c r="A118891"/>
      <c r="B118891"/>
      <c r="C118891"/>
      <c r="E118891"/>
      <c r="F118891"/>
    </row>
    <row r="118892" spans="1:6" x14ac:dyDescent="0.25">
      <c r="A118892"/>
      <c r="B118892"/>
      <c r="C118892"/>
      <c r="E118892"/>
      <c r="F118892"/>
    </row>
    <row r="118893" spans="1:6" x14ac:dyDescent="0.25">
      <c r="A118893"/>
      <c r="B118893"/>
      <c r="C118893"/>
      <c r="E118893"/>
      <c r="F118893"/>
    </row>
    <row r="118894" spans="1:6" x14ac:dyDescent="0.25">
      <c r="A118894"/>
      <c r="B118894"/>
      <c r="C118894"/>
      <c r="E118894"/>
      <c r="F118894"/>
    </row>
    <row r="118895" spans="1:6" x14ac:dyDescent="0.25">
      <c r="A118895"/>
      <c r="B118895"/>
      <c r="C118895"/>
      <c r="E118895"/>
      <c r="F118895"/>
    </row>
    <row r="118896" spans="1:6" x14ac:dyDescent="0.25">
      <c r="A118896"/>
      <c r="B118896"/>
      <c r="C118896"/>
      <c r="E118896"/>
      <c r="F118896"/>
    </row>
    <row r="118897" spans="1:6" x14ac:dyDescent="0.25">
      <c r="A118897"/>
      <c r="B118897"/>
      <c r="C118897"/>
      <c r="E118897"/>
      <c r="F118897"/>
    </row>
    <row r="118898" spans="1:6" x14ac:dyDescent="0.25">
      <c r="A118898"/>
      <c r="B118898"/>
      <c r="C118898"/>
      <c r="E118898"/>
      <c r="F118898"/>
    </row>
    <row r="118899" spans="1:6" x14ac:dyDescent="0.25">
      <c r="A118899"/>
      <c r="B118899"/>
      <c r="C118899"/>
      <c r="E118899"/>
      <c r="F118899"/>
    </row>
    <row r="118900" spans="1:6" x14ac:dyDescent="0.25">
      <c r="A118900"/>
      <c r="B118900"/>
      <c r="C118900"/>
      <c r="E118900"/>
      <c r="F118900"/>
    </row>
    <row r="118901" spans="1:6" x14ac:dyDescent="0.25">
      <c r="A118901"/>
      <c r="B118901"/>
      <c r="C118901"/>
      <c r="E118901"/>
      <c r="F118901"/>
    </row>
    <row r="118902" spans="1:6" x14ac:dyDescent="0.25">
      <c r="A118902"/>
      <c r="B118902"/>
      <c r="C118902"/>
      <c r="E118902"/>
      <c r="F118902"/>
    </row>
    <row r="118903" spans="1:6" x14ac:dyDescent="0.25">
      <c r="A118903"/>
      <c r="B118903"/>
      <c r="C118903"/>
      <c r="E118903"/>
      <c r="F118903"/>
    </row>
    <row r="118904" spans="1:6" x14ac:dyDescent="0.25">
      <c r="A118904"/>
      <c r="B118904"/>
      <c r="C118904"/>
      <c r="E118904"/>
      <c r="F118904"/>
    </row>
    <row r="118905" spans="1:6" x14ac:dyDescent="0.25">
      <c r="A118905"/>
      <c r="B118905"/>
      <c r="C118905"/>
      <c r="E118905"/>
      <c r="F118905"/>
    </row>
    <row r="118906" spans="1:6" x14ac:dyDescent="0.25">
      <c r="A118906"/>
      <c r="B118906"/>
      <c r="C118906"/>
      <c r="E118906"/>
      <c r="F118906"/>
    </row>
    <row r="118907" spans="1:6" x14ac:dyDescent="0.25">
      <c r="A118907"/>
      <c r="B118907"/>
      <c r="C118907"/>
      <c r="E118907"/>
      <c r="F118907"/>
    </row>
    <row r="118908" spans="1:6" x14ac:dyDescent="0.25">
      <c r="A118908"/>
      <c r="B118908"/>
      <c r="C118908"/>
      <c r="E118908"/>
      <c r="F118908"/>
    </row>
    <row r="118909" spans="1:6" x14ac:dyDescent="0.25">
      <c r="A118909"/>
      <c r="B118909"/>
      <c r="C118909"/>
      <c r="E118909"/>
      <c r="F118909"/>
    </row>
    <row r="118910" spans="1:6" x14ac:dyDescent="0.25">
      <c r="A118910"/>
      <c r="B118910"/>
      <c r="C118910"/>
      <c r="E118910"/>
      <c r="F118910"/>
    </row>
    <row r="118911" spans="1:6" x14ac:dyDescent="0.25">
      <c r="A118911"/>
      <c r="B118911"/>
      <c r="C118911"/>
      <c r="E118911"/>
      <c r="F118911"/>
    </row>
    <row r="118912" spans="1:6" x14ac:dyDescent="0.25">
      <c r="A118912"/>
      <c r="B118912"/>
      <c r="C118912"/>
      <c r="E118912"/>
      <c r="F118912"/>
    </row>
    <row r="118913" spans="1:6" x14ac:dyDescent="0.25">
      <c r="A118913"/>
      <c r="B118913"/>
      <c r="C118913"/>
      <c r="E118913"/>
      <c r="F118913"/>
    </row>
    <row r="118914" spans="1:6" x14ac:dyDescent="0.25">
      <c r="A118914"/>
      <c r="B118914"/>
      <c r="C118914"/>
      <c r="E118914"/>
      <c r="F118914"/>
    </row>
    <row r="118915" spans="1:6" x14ac:dyDescent="0.25">
      <c r="A118915"/>
      <c r="B118915"/>
      <c r="C118915"/>
      <c r="E118915"/>
      <c r="F118915"/>
    </row>
    <row r="118916" spans="1:6" x14ac:dyDescent="0.25">
      <c r="A118916"/>
      <c r="B118916"/>
      <c r="C118916"/>
      <c r="E118916"/>
      <c r="F118916"/>
    </row>
    <row r="118917" spans="1:6" x14ac:dyDescent="0.25">
      <c r="A118917"/>
      <c r="B118917"/>
      <c r="C118917"/>
      <c r="E118917"/>
      <c r="F118917"/>
    </row>
    <row r="118918" spans="1:6" x14ac:dyDescent="0.25">
      <c r="A118918"/>
      <c r="B118918"/>
      <c r="C118918"/>
      <c r="E118918"/>
      <c r="F118918"/>
    </row>
    <row r="118919" spans="1:6" x14ac:dyDescent="0.25">
      <c r="A118919"/>
      <c r="B118919"/>
      <c r="C118919"/>
      <c r="E118919"/>
      <c r="F118919"/>
    </row>
    <row r="118920" spans="1:6" x14ac:dyDescent="0.25">
      <c r="A118920"/>
      <c r="B118920"/>
      <c r="C118920"/>
      <c r="E118920"/>
      <c r="F118920"/>
    </row>
    <row r="118921" spans="1:6" x14ac:dyDescent="0.25">
      <c r="A118921"/>
      <c r="B118921"/>
      <c r="C118921"/>
      <c r="E118921"/>
      <c r="F118921"/>
    </row>
    <row r="118922" spans="1:6" x14ac:dyDescent="0.25">
      <c r="A118922"/>
      <c r="B118922"/>
      <c r="C118922"/>
      <c r="E118922"/>
      <c r="F118922"/>
    </row>
    <row r="118923" spans="1:6" x14ac:dyDescent="0.25">
      <c r="A118923"/>
      <c r="B118923"/>
      <c r="C118923"/>
      <c r="E118923"/>
      <c r="F118923"/>
    </row>
    <row r="118924" spans="1:6" x14ac:dyDescent="0.25">
      <c r="A118924"/>
      <c r="B118924"/>
      <c r="C118924"/>
      <c r="E118924"/>
      <c r="F118924"/>
    </row>
    <row r="118925" spans="1:6" x14ac:dyDescent="0.25">
      <c r="A118925"/>
      <c r="B118925"/>
      <c r="C118925"/>
      <c r="E118925"/>
      <c r="F118925"/>
    </row>
    <row r="118926" spans="1:6" x14ac:dyDescent="0.25">
      <c r="A118926"/>
      <c r="B118926"/>
      <c r="C118926"/>
      <c r="E118926"/>
      <c r="F118926"/>
    </row>
    <row r="118927" spans="1:6" x14ac:dyDescent="0.25">
      <c r="A118927"/>
      <c r="B118927"/>
      <c r="C118927"/>
      <c r="E118927"/>
      <c r="F118927"/>
    </row>
    <row r="118928" spans="1:6" x14ac:dyDescent="0.25">
      <c r="A118928"/>
      <c r="B118928"/>
      <c r="C118928"/>
      <c r="E118928"/>
      <c r="F118928"/>
    </row>
    <row r="118929" spans="1:6" x14ac:dyDescent="0.25">
      <c r="A118929"/>
      <c r="B118929"/>
      <c r="C118929"/>
      <c r="E118929"/>
      <c r="F118929"/>
    </row>
    <row r="118930" spans="1:6" x14ac:dyDescent="0.25">
      <c r="A118930"/>
      <c r="B118930"/>
      <c r="C118930"/>
      <c r="E118930"/>
      <c r="F118930"/>
    </row>
    <row r="118931" spans="1:6" x14ac:dyDescent="0.25">
      <c r="A118931"/>
      <c r="B118931"/>
      <c r="C118931"/>
      <c r="E118931"/>
      <c r="F118931"/>
    </row>
    <row r="118932" spans="1:6" x14ac:dyDescent="0.25">
      <c r="A118932"/>
      <c r="B118932"/>
      <c r="C118932"/>
      <c r="E118932"/>
      <c r="F118932"/>
    </row>
    <row r="118933" spans="1:6" x14ac:dyDescent="0.25">
      <c r="A118933"/>
      <c r="B118933"/>
      <c r="C118933"/>
      <c r="E118933"/>
      <c r="F118933"/>
    </row>
    <row r="118934" spans="1:6" x14ac:dyDescent="0.25">
      <c r="A118934"/>
      <c r="B118934"/>
      <c r="C118934"/>
      <c r="E118934"/>
      <c r="F118934"/>
    </row>
    <row r="118935" spans="1:6" x14ac:dyDescent="0.25">
      <c r="A118935"/>
      <c r="B118935"/>
      <c r="C118935"/>
      <c r="E118935"/>
      <c r="F118935"/>
    </row>
    <row r="118936" spans="1:6" x14ac:dyDescent="0.25">
      <c r="A118936"/>
      <c r="B118936"/>
      <c r="C118936"/>
      <c r="E118936"/>
      <c r="F118936"/>
    </row>
    <row r="118937" spans="1:6" x14ac:dyDescent="0.25">
      <c r="A118937"/>
      <c r="B118937"/>
      <c r="C118937"/>
      <c r="E118937"/>
      <c r="F118937"/>
    </row>
    <row r="118938" spans="1:6" x14ac:dyDescent="0.25">
      <c r="A118938"/>
      <c r="B118938"/>
      <c r="C118938"/>
      <c r="E118938"/>
      <c r="F118938"/>
    </row>
    <row r="118939" spans="1:6" x14ac:dyDescent="0.25">
      <c r="A118939"/>
      <c r="B118939"/>
      <c r="C118939"/>
      <c r="E118939"/>
      <c r="F118939"/>
    </row>
    <row r="118940" spans="1:6" x14ac:dyDescent="0.25">
      <c r="A118940"/>
      <c r="B118940"/>
      <c r="C118940"/>
      <c r="E118940"/>
      <c r="F118940"/>
    </row>
    <row r="118941" spans="1:6" x14ac:dyDescent="0.25">
      <c r="A118941"/>
      <c r="B118941"/>
      <c r="C118941"/>
      <c r="E118941"/>
      <c r="F118941"/>
    </row>
    <row r="118942" spans="1:6" x14ac:dyDescent="0.25">
      <c r="A118942"/>
      <c r="B118942"/>
      <c r="C118942"/>
      <c r="E118942"/>
      <c r="F118942"/>
    </row>
    <row r="118943" spans="1:6" x14ac:dyDescent="0.25">
      <c r="A118943"/>
      <c r="B118943"/>
      <c r="C118943"/>
      <c r="E118943"/>
      <c r="F118943"/>
    </row>
    <row r="118944" spans="1:6" x14ac:dyDescent="0.25">
      <c r="A118944"/>
      <c r="B118944"/>
      <c r="C118944"/>
      <c r="E118944"/>
      <c r="F118944"/>
    </row>
    <row r="118945" spans="1:6" x14ac:dyDescent="0.25">
      <c r="A118945"/>
      <c r="B118945"/>
      <c r="C118945"/>
      <c r="E118945"/>
      <c r="F118945"/>
    </row>
    <row r="118946" spans="1:6" x14ac:dyDescent="0.25">
      <c r="A118946"/>
      <c r="B118946"/>
      <c r="C118946"/>
      <c r="E118946"/>
      <c r="F118946"/>
    </row>
    <row r="118947" spans="1:6" x14ac:dyDescent="0.25">
      <c r="A118947"/>
      <c r="B118947"/>
      <c r="C118947"/>
      <c r="E118947"/>
      <c r="F118947"/>
    </row>
    <row r="118948" spans="1:6" x14ac:dyDescent="0.25">
      <c r="A118948"/>
      <c r="B118948"/>
      <c r="C118948"/>
      <c r="E118948"/>
      <c r="F118948"/>
    </row>
    <row r="118949" spans="1:6" x14ac:dyDescent="0.25">
      <c r="A118949"/>
      <c r="B118949"/>
      <c r="C118949"/>
      <c r="E118949"/>
      <c r="F118949"/>
    </row>
    <row r="118950" spans="1:6" x14ac:dyDescent="0.25">
      <c r="A118950"/>
      <c r="B118950"/>
      <c r="C118950"/>
      <c r="E118950"/>
      <c r="F118950"/>
    </row>
    <row r="118951" spans="1:6" x14ac:dyDescent="0.25">
      <c r="A118951"/>
      <c r="B118951"/>
      <c r="C118951"/>
      <c r="E118951"/>
      <c r="F118951"/>
    </row>
    <row r="118952" spans="1:6" x14ac:dyDescent="0.25">
      <c r="A118952"/>
      <c r="B118952"/>
      <c r="C118952"/>
      <c r="E118952"/>
      <c r="F118952"/>
    </row>
    <row r="118953" spans="1:6" x14ac:dyDescent="0.25">
      <c r="A118953"/>
      <c r="B118953"/>
      <c r="C118953"/>
      <c r="E118953"/>
      <c r="F118953"/>
    </row>
    <row r="118954" spans="1:6" x14ac:dyDescent="0.25">
      <c r="A118954"/>
      <c r="B118954"/>
      <c r="C118954"/>
      <c r="E118954"/>
      <c r="F118954"/>
    </row>
    <row r="118955" spans="1:6" x14ac:dyDescent="0.25">
      <c r="A118955"/>
      <c r="B118955"/>
      <c r="C118955"/>
      <c r="E118955"/>
      <c r="F118955"/>
    </row>
    <row r="118956" spans="1:6" x14ac:dyDescent="0.25">
      <c r="A118956"/>
      <c r="B118956"/>
      <c r="C118956"/>
      <c r="E118956"/>
      <c r="F118956"/>
    </row>
    <row r="118957" spans="1:6" x14ac:dyDescent="0.25">
      <c r="A118957"/>
      <c r="B118957"/>
      <c r="C118957"/>
      <c r="E118957"/>
      <c r="F118957"/>
    </row>
    <row r="118958" spans="1:6" x14ac:dyDescent="0.25">
      <c r="A118958"/>
      <c r="B118958"/>
      <c r="C118958"/>
      <c r="E118958"/>
      <c r="F118958"/>
    </row>
    <row r="118959" spans="1:6" x14ac:dyDescent="0.25">
      <c r="A118959"/>
      <c r="B118959"/>
      <c r="C118959"/>
      <c r="E118959"/>
      <c r="F118959"/>
    </row>
    <row r="118960" spans="1:6" x14ac:dyDescent="0.25">
      <c r="A118960"/>
      <c r="B118960"/>
      <c r="C118960"/>
      <c r="E118960"/>
      <c r="F118960"/>
    </row>
    <row r="118961" spans="1:6" x14ac:dyDescent="0.25">
      <c r="A118961"/>
      <c r="B118961"/>
      <c r="C118961"/>
      <c r="E118961"/>
      <c r="F118961"/>
    </row>
    <row r="118962" spans="1:6" x14ac:dyDescent="0.25">
      <c r="A118962"/>
      <c r="B118962"/>
      <c r="C118962"/>
      <c r="E118962"/>
      <c r="F118962"/>
    </row>
    <row r="118963" spans="1:6" x14ac:dyDescent="0.25">
      <c r="A118963"/>
      <c r="B118963"/>
      <c r="C118963"/>
      <c r="E118963"/>
      <c r="F118963"/>
    </row>
    <row r="118964" spans="1:6" x14ac:dyDescent="0.25">
      <c r="A118964"/>
      <c r="B118964"/>
      <c r="C118964"/>
      <c r="E118964"/>
      <c r="F118964"/>
    </row>
    <row r="118965" spans="1:6" x14ac:dyDescent="0.25">
      <c r="A118965"/>
      <c r="B118965"/>
      <c r="C118965"/>
      <c r="E118965"/>
      <c r="F118965"/>
    </row>
    <row r="118966" spans="1:6" x14ac:dyDescent="0.25">
      <c r="A118966"/>
      <c r="B118966"/>
      <c r="C118966"/>
      <c r="E118966"/>
      <c r="F118966"/>
    </row>
    <row r="118967" spans="1:6" x14ac:dyDescent="0.25">
      <c r="A118967"/>
      <c r="B118967"/>
      <c r="C118967"/>
      <c r="E118967"/>
      <c r="F118967"/>
    </row>
    <row r="118968" spans="1:6" x14ac:dyDescent="0.25">
      <c r="A118968"/>
      <c r="B118968"/>
      <c r="C118968"/>
      <c r="E118968"/>
      <c r="F118968"/>
    </row>
    <row r="118969" spans="1:6" x14ac:dyDescent="0.25">
      <c r="A118969"/>
      <c r="B118969"/>
      <c r="C118969"/>
      <c r="E118969"/>
      <c r="F118969"/>
    </row>
    <row r="118970" spans="1:6" x14ac:dyDescent="0.25">
      <c r="A118970"/>
      <c r="B118970"/>
      <c r="C118970"/>
      <c r="E118970"/>
      <c r="F118970"/>
    </row>
    <row r="118971" spans="1:6" x14ac:dyDescent="0.25">
      <c r="A118971"/>
      <c r="B118971"/>
      <c r="C118971"/>
      <c r="E118971"/>
      <c r="F118971"/>
    </row>
    <row r="118972" spans="1:6" x14ac:dyDescent="0.25">
      <c r="A118972"/>
      <c r="B118972"/>
      <c r="C118972"/>
      <c r="E118972"/>
      <c r="F118972"/>
    </row>
    <row r="118973" spans="1:6" x14ac:dyDescent="0.25">
      <c r="A118973"/>
      <c r="B118973"/>
      <c r="C118973"/>
      <c r="E118973"/>
      <c r="F118973"/>
    </row>
    <row r="118974" spans="1:6" x14ac:dyDescent="0.25">
      <c r="A118974"/>
      <c r="B118974"/>
      <c r="C118974"/>
      <c r="E118974"/>
      <c r="F118974"/>
    </row>
    <row r="118975" spans="1:6" x14ac:dyDescent="0.25">
      <c r="A118975"/>
      <c r="B118975"/>
      <c r="C118975"/>
      <c r="E118975"/>
      <c r="F118975"/>
    </row>
    <row r="118976" spans="1:6" x14ac:dyDescent="0.25">
      <c r="A118976"/>
      <c r="B118976"/>
      <c r="C118976"/>
      <c r="E118976"/>
      <c r="F118976"/>
    </row>
    <row r="118977" spans="1:6" x14ac:dyDescent="0.25">
      <c r="A118977"/>
      <c r="B118977"/>
      <c r="C118977"/>
      <c r="E118977"/>
      <c r="F118977"/>
    </row>
    <row r="118978" spans="1:6" x14ac:dyDescent="0.25">
      <c r="A118978"/>
      <c r="B118978"/>
      <c r="C118978"/>
      <c r="E118978"/>
      <c r="F118978"/>
    </row>
    <row r="118979" spans="1:6" x14ac:dyDescent="0.25">
      <c r="A118979"/>
      <c r="B118979"/>
      <c r="C118979"/>
      <c r="E118979"/>
      <c r="F118979"/>
    </row>
    <row r="118980" spans="1:6" x14ac:dyDescent="0.25">
      <c r="A118980"/>
      <c r="B118980"/>
      <c r="C118980"/>
      <c r="E118980"/>
      <c r="F118980"/>
    </row>
    <row r="118981" spans="1:6" x14ac:dyDescent="0.25">
      <c r="A118981"/>
      <c r="B118981"/>
      <c r="C118981"/>
      <c r="E118981"/>
      <c r="F118981"/>
    </row>
    <row r="118982" spans="1:6" x14ac:dyDescent="0.25">
      <c r="A118982"/>
      <c r="B118982"/>
      <c r="C118982"/>
      <c r="E118982"/>
      <c r="F118982"/>
    </row>
    <row r="118983" spans="1:6" x14ac:dyDescent="0.25">
      <c r="A118983"/>
      <c r="B118983"/>
      <c r="C118983"/>
      <c r="E118983"/>
      <c r="F118983"/>
    </row>
    <row r="118984" spans="1:6" x14ac:dyDescent="0.25">
      <c r="A118984"/>
      <c r="B118984"/>
      <c r="C118984"/>
      <c r="E118984"/>
      <c r="F118984"/>
    </row>
    <row r="118985" spans="1:6" x14ac:dyDescent="0.25">
      <c r="A118985"/>
      <c r="B118985"/>
      <c r="C118985"/>
      <c r="E118985"/>
      <c r="F118985"/>
    </row>
    <row r="118986" spans="1:6" x14ac:dyDescent="0.25">
      <c r="A118986"/>
      <c r="B118986"/>
      <c r="C118986"/>
      <c r="E118986"/>
      <c r="F118986"/>
    </row>
    <row r="118987" spans="1:6" x14ac:dyDescent="0.25">
      <c r="A118987"/>
      <c r="B118987"/>
      <c r="C118987"/>
      <c r="E118987"/>
      <c r="F118987"/>
    </row>
    <row r="118988" spans="1:6" x14ac:dyDescent="0.25">
      <c r="A118988"/>
      <c r="B118988"/>
      <c r="C118988"/>
      <c r="E118988"/>
      <c r="F118988"/>
    </row>
    <row r="118989" spans="1:6" x14ac:dyDescent="0.25">
      <c r="A118989"/>
      <c r="B118989"/>
      <c r="C118989"/>
      <c r="E118989"/>
      <c r="F118989"/>
    </row>
    <row r="118990" spans="1:6" x14ac:dyDescent="0.25">
      <c r="A118990"/>
      <c r="B118990"/>
      <c r="C118990"/>
      <c r="E118990"/>
      <c r="F118990"/>
    </row>
    <row r="118991" spans="1:6" x14ac:dyDescent="0.25">
      <c r="A118991"/>
      <c r="B118991"/>
      <c r="C118991"/>
      <c r="E118991"/>
      <c r="F118991"/>
    </row>
    <row r="118992" spans="1:6" x14ac:dyDescent="0.25">
      <c r="A118992"/>
      <c r="B118992"/>
      <c r="C118992"/>
      <c r="E118992"/>
      <c r="F118992"/>
    </row>
    <row r="118993" spans="1:6" x14ac:dyDescent="0.25">
      <c r="A118993"/>
      <c r="B118993"/>
      <c r="C118993"/>
      <c r="E118993"/>
      <c r="F118993"/>
    </row>
    <row r="118994" spans="1:6" x14ac:dyDescent="0.25">
      <c r="A118994"/>
      <c r="B118994"/>
      <c r="C118994"/>
      <c r="E118994"/>
      <c r="F118994"/>
    </row>
    <row r="118995" spans="1:6" x14ac:dyDescent="0.25">
      <c r="A118995"/>
      <c r="B118995"/>
      <c r="C118995"/>
      <c r="E118995"/>
      <c r="F118995"/>
    </row>
    <row r="118996" spans="1:6" x14ac:dyDescent="0.25">
      <c r="A118996"/>
      <c r="B118996"/>
      <c r="C118996"/>
      <c r="E118996"/>
      <c r="F118996"/>
    </row>
    <row r="118997" spans="1:6" x14ac:dyDescent="0.25">
      <c r="A118997"/>
      <c r="B118997"/>
      <c r="C118997"/>
      <c r="E118997"/>
      <c r="F118997"/>
    </row>
    <row r="118998" spans="1:6" x14ac:dyDescent="0.25">
      <c r="A118998"/>
      <c r="B118998"/>
      <c r="C118998"/>
      <c r="E118998"/>
      <c r="F118998"/>
    </row>
    <row r="118999" spans="1:6" x14ac:dyDescent="0.25">
      <c r="A118999"/>
      <c r="B118999"/>
      <c r="C118999"/>
      <c r="E118999"/>
      <c r="F118999"/>
    </row>
    <row r="119000" spans="1:6" x14ac:dyDescent="0.25">
      <c r="A119000"/>
      <c r="B119000"/>
      <c r="C119000"/>
      <c r="E119000"/>
      <c r="F119000"/>
    </row>
    <row r="119001" spans="1:6" x14ac:dyDescent="0.25">
      <c r="A119001"/>
      <c r="B119001"/>
      <c r="C119001"/>
      <c r="E119001"/>
      <c r="F119001"/>
    </row>
    <row r="119002" spans="1:6" x14ac:dyDescent="0.25">
      <c r="A119002"/>
      <c r="B119002"/>
      <c r="C119002"/>
      <c r="E119002"/>
      <c r="F119002"/>
    </row>
    <row r="119003" spans="1:6" x14ac:dyDescent="0.25">
      <c r="A119003"/>
      <c r="B119003"/>
      <c r="C119003"/>
      <c r="E119003"/>
      <c r="F119003"/>
    </row>
    <row r="119004" spans="1:6" x14ac:dyDescent="0.25">
      <c r="A119004"/>
      <c r="B119004"/>
      <c r="C119004"/>
      <c r="E119004"/>
      <c r="F119004"/>
    </row>
    <row r="119005" spans="1:6" x14ac:dyDescent="0.25">
      <c r="A119005"/>
      <c r="B119005"/>
      <c r="C119005"/>
      <c r="E119005"/>
      <c r="F119005"/>
    </row>
    <row r="119006" spans="1:6" x14ac:dyDescent="0.25">
      <c r="A119006"/>
      <c r="B119006"/>
      <c r="C119006"/>
      <c r="E119006"/>
      <c r="F119006"/>
    </row>
    <row r="119007" spans="1:6" x14ac:dyDescent="0.25">
      <c r="A119007"/>
      <c r="B119007"/>
      <c r="C119007"/>
      <c r="E119007"/>
      <c r="F119007"/>
    </row>
    <row r="119008" spans="1:6" x14ac:dyDescent="0.25">
      <c r="A119008"/>
      <c r="B119008"/>
      <c r="C119008"/>
      <c r="E119008"/>
      <c r="F119008"/>
    </row>
    <row r="119009" spans="1:6" x14ac:dyDescent="0.25">
      <c r="A119009"/>
      <c r="B119009"/>
      <c r="C119009"/>
      <c r="E119009"/>
      <c r="F119009"/>
    </row>
    <row r="119010" spans="1:6" x14ac:dyDescent="0.25">
      <c r="A119010"/>
      <c r="B119010"/>
      <c r="C119010"/>
      <c r="E119010"/>
      <c r="F119010"/>
    </row>
    <row r="119011" spans="1:6" x14ac:dyDescent="0.25">
      <c r="A119011"/>
      <c r="B119011"/>
      <c r="C119011"/>
      <c r="E119011"/>
      <c r="F119011"/>
    </row>
    <row r="119012" spans="1:6" x14ac:dyDescent="0.25">
      <c r="A119012"/>
      <c r="B119012"/>
      <c r="C119012"/>
      <c r="E119012"/>
      <c r="F119012"/>
    </row>
    <row r="119013" spans="1:6" x14ac:dyDescent="0.25">
      <c r="A119013"/>
      <c r="B119013"/>
      <c r="C119013"/>
      <c r="E119013"/>
      <c r="F119013"/>
    </row>
    <row r="119014" spans="1:6" x14ac:dyDescent="0.25">
      <c r="A119014"/>
      <c r="B119014"/>
      <c r="C119014"/>
      <c r="E119014"/>
      <c r="F119014"/>
    </row>
    <row r="119015" spans="1:6" x14ac:dyDescent="0.25">
      <c r="A119015"/>
      <c r="B119015"/>
      <c r="C119015"/>
      <c r="E119015"/>
      <c r="F119015"/>
    </row>
    <row r="119016" spans="1:6" x14ac:dyDescent="0.25">
      <c r="A119016"/>
      <c r="B119016"/>
      <c r="C119016"/>
      <c r="E119016"/>
      <c r="F119016"/>
    </row>
    <row r="119017" spans="1:6" x14ac:dyDescent="0.25">
      <c r="A119017"/>
      <c r="B119017"/>
      <c r="C119017"/>
      <c r="E119017"/>
      <c r="F119017"/>
    </row>
    <row r="119018" spans="1:6" x14ac:dyDescent="0.25">
      <c r="A119018"/>
      <c r="B119018"/>
      <c r="C119018"/>
      <c r="E119018"/>
      <c r="F119018"/>
    </row>
    <row r="119019" spans="1:6" x14ac:dyDescent="0.25">
      <c r="A119019"/>
      <c r="B119019"/>
      <c r="C119019"/>
      <c r="E119019"/>
      <c r="F119019"/>
    </row>
    <row r="119020" spans="1:6" x14ac:dyDescent="0.25">
      <c r="A119020"/>
      <c r="B119020"/>
      <c r="C119020"/>
      <c r="E119020"/>
      <c r="F119020"/>
    </row>
    <row r="119021" spans="1:6" x14ac:dyDescent="0.25">
      <c r="A119021"/>
      <c r="B119021"/>
      <c r="C119021"/>
      <c r="E119021"/>
      <c r="F119021"/>
    </row>
    <row r="119022" spans="1:6" x14ac:dyDescent="0.25">
      <c r="A119022"/>
      <c r="B119022"/>
      <c r="C119022"/>
      <c r="E119022"/>
      <c r="F119022"/>
    </row>
    <row r="119023" spans="1:6" x14ac:dyDescent="0.25">
      <c r="A119023"/>
      <c r="B119023"/>
      <c r="C119023"/>
      <c r="E119023"/>
      <c r="F119023"/>
    </row>
    <row r="119024" spans="1:6" x14ac:dyDescent="0.25">
      <c r="A119024"/>
      <c r="B119024"/>
      <c r="C119024"/>
      <c r="E119024"/>
      <c r="F119024"/>
    </row>
    <row r="119025" spans="1:6" x14ac:dyDescent="0.25">
      <c r="A119025"/>
      <c r="B119025"/>
      <c r="C119025"/>
      <c r="E119025"/>
      <c r="F119025"/>
    </row>
    <row r="119026" spans="1:6" x14ac:dyDescent="0.25">
      <c r="A119026"/>
      <c r="B119026"/>
      <c r="C119026"/>
      <c r="E119026"/>
      <c r="F119026"/>
    </row>
    <row r="119027" spans="1:6" x14ac:dyDescent="0.25">
      <c r="A119027"/>
      <c r="B119027"/>
      <c r="C119027"/>
      <c r="E119027"/>
      <c r="F119027"/>
    </row>
    <row r="119028" spans="1:6" x14ac:dyDescent="0.25">
      <c r="A119028"/>
      <c r="B119028"/>
      <c r="C119028"/>
      <c r="E119028"/>
      <c r="F119028"/>
    </row>
    <row r="119029" spans="1:6" x14ac:dyDescent="0.25">
      <c r="A119029"/>
      <c r="B119029"/>
      <c r="C119029"/>
      <c r="E119029"/>
      <c r="F119029"/>
    </row>
    <row r="119030" spans="1:6" x14ac:dyDescent="0.25">
      <c r="A119030"/>
      <c r="B119030"/>
      <c r="C119030"/>
      <c r="E119030"/>
      <c r="F119030"/>
    </row>
    <row r="119031" spans="1:6" x14ac:dyDescent="0.25">
      <c r="A119031"/>
      <c r="B119031"/>
      <c r="C119031"/>
      <c r="E119031"/>
      <c r="F119031"/>
    </row>
    <row r="119032" spans="1:6" x14ac:dyDescent="0.25">
      <c r="A119032"/>
      <c r="B119032"/>
      <c r="C119032"/>
      <c r="E119032"/>
      <c r="F119032"/>
    </row>
    <row r="119033" spans="1:6" x14ac:dyDescent="0.25">
      <c r="A119033"/>
      <c r="B119033"/>
      <c r="C119033"/>
      <c r="E119033"/>
      <c r="F119033"/>
    </row>
    <row r="119034" spans="1:6" x14ac:dyDescent="0.25">
      <c r="A119034"/>
      <c r="B119034"/>
      <c r="C119034"/>
      <c r="E119034"/>
      <c r="F119034"/>
    </row>
    <row r="119035" spans="1:6" x14ac:dyDescent="0.25">
      <c r="A119035"/>
      <c r="B119035"/>
      <c r="C119035"/>
      <c r="E119035"/>
      <c r="F119035"/>
    </row>
    <row r="119036" spans="1:6" x14ac:dyDescent="0.25">
      <c r="A119036"/>
      <c r="B119036"/>
      <c r="C119036"/>
      <c r="E119036"/>
      <c r="F119036"/>
    </row>
    <row r="119037" spans="1:6" x14ac:dyDescent="0.25">
      <c r="A119037"/>
      <c r="B119037"/>
      <c r="C119037"/>
      <c r="E119037"/>
      <c r="F119037"/>
    </row>
    <row r="119038" spans="1:6" x14ac:dyDescent="0.25">
      <c r="A119038"/>
      <c r="B119038"/>
      <c r="C119038"/>
      <c r="E119038"/>
      <c r="F119038"/>
    </row>
    <row r="119039" spans="1:6" x14ac:dyDescent="0.25">
      <c r="A119039"/>
      <c r="B119039"/>
      <c r="C119039"/>
      <c r="E119039"/>
      <c r="F119039"/>
    </row>
    <row r="119040" spans="1:6" x14ac:dyDescent="0.25">
      <c r="A119040"/>
      <c r="B119040"/>
      <c r="C119040"/>
      <c r="E119040"/>
      <c r="F119040"/>
    </row>
    <row r="119041" spans="1:6" x14ac:dyDescent="0.25">
      <c r="A119041"/>
      <c r="B119041"/>
      <c r="C119041"/>
      <c r="E119041"/>
      <c r="F119041"/>
    </row>
    <row r="119042" spans="1:6" x14ac:dyDescent="0.25">
      <c r="A119042"/>
      <c r="B119042"/>
      <c r="C119042"/>
      <c r="E119042"/>
      <c r="F119042"/>
    </row>
    <row r="119043" spans="1:6" x14ac:dyDescent="0.25">
      <c r="A119043"/>
      <c r="B119043"/>
      <c r="C119043"/>
      <c r="E119043"/>
      <c r="F119043"/>
    </row>
    <row r="119044" spans="1:6" x14ac:dyDescent="0.25">
      <c r="A119044"/>
      <c r="B119044"/>
      <c r="C119044"/>
      <c r="E119044"/>
      <c r="F119044"/>
    </row>
    <row r="119045" spans="1:6" x14ac:dyDescent="0.25">
      <c r="A119045"/>
      <c r="B119045"/>
      <c r="C119045"/>
      <c r="E119045"/>
      <c r="F119045"/>
    </row>
    <row r="119046" spans="1:6" x14ac:dyDescent="0.25">
      <c r="A119046"/>
      <c r="B119046"/>
      <c r="C119046"/>
      <c r="E119046"/>
      <c r="F119046"/>
    </row>
    <row r="119047" spans="1:6" x14ac:dyDescent="0.25">
      <c r="A119047"/>
      <c r="B119047"/>
      <c r="C119047"/>
      <c r="E119047"/>
      <c r="F119047"/>
    </row>
    <row r="119048" spans="1:6" x14ac:dyDescent="0.25">
      <c r="A119048"/>
      <c r="B119048"/>
      <c r="C119048"/>
      <c r="E119048"/>
      <c r="F119048"/>
    </row>
    <row r="119049" spans="1:6" x14ac:dyDescent="0.25">
      <c r="A119049"/>
      <c r="B119049"/>
      <c r="C119049"/>
      <c r="E119049"/>
      <c r="F119049"/>
    </row>
    <row r="119050" spans="1:6" x14ac:dyDescent="0.25">
      <c r="A119050"/>
      <c r="B119050"/>
      <c r="C119050"/>
      <c r="E119050"/>
      <c r="F119050"/>
    </row>
    <row r="119051" spans="1:6" x14ac:dyDescent="0.25">
      <c r="A119051"/>
      <c r="B119051"/>
      <c r="C119051"/>
      <c r="E119051"/>
      <c r="F119051"/>
    </row>
    <row r="119052" spans="1:6" x14ac:dyDescent="0.25">
      <c r="A119052"/>
      <c r="B119052"/>
      <c r="C119052"/>
      <c r="E119052"/>
      <c r="F119052"/>
    </row>
    <row r="119053" spans="1:6" x14ac:dyDescent="0.25">
      <c r="A119053"/>
      <c r="B119053"/>
      <c r="C119053"/>
      <c r="E119053"/>
      <c r="F119053"/>
    </row>
    <row r="119054" spans="1:6" x14ac:dyDescent="0.25">
      <c r="A119054"/>
      <c r="B119054"/>
      <c r="C119054"/>
      <c r="E119054"/>
      <c r="F119054"/>
    </row>
    <row r="119055" spans="1:6" x14ac:dyDescent="0.25">
      <c r="A119055"/>
      <c r="B119055"/>
      <c r="C119055"/>
      <c r="E119055"/>
      <c r="F119055"/>
    </row>
    <row r="119056" spans="1:6" x14ac:dyDescent="0.25">
      <c r="A119056"/>
      <c r="B119056"/>
      <c r="C119056"/>
      <c r="E119056"/>
      <c r="F119056"/>
    </row>
    <row r="119057" spans="1:6" x14ac:dyDescent="0.25">
      <c r="A119057"/>
      <c r="B119057"/>
      <c r="C119057"/>
      <c r="E119057"/>
      <c r="F119057"/>
    </row>
    <row r="119058" spans="1:6" x14ac:dyDescent="0.25">
      <c r="A119058"/>
      <c r="B119058"/>
      <c r="C119058"/>
      <c r="E119058"/>
      <c r="F119058"/>
    </row>
    <row r="119059" spans="1:6" x14ac:dyDescent="0.25">
      <c r="A119059"/>
      <c r="B119059"/>
      <c r="C119059"/>
      <c r="E119059"/>
      <c r="F119059"/>
    </row>
    <row r="119060" spans="1:6" x14ac:dyDescent="0.25">
      <c r="A119060"/>
      <c r="B119060"/>
      <c r="C119060"/>
      <c r="E119060"/>
      <c r="F119060"/>
    </row>
    <row r="119061" spans="1:6" x14ac:dyDescent="0.25">
      <c r="A119061"/>
      <c r="B119061"/>
      <c r="C119061"/>
      <c r="E119061"/>
      <c r="F119061"/>
    </row>
    <row r="119062" spans="1:6" x14ac:dyDescent="0.25">
      <c r="A119062"/>
      <c r="B119062"/>
      <c r="C119062"/>
      <c r="E119062"/>
      <c r="F119062"/>
    </row>
    <row r="119063" spans="1:6" x14ac:dyDescent="0.25">
      <c r="A119063"/>
      <c r="B119063"/>
      <c r="C119063"/>
      <c r="E119063"/>
      <c r="F119063"/>
    </row>
    <row r="119064" spans="1:6" x14ac:dyDescent="0.25">
      <c r="A119064"/>
      <c r="B119064"/>
      <c r="C119064"/>
      <c r="E119064"/>
      <c r="F119064"/>
    </row>
    <row r="119065" spans="1:6" x14ac:dyDescent="0.25">
      <c r="A119065"/>
      <c r="B119065"/>
      <c r="C119065"/>
      <c r="E119065"/>
      <c r="F119065"/>
    </row>
    <row r="119066" spans="1:6" x14ac:dyDescent="0.25">
      <c r="A119066"/>
      <c r="B119066"/>
      <c r="C119066"/>
      <c r="E119066"/>
      <c r="F119066"/>
    </row>
    <row r="119067" spans="1:6" x14ac:dyDescent="0.25">
      <c r="A119067"/>
      <c r="B119067"/>
      <c r="C119067"/>
      <c r="E119067"/>
      <c r="F119067"/>
    </row>
    <row r="119068" spans="1:6" x14ac:dyDescent="0.25">
      <c r="A119068"/>
      <c r="B119068"/>
      <c r="C119068"/>
      <c r="E119068"/>
      <c r="F119068"/>
    </row>
    <row r="119069" spans="1:6" x14ac:dyDescent="0.25">
      <c r="A119069"/>
      <c r="B119069"/>
      <c r="C119069"/>
      <c r="E119069"/>
      <c r="F119069"/>
    </row>
    <row r="119070" spans="1:6" x14ac:dyDescent="0.25">
      <c r="A119070"/>
      <c r="B119070"/>
      <c r="C119070"/>
      <c r="E119070"/>
      <c r="F119070"/>
    </row>
    <row r="119071" spans="1:6" x14ac:dyDescent="0.25">
      <c r="A119071"/>
      <c r="B119071"/>
      <c r="C119071"/>
      <c r="E119071"/>
      <c r="F119071"/>
    </row>
    <row r="119072" spans="1:6" x14ac:dyDescent="0.25">
      <c r="A119072"/>
      <c r="B119072"/>
      <c r="C119072"/>
      <c r="E119072"/>
      <c r="F119072"/>
    </row>
    <row r="119073" spans="1:6" x14ac:dyDescent="0.25">
      <c r="A119073"/>
      <c r="B119073"/>
      <c r="C119073"/>
      <c r="E119073"/>
      <c r="F119073"/>
    </row>
    <row r="119074" spans="1:6" x14ac:dyDescent="0.25">
      <c r="A119074"/>
      <c r="B119074"/>
      <c r="C119074"/>
      <c r="E119074"/>
      <c r="F119074"/>
    </row>
    <row r="119075" spans="1:6" x14ac:dyDescent="0.25">
      <c r="A119075"/>
      <c r="B119075"/>
      <c r="C119075"/>
      <c r="E119075"/>
      <c r="F119075"/>
    </row>
    <row r="119076" spans="1:6" x14ac:dyDescent="0.25">
      <c r="A119076"/>
      <c r="B119076"/>
      <c r="C119076"/>
      <c r="E119076"/>
      <c r="F119076"/>
    </row>
    <row r="119077" spans="1:6" x14ac:dyDescent="0.25">
      <c r="A119077"/>
      <c r="B119077"/>
      <c r="C119077"/>
      <c r="E119077"/>
      <c r="F119077"/>
    </row>
    <row r="119078" spans="1:6" x14ac:dyDescent="0.25">
      <c r="A119078"/>
      <c r="B119078"/>
      <c r="C119078"/>
      <c r="E119078"/>
      <c r="F119078"/>
    </row>
    <row r="119079" spans="1:6" x14ac:dyDescent="0.25">
      <c r="A119079"/>
      <c r="B119079"/>
      <c r="C119079"/>
      <c r="E119079"/>
      <c r="F119079"/>
    </row>
    <row r="119080" spans="1:6" x14ac:dyDescent="0.25">
      <c r="A119080"/>
      <c r="B119080"/>
      <c r="C119080"/>
      <c r="E119080"/>
      <c r="F119080"/>
    </row>
    <row r="119081" spans="1:6" x14ac:dyDescent="0.25">
      <c r="A119081"/>
      <c r="B119081"/>
      <c r="C119081"/>
      <c r="E119081"/>
      <c r="F119081"/>
    </row>
    <row r="119082" spans="1:6" x14ac:dyDescent="0.25">
      <c r="A119082"/>
      <c r="B119082"/>
      <c r="C119082"/>
      <c r="E119082"/>
      <c r="F119082"/>
    </row>
    <row r="119083" spans="1:6" x14ac:dyDescent="0.25">
      <c r="A119083"/>
      <c r="B119083"/>
      <c r="C119083"/>
      <c r="E119083"/>
      <c r="F119083"/>
    </row>
    <row r="119084" spans="1:6" x14ac:dyDescent="0.25">
      <c r="A119084"/>
      <c r="B119084"/>
      <c r="C119084"/>
      <c r="E119084"/>
      <c r="F119084"/>
    </row>
    <row r="119085" spans="1:6" x14ac:dyDescent="0.25">
      <c r="A119085"/>
      <c r="B119085"/>
      <c r="C119085"/>
      <c r="E119085"/>
      <c r="F119085"/>
    </row>
    <row r="119086" spans="1:6" x14ac:dyDescent="0.25">
      <c r="A119086"/>
      <c r="B119086"/>
      <c r="C119086"/>
      <c r="E119086"/>
      <c r="F119086"/>
    </row>
    <row r="119087" spans="1:6" x14ac:dyDescent="0.25">
      <c r="A119087"/>
      <c r="B119087"/>
      <c r="C119087"/>
      <c r="E119087"/>
      <c r="F119087"/>
    </row>
    <row r="119088" spans="1:6" x14ac:dyDescent="0.25">
      <c r="A119088"/>
      <c r="B119088"/>
      <c r="C119088"/>
      <c r="E119088"/>
      <c r="F119088"/>
    </row>
    <row r="119089" spans="1:6" x14ac:dyDescent="0.25">
      <c r="A119089"/>
      <c r="B119089"/>
      <c r="C119089"/>
      <c r="E119089"/>
      <c r="F119089"/>
    </row>
    <row r="119090" spans="1:6" x14ac:dyDescent="0.25">
      <c r="A119090"/>
      <c r="B119090"/>
      <c r="C119090"/>
      <c r="E119090"/>
      <c r="F119090"/>
    </row>
    <row r="119091" spans="1:6" x14ac:dyDescent="0.25">
      <c r="A119091"/>
      <c r="B119091"/>
      <c r="C119091"/>
      <c r="E119091"/>
      <c r="F119091"/>
    </row>
    <row r="119092" spans="1:6" x14ac:dyDescent="0.25">
      <c r="A119092"/>
      <c r="B119092"/>
      <c r="C119092"/>
      <c r="E119092"/>
      <c r="F119092"/>
    </row>
    <row r="119093" spans="1:6" x14ac:dyDescent="0.25">
      <c r="A119093"/>
      <c r="B119093"/>
      <c r="C119093"/>
      <c r="E119093"/>
      <c r="F119093"/>
    </row>
    <row r="119094" spans="1:6" x14ac:dyDescent="0.25">
      <c r="A119094"/>
      <c r="B119094"/>
      <c r="C119094"/>
      <c r="E119094"/>
      <c r="F119094"/>
    </row>
    <row r="119095" spans="1:6" x14ac:dyDescent="0.25">
      <c r="A119095"/>
      <c r="B119095"/>
      <c r="C119095"/>
      <c r="E119095"/>
      <c r="F119095"/>
    </row>
    <row r="119096" spans="1:6" x14ac:dyDescent="0.25">
      <c r="A119096"/>
      <c r="B119096"/>
      <c r="C119096"/>
      <c r="E119096"/>
      <c r="F119096"/>
    </row>
    <row r="119097" spans="1:6" x14ac:dyDescent="0.25">
      <c r="A119097"/>
      <c r="B119097"/>
      <c r="C119097"/>
      <c r="E119097"/>
      <c r="F119097"/>
    </row>
    <row r="119098" spans="1:6" x14ac:dyDescent="0.25">
      <c r="A119098"/>
      <c r="B119098"/>
      <c r="C119098"/>
      <c r="E119098"/>
      <c r="F119098"/>
    </row>
    <row r="119099" spans="1:6" x14ac:dyDescent="0.25">
      <c r="A119099"/>
      <c r="B119099"/>
      <c r="C119099"/>
      <c r="E119099"/>
      <c r="F119099"/>
    </row>
    <row r="119100" spans="1:6" x14ac:dyDescent="0.25">
      <c r="A119100"/>
      <c r="B119100"/>
      <c r="C119100"/>
      <c r="E119100"/>
      <c r="F119100"/>
    </row>
    <row r="119101" spans="1:6" x14ac:dyDescent="0.25">
      <c r="A119101"/>
      <c r="B119101"/>
      <c r="C119101"/>
      <c r="E119101"/>
      <c r="F119101"/>
    </row>
    <row r="119102" spans="1:6" x14ac:dyDescent="0.25">
      <c r="A119102"/>
      <c r="B119102"/>
      <c r="C119102"/>
      <c r="E119102"/>
      <c r="F119102"/>
    </row>
    <row r="119103" spans="1:6" x14ac:dyDescent="0.25">
      <c r="A119103"/>
      <c r="B119103"/>
      <c r="C119103"/>
      <c r="E119103"/>
      <c r="F119103"/>
    </row>
    <row r="119104" spans="1:6" x14ac:dyDescent="0.25">
      <c r="A119104"/>
      <c r="B119104"/>
      <c r="C119104"/>
      <c r="E119104"/>
      <c r="F119104"/>
    </row>
    <row r="119105" spans="1:6" x14ac:dyDescent="0.25">
      <c r="A119105"/>
      <c r="B119105"/>
      <c r="C119105"/>
      <c r="E119105"/>
      <c r="F119105"/>
    </row>
    <row r="119106" spans="1:6" x14ac:dyDescent="0.25">
      <c r="A119106"/>
      <c r="B119106"/>
      <c r="C119106"/>
      <c r="E119106"/>
      <c r="F119106"/>
    </row>
    <row r="119107" spans="1:6" x14ac:dyDescent="0.25">
      <c r="A119107"/>
      <c r="B119107"/>
      <c r="C119107"/>
      <c r="E119107"/>
      <c r="F119107"/>
    </row>
    <row r="119108" spans="1:6" x14ac:dyDescent="0.25">
      <c r="A119108"/>
      <c r="B119108"/>
      <c r="C119108"/>
      <c r="E119108"/>
      <c r="F119108"/>
    </row>
    <row r="119109" spans="1:6" x14ac:dyDescent="0.25">
      <c r="A119109"/>
      <c r="B119109"/>
      <c r="C119109"/>
      <c r="E119109"/>
      <c r="F119109"/>
    </row>
    <row r="119110" spans="1:6" x14ac:dyDescent="0.25">
      <c r="A119110"/>
      <c r="B119110"/>
      <c r="C119110"/>
      <c r="E119110"/>
      <c r="F119110"/>
    </row>
    <row r="119111" spans="1:6" x14ac:dyDescent="0.25">
      <c r="A119111"/>
      <c r="B119111"/>
      <c r="C119111"/>
      <c r="E119111"/>
      <c r="F119111"/>
    </row>
    <row r="119112" spans="1:6" x14ac:dyDescent="0.25">
      <c r="A119112"/>
      <c r="B119112"/>
      <c r="C119112"/>
      <c r="E119112"/>
      <c r="F119112"/>
    </row>
    <row r="119113" spans="1:6" x14ac:dyDescent="0.25">
      <c r="A119113"/>
      <c r="B119113"/>
      <c r="C119113"/>
      <c r="E119113"/>
      <c r="F119113"/>
    </row>
    <row r="119114" spans="1:6" x14ac:dyDescent="0.25">
      <c r="A119114"/>
      <c r="B119114"/>
      <c r="C119114"/>
      <c r="E119114"/>
      <c r="F119114"/>
    </row>
    <row r="119115" spans="1:6" x14ac:dyDescent="0.25">
      <c r="A119115"/>
      <c r="B119115"/>
      <c r="C119115"/>
      <c r="E119115"/>
      <c r="F119115"/>
    </row>
    <row r="119116" spans="1:6" x14ac:dyDescent="0.25">
      <c r="A119116"/>
      <c r="B119116"/>
      <c r="C119116"/>
      <c r="E119116"/>
      <c r="F119116"/>
    </row>
    <row r="119117" spans="1:6" x14ac:dyDescent="0.25">
      <c r="A119117"/>
      <c r="B119117"/>
      <c r="C119117"/>
      <c r="E119117"/>
      <c r="F119117"/>
    </row>
    <row r="119118" spans="1:6" x14ac:dyDescent="0.25">
      <c r="A119118"/>
      <c r="B119118"/>
      <c r="C119118"/>
      <c r="E119118"/>
      <c r="F119118"/>
    </row>
    <row r="119119" spans="1:6" x14ac:dyDescent="0.25">
      <c r="A119119"/>
      <c r="B119119"/>
      <c r="C119119"/>
      <c r="E119119"/>
      <c r="F119119"/>
    </row>
    <row r="119120" spans="1:6" x14ac:dyDescent="0.25">
      <c r="A119120"/>
      <c r="B119120"/>
      <c r="C119120"/>
      <c r="E119120"/>
      <c r="F119120"/>
    </row>
    <row r="119121" spans="1:6" x14ac:dyDescent="0.25">
      <c r="A119121"/>
      <c r="B119121"/>
      <c r="C119121"/>
      <c r="E119121"/>
      <c r="F119121"/>
    </row>
    <row r="119122" spans="1:6" x14ac:dyDescent="0.25">
      <c r="A119122"/>
      <c r="B119122"/>
      <c r="C119122"/>
      <c r="E119122"/>
      <c r="F119122"/>
    </row>
    <row r="119123" spans="1:6" x14ac:dyDescent="0.25">
      <c r="A119123"/>
      <c r="B119123"/>
      <c r="C119123"/>
      <c r="E119123"/>
      <c r="F119123"/>
    </row>
    <row r="119124" spans="1:6" x14ac:dyDescent="0.25">
      <c r="A119124"/>
      <c r="B119124"/>
      <c r="C119124"/>
      <c r="E119124"/>
      <c r="F119124"/>
    </row>
    <row r="119125" spans="1:6" x14ac:dyDescent="0.25">
      <c r="A119125"/>
      <c r="B119125"/>
      <c r="C119125"/>
      <c r="E119125"/>
      <c r="F119125"/>
    </row>
    <row r="119126" spans="1:6" x14ac:dyDescent="0.25">
      <c r="A119126"/>
      <c r="B119126"/>
      <c r="C119126"/>
      <c r="E119126"/>
      <c r="F119126"/>
    </row>
    <row r="119127" spans="1:6" x14ac:dyDescent="0.25">
      <c r="A119127"/>
      <c r="B119127"/>
      <c r="C119127"/>
      <c r="E119127"/>
      <c r="F119127"/>
    </row>
    <row r="119128" spans="1:6" x14ac:dyDescent="0.25">
      <c r="A119128"/>
      <c r="B119128"/>
      <c r="C119128"/>
      <c r="E119128"/>
      <c r="F119128"/>
    </row>
    <row r="119129" spans="1:6" x14ac:dyDescent="0.25">
      <c r="A119129"/>
      <c r="B119129"/>
      <c r="C119129"/>
      <c r="E119129"/>
      <c r="F119129"/>
    </row>
    <row r="119130" spans="1:6" x14ac:dyDescent="0.25">
      <c r="A119130"/>
      <c r="B119130"/>
      <c r="C119130"/>
      <c r="E119130"/>
      <c r="F119130"/>
    </row>
    <row r="119131" spans="1:6" x14ac:dyDescent="0.25">
      <c r="A119131"/>
      <c r="B119131"/>
      <c r="C119131"/>
      <c r="E119131"/>
      <c r="F119131"/>
    </row>
    <row r="119132" spans="1:6" x14ac:dyDescent="0.25">
      <c r="A119132"/>
      <c r="B119132"/>
      <c r="C119132"/>
      <c r="E119132"/>
      <c r="F119132"/>
    </row>
    <row r="119133" spans="1:6" x14ac:dyDescent="0.25">
      <c r="A119133"/>
      <c r="B119133"/>
      <c r="C119133"/>
      <c r="E119133"/>
      <c r="F119133"/>
    </row>
    <row r="119134" spans="1:6" x14ac:dyDescent="0.25">
      <c r="A119134"/>
      <c r="B119134"/>
      <c r="C119134"/>
      <c r="E119134"/>
      <c r="F119134"/>
    </row>
    <row r="119135" spans="1:6" x14ac:dyDescent="0.25">
      <c r="A119135"/>
      <c r="B119135"/>
      <c r="C119135"/>
      <c r="E119135"/>
      <c r="F119135"/>
    </row>
    <row r="119136" spans="1:6" x14ac:dyDescent="0.25">
      <c r="A119136"/>
      <c r="B119136"/>
      <c r="C119136"/>
      <c r="E119136"/>
      <c r="F119136"/>
    </row>
    <row r="119137" spans="1:6" x14ac:dyDescent="0.25">
      <c r="A119137"/>
      <c r="B119137"/>
      <c r="C119137"/>
      <c r="E119137"/>
      <c r="F119137"/>
    </row>
    <row r="119138" spans="1:6" x14ac:dyDescent="0.25">
      <c r="A119138"/>
      <c r="B119138"/>
      <c r="C119138"/>
      <c r="E119138"/>
      <c r="F119138"/>
    </row>
    <row r="119139" spans="1:6" x14ac:dyDescent="0.25">
      <c r="A119139"/>
      <c r="B119139"/>
      <c r="C119139"/>
      <c r="E119139"/>
      <c r="F119139"/>
    </row>
    <row r="119140" spans="1:6" x14ac:dyDescent="0.25">
      <c r="A119140"/>
      <c r="B119140"/>
      <c r="C119140"/>
      <c r="E119140"/>
      <c r="F119140"/>
    </row>
    <row r="119141" spans="1:6" x14ac:dyDescent="0.25">
      <c r="A119141"/>
      <c r="B119141"/>
      <c r="C119141"/>
      <c r="E119141"/>
      <c r="F119141"/>
    </row>
    <row r="119142" spans="1:6" x14ac:dyDescent="0.25">
      <c r="A119142"/>
      <c r="B119142"/>
      <c r="C119142"/>
      <c r="E119142"/>
      <c r="F119142"/>
    </row>
    <row r="119143" spans="1:6" x14ac:dyDescent="0.25">
      <c r="A119143"/>
      <c r="B119143"/>
      <c r="C119143"/>
      <c r="E119143"/>
      <c r="F119143"/>
    </row>
    <row r="119144" spans="1:6" x14ac:dyDescent="0.25">
      <c r="A119144"/>
      <c r="B119144"/>
      <c r="C119144"/>
      <c r="E119144"/>
      <c r="F119144"/>
    </row>
    <row r="119145" spans="1:6" x14ac:dyDescent="0.25">
      <c r="A119145"/>
      <c r="B119145"/>
      <c r="C119145"/>
      <c r="E119145"/>
      <c r="F119145"/>
    </row>
    <row r="119146" spans="1:6" x14ac:dyDescent="0.25">
      <c r="A119146"/>
      <c r="B119146"/>
      <c r="C119146"/>
      <c r="E119146"/>
      <c r="F119146"/>
    </row>
    <row r="119147" spans="1:6" x14ac:dyDescent="0.25">
      <c r="A119147"/>
      <c r="B119147"/>
      <c r="C119147"/>
      <c r="E119147"/>
      <c r="F119147"/>
    </row>
    <row r="119148" spans="1:6" x14ac:dyDescent="0.25">
      <c r="A119148"/>
      <c r="B119148"/>
      <c r="C119148"/>
      <c r="E119148"/>
      <c r="F119148"/>
    </row>
    <row r="119149" spans="1:6" x14ac:dyDescent="0.25">
      <c r="A119149"/>
      <c r="B119149"/>
      <c r="C119149"/>
      <c r="E119149"/>
      <c r="F119149"/>
    </row>
    <row r="119150" spans="1:6" x14ac:dyDescent="0.25">
      <c r="A119150"/>
      <c r="B119150"/>
      <c r="C119150"/>
      <c r="E119150"/>
      <c r="F119150"/>
    </row>
    <row r="119151" spans="1:6" x14ac:dyDescent="0.25">
      <c r="A119151"/>
      <c r="B119151"/>
      <c r="C119151"/>
      <c r="E119151"/>
      <c r="F119151"/>
    </row>
    <row r="119152" spans="1:6" x14ac:dyDescent="0.25">
      <c r="A119152"/>
      <c r="B119152"/>
      <c r="C119152"/>
      <c r="E119152"/>
      <c r="F119152"/>
    </row>
    <row r="119153" spans="1:6" x14ac:dyDescent="0.25">
      <c r="A119153"/>
      <c r="B119153"/>
      <c r="C119153"/>
      <c r="E119153"/>
      <c r="F119153"/>
    </row>
    <row r="119154" spans="1:6" x14ac:dyDescent="0.25">
      <c r="A119154"/>
      <c r="B119154"/>
      <c r="C119154"/>
      <c r="E119154"/>
      <c r="F119154"/>
    </row>
    <row r="119155" spans="1:6" x14ac:dyDescent="0.25">
      <c r="A119155"/>
      <c r="B119155"/>
      <c r="C119155"/>
      <c r="E119155"/>
      <c r="F119155"/>
    </row>
    <row r="119156" spans="1:6" x14ac:dyDescent="0.25">
      <c r="A119156"/>
      <c r="B119156"/>
      <c r="C119156"/>
      <c r="E119156"/>
      <c r="F119156"/>
    </row>
    <row r="119157" spans="1:6" x14ac:dyDescent="0.25">
      <c r="A119157"/>
      <c r="B119157"/>
      <c r="C119157"/>
      <c r="E119157"/>
      <c r="F119157"/>
    </row>
    <row r="119158" spans="1:6" x14ac:dyDescent="0.25">
      <c r="A119158"/>
      <c r="B119158"/>
      <c r="C119158"/>
      <c r="E119158"/>
      <c r="F119158"/>
    </row>
    <row r="119159" spans="1:6" x14ac:dyDescent="0.25">
      <c r="A119159"/>
      <c r="B119159"/>
      <c r="C119159"/>
      <c r="E119159"/>
      <c r="F119159"/>
    </row>
    <row r="119160" spans="1:6" x14ac:dyDescent="0.25">
      <c r="A119160"/>
      <c r="B119160"/>
      <c r="C119160"/>
      <c r="E119160"/>
      <c r="F119160"/>
    </row>
    <row r="119161" spans="1:6" x14ac:dyDescent="0.25">
      <c r="A119161"/>
      <c r="B119161"/>
      <c r="C119161"/>
      <c r="E119161"/>
      <c r="F119161"/>
    </row>
    <row r="119162" spans="1:6" x14ac:dyDescent="0.25">
      <c r="A119162"/>
      <c r="B119162"/>
      <c r="C119162"/>
      <c r="E119162"/>
      <c r="F119162"/>
    </row>
    <row r="119163" spans="1:6" x14ac:dyDescent="0.25">
      <c r="A119163"/>
      <c r="B119163"/>
      <c r="C119163"/>
      <c r="E119163"/>
      <c r="F119163"/>
    </row>
    <row r="119164" spans="1:6" x14ac:dyDescent="0.25">
      <c r="A119164"/>
      <c r="B119164"/>
      <c r="C119164"/>
      <c r="E119164"/>
      <c r="F119164"/>
    </row>
    <row r="119165" spans="1:6" x14ac:dyDescent="0.25">
      <c r="A119165"/>
      <c r="B119165"/>
      <c r="C119165"/>
      <c r="E119165"/>
      <c r="F119165"/>
    </row>
    <row r="119166" spans="1:6" x14ac:dyDescent="0.25">
      <c r="A119166"/>
      <c r="B119166"/>
      <c r="C119166"/>
      <c r="E119166"/>
      <c r="F119166"/>
    </row>
    <row r="119167" spans="1:6" x14ac:dyDescent="0.25">
      <c r="A119167"/>
      <c r="B119167"/>
      <c r="C119167"/>
      <c r="E119167"/>
      <c r="F119167"/>
    </row>
    <row r="119168" spans="1:6" x14ac:dyDescent="0.25">
      <c r="A119168"/>
      <c r="B119168"/>
      <c r="C119168"/>
      <c r="E119168"/>
      <c r="F119168"/>
    </row>
    <row r="119169" spans="1:6" x14ac:dyDescent="0.25">
      <c r="A119169"/>
      <c r="B119169"/>
      <c r="C119169"/>
      <c r="E119169"/>
      <c r="F119169"/>
    </row>
    <row r="119170" spans="1:6" x14ac:dyDescent="0.25">
      <c r="A119170"/>
      <c r="B119170"/>
      <c r="C119170"/>
      <c r="E119170"/>
      <c r="F119170"/>
    </row>
    <row r="119171" spans="1:6" x14ac:dyDescent="0.25">
      <c r="A119171"/>
      <c r="B119171"/>
      <c r="C119171"/>
      <c r="E119171"/>
      <c r="F119171"/>
    </row>
    <row r="119172" spans="1:6" x14ac:dyDescent="0.25">
      <c r="A119172"/>
      <c r="B119172"/>
      <c r="C119172"/>
      <c r="E119172"/>
      <c r="F119172"/>
    </row>
    <row r="119173" spans="1:6" x14ac:dyDescent="0.25">
      <c r="A119173"/>
      <c r="B119173"/>
      <c r="C119173"/>
      <c r="E119173"/>
      <c r="F119173"/>
    </row>
    <row r="119174" spans="1:6" x14ac:dyDescent="0.25">
      <c r="A119174"/>
      <c r="B119174"/>
      <c r="C119174"/>
      <c r="E119174"/>
      <c r="F119174"/>
    </row>
    <row r="119175" spans="1:6" x14ac:dyDescent="0.25">
      <c r="A119175"/>
      <c r="B119175"/>
      <c r="C119175"/>
      <c r="E119175"/>
      <c r="F119175"/>
    </row>
    <row r="119176" spans="1:6" x14ac:dyDescent="0.25">
      <c r="A119176"/>
      <c r="B119176"/>
      <c r="C119176"/>
      <c r="E119176"/>
      <c r="F119176"/>
    </row>
    <row r="119177" spans="1:6" x14ac:dyDescent="0.25">
      <c r="A119177"/>
      <c r="B119177"/>
      <c r="C119177"/>
      <c r="E119177"/>
      <c r="F119177"/>
    </row>
    <row r="119178" spans="1:6" x14ac:dyDescent="0.25">
      <c r="A119178"/>
      <c r="B119178"/>
      <c r="C119178"/>
      <c r="E119178"/>
      <c r="F119178"/>
    </row>
    <row r="119179" spans="1:6" x14ac:dyDescent="0.25">
      <c r="A119179"/>
      <c r="B119179"/>
      <c r="C119179"/>
      <c r="E119179"/>
      <c r="F119179"/>
    </row>
    <row r="119180" spans="1:6" x14ac:dyDescent="0.25">
      <c r="A119180"/>
      <c r="B119180"/>
      <c r="C119180"/>
      <c r="E119180"/>
      <c r="F119180"/>
    </row>
    <row r="119181" spans="1:6" x14ac:dyDescent="0.25">
      <c r="A119181"/>
      <c r="B119181"/>
      <c r="C119181"/>
      <c r="E119181"/>
      <c r="F119181"/>
    </row>
    <row r="119182" spans="1:6" x14ac:dyDescent="0.25">
      <c r="A119182"/>
      <c r="B119182"/>
      <c r="C119182"/>
      <c r="E119182"/>
      <c r="F119182"/>
    </row>
    <row r="119183" spans="1:6" x14ac:dyDescent="0.25">
      <c r="A119183"/>
      <c r="B119183"/>
      <c r="C119183"/>
      <c r="E119183"/>
      <c r="F119183"/>
    </row>
    <row r="119184" spans="1:6" x14ac:dyDescent="0.25">
      <c r="A119184"/>
      <c r="B119184"/>
      <c r="C119184"/>
      <c r="E119184"/>
      <c r="F119184"/>
    </row>
    <row r="119185" spans="1:6" x14ac:dyDescent="0.25">
      <c r="A119185"/>
      <c r="B119185"/>
      <c r="C119185"/>
      <c r="E119185"/>
      <c r="F119185"/>
    </row>
    <row r="119186" spans="1:6" x14ac:dyDescent="0.25">
      <c r="A119186"/>
      <c r="B119186"/>
      <c r="C119186"/>
      <c r="E119186"/>
      <c r="F119186"/>
    </row>
    <row r="119187" spans="1:6" x14ac:dyDescent="0.25">
      <c r="A119187"/>
      <c r="B119187"/>
      <c r="C119187"/>
      <c r="E119187"/>
      <c r="F119187"/>
    </row>
    <row r="119188" spans="1:6" x14ac:dyDescent="0.25">
      <c r="A119188"/>
      <c r="B119188"/>
      <c r="C119188"/>
      <c r="E119188"/>
      <c r="F119188"/>
    </row>
    <row r="119189" spans="1:6" x14ac:dyDescent="0.25">
      <c r="A119189"/>
      <c r="B119189"/>
      <c r="C119189"/>
      <c r="E119189"/>
      <c r="F119189"/>
    </row>
    <row r="119190" spans="1:6" x14ac:dyDescent="0.25">
      <c r="A119190"/>
      <c r="B119190"/>
      <c r="C119190"/>
      <c r="E119190"/>
      <c r="F119190"/>
    </row>
    <row r="119191" spans="1:6" x14ac:dyDescent="0.25">
      <c r="A119191"/>
      <c r="B119191"/>
      <c r="C119191"/>
      <c r="E119191"/>
      <c r="F119191"/>
    </row>
    <row r="119192" spans="1:6" x14ac:dyDescent="0.25">
      <c r="A119192"/>
      <c r="B119192"/>
      <c r="C119192"/>
      <c r="E119192"/>
      <c r="F119192"/>
    </row>
    <row r="119193" spans="1:6" x14ac:dyDescent="0.25">
      <c r="A119193"/>
      <c r="B119193"/>
      <c r="C119193"/>
      <c r="E119193"/>
      <c r="F119193"/>
    </row>
    <row r="119194" spans="1:6" x14ac:dyDescent="0.25">
      <c r="A119194"/>
      <c r="B119194"/>
      <c r="C119194"/>
      <c r="E119194"/>
      <c r="F119194"/>
    </row>
    <row r="119195" spans="1:6" x14ac:dyDescent="0.25">
      <c r="A119195"/>
      <c r="B119195"/>
      <c r="C119195"/>
      <c r="E119195"/>
      <c r="F119195"/>
    </row>
    <row r="119196" spans="1:6" x14ac:dyDescent="0.25">
      <c r="A119196"/>
      <c r="B119196"/>
      <c r="C119196"/>
      <c r="E119196"/>
      <c r="F119196"/>
    </row>
    <row r="119197" spans="1:6" x14ac:dyDescent="0.25">
      <c r="A119197"/>
      <c r="B119197"/>
      <c r="C119197"/>
      <c r="E119197"/>
      <c r="F119197"/>
    </row>
    <row r="119198" spans="1:6" x14ac:dyDescent="0.25">
      <c r="A119198"/>
      <c r="B119198"/>
      <c r="C119198"/>
      <c r="E119198"/>
      <c r="F119198"/>
    </row>
    <row r="119199" spans="1:6" x14ac:dyDescent="0.25">
      <c r="A119199"/>
      <c r="B119199"/>
      <c r="C119199"/>
      <c r="E119199"/>
      <c r="F119199"/>
    </row>
    <row r="119200" spans="1:6" x14ac:dyDescent="0.25">
      <c r="A119200"/>
      <c r="B119200"/>
      <c r="C119200"/>
      <c r="E119200"/>
      <c r="F119200"/>
    </row>
    <row r="119201" spans="1:6" x14ac:dyDescent="0.25">
      <c r="A119201"/>
      <c r="B119201"/>
      <c r="C119201"/>
      <c r="E119201"/>
      <c r="F119201"/>
    </row>
    <row r="119202" spans="1:6" x14ac:dyDescent="0.25">
      <c r="A119202"/>
      <c r="B119202"/>
      <c r="C119202"/>
      <c r="E119202"/>
      <c r="F119202"/>
    </row>
    <row r="119203" spans="1:6" x14ac:dyDescent="0.25">
      <c r="A119203"/>
      <c r="B119203"/>
      <c r="C119203"/>
      <c r="E119203"/>
      <c r="F119203"/>
    </row>
    <row r="119204" spans="1:6" x14ac:dyDescent="0.25">
      <c r="A119204"/>
      <c r="B119204"/>
      <c r="C119204"/>
      <c r="E119204"/>
      <c r="F119204"/>
    </row>
    <row r="119205" spans="1:6" x14ac:dyDescent="0.25">
      <c r="A119205"/>
      <c r="B119205"/>
      <c r="C119205"/>
      <c r="E119205"/>
      <c r="F119205"/>
    </row>
    <row r="119206" spans="1:6" x14ac:dyDescent="0.25">
      <c r="A119206"/>
      <c r="B119206"/>
      <c r="C119206"/>
      <c r="E119206"/>
      <c r="F119206"/>
    </row>
    <row r="119207" spans="1:6" x14ac:dyDescent="0.25">
      <c r="A119207"/>
      <c r="B119207"/>
      <c r="C119207"/>
      <c r="E119207"/>
      <c r="F119207"/>
    </row>
    <row r="119208" spans="1:6" x14ac:dyDescent="0.25">
      <c r="A119208"/>
      <c r="B119208"/>
      <c r="C119208"/>
      <c r="E119208"/>
      <c r="F119208"/>
    </row>
    <row r="119209" spans="1:6" x14ac:dyDescent="0.25">
      <c r="A119209"/>
      <c r="B119209"/>
      <c r="C119209"/>
      <c r="E119209"/>
      <c r="F119209"/>
    </row>
    <row r="119210" spans="1:6" x14ac:dyDescent="0.25">
      <c r="A119210"/>
      <c r="B119210"/>
      <c r="C119210"/>
      <c r="E119210"/>
      <c r="F119210"/>
    </row>
    <row r="119211" spans="1:6" x14ac:dyDescent="0.25">
      <c r="A119211"/>
      <c r="B119211"/>
      <c r="C119211"/>
      <c r="E119211"/>
      <c r="F119211"/>
    </row>
    <row r="119212" spans="1:6" x14ac:dyDescent="0.25">
      <c r="A119212"/>
      <c r="B119212"/>
      <c r="C119212"/>
      <c r="E119212"/>
      <c r="F119212"/>
    </row>
    <row r="119213" spans="1:6" x14ac:dyDescent="0.25">
      <c r="A119213"/>
      <c r="B119213"/>
      <c r="C119213"/>
      <c r="E119213"/>
      <c r="F119213"/>
    </row>
    <row r="119214" spans="1:6" x14ac:dyDescent="0.25">
      <c r="A119214"/>
      <c r="B119214"/>
      <c r="C119214"/>
      <c r="E119214"/>
      <c r="F119214"/>
    </row>
    <row r="119215" spans="1:6" x14ac:dyDescent="0.25">
      <c r="A119215"/>
      <c r="B119215"/>
      <c r="C119215"/>
      <c r="E119215"/>
      <c r="F119215"/>
    </row>
    <row r="119216" spans="1:6" x14ac:dyDescent="0.25">
      <c r="A119216"/>
      <c r="B119216"/>
      <c r="C119216"/>
      <c r="E119216"/>
      <c r="F119216"/>
    </row>
    <row r="119217" spans="1:6" x14ac:dyDescent="0.25">
      <c r="A119217"/>
      <c r="B119217"/>
      <c r="C119217"/>
      <c r="E119217"/>
      <c r="F119217"/>
    </row>
    <row r="119218" spans="1:6" x14ac:dyDescent="0.25">
      <c r="A119218"/>
      <c r="B119218"/>
      <c r="C119218"/>
      <c r="E119218"/>
      <c r="F119218"/>
    </row>
    <row r="119219" spans="1:6" x14ac:dyDescent="0.25">
      <c r="A119219"/>
      <c r="B119219"/>
      <c r="C119219"/>
      <c r="E119219"/>
      <c r="F119219"/>
    </row>
    <row r="119220" spans="1:6" x14ac:dyDescent="0.25">
      <c r="A119220"/>
      <c r="B119220"/>
      <c r="C119220"/>
      <c r="E119220"/>
      <c r="F119220"/>
    </row>
    <row r="119221" spans="1:6" x14ac:dyDescent="0.25">
      <c r="A119221"/>
      <c r="B119221"/>
      <c r="C119221"/>
      <c r="E119221"/>
      <c r="F119221"/>
    </row>
    <row r="119222" spans="1:6" x14ac:dyDescent="0.25">
      <c r="A119222"/>
      <c r="B119222"/>
      <c r="C119222"/>
      <c r="E119222"/>
      <c r="F119222"/>
    </row>
    <row r="119223" spans="1:6" x14ac:dyDescent="0.25">
      <c r="A119223"/>
      <c r="B119223"/>
      <c r="C119223"/>
      <c r="E119223"/>
      <c r="F119223"/>
    </row>
    <row r="119224" spans="1:6" x14ac:dyDescent="0.25">
      <c r="A119224"/>
      <c r="B119224"/>
      <c r="C119224"/>
      <c r="E119224"/>
      <c r="F119224"/>
    </row>
    <row r="119225" spans="1:6" x14ac:dyDescent="0.25">
      <c r="A119225"/>
      <c r="B119225"/>
      <c r="C119225"/>
      <c r="E119225"/>
      <c r="F119225"/>
    </row>
    <row r="119226" spans="1:6" x14ac:dyDescent="0.25">
      <c r="A119226"/>
      <c r="B119226"/>
      <c r="C119226"/>
      <c r="E119226"/>
      <c r="F119226"/>
    </row>
    <row r="119227" spans="1:6" x14ac:dyDescent="0.25">
      <c r="A119227"/>
      <c r="B119227"/>
      <c r="C119227"/>
      <c r="E119227"/>
      <c r="F119227"/>
    </row>
    <row r="119228" spans="1:6" x14ac:dyDescent="0.25">
      <c r="A119228"/>
      <c r="B119228"/>
      <c r="C119228"/>
      <c r="E119228"/>
      <c r="F119228"/>
    </row>
    <row r="119229" spans="1:6" x14ac:dyDescent="0.25">
      <c r="A119229"/>
      <c r="B119229"/>
      <c r="C119229"/>
      <c r="E119229"/>
      <c r="F119229"/>
    </row>
    <row r="119230" spans="1:6" x14ac:dyDescent="0.25">
      <c r="A119230"/>
      <c r="B119230"/>
      <c r="C119230"/>
      <c r="E119230"/>
      <c r="F119230"/>
    </row>
    <row r="119231" spans="1:6" x14ac:dyDescent="0.25">
      <c r="A119231"/>
      <c r="B119231"/>
      <c r="C119231"/>
      <c r="E119231"/>
      <c r="F119231"/>
    </row>
    <row r="119232" spans="1:6" x14ac:dyDescent="0.25">
      <c r="A119232"/>
      <c r="B119232"/>
      <c r="C119232"/>
      <c r="E119232"/>
      <c r="F119232"/>
    </row>
    <row r="119233" spans="1:6" x14ac:dyDescent="0.25">
      <c r="A119233"/>
      <c r="B119233"/>
      <c r="C119233"/>
      <c r="E119233"/>
      <c r="F119233"/>
    </row>
    <row r="119234" spans="1:6" x14ac:dyDescent="0.25">
      <c r="A119234"/>
      <c r="B119234"/>
      <c r="C119234"/>
      <c r="E119234"/>
      <c r="F119234"/>
    </row>
    <row r="119235" spans="1:6" x14ac:dyDescent="0.25">
      <c r="A119235"/>
      <c r="B119235"/>
      <c r="C119235"/>
      <c r="E119235"/>
      <c r="F119235"/>
    </row>
    <row r="119236" spans="1:6" x14ac:dyDescent="0.25">
      <c r="A119236"/>
      <c r="B119236"/>
      <c r="C119236"/>
      <c r="E119236"/>
      <c r="F119236"/>
    </row>
    <row r="119237" spans="1:6" x14ac:dyDescent="0.25">
      <c r="A119237"/>
      <c r="B119237"/>
      <c r="C119237"/>
      <c r="E119237"/>
      <c r="F119237"/>
    </row>
    <row r="119238" spans="1:6" x14ac:dyDescent="0.25">
      <c r="A119238"/>
      <c r="B119238"/>
      <c r="C119238"/>
      <c r="E119238"/>
      <c r="F119238"/>
    </row>
    <row r="119239" spans="1:6" x14ac:dyDescent="0.25">
      <c r="A119239"/>
      <c r="B119239"/>
      <c r="C119239"/>
      <c r="E119239"/>
      <c r="F119239"/>
    </row>
    <row r="119240" spans="1:6" x14ac:dyDescent="0.25">
      <c r="A119240"/>
      <c r="B119240"/>
      <c r="C119240"/>
      <c r="E119240"/>
      <c r="F119240"/>
    </row>
    <row r="119241" spans="1:6" x14ac:dyDescent="0.25">
      <c r="A119241"/>
      <c r="B119241"/>
      <c r="C119241"/>
      <c r="E119241"/>
      <c r="F119241"/>
    </row>
    <row r="119242" spans="1:6" x14ac:dyDescent="0.25">
      <c r="A119242"/>
      <c r="B119242"/>
      <c r="C119242"/>
      <c r="E119242"/>
      <c r="F119242"/>
    </row>
    <row r="119243" spans="1:6" x14ac:dyDescent="0.25">
      <c r="A119243"/>
      <c r="B119243"/>
      <c r="C119243"/>
      <c r="E119243"/>
      <c r="F119243"/>
    </row>
    <row r="119244" spans="1:6" x14ac:dyDescent="0.25">
      <c r="A119244"/>
      <c r="B119244"/>
      <c r="C119244"/>
      <c r="E119244"/>
      <c r="F119244"/>
    </row>
    <row r="119245" spans="1:6" x14ac:dyDescent="0.25">
      <c r="A119245"/>
      <c r="B119245"/>
      <c r="C119245"/>
      <c r="E119245"/>
      <c r="F119245"/>
    </row>
    <row r="119246" spans="1:6" x14ac:dyDescent="0.25">
      <c r="A119246"/>
      <c r="B119246"/>
      <c r="C119246"/>
      <c r="E119246"/>
      <c r="F119246"/>
    </row>
    <row r="119247" spans="1:6" x14ac:dyDescent="0.25">
      <c r="A119247"/>
      <c r="B119247"/>
      <c r="C119247"/>
      <c r="E119247"/>
      <c r="F119247"/>
    </row>
    <row r="119248" spans="1:6" x14ac:dyDescent="0.25">
      <c r="A119248"/>
      <c r="B119248"/>
      <c r="C119248"/>
      <c r="E119248"/>
      <c r="F119248"/>
    </row>
    <row r="119249" spans="1:6" x14ac:dyDescent="0.25">
      <c r="A119249"/>
      <c r="B119249"/>
      <c r="C119249"/>
      <c r="E119249"/>
      <c r="F119249"/>
    </row>
    <row r="119250" spans="1:6" x14ac:dyDescent="0.25">
      <c r="A119250"/>
      <c r="B119250"/>
      <c r="C119250"/>
      <c r="E119250"/>
      <c r="F119250"/>
    </row>
    <row r="119251" spans="1:6" x14ac:dyDescent="0.25">
      <c r="A119251"/>
      <c r="B119251"/>
      <c r="C119251"/>
      <c r="E119251"/>
      <c r="F119251"/>
    </row>
    <row r="119252" spans="1:6" x14ac:dyDescent="0.25">
      <c r="A119252"/>
      <c r="B119252"/>
      <c r="C119252"/>
      <c r="E119252"/>
      <c r="F119252"/>
    </row>
    <row r="119253" spans="1:6" x14ac:dyDescent="0.25">
      <c r="A119253"/>
      <c r="B119253"/>
      <c r="C119253"/>
      <c r="E119253"/>
      <c r="F119253"/>
    </row>
    <row r="119254" spans="1:6" x14ac:dyDescent="0.25">
      <c r="A119254"/>
      <c r="B119254"/>
      <c r="C119254"/>
      <c r="E119254"/>
      <c r="F119254"/>
    </row>
    <row r="119255" spans="1:6" x14ac:dyDescent="0.25">
      <c r="A119255"/>
      <c r="B119255"/>
      <c r="C119255"/>
      <c r="E119255"/>
      <c r="F119255"/>
    </row>
    <row r="119256" spans="1:6" x14ac:dyDescent="0.25">
      <c r="A119256"/>
      <c r="B119256"/>
      <c r="C119256"/>
      <c r="E119256"/>
      <c r="F119256"/>
    </row>
    <row r="119257" spans="1:6" x14ac:dyDescent="0.25">
      <c r="A119257"/>
      <c r="B119257"/>
      <c r="C119257"/>
      <c r="E119257"/>
      <c r="F119257"/>
    </row>
    <row r="119258" spans="1:6" x14ac:dyDescent="0.25">
      <c r="A119258"/>
      <c r="B119258"/>
      <c r="C119258"/>
      <c r="E119258"/>
      <c r="F119258"/>
    </row>
    <row r="119259" spans="1:6" x14ac:dyDescent="0.25">
      <c r="A119259"/>
      <c r="B119259"/>
      <c r="C119259"/>
      <c r="E119259"/>
      <c r="F119259"/>
    </row>
    <row r="119260" spans="1:6" x14ac:dyDescent="0.25">
      <c r="A119260"/>
      <c r="B119260"/>
      <c r="C119260"/>
      <c r="E119260"/>
      <c r="F119260"/>
    </row>
    <row r="119261" spans="1:6" x14ac:dyDescent="0.25">
      <c r="A119261"/>
      <c r="B119261"/>
      <c r="C119261"/>
      <c r="E119261"/>
      <c r="F119261"/>
    </row>
    <row r="119262" spans="1:6" x14ac:dyDescent="0.25">
      <c r="A119262"/>
      <c r="B119262"/>
      <c r="C119262"/>
      <c r="E119262"/>
      <c r="F119262"/>
    </row>
    <row r="119263" spans="1:6" x14ac:dyDescent="0.25">
      <c r="A119263"/>
      <c r="B119263"/>
      <c r="C119263"/>
      <c r="E119263"/>
      <c r="F119263"/>
    </row>
    <row r="119264" spans="1:6" x14ac:dyDescent="0.25">
      <c r="A119264"/>
      <c r="B119264"/>
      <c r="C119264"/>
      <c r="E119264"/>
      <c r="F119264"/>
    </row>
    <row r="119265" spans="1:6" x14ac:dyDescent="0.25">
      <c r="A119265"/>
      <c r="B119265"/>
      <c r="C119265"/>
      <c r="E119265"/>
      <c r="F119265"/>
    </row>
    <row r="119266" spans="1:6" x14ac:dyDescent="0.25">
      <c r="A119266"/>
      <c r="B119266"/>
      <c r="C119266"/>
      <c r="E119266"/>
      <c r="F119266"/>
    </row>
    <row r="119267" spans="1:6" x14ac:dyDescent="0.25">
      <c r="A119267"/>
      <c r="B119267"/>
      <c r="C119267"/>
      <c r="E119267"/>
      <c r="F119267"/>
    </row>
    <row r="119268" spans="1:6" x14ac:dyDescent="0.25">
      <c r="A119268"/>
      <c r="B119268"/>
      <c r="C119268"/>
      <c r="E119268"/>
      <c r="F119268"/>
    </row>
    <row r="119269" spans="1:6" x14ac:dyDescent="0.25">
      <c r="A119269"/>
      <c r="B119269"/>
      <c r="C119269"/>
      <c r="E119269"/>
      <c r="F119269"/>
    </row>
    <row r="119270" spans="1:6" x14ac:dyDescent="0.25">
      <c r="A119270"/>
      <c r="B119270"/>
      <c r="C119270"/>
      <c r="E119270"/>
      <c r="F119270"/>
    </row>
    <row r="119271" spans="1:6" x14ac:dyDescent="0.25">
      <c r="A119271"/>
      <c r="B119271"/>
      <c r="C119271"/>
      <c r="E119271"/>
      <c r="F119271"/>
    </row>
    <row r="119272" spans="1:6" x14ac:dyDescent="0.25">
      <c r="A119272"/>
      <c r="B119272"/>
      <c r="C119272"/>
      <c r="E119272"/>
      <c r="F119272"/>
    </row>
    <row r="119273" spans="1:6" x14ac:dyDescent="0.25">
      <c r="A119273"/>
      <c r="B119273"/>
      <c r="C119273"/>
      <c r="E119273"/>
      <c r="F119273"/>
    </row>
    <row r="119274" spans="1:6" x14ac:dyDescent="0.25">
      <c r="A119274"/>
      <c r="B119274"/>
      <c r="C119274"/>
      <c r="E119274"/>
      <c r="F119274"/>
    </row>
    <row r="119275" spans="1:6" x14ac:dyDescent="0.25">
      <c r="A119275"/>
      <c r="B119275"/>
      <c r="C119275"/>
      <c r="E119275"/>
      <c r="F119275"/>
    </row>
    <row r="119276" spans="1:6" x14ac:dyDescent="0.25">
      <c r="A119276"/>
      <c r="B119276"/>
      <c r="C119276"/>
      <c r="E119276"/>
      <c r="F119276"/>
    </row>
    <row r="119277" spans="1:6" x14ac:dyDescent="0.25">
      <c r="A119277"/>
      <c r="B119277"/>
      <c r="C119277"/>
      <c r="E119277"/>
      <c r="F119277"/>
    </row>
    <row r="119278" spans="1:6" x14ac:dyDescent="0.25">
      <c r="A119278"/>
      <c r="B119278"/>
      <c r="C119278"/>
      <c r="E119278"/>
      <c r="F119278"/>
    </row>
    <row r="119279" spans="1:6" x14ac:dyDescent="0.25">
      <c r="A119279"/>
      <c r="B119279"/>
      <c r="C119279"/>
      <c r="E119279"/>
      <c r="F119279"/>
    </row>
    <row r="119280" spans="1:6" x14ac:dyDescent="0.25">
      <c r="A119280"/>
      <c r="B119280"/>
      <c r="C119280"/>
      <c r="E119280"/>
      <c r="F119280"/>
    </row>
    <row r="119281" spans="1:6" x14ac:dyDescent="0.25">
      <c r="A119281"/>
      <c r="B119281"/>
      <c r="C119281"/>
      <c r="E119281"/>
      <c r="F119281"/>
    </row>
    <row r="119282" spans="1:6" x14ac:dyDescent="0.25">
      <c r="A119282"/>
      <c r="B119282"/>
      <c r="C119282"/>
      <c r="E119282"/>
      <c r="F119282"/>
    </row>
    <row r="119283" spans="1:6" x14ac:dyDescent="0.25">
      <c r="A119283"/>
      <c r="B119283"/>
      <c r="C119283"/>
      <c r="E119283"/>
      <c r="F119283"/>
    </row>
    <row r="119284" spans="1:6" x14ac:dyDescent="0.25">
      <c r="A119284"/>
      <c r="B119284"/>
      <c r="C119284"/>
      <c r="E119284"/>
      <c r="F119284"/>
    </row>
    <row r="119285" spans="1:6" x14ac:dyDescent="0.25">
      <c r="A119285"/>
      <c r="B119285"/>
      <c r="C119285"/>
      <c r="E119285"/>
      <c r="F119285"/>
    </row>
    <row r="119286" spans="1:6" x14ac:dyDescent="0.25">
      <c r="A119286"/>
      <c r="B119286"/>
      <c r="C119286"/>
      <c r="E119286"/>
      <c r="F119286"/>
    </row>
    <row r="119287" spans="1:6" x14ac:dyDescent="0.25">
      <c r="A119287"/>
      <c r="B119287"/>
      <c r="C119287"/>
      <c r="E119287"/>
      <c r="F119287"/>
    </row>
    <row r="119288" spans="1:6" x14ac:dyDescent="0.25">
      <c r="A119288"/>
      <c r="B119288"/>
      <c r="C119288"/>
      <c r="E119288"/>
      <c r="F119288"/>
    </row>
    <row r="119289" spans="1:6" x14ac:dyDescent="0.25">
      <c r="A119289"/>
      <c r="B119289"/>
      <c r="C119289"/>
      <c r="E119289"/>
      <c r="F119289"/>
    </row>
    <row r="119290" spans="1:6" x14ac:dyDescent="0.25">
      <c r="A119290"/>
      <c r="B119290"/>
      <c r="C119290"/>
      <c r="E119290"/>
      <c r="F119290"/>
    </row>
    <row r="119291" spans="1:6" x14ac:dyDescent="0.25">
      <c r="A119291"/>
      <c r="B119291"/>
      <c r="C119291"/>
      <c r="E119291"/>
      <c r="F119291"/>
    </row>
    <row r="119292" spans="1:6" x14ac:dyDescent="0.25">
      <c r="A119292"/>
      <c r="B119292"/>
      <c r="C119292"/>
      <c r="E119292"/>
      <c r="F119292"/>
    </row>
    <row r="119293" spans="1:6" x14ac:dyDescent="0.25">
      <c r="A119293"/>
      <c r="B119293"/>
      <c r="C119293"/>
      <c r="E119293"/>
      <c r="F119293"/>
    </row>
    <row r="119294" spans="1:6" x14ac:dyDescent="0.25">
      <c r="A119294"/>
      <c r="B119294"/>
      <c r="C119294"/>
      <c r="E119294"/>
      <c r="F119294"/>
    </row>
    <row r="119295" spans="1:6" x14ac:dyDescent="0.25">
      <c r="A119295"/>
      <c r="B119295"/>
      <c r="C119295"/>
      <c r="E119295"/>
      <c r="F119295"/>
    </row>
    <row r="119296" spans="1:6" x14ac:dyDescent="0.25">
      <c r="A119296"/>
      <c r="B119296"/>
      <c r="C119296"/>
      <c r="E119296"/>
      <c r="F119296"/>
    </row>
    <row r="119297" spans="1:6" x14ac:dyDescent="0.25">
      <c r="A119297"/>
      <c r="B119297"/>
      <c r="C119297"/>
      <c r="E119297"/>
      <c r="F119297"/>
    </row>
    <row r="119298" spans="1:6" x14ac:dyDescent="0.25">
      <c r="A119298"/>
      <c r="B119298"/>
      <c r="C119298"/>
      <c r="E119298"/>
      <c r="F119298"/>
    </row>
    <row r="119299" spans="1:6" x14ac:dyDescent="0.25">
      <c r="A119299"/>
      <c r="B119299"/>
      <c r="C119299"/>
      <c r="E119299"/>
      <c r="F119299"/>
    </row>
    <row r="119300" spans="1:6" x14ac:dyDescent="0.25">
      <c r="A119300"/>
      <c r="B119300"/>
      <c r="C119300"/>
      <c r="E119300"/>
      <c r="F119300"/>
    </row>
    <row r="119301" spans="1:6" x14ac:dyDescent="0.25">
      <c r="A119301"/>
      <c r="B119301"/>
      <c r="C119301"/>
      <c r="E119301"/>
      <c r="F119301"/>
    </row>
    <row r="119302" spans="1:6" x14ac:dyDescent="0.25">
      <c r="A119302"/>
      <c r="B119302"/>
      <c r="C119302"/>
      <c r="E119302"/>
      <c r="F119302"/>
    </row>
    <row r="119303" spans="1:6" x14ac:dyDescent="0.25">
      <c r="A119303"/>
      <c r="B119303"/>
      <c r="C119303"/>
      <c r="E119303"/>
      <c r="F119303"/>
    </row>
    <row r="119304" spans="1:6" x14ac:dyDescent="0.25">
      <c r="A119304"/>
      <c r="B119304"/>
      <c r="C119304"/>
      <c r="E119304"/>
      <c r="F119304"/>
    </row>
    <row r="119305" spans="1:6" x14ac:dyDescent="0.25">
      <c r="A119305"/>
      <c r="B119305"/>
      <c r="C119305"/>
      <c r="E119305"/>
      <c r="F119305"/>
    </row>
    <row r="119306" spans="1:6" x14ac:dyDescent="0.25">
      <c r="A119306"/>
      <c r="B119306"/>
      <c r="C119306"/>
      <c r="E119306"/>
      <c r="F119306"/>
    </row>
    <row r="119307" spans="1:6" x14ac:dyDescent="0.25">
      <c r="A119307"/>
      <c r="B119307"/>
      <c r="C119307"/>
      <c r="E119307"/>
      <c r="F119307"/>
    </row>
    <row r="119308" spans="1:6" x14ac:dyDescent="0.25">
      <c r="A119308"/>
      <c r="B119308"/>
      <c r="C119308"/>
      <c r="E119308"/>
      <c r="F119308"/>
    </row>
    <row r="119309" spans="1:6" x14ac:dyDescent="0.25">
      <c r="A119309"/>
      <c r="B119309"/>
      <c r="C119309"/>
      <c r="E119309"/>
      <c r="F119309"/>
    </row>
    <row r="119310" spans="1:6" x14ac:dyDescent="0.25">
      <c r="A119310"/>
      <c r="B119310"/>
      <c r="C119310"/>
      <c r="E119310"/>
      <c r="F119310"/>
    </row>
    <row r="119311" spans="1:6" x14ac:dyDescent="0.25">
      <c r="A119311"/>
      <c r="B119311"/>
      <c r="C119311"/>
      <c r="E119311"/>
      <c r="F119311"/>
    </row>
    <row r="119312" spans="1:6" x14ac:dyDescent="0.25">
      <c r="A119312"/>
      <c r="B119312"/>
      <c r="C119312"/>
      <c r="E119312"/>
      <c r="F119312"/>
    </row>
    <row r="119313" spans="1:6" x14ac:dyDescent="0.25">
      <c r="A119313"/>
      <c r="B119313"/>
      <c r="C119313"/>
      <c r="E119313"/>
      <c r="F119313"/>
    </row>
    <row r="119314" spans="1:6" x14ac:dyDescent="0.25">
      <c r="A119314"/>
      <c r="B119314"/>
      <c r="C119314"/>
      <c r="E119314"/>
      <c r="F119314"/>
    </row>
    <row r="119315" spans="1:6" x14ac:dyDescent="0.25">
      <c r="A119315"/>
      <c r="B119315"/>
      <c r="C119315"/>
      <c r="E119315"/>
      <c r="F119315"/>
    </row>
    <row r="119316" spans="1:6" x14ac:dyDescent="0.25">
      <c r="A119316"/>
      <c r="B119316"/>
      <c r="C119316"/>
      <c r="E119316"/>
      <c r="F119316"/>
    </row>
    <row r="119317" spans="1:6" x14ac:dyDescent="0.25">
      <c r="A119317"/>
      <c r="B119317"/>
      <c r="C119317"/>
      <c r="E119317"/>
      <c r="F119317"/>
    </row>
    <row r="119318" spans="1:6" x14ac:dyDescent="0.25">
      <c r="A119318"/>
      <c r="B119318"/>
      <c r="C119318"/>
      <c r="E119318"/>
      <c r="F119318"/>
    </row>
    <row r="119319" spans="1:6" x14ac:dyDescent="0.25">
      <c r="A119319"/>
      <c r="B119319"/>
      <c r="C119319"/>
      <c r="E119319"/>
      <c r="F119319"/>
    </row>
    <row r="119320" spans="1:6" x14ac:dyDescent="0.25">
      <c r="A119320"/>
      <c r="B119320"/>
      <c r="C119320"/>
      <c r="E119320"/>
      <c r="F119320"/>
    </row>
    <row r="119321" spans="1:6" x14ac:dyDescent="0.25">
      <c r="A119321"/>
      <c r="B119321"/>
      <c r="C119321"/>
      <c r="E119321"/>
      <c r="F119321"/>
    </row>
    <row r="119322" spans="1:6" x14ac:dyDescent="0.25">
      <c r="A119322"/>
      <c r="B119322"/>
      <c r="C119322"/>
      <c r="E119322"/>
      <c r="F119322"/>
    </row>
    <row r="119323" spans="1:6" x14ac:dyDescent="0.25">
      <c r="A119323"/>
      <c r="B119323"/>
      <c r="C119323"/>
      <c r="E119323"/>
      <c r="F119323"/>
    </row>
    <row r="119324" spans="1:6" x14ac:dyDescent="0.25">
      <c r="A119324"/>
      <c r="B119324"/>
      <c r="C119324"/>
      <c r="E119324"/>
      <c r="F119324"/>
    </row>
    <row r="119325" spans="1:6" x14ac:dyDescent="0.25">
      <c r="A119325"/>
      <c r="B119325"/>
      <c r="C119325"/>
      <c r="E119325"/>
      <c r="F119325"/>
    </row>
    <row r="119326" spans="1:6" x14ac:dyDescent="0.25">
      <c r="A119326"/>
      <c r="B119326"/>
      <c r="C119326"/>
      <c r="E119326"/>
      <c r="F119326"/>
    </row>
    <row r="119327" spans="1:6" x14ac:dyDescent="0.25">
      <c r="A119327"/>
      <c r="B119327"/>
      <c r="C119327"/>
      <c r="E119327"/>
      <c r="F119327"/>
    </row>
    <row r="119328" spans="1:6" x14ac:dyDescent="0.25">
      <c r="A119328"/>
      <c r="B119328"/>
      <c r="C119328"/>
      <c r="E119328"/>
      <c r="F119328"/>
    </row>
    <row r="119329" spans="1:6" x14ac:dyDescent="0.25">
      <c r="A119329"/>
      <c r="B119329"/>
      <c r="C119329"/>
      <c r="E119329"/>
      <c r="F119329"/>
    </row>
    <row r="119330" spans="1:6" x14ac:dyDescent="0.25">
      <c r="A119330"/>
      <c r="B119330"/>
      <c r="C119330"/>
      <c r="E119330"/>
      <c r="F119330"/>
    </row>
    <row r="119331" spans="1:6" x14ac:dyDescent="0.25">
      <c r="A119331"/>
      <c r="B119331"/>
      <c r="C119331"/>
      <c r="E119331"/>
      <c r="F119331"/>
    </row>
    <row r="119332" spans="1:6" x14ac:dyDescent="0.25">
      <c r="A119332"/>
      <c r="B119332"/>
      <c r="C119332"/>
      <c r="E119332"/>
      <c r="F119332"/>
    </row>
    <row r="119333" spans="1:6" x14ac:dyDescent="0.25">
      <c r="A119333"/>
      <c r="B119333"/>
      <c r="C119333"/>
      <c r="E119333"/>
      <c r="F119333"/>
    </row>
    <row r="119334" spans="1:6" x14ac:dyDescent="0.25">
      <c r="A119334"/>
      <c r="B119334"/>
      <c r="C119334"/>
      <c r="E119334"/>
      <c r="F119334"/>
    </row>
    <row r="119335" spans="1:6" x14ac:dyDescent="0.25">
      <c r="A119335"/>
      <c r="B119335"/>
      <c r="C119335"/>
      <c r="E119335"/>
      <c r="F119335"/>
    </row>
    <row r="119336" spans="1:6" x14ac:dyDescent="0.25">
      <c r="A119336"/>
      <c r="B119336"/>
      <c r="C119336"/>
      <c r="E119336"/>
      <c r="F119336"/>
    </row>
    <row r="119337" spans="1:6" x14ac:dyDescent="0.25">
      <c r="A119337"/>
      <c r="B119337"/>
      <c r="C119337"/>
      <c r="E119337"/>
      <c r="F119337"/>
    </row>
    <row r="119338" spans="1:6" x14ac:dyDescent="0.25">
      <c r="A119338"/>
      <c r="B119338"/>
      <c r="C119338"/>
      <c r="E119338"/>
      <c r="F119338"/>
    </row>
    <row r="119339" spans="1:6" x14ac:dyDescent="0.25">
      <c r="A119339"/>
      <c r="B119339"/>
      <c r="C119339"/>
      <c r="E119339"/>
      <c r="F119339"/>
    </row>
    <row r="119340" spans="1:6" x14ac:dyDescent="0.25">
      <c r="A119340"/>
      <c r="B119340"/>
      <c r="C119340"/>
      <c r="E119340"/>
      <c r="F119340"/>
    </row>
    <row r="119341" spans="1:6" x14ac:dyDescent="0.25">
      <c r="A119341"/>
      <c r="B119341"/>
      <c r="C119341"/>
      <c r="E119341"/>
      <c r="F119341"/>
    </row>
    <row r="119342" spans="1:6" x14ac:dyDescent="0.25">
      <c r="A119342"/>
      <c r="B119342"/>
      <c r="C119342"/>
      <c r="E119342"/>
      <c r="F119342"/>
    </row>
    <row r="119343" spans="1:6" x14ac:dyDescent="0.25">
      <c r="A119343"/>
      <c r="B119343"/>
      <c r="C119343"/>
      <c r="E119343"/>
      <c r="F119343"/>
    </row>
    <row r="119344" spans="1:6" x14ac:dyDescent="0.25">
      <c r="A119344"/>
      <c r="B119344"/>
      <c r="C119344"/>
      <c r="E119344"/>
      <c r="F119344"/>
    </row>
    <row r="119345" spans="1:6" x14ac:dyDescent="0.25">
      <c r="A119345"/>
      <c r="B119345"/>
      <c r="C119345"/>
      <c r="E119345"/>
      <c r="F119345"/>
    </row>
    <row r="119346" spans="1:6" x14ac:dyDescent="0.25">
      <c r="A119346"/>
      <c r="B119346"/>
      <c r="C119346"/>
      <c r="E119346"/>
      <c r="F119346"/>
    </row>
    <row r="119347" spans="1:6" x14ac:dyDescent="0.25">
      <c r="A119347"/>
      <c r="B119347"/>
      <c r="C119347"/>
      <c r="E119347"/>
      <c r="F119347"/>
    </row>
    <row r="119348" spans="1:6" x14ac:dyDescent="0.25">
      <c r="A119348"/>
      <c r="B119348"/>
      <c r="C119348"/>
      <c r="E119348"/>
      <c r="F119348"/>
    </row>
    <row r="119349" spans="1:6" x14ac:dyDescent="0.25">
      <c r="A119349"/>
      <c r="B119349"/>
      <c r="C119349"/>
      <c r="E119349"/>
      <c r="F119349"/>
    </row>
    <row r="119350" spans="1:6" x14ac:dyDescent="0.25">
      <c r="A119350"/>
      <c r="B119350"/>
      <c r="C119350"/>
      <c r="E119350"/>
      <c r="F119350"/>
    </row>
    <row r="119351" spans="1:6" x14ac:dyDescent="0.25">
      <c r="A119351"/>
      <c r="B119351"/>
      <c r="C119351"/>
      <c r="E119351"/>
      <c r="F119351"/>
    </row>
    <row r="119352" spans="1:6" x14ac:dyDescent="0.25">
      <c r="A119352"/>
      <c r="B119352"/>
      <c r="C119352"/>
      <c r="E119352"/>
      <c r="F119352"/>
    </row>
    <row r="119353" spans="1:6" x14ac:dyDescent="0.25">
      <c r="A119353"/>
      <c r="B119353"/>
      <c r="C119353"/>
      <c r="E119353"/>
      <c r="F119353"/>
    </row>
    <row r="119354" spans="1:6" x14ac:dyDescent="0.25">
      <c r="A119354"/>
      <c r="B119354"/>
      <c r="C119354"/>
      <c r="E119354"/>
      <c r="F119354"/>
    </row>
    <row r="119355" spans="1:6" x14ac:dyDescent="0.25">
      <c r="A119355"/>
      <c r="B119355"/>
      <c r="C119355"/>
      <c r="E119355"/>
      <c r="F119355"/>
    </row>
    <row r="119356" spans="1:6" x14ac:dyDescent="0.25">
      <c r="A119356"/>
      <c r="B119356"/>
      <c r="C119356"/>
      <c r="E119356"/>
      <c r="F119356"/>
    </row>
    <row r="119357" spans="1:6" x14ac:dyDescent="0.25">
      <c r="A119357"/>
      <c r="B119357"/>
      <c r="C119357"/>
      <c r="E119357"/>
      <c r="F119357"/>
    </row>
    <row r="119358" spans="1:6" x14ac:dyDescent="0.25">
      <c r="A119358"/>
      <c r="B119358"/>
      <c r="C119358"/>
      <c r="E119358"/>
      <c r="F119358"/>
    </row>
    <row r="119359" spans="1:6" x14ac:dyDescent="0.25">
      <c r="A119359"/>
      <c r="B119359"/>
      <c r="C119359"/>
      <c r="E119359"/>
      <c r="F119359"/>
    </row>
    <row r="119360" spans="1:6" x14ac:dyDescent="0.25">
      <c r="A119360"/>
      <c r="B119360"/>
      <c r="C119360"/>
      <c r="E119360"/>
      <c r="F119360"/>
    </row>
    <row r="119361" spans="1:6" x14ac:dyDescent="0.25">
      <c r="A119361"/>
      <c r="B119361"/>
      <c r="C119361"/>
      <c r="E119361"/>
      <c r="F119361"/>
    </row>
    <row r="119362" spans="1:6" x14ac:dyDescent="0.25">
      <c r="A119362"/>
      <c r="B119362"/>
      <c r="C119362"/>
      <c r="E119362"/>
      <c r="F119362"/>
    </row>
    <row r="119363" spans="1:6" x14ac:dyDescent="0.25">
      <c r="A119363"/>
      <c r="B119363"/>
      <c r="C119363"/>
      <c r="E119363"/>
      <c r="F119363"/>
    </row>
    <row r="119364" spans="1:6" x14ac:dyDescent="0.25">
      <c r="A119364"/>
      <c r="B119364"/>
      <c r="C119364"/>
      <c r="E119364"/>
      <c r="F119364"/>
    </row>
    <row r="119365" spans="1:6" x14ac:dyDescent="0.25">
      <c r="A119365"/>
      <c r="B119365"/>
      <c r="C119365"/>
      <c r="E119365"/>
      <c r="F119365"/>
    </row>
    <row r="119366" spans="1:6" x14ac:dyDescent="0.25">
      <c r="A119366"/>
      <c r="B119366"/>
      <c r="C119366"/>
      <c r="E119366"/>
      <c r="F119366"/>
    </row>
    <row r="119367" spans="1:6" x14ac:dyDescent="0.25">
      <c r="A119367"/>
      <c r="B119367"/>
      <c r="C119367"/>
      <c r="E119367"/>
      <c r="F119367"/>
    </row>
    <row r="119368" spans="1:6" x14ac:dyDescent="0.25">
      <c r="A119368"/>
      <c r="B119368"/>
      <c r="C119368"/>
      <c r="E119368"/>
      <c r="F119368"/>
    </row>
    <row r="119369" spans="1:6" x14ac:dyDescent="0.25">
      <c r="A119369"/>
      <c r="B119369"/>
      <c r="C119369"/>
      <c r="E119369"/>
      <c r="F119369"/>
    </row>
    <row r="119370" spans="1:6" x14ac:dyDescent="0.25">
      <c r="A119370"/>
      <c r="B119370"/>
      <c r="C119370"/>
      <c r="E119370"/>
      <c r="F119370"/>
    </row>
    <row r="119371" spans="1:6" x14ac:dyDescent="0.25">
      <c r="A119371"/>
      <c r="B119371"/>
      <c r="C119371"/>
      <c r="E119371"/>
      <c r="F119371"/>
    </row>
    <row r="119372" spans="1:6" x14ac:dyDescent="0.25">
      <c r="A119372"/>
      <c r="B119372"/>
      <c r="C119372"/>
      <c r="E119372"/>
      <c r="F119372"/>
    </row>
    <row r="119373" spans="1:6" x14ac:dyDescent="0.25">
      <c r="A119373"/>
      <c r="B119373"/>
      <c r="C119373"/>
      <c r="E119373"/>
      <c r="F119373"/>
    </row>
    <row r="119374" spans="1:6" x14ac:dyDescent="0.25">
      <c r="A119374"/>
      <c r="B119374"/>
      <c r="C119374"/>
      <c r="E119374"/>
      <c r="F119374"/>
    </row>
    <row r="119375" spans="1:6" x14ac:dyDescent="0.25">
      <c r="A119375"/>
      <c r="B119375"/>
      <c r="C119375"/>
      <c r="E119375"/>
      <c r="F119375"/>
    </row>
    <row r="119376" spans="1:6" x14ac:dyDescent="0.25">
      <c r="A119376"/>
      <c r="B119376"/>
      <c r="C119376"/>
      <c r="E119376"/>
      <c r="F119376"/>
    </row>
    <row r="119377" spans="1:6" x14ac:dyDescent="0.25">
      <c r="A119377"/>
      <c r="B119377"/>
      <c r="C119377"/>
      <c r="E119377"/>
      <c r="F119377"/>
    </row>
    <row r="119378" spans="1:6" x14ac:dyDescent="0.25">
      <c r="A119378"/>
      <c r="B119378"/>
      <c r="C119378"/>
      <c r="E119378"/>
      <c r="F119378"/>
    </row>
    <row r="119379" spans="1:6" x14ac:dyDescent="0.25">
      <c r="A119379"/>
      <c r="B119379"/>
      <c r="C119379"/>
      <c r="E119379"/>
      <c r="F119379"/>
    </row>
    <row r="119380" spans="1:6" x14ac:dyDescent="0.25">
      <c r="A119380"/>
      <c r="B119380"/>
      <c r="C119380"/>
      <c r="E119380"/>
      <c r="F119380"/>
    </row>
    <row r="119381" spans="1:6" x14ac:dyDescent="0.25">
      <c r="A119381"/>
      <c r="B119381"/>
      <c r="C119381"/>
      <c r="E119381"/>
      <c r="F119381"/>
    </row>
    <row r="119382" spans="1:6" x14ac:dyDescent="0.25">
      <c r="A119382"/>
      <c r="B119382"/>
      <c r="C119382"/>
      <c r="E119382"/>
      <c r="F119382"/>
    </row>
    <row r="119383" spans="1:6" x14ac:dyDescent="0.25">
      <c r="A119383"/>
      <c r="B119383"/>
      <c r="C119383"/>
      <c r="E119383"/>
      <c r="F119383"/>
    </row>
    <row r="119384" spans="1:6" x14ac:dyDescent="0.25">
      <c r="A119384"/>
      <c r="B119384"/>
      <c r="C119384"/>
      <c r="E119384"/>
      <c r="F119384"/>
    </row>
    <row r="119385" spans="1:6" x14ac:dyDescent="0.25">
      <c r="A119385"/>
      <c r="B119385"/>
      <c r="C119385"/>
      <c r="E119385"/>
      <c r="F119385"/>
    </row>
    <row r="119386" spans="1:6" x14ac:dyDescent="0.25">
      <c r="A119386"/>
      <c r="B119386"/>
      <c r="C119386"/>
      <c r="E119386"/>
      <c r="F119386"/>
    </row>
    <row r="119387" spans="1:6" x14ac:dyDescent="0.25">
      <c r="A119387"/>
      <c r="B119387"/>
      <c r="C119387"/>
      <c r="E119387"/>
      <c r="F119387"/>
    </row>
    <row r="119388" spans="1:6" x14ac:dyDescent="0.25">
      <c r="A119388"/>
      <c r="B119388"/>
      <c r="C119388"/>
      <c r="E119388"/>
      <c r="F119388"/>
    </row>
    <row r="119389" spans="1:6" x14ac:dyDescent="0.25">
      <c r="A119389"/>
      <c r="B119389"/>
      <c r="C119389"/>
      <c r="E119389"/>
      <c r="F119389"/>
    </row>
    <row r="119390" spans="1:6" x14ac:dyDescent="0.25">
      <c r="A119390"/>
      <c r="B119390"/>
      <c r="C119390"/>
      <c r="E119390"/>
      <c r="F119390"/>
    </row>
    <row r="119391" spans="1:6" x14ac:dyDescent="0.25">
      <c r="A119391"/>
      <c r="B119391"/>
      <c r="C119391"/>
      <c r="E119391"/>
      <c r="F119391"/>
    </row>
    <row r="119392" spans="1:6" x14ac:dyDescent="0.25">
      <c r="A119392"/>
      <c r="B119392"/>
      <c r="C119392"/>
      <c r="E119392"/>
      <c r="F119392"/>
    </row>
    <row r="119393" spans="1:6" x14ac:dyDescent="0.25">
      <c r="A119393"/>
      <c r="B119393"/>
      <c r="C119393"/>
      <c r="E119393"/>
      <c r="F119393"/>
    </row>
    <row r="119394" spans="1:6" x14ac:dyDescent="0.25">
      <c r="A119394"/>
      <c r="B119394"/>
      <c r="C119394"/>
      <c r="E119394"/>
      <c r="F119394"/>
    </row>
    <row r="119395" spans="1:6" x14ac:dyDescent="0.25">
      <c r="A119395"/>
      <c r="B119395"/>
      <c r="C119395"/>
      <c r="E119395"/>
      <c r="F119395"/>
    </row>
    <row r="119396" spans="1:6" x14ac:dyDescent="0.25">
      <c r="A119396"/>
      <c r="B119396"/>
      <c r="C119396"/>
      <c r="E119396"/>
      <c r="F119396"/>
    </row>
    <row r="119397" spans="1:6" x14ac:dyDescent="0.25">
      <c r="A119397"/>
      <c r="B119397"/>
      <c r="C119397"/>
      <c r="E119397"/>
      <c r="F119397"/>
    </row>
    <row r="119398" spans="1:6" x14ac:dyDescent="0.25">
      <c r="A119398"/>
      <c r="B119398"/>
      <c r="C119398"/>
      <c r="E119398"/>
      <c r="F119398"/>
    </row>
    <row r="119399" spans="1:6" x14ac:dyDescent="0.25">
      <c r="A119399"/>
      <c r="B119399"/>
      <c r="C119399"/>
      <c r="E119399"/>
      <c r="F119399"/>
    </row>
    <row r="119400" spans="1:6" x14ac:dyDescent="0.25">
      <c r="A119400"/>
      <c r="B119400"/>
      <c r="C119400"/>
      <c r="E119400"/>
      <c r="F119400"/>
    </row>
    <row r="119401" spans="1:6" x14ac:dyDescent="0.25">
      <c r="A119401"/>
      <c r="B119401"/>
      <c r="C119401"/>
      <c r="E119401"/>
      <c r="F119401"/>
    </row>
    <row r="119402" spans="1:6" x14ac:dyDescent="0.25">
      <c r="A119402"/>
      <c r="B119402"/>
      <c r="C119402"/>
      <c r="E119402"/>
      <c r="F119402"/>
    </row>
    <row r="119403" spans="1:6" x14ac:dyDescent="0.25">
      <c r="A119403"/>
      <c r="B119403"/>
      <c r="C119403"/>
      <c r="E119403"/>
      <c r="F119403"/>
    </row>
    <row r="119404" spans="1:6" x14ac:dyDescent="0.25">
      <c r="A119404"/>
      <c r="B119404"/>
      <c r="C119404"/>
      <c r="E119404"/>
      <c r="F119404"/>
    </row>
    <row r="119405" spans="1:6" x14ac:dyDescent="0.25">
      <c r="A119405"/>
      <c r="B119405"/>
      <c r="C119405"/>
      <c r="E119405"/>
      <c r="F119405"/>
    </row>
    <row r="119406" spans="1:6" x14ac:dyDescent="0.25">
      <c r="A119406"/>
      <c r="B119406"/>
      <c r="C119406"/>
      <c r="E119406"/>
      <c r="F119406"/>
    </row>
    <row r="119407" spans="1:6" x14ac:dyDescent="0.25">
      <c r="A119407"/>
      <c r="B119407"/>
      <c r="C119407"/>
      <c r="E119407"/>
      <c r="F119407"/>
    </row>
    <row r="119408" spans="1:6" x14ac:dyDescent="0.25">
      <c r="A119408"/>
      <c r="B119408"/>
      <c r="C119408"/>
      <c r="E119408"/>
      <c r="F119408"/>
    </row>
    <row r="119409" spans="1:6" x14ac:dyDescent="0.25">
      <c r="A119409"/>
      <c r="B119409"/>
      <c r="C119409"/>
      <c r="E119409"/>
      <c r="F119409"/>
    </row>
    <row r="119410" spans="1:6" x14ac:dyDescent="0.25">
      <c r="A119410"/>
      <c r="B119410"/>
      <c r="C119410"/>
      <c r="E119410"/>
      <c r="F119410"/>
    </row>
    <row r="119411" spans="1:6" x14ac:dyDescent="0.25">
      <c r="A119411"/>
      <c r="B119411"/>
      <c r="C119411"/>
      <c r="E119411"/>
      <c r="F119411"/>
    </row>
    <row r="119412" spans="1:6" x14ac:dyDescent="0.25">
      <c r="A119412"/>
      <c r="B119412"/>
      <c r="C119412"/>
      <c r="E119412"/>
      <c r="F119412"/>
    </row>
    <row r="119413" spans="1:6" x14ac:dyDescent="0.25">
      <c r="A119413"/>
      <c r="B119413"/>
      <c r="C119413"/>
      <c r="E119413"/>
      <c r="F119413"/>
    </row>
    <row r="119414" spans="1:6" x14ac:dyDescent="0.25">
      <c r="A119414"/>
      <c r="B119414"/>
      <c r="C119414"/>
      <c r="E119414"/>
      <c r="F119414"/>
    </row>
    <row r="119415" spans="1:6" x14ac:dyDescent="0.25">
      <c r="A119415"/>
      <c r="B119415"/>
      <c r="C119415"/>
      <c r="E119415"/>
      <c r="F119415"/>
    </row>
    <row r="119416" spans="1:6" x14ac:dyDescent="0.25">
      <c r="A119416"/>
      <c r="B119416"/>
      <c r="C119416"/>
      <c r="E119416"/>
      <c r="F119416"/>
    </row>
    <row r="119417" spans="1:6" x14ac:dyDescent="0.25">
      <c r="A119417"/>
      <c r="B119417"/>
      <c r="C119417"/>
      <c r="E119417"/>
      <c r="F119417"/>
    </row>
    <row r="119418" spans="1:6" x14ac:dyDescent="0.25">
      <c r="A119418"/>
      <c r="B119418"/>
      <c r="C119418"/>
      <c r="E119418"/>
      <c r="F119418"/>
    </row>
    <row r="119419" spans="1:6" x14ac:dyDescent="0.25">
      <c r="A119419"/>
      <c r="B119419"/>
      <c r="C119419"/>
      <c r="E119419"/>
      <c r="F119419"/>
    </row>
    <row r="119420" spans="1:6" x14ac:dyDescent="0.25">
      <c r="A119420"/>
      <c r="B119420"/>
      <c r="C119420"/>
      <c r="E119420"/>
      <c r="F119420"/>
    </row>
    <row r="119421" spans="1:6" x14ac:dyDescent="0.25">
      <c r="A119421"/>
      <c r="B119421"/>
      <c r="C119421"/>
      <c r="E119421"/>
      <c r="F119421"/>
    </row>
    <row r="119422" spans="1:6" x14ac:dyDescent="0.25">
      <c r="A119422"/>
      <c r="B119422"/>
      <c r="C119422"/>
      <c r="E119422"/>
      <c r="F119422"/>
    </row>
    <row r="119423" spans="1:6" x14ac:dyDescent="0.25">
      <c r="A119423"/>
      <c r="B119423"/>
      <c r="C119423"/>
      <c r="E119423"/>
      <c r="F119423"/>
    </row>
    <row r="119424" spans="1:6" x14ac:dyDescent="0.25">
      <c r="A119424"/>
      <c r="B119424"/>
      <c r="C119424"/>
      <c r="E119424"/>
      <c r="F119424"/>
    </row>
    <row r="119425" spans="1:6" x14ac:dyDescent="0.25">
      <c r="A119425"/>
      <c r="B119425"/>
      <c r="C119425"/>
      <c r="E119425"/>
      <c r="F119425"/>
    </row>
    <row r="119426" spans="1:6" x14ac:dyDescent="0.25">
      <c r="A119426"/>
      <c r="B119426"/>
      <c r="C119426"/>
      <c r="E119426"/>
      <c r="F119426"/>
    </row>
    <row r="119427" spans="1:6" x14ac:dyDescent="0.25">
      <c r="A119427"/>
      <c r="B119427"/>
      <c r="C119427"/>
      <c r="E119427"/>
      <c r="F119427"/>
    </row>
    <row r="119428" spans="1:6" x14ac:dyDescent="0.25">
      <c r="A119428"/>
      <c r="B119428"/>
      <c r="C119428"/>
      <c r="E119428"/>
      <c r="F119428"/>
    </row>
    <row r="119429" spans="1:6" x14ac:dyDescent="0.25">
      <c r="A119429"/>
      <c r="B119429"/>
      <c r="C119429"/>
      <c r="E119429"/>
      <c r="F119429"/>
    </row>
    <row r="119430" spans="1:6" x14ac:dyDescent="0.25">
      <c r="A119430"/>
      <c r="B119430"/>
      <c r="C119430"/>
      <c r="E119430"/>
      <c r="F119430"/>
    </row>
    <row r="119431" spans="1:6" x14ac:dyDescent="0.25">
      <c r="A119431"/>
      <c r="B119431"/>
      <c r="C119431"/>
      <c r="E119431"/>
      <c r="F119431"/>
    </row>
    <row r="119432" spans="1:6" x14ac:dyDescent="0.25">
      <c r="A119432"/>
      <c r="B119432"/>
      <c r="C119432"/>
      <c r="E119432"/>
      <c r="F119432"/>
    </row>
    <row r="119433" spans="1:6" x14ac:dyDescent="0.25">
      <c r="A119433"/>
      <c r="B119433"/>
      <c r="C119433"/>
      <c r="E119433"/>
      <c r="F119433"/>
    </row>
    <row r="119434" spans="1:6" x14ac:dyDescent="0.25">
      <c r="A119434"/>
      <c r="B119434"/>
      <c r="C119434"/>
      <c r="E119434"/>
      <c r="F119434"/>
    </row>
    <row r="119435" spans="1:6" x14ac:dyDescent="0.25">
      <c r="A119435"/>
      <c r="B119435"/>
      <c r="C119435"/>
      <c r="E119435"/>
      <c r="F119435"/>
    </row>
    <row r="119436" spans="1:6" x14ac:dyDescent="0.25">
      <c r="A119436"/>
      <c r="B119436"/>
      <c r="C119436"/>
      <c r="E119436"/>
      <c r="F119436"/>
    </row>
    <row r="119437" spans="1:6" x14ac:dyDescent="0.25">
      <c r="A119437"/>
      <c r="B119437"/>
      <c r="C119437"/>
      <c r="E119437"/>
      <c r="F119437"/>
    </row>
    <row r="119438" spans="1:6" x14ac:dyDescent="0.25">
      <c r="A119438"/>
      <c r="B119438"/>
      <c r="C119438"/>
      <c r="E119438"/>
      <c r="F119438"/>
    </row>
    <row r="119439" spans="1:6" x14ac:dyDescent="0.25">
      <c r="A119439"/>
      <c r="B119439"/>
      <c r="C119439"/>
      <c r="E119439"/>
      <c r="F119439"/>
    </row>
    <row r="119440" spans="1:6" x14ac:dyDescent="0.25">
      <c r="A119440"/>
      <c r="B119440"/>
      <c r="C119440"/>
      <c r="E119440"/>
      <c r="F119440"/>
    </row>
    <row r="119441" spans="1:6" x14ac:dyDescent="0.25">
      <c r="A119441"/>
      <c r="B119441"/>
      <c r="C119441"/>
      <c r="E119441"/>
      <c r="F119441"/>
    </row>
    <row r="119442" spans="1:6" x14ac:dyDescent="0.25">
      <c r="A119442"/>
      <c r="B119442"/>
      <c r="C119442"/>
      <c r="E119442"/>
      <c r="F119442"/>
    </row>
    <row r="119443" spans="1:6" x14ac:dyDescent="0.25">
      <c r="A119443"/>
      <c r="B119443"/>
      <c r="C119443"/>
      <c r="E119443"/>
      <c r="F119443"/>
    </row>
    <row r="119444" spans="1:6" x14ac:dyDescent="0.25">
      <c r="A119444"/>
      <c r="B119444"/>
      <c r="C119444"/>
      <c r="E119444"/>
      <c r="F119444"/>
    </row>
    <row r="119445" spans="1:6" x14ac:dyDescent="0.25">
      <c r="A119445"/>
      <c r="B119445"/>
      <c r="C119445"/>
      <c r="E119445"/>
      <c r="F119445"/>
    </row>
    <row r="119446" spans="1:6" x14ac:dyDescent="0.25">
      <c r="A119446"/>
      <c r="B119446"/>
      <c r="C119446"/>
      <c r="E119446"/>
      <c r="F119446"/>
    </row>
    <row r="119447" spans="1:6" x14ac:dyDescent="0.25">
      <c r="A119447"/>
      <c r="B119447"/>
      <c r="C119447"/>
      <c r="E119447"/>
      <c r="F119447"/>
    </row>
    <row r="119448" spans="1:6" x14ac:dyDescent="0.25">
      <c r="A119448"/>
      <c r="B119448"/>
      <c r="C119448"/>
      <c r="E119448"/>
      <c r="F119448"/>
    </row>
    <row r="119449" spans="1:6" x14ac:dyDescent="0.25">
      <c r="A119449"/>
      <c r="B119449"/>
      <c r="C119449"/>
      <c r="E119449"/>
      <c r="F119449"/>
    </row>
    <row r="119450" spans="1:6" x14ac:dyDescent="0.25">
      <c r="A119450"/>
      <c r="B119450"/>
      <c r="C119450"/>
      <c r="E119450"/>
      <c r="F119450"/>
    </row>
    <row r="119451" spans="1:6" x14ac:dyDescent="0.25">
      <c r="A119451"/>
      <c r="B119451"/>
      <c r="C119451"/>
      <c r="E119451"/>
      <c r="F119451"/>
    </row>
    <row r="119452" spans="1:6" x14ac:dyDescent="0.25">
      <c r="A119452"/>
      <c r="B119452"/>
      <c r="C119452"/>
      <c r="E119452"/>
      <c r="F119452"/>
    </row>
    <row r="119453" spans="1:6" x14ac:dyDescent="0.25">
      <c r="A119453"/>
      <c r="B119453"/>
      <c r="C119453"/>
      <c r="E119453"/>
      <c r="F119453"/>
    </row>
    <row r="119454" spans="1:6" x14ac:dyDescent="0.25">
      <c r="A119454"/>
      <c r="B119454"/>
      <c r="C119454"/>
      <c r="E119454"/>
      <c r="F119454"/>
    </row>
    <row r="119455" spans="1:6" x14ac:dyDescent="0.25">
      <c r="A119455"/>
      <c r="B119455"/>
      <c r="C119455"/>
      <c r="E119455"/>
      <c r="F119455"/>
    </row>
    <row r="119456" spans="1:6" x14ac:dyDescent="0.25">
      <c r="A119456"/>
      <c r="B119456"/>
      <c r="C119456"/>
      <c r="E119456"/>
      <c r="F119456"/>
    </row>
    <row r="119457" spans="1:6" x14ac:dyDescent="0.25">
      <c r="A119457"/>
      <c r="B119457"/>
      <c r="C119457"/>
      <c r="E119457"/>
      <c r="F119457"/>
    </row>
    <row r="119458" spans="1:6" x14ac:dyDescent="0.25">
      <c r="A119458"/>
      <c r="B119458"/>
      <c r="C119458"/>
      <c r="E119458"/>
      <c r="F119458"/>
    </row>
    <row r="119459" spans="1:6" x14ac:dyDescent="0.25">
      <c r="A119459"/>
      <c r="B119459"/>
      <c r="C119459"/>
      <c r="E119459"/>
      <c r="F119459"/>
    </row>
    <row r="119460" spans="1:6" x14ac:dyDescent="0.25">
      <c r="A119460"/>
      <c r="B119460"/>
      <c r="C119460"/>
      <c r="E119460"/>
      <c r="F119460"/>
    </row>
    <row r="119461" spans="1:6" x14ac:dyDescent="0.25">
      <c r="A119461"/>
      <c r="B119461"/>
      <c r="C119461"/>
      <c r="E119461"/>
      <c r="F119461"/>
    </row>
    <row r="119462" spans="1:6" x14ac:dyDescent="0.25">
      <c r="A119462"/>
      <c r="B119462"/>
      <c r="C119462"/>
      <c r="E119462"/>
      <c r="F119462"/>
    </row>
    <row r="119463" spans="1:6" x14ac:dyDescent="0.25">
      <c r="A119463"/>
      <c r="B119463"/>
      <c r="C119463"/>
      <c r="E119463"/>
      <c r="F119463"/>
    </row>
    <row r="119464" spans="1:6" x14ac:dyDescent="0.25">
      <c r="A119464"/>
      <c r="B119464"/>
      <c r="C119464"/>
      <c r="E119464"/>
      <c r="F119464"/>
    </row>
    <row r="119465" spans="1:6" x14ac:dyDescent="0.25">
      <c r="A119465"/>
      <c r="B119465"/>
      <c r="C119465"/>
      <c r="E119465"/>
      <c r="F119465"/>
    </row>
    <row r="119466" spans="1:6" x14ac:dyDescent="0.25">
      <c r="A119466"/>
      <c r="B119466"/>
      <c r="C119466"/>
      <c r="E119466"/>
      <c r="F119466"/>
    </row>
    <row r="119467" spans="1:6" x14ac:dyDescent="0.25">
      <c r="A119467"/>
      <c r="B119467"/>
      <c r="C119467"/>
      <c r="E119467"/>
      <c r="F119467"/>
    </row>
    <row r="119468" spans="1:6" x14ac:dyDescent="0.25">
      <c r="A119468"/>
      <c r="B119468"/>
      <c r="C119468"/>
      <c r="E119468"/>
      <c r="F119468"/>
    </row>
    <row r="119469" spans="1:6" x14ac:dyDescent="0.25">
      <c r="A119469"/>
      <c r="B119469"/>
      <c r="C119469"/>
      <c r="E119469"/>
      <c r="F119469"/>
    </row>
    <row r="119470" spans="1:6" x14ac:dyDescent="0.25">
      <c r="A119470"/>
      <c r="B119470"/>
      <c r="C119470"/>
      <c r="E119470"/>
      <c r="F119470"/>
    </row>
    <row r="119471" spans="1:6" x14ac:dyDescent="0.25">
      <c r="A119471"/>
      <c r="B119471"/>
      <c r="C119471"/>
      <c r="E119471"/>
      <c r="F119471"/>
    </row>
    <row r="119472" spans="1:6" x14ac:dyDescent="0.25">
      <c r="A119472"/>
      <c r="B119472"/>
      <c r="C119472"/>
      <c r="E119472"/>
      <c r="F119472"/>
    </row>
    <row r="119473" spans="1:6" x14ac:dyDescent="0.25">
      <c r="A119473"/>
      <c r="B119473"/>
      <c r="C119473"/>
      <c r="E119473"/>
      <c r="F119473"/>
    </row>
    <row r="119474" spans="1:6" x14ac:dyDescent="0.25">
      <c r="A119474"/>
      <c r="B119474"/>
      <c r="C119474"/>
      <c r="E119474"/>
      <c r="F119474"/>
    </row>
    <row r="119475" spans="1:6" x14ac:dyDescent="0.25">
      <c r="A119475"/>
      <c r="B119475"/>
      <c r="C119475"/>
      <c r="E119475"/>
      <c r="F119475"/>
    </row>
    <row r="119476" spans="1:6" x14ac:dyDescent="0.25">
      <c r="A119476"/>
      <c r="B119476"/>
      <c r="C119476"/>
      <c r="E119476"/>
      <c r="F119476"/>
    </row>
    <row r="119477" spans="1:6" x14ac:dyDescent="0.25">
      <c r="A119477"/>
      <c r="B119477"/>
      <c r="C119477"/>
      <c r="E119477"/>
      <c r="F119477"/>
    </row>
    <row r="119478" spans="1:6" x14ac:dyDescent="0.25">
      <c r="A119478"/>
      <c r="B119478"/>
      <c r="C119478"/>
      <c r="E119478"/>
      <c r="F119478"/>
    </row>
    <row r="119479" spans="1:6" x14ac:dyDescent="0.25">
      <c r="A119479"/>
      <c r="B119479"/>
      <c r="C119479"/>
      <c r="E119479"/>
      <c r="F119479"/>
    </row>
    <row r="119480" spans="1:6" x14ac:dyDescent="0.25">
      <c r="A119480"/>
      <c r="B119480"/>
      <c r="C119480"/>
      <c r="E119480"/>
      <c r="F119480"/>
    </row>
    <row r="119481" spans="1:6" x14ac:dyDescent="0.25">
      <c r="A119481"/>
      <c r="B119481"/>
      <c r="C119481"/>
      <c r="E119481"/>
      <c r="F119481"/>
    </row>
    <row r="119482" spans="1:6" x14ac:dyDescent="0.25">
      <c r="A119482"/>
      <c r="B119482"/>
      <c r="C119482"/>
      <c r="E119482"/>
      <c r="F119482"/>
    </row>
    <row r="119483" spans="1:6" x14ac:dyDescent="0.25">
      <c r="A119483"/>
      <c r="B119483"/>
      <c r="C119483"/>
      <c r="E119483"/>
      <c r="F119483"/>
    </row>
    <row r="119484" spans="1:6" x14ac:dyDescent="0.25">
      <c r="A119484"/>
      <c r="B119484"/>
      <c r="C119484"/>
      <c r="E119484"/>
      <c r="F119484"/>
    </row>
    <row r="119485" spans="1:6" x14ac:dyDescent="0.25">
      <c r="A119485"/>
      <c r="B119485"/>
      <c r="C119485"/>
      <c r="E119485"/>
      <c r="F119485"/>
    </row>
    <row r="119486" spans="1:6" x14ac:dyDescent="0.25">
      <c r="A119486"/>
      <c r="B119486"/>
      <c r="C119486"/>
      <c r="E119486"/>
      <c r="F119486"/>
    </row>
    <row r="119487" spans="1:6" x14ac:dyDescent="0.25">
      <c r="A119487"/>
      <c r="B119487"/>
      <c r="C119487"/>
      <c r="E119487"/>
      <c r="F119487"/>
    </row>
    <row r="119488" spans="1:6" x14ac:dyDescent="0.25">
      <c r="A119488"/>
      <c r="B119488"/>
      <c r="C119488"/>
      <c r="E119488"/>
      <c r="F119488"/>
    </row>
    <row r="119489" spans="1:6" x14ac:dyDescent="0.25">
      <c r="A119489"/>
      <c r="B119489"/>
      <c r="C119489"/>
      <c r="E119489"/>
      <c r="F119489"/>
    </row>
    <row r="119490" spans="1:6" x14ac:dyDescent="0.25">
      <c r="A119490"/>
      <c r="B119490"/>
      <c r="C119490"/>
      <c r="E119490"/>
      <c r="F119490"/>
    </row>
    <row r="119491" spans="1:6" x14ac:dyDescent="0.25">
      <c r="A119491"/>
      <c r="B119491"/>
      <c r="C119491"/>
      <c r="E119491"/>
      <c r="F119491"/>
    </row>
    <row r="119492" spans="1:6" x14ac:dyDescent="0.25">
      <c r="A119492"/>
      <c r="B119492"/>
      <c r="C119492"/>
      <c r="E119492"/>
      <c r="F119492"/>
    </row>
    <row r="119493" spans="1:6" x14ac:dyDescent="0.25">
      <c r="A119493"/>
      <c r="B119493"/>
      <c r="C119493"/>
      <c r="E119493"/>
      <c r="F119493"/>
    </row>
    <row r="119494" spans="1:6" x14ac:dyDescent="0.25">
      <c r="A119494"/>
      <c r="B119494"/>
      <c r="C119494"/>
      <c r="E119494"/>
      <c r="F119494"/>
    </row>
    <row r="119495" spans="1:6" x14ac:dyDescent="0.25">
      <c r="A119495"/>
      <c r="B119495"/>
      <c r="C119495"/>
      <c r="E119495"/>
      <c r="F119495"/>
    </row>
    <row r="119496" spans="1:6" x14ac:dyDescent="0.25">
      <c r="A119496"/>
      <c r="B119496"/>
      <c r="C119496"/>
      <c r="E119496"/>
      <c r="F119496"/>
    </row>
    <row r="119497" spans="1:6" x14ac:dyDescent="0.25">
      <c r="A119497"/>
      <c r="B119497"/>
      <c r="C119497"/>
      <c r="E119497"/>
      <c r="F119497"/>
    </row>
    <row r="119498" spans="1:6" x14ac:dyDescent="0.25">
      <c r="A119498"/>
      <c r="B119498"/>
      <c r="C119498"/>
      <c r="E119498"/>
      <c r="F119498"/>
    </row>
    <row r="119499" spans="1:6" x14ac:dyDescent="0.25">
      <c r="A119499"/>
      <c r="B119499"/>
      <c r="C119499"/>
      <c r="E119499"/>
      <c r="F119499"/>
    </row>
    <row r="119500" spans="1:6" x14ac:dyDescent="0.25">
      <c r="A119500"/>
      <c r="B119500"/>
      <c r="C119500"/>
      <c r="E119500"/>
      <c r="F119500"/>
    </row>
    <row r="119501" spans="1:6" x14ac:dyDescent="0.25">
      <c r="A119501"/>
      <c r="B119501"/>
      <c r="C119501"/>
      <c r="E119501"/>
      <c r="F119501"/>
    </row>
    <row r="119502" spans="1:6" x14ac:dyDescent="0.25">
      <c r="A119502"/>
      <c r="B119502"/>
      <c r="C119502"/>
      <c r="E119502"/>
      <c r="F119502"/>
    </row>
    <row r="119503" spans="1:6" x14ac:dyDescent="0.25">
      <c r="A119503"/>
      <c r="B119503"/>
      <c r="C119503"/>
      <c r="E119503"/>
      <c r="F119503"/>
    </row>
    <row r="119504" spans="1:6" x14ac:dyDescent="0.25">
      <c r="A119504"/>
      <c r="B119504"/>
      <c r="C119504"/>
      <c r="E119504"/>
      <c r="F119504"/>
    </row>
    <row r="119505" spans="1:6" x14ac:dyDescent="0.25">
      <c r="A119505"/>
      <c r="B119505"/>
      <c r="C119505"/>
      <c r="E119505"/>
      <c r="F119505"/>
    </row>
    <row r="119506" spans="1:6" x14ac:dyDescent="0.25">
      <c r="A119506"/>
      <c r="B119506"/>
      <c r="C119506"/>
      <c r="E119506"/>
      <c r="F119506"/>
    </row>
    <row r="119507" spans="1:6" x14ac:dyDescent="0.25">
      <c r="A119507"/>
      <c r="B119507"/>
      <c r="C119507"/>
      <c r="E119507"/>
      <c r="F119507"/>
    </row>
    <row r="119508" spans="1:6" x14ac:dyDescent="0.25">
      <c r="A119508"/>
      <c r="B119508"/>
      <c r="C119508"/>
      <c r="E119508"/>
      <c r="F119508"/>
    </row>
    <row r="119509" spans="1:6" x14ac:dyDescent="0.25">
      <c r="A119509"/>
      <c r="B119509"/>
      <c r="C119509"/>
      <c r="E119509"/>
      <c r="F119509"/>
    </row>
    <row r="119510" spans="1:6" x14ac:dyDescent="0.25">
      <c r="A119510"/>
      <c r="B119510"/>
      <c r="C119510"/>
      <c r="E119510"/>
      <c r="F119510"/>
    </row>
    <row r="119511" spans="1:6" x14ac:dyDescent="0.25">
      <c r="A119511"/>
      <c r="B119511"/>
      <c r="C119511"/>
      <c r="E119511"/>
      <c r="F119511"/>
    </row>
    <row r="119512" spans="1:6" x14ac:dyDescent="0.25">
      <c r="A119512"/>
      <c r="B119512"/>
      <c r="C119512"/>
      <c r="E119512"/>
      <c r="F119512"/>
    </row>
    <row r="119513" spans="1:6" x14ac:dyDescent="0.25">
      <c r="A119513"/>
      <c r="B119513"/>
      <c r="C119513"/>
      <c r="E119513"/>
      <c r="F119513"/>
    </row>
    <row r="119514" spans="1:6" x14ac:dyDescent="0.25">
      <c r="A119514"/>
      <c r="B119514"/>
      <c r="C119514"/>
      <c r="E119514"/>
      <c r="F119514"/>
    </row>
    <row r="119515" spans="1:6" x14ac:dyDescent="0.25">
      <c r="A119515"/>
      <c r="B119515"/>
      <c r="C119515"/>
      <c r="E119515"/>
      <c r="F119515"/>
    </row>
    <row r="119516" spans="1:6" x14ac:dyDescent="0.25">
      <c r="A119516"/>
      <c r="B119516"/>
      <c r="C119516"/>
      <c r="E119516"/>
      <c r="F119516"/>
    </row>
    <row r="119517" spans="1:6" x14ac:dyDescent="0.25">
      <c r="A119517"/>
      <c r="B119517"/>
      <c r="C119517"/>
      <c r="E119517"/>
      <c r="F119517"/>
    </row>
    <row r="119518" spans="1:6" x14ac:dyDescent="0.25">
      <c r="A119518"/>
      <c r="B119518"/>
      <c r="C119518"/>
      <c r="E119518"/>
      <c r="F119518"/>
    </row>
    <row r="119519" spans="1:6" x14ac:dyDescent="0.25">
      <c r="A119519"/>
      <c r="B119519"/>
      <c r="C119519"/>
      <c r="E119519"/>
      <c r="F119519"/>
    </row>
    <row r="119520" spans="1:6" x14ac:dyDescent="0.25">
      <c r="A119520"/>
      <c r="B119520"/>
      <c r="C119520"/>
      <c r="E119520"/>
      <c r="F119520"/>
    </row>
    <row r="119521" spans="1:6" x14ac:dyDescent="0.25">
      <c r="A119521"/>
      <c r="B119521"/>
      <c r="C119521"/>
      <c r="E119521"/>
      <c r="F119521"/>
    </row>
    <row r="119522" spans="1:6" x14ac:dyDescent="0.25">
      <c r="A119522"/>
      <c r="B119522"/>
      <c r="C119522"/>
      <c r="E119522"/>
      <c r="F119522"/>
    </row>
    <row r="119523" spans="1:6" x14ac:dyDescent="0.25">
      <c r="A119523"/>
      <c r="B119523"/>
      <c r="C119523"/>
      <c r="E119523"/>
      <c r="F119523"/>
    </row>
    <row r="119524" spans="1:6" x14ac:dyDescent="0.25">
      <c r="A119524"/>
      <c r="B119524"/>
      <c r="C119524"/>
      <c r="E119524"/>
      <c r="F119524"/>
    </row>
    <row r="119525" spans="1:6" x14ac:dyDescent="0.25">
      <c r="A119525"/>
      <c r="B119525"/>
      <c r="C119525"/>
      <c r="E119525"/>
      <c r="F119525"/>
    </row>
    <row r="119526" spans="1:6" x14ac:dyDescent="0.25">
      <c r="A119526"/>
      <c r="B119526"/>
      <c r="C119526"/>
      <c r="E119526"/>
      <c r="F119526"/>
    </row>
    <row r="119527" spans="1:6" x14ac:dyDescent="0.25">
      <c r="A119527"/>
      <c r="B119527"/>
      <c r="C119527"/>
      <c r="E119527"/>
      <c r="F119527"/>
    </row>
    <row r="119528" spans="1:6" x14ac:dyDescent="0.25">
      <c r="A119528"/>
      <c r="B119528"/>
      <c r="C119528"/>
      <c r="E119528"/>
      <c r="F119528"/>
    </row>
    <row r="119529" spans="1:6" x14ac:dyDescent="0.25">
      <c r="A119529"/>
      <c r="B119529"/>
      <c r="C119529"/>
      <c r="E119529"/>
      <c r="F119529"/>
    </row>
    <row r="119530" spans="1:6" x14ac:dyDescent="0.25">
      <c r="A119530"/>
      <c r="B119530"/>
      <c r="C119530"/>
      <c r="E119530"/>
      <c r="F119530"/>
    </row>
    <row r="119531" spans="1:6" x14ac:dyDescent="0.25">
      <c r="A119531"/>
      <c r="B119531"/>
      <c r="C119531"/>
      <c r="E119531"/>
      <c r="F119531"/>
    </row>
    <row r="119532" spans="1:6" x14ac:dyDescent="0.25">
      <c r="A119532"/>
      <c r="B119532"/>
      <c r="C119532"/>
      <c r="E119532"/>
      <c r="F119532"/>
    </row>
    <row r="119533" spans="1:6" x14ac:dyDescent="0.25">
      <c r="A119533"/>
      <c r="B119533"/>
      <c r="C119533"/>
      <c r="E119533"/>
      <c r="F119533"/>
    </row>
    <row r="119534" spans="1:6" x14ac:dyDescent="0.25">
      <c r="A119534"/>
      <c r="B119534"/>
      <c r="C119534"/>
      <c r="E119534"/>
      <c r="F119534"/>
    </row>
    <row r="119535" spans="1:6" x14ac:dyDescent="0.25">
      <c r="A119535"/>
      <c r="B119535"/>
      <c r="C119535"/>
      <c r="E119535"/>
      <c r="F119535"/>
    </row>
    <row r="119536" spans="1:6" x14ac:dyDescent="0.25">
      <c r="A119536"/>
      <c r="B119536"/>
      <c r="C119536"/>
      <c r="E119536"/>
      <c r="F119536"/>
    </row>
    <row r="119537" spans="1:6" x14ac:dyDescent="0.25">
      <c r="A119537"/>
      <c r="B119537"/>
      <c r="C119537"/>
      <c r="E119537"/>
      <c r="F119537"/>
    </row>
    <row r="119538" spans="1:6" x14ac:dyDescent="0.25">
      <c r="A119538"/>
      <c r="B119538"/>
      <c r="C119538"/>
      <c r="E119538"/>
      <c r="F119538"/>
    </row>
    <row r="119539" spans="1:6" x14ac:dyDescent="0.25">
      <c r="A119539"/>
      <c r="B119539"/>
      <c r="C119539"/>
      <c r="E119539"/>
      <c r="F119539"/>
    </row>
    <row r="119540" spans="1:6" x14ac:dyDescent="0.25">
      <c r="A119540"/>
      <c r="B119540"/>
      <c r="C119540"/>
      <c r="E119540"/>
      <c r="F119540"/>
    </row>
    <row r="119541" spans="1:6" x14ac:dyDescent="0.25">
      <c r="A119541"/>
      <c r="B119541"/>
      <c r="C119541"/>
      <c r="E119541"/>
      <c r="F119541"/>
    </row>
    <row r="119542" spans="1:6" x14ac:dyDescent="0.25">
      <c r="A119542"/>
      <c r="B119542"/>
      <c r="C119542"/>
      <c r="E119542"/>
      <c r="F119542"/>
    </row>
    <row r="119543" spans="1:6" x14ac:dyDescent="0.25">
      <c r="A119543"/>
      <c r="B119543"/>
      <c r="C119543"/>
      <c r="E119543"/>
      <c r="F119543"/>
    </row>
    <row r="119544" spans="1:6" x14ac:dyDescent="0.25">
      <c r="A119544"/>
      <c r="B119544"/>
      <c r="C119544"/>
      <c r="E119544"/>
      <c r="F119544"/>
    </row>
    <row r="119545" spans="1:6" x14ac:dyDescent="0.25">
      <c r="A119545"/>
      <c r="B119545"/>
      <c r="C119545"/>
      <c r="E119545"/>
      <c r="F119545"/>
    </row>
    <row r="119546" spans="1:6" x14ac:dyDescent="0.25">
      <c r="A119546"/>
      <c r="B119546"/>
      <c r="C119546"/>
      <c r="E119546"/>
      <c r="F119546"/>
    </row>
    <row r="119547" spans="1:6" x14ac:dyDescent="0.25">
      <c r="A119547"/>
      <c r="B119547"/>
      <c r="C119547"/>
      <c r="E119547"/>
      <c r="F119547"/>
    </row>
    <row r="119548" spans="1:6" x14ac:dyDescent="0.25">
      <c r="A119548"/>
      <c r="B119548"/>
      <c r="C119548"/>
      <c r="E119548"/>
      <c r="F119548"/>
    </row>
    <row r="119549" spans="1:6" x14ac:dyDescent="0.25">
      <c r="A119549"/>
      <c r="B119549"/>
      <c r="C119549"/>
      <c r="E119549"/>
      <c r="F119549"/>
    </row>
    <row r="119550" spans="1:6" x14ac:dyDescent="0.25">
      <c r="A119550"/>
      <c r="B119550"/>
      <c r="C119550"/>
      <c r="E119550"/>
      <c r="F119550"/>
    </row>
    <row r="119551" spans="1:6" x14ac:dyDescent="0.25">
      <c r="A119551"/>
      <c r="B119551"/>
      <c r="C119551"/>
      <c r="E119551"/>
      <c r="F119551"/>
    </row>
    <row r="119552" spans="1:6" x14ac:dyDescent="0.25">
      <c r="A119552"/>
      <c r="B119552"/>
      <c r="C119552"/>
      <c r="E119552"/>
      <c r="F119552"/>
    </row>
    <row r="119553" spans="1:6" x14ac:dyDescent="0.25">
      <c r="A119553"/>
      <c r="B119553"/>
      <c r="C119553"/>
      <c r="E119553"/>
      <c r="F119553"/>
    </row>
    <row r="119554" spans="1:6" x14ac:dyDescent="0.25">
      <c r="A119554"/>
      <c r="B119554"/>
      <c r="C119554"/>
      <c r="E119554"/>
      <c r="F119554"/>
    </row>
    <row r="119555" spans="1:6" x14ac:dyDescent="0.25">
      <c r="A119555"/>
      <c r="B119555"/>
      <c r="C119555"/>
      <c r="E119555"/>
      <c r="F119555"/>
    </row>
    <row r="119556" spans="1:6" x14ac:dyDescent="0.25">
      <c r="A119556"/>
      <c r="B119556"/>
      <c r="C119556"/>
      <c r="E119556"/>
      <c r="F119556"/>
    </row>
    <row r="119557" spans="1:6" x14ac:dyDescent="0.25">
      <c r="A119557"/>
      <c r="B119557"/>
      <c r="C119557"/>
      <c r="E119557"/>
      <c r="F119557"/>
    </row>
    <row r="119558" spans="1:6" x14ac:dyDescent="0.25">
      <c r="A119558"/>
      <c r="B119558"/>
      <c r="C119558"/>
      <c r="E119558"/>
      <c r="F119558"/>
    </row>
    <row r="119559" spans="1:6" x14ac:dyDescent="0.25">
      <c r="A119559"/>
      <c r="B119559"/>
      <c r="C119559"/>
      <c r="E119559"/>
      <c r="F119559"/>
    </row>
    <row r="119560" spans="1:6" x14ac:dyDescent="0.25">
      <c r="A119560"/>
      <c r="B119560"/>
      <c r="C119560"/>
      <c r="E119560"/>
      <c r="F119560"/>
    </row>
    <row r="119561" spans="1:6" x14ac:dyDescent="0.25">
      <c r="A119561"/>
      <c r="B119561"/>
      <c r="C119561"/>
      <c r="E119561"/>
      <c r="F119561"/>
    </row>
    <row r="119562" spans="1:6" x14ac:dyDescent="0.25">
      <c r="A119562"/>
      <c r="B119562"/>
      <c r="C119562"/>
      <c r="E119562"/>
      <c r="F119562"/>
    </row>
    <row r="119563" spans="1:6" x14ac:dyDescent="0.25">
      <c r="A119563"/>
      <c r="B119563"/>
      <c r="C119563"/>
      <c r="E119563"/>
      <c r="F119563"/>
    </row>
    <row r="119564" spans="1:6" x14ac:dyDescent="0.25">
      <c r="A119564"/>
      <c r="B119564"/>
      <c r="C119564"/>
      <c r="E119564"/>
      <c r="F119564"/>
    </row>
    <row r="119565" spans="1:6" x14ac:dyDescent="0.25">
      <c r="A119565"/>
      <c r="B119565"/>
      <c r="C119565"/>
      <c r="E119565"/>
      <c r="F119565"/>
    </row>
    <row r="119566" spans="1:6" x14ac:dyDescent="0.25">
      <c r="A119566"/>
      <c r="B119566"/>
      <c r="C119566"/>
      <c r="E119566"/>
      <c r="F119566"/>
    </row>
    <row r="119567" spans="1:6" x14ac:dyDescent="0.25">
      <c r="A119567"/>
      <c r="B119567"/>
      <c r="C119567"/>
      <c r="E119567"/>
      <c r="F119567"/>
    </row>
    <row r="119568" spans="1:6" x14ac:dyDescent="0.25">
      <c r="A119568"/>
      <c r="B119568"/>
      <c r="C119568"/>
      <c r="E119568"/>
      <c r="F119568"/>
    </row>
    <row r="119569" spans="1:6" x14ac:dyDescent="0.25">
      <c r="A119569"/>
      <c r="B119569"/>
      <c r="C119569"/>
      <c r="E119569"/>
      <c r="F119569"/>
    </row>
    <row r="119570" spans="1:6" x14ac:dyDescent="0.25">
      <c r="A119570"/>
      <c r="B119570"/>
      <c r="C119570"/>
      <c r="E119570"/>
      <c r="F119570"/>
    </row>
    <row r="119571" spans="1:6" x14ac:dyDescent="0.25">
      <c r="A119571"/>
      <c r="B119571"/>
      <c r="C119571"/>
      <c r="E119571"/>
      <c r="F119571"/>
    </row>
    <row r="119572" spans="1:6" x14ac:dyDescent="0.25">
      <c r="A119572"/>
      <c r="B119572"/>
      <c r="C119572"/>
      <c r="E119572"/>
      <c r="F119572"/>
    </row>
    <row r="119573" spans="1:6" x14ac:dyDescent="0.25">
      <c r="A119573"/>
      <c r="B119573"/>
      <c r="C119573"/>
      <c r="E119573"/>
      <c r="F119573"/>
    </row>
    <row r="119574" spans="1:6" x14ac:dyDescent="0.25">
      <c r="A119574"/>
      <c r="B119574"/>
      <c r="C119574"/>
      <c r="E119574"/>
      <c r="F119574"/>
    </row>
    <row r="119575" spans="1:6" x14ac:dyDescent="0.25">
      <c r="A119575"/>
      <c r="B119575"/>
      <c r="C119575"/>
      <c r="E119575"/>
      <c r="F119575"/>
    </row>
    <row r="119576" spans="1:6" x14ac:dyDescent="0.25">
      <c r="A119576"/>
      <c r="B119576"/>
      <c r="C119576"/>
      <c r="E119576"/>
      <c r="F119576"/>
    </row>
    <row r="119577" spans="1:6" x14ac:dyDescent="0.25">
      <c r="A119577"/>
      <c r="B119577"/>
      <c r="C119577"/>
      <c r="E119577"/>
      <c r="F119577"/>
    </row>
    <row r="119578" spans="1:6" x14ac:dyDescent="0.25">
      <c r="A119578"/>
      <c r="B119578"/>
      <c r="C119578"/>
      <c r="E119578"/>
      <c r="F119578"/>
    </row>
    <row r="119579" spans="1:6" x14ac:dyDescent="0.25">
      <c r="A119579"/>
      <c r="B119579"/>
      <c r="C119579"/>
      <c r="E119579"/>
      <c r="F119579"/>
    </row>
    <row r="119580" spans="1:6" x14ac:dyDescent="0.25">
      <c r="A119580"/>
      <c r="B119580"/>
      <c r="C119580"/>
      <c r="E119580"/>
      <c r="F119580"/>
    </row>
    <row r="119581" spans="1:6" x14ac:dyDescent="0.25">
      <c r="A119581"/>
      <c r="B119581"/>
      <c r="C119581"/>
      <c r="E119581"/>
      <c r="F119581"/>
    </row>
    <row r="119582" spans="1:6" x14ac:dyDescent="0.25">
      <c r="A119582"/>
      <c r="B119582"/>
      <c r="C119582"/>
      <c r="E119582"/>
      <c r="F119582"/>
    </row>
    <row r="119583" spans="1:6" x14ac:dyDescent="0.25">
      <c r="A119583"/>
      <c r="B119583"/>
      <c r="C119583"/>
      <c r="E119583"/>
      <c r="F119583"/>
    </row>
    <row r="119584" spans="1:6" x14ac:dyDescent="0.25">
      <c r="A119584"/>
      <c r="B119584"/>
      <c r="C119584"/>
      <c r="E119584"/>
      <c r="F119584"/>
    </row>
    <row r="119585" spans="1:6" x14ac:dyDescent="0.25">
      <c r="A119585"/>
      <c r="B119585"/>
      <c r="C119585"/>
      <c r="E119585"/>
      <c r="F119585"/>
    </row>
    <row r="119586" spans="1:6" x14ac:dyDescent="0.25">
      <c r="A119586"/>
      <c r="B119586"/>
      <c r="C119586"/>
      <c r="E119586"/>
      <c r="F119586"/>
    </row>
    <row r="119587" spans="1:6" x14ac:dyDescent="0.25">
      <c r="A119587"/>
      <c r="B119587"/>
      <c r="C119587"/>
      <c r="E119587"/>
      <c r="F119587"/>
    </row>
    <row r="119588" spans="1:6" x14ac:dyDescent="0.25">
      <c r="A119588"/>
      <c r="B119588"/>
      <c r="C119588"/>
      <c r="E119588"/>
      <c r="F119588"/>
    </row>
    <row r="119589" spans="1:6" x14ac:dyDescent="0.25">
      <c r="A119589"/>
      <c r="B119589"/>
      <c r="C119589"/>
      <c r="E119589"/>
      <c r="F119589"/>
    </row>
    <row r="119590" spans="1:6" x14ac:dyDescent="0.25">
      <c r="A119590"/>
      <c r="B119590"/>
      <c r="C119590"/>
      <c r="E119590"/>
      <c r="F119590"/>
    </row>
    <row r="119591" spans="1:6" x14ac:dyDescent="0.25">
      <c r="A119591"/>
      <c r="B119591"/>
      <c r="C119591"/>
      <c r="E119591"/>
      <c r="F119591"/>
    </row>
    <row r="119592" spans="1:6" x14ac:dyDescent="0.25">
      <c r="A119592"/>
      <c r="B119592"/>
      <c r="C119592"/>
      <c r="E119592"/>
      <c r="F119592"/>
    </row>
    <row r="119593" spans="1:6" x14ac:dyDescent="0.25">
      <c r="A119593"/>
      <c r="B119593"/>
      <c r="C119593"/>
      <c r="E119593"/>
      <c r="F119593"/>
    </row>
    <row r="119594" spans="1:6" x14ac:dyDescent="0.25">
      <c r="A119594"/>
      <c r="B119594"/>
      <c r="C119594"/>
      <c r="E119594"/>
      <c r="F119594"/>
    </row>
    <row r="119595" spans="1:6" x14ac:dyDescent="0.25">
      <c r="A119595"/>
      <c r="B119595"/>
      <c r="C119595"/>
      <c r="E119595"/>
      <c r="F119595"/>
    </row>
    <row r="119596" spans="1:6" x14ac:dyDescent="0.25">
      <c r="A119596"/>
      <c r="B119596"/>
      <c r="C119596"/>
      <c r="E119596"/>
      <c r="F119596"/>
    </row>
    <row r="119597" spans="1:6" x14ac:dyDescent="0.25">
      <c r="A119597"/>
      <c r="B119597"/>
      <c r="C119597"/>
      <c r="E119597"/>
      <c r="F119597"/>
    </row>
    <row r="119598" spans="1:6" x14ac:dyDescent="0.25">
      <c r="A119598"/>
      <c r="B119598"/>
      <c r="C119598"/>
      <c r="E119598"/>
      <c r="F119598"/>
    </row>
    <row r="119599" spans="1:6" x14ac:dyDescent="0.25">
      <c r="A119599"/>
      <c r="B119599"/>
      <c r="C119599"/>
      <c r="E119599"/>
      <c r="F119599"/>
    </row>
    <row r="119600" spans="1:6" x14ac:dyDescent="0.25">
      <c r="A119600"/>
      <c r="B119600"/>
      <c r="C119600"/>
      <c r="E119600"/>
      <c r="F119600"/>
    </row>
    <row r="119601" spans="1:6" x14ac:dyDescent="0.25">
      <c r="A119601"/>
      <c r="B119601"/>
      <c r="C119601"/>
      <c r="E119601"/>
      <c r="F119601"/>
    </row>
    <row r="119602" spans="1:6" x14ac:dyDescent="0.25">
      <c r="A119602"/>
      <c r="B119602"/>
      <c r="C119602"/>
      <c r="E119602"/>
      <c r="F119602"/>
    </row>
    <row r="119603" spans="1:6" x14ac:dyDescent="0.25">
      <c r="A119603"/>
      <c r="B119603"/>
      <c r="C119603"/>
      <c r="E119603"/>
      <c r="F119603"/>
    </row>
    <row r="119604" spans="1:6" x14ac:dyDescent="0.25">
      <c r="A119604"/>
      <c r="B119604"/>
      <c r="C119604"/>
      <c r="E119604"/>
      <c r="F119604"/>
    </row>
    <row r="119605" spans="1:6" x14ac:dyDescent="0.25">
      <c r="A119605"/>
      <c r="B119605"/>
      <c r="C119605"/>
      <c r="E119605"/>
      <c r="F119605"/>
    </row>
    <row r="119606" spans="1:6" x14ac:dyDescent="0.25">
      <c r="A119606"/>
      <c r="B119606"/>
      <c r="C119606"/>
      <c r="E119606"/>
      <c r="F119606"/>
    </row>
    <row r="119607" spans="1:6" x14ac:dyDescent="0.25">
      <c r="A119607"/>
      <c r="B119607"/>
      <c r="C119607"/>
      <c r="E119607"/>
      <c r="F119607"/>
    </row>
    <row r="119608" spans="1:6" x14ac:dyDescent="0.25">
      <c r="A119608"/>
      <c r="B119608"/>
      <c r="C119608"/>
      <c r="E119608"/>
      <c r="F119608"/>
    </row>
    <row r="119609" spans="1:6" x14ac:dyDescent="0.25">
      <c r="A119609"/>
      <c r="B119609"/>
      <c r="C119609"/>
      <c r="E119609"/>
      <c r="F119609"/>
    </row>
    <row r="119610" spans="1:6" x14ac:dyDescent="0.25">
      <c r="A119610"/>
      <c r="B119610"/>
      <c r="C119610"/>
      <c r="E119610"/>
      <c r="F119610"/>
    </row>
    <row r="119611" spans="1:6" x14ac:dyDescent="0.25">
      <c r="A119611"/>
      <c r="B119611"/>
      <c r="C119611"/>
      <c r="E119611"/>
      <c r="F119611"/>
    </row>
    <row r="119612" spans="1:6" x14ac:dyDescent="0.25">
      <c r="A119612"/>
      <c r="B119612"/>
      <c r="C119612"/>
      <c r="E119612"/>
      <c r="F119612"/>
    </row>
    <row r="119613" spans="1:6" x14ac:dyDescent="0.25">
      <c r="A119613"/>
      <c r="B119613"/>
      <c r="C119613"/>
      <c r="E119613"/>
      <c r="F119613"/>
    </row>
    <row r="119614" spans="1:6" x14ac:dyDescent="0.25">
      <c r="A119614"/>
      <c r="B119614"/>
      <c r="C119614"/>
      <c r="E119614"/>
      <c r="F119614"/>
    </row>
    <row r="119615" spans="1:6" x14ac:dyDescent="0.25">
      <c r="A119615"/>
      <c r="B119615"/>
      <c r="C119615"/>
      <c r="E119615"/>
      <c r="F119615"/>
    </row>
    <row r="119616" spans="1:6" x14ac:dyDescent="0.25">
      <c r="A119616"/>
      <c r="B119616"/>
      <c r="C119616"/>
      <c r="E119616"/>
      <c r="F119616"/>
    </row>
    <row r="119617" spans="1:6" x14ac:dyDescent="0.25">
      <c r="A119617"/>
      <c r="B119617"/>
      <c r="C119617"/>
      <c r="E119617"/>
      <c r="F119617"/>
    </row>
    <row r="119618" spans="1:6" x14ac:dyDescent="0.25">
      <c r="A119618"/>
      <c r="B119618"/>
      <c r="C119618"/>
      <c r="E119618"/>
      <c r="F119618"/>
    </row>
    <row r="119619" spans="1:6" x14ac:dyDescent="0.25">
      <c r="A119619"/>
      <c r="B119619"/>
      <c r="C119619"/>
      <c r="E119619"/>
      <c r="F119619"/>
    </row>
    <row r="119620" spans="1:6" x14ac:dyDescent="0.25">
      <c r="A119620"/>
      <c r="B119620"/>
      <c r="C119620"/>
      <c r="E119620"/>
      <c r="F119620"/>
    </row>
    <row r="119621" spans="1:6" x14ac:dyDescent="0.25">
      <c r="A119621"/>
      <c r="B119621"/>
      <c r="C119621"/>
      <c r="E119621"/>
      <c r="F119621"/>
    </row>
    <row r="119622" spans="1:6" x14ac:dyDescent="0.25">
      <c r="A119622"/>
      <c r="B119622"/>
      <c r="C119622"/>
      <c r="E119622"/>
      <c r="F119622"/>
    </row>
    <row r="119623" spans="1:6" x14ac:dyDescent="0.25">
      <c r="A119623"/>
      <c r="B119623"/>
      <c r="C119623"/>
      <c r="E119623"/>
      <c r="F119623"/>
    </row>
    <row r="119624" spans="1:6" x14ac:dyDescent="0.25">
      <c r="A119624"/>
      <c r="B119624"/>
      <c r="C119624"/>
      <c r="E119624"/>
      <c r="F119624"/>
    </row>
    <row r="119625" spans="1:6" x14ac:dyDescent="0.25">
      <c r="A119625"/>
      <c r="B119625"/>
      <c r="C119625"/>
      <c r="E119625"/>
      <c r="F119625"/>
    </row>
    <row r="119626" spans="1:6" x14ac:dyDescent="0.25">
      <c r="A119626"/>
      <c r="B119626"/>
      <c r="C119626"/>
      <c r="E119626"/>
      <c r="F119626"/>
    </row>
    <row r="119627" spans="1:6" x14ac:dyDescent="0.25">
      <c r="A119627"/>
      <c r="B119627"/>
      <c r="C119627"/>
      <c r="E119627"/>
      <c r="F119627"/>
    </row>
    <row r="119628" spans="1:6" x14ac:dyDescent="0.25">
      <c r="A119628"/>
      <c r="B119628"/>
      <c r="C119628"/>
      <c r="E119628"/>
      <c r="F119628"/>
    </row>
    <row r="119629" spans="1:6" x14ac:dyDescent="0.25">
      <c r="A119629"/>
      <c r="B119629"/>
      <c r="C119629"/>
      <c r="E119629"/>
      <c r="F119629"/>
    </row>
    <row r="119630" spans="1:6" x14ac:dyDescent="0.25">
      <c r="A119630"/>
      <c r="B119630"/>
      <c r="C119630"/>
      <c r="E119630"/>
      <c r="F119630"/>
    </row>
    <row r="119631" spans="1:6" x14ac:dyDescent="0.25">
      <c r="A119631"/>
      <c r="B119631"/>
      <c r="C119631"/>
      <c r="E119631"/>
      <c r="F119631"/>
    </row>
    <row r="119632" spans="1:6" x14ac:dyDescent="0.25">
      <c r="A119632"/>
      <c r="B119632"/>
      <c r="C119632"/>
      <c r="E119632"/>
      <c r="F119632"/>
    </row>
    <row r="119633" spans="1:6" x14ac:dyDescent="0.25">
      <c r="A119633"/>
      <c r="B119633"/>
      <c r="C119633"/>
      <c r="E119633"/>
      <c r="F119633"/>
    </row>
    <row r="119634" spans="1:6" x14ac:dyDescent="0.25">
      <c r="A119634"/>
      <c r="B119634"/>
      <c r="C119634"/>
      <c r="E119634"/>
      <c r="F119634"/>
    </row>
    <row r="119635" spans="1:6" x14ac:dyDescent="0.25">
      <c r="A119635"/>
      <c r="B119635"/>
      <c r="C119635"/>
      <c r="E119635"/>
      <c r="F119635"/>
    </row>
    <row r="119636" spans="1:6" x14ac:dyDescent="0.25">
      <c r="A119636"/>
      <c r="B119636"/>
      <c r="C119636"/>
      <c r="E119636"/>
      <c r="F119636"/>
    </row>
    <row r="119637" spans="1:6" x14ac:dyDescent="0.25">
      <c r="A119637"/>
      <c r="B119637"/>
      <c r="C119637"/>
      <c r="E119637"/>
      <c r="F119637"/>
    </row>
    <row r="119638" spans="1:6" x14ac:dyDescent="0.25">
      <c r="A119638"/>
      <c r="B119638"/>
      <c r="C119638"/>
      <c r="E119638"/>
      <c r="F119638"/>
    </row>
    <row r="119639" spans="1:6" x14ac:dyDescent="0.25">
      <c r="A119639"/>
      <c r="B119639"/>
      <c r="C119639"/>
      <c r="E119639"/>
      <c r="F119639"/>
    </row>
    <row r="119640" spans="1:6" x14ac:dyDescent="0.25">
      <c r="A119640"/>
      <c r="B119640"/>
      <c r="C119640"/>
      <c r="E119640"/>
      <c r="F119640"/>
    </row>
    <row r="119641" spans="1:6" x14ac:dyDescent="0.25">
      <c r="A119641"/>
      <c r="B119641"/>
      <c r="C119641"/>
      <c r="E119641"/>
      <c r="F119641"/>
    </row>
    <row r="119642" spans="1:6" x14ac:dyDescent="0.25">
      <c r="A119642"/>
      <c r="B119642"/>
      <c r="C119642"/>
      <c r="E119642"/>
      <c r="F119642"/>
    </row>
    <row r="119643" spans="1:6" x14ac:dyDescent="0.25">
      <c r="A119643"/>
      <c r="B119643"/>
      <c r="C119643"/>
      <c r="E119643"/>
      <c r="F119643"/>
    </row>
    <row r="119644" spans="1:6" x14ac:dyDescent="0.25">
      <c r="A119644"/>
      <c r="B119644"/>
      <c r="C119644"/>
      <c r="E119644"/>
      <c r="F119644"/>
    </row>
    <row r="119645" spans="1:6" x14ac:dyDescent="0.25">
      <c r="A119645"/>
      <c r="B119645"/>
      <c r="C119645"/>
      <c r="E119645"/>
      <c r="F119645"/>
    </row>
    <row r="119646" spans="1:6" x14ac:dyDescent="0.25">
      <c r="A119646"/>
      <c r="B119646"/>
      <c r="C119646"/>
      <c r="E119646"/>
      <c r="F119646"/>
    </row>
    <row r="119647" spans="1:6" x14ac:dyDescent="0.25">
      <c r="A119647"/>
      <c r="B119647"/>
      <c r="C119647"/>
      <c r="E119647"/>
      <c r="F119647"/>
    </row>
    <row r="119648" spans="1:6" x14ac:dyDescent="0.25">
      <c r="A119648"/>
      <c r="B119648"/>
      <c r="C119648"/>
      <c r="E119648"/>
      <c r="F119648"/>
    </row>
    <row r="119649" spans="1:6" x14ac:dyDescent="0.25">
      <c r="A119649"/>
      <c r="B119649"/>
      <c r="C119649"/>
      <c r="E119649"/>
      <c r="F119649"/>
    </row>
    <row r="119650" spans="1:6" x14ac:dyDescent="0.25">
      <c r="A119650"/>
      <c r="B119650"/>
      <c r="C119650"/>
      <c r="E119650"/>
      <c r="F119650"/>
    </row>
    <row r="119651" spans="1:6" x14ac:dyDescent="0.25">
      <c r="A119651"/>
      <c r="B119651"/>
      <c r="C119651"/>
      <c r="E119651"/>
      <c r="F119651"/>
    </row>
    <row r="119652" spans="1:6" x14ac:dyDescent="0.25">
      <c r="A119652"/>
      <c r="B119652"/>
      <c r="C119652"/>
      <c r="E119652"/>
      <c r="F119652"/>
    </row>
    <row r="119653" spans="1:6" x14ac:dyDescent="0.25">
      <c r="A119653"/>
      <c r="B119653"/>
      <c r="C119653"/>
      <c r="E119653"/>
      <c r="F119653"/>
    </row>
    <row r="119654" spans="1:6" x14ac:dyDescent="0.25">
      <c r="A119654"/>
      <c r="B119654"/>
      <c r="C119654"/>
      <c r="E119654"/>
      <c r="F119654"/>
    </row>
    <row r="119655" spans="1:6" x14ac:dyDescent="0.25">
      <c r="A119655"/>
      <c r="B119655"/>
      <c r="C119655"/>
      <c r="E119655"/>
      <c r="F119655"/>
    </row>
    <row r="119656" spans="1:6" x14ac:dyDescent="0.25">
      <c r="A119656"/>
      <c r="B119656"/>
      <c r="C119656"/>
      <c r="E119656"/>
      <c r="F119656"/>
    </row>
    <row r="119657" spans="1:6" x14ac:dyDescent="0.25">
      <c r="A119657"/>
      <c r="B119657"/>
      <c r="C119657"/>
      <c r="E119657"/>
      <c r="F119657"/>
    </row>
    <row r="119658" spans="1:6" x14ac:dyDescent="0.25">
      <c r="A119658"/>
      <c r="B119658"/>
      <c r="C119658"/>
      <c r="E119658"/>
      <c r="F119658"/>
    </row>
    <row r="119659" spans="1:6" x14ac:dyDescent="0.25">
      <c r="A119659"/>
      <c r="B119659"/>
      <c r="C119659"/>
      <c r="E119659"/>
      <c r="F119659"/>
    </row>
    <row r="119660" spans="1:6" x14ac:dyDescent="0.25">
      <c r="A119660"/>
      <c r="B119660"/>
      <c r="C119660"/>
      <c r="E119660"/>
      <c r="F119660"/>
    </row>
    <row r="119661" spans="1:6" x14ac:dyDescent="0.25">
      <c r="A119661"/>
      <c r="B119661"/>
      <c r="C119661"/>
      <c r="E119661"/>
      <c r="F119661"/>
    </row>
    <row r="119662" spans="1:6" x14ac:dyDescent="0.25">
      <c r="A119662"/>
      <c r="B119662"/>
      <c r="C119662"/>
      <c r="E119662"/>
      <c r="F119662"/>
    </row>
    <row r="119663" spans="1:6" x14ac:dyDescent="0.25">
      <c r="A119663"/>
      <c r="B119663"/>
      <c r="C119663"/>
      <c r="E119663"/>
      <c r="F119663"/>
    </row>
    <row r="119664" spans="1:6" x14ac:dyDescent="0.25">
      <c r="A119664"/>
      <c r="B119664"/>
      <c r="C119664"/>
      <c r="E119664"/>
      <c r="F119664"/>
    </row>
    <row r="119665" spans="1:6" x14ac:dyDescent="0.25">
      <c r="A119665"/>
      <c r="B119665"/>
      <c r="C119665"/>
      <c r="E119665"/>
      <c r="F119665"/>
    </row>
    <row r="119666" spans="1:6" x14ac:dyDescent="0.25">
      <c r="A119666"/>
      <c r="B119666"/>
      <c r="C119666"/>
      <c r="E119666"/>
      <c r="F119666"/>
    </row>
    <row r="119667" spans="1:6" x14ac:dyDescent="0.25">
      <c r="A119667"/>
      <c r="B119667"/>
      <c r="C119667"/>
      <c r="E119667"/>
      <c r="F119667"/>
    </row>
    <row r="119668" spans="1:6" x14ac:dyDescent="0.25">
      <c r="A119668"/>
      <c r="B119668"/>
      <c r="C119668"/>
      <c r="E119668"/>
      <c r="F119668"/>
    </row>
    <row r="119669" spans="1:6" x14ac:dyDescent="0.25">
      <c r="A119669"/>
      <c r="B119669"/>
      <c r="C119669"/>
      <c r="E119669"/>
      <c r="F119669"/>
    </row>
    <row r="119670" spans="1:6" x14ac:dyDescent="0.25">
      <c r="A119670"/>
      <c r="B119670"/>
      <c r="C119670"/>
      <c r="E119670"/>
      <c r="F119670"/>
    </row>
    <row r="119671" spans="1:6" x14ac:dyDescent="0.25">
      <c r="A119671"/>
      <c r="B119671"/>
      <c r="C119671"/>
      <c r="E119671"/>
      <c r="F119671"/>
    </row>
    <row r="119672" spans="1:6" x14ac:dyDescent="0.25">
      <c r="A119672"/>
      <c r="B119672"/>
      <c r="C119672"/>
      <c r="E119672"/>
      <c r="F119672"/>
    </row>
    <row r="119673" spans="1:6" x14ac:dyDescent="0.25">
      <c r="A119673"/>
      <c r="B119673"/>
      <c r="C119673"/>
      <c r="E119673"/>
      <c r="F119673"/>
    </row>
    <row r="119674" spans="1:6" x14ac:dyDescent="0.25">
      <c r="A119674"/>
      <c r="B119674"/>
      <c r="C119674"/>
      <c r="E119674"/>
      <c r="F119674"/>
    </row>
    <row r="119675" spans="1:6" x14ac:dyDescent="0.25">
      <c r="A119675"/>
      <c r="B119675"/>
      <c r="C119675"/>
      <c r="E119675"/>
      <c r="F119675"/>
    </row>
    <row r="119676" spans="1:6" x14ac:dyDescent="0.25">
      <c r="A119676"/>
      <c r="B119676"/>
      <c r="C119676"/>
      <c r="E119676"/>
      <c r="F119676"/>
    </row>
    <row r="119677" spans="1:6" x14ac:dyDescent="0.25">
      <c r="A119677"/>
      <c r="B119677"/>
      <c r="C119677"/>
      <c r="E119677"/>
      <c r="F119677"/>
    </row>
    <row r="119678" spans="1:6" x14ac:dyDescent="0.25">
      <c r="A119678"/>
      <c r="B119678"/>
      <c r="C119678"/>
      <c r="E119678"/>
      <c r="F119678"/>
    </row>
    <row r="119679" spans="1:6" x14ac:dyDescent="0.25">
      <c r="A119679"/>
      <c r="B119679"/>
      <c r="C119679"/>
      <c r="E119679"/>
      <c r="F119679"/>
    </row>
    <row r="119680" spans="1:6" x14ac:dyDescent="0.25">
      <c r="A119680"/>
      <c r="B119680"/>
      <c r="C119680"/>
      <c r="E119680"/>
      <c r="F119680"/>
    </row>
    <row r="119681" spans="1:6" x14ac:dyDescent="0.25">
      <c r="A119681"/>
      <c r="B119681"/>
      <c r="C119681"/>
      <c r="E119681"/>
      <c r="F119681"/>
    </row>
    <row r="119682" spans="1:6" x14ac:dyDescent="0.25">
      <c r="A119682"/>
      <c r="B119682"/>
      <c r="C119682"/>
      <c r="E119682"/>
      <c r="F119682"/>
    </row>
    <row r="119683" spans="1:6" x14ac:dyDescent="0.25">
      <c r="A119683"/>
      <c r="B119683"/>
      <c r="C119683"/>
      <c r="E119683"/>
      <c r="F119683"/>
    </row>
    <row r="119684" spans="1:6" x14ac:dyDescent="0.25">
      <c r="A119684"/>
      <c r="B119684"/>
      <c r="C119684"/>
      <c r="E119684"/>
      <c r="F119684"/>
    </row>
    <row r="119685" spans="1:6" x14ac:dyDescent="0.25">
      <c r="A119685"/>
      <c r="B119685"/>
      <c r="C119685"/>
      <c r="E119685"/>
      <c r="F119685"/>
    </row>
    <row r="119686" spans="1:6" x14ac:dyDescent="0.25">
      <c r="A119686"/>
      <c r="B119686"/>
      <c r="C119686"/>
      <c r="E119686"/>
      <c r="F119686"/>
    </row>
    <row r="119687" spans="1:6" x14ac:dyDescent="0.25">
      <c r="A119687"/>
      <c r="B119687"/>
      <c r="C119687"/>
      <c r="E119687"/>
      <c r="F119687"/>
    </row>
    <row r="119688" spans="1:6" x14ac:dyDescent="0.25">
      <c r="A119688"/>
      <c r="B119688"/>
      <c r="C119688"/>
      <c r="E119688"/>
      <c r="F119688"/>
    </row>
    <row r="119689" spans="1:6" x14ac:dyDescent="0.25">
      <c r="A119689"/>
      <c r="B119689"/>
      <c r="C119689"/>
      <c r="E119689"/>
      <c r="F119689"/>
    </row>
    <row r="119690" spans="1:6" x14ac:dyDescent="0.25">
      <c r="A119690"/>
      <c r="B119690"/>
      <c r="C119690"/>
      <c r="E119690"/>
      <c r="F119690"/>
    </row>
    <row r="119691" spans="1:6" x14ac:dyDescent="0.25">
      <c r="A119691"/>
      <c r="B119691"/>
      <c r="C119691"/>
      <c r="E119691"/>
      <c r="F119691"/>
    </row>
    <row r="119692" spans="1:6" x14ac:dyDescent="0.25">
      <c r="A119692"/>
      <c r="B119692"/>
      <c r="C119692"/>
      <c r="E119692"/>
      <c r="F119692"/>
    </row>
    <row r="119693" spans="1:6" x14ac:dyDescent="0.25">
      <c r="A119693"/>
      <c r="B119693"/>
      <c r="C119693"/>
      <c r="E119693"/>
      <c r="F119693"/>
    </row>
    <row r="119694" spans="1:6" x14ac:dyDescent="0.25">
      <c r="A119694"/>
      <c r="B119694"/>
      <c r="C119694"/>
      <c r="E119694"/>
      <c r="F119694"/>
    </row>
    <row r="119695" spans="1:6" x14ac:dyDescent="0.25">
      <c r="A119695"/>
      <c r="B119695"/>
      <c r="C119695"/>
      <c r="E119695"/>
      <c r="F119695"/>
    </row>
    <row r="119696" spans="1:6" x14ac:dyDescent="0.25">
      <c r="A119696"/>
      <c r="B119696"/>
      <c r="C119696"/>
      <c r="E119696"/>
      <c r="F119696"/>
    </row>
    <row r="119697" spans="1:6" x14ac:dyDescent="0.25">
      <c r="A119697"/>
      <c r="B119697"/>
      <c r="C119697"/>
      <c r="E119697"/>
      <c r="F119697"/>
    </row>
    <row r="119698" spans="1:6" x14ac:dyDescent="0.25">
      <c r="A119698"/>
      <c r="B119698"/>
      <c r="C119698"/>
      <c r="E119698"/>
      <c r="F119698"/>
    </row>
    <row r="119699" spans="1:6" x14ac:dyDescent="0.25">
      <c r="A119699"/>
      <c r="B119699"/>
      <c r="C119699"/>
      <c r="E119699"/>
      <c r="F119699"/>
    </row>
    <row r="119700" spans="1:6" x14ac:dyDescent="0.25">
      <c r="A119700"/>
      <c r="B119700"/>
      <c r="C119700"/>
      <c r="E119700"/>
      <c r="F119700"/>
    </row>
    <row r="119701" spans="1:6" x14ac:dyDescent="0.25">
      <c r="A119701"/>
      <c r="B119701"/>
      <c r="C119701"/>
      <c r="E119701"/>
      <c r="F119701"/>
    </row>
    <row r="119702" spans="1:6" x14ac:dyDescent="0.25">
      <c r="A119702"/>
      <c r="B119702"/>
      <c r="C119702"/>
      <c r="E119702"/>
      <c r="F119702"/>
    </row>
    <row r="119703" spans="1:6" x14ac:dyDescent="0.25">
      <c r="A119703"/>
      <c r="B119703"/>
      <c r="C119703"/>
      <c r="E119703"/>
      <c r="F119703"/>
    </row>
    <row r="119704" spans="1:6" x14ac:dyDescent="0.25">
      <c r="A119704"/>
      <c r="B119704"/>
      <c r="C119704"/>
      <c r="E119704"/>
      <c r="F119704"/>
    </row>
    <row r="119705" spans="1:6" x14ac:dyDescent="0.25">
      <c r="A119705"/>
      <c r="B119705"/>
      <c r="C119705"/>
      <c r="E119705"/>
      <c r="F119705"/>
    </row>
    <row r="119706" spans="1:6" x14ac:dyDescent="0.25">
      <c r="A119706"/>
      <c r="B119706"/>
      <c r="C119706"/>
      <c r="E119706"/>
      <c r="F119706"/>
    </row>
    <row r="119707" spans="1:6" x14ac:dyDescent="0.25">
      <c r="A119707"/>
      <c r="B119707"/>
      <c r="C119707"/>
      <c r="E119707"/>
      <c r="F119707"/>
    </row>
    <row r="119708" spans="1:6" x14ac:dyDescent="0.25">
      <c r="A119708"/>
      <c r="B119708"/>
      <c r="C119708"/>
      <c r="E119708"/>
      <c r="F119708"/>
    </row>
    <row r="119709" spans="1:6" x14ac:dyDescent="0.25">
      <c r="A119709"/>
      <c r="B119709"/>
      <c r="C119709"/>
      <c r="E119709"/>
      <c r="F119709"/>
    </row>
    <row r="119710" spans="1:6" x14ac:dyDescent="0.25">
      <c r="A119710"/>
      <c r="B119710"/>
      <c r="C119710"/>
      <c r="E119710"/>
      <c r="F119710"/>
    </row>
    <row r="119711" spans="1:6" x14ac:dyDescent="0.25">
      <c r="A119711"/>
      <c r="B119711"/>
      <c r="C119711"/>
      <c r="E119711"/>
      <c r="F119711"/>
    </row>
    <row r="119712" spans="1:6" x14ac:dyDescent="0.25">
      <c r="A119712"/>
      <c r="B119712"/>
      <c r="C119712"/>
      <c r="E119712"/>
      <c r="F119712"/>
    </row>
    <row r="119713" spans="1:6" x14ac:dyDescent="0.25">
      <c r="A119713"/>
      <c r="B119713"/>
      <c r="C119713"/>
      <c r="E119713"/>
      <c r="F119713"/>
    </row>
    <row r="119714" spans="1:6" x14ac:dyDescent="0.25">
      <c r="A119714"/>
      <c r="B119714"/>
      <c r="C119714"/>
      <c r="E119714"/>
      <c r="F119714"/>
    </row>
    <row r="119715" spans="1:6" x14ac:dyDescent="0.25">
      <c r="A119715"/>
      <c r="B119715"/>
      <c r="C119715"/>
      <c r="E119715"/>
      <c r="F119715"/>
    </row>
    <row r="119716" spans="1:6" x14ac:dyDescent="0.25">
      <c r="A119716"/>
      <c r="B119716"/>
      <c r="C119716"/>
      <c r="E119716"/>
      <c r="F119716"/>
    </row>
    <row r="119717" spans="1:6" x14ac:dyDescent="0.25">
      <c r="A119717"/>
      <c r="B119717"/>
      <c r="C119717"/>
      <c r="E119717"/>
      <c r="F119717"/>
    </row>
    <row r="119718" spans="1:6" x14ac:dyDescent="0.25">
      <c r="A119718"/>
      <c r="B119718"/>
      <c r="C119718"/>
      <c r="E119718"/>
      <c r="F119718"/>
    </row>
    <row r="119719" spans="1:6" x14ac:dyDescent="0.25">
      <c r="A119719"/>
      <c r="B119719"/>
      <c r="C119719"/>
      <c r="E119719"/>
      <c r="F119719"/>
    </row>
    <row r="119720" spans="1:6" x14ac:dyDescent="0.25">
      <c r="A119720"/>
      <c r="B119720"/>
      <c r="C119720"/>
      <c r="E119720"/>
      <c r="F119720"/>
    </row>
    <row r="119721" spans="1:6" x14ac:dyDescent="0.25">
      <c r="A119721"/>
      <c r="B119721"/>
      <c r="C119721"/>
      <c r="E119721"/>
      <c r="F119721"/>
    </row>
    <row r="119722" spans="1:6" x14ac:dyDescent="0.25">
      <c r="A119722"/>
      <c r="B119722"/>
      <c r="C119722"/>
      <c r="E119722"/>
      <c r="F119722"/>
    </row>
    <row r="119723" spans="1:6" x14ac:dyDescent="0.25">
      <c r="A119723"/>
      <c r="B119723"/>
      <c r="C119723"/>
      <c r="E119723"/>
      <c r="F119723"/>
    </row>
    <row r="119724" spans="1:6" x14ac:dyDescent="0.25">
      <c r="A119724"/>
      <c r="B119724"/>
      <c r="C119724"/>
      <c r="E119724"/>
      <c r="F119724"/>
    </row>
    <row r="119725" spans="1:6" x14ac:dyDescent="0.25">
      <c r="A119725"/>
      <c r="B119725"/>
      <c r="C119725"/>
      <c r="E119725"/>
      <c r="F119725"/>
    </row>
    <row r="119726" spans="1:6" x14ac:dyDescent="0.25">
      <c r="A119726"/>
      <c r="B119726"/>
      <c r="C119726"/>
      <c r="E119726"/>
      <c r="F119726"/>
    </row>
    <row r="119727" spans="1:6" x14ac:dyDescent="0.25">
      <c r="A119727"/>
      <c r="B119727"/>
      <c r="C119727"/>
      <c r="E119727"/>
      <c r="F119727"/>
    </row>
    <row r="119728" spans="1:6" x14ac:dyDescent="0.25">
      <c r="A119728"/>
      <c r="B119728"/>
      <c r="C119728"/>
      <c r="E119728"/>
      <c r="F119728"/>
    </row>
    <row r="119729" spans="1:6" x14ac:dyDescent="0.25">
      <c r="A119729"/>
      <c r="B119729"/>
      <c r="C119729"/>
      <c r="E119729"/>
      <c r="F119729"/>
    </row>
    <row r="119730" spans="1:6" x14ac:dyDescent="0.25">
      <c r="A119730"/>
      <c r="B119730"/>
      <c r="C119730"/>
      <c r="E119730"/>
      <c r="F119730"/>
    </row>
    <row r="119731" spans="1:6" x14ac:dyDescent="0.25">
      <c r="A119731"/>
      <c r="B119731"/>
      <c r="C119731"/>
      <c r="E119731"/>
      <c r="F119731"/>
    </row>
    <row r="119732" spans="1:6" x14ac:dyDescent="0.25">
      <c r="A119732"/>
      <c r="B119732"/>
      <c r="C119732"/>
      <c r="E119732"/>
      <c r="F119732"/>
    </row>
    <row r="119733" spans="1:6" x14ac:dyDescent="0.25">
      <c r="A119733"/>
      <c r="B119733"/>
      <c r="C119733"/>
      <c r="E119733"/>
      <c r="F119733"/>
    </row>
    <row r="119734" spans="1:6" x14ac:dyDescent="0.25">
      <c r="A119734"/>
      <c r="B119734"/>
      <c r="C119734"/>
      <c r="E119734"/>
      <c r="F119734"/>
    </row>
    <row r="119735" spans="1:6" x14ac:dyDescent="0.25">
      <c r="A119735"/>
      <c r="B119735"/>
      <c r="C119735"/>
      <c r="E119735"/>
      <c r="F119735"/>
    </row>
    <row r="119736" spans="1:6" x14ac:dyDescent="0.25">
      <c r="A119736"/>
      <c r="B119736"/>
      <c r="C119736"/>
      <c r="E119736"/>
      <c r="F119736"/>
    </row>
    <row r="119737" spans="1:6" x14ac:dyDescent="0.25">
      <c r="A119737"/>
      <c r="B119737"/>
      <c r="C119737"/>
      <c r="E119737"/>
      <c r="F119737"/>
    </row>
    <row r="119738" spans="1:6" x14ac:dyDescent="0.25">
      <c r="A119738"/>
      <c r="B119738"/>
      <c r="C119738"/>
      <c r="E119738"/>
      <c r="F119738"/>
    </row>
    <row r="119739" spans="1:6" x14ac:dyDescent="0.25">
      <c r="A119739"/>
      <c r="B119739"/>
      <c r="C119739"/>
      <c r="E119739"/>
      <c r="F119739"/>
    </row>
    <row r="119740" spans="1:6" x14ac:dyDescent="0.25">
      <c r="A119740"/>
      <c r="B119740"/>
      <c r="C119740"/>
      <c r="E119740"/>
      <c r="F119740"/>
    </row>
    <row r="119741" spans="1:6" x14ac:dyDescent="0.25">
      <c r="A119741"/>
      <c r="B119741"/>
      <c r="C119741"/>
      <c r="E119741"/>
      <c r="F119741"/>
    </row>
    <row r="119742" spans="1:6" x14ac:dyDescent="0.25">
      <c r="A119742"/>
      <c r="B119742"/>
      <c r="C119742"/>
      <c r="E119742"/>
      <c r="F119742"/>
    </row>
    <row r="119743" spans="1:6" x14ac:dyDescent="0.25">
      <c r="A119743"/>
      <c r="B119743"/>
      <c r="C119743"/>
      <c r="E119743"/>
      <c r="F119743"/>
    </row>
    <row r="119744" spans="1:6" x14ac:dyDescent="0.25">
      <c r="A119744"/>
      <c r="B119744"/>
      <c r="C119744"/>
      <c r="E119744"/>
      <c r="F119744"/>
    </row>
    <row r="119745" spans="1:6" x14ac:dyDescent="0.25">
      <c r="A119745"/>
      <c r="B119745"/>
      <c r="C119745"/>
      <c r="E119745"/>
      <c r="F119745"/>
    </row>
    <row r="119746" spans="1:6" x14ac:dyDescent="0.25">
      <c r="A119746"/>
      <c r="B119746"/>
      <c r="C119746"/>
      <c r="E119746"/>
      <c r="F119746"/>
    </row>
    <row r="119747" spans="1:6" x14ac:dyDescent="0.25">
      <c r="A119747"/>
      <c r="B119747"/>
      <c r="C119747"/>
      <c r="E119747"/>
      <c r="F119747"/>
    </row>
    <row r="119748" spans="1:6" x14ac:dyDescent="0.25">
      <c r="A119748"/>
      <c r="B119748"/>
      <c r="C119748"/>
      <c r="E119748"/>
      <c r="F119748"/>
    </row>
    <row r="119749" spans="1:6" x14ac:dyDescent="0.25">
      <c r="A119749"/>
      <c r="B119749"/>
      <c r="C119749"/>
      <c r="E119749"/>
      <c r="F119749"/>
    </row>
    <row r="119750" spans="1:6" x14ac:dyDescent="0.25">
      <c r="A119750"/>
      <c r="B119750"/>
      <c r="C119750"/>
      <c r="E119750"/>
      <c r="F119750"/>
    </row>
    <row r="119751" spans="1:6" x14ac:dyDescent="0.25">
      <c r="A119751"/>
      <c r="B119751"/>
      <c r="C119751"/>
      <c r="E119751"/>
      <c r="F119751"/>
    </row>
    <row r="119752" spans="1:6" x14ac:dyDescent="0.25">
      <c r="A119752"/>
      <c r="B119752"/>
      <c r="C119752"/>
      <c r="E119752"/>
      <c r="F119752"/>
    </row>
    <row r="119753" spans="1:6" x14ac:dyDescent="0.25">
      <c r="A119753"/>
      <c r="B119753"/>
      <c r="C119753"/>
      <c r="E119753"/>
      <c r="F119753"/>
    </row>
    <row r="119754" spans="1:6" x14ac:dyDescent="0.25">
      <c r="A119754"/>
      <c r="B119754"/>
      <c r="C119754"/>
      <c r="E119754"/>
      <c r="F119754"/>
    </row>
    <row r="119755" spans="1:6" x14ac:dyDescent="0.25">
      <c r="A119755"/>
      <c r="B119755"/>
      <c r="C119755"/>
      <c r="E119755"/>
      <c r="F119755"/>
    </row>
    <row r="119756" spans="1:6" x14ac:dyDescent="0.25">
      <c r="A119756"/>
      <c r="B119756"/>
      <c r="C119756"/>
      <c r="E119756"/>
      <c r="F119756"/>
    </row>
    <row r="119757" spans="1:6" x14ac:dyDescent="0.25">
      <c r="A119757"/>
      <c r="B119757"/>
      <c r="C119757"/>
      <c r="E119757"/>
      <c r="F119757"/>
    </row>
    <row r="119758" spans="1:6" x14ac:dyDescent="0.25">
      <c r="A119758"/>
      <c r="B119758"/>
      <c r="C119758"/>
      <c r="E119758"/>
      <c r="F119758"/>
    </row>
    <row r="119759" spans="1:6" x14ac:dyDescent="0.25">
      <c r="A119759"/>
      <c r="B119759"/>
      <c r="C119759"/>
      <c r="E119759"/>
      <c r="F119759"/>
    </row>
    <row r="119760" spans="1:6" x14ac:dyDescent="0.25">
      <c r="A119760"/>
      <c r="B119760"/>
      <c r="C119760"/>
      <c r="E119760"/>
      <c r="F119760"/>
    </row>
    <row r="119761" spans="1:6" x14ac:dyDescent="0.25">
      <c r="A119761"/>
      <c r="B119761"/>
      <c r="C119761"/>
      <c r="E119761"/>
      <c r="F119761"/>
    </row>
    <row r="119762" spans="1:6" x14ac:dyDescent="0.25">
      <c r="A119762"/>
      <c r="B119762"/>
      <c r="C119762"/>
      <c r="E119762"/>
      <c r="F119762"/>
    </row>
    <row r="119763" spans="1:6" x14ac:dyDescent="0.25">
      <c r="A119763"/>
      <c r="B119763"/>
      <c r="C119763"/>
      <c r="E119763"/>
      <c r="F119763"/>
    </row>
    <row r="119764" spans="1:6" x14ac:dyDescent="0.25">
      <c r="A119764"/>
      <c r="B119764"/>
      <c r="C119764"/>
      <c r="E119764"/>
      <c r="F119764"/>
    </row>
    <row r="119765" spans="1:6" x14ac:dyDescent="0.25">
      <c r="A119765"/>
      <c r="B119765"/>
      <c r="C119765"/>
      <c r="E119765"/>
      <c r="F119765"/>
    </row>
    <row r="119766" spans="1:6" x14ac:dyDescent="0.25">
      <c r="A119766"/>
      <c r="B119766"/>
      <c r="C119766"/>
      <c r="E119766"/>
      <c r="F119766"/>
    </row>
    <row r="119767" spans="1:6" x14ac:dyDescent="0.25">
      <c r="A119767"/>
      <c r="B119767"/>
      <c r="C119767"/>
      <c r="E119767"/>
      <c r="F119767"/>
    </row>
    <row r="119768" spans="1:6" x14ac:dyDescent="0.25">
      <c r="A119768"/>
      <c r="B119768"/>
      <c r="C119768"/>
      <c r="E119768"/>
      <c r="F119768"/>
    </row>
    <row r="119769" spans="1:6" x14ac:dyDescent="0.25">
      <c r="A119769"/>
      <c r="B119769"/>
      <c r="C119769"/>
      <c r="E119769"/>
      <c r="F119769"/>
    </row>
    <row r="119770" spans="1:6" x14ac:dyDescent="0.25">
      <c r="A119770"/>
      <c r="B119770"/>
      <c r="C119770"/>
      <c r="E119770"/>
      <c r="F119770"/>
    </row>
    <row r="119771" spans="1:6" x14ac:dyDescent="0.25">
      <c r="A119771"/>
      <c r="B119771"/>
      <c r="C119771"/>
      <c r="E119771"/>
      <c r="F119771"/>
    </row>
    <row r="119772" spans="1:6" x14ac:dyDescent="0.25">
      <c r="A119772"/>
      <c r="B119772"/>
      <c r="C119772"/>
      <c r="E119772"/>
      <c r="F119772"/>
    </row>
    <row r="119773" spans="1:6" x14ac:dyDescent="0.25">
      <c r="A119773"/>
      <c r="B119773"/>
      <c r="C119773"/>
      <c r="E119773"/>
      <c r="F119773"/>
    </row>
    <row r="119774" spans="1:6" x14ac:dyDescent="0.25">
      <c r="A119774"/>
      <c r="B119774"/>
      <c r="C119774"/>
      <c r="E119774"/>
      <c r="F119774"/>
    </row>
    <row r="119775" spans="1:6" x14ac:dyDescent="0.25">
      <c r="A119775"/>
      <c r="B119775"/>
      <c r="C119775"/>
      <c r="E119775"/>
      <c r="F119775"/>
    </row>
    <row r="119776" spans="1:6" x14ac:dyDescent="0.25">
      <c r="A119776"/>
      <c r="B119776"/>
      <c r="C119776"/>
      <c r="E119776"/>
      <c r="F119776"/>
    </row>
    <row r="119777" spans="1:6" x14ac:dyDescent="0.25">
      <c r="A119777"/>
      <c r="B119777"/>
      <c r="C119777"/>
      <c r="E119777"/>
      <c r="F119777"/>
    </row>
    <row r="119778" spans="1:6" x14ac:dyDescent="0.25">
      <c r="A119778"/>
      <c r="B119778"/>
      <c r="C119778"/>
      <c r="E119778"/>
      <c r="F119778"/>
    </row>
    <row r="119779" spans="1:6" x14ac:dyDescent="0.25">
      <c r="A119779"/>
      <c r="B119779"/>
      <c r="C119779"/>
      <c r="E119779"/>
      <c r="F119779"/>
    </row>
    <row r="119780" spans="1:6" x14ac:dyDescent="0.25">
      <c r="A119780"/>
      <c r="B119780"/>
      <c r="C119780"/>
      <c r="E119780"/>
      <c r="F119780"/>
    </row>
    <row r="119781" spans="1:6" x14ac:dyDescent="0.25">
      <c r="A119781"/>
      <c r="B119781"/>
      <c r="C119781"/>
      <c r="E119781"/>
      <c r="F119781"/>
    </row>
    <row r="119782" spans="1:6" x14ac:dyDescent="0.25">
      <c r="A119782"/>
      <c r="B119782"/>
      <c r="C119782"/>
      <c r="E119782"/>
      <c r="F119782"/>
    </row>
    <row r="119783" spans="1:6" x14ac:dyDescent="0.25">
      <c r="A119783"/>
      <c r="B119783"/>
      <c r="C119783"/>
      <c r="E119783"/>
      <c r="F119783"/>
    </row>
    <row r="119784" spans="1:6" x14ac:dyDescent="0.25">
      <c r="A119784"/>
      <c r="B119784"/>
      <c r="C119784"/>
      <c r="E119784"/>
      <c r="F119784"/>
    </row>
    <row r="119785" spans="1:6" x14ac:dyDescent="0.25">
      <c r="A119785"/>
      <c r="B119785"/>
      <c r="C119785"/>
      <c r="E119785"/>
      <c r="F119785"/>
    </row>
    <row r="119786" spans="1:6" x14ac:dyDescent="0.25">
      <c r="A119786"/>
      <c r="B119786"/>
      <c r="C119786"/>
      <c r="E119786"/>
      <c r="F119786"/>
    </row>
    <row r="119787" spans="1:6" x14ac:dyDescent="0.25">
      <c r="A119787"/>
      <c r="B119787"/>
      <c r="C119787"/>
      <c r="E119787"/>
      <c r="F119787"/>
    </row>
    <row r="119788" spans="1:6" x14ac:dyDescent="0.25">
      <c r="A119788"/>
      <c r="B119788"/>
      <c r="C119788"/>
      <c r="E119788"/>
      <c r="F119788"/>
    </row>
    <row r="119789" spans="1:6" x14ac:dyDescent="0.25">
      <c r="A119789"/>
      <c r="B119789"/>
      <c r="C119789"/>
      <c r="E119789"/>
      <c r="F119789"/>
    </row>
    <row r="119790" spans="1:6" x14ac:dyDescent="0.25">
      <c r="A119790"/>
      <c r="B119790"/>
      <c r="C119790"/>
      <c r="E119790"/>
      <c r="F119790"/>
    </row>
    <row r="119791" spans="1:6" x14ac:dyDescent="0.25">
      <c r="A119791"/>
      <c r="B119791"/>
      <c r="C119791"/>
      <c r="E119791"/>
      <c r="F119791"/>
    </row>
    <row r="119792" spans="1:6" x14ac:dyDescent="0.25">
      <c r="A119792"/>
      <c r="B119792"/>
      <c r="C119792"/>
      <c r="E119792"/>
      <c r="F119792"/>
    </row>
    <row r="119793" spans="1:6" x14ac:dyDescent="0.25">
      <c r="A119793"/>
      <c r="B119793"/>
      <c r="C119793"/>
      <c r="E119793"/>
      <c r="F119793"/>
    </row>
    <row r="119794" spans="1:6" x14ac:dyDescent="0.25">
      <c r="A119794"/>
      <c r="B119794"/>
      <c r="C119794"/>
      <c r="E119794"/>
      <c r="F119794"/>
    </row>
    <row r="119795" spans="1:6" x14ac:dyDescent="0.25">
      <c r="A119795"/>
      <c r="B119795"/>
      <c r="C119795"/>
      <c r="E119795"/>
      <c r="F119795"/>
    </row>
    <row r="119796" spans="1:6" x14ac:dyDescent="0.25">
      <c r="A119796"/>
      <c r="B119796"/>
      <c r="C119796"/>
      <c r="E119796"/>
      <c r="F119796"/>
    </row>
    <row r="119797" spans="1:6" x14ac:dyDescent="0.25">
      <c r="A119797"/>
      <c r="B119797"/>
      <c r="C119797"/>
      <c r="E119797"/>
      <c r="F119797"/>
    </row>
    <row r="119798" spans="1:6" x14ac:dyDescent="0.25">
      <c r="A119798"/>
      <c r="B119798"/>
      <c r="C119798"/>
      <c r="E119798"/>
      <c r="F119798"/>
    </row>
    <row r="119799" spans="1:6" x14ac:dyDescent="0.25">
      <c r="A119799"/>
      <c r="B119799"/>
      <c r="C119799"/>
      <c r="E119799"/>
      <c r="F119799"/>
    </row>
    <row r="119800" spans="1:6" x14ac:dyDescent="0.25">
      <c r="A119800"/>
      <c r="B119800"/>
      <c r="C119800"/>
      <c r="E119800"/>
      <c r="F119800"/>
    </row>
    <row r="119801" spans="1:6" x14ac:dyDescent="0.25">
      <c r="A119801"/>
      <c r="B119801"/>
      <c r="C119801"/>
      <c r="E119801"/>
      <c r="F119801"/>
    </row>
    <row r="119802" spans="1:6" x14ac:dyDescent="0.25">
      <c r="A119802"/>
      <c r="B119802"/>
      <c r="C119802"/>
      <c r="E119802"/>
      <c r="F119802"/>
    </row>
    <row r="119803" spans="1:6" x14ac:dyDescent="0.25">
      <c r="A119803"/>
      <c r="B119803"/>
      <c r="C119803"/>
      <c r="E119803"/>
      <c r="F119803"/>
    </row>
    <row r="119804" spans="1:6" x14ac:dyDescent="0.25">
      <c r="A119804"/>
      <c r="B119804"/>
      <c r="C119804"/>
      <c r="E119804"/>
      <c r="F119804"/>
    </row>
    <row r="119805" spans="1:6" x14ac:dyDescent="0.25">
      <c r="A119805"/>
      <c r="B119805"/>
      <c r="C119805"/>
      <c r="E119805"/>
      <c r="F119805"/>
    </row>
    <row r="119806" spans="1:6" x14ac:dyDescent="0.25">
      <c r="A119806"/>
      <c r="B119806"/>
      <c r="C119806"/>
      <c r="E119806"/>
      <c r="F119806"/>
    </row>
    <row r="119807" spans="1:6" x14ac:dyDescent="0.25">
      <c r="A119807"/>
      <c r="B119807"/>
      <c r="C119807"/>
      <c r="E119807"/>
      <c r="F119807"/>
    </row>
    <row r="119808" spans="1:6" x14ac:dyDescent="0.25">
      <c r="A119808"/>
      <c r="B119808"/>
      <c r="C119808"/>
      <c r="E119808"/>
      <c r="F119808"/>
    </row>
    <row r="119809" spans="1:6" x14ac:dyDescent="0.25">
      <c r="A119809"/>
      <c r="B119809"/>
      <c r="C119809"/>
      <c r="E119809"/>
      <c r="F119809"/>
    </row>
    <row r="119810" spans="1:6" x14ac:dyDescent="0.25">
      <c r="A119810"/>
      <c r="B119810"/>
      <c r="C119810"/>
      <c r="E119810"/>
      <c r="F119810"/>
    </row>
    <row r="119811" spans="1:6" x14ac:dyDescent="0.25">
      <c r="A119811"/>
      <c r="B119811"/>
      <c r="C119811"/>
      <c r="E119811"/>
      <c r="F119811"/>
    </row>
    <row r="119812" spans="1:6" x14ac:dyDescent="0.25">
      <c r="A119812"/>
      <c r="B119812"/>
      <c r="C119812"/>
      <c r="E119812"/>
      <c r="F119812"/>
    </row>
    <row r="119813" spans="1:6" x14ac:dyDescent="0.25">
      <c r="A119813"/>
      <c r="B119813"/>
      <c r="C119813"/>
      <c r="E119813"/>
      <c r="F119813"/>
    </row>
    <row r="119814" spans="1:6" x14ac:dyDescent="0.25">
      <c r="A119814"/>
      <c r="B119814"/>
      <c r="C119814"/>
      <c r="E119814"/>
      <c r="F119814"/>
    </row>
    <row r="119815" spans="1:6" x14ac:dyDescent="0.25">
      <c r="A119815"/>
      <c r="B119815"/>
      <c r="C119815"/>
      <c r="E119815"/>
      <c r="F119815"/>
    </row>
    <row r="119816" spans="1:6" x14ac:dyDescent="0.25">
      <c r="A119816"/>
      <c r="B119816"/>
      <c r="C119816"/>
      <c r="E119816"/>
      <c r="F119816"/>
    </row>
    <row r="119817" spans="1:6" x14ac:dyDescent="0.25">
      <c r="A119817"/>
      <c r="B119817"/>
      <c r="C119817"/>
      <c r="E119817"/>
      <c r="F119817"/>
    </row>
    <row r="119818" spans="1:6" x14ac:dyDescent="0.25">
      <c r="A119818"/>
      <c r="B119818"/>
      <c r="C119818"/>
      <c r="E119818"/>
      <c r="F119818"/>
    </row>
    <row r="119819" spans="1:6" x14ac:dyDescent="0.25">
      <c r="A119819"/>
      <c r="B119819"/>
      <c r="C119819"/>
      <c r="E119819"/>
      <c r="F119819"/>
    </row>
    <row r="119820" spans="1:6" x14ac:dyDescent="0.25">
      <c r="A119820"/>
      <c r="B119820"/>
      <c r="C119820"/>
      <c r="E119820"/>
      <c r="F119820"/>
    </row>
    <row r="119821" spans="1:6" x14ac:dyDescent="0.25">
      <c r="A119821"/>
      <c r="B119821"/>
      <c r="C119821"/>
      <c r="E119821"/>
      <c r="F119821"/>
    </row>
    <row r="119822" spans="1:6" x14ac:dyDescent="0.25">
      <c r="A119822"/>
      <c r="B119822"/>
      <c r="C119822"/>
      <c r="E119822"/>
      <c r="F119822"/>
    </row>
    <row r="119823" spans="1:6" x14ac:dyDescent="0.25">
      <c r="A119823"/>
      <c r="B119823"/>
      <c r="C119823"/>
      <c r="E119823"/>
      <c r="F119823"/>
    </row>
    <row r="119824" spans="1:6" x14ac:dyDescent="0.25">
      <c r="A119824"/>
      <c r="B119824"/>
      <c r="C119824"/>
      <c r="E119824"/>
      <c r="F119824"/>
    </row>
    <row r="119825" spans="1:6" x14ac:dyDescent="0.25">
      <c r="A119825"/>
      <c r="B119825"/>
      <c r="C119825"/>
      <c r="E119825"/>
      <c r="F119825"/>
    </row>
    <row r="119826" spans="1:6" x14ac:dyDescent="0.25">
      <c r="A119826"/>
      <c r="B119826"/>
      <c r="C119826"/>
      <c r="E119826"/>
      <c r="F119826"/>
    </row>
    <row r="119827" spans="1:6" x14ac:dyDescent="0.25">
      <c r="A119827"/>
      <c r="B119827"/>
      <c r="C119827"/>
      <c r="E119827"/>
      <c r="F119827"/>
    </row>
    <row r="119828" spans="1:6" x14ac:dyDescent="0.25">
      <c r="A119828"/>
      <c r="B119828"/>
      <c r="C119828"/>
      <c r="E119828"/>
      <c r="F119828"/>
    </row>
    <row r="119829" spans="1:6" x14ac:dyDescent="0.25">
      <c r="A119829"/>
      <c r="B119829"/>
      <c r="C119829"/>
      <c r="E119829"/>
      <c r="F119829"/>
    </row>
    <row r="119830" spans="1:6" x14ac:dyDescent="0.25">
      <c r="A119830"/>
      <c r="B119830"/>
      <c r="C119830"/>
      <c r="E119830"/>
      <c r="F119830"/>
    </row>
    <row r="119831" spans="1:6" x14ac:dyDescent="0.25">
      <c r="A119831"/>
      <c r="B119831"/>
      <c r="C119831"/>
      <c r="E119831"/>
      <c r="F119831"/>
    </row>
    <row r="119832" spans="1:6" x14ac:dyDescent="0.25">
      <c r="A119832"/>
      <c r="B119832"/>
      <c r="C119832"/>
      <c r="E119832"/>
      <c r="F119832"/>
    </row>
    <row r="119833" spans="1:6" x14ac:dyDescent="0.25">
      <c r="A119833"/>
      <c r="B119833"/>
      <c r="C119833"/>
      <c r="E119833"/>
      <c r="F119833"/>
    </row>
    <row r="119834" spans="1:6" x14ac:dyDescent="0.25">
      <c r="A119834"/>
      <c r="B119834"/>
      <c r="C119834"/>
      <c r="E119834"/>
      <c r="F119834"/>
    </row>
    <row r="119835" spans="1:6" x14ac:dyDescent="0.25">
      <c r="A119835"/>
      <c r="B119835"/>
      <c r="C119835"/>
      <c r="E119835"/>
      <c r="F119835"/>
    </row>
    <row r="119836" spans="1:6" x14ac:dyDescent="0.25">
      <c r="A119836"/>
      <c r="B119836"/>
      <c r="C119836"/>
      <c r="E119836"/>
      <c r="F119836"/>
    </row>
    <row r="119837" spans="1:6" x14ac:dyDescent="0.25">
      <c r="A119837"/>
      <c r="B119837"/>
      <c r="C119837"/>
      <c r="E119837"/>
      <c r="F119837"/>
    </row>
    <row r="119838" spans="1:6" x14ac:dyDescent="0.25">
      <c r="A119838"/>
      <c r="B119838"/>
      <c r="C119838"/>
      <c r="E119838"/>
      <c r="F119838"/>
    </row>
    <row r="119839" spans="1:6" x14ac:dyDescent="0.25">
      <c r="A119839"/>
      <c r="B119839"/>
      <c r="C119839"/>
      <c r="E119839"/>
      <c r="F119839"/>
    </row>
    <row r="119840" spans="1:6" x14ac:dyDescent="0.25">
      <c r="A119840"/>
      <c r="B119840"/>
      <c r="C119840"/>
      <c r="E119840"/>
      <c r="F119840"/>
    </row>
    <row r="119841" spans="1:6" x14ac:dyDescent="0.25">
      <c r="A119841"/>
      <c r="B119841"/>
      <c r="C119841"/>
      <c r="E119841"/>
      <c r="F119841"/>
    </row>
    <row r="119842" spans="1:6" x14ac:dyDescent="0.25">
      <c r="A119842"/>
      <c r="B119842"/>
      <c r="C119842"/>
      <c r="E119842"/>
      <c r="F119842"/>
    </row>
    <row r="119843" spans="1:6" x14ac:dyDescent="0.25">
      <c r="A119843"/>
      <c r="B119843"/>
      <c r="C119843"/>
      <c r="E119843"/>
      <c r="F119843"/>
    </row>
    <row r="119844" spans="1:6" x14ac:dyDescent="0.25">
      <c r="A119844"/>
      <c r="B119844"/>
      <c r="C119844"/>
      <c r="E119844"/>
      <c r="F119844"/>
    </row>
    <row r="119845" spans="1:6" x14ac:dyDescent="0.25">
      <c r="A119845"/>
      <c r="B119845"/>
      <c r="C119845"/>
      <c r="E119845"/>
      <c r="F119845"/>
    </row>
    <row r="119846" spans="1:6" x14ac:dyDescent="0.25">
      <c r="A119846"/>
      <c r="B119846"/>
      <c r="C119846"/>
      <c r="E119846"/>
      <c r="F119846"/>
    </row>
    <row r="119847" spans="1:6" x14ac:dyDescent="0.25">
      <c r="A119847"/>
      <c r="B119847"/>
      <c r="C119847"/>
      <c r="E119847"/>
      <c r="F119847"/>
    </row>
    <row r="119848" spans="1:6" x14ac:dyDescent="0.25">
      <c r="A119848"/>
      <c r="B119848"/>
      <c r="C119848"/>
      <c r="E119848"/>
      <c r="F119848"/>
    </row>
    <row r="119849" spans="1:6" x14ac:dyDescent="0.25">
      <c r="A119849"/>
      <c r="B119849"/>
      <c r="C119849"/>
      <c r="E119849"/>
      <c r="F119849"/>
    </row>
    <row r="119850" spans="1:6" x14ac:dyDescent="0.25">
      <c r="A119850"/>
      <c r="B119850"/>
      <c r="C119850"/>
      <c r="E119850"/>
      <c r="F119850"/>
    </row>
    <row r="119851" spans="1:6" x14ac:dyDescent="0.25">
      <c r="A119851"/>
      <c r="B119851"/>
      <c r="C119851"/>
      <c r="E119851"/>
      <c r="F119851"/>
    </row>
    <row r="119852" spans="1:6" x14ac:dyDescent="0.25">
      <c r="A119852"/>
      <c r="B119852"/>
      <c r="C119852"/>
      <c r="E119852"/>
      <c r="F119852"/>
    </row>
    <row r="119853" spans="1:6" x14ac:dyDescent="0.25">
      <c r="A119853"/>
      <c r="B119853"/>
      <c r="C119853"/>
      <c r="E119853"/>
      <c r="F119853"/>
    </row>
    <row r="119854" spans="1:6" x14ac:dyDescent="0.25">
      <c r="A119854"/>
      <c r="B119854"/>
      <c r="C119854"/>
      <c r="E119854"/>
      <c r="F119854"/>
    </row>
    <row r="119855" spans="1:6" x14ac:dyDescent="0.25">
      <c r="A119855"/>
      <c r="B119855"/>
      <c r="C119855"/>
      <c r="E119855"/>
      <c r="F119855"/>
    </row>
    <row r="119856" spans="1:6" x14ac:dyDescent="0.25">
      <c r="A119856"/>
      <c r="B119856"/>
      <c r="C119856"/>
      <c r="E119856"/>
      <c r="F119856"/>
    </row>
    <row r="119857" spans="1:6" x14ac:dyDescent="0.25">
      <c r="A119857"/>
      <c r="B119857"/>
      <c r="C119857"/>
      <c r="E119857"/>
      <c r="F119857"/>
    </row>
    <row r="119858" spans="1:6" x14ac:dyDescent="0.25">
      <c r="A119858"/>
      <c r="B119858"/>
      <c r="C119858"/>
      <c r="E119858"/>
      <c r="F119858"/>
    </row>
    <row r="119859" spans="1:6" x14ac:dyDescent="0.25">
      <c r="A119859"/>
      <c r="B119859"/>
      <c r="C119859"/>
      <c r="E119859"/>
      <c r="F119859"/>
    </row>
    <row r="119860" spans="1:6" x14ac:dyDescent="0.25">
      <c r="A119860"/>
      <c r="B119860"/>
      <c r="C119860"/>
      <c r="E119860"/>
      <c r="F119860"/>
    </row>
    <row r="119861" spans="1:6" x14ac:dyDescent="0.25">
      <c r="A119861"/>
      <c r="B119861"/>
      <c r="C119861"/>
      <c r="E119861"/>
      <c r="F119861"/>
    </row>
    <row r="119862" spans="1:6" x14ac:dyDescent="0.25">
      <c r="A119862"/>
      <c r="B119862"/>
      <c r="C119862"/>
      <c r="E119862"/>
      <c r="F119862"/>
    </row>
    <row r="119863" spans="1:6" x14ac:dyDescent="0.25">
      <c r="A119863"/>
      <c r="B119863"/>
      <c r="C119863"/>
      <c r="E119863"/>
      <c r="F119863"/>
    </row>
    <row r="119864" spans="1:6" x14ac:dyDescent="0.25">
      <c r="A119864"/>
      <c r="B119864"/>
      <c r="C119864"/>
      <c r="E119864"/>
      <c r="F119864"/>
    </row>
    <row r="119865" spans="1:6" x14ac:dyDescent="0.25">
      <c r="A119865"/>
      <c r="B119865"/>
      <c r="C119865"/>
      <c r="E119865"/>
      <c r="F119865"/>
    </row>
    <row r="119866" spans="1:6" x14ac:dyDescent="0.25">
      <c r="A119866"/>
      <c r="B119866"/>
      <c r="C119866"/>
      <c r="E119866"/>
      <c r="F119866"/>
    </row>
    <row r="119867" spans="1:6" x14ac:dyDescent="0.25">
      <c r="A119867"/>
      <c r="B119867"/>
      <c r="C119867"/>
      <c r="E119867"/>
      <c r="F119867"/>
    </row>
    <row r="119868" spans="1:6" x14ac:dyDescent="0.25">
      <c r="A119868"/>
      <c r="B119868"/>
      <c r="C119868"/>
      <c r="E119868"/>
      <c r="F119868"/>
    </row>
    <row r="119869" spans="1:6" x14ac:dyDescent="0.25">
      <c r="A119869"/>
      <c r="B119869"/>
      <c r="C119869"/>
      <c r="E119869"/>
      <c r="F119869"/>
    </row>
    <row r="119870" spans="1:6" x14ac:dyDescent="0.25">
      <c r="A119870"/>
      <c r="B119870"/>
      <c r="C119870"/>
      <c r="E119870"/>
      <c r="F119870"/>
    </row>
    <row r="119871" spans="1:6" x14ac:dyDescent="0.25">
      <c r="A119871"/>
      <c r="B119871"/>
      <c r="C119871"/>
      <c r="E119871"/>
      <c r="F119871"/>
    </row>
    <row r="119872" spans="1:6" x14ac:dyDescent="0.25">
      <c r="A119872"/>
      <c r="B119872"/>
      <c r="C119872"/>
      <c r="E119872"/>
      <c r="F119872"/>
    </row>
    <row r="119873" spans="1:6" x14ac:dyDescent="0.25">
      <c r="A119873"/>
      <c r="B119873"/>
      <c r="C119873"/>
      <c r="E119873"/>
      <c r="F119873"/>
    </row>
    <row r="119874" spans="1:6" x14ac:dyDescent="0.25">
      <c r="A119874"/>
      <c r="B119874"/>
      <c r="C119874"/>
      <c r="E119874"/>
      <c r="F119874"/>
    </row>
    <row r="119875" spans="1:6" x14ac:dyDescent="0.25">
      <c r="A119875"/>
      <c r="B119875"/>
      <c r="C119875"/>
      <c r="E119875"/>
      <c r="F119875"/>
    </row>
    <row r="119876" spans="1:6" x14ac:dyDescent="0.25">
      <c r="A119876"/>
      <c r="B119876"/>
      <c r="C119876"/>
      <c r="E119876"/>
      <c r="F119876"/>
    </row>
    <row r="119877" spans="1:6" x14ac:dyDescent="0.25">
      <c r="A119877"/>
      <c r="B119877"/>
      <c r="C119877"/>
      <c r="E119877"/>
      <c r="F119877"/>
    </row>
    <row r="119878" spans="1:6" x14ac:dyDescent="0.25">
      <c r="A119878"/>
      <c r="B119878"/>
      <c r="C119878"/>
      <c r="E119878"/>
      <c r="F119878"/>
    </row>
    <row r="119879" spans="1:6" x14ac:dyDescent="0.25">
      <c r="A119879"/>
      <c r="B119879"/>
      <c r="C119879"/>
      <c r="E119879"/>
      <c r="F119879"/>
    </row>
    <row r="119880" spans="1:6" x14ac:dyDescent="0.25">
      <c r="A119880"/>
      <c r="B119880"/>
      <c r="C119880"/>
      <c r="E119880"/>
      <c r="F119880"/>
    </row>
    <row r="119881" spans="1:6" x14ac:dyDescent="0.25">
      <c r="A119881"/>
      <c r="B119881"/>
      <c r="C119881"/>
      <c r="E119881"/>
      <c r="F119881"/>
    </row>
    <row r="119882" spans="1:6" x14ac:dyDescent="0.25">
      <c r="A119882"/>
      <c r="B119882"/>
      <c r="C119882"/>
      <c r="E119882"/>
      <c r="F119882"/>
    </row>
    <row r="119883" spans="1:6" x14ac:dyDescent="0.25">
      <c r="A119883"/>
      <c r="B119883"/>
      <c r="C119883"/>
      <c r="E119883"/>
      <c r="F119883"/>
    </row>
    <row r="119884" spans="1:6" x14ac:dyDescent="0.25">
      <c r="A119884"/>
      <c r="B119884"/>
      <c r="C119884"/>
      <c r="E119884"/>
      <c r="F119884"/>
    </row>
    <row r="119885" spans="1:6" x14ac:dyDescent="0.25">
      <c r="A119885"/>
      <c r="B119885"/>
      <c r="C119885"/>
      <c r="E119885"/>
      <c r="F119885"/>
    </row>
    <row r="119886" spans="1:6" x14ac:dyDescent="0.25">
      <c r="A119886"/>
      <c r="B119886"/>
      <c r="C119886"/>
      <c r="E119886"/>
      <c r="F119886"/>
    </row>
    <row r="119887" spans="1:6" x14ac:dyDescent="0.25">
      <c r="A119887"/>
      <c r="B119887"/>
      <c r="C119887"/>
      <c r="E119887"/>
      <c r="F119887"/>
    </row>
    <row r="119888" spans="1:6" x14ac:dyDescent="0.25">
      <c r="A119888"/>
      <c r="B119888"/>
      <c r="C119888"/>
      <c r="E119888"/>
      <c r="F119888"/>
    </row>
    <row r="119889" spans="1:6" x14ac:dyDescent="0.25">
      <c r="A119889"/>
      <c r="B119889"/>
      <c r="C119889"/>
      <c r="E119889"/>
      <c r="F119889"/>
    </row>
    <row r="119890" spans="1:6" x14ac:dyDescent="0.25">
      <c r="A119890"/>
      <c r="B119890"/>
      <c r="C119890"/>
      <c r="E119890"/>
      <c r="F119890"/>
    </row>
    <row r="119891" spans="1:6" x14ac:dyDescent="0.25">
      <c r="A119891"/>
      <c r="B119891"/>
      <c r="C119891"/>
      <c r="E119891"/>
      <c r="F119891"/>
    </row>
    <row r="119892" spans="1:6" x14ac:dyDescent="0.25">
      <c r="A119892"/>
      <c r="B119892"/>
      <c r="C119892"/>
      <c r="E119892"/>
      <c r="F119892"/>
    </row>
    <row r="119893" spans="1:6" x14ac:dyDescent="0.25">
      <c r="A119893"/>
      <c r="B119893"/>
      <c r="C119893"/>
      <c r="E119893"/>
      <c r="F119893"/>
    </row>
    <row r="119894" spans="1:6" x14ac:dyDescent="0.25">
      <c r="A119894"/>
      <c r="B119894"/>
      <c r="C119894"/>
      <c r="E119894"/>
      <c r="F119894"/>
    </row>
    <row r="119895" spans="1:6" x14ac:dyDescent="0.25">
      <c r="A119895"/>
      <c r="B119895"/>
      <c r="C119895"/>
      <c r="E119895"/>
      <c r="F119895"/>
    </row>
    <row r="119896" spans="1:6" x14ac:dyDescent="0.25">
      <c r="A119896"/>
      <c r="B119896"/>
      <c r="C119896"/>
      <c r="E119896"/>
      <c r="F119896"/>
    </row>
    <row r="119897" spans="1:6" x14ac:dyDescent="0.25">
      <c r="A119897"/>
      <c r="B119897"/>
      <c r="C119897"/>
      <c r="E119897"/>
      <c r="F119897"/>
    </row>
    <row r="119898" spans="1:6" x14ac:dyDescent="0.25">
      <c r="A119898"/>
      <c r="B119898"/>
      <c r="C119898"/>
      <c r="E119898"/>
      <c r="F119898"/>
    </row>
    <row r="119899" spans="1:6" x14ac:dyDescent="0.25">
      <c r="A119899"/>
      <c r="B119899"/>
      <c r="C119899"/>
      <c r="E119899"/>
      <c r="F119899"/>
    </row>
    <row r="119900" spans="1:6" x14ac:dyDescent="0.25">
      <c r="A119900"/>
      <c r="B119900"/>
      <c r="C119900"/>
      <c r="E119900"/>
      <c r="F119900"/>
    </row>
    <row r="119901" spans="1:6" x14ac:dyDescent="0.25">
      <c r="A119901"/>
      <c r="B119901"/>
      <c r="C119901"/>
      <c r="E119901"/>
      <c r="F119901"/>
    </row>
    <row r="119902" spans="1:6" x14ac:dyDescent="0.25">
      <c r="A119902"/>
      <c r="B119902"/>
      <c r="C119902"/>
      <c r="E119902"/>
      <c r="F119902"/>
    </row>
    <row r="119903" spans="1:6" x14ac:dyDescent="0.25">
      <c r="A119903"/>
      <c r="B119903"/>
      <c r="C119903"/>
      <c r="E119903"/>
      <c r="F119903"/>
    </row>
    <row r="119904" spans="1:6" x14ac:dyDescent="0.25">
      <c r="A119904"/>
      <c r="B119904"/>
      <c r="C119904"/>
      <c r="E119904"/>
      <c r="F119904"/>
    </row>
    <row r="119905" spans="1:6" x14ac:dyDescent="0.25">
      <c r="A119905"/>
      <c r="B119905"/>
      <c r="C119905"/>
      <c r="E119905"/>
      <c r="F119905"/>
    </row>
    <row r="119906" spans="1:6" x14ac:dyDescent="0.25">
      <c r="A119906"/>
      <c r="B119906"/>
      <c r="C119906"/>
      <c r="E119906"/>
      <c r="F119906"/>
    </row>
    <row r="119907" spans="1:6" x14ac:dyDescent="0.25">
      <c r="A119907"/>
      <c r="B119907"/>
      <c r="C119907"/>
      <c r="E119907"/>
      <c r="F119907"/>
    </row>
    <row r="119908" spans="1:6" x14ac:dyDescent="0.25">
      <c r="A119908"/>
      <c r="B119908"/>
      <c r="C119908"/>
      <c r="E119908"/>
      <c r="F119908"/>
    </row>
    <row r="119909" spans="1:6" x14ac:dyDescent="0.25">
      <c r="A119909"/>
      <c r="B119909"/>
      <c r="C119909"/>
      <c r="E119909"/>
      <c r="F119909"/>
    </row>
    <row r="119910" spans="1:6" x14ac:dyDescent="0.25">
      <c r="A119910"/>
      <c r="B119910"/>
      <c r="C119910"/>
      <c r="E119910"/>
      <c r="F119910"/>
    </row>
    <row r="119911" spans="1:6" x14ac:dyDescent="0.25">
      <c r="A119911"/>
      <c r="B119911"/>
      <c r="C119911"/>
      <c r="E119911"/>
      <c r="F119911"/>
    </row>
    <row r="119912" spans="1:6" x14ac:dyDescent="0.25">
      <c r="A119912"/>
      <c r="B119912"/>
      <c r="C119912"/>
      <c r="E119912"/>
      <c r="F119912"/>
    </row>
    <row r="119913" spans="1:6" x14ac:dyDescent="0.25">
      <c r="A119913"/>
      <c r="B119913"/>
      <c r="C119913"/>
      <c r="E119913"/>
      <c r="F119913"/>
    </row>
    <row r="119914" spans="1:6" x14ac:dyDescent="0.25">
      <c r="A119914"/>
      <c r="B119914"/>
      <c r="C119914"/>
      <c r="E119914"/>
      <c r="F119914"/>
    </row>
    <row r="119915" spans="1:6" x14ac:dyDescent="0.25">
      <c r="A119915"/>
      <c r="B119915"/>
      <c r="C119915"/>
      <c r="E119915"/>
      <c r="F119915"/>
    </row>
    <row r="119916" spans="1:6" x14ac:dyDescent="0.25">
      <c r="A119916"/>
      <c r="B119916"/>
      <c r="C119916"/>
      <c r="E119916"/>
      <c r="F119916"/>
    </row>
    <row r="119917" spans="1:6" x14ac:dyDescent="0.25">
      <c r="A119917"/>
      <c r="B119917"/>
      <c r="C119917"/>
      <c r="E119917"/>
      <c r="F119917"/>
    </row>
    <row r="119918" spans="1:6" x14ac:dyDescent="0.25">
      <c r="A119918"/>
      <c r="B119918"/>
      <c r="C119918"/>
      <c r="E119918"/>
      <c r="F119918"/>
    </row>
    <row r="119919" spans="1:6" x14ac:dyDescent="0.25">
      <c r="A119919"/>
      <c r="B119919"/>
      <c r="C119919"/>
      <c r="E119919"/>
      <c r="F119919"/>
    </row>
    <row r="119920" spans="1:6" x14ac:dyDescent="0.25">
      <c r="A119920"/>
      <c r="B119920"/>
      <c r="C119920"/>
      <c r="E119920"/>
      <c r="F119920"/>
    </row>
    <row r="119921" spans="1:6" x14ac:dyDescent="0.25">
      <c r="A119921"/>
      <c r="B119921"/>
      <c r="C119921"/>
      <c r="E119921"/>
      <c r="F119921"/>
    </row>
    <row r="119922" spans="1:6" x14ac:dyDescent="0.25">
      <c r="A119922"/>
      <c r="B119922"/>
      <c r="C119922"/>
      <c r="E119922"/>
      <c r="F119922"/>
    </row>
    <row r="119923" spans="1:6" x14ac:dyDescent="0.25">
      <c r="A119923"/>
      <c r="B119923"/>
      <c r="C119923"/>
      <c r="E119923"/>
      <c r="F119923"/>
    </row>
    <row r="119924" spans="1:6" x14ac:dyDescent="0.25">
      <c r="A119924"/>
      <c r="B119924"/>
      <c r="C119924"/>
      <c r="E119924"/>
      <c r="F119924"/>
    </row>
    <row r="119925" spans="1:6" x14ac:dyDescent="0.25">
      <c r="A119925"/>
      <c r="B119925"/>
      <c r="C119925"/>
      <c r="E119925"/>
      <c r="F119925"/>
    </row>
    <row r="119926" spans="1:6" x14ac:dyDescent="0.25">
      <c r="A119926"/>
      <c r="B119926"/>
      <c r="C119926"/>
      <c r="E119926"/>
      <c r="F119926"/>
    </row>
    <row r="119927" spans="1:6" x14ac:dyDescent="0.25">
      <c r="A119927"/>
      <c r="B119927"/>
      <c r="C119927"/>
      <c r="E119927"/>
      <c r="F119927"/>
    </row>
    <row r="119928" spans="1:6" x14ac:dyDescent="0.25">
      <c r="A119928"/>
      <c r="B119928"/>
      <c r="C119928"/>
      <c r="E119928"/>
      <c r="F119928"/>
    </row>
    <row r="119929" spans="1:6" x14ac:dyDescent="0.25">
      <c r="A119929"/>
      <c r="B119929"/>
      <c r="C119929"/>
      <c r="E119929"/>
      <c r="F119929"/>
    </row>
    <row r="119930" spans="1:6" x14ac:dyDescent="0.25">
      <c r="A119930"/>
      <c r="B119930"/>
      <c r="C119930"/>
      <c r="E119930"/>
      <c r="F119930"/>
    </row>
    <row r="119931" spans="1:6" x14ac:dyDescent="0.25">
      <c r="A119931"/>
      <c r="B119931"/>
      <c r="C119931"/>
      <c r="E119931"/>
      <c r="F119931"/>
    </row>
    <row r="119932" spans="1:6" x14ac:dyDescent="0.25">
      <c r="A119932"/>
      <c r="B119932"/>
      <c r="C119932"/>
      <c r="E119932"/>
      <c r="F119932"/>
    </row>
    <row r="119933" spans="1:6" x14ac:dyDescent="0.25">
      <c r="A119933"/>
      <c r="B119933"/>
      <c r="C119933"/>
      <c r="E119933"/>
      <c r="F119933"/>
    </row>
    <row r="119934" spans="1:6" x14ac:dyDescent="0.25">
      <c r="A119934"/>
      <c r="B119934"/>
      <c r="C119934"/>
      <c r="E119934"/>
      <c r="F119934"/>
    </row>
    <row r="119935" spans="1:6" x14ac:dyDescent="0.25">
      <c r="A119935"/>
      <c r="B119935"/>
      <c r="C119935"/>
      <c r="E119935"/>
      <c r="F119935"/>
    </row>
    <row r="119936" spans="1:6" x14ac:dyDescent="0.25">
      <c r="A119936"/>
      <c r="B119936"/>
      <c r="C119936"/>
      <c r="E119936"/>
      <c r="F119936"/>
    </row>
    <row r="119937" spans="1:6" x14ac:dyDescent="0.25">
      <c r="A119937"/>
      <c r="B119937"/>
      <c r="C119937"/>
      <c r="E119937"/>
      <c r="F119937"/>
    </row>
    <row r="119938" spans="1:6" x14ac:dyDescent="0.25">
      <c r="A119938"/>
      <c r="B119938"/>
      <c r="C119938"/>
      <c r="E119938"/>
      <c r="F119938"/>
    </row>
    <row r="119939" spans="1:6" x14ac:dyDescent="0.25">
      <c r="A119939"/>
      <c r="B119939"/>
      <c r="C119939"/>
      <c r="E119939"/>
      <c r="F119939"/>
    </row>
    <row r="119940" spans="1:6" x14ac:dyDescent="0.25">
      <c r="A119940"/>
      <c r="B119940"/>
      <c r="C119940"/>
      <c r="E119940"/>
      <c r="F119940"/>
    </row>
    <row r="119941" spans="1:6" x14ac:dyDescent="0.25">
      <c r="A119941"/>
      <c r="B119941"/>
      <c r="C119941"/>
      <c r="E119941"/>
      <c r="F119941"/>
    </row>
    <row r="119942" spans="1:6" x14ac:dyDescent="0.25">
      <c r="A119942"/>
      <c r="B119942"/>
      <c r="C119942"/>
      <c r="E119942"/>
      <c r="F119942"/>
    </row>
    <row r="119943" spans="1:6" x14ac:dyDescent="0.25">
      <c r="A119943"/>
      <c r="B119943"/>
      <c r="C119943"/>
      <c r="E119943"/>
      <c r="F119943"/>
    </row>
    <row r="119944" spans="1:6" x14ac:dyDescent="0.25">
      <c r="A119944"/>
      <c r="B119944"/>
      <c r="C119944"/>
      <c r="E119944"/>
      <c r="F119944"/>
    </row>
    <row r="119945" spans="1:6" x14ac:dyDescent="0.25">
      <c r="A119945"/>
      <c r="B119945"/>
      <c r="C119945"/>
      <c r="E119945"/>
      <c r="F119945"/>
    </row>
    <row r="119946" spans="1:6" x14ac:dyDescent="0.25">
      <c r="A119946"/>
      <c r="B119946"/>
      <c r="C119946"/>
      <c r="E119946"/>
      <c r="F119946"/>
    </row>
    <row r="119947" spans="1:6" x14ac:dyDescent="0.25">
      <c r="A119947"/>
      <c r="B119947"/>
      <c r="C119947"/>
      <c r="E119947"/>
      <c r="F119947"/>
    </row>
    <row r="119948" spans="1:6" x14ac:dyDescent="0.25">
      <c r="A119948"/>
      <c r="B119948"/>
      <c r="C119948"/>
      <c r="E119948"/>
      <c r="F119948"/>
    </row>
    <row r="119949" spans="1:6" x14ac:dyDescent="0.25">
      <c r="A119949"/>
      <c r="B119949"/>
      <c r="C119949"/>
      <c r="E119949"/>
      <c r="F119949"/>
    </row>
    <row r="119950" spans="1:6" x14ac:dyDescent="0.25">
      <c r="A119950"/>
      <c r="B119950"/>
      <c r="C119950"/>
      <c r="E119950"/>
      <c r="F119950"/>
    </row>
    <row r="119951" spans="1:6" x14ac:dyDescent="0.25">
      <c r="A119951"/>
      <c r="B119951"/>
      <c r="C119951"/>
      <c r="E119951"/>
      <c r="F119951"/>
    </row>
    <row r="119952" spans="1:6" x14ac:dyDescent="0.25">
      <c r="A119952"/>
      <c r="B119952"/>
      <c r="C119952"/>
      <c r="E119952"/>
      <c r="F119952"/>
    </row>
    <row r="119953" spans="1:6" x14ac:dyDescent="0.25">
      <c r="A119953"/>
      <c r="B119953"/>
      <c r="C119953"/>
      <c r="E119953"/>
      <c r="F119953"/>
    </row>
    <row r="119954" spans="1:6" x14ac:dyDescent="0.25">
      <c r="A119954"/>
      <c r="B119954"/>
      <c r="C119954"/>
      <c r="E119954"/>
      <c r="F119954"/>
    </row>
    <row r="119955" spans="1:6" x14ac:dyDescent="0.25">
      <c r="A119955"/>
      <c r="B119955"/>
      <c r="C119955"/>
      <c r="E119955"/>
      <c r="F119955"/>
    </row>
    <row r="119956" spans="1:6" x14ac:dyDescent="0.25">
      <c r="A119956"/>
      <c r="B119956"/>
      <c r="C119956"/>
      <c r="E119956"/>
      <c r="F119956"/>
    </row>
    <row r="119957" spans="1:6" x14ac:dyDescent="0.25">
      <c r="A119957"/>
      <c r="B119957"/>
      <c r="C119957"/>
      <c r="E119957"/>
      <c r="F119957"/>
    </row>
    <row r="119958" spans="1:6" x14ac:dyDescent="0.25">
      <c r="A119958"/>
      <c r="B119958"/>
      <c r="C119958"/>
      <c r="E119958"/>
      <c r="F119958"/>
    </row>
    <row r="119959" spans="1:6" x14ac:dyDescent="0.25">
      <c r="A119959"/>
      <c r="B119959"/>
      <c r="C119959"/>
      <c r="E119959"/>
      <c r="F119959"/>
    </row>
    <row r="119960" spans="1:6" x14ac:dyDescent="0.25">
      <c r="A119960"/>
      <c r="B119960"/>
      <c r="C119960"/>
      <c r="E119960"/>
      <c r="F119960"/>
    </row>
    <row r="119961" spans="1:6" x14ac:dyDescent="0.25">
      <c r="A119961"/>
      <c r="B119961"/>
      <c r="C119961"/>
      <c r="E119961"/>
      <c r="F119961"/>
    </row>
    <row r="119962" spans="1:6" x14ac:dyDescent="0.25">
      <c r="A119962"/>
      <c r="B119962"/>
      <c r="C119962"/>
      <c r="E119962"/>
      <c r="F119962"/>
    </row>
    <row r="119963" spans="1:6" x14ac:dyDescent="0.25">
      <c r="A119963"/>
      <c r="B119963"/>
      <c r="C119963"/>
      <c r="E119963"/>
      <c r="F119963"/>
    </row>
    <row r="119964" spans="1:6" x14ac:dyDescent="0.25">
      <c r="A119964"/>
      <c r="B119964"/>
      <c r="C119964"/>
      <c r="E119964"/>
      <c r="F119964"/>
    </row>
    <row r="119965" spans="1:6" x14ac:dyDescent="0.25">
      <c r="A119965"/>
      <c r="B119965"/>
      <c r="C119965"/>
      <c r="E119965"/>
      <c r="F119965"/>
    </row>
    <row r="119966" spans="1:6" x14ac:dyDescent="0.25">
      <c r="A119966"/>
      <c r="B119966"/>
      <c r="C119966"/>
      <c r="E119966"/>
      <c r="F119966"/>
    </row>
    <row r="119967" spans="1:6" x14ac:dyDescent="0.25">
      <c r="A119967"/>
      <c r="B119967"/>
      <c r="C119967"/>
      <c r="E119967"/>
      <c r="F119967"/>
    </row>
    <row r="119968" spans="1:6" x14ac:dyDescent="0.25">
      <c r="A119968"/>
      <c r="B119968"/>
      <c r="C119968"/>
      <c r="E119968"/>
      <c r="F119968"/>
    </row>
    <row r="119969" spans="1:6" x14ac:dyDescent="0.25">
      <c r="A119969"/>
      <c r="B119969"/>
      <c r="C119969"/>
      <c r="E119969"/>
      <c r="F119969"/>
    </row>
    <row r="119970" spans="1:6" x14ac:dyDescent="0.25">
      <c r="A119970"/>
      <c r="B119970"/>
      <c r="C119970"/>
      <c r="E119970"/>
      <c r="F119970"/>
    </row>
    <row r="119971" spans="1:6" x14ac:dyDescent="0.25">
      <c r="A119971"/>
      <c r="B119971"/>
      <c r="C119971"/>
      <c r="E119971"/>
      <c r="F119971"/>
    </row>
    <row r="119972" spans="1:6" x14ac:dyDescent="0.25">
      <c r="A119972"/>
      <c r="B119972"/>
      <c r="C119972"/>
      <c r="E119972"/>
      <c r="F119972"/>
    </row>
    <row r="119973" spans="1:6" x14ac:dyDescent="0.25">
      <c r="A119973"/>
      <c r="B119973"/>
      <c r="C119973"/>
      <c r="E119973"/>
      <c r="F119973"/>
    </row>
    <row r="119974" spans="1:6" x14ac:dyDescent="0.25">
      <c r="A119974"/>
      <c r="B119974"/>
      <c r="C119974"/>
      <c r="E119974"/>
      <c r="F119974"/>
    </row>
    <row r="119975" spans="1:6" x14ac:dyDescent="0.25">
      <c r="A119975"/>
      <c r="B119975"/>
      <c r="C119975"/>
      <c r="E119975"/>
      <c r="F119975"/>
    </row>
    <row r="119976" spans="1:6" x14ac:dyDescent="0.25">
      <c r="A119976"/>
      <c r="B119976"/>
      <c r="C119976"/>
      <c r="E119976"/>
      <c r="F119976"/>
    </row>
    <row r="119977" spans="1:6" x14ac:dyDescent="0.25">
      <c r="A119977"/>
      <c r="B119977"/>
      <c r="C119977"/>
      <c r="E119977"/>
      <c r="F119977"/>
    </row>
    <row r="119978" spans="1:6" x14ac:dyDescent="0.25">
      <c r="A119978"/>
      <c r="B119978"/>
      <c r="C119978"/>
      <c r="E119978"/>
      <c r="F119978"/>
    </row>
    <row r="119979" spans="1:6" x14ac:dyDescent="0.25">
      <c r="A119979"/>
      <c r="B119979"/>
      <c r="C119979"/>
      <c r="E119979"/>
      <c r="F119979"/>
    </row>
    <row r="119980" spans="1:6" x14ac:dyDescent="0.25">
      <c r="A119980"/>
      <c r="B119980"/>
      <c r="C119980"/>
      <c r="E119980"/>
      <c r="F119980"/>
    </row>
    <row r="119981" spans="1:6" x14ac:dyDescent="0.25">
      <c r="A119981"/>
      <c r="B119981"/>
      <c r="C119981"/>
      <c r="E119981"/>
      <c r="F119981"/>
    </row>
    <row r="119982" spans="1:6" x14ac:dyDescent="0.25">
      <c r="A119982"/>
      <c r="B119982"/>
      <c r="C119982"/>
      <c r="E119982"/>
      <c r="F119982"/>
    </row>
    <row r="119983" spans="1:6" x14ac:dyDescent="0.25">
      <c r="A119983"/>
      <c r="B119983"/>
      <c r="C119983"/>
      <c r="E119983"/>
      <c r="F119983"/>
    </row>
    <row r="119984" spans="1:6" x14ac:dyDescent="0.25">
      <c r="A119984"/>
      <c r="B119984"/>
      <c r="C119984"/>
      <c r="E119984"/>
      <c r="F119984"/>
    </row>
    <row r="119985" spans="1:6" x14ac:dyDescent="0.25">
      <c r="A119985"/>
      <c r="B119985"/>
      <c r="C119985"/>
      <c r="E119985"/>
      <c r="F119985"/>
    </row>
    <row r="119986" spans="1:6" x14ac:dyDescent="0.25">
      <c r="A119986"/>
      <c r="B119986"/>
      <c r="C119986"/>
      <c r="E119986"/>
      <c r="F119986"/>
    </row>
    <row r="119987" spans="1:6" x14ac:dyDescent="0.25">
      <c r="A119987"/>
      <c r="B119987"/>
      <c r="C119987"/>
      <c r="E119987"/>
      <c r="F119987"/>
    </row>
    <row r="119988" spans="1:6" x14ac:dyDescent="0.25">
      <c r="A119988"/>
      <c r="B119988"/>
      <c r="C119988"/>
      <c r="E119988"/>
      <c r="F119988"/>
    </row>
    <row r="119989" spans="1:6" x14ac:dyDescent="0.25">
      <c r="A119989"/>
      <c r="B119989"/>
      <c r="C119989"/>
      <c r="E119989"/>
      <c r="F119989"/>
    </row>
    <row r="119990" spans="1:6" x14ac:dyDescent="0.25">
      <c r="A119990"/>
      <c r="B119990"/>
      <c r="C119990"/>
      <c r="E119990"/>
      <c r="F119990"/>
    </row>
    <row r="119991" spans="1:6" x14ac:dyDescent="0.25">
      <c r="A119991"/>
      <c r="B119991"/>
      <c r="C119991"/>
      <c r="E119991"/>
      <c r="F119991"/>
    </row>
    <row r="119992" spans="1:6" x14ac:dyDescent="0.25">
      <c r="A119992"/>
      <c r="B119992"/>
      <c r="C119992"/>
      <c r="E119992"/>
      <c r="F119992"/>
    </row>
    <row r="119993" spans="1:6" x14ac:dyDescent="0.25">
      <c r="A119993"/>
      <c r="B119993"/>
      <c r="C119993"/>
      <c r="E119993"/>
      <c r="F119993"/>
    </row>
    <row r="119994" spans="1:6" x14ac:dyDescent="0.25">
      <c r="A119994"/>
      <c r="B119994"/>
      <c r="C119994"/>
      <c r="E119994"/>
      <c r="F119994"/>
    </row>
    <row r="119995" spans="1:6" x14ac:dyDescent="0.25">
      <c r="A119995"/>
      <c r="B119995"/>
      <c r="C119995"/>
      <c r="E119995"/>
      <c r="F119995"/>
    </row>
    <row r="119996" spans="1:6" x14ac:dyDescent="0.25">
      <c r="A119996"/>
      <c r="B119996"/>
      <c r="C119996"/>
      <c r="E119996"/>
      <c r="F119996"/>
    </row>
    <row r="119997" spans="1:6" x14ac:dyDescent="0.25">
      <c r="A119997"/>
      <c r="B119997"/>
      <c r="C119997"/>
      <c r="E119997"/>
      <c r="F119997"/>
    </row>
    <row r="119998" spans="1:6" x14ac:dyDescent="0.25">
      <c r="A119998"/>
      <c r="B119998"/>
      <c r="C119998"/>
      <c r="E119998"/>
      <c r="F119998"/>
    </row>
    <row r="119999" spans="1:6" x14ac:dyDescent="0.25">
      <c r="A119999"/>
      <c r="B119999"/>
      <c r="C119999"/>
      <c r="E119999"/>
      <c r="F119999"/>
    </row>
    <row r="120000" spans="1:6" x14ac:dyDescent="0.25">
      <c r="A120000"/>
      <c r="B120000"/>
      <c r="C120000"/>
      <c r="E120000"/>
      <c r="F120000"/>
    </row>
    <row r="120001" spans="1:6" x14ac:dyDescent="0.25">
      <c r="A120001"/>
      <c r="B120001"/>
      <c r="C120001"/>
      <c r="E120001"/>
      <c r="F120001"/>
    </row>
    <row r="120002" spans="1:6" x14ac:dyDescent="0.25">
      <c r="A120002"/>
      <c r="B120002"/>
      <c r="C120002"/>
      <c r="E120002"/>
      <c r="F120002"/>
    </row>
    <row r="120003" spans="1:6" x14ac:dyDescent="0.25">
      <c r="A120003"/>
      <c r="B120003"/>
      <c r="C120003"/>
      <c r="E120003"/>
      <c r="F120003"/>
    </row>
    <row r="120004" spans="1:6" x14ac:dyDescent="0.25">
      <c r="A120004"/>
      <c r="B120004"/>
      <c r="C120004"/>
      <c r="E120004"/>
      <c r="F120004"/>
    </row>
    <row r="120005" spans="1:6" x14ac:dyDescent="0.25">
      <c r="A120005"/>
      <c r="B120005"/>
      <c r="C120005"/>
      <c r="E120005"/>
      <c r="F120005"/>
    </row>
    <row r="120006" spans="1:6" x14ac:dyDescent="0.25">
      <c r="A120006"/>
      <c r="B120006"/>
      <c r="C120006"/>
      <c r="E120006"/>
      <c r="F120006"/>
    </row>
    <row r="120007" spans="1:6" x14ac:dyDescent="0.25">
      <c r="A120007"/>
      <c r="B120007"/>
      <c r="C120007"/>
      <c r="E120007"/>
      <c r="F120007"/>
    </row>
    <row r="120008" spans="1:6" x14ac:dyDescent="0.25">
      <c r="A120008"/>
      <c r="B120008"/>
      <c r="C120008"/>
      <c r="E120008"/>
      <c r="F120008"/>
    </row>
    <row r="120009" spans="1:6" x14ac:dyDescent="0.25">
      <c r="A120009"/>
      <c r="B120009"/>
      <c r="C120009"/>
      <c r="E120009"/>
      <c r="F120009"/>
    </row>
    <row r="120010" spans="1:6" x14ac:dyDescent="0.25">
      <c r="A120010"/>
      <c r="B120010"/>
      <c r="C120010"/>
      <c r="E120010"/>
      <c r="F120010"/>
    </row>
    <row r="120011" spans="1:6" x14ac:dyDescent="0.25">
      <c r="A120011"/>
      <c r="B120011"/>
      <c r="C120011"/>
      <c r="E120011"/>
      <c r="F120011"/>
    </row>
    <row r="120012" spans="1:6" x14ac:dyDescent="0.25">
      <c r="A120012"/>
      <c r="B120012"/>
      <c r="C120012"/>
      <c r="E120012"/>
      <c r="F120012"/>
    </row>
    <row r="120013" spans="1:6" x14ac:dyDescent="0.25">
      <c r="A120013"/>
      <c r="B120013"/>
      <c r="C120013"/>
      <c r="E120013"/>
      <c r="F120013"/>
    </row>
    <row r="120014" spans="1:6" x14ac:dyDescent="0.25">
      <c r="A120014"/>
      <c r="B120014"/>
      <c r="C120014"/>
      <c r="E120014"/>
      <c r="F120014"/>
    </row>
    <row r="120015" spans="1:6" x14ac:dyDescent="0.25">
      <c r="A120015"/>
      <c r="B120015"/>
      <c r="C120015"/>
      <c r="E120015"/>
      <c r="F120015"/>
    </row>
    <row r="120016" spans="1:6" x14ac:dyDescent="0.25">
      <c r="A120016"/>
      <c r="B120016"/>
      <c r="C120016"/>
      <c r="E120016"/>
      <c r="F120016"/>
    </row>
    <row r="120017" spans="1:6" x14ac:dyDescent="0.25">
      <c r="A120017"/>
      <c r="B120017"/>
      <c r="C120017"/>
      <c r="E120017"/>
      <c r="F120017"/>
    </row>
    <row r="120018" spans="1:6" x14ac:dyDescent="0.25">
      <c r="A120018"/>
      <c r="B120018"/>
      <c r="C120018"/>
      <c r="E120018"/>
      <c r="F120018"/>
    </row>
    <row r="120019" spans="1:6" x14ac:dyDescent="0.25">
      <c r="A120019"/>
      <c r="B120019"/>
      <c r="C120019"/>
      <c r="E120019"/>
      <c r="F120019"/>
    </row>
    <row r="120020" spans="1:6" x14ac:dyDescent="0.25">
      <c r="A120020"/>
      <c r="B120020"/>
      <c r="C120020"/>
      <c r="E120020"/>
      <c r="F120020"/>
    </row>
    <row r="120021" spans="1:6" x14ac:dyDescent="0.25">
      <c r="A120021"/>
      <c r="B120021"/>
      <c r="C120021"/>
      <c r="E120021"/>
      <c r="F120021"/>
    </row>
    <row r="120022" spans="1:6" x14ac:dyDescent="0.25">
      <c r="A120022"/>
      <c r="B120022"/>
      <c r="C120022"/>
      <c r="E120022"/>
      <c r="F120022"/>
    </row>
    <row r="120023" spans="1:6" x14ac:dyDescent="0.25">
      <c r="A120023"/>
      <c r="B120023"/>
      <c r="C120023"/>
      <c r="E120023"/>
      <c r="F120023"/>
    </row>
    <row r="120024" spans="1:6" x14ac:dyDescent="0.25">
      <c r="A120024"/>
      <c r="B120024"/>
      <c r="C120024"/>
      <c r="E120024"/>
      <c r="F120024"/>
    </row>
    <row r="120025" spans="1:6" x14ac:dyDescent="0.25">
      <c r="A120025"/>
      <c r="B120025"/>
      <c r="C120025"/>
      <c r="E120025"/>
      <c r="F120025"/>
    </row>
    <row r="120026" spans="1:6" x14ac:dyDescent="0.25">
      <c r="A120026"/>
      <c r="B120026"/>
      <c r="C120026"/>
      <c r="E120026"/>
      <c r="F120026"/>
    </row>
    <row r="120027" spans="1:6" x14ac:dyDescent="0.25">
      <c r="A120027"/>
      <c r="B120027"/>
      <c r="C120027"/>
      <c r="E120027"/>
      <c r="F120027"/>
    </row>
    <row r="120028" spans="1:6" x14ac:dyDescent="0.25">
      <c r="A120028"/>
      <c r="B120028"/>
      <c r="C120028"/>
      <c r="E120028"/>
      <c r="F120028"/>
    </row>
    <row r="120029" spans="1:6" x14ac:dyDescent="0.25">
      <c r="A120029"/>
      <c r="B120029"/>
      <c r="C120029"/>
      <c r="E120029"/>
      <c r="F120029"/>
    </row>
    <row r="120030" spans="1:6" x14ac:dyDescent="0.25">
      <c r="A120030"/>
      <c r="B120030"/>
      <c r="C120030"/>
      <c r="E120030"/>
      <c r="F120030"/>
    </row>
    <row r="120031" spans="1:6" x14ac:dyDescent="0.25">
      <c r="A120031"/>
      <c r="B120031"/>
      <c r="C120031"/>
      <c r="E120031"/>
      <c r="F120031"/>
    </row>
    <row r="120032" spans="1:6" x14ac:dyDescent="0.25">
      <c r="A120032"/>
      <c r="B120032"/>
      <c r="C120032"/>
      <c r="E120032"/>
      <c r="F120032"/>
    </row>
    <row r="120033" spans="1:6" x14ac:dyDescent="0.25">
      <c r="A120033"/>
      <c r="B120033"/>
      <c r="C120033"/>
      <c r="E120033"/>
      <c r="F120033"/>
    </row>
    <row r="120034" spans="1:6" x14ac:dyDescent="0.25">
      <c r="A120034"/>
      <c r="B120034"/>
      <c r="C120034"/>
      <c r="E120034"/>
      <c r="F120034"/>
    </row>
    <row r="120035" spans="1:6" x14ac:dyDescent="0.25">
      <c r="A120035"/>
      <c r="B120035"/>
      <c r="C120035"/>
      <c r="E120035"/>
      <c r="F120035"/>
    </row>
    <row r="120036" spans="1:6" x14ac:dyDescent="0.25">
      <c r="A120036"/>
      <c r="B120036"/>
      <c r="C120036"/>
      <c r="E120036"/>
      <c r="F120036"/>
    </row>
    <row r="120037" spans="1:6" x14ac:dyDescent="0.25">
      <c r="A120037"/>
      <c r="B120037"/>
      <c r="C120037"/>
      <c r="E120037"/>
      <c r="F120037"/>
    </row>
    <row r="120038" spans="1:6" x14ac:dyDescent="0.25">
      <c r="A120038"/>
      <c r="B120038"/>
      <c r="C120038"/>
      <c r="E120038"/>
      <c r="F120038"/>
    </row>
    <row r="120039" spans="1:6" x14ac:dyDescent="0.25">
      <c r="A120039"/>
      <c r="B120039"/>
      <c r="C120039"/>
      <c r="E120039"/>
      <c r="F120039"/>
    </row>
    <row r="120040" spans="1:6" x14ac:dyDescent="0.25">
      <c r="A120040"/>
      <c r="B120040"/>
      <c r="C120040"/>
      <c r="E120040"/>
      <c r="F120040"/>
    </row>
    <row r="120041" spans="1:6" x14ac:dyDescent="0.25">
      <c r="A120041"/>
      <c r="B120041"/>
      <c r="C120041"/>
      <c r="E120041"/>
      <c r="F120041"/>
    </row>
    <row r="120042" spans="1:6" x14ac:dyDescent="0.25">
      <c r="A120042"/>
      <c r="B120042"/>
      <c r="C120042"/>
      <c r="E120042"/>
      <c r="F120042"/>
    </row>
    <row r="120043" spans="1:6" x14ac:dyDescent="0.25">
      <c r="A120043"/>
      <c r="B120043"/>
      <c r="C120043"/>
      <c r="E120043"/>
      <c r="F120043"/>
    </row>
    <row r="120044" spans="1:6" x14ac:dyDescent="0.25">
      <c r="A120044"/>
      <c r="B120044"/>
      <c r="C120044"/>
      <c r="E120044"/>
      <c r="F120044"/>
    </row>
    <row r="120045" spans="1:6" x14ac:dyDescent="0.25">
      <c r="A120045"/>
      <c r="B120045"/>
      <c r="C120045"/>
      <c r="E120045"/>
      <c r="F120045"/>
    </row>
    <row r="120046" spans="1:6" x14ac:dyDescent="0.25">
      <c r="A120046"/>
      <c r="B120046"/>
      <c r="C120046"/>
      <c r="E120046"/>
      <c r="F120046"/>
    </row>
    <row r="120047" spans="1:6" x14ac:dyDescent="0.25">
      <c r="A120047"/>
      <c r="B120047"/>
      <c r="C120047"/>
      <c r="E120047"/>
      <c r="F120047"/>
    </row>
    <row r="120048" spans="1:6" x14ac:dyDescent="0.25">
      <c r="A120048"/>
      <c r="B120048"/>
      <c r="C120048"/>
      <c r="E120048"/>
      <c r="F120048"/>
    </row>
    <row r="120049" spans="1:6" x14ac:dyDescent="0.25">
      <c r="A120049"/>
      <c r="B120049"/>
      <c r="C120049"/>
      <c r="E120049"/>
      <c r="F120049"/>
    </row>
    <row r="120050" spans="1:6" x14ac:dyDescent="0.25">
      <c r="A120050"/>
      <c r="B120050"/>
      <c r="C120050"/>
      <c r="E120050"/>
      <c r="F120050"/>
    </row>
    <row r="120051" spans="1:6" x14ac:dyDescent="0.25">
      <c r="A120051"/>
      <c r="B120051"/>
      <c r="C120051"/>
      <c r="E120051"/>
      <c r="F120051"/>
    </row>
    <row r="120052" spans="1:6" x14ac:dyDescent="0.25">
      <c r="A120052"/>
      <c r="B120052"/>
      <c r="C120052"/>
      <c r="E120052"/>
      <c r="F120052"/>
    </row>
    <row r="120053" spans="1:6" x14ac:dyDescent="0.25">
      <c r="A120053"/>
      <c r="B120053"/>
      <c r="C120053"/>
      <c r="E120053"/>
      <c r="F120053"/>
    </row>
    <row r="120054" spans="1:6" x14ac:dyDescent="0.25">
      <c r="A120054"/>
      <c r="B120054"/>
      <c r="C120054"/>
      <c r="E120054"/>
      <c r="F120054"/>
    </row>
    <row r="120055" spans="1:6" x14ac:dyDescent="0.25">
      <c r="A120055"/>
      <c r="B120055"/>
      <c r="C120055"/>
      <c r="E120055"/>
      <c r="F120055"/>
    </row>
    <row r="120056" spans="1:6" x14ac:dyDescent="0.25">
      <c r="A120056"/>
      <c r="B120056"/>
      <c r="C120056"/>
      <c r="E120056"/>
      <c r="F120056"/>
    </row>
    <row r="120057" spans="1:6" x14ac:dyDescent="0.25">
      <c r="A120057"/>
      <c r="B120057"/>
      <c r="C120057"/>
      <c r="E120057"/>
      <c r="F120057"/>
    </row>
    <row r="120058" spans="1:6" x14ac:dyDescent="0.25">
      <c r="A120058"/>
      <c r="B120058"/>
      <c r="C120058"/>
      <c r="E120058"/>
      <c r="F120058"/>
    </row>
    <row r="120059" spans="1:6" x14ac:dyDescent="0.25">
      <c r="A120059"/>
      <c r="B120059"/>
      <c r="C120059"/>
      <c r="E120059"/>
      <c r="F120059"/>
    </row>
    <row r="120060" spans="1:6" x14ac:dyDescent="0.25">
      <c r="A120060"/>
      <c r="B120060"/>
      <c r="C120060"/>
      <c r="E120060"/>
      <c r="F120060"/>
    </row>
    <row r="120061" spans="1:6" x14ac:dyDescent="0.25">
      <c r="A120061"/>
      <c r="B120061"/>
      <c r="C120061"/>
      <c r="E120061"/>
      <c r="F120061"/>
    </row>
    <row r="120062" spans="1:6" x14ac:dyDescent="0.25">
      <c r="A120062"/>
      <c r="B120062"/>
      <c r="C120062"/>
      <c r="E120062"/>
      <c r="F120062"/>
    </row>
    <row r="120063" spans="1:6" x14ac:dyDescent="0.25">
      <c r="A120063"/>
      <c r="B120063"/>
      <c r="C120063"/>
      <c r="E120063"/>
      <c r="F120063"/>
    </row>
    <row r="120064" spans="1:6" x14ac:dyDescent="0.25">
      <c r="A120064"/>
      <c r="B120064"/>
      <c r="C120064"/>
      <c r="E120064"/>
      <c r="F120064"/>
    </row>
    <row r="120065" spans="1:6" x14ac:dyDescent="0.25">
      <c r="A120065"/>
      <c r="B120065"/>
      <c r="C120065"/>
      <c r="E120065"/>
      <c r="F120065"/>
    </row>
    <row r="120066" spans="1:6" x14ac:dyDescent="0.25">
      <c r="A120066"/>
      <c r="B120066"/>
      <c r="C120066"/>
      <c r="E120066"/>
      <c r="F120066"/>
    </row>
    <row r="120067" spans="1:6" x14ac:dyDescent="0.25">
      <c r="A120067"/>
      <c r="B120067"/>
      <c r="C120067"/>
      <c r="E120067"/>
      <c r="F120067"/>
    </row>
    <row r="120068" spans="1:6" x14ac:dyDescent="0.25">
      <c r="A120068"/>
      <c r="B120068"/>
      <c r="C120068"/>
      <c r="E120068"/>
      <c r="F120068"/>
    </row>
    <row r="120069" spans="1:6" x14ac:dyDescent="0.25">
      <c r="A120069"/>
      <c r="B120069"/>
      <c r="C120069"/>
      <c r="E120069"/>
      <c r="F120069"/>
    </row>
    <row r="120070" spans="1:6" x14ac:dyDescent="0.25">
      <c r="A120070"/>
      <c r="B120070"/>
      <c r="C120070"/>
      <c r="E120070"/>
      <c r="F120070"/>
    </row>
    <row r="120071" spans="1:6" x14ac:dyDescent="0.25">
      <c r="A120071"/>
      <c r="B120071"/>
      <c r="C120071"/>
      <c r="E120071"/>
      <c r="F120071"/>
    </row>
    <row r="120072" spans="1:6" x14ac:dyDescent="0.25">
      <c r="A120072"/>
      <c r="B120072"/>
      <c r="C120072"/>
      <c r="E120072"/>
      <c r="F120072"/>
    </row>
    <row r="120073" spans="1:6" x14ac:dyDescent="0.25">
      <c r="A120073"/>
      <c r="B120073"/>
      <c r="C120073"/>
      <c r="E120073"/>
      <c r="F120073"/>
    </row>
    <row r="120074" spans="1:6" x14ac:dyDescent="0.25">
      <c r="A120074"/>
      <c r="B120074"/>
      <c r="C120074"/>
      <c r="E120074"/>
      <c r="F120074"/>
    </row>
    <row r="120075" spans="1:6" x14ac:dyDescent="0.25">
      <c r="A120075"/>
      <c r="B120075"/>
      <c r="C120075"/>
      <c r="E120075"/>
      <c r="F120075"/>
    </row>
    <row r="120076" spans="1:6" x14ac:dyDescent="0.25">
      <c r="A120076"/>
      <c r="B120076"/>
      <c r="C120076"/>
      <c r="E120076"/>
      <c r="F120076"/>
    </row>
    <row r="120077" spans="1:6" x14ac:dyDescent="0.25">
      <c r="A120077"/>
      <c r="B120077"/>
      <c r="C120077"/>
      <c r="E120077"/>
      <c r="F120077"/>
    </row>
    <row r="120078" spans="1:6" x14ac:dyDescent="0.25">
      <c r="A120078"/>
      <c r="B120078"/>
      <c r="C120078"/>
      <c r="E120078"/>
      <c r="F120078"/>
    </row>
    <row r="120079" spans="1:6" x14ac:dyDescent="0.25">
      <c r="A120079"/>
      <c r="B120079"/>
      <c r="C120079"/>
      <c r="E120079"/>
      <c r="F120079"/>
    </row>
    <row r="120080" spans="1:6" x14ac:dyDescent="0.25">
      <c r="A120080"/>
      <c r="B120080"/>
      <c r="C120080"/>
      <c r="E120080"/>
      <c r="F120080"/>
    </row>
    <row r="120081" spans="1:6" x14ac:dyDescent="0.25">
      <c r="A120081"/>
      <c r="B120081"/>
      <c r="C120081"/>
      <c r="E120081"/>
      <c r="F120081"/>
    </row>
    <row r="120082" spans="1:6" x14ac:dyDescent="0.25">
      <c r="A120082"/>
      <c r="B120082"/>
      <c r="C120082"/>
      <c r="E120082"/>
      <c r="F120082"/>
    </row>
    <row r="120083" spans="1:6" x14ac:dyDescent="0.25">
      <c r="A120083"/>
      <c r="B120083"/>
      <c r="C120083"/>
      <c r="E120083"/>
      <c r="F120083"/>
    </row>
    <row r="120084" spans="1:6" x14ac:dyDescent="0.25">
      <c r="A120084"/>
      <c r="B120084"/>
      <c r="C120084"/>
      <c r="E120084"/>
      <c r="F120084"/>
    </row>
    <row r="120085" spans="1:6" x14ac:dyDescent="0.25">
      <c r="A120085"/>
      <c r="B120085"/>
      <c r="C120085"/>
      <c r="E120085"/>
      <c r="F120085"/>
    </row>
    <row r="120086" spans="1:6" x14ac:dyDescent="0.25">
      <c r="A120086"/>
      <c r="B120086"/>
      <c r="C120086"/>
      <c r="E120086"/>
      <c r="F120086"/>
    </row>
    <row r="120087" spans="1:6" x14ac:dyDescent="0.25">
      <c r="A120087"/>
      <c r="B120087"/>
      <c r="C120087"/>
      <c r="E120087"/>
      <c r="F120087"/>
    </row>
    <row r="120088" spans="1:6" x14ac:dyDescent="0.25">
      <c r="A120088"/>
      <c r="B120088"/>
      <c r="C120088"/>
      <c r="E120088"/>
      <c r="F120088"/>
    </row>
    <row r="120089" spans="1:6" x14ac:dyDescent="0.25">
      <c r="A120089"/>
      <c r="B120089"/>
      <c r="C120089"/>
      <c r="E120089"/>
      <c r="F120089"/>
    </row>
    <row r="120090" spans="1:6" x14ac:dyDescent="0.25">
      <c r="A120090"/>
      <c r="B120090"/>
      <c r="C120090"/>
      <c r="E120090"/>
      <c r="F120090"/>
    </row>
    <row r="120091" spans="1:6" x14ac:dyDescent="0.25">
      <c r="A120091"/>
      <c r="B120091"/>
      <c r="C120091"/>
      <c r="E120091"/>
      <c r="F120091"/>
    </row>
    <row r="120092" spans="1:6" x14ac:dyDescent="0.25">
      <c r="A120092"/>
      <c r="B120092"/>
      <c r="C120092"/>
      <c r="E120092"/>
      <c r="F120092"/>
    </row>
    <row r="120093" spans="1:6" x14ac:dyDescent="0.25">
      <c r="A120093"/>
      <c r="B120093"/>
      <c r="C120093"/>
      <c r="E120093"/>
      <c r="F120093"/>
    </row>
    <row r="120094" spans="1:6" x14ac:dyDescent="0.25">
      <c r="A120094"/>
      <c r="B120094"/>
      <c r="C120094"/>
      <c r="E120094"/>
      <c r="F120094"/>
    </row>
    <row r="120095" spans="1:6" x14ac:dyDescent="0.25">
      <c r="A120095"/>
      <c r="B120095"/>
      <c r="C120095"/>
      <c r="E120095"/>
      <c r="F120095"/>
    </row>
    <row r="120096" spans="1:6" x14ac:dyDescent="0.25">
      <c r="A120096"/>
      <c r="B120096"/>
      <c r="C120096"/>
      <c r="E120096"/>
      <c r="F120096"/>
    </row>
    <row r="120097" spans="1:6" x14ac:dyDescent="0.25">
      <c r="A120097"/>
      <c r="B120097"/>
      <c r="C120097"/>
      <c r="E120097"/>
      <c r="F120097"/>
    </row>
    <row r="120098" spans="1:6" x14ac:dyDescent="0.25">
      <c r="A120098"/>
      <c r="B120098"/>
      <c r="C120098"/>
      <c r="E120098"/>
      <c r="F120098"/>
    </row>
    <row r="120099" spans="1:6" x14ac:dyDescent="0.25">
      <c r="A120099"/>
      <c r="B120099"/>
      <c r="C120099"/>
      <c r="E120099"/>
      <c r="F120099"/>
    </row>
    <row r="120100" spans="1:6" x14ac:dyDescent="0.25">
      <c r="A120100"/>
      <c r="B120100"/>
      <c r="C120100"/>
      <c r="E120100"/>
      <c r="F120100"/>
    </row>
    <row r="120101" spans="1:6" x14ac:dyDescent="0.25">
      <c r="A120101"/>
      <c r="B120101"/>
      <c r="C120101"/>
      <c r="E120101"/>
      <c r="F120101"/>
    </row>
    <row r="120102" spans="1:6" x14ac:dyDescent="0.25">
      <c r="A120102"/>
      <c r="B120102"/>
      <c r="C120102"/>
      <c r="E120102"/>
      <c r="F120102"/>
    </row>
    <row r="120103" spans="1:6" x14ac:dyDescent="0.25">
      <c r="A120103"/>
      <c r="B120103"/>
      <c r="C120103"/>
      <c r="E120103"/>
      <c r="F120103"/>
    </row>
    <row r="120104" spans="1:6" x14ac:dyDescent="0.25">
      <c r="A120104"/>
      <c r="B120104"/>
      <c r="C120104"/>
      <c r="E120104"/>
      <c r="F120104"/>
    </row>
    <row r="120105" spans="1:6" x14ac:dyDescent="0.25">
      <c r="A120105"/>
      <c r="B120105"/>
      <c r="C120105"/>
      <c r="E120105"/>
      <c r="F120105"/>
    </row>
    <row r="120106" spans="1:6" x14ac:dyDescent="0.25">
      <c r="A120106"/>
      <c r="B120106"/>
      <c r="C120106"/>
      <c r="E120106"/>
      <c r="F120106"/>
    </row>
    <row r="120107" spans="1:6" x14ac:dyDescent="0.25">
      <c r="A120107"/>
      <c r="B120107"/>
      <c r="C120107"/>
      <c r="E120107"/>
      <c r="F120107"/>
    </row>
    <row r="120108" spans="1:6" x14ac:dyDescent="0.25">
      <c r="A120108"/>
      <c r="B120108"/>
      <c r="C120108"/>
      <c r="E120108"/>
      <c r="F120108"/>
    </row>
    <row r="120109" spans="1:6" x14ac:dyDescent="0.25">
      <c r="A120109"/>
      <c r="B120109"/>
      <c r="C120109"/>
      <c r="E120109"/>
      <c r="F120109"/>
    </row>
    <row r="120110" spans="1:6" x14ac:dyDescent="0.25">
      <c r="A120110"/>
      <c r="B120110"/>
      <c r="C120110"/>
      <c r="E120110"/>
      <c r="F120110"/>
    </row>
    <row r="120111" spans="1:6" x14ac:dyDescent="0.25">
      <c r="A120111"/>
      <c r="B120111"/>
      <c r="C120111"/>
      <c r="E120111"/>
      <c r="F120111"/>
    </row>
    <row r="120112" spans="1:6" x14ac:dyDescent="0.25">
      <c r="A120112"/>
      <c r="B120112"/>
      <c r="C120112"/>
      <c r="E120112"/>
      <c r="F120112"/>
    </row>
    <row r="120113" spans="1:6" x14ac:dyDescent="0.25">
      <c r="A120113"/>
      <c r="B120113"/>
      <c r="C120113"/>
      <c r="E120113"/>
      <c r="F120113"/>
    </row>
    <row r="120114" spans="1:6" x14ac:dyDescent="0.25">
      <c r="A120114"/>
      <c r="B120114"/>
      <c r="C120114"/>
      <c r="E120114"/>
      <c r="F120114"/>
    </row>
    <row r="120115" spans="1:6" x14ac:dyDescent="0.25">
      <c r="A120115"/>
      <c r="B120115"/>
      <c r="C120115"/>
      <c r="E120115"/>
      <c r="F120115"/>
    </row>
    <row r="120116" spans="1:6" x14ac:dyDescent="0.25">
      <c r="A120116"/>
      <c r="B120116"/>
      <c r="C120116"/>
      <c r="E120116"/>
      <c r="F120116"/>
    </row>
    <row r="120117" spans="1:6" x14ac:dyDescent="0.25">
      <c r="A120117"/>
      <c r="B120117"/>
      <c r="C120117"/>
      <c r="E120117"/>
      <c r="F120117"/>
    </row>
    <row r="120118" spans="1:6" x14ac:dyDescent="0.25">
      <c r="A120118"/>
      <c r="B120118"/>
      <c r="C120118"/>
      <c r="E120118"/>
      <c r="F120118"/>
    </row>
    <row r="120119" spans="1:6" x14ac:dyDescent="0.25">
      <c r="A120119"/>
      <c r="B120119"/>
      <c r="C120119"/>
      <c r="E120119"/>
      <c r="F120119"/>
    </row>
    <row r="120120" spans="1:6" x14ac:dyDescent="0.25">
      <c r="A120120"/>
      <c r="B120120"/>
      <c r="C120120"/>
      <c r="E120120"/>
      <c r="F120120"/>
    </row>
    <row r="120121" spans="1:6" x14ac:dyDescent="0.25">
      <c r="A120121"/>
      <c r="B120121"/>
      <c r="C120121"/>
      <c r="E120121"/>
      <c r="F120121"/>
    </row>
    <row r="120122" spans="1:6" x14ac:dyDescent="0.25">
      <c r="A120122"/>
      <c r="B120122"/>
      <c r="C120122"/>
      <c r="E120122"/>
      <c r="F120122"/>
    </row>
    <row r="120123" spans="1:6" x14ac:dyDescent="0.25">
      <c r="A120123"/>
      <c r="B120123"/>
      <c r="C120123"/>
      <c r="E120123"/>
      <c r="F120123"/>
    </row>
    <row r="120124" spans="1:6" x14ac:dyDescent="0.25">
      <c r="A120124"/>
      <c r="B120124"/>
      <c r="C120124"/>
      <c r="E120124"/>
      <c r="F120124"/>
    </row>
    <row r="120125" spans="1:6" x14ac:dyDescent="0.25">
      <c r="A120125"/>
      <c r="B120125"/>
      <c r="C120125"/>
      <c r="E120125"/>
      <c r="F120125"/>
    </row>
    <row r="120126" spans="1:6" x14ac:dyDescent="0.25">
      <c r="A120126"/>
      <c r="B120126"/>
      <c r="C120126"/>
      <c r="E120126"/>
      <c r="F120126"/>
    </row>
    <row r="120127" spans="1:6" x14ac:dyDescent="0.25">
      <c r="A120127"/>
      <c r="B120127"/>
      <c r="C120127"/>
      <c r="E120127"/>
      <c r="F120127"/>
    </row>
    <row r="120128" spans="1:6" x14ac:dyDescent="0.25">
      <c r="A120128"/>
      <c r="B120128"/>
      <c r="C120128"/>
      <c r="E120128"/>
      <c r="F120128"/>
    </row>
    <row r="120129" spans="1:6" x14ac:dyDescent="0.25">
      <c r="A120129"/>
      <c r="B120129"/>
      <c r="C120129"/>
      <c r="E120129"/>
      <c r="F120129"/>
    </row>
    <row r="120130" spans="1:6" x14ac:dyDescent="0.25">
      <c r="A120130"/>
      <c r="B120130"/>
      <c r="C120130"/>
      <c r="E120130"/>
      <c r="F120130"/>
    </row>
    <row r="120131" spans="1:6" x14ac:dyDescent="0.25">
      <c r="A120131"/>
      <c r="B120131"/>
      <c r="C120131"/>
      <c r="E120131"/>
      <c r="F120131"/>
    </row>
    <row r="120132" spans="1:6" x14ac:dyDescent="0.25">
      <c r="A120132"/>
      <c r="B120132"/>
      <c r="C120132"/>
      <c r="E120132"/>
      <c r="F120132"/>
    </row>
    <row r="120133" spans="1:6" x14ac:dyDescent="0.25">
      <c r="A120133"/>
      <c r="B120133"/>
      <c r="C120133"/>
      <c r="E120133"/>
      <c r="F120133"/>
    </row>
    <row r="120134" spans="1:6" x14ac:dyDescent="0.25">
      <c r="A120134"/>
      <c r="B120134"/>
      <c r="C120134"/>
      <c r="E120134"/>
      <c r="F120134"/>
    </row>
    <row r="120135" spans="1:6" x14ac:dyDescent="0.25">
      <c r="A120135"/>
      <c r="B120135"/>
      <c r="C120135"/>
      <c r="E120135"/>
      <c r="F120135"/>
    </row>
    <row r="120136" spans="1:6" x14ac:dyDescent="0.25">
      <c r="A120136"/>
      <c r="B120136"/>
      <c r="C120136"/>
      <c r="E120136"/>
      <c r="F120136"/>
    </row>
    <row r="120137" spans="1:6" x14ac:dyDescent="0.25">
      <c r="A120137"/>
      <c r="B120137"/>
      <c r="C120137"/>
      <c r="E120137"/>
      <c r="F120137"/>
    </row>
    <row r="120138" spans="1:6" x14ac:dyDescent="0.25">
      <c r="A120138"/>
      <c r="B120138"/>
      <c r="C120138"/>
      <c r="E120138"/>
      <c r="F120138"/>
    </row>
    <row r="120139" spans="1:6" x14ac:dyDescent="0.25">
      <c r="A120139"/>
      <c r="B120139"/>
      <c r="C120139"/>
      <c r="E120139"/>
      <c r="F120139"/>
    </row>
    <row r="120140" spans="1:6" x14ac:dyDescent="0.25">
      <c r="A120140"/>
      <c r="B120140"/>
      <c r="C120140"/>
      <c r="E120140"/>
      <c r="F120140"/>
    </row>
    <row r="120141" spans="1:6" x14ac:dyDescent="0.25">
      <c r="A120141"/>
      <c r="B120141"/>
      <c r="C120141"/>
      <c r="E120141"/>
      <c r="F120141"/>
    </row>
    <row r="120142" spans="1:6" x14ac:dyDescent="0.25">
      <c r="A120142"/>
      <c r="B120142"/>
      <c r="C120142"/>
      <c r="E120142"/>
      <c r="F120142"/>
    </row>
    <row r="120143" spans="1:6" x14ac:dyDescent="0.25">
      <c r="A120143"/>
      <c r="B120143"/>
      <c r="C120143"/>
      <c r="E120143"/>
      <c r="F120143"/>
    </row>
    <row r="120144" spans="1:6" x14ac:dyDescent="0.25">
      <c r="A120144"/>
      <c r="B120144"/>
      <c r="C120144"/>
      <c r="E120144"/>
      <c r="F120144"/>
    </row>
    <row r="120145" spans="1:6" x14ac:dyDescent="0.25">
      <c r="A120145"/>
      <c r="B120145"/>
      <c r="C120145"/>
      <c r="E120145"/>
      <c r="F120145"/>
    </row>
    <row r="120146" spans="1:6" x14ac:dyDescent="0.25">
      <c r="A120146"/>
      <c r="B120146"/>
      <c r="C120146"/>
      <c r="E120146"/>
      <c r="F120146"/>
    </row>
    <row r="120147" spans="1:6" x14ac:dyDescent="0.25">
      <c r="A120147"/>
      <c r="B120147"/>
      <c r="C120147"/>
      <c r="E120147"/>
      <c r="F120147"/>
    </row>
    <row r="120148" spans="1:6" x14ac:dyDescent="0.25">
      <c r="A120148"/>
      <c r="B120148"/>
      <c r="C120148"/>
      <c r="E120148"/>
      <c r="F120148"/>
    </row>
    <row r="120149" spans="1:6" x14ac:dyDescent="0.25">
      <c r="A120149"/>
      <c r="B120149"/>
      <c r="C120149"/>
      <c r="E120149"/>
      <c r="F120149"/>
    </row>
    <row r="120150" spans="1:6" x14ac:dyDescent="0.25">
      <c r="A120150"/>
      <c r="B120150"/>
      <c r="C120150"/>
      <c r="E120150"/>
      <c r="F120150"/>
    </row>
    <row r="120151" spans="1:6" x14ac:dyDescent="0.25">
      <c r="A120151"/>
      <c r="B120151"/>
      <c r="C120151"/>
      <c r="E120151"/>
      <c r="F120151"/>
    </row>
    <row r="120152" spans="1:6" x14ac:dyDescent="0.25">
      <c r="A120152"/>
      <c r="B120152"/>
      <c r="C120152"/>
      <c r="E120152"/>
      <c r="F120152"/>
    </row>
    <row r="120153" spans="1:6" x14ac:dyDescent="0.25">
      <c r="A120153"/>
      <c r="B120153"/>
      <c r="C120153"/>
      <c r="E120153"/>
      <c r="F120153"/>
    </row>
    <row r="120154" spans="1:6" x14ac:dyDescent="0.25">
      <c r="A120154"/>
      <c r="B120154"/>
      <c r="C120154"/>
      <c r="E120154"/>
      <c r="F120154"/>
    </row>
    <row r="120155" spans="1:6" x14ac:dyDescent="0.25">
      <c r="A120155"/>
      <c r="B120155"/>
      <c r="C120155"/>
      <c r="E120155"/>
      <c r="F120155"/>
    </row>
    <row r="120156" spans="1:6" x14ac:dyDescent="0.25">
      <c r="A120156"/>
      <c r="B120156"/>
      <c r="C120156"/>
      <c r="E120156"/>
      <c r="F120156"/>
    </row>
    <row r="120157" spans="1:6" x14ac:dyDescent="0.25">
      <c r="A120157"/>
      <c r="B120157"/>
      <c r="C120157"/>
      <c r="E120157"/>
      <c r="F120157"/>
    </row>
    <row r="120158" spans="1:6" x14ac:dyDescent="0.25">
      <c r="A120158"/>
      <c r="B120158"/>
      <c r="C120158"/>
      <c r="E120158"/>
      <c r="F120158"/>
    </row>
    <row r="120159" spans="1:6" x14ac:dyDescent="0.25">
      <c r="A120159"/>
      <c r="B120159"/>
      <c r="C120159"/>
      <c r="E120159"/>
      <c r="F120159"/>
    </row>
    <row r="120160" spans="1:6" x14ac:dyDescent="0.25">
      <c r="A120160"/>
      <c r="B120160"/>
      <c r="C120160"/>
      <c r="E120160"/>
      <c r="F120160"/>
    </row>
    <row r="120161" spans="1:6" x14ac:dyDescent="0.25">
      <c r="A120161"/>
      <c r="B120161"/>
      <c r="C120161"/>
      <c r="E120161"/>
      <c r="F120161"/>
    </row>
    <row r="120162" spans="1:6" x14ac:dyDescent="0.25">
      <c r="A120162"/>
      <c r="B120162"/>
      <c r="C120162"/>
      <c r="E120162"/>
      <c r="F120162"/>
    </row>
    <row r="120163" spans="1:6" x14ac:dyDescent="0.25">
      <c r="A120163"/>
      <c r="B120163"/>
      <c r="C120163"/>
      <c r="E120163"/>
      <c r="F120163"/>
    </row>
    <row r="120164" spans="1:6" x14ac:dyDescent="0.25">
      <c r="A120164"/>
      <c r="B120164"/>
      <c r="C120164"/>
      <c r="E120164"/>
      <c r="F120164"/>
    </row>
    <row r="120165" spans="1:6" x14ac:dyDescent="0.25">
      <c r="A120165"/>
      <c r="B120165"/>
      <c r="C120165"/>
      <c r="E120165"/>
      <c r="F120165"/>
    </row>
    <row r="120166" spans="1:6" x14ac:dyDescent="0.25">
      <c r="A120166"/>
      <c r="B120166"/>
      <c r="C120166"/>
      <c r="E120166"/>
      <c r="F120166"/>
    </row>
    <row r="120167" spans="1:6" x14ac:dyDescent="0.25">
      <c r="A120167"/>
      <c r="B120167"/>
      <c r="C120167"/>
      <c r="E120167"/>
      <c r="F120167"/>
    </row>
    <row r="120168" spans="1:6" x14ac:dyDescent="0.25">
      <c r="A120168"/>
      <c r="B120168"/>
      <c r="C120168"/>
      <c r="E120168"/>
      <c r="F120168"/>
    </row>
    <row r="120169" spans="1:6" x14ac:dyDescent="0.25">
      <c r="A120169"/>
      <c r="B120169"/>
      <c r="C120169"/>
      <c r="E120169"/>
      <c r="F120169"/>
    </row>
    <row r="120170" spans="1:6" x14ac:dyDescent="0.25">
      <c r="A120170"/>
      <c r="B120170"/>
      <c r="C120170"/>
      <c r="E120170"/>
      <c r="F120170"/>
    </row>
    <row r="120171" spans="1:6" x14ac:dyDescent="0.25">
      <c r="A120171"/>
      <c r="B120171"/>
      <c r="C120171"/>
      <c r="E120171"/>
      <c r="F120171"/>
    </row>
    <row r="120172" spans="1:6" x14ac:dyDescent="0.25">
      <c r="A120172"/>
      <c r="B120172"/>
      <c r="C120172"/>
      <c r="E120172"/>
      <c r="F120172"/>
    </row>
    <row r="120173" spans="1:6" x14ac:dyDescent="0.25">
      <c r="A120173"/>
      <c r="B120173"/>
      <c r="C120173"/>
      <c r="E120173"/>
      <c r="F120173"/>
    </row>
    <row r="120174" spans="1:6" x14ac:dyDescent="0.25">
      <c r="A120174"/>
      <c r="B120174"/>
      <c r="C120174"/>
      <c r="E120174"/>
      <c r="F120174"/>
    </row>
    <row r="120175" spans="1:6" x14ac:dyDescent="0.25">
      <c r="A120175"/>
      <c r="B120175"/>
      <c r="C120175"/>
      <c r="E120175"/>
      <c r="F120175"/>
    </row>
    <row r="120176" spans="1:6" x14ac:dyDescent="0.25">
      <c r="A120176"/>
      <c r="B120176"/>
      <c r="C120176"/>
      <c r="E120176"/>
      <c r="F120176"/>
    </row>
    <row r="120177" spans="1:6" x14ac:dyDescent="0.25">
      <c r="A120177"/>
      <c r="B120177"/>
      <c r="C120177"/>
      <c r="E120177"/>
      <c r="F120177"/>
    </row>
    <row r="120178" spans="1:6" x14ac:dyDescent="0.25">
      <c r="A120178"/>
      <c r="B120178"/>
      <c r="C120178"/>
      <c r="E120178"/>
      <c r="F120178"/>
    </row>
    <row r="120179" spans="1:6" x14ac:dyDescent="0.25">
      <c r="A120179"/>
      <c r="B120179"/>
      <c r="C120179"/>
      <c r="E120179"/>
      <c r="F120179"/>
    </row>
    <row r="120180" spans="1:6" x14ac:dyDescent="0.25">
      <c r="A120180"/>
      <c r="B120180"/>
      <c r="C120180"/>
      <c r="E120180"/>
      <c r="F120180"/>
    </row>
    <row r="120181" spans="1:6" x14ac:dyDescent="0.25">
      <c r="A120181"/>
      <c r="B120181"/>
      <c r="C120181"/>
      <c r="E120181"/>
      <c r="F120181"/>
    </row>
    <row r="120182" spans="1:6" x14ac:dyDescent="0.25">
      <c r="A120182"/>
      <c r="B120182"/>
      <c r="C120182"/>
      <c r="E120182"/>
      <c r="F120182"/>
    </row>
    <row r="120183" spans="1:6" x14ac:dyDescent="0.25">
      <c r="A120183"/>
      <c r="B120183"/>
      <c r="C120183"/>
      <c r="E120183"/>
      <c r="F120183"/>
    </row>
    <row r="120184" spans="1:6" x14ac:dyDescent="0.25">
      <c r="A120184"/>
      <c r="B120184"/>
      <c r="C120184"/>
      <c r="E120184"/>
      <c r="F120184"/>
    </row>
    <row r="120185" spans="1:6" x14ac:dyDescent="0.25">
      <c r="A120185"/>
      <c r="B120185"/>
      <c r="C120185"/>
      <c r="E120185"/>
      <c r="F120185"/>
    </row>
    <row r="120186" spans="1:6" x14ac:dyDescent="0.25">
      <c r="A120186"/>
      <c r="B120186"/>
      <c r="C120186"/>
      <c r="E120186"/>
      <c r="F120186"/>
    </row>
    <row r="120187" spans="1:6" x14ac:dyDescent="0.25">
      <c r="A120187"/>
      <c r="B120187"/>
      <c r="C120187"/>
      <c r="E120187"/>
      <c r="F120187"/>
    </row>
    <row r="120188" spans="1:6" x14ac:dyDescent="0.25">
      <c r="A120188"/>
      <c r="B120188"/>
      <c r="C120188"/>
      <c r="E120188"/>
      <c r="F120188"/>
    </row>
    <row r="120189" spans="1:6" x14ac:dyDescent="0.25">
      <c r="A120189"/>
      <c r="B120189"/>
      <c r="C120189"/>
      <c r="E120189"/>
      <c r="F120189"/>
    </row>
    <row r="120190" spans="1:6" x14ac:dyDescent="0.25">
      <c r="A120190"/>
      <c r="B120190"/>
      <c r="C120190"/>
      <c r="E120190"/>
      <c r="F120190"/>
    </row>
    <row r="120191" spans="1:6" x14ac:dyDescent="0.25">
      <c r="A120191"/>
      <c r="B120191"/>
      <c r="C120191"/>
      <c r="E120191"/>
      <c r="F120191"/>
    </row>
    <row r="120192" spans="1:6" x14ac:dyDescent="0.25">
      <c r="A120192"/>
      <c r="B120192"/>
      <c r="C120192"/>
      <c r="E120192"/>
      <c r="F120192"/>
    </row>
    <row r="120193" spans="1:6" x14ac:dyDescent="0.25">
      <c r="A120193"/>
      <c r="B120193"/>
      <c r="C120193"/>
      <c r="E120193"/>
      <c r="F120193"/>
    </row>
    <row r="120194" spans="1:6" x14ac:dyDescent="0.25">
      <c r="A120194"/>
      <c r="B120194"/>
      <c r="C120194"/>
      <c r="E120194"/>
      <c r="F120194"/>
    </row>
    <row r="120195" spans="1:6" x14ac:dyDescent="0.25">
      <c r="A120195"/>
      <c r="B120195"/>
      <c r="C120195"/>
      <c r="E120195"/>
      <c r="F120195"/>
    </row>
    <row r="120196" spans="1:6" x14ac:dyDescent="0.25">
      <c r="A120196"/>
      <c r="B120196"/>
      <c r="C120196"/>
      <c r="E120196"/>
      <c r="F120196"/>
    </row>
    <row r="120197" spans="1:6" x14ac:dyDescent="0.25">
      <c r="A120197"/>
      <c r="B120197"/>
      <c r="C120197"/>
      <c r="E120197"/>
      <c r="F120197"/>
    </row>
    <row r="120198" spans="1:6" x14ac:dyDescent="0.25">
      <c r="A120198"/>
      <c r="B120198"/>
      <c r="C120198"/>
      <c r="E120198"/>
      <c r="F120198"/>
    </row>
    <row r="120199" spans="1:6" x14ac:dyDescent="0.25">
      <c r="A120199"/>
      <c r="B120199"/>
      <c r="C120199"/>
      <c r="E120199"/>
      <c r="F120199"/>
    </row>
    <row r="120200" spans="1:6" x14ac:dyDescent="0.25">
      <c r="A120200"/>
      <c r="B120200"/>
      <c r="C120200"/>
      <c r="E120200"/>
      <c r="F120200"/>
    </row>
    <row r="120201" spans="1:6" x14ac:dyDescent="0.25">
      <c r="A120201"/>
      <c r="B120201"/>
      <c r="C120201"/>
      <c r="E120201"/>
      <c r="F120201"/>
    </row>
    <row r="120202" spans="1:6" x14ac:dyDescent="0.25">
      <c r="A120202"/>
      <c r="B120202"/>
      <c r="C120202"/>
      <c r="E120202"/>
      <c r="F120202"/>
    </row>
    <row r="120203" spans="1:6" x14ac:dyDescent="0.25">
      <c r="A120203"/>
      <c r="B120203"/>
      <c r="C120203"/>
      <c r="E120203"/>
      <c r="F120203"/>
    </row>
    <row r="120204" spans="1:6" x14ac:dyDescent="0.25">
      <c r="A120204"/>
      <c r="B120204"/>
      <c r="C120204"/>
      <c r="E120204"/>
      <c r="F120204"/>
    </row>
    <row r="120205" spans="1:6" x14ac:dyDescent="0.25">
      <c r="A120205"/>
      <c r="B120205"/>
      <c r="C120205"/>
      <c r="E120205"/>
      <c r="F120205"/>
    </row>
    <row r="120206" spans="1:6" x14ac:dyDescent="0.25">
      <c r="A120206"/>
      <c r="B120206"/>
      <c r="C120206"/>
      <c r="E120206"/>
      <c r="F120206"/>
    </row>
    <row r="120207" spans="1:6" x14ac:dyDescent="0.25">
      <c r="A120207"/>
      <c r="B120207"/>
      <c r="C120207"/>
      <c r="E120207"/>
      <c r="F120207"/>
    </row>
    <row r="120208" spans="1:6" x14ac:dyDescent="0.25">
      <c r="A120208"/>
      <c r="B120208"/>
      <c r="C120208"/>
      <c r="E120208"/>
      <c r="F120208"/>
    </row>
    <row r="120209" spans="1:6" x14ac:dyDescent="0.25">
      <c r="A120209"/>
      <c r="B120209"/>
      <c r="C120209"/>
      <c r="E120209"/>
      <c r="F120209"/>
    </row>
    <row r="120210" spans="1:6" x14ac:dyDescent="0.25">
      <c r="A120210"/>
      <c r="B120210"/>
      <c r="C120210"/>
      <c r="E120210"/>
      <c r="F120210"/>
    </row>
    <row r="120211" spans="1:6" x14ac:dyDescent="0.25">
      <c r="A120211"/>
      <c r="B120211"/>
      <c r="C120211"/>
      <c r="E120211"/>
      <c r="F120211"/>
    </row>
    <row r="120212" spans="1:6" x14ac:dyDescent="0.25">
      <c r="A120212"/>
      <c r="B120212"/>
      <c r="C120212"/>
      <c r="E120212"/>
      <c r="F120212"/>
    </row>
    <row r="120213" spans="1:6" x14ac:dyDescent="0.25">
      <c r="A120213"/>
      <c r="B120213"/>
      <c r="C120213"/>
      <c r="E120213"/>
      <c r="F120213"/>
    </row>
    <row r="120214" spans="1:6" x14ac:dyDescent="0.25">
      <c r="A120214"/>
      <c r="B120214"/>
      <c r="C120214"/>
      <c r="E120214"/>
      <c r="F120214"/>
    </row>
    <row r="120215" spans="1:6" x14ac:dyDescent="0.25">
      <c r="A120215"/>
      <c r="B120215"/>
      <c r="C120215"/>
      <c r="E120215"/>
      <c r="F120215"/>
    </row>
    <row r="120216" spans="1:6" x14ac:dyDescent="0.25">
      <c r="A120216"/>
      <c r="B120216"/>
      <c r="C120216"/>
      <c r="E120216"/>
      <c r="F120216"/>
    </row>
    <row r="120217" spans="1:6" x14ac:dyDescent="0.25">
      <c r="A120217"/>
      <c r="B120217"/>
      <c r="C120217"/>
      <c r="E120217"/>
      <c r="F120217"/>
    </row>
    <row r="120218" spans="1:6" x14ac:dyDescent="0.25">
      <c r="A120218"/>
      <c r="B120218"/>
      <c r="C120218"/>
      <c r="E120218"/>
      <c r="F120218"/>
    </row>
    <row r="120219" spans="1:6" x14ac:dyDescent="0.25">
      <c r="A120219"/>
      <c r="B120219"/>
      <c r="C120219"/>
      <c r="E120219"/>
      <c r="F120219"/>
    </row>
    <row r="120220" spans="1:6" x14ac:dyDescent="0.25">
      <c r="A120220"/>
      <c r="B120220"/>
      <c r="C120220"/>
      <c r="E120220"/>
      <c r="F120220"/>
    </row>
    <row r="120221" spans="1:6" x14ac:dyDescent="0.25">
      <c r="A120221"/>
      <c r="B120221"/>
      <c r="C120221"/>
      <c r="E120221"/>
      <c r="F120221"/>
    </row>
    <row r="120222" spans="1:6" x14ac:dyDescent="0.25">
      <c r="A120222"/>
      <c r="B120222"/>
      <c r="C120222"/>
      <c r="E120222"/>
      <c r="F120222"/>
    </row>
    <row r="120223" spans="1:6" x14ac:dyDescent="0.25">
      <c r="A120223"/>
      <c r="B120223"/>
      <c r="C120223"/>
      <c r="E120223"/>
      <c r="F120223"/>
    </row>
    <row r="120224" spans="1:6" x14ac:dyDescent="0.25">
      <c r="A120224"/>
      <c r="B120224"/>
      <c r="C120224"/>
      <c r="E120224"/>
      <c r="F120224"/>
    </row>
    <row r="120225" spans="1:6" x14ac:dyDescent="0.25">
      <c r="A120225"/>
      <c r="B120225"/>
      <c r="C120225"/>
      <c r="E120225"/>
      <c r="F120225"/>
    </row>
    <row r="120226" spans="1:6" x14ac:dyDescent="0.25">
      <c r="A120226"/>
      <c r="B120226"/>
      <c r="C120226"/>
      <c r="E120226"/>
      <c r="F120226"/>
    </row>
    <row r="120227" spans="1:6" x14ac:dyDescent="0.25">
      <c r="A120227"/>
      <c r="B120227"/>
      <c r="C120227"/>
      <c r="E120227"/>
      <c r="F120227"/>
    </row>
    <row r="120228" spans="1:6" x14ac:dyDescent="0.25">
      <c r="A120228"/>
      <c r="B120228"/>
      <c r="C120228"/>
      <c r="E120228"/>
      <c r="F120228"/>
    </row>
    <row r="120229" spans="1:6" x14ac:dyDescent="0.25">
      <c r="A120229"/>
      <c r="B120229"/>
      <c r="C120229"/>
      <c r="E120229"/>
      <c r="F120229"/>
    </row>
    <row r="120230" spans="1:6" x14ac:dyDescent="0.25">
      <c r="A120230"/>
      <c r="B120230"/>
      <c r="C120230"/>
      <c r="E120230"/>
      <c r="F120230"/>
    </row>
    <row r="120231" spans="1:6" x14ac:dyDescent="0.25">
      <c r="A120231"/>
      <c r="B120231"/>
      <c r="C120231"/>
      <c r="E120231"/>
      <c r="F120231"/>
    </row>
    <row r="120232" spans="1:6" x14ac:dyDescent="0.25">
      <c r="A120232"/>
      <c r="B120232"/>
      <c r="C120232"/>
      <c r="E120232"/>
      <c r="F120232"/>
    </row>
    <row r="120233" spans="1:6" x14ac:dyDescent="0.25">
      <c r="A120233"/>
      <c r="B120233"/>
      <c r="C120233"/>
      <c r="E120233"/>
      <c r="F120233"/>
    </row>
    <row r="120234" spans="1:6" x14ac:dyDescent="0.25">
      <c r="A120234"/>
      <c r="B120234"/>
      <c r="C120234"/>
      <c r="E120234"/>
      <c r="F120234"/>
    </row>
    <row r="120235" spans="1:6" x14ac:dyDescent="0.25">
      <c r="A120235"/>
      <c r="B120235"/>
      <c r="C120235"/>
      <c r="E120235"/>
      <c r="F120235"/>
    </row>
    <row r="120236" spans="1:6" x14ac:dyDescent="0.25">
      <c r="A120236"/>
      <c r="B120236"/>
      <c r="C120236"/>
      <c r="E120236"/>
      <c r="F120236"/>
    </row>
    <row r="120237" spans="1:6" x14ac:dyDescent="0.25">
      <c r="A120237"/>
      <c r="B120237"/>
      <c r="C120237"/>
      <c r="E120237"/>
      <c r="F120237"/>
    </row>
    <row r="120238" spans="1:6" x14ac:dyDescent="0.25">
      <c r="A120238"/>
      <c r="B120238"/>
      <c r="C120238"/>
      <c r="E120238"/>
      <c r="F120238"/>
    </row>
    <row r="120239" spans="1:6" x14ac:dyDescent="0.25">
      <c r="A120239"/>
      <c r="B120239"/>
      <c r="C120239"/>
      <c r="E120239"/>
      <c r="F120239"/>
    </row>
    <row r="120240" spans="1:6" x14ac:dyDescent="0.25">
      <c r="A120240"/>
      <c r="B120240"/>
      <c r="C120240"/>
      <c r="E120240"/>
      <c r="F120240"/>
    </row>
    <row r="120241" spans="1:6" x14ac:dyDescent="0.25">
      <c r="A120241"/>
      <c r="B120241"/>
      <c r="C120241"/>
      <c r="E120241"/>
      <c r="F120241"/>
    </row>
    <row r="120242" spans="1:6" x14ac:dyDescent="0.25">
      <c r="A120242"/>
      <c r="B120242"/>
      <c r="C120242"/>
      <c r="E120242"/>
      <c r="F120242"/>
    </row>
    <row r="120243" spans="1:6" x14ac:dyDescent="0.25">
      <c r="A120243"/>
      <c r="B120243"/>
      <c r="C120243"/>
      <c r="E120243"/>
      <c r="F120243"/>
    </row>
    <row r="120244" spans="1:6" x14ac:dyDescent="0.25">
      <c r="A120244"/>
      <c r="B120244"/>
      <c r="C120244"/>
      <c r="E120244"/>
      <c r="F120244"/>
    </row>
    <row r="120245" spans="1:6" x14ac:dyDescent="0.25">
      <c r="A120245"/>
      <c r="B120245"/>
      <c r="C120245"/>
      <c r="E120245"/>
      <c r="F120245"/>
    </row>
    <row r="120246" spans="1:6" x14ac:dyDescent="0.25">
      <c r="A120246"/>
      <c r="B120246"/>
      <c r="C120246"/>
      <c r="E120246"/>
      <c r="F120246"/>
    </row>
    <row r="120247" spans="1:6" x14ac:dyDescent="0.25">
      <c r="A120247"/>
      <c r="B120247"/>
      <c r="C120247"/>
      <c r="E120247"/>
      <c r="F120247"/>
    </row>
    <row r="120248" spans="1:6" x14ac:dyDescent="0.25">
      <c r="A120248"/>
      <c r="B120248"/>
      <c r="C120248"/>
      <c r="E120248"/>
      <c r="F120248"/>
    </row>
    <row r="120249" spans="1:6" x14ac:dyDescent="0.25">
      <c r="A120249"/>
      <c r="B120249"/>
      <c r="C120249"/>
      <c r="E120249"/>
      <c r="F120249"/>
    </row>
    <row r="120250" spans="1:6" x14ac:dyDescent="0.25">
      <c r="A120250"/>
      <c r="B120250"/>
      <c r="C120250"/>
      <c r="E120250"/>
      <c r="F120250"/>
    </row>
    <row r="120251" spans="1:6" x14ac:dyDescent="0.25">
      <c r="A120251"/>
      <c r="B120251"/>
      <c r="C120251"/>
      <c r="E120251"/>
      <c r="F120251"/>
    </row>
    <row r="120252" spans="1:6" x14ac:dyDescent="0.25">
      <c r="A120252"/>
      <c r="B120252"/>
      <c r="C120252"/>
      <c r="E120252"/>
      <c r="F120252"/>
    </row>
    <row r="120253" spans="1:6" x14ac:dyDescent="0.25">
      <c r="A120253"/>
      <c r="B120253"/>
      <c r="C120253"/>
      <c r="E120253"/>
      <c r="F120253"/>
    </row>
    <row r="120254" spans="1:6" x14ac:dyDescent="0.25">
      <c r="A120254"/>
      <c r="B120254"/>
      <c r="C120254"/>
      <c r="E120254"/>
      <c r="F120254"/>
    </row>
    <row r="120255" spans="1:6" x14ac:dyDescent="0.25">
      <c r="A120255"/>
      <c r="B120255"/>
      <c r="C120255"/>
      <c r="E120255"/>
      <c r="F120255"/>
    </row>
    <row r="120256" spans="1:6" x14ac:dyDescent="0.25">
      <c r="A120256"/>
      <c r="B120256"/>
      <c r="C120256"/>
      <c r="E120256"/>
      <c r="F120256"/>
    </row>
    <row r="120257" spans="1:6" x14ac:dyDescent="0.25">
      <c r="A120257"/>
      <c r="B120257"/>
      <c r="C120257"/>
      <c r="E120257"/>
      <c r="F120257"/>
    </row>
    <row r="120258" spans="1:6" x14ac:dyDescent="0.25">
      <c r="A120258"/>
      <c r="B120258"/>
      <c r="C120258"/>
      <c r="E120258"/>
      <c r="F120258"/>
    </row>
    <row r="120259" spans="1:6" x14ac:dyDescent="0.25">
      <c r="A120259"/>
      <c r="B120259"/>
      <c r="C120259"/>
      <c r="E120259"/>
      <c r="F120259"/>
    </row>
    <row r="120260" spans="1:6" x14ac:dyDescent="0.25">
      <c r="A120260"/>
      <c r="B120260"/>
      <c r="C120260"/>
      <c r="E120260"/>
      <c r="F120260"/>
    </row>
    <row r="120261" spans="1:6" x14ac:dyDescent="0.25">
      <c r="A120261"/>
      <c r="B120261"/>
      <c r="C120261"/>
      <c r="E120261"/>
      <c r="F120261"/>
    </row>
    <row r="120262" spans="1:6" x14ac:dyDescent="0.25">
      <c r="A120262"/>
      <c r="B120262"/>
      <c r="C120262"/>
      <c r="E120262"/>
      <c r="F120262"/>
    </row>
    <row r="120263" spans="1:6" x14ac:dyDescent="0.25">
      <c r="A120263"/>
      <c r="B120263"/>
      <c r="C120263"/>
      <c r="E120263"/>
      <c r="F120263"/>
    </row>
    <row r="120264" spans="1:6" x14ac:dyDescent="0.25">
      <c r="A120264"/>
      <c r="B120264"/>
      <c r="C120264"/>
      <c r="E120264"/>
      <c r="F120264"/>
    </row>
    <row r="120265" spans="1:6" x14ac:dyDescent="0.25">
      <c r="A120265"/>
      <c r="B120265"/>
      <c r="C120265"/>
      <c r="E120265"/>
      <c r="F120265"/>
    </row>
    <row r="120266" spans="1:6" x14ac:dyDescent="0.25">
      <c r="A120266"/>
      <c r="B120266"/>
      <c r="C120266"/>
      <c r="E120266"/>
      <c r="F120266"/>
    </row>
    <row r="120267" spans="1:6" x14ac:dyDescent="0.25">
      <c r="A120267"/>
      <c r="B120267"/>
      <c r="C120267"/>
      <c r="E120267"/>
      <c r="F120267"/>
    </row>
    <row r="120268" spans="1:6" x14ac:dyDescent="0.25">
      <c r="A120268"/>
      <c r="B120268"/>
      <c r="C120268"/>
      <c r="E120268"/>
      <c r="F120268"/>
    </row>
    <row r="120269" spans="1:6" x14ac:dyDescent="0.25">
      <c r="A120269"/>
      <c r="B120269"/>
      <c r="C120269"/>
      <c r="E120269"/>
      <c r="F120269"/>
    </row>
    <row r="120270" spans="1:6" x14ac:dyDescent="0.25">
      <c r="A120270"/>
      <c r="B120270"/>
      <c r="C120270"/>
      <c r="E120270"/>
      <c r="F120270"/>
    </row>
    <row r="120271" spans="1:6" x14ac:dyDescent="0.25">
      <c r="A120271"/>
      <c r="B120271"/>
      <c r="C120271"/>
      <c r="E120271"/>
      <c r="F120271"/>
    </row>
    <row r="120272" spans="1:6" x14ac:dyDescent="0.25">
      <c r="A120272"/>
      <c r="B120272"/>
      <c r="C120272"/>
      <c r="E120272"/>
      <c r="F120272"/>
    </row>
    <row r="120273" spans="1:6" x14ac:dyDescent="0.25">
      <c r="A120273"/>
      <c r="B120273"/>
      <c r="C120273"/>
      <c r="E120273"/>
      <c r="F120273"/>
    </row>
    <row r="120274" spans="1:6" x14ac:dyDescent="0.25">
      <c r="A120274"/>
      <c r="B120274"/>
      <c r="C120274"/>
      <c r="E120274"/>
      <c r="F120274"/>
    </row>
    <row r="120275" spans="1:6" x14ac:dyDescent="0.25">
      <c r="A120275"/>
      <c r="B120275"/>
      <c r="C120275"/>
      <c r="E120275"/>
      <c r="F120275"/>
    </row>
    <row r="120276" spans="1:6" x14ac:dyDescent="0.25">
      <c r="A120276"/>
      <c r="B120276"/>
      <c r="C120276"/>
      <c r="E120276"/>
      <c r="F120276"/>
    </row>
    <row r="120277" spans="1:6" x14ac:dyDescent="0.25">
      <c r="A120277"/>
      <c r="B120277"/>
      <c r="C120277"/>
      <c r="E120277"/>
      <c r="F120277"/>
    </row>
    <row r="120278" spans="1:6" x14ac:dyDescent="0.25">
      <c r="A120278"/>
      <c r="B120278"/>
      <c r="C120278"/>
      <c r="E120278"/>
      <c r="F120278"/>
    </row>
    <row r="120279" spans="1:6" x14ac:dyDescent="0.25">
      <c r="A120279"/>
      <c r="B120279"/>
      <c r="C120279"/>
      <c r="E120279"/>
      <c r="F120279"/>
    </row>
    <row r="120280" spans="1:6" x14ac:dyDescent="0.25">
      <c r="A120280"/>
      <c r="B120280"/>
      <c r="C120280"/>
      <c r="E120280"/>
      <c r="F120280"/>
    </row>
    <row r="120281" spans="1:6" x14ac:dyDescent="0.25">
      <c r="A120281"/>
      <c r="B120281"/>
      <c r="C120281"/>
      <c r="E120281"/>
      <c r="F120281"/>
    </row>
    <row r="120282" spans="1:6" x14ac:dyDescent="0.25">
      <c r="A120282"/>
      <c r="B120282"/>
      <c r="C120282"/>
      <c r="E120282"/>
      <c r="F120282"/>
    </row>
    <row r="120283" spans="1:6" x14ac:dyDescent="0.25">
      <c r="A120283"/>
      <c r="B120283"/>
      <c r="C120283"/>
      <c r="E120283"/>
      <c r="F120283"/>
    </row>
    <row r="120284" spans="1:6" x14ac:dyDescent="0.25">
      <c r="A120284"/>
      <c r="B120284"/>
      <c r="C120284"/>
      <c r="E120284"/>
      <c r="F120284"/>
    </row>
    <row r="120285" spans="1:6" x14ac:dyDescent="0.25">
      <c r="A120285"/>
      <c r="B120285"/>
      <c r="C120285"/>
      <c r="E120285"/>
      <c r="F120285"/>
    </row>
    <row r="120286" spans="1:6" x14ac:dyDescent="0.25">
      <c r="A120286"/>
      <c r="B120286"/>
      <c r="C120286"/>
      <c r="E120286"/>
      <c r="F120286"/>
    </row>
    <row r="120287" spans="1:6" x14ac:dyDescent="0.25">
      <c r="A120287"/>
      <c r="B120287"/>
      <c r="C120287"/>
      <c r="E120287"/>
      <c r="F120287"/>
    </row>
    <row r="120288" spans="1:6" x14ac:dyDescent="0.25">
      <c r="A120288"/>
      <c r="B120288"/>
      <c r="C120288"/>
      <c r="E120288"/>
      <c r="F120288"/>
    </row>
    <row r="120289" spans="1:6" x14ac:dyDescent="0.25">
      <c r="A120289"/>
      <c r="B120289"/>
      <c r="C120289"/>
      <c r="E120289"/>
      <c r="F120289"/>
    </row>
    <row r="120290" spans="1:6" x14ac:dyDescent="0.25">
      <c r="A120290"/>
      <c r="B120290"/>
      <c r="C120290"/>
      <c r="E120290"/>
      <c r="F120290"/>
    </row>
    <row r="120291" spans="1:6" x14ac:dyDescent="0.25">
      <c r="A120291"/>
      <c r="B120291"/>
      <c r="C120291"/>
      <c r="E120291"/>
      <c r="F120291"/>
    </row>
    <row r="120292" spans="1:6" x14ac:dyDescent="0.25">
      <c r="A120292"/>
      <c r="B120292"/>
      <c r="C120292"/>
      <c r="E120292"/>
      <c r="F120292"/>
    </row>
    <row r="120293" spans="1:6" x14ac:dyDescent="0.25">
      <c r="A120293"/>
      <c r="B120293"/>
      <c r="C120293"/>
      <c r="E120293"/>
      <c r="F120293"/>
    </row>
    <row r="120294" spans="1:6" x14ac:dyDescent="0.25">
      <c r="A120294"/>
      <c r="B120294"/>
      <c r="C120294"/>
      <c r="E120294"/>
      <c r="F120294"/>
    </row>
    <row r="120295" spans="1:6" x14ac:dyDescent="0.25">
      <c r="A120295"/>
      <c r="B120295"/>
      <c r="C120295"/>
      <c r="E120295"/>
      <c r="F120295"/>
    </row>
    <row r="120296" spans="1:6" x14ac:dyDescent="0.25">
      <c r="A120296"/>
      <c r="B120296"/>
      <c r="C120296"/>
      <c r="E120296"/>
      <c r="F120296"/>
    </row>
    <row r="120297" spans="1:6" x14ac:dyDescent="0.25">
      <c r="A120297"/>
      <c r="B120297"/>
      <c r="C120297"/>
      <c r="E120297"/>
      <c r="F120297"/>
    </row>
    <row r="120298" spans="1:6" x14ac:dyDescent="0.25">
      <c r="A120298"/>
      <c r="B120298"/>
      <c r="C120298"/>
      <c r="E120298"/>
      <c r="F120298"/>
    </row>
    <row r="120299" spans="1:6" x14ac:dyDescent="0.25">
      <c r="A120299"/>
      <c r="B120299"/>
      <c r="C120299"/>
      <c r="E120299"/>
      <c r="F120299"/>
    </row>
    <row r="120300" spans="1:6" x14ac:dyDescent="0.25">
      <c r="A120300"/>
      <c r="B120300"/>
      <c r="C120300"/>
      <c r="E120300"/>
      <c r="F120300"/>
    </row>
    <row r="120301" spans="1:6" x14ac:dyDescent="0.25">
      <c r="A120301"/>
      <c r="B120301"/>
      <c r="C120301"/>
      <c r="E120301"/>
      <c r="F120301"/>
    </row>
    <row r="120302" spans="1:6" x14ac:dyDescent="0.25">
      <c r="A120302"/>
      <c r="B120302"/>
      <c r="C120302"/>
      <c r="E120302"/>
      <c r="F120302"/>
    </row>
    <row r="120303" spans="1:6" x14ac:dyDescent="0.25">
      <c r="A120303"/>
      <c r="B120303"/>
      <c r="C120303"/>
      <c r="E120303"/>
      <c r="F120303"/>
    </row>
    <row r="120304" spans="1:6" x14ac:dyDescent="0.25">
      <c r="A120304"/>
      <c r="B120304"/>
      <c r="C120304"/>
      <c r="E120304"/>
      <c r="F120304"/>
    </row>
    <row r="120305" spans="1:6" x14ac:dyDescent="0.25">
      <c r="A120305"/>
      <c r="B120305"/>
      <c r="C120305"/>
      <c r="E120305"/>
      <c r="F120305"/>
    </row>
    <row r="120306" spans="1:6" x14ac:dyDescent="0.25">
      <c r="A120306"/>
      <c r="B120306"/>
      <c r="C120306"/>
      <c r="E120306"/>
      <c r="F120306"/>
    </row>
    <row r="120307" spans="1:6" x14ac:dyDescent="0.25">
      <c r="A120307"/>
      <c r="B120307"/>
      <c r="C120307"/>
      <c r="E120307"/>
      <c r="F120307"/>
    </row>
    <row r="120308" spans="1:6" x14ac:dyDescent="0.25">
      <c r="A120308"/>
      <c r="B120308"/>
      <c r="C120308"/>
      <c r="E120308"/>
      <c r="F120308"/>
    </row>
    <row r="120309" spans="1:6" x14ac:dyDescent="0.25">
      <c r="A120309"/>
      <c r="B120309"/>
      <c r="C120309"/>
      <c r="E120309"/>
      <c r="F120309"/>
    </row>
    <row r="120310" spans="1:6" x14ac:dyDescent="0.25">
      <c r="A120310"/>
      <c r="B120310"/>
      <c r="C120310"/>
      <c r="E120310"/>
      <c r="F120310"/>
    </row>
    <row r="120311" spans="1:6" x14ac:dyDescent="0.25">
      <c r="A120311"/>
      <c r="B120311"/>
      <c r="C120311"/>
      <c r="E120311"/>
      <c r="F120311"/>
    </row>
    <row r="120312" spans="1:6" x14ac:dyDescent="0.25">
      <c r="A120312"/>
      <c r="B120312"/>
      <c r="C120312"/>
      <c r="E120312"/>
      <c r="F120312"/>
    </row>
    <row r="120313" spans="1:6" x14ac:dyDescent="0.25">
      <c r="A120313"/>
      <c r="B120313"/>
      <c r="C120313"/>
      <c r="E120313"/>
      <c r="F120313"/>
    </row>
    <row r="120314" spans="1:6" x14ac:dyDescent="0.25">
      <c r="A120314"/>
      <c r="B120314"/>
      <c r="C120314"/>
      <c r="E120314"/>
      <c r="F120314"/>
    </row>
    <row r="120315" spans="1:6" x14ac:dyDescent="0.25">
      <c r="A120315"/>
      <c r="B120315"/>
      <c r="C120315"/>
      <c r="E120315"/>
      <c r="F120315"/>
    </row>
    <row r="120316" spans="1:6" x14ac:dyDescent="0.25">
      <c r="A120316"/>
      <c r="B120316"/>
      <c r="C120316"/>
      <c r="E120316"/>
      <c r="F120316"/>
    </row>
    <row r="120317" spans="1:6" x14ac:dyDescent="0.25">
      <c r="A120317"/>
      <c r="B120317"/>
      <c r="C120317"/>
      <c r="E120317"/>
      <c r="F120317"/>
    </row>
    <row r="120318" spans="1:6" x14ac:dyDescent="0.25">
      <c r="A120318"/>
      <c r="B120318"/>
      <c r="C120318"/>
      <c r="E120318"/>
      <c r="F120318"/>
    </row>
    <row r="120319" spans="1:6" x14ac:dyDescent="0.25">
      <c r="A120319"/>
      <c r="B120319"/>
      <c r="C120319"/>
      <c r="E120319"/>
      <c r="F120319"/>
    </row>
    <row r="120320" spans="1:6" x14ac:dyDescent="0.25">
      <c r="A120320"/>
      <c r="B120320"/>
      <c r="C120320"/>
      <c r="E120320"/>
      <c r="F120320"/>
    </row>
    <row r="120321" spans="1:6" x14ac:dyDescent="0.25">
      <c r="A120321"/>
      <c r="B120321"/>
      <c r="C120321"/>
      <c r="E120321"/>
      <c r="F120321"/>
    </row>
    <row r="120322" spans="1:6" x14ac:dyDescent="0.25">
      <c r="A120322"/>
      <c r="B120322"/>
      <c r="C120322"/>
      <c r="E120322"/>
      <c r="F120322"/>
    </row>
    <row r="120323" spans="1:6" x14ac:dyDescent="0.25">
      <c r="A120323"/>
      <c r="B120323"/>
      <c r="C120323"/>
      <c r="E120323"/>
      <c r="F120323"/>
    </row>
    <row r="120324" spans="1:6" x14ac:dyDescent="0.25">
      <c r="A120324"/>
      <c r="B120324"/>
      <c r="C120324"/>
      <c r="E120324"/>
      <c r="F120324"/>
    </row>
    <row r="120325" spans="1:6" x14ac:dyDescent="0.25">
      <c r="A120325"/>
      <c r="B120325"/>
      <c r="C120325"/>
      <c r="E120325"/>
      <c r="F120325"/>
    </row>
    <row r="120326" spans="1:6" x14ac:dyDescent="0.25">
      <c r="A120326"/>
      <c r="B120326"/>
      <c r="C120326"/>
      <c r="E120326"/>
      <c r="F120326"/>
    </row>
    <row r="120327" spans="1:6" x14ac:dyDescent="0.25">
      <c r="A120327"/>
      <c r="B120327"/>
      <c r="C120327"/>
      <c r="E120327"/>
      <c r="F120327"/>
    </row>
    <row r="120328" spans="1:6" x14ac:dyDescent="0.25">
      <c r="A120328"/>
      <c r="B120328"/>
      <c r="C120328"/>
      <c r="E120328"/>
      <c r="F120328"/>
    </row>
    <row r="120329" spans="1:6" x14ac:dyDescent="0.25">
      <c r="A120329"/>
      <c r="B120329"/>
      <c r="C120329"/>
      <c r="E120329"/>
      <c r="F120329"/>
    </row>
    <row r="120330" spans="1:6" x14ac:dyDescent="0.25">
      <c r="A120330"/>
      <c r="B120330"/>
      <c r="C120330"/>
      <c r="E120330"/>
      <c r="F120330"/>
    </row>
    <row r="120331" spans="1:6" x14ac:dyDescent="0.25">
      <c r="A120331"/>
      <c r="B120331"/>
      <c r="C120331"/>
      <c r="E120331"/>
      <c r="F120331"/>
    </row>
    <row r="120332" spans="1:6" x14ac:dyDescent="0.25">
      <c r="A120332"/>
      <c r="B120332"/>
      <c r="C120332"/>
      <c r="E120332"/>
      <c r="F120332"/>
    </row>
    <row r="120333" spans="1:6" x14ac:dyDescent="0.25">
      <c r="A120333"/>
      <c r="B120333"/>
      <c r="C120333"/>
      <c r="E120333"/>
      <c r="F120333"/>
    </row>
    <row r="120334" spans="1:6" x14ac:dyDescent="0.25">
      <c r="A120334"/>
      <c r="B120334"/>
      <c r="C120334"/>
      <c r="E120334"/>
      <c r="F120334"/>
    </row>
    <row r="120335" spans="1:6" x14ac:dyDescent="0.25">
      <c r="A120335"/>
      <c r="B120335"/>
      <c r="C120335"/>
      <c r="E120335"/>
      <c r="F120335"/>
    </row>
    <row r="120336" spans="1:6" x14ac:dyDescent="0.25">
      <c r="A120336"/>
      <c r="B120336"/>
      <c r="C120336"/>
      <c r="E120336"/>
      <c r="F120336"/>
    </row>
    <row r="120337" spans="1:6" x14ac:dyDescent="0.25">
      <c r="A120337"/>
      <c r="B120337"/>
      <c r="C120337"/>
      <c r="E120337"/>
      <c r="F120337"/>
    </row>
    <row r="120338" spans="1:6" x14ac:dyDescent="0.25">
      <c r="A120338"/>
      <c r="B120338"/>
      <c r="C120338"/>
      <c r="E120338"/>
      <c r="F120338"/>
    </row>
    <row r="120339" spans="1:6" x14ac:dyDescent="0.25">
      <c r="A120339"/>
      <c r="B120339"/>
      <c r="C120339"/>
      <c r="E120339"/>
      <c r="F120339"/>
    </row>
    <row r="120340" spans="1:6" x14ac:dyDescent="0.25">
      <c r="A120340"/>
      <c r="B120340"/>
      <c r="C120340"/>
      <c r="E120340"/>
      <c r="F120340"/>
    </row>
    <row r="120341" spans="1:6" x14ac:dyDescent="0.25">
      <c r="A120341"/>
      <c r="B120341"/>
      <c r="C120341"/>
      <c r="E120341"/>
      <c r="F120341"/>
    </row>
    <row r="120342" spans="1:6" x14ac:dyDescent="0.25">
      <c r="A120342"/>
      <c r="B120342"/>
      <c r="C120342"/>
      <c r="E120342"/>
      <c r="F120342"/>
    </row>
    <row r="120343" spans="1:6" x14ac:dyDescent="0.25">
      <c r="A120343"/>
      <c r="B120343"/>
      <c r="C120343"/>
      <c r="E120343"/>
      <c r="F120343"/>
    </row>
    <row r="120344" spans="1:6" x14ac:dyDescent="0.25">
      <c r="A120344"/>
      <c r="B120344"/>
      <c r="C120344"/>
      <c r="E120344"/>
      <c r="F120344"/>
    </row>
    <row r="120345" spans="1:6" x14ac:dyDescent="0.25">
      <c r="A120345"/>
      <c r="B120345"/>
      <c r="C120345"/>
      <c r="E120345"/>
      <c r="F120345"/>
    </row>
    <row r="120346" spans="1:6" x14ac:dyDescent="0.25">
      <c r="A120346"/>
      <c r="B120346"/>
      <c r="C120346"/>
      <c r="E120346"/>
      <c r="F120346"/>
    </row>
    <row r="120347" spans="1:6" x14ac:dyDescent="0.25">
      <c r="A120347"/>
      <c r="B120347"/>
      <c r="C120347"/>
      <c r="E120347"/>
      <c r="F120347"/>
    </row>
    <row r="120348" spans="1:6" x14ac:dyDescent="0.25">
      <c r="A120348"/>
      <c r="B120348"/>
      <c r="C120348"/>
      <c r="E120348"/>
      <c r="F120348"/>
    </row>
    <row r="120349" spans="1:6" x14ac:dyDescent="0.25">
      <c r="A120349"/>
      <c r="B120349"/>
      <c r="C120349"/>
      <c r="E120349"/>
      <c r="F120349"/>
    </row>
    <row r="120350" spans="1:6" x14ac:dyDescent="0.25">
      <c r="A120350"/>
      <c r="B120350"/>
      <c r="C120350"/>
      <c r="E120350"/>
      <c r="F120350"/>
    </row>
    <row r="120351" spans="1:6" x14ac:dyDescent="0.25">
      <c r="A120351"/>
      <c r="B120351"/>
      <c r="C120351"/>
      <c r="E120351"/>
      <c r="F120351"/>
    </row>
    <row r="120352" spans="1:6" x14ac:dyDescent="0.25">
      <c r="A120352"/>
      <c r="B120352"/>
      <c r="C120352"/>
      <c r="E120352"/>
      <c r="F120352"/>
    </row>
    <row r="120353" spans="1:6" x14ac:dyDescent="0.25">
      <c r="A120353"/>
      <c r="B120353"/>
      <c r="C120353"/>
      <c r="E120353"/>
      <c r="F120353"/>
    </row>
    <row r="120354" spans="1:6" x14ac:dyDescent="0.25">
      <c r="A120354"/>
      <c r="B120354"/>
      <c r="C120354"/>
      <c r="E120354"/>
      <c r="F120354"/>
    </row>
    <row r="120355" spans="1:6" x14ac:dyDescent="0.25">
      <c r="A120355"/>
      <c r="B120355"/>
      <c r="C120355"/>
      <c r="E120355"/>
      <c r="F120355"/>
    </row>
    <row r="120356" spans="1:6" x14ac:dyDescent="0.25">
      <c r="A120356"/>
      <c r="B120356"/>
      <c r="C120356"/>
      <c r="E120356"/>
      <c r="F120356"/>
    </row>
    <row r="120357" spans="1:6" x14ac:dyDescent="0.25">
      <c r="A120357"/>
      <c r="B120357"/>
      <c r="C120357"/>
      <c r="E120357"/>
      <c r="F120357"/>
    </row>
    <row r="120358" spans="1:6" x14ac:dyDescent="0.25">
      <c r="A120358"/>
      <c r="B120358"/>
      <c r="C120358"/>
      <c r="E120358"/>
      <c r="F120358"/>
    </row>
    <row r="120359" spans="1:6" x14ac:dyDescent="0.25">
      <c r="A120359"/>
      <c r="B120359"/>
      <c r="C120359"/>
      <c r="E120359"/>
      <c r="F120359"/>
    </row>
    <row r="120360" spans="1:6" x14ac:dyDescent="0.25">
      <c r="A120360"/>
      <c r="B120360"/>
      <c r="C120360"/>
      <c r="E120360"/>
      <c r="F120360"/>
    </row>
    <row r="120361" spans="1:6" x14ac:dyDescent="0.25">
      <c r="A120361"/>
      <c r="B120361"/>
      <c r="C120361"/>
      <c r="E120361"/>
      <c r="F120361"/>
    </row>
    <row r="120362" spans="1:6" x14ac:dyDescent="0.25">
      <c r="A120362"/>
      <c r="B120362"/>
      <c r="C120362"/>
      <c r="E120362"/>
      <c r="F120362"/>
    </row>
    <row r="120363" spans="1:6" x14ac:dyDescent="0.25">
      <c r="A120363"/>
      <c r="B120363"/>
      <c r="C120363"/>
      <c r="E120363"/>
      <c r="F120363"/>
    </row>
    <row r="120364" spans="1:6" x14ac:dyDescent="0.25">
      <c r="A120364"/>
      <c r="B120364"/>
      <c r="C120364"/>
      <c r="E120364"/>
      <c r="F120364"/>
    </row>
    <row r="120365" spans="1:6" x14ac:dyDescent="0.25">
      <c r="A120365"/>
      <c r="B120365"/>
      <c r="C120365"/>
      <c r="E120365"/>
      <c r="F120365"/>
    </row>
    <row r="120366" spans="1:6" x14ac:dyDescent="0.25">
      <c r="A120366"/>
      <c r="B120366"/>
      <c r="C120366"/>
      <c r="E120366"/>
      <c r="F120366"/>
    </row>
    <row r="120367" spans="1:6" x14ac:dyDescent="0.25">
      <c r="A120367"/>
      <c r="B120367"/>
      <c r="C120367"/>
      <c r="E120367"/>
      <c r="F120367"/>
    </row>
    <row r="120368" spans="1:6" x14ac:dyDescent="0.25">
      <c r="A120368"/>
      <c r="B120368"/>
      <c r="C120368"/>
      <c r="E120368"/>
      <c r="F120368"/>
    </row>
    <row r="120369" spans="1:6" x14ac:dyDescent="0.25">
      <c r="A120369"/>
      <c r="B120369"/>
      <c r="C120369"/>
      <c r="E120369"/>
      <c r="F120369"/>
    </row>
    <row r="120370" spans="1:6" x14ac:dyDescent="0.25">
      <c r="A120370"/>
      <c r="B120370"/>
      <c r="C120370"/>
      <c r="E120370"/>
      <c r="F120370"/>
    </row>
    <row r="120371" spans="1:6" x14ac:dyDescent="0.25">
      <c r="A120371"/>
      <c r="B120371"/>
      <c r="C120371"/>
      <c r="E120371"/>
      <c r="F120371"/>
    </row>
    <row r="120372" spans="1:6" x14ac:dyDescent="0.25">
      <c r="A120372"/>
      <c r="B120372"/>
      <c r="C120372"/>
      <c r="E120372"/>
      <c r="F120372"/>
    </row>
    <row r="120373" spans="1:6" x14ac:dyDescent="0.25">
      <c r="A120373"/>
      <c r="B120373"/>
      <c r="C120373"/>
      <c r="E120373"/>
      <c r="F120373"/>
    </row>
    <row r="120374" spans="1:6" x14ac:dyDescent="0.25">
      <c r="A120374"/>
      <c r="B120374"/>
      <c r="C120374"/>
      <c r="E120374"/>
      <c r="F120374"/>
    </row>
    <row r="120375" spans="1:6" x14ac:dyDescent="0.25">
      <c r="A120375"/>
      <c r="B120375"/>
      <c r="C120375"/>
      <c r="E120375"/>
      <c r="F120375"/>
    </row>
    <row r="120376" spans="1:6" x14ac:dyDescent="0.25">
      <c r="A120376"/>
      <c r="B120376"/>
      <c r="C120376"/>
      <c r="E120376"/>
      <c r="F120376"/>
    </row>
    <row r="120377" spans="1:6" x14ac:dyDescent="0.25">
      <c r="A120377"/>
      <c r="B120377"/>
      <c r="C120377"/>
      <c r="E120377"/>
      <c r="F120377"/>
    </row>
    <row r="120378" spans="1:6" x14ac:dyDescent="0.25">
      <c r="A120378"/>
      <c r="B120378"/>
      <c r="C120378"/>
      <c r="E120378"/>
      <c r="F120378"/>
    </row>
    <row r="120379" spans="1:6" x14ac:dyDescent="0.25">
      <c r="A120379"/>
      <c r="B120379"/>
      <c r="C120379"/>
      <c r="E120379"/>
      <c r="F120379"/>
    </row>
    <row r="120380" spans="1:6" x14ac:dyDescent="0.25">
      <c r="A120380"/>
      <c r="B120380"/>
      <c r="C120380"/>
      <c r="E120380"/>
      <c r="F120380"/>
    </row>
    <row r="120381" spans="1:6" x14ac:dyDescent="0.25">
      <c r="A120381"/>
      <c r="B120381"/>
      <c r="C120381"/>
      <c r="E120381"/>
      <c r="F120381"/>
    </row>
    <row r="120382" spans="1:6" x14ac:dyDescent="0.25">
      <c r="A120382"/>
      <c r="B120382"/>
      <c r="C120382"/>
      <c r="E120382"/>
      <c r="F120382"/>
    </row>
    <row r="120383" spans="1:6" x14ac:dyDescent="0.25">
      <c r="A120383"/>
      <c r="B120383"/>
      <c r="C120383"/>
      <c r="E120383"/>
      <c r="F120383"/>
    </row>
    <row r="120384" spans="1:6" x14ac:dyDescent="0.25">
      <c r="A120384"/>
      <c r="B120384"/>
      <c r="C120384"/>
      <c r="E120384"/>
      <c r="F120384"/>
    </row>
    <row r="120385" spans="1:6" x14ac:dyDescent="0.25">
      <c r="A120385"/>
      <c r="B120385"/>
      <c r="C120385"/>
      <c r="E120385"/>
      <c r="F120385"/>
    </row>
    <row r="120386" spans="1:6" x14ac:dyDescent="0.25">
      <c r="A120386"/>
      <c r="B120386"/>
      <c r="C120386"/>
      <c r="E120386"/>
      <c r="F120386"/>
    </row>
    <row r="120387" spans="1:6" x14ac:dyDescent="0.25">
      <c r="A120387"/>
      <c r="B120387"/>
      <c r="C120387"/>
      <c r="E120387"/>
      <c r="F120387"/>
    </row>
    <row r="120388" spans="1:6" x14ac:dyDescent="0.25">
      <c r="A120388"/>
      <c r="B120388"/>
      <c r="C120388"/>
      <c r="E120388"/>
      <c r="F120388"/>
    </row>
    <row r="120389" spans="1:6" x14ac:dyDescent="0.25">
      <c r="A120389"/>
      <c r="B120389"/>
      <c r="C120389"/>
      <c r="E120389"/>
      <c r="F120389"/>
    </row>
    <row r="120390" spans="1:6" x14ac:dyDescent="0.25">
      <c r="A120390"/>
      <c r="B120390"/>
      <c r="C120390"/>
      <c r="E120390"/>
      <c r="F120390"/>
    </row>
    <row r="120391" spans="1:6" x14ac:dyDescent="0.25">
      <c r="A120391"/>
      <c r="B120391"/>
      <c r="C120391"/>
      <c r="E120391"/>
      <c r="F120391"/>
    </row>
    <row r="120392" spans="1:6" x14ac:dyDescent="0.25">
      <c r="A120392"/>
      <c r="B120392"/>
      <c r="C120392"/>
      <c r="E120392"/>
      <c r="F120392"/>
    </row>
    <row r="120393" spans="1:6" x14ac:dyDescent="0.25">
      <c r="A120393"/>
      <c r="B120393"/>
      <c r="C120393"/>
      <c r="E120393"/>
      <c r="F120393"/>
    </row>
    <row r="120394" spans="1:6" x14ac:dyDescent="0.25">
      <c r="A120394"/>
      <c r="B120394"/>
      <c r="C120394"/>
      <c r="E120394"/>
      <c r="F120394"/>
    </row>
    <row r="120395" spans="1:6" x14ac:dyDescent="0.25">
      <c r="A120395"/>
      <c r="B120395"/>
      <c r="C120395"/>
      <c r="E120395"/>
      <c r="F120395"/>
    </row>
    <row r="120396" spans="1:6" x14ac:dyDescent="0.25">
      <c r="A120396"/>
      <c r="B120396"/>
      <c r="C120396"/>
      <c r="E120396"/>
      <c r="F120396"/>
    </row>
    <row r="120397" spans="1:6" x14ac:dyDescent="0.25">
      <c r="A120397"/>
      <c r="B120397"/>
      <c r="C120397"/>
      <c r="E120397"/>
      <c r="F120397"/>
    </row>
    <row r="120398" spans="1:6" x14ac:dyDescent="0.25">
      <c r="A120398"/>
      <c r="B120398"/>
      <c r="C120398"/>
      <c r="E120398"/>
      <c r="F120398"/>
    </row>
    <row r="120399" spans="1:6" x14ac:dyDescent="0.25">
      <c r="A120399"/>
      <c r="B120399"/>
      <c r="C120399"/>
      <c r="E120399"/>
      <c r="F120399"/>
    </row>
    <row r="120400" spans="1:6" x14ac:dyDescent="0.25">
      <c r="A120400"/>
      <c r="B120400"/>
      <c r="C120400"/>
      <c r="E120400"/>
      <c r="F120400"/>
    </row>
    <row r="120401" spans="1:6" x14ac:dyDescent="0.25">
      <c r="A120401"/>
      <c r="B120401"/>
      <c r="C120401"/>
      <c r="E120401"/>
      <c r="F120401"/>
    </row>
    <row r="120402" spans="1:6" x14ac:dyDescent="0.25">
      <c r="A120402"/>
      <c r="B120402"/>
      <c r="C120402"/>
      <c r="E120402"/>
      <c r="F120402"/>
    </row>
    <row r="120403" spans="1:6" x14ac:dyDescent="0.25">
      <c r="A120403"/>
      <c r="B120403"/>
      <c r="C120403"/>
      <c r="E120403"/>
      <c r="F120403"/>
    </row>
    <row r="120404" spans="1:6" x14ac:dyDescent="0.25">
      <c r="A120404"/>
      <c r="B120404"/>
      <c r="C120404"/>
      <c r="E120404"/>
      <c r="F120404"/>
    </row>
    <row r="120405" spans="1:6" x14ac:dyDescent="0.25">
      <c r="A120405"/>
      <c r="B120405"/>
      <c r="C120405"/>
      <c r="E120405"/>
      <c r="F120405"/>
    </row>
    <row r="120406" spans="1:6" x14ac:dyDescent="0.25">
      <c r="A120406"/>
      <c r="B120406"/>
      <c r="C120406"/>
      <c r="E120406"/>
      <c r="F120406"/>
    </row>
    <row r="120407" spans="1:6" x14ac:dyDescent="0.25">
      <c r="A120407"/>
      <c r="B120407"/>
      <c r="C120407"/>
      <c r="E120407"/>
      <c r="F120407"/>
    </row>
    <row r="120408" spans="1:6" x14ac:dyDescent="0.25">
      <c r="A120408"/>
      <c r="B120408"/>
      <c r="C120408"/>
      <c r="E120408"/>
      <c r="F120408"/>
    </row>
    <row r="120409" spans="1:6" x14ac:dyDescent="0.25">
      <c r="A120409"/>
      <c r="B120409"/>
      <c r="C120409"/>
      <c r="E120409"/>
      <c r="F120409"/>
    </row>
    <row r="120410" spans="1:6" x14ac:dyDescent="0.25">
      <c r="A120410"/>
      <c r="B120410"/>
      <c r="C120410"/>
      <c r="E120410"/>
      <c r="F120410"/>
    </row>
    <row r="120411" spans="1:6" x14ac:dyDescent="0.25">
      <c r="A120411"/>
      <c r="B120411"/>
      <c r="C120411"/>
      <c r="E120411"/>
      <c r="F120411"/>
    </row>
    <row r="120412" spans="1:6" x14ac:dyDescent="0.25">
      <c r="A120412"/>
      <c r="B120412"/>
      <c r="C120412"/>
      <c r="E120412"/>
      <c r="F120412"/>
    </row>
    <row r="120413" spans="1:6" x14ac:dyDescent="0.25">
      <c r="A120413"/>
      <c r="B120413"/>
      <c r="C120413"/>
      <c r="E120413"/>
      <c r="F120413"/>
    </row>
    <row r="120414" spans="1:6" x14ac:dyDescent="0.25">
      <c r="A120414"/>
      <c r="B120414"/>
      <c r="C120414"/>
      <c r="E120414"/>
      <c r="F120414"/>
    </row>
    <row r="120415" spans="1:6" x14ac:dyDescent="0.25">
      <c r="A120415"/>
      <c r="B120415"/>
      <c r="C120415"/>
      <c r="E120415"/>
      <c r="F120415"/>
    </row>
    <row r="120416" spans="1:6" x14ac:dyDescent="0.25">
      <c r="A120416"/>
      <c r="B120416"/>
      <c r="C120416"/>
      <c r="E120416"/>
      <c r="F120416"/>
    </row>
    <row r="120417" spans="1:6" x14ac:dyDescent="0.25">
      <c r="A120417"/>
      <c r="B120417"/>
      <c r="C120417"/>
      <c r="E120417"/>
      <c r="F120417"/>
    </row>
    <row r="120418" spans="1:6" x14ac:dyDescent="0.25">
      <c r="A120418"/>
      <c r="B120418"/>
      <c r="C120418"/>
      <c r="E120418"/>
      <c r="F120418"/>
    </row>
    <row r="120419" spans="1:6" x14ac:dyDescent="0.25">
      <c r="A120419"/>
      <c r="B120419"/>
      <c r="C120419"/>
      <c r="E120419"/>
      <c r="F120419"/>
    </row>
    <row r="120420" spans="1:6" x14ac:dyDescent="0.25">
      <c r="A120420"/>
      <c r="B120420"/>
      <c r="C120420"/>
      <c r="E120420"/>
      <c r="F120420"/>
    </row>
    <row r="120421" spans="1:6" x14ac:dyDescent="0.25">
      <c r="A120421"/>
      <c r="B120421"/>
      <c r="C120421"/>
      <c r="E120421"/>
      <c r="F120421"/>
    </row>
    <row r="120422" spans="1:6" x14ac:dyDescent="0.25">
      <c r="A120422"/>
      <c r="B120422"/>
      <c r="C120422"/>
      <c r="E120422"/>
      <c r="F120422"/>
    </row>
    <row r="120423" spans="1:6" x14ac:dyDescent="0.25">
      <c r="A120423"/>
      <c r="B120423"/>
      <c r="C120423"/>
      <c r="E120423"/>
      <c r="F120423"/>
    </row>
    <row r="120424" spans="1:6" x14ac:dyDescent="0.25">
      <c r="A120424"/>
      <c r="B120424"/>
      <c r="C120424"/>
      <c r="E120424"/>
      <c r="F120424"/>
    </row>
    <row r="120425" spans="1:6" x14ac:dyDescent="0.25">
      <c r="A120425"/>
      <c r="B120425"/>
      <c r="C120425"/>
      <c r="E120425"/>
      <c r="F120425"/>
    </row>
    <row r="120426" spans="1:6" x14ac:dyDescent="0.25">
      <c r="A120426"/>
      <c r="B120426"/>
      <c r="C120426"/>
      <c r="E120426"/>
      <c r="F120426"/>
    </row>
    <row r="120427" spans="1:6" x14ac:dyDescent="0.25">
      <c r="A120427"/>
      <c r="B120427"/>
      <c r="C120427"/>
      <c r="E120427"/>
      <c r="F120427"/>
    </row>
    <row r="120428" spans="1:6" x14ac:dyDescent="0.25">
      <c r="A120428"/>
      <c r="B120428"/>
      <c r="C120428"/>
      <c r="E120428"/>
      <c r="F120428"/>
    </row>
    <row r="120429" spans="1:6" x14ac:dyDescent="0.25">
      <c r="A120429"/>
      <c r="B120429"/>
      <c r="C120429"/>
      <c r="E120429"/>
      <c r="F120429"/>
    </row>
    <row r="120430" spans="1:6" x14ac:dyDescent="0.25">
      <c r="A120430"/>
      <c r="B120430"/>
      <c r="C120430"/>
      <c r="E120430"/>
      <c r="F120430"/>
    </row>
    <row r="120431" spans="1:6" x14ac:dyDescent="0.25">
      <c r="A120431"/>
      <c r="B120431"/>
      <c r="C120431"/>
      <c r="E120431"/>
      <c r="F120431"/>
    </row>
    <row r="120432" spans="1:6" x14ac:dyDescent="0.25">
      <c r="A120432"/>
      <c r="B120432"/>
      <c r="C120432"/>
      <c r="E120432"/>
      <c r="F120432"/>
    </row>
    <row r="120433" spans="1:6" x14ac:dyDescent="0.25">
      <c r="A120433"/>
      <c r="B120433"/>
      <c r="C120433"/>
      <c r="E120433"/>
      <c r="F120433"/>
    </row>
    <row r="120434" spans="1:6" x14ac:dyDescent="0.25">
      <c r="A120434"/>
      <c r="B120434"/>
      <c r="C120434"/>
      <c r="E120434"/>
      <c r="F120434"/>
    </row>
    <row r="120435" spans="1:6" x14ac:dyDescent="0.25">
      <c r="A120435"/>
      <c r="B120435"/>
      <c r="C120435"/>
      <c r="E120435"/>
      <c r="F120435"/>
    </row>
    <row r="120436" spans="1:6" x14ac:dyDescent="0.25">
      <c r="A120436"/>
      <c r="B120436"/>
      <c r="C120436"/>
      <c r="E120436"/>
      <c r="F120436"/>
    </row>
    <row r="120437" spans="1:6" x14ac:dyDescent="0.25">
      <c r="A120437"/>
      <c r="B120437"/>
      <c r="C120437"/>
      <c r="E120437"/>
      <c r="F120437"/>
    </row>
    <row r="120438" spans="1:6" x14ac:dyDescent="0.25">
      <c r="A120438"/>
      <c r="B120438"/>
      <c r="C120438"/>
      <c r="E120438"/>
      <c r="F120438"/>
    </row>
    <row r="120439" spans="1:6" x14ac:dyDescent="0.25">
      <c r="A120439"/>
      <c r="B120439"/>
      <c r="C120439"/>
      <c r="E120439"/>
      <c r="F120439"/>
    </row>
    <row r="120440" spans="1:6" x14ac:dyDescent="0.25">
      <c r="A120440"/>
      <c r="B120440"/>
      <c r="C120440"/>
      <c r="E120440"/>
      <c r="F120440"/>
    </row>
    <row r="120441" spans="1:6" x14ac:dyDescent="0.25">
      <c r="A120441"/>
      <c r="B120441"/>
      <c r="C120441"/>
      <c r="E120441"/>
      <c r="F120441"/>
    </row>
    <row r="120442" spans="1:6" x14ac:dyDescent="0.25">
      <c r="A120442"/>
      <c r="B120442"/>
      <c r="C120442"/>
      <c r="E120442"/>
      <c r="F120442"/>
    </row>
    <row r="120443" spans="1:6" x14ac:dyDescent="0.25">
      <c r="A120443"/>
      <c r="B120443"/>
      <c r="C120443"/>
      <c r="E120443"/>
      <c r="F120443"/>
    </row>
    <row r="120444" spans="1:6" x14ac:dyDescent="0.25">
      <c r="A120444"/>
      <c r="B120444"/>
      <c r="C120444"/>
      <c r="E120444"/>
      <c r="F120444"/>
    </row>
    <row r="120445" spans="1:6" x14ac:dyDescent="0.25">
      <c r="A120445"/>
      <c r="B120445"/>
      <c r="C120445"/>
      <c r="E120445"/>
      <c r="F120445"/>
    </row>
    <row r="120446" spans="1:6" x14ac:dyDescent="0.25">
      <c r="A120446"/>
      <c r="B120446"/>
      <c r="C120446"/>
      <c r="E120446"/>
      <c r="F120446"/>
    </row>
    <row r="120447" spans="1:6" x14ac:dyDescent="0.25">
      <c r="A120447"/>
      <c r="B120447"/>
      <c r="C120447"/>
      <c r="E120447"/>
      <c r="F120447"/>
    </row>
    <row r="120448" spans="1:6" x14ac:dyDescent="0.25">
      <c r="A120448"/>
      <c r="B120448"/>
      <c r="C120448"/>
      <c r="E120448"/>
      <c r="F120448"/>
    </row>
    <row r="120449" spans="1:6" x14ac:dyDescent="0.25">
      <c r="A120449"/>
      <c r="B120449"/>
      <c r="C120449"/>
      <c r="E120449"/>
      <c r="F120449"/>
    </row>
    <row r="120450" spans="1:6" x14ac:dyDescent="0.25">
      <c r="A120450"/>
      <c r="B120450"/>
      <c r="C120450"/>
      <c r="E120450"/>
      <c r="F120450"/>
    </row>
    <row r="120451" spans="1:6" x14ac:dyDescent="0.25">
      <c r="A120451"/>
      <c r="B120451"/>
      <c r="C120451"/>
      <c r="E120451"/>
      <c r="F120451"/>
    </row>
    <row r="120452" spans="1:6" x14ac:dyDescent="0.25">
      <c r="A120452"/>
      <c r="B120452"/>
      <c r="C120452"/>
      <c r="E120452"/>
      <c r="F120452"/>
    </row>
    <row r="120453" spans="1:6" x14ac:dyDescent="0.25">
      <c r="A120453"/>
      <c r="B120453"/>
      <c r="C120453"/>
      <c r="E120453"/>
      <c r="F120453"/>
    </row>
    <row r="120454" spans="1:6" x14ac:dyDescent="0.25">
      <c r="A120454"/>
      <c r="B120454"/>
      <c r="C120454"/>
      <c r="E120454"/>
      <c r="F120454"/>
    </row>
    <row r="120455" spans="1:6" x14ac:dyDescent="0.25">
      <c r="A120455"/>
      <c r="B120455"/>
      <c r="C120455"/>
      <c r="E120455"/>
      <c r="F120455"/>
    </row>
    <row r="120456" spans="1:6" x14ac:dyDescent="0.25">
      <c r="A120456"/>
      <c r="B120456"/>
      <c r="C120456"/>
      <c r="E120456"/>
      <c r="F120456"/>
    </row>
    <row r="120457" spans="1:6" x14ac:dyDescent="0.25">
      <c r="A120457"/>
      <c r="B120457"/>
      <c r="C120457"/>
      <c r="E120457"/>
      <c r="F120457"/>
    </row>
    <row r="120458" spans="1:6" x14ac:dyDescent="0.25">
      <c r="A120458"/>
      <c r="B120458"/>
      <c r="C120458"/>
      <c r="E120458"/>
      <c r="F120458"/>
    </row>
    <row r="120459" spans="1:6" x14ac:dyDescent="0.25">
      <c r="A120459"/>
      <c r="B120459"/>
      <c r="C120459"/>
      <c r="E120459"/>
      <c r="F120459"/>
    </row>
    <row r="120460" spans="1:6" x14ac:dyDescent="0.25">
      <c r="A120460"/>
      <c r="B120460"/>
      <c r="C120460"/>
      <c r="E120460"/>
      <c r="F120460"/>
    </row>
    <row r="120461" spans="1:6" x14ac:dyDescent="0.25">
      <c r="A120461"/>
      <c r="B120461"/>
      <c r="C120461"/>
      <c r="E120461"/>
      <c r="F120461"/>
    </row>
    <row r="120462" spans="1:6" x14ac:dyDescent="0.25">
      <c r="A120462"/>
      <c r="B120462"/>
      <c r="C120462"/>
      <c r="E120462"/>
      <c r="F120462"/>
    </row>
    <row r="120463" spans="1:6" x14ac:dyDescent="0.25">
      <c r="A120463"/>
      <c r="B120463"/>
      <c r="C120463"/>
      <c r="E120463"/>
      <c r="F120463"/>
    </row>
    <row r="120464" spans="1:6" x14ac:dyDescent="0.25">
      <c r="A120464"/>
      <c r="B120464"/>
      <c r="C120464"/>
      <c r="E120464"/>
      <c r="F120464"/>
    </row>
    <row r="120465" spans="1:6" x14ac:dyDescent="0.25">
      <c r="A120465"/>
      <c r="B120465"/>
      <c r="C120465"/>
      <c r="E120465"/>
      <c r="F120465"/>
    </row>
    <row r="120466" spans="1:6" x14ac:dyDescent="0.25">
      <c r="A120466"/>
      <c r="B120466"/>
      <c r="C120466"/>
      <c r="E120466"/>
      <c r="F120466"/>
    </row>
    <row r="120467" spans="1:6" x14ac:dyDescent="0.25">
      <c r="A120467"/>
      <c r="B120467"/>
      <c r="C120467"/>
      <c r="E120467"/>
      <c r="F120467"/>
    </row>
    <row r="120468" spans="1:6" x14ac:dyDescent="0.25">
      <c r="A120468"/>
      <c r="B120468"/>
      <c r="C120468"/>
      <c r="E120468"/>
      <c r="F120468"/>
    </row>
    <row r="120469" spans="1:6" x14ac:dyDescent="0.25">
      <c r="A120469"/>
      <c r="B120469"/>
      <c r="C120469"/>
      <c r="E120469"/>
      <c r="F120469"/>
    </row>
    <row r="120470" spans="1:6" x14ac:dyDescent="0.25">
      <c r="A120470"/>
      <c r="B120470"/>
      <c r="C120470"/>
      <c r="E120470"/>
      <c r="F120470"/>
    </row>
    <row r="120471" spans="1:6" x14ac:dyDescent="0.25">
      <c r="A120471"/>
      <c r="B120471"/>
      <c r="C120471"/>
      <c r="E120471"/>
      <c r="F120471"/>
    </row>
    <row r="120472" spans="1:6" x14ac:dyDescent="0.25">
      <c r="A120472"/>
      <c r="B120472"/>
      <c r="C120472"/>
      <c r="E120472"/>
      <c r="F120472"/>
    </row>
    <row r="120473" spans="1:6" x14ac:dyDescent="0.25">
      <c r="A120473"/>
      <c r="B120473"/>
      <c r="C120473"/>
      <c r="E120473"/>
      <c r="F120473"/>
    </row>
    <row r="120474" spans="1:6" x14ac:dyDescent="0.25">
      <c r="A120474"/>
      <c r="B120474"/>
      <c r="C120474"/>
      <c r="E120474"/>
      <c r="F120474"/>
    </row>
    <row r="120475" spans="1:6" x14ac:dyDescent="0.25">
      <c r="A120475"/>
      <c r="B120475"/>
      <c r="C120475"/>
      <c r="E120475"/>
      <c r="F120475"/>
    </row>
    <row r="120476" spans="1:6" x14ac:dyDescent="0.25">
      <c r="A120476"/>
      <c r="B120476"/>
      <c r="C120476"/>
      <c r="E120476"/>
      <c r="F120476"/>
    </row>
    <row r="120477" spans="1:6" x14ac:dyDescent="0.25">
      <c r="A120477"/>
      <c r="B120477"/>
      <c r="C120477"/>
      <c r="E120477"/>
      <c r="F120477"/>
    </row>
    <row r="120478" spans="1:6" x14ac:dyDescent="0.25">
      <c r="A120478"/>
      <c r="B120478"/>
      <c r="C120478"/>
      <c r="E120478"/>
      <c r="F120478"/>
    </row>
    <row r="120479" spans="1:6" x14ac:dyDescent="0.25">
      <c r="A120479"/>
      <c r="B120479"/>
      <c r="C120479"/>
      <c r="E120479"/>
      <c r="F120479"/>
    </row>
    <row r="120480" spans="1:6" x14ac:dyDescent="0.25">
      <c r="A120480"/>
      <c r="B120480"/>
      <c r="C120480"/>
      <c r="E120480"/>
      <c r="F120480"/>
    </row>
    <row r="120481" spans="1:6" x14ac:dyDescent="0.25">
      <c r="A120481"/>
      <c r="B120481"/>
      <c r="C120481"/>
      <c r="E120481"/>
      <c r="F120481"/>
    </row>
    <row r="120482" spans="1:6" x14ac:dyDescent="0.25">
      <c r="A120482"/>
      <c r="B120482"/>
      <c r="C120482"/>
      <c r="E120482"/>
      <c r="F120482"/>
    </row>
    <row r="120483" spans="1:6" x14ac:dyDescent="0.25">
      <c r="A120483"/>
      <c r="B120483"/>
      <c r="C120483"/>
      <c r="E120483"/>
      <c r="F120483"/>
    </row>
    <row r="120484" spans="1:6" x14ac:dyDescent="0.25">
      <c r="A120484"/>
      <c r="B120484"/>
      <c r="C120484"/>
      <c r="E120484"/>
      <c r="F120484"/>
    </row>
    <row r="120485" spans="1:6" x14ac:dyDescent="0.25">
      <c r="A120485"/>
      <c r="B120485"/>
      <c r="C120485"/>
      <c r="E120485"/>
      <c r="F120485"/>
    </row>
    <row r="120486" spans="1:6" x14ac:dyDescent="0.25">
      <c r="A120486"/>
      <c r="B120486"/>
      <c r="C120486"/>
      <c r="E120486"/>
      <c r="F120486"/>
    </row>
    <row r="120487" spans="1:6" x14ac:dyDescent="0.25">
      <c r="A120487"/>
      <c r="B120487"/>
      <c r="C120487"/>
      <c r="E120487"/>
      <c r="F120487"/>
    </row>
    <row r="120488" spans="1:6" x14ac:dyDescent="0.25">
      <c r="A120488"/>
      <c r="B120488"/>
      <c r="C120488"/>
      <c r="E120488"/>
      <c r="F120488"/>
    </row>
    <row r="120489" spans="1:6" x14ac:dyDescent="0.25">
      <c r="A120489"/>
      <c r="B120489"/>
      <c r="C120489"/>
      <c r="E120489"/>
      <c r="F120489"/>
    </row>
    <row r="120490" spans="1:6" x14ac:dyDescent="0.25">
      <c r="A120490"/>
      <c r="B120490"/>
      <c r="C120490"/>
      <c r="E120490"/>
      <c r="F120490"/>
    </row>
    <row r="120491" spans="1:6" x14ac:dyDescent="0.25">
      <c r="A120491"/>
      <c r="B120491"/>
      <c r="C120491"/>
      <c r="E120491"/>
      <c r="F120491"/>
    </row>
    <row r="120492" spans="1:6" x14ac:dyDescent="0.25">
      <c r="A120492"/>
      <c r="B120492"/>
      <c r="C120492"/>
      <c r="E120492"/>
      <c r="F120492"/>
    </row>
    <row r="120493" spans="1:6" x14ac:dyDescent="0.25">
      <c r="A120493"/>
      <c r="B120493"/>
      <c r="C120493"/>
      <c r="E120493"/>
      <c r="F120493"/>
    </row>
    <row r="120494" spans="1:6" x14ac:dyDescent="0.25">
      <c r="A120494"/>
      <c r="B120494"/>
      <c r="C120494"/>
      <c r="E120494"/>
      <c r="F120494"/>
    </row>
    <row r="120495" spans="1:6" x14ac:dyDescent="0.25">
      <c r="A120495"/>
      <c r="B120495"/>
      <c r="C120495"/>
      <c r="E120495"/>
      <c r="F120495"/>
    </row>
    <row r="120496" spans="1:6" x14ac:dyDescent="0.25">
      <c r="A120496"/>
      <c r="B120496"/>
      <c r="C120496"/>
      <c r="E120496"/>
      <c r="F120496"/>
    </row>
    <row r="120497" spans="1:6" x14ac:dyDescent="0.25">
      <c r="A120497"/>
      <c r="B120497"/>
      <c r="C120497"/>
      <c r="E120497"/>
      <c r="F120497"/>
    </row>
    <row r="120498" spans="1:6" x14ac:dyDescent="0.25">
      <c r="A120498"/>
      <c r="B120498"/>
      <c r="C120498"/>
      <c r="E120498"/>
      <c r="F120498"/>
    </row>
    <row r="120499" spans="1:6" x14ac:dyDescent="0.25">
      <c r="A120499"/>
      <c r="B120499"/>
      <c r="C120499"/>
      <c r="E120499"/>
      <c r="F120499"/>
    </row>
    <row r="120500" spans="1:6" x14ac:dyDescent="0.25">
      <c r="A120500"/>
      <c r="B120500"/>
      <c r="C120500"/>
      <c r="E120500"/>
      <c r="F120500"/>
    </row>
    <row r="120501" spans="1:6" x14ac:dyDescent="0.25">
      <c r="A120501"/>
      <c r="B120501"/>
      <c r="C120501"/>
      <c r="E120501"/>
      <c r="F120501"/>
    </row>
    <row r="120502" spans="1:6" x14ac:dyDescent="0.25">
      <c r="A120502"/>
      <c r="B120502"/>
      <c r="C120502"/>
      <c r="E120502"/>
      <c r="F120502"/>
    </row>
    <row r="120503" spans="1:6" x14ac:dyDescent="0.25">
      <c r="A120503"/>
      <c r="B120503"/>
      <c r="C120503"/>
      <c r="E120503"/>
      <c r="F120503"/>
    </row>
    <row r="120504" spans="1:6" x14ac:dyDescent="0.25">
      <c r="A120504"/>
      <c r="B120504"/>
      <c r="C120504"/>
      <c r="E120504"/>
      <c r="F120504"/>
    </row>
    <row r="120505" spans="1:6" x14ac:dyDescent="0.25">
      <c r="A120505"/>
      <c r="B120505"/>
      <c r="C120505"/>
      <c r="E120505"/>
      <c r="F120505"/>
    </row>
    <row r="120506" spans="1:6" x14ac:dyDescent="0.25">
      <c r="A120506"/>
      <c r="B120506"/>
      <c r="C120506"/>
      <c r="E120506"/>
      <c r="F120506"/>
    </row>
    <row r="120507" spans="1:6" x14ac:dyDescent="0.25">
      <c r="A120507"/>
      <c r="B120507"/>
      <c r="C120507"/>
      <c r="E120507"/>
      <c r="F120507"/>
    </row>
    <row r="120508" spans="1:6" x14ac:dyDescent="0.25">
      <c r="A120508"/>
      <c r="B120508"/>
      <c r="C120508"/>
      <c r="E120508"/>
      <c r="F120508"/>
    </row>
    <row r="120509" spans="1:6" x14ac:dyDescent="0.25">
      <c r="A120509"/>
      <c r="B120509"/>
      <c r="C120509"/>
      <c r="E120509"/>
      <c r="F120509"/>
    </row>
    <row r="120510" spans="1:6" x14ac:dyDescent="0.25">
      <c r="A120510"/>
      <c r="B120510"/>
      <c r="C120510"/>
      <c r="E120510"/>
      <c r="F120510"/>
    </row>
    <row r="120511" spans="1:6" x14ac:dyDescent="0.25">
      <c r="A120511"/>
      <c r="B120511"/>
      <c r="C120511"/>
      <c r="E120511"/>
      <c r="F120511"/>
    </row>
    <row r="120512" spans="1:6" x14ac:dyDescent="0.25">
      <c r="A120512"/>
      <c r="B120512"/>
      <c r="C120512"/>
      <c r="E120512"/>
      <c r="F120512"/>
    </row>
    <row r="120513" spans="1:6" x14ac:dyDescent="0.25">
      <c r="A120513"/>
      <c r="B120513"/>
      <c r="C120513"/>
      <c r="E120513"/>
      <c r="F120513"/>
    </row>
    <row r="120514" spans="1:6" x14ac:dyDescent="0.25">
      <c r="A120514"/>
      <c r="B120514"/>
      <c r="C120514"/>
      <c r="E120514"/>
      <c r="F120514"/>
    </row>
    <row r="120515" spans="1:6" x14ac:dyDescent="0.25">
      <c r="A120515"/>
      <c r="B120515"/>
      <c r="C120515"/>
      <c r="E120515"/>
      <c r="F120515"/>
    </row>
    <row r="120516" spans="1:6" x14ac:dyDescent="0.25">
      <c r="A120516"/>
      <c r="B120516"/>
      <c r="C120516"/>
      <c r="E120516"/>
      <c r="F120516"/>
    </row>
    <row r="120517" spans="1:6" x14ac:dyDescent="0.25">
      <c r="A120517"/>
      <c r="B120517"/>
      <c r="C120517"/>
      <c r="E120517"/>
      <c r="F120517"/>
    </row>
    <row r="120518" spans="1:6" x14ac:dyDescent="0.25">
      <c r="A120518"/>
      <c r="B120518"/>
      <c r="C120518"/>
      <c r="E120518"/>
      <c r="F120518"/>
    </row>
    <row r="120519" spans="1:6" x14ac:dyDescent="0.25">
      <c r="A120519"/>
      <c r="B120519"/>
      <c r="C120519"/>
      <c r="E120519"/>
      <c r="F120519"/>
    </row>
    <row r="120520" spans="1:6" x14ac:dyDescent="0.25">
      <c r="A120520"/>
      <c r="B120520"/>
      <c r="C120520"/>
      <c r="E120520"/>
      <c r="F120520"/>
    </row>
    <row r="120521" spans="1:6" x14ac:dyDescent="0.25">
      <c r="A120521"/>
      <c r="B120521"/>
      <c r="C120521"/>
      <c r="E120521"/>
      <c r="F120521"/>
    </row>
    <row r="120522" spans="1:6" x14ac:dyDescent="0.25">
      <c r="A120522"/>
      <c r="B120522"/>
      <c r="C120522"/>
      <c r="E120522"/>
      <c r="F120522"/>
    </row>
    <row r="120523" spans="1:6" x14ac:dyDescent="0.25">
      <c r="A120523"/>
      <c r="B120523"/>
      <c r="C120523"/>
      <c r="E120523"/>
      <c r="F120523"/>
    </row>
    <row r="120524" spans="1:6" x14ac:dyDescent="0.25">
      <c r="A120524"/>
      <c r="B120524"/>
      <c r="C120524"/>
      <c r="E120524"/>
      <c r="F120524"/>
    </row>
    <row r="120525" spans="1:6" x14ac:dyDescent="0.25">
      <c r="A120525"/>
      <c r="B120525"/>
      <c r="C120525"/>
      <c r="E120525"/>
      <c r="F120525"/>
    </row>
    <row r="120526" spans="1:6" x14ac:dyDescent="0.25">
      <c r="A120526"/>
      <c r="B120526"/>
      <c r="C120526"/>
      <c r="E120526"/>
      <c r="F120526"/>
    </row>
    <row r="120527" spans="1:6" x14ac:dyDescent="0.25">
      <c r="A120527"/>
      <c r="B120527"/>
      <c r="C120527"/>
      <c r="E120527"/>
      <c r="F120527"/>
    </row>
    <row r="120528" spans="1:6" x14ac:dyDescent="0.25">
      <c r="A120528"/>
      <c r="B120528"/>
      <c r="C120528"/>
      <c r="E120528"/>
      <c r="F120528"/>
    </row>
    <row r="120529" spans="1:6" x14ac:dyDescent="0.25">
      <c r="A120529"/>
      <c r="B120529"/>
      <c r="C120529"/>
      <c r="E120529"/>
      <c r="F120529"/>
    </row>
    <row r="120530" spans="1:6" x14ac:dyDescent="0.25">
      <c r="A120530"/>
      <c r="B120530"/>
      <c r="C120530"/>
      <c r="E120530"/>
      <c r="F120530"/>
    </row>
    <row r="120531" spans="1:6" x14ac:dyDescent="0.25">
      <c r="A120531"/>
      <c r="B120531"/>
      <c r="C120531"/>
      <c r="E120531"/>
      <c r="F120531"/>
    </row>
    <row r="120532" spans="1:6" x14ac:dyDescent="0.25">
      <c r="A120532"/>
      <c r="B120532"/>
      <c r="C120532"/>
      <c r="E120532"/>
      <c r="F120532"/>
    </row>
    <row r="120533" spans="1:6" x14ac:dyDescent="0.25">
      <c r="A120533"/>
      <c r="B120533"/>
      <c r="C120533"/>
      <c r="E120533"/>
      <c r="F120533"/>
    </row>
    <row r="120534" spans="1:6" x14ac:dyDescent="0.25">
      <c r="A120534"/>
      <c r="B120534"/>
      <c r="C120534"/>
      <c r="E120534"/>
      <c r="F120534"/>
    </row>
    <row r="120535" spans="1:6" x14ac:dyDescent="0.25">
      <c r="A120535"/>
      <c r="B120535"/>
      <c r="C120535"/>
      <c r="E120535"/>
      <c r="F120535"/>
    </row>
    <row r="120536" spans="1:6" x14ac:dyDescent="0.25">
      <c r="A120536"/>
      <c r="B120536"/>
      <c r="C120536"/>
      <c r="E120536"/>
      <c r="F120536"/>
    </row>
    <row r="120537" spans="1:6" x14ac:dyDescent="0.25">
      <c r="A120537"/>
      <c r="B120537"/>
      <c r="C120537"/>
      <c r="E120537"/>
      <c r="F120537"/>
    </row>
    <row r="120538" spans="1:6" x14ac:dyDescent="0.25">
      <c r="A120538"/>
      <c r="B120538"/>
      <c r="C120538"/>
      <c r="E120538"/>
      <c r="F120538"/>
    </row>
    <row r="120539" spans="1:6" x14ac:dyDescent="0.25">
      <c r="A120539"/>
      <c r="B120539"/>
      <c r="C120539"/>
      <c r="E120539"/>
      <c r="F120539"/>
    </row>
    <row r="120540" spans="1:6" x14ac:dyDescent="0.25">
      <c r="A120540"/>
      <c r="B120540"/>
      <c r="C120540"/>
      <c r="E120540"/>
      <c r="F120540"/>
    </row>
    <row r="120541" spans="1:6" x14ac:dyDescent="0.25">
      <c r="A120541"/>
      <c r="B120541"/>
      <c r="C120541"/>
      <c r="E120541"/>
      <c r="F120541"/>
    </row>
    <row r="120542" spans="1:6" x14ac:dyDescent="0.25">
      <c r="A120542"/>
      <c r="B120542"/>
      <c r="C120542"/>
      <c r="E120542"/>
      <c r="F120542"/>
    </row>
    <row r="120543" spans="1:6" x14ac:dyDescent="0.25">
      <c r="A120543"/>
      <c r="B120543"/>
      <c r="C120543"/>
      <c r="E120543"/>
      <c r="F120543"/>
    </row>
    <row r="120544" spans="1:6" x14ac:dyDescent="0.25">
      <c r="A120544"/>
      <c r="B120544"/>
      <c r="C120544"/>
      <c r="E120544"/>
      <c r="F120544"/>
    </row>
    <row r="120545" spans="1:6" x14ac:dyDescent="0.25">
      <c r="A120545"/>
      <c r="B120545"/>
      <c r="C120545"/>
      <c r="E120545"/>
      <c r="F120545"/>
    </row>
    <row r="120546" spans="1:6" x14ac:dyDescent="0.25">
      <c r="A120546"/>
      <c r="B120546"/>
      <c r="C120546"/>
      <c r="E120546"/>
      <c r="F120546"/>
    </row>
    <row r="120547" spans="1:6" x14ac:dyDescent="0.25">
      <c r="A120547"/>
      <c r="B120547"/>
      <c r="C120547"/>
      <c r="E120547"/>
      <c r="F120547"/>
    </row>
    <row r="120548" spans="1:6" x14ac:dyDescent="0.25">
      <c r="A120548"/>
      <c r="B120548"/>
      <c r="C120548"/>
      <c r="E120548"/>
      <c r="F120548"/>
    </row>
    <row r="120549" spans="1:6" x14ac:dyDescent="0.25">
      <c r="A120549"/>
      <c r="B120549"/>
      <c r="C120549"/>
      <c r="E120549"/>
      <c r="F120549"/>
    </row>
    <row r="120550" spans="1:6" x14ac:dyDescent="0.25">
      <c r="A120550"/>
      <c r="B120550"/>
      <c r="C120550"/>
      <c r="E120550"/>
      <c r="F120550"/>
    </row>
    <row r="120551" spans="1:6" x14ac:dyDescent="0.25">
      <c r="A120551"/>
      <c r="B120551"/>
      <c r="C120551"/>
      <c r="E120551"/>
      <c r="F120551"/>
    </row>
    <row r="120552" spans="1:6" x14ac:dyDescent="0.25">
      <c r="A120552"/>
      <c r="B120552"/>
      <c r="C120552"/>
      <c r="E120552"/>
      <c r="F120552"/>
    </row>
    <row r="120553" spans="1:6" x14ac:dyDescent="0.25">
      <c r="A120553"/>
      <c r="B120553"/>
      <c r="C120553"/>
      <c r="E120553"/>
      <c r="F120553"/>
    </row>
    <row r="120554" spans="1:6" x14ac:dyDescent="0.25">
      <c r="A120554"/>
      <c r="B120554"/>
      <c r="C120554"/>
      <c r="E120554"/>
      <c r="F120554"/>
    </row>
    <row r="120555" spans="1:6" x14ac:dyDescent="0.25">
      <c r="A120555"/>
      <c r="B120555"/>
      <c r="C120555"/>
      <c r="E120555"/>
      <c r="F120555"/>
    </row>
    <row r="120556" spans="1:6" x14ac:dyDescent="0.25">
      <c r="A120556"/>
      <c r="B120556"/>
      <c r="C120556"/>
      <c r="E120556"/>
      <c r="F120556"/>
    </row>
    <row r="120557" spans="1:6" x14ac:dyDescent="0.25">
      <c r="A120557"/>
      <c r="B120557"/>
      <c r="C120557"/>
      <c r="E120557"/>
      <c r="F120557"/>
    </row>
    <row r="120558" spans="1:6" x14ac:dyDescent="0.25">
      <c r="A120558"/>
      <c r="B120558"/>
      <c r="C120558"/>
      <c r="E120558"/>
      <c r="F120558"/>
    </row>
    <row r="120559" spans="1:6" x14ac:dyDescent="0.25">
      <c r="A120559"/>
      <c r="B120559"/>
      <c r="C120559"/>
      <c r="E120559"/>
      <c r="F120559"/>
    </row>
    <row r="120560" spans="1:6" x14ac:dyDescent="0.25">
      <c r="A120560"/>
      <c r="B120560"/>
      <c r="C120560"/>
      <c r="E120560"/>
      <c r="F120560"/>
    </row>
    <row r="120561" spans="1:6" x14ac:dyDescent="0.25">
      <c r="A120561"/>
      <c r="B120561"/>
      <c r="C120561"/>
      <c r="E120561"/>
      <c r="F120561"/>
    </row>
    <row r="120562" spans="1:6" x14ac:dyDescent="0.25">
      <c r="A120562"/>
      <c r="B120562"/>
      <c r="C120562"/>
      <c r="E120562"/>
      <c r="F120562"/>
    </row>
    <row r="120563" spans="1:6" x14ac:dyDescent="0.25">
      <c r="A120563"/>
      <c r="B120563"/>
      <c r="C120563"/>
      <c r="E120563"/>
      <c r="F120563"/>
    </row>
    <row r="120564" spans="1:6" x14ac:dyDescent="0.25">
      <c r="A120564"/>
      <c r="B120564"/>
      <c r="C120564"/>
      <c r="E120564"/>
      <c r="F120564"/>
    </row>
    <row r="120565" spans="1:6" x14ac:dyDescent="0.25">
      <c r="A120565"/>
      <c r="B120565"/>
      <c r="C120565"/>
      <c r="E120565"/>
      <c r="F120565"/>
    </row>
    <row r="120566" spans="1:6" x14ac:dyDescent="0.25">
      <c r="A120566"/>
      <c r="B120566"/>
      <c r="C120566"/>
      <c r="E120566"/>
      <c r="F120566"/>
    </row>
    <row r="120567" spans="1:6" x14ac:dyDescent="0.25">
      <c r="A120567"/>
      <c r="B120567"/>
      <c r="C120567"/>
      <c r="E120567"/>
      <c r="F120567"/>
    </row>
    <row r="120568" spans="1:6" x14ac:dyDescent="0.25">
      <c r="A120568"/>
      <c r="B120568"/>
      <c r="C120568"/>
      <c r="E120568"/>
      <c r="F120568"/>
    </row>
    <row r="120569" spans="1:6" x14ac:dyDescent="0.25">
      <c r="A120569"/>
      <c r="B120569"/>
      <c r="C120569"/>
      <c r="E120569"/>
      <c r="F120569"/>
    </row>
    <row r="120570" spans="1:6" x14ac:dyDescent="0.25">
      <c r="A120570"/>
      <c r="B120570"/>
      <c r="C120570"/>
      <c r="E120570"/>
      <c r="F120570"/>
    </row>
    <row r="120571" spans="1:6" x14ac:dyDescent="0.25">
      <c r="A120571"/>
      <c r="B120571"/>
      <c r="C120571"/>
      <c r="E120571"/>
      <c r="F120571"/>
    </row>
    <row r="120572" spans="1:6" x14ac:dyDescent="0.25">
      <c r="A120572"/>
      <c r="B120572"/>
      <c r="C120572"/>
      <c r="E120572"/>
      <c r="F120572"/>
    </row>
    <row r="120573" spans="1:6" x14ac:dyDescent="0.25">
      <c r="A120573"/>
      <c r="B120573"/>
      <c r="C120573"/>
      <c r="E120573"/>
      <c r="F120573"/>
    </row>
    <row r="120574" spans="1:6" x14ac:dyDescent="0.25">
      <c r="A120574"/>
      <c r="B120574"/>
      <c r="C120574"/>
      <c r="E120574"/>
      <c r="F120574"/>
    </row>
    <row r="120575" spans="1:6" x14ac:dyDescent="0.25">
      <c r="A120575"/>
      <c r="B120575"/>
      <c r="C120575"/>
      <c r="E120575"/>
      <c r="F120575"/>
    </row>
    <row r="120576" spans="1:6" x14ac:dyDescent="0.25">
      <c r="A120576"/>
      <c r="B120576"/>
      <c r="C120576"/>
      <c r="E120576"/>
      <c r="F120576"/>
    </row>
    <row r="120577" spans="1:6" x14ac:dyDescent="0.25">
      <c r="A120577"/>
      <c r="B120577"/>
      <c r="C120577"/>
      <c r="E120577"/>
      <c r="F120577"/>
    </row>
    <row r="120578" spans="1:6" x14ac:dyDescent="0.25">
      <c r="A120578"/>
      <c r="B120578"/>
      <c r="C120578"/>
      <c r="E120578"/>
      <c r="F120578"/>
    </row>
    <row r="120579" spans="1:6" x14ac:dyDescent="0.25">
      <c r="A120579"/>
      <c r="B120579"/>
      <c r="C120579"/>
      <c r="E120579"/>
      <c r="F120579"/>
    </row>
    <row r="120580" spans="1:6" x14ac:dyDescent="0.25">
      <c r="A120580"/>
      <c r="B120580"/>
      <c r="C120580"/>
      <c r="E120580"/>
      <c r="F120580"/>
    </row>
    <row r="120581" spans="1:6" x14ac:dyDescent="0.25">
      <c r="A120581"/>
      <c r="B120581"/>
      <c r="C120581"/>
      <c r="E120581"/>
      <c r="F120581"/>
    </row>
    <row r="120582" spans="1:6" x14ac:dyDescent="0.25">
      <c r="A120582"/>
      <c r="B120582"/>
      <c r="C120582"/>
      <c r="E120582"/>
      <c r="F120582"/>
    </row>
    <row r="120583" spans="1:6" x14ac:dyDescent="0.25">
      <c r="A120583"/>
      <c r="B120583"/>
      <c r="C120583"/>
      <c r="E120583"/>
      <c r="F120583"/>
    </row>
    <row r="120584" spans="1:6" x14ac:dyDescent="0.25">
      <c r="A120584"/>
      <c r="B120584"/>
      <c r="C120584"/>
      <c r="E120584"/>
      <c r="F120584"/>
    </row>
    <row r="120585" spans="1:6" x14ac:dyDescent="0.25">
      <c r="A120585"/>
      <c r="B120585"/>
      <c r="C120585"/>
      <c r="E120585"/>
      <c r="F120585"/>
    </row>
    <row r="120586" spans="1:6" x14ac:dyDescent="0.25">
      <c r="A120586"/>
      <c r="B120586"/>
      <c r="C120586"/>
      <c r="E120586"/>
      <c r="F120586"/>
    </row>
    <row r="120587" spans="1:6" x14ac:dyDescent="0.25">
      <c r="A120587"/>
      <c r="B120587"/>
      <c r="C120587"/>
      <c r="E120587"/>
      <c r="F120587"/>
    </row>
    <row r="120588" spans="1:6" x14ac:dyDescent="0.25">
      <c r="A120588"/>
      <c r="B120588"/>
      <c r="C120588"/>
      <c r="E120588"/>
      <c r="F120588"/>
    </row>
    <row r="120589" spans="1:6" x14ac:dyDescent="0.25">
      <c r="A120589"/>
      <c r="B120589"/>
      <c r="C120589"/>
      <c r="E120589"/>
      <c r="F120589"/>
    </row>
    <row r="120590" spans="1:6" x14ac:dyDescent="0.25">
      <c r="A120590"/>
      <c r="B120590"/>
      <c r="C120590"/>
      <c r="E120590"/>
      <c r="F120590"/>
    </row>
    <row r="120591" spans="1:6" x14ac:dyDescent="0.25">
      <c r="A120591"/>
      <c r="B120591"/>
      <c r="C120591"/>
      <c r="E120591"/>
      <c r="F120591"/>
    </row>
    <row r="120592" spans="1:6" x14ac:dyDescent="0.25">
      <c r="A120592"/>
      <c r="B120592"/>
      <c r="C120592"/>
      <c r="E120592"/>
      <c r="F120592"/>
    </row>
    <row r="120593" spans="1:6" x14ac:dyDescent="0.25">
      <c r="A120593"/>
      <c r="B120593"/>
      <c r="C120593"/>
      <c r="E120593"/>
      <c r="F120593"/>
    </row>
    <row r="120594" spans="1:6" x14ac:dyDescent="0.25">
      <c r="A120594"/>
      <c r="B120594"/>
      <c r="C120594"/>
      <c r="E120594"/>
      <c r="F120594"/>
    </row>
    <row r="120595" spans="1:6" x14ac:dyDescent="0.25">
      <c r="A120595"/>
      <c r="B120595"/>
      <c r="C120595"/>
      <c r="E120595"/>
      <c r="F120595"/>
    </row>
    <row r="120596" spans="1:6" x14ac:dyDescent="0.25">
      <c r="A120596"/>
      <c r="B120596"/>
      <c r="C120596"/>
      <c r="E120596"/>
      <c r="F120596"/>
    </row>
    <row r="120597" spans="1:6" x14ac:dyDescent="0.25">
      <c r="A120597"/>
      <c r="B120597"/>
      <c r="C120597"/>
      <c r="E120597"/>
      <c r="F120597"/>
    </row>
    <row r="120598" spans="1:6" x14ac:dyDescent="0.25">
      <c r="A120598"/>
      <c r="B120598"/>
      <c r="C120598"/>
      <c r="E120598"/>
      <c r="F120598"/>
    </row>
    <row r="120599" spans="1:6" x14ac:dyDescent="0.25">
      <c r="A120599"/>
      <c r="B120599"/>
      <c r="C120599"/>
      <c r="E120599"/>
      <c r="F120599"/>
    </row>
    <row r="120600" spans="1:6" x14ac:dyDescent="0.25">
      <c r="A120600"/>
      <c r="B120600"/>
      <c r="C120600"/>
      <c r="E120600"/>
      <c r="F120600"/>
    </row>
    <row r="120601" spans="1:6" x14ac:dyDescent="0.25">
      <c r="A120601"/>
      <c r="B120601"/>
      <c r="C120601"/>
      <c r="E120601"/>
      <c r="F120601"/>
    </row>
    <row r="120602" spans="1:6" x14ac:dyDescent="0.25">
      <c r="A120602"/>
      <c r="B120602"/>
      <c r="C120602"/>
      <c r="E120602"/>
      <c r="F120602"/>
    </row>
    <row r="120603" spans="1:6" x14ac:dyDescent="0.25">
      <c r="A120603"/>
      <c r="B120603"/>
      <c r="C120603"/>
      <c r="E120603"/>
      <c r="F120603"/>
    </row>
    <row r="120604" spans="1:6" x14ac:dyDescent="0.25">
      <c r="A120604"/>
      <c r="B120604"/>
      <c r="C120604"/>
      <c r="E120604"/>
      <c r="F120604"/>
    </row>
    <row r="120605" spans="1:6" x14ac:dyDescent="0.25">
      <c r="A120605"/>
      <c r="B120605"/>
      <c r="C120605"/>
      <c r="E120605"/>
      <c r="F120605"/>
    </row>
    <row r="120606" spans="1:6" x14ac:dyDescent="0.25">
      <c r="A120606"/>
      <c r="B120606"/>
      <c r="C120606"/>
      <c r="E120606"/>
      <c r="F120606"/>
    </row>
    <row r="120607" spans="1:6" x14ac:dyDescent="0.25">
      <c r="A120607"/>
      <c r="B120607"/>
      <c r="C120607"/>
      <c r="E120607"/>
      <c r="F120607"/>
    </row>
    <row r="120608" spans="1:6" x14ac:dyDescent="0.25">
      <c r="A120608"/>
      <c r="B120608"/>
      <c r="C120608"/>
      <c r="E120608"/>
      <c r="F120608"/>
    </row>
    <row r="120609" spans="1:6" x14ac:dyDescent="0.25">
      <c r="A120609"/>
      <c r="B120609"/>
      <c r="C120609"/>
      <c r="E120609"/>
      <c r="F120609"/>
    </row>
    <row r="120610" spans="1:6" x14ac:dyDescent="0.25">
      <c r="A120610"/>
      <c r="B120610"/>
      <c r="C120610"/>
      <c r="E120610"/>
      <c r="F120610"/>
    </row>
    <row r="120611" spans="1:6" x14ac:dyDescent="0.25">
      <c r="A120611"/>
      <c r="B120611"/>
      <c r="C120611"/>
      <c r="E120611"/>
      <c r="F120611"/>
    </row>
    <row r="120612" spans="1:6" x14ac:dyDescent="0.25">
      <c r="A120612"/>
      <c r="B120612"/>
      <c r="C120612"/>
      <c r="E120612"/>
      <c r="F120612"/>
    </row>
    <row r="120613" spans="1:6" x14ac:dyDescent="0.25">
      <c r="A120613"/>
      <c r="B120613"/>
      <c r="C120613"/>
      <c r="E120613"/>
      <c r="F120613"/>
    </row>
    <row r="120614" spans="1:6" x14ac:dyDescent="0.25">
      <c r="A120614"/>
      <c r="B120614"/>
      <c r="C120614"/>
      <c r="E120614"/>
      <c r="F120614"/>
    </row>
    <row r="120615" spans="1:6" x14ac:dyDescent="0.25">
      <c r="A120615"/>
      <c r="B120615"/>
      <c r="C120615"/>
      <c r="E120615"/>
      <c r="F120615"/>
    </row>
    <row r="120616" spans="1:6" x14ac:dyDescent="0.25">
      <c r="A120616"/>
      <c r="B120616"/>
      <c r="C120616"/>
      <c r="E120616"/>
      <c r="F120616"/>
    </row>
    <row r="120617" spans="1:6" x14ac:dyDescent="0.25">
      <c r="A120617"/>
      <c r="B120617"/>
      <c r="C120617"/>
      <c r="E120617"/>
      <c r="F120617"/>
    </row>
    <row r="120618" spans="1:6" x14ac:dyDescent="0.25">
      <c r="A120618"/>
      <c r="B120618"/>
      <c r="C120618"/>
      <c r="E120618"/>
      <c r="F120618"/>
    </row>
    <row r="120619" spans="1:6" x14ac:dyDescent="0.25">
      <c r="A120619"/>
      <c r="B120619"/>
      <c r="C120619"/>
      <c r="E120619"/>
      <c r="F120619"/>
    </row>
    <row r="120620" spans="1:6" x14ac:dyDescent="0.25">
      <c r="A120620"/>
      <c r="B120620"/>
      <c r="C120620"/>
      <c r="E120620"/>
      <c r="F120620"/>
    </row>
    <row r="120621" spans="1:6" x14ac:dyDescent="0.25">
      <c r="A120621"/>
      <c r="B120621"/>
      <c r="C120621"/>
      <c r="E120621"/>
      <c r="F120621"/>
    </row>
    <row r="120622" spans="1:6" x14ac:dyDescent="0.25">
      <c r="A120622"/>
      <c r="B120622"/>
      <c r="C120622"/>
      <c r="E120622"/>
      <c r="F120622"/>
    </row>
    <row r="120623" spans="1:6" x14ac:dyDescent="0.25">
      <c r="A120623"/>
      <c r="B120623"/>
      <c r="C120623"/>
      <c r="E120623"/>
      <c r="F120623"/>
    </row>
    <row r="120624" spans="1:6" x14ac:dyDescent="0.25">
      <c r="A120624"/>
      <c r="B120624"/>
      <c r="C120624"/>
      <c r="E120624"/>
      <c r="F120624"/>
    </row>
    <row r="120625" spans="1:6" x14ac:dyDescent="0.25">
      <c r="A120625"/>
      <c r="B120625"/>
      <c r="C120625"/>
      <c r="E120625"/>
      <c r="F120625"/>
    </row>
    <row r="120626" spans="1:6" x14ac:dyDescent="0.25">
      <c r="A120626"/>
      <c r="B120626"/>
      <c r="C120626"/>
      <c r="E120626"/>
      <c r="F120626"/>
    </row>
    <row r="120627" spans="1:6" x14ac:dyDescent="0.25">
      <c r="A120627"/>
      <c r="B120627"/>
      <c r="C120627"/>
      <c r="E120627"/>
      <c r="F120627"/>
    </row>
    <row r="120628" spans="1:6" x14ac:dyDescent="0.25">
      <c r="A120628"/>
      <c r="B120628"/>
      <c r="C120628"/>
      <c r="E120628"/>
      <c r="F120628"/>
    </row>
    <row r="120629" spans="1:6" x14ac:dyDescent="0.25">
      <c r="A120629"/>
      <c r="B120629"/>
      <c r="C120629"/>
      <c r="E120629"/>
      <c r="F120629"/>
    </row>
    <row r="120630" spans="1:6" x14ac:dyDescent="0.25">
      <c r="A120630"/>
      <c r="B120630"/>
      <c r="C120630"/>
      <c r="E120630"/>
      <c r="F120630"/>
    </row>
    <row r="120631" spans="1:6" x14ac:dyDescent="0.25">
      <c r="A120631"/>
      <c r="B120631"/>
      <c r="C120631"/>
      <c r="E120631"/>
      <c r="F120631"/>
    </row>
    <row r="120632" spans="1:6" x14ac:dyDescent="0.25">
      <c r="A120632"/>
      <c r="B120632"/>
      <c r="C120632"/>
      <c r="E120632"/>
      <c r="F120632"/>
    </row>
    <row r="120633" spans="1:6" x14ac:dyDescent="0.25">
      <c r="A120633"/>
      <c r="B120633"/>
      <c r="C120633"/>
      <c r="E120633"/>
      <c r="F120633"/>
    </row>
    <row r="120634" spans="1:6" x14ac:dyDescent="0.25">
      <c r="A120634"/>
      <c r="B120634"/>
      <c r="C120634"/>
      <c r="E120634"/>
      <c r="F120634"/>
    </row>
    <row r="120635" spans="1:6" x14ac:dyDescent="0.25">
      <c r="A120635"/>
      <c r="B120635"/>
      <c r="C120635"/>
      <c r="E120635"/>
      <c r="F120635"/>
    </row>
    <row r="120636" spans="1:6" x14ac:dyDescent="0.25">
      <c r="A120636"/>
      <c r="B120636"/>
      <c r="C120636"/>
      <c r="E120636"/>
      <c r="F120636"/>
    </row>
    <row r="120637" spans="1:6" x14ac:dyDescent="0.25">
      <c r="A120637"/>
      <c r="B120637"/>
      <c r="C120637"/>
      <c r="E120637"/>
      <c r="F120637"/>
    </row>
    <row r="120638" spans="1:6" x14ac:dyDescent="0.25">
      <c r="A120638"/>
      <c r="B120638"/>
      <c r="C120638"/>
      <c r="E120638"/>
      <c r="F120638"/>
    </row>
    <row r="120639" spans="1:6" x14ac:dyDescent="0.25">
      <c r="A120639"/>
      <c r="B120639"/>
      <c r="C120639"/>
      <c r="E120639"/>
      <c r="F120639"/>
    </row>
    <row r="120640" spans="1:6" x14ac:dyDescent="0.25">
      <c r="A120640"/>
      <c r="B120640"/>
      <c r="C120640"/>
      <c r="E120640"/>
      <c r="F120640"/>
    </row>
    <row r="120641" spans="1:6" x14ac:dyDescent="0.25">
      <c r="A120641"/>
      <c r="B120641"/>
      <c r="C120641"/>
      <c r="E120641"/>
      <c r="F120641"/>
    </row>
    <row r="120642" spans="1:6" x14ac:dyDescent="0.25">
      <c r="A120642"/>
      <c r="B120642"/>
      <c r="C120642"/>
      <c r="E120642"/>
      <c r="F120642"/>
    </row>
    <row r="120643" spans="1:6" x14ac:dyDescent="0.25">
      <c r="A120643"/>
      <c r="B120643"/>
      <c r="C120643"/>
      <c r="E120643"/>
      <c r="F120643"/>
    </row>
    <row r="120644" spans="1:6" x14ac:dyDescent="0.25">
      <c r="A120644"/>
      <c r="B120644"/>
      <c r="C120644"/>
      <c r="E120644"/>
      <c r="F120644"/>
    </row>
    <row r="120645" spans="1:6" x14ac:dyDescent="0.25">
      <c r="A120645"/>
      <c r="B120645"/>
      <c r="C120645"/>
      <c r="E120645"/>
      <c r="F120645"/>
    </row>
    <row r="120646" spans="1:6" x14ac:dyDescent="0.25">
      <c r="A120646"/>
      <c r="B120646"/>
      <c r="C120646"/>
      <c r="E120646"/>
      <c r="F120646"/>
    </row>
    <row r="120647" spans="1:6" x14ac:dyDescent="0.25">
      <c r="A120647"/>
      <c r="B120647"/>
      <c r="C120647"/>
      <c r="E120647"/>
      <c r="F120647"/>
    </row>
    <row r="120648" spans="1:6" x14ac:dyDescent="0.25">
      <c r="A120648"/>
      <c r="B120648"/>
      <c r="C120648"/>
      <c r="E120648"/>
      <c r="F120648"/>
    </row>
    <row r="120649" spans="1:6" x14ac:dyDescent="0.25">
      <c r="A120649"/>
      <c r="B120649"/>
      <c r="C120649"/>
      <c r="E120649"/>
      <c r="F120649"/>
    </row>
    <row r="120650" spans="1:6" x14ac:dyDescent="0.25">
      <c r="A120650"/>
      <c r="B120650"/>
      <c r="C120650"/>
      <c r="E120650"/>
      <c r="F120650"/>
    </row>
    <row r="120651" spans="1:6" x14ac:dyDescent="0.25">
      <c r="A120651"/>
      <c r="B120651"/>
      <c r="C120651"/>
      <c r="E120651"/>
      <c r="F120651"/>
    </row>
    <row r="120652" spans="1:6" x14ac:dyDescent="0.25">
      <c r="A120652"/>
      <c r="B120652"/>
      <c r="C120652"/>
      <c r="E120652"/>
      <c r="F120652"/>
    </row>
    <row r="120653" spans="1:6" x14ac:dyDescent="0.25">
      <c r="A120653"/>
      <c r="B120653"/>
      <c r="C120653"/>
      <c r="E120653"/>
      <c r="F120653"/>
    </row>
    <row r="120654" spans="1:6" x14ac:dyDescent="0.25">
      <c r="A120654"/>
      <c r="B120654"/>
      <c r="C120654"/>
      <c r="E120654"/>
      <c r="F120654"/>
    </row>
    <row r="120655" spans="1:6" x14ac:dyDescent="0.25">
      <c r="A120655"/>
      <c r="B120655"/>
      <c r="C120655"/>
      <c r="E120655"/>
      <c r="F120655"/>
    </row>
    <row r="120656" spans="1:6" x14ac:dyDescent="0.25">
      <c r="A120656"/>
      <c r="B120656"/>
      <c r="C120656"/>
      <c r="E120656"/>
      <c r="F120656"/>
    </row>
    <row r="120657" spans="1:6" x14ac:dyDescent="0.25">
      <c r="A120657"/>
      <c r="B120657"/>
      <c r="C120657"/>
      <c r="E120657"/>
      <c r="F120657"/>
    </row>
    <row r="120658" spans="1:6" x14ac:dyDescent="0.25">
      <c r="A120658"/>
      <c r="B120658"/>
      <c r="C120658"/>
      <c r="E120658"/>
      <c r="F120658"/>
    </row>
    <row r="120659" spans="1:6" x14ac:dyDescent="0.25">
      <c r="A120659"/>
      <c r="B120659"/>
      <c r="C120659"/>
      <c r="E120659"/>
      <c r="F120659"/>
    </row>
    <row r="120660" spans="1:6" x14ac:dyDescent="0.25">
      <c r="A120660"/>
      <c r="B120660"/>
      <c r="C120660"/>
      <c r="E120660"/>
      <c r="F120660"/>
    </row>
    <row r="120661" spans="1:6" x14ac:dyDescent="0.25">
      <c r="A120661"/>
      <c r="B120661"/>
      <c r="C120661"/>
      <c r="E120661"/>
      <c r="F120661"/>
    </row>
    <row r="120662" spans="1:6" x14ac:dyDescent="0.25">
      <c r="A120662"/>
      <c r="B120662"/>
      <c r="C120662"/>
      <c r="E120662"/>
      <c r="F120662"/>
    </row>
    <row r="120663" spans="1:6" x14ac:dyDescent="0.25">
      <c r="A120663"/>
      <c r="B120663"/>
      <c r="C120663"/>
      <c r="E120663"/>
      <c r="F120663"/>
    </row>
    <row r="120664" spans="1:6" x14ac:dyDescent="0.25">
      <c r="A120664"/>
      <c r="B120664"/>
      <c r="C120664"/>
      <c r="E120664"/>
      <c r="F120664"/>
    </row>
    <row r="120665" spans="1:6" x14ac:dyDescent="0.25">
      <c r="A120665"/>
      <c r="B120665"/>
      <c r="C120665"/>
      <c r="E120665"/>
      <c r="F120665"/>
    </row>
    <row r="120666" spans="1:6" x14ac:dyDescent="0.25">
      <c r="A120666"/>
      <c r="B120666"/>
      <c r="C120666"/>
      <c r="E120666"/>
      <c r="F120666"/>
    </row>
    <row r="120667" spans="1:6" x14ac:dyDescent="0.25">
      <c r="A120667"/>
      <c r="B120667"/>
      <c r="C120667"/>
      <c r="E120667"/>
      <c r="F120667"/>
    </row>
    <row r="120668" spans="1:6" x14ac:dyDescent="0.25">
      <c r="A120668"/>
      <c r="B120668"/>
      <c r="C120668"/>
      <c r="E120668"/>
      <c r="F120668"/>
    </row>
    <row r="120669" spans="1:6" x14ac:dyDescent="0.25">
      <c r="A120669"/>
      <c r="B120669"/>
      <c r="C120669"/>
      <c r="E120669"/>
      <c r="F120669"/>
    </row>
    <row r="120670" spans="1:6" x14ac:dyDescent="0.25">
      <c r="A120670"/>
      <c r="B120670"/>
      <c r="C120670"/>
      <c r="E120670"/>
      <c r="F120670"/>
    </row>
    <row r="120671" spans="1:6" x14ac:dyDescent="0.25">
      <c r="A120671"/>
      <c r="B120671"/>
      <c r="C120671"/>
      <c r="E120671"/>
      <c r="F120671"/>
    </row>
    <row r="120672" spans="1:6" x14ac:dyDescent="0.25">
      <c r="A120672"/>
      <c r="B120672"/>
      <c r="C120672"/>
      <c r="E120672"/>
      <c r="F120672"/>
    </row>
    <row r="120673" spans="1:6" x14ac:dyDescent="0.25">
      <c r="A120673"/>
      <c r="B120673"/>
      <c r="C120673"/>
      <c r="E120673"/>
      <c r="F120673"/>
    </row>
    <row r="120674" spans="1:6" x14ac:dyDescent="0.25">
      <c r="A120674"/>
      <c r="B120674"/>
      <c r="C120674"/>
      <c r="E120674"/>
      <c r="F120674"/>
    </row>
    <row r="120675" spans="1:6" x14ac:dyDescent="0.25">
      <c r="A120675"/>
      <c r="B120675"/>
      <c r="C120675"/>
      <c r="E120675"/>
      <c r="F120675"/>
    </row>
    <row r="120676" spans="1:6" x14ac:dyDescent="0.25">
      <c r="A120676"/>
      <c r="B120676"/>
      <c r="C120676"/>
      <c r="E120676"/>
      <c r="F120676"/>
    </row>
    <row r="120677" spans="1:6" x14ac:dyDescent="0.25">
      <c r="A120677"/>
      <c r="B120677"/>
      <c r="C120677"/>
      <c r="E120677"/>
      <c r="F120677"/>
    </row>
    <row r="120678" spans="1:6" x14ac:dyDescent="0.25">
      <c r="A120678"/>
      <c r="B120678"/>
      <c r="C120678"/>
      <c r="E120678"/>
      <c r="F120678"/>
    </row>
    <row r="120679" spans="1:6" x14ac:dyDescent="0.25">
      <c r="A120679"/>
      <c r="B120679"/>
      <c r="C120679"/>
      <c r="E120679"/>
      <c r="F120679"/>
    </row>
    <row r="120680" spans="1:6" x14ac:dyDescent="0.25">
      <c r="A120680"/>
      <c r="B120680"/>
      <c r="C120680"/>
      <c r="E120680"/>
      <c r="F120680"/>
    </row>
    <row r="120681" spans="1:6" x14ac:dyDescent="0.25">
      <c r="A120681"/>
      <c r="B120681"/>
      <c r="C120681"/>
      <c r="E120681"/>
      <c r="F120681"/>
    </row>
    <row r="120682" spans="1:6" x14ac:dyDescent="0.25">
      <c r="A120682"/>
      <c r="B120682"/>
      <c r="C120682"/>
      <c r="E120682"/>
      <c r="F120682"/>
    </row>
    <row r="120683" spans="1:6" x14ac:dyDescent="0.25">
      <c r="A120683"/>
      <c r="B120683"/>
      <c r="C120683"/>
      <c r="E120683"/>
      <c r="F120683"/>
    </row>
    <row r="120684" spans="1:6" x14ac:dyDescent="0.25">
      <c r="A120684"/>
      <c r="B120684"/>
      <c r="C120684"/>
      <c r="E120684"/>
      <c r="F120684"/>
    </row>
    <row r="120685" spans="1:6" x14ac:dyDescent="0.25">
      <c r="A120685"/>
      <c r="B120685"/>
      <c r="C120685"/>
      <c r="E120685"/>
      <c r="F120685"/>
    </row>
    <row r="120686" spans="1:6" x14ac:dyDescent="0.25">
      <c r="A120686"/>
      <c r="B120686"/>
      <c r="C120686"/>
      <c r="E120686"/>
      <c r="F120686"/>
    </row>
    <row r="120687" spans="1:6" x14ac:dyDescent="0.25">
      <c r="A120687"/>
      <c r="B120687"/>
      <c r="C120687"/>
      <c r="E120687"/>
      <c r="F120687"/>
    </row>
    <row r="120688" spans="1:6" x14ac:dyDescent="0.25">
      <c r="A120688"/>
      <c r="B120688"/>
      <c r="C120688"/>
      <c r="E120688"/>
      <c r="F120688"/>
    </row>
    <row r="120689" spans="1:6" x14ac:dyDescent="0.25">
      <c r="A120689"/>
      <c r="B120689"/>
      <c r="C120689"/>
      <c r="E120689"/>
      <c r="F120689"/>
    </row>
    <row r="120690" spans="1:6" x14ac:dyDescent="0.25">
      <c r="A120690"/>
      <c r="B120690"/>
      <c r="C120690"/>
      <c r="E120690"/>
      <c r="F120690"/>
    </row>
    <row r="120691" spans="1:6" x14ac:dyDescent="0.25">
      <c r="A120691"/>
      <c r="B120691"/>
      <c r="C120691"/>
      <c r="E120691"/>
      <c r="F120691"/>
    </row>
    <row r="120692" spans="1:6" x14ac:dyDescent="0.25">
      <c r="A120692"/>
      <c r="B120692"/>
      <c r="C120692"/>
      <c r="E120692"/>
      <c r="F120692"/>
    </row>
    <row r="120693" spans="1:6" x14ac:dyDescent="0.25">
      <c r="A120693"/>
      <c r="B120693"/>
      <c r="C120693"/>
      <c r="E120693"/>
      <c r="F120693"/>
    </row>
    <row r="120694" spans="1:6" x14ac:dyDescent="0.25">
      <c r="A120694"/>
      <c r="B120694"/>
      <c r="C120694"/>
      <c r="E120694"/>
      <c r="F120694"/>
    </row>
    <row r="120695" spans="1:6" x14ac:dyDescent="0.25">
      <c r="A120695"/>
      <c r="B120695"/>
      <c r="C120695"/>
      <c r="E120695"/>
      <c r="F120695"/>
    </row>
    <row r="120696" spans="1:6" x14ac:dyDescent="0.25">
      <c r="A120696"/>
      <c r="B120696"/>
      <c r="C120696"/>
      <c r="E120696"/>
      <c r="F120696"/>
    </row>
    <row r="120697" spans="1:6" x14ac:dyDescent="0.25">
      <c r="A120697"/>
      <c r="B120697"/>
      <c r="C120697"/>
      <c r="E120697"/>
      <c r="F120697"/>
    </row>
    <row r="120698" spans="1:6" x14ac:dyDescent="0.25">
      <c r="A120698"/>
      <c r="B120698"/>
      <c r="C120698"/>
      <c r="E120698"/>
      <c r="F120698"/>
    </row>
    <row r="120699" spans="1:6" x14ac:dyDescent="0.25">
      <c r="A120699"/>
      <c r="B120699"/>
      <c r="C120699"/>
      <c r="E120699"/>
      <c r="F120699"/>
    </row>
    <row r="120700" spans="1:6" x14ac:dyDescent="0.25">
      <c r="A120700"/>
      <c r="B120700"/>
      <c r="C120700"/>
      <c r="E120700"/>
      <c r="F120700"/>
    </row>
    <row r="120701" spans="1:6" x14ac:dyDescent="0.25">
      <c r="A120701"/>
      <c r="B120701"/>
      <c r="C120701"/>
      <c r="E120701"/>
      <c r="F120701"/>
    </row>
    <row r="120702" spans="1:6" x14ac:dyDescent="0.25">
      <c r="A120702"/>
      <c r="B120702"/>
      <c r="C120702"/>
      <c r="E120702"/>
      <c r="F120702"/>
    </row>
    <row r="120703" spans="1:6" x14ac:dyDescent="0.25">
      <c r="A120703"/>
      <c r="B120703"/>
      <c r="C120703"/>
      <c r="E120703"/>
      <c r="F120703"/>
    </row>
    <row r="120704" spans="1:6" x14ac:dyDescent="0.25">
      <c r="A120704"/>
      <c r="B120704"/>
      <c r="C120704"/>
      <c r="E120704"/>
      <c r="F120704"/>
    </row>
    <row r="120705" spans="1:6" x14ac:dyDescent="0.25">
      <c r="A120705"/>
      <c r="B120705"/>
      <c r="C120705"/>
      <c r="E120705"/>
      <c r="F120705"/>
    </row>
    <row r="120706" spans="1:6" x14ac:dyDescent="0.25">
      <c r="A120706"/>
      <c r="B120706"/>
      <c r="C120706"/>
      <c r="E120706"/>
      <c r="F120706"/>
    </row>
    <row r="120707" spans="1:6" x14ac:dyDescent="0.25">
      <c r="A120707"/>
      <c r="B120707"/>
      <c r="C120707"/>
      <c r="E120707"/>
      <c r="F120707"/>
    </row>
    <row r="120708" spans="1:6" x14ac:dyDescent="0.25">
      <c r="A120708"/>
      <c r="B120708"/>
      <c r="C120708"/>
      <c r="E120708"/>
      <c r="F120708"/>
    </row>
    <row r="120709" spans="1:6" x14ac:dyDescent="0.25">
      <c r="A120709"/>
      <c r="B120709"/>
      <c r="C120709"/>
      <c r="E120709"/>
      <c r="F120709"/>
    </row>
    <row r="120710" spans="1:6" x14ac:dyDescent="0.25">
      <c r="A120710"/>
      <c r="B120710"/>
      <c r="C120710"/>
      <c r="E120710"/>
      <c r="F120710"/>
    </row>
    <row r="120711" spans="1:6" x14ac:dyDescent="0.25">
      <c r="A120711"/>
      <c r="B120711"/>
      <c r="C120711"/>
      <c r="E120711"/>
      <c r="F120711"/>
    </row>
    <row r="120712" spans="1:6" x14ac:dyDescent="0.25">
      <c r="A120712"/>
      <c r="B120712"/>
      <c r="C120712"/>
      <c r="E120712"/>
      <c r="F120712"/>
    </row>
    <row r="120713" spans="1:6" x14ac:dyDescent="0.25">
      <c r="A120713"/>
      <c r="B120713"/>
      <c r="C120713"/>
      <c r="E120713"/>
      <c r="F120713"/>
    </row>
    <row r="120714" spans="1:6" x14ac:dyDescent="0.25">
      <c r="A120714"/>
      <c r="B120714"/>
      <c r="C120714"/>
      <c r="E120714"/>
      <c r="F120714"/>
    </row>
    <row r="120715" spans="1:6" x14ac:dyDescent="0.25">
      <c r="A120715"/>
      <c r="B120715"/>
      <c r="C120715"/>
      <c r="E120715"/>
      <c r="F120715"/>
    </row>
    <row r="120716" spans="1:6" x14ac:dyDescent="0.25">
      <c r="A120716"/>
      <c r="B120716"/>
      <c r="C120716"/>
      <c r="E120716"/>
      <c r="F120716"/>
    </row>
    <row r="120717" spans="1:6" x14ac:dyDescent="0.25">
      <c r="A120717"/>
      <c r="B120717"/>
      <c r="C120717"/>
      <c r="E120717"/>
      <c r="F120717"/>
    </row>
    <row r="120718" spans="1:6" x14ac:dyDescent="0.25">
      <c r="A120718"/>
      <c r="B120718"/>
      <c r="C120718"/>
      <c r="E120718"/>
      <c r="F120718"/>
    </row>
    <row r="120719" spans="1:6" x14ac:dyDescent="0.25">
      <c r="A120719"/>
      <c r="B120719"/>
      <c r="C120719"/>
      <c r="E120719"/>
      <c r="F120719"/>
    </row>
    <row r="120720" spans="1:6" x14ac:dyDescent="0.25">
      <c r="A120720"/>
      <c r="B120720"/>
      <c r="C120720"/>
      <c r="E120720"/>
      <c r="F120720"/>
    </row>
    <row r="120721" spans="1:6" x14ac:dyDescent="0.25">
      <c r="A120721"/>
      <c r="B120721"/>
      <c r="C120721"/>
      <c r="E120721"/>
      <c r="F120721"/>
    </row>
    <row r="120722" spans="1:6" x14ac:dyDescent="0.25">
      <c r="A120722"/>
      <c r="B120722"/>
      <c r="C120722"/>
      <c r="E120722"/>
      <c r="F120722"/>
    </row>
    <row r="120723" spans="1:6" x14ac:dyDescent="0.25">
      <c r="A120723"/>
      <c r="B120723"/>
      <c r="C120723"/>
      <c r="E120723"/>
      <c r="F120723"/>
    </row>
    <row r="120724" spans="1:6" x14ac:dyDescent="0.25">
      <c r="A120724"/>
      <c r="B120724"/>
      <c r="C120724"/>
      <c r="E120724"/>
      <c r="F120724"/>
    </row>
    <row r="120725" spans="1:6" x14ac:dyDescent="0.25">
      <c r="A120725"/>
      <c r="B120725"/>
      <c r="C120725"/>
      <c r="E120725"/>
      <c r="F120725"/>
    </row>
    <row r="120726" spans="1:6" x14ac:dyDescent="0.25">
      <c r="A120726"/>
      <c r="B120726"/>
      <c r="C120726"/>
      <c r="E120726"/>
      <c r="F120726"/>
    </row>
    <row r="120727" spans="1:6" x14ac:dyDescent="0.25">
      <c r="A120727"/>
      <c r="B120727"/>
      <c r="C120727"/>
      <c r="E120727"/>
      <c r="F120727"/>
    </row>
    <row r="120728" spans="1:6" x14ac:dyDescent="0.25">
      <c r="A120728"/>
      <c r="B120728"/>
      <c r="C120728"/>
      <c r="E120728"/>
      <c r="F120728"/>
    </row>
    <row r="120729" spans="1:6" x14ac:dyDescent="0.25">
      <c r="A120729"/>
      <c r="B120729"/>
      <c r="C120729"/>
      <c r="E120729"/>
      <c r="F120729"/>
    </row>
    <row r="120730" spans="1:6" x14ac:dyDescent="0.25">
      <c r="A120730"/>
      <c r="B120730"/>
      <c r="C120730"/>
      <c r="E120730"/>
      <c r="F120730"/>
    </row>
    <row r="120731" spans="1:6" x14ac:dyDescent="0.25">
      <c r="A120731"/>
      <c r="B120731"/>
      <c r="C120731"/>
      <c r="E120731"/>
      <c r="F120731"/>
    </row>
    <row r="120732" spans="1:6" x14ac:dyDescent="0.25">
      <c r="A120732"/>
      <c r="B120732"/>
      <c r="C120732"/>
      <c r="E120732"/>
      <c r="F120732"/>
    </row>
    <row r="120733" spans="1:6" x14ac:dyDescent="0.25">
      <c r="A120733"/>
      <c r="B120733"/>
      <c r="C120733"/>
      <c r="E120733"/>
      <c r="F120733"/>
    </row>
    <row r="120734" spans="1:6" x14ac:dyDescent="0.25">
      <c r="A120734"/>
      <c r="B120734"/>
      <c r="C120734"/>
      <c r="E120734"/>
      <c r="F120734"/>
    </row>
    <row r="120735" spans="1:6" x14ac:dyDescent="0.25">
      <c r="A120735"/>
      <c r="B120735"/>
      <c r="C120735"/>
      <c r="E120735"/>
      <c r="F120735"/>
    </row>
    <row r="120736" spans="1:6" x14ac:dyDescent="0.25">
      <c r="A120736"/>
      <c r="B120736"/>
      <c r="C120736"/>
      <c r="E120736"/>
      <c r="F120736"/>
    </row>
    <row r="120737" spans="1:6" x14ac:dyDescent="0.25">
      <c r="A120737"/>
      <c r="B120737"/>
      <c r="C120737"/>
      <c r="E120737"/>
      <c r="F120737"/>
    </row>
    <row r="120738" spans="1:6" x14ac:dyDescent="0.25">
      <c r="A120738"/>
      <c r="B120738"/>
      <c r="C120738"/>
      <c r="E120738"/>
      <c r="F120738"/>
    </row>
    <row r="120739" spans="1:6" x14ac:dyDescent="0.25">
      <c r="A120739"/>
      <c r="B120739"/>
      <c r="C120739"/>
      <c r="E120739"/>
      <c r="F120739"/>
    </row>
    <row r="120740" spans="1:6" x14ac:dyDescent="0.25">
      <c r="A120740"/>
      <c r="B120740"/>
      <c r="C120740"/>
      <c r="E120740"/>
      <c r="F120740"/>
    </row>
    <row r="120741" spans="1:6" x14ac:dyDescent="0.25">
      <c r="A120741"/>
      <c r="B120741"/>
      <c r="C120741"/>
      <c r="E120741"/>
      <c r="F120741"/>
    </row>
    <row r="120742" spans="1:6" x14ac:dyDescent="0.25">
      <c r="A120742"/>
      <c r="B120742"/>
      <c r="C120742"/>
      <c r="E120742"/>
      <c r="F120742"/>
    </row>
    <row r="120743" spans="1:6" x14ac:dyDescent="0.25">
      <c r="A120743"/>
      <c r="B120743"/>
      <c r="C120743"/>
      <c r="E120743"/>
      <c r="F120743"/>
    </row>
    <row r="120744" spans="1:6" x14ac:dyDescent="0.25">
      <c r="A120744"/>
      <c r="B120744"/>
      <c r="C120744"/>
      <c r="E120744"/>
      <c r="F120744"/>
    </row>
    <row r="120745" spans="1:6" x14ac:dyDescent="0.25">
      <c r="A120745"/>
      <c r="B120745"/>
      <c r="C120745"/>
      <c r="E120745"/>
      <c r="F120745"/>
    </row>
    <row r="120746" spans="1:6" x14ac:dyDescent="0.25">
      <c r="A120746"/>
      <c r="B120746"/>
      <c r="C120746"/>
      <c r="E120746"/>
      <c r="F120746"/>
    </row>
    <row r="120747" spans="1:6" x14ac:dyDescent="0.25">
      <c r="A120747"/>
      <c r="B120747"/>
      <c r="C120747"/>
      <c r="E120747"/>
      <c r="F120747"/>
    </row>
    <row r="120748" spans="1:6" x14ac:dyDescent="0.25">
      <c r="A120748"/>
      <c r="B120748"/>
      <c r="C120748"/>
      <c r="E120748"/>
      <c r="F120748"/>
    </row>
    <row r="120749" spans="1:6" x14ac:dyDescent="0.25">
      <c r="A120749"/>
      <c r="B120749"/>
      <c r="C120749"/>
      <c r="E120749"/>
      <c r="F120749"/>
    </row>
    <row r="120750" spans="1:6" x14ac:dyDescent="0.25">
      <c r="A120750"/>
      <c r="B120750"/>
      <c r="C120750"/>
      <c r="E120750"/>
      <c r="F120750"/>
    </row>
    <row r="120751" spans="1:6" x14ac:dyDescent="0.25">
      <c r="A120751"/>
      <c r="B120751"/>
      <c r="C120751"/>
      <c r="E120751"/>
      <c r="F120751"/>
    </row>
    <row r="120752" spans="1:6" x14ac:dyDescent="0.25">
      <c r="A120752"/>
      <c r="B120752"/>
      <c r="C120752"/>
      <c r="E120752"/>
      <c r="F120752"/>
    </row>
    <row r="120753" spans="1:6" x14ac:dyDescent="0.25">
      <c r="A120753"/>
      <c r="B120753"/>
      <c r="C120753"/>
      <c r="E120753"/>
      <c r="F120753"/>
    </row>
    <row r="120754" spans="1:6" x14ac:dyDescent="0.25">
      <c r="A120754"/>
      <c r="B120754"/>
      <c r="C120754"/>
      <c r="E120754"/>
      <c r="F120754"/>
    </row>
    <row r="120755" spans="1:6" x14ac:dyDescent="0.25">
      <c r="A120755"/>
      <c r="B120755"/>
      <c r="C120755"/>
      <c r="E120755"/>
      <c r="F120755"/>
    </row>
    <row r="120756" spans="1:6" x14ac:dyDescent="0.25">
      <c r="A120756"/>
      <c r="B120756"/>
      <c r="C120756"/>
      <c r="E120756"/>
      <c r="F120756"/>
    </row>
    <row r="120757" spans="1:6" x14ac:dyDescent="0.25">
      <c r="A120757"/>
      <c r="B120757"/>
      <c r="C120757"/>
      <c r="E120757"/>
      <c r="F120757"/>
    </row>
    <row r="120758" spans="1:6" x14ac:dyDescent="0.25">
      <c r="A120758"/>
      <c r="B120758"/>
      <c r="C120758"/>
      <c r="E120758"/>
      <c r="F120758"/>
    </row>
    <row r="120759" spans="1:6" x14ac:dyDescent="0.25">
      <c r="A120759"/>
      <c r="B120759"/>
      <c r="C120759"/>
      <c r="E120759"/>
      <c r="F120759"/>
    </row>
    <row r="120760" spans="1:6" x14ac:dyDescent="0.25">
      <c r="A120760"/>
      <c r="B120760"/>
      <c r="C120760"/>
      <c r="E120760"/>
      <c r="F120760"/>
    </row>
    <row r="120761" spans="1:6" x14ac:dyDescent="0.25">
      <c r="A120761"/>
      <c r="B120761"/>
      <c r="C120761"/>
      <c r="E120761"/>
      <c r="F120761"/>
    </row>
    <row r="120762" spans="1:6" x14ac:dyDescent="0.25">
      <c r="A120762"/>
      <c r="B120762"/>
      <c r="C120762"/>
      <c r="E120762"/>
      <c r="F120762"/>
    </row>
    <row r="120763" spans="1:6" x14ac:dyDescent="0.25">
      <c r="A120763"/>
      <c r="B120763"/>
      <c r="C120763"/>
      <c r="E120763"/>
      <c r="F120763"/>
    </row>
    <row r="120764" spans="1:6" x14ac:dyDescent="0.25">
      <c r="A120764"/>
      <c r="B120764"/>
      <c r="C120764"/>
      <c r="E120764"/>
      <c r="F120764"/>
    </row>
    <row r="120765" spans="1:6" x14ac:dyDescent="0.25">
      <c r="A120765"/>
      <c r="B120765"/>
      <c r="C120765"/>
      <c r="E120765"/>
      <c r="F120765"/>
    </row>
    <row r="120766" spans="1:6" x14ac:dyDescent="0.25">
      <c r="A120766"/>
      <c r="B120766"/>
      <c r="C120766"/>
      <c r="E120766"/>
      <c r="F120766"/>
    </row>
    <row r="120767" spans="1:6" x14ac:dyDescent="0.25">
      <c r="A120767"/>
      <c r="B120767"/>
      <c r="C120767"/>
      <c r="E120767"/>
      <c r="F120767"/>
    </row>
    <row r="120768" spans="1:6" x14ac:dyDescent="0.25">
      <c r="A120768"/>
      <c r="B120768"/>
      <c r="C120768"/>
      <c r="E120768"/>
      <c r="F120768"/>
    </row>
    <row r="120769" spans="1:6" x14ac:dyDescent="0.25">
      <c r="A120769"/>
      <c r="B120769"/>
      <c r="C120769"/>
      <c r="E120769"/>
      <c r="F120769"/>
    </row>
    <row r="120770" spans="1:6" x14ac:dyDescent="0.25">
      <c r="A120770"/>
      <c r="B120770"/>
      <c r="C120770"/>
      <c r="E120770"/>
      <c r="F120770"/>
    </row>
    <row r="120771" spans="1:6" x14ac:dyDescent="0.25">
      <c r="A120771"/>
      <c r="B120771"/>
      <c r="C120771"/>
      <c r="E120771"/>
      <c r="F120771"/>
    </row>
    <row r="120772" spans="1:6" x14ac:dyDescent="0.25">
      <c r="A120772"/>
      <c r="B120772"/>
      <c r="C120772"/>
      <c r="E120772"/>
      <c r="F120772"/>
    </row>
    <row r="120773" spans="1:6" x14ac:dyDescent="0.25">
      <c r="A120773"/>
      <c r="B120773"/>
      <c r="C120773"/>
      <c r="E120773"/>
      <c r="F120773"/>
    </row>
    <row r="120774" spans="1:6" x14ac:dyDescent="0.25">
      <c r="A120774"/>
      <c r="B120774"/>
      <c r="C120774"/>
      <c r="E120774"/>
      <c r="F120774"/>
    </row>
    <row r="120775" spans="1:6" x14ac:dyDescent="0.25">
      <c r="A120775"/>
      <c r="B120775"/>
      <c r="C120775"/>
      <c r="E120775"/>
      <c r="F120775"/>
    </row>
    <row r="120776" spans="1:6" x14ac:dyDescent="0.25">
      <c r="A120776"/>
      <c r="B120776"/>
      <c r="C120776"/>
      <c r="E120776"/>
      <c r="F120776"/>
    </row>
    <row r="120777" spans="1:6" x14ac:dyDescent="0.25">
      <c r="A120777"/>
      <c r="B120777"/>
      <c r="C120777"/>
      <c r="E120777"/>
      <c r="F120777"/>
    </row>
    <row r="120778" spans="1:6" x14ac:dyDescent="0.25">
      <c r="A120778"/>
      <c r="B120778"/>
      <c r="C120778"/>
      <c r="E120778"/>
      <c r="F120778"/>
    </row>
    <row r="120779" spans="1:6" x14ac:dyDescent="0.25">
      <c r="A120779"/>
      <c r="B120779"/>
      <c r="C120779"/>
      <c r="E120779"/>
      <c r="F120779"/>
    </row>
    <row r="120780" spans="1:6" x14ac:dyDescent="0.25">
      <c r="A120780"/>
      <c r="B120780"/>
      <c r="C120780"/>
      <c r="E120780"/>
      <c r="F120780"/>
    </row>
    <row r="120781" spans="1:6" x14ac:dyDescent="0.25">
      <c r="A120781"/>
      <c r="B120781"/>
      <c r="C120781"/>
      <c r="E120781"/>
      <c r="F120781"/>
    </row>
    <row r="120782" spans="1:6" x14ac:dyDescent="0.25">
      <c r="A120782"/>
      <c r="B120782"/>
      <c r="C120782"/>
      <c r="E120782"/>
      <c r="F120782"/>
    </row>
    <row r="120783" spans="1:6" x14ac:dyDescent="0.25">
      <c r="A120783"/>
      <c r="B120783"/>
      <c r="C120783"/>
      <c r="E120783"/>
      <c r="F120783"/>
    </row>
    <row r="120784" spans="1:6" x14ac:dyDescent="0.25">
      <c r="A120784"/>
      <c r="B120784"/>
      <c r="C120784"/>
      <c r="E120784"/>
      <c r="F120784"/>
    </row>
    <row r="120785" spans="1:6" x14ac:dyDescent="0.25">
      <c r="A120785"/>
      <c r="B120785"/>
      <c r="C120785"/>
      <c r="E120785"/>
      <c r="F120785"/>
    </row>
    <row r="120786" spans="1:6" x14ac:dyDescent="0.25">
      <c r="A120786"/>
      <c r="B120786"/>
      <c r="C120786"/>
      <c r="E120786"/>
      <c r="F120786"/>
    </row>
    <row r="120787" spans="1:6" x14ac:dyDescent="0.25">
      <c r="A120787"/>
      <c r="B120787"/>
      <c r="C120787"/>
      <c r="E120787"/>
      <c r="F120787"/>
    </row>
    <row r="120788" spans="1:6" x14ac:dyDescent="0.25">
      <c r="A120788"/>
      <c r="B120788"/>
      <c r="C120788"/>
      <c r="E120788"/>
      <c r="F120788"/>
    </row>
    <row r="120789" spans="1:6" x14ac:dyDescent="0.25">
      <c r="A120789"/>
      <c r="B120789"/>
      <c r="C120789"/>
      <c r="E120789"/>
      <c r="F120789"/>
    </row>
    <row r="120790" spans="1:6" x14ac:dyDescent="0.25">
      <c r="A120790"/>
      <c r="B120790"/>
      <c r="C120790"/>
      <c r="E120790"/>
      <c r="F120790"/>
    </row>
    <row r="120791" spans="1:6" x14ac:dyDescent="0.25">
      <c r="A120791"/>
      <c r="B120791"/>
      <c r="C120791"/>
      <c r="E120791"/>
      <c r="F120791"/>
    </row>
    <row r="120792" spans="1:6" x14ac:dyDescent="0.25">
      <c r="A120792"/>
      <c r="B120792"/>
      <c r="C120792"/>
      <c r="E120792"/>
      <c r="F120792"/>
    </row>
    <row r="120793" spans="1:6" x14ac:dyDescent="0.25">
      <c r="A120793"/>
      <c r="B120793"/>
      <c r="C120793"/>
      <c r="E120793"/>
      <c r="F120793"/>
    </row>
    <row r="120794" spans="1:6" x14ac:dyDescent="0.25">
      <c r="A120794"/>
      <c r="B120794"/>
      <c r="C120794"/>
      <c r="E120794"/>
      <c r="F120794"/>
    </row>
    <row r="120795" spans="1:6" x14ac:dyDescent="0.25">
      <c r="A120795"/>
      <c r="B120795"/>
      <c r="C120795"/>
      <c r="E120795"/>
      <c r="F120795"/>
    </row>
    <row r="120796" spans="1:6" x14ac:dyDescent="0.25">
      <c r="A120796"/>
      <c r="B120796"/>
      <c r="C120796"/>
      <c r="E120796"/>
      <c r="F120796"/>
    </row>
    <row r="120797" spans="1:6" x14ac:dyDescent="0.25">
      <c r="A120797"/>
      <c r="B120797"/>
      <c r="C120797"/>
      <c r="E120797"/>
      <c r="F120797"/>
    </row>
    <row r="120798" spans="1:6" x14ac:dyDescent="0.25">
      <c r="A120798"/>
      <c r="B120798"/>
      <c r="C120798"/>
      <c r="E120798"/>
      <c r="F120798"/>
    </row>
    <row r="120799" spans="1:6" x14ac:dyDescent="0.25">
      <c r="A120799"/>
      <c r="B120799"/>
      <c r="C120799"/>
      <c r="E120799"/>
      <c r="F120799"/>
    </row>
    <row r="120800" spans="1:6" x14ac:dyDescent="0.25">
      <c r="A120800"/>
      <c r="B120800"/>
      <c r="C120800"/>
      <c r="E120800"/>
      <c r="F120800"/>
    </row>
    <row r="120801" spans="1:6" x14ac:dyDescent="0.25">
      <c r="A120801"/>
      <c r="B120801"/>
      <c r="C120801"/>
      <c r="E120801"/>
      <c r="F120801"/>
    </row>
    <row r="120802" spans="1:6" x14ac:dyDescent="0.25">
      <c r="A120802"/>
      <c r="B120802"/>
      <c r="C120802"/>
      <c r="E120802"/>
      <c r="F120802"/>
    </row>
    <row r="120803" spans="1:6" x14ac:dyDescent="0.25">
      <c r="A120803"/>
      <c r="B120803"/>
      <c r="C120803"/>
      <c r="E120803"/>
      <c r="F120803"/>
    </row>
    <row r="120804" spans="1:6" x14ac:dyDescent="0.25">
      <c r="A120804"/>
      <c r="B120804"/>
      <c r="C120804"/>
      <c r="E120804"/>
      <c r="F120804"/>
    </row>
    <row r="120805" spans="1:6" x14ac:dyDescent="0.25">
      <c r="A120805"/>
      <c r="B120805"/>
      <c r="C120805"/>
      <c r="E120805"/>
      <c r="F120805"/>
    </row>
    <row r="120806" spans="1:6" x14ac:dyDescent="0.25">
      <c r="A120806"/>
      <c r="B120806"/>
      <c r="C120806"/>
      <c r="E120806"/>
      <c r="F120806"/>
    </row>
    <row r="120807" spans="1:6" x14ac:dyDescent="0.25">
      <c r="A120807"/>
      <c r="B120807"/>
      <c r="C120807"/>
      <c r="E120807"/>
      <c r="F120807"/>
    </row>
    <row r="120808" spans="1:6" x14ac:dyDescent="0.25">
      <c r="A120808"/>
      <c r="B120808"/>
      <c r="C120808"/>
      <c r="E120808"/>
      <c r="F120808"/>
    </row>
    <row r="120809" spans="1:6" x14ac:dyDescent="0.25">
      <c r="A120809"/>
      <c r="B120809"/>
      <c r="C120809"/>
      <c r="E120809"/>
      <c r="F120809"/>
    </row>
    <row r="120810" spans="1:6" x14ac:dyDescent="0.25">
      <c r="A120810"/>
      <c r="B120810"/>
      <c r="C120810"/>
      <c r="E120810"/>
      <c r="F120810"/>
    </row>
    <row r="120811" spans="1:6" x14ac:dyDescent="0.25">
      <c r="A120811"/>
      <c r="B120811"/>
      <c r="C120811"/>
      <c r="E120811"/>
      <c r="F120811"/>
    </row>
    <row r="120812" spans="1:6" x14ac:dyDescent="0.25">
      <c r="A120812"/>
      <c r="B120812"/>
      <c r="C120812"/>
      <c r="E120812"/>
      <c r="F120812"/>
    </row>
    <row r="120813" spans="1:6" x14ac:dyDescent="0.25">
      <c r="A120813"/>
      <c r="B120813"/>
      <c r="C120813"/>
      <c r="E120813"/>
      <c r="F120813"/>
    </row>
    <row r="120814" spans="1:6" x14ac:dyDescent="0.25">
      <c r="A120814"/>
      <c r="B120814"/>
      <c r="C120814"/>
      <c r="E120814"/>
      <c r="F120814"/>
    </row>
    <row r="120815" spans="1:6" x14ac:dyDescent="0.25">
      <c r="A120815"/>
      <c r="B120815"/>
      <c r="C120815"/>
      <c r="E120815"/>
      <c r="F120815"/>
    </row>
    <row r="120816" spans="1:6" x14ac:dyDescent="0.25">
      <c r="A120816"/>
      <c r="B120816"/>
      <c r="C120816"/>
      <c r="E120816"/>
      <c r="F120816"/>
    </row>
    <row r="120817" spans="1:6" x14ac:dyDescent="0.25">
      <c r="A120817"/>
      <c r="B120817"/>
      <c r="C120817"/>
      <c r="E120817"/>
      <c r="F120817"/>
    </row>
    <row r="120818" spans="1:6" x14ac:dyDescent="0.25">
      <c r="A120818"/>
      <c r="B120818"/>
      <c r="C120818"/>
      <c r="E120818"/>
      <c r="F120818"/>
    </row>
    <row r="120819" spans="1:6" x14ac:dyDescent="0.25">
      <c r="A120819"/>
      <c r="B120819"/>
      <c r="C120819"/>
      <c r="E120819"/>
      <c r="F120819"/>
    </row>
    <row r="120820" spans="1:6" x14ac:dyDescent="0.25">
      <c r="A120820"/>
      <c r="B120820"/>
      <c r="C120820"/>
      <c r="E120820"/>
      <c r="F120820"/>
    </row>
    <row r="120821" spans="1:6" x14ac:dyDescent="0.25">
      <c r="A120821"/>
      <c r="B120821"/>
      <c r="C120821"/>
      <c r="E120821"/>
      <c r="F120821"/>
    </row>
    <row r="120822" spans="1:6" x14ac:dyDescent="0.25">
      <c r="A120822"/>
      <c r="B120822"/>
      <c r="C120822"/>
      <c r="E120822"/>
      <c r="F120822"/>
    </row>
    <row r="120823" spans="1:6" x14ac:dyDescent="0.25">
      <c r="A120823"/>
      <c r="B120823"/>
      <c r="C120823"/>
      <c r="E120823"/>
      <c r="F120823"/>
    </row>
    <row r="120824" spans="1:6" x14ac:dyDescent="0.25">
      <c r="A120824"/>
      <c r="B120824"/>
      <c r="C120824"/>
      <c r="E120824"/>
      <c r="F120824"/>
    </row>
    <row r="120825" spans="1:6" x14ac:dyDescent="0.25">
      <c r="A120825"/>
      <c r="B120825"/>
      <c r="C120825"/>
      <c r="E120825"/>
      <c r="F120825"/>
    </row>
    <row r="120826" spans="1:6" x14ac:dyDescent="0.25">
      <c r="A120826"/>
      <c r="B120826"/>
      <c r="C120826"/>
      <c r="E120826"/>
      <c r="F120826"/>
    </row>
    <row r="120827" spans="1:6" x14ac:dyDescent="0.25">
      <c r="A120827"/>
      <c r="B120827"/>
      <c r="C120827"/>
      <c r="E120827"/>
      <c r="F120827"/>
    </row>
    <row r="120828" spans="1:6" x14ac:dyDescent="0.25">
      <c r="A120828"/>
      <c r="B120828"/>
      <c r="C120828"/>
      <c r="E120828"/>
      <c r="F120828"/>
    </row>
    <row r="120829" spans="1:6" x14ac:dyDescent="0.25">
      <c r="A120829"/>
      <c r="B120829"/>
      <c r="C120829"/>
      <c r="E120829"/>
      <c r="F120829"/>
    </row>
    <row r="120830" spans="1:6" x14ac:dyDescent="0.25">
      <c r="A120830"/>
      <c r="B120830"/>
      <c r="C120830"/>
      <c r="E120830"/>
      <c r="F120830"/>
    </row>
    <row r="120831" spans="1:6" x14ac:dyDescent="0.25">
      <c r="A120831"/>
      <c r="B120831"/>
      <c r="C120831"/>
      <c r="E120831"/>
      <c r="F120831"/>
    </row>
    <row r="120832" spans="1:6" x14ac:dyDescent="0.25">
      <c r="A120832"/>
      <c r="B120832"/>
      <c r="C120832"/>
      <c r="E120832"/>
      <c r="F120832"/>
    </row>
    <row r="120833" spans="1:6" x14ac:dyDescent="0.25">
      <c r="A120833"/>
      <c r="B120833"/>
      <c r="C120833"/>
      <c r="E120833"/>
      <c r="F120833"/>
    </row>
    <row r="120834" spans="1:6" x14ac:dyDescent="0.25">
      <c r="A120834"/>
      <c r="B120834"/>
      <c r="C120834"/>
      <c r="E120834"/>
      <c r="F120834"/>
    </row>
    <row r="120835" spans="1:6" x14ac:dyDescent="0.25">
      <c r="A120835"/>
      <c r="B120835"/>
      <c r="C120835"/>
      <c r="E120835"/>
      <c r="F120835"/>
    </row>
    <row r="120836" spans="1:6" x14ac:dyDescent="0.25">
      <c r="A120836"/>
      <c r="B120836"/>
      <c r="C120836"/>
      <c r="E120836"/>
      <c r="F120836"/>
    </row>
    <row r="120837" spans="1:6" x14ac:dyDescent="0.25">
      <c r="A120837"/>
      <c r="B120837"/>
      <c r="C120837"/>
      <c r="E120837"/>
      <c r="F120837"/>
    </row>
    <row r="120838" spans="1:6" x14ac:dyDescent="0.25">
      <c r="A120838"/>
      <c r="B120838"/>
      <c r="C120838"/>
      <c r="E120838"/>
      <c r="F120838"/>
    </row>
    <row r="120839" spans="1:6" x14ac:dyDescent="0.25">
      <c r="A120839"/>
      <c r="B120839"/>
      <c r="C120839"/>
      <c r="E120839"/>
      <c r="F120839"/>
    </row>
    <row r="120840" spans="1:6" x14ac:dyDescent="0.25">
      <c r="A120840"/>
      <c r="B120840"/>
      <c r="C120840"/>
      <c r="E120840"/>
      <c r="F120840"/>
    </row>
    <row r="120841" spans="1:6" x14ac:dyDescent="0.25">
      <c r="A120841"/>
      <c r="B120841"/>
      <c r="C120841"/>
      <c r="E120841"/>
      <c r="F120841"/>
    </row>
    <row r="120842" spans="1:6" x14ac:dyDescent="0.25">
      <c r="A120842"/>
      <c r="B120842"/>
      <c r="C120842"/>
      <c r="E120842"/>
      <c r="F120842"/>
    </row>
    <row r="120843" spans="1:6" x14ac:dyDescent="0.25">
      <c r="A120843"/>
      <c r="B120843"/>
      <c r="C120843"/>
      <c r="E120843"/>
      <c r="F120843"/>
    </row>
    <row r="120844" spans="1:6" x14ac:dyDescent="0.25">
      <c r="A120844"/>
      <c r="B120844"/>
      <c r="C120844"/>
      <c r="E120844"/>
      <c r="F120844"/>
    </row>
    <row r="120845" spans="1:6" x14ac:dyDescent="0.25">
      <c r="A120845"/>
      <c r="B120845"/>
      <c r="C120845"/>
      <c r="E120845"/>
      <c r="F120845"/>
    </row>
    <row r="120846" spans="1:6" x14ac:dyDescent="0.25">
      <c r="A120846"/>
      <c r="B120846"/>
      <c r="C120846"/>
      <c r="E120846"/>
      <c r="F120846"/>
    </row>
    <row r="120847" spans="1:6" x14ac:dyDescent="0.25">
      <c r="A120847"/>
      <c r="B120847"/>
      <c r="C120847"/>
      <c r="E120847"/>
      <c r="F120847"/>
    </row>
    <row r="120848" spans="1:6" x14ac:dyDescent="0.25">
      <c r="A120848"/>
      <c r="B120848"/>
      <c r="C120848"/>
      <c r="E120848"/>
      <c r="F120848"/>
    </row>
    <row r="120849" spans="1:6" x14ac:dyDescent="0.25">
      <c r="A120849"/>
      <c r="B120849"/>
      <c r="C120849"/>
      <c r="E120849"/>
      <c r="F120849"/>
    </row>
    <row r="120850" spans="1:6" x14ac:dyDescent="0.25">
      <c r="A120850"/>
      <c r="B120850"/>
      <c r="C120850"/>
      <c r="E120850"/>
      <c r="F120850"/>
    </row>
    <row r="120851" spans="1:6" x14ac:dyDescent="0.25">
      <c r="A120851"/>
      <c r="B120851"/>
      <c r="C120851"/>
      <c r="E120851"/>
      <c r="F120851"/>
    </row>
    <row r="120852" spans="1:6" x14ac:dyDescent="0.25">
      <c r="A120852"/>
      <c r="B120852"/>
      <c r="C120852"/>
      <c r="E120852"/>
      <c r="F120852"/>
    </row>
    <row r="120853" spans="1:6" x14ac:dyDescent="0.25">
      <c r="A120853"/>
      <c r="B120853"/>
      <c r="C120853"/>
      <c r="E120853"/>
      <c r="F120853"/>
    </row>
    <row r="120854" spans="1:6" x14ac:dyDescent="0.25">
      <c r="A120854"/>
      <c r="B120854"/>
      <c r="C120854"/>
      <c r="E120854"/>
      <c r="F120854"/>
    </row>
    <row r="120855" spans="1:6" x14ac:dyDescent="0.25">
      <c r="A120855"/>
      <c r="B120855"/>
      <c r="C120855"/>
      <c r="E120855"/>
      <c r="F120855"/>
    </row>
    <row r="120856" spans="1:6" x14ac:dyDescent="0.25">
      <c r="A120856"/>
      <c r="B120856"/>
      <c r="C120856"/>
      <c r="E120856"/>
      <c r="F120856"/>
    </row>
    <row r="120857" spans="1:6" x14ac:dyDescent="0.25">
      <c r="A120857"/>
      <c r="B120857"/>
      <c r="C120857"/>
      <c r="E120857"/>
      <c r="F120857"/>
    </row>
    <row r="120858" spans="1:6" x14ac:dyDescent="0.25">
      <c r="A120858"/>
      <c r="B120858"/>
      <c r="C120858"/>
      <c r="E120858"/>
      <c r="F120858"/>
    </row>
    <row r="120859" spans="1:6" x14ac:dyDescent="0.25">
      <c r="A120859"/>
      <c r="B120859"/>
      <c r="C120859"/>
      <c r="E120859"/>
      <c r="F120859"/>
    </row>
    <row r="120860" spans="1:6" x14ac:dyDescent="0.25">
      <c r="A120860"/>
      <c r="B120860"/>
      <c r="C120860"/>
      <c r="E120860"/>
      <c r="F120860"/>
    </row>
    <row r="120861" spans="1:6" x14ac:dyDescent="0.25">
      <c r="A120861"/>
      <c r="B120861"/>
      <c r="C120861"/>
      <c r="E120861"/>
      <c r="F120861"/>
    </row>
    <row r="120862" spans="1:6" x14ac:dyDescent="0.25">
      <c r="A120862"/>
      <c r="B120862"/>
      <c r="C120862"/>
      <c r="E120862"/>
      <c r="F120862"/>
    </row>
    <row r="120863" spans="1:6" x14ac:dyDescent="0.25">
      <c r="A120863"/>
      <c r="B120863"/>
      <c r="C120863"/>
      <c r="E120863"/>
      <c r="F120863"/>
    </row>
    <row r="120864" spans="1:6" x14ac:dyDescent="0.25">
      <c r="A120864"/>
      <c r="B120864"/>
      <c r="C120864"/>
      <c r="E120864"/>
      <c r="F120864"/>
    </row>
    <row r="120865" spans="1:6" x14ac:dyDescent="0.25">
      <c r="A120865"/>
      <c r="B120865"/>
      <c r="C120865"/>
      <c r="E120865"/>
      <c r="F120865"/>
    </row>
    <row r="120866" spans="1:6" x14ac:dyDescent="0.25">
      <c r="A120866"/>
      <c r="B120866"/>
      <c r="C120866"/>
      <c r="E120866"/>
      <c r="F120866"/>
    </row>
    <row r="120867" spans="1:6" x14ac:dyDescent="0.25">
      <c r="A120867"/>
      <c r="B120867"/>
      <c r="C120867"/>
      <c r="E120867"/>
      <c r="F120867"/>
    </row>
    <row r="120868" spans="1:6" x14ac:dyDescent="0.25">
      <c r="A120868"/>
      <c r="B120868"/>
      <c r="C120868"/>
      <c r="E120868"/>
      <c r="F120868"/>
    </row>
    <row r="120869" spans="1:6" x14ac:dyDescent="0.25">
      <c r="A120869"/>
      <c r="B120869"/>
      <c r="C120869"/>
      <c r="E120869"/>
      <c r="F120869"/>
    </row>
    <row r="120870" spans="1:6" x14ac:dyDescent="0.25">
      <c r="A120870"/>
      <c r="B120870"/>
      <c r="C120870"/>
      <c r="E120870"/>
      <c r="F120870"/>
    </row>
    <row r="120871" spans="1:6" x14ac:dyDescent="0.25">
      <c r="A120871"/>
      <c r="B120871"/>
      <c r="C120871"/>
      <c r="E120871"/>
      <c r="F120871"/>
    </row>
    <row r="120872" spans="1:6" x14ac:dyDescent="0.25">
      <c r="A120872"/>
      <c r="B120872"/>
      <c r="C120872"/>
      <c r="E120872"/>
      <c r="F120872"/>
    </row>
    <row r="120873" spans="1:6" x14ac:dyDescent="0.25">
      <c r="A120873"/>
      <c r="B120873"/>
      <c r="C120873"/>
      <c r="E120873"/>
      <c r="F120873"/>
    </row>
    <row r="120874" spans="1:6" x14ac:dyDescent="0.25">
      <c r="A120874"/>
      <c r="B120874"/>
      <c r="C120874"/>
      <c r="E120874"/>
      <c r="F120874"/>
    </row>
    <row r="120875" spans="1:6" x14ac:dyDescent="0.25">
      <c r="A120875"/>
      <c r="B120875"/>
      <c r="C120875"/>
      <c r="E120875"/>
      <c r="F120875"/>
    </row>
    <row r="120876" spans="1:6" x14ac:dyDescent="0.25">
      <c r="A120876"/>
      <c r="B120876"/>
      <c r="C120876"/>
      <c r="E120876"/>
      <c r="F120876"/>
    </row>
    <row r="120877" spans="1:6" x14ac:dyDescent="0.25">
      <c r="A120877"/>
      <c r="B120877"/>
      <c r="C120877"/>
      <c r="E120877"/>
      <c r="F120877"/>
    </row>
    <row r="120878" spans="1:6" x14ac:dyDescent="0.25">
      <c r="A120878"/>
      <c r="B120878"/>
      <c r="C120878"/>
      <c r="E120878"/>
      <c r="F120878"/>
    </row>
    <row r="120879" spans="1:6" x14ac:dyDescent="0.25">
      <c r="A120879"/>
      <c r="B120879"/>
      <c r="C120879"/>
      <c r="E120879"/>
      <c r="F120879"/>
    </row>
    <row r="120880" spans="1:6" x14ac:dyDescent="0.25">
      <c r="A120880"/>
      <c r="B120880"/>
      <c r="C120880"/>
      <c r="E120880"/>
      <c r="F120880"/>
    </row>
    <row r="120881" spans="1:6" x14ac:dyDescent="0.25">
      <c r="A120881"/>
      <c r="B120881"/>
      <c r="C120881"/>
      <c r="E120881"/>
      <c r="F120881"/>
    </row>
    <row r="120882" spans="1:6" x14ac:dyDescent="0.25">
      <c r="A120882"/>
      <c r="B120882"/>
      <c r="C120882"/>
      <c r="E120882"/>
      <c r="F120882"/>
    </row>
    <row r="120883" spans="1:6" x14ac:dyDescent="0.25">
      <c r="A120883"/>
      <c r="B120883"/>
      <c r="C120883"/>
      <c r="E120883"/>
      <c r="F120883"/>
    </row>
    <row r="120884" spans="1:6" x14ac:dyDescent="0.25">
      <c r="A120884"/>
      <c r="B120884"/>
      <c r="C120884"/>
      <c r="E120884"/>
      <c r="F120884"/>
    </row>
    <row r="120885" spans="1:6" x14ac:dyDescent="0.25">
      <c r="A120885"/>
      <c r="B120885"/>
      <c r="C120885"/>
      <c r="E120885"/>
      <c r="F120885"/>
    </row>
    <row r="120886" spans="1:6" x14ac:dyDescent="0.25">
      <c r="A120886"/>
      <c r="B120886"/>
      <c r="C120886"/>
      <c r="E120886"/>
      <c r="F120886"/>
    </row>
    <row r="120887" spans="1:6" x14ac:dyDescent="0.25">
      <c r="A120887"/>
      <c r="B120887"/>
      <c r="C120887"/>
      <c r="E120887"/>
      <c r="F120887"/>
    </row>
    <row r="120888" spans="1:6" x14ac:dyDescent="0.25">
      <c r="A120888"/>
      <c r="B120888"/>
      <c r="C120888"/>
      <c r="E120888"/>
      <c r="F120888"/>
    </row>
    <row r="120889" spans="1:6" x14ac:dyDescent="0.25">
      <c r="A120889"/>
      <c r="B120889"/>
      <c r="C120889"/>
      <c r="E120889"/>
      <c r="F120889"/>
    </row>
    <row r="120890" spans="1:6" x14ac:dyDescent="0.25">
      <c r="A120890"/>
      <c r="B120890"/>
      <c r="C120890"/>
      <c r="E120890"/>
      <c r="F120890"/>
    </row>
    <row r="120891" spans="1:6" x14ac:dyDescent="0.25">
      <c r="A120891"/>
      <c r="B120891"/>
      <c r="C120891"/>
      <c r="E120891"/>
      <c r="F120891"/>
    </row>
    <row r="120892" spans="1:6" x14ac:dyDescent="0.25">
      <c r="A120892"/>
      <c r="B120892"/>
      <c r="C120892"/>
      <c r="E120892"/>
      <c r="F120892"/>
    </row>
    <row r="120893" spans="1:6" x14ac:dyDescent="0.25">
      <c r="A120893"/>
      <c r="B120893"/>
      <c r="C120893"/>
      <c r="E120893"/>
      <c r="F120893"/>
    </row>
    <row r="120894" spans="1:6" x14ac:dyDescent="0.25">
      <c r="A120894"/>
      <c r="B120894"/>
      <c r="C120894"/>
      <c r="E120894"/>
      <c r="F120894"/>
    </row>
    <row r="120895" spans="1:6" x14ac:dyDescent="0.25">
      <c r="A120895"/>
      <c r="B120895"/>
      <c r="C120895"/>
      <c r="E120895"/>
      <c r="F120895"/>
    </row>
    <row r="120896" spans="1:6" x14ac:dyDescent="0.25">
      <c r="A120896"/>
      <c r="B120896"/>
      <c r="C120896"/>
      <c r="E120896"/>
      <c r="F120896"/>
    </row>
    <row r="120897" spans="1:6" x14ac:dyDescent="0.25">
      <c r="A120897"/>
      <c r="B120897"/>
      <c r="C120897"/>
      <c r="E120897"/>
      <c r="F120897"/>
    </row>
    <row r="120898" spans="1:6" x14ac:dyDescent="0.25">
      <c r="A120898"/>
      <c r="B120898"/>
      <c r="C120898"/>
      <c r="E120898"/>
      <c r="F120898"/>
    </row>
    <row r="120899" spans="1:6" x14ac:dyDescent="0.25">
      <c r="A120899"/>
      <c r="B120899"/>
      <c r="C120899"/>
      <c r="E120899"/>
      <c r="F120899"/>
    </row>
    <row r="120900" spans="1:6" x14ac:dyDescent="0.25">
      <c r="A120900"/>
      <c r="B120900"/>
      <c r="C120900"/>
      <c r="E120900"/>
      <c r="F120900"/>
    </row>
    <row r="120901" spans="1:6" x14ac:dyDescent="0.25">
      <c r="A120901"/>
      <c r="B120901"/>
      <c r="C120901"/>
      <c r="E120901"/>
      <c r="F120901"/>
    </row>
    <row r="120902" spans="1:6" x14ac:dyDescent="0.25">
      <c r="A120902"/>
      <c r="B120902"/>
      <c r="C120902"/>
      <c r="E120902"/>
      <c r="F120902"/>
    </row>
    <row r="120903" spans="1:6" x14ac:dyDescent="0.25">
      <c r="A120903"/>
      <c r="B120903"/>
      <c r="C120903"/>
      <c r="E120903"/>
      <c r="F120903"/>
    </row>
    <row r="120904" spans="1:6" x14ac:dyDescent="0.25">
      <c r="A120904"/>
      <c r="B120904"/>
      <c r="C120904"/>
      <c r="E120904"/>
      <c r="F120904"/>
    </row>
    <row r="120905" spans="1:6" x14ac:dyDescent="0.25">
      <c r="A120905"/>
      <c r="B120905"/>
      <c r="C120905"/>
      <c r="E120905"/>
      <c r="F120905"/>
    </row>
    <row r="120906" spans="1:6" x14ac:dyDescent="0.25">
      <c r="A120906"/>
      <c r="B120906"/>
      <c r="C120906"/>
      <c r="E120906"/>
      <c r="F120906"/>
    </row>
    <row r="120907" spans="1:6" x14ac:dyDescent="0.25">
      <c r="A120907"/>
      <c r="B120907"/>
      <c r="C120907"/>
      <c r="E120907"/>
      <c r="F120907"/>
    </row>
    <row r="120908" spans="1:6" x14ac:dyDescent="0.25">
      <c r="A120908"/>
      <c r="B120908"/>
      <c r="C120908"/>
      <c r="E120908"/>
      <c r="F120908"/>
    </row>
    <row r="120909" spans="1:6" x14ac:dyDescent="0.25">
      <c r="A120909"/>
      <c r="B120909"/>
      <c r="C120909"/>
      <c r="E120909"/>
      <c r="F120909"/>
    </row>
    <row r="120910" spans="1:6" x14ac:dyDescent="0.25">
      <c r="A120910"/>
      <c r="B120910"/>
      <c r="C120910"/>
      <c r="E120910"/>
      <c r="F120910"/>
    </row>
    <row r="120911" spans="1:6" x14ac:dyDescent="0.25">
      <c r="A120911"/>
      <c r="B120911"/>
      <c r="C120911"/>
      <c r="E120911"/>
      <c r="F120911"/>
    </row>
    <row r="120912" spans="1:6" x14ac:dyDescent="0.25">
      <c r="A120912"/>
      <c r="B120912"/>
      <c r="C120912"/>
      <c r="E120912"/>
      <c r="F120912"/>
    </row>
    <row r="120913" spans="1:6" x14ac:dyDescent="0.25">
      <c r="A120913"/>
      <c r="B120913"/>
      <c r="C120913"/>
      <c r="E120913"/>
      <c r="F120913"/>
    </row>
    <row r="120914" spans="1:6" x14ac:dyDescent="0.25">
      <c r="A120914"/>
      <c r="B120914"/>
      <c r="C120914"/>
      <c r="E120914"/>
      <c r="F120914"/>
    </row>
    <row r="120915" spans="1:6" x14ac:dyDescent="0.25">
      <c r="A120915"/>
      <c r="B120915"/>
      <c r="C120915"/>
      <c r="E120915"/>
      <c r="F120915"/>
    </row>
    <row r="120916" spans="1:6" x14ac:dyDescent="0.25">
      <c r="A120916"/>
      <c r="B120916"/>
      <c r="C120916"/>
      <c r="E120916"/>
      <c r="F120916"/>
    </row>
    <row r="120917" spans="1:6" x14ac:dyDescent="0.25">
      <c r="A120917"/>
      <c r="B120917"/>
      <c r="C120917"/>
      <c r="E120917"/>
      <c r="F120917"/>
    </row>
    <row r="120918" spans="1:6" x14ac:dyDescent="0.25">
      <c r="A120918"/>
      <c r="B120918"/>
      <c r="C120918"/>
      <c r="E120918"/>
      <c r="F120918"/>
    </row>
    <row r="120919" spans="1:6" x14ac:dyDescent="0.25">
      <c r="A120919"/>
      <c r="B120919"/>
      <c r="C120919"/>
      <c r="E120919"/>
      <c r="F120919"/>
    </row>
    <row r="120920" spans="1:6" x14ac:dyDescent="0.25">
      <c r="A120920"/>
      <c r="B120920"/>
      <c r="C120920"/>
      <c r="E120920"/>
      <c r="F120920"/>
    </row>
    <row r="120921" spans="1:6" x14ac:dyDescent="0.25">
      <c r="A120921"/>
      <c r="B120921"/>
      <c r="C120921"/>
      <c r="E120921"/>
      <c r="F120921"/>
    </row>
    <row r="120922" spans="1:6" x14ac:dyDescent="0.25">
      <c r="A120922"/>
      <c r="B120922"/>
      <c r="C120922"/>
      <c r="E120922"/>
      <c r="F120922"/>
    </row>
    <row r="120923" spans="1:6" x14ac:dyDescent="0.25">
      <c r="A120923"/>
      <c r="B120923"/>
      <c r="C120923"/>
      <c r="E120923"/>
      <c r="F120923"/>
    </row>
    <row r="120924" spans="1:6" x14ac:dyDescent="0.25">
      <c r="A120924"/>
      <c r="B120924"/>
      <c r="C120924"/>
      <c r="E120924"/>
      <c r="F120924"/>
    </row>
    <row r="120925" spans="1:6" x14ac:dyDescent="0.25">
      <c r="A120925"/>
      <c r="B120925"/>
      <c r="C120925"/>
      <c r="E120925"/>
      <c r="F120925"/>
    </row>
    <row r="120926" spans="1:6" x14ac:dyDescent="0.25">
      <c r="A120926"/>
      <c r="B120926"/>
      <c r="C120926"/>
      <c r="E120926"/>
      <c r="F120926"/>
    </row>
    <row r="120927" spans="1:6" x14ac:dyDescent="0.25">
      <c r="A120927"/>
      <c r="B120927"/>
      <c r="C120927"/>
      <c r="E120927"/>
      <c r="F120927"/>
    </row>
    <row r="120928" spans="1:6" x14ac:dyDescent="0.25">
      <c r="A120928"/>
      <c r="B120928"/>
      <c r="C120928"/>
      <c r="E120928"/>
      <c r="F120928"/>
    </row>
    <row r="120929" spans="1:6" x14ac:dyDescent="0.25">
      <c r="A120929"/>
      <c r="B120929"/>
      <c r="C120929"/>
      <c r="E120929"/>
      <c r="F120929"/>
    </row>
    <row r="120930" spans="1:6" x14ac:dyDescent="0.25">
      <c r="A120930"/>
      <c r="B120930"/>
      <c r="C120930"/>
      <c r="E120930"/>
      <c r="F120930"/>
    </row>
    <row r="120931" spans="1:6" x14ac:dyDescent="0.25">
      <c r="A120931"/>
      <c r="B120931"/>
      <c r="C120931"/>
      <c r="E120931"/>
      <c r="F120931"/>
    </row>
    <row r="120932" spans="1:6" x14ac:dyDescent="0.25">
      <c r="A120932"/>
      <c r="B120932"/>
      <c r="C120932"/>
      <c r="E120932"/>
      <c r="F120932"/>
    </row>
    <row r="120933" spans="1:6" x14ac:dyDescent="0.25">
      <c r="A120933"/>
      <c r="B120933"/>
      <c r="C120933"/>
      <c r="E120933"/>
      <c r="F120933"/>
    </row>
    <row r="120934" spans="1:6" x14ac:dyDescent="0.25">
      <c r="A120934"/>
      <c r="B120934"/>
      <c r="C120934"/>
      <c r="E120934"/>
      <c r="F120934"/>
    </row>
    <row r="120935" spans="1:6" x14ac:dyDescent="0.25">
      <c r="A120935"/>
      <c r="B120935"/>
      <c r="C120935"/>
      <c r="E120935"/>
      <c r="F120935"/>
    </row>
    <row r="120936" spans="1:6" x14ac:dyDescent="0.25">
      <c r="A120936"/>
      <c r="B120936"/>
      <c r="C120936"/>
      <c r="E120936"/>
      <c r="F120936"/>
    </row>
    <row r="120937" spans="1:6" x14ac:dyDescent="0.25">
      <c r="A120937"/>
      <c r="B120937"/>
      <c r="C120937"/>
      <c r="E120937"/>
      <c r="F120937"/>
    </row>
    <row r="120938" spans="1:6" x14ac:dyDescent="0.25">
      <c r="A120938"/>
      <c r="B120938"/>
      <c r="C120938"/>
      <c r="E120938"/>
      <c r="F120938"/>
    </row>
    <row r="120939" spans="1:6" x14ac:dyDescent="0.25">
      <c r="A120939"/>
      <c r="B120939"/>
      <c r="C120939"/>
      <c r="E120939"/>
      <c r="F120939"/>
    </row>
    <row r="120940" spans="1:6" x14ac:dyDescent="0.25">
      <c r="A120940"/>
      <c r="B120940"/>
      <c r="C120940"/>
      <c r="E120940"/>
      <c r="F120940"/>
    </row>
    <row r="120941" spans="1:6" x14ac:dyDescent="0.25">
      <c r="A120941"/>
      <c r="B120941"/>
      <c r="C120941"/>
      <c r="E120941"/>
      <c r="F120941"/>
    </row>
    <row r="120942" spans="1:6" x14ac:dyDescent="0.25">
      <c r="A120942"/>
      <c r="B120942"/>
      <c r="C120942"/>
      <c r="E120942"/>
      <c r="F120942"/>
    </row>
    <row r="120943" spans="1:6" x14ac:dyDescent="0.25">
      <c r="A120943"/>
      <c r="B120943"/>
      <c r="C120943"/>
      <c r="E120943"/>
      <c r="F120943"/>
    </row>
    <row r="120944" spans="1:6" x14ac:dyDescent="0.25">
      <c r="A120944"/>
      <c r="B120944"/>
      <c r="C120944"/>
      <c r="E120944"/>
      <c r="F120944"/>
    </row>
    <row r="120945" spans="1:6" x14ac:dyDescent="0.25">
      <c r="A120945"/>
      <c r="B120945"/>
      <c r="C120945"/>
      <c r="E120945"/>
      <c r="F120945"/>
    </row>
    <row r="120946" spans="1:6" x14ac:dyDescent="0.25">
      <c r="A120946"/>
      <c r="B120946"/>
      <c r="C120946"/>
      <c r="E120946"/>
      <c r="F120946"/>
    </row>
    <row r="120947" spans="1:6" x14ac:dyDescent="0.25">
      <c r="A120947"/>
      <c r="B120947"/>
      <c r="C120947"/>
      <c r="E120947"/>
      <c r="F120947"/>
    </row>
    <row r="120948" spans="1:6" x14ac:dyDescent="0.25">
      <c r="A120948"/>
      <c r="B120948"/>
      <c r="C120948"/>
      <c r="E120948"/>
      <c r="F120948"/>
    </row>
    <row r="120949" spans="1:6" x14ac:dyDescent="0.25">
      <c r="A120949"/>
      <c r="B120949"/>
      <c r="C120949"/>
      <c r="E120949"/>
      <c r="F120949"/>
    </row>
    <row r="120950" spans="1:6" x14ac:dyDescent="0.25">
      <c r="A120950"/>
      <c r="B120950"/>
      <c r="C120950"/>
      <c r="E120950"/>
      <c r="F120950"/>
    </row>
    <row r="120951" spans="1:6" x14ac:dyDescent="0.25">
      <c r="A120951"/>
      <c r="B120951"/>
      <c r="C120951"/>
      <c r="E120951"/>
      <c r="F120951"/>
    </row>
    <row r="120952" spans="1:6" x14ac:dyDescent="0.25">
      <c r="A120952"/>
      <c r="B120952"/>
      <c r="C120952"/>
      <c r="E120952"/>
      <c r="F120952"/>
    </row>
    <row r="120953" spans="1:6" x14ac:dyDescent="0.25">
      <c r="A120953"/>
      <c r="B120953"/>
      <c r="C120953"/>
      <c r="E120953"/>
      <c r="F120953"/>
    </row>
    <row r="120954" spans="1:6" x14ac:dyDescent="0.25">
      <c r="A120954"/>
      <c r="B120954"/>
      <c r="C120954"/>
      <c r="E120954"/>
      <c r="F120954"/>
    </row>
    <row r="120955" spans="1:6" x14ac:dyDescent="0.25">
      <c r="A120955"/>
      <c r="B120955"/>
      <c r="C120955"/>
      <c r="E120955"/>
      <c r="F120955"/>
    </row>
    <row r="120956" spans="1:6" x14ac:dyDescent="0.25">
      <c r="A120956"/>
      <c r="B120956"/>
      <c r="C120956"/>
      <c r="E120956"/>
      <c r="F120956"/>
    </row>
    <row r="120957" spans="1:6" x14ac:dyDescent="0.25">
      <c r="A120957"/>
      <c r="B120957"/>
      <c r="C120957"/>
      <c r="E120957"/>
      <c r="F120957"/>
    </row>
    <row r="120958" spans="1:6" x14ac:dyDescent="0.25">
      <c r="A120958"/>
      <c r="B120958"/>
      <c r="C120958"/>
      <c r="E120958"/>
      <c r="F120958"/>
    </row>
    <row r="120959" spans="1:6" x14ac:dyDescent="0.25">
      <c r="A120959"/>
      <c r="B120959"/>
      <c r="C120959"/>
      <c r="E120959"/>
      <c r="F120959"/>
    </row>
    <row r="120960" spans="1:6" x14ac:dyDescent="0.25">
      <c r="A120960"/>
      <c r="B120960"/>
      <c r="C120960"/>
      <c r="E120960"/>
      <c r="F120960"/>
    </row>
    <row r="120961" spans="1:6" x14ac:dyDescent="0.25">
      <c r="A120961"/>
      <c r="B120961"/>
      <c r="C120961"/>
      <c r="E120961"/>
      <c r="F120961"/>
    </row>
    <row r="120962" spans="1:6" x14ac:dyDescent="0.25">
      <c r="A120962"/>
      <c r="B120962"/>
      <c r="C120962"/>
      <c r="E120962"/>
      <c r="F120962"/>
    </row>
    <row r="120963" spans="1:6" x14ac:dyDescent="0.25">
      <c r="A120963"/>
      <c r="B120963"/>
      <c r="C120963"/>
      <c r="E120963"/>
      <c r="F120963"/>
    </row>
    <row r="120964" spans="1:6" x14ac:dyDescent="0.25">
      <c r="A120964"/>
      <c r="B120964"/>
      <c r="C120964"/>
      <c r="E120964"/>
      <c r="F120964"/>
    </row>
    <row r="120965" spans="1:6" x14ac:dyDescent="0.25">
      <c r="A120965"/>
      <c r="B120965"/>
      <c r="C120965"/>
      <c r="E120965"/>
      <c r="F120965"/>
    </row>
    <row r="120966" spans="1:6" x14ac:dyDescent="0.25">
      <c r="A120966"/>
      <c r="B120966"/>
      <c r="C120966"/>
      <c r="E120966"/>
      <c r="F120966"/>
    </row>
    <row r="120967" spans="1:6" x14ac:dyDescent="0.25">
      <c r="A120967"/>
      <c r="B120967"/>
      <c r="C120967"/>
      <c r="E120967"/>
      <c r="F120967"/>
    </row>
    <row r="120968" spans="1:6" x14ac:dyDescent="0.25">
      <c r="A120968"/>
      <c r="B120968"/>
      <c r="C120968"/>
      <c r="E120968"/>
      <c r="F120968"/>
    </row>
    <row r="120969" spans="1:6" x14ac:dyDescent="0.25">
      <c r="A120969"/>
      <c r="B120969"/>
      <c r="C120969"/>
      <c r="E120969"/>
      <c r="F120969"/>
    </row>
    <row r="120970" spans="1:6" x14ac:dyDescent="0.25">
      <c r="A120970"/>
      <c r="B120970"/>
      <c r="C120970"/>
      <c r="E120970"/>
      <c r="F120970"/>
    </row>
    <row r="120971" spans="1:6" x14ac:dyDescent="0.25">
      <c r="A120971"/>
      <c r="B120971"/>
      <c r="C120971"/>
      <c r="E120971"/>
      <c r="F120971"/>
    </row>
    <row r="120972" spans="1:6" x14ac:dyDescent="0.25">
      <c r="A120972"/>
      <c r="B120972"/>
      <c r="C120972"/>
      <c r="E120972"/>
      <c r="F120972"/>
    </row>
    <row r="120973" spans="1:6" x14ac:dyDescent="0.25">
      <c r="A120973"/>
      <c r="B120973"/>
      <c r="C120973"/>
      <c r="E120973"/>
      <c r="F120973"/>
    </row>
    <row r="120974" spans="1:6" x14ac:dyDescent="0.25">
      <c r="A120974"/>
      <c r="B120974"/>
      <c r="C120974"/>
      <c r="E120974"/>
      <c r="F120974"/>
    </row>
    <row r="120975" spans="1:6" x14ac:dyDescent="0.25">
      <c r="A120975"/>
      <c r="B120975"/>
      <c r="C120975"/>
      <c r="E120975"/>
      <c r="F120975"/>
    </row>
    <row r="120976" spans="1:6" x14ac:dyDescent="0.25">
      <c r="A120976"/>
      <c r="B120976"/>
      <c r="C120976"/>
      <c r="E120976"/>
      <c r="F120976"/>
    </row>
    <row r="120977" spans="1:6" x14ac:dyDescent="0.25">
      <c r="A120977"/>
      <c r="B120977"/>
      <c r="C120977"/>
      <c r="E120977"/>
      <c r="F120977"/>
    </row>
    <row r="120978" spans="1:6" x14ac:dyDescent="0.25">
      <c r="A120978"/>
      <c r="B120978"/>
      <c r="C120978"/>
      <c r="E120978"/>
      <c r="F120978"/>
    </row>
    <row r="120979" spans="1:6" x14ac:dyDescent="0.25">
      <c r="A120979"/>
      <c r="B120979"/>
      <c r="C120979"/>
      <c r="E120979"/>
      <c r="F120979"/>
    </row>
    <row r="120980" spans="1:6" x14ac:dyDescent="0.25">
      <c r="A120980"/>
      <c r="B120980"/>
      <c r="C120980"/>
      <c r="E120980"/>
      <c r="F120980"/>
    </row>
    <row r="120981" spans="1:6" x14ac:dyDescent="0.25">
      <c r="A120981"/>
      <c r="B120981"/>
      <c r="C120981"/>
      <c r="E120981"/>
      <c r="F120981"/>
    </row>
    <row r="120982" spans="1:6" x14ac:dyDescent="0.25">
      <c r="A120982"/>
      <c r="B120982"/>
      <c r="C120982"/>
      <c r="E120982"/>
      <c r="F120982"/>
    </row>
    <row r="120983" spans="1:6" x14ac:dyDescent="0.25">
      <c r="A120983"/>
      <c r="B120983"/>
      <c r="C120983"/>
      <c r="E120983"/>
      <c r="F120983"/>
    </row>
    <row r="120984" spans="1:6" x14ac:dyDescent="0.25">
      <c r="A120984"/>
      <c r="B120984"/>
      <c r="C120984"/>
      <c r="E120984"/>
      <c r="F120984"/>
    </row>
    <row r="120985" spans="1:6" x14ac:dyDescent="0.25">
      <c r="A120985"/>
      <c r="B120985"/>
      <c r="C120985"/>
      <c r="E120985"/>
      <c r="F120985"/>
    </row>
    <row r="120986" spans="1:6" x14ac:dyDescent="0.25">
      <c r="A120986"/>
      <c r="B120986"/>
      <c r="C120986"/>
      <c r="E120986"/>
      <c r="F120986"/>
    </row>
    <row r="120987" spans="1:6" x14ac:dyDescent="0.25">
      <c r="A120987"/>
      <c r="B120987"/>
      <c r="C120987"/>
      <c r="E120987"/>
      <c r="F120987"/>
    </row>
    <row r="120988" spans="1:6" x14ac:dyDescent="0.25">
      <c r="A120988"/>
      <c r="B120988"/>
      <c r="C120988"/>
      <c r="E120988"/>
      <c r="F120988"/>
    </row>
    <row r="120989" spans="1:6" x14ac:dyDescent="0.25">
      <c r="A120989"/>
      <c r="B120989"/>
      <c r="C120989"/>
      <c r="E120989"/>
      <c r="F120989"/>
    </row>
    <row r="120990" spans="1:6" x14ac:dyDescent="0.25">
      <c r="A120990"/>
      <c r="B120990"/>
      <c r="C120990"/>
      <c r="E120990"/>
      <c r="F120990"/>
    </row>
    <row r="120991" spans="1:6" x14ac:dyDescent="0.25">
      <c r="A120991"/>
      <c r="B120991"/>
      <c r="C120991"/>
      <c r="E120991"/>
      <c r="F120991"/>
    </row>
    <row r="120992" spans="1:6" x14ac:dyDescent="0.25">
      <c r="A120992"/>
      <c r="B120992"/>
      <c r="C120992"/>
      <c r="E120992"/>
      <c r="F120992"/>
    </row>
    <row r="120993" spans="1:6" x14ac:dyDescent="0.25">
      <c r="A120993"/>
      <c r="B120993"/>
      <c r="C120993"/>
      <c r="E120993"/>
      <c r="F120993"/>
    </row>
    <row r="120994" spans="1:6" x14ac:dyDescent="0.25">
      <c r="A120994"/>
      <c r="B120994"/>
      <c r="C120994"/>
      <c r="E120994"/>
      <c r="F120994"/>
    </row>
    <row r="120995" spans="1:6" x14ac:dyDescent="0.25">
      <c r="A120995"/>
      <c r="B120995"/>
      <c r="C120995"/>
      <c r="E120995"/>
      <c r="F120995"/>
    </row>
    <row r="120996" spans="1:6" x14ac:dyDescent="0.25">
      <c r="A120996"/>
      <c r="B120996"/>
      <c r="C120996"/>
      <c r="E120996"/>
      <c r="F120996"/>
    </row>
    <row r="120997" spans="1:6" x14ac:dyDescent="0.25">
      <c r="A120997"/>
      <c r="B120997"/>
      <c r="C120997"/>
      <c r="E120997"/>
      <c r="F120997"/>
    </row>
    <row r="120998" spans="1:6" x14ac:dyDescent="0.25">
      <c r="A120998"/>
      <c r="B120998"/>
      <c r="C120998"/>
      <c r="E120998"/>
      <c r="F120998"/>
    </row>
    <row r="120999" spans="1:6" x14ac:dyDescent="0.25">
      <c r="A120999"/>
      <c r="B120999"/>
      <c r="C120999"/>
      <c r="E120999"/>
      <c r="F120999"/>
    </row>
    <row r="121000" spans="1:6" x14ac:dyDescent="0.25">
      <c r="A121000"/>
      <c r="B121000"/>
      <c r="C121000"/>
      <c r="E121000"/>
      <c r="F121000"/>
    </row>
    <row r="121001" spans="1:6" x14ac:dyDescent="0.25">
      <c r="A121001"/>
      <c r="B121001"/>
      <c r="C121001"/>
      <c r="E121001"/>
      <c r="F121001"/>
    </row>
    <row r="121002" spans="1:6" x14ac:dyDescent="0.25">
      <c r="A121002"/>
      <c r="B121002"/>
      <c r="C121002"/>
      <c r="E121002"/>
      <c r="F121002"/>
    </row>
    <row r="121003" spans="1:6" x14ac:dyDescent="0.25">
      <c r="A121003"/>
      <c r="B121003"/>
      <c r="C121003"/>
      <c r="E121003"/>
      <c r="F121003"/>
    </row>
    <row r="121004" spans="1:6" x14ac:dyDescent="0.25">
      <c r="A121004"/>
      <c r="B121004"/>
      <c r="C121004"/>
      <c r="E121004"/>
      <c r="F121004"/>
    </row>
    <row r="121005" spans="1:6" x14ac:dyDescent="0.25">
      <c r="A121005"/>
      <c r="B121005"/>
      <c r="C121005"/>
      <c r="E121005"/>
      <c r="F121005"/>
    </row>
    <row r="121006" spans="1:6" x14ac:dyDescent="0.25">
      <c r="A121006"/>
      <c r="B121006"/>
      <c r="C121006"/>
      <c r="E121006"/>
      <c r="F121006"/>
    </row>
    <row r="121007" spans="1:6" x14ac:dyDescent="0.25">
      <c r="A121007"/>
      <c r="B121007"/>
      <c r="C121007"/>
      <c r="E121007"/>
      <c r="F121007"/>
    </row>
    <row r="121008" spans="1:6" x14ac:dyDescent="0.25">
      <c r="A121008"/>
      <c r="B121008"/>
      <c r="C121008"/>
      <c r="E121008"/>
      <c r="F121008"/>
    </row>
    <row r="121009" spans="1:6" x14ac:dyDescent="0.25">
      <c r="A121009"/>
      <c r="B121009"/>
      <c r="C121009"/>
      <c r="E121009"/>
      <c r="F121009"/>
    </row>
    <row r="121010" spans="1:6" x14ac:dyDescent="0.25">
      <c r="A121010"/>
      <c r="B121010"/>
      <c r="C121010"/>
      <c r="E121010"/>
      <c r="F121010"/>
    </row>
    <row r="121011" spans="1:6" x14ac:dyDescent="0.25">
      <c r="A121011"/>
      <c r="B121011"/>
      <c r="C121011"/>
      <c r="E121011"/>
      <c r="F121011"/>
    </row>
    <row r="121012" spans="1:6" x14ac:dyDescent="0.25">
      <c r="A121012"/>
      <c r="B121012"/>
      <c r="C121012"/>
      <c r="E121012"/>
      <c r="F121012"/>
    </row>
    <row r="121013" spans="1:6" x14ac:dyDescent="0.25">
      <c r="A121013"/>
      <c r="B121013"/>
      <c r="C121013"/>
      <c r="E121013"/>
      <c r="F121013"/>
    </row>
    <row r="121014" spans="1:6" x14ac:dyDescent="0.25">
      <c r="A121014"/>
      <c r="B121014"/>
      <c r="C121014"/>
      <c r="E121014"/>
      <c r="F121014"/>
    </row>
    <row r="121015" spans="1:6" x14ac:dyDescent="0.25">
      <c r="A121015"/>
      <c r="B121015"/>
      <c r="C121015"/>
      <c r="E121015"/>
      <c r="F121015"/>
    </row>
    <row r="121016" spans="1:6" x14ac:dyDescent="0.25">
      <c r="A121016"/>
      <c r="B121016"/>
      <c r="C121016"/>
      <c r="E121016"/>
      <c r="F121016"/>
    </row>
    <row r="121017" spans="1:6" x14ac:dyDescent="0.25">
      <c r="A121017"/>
      <c r="B121017"/>
      <c r="C121017"/>
      <c r="E121017"/>
      <c r="F121017"/>
    </row>
    <row r="121018" spans="1:6" x14ac:dyDescent="0.25">
      <c r="A121018"/>
      <c r="B121018"/>
      <c r="C121018"/>
      <c r="E121018"/>
      <c r="F121018"/>
    </row>
    <row r="121019" spans="1:6" x14ac:dyDescent="0.25">
      <c r="A121019"/>
      <c r="B121019"/>
      <c r="C121019"/>
      <c r="E121019"/>
      <c r="F121019"/>
    </row>
    <row r="121020" spans="1:6" x14ac:dyDescent="0.25">
      <c r="A121020"/>
      <c r="B121020"/>
      <c r="C121020"/>
      <c r="E121020"/>
      <c r="F121020"/>
    </row>
    <row r="121021" spans="1:6" x14ac:dyDescent="0.25">
      <c r="A121021"/>
      <c r="B121021"/>
      <c r="C121021"/>
      <c r="E121021"/>
      <c r="F121021"/>
    </row>
    <row r="121022" spans="1:6" x14ac:dyDescent="0.25">
      <c r="A121022"/>
      <c r="B121022"/>
      <c r="C121022"/>
      <c r="E121022"/>
      <c r="F121022"/>
    </row>
    <row r="121023" spans="1:6" x14ac:dyDescent="0.25">
      <c r="A121023"/>
      <c r="B121023"/>
      <c r="C121023"/>
      <c r="E121023"/>
      <c r="F121023"/>
    </row>
    <row r="121024" spans="1:6" x14ac:dyDescent="0.25">
      <c r="A121024"/>
      <c r="B121024"/>
      <c r="C121024"/>
      <c r="E121024"/>
      <c r="F121024"/>
    </row>
    <row r="121025" spans="1:6" x14ac:dyDescent="0.25">
      <c r="A121025"/>
      <c r="B121025"/>
      <c r="C121025"/>
      <c r="E121025"/>
      <c r="F121025"/>
    </row>
    <row r="121026" spans="1:6" x14ac:dyDescent="0.25">
      <c r="A121026"/>
      <c r="B121026"/>
      <c r="C121026"/>
      <c r="E121026"/>
      <c r="F121026"/>
    </row>
    <row r="121027" spans="1:6" x14ac:dyDescent="0.25">
      <c r="A121027"/>
      <c r="B121027"/>
      <c r="C121027"/>
      <c r="E121027"/>
      <c r="F121027"/>
    </row>
    <row r="121028" spans="1:6" x14ac:dyDescent="0.25">
      <c r="A121028"/>
      <c r="B121028"/>
      <c r="C121028"/>
      <c r="E121028"/>
      <c r="F121028"/>
    </row>
    <row r="121029" spans="1:6" x14ac:dyDescent="0.25">
      <c r="A121029"/>
      <c r="B121029"/>
      <c r="C121029"/>
      <c r="E121029"/>
      <c r="F121029"/>
    </row>
    <row r="121030" spans="1:6" x14ac:dyDescent="0.25">
      <c r="A121030"/>
      <c r="B121030"/>
      <c r="C121030"/>
      <c r="E121030"/>
      <c r="F121030"/>
    </row>
    <row r="121031" spans="1:6" x14ac:dyDescent="0.25">
      <c r="A121031"/>
      <c r="B121031"/>
      <c r="C121031"/>
      <c r="E121031"/>
      <c r="F121031"/>
    </row>
    <row r="121032" spans="1:6" x14ac:dyDescent="0.25">
      <c r="A121032"/>
      <c r="B121032"/>
      <c r="C121032"/>
      <c r="E121032"/>
      <c r="F121032"/>
    </row>
    <row r="121033" spans="1:6" x14ac:dyDescent="0.25">
      <c r="A121033"/>
      <c r="B121033"/>
      <c r="C121033"/>
      <c r="E121033"/>
      <c r="F121033"/>
    </row>
    <row r="121034" spans="1:6" x14ac:dyDescent="0.25">
      <c r="A121034"/>
      <c r="B121034"/>
      <c r="C121034"/>
      <c r="E121034"/>
      <c r="F121034"/>
    </row>
    <row r="121035" spans="1:6" x14ac:dyDescent="0.25">
      <c r="A121035"/>
      <c r="B121035"/>
      <c r="C121035"/>
      <c r="E121035"/>
      <c r="F121035"/>
    </row>
    <row r="121036" spans="1:6" x14ac:dyDescent="0.25">
      <c r="A121036"/>
      <c r="B121036"/>
      <c r="C121036"/>
      <c r="E121036"/>
      <c r="F121036"/>
    </row>
    <row r="121037" spans="1:6" x14ac:dyDescent="0.25">
      <c r="A121037"/>
      <c r="B121037"/>
      <c r="C121037"/>
      <c r="E121037"/>
      <c r="F121037"/>
    </row>
    <row r="121038" spans="1:6" x14ac:dyDescent="0.25">
      <c r="A121038"/>
      <c r="B121038"/>
      <c r="C121038"/>
      <c r="E121038"/>
      <c r="F121038"/>
    </row>
    <row r="121039" spans="1:6" x14ac:dyDescent="0.25">
      <c r="A121039"/>
      <c r="B121039"/>
      <c r="C121039"/>
      <c r="E121039"/>
      <c r="F121039"/>
    </row>
    <row r="121040" spans="1:6" x14ac:dyDescent="0.25">
      <c r="A121040"/>
      <c r="B121040"/>
      <c r="C121040"/>
      <c r="E121040"/>
      <c r="F121040"/>
    </row>
    <row r="121041" spans="1:6" x14ac:dyDescent="0.25">
      <c r="A121041"/>
      <c r="B121041"/>
      <c r="C121041"/>
      <c r="E121041"/>
      <c r="F121041"/>
    </row>
    <row r="121042" spans="1:6" x14ac:dyDescent="0.25">
      <c r="A121042"/>
      <c r="B121042"/>
      <c r="C121042"/>
      <c r="E121042"/>
      <c r="F121042"/>
    </row>
    <row r="121043" spans="1:6" x14ac:dyDescent="0.25">
      <c r="A121043"/>
      <c r="B121043"/>
      <c r="C121043"/>
      <c r="E121043"/>
      <c r="F121043"/>
    </row>
    <row r="121044" spans="1:6" x14ac:dyDescent="0.25">
      <c r="A121044"/>
      <c r="B121044"/>
      <c r="C121044"/>
      <c r="E121044"/>
      <c r="F121044"/>
    </row>
    <row r="121045" spans="1:6" x14ac:dyDescent="0.25">
      <c r="A121045"/>
      <c r="B121045"/>
      <c r="C121045"/>
      <c r="E121045"/>
      <c r="F121045"/>
    </row>
    <row r="121046" spans="1:6" x14ac:dyDescent="0.25">
      <c r="A121046"/>
      <c r="B121046"/>
      <c r="C121046"/>
      <c r="E121046"/>
      <c r="F121046"/>
    </row>
    <row r="121047" spans="1:6" x14ac:dyDescent="0.25">
      <c r="A121047"/>
      <c r="B121047"/>
      <c r="C121047"/>
      <c r="E121047"/>
      <c r="F121047"/>
    </row>
    <row r="121048" spans="1:6" x14ac:dyDescent="0.25">
      <c r="A121048"/>
      <c r="B121048"/>
      <c r="C121048"/>
      <c r="E121048"/>
      <c r="F121048"/>
    </row>
    <row r="121049" spans="1:6" x14ac:dyDescent="0.25">
      <c r="A121049"/>
      <c r="B121049"/>
      <c r="C121049"/>
      <c r="E121049"/>
      <c r="F121049"/>
    </row>
    <row r="121050" spans="1:6" x14ac:dyDescent="0.25">
      <c r="A121050"/>
      <c r="B121050"/>
      <c r="C121050"/>
      <c r="E121050"/>
      <c r="F121050"/>
    </row>
    <row r="121051" spans="1:6" x14ac:dyDescent="0.25">
      <c r="A121051"/>
      <c r="B121051"/>
      <c r="C121051"/>
      <c r="E121051"/>
      <c r="F121051"/>
    </row>
    <row r="121052" spans="1:6" x14ac:dyDescent="0.25">
      <c r="A121052"/>
      <c r="B121052"/>
      <c r="C121052"/>
      <c r="E121052"/>
      <c r="F121052"/>
    </row>
    <row r="121053" spans="1:6" x14ac:dyDescent="0.25">
      <c r="A121053"/>
      <c r="B121053"/>
      <c r="C121053"/>
      <c r="E121053"/>
      <c r="F121053"/>
    </row>
    <row r="121054" spans="1:6" x14ac:dyDescent="0.25">
      <c r="A121054"/>
      <c r="B121054"/>
      <c r="C121054"/>
      <c r="E121054"/>
      <c r="F121054"/>
    </row>
    <row r="121055" spans="1:6" x14ac:dyDescent="0.25">
      <c r="A121055"/>
      <c r="B121055"/>
      <c r="C121055"/>
      <c r="E121055"/>
      <c r="F121055"/>
    </row>
    <row r="121056" spans="1:6" x14ac:dyDescent="0.25">
      <c r="A121056"/>
      <c r="B121056"/>
      <c r="C121056"/>
      <c r="E121056"/>
      <c r="F121056"/>
    </row>
    <row r="121057" spans="1:6" x14ac:dyDescent="0.25">
      <c r="A121057"/>
      <c r="B121057"/>
      <c r="C121057"/>
      <c r="E121057"/>
      <c r="F121057"/>
    </row>
    <row r="121058" spans="1:6" x14ac:dyDescent="0.25">
      <c r="A121058"/>
      <c r="B121058"/>
      <c r="C121058"/>
      <c r="E121058"/>
      <c r="F121058"/>
    </row>
    <row r="121059" spans="1:6" x14ac:dyDescent="0.25">
      <c r="A121059"/>
      <c r="B121059"/>
      <c r="C121059"/>
      <c r="E121059"/>
      <c r="F121059"/>
    </row>
    <row r="121060" spans="1:6" x14ac:dyDescent="0.25">
      <c r="A121060"/>
      <c r="B121060"/>
      <c r="C121060"/>
      <c r="E121060"/>
      <c r="F121060"/>
    </row>
    <row r="121061" spans="1:6" x14ac:dyDescent="0.25">
      <c r="A121061"/>
      <c r="B121061"/>
      <c r="C121061"/>
      <c r="E121061"/>
      <c r="F121061"/>
    </row>
    <row r="121062" spans="1:6" x14ac:dyDescent="0.25">
      <c r="A121062"/>
      <c r="B121062"/>
      <c r="C121062"/>
      <c r="E121062"/>
      <c r="F121062"/>
    </row>
    <row r="121063" spans="1:6" x14ac:dyDescent="0.25">
      <c r="A121063"/>
      <c r="B121063"/>
      <c r="C121063"/>
      <c r="E121063"/>
      <c r="F121063"/>
    </row>
    <row r="121064" spans="1:6" x14ac:dyDescent="0.25">
      <c r="A121064"/>
      <c r="B121064"/>
      <c r="C121064"/>
      <c r="E121064"/>
      <c r="F121064"/>
    </row>
    <row r="121065" spans="1:6" x14ac:dyDescent="0.25">
      <c r="A121065"/>
      <c r="B121065"/>
      <c r="C121065"/>
      <c r="E121065"/>
      <c r="F121065"/>
    </row>
    <row r="121066" spans="1:6" x14ac:dyDescent="0.25">
      <c r="A121066"/>
      <c r="B121066"/>
      <c r="C121066"/>
      <c r="E121066"/>
      <c r="F121066"/>
    </row>
    <row r="121067" spans="1:6" x14ac:dyDescent="0.25">
      <c r="A121067"/>
      <c r="B121067"/>
      <c r="C121067"/>
      <c r="E121067"/>
      <c r="F121067"/>
    </row>
    <row r="121068" spans="1:6" x14ac:dyDescent="0.25">
      <c r="A121068"/>
      <c r="B121068"/>
      <c r="C121068"/>
      <c r="E121068"/>
      <c r="F121068"/>
    </row>
    <row r="121069" spans="1:6" x14ac:dyDescent="0.25">
      <c r="A121069"/>
      <c r="B121069"/>
      <c r="C121069"/>
      <c r="E121069"/>
      <c r="F121069"/>
    </row>
    <row r="121070" spans="1:6" x14ac:dyDescent="0.25">
      <c r="A121070"/>
      <c r="B121070"/>
      <c r="C121070"/>
      <c r="E121070"/>
      <c r="F121070"/>
    </row>
    <row r="121071" spans="1:6" x14ac:dyDescent="0.25">
      <c r="A121071"/>
      <c r="B121071"/>
      <c r="C121071"/>
      <c r="E121071"/>
      <c r="F121071"/>
    </row>
    <row r="121072" spans="1:6" x14ac:dyDescent="0.25">
      <c r="A121072"/>
      <c r="B121072"/>
      <c r="C121072"/>
      <c r="E121072"/>
      <c r="F121072"/>
    </row>
    <row r="121073" spans="1:6" x14ac:dyDescent="0.25">
      <c r="A121073"/>
      <c r="B121073"/>
      <c r="C121073"/>
      <c r="E121073"/>
      <c r="F121073"/>
    </row>
    <row r="121074" spans="1:6" x14ac:dyDescent="0.25">
      <c r="A121074"/>
      <c r="B121074"/>
      <c r="C121074"/>
      <c r="E121074"/>
      <c r="F121074"/>
    </row>
    <row r="121075" spans="1:6" x14ac:dyDescent="0.25">
      <c r="A121075"/>
      <c r="B121075"/>
      <c r="C121075"/>
      <c r="E121075"/>
      <c r="F121075"/>
    </row>
    <row r="121076" spans="1:6" x14ac:dyDescent="0.25">
      <c r="A121076"/>
      <c r="B121076"/>
      <c r="C121076"/>
      <c r="E121076"/>
      <c r="F121076"/>
    </row>
    <row r="121077" spans="1:6" x14ac:dyDescent="0.25">
      <c r="A121077"/>
      <c r="B121077"/>
      <c r="C121077"/>
      <c r="E121077"/>
      <c r="F121077"/>
    </row>
    <row r="121078" spans="1:6" x14ac:dyDescent="0.25">
      <c r="A121078"/>
      <c r="B121078"/>
      <c r="C121078"/>
      <c r="E121078"/>
      <c r="F121078"/>
    </row>
    <row r="121079" spans="1:6" x14ac:dyDescent="0.25">
      <c r="A121079"/>
      <c r="B121079"/>
      <c r="C121079"/>
      <c r="E121079"/>
      <c r="F121079"/>
    </row>
    <row r="121080" spans="1:6" x14ac:dyDescent="0.25">
      <c r="A121080"/>
      <c r="B121080"/>
      <c r="C121080"/>
      <c r="E121080"/>
      <c r="F121080"/>
    </row>
    <row r="121081" spans="1:6" x14ac:dyDescent="0.25">
      <c r="A121081"/>
      <c r="B121081"/>
      <c r="C121081"/>
      <c r="E121081"/>
      <c r="F121081"/>
    </row>
    <row r="121082" spans="1:6" x14ac:dyDescent="0.25">
      <c r="A121082"/>
      <c r="B121082"/>
      <c r="C121082"/>
      <c r="E121082"/>
      <c r="F121082"/>
    </row>
    <row r="121083" spans="1:6" x14ac:dyDescent="0.25">
      <c r="A121083"/>
      <c r="B121083"/>
      <c r="C121083"/>
      <c r="E121083"/>
      <c r="F121083"/>
    </row>
    <row r="121084" spans="1:6" x14ac:dyDescent="0.25">
      <c r="A121084"/>
      <c r="B121084"/>
      <c r="C121084"/>
      <c r="E121084"/>
      <c r="F121084"/>
    </row>
    <row r="121085" spans="1:6" x14ac:dyDescent="0.25">
      <c r="A121085"/>
      <c r="B121085"/>
      <c r="C121085"/>
      <c r="E121085"/>
      <c r="F121085"/>
    </row>
    <row r="121086" spans="1:6" x14ac:dyDescent="0.25">
      <c r="A121086"/>
      <c r="B121086"/>
      <c r="C121086"/>
      <c r="E121086"/>
      <c r="F121086"/>
    </row>
    <row r="121087" spans="1:6" x14ac:dyDescent="0.25">
      <c r="A121087"/>
      <c r="B121087"/>
      <c r="C121087"/>
      <c r="E121087"/>
      <c r="F121087"/>
    </row>
    <row r="121088" spans="1:6" x14ac:dyDescent="0.25">
      <c r="A121088"/>
      <c r="B121088"/>
      <c r="C121088"/>
      <c r="E121088"/>
      <c r="F121088"/>
    </row>
    <row r="121089" spans="1:6" x14ac:dyDescent="0.25">
      <c r="A121089"/>
      <c r="B121089"/>
      <c r="C121089"/>
      <c r="E121089"/>
      <c r="F121089"/>
    </row>
    <row r="121090" spans="1:6" x14ac:dyDescent="0.25">
      <c r="A121090"/>
      <c r="B121090"/>
      <c r="C121090"/>
      <c r="E121090"/>
      <c r="F121090"/>
    </row>
    <row r="121091" spans="1:6" x14ac:dyDescent="0.25">
      <c r="A121091"/>
      <c r="B121091"/>
      <c r="C121091"/>
      <c r="E121091"/>
      <c r="F121091"/>
    </row>
    <row r="121092" spans="1:6" x14ac:dyDescent="0.25">
      <c r="A121092"/>
      <c r="B121092"/>
      <c r="C121092"/>
      <c r="E121092"/>
      <c r="F121092"/>
    </row>
    <row r="121093" spans="1:6" x14ac:dyDescent="0.25">
      <c r="A121093"/>
      <c r="B121093"/>
      <c r="C121093"/>
      <c r="E121093"/>
      <c r="F121093"/>
    </row>
    <row r="121094" spans="1:6" x14ac:dyDescent="0.25">
      <c r="A121094"/>
      <c r="B121094"/>
      <c r="C121094"/>
      <c r="E121094"/>
      <c r="F121094"/>
    </row>
    <row r="121095" spans="1:6" x14ac:dyDescent="0.25">
      <c r="A121095"/>
      <c r="B121095"/>
      <c r="C121095"/>
      <c r="E121095"/>
      <c r="F121095"/>
    </row>
    <row r="121096" spans="1:6" x14ac:dyDescent="0.25">
      <c r="A121096"/>
      <c r="B121096"/>
      <c r="C121096"/>
      <c r="E121096"/>
      <c r="F121096"/>
    </row>
    <row r="121097" spans="1:6" x14ac:dyDescent="0.25">
      <c r="A121097"/>
      <c r="B121097"/>
      <c r="C121097"/>
      <c r="E121097"/>
      <c r="F121097"/>
    </row>
    <row r="121098" spans="1:6" x14ac:dyDescent="0.25">
      <c r="A121098"/>
      <c r="B121098"/>
      <c r="C121098"/>
      <c r="E121098"/>
      <c r="F121098"/>
    </row>
    <row r="121099" spans="1:6" x14ac:dyDescent="0.25">
      <c r="A121099"/>
      <c r="B121099"/>
      <c r="C121099"/>
      <c r="E121099"/>
      <c r="F121099"/>
    </row>
    <row r="121100" spans="1:6" x14ac:dyDescent="0.25">
      <c r="A121100"/>
      <c r="B121100"/>
      <c r="C121100"/>
      <c r="E121100"/>
      <c r="F121100"/>
    </row>
    <row r="121101" spans="1:6" x14ac:dyDescent="0.25">
      <c r="A121101"/>
      <c r="B121101"/>
      <c r="C121101"/>
      <c r="E121101"/>
      <c r="F121101"/>
    </row>
    <row r="121102" spans="1:6" x14ac:dyDescent="0.25">
      <c r="A121102"/>
      <c r="B121102"/>
      <c r="C121102"/>
      <c r="E121102"/>
      <c r="F121102"/>
    </row>
    <row r="121103" spans="1:6" x14ac:dyDescent="0.25">
      <c r="A121103"/>
      <c r="B121103"/>
      <c r="C121103"/>
      <c r="E121103"/>
      <c r="F121103"/>
    </row>
    <row r="121104" spans="1:6" x14ac:dyDescent="0.25">
      <c r="A121104"/>
      <c r="B121104"/>
      <c r="C121104"/>
      <c r="E121104"/>
      <c r="F121104"/>
    </row>
    <row r="121105" spans="1:6" x14ac:dyDescent="0.25">
      <c r="A121105"/>
      <c r="B121105"/>
      <c r="C121105"/>
      <c r="E121105"/>
      <c r="F121105"/>
    </row>
    <row r="121106" spans="1:6" x14ac:dyDescent="0.25">
      <c r="A121106"/>
      <c r="B121106"/>
      <c r="C121106"/>
      <c r="E121106"/>
      <c r="F121106"/>
    </row>
    <row r="121107" spans="1:6" x14ac:dyDescent="0.25">
      <c r="A121107"/>
      <c r="B121107"/>
      <c r="C121107"/>
      <c r="E121107"/>
      <c r="F121107"/>
    </row>
    <row r="121108" spans="1:6" x14ac:dyDescent="0.25">
      <c r="A121108"/>
      <c r="B121108"/>
      <c r="C121108"/>
      <c r="E121108"/>
      <c r="F121108"/>
    </row>
    <row r="121109" spans="1:6" x14ac:dyDescent="0.25">
      <c r="A121109"/>
      <c r="B121109"/>
      <c r="C121109"/>
      <c r="E121109"/>
      <c r="F121109"/>
    </row>
    <row r="121110" spans="1:6" x14ac:dyDescent="0.25">
      <c r="A121110"/>
      <c r="B121110"/>
      <c r="C121110"/>
      <c r="E121110"/>
      <c r="F121110"/>
    </row>
    <row r="121111" spans="1:6" x14ac:dyDescent="0.25">
      <c r="A121111"/>
      <c r="B121111"/>
      <c r="C121111"/>
      <c r="E121111"/>
      <c r="F121111"/>
    </row>
    <row r="121112" spans="1:6" x14ac:dyDescent="0.25">
      <c r="A121112"/>
      <c r="B121112"/>
      <c r="C121112"/>
      <c r="E121112"/>
      <c r="F121112"/>
    </row>
    <row r="121113" spans="1:6" x14ac:dyDescent="0.25">
      <c r="A121113"/>
      <c r="B121113"/>
      <c r="C121113"/>
      <c r="E121113"/>
      <c r="F121113"/>
    </row>
    <row r="121114" spans="1:6" x14ac:dyDescent="0.25">
      <c r="A121114"/>
      <c r="B121114"/>
      <c r="C121114"/>
      <c r="E121114"/>
      <c r="F121114"/>
    </row>
    <row r="121115" spans="1:6" x14ac:dyDescent="0.25">
      <c r="A121115"/>
      <c r="B121115"/>
      <c r="C121115"/>
      <c r="E121115"/>
      <c r="F121115"/>
    </row>
    <row r="121116" spans="1:6" x14ac:dyDescent="0.25">
      <c r="A121116"/>
      <c r="B121116"/>
      <c r="C121116"/>
      <c r="E121116"/>
      <c r="F121116"/>
    </row>
    <row r="121117" spans="1:6" x14ac:dyDescent="0.25">
      <c r="A121117"/>
      <c r="B121117"/>
      <c r="C121117"/>
      <c r="E121117"/>
      <c r="F121117"/>
    </row>
    <row r="121118" spans="1:6" x14ac:dyDescent="0.25">
      <c r="A121118"/>
      <c r="B121118"/>
      <c r="C121118"/>
      <c r="E121118"/>
      <c r="F121118"/>
    </row>
    <row r="121119" spans="1:6" x14ac:dyDescent="0.25">
      <c r="A121119"/>
      <c r="B121119"/>
      <c r="C121119"/>
      <c r="E121119"/>
      <c r="F121119"/>
    </row>
    <row r="121120" spans="1:6" x14ac:dyDescent="0.25">
      <c r="A121120"/>
      <c r="B121120"/>
      <c r="C121120"/>
      <c r="E121120"/>
      <c r="F121120"/>
    </row>
    <row r="121121" spans="1:6" x14ac:dyDescent="0.25">
      <c r="A121121"/>
      <c r="B121121"/>
      <c r="C121121"/>
      <c r="E121121"/>
      <c r="F121121"/>
    </row>
    <row r="121122" spans="1:6" x14ac:dyDescent="0.25">
      <c r="A121122"/>
      <c r="B121122"/>
      <c r="C121122"/>
      <c r="E121122"/>
      <c r="F121122"/>
    </row>
    <row r="121123" spans="1:6" x14ac:dyDescent="0.25">
      <c r="A121123"/>
      <c r="B121123"/>
      <c r="C121123"/>
      <c r="E121123"/>
      <c r="F121123"/>
    </row>
    <row r="121124" spans="1:6" x14ac:dyDescent="0.25">
      <c r="A121124"/>
      <c r="B121124"/>
      <c r="C121124"/>
      <c r="E121124"/>
      <c r="F121124"/>
    </row>
    <row r="121125" spans="1:6" x14ac:dyDescent="0.25">
      <c r="A121125"/>
      <c r="B121125"/>
      <c r="C121125"/>
      <c r="E121125"/>
      <c r="F121125"/>
    </row>
    <row r="121126" spans="1:6" x14ac:dyDescent="0.25">
      <c r="A121126"/>
      <c r="B121126"/>
      <c r="C121126"/>
      <c r="E121126"/>
      <c r="F121126"/>
    </row>
    <row r="121127" spans="1:6" x14ac:dyDescent="0.25">
      <c r="A121127"/>
      <c r="B121127"/>
      <c r="C121127"/>
      <c r="E121127"/>
      <c r="F121127"/>
    </row>
    <row r="121128" spans="1:6" x14ac:dyDescent="0.25">
      <c r="A121128"/>
      <c r="B121128"/>
      <c r="C121128"/>
      <c r="E121128"/>
      <c r="F121128"/>
    </row>
    <row r="121129" spans="1:6" x14ac:dyDescent="0.25">
      <c r="A121129"/>
      <c r="B121129"/>
      <c r="C121129"/>
      <c r="E121129"/>
      <c r="F121129"/>
    </row>
    <row r="121130" spans="1:6" x14ac:dyDescent="0.25">
      <c r="A121130"/>
      <c r="B121130"/>
      <c r="C121130"/>
      <c r="E121130"/>
      <c r="F121130"/>
    </row>
    <row r="121131" spans="1:6" x14ac:dyDescent="0.25">
      <c r="A121131"/>
      <c r="B121131"/>
      <c r="C121131"/>
      <c r="E121131"/>
      <c r="F121131"/>
    </row>
    <row r="121132" spans="1:6" x14ac:dyDescent="0.25">
      <c r="A121132"/>
      <c r="B121132"/>
      <c r="C121132"/>
      <c r="E121132"/>
      <c r="F121132"/>
    </row>
    <row r="121133" spans="1:6" x14ac:dyDescent="0.25">
      <c r="A121133"/>
      <c r="B121133"/>
      <c r="C121133"/>
      <c r="E121133"/>
      <c r="F121133"/>
    </row>
    <row r="121134" spans="1:6" x14ac:dyDescent="0.25">
      <c r="A121134"/>
      <c r="B121134"/>
      <c r="C121134"/>
      <c r="E121134"/>
      <c r="F121134"/>
    </row>
    <row r="121135" spans="1:6" x14ac:dyDescent="0.25">
      <c r="A121135"/>
      <c r="B121135"/>
      <c r="C121135"/>
      <c r="E121135"/>
      <c r="F121135"/>
    </row>
    <row r="121136" spans="1:6" x14ac:dyDescent="0.25">
      <c r="A121136"/>
      <c r="B121136"/>
      <c r="C121136"/>
      <c r="E121136"/>
      <c r="F121136"/>
    </row>
    <row r="121137" spans="1:6" x14ac:dyDescent="0.25">
      <c r="A121137"/>
      <c r="B121137"/>
      <c r="C121137"/>
      <c r="E121137"/>
      <c r="F121137"/>
    </row>
    <row r="121138" spans="1:6" x14ac:dyDescent="0.25">
      <c r="A121138"/>
      <c r="B121138"/>
      <c r="C121138"/>
      <c r="E121138"/>
      <c r="F121138"/>
    </row>
    <row r="121139" spans="1:6" x14ac:dyDescent="0.25">
      <c r="A121139"/>
      <c r="B121139"/>
      <c r="C121139"/>
      <c r="E121139"/>
      <c r="F121139"/>
    </row>
    <row r="121140" spans="1:6" x14ac:dyDescent="0.25">
      <c r="A121140"/>
      <c r="B121140"/>
      <c r="C121140"/>
      <c r="E121140"/>
      <c r="F121140"/>
    </row>
    <row r="121141" spans="1:6" x14ac:dyDescent="0.25">
      <c r="A121141"/>
      <c r="B121141"/>
      <c r="C121141"/>
      <c r="E121141"/>
      <c r="F121141"/>
    </row>
    <row r="121142" spans="1:6" x14ac:dyDescent="0.25">
      <c r="A121142"/>
      <c r="B121142"/>
      <c r="C121142"/>
      <c r="E121142"/>
      <c r="F121142"/>
    </row>
    <row r="121143" spans="1:6" x14ac:dyDescent="0.25">
      <c r="A121143"/>
      <c r="B121143"/>
      <c r="C121143"/>
      <c r="E121143"/>
      <c r="F121143"/>
    </row>
    <row r="121144" spans="1:6" x14ac:dyDescent="0.25">
      <c r="A121144"/>
      <c r="B121144"/>
      <c r="C121144"/>
      <c r="E121144"/>
      <c r="F121144"/>
    </row>
    <row r="121145" spans="1:6" x14ac:dyDescent="0.25">
      <c r="A121145"/>
      <c r="B121145"/>
      <c r="C121145"/>
      <c r="E121145"/>
      <c r="F121145"/>
    </row>
    <row r="121146" spans="1:6" x14ac:dyDescent="0.25">
      <c r="A121146"/>
      <c r="B121146"/>
      <c r="C121146"/>
      <c r="E121146"/>
      <c r="F121146"/>
    </row>
    <row r="121147" spans="1:6" x14ac:dyDescent="0.25">
      <c r="A121147"/>
      <c r="B121147"/>
      <c r="C121147"/>
      <c r="E121147"/>
      <c r="F121147"/>
    </row>
    <row r="121148" spans="1:6" x14ac:dyDescent="0.25">
      <c r="A121148"/>
      <c r="B121148"/>
      <c r="C121148"/>
      <c r="E121148"/>
      <c r="F121148"/>
    </row>
    <row r="121149" spans="1:6" x14ac:dyDescent="0.25">
      <c r="A121149"/>
      <c r="B121149"/>
      <c r="C121149"/>
      <c r="E121149"/>
      <c r="F121149"/>
    </row>
    <row r="121150" spans="1:6" x14ac:dyDescent="0.25">
      <c r="A121150"/>
      <c r="B121150"/>
      <c r="C121150"/>
      <c r="E121150"/>
      <c r="F121150"/>
    </row>
    <row r="121151" spans="1:6" x14ac:dyDescent="0.25">
      <c r="A121151"/>
      <c r="B121151"/>
      <c r="C121151"/>
      <c r="E121151"/>
      <c r="F121151"/>
    </row>
    <row r="121152" spans="1:6" x14ac:dyDescent="0.25">
      <c r="A121152"/>
      <c r="B121152"/>
      <c r="C121152"/>
      <c r="E121152"/>
      <c r="F121152"/>
    </row>
    <row r="121153" spans="1:6" x14ac:dyDescent="0.25">
      <c r="A121153"/>
      <c r="B121153"/>
      <c r="C121153"/>
      <c r="E121153"/>
      <c r="F121153"/>
    </row>
    <row r="121154" spans="1:6" x14ac:dyDescent="0.25">
      <c r="A121154"/>
      <c r="B121154"/>
      <c r="C121154"/>
      <c r="E121154"/>
      <c r="F121154"/>
    </row>
    <row r="121155" spans="1:6" x14ac:dyDescent="0.25">
      <c r="A121155"/>
      <c r="B121155"/>
      <c r="C121155"/>
      <c r="E121155"/>
      <c r="F121155"/>
    </row>
    <row r="121156" spans="1:6" x14ac:dyDescent="0.25">
      <c r="A121156"/>
      <c r="B121156"/>
      <c r="C121156"/>
      <c r="E121156"/>
      <c r="F121156"/>
    </row>
    <row r="121157" spans="1:6" x14ac:dyDescent="0.25">
      <c r="A121157"/>
      <c r="B121157"/>
      <c r="C121157"/>
      <c r="E121157"/>
      <c r="F121157"/>
    </row>
    <row r="121158" spans="1:6" x14ac:dyDescent="0.25">
      <c r="A121158"/>
      <c r="B121158"/>
      <c r="C121158"/>
      <c r="E121158"/>
      <c r="F121158"/>
    </row>
    <row r="121159" spans="1:6" x14ac:dyDescent="0.25">
      <c r="A121159"/>
      <c r="B121159"/>
      <c r="C121159"/>
      <c r="E121159"/>
      <c r="F121159"/>
    </row>
    <row r="121160" spans="1:6" x14ac:dyDescent="0.25">
      <c r="A121160"/>
      <c r="B121160"/>
      <c r="C121160"/>
      <c r="E121160"/>
      <c r="F121160"/>
    </row>
    <row r="121161" spans="1:6" x14ac:dyDescent="0.25">
      <c r="A121161"/>
      <c r="B121161"/>
      <c r="C121161"/>
      <c r="E121161"/>
      <c r="F121161"/>
    </row>
    <row r="121162" spans="1:6" x14ac:dyDescent="0.25">
      <c r="A121162"/>
      <c r="B121162"/>
      <c r="C121162"/>
      <c r="E121162"/>
      <c r="F121162"/>
    </row>
    <row r="121163" spans="1:6" x14ac:dyDescent="0.25">
      <c r="A121163"/>
      <c r="B121163"/>
      <c r="C121163"/>
      <c r="E121163"/>
      <c r="F121163"/>
    </row>
    <row r="121164" spans="1:6" x14ac:dyDescent="0.25">
      <c r="A121164"/>
      <c r="B121164"/>
      <c r="C121164"/>
      <c r="E121164"/>
      <c r="F121164"/>
    </row>
    <row r="121165" spans="1:6" x14ac:dyDescent="0.25">
      <c r="A121165"/>
      <c r="B121165"/>
      <c r="C121165"/>
      <c r="E121165"/>
      <c r="F121165"/>
    </row>
    <row r="121166" spans="1:6" x14ac:dyDescent="0.25">
      <c r="A121166"/>
      <c r="B121166"/>
      <c r="C121166"/>
      <c r="E121166"/>
      <c r="F121166"/>
    </row>
    <row r="121167" spans="1:6" x14ac:dyDescent="0.25">
      <c r="A121167"/>
      <c r="B121167"/>
      <c r="C121167"/>
      <c r="E121167"/>
      <c r="F121167"/>
    </row>
    <row r="121168" spans="1:6" x14ac:dyDescent="0.25">
      <c r="A121168"/>
      <c r="B121168"/>
      <c r="C121168"/>
      <c r="E121168"/>
      <c r="F121168"/>
    </row>
    <row r="121169" spans="1:6" x14ac:dyDescent="0.25">
      <c r="A121169"/>
      <c r="B121169"/>
      <c r="C121169"/>
      <c r="E121169"/>
      <c r="F121169"/>
    </row>
    <row r="121170" spans="1:6" x14ac:dyDescent="0.25">
      <c r="A121170"/>
      <c r="B121170"/>
      <c r="C121170"/>
      <c r="E121170"/>
      <c r="F121170"/>
    </row>
    <row r="121171" spans="1:6" x14ac:dyDescent="0.25">
      <c r="A121171"/>
      <c r="B121171"/>
      <c r="C121171"/>
      <c r="E121171"/>
      <c r="F121171"/>
    </row>
    <row r="121172" spans="1:6" x14ac:dyDescent="0.25">
      <c r="A121172"/>
      <c r="B121172"/>
      <c r="C121172"/>
      <c r="E121172"/>
      <c r="F121172"/>
    </row>
    <row r="121173" spans="1:6" x14ac:dyDescent="0.25">
      <c r="A121173"/>
      <c r="B121173"/>
      <c r="C121173"/>
      <c r="E121173"/>
      <c r="F121173"/>
    </row>
    <row r="121174" spans="1:6" x14ac:dyDescent="0.25">
      <c r="A121174"/>
      <c r="B121174"/>
      <c r="C121174"/>
      <c r="E121174"/>
      <c r="F121174"/>
    </row>
    <row r="121175" spans="1:6" x14ac:dyDescent="0.25">
      <c r="A121175"/>
      <c r="B121175"/>
      <c r="C121175"/>
      <c r="E121175"/>
      <c r="F121175"/>
    </row>
    <row r="121176" spans="1:6" x14ac:dyDescent="0.25">
      <c r="A121176"/>
      <c r="B121176"/>
      <c r="C121176"/>
      <c r="E121176"/>
      <c r="F121176"/>
    </row>
    <row r="121177" spans="1:6" x14ac:dyDescent="0.25">
      <c r="A121177"/>
      <c r="B121177"/>
      <c r="C121177"/>
      <c r="E121177"/>
      <c r="F121177"/>
    </row>
    <row r="121178" spans="1:6" x14ac:dyDescent="0.25">
      <c r="A121178"/>
      <c r="B121178"/>
      <c r="C121178"/>
      <c r="E121178"/>
      <c r="F121178"/>
    </row>
    <row r="121179" spans="1:6" x14ac:dyDescent="0.25">
      <c r="A121179"/>
      <c r="B121179"/>
      <c r="C121179"/>
      <c r="E121179"/>
      <c r="F121179"/>
    </row>
    <row r="121180" spans="1:6" x14ac:dyDescent="0.25">
      <c r="A121180"/>
      <c r="B121180"/>
      <c r="C121180"/>
      <c r="E121180"/>
      <c r="F121180"/>
    </row>
    <row r="121181" spans="1:6" x14ac:dyDescent="0.25">
      <c r="A121181"/>
      <c r="B121181"/>
      <c r="C121181"/>
      <c r="E121181"/>
      <c r="F121181"/>
    </row>
    <row r="121182" spans="1:6" x14ac:dyDescent="0.25">
      <c r="A121182"/>
      <c r="B121182"/>
      <c r="C121182"/>
      <c r="E121182"/>
      <c r="F121182"/>
    </row>
    <row r="121183" spans="1:6" x14ac:dyDescent="0.25">
      <c r="A121183"/>
      <c r="B121183"/>
      <c r="C121183"/>
      <c r="E121183"/>
      <c r="F121183"/>
    </row>
    <row r="121184" spans="1:6" x14ac:dyDescent="0.25">
      <c r="A121184"/>
      <c r="B121184"/>
      <c r="C121184"/>
      <c r="E121184"/>
      <c r="F121184"/>
    </row>
    <row r="121185" spans="1:6" x14ac:dyDescent="0.25">
      <c r="A121185"/>
      <c r="B121185"/>
      <c r="C121185"/>
      <c r="E121185"/>
      <c r="F121185"/>
    </row>
    <row r="121186" spans="1:6" x14ac:dyDescent="0.25">
      <c r="A121186"/>
      <c r="B121186"/>
      <c r="C121186"/>
      <c r="E121186"/>
      <c r="F121186"/>
    </row>
    <row r="121187" spans="1:6" x14ac:dyDescent="0.25">
      <c r="A121187"/>
      <c r="B121187"/>
      <c r="C121187"/>
      <c r="E121187"/>
      <c r="F121187"/>
    </row>
    <row r="121188" spans="1:6" x14ac:dyDescent="0.25">
      <c r="A121188"/>
      <c r="B121188"/>
      <c r="C121188"/>
      <c r="E121188"/>
      <c r="F121188"/>
    </row>
    <row r="121189" spans="1:6" x14ac:dyDescent="0.25">
      <c r="A121189"/>
      <c r="B121189"/>
      <c r="C121189"/>
      <c r="E121189"/>
      <c r="F121189"/>
    </row>
    <row r="121190" spans="1:6" x14ac:dyDescent="0.25">
      <c r="A121190"/>
      <c r="B121190"/>
      <c r="C121190"/>
      <c r="E121190"/>
      <c r="F121190"/>
    </row>
    <row r="121191" spans="1:6" x14ac:dyDescent="0.25">
      <c r="A121191"/>
      <c r="B121191"/>
      <c r="C121191"/>
      <c r="E121191"/>
      <c r="F121191"/>
    </row>
    <row r="121192" spans="1:6" x14ac:dyDescent="0.25">
      <c r="A121192"/>
      <c r="B121192"/>
      <c r="C121192"/>
      <c r="E121192"/>
      <c r="F121192"/>
    </row>
    <row r="121193" spans="1:6" x14ac:dyDescent="0.25">
      <c r="A121193"/>
      <c r="B121193"/>
      <c r="C121193"/>
      <c r="E121193"/>
      <c r="F121193"/>
    </row>
    <row r="121194" spans="1:6" x14ac:dyDescent="0.25">
      <c r="A121194"/>
      <c r="B121194"/>
      <c r="C121194"/>
      <c r="E121194"/>
      <c r="F121194"/>
    </row>
    <row r="121195" spans="1:6" x14ac:dyDescent="0.25">
      <c r="A121195"/>
      <c r="B121195"/>
      <c r="C121195"/>
      <c r="E121195"/>
      <c r="F121195"/>
    </row>
    <row r="121196" spans="1:6" x14ac:dyDescent="0.25">
      <c r="A121196"/>
      <c r="B121196"/>
      <c r="C121196"/>
      <c r="E121196"/>
      <c r="F121196"/>
    </row>
    <row r="121197" spans="1:6" x14ac:dyDescent="0.25">
      <c r="A121197"/>
      <c r="B121197"/>
      <c r="C121197"/>
      <c r="E121197"/>
      <c r="F121197"/>
    </row>
    <row r="121198" spans="1:6" x14ac:dyDescent="0.25">
      <c r="A121198"/>
      <c r="B121198"/>
      <c r="C121198"/>
      <c r="E121198"/>
      <c r="F121198"/>
    </row>
    <row r="121199" spans="1:6" x14ac:dyDescent="0.25">
      <c r="A121199"/>
      <c r="B121199"/>
      <c r="C121199"/>
      <c r="E121199"/>
      <c r="F121199"/>
    </row>
    <row r="121200" spans="1:6" x14ac:dyDescent="0.25">
      <c r="A121200"/>
      <c r="B121200"/>
      <c r="C121200"/>
      <c r="E121200"/>
      <c r="F121200"/>
    </row>
    <row r="121201" spans="1:6" x14ac:dyDescent="0.25">
      <c r="A121201"/>
      <c r="B121201"/>
      <c r="C121201"/>
      <c r="E121201"/>
      <c r="F121201"/>
    </row>
    <row r="121202" spans="1:6" x14ac:dyDescent="0.25">
      <c r="A121202"/>
      <c r="B121202"/>
      <c r="C121202"/>
      <c r="E121202"/>
      <c r="F121202"/>
    </row>
    <row r="121203" spans="1:6" x14ac:dyDescent="0.25">
      <c r="A121203"/>
      <c r="B121203"/>
      <c r="C121203"/>
      <c r="E121203"/>
      <c r="F121203"/>
    </row>
    <row r="121204" spans="1:6" x14ac:dyDescent="0.25">
      <c r="A121204"/>
      <c r="B121204"/>
      <c r="C121204"/>
      <c r="E121204"/>
      <c r="F121204"/>
    </row>
    <row r="121205" spans="1:6" x14ac:dyDescent="0.25">
      <c r="A121205"/>
      <c r="B121205"/>
      <c r="C121205"/>
      <c r="E121205"/>
      <c r="F121205"/>
    </row>
    <row r="121206" spans="1:6" x14ac:dyDescent="0.25">
      <c r="A121206"/>
      <c r="B121206"/>
      <c r="C121206"/>
      <c r="E121206"/>
      <c r="F121206"/>
    </row>
    <row r="121207" spans="1:6" x14ac:dyDescent="0.25">
      <c r="A121207"/>
      <c r="B121207"/>
      <c r="C121207"/>
      <c r="E121207"/>
      <c r="F121207"/>
    </row>
    <row r="121208" spans="1:6" x14ac:dyDescent="0.25">
      <c r="A121208"/>
      <c r="B121208"/>
      <c r="C121208"/>
      <c r="E121208"/>
      <c r="F121208"/>
    </row>
    <row r="121209" spans="1:6" x14ac:dyDescent="0.25">
      <c r="A121209"/>
      <c r="B121209"/>
      <c r="C121209"/>
      <c r="E121209"/>
      <c r="F121209"/>
    </row>
    <row r="121210" spans="1:6" x14ac:dyDescent="0.25">
      <c r="A121210"/>
      <c r="B121210"/>
      <c r="C121210"/>
      <c r="E121210"/>
      <c r="F121210"/>
    </row>
    <row r="121211" spans="1:6" x14ac:dyDescent="0.25">
      <c r="A121211"/>
      <c r="B121211"/>
      <c r="C121211"/>
      <c r="E121211"/>
      <c r="F121211"/>
    </row>
    <row r="121212" spans="1:6" x14ac:dyDescent="0.25">
      <c r="A121212"/>
      <c r="B121212"/>
      <c r="C121212"/>
      <c r="E121212"/>
      <c r="F121212"/>
    </row>
    <row r="121213" spans="1:6" x14ac:dyDescent="0.25">
      <c r="A121213"/>
      <c r="B121213"/>
      <c r="C121213"/>
      <c r="E121213"/>
      <c r="F121213"/>
    </row>
    <row r="121214" spans="1:6" x14ac:dyDescent="0.25">
      <c r="A121214"/>
      <c r="B121214"/>
      <c r="C121214"/>
      <c r="E121214"/>
      <c r="F121214"/>
    </row>
    <row r="121215" spans="1:6" x14ac:dyDescent="0.25">
      <c r="A121215"/>
      <c r="B121215"/>
      <c r="C121215"/>
      <c r="E121215"/>
      <c r="F121215"/>
    </row>
    <row r="121216" spans="1:6" x14ac:dyDescent="0.25">
      <c r="A121216"/>
      <c r="B121216"/>
      <c r="C121216"/>
      <c r="E121216"/>
      <c r="F121216"/>
    </row>
    <row r="121217" spans="1:6" x14ac:dyDescent="0.25">
      <c r="A121217"/>
      <c r="B121217"/>
      <c r="C121217"/>
      <c r="E121217"/>
      <c r="F121217"/>
    </row>
    <row r="121218" spans="1:6" x14ac:dyDescent="0.25">
      <c r="A121218"/>
      <c r="B121218"/>
      <c r="C121218"/>
      <c r="E121218"/>
      <c r="F121218"/>
    </row>
    <row r="121219" spans="1:6" x14ac:dyDescent="0.25">
      <c r="A121219"/>
      <c r="B121219"/>
      <c r="C121219"/>
      <c r="E121219"/>
      <c r="F121219"/>
    </row>
    <row r="121220" spans="1:6" x14ac:dyDescent="0.25">
      <c r="A121220"/>
      <c r="B121220"/>
      <c r="C121220"/>
      <c r="E121220"/>
      <c r="F121220"/>
    </row>
    <row r="121221" spans="1:6" x14ac:dyDescent="0.25">
      <c r="A121221"/>
      <c r="B121221"/>
      <c r="C121221"/>
      <c r="E121221"/>
      <c r="F121221"/>
    </row>
    <row r="121222" spans="1:6" x14ac:dyDescent="0.25">
      <c r="A121222"/>
      <c r="B121222"/>
      <c r="C121222"/>
      <c r="E121222"/>
      <c r="F121222"/>
    </row>
    <row r="121223" spans="1:6" x14ac:dyDescent="0.25">
      <c r="A121223"/>
      <c r="B121223"/>
      <c r="C121223"/>
      <c r="E121223"/>
      <c r="F121223"/>
    </row>
    <row r="121224" spans="1:6" x14ac:dyDescent="0.25">
      <c r="A121224"/>
      <c r="B121224"/>
      <c r="C121224"/>
      <c r="E121224"/>
      <c r="F121224"/>
    </row>
    <row r="121225" spans="1:6" x14ac:dyDescent="0.25">
      <c r="A121225"/>
      <c r="B121225"/>
      <c r="C121225"/>
      <c r="E121225"/>
      <c r="F121225"/>
    </row>
    <row r="121226" spans="1:6" x14ac:dyDescent="0.25">
      <c r="A121226"/>
      <c r="B121226"/>
      <c r="C121226"/>
      <c r="E121226"/>
      <c r="F121226"/>
    </row>
    <row r="121227" spans="1:6" x14ac:dyDescent="0.25">
      <c r="A121227"/>
      <c r="B121227"/>
      <c r="C121227"/>
      <c r="E121227"/>
      <c r="F121227"/>
    </row>
    <row r="121228" spans="1:6" x14ac:dyDescent="0.25">
      <c r="A121228"/>
      <c r="B121228"/>
      <c r="C121228"/>
      <c r="E121228"/>
      <c r="F121228"/>
    </row>
    <row r="121229" spans="1:6" x14ac:dyDescent="0.25">
      <c r="A121229"/>
      <c r="B121229"/>
      <c r="C121229"/>
      <c r="E121229"/>
      <c r="F121229"/>
    </row>
    <row r="121230" spans="1:6" x14ac:dyDescent="0.25">
      <c r="A121230"/>
      <c r="B121230"/>
      <c r="C121230"/>
      <c r="E121230"/>
      <c r="F121230"/>
    </row>
    <row r="121231" spans="1:6" x14ac:dyDescent="0.25">
      <c r="A121231"/>
      <c r="B121231"/>
      <c r="C121231"/>
      <c r="E121231"/>
      <c r="F121231"/>
    </row>
    <row r="121232" spans="1:6" x14ac:dyDescent="0.25">
      <c r="A121232"/>
      <c r="B121232"/>
      <c r="C121232"/>
      <c r="E121232"/>
      <c r="F121232"/>
    </row>
    <row r="121233" spans="1:6" x14ac:dyDescent="0.25">
      <c r="A121233"/>
      <c r="B121233"/>
      <c r="C121233"/>
      <c r="E121233"/>
      <c r="F121233"/>
    </row>
    <row r="121234" spans="1:6" x14ac:dyDescent="0.25">
      <c r="A121234"/>
      <c r="B121234"/>
      <c r="C121234"/>
      <c r="E121234"/>
      <c r="F121234"/>
    </row>
    <row r="121235" spans="1:6" x14ac:dyDescent="0.25">
      <c r="A121235"/>
      <c r="B121235"/>
      <c r="C121235"/>
      <c r="E121235"/>
      <c r="F121235"/>
    </row>
    <row r="121236" spans="1:6" x14ac:dyDescent="0.25">
      <c r="A121236"/>
      <c r="B121236"/>
      <c r="C121236"/>
      <c r="E121236"/>
      <c r="F121236"/>
    </row>
    <row r="121237" spans="1:6" x14ac:dyDescent="0.25">
      <c r="A121237"/>
      <c r="B121237"/>
      <c r="C121237"/>
      <c r="E121237"/>
      <c r="F121237"/>
    </row>
    <row r="121238" spans="1:6" x14ac:dyDescent="0.25">
      <c r="A121238"/>
      <c r="B121238"/>
      <c r="C121238"/>
      <c r="E121238"/>
      <c r="F121238"/>
    </row>
    <row r="121239" spans="1:6" x14ac:dyDescent="0.25">
      <c r="A121239"/>
      <c r="B121239"/>
      <c r="C121239"/>
      <c r="E121239"/>
      <c r="F121239"/>
    </row>
    <row r="121240" spans="1:6" x14ac:dyDescent="0.25">
      <c r="A121240"/>
      <c r="B121240"/>
      <c r="C121240"/>
      <c r="E121240"/>
      <c r="F121240"/>
    </row>
    <row r="121241" spans="1:6" x14ac:dyDescent="0.25">
      <c r="A121241"/>
      <c r="B121241"/>
      <c r="C121241"/>
      <c r="E121241"/>
      <c r="F121241"/>
    </row>
    <row r="121242" spans="1:6" x14ac:dyDescent="0.25">
      <c r="A121242"/>
      <c r="B121242"/>
      <c r="C121242"/>
      <c r="E121242"/>
      <c r="F121242"/>
    </row>
    <row r="121243" spans="1:6" x14ac:dyDescent="0.25">
      <c r="A121243"/>
      <c r="B121243"/>
      <c r="C121243"/>
      <c r="E121243"/>
      <c r="F121243"/>
    </row>
    <row r="121244" spans="1:6" x14ac:dyDescent="0.25">
      <c r="A121244"/>
      <c r="B121244"/>
      <c r="C121244"/>
      <c r="E121244"/>
      <c r="F121244"/>
    </row>
    <row r="121245" spans="1:6" x14ac:dyDescent="0.25">
      <c r="A121245"/>
      <c r="B121245"/>
      <c r="C121245"/>
      <c r="E121245"/>
      <c r="F121245"/>
    </row>
    <row r="121246" spans="1:6" x14ac:dyDescent="0.25">
      <c r="A121246"/>
      <c r="B121246"/>
      <c r="C121246"/>
      <c r="E121246"/>
      <c r="F121246"/>
    </row>
    <row r="121247" spans="1:6" x14ac:dyDescent="0.25">
      <c r="A121247"/>
      <c r="B121247"/>
      <c r="C121247"/>
      <c r="E121247"/>
      <c r="F121247"/>
    </row>
    <row r="121248" spans="1:6" x14ac:dyDescent="0.25">
      <c r="A121248"/>
      <c r="B121248"/>
      <c r="C121248"/>
      <c r="E121248"/>
      <c r="F121248"/>
    </row>
    <row r="121249" spans="1:6" x14ac:dyDescent="0.25">
      <c r="A121249"/>
      <c r="B121249"/>
      <c r="C121249"/>
      <c r="E121249"/>
      <c r="F121249"/>
    </row>
    <row r="121250" spans="1:6" x14ac:dyDescent="0.25">
      <c r="A121250"/>
      <c r="B121250"/>
      <c r="C121250"/>
      <c r="E121250"/>
      <c r="F121250"/>
    </row>
    <row r="121251" spans="1:6" x14ac:dyDescent="0.25">
      <c r="A121251"/>
      <c r="B121251"/>
      <c r="C121251"/>
      <c r="E121251"/>
      <c r="F121251"/>
    </row>
    <row r="121252" spans="1:6" x14ac:dyDescent="0.25">
      <c r="A121252"/>
      <c r="B121252"/>
      <c r="C121252"/>
      <c r="E121252"/>
      <c r="F121252"/>
    </row>
    <row r="121253" spans="1:6" x14ac:dyDescent="0.25">
      <c r="A121253"/>
      <c r="B121253"/>
      <c r="C121253"/>
      <c r="E121253"/>
      <c r="F121253"/>
    </row>
    <row r="121254" spans="1:6" x14ac:dyDescent="0.25">
      <c r="A121254"/>
      <c r="B121254"/>
      <c r="C121254"/>
      <c r="E121254"/>
      <c r="F121254"/>
    </row>
    <row r="121255" spans="1:6" x14ac:dyDescent="0.25">
      <c r="A121255"/>
      <c r="B121255"/>
      <c r="C121255"/>
      <c r="E121255"/>
      <c r="F121255"/>
    </row>
    <row r="121256" spans="1:6" x14ac:dyDescent="0.25">
      <c r="A121256"/>
      <c r="B121256"/>
      <c r="C121256"/>
      <c r="E121256"/>
      <c r="F121256"/>
    </row>
    <row r="121257" spans="1:6" x14ac:dyDescent="0.25">
      <c r="A121257"/>
      <c r="B121257"/>
      <c r="C121257"/>
      <c r="E121257"/>
      <c r="F121257"/>
    </row>
    <row r="121258" spans="1:6" x14ac:dyDescent="0.25">
      <c r="A121258"/>
      <c r="B121258"/>
      <c r="C121258"/>
      <c r="E121258"/>
      <c r="F121258"/>
    </row>
    <row r="121259" spans="1:6" x14ac:dyDescent="0.25">
      <c r="A121259"/>
      <c r="B121259"/>
      <c r="C121259"/>
      <c r="E121259"/>
      <c r="F121259"/>
    </row>
    <row r="121260" spans="1:6" x14ac:dyDescent="0.25">
      <c r="A121260"/>
      <c r="B121260"/>
      <c r="C121260"/>
      <c r="E121260"/>
      <c r="F121260"/>
    </row>
    <row r="121261" spans="1:6" x14ac:dyDescent="0.25">
      <c r="A121261"/>
      <c r="B121261"/>
      <c r="C121261"/>
      <c r="E121261"/>
      <c r="F121261"/>
    </row>
    <row r="121262" spans="1:6" x14ac:dyDescent="0.25">
      <c r="A121262"/>
      <c r="B121262"/>
      <c r="C121262"/>
      <c r="E121262"/>
      <c r="F121262"/>
    </row>
    <row r="121263" spans="1:6" x14ac:dyDescent="0.25">
      <c r="A121263"/>
      <c r="B121263"/>
      <c r="C121263"/>
      <c r="E121263"/>
      <c r="F121263"/>
    </row>
    <row r="121264" spans="1:6" x14ac:dyDescent="0.25">
      <c r="A121264"/>
      <c r="B121264"/>
      <c r="C121264"/>
      <c r="E121264"/>
      <c r="F121264"/>
    </row>
    <row r="121265" spans="1:6" x14ac:dyDescent="0.25">
      <c r="A121265"/>
      <c r="B121265"/>
      <c r="C121265"/>
      <c r="E121265"/>
      <c r="F121265"/>
    </row>
    <row r="121266" spans="1:6" x14ac:dyDescent="0.25">
      <c r="A121266"/>
      <c r="B121266"/>
      <c r="C121266"/>
      <c r="E121266"/>
      <c r="F121266"/>
    </row>
    <row r="121267" spans="1:6" x14ac:dyDescent="0.25">
      <c r="A121267"/>
      <c r="B121267"/>
      <c r="C121267"/>
      <c r="E121267"/>
      <c r="F121267"/>
    </row>
    <row r="121268" spans="1:6" x14ac:dyDescent="0.25">
      <c r="A121268"/>
      <c r="B121268"/>
      <c r="C121268"/>
      <c r="E121268"/>
      <c r="F121268"/>
    </row>
    <row r="121269" spans="1:6" x14ac:dyDescent="0.25">
      <c r="A121269"/>
      <c r="B121269"/>
      <c r="C121269"/>
      <c r="E121269"/>
      <c r="F121269"/>
    </row>
    <row r="121270" spans="1:6" x14ac:dyDescent="0.25">
      <c r="A121270"/>
      <c r="B121270"/>
      <c r="C121270"/>
      <c r="E121270"/>
      <c r="F121270"/>
    </row>
    <row r="121271" spans="1:6" x14ac:dyDescent="0.25">
      <c r="A121271"/>
      <c r="B121271"/>
      <c r="C121271"/>
      <c r="E121271"/>
      <c r="F121271"/>
    </row>
    <row r="121272" spans="1:6" x14ac:dyDescent="0.25">
      <c r="A121272"/>
      <c r="B121272"/>
      <c r="C121272"/>
      <c r="E121272"/>
      <c r="F121272"/>
    </row>
    <row r="121273" spans="1:6" x14ac:dyDescent="0.25">
      <c r="A121273"/>
      <c r="B121273"/>
      <c r="C121273"/>
      <c r="E121273"/>
      <c r="F121273"/>
    </row>
    <row r="121274" spans="1:6" x14ac:dyDescent="0.25">
      <c r="A121274"/>
      <c r="B121274"/>
      <c r="C121274"/>
      <c r="E121274"/>
      <c r="F121274"/>
    </row>
    <row r="121275" spans="1:6" x14ac:dyDescent="0.25">
      <c r="A121275"/>
      <c r="B121275"/>
      <c r="C121275"/>
      <c r="E121275"/>
      <c r="F121275"/>
    </row>
    <row r="121276" spans="1:6" x14ac:dyDescent="0.25">
      <c r="A121276"/>
      <c r="B121276"/>
      <c r="C121276"/>
      <c r="E121276"/>
      <c r="F121276"/>
    </row>
    <row r="121277" spans="1:6" x14ac:dyDescent="0.25">
      <c r="A121277"/>
      <c r="B121277"/>
      <c r="C121277"/>
      <c r="E121277"/>
      <c r="F121277"/>
    </row>
    <row r="121278" spans="1:6" x14ac:dyDescent="0.25">
      <c r="A121278"/>
      <c r="B121278"/>
      <c r="C121278"/>
      <c r="E121278"/>
      <c r="F121278"/>
    </row>
    <row r="121279" spans="1:6" x14ac:dyDescent="0.25">
      <c r="A121279"/>
      <c r="B121279"/>
      <c r="C121279"/>
      <c r="E121279"/>
      <c r="F121279"/>
    </row>
    <row r="121280" spans="1:6" x14ac:dyDescent="0.25">
      <c r="A121280"/>
      <c r="B121280"/>
      <c r="C121280"/>
      <c r="E121280"/>
      <c r="F121280"/>
    </row>
    <row r="121281" spans="1:6" x14ac:dyDescent="0.25">
      <c r="A121281"/>
      <c r="B121281"/>
      <c r="C121281"/>
      <c r="E121281"/>
      <c r="F121281"/>
    </row>
    <row r="121282" spans="1:6" x14ac:dyDescent="0.25">
      <c r="A121282"/>
      <c r="B121282"/>
      <c r="C121282"/>
      <c r="E121282"/>
      <c r="F121282"/>
    </row>
    <row r="121283" spans="1:6" x14ac:dyDescent="0.25">
      <c r="A121283"/>
      <c r="B121283"/>
      <c r="C121283"/>
      <c r="E121283"/>
      <c r="F121283"/>
    </row>
    <row r="121284" spans="1:6" x14ac:dyDescent="0.25">
      <c r="A121284"/>
      <c r="B121284"/>
      <c r="C121284"/>
      <c r="E121284"/>
      <c r="F121284"/>
    </row>
    <row r="121285" spans="1:6" x14ac:dyDescent="0.25">
      <c r="A121285"/>
      <c r="B121285"/>
      <c r="C121285"/>
      <c r="E121285"/>
      <c r="F121285"/>
    </row>
    <row r="121286" spans="1:6" x14ac:dyDescent="0.25">
      <c r="A121286"/>
      <c r="B121286"/>
      <c r="C121286"/>
      <c r="E121286"/>
      <c r="F121286"/>
    </row>
    <row r="121287" spans="1:6" x14ac:dyDescent="0.25">
      <c r="A121287"/>
      <c r="B121287"/>
      <c r="C121287"/>
      <c r="E121287"/>
      <c r="F121287"/>
    </row>
    <row r="121288" spans="1:6" x14ac:dyDescent="0.25">
      <c r="A121288"/>
      <c r="B121288"/>
      <c r="C121288"/>
      <c r="E121288"/>
      <c r="F121288"/>
    </row>
    <row r="121289" spans="1:6" x14ac:dyDescent="0.25">
      <c r="A121289"/>
      <c r="B121289"/>
      <c r="C121289"/>
      <c r="E121289"/>
      <c r="F121289"/>
    </row>
    <row r="121290" spans="1:6" x14ac:dyDescent="0.25">
      <c r="A121290"/>
      <c r="B121290"/>
      <c r="C121290"/>
      <c r="E121290"/>
      <c r="F121290"/>
    </row>
    <row r="121291" spans="1:6" x14ac:dyDescent="0.25">
      <c r="A121291"/>
      <c r="B121291"/>
      <c r="C121291"/>
      <c r="E121291"/>
      <c r="F121291"/>
    </row>
    <row r="121292" spans="1:6" x14ac:dyDescent="0.25">
      <c r="A121292"/>
      <c r="B121292"/>
      <c r="C121292"/>
      <c r="E121292"/>
      <c r="F121292"/>
    </row>
    <row r="121293" spans="1:6" x14ac:dyDescent="0.25">
      <c r="A121293"/>
      <c r="B121293"/>
      <c r="C121293"/>
      <c r="E121293"/>
      <c r="F121293"/>
    </row>
    <row r="121294" spans="1:6" x14ac:dyDescent="0.25">
      <c r="A121294"/>
      <c r="B121294"/>
      <c r="C121294"/>
      <c r="E121294"/>
      <c r="F121294"/>
    </row>
    <row r="121295" spans="1:6" x14ac:dyDescent="0.25">
      <c r="A121295"/>
      <c r="B121295"/>
      <c r="C121295"/>
      <c r="E121295"/>
      <c r="F121295"/>
    </row>
    <row r="121296" spans="1:6" x14ac:dyDescent="0.25">
      <c r="A121296"/>
      <c r="B121296"/>
      <c r="C121296"/>
      <c r="E121296"/>
      <c r="F121296"/>
    </row>
    <row r="121297" spans="1:6" x14ac:dyDescent="0.25">
      <c r="A121297"/>
      <c r="B121297"/>
      <c r="C121297"/>
      <c r="E121297"/>
      <c r="F121297"/>
    </row>
    <row r="121298" spans="1:6" x14ac:dyDescent="0.25">
      <c r="A121298"/>
      <c r="B121298"/>
      <c r="C121298"/>
      <c r="E121298"/>
      <c r="F121298"/>
    </row>
    <row r="121299" spans="1:6" x14ac:dyDescent="0.25">
      <c r="A121299"/>
      <c r="B121299"/>
      <c r="C121299"/>
      <c r="E121299"/>
      <c r="F121299"/>
    </row>
    <row r="121300" spans="1:6" x14ac:dyDescent="0.25">
      <c r="A121300"/>
      <c r="B121300"/>
      <c r="C121300"/>
      <c r="E121300"/>
      <c r="F121300"/>
    </row>
    <row r="121301" spans="1:6" x14ac:dyDescent="0.25">
      <c r="A121301"/>
      <c r="B121301"/>
      <c r="C121301"/>
      <c r="E121301"/>
      <c r="F121301"/>
    </row>
    <row r="121302" spans="1:6" x14ac:dyDescent="0.25">
      <c r="A121302"/>
      <c r="B121302"/>
      <c r="C121302"/>
      <c r="E121302"/>
      <c r="F121302"/>
    </row>
    <row r="121303" spans="1:6" x14ac:dyDescent="0.25">
      <c r="A121303"/>
      <c r="B121303"/>
      <c r="C121303"/>
      <c r="E121303"/>
      <c r="F121303"/>
    </row>
    <row r="121304" spans="1:6" x14ac:dyDescent="0.25">
      <c r="A121304"/>
      <c r="B121304"/>
      <c r="C121304"/>
      <c r="E121304"/>
      <c r="F121304"/>
    </row>
    <row r="121305" spans="1:6" x14ac:dyDescent="0.25">
      <c r="A121305"/>
      <c r="B121305"/>
      <c r="C121305"/>
      <c r="E121305"/>
      <c r="F121305"/>
    </row>
    <row r="121306" spans="1:6" x14ac:dyDescent="0.25">
      <c r="A121306"/>
      <c r="B121306"/>
      <c r="C121306"/>
      <c r="E121306"/>
      <c r="F121306"/>
    </row>
    <row r="121307" spans="1:6" x14ac:dyDescent="0.25">
      <c r="A121307"/>
      <c r="B121307"/>
      <c r="C121307"/>
      <c r="E121307"/>
      <c r="F121307"/>
    </row>
    <row r="121308" spans="1:6" x14ac:dyDescent="0.25">
      <c r="A121308"/>
      <c r="B121308"/>
      <c r="C121308"/>
      <c r="E121308"/>
      <c r="F121308"/>
    </row>
    <row r="121309" spans="1:6" x14ac:dyDescent="0.25">
      <c r="A121309"/>
      <c r="B121309"/>
      <c r="C121309"/>
      <c r="E121309"/>
      <c r="F121309"/>
    </row>
    <row r="121310" spans="1:6" x14ac:dyDescent="0.25">
      <c r="A121310"/>
      <c r="B121310"/>
      <c r="C121310"/>
      <c r="E121310"/>
      <c r="F121310"/>
    </row>
    <row r="121311" spans="1:6" x14ac:dyDescent="0.25">
      <c r="A121311"/>
      <c r="B121311"/>
      <c r="C121311"/>
      <c r="E121311"/>
      <c r="F121311"/>
    </row>
    <row r="121312" spans="1:6" x14ac:dyDescent="0.25">
      <c r="A121312"/>
      <c r="B121312"/>
      <c r="C121312"/>
      <c r="E121312"/>
      <c r="F121312"/>
    </row>
    <row r="121313" spans="1:6" x14ac:dyDescent="0.25">
      <c r="A121313"/>
      <c r="B121313"/>
      <c r="C121313"/>
      <c r="E121313"/>
      <c r="F121313"/>
    </row>
    <row r="121314" spans="1:6" x14ac:dyDescent="0.25">
      <c r="A121314"/>
      <c r="B121314"/>
      <c r="C121314"/>
      <c r="E121314"/>
      <c r="F121314"/>
    </row>
    <row r="121315" spans="1:6" x14ac:dyDescent="0.25">
      <c r="A121315"/>
      <c r="B121315"/>
      <c r="C121315"/>
      <c r="E121315"/>
      <c r="F121315"/>
    </row>
    <row r="121316" spans="1:6" x14ac:dyDescent="0.25">
      <c r="A121316"/>
      <c r="B121316"/>
      <c r="C121316"/>
      <c r="E121316"/>
      <c r="F121316"/>
    </row>
    <row r="121317" spans="1:6" x14ac:dyDescent="0.25">
      <c r="A121317"/>
      <c r="B121317"/>
      <c r="C121317"/>
      <c r="E121317"/>
      <c r="F121317"/>
    </row>
    <row r="121318" spans="1:6" x14ac:dyDescent="0.25">
      <c r="A121318"/>
      <c r="B121318"/>
      <c r="C121318"/>
      <c r="E121318"/>
      <c r="F121318"/>
    </row>
    <row r="121319" spans="1:6" x14ac:dyDescent="0.25">
      <c r="A121319"/>
      <c r="B121319"/>
      <c r="C121319"/>
      <c r="E121319"/>
      <c r="F121319"/>
    </row>
    <row r="121320" spans="1:6" x14ac:dyDescent="0.25">
      <c r="A121320"/>
      <c r="B121320"/>
      <c r="C121320"/>
      <c r="E121320"/>
      <c r="F121320"/>
    </row>
    <row r="121321" spans="1:6" x14ac:dyDescent="0.25">
      <c r="A121321"/>
      <c r="B121321"/>
      <c r="C121321"/>
      <c r="E121321"/>
      <c r="F121321"/>
    </row>
    <row r="121322" spans="1:6" x14ac:dyDescent="0.25">
      <c r="A121322"/>
      <c r="B121322"/>
      <c r="C121322"/>
      <c r="E121322"/>
      <c r="F121322"/>
    </row>
    <row r="121323" spans="1:6" x14ac:dyDescent="0.25">
      <c r="A121323"/>
      <c r="B121323"/>
      <c r="C121323"/>
      <c r="E121323"/>
      <c r="F121323"/>
    </row>
    <row r="121324" spans="1:6" x14ac:dyDescent="0.25">
      <c r="A121324"/>
      <c r="B121324"/>
      <c r="C121324"/>
      <c r="E121324"/>
      <c r="F121324"/>
    </row>
    <row r="121325" spans="1:6" x14ac:dyDescent="0.25">
      <c r="A121325"/>
      <c r="B121325"/>
      <c r="C121325"/>
      <c r="E121325"/>
      <c r="F121325"/>
    </row>
    <row r="121326" spans="1:6" x14ac:dyDescent="0.25">
      <c r="A121326"/>
      <c r="B121326"/>
      <c r="C121326"/>
      <c r="E121326"/>
      <c r="F121326"/>
    </row>
    <row r="121327" spans="1:6" x14ac:dyDescent="0.25">
      <c r="A121327"/>
      <c r="B121327"/>
      <c r="C121327"/>
      <c r="E121327"/>
      <c r="F121327"/>
    </row>
    <row r="121328" spans="1:6" x14ac:dyDescent="0.25">
      <c r="A121328"/>
      <c r="B121328"/>
      <c r="C121328"/>
      <c r="E121328"/>
      <c r="F121328"/>
    </row>
    <row r="121329" spans="1:6" x14ac:dyDescent="0.25">
      <c r="A121329"/>
      <c r="B121329"/>
      <c r="C121329"/>
      <c r="E121329"/>
      <c r="F121329"/>
    </row>
    <row r="121330" spans="1:6" x14ac:dyDescent="0.25">
      <c r="A121330"/>
      <c r="B121330"/>
      <c r="C121330"/>
      <c r="E121330"/>
      <c r="F121330"/>
    </row>
    <row r="121331" spans="1:6" x14ac:dyDescent="0.25">
      <c r="A121331"/>
      <c r="B121331"/>
      <c r="C121331"/>
      <c r="E121331"/>
      <c r="F121331"/>
    </row>
    <row r="121332" spans="1:6" x14ac:dyDescent="0.25">
      <c r="A121332"/>
      <c r="B121332"/>
      <c r="C121332"/>
      <c r="E121332"/>
      <c r="F121332"/>
    </row>
    <row r="121333" spans="1:6" x14ac:dyDescent="0.25">
      <c r="A121333"/>
      <c r="B121333"/>
      <c r="C121333"/>
      <c r="E121333"/>
      <c r="F121333"/>
    </row>
    <row r="121334" spans="1:6" x14ac:dyDescent="0.25">
      <c r="A121334"/>
      <c r="B121334"/>
      <c r="C121334"/>
      <c r="E121334"/>
      <c r="F121334"/>
    </row>
    <row r="121335" spans="1:6" x14ac:dyDescent="0.25">
      <c r="A121335"/>
      <c r="B121335"/>
      <c r="C121335"/>
      <c r="E121335"/>
      <c r="F121335"/>
    </row>
    <row r="121336" spans="1:6" x14ac:dyDescent="0.25">
      <c r="A121336"/>
      <c r="B121336"/>
      <c r="C121336"/>
      <c r="E121336"/>
      <c r="F121336"/>
    </row>
    <row r="121337" spans="1:6" x14ac:dyDescent="0.25">
      <c r="A121337"/>
      <c r="B121337"/>
      <c r="C121337"/>
      <c r="E121337"/>
      <c r="F121337"/>
    </row>
    <row r="121338" spans="1:6" x14ac:dyDescent="0.25">
      <c r="A121338"/>
      <c r="B121338"/>
      <c r="C121338"/>
      <c r="E121338"/>
      <c r="F121338"/>
    </row>
    <row r="121339" spans="1:6" x14ac:dyDescent="0.25">
      <c r="A121339"/>
      <c r="B121339"/>
      <c r="C121339"/>
      <c r="E121339"/>
      <c r="F121339"/>
    </row>
    <row r="121340" spans="1:6" x14ac:dyDescent="0.25">
      <c r="A121340"/>
      <c r="B121340"/>
      <c r="C121340"/>
      <c r="E121340"/>
      <c r="F121340"/>
    </row>
    <row r="121341" spans="1:6" x14ac:dyDescent="0.25">
      <c r="A121341"/>
      <c r="B121341"/>
      <c r="C121341"/>
      <c r="E121341"/>
      <c r="F121341"/>
    </row>
    <row r="121342" spans="1:6" x14ac:dyDescent="0.25">
      <c r="A121342"/>
      <c r="B121342"/>
      <c r="C121342"/>
      <c r="E121342"/>
      <c r="F121342"/>
    </row>
    <row r="121343" spans="1:6" x14ac:dyDescent="0.25">
      <c r="A121343"/>
      <c r="B121343"/>
      <c r="C121343"/>
      <c r="E121343"/>
      <c r="F121343"/>
    </row>
    <row r="121344" spans="1:6" x14ac:dyDescent="0.25">
      <c r="A121344"/>
      <c r="B121344"/>
      <c r="C121344"/>
      <c r="E121344"/>
      <c r="F121344"/>
    </row>
    <row r="121345" spans="1:6" x14ac:dyDescent="0.25">
      <c r="A121345"/>
      <c r="B121345"/>
      <c r="C121345"/>
      <c r="E121345"/>
      <c r="F121345"/>
    </row>
    <row r="121346" spans="1:6" x14ac:dyDescent="0.25">
      <c r="A121346"/>
      <c r="B121346"/>
      <c r="C121346"/>
      <c r="E121346"/>
      <c r="F121346"/>
    </row>
    <row r="121347" spans="1:6" x14ac:dyDescent="0.25">
      <c r="A121347"/>
      <c r="B121347"/>
      <c r="C121347"/>
      <c r="E121347"/>
      <c r="F121347"/>
    </row>
    <row r="121348" spans="1:6" x14ac:dyDescent="0.25">
      <c r="A121348"/>
      <c r="B121348"/>
      <c r="C121348"/>
      <c r="E121348"/>
      <c r="F121348"/>
    </row>
    <row r="121349" spans="1:6" x14ac:dyDescent="0.25">
      <c r="A121349"/>
      <c r="B121349"/>
      <c r="C121349"/>
      <c r="E121349"/>
      <c r="F121349"/>
    </row>
    <row r="121350" spans="1:6" x14ac:dyDescent="0.25">
      <c r="A121350"/>
      <c r="B121350"/>
      <c r="C121350"/>
      <c r="E121350"/>
      <c r="F121350"/>
    </row>
    <row r="121351" spans="1:6" x14ac:dyDescent="0.25">
      <c r="A121351"/>
      <c r="B121351"/>
      <c r="C121351"/>
      <c r="E121351"/>
      <c r="F121351"/>
    </row>
    <row r="121352" spans="1:6" x14ac:dyDescent="0.25">
      <c r="A121352"/>
      <c r="B121352"/>
      <c r="C121352"/>
      <c r="E121352"/>
      <c r="F121352"/>
    </row>
    <row r="121353" spans="1:6" x14ac:dyDescent="0.25">
      <c r="A121353"/>
      <c r="B121353"/>
      <c r="C121353"/>
      <c r="E121353"/>
      <c r="F121353"/>
    </row>
    <row r="121354" spans="1:6" x14ac:dyDescent="0.25">
      <c r="A121354"/>
      <c r="B121354"/>
      <c r="C121354"/>
      <c r="E121354"/>
      <c r="F121354"/>
    </row>
    <row r="121355" spans="1:6" x14ac:dyDescent="0.25">
      <c r="A121355"/>
      <c r="B121355"/>
      <c r="C121355"/>
      <c r="E121355"/>
      <c r="F121355"/>
    </row>
    <row r="121356" spans="1:6" x14ac:dyDescent="0.25">
      <c r="A121356"/>
      <c r="B121356"/>
      <c r="C121356"/>
      <c r="E121356"/>
      <c r="F121356"/>
    </row>
    <row r="121357" spans="1:6" x14ac:dyDescent="0.25">
      <c r="A121357"/>
      <c r="B121357"/>
      <c r="C121357"/>
      <c r="E121357"/>
      <c r="F121357"/>
    </row>
    <row r="121358" spans="1:6" x14ac:dyDescent="0.25">
      <c r="A121358"/>
      <c r="B121358"/>
      <c r="C121358"/>
      <c r="E121358"/>
      <c r="F121358"/>
    </row>
    <row r="121359" spans="1:6" x14ac:dyDescent="0.25">
      <c r="A121359"/>
      <c r="B121359"/>
      <c r="C121359"/>
      <c r="E121359"/>
      <c r="F121359"/>
    </row>
    <row r="121360" spans="1:6" x14ac:dyDescent="0.25">
      <c r="A121360"/>
      <c r="B121360"/>
      <c r="C121360"/>
      <c r="E121360"/>
      <c r="F121360"/>
    </row>
    <row r="121361" spans="1:6" x14ac:dyDescent="0.25">
      <c r="A121361"/>
      <c r="B121361"/>
      <c r="C121361"/>
      <c r="E121361"/>
      <c r="F121361"/>
    </row>
    <row r="121362" spans="1:6" x14ac:dyDescent="0.25">
      <c r="A121362"/>
      <c r="B121362"/>
      <c r="C121362"/>
      <c r="E121362"/>
      <c r="F121362"/>
    </row>
    <row r="121363" spans="1:6" x14ac:dyDescent="0.25">
      <c r="A121363"/>
      <c r="B121363"/>
      <c r="C121363"/>
      <c r="E121363"/>
      <c r="F121363"/>
    </row>
    <row r="121364" spans="1:6" x14ac:dyDescent="0.25">
      <c r="A121364"/>
      <c r="B121364"/>
      <c r="C121364"/>
      <c r="E121364"/>
      <c r="F121364"/>
    </row>
    <row r="121365" spans="1:6" x14ac:dyDescent="0.25">
      <c r="A121365"/>
      <c r="B121365"/>
      <c r="C121365"/>
      <c r="E121365"/>
      <c r="F121365"/>
    </row>
    <row r="121366" spans="1:6" x14ac:dyDescent="0.25">
      <c r="A121366"/>
      <c r="B121366"/>
      <c r="C121366"/>
      <c r="E121366"/>
      <c r="F121366"/>
    </row>
    <row r="121367" spans="1:6" x14ac:dyDescent="0.25">
      <c r="A121367"/>
      <c r="B121367"/>
      <c r="C121367"/>
      <c r="E121367"/>
      <c r="F121367"/>
    </row>
    <row r="121368" spans="1:6" x14ac:dyDescent="0.25">
      <c r="A121368"/>
      <c r="B121368"/>
      <c r="C121368"/>
      <c r="E121368"/>
      <c r="F121368"/>
    </row>
    <row r="121369" spans="1:6" x14ac:dyDescent="0.25">
      <c r="A121369"/>
      <c r="B121369"/>
      <c r="C121369"/>
      <c r="E121369"/>
      <c r="F121369"/>
    </row>
    <row r="121370" spans="1:6" x14ac:dyDescent="0.25">
      <c r="A121370"/>
      <c r="B121370"/>
      <c r="C121370"/>
      <c r="E121370"/>
      <c r="F121370"/>
    </row>
    <row r="121371" spans="1:6" x14ac:dyDescent="0.25">
      <c r="A121371"/>
      <c r="B121371"/>
      <c r="C121371"/>
      <c r="E121371"/>
      <c r="F121371"/>
    </row>
    <row r="121372" spans="1:6" x14ac:dyDescent="0.25">
      <c r="A121372"/>
      <c r="B121372"/>
      <c r="C121372"/>
      <c r="E121372"/>
      <c r="F121372"/>
    </row>
    <row r="121373" spans="1:6" x14ac:dyDescent="0.25">
      <c r="A121373"/>
      <c r="B121373"/>
      <c r="C121373"/>
      <c r="E121373"/>
      <c r="F121373"/>
    </row>
    <row r="121374" spans="1:6" x14ac:dyDescent="0.25">
      <c r="A121374"/>
      <c r="B121374"/>
      <c r="C121374"/>
      <c r="E121374"/>
      <c r="F121374"/>
    </row>
    <row r="121375" spans="1:6" x14ac:dyDescent="0.25">
      <c r="A121375"/>
      <c r="B121375"/>
      <c r="C121375"/>
      <c r="E121375"/>
      <c r="F121375"/>
    </row>
    <row r="121376" spans="1:6" x14ac:dyDescent="0.25">
      <c r="A121376"/>
      <c r="B121376"/>
      <c r="C121376"/>
      <c r="E121376"/>
      <c r="F121376"/>
    </row>
    <row r="121377" spans="1:6" x14ac:dyDescent="0.25">
      <c r="A121377"/>
      <c r="B121377"/>
      <c r="C121377"/>
      <c r="E121377"/>
      <c r="F121377"/>
    </row>
    <row r="121378" spans="1:6" x14ac:dyDescent="0.25">
      <c r="A121378"/>
      <c r="B121378"/>
      <c r="C121378"/>
      <c r="E121378"/>
      <c r="F121378"/>
    </row>
    <row r="121379" spans="1:6" x14ac:dyDescent="0.25">
      <c r="A121379"/>
      <c r="B121379"/>
      <c r="C121379"/>
      <c r="E121379"/>
      <c r="F121379"/>
    </row>
    <row r="121380" spans="1:6" x14ac:dyDescent="0.25">
      <c r="A121380"/>
      <c r="B121380"/>
      <c r="C121380"/>
      <c r="E121380"/>
      <c r="F121380"/>
    </row>
    <row r="121381" spans="1:6" x14ac:dyDescent="0.25">
      <c r="A121381"/>
      <c r="B121381"/>
      <c r="C121381"/>
      <c r="E121381"/>
      <c r="F121381"/>
    </row>
    <row r="121382" spans="1:6" x14ac:dyDescent="0.25">
      <c r="A121382"/>
      <c r="B121382"/>
      <c r="C121382"/>
      <c r="E121382"/>
      <c r="F121382"/>
    </row>
    <row r="121383" spans="1:6" x14ac:dyDescent="0.25">
      <c r="A121383"/>
      <c r="B121383"/>
      <c r="C121383"/>
      <c r="E121383"/>
      <c r="F121383"/>
    </row>
    <row r="121384" spans="1:6" x14ac:dyDescent="0.25">
      <c r="A121384"/>
      <c r="B121384"/>
      <c r="C121384"/>
      <c r="E121384"/>
      <c r="F121384"/>
    </row>
    <row r="121385" spans="1:6" x14ac:dyDescent="0.25">
      <c r="A121385"/>
      <c r="B121385"/>
      <c r="C121385"/>
      <c r="E121385"/>
      <c r="F121385"/>
    </row>
    <row r="121386" spans="1:6" x14ac:dyDescent="0.25">
      <c r="A121386"/>
      <c r="B121386"/>
      <c r="C121386"/>
      <c r="E121386"/>
      <c r="F121386"/>
    </row>
    <row r="121387" spans="1:6" x14ac:dyDescent="0.25">
      <c r="A121387"/>
      <c r="B121387"/>
      <c r="C121387"/>
      <c r="E121387"/>
      <c r="F121387"/>
    </row>
    <row r="121388" spans="1:6" x14ac:dyDescent="0.25">
      <c r="A121388"/>
      <c r="B121388"/>
      <c r="C121388"/>
      <c r="E121388"/>
      <c r="F121388"/>
    </row>
    <row r="121389" spans="1:6" x14ac:dyDescent="0.25">
      <c r="A121389"/>
      <c r="B121389"/>
      <c r="C121389"/>
      <c r="E121389"/>
      <c r="F121389"/>
    </row>
    <row r="121390" spans="1:6" x14ac:dyDescent="0.25">
      <c r="A121390"/>
      <c r="B121390"/>
      <c r="C121390"/>
      <c r="E121390"/>
      <c r="F121390"/>
    </row>
    <row r="121391" spans="1:6" x14ac:dyDescent="0.25">
      <c r="A121391"/>
      <c r="B121391"/>
      <c r="C121391"/>
      <c r="E121391"/>
      <c r="F121391"/>
    </row>
    <row r="121392" spans="1:6" x14ac:dyDescent="0.25">
      <c r="A121392"/>
      <c r="B121392"/>
      <c r="C121392"/>
      <c r="E121392"/>
      <c r="F121392"/>
    </row>
    <row r="121393" spans="1:6" x14ac:dyDescent="0.25">
      <c r="A121393"/>
      <c r="B121393"/>
      <c r="C121393"/>
      <c r="E121393"/>
      <c r="F121393"/>
    </row>
    <row r="121394" spans="1:6" x14ac:dyDescent="0.25">
      <c r="A121394"/>
      <c r="B121394"/>
      <c r="C121394"/>
      <c r="E121394"/>
      <c r="F121394"/>
    </row>
    <row r="121395" spans="1:6" x14ac:dyDescent="0.25">
      <c r="A121395"/>
      <c r="B121395"/>
      <c r="C121395"/>
      <c r="E121395"/>
      <c r="F121395"/>
    </row>
    <row r="121396" spans="1:6" x14ac:dyDescent="0.25">
      <c r="A121396"/>
      <c r="B121396"/>
      <c r="C121396"/>
      <c r="E121396"/>
      <c r="F121396"/>
    </row>
    <row r="121397" spans="1:6" x14ac:dyDescent="0.25">
      <c r="A121397"/>
      <c r="B121397"/>
      <c r="C121397"/>
      <c r="E121397"/>
      <c r="F121397"/>
    </row>
    <row r="121398" spans="1:6" x14ac:dyDescent="0.25">
      <c r="A121398"/>
      <c r="B121398"/>
      <c r="C121398"/>
      <c r="E121398"/>
      <c r="F121398"/>
    </row>
    <row r="121399" spans="1:6" x14ac:dyDescent="0.25">
      <c r="A121399"/>
      <c r="B121399"/>
      <c r="C121399"/>
      <c r="E121399"/>
      <c r="F121399"/>
    </row>
    <row r="121400" spans="1:6" x14ac:dyDescent="0.25">
      <c r="A121400"/>
      <c r="B121400"/>
      <c r="C121400"/>
      <c r="E121400"/>
      <c r="F121400"/>
    </row>
    <row r="121401" spans="1:6" x14ac:dyDescent="0.25">
      <c r="A121401"/>
      <c r="B121401"/>
      <c r="C121401"/>
      <c r="E121401"/>
      <c r="F121401"/>
    </row>
    <row r="121402" spans="1:6" x14ac:dyDescent="0.25">
      <c r="A121402"/>
      <c r="B121402"/>
      <c r="C121402"/>
      <c r="E121402"/>
      <c r="F121402"/>
    </row>
    <row r="121403" spans="1:6" x14ac:dyDescent="0.25">
      <c r="A121403"/>
      <c r="B121403"/>
      <c r="C121403"/>
      <c r="E121403"/>
      <c r="F121403"/>
    </row>
    <row r="121404" spans="1:6" x14ac:dyDescent="0.25">
      <c r="A121404"/>
      <c r="B121404"/>
      <c r="C121404"/>
      <c r="E121404"/>
      <c r="F121404"/>
    </row>
    <row r="121405" spans="1:6" x14ac:dyDescent="0.25">
      <c r="A121405"/>
      <c r="B121405"/>
      <c r="C121405"/>
      <c r="E121405"/>
      <c r="F121405"/>
    </row>
    <row r="121406" spans="1:6" x14ac:dyDescent="0.25">
      <c r="A121406"/>
      <c r="B121406"/>
      <c r="C121406"/>
      <c r="E121406"/>
      <c r="F121406"/>
    </row>
    <row r="121407" spans="1:6" x14ac:dyDescent="0.25">
      <c r="A121407"/>
      <c r="B121407"/>
      <c r="C121407"/>
      <c r="E121407"/>
      <c r="F121407"/>
    </row>
    <row r="121408" spans="1:6" x14ac:dyDescent="0.25">
      <c r="A121408"/>
      <c r="B121408"/>
      <c r="C121408"/>
      <c r="E121408"/>
      <c r="F121408"/>
    </row>
    <row r="121409" spans="1:6" x14ac:dyDescent="0.25">
      <c r="A121409"/>
      <c r="B121409"/>
      <c r="C121409"/>
      <c r="E121409"/>
      <c r="F121409"/>
    </row>
    <row r="121410" spans="1:6" x14ac:dyDescent="0.25">
      <c r="A121410"/>
      <c r="B121410"/>
      <c r="C121410"/>
      <c r="E121410"/>
      <c r="F121410"/>
    </row>
    <row r="121411" spans="1:6" x14ac:dyDescent="0.25">
      <c r="A121411"/>
      <c r="B121411"/>
      <c r="C121411"/>
      <c r="E121411"/>
      <c r="F121411"/>
    </row>
    <row r="121412" spans="1:6" x14ac:dyDescent="0.25">
      <c r="A121412"/>
      <c r="B121412"/>
      <c r="C121412"/>
      <c r="E121412"/>
      <c r="F121412"/>
    </row>
    <row r="121413" spans="1:6" x14ac:dyDescent="0.25">
      <c r="A121413"/>
      <c r="B121413"/>
      <c r="C121413"/>
      <c r="E121413"/>
      <c r="F121413"/>
    </row>
    <row r="121414" spans="1:6" x14ac:dyDescent="0.25">
      <c r="A121414"/>
      <c r="B121414"/>
      <c r="C121414"/>
      <c r="E121414"/>
      <c r="F121414"/>
    </row>
    <row r="121415" spans="1:6" x14ac:dyDescent="0.25">
      <c r="A121415"/>
      <c r="B121415"/>
      <c r="C121415"/>
      <c r="E121415"/>
      <c r="F121415"/>
    </row>
    <row r="121416" spans="1:6" x14ac:dyDescent="0.25">
      <c r="A121416"/>
      <c r="B121416"/>
      <c r="C121416"/>
      <c r="E121416"/>
      <c r="F121416"/>
    </row>
    <row r="121417" spans="1:6" x14ac:dyDescent="0.25">
      <c r="A121417"/>
      <c r="B121417"/>
      <c r="C121417"/>
      <c r="E121417"/>
      <c r="F121417"/>
    </row>
    <row r="121418" spans="1:6" x14ac:dyDescent="0.25">
      <c r="A121418"/>
      <c r="B121418"/>
      <c r="C121418"/>
      <c r="E121418"/>
      <c r="F121418"/>
    </row>
    <row r="121419" spans="1:6" x14ac:dyDescent="0.25">
      <c r="A121419"/>
      <c r="B121419"/>
      <c r="C121419"/>
      <c r="E121419"/>
      <c r="F121419"/>
    </row>
    <row r="121420" spans="1:6" x14ac:dyDescent="0.25">
      <c r="A121420"/>
      <c r="B121420"/>
      <c r="C121420"/>
      <c r="E121420"/>
      <c r="F121420"/>
    </row>
    <row r="121421" spans="1:6" x14ac:dyDescent="0.25">
      <c r="A121421"/>
      <c r="B121421"/>
      <c r="C121421"/>
      <c r="E121421"/>
      <c r="F121421"/>
    </row>
    <row r="121422" spans="1:6" x14ac:dyDescent="0.25">
      <c r="A121422"/>
      <c r="B121422"/>
      <c r="C121422"/>
      <c r="E121422"/>
      <c r="F121422"/>
    </row>
    <row r="121423" spans="1:6" x14ac:dyDescent="0.25">
      <c r="A121423"/>
      <c r="B121423"/>
      <c r="C121423"/>
      <c r="E121423"/>
      <c r="F121423"/>
    </row>
    <row r="121424" spans="1:6" x14ac:dyDescent="0.25">
      <c r="A121424"/>
      <c r="B121424"/>
      <c r="C121424"/>
      <c r="E121424"/>
      <c r="F121424"/>
    </row>
    <row r="121425" spans="1:6" x14ac:dyDescent="0.25">
      <c r="A121425"/>
      <c r="B121425"/>
      <c r="C121425"/>
      <c r="E121425"/>
      <c r="F121425"/>
    </row>
    <row r="121426" spans="1:6" x14ac:dyDescent="0.25">
      <c r="A121426"/>
      <c r="B121426"/>
      <c r="C121426"/>
      <c r="E121426"/>
      <c r="F121426"/>
    </row>
    <row r="121427" spans="1:6" x14ac:dyDescent="0.25">
      <c r="A121427"/>
      <c r="B121427"/>
      <c r="C121427"/>
      <c r="E121427"/>
      <c r="F121427"/>
    </row>
    <row r="121428" spans="1:6" x14ac:dyDescent="0.25">
      <c r="A121428"/>
      <c r="B121428"/>
      <c r="C121428"/>
      <c r="E121428"/>
      <c r="F121428"/>
    </row>
    <row r="121429" spans="1:6" x14ac:dyDescent="0.25">
      <c r="A121429"/>
      <c r="B121429"/>
      <c r="C121429"/>
      <c r="E121429"/>
      <c r="F121429"/>
    </row>
    <row r="121430" spans="1:6" x14ac:dyDescent="0.25">
      <c r="A121430"/>
      <c r="B121430"/>
      <c r="C121430"/>
      <c r="E121430"/>
      <c r="F121430"/>
    </row>
    <row r="121431" spans="1:6" x14ac:dyDescent="0.25">
      <c r="A121431"/>
      <c r="B121431"/>
      <c r="C121431"/>
      <c r="E121431"/>
      <c r="F121431"/>
    </row>
    <row r="121432" spans="1:6" x14ac:dyDescent="0.25">
      <c r="A121432"/>
      <c r="B121432"/>
      <c r="C121432"/>
      <c r="E121432"/>
      <c r="F121432"/>
    </row>
    <row r="121433" spans="1:6" x14ac:dyDescent="0.25">
      <c r="A121433"/>
      <c r="B121433"/>
      <c r="C121433"/>
      <c r="E121433"/>
      <c r="F121433"/>
    </row>
    <row r="121434" spans="1:6" x14ac:dyDescent="0.25">
      <c r="A121434"/>
      <c r="B121434"/>
      <c r="C121434"/>
      <c r="E121434"/>
      <c r="F121434"/>
    </row>
    <row r="121435" spans="1:6" x14ac:dyDescent="0.25">
      <c r="A121435"/>
      <c r="B121435"/>
      <c r="C121435"/>
      <c r="E121435"/>
      <c r="F121435"/>
    </row>
    <row r="121436" spans="1:6" x14ac:dyDescent="0.25">
      <c r="A121436"/>
      <c r="B121436"/>
      <c r="C121436"/>
      <c r="E121436"/>
      <c r="F121436"/>
    </row>
    <row r="121437" spans="1:6" x14ac:dyDescent="0.25">
      <c r="A121437"/>
      <c r="B121437"/>
      <c r="C121437"/>
      <c r="E121437"/>
      <c r="F121437"/>
    </row>
    <row r="121438" spans="1:6" x14ac:dyDescent="0.25">
      <c r="A121438"/>
      <c r="B121438"/>
      <c r="C121438"/>
      <c r="E121438"/>
      <c r="F121438"/>
    </row>
    <row r="121439" spans="1:6" x14ac:dyDescent="0.25">
      <c r="A121439"/>
      <c r="B121439"/>
      <c r="C121439"/>
      <c r="E121439"/>
      <c r="F121439"/>
    </row>
    <row r="121440" spans="1:6" x14ac:dyDescent="0.25">
      <c r="A121440"/>
      <c r="B121440"/>
      <c r="C121440"/>
      <c r="E121440"/>
      <c r="F121440"/>
    </row>
    <row r="121441" spans="1:6" x14ac:dyDescent="0.25">
      <c r="A121441"/>
      <c r="B121441"/>
      <c r="C121441"/>
      <c r="E121441"/>
      <c r="F121441"/>
    </row>
    <row r="121442" spans="1:6" x14ac:dyDescent="0.25">
      <c r="A121442"/>
      <c r="B121442"/>
      <c r="C121442"/>
      <c r="E121442"/>
      <c r="F121442"/>
    </row>
    <row r="121443" spans="1:6" x14ac:dyDescent="0.25">
      <c r="A121443"/>
      <c r="B121443"/>
      <c r="C121443"/>
      <c r="E121443"/>
      <c r="F121443"/>
    </row>
    <row r="121444" spans="1:6" x14ac:dyDescent="0.25">
      <c r="A121444"/>
      <c r="B121444"/>
      <c r="C121444"/>
      <c r="E121444"/>
      <c r="F121444"/>
    </row>
    <row r="121445" spans="1:6" x14ac:dyDescent="0.25">
      <c r="A121445"/>
      <c r="B121445"/>
      <c r="C121445"/>
      <c r="E121445"/>
      <c r="F121445"/>
    </row>
    <row r="121446" spans="1:6" x14ac:dyDescent="0.25">
      <c r="A121446"/>
      <c r="B121446"/>
      <c r="C121446"/>
      <c r="E121446"/>
      <c r="F121446"/>
    </row>
    <row r="121447" spans="1:6" x14ac:dyDescent="0.25">
      <c r="A121447"/>
      <c r="B121447"/>
      <c r="C121447"/>
      <c r="E121447"/>
      <c r="F121447"/>
    </row>
    <row r="121448" spans="1:6" x14ac:dyDescent="0.25">
      <c r="A121448"/>
      <c r="B121448"/>
      <c r="C121448"/>
      <c r="E121448"/>
      <c r="F121448"/>
    </row>
    <row r="121449" spans="1:6" x14ac:dyDescent="0.25">
      <c r="A121449"/>
      <c r="B121449"/>
      <c r="C121449"/>
      <c r="E121449"/>
      <c r="F121449"/>
    </row>
    <row r="121450" spans="1:6" x14ac:dyDescent="0.25">
      <c r="A121450"/>
      <c r="B121450"/>
      <c r="C121450"/>
      <c r="E121450"/>
      <c r="F121450"/>
    </row>
    <row r="121451" spans="1:6" x14ac:dyDescent="0.25">
      <c r="A121451"/>
      <c r="B121451"/>
      <c r="C121451"/>
      <c r="E121451"/>
      <c r="F121451"/>
    </row>
    <row r="121452" spans="1:6" x14ac:dyDescent="0.25">
      <c r="A121452"/>
      <c r="B121452"/>
      <c r="C121452"/>
      <c r="E121452"/>
      <c r="F121452"/>
    </row>
    <row r="121453" spans="1:6" x14ac:dyDescent="0.25">
      <c r="A121453"/>
      <c r="B121453"/>
      <c r="C121453"/>
      <c r="E121453"/>
      <c r="F121453"/>
    </row>
    <row r="121454" spans="1:6" x14ac:dyDescent="0.25">
      <c r="A121454"/>
      <c r="B121454"/>
      <c r="C121454"/>
      <c r="E121454"/>
      <c r="F121454"/>
    </row>
    <row r="121455" spans="1:6" x14ac:dyDescent="0.25">
      <c r="A121455"/>
      <c r="B121455"/>
      <c r="C121455"/>
      <c r="E121455"/>
      <c r="F121455"/>
    </row>
    <row r="121456" spans="1:6" x14ac:dyDescent="0.25">
      <c r="A121456"/>
      <c r="B121456"/>
      <c r="C121456"/>
      <c r="E121456"/>
      <c r="F121456"/>
    </row>
    <row r="121457" spans="1:6" x14ac:dyDescent="0.25">
      <c r="A121457"/>
      <c r="B121457"/>
      <c r="C121457"/>
      <c r="E121457"/>
      <c r="F121457"/>
    </row>
    <row r="121458" spans="1:6" x14ac:dyDescent="0.25">
      <c r="A121458"/>
      <c r="B121458"/>
      <c r="C121458"/>
      <c r="E121458"/>
      <c r="F121458"/>
    </row>
    <row r="121459" spans="1:6" x14ac:dyDescent="0.25">
      <c r="A121459"/>
      <c r="B121459"/>
      <c r="C121459"/>
      <c r="E121459"/>
      <c r="F121459"/>
    </row>
    <row r="121460" spans="1:6" x14ac:dyDescent="0.25">
      <c r="A121460"/>
      <c r="B121460"/>
      <c r="C121460"/>
      <c r="E121460"/>
      <c r="F121460"/>
    </row>
    <row r="121461" spans="1:6" x14ac:dyDescent="0.25">
      <c r="A121461"/>
      <c r="B121461"/>
      <c r="C121461"/>
      <c r="E121461"/>
      <c r="F121461"/>
    </row>
    <row r="121462" spans="1:6" x14ac:dyDescent="0.25">
      <c r="A121462"/>
      <c r="B121462"/>
      <c r="C121462"/>
      <c r="E121462"/>
      <c r="F121462"/>
    </row>
    <row r="121463" spans="1:6" x14ac:dyDescent="0.25">
      <c r="A121463"/>
      <c r="B121463"/>
      <c r="C121463"/>
      <c r="E121463"/>
      <c r="F121463"/>
    </row>
    <row r="121464" spans="1:6" x14ac:dyDescent="0.25">
      <c r="A121464"/>
      <c r="B121464"/>
      <c r="C121464"/>
      <c r="E121464"/>
      <c r="F121464"/>
    </row>
    <row r="121465" spans="1:6" x14ac:dyDescent="0.25">
      <c r="A121465"/>
      <c r="B121465"/>
      <c r="C121465"/>
      <c r="E121465"/>
      <c r="F121465"/>
    </row>
    <row r="121466" spans="1:6" x14ac:dyDescent="0.25">
      <c r="A121466"/>
      <c r="B121466"/>
      <c r="C121466"/>
      <c r="E121466"/>
      <c r="F121466"/>
    </row>
    <row r="121467" spans="1:6" x14ac:dyDescent="0.25">
      <c r="A121467"/>
      <c r="B121467"/>
      <c r="C121467"/>
      <c r="E121467"/>
      <c r="F121467"/>
    </row>
    <row r="121468" spans="1:6" x14ac:dyDescent="0.25">
      <c r="A121468"/>
      <c r="B121468"/>
      <c r="C121468"/>
      <c r="E121468"/>
      <c r="F121468"/>
    </row>
    <row r="121469" spans="1:6" x14ac:dyDescent="0.25">
      <c r="A121469"/>
      <c r="B121469"/>
      <c r="C121469"/>
      <c r="E121469"/>
      <c r="F121469"/>
    </row>
    <row r="121470" spans="1:6" x14ac:dyDescent="0.25">
      <c r="A121470"/>
      <c r="B121470"/>
      <c r="C121470"/>
      <c r="E121470"/>
      <c r="F121470"/>
    </row>
    <row r="121471" spans="1:6" x14ac:dyDescent="0.25">
      <c r="A121471"/>
      <c r="B121471"/>
      <c r="C121471"/>
      <c r="E121471"/>
      <c r="F121471"/>
    </row>
    <row r="121472" spans="1:6" x14ac:dyDescent="0.25">
      <c r="A121472"/>
      <c r="B121472"/>
      <c r="C121472"/>
      <c r="E121472"/>
      <c r="F121472"/>
    </row>
    <row r="121473" spans="1:6" x14ac:dyDescent="0.25">
      <c r="A121473"/>
      <c r="B121473"/>
      <c r="C121473"/>
      <c r="E121473"/>
      <c r="F121473"/>
    </row>
    <row r="121474" spans="1:6" x14ac:dyDescent="0.25">
      <c r="A121474"/>
      <c r="B121474"/>
      <c r="C121474"/>
      <c r="E121474"/>
      <c r="F121474"/>
    </row>
    <row r="121475" spans="1:6" x14ac:dyDescent="0.25">
      <c r="A121475"/>
      <c r="B121475"/>
      <c r="C121475"/>
      <c r="E121475"/>
      <c r="F121475"/>
    </row>
    <row r="121476" spans="1:6" x14ac:dyDescent="0.25">
      <c r="A121476"/>
      <c r="B121476"/>
      <c r="C121476"/>
      <c r="E121476"/>
      <c r="F121476"/>
    </row>
    <row r="121477" spans="1:6" x14ac:dyDescent="0.25">
      <c r="A121477"/>
      <c r="B121477"/>
      <c r="C121477"/>
      <c r="E121477"/>
      <c r="F121477"/>
    </row>
    <row r="121478" spans="1:6" x14ac:dyDescent="0.25">
      <c r="A121478"/>
      <c r="B121478"/>
      <c r="C121478"/>
      <c r="E121478"/>
      <c r="F121478"/>
    </row>
    <row r="121479" spans="1:6" x14ac:dyDescent="0.25">
      <c r="A121479"/>
      <c r="B121479"/>
      <c r="C121479"/>
      <c r="E121479"/>
      <c r="F121479"/>
    </row>
    <row r="121480" spans="1:6" x14ac:dyDescent="0.25">
      <c r="A121480"/>
      <c r="B121480"/>
      <c r="C121480"/>
      <c r="E121480"/>
      <c r="F121480"/>
    </row>
    <row r="121481" spans="1:6" x14ac:dyDescent="0.25">
      <c r="A121481"/>
      <c r="B121481"/>
      <c r="C121481"/>
      <c r="E121481"/>
      <c r="F121481"/>
    </row>
    <row r="121482" spans="1:6" x14ac:dyDescent="0.25">
      <c r="A121482"/>
      <c r="B121482"/>
      <c r="C121482"/>
      <c r="E121482"/>
      <c r="F121482"/>
    </row>
    <row r="121483" spans="1:6" x14ac:dyDescent="0.25">
      <c r="A121483"/>
      <c r="B121483"/>
      <c r="C121483"/>
      <c r="E121483"/>
      <c r="F121483"/>
    </row>
    <row r="121484" spans="1:6" x14ac:dyDescent="0.25">
      <c r="A121484"/>
      <c r="B121484"/>
      <c r="C121484"/>
      <c r="E121484"/>
      <c r="F121484"/>
    </row>
    <row r="121485" spans="1:6" x14ac:dyDescent="0.25">
      <c r="A121485"/>
      <c r="B121485"/>
      <c r="C121485"/>
      <c r="E121485"/>
      <c r="F121485"/>
    </row>
    <row r="121486" spans="1:6" x14ac:dyDescent="0.25">
      <c r="A121486"/>
      <c r="B121486"/>
      <c r="C121486"/>
      <c r="E121486"/>
      <c r="F121486"/>
    </row>
    <row r="121487" spans="1:6" x14ac:dyDescent="0.25">
      <c r="A121487"/>
      <c r="B121487"/>
      <c r="C121487"/>
      <c r="E121487"/>
      <c r="F121487"/>
    </row>
    <row r="121488" spans="1:6" x14ac:dyDescent="0.25">
      <c r="A121488"/>
      <c r="B121488"/>
      <c r="C121488"/>
      <c r="E121488"/>
      <c r="F121488"/>
    </row>
    <row r="121489" spans="1:6" x14ac:dyDescent="0.25">
      <c r="A121489"/>
      <c r="B121489"/>
      <c r="C121489"/>
      <c r="E121489"/>
      <c r="F121489"/>
    </row>
    <row r="121490" spans="1:6" x14ac:dyDescent="0.25">
      <c r="A121490"/>
      <c r="B121490"/>
      <c r="C121490"/>
      <c r="E121490"/>
      <c r="F121490"/>
    </row>
    <row r="121491" spans="1:6" x14ac:dyDescent="0.25">
      <c r="A121491"/>
      <c r="B121491"/>
      <c r="C121491"/>
      <c r="E121491"/>
      <c r="F121491"/>
    </row>
    <row r="121492" spans="1:6" x14ac:dyDescent="0.25">
      <c r="A121492"/>
      <c r="B121492"/>
      <c r="C121492"/>
      <c r="E121492"/>
      <c r="F121492"/>
    </row>
    <row r="121493" spans="1:6" x14ac:dyDescent="0.25">
      <c r="A121493"/>
      <c r="B121493"/>
      <c r="C121493"/>
      <c r="E121493"/>
      <c r="F121493"/>
    </row>
    <row r="121494" spans="1:6" x14ac:dyDescent="0.25">
      <c r="A121494"/>
      <c r="B121494"/>
      <c r="C121494"/>
      <c r="E121494"/>
      <c r="F121494"/>
    </row>
    <row r="121495" spans="1:6" x14ac:dyDescent="0.25">
      <c r="A121495"/>
      <c r="B121495"/>
      <c r="C121495"/>
      <c r="E121495"/>
      <c r="F121495"/>
    </row>
    <row r="121496" spans="1:6" x14ac:dyDescent="0.25">
      <c r="A121496"/>
      <c r="B121496"/>
      <c r="C121496"/>
      <c r="E121496"/>
      <c r="F121496"/>
    </row>
    <row r="121497" spans="1:6" x14ac:dyDescent="0.25">
      <c r="A121497"/>
      <c r="B121497"/>
      <c r="C121497"/>
      <c r="E121497"/>
      <c r="F121497"/>
    </row>
    <row r="121498" spans="1:6" x14ac:dyDescent="0.25">
      <c r="A121498"/>
      <c r="B121498"/>
      <c r="C121498"/>
      <c r="E121498"/>
      <c r="F121498"/>
    </row>
    <row r="121499" spans="1:6" x14ac:dyDescent="0.25">
      <c r="A121499"/>
      <c r="B121499"/>
      <c r="C121499"/>
      <c r="E121499"/>
      <c r="F121499"/>
    </row>
    <row r="121500" spans="1:6" x14ac:dyDescent="0.25">
      <c r="A121500"/>
      <c r="B121500"/>
      <c r="C121500"/>
      <c r="E121500"/>
      <c r="F121500"/>
    </row>
    <row r="121501" spans="1:6" x14ac:dyDescent="0.25">
      <c r="A121501"/>
      <c r="B121501"/>
      <c r="C121501"/>
      <c r="E121501"/>
      <c r="F121501"/>
    </row>
    <row r="121502" spans="1:6" x14ac:dyDescent="0.25">
      <c r="A121502"/>
      <c r="B121502"/>
      <c r="C121502"/>
      <c r="E121502"/>
      <c r="F121502"/>
    </row>
    <row r="121503" spans="1:6" x14ac:dyDescent="0.25">
      <c r="A121503"/>
      <c r="B121503"/>
      <c r="C121503"/>
      <c r="E121503"/>
      <c r="F121503"/>
    </row>
    <row r="121504" spans="1:6" x14ac:dyDescent="0.25">
      <c r="A121504"/>
      <c r="B121504"/>
      <c r="C121504"/>
      <c r="E121504"/>
      <c r="F121504"/>
    </row>
    <row r="121505" spans="1:6" x14ac:dyDescent="0.25">
      <c r="A121505"/>
      <c r="B121505"/>
      <c r="C121505"/>
      <c r="E121505"/>
      <c r="F121505"/>
    </row>
    <row r="121506" spans="1:6" x14ac:dyDescent="0.25">
      <c r="A121506"/>
      <c r="B121506"/>
      <c r="C121506"/>
      <c r="E121506"/>
      <c r="F121506"/>
    </row>
    <row r="121507" spans="1:6" x14ac:dyDescent="0.25">
      <c r="A121507"/>
      <c r="B121507"/>
      <c r="C121507"/>
      <c r="E121507"/>
      <c r="F121507"/>
    </row>
    <row r="121508" spans="1:6" x14ac:dyDescent="0.25">
      <c r="A121508"/>
      <c r="B121508"/>
      <c r="C121508"/>
      <c r="E121508"/>
      <c r="F121508"/>
    </row>
    <row r="121509" spans="1:6" x14ac:dyDescent="0.25">
      <c r="A121509"/>
      <c r="B121509"/>
      <c r="C121509"/>
      <c r="E121509"/>
      <c r="F121509"/>
    </row>
    <row r="121510" spans="1:6" x14ac:dyDescent="0.25">
      <c r="A121510"/>
      <c r="B121510"/>
      <c r="C121510"/>
      <c r="E121510"/>
      <c r="F121510"/>
    </row>
    <row r="121511" spans="1:6" x14ac:dyDescent="0.25">
      <c r="A121511"/>
      <c r="B121511"/>
      <c r="C121511"/>
      <c r="E121511"/>
      <c r="F121511"/>
    </row>
    <row r="121512" spans="1:6" x14ac:dyDescent="0.25">
      <c r="A121512"/>
      <c r="B121512"/>
      <c r="C121512"/>
      <c r="E121512"/>
      <c r="F121512"/>
    </row>
    <row r="121513" spans="1:6" x14ac:dyDescent="0.25">
      <c r="A121513"/>
      <c r="B121513"/>
      <c r="C121513"/>
      <c r="E121513"/>
      <c r="F121513"/>
    </row>
    <row r="121514" spans="1:6" x14ac:dyDescent="0.25">
      <c r="A121514"/>
      <c r="B121514"/>
      <c r="C121514"/>
      <c r="E121514"/>
      <c r="F121514"/>
    </row>
    <row r="121515" spans="1:6" x14ac:dyDescent="0.25">
      <c r="A121515"/>
      <c r="B121515"/>
      <c r="C121515"/>
      <c r="E121515"/>
      <c r="F121515"/>
    </row>
    <row r="121516" spans="1:6" x14ac:dyDescent="0.25">
      <c r="A121516"/>
      <c r="B121516"/>
      <c r="C121516"/>
      <c r="E121516"/>
      <c r="F121516"/>
    </row>
    <row r="121517" spans="1:6" x14ac:dyDescent="0.25">
      <c r="A121517"/>
      <c r="B121517"/>
      <c r="C121517"/>
      <c r="E121517"/>
      <c r="F121517"/>
    </row>
    <row r="121518" spans="1:6" x14ac:dyDescent="0.25">
      <c r="A121518"/>
      <c r="B121518"/>
      <c r="C121518"/>
      <c r="E121518"/>
      <c r="F121518"/>
    </row>
    <row r="121519" spans="1:6" x14ac:dyDescent="0.25">
      <c r="A121519"/>
      <c r="B121519"/>
      <c r="C121519"/>
      <c r="E121519"/>
      <c r="F121519"/>
    </row>
    <row r="121520" spans="1:6" x14ac:dyDescent="0.25">
      <c r="A121520"/>
      <c r="B121520"/>
      <c r="C121520"/>
      <c r="E121520"/>
      <c r="F121520"/>
    </row>
    <row r="121521" spans="1:6" x14ac:dyDescent="0.25">
      <c r="A121521"/>
      <c r="B121521"/>
      <c r="C121521"/>
      <c r="E121521"/>
      <c r="F121521"/>
    </row>
    <row r="121522" spans="1:6" x14ac:dyDescent="0.25">
      <c r="A121522"/>
      <c r="B121522"/>
      <c r="C121522"/>
      <c r="E121522"/>
      <c r="F121522"/>
    </row>
    <row r="121523" spans="1:6" x14ac:dyDescent="0.25">
      <c r="A121523"/>
      <c r="B121523"/>
      <c r="C121523"/>
      <c r="E121523"/>
      <c r="F121523"/>
    </row>
    <row r="121524" spans="1:6" x14ac:dyDescent="0.25">
      <c r="A121524"/>
      <c r="B121524"/>
      <c r="C121524"/>
      <c r="E121524"/>
      <c r="F121524"/>
    </row>
    <row r="121525" spans="1:6" x14ac:dyDescent="0.25">
      <c r="A121525"/>
      <c r="B121525"/>
      <c r="C121525"/>
      <c r="E121525"/>
      <c r="F121525"/>
    </row>
    <row r="121526" spans="1:6" x14ac:dyDescent="0.25">
      <c r="A121526"/>
      <c r="B121526"/>
      <c r="C121526"/>
      <c r="E121526"/>
      <c r="F121526"/>
    </row>
    <row r="121527" spans="1:6" x14ac:dyDescent="0.25">
      <c r="A121527"/>
      <c r="B121527"/>
      <c r="C121527"/>
      <c r="E121527"/>
      <c r="F121527"/>
    </row>
    <row r="121528" spans="1:6" x14ac:dyDescent="0.25">
      <c r="A121528"/>
      <c r="B121528"/>
      <c r="C121528"/>
      <c r="E121528"/>
      <c r="F121528"/>
    </row>
    <row r="121529" spans="1:6" x14ac:dyDescent="0.25">
      <c r="A121529"/>
      <c r="B121529"/>
      <c r="C121529"/>
      <c r="E121529"/>
      <c r="F121529"/>
    </row>
    <row r="121530" spans="1:6" x14ac:dyDescent="0.25">
      <c r="A121530"/>
      <c r="B121530"/>
      <c r="C121530"/>
      <c r="E121530"/>
      <c r="F121530"/>
    </row>
    <row r="121531" spans="1:6" x14ac:dyDescent="0.25">
      <c r="A121531"/>
      <c r="B121531"/>
      <c r="C121531"/>
      <c r="E121531"/>
      <c r="F121531"/>
    </row>
    <row r="121532" spans="1:6" x14ac:dyDescent="0.25">
      <c r="A121532"/>
      <c r="B121532"/>
      <c r="C121532"/>
      <c r="E121532"/>
      <c r="F121532"/>
    </row>
    <row r="121533" spans="1:6" x14ac:dyDescent="0.25">
      <c r="A121533"/>
      <c r="B121533"/>
      <c r="C121533"/>
      <c r="E121533"/>
      <c r="F121533"/>
    </row>
    <row r="121534" spans="1:6" x14ac:dyDescent="0.25">
      <c r="A121534"/>
      <c r="B121534"/>
      <c r="C121534"/>
      <c r="E121534"/>
      <c r="F121534"/>
    </row>
    <row r="121535" spans="1:6" x14ac:dyDescent="0.25">
      <c r="A121535"/>
      <c r="B121535"/>
      <c r="C121535"/>
      <c r="E121535"/>
      <c r="F121535"/>
    </row>
    <row r="121536" spans="1:6" x14ac:dyDescent="0.25">
      <c r="A121536"/>
      <c r="B121536"/>
      <c r="C121536"/>
      <c r="E121536"/>
      <c r="F121536"/>
    </row>
    <row r="121537" spans="1:6" x14ac:dyDescent="0.25">
      <c r="A121537"/>
      <c r="B121537"/>
      <c r="C121537"/>
      <c r="E121537"/>
      <c r="F121537"/>
    </row>
    <row r="121538" spans="1:6" x14ac:dyDescent="0.25">
      <c r="A121538"/>
      <c r="B121538"/>
      <c r="C121538"/>
      <c r="E121538"/>
      <c r="F121538"/>
    </row>
    <row r="121539" spans="1:6" x14ac:dyDescent="0.25">
      <c r="A121539"/>
      <c r="B121539"/>
      <c r="C121539"/>
      <c r="E121539"/>
      <c r="F121539"/>
    </row>
    <row r="121540" spans="1:6" x14ac:dyDescent="0.25">
      <c r="A121540"/>
      <c r="B121540"/>
      <c r="C121540"/>
      <c r="E121540"/>
      <c r="F121540"/>
    </row>
    <row r="121541" spans="1:6" x14ac:dyDescent="0.25">
      <c r="A121541"/>
      <c r="B121541"/>
      <c r="C121541"/>
      <c r="E121541"/>
      <c r="F121541"/>
    </row>
    <row r="121542" spans="1:6" x14ac:dyDescent="0.25">
      <c r="A121542"/>
      <c r="B121542"/>
      <c r="C121542"/>
      <c r="E121542"/>
      <c r="F121542"/>
    </row>
    <row r="121543" spans="1:6" x14ac:dyDescent="0.25">
      <c r="A121543"/>
      <c r="B121543"/>
      <c r="C121543"/>
      <c r="E121543"/>
      <c r="F121543"/>
    </row>
    <row r="121544" spans="1:6" x14ac:dyDescent="0.25">
      <c r="A121544"/>
      <c r="B121544"/>
      <c r="C121544"/>
      <c r="E121544"/>
      <c r="F121544"/>
    </row>
    <row r="121545" spans="1:6" x14ac:dyDescent="0.25">
      <c r="A121545"/>
      <c r="B121545"/>
      <c r="C121545"/>
      <c r="E121545"/>
      <c r="F121545"/>
    </row>
    <row r="121546" spans="1:6" x14ac:dyDescent="0.25">
      <c r="A121546"/>
      <c r="B121546"/>
      <c r="C121546"/>
      <c r="E121546"/>
      <c r="F121546"/>
    </row>
    <row r="121547" spans="1:6" x14ac:dyDescent="0.25">
      <c r="A121547"/>
      <c r="B121547"/>
      <c r="C121547"/>
      <c r="E121547"/>
      <c r="F121547"/>
    </row>
    <row r="121548" spans="1:6" x14ac:dyDescent="0.25">
      <c r="A121548"/>
      <c r="B121548"/>
      <c r="C121548"/>
      <c r="E121548"/>
      <c r="F121548"/>
    </row>
    <row r="121549" spans="1:6" x14ac:dyDescent="0.25">
      <c r="A121549"/>
      <c r="B121549"/>
      <c r="C121549"/>
      <c r="E121549"/>
      <c r="F121549"/>
    </row>
    <row r="121550" spans="1:6" x14ac:dyDescent="0.25">
      <c r="A121550"/>
      <c r="B121550"/>
      <c r="C121550"/>
      <c r="E121550"/>
      <c r="F121550"/>
    </row>
    <row r="121551" spans="1:6" x14ac:dyDescent="0.25">
      <c r="A121551"/>
      <c r="B121551"/>
      <c r="C121551"/>
      <c r="E121551"/>
      <c r="F121551"/>
    </row>
    <row r="121552" spans="1:6" x14ac:dyDescent="0.25">
      <c r="A121552"/>
      <c r="B121552"/>
      <c r="C121552"/>
      <c r="E121552"/>
      <c r="F121552"/>
    </row>
    <row r="121553" spans="1:6" x14ac:dyDescent="0.25">
      <c r="A121553"/>
      <c r="B121553"/>
      <c r="C121553"/>
      <c r="E121553"/>
      <c r="F121553"/>
    </row>
    <row r="121554" spans="1:6" x14ac:dyDescent="0.25">
      <c r="A121554"/>
      <c r="B121554"/>
      <c r="C121554"/>
      <c r="E121554"/>
      <c r="F121554"/>
    </row>
    <row r="121555" spans="1:6" x14ac:dyDescent="0.25">
      <c r="A121555"/>
      <c r="B121555"/>
      <c r="C121555"/>
      <c r="E121555"/>
      <c r="F121555"/>
    </row>
    <row r="121556" spans="1:6" x14ac:dyDescent="0.25">
      <c r="A121556"/>
      <c r="B121556"/>
      <c r="C121556"/>
      <c r="E121556"/>
      <c r="F121556"/>
    </row>
    <row r="121557" spans="1:6" x14ac:dyDescent="0.25">
      <c r="A121557"/>
      <c r="B121557"/>
      <c r="C121557"/>
      <c r="E121557"/>
      <c r="F121557"/>
    </row>
    <row r="121558" spans="1:6" x14ac:dyDescent="0.25">
      <c r="A121558"/>
      <c r="B121558"/>
      <c r="C121558"/>
      <c r="E121558"/>
      <c r="F121558"/>
    </row>
    <row r="121559" spans="1:6" x14ac:dyDescent="0.25">
      <c r="A121559"/>
      <c r="B121559"/>
      <c r="C121559"/>
      <c r="E121559"/>
      <c r="F121559"/>
    </row>
    <row r="121560" spans="1:6" x14ac:dyDescent="0.25">
      <c r="A121560"/>
      <c r="B121560"/>
      <c r="C121560"/>
      <c r="E121560"/>
      <c r="F121560"/>
    </row>
    <row r="121561" spans="1:6" x14ac:dyDescent="0.25">
      <c r="A121561"/>
      <c r="B121561"/>
      <c r="C121561"/>
      <c r="E121561"/>
      <c r="F121561"/>
    </row>
    <row r="121562" spans="1:6" x14ac:dyDescent="0.25">
      <c r="A121562"/>
      <c r="B121562"/>
      <c r="C121562"/>
      <c r="E121562"/>
      <c r="F121562"/>
    </row>
    <row r="121563" spans="1:6" x14ac:dyDescent="0.25">
      <c r="A121563"/>
      <c r="B121563"/>
      <c r="C121563"/>
      <c r="E121563"/>
      <c r="F121563"/>
    </row>
    <row r="121564" spans="1:6" x14ac:dyDescent="0.25">
      <c r="A121564"/>
      <c r="B121564"/>
      <c r="C121564"/>
      <c r="E121564"/>
      <c r="F121564"/>
    </row>
    <row r="121565" spans="1:6" x14ac:dyDescent="0.25">
      <c r="A121565"/>
      <c r="B121565"/>
      <c r="C121565"/>
      <c r="E121565"/>
      <c r="F121565"/>
    </row>
    <row r="121566" spans="1:6" x14ac:dyDescent="0.25">
      <c r="A121566"/>
      <c r="B121566"/>
      <c r="C121566"/>
      <c r="E121566"/>
      <c r="F121566"/>
    </row>
    <row r="121567" spans="1:6" x14ac:dyDescent="0.25">
      <c r="A121567"/>
      <c r="B121567"/>
      <c r="C121567"/>
      <c r="E121567"/>
      <c r="F121567"/>
    </row>
    <row r="121568" spans="1:6" x14ac:dyDescent="0.25">
      <c r="A121568"/>
      <c r="B121568"/>
      <c r="C121568"/>
      <c r="E121568"/>
      <c r="F121568"/>
    </row>
    <row r="121569" spans="1:6" x14ac:dyDescent="0.25">
      <c r="A121569"/>
      <c r="B121569"/>
      <c r="C121569"/>
      <c r="E121569"/>
      <c r="F121569"/>
    </row>
    <row r="121570" spans="1:6" x14ac:dyDescent="0.25">
      <c r="A121570"/>
      <c r="B121570"/>
      <c r="C121570"/>
      <c r="E121570"/>
      <c r="F121570"/>
    </row>
    <row r="121571" spans="1:6" x14ac:dyDescent="0.25">
      <c r="A121571"/>
      <c r="B121571"/>
      <c r="C121571"/>
      <c r="E121571"/>
      <c r="F121571"/>
    </row>
    <row r="121572" spans="1:6" x14ac:dyDescent="0.25">
      <c r="A121572"/>
      <c r="B121572"/>
      <c r="C121572"/>
      <c r="E121572"/>
      <c r="F121572"/>
    </row>
    <row r="121573" spans="1:6" x14ac:dyDescent="0.25">
      <c r="A121573"/>
      <c r="B121573"/>
      <c r="C121573"/>
      <c r="E121573"/>
      <c r="F121573"/>
    </row>
    <row r="121574" spans="1:6" x14ac:dyDescent="0.25">
      <c r="A121574"/>
      <c r="B121574"/>
      <c r="C121574"/>
      <c r="E121574"/>
      <c r="F121574"/>
    </row>
    <row r="121575" spans="1:6" x14ac:dyDescent="0.25">
      <c r="A121575"/>
      <c r="B121575"/>
      <c r="C121575"/>
      <c r="E121575"/>
      <c r="F121575"/>
    </row>
    <row r="121576" spans="1:6" x14ac:dyDescent="0.25">
      <c r="A121576"/>
      <c r="B121576"/>
      <c r="C121576"/>
      <c r="E121576"/>
      <c r="F121576"/>
    </row>
    <row r="121577" spans="1:6" x14ac:dyDescent="0.25">
      <c r="A121577"/>
      <c r="B121577"/>
      <c r="C121577"/>
      <c r="E121577"/>
      <c r="F121577"/>
    </row>
    <row r="121578" spans="1:6" x14ac:dyDescent="0.25">
      <c r="A121578"/>
      <c r="B121578"/>
      <c r="C121578"/>
      <c r="E121578"/>
      <c r="F121578"/>
    </row>
    <row r="121579" spans="1:6" x14ac:dyDescent="0.25">
      <c r="A121579"/>
      <c r="B121579"/>
      <c r="C121579"/>
      <c r="E121579"/>
      <c r="F121579"/>
    </row>
    <row r="121580" spans="1:6" x14ac:dyDescent="0.25">
      <c r="A121580"/>
      <c r="B121580"/>
      <c r="C121580"/>
      <c r="E121580"/>
      <c r="F121580"/>
    </row>
    <row r="121581" spans="1:6" x14ac:dyDescent="0.25">
      <c r="A121581"/>
      <c r="B121581"/>
      <c r="C121581"/>
      <c r="E121581"/>
      <c r="F121581"/>
    </row>
    <row r="121582" spans="1:6" x14ac:dyDescent="0.25">
      <c r="A121582"/>
      <c r="B121582"/>
      <c r="C121582"/>
      <c r="E121582"/>
      <c r="F121582"/>
    </row>
    <row r="121583" spans="1:6" x14ac:dyDescent="0.25">
      <c r="A121583"/>
      <c r="B121583"/>
      <c r="C121583"/>
      <c r="E121583"/>
      <c r="F121583"/>
    </row>
    <row r="121584" spans="1:6" x14ac:dyDescent="0.25">
      <c r="A121584"/>
      <c r="B121584"/>
      <c r="C121584"/>
      <c r="E121584"/>
      <c r="F121584"/>
    </row>
    <row r="121585" spans="1:6" x14ac:dyDescent="0.25">
      <c r="A121585"/>
      <c r="B121585"/>
      <c r="C121585"/>
      <c r="E121585"/>
      <c r="F121585"/>
    </row>
    <row r="121586" spans="1:6" x14ac:dyDescent="0.25">
      <c r="A121586"/>
      <c r="B121586"/>
      <c r="C121586"/>
      <c r="E121586"/>
      <c r="F121586"/>
    </row>
    <row r="121587" spans="1:6" x14ac:dyDescent="0.25">
      <c r="A121587"/>
      <c r="B121587"/>
      <c r="C121587"/>
      <c r="E121587"/>
      <c r="F121587"/>
    </row>
    <row r="121588" spans="1:6" x14ac:dyDescent="0.25">
      <c r="A121588"/>
      <c r="B121588"/>
      <c r="C121588"/>
      <c r="E121588"/>
      <c r="F121588"/>
    </row>
    <row r="121589" spans="1:6" x14ac:dyDescent="0.25">
      <c r="A121589"/>
      <c r="B121589"/>
      <c r="C121589"/>
      <c r="E121589"/>
      <c r="F121589"/>
    </row>
    <row r="121590" spans="1:6" x14ac:dyDescent="0.25">
      <c r="A121590"/>
      <c r="B121590"/>
      <c r="C121590"/>
      <c r="E121590"/>
      <c r="F121590"/>
    </row>
    <row r="121591" spans="1:6" x14ac:dyDescent="0.25">
      <c r="A121591"/>
      <c r="B121591"/>
      <c r="C121591"/>
      <c r="E121591"/>
      <c r="F121591"/>
    </row>
    <row r="121592" spans="1:6" x14ac:dyDescent="0.25">
      <c r="A121592"/>
      <c r="B121592"/>
      <c r="C121592"/>
      <c r="E121592"/>
      <c r="F121592"/>
    </row>
    <row r="121593" spans="1:6" x14ac:dyDescent="0.25">
      <c r="A121593"/>
      <c r="B121593"/>
      <c r="C121593"/>
      <c r="E121593"/>
      <c r="F121593"/>
    </row>
    <row r="121594" spans="1:6" x14ac:dyDescent="0.25">
      <c r="A121594"/>
      <c r="B121594"/>
      <c r="C121594"/>
      <c r="E121594"/>
      <c r="F121594"/>
    </row>
    <row r="121595" spans="1:6" x14ac:dyDescent="0.25">
      <c r="A121595"/>
      <c r="B121595"/>
      <c r="C121595"/>
      <c r="E121595"/>
      <c r="F121595"/>
    </row>
    <row r="121596" spans="1:6" x14ac:dyDescent="0.25">
      <c r="A121596"/>
      <c r="B121596"/>
      <c r="C121596"/>
      <c r="E121596"/>
      <c r="F121596"/>
    </row>
    <row r="121597" spans="1:6" x14ac:dyDescent="0.25">
      <c r="A121597"/>
      <c r="B121597"/>
      <c r="C121597"/>
      <c r="E121597"/>
      <c r="F121597"/>
    </row>
    <row r="121598" spans="1:6" x14ac:dyDescent="0.25">
      <c r="A121598"/>
      <c r="B121598"/>
      <c r="C121598"/>
      <c r="E121598"/>
      <c r="F121598"/>
    </row>
    <row r="121599" spans="1:6" x14ac:dyDescent="0.25">
      <c r="A121599"/>
      <c r="B121599"/>
      <c r="C121599"/>
      <c r="E121599"/>
      <c r="F121599"/>
    </row>
    <row r="121600" spans="1:6" x14ac:dyDescent="0.25">
      <c r="A121600"/>
      <c r="B121600"/>
      <c r="C121600"/>
      <c r="E121600"/>
      <c r="F121600"/>
    </row>
    <row r="121601" spans="1:6" x14ac:dyDescent="0.25">
      <c r="A121601"/>
      <c r="B121601"/>
      <c r="C121601"/>
      <c r="E121601"/>
      <c r="F121601"/>
    </row>
    <row r="121602" spans="1:6" x14ac:dyDescent="0.25">
      <c r="A121602"/>
      <c r="B121602"/>
      <c r="C121602"/>
      <c r="E121602"/>
      <c r="F121602"/>
    </row>
    <row r="121603" spans="1:6" x14ac:dyDescent="0.25">
      <c r="A121603"/>
      <c r="B121603"/>
      <c r="C121603"/>
      <c r="E121603"/>
      <c r="F121603"/>
    </row>
    <row r="121604" spans="1:6" x14ac:dyDescent="0.25">
      <c r="A121604"/>
      <c r="B121604"/>
      <c r="C121604"/>
      <c r="E121604"/>
      <c r="F121604"/>
    </row>
    <row r="121605" spans="1:6" x14ac:dyDescent="0.25">
      <c r="A121605"/>
      <c r="B121605"/>
      <c r="C121605"/>
      <c r="E121605"/>
      <c r="F121605"/>
    </row>
    <row r="121606" spans="1:6" x14ac:dyDescent="0.25">
      <c r="A121606"/>
      <c r="B121606"/>
      <c r="C121606"/>
      <c r="E121606"/>
      <c r="F121606"/>
    </row>
    <row r="121607" spans="1:6" x14ac:dyDescent="0.25">
      <c r="A121607"/>
      <c r="B121607"/>
      <c r="C121607"/>
      <c r="E121607"/>
      <c r="F121607"/>
    </row>
    <row r="121608" spans="1:6" x14ac:dyDescent="0.25">
      <c r="A121608"/>
      <c r="B121608"/>
      <c r="C121608"/>
      <c r="E121608"/>
      <c r="F121608"/>
    </row>
    <row r="121609" spans="1:6" x14ac:dyDescent="0.25">
      <c r="A121609"/>
      <c r="B121609"/>
      <c r="C121609"/>
      <c r="E121609"/>
      <c r="F121609"/>
    </row>
    <row r="121610" spans="1:6" x14ac:dyDescent="0.25">
      <c r="A121610"/>
      <c r="B121610"/>
      <c r="C121610"/>
      <c r="E121610"/>
      <c r="F121610"/>
    </row>
    <row r="121611" spans="1:6" x14ac:dyDescent="0.25">
      <c r="A121611"/>
      <c r="B121611"/>
      <c r="C121611"/>
      <c r="E121611"/>
      <c r="F121611"/>
    </row>
    <row r="121612" spans="1:6" x14ac:dyDescent="0.25">
      <c r="A121612"/>
      <c r="B121612"/>
      <c r="C121612"/>
      <c r="E121612"/>
      <c r="F121612"/>
    </row>
    <row r="121613" spans="1:6" x14ac:dyDescent="0.25">
      <c r="A121613"/>
      <c r="B121613"/>
      <c r="C121613"/>
      <c r="E121613"/>
      <c r="F121613"/>
    </row>
    <row r="121614" spans="1:6" x14ac:dyDescent="0.25">
      <c r="A121614"/>
      <c r="B121614"/>
      <c r="C121614"/>
      <c r="E121614"/>
      <c r="F121614"/>
    </row>
    <row r="121615" spans="1:6" x14ac:dyDescent="0.25">
      <c r="A121615"/>
      <c r="B121615"/>
      <c r="C121615"/>
      <c r="E121615"/>
      <c r="F121615"/>
    </row>
    <row r="121616" spans="1:6" x14ac:dyDescent="0.25">
      <c r="A121616"/>
      <c r="B121616"/>
      <c r="C121616"/>
      <c r="E121616"/>
      <c r="F121616"/>
    </row>
    <row r="121617" spans="1:6" x14ac:dyDescent="0.25">
      <c r="A121617"/>
      <c r="B121617"/>
      <c r="C121617"/>
      <c r="E121617"/>
      <c r="F121617"/>
    </row>
    <row r="121618" spans="1:6" x14ac:dyDescent="0.25">
      <c r="A121618"/>
      <c r="B121618"/>
      <c r="C121618"/>
      <c r="E121618"/>
      <c r="F121618"/>
    </row>
    <row r="121619" spans="1:6" x14ac:dyDescent="0.25">
      <c r="A121619"/>
      <c r="B121619"/>
      <c r="C121619"/>
      <c r="E121619"/>
      <c r="F121619"/>
    </row>
    <row r="121620" spans="1:6" x14ac:dyDescent="0.25">
      <c r="A121620"/>
      <c r="B121620"/>
      <c r="C121620"/>
      <c r="E121620"/>
      <c r="F121620"/>
    </row>
    <row r="121621" spans="1:6" x14ac:dyDescent="0.25">
      <c r="A121621"/>
      <c r="B121621"/>
      <c r="C121621"/>
      <c r="E121621"/>
      <c r="F121621"/>
    </row>
    <row r="121622" spans="1:6" x14ac:dyDescent="0.25">
      <c r="A121622"/>
      <c r="B121622"/>
      <c r="C121622"/>
      <c r="E121622"/>
      <c r="F121622"/>
    </row>
    <row r="121623" spans="1:6" x14ac:dyDescent="0.25">
      <c r="A121623"/>
      <c r="B121623"/>
      <c r="C121623"/>
      <c r="E121623"/>
      <c r="F121623"/>
    </row>
    <row r="121624" spans="1:6" x14ac:dyDescent="0.25">
      <c r="A121624"/>
      <c r="B121624"/>
      <c r="C121624"/>
      <c r="E121624"/>
      <c r="F121624"/>
    </row>
    <row r="121625" spans="1:6" x14ac:dyDescent="0.25">
      <c r="A121625"/>
      <c r="B121625"/>
      <c r="C121625"/>
      <c r="E121625"/>
      <c r="F121625"/>
    </row>
    <row r="121626" spans="1:6" x14ac:dyDescent="0.25">
      <c r="A121626"/>
      <c r="B121626"/>
      <c r="C121626"/>
      <c r="E121626"/>
      <c r="F121626"/>
    </row>
    <row r="121627" spans="1:6" x14ac:dyDescent="0.25">
      <c r="A121627"/>
      <c r="B121627"/>
      <c r="C121627"/>
      <c r="E121627"/>
      <c r="F121627"/>
    </row>
    <row r="121628" spans="1:6" x14ac:dyDescent="0.25">
      <c r="A121628"/>
      <c r="B121628"/>
      <c r="C121628"/>
      <c r="E121628"/>
      <c r="F121628"/>
    </row>
    <row r="121629" spans="1:6" x14ac:dyDescent="0.25">
      <c r="A121629"/>
      <c r="B121629"/>
      <c r="C121629"/>
      <c r="E121629"/>
      <c r="F121629"/>
    </row>
    <row r="121630" spans="1:6" x14ac:dyDescent="0.25">
      <c r="A121630"/>
      <c r="B121630"/>
      <c r="C121630"/>
      <c r="E121630"/>
      <c r="F121630"/>
    </row>
    <row r="121631" spans="1:6" x14ac:dyDescent="0.25">
      <c r="A121631"/>
      <c r="B121631"/>
      <c r="C121631"/>
      <c r="E121631"/>
      <c r="F121631"/>
    </row>
    <row r="121632" spans="1:6" x14ac:dyDescent="0.25">
      <c r="A121632"/>
      <c r="B121632"/>
      <c r="C121632"/>
      <c r="E121632"/>
      <c r="F121632"/>
    </row>
    <row r="121633" spans="1:6" x14ac:dyDescent="0.25">
      <c r="A121633"/>
      <c r="B121633"/>
      <c r="C121633"/>
      <c r="E121633"/>
      <c r="F121633"/>
    </row>
    <row r="121634" spans="1:6" x14ac:dyDescent="0.25">
      <c r="A121634"/>
      <c r="B121634"/>
      <c r="C121634"/>
      <c r="E121634"/>
      <c r="F121634"/>
    </row>
    <row r="121635" spans="1:6" x14ac:dyDescent="0.25">
      <c r="A121635"/>
      <c r="B121635"/>
      <c r="C121635"/>
      <c r="E121635"/>
      <c r="F121635"/>
    </row>
    <row r="121636" spans="1:6" x14ac:dyDescent="0.25">
      <c r="A121636"/>
      <c r="B121636"/>
      <c r="C121636"/>
      <c r="E121636"/>
      <c r="F121636"/>
    </row>
    <row r="121637" spans="1:6" x14ac:dyDescent="0.25">
      <c r="A121637"/>
      <c r="B121637"/>
      <c r="C121637"/>
      <c r="E121637"/>
      <c r="F121637"/>
    </row>
    <row r="121638" spans="1:6" x14ac:dyDescent="0.25">
      <c r="A121638"/>
      <c r="B121638"/>
      <c r="C121638"/>
      <c r="E121638"/>
      <c r="F121638"/>
    </row>
    <row r="121639" spans="1:6" x14ac:dyDescent="0.25">
      <c r="A121639"/>
      <c r="B121639"/>
      <c r="C121639"/>
      <c r="E121639"/>
      <c r="F121639"/>
    </row>
    <row r="121640" spans="1:6" x14ac:dyDescent="0.25">
      <c r="A121640"/>
      <c r="B121640"/>
      <c r="C121640"/>
      <c r="E121640"/>
      <c r="F121640"/>
    </row>
    <row r="121641" spans="1:6" x14ac:dyDescent="0.25">
      <c r="A121641"/>
      <c r="B121641"/>
      <c r="C121641"/>
      <c r="E121641"/>
      <c r="F121641"/>
    </row>
    <row r="121642" spans="1:6" x14ac:dyDescent="0.25">
      <c r="A121642"/>
      <c r="B121642"/>
      <c r="C121642"/>
      <c r="E121642"/>
      <c r="F121642"/>
    </row>
    <row r="121643" spans="1:6" x14ac:dyDescent="0.25">
      <c r="A121643"/>
      <c r="B121643"/>
      <c r="C121643"/>
      <c r="E121643"/>
      <c r="F121643"/>
    </row>
    <row r="121644" spans="1:6" x14ac:dyDescent="0.25">
      <c r="A121644"/>
      <c r="B121644"/>
      <c r="C121644"/>
      <c r="E121644"/>
      <c r="F121644"/>
    </row>
    <row r="121645" spans="1:6" x14ac:dyDescent="0.25">
      <c r="A121645"/>
      <c r="B121645"/>
      <c r="C121645"/>
      <c r="E121645"/>
      <c r="F121645"/>
    </row>
    <row r="121646" spans="1:6" x14ac:dyDescent="0.25">
      <c r="A121646"/>
      <c r="B121646"/>
      <c r="C121646"/>
      <c r="E121646"/>
      <c r="F121646"/>
    </row>
    <row r="121647" spans="1:6" x14ac:dyDescent="0.25">
      <c r="A121647"/>
      <c r="B121647"/>
      <c r="C121647"/>
      <c r="E121647"/>
      <c r="F121647"/>
    </row>
    <row r="121648" spans="1:6" x14ac:dyDescent="0.25">
      <c r="A121648"/>
      <c r="B121648"/>
      <c r="C121648"/>
      <c r="E121648"/>
      <c r="F121648"/>
    </row>
    <row r="121649" spans="1:6" x14ac:dyDescent="0.25">
      <c r="A121649"/>
      <c r="B121649"/>
      <c r="C121649"/>
      <c r="E121649"/>
      <c r="F121649"/>
    </row>
    <row r="121650" spans="1:6" x14ac:dyDescent="0.25">
      <c r="A121650"/>
      <c r="B121650"/>
      <c r="C121650"/>
      <c r="E121650"/>
      <c r="F121650"/>
    </row>
    <row r="121651" spans="1:6" x14ac:dyDescent="0.25">
      <c r="A121651"/>
      <c r="B121651"/>
      <c r="C121651"/>
      <c r="E121651"/>
      <c r="F121651"/>
    </row>
    <row r="121652" spans="1:6" x14ac:dyDescent="0.25">
      <c r="A121652"/>
      <c r="B121652"/>
      <c r="C121652"/>
      <c r="E121652"/>
      <c r="F121652"/>
    </row>
    <row r="121653" spans="1:6" x14ac:dyDescent="0.25">
      <c r="A121653"/>
      <c r="B121653"/>
      <c r="C121653"/>
      <c r="E121653"/>
      <c r="F121653"/>
    </row>
    <row r="121654" spans="1:6" x14ac:dyDescent="0.25">
      <c r="A121654"/>
      <c r="B121654"/>
      <c r="C121654"/>
      <c r="E121654"/>
      <c r="F121654"/>
    </row>
    <row r="121655" spans="1:6" x14ac:dyDescent="0.25">
      <c r="A121655"/>
      <c r="B121655"/>
      <c r="C121655"/>
      <c r="E121655"/>
      <c r="F121655"/>
    </row>
    <row r="121656" spans="1:6" x14ac:dyDescent="0.25">
      <c r="A121656"/>
      <c r="B121656"/>
      <c r="C121656"/>
      <c r="E121656"/>
      <c r="F121656"/>
    </row>
    <row r="121657" spans="1:6" x14ac:dyDescent="0.25">
      <c r="A121657"/>
      <c r="B121657"/>
      <c r="C121657"/>
      <c r="E121657"/>
      <c r="F121657"/>
    </row>
    <row r="121658" spans="1:6" x14ac:dyDescent="0.25">
      <c r="A121658"/>
      <c r="B121658"/>
      <c r="C121658"/>
      <c r="E121658"/>
      <c r="F121658"/>
    </row>
    <row r="121659" spans="1:6" x14ac:dyDescent="0.25">
      <c r="A121659"/>
      <c r="B121659"/>
      <c r="C121659"/>
      <c r="E121659"/>
      <c r="F121659"/>
    </row>
    <row r="121660" spans="1:6" x14ac:dyDescent="0.25">
      <c r="A121660"/>
      <c r="B121660"/>
      <c r="C121660"/>
      <c r="E121660"/>
      <c r="F121660"/>
    </row>
    <row r="121661" spans="1:6" x14ac:dyDescent="0.25">
      <c r="A121661"/>
      <c r="B121661"/>
      <c r="C121661"/>
      <c r="E121661"/>
      <c r="F121661"/>
    </row>
    <row r="121662" spans="1:6" x14ac:dyDescent="0.25">
      <c r="A121662"/>
      <c r="B121662"/>
      <c r="C121662"/>
      <c r="E121662"/>
      <c r="F121662"/>
    </row>
    <row r="121663" spans="1:6" x14ac:dyDescent="0.25">
      <c r="A121663"/>
      <c r="B121663"/>
      <c r="C121663"/>
      <c r="E121663"/>
      <c r="F121663"/>
    </row>
    <row r="121664" spans="1:6" x14ac:dyDescent="0.25">
      <c r="A121664"/>
      <c r="B121664"/>
      <c r="C121664"/>
      <c r="E121664"/>
      <c r="F121664"/>
    </row>
    <row r="121665" spans="1:6" x14ac:dyDescent="0.25">
      <c r="A121665"/>
      <c r="B121665"/>
      <c r="C121665"/>
      <c r="E121665"/>
      <c r="F121665"/>
    </row>
    <row r="121666" spans="1:6" x14ac:dyDescent="0.25">
      <c r="A121666"/>
      <c r="B121666"/>
      <c r="C121666"/>
      <c r="E121666"/>
      <c r="F121666"/>
    </row>
    <row r="121667" spans="1:6" x14ac:dyDescent="0.25">
      <c r="A121667"/>
      <c r="B121667"/>
      <c r="C121667"/>
      <c r="E121667"/>
      <c r="F121667"/>
    </row>
    <row r="121668" spans="1:6" x14ac:dyDescent="0.25">
      <c r="A121668"/>
      <c r="B121668"/>
      <c r="C121668"/>
      <c r="E121668"/>
      <c r="F121668"/>
    </row>
    <row r="121669" spans="1:6" x14ac:dyDescent="0.25">
      <c r="A121669"/>
      <c r="B121669"/>
      <c r="C121669"/>
      <c r="E121669"/>
      <c r="F121669"/>
    </row>
    <row r="121670" spans="1:6" x14ac:dyDescent="0.25">
      <c r="A121670"/>
      <c r="B121670"/>
      <c r="C121670"/>
      <c r="E121670"/>
      <c r="F121670"/>
    </row>
    <row r="121671" spans="1:6" x14ac:dyDescent="0.25">
      <c r="A121671"/>
      <c r="B121671"/>
      <c r="C121671"/>
      <c r="E121671"/>
      <c r="F121671"/>
    </row>
    <row r="121672" spans="1:6" x14ac:dyDescent="0.25">
      <c r="A121672"/>
      <c r="B121672"/>
      <c r="C121672"/>
      <c r="E121672"/>
      <c r="F121672"/>
    </row>
    <row r="121673" spans="1:6" x14ac:dyDescent="0.25">
      <c r="A121673"/>
      <c r="B121673"/>
      <c r="C121673"/>
      <c r="E121673"/>
      <c r="F121673"/>
    </row>
    <row r="121674" spans="1:6" x14ac:dyDescent="0.25">
      <c r="A121674"/>
      <c r="B121674"/>
      <c r="C121674"/>
      <c r="E121674"/>
      <c r="F121674"/>
    </row>
    <row r="121675" spans="1:6" x14ac:dyDescent="0.25">
      <c r="A121675"/>
      <c r="B121675"/>
      <c r="C121675"/>
      <c r="E121675"/>
      <c r="F121675"/>
    </row>
    <row r="121676" spans="1:6" x14ac:dyDescent="0.25">
      <c r="A121676"/>
      <c r="B121676"/>
      <c r="C121676"/>
      <c r="E121676"/>
      <c r="F121676"/>
    </row>
    <row r="121677" spans="1:6" x14ac:dyDescent="0.25">
      <c r="A121677"/>
      <c r="B121677"/>
      <c r="C121677"/>
      <c r="E121677"/>
      <c r="F121677"/>
    </row>
    <row r="121678" spans="1:6" x14ac:dyDescent="0.25">
      <c r="A121678"/>
      <c r="B121678"/>
      <c r="C121678"/>
      <c r="E121678"/>
      <c r="F121678"/>
    </row>
    <row r="121679" spans="1:6" x14ac:dyDescent="0.25">
      <c r="A121679"/>
      <c r="B121679"/>
      <c r="C121679"/>
      <c r="E121679"/>
      <c r="F121679"/>
    </row>
    <row r="121680" spans="1:6" x14ac:dyDescent="0.25">
      <c r="A121680"/>
      <c r="B121680"/>
      <c r="C121680"/>
      <c r="E121680"/>
      <c r="F121680"/>
    </row>
    <row r="121681" spans="1:6" x14ac:dyDescent="0.25">
      <c r="A121681"/>
      <c r="B121681"/>
      <c r="C121681"/>
      <c r="E121681"/>
      <c r="F121681"/>
    </row>
    <row r="121682" spans="1:6" x14ac:dyDescent="0.25">
      <c r="A121682"/>
      <c r="B121682"/>
      <c r="C121682"/>
      <c r="E121682"/>
      <c r="F121682"/>
    </row>
    <row r="121683" spans="1:6" x14ac:dyDescent="0.25">
      <c r="A121683"/>
      <c r="B121683"/>
      <c r="C121683"/>
      <c r="E121683"/>
      <c r="F121683"/>
    </row>
    <row r="121684" spans="1:6" x14ac:dyDescent="0.25">
      <c r="A121684"/>
      <c r="B121684"/>
      <c r="C121684"/>
      <c r="E121684"/>
      <c r="F121684"/>
    </row>
    <row r="121685" spans="1:6" x14ac:dyDescent="0.25">
      <c r="A121685"/>
      <c r="B121685"/>
      <c r="C121685"/>
      <c r="E121685"/>
      <c r="F121685"/>
    </row>
    <row r="121686" spans="1:6" x14ac:dyDescent="0.25">
      <c r="A121686"/>
      <c r="B121686"/>
      <c r="C121686"/>
      <c r="E121686"/>
      <c r="F121686"/>
    </row>
    <row r="121687" spans="1:6" x14ac:dyDescent="0.25">
      <c r="A121687"/>
      <c r="B121687"/>
      <c r="C121687"/>
      <c r="E121687"/>
      <c r="F121687"/>
    </row>
    <row r="121688" spans="1:6" x14ac:dyDescent="0.25">
      <c r="A121688"/>
      <c r="B121688"/>
      <c r="C121688"/>
      <c r="E121688"/>
      <c r="F121688"/>
    </row>
    <row r="121689" spans="1:6" x14ac:dyDescent="0.25">
      <c r="A121689"/>
      <c r="B121689"/>
      <c r="C121689"/>
      <c r="E121689"/>
      <c r="F121689"/>
    </row>
    <row r="121690" spans="1:6" x14ac:dyDescent="0.25">
      <c r="A121690"/>
      <c r="B121690"/>
      <c r="C121690"/>
      <c r="E121690"/>
      <c r="F121690"/>
    </row>
    <row r="121691" spans="1:6" x14ac:dyDescent="0.25">
      <c r="A121691"/>
      <c r="B121691"/>
      <c r="C121691"/>
      <c r="E121691"/>
      <c r="F121691"/>
    </row>
    <row r="121692" spans="1:6" x14ac:dyDescent="0.25">
      <c r="A121692"/>
      <c r="B121692"/>
      <c r="C121692"/>
      <c r="E121692"/>
      <c r="F121692"/>
    </row>
    <row r="121693" spans="1:6" x14ac:dyDescent="0.25">
      <c r="A121693"/>
      <c r="B121693"/>
      <c r="C121693"/>
      <c r="E121693"/>
      <c r="F121693"/>
    </row>
    <row r="121694" spans="1:6" x14ac:dyDescent="0.25">
      <c r="A121694"/>
      <c r="B121694"/>
      <c r="C121694"/>
      <c r="E121694"/>
      <c r="F121694"/>
    </row>
    <row r="121695" spans="1:6" x14ac:dyDescent="0.25">
      <c r="A121695"/>
      <c r="B121695"/>
      <c r="C121695"/>
      <c r="E121695"/>
      <c r="F121695"/>
    </row>
    <row r="121696" spans="1:6" x14ac:dyDescent="0.25">
      <c r="A121696"/>
      <c r="B121696"/>
      <c r="C121696"/>
      <c r="E121696"/>
      <c r="F121696"/>
    </row>
    <row r="121697" spans="1:6" x14ac:dyDescent="0.25">
      <c r="A121697"/>
      <c r="B121697"/>
      <c r="C121697"/>
      <c r="E121697"/>
      <c r="F121697"/>
    </row>
    <row r="121698" spans="1:6" x14ac:dyDescent="0.25">
      <c r="A121698"/>
      <c r="B121698"/>
      <c r="C121698"/>
      <c r="E121698"/>
      <c r="F121698"/>
    </row>
    <row r="121699" spans="1:6" x14ac:dyDescent="0.25">
      <c r="A121699"/>
      <c r="B121699"/>
      <c r="C121699"/>
      <c r="E121699"/>
      <c r="F121699"/>
    </row>
    <row r="121700" spans="1:6" x14ac:dyDescent="0.25">
      <c r="A121700"/>
      <c r="B121700"/>
      <c r="C121700"/>
      <c r="E121700"/>
      <c r="F121700"/>
    </row>
    <row r="121701" spans="1:6" x14ac:dyDescent="0.25">
      <c r="A121701"/>
      <c r="B121701"/>
      <c r="C121701"/>
      <c r="E121701"/>
      <c r="F121701"/>
    </row>
    <row r="121702" spans="1:6" x14ac:dyDescent="0.25">
      <c r="A121702"/>
      <c r="B121702"/>
      <c r="C121702"/>
      <c r="E121702"/>
      <c r="F121702"/>
    </row>
    <row r="121703" spans="1:6" x14ac:dyDescent="0.25">
      <c r="A121703"/>
      <c r="B121703"/>
      <c r="C121703"/>
      <c r="E121703"/>
      <c r="F121703"/>
    </row>
    <row r="121704" spans="1:6" x14ac:dyDescent="0.25">
      <c r="A121704"/>
      <c r="B121704"/>
      <c r="C121704"/>
      <c r="E121704"/>
      <c r="F121704"/>
    </row>
    <row r="121705" spans="1:6" x14ac:dyDescent="0.25">
      <c r="A121705"/>
      <c r="B121705"/>
      <c r="C121705"/>
      <c r="E121705"/>
      <c r="F121705"/>
    </row>
    <row r="121706" spans="1:6" x14ac:dyDescent="0.25">
      <c r="A121706"/>
      <c r="B121706"/>
      <c r="C121706"/>
      <c r="E121706"/>
      <c r="F121706"/>
    </row>
    <row r="121707" spans="1:6" x14ac:dyDescent="0.25">
      <c r="A121707"/>
      <c r="B121707"/>
      <c r="C121707"/>
      <c r="E121707"/>
      <c r="F121707"/>
    </row>
    <row r="121708" spans="1:6" x14ac:dyDescent="0.25">
      <c r="A121708"/>
      <c r="B121708"/>
      <c r="C121708"/>
      <c r="E121708"/>
      <c r="F121708"/>
    </row>
    <row r="121709" spans="1:6" x14ac:dyDescent="0.25">
      <c r="A121709"/>
      <c r="B121709"/>
      <c r="C121709"/>
      <c r="E121709"/>
      <c r="F121709"/>
    </row>
    <row r="121710" spans="1:6" x14ac:dyDescent="0.25">
      <c r="A121710"/>
      <c r="B121710"/>
      <c r="C121710"/>
      <c r="E121710"/>
      <c r="F121710"/>
    </row>
    <row r="121711" spans="1:6" x14ac:dyDescent="0.25">
      <c r="A121711"/>
      <c r="B121711"/>
      <c r="C121711"/>
      <c r="E121711"/>
      <c r="F121711"/>
    </row>
    <row r="121712" spans="1:6" x14ac:dyDescent="0.25">
      <c r="A121712"/>
      <c r="B121712"/>
      <c r="C121712"/>
      <c r="E121712"/>
      <c r="F121712"/>
    </row>
    <row r="121713" spans="1:6" x14ac:dyDescent="0.25">
      <c r="A121713"/>
      <c r="B121713"/>
      <c r="C121713"/>
      <c r="E121713"/>
      <c r="F121713"/>
    </row>
    <row r="121714" spans="1:6" x14ac:dyDescent="0.25">
      <c r="A121714"/>
      <c r="B121714"/>
      <c r="C121714"/>
      <c r="E121714"/>
      <c r="F121714"/>
    </row>
    <row r="121715" spans="1:6" x14ac:dyDescent="0.25">
      <c r="A121715"/>
      <c r="B121715"/>
      <c r="C121715"/>
      <c r="E121715"/>
      <c r="F121715"/>
    </row>
    <row r="121716" spans="1:6" x14ac:dyDescent="0.25">
      <c r="A121716"/>
      <c r="B121716"/>
      <c r="C121716"/>
      <c r="E121716"/>
      <c r="F121716"/>
    </row>
    <row r="121717" spans="1:6" x14ac:dyDescent="0.25">
      <c r="A121717"/>
      <c r="B121717"/>
      <c r="C121717"/>
      <c r="E121717"/>
      <c r="F121717"/>
    </row>
    <row r="121718" spans="1:6" x14ac:dyDescent="0.25">
      <c r="A121718"/>
      <c r="B121718"/>
      <c r="C121718"/>
      <c r="E121718"/>
      <c r="F121718"/>
    </row>
    <row r="121719" spans="1:6" x14ac:dyDescent="0.25">
      <c r="A121719"/>
      <c r="B121719"/>
      <c r="C121719"/>
      <c r="E121719"/>
      <c r="F121719"/>
    </row>
    <row r="121720" spans="1:6" x14ac:dyDescent="0.25">
      <c r="A121720"/>
      <c r="B121720"/>
      <c r="C121720"/>
      <c r="E121720"/>
      <c r="F121720"/>
    </row>
    <row r="121721" spans="1:6" x14ac:dyDescent="0.25">
      <c r="A121721"/>
      <c r="B121721"/>
      <c r="C121721"/>
      <c r="E121721"/>
      <c r="F121721"/>
    </row>
    <row r="121722" spans="1:6" x14ac:dyDescent="0.25">
      <c r="A121722"/>
      <c r="B121722"/>
      <c r="C121722"/>
      <c r="E121722"/>
      <c r="F121722"/>
    </row>
    <row r="121723" spans="1:6" x14ac:dyDescent="0.25">
      <c r="A121723"/>
      <c r="B121723"/>
      <c r="C121723"/>
      <c r="E121723"/>
      <c r="F121723"/>
    </row>
    <row r="121724" spans="1:6" x14ac:dyDescent="0.25">
      <c r="A121724"/>
      <c r="B121724"/>
      <c r="C121724"/>
      <c r="E121724"/>
      <c r="F121724"/>
    </row>
    <row r="121725" spans="1:6" x14ac:dyDescent="0.25">
      <c r="A121725"/>
      <c r="B121725"/>
      <c r="C121725"/>
      <c r="E121725"/>
      <c r="F121725"/>
    </row>
    <row r="121726" spans="1:6" x14ac:dyDescent="0.25">
      <c r="A121726"/>
      <c r="B121726"/>
      <c r="C121726"/>
      <c r="E121726"/>
      <c r="F121726"/>
    </row>
    <row r="121727" spans="1:6" x14ac:dyDescent="0.25">
      <c r="A121727"/>
      <c r="B121727"/>
      <c r="C121727"/>
      <c r="E121727"/>
      <c r="F121727"/>
    </row>
    <row r="121728" spans="1:6" x14ac:dyDescent="0.25">
      <c r="A121728"/>
      <c r="B121728"/>
      <c r="C121728"/>
      <c r="E121728"/>
      <c r="F121728"/>
    </row>
    <row r="121729" spans="1:6" x14ac:dyDescent="0.25">
      <c r="A121729"/>
      <c r="B121729"/>
      <c r="C121729"/>
      <c r="E121729"/>
      <c r="F121729"/>
    </row>
    <row r="121730" spans="1:6" x14ac:dyDescent="0.25">
      <c r="A121730"/>
      <c r="B121730"/>
      <c r="C121730"/>
      <c r="E121730"/>
      <c r="F121730"/>
    </row>
    <row r="121731" spans="1:6" x14ac:dyDescent="0.25">
      <c r="A121731"/>
      <c r="B121731"/>
      <c r="C121731"/>
      <c r="E121731"/>
      <c r="F121731"/>
    </row>
    <row r="121732" spans="1:6" x14ac:dyDescent="0.25">
      <c r="A121732"/>
      <c r="B121732"/>
      <c r="C121732"/>
      <c r="E121732"/>
      <c r="F121732"/>
    </row>
    <row r="121733" spans="1:6" x14ac:dyDescent="0.25">
      <c r="A121733"/>
      <c r="B121733"/>
      <c r="C121733"/>
      <c r="E121733"/>
      <c r="F121733"/>
    </row>
    <row r="121734" spans="1:6" x14ac:dyDescent="0.25">
      <c r="A121734"/>
      <c r="B121734"/>
      <c r="C121734"/>
      <c r="E121734"/>
      <c r="F121734"/>
    </row>
    <row r="121735" spans="1:6" x14ac:dyDescent="0.25">
      <c r="A121735"/>
      <c r="B121735"/>
      <c r="C121735"/>
      <c r="E121735"/>
      <c r="F121735"/>
    </row>
    <row r="121736" spans="1:6" x14ac:dyDescent="0.25">
      <c r="A121736"/>
      <c r="B121736"/>
      <c r="C121736"/>
      <c r="E121736"/>
      <c r="F121736"/>
    </row>
    <row r="121737" spans="1:6" x14ac:dyDescent="0.25">
      <c r="A121737"/>
      <c r="B121737"/>
      <c r="C121737"/>
      <c r="E121737"/>
      <c r="F121737"/>
    </row>
    <row r="121738" spans="1:6" x14ac:dyDescent="0.25">
      <c r="A121738"/>
      <c r="B121738"/>
      <c r="C121738"/>
      <c r="E121738"/>
      <c r="F121738"/>
    </row>
    <row r="121739" spans="1:6" x14ac:dyDescent="0.25">
      <c r="A121739"/>
      <c r="B121739"/>
      <c r="C121739"/>
      <c r="E121739"/>
      <c r="F121739"/>
    </row>
    <row r="121740" spans="1:6" x14ac:dyDescent="0.25">
      <c r="A121740"/>
      <c r="B121740"/>
      <c r="C121740"/>
      <c r="E121740"/>
      <c r="F121740"/>
    </row>
    <row r="121741" spans="1:6" x14ac:dyDescent="0.25">
      <c r="A121741"/>
      <c r="B121741"/>
      <c r="C121741"/>
      <c r="E121741"/>
      <c r="F121741"/>
    </row>
    <row r="121742" spans="1:6" x14ac:dyDescent="0.25">
      <c r="A121742"/>
      <c r="B121742"/>
      <c r="C121742"/>
      <c r="E121742"/>
      <c r="F121742"/>
    </row>
    <row r="121743" spans="1:6" x14ac:dyDescent="0.25">
      <c r="A121743"/>
      <c r="B121743"/>
      <c r="C121743"/>
      <c r="E121743"/>
      <c r="F121743"/>
    </row>
    <row r="121744" spans="1:6" x14ac:dyDescent="0.25">
      <c r="A121744"/>
      <c r="B121744"/>
      <c r="C121744"/>
      <c r="E121744"/>
      <c r="F121744"/>
    </row>
    <row r="121745" spans="1:6" x14ac:dyDescent="0.25">
      <c r="A121745"/>
      <c r="B121745"/>
      <c r="C121745"/>
      <c r="E121745"/>
      <c r="F121745"/>
    </row>
    <row r="121746" spans="1:6" x14ac:dyDescent="0.25">
      <c r="A121746"/>
      <c r="B121746"/>
      <c r="C121746"/>
      <c r="E121746"/>
      <c r="F121746"/>
    </row>
    <row r="121747" spans="1:6" x14ac:dyDescent="0.25">
      <c r="A121747"/>
      <c r="B121747"/>
      <c r="C121747"/>
      <c r="E121747"/>
      <c r="F121747"/>
    </row>
    <row r="121748" spans="1:6" x14ac:dyDescent="0.25">
      <c r="A121748"/>
      <c r="B121748"/>
      <c r="C121748"/>
      <c r="E121748"/>
      <c r="F121748"/>
    </row>
    <row r="121749" spans="1:6" x14ac:dyDescent="0.25">
      <c r="A121749"/>
      <c r="B121749"/>
      <c r="C121749"/>
      <c r="E121749"/>
      <c r="F121749"/>
    </row>
    <row r="121750" spans="1:6" x14ac:dyDescent="0.25">
      <c r="A121750"/>
      <c r="B121750"/>
      <c r="C121750"/>
      <c r="E121750"/>
      <c r="F121750"/>
    </row>
    <row r="121751" spans="1:6" x14ac:dyDescent="0.25">
      <c r="A121751"/>
      <c r="B121751"/>
      <c r="C121751"/>
      <c r="E121751"/>
      <c r="F121751"/>
    </row>
    <row r="121752" spans="1:6" x14ac:dyDescent="0.25">
      <c r="A121752"/>
      <c r="B121752"/>
      <c r="C121752"/>
      <c r="E121752"/>
      <c r="F121752"/>
    </row>
    <row r="121753" spans="1:6" x14ac:dyDescent="0.25">
      <c r="A121753"/>
      <c r="B121753"/>
      <c r="C121753"/>
      <c r="E121753"/>
      <c r="F121753"/>
    </row>
    <row r="121754" spans="1:6" x14ac:dyDescent="0.25">
      <c r="A121754"/>
      <c r="B121754"/>
      <c r="C121754"/>
      <c r="E121754"/>
      <c r="F121754"/>
    </row>
    <row r="121755" spans="1:6" x14ac:dyDescent="0.25">
      <c r="A121755"/>
      <c r="B121755"/>
      <c r="C121755"/>
      <c r="E121755"/>
      <c r="F121755"/>
    </row>
    <row r="121756" spans="1:6" x14ac:dyDescent="0.25">
      <c r="A121756"/>
      <c r="B121756"/>
      <c r="C121756"/>
      <c r="E121756"/>
      <c r="F121756"/>
    </row>
    <row r="121757" spans="1:6" x14ac:dyDescent="0.25">
      <c r="A121757"/>
      <c r="B121757"/>
      <c r="C121757"/>
      <c r="E121757"/>
      <c r="F121757"/>
    </row>
    <row r="121758" spans="1:6" x14ac:dyDescent="0.25">
      <c r="A121758"/>
      <c r="B121758"/>
      <c r="C121758"/>
      <c r="E121758"/>
      <c r="F121758"/>
    </row>
    <row r="121759" spans="1:6" x14ac:dyDescent="0.25">
      <c r="A121759"/>
      <c r="B121759"/>
      <c r="C121759"/>
      <c r="E121759"/>
      <c r="F121759"/>
    </row>
    <row r="121760" spans="1:6" x14ac:dyDescent="0.25">
      <c r="A121760"/>
      <c r="B121760"/>
      <c r="C121760"/>
      <c r="E121760"/>
      <c r="F121760"/>
    </row>
    <row r="121761" spans="1:6" x14ac:dyDescent="0.25">
      <c r="A121761"/>
      <c r="B121761"/>
      <c r="C121761"/>
      <c r="E121761"/>
      <c r="F121761"/>
    </row>
    <row r="121762" spans="1:6" x14ac:dyDescent="0.25">
      <c r="A121762"/>
      <c r="B121762"/>
      <c r="C121762"/>
      <c r="E121762"/>
      <c r="F121762"/>
    </row>
    <row r="121763" spans="1:6" x14ac:dyDescent="0.25">
      <c r="A121763"/>
      <c r="B121763"/>
      <c r="C121763"/>
      <c r="E121763"/>
      <c r="F121763"/>
    </row>
    <row r="121764" spans="1:6" x14ac:dyDescent="0.25">
      <c r="A121764"/>
      <c r="B121764"/>
      <c r="C121764"/>
      <c r="E121764"/>
      <c r="F121764"/>
    </row>
    <row r="121765" spans="1:6" x14ac:dyDescent="0.25">
      <c r="A121765"/>
      <c r="B121765"/>
      <c r="C121765"/>
      <c r="E121765"/>
      <c r="F121765"/>
    </row>
    <row r="121766" spans="1:6" x14ac:dyDescent="0.25">
      <c r="A121766"/>
      <c r="B121766"/>
      <c r="C121766"/>
      <c r="E121766"/>
      <c r="F121766"/>
    </row>
    <row r="121767" spans="1:6" x14ac:dyDescent="0.25">
      <c r="A121767"/>
      <c r="B121767"/>
      <c r="C121767"/>
      <c r="E121767"/>
      <c r="F121767"/>
    </row>
    <row r="121768" spans="1:6" x14ac:dyDescent="0.25">
      <c r="A121768"/>
      <c r="B121768"/>
      <c r="C121768"/>
      <c r="E121768"/>
      <c r="F121768"/>
    </row>
    <row r="121769" spans="1:6" x14ac:dyDescent="0.25">
      <c r="A121769"/>
      <c r="B121769"/>
      <c r="C121769"/>
      <c r="E121769"/>
      <c r="F121769"/>
    </row>
    <row r="121770" spans="1:6" x14ac:dyDescent="0.25">
      <c r="A121770"/>
      <c r="B121770"/>
      <c r="C121770"/>
      <c r="E121770"/>
      <c r="F121770"/>
    </row>
    <row r="121771" spans="1:6" x14ac:dyDescent="0.25">
      <c r="A121771"/>
      <c r="B121771"/>
      <c r="C121771"/>
      <c r="E121771"/>
      <c r="F121771"/>
    </row>
    <row r="121772" spans="1:6" x14ac:dyDescent="0.25">
      <c r="A121772"/>
      <c r="B121772"/>
      <c r="C121772"/>
      <c r="E121772"/>
      <c r="F121772"/>
    </row>
    <row r="121773" spans="1:6" x14ac:dyDescent="0.25">
      <c r="A121773"/>
      <c r="B121773"/>
      <c r="C121773"/>
      <c r="E121773"/>
      <c r="F121773"/>
    </row>
    <row r="121774" spans="1:6" x14ac:dyDescent="0.25">
      <c r="A121774"/>
      <c r="B121774"/>
      <c r="C121774"/>
      <c r="E121774"/>
      <c r="F121774"/>
    </row>
    <row r="121775" spans="1:6" x14ac:dyDescent="0.25">
      <c r="A121775"/>
      <c r="B121775"/>
      <c r="C121775"/>
      <c r="E121775"/>
      <c r="F121775"/>
    </row>
    <row r="121776" spans="1:6" x14ac:dyDescent="0.25">
      <c r="A121776"/>
      <c r="B121776"/>
      <c r="C121776"/>
      <c r="E121776"/>
      <c r="F121776"/>
    </row>
    <row r="121777" spans="1:6" x14ac:dyDescent="0.25">
      <c r="A121777"/>
      <c r="B121777"/>
      <c r="C121777"/>
      <c r="E121777"/>
      <c r="F121777"/>
    </row>
    <row r="121778" spans="1:6" x14ac:dyDescent="0.25">
      <c r="A121778"/>
      <c r="B121778"/>
      <c r="C121778"/>
      <c r="E121778"/>
      <c r="F121778"/>
    </row>
    <row r="121779" spans="1:6" x14ac:dyDescent="0.25">
      <c r="A121779"/>
      <c r="B121779"/>
      <c r="C121779"/>
      <c r="E121779"/>
      <c r="F121779"/>
    </row>
    <row r="121780" spans="1:6" x14ac:dyDescent="0.25">
      <c r="A121780"/>
      <c r="B121780"/>
      <c r="C121780"/>
      <c r="E121780"/>
      <c r="F121780"/>
    </row>
    <row r="121781" spans="1:6" x14ac:dyDescent="0.25">
      <c r="A121781"/>
      <c r="B121781"/>
      <c r="C121781"/>
      <c r="E121781"/>
      <c r="F121781"/>
    </row>
    <row r="121782" spans="1:6" x14ac:dyDescent="0.25">
      <c r="A121782"/>
      <c r="B121782"/>
      <c r="C121782"/>
      <c r="E121782"/>
      <c r="F121782"/>
    </row>
    <row r="121783" spans="1:6" x14ac:dyDescent="0.25">
      <c r="A121783"/>
      <c r="B121783"/>
      <c r="C121783"/>
      <c r="E121783"/>
      <c r="F121783"/>
    </row>
    <row r="121784" spans="1:6" x14ac:dyDescent="0.25">
      <c r="A121784"/>
      <c r="B121784"/>
      <c r="C121784"/>
      <c r="E121784"/>
      <c r="F121784"/>
    </row>
    <row r="121785" spans="1:6" x14ac:dyDescent="0.25">
      <c r="A121785"/>
      <c r="B121785"/>
      <c r="C121785"/>
      <c r="E121785"/>
      <c r="F121785"/>
    </row>
    <row r="121786" spans="1:6" x14ac:dyDescent="0.25">
      <c r="A121786"/>
      <c r="B121786"/>
      <c r="C121786"/>
      <c r="E121786"/>
      <c r="F121786"/>
    </row>
    <row r="121787" spans="1:6" x14ac:dyDescent="0.25">
      <c r="A121787"/>
      <c r="B121787"/>
      <c r="C121787"/>
      <c r="E121787"/>
      <c r="F121787"/>
    </row>
    <row r="121788" spans="1:6" x14ac:dyDescent="0.25">
      <c r="A121788"/>
      <c r="B121788"/>
      <c r="C121788"/>
      <c r="E121788"/>
      <c r="F121788"/>
    </row>
    <row r="121789" spans="1:6" x14ac:dyDescent="0.25">
      <c r="A121789"/>
      <c r="B121789"/>
      <c r="C121789"/>
      <c r="E121789"/>
      <c r="F121789"/>
    </row>
    <row r="121790" spans="1:6" x14ac:dyDescent="0.25">
      <c r="A121790"/>
      <c r="B121790"/>
      <c r="C121790"/>
      <c r="E121790"/>
      <c r="F121790"/>
    </row>
    <row r="121791" spans="1:6" x14ac:dyDescent="0.25">
      <c r="A121791"/>
      <c r="B121791"/>
      <c r="C121791"/>
      <c r="E121791"/>
      <c r="F121791"/>
    </row>
    <row r="121792" spans="1:6" x14ac:dyDescent="0.25">
      <c r="A121792"/>
      <c r="B121792"/>
      <c r="C121792"/>
      <c r="E121792"/>
      <c r="F121792"/>
    </row>
    <row r="121793" spans="1:6" x14ac:dyDescent="0.25">
      <c r="A121793"/>
      <c r="B121793"/>
      <c r="C121793"/>
      <c r="E121793"/>
      <c r="F121793"/>
    </row>
    <row r="121794" spans="1:6" x14ac:dyDescent="0.25">
      <c r="A121794"/>
      <c r="B121794"/>
      <c r="C121794"/>
      <c r="E121794"/>
      <c r="F121794"/>
    </row>
    <row r="121795" spans="1:6" x14ac:dyDescent="0.25">
      <c r="A121795"/>
      <c r="B121795"/>
      <c r="C121795"/>
      <c r="E121795"/>
      <c r="F121795"/>
    </row>
    <row r="121796" spans="1:6" x14ac:dyDescent="0.25">
      <c r="A121796"/>
      <c r="B121796"/>
      <c r="C121796"/>
      <c r="E121796"/>
      <c r="F121796"/>
    </row>
    <row r="121797" spans="1:6" x14ac:dyDescent="0.25">
      <c r="A121797"/>
      <c r="B121797"/>
      <c r="C121797"/>
      <c r="E121797"/>
      <c r="F121797"/>
    </row>
    <row r="121798" spans="1:6" x14ac:dyDescent="0.25">
      <c r="A121798"/>
      <c r="B121798"/>
      <c r="C121798"/>
      <c r="E121798"/>
      <c r="F121798"/>
    </row>
    <row r="121799" spans="1:6" x14ac:dyDescent="0.25">
      <c r="A121799"/>
      <c r="B121799"/>
      <c r="C121799"/>
      <c r="E121799"/>
      <c r="F121799"/>
    </row>
    <row r="121800" spans="1:6" x14ac:dyDescent="0.25">
      <c r="A121800"/>
      <c r="B121800"/>
      <c r="C121800"/>
      <c r="E121800"/>
      <c r="F121800"/>
    </row>
    <row r="121801" spans="1:6" x14ac:dyDescent="0.25">
      <c r="A121801"/>
      <c r="B121801"/>
      <c r="C121801"/>
      <c r="E121801"/>
      <c r="F121801"/>
    </row>
    <row r="121802" spans="1:6" x14ac:dyDescent="0.25">
      <c r="A121802"/>
      <c r="B121802"/>
      <c r="C121802"/>
      <c r="E121802"/>
      <c r="F121802"/>
    </row>
    <row r="121803" spans="1:6" x14ac:dyDescent="0.25">
      <c r="A121803"/>
      <c r="B121803"/>
      <c r="C121803"/>
      <c r="E121803"/>
      <c r="F121803"/>
    </row>
    <row r="121804" spans="1:6" x14ac:dyDescent="0.25">
      <c r="A121804"/>
      <c r="B121804"/>
      <c r="C121804"/>
      <c r="E121804"/>
      <c r="F121804"/>
    </row>
    <row r="121805" spans="1:6" x14ac:dyDescent="0.25">
      <c r="A121805"/>
      <c r="B121805"/>
      <c r="C121805"/>
      <c r="E121805"/>
      <c r="F121805"/>
    </row>
    <row r="121806" spans="1:6" x14ac:dyDescent="0.25">
      <c r="A121806"/>
      <c r="B121806"/>
      <c r="C121806"/>
      <c r="E121806"/>
      <c r="F121806"/>
    </row>
    <row r="121807" spans="1:6" x14ac:dyDescent="0.25">
      <c r="A121807"/>
      <c r="B121807"/>
      <c r="C121807"/>
      <c r="E121807"/>
      <c r="F121807"/>
    </row>
    <row r="121808" spans="1:6" x14ac:dyDescent="0.25">
      <c r="A121808"/>
      <c r="B121808"/>
      <c r="C121808"/>
      <c r="E121808"/>
      <c r="F121808"/>
    </row>
    <row r="121809" spans="1:6" x14ac:dyDescent="0.25">
      <c r="A121809"/>
      <c r="B121809"/>
      <c r="C121809"/>
      <c r="E121809"/>
      <c r="F121809"/>
    </row>
    <row r="121810" spans="1:6" x14ac:dyDescent="0.25">
      <c r="A121810"/>
      <c r="B121810"/>
      <c r="C121810"/>
      <c r="E121810"/>
      <c r="F121810"/>
    </row>
    <row r="121811" spans="1:6" x14ac:dyDescent="0.25">
      <c r="A121811"/>
      <c r="B121811"/>
      <c r="C121811"/>
      <c r="E121811"/>
      <c r="F121811"/>
    </row>
    <row r="121812" spans="1:6" x14ac:dyDescent="0.25">
      <c r="A121812"/>
      <c r="B121812"/>
      <c r="C121812"/>
      <c r="E121812"/>
      <c r="F121812"/>
    </row>
    <row r="121813" spans="1:6" x14ac:dyDescent="0.25">
      <c r="A121813"/>
      <c r="B121813"/>
      <c r="C121813"/>
      <c r="E121813"/>
      <c r="F121813"/>
    </row>
    <row r="121814" spans="1:6" x14ac:dyDescent="0.25">
      <c r="A121814"/>
      <c r="B121814"/>
      <c r="C121814"/>
      <c r="E121814"/>
      <c r="F121814"/>
    </row>
    <row r="121815" spans="1:6" x14ac:dyDescent="0.25">
      <c r="A121815"/>
      <c r="B121815"/>
      <c r="C121815"/>
      <c r="E121815"/>
      <c r="F121815"/>
    </row>
    <row r="121816" spans="1:6" x14ac:dyDescent="0.25">
      <c r="A121816"/>
      <c r="B121816"/>
      <c r="C121816"/>
      <c r="E121816"/>
      <c r="F121816"/>
    </row>
    <row r="121817" spans="1:6" x14ac:dyDescent="0.25">
      <c r="A121817"/>
      <c r="B121817"/>
      <c r="C121817"/>
      <c r="E121817"/>
      <c r="F121817"/>
    </row>
    <row r="121818" spans="1:6" x14ac:dyDescent="0.25">
      <c r="A121818"/>
      <c r="B121818"/>
      <c r="C121818"/>
      <c r="E121818"/>
      <c r="F121818"/>
    </row>
    <row r="121819" spans="1:6" x14ac:dyDescent="0.25">
      <c r="A121819"/>
      <c r="B121819"/>
      <c r="C121819"/>
      <c r="E121819"/>
      <c r="F121819"/>
    </row>
    <row r="121820" spans="1:6" x14ac:dyDescent="0.25">
      <c r="A121820"/>
      <c r="B121820"/>
      <c r="C121820"/>
      <c r="E121820"/>
      <c r="F121820"/>
    </row>
    <row r="121821" spans="1:6" x14ac:dyDescent="0.25">
      <c r="A121821"/>
      <c r="B121821"/>
      <c r="C121821"/>
      <c r="E121821"/>
      <c r="F121821"/>
    </row>
    <row r="121822" spans="1:6" x14ac:dyDescent="0.25">
      <c r="A121822"/>
      <c r="B121822"/>
      <c r="C121822"/>
      <c r="E121822"/>
      <c r="F121822"/>
    </row>
    <row r="121823" spans="1:6" x14ac:dyDescent="0.25">
      <c r="A121823"/>
      <c r="B121823"/>
      <c r="C121823"/>
      <c r="E121823"/>
      <c r="F121823"/>
    </row>
    <row r="121824" spans="1:6" x14ac:dyDescent="0.25">
      <c r="A121824"/>
      <c r="B121824"/>
      <c r="C121824"/>
      <c r="E121824"/>
      <c r="F121824"/>
    </row>
    <row r="121825" spans="1:6" x14ac:dyDescent="0.25">
      <c r="A121825"/>
      <c r="B121825"/>
      <c r="C121825"/>
      <c r="E121825"/>
      <c r="F121825"/>
    </row>
    <row r="121826" spans="1:6" x14ac:dyDescent="0.25">
      <c r="A121826"/>
      <c r="B121826"/>
      <c r="C121826"/>
      <c r="E121826"/>
      <c r="F121826"/>
    </row>
    <row r="121827" spans="1:6" x14ac:dyDescent="0.25">
      <c r="A121827"/>
      <c r="B121827"/>
      <c r="C121827"/>
      <c r="E121827"/>
      <c r="F121827"/>
    </row>
    <row r="121828" spans="1:6" x14ac:dyDescent="0.25">
      <c r="A121828"/>
      <c r="B121828"/>
      <c r="C121828"/>
      <c r="E121828"/>
      <c r="F121828"/>
    </row>
    <row r="121829" spans="1:6" x14ac:dyDescent="0.25">
      <c r="A121829"/>
      <c r="B121829"/>
      <c r="C121829"/>
      <c r="E121829"/>
      <c r="F121829"/>
    </row>
    <row r="121830" spans="1:6" x14ac:dyDescent="0.25">
      <c r="A121830"/>
      <c r="B121830"/>
      <c r="C121830"/>
      <c r="E121830"/>
      <c r="F121830"/>
    </row>
    <row r="121831" spans="1:6" x14ac:dyDescent="0.25">
      <c r="A121831"/>
      <c r="B121831"/>
      <c r="C121831"/>
      <c r="E121831"/>
      <c r="F121831"/>
    </row>
    <row r="121832" spans="1:6" x14ac:dyDescent="0.25">
      <c r="A121832"/>
      <c r="B121832"/>
      <c r="C121832"/>
      <c r="E121832"/>
      <c r="F121832"/>
    </row>
    <row r="121833" spans="1:6" x14ac:dyDescent="0.25">
      <c r="A121833"/>
      <c r="B121833"/>
      <c r="C121833"/>
      <c r="E121833"/>
      <c r="F121833"/>
    </row>
    <row r="121834" spans="1:6" x14ac:dyDescent="0.25">
      <c r="A121834"/>
      <c r="B121834"/>
      <c r="C121834"/>
      <c r="E121834"/>
      <c r="F121834"/>
    </row>
    <row r="121835" spans="1:6" x14ac:dyDescent="0.25">
      <c r="A121835"/>
      <c r="B121835"/>
      <c r="C121835"/>
      <c r="E121835"/>
      <c r="F121835"/>
    </row>
    <row r="121836" spans="1:6" x14ac:dyDescent="0.25">
      <c r="A121836"/>
      <c r="B121836"/>
      <c r="C121836"/>
      <c r="E121836"/>
      <c r="F121836"/>
    </row>
    <row r="121837" spans="1:6" x14ac:dyDescent="0.25">
      <c r="A121837"/>
      <c r="B121837"/>
      <c r="C121837"/>
      <c r="E121837"/>
      <c r="F121837"/>
    </row>
    <row r="121838" spans="1:6" x14ac:dyDescent="0.25">
      <c r="A121838"/>
      <c r="B121838"/>
      <c r="C121838"/>
      <c r="E121838"/>
      <c r="F121838"/>
    </row>
    <row r="121839" spans="1:6" x14ac:dyDescent="0.25">
      <c r="A121839"/>
      <c r="B121839"/>
      <c r="C121839"/>
      <c r="E121839"/>
      <c r="F121839"/>
    </row>
    <row r="121840" spans="1:6" x14ac:dyDescent="0.25">
      <c r="A121840"/>
      <c r="B121840"/>
      <c r="C121840"/>
      <c r="E121840"/>
      <c r="F121840"/>
    </row>
    <row r="121841" spans="1:6" x14ac:dyDescent="0.25">
      <c r="A121841"/>
      <c r="B121841"/>
      <c r="C121841"/>
      <c r="E121841"/>
      <c r="F121841"/>
    </row>
    <row r="121842" spans="1:6" x14ac:dyDescent="0.25">
      <c r="A121842"/>
      <c r="B121842"/>
      <c r="C121842"/>
      <c r="E121842"/>
      <c r="F121842"/>
    </row>
    <row r="121843" spans="1:6" x14ac:dyDescent="0.25">
      <c r="A121843"/>
      <c r="B121843"/>
      <c r="C121843"/>
      <c r="E121843"/>
      <c r="F121843"/>
    </row>
    <row r="121844" spans="1:6" x14ac:dyDescent="0.25">
      <c r="A121844"/>
      <c r="B121844"/>
      <c r="C121844"/>
      <c r="E121844"/>
      <c r="F121844"/>
    </row>
    <row r="121845" spans="1:6" x14ac:dyDescent="0.25">
      <c r="A121845"/>
      <c r="B121845"/>
      <c r="C121845"/>
      <c r="E121845"/>
      <c r="F121845"/>
    </row>
    <row r="121846" spans="1:6" x14ac:dyDescent="0.25">
      <c r="A121846"/>
      <c r="B121846"/>
      <c r="C121846"/>
      <c r="E121846"/>
      <c r="F121846"/>
    </row>
    <row r="121847" spans="1:6" x14ac:dyDescent="0.25">
      <c r="A121847"/>
      <c r="B121847"/>
      <c r="C121847"/>
      <c r="E121847"/>
      <c r="F121847"/>
    </row>
    <row r="121848" spans="1:6" x14ac:dyDescent="0.25">
      <c r="A121848"/>
      <c r="B121848"/>
      <c r="C121848"/>
      <c r="E121848"/>
      <c r="F121848"/>
    </row>
    <row r="121849" spans="1:6" x14ac:dyDescent="0.25">
      <c r="A121849"/>
      <c r="B121849"/>
      <c r="C121849"/>
      <c r="E121849"/>
      <c r="F121849"/>
    </row>
    <row r="121850" spans="1:6" x14ac:dyDescent="0.25">
      <c r="A121850"/>
      <c r="B121850"/>
      <c r="C121850"/>
      <c r="E121850"/>
      <c r="F121850"/>
    </row>
    <row r="121851" spans="1:6" x14ac:dyDescent="0.25">
      <c r="A121851"/>
      <c r="B121851"/>
      <c r="C121851"/>
      <c r="E121851"/>
      <c r="F121851"/>
    </row>
    <row r="121852" spans="1:6" x14ac:dyDescent="0.25">
      <c r="A121852"/>
      <c r="B121852"/>
      <c r="C121852"/>
      <c r="E121852"/>
      <c r="F121852"/>
    </row>
    <row r="121853" spans="1:6" x14ac:dyDescent="0.25">
      <c r="A121853"/>
      <c r="B121853"/>
      <c r="C121853"/>
      <c r="E121853"/>
      <c r="F121853"/>
    </row>
    <row r="121854" spans="1:6" x14ac:dyDescent="0.25">
      <c r="A121854"/>
      <c r="B121854"/>
      <c r="C121854"/>
      <c r="E121854"/>
      <c r="F121854"/>
    </row>
    <row r="121855" spans="1:6" x14ac:dyDescent="0.25">
      <c r="A121855"/>
      <c r="B121855"/>
      <c r="C121855"/>
      <c r="E121855"/>
      <c r="F121855"/>
    </row>
    <row r="121856" spans="1:6" x14ac:dyDescent="0.25">
      <c r="A121856"/>
      <c r="B121856"/>
      <c r="C121856"/>
      <c r="E121856"/>
      <c r="F121856"/>
    </row>
    <row r="121857" spans="1:6" x14ac:dyDescent="0.25">
      <c r="A121857"/>
      <c r="B121857"/>
      <c r="C121857"/>
      <c r="E121857"/>
      <c r="F121857"/>
    </row>
    <row r="121858" spans="1:6" x14ac:dyDescent="0.25">
      <c r="A121858"/>
      <c r="B121858"/>
      <c r="C121858"/>
      <c r="E121858"/>
      <c r="F121858"/>
    </row>
    <row r="121859" spans="1:6" x14ac:dyDescent="0.25">
      <c r="A121859"/>
      <c r="B121859"/>
      <c r="C121859"/>
      <c r="E121859"/>
      <c r="F121859"/>
    </row>
    <row r="121860" spans="1:6" x14ac:dyDescent="0.25">
      <c r="A121860"/>
      <c r="B121860"/>
      <c r="C121860"/>
      <c r="E121860"/>
      <c r="F121860"/>
    </row>
    <row r="121861" spans="1:6" x14ac:dyDescent="0.25">
      <c r="A121861"/>
      <c r="B121861"/>
      <c r="C121861"/>
      <c r="E121861"/>
      <c r="F121861"/>
    </row>
    <row r="121862" spans="1:6" x14ac:dyDescent="0.25">
      <c r="A121862"/>
      <c r="B121862"/>
      <c r="C121862"/>
      <c r="E121862"/>
      <c r="F121862"/>
    </row>
    <row r="121863" spans="1:6" x14ac:dyDescent="0.25">
      <c r="A121863"/>
      <c r="B121863"/>
      <c r="C121863"/>
      <c r="E121863"/>
      <c r="F121863"/>
    </row>
    <row r="121864" spans="1:6" x14ac:dyDescent="0.25">
      <c r="A121864"/>
      <c r="B121864"/>
      <c r="C121864"/>
      <c r="E121864"/>
      <c r="F121864"/>
    </row>
    <row r="121865" spans="1:6" x14ac:dyDescent="0.25">
      <c r="A121865"/>
      <c r="B121865"/>
      <c r="C121865"/>
      <c r="E121865"/>
      <c r="F121865"/>
    </row>
    <row r="121866" spans="1:6" x14ac:dyDescent="0.25">
      <c r="A121866"/>
      <c r="B121866"/>
      <c r="C121866"/>
      <c r="E121866"/>
      <c r="F121866"/>
    </row>
    <row r="121867" spans="1:6" x14ac:dyDescent="0.25">
      <c r="A121867"/>
      <c r="B121867"/>
      <c r="C121867"/>
      <c r="E121867"/>
      <c r="F121867"/>
    </row>
    <row r="121868" spans="1:6" x14ac:dyDescent="0.25">
      <c r="A121868"/>
      <c r="B121868"/>
      <c r="C121868"/>
      <c r="E121868"/>
      <c r="F121868"/>
    </row>
    <row r="121869" spans="1:6" x14ac:dyDescent="0.25">
      <c r="A121869"/>
      <c r="B121869"/>
      <c r="C121869"/>
      <c r="E121869"/>
      <c r="F121869"/>
    </row>
    <row r="121870" spans="1:6" x14ac:dyDescent="0.25">
      <c r="A121870"/>
      <c r="B121870"/>
      <c r="C121870"/>
      <c r="E121870"/>
      <c r="F121870"/>
    </row>
    <row r="121871" spans="1:6" x14ac:dyDescent="0.25">
      <c r="A121871"/>
      <c r="B121871"/>
      <c r="C121871"/>
      <c r="E121871"/>
      <c r="F121871"/>
    </row>
    <row r="121872" spans="1:6" x14ac:dyDescent="0.25">
      <c r="A121872"/>
      <c r="B121872"/>
      <c r="C121872"/>
      <c r="E121872"/>
      <c r="F121872"/>
    </row>
    <row r="121873" spans="1:6" x14ac:dyDescent="0.25">
      <c r="A121873"/>
      <c r="B121873"/>
      <c r="C121873"/>
      <c r="E121873"/>
      <c r="F121873"/>
    </row>
    <row r="121874" spans="1:6" x14ac:dyDescent="0.25">
      <c r="A121874"/>
      <c r="B121874"/>
      <c r="C121874"/>
      <c r="E121874"/>
      <c r="F121874"/>
    </row>
    <row r="121875" spans="1:6" x14ac:dyDescent="0.25">
      <c r="A121875"/>
      <c r="B121875"/>
      <c r="C121875"/>
      <c r="E121875"/>
      <c r="F121875"/>
    </row>
    <row r="121876" spans="1:6" x14ac:dyDescent="0.25">
      <c r="A121876"/>
      <c r="B121876"/>
      <c r="C121876"/>
      <c r="E121876"/>
      <c r="F121876"/>
    </row>
    <row r="121877" spans="1:6" x14ac:dyDescent="0.25">
      <c r="A121877"/>
      <c r="B121877"/>
      <c r="C121877"/>
      <c r="E121877"/>
      <c r="F121877"/>
    </row>
    <row r="121878" spans="1:6" x14ac:dyDescent="0.25">
      <c r="A121878"/>
      <c r="B121878"/>
      <c r="C121878"/>
      <c r="E121878"/>
      <c r="F121878"/>
    </row>
    <row r="121879" spans="1:6" x14ac:dyDescent="0.25">
      <c r="A121879"/>
      <c r="B121879"/>
      <c r="C121879"/>
      <c r="E121879"/>
      <c r="F121879"/>
    </row>
    <row r="121880" spans="1:6" x14ac:dyDescent="0.25">
      <c r="A121880"/>
      <c r="B121880"/>
      <c r="C121880"/>
      <c r="E121880"/>
      <c r="F121880"/>
    </row>
    <row r="121881" spans="1:6" x14ac:dyDescent="0.25">
      <c r="A121881"/>
      <c r="B121881"/>
      <c r="C121881"/>
      <c r="E121881"/>
      <c r="F121881"/>
    </row>
    <row r="121882" spans="1:6" x14ac:dyDescent="0.25">
      <c r="A121882"/>
      <c r="B121882"/>
      <c r="C121882"/>
      <c r="E121882"/>
      <c r="F121882"/>
    </row>
    <row r="121883" spans="1:6" x14ac:dyDescent="0.25">
      <c r="A121883"/>
      <c r="B121883"/>
      <c r="C121883"/>
      <c r="E121883"/>
      <c r="F121883"/>
    </row>
    <row r="121884" spans="1:6" x14ac:dyDescent="0.25">
      <c r="A121884"/>
      <c r="B121884"/>
      <c r="C121884"/>
      <c r="E121884"/>
      <c r="F121884"/>
    </row>
    <row r="121885" spans="1:6" x14ac:dyDescent="0.25">
      <c r="A121885"/>
      <c r="B121885"/>
      <c r="C121885"/>
      <c r="E121885"/>
      <c r="F121885"/>
    </row>
    <row r="121886" spans="1:6" x14ac:dyDescent="0.25">
      <c r="A121886"/>
      <c r="B121886"/>
      <c r="C121886"/>
      <c r="E121886"/>
      <c r="F121886"/>
    </row>
    <row r="121887" spans="1:6" x14ac:dyDescent="0.25">
      <c r="A121887"/>
      <c r="B121887"/>
      <c r="C121887"/>
      <c r="E121887"/>
      <c r="F121887"/>
    </row>
    <row r="121888" spans="1:6" x14ac:dyDescent="0.25">
      <c r="A121888"/>
      <c r="B121888"/>
      <c r="C121888"/>
      <c r="E121888"/>
      <c r="F121888"/>
    </row>
    <row r="121889" spans="1:6" x14ac:dyDescent="0.25">
      <c r="A121889"/>
      <c r="B121889"/>
      <c r="C121889"/>
      <c r="E121889"/>
      <c r="F121889"/>
    </row>
    <row r="121890" spans="1:6" x14ac:dyDescent="0.25">
      <c r="A121890"/>
      <c r="B121890"/>
      <c r="C121890"/>
      <c r="E121890"/>
      <c r="F121890"/>
    </row>
    <row r="121891" spans="1:6" x14ac:dyDescent="0.25">
      <c r="A121891"/>
      <c r="B121891"/>
      <c r="C121891"/>
      <c r="E121891"/>
      <c r="F121891"/>
    </row>
    <row r="121892" spans="1:6" x14ac:dyDescent="0.25">
      <c r="A121892"/>
      <c r="B121892"/>
      <c r="C121892"/>
      <c r="E121892"/>
      <c r="F121892"/>
    </row>
    <row r="121893" spans="1:6" x14ac:dyDescent="0.25">
      <c r="A121893"/>
      <c r="B121893"/>
      <c r="C121893"/>
      <c r="E121893"/>
      <c r="F121893"/>
    </row>
    <row r="121894" spans="1:6" x14ac:dyDescent="0.25">
      <c r="A121894"/>
      <c r="B121894"/>
      <c r="C121894"/>
      <c r="E121894"/>
      <c r="F121894"/>
    </row>
    <row r="121895" spans="1:6" x14ac:dyDescent="0.25">
      <c r="A121895"/>
      <c r="B121895"/>
      <c r="C121895"/>
      <c r="E121895"/>
      <c r="F121895"/>
    </row>
    <row r="121896" spans="1:6" x14ac:dyDescent="0.25">
      <c r="A121896"/>
      <c r="B121896"/>
      <c r="C121896"/>
      <c r="E121896"/>
      <c r="F121896"/>
    </row>
    <row r="121897" spans="1:6" x14ac:dyDescent="0.25">
      <c r="A121897"/>
      <c r="B121897"/>
      <c r="C121897"/>
      <c r="E121897"/>
      <c r="F121897"/>
    </row>
    <row r="121898" spans="1:6" x14ac:dyDescent="0.25">
      <c r="A121898"/>
      <c r="B121898"/>
      <c r="C121898"/>
      <c r="E121898"/>
      <c r="F121898"/>
    </row>
    <row r="121899" spans="1:6" x14ac:dyDescent="0.25">
      <c r="A121899"/>
      <c r="B121899"/>
      <c r="C121899"/>
      <c r="E121899"/>
      <c r="F121899"/>
    </row>
    <row r="121900" spans="1:6" x14ac:dyDescent="0.25">
      <c r="A121900"/>
      <c r="B121900"/>
      <c r="C121900"/>
      <c r="E121900"/>
      <c r="F121900"/>
    </row>
    <row r="121901" spans="1:6" x14ac:dyDescent="0.25">
      <c r="A121901"/>
      <c r="B121901"/>
      <c r="C121901"/>
      <c r="E121901"/>
      <c r="F121901"/>
    </row>
    <row r="121902" spans="1:6" x14ac:dyDescent="0.25">
      <c r="A121902"/>
      <c r="B121902"/>
      <c r="C121902"/>
      <c r="E121902"/>
      <c r="F121902"/>
    </row>
    <row r="121903" spans="1:6" x14ac:dyDescent="0.25">
      <c r="A121903"/>
      <c r="B121903"/>
      <c r="C121903"/>
      <c r="E121903"/>
      <c r="F121903"/>
    </row>
    <row r="121904" spans="1:6" x14ac:dyDescent="0.25">
      <c r="A121904"/>
      <c r="B121904"/>
      <c r="C121904"/>
      <c r="E121904"/>
      <c r="F121904"/>
    </row>
    <row r="121905" spans="1:6" x14ac:dyDescent="0.25">
      <c r="A121905"/>
      <c r="B121905"/>
      <c r="C121905"/>
      <c r="E121905"/>
      <c r="F121905"/>
    </row>
    <row r="121906" spans="1:6" x14ac:dyDescent="0.25">
      <c r="A121906"/>
      <c r="B121906"/>
      <c r="C121906"/>
      <c r="E121906"/>
      <c r="F121906"/>
    </row>
    <row r="121907" spans="1:6" x14ac:dyDescent="0.25">
      <c r="A121907"/>
      <c r="B121907"/>
      <c r="C121907"/>
      <c r="E121907"/>
      <c r="F121907"/>
    </row>
    <row r="121908" spans="1:6" x14ac:dyDescent="0.25">
      <c r="A121908"/>
      <c r="B121908"/>
      <c r="C121908"/>
      <c r="E121908"/>
      <c r="F121908"/>
    </row>
    <row r="121909" spans="1:6" x14ac:dyDescent="0.25">
      <c r="A121909"/>
      <c r="B121909"/>
      <c r="C121909"/>
      <c r="E121909"/>
      <c r="F121909"/>
    </row>
    <row r="121910" spans="1:6" x14ac:dyDescent="0.25">
      <c r="A121910"/>
      <c r="B121910"/>
      <c r="C121910"/>
      <c r="E121910"/>
      <c r="F121910"/>
    </row>
    <row r="121911" spans="1:6" x14ac:dyDescent="0.25">
      <c r="A121911"/>
      <c r="B121911"/>
      <c r="C121911"/>
      <c r="E121911"/>
      <c r="F121911"/>
    </row>
    <row r="121912" spans="1:6" x14ac:dyDescent="0.25">
      <c r="A121912"/>
      <c r="B121912"/>
      <c r="C121912"/>
      <c r="E121912"/>
      <c r="F121912"/>
    </row>
    <row r="121913" spans="1:6" x14ac:dyDescent="0.25">
      <c r="A121913"/>
      <c r="B121913"/>
      <c r="C121913"/>
      <c r="E121913"/>
      <c r="F121913"/>
    </row>
    <row r="121914" spans="1:6" x14ac:dyDescent="0.25">
      <c r="A121914"/>
      <c r="B121914"/>
      <c r="C121914"/>
      <c r="E121914"/>
      <c r="F121914"/>
    </row>
    <row r="121915" spans="1:6" x14ac:dyDescent="0.25">
      <c r="A121915"/>
      <c r="B121915"/>
      <c r="C121915"/>
      <c r="E121915"/>
      <c r="F121915"/>
    </row>
    <row r="121916" spans="1:6" x14ac:dyDescent="0.25">
      <c r="A121916"/>
      <c r="B121916"/>
      <c r="C121916"/>
      <c r="E121916"/>
      <c r="F121916"/>
    </row>
    <row r="121917" spans="1:6" x14ac:dyDescent="0.25">
      <c r="A121917"/>
      <c r="B121917"/>
      <c r="C121917"/>
      <c r="E121917"/>
      <c r="F121917"/>
    </row>
    <row r="121918" spans="1:6" x14ac:dyDescent="0.25">
      <c r="A121918"/>
      <c r="B121918"/>
      <c r="C121918"/>
      <c r="E121918"/>
      <c r="F121918"/>
    </row>
    <row r="121919" spans="1:6" x14ac:dyDescent="0.25">
      <c r="A121919"/>
      <c r="B121919"/>
      <c r="C121919"/>
      <c r="E121919"/>
      <c r="F121919"/>
    </row>
    <row r="121920" spans="1:6" x14ac:dyDescent="0.25">
      <c r="A121920"/>
      <c r="B121920"/>
      <c r="C121920"/>
      <c r="E121920"/>
      <c r="F121920"/>
    </row>
    <row r="121921" spans="1:6" x14ac:dyDescent="0.25">
      <c r="A121921"/>
      <c r="B121921"/>
      <c r="C121921"/>
      <c r="E121921"/>
      <c r="F121921"/>
    </row>
    <row r="121922" spans="1:6" x14ac:dyDescent="0.25">
      <c r="A121922"/>
      <c r="B121922"/>
      <c r="C121922"/>
      <c r="E121922"/>
      <c r="F121922"/>
    </row>
    <row r="121923" spans="1:6" x14ac:dyDescent="0.25">
      <c r="A121923"/>
      <c r="B121923"/>
      <c r="C121923"/>
      <c r="E121923"/>
      <c r="F121923"/>
    </row>
    <row r="121924" spans="1:6" x14ac:dyDescent="0.25">
      <c r="A121924"/>
      <c r="B121924"/>
      <c r="C121924"/>
      <c r="E121924"/>
      <c r="F121924"/>
    </row>
    <row r="121925" spans="1:6" x14ac:dyDescent="0.25">
      <c r="A121925"/>
      <c r="B121925"/>
      <c r="C121925"/>
      <c r="E121925"/>
      <c r="F121925"/>
    </row>
    <row r="121926" spans="1:6" x14ac:dyDescent="0.25">
      <c r="A121926"/>
      <c r="B121926"/>
      <c r="C121926"/>
      <c r="E121926"/>
      <c r="F121926"/>
    </row>
    <row r="121927" spans="1:6" x14ac:dyDescent="0.25">
      <c r="A121927"/>
      <c r="B121927"/>
      <c r="C121927"/>
      <c r="E121927"/>
      <c r="F121927"/>
    </row>
    <row r="121928" spans="1:6" x14ac:dyDescent="0.25">
      <c r="A121928"/>
      <c r="B121928"/>
      <c r="C121928"/>
      <c r="E121928"/>
      <c r="F121928"/>
    </row>
    <row r="121929" spans="1:6" x14ac:dyDescent="0.25">
      <c r="A121929"/>
      <c r="B121929"/>
      <c r="C121929"/>
      <c r="E121929"/>
      <c r="F121929"/>
    </row>
    <row r="121930" spans="1:6" x14ac:dyDescent="0.25">
      <c r="A121930"/>
      <c r="B121930"/>
      <c r="C121930"/>
      <c r="E121930"/>
      <c r="F121930"/>
    </row>
    <row r="121931" spans="1:6" x14ac:dyDescent="0.25">
      <c r="A121931"/>
      <c r="B121931"/>
      <c r="C121931"/>
      <c r="E121931"/>
      <c r="F121931"/>
    </row>
    <row r="121932" spans="1:6" x14ac:dyDescent="0.25">
      <c r="A121932"/>
      <c r="B121932"/>
      <c r="C121932"/>
      <c r="E121932"/>
      <c r="F121932"/>
    </row>
    <row r="121933" spans="1:6" x14ac:dyDescent="0.25">
      <c r="A121933"/>
      <c r="B121933"/>
      <c r="C121933"/>
      <c r="E121933"/>
      <c r="F121933"/>
    </row>
    <row r="121934" spans="1:6" x14ac:dyDescent="0.25">
      <c r="A121934"/>
      <c r="B121934"/>
      <c r="C121934"/>
      <c r="E121934"/>
      <c r="F121934"/>
    </row>
    <row r="121935" spans="1:6" x14ac:dyDescent="0.25">
      <c r="A121935"/>
      <c r="B121935"/>
      <c r="C121935"/>
      <c r="E121935"/>
      <c r="F121935"/>
    </row>
    <row r="121936" spans="1:6" x14ac:dyDescent="0.25">
      <c r="A121936"/>
      <c r="B121936"/>
      <c r="C121936"/>
      <c r="E121936"/>
      <c r="F121936"/>
    </row>
    <row r="121937" spans="1:6" x14ac:dyDescent="0.25">
      <c r="A121937"/>
      <c r="B121937"/>
      <c r="C121937"/>
      <c r="E121937"/>
      <c r="F121937"/>
    </row>
    <row r="121938" spans="1:6" x14ac:dyDescent="0.25">
      <c r="A121938"/>
      <c r="B121938"/>
      <c r="C121938"/>
      <c r="E121938"/>
      <c r="F121938"/>
    </row>
    <row r="121939" spans="1:6" x14ac:dyDescent="0.25">
      <c r="A121939"/>
      <c r="B121939"/>
      <c r="C121939"/>
      <c r="E121939"/>
      <c r="F121939"/>
    </row>
    <row r="121940" spans="1:6" x14ac:dyDescent="0.25">
      <c r="A121940"/>
      <c r="B121940"/>
      <c r="C121940"/>
      <c r="E121940"/>
      <c r="F121940"/>
    </row>
    <row r="121941" spans="1:6" x14ac:dyDescent="0.25">
      <c r="A121941"/>
      <c r="B121941"/>
      <c r="C121941"/>
      <c r="E121941"/>
      <c r="F121941"/>
    </row>
    <row r="121942" spans="1:6" x14ac:dyDescent="0.25">
      <c r="A121942"/>
      <c r="B121942"/>
      <c r="C121942"/>
      <c r="E121942"/>
      <c r="F121942"/>
    </row>
    <row r="121943" spans="1:6" x14ac:dyDescent="0.25">
      <c r="A121943"/>
      <c r="B121943"/>
      <c r="C121943"/>
      <c r="E121943"/>
      <c r="F121943"/>
    </row>
    <row r="121944" spans="1:6" x14ac:dyDescent="0.25">
      <c r="A121944"/>
      <c r="B121944"/>
      <c r="C121944"/>
      <c r="E121944"/>
      <c r="F121944"/>
    </row>
    <row r="121945" spans="1:6" x14ac:dyDescent="0.25">
      <c r="A121945"/>
      <c r="B121945"/>
      <c r="C121945"/>
      <c r="E121945"/>
      <c r="F121945"/>
    </row>
    <row r="121946" spans="1:6" x14ac:dyDescent="0.25">
      <c r="A121946"/>
      <c r="B121946"/>
      <c r="C121946"/>
      <c r="E121946"/>
      <c r="F121946"/>
    </row>
    <row r="121947" spans="1:6" x14ac:dyDescent="0.25">
      <c r="A121947"/>
      <c r="B121947"/>
      <c r="C121947"/>
      <c r="E121947"/>
      <c r="F121947"/>
    </row>
    <row r="121948" spans="1:6" x14ac:dyDescent="0.25">
      <c r="A121948"/>
      <c r="B121948"/>
      <c r="C121948"/>
      <c r="E121948"/>
      <c r="F121948"/>
    </row>
    <row r="121949" spans="1:6" x14ac:dyDescent="0.25">
      <c r="A121949"/>
      <c r="B121949"/>
      <c r="C121949"/>
      <c r="E121949"/>
      <c r="F121949"/>
    </row>
    <row r="121950" spans="1:6" x14ac:dyDescent="0.25">
      <c r="A121950"/>
      <c r="B121950"/>
      <c r="C121950"/>
      <c r="E121950"/>
      <c r="F121950"/>
    </row>
    <row r="121951" spans="1:6" x14ac:dyDescent="0.25">
      <c r="A121951"/>
      <c r="B121951"/>
      <c r="C121951"/>
      <c r="E121951"/>
      <c r="F121951"/>
    </row>
    <row r="121952" spans="1:6" x14ac:dyDescent="0.25">
      <c r="A121952"/>
      <c r="B121952"/>
      <c r="C121952"/>
      <c r="E121952"/>
      <c r="F121952"/>
    </row>
    <row r="121953" spans="1:6" x14ac:dyDescent="0.25">
      <c r="A121953"/>
      <c r="B121953"/>
      <c r="C121953"/>
      <c r="E121953"/>
      <c r="F121953"/>
    </row>
    <row r="121954" spans="1:6" x14ac:dyDescent="0.25">
      <c r="A121954"/>
      <c r="B121954"/>
      <c r="C121954"/>
      <c r="E121954"/>
      <c r="F121954"/>
    </row>
    <row r="121955" spans="1:6" x14ac:dyDescent="0.25">
      <c r="A121955"/>
      <c r="B121955"/>
      <c r="C121955"/>
      <c r="E121955"/>
      <c r="F121955"/>
    </row>
    <row r="121956" spans="1:6" x14ac:dyDescent="0.25">
      <c r="A121956"/>
      <c r="B121956"/>
      <c r="C121956"/>
      <c r="E121956"/>
      <c r="F121956"/>
    </row>
    <row r="121957" spans="1:6" x14ac:dyDescent="0.25">
      <c r="A121957"/>
      <c r="B121957"/>
      <c r="C121957"/>
      <c r="E121957"/>
      <c r="F121957"/>
    </row>
    <row r="121958" spans="1:6" x14ac:dyDescent="0.25">
      <c r="A121958"/>
      <c r="B121958"/>
      <c r="C121958"/>
      <c r="E121958"/>
      <c r="F121958"/>
    </row>
    <row r="121959" spans="1:6" x14ac:dyDescent="0.25">
      <c r="A121959"/>
      <c r="B121959"/>
      <c r="C121959"/>
      <c r="E121959"/>
      <c r="F121959"/>
    </row>
    <row r="121960" spans="1:6" x14ac:dyDescent="0.25">
      <c r="A121960"/>
      <c r="B121960"/>
      <c r="C121960"/>
      <c r="E121960"/>
      <c r="F121960"/>
    </row>
    <row r="121961" spans="1:6" x14ac:dyDescent="0.25">
      <c r="A121961"/>
      <c r="B121961"/>
      <c r="C121961"/>
      <c r="E121961"/>
      <c r="F121961"/>
    </row>
    <row r="121962" spans="1:6" x14ac:dyDescent="0.25">
      <c r="A121962"/>
      <c r="B121962"/>
      <c r="C121962"/>
      <c r="E121962"/>
      <c r="F121962"/>
    </row>
    <row r="121963" spans="1:6" x14ac:dyDescent="0.25">
      <c r="A121963"/>
      <c r="B121963"/>
      <c r="C121963"/>
      <c r="E121963"/>
      <c r="F121963"/>
    </row>
    <row r="121964" spans="1:6" x14ac:dyDescent="0.25">
      <c r="A121964"/>
      <c r="B121964"/>
      <c r="C121964"/>
      <c r="E121964"/>
      <c r="F121964"/>
    </row>
    <row r="121965" spans="1:6" x14ac:dyDescent="0.25">
      <c r="A121965"/>
      <c r="B121965"/>
      <c r="C121965"/>
      <c r="E121965"/>
      <c r="F121965"/>
    </row>
    <row r="121966" spans="1:6" x14ac:dyDescent="0.25">
      <c r="A121966"/>
      <c r="B121966"/>
      <c r="C121966"/>
      <c r="E121966"/>
      <c r="F121966"/>
    </row>
    <row r="121967" spans="1:6" x14ac:dyDescent="0.25">
      <c r="A121967"/>
      <c r="B121967"/>
      <c r="C121967"/>
      <c r="E121967"/>
      <c r="F121967"/>
    </row>
    <row r="121968" spans="1:6" x14ac:dyDescent="0.25">
      <c r="A121968"/>
      <c r="B121968"/>
      <c r="C121968"/>
      <c r="E121968"/>
      <c r="F121968"/>
    </row>
    <row r="121969" spans="1:6" x14ac:dyDescent="0.25">
      <c r="A121969"/>
      <c r="B121969"/>
      <c r="C121969"/>
      <c r="E121969"/>
      <c r="F121969"/>
    </row>
    <row r="121970" spans="1:6" x14ac:dyDescent="0.25">
      <c r="A121970"/>
      <c r="B121970"/>
      <c r="C121970"/>
      <c r="E121970"/>
      <c r="F121970"/>
    </row>
    <row r="121971" spans="1:6" x14ac:dyDescent="0.25">
      <c r="A121971"/>
      <c r="B121971"/>
      <c r="C121971"/>
      <c r="E121971"/>
      <c r="F121971"/>
    </row>
    <row r="121972" spans="1:6" x14ac:dyDescent="0.25">
      <c r="A121972"/>
      <c r="B121972"/>
      <c r="C121972"/>
      <c r="E121972"/>
      <c r="F121972"/>
    </row>
    <row r="121973" spans="1:6" x14ac:dyDescent="0.25">
      <c r="A121973"/>
      <c r="B121973"/>
      <c r="C121973"/>
      <c r="E121973"/>
      <c r="F121973"/>
    </row>
    <row r="121974" spans="1:6" x14ac:dyDescent="0.25">
      <c r="A121974"/>
      <c r="B121974"/>
      <c r="C121974"/>
      <c r="E121974"/>
      <c r="F121974"/>
    </row>
    <row r="121975" spans="1:6" x14ac:dyDescent="0.25">
      <c r="A121975"/>
      <c r="B121975"/>
      <c r="C121975"/>
      <c r="E121975"/>
      <c r="F121975"/>
    </row>
    <row r="121976" spans="1:6" x14ac:dyDescent="0.25">
      <c r="A121976"/>
      <c r="B121976"/>
      <c r="C121976"/>
      <c r="E121976"/>
      <c r="F121976"/>
    </row>
    <row r="121977" spans="1:6" x14ac:dyDescent="0.25">
      <c r="A121977"/>
      <c r="B121977"/>
      <c r="C121977"/>
      <c r="E121977"/>
      <c r="F121977"/>
    </row>
    <row r="121978" spans="1:6" x14ac:dyDescent="0.25">
      <c r="A121978"/>
      <c r="B121978"/>
      <c r="C121978"/>
      <c r="E121978"/>
      <c r="F121978"/>
    </row>
    <row r="121979" spans="1:6" x14ac:dyDescent="0.25">
      <c r="A121979"/>
      <c r="B121979"/>
      <c r="C121979"/>
      <c r="E121979"/>
      <c r="F121979"/>
    </row>
    <row r="121980" spans="1:6" x14ac:dyDescent="0.25">
      <c r="A121980"/>
      <c r="B121980"/>
      <c r="C121980"/>
      <c r="E121980"/>
      <c r="F121980"/>
    </row>
    <row r="121981" spans="1:6" x14ac:dyDescent="0.25">
      <c r="A121981"/>
      <c r="B121981"/>
      <c r="C121981"/>
      <c r="E121981"/>
      <c r="F121981"/>
    </row>
    <row r="121982" spans="1:6" x14ac:dyDescent="0.25">
      <c r="A121982"/>
      <c r="B121982"/>
      <c r="C121982"/>
      <c r="E121982"/>
      <c r="F121982"/>
    </row>
    <row r="121983" spans="1:6" x14ac:dyDescent="0.25">
      <c r="A121983"/>
      <c r="B121983"/>
      <c r="C121983"/>
      <c r="E121983"/>
      <c r="F121983"/>
    </row>
    <row r="121984" spans="1:6" x14ac:dyDescent="0.25">
      <c r="A121984"/>
      <c r="B121984"/>
      <c r="C121984"/>
      <c r="E121984"/>
      <c r="F121984"/>
    </row>
    <row r="121985" spans="1:6" x14ac:dyDescent="0.25">
      <c r="A121985"/>
      <c r="B121985"/>
      <c r="C121985"/>
      <c r="E121985"/>
      <c r="F121985"/>
    </row>
    <row r="121986" spans="1:6" x14ac:dyDescent="0.25">
      <c r="A121986"/>
      <c r="B121986"/>
      <c r="C121986"/>
      <c r="E121986"/>
      <c r="F121986"/>
    </row>
    <row r="121987" spans="1:6" x14ac:dyDescent="0.25">
      <c r="A121987"/>
      <c r="B121987"/>
      <c r="C121987"/>
      <c r="E121987"/>
      <c r="F121987"/>
    </row>
    <row r="121988" spans="1:6" x14ac:dyDescent="0.25">
      <c r="A121988"/>
      <c r="B121988"/>
      <c r="C121988"/>
      <c r="E121988"/>
      <c r="F121988"/>
    </row>
    <row r="121989" spans="1:6" x14ac:dyDescent="0.25">
      <c r="A121989"/>
      <c r="B121989"/>
      <c r="C121989"/>
      <c r="E121989"/>
      <c r="F121989"/>
    </row>
    <row r="121990" spans="1:6" x14ac:dyDescent="0.25">
      <c r="A121990"/>
      <c r="B121990"/>
      <c r="C121990"/>
      <c r="E121990"/>
      <c r="F121990"/>
    </row>
    <row r="121991" spans="1:6" x14ac:dyDescent="0.25">
      <c r="A121991"/>
      <c r="B121991"/>
      <c r="C121991"/>
      <c r="E121991"/>
      <c r="F121991"/>
    </row>
    <row r="121992" spans="1:6" x14ac:dyDescent="0.25">
      <c r="A121992"/>
      <c r="B121992"/>
      <c r="C121992"/>
      <c r="E121992"/>
      <c r="F121992"/>
    </row>
    <row r="121993" spans="1:6" x14ac:dyDescent="0.25">
      <c r="A121993"/>
      <c r="B121993"/>
      <c r="C121993"/>
      <c r="E121993"/>
      <c r="F121993"/>
    </row>
    <row r="121994" spans="1:6" x14ac:dyDescent="0.25">
      <c r="A121994"/>
      <c r="B121994"/>
      <c r="C121994"/>
      <c r="E121994"/>
      <c r="F121994"/>
    </row>
    <row r="121995" spans="1:6" x14ac:dyDescent="0.25">
      <c r="A121995"/>
      <c r="B121995"/>
      <c r="C121995"/>
      <c r="E121995"/>
      <c r="F121995"/>
    </row>
    <row r="121996" spans="1:6" x14ac:dyDescent="0.25">
      <c r="A121996"/>
      <c r="B121996"/>
      <c r="C121996"/>
      <c r="E121996"/>
      <c r="F121996"/>
    </row>
    <row r="121997" spans="1:6" x14ac:dyDescent="0.25">
      <c r="A121997"/>
      <c r="B121997"/>
      <c r="C121997"/>
      <c r="E121997"/>
      <c r="F121997"/>
    </row>
    <row r="121998" spans="1:6" x14ac:dyDescent="0.25">
      <c r="A121998"/>
      <c r="B121998"/>
      <c r="C121998"/>
      <c r="E121998"/>
      <c r="F121998"/>
    </row>
    <row r="121999" spans="1:6" x14ac:dyDescent="0.25">
      <c r="A121999"/>
      <c r="B121999"/>
      <c r="C121999"/>
      <c r="E121999"/>
      <c r="F121999"/>
    </row>
    <row r="122000" spans="1:6" x14ac:dyDescent="0.25">
      <c r="A122000"/>
      <c r="B122000"/>
      <c r="C122000"/>
      <c r="E122000"/>
      <c r="F122000"/>
    </row>
    <row r="122001" spans="1:6" x14ac:dyDescent="0.25">
      <c r="A122001"/>
      <c r="B122001"/>
      <c r="C122001"/>
      <c r="E122001"/>
      <c r="F122001"/>
    </row>
    <row r="122002" spans="1:6" x14ac:dyDescent="0.25">
      <c r="A122002"/>
      <c r="B122002"/>
      <c r="C122002"/>
      <c r="E122002"/>
      <c r="F122002"/>
    </row>
    <row r="122003" spans="1:6" x14ac:dyDescent="0.25">
      <c r="A122003"/>
      <c r="B122003"/>
      <c r="C122003"/>
      <c r="E122003"/>
      <c r="F122003"/>
    </row>
    <row r="122004" spans="1:6" x14ac:dyDescent="0.25">
      <c r="A122004"/>
      <c r="B122004"/>
      <c r="C122004"/>
      <c r="E122004"/>
      <c r="F122004"/>
    </row>
    <row r="122005" spans="1:6" x14ac:dyDescent="0.25">
      <c r="A122005"/>
      <c r="B122005"/>
      <c r="C122005"/>
      <c r="E122005"/>
      <c r="F122005"/>
    </row>
    <row r="122006" spans="1:6" x14ac:dyDescent="0.25">
      <c r="A122006"/>
      <c r="B122006"/>
      <c r="C122006"/>
      <c r="E122006"/>
      <c r="F122006"/>
    </row>
    <row r="122007" spans="1:6" x14ac:dyDescent="0.25">
      <c r="A122007"/>
      <c r="B122007"/>
      <c r="C122007"/>
      <c r="E122007"/>
      <c r="F122007"/>
    </row>
    <row r="122008" spans="1:6" x14ac:dyDescent="0.25">
      <c r="A122008"/>
      <c r="B122008"/>
      <c r="C122008"/>
      <c r="E122008"/>
      <c r="F122008"/>
    </row>
    <row r="122009" spans="1:6" x14ac:dyDescent="0.25">
      <c r="A122009"/>
      <c r="B122009"/>
      <c r="C122009"/>
      <c r="E122009"/>
      <c r="F122009"/>
    </row>
    <row r="122010" spans="1:6" x14ac:dyDescent="0.25">
      <c r="A122010"/>
      <c r="B122010"/>
      <c r="C122010"/>
      <c r="E122010"/>
      <c r="F122010"/>
    </row>
    <row r="122011" spans="1:6" x14ac:dyDescent="0.25">
      <c r="A122011"/>
      <c r="B122011"/>
      <c r="C122011"/>
      <c r="E122011"/>
      <c r="F122011"/>
    </row>
    <row r="122012" spans="1:6" x14ac:dyDescent="0.25">
      <c r="A122012"/>
      <c r="B122012"/>
      <c r="C122012"/>
      <c r="E122012"/>
      <c r="F122012"/>
    </row>
    <row r="122013" spans="1:6" x14ac:dyDescent="0.25">
      <c r="A122013"/>
      <c r="B122013"/>
      <c r="C122013"/>
      <c r="E122013"/>
      <c r="F122013"/>
    </row>
    <row r="122014" spans="1:6" x14ac:dyDescent="0.25">
      <c r="A122014"/>
      <c r="B122014"/>
      <c r="C122014"/>
      <c r="E122014"/>
      <c r="F122014"/>
    </row>
    <row r="122015" spans="1:6" x14ac:dyDescent="0.25">
      <c r="A122015"/>
      <c r="B122015"/>
      <c r="C122015"/>
      <c r="E122015"/>
      <c r="F122015"/>
    </row>
    <row r="122016" spans="1:6" x14ac:dyDescent="0.25">
      <c r="A122016"/>
      <c r="B122016"/>
      <c r="C122016"/>
      <c r="E122016"/>
      <c r="F122016"/>
    </row>
    <row r="122017" spans="1:6" x14ac:dyDescent="0.25">
      <c r="A122017"/>
      <c r="B122017"/>
      <c r="C122017"/>
      <c r="E122017"/>
      <c r="F122017"/>
    </row>
    <row r="122018" spans="1:6" x14ac:dyDescent="0.25">
      <c r="A122018"/>
      <c r="B122018"/>
      <c r="C122018"/>
      <c r="E122018"/>
      <c r="F122018"/>
    </row>
    <row r="122019" spans="1:6" x14ac:dyDescent="0.25">
      <c r="A122019"/>
      <c r="B122019"/>
      <c r="C122019"/>
      <c r="E122019"/>
      <c r="F122019"/>
    </row>
    <row r="122020" spans="1:6" x14ac:dyDescent="0.25">
      <c r="A122020"/>
      <c r="B122020"/>
      <c r="C122020"/>
      <c r="E122020"/>
      <c r="F122020"/>
    </row>
    <row r="122021" spans="1:6" x14ac:dyDescent="0.25">
      <c r="A122021"/>
      <c r="B122021"/>
      <c r="C122021"/>
      <c r="E122021"/>
      <c r="F122021"/>
    </row>
    <row r="122022" spans="1:6" x14ac:dyDescent="0.25">
      <c r="A122022"/>
      <c r="B122022"/>
      <c r="C122022"/>
      <c r="E122022"/>
      <c r="F122022"/>
    </row>
    <row r="122023" spans="1:6" x14ac:dyDescent="0.25">
      <c r="A122023"/>
      <c r="B122023"/>
      <c r="C122023"/>
      <c r="E122023"/>
      <c r="F122023"/>
    </row>
    <row r="122024" spans="1:6" x14ac:dyDescent="0.25">
      <c r="A122024"/>
      <c r="B122024"/>
      <c r="C122024"/>
      <c r="E122024"/>
      <c r="F122024"/>
    </row>
    <row r="122025" spans="1:6" x14ac:dyDescent="0.25">
      <c r="A122025"/>
      <c r="B122025"/>
      <c r="C122025"/>
      <c r="E122025"/>
      <c r="F122025"/>
    </row>
    <row r="122026" spans="1:6" x14ac:dyDescent="0.25">
      <c r="A122026"/>
      <c r="B122026"/>
      <c r="C122026"/>
      <c r="E122026"/>
      <c r="F122026"/>
    </row>
    <row r="122027" spans="1:6" x14ac:dyDescent="0.25">
      <c r="A122027"/>
      <c r="B122027"/>
      <c r="C122027"/>
      <c r="E122027"/>
      <c r="F122027"/>
    </row>
    <row r="122028" spans="1:6" x14ac:dyDescent="0.25">
      <c r="A122028"/>
      <c r="B122028"/>
      <c r="C122028"/>
      <c r="E122028"/>
      <c r="F122028"/>
    </row>
    <row r="122029" spans="1:6" x14ac:dyDescent="0.25">
      <c r="A122029"/>
      <c r="B122029"/>
      <c r="C122029"/>
      <c r="E122029"/>
      <c r="F122029"/>
    </row>
    <row r="122030" spans="1:6" x14ac:dyDescent="0.25">
      <c r="A122030"/>
      <c r="B122030"/>
      <c r="C122030"/>
      <c r="E122030"/>
      <c r="F122030"/>
    </row>
    <row r="122031" spans="1:6" x14ac:dyDescent="0.25">
      <c r="A122031"/>
      <c r="B122031"/>
      <c r="C122031"/>
      <c r="E122031"/>
      <c r="F122031"/>
    </row>
    <row r="122032" spans="1:6" x14ac:dyDescent="0.25">
      <c r="A122032"/>
      <c r="B122032"/>
      <c r="C122032"/>
      <c r="E122032"/>
      <c r="F122032"/>
    </row>
    <row r="122033" spans="1:6" x14ac:dyDescent="0.25">
      <c r="A122033"/>
      <c r="B122033"/>
      <c r="C122033"/>
      <c r="E122033"/>
      <c r="F122033"/>
    </row>
    <row r="122034" spans="1:6" x14ac:dyDescent="0.25">
      <c r="A122034"/>
      <c r="B122034"/>
      <c r="C122034"/>
      <c r="E122034"/>
      <c r="F122034"/>
    </row>
    <row r="122035" spans="1:6" x14ac:dyDescent="0.25">
      <c r="A122035"/>
      <c r="B122035"/>
      <c r="C122035"/>
      <c r="E122035"/>
      <c r="F122035"/>
    </row>
    <row r="122036" spans="1:6" x14ac:dyDescent="0.25">
      <c r="A122036"/>
      <c r="B122036"/>
      <c r="C122036"/>
      <c r="E122036"/>
      <c r="F122036"/>
    </row>
    <row r="122037" spans="1:6" x14ac:dyDescent="0.25">
      <c r="A122037"/>
      <c r="B122037"/>
      <c r="C122037"/>
      <c r="E122037"/>
      <c r="F122037"/>
    </row>
    <row r="122038" spans="1:6" x14ac:dyDescent="0.25">
      <c r="A122038"/>
      <c r="B122038"/>
      <c r="C122038"/>
      <c r="E122038"/>
      <c r="F122038"/>
    </row>
    <row r="122039" spans="1:6" x14ac:dyDescent="0.25">
      <c r="A122039"/>
      <c r="B122039"/>
      <c r="C122039"/>
      <c r="E122039"/>
      <c r="F122039"/>
    </row>
    <row r="122040" spans="1:6" x14ac:dyDescent="0.25">
      <c r="A122040"/>
      <c r="B122040"/>
      <c r="C122040"/>
      <c r="E122040"/>
      <c r="F122040"/>
    </row>
    <row r="122041" spans="1:6" x14ac:dyDescent="0.25">
      <c r="A122041"/>
      <c r="B122041"/>
      <c r="C122041"/>
      <c r="E122041"/>
      <c r="F122041"/>
    </row>
    <row r="122042" spans="1:6" x14ac:dyDescent="0.25">
      <c r="A122042"/>
      <c r="B122042"/>
      <c r="C122042"/>
      <c r="E122042"/>
      <c r="F122042"/>
    </row>
    <row r="122043" spans="1:6" x14ac:dyDescent="0.25">
      <c r="A122043"/>
      <c r="B122043"/>
      <c r="C122043"/>
      <c r="E122043"/>
      <c r="F122043"/>
    </row>
    <row r="122044" spans="1:6" x14ac:dyDescent="0.25">
      <c r="A122044"/>
      <c r="B122044"/>
      <c r="C122044"/>
      <c r="E122044"/>
      <c r="F122044"/>
    </row>
    <row r="122045" spans="1:6" x14ac:dyDescent="0.25">
      <c r="A122045"/>
      <c r="B122045"/>
      <c r="C122045"/>
      <c r="E122045"/>
      <c r="F122045"/>
    </row>
    <row r="122046" spans="1:6" x14ac:dyDescent="0.25">
      <c r="A122046"/>
      <c r="B122046"/>
      <c r="C122046"/>
      <c r="E122046"/>
      <c r="F122046"/>
    </row>
    <row r="122047" spans="1:6" x14ac:dyDescent="0.25">
      <c r="A122047"/>
      <c r="B122047"/>
      <c r="C122047"/>
      <c r="E122047"/>
      <c r="F122047"/>
    </row>
    <row r="122048" spans="1:6" x14ac:dyDescent="0.25">
      <c r="A122048"/>
      <c r="B122048"/>
      <c r="C122048"/>
      <c r="E122048"/>
      <c r="F122048"/>
    </row>
    <row r="122049" spans="1:6" x14ac:dyDescent="0.25">
      <c r="A122049"/>
      <c r="B122049"/>
      <c r="C122049"/>
      <c r="E122049"/>
      <c r="F122049"/>
    </row>
    <row r="122050" spans="1:6" x14ac:dyDescent="0.25">
      <c r="A122050"/>
      <c r="B122050"/>
      <c r="C122050"/>
      <c r="E122050"/>
      <c r="F122050"/>
    </row>
    <row r="122051" spans="1:6" x14ac:dyDescent="0.25">
      <c r="A122051"/>
      <c r="B122051"/>
      <c r="C122051"/>
      <c r="E122051"/>
      <c r="F122051"/>
    </row>
    <row r="122052" spans="1:6" x14ac:dyDescent="0.25">
      <c r="A122052"/>
      <c r="B122052"/>
      <c r="C122052"/>
      <c r="E122052"/>
      <c r="F122052"/>
    </row>
    <row r="122053" spans="1:6" x14ac:dyDescent="0.25">
      <c r="A122053"/>
      <c r="B122053"/>
      <c r="C122053"/>
      <c r="E122053"/>
      <c r="F122053"/>
    </row>
    <row r="122054" spans="1:6" x14ac:dyDescent="0.25">
      <c r="A122054"/>
      <c r="B122054"/>
      <c r="C122054"/>
      <c r="E122054"/>
      <c r="F122054"/>
    </row>
    <row r="122055" spans="1:6" x14ac:dyDescent="0.25">
      <c r="A122055"/>
      <c r="B122055"/>
      <c r="C122055"/>
      <c r="E122055"/>
      <c r="F122055"/>
    </row>
    <row r="122056" spans="1:6" x14ac:dyDescent="0.25">
      <c r="A122056"/>
      <c r="B122056"/>
      <c r="C122056"/>
      <c r="E122056"/>
      <c r="F122056"/>
    </row>
    <row r="122057" spans="1:6" x14ac:dyDescent="0.25">
      <c r="A122057"/>
      <c r="B122057"/>
      <c r="C122057"/>
      <c r="E122057"/>
      <c r="F122057"/>
    </row>
    <row r="122058" spans="1:6" x14ac:dyDescent="0.25">
      <c r="A122058"/>
      <c r="B122058"/>
      <c r="C122058"/>
      <c r="E122058"/>
      <c r="F122058"/>
    </row>
    <row r="122059" spans="1:6" x14ac:dyDescent="0.25">
      <c r="A122059"/>
      <c r="B122059"/>
      <c r="C122059"/>
      <c r="E122059"/>
      <c r="F122059"/>
    </row>
    <row r="122060" spans="1:6" x14ac:dyDescent="0.25">
      <c r="A122060"/>
      <c r="B122060"/>
      <c r="C122060"/>
      <c r="E122060"/>
      <c r="F122060"/>
    </row>
    <row r="122061" spans="1:6" x14ac:dyDescent="0.25">
      <c r="A122061"/>
      <c r="B122061"/>
      <c r="C122061"/>
      <c r="E122061"/>
      <c r="F122061"/>
    </row>
    <row r="122062" spans="1:6" x14ac:dyDescent="0.25">
      <c r="A122062"/>
      <c r="B122062"/>
      <c r="C122062"/>
      <c r="E122062"/>
      <c r="F122062"/>
    </row>
    <row r="122063" spans="1:6" x14ac:dyDescent="0.25">
      <c r="A122063"/>
      <c r="B122063"/>
      <c r="C122063"/>
      <c r="E122063"/>
      <c r="F122063"/>
    </row>
    <row r="122064" spans="1:6" x14ac:dyDescent="0.25">
      <c r="A122064"/>
      <c r="B122064"/>
      <c r="C122064"/>
      <c r="E122064"/>
      <c r="F122064"/>
    </row>
    <row r="122065" spans="1:6" x14ac:dyDescent="0.25">
      <c r="A122065"/>
      <c r="B122065"/>
      <c r="C122065"/>
      <c r="E122065"/>
      <c r="F122065"/>
    </row>
    <row r="122066" spans="1:6" x14ac:dyDescent="0.25">
      <c r="A122066"/>
      <c r="B122066"/>
      <c r="C122066"/>
      <c r="E122066"/>
      <c r="F122066"/>
    </row>
    <row r="122067" spans="1:6" x14ac:dyDescent="0.25">
      <c r="A122067"/>
      <c r="B122067"/>
      <c r="C122067"/>
      <c r="E122067"/>
      <c r="F122067"/>
    </row>
    <row r="122068" spans="1:6" x14ac:dyDescent="0.25">
      <c r="A122068"/>
      <c r="B122068"/>
      <c r="C122068"/>
      <c r="E122068"/>
      <c r="F122068"/>
    </row>
    <row r="122069" spans="1:6" x14ac:dyDescent="0.25">
      <c r="A122069"/>
      <c r="B122069"/>
      <c r="C122069"/>
      <c r="E122069"/>
      <c r="F122069"/>
    </row>
    <row r="122070" spans="1:6" x14ac:dyDescent="0.25">
      <c r="A122070"/>
      <c r="B122070"/>
      <c r="C122070"/>
      <c r="E122070"/>
      <c r="F122070"/>
    </row>
    <row r="122071" spans="1:6" x14ac:dyDescent="0.25">
      <c r="A122071"/>
      <c r="B122071"/>
      <c r="C122071"/>
      <c r="E122071"/>
      <c r="F122071"/>
    </row>
    <row r="122072" spans="1:6" x14ac:dyDescent="0.25">
      <c r="A122072"/>
      <c r="B122072"/>
      <c r="C122072"/>
      <c r="E122072"/>
      <c r="F122072"/>
    </row>
    <row r="122073" spans="1:6" x14ac:dyDescent="0.25">
      <c r="A122073"/>
      <c r="B122073"/>
      <c r="C122073"/>
      <c r="E122073"/>
      <c r="F122073"/>
    </row>
    <row r="122074" spans="1:6" x14ac:dyDescent="0.25">
      <c r="A122074"/>
      <c r="B122074"/>
      <c r="C122074"/>
      <c r="E122074"/>
      <c r="F122074"/>
    </row>
    <row r="122075" spans="1:6" x14ac:dyDescent="0.25">
      <c r="A122075"/>
      <c r="B122075"/>
      <c r="C122075"/>
      <c r="E122075"/>
      <c r="F122075"/>
    </row>
    <row r="122076" spans="1:6" x14ac:dyDescent="0.25">
      <c r="A122076"/>
      <c r="B122076"/>
      <c r="C122076"/>
      <c r="E122076"/>
      <c r="F122076"/>
    </row>
    <row r="122077" spans="1:6" x14ac:dyDescent="0.25">
      <c r="A122077"/>
      <c r="B122077"/>
      <c r="C122077"/>
      <c r="E122077"/>
      <c r="F122077"/>
    </row>
    <row r="122078" spans="1:6" x14ac:dyDescent="0.25">
      <c r="A122078"/>
      <c r="B122078"/>
      <c r="C122078"/>
      <c r="E122078"/>
      <c r="F122078"/>
    </row>
    <row r="122079" spans="1:6" x14ac:dyDescent="0.25">
      <c r="A122079"/>
      <c r="B122079"/>
      <c r="C122079"/>
      <c r="E122079"/>
      <c r="F122079"/>
    </row>
    <row r="122080" spans="1:6" x14ac:dyDescent="0.25">
      <c r="A122080"/>
      <c r="B122080"/>
      <c r="C122080"/>
      <c r="E122080"/>
      <c r="F122080"/>
    </row>
    <row r="122081" spans="1:6" x14ac:dyDescent="0.25">
      <c r="A122081"/>
      <c r="B122081"/>
      <c r="C122081"/>
      <c r="E122081"/>
      <c r="F122081"/>
    </row>
    <row r="122082" spans="1:6" x14ac:dyDescent="0.25">
      <c r="A122082"/>
      <c r="B122082"/>
      <c r="C122082"/>
      <c r="E122082"/>
      <c r="F122082"/>
    </row>
    <row r="122083" spans="1:6" x14ac:dyDescent="0.25">
      <c r="A122083"/>
      <c r="B122083"/>
      <c r="C122083"/>
      <c r="E122083"/>
      <c r="F122083"/>
    </row>
    <row r="122084" spans="1:6" x14ac:dyDescent="0.25">
      <c r="A122084"/>
      <c r="B122084"/>
      <c r="C122084"/>
      <c r="E122084"/>
      <c r="F122084"/>
    </row>
    <row r="122085" spans="1:6" x14ac:dyDescent="0.25">
      <c r="A122085"/>
      <c r="B122085"/>
      <c r="C122085"/>
      <c r="E122085"/>
      <c r="F122085"/>
    </row>
    <row r="122086" spans="1:6" x14ac:dyDescent="0.25">
      <c r="A122086"/>
      <c r="B122086"/>
      <c r="C122086"/>
      <c r="E122086"/>
      <c r="F122086"/>
    </row>
    <row r="122087" spans="1:6" x14ac:dyDescent="0.25">
      <c r="A122087"/>
      <c r="B122087"/>
      <c r="C122087"/>
      <c r="E122087"/>
      <c r="F122087"/>
    </row>
    <row r="122088" spans="1:6" x14ac:dyDescent="0.25">
      <c r="A122088"/>
      <c r="B122088"/>
      <c r="C122088"/>
      <c r="E122088"/>
      <c r="F122088"/>
    </row>
    <row r="122089" spans="1:6" x14ac:dyDescent="0.25">
      <c r="A122089"/>
      <c r="B122089"/>
      <c r="C122089"/>
      <c r="E122089"/>
      <c r="F122089"/>
    </row>
    <row r="122090" spans="1:6" x14ac:dyDescent="0.25">
      <c r="A122090"/>
      <c r="B122090"/>
      <c r="C122090"/>
      <c r="E122090"/>
      <c r="F122090"/>
    </row>
    <row r="122091" spans="1:6" x14ac:dyDescent="0.25">
      <c r="A122091"/>
      <c r="B122091"/>
      <c r="C122091"/>
      <c r="E122091"/>
      <c r="F122091"/>
    </row>
    <row r="122092" spans="1:6" x14ac:dyDescent="0.25">
      <c r="A122092"/>
      <c r="B122092"/>
      <c r="C122092"/>
      <c r="E122092"/>
      <c r="F122092"/>
    </row>
    <row r="122093" spans="1:6" x14ac:dyDescent="0.25">
      <c r="A122093"/>
      <c r="B122093"/>
      <c r="C122093"/>
      <c r="E122093"/>
      <c r="F122093"/>
    </row>
    <row r="122094" spans="1:6" x14ac:dyDescent="0.25">
      <c r="A122094"/>
      <c r="B122094"/>
      <c r="C122094"/>
      <c r="E122094"/>
      <c r="F122094"/>
    </row>
    <row r="122095" spans="1:6" x14ac:dyDescent="0.25">
      <c r="A122095"/>
      <c r="B122095"/>
      <c r="C122095"/>
      <c r="E122095"/>
      <c r="F122095"/>
    </row>
    <row r="122096" spans="1:6" x14ac:dyDescent="0.25">
      <c r="A122096"/>
      <c r="B122096"/>
      <c r="C122096"/>
      <c r="E122096"/>
      <c r="F122096"/>
    </row>
    <row r="122097" spans="1:6" x14ac:dyDescent="0.25">
      <c r="A122097"/>
      <c r="B122097"/>
      <c r="C122097"/>
      <c r="E122097"/>
      <c r="F122097"/>
    </row>
    <row r="122098" spans="1:6" x14ac:dyDescent="0.25">
      <c r="A122098"/>
      <c r="B122098"/>
      <c r="C122098"/>
      <c r="E122098"/>
      <c r="F122098"/>
    </row>
    <row r="122099" spans="1:6" x14ac:dyDescent="0.25">
      <c r="A122099"/>
      <c r="B122099"/>
      <c r="C122099"/>
      <c r="E122099"/>
      <c r="F122099"/>
    </row>
    <row r="122100" spans="1:6" x14ac:dyDescent="0.25">
      <c r="A122100"/>
      <c r="B122100"/>
      <c r="C122100"/>
      <c r="E122100"/>
      <c r="F122100"/>
    </row>
    <row r="122101" spans="1:6" x14ac:dyDescent="0.25">
      <c r="A122101"/>
      <c r="B122101"/>
      <c r="C122101"/>
      <c r="E122101"/>
      <c r="F122101"/>
    </row>
    <row r="122102" spans="1:6" x14ac:dyDescent="0.25">
      <c r="A122102"/>
      <c r="B122102"/>
      <c r="C122102"/>
      <c r="E122102"/>
      <c r="F122102"/>
    </row>
    <row r="122103" spans="1:6" x14ac:dyDescent="0.25">
      <c r="A122103"/>
      <c r="B122103"/>
      <c r="C122103"/>
      <c r="E122103"/>
      <c r="F122103"/>
    </row>
    <row r="122104" spans="1:6" x14ac:dyDescent="0.25">
      <c r="A122104"/>
      <c r="B122104"/>
      <c r="C122104"/>
      <c r="E122104"/>
      <c r="F122104"/>
    </row>
    <row r="122105" spans="1:6" x14ac:dyDescent="0.25">
      <c r="A122105"/>
      <c r="B122105"/>
      <c r="C122105"/>
      <c r="E122105"/>
      <c r="F122105"/>
    </row>
    <row r="122106" spans="1:6" x14ac:dyDescent="0.25">
      <c r="A122106"/>
      <c r="B122106"/>
      <c r="C122106"/>
      <c r="E122106"/>
      <c r="F122106"/>
    </row>
    <row r="122107" spans="1:6" x14ac:dyDescent="0.25">
      <c r="A122107"/>
      <c r="B122107"/>
      <c r="C122107"/>
      <c r="E122107"/>
      <c r="F122107"/>
    </row>
    <row r="122108" spans="1:6" x14ac:dyDescent="0.25">
      <c r="A122108"/>
      <c r="B122108"/>
      <c r="C122108"/>
      <c r="E122108"/>
      <c r="F122108"/>
    </row>
    <row r="122109" spans="1:6" x14ac:dyDescent="0.25">
      <c r="A122109"/>
      <c r="B122109"/>
      <c r="C122109"/>
      <c r="E122109"/>
      <c r="F122109"/>
    </row>
    <row r="122110" spans="1:6" x14ac:dyDescent="0.25">
      <c r="A122110"/>
      <c r="B122110"/>
      <c r="C122110"/>
      <c r="E122110"/>
      <c r="F122110"/>
    </row>
    <row r="122111" spans="1:6" x14ac:dyDescent="0.25">
      <c r="A122111"/>
      <c r="B122111"/>
      <c r="C122111"/>
      <c r="E122111"/>
      <c r="F122111"/>
    </row>
    <row r="122112" spans="1:6" x14ac:dyDescent="0.25">
      <c r="A122112"/>
      <c r="B122112"/>
      <c r="C122112"/>
      <c r="E122112"/>
      <c r="F122112"/>
    </row>
    <row r="122113" spans="1:6" x14ac:dyDescent="0.25">
      <c r="A122113"/>
      <c r="B122113"/>
      <c r="C122113"/>
      <c r="E122113"/>
      <c r="F122113"/>
    </row>
    <row r="122114" spans="1:6" x14ac:dyDescent="0.25">
      <c r="A122114"/>
      <c r="B122114"/>
      <c r="C122114"/>
      <c r="E122114"/>
      <c r="F122114"/>
    </row>
    <row r="122115" spans="1:6" x14ac:dyDescent="0.25">
      <c r="A122115"/>
      <c r="B122115"/>
      <c r="C122115"/>
      <c r="E122115"/>
      <c r="F122115"/>
    </row>
    <row r="122116" spans="1:6" x14ac:dyDescent="0.25">
      <c r="A122116"/>
      <c r="B122116"/>
      <c r="C122116"/>
      <c r="E122116"/>
      <c r="F122116"/>
    </row>
    <row r="122117" spans="1:6" x14ac:dyDescent="0.25">
      <c r="A122117"/>
      <c r="B122117"/>
      <c r="C122117"/>
      <c r="E122117"/>
      <c r="F122117"/>
    </row>
    <row r="122118" spans="1:6" x14ac:dyDescent="0.25">
      <c r="A122118"/>
      <c r="B122118"/>
      <c r="C122118"/>
      <c r="E122118"/>
      <c r="F122118"/>
    </row>
    <row r="122119" spans="1:6" x14ac:dyDescent="0.25">
      <c r="A122119"/>
      <c r="B122119"/>
      <c r="C122119"/>
      <c r="E122119"/>
      <c r="F122119"/>
    </row>
    <row r="122120" spans="1:6" x14ac:dyDescent="0.25">
      <c r="A122120"/>
      <c r="B122120"/>
      <c r="C122120"/>
      <c r="E122120"/>
      <c r="F122120"/>
    </row>
    <row r="122121" spans="1:6" x14ac:dyDescent="0.25">
      <c r="A122121"/>
      <c r="B122121"/>
      <c r="C122121"/>
      <c r="E122121"/>
      <c r="F122121"/>
    </row>
    <row r="122122" spans="1:6" x14ac:dyDescent="0.25">
      <c r="A122122"/>
      <c r="B122122"/>
      <c r="C122122"/>
      <c r="E122122"/>
      <c r="F122122"/>
    </row>
    <row r="122123" spans="1:6" x14ac:dyDescent="0.25">
      <c r="A122123"/>
      <c r="B122123"/>
      <c r="C122123"/>
      <c r="E122123"/>
      <c r="F122123"/>
    </row>
    <row r="122124" spans="1:6" x14ac:dyDescent="0.25">
      <c r="A122124"/>
      <c r="B122124"/>
      <c r="C122124"/>
      <c r="E122124"/>
      <c r="F122124"/>
    </row>
    <row r="122125" spans="1:6" x14ac:dyDescent="0.25">
      <c r="A122125"/>
      <c r="B122125"/>
      <c r="C122125"/>
      <c r="E122125"/>
      <c r="F122125"/>
    </row>
    <row r="122126" spans="1:6" x14ac:dyDescent="0.25">
      <c r="A122126"/>
      <c r="B122126"/>
      <c r="C122126"/>
      <c r="E122126"/>
      <c r="F122126"/>
    </row>
    <row r="122127" spans="1:6" x14ac:dyDescent="0.25">
      <c r="A122127"/>
      <c r="B122127"/>
      <c r="C122127"/>
      <c r="E122127"/>
      <c r="F122127"/>
    </row>
    <row r="122128" spans="1:6" x14ac:dyDescent="0.25">
      <c r="A122128"/>
      <c r="B122128"/>
      <c r="C122128"/>
      <c r="E122128"/>
      <c r="F122128"/>
    </row>
    <row r="122129" spans="1:6" x14ac:dyDescent="0.25">
      <c r="A122129"/>
      <c r="B122129"/>
      <c r="C122129"/>
      <c r="E122129"/>
      <c r="F122129"/>
    </row>
    <row r="122130" spans="1:6" x14ac:dyDescent="0.25">
      <c r="A122130"/>
      <c r="B122130"/>
      <c r="C122130"/>
      <c r="E122130"/>
      <c r="F122130"/>
    </row>
    <row r="122131" spans="1:6" x14ac:dyDescent="0.25">
      <c r="A122131"/>
      <c r="B122131"/>
      <c r="C122131"/>
      <c r="E122131"/>
      <c r="F122131"/>
    </row>
    <row r="122132" spans="1:6" x14ac:dyDescent="0.25">
      <c r="A122132"/>
      <c r="B122132"/>
      <c r="C122132"/>
      <c r="E122132"/>
      <c r="F122132"/>
    </row>
    <row r="122133" spans="1:6" x14ac:dyDescent="0.25">
      <c r="A122133"/>
      <c r="B122133"/>
      <c r="C122133"/>
      <c r="E122133"/>
      <c r="F122133"/>
    </row>
    <row r="122134" spans="1:6" x14ac:dyDescent="0.25">
      <c r="A122134"/>
      <c r="B122134"/>
      <c r="C122134"/>
      <c r="E122134"/>
      <c r="F122134"/>
    </row>
    <row r="122135" spans="1:6" x14ac:dyDescent="0.25">
      <c r="A122135"/>
      <c r="B122135"/>
      <c r="C122135"/>
      <c r="E122135"/>
      <c r="F122135"/>
    </row>
    <row r="122136" spans="1:6" x14ac:dyDescent="0.25">
      <c r="A122136"/>
      <c r="B122136"/>
      <c r="C122136"/>
      <c r="E122136"/>
      <c r="F122136"/>
    </row>
    <row r="122137" spans="1:6" x14ac:dyDescent="0.25">
      <c r="A122137"/>
      <c r="B122137"/>
      <c r="C122137"/>
      <c r="E122137"/>
      <c r="F122137"/>
    </row>
    <row r="122138" spans="1:6" x14ac:dyDescent="0.25">
      <c r="A122138"/>
      <c r="B122138"/>
      <c r="C122138"/>
      <c r="E122138"/>
      <c r="F122138"/>
    </row>
    <row r="122139" spans="1:6" x14ac:dyDescent="0.25">
      <c r="A122139"/>
      <c r="B122139"/>
      <c r="C122139"/>
      <c r="E122139"/>
      <c r="F122139"/>
    </row>
    <row r="122140" spans="1:6" x14ac:dyDescent="0.25">
      <c r="A122140"/>
      <c r="B122140"/>
      <c r="C122140"/>
      <c r="E122140"/>
      <c r="F122140"/>
    </row>
    <row r="122141" spans="1:6" x14ac:dyDescent="0.25">
      <c r="A122141"/>
      <c r="B122141"/>
      <c r="C122141"/>
      <c r="E122141"/>
      <c r="F122141"/>
    </row>
    <row r="122142" spans="1:6" x14ac:dyDescent="0.25">
      <c r="A122142"/>
      <c r="B122142"/>
      <c r="C122142"/>
      <c r="E122142"/>
      <c r="F122142"/>
    </row>
    <row r="122143" spans="1:6" x14ac:dyDescent="0.25">
      <c r="A122143"/>
      <c r="B122143"/>
      <c r="C122143"/>
      <c r="E122143"/>
      <c r="F122143"/>
    </row>
    <row r="122144" spans="1:6" x14ac:dyDescent="0.25">
      <c r="A122144"/>
      <c r="B122144"/>
      <c r="C122144"/>
      <c r="E122144"/>
      <c r="F122144"/>
    </row>
    <row r="122145" spans="1:6" x14ac:dyDescent="0.25">
      <c r="A122145"/>
      <c r="B122145"/>
      <c r="C122145"/>
      <c r="E122145"/>
      <c r="F122145"/>
    </row>
    <row r="122146" spans="1:6" x14ac:dyDescent="0.25">
      <c r="A122146"/>
      <c r="B122146"/>
      <c r="C122146"/>
      <c r="E122146"/>
      <c r="F122146"/>
    </row>
    <row r="122147" spans="1:6" x14ac:dyDescent="0.25">
      <c r="A122147"/>
      <c r="B122147"/>
      <c r="C122147"/>
      <c r="E122147"/>
      <c r="F122147"/>
    </row>
    <row r="122148" spans="1:6" x14ac:dyDescent="0.25">
      <c r="A122148"/>
      <c r="B122148"/>
      <c r="C122148"/>
      <c r="E122148"/>
      <c r="F122148"/>
    </row>
    <row r="122149" spans="1:6" x14ac:dyDescent="0.25">
      <c r="A122149"/>
      <c r="B122149"/>
      <c r="C122149"/>
      <c r="E122149"/>
      <c r="F122149"/>
    </row>
    <row r="122150" spans="1:6" x14ac:dyDescent="0.25">
      <c r="A122150"/>
      <c r="B122150"/>
      <c r="C122150"/>
      <c r="E122150"/>
      <c r="F122150"/>
    </row>
    <row r="122151" spans="1:6" x14ac:dyDescent="0.25">
      <c r="A122151"/>
      <c r="B122151"/>
      <c r="C122151"/>
      <c r="E122151"/>
      <c r="F122151"/>
    </row>
    <row r="122152" spans="1:6" x14ac:dyDescent="0.25">
      <c r="A122152"/>
      <c r="B122152"/>
      <c r="C122152"/>
      <c r="E122152"/>
      <c r="F122152"/>
    </row>
    <row r="122153" spans="1:6" x14ac:dyDescent="0.25">
      <c r="A122153"/>
      <c r="B122153"/>
      <c r="C122153"/>
      <c r="E122153"/>
      <c r="F122153"/>
    </row>
    <row r="122154" spans="1:6" x14ac:dyDescent="0.25">
      <c r="A122154"/>
      <c r="B122154"/>
      <c r="C122154"/>
      <c r="E122154"/>
      <c r="F122154"/>
    </row>
    <row r="122155" spans="1:6" x14ac:dyDescent="0.25">
      <c r="A122155"/>
      <c r="B122155"/>
      <c r="C122155"/>
      <c r="E122155"/>
      <c r="F122155"/>
    </row>
    <row r="122156" spans="1:6" x14ac:dyDescent="0.25">
      <c r="A122156"/>
      <c r="B122156"/>
      <c r="C122156"/>
      <c r="E122156"/>
      <c r="F122156"/>
    </row>
    <row r="122157" spans="1:6" x14ac:dyDescent="0.25">
      <c r="A122157"/>
      <c r="B122157"/>
      <c r="C122157"/>
      <c r="E122157"/>
      <c r="F122157"/>
    </row>
    <row r="122158" spans="1:6" x14ac:dyDescent="0.25">
      <c r="A122158"/>
      <c r="B122158"/>
      <c r="C122158"/>
      <c r="E122158"/>
      <c r="F122158"/>
    </row>
    <row r="122159" spans="1:6" x14ac:dyDescent="0.25">
      <c r="A122159"/>
      <c r="B122159"/>
      <c r="C122159"/>
      <c r="E122159"/>
      <c r="F122159"/>
    </row>
    <row r="122160" spans="1:6" x14ac:dyDescent="0.25">
      <c r="A122160"/>
      <c r="B122160"/>
      <c r="C122160"/>
      <c r="E122160"/>
      <c r="F122160"/>
    </row>
    <row r="122161" spans="1:6" x14ac:dyDescent="0.25">
      <c r="A122161"/>
      <c r="B122161"/>
      <c r="C122161"/>
      <c r="E122161"/>
      <c r="F122161"/>
    </row>
    <row r="122162" spans="1:6" x14ac:dyDescent="0.25">
      <c r="A122162"/>
      <c r="B122162"/>
      <c r="C122162"/>
      <c r="E122162"/>
      <c r="F122162"/>
    </row>
    <row r="122163" spans="1:6" x14ac:dyDescent="0.25">
      <c r="A122163"/>
      <c r="B122163"/>
      <c r="C122163"/>
      <c r="E122163"/>
      <c r="F122163"/>
    </row>
    <row r="122164" spans="1:6" x14ac:dyDescent="0.25">
      <c r="A122164"/>
      <c r="B122164"/>
      <c r="C122164"/>
      <c r="E122164"/>
      <c r="F122164"/>
    </row>
    <row r="122165" spans="1:6" x14ac:dyDescent="0.25">
      <c r="A122165"/>
      <c r="B122165"/>
      <c r="C122165"/>
      <c r="E122165"/>
      <c r="F122165"/>
    </row>
    <row r="122166" spans="1:6" x14ac:dyDescent="0.25">
      <c r="A122166"/>
      <c r="B122166"/>
      <c r="C122166"/>
      <c r="E122166"/>
      <c r="F122166"/>
    </row>
    <row r="122167" spans="1:6" x14ac:dyDescent="0.25">
      <c r="A122167"/>
      <c r="B122167"/>
      <c r="C122167"/>
      <c r="E122167"/>
      <c r="F122167"/>
    </row>
    <row r="122168" spans="1:6" x14ac:dyDescent="0.25">
      <c r="A122168"/>
      <c r="B122168"/>
      <c r="C122168"/>
      <c r="E122168"/>
      <c r="F122168"/>
    </row>
    <row r="122169" spans="1:6" x14ac:dyDescent="0.25">
      <c r="A122169"/>
      <c r="B122169"/>
      <c r="C122169"/>
      <c r="E122169"/>
      <c r="F122169"/>
    </row>
    <row r="122170" spans="1:6" x14ac:dyDescent="0.25">
      <c r="A122170"/>
      <c r="B122170"/>
      <c r="C122170"/>
      <c r="E122170"/>
      <c r="F122170"/>
    </row>
    <row r="122171" spans="1:6" x14ac:dyDescent="0.25">
      <c r="A122171"/>
      <c r="B122171"/>
      <c r="C122171"/>
      <c r="E122171"/>
      <c r="F122171"/>
    </row>
    <row r="122172" spans="1:6" x14ac:dyDescent="0.25">
      <c r="A122172"/>
      <c r="B122172"/>
      <c r="C122172"/>
      <c r="E122172"/>
      <c r="F122172"/>
    </row>
    <row r="122173" spans="1:6" x14ac:dyDescent="0.25">
      <c r="A122173"/>
      <c r="B122173"/>
      <c r="C122173"/>
      <c r="E122173"/>
      <c r="F122173"/>
    </row>
    <row r="122174" spans="1:6" x14ac:dyDescent="0.25">
      <c r="A122174"/>
      <c r="B122174"/>
      <c r="C122174"/>
      <c r="E122174"/>
      <c r="F122174"/>
    </row>
    <row r="122175" spans="1:6" x14ac:dyDescent="0.25">
      <c r="A122175"/>
      <c r="B122175"/>
      <c r="C122175"/>
      <c r="E122175"/>
      <c r="F122175"/>
    </row>
    <row r="122176" spans="1:6" x14ac:dyDescent="0.25">
      <c r="A122176"/>
      <c r="B122176"/>
      <c r="C122176"/>
      <c r="E122176"/>
      <c r="F122176"/>
    </row>
    <row r="122177" spans="1:6" x14ac:dyDescent="0.25">
      <c r="A122177"/>
      <c r="B122177"/>
      <c r="C122177"/>
      <c r="E122177"/>
      <c r="F122177"/>
    </row>
    <row r="122178" spans="1:6" x14ac:dyDescent="0.25">
      <c r="A122178"/>
      <c r="B122178"/>
      <c r="C122178"/>
      <c r="E122178"/>
      <c r="F122178"/>
    </row>
    <row r="122179" spans="1:6" x14ac:dyDescent="0.25">
      <c r="A122179"/>
      <c r="B122179"/>
      <c r="C122179"/>
      <c r="E122179"/>
      <c r="F122179"/>
    </row>
    <row r="122180" spans="1:6" x14ac:dyDescent="0.25">
      <c r="A122180"/>
      <c r="B122180"/>
      <c r="C122180"/>
      <c r="E122180"/>
      <c r="F122180"/>
    </row>
    <row r="122181" spans="1:6" x14ac:dyDescent="0.25">
      <c r="A122181"/>
      <c r="B122181"/>
      <c r="C122181"/>
      <c r="E122181"/>
      <c r="F122181"/>
    </row>
    <row r="122182" spans="1:6" x14ac:dyDescent="0.25">
      <c r="A122182"/>
      <c r="B122182"/>
      <c r="C122182"/>
      <c r="E122182"/>
      <c r="F122182"/>
    </row>
    <row r="122183" spans="1:6" x14ac:dyDescent="0.25">
      <c r="A122183"/>
      <c r="B122183"/>
      <c r="C122183"/>
      <c r="E122183"/>
      <c r="F122183"/>
    </row>
    <row r="122184" spans="1:6" x14ac:dyDescent="0.25">
      <c r="A122184"/>
      <c r="B122184"/>
      <c r="C122184"/>
      <c r="E122184"/>
      <c r="F122184"/>
    </row>
    <row r="122185" spans="1:6" x14ac:dyDescent="0.25">
      <c r="A122185"/>
      <c r="B122185"/>
      <c r="C122185"/>
      <c r="E122185"/>
      <c r="F122185"/>
    </row>
    <row r="122186" spans="1:6" x14ac:dyDescent="0.25">
      <c r="A122186"/>
      <c r="B122186"/>
      <c r="C122186"/>
      <c r="E122186"/>
      <c r="F122186"/>
    </row>
    <row r="122187" spans="1:6" x14ac:dyDescent="0.25">
      <c r="A122187"/>
      <c r="B122187"/>
      <c r="C122187"/>
      <c r="E122187"/>
      <c r="F122187"/>
    </row>
    <row r="122188" spans="1:6" x14ac:dyDescent="0.25">
      <c r="A122188"/>
      <c r="B122188"/>
      <c r="C122188"/>
      <c r="E122188"/>
      <c r="F122188"/>
    </row>
    <row r="122189" spans="1:6" x14ac:dyDescent="0.25">
      <c r="A122189"/>
      <c r="B122189"/>
      <c r="C122189"/>
      <c r="E122189"/>
      <c r="F122189"/>
    </row>
    <row r="122190" spans="1:6" x14ac:dyDescent="0.25">
      <c r="A122190"/>
      <c r="B122190"/>
      <c r="C122190"/>
      <c r="E122190"/>
      <c r="F122190"/>
    </row>
    <row r="122191" spans="1:6" x14ac:dyDescent="0.25">
      <c r="A122191"/>
      <c r="B122191"/>
      <c r="C122191"/>
      <c r="E122191"/>
      <c r="F122191"/>
    </row>
    <row r="122192" spans="1:6" x14ac:dyDescent="0.25">
      <c r="A122192"/>
      <c r="B122192"/>
      <c r="C122192"/>
      <c r="E122192"/>
      <c r="F122192"/>
    </row>
    <row r="122193" spans="1:6" x14ac:dyDescent="0.25">
      <c r="A122193"/>
      <c r="B122193"/>
      <c r="C122193"/>
      <c r="E122193"/>
      <c r="F122193"/>
    </row>
    <row r="122194" spans="1:6" x14ac:dyDescent="0.25">
      <c r="A122194"/>
      <c r="B122194"/>
      <c r="C122194"/>
      <c r="E122194"/>
      <c r="F122194"/>
    </row>
    <row r="122195" spans="1:6" x14ac:dyDescent="0.25">
      <c r="A122195"/>
      <c r="B122195"/>
      <c r="C122195"/>
      <c r="E122195"/>
      <c r="F122195"/>
    </row>
    <row r="122196" spans="1:6" x14ac:dyDescent="0.25">
      <c r="A122196"/>
      <c r="B122196"/>
      <c r="C122196"/>
      <c r="E122196"/>
      <c r="F122196"/>
    </row>
    <row r="122197" spans="1:6" x14ac:dyDescent="0.25">
      <c r="A122197"/>
      <c r="B122197"/>
      <c r="C122197"/>
      <c r="E122197"/>
      <c r="F122197"/>
    </row>
    <row r="122198" spans="1:6" x14ac:dyDescent="0.25">
      <c r="A122198"/>
      <c r="B122198"/>
      <c r="C122198"/>
      <c r="E122198"/>
      <c r="F122198"/>
    </row>
    <row r="122199" spans="1:6" x14ac:dyDescent="0.25">
      <c r="A122199"/>
      <c r="B122199"/>
      <c r="C122199"/>
      <c r="E122199"/>
      <c r="F122199"/>
    </row>
    <row r="122200" spans="1:6" x14ac:dyDescent="0.25">
      <c r="A122200"/>
      <c r="B122200"/>
      <c r="C122200"/>
      <c r="E122200"/>
      <c r="F122200"/>
    </row>
    <row r="122201" spans="1:6" x14ac:dyDescent="0.25">
      <c r="A122201"/>
      <c r="B122201"/>
      <c r="C122201"/>
      <c r="E122201"/>
      <c r="F122201"/>
    </row>
    <row r="122202" spans="1:6" x14ac:dyDescent="0.25">
      <c r="A122202"/>
      <c r="B122202"/>
      <c r="C122202"/>
      <c r="E122202"/>
      <c r="F122202"/>
    </row>
    <row r="122203" spans="1:6" x14ac:dyDescent="0.25">
      <c r="A122203"/>
      <c r="B122203"/>
      <c r="C122203"/>
      <c r="E122203"/>
      <c r="F122203"/>
    </row>
    <row r="122204" spans="1:6" x14ac:dyDescent="0.25">
      <c r="A122204"/>
      <c r="B122204"/>
      <c r="C122204"/>
      <c r="E122204"/>
      <c r="F122204"/>
    </row>
    <row r="122205" spans="1:6" x14ac:dyDescent="0.25">
      <c r="A122205"/>
      <c r="B122205"/>
      <c r="C122205"/>
      <c r="E122205"/>
      <c r="F122205"/>
    </row>
    <row r="122206" spans="1:6" x14ac:dyDescent="0.25">
      <c r="A122206"/>
      <c r="B122206"/>
      <c r="C122206"/>
      <c r="E122206"/>
      <c r="F122206"/>
    </row>
    <row r="122207" spans="1:6" x14ac:dyDescent="0.25">
      <c r="A122207"/>
      <c r="B122207"/>
      <c r="C122207"/>
      <c r="E122207"/>
      <c r="F122207"/>
    </row>
    <row r="122208" spans="1:6" x14ac:dyDescent="0.25">
      <c r="A122208"/>
      <c r="B122208"/>
      <c r="C122208"/>
      <c r="E122208"/>
      <c r="F122208"/>
    </row>
    <row r="122209" spans="1:6" x14ac:dyDescent="0.25">
      <c r="A122209"/>
      <c r="B122209"/>
      <c r="C122209"/>
      <c r="E122209"/>
      <c r="F122209"/>
    </row>
    <row r="122210" spans="1:6" x14ac:dyDescent="0.25">
      <c r="A122210"/>
      <c r="B122210"/>
      <c r="C122210"/>
      <c r="E122210"/>
      <c r="F122210"/>
    </row>
    <row r="122211" spans="1:6" x14ac:dyDescent="0.25">
      <c r="A122211"/>
      <c r="B122211"/>
      <c r="C122211"/>
      <c r="E122211"/>
      <c r="F122211"/>
    </row>
    <row r="122212" spans="1:6" x14ac:dyDescent="0.25">
      <c r="A122212"/>
      <c r="B122212"/>
      <c r="C122212"/>
      <c r="E122212"/>
      <c r="F122212"/>
    </row>
    <row r="122213" spans="1:6" x14ac:dyDescent="0.25">
      <c r="A122213"/>
      <c r="B122213"/>
      <c r="C122213"/>
      <c r="E122213"/>
      <c r="F122213"/>
    </row>
    <row r="122214" spans="1:6" x14ac:dyDescent="0.25">
      <c r="A122214"/>
      <c r="B122214"/>
      <c r="C122214"/>
      <c r="E122214"/>
      <c r="F122214"/>
    </row>
    <row r="122215" spans="1:6" x14ac:dyDescent="0.25">
      <c r="A122215"/>
      <c r="B122215"/>
      <c r="C122215"/>
      <c r="E122215"/>
      <c r="F122215"/>
    </row>
    <row r="122216" spans="1:6" x14ac:dyDescent="0.25">
      <c r="A122216"/>
      <c r="B122216"/>
      <c r="C122216"/>
      <c r="E122216"/>
      <c r="F122216"/>
    </row>
    <row r="122217" spans="1:6" x14ac:dyDescent="0.25">
      <c r="A122217"/>
      <c r="B122217"/>
      <c r="C122217"/>
      <c r="E122217"/>
      <c r="F122217"/>
    </row>
    <row r="122218" spans="1:6" x14ac:dyDescent="0.25">
      <c r="A122218"/>
      <c r="B122218"/>
      <c r="C122218"/>
      <c r="E122218"/>
      <c r="F122218"/>
    </row>
    <row r="122219" spans="1:6" x14ac:dyDescent="0.25">
      <c r="A122219"/>
      <c r="B122219"/>
      <c r="C122219"/>
      <c r="E122219"/>
      <c r="F122219"/>
    </row>
    <row r="122220" spans="1:6" x14ac:dyDescent="0.25">
      <c r="A122220"/>
      <c r="B122220"/>
      <c r="C122220"/>
      <c r="E122220"/>
      <c r="F122220"/>
    </row>
    <row r="122221" spans="1:6" x14ac:dyDescent="0.25">
      <c r="A122221"/>
      <c r="B122221"/>
      <c r="C122221"/>
      <c r="E122221"/>
      <c r="F122221"/>
    </row>
    <row r="122222" spans="1:6" x14ac:dyDescent="0.25">
      <c r="A122222"/>
      <c r="B122222"/>
      <c r="C122222"/>
      <c r="E122222"/>
      <c r="F122222"/>
    </row>
    <row r="122223" spans="1:6" x14ac:dyDescent="0.25">
      <c r="A122223"/>
      <c r="B122223"/>
      <c r="C122223"/>
      <c r="E122223"/>
      <c r="F122223"/>
    </row>
    <row r="122224" spans="1:6" x14ac:dyDescent="0.25">
      <c r="A122224"/>
      <c r="B122224"/>
      <c r="C122224"/>
      <c r="E122224"/>
      <c r="F122224"/>
    </row>
    <row r="122225" spans="1:6" x14ac:dyDescent="0.25">
      <c r="A122225"/>
      <c r="B122225"/>
      <c r="C122225"/>
      <c r="E122225"/>
      <c r="F122225"/>
    </row>
    <row r="122226" spans="1:6" x14ac:dyDescent="0.25">
      <c r="A122226"/>
      <c r="B122226"/>
      <c r="C122226"/>
      <c r="E122226"/>
      <c r="F122226"/>
    </row>
    <row r="122227" spans="1:6" x14ac:dyDescent="0.25">
      <c r="A122227"/>
      <c r="B122227"/>
      <c r="C122227"/>
      <c r="E122227"/>
      <c r="F122227"/>
    </row>
    <row r="122228" spans="1:6" x14ac:dyDescent="0.25">
      <c r="A122228"/>
      <c r="B122228"/>
      <c r="C122228"/>
      <c r="E122228"/>
      <c r="F122228"/>
    </row>
    <row r="122229" spans="1:6" x14ac:dyDescent="0.25">
      <c r="A122229"/>
      <c r="B122229"/>
      <c r="C122229"/>
      <c r="E122229"/>
      <c r="F122229"/>
    </row>
    <row r="122230" spans="1:6" x14ac:dyDescent="0.25">
      <c r="A122230"/>
      <c r="B122230"/>
      <c r="C122230"/>
      <c r="E122230"/>
      <c r="F122230"/>
    </row>
    <row r="122231" spans="1:6" x14ac:dyDescent="0.25">
      <c r="A122231"/>
      <c r="B122231"/>
      <c r="C122231"/>
      <c r="E122231"/>
      <c r="F122231"/>
    </row>
    <row r="122232" spans="1:6" x14ac:dyDescent="0.25">
      <c r="A122232"/>
      <c r="B122232"/>
      <c r="C122232"/>
      <c r="E122232"/>
      <c r="F122232"/>
    </row>
    <row r="122233" spans="1:6" x14ac:dyDescent="0.25">
      <c r="A122233"/>
      <c r="B122233"/>
      <c r="C122233"/>
      <c r="E122233"/>
      <c r="F122233"/>
    </row>
    <row r="122234" spans="1:6" x14ac:dyDescent="0.25">
      <c r="A122234"/>
      <c r="B122234"/>
      <c r="C122234"/>
      <c r="E122234"/>
      <c r="F122234"/>
    </row>
    <row r="122235" spans="1:6" x14ac:dyDescent="0.25">
      <c r="A122235"/>
      <c r="B122235"/>
      <c r="C122235"/>
      <c r="E122235"/>
      <c r="F122235"/>
    </row>
    <row r="122236" spans="1:6" x14ac:dyDescent="0.25">
      <c r="A122236"/>
      <c r="B122236"/>
      <c r="C122236"/>
      <c r="E122236"/>
      <c r="F122236"/>
    </row>
    <row r="122237" spans="1:6" x14ac:dyDescent="0.25">
      <c r="A122237"/>
      <c r="B122237"/>
      <c r="C122237"/>
      <c r="E122237"/>
      <c r="F122237"/>
    </row>
    <row r="122238" spans="1:6" x14ac:dyDescent="0.25">
      <c r="A122238"/>
      <c r="B122238"/>
      <c r="C122238"/>
      <c r="E122238"/>
      <c r="F122238"/>
    </row>
    <row r="122239" spans="1:6" x14ac:dyDescent="0.25">
      <c r="A122239"/>
      <c r="B122239"/>
      <c r="C122239"/>
      <c r="E122239"/>
      <c r="F122239"/>
    </row>
    <row r="122240" spans="1:6" x14ac:dyDescent="0.25">
      <c r="A122240"/>
      <c r="B122240"/>
      <c r="C122240"/>
      <c r="E122240"/>
      <c r="F122240"/>
    </row>
    <row r="122241" spans="1:6" x14ac:dyDescent="0.25">
      <c r="A122241"/>
      <c r="B122241"/>
      <c r="C122241"/>
      <c r="E122241"/>
      <c r="F122241"/>
    </row>
    <row r="122242" spans="1:6" x14ac:dyDescent="0.25">
      <c r="A122242"/>
      <c r="B122242"/>
      <c r="C122242"/>
      <c r="E122242"/>
      <c r="F122242"/>
    </row>
    <row r="122243" spans="1:6" x14ac:dyDescent="0.25">
      <c r="A122243"/>
      <c r="B122243"/>
      <c r="C122243"/>
      <c r="E122243"/>
      <c r="F122243"/>
    </row>
    <row r="122244" spans="1:6" x14ac:dyDescent="0.25">
      <c r="A122244"/>
      <c r="B122244"/>
      <c r="C122244"/>
      <c r="E122244"/>
      <c r="F122244"/>
    </row>
    <row r="122245" spans="1:6" x14ac:dyDescent="0.25">
      <c r="A122245"/>
      <c r="B122245"/>
      <c r="C122245"/>
      <c r="E122245"/>
      <c r="F122245"/>
    </row>
    <row r="122246" spans="1:6" x14ac:dyDescent="0.25">
      <c r="A122246"/>
      <c r="B122246"/>
      <c r="C122246"/>
      <c r="E122246"/>
      <c r="F122246"/>
    </row>
    <row r="122247" spans="1:6" x14ac:dyDescent="0.25">
      <c r="A122247"/>
      <c r="B122247"/>
      <c r="C122247"/>
      <c r="E122247"/>
      <c r="F122247"/>
    </row>
    <row r="122248" spans="1:6" x14ac:dyDescent="0.25">
      <c r="A122248"/>
      <c r="B122248"/>
      <c r="C122248"/>
      <c r="E122248"/>
      <c r="F122248"/>
    </row>
    <row r="122249" spans="1:6" x14ac:dyDescent="0.25">
      <c r="A122249"/>
      <c r="B122249"/>
      <c r="C122249"/>
      <c r="E122249"/>
      <c r="F122249"/>
    </row>
    <row r="122250" spans="1:6" x14ac:dyDescent="0.25">
      <c r="A122250"/>
      <c r="B122250"/>
      <c r="C122250"/>
      <c r="E122250"/>
      <c r="F122250"/>
    </row>
    <row r="122251" spans="1:6" x14ac:dyDescent="0.25">
      <c r="A122251"/>
      <c r="B122251"/>
      <c r="C122251"/>
      <c r="E122251"/>
      <c r="F122251"/>
    </row>
    <row r="122252" spans="1:6" x14ac:dyDescent="0.25">
      <c r="A122252"/>
      <c r="B122252"/>
      <c r="C122252"/>
      <c r="E122252"/>
      <c r="F122252"/>
    </row>
    <row r="122253" spans="1:6" x14ac:dyDescent="0.25">
      <c r="A122253"/>
      <c r="B122253"/>
      <c r="C122253"/>
      <c r="E122253"/>
      <c r="F122253"/>
    </row>
    <row r="122254" spans="1:6" x14ac:dyDescent="0.25">
      <c r="A122254"/>
      <c r="B122254"/>
      <c r="C122254"/>
      <c r="E122254"/>
      <c r="F122254"/>
    </row>
    <row r="122255" spans="1:6" x14ac:dyDescent="0.25">
      <c r="A122255"/>
      <c r="B122255"/>
      <c r="C122255"/>
      <c r="E122255"/>
      <c r="F122255"/>
    </row>
    <row r="122256" spans="1:6" x14ac:dyDescent="0.25">
      <c r="A122256"/>
      <c r="B122256"/>
      <c r="C122256"/>
      <c r="E122256"/>
      <c r="F122256"/>
    </row>
    <row r="122257" spans="1:6" x14ac:dyDescent="0.25">
      <c r="A122257"/>
      <c r="B122257"/>
      <c r="C122257"/>
      <c r="E122257"/>
      <c r="F122257"/>
    </row>
    <row r="122258" spans="1:6" x14ac:dyDescent="0.25">
      <c r="A122258"/>
      <c r="B122258"/>
      <c r="C122258"/>
      <c r="E122258"/>
      <c r="F122258"/>
    </row>
    <row r="122259" spans="1:6" x14ac:dyDescent="0.25">
      <c r="A122259"/>
      <c r="B122259"/>
      <c r="C122259"/>
      <c r="E122259"/>
      <c r="F122259"/>
    </row>
    <row r="122260" spans="1:6" x14ac:dyDescent="0.25">
      <c r="A122260"/>
      <c r="B122260"/>
      <c r="C122260"/>
      <c r="E122260"/>
      <c r="F122260"/>
    </row>
    <row r="122261" spans="1:6" x14ac:dyDescent="0.25">
      <c r="A122261"/>
      <c r="B122261"/>
      <c r="C122261"/>
      <c r="E122261"/>
      <c r="F122261"/>
    </row>
    <row r="122262" spans="1:6" x14ac:dyDescent="0.25">
      <c r="A122262"/>
      <c r="B122262"/>
      <c r="C122262"/>
      <c r="E122262"/>
      <c r="F122262"/>
    </row>
    <row r="122263" spans="1:6" x14ac:dyDescent="0.25">
      <c r="A122263"/>
      <c r="B122263"/>
      <c r="C122263"/>
      <c r="E122263"/>
      <c r="F122263"/>
    </row>
    <row r="122264" spans="1:6" x14ac:dyDescent="0.25">
      <c r="A122264"/>
      <c r="B122264"/>
      <c r="C122264"/>
      <c r="E122264"/>
      <c r="F122264"/>
    </row>
    <row r="122265" spans="1:6" x14ac:dyDescent="0.25">
      <c r="A122265"/>
      <c r="B122265"/>
      <c r="C122265"/>
      <c r="E122265"/>
      <c r="F122265"/>
    </row>
    <row r="122266" spans="1:6" x14ac:dyDescent="0.25">
      <c r="A122266"/>
      <c r="B122266"/>
      <c r="C122266"/>
      <c r="E122266"/>
      <c r="F122266"/>
    </row>
    <row r="122267" spans="1:6" x14ac:dyDescent="0.25">
      <c r="A122267"/>
      <c r="B122267"/>
      <c r="C122267"/>
      <c r="E122267"/>
      <c r="F122267"/>
    </row>
    <row r="122268" spans="1:6" x14ac:dyDescent="0.25">
      <c r="A122268"/>
      <c r="B122268"/>
      <c r="C122268"/>
      <c r="E122268"/>
      <c r="F122268"/>
    </row>
    <row r="122269" spans="1:6" x14ac:dyDescent="0.25">
      <c r="A122269"/>
      <c r="B122269"/>
      <c r="C122269"/>
      <c r="E122269"/>
      <c r="F122269"/>
    </row>
    <row r="122270" spans="1:6" x14ac:dyDescent="0.25">
      <c r="A122270"/>
      <c r="B122270"/>
      <c r="C122270"/>
      <c r="E122270"/>
      <c r="F122270"/>
    </row>
    <row r="122271" spans="1:6" x14ac:dyDescent="0.25">
      <c r="A122271"/>
      <c r="B122271"/>
      <c r="C122271"/>
      <c r="E122271"/>
      <c r="F122271"/>
    </row>
    <row r="122272" spans="1:6" x14ac:dyDescent="0.25">
      <c r="A122272"/>
      <c r="B122272"/>
      <c r="C122272"/>
      <c r="E122272"/>
      <c r="F122272"/>
    </row>
    <row r="122273" spans="1:6" x14ac:dyDescent="0.25">
      <c r="A122273"/>
      <c r="B122273"/>
      <c r="C122273"/>
      <c r="E122273"/>
      <c r="F122273"/>
    </row>
    <row r="122274" spans="1:6" x14ac:dyDescent="0.25">
      <c r="A122274"/>
      <c r="B122274"/>
      <c r="C122274"/>
      <c r="E122274"/>
      <c r="F122274"/>
    </row>
    <row r="122275" spans="1:6" x14ac:dyDescent="0.25">
      <c r="A122275"/>
      <c r="B122275"/>
      <c r="C122275"/>
      <c r="E122275"/>
      <c r="F122275"/>
    </row>
    <row r="122276" spans="1:6" x14ac:dyDescent="0.25">
      <c r="A122276"/>
      <c r="B122276"/>
      <c r="C122276"/>
      <c r="E122276"/>
      <c r="F122276"/>
    </row>
    <row r="122277" spans="1:6" x14ac:dyDescent="0.25">
      <c r="A122277"/>
      <c r="B122277"/>
      <c r="C122277"/>
      <c r="E122277"/>
      <c r="F122277"/>
    </row>
    <row r="122278" spans="1:6" x14ac:dyDescent="0.25">
      <c r="A122278"/>
      <c r="B122278"/>
      <c r="C122278"/>
      <c r="E122278"/>
      <c r="F122278"/>
    </row>
    <row r="122279" spans="1:6" x14ac:dyDescent="0.25">
      <c r="A122279"/>
      <c r="B122279"/>
      <c r="C122279"/>
      <c r="E122279"/>
      <c r="F122279"/>
    </row>
    <row r="122280" spans="1:6" x14ac:dyDescent="0.25">
      <c r="A122280"/>
      <c r="B122280"/>
      <c r="C122280"/>
      <c r="E122280"/>
      <c r="F122280"/>
    </row>
    <row r="122281" spans="1:6" x14ac:dyDescent="0.25">
      <c r="A122281"/>
      <c r="B122281"/>
      <c r="C122281"/>
      <c r="E122281"/>
      <c r="F122281"/>
    </row>
    <row r="122282" spans="1:6" x14ac:dyDescent="0.25">
      <c r="A122282"/>
      <c r="B122282"/>
      <c r="C122282"/>
      <c r="E122282"/>
      <c r="F122282"/>
    </row>
    <row r="122283" spans="1:6" x14ac:dyDescent="0.25">
      <c r="A122283"/>
      <c r="B122283"/>
      <c r="C122283"/>
      <c r="E122283"/>
      <c r="F122283"/>
    </row>
    <row r="122284" spans="1:6" x14ac:dyDescent="0.25">
      <c r="A122284"/>
      <c r="B122284"/>
      <c r="C122284"/>
      <c r="E122284"/>
      <c r="F122284"/>
    </row>
    <row r="122285" spans="1:6" x14ac:dyDescent="0.25">
      <c r="A122285"/>
      <c r="B122285"/>
      <c r="C122285"/>
      <c r="E122285"/>
      <c r="F122285"/>
    </row>
    <row r="122286" spans="1:6" x14ac:dyDescent="0.25">
      <c r="A122286"/>
      <c r="B122286"/>
      <c r="C122286"/>
      <c r="E122286"/>
      <c r="F122286"/>
    </row>
    <row r="122287" spans="1:6" x14ac:dyDescent="0.25">
      <c r="A122287"/>
      <c r="B122287"/>
      <c r="C122287"/>
      <c r="E122287"/>
      <c r="F122287"/>
    </row>
    <row r="122288" spans="1:6" x14ac:dyDescent="0.25">
      <c r="A122288"/>
      <c r="B122288"/>
      <c r="C122288"/>
      <c r="E122288"/>
      <c r="F122288"/>
    </row>
    <row r="122289" spans="1:6" x14ac:dyDescent="0.25">
      <c r="A122289"/>
      <c r="B122289"/>
      <c r="C122289"/>
      <c r="E122289"/>
      <c r="F122289"/>
    </row>
    <row r="122290" spans="1:6" x14ac:dyDescent="0.25">
      <c r="A122290"/>
      <c r="B122290"/>
      <c r="C122290"/>
      <c r="E122290"/>
      <c r="F122290"/>
    </row>
    <row r="122291" spans="1:6" x14ac:dyDescent="0.25">
      <c r="A122291"/>
      <c r="B122291"/>
      <c r="C122291"/>
      <c r="E122291"/>
      <c r="F122291"/>
    </row>
    <row r="122292" spans="1:6" x14ac:dyDescent="0.25">
      <c r="A122292"/>
      <c r="B122292"/>
      <c r="C122292"/>
      <c r="E122292"/>
      <c r="F122292"/>
    </row>
    <row r="122293" spans="1:6" x14ac:dyDescent="0.25">
      <c r="A122293"/>
      <c r="B122293"/>
      <c r="C122293"/>
      <c r="E122293"/>
      <c r="F122293"/>
    </row>
    <row r="122294" spans="1:6" x14ac:dyDescent="0.25">
      <c r="A122294"/>
      <c r="B122294"/>
      <c r="C122294"/>
      <c r="E122294"/>
      <c r="F122294"/>
    </row>
    <row r="122295" spans="1:6" x14ac:dyDescent="0.25">
      <c r="A122295"/>
      <c r="B122295"/>
      <c r="C122295"/>
      <c r="E122295"/>
      <c r="F122295"/>
    </row>
    <row r="122296" spans="1:6" x14ac:dyDescent="0.25">
      <c r="A122296"/>
      <c r="B122296"/>
      <c r="C122296"/>
      <c r="E122296"/>
      <c r="F122296"/>
    </row>
    <row r="122297" spans="1:6" x14ac:dyDescent="0.25">
      <c r="A122297"/>
      <c r="B122297"/>
      <c r="C122297"/>
      <c r="E122297"/>
      <c r="F122297"/>
    </row>
    <row r="122298" spans="1:6" x14ac:dyDescent="0.25">
      <c r="A122298"/>
      <c r="B122298"/>
      <c r="C122298"/>
      <c r="E122298"/>
      <c r="F122298"/>
    </row>
    <row r="122299" spans="1:6" x14ac:dyDescent="0.25">
      <c r="A122299"/>
      <c r="B122299"/>
      <c r="C122299"/>
      <c r="E122299"/>
      <c r="F122299"/>
    </row>
    <row r="122300" spans="1:6" x14ac:dyDescent="0.25">
      <c r="A122300"/>
      <c r="B122300"/>
      <c r="C122300"/>
      <c r="E122300"/>
      <c r="F122300"/>
    </row>
    <row r="122301" spans="1:6" x14ac:dyDescent="0.25">
      <c r="A122301"/>
      <c r="B122301"/>
      <c r="C122301"/>
      <c r="E122301"/>
      <c r="F122301"/>
    </row>
    <row r="122302" spans="1:6" x14ac:dyDescent="0.25">
      <c r="A122302"/>
      <c r="B122302"/>
      <c r="C122302"/>
      <c r="E122302"/>
      <c r="F122302"/>
    </row>
    <row r="122303" spans="1:6" x14ac:dyDescent="0.25">
      <c r="A122303"/>
      <c r="B122303"/>
      <c r="C122303"/>
      <c r="E122303"/>
      <c r="F122303"/>
    </row>
    <row r="122304" spans="1:6" x14ac:dyDescent="0.25">
      <c r="A122304"/>
      <c r="B122304"/>
      <c r="C122304"/>
      <c r="E122304"/>
      <c r="F122304"/>
    </row>
    <row r="122305" spans="1:6" x14ac:dyDescent="0.25">
      <c r="A122305"/>
      <c r="B122305"/>
      <c r="C122305"/>
      <c r="E122305"/>
      <c r="F122305"/>
    </row>
    <row r="122306" spans="1:6" x14ac:dyDescent="0.25">
      <c r="A122306"/>
      <c r="B122306"/>
      <c r="C122306"/>
      <c r="E122306"/>
      <c r="F122306"/>
    </row>
    <row r="122307" spans="1:6" x14ac:dyDescent="0.25">
      <c r="A122307"/>
      <c r="B122307"/>
      <c r="C122307"/>
      <c r="E122307"/>
      <c r="F122307"/>
    </row>
    <row r="122308" spans="1:6" x14ac:dyDescent="0.25">
      <c r="A122308"/>
      <c r="B122308"/>
      <c r="C122308"/>
      <c r="E122308"/>
      <c r="F122308"/>
    </row>
    <row r="122309" spans="1:6" x14ac:dyDescent="0.25">
      <c r="A122309"/>
      <c r="B122309"/>
      <c r="C122309"/>
      <c r="E122309"/>
      <c r="F122309"/>
    </row>
    <row r="122310" spans="1:6" x14ac:dyDescent="0.25">
      <c r="A122310"/>
      <c r="B122310"/>
      <c r="C122310"/>
      <c r="E122310"/>
      <c r="F122310"/>
    </row>
    <row r="122311" spans="1:6" x14ac:dyDescent="0.25">
      <c r="A122311"/>
      <c r="B122311"/>
      <c r="C122311"/>
      <c r="E122311"/>
      <c r="F122311"/>
    </row>
    <row r="122312" spans="1:6" x14ac:dyDescent="0.25">
      <c r="A122312"/>
      <c r="B122312"/>
      <c r="C122312"/>
      <c r="E122312"/>
      <c r="F122312"/>
    </row>
    <row r="122313" spans="1:6" x14ac:dyDescent="0.25">
      <c r="A122313"/>
      <c r="B122313"/>
      <c r="C122313"/>
      <c r="E122313"/>
      <c r="F122313"/>
    </row>
    <row r="122314" spans="1:6" x14ac:dyDescent="0.25">
      <c r="A122314"/>
      <c r="B122314"/>
      <c r="C122314"/>
      <c r="E122314"/>
      <c r="F122314"/>
    </row>
    <row r="122315" spans="1:6" x14ac:dyDescent="0.25">
      <c r="A122315"/>
      <c r="B122315"/>
      <c r="C122315"/>
      <c r="E122315"/>
      <c r="F122315"/>
    </row>
    <row r="122316" spans="1:6" x14ac:dyDescent="0.25">
      <c r="A122316"/>
      <c r="B122316"/>
      <c r="C122316"/>
      <c r="E122316"/>
      <c r="F122316"/>
    </row>
    <row r="122317" spans="1:6" x14ac:dyDescent="0.25">
      <c r="A122317"/>
      <c r="B122317"/>
      <c r="C122317"/>
      <c r="E122317"/>
      <c r="F122317"/>
    </row>
    <row r="122318" spans="1:6" x14ac:dyDescent="0.25">
      <c r="A122318"/>
      <c r="B122318"/>
      <c r="C122318"/>
      <c r="E122318"/>
      <c r="F122318"/>
    </row>
    <row r="122319" spans="1:6" x14ac:dyDescent="0.25">
      <c r="A122319"/>
      <c r="B122319"/>
      <c r="C122319"/>
      <c r="E122319"/>
      <c r="F122319"/>
    </row>
    <row r="122320" spans="1:6" x14ac:dyDescent="0.25">
      <c r="A122320"/>
      <c r="B122320"/>
      <c r="C122320"/>
      <c r="E122320"/>
      <c r="F122320"/>
    </row>
    <row r="122321" spans="1:6" x14ac:dyDescent="0.25">
      <c r="A122321"/>
      <c r="B122321"/>
      <c r="C122321"/>
      <c r="E122321"/>
      <c r="F122321"/>
    </row>
    <row r="122322" spans="1:6" x14ac:dyDescent="0.25">
      <c r="A122322"/>
      <c r="B122322"/>
      <c r="C122322"/>
      <c r="E122322"/>
      <c r="F122322"/>
    </row>
    <row r="122323" spans="1:6" x14ac:dyDescent="0.25">
      <c r="A122323"/>
      <c r="B122323"/>
      <c r="C122323"/>
      <c r="E122323"/>
      <c r="F122323"/>
    </row>
    <row r="122324" spans="1:6" x14ac:dyDescent="0.25">
      <c r="A122324"/>
      <c r="B122324"/>
      <c r="C122324"/>
      <c r="E122324"/>
      <c r="F122324"/>
    </row>
    <row r="122325" spans="1:6" x14ac:dyDescent="0.25">
      <c r="A122325"/>
      <c r="B122325"/>
      <c r="C122325"/>
      <c r="E122325"/>
      <c r="F122325"/>
    </row>
    <row r="122326" spans="1:6" x14ac:dyDescent="0.25">
      <c r="A122326"/>
      <c r="B122326"/>
      <c r="C122326"/>
      <c r="E122326"/>
      <c r="F122326"/>
    </row>
    <row r="122327" spans="1:6" x14ac:dyDescent="0.25">
      <c r="A122327"/>
      <c r="B122327"/>
      <c r="C122327"/>
      <c r="E122327"/>
      <c r="F122327"/>
    </row>
    <row r="122328" spans="1:6" x14ac:dyDescent="0.25">
      <c r="A122328"/>
      <c r="B122328"/>
      <c r="C122328"/>
      <c r="E122328"/>
      <c r="F122328"/>
    </row>
    <row r="122329" spans="1:6" x14ac:dyDescent="0.25">
      <c r="A122329"/>
      <c r="B122329"/>
      <c r="C122329"/>
      <c r="E122329"/>
      <c r="F122329"/>
    </row>
    <row r="122330" spans="1:6" x14ac:dyDescent="0.25">
      <c r="A122330"/>
      <c r="B122330"/>
      <c r="C122330"/>
      <c r="E122330"/>
      <c r="F122330"/>
    </row>
    <row r="122331" spans="1:6" x14ac:dyDescent="0.25">
      <c r="A122331"/>
      <c r="B122331"/>
      <c r="C122331"/>
      <c r="E122331"/>
      <c r="F122331"/>
    </row>
    <row r="122332" spans="1:6" x14ac:dyDescent="0.25">
      <c r="A122332"/>
      <c r="B122332"/>
      <c r="C122332"/>
      <c r="E122332"/>
      <c r="F122332"/>
    </row>
    <row r="122333" spans="1:6" x14ac:dyDescent="0.25">
      <c r="A122333"/>
      <c r="B122333"/>
      <c r="C122333"/>
      <c r="E122333"/>
      <c r="F122333"/>
    </row>
    <row r="122334" spans="1:6" x14ac:dyDescent="0.25">
      <c r="A122334"/>
      <c r="B122334"/>
      <c r="C122334"/>
      <c r="E122334"/>
      <c r="F122334"/>
    </row>
    <row r="122335" spans="1:6" x14ac:dyDescent="0.25">
      <c r="A122335"/>
      <c r="B122335"/>
      <c r="C122335"/>
      <c r="E122335"/>
      <c r="F122335"/>
    </row>
    <row r="122336" spans="1:6" x14ac:dyDescent="0.25">
      <c r="A122336"/>
      <c r="B122336"/>
      <c r="C122336"/>
      <c r="E122336"/>
      <c r="F122336"/>
    </row>
    <row r="122337" spans="1:6" x14ac:dyDescent="0.25">
      <c r="A122337"/>
      <c r="B122337"/>
      <c r="C122337"/>
      <c r="E122337"/>
      <c r="F122337"/>
    </row>
    <row r="122338" spans="1:6" x14ac:dyDescent="0.25">
      <c r="A122338"/>
      <c r="B122338"/>
      <c r="C122338"/>
      <c r="E122338"/>
      <c r="F122338"/>
    </row>
    <row r="122339" spans="1:6" x14ac:dyDescent="0.25">
      <c r="A122339"/>
      <c r="B122339"/>
      <c r="C122339"/>
      <c r="E122339"/>
      <c r="F122339"/>
    </row>
    <row r="122340" spans="1:6" x14ac:dyDescent="0.25">
      <c r="A122340"/>
      <c r="B122340"/>
      <c r="C122340"/>
      <c r="E122340"/>
      <c r="F122340"/>
    </row>
    <row r="122341" spans="1:6" x14ac:dyDescent="0.25">
      <c r="A122341"/>
      <c r="B122341"/>
      <c r="C122341"/>
      <c r="E122341"/>
      <c r="F122341"/>
    </row>
    <row r="122342" spans="1:6" x14ac:dyDescent="0.25">
      <c r="A122342"/>
      <c r="B122342"/>
      <c r="C122342"/>
      <c r="E122342"/>
      <c r="F122342"/>
    </row>
    <row r="122343" spans="1:6" x14ac:dyDescent="0.25">
      <c r="A122343"/>
      <c r="B122343"/>
      <c r="C122343"/>
      <c r="E122343"/>
      <c r="F122343"/>
    </row>
    <row r="122344" spans="1:6" x14ac:dyDescent="0.25">
      <c r="A122344"/>
      <c r="B122344"/>
      <c r="C122344"/>
      <c r="E122344"/>
      <c r="F122344"/>
    </row>
    <row r="122345" spans="1:6" x14ac:dyDescent="0.25">
      <c r="A122345"/>
      <c r="B122345"/>
      <c r="C122345"/>
      <c r="E122345"/>
      <c r="F122345"/>
    </row>
    <row r="122346" spans="1:6" x14ac:dyDescent="0.25">
      <c r="A122346"/>
      <c r="B122346"/>
      <c r="C122346"/>
      <c r="E122346"/>
      <c r="F122346"/>
    </row>
    <row r="122347" spans="1:6" x14ac:dyDescent="0.25">
      <c r="A122347"/>
      <c r="B122347"/>
      <c r="C122347"/>
      <c r="E122347"/>
      <c r="F122347"/>
    </row>
    <row r="122348" spans="1:6" x14ac:dyDescent="0.25">
      <c r="A122348"/>
      <c r="B122348"/>
      <c r="C122348"/>
      <c r="E122348"/>
      <c r="F122348"/>
    </row>
    <row r="122349" spans="1:6" x14ac:dyDescent="0.25">
      <c r="A122349"/>
      <c r="B122349"/>
      <c r="C122349"/>
      <c r="E122349"/>
      <c r="F122349"/>
    </row>
    <row r="122350" spans="1:6" x14ac:dyDescent="0.25">
      <c r="A122350"/>
      <c r="B122350"/>
      <c r="C122350"/>
      <c r="E122350"/>
      <c r="F122350"/>
    </row>
    <row r="122351" spans="1:6" x14ac:dyDescent="0.25">
      <c r="A122351"/>
      <c r="B122351"/>
      <c r="C122351"/>
      <c r="E122351"/>
      <c r="F122351"/>
    </row>
    <row r="122352" spans="1:6" x14ac:dyDescent="0.25">
      <c r="A122352"/>
      <c r="B122352"/>
      <c r="C122352"/>
      <c r="E122352"/>
      <c r="F122352"/>
    </row>
    <row r="122353" spans="1:6" x14ac:dyDescent="0.25">
      <c r="A122353"/>
      <c r="B122353"/>
      <c r="C122353"/>
      <c r="E122353"/>
      <c r="F122353"/>
    </row>
    <row r="122354" spans="1:6" x14ac:dyDescent="0.25">
      <c r="A122354"/>
      <c r="B122354"/>
      <c r="C122354"/>
      <c r="E122354"/>
      <c r="F122354"/>
    </row>
    <row r="122355" spans="1:6" x14ac:dyDescent="0.25">
      <c r="A122355"/>
      <c r="B122355"/>
      <c r="C122355"/>
      <c r="E122355"/>
      <c r="F122355"/>
    </row>
    <row r="122356" spans="1:6" x14ac:dyDescent="0.25">
      <c r="A122356"/>
      <c r="B122356"/>
      <c r="C122356"/>
      <c r="E122356"/>
      <c r="F122356"/>
    </row>
    <row r="122357" spans="1:6" x14ac:dyDescent="0.25">
      <c r="A122357"/>
      <c r="B122357"/>
      <c r="C122357"/>
      <c r="E122357"/>
      <c r="F122357"/>
    </row>
    <row r="122358" spans="1:6" x14ac:dyDescent="0.25">
      <c r="A122358"/>
      <c r="B122358"/>
      <c r="C122358"/>
      <c r="E122358"/>
      <c r="F122358"/>
    </row>
    <row r="122359" spans="1:6" x14ac:dyDescent="0.25">
      <c r="A122359"/>
      <c r="B122359"/>
      <c r="C122359"/>
      <c r="E122359"/>
      <c r="F122359"/>
    </row>
    <row r="122360" spans="1:6" x14ac:dyDescent="0.25">
      <c r="A122360"/>
      <c r="B122360"/>
      <c r="C122360"/>
      <c r="E122360"/>
      <c r="F122360"/>
    </row>
    <row r="122361" spans="1:6" x14ac:dyDescent="0.25">
      <c r="A122361"/>
      <c r="B122361"/>
      <c r="C122361"/>
      <c r="E122361"/>
      <c r="F122361"/>
    </row>
    <row r="122362" spans="1:6" x14ac:dyDescent="0.25">
      <c r="A122362"/>
      <c r="B122362"/>
      <c r="C122362"/>
      <c r="E122362"/>
      <c r="F122362"/>
    </row>
    <row r="122363" spans="1:6" x14ac:dyDescent="0.25">
      <c r="A122363"/>
      <c r="B122363"/>
      <c r="C122363"/>
      <c r="E122363"/>
      <c r="F122363"/>
    </row>
    <row r="122364" spans="1:6" x14ac:dyDescent="0.25">
      <c r="A122364"/>
      <c r="B122364"/>
      <c r="C122364"/>
      <c r="E122364"/>
      <c r="F122364"/>
    </row>
    <row r="122365" spans="1:6" x14ac:dyDescent="0.25">
      <c r="A122365"/>
      <c r="B122365"/>
      <c r="C122365"/>
      <c r="E122365"/>
      <c r="F122365"/>
    </row>
    <row r="122366" spans="1:6" x14ac:dyDescent="0.25">
      <c r="A122366"/>
      <c r="B122366"/>
      <c r="C122366"/>
      <c r="E122366"/>
      <c r="F122366"/>
    </row>
    <row r="122367" spans="1:6" x14ac:dyDescent="0.25">
      <c r="A122367"/>
      <c r="B122367"/>
      <c r="C122367"/>
      <c r="E122367"/>
      <c r="F122367"/>
    </row>
    <row r="122368" spans="1:6" x14ac:dyDescent="0.25">
      <c r="A122368"/>
      <c r="B122368"/>
      <c r="C122368"/>
      <c r="E122368"/>
      <c r="F122368"/>
    </row>
    <row r="122369" spans="1:6" x14ac:dyDescent="0.25">
      <c r="A122369"/>
      <c r="B122369"/>
      <c r="C122369"/>
      <c r="E122369"/>
      <c r="F122369"/>
    </row>
    <row r="122370" spans="1:6" x14ac:dyDescent="0.25">
      <c r="A122370"/>
      <c r="B122370"/>
      <c r="C122370"/>
      <c r="E122370"/>
      <c r="F122370"/>
    </row>
    <row r="122371" spans="1:6" x14ac:dyDescent="0.25">
      <c r="A122371"/>
      <c r="B122371"/>
      <c r="C122371"/>
      <c r="E122371"/>
      <c r="F122371"/>
    </row>
    <row r="122372" spans="1:6" x14ac:dyDescent="0.25">
      <c r="A122372"/>
      <c r="B122372"/>
      <c r="C122372"/>
      <c r="E122372"/>
      <c r="F122372"/>
    </row>
    <row r="122373" spans="1:6" x14ac:dyDescent="0.25">
      <c r="A122373"/>
      <c r="B122373"/>
      <c r="C122373"/>
      <c r="E122373"/>
      <c r="F122373"/>
    </row>
    <row r="122374" spans="1:6" x14ac:dyDescent="0.25">
      <c r="A122374"/>
      <c r="B122374"/>
      <c r="C122374"/>
      <c r="E122374"/>
      <c r="F122374"/>
    </row>
    <row r="122375" spans="1:6" x14ac:dyDescent="0.25">
      <c r="A122375"/>
      <c r="B122375"/>
      <c r="C122375"/>
      <c r="E122375"/>
      <c r="F122375"/>
    </row>
    <row r="122376" spans="1:6" x14ac:dyDescent="0.25">
      <c r="A122376"/>
      <c r="B122376"/>
      <c r="C122376"/>
      <c r="E122376"/>
      <c r="F122376"/>
    </row>
    <row r="122377" spans="1:6" x14ac:dyDescent="0.25">
      <c r="A122377"/>
      <c r="B122377"/>
      <c r="C122377"/>
      <c r="E122377"/>
      <c r="F122377"/>
    </row>
    <row r="122378" spans="1:6" x14ac:dyDescent="0.25">
      <c r="A122378"/>
      <c r="B122378"/>
      <c r="C122378"/>
      <c r="E122378"/>
      <c r="F122378"/>
    </row>
    <row r="122379" spans="1:6" x14ac:dyDescent="0.25">
      <c r="A122379"/>
      <c r="B122379"/>
      <c r="C122379"/>
      <c r="E122379"/>
      <c r="F122379"/>
    </row>
    <row r="122380" spans="1:6" x14ac:dyDescent="0.25">
      <c r="A122380"/>
      <c r="B122380"/>
      <c r="C122380"/>
      <c r="E122380"/>
      <c r="F122380"/>
    </row>
    <row r="122381" spans="1:6" x14ac:dyDescent="0.25">
      <c r="A122381"/>
      <c r="B122381"/>
      <c r="C122381"/>
      <c r="E122381"/>
      <c r="F122381"/>
    </row>
    <row r="122382" spans="1:6" x14ac:dyDescent="0.25">
      <c r="A122382"/>
      <c r="B122382"/>
      <c r="C122382"/>
      <c r="E122382"/>
      <c r="F122382"/>
    </row>
    <row r="122383" spans="1:6" x14ac:dyDescent="0.25">
      <c r="A122383"/>
      <c r="B122383"/>
      <c r="C122383"/>
      <c r="E122383"/>
      <c r="F122383"/>
    </row>
    <row r="122384" spans="1:6" x14ac:dyDescent="0.25">
      <c r="A122384"/>
      <c r="B122384"/>
      <c r="C122384"/>
      <c r="E122384"/>
      <c r="F122384"/>
    </row>
    <row r="122385" spans="1:6" x14ac:dyDescent="0.25">
      <c r="A122385"/>
      <c r="B122385"/>
      <c r="C122385"/>
      <c r="E122385"/>
      <c r="F122385"/>
    </row>
    <row r="122386" spans="1:6" x14ac:dyDescent="0.25">
      <c r="A122386"/>
      <c r="B122386"/>
      <c r="C122386"/>
      <c r="E122386"/>
      <c r="F122386"/>
    </row>
    <row r="122387" spans="1:6" x14ac:dyDescent="0.25">
      <c r="A122387"/>
      <c r="B122387"/>
      <c r="C122387"/>
      <c r="E122387"/>
      <c r="F122387"/>
    </row>
    <row r="122388" spans="1:6" x14ac:dyDescent="0.25">
      <c r="A122388"/>
      <c r="B122388"/>
      <c r="C122388"/>
      <c r="E122388"/>
      <c r="F122388"/>
    </row>
    <row r="122389" spans="1:6" x14ac:dyDescent="0.25">
      <c r="A122389"/>
      <c r="B122389"/>
      <c r="C122389"/>
      <c r="E122389"/>
      <c r="F122389"/>
    </row>
    <row r="122390" spans="1:6" x14ac:dyDescent="0.25">
      <c r="A122390"/>
      <c r="B122390"/>
      <c r="C122390"/>
      <c r="E122390"/>
      <c r="F122390"/>
    </row>
    <row r="122391" spans="1:6" x14ac:dyDescent="0.25">
      <c r="A122391"/>
      <c r="B122391"/>
      <c r="C122391"/>
      <c r="E122391"/>
      <c r="F122391"/>
    </row>
    <row r="122392" spans="1:6" x14ac:dyDescent="0.25">
      <c r="A122392"/>
      <c r="B122392"/>
      <c r="C122392"/>
      <c r="E122392"/>
      <c r="F122392"/>
    </row>
    <row r="122393" spans="1:6" x14ac:dyDescent="0.25">
      <c r="A122393"/>
      <c r="B122393"/>
      <c r="C122393"/>
      <c r="E122393"/>
      <c r="F122393"/>
    </row>
    <row r="122394" spans="1:6" x14ac:dyDescent="0.25">
      <c r="A122394"/>
      <c r="B122394"/>
      <c r="C122394"/>
      <c r="E122394"/>
      <c r="F122394"/>
    </row>
    <row r="122395" spans="1:6" x14ac:dyDescent="0.25">
      <c r="A122395"/>
      <c r="B122395"/>
      <c r="C122395"/>
      <c r="E122395"/>
      <c r="F122395"/>
    </row>
    <row r="122396" spans="1:6" x14ac:dyDescent="0.25">
      <c r="A122396"/>
      <c r="B122396"/>
      <c r="C122396"/>
      <c r="E122396"/>
      <c r="F122396"/>
    </row>
    <row r="122397" spans="1:6" x14ac:dyDescent="0.25">
      <c r="A122397"/>
      <c r="B122397"/>
      <c r="C122397"/>
      <c r="E122397"/>
      <c r="F122397"/>
    </row>
    <row r="122398" spans="1:6" x14ac:dyDescent="0.25">
      <c r="A122398"/>
      <c r="B122398"/>
      <c r="C122398"/>
      <c r="E122398"/>
      <c r="F122398"/>
    </row>
    <row r="122399" spans="1:6" x14ac:dyDescent="0.25">
      <c r="A122399"/>
      <c r="B122399"/>
      <c r="C122399"/>
      <c r="E122399"/>
      <c r="F122399"/>
    </row>
    <row r="122400" spans="1:6" x14ac:dyDescent="0.25">
      <c r="A122400"/>
      <c r="B122400"/>
      <c r="C122400"/>
      <c r="E122400"/>
      <c r="F122400"/>
    </row>
    <row r="122401" spans="1:6" x14ac:dyDescent="0.25">
      <c r="A122401"/>
      <c r="B122401"/>
      <c r="C122401"/>
      <c r="E122401"/>
      <c r="F122401"/>
    </row>
    <row r="122402" spans="1:6" x14ac:dyDescent="0.25">
      <c r="A122402"/>
      <c r="B122402"/>
      <c r="C122402"/>
      <c r="E122402"/>
      <c r="F122402"/>
    </row>
    <row r="122403" spans="1:6" x14ac:dyDescent="0.25">
      <c r="A122403"/>
      <c r="B122403"/>
      <c r="C122403"/>
      <c r="E122403"/>
      <c r="F122403"/>
    </row>
    <row r="122404" spans="1:6" x14ac:dyDescent="0.25">
      <c r="A122404"/>
      <c r="B122404"/>
      <c r="C122404"/>
      <c r="E122404"/>
      <c r="F122404"/>
    </row>
    <row r="122405" spans="1:6" x14ac:dyDescent="0.25">
      <c r="A122405"/>
      <c r="B122405"/>
      <c r="C122405"/>
      <c r="E122405"/>
      <c r="F122405"/>
    </row>
    <row r="122406" spans="1:6" x14ac:dyDescent="0.25">
      <c r="A122406"/>
      <c r="B122406"/>
      <c r="C122406"/>
      <c r="E122406"/>
      <c r="F122406"/>
    </row>
    <row r="122407" spans="1:6" x14ac:dyDescent="0.25">
      <c r="A122407"/>
      <c r="B122407"/>
      <c r="C122407"/>
      <c r="E122407"/>
      <c r="F122407"/>
    </row>
    <row r="122408" spans="1:6" x14ac:dyDescent="0.25">
      <c r="A122408"/>
      <c r="B122408"/>
      <c r="C122408"/>
      <c r="E122408"/>
      <c r="F122408"/>
    </row>
    <row r="122409" spans="1:6" x14ac:dyDescent="0.25">
      <c r="A122409"/>
      <c r="B122409"/>
      <c r="C122409"/>
      <c r="E122409"/>
      <c r="F122409"/>
    </row>
    <row r="122410" spans="1:6" x14ac:dyDescent="0.25">
      <c r="A122410"/>
      <c r="B122410"/>
      <c r="C122410"/>
      <c r="E122410"/>
      <c r="F122410"/>
    </row>
    <row r="122411" spans="1:6" x14ac:dyDescent="0.25">
      <c r="A122411"/>
      <c r="B122411"/>
      <c r="C122411"/>
      <c r="E122411"/>
      <c r="F122411"/>
    </row>
    <row r="122412" spans="1:6" x14ac:dyDescent="0.25">
      <c r="A122412"/>
      <c r="B122412"/>
      <c r="C122412"/>
      <c r="E122412"/>
      <c r="F122412"/>
    </row>
    <row r="122413" spans="1:6" x14ac:dyDescent="0.25">
      <c r="A122413"/>
      <c r="B122413"/>
      <c r="C122413"/>
      <c r="E122413"/>
      <c r="F122413"/>
    </row>
    <row r="122414" spans="1:6" x14ac:dyDescent="0.25">
      <c r="A122414"/>
      <c r="B122414"/>
      <c r="C122414"/>
      <c r="E122414"/>
      <c r="F122414"/>
    </row>
    <row r="122415" spans="1:6" x14ac:dyDescent="0.25">
      <c r="A122415"/>
      <c r="B122415"/>
      <c r="C122415"/>
      <c r="E122415"/>
      <c r="F122415"/>
    </row>
    <row r="122416" spans="1:6" x14ac:dyDescent="0.25">
      <c r="A122416"/>
      <c r="B122416"/>
      <c r="C122416"/>
      <c r="E122416"/>
      <c r="F122416"/>
    </row>
    <row r="122417" spans="1:6" x14ac:dyDescent="0.25">
      <c r="A122417"/>
      <c r="B122417"/>
      <c r="C122417"/>
      <c r="E122417"/>
      <c r="F122417"/>
    </row>
    <row r="122418" spans="1:6" x14ac:dyDescent="0.25">
      <c r="A122418"/>
      <c r="B122418"/>
      <c r="C122418"/>
      <c r="E122418"/>
      <c r="F122418"/>
    </row>
    <row r="122419" spans="1:6" x14ac:dyDescent="0.25">
      <c r="A122419"/>
      <c r="B122419"/>
      <c r="C122419"/>
      <c r="E122419"/>
      <c r="F122419"/>
    </row>
    <row r="122420" spans="1:6" x14ac:dyDescent="0.25">
      <c r="A122420"/>
      <c r="B122420"/>
      <c r="C122420"/>
      <c r="E122420"/>
      <c r="F122420"/>
    </row>
    <row r="122421" spans="1:6" x14ac:dyDescent="0.25">
      <c r="A122421"/>
      <c r="B122421"/>
      <c r="C122421"/>
      <c r="E122421"/>
      <c r="F122421"/>
    </row>
    <row r="122422" spans="1:6" x14ac:dyDescent="0.25">
      <c r="A122422"/>
      <c r="B122422"/>
      <c r="C122422"/>
      <c r="E122422"/>
      <c r="F122422"/>
    </row>
    <row r="122423" spans="1:6" x14ac:dyDescent="0.25">
      <c r="A122423"/>
      <c r="B122423"/>
      <c r="C122423"/>
      <c r="E122423"/>
      <c r="F122423"/>
    </row>
    <row r="122424" spans="1:6" x14ac:dyDescent="0.25">
      <c r="A122424"/>
      <c r="B122424"/>
      <c r="C122424"/>
      <c r="E122424"/>
      <c r="F122424"/>
    </row>
    <row r="122425" spans="1:6" x14ac:dyDescent="0.25">
      <c r="A122425"/>
      <c r="B122425"/>
      <c r="C122425"/>
      <c r="E122425"/>
      <c r="F122425"/>
    </row>
    <row r="122426" spans="1:6" x14ac:dyDescent="0.25">
      <c r="A122426"/>
      <c r="B122426"/>
      <c r="C122426"/>
      <c r="E122426"/>
      <c r="F122426"/>
    </row>
    <row r="122427" spans="1:6" x14ac:dyDescent="0.25">
      <c r="A122427"/>
      <c r="B122427"/>
      <c r="C122427"/>
      <c r="E122427"/>
      <c r="F122427"/>
    </row>
    <row r="122428" spans="1:6" x14ac:dyDescent="0.25">
      <c r="A122428"/>
      <c r="B122428"/>
      <c r="C122428"/>
      <c r="E122428"/>
      <c r="F122428"/>
    </row>
    <row r="122429" spans="1:6" x14ac:dyDescent="0.25">
      <c r="A122429"/>
      <c r="B122429"/>
      <c r="C122429"/>
      <c r="E122429"/>
      <c r="F122429"/>
    </row>
    <row r="122430" spans="1:6" x14ac:dyDescent="0.25">
      <c r="A122430"/>
      <c r="B122430"/>
      <c r="C122430"/>
      <c r="E122430"/>
      <c r="F122430"/>
    </row>
    <row r="122431" spans="1:6" x14ac:dyDescent="0.25">
      <c r="A122431"/>
      <c r="B122431"/>
      <c r="C122431"/>
      <c r="E122431"/>
      <c r="F122431"/>
    </row>
    <row r="122432" spans="1:6" x14ac:dyDescent="0.25">
      <c r="A122432"/>
      <c r="B122432"/>
      <c r="C122432"/>
      <c r="E122432"/>
      <c r="F122432"/>
    </row>
    <row r="122433" spans="1:6" x14ac:dyDescent="0.25">
      <c r="A122433"/>
      <c r="B122433"/>
      <c r="C122433"/>
      <c r="E122433"/>
      <c r="F122433"/>
    </row>
    <row r="122434" spans="1:6" x14ac:dyDescent="0.25">
      <c r="A122434"/>
      <c r="B122434"/>
      <c r="C122434"/>
      <c r="E122434"/>
      <c r="F122434"/>
    </row>
    <row r="122435" spans="1:6" x14ac:dyDescent="0.25">
      <c r="A122435"/>
      <c r="B122435"/>
      <c r="C122435"/>
      <c r="E122435"/>
      <c r="F122435"/>
    </row>
    <row r="122436" spans="1:6" x14ac:dyDescent="0.25">
      <c r="A122436"/>
      <c r="B122436"/>
      <c r="C122436"/>
      <c r="E122436"/>
      <c r="F122436"/>
    </row>
    <row r="122437" spans="1:6" x14ac:dyDescent="0.25">
      <c r="A122437"/>
      <c r="B122437"/>
      <c r="C122437"/>
      <c r="E122437"/>
      <c r="F122437"/>
    </row>
    <row r="122438" spans="1:6" x14ac:dyDescent="0.25">
      <c r="A122438"/>
      <c r="B122438"/>
      <c r="C122438"/>
      <c r="E122438"/>
      <c r="F122438"/>
    </row>
    <row r="122439" spans="1:6" x14ac:dyDescent="0.25">
      <c r="A122439"/>
      <c r="B122439"/>
      <c r="C122439"/>
      <c r="E122439"/>
      <c r="F122439"/>
    </row>
    <row r="122440" spans="1:6" x14ac:dyDescent="0.25">
      <c r="A122440"/>
      <c r="B122440"/>
      <c r="C122440"/>
      <c r="E122440"/>
      <c r="F122440"/>
    </row>
    <row r="122441" spans="1:6" x14ac:dyDescent="0.25">
      <c r="A122441"/>
      <c r="B122441"/>
      <c r="C122441"/>
      <c r="E122441"/>
      <c r="F122441"/>
    </row>
    <row r="122442" spans="1:6" x14ac:dyDescent="0.25">
      <c r="A122442"/>
      <c r="B122442"/>
      <c r="C122442"/>
      <c r="E122442"/>
      <c r="F122442"/>
    </row>
    <row r="122443" spans="1:6" x14ac:dyDescent="0.25">
      <c r="A122443"/>
      <c r="B122443"/>
      <c r="C122443"/>
      <c r="E122443"/>
      <c r="F122443"/>
    </row>
    <row r="122444" spans="1:6" x14ac:dyDescent="0.25">
      <c r="A122444"/>
      <c r="B122444"/>
      <c r="C122444"/>
      <c r="E122444"/>
      <c r="F122444"/>
    </row>
    <row r="122445" spans="1:6" x14ac:dyDescent="0.25">
      <c r="A122445"/>
      <c r="B122445"/>
      <c r="C122445"/>
      <c r="E122445"/>
      <c r="F122445"/>
    </row>
    <row r="122446" spans="1:6" x14ac:dyDescent="0.25">
      <c r="A122446"/>
      <c r="B122446"/>
      <c r="C122446"/>
      <c r="E122446"/>
      <c r="F122446"/>
    </row>
    <row r="122447" spans="1:6" x14ac:dyDescent="0.25">
      <c r="A122447"/>
      <c r="B122447"/>
      <c r="C122447"/>
      <c r="E122447"/>
      <c r="F122447"/>
    </row>
    <row r="122448" spans="1:6" x14ac:dyDescent="0.25">
      <c r="A122448"/>
      <c r="B122448"/>
      <c r="C122448"/>
      <c r="E122448"/>
      <c r="F122448"/>
    </row>
    <row r="122449" spans="1:6" x14ac:dyDescent="0.25">
      <c r="A122449"/>
      <c r="B122449"/>
      <c r="C122449"/>
      <c r="E122449"/>
      <c r="F122449"/>
    </row>
    <row r="122450" spans="1:6" x14ac:dyDescent="0.25">
      <c r="A122450"/>
      <c r="B122450"/>
      <c r="C122450"/>
      <c r="E122450"/>
      <c r="F122450"/>
    </row>
    <row r="122451" spans="1:6" x14ac:dyDescent="0.25">
      <c r="A122451"/>
      <c r="B122451"/>
      <c r="C122451"/>
      <c r="E122451"/>
      <c r="F122451"/>
    </row>
    <row r="122452" spans="1:6" x14ac:dyDescent="0.25">
      <c r="A122452"/>
      <c r="B122452"/>
      <c r="C122452"/>
      <c r="E122452"/>
      <c r="F122452"/>
    </row>
    <row r="122453" spans="1:6" x14ac:dyDescent="0.25">
      <c r="A122453"/>
      <c r="B122453"/>
      <c r="C122453"/>
      <c r="E122453"/>
      <c r="F122453"/>
    </row>
    <row r="122454" spans="1:6" x14ac:dyDescent="0.25">
      <c r="A122454"/>
      <c r="B122454"/>
      <c r="C122454"/>
      <c r="E122454"/>
      <c r="F122454"/>
    </row>
    <row r="122455" spans="1:6" x14ac:dyDescent="0.25">
      <c r="A122455"/>
      <c r="B122455"/>
      <c r="C122455"/>
      <c r="E122455"/>
      <c r="F122455"/>
    </row>
    <row r="122456" spans="1:6" x14ac:dyDescent="0.25">
      <c r="A122456"/>
      <c r="B122456"/>
      <c r="C122456"/>
      <c r="E122456"/>
      <c r="F122456"/>
    </row>
    <row r="122457" spans="1:6" x14ac:dyDescent="0.25">
      <c r="A122457"/>
      <c r="B122457"/>
      <c r="C122457"/>
      <c r="E122457"/>
      <c r="F122457"/>
    </row>
    <row r="122458" spans="1:6" x14ac:dyDescent="0.25">
      <c r="A122458"/>
      <c r="B122458"/>
      <c r="C122458"/>
      <c r="E122458"/>
      <c r="F122458"/>
    </row>
    <row r="122459" spans="1:6" x14ac:dyDescent="0.25">
      <c r="A122459"/>
      <c r="B122459"/>
      <c r="C122459"/>
      <c r="E122459"/>
      <c r="F122459"/>
    </row>
    <row r="122460" spans="1:6" x14ac:dyDescent="0.25">
      <c r="A122460"/>
      <c r="B122460"/>
      <c r="C122460"/>
      <c r="E122460"/>
      <c r="F122460"/>
    </row>
    <row r="122461" spans="1:6" x14ac:dyDescent="0.25">
      <c r="A122461"/>
      <c r="B122461"/>
      <c r="C122461"/>
      <c r="E122461"/>
      <c r="F122461"/>
    </row>
    <row r="122462" spans="1:6" x14ac:dyDescent="0.25">
      <c r="A122462"/>
      <c r="B122462"/>
      <c r="C122462"/>
      <c r="E122462"/>
      <c r="F122462"/>
    </row>
    <row r="122463" spans="1:6" x14ac:dyDescent="0.25">
      <c r="A122463"/>
      <c r="B122463"/>
      <c r="C122463"/>
      <c r="E122463"/>
      <c r="F122463"/>
    </row>
    <row r="122464" spans="1:6" x14ac:dyDescent="0.25">
      <c r="A122464"/>
      <c r="B122464"/>
      <c r="C122464"/>
      <c r="E122464"/>
      <c r="F122464"/>
    </row>
    <row r="122465" spans="1:6" x14ac:dyDescent="0.25">
      <c r="A122465"/>
      <c r="B122465"/>
      <c r="C122465"/>
      <c r="E122465"/>
      <c r="F122465"/>
    </row>
    <row r="122466" spans="1:6" x14ac:dyDescent="0.25">
      <c r="A122466"/>
      <c r="B122466"/>
      <c r="C122466"/>
      <c r="E122466"/>
      <c r="F122466"/>
    </row>
    <row r="122467" spans="1:6" x14ac:dyDescent="0.25">
      <c r="A122467"/>
      <c r="B122467"/>
      <c r="C122467"/>
      <c r="E122467"/>
      <c r="F122467"/>
    </row>
    <row r="122468" spans="1:6" x14ac:dyDescent="0.25">
      <c r="A122468"/>
      <c r="B122468"/>
      <c r="C122468"/>
      <c r="E122468"/>
      <c r="F122468"/>
    </row>
    <row r="122469" spans="1:6" x14ac:dyDescent="0.25">
      <c r="A122469"/>
      <c r="B122469"/>
      <c r="C122469"/>
      <c r="E122469"/>
      <c r="F122469"/>
    </row>
    <row r="122470" spans="1:6" x14ac:dyDescent="0.25">
      <c r="A122470"/>
      <c r="B122470"/>
      <c r="C122470"/>
      <c r="E122470"/>
      <c r="F122470"/>
    </row>
    <row r="122471" spans="1:6" x14ac:dyDescent="0.25">
      <c r="A122471"/>
      <c r="B122471"/>
      <c r="C122471"/>
      <c r="E122471"/>
      <c r="F122471"/>
    </row>
    <row r="122472" spans="1:6" x14ac:dyDescent="0.25">
      <c r="A122472"/>
      <c r="B122472"/>
      <c r="C122472"/>
      <c r="E122472"/>
      <c r="F122472"/>
    </row>
    <row r="122473" spans="1:6" x14ac:dyDescent="0.25">
      <c r="A122473"/>
      <c r="B122473"/>
      <c r="C122473"/>
      <c r="E122473"/>
      <c r="F122473"/>
    </row>
    <row r="122474" spans="1:6" x14ac:dyDescent="0.25">
      <c r="A122474"/>
      <c r="B122474"/>
      <c r="C122474"/>
      <c r="E122474"/>
      <c r="F122474"/>
    </row>
    <row r="122475" spans="1:6" x14ac:dyDescent="0.25">
      <c r="A122475"/>
      <c r="B122475"/>
      <c r="C122475"/>
      <c r="E122475"/>
      <c r="F122475"/>
    </row>
    <row r="122476" spans="1:6" x14ac:dyDescent="0.25">
      <c r="A122476"/>
      <c r="B122476"/>
      <c r="C122476"/>
      <c r="E122476"/>
      <c r="F122476"/>
    </row>
    <row r="122477" spans="1:6" x14ac:dyDescent="0.25">
      <c r="A122477"/>
      <c r="B122477"/>
      <c r="C122477"/>
      <c r="E122477"/>
      <c r="F122477"/>
    </row>
    <row r="122478" spans="1:6" x14ac:dyDescent="0.25">
      <c r="A122478"/>
      <c r="B122478"/>
      <c r="C122478"/>
      <c r="E122478"/>
      <c r="F122478"/>
    </row>
    <row r="122479" spans="1:6" x14ac:dyDescent="0.25">
      <c r="A122479"/>
      <c r="B122479"/>
      <c r="C122479"/>
      <c r="E122479"/>
      <c r="F122479"/>
    </row>
    <row r="122480" spans="1:6" x14ac:dyDescent="0.25">
      <c r="A122480"/>
      <c r="B122480"/>
      <c r="C122480"/>
      <c r="E122480"/>
      <c r="F122480"/>
    </row>
    <row r="122481" spans="1:6" x14ac:dyDescent="0.25">
      <c r="A122481"/>
      <c r="B122481"/>
      <c r="C122481"/>
      <c r="E122481"/>
      <c r="F122481"/>
    </row>
    <row r="122482" spans="1:6" x14ac:dyDescent="0.25">
      <c r="A122482"/>
      <c r="B122482"/>
      <c r="C122482"/>
      <c r="E122482"/>
      <c r="F122482"/>
    </row>
    <row r="122483" spans="1:6" x14ac:dyDescent="0.25">
      <c r="A122483"/>
      <c r="B122483"/>
      <c r="C122483"/>
      <c r="E122483"/>
      <c r="F122483"/>
    </row>
    <row r="122484" spans="1:6" x14ac:dyDescent="0.25">
      <c r="A122484"/>
      <c r="B122484"/>
      <c r="C122484"/>
      <c r="E122484"/>
      <c r="F122484"/>
    </row>
    <row r="122485" spans="1:6" x14ac:dyDescent="0.25">
      <c r="A122485"/>
      <c r="B122485"/>
      <c r="C122485"/>
      <c r="E122485"/>
      <c r="F122485"/>
    </row>
    <row r="122486" spans="1:6" x14ac:dyDescent="0.25">
      <c r="A122486"/>
      <c r="B122486"/>
      <c r="C122486"/>
      <c r="E122486"/>
      <c r="F122486"/>
    </row>
    <row r="122487" spans="1:6" x14ac:dyDescent="0.25">
      <c r="A122487"/>
      <c r="B122487"/>
      <c r="C122487"/>
      <c r="E122487"/>
      <c r="F122487"/>
    </row>
    <row r="122488" spans="1:6" x14ac:dyDescent="0.25">
      <c r="A122488"/>
      <c r="B122488"/>
      <c r="C122488"/>
      <c r="E122488"/>
      <c r="F122488"/>
    </row>
    <row r="122489" spans="1:6" x14ac:dyDescent="0.25">
      <c r="A122489"/>
      <c r="B122489"/>
      <c r="C122489"/>
      <c r="E122489"/>
      <c r="F122489"/>
    </row>
    <row r="122490" spans="1:6" x14ac:dyDescent="0.25">
      <c r="A122490"/>
      <c r="B122490"/>
      <c r="C122490"/>
      <c r="E122490"/>
      <c r="F122490"/>
    </row>
    <row r="122491" spans="1:6" x14ac:dyDescent="0.25">
      <c r="A122491"/>
      <c r="B122491"/>
      <c r="C122491"/>
      <c r="E122491"/>
      <c r="F122491"/>
    </row>
    <row r="122492" spans="1:6" x14ac:dyDescent="0.25">
      <c r="A122492"/>
      <c r="B122492"/>
      <c r="C122492"/>
      <c r="E122492"/>
      <c r="F122492"/>
    </row>
    <row r="122493" spans="1:6" x14ac:dyDescent="0.25">
      <c r="A122493"/>
      <c r="B122493"/>
      <c r="C122493"/>
      <c r="E122493"/>
      <c r="F122493"/>
    </row>
    <row r="122494" spans="1:6" x14ac:dyDescent="0.25">
      <c r="A122494"/>
      <c r="B122494"/>
      <c r="C122494"/>
      <c r="E122494"/>
      <c r="F122494"/>
    </row>
    <row r="122495" spans="1:6" x14ac:dyDescent="0.25">
      <c r="A122495"/>
      <c r="B122495"/>
      <c r="C122495"/>
      <c r="E122495"/>
      <c r="F122495"/>
    </row>
    <row r="122496" spans="1:6" x14ac:dyDescent="0.25">
      <c r="A122496"/>
      <c r="B122496"/>
      <c r="C122496"/>
      <c r="E122496"/>
      <c r="F122496"/>
    </row>
    <row r="122497" spans="1:6" x14ac:dyDescent="0.25">
      <c r="A122497"/>
      <c r="B122497"/>
      <c r="C122497"/>
      <c r="E122497"/>
      <c r="F122497"/>
    </row>
    <row r="122498" spans="1:6" x14ac:dyDescent="0.25">
      <c r="A122498"/>
      <c r="B122498"/>
      <c r="C122498"/>
      <c r="E122498"/>
      <c r="F122498"/>
    </row>
    <row r="122499" spans="1:6" x14ac:dyDescent="0.25">
      <c r="A122499"/>
      <c r="B122499"/>
      <c r="C122499"/>
      <c r="E122499"/>
      <c r="F122499"/>
    </row>
    <row r="122500" spans="1:6" x14ac:dyDescent="0.25">
      <c r="A122500"/>
      <c r="B122500"/>
      <c r="C122500"/>
      <c r="E122500"/>
      <c r="F122500"/>
    </row>
    <row r="122501" spans="1:6" x14ac:dyDescent="0.25">
      <c r="A122501"/>
      <c r="B122501"/>
      <c r="C122501"/>
      <c r="E122501"/>
      <c r="F122501"/>
    </row>
    <row r="122502" spans="1:6" x14ac:dyDescent="0.25">
      <c r="A122502"/>
      <c r="B122502"/>
      <c r="C122502"/>
      <c r="E122502"/>
      <c r="F122502"/>
    </row>
    <row r="122503" spans="1:6" x14ac:dyDescent="0.25">
      <c r="A122503"/>
      <c r="B122503"/>
      <c r="C122503"/>
      <c r="E122503"/>
      <c r="F122503"/>
    </row>
    <row r="122504" spans="1:6" x14ac:dyDescent="0.25">
      <c r="A122504"/>
      <c r="B122504"/>
      <c r="C122504"/>
      <c r="E122504"/>
      <c r="F122504"/>
    </row>
    <row r="122505" spans="1:6" x14ac:dyDescent="0.25">
      <c r="A122505"/>
      <c r="B122505"/>
      <c r="C122505"/>
      <c r="E122505"/>
      <c r="F122505"/>
    </row>
    <row r="122506" spans="1:6" x14ac:dyDescent="0.25">
      <c r="A122506"/>
      <c r="B122506"/>
      <c r="C122506"/>
      <c r="E122506"/>
      <c r="F122506"/>
    </row>
    <row r="122507" spans="1:6" x14ac:dyDescent="0.25">
      <c r="A122507"/>
      <c r="B122507"/>
      <c r="C122507"/>
      <c r="E122507"/>
      <c r="F122507"/>
    </row>
    <row r="122508" spans="1:6" x14ac:dyDescent="0.25">
      <c r="A122508"/>
      <c r="B122508"/>
      <c r="C122508"/>
      <c r="E122508"/>
      <c r="F122508"/>
    </row>
    <row r="122509" spans="1:6" x14ac:dyDescent="0.25">
      <c r="A122509"/>
      <c r="B122509"/>
      <c r="C122509"/>
      <c r="E122509"/>
      <c r="F122509"/>
    </row>
    <row r="122510" spans="1:6" x14ac:dyDescent="0.25">
      <c r="A122510"/>
      <c r="B122510"/>
      <c r="C122510"/>
      <c r="E122510"/>
      <c r="F122510"/>
    </row>
    <row r="122511" spans="1:6" x14ac:dyDescent="0.25">
      <c r="A122511"/>
      <c r="B122511"/>
      <c r="C122511"/>
      <c r="E122511"/>
      <c r="F122511"/>
    </row>
    <row r="122512" spans="1:6" x14ac:dyDescent="0.25">
      <c r="A122512"/>
      <c r="B122512"/>
      <c r="C122512"/>
      <c r="E122512"/>
      <c r="F122512"/>
    </row>
    <row r="122513" spans="1:6" x14ac:dyDescent="0.25">
      <c r="A122513"/>
      <c r="B122513"/>
      <c r="C122513"/>
      <c r="E122513"/>
      <c r="F122513"/>
    </row>
    <row r="122514" spans="1:6" x14ac:dyDescent="0.25">
      <c r="A122514"/>
      <c r="B122514"/>
      <c r="C122514"/>
      <c r="E122514"/>
      <c r="F122514"/>
    </row>
    <row r="122515" spans="1:6" x14ac:dyDescent="0.25">
      <c r="A122515"/>
      <c r="B122515"/>
      <c r="C122515"/>
      <c r="E122515"/>
      <c r="F122515"/>
    </row>
    <row r="122516" spans="1:6" x14ac:dyDescent="0.25">
      <c r="A122516"/>
      <c r="B122516"/>
      <c r="C122516"/>
      <c r="E122516"/>
      <c r="F122516"/>
    </row>
    <row r="122517" spans="1:6" x14ac:dyDescent="0.25">
      <c r="A122517"/>
      <c r="B122517"/>
      <c r="C122517"/>
      <c r="E122517"/>
      <c r="F122517"/>
    </row>
    <row r="122518" spans="1:6" x14ac:dyDescent="0.25">
      <c r="A122518"/>
      <c r="B122518"/>
      <c r="C122518"/>
      <c r="E122518"/>
      <c r="F122518"/>
    </row>
    <row r="122519" spans="1:6" x14ac:dyDescent="0.25">
      <c r="A122519"/>
      <c r="B122519"/>
      <c r="C122519"/>
      <c r="E122519"/>
      <c r="F122519"/>
    </row>
    <row r="122520" spans="1:6" x14ac:dyDescent="0.25">
      <c r="A122520"/>
      <c r="B122520"/>
      <c r="C122520"/>
      <c r="E122520"/>
      <c r="F122520"/>
    </row>
    <row r="122521" spans="1:6" x14ac:dyDescent="0.25">
      <c r="A122521"/>
      <c r="B122521"/>
      <c r="C122521"/>
      <c r="E122521"/>
      <c r="F122521"/>
    </row>
    <row r="122522" spans="1:6" x14ac:dyDescent="0.25">
      <c r="A122522"/>
      <c r="B122522"/>
      <c r="C122522"/>
      <c r="E122522"/>
      <c r="F122522"/>
    </row>
    <row r="122523" spans="1:6" x14ac:dyDescent="0.25">
      <c r="A122523"/>
      <c r="B122523"/>
      <c r="C122523"/>
      <c r="E122523"/>
      <c r="F122523"/>
    </row>
    <row r="122524" spans="1:6" x14ac:dyDescent="0.25">
      <c r="A122524"/>
      <c r="B122524"/>
      <c r="C122524"/>
      <c r="E122524"/>
      <c r="F122524"/>
    </row>
    <row r="122525" spans="1:6" x14ac:dyDescent="0.25">
      <c r="A122525"/>
      <c r="B122525"/>
      <c r="C122525"/>
      <c r="E122525"/>
      <c r="F122525"/>
    </row>
    <row r="122526" spans="1:6" x14ac:dyDescent="0.25">
      <c r="A122526"/>
      <c r="B122526"/>
      <c r="C122526"/>
      <c r="E122526"/>
      <c r="F122526"/>
    </row>
    <row r="122527" spans="1:6" x14ac:dyDescent="0.25">
      <c r="A122527"/>
      <c r="B122527"/>
      <c r="C122527"/>
      <c r="E122527"/>
      <c r="F122527"/>
    </row>
    <row r="122528" spans="1:6" x14ac:dyDescent="0.25">
      <c r="A122528"/>
      <c r="B122528"/>
      <c r="C122528"/>
      <c r="E122528"/>
      <c r="F122528"/>
    </row>
    <row r="122529" spans="1:6" x14ac:dyDescent="0.25">
      <c r="A122529"/>
      <c r="B122529"/>
      <c r="C122529"/>
      <c r="E122529"/>
      <c r="F122529"/>
    </row>
    <row r="122530" spans="1:6" x14ac:dyDescent="0.25">
      <c r="A122530"/>
      <c r="B122530"/>
      <c r="C122530"/>
      <c r="E122530"/>
      <c r="F122530"/>
    </row>
    <row r="122531" spans="1:6" x14ac:dyDescent="0.25">
      <c r="A122531"/>
      <c r="B122531"/>
      <c r="C122531"/>
      <c r="E122531"/>
      <c r="F122531"/>
    </row>
    <row r="122532" spans="1:6" x14ac:dyDescent="0.25">
      <c r="A122532"/>
      <c r="B122532"/>
      <c r="C122532"/>
      <c r="E122532"/>
      <c r="F122532"/>
    </row>
    <row r="122533" spans="1:6" x14ac:dyDescent="0.25">
      <c r="A122533"/>
      <c r="B122533"/>
      <c r="C122533"/>
      <c r="E122533"/>
      <c r="F122533"/>
    </row>
    <row r="122534" spans="1:6" x14ac:dyDescent="0.25">
      <c r="A122534"/>
      <c r="B122534"/>
      <c r="C122534"/>
      <c r="E122534"/>
      <c r="F122534"/>
    </row>
    <row r="122535" spans="1:6" x14ac:dyDescent="0.25">
      <c r="A122535"/>
      <c r="B122535"/>
      <c r="C122535"/>
      <c r="E122535"/>
      <c r="F122535"/>
    </row>
    <row r="122536" spans="1:6" x14ac:dyDescent="0.25">
      <c r="A122536"/>
      <c r="B122536"/>
      <c r="C122536"/>
      <c r="E122536"/>
      <c r="F122536"/>
    </row>
    <row r="122537" spans="1:6" x14ac:dyDescent="0.25">
      <c r="A122537"/>
      <c r="B122537"/>
      <c r="C122537"/>
      <c r="E122537"/>
      <c r="F122537"/>
    </row>
    <row r="122538" spans="1:6" x14ac:dyDescent="0.25">
      <c r="A122538"/>
      <c r="B122538"/>
      <c r="C122538"/>
      <c r="E122538"/>
      <c r="F122538"/>
    </row>
    <row r="122539" spans="1:6" x14ac:dyDescent="0.25">
      <c r="A122539"/>
      <c r="B122539"/>
      <c r="C122539"/>
      <c r="E122539"/>
      <c r="F122539"/>
    </row>
    <row r="122540" spans="1:6" x14ac:dyDescent="0.25">
      <c r="A122540"/>
      <c r="B122540"/>
      <c r="C122540"/>
      <c r="E122540"/>
      <c r="F122540"/>
    </row>
    <row r="122541" spans="1:6" x14ac:dyDescent="0.25">
      <c r="A122541"/>
      <c r="B122541"/>
      <c r="C122541"/>
      <c r="E122541"/>
      <c r="F122541"/>
    </row>
    <row r="122542" spans="1:6" x14ac:dyDescent="0.25">
      <c r="A122542"/>
      <c r="B122542"/>
      <c r="C122542"/>
      <c r="E122542"/>
      <c r="F122542"/>
    </row>
    <row r="122543" spans="1:6" x14ac:dyDescent="0.25">
      <c r="A122543"/>
      <c r="B122543"/>
      <c r="C122543"/>
      <c r="E122543"/>
      <c r="F122543"/>
    </row>
    <row r="122544" spans="1:6" x14ac:dyDescent="0.25">
      <c r="A122544"/>
      <c r="B122544"/>
      <c r="C122544"/>
      <c r="E122544"/>
      <c r="F122544"/>
    </row>
    <row r="122545" spans="1:6" x14ac:dyDescent="0.25">
      <c r="A122545"/>
      <c r="B122545"/>
      <c r="C122545"/>
      <c r="E122545"/>
      <c r="F122545"/>
    </row>
    <row r="122546" spans="1:6" x14ac:dyDescent="0.25">
      <c r="A122546"/>
      <c r="B122546"/>
      <c r="C122546"/>
      <c r="E122546"/>
      <c r="F122546"/>
    </row>
    <row r="122547" spans="1:6" x14ac:dyDescent="0.25">
      <c r="A122547"/>
      <c r="B122547"/>
      <c r="C122547"/>
      <c r="E122547"/>
      <c r="F122547"/>
    </row>
    <row r="122548" spans="1:6" x14ac:dyDescent="0.25">
      <c r="A122548"/>
      <c r="B122548"/>
      <c r="C122548"/>
      <c r="E122548"/>
      <c r="F122548"/>
    </row>
    <row r="122549" spans="1:6" x14ac:dyDescent="0.25">
      <c r="A122549"/>
      <c r="B122549"/>
      <c r="C122549"/>
      <c r="E122549"/>
      <c r="F122549"/>
    </row>
    <row r="122550" spans="1:6" x14ac:dyDescent="0.25">
      <c r="A122550"/>
      <c r="B122550"/>
      <c r="C122550"/>
      <c r="E122550"/>
      <c r="F122550"/>
    </row>
    <row r="122551" spans="1:6" x14ac:dyDescent="0.25">
      <c r="A122551"/>
      <c r="B122551"/>
      <c r="C122551"/>
      <c r="E122551"/>
      <c r="F122551"/>
    </row>
    <row r="122552" spans="1:6" x14ac:dyDescent="0.25">
      <c r="A122552"/>
      <c r="B122552"/>
      <c r="C122552"/>
      <c r="E122552"/>
      <c r="F122552"/>
    </row>
    <row r="122553" spans="1:6" x14ac:dyDescent="0.25">
      <c r="A122553"/>
      <c r="B122553"/>
      <c r="C122553"/>
      <c r="E122553"/>
      <c r="F122553"/>
    </row>
    <row r="122554" spans="1:6" x14ac:dyDescent="0.25">
      <c r="A122554"/>
      <c r="B122554"/>
      <c r="C122554"/>
      <c r="E122554"/>
      <c r="F122554"/>
    </row>
    <row r="122555" spans="1:6" x14ac:dyDescent="0.25">
      <c r="A122555"/>
      <c r="B122555"/>
      <c r="C122555"/>
      <c r="E122555"/>
      <c r="F122555"/>
    </row>
    <row r="122556" spans="1:6" x14ac:dyDescent="0.25">
      <c r="A122556"/>
      <c r="B122556"/>
      <c r="C122556"/>
      <c r="E122556"/>
      <c r="F122556"/>
    </row>
    <row r="122557" spans="1:6" x14ac:dyDescent="0.25">
      <c r="A122557"/>
      <c r="B122557"/>
      <c r="C122557"/>
      <c r="E122557"/>
      <c r="F122557"/>
    </row>
    <row r="122558" spans="1:6" x14ac:dyDescent="0.25">
      <c r="A122558"/>
      <c r="B122558"/>
      <c r="C122558"/>
      <c r="E122558"/>
      <c r="F122558"/>
    </row>
    <row r="122559" spans="1:6" x14ac:dyDescent="0.25">
      <c r="A122559"/>
      <c r="B122559"/>
      <c r="C122559"/>
      <c r="E122559"/>
      <c r="F122559"/>
    </row>
    <row r="122560" spans="1:6" x14ac:dyDescent="0.25">
      <c r="A122560"/>
      <c r="B122560"/>
      <c r="C122560"/>
      <c r="E122560"/>
      <c r="F122560"/>
    </row>
    <row r="122561" spans="1:6" x14ac:dyDescent="0.25">
      <c r="A122561"/>
      <c r="B122561"/>
      <c r="C122561"/>
      <c r="E122561"/>
      <c r="F122561"/>
    </row>
    <row r="122562" spans="1:6" x14ac:dyDescent="0.25">
      <c r="A122562"/>
      <c r="B122562"/>
      <c r="C122562"/>
      <c r="E122562"/>
      <c r="F122562"/>
    </row>
    <row r="122563" spans="1:6" x14ac:dyDescent="0.25">
      <c r="A122563"/>
      <c r="B122563"/>
      <c r="C122563"/>
      <c r="E122563"/>
      <c r="F122563"/>
    </row>
    <row r="122564" spans="1:6" x14ac:dyDescent="0.25">
      <c r="A122564"/>
      <c r="B122564"/>
      <c r="C122564"/>
      <c r="E122564"/>
      <c r="F122564"/>
    </row>
    <row r="122565" spans="1:6" x14ac:dyDescent="0.25">
      <c r="A122565"/>
      <c r="B122565"/>
      <c r="C122565"/>
      <c r="E122565"/>
      <c r="F122565"/>
    </row>
    <row r="122566" spans="1:6" x14ac:dyDescent="0.25">
      <c r="A122566"/>
      <c r="B122566"/>
      <c r="C122566"/>
      <c r="E122566"/>
      <c r="F122566"/>
    </row>
    <row r="122567" spans="1:6" x14ac:dyDescent="0.25">
      <c r="A122567"/>
      <c r="B122567"/>
      <c r="C122567"/>
      <c r="E122567"/>
      <c r="F122567"/>
    </row>
    <row r="122568" spans="1:6" x14ac:dyDescent="0.25">
      <c r="A122568"/>
      <c r="B122568"/>
      <c r="C122568"/>
      <c r="E122568"/>
      <c r="F122568"/>
    </row>
    <row r="122569" spans="1:6" x14ac:dyDescent="0.25">
      <c r="A122569"/>
      <c r="B122569"/>
      <c r="C122569"/>
      <c r="E122569"/>
      <c r="F122569"/>
    </row>
    <row r="122570" spans="1:6" x14ac:dyDescent="0.25">
      <c r="A122570"/>
      <c r="B122570"/>
      <c r="C122570"/>
      <c r="E122570"/>
      <c r="F122570"/>
    </row>
    <row r="122571" spans="1:6" x14ac:dyDescent="0.25">
      <c r="A122571"/>
      <c r="B122571"/>
      <c r="C122571"/>
      <c r="E122571"/>
      <c r="F122571"/>
    </row>
    <row r="122572" spans="1:6" x14ac:dyDescent="0.25">
      <c r="A122572"/>
      <c r="B122572"/>
      <c r="C122572"/>
      <c r="E122572"/>
      <c r="F122572"/>
    </row>
    <row r="122573" spans="1:6" x14ac:dyDescent="0.25">
      <c r="A122573"/>
      <c r="B122573"/>
      <c r="C122573"/>
      <c r="E122573"/>
      <c r="F122573"/>
    </row>
    <row r="122574" spans="1:6" x14ac:dyDescent="0.25">
      <c r="A122574"/>
      <c r="B122574"/>
      <c r="C122574"/>
      <c r="E122574"/>
      <c r="F122574"/>
    </row>
    <row r="122575" spans="1:6" x14ac:dyDescent="0.25">
      <c r="A122575"/>
      <c r="B122575"/>
      <c r="C122575"/>
      <c r="E122575"/>
      <c r="F122575"/>
    </row>
    <row r="122576" spans="1:6" x14ac:dyDescent="0.25">
      <c r="A122576"/>
      <c r="B122576"/>
      <c r="C122576"/>
      <c r="E122576"/>
      <c r="F122576"/>
    </row>
    <row r="122577" spans="1:6" x14ac:dyDescent="0.25">
      <c r="A122577"/>
      <c r="B122577"/>
      <c r="C122577"/>
      <c r="E122577"/>
      <c r="F122577"/>
    </row>
    <row r="122578" spans="1:6" x14ac:dyDescent="0.25">
      <c r="A122578"/>
      <c r="B122578"/>
      <c r="C122578"/>
      <c r="E122578"/>
      <c r="F122578"/>
    </row>
    <row r="122579" spans="1:6" x14ac:dyDescent="0.25">
      <c r="A122579"/>
      <c r="B122579"/>
      <c r="C122579"/>
      <c r="E122579"/>
      <c r="F122579"/>
    </row>
    <row r="122580" spans="1:6" x14ac:dyDescent="0.25">
      <c r="A122580"/>
      <c r="B122580"/>
      <c r="C122580"/>
      <c r="E122580"/>
      <c r="F122580"/>
    </row>
    <row r="122581" spans="1:6" x14ac:dyDescent="0.25">
      <c r="A122581"/>
      <c r="B122581"/>
      <c r="C122581"/>
      <c r="E122581"/>
      <c r="F122581"/>
    </row>
    <row r="122582" spans="1:6" x14ac:dyDescent="0.25">
      <c r="A122582"/>
      <c r="B122582"/>
      <c r="C122582"/>
      <c r="E122582"/>
      <c r="F122582"/>
    </row>
    <row r="122583" spans="1:6" x14ac:dyDescent="0.25">
      <c r="A122583"/>
      <c r="B122583"/>
      <c r="C122583"/>
      <c r="E122583"/>
      <c r="F122583"/>
    </row>
    <row r="122584" spans="1:6" x14ac:dyDescent="0.25">
      <c r="A122584"/>
      <c r="B122584"/>
      <c r="C122584"/>
      <c r="E122584"/>
      <c r="F122584"/>
    </row>
    <row r="122585" spans="1:6" x14ac:dyDescent="0.25">
      <c r="A122585"/>
      <c r="B122585"/>
      <c r="C122585"/>
      <c r="E122585"/>
      <c r="F122585"/>
    </row>
    <row r="122586" spans="1:6" x14ac:dyDescent="0.25">
      <c r="A122586"/>
      <c r="B122586"/>
      <c r="C122586"/>
      <c r="E122586"/>
      <c r="F122586"/>
    </row>
    <row r="122587" spans="1:6" x14ac:dyDescent="0.25">
      <c r="A122587"/>
      <c r="B122587"/>
      <c r="C122587"/>
      <c r="E122587"/>
      <c r="F122587"/>
    </row>
    <row r="122588" spans="1:6" x14ac:dyDescent="0.25">
      <c r="A122588"/>
      <c r="B122588"/>
      <c r="C122588"/>
      <c r="E122588"/>
      <c r="F122588"/>
    </row>
    <row r="122589" spans="1:6" x14ac:dyDescent="0.25">
      <c r="A122589"/>
      <c r="B122589"/>
      <c r="C122589"/>
      <c r="E122589"/>
      <c r="F122589"/>
    </row>
    <row r="122590" spans="1:6" x14ac:dyDescent="0.25">
      <c r="A122590"/>
      <c r="B122590"/>
      <c r="C122590"/>
      <c r="E122590"/>
      <c r="F122590"/>
    </row>
    <row r="122591" spans="1:6" x14ac:dyDescent="0.25">
      <c r="A122591"/>
      <c r="B122591"/>
      <c r="C122591"/>
      <c r="E122591"/>
      <c r="F122591"/>
    </row>
    <row r="122592" spans="1:6" x14ac:dyDescent="0.25">
      <c r="A122592"/>
      <c r="B122592"/>
      <c r="C122592"/>
      <c r="E122592"/>
      <c r="F122592"/>
    </row>
    <row r="122593" spans="1:6" x14ac:dyDescent="0.25">
      <c r="A122593"/>
      <c r="B122593"/>
      <c r="C122593"/>
      <c r="E122593"/>
      <c r="F122593"/>
    </row>
    <row r="122594" spans="1:6" x14ac:dyDescent="0.25">
      <c r="A122594"/>
      <c r="B122594"/>
      <c r="C122594"/>
      <c r="E122594"/>
      <c r="F122594"/>
    </row>
    <row r="122595" spans="1:6" x14ac:dyDescent="0.25">
      <c r="A122595"/>
      <c r="B122595"/>
      <c r="C122595"/>
      <c r="E122595"/>
      <c r="F122595"/>
    </row>
    <row r="122596" spans="1:6" x14ac:dyDescent="0.25">
      <c r="A122596"/>
      <c r="B122596"/>
      <c r="C122596"/>
      <c r="E122596"/>
      <c r="F122596"/>
    </row>
    <row r="122597" spans="1:6" x14ac:dyDescent="0.25">
      <c r="A122597"/>
      <c r="B122597"/>
      <c r="C122597"/>
      <c r="E122597"/>
      <c r="F122597"/>
    </row>
    <row r="122598" spans="1:6" x14ac:dyDescent="0.25">
      <c r="A122598"/>
      <c r="B122598"/>
      <c r="C122598"/>
      <c r="E122598"/>
      <c r="F122598"/>
    </row>
    <row r="122599" spans="1:6" x14ac:dyDescent="0.25">
      <c r="A122599"/>
      <c r="B122599"/>
      <c r="C122599"/>
      <c r="E122599"/>
      <c r="F122599"/>
    </row>
    <row r="122600" spans="1:6" x14ac:dyDescent="0.25">
      <c r="A122600"/>
      <c r="B122600"/>
      <c r="C122600"/>
      <c r="E122600"/>
      <c r="F122600"/>
    </row>
    <row r="122601" spans="1:6" x14ac:dyDescent="0.25">
      <c r="A122601"/>
      <c r="B122601"/>
      <c r="C122601"/>
      <c r="E122601"/>
      <c r="F122601"/>
    </row>
    <row r="122602" spans="1:6" x14ac:dyDescent="0.25">
      <c r="A122602"/>
      <c r="B122602"/>
      <c r="C122602"/>
      <c r="E122602"/>
      <c r="F122602"/>
    </row>
    <row r="122603" spans="1:6" x14ac:dyDescent="0.25">
      <c r="A122603"/>
      <c r="B122603"/>
      <c r="C122603"/>
      <c r="E122603"/>
      <c r="F122603"/>
    </row>
    <row r="122604" spans="1:6" x14ac:dyDescent="0.25">
      <c r="A122604"/>
      <c r="B122604"/>
      <c r="C122604"/>
      <c r="E122604"/>
      <c r="F122604"/>
    </row>
    <row r="122605" spans="1:6" x14ac:dyDescent="0.25">
      <c r="A122605"/>
      <c r="B122605"/>
      <c r="C122605"/>
      <c r="E122605"/>
      <c r="F122605"/>
    </row>
    <row r="122606" spans="1:6" x14ac:dyDescent="0.25">
      <c r="A122606"/>
      <c r="B122606"/>
      <c r="C122606"/>
      <c r="E122606"/>
      <c r="F122606"/>
    </row>
    <row r="122607" spans="1:6" x14ac:dyDescent="0.25">
      <c r="A122607"/>
      <c r="B122607"/>
      <c r="C122607"/>
      <c r="E122607"/>
      <c r="F122607"/>
    </row>
    <row r="122608" spans="1:6" x14ac:dyDescent="0.25">
      <c r="A122608"/>
      <c r="B122608"/>
      <c r="C122608"/>
      <c r="E122608"/>
      <c r="F122608"/>
    </row>
    <row r="122609" spans="1:6" x14ac:dyDescent="0.25">
      <c r="A122609"/>
      <c r="B122609"/>
      <c r="C122609"/>
      <c r="E122609"/>
      <c r="F122609"/>
    </row>
    <row r="122610" spans="1:6" x14ac:dyDescent="0.25">
      <c r="A122610"/>
      <c r="B122610"/>
      <c r="C122610"/>
      <c r="E122610"/>
      <c r="F122610"/>
    </row>
    <row r="122611" spans="1:6" x14ac:dyDescent="0.25">
      <c r="A122611"/>
      <c r="B122611"/>
      <c r="C122611"/>
      <c r="E122611"/>
      <c r="F122611"/>
    </row>
    <row r="122612" spans="1:6" x14ac:dyDescent="0.25">
      <c r="A122612"/>
      <c r="B122612"/>
      <c r="C122612"/>
      <c r="E122612"/>
      <c r="F122612"/>
    </row>
    <row r="122613" spans="1:6" x14ac:dyDescent="0.25">
      <c r="A122613"/>
      <c r="B122613"/>
      <c r="C122613"/>
      <c r="E122613"/>
      <c r="F122613"/>
    </row>
    <row r="122614" spans="1:6" x14ac:dyDescent="0.25">
      <c r="A122614"/>
      <c r="B122614"/>
      <c r="C122614"/>
      <c r="E122614"/>
      <c r="F122614"/>
    </row>
    <row r="122615" spans="1:6" x14ac:dyDescent="0.25">
      <c r="A122615"/>
      <c r="B122615"/>
      <c r="C122615"/>
      <c r="E122615"/>
      <c r="F122615"/>
    </row>
    <row r="122616" spans="1:6" x14ac:dyDescent="0.25">
      <c r="A122616"/>
      <c r="B122616"/>
      <c r="C122616"/>
      <c r="E122616"/>
      <c r="F122616"/>
    </row>
    <row r="122617" spans="1:6" x14ac:dyDescent="0.25">
      <c r="A122617"/>
      <c r="B122617"/>
      <c r="C122617"/>
      <c r="E122617"/>
      <c r="F122617"/>
    </row>
    <row r="122618" spans="1:6" x14ac:dyDescent="0.25">
      <c r="A122618"/>
      <c r="B122618"/>
      <c r="C122618"/>
      <c r="E122618"/>
      <c r="F122618"/>
    </row>
    <row r="122619" spans="1:6" x14ac:dyDescent="0.25">
      <c r="A122619"/>
      <c r="B122619"/>
      <c r="C122619"/>
      <c r="E122619"/>
      <c r="F122619"/>
    </row>
    <row r="122620" spans="1:6" x14ac:dyDescent="0.25">
      <c r="A122620"/>
      <c r="B122620"/>
      <c r="C122620"/>
      <c r="E122620"/>
      <c r="F122620"/>
    </row>
    <row r="122621" spans="1:6" x14ac:dyDescent="0.25">
      <c r="A122621"/>
      <c r="B122621"/>
      <c r="C122621"/>
      <c r="E122621"/>
      <c r="F122621"/>
    </row>
    <row r="122622" spans="1:6" x14ac:dyDescent="0.25">
      <c r="A122622"/>
      <c r="B122622"/>
      <c r="C122622"/>
      <c r="E122622"/>
      <c r="F122622"/>
    </row>
    <row r="122623" spans="1:6" x14ac:dyDescent="0.25">
      <c r="A122623"/>
      <c r="B122623"/>
      <c r="C122623"/>
      <c r="E122623"/>
      <c r="F122623"/>
    </row>
    <row r="122624" spans="1:6" x14ac:dyDescent="0.25">
      <c r="A122624"/>
      <c r="B122624"/>
      <c r="C122624"/>
      <c r="E122624"/>
      <c r="F122624"/>
    </row>
    <row r="122625" spans="1:6" x14ac:dyDescent="0.25">
      <c r="A122625"/>
      <c r="B122625"/>
      <c r="C122625"/>
      <c r="E122625"/>
      <c r="F122625"/>
    </row>
    <row r="122626" spans="1:6" x14ac:dyDescent="0.25">
      <c r="A122626"/>
      <c r="B122626"/>
      <c r="C122626"/>
      <c r="E122626"/>
      <c r="F122626"/>
    </row>
    <row r="122627" spans="1:6" x14ac:dyDescent="0.25">
      <c r="A122627"/>
      <c r="B122627"/>
      <c r="C122627"/>
      <c r="E122627"/>
      <c r="F122627"/>
    </row>
    <row r="122628" spans="1:6" x14ac:dyDescent="0.25">
      <c r="A122628"/>
      <c r="B122628"/>
      <c r="C122628"/>
      <c r="E122628"/>
      <c r="F122628"/>
    </row>
    <row r="122629" spans="1:6" x14ac:dyDescent="0.25">
      <c r="A122629"/>
      <c r="B122629"/>
      <c r="C122629"/>
      <c r="E122629"/>
      <c r="F122629"/>
    </row>
    <row r="122630" spans="1:6" x14ac:dyDescent="0.25">
      <c r="A122630"/>
      <c r="B122630"/>
      <c r="C122630"/>
      <c r="E122630"/>
      <c r="F122630"/>
    </row>
    <row r="122631" spans="1:6" x14ac:dyDescent="0.25">
      <c r="A122631"/>
      <c r="B122631"/>
      <c r="C122631"/>
      <c r="E122631"/>
      <c r="F122631"/>
    </row>
    <row r="122632" spans="1:6" x14ac:dyDescent="0.25">
      <c r="A122632"/>
      <c r="B122632"/>
      <c r="C122632"/>
      <c r="E122632"/>
      <c r="F122632"/>
    </row>
    <row r="122633" spans="1:6" x14ac:dyDescent="0.25">
      <c r="A122633"/>
      <c r="B122633"/>
      <c r="C122633"/>
      <c r="E122633"/>
      <c r="F122633"/>
    </row>
    <row r="122634" spans="1:6" x14ac:dyDescent="0.25">
      <c r="A122634"/>
      <c r="B122634"/>
      <c r="C122634"/>
      <c r="E122634"/>
      <c r="F122634"/>
    </row>
    <row r="122635" spans="1:6" x14ac:dyDescent="0.25">
      <c r="A122635"/>
      <c r="B122635"/>
      <c r="C122635"/>
      <c r="E122635"/>
      <c r="F122635"/>
    </row>
    <row r="122636" spans="1:6" x14ac:dyDescent="0.25">
      <c r="A122636"/>
      <c r="B122636"/>
      <c r="C122636"/>
      <c r="E122636"/>
      <c r="F122636"/>
    </row>
    <row r="122637" spans="1:6" x14ac:dyDescent="0.25">
      <c r="A122637"/>
      <c r="B122637"/>
      <c r="C122637"/>
      <c r="E122637"/>
      <c r="F122637"/>
    </row>
    <row r="122638" spans="1:6" x14ac:dyDescent="0.25">
      <c r="A122638"/>
      <c r="B122638"/>
      <c r="C122638"/>
      <c r="E122638"/>
      <c r="F122638"/>
    </row>
    <row r="122639" spans="1:6" x14ac:dyDescent="0.25">
      <c r="A122639"/>
      <c r="B122639"/>
      <c r="C122639"/>
      <c r="E122639"/>
      <c r="F122639"/>
    </row>
    <row r="122640" spans="1:6" x14ac:dyDescent="0.25">
      <c r="A122640"/>
      <c r="B122640"/>
      <c r="C122640"/>
      <c r="E122640"/>
      <c r="F122640"/>
    </row>
    <row r="122641" spans="1:6" x14ac:dyDescent="0.25">
      <c r="A122641"/>
      <c r="B122641"/>
      <c r="C122641"/>
      <c r="E122641"/>
      <c r="F122641"/>
    </row>
    <row r="122642" spans="1:6" x14ac:dyDescent="0.25">
      <c r="A122642"/>
      <c r="B122642"/>
      <c r="C122642"/>
      <c r="E122642"/>
      <c r="F122642"/>
    </row>
    <row r="122643" spans="1:6" x14ac:dyDescent="0.25">
      <c r="A122643"/>
      <c r="B122643"/>
      <c r="C122643"/>
      <c r="E122643"/>
      <c r="F122643"/>
    </row>
    <row r="122644" spans="1:6" x14ac:dyDescent="0.25">
      <c r="A122644"/>
      <c r="B122644"/>
      <c r="C122644"/>
      <c r="E122644"/>
      <c r="F122644"/>
    </row>
    <row r="122645" spans="1:6" x14ac:dyDescent="0.25">
      <c r="A122645"/>
      <c r="B122645"/>
      <c r="C122645"/>
      <c r="E122645"/>
      <c r="F122645"/>
    </row>
    <row r="122646" spans="1:6" x14ac:dyDescent="0.25">
      <c r="A122646"/>
      <c r="B122646"/>
      <c r="C122646"/>
      <c r="E122646"/>
      <c r="F122646"/>
    </row>
    <row r="122647" spans="1:6" x14ac:dyDescent="0.25">
      <c r="A122647"/>
      <c r="B122647"/>
      <c r="C122647"/>
      <c r="E122647"/>
      <c r="F122647"/>
    </row>
    <row r="122648" spans="1:6" x14ac:dyDescent="0.25">
      <c r="A122648"/>
      <c r="B122648"/>
      <c r="C122648"/>
      <c r="E122648"/>
      <c r="F122648"/>
    </row>
    <row r="122649" spans="1:6" x14ac:dyDescent="0.25">
      <c r="A122649"/>
      <c r="B122649"/>
      <c r="C122649"/>
      <c r="E122649"/>
      <c r="F122649"/>
    </row>
    <row r="122650" spans="1:6" x14ac:dyDescent="0.25">
      <c r="A122650"/>
      <c r="B122650"/>
      <c r="C122650"/>
      <c r="E122650"/>
      <c r="F122650"/>
    </row>
    <row r="122651" spans="1:6" x14ac:dyDescent="0.25">
      <c r="A122651"/>
      <c r="B122651"/>
      <c r="C122651"/>
      <c r="E122651"/>
      <c r="F122651"/>
    </row>
    <row r="122652" spans="1:6" x14ac:dyDescent="0.25">
      <c r="A122652"/>
      <c r="B122652"/>
      <c r="C122652"/>
      <c r="E122652"/>
      <c r="F122652"/>
    </row>
    <row r="122653" spans="1:6" x14ac:dyDescent="0.25">
      <c r="A122653"/>
      <c r="B122653"/>
      <c r="C122653"/>
      <c r="E122653"/>
      <c r="F122653"/>
    </row>
    <row r="122654" spans="1:6" x14ac:dyDescent="0.25">
      <c r="A122654"/>
      <c r="B122654"/>
      <c r="C122654"/>
      <c r="E122654"/>
      <c r="F122654"/>
    </row>
    <row r="122655" spans="1:6" x14ac:dyDescent="0.25">
      <c r="A122655"/>
      <c r="B122655"/>
      <c r="C122655"/>
      <c r="E122655"/>
      <c r="F122655"/>
    </row>
    <row r="122656" spans="1:6" x14ac:dyDescent="0.25">
      <c r="A122656"/>
      <c r="B122656"/>
      <c r="C122656"/>
      <c r="E122656"/>
      <c r="F122656"/>
    </row>
    <row r="122657" spans="1:6" x14ac:dyDescent="0.25">
      <c r="A122657"/>
      <c r="B122657"/>
      <c r="C122657"/>
      <c r="E122657"/>
      <c r="F122657"/>
    </row>
    <row r="122658" spans="1:6" x14ac:dyDescent="0.25">
      <c r="A122658"/>
      <c r="B122658"/>
      <c r="C122658"/>
      <c r="E122658"/>
      <c r="F122658"/>
    </row>
    <row r="122659" spans="1:6" x14ac:dyDescent="0.25">
      <c r="A122659"/>
      <c r="B122659"/>
      <c r="C122659"/>
      <c r="E122659"/>
      <c r="F122659"/>
    </row>
    <row r="122660" spans="1:6" x14ac:dyDescent="0.25">
      <c r="A122660"/>
      <c r="B122660"/>
      <c r="C122660"/>
      <c r="E122660"/>
      <c r="F122660"/>
    </row>
    <row r="122661" spans="1:6" x14ac:dyDescent="0.25">
      <c r="A122661"/>
      <c r="B122661"/>
      <c r="C122661"/>
      <c r="E122661"/>
      <c r="F122661"/>
    </row>
    <row r="122662" spans="1:6" x14ac:dyDescent="0.25">
      <c r="A122662"/>
      <c r="B122662"/>
      <c r="C122662"/>
      <c r="E122662"/>
      <c r="F122662"/>
    </row>
    <row r="122663" spans="1:6" x14ac:dyDescent="0.25">
      <c r="A122663"/>
      <c r="B122663"/>
      <c r="C122663"/>
      <c r="E122663"/>
      <c r="F122663"/>
    </row>
    <row r="122664" spans="1:6" x14ac:dyDescent="0.25">
      <c r="A122664"/>
      <c r="B122664"/>
      <c r="C122664"/>
      <c r="E122664"/>
      <c r="F122664"/>
    </row>
    <row r="122665" spans="1:6" x14ac:dyDescent="0.25">
      <c r="A122665"/>
      <c r="B122665"/>
      <c r="C122665"/>
      <c r="E122665"/>
      <c r="F122665"/>
    </row>
    <row r="122666" spans="1:6" x14ac:dyDescent="0.25">
      <c r="A122666"/>
      <c r="B122666"/>
      <c r="C122666"/>
      <c r="E122666"/>
      <c r="F122666"/>
    </row>
    <row r="122667" spans="1:6" x14ac:dyDescent="0.25">
      <c r="A122667"/>
      <c r="B122667"/>
      <c r="C122667"/>
      <c r="E122667"/>
      <c r="F122667"/>
    </row>
    <row r="122668" spans="1:6" x14ac:dyDescent="0.25">
      <c r="A122668"/>
      <c r="B122668"/>
      <c r="C122668"/>
      <c r="E122668"/>
      <c r="F122668"/>
    </row>
    <row r="122669" spans="1:6" x14ac:dyDescent="0.25">
      <c r="A122669"/>
      <c r="B122669"/>
      <c r="C122669"/>
      <c r="E122669"/>
      <c r="F122669"/>
    </row>
    <row r="122670" spans="1:6" x14ac:dyDescent="0.25">
      <c r="A122670"/>
      <c r="B122670"/>
      <c r="C122670"/>
      <c r="E122670"/>
      <c r="F122670"/>
    </row>
    <row r="122671" spans="1:6" x14ac:dyDescent="0.25">
      <c r="A122671"/>
      <c r="B122671"/>
      <c r="C122671"/>
      <c r="E122671"/>
      <c r="F122671"/>
    </row>
    <row r="122672" spans="1:6" x14ac:dyDescent="0.25">
      <c r="A122672"/>
      <c r="B122672"/>
      <c r="C122672"/>
      <c r="E122672"/>
      <c r="F122672"/>
    </row>
    <row r="122673" spans="1:6" x14ac:dyDescent="0.25">
      <c r="A122673"/>
      <c r="B122673"/>
      <c r="C122673"/>
      <c r="E122673"/>
      <c r="F122673"/>
    </row>
    <row r="122674" spans="1:6" x14ac:dyDescent="0.25">
      <c r="A122674"/>
      <c r="B122674"/>
      <c r="C122674"/>
      <c r="E122674"/>
      <c r="F122674"/>
    </row>
    <row r="122675" spans="1:6" x14ac:dyDescent="0.25">
      <c r="A122675"/>
      <c r="B122675"/>
      <c r="C122675"/>
      <c r="E122675"/>
      <c r="F122675"/>
    </row>
    <row r="122676" spans="1:6" x14ac:dyDescent="0.25">
      <c r="A122676"/>
      <c r="B122676"/>
      <c r="C122676"/>
      <c r="E122676"/>
      <c r="F122676"/>
    </row>
    <row r="122677" spans="1:6" x14ac:dyDescent="0.25">
      <c r="A122677"/>
      <c r="B122677"/>
      <c r="C122677"/>
      <c r="E122677"/>
      <c r="F122677"/>
    </row>
    <row r="122678" spans="1:6" x14ac:dyDescent="0.25">
      <c r="A122678"/>
      <c r="B122678"/>
      <c r="C122678"/>
      <c r="E122678"/>
      <c r="F122678"/>
    </row>
    <row r="122679" spans="1:6" x14ac:dyDescent="0.25">
      <c r="A122679"/>
      <c r="B122679"/>
      <c r="C122679"/>
      <c r="E122679"/>
      <c r="F122679"/>
    </row>
    <row r="122680" spans="1:6" x14ac:dyDescent="0.25">
      <c r="A122680"/>
      <c r="B122680"/>
      <c r="C122680"/>
      <c r="E122680"/>
      <c r="F122680"/>
    </row>
    <row r="122681" spans="1:6" x14ac:dyDescent="0.25">
      <c r="A122681"/>
      <c r="B122681"/>
      <c r="C122681"/>
      <c r="E122681"/>
      <c r="F122681"/>
    </row>
    <row r="122682" spans="1:6" x14ac:dyDescent="0.25">
      <c r="A122682"/>
      <c r="B122682"/>
      <c r="C122682"/>
      <c r="E122682"/>
      <c r="F122682"/>
    </row>
    <row r="122683" spans="1:6" x14ac:dyDescent="0.25">
      <c r="A122683"/>
      <c r="B122683"/>
      <c r="C122683"/>
      <c r="E122683"/>
      <c r="F122683"/>
    </row>
    <row r="122684" spans="1:6" x14ac:dyDescent="0.25">
      <c r="A122684"/>
      <c r="B122684"/>
      <c r="C122684"/>
      <c r="E122684"/>
      <c r="F122684"/>
    </row>
    <row r="122685" spans="1:6" x14ac:dyDescent="0.25">
      <c r="A122685"/>
      <c r="B122685"/>
      <c r="C122685"/>
      <c r="E122685"/>
      <c r="F122685"/>
    </row>
    <row r="122686" spans="1:6" x14ac:dyDescent="0.25">
      <c r="A122686"/>
      <c r="B122686"/>
      <c r="C122686"/>
      <c r="E122686"/>
      <c r="F122686"/>
    </row>
    <row r="122687" spans="1:6" x14ac:dyDescent="0.25">
      <c r="A122687"/>
      <c r="B122687"/>
      <c r="C122687"/>
      <c r="E122687"/>
      <c r="F122687"/>
    </row>
    <row r="122688" spans="1:6" x14ac:dyDescent="0.25">
      <c r="A122688"/>
      <c r="B122688"/>
      <c r="C122688"/>
      <c r="E122688"/>
      <c r="F122688"/>
    </row>
    <row r="122689" spans="1:6" x14ac:dyDescent="0.25">
      <c r="A122689"/>
      <c r="B122689"/>
      <c r="C122689"/>
      <c r="E122689"/>
      <c r="F122689"/>
    </row>
    <row r="122690" spans="1:6" x14ac:dyDescent="0.25">
      <c r="A122690"/>
      <c r="B122690"/>
      <c r="C122690"/>
      <c r="E122690"/>
      <c r="F122690"/>
    </row>
    <row r="122691" spans="1:6" x14ac:dyDescent="0.25">
      <c r="A122691"/>
      <c r="B122691"/>
      <c r="C122691"/>
      <c r="E122691"/>
      <c r="F122691"/>
    </row>
    <row r="122692" spans="1:6" x14ac:dyDescent="0.25">
      <c r="A122692"/>
      <c r="B122692"/>
      <c r="C122692"/>
      <c r="E122692"/>
      <c r="F122692"/>
    </row>
    <row r="122693" spans="1:6" x14ac:dyDescent="0.25">
      <c r="A122693"/>
      <c r="B122693"/>
      <c r="C122693"/>
      <c r="E122693"/>
      <c r="F122693"/>
    </row>
    <row r="122694" spans="1:6" x14ac:dyDescent="0.25">
      <c r="A122694"/>
      <c r="B122694"/>
      <c r="C122694"/>
      <c r="E122694"/>
      <c r="F122694"/>
    </row>
    <row r="122695" spans="1:6" x14ac:dyDescent="0.25">
      <c r="A122695"/>
      <c r="B122695"/>
      <c r="C122695"/>
      <c r="E122695"/>
      <c r="F122695"/>
    </row>
    <row r="122696" spans="1:6" x14ac:dyDescent="0.25">
      <c r="A122696"/>
      <c r="B122696"/>
      <c r="C122696"/>
      <c r="E122696"/>
      <c r="F122696"/>
    </row>
    <row r="122697" spans="1:6" x14ac:dyDescent="0.25">
      <c r="A122697"/>
      <c r="B122697"/>
      <c r="C122697"/>
      <c r="E122697"/>
      <c r="F122697"/>
    </row>
    <row r="122698" spans="1:6" x14ac:dyDescent="0.25">
      <c r="A122698"/>
      <c r="B122698"/>
      <c r="C122698"/>
      <c r="E122698"/>
      <c r="F122698"/>
    </row>
    <row r="122699" spans="1:6" x14ac:dyDescent="0.25">
      <c r="A122699"/>
      <c r="B122699"/>
      <c r="C122699"/>
      <c r="E122699"/>
      <c r="F122699"/>
    </row>
    <row r="122700" spans="1:6" x14ac:dyDescent="0.25">
      <c r="A122700"/>
      <c r="B122700"/>
      <c r="C122700"/>
      <c r="E122700"/>
      <c r="F122700"/>
    </row>
    <row r="122701" spans="1:6" x14ac:dyDescent="0.25">
      <c r="A122701"/>
      <c r="B122701"/>
      <c r="C122701"/>
      <c r="E122701"/>
      <c r="F122701"/>
    </row>
    <row r="122702" spans="1:6" x14ac:dyDescent="0.25">
      <c r="A122702"/>
      <c r="B122702"/>
      <c r="C122702"/>
      <c r="E122702"/>
      <c r="F122702"/>
    </row>
    <row r="122703" spans="1:6" x14ac:dyDescent="0.25">
      <c r="A122703"/>
      <c r="B122703"/>
      <c r="C122703"/>
      <c r="E122703"/>
      <c r="F122703"/>
    </row>
    <row r="122704" spans="1:6" x14ac:dyDescent="0.25">
      <c r="A122704"/>
      <c r="B122704"/>
      <c r="C122704"/>
      <c r="E122704"/>
      <c r="F122704"/>
    </row>
    <row r="122705" spans="1:6" x14ac:dyDescent="0.25">
      <c r="A122705"/>
      <c r="B122705"/>
      <c r="C122705"/>
      <c r="E122705"/>
      <c r="F122705"/>
    </row>
    <row r="122706" spans="1:6" x14ac:dyDescent="0.25">
      <c r="A122706"/>
      <c r="B122706"/>
      <c r="C122706"/>
      <c r="E122706"/>
      <c r="F122706"/>
    </row>
    <row r="122707" spans="1:6" x14ac:dyDescent="0.25">
      <c r="A122707"/>
      <c r="B122707"/>
      <c r="C122707"/>
      <c r="E122707"/>
      <c r="F122707"/>
    </row>
    <row r="122708" spans="1:6" x14ac:dyDescent="0.25">
      <c r="A122708"/>
      <c r="B122708"/>
      <c r="C122708"/>
      <c r="E122708"/>
      <c r="F122708"/>
    </row>
    <row r="122709" spans="1:6" x14ac:dyDescent="0.25">
      <c r="A122709"/>
      <c r="B122709"/>
      <c r="C122709"/>
      <c r="E122709"/>
      <c r="F122709"/>
    </row>
    <row r="122710" spans="1:6" x14ac:dyDescent="0.25">
      <c r="A122710"/>
      <c r="B122710"/>
      <c r="C122710"/>
      <c r="E122710"/>
      <c r="F122710"/>
    </row>
    <row r="122711" spans="1:6" x14ac:dyDescent="0.25">
      <c r="A122711"/>
      <c r="B122711"/>
      <c r="C122711"/>
      <c r="E122711"/>
      <c r="F122711"/>
    </row>
    <row r="122712" spans="1:6" x14ac:dyDescent="0.25">
      <c r="A122712"/>
      <c r="B122712"/>
      <c r="C122712"/>
      <c r="E122712"/>
      <c r="F122712"/>
    </row>
    <row r="122713" spans="1:6" x14ac:dyDescent="0.25">
      <c r="A122713"/>
      <c r="B122713"/>
      <c r="C122713"/>
      <c r="E122713"/>
      <c r="F122713"/>
    </row>
    <row r="122714" spans="1:6" x14ac:dyDescent="0.25">
      <c r="A122714"/>
      <c r="B122714"/>
      <c r="C122714"/>
      <c r="E122714"/>
      <c r="F122714"/>
    </row>
    <row r="122715" spans="1:6" x14ac:dyDescent="0.25">
      <c r="A122715"/>
      <c r="B122715"/>
      <c r="C122715"/>
      <c r="E122715"/>
      <c r="F122715"/>
    </row>
    <row r="122716" spans="1:6" x14ac:dyDescent="0.25">
      <c r="A122716"/>
      <c r="B122716"/>
      <c r="C122716"/>
      <c r="E122716"/>
      <c r="F122716"/>
    </row>
    <row r="122717" spans="1:6" x14ac:dyDescent="0.25">
      <c r="A122717"/>
      <c r="B122717"/>
      <c r="C122717"/>
      <c r="E122717"/>
      <c r="F122717"/>
    </row>
    <row r="122718" spans="1:6" x14ac:dyDescent="0.25">
      <c r="A122718"/>
      <c r="B122718"/>
      <c r="C122718"/>
      <c r="E122718"/>
      <c r="F122718"/>
    </row>
    <row r="122719" spans="1:6" x14ac:dyDescent="0.25">
      <c r="A122719"/>
      <c r="B122719"/>
      <c r="C122719"/>
      <c r="E122719"/>
      <c r="F122719"/>
    </row>
    <row r="122720" spans="1:6" x14ac:dyDescent="0.25">
      <c r="A122720"/>
      <c r="B122720"/>
      <c r="C122720"/>
      <c r="E122720"/>
      <c r="F122720"/>
    </row>
    <row r="122721" spans="1:6" x14ac:dyDescent="0.25">
      <c r="A122721"/>
      <c r="B122721"/>
      <c r="C122721"/>
      <c r="E122721"/>
      <c r="F122721"/>
    </row>
    <row r="122722" spans="1:6" x14ac:dyDescent="0.25">
      <c r="A122722"/>
      <c r="B122722"/>
      <c r="C122722"/>
      <c r="E122722"/>
      <c r="F122722"/>
    </row>
    <row r="122723" spans="1:6" x14ac:dyDescent="0.25">
      <c r="A122723"/>
      <c r="B122723"/>
      <c r="C122723"/>
      <c r="E122723"/>
      <c r="F122723"/>
    </row>
    <row r="122724" spans="1:6" x14ac:dyDescent="0.25">
      <c r="A122724"/>
      <c r="B122724"/>
      <c r="C122724"/>
      <c r="E122724"/>
      <c r="F122724"/>
    </row>
    <row r="122725" spans="1:6" x14ac:dyDescent="0.25">
      <c r="A122725"/>
      <c r="B122725"/>
      <c r="C122725"/>
      <c r="E122725"/>
      <c r="F122725"/>
    </row>
    <row r="122726" spans="1:6" x14ac:dyDescent="0.25">
      <c r="A122726"/>
      <c r="B122726"/>
      <c r="C122726"/>
      <c r="E122726"/>
      <c r="F122726"/>
    </row>
    <row r="122727" spans="1:6" x14ac:dyDescent="0.25">
      <c r="A122727"/>
      <c r="B122727"/>
      <c r="C122727"/>
      <c r="E122727"/>
      <c r="F122727"/>
    </row>
    <row r="122728" spans="1:6" x14ac:dyDescent="0.25">
      <c r="A122728"/>
      <c r="B122728"/>
      <c r="C122728"/>
      <c r="E122728"/>
      <c r="F122728"/>
    </row>
    <row r="122729" spans="1:6" x14ac:dyDescent="0.25">
      <c r="A122729"/>
      <c r="B122729"/>
      <c r="C122729"/>
      <c r="E122729"/>
      <c r="F122729"/>
    </row>
    <row r="122730" spans="1:6" x14ac:dyDescent="0.25">
      <c r="A122730"/>
      <c r="B122730"/>
      <c r="C122730"/>
      <c r="E122730"/>
      <c r="F122730"/>
    </row>
    <row r="122731" spans="1:6" x14ac:dyDescent="0.25">
      <c r="A122731"/>
      <c r="B122731"/>
      <c r="C122731"/>
      <c r="E122731"/>
      <c r="F122731"/>
    </row>
    <row r="122732" spans="1:6" x14ac:dyDescent="0.25">
      <c r="A122732"/>
      <c r="B122732"/>
      <c r="C122732"/>
      <c r="E122732"/>
      <c r="F122732"/>
    </row>
    <row r="122733" spans="1:6" x14ac:dyDescent="0.25">
      <c r="A122733"/>
      <c r="B122733"/>
      <c r="C122733"/>
      <c r="E122733"/>
      <c r="F122733"/>
    </row>
    <row r="122734" spans="1:6" x14ac:dyDescent="0.25">
      <c r="A122734"/>
      <c r="B122734"/>
      <c r="C122734"/>
      <c r="E122734"/>
      <c r="F122734"/>
    </row>
    <row r="122735" spans="1:6" x14ac:dyDescent="0.25">
      <c r="A122735"/>
      <c r="B122735"/>
      <c r="C122735"/>
      <c r="E122735"/>
      <c r="F122735"/>
    </row>
    <row r="122736" spans="1:6" x14ac:dyDescent="0.25">
      <c r="A122736"/>
      <c r="B122736"/>
      <c r="C122736"/>
      <c r="E122736"/>
      <c r="F122736"/>
    </row>
    <row r="122737" spans="1:6" x14ac:dyDescent="0.25">
      <c r="A122737"/>
      <c r="B122737"/>
      <c r="C122737"/>
      <c r="E122737"/>
      <c r="F122737"/>
    </row>
    <row r="122738" spans="1:6" x14ac:dyDescent="0.25">
      <c r="A122738"/>
      <c r="B122738"/>
      <c r="C122738"/>
      <c r="E122738"/>
      <c r="F122738"/>
    </row>
    <row r="122739" spans="1:6" x14ac:dyDescent="0.25">
      <c r="A122739"/>
      <c r="B122739"/>
      <c r="C122739"/>
      <c r="E122739"/>
      <c r="F122739"/>
    </row>
    <row r="122740" spans="1:6" x14ac:dyDescent="0.25">
      <c r="A122740"/>
      <c r="B122740"/>
      <c r="C122740"/>
      <c r="E122740"/>
      <c r="F122740"/>
    </row>
    <row r="122741" spans="1:6" x14ac:dyDescent="0.25">
      <c r="A122741"/>
      <c r="B122741"/>
      <c r="C122741"/>
      <c r="E122741"/>
      <c r="F122741"/>
    </row>
    <row r="122742" spans="1:6" x14ac:dyDescent="0.25">
      <c r="A122742"/>
      <c r="B122742"/>
      <c r="C122742"/>
      <c r="E122742"/>
      <c r="F122742"/>
    </row>
    <row r="122743" spans="1:6" x14ac:dyDescent="0.25">
      <c r="A122743"/>
      <c r="B122743"/>
      <c r="C122743"/>
      <c r="E122743"/>
      <c r="F122743"/>
    </row>
    <row r="122744" spans="1:6" x14ac:dyDescent="0.25">
      <c r="A122744"/>
      <c r="B122744"/>
      <c r="C122744"/>
      <c r="E122744"/>
      <c r="F122744"/>
    </row>
    <row r="122745" spans="1:6" x14ac:dyDescent="0.25">
      <c r="A122745"/>
      <c r="B122745"/>
      <c r="C122745"/>
      <c r="E122745"/>
      <c r="F122745"/>
    </row>
    <row r="122746" spans="1:6" x14ac:dyDescent="0.25">
      <c r="A122746"/>
      <c r="B122746"/>
      <c r="C122746"/>
      <c r="E122746"/>
      <c r="F122746"/>
    </row>
    <row r="122747" spans="1:6" x14ac:dyDescent="0.25">
      <c r="A122747"/>
      <c r="B122747"/>
      <c r="C122747"/>
      <c r="E122747"/>
      <c r="F122747"/>
    </row>
    <row r="122748" spans="1:6" x14ac:dyDescent="0.25">
      <c r="A122748"/>
      <c r="B122748"/>
      <c r="C122748"/>
      <c r="E122748"/>
      <c r="F122748"/>
    </row>
    <row r="122749" spans="1:6" x14ac:dyDescent="0.25">
      <c r="A122749"/>
      <c r="B122749"/>
      <c r="C122749"/>
      <c r="E122749"/>
      <c r="F122749"/>
    </row>
    <row r="122750" spans="1:6" x14ac:dyDescent="0.25">
      <c r="A122750"/>
      <c r="B122750"/>
      <c r="C122750"/>
      <c r="E122750"/>
      <c r="F122750"/>
    </row>
    <row r="122751" spans="1:6" x14ac:dyDescent="0.25">
      <c r="A122751"/>
      <c r="B122751"/>
      <c r="C122751"/>
      <c r="E122751"/>
      <c r="F122751"/>
    </row>
    <row r="122752" spans="1:6" x14ac:dyDescent="0.25">
      <c r="A122752"/>
      <c r="B122752"/>
      <c r="C122752"/>
      <c r="E122752"/>
      <c r="F122752"/>
    </row>
    <row r="122753" spans="1:6" x14ac:dyDescent="0.25">
      <c r="A122753"/>
      <c r="B122753"/>
      <c r="C122753"/>
      <c r="E122753"/>
      <c r="F122753"/>
    </row>
    <row r="122754" spans="1:6" x14ac:dyDescent="0.25">
      <c r="A122754"/>
      <c r="B122754"/>
      <c r="C122754"/>
      <c r="E122754"/>
      <c r="F122754"/>
    </row>
    <row r="122755" spans="1:6" x14ac:dyDescent="0.25">
      <c r="A122755"/>
      <c r="B122755"/>
      <c r="C122755"/>
      <c r="E122755"/>
      <c r="F122755"/>
    </row>
    <row r="122756" spans="1:6" x14ac:dyDescent="0.25">
      <c r="A122756"/>
      <c r="B122756"/>
      <c r="C122756"/>
      <c r="E122756"/>
      <c r="F122756"/>
    </row>
    <row r="122757" spans="1:6" x14ac:dyDescent="0.25">
      <c r="A122757"/>
      <c r="B122757"/>
      <c r="C122757"/>
      <c r="E122757"/>
      <c r="F122757"/>
    </row>
    <row r="122758" spans="1:6" x14ac:dyDescent="0.25">
      <c r="A122758"/>
      <c r="B122758"/>
      <c r="C122758"/>
      <c r="E122758"/>
      <c r="F122758"/>
    </row>
    <row r="122759" spans="1:6" x14ac:dyDescent="0.25">
      <c r="A122759"/>
      <c r="B122759"/>
      <c r="C122759"/>
      <c r="E122759"/>
      <c r="F122759"/>
    </row>
    <row r="122760" spans="1:6" x14ac:dyDescent="0.25">
      <c r="A122760"/>
      <c r="B122760"/>
      <c r="C122760"/>
      <c r="E122760"/>
      <c r="F122760"/>
    </row>
    <row r="122761" spans="1:6" x14ac:dyDescent="0.25">
      <c r="A122761"/>
      <c r="B122761"/>
      <c r="C122761"/>
      <c r="E122761"/>
      <c r="F122761"/>
    </row>
    <row r="122762" spans="1:6" x14ac:dyDescent="0.25">
      <c r="A122762"/>
      <c r="B122762"/>
      <c r="C122762"/>
      <c r="E122762"/>
      <c r="F122762"/>
    </row>
    <row r="122763" spans="1:6" x14ac:dyDescent="0.25">
      <c r="A122763"/>
      <c r="B122763"/>
      <c r="C122763"/>
      <c r="E122763"/>
      <c r="F122763"/>
    </row>
    <row r="122764" spans="1:6" x14ac:dyDescent="0.25">
      <c r="A122764"/>
      <c r="B122764"/>
      <c r="C122764"/>
      <c r="E122764"/>
      <c r="F122764"/>
    </row>
    <row r="122765" spans="1:6" x14ac:dyDescent="0.25">
      <c r="A122765"/>
      <c r="B122765"/>
      <c r="C122765"/>
      <c r="E122765"/>
      <c r="F122765"/>
    </row>
    <row r="122766" spans="1:6" x14ac:dyDescent="0.25">
      <c r="A122766"/>
      <c r="B122766"/>
      <c r="C122766"/>
      <c r="E122766"/>
      <c r="F122766"/>
    </row>
    <row r="122767" spans="1:6" x14ac:dyDescent="0.25">
      <c r="A122767"/>
      <c r="B122767"/>
      <c r="C122767"/>
      <c r="E122767"/>
      <c r="F122767"/>
    </row>
    <row r="122768" spans="1:6" x14ac:dyDescent="0.25">
      <c r="A122768"/>
      <c r="B122768"/>
      <c r="C122768"/>
      <c r="E122768"/>
      <c r="F122768"/>
    </row>
    <row r="122769" spans="1:6" x14ac:dyDescent="0.25">
      <c r="A122769"/>
      <c r="B122769"/>
      <c r="C122769"/>
      <c r="E122769"/>
      <c r="F122769"/>
    </row>
    <row r="122770" spans="1:6" x14ac:dyDescent="0.25">
      <c r="A122770"/>
      <c r="B122770"/>
      <c r="C122770"/>
      <c r="E122770"/>
      <c r="F122770"/>
    </row>
    <row r="122771" spans="1:6" x14ac:dyDescent="0.25">
      <c r="A122771"/>
      <c r="B122771"/>
      <c r="C122771"/>
      <c r="E122771"/>
      <c r="F122771"/>
    </row>
    <row r="122772" spans="1:6" x14ac:dyDescent="0.25">
      <c r="A122772"/>
      <c r="B122772"/>
      <c r="C122772"/>
      <c r="E122772"/>
      <c r="F122772"/>
    </row>
    <row r="122773" spans="1:6" x14ac:dyDescent="0.25">
      <c r="A122773"/>
      <c r="B122773"/>
      <c r="C122773"/>
      <c r="E122773"/>
      <c r="F122773"/>
    </row>
    <row r="122774" spans="1:6" x14ac:dyDescent="0.25">
      <c r="A122774"/>
      <c r="B122774"/>
      <c r="C122774"/>
      <c r="E122774"/>
      <c r="F122774"/>
    </row>
    <row r="122775" spans="1:6" x14ac:dyDescent="0.25">
      <c r="A122775"/>
      <c r="B122775"/>
      <c r="C122775"/>
      <c r="E122775"/>
      <c r="F122775"/>
    </row>
    <row r="122776" spans="1:6" x14ac:dyDescent="0.25">
      <c r="A122776"/>
      <c r="B122776"/>
      <c r="C122776"/>
      <c r="E122776"/>
      <c r="F122776"/>
    </row>
    <row r="122777" spans="1:6" x14ac:dyDescent="0.25">
      <c r="A122777"/>
      <c r="B122777"/>
      <c r="C122777"/>
      <c r="E122777"/>
      <c r="F122777"/>
    </row>
    <row r="122778" spans="1:6" x14ac:dyDescent="0.25">
      <c r="A122778"/>
      <c r="B122778"/>
      <c r="C122778"/>
      <c r="E122778"/>
      <c r="F122778"/>
    </row>
    <row r="122779" spans="1:6" x14ac:dyDescent="0.25">
      <c r="A122779"/>
      <c r="B122779"/>
      <c r="C122779"/>
      <c r="E122779"/>
      <c r="F122779"/>
    </row>
    <row r="122780" spans="1:6" x14ac:dyDescent="0.25">
      <c r="A122780"/>
      <c r="B122780"/>
      <c r="C122780"/>
      <c r="E122780"/>
      <c r="F122780"/>
    </row>
    <row r="122781" spans="1:6" x14ac:dyDescent="0.25">
      <c r="A122781"/>
      <c r="B122781"/>
      <c r="C122781"/>
      <c r="E122781"/>
      <c r="F122781"/>
    </row>
    <row r="122782" spans="1:6" x14ac:dyDescent="0.25">
      <c r="A122782"/>
      <c r="B122782"/>
      <c r="C122782"/>
      <c r="E122782"/>
      <c r="F122782"/>
    </row>
    <row r="122783" spans="1:6" x14ac:dyDescent="0.25">
      <c r="A122783"/>
      <c r="B122783"/>
      <c r="C122783"/>
      <c r="E122783"/>
      <c r="F122783"/>
    </row>
    <row r="122784" spans="1:6" x14ac:dyDescent="0.25">
      <c r="A122784"/>
      <c r="B122784"/>
      <c r="C122784"/>
      <c r="E122784"/>
      <c r="F122784"/>
    </row>
    <row r="122785" spans="1:6" x14ac:dyDescent="0.25">
      <c r="A122785"/>
      <c r="B122785"/>
      <c r="C122785"/>
      <c r="E122785"/>
      <c r="F122785"/>
    </row>
    <row r="122786" spans="1:6" x14ac:dyDescent="0.25">
      <c r="A122786"/>
      <c r="B122786"/>
      <c r="C122786"/>
      <c r="E122786"/>
      <c r="F122786"/>
    </row>
    <row r="122787" spans="1:6" x14ac:dyDescent="0.25">
      <c r="A122787"/>
      <c r="B122787"/>
      <c r="C122787"/>
      <c r="E122787"/>
      <c r="F122787"/>
    </row>
    <row r="122788" spans="1:6" x14ac:dyDescent="0.25">
      <c r="A122788"/>
      <c r="B122788"/>
      <c r="C122788"/>
      <c r="E122788"/>
      <c r="F122788"/>
    </row>
    <row r="122789" spans="1:6" x14ac:dyDescent="0.25">
      <c r="A122789"/>
      <c r="B122789"/>
      <c r="C122789"/>
      <c r="E122789"/>
      <c r="F122789"/>
    </row>
    <row r="122790" spans="1:6" x14ac:dyDescent="0.25">
      <c r="A122790"/>
      <c r="B122790"/>
      <c r="C122790"/>
      <c r="E122790"/>
      <c r="F122790"/>
    </row>
    <row r="122791" spans="1:6" x14ac:dyDescent="0.25">
      <c r="A122791"/>
      <c r="B122791"/>
      <c r="C122791"/>
      <c r="E122791"/>
      <c r="F122791"/>
    </row>
    <row r="122792" spans="1:6" x14ac:dyDescent="0.25">
      <c r="A122792"/>
      <c r="B122792"/>
      <c r="C122792"/>
      <c r="E122792"/>
      <c r="F122792"/>
    </row>
    <row r="122793" spans="1:6" x14ac:dyDescent="0.25">
      <c r="A122793"/>
      <c r="B122793"/>
      <c r="C122793"/>
      <c r="E122793"/>
      <c r="F122793"/>
    </row>
    <row r="122794" spans="1:6" x14ac:dyDescent="0.25">
      <c r="A122794"/>
      <c r="B122794"/>
      <c r="C122794"/>
      <c r="E122794"/>
      <c r="F122794"/>
    </row>
    <row r="122795" spans="1:6" x14ac:dyDescent="0.25">
      <c r="A122795"/>
      <c r="B122795"/>
      <c r="C122795"/>
      <c r="E122795"/>
      <c r="F122795"/>
    </row>
    <row r="122796" spans="1:6" x14ac:dyDescent="0.25">
      <c r="A122796"/>
      <c r="B122796"/>
      <c r="C122796"/>
      <c r="E122796"/>
      <c r="F122796"/>
    </row>
    <row r="122797" spans="1:6" x14ac:dyDescent="0.25">
      <c r="A122797"/>
      <c r="B122797"/>
      <c r="C122797"/>
      <c r="E122797"/>
      <c r="F122797"/>
    </row>
    <row r="122798" spans="1:6" x14ac:dyDescent="0.25">
      <c r="A122798"/>
      <c r="B122798"/>
      <c r="C122798"/>
      <c r="E122798"/>
      <c r="F122798"/>
    </row>
    <row r="122799" spans="1:6" x14ac:dyDescent="0.25">
      <c r="A122799"/>
      <c r="B122799"/>
      <c r="C122799"/>
      <c r="E122799"/>
      <c r="F122799"/>
    </row>
    <row r="122800" spans="1:6" x14ac:dyDescent="0.25">
      <c r="A122800"/>
      <c r="B122800"/>
      <c r="C122800"/>
      <c r="E122800"/>
      <c r="F122800"/>
    </row>
    <row r="122801" spans="1:6" x14ac:dyDescent="0.25">
      <c r="A122801"/>
      <c r="B122801"/>
      <c r="C122801"/>
      <c r="E122801"/>
      <c r="F122801"/>
    </row>
    <row r="122802" spans="1:6" x14ac:dyDescent="0.25">
      <c r="A122802"/>
      <c r="B122802"/>
      <c r="C122802"/>
      <c r="E122802"/>
      <c r="F122802"/>
    </row>
    <row r="122803" spans="1:6" x14ac:dyDescent="0.25">
      <c r="A122803"/>
      <c r="B122803"/>
      <c r="C122803"/>
      <c r="E122803"/>
      <c r="F122803"/>
    </row>
    <row r="122804" spans="1:6" x14ac:dyDescent="0.25">
      <c r="A122804"/>
      <c r="B122804"/>
      <c r="C122804"/>
      <c r="E122804"/>
      <c r="F122804"/>
    </row>
    <row r="122805" spans="1:6" x14ac:dyDescent="0.25">
      <c r="A122805"/>
      <c r="B122805"/>
      <c r="C122805"/>
      <c r="E122805"/>
      <c r="F122805"/>
    </row>
    <row r="122806" spans="1:6" x14ac:dyDescent="0.25">
      <c r="A122806"/>
      <c r="B122806"/>
      <c r="C122806"/>
      <c r="E122806"/>
      <c r="F122806"/>
    </row>
    <row r="122807" spans="1:6" x14ac:dyDescent="0.25">
      <c r="A122807"/>
      <c r="B122807"/>
      <c r="C122807"/>
      <c r="E122807"/>
      <c r="F122807"/>
    </row>
    <row r="122808" spans="1:6" x14ac:dyDescent="0.25">
      <c r="A122808"/>
      <c r="B122808"/>
      <c r="C122808"/>
      <c r="E122808"/>
      <c r="F122808"/>
    </row>
    <row r="122809" spans="1:6" x14ac:dyDescent="0.25">
      <c r="A122809"/>
      <c r="B122809"/>
      <c r="C122809"/>
      <c r="E122809"/>
      <c r="F122809"/>
    </row>
    <row r="122810" spans="1:6" x14ac:dyDescent="0.25">
      <c r="A122810"/>
      <c r="B122810"/>
      <c r="C122810"/>
      <c r="E122810"/>
      <c r="F122810"/>
    </row>
    <row r="122811" spans="1:6" x14ac:dyDescent="0.25">
      <c r="A122811"/>
      <c r="B122811"/>
      <c r="C122811"/>
      <c r="E122811"/>
      <c r="F122811"/>
    </row>
    <row r="122812" spans="1:6" x14ac:dyDescent="0.25">
      <c r="A122812"/>
      <c r="B122812"/>
      <c r="C122812"/>
      <c r="E122812"/>
      <c r="F122812"/>
    </row>
    <row r="122813" spans="1:6" x14ac:dyDescent="0.25">
      <c r="A122813"/>
      <c r="B122813"/>
      <c r="C122813"/>
      <c r="E122813"/>
      <c r="F122813"/>
    </row>
    <row r="122814" spans="1:6" x14ac:dyDescent="0.25">
      <c r="A122814"/>
      <c r="B122814"/>
      <c r="C122814"/>
      <c r="E122814"/>
      <c r="F122814"/>
    </row>
    <row r="122815" spans="1:6" x14ac:dyDescent="0.25">
      <c r="A122815"/>
      <c r="B122815"/>
      <c r="C122815"/>
      <c r="E122815"/>
      <c r="F122815"/>
    </row>
    <row r="122816" spans="1:6" x14ac:dyDescent="0.25">
      <c r="A122816"/>
      <c r="B122816"/>
      <c r="C122816"/>
      <c r="E122816"/>
      <c r="F122816"/>
    </row>
    <row r="122817" spans="1:6" x14ac:dyDescent="0.25">
      <c r="A122817"/>
      <c r="B122817"/>
      <c r="C122817"/>
      <c r="E122817"/>
      <c r="F122817"/>
    </row>
    <row r="122818" spans="1:6" x14ac:dyDescent="0.25">
      <c r="A122818"/>
      <c r="B122818"/>
      <c r="C122818"/>
      <c r="E122818"/>
      <c r="F122818"/>
    </row>
    <row r="122819" spans="1:6" x14ac:dyDescent="0.25">
      <c r="A122819"/>
      <c r="B122819"/>
      <c r="C122819"/>
      <c r="E122819"/>
      <c r="F122819"/>
    </row>
    <row r="122820" spans="1:6" x14ac:dyDescent="0.25">
      <c r="A122820"/>
      <c r="B122820"/>
      <c r="C122820"/>
      <c r="E122820"/>
      <c r="F122820"/>
    </row>
    <row r="122821" spans="1:6" x14ac:dyDescent="0.25">
      <c r="A122821"/>
      <c r="B122821"/>
      <c r="C122821"/>
      <c r="E122821"/>
      <c r="F122821"/>
    </row>
    <row r="122822" spans="1:6" x14ac:dyDescent="0.25">
      <c r="A122822"/>
      <c r="B122822"/>
      <c r="C122822"/>
      <c r="E122822"/>
      <c r="F122822"/>
    </row>
    <row r="122823" spans="1:6" x14ac:dyDescent="0.25">
      <c r="A122823"/>
      <c r="B122823"/>
      <c r="C122823"/>
      <c r="E122823"/>
      <c r="F122823"/>
    </row>
    <row r="122824" spans="1:6" x14ac:dyDescent="0.25">
      <c r="A122824"/>
      <c r="B122824"/>
      <c r="C122824"/>
      <c r="E122824"/>
      <c r="F122824"/>
    </row>
    <row r="122825" spans="1:6" x14ac:dyDescent="0.25">
      <c r="A122825"/>
      <c r="B122825"/>
      <c r="C122825"/>
      <c r="E122825"/>
      <c r="F122825"/>
    </row>
    <row r="122826" spans="1:6" x14ac:dyDescent="0.25">
      <c r="A122826"/>
      <c r="B122826"/>
      <c r="C122826"/>
      <c r="E122826"/>
      <c r="F122826"/>
    </row>
    <row r="122827" spans="1:6" x14ac:dyDescent="0.25">
      <c r="A122827"/>
      <c r="B122827"/>
      <c r="C122827"/>
      <c r="E122827"/>
      <c r="F122827"/>
    </row>
    <row r="122828" spans="1:6" x14ac:dyDescent="0.25">
      <c r="A122828"/>
      <c r="B122828"/>
      <c r="C122828"/>
      <c r="E122828"/>
      <c r="F122828"/>
    </row>
    <row r="122829" spans="1:6" x14ac:dyDescent="0.25">
      <c r="A122829"/>
      <c r="B122829"/>
      <c r="C122829"/>
      <c r="E122829"/>
      <c r="F122829"/>
    </row>
    <row r="122830" spans="1:6" x14ac:dyDescent="0.25">
      <c r="A122830"/>
      <c r="B122830"/>
      <c r="C122830"/>
      <c r="E122830"/>
      <c r="F122830"/>
    </row>
    <row r="122831" spans="1:6" x14ac:dyDescent="0.25">
      <c r="A122831"/>
      <c r="B122831"/>
      <c r="C122831"/>
      <c r="E122831"/>
      <c r="F122831"/>
    </row>
    <row r="122832" spans="1:6" x14ac:dyDescent="0.25">
      <c r="A122832"/>
      <c r="B122832"/>
      <c r="C122832"/>
      <c r="E122832"/>
      <c r="F122832"/>
    </row>
    <row r="122833" spans="1:6" x14ac:dyDescent="0.25">
      <c r="A122833"/>
      <c r="B122833"/>
      <c r="C122833"/>
      <c r="E122833"/>
      <c r="F122833"/>
    </row>
    <row r="122834" spans="1:6" x14ac:dyDescent="0.25">
      <c r="A122834"/>
      <c r="B122834"/>
      <c r="C122834"/>
      <c r="E122834"/>
      <c r="F122834"/>
    </row>
    <row r="122835" spans="1:6" x14ac:dyDescent="0.25">
      <c r="A122835"/>
      <c r="B122835"/>
      <c r="C122835"/>
      <c r="E122835"/>
      <c r="F122835"/>
    </row>
    <row r="122836" spans="1:6" x14ac:dyDescent="0.25">
      <c r="A122836"/>
      <c r="B122836"/>
      <c r="C122836"/>
      <c r="E122836"/>
      <c r="F122836"/>
    </row>
    <row r="122837" spans="1:6" x14ac:dyDescent="0.25">
      <c r="A122837"/>
      <c r="B122837"/>
      <c r="C122837"/>
      <c r="E122837"/>
      <c r="F122837"/>
    </row>
    <row r="122838" spans="1:6" x14ac:dyDescent="0.25">
      <c r="A122838"/>
      <c r="B122838"/>
      <c r="C122838"/>
      <c r="E122838"/>
      <c r="F122838"/>
    </row>
    <row r="122839" spans="1:6" x14ac:dyDescent="0.25">
      <c r="A122839"/>
      <c r="B122839"/>
      <c r="C122839"/>
      <c r="E122839"/>
      <c r="F122839"/>
    </row>
    <row r="122840" spans="1:6" x14ac:dyDescent="0.25">
      <c r="A122840"/>
      <c r="B122840"/>
      <c r="C122840"/>
      <c r="E122840"/>
      <c r="F122840"/>
    </row>
    <row r="122841" spans="1:6" x14ac:dyDescent="0.25">
      <c r="A122841"/>
      <c r="B122841"/>
      <c r="C122841"/>
      <c r="E122841"/>
      <c r="F122841"/>
    </row>
    <row r="122842" spans="1:6" x14ac:dyDescent="0.25">
      <c r="A122842"/>
      <c r="B122842"/>
      <c r="C122842"/>
      <c r="E122842"/>
      <c r="F122842"/>
    </row>
    <row r="122843" spans="1:6" x14ac:dyDescent="0.25">
      <c r="A122843"/>
      <c r="B122843"/>
      <c r="C122843"/>
      <c r="E122843"/>
      <c r="F122843"/>
    </row>
    <row r="122844" spans="1:6" x14ac:dyDescent="0.25">
      <c r="A122844"/>
      <c r="B122844"/>
      <c r="C122844"/>
      <c r="E122844"/>
      <c r="F122844"/>
    </row>
    <row r="122845" spans="1:6" x14ac:dyDescent="0.25">
      <c r="A122845"/>
      <c r="B122845"/>
      <c r="C122845"/>
      <c r="E122845"/>
      <c r="F122845"/>
    </row>
    <row r="122846" spans="1:6" x14ac:dyDescent="0.25">
      <c r="A122846"/>
      <c r="B122846"/>
      <c r="C122846"/>
      <c r="E122846"/>
      <c r="F122846"/>
    </row>
    <row r="122847" spans="1:6" x14ac:dyDescent="0.25">
      <c r="A122847"/>
      <c r="B122847"/>
      <c r="C122847"/>
      <c r="E122847"/>
      <c r="F122847"/>
    </row>
    <row r="122848" spans="1:6" x14ac:dyDescent="0.25">
      <c r="A122848"/>
      <c r="B122848"/>
      <c r="C122848"/>
      <c r="E122848"/>
      <c r="F122848"/>
    </row>
    <row r="122849" spans="1:6" x14ac:dyDescent="0.25">
      <c r="A122849"/>
      <c r="B122849"/>
      <c r="C122849"/>
      <c r="E122849"/>
      <c r="F122849"/>
    </row>
    <row r="122850" spans="1:6" x14ac:dyDescent="0.25">
      <c r="A122850"/>
      <c r="B122850"/>
      <c r="C122850"/>
      <c r="E122850"/>
      <c r="F122850"/>
    </row>
    <row r="122851" spans="1:6" x14ac:dyDescent="0.25">
      <c r="A122851"/>
      <c r="B122851"/>
      <c r="C122851"/>
      <c r="E122851"/>
      <c r="F122851"/>
    </row>
    <row r="122852" spans="1:6" x14ac:dyDescent="0.25">
      <c r="A122852"/>
      <c r="B122852"/>
      <c r="C122852"/>
      <c r="E122852"/>
      <c r="F122852"/>
    </row>
    <row r="122853" spans="1:6" x14ac:dyDescent="0.25">
      <c r="A122853"/>
      <c r="B122853"/>
      <c r="C122853"/>
      <c r="E122853"/>
      <c r="F122853"/>
    </row>
    <row r="122854" spans="1:6" x14ac:dyDescent="0.25">
      <c r="A122854"/>
      <c r="B122854"/>
      <c r="C122854"/>
      <c r="E122854"/>
      <c r="F122854"/>
    </row>
    <row r="122855" spans="1:6" x14ac:dyDescent="0.25">
      <c r="A122855"/>
      <c r="B122855"/>
      <c r="C122855"/>
      <c r="E122855"/>
      <c r="F122855"/>
    </row>
    <row r="122856" spans="1:6" x14ac:dyDescent="0.25">
      <c r="A122856"/>
      <c r="B122856"/>
      <c r="C122856"/>
      <c r="E122856"/>
      <c r="F122856"/>
    </row>
    <row r="122857" spans="1:6" x14ac:dyDescent="0.25">
      <c r="A122857"/>
      <c r="B122857"/>
      <c r="C122857"/>
      <c r="E122857"/>
      <c r="F122857"/>
    </row>
    <row r="122858" spans="1:6" x14ac:dyDescent="0.25">
      <c r="A122858"/>
      <c r="B122858"/>
      <c r="C122858"/>
      <c r="E122858"/>
      <c r="F122858"/>
    </row>
    <row r="122859" spans="1:6" x14ac:dyDescent="0.25">
      <c r="A122859"/>
      <c r="B122859"/>
      <c r="C122859"/>
      <c r="E122859"/>
      <c r="F122859"/>
    </row>
    <row r="122860" spans="1:6" x14ac:dyDescent="0.25">
      <c r="A122860"/>
      <c r="B122860"/>
      <c r="C122860"/>
      <c r="E122860"/>
      <c r="F122860"/>
    </row>
    <row r="122861" spans="1:6" x14ac:dyDescent="0.25">
      <c r="A122861"/>
      <c r="B122861"/>
      <c r="C122861"/>
      <c r="E122861"/>
      <c r="F122861"/>
    </row>
    <row r="122862" spans="1:6" x14ac:dyDescent="0.25">
      <c r="A122862"/>
      <c r="B122862"/>
      <c r="C122862"/>
      <c r="E122862"/>
      <c r="F122862"/>
    </row>
    <row r="122863" spans="1:6" x14ac:dyDescent="0.25">
      <c r="A122863"/>
      <c r="B122863"/>
      <c r="C122863"/>
      <c r="E122863"/>
      <c r="F122863"/>
    </row>
    <row r="122864" spans="1:6" x14ac:dyDescent="0.25">
      <c r="A122864"/>
      <c r="B122864"/>
      <c r="C122864"/>
      <c r="E122864"/>
      <c r="F122864"/>
    </row>
    <row r="122865" spans="1:6" x14ac:dyDescent="0.25">
      <c r="A122865"/>
      <c r="B122865"/>
      <c r="C122865"/>
      <c r="E122865"/>
      <c r="F122865"/>
    </row>
    <row r="122866" spans="1:6" x14ac:dyDescent="0.25">
      <c r="A122866"/>
      <c r="B122866"/>
      <c r="C122866"/>
      <c r="E122866"/>
      <c r="F122866"/>
    </row>
    <row r="122867" spans="1:6" x14ac:dyDescent="0.25">
      <c r="A122867"/>
      <c r="B122867"/>
      <c r="C122867"/>
      <c r="E122867"/>
      <c r="F122867"/>
    </row>
    <row r="122868" spans="1:6" x14ac:dyDescent="0.25">
      <c r="A122868"/>
      <c r="B122868"/>
      <c r="C122868"/>
      <c r="E122868"/>
      <c r="F122868"/>
    </row>
    <row r="122869" spans="1:6" x14ac:dyDescent="0.25">
      <c r="A122869"/>
      <c r="B122869"/>
      <c r="C122869"/>
      <c r="E122869"/>
      <c r="F122869"/>
    </row>
    <row r="122870" spans="1:6" x14ac:dyDescent="0.25">
      <c r="A122870"/>
      <c r="B122870"/>
      <c r="C122870"/>
      <c r="E122870"/>
      <c r="F122870"/>
    </row>
    <row r="122871" spans="1:6" x14ac:dyDescent="0.25">
      <c r="A122871"/>
      <c r="B122871"/>
      <c r="C122871"/>
      <c r="E122871"/>
      <c r="F122871"/>
    </row>
    <row r="122872" spans="1:6" x14ac:dyDescent="0.25">
      <c r="A122872"/>
      <c r="B122872"/>
      <c r="C122872"/>
      <c r="E122872"/>
      <c r="F122872"/>
    </row>
    <row r="122873" spans="1:6" x14ac:dyDescent="0.25">
      <c r="A122873"/>
      <c r="B122873"/>
      <c r="C122873"/>
      <c r="E122873"/>
      <c r="F122873"/>
    </row>
    <row r="122874" spans="1:6" x14ac:dyDescent="0.25">
      <c r="A122874"/>
      <c r="B122874"/>
      <c r="C122874"/>
      <c r="E122874"/>
      <c r="F122874"/>
    </row>
    <row r="122875" spans="1:6" x14ac:dyDescent="0.25">
      <c r="A122875"/>
      <c r="B122875"/>
      <c r="C122875"/>
      <c r="E122875"/>
      <c r="F122875"/>
    </row>
    <row r="122876" spans="1:6" x14ac:dyDescent="0.25">
      <c r="A122876"/>
      <c r="B122876"/>
      <c r="C122876"/>
      <c r="E122876"/>
      <c r="F122876"/>
    </row>
    <row r="122877" spans="1:6" x14ac:dyDescent="0.25">
      <c r="A122877"/>
      <c r="B122877"/>
      <c r="C122877"/>
      <c r="E122877"/>
      <c r="F122877"/>
    </row>
    <row r="122878" spans="1:6" x14ac:dyDescent="0.25">
      <c r="A122878"/>
      <c r="B122878"/>
      <c r="C122878"/>
      <c r="E122878"/>
      <c r="F122878"/>
    </row>
    <row r="122879" spans="1:6" x14ac:dyDescent="0.25">
      <c r="A122879"/>
      <c r="B122879"/>
      <c r="C122879"/>
      <c r="E122879"/>
      <c r="F122879"/>
    </row>
    <row r="122880" spans="1:6" x14ac:dyDescent="0.25">
      <c r="A122880"/>
      <c r="B122880"/>
      <c r="C122880"/>
      <c r="E122880"/>
      <c r="F122880"/>
    </row>
    <row r="122881" spans="1:6" x14ac:dyDescent="0.25">
      <c r="A122881"/>
      <c r="B122881"/>
      <c r="C122881"/>
      <c r="E122881"/>
      <c r="F122881"/>
    </row>
    <row r="122882" spans="1:6" x14ac:dyDescent="0.25">
      <c r="A122882"/>
      <c r="B122882"/>
      <c r="C122882"/>
      <c r="E122882"/>
      <c r="F122882"/>
    </row>
    <row r="122883" spans="1:6" x14ac:dyDescent="0.25">
      <c r="A122883"/>
      <c r="B122883"/>
      <c r="C122883"/>
      <c r="E122883"/>
      <c r="F122883"/>
    </row>
    <row r="122884" spans="1:6" x14ac:dyDescent="0.25">
      <c r="A122884"/>
      <c r="B122884"/>
      <c r="C122884"/>
      <c r="E122884"/>
      <c r="F122884"/>
    </row>
    <row r="122885" spans="1:6" x14ac:dyDescent="0.25">
      <c r="A122885"/>
      <c r="B122885"/>
      <c r="C122885"/>
      <c r="E122885"/>
      <c r="F122885"/>
    </row>
    <row r="122886" spans="1:6" x14ac:dyDescent="0.25">
      <c r="A122886"/>
      <c r="B122886"/>
      <c r="C122886"/>
      <c r="E122886"/>
      <c r="F122886"/>
    </row>
    <row r="122887" spans="1:6" x14ac:dyDescent="0.25">
      <c r="A122887"/>
      <c r="B122887"/>
      <c r="C122887"/>
      <c r="E122887"/>
      <c r="F122887"/>
    </row>
    <row r="122888" spans="1:6" x14ac:dyDescent="0.25">
      <c r="A122888"/>
      <c r="B122888"/>
      <c r="C122888"/>
      <c r="E122888"/>
      <c r="F122888"/>
    </row>
    <row r="122889" spans="1:6" x14ac:dyDescent="0.25">
      <c r="A122889"/>
      <c r="B122889"/>
      <c r="C122889"/>
      <c r="E122889"/>
      <c r="F122889"/>
    </row>
    <row r="122890" spans="1:6" x14ac:dyDescent="0.25">
      <c r="A122890"/>
      <c r="B122890"/>
      <c r="C122890"/>
      <c r="E122890"/>
      <c r="F122890"/>
    </row>
    <row r="122891" spans="1:6" x14ac:dyDescent="0.25">
      <c r="A122891"/>
      <c r="B122891"/>
      <c r="C122891"/>
      <c r="E122891"/>
      <c r="F122891"/>
    </row>
    <row r="122892" spans="1:6" x14ac:dyDescent="0.25">
      <c r="A122892"/>
      <c r="B122892"/>
      <c r="C122892"/>
      <c r="E122892"/>
      <c r="F122892"/>
    </row>
    <row r="122893" spans="1:6" x14ac:dyDescent="0.25">
      <c r="A122893"/>
      <c r="B122893"/>
      <c r="C122893"/>
      <c r="E122893"/>
      <c r="F122893"/>
    </row>
    <row r="122894" spans="1:6" x14ac:dyDescent="0.25">
      <c r="A122894"/>
      <c r="B122894"/>
      <c r="C122894"/>
      <c r="E122894"/>
      <c r="F122894"/>
    </row>
    <row r="122895" spans="1:6" x14ac:dyDescent="0.25">
      <c r="A122895"/>
      <c r="B122895"/>
      <c r="C122895"/>
      <c r="E122895"/>
      <c r="F122895"/>
    </row>
    <row r="122896" spans="1:6" x14ac:dyDescent="0.25">
      <c r="A122896"/>
      <c r="B122896"/>
      <c r="C122896"/>
      <c r="E122896"/>
      <c r="F122896"/>
    </row>
    <row r="122897" spans="1:6" x14ac:dyDescent="0.25">
      <c r="A122897"/>
      <c r="B122897"/>
      <c r="C122897"/>
      <c r="E122897"/>
      <c r="F122897"/>
    </row>
    <row r="122898" spans="1:6" x14ac:dyDescent="0.25">
      <c r="A122898"/>
      <c r="B122898"/>
      <c r="C122898"/>
      <c r="E122898"/>
      <c r="F122898"/>
    </row>
    <row r="122899" spans="1:6" x14ac:dyDescent="0.25">
      <c r="A122899"/>
      <c r="B122899"/>
      <c r="C122899"/>
      <c r="E122899"/>
      <c r="F122899"/>
    </row>
    <row r="122900" spans="1:6" x14ac:dyDescent="0.25">
      <c r="A122900"/>
      <c r="B122900"/>
      <c r="C122900"/>
      <c r="E122900"/>
      <c r="F122900"/>
    </row>
    <row r="122901" spans="1:6" x14ac:dyDescent="0.25">
      <c r="A122901"/>
      <c r="B122901"/>
      <c r="C122901"/>
      <c r="E122901"/>
      <c r="F122901"/>
    </row>
    <row r="122902" spans="1:6" x14ac:dyDescent="0.25">
      <c r="A122902"/>
      <c r="B122902"/>
      <c r="C122902"/>
      <c r="E122902"/>
      <c r="F122902"/>
    </row>
    <row r="122903" spans="1:6" x14ac:dyDescent="0.25">
      <c r="A122903"/>
      <c r="B122903"/>
      <c r="C122903"/>
      <c r="E122903"/>
      <c r="F122903"/>
    </row>
    <row r="122904" spans="1:6" x14ac:dyDescent="0.25">
      <c r="A122904"/>
      <c r="B122904"/>
      <c r="C122904"/>
      <c r="E122904"/>
      <c r="F122904"/>
    </row>
    <row r="122905" spans="1:6" x14ac:dyDescent="0.25">
      <c r="A122905"/>
      <c r="B122905"/>
      <c r="C122905"/>
      <c r="E122905"/>
      <c r="F122905"/>
    </row>
    <row r="122906" spans="1:6" x14ac:dyDescent="0.25">
      <c r="A122906"/>
      <c r="B122906"/>
      <c r="C122906"/>
      <c r="E122906"/>
      <c r="F122906"/>
    </row>
    <row r="122907" spans="1:6" x14ac:dyDescent="0.25">
      <c r="A122907"/>
      <c r="B122907"/>
      <c r="C122907"/>
      <c r="E122907"/>
      <c r="F122907"/>
    </row>
    <row r="122908" spans="1:6" x14ac:dyDescent="0.25">
      <c r="A122908"/>
      <c r="B122908"/>
      <c r="C122908"/>
      <c r="E122908"/>
      <c r="F122908"/>
    </row>
    <row r="122909" spans="1:6" x14ac:dyDescent="0.25">
      <c r="A122909"/>
      <c r="B122909"/>
      <c r="C122909"/>
      <c r="E122909"/>
      <c r="F122909"/>
    </row>
    <row r="122910" spans="1:6" x14ac:dyDescent="0.25">
      <c r="A122910"/>
      <c r="B122910"/>
      <c r="C122910"/>
      <c r="E122910"/>
      <c r="F122910"/>
    </row>
    <row r="122911" spans="1:6" x14ac:dyDescent="0.25">
      <c r="A122911"/>
      <c r="B122911"/>
      <c r="C122911"/>
      <c r="E122911"/>
      <c r="F122911"/>
    </row>
    <row r="122912" spans="1:6" x14ac:dyDescent="0.25">
      <c r="A122912"/>
      <c r="B122912"/>
      <c r="C122912"/>
      <c r="E122912"/>
      <c r="F122912"/>
    </row>
    <row r="122913" spans="1:6" x14ac:dyDescent="0.25">
      <c r="A122913"/>
      <c r="B122913"/>
      <c r="C122913"/>
      <c r="E122913"/>
      <c r="F122913"/>
    </row>
    <row r="122914" spans="1:6" x14ac:dyDescent="0.25">
      <c r="A122914"/>
      <c r="B122914"/>
      <c r="C122914"/>
      <c r="E122914"/>
      <c r="F122914"/>
    </row>
    <row r="122915" spans="1:6" x14ac:dyDescent="0.25">
      <c r="A122915"/>
      <c r="B122915"/>
      <c r="C122915"/>
      <c r="E122915"/>
      <c r="F122915"/>
    </row>
    <row r="122916" spans="1:6" x14ac:dyDescent="0.25">
      <c r="A122916"/>
      <c r="B122916"/>
      <c r="C122916"/>
      <c r="E122916"/>
      <c r="F122916"/>
    </row>
    <row r="122917" spans="1:6" x14ac:dyDescent="0.25">
      <c r="A122917"/>
      <c r="B122917"/>
      <c r="C122917"/>
      <c r="E122917"/>
      <c r="F122917"/>
    </row>
    <row r="122918" spans="1:6" x14ac:dyDescent="0.25">
      <c r="A122918"/>
      <c r="B122918"/>
      <c r="C122918"/>
      <c r="E122918"/>
      <c r="F122918"/>
    </row>
    <row r="122919" spans="1:6" x14ac:dyDescent="0.25">
      <c r="A122919"/>
      <c r="B122919"/>
      <c r="C122919"/>
      <c r="E122919"/>
      <c r="F122919"/>
    </row>
    <row r="122920" spans="1:6" x14ac:dyDescent="0.25">
      <c r="A122920"/>
      <c r="B122920"/>
      <c r="C122920"/>
      <c r="E122920"/>
      <c r="F122920"/>
    </row>
    <row r="122921" spans="1:6" x14ac:dyDescent="0.25">
      <c r="A122921"/>
      <c r="B122921"/>
      <c r="C122921"/>
      <c r="E122921"/>
      <c r="F122921"/>
    </row>
    <row r="122922" spans="1:6" x14ac:dyDescent="0.25">
      <c r="A122922"/>
      <c r="B122922"/>
      <c r="C122922"/>
      <c r="E122922"/>
      <c r="F122922"/>
    </row>
    <row r="122923" spans="1:6" x14ac:dyDescent="0.25">
      <c r="A122923"/>
      <c r="B122923"/>
      <c r="C122923"/>
      <c r="E122923"/>
      <c r="F122923"/>
    </row>
    <row r="122924" spans="1:6" x14ac:dyDescent="0.25">
      <c r="A122924"/>
      <c r="B122924"/>
      <c r="C122924"/>
      <c r="E122924"/>
      <c r="F122924"/>
    </row>
    <row r="122925" spans="1:6" x14ac:dyDescent="0.25">
      <c r="A122925"/>
      <c r="B122925"/>
      <c r="C122925"/>
      <c r="E122925"/>
      <c r="F122925"/>
    </row>
    <row r="122926" spans="1:6" x14ac:dyDescent="0.25">
      <c r="A122926"/>
      <c r="B122926"/>
      <c r="C122926"/>
      <c r="E122926"/>
      <c r="F122926"/>
    </row>
    <row r="122927" spans="1:6" x14ac:dyDescent="0.25">
      <c r="A122927"/>
      <c r="B122927"/>
      <c r="C122927"/>
      <c r="E122927"/>
      <c r="F122927"/>
    </row>
    <row r="122928" spans="1:6" x14ac:dyDescent="0.25">
      <c r="A122928"/>
      <c r="B122928"/>
      <c r="C122928"/>
      <c r="E122928"/>
      <c r="F122928"/>
    </row>
    <row r="122929" spans="1:6" x14ac:dyDescent="0.25">
      <c r="A122929"/>
      <c r="B122929"/>
      <c r="C122929"/>
      <c r="E122929"/>
      <c r="F122929"/>
    </row>
    <row r="122930" spans="1:6" x14ac:dyDescent="0.25">
      <c r="A122930"/>
      <c r="B122930"/>
      <c r="C122930"/>
      <c r="E122930"/>
      <c r="F122930"/>
    </row>
    <row r="122931" spans="1:6" x14ac:dyDescent="0.25">
      <c r="A122931"/>
      <c r="B122931"/>
      <c r="C122931"/>
      <c r="E122931"/>
      <c r="F122931"/>
    </row>
    <row r="122932" spans="1:6" x14ac:dyDescent="0.25">
      <c r="A122932"/>
      <c r="B122932"/>
      <c r="C122932"/>
      <c r="E122932"/>
      <c r="F122932"/>
    </row>
    <row r="122933" spans="1:6" x14ac:dyDescent="0.25">
      <c r="A122933"/>
      <c r="B122933"/>
      <c r="C122933"/>
      <c r="E122933"/>
      <c r="F122933"/>
    </row>
    <row r="122934" spans="1:6" x14ac:dyDescent="0.25">
      <c r="A122934"/>
      <c r="B122934"/>
      <c r="C122934"/>
      <c r="E122934"/>
      <c r="F122934"/>
    </row>
    <row r="122935" spans="1:6" x14ac:dyDescent="0.25">
      <c r="A122935"/>
      <c r="B122935"/>
      <c r="C122935"/>
      <c r="E122935"/>
      <c r="F122935"/>
    </row>
    <row r="122936" spans="1:6" x14ac:dyDescent="0.25">
      <c r="A122936"/>
      <c r="B122936"/>
      <c r="C122936"/>
      <c r="E122936"/>
      <c r="F122936"/>
    </row>
    <row r="122937" spans="1:6" x14ac:dyDescent="0.25">
      <c r="A122937"/>
      <c r="B122937"/>
      <c r="C122937"/>
      <c r="E122937"/>
      <c r="F122937"/>
    </row>
    <row r="122938" spans="1:6" x14ac:dyDescent="0.25">
      <c r="A122938"/>
      <c r="B122938"/>
      <c r="C122938"/>
      <c r="E122938"/>
      <c r="F122938"/>
    </row>
    <row r="122939" spans="1:6" x14ac:dyDescent="0.25">
      <c r="A122939"/>
      <c r="B122939"/>
      <c r="C122939"/>
      <c r="E122939"/>
      <c r="F122939"/>
    </row>
    <row r="122940" spans="1:6" x14ac:dyDescent="0.25">
      <c r="A122940"/>
      <c r="B122940"/>
      <c r="C122940"/>
      <c r="E122940"/>
      <c r="F122940"/>
    </row>
    <row r="122941" spans="1:6" x14ac:dyDescent="0.25">
      <c r="A122941"/>
      <c r="B122941"/>
      <c r="C122941"/>
      <c r="E122941"/>
      <c r="F122941"/>
    </row>
    <row r="122942" spans="1:6" x14ac:dyDescent="0.25">
      <c r="A122942"/>
      <c r="B122942"/>
      <c r="C122942"/>
      <c r="E122942"/>
      <c r="F122942"/>
    </row>
    <row r="122943" spans="1:6" x14ac:dyDescent="0.25">
      <c r="A122943"/>
      <c r="B122943"/>
      <c r="C122943"/>
      <c r="E122943"/>
      <c r="F122943"/>
    </row>
    <row r="122944" spans="1:6" x14ac:dyDescent="0.25">
      <c r="A122944"/>
      <c r="B122944"/>
      <c r="C122944"/>
      <c r="E122944"/>
      <c r="F122944"/>
    </row>
    <row r="122945" spans="1:6" x14ac:dyDescent="0.25">
      <c r="A122945"/>
      <c r="B122945"/>
      <c r="C122945"/>
      <c r="E122945"/>
      <c r="F122945"/>
    </row>
    <row r="122946" spans="1:6" x14ac:dyDescent="0.25">
      <c r="A122946"/>
      <c r="B122946"/>
      <c r="C122946"/>
      <c r="E122946"/>
      <c r="F122946"/>
    </row>
    <row r="122947" spans="1:6" x14ac:dyDescent="0.25">
      <c r="A122947"/>
      <c r="B122947"/>
      <c r="C122947"/>
      <c r="E122947"/>
      <c r="F122947"/>
    </row>
    <row r="122948" spans="1:6" x14ac:dyDescent="0.25">
      <c r="A122948"/>
      <c r="B122948"/>
      <c r="C122948"/>
      <c r="E122948"/>
      <c r="F122948"/>
    </row>
    <row r="122949" spans="1:6" x14ac:dyDescent="0.25">
      <c r="A122949"/>
      <c r="B122949"/>
      <c r="C122949"/>
      <c r="E122949"/>
      <c r="F122949"/>
    </row>
    <row r="122950" spans="1:6" x14ac:dyDescent="0.25">
      <c r="A122950"/>
      <c r="B122950"/>
      <c r="C122950"/>
      <c r="E122950"/>
      <c r="F122950"/>
    </row>
    <row r="122951" spans="1:6" x14ac:dyDescent="0.25">
      <c r="A122951"/>
      <c r="B122951"/>
      <c r="C122951"/>
      <c r="E122951"/>
      <c r="F122951"/>
    </row>
    <row r="122952" spans="1:6" x14ac:dyDescent="0.25">
      <c r="A122952"/>
      <c r="B122952"/>
      <c r="C122952"/>
      <c r="E122952"/>
      <c r="F122952"/>
    </row>
    <row r="122953" spans="1:6" x14ac:dyDescent="0.25">
      <c r="A122953"/>
      <c r="B122953"/>
      <c r="C122953"/>
      <c r="E122953"/>
      <c r="F122953"/>
    </row>
    <row r="122954" spans="1:6" x14ac:dyDescent="0.25">
      <c r="A122954"/>
      <c r="B122954"/>
      <c r="C122954"/>
      <c r="E122954"/>
      <c r="F122954"/>
    </row>
    <row r="122955" spans="1:6" x14ac:dyDescent="0.25">
      <c r="A122955"/>
      <c r="B122955"/>
      <c r="C122955"/>
      <c r="E122955"/>
      <c r="F122955"/>
    </row>
    <row r="122956" spans="1:6" x14ac:dyDescent="0.25">
      <c r="A122956"/>
      <c r="B122956"/>
      <c r="C122956"/>
      <c r="E122956"/>
      <c r="F122956"/>
    </row>
    <row r="122957" spans="1:6" x14ac:dyDescent="0.25">
      <c r="A122957"/>
      <c r="B122957"/>
      <c r="C122957"/>
      <c r="E122957"/>
      <c r="F122957"/>
    </row>
    <row r="122958" spans="1:6" x14ac:dyDescent="0.25">
      <c r="A122958"/>
      <c r="B122958"/>
      <c r="C122958"/>
      <c r="E122958"/>
      <c r="F122958"/>
    </row>
    <row r="122959" spans="1:6" x14ac:dyDescent="0.25">
      <c r="A122959"/>
      <c r="B122959"/>
      <c r="C122959"/>
      <c r="E122959"/>
      <c r="F122959"/>
    </row>
    <row r="122960" spans="1:6" x14ac:dyDescent="0.25">
      <c r="A122960"/>
      <c r="B122960"/>
      <c r="C122960"/>
      <c r="E122960"/>
      <c r="F122960"/>
    </row>
    <row r="122961" spans="1:6" x14ac:dyDescent="0.25">
      <c r="A122961"/>
      <c r="B122961"/>
      <c r="C122961"/>
      <c r="E122961"/>
      <c r="F122961"/>
    </row>
    <row r="122962" spans="1:6" x14ac:dyDescent="0.25">
      <c r="A122962"/>
      <c r="B122962"/>
      <c r="C122962"/>
      <c r="E122962"/>
      <c r="F122962"/>
    </row>
    <row r="122963" spans="1:6" x14ac:dyDescent="0.25">
      <c r="A122963"/>
      <c r="B122963"/>
      <c r="C122963"/>
      <c r="E122963"/>
      <c r="F122963"/>
    </row>
    <row r="122964" spans="1:6" x14ac:dyDescent="0.25">
      <c r="A122964"/>
      <c r="B122964"/>
      <c r="C122964"/>
      <c r="E122964"/>
      <c r="F122964"/>
    </row>
    <row r="122965" spans="1:6" x14ac:dyDescent="0.25">
      <c r="A122965"/>
      <c r="B122965"/>
      <c r="C122965"/>
      <c r="E122965"/>
      <c r="F122965"/>
    </row>
    <row r="122966" spans="1:6" x14ac:dyDescent="0.25">
      <c r="A122966"/>
      <c r="B122966"/>
      <c r="C122966"/>
      <c r="E122966"/>
      <c r="F122966"/>
    </row>
    <row r="122967" spans="1:6" x14ac:dyDescent="0.25">
      <c r="A122967"/>
      <c r="B122967"/>
      <c r="C122967"/>
      <c r="E122967"/>
      <c r="F122967"/>
    </row>
    <row r="122968" spans="1:6" x14ac:dyDescent="0.25">
      <c r="A122968"/>
      <c r="B122968"/>
      <c r="C122968"/>
      <c r="E122968"/>
      <c r="F122968"/>
    </row>
    <row r="122969" spans="1:6" x14ac:dyDescent="0.25">
      <c r="A122969"/>
      <c r="B122969"/>
      <c r="C122969"/>
      <c r="E122969"/>
      <c r="F122969"/>
    </row>
    <row r="122970" spans="1:6" x14ac:dyDescent="0.25">
      <c r="A122970"/>
      <c r="B122970"/>
      <c r="C122970"/>
      <c r="E122970"/>
      <c r="F122970"/>
    </row>
    <row r="122971" spans="1:6" x14ac:dyDescent="0.25">
      <c r="A122971"/>
      <c r="B122971"/>
      <c r="C122971"/>
      <c r="E122971"/>
      <c r="F122971"/>
    </row>
    <row r="122972" spans="1:6" x14ac:dyDescent="0.25">
      <c r="A122972"/>
      <c r="B122972"/>
      <c r="C122972"/>
      <c r="E122972"/>
      <c r="F122972"/>
    </row>
    <row r="122973" spans="1:6" x14ac:dyDescent="0.25">
      <c r="A122973"/>
      <c r="B122973"/>
      <c r="C122973"/>
      <c r="E122973"/>
      <c r="F122973"/>
    </row>
    <row r="122974" spans="1:6" x14ac:dyDescent="0.25">
      <c r="A122974"/>
      <c r="B122974"/>
      <c r="C122974"/>
      <c r="E122974"/>
      <c r="F122974"/>
    </row>
    <row r="122975" spans="1:6" x14ac:dyDescent="0.25">
      <c r="A122975"/>
      <c r="B122975"/>
      <c r="C122975"/>
      <c r="E122975"/>
      <c r="F122975"/>
    </row>
    <row r="122976" spans="1:6" x14ac:dyDescent="0.25">
      <c r="A122976"/>
      <c r="B122976"/>
      <c r="C122976"/>
      <c r="E122976"/>
      <c r="F122976"/>
    </row>
    <row r="122977" spans="1:6" x14ac:dyDescent="0.25">
      <c r="A122977"/>
      <c r="B122977"/>
      <c r="C122977"/>
      <c r="E122977"/>
      <c r="F122977"/>
    </row>
    <row r="122978" spans="1:6" x14ac:dyDescent="0.25">
      <c r="A122978"/>
      <c r="B122978"/>
      <c r="C122978"/>
      <c r="E122978"/>
      <c r="F122978"/>
    </row>
    <row r="122979" spans="1:6" x14ac:dyDescent="0.25">
      <c r="A122979"/>
      <c r="B122979"/>
      <c r="C122979"/>
      <c r="E122979"/>
      <c r="F122979"/>
    </row>
    <row r="122980" spans="1:6" x14ac:dyDescent="0.25">
      <c r="A122980"/>
      <c r="B122980"/>
      <c r="C122980"/>
      <c r="E122980"/>
      <c r="F122980"/>
    </row>
    <row r="122981" spans="1:6" x14ac:dyDescent="0.25">
      <c r="A122981"/>
      <c r="B122981"/>
      <c r="C122981"/>
      <c r="E122981"/>
      <c r="F122981"/>
    </row>
    <row r="122982" spans="1:6" x14ac:dyDescent="0.25">
      <c r="A122982"/>
      <c r="B122982"/>
      <c r="C122982"/>
      <c r="E122982"/>
      <c r="F122982"/>
    </row>
    <row r="122983" spans="1:6" x14ac:dyDescent="0.25">
      <c r="A122983"/>
      <c r="B122983"/>
      <c r="C122983"/>
      <c r="E122983"/>
      <c r="F122983"/>
    </row>
    <row r="122984" spans="1:6" x14ac:dyDescent="0.25">
      <c r="A122984"/>
      <c r="B122984"/>
      <c r="C122984"/>
      <c r="E122984"/>
      <c r="F122984"/>
    </row>
    <row r="122985" spans="1:6" x14ac:dyDescent="0.25">
      <c r="A122985"/>
      <c r="B122985"/>
      <c r="C122985"/>
      <c r="E122985"/>
      <c r="F122985"/>
    </row>
    <row r="122986" spans="1:6" x14ac:dyDescent="0.25">
      <c r="A122986"/>
      <c r="B122986"/>
      <c r="C122986"/>
      <c r="E122986"/>
      <c r="F122986"/>
    </row>
    <row r="122987" spans="1:6" x14ac:dyDescent="0.25">
      <c r="A122987"/>
      <c r="B122987"/>
      <c r="C122987"/>
      <c r="E122987"/>
      <c r="F122987"/>
    </row>
    <row r="122988" spans="1:6" x14ac:dyDescent="0.25">
      <c r="A122988"/>
      <c r="B122988"/>
      <c r="C122988"/>
      <c r="E122988"/>
      <c r="F122988"/>
    </row>
    <row r="122989" spans="1:6" x14ac:dyDescent="0.25">
      <c r="A122989"/>
      <c r="B122989"/>
      <c r="C122989"/>
      <c r="E122989"/>
      <c r="F122989"/>
    </row>
    <row r="122990" spans="1:6" x14ac:dyDescent="0.25">
      <c r="A122990"/>
      <c r="B122990"/>
      <c r="C122990"/>
      <c r="E122990"/>
      <c r="F122990"/>
    </row>
    <row r="122991" spans="1:6" x14ac:dyDescent="0.25">
      <c r="A122991"/>
      <c r="B122991"/>
      <c r="C122991"/>
      <c r="E122991"/>
      <c r="F122991"/>
    </row>
    <row r="122992" spans="1:6" x14ac:dyDescent="0.25">
      <c r="A122992"/>
      <c r="B122992"/>
      <c r="C122992"/>
      <c r="E122992"/>
      <c r="F122992"/>
    </row>
    <row r="122993" spans="1:6" x14ac:dyDescent="0.25">
      <c r="A122993"/>
      <c r="B122993"/>
      <c r="C122993"/>
      <c r="E122993"/>
      <c r="F122993"/>
    </row>
    <row r="122994" spans="1:6" x14ac:dyDescent="0.25">
      <c r="A122994"/>
      <c r="B122994"/>
      <c r="C122994"/>
      <c r="E122994"/>
      <c r="F122994"/>
    </row>
    <row r="122995" spans="1:6" x14ac:dyDescent="0.25">
      <c r="A122995"/>
      <c r="B122995"/>
      <c r="C122995"/>
      <c r="E122995"/>
      <c r="F122995"/>
    </row>
    <row r="122996" spans="1:6" x14ac:dyDescent="0.25">
      <c r="A122996"/>
      <c r="B122996"/>
      <c r="C122996"/>
      <c r="E122996"/>
      <c r="F122996"/>
    </row>
    <row r="122997" spans="1:6" x14ac:dyDescent="0.25">
      <c r="A122997"/>
      <c r="B122997"/>
      <c r="C122997"/>
      <c r="E122997"/>
      <c r="F122997"/>
    </row>
    <row r="122998" spans="1:6" x14ac:dyDescent="0.25">
      <c r="A122998"/>
      <c r="B122998"/>
      <c r="C122998"/>
      <c r="E122998"/>
      <c r="F122998"/>
    </row>
    <row r="122999" spans="1:6" x14ac:dyDescent="0.25">
      <c r="A122999"/>
      <c r="B122999"/>
      <c r="C122999"/>
      <c r="E122999"/>
      <c r="F122999"/>
    </row>
    <row r="123000" spans="1:6" x14ac:dyDescent="0.25">
      <c r="A123000"/>
      <c r="B123000"/>
      <c r="C123000"/>
      <c r="E123000"/>
      <c r="F123000"/>
    </row>
    <row r="123001" spans="1:6" x14ac:dyDescent="0.25">
      <c r="A123001"/>
      <c r="B123001"/>
      <c r="C123001"/>
      <c r="E123001"/>
      <c r="F123001"/>
    </row>
    <row r="123002" spans="1:6" x14ac:dyDescent="0.25">
      <c r="A123002"/>
      <c r="B123002"/>
      <c r="C123002"/>
      <c r="E123002"/>
      <c r="F123002"/>
    </row>
    <row r="123003" spans="1:6" x14ac:dyDescent="0.25">
      <c r="A123003"/>
      <c r="B123003"/>
      <c r="C123003"/>
      <c r="E123003"/>
      <c r="F123003"/>
    </row>
    <row r="123004" spans="1:6" x14ac:dyDescent="0.25">
      <c r="A123004"/>
      <c r="B123004"/>
      <c r="C123004"/>
      <c r="E123004"/>
      <c r="F123004"/>
    </row>
    <row r="123005" spans="1:6" x14ac:dyDescent="0.25">
      <c r="A123005"/>
      <c r="B123005"/>
      <c r="C123005"/>
      <c r="E123005"/>
      <c r="F123005"/>
    </row>
    <row r="123006" spans="1:6" x14ac:dyDescent="0.25">
      <c r="A123006"/>
      <c r="B123006"/>
      <c r="C123006"/>
      <c r="E123006"/>
      <c r="F123006"/>
    </row>
    <row r="123007" spans="1:6" x14ac:dyDescent="0.25">
      <c r="A123007"/>
      <c r="B123007"/>
      <c r="C123007"/>
      <c r="E123007"/>
      <c r="F123007"/>
    </row>
    <row r="123008" spans="1:6" x14ac:dyDescent="0.25">
      <c r="A123008"/>
      <c r="B123008"/>
      <c r="C123008"/>
      <c r="E123008"/>
      <c r="F123008"/>
    </row>
    <row r="123009" spans="1:6" x14ac:dyDescent="0.25">
      <c r="A123009"/>
      <c r="B123009"/>
      <c r="C123009"/>
      <c r="E123009"/>
      <c r="F123009"/>
    </row>
    <row r="123010" spans="1:6" x14ac:dyDescent="0.25">
      <c r="A123010"/>
      <c r="B123010"/>
      <c r="C123010"/>
      <c r="E123010"/>
      <c r="F123010"/>
    </row>
    <row r="123011" spans="1:6" x14ac:dyDescent="0.25">
      <c r="A123011"/>
      <c r="B123011"/>
      <c r="C123011"/>
      <c r="E123011"/>
      <c r="F123011"/>
    </row>
    <row r="123012" spans="1:6" x14ac:dyDescent="0.25">
      <c r="A123012"/>
      <c r="B123012"/>
      <c r="C123012"/>
      <c r="E123012"/>
      <c r="F123012"/>
    </row>
    <row r="123013" spans="1:6" x14ac:dyDescent="0.25">
      <c r="A123013"/>
      <c r="B123013"/>
      <c r="C123013"/>
      <c r="E123013"/>
      <c r="F123013"/>
    </row>
    <row r="123014" spans="1:6" x14ac:dyDescent="0.25">
      <c r="A123014"/>
      <c r="B123014"/>
      <c r="C123014"/>
      <c r="E123014"/>
      <c r="F123014"/>
    </row>
    <row r="123015" spans="1:6" x14ac:dyDescent="0.25">
      <c r="A123015"/>
      <c r="B123015"/>
      <c r="C123015"/>
      <c r="E123015"/>
      <c r="F123015"/>
    </row>
    <row r="123016" spans="1:6" x14ac:dyDescent="0.25">
      <c r="A123016"/>
      <c r="B123016"/>
      <c r="C123016"/>
      <c r="E123016"/>
      <c r="F123016"/>
    </row>
    <row r="123017" spans="1:6" x14ac:dyDescent="0.25">
      <c r="A123017"/>
      <c r="B123017"/>
      <c r="C123017"/>
      <c r="E123017"/>
      <c r="F123017"/>
    </row>
    <row r="123018" spans="1:6" x14ac:dyDescent="0.25">
      <c r="A123018"/>
      <c r="B123018"/>
      <c r="C123018"/>
      <c r="E123018"/>
      <c r="F123018"/>
    </row>
    <row r="123019" spans="1:6" x14ac:dyDescent="0.25">
      <c r="A123019"/>
      <c r="B123019"/>
      <c r="C123019"/>
      <c r="E123019"/>
      <c r="F123019"/>
    </row>
    <row r="123020" spans="1:6" x14ac:dyDescent="0.25">
      <c r="A123020"/>
      <c r="B123020"/>
      <c r="C123020"/>
      <c r="E123020"/>
      <c r="F123020"/>
    </row>
    <row r="123021" spans="1:6" x14ac:dyDescent="0.25">
      <c r="A123021"/>
      <c r="B123021"/>
      <c r="C123021"/>
      <c r="E123021"/>
      <c r="F123021"/>
    </row>
    <row r="123022" spans="1:6" x14ac:dyDescent="0.25">
      <c r="A123022"/>
      <c r="B123022"/>
      <c r="C123022"/>
      <c r="E123022"/>
      <c r="F123022"/>
    </row>
    <row r="123023" spans="1:6" x14ac:dyDescent="0.25">
      <c r="A123023"/>
      <c r="B123023"/>
      <c r="C123023"/>
      <c r="E123023"/>
      <c r="F123023"/>
    </row>
    <row r="123024" spans="1:6" x14ac:dyDescent="0.25">
      <c r="A123024"/>
      <c r="B123024"/>
      <c r="C123024"/>
      <c r="E123024"/>
      <c r="F123024"/>
    </row>
    <row r="123025" spans="1:6" x14ac:dyDescent="0.25">
      <c r="A123025"/>
      <c r="B123025"/>
      <c r="C123025"/>
      <c r="E123025"/>
      <c r="F123025"/>
    </row>
    <row r="123026" spans="1:6" x14ac:dyDescent="0.25">
      <c r="A123026"/>
      <c r="B123026"/>
      <c r="C123026"/>
      <c r="E123026"/>
      <c r="F123026"/>
    </row>
    <row r="123027" spans="1:6" x14ac:dyDescent="0.25">
      <c r="A123027"/>
      <c r="B123027"/>
      <c r="C123027"/>
      <c r="E123027"/>
      <c r="F123027"/>
    </row>
    <row r="123028" spans="1:6" x14ac:dyDescent="0.25">
      <c r="A123028"/>
      <c r="B123028"/>
      <c r="C123028"/>
      <c r="E123028"/>
      <c r="F123028"/>
    </row>
    <row r="123029" spans="1:6" x14ac:dyDescent="0.25">
      <c r="A123029"/>
      <c r="B123029"/>
      <c r="C123029"/>
      <c r="E123029"/>
      <c r="F123029"/>
    </row>
    <row r="123030" spans="1:6" x14ac:dyDescent="0.25">
      <c r="A123030"/>
      <c r="B123030"/>
      <c r="C123030"/>
      <c r="E123030"/>
      <c r="F123030"/>
    </row>
    <row r="123031" spans="1:6" x14ac:dyDescent="0.25">
      <c r="A123031"/>
      <c r="B123031"/>
      <c r="C123031"/>
      <c r="E123031"/>
      <c r="F123031"/>
    </row>
    <row r="123032" spans="1:6" x14ac:dyDescent="0.25">
      <c r="A123032"/>
      <c r="B123032"/>
      <c r="C123032"/>
      <c r="E123032"/>
      <c r="F123032"/>
    </row>
    <row r="123033" spans="1:6" x14ac:dyDescent="0.25">
      <c r="A123033"/>
      <c r="B123033"/>
      <c r="C123033"/>
      <c r="E123033"/>
      <c r="F123033"/>
    </row>
    <row r="123034" spans="1:6" x14ac:dyDescent="0.25">
      <c r="A123034"/>
      <c r="B123034"/>
      <c r="C123034"/>
      <c r="E123034"/>
      <c r="F123034"/>
    </row>
    <row r="123035" spans="1:6" x14ac:dyDescent="0.25">
      <c r="A123035"/>
      <c r="B123035"/>
      <c r="C123035"/>
      <c r="E123035"/>
      <c r="F123035"/>
    </row>
    <row r="123036" spans="1:6" x14ac:dyDescent="0.25">
      <c r="A123036"/>
      <c r="B123036"/>
      <c r="C123036"/>
      <c r="E123036"/>
      <c r="F123036"/>
    </row>
    <row r="123037" spans="1:6" x14ac:dyDescent="0.25">
      <c r="A123037"/>
      <c r="B123037"/>
      <c r="C123037"/>
      <c r="E123037"/>
      <c r="F123037"/>
    </row>
    <row r="123038" spans="1:6" x14ac:dyDescent="0.25">
      <c r="A123038"/>
      <c r="B123038"/>
      <c r="C123038"/>
      <c r="E123038"/>
      <c r="F123038"/>
    </row>
    <row r="123039" spans="1:6" x14ac:dyDescent="0.25">
      <c r="A123039"/>
      <c r="B123039"/>
      <c r="C123039"/>
      <c r="E123039"/>
      <c r="F123039"/>
    </row>
    <row r="123040" spans="1:6" x14ac:dyDescent="0.25">
      <c r="A123040"/>
      <c r="B123040"/>
      <c r="C123040"/>
      <c r="E123040"/>
      <c r="F123040"/>
    </row>
    <row r="123041" spans="1:6" x14ac:dyDescent="0.25">
      <c r="A123041"/>
      <c r="B123041"/>
      <c r="C123041"/>
      <c r="E123041"/>
      <c r="F123041"/>
    </row>
    <row r="123042" spans="1:6" x14ac:dyDescent="0.25">
      <c r="A123042"/>
      <c r="B123042"/>
      <c r="C123042"/>
      <c r="E123042"/>
      <c r="F123042"/>
    </row>
    <row r="123043" spans="1:6" x14ac:dyDescent="0.25">
      <c r="A123043"/>
      <c r="B123043"/>
      <c r="C123043"/>
      <c r="E123043"/>
      <c r="F123043"/>
    </row>
    <row r="123044" spans="1:6" x14ac:dyDescent="0.25">
      <c r="A123044"/>
      <c r="B123044"/>
      <c r="C123044"/>
      <c r="E123044"/>
      <c r="F123044"/>
    </row>
    <row r="123045" spans="1:6" x14ac:dyDescent="0.25">
      <c r="A123045"/>
      <c r="B123045"/>
      <c r="C123045"/>
      <c r="E123045"/>
      <c r="F123045"/>
    </row>
    <row r="123046" spans="1:6" x14ac:dyDescent="0.25">
      <c r="A123046"/>
      <c r="B123046"/>
      <c r="C123046"/>
      <c r="E123046"/>
      <c r="F123046"/>
    </row>
    <row r="123047" spans="1:6" x14ac:dyDescent="0.25">
      <c r="A123047"/>
      <c r="B123047"/>
      <c r="C123047"/>
      <c r="E123047"/>
      <c r="F123047"/>
    </row>
    <row r="123048" spans="1:6" x14ac:dyDescent="0.25">
      <c r="A123048"/>
      <c r="B123048"/>
      <c r="C123048"/>
      <c r="E123048"/>
      <c r="F123048"/>
    </row>
    <row r="123049" spans="1:6" x14ac:dyDescent="0.25">
      <c r="A123049"/>
      <c r="B123049"/>
      <c r="C123049"/>
      <c r="E123049"/>
      <c r="F123049"/>
    </row>
    <row r="123050" spans="1:6" x14ac:dyDescent="0.25">
      <c r="A123050"/>
      <c r="B123050"/>
      <c r="C123050"/>
      <c r="E123050"/>
      <c r="F123050"/>
    </row>
    <row r="123051" spans="1:6" x14ac:dyDescent="0.25">
      <c r="A123051"/>
      <c r="B123051"/>
      <c r="C123051"/>
      <c r="E123051"/>
      <c r="F123051"/>
    </row>
    <row r="123052" spans="1:6" x14ac:dyDescent="0.25">
      <c r="A123052"/>
      <c r="B123052"/>
      <c r="C123052"/>
      <c r="E123052"/>
      <c r="F123052"/>
    </row>
    <row r="123053" spans="1:6" x14ac:dyDescent="0.25">
      <c r="A123053"/>
      <c r="B123053"/>
      <c r="C123053"/>
      <c r="E123053"/>
      <c r="F123053"/>
    </row>
    <row r="123054" spans="1:6" x14ac:dyDescent="0.25">
      <c r="A123054"/>
      <c r="B123054"/>
      <c r="C123054"/>
      <c r="E123054"/>
      <c r="F123054"/>
    </row>
    <row r="123055" spans="1:6" x14ac:dyDescent="0.25">
      <c r="A123055"/>
      <c r="B123055"/>
      <c r="C123055"/>
      <c r="E123055"/>
      <c r="F123055"/>
    </row>
    <row r="123056" spans="1:6" x14ac:dyDescent="0.25">
      <c r="A123056"/>
      <c r="B123056"/>
      <c r="C123056"/>
      <c r="E123056"/>
      <c r="F123056"/>
    </row>
    <row r="123057" spans="1:6" x14ac:dyDescent="0.25">
      <c r="A123057"/>
      <c r="B123057"/>
      <c r="C123057"/>
      <c r="E123057"/>
      <c r="F123057"/>
    </row>
    <row r="123058" spans="1:6" x14ac:dyDescent="0.25">
      <c r="A123058"/>
      <c r="B123058"/>
      <c r="C123058"/>
      <c r="E123058"/>
      <c r="F123058"/>
    </row>
    <row r="123059" spans="1:6" x14ac:dyDescent="0.25">
      <c r="A123059"/>
      <c r="B123059"/>
      <c r="C123059"/>
      <c r="E123059"/>
      <c r="F123059"/>
    </row>
    <row r="123060" spans="1:6" x14ac:dyDescent="0.25">
      <c r="A123060"/>
      <c r="B123060"/>
      <c r="C123060"/>
      <c r="E123060"/>
      <c r="F123060"/>
    </row>
    <row r="123061" spans="1:6" x14ac:dyDescent="0.25">
      <c r="A123061"/>
      <c r="B123061"/>
      <c r="C123061"/>
      <c r="E123061"/>
      <c r="F123061"/>
    </row>
    <row r="123062" spans="1:6" x14ac:dyDescent="0.25">
      <c r="A123062"/>
      <c r="B123062"/>
      <c r="C123062"/>
      <c r="E123062"/>
      <c r="F123062"/>
    </row>
    <row r="123063" spans="1:6" x14ac:dyDescent="0.25">
      <c r="A123063"/>
      <c r="B123063"/>
      <c r="C123063"/>
      <c r="E123063"/>
      <c r="F123063"/>
    </row>
    <row r="123064" spans="1:6" x14ac:dyDescent="0.25">
      <c r="A123064"/>
      <c r="B123064"/>
      <c r="C123064"/>
      <c r="E123064"/>
      <c r="F123064"/>
    </row>
    <row r="123065" spans="1:6" x14ac:dyDescent="0.25">
      <c r="A123065"/>
      <c r="B123065"/>
      <c r="C123065"/>
      <c r="E123065"/>
      <c r="F123065"/>
    </row>
    <row r="123066" spans="1:6" x14ac:dyDescent="0.25">
      <c r="A123066"/>
      <c r="B123066"/>
      <c r="C123066"/>
      <c r="E123066"/>
      <c r="F123066"/>
    </row>
    <row r="123067" spans="1:6" x14ac:dyDescent="0.25">
      <c r="A123067"/>
      <c r="B123067"/>
      <c r="C123067"/>
      <c r="E123067"/>
      <c r="F123067"/>
    </row>
    <row r="123068" spans="1:6" x14ac:dyDescent="0.25">
      <c r="A123068"/>
      <c r="B123068"/>
      <c r="C123068"/>
      <c r="E123068"/>
      <c r="F123068"/>
    </row>
    <row r="123069" spans="1:6" x14ac:dyDescent="0.25">
      <c r="A123069"/>
      <c r="B123069"/>
      <c r="C123069"/>
      <c r="E123069"/>
      <c r="F123069"/>
    </row>
    <row r="123070" spans="1:6" x14ac:dyDescent="0.25">
      <c r="A123070"/>
      <c r="B123070"/>
      <c r="C123070"/>
      <c r="E123070"/>
      <c r="F123070"/>
    </row>
    <row r="123071" spans="1:6" x14ac:dyDescent="0.25">
      <c r="A123071"/>
      <c r="B123071"/>
      <c r="C123071"/>
      <c r="E123071"/>
      <c r="F123071"/>
    </row>
    <row r="123072" spans="1:6" x14ac:dyDescent="0.25">
      <c r="A123072"/>
      <c r="B123072"/>
      <c r="C123072"/>
      <c r="E123072"/>
      <c r="F123072"/>
    </row>
    <row r="123073" spans="1:6" x14ac:dyDescent="0.25">
      <c r="A123073"/>
      <c r="B123073"/>
      <c r="C123073"/>
      <c r="E123073"/>
      <c r="F123073"/>
    </row>
    <row r="123074" spans="1:6" x14ac:dyDescent="0.25">
      <c r="A123074"/>
      <c r="B123074"/>
      <c r="C123074"/>
      <c r="E123074"/>
      <c r="F123074"/>
    </row>
    <row r="123075" spans="1:6" x14ac:dyDescent="0.25">
      <c r="A123075"/>
      <c r="B123075"/>
      <c r="C123075"/>
      <c r="E123075"/>
      <c r="F123075"/>
    </row>
    <row r="123076" spans="1:6" x14ac:dyDescent="0.25">
      <c r="A123076"/>
      <c r="B123076"/>
      <c r="C123076"/>
      <c r="E123076"/>
      <c r="F123076"/>
    </row>
    <row r="123077" spans="1:6" x14ac:dyDescent="0.25">
      <c r="A123077"/>
      <c r="B123077"/>
      <c r="C123077"/>
      <c r="E123077"/>
      <c r="F123077"/>
    </row>
    <row r="123078" spans="1:6" x14ac:dyDescent="0.25">
      <c r="A123078"/>
      <c r="B123078"/>
      <c r="C123078"/>
      <c r="E123078"/>
      <c r="F123078"/>
    </row>
    <row r="123079" spans="1:6" x14ac:dyDescent="0.25">
      <c r="A123079"/>
      <c r="B123079"/>
      <c r="C123079"/>
      <c r="E123079"/>
      <c r="F123079"/>
    </row>
    <row r="123080" spans="1:6" x14ac:dyDescent="0.25">
      <c r="A123080"/>
      <c r="B123080"/>
      <c r="C123080"/>
      <c r="E123080"/>
      <c r="F123080"/>
    </row>
    <row r="123081" spans="1:6" x14ac:dyDescent="0.25">
      <c r="A123081"/>
      <c r="B123081"/>
      <c r="C123081"/>
      <c r="E123081"/>
      <c r="F123081"/>
    </row>
    <row r="123082" spans="1:6" x14ac:dyDescent="0.25">
      <c r="A123082"/>
      <c r="B123082"/>
      <c r="C123082"/>
      <c r="E123082"/>
      <c r="F123082"/>
    </row>
    <row r="123083" spans="1:6" x14ac:dyDescent="0.25">
      <c r="A123083"/>
      <c r="B123083"/>
      <c r="C123083"/>
      <c r="E123083"/>
      <c r="F123083"/>
    </row>
    <row r="123084" spans="1:6" x14ac:dyDescent="0.25">
      <c r="A123084"/>
      <c r="B123084"/>
      <c r="C123084"/>
      <c r="E123084"/>
      <c r="F123084"/>
    </row>
    <row r="123085" spans="1:6" x14ac:dyDescent="0.25">
      <c r="A123085"/>
      <c r="B123085"/>
      <c r="C123085"/>
      <c r="E123085"/>
      <c r="F123085"/>
    </row>
    <row r="123086" spans="1:6" x14ac:dyDescent="0.25">
      <c r="A123086"/>
      <c r="B123086"/>
      <c r="C123086"/>
      <c r="E123086"/>
      <c r="F123086"/>
    </row>
    <row r="123087" spans="1:6" x14ac:dyDescent="0.25">
      <c r="A123087"/>
      <c r="B123087"/>
      <c r="C123087"/>
      <c r="E123087"/>
      <c r="F123087"/>
    </row>
    <row r="123088" spans="1:6" x14ac:dyDescent="0.25">
      <c r="A123088"/>
      <c r="B123088"/>
      <c r="C123088"/>
      <c r="E123088"/>
      <c r="F123088"/>
    </row>
    <row r="123089" spans="1:6" x14ac:dyDescent="0.25">
      <c r="A123089"/>
      <c r="B123089"/>
      <c r="C123089"/>
      <c r="E123089"/>
      <c r="F123089"/>
    </row>
    <row r="123090" spans="1:6" x14ac:dyDescent="0.25">
      <c r="A123090"/>
      <c r="B123090"/>
      <c r="C123090"/>
      <c r="E123090"/>
      <c r="F123090"/>
    </row>
    <row r="123091" spans="1:6" x14ac:dyDescent="0.25">
      <c r="A123091"/>
      <c r="B123091"/>
      <c r="C123091"/>
      <c r="E123091"/>
      <c r="F123091"/>
    </row>
    <row r="123092" spans="1:6" x14ac:dyDescent="0.25">
      <c r="A123092"/>
      <c r="B123092"/>
      <c r="C123092"/>
      <c r="E123092"/>
      <c r="F123092"/>
    </row>
    <row r="123093" spans="1:6" x14ac:dyDescent="0.25">
      <c r="A123093"/>
      <c r="B123093"/>
      <c r="C123093"/>
      <c r="E123093"/>
      <c r="F123093"/>
    </row>
    <row r="123094" spans="1:6" x14ac:dyDescent="0.25">
      <c r="A123094"/>
      <c r="B123094"/>
      <c r="C123094"/>
      <c r="E123094"/>
      <c r="F123094"/>
    </row>
    <row r="123095" spans="1:6" x14ac:dyDescent="0.25">
      <c r="A123095"/>
      <c r="B123095"/>
      <c r="C123095"/>
      <c r="E123095"/>
      <c r="F123095"/>
    </row>
    <row r="123096" spans="1:6" x14ac:dyDescent="0.25">
      <c r="A123096"/>
      <c r="B123096"/>
      <c r="C123096"/>
      <c r="E123096"/>
      <c r="F123096"/>
    </row>
    <row r="123097" spans="1:6" x14ac:dyDescent="0.25">
      <c r="A123097"/>
      <c r="B123097"/>
      <c r="C123097"/>
      <c r="E123097"/>
      <c r="F123097"/>
    </row>
    <row r="123098" spans="1:6" x14ac:dyDescent="0.25">
      <c r="A123098"/>
      <c r="B123098"/>
      <c r="C123098"/>
      <c r="E123098"/>
      <c r="F123098"/>
    </row>
    <row r="123099" spans="1:6" x14ac:dyDescent="0.25">
      <c r="A123099"/>
      <c r="B123099"/>
      <c r="C123099"/>
      <c r="E123099"/>
      <c r="F123099"/>
    </row>
    <row r="123100" spans="1:6" x14ac:dyDescent="0.25">
      <c r="A123100"/>
      <c r="B123100"/>
      <c r="C123100"/>
      <c r="E123100"/>
      <c r="F123100"/>
    </row>
    <row r="123101" spans="1:6" x14ac:dyDescent="0.25">
      <c r="A123101"/>
      <c r="B123101"/>
      <c r="C123101"/>
      <c r="E123101"/>
      <c r="F123101"/>
    </row>
    <row r="123102" spans="1:6" x14ac:dyDescent="0.25">
      <c r="A123102"/>
      <c r="B123102"/>
      <c r="C123102"/>
      <c r="E123102"/>
      <c r="F123102"/>
    </row>
    <row r="123103" spans="1:6" x14ac:dyDescent="0.25">
      <c r="A123103"/>
      <c r="B123103"/>
      <c r="C123103"/>
      <c r="E123103"/>
      <c r="F123103"/>
    </row>
    <row r="123104" spans="1:6" x14ac:dyDescent="0.25">
      <c r="A123104"/>
      <c r="B123104"/>
      <c r="C123104"/>
      <c r="E123104"/>
      <c r="F123104"/>
    </row>
    <row r="123105" spans="1:6" x14ac:dyDescent="0.25">
      <c r="A123105"/>
      <c r="B123105"/>
      <c r="C123105"/>
      <c r="E123105"/>
      <c r="F123105"/>
    </row>
    <row r="123106" spans="1:6" x14ac:dyDescent="0.25">
      <c r="A123106"/>
      <c r="B123106"/>
      <c r="C123106"/>
      <c r="E123106"/>
      <c r="F123106"/>
    </row>
    <row r="123107" spans="1:6" x14ac:dyDescent="0.25">
      <c r="A123107"/>
      <c r="B123107"/>
      <c r="C123107"/>
      <c r="E123107"/>
      <c r="F123107"/>
    </row>
    <row r="123108" spans="1:6" x14ac:dyDescent="0.25">
      <c r="A123108"/>
      <c r="B123108"/>
      <c r="C123108"/>
      <c r="E123108"/>
      <c r="F123108"/>
    </row>
    <row r="123109" spans="1:6" x14ac:dyDescent="0.25">
      <c r="A123109"/>
      <c r="B123109"/>
      <c r="C123109"/>
      <c r="E123109"/>
      <c r="F123109"/>
    </row>
    <row r="123110" spans="1:6" x14ac:dyDescent="0.25">
      <c r="A123110"/>
      <c r="B123110"/>
      <c r="C123110"/>
      <c r="E123110"/>
      <c r="F123110"/>
    </row>
    <row r="123111" spans="1:6" x14ac:dyDescent="0.25">
      <c r="A123111"/>
      <c r="B123111"/>
      <c r="C123111"/>
      <c r="E123111"/>
      <c r="F123111"/>
    </row>
    <row r="123112" spans="1:6" x14ac:dyDescent="0.25">
      <c r="A123112"/>
      <c r="B123112"/>
      <c r="C123112"/>
      <c r="E123112"/>
      <c r="F123112"/>
    </row>
    <row r="123113" spans="1:6" x14ac:dyDescent="0.25">
      <c r="A123113"/>
      <c r="B123113"/>
      <c r="C123113"/>
      <c r="E123113"/>
      <c r="F123113"/>
    </row>
    <row r="123114" spans="1:6" x14ac:dyDescent="0.25">
      <c r="A123114"/>
      <c r="B123114"/>
      <c r="C123114"/>
      <c r="E123114"/>
      <c r="F123114"/>
    </row>
    <row r="123115" spans="1:6" x14ac:dyDescent="0.25">
      <c r="A123115"/>
      <c r="B123115"/>
      <c r="C123115"/>
      <c r="E123115"/>
      <c r="F123115"/>
    </row>
    <row r="123116" spans="1:6" x14ac:dyDescent="0.25">
      <c r="A123116"/>
      <c r="B123116"/>
      <c r="C123116"/>
      <c r="E123116"/>
      <c r="F123116"/>
    </row>
    <row r="123117" spans="1:6" x14ac:dyDescent="0.25">
      <c r="A123117"/>
      <c r="B123117"/>
      <c r="C123117"/>
      <c r="E123117"/>
      <c r="F123117"/>
    </row>
    <row r="123118" spans="1:6" x14ac:dyDescent="0.25">
      <c r="A123118"/>
      <c r="B123118"/>
      <c r="C123118"/>
      <c r="E123118"/>
      <c r="F123118"/>
    </row>
    <row r="123119" spans="1:6" x14ac:dyDescent="0.25">
      <c r="A123119"/>
      <c r="B123119"/>
      <c r="C123119"/>
      <c r="E123119"/>
      <c r="F123119"/>
    </row>
    <row r="123120" spans="1:6" x14ac:dyDescent="0.25">
      <c r="A123120"/>
      <c r="B123120"/>
      <c r="C123120"/>
      <c r="E123120"/>
      <c r="F123120"/>
    </row>
    <row r="123121" spans="1:6" x14ac:dyDescent="0.25">
      <c r="A123121"/>
      <c r="B123121"/>
      <c r="C123121"/>
      <c r="E123121"/>
      <c r="F123121"/>
    </row>
    <row r="123122" spans="1:6" x14ac:dyDescent="0.25">
      <c r="A123122"/>
      <c r="B123122"/>
      <c r="C123122"/>
      <c r="E123122"/>
      <c r="F123122"/>
    </row>
    <row r="123123" spans="1:6" x14ac:dyDescent="0.25">
      <c r="A123123"/>
      <c r="B123123"/>
      <c r="C123123"/>
      <c r="E123123"/>
      <c r="F123123"/>
    </row>
    <row r="123124" spans="1:6" x14ac:dyDescent="0.25">
      <c r="A123124"/>
      <c r="B123124"/>
      <c r="C123124"/>
      <c r="E123124"/>
      <c r="F123124"/>
    </row>
    <row r="123125" spans="1:6" x14ac:dyDescent="0.25">
      <c r="A123125"/>
      <c r="B123125"/>
      <c r="C123125"/>
      <c r="E123125"/>
      <c r="F123125"/>
    </row>
    <row r="123126" spans="1:6" x14ac:dyDescent="0.25">
      <c r="A123126"/>
      <c r="B123126"/>
      <c r="C123126"/>
      <c r="E123126"/>
      <c r="F123126"/>
    </row>
    <row r="123127" spans="1:6" x14ac:dyDescent="0.25">
      <c r="A123127"/>
      <c r="B123127"/>
      <c r="C123127"/>
      <c r="E123127"/>
      <c r="F123127"/>
    </row>
    <row r="123128" spans="1:6" x14ac:dyDescent="0.25">
      <c r="A123128"/>
      <c r="B123128"/>
      <c r="C123128"/>
      <c r="E123128"/>
      <c r="F123128"/>
    </row>
    <row r="123129" spans="1:6" x14ac:dyDescent="0.25">
      <c r="A123129"/>
      <c r="B123129"/>
      <c r="C123129"/>
      <c r="E123129"/>
      <c r="F123129"/>
    </row>
    <row r="123130" spans="1:6" x14ac:dyDescent="0.25">
      <c r="A123130"/>
      <c r="B123130"/>
      <c r="C123130"/>
      <c r="E123130"/>
      <c r="F123130"/>
    </row>
    <row r="123131" spans="1:6" x14ac:dyDescent="0.25">
      <c r="A123131"/>
      <c r="B123131"/>
      <c r="C123131"/>
      <c r="E123131"/>
      <c r="F123131"/>
    </row>
    <row r="123132" spans="1:6" x14ac:dyDescent="0.25">
      <c r="A123132"/>
      <c r="B123132"/>
      <c r="C123132"/>
      <c r="E123132"/>
      <c r="F123132"/>
    </row>
    <row r="123133" spans="1:6" x14ac:dyDescent="0.25">
      <c r="A123133"/>
      <c r="B123133"/>
      <c r="C123133"/>
      <c r="E123133"/>
      <c r="F123133"/>
    </row>
    <row r="123134" spans="1:6" x14ac:dyDescent="0.25">
      <c r="A123134"/>
      <c r="B123134"/>
      <c r="C123134"/>
      <c r="E123134"/>
      <c r="F123134"/>
    </row>
    <row r="123135" spans="1:6" x14ac:dyDescent="0.25">
      <c r="A123135"/>
      <c r="B123135"/>
      <c r="C123135"/>
      <c r="E123135"/>
      <c r="F123135"/>
    </row>
    <row r="123136" spans="1:6" x14ac:dyDescent="0.25">
      <c r="A123136"/>
      <c r="B123136"/>
      <c r="C123136"/>
      <c r="E123136"/>
      <c r="F123136"/>
    </row>
    <row r="123137" spans="1:6" x14ac:dyDescent="0.25">
      <c r="A123137"/>
      <c r="B123137"/>
      <c r="C123137"/>
      <c r="E123137"/>
      <c r="F123137"/>
    </row>
    <row r="123138" spans="1:6" x14ac:dyDescent="0.25">
      <c r="A123138"/>
      <c r="B123138"/>
      <c r="C123138"/>
      <c r="E123138"/>
      <c r="F123138"/>
    </row>
    <row r="123139" spans="1:6" x14ac:dyDescent="0.25">
      <c r="A123139"/>
      <c r="B123139"/>
      <c r="C123139"/>
      <c r="E123139"/>
      <c r="F123139"/>
    </row>
    <row r="123140" spans="1:6" x14ac:dyDescent="0.25">
      <c r="A123140"/>
      <c r="B123140"/>
      <c r="C123140"/>
      <c r="E123140"/>
      <c r="F123140"/>
    </row>
    <row r="123141" spans="1:6" x14ac:dyDescent="0.25">
      <c r="A123141"/>
      <c r="B123141"/>
      <c r="C123141"/>
      <c r="E123141"/>
      <c r="F123141"/>
    </row>
    <row r="123142" spans="1:6" x14ac:dyDescent="0.25">
      <c r="A123142"/>
      <c r="B123142"/>
      <c r="C123142"/>
      <c r="E123142"/>
      <c r="F123142"/>
    </row>
    <row r="123143" spans="1:6" x14ac:dyDescent="0.25">
      <c r="A123143"/>
      <c r="B123143"/>
      <c r="C123143"/>
      <c r="E123143"/>
      <c r="F123143"/>
    </row>
    <row r="123144" spans="1:6" x14ac:dyDescent="0.25">
      <c r="A123144"/>
      <c r="B123144"/>
      <c r="C123144"/>
      <c r="E123144"/>
      <c r="F123144"/>
    </row>
    <row r="123145" spans="1:6" x14ac:dyDescent="0.25">
      <c r="A123145"/>
      <c r="B123145"/>
      <c r="C123145"/>
      <c r="E123145"/>
      <c r="F123145"/>
    </row>
    <row r="123146" spans="1:6" x14ac:dyDescent="0.25">
      <c r="A123146"/>
      <c r="B123146"/>
      <c r="C123146"/>
      <c r="E123146"/>
      <c r="F123146"/>
    </row>
    <row r="123147" spans="1:6" x14ac:dyDescent="0.25">
      <c r="A123147"/>
      <c r="B123147"/>
      <c r="C123147"/>
      <c r="E123147"/>
      <c r="F123147"/>
    </row>
    <row r="123148" spans="1:6" x14ac:dyDescent="0.25">
      <c r="A123148"/>
      <c r="B123148"/>
      <c r="C123148"/>
      <c r="E123148"/>
      <c r="F123148"/>
    </row>
    <row r="123149" spans="1:6" x14ac:dyDescent="0.25">
      <c r="A123149"/>
      <c r="B123149"/>
      <c r="C123149"/>
      <c r="E123149"/>
      <c r="F123149"/>
    </row>
    <row r="123150" spans="1:6" x14ac:dyDescent="0.25">
      <c r="A123150"/>
      <c r="B123150"/>
      <c r="C123150"/>
      <c r="E123150"/>
      <c r="F123150"/>
    </row>
    <row r="123151" spans="1:6" x14ac:dyDescent="0.25">
      <c r="A123151"/>
      <c r="B123151"/>
      <c r="C123151"/>
      <c r="E123151"/>
      <c r="F123151"/>
    </row>
    <row r="123152" spans="1:6" x14ac:dyDescent="0.25">
      <c r="A123152"/>
      <c r="B123152"/>
      <c r="C123152"/>
      <c r="E123152"/>
      <c r="F123152"/>
    </row>
    <row r="123153" spans="1:6" x14ac:dyDescent="0.25">
      <c r="A123153"/>
      <c r="B123153"/>
      <c r="C123153"/>
      <c r="E123153"/>
      <c r="F123153"/>
    </row>
    <row r="123154" spans="1:6" x14ac:dyDescent="0.25">
      <c r="A123154"/>
      <c r="B123154"/>
      <c r="C123154"/>
      <c r="E123154"/>
      <c r="F123154"/>
    </row>
    <row r="123155" spans="1:6" x14ac:dyDescent="0.25">
      <c r="A123155"/>
      <c r="B123155"/>
      <c r="C123155"/>
      <c r="E123155"/>
      <c r="F123155"/>
    </row>
    <row r="123156" spans="1:6" x14ac:dyDescent="0.25">
      <c r="A123156"/>
      <c r="B123156"/>
      <c r="C123156"/>
      <c r="E123156"/>
      <c r="F123156"/>
    </row>
    <row r="123157" spans="1:6" x14ac:dyDescent="0.25">
      <c r="A123157"/>
      <c r="B123157"/>
      <c r="C123157"/>
      <c r="E123157"/>
      <c r="F123157"/>
    </row>
    <row r="123158" spans="1:6" x14ac:dyDescent="0.25">
      <c r="A123158"/>
      <c r="B123158"/>
      <c r="C123158"/>
      <c r="E123158"/>
      <c r="F123158"/>
    </row>
    <row r="123159" spans="1:6" x14ac:dyDescent="0.25">
      <c r="A123159"/>
      <c r="B123159"/>
      <c r="C123159"/>
      <c r="E123159"/>
      <c r="F123159"/>
    </row>
    <row r="123160" spans="1:6" x14ac:dyDescent="0.25">
      <c r="A123160"/>
      <c r="B123160"/>
      <c r="C123160"/>
      <c r="E123160"/>
      <c r="F123160"/>
    </row>
    <row r="123161" spans="1:6" x14ac:dyDescent="0.25">
      <c r="A123161"/>
      <c r="B123161"/>
      <c r="C123161"/>
      <c r="E123161"/>
      <c r="F123161"/>
    </row>
    <row r="123162" spans="1:6" x14ac:dyDescent="0.25">
      <c r="A123162"/>
      <c r="B123162"/>
      <c r="C123162"/>
      <c r="E123162"/>
      <c r="F123162"/>
    </row>
    <row r="123163" spans="1:6" x14ac:dyDescent="0.25">
      <c r="A123163"/>
      <c r="B123163"/>
      <c r="C123163"/>
      <c r="E123163"/>
      <c r="F123163"/>
    </row>
    <row r="123164" spans="1:6" x14ac:dyDescent="0.25">
      <c r="A123164"/>
      <c r="B123164"/>
      <c r="C123164"/>
      <c r="E123164"/>
      <c r="F123164"/>
    </row>
    <row r="123165" spans="1:6" x14ac:dyDescent="0.25">
      <c r="A123165"/>
      <c r="B123165"/>
      <c r="C123165"/>
      <c r="E123165"/>
      <c r="F123165"/>
    </row>
    <row r="123166" spans="1:6" x14ac:dyDescent="0.25">
      <c r="A123166"/>
      <c r="B123166"/>
      <c r="C123166"/>
      <c r="E123166"/>
      <c r="F123166"/>
    </row>
    <row r="123167" spans="1:6" x14ac:dyDescent="0.25">
      <c r="A123167"/>
      <c r="B123167"/>
      <c r="C123167"/>
      <c r="E123167"/>
      <c r="F123167"/>
    </row>
    <row r="123168" spans="1:6" x14ac:dyDescent="0.25">
      <c r="A123168"/>
      <c r="B123168"/>
      <c r="C123168"/>
      <c r="E123168"/>
      <c r="F123168"/>
    </row>
    <row r="123169" spans="1:6" x14ac:dyDescent="0.25">
      <c r="A123169"/>
      <c r="B123169"/>
      <c r="C123169"/>
      <c r="E123169"/>
      <c r="F123169"/>
    </row>
    <row r="123170" spans="1:6" x14ac:dyDescent="0.25">
      <c r="A123170"/>
      <c r="B123170"/>
      <c r="C123170"/>
      <c r="E123170"/>
      <c r="F123170"/>
    </row>
    <row r="123171" spans="1:6" x14ac:dyDescent="0.25">
      <c r="A123171"/>
      <c r="B123171"/>
      <c r="C123171"/>
      <c r="E123171"/>
      <c r="F123171"/>
    </row>
    <row r="123172" spans="1:6" x14ac:dyDescent="0.25">
      <c r="A123172"/>
      <c r="B123172"/>
      <c r="C123172"/>
      <c r="E123172"/>
      <c r="F123172"/>
    </row>
    <row r="123173" spans="1:6" x14ac:dyDescent="0.25">
      <c r="A123173"/>
      <c r="B123173"/>
      <c r="C123173"/>
      <c r="E123173"/>
      <c r="F123173"/>
    </row>
    <row r="123174" spans="1:6" x14ac:dyDescent="0.25">
      <c r="A123174"/>
      <c r="B123174"/>
      <c r="C123174"/>
      <c r="E123174"/>
      <c r="F123174"/>
    </row>
    <row r="123175" spans="1:6" x14ac:dyDescent="0.25">
      <c r="A123175"/>
      <c r="B123175"/>
      <c r="C123175"/>
      <c r="E123175"/>
      <c r="F123175"/>
    </row>
    <row r="123176" spans="1:6" x14ac:dyDescent="0.25">
      <c r="A123176"/>
      <c r="B123176"/>
      <c r="C123176"/>
      <c r="E123176"/>
      <c r="F123176"/>
    </row>
    <row r="123177" spans="1:6" x14ac:dyDescent="0.25">
      <c r="A123177"/>
      <c r="B123177"/>
      <c r="C123177"/>
      <c r="E123177"/>
      <c r="F123177"/>
    </row>
    <row r="123178" spans="1:6" x14ac:dyDescent="0.25">
      <c r="A123178"/>
      <c r="B123178"/>
      <c r="C123178"/>
      <c r="E123178"/>
      <c r="F123178"/>
    </row>
    <row r="123179" spans="1:6" x14ac:dyDescent="0.25">
      <c r="A123179"/>
      <c r="B123179"/>
      <c r="C123179"/>
      <c r="E123179"/>
      <c r="F123179"/>
    </row>
    <row r="123180" spans="1:6" x14ac:dyDescent="0.25">
      <c r="A123180"/>
      <c r="B123180"/>
      <c r="C123180"/>
      <c r="E123180"/>
      <c r="F123180"/>
    </row>
    <row r="123181" spans="1:6" x14ac:dyDescent="0.25">
      <c r="A123181"/>
      <c r="B123181"/>
      <c r="C123181"/>
      <c r="E123181"/>
      <c r="F123181"/>
    </row>
    <row r="123182" spans="1:6" x14ac:dyDescent="0.25">
      <c r="A123182"/>
      <c r="B123182"/>
      <c r="C123182"/>
      <c r="E123182"/>
      <c r="F123182"/>
    </row>
    <row r="123183" spans="1:6" x14ac:dyDescent="0.25">
      <c r="A123183"/>
      <c r="B123183"/>
      <c r="C123183"/>
      <c r="E123183"/>
      <c r="F123183"/>
    </row>
    <row r="123184" spans="1:6" x14ac:dyDescent="0.25">
      <c r="A123184"/>
      <c r="B123184"/>
      <c r="C123184"/>
      <c r="E123184"/>
      <c r="F123184"/>
    </row>
    <row r="123185" spans="1:6" x14ac:dyDescent="0.25">
      <c r="A123185"/>
      <c r="B123185"/>
      <c r="C123185"/>
      <c r="E123185"/>
      <c r="F123185"/>
    </row>
    <row r="123186" spans="1:6" x14ac:dyDescent="0.25">
      <c r="A123186"/>
      <c r="B123186"/>
      <c r="C123186"/>
      <c r="E123186"/>
      <c r="F123186"/>
    </row>
    <row r="123187" spans="1:6" x14ac:dyDescent="0.25">
      <c r="A123187"/>
      <c r="B123187"/>
      <c r="C123187"/>
      <c r="E123187"/>
      <c r="F123187"/>
    </row>
    <row r="123188" spans="1:6" x14ac:dyDescent="0.25">
      <c r="A123188"/>
      <c r="B123188"/>
      <c r="C123188"/>
      <c r="E123188"/>
      <c r="F123188"/>
    </row>
    <row r="123189" spans="1:6" x14ac:dyDescent="0.25">
      <c r="A123189"/>
      <c r="B123189"/>
      <c r="C123189"/>
      <c r="E123189"/>
      <c r="F123189"/>
    </row>
    <row r="123190" spans="1:6" x14ac:dyDescent="0.25">
      <c r="A123190"/>
      <c r="B123190"/>
      <c r="C123190"/>
      <c r="E123190"/>
      <c r="F123190"/>
    </row>
    <row r="123191" spans="1:6" x14ac:dyDescent="0.25">
      <c r="A123191"/>
      <c r="B123191"/>
      <c r="C123191"/>
      <c r="E123191"/>
      <c r="F123191"/>
    </row>
    <row r="123192" spans="1:6" x14ac:dyDescent="0.25">
      <c r="A123192"/>
      <c r="B123192"/>
      <c r="C123192"/>
      <c r="E123192"/>
      <c r="F123192"/>
    </row>
    <row r="123193" spans="1:6" x14ac:dyDescent="0.25">
      <c r="A123193"/>
      <c r="B123193"/>
      <c r="C123193"/>
      <c r="E123193"/>
      <c r="F123193"/>
    </row>
    <row r="123194" spans="1:6" x14ac:dyDescent="0.25">
      <c r="A123194"/>
      <c r="B123194"/>
      <c r="C123194"/>
      <c r="E123194"/>
      <c r="F123194"/>
    </row>
    <row r="123195" spans="1:6" x14ac:dyDescent="0.25">
      <c r="A123195"/>
      <c r="B123195"/>
      <c r="C123195"/>
      <c r="E123195"/>
      <c r="F123195"/>
    </row>
    <row r="123196" spans="1:6" x14ac:dyDescent="0.25">
      <c r="A123196"/>
      <c r="B123196"/>
      <c r="C123196"/>
      <c r="E123196"/>
      <c r="F123196"/>
    </row>
    <row r="123197" spans="1:6" x14ac:dyDescent="0.25">
      <c r="A123197"/>
      <c r="B123197"/>
      <c r="C123197"/>
      <c r="E123197"/>
      <c r="F123197"/>
    </row>
    <row r="123198" spans="1:6" x14ac:dyDescent="0.25">
      <c r="A123198"/>
      <c r="B123198"/>
      <c r="C123198"/>
      <c r="E123198"/>
      <c r="F123198"/>
    </row>
    <row r="123199" spans="1:6" x14ac:dyDescent="0.25">
      <c r="A123199"/>
      <c r="B123199"/>
      <c r="C123199"/>
      <c r="E123199"/>
      <c r="F123199"/>
    </row>
    <row r="123200" spans="1:6" x14ac:dyDescent="0.25">
      <c r="A123200"/>
      <c r="B123200"/>
      <c r="C123200"/>
      <c r="E123200"/>
      <c r="F123200"/>
    </row>
    <row r="123201" spans="1:6" x14ac:dyDescent="0.25">
      <c r="A123201"/>
      <c r="B123201"/>
      <c r="C123201"/>
      <c r="E123201"/>
      <c r="F123201"/>
    </row>
    <row r="123202" spans="1:6" x14ac:dyDescent="0.25">
      <c r="A123202"/>
      <c r="B123202"/>
      <c r="C123202"/>
      <c r="E123202"/>
      <c r="F123202"/>
    </row>
    <row r="123203" spans="1:6" x14ac:dyDescent="0.25">
      <c r="A123203"/>
      <c r="B123203"/>
      <c r="C123203"/>
      <c r="E123203"/>
      <c r="F123203"/>
    </row>
    <row r="123204" spans="1:6" x14ac:dyDescent="0.25">
      <c r="A123204"/>
      <c r="B123204"/>
      <c r="C123204"/>
      <c r="E123204"/>
      <c r="F123204"/>
    </row>
    <row r="123205" spans="1:6" x14ac:dyDescent="0.25">
      <c r="A123205"/>
      <c r="B123205"/>
      <c r="C123205"/>
      <c r="E123205"/>
      <c r="F123205"/>
    </row>
    <row r="123206" spans="1:6" x14ac:dyDescent="0.25">
      <c r="A123206"/>
      <c r="B123206"/>
      <c r="C123206"/>
      <c r="E123206"/>
      <c r="F123206"/>
    </row>
    <row r="123207" spans="1:6" x14ac:dyDescent="0.25">
      <c r="A123207"/>
      <c r="B123207"/>
      <c r="C123207"/>
      <c r="E123207"/>
      <c r="F123207"/>
    </row>
    <row r="123208" spans="1:6" x14ac:dyDescent="0.25">
      <c r="A123208"/>
      <c r="B123208"/>
      <c r="C123208"/>
      <c r="E123208"/>
      <c r="F123208"/>
    </row>
    <row r="123209" spans="1:6" x14ac:dyDescent="0.25">
      <c r="A123209"/>
      <c r="B123209"/>
      <c r="C123209"/>
      <c r="E123209"/>
      <c r="F123209"/>
    </row>
    <row r="123210" spans="1:6" x14ac:dyDescent="0.25">
      <c r="A123210"/>
      <c r="B123210"/>
      <c r="C123210"/>
      <c r="E123210"/>
      <c r="F123210"/>
    </row>
    <row r="123211" spans="1:6" x14ac:dyDescent="0.25">
      <c r="A123211"/>
      <c r="B123211"/>
      <c r="C123211"/>
      <c r="E123211"/>
      <c r="F123211"/>
    </row>
    <row r="123212" spans="1:6" x14ac:dyDescent="0.25">
      <c r="A123212"/>
      <c r="B123212"/>
      <c r="C123212"/>
      <c r="E123212"/>
      <c r="F123212"/>
    </row>
    <row r="123213" spans="1:6" x14ac:dyDescent="0.25">
      <c r="A123213"/>
      <c r="B123213"/>
      <c r="C123213"/>
      <c r="E123213"/>
      <c r="F123213"/>
    </row>
    <row r="123214" spans="1:6" x14ac:dyDescent="0.25">
      <c r="A123214"/>
      <c r="B123214"/>
      <c r="C123214"/>
      <c r="E123214"/>
      <c r="F123214"/>
    </row>
    <row r="123215" spans="1:6" x14ac:dyDescent="0.25">
      <c r="A123215"/>
      <c r="B123215"/>
      <c r="C123215"/>
      <c r="E123215"/>
      <c r="F123215"/>
    </row>
    <row r="123216" spans="1:6" x14ac:dyDescent="0.25">
      <c r="A123216"/>
      <c r="B123216"/>
      <c r="C123216"/>
      <c r="E123216"/>
      <c r="F123216"/>
    </row>
    <row r="123217" spans="1:6" x14ac:dyDescent="0.25">
      <c r="A123217"/>
      <c r="B123217"/>
      <c r="C123217"/>
      <c r="E123217"/>
      <c r="F123217"/>
    </row>
    <row r="123218" spans="1:6" x14ac:dyDescent="0.25">
      <c r="A123218"/>
      <c r="B123218"/>
      <c r="C123218"/>
      <c r="E123218"/>
      <c r="F123218"/>
    </row>
    <row r="123219" spans="1:6" x14ac:dyDescent="0.25">
      <c r="A123219"/>
      <c r="B123219"/>
      <c r="C123219"/>
      <c r="E123219"/>
      <c r="F123219"/>
    </row>
    <row r="123220" spans="1:6" x14ac:dyDescent="0.25">
      <c r="A123220"/>
      <c r="B123220"/>
      <c r="C123220"/>
      <c r="E123220"/>
      <c r="F123220"/>
    </row>
    <row r="123221" spans="1:6" x14ac:dyDescent="0.25">
      <c r="A123221"/>
      <c r="B123221"/>
      <c r="C123221"/>
      <c r="E123221"/>
      <c r="F123221"/>
    </row>
    <row r="123222" spans="1:6" x14ac:dyDescent="0.25">
      <c r="A123222"/>
      <c r="B123222"/>
      <c r="C123222"/>
      <c r="E123222"/>
      <c r="F123222"/>
    </row>
    <row r="123223" spans="1:6" x14ac:dyDescent="0.25">
      <c r="A123223"/>
      <c r="B123223"/>
      <c r="C123223"/>
      <c r="E123223"/>
      <c r="F123223"/>
    </row>
    <row r="123224" spans="1:6" x14ac:dyDescent="0.25">
      <c r="A123224"/>
      <c r="B123224"/>
      <c r="C123224"/>
      <c r="E123224"/>
      <c r="F123224"/>
    </row>
    <row r="123225" spans="1:6" x14ac:dyDescent="0.25">
      <c r="A123225"/>
      <c r="B123225"/>
      <c r="C123225"/>
      <c r="E123225"/>
      <c r="F123225"/>
    </row>
    <row r="123226" spans="1:6" x14ac:dyDescent="0.25">
      <c r="A123226"/>
      <c r="B123226"/>
      <c r="C123226"/>
      <c r="E123226"/>
      <c r="F123226"/>
    </row>
    <row r="123227" spans="1:6" x14ac:dyDescent="0.25">
      <c r="A123227"/>
      <c r="B123227"/>
      <c r="C123227"/>
      <c r="E123227"/>
      <c r="F123227"/>
    </row>
    <row r="123228" spans="1:6" x14ac:dyDescent="0.25">
      <c r="A123228"/>
      <c r="B123228"/>
      <c r="C123228"/>
      <c r="E123228"/>
      <c r="F123228"/>
    </row>
    <row r="123229" spans="1:6" x14ac:dyDescent="0.25">
      <c r="A123229"/>
      <c r="B123229"/>
      <c r="C123229"/>
      <c r="E123229"/>
      <c r="F123229"/>
    </row>
    <row r="123230" spans="1:6" x14ac:dyDescent="0.25">
      <c r="A123230"/>
      <c r="B123230"/>
      <c r="C123230"/>
      <c r="E123230"/>
      <c r="F123230"/>
    </row>
    <row r="123231" spans="1:6" x14ac:dyDescent="0.25">
      <c r="A123231"/>
      <c r="B123231"/>
      <c r="C123231"/>
      <c r="E123231"/>
      <c r="F123231"/>
    </row>
    <row r="123232" spans="1:6" x14ac:dyDescent="0.25">
      <c r="A123232"/>
      <c r="B123232"/>
      <c r="C123232"/>
      <c r="E123232"/>
      <c r="F123232"/>
    </row>
    <row r="123233" spans="1:6" x14ac:dyDescent="0.25">
      <c r="A123233"/>
      <c r="B123233"/>
      <c r="C123233"/>
      <c r="E123233"/>
      <c r="F123233"/>
    </row>
    <row r="123234" spans="1:6" x14ac:dyDescent="0.25">
      <c r="A123234"/>
      <c r="B123234"/>
      <c r="C123234"/>
      <c r="E123234"/>
      <c r="F123234"/>
    </row>
    <row r="123235" spans="1:6" x14ac:dyDescent="0.25">
      <c r="A123235"/>
      <c r="B123235"/>
      <c r="C123235"/>
      <c r="E123235"/>
      <c r="F123235"/>
    </row>
    <row r="123236" spans="1:6" x14ac:dyDescent="0.25">
      <c r="A123236"/>
      <c r="B123236"/>
      <c r="C123236"/>
      <c r="E123236"/>
      <c r="F123236"/>
    </row>
    <row r="123237" spans="1:6" x14ac:dyDescent="0.25">
      <c r="A123237"/>
      <c r="B123237"/>
      <c r="C123237"/>
      <c r="E123237"/>
      <c r="F123237"/>
    </row>
    <row r="123238" spans="1:6" x14ac:dyDescent="0.25">
      <c r="A123238"/>
      <c r="B123238"/>
      <c r="C123238"/>
      <c r="E123238"/>
      <c r="F123238"/>
    </row>
    <row r="123239" spans="1:6" x14ac:dyDescent="0.25">
      <c r="A123239"/>
      <c r="B123239"/>
      <c r="C123239"/>
      <c r="E123239"/>
      <c r="F123239"/>
    </row>
    <row r="123240" spans="1:6" x14ac:dyDescent="0.25">
      <c r="A123240"/>
      <c r="B123240"/>
      <c r="C123240"/>
      <c r="E123240"/>
      <c r="F123240"/>
    </row>
    <row r="123241" spans="1:6" x14ac:dyDescent="0.25">
      <c r="A123241"/>
      <c r="B123241"/>
      <c r="C123241"/>
      <c r="E123241"/>
      <c r="F123241"/>
    </row>
    <row r="123242" spans="1:6" x14ac:dyDescent="0.25">
      <c r="A123242"/>
      <c r="B123242"/>
      <c r="C123242"/>
      <c r="E123242"/>
      <c r="F123242"/>
    </row>
    <row r="123243" spans="1:6" x14ac:dyDescent="0.25">
      <c r="A123243"/>
      <c r="B123243"/>
      <c r="C123243"/>
      <c r="E123243"/>
      <c r="F123243"/>
    </row>
    <row r="123244" spans="1:6" x14ac:dyDescent="0.25">
      <c r="A123244"/>
      <c r="B123244"/>
      <c r="C123244"/>
      <c r="E123244"/>
      <c r="F123244"/>
    </row>
    <row r="123245" spans="1:6" x14ac:dyDescent="0.25">
      <c r="A123245"/>
      <c r="B123245"/>
      <c r="C123245"/>
      <c r="E123245"/>
      <c r="F123245"/>
    </row>
    <row r="123246" spans="1:6" x14ac:dyDescent="0.25">
      <c r="A123246"/>
      <c r="B123246"/>
      <c r="C123246"/>
      <c r="E123246"/>
      <c r="F123246"/>
    </row>
    <row r="123247" spans="1:6" x14ac:dyDescent="0.25">
      <c r="A123247"/>
      <c r="B123247"/>
      <c r="C123247"/>
      <c r="E123247"/>
      <c r="F123247"/>
    </row>
    <row r="123248" spans="1:6" x14ac:dyDescent="0.25">
      <c r="A123248"/>
      <c r="B123248"/>
      <c r="C123248"/>
      <c r="E123248"/>
      <c r="F123248"/>
    </row>
    <row r="123249" spans="1:6" x14ac:dyDescent="0.25">
      <c r="A123249"/>
      <c r="B123249"/>
      <c r="C123249"/>
      <c r="E123249"/>
      <c r="F123249"/>
    </row>
    <row r="123250" spans="1:6" x14ac:dyDescent="0.25">
      <c r="A123250"/>
      <c r="B123250"/>
      <c r="C123250"/>
      <c r="E123250"/>
      <c r="F123250"/>
    </row>
    <row r="123251" spans="1:6" x14ac:dyDescent="0.25">
      <c r="A123251"/>
      <c r="B123251"/>
      <c r="C123251"/>
      <c r="E123251"/>
      <c r="F123251"/>
    </row>
    <row r="123252" spans="1:6" x14ac:dyDescent="0.25">
      <c r="A123252"/>
      <c r="B123252"/>
      <c r="C123252"/>
      <c r="E123252"/>
      <c r="F123252"/>
    </row>
    <row r="123253" spans="1:6" x14ac:dyDescent="0.25">
      <c r="A123253"/>
      <c r="B123253"/>
      <c r="C123253"/>
      <c r="E123253"/>
      <c r="F123253"/>
    </row>
    <row r="123254" spans="1:6" x14ac:dyDescent="0.25">
      <c r="A123254"/>
      <c r="B123254"/>
      <c r="C123254"/>
      <c r="E123254"/>
      <c r="F123254"/>
    </row>
    <row r="123255" spans="1:6" x14ac:dyDescent="0.25">
      <c r="A123255"/>
      <c r="B123255"/>
      <c r="C123255"/>
      <c r="E123255"/>
      <c r="F123255"/>
    </row>
    <row r="123256" spans="1:6" x14ac:dyDescent="0.25">
      <c r="A123256"/>
      <c r="B123256"/>
      <c r="C123256"/>
      <c r="E123256"/>
      <c r="F123256"/>
    </row>
    <row r="123257" spans="1:6" x14ac:dyDescent="0.25">
      <c r="A123257"/>
      <c r="B123257"/>
      <c r="C123257"/>
      <c r="E123257"/>
      <c r="F123257"/>
    </row>
    <row r="123258" spans="1:6" x14ac:dyDescent="0.25">
      <c r="A123258"/>
      <c r="B123258"/>
      <c r="C123258"/>
      <c r="E123258"/>
      <c r="F123258"/>
    </row>
    <row r="123259" spans="1:6" x14ac:dyDescent="0.25">
      <c r="A123259"/>
      <c r="B123259"/>
      <c r="C123259"/>
      <c r="E123259"/>
      <c r="F123259"/>
    </row>
    <row r="123260" spans="1:6" x14ac:dyDescent="0.25">
      <c r="A123260"/>
      <c r="B123260"/>
      <c r="C123260"/>
      <c r="E123260"/>
      <c r="F123260"/>
    </row>
    <row r="123261" spans="1:6" x14ac:dyDescent="0.25">
      <c r="A123261"/>
      <c r="B123261"/>
      <c r="C123261"/>
      <c r="E123261"/>
      <c r="F123261"/>
    </row>
    <row r="123262" spans="1:6" x14ac:dyDescent="0.25">
      <c r="A123262"/>
      <c r="B123262"/>
      <c r="C123262"/>
      <c r="E123262"/>
      <c r="F123262"/>
    </row>
    <row r="123263" spans="1:6" x14ac:dyDescent="0.25">
      <c r="A123263"/>
      <c r="B123263"/>
      <c r="C123263"/>
      <c r="E123263"/>
      <c r="F123263"/>
    </row>
    <row r="123264" spans="1:6" x14ac:dyDescent="0.25">
      <c r="A123264"/>
      <c r="B123264"/>
      <c r="C123264"/>
      <c r="E123264"/>
      <c r="F123264"/>
    </row>
    <row r="123265" spans="1:6" x14ac:dyDescent="0.25">
      <c r="A123265"/>
      <c r="B123265"/>
      <c r="C123265"/>
      <c r="E123265"/>
      <c r="F123265"/>
    </row>
    <row r="123266" spans="1:6" x14ac:dyDescent="0.25">
      <c r="A123266"/>
      <c r="B123266"/>
      <c r="C123266"/>
      <c r="E123266"/>
      <c r="F123266"/>
    </row>
    <row r="123267" spans="1:6" x14ac:dyDescent="0.25">
      <c r="A123267"/>
      <c r="B123267"/>
      <c r="C123267"/>
      <c r="E123267"/>
      <c r="F123267"/>
    </row>
    <row r="123268" spans="1:6" x14ac:dyDescent="0.25">
      <c r="A123268"/>
      <c r="B123268"/>
      <c r="C123268"/>
      <c r="E123268"/>
      <c r="F123268"/>
    </row>
    <row r="123269" spans="1:6" x14ac:dyDescent="0.25">
      <c r="A123269"/>
      <c r="B123269"/>
      <c r="C123269"/>
      <c r="E123269"/>
      <c r="F123269"/>
    </row>
    <row r="123270" spans="1:6" x14ac:dyDescent="0.25">
      <c r="A123270"/>
      <c r="B123270"/>
      <c r="C123270"/>
      <c r="E123270"/>
      <c r="F123270"/>
    </row>
    <row r="123271" spans="1:6" x14ac:dyDescent="0.25">
      <c r="A123271"/>
      <c r="B123271"/>
      <c r="C123271"/>
      <c r="E123271"/>
      <c r="F123271"/>
    </row>
    <row r="123272" spans="1:6" x14ac:dyDescent="0.25">
      <c r="A123272"/>
      <c r="B123272"/>
      <c r="C123272"/>
      <c r="E123272"/>
      <c r="F123272"/>
    </row>
    <row r="123273" spans="1:6" x14ac:dyDescent="0.25">
      <c r="A123273"/>
      <c r="B123273"/>
      <c r="C123273"/>
      <c r="E123273"/>
      <c r="F123273"/>
    </row>
    <row r="123274" spans="1:6" x14ac:dyDescent="0.25">
      <c r="A123274"/>
      <c r="B123274"/>
      <c r="C123274"/>
      <c r="E123274"/>
      <c r="F123274"/>
    </row>
    <row r="123275" spans="1:6" x14ac:dyDescent="0.25">
      <c r="A123275"/>
      <c r="B123275"/>
      <c r="C123275"/>
      <c r="E123275"/>
      <c r="F123275"/>
    </row>
    <row r="123276" spans="1:6" x14ac:dyDescent="0.25">
      <c r="A123276"/>
      <c r="B123276"/>
      <c r="C123276"/>
      <c r="E123276"/>
      <c r="F123276"/>
    </row>
    <row r="123277" spans="1:6" x14ac:dyDescent="0.25">
      <c r="A123277"/>
      <c r="B123277"/>
      <c r="C123277"/>
      <c r="E123277"/>
      <c r="F123277"/>
    </row>
    <row r="123278" spans="1:6" x14ac:dyDescent="0.25">
      <c r="A123278"/>
      <c r="B123278"/>
      <c r="C123278"/>
      <c r="E123278"/>
      <c r="F123278"/>
    </row>
    <row r="123279" spans="1:6" x14ac:dyDescent="0.25">
      <c r="A123279"/>
      <c r="B123279"/>
      <c r="C123279"/>
      <c r="E123279"/>
      <c r="F123279"/>
    </row>
    <row r="123280" spans="1:6" x14ac:dyDescent="0.25">
      <c r="A123280"/>
      <c r="B123280"/>
      <c r="C123280"/>
      <c r="E123280"/>
      <c r="F123280"/>
    </row>
    <row r="123281" spans="1:6" x14ac:dyDescent="0.25">
      <c r="A123281"/>
      <c r="B123281"/>
      <c r="C123281"/>
      <c r="E123281"/>
      <c r="F123281"/>
    </row>
    <row r="123282" spans="1:6" x14ac:dyDescent="0.25">
      <c r="A123282"/>
      <c r="B123282"/>
      <c r="C123282"/>
      <c r="E123282"/>
      <c r="F123282"/>
    </row>
    <row r="123283" spans="1:6" x14ac:dyDescent="0.25">
      <c r="A123283"/>
      <c r="B123283"/>
      <c r="C123283"/>
      <c r="E123283"/>
      <c r="F123283"/>
    </row>
    <row r="123284" spans="1:6" x14ac:dyDescent="0.25">
      <c r="A123284"/>
      <c r="B123284"/>
      <c r="C123284"/>
      <c r="E123284"/>
      <c r="F123284"/>
    </row>
    <row r="123285" spans="1:6" x14ac:dyDescent="0.25">
      <c r="A123285"/>
      <c r="B123285"/>
      <c r="C123285"/>
      <c r="E123285"/>
      <c r="F123285"/>
    </row>
    <row r="123286" spans="1:6" x14ac:dyDescent="0.25">
      <c r="A123286"/>
      <c r="B123286"/>
      <c r="C123286"/>
      <c r="E123286"/>
      <c r="F123286"/>
    </row>
    <row r="123287" spans="1:6" x14ac:dyDescent="0.25">
      <c r="A123287"/>
      <c r="B123287"/>
      <c r="C123287"/>
      <c r="E123287"/>
      <c r="F123287"/>
    </row>
    <row r="123288" spans="1:6" x14ac:dyDescent="0.25">
      <c r="A123288"/>
      <c r="B123288"/>
      <c r="C123288"/>
      <c r="E123288"/>
      <c r="F123288"/>
    </row>
    <row r="123289" spans="1:6" x14ac:dyDescent="0.25">
      <c r="A123289"/>
      <c r="B123289"/>
      <c r="C123289"/>
      <c r="E123289"/>
      <c r="F123289"/>
    </row>
    <row r="123290" spans="1:6" x14ac:dyDescent="0.25">
      <c r="A123290"/>
      <c r="B123290"/>
      <c r="C123290"/>
      <c r="E123290"/>
      <c r="F123290"/>
    </row>
    <row r="123291" spans="1:6" x14ac:dyDescent="0.25">
      <c r="A123291"/>
      <c r="B123291"/>
      <c r="C123291"/>
      <c r="E123291"/>
      <c r="F123291"/>
    </row>
    <row r="123292" spans="1:6" x14ac:dyDescent="0.25">
      <c r="A123292"/>
      <c r="B123292"/>
      <c r="C123292"/>
      <c r="E123292"/>
      <c r="F123292"/>
    </row>
    <row r="123293" spans="1:6" x14ac:dyDescent="0.25">
      <c r="A123293"/>
      <c r="B123293"/>
      <c r="C123293"/>
      <c r="E123293"/>
      <c r="F123293"/>
    </row>
    <row r="123294" spans="1:6" x14ac:dyDescent="0.25">
      <c r="A123294"/>
      <c r="B123294"/>
      <c r="C123294"/>
      <c r="E123294"/>
      <c r="F123294"/>
    </row>
    <row r="123295" spans="1:6" x14ac:dyDescent="0.25">
      <c r="A123295"/>
      <c r="B123295"/>
      <c r="C123295"/>
      <c r="E123295"/>
      <c r="F123295"/>
    </row>
    <row r="123296" spans="1:6" x14ac:dyDescent="0.25">
      <c r="A123296"/>
      <c r="B123296"/>
      <c r="C123296"/>
      <c r="E123296"/>
      <c r="F123296"/>
    </row>
    <row r="123297" spans="1:6" x14ac:dyDescent="0.25">
      <c r="A123297"/>
      <c r="B123297"/>
      <c r="C123297"/>
      <c r="E123297"/>
      <c r="F123297"/>
    </row>
    <row r="123298" spans="1:6" x14ac:dyDescent="0.25">
      <c r="A123298"/>
      <c r="B123298"/>
      <c r="C123298"/>
      <c r="E123298"/>
      <c r="F123298"/>
    </row>
    <row r="123299" spans="1:6" x14ac:dyDescent="0.25">
      <c r="A123299"/>
      <c r="B123299"/>
      <c r="C123299"/>
      <c r="E123299"/>
      <c r="F123299"/>
    </row>
    <row r="123300" spans="1:6" x14ac:dyDescent="0.25">
      <c r="A123300"/>
      <c r="B123300"/>
      <c r="C123300"/>
      <c r="E123300"/>
      <c r="F123300"/>
    </row>
    <row r="123301" spans="1:6" x14ac:dyDescent="0.25">
      <c r="A123301"/>
      <c r="B123301"/>
      <c r="C123301"/>
      <c r="E123301"/>
      <c r="F123301"/>
    </row>
    <row r="123302" spans="1:6" x14ac:dyDescent="0.25">
      <c r="A123302"/>
      <c r="B123302"/>
      <c r="C123302"/>
      <c r="E123302"/>
      <c r="F123302"/>
    </row>
    <row r="123303" spans="1:6" x14ac:dyDescent="0.25">
      <c r="A123303"/>
      <c r="B123303"/>
      <c r="C123303"/>
      <c r="E123303"/>
      <c r="F123303"/>
    </row>
    <row r="123304" spans="1:6" x14ac:dyDescent="0.25">
      <c r="A123304"/>
      <c r="B123304"/>
      <c r="C123304"/>
      <c r="E123304"/>
      <c r="F123304"/>
    </row>
    <row r="123305" spans="1:6" x14ac:dyDescent="0.25">
      <c r="A123305"/>
      <c r="B123305"/>
      <c r="C123305"/>
      <c r="E123305"/>
      <c r="F123305"/>
    </row>
    <row r="123306" spans="1:6" x14ac:dyDescent="0.25">
      <c r="A123306"/>
      <c r="B123306"/>
      <c r="C123306"/>
      <c r="E123306"/>
      <c r="F123306"/>
    </row>
    <row r="123307" spans="1:6" x14ac:dyDescent="0.25">
      <c r="A123307"/>
      <c r="B123307"/>
      <c r="C123307"/>
      <c r="E123307"/>
      <c r="F123307"/>
    </row>
    <row r="123308" spans="1:6" x14ac:dyDescent="0.25">
      <c r="A123308"/>
      <c r="B123308"/>
      <c r="C123308"/>
      <c r="E123308"/>
      <c r="F123308"/>
    </row>
    <row r="123309" spans="1:6" x14ac:dyDescent="0.25">
      <c r="A123309"/>
      <c r="B123309"/>
      <c r="C123309"/>
      <c r="E123309"/>
      <c r="F123309"/>
    </row>
    <row r="123310" spans="1:6" x14ac:dyDescent="0.25">
      <c r="A123310"/>
      <c r="B123310"/>
      <c r="C123310"/>
      <c r="E123310"/>
      <c r="F123310"/>
    </row>
    <row r="123311" spans="1:6" x14ac:dyDescent="0.25">
      <c r="A123311"/>
      <c r="B123311"/>
      <c r="C123311"/>
      <c r="E123311"/>
      <c r="F123311"/>
    </row>
    <row r="123312" spans="1:6" x14ac:dyDescent="0.25">
      <c r="A123312"/>
      <c r="B123312"/>
      <c r="C123312"/>
      <c r="E123312"/>
      <c r="F123312"/>
    </row>
    <row r="123313" spans="1:6" x14ac:dyDescent="0.25">
      <c r="A123313"/>
      <c r="B123313"/>
      <c r="C123313"/>
      <c r="E123313"/>
      <c r="F123313"/>
    </row>
    <row r="123314" spans="1:6" x14ac:dyDescent="0.25">
      <c r="A123314"/>
      <c r="B123314"/>
      <c r="C123314"/>
      <c r="E123314"/>
      <c r="F123314"/>
    </row>
    <row r="123315" spans="1:6" x14ac:dyDescent="0.25">
      <c r="A123315"/>
      <c r="B123315"/>
      <c r="C123315"/>
      <c r="E123315"/>
      <c r="F123315"/>
    </row>
    <row r="123316" spans="1:6" x14ac:dyDescent="0.25">
      <c r="A123316"/>
      <c r="B123316"/>
      <c r="C123316"/>
      <c r="E123316"/>
      <c r="F123316"/>
    </row>
    <row r="123317" spans="1:6" x14ac:dyDescent="0.25">
      <c r="A123317"/>
      <c r="B123317"/>
      <c r="C123317"/>
      <c r="E123317"/>
      <c r="F123317"/>
    </row>
    <row r="123318" spans="1:6" x14ac:dyDescent="0.25">
      <c r="A123318"/>
      <c r="B123318"/>
      <c r="C123318"/>
      <c r="E123318"/>
      <c r="F123318"/>
    </row>
    <row r="123319" spans="1:6" x14ac:dyDescent="0.25">
      <c r="A123319"/>
      <c r="B123319"/>
      <c r="C123319"/>
      <c r="E123319"/>
      <c r="F123319"/>
    </row>
    <row r="123320" spans="1:6" x14ac:dyDescent="0.25">
      <c r="A123320"/>
      <c r="B123320"/>
      <c r="C123320"/>
      <c r="E123320"/>
      <c r="F123320"/>
    </row>
    <row r="123321" spans="1:6" x14ac:dyDescent="0.25">
      <c r="A123321"/>
      <c r="B123321"/>
      <c r="C123321"/>
      <c r="E123321"/>
      <c r="F123321"/>
    </row>
    <row r="123322" spans="1:6" x14ac:dyDescent="0.25">
      <c r="A123322"/>
      <c r="B123322"/>
      <c r="C123322"/>
      <c r="E123322"/>
      <c r="F123322"/>
    </row>
    <row r="123323" spans="1:6" x14ac:dyDescent="0.25">
      <c r="A123323"/>
      <c r="B123323"/>
      <c r="C123323"/>
      <c r="E123323"/>
      <c r="F123323"/>
    </row>
    <row r="123324" spans="1:6" x14ac:dyDescent="0.25">
      <c r="A123324"/>
      <c r="B123324"/>
      <c r="C123324"/>
      <c r="E123324"/>
      <c r="F123324"/>
    </row>
    <row r="123325" spans="1:6" x14ac:dyDescent="0.25">
      <c r="A123325"/>
      <c r="B123325"/>
      <c r="C123325"/>
      <c r="E123325"/>
      <c r="F123325"/>
    </row>
    <row r="123326" spans="1:6" x14ac:dyDescent="0.25">
      <c r="A123326"/>
      <c r="B123326"/>
      <c r="C123326"/>
      <c r="E123326"/>
      <c r="F123326"/>
    </row>
    <row r="123327" spans="1:6" x14ac:dyDescent="0.25">
      <c r="A123327"/>
      <c r="B123327"/>
      <c r="C123327"/>
      <c r="E123327"/>
      <c r="F123327"/>
    </row>
    <row r="123328" spans="1:6" x14ac:dyDescent="0.25">
      <c r="A123328"/>
      <c r="B123328"/>
      <c r="C123328"/>
      <c r="E123328"/>
      <c r="F123328"/>
    </row>
    <row r="123329" spans="1:6" x14ac:dyDescent="0.25">
      <c r="A123329"/>
      <c r="B123329"/>
      <c r="C123329"/>
      <c r="E123329"/>
      <c r="F123329"/>
    </row>
    <row r="123330" spans="1:6" x14ac:dyDescent="0.25">
      <c r="A123330"/>
      <c r="B123330"/>
      <c r="C123330"/>
      <c r="E123330"/>
      <c r="F123330"/>
    </row>
    <row r="123331" spans="1:6" x14ac:dyDescent="0.25">
      <c r="A123331"/>
      <c r="B123331"/>
      <c r="C123331"/>
      <c r="E123331"/>
      <c r="F123331"/>
    </row>
    <row r="123332" spans="1:6" x14ac:dyDescent="0.25">
      <c r="A123332"/>
      <c r="B123332"/>
      <c r="C123332"/>
      <c r="E123332"/>
      <c r="F123332"/>
    </row>
    <row r="123333" spans="1:6" x14ac:dyDescent="0.25">
      <c r="A123333"/>
      <c r="B123333"/>
      <c r="C123333"/>
      <c r="E123333"/>
      <c r="F123333"/>
    </row>
    <row r="123334" spans="1:6" x14ac:dyDescent="0.25">
      <c r="A123334"/>
      <c r="B123334"/>
      <c r="C123334"/>
      <c r="E123334"/>
      <c r="F123334"/>
    </row>
    <row r="123335" spans="1:6" x14ac:dyDescent="0.25">
      <c r="A123335"/>
      <c r="B123335"/>
      <c r="C123335"/>
      <c r="E123335"/>
      <c r="F123335"/>
    </row>
    <row r="123336" spans="1:6" x14ac:dyDescent="0.25">
      <c r="A123336"/>
      <c r="B123336"/>
      <c r="C123336"/>
      <c r="E123336"/>
      <c r="F123336"/>
    </row>
    <row r="123337" spans="1:6" x14ac:dyDescent="0.25">
      <c r="A123337"/>
      <c r="B123337"/>
      <c r="C123337"/>
      <c r="E123337"/>
      <c r="F123337"/>
    </row>
    <row r="123338" spans="1:6" x14ac:dyDescent="0.25">
      <c r="A123338"/>
      <c r="B123338"/>
      <c r="C123338"/>
      <c r="E123338"/>
      <c r="F123338"/>
    </row>
    <row r="123339" spans="1:6" x14ac:dyDescent="0.25">
      <c r="A123339"/>
      <c r="B123339"/>
      <c r="C123339"/>
      <c r="E123339"/>
      <c r="F123339"/>
    </row>
    <row r="123340" spans="1:6" x14ac:dyDescent="0.25">
      <c r="A123340"/>
      <c r="B123340"/>
      <c r="C123340"/>
      <c r="E123340"/>
      <c r="F123340"/>
    </row>
    <row r="123341" spans="1:6" x14ac:dyDescent="0.25">
      <c r="A123341"/>
      <c r="B123341"/>
      <c r="C123341"/>
      <c r="E123341"/>
      <c r="F123341"/>
    </row>
    <row r="123342" spans="1:6" x14ac:dyDescent="0.25">
      <c r="A123342"/>
      <c r="B123342"/>
      <c r="C123342"/>
      <c r="E123342"/>
      <c r="F123342"/>
    </row>
    <row r="123343" spans="1:6" x14ac:dyDescent="0.25">
      <c r="A123343"/>
      <c r="B123343"/>
      <c r="C123343"/>
      <c r="E123343"/>
      <c r="F123343"/>
    </row>
    <row r="123344" spans="1:6" x14ac:dyDescent="0.25">
      <c r="A123344"/>
      <c r="B123344"/>
      <c r="C123344"/>
      <c r="E123344"/>
      <c r="F123344"/>
    </row>
    <row r="123345" spans="1:6" x14ac:dyDescent="0.25">
      <c r="A123345"/>
      <c r="B123345"/>
      <c r="C123345"/>
      <c r="E123345"/>
      <c r="F123345"/>
    </row>
    <row r="123346" spans="1:6" x14ac:dyDescent="0.25">
      <c r="A123346"/>
      <c r="B123346"/>
      <c r="C123346"/>
      <c r="E123346"/>
      <c r="F123346"/>
    </row>
    <row r="123347" spans="1:6" x14ac:dyDescent="0.25">
      <c r="A123347"/>
      <c r="B123347"/>
      <c r="C123347"/>
      <c r="E123347"/>
      <c r="F123347"/>
    </row>
    <row r="123348" spans="1:6" x14ac:dyDescent="0.25">
      <c r="A123348"/>
      <c r="B123348"/>
      <c r="C123348"/>
      <c r="E123348"/>
      <c r="F123348"/>
    </row>
    <row r="123349" spans="1:6" x14ac:dyDescent="0.25">
      <c r="A123349"/>
      <c r="B123349"/>
      <c r="C123349"/>
      <c r="E123349"/>
      <c r="F123349"/>
    </row>
    <row r="123350" spans="1:6" x14ac:dyDescent="0.25">
      <c r="A123350"/>
      <c r="B123350"/>
      <c r="C123350"/>
      <c r="E123350"/>
      <c r="F123350"/>
    </row>
    <row r="123351" spans="1:6" x14ac:dyDescent="0.25">
      <c r="A123351"/>
      <c r="B123351"/>
      <c r="C123351"/>
      <c r="E123351"/>
      <c r="F123351"/>
    </row>
    <row r="123352" spans="1:6" x14ac:dyDescent="0.25">
      <c r="A123352"/>
      <c r="B123352"/>
      <c r="C123352"/>
      <c r="E123352"/>
      <c r="F123352"/>
    </row>
    <row r="123353" spans="1:6" x14ac:dyDescent="0.25">
      <c r="A123353"/>
      <c r="B123353"/>
      <c r="C123353"/>
      <c r="E123353"/>
      <c r="F123353"/>
    </row>
    <row r="123354" spans="1:6" x14ac:dyDescent="0.25">
      <c r="A123354"/>
      <c r="B123354"/>
      <c r="C123354"/>
      <c r="E123354"/>
      <c r="F123354"/>
    </row>
    <row r="123355" spans="1:6" x14ac:dyDescent="0.25">
      <c r="A123355"/>
      <c r="B123355"/>
      <c r="C123355"/>
      <c r="E123355"/>
      <c r="F123355"/>
    </row>
    <row r="123356" spans="1:6" x14ac:dyDescent="0.25">
      <c r="A123356"/>
      <c r="B123356"/>
      <c r="C123356"/>
      <c r="E123356"/>
      <c r="F123356"/>
    </row>
    <row r="123357" spans="1:6" x14ac:dyDescent="0.25">
      <c r="A123357"/>
      <c r="B123357"/>
      <c r="C123357"/>
      <c r="E123357"/>
      <c r="F123357"/>
    </row>
    <row r="123358" spans="1:6" x14ac:dyDescent="0.25">
      <c r="A123358"/>
      <c r="B123358"/>
      <c r="C123358"/>
      <c r="E123358"/>
      <c r="F123358"/>
    </row>
    <row r="123359" spans="1:6" x14ac:dyDescent="0.25">
      <c r="A123359"/>
      <c r="B123359"/>
      <c r="C123359"/>
      <c r="E123359"/>
      <c r="F123359"/>
    </row>
    <row r="123360" spans="1:6" x14ac:dyDescent="0.25">
      <c r="A123360"/>
      <c r="B123360"/>
      <c r="C123360"/>
      <c r="E123360"/>
      <c r="F123360"/>
    </row>
    <row r="123361" spans="1:6" x14ac:dyDescent="0.25">
      <c r="A123361"/>
      <c r="B123361"/>
      <c r="C123361"/>
      <c r="E123361"/>
      <c r="F123361"/>
    </row>
    <row r="123362" spans="1:6" x14ac:dyDescent="0.25">
      <c r="A123362"/>
      <c r="B123362"/>
      <c r="C123362"/>
      <c r="E123362"/>
      <c r="F123362"/>
    </row>
    <row r="123363" spans="1:6" x14ac:dyDescent="0.25">
      <c r="A123363"/>
      <c r="B123363"/>
      <c r="C123363"/>
      <c r="E123363"/>
      <c r="F123363"/>
    </row>
    <row r="123364" spans="1:6" x14ac:dyDescent="0.25">
      <c r="A123364"/>
      <c r="B123364"/>
      <c r="C123364"/>
      <c r="E123364"/>
      <c r="F123364"/>
    </row>
    <row r="123365" spans="1:6" x14ac:dyDescent="0.25">
      <c r="A123365"/>
      <c r="B123365"/>
      <c r="C123365"/>
      <c r="E123365"/>
      <c r="F123365"/>
    </row>
    <row r="123366" spans="1:6" x14ac:dyDescent="0.25">
      <c r="A123366"/>
      <c r="B123366"/>
      <c r="C123366"/>
      <c r="E123366"/>
      <c r="F123366"/>
    </row>
    <row r="123367" spans="1:6" x14ac:dyDescent="0.25">
      <c r="A123367"/>
      <c r="B123367"/>
      <c r="C123367"/>
      <c r="E123367"/>
      <c r="F123367"/>
    </row>
    <row r="123368" spans="1:6" x14ac:dyDescent="0.25">
      <c r="A123368"/>
      <c r="B123368"/>
      <c r="C123368"/>
      <c r="E123368"/>
      <c r="F123368"/>
    </row>
    <row r="123369" spans="1:6" x14ac:dyDescent="0.25">
      <c r="A123369"/>
      <c r="B123369"/>
      <c r="C123369"/>
      <c r="E123369"/>
      <c r="F123369"/>
    </row>
    <row r="123370" spans="1:6" x14ac:dyDescent="0.25">
      <c r="A123370"/>
      <c r="B123370"/>
      <c r="C123370"/>
      <c r="E123370"/>
      <c r="F123370"/>
    </row>
    <row r="123371" spans="1:6" x14ac:dyDescent="0.25">
      <c r="A123371"/>
      <c r="B123371"/>
      <c r="C123371"/>
      <c r="E123371"/>
      <c r="F123371"/>
    </row>
    <row r="123372" spans="1:6" x14ac:dyDescent="0.25">
      <c r="A123372"/>
      <c r="B123372"/>
      <c r="C123372"/>
      <c r="E123372"/>
      <c r="F123372"/>
    </row>
    <row r="123373" spans="1:6" x14ac:dyDescent="0.25">
      <c r="A123373"/>
      <c r="B123373"/>
      <c r="C123373"/>
      <c r="E123373"/>
      <c r="F123373"/>
    </row>
    <row r="123374" spans="1:6" x14ac:dyDescent="0.25">
      <c r="A123374"/>
      <c r="B123374"/>
      <c r="C123374"/>
      <c r="E123374"/>
      <c r="F123374"/>
    </row>
    <row r="123375" spans="1:6" x14ac:dyDescent="0.25">
      <c r="A123375"/>
      <c r="B123375"/>
      <c r="C123375"/>
      <c r="E123375"/>
      <c r="F123375"/>
    </row>
    <row r="123376" spans="1:6" x14ac:dyDescent="0.25">
      <c r="A123376"/>
      <c r="B123376"/>
      <c r="C123376"/>
      <c r="E123376"/>
      <c r="F123376"/>
    </row>
    <row r="123377" spans="1:6" x14ac:dyDescent="0.25">
      <c r="A123377"/>
      <c r="B123377"/>
      <c r="C123377"/>
      <c r="E123377"/>
      <c r="F123377"/>
    </row>
    <row r="123378" spans="1:6" x14ac:dyDescent="0.25">
      <c r="A123378"/>
      <c r="B123378"/>
      <c r="C123378"/>
      <c r="E123378"/>
      <c r="F123378"/>
    </row>
    <row r="123379" spans="1:6" x14ac:dyDescent="0.25">
      <c r="A123379"/>
      <c r="B123379"/>
      <c r="C123379"/>
      <c r="E123379"/>
      <c r="F123379"/>
    </row>
    <row r="123380" spans="1:6" x14ac:dyDescent="0.25">
      <c r="A123380"/>
      <c r="B123380"/>
      <c r="C123380"/>
      <c r="E123380"/>
      <c r="F123380"/>
    </row>
    <row r="123381" spans="1:6" x14ac:dyDescent="0.25">
      <c r="A123381"/>
      <c r="B123381"/>
      <c r="C123381"/>
      <c r="E123381"/>
      <c r="F123381"/>
    </row>
    <row r="123382" spans="1:6" x14ac:dyDescent="0.25">
      <c r="A123382"/>
      <c r="B123382"/>
      <c r="C123382"/>
      <c r="E123382"/>
      <c r="F123382"/>
    </row>
    <row r="123383" spans="1:6" x14ac:dyDescent="0.25">
      <c r="A123383"/>
      <c r="B123383"/>
      <c r="C123383"/>
      <c r="E123383"/>
      <c r="F123383"/>
    </row>
    <row r="123384" spans="1:6" x14ac:dyDescent="0.25">
      <c r="A123384"/>
      <c r="B123384"/>
      <c r="C123384"/>
      <c r="E123384"/>
      <c r="F123384"/>
    </row>
    <row r="123385" spans="1:6" x14ac:dyDescent="0.25">
      <c r="A123385"/>
      <c r="B123385"/>
      <c r="C123385"/>
      <c r="E123385"/>
      <c r="F123385"/>
    </row>
    <row r="123386" spans="1:6" x14ac:dyDescent="0.25">
      <c r="A123386"/>
      <c r="B123386"/>
      <c r="C123386"/>
      <c r="E123386"/>
      <c r="F123386"/>
    </row>
    <row r="123387" spans="1:6" x14ac:dyDescent="0.25">
      <c r="A123387"/>
      <c r="B123387"/>
      <c r="C123387"/>
      <c r="E123387"/>
      <c r="F123387"/>
    </row>
    <row r="123388" spans="1:6" x14ac:dyDescent="0.25">
      <c r="A123388"/>
      <c r="B123388"/>
      <c r="C123388"/>
      <c r="E123388"/>
      <c r="F123388"/>
    </row>
    <row r="123389" spans="1:6" x14ac:dyDescent="0.25">
      <c r="A123389"/>
      <c r="B123389"/>
      <c r="C123389"/>
      <c r="E123389"/>
      <c r="F123389"/>
    </row>
    <row r="123390" spans="1:6" x14ac:dyDescent="0.25">
      <c r="A123390"/>
      <c r="B123390"/>
      <c r="C123390"/>
      <c r="E123390"/>
      <c r="F123390"/>
    </row>
    <row r="123391" spans="1:6" x14ac:dyDescent="0.25">
      <c r="A123391"/>
      <c r="B123391"/>
      <c r="C123391"/>
      <c r="E123391"/>
      <c r="F123391"/>
    </row>
    <row r="123392" spans="1:6" x14ac:dyDescent="0.25">
      <c r="A123392"/>
      <c r="B123392"/>
      <c r="C123392"/>
      <c r="E123392"/>
      <c r="F123392"/>
    </row>
    <row r="123393" spans="1:6" x14ac:dyDescent="0.25">
      <c r="A123393"/>
      <c r="B123393"/>
      <c r="C123393"/>
      <c r="E123393"/>
      <c r="F123393"/>
    </row>
    <row r="123394" spans="1:6" x14ac:dyDescent="0.25">
      <c r="A123394"/>
      <c r="B123394"/>
      <c r="C123394"/>
      <c r="E123394"/>
      <c r="F123394"/>
    </row>
    <row r="123395" spans="1:6" x14ac:dyDescent="0.25">
      <c r="A123395"/>
      <c r="B123395"/>
      <c r="C123395"/>
      <c r="E123395"/>
      <c r="F123395"/>
    </row>
    <row r="123396" spans="1:6" x14ac:dyDescent="0.25">
      <c r="A123396"/>
      <c r="B123396"/>
      <c r="C123396"/>
      <c r="E123396"/>
      <c r="F123396"/>
    </row>
    <row r="123397" spans="1:6" x14ac:dyDescent="0.25">
      <c r="A123397"/>
      <c r="B123397"/>
      <c r="C123397"/>
      <c r="E123397"/>
      <c r="F123397"/>
    </row>
    <row r="123398" spans="1:6" x14ac:dyDescent="0.25">
      <c r="A123398"/>
      <c r="B123398"/>
      <c r="C123398"/>
      <c r="E123398"/>
      <c r="F123398"/>
    </row>
    <row r="123399" spans="1:6" x14ac:dyDescent="0.25">
      <c r="A123399"/>
      <c r="B123399"/>
      <c r="C123399"/>
      <c r="E123399"/>
      <c r="F123399"/>
    </row>
    <row r="123400" spans="1:6" x14ac:dyDescent="0.25">
      <c r="A123400"/>
      <c r="B123400"/>
      <c r="C123400"/>
      <c r="E123400"/>
      <c r="F123400"/>
    </row>
    <row r="123401" spans="1:6" x14ac:dyDescent="0.25">
      <c r="A123401"/>
      <c r="B123401"/>
      <c r="C123401"/>
      <c r="E123401"/>
      <c r="F123401"/>
    </row>
    <row r="123402" spans="1:6" x14ac:dyDescent="0.25">
      <c r="A123402"/>
      <c r="B123402"/>
      <c r="C123402"/>
      <c r="E123402"/>
      <c r="F123402"/>
    </row>
    <row r="123403" spans="1:6" x14ac:dyDescent="0.25">
      <c r="A123403"/>
      <c r="B123403"/>
      <c r="C123403"/>
      <c r="E123403"/>
      <c r="F123403"/>
    </row>
    <row r="123404" spans="1:6" x14ac:dyDescent="0.25">
      <c r="A123404"/>
      <c r="B123404"/>
      <c r="C123404"/>
      <c r="E123404"/>
      <c r="F123404"/>
    </row>
    <row r="123405" spans="1:6" x14ac:dyDescent="0.25">
      <c r="A123405"/>
      <c r="B123405"/>
      <c r="C123405"/>
      <c r="E123405"/>
      <c r="F123405"/>
    </row>
    <row r="123406" spans="1:6" x14ac:dyDescent="0.25">
      <c r="A123406"/>
      <c r="B123406"/>
      <c r="C123406"/>
      <c r="E123406"/>
      <c r="F123406"/>
    </row>
    <row r="123407" spans="1:6" x14ac:dyDescent="0.25">
      <c r="A123407"/>
      <c r="B123407"/>
      <c r="C123407"/>
      <c r="E123407"/>
      <c r="F123407"/>
    </row>
    <row r="123408" spans="1:6" x14ac:dyDescent="0.25">
      <c r="A123408"/>
      <c r="B123408"/>
      <c r="C123408"/>
      <c r="E123408"/>
      <c r="F123408"/>
    </row>
    <row r="123409" spans="1:6" x14ac:dyDescent="0.25">
      <c r="A123409"/>
      <c r="B123409"/>
      <c r="C123409"/>
      <c r="E123409"/>
      <c r="F123409"/>
    </row>
    <row r="123410" spans="1:6" x14ac:dyDescent="0.25">
      <c r="A123410"/>
      <c r="B123410"/>
      <c r="C123410"/>
      <c r="E123410"/>
      <c r="F123410"/>
    </row>
    <row r="123411" spans="1:6" x14ac:dyDescent="0.25">
      <c r="A123411"/>
      <c r="B123411"/>
      <c r="C123411"/>
      <c r="E123411"/>
      <c r="F123411"/>
    </row>
    <row r="123412" spans="1:6" x14ac:dyDescent="0.25">
      <c r="A123412"/>
      <c r="B123412"/>
      <c r="C123412"/>
      <c r="E123412"/>
      <c r="F123412"/>
    </row>
    <row r="123413" spans="1:6" x14ac:dyDescent="0.25">
      <c r="A123413"/>
      <c r="B123413"/>
      <c r="C123413"/>
      <c r="E123413"/>
      <c r="F123413"/>
    </row>
    <row r="123414" spans="1:6" x14ac:dyDescent="0.25">
      <c r="A123414"/>
      <c r="B123414"/>
      <c r="C123414"/>
      <c r="E123414"/>
      <c r="F123414"/>
    </row>
    <row r="123415" spans="1:6" x14ac:dyDescent="0.25">
      <c r="A123415"/>
      <c r="B123415"/>
      <c r="C123415"/>
      <c r="E123415"/>
      <c r="F123415"/>
    </row>
    <row r="123416" spans="1:6" x14ac:dyDescent="0.25">
      <c r="A123416"/>
      <c r="B123416"/>
      <c r="C123416"/>
      <c r="E123416"/>
      <c r="F123416"/>
    </row>
    <row r="123417" spans="1:6" x14ac:dyDescent="0.25">
      <c r="A123417"/>
      <c r="B123417"/>
      <c r="C123417"/>
      <c r="E123417"/>
      <c r="F123417"/>
    </row>
    <row r="123418" spans="1:6" x14ac:dyDescent="0.25">
      <c r="A123418"/>
      <c r="B123418"/>
      <c r="C123418"/>
      <c r="E123418"/>
      <c r="F123418"/>
    </row>
    <row r="123419" spans="1:6" x14ac:dyDescent="0.25">
      <c r="A123419"/>
      <c r="B123419"/>
      <c r="C123419"/>
      <c r="E123419"/>
      <c r="F123419"/>
    </row>
    <row r="123420" spans="1:6" x14ac:dyDescent="0.25">
      <c r="A123420"/>
      <c r="B123420"/>
      <c r="C123420"/>
      <c r="E123420"/>
      <c r="F123420"/>
    </row>
    <row r="123421" spans="1:6" x14ac:dyDescent="0.25">
      <c r="A123421"/>
      <c r="B123421"/>
      <c r="C123421"/>
      <c r="E123421"/>
      <c r="F123421"/>
    </row>
    <row r="123422" spans="1:6" x14ac:dyDescent="0.25">
      <c r="A123422"/>
      <c r="B123422"/>
      <c r="C123422"/>
      <c r="E123422"/>
      <c r="F123422"/>
    </row>
    <row r="123423" spans="1:6" x14ac:dyDescent="0.25">
      <c r="A123423"/>
      <c r="B123423"/>
      <c r="C123423"/>
      <c r="E123423"/>
      <c r="F123423"/>
    </row>
    <row r="123424" spans="1:6" x14ac:dyDescent="0.25">
      <c r="A123424"/>
      <c r="B123424"/>
      <c r="C123424"/>
      <c r="E123424"/>
      <c r="F123424"/>
    </row>
    <row r="123425" spans="1:6" x14ac:dyDescent="0.25">
      <c r="A123425"/>
      <c r="B123425"/>
      <c r="C123425"/>
      <c r="E123425"/>
      <c r="F123425"/>
    </row>
    <row r="123426" spans="1:6" x14ac:dyDescent="0.25">
      <c r="A123426"/>
      <c r="B123426"/>
      <c r="C123426"/>
      <c r="E123426"/>
      <c r="F123426"/>
    </row>
    <row r="123427" spans="1:6" x14ac:dyDescent="0.25">
      <c r="A123427"/>
      <c r="B123427"/>
      <c r="C123427"/>
      <c r="E123427"/>
      <c r="F123427"/>
    </row>
    <row r="123428" spans="1:6" x14ac:dyDescent="0.25">
      <c r="A123428"/>
      <c r="B123428"/>
      <c r="C123428"/>
      <c r="E123428"/>
      <c r="F123428"/>
    </row>
    <row r="123429" spans="1:6" x14ac:dyDescent="0.25">
      <c r="A123429"/>
      <c r="B123429"/>
      <c r="C123429"/>
      <c r="E123429"/>
      <c r="F123429"/>
    </row>
    <row r="123430" spans="1:6" x14ac:dyDescent="0.25">
      <c r="A123430"/>
      <c r="B123430"/>
      <c r="C123430"/>
      <c r="E123430"/>
      <c r="F123430"/>
    </row>
    <row r="123431" spans="1:6" x14ac:dyDescent="0.25">
      <c r="A123431"/>
      <c r="B123431"/>
      <c r="C123431"/>
      <c r="E123431"/>
      <c r="F123431"/>
    </row>
    <row r="123432" spans="1:6" x14ac:dyDescent="0.25">
      <c r="A123432"/>
      <c r="B123432"/>
      <c r="C123432"/>
      <c r="E123432"/>
      <c r="F123432"/>
    </row>
    <row r="123433" spans="1:6" x14ac:dyDescent="0.25">
      <c r="A123433"/>
      <c r="B123433"/>
      <c r="C123433"/>
      <c r="E123433"/>
      <c r="F123433"/>
    </row>
    <row r="123434" spans="1:6" x14ac:dyDescent="0.25">
      <c r="A123434"/>
      <c r="B123434"/>
      <c r="C123434"/>
      <c r="E123434"/>
      <c r="F123434"/>
    </row>
    <row r="123435" spans="1:6" x14ac:dyDescent="0.25">
      <c r="A123435"/>
      <c r="B123435"/>
      <c r="C123435"/>
      <c r="E123435"/>
      <c r="F123435"/>
    </row>
    <row r="123436" spans="1:6" x14ac:dyDescent="0.25">
      <c r="A123436"/>
      <c r="B123436"/>
      <c r="C123436"/>
      <c r="E123436"/>
      <c r="F123436"/>
    </row>
    <row r="123437" spans="1:6" x14ac:dyDescent="0.25">
      <c r="A123437"/>
      <c r="B123437"/>
      <c r="C123437"/>
      <c r="E123437"/>
      <c r="F123437"/>
    </row>
    <row r="123438" spans="1:6" x14ac:dyDescent="0.25">
      <c r="A123438"/>
      <c r="B123438"/>
      <c r="C123438"/>
      <c r="E123438"/>
      <c r="F123438"/>
    </row>
    <row r="123439" spans="1:6" x14ac:dyDescent="0.25">
      <c r="A123439"/>
      <c r="B123439"/>
      <c r="C123439"/>
      <c r="E123439"/>
      <c r="F123439"/>
    </row>
    <row r="123440" spans="1:6" x14ac:dyDescent="0.25">
      <c r="A123440"/>
      <c r="B123440"/>
      <c r="C123440"/>
      <c r="E123440"/>
      <c r="F123440"/>
    </row>
    <row r="123441" spans="1:6" x14ac:dyDescent="0.25">
      <c r="A123441"/>
      <c r="B123441"/>
      <c r="C123441"/>
      <c r="E123441"/>
      <c r="F123441"/>
    </row>
    <row r="123442" spans="1:6" x14ac:dyDescent="0.25">
      <c r="A123442"/>
      <c r="B123442"/>
      <c r="C123442"/>
      <c r="E123442"/>
      <c r="F123442"/>
    </row>
    <row r="123443" spans="1:6" x14ac:dyDescent="0.25">
      <c r="A123443"/>
      <c r="B123443"/>
      <c r="C123443"/>
      <c r="E123443"/>
      <c r="F123443"/>
    </row>
    <row r="123444" spans="1:6" x14ac:dyDescent="0.25">
      <c r="A123444"/>
      <c r="B123444"/>
      <c r="C123444"/>
      <c r="E123444"/>
      <c r="F123444"/>
    </row>
    <row r="123445" spans="1:6" x14ac:dyDescent="0.25">
      <c r="A123445"/>
      <c r="B123445"/>
      <c r="C123445"/>
      <c r="E123445"/>
      <c r="F123445"/>
    </row>
    <row r="123446" spans="1:6" x14ac:dyDescent="0.25">
      <c r="A123446"/>
      <c r="B123446"/>
      <c r="C123446"/>
      <c r="E123446"/>
      <c r="F123446"/>
    </row>
    <row r="123447" spans="1:6" x14ac:dyDescent="0.25">
      <c r="A123447"/>
      <c r="B123447"/>
      <c r="C123447"/>
      <c r="E123447"/>
      <c r="F123447"/>
    </row>
    <row r="123448" spans="1:6" x14ac:dyDescent="0.25">
      <c r="A123448"/>
      <c r="B123448"/>
      <c r="C123448"/>
      <c r="E123448"/>
      <c r="F123448"/>
    </row>
    <row r="123449" spans="1:6" x14ac:dyDescent="0.25">
      <c r="A123449"/>
      <c r="B123449"/>
      <c r="C123449"/>
      <c r="E123449"/>
      <c r="F123449"/>
    </row>
    <row r="123450" spans="1:6" x14ac:dyDescent="0.25">
      <c r="A123450"/>
      <c r="B123450"/>
      <c r="C123450"/>
      <c r="E123450"/>
      <c r="F123450"/>
    </row>
    <row r="123451" spans="1:6" x14ac:dyDescent="0.25">
      <c r="A123451"/>
      <c r="B123451"/>
      <c r="C123451"/>
      <c r="E123451"/>
      <c r="F123451"/>
    </row>
    <row r="123452" spans="1:6" x14ac:dyDescent="0.25">
      <c r="A123452"/>
      <c r="B123452"/>
      <c r="C123452"/>
      <c r="E123452"/>
      <c r="F123452"/>
    </row>
    <row r="123453" spans="1:6" x14ac:dyDescent="0.25">
      <c r="A123453"/>
      <c r="B123453"/>
      <c r="C123453"/>
      <c r="E123453"/>
      <c r="F123453"/>
    </row>
    <row r="123454" spans="1:6" x14ac:dyDescent="0.25">
      <c r="A123454"/>
      <c r="B123454"/>
      <c r="C123454"/>
      <c r="E123454"/>
      <c r="F123454"/>
    </row>
    <row r="123455" spans="1:6" x14ac:dyDescent="0.25">
      <c r="A123455"/>
      <c r="B123455"/>
      <c r="C123455"/>
      <c r="E123455"/>
      <c r="F123455"/>
    </row>
    <row r="123456" spans="1:6" x14ac:dyDescent="0.25">
      <c r="A123456"/>
      <c r="B123456"/>
      <c r="C123456"/>
      <c r="E123456"/>
      <c r="F123456"/>
    </row>
    <row r="123457" spans="1:6" x14ac:dyDescent="0.25">
      <c r="A123457"/>
      <c r="B123457"/>
      <c r="C123457"/>
      <c r="E123457"/>
      <c r="F123457"/>
    </row>
    <row r="123458" spans="1:6" x14ac:dyDescent="0.25">
      <c r="A123458"/>
      <c r="B123458"/>
      <c r="C123458"/>
      <c r="E123458"/>
      <c r="F123458"/>
    </row>
    <row r="123459" spans="1:6" x14ac:dyDescent="0.25">
      <c r="A123459"/>
      <c r="B123459"/>
      <c r="C123459"/>
      <c r="E123459"/>
      <c r="F123459"/>
    </row>
    <row r="123460" spans="1:6" x14ac:dyDescent="0.25">
      <c r="A123460"/>
      <c r="B123460"/>
      <c r="C123460"/>
      <c r="E123460"/>
      <c r="F123460"/>
    </row>
    <row r="123461" spans="1:6" x14ac:dyDescent="0.25">
      <c r="A123461"/>
      <c r="B123461"/>
      <c r="C123461"/>
      <c r="E123461"/>
      <c r="F123461"/>
    </row>
    <row r="123462" spans="1:6" x14ac:dyDescent="0.25">
      <c r="A123462"/>
      <c r="B123462"/>
      <c r="C123462"/>
      <c r="E123462"/>
      <c r="F123462"/>
    </row>
    <row r="123463" spans="1:6" x14ac:dyDescent="0.25">
      <c r="A123463"/>
      <c r="B123463"/>
      <c r="C123463"/>
      <c r="E123463"/>
      <c r="F123463"/>
    </row>
    <row r="123464" spans="1:6" x14ac:dyDescent="0.25">
      <c r="A123464"/>
      <c r="B123464"/>
      <c r="C123464"/>
      <c r="E123464"/>
      <c r="F123464"/>
    </row>
    <row r="123465" spans="1:6" x14ac:dyDescent="0.25">
      <c r="A123465"/>
      <c r="B123465"/>
      <c r="C123465"/>
      <c r="E123465"/>
      <c r="F123465"/>
    </row>
    <row r="123466" spans="1:6" x14ac:dyDescent="0.25">
      <c r="A123466"/>
      <c r="B123466"/>
      <c r="C123466"/>
      <c r="E123466"/>
      <c r="F123466"/>
    </row>
    <row r="123467" spans="1:6" x14ac:dyDescent="0.25">
      <c r="A123467"/>
      <c r="B123467"/>
      <c r="C123467"/>
      <c r="E123467"/>
      <c r="F123467"/>
    </row>
    <row r="123468" spans="1:6" x14ac:dyDescent="0.25">
      <c r="A123468"/>
      <c r="B123468"/>
      <c r="C123468"/>
      <c r="E123468"/>
      <c r="F123468"/>
    </row>
    <row r="123469" spans="1:6" x14ac:dyDescent="0.25">
      <c r="A123469"/>
      <c r="B123469"/>
      <c r="C123469"/>
      <c r="E123469"/>
      <c r="F123469"/>
    </row>
    <row r="123470" spans="1:6" x14ac:dyDescent="0.25">
      <c r="A123470"/>
      <c r="B123470"/>
      <c r="C123470"/>
      <c r="E123470"/>
      <c r="F123470"/>
    </row>
    <row r="123471" spans="1:6" x14ac:dyDescent="0.25">
      <c r="A123471"/>
      <c r="B123471"/>
      <c r="C123471"/>
      <c r="E123471"/>
      <c r="F123471"/>
    </row>
    <row r="123472" spans="1:6" x14ac:dyDescent="0.25">
      <c r="A123472"/>
      <c r="B123472"/>
      <c r="C123472"/>
      <c r="E123472"/>
      <c r="F123472"/>
    </row>
    <row r="123473" spans="1:6" x14ac:dyDescent="0.25">
      <c r="A123473"/>
      <c r="B123473"/>
      <c r="C123473"/>
      <c r="E123473"/>
      <c r="F123473"/>
    </row>
    <row r="123474" spans="1:6" x14ac:dyDescent="0.25">
      <c r="A123474"/>
      <c r="B123474"/>
      <c r="C123474"/>
      <c r="E123474"/>
      <c r="F123474"/>
    </row>
    <row r="123475" spans="1:6" x14ac:dyDescent="0.25">
      <c r="A123475"/>
      <c r="B123475"/>
      <c r="C123475"/>
      <c r="E123475"/>
      <c r="F123475"/>
    </row>
    <row r="123476" spans="1:6" x14ac:dyDescent="0.25">
      <c r="A123476"/>
      <c r="B123476"/>
      <c r="C123476"/>
      <c r="E123476"/>
      <c r="F123476"/>
    </row>
    <row r="123477" spans="1:6" x14ac:dyDescent="0.25">
      <c r="A123477"/>
      <c r="B123477"/>
      <c r="C123477"/>
      <c r="E123477"/>
      <c r="F123477"/>
    </row>
    <row r="123478" spans="1:6" x14ac:dyDescent="0.25">
      <c r="A123478"/>
      <c r="B123478"/>
      <c r="C123478"/>
      <c r="E123478"/>
      <c r="F123478"/>
    </row>
    <row r="123479" spans="1:6" x14ac:dyDescent="0.25">
      <c r="A123479"/>
      <c r="B123479"/>
      <c r="C123479"/>
      <c r="E123479"/>
      <c r="F123479"/>
    </row>
    <row r="123480" spans="1:6" x14ac:dyDescent="0.25">
      <c r="A123480"/>
      <c r="B123480"/>
      <c r="C123480"/>
      <c r="E123480"/>
      <c r="F123480"/>
    </row>
    <row r="123481" spans="1:6" x14ac:dyDescent="0.25">
      <c r="A123481"/>
      <c r="B123481"/>
      <c r="C123481"/>
      <c r="E123481"/>
      <c r="F123481"/>
    </row>
    <row r="123482" spans="1:6" x14ac:dyDescent="0.25">
      <c r="A123482"/>
      <c r="B123482"/>
      <c r="C123482"/>
      <c r="E123482"/>
      <c r="F123482"/>
    </row>
    <row r="123483" spans="1:6" x14ac:dyDescent="0.25">
      <c r="A123483"/>
      <c r="B123483"/>
      <c r="C123483"/>
      <c r="E123483"/>
      <c r="F123483"/>
    </row>
    <row r="123484" spans="1:6" x14ac:dyDescent="0.25">
      <c r="A123484"/>
      <c r="B123484"/>
      <c r="C123484"/>
      <c r="E123484"/>
      <c r="F123484"/>
    </row>
    <row r="123485" spans="1:6" x14ac:dyDescent="0.25">
      <c r="A123485"/>
      <c r="B123485"/>
      <c r="C123485"/>
      <c r="E123485"/>
      <c r="F123485"/>
    </row>
    <row r="123486" spans="1:6" x14ac:dyDescent="0.25">
      <c r="A123486"/>
      <c r="B123486"/>
      <c r="C123486"/>
      <c r="E123486"/>
      <c r="F123486"/>
    </row>
    <row r="123487" spans="1:6" x14ac:dyDescent="0.25">
      <c r="A123487"/>
      <c r="B123487"/>
      <c r="C123487"/>
      <c r="E123487"/>
      <c r="F123487"/>
    </row>
    <row r="123488" spans="1:6" x14ac:dyDescent="0.25">
      <c r="A123488"/>
      <c r="B123488"/>
      <c r="C123488"/>
      <c r="E123488"/>
      <c r="F123488"/>
    </row>
    <row r="123489" spans="1:6" x14ac:dyDescent="0.25">
      <c r="A123489"/>
      <c r="B123489"/>
      <c r="C123489"/>
      <c r="E123489"/>
      <c r="F123489"/>
    </row>
    <row r="123490" spans="1:6" x14ac:dyDescent="0.25">
      <c r="A123490"/>
      <c r="B123490"/>
      <c r="C123490"/>
      <c r="E123490"/>
      <c r="F123490"/>
    </row>
    <row r="123491" spans="1:6" x14ac:dyDescent="0.25">
      <c r="A123491"/>
      <c r="B123491"/>
      <c r="C123491"/>
      <c r="E123491"/>
      <c r="F123491"/>
    </row>
    <row r="123492" spans="1:6" x14ac:dyDescent="0.25">
      <c r="A123492"/>
      <c r="B123492"/>
      <c r="C123492"/>
      <c r="E123492"/>
      <c r="F123492"/>
    </row>
    <row r="123493" spans="1:6" x14ac:dyDescent="0.25">
      <c r="A123493"/>
      <c r="B123493"/>
      <c r="C123493"/>
      <c r="E123493"/>
      <c r="F123493"/>
    </row>
    <row r="123494" spans="1:6" x14ac:dyDescent="0.25">
      <c r="A123494"/>
      <c r="B123494"/>
      <c r="C123494"/>
      <c r="E123494"/>
      <c r="F123494"/>
    </row>
    <row r="123495" spans="1:6" x14ac:dyDescent="0.25">
      <c r="A123495"/>
      <c r="B123495"/>
      <c r="C123495"/>
      <c r="E123495"/>
      <c r="F123495"/>
    </row>
    <row r="123496" spans="1:6" x14ac:dyDescent="0.25">
      <c r="A123496"/>
      <c r="B123496"/>
      <c r="C123496"/>
      <c r="E123496"/>
      <c r="F123496"/>
    </row>
    <row r="123497" spans="1:6" x14ac:dyDescent="0.25">
      <c r="A123497"/>
      <c r="B123497"/>
      <c r="C123497"/>
      <c r="E123497"/>
      <c r="F123497"/>
    </row>
    <row r="123498" spans="1:6" x14ac:dyDescent="0.25">
      <c r="A123498"/>
      <c r="B123498"/>
      <c r="C123498"/>
      <c r="E123498"/>
      <c r="F123498"/>
    </row>
    <row r="123499" spans="1:6" x14ac:dyDescent="0.25">
      <c r="A123499"/>
      <c r="B123499"/>
      <c r="C123499"/>
      <c r="E123499"/>
      <c r="F123499"/>
    </row>
    <row r="123500" spans="1:6" x14ac:dyDescent="0.25">
      <c r="A123500"/>
      <c r="B123500"/>
      <c r="C123500"/>
      <c r="E123500"/>
      <c r="F123500"/>
    </row>
    <row r="123501" spans="1:6" x14ac:dyDescent="0.25">
      <c r="A123501"/>
      <c r="B123501"/>
      <c r="C123501"/>
      <c r="E123501"/>
      <c r="F123501"/>
    </row>
    <row r="123502" spans="1:6" x14ac:dyDescent="0.25">
      <c r="A123502"/>
      <c r="B123502"/>
      <c r="C123502"/>
      <c r="E123502"/>
      <c r="F123502"/>
    </row>
    <row r="123503" spans="1:6" x14ac:dyDescent="0.25">
      <c r="A123503"/>
      <c r="B123503"/>
      <c r="C123503"/>
      <c r="E123503"/>
      <c r="F123503"/>
    </row>
    <row r="123504" spans="1:6" x14ac:dyDescent="0.25">
      <c r="A123504"/>
      <c r="B123504"/>
      <c r="C123504"/>
      <c r="E123504"/>
      <c r="F123504"/>
    </row>
    <row r="123505" spans="1:6" x14ac:dyDescent="0.25">
      <c r="A123505"/>
      <c r="B123505"/>
      <c r="C123505"/>
      <c r="E123505"/>
      <c r="F123505"/>
    </row>
    <row r="123506" spans="1:6" x14ac:dyDescent="0.25">
      <c r="A123506"/>
      <c r="B123506"/>
      <c r="C123506"/>
      <c r="E123506"/>
      <c r="F123506"/>
    </row>
    <row r="123507" spans="1:6" x14ac:dyDescent="0.25">
      <c r="A123507"/>
      <c r="B123507"/>
      <c r="C123507"/>
      <c r="E123507"/>
      <c r="F123507"/>
    </row>
    <row r="123508" spans="1:6" x14ac:dyDescent="0.25">
      <c r="A123508"/>
      <c r="B123508"/>
      <c r="C123508"/>
      <c r="E123508"/>
      <c r="F123508"/>
    </row>
    <row r="123509" spans="1:6" x14ac:dyDescent="0.25">
      <c r="A123509"/>
      <c r="B123509"/>
      <c r="C123509"/>
      <c r="E123509"/>
      <c r="F123509"/>
    </row>
    <row r="123510" spans="1:6" x14ac:dyDescent="0.25">
      <c r="A123510"/>
      <c r="B123510"/>
      <c r="C123510"/>
      <c r="E123510"/>
      <c r="F123510"/>
    </row>
    <row r="123511" spans="1:6" x14ac:dyDescent="0.25">
      <c r="A123511"/>
      <c r="B123511"/>
      <c r="C123511"/>
      <c r="E123511"/>
      <c r="F123511"/>
    </row>
    <row r="123512" spans="1:6" x14ac:dyDescent="0.25">
      <c r="A123512"/>
      <c r="B123512"/>
      <c r="C123512"/>
      <c r="E123512"/>
      <c r="F123512"/>
    </row>
    <row r="123513" spans="1:6" x14ac:dyDescent="0.25">
      <c r="A123513"/>
      <c r="B123513"/>
      <c r="C123513"/>
      <c r="E123513"/>
      <c r="F123513"/>
    </row>
    <row r="123514" spans="1:6" x14ac:dyDescent="0.25">
      <c r="A123514"/>
      <c r="B123514"/>
      <c r="C123514"/>
      <c r="E123514"/>
      <c r="F123514"/>
    </row>
    <row r="123515" spans="1:6" x14ac:dyDescent="0.25">
      <c r="A123515"/>
      <c r="B123515"/>
      <c r="C123515"/>
      <c r="E123515"/>
      <c r="F123515"/>
    </row>
    <row r="123516" spans="1:6" x14ac:dyDescent="0.25">
      <c r="A123516"/>
      <c r="B123516"/>
      <c r="C123516"/>
      <c r="E123516"/>
      <c r="F123516"/>
    </row>
    <row r="123517" spans="1:6" x14ac:dyDescent="0.25">
      <c r="A123517"/>
      <c r="B123517"/>
      <c r="C123517"/>
      <c r="E123517"/>
      <c r="F123517"/>
    </row>
    <row r="123518" spans="1:6" x14ac:dyDescent="0.25">
      <c r="A123518"/>
      <c r="B123518"/>
      <c r="C123518"/>
      <c r="E123518"/>
      <c r="F123518"/>
    </row>
    <row r="123519" spans="1:6" x14ac:dyDescent="0.25">
      <c r="A123519"/>
      <c r="B123519"/>
      <c r="C123519"/>
      <c r="E123519"/>
      <c r="F123519"/>
    </row>
    <row r="123520" spans="1:6" x14ac:dyDescent="0.25">
      <c r="A123520"/>
      <c r="B123520"/>
      <c r="C123520"/>
      <c r="E123520"/>
      <c r="F123520"/>
    </row>
    <row r="123521" spans="1:6" x14ac:dyDescent="0.25">
      <c r="A123521"/>
      <c r="B123521"/>
      <c r="C123521"/>
      <c r="E123521"/>
      <c r="F123521"/>
    </row>
    <row r="123522" spans="1:6" x14ac:dyDescent="0.25">
      <c r="A123522"/>
      <c r="B123522"/>
      <c r="C123522"/>
      <c r="E123522"/>
      <c r="F123522"/>
    </row>
    <row r="123523" spans="1:6" x14ac:dyDescent="0.25">
      <c r="A123523"/>
      <c r="B123523"/>
      <c r="C123523"/>
      <c r="E123523"/>
      <c r="F123523"/>
    </row>
    <row r="123524" spans="1:6" x14ac:dyDescent="0.25">
      <c r="A123524"/>
      <c r="B123524"/>
      <c r="C123524"/>
      <c r="E123524"/>
      <c r="F123524"/>
    </row>
    <row r="123525" spans="1:6" x14ac:dyDescent="0.25">
      <c r="A123525"/>
      <c r="B123525"/>
      <c r="C123525"/>
      <c r="E123525"/>
      <c r="F123525"/>
    </row>
    <row r="123526" spans="1:6" x14ac:dyDescent="0.25">
      <c r="A123526"/>
      <c r="B123526"/>
      <c r="C123526"/>
      <c r="E123526"/>
      <c r="F123526"/>
    </row>
    <row r="123527" spans="1:6" x14ac:dyDescent="0.25">
      <c r="A123527"/>
      <c r="B123527"/>
      <c r="C123527"/>
      <c r="E123527"/>
      <c r="F123527"/>
    </row>
    <row r="123528" spans="1:6" x14ac:dyDescent="0.25">
      <c r="A123528"/>
      <c r="B123528"/>
      <c r="C123528"/>
      <c r="E123528"/>
      <c r="F123528"/>
    </row>
    <row r="123529" spans="1:6" x14ac:dyDescent="0.25">
      <c r="A123529"/>
      <c r="B123529"/>
      <c r="C123529"/>
      <c r="E123529"/>
      <c r="F123529"/>
    </row>
    <row r="123530" spans="1:6" x14ac:dyDescent="0.25">
      <c r="A123530"/>
      <c r="B123530"/>
      <c r="C123530"/>
      <c r="E123530"/>
      <c r="F123530"/>
    </row>
    <row r="123531" spans="1:6" x14ac:dyDescent="0.25">
      <c r="A123531"/>
      <c r="B123531"/>
      <c r="C123531"/>
      <c r="E123531"/>
      <c r="F123531"/>
    </row>
    <row r="123532" spans="1:6" x14ac:dyDescent="0.25">
      <c r="A123532"/>
      <c r="B123532"/>
      <c r="C123532"/>
      <c r="E123532"/>
      <c r="F123532"/>
    </row>
    <row r="123533" spans="1:6" x14ac:dyDescent="0.25">
      <c r="A123533"/>
      <c r="B123533"/>
      <c r="C123533"/>
      <c r="E123533"/>
      <c r="F123533"/>
    </row>
    <row r="123534" spans="1:6" x14ac:dyDescent="0.25">
      <c r="A123534"/>
      <c r="B123534"/>
      <c r="C123534"/>
      <c r="E123534"/>
      <c r="F123534"/>
    </row>
    <row r="123535" spans="1:6" x14ac:dyDescent="0.25">
      <c r="A123535"/>
      <c r="B123535"/>
      <c r="C123535"/>
      <c r="E123535"/>
      <c r="F123535"/>
    </row>
    <row r="123536" spans="1:6" x14ac:dyDescent="0.25">
      <c r="A123536"/>
      <c r="B123536"/>
      <c r="C123536"/>
      <c r="E123536"/>
      <c r="F123536"/>
    </row>
    <row r="123537" spans="1:6" x14ac:dyDescent="0.25">
      <c r="A123537"/>
      <c r="B123537"/>
      <c r="C123537"/>
      <c r="E123537"/>
      <c r="F123537"/>
    </row>
    <row r="123538" spans="1:6" x14ac:dyDescent="0.25">
      <c r="A123538"/>
      <c r="B123538"/>
      <c r="C123538"/>
      <c r="E123538"/>
      <c r="F123538"/>
    </row>
    <row r="123539" spans="1:6" x14ac:dyDescent="0.25">
      <c r="A123539"/>
      <c r="B123539"/>
      <c r="C123539"/>
      <c r="E123539"/>
      <c r="F123539"/>
    </row>
    <row r="123540" spans="1:6" x14ac:dyDescent="0.25">
      <c r="A123540"/>
      <c r="B123540"/>
      <c r="C123540"/>
      <c r="E123540"/>
      <c r="F123540"/>
    </row>
    <row r="123541" spans="1:6" x14ac:dyDescent="0.25">
      <c r="A123541"/>
      <c r="B123541"/>
      <c r="C123541"/>
      <c r="E123541"/>
      <c r="F123541"/>
    </row>
    <row r="123542" spans="1:6" x14ac:dyDescent="0.25">
      <c r="A123542"/>
      <c r="B123542"/>
      <c r="C123542"/>
      <c r="E123542"/>
      <c r="F123542"/>
    </row>
    <row r="123543" spans="1:6" x14ac:dyDescent="0.25">
      <c r="A123543"/>
      <c r="B123543"/>
      <c r="C123543"/>
      <c r="E123543"/>
      <c r="F123543"/>
    </row>
    <row r="123544" spans="1:6" x14ac:dyDescent="0.25">
      <c r="A123544"/>
      <c r="B123544"/>
      <c r="C123544"/>
      <c r="E123544"/>
      <c r="F123544"/>
    </row>
    <row r="123545" spans="1:6" x14ac:dyDescent="0.25">
      <c r="A123545"/>
      <c r="B123545"/>
      <c r="C123545"/>
      <c r="E123545"/>
      <c r="F123545"/>
    </row>
    <row r="123546" spans="1:6" x14ac:dyDescent="0.25">
      <c r="A123546"/>
      <c r="B123546"/>
      <c r="C123546"/>
      <c r="E123546"/>
      <c r="F123546"/>
    </row>
    <row r="123547" spans="1:6" x14ac:dyDescent="0.25">
      <c r="A123547"/>
      <c r="B123547"/>
      <c r="C123547"/>
      <c r="E123547"/>
      <c r="F123547"/>
    </row>
    <row r="123548" spans="1:6" x14ac:dyDescent="0.25">
      <c r="A123548"/>
      <c r="B123548"/>
      <c r="C123548"/>
      <c r="E123548"/>
      <c r="F123548"/>
    </row>
    <row r="123549" spans="1:6" x14ac:dyDescent="0.25">
      <c r="A123549"/>
      <c r="B123549"/>
      <c r="C123549"/>
      <c r="E123549"/>
      <c r="F123549"/>
    </row>
    <row r="123550" spans="1:6" x14ac:dyDescent="0.25">
      <c r="A123550"/>
      <c r="B123550"/>
      <c r="C123550"/>
      <c r="E123550"/>
      <c r="F123550"/>
    </row>
    <row r="123551" spans="1:6" x14ac:dyDescent="0.25">
      <c r="A123551"/>
      <c r="B123551"/>
      <c r="C123551"/>
      <c r="E123551"/>
      <c r="F123551"/>
    </row>
    <row r="123552" spans="1:6" x14ac:dyDescent="0.25">
      <c r="A123552"/>
      <c r="B123552"/>
      <c r="C123552"/>
      <c r="E123552"/>
      <c r="F123552"/>
    </row>
    <row r="123553" spans="1:6" x14ac:dyDescent="0.25">
      <c r="A123553"/>
      <c r="B123553"/>
      <c r="C123553"/>
      <c r="E123553"/>
      <c r="F123553"/>
    </row>
    <row r="123554" spans="1:6" x14ac:dyDescent="0.25">
      <c r="A123554"/>
      <c r="B123554"/>
      <c r="C123554"/>
      <c r="E123554"/>
      <c r="F123554"/>
    </row>
    <row r="123555" spans="1:6" x14ac:dyDescent="0.25">
      <c r="A123555"/>
      <c r="B123555"/>
      <c r="C123555"/>
      <c r="E123555"/>
      <c r="F123555"/>
    </row>
    <row r="123556" spans="1:6" x14ac:dyDescent="0.25">
      <c r="A123556"/>
      <c r="B123556"/>
      <c r="C123556"/>
      <c r="E123556"/>
      <c r="F123556"/>
    </row>
    <row r="123557" spans="1:6" x14ac:dyDescent="0.25">
      <c r="A123557"/>
      <c r="B123557"/>
      <c r="C123557"/>
      <c r="E123557"/>
      <c r="F123557"/>
    </row>
    <row r="123558" spans="1:6" x14ac:dyDescent="0.25">
      <c r="A123558"/>
      <c r="B123558"/>
      <c r="C123558"/>
      <c r="E123558"/>
      <c r="F123558"/>
    </row>
    <row r="123559" spans="1:6" x14ac:dyDescent="0.25">
      <c r="A123559"/>
      <c r="B123559"/>
      <c r="C123559"/>
      <c r="E123559"/>
      <c r="F123559"/>
    </row>
    <row r="123560" spans="1:6" x14ac:dyDescent="0.25">
      <c r="A123560"/>
      <c r="B123560"/>
      <c r="C123560"/>
      <c r="E123560"/>
      <c r="F123560"/>
    </row>
    <row r="123561" spans="1:6" x14ac:dyDescent="0.25">
      <c r="A123561"/>
      <c r="B123561"/>
      <c r="C123561"/>
      <c r="E123561"/>
      <c r="F123561"/>
    </row>
    <row r="123562" spans="1:6" x14ac:dyDescent="0.25">
      <c r="A123562"/>
      <c r="B123562"/>
      <c r="C123562"/>
      <c r="E123562"/>
      <c r="F123562"/>
    </row>
    <row r="123563" spans="1:6" x14ac:dyDescent="0.25">
      <c r="A123563"/>
      <c r="B123563"/>
      <c r="C123563"/>
      <c r="E123563"/>
      <c r="F123563"/>
    </row>
    <row r="123564" spans="1:6" x14ac:dyDescent="0.25">
      <c r="A123564"/>
      <c r="B123564"/>
      <c r="C123564"/>
      <c r="E123564"/>
      <c r="F123564"/>
    </row>
    <row r="123565" spans="1:6" x14ac:dyDescent="0.25">
      <c r="A123565"/>
      <c r="B123565"/>
      <c r="C123565"/>
      <c r="E123565"/>
      <c r="F123565"/>
    </row>
    <row r="123566" spans="1:6" x14ac:dyDescent="0.25">
      <c r="A123566"/>
      <c r="B123566"/>
      <c r="C123566"/>
      <c r="E123566"/>
      <c r="F123566"/>
    </row>
    <row r="123567" spans="1:6" x14ac:dyDescent="0.25">
      <c r="A123567"/>
      <c r="B123567"/>
      <c r="C123567"/>
      <c r="E123567"/>
      <c r="F123567"/>
    </row>
    <row r="123568" spans="1:6" x14ac:dyDescent="0.25">
      <c r="A123568"/>
      <c r="B123568"/>
      <c r="C123568"/>
      <c r="E123568"/>
      <c r="F123568"/>
    </row>
    <row r="123569" spans="1:6" x14ac:dyDescent="0.25">
      <c r="A123569"/>
      <c r="B123569"/>
      <c r="C123569"/>
      <c r="E123569"/>
      <c r="F123569"/>
    </row>
    <row r="123570" spans="1:6" x14ac:dyDescent="0.25">
      <c r="A123570"/>
      <c r="B123570"/>
      <c r="C123570"/>
      <c r="E123570"/>
      <c r="F123570"/>
    </row>
    <row r="123571" spans="1:6" x14ac:dyDescent="0.25">
      <c r="A123571"/>
      <c r="B123571"/>
      <c r="C123571"/>
      <c r="E123571"/>
      <c r="F123571"/>
    </row>
    <row r="123572" spans="1:6" x14ac:dyDescent="0.25">
      <c r="A123572"/>
      <c r="B123572"/>
      <c r="C123572"/>
      <c r="E123572"/>
      <c r="F123572"/>
    </row>
    <row r="123573" spans="1:6" x14ac:dyDescent="0.25">
      <c r="A123573"/>
      <c r="B123573"/>
      <c r="C123573"/>
      <c r="E123573"/>
      <c r="F123573"/>
    </row>
    <row r="123574" spans="1:6" x14ac:dyDescent="0.25">
      <c r="A123574"/>
      <c r="B123574"/>
      <c r="C123574"/>
      <c r="E123574"/>
      <c r="F123574"/>
    </row>
    <row r="123575" spans="1:6" x14ac:dyDescent="0.25">
      <c r="A123575"/>
      <c r="B123575"/>
      <c r="C123575"/>
      <c r="E123575"/>
      <c r="F123575"/>
    </row>
    <row r="123576" spans="1:6" x14ac:dyDescent="0.25">
      <c r="A123576"/>
      <c r="B123576"/>
      <c r="C123576"/>
      <c r="E123576"/>
      <c r="F123576"/>
    </row>
    <row r="123577" spans="1:6" x14ac:dyDescent="0.25">
      <c r="A123577"/>
      <c r="B123577"/>
      <c r="C123577"/>
      <c r="E123577"/>
      <c r="F123577"/>
    </row>
    <row r="123578" spans="1:6" x14ac:dyDescent="0.25">
      <c r="A123578"/>
      <c r="B123578"/>
      <c r="C123578"/>
      <c r="E123578"/>
      <c r="F123578"/>
    </row>
    <row r="123579" spans="1:6" x14ac:dyDescent="0.25">
      <c r="A123579"/>
      <c r="B123579"/>
      <c r="C123579"/>
      <c r="E123579"/>
      <c r="F123579"/>
    </row>
    <row r="123580" spans="1:6" x14ac:dyDescent="0.25">
      <c r="A123580"/>
      <c r="B123580"/>
      <c r="C123580"/>
      <c r="E123580"/>
      <c r="F123580"/>
    </row>
    <row r="123581" spans="1:6" x14ac:dyDescent="0.25">
      <c r="A123581"/>
      <c r="B123581"/>
      <c r="C123581"/>
      <c r="E123581"/>
      <c r="F123581"/>
    </row>
    <row r="123582" spans="1:6" x14ac:dyDescent="0.25">
      <c r="A123582"/>
      <c r="B123582"/>
      <c r="C123582"/>
      <c r="E123582"/>
      <c r="F123582"/>
    </row>
    <row r="123583" spans="1:6" x14ac:dyDescent="0.25">
      <c r="A123583"/>
      <c r="B123583"/>
      <c r="C123583"/>
      <c r="E123583"/>
      <c r="F123583"/>
    </row>
    <row r="123584" spans="1:6" x14ac:dyDescent="0.25">
      <c r="A123584"/>
      <c r="B123584"/>
      <c r="C123584"/>
      <c r="E123584"/>
      <c r="F123584"/>
    </row>
    <row r="123585" spans="1:6" x14ac:dyDescent="0.25">
      <c r="A123585"/>
      <c r="B123585"/>
      <c r="C123585"/>
      <c r="E123585"/>
      <c r="F123585"/>
    </row>
    <row r="123586" spans="1:6" x14ac:dyDescent="0.25">
      <c r="A123586"/>
      <c r="B123586"/>
      <c r="C123586"/>
      <c r="E123586"/>
      <c r="F123586"/>
    </row>
    <row r="123587" spans="1:6" x14ac:dyDescent="0.25">
      <c r="A123587"/>
      <c r="B123587"/>
      <c r="C123587"/>
      <c r="E123587"/>
      <c r="F123587"/>
    </row>
    <row r="123588" spans="1:6" x14ac:dyDescent="0.25">
      <c r="A123588"/>
      <c r="B123588"/>
      <c r="C123588"/>
      <c r="E123588"/>
      <c r="F123588"/>
    </row>
    <row r="123589" spans="1:6" x14ac:dyDescent="0.25">
      <c r="A123589"/>
      <c r="B123589"/>
      <c r="C123589"/>
      <c r="E123589"/>
      <c r="F123589"/>
    </row>
    <row r="123590" spans="1:6" x14ac:dyDescent="0.25">
      <c r="A123590"/>
      <c r="B123590"/>
      <c r="C123590"/>
      <c r="E123590"/>
      <c r="F123590"/>
    </row>
    <row r="123591" spans="1:6" x14ac:dyDescent="0.25">
      <c r="A123591"/>
      <c r="B123591"/>
      <c r="C123591"/>
      <c r="E123591"/>
      <c r="F123591"/>
    </row>
    <row r="123592" spans="1:6" x14ac:dyDescent="0.25">
      <c r="A123592"/>
      <c r="B123592"/>
      <c r="C123592"/>
      <c r="E123592"/>
      <c r="F123592"/>
    </row>
    <row r="123593" spans="1:6" x14ac:dyDescent="0.25">
      <c r="A123593"/>
      <c r="B123593"/>
      <c r="C123593"/>
      <c r="E123593"/>
      <c r="F123593"/>
    </row>
    <row r="123594" spans="1:6" x14ac:dyDescent="0.25">
      <c r="A123594"/>
      <c r="B123594"/>
      <c r="C123594"/>
      <c r="E123594"/>
      <c r="F123594"/>
    </row>
    <row r="123595" spans="1:6" x14ac:dyDescent="0.25">
      <c r="A123595"/>
      <c r="B123595"/>
      <c r="C123595"/>
      <c r="E123595"/>
      <c r="F123595"/>
    </row>
    <row r="123596" spans="1:6" x14ac:dyDescent="0.25">
      <c r="A123596"/>
      <c r="B123596"/>
      <c r="C123596"/>
      <c r="E123596"/>
      <c r="F123596"/>
    </row>
    <row r="123597" spans="1:6" x14ac:dyDescent="0.25">
      <c r="A123597"/>
      <c r="B123597"/>
      <c r="C123597"/>
      <c r="E123597"/>
      <c r="F123597"/>
    </row>
    <row r="123598" spans="1:6" x14ac:dyDescent="0.25">
      <c r="A123598"/>
      <c r="B123598"/>
      <c r="C123598"/>
      <c r="E123598"/>
      <c r="F123598"/>
    </row>
    <row r="123599" spans="1:6" x14ac:dyDescent="0.25">
      <c r="A123599"/>
      <c r="B123599"/>
      <c r="C123599"/>
      <c r="E123599"/>
      <c r="F123599"/>
    </row>
    <row r="123600" spans="1:6" x14ac:dyDescent="0.25">
      <c r="A123600"/>
      <c r="B123600"/>
      <c r="C123600"/>
      <c r="E123600"/>
      <c r="F123600"/>
    </row>
    <row r="123601" spans="1:6" x14ac:dyDescent="0.25">
      <c r="A123601"/>
      <c r="B123601"/>
      <c r="C123601"/>
      <c r="E123601"/>
      <c r="F123601"/>
    </row>
    <row r="123602" spans="1:6" x14ac:dyDescent="0.25">
      <c r="A123602"/>
      <c r="B123602"/>
      <c r="C123602"/>
      <c r="E123602"/>
      <c r="F123602"/>
    </row>
    <row r="123603" spans="1:6" x14ac:dyDescent="0.25">
      <c r="A123603"/>
      <c r="B123603"/>
      <c r="C123603"/>
      <c r="E123603"/>
      <c r="F123603"/>
    </row>
    <row r="123604" spans="1:6" x14ac:dyDescent="0.25">
      <c r="A123604"/>
      <c r="B123604"/>
      <c r="C123604"/>
      <c r="E123604"/>
      <c r="F123604"/>
    </row>
    <row r="123605" spans="1:6" x14ac:dyDescent="0.25">
      <c r="A123605"/>
      <c r="B123605"/>
      <c r="C123605"/>
      <c r="E123605"/>
      <c r="F123605"/>
    </row>
    <row r="123606" spans="1:6" x14ac:dyDescent="0.25">
      <c r="A123606"/>
      <c r="B123606"/>
      <c r="C123606"/>
      <c r="E123606"/>
      <c r="F123606"/>
    </row>
    <row r="123607" spans="1:6" x14ac:dyDescent="0.25">
      <c r="A123607"/>
      <c r="B123607"/>
      <c r="C123607"/>
      <c r="E123607"/>
      <c r="F123607"/>
    </row>
    <row r="123608" spans="1:6" x14ac:dyDescent="0.25">
      <c r="A123608"/>
      <c r="B123608"/>
      <c r="C123608"/>
      <c r="E123608"/>
      <c r="F123608"/>
    </row>
    <row r="123609" spans="1:6" x14ac:dyDescent="0.25">
      <c r="A123609"/>
      <c r="B123609"/>
      <c r="C123609"/>
      <c r="E123609"/>
      <c r="F123609"/>
    </row>
    <row r="123610" spans="1:6" x14ac:dyDescent="0.25">
      <c r="A123610"/>
      <c r="B123610"/>
      <c r="C123610"/>
      <c r="E123610"/>
      <c r="F123610"/>
    </row>
    <row r="123611" spans="1:6" x14ac:dyDescent="0.25">
      <c r="A123611"/>
      <c r="B123611"/>
      <c r="C123611"/>
      <c r="E123611"/>
      <c r="F123611"/>
    </row>
    <row r="123612" spans="1:6" x14ac:dyDescent="0.25">
      <c r="A123612"/>
      <c r="B123612"/>
      <c r="C123612"/>
      <c r="E123612"/>
      <c r="F123612"/>
    </row>
    <row r="123613" spans="1:6" x14ac:dyDescent="0.25">
      <c r="A123613"/>
      <c r="B123613"/>
      <c r="C123613"/>
      <c r="E123613"/>
      <c r="F123613"/>
    </row>
    <row r="123614" spans="1:6" x14ac:dyDescent="0.25">
      <c r="A123614"/>
      <c r="B123614"/>
      <c r="C123614"/>
      <c r="E123614"/>
      <c r="F123614"/>
    </row>
    <row r="123615" spans="1:6" x14ac:dyDescent="0.25">
      <c r="A123615"/>
      <c r="B123615"/>
      <c r="C123615"/>
      <c r="E123615"/>
      <c r="F123615"/>
    </row>
    <row r="123616" spans="1:6" x14ac:dyDescent="0.25">
      <c r="A123616"/>
      <c r="B123616"/>
      <c r="C123616"/>
      <c r="E123616"/>
      <c r="F123616"/>
    </row>
    <row r="123617" spans="1:6" x14ac:dyDescent="0.25">
      <c r="A123617"/>
      <c r="B123617"/>
      <c r="C123617"/>
      <c r="E123617"/>
      <c r="F123617"/>
    </row>
    <row r="123618" spans="1:6" x14ac:dyDescent="0.25">
      <c r="A123618"/>
      <c r="B123618"/>
      <c r="C123618"/>
      <c r="E123618"/>
      <c r="F123618"/>
    </row>
    <row r="123619" spans="1:6" x14ac:dyDescent="0.25">
      <c r="A123619"/>
      <c r="B123619"/>
      <c r="C123619"/>
      <c r="E123619"/>
      <c r="F123619"/>
    </row>
    <row r="123620" spans="1:6" x14ac:dyDescent="0.25">
      <c r="A123620"/>
      <c r="B123620"/>
      <c r="C123620"/>
      <c r="E123620"/>
      <c r="F123620"/>
    </row>
    <row r="123621" spans="1:6" x14ac:dyDescent="0.25">
      <c r="A123621"/>
      <c r="B123621"/>
      <c r="C123621"/>
      <c r="E123621"/>
      <c r="F123621"/>
    </row>
    <row r="123622" spans="1:6" x14ac:dyDescent="0.25">
      <c r="A123622"/>
      <c r="B123622"/>
      <c r="C123622"/>
      <c r="E123622"/>
      <c r="F123622"/>
    </row>
    <row r="123623" spans="1:6" x14ac:dyDescent="0.25">
      <c r="A123623"/>
      <c r="B123623"/>
      <c r="C123623"/>
      <c r="E123623"/>
      <c r="F123623"/>
    </row>
    <row r="123624" spans="1:6" x14ac:dyDescent="0.25">
      <c r="A123624"/>
      <c r="B123624"/>
      <c r="C123624"/>
      <c r="E123624"/>
      <c r="F123624"/>
    </row>
    <row r="123625" spans="1:6" x14ac:dyDescent="0.25">
      <c r="A123625"/>
      <c r="B123625"/>
      <c r="C123625"/>
      <c r="E123625"/>
      <c r="F123625"/>
    </row>
    <row r="123626" spans="1:6" x14ac:dyDescent="0.25">
      <c r="A123626"/>
      <c r="B123626"/>
      <c r="C123626"/>
      <c r="E123626"/>
      <c r="F123626"/>
    </row>
    <row r="123627" spans="1:6" x14ac:dyDescent="0.25">
      <c r="A123627"/>
      <c r="B123627"/>
      <c r="C123627"/>
      <c r="E123627"/>
      <c r="F123627"/>
    </row>
    <row r="123628" spans="1:6" x14ac:dyDescent="0.25">
      <c r="A123628"/>
      <c r="B123628"/>
      <c r="C123628"/>
      <c r="E123628"/>
      <c r="F123628"/>
    </row>
    <row r="123629" spans="1:6" x14ac:dyDescent="0.25">
      <c r="A123629"/>
      <c r="B123629"/>
      <c r="C123629"/>
      <c r="E123629"/>
      <c r="F123629"/>
    </row>
    <row r="123630" spans="1:6" x14ac:dyDescent="0.25">
      <c r="A123630"/>
      <c r="B123630"/>
      <c r="C123630"/>
      <c r="E123630"/>
      <c r="F123630"/>
    </row>
    <row r="123631" spans="1:6" x14ac:dyDescent="0.25">
      <c r="A123631"/>
      <c r="B123631"/>
      <c r="C123631"/>
      <c r="E123631"/>
      <c r="F123631"/>
    </row>
    <row r="123632" spans="1:6" x14ac:dyDescent="0.25">
      <c r="A123632"/>
      <c r="B123632"/>
      <c r="C123632"/>
      <c r="E123632"/>
      <c r="F123632"/>
    </row>
    <row r="123633" spans="1:6" x14ac:dyDescent="0.25">
      <c r="A123633"/>
      <c r="B123633"/>
      <c r="C123633"/>
      <c r="E123633"/>
      <c r="F123633"/>
    </row>
    <row r="123634" spans="1:6" x14ac:dyDescent="0.25">
      <c r="A123634"/>
      <c r="B123634"/>
      <c r="C123634"/>
      <c r="E123634"/>
      <c r="F123634"/>
    </row>
    <row r="123635" spans="1:6" x14ac:dyDescent="0.25">
      <c r="A123635"/>
      <c r="B123635"/>
      <c r="C123635"/>
      <c r="E123635"/>
      <c r="F123635"/>
    </row>
    <row r="123636" spans="1:6" x14ac:dyDescent="0.25">
      <c r="A123636"/>
      <c r="B123636"/>
      <c r="C123636"/>
      <c r="E123636"/>
      <c r="F123636"/>
    </row>
    <row r="123637" spans="1:6" x14ac:dyDescent="0.25">
      <c r="A123637"/>
      <c r="B123637"/>
      <c r="C123637"/>
      <c r="E123637"/>
      <c r="F123637"/>
    </row>
    <row r="123638" spans="1:6" x14ac:dyDescent="0.25">
      <c r="A123638"/>
      <c r="B123638"/>
      <c r="C123638"/>
      <c r="E123638"/>
      <c r="F123638"/>
    </row>
    <row r="123639" spans="1:6" x14ac:dyDescent="0.25">
      <c r="A123639"/>
      <c r="B123639"/>
      <c r="C123639"/>
      <c r="E123639"/>
      <c r="F123639"/>
    </row>
    <row r="123640" spans="1:6" x14ac:dyDescent="0.25">
      <c r="A123640"/>
      <c r="B123640"/>
      <c r="C123640"/>
      <c r="E123640"/>
      <c r="F123640"/>
    </row>
    <row r="123641" spans="1:6" x14ac:dyDescent="0.25">
      <c r="A123641"/>
      <c r="B123641"/>
      <c r="C123641"/>
      <c r="E123641"/>
      <c r="F123641"/>
    </row>
    <row r="123642" spans="1:6" x14ac:dyDescent="0.25">
      <c r="A123642"/>
      <c r="B123642"/>
      <c r="C123642"/>
      <c r="E123642"/>
      <c r="F123642"/>
    </row>
    <row r="123643" spans="1:6" x14ac:dyDescent="0.25">
      <c r="A123643"/>
      <c r="B123643"/>
      <c r="C123643"/>
      <c r="E123643"/>
      <c r="F123643"/>
    </row>
    <row r="123644" spans="1:6" x14ac:dyDescent="0.25">
      <c r="A123644"/>
      <c r="B123644"/>
      <c r="C123644"/>
      <c r="E123644"/>
      <c r="F123644"/>
    </row>
    <row r="123645" spans="1:6" x14ac:dyDescent="0.25">
      <c r="A123645"/>
      <c r="B123645"/>
      <c r="C123645"/>
      <c r="E123645"/>
      <c r="F123645"/>
    </row>
    <row r="123646" spans="1:6" x14ac:dyDescent="0.25">
      <c r="A123646"/>
      <c r="B123646"/>
      <c r="C123646"/>
      <c r="E123646"/>
      <c r="F123646"/>
    </row>
    <row r="123647" spans="1:6" x14ac:dyDescent="0.25">
      <c r="A123647"/>
      <c r="B123647"/>
      <c r="C123647"/>
      <c r="E123647"/>
      <c r="F123647"/>
    </row>
    <row r="123648" spans="1:6" x14ac:dyDescent="0.25">
      <c r="A123648"/>
      <c r="B123648"/>
      <c r="C123648"/>
      <c r="E123648"/>
      <c r="F123648"/>
    </row>
    <row r="123649" spans="1:6" x14ac:dyDescent="0.25">
      <c r="A123649"/>
      <c r="B123649"/>
      <c r="C123649"/>
      <c r="E123649"/>
      <c r="F123649"/>
    </row>
    <row r="123650" spans="1:6" x14ac:dyDescent="0.25">
      <c r="A123650"/>
      <c r="B123650"/>
      <c r="C123650"/>
      <c r="E123650"/>
      <c r="F123650"/>
    </row>
    <row r="123651" spans="1:6" x14ac:dyDescent="0.25">
      <c r="A123651"/>
      <c r="B123651"/>
      <c r="C123651"/>
      <c r="E123651"/>
      <c r="F123651"/>
    </row>
    <row r="123652" spans="1:6" x14ac:dyDescent="0.25">
      <c r="A123652"/>
      <c r="B123652"/>
      <c r="C123652"/>
      <c r="E123652"/>
      <c r="F123652"/>
    </row>
    <row r="123653" spans="1:6" x14ac:dyDescent="0.25">
      <c r="A123653"/>
      <c r="B123653"/>
      <c r="C123653"/>
      <c r="E123653"/>
      <c r="F123653"/>
    </row>
    <row r="123654" spans="1:6" x14ac:dyDescent="0.25">
      <c r="A123654"/>
      <c r="B123654"/>
      <c r="C123654"/>
      <c r="E123654"/>
      <c r="F123654"/>
    </row>
    <row r="123655" spans="1:6" x14ac:dyDescent="0.25">
      <c r="A123655"/>
      <c r="B123655"/>
      <c r="C123655"/>
      <c r="E123655"/>
      <c r="F123655"/>
    </row>
    <row r="123656" spans="1:6" x14ac:dyDescent="0.25">
      <c r="A123656"/>
      <c r="B123656"/>
      <c r="C123656"/>
      <c r="E123656"/>
      <c r="F123656"/>
    </row>
    <row r="123657" spans="1:6" x14ac:dyDescent="0.25">
      <c r="A123657"/>
      <c r="B123657"/>
      <c r="C123657"/>
      <c r="E123657"/>
      <c r="F123657"/>
    </row>
    <row r="123658" spans="1:6" x14ac:dyDescent="0.25">
      <c r="A123658"/>
      <c r="B123658"/>
      <c r="C123658"/>
      <c r="E123658"/>
      <c r="F123658"/>
    </row>
    <row r="123659" spans="1:6" x14ac:dyDescent="0.25">
      <c r="A123659"/>
      <c r="B123659"/>
      <c r="C123659"/>
      <c r="E123659"/>
      <c r="F123659"/>
    </row>
    <row r="123660" spans="1:6" x14ac:dyDescent="0.25">
      <c r="A123660"/>
      <c r="B123660"/>
      <c r="C123660"/>
      <c r="E123660"/>
      <c r="F123660"/>
    </row>
    <row r="123661" spans="1:6" x14ac:dyDescent="0.25">
      <c r="A123661"/>
      <c r="B123661"/>
      <c r="C123661"/>
      <c r="E123661"/>
      <c r="F123661"/>
    </row>
    <row r="123662" spans="1:6" x14ac:dyDescent="0.25">
      <c r="A123662"/>
      <c r="B123662"/>
      <c r="C123662"/>
      <c r="E123662"/>
      <c r="F123662"/>
    </row>
    <row r="123663" spans="1:6" x14ac:dyDescent="0.25">
      <c r="A123663"/>
      <c r="B123663"/>
      <c r="C123663"/>
      <c r="E123663"/>
      <c r="F123663"/>
    </row>
    <row r="123664" spans="1:6" x14ac:dyDescent="0.25">
      <c r="A123664"/>
      <c r="B123664"/>
      <c r="C123664"/>
      <c r="E123664"/>
      <c r="F123664"/>
    </row>
    <row r="123665" spans="1:6" x14ac:dyDescent="0.25">
      <c r="A123665"/>
      <c r="B123665"/>
      <c r="C123665"/>
      <c r="E123665"/>
      <c r="F123665"/>
    </row>
    <row r="123666" spans="1:6" x14ac:dyDescent="0.25">
      <c r="A123666"/>
      <c r="B123666"/>
      <c r="C123666"/>
      <c r="E123666"/>
      <c r="F123666"/>
    </row>
    <row r="123667" spans="1:6" x14ac:dyDescent="0.25">
      <c r="A123667"/>
      <c r="B123667"/>
      <c r="C123667"/>
      <c r="E123667"/>
      <c r="F123667"/>
    </row>
    <row r="123668" spans="1:6" x14ac:dyDescent="0.25">
      <c r="A123668"/>
      <c r="B123668"/>
      <c r="C123668"/>
      <c r="E123668"/>
      <c r="F123668"/>
    </row>
    <row r="123669" spans="1:6" x14ac:dyDescent="0.25">
      <c r="A123669"/>
      <c r="B123669"/>
      <c r="C123669"/>
      <c r="E123669"/>
      <c r="F123669"/>
    </row>
    <row r="123670" spans="1:6" x14ac:dyDescent="0.25">
      <c r="A123670"/>
      <c r="B123670"/>
      <c r="C123670"/>
      <c r="E123670"/>
      <c r="F123670"/>
    </row>
    <row r="123671" spans="1:6" x14ac:dyDescent="0.25">
      <c r="A123671"/>
      <c r="B123671"/>
      <c r="C123671"/>
      <c r="E123671"/>
      <c r="F123671"/>
    </row>
    <row r="123672" spans="1:6" x14ac:dyDescent="0.25">
      <c r="A123672"/>
      <c r="B123672"/>
      <c r="C123672"/>
      <c r="E123672"/>
      <c r="F123672"/>
    </row>
    <row r="123673" spans="1:6" x14ac:dyDescent="0.25">
      <c r="A123673"/>
      <c r="B123673"/>
      <c r="C123673"/>
      <c r="E123673"/>
      <c r="F123673"/>
    </row>
    <row r="123674" spans="1:6" x14ac:dyDescent="0.25">
      <c r="A123674"/>
      <c r="B123674"/>
      <c r="C123674"/>
      <c r="E123674"/>
      <c r="F123674"/>
    </row>
    <row r="123675" spans="1:6" x14ac:dyDescent="0.25">
      <c r="A123675"/>
      <c r="B123675"/>
      <c r="C123675"/>
      <c r="E123675"/>
      <c r="F123675"/>
    </row>
    <row r="123676" spans="1:6" x14ac:dyDescent="0.25">
      <c r="A123676"/>
      <c r="B123676"/>
      <c r="C123676"/>
      <c r="E123676"/>
      <c r="F123676"/>
    </row>
    <row r="123677" spans="1:6" x14ac:dyDescent="0.25">
      <c r="A123677"/>
      <c r="B123677"/>
      <c r="C123677"/>
      <c r="E123677"/>
      <c r="F123677"/>
    </row>
    <row r="123678" spans="1:6" x14ac:dyDescent="0.25">
      <c r="A123678"/>
      <c r="B123678"/>
      <c r="C123678"/>
      <c r="E123678"/>
      <c r="F123678"/>
    </row>
    <row r="123679" spans="1:6" x14ac:dyDescent="0.25">
      <c r="A123679"/>
      <c r="B123679"/>
      <c r="C123679"/>
      <c r="E123679"/>
      <c r="F123679"/>
    </row>
    <row r="123680" spans="1:6" x14ac:dyDescent="0.25">
      <c r="A123680"/>
      <c r="B123680"/>
      <c r="C123680"/>
      <c r="E123680"/>
      <c r="F123680"/>
    </row>
    <row r="123681" spans="1:6" x14ac:dyDescent="0.25">
      <c r="A123681"/>
      <c r="B123681"/>
      <c r="C123681"/>
      <c r="E123681"/>
      <c r="F123681"/>
    </row>
    <row r="123682" spans="1:6" x14ac:dyDescent="0.25">
      <c r="A123682"/>
      <c r="B123682"/>
      <c r="C123682"/>
      <c r="E123682"/>
      <c r="F123682"/>
    </row>
    <row r="123683" spans="1:6" x14ac:dyDescent="0.25">
      <c r="A123683"/>
      <c r="B123683"/>
      <c r="C123683"/>
      <c r="E123683"/>
      <c r="F123683"/>
    </row>
    <row r="123684" spans="1:6" x14ac:dyDescent="0.25">
      <c r="A123684"/>
      <c r="B123684"/>
      <c r="C123684"/>
      <c r="E123684"/>
      <c r="F123684"/>
    </row>
    <row r="123685" spans="1:6" x14ac:dyDescent="0.25">
      <c r="A123685"/>
      <c r="B123685"/>
      <c r="C123685"/>
      <c r="E123685"/>
      <c r="F123685"/>
    </row>
    <row r="123686" spans="1:6" x14ac:dyDescent="0.25">
      <c r="A123686"/>
      <c r="B123686"/>
      <c r="C123686"/>
      <c r="E123686"/>
      <c r="F123686"/>
    </row>
    <row r="123687" spans="1:6" x14ac:dyDescent="0.25">
      <c r="A123687"/>
      <c r="B123687"/>
      <c r="C123687"/>
      <c r="E123687"/>
      <c r="F123687"/>
    </row>
    <row r="123688" spans="1:6" x14ac:dyDescent="0.25">
      <c r="A123688"/>
      <c r="B123688"/>
      <c r="C123688"/>
      <c r="E123688"/>
      <c r="F123688"/>
    </row>
    <row r="123689" spans="1:6" x14ac:dyDescent="0.25">
      <c r="A123689"/>
      <c r="B123689"/>
      <c r="C123689"/>
      <c r="E123689"/>
      <c r="F123689"/>
    </row>
    <row r="123690" spans="1:6" x14ac:dyDescent="0.25">
      <c r="A123690"/>
      <c r="B123690"/>
      <c r="C123690"/>
      <c r="E123690"/>
      <c r="F123690"/>
    </row>
    <row r="123691" spans="1:6" x14ac:dyDescent="0.25">
      <c r="A123691"/>
      <c r="B123691"/>
      <c r="C123691"/>
      <c r="E123691"/>
      <c r="F123691"/>
    </row>
    <row r="123692" spans="1:6" x14ac:dyDescent="0.25">
      <c r="A123692"/>
      <c r="B123692"/>
      <c r="C123692"/>
      <c r="E123692"/>
      <c r="F123692"/>
    </row>
    <row r="123693" spans="1:6" x14ac:dyDescent="0.25">
      <c r="A123693"/>
      <c r="B123693"/>
      <c r="C123693"/>
      <c r="E123693"/>
      <c r="F123693"/>
    </row>
    <row r="123694" spans="1:6" x14ac:dyDescent="0.25">
      <c r="A123694"/>
      <c r="B123694"/>
      <c r="C123694"/>
      <c r="E123694"/>
      <c r="F123694"/>
    </row>
    <row r="123695" spans="1:6" x14ac:dyDescent="0.25">
      <c r="A123695"/>
      <c r="B123695"/>
      <c r="C123695"/>
      <c r="E123695"/>
      <c r="F123695"/>
    </row>
    <row r="123696" spans="1:6" x14ac:dyDescent="0.25">
      <c r="A123696"/>
      <c r="B123696"/>
      <c r="C123696"/>
      <c r="E123696"/>
      <c r="F123696"/>
    </row>
    <row r="123697" spans="1:6" x14ac:dyDescent="0.25">
      <c r="A123697"/>
      <c r="B123697"/>
      <c r="C123697"/>
      <c r="E123697"/>
      <c r="F123697"/>
    </row>
    <row r="123698" spans="1:6" x14ac:dyDescent="0.25">
      <c r="A123698"/>
      <c r="B123698"/>
      <c r="C123698"/>
      <c r="E123698"/>
      <c r="F123698"/>
    </row>
    <row r="123699" spans="1:6" x14ac:dyDescent="0.25">
      <c r="A123699"/>
      <c r="B123699"/>
      <c r="C123699"/>
      <c r="E123699"/>
      <c r="F123699"/>
    </row>
    <row r="123700" spans="1:6" x14ac:dyDescent="0.25">
      <c r="A123700"/>
      <c r="B123700"/>
      <c r="C123700"/>
      <c r="E123700"/>
      <c r="F123700"/>
    </row>
    <row r="123701" spans="1:6" x14ac:dyDescent="0.25">
      <c r="A123701"/>
      <c r="B123701"/>
      <c r="C123701"/>
      <c r="E123701"/>
      <c r="F123701"/>
    </row>
    <row r="123702" spans="1:6" x14ac:dyDescent="0.25">
      <c r="A123702"/>
      <c r="B123702"/>
      <c r="C123702"/>
      <c r="E123702"/>
      <c r="F123702"/>
    </row>
    <row r="123703" spans="1:6" x14ac:dyDescent="0.25">
      <c r="A123703"/>
      <c r="B123703"/>
      <c r="C123703"/>
      <c r="E123703"/>
      <c r="F123703"/>
    </row>
    <row r="123704" spans="1:6" x14ac:dyDescent="0.25">
      <c r="A123704"/>
      <c r="B123704"/>
      <c r="C123704"/>
      <c r="E123704"/>
      <c r="F123704"/>
    </row>
    <row r="123705" spans="1:6" x14ac:dyDescent="0.25">
      <c r="A123705"/>
      <c r="B123705"/>
      <c r="C123705"/>
      <c r="E123705"/>
      <c r="F123705"/>
    </row>
    <row r="123706" spans="1:6" x14ac:dyDescent="0.25">
      <c r="A123706"/>
      <c r="B123706"/>
      <c r="C123706"/>
      <c r="E123706"/>
      <c r="F123706"/>
    </row>
    <row r="123707" spans="1:6" x14ac:dyDescent="0.25">
      <c r="A123707"/>
      <c r="B123707"/>
      <c r="C123707"/>
      <c r="E123707"/>
      <c r="F123707"/>
    </row>
    <row r="123708" spans="1:6" x14ac:dyDescent="0.25">
      <c r="A123708"/>
      <c r="B123708"/>
      <c r="C123708"/>
      <c r="E123708"/>
      <c r="F123708"/>
    </row>
    <row r="123709" spans="1:6" x14ac:dyDescent="0.25">
      <c r="A123709"/>
      <c r="B123709"/>
      <c r="C123709"/>
      <c r="E123709"/>
      <c r="F123709"/>
    </row>
    <row r="123710" spans="1:6" x14ac:dyDescent="0.25">
      <c r="A123710"/>
      <c r="B123710"/>
      <c r="C123710"/>
      <c r="E123710"/>
      <c r="F123710"/>
    </row>
    <row r="123711" spans="1:6" x14ac:dyDescent="0.25">
      <c r="A123711"/>
      <c r="B123711"/>
      <c r="C123711"/>
      <c r="E123711"/>
      <c r="F123711"/>
    </row>
    <row r="123712" spans="1:6" x14ac:dyDescent="0.25">
      <c r="A123712"/>
      <c r="B123712"/>
      <c r="C123712"/>
      <c r="E123712"/>
      <c r="F123712"/>
    </row>
    <row r="123713" spans="1:6" x14ac:dyDescent="0.25">
      <c r="A123713"/>
      <c r="B123713"/>
      <c r="C123713"/>
      <c r="E123713"/>
      <c r="F123713"/>
    </row>
    <row r="123714" spans="1:6" x14ac:dyDescent="0.25">
      <c r="A123714"/>
      <c r="B123714"/>
      <c r="C123714"/>
      <c r="E123714"/>
      <c r="F123714"/>
    </row>
    <row r="123715" spans="1:6" x14ac:dyDescent="0.25">
      <c r="A123715"/>
      <c r="B123715"/>
      <c r="C123715"/>
      <c r="E123715"/>
      <c r="F123715"/>
    </row>
    <row r="123716" spans="1:6" x14ac:dyDescent="0.25">
      <c r="A123716"/>
      <c r="B123716"/>
      <c r="C123716"/>
      <c r="E123716"/>
      <c r="F123716"/>
    </row>
    <row r="123717" spans="1:6" x14ac:dyDescent="0.25">
      <c r="A123717"/>
      <c r="B123717"/>
      <c r="C123717"/>
      <c r="E123717"/>
      <c r="F123717"/>
    </row>
    <row r="123718" spans="1:6" x14ac:dyDescent="0.25">
      <c r="A123718"/>
      <c r="B123718"/>
      <c r="C123718"/>
      <c r="E123718"/>
      <c r="F123718"/>
    </row>
    <row r="123719" spans="1:6" x14ac:dyDescent="0.25">
      <c r="A123719"/>
      <c r="B123719"/>
      <c r="C123719"/>
      <c r="E123719"/>
      <c r="F123719"/>
    </row>
    <row r="123720" spans="1:6" x14ac:dyDescent="0.25">
      <c r="A123720"/>
      <c r="B123720"/>
      <c r="C123720"/>
      <c r="E123720"/>
      <c r="F123720"/>
    </row>
    <row r="123721" spans="1:6" x14ac:dyDescent="0.25">
      <c r="A123721"/>
      <c r="B123721"/>
      <c r="C123721"/>
      <c r="E123721"/>
      <c r="F123721"/>
    </row>
    <row r="123722" spans="1:6" x14ac:dyDescent="0.25">
      <c r="A123722"/>
      <c r="B123722"/>
      <c r="C123722"/>
      <c r="E123722"/>
      <c r="F123722"/>
    </row>
    <row r="123723" spans="1:6" x14ac:dyDescent="0.25">
      <c r="A123723"/>
      <c r="B123723"/>
      <c r="C123723"/>
      <c r="E123723"/>
      <c r="F123723"/>
    </row>
    <row r="123724" spans="1:6" x14ac:dyDescent="0.25">
      <c r="A123724"/>
      <c r="B123724"/>
      <c r="C123724"/>
      <c r="E123724"/>
      <c r="F123724"/>
    </row>
    <row r="123725" spans="1:6" x14ac:dyDescent="0.25">
      <c r="A123725"/>
      <c r="B123725"/>
      <c r="C123725"/>
      <c r="E123725"/>
      <c r="F123725"/>
    </row>
    <row r="123726" spans="1:6" x14ac:dyDescent="0.25">
      <c r="A123726"/>
      <c r="B123726"/>
      <c r="C123726"/>
      <c r="E123726"/>
      <c r="F123726"/>
    </row>
    <row r="123727" spans="1:6" x14ac:dyDescent="0.25">
      <c r="A123727"/>
      <c r="B123727"/>
      <c r="C123727"/>
      <c r="E123727"/>
      <c r="F123727"/>
    </row>
    <row r="123728" spans="1:6" x14ac:dyDescent="0.25">
      <c r="A123728"/>
      <c r="B123728"/>
      <c r="C123728"/>
      <c r="E123728"/>
      <c r="F123728"/>
    </row>
    <row r="123729" spans="1:6" x14ac:dyDescent="0.25">
      <c r="A123729"/>
      <c r="B123729"/>
      <c r="C123729"/>
      <c r="E123729"/>
      <c r="F123729"/>
    </row>
    <row r="123730" spans="1:6" x14ac:dyDescent="0.25">
      <c r="A123730"/>
      <c r="B123730"/>
      <c r="C123730"/>
      <c r="E123730"/>
      <c r="F123730"/>
    </row>
    <row r="123731" spans="1:6" x14ac:dyDescent="0.25">
      <c r="A123731"/>
      <c r="B123731"/>
      <c r="C123731"/>
      <c r="E123731"/>
      <c r="F123731"/>
    </row>
    <row r="123732" spans="1:6" x14ac:dyDescent="0.25">
      <c r="A123732"/>
      <c r="B123732"/>
      <c r="C123732"/>
      <c r="E123732"/>
      <c r="F123732"/>
    </row>
    <row r="123733" spans="1:6" x14ac:dyDescent="0.25">
      <c r="A123733"/>
      <c r="B123733"/>
      <c r="C123733"/>
      <c r="E123733"/>
      <c r="F123733"/>
    </row>
    <row r="123734" spans="1:6" x14ac:dyDescent="0.25">
      <c r="A123734"/>
      <c r="B123734"/>
      <c r="C123734"/>
      <c r="E123734"/>
      <c r="F123734"/>
    </row>
    <row r="123735" spans="1:6" x14ac:dyDescent="0.25">
      <c r="A123735"/>
      <c r="B123735"/>
      <c r="C123735"/>
      <c r="E123735"/>
      <c r="F123735"/>
    </row>
    <row r="123736" spans="1:6" x14ac:dyDescent="0.25">
      <c r="A123736"/>
      <c r="B123736"/>
      <c r="C123736"/>
      <c r="E123736"/>
      <c r="F123736"/>
    </row>
    <row r="123737" spans="1:6" x14ac:dyDescent="0.25">
      <c r="A123737"/>
      <c r="B123737"/>
      <c r="C123737"/>
      <c r="E123737"/>
      <c r="F123737"/>
    </row>
    <row r="123738" spans="1:6" x14ac:dyDescent="0.25">
      <c r="A123738"/>
      <c r="B123738"/>
      <c r="C123738"/>
      <c r="E123738"/>
      <c r="F123738"/>
    </row>
    <row r="123739" spans="1:6" x14ac:dyDescent="0.25">
      <c r="A123739"/>
      <c r="B123739"/>
      <c r="C123739"/>
      <c r="E123739"/>
      <c r="F123739"/>
    </row>
    <row r="123740" spans="1:6" x14ac:dyDescent="0.25">
      <c r="A123740"/>
      <c r="B123740"/>
      <c r="C123740"/>
      <c r="E123740"/>
      <c r="F123740"/>
    </row>
    <row r="123741" spans="1:6" x14ac:dyDescent="0.25">
      <c r="A123741"/>
      <c r="B123741"/>
      <c r="C123741"/>
      <c r="E123741"/>
      <c r="F123741"/>
    </row>
    <row r="123742" spans="1:6" x14ac:dyDescent="0.25">
      <c r="A123742"/>
      <c r="B123742"/>
      <c r="C123742"/>
      <c r="E123742"/>
      <c r="F123742"/>
    </row>
    <row r="123743" spans="1:6" x14ac:dyDescent="0.25">
      <c r="A123743"/>
      <c r="B123743"/>
      <c r="C123743"/>
      <c r="E123743"/>
      <c r="F123743"/>
    </row>
    <row r="123744" spans="1:6" x14ac:dyDescent="0.25">
      <c r="A123744"/>
      <c r="B123744"/>
      <c r="C123744"/>
      <c r="E123744"/>
      <c r="F123744"/>
    </row>
    <row r="123745" spans="1:6" x14ac:dyDescent="0.25">
      <c r="A123745"/>
      <c r="B123745"/>
      <c r="C123745"/>
      <c r="E123745"/>
      <c r="F123745"/>
    </row>
    <row r="123746" spans="1:6" x14ac:dyDescent="0.25">
      <c r="A123746"/>
      <c r="B123746"/>
      <c r="C123746"/>
      <c r="E123746"/>
      <c r="F123746"/>
    </row>
    <row r="123747" spans="1:6" x14ac:dyDescent="0.25">
      <c r="A123747"/>
      <c r="B123747"/>
      <c r="C123747"/>
      <c r="E123747"/>
      <c r="F123747"/>
    </row>
    <row r="123748" spans="1:6" x14ac:dyDescent="0.25">
      <c r="A123748"/>
      <c r="B123748"/>
      <c r="C123748"/>
      <c r="E123748"/>
      <c r="F123748"/>
    </row>
    <row r="123749" spans="1:6" x14ac:dyDescent="0.25">
      <c r="A123749"/>
      <c r="B123749"/>
      <c r="C123749"/>
      <c r="E123749"/>
      <c r="F123749"/>
    </row>
    <row r="123750" spans="1:6" x14ac:dyDescent="0.25">
      <c r="A123750"/>
      <c r="B123750"/>
      <c r="C123750"/>
      <c r="E123750"/>
      <c r="F123750"/>
    </row>
    <row r="123751" spans="1:6" x14ac:dyDescent="0.25">
      <c r="A123751"/>
      <c r="B123751"/>
      <c r="C123751"/>
      <c r="E123751"/>
      <c r="F123751"/>
    </row>
    <row r="123752" spans="1:6" x14ac:dyDescent="0.25">
      <c r="A123752"/>
      <c r="B123752"/>
      <c r="C123752"/>
      <c r="E123752"/>
      <c r="F123752"/>
    </row>
    <row r="123753" spans="1:6" x14ac:dyDescent="0.25">
      <c r="A123753"/>
      <c r="B123753"/>
      <c r="C123753"/>
      <c r="E123753"/>
      <c r="F123753"/>
    </row>
    <row r="123754" spans="1:6" x14ac:dyDescent="0.25">
      <c r="A123754"/>
      <c r="B123754"/>
      <c r="C123754"/>
      <c r="E123754"/>
      <c r="F123754"/>
    </row>
    <row r="123755" spans="1:6" x14ac:dyDescent="0.25">
      <c r="A123755"/>
      <c r="B123755"/>
      <c r="C123755"/>
      <c r="E123755"/>
      <c r="F123755"/>
    </row>
    <row r="123756" spans="1:6" x14ac:dyDescent="0.25">
      <c r="A123756"/>
      <c r="B123756"/>
      <c r="C123756"/>
      <c r="E123756"/>
      <c r="F123756"/>
    </row>
    <row r="123757" spans="1:6" x14ac:dyDescent="0.25">
      <c r="A123757"/>
      <c r="B123757"/>
      <c r="C123757"/>
      <c r="E123757"/>
      <c r="F123757"/>
    </row>
    <row r="123758" spans="1:6" x14ac:dyDescent="0.25">
      <c r="A123758"/>
      <c r="B123758"/>
      <c r="C123758"/>
      <c r="E123758"/>
      <c r="F123758"/>
    </row>
    <row r="123759" spans="1:6" x14ac:dyDescent="0.25">
      <c r="A123759"/>
      <c r="B123759"/>
      <c r="C123759"/>
      <c r="E123759"/>
      <c r="F123759"/>
    </row>
    <row r="123760" spans="1:6" x14ac:dyDescent="0.25">
      <c r="A123760"/>
      <c r="B123760"/>
      <c r="C123760"/>
      <c r="E123760"/>
      <c r="F123760"/>
    </row>
    <row r="123761" spans="1:6" x14ac:dyDescent="0.25">
      <c r="A123761"/>
      <c r="B123761"/>
      <c r="C123761"/>
      <c r="E123761"/>
      <c r="F123761"/>
    </row>
    <row r="123762" spans="1:6" x14ac:dyDescent="0.25">
      <c r="A123762"/>
      <c r="B123762"/>
      <c r="C123762"/>
      <c r="E123762"/>
      <c r="F123762"/>
    </row>
    <row r="123763" spans="1:6" x14ac:dyDescent="0.25">
      <c r="A123763"/>
      <c r="B123763"/>
      <c r="C123763"/>
      <c r="E123763"/>
      <c r="F123763"/>
    </row>
    <row r="123764" spans="1:6" x14ac:dyDescent="0.25">
      <c r="A123764"/>
      <c r="B123764"/>
      <c r="C123764"/>
      <c r="E123764"/>
      <c r="F123764"/>
    </row>
    <row r="123765" spans="1:6" x14ac:dyDescent="0.25">
      <c r="A123765"/>
      <c r="B123765"/>
      <c r="C123765"/>
      <c r="E123765"/>
      <c r="F123765"/>
    </row>
    <row r="123766" spans="1:6" x14ac:dyDescent="0.25">
      <c r="A123766"/>
      <c r="B123766"/>
      <c r="C123766"/>
      <c r="E123766"/>
      <c r="F123766"/>
    </row>
    <row r="123767" spans="1:6" x14ac:dyDescent="0.25">
      <c r="A123767"/>
      <c r="B123767"/>
      <c r="C123767"/>
      <c r="E123767"/>
      <c r="F123767"/>
    </row>
    <row r="123768" spans="1:6" x14ac:dyDescent="0.25">
      <c r="A123768"/>
      <c r="B123768"/>
      <c r="C123768"/>
      <c r="E123768"/>
      <c r="F123768"/>
    </row>
    <row r="123769" spans="1:6" x14ac:dyDescent="0.25">
      <c r="A123769"/>
      <c r="B123769"/>
      <c r="C123769"/>
      <c r="E123769"/>
      <c r="F123769"/>
    </row>
    <row r="123770" spans="1:6" x14ac:dyDescent="0.25">
      <c r="A123770"/>
      <c r="B123770"/>
      <c r="C123770"/>
      <c r="E123770"/>
      <c r="F123770"/>
    </row>
    <row r="123771" spans="1:6" x14ac:dyDescent="0.25">
      <c r="A123771"/>
      <c r="B123771"/>
      <c r="C123771"/>
      <c r="E123771"/>
      <c r="F123771"/>
    </row>
    <row r="123772" spans="1:6" x14ac:dyDescent="0.25">
      <c r="A123772"/>
      <c r="B123772"/>
      <c r="C123772"/>
      <c r="E123772"/>
      <c r="F123772"/>
    </row>
    <row r="123773" spans="1:6" x14ac:dyDescent="0.25">
      <c r="A123773"/>
      <c r="B123773"/>
      <c r="C123773"/>
      <c r="E123773"/>
      <c r="F123773"/>
    </row>
    <row r="123774" spans="1:6" x14ac:dyDescent="0.25">
      <c r="A123774"/>
      <c r="B123774"/>
      <c r="C123774"/>
      <c r="E123774"/>
      <c r="F123774"/>
    </row>
    <row r="123775" spans="1:6" x14ac:dyDescent="0.25">
      <c r="A123775"/>
      <c r="B123775"/>
      <c r="C123775"/>
      <c r="E123775"/>
      <c r="F123775"/>
    </row>
    <row r="123776" spans="1:6" x14ac:dyDescent="0.25">
      <c r="A123776"/>
      <c r="B123776"/>
      <c r="C123776"/>
      <c r="E123776"/>
      <c r="F123776"/>
    </row>
    <row r="123777" spans="1:6" x14ac:dyDescent="0.25">
      <c r="A123777"/>
      <c r="B123777"/>
      <c r="C123777"/>
      <c r="E123777"/>
      <c r="F123777"/>
    </row>
    <row r="123778" spans="1:6" x14ac:dyDescent="0.25">
      <c r="A123778"/>
      <c r="B123778"/>
      <c r="C123778"/>
      <c r="E123778"/>
      <c r="F123778"/>
    </row>
    <row r="123779" spans="1:6" x14ac:dyDescent="0.25">
      <c r="A123779"/>
      <c r="B123779"/>
      <c r="C123779"/>
      <c r="E123779"/>
      <c r="F123779"/>
    </row>
    <row r="123780" spans="1:6" x14ac:dyDescent="0.25">
      <c r="A123780"/>
      <c r="B123780"/>
      <c r="C123780"/>
      <c r="E123780"/>
      <c r="F123780"/>
    </row>
    <row r="123781" spans="1:6" x14ac:dyDescent="0.25">
      <c r="A123781"/>
      <c r="B123781"/>
      <c r="C123781"/>
      <c r="E123781"/>
      <c r="F123781"/>
    </row>
    <row r="123782" spans="1:6" x14ac:dyDescent="0.25">
      <c r="A123782"/>
      <c r="B123782"/>
      <c r="C123782"/>
      <c r="E123782"/>
      <c r="F123782"/>
    </row>
    <row r="123783" spans="1:6" x14ac:dyDescent="0.25">
      <c r="A123783"/>
      <c r="B123783"/>
      <c r="C123783"/>
      <c r="E123783"/>
      <c r="F123783"/>
    </row>
    <row r="123784" spans="1:6" x14ac:dyDescent="0.25">
      <c r="A123784"/>
      <c r="B123784"/>
      <c r="C123784"/>
      <c r="E123784"/>
      <c r="F123784"/>
    </row>
    <row r="123785" spans="1:6" x14ac:dyDescent="0.25">
      <c r="A123785"/>
      <c r="B123785"/>
      <c r="C123785"/>
      <c r="E123785"/>
      <c r="F123785"/>
    </row>
    <row r="123786" spans="1:6" x14ac:dyDescent="0.25">
      <c r="A123786"/>
      <c r="B123786"/>
      <c r="C123786"/>
      <c r="E123786"/>
      <c r="F123786"/>
    </row>
    <row r="123787" spans="1:6" x14ac:dyDescent="0.25">
      <c r="A123787"/>
      <c r="B123787"/>
      <c r="C123787"/>
      <c r="E123787"/>
      <c r="F123787"/>
    </row>
    <row r="123788" spans="1:6" x14ac:dyDescent="0.25">
      <c r="A123788"/>
      <c r="B123788"/>
      <c r="C123788"/>
      <c r="E123788"/>
      <c r="F123788"/>
    </row>
    <row r="123789" spans="1:6" x14ac:dyDescent="0.25">
      <c r="A123789"/>
      <c r="B123789"/>
      <c r="C123789"/>
      <c r="E123789"/>
      <c r="F123789"/>
    </row>
    <row r="123790" spans="1:6" x14ac:dyDescent="0.25">
      <c r="A123790"/>
      <c r="B123790"/>
      <c r="C123790"/>
      <c r="E123790"/>
      <c r="F123790"/>
    </row>
    <row r="123791" spans="1:6" x14ac:dyDescent="0.25">
      <c r="A123791"/>
      <c r="B123791"/>
      <c r="C123791"/>
      <c r="E123791"/>
      <c r="F123791"/>
    </row>
    <row r="123792" spans="1:6" x14ac:dyDescent="0.25">
      <c r="A123792"/>
      <c r="B123792"/>
      <c r="C123792"/>
      <c r="E123792"/>
      <c r="F123792"/>
    </row>
    <row r="123793" spans="1:6" x14ac:dyDescent="0.25">
      <c r="A123793"/>
      <c r="B123793"/>
      <c r="C123793"/>
      <c r="E123793"/>
      <c r="F123793"/>
    </row>
    <row r="123794" spans="1:6" x14ac:dyDescent="0.25">
      <c r="A123794"/>
      <c r="B123794"/>
      <c r="C123794"/>
      <c r="E123794"/>
      <c r="F123794"/>
    </row>
    <row r="123795" spans="1:6" x14ac:dyDescent="0.25">
      <c r="A123795"/>
      <c r="B123795"/>
      <c r="C123795"/>
      <c r="E123795"/>
      <c r="F123795"/>
    </row>
    <row r="123796" spans="1:6" x14ac:dyDescent="0.25">
      <c r="A123796"/>
      <c r="B123796"/>
      <c r="C123796"/>
      <c r="E123796"/>
      <c r="F123796"/>
    </row>
    <row r="123797" spans="1:6" x14ac:dyDescent="0.25">
      <c r="A123797"/>
      <c r="B123797"/>
      <c r="C123797"/>
      <c r="E123797"/>
      <c r="F123797"/>
    </row>
    <row r="123798" spans="1:6" x14ac:dyDescent="0.25">
      <c r="A123798"/>
      <c r="B123798"/>
      <c r="C123798"/>
      <c r="E123798"/>
      <c r="F123798"/>
    </row>
    <row r="123799" spans="1:6" x14ac:dyDescent="0.25">
      <c r="A123799"/>
      <c r="B123799"/>
      <c r="C123799"/>
      <c r="E123799"/>
      <c r="F123799"/>
    </row>
    <row r="123800" spans="1:6" x14ac:dyDescent="0.25">
      <c r="A123800"/>
      <c r="B123800"/>
      <c r="C123800"/>
      <c r="E123800"/>
      <c r="F123800"/>
    </row>
    <row r="123801" spans="1:6" x14ac:dyDescent="0.25">
      <c r="A123801"/>
      <c r="B123801"/>
      <c r="C123801"/>
      <c r="E123801"/>
      <c r="F123801"/>
    </row>
    <row r="123802" spans="1:6" x14ac:dyDescent="0.25">
      <c r="A123802"/>
      <c r="B123802"/>
      <c r="C123802"/>
      <c r="E123802"/>
      <c r="F123802"/>
    </row>
    <row r="123803" spans="1:6" x14ac:dyDescent="0.25">
      <c r="A123803"/>
      <c r="B123803"/>
      <c r="C123803"/>
      <c r="E123803"/>
      <c r="F123803"/>
    </row>
    <row r="123804" spans="1:6" x14ac:dyDescent="0.25">
      <c r="A123804"/>
      <c r="B123804"/>
      <c r="C123804"/>
      <c r="E123804"/>
      <c r="F123804"/>
    </row>
    <row r="123805" spans="1:6" x14ac:dyDescent="0.25">
      <c r="A123805"/>
      <c r="B123805"/>
      <c r="C123805"/>
      <c r="E123805"/>
      <c r="F123805"/>
    </row>
    <row r="123806" spans="1:6" x14ac:dyDescent="0.25">
      <c r="A123806"/>
      <c r="B123806"/>
      <c r="C123806"/>
      <c r="E123806"/>
      <c r="F123806"/>
    </row>
    <row r="123807" spans="1:6" x14ac:dyDescent="0.25">
      <c r="A123807"/>
      <c r="B123807"/>
      <c r="C123807"/>
      <c r="E123807"/>
      <c r="F123807"/>
    </row>
    <row r="123808" spans="1:6" x14ac:dyDescent="0.25">
      <c r="A123808"/>
      <c r="B123808"/>
      <c r="C123808"/>
      <c r="E123808"/>
      <c r="F123808"/>
    </row>
    <row r="123809" spans="1:6" x14ac:dyDescent="0.25">
      <c r="A123809"/>
      <c r="B123809"/>
      <c r="C123809"/>
      <c r="E123809"/>
      <c r="F123809"/>
    </row>
    <row r="123810" spans="1:6" x14ac:dyDescent="0.25">
      <c r="A123810"/>
      <c r="B123810"/>
      <c r="C123810"/>
      <c r="E123810"/>
      <c r="F123810"/>
    </row>
    <row r="123811" spans="1:6" x14ac:dyDescent="0.25">
      <c r="A123811"/>
      <c r="B123811"/>
      <c r="C123811"/>
      <c r="E123811"/>
      <c r="F123811"/>
    </row>
    <row r="123812" spans="1:6" x14ac:dyDescent="0.25">
      <c r="A123812"/>
      <c r="B123812"/>
      <c r="C123812"/>
      <c r="E123812"/>
      <c r="F123812"/>
    </row>
    <row r="123813" spans="1:6" x14ac:dyDescent="0.25">
      <c r="A123813"/>
      <c r="B123813"/>
      <c r="C123813"/>
      <c r="E123813"/>
      <c r="F123813"/>
    </row>
    <row r="123814" spans="1:6" x14ac:dyDescent="0.25">
      <c r="A123814"/>
      <c r="B123814"/>
      <c r="C123814"/>
      <c r="E123814"/>
      <c r="F123814"/>
    </row>
    <row r="123815" spans="1:6" x14ac:dyDescent="0.25">
      <c r="A123815"/>
      <c r="B123815"/>
      <c r="C123815"/>
      <c r="E123815"/>
      <c r="F123815"/>
    </row>
    <row r="123816" spans="1:6" x14ac:dyDescent="0.25">
      <c r="A123816"/>
      <c r="B123816"/>
      <c r="C123816"/>
      <c r="E123816"/>
      <c r="F123816"/>
    </row>
    <row r="123817" spans="1:6" x14ac:dyDescent="0.25">
      <c r="A123817"/>
      <c r="B123817"/>
      <c r="C123817"/>
      <c r="E123817"/>
      <c r="F123817"/>
    </row>
    <row r="123818" spans="1:6" x14ac:dyDescent="0.25">
      <c r="A123818"/>
      <c r="B123818"/>
      <c r="C123818"/>
      <c r="E123818"/>
      <c r="F123818"/>
    </row>
    <row r="123819" spans="1:6" x14ac:dyDescent="0.25">
      <c r="A123819"/>
      <c r="B123819"/>
      <c r="C123819"/>
      <c r="E123819"/>
      <c r="F123819"/>
    </row>
    <row r="123820" spans="1:6" x14ac:dyDescent="0.25">
      <c r="A123820"/>
      <c r="B123820"/>
      <c r="C123820"/>
      <c r="E123820"/>
      <c r="F123820"/>
    </row>
    <row r="123821" spans="1:6" x14ac:dyDescent="0.25">
      <c r="A123821"/>
      <c r="B123821"/>
      <c r="C123821"/>
      <c r="E123821"/>
      <c r="F123821"/>
    </row>
    <row r="123822" spans="1:6" x14ac:dyDescent="0.25">
      <c r="A123822"/>
      <c r="B123822"/>
      <c r="C123822"/>
      <c r="E123822"/>
      <c r="F123822"/>
    </row>
    <row r="123823" spans="1:6" x14ac:dyDescent="0.25">
      <c r="A123823"/>
      <c r="B123823"/>
      <c r="C123823"/>
      <c r="E123823"/>
      <c r="F123823"/>
    </row>
    <row r="123824" spans="1:6" x14ac:dyDescent="0.25">
      <c r="A123824"/>
      <c r="B123824"/>
      <c r="C123824"/>
      <c r="E123824"/>
      <c r="F123824"/>
    </row>
    <row r="123825" spans="1:6" x14ac:dyDescent="0.25">
      <c r="A123825"/>
      <c r="B123825"/>
      <c r="C123825"/>
      <c r="E123825"/>
      <c r="F123825"/>
    </row>
    <row r="123826" spans="1:6" x14ac:dyDescent="0.25">
      <c r="A123826"/>
      <c r="B123826"/>
      <c r="C123826"/>
      <c r="E123826"/>
      <c r="F123826"/>
    </row>
    <row r="123827" spans="1:6" x14ac:dyDescent="0.25">
      <c r="A123827"/>
      <c r="B123827"/>
      <c r="C123827"/>
      <c r="E123827"/>
      <c r="F123827"/>
    </row>
    <row r="123828" spans="1:6" x14ac:dyDescent="0.25">
      <c r="A123828"/>
      <c r="B123828"/>
      <c r="C123828"/>
      <c r="E123828"/>
      <c r="F123828"/>
    </row>
    <row r="123829" spans="1:6" x14ac:dyDescent="0.25">
      <c r="A123829"/>
      <c r="B123829"/>
      <c r="C123829"/>
      <c r="E123829"/>
      <c r="F123829"/>
    </row>
    <row r="123830" spans="1:6" x14ac:dyDescent="0.25">
      <c r="A123830"/>
      <c r="B123830"/>
      <c r="C123830"/>
      <c r="E123830"/>
      <c r="F123830"/>
    </row>
    <row r="123831" spans="1:6" x14ac:dyDescent="0.25">
      <c r="A123831"/>
      <c r="B123831"/>
      <c r="C123831"/>
      <c r="E123831"/>
      <c r="F123831"/>
    </row>
    <row r="123832" spans="1:6" x14ac:dyDescent="0.25">
      <c r="A123832"/>
      <c r="B123832"/>
      <c r="C123832"/>
      <c r="E123832"/>
      <c r="F123832"/>
    </row>
    <row r="123833" spans="1:6" x14ac:dyDescent="0.25">
      <c r="A123833"/>
      <c r="B123833"/>
      <c r="C123833"/>
      <c r="E123833"/>
      <c r="F123833"/>
    </row>
    <row r="123834" spans="1:6" x14ac:dyDescent="0.25">
      <c r="A123834"/>
      <c r="B123834"/>
      <c r="C123834"/>
      <c r="E123834"/>
      <c r="F123834"/>
    </row>
    <row r="123835" spans="1:6" x14ac:dyDescent="0.25">
      <c r="A123835"/>
      <c r="B123835"/>
      <c r="C123835"/>
      <c r="E123835"/>
      <c r="F123835"/>
    </row>
    <row r="123836" spans="1:6" x14ac:dyDescent="0.25">
      <c r="A123836"/>
      <c r="B123836"/>
      <c r="C123836"/>
      <c r="E123836"/>
      <c r="F123836"/>
    </row>
    <row r="123837" spans="1:6" x14ac:dyDescent="0.25">
      <c r="A123837"/>
      <c r="B123837"/>
      <c r="C123837"/>
      <c r="E123837"/>
      <c r="F123837"/>
    </row>
    <row r="123838" spans="1:6" x14ac:dyDescent="0.25">
      <c r="A123838"/>
      <c r="B123838"/>
      <c r="C123838"/>
      <c r="E123838"/>
      <c r="F123838"/>
    </row>
    <row r="123839" spans="1:6" x14ac:dyDescent="0.25">
      <c r="A123839"/>
      <c r="B123839"/>
      <c r="C123839"/>
      <c r="E123839"/>
      <c r="F123839"/>
    </row>
    <row r="123840" spans="1:6" x14ac:dyDescent="0.25">
      <c r="A123840"/>
      <c r="B123840"/>
      <c r="C123840"/>
      <c r="E123840"/>
      <c r="F123840"/>
    </row>
    <row r="123841" spans="1:6" x14ac:dyDescent="0.25">
      <c r="A123841"/>
      <c r="B123841"/>
      <c r="C123841"/>
      <c r="E123841"/>
      <c r="F123841"/>
    </row>
    <row r="123842" spans="1:6" x14ac:dyDescent="0.25">
      <c r="A123842"/>
      <c r="B123842"/>
      <c r="C123842"/>
      <c r="E123842"/>
      <c r="F123842"/>
    </row>
    <row r="123843" spans="1:6" x14ac:dyDescent="0.25">
      <c r="A123843"/>
      <c r="B123843"/>
      <c r="C123843"/>
      <c r="E123843"/>
      <c r="F123843"/>
    </row>
    <row r="123844" spans="1:6" x14ac:dyDescent="0.25">
      <c r="A123844"/>
      <c r="B123844"/>
      <c r="C123844"/>
      <c r="E123844"/>
      <c r="F123844"/>
    </row>
    <row r="123845" spans="1:6" x14ac:dyDescent="0.25">
      <c r="A123845"/>
      <c r="B123845"/>
      <c r="C123845"/>
      <c r="E123845"/>
      <c r="F123845"/>
    </row>
    <row r="123846" spans="1:6" x14ac:dyDescent="0.25">
      <c r="A123846"/>
      <c r="B123846"/>
      <c r="C123846"/>
      <c r="E123846"/>
      <c r="F123846"/>
    </row>
    <row r="123847" spans="1:6" x14ac:dyDescent="0.25">
      <c r="A123847"/>
      <c r="B123847"/>
      <c r="C123847"/>
      <c r="E123847"/>
      <c r="F123847"/>
    </row>
    <row r="123848" spans="1:6" x14ac:dyDescent="0.25">
      <c r="A123848"/>
      <c r="B123848"/>
      <c r="C123848"/>
      <c r="E123848"/>
      <c r="F123848"/>
    </row>
    <row r="123849" spans="1:6" x14ac:dyDescent="0.25">
      <c r="A123849"/>
      <c r="B123849"/>
      <c r="C123849"/>
      <c r="E123849"/>
      <c r="F123849"/>
    </row>
    <row r="123850" spans="1:6" x14ac:dyDescent="0.25">
      <c r="A123850"/>
      <c r="B123850"/>
      <c r="C123850"/>
      <c r="E123850"/>
      <c r="F123850"/>
    </row>
    <row r="123851" spans="1:6" x14ac:dyDescent="0.25">
      <c r="A123851"/>
      <c r="B123851"/>
      <c r="C123851"/>
      <c r="E123851"/>
      <c r="F123851"/>
    </row>
    <row r="123852" spans="1:6" x14ac:dyDescent="0.25">
      <c r="A123852"/>
      <c r="B123852"/>
      <c r="C123852"/>
      <c r="E123852"/>
      <c r="F123852"/>
    </row>
    <row r="123853" spans="1:6" x14ac:dyDescent="0.25">
      <c r="A123853"/>
      <c r="B123853"/>
      <c r="C123853"/>
      <c r="E123853"/>
      <c r="F123853"/>
    </row>
    <row r="123854" spans="1:6" x14ac:dyDescent="0.25">
      <c r="A123854"/>
      <c r="B123854"/>
      <c r="C123854"/>
      <c r="E123854"/>
      <c r="F123854"/>
    </row>
    <row r="123855" spans="1:6" x14ac:dyDescent="0.25">
      <c r="A123855"/>
      <c r="B123855"/>
      <c r="C123855"/>
      <c r="E123855"/>
      <c r="F123855"/>
    </row>
    <row r="123856" spans="1:6" x14ac:dyDescent="0.25">
      <c r="A123856"/>
      <c r="B123856"/>
      <c r="C123856"/>
      <c r="E123856"/>
      <c r="F123856"/>
    </row>
    <row r="123857" spans="1:6" x14ac:dyDescent="0.25">
      <c r="A123857"/>
      <c r="B123857"/>
      <c r="C123857"/>
      <c r="E123857"/>
      <c r="F123857"/>
    </row>
    <row r="123858" spans="1:6" x14ac:dyDescent="0.25">
      <c r="A123858"/>
      <c r="B123858"/>
      <c r="C123858"/>
      <c r="E123858"/>
      <c r="F123858"/>
    </row>
    <row r="123859" spans="1:6" x14ac:dyDescent="0.25">
      <c r="A123859"/>
      <c r="B123859"/>
      <c r="C123859"/>
      <c r="E123859"/>
      <c r="F123859"/>
    </row>
    <row r="123860" spans="1:6" x14ac:dyDescent="0.25">
      <c r="A123860"/>
      <c r="B123860"/>
      <c r="C123860"/>
      <c r="E123860"/>
      <c r="F123860"/>
    </row>
    <row r="123861" spans="1:6" x14ac:dyDescent="0.25">
      <c r="A123861"/>
      <c r="B123861"/>
      <c r="C123861"/>
      <c r="E123861"/>
      <c r="F123861"/>
    </row>
    <row r="123862" spans="1:6" x14ac:dyDescent="0.25">
      <c r="A123862"/>
      <c r="B123862"/>
      <c r="C123862"/>
      <c r="E123862"/>
      <c r="F123862"/>
    </row>
    <row r="123863" spans="1:6" x14ac:dyDescent="0.25">
      <c r="A123863"/>
      <c r="B123863"/>
      <c r="C123863"/>
      <c r="E123863"/>
      <c r="F123863"/>
    </row>
    <row r="123864" spans="1:6" x14ac:dyDescent="0.25">
      <c r="A123864"/>
      <c r="B123864"/>
      <c r="C123864"/>
      <c r="E123864"/>
      <c r="F123864"/>
    </row>
    <row r="123865" spans="1:6" x14ac:dyDescent="0.25">
      <c r="A123865"/>
      <c r="B123865"/>
      <c r="C123865"/>
      <c r="E123865"/>
      <c r="F123865"/>
    </row>
    <row r="123866" spans="1:6" x14ac:dyDescent="0.25">
      <c r="A123866"/>
      <c r="B123866"/>
      <c r="C123866"/>
      <c r="E123866"/>
      <c r="F123866"/>
    </row>
    <row r="123867" spans="1:6" x14ac:dyDescent="0.25">
      <c r="A123867"/>
      <c r="B123867"/>
      <c r="C123867"/>
      <c r="E123867"/>
      <c r="F123867"/>
    </row>
    <row r="123868" spans="1:6" x14ac:dyDescent="0.25">
      <c r="A123868"/>
      <c r="B123868"/>
      <c r="C123868"/>
      <c r="E123868"/>
      <c r="F123868"/>
    </row>
    <row r="123869" spans="1:6" x14ac:dyDescent="0.25">
      <c r="A123869"/>
      <c r="B123869"/>
      <c r="C123869"/>
      <c r="E123869"/>
      <c r="F123869"/>
    </row>
    <row r="123870" spans="1:6" x14ac:dyDescent="0.25">
      <c r="A123870"/>
      <c r="B123870"/>
      <c r="C123870"/>
      <c r="E123870"/>
      <c r="F123870"/>
    </row>
    <row r="123871" spans="1:6" x14ac:dyDescent="0.25">
      <c r="A123871"/>
      <c r="B123871"/>
      <c r="C123871"/>
      <c r="E123871"/>
      <c r="F123871"/>
    </row>
    <row r="123872" spans="1:6" x14ac:dyDescent="0.25">
      <c r="A123872"/>
      <c r="B123872"/>
      <c r="C123872"/>
      <c r="E123872"/>
      <c r="F123872"/>
    </row>
    <row r="123873" spans="1:6" x14ac:dyDescent="0.25">
      <c r="A123873"/>
      <c r="B123873"/>
      <c r="C123873"/>
      <c r="E123873"/>
      <c r="F123873"/>
    </row>
    <row r="123874" spans="1:6" x14ac:dyDescent="0.25">
      <c r="A123874"/>
      <c r="B123874"/>
      <c r="C123874"/>
      <c r="E123874"/>
      <c r="F123874"/>
    </row>
    <row r="123875" spans="1:6" x14ac:dyDescent="0.25">
      <c r="A123875"/>
      <c r="B123875"/>
      <c r="C123875"/>
      <c r="E123875"/>
      <c r="F123875"/>
    </row>
    <row r="123876" spans="1:6" x14ac:dyDescent="0.25">
      <c r="A123876"/>
      <c r="B123876"/>
      <c r="C123876"/>
      <c r="E123876"/>
      <c r="F123876"/>
    </row>
    <row r="123877" spans="1:6" x14ac:dyDescent="0.25">
      <c r="A123877"/>
      <c r="B123877"/>
      <c r="C123877"/>
      <c r="E123877"/>
      <c r="F123877"/>
    </row>
    <row r="123878" spans="1:6" x14ac:dyDescent="0.25">
      <c r="A123878"/>
      <c r="B123878"/>
      <c r="C123878"/>
      <c r="E123878"/>
      <c r="F123878"/>
    </row>
    <row r="123879" spans="1:6" x14ac:dyDescent="0.25">
      <c r="A123879"/>
      <c r="B123879"/>
      <c r="C123879"/>
      <c r="E123879"/>
      <c r="F123879"/>
    </row>
    <row r="123880" spans="1:6" x14ac:dyDescent="0.25">
      <c r="A123880"/>
      <c r="B123880"/>
      <c r="C123880"/>
      <c r="E123880"/>
      <c r="F123880"/>
    </row>
    <row r="123881" spans="1:6" x14ac:dyDescent="0.25">
      <c r="A123881"/>
      <c r="B123881"/>
      <c r="C123881"/>
      <c r="E123881"/>
      <c r="F123881"/>
    </row>
    <row r="123882" spans="1:6" x14ac:dyDescent="0.25">
      <c r="A123882"/>
      <c r="B123882"/>
      <c r="C123882"/>
      <c r="E123882"/>
      <c r="F123882"/>
    </row>
    <row r="123883" spans="1:6" x14ac:dyDescent="0.25">
      <c r="A123883"/>
      <c r="B123883"/>
      <c r="C123883"/>
      <c r="E123883"/>
      <c r="F123883"/>
    </row>
    <row r="123884" spans="1:6" x14ac:dyDescent="0.25">
      <c r="A123884"/>
      <c r="B123884"/>
      <c r="C123884"/>
      <c r="E123884"/>
      <c r="F123884"/>
    </row>
    <row r="123885" spans="1:6" x14ac:dyDescent="0.25">
      <c r="A123885"/>
      <c r="B123885"/>
      <c r="C123885"/>
      <c r="E123885"/>
      <c r="F123885"/>
    </row>
    <row r="123886" spans="1:6" x14ac:dyDescent="0.25">
      <c r="A123886"/>
      <c r="B123886"/>
      <c r="C123886"/>
      <c r="E123886"/>
      <c r="F123886"/>
    </row>
    <row r="123887" spans="1:6" x14ac:dyDescent="0.25">
      <c r="A123887"/>
      <c r="B123887"/>
      <c r="C123887"/>
      <c r="E123887"/>
      <c r="F123887"/>
    </row>
    <row r="123888" spans="1:6" x14ac:dyDescent="0.25">
      <c r="A123888"/>
      <c r="B123888"/>
      <c r="C123888"/>
      <c r="E123888"/>
      <c r="F123888"/>
    </row>
    <row r="123889" spans="1:6" x14ac:dyDescent="0.25">
      <c r="A123889"/>
      <c r="B123889"/>
      <c r="C123889"/>
      <c r="E123889"/>
      <c r="F123889"/>
    </row>
    <row r="123890" spans="1:6" x14ac:dyDescent="0.25">
      <c r="A123890"/>
      <c r="B123890"/>
      <c r="C123890"/>
      <c r="E123890"/>
      <c r="F123890"/>
    </row>
    <row r="123891" spans="1:6" x14ac:dyDescent="0.25">
      <c r="A123891"/>
      <c r="B123891"/>
      <c r="C123891"/>
      <c r="E123891"/>
      <c r="F123891"/>
    </row>
    <row r="123892" spans="1:6" x14ac:dyDescent="0.25">
      <c r="A123892"/>
      <c r="B123892"/>
      <c r="C123892"/>
      <c r="E123892"/>
      <c r="F123892"/>
    </row>
    <row r="123893" spans="1:6" x14ac:dyDescent="0.25">
      <c r="A123893"/>
      <c r="B123893"/>
      <c r="C123893"/>
      <c r="E123893"/>
      <c r="F123893"/>
    </row>
    <row r="123894" spans="1:6" x14ac:dyDescent="0.25">
      <c r="A123894"/>
      <c r="B123894"/>
      <c r="C123894"/>
      <c r="E123894"/>
      <c r="F123894"/>
    </row>
    <row r="123895" spans="1:6" x14ac:dyDescent="0.25">
      <c r="A123895"/>
      <c r="B123895"/>
      <c r="C123895"/>
      <c r="E123895"/>
      <c r="F123895"/>
    </row>
    <row r="123896" spans="1:6" x14ac:dyDescent="0.25">
      <c r="A123896"/>
      <c r="B123896"/>
      <c r="C123896"/>
      <c r="E123896"/>
      <c r="F123896"/>
    </row>
    <row r="123897" spans="1:6" x14ac:dyDescent="0.25">
      <c r="A123897"/>
      <c r="B123897"/>
      <c r="C123897"/>
      <c r="E123897"/>
      <c r="F123897"/>
    </row>
    <row r="123898" spans="1:6" x14ac:dyDescent="0.25">
      <c r="A123898"/>
      <c r="B123898"/>
      <c r="C123898"/>
      <c r="E123898"/>
      <c r="F123898"/>
    </row>
    <row r="123899" spans="1:6" x14ac:dyDescent="0.25">
      <c r="A123899"/>
      <c r="B123899"/>
      <c r="C123899"/>
      <c r="E123899"/>
      <c r="F123899"/>
    </row>
    <row r="123900" spans="1:6" x14ac:dyDescent="0.25">
      <c r="A123900"/>
      <c r="B123900"/>
      <c r="C123900"/>
      <c r="E123900"/>
      <c r="F123900"/>
    </row>
    <row r="123901" spans="1:6" x14ac:dyDescent="0.25">
      <c r="A123901"/>
      <c r="B123901"/>
      <c r="C123901"/>
      <c r="E123901"/>
      <c r="F123901"/>
    </row>
    <row r="123902" spans="1:6" x14ac:dyDescent="0.25">
      <c r="A123902"/>
      <c r="B123902"/>
      <c r="C123902"/>
      <c r="E123902"/>
      <c r="F123902"/>
    </row>
    <row r="123903" spans="1:6" x14ac:dyDescent="0.25">
      <c r="A123903"/>
      <c r="B123903"/>
      <c r="C123903"/>
      <c r="E123903"/>
      <c r="F123903"/>
    </row>
    <row r="123904" spans="1:6" x14ac:dyDescent="0.25">
      <c r="A123904"/>
      <c r="B123904"/>
      <c r="C123904"/>
      <c r="E123904"/>
      <c r="F123904"/>
    </row>
    <row r="123905" spans="1:6" x14ac:dyDescent="0.25">
      <c r="A123905"/>
      <c r="B123905"/>
      <c r="C123905"/>
      <c r="E123905"/>
      <c r="F123905"/>
    </row>
    <row r="123906" spans="1:6" x14ac:dyDescent="0.25">
      <c r="A123906"/>
      <c r="B123906"/>
      <c r="C123906"/>
      <c r="E123906"/>
      <c r="F123906"/>
    </row>
    <row r="123907" spans="1:6" x14ac:dyDescent="0.25">
      <c r="A123907"/>
      <c r="B123907"/>
      <c r="C123907"/>
      <c r="E123907"/>
      <c r="F123907"/>
    </row>
    <row r="123908" spans="1:6" x14ac:dyDescent="0.25">
      <c r="A123908"/>
      <c r="B123908"/>
      <c r="C123908"/>
      <c r="E123908"/>
      <c r="F123908"/>
    </row>
    <row r="123909" spans="1:6" x14ac:dyDescent="0.25">
      <c r="A123909"/>
      <c r="B123909"/>
      <c r="C123909"/>
      <c r="E123909"/>
      <c r="F123909"/>
    </row>
    <row r="123910" spans="1:6" x14ac:dyDescent="0.25">
      <c r="A123910"/>
      <c r="B123910"/>
      <c r="C123910"/>
      <c r="E123910"/>
      <c r="F123910"/>
    </row>
    <row r="123911" spans="1:6" x14ac:dyDescent="0.25">
      <c r="A123911"/>
      <c r="B123911"/>
      <c r="C123911"/>
      <c r="E123911"/>
      <c r="F123911"/>
    </row>
    <row r="123912" spans="1:6" x14ac:dyDescent="0.25">
      <c r="A123912"/>
      <c r="B123912"/>
      <c r="C123912"/>
      <c r="E123912"/>
      <c r="F123912"/>
    </row>
    <row r="123913" spans="1:6" x14ac:dyDescent="0.25">
      <c r="A123913"/>
      <c r="B123913"/>
      <c r="C123913"/>
      <c r="E123913"/>
      <c r="F123913"/>
    </row>
    <row r="123914" spans="1:6" x14ac:dyDescent="0.25">
      <c r="A123914"/>
      <c r="B123914"/>
      <c r="C123914"/>
      <c r="E123914"/>
      <c r="F123914"/>
    </row>
    <row r="123915" spans="1:6" x14ac:dyDescent="0.25">
      <c r="A123915"/>
      <c r="B123915"/>
      <c r="C123915"/>
      <c r="E123915"/>
      <c r="F123915"/>
    </row>
    <row r="123916" spans="1:6" x14ac:dyDescent="0.25">
      <c r="A123916"/>
      <c r="B123916"/>
      <c r="C123916"/>
      <c r="E123916"/>
      <c r="F123916"/>
    </row>
    <row r="123917" spans="1:6" x14ac:dyDescent="0.25">
      <c r="A123917"/>
      <c r="B123917"/>
      <c r="C123917"/>
      <c r="E123917"/>
      <c r="F123917"/>
    </row>
    <row r="123918" spans="1:6" x14ac:dyDescent="0.25">
      <c r="A123918"/>
      <c r="B123918"/>
      <c r="C123918"/>
      <c r="E123918"/>
      <c r="F123918"/>
    </row>
    <row r="123919" spans="1:6" x14ac:dyDescent="0.25">
      <c r="A123919"/>
      <c r="B123919"/>
      <c r="C123919"/>
      <c r="E123919"/>
      <c r="F123919"/>
    </row>
    <row r="123920" spans="1:6" x14ac:dyDescent="0.25">
      <c r="A123920"/>
      <c r="B123920"/>
      <c r="C123920"/>
      <c r="E123920"/>
      <c r="F123920"/>
    </row>
    <row r="123921" spans="1:6" x14ac:dyDescent="0.25">
      <c r="A123921"/>
      <c r="B123921"/>
      <c r="C123921"/>
      <c r="E123921"/>
      <c r="F123921"/>
    </row>
    <row r="123922" spans="1:6" x14ac:dyDescent="0.25">
      <c r="A123922"/>
      <c r="B123922"/>
      <c r="C123922"/>
      <c r="E123922"/>
      <c r="F123922"/>
    </row>
    <row r="123923" spans="1:6" x14ac:dyDescent="0.25">
      <c r="A123923"/>
      <c r="B123923"/>
      <c r="C123923"/>
      <c r="E123923"/>
      <c r="F123923"/>
    </row>
    <row r="123924" spans="1:6" x14ac:dyDescent="0.25">
      <c r="A123924"/>
      <c r="B123924"/>
      <c r="C123924"/>
      <c r="E123924"/>
      <c r="F123924"/>
    </row>
    <row r="123925" spans="1:6" x14ac:dyDescent="0.25">
      <c r="A123925"/>
      <c r="B123925"/>
      <c r="C123925"/>
      <c r="E123925"/>
      <c r="F123925"/>
    </row>
    <row r="123926" spans="1:6" x14ac:dyDescent="0.25">
      <c r="A123926"/>
      <c r="B123926"/>
      <c r="C123926"/>
      <c r="E123926"/>
      <c r="F123926"/>
    </row>
    <row r="123927" spans="1:6" x14ac:dyDescent="0.25">
      <c r="A123927"/>
      <c r="B123927"/>
      <c r="C123927"/>
      <c r="E123927"/>
      <c r="F123927"/>
    </row>
    <row r="123928" spans="1:6" x14ac:dyDescent="0.25">
      <c r="A123928"/>
      <c r="B123928"/>
      <c r="C123928"/>
      <c r="E123928"/>
      <c r="F123928"/>
    </row>
    <row r="123929" spans="1:6" x14ac:dyDescent="0.25">
      <c r="A123929"/>
      <c r="B123929"/>
      <c r="C123929"/>
      <c r="E123929"/>
      <c r="F123929"/>
    </row>
    <row r="123930" spans="1:6" x14ac:dyDescent="0.25">
      <c r="A123930"/>
      <c r="B123930"/>
      <c r="C123930"/>
      <c r="E123930"/>
      <c r="F123930"/>
    </row>
    <row r="123931" spans="1:6" x14ac:dyDescent="0.25">
      <c r="A123931"/>
      <c r="B123931"/>
      <c r="C123931"/>
      <c r="E123931"/>
      <c r="F123931"/>
    </row>
    <row r="123932" spans="1:6" x14ac:dyDescent="0.25">
      <c r="A123932"/>
      <c r="B123932"/>
      <c r="C123932"/>
      <c r="E123932"/>
      <c r="F123932"/>
    </row>
    <row r="123933" spans="1:6" x14ac:dyDescent="0.25">
      <c r="A123933"/>
      <c r="B123933"/>
      <c r="C123933"/>
      <c r="E123933"/>
      <c r="F123933"/>
    </row>
    <row r="123934" spans="1:6" x14ac:dyDescent="0.25">
      <c r="A123934"/>
      <c r="B123934"/>
      <c r="C123934"/>
      <c r="E123934"/>
      <c r="F123934"/>
    </row>
    <row r="123935" spans="1:6" x14ac:dyDescent="0.25">
      <c r="A123935"/>
      <c r="B123935"/>
      <c r="C123935"/>
      <c r="E123935"/>
      <c r="F123935"/>
    </row>
    <row r="123936" spans="1:6" x14ac:dyDescent="0.25">
      <c r="A123936"/>
      <c r="B123936"/>
      <c r="C123936"/>
      <c r="E123936"/>
      <c r="F123936"/>
    </row>
    <row r="123937" spans="1:6" x14ac:dyDescent="0.25">
      <c r="A123937"/>
      <c r="B123937"/>
      <c r="C123937"/>
      <c r="E123937"/>
      <c r="F123937"/>
    </row>
    <row r="123938" spans="1:6" x14ac:dyDescent="0.25">
      <c r="A123938"/>
      <c r="B123938"/>
      <c r="C123938"/>
      <c r="E123938"/>
      <c r="F123938"/>
    </row>
    <row r="123939" spans="1:6" x14ac:dyDescent="0.25">
      <c r="A123939"/>
      <c r="B123939"/>
      <c r="C123939"/>
      <c r="E123939"/>
      <c r="F123939"/>
    </row>
    <row r="123940" spans="1:6" x14ac:dyDescent="0.25">
      <c r="A123940"/>
      <c r="B123940"/>
      <c r="C123940"/>
      <c r="E123940"/>
      <c r="F123940"/>
    </row>
    <row r="123941" spans="1:6" x14ac:dyDescent="0.25">
      <c r="A123941"/>
      <c r="B123941"/>
      <c r="C123941"/>
      <c r="E123941"/>
      <c r="F123941"/>
    </row>
    <row r="123942" spans="1:6" x14ac:dyDescent="0.25">
      <c r="A123942"/>
      <c r="B123942"/>
      <c r="C123942"/>
      <c r="E123942"/>
      <c r="F123942"/>
    </row>
    <row r="123943" spans="1:6" x14ac:dyDescent="0.25">
      <c r="A123943"/>
      <c r="B123943"/>
      <c r="C123943"/>
      <c r="E123943"/>
      <c r="F123943"/>
    </row>
    <row r="123944" spans="1:6" x14ac:dyDescent="0.25">
      <c r="A123944"/>
      <c r="B123944"/>
      <c r="C123944"/>
      <c r="E123944"/>
      <c r="F123944"/>
    </row>
    <row r="123945" spans="1:6" x14ac:dyDescent="0.25">
      <c r="A123945"/>
      <c r="B123945"/>
      <c r="C123945"/>
      <c r="E123945"/>
      <c r="F123945"/>
    </row>
    <row r="123946" spans="1:6" x14ac:dyDescent="0.25">
      <c r="A123946"/>
      <c r="B123946"/>
      <c r="C123946"/>
      <c r="E123946"/>
      <c r="F123946"/>
    </row>
    <row r="123947" spans="1:6" x14ac:dyDescent="0.25">
      <c r="A123947"/>
      <c r="B123947"/>
      <c r="C123947"/>
      <c r="E123947"/>
      <c r="F123947"/>
    </row>
    <row r="123948" spans="1:6" x14ac:dyDescent="0.25">
      <c r="A123948"/>
      <c r="B123948"/>
      <c r="C123948"/>
      <c r="E123948"/>
      <c r="F123948"/>
    </row>
    <row r="123949" spans="1:6" x14ac:dyDescent="0.25">
      <c r="A123949"/>
      <c r="B123949"/>
      <c r="C123949"/>
      <c r="E123949"/>
      <c r="F123949"/>
    </row>
    <row r="123950" spans="1:6" x14ac:dyDescent="0.25">
      <c r="A123950"/>
      <c r="B123950"/>
      <c r="C123950"/>
      <c r="E123950"/>
      <c r="F123950"/>
    </row>
    <row r="123951" spans="1:6" x14ac:dyDescent="0.25">
      <c r="A123951"/>
      <c r="B123951"/>
      <c r="C123951"/>
      <c r="E123951"/>
      <c r="F123951"/>
    </row>
    <row r="123952" spans="1:6" x14ac:dyDescent="0.25">
      <c r="A123952"/>
      <c r="B123952"/>
      <c r="C123952"/>
      <c r="E123952"/>
      <c r="F123952"/>
    </row>
    <row r="123953" spans="1:6" x14ac:dyDescent="0.25">
      <c r="A123953"/>
      <c r="B123953"/>
      <c r="C123953"/>
      <c r="E123953"/>
      <c r="F123953"/>
    </row>
    <row r="123954" spans="1:6" x14ac:dyDescent="0.25">
      <c r="A123954"/>
      <c r="B123954"/>
      <c r="C123954"/>
      <c r="E123954"/>
      <c r="F123954"/>
    </row>
    <row r="123955" spans="1:6" x14ac:dyDescent="0.25">
      <c r="A123955"/>
      <c r="B123955"/>
      <c r="C123955"/>
      <c r="E123955"/>
      <c r="F123955"/>
    </row>
    <row r="123956" spans="1:6" x14ac:dyDescent="0.25">
      <c r="A123956"/>
      <c r="B123956"/>
      <c r="C123956"/>
      <c r="E123956"/>
      <c r="F123956"/>
    </row>
    <row r="123957" spans="1:6" x14ac:dyDescent="0.25">
      <c r="A123957"/>
      <c r="B123957"/>
      <c r="C123957"/>
      <c r="E123957"/>
      <c r="F123957"/>
    </row>
    <row r="123958" spans="1:6" x14ac:dyDescent="0.25">
      <c r="A123958"/>
      <c r="B123958"/>
      <c r="C123958"/>
      <c r="E123958"/>
      <c r="F123958"/>
    </row>
    <row r="123959" spans="1:6" x14ac:dyDescent="0.25">
      <c r="A123959"/>
      <c r="B123959"/>
      <c r="C123959"/>
      <c r="E123959"/>
      <c r="F123959"/>
    </row>
    <row r="123960" spans="1:6" x14ac:dyDescent="0.25">
      <c r="A123960"/>
      <c r="B123960"/>
      <c r="C123960"/>
      <c r="E123960"/>
      <c r="F123960"/>
    </row>
    <row r="123961" spans="1:6" x14ac:dyDescent="0.25">
      <c r="A123961"/>
      <c r="B123961"/>
      <c r="C123961"/>
      <c r="E123961"/>
      <c r="F123961"/>
    </row>
    <row r="123962" spans="1:6" x14ac:dyDescent="0.25">
      <c r="A123962"/>
      <c r="B123962"/>
      <c r="C123962"/>
      <c r="E123962"/>
      <c r="F123962"/>
    </row>
    <row r="123963" spans="1:6" x14ac:dyDescent="0.25">
      <c r="A123963"/>
      <c r="B123963"/>
      <c r="C123963"/>
      <c r="E123963"/>
      <c r="F123963"/>
    </row>
    <row r="123964" spans="1:6" x14ac:dyDescent="0.25">
      <c r="A123964"/>
      <c r="B123964"/>
      <c r="C123964"/>
      <c r="E123964"/>
      <c r="F123964"/>
    </row>
    <row r="123965" spans="1:6" x14ac:dyDescent="0.25">
      <c r="A123965"/>
      <c r="B123965"/>
      <c r="C123965"/>
      <c r="E123965"/>
      <c r="F123965"/>
    </row>
    <row r="123966" spans="1:6" x14ac:dyDescent="0.25">
      <c r="A123966"/>
      <c r="B123966"/>
      <c r="C123966"/>
      <c r="E123966"/>
      <c r="F123966"/>
    </row>
    <row r="123967" spans="1:6" x14ac:dyDescent="0.25">
      <c r="A123967"/>
      <c r="B123967"/>
      <c r="C123967"/>
      <c r="E123967"/>
      <c r="F123967"/>
    </row>
    <row r="123968" spans="1:6" x14ac:dyDescent="0.25">
      <c r="A123968"/>
      <c r="B123968"/>
      <c r="C123968"/>
      <c r="E123968"/>
      <c r="F123968"/>
    </row>
    <row r="123969" spans="1:6" x14ac:dyDescent="0.25">
      <c r="A123969"/>
      <c r="B123969"/>
      <c r="C123969"/>
      <c r="E123969"/>
      <c r="F123969"/>
    </row>
    <row r="123970" spans="1:6" x14ac:dyDescent="0.25">
      <c r="A123970"/>
      <c r="B123970"/>
      <c r="C123970"/>
      <c r="E123970"/>
      <c r="F123970"/>
    </row>
    <row r="123971" spans="1:6" x14ac:dyDescent="0.25">
      <c r="A123971"/>
      <c r="B123971"/>
      <c r="C123971"/>
      <c r="E123971"/>
      <c r="F123971"/>
    </row>
    <row r="123972" spans="1:6" x14ac:dyDescent="0.25">
      <c r="A123972"/>
      <c r="B123972"/>
      <c r="C123972"/>
      <c r="E123972"/>
      <c r="F123972"/>
    </row>
    <row r="123973" spans="1:6" x14ac:dyDescent="0.25">
      <c r="A123973"/>
      <c r="B123973"/>
      <c r="C123973"/>
      <c r="E123973"/>
      <c r="F123973"/>
    </row>
    <row r="123974" spans="1:6" x14ac:dyDescent="0.25">
      <c r="A123974"/>
      <c r="B123974"/>
      <c r="C123974"/>
      <c r="E123974"/>
      <c r="F123974"/>
    </row>
    <row r="123975" spans="1:6" x14ac:dyDescent="0.25">
      <c r="A123975"/>
      <c r="B123975"/>
      <c r="C123975"/>
      <c r="E123975"/>
      <c r="F123975"/>
    </row>
    <row r="123976" spans="1:6" x14ac:dyDescent="0.25">
      <c r="A123976"/>
      <c r="B123976"/>
      <c r="C123976"/>
      <c r="E123976"/>
      <c r="F123976"/>
    </row>
    <row r="123977" spans="1:6" x14ac:dyDescent="0.25">
      <c r="A123977"/>
      <c r="B123977"/>
      <c r="C123977"/>
      <c r="E123977"/>
      <c r="F123977"/>
    </row>
    <row r="123978" spans="1:6" x14ac:dyDescent="0.25">
      <c r="A123978"/>
      <c r="B123978"/>
      <c r="C123978"/>
      <c r="E123978"/>
      <c r="F123978"/>
    </row>
    <row r="123979" spans="1:6" x14ac:dyDescent="0.25">
      <c r="A123979"/>
      <c r="B123979"/>
      <c r="C123979"/>
      <c r="E123979"/>
      <c r="F123979"/>
    </row>
    <row r="123980" spans="1:6" x14ac:dyDescent="0.25">
      <c r="A123980"/>
      <c r="B123980"/>
      <c r="C123980"/>
      <c r="E123980"/>
      <c r="F123980"/>
    </row>
    <row r="123981" spans="1:6" x14ac:dyDescent="0.25">
      <c r="A123981"/>
      <c r="B123981"/>
      <c r="C123981"/>
      <c r="E123981"/>
      <c r="F123981"/>
    </row>
    <row r="123982" spans="1:6" x14ac:dyDescent="0.25">
      <c r="A123982"/>
      <c r="B123982"/>
      <c r="C123982"/>
      <c r="E123982"/>
      <c r="F123982"/>
    </row>
    <row r="123983" spans="1:6" x14ac:dyDescent="0.25">
      <c r="A123983"/>
      <c r="B123983"/>
      <c r="C123983"/>
      <c r="E123983"/>
      <c r="F123983"/>
    </row>
    <row r="123984" spans="1:6" x14ac:dyDescent="0.25">
      <c r="A123984"/>
      <c r="B123984"/>
      <c r="C123984"/>
      <c r="E123984"/>
      <c r="F123984"/>
    </row>
    <row r="123985" spans="1:6" x14ac:dyDescent="0.25">
      <c r="A123985"/>
      <c r="B123985"/>
      <c r="C123985"/>
      <c r="E123985"/>
      <c r="F123985"/>
    </row>
    <row r="123986" spans="1:6" x14ac:dyDescent="0.25">
      <c r="A123986"/>
      <c r="B123986"/>
      <c r="C123986"/>
      <c r="E123986"/>
      <c r="F123986"/>
    </row>
    <row r="123987" spans="1:6" x14ac:dyDescent="0.25">
      <c r="A123987"/>
      <c r="B123987"/>
      <c r="C123987"/>
      <c r="E123987"/>
      <c r="F123987"/>
    </row>
    <row r="123988" spans="1:6" x14ac:dyDescent="0.25">
      <c r="A123988"/>
      <c r="B123988"/>
      <c r="C123988"/>
      <c r="E123988"/>
      <c r="F123988"/>
    </row>
    <row r="123989" spans="1:6" x14ac:dyDescent="0.25">
      <c r="A123989"/>
      <c r="B123989"/>
      <c r="C123989"/>
      <c r="E123989"/>
      <c r="F123989"/>
    </row>
    <row r="123990" spans="1:6" x14ac:dyDescent="0.25">
      <c r="A123990"/>
      <c r="B123990"/>
      <c r="C123990"/>
      <c r="E123990"/>
      <c r="F123990"/>
    </row>
    <row r="123991" spans="1:6" x14ac:dyDescent="0.25">
      <c r="A123991"/>
      <c r="B123991"/>
      <c r="C123991"/>
      <c r="E123991"/>
      <c r="F123991"/>
    </row>
    <row r="123992" spans="1:6" x14ac:dyDescent="0.25">
      <c r="A123992"/>
      <c r="B123992"/>
      <c r="C123992"/>
      <c r="E123992"/>
      <c r="F123992"/>
    </row>
    <row r="123993" spans="1:6" x14ac:dyDescent="0.25">
      <c r="A123993"/>
      <c r="B123993"/>
      <c r="C123993"/>
      <c r="E123993"/>
      <c r="F123993"/>
    </row>
    <row r="123994" spans="1:6" x14ac:dyDescent="0.25">
      <c r="A123994"/>
      <c r="B123994"/>
      <c r="C123994"/>
      <c r="E123994"/>
      <c r="F123994"/>
    </row>
    <row r="123995" spans="1:6" x14ac:dyDescent="0.25">
      <c r="A123995"/>
      <c r="B123995"/>
      <c r="C123995"/>
      <c r="E123995"/>
      <c r="F123995"/>
    </row>
    <row r="123996" spans="1:6" x14ac:dyDescent="0.25">
      <c r="A123996"/>
      <c r="B123996"/>
      <c r="C123996"/>
      <c r="E123996"/>
      <c r="F123996"/>
    </row>
    <row r="123997" spans="1:6" x14ac:dyDescent="0.25">
      <c r="A123997"/>
      <c r="B123997"/>
      <c r="C123997"/>
      <c r="E123997"/>
      <c r="F123997"/>
    </row>
    <row r="123998" spans="1:6" x14ac:dyDescent="0.25">
      <c r="A123998"/>
      <c r="B123998"/>
      <c r="C123998"/>
      <c r="E123998"/>
      <c r="F123998"/>
    </row>
    <row r="123999" spans="1:6" x14ac:dyDescent="0.25">
      <c r="A123999"/>
      <c r="B123999"/>
      <c r="C123999"/>
      <c r="E123999"/>
      <c r="F123999"/>
    </row>
    <row r="124000" spans="1:6" x14ac:dyDescent="0.25">
      <c r="A124000"/>
      <c r="B124000"/>
      <c r="C124000"/>
      <c r="E124000"/>
      <c r="F124000"/>
    </row>
    <row r="124001" spans="1:6" x14ac:dyDescent="0.25">
      <c r="A124001"/>
      <c r="B124001"/>
      <c r="C124001"/>
      <c r="E124001"/>
      <c r="F124001"/>
    </row>
    <row r="124002" spans="1:6" x14ac:dyDescent="0.25">
      <c r="A124002"/>
      <c r="B124002"/>
      <c r="C124002"/>
      <c r="E124002"/>
      <c r="F124002"/>
    </row>
    <row r="124003" spans="1:6" x14ac:dyDescent="0.25">
      <c r="A124003"/>
      <c r="B124003"/>
      <c r="C124003"/>
      <c r="E124003"/>
      <c r="F124003"/>
    </row>
    <row r="124004" spans="1:6" x14ac:dyDescent="0.25">
      <c r="A124004"/>
      <c r="B124004"/>
      <c r="C124004"/>
      <c r="E124004"/>
      <c r="F124004"/>
    </row>
    <row r="124005" spans="1:6" x14ac:dyDescent="0.25">
      <c r="A124005"/>
      <c r="B124005"/>
      <c r="C124005"/>
      <c r="E124005"/>
      <c r="F124005"/>
    </row>
    <row r="124006" spans="1:6" x14ac:dyDescent="0.25">
      <c r="A124006"/>
      <c r="B124006"/>
      <c r="C124006"/>
      <c r="E124006"/>
      <c r="F124006"/>
    </row>
    <row r="124007" spans="1:6" x14ac:dyDescent="0.25">
      <c r="A124007"/>
      <c r="B124007"/>
      <c r="C124007"/>
      <c r="E124007"/>
      <c r="F124007"/>
    </row>
    <row r="124008" spans="1:6" x14ac:dyDescent="0.25">
      <c r="A124008"/>
      <c r="B124008"/>
      <c r="C124008"/>
      <c r="E124008"/>
      <c r="F124008"/>
    </row>
    <row r="124009" spans="1:6" x14ac:dyDescent="0.25">
      <c r="A124009"/>
      <c r="B124009"/>
      <c r="C124009"/>
      <c r="E124009"/>
      <c r="F124009"/>
    </row>
    <row r="124010" spans="1:6" x14ac:dyDescent="0.25">
      <c r="A124010"/>
      <c r="B124010"/>
      <c r="C124010"/>
      <c r="E124010"/>
      <c r="F124010"/>
    </row>
    <row r="124011" spans="1:6" x14ac:dyDescent="0.25">
      <c r="A124011"/>
      <c r="B124011"/>
      <c r="C124011"/>
      <c r="E124011"/>
      <c r="F124011"/>
    </row>
    <row r="124012" spans="1:6" x14ac:dyDescent="0.25">
      <c r="A124012"/>
      <c r="B124012"/>
      <c r="C124012"/>
      <c r="E124012"/>
      <c r="F124012"/>
    </row>
    <row r="124013" spans="1:6" x14ac:dyDescent="0.25">
      <c r="A124013"/>
      <c r="B124013"/>
      <c r="C124013"/>
      <c r="E124013"/>
      <c r="F124013"/>
    </row>
    <row r="124014" spans="1:6" x14ac:dyDescent="0.25">
      <c r="A124014"/>
      <c r="B124014"/>
      <c r="C124014"/>
      <c r="E124014"/>
      <c r="F124014"/>
    </row>
    <row r="124015" spans="1:6" x14ac:dyDescent="0.25">
      <c r="A124015"/>
      <c r="B124015"/>
      <c r="C124015"/>
      <c r="E124015"/>
      <c r="F124015"/>
    </row>
    <row r="124016" spans="1:6" x14ac:dyDescent="0.25">
      <c r="A124016"/>
      <c r="B124016"/>
      <c r="C124016"/>
      <c r="E124016"/>
      <c r="F124016"/>
    </row>
    <row r="124017" spans="1:6" x14ac:dyDescent="0.25">
      <c r="A124017"/>
      <c r="B124017"/>
      <c r="C124017"/>
      <c r="E124017"/>
      <c r="F124017"/>
    </row>
    <row r="124018" spans="1:6" x14ac:dyDescent="0.25">
      <c r="A124018"/>
      <c r="B124018"/>
      <c r="C124018"/>
      <c r="E124018"/>
      <c r="F124018"/>
    </row>
    <row r="124019" spans="1:6" x14ac:dyDescent="0.25">
      <c r="A124019"/>
      <c r="B124019"/>
      <c r="C124019"/>
      <c r="E124019"/>
      <c r="F124019"/>
    </row>
    <row r="124020" spans="1:6" x14ac:dyDescent="0.25">
      <c r="A124020"/>
      <c r="B124020"/>
      <c r="C124020"/>
      <c r="E124020"/>
      <c r="F124020"/>
    </row>
    <row r="124021" spans="1:6" x14ac:dyDescent="0.25">
      <c r="A124021"/>
      <c r="B124021"/>
      <c r="C124021"/>
      <c r="E124021"/>
      <c r="F124021"/>
    </row>
    <row r="124022" spans="1:6" x14ac:dyDescent="0.25">
      <c r="A124022"/>
      <c r="B124022"/>
      <c r="C124022"/>
      <c r="E124022"/>
      <c r="F124022"/>
    </row>
    <row r="124023" spans="1:6" x14ac:dyDescent="0.25">
      <c r="A124023"/>
      <c r="B124023"/>
      <c r="C124023"/>
      <c r="E124023"/>
      <c r="F124023"/>
    </row>
    <row r="124024" spans="1:6" x14ac:dyDescent="0.25">
      <c r="A124024"/>
      <c r="B124024"/>
      <c r="C124024"/>
      <c r="E124024"/>
      <c r="F124024"/>
    </row>
    <row r="124025" spans="1:6" x14ac:dyDescent="0.25">
      <c r="A124025"/>
      <c r="B124025"/>
      <c r="C124025"/>
      <c r="E124025"/>
      <c r="F124025"/>
    </row>
    <row r="124026" spans="1:6" x14ac:dyDescent="0.25">
      <c r="A124026"/>
      <c r="B124026"/>
      <c r="C124026"/>
      <c r="E124026"/>
      <c r="F124026"/>
    </row>
    <row r="124027" spans="1:6" x14ac:dyDescent="0.25">
      <c r="A124027"/>
      <c r="B124027"/>
      <c r="C124027"/>
      <c r="E124027"/>
      <c r="F124027"/>
    </row>
    <row r="124028" spans="1:6" x14ac:dyDescent="0.25">
      <c r="A124028"/>
      <c r="B124028"/>
      <c r="C124028"/>
      <c r="E124028"/>
      <c r="F124028"/>
    </row>
    <row r="124029" spans="1:6" x14ac:dyDescent="0.25">
      <c r="A124029"/>
      <c r="B124029"/>
      <c r="C124029"/>
      <c r="E124029"/>
      <c r="F124029"/>
    </row>
    <row r="124030" spans="1:6" x14ac:dyDescent="0.25">
      <c r="A124030"/>
      <c r="B124030"/>
      <c r="C124030"/>
      <c r="E124030"/>
      <c r="F124030"/>
    </row>
    <row r="124031" spans="1:6" x14ac:dyDescent="0.25">
      <c r="A124031"/>
      <c r="B124031"/>
      <c r="C124031"/>
      <c r="E124031"/>
      <c r="F124031"/>
    </row>
    <row r="124032" spans="1:6" x14ac:dyDescent="0.25">
      <c r="A124032"/>
      <c r="B124032"/>
      <c r="C124032"/>
      <c r="E124032"/>
      <c r="F124032"/>
    </row>
    <row r="124033" spans="1:6" x14ac:dyDescent="0.25">
      <c r="A124033"/>
      <c r="B124033"/>
      <c r="C124033"/>
      <c r="E124033"/>
      <c r="F124033"/>
    </row>
    <row r="124034" spans="1:6" x14ac:dyDescent="0.25">
      <c r="A124034"/>
      <c r="B124034"/>
      <c r="C124034"/>
      <c r="E124034"/>
      <c r="F124034"/>
    </row>
    <row r="124035" spans="1:6" x14ac:dyDescent="0.25">
      <c r="A124035"/>
      <c r="B124035"/>
      <c r="C124035"/>
      <c r="E124035"/>
      <c r="F124035"/>
    </row>
    <row r="124036" spans="1:6" x14ac:dyDescent="0.25">
      <c r="A124036"/>
      <c r="B124036"/>
      <c r="C124036"/>
      <c r="E124036"/>
      <c r="F124036"/>
    </row>
    <row r="124037" spans="1:6" x14ac:dyDescent="0.25">
      <c r="A124037"/>
      <c r="B124037"/>
      <c r="C124037"/>
      <c r="E124037"/>
      <c r="F124037"/>
    </row>
    <row r="124038" spans="1:6" x14ac:dyDescent="0.25">
      <c r="A124038"/>
      <c r="B124038"/>
      <c r="C124038"/>
      <c r="E124038"/>
      <c r="F124038"/>
    </row>
    <row r="124039" spans="1:6" x14ac:dyDescent="0.25">
      <c r="A124039"/>
      <c r="B124039"/>
      <c r="C124039"/>
      <c r="E124039"/>
      <c r="F124039"/>
    </row>
    <row r="124040" spans="1:6" x14ac:dyDescent="0.25">
      <c r="A124040"/>
      <c r="B124040"/>
      <c r="C124040"/>
      <c r="E124040"/>
      <c r="F124040"/>
    </row>
    <row r="124041" spans="1:6" x14ac:dyDescent="0.25">
      <c r="A124041"/>
      <c r="B124041"/>
      <c r="C124041"/>
      <c r="E124041"/>
      <c r="F124041"/>
    </row>
    <row r="124042" spans="1:6" x14ac:dyDescent="0.25">
      <c r="A124042"/>
      <c r="B124042"/>
      <c r="C124042"/>
      <c r="E124042"/>
      <c r="F124042"/>
    </row>
    <row r="124043" spans="1:6" x14ac:dyDescent="0.25">
      <c r="A124043"/>
      <c r="B124043"/>
      <c r="C124043"/>
      <c r="E124043"/>
      <c r="F124043"/>
    </row>
    <row r="124044" spans="1:6" x14ac:dyDescent="0.25">
      <c r="A124044"/>
      <c r="B124044"/>
      <c r="C124044"/>
      <c r="E124044"/>
      <c r="F124044"/>
    </row>
    <row r="124045" spans="1:6" x14ac:dyDescent="0.25">
      <c r="A124045"/>
      <c r="B124045"/>
      <c r="C124045"/>
      <c r="E124045"/>
      <c r="F124045"/>
    </row>
    <row r="124046" spans="1:6" x14ac:dyDescent="0.25">
      <c r="A124046"/>
      <c r="B124046"/>
      <c r="C124046"/>
      <c r="E124046"/>
      <c r="F124046"/>
    </row>
    <row r="124047" spans="1:6" x14ac:dyDescent="0.25">
      <c r="A124047"/>
      <c r="B124047"/>
      <c r="C124047"/>
      <c r="E124047"/>
      <c r="F124047"/>
    </row>
    <row r="124048" spans="1:6" x14ac:dyDescent="0.25">
      <c r="A124048"/>
      <c r="B124048"/>
      <c r="C124048"/>
      <c r="E124048"/>
      <c r="F124048"/>
    </row>
    <row r="124049" spans="1:6" x14ac:dyDescent="0.25">
      <c r="A124049"/>
      <c r="B124049"/>
      <c r="C124049"/>
      <c r="E124049"/>
      <c r="F124049"/>
    </row>
    <row r="124050" spans="1:6" x14ac:dyDescent="0.25">
      <c r="A124050"/>
      <c r="B124050"/>
      <c r="C124050"/>
      <c r="E124050"/>
      <c r="F124050"/>
    </row>
    <row r="124051" spans="1:6" x14ac:dyDescent="0.25">
      <c r="A124051"/>
      <c r="B124051"/>
      <c r="C124051"/>
      <c r="E124051"/>
      <c r="F124051"/>
    </row>
    <row r="124052" spans="1:6" x14ac:dyDescent="0.25">
      <c r="A124052"/>
      <c r="B124052"/>
      <c r="C124052"/>
      <c r="E124052"/>
      <c r="F124052"/>
    </row>
    <row r="124053" spans="1:6" x14ac:dyDescent="0.25">
      <c r="A124053"/>
      <c r="B124053"/>
      <c r="C124053"/>
      <c r="E124053"/>
      <c r="F124053"/>
    </row>
    <row r="124054" spans="1:6" x14ac:dyDescent="0.25">
      <c r="A124054"/>
      <c r="B124054"/>
      <c r="C124054"/>
      <c r="E124054"/>
      <c r="F124054"/>
    </row>
    <row r="124055" spans="1:6" x14ac:dyDescent="0.25">
      <c r="A124055"/>
      <c r="B124055"/>
      <c r="C124055"/>
      <c r="E124055"/>
      <c r="F124055"/>
    </row>
    <row r="124056" spans="1:6" x14ac:dyDescent="0.25">
      <c r="A124056"/>
      <c r="B124056"/>
      <c r="C124056"/>
      <c r="E124056"/>
      <c r="F124056"/>
    </row>
    <row r="124057" spans="1:6" x14ac:dyDescent="0.25">
      <c r="A124057"/>
      <c r="B124057"/>
      <c r="C124057"/>
      <c r="E124057"/>
      <c r="F124057"/>
    </row>
    <row r="124058" spans="1:6" x14ac:dyDescent="0.25">
      <c r="A124058"/>
      <c r="B124058"/>
      <c r="C124058"/>
      <c r="E124058"/>
      <c r="F124058"/>
    </row>
    <row r="124059" spans="1:6" x14ac:dyDescent="0.25">
      <c r="A124059"/>
      <c r="B124059"/>
      <c r="C124059"/>
      <c r="E124059"/>
      <c r="F124059"/>
    </row>
    <row r="124060" spans="1:6" x14ac:dyDescent="0.25">
      <c r="A124060"/>
      <c r="B124060"/>
      <c r="C124060"/>
      <c r="E124060"/>
      <c r="F124060"/>
    </row>
    <row r="124061" spans="1:6" x14ac:dyDescent="0.25">
      <c r="A124061"/>
      <c r="B124061"/>
      <c r="C124061"/>
      <c r="E124061"/>
      <c r="F124061"/>
    </row>
    <row r="124062" spans="1:6" x14ac:dyDescent="0.25">
      <c r="A124062"/>
      <c r="B124062"/>
      <c r="C124062"/>
      <c r="E124062"/>
      <c r="F124062"/>
    </row>
    <row r="124063" spans="1:6" x14ac:dyDescent="0.25">
      <c r="A124063"/>
      <c r="B124063"/>
      <c r="C124063"/>
      <c r="E124063"/>
      <c r="F124063"/>
    </row>
    <row r="124064" spans="1:6" x14ac:dyDescent="0.25">
      <c r="A124064"/>
      <c r="B124064"/>
      <c r="C124064"/>
      <c r="E124064"/>
      <c r="F124064"/>
    </row>
    <row r="124065" spans="1:6" x14ac:dyDescent="0.25">
      <c r="A124065"/>
      <c r="B124065"/>
      <c r="C124065"/>
      <c r="E124065"/>
      <c r="F124065"/>
    </row>
    <row r="124066" spans="1:6" x14ac:dyDescent="0.25">
      <c r="A124066"/>
      <c r="B124066"/>
      <c r="C124066"/>
      <c r="E124066"/>
      <c r="F124066"/>
    </row>
    <row r="124067" spans="1:6" x14ac:dyDescent="0.25">
      <c r="A124067"/>
      <c r="B124067"/>
      <c r="C124067"/>
      <c r="E124067"/>
      <c r="F124067"/>
    </row>
    <row r="124068" spans="1:6" x14ac:dyDescent="0.25">
      <c r="A124068"/>
      <c r="B124068"/>
      <c r="C124068"/>
      <c r="E124068"/>
      <c r="F124068"/>
    </row>
    <row r="124069" spans="1:6" x14ac:dyDescent="0.25">
      <c r="A124069"/>
      <c r="B124069"/>
      <c r="C124069"/>
      <c r="E124069"/>
      <c r="F124069"/>
    </row>
    <row r="124070" spans="1:6" x14ac:dyDescent="0.25">
      <c r="A124070"/>
      <c r="B124070"/>
      <c r="C124070"/>
      <c r="E124070"/>
      <c r="F124070"/>
    </row>
    <row r="124071" spans="1:6" x14ac:dyDescent="0.25">
      <c r="A124071"/>
      <c r="B124071"/>
      <c r="C124071"/>
      <c r="E124071"/>
      <c r="F124071"/>
    </row>
    <row r="124072" spans="1:6" x14ac:dyDescent="0.25">
      <c r="A124072"/>
      <c r="B124072"/>
      <c r="C124072"/>
      <c r="E124072"/>
      <c r="F124072"/>
    </row>
    <row r="124073" spans="1:6" x14ac:dyDescent="0.25">
      <c r="A124073"/>
      <c r="B124073"/>
      <c r="C124073"/>
      <c r="E124073"/>
      <c r="F124073"/>
    </row>
    <row r="124074" spans="1:6" x14ac:dyDescent="0.25">
      <c r="A124074"/>
      <c r="B124074"/>
      <c r="C124074"/>
      <c r="E124074"/>
      <c r="F124074"/>
    </row>
    <row r="124075" spans="1:6" x14ac:dyDescent="0.25">
      <c r="A124075"/>
      <c r="B124075"/>
      <c r="C124075"/>
      <c r="E124075"/>
      <c r="F124075"/>
    </row>
    <row r="124076" spans="1:6" x14ac:dyDescent="0.25">
      <c r="A124076"/>
      <c r="B124076"/>
      <c r="C124076"/>
      <c r="E124076"/>
      <c r="F124076"/>
    </row>
    <row r="124077" spans="1:6" x14ac:dyDescent="0.25">
      <c r="A124077"/>
      <c r="B124077"/>
      <c r="C124077"/>
      <c r="E124077"/>
      <c r="F124077"/>
    </row>
    <row r="124078" spans="1:6" x14ac:dyDescent="0.25">
      <c r="A124078"/>
      <c r="B124078"/>
      <c r="C124078"/>
      <c r="E124078"/>
      <c r="F124078"/>
    </row>
    <row r="124079" spans="1:6" x14ac:dyDescent="0.25">
      <c r="A124079"/>
      <c r="B124079"/>
      <c r="C124079"/>
      <c r="E124079"/>
      <c r="F124079"/>
    </row>
    <row r="124080" spans="1:6" x14ac:dyDescent="0.25">
      <c r="A124080"/>
      <c r="B124080"/>
      <c r="C124080"/>
      <c r="E124080"/>
      <c r="F124080"/>
    </row>
    <row r="124081" spans="1:6" x14ac:dyDescent="0.25">
      <c r="A124081"/>
      <c r="B124081"/>
      <c r="C124081"/>
      <c r="E124081"/>
      <c r="F124081"/>
    </row>
    <row r="124082" spans="1:6" x14ac:dyDescent="0.25">
      <c r="A124082"/>
      <c r="B124082"/>
      <c r="C124082"/>
      <c r="E124082"/>
      <c r="F124082"/>
    </row>
    <row r="124083" spans="1:6" x14ac:dyDescent="0.25">
      <c r="A124083"/>
      <c r="B124083"/>
      <c r="C124083"/>
      <c r="E124083"/>
      <c r="F124083"/>
    </row>
    <row r="124084" spans="1:6" x14ac:dyDescent="0.25">
      <c r="A124084"/>
      <c r="B124084"/>
      <c r="C124084"/>
      <c r="E124084"/>
      <c r="F124084"/>
    </row>
    <row r="124085" spans="1:6" x14ac:dyDescent="0.25">
      <c r="A124085"/>
      <c r="B124085"/>
      <c r="C124085"/>
      <c r="E124085"/>
      <c r="F124085"/>
    </row>
    <row r="124086" spans="1:6" x14ac:dyDescent="0.25">
      <c r="A124086"/>
      <c r="B124086"/>
      <c r="C124086"/>
      <c r="E124086"/>
      <c r="F124086"/>
    </row>
    <row r="124087" spans="1:6" x14ac:dyDescent="0.25">
      <c r="A124087"/>
      <c r="B124087"/>
      <c r="C124087"/>
      <c r="E124087"/>
      <c r="F124087"/>
    </row>
    <row r="124088" spans="1:6" x14ac:dyDescent="0.25">
      <c r="A124088"/>
      <c r="B124088"/>
      <c r="C124088"/>
      <c r="E124088"/>
      <c r="F124088"/>
    </row>
    <row r="124089" spans="1:6" x14ac:dyDescent="0.25">
      <c r="A124089"/>
      <c r="B124089"/>
      <c r="C124089"/>
      <c r="E124089"/>
      <c r="F124089"/>
    </row>
    <row r="124090" spans="1:6" x14ac:dyDescent="0.25">
      <c r="A124090"/>
      <c r="B124090"/>
      <c r="C124090"/>
      <c r="E124090"/>
      <c r="F124090"/>
    </row>
    <row r="124091" spans="1:6" x14ac:dyDescent="0.25">
      <c r="A124091"/>
      <c r="B124091"/>
      <c r="C124091"/>
      <c r="E124091"/>
      <c r="F124091"/>
    </row>
    <row r="124092" spans="1:6" x14ac:dyDescent="0.25">
      <c r="A124092"/>
      <c r="B124092"/>
      <c r="C124092"/>
      <c r="E124092"/>
      <c r="F124092"/>
    </row>
    <row r="124093" spans="1:6" x14ac:dyDescent="0.25">
      <c r="A124093"/>
      <c r="B124093"/>
      <c r="C124093"/>
      <c r="E124093"/>
      <c r="F124093"/>
    </row>
    <row r="124094" spans="1:6" x14ac:dyDescent="0.25">
      <c r="A124094"/>
      <c r="B124094"/>
      <c r="C124094"/>
      <c r="E124094"/>
      <c r="F124094"/>
    </row>
    <row r="124095" spans="1:6" x14ac:dyDescent="0.25">
      <c r="A124095"/>
      <c r="B124095"/>
      <c r="C124095"/>
      <c r="E124095"/>
      <c r="F124095"/>
    </row>
    <row r="124096" spans="1:6" x14ac:dyDescent="0.25">
      <c r="A124096"/>
      <c r="B124096"/>
      <c r="C124096"/>
      <c r="E124096"/>
      <c r="F124096"/>
    </row>
    <row r="124097" spans="1:6" x14ac:dyDescent="0.25">
      <c r="A124097"/>
      <c r="B124097"/>
      <c r="C124097"/>
      <c r="E124097"/>
      <c r="F124097"/>
    </row>
    <row r="124098" spans="1:6" x14ac:dyDescent="0.25">
      <c r="A124098"/>
      <c r="B124098"/>
      <c r="C124098"/>
      <c r="E124098"/>
      <c r="F124098"/>
    </row>
    <row r="124099" spans="1:6" x14ac:dyDescent="0.25">
      <c r="A124099"/>
      <c r="B124099"/>
      <c r="C124099"/>
      <c r="E124099"/>
      <c r="F124099"/>
    </row>
    <row r="124100" spans="1:6" x14ac:dyDescent="0.25">
      <c r="A124100"/>
      <c r="B124100"/>
      <c r="C124100"/>
      <c r="E124100"/>
      <c r="F124100"/>
    </row>
    <row r="124101" spans="1:6" x14ac:dyDescent="0.25">
      <c r="A124101"/>
      <c r="B124101"/>
      <c r="C124101"/>
      <c r="E124101"/>
      <c r="F124101"/>
    </row>
    <row r="124102" spans="1:6" x14ac:dyDescent="0.25">
      <c r="A124102"/>
      <c r="B124102"/>
      <c r="C124102"/>
      <c r="E124102"/>
      <c r="F124102"/>
    </row>
    <row r="124103" spans="1:6" x14ac:dyDescent="0.25">
      <c r="A124103"/>
      <c r="B124103"/>
      <c r="C124103"/>
      <c r="E124103"/>
      <c r="F124103"/>
    </row>
    <row r="124104" spans="1:6" x14ac:dyDescent="0.25">
      <c r="A124104"/>
      <c r="B124104"/>
      <c r="C124104"/>
      <c r="E124104"/>
      <c r="F124104"/>
    </row>
    <row r="124105" spans="1:6" x14ac:dyDescent="0.25">
      <c r="A124105"/>
      <c r="B124105"/>
      <c r="C124105"/>
      <c r="E124105"/>
      <c r="F124105"/>
    </row>
    <row r="124106" spans="1:6" x14ac:dyDescent="0.25">
      <c r="A124106"/>
      <c r="B124106"/>
      <c r="C124106"/>
      <c r="E124106"/>
      <c r="F124106"/>
    </row>
    <row r="124107" spans="1:6" x14ac:dyDescent="0.25">
      <c r="A124107"/>
      <c r="B124107"/>
      <c r="C124107"/>
      <c r="E124107"/>
      <c r="F124107"/>
    </row>
    <row r="124108" spans="1:6" x14ac:dyDescent="0.25">
      <c r="A124108"/>
      <c r="B124108"/>
      <c r="C124108"/>
      <c r="E124108"/>
      <c r="F124108"/>
    </row>
    <row r="124109" spans="1:6" x14ac:dyDescent="0.25">
      <c r="A124109"/>
      <c r="B124109"/>
      <c r="C124109"/>
      <c r="E124109"/>
      <c r="F124109"/>
    </row>
    <row r="124110" spans="1:6" x14ac:dyDescent="0.25">
      <c r="A124110"/>
      <c r="B124110"/>
      <c r="C124110"/>
      <c r="E124110"/>
      <c r="F124110"/>
    </row>
    <row r="124111" spans="1:6" x14ac:dyDescent="0.25">
      <c r="A124111"/>
      <c r="B124111"/>
      <c r="C124111"/>
      <c r="E124111"/>
      <c r="F124111"/>
    </row>
    <row r="124112" spans="1:6" x14ac:dyDescent="0.25">
      <c r="A124112"/>
      <c r="B124112"/>
      <c r="C124112"/>
      <c r="E124112"/>
      <c r="F124112"/>
    </row>
    <row r="124113" spans="1:6" x14ac:dyDescent="0.25">
      <c r="A124113"/>
      <c r="B124113"/>
      <c r="C124113"/>
      <c r="E124113"/>
      <c r="F124113"/>
    </row>
    <row r="124114" spans="1:6" x14ac:dyDescent="0.25">
      <c r="A124114"/>
      <c r="B124114"/>
      <c r="C124114"/>
      <c r="E124114"/>
      <c r="F124114"/>
    </row>
    <row r="124115" spans="1:6" x14ac:dyDescent="0.25">
      <c r="A124115"/>
      <c r="B124115"/>
      <c r="C124115"/>
      <c r="E124115"/>
      <c r="F124115"/>
    </row>
    <row r="124116" spans="1:6" x14ac:dyDescent="0.25">
      <c r="A124116"/>
      <c r="B124116"/>
      <c r="C124116"/>
      <c r="E124116"/>
      <c r="F124116"/>
    </row>
    <row r="124117" spans="1:6" x14ac:dyDescent="0.25">
      <c r="A124117"/>
      <c r="B124117"/>
      <c r="C124117"/>
      <c r="E124117"/>
      <c r="F124117"/>
    </row>
    <row r="124118" spans="1:6" x14ac:dyDescent="0.25">
      <c r="A124118"/>
      <c r="B124118"/>
      <c r="C124118"/>
      <c r="E124118"/>
      <c r="F124118"/>
    </row>
    <row r="124119" spans="1:6" x14ac:dyDescent="0.25">
      <c r="A124119"/>
      <c r="B124119"/>
      <c r="C124119"/>
      <c r="E124119"/>
      <c r="F124119"/>
    </row>
    <row r="124120" spans="1:6" x14ac:dyDescent="0.25">
      <c r="A124120"/>
      <c r="B124120"/>
      <c r="C124120"/>
      <c r="E124120"/>
      <c r="F124120"/>
    </row>
    <row r="124121" spans="1:6" x14ac:dyDescent="0.25">
      <c r="A124121"/>
      <c r="B124121"/>
      <c r="C124121"/>
      <c r="E124121"/>
      <c r="F124121"/>
    </row>
    <row r="124122" spans="1:6" x14ac:dyDescent="0.25">
      <c r="A124122"/>
      <c r="B124122"/>
      <c r="C124122"/>
      <c r="E124122"/>
      <c r="F124122"/>
    </row>
    <row r="124123" spans="1:6" x14ac:dyDescent="0.25">
      <c r="A124123"/>
      <c r="B124123"/>
      <c r="C124123"/>
      <c r="E124123"/>
      <c r="F124123"/>
    </row>
    <row r="124124" spans="1:6" x14ac:dyDescent="0.25">
      <c r="A124124"/>
      <c r="B124124"/>
      <c r="C124124"/>
      <c r="E124124"/>
      <c r="F124124"/>
    </row>
    <row r="124125" spans="1:6" x14ac:dyDescent="0.25">
      <c r="A124125"/>
      <c r="B124125"/>
      <c r="C124125"/>
      <c r="E124125"/>
      <c r="F124125"/>
    </row>
    <row r="124126" spans="1:6" x14ac:dyDescent="0.25">
      <c r="A124126"/>
      <c r="B124126"/>
      <c r="C124126"/>
      <c r="E124126"/>
      <c r="F124126"/>
    </row>
    <row r="124127" spans="1:6" x14ac:dyDescent="0.25">
      <c r="A124127"/>
      <c r="B124127"/>
      <c r="C124127"/>
      <c r="E124127"/>
      <c r="F124127"/>
    </row>
    <row r="124128" spans="1:6" x14ac:dyDescent="0.25">
      <c r="A124128"/>
      <c r="B124128"/>
      <c r="C124128"/>
      <c r="E124128"/>
      <c r="F124128"/>
    </row>
    <row r="124129" spans="1:6" x14ac:dyDescent="0.25">
      <c r="A124129"/>
      <c r="B124129"/>
      <c r="C124129"/>
      <c r="E124129"/>
      <c r="F124129"/>
    </row>
    <row r="124130" spans="1:6" x14ac:dyDescent="0.25">
      <c r="A124130"/>
      <c r="B124130"/>
      <c r="C124130"/>
      <c r="E124130"/>
      <c r="F124130"/>
    </row>
    <row r="124131" spans="1:6" x14ac:dyDescent="0.25">
      <c r="A124131"/>
      <c r="B124131"/>
      <c r="C124131"/>
      <c r="E124131"/>
      <c r="F124131"/>
    </row>
    <row r="124132" spans="1:6" x14ac:dyDescent="0.25">
      <c r="A124132"/>
      <c r="B124132"/>
      <c r="C124132"/>
      <c r="E124132"/>
      <c r="F124132"/>
    </row>
    <row r="124133" spans="1:6" x14ac:dyDescent="0.25">
      <c r="A124133"/>
      <c r="B124133"/>
      <c r="C124133"/>
      <c r="E124133"/>
      <c r="F124133"/>
    </row>
    <row r="124134" spans="1:6" x14ac:dyDescent="0.25">
      <c r="A124134"/>
      <c r="B124134"/>
      <c r="C124134"/>
      <c r="E124134"/>
      <c r="F124134"/>
    </row>
    <row r="124135" spans="1:6" x14ac:dyDescent="0.25">
      <c r="A124135"/>
      <c r="B124135"/>
      <c r="C124135"/>
      <c r="E124135"/>
      <c r="F124135"/>
    </row>
    <row r="124136" spans="1:6" x14ac:dyDescent="0.25">
      <c r="A124136"/>
      <c r="B124136"/>
      <c r="C124136"/>
      <c r="E124136"/>
      <c r="F124136"/>
    </row>
    <row r="124137" spans="1:6" x14ac:dyDescent="0.25">
      <c r="A124137"/>
      <c r="B124137"/>
      <c r="C124137"/>
      <c r="E124137"/>
      <c r="F124137"/>
    </row>
    <row r="124138" spans="1:6" x14ac:dyDescent="0.25">
      <c r="A124138"/>
      <c r="B124138"/>
      <c r="C124138"/>
      <c r="E124138"/>
      <c r="F124138"/>
    </row>
    <row r="124139" spans="1:6" x14ac:dyDescent="0.25">
      <c r="A124139"/>
      <c r="B124139"/>
      <c r="C124139"/>
      <c r="E124139"/>
      <c r="F124139"/>
    </row>
    <row r="124140" spans="1:6" x14ac:dyDescent="0.25">
      <c r="A124140"/>
      <c r="B124140"/>
      <c r="C124140"/>
      <c r="E124140"/>
      <c r="F124140"/>
    </row>
    <row r="124141" spans="1:6" x14ac:dyDescent="0.25">
      <c r="A124141"/>
      <c r="B124141"/>
      <c r="C124141"/>
      <c r="E124141"/>
      <c r="F124141"/>
    </row>
    <row r="124142" spans="1:6" x14ac:dyDescent="0.25">
      <c r="A124142"/>
      <c r="B124142"/>
      <c r="C124142"/>
      <c r="E124142"/>
      <c r="F124142"/>
    </row>
    <row r="124143" spans="1:6" x14ac:dyDescent="0.25">
      <c r="A124143"/>
      <c r="B124143"/>
      <c r="C124143"/>
      <c r="E124143"/>
      <c r="F124143"/>
    </row>
    <row r="124144" spans="1:6" x14ac:dyDescent="0.25">
      <c r="A124144"/>
      <c r="B124144"/>
      <c r="C124144"/>
      <c r="E124144"/>
      <c r="F124144"/>
    </row>
    <row r="124145" spans="1:6" x14ac:dyDescent="0.25">
      <c r="A124145"/>
      <c r="B124145"/>
      <c r="C124145"/>
      <c r="E124145"/>
      <c r="F124145"/>
    </row>
    <row r="124146" spans="1:6" x14ac:dyDescent="0.25">
      <c r="A124146"/>
      <c r="B124146"/>
      <c r="C124146"/>
      <c r="E124146"/>
      <c r="F124146"/>
    </row>
    <row r="124147" spans="1:6" x14ac:dyDescent="0.25">
      <c r="A124147"/>
      <c r="B124147"/>
      <c r="C124147"/>
      <c r="E124147"/>
      <c r="F124147"/>
    </row>
    <row r="124148" spans="1:6" x14ac:dyDescent="0.25">
      <c r="A124148"/>
      <c r="B124148"/>
      <c r="C124148"/>
      <c r="E124148"/>
      <c r="F124148"/>
    </row>
    <row r="124149" spans="1:6" x14ac:dyDescent="0.25">
      <c r="A124149"/>
      <c r="B124149"/>
      <c r="C124149"/>
      <c r="E124149"/>
      <c r="F124149"/>
    </row>
    <row r="124150" spans="1:6" x14ac:dyDescent="0.25">
      <c r="A124150"/>
      <c r="B124150"/>
      <c r="C124150"/>
      <c r="E124150"/>
      <c r="F124150"/>
    </row>
    <row r="124151" spans="1:6" x14ac:dyDescent="0.25">
      <c r="A124151"/>
      <c r="B124151"/>
      <c r="C124151"/>
      <c r="E124151"/>
      <c r="F124151"/>
    </row>
    <row r="124152" spans="1:6" x14ac:dyDescent="0.25">
      <c r="A124152"/>
      <c r="B124152"/>
      <c r="C124152"/>
      <c r="E124152"/>
      <c r="F124152"/>
    </row>
    <row r="124153" spans="1:6" x14ac:dyDescent="0.25">
      <c r="A124153"/>
      <c r="B124153"/>
      <c r="C124153"/>
      <c r="E124153"/>
      <c r="F124153"/>
    </row>
    <row r="124154" spans="1:6" x14ac:dyDescent="0.25">
      <c r="A124154"/>
      <c r="B124154"/>
      <c r="C124154"/>
      <c r="E124154"/>
      <c r="F124154"/>
    </row>
    <row r="124155" spans="1:6" x14ac:dyDescent="0.25">
      <c r="A124155"/>
      <c r="B124155"/>
      <c r="C124155"/>
      <c r="E124155"/>
      <c r="F124155"/>
    </row>
    <row r="124156" spans="1:6" x14ac:dyDescent="0.25">
      <c r="A124156"/>
      <c r="B124156"/>
      <c r="C124156"/>
      <c r="E124156"/>
      <c r="F124156"/>
    </row>
    <row r="124157" spans="1:6" x14ac:dyDescent="0.25">
      <c r="A124157"/>
      <c r="B124157"/>
      <c r="C124157"/>
      <c r="E124157"/>
      <c r="F124157"/>
    </row>
    <row r="124158" spans="1:6" x14ac:dyDescent="0.25">
      <c r="A124158"/>
      <c r="B124158"/>
      <c r="C124158"/>
      <c r="E124158"/>
      <c r="F124158"/>
    </row>
    <row r="124159" spans="1:6" x14ac:dyDescent="0.25">
      <c r="A124159"/>
      <c r="B124159"/>
      <c r="C124159"/>
      <c r="E124159"/>
      <c r="F124159"/>
    </row>
    <row r="124160" spans="1:6" x14ac:dyDescent="0.25">
      <c r="A124160"/>
      <c r="B124160"/>
      <c r="C124160"/>
      <c r="E124160"/>
      <c r="F124160"/>
    </row>
    <row r="124161" spans="1:6" x14ac:dyDescent="0.25">
      <c r="A124161"/>
      <c r="B124161"/>
      <c r="C124161"/>
      <c r="E124161"/>
      <c r="F124161"/>
    </row>
    <row r="124162" spans="1:6" x14ac:dyDescent="0.25">
      <c r="A124162"/>
      <c r="B124162"/>
      <c r="C124162"/>
      <c r="E124162"/>
      <c r="F124162"/>
    </row>
    <row r="124163" spans="1:6" x14ac:dyDescent="0.25">
      <c r="A124163"/>
      <c r="B124163"/>
      <c r="C124163"/>
      <c r="E124163"/>
      <c r="F124163"/>
    </row>
    <row r="124164" spans="1:6" x14ac:dyDescent="0.25">
      <c r="A124164"/>
      <c r="B124164"/>
      <c r="C124164"/>
      <c r="E124164"/>
      <c r="F124164"/>
    </row>
    <row r="124165" spans="1:6" x14ac:dyDescent="0.25">
      <c r="A124165"/>
      <c r="B124165"/>
      <c r="C124165"/>
      <c r="E124165"/>
      <c r="F124165"/>
    </row>
    <row r="124166" spans="1:6" x14ac:dyDescent="0.25">
      <c r="A124166"/>
      <c r="B124166"/>
      <c r="C124166"/>
      <c r="E124166"/>
      <c r="F124166"/>
    </row>
    <row r="124167" spans="1:6" x14ac:dyDescent="0.25">
      <c r="A124167"/>
      <c r="B124167"/>
      <c r="C124167"/>
      <c r="E124167"/>
      <c r="F124167"/>
    </row>
    <row r="124168" spans="1:6" x14ac:dyDescent="0.25">
      <c r="A124168"/>
      <c r="B124168"/>
      <c r="C124168"/>
      <c r="E124168"/>
      <c r="F124168"/>
    </row>
    <row r="124169" spans="1:6" x14ac:dyDescent="0.25">
      <c r="A124169"/>
      <c r="B124169"/>
      <c r="C124169"/>
      <c r="E124169"/>
      <c r="F124169"/>
    </row>
    <row r="124170" spans="1:6" x14ac:dyDescent="0.25">
      <c r="A124170"/>
      <c r="B124170"/>
      <c r="C124170"/>
      <c r="E124170"/>
      <c r="F124170"/>
    </row>
    <row r="124171" spans="1:6" x14ac:dyDescent="0.25">
      <c r="A124171"/>
      <c r="B124171"/>
      <c r="C124171"/>
      <c r="E124171"/>
      <c r="F124171"/>
    </row>
    <row r="124172" spans="1:6" x14ac:dyDescent="0.25">
      <c r="A124172"/>
      <c r="B124172"/>
      <c r="C124172"/>
      <c r="E124172"/>
      <c r="F124172"/>
    </row>
    <row r="124173" spans="1:6" x14ac:dyDescent="0.25">
      <c r="A124173"/>
      <c r="B124173"/>
      <c r="C124173"/>
      <c r="E124173"/>
      <c r="F124173"/>
    </row>
    <row r="124174" spans="1:6" x14ac:dyDescent="0.25">
      <c r="A124174"/>
      <c r="B124174"/>
      <c r="C124174"/>
      <c r="E124174"/>
      <c r="F124174"/>
    </row>
    <row r="124175" spans="1:6" x14ac:dyDescent="0.25">
      <c r="A124175"/>
      <c r="B124175"/>
      <c r="C124175"/>
      <c r="E124175"/>
      <c r="F124175"/>
    </row>
    <row r="124176" spans="1:6" x14ac:dyDescent="0.25">
      <c r="A124176"/>
      <c r="B124176"/>
      <c r="C124176"/>
      <c r="E124176"/>
      <c r="F124176"/>
    </row>
    <row r="124177" spans="1:6" x14ac:dyDescent="0.25">
      <c r="A124177"/>
      <c r="B124177"/>
      <c r="C124177"/>
      <c r="E124177"/>
      <c r="F124177"/>
    </row>
    <row r="124178" spans="1:6" x14ac:dyDescent="0.25">
      <c r="A124178"/>
      <c r="B124178"/>
      <c r="C124178"/>
      <c r="E124178"/>
      <c r="F124178"/>
    </row>
    <row r="124179" spans="1:6" x14ac:dyDescent="0.25">
      <c r="A124179"/>
      <c r="B124179"/>
      <c r="C124179"/>
      <c r="E124179"/>
      <c r="F124179"/>
    </row>
    <row r="124180" spans="1:6" x14ac:dyDescent="0.25">
      <c r="A124180"/>
      <c r="B124180"/>
      <c r="C124180"/>
      <c r="E124180"/>
      <c r="F124180"/>
    </row>
    <row r="124181" spans="1:6" x14ac:dyDescent="0.25">
      <c r="A124181"/>
      <c r="B124181"/>
      <c r="C124181"/>
      <c r="E124181"/>
      <c r="F124181"/>
    </row>
    <row r="124182" spans="1:6" x14ac:dyDescent="0.25">
      <c r="A124182"/>
      <c r="B124182"/>
      <c r="C124182"/>
      <c r="E124182"/>
      <c r="F124182"/>
    </row>
    <row r="124183" spans="1:6" x14ac:dyDescent="0.25">
      <c r="A124183"/>
      <c r="B124183"/>
      <c r="C124183"/>
      <c r="E124183"/>
      <c r="F124183"/>
    </row>
    <row r="124184" spans="1:6" x14ac:dyDescent="0.25">
      <c r="A124184"/>
      <c r="B124184"/>
      <c r="C124184"/>
      <c r="E124184"/>
      <c r="F124184"/>
    </row>
    <row r="124185" spans="1:6" x14ac:dyDescent="0.25">
      <c r="A124185"/>
      <c r="B124185"/>
      <c r="C124185"/>
      <c r="E124185"/>
      <c r="F124185"/>
    </row>
    <row r="124186" spans="1:6" x14ac:dyDescent="0.25">
      <c r="A124186"/>
      <c r="B124186"/>
      <c r="C124186"/>
      <c r="E124186"/>
      <c r="F124186"/>
    </row>
    <row r="124187" spans="1:6" x14ac:dyDescent="0.25">
      <c r="A124187"/>
      <c r="B124187"/>
      <c r="C124187"/>
      <c r="E124187"/>
      <c r="F124187"/>
    </row>
    <row r="124188" spans="1:6" x14ac:dyDescent="0.25">
      <c r="A124188"/>
      <c r="B124188"/>
      <c r="C124188"/>
      <c r="E124188"/>
      <c r="F124188"/>
    </row>
    <row r="124189" spans="1:6" x14ac:dyDescent="0.25">
      <c r="A124189"/>
      <c r="B124189"/>
      <c r="C124189"/>
      <c r="E124189"/>
      <c r="F124189"/>
    </row>
    <row r="124190" spans="1:6" x14ac:dyDescent="0.25">
      <c r="A124190"/>
      <c r="B124190"/>
      <c r="C124190"/>
      <c r="E124190"/>
      <c r="F124190"/>
    </row>
    <row r="124191" spans="1:6" x14ac:dyDescent="0.25">
      <c r="A124191"/>
      <c r="B124191"/>
      <c r="C124191"/>
      <c r="E124191"/>
      <c r="F124191"/>
    </row>
    <row r="124192" spans="1:6" x14ac:dyDescent="0.25">
      <c r="A124192"/>
      <c r="B124192"/>
      <c r="C124192"/>
      <c r="E124192"/>
      <c r="F124192"/>
    </row>
    <row r="124193" spans="1:6" x14ac:dyDescent="0.25">
      <c r="A124193"/>
      <c r="B124193"/>
      <c r="C124193"/>
      <c r="E124193"/>
      <c r="F124193"/>
    </row>
    <row r="124194" spans="1:6" x14ac:dyDescent="0.25">
      <c r="A124194"/>
      <c r="B124194"/>
      <c r="C124194"/>
      <c r="E124194"/>
      <c r="F124194"/>
    </row>
    <row r="124195" spans="1:6" x14ac:dyDescent="0.25">
      <c r="A124195"/>
      <c r="B124195"/>
      <c r="C124195"/>
      <c r="E124195"/>
      <c r="F124195"/>
    </row>
    <row r="124196" spans="1:6" x14ac:dyDescent="0.25">
      <c r="A124196"/>
      <c r="B124196"/>
      <c r="C124196"/>
      <c r="E124196"/>
      <c r="F124196"/>
    </row>
    <row r="124197" spans="1:6" x14ac:dyDescent="0.25">
      <c r="A124197"/>
      <c r="B124197"/>
      <c r="C124197"/>
      <c r="E124197"/>
      <c r="F124197"/>
    </row>
    <row r="124198" spans="1:6" x14ac:dyDescent="0.25">
      <c r="A124198"/>
      <c r="B124198"/>
      <c r="C124198"/>
      <c r="E124198"/>
      <c r="F124198"/>
    </row>
    <row r="124199" spans="1:6" x14ac:dyDescent="0.25">
      <c r="A124199"/>
      <c r="B124199"/>
      <c r="C124199"/>
      <c r="E124199"/>
      <c r="F124199"/>
    </row>
    <row r="124200" spans="1:6" x14ac:dyDescent="0.25">
      <c r="A124200"/>
      <c r="B124200"/>
      <c r="C124200"/>
      <c r="E124200"/>
      <c r="F124200"/>
    </row>
    <row r="124201" spans="1:6" x14ac:dyDescent="0.25">
      <c r="A124201"/>
      <c r="B124201"/>
      <c r="C124201"/>
      <c r="E124201"/>
      <c r="F124201"/>
    </row>
    <row r="124202" spans="1:6" x14ac:dyDescent="0.25">
      <c r="A124202"/>
      <c r="B124202"/>
      <c r="C124202"/>
      <c r="E124202"/>
      <c r="F124202"/>
    </row>
    <row r="124203" spans="1:6" x14ac:dyDescent="0.25">
      <c r="A124203"/>
      <c r="B124203"/>
      <c r="C124203"/>
      <c r="E124203"/>
      <c r="F124203"/>
    </row>
    <row r="124204" spans="1:6" x14ac:dyDescent="0.25">
      <c r="A124204"/>
      <c r="B124204"/>
      <c r="C124204"/>
      <c r="E124204"/>
      <c r="F124204"/>
    </row>
    <row r="124205" spans="1:6" x14ac:dyDescent="0.25">
      <c r="A124205"/>
      <c r="B124205"/>
      <c r="C124205"/>
      <c r="E124205"/>
      <c r="F124205"/>
    </row>
    <row r="124206" spans="1:6" x14ac:dyDescent="0.25">
      <c r="A124206"/>
      <c r="B124206"/>
      <c r="C124206"/>
      <c r="E124206"/>
      <c r="F124206"/>
    </row>
    <row r="124207" spans="1:6" x14ac:dyDescent="0.25">
      <c r="A124207"/>
      <c r="B124207"/>
      <c r="C124207"/>
      <c r="E124207"/>
      <c r="F124207"/>
    </row>
    <row r="124208" spans="1:6" x14ac:dyDescent="0.25">
      <c r="A124208"/>
      <c r="B124208"/>
      <c r="C124208"/>
      <c r="E124208"/>
      <c r="F124208"/>
    </row>
    <row r="124209" spans="1:6" x14ac:dyDescent="0.25">
      <c r="A124209"/>
      <c r="B124209"/>
      <c r="C124209"/>
      <c r="E124209"/>
      <c r="F124209"/>
    </row>
    <row r="124210" spans="1:6" x14ac:dyDescent="0.25">
      <c r="A124210"/>
      <c r="B124210"/>
      <c r="C124210"/>
      <c r="E124210"/>
      <c r="F124210"/>
    </row>
    <row r="124211" spans="1:6" x14ac:dyDescent="0.25">
      <c r="A124211"/>
      <c r="B124211"/>
      <c r="C124211"/>
      <c r="E124211"/>
      <c r="F124211"/>
    </row>
    <row r="124212" spans="1:6" x14ac:dyDescent="0.25">
      <c r="A124212"/>
      <c r="B124212"/>
      <c r="C124212"/>
      <c r="E124212"/>
      <c r="F124212"/>
    </row>
    <row r="124213" spans="1:6" x14ac:dyDescent="0.25">
      <c r="A124213"/>
      <c r="B124213"/>
      <c r="C124213"/>
      <c r="E124213"/>
      <c r="F124213"/>
    </row>
    <row r="124214" spans="1:6" x14ac:dyDescent="0.25">
      <c r="A124214"/>
      <c r="B124214"/>
      <c r="C124214"/>
      <c r="E124214"/>
      <c r="F124214"/>
    </row>
    <row r="124215" spans="1:6" x14ac:dyDescent="0.25">
      <c r="A124215"/>
      <c r="B124215"/>
      <c r="C124215"/>
      <c r="E124215"/>
      <c r="F124215"/>
    </row>
    <row r="124216" spans="1:6" x14ac:dyDescent="0.25">
      <c r="A124216"/>
      <c r="B124216"/>
      <c r="C124216"/>
      <c r="E124216"/>
      <c r="F124216"/>
    </row>
    <row r="124217" spans="1:6" x14ac:dyDescent="0.25">
      <c r="A124217"/>
      <c r="B124217"/>
      <c r="C124217"/>
      <c r="E124217"/>
      <c r="F124217"/>
    </row>
    <row r="124218" spans="1:6" x14ac:dyDescent="0.25">
      <c r="A124218"/>
      <c r="B124218"/>
      <c r="C124218"/>
      <c r="E124218"/>
      <c r="F124218"/>
    </row>
    <row r="124219" spans="1:6" x14ac:dyDescent="0.25">
      <c r="A124219"/>
      <c r="B124219"/>
      <c r="C124219"/>
      <c r="E124219"/>
      <c r="F124219"/>
    </row>
    <row r="124220" spans="1:6" x14ac:dyDescent="0.25">
      <c r="A124220"/>
      <c r="B124220"/>
      <c r="C124220"/>
      <c r="E124220"/>
      <c r="F124220"/>
    </row>
    <row r="124221" spans="1:6" x14ac:dyDescent="0.25">
      <c r="A124221"/>
      <c r="B124221"/>
      <c r="C124221"/>
      <c r="E124221"/>
      <c r="F124221"/>
    </row>
    <row r="124222" spans="1:6" x14ac:dyDescent="0.25">
      <c r="A124222"/>
      <c r="B124222"/>
      <c r="C124222"/>
      <c r="E124222"/>
      <c r="F124222"/>
    </row>
    <row r="124223" spans="1:6" x14ac:dyDescent="0.25">
      <c r="A124223"/>
      <c r="B124223"/>
      <c r="C124223"/>
      <c r="E124223"/>
      <c r="F124223"/>
    </row>
    <row r="124224" spans="1:6" x14ac:dyDescent="0.25">
      <c r="A124224"/>
      <c r="B124224"/>
      <c r="C124224"/>
      <c r="E124224"/>
      <c r="F124224"/>
    </row>
    <row r="124225" spans="1:6" x14ac:dyDescent="0.25">
      <c r="A124225"/>
      <c r="B124225"/>
      <c r="C124225"/>
      <c r="E124225"/>
      <c r="F124225"/>
    </row>
    <row r="124226" spans="1:6" x14ac:dyDescent="0.25">
      <c r="A124226"/>
      <c r="B124226"/>
      <c r="C124226"/>
      <c r="E124226"/>
      <c r="F124226"/>
    </row>
    <row r="124227" spans="1:6" x14ac:dyDescent="0.25">
      <c r="A124227"/>
      <c r="B124227"/>
      <c r="C124227"/>
      <c r="E124227"/>
      <c r="F124227"/>
    </row>
    <row r="124228" spans="1:6" x14ac:dyDescent="0.25">
      <c r="A124228"/>
      <c r="B124228"/>
      <c r="C124228"/>
      <c r="E124228"/>
      <c r="F124228"/>
    </row>
    <row r="124229" spans="1:6" x14ac:dyDescent="0.25">
      <c r="A124229"/>
      <c r="B124229"/>
      <c r="C124229"/>
      <c r="E124229"/>
      <c r="F124229"/>
    </row>
    <row r="124230" spans="1:6" x14ac:dyDescent="0.25">
      <c r="A124230"/>
      <c r="B124230"/>
      <c r="C124230"/>
      <c r="E124230"/>
      <c r="F124230"/>
    </row>
    <row r="124231" spans="1:6" x14ac:dyDescent="0.25">
      <c r="A124231"/>
      <c r="B124231"/>
      <c r="C124231"/>
      <c r="E124231"/>
      <c r="F124231"/>
    </row>
    <row r="124232" spans="1:6" x14ac:dyDescent="0.25">
      <c r="A124232"/>
      <c r="B124232"/>
      <c r="C124232"/>
      <c r="E124232"/>
      <c r="F124232"/>
    </row>
    <row r="124233" spans="1:6" x14ac:dyDescent="0.25">
      <c r="A124233"/>
      <c r="B124233"/>
      <c r="C124233"/>
      <c r="E124233"/>
      <c r="F124233"/>
    </row>
    <row r="124234" spans="1:6" x14ac:dyDescent="0.25">
      <c r="A124234"/>
      <c r="B124234"/>
      <c r="C124234"/>
      <c r="E124234"/>
      <c r="F124234"/>
    </row>
    <row r="124235" spans="1:6" x14ac:dyDescent="0.25">
      <c r="A124235"/>
      <c r="B124235"/>
      <c r="C124235"/>
      <c r="E124235"/>
      <c r="F124235"/>
    </row>
    <row r="124236" spans="1:6" x14ac:dyDescent="0.25">
      <c r="A124236"/>
      <c r="B124236"/>
      <c r="C124236"/>
      <c r="E124236"/>
      <c r="F124236"/>
    </row>
    <row r="124237" spans="1:6" x14ac:dyDescent="0.25">
      <c r="A124237"/>
      <c r="B124237"/>
      <c r="C124237"/>
      <c r="E124237"/>
      <c r="F124237"/>
    </row>
    <row r="124238" spans="1:6" x14ac:dyDescent="0.25">
      <c r="A124238"/>
      <c r="B124238"/>
      <c r="C124238"/>
      <c r="E124238"/>
      <c r="F124238"/>
    </row>
    <row r="124239" spans="1:6" x14ac:dyDescent="0.25">
      <c r="A124239"/>
      <c r="B124239"/>
      <c r="C124239"/>
      <c r="E124239"/>
      <c r="F124239"/>
    </row>
    <row r="124240" spans="1:6" x14ac:dyDescent="0.25">
      <c r="A124240"/>
      <c r="B124240"/>
      <c r="C124240"/>
      <c r="E124240"/>
      <c r="F124240"/>
    </row>
    <row r="124241" spans="1:6" x14ac:dyDescent="0.25">
      <c r="A124241"/>
      <c r="B124241"/>
      <c r="C124241"/>
      <c r="E124241"/>
      <c r="F124241"/>
    </row>
    <row r="124242" spans="1:6" x14ac:dyDescent="0.25">
      <c r="A124242"/>
      <c r="B124242"/>
      <c r="C124242"/>
      <c r="E124242"/>
      <c r="F124242"/>
    </row>
    <row r="124243" spans="1:6" x14ac:dyDescent="0.25">
      <c r="A124243"/>
      <c r="B124243"/>
      <c r="C124243"/>
      <c r="E124243"/>
      <c r="F124243"/>
    </row>
    <row r="124244" spans="1:6" x14ac:dyDescent="0.25">
      <c r="A124244"/>
      <c r="B124244"/>
      <c r="C124244"/>
      <c r="E124244"/>
      <c r="F124244"/>
    </row>
    <row r="124245" spans="1:6" x14ac:dyDescent="0.25">
      <c r="A124245"/>
      <c r="B124245"/>
      <c r="C124245"/>
      <c r="E124245"/>
      <c r="F124245"/>
    </row>
    <row r="124246" spans="1:6" x14ac:dyDescent="0.25">
      <c r="A124246"/>
      <c r="B124246"/>
      <c r="C124246"/>
      <c r="E124246"/>
      <c r="F124246"/>
    </row>
    <row r="124247" spans="1:6" x14ac:dyDescent="0.25">
      <c r="A124247"/>
      <c r="B124247"/>
      <c r="C124247"/>
      <c r="E124247"/>
      <c r="F124247"/>
    </row>
    <row r="124248" spans="1:6" x14ac:dyDescent="0.25">
      <c r="A124248"/>
      <c r="B124248"/>
      <c r="C124248"/>
      <c r="E124248"/>
      <c r="F124248"/>
    </row>
    <row r="124249" spans="1:6" x14ac:dyDescent="0.25">
      <c r="A124249"/>
      <c r="B124249"/>
      <c r="C124249"/>
      <c r="E124249"/>
      <c r="F124249"/>
    </row>
    <row r="124250" spans="1:6" x14ac:dyDescent="0.25">
      <c r="A124250"/>
      <c r="B124250"/>
      <c r="C124250"/>
      <c r="E124250"/>
      <c r="F124250"/>
    </row>
    <row r="124251" spans="1:6" x14ac:dyDescent="0.25">
      <c r="A124251"/>
      <c r="B124251"/>
      <c r="C124251"/>
      <c r="E124251"/>
      <c r="F124251"/>
    </row>
    <row r="124252" spans="1:6" x14ac:dyDescent="0.25">
      <c r="A124252"/>
      <c r="B124252"/>
      <c r="C124252"/>
      <c r="E124252"/>
      <c r="F124252"/>
    </row>
    <row r="124253" spans="1:6" x14ac:dyDescent="0.25">
      <c r="A124253"/>
      <c r="B124253"/>
      <c r="C124253"/>
      <c r="E124253"/>
      <c r="F124253"/>
    </row>
    <row r="124254" spans="1:6" x14ac:dyDescent="0.25">
      <c r="A124254"/>
      <c r="B124254"/>
      <c r="C124254"/>
      <c r="E124254"/>
      <c r="F124254"/>
    </row>
    <row r="124255" spans="1:6" x14ac:dyDescent="0.25">
      <c r="A124255"/>
      <c r="B124255"/>
      <c r="C124255"/>
      <c r="E124255"/>
      <c r="F124255"/>
    </row>
    <row r="124256" spans="1:6" x14ac:dyDescent="0.25">
      <c r="A124256"/>
      <c r="B124256"/>
      <c r="C124256"/>
      <c r="E124256"/>
      <c r="F124256"/>
    </row>
    <row r="124257" spans="1:6" x14ac:dyDescent="0.25">
      <c r="A124257"/>
      <c r="B124257"/>
      <c r="C124257"/>
      <c r="E124257"/>
      <c r="F124257"/>
    </row>
    <row r="124258" spans="1:6" x14ac:dyDescent="0.25">
      <c r="A124258"/>
      <c r="B124258"/>
      <c r="C124258"/>
      <c r="E124258"/>
      <c r="F124258"/>
    </row>
    <row r="124259" spans="1:6" x14ac:dyDescent="0.25">
      <c r="A124259"/>
      <c r="B124259"/>
      <c r="C124259"/>
      <c r="E124259"/>
      <c r="F124259"/>
    </row>
    <row r="124260" spans="1:6" x14ac:dyDescent="0.25">
      <c r="A124260"/>
      <c r="B124260"/>
      <c r="C124260"/>
      <c r="E124260"/>
      <c r="F124260"/>
    </row>
    <row r="124261" spans="1:6" x14ac:dyDescent="0.25">
      <c r="A124261"/>
      <c r="B124261"/>
      <c r="C124261"/>
      <c r="E124261"/>
      <c r="F124261"/>
    </row>
    <row r="124262" spans="1:6" x14ac:dyDescent="0.25">
      <c r="A124262"/>
      <c r="B124262"/>
      <c r="C124262"/>
      <c r="E124262"/>
      <c r="F124262"/>
    </row>
    <row r="124263" spans="1:6" x14ac:dyDescent="0.25">
      <c r="A124263"/>
      <c r="B124263"/>
      <c r="C124263"/>
      <c r="E124263"/>
      <c r="F124263"/>
    </row>
    <row r="124264" spans="1:6" x14ac:dyDescent="0.25">
      <c r="A124264"/>
      <c r="B124264"/>
      <c r="C124264"/>
      <c r="E124264"/>
      <c r="F124264"/>
    </row>
    <row r="124265" spans="1:6" x14ac:dyDescent="0.25">
      <c r="A124265"/>
      <c r="B124265"/>
      <c r="C124265"/>
      <c r="E124265"/>
      <c r="F124265"/>
    </row>
    <row r="124266" spans="1:6" x14ac:dyDescent="0.25">
      <c r="A124266"/>
      <c r="B124266"/>
      <c r="C124266"/>
      <c r="E124266"/>
      <c r="F124266"/>
    </row>
    <row r="124267" spans="1:6" x14ac:dyDescent="0.25">
      <c r="A124267"/>
      <c r="B124267"/>
      <c r="C124267"/>
      <c r="E124267"/>
      <c r="F124267"/>
    </row>
    <row r="124268" spans="1:6" x14ac:dyDescent="0.25">
      <c r="A124268"/>
      <c r="B124268"/>
      <c r="C124268"/>
      <c r="E124268"/>
      <c r="F124268"/>
    </row>
    <row r="124269" spans="1:6" x14ac:dyDescent="0.25">
      <c r="A124269"/>
      <c r="B124269"/>
      <c r="C124269"/>
      <c r="E124269"/>
      <c r="F124269"/>
    </row>
    <row r="124270" spans="1:6" x14ac:dyDescent="0.25">
      <c r="A124270"/>
      <c r="B124270"/>
      <c r="C124270"/>
      <c r="E124270"/>
      <c r="F124270"/>
    </row>
    <row r="124271" spans="1:6" x14ac:dyDescent="0.25">
      <c r="A124271"/>
      <c r="B124271"/>
      <c r="C124271"/>
      <c r="E124271"/>
      <c r="F124271"/>
    </row>
    <row r="124272" spans="1:6" x14ac:dyDescent="0.25">
      <c r="A124272"/>
      <c r="B124272"/>
      <c r="C124272"/>
      <c r="E124272"/>
      <c r="F124272"/>
    </row>
    <row r="124273" spans="1:6" x14ac:dyDescent="0.25">
      <c r="A124273"/>
      <c r="B124273"/>
      <c r="C124273"/>
      <c r="E124273"/>
      <c r="F124273"/>
    </row>
    <row r="124274" spans="1:6" x14ac:dyDescent="0.25">
      <c r="A124274"/>
      <c r="B124274"/>
      <c r="C124274"/>
      <c r="E124274"/>
      <c r="F124274"/>
    </row>
    <row r="124275" spans="1:6" x14ac:dyDescent="0.25">
      <c r="A124275"/>
      <c r="B124275"/>
      <c r="C124275"/>
      <c r="E124275"/>
      <c r="F124275"/>
    </row>
    <row r="124276" spans="1:6" x14ac:dyDescent="0.25">
      <c r="A124276"/>
      <c r="B124276"/>
      <c r="C124276"/>
      <c r="E124276"/>
      <c r="F124276"/>
    </row>
    <row r="124277" spans="1:6" x14ac:dyDescent="0.25">
      <c r="A124277"/>
      <c r="B124277"/>
      <c r="C124277"/>
      <c r="E124277"/>
      <c r="F124277"/>
    </row>
    <row r="124278" spans="1:6" x14ac:dyDescent="0.25">
      <c r="A124278"/>
      <c r="B124278"/>
      <c r="C124278"/>
      <c r="E124278"/>
      <c r="F124278"/>
    </row>
    <row r="124279" spans="1:6" x14ac:dyDescent="0.25">
      <c r="A124279"/>
      <c r="B124279"/>
      <c r="C124279"/>
      <c r="E124279"/>
      <c r="F124279"/>
    </row>
    <row r="124280" spans="1:6" x14ac:dyDescent="0.25">
      <c r="A124280"/>
      <c r="B124280"/>
      <c r="C124280"/>
      <c r="E124280"/>
      <c r="F124280"/>
    </row>
    <row r="124281" spans="1:6" x14ac:dyDescent="0.25">
      <c r="A124281"/>
      <c r="B124281"/>
      <c r="C124281"/>
      <c r="E124281"/>
      <c r="F124281"/>
    </row>
    <row r="124282" spans="1:6" x14ac:dyDescent="0.25">
      <c r="A124282"/>
      <c r="B124282"/>
      <c r="C124282"/>
      <c r="E124282"/>
      <c r="F124282"/>
    </row>
    <row r="124283" spans="1:6" x14ac:dyDescent="0.25">
      <c r="A124283"/>
      <c r="B124283"/>
      <c r="C124283"/>
      <c r="E124283"/>
      <c r="F124283"/>
    </row>
    <row r="124284" spans="1:6" x14ac:dyDescent="0.25">
      <c r="A124284"/>
      <c r="B124284"/>
      <c r="C124284"/>
      <c r="E124284"/>
      <c r="F124284"/>
    </row>
    <row r="124285" spans="1:6" x14ac:dyDescent="0.25">
      <c r="A124285"/>
      <c r="B124285"/>
      <c r="C124285"/>
      <c r="E124285"/>
      <c r="F124285"/>
    </row>
    <row r="124286" spans="1:6" x14ac:dyDescent="0.25">
      <c r="A124286"/>
      <c r="B124286"/>
      <c r="C124286"/>
      <c r="E124286"/>
      <c r="F124286"/>
    </row>
    <row r="124287" spans="1:6" x14ac:dyDescent="0.25">
      <c r="A124287"/>
      <c r="B124287"/>
      <c r="C124287"/>
      <c r="E124287"/>
      <c r="F124287"/>
    </row>
    <row r="124288" spans="1:6" x14ac:dyDescent="0.25">
      <c r="A124288"/>
      <c r="B124288"/>
      <c r="C124288"/>
      <c r="E124288"/>
      <c r="F124288"/>
    </row>
    <row r="124289" spans="1:6" x14ac:dyDescent="0.25">
      <c r="A124289"/>
      <c r="B124289"/>
      <c r="C124289"/>
      <c r="E124289"/>
      <c r="F124289"/>
    </row>
    <row r="124290" spans="1:6" x14ac:dyDescent="0.25">
      <c r="A124290"/>
      <c r="B124290"/>
      <c r="C124290"/>
      <c r="E124290"/>
      <c r="F124290"/>
    </row>
    <row r="124291" spans="1:6" x14ac:dyDescent="0.25">
      <c r="A124291"/>
      <c r="B124291"/>
      <c r="C124291"/>
      <c r="E124291"/>
      <c r="F124291"/>
    </row>
    <row r="124292" spans="1:6" x14ac:dyDescent="0.25">
      <c r="A124292"/>
      <c r="B124292"/>
      <c r="C124292"/>
      <c r="E124292"/>
      <c r="F124292"/>
    </row>
    <row r="124293" spans="1:6" x14ac:dyDescent="0.25">
      <c r="A124293"/>
      <c r="B124293"/>
      <c r="C124293"/>
      <c r="E124293"/>
      <c r="F124293"/>
    </row>
    <row r="124294" spans="1:6" x14ac:dyDescent="0.25">
      <c r="A124294"/>
      <c r="B124294"/>
      <c r="C124294"/>
      <c r="E124294"/>
      <c r="F124294"/>
    </row>
    <row r="124295" spans="1:6" x14ac:dyDescent="0.25">
      <c r="A124295"/>
      <c r="B124295"/>
      <c r="C124295"/>
      <c r="E124295"/>
      <c r="F124295"/>
    </row>
    <row r="124296" spans="1:6" x14ac:dyDescent="0.25">
      <c r="A124296"/>
      <c r="B124296"/>
      <c r="C124296"/>
      <c r="E124296"/>
      <c r="F124296"/>
    </row>
    <row r="124297" spans="1:6" x14ac:dyDescent="0.25">
      <c r="A124297"/>
      <c r="B124297"/>
      <c r="C124297"/>
      <c r="E124297"/>
      <c r="F124297"/>
    </row>
    <row r="124298" spans="1:6" x14ac:dyDescent="0.25">
      <c r="A124298"/>
      <c r="B124298"/>
      <c r="C124298"/>
      <c r="E124298"/>
      <c r="F124298"/>
    </row>
    <row r="124299" spans="1:6" x14ac:dyDescent="0.25">
      <c r="A124299"/>
      <c r="B124299"/>
      <c r="C124299"/>
      <c r="E124299"/>
      <c r="F124299"/>
    </row>
    <row r="124300" spans="1:6" x14ac:dyDescent="0.25">
      <c r="A124300"/>
      <c r="B124300"/>
      <c r="C124300"/>
      <c r="E124300"/>
      <c r="F124300"/>
    </row>
    <row r="124301" spans="1:6" x14ac:dyDescent="0.25">
      <c r="A124301"/>
      <c r="B124301"/>
      <c r="C124301"/>
      <c r="E124301"/>
      <c r="F124301"/>
    </row>
    <row r="124302" spans="1:6" x14ac:dyDescent="0.25">
      <c r="A124302"/>
      <c r="B124302"/>
      <c r="C124302"/>
      <c r="E124302"/>
      <c r="F124302"/>
    </row>
    <row r="124303" spans="1:6" x14ac:dyDescent="0.25">
      <c r="A124303"/>
      <c r="B124303"/>
      <c r="C124303"/>
      <c r="E124303"/>
      <c r="F124303"/>
    </row>
    <row r="124304" spans="1:6" x14ac:dyDescent="0.25">
      <c r="A124304"/>
      <c r="B124304"/>
      <c r="C124304"/>
      <c r="E124304"/>
      <c r="F124304"/>
    </row>
    <row r="124305" spans="1:6" x14ac:dyDescent="0.25">
      <c r="A124305"/>
      <c r="B124305"/>
      <c r="C124305"/>
      <c r="E124305"/>
      <c r="F124305"/>
    </row>
    <row r="124306" spans="1:6" x14ac:dyDescent="0.25">
      <c r="A124306"/>
      <c r="B124306"/>
      <c r="C124306"/>
      <c r="E124306"/>
      <c r="F124306"/>
    </row>
    <row r="124307" spans="1:6" x14ac:dyDescent="0.25">
      <c r="A124307"/>
      <c r="B124307"/>
      <c r="C124307"/>
      <c r="E124307"/>
      <c r="F124307"/>
    </row>
    <row r="124308" spans="1:6" x14ac:dyDescent="0.25">
      <c r="A124308"/>
      <c r="B124308"/>
      <c r="C124308"/>
      <c r="E124308"/>
      <c r="F124308"/>
    </row>
    <row r="124309" spans="1:6" x14ac:dyDescent="0.25">
      <c r="A124309"/>
      <c r="B124309"/>
      <c r="C124309"/>
      <c r="E124309"/>
      <c r="F124309"/>
    </row>
    <row r="124310" spans="1:6" x14ac:dyDescent="0.25">
      <c r="A124310"/>
      <c r="B124310"/>
      <c r="C124310"/>
      <c r="E124310"/>
      <c r="F124310"/>
    </row>
    <row r="124311" spans="1:6" x14ac:dyDescent="0.25">
      <c r="A124311"/>
      <c r="B124311"/>
      <c r="C124311"/>
      <c r="E124311"/>
      <c r="F124311"/>
    </row>
    <row r="124312" spans="1:6" x14ac:dyDescent="0.25">
      <c r="A124312"/>
      <c r="B124312"/>
      <c r="C124312"/>
      <c r="E124312"/>
      <c r="F124312"/>
    </row>
    <row r="124313" spans="1:6" x14ac:dyDescent="0.25">
      <c r="A124313"/>
      <c r="B124313"/>
      <c r="C124313"/>
      <c r="E124313"/>
      <c r="F124313"/>
    </row>
    <row r="124314" spans="1:6" x14ac:dyDescent="0.25">
      <c r="A124314"/>
      <c r="B124314"/>
      <c r="C124314"/>
      <c r="E124314"/>
      <c r="F124314"/>
    </row>
    <row r="124315" spans="1:6" x14ac:dyDescent="0.25">
      <c r="A124315"/>
      <c r="B124315"/>
      <c r="C124315"/>
      <c r="E124315"/>
      <c r="F124315"/>
    </row>
    <row r="124316" spans="1:6" x14ac:dyDescent="0.25">
      <c r="A124316"/>
      <c r="B124316"/>
      <c r="C124316"/>
      <c r="E124316"/>
      <c r="F124316"/>
    </row>
    <row r="124317" spans="1:6" x14ac:dyDescent="0.25">
      <c r="A124317"/>
      <c r="B124317"/>
      <c r="C124317"/>
      <c r="E124317"/>
      <c r="F124317"/>
    </row>
    <row r="124318" spans="1:6" x14ac:dyDescent="0.25">
      <c r="A124318"/>
      <c r="B124318"/>
      <c r="C124318"/>
      <c r="E124318"/>
      <c r="F124318"/>
    </row>
    <row r="124319" spans="1:6" x14ac:dyDescent="0.25">
      <c r="A124319"/>
      <c r="B124319"/>
      <c r="C124319"/>
      <c r="E124319"/>
      <c r="F124319"/>
    </row>
    <row r="124320" spans="1:6" x14ac:dyDescent="0.25">
      <c r="A124320"/>
      <c r="B124320"/>
      <c r="C124320"/>
      <c r="E124320"/>
      <c r="F124320"/>
    </row>
    <row r="124321" spans="1:6" x14ac:dyDescent="0.25">
      <c r="A124321"/>
      <c r="B124321"/>
      <c r="C124321"/>
      <c r="E124321"/>
      <c r="F124321"/>
    </row>
    <row r="124322" spans="1:6" x14ac:dyDescent="0.25">
      <c r="A124322"/>
      <c r="B124322"/>
      <c r="C124322"/>
      <c r="E124322"/>
      <c r="F124322"/>
    </row>
    <row r="124323" spans="1:6" x14ac:dyDescent="0.25">
      <c r="A124323"/>
      <c r="B124323"/>
      <c r="C124323"/>
      <c r="E124323"/>
      <c r="F124323"/>
    </row>
    <row r="124324" spans="1:6" x14ac:dyDescent="0.25">
      <c r="A124324"/>
      <c r="B124324"/>
      <c r="C124324"/>
      <c r="E124324"/>
      <c r="F124324"/>
    </row>
    <row r="124325" spans="1:6" x14ac:dyDescent="0.25">
      <c r="A124325"/>
      <c r="B124325"/>
      <c r="C124325"/>
      <c r="E124325"/>
      <c r="F124325"/>
    </row>
    <row r="124326" spans="1:6" x14ac:dyDescent="0.25">
      <c r="A124326"/>
      <c r="B124326"/>
      <c r="C124326"/>
      <c r="E124326"/>
      <c r="F124326"/>
    </row>
    <row r="124327" spans="1:6" x14ac:dyDescent="0.25">
      <c r="A124327"/>
      <c r="B124327"/>
      <c r="C124327"/>
      <c r="E124327"/>
      <c r="F124327"/>
    </row>
    <row r="124328" spans="1:6" x14ac:dyDescent="0.25">
      <c r="A124328"/>
      <c r="B124328"/>
      <c r="C124328"/>
      <c r="E124328"/>
      <c r="F124328"/>
    </row>
    <row r="124329" spans="1:6" x14ac:dyDescent="0.25">
      <c r="A124329"/>
      <c r="B124329"/>
      <c r="C124329"/>
      <c r="E124329"/>
      <c r="F124329"/>
    </row>
    <row r="124330" spans="1:6" x14ac:dyDescent="0.25">
      <c r="A124330"/>
      <c r="B124330"/>
      <c r="C124330"/>
      <c r="E124330"/>
      <c r="F124330"/>
    </row>
    <row r="124331" spans="1:6" x14ac:dyDescent="0.25">
      <c r="A124331"/>
      <c r="B124331"/>
      <c r="C124331"/>
      <c r="E124331"/>
      <c r="F124331"/>
    </row>
    <row r="124332" spans="1:6" x14ac:dyDescent="0.25">
      <c r="A124332"/>
      <c r="B124332"/>
      <c r="C124332"/>
      <c r="E124332"/>
      <c r="F124332"/>
    </row>
    <row r="124333" spans="1:6" x14ac:dyDescent="0.25">
      <c r="A124333"/>
      <c r="B124333"/>
      <c r="C124333"/>
      <c r="E124333"/>
      <c r="F124333"/>
    </row>
    <row r="124334" spans="1:6" x14ac:dyDescent="0.25">
      <c r="A124334"/>
      <c r="B124334"/>
      <c r="C124334"/>
      <c r="E124334"/>
      <c r="F124334"/>
    </row>
    <row r="124335" spans="1:6" x14ac:dyDescent="0.25">
      <c r="A124335"/>
      <c r="B124335"/>
      <c r="C124335"/>
      <c r="E124335"/>
      <c r="F124335"/>
    </row>
    <row r="124336" spans="1:6" x14ac:dyDescent="0.25">
      <c r="A124336"/>
      <c r="B124336"/>
      <c r="C124336"/>
      <c r="E124336"/>
      <c r="F124336"/>
    </row>
    <row r="124337" spans="1:6" x14ac:dyDescent="0.25">
      <c r="A124337"/>
      <c r="B124337"/>
      <c r="C124337"/>
      <c r="E124337"/>
      <c r="F124337"/>
    </row>
    <row r="124338" spans="1:6" x14ac:dyDescent="0.25">
      <c r="A124338"/>
      <c r="B124338"/>
      <c r="C124338"/>
      <c r="E124338"/>
      <c r="F124338"/>
    </row>
    <row r="124339" spans="1:6" x14ac:dyDescent="0.25">
      <c r="A124339"/>
      <c r="B124339"/>
      <c r="C124339"/>
      <c r="E124339"/>
      <c r="F124339"/>
    </row>
    <row r="124340" spans="1:6" x14ac:dyDescent="0.25">
      <c r="A124340"/>
      <c r="B124340"/>
      <c r="C124340"/>
      <c r="E124340"/>
      <c r="F124340"/>
    </row>
    <row r="124341" spans="1:6" x14ac:dyDescent="0.25">
      <c r="A124341"/>
      <c r="B124341"/>
      <c r="C124341"/>
      <c r="E124341"/>
      <c r="F124341"/>
    </row>
    <row r="124342" spans="1:6" x14ac:dyDescent="0.25">
      <c r="A124342"/>
      <c r="B124342"/>
      <c r="C124342"/>
      <c r="E124342"/>
      <c r="F124342"/>
    </row>
    <row r="124343" spans="1:6" x14ac:dyDescent="0.25">
      <c r="A124343"/>
      <c r="B124343"/>
      <c r="C124343"/>
      <c r="E124343"/>
      <c r="F124343"/>
    </row>
    <row r="124344" spans="1:6" x14ac:dyDescent="0.25">
      <c r="A124344"/>
      <c r="B124344"/>
      <c r="C124344"/>
      <c r="E124344"/>
      <c r="F124344"/>
    </row>
    <row r="124345" spans="1:6" x14ac:dyDescent="0.25">
      <c r="A124345"/>
      <c r="B124345"/>
      <c r="C124345"/>
      <c r="E124345"/>
      <c r="F124345"/>
    </row>
    <row r="124346" spans="1:6" x14ac:dyDescent="0.25">
      <c r="A124346"/>
      <c r="B124346"/>
      <c r="C124346"/>
      <c r="E124346"/>
      <c r="F124346"/>
    </row>
    <row r="124347" spans="1:6" x14ac:dyDescent="0.25">
      <c r="A124347"/>
      <c r="B124347"/>
      <c r="C124347"/>
      <c r="E124347"/>
      <c r="F124347"/>
    </row>
    <row r="124348" spans="1:6" x14ac:dyDescent="0.25">
      <c r="A124348"/>
      <c r="B124348"/>
      <c r="C124348"/>
      <c r="E124348"/>
      <c r="F124348"/>
    </row>
    <row r="124349" spans="1:6" x14ac:dyDescent="0.25">
      <c r="A124349"/>
      <c r="B124349"/>
      <c r="C124349"/>
      <c r="E124349"/>
      <c r="F124349"/>
    </row>
    <row r="124350" spans="1:6" x14ac:dyDescent="0.25">
      <c r="A124350"/>
      <c r="B124350"/>
      <c r="C124350"/>
      <c r="E124350"/>
      <c r="F124350"/>
    </row>
    <row r="124351" spans="1:6" x14ac:dyDescent="0.25">
      <c r="A124351"/>
      <c r="B124351"/>
      <c r="C124351"/>
      <c r="E124351"/>
      <c r="F124351"/>
    </row>
    <row r="124352" spans="1:6" x14ac:dyDescent="0.25">
      <c r="A124352"/>
      <c r="B124352"/>
      <c r="C124352"/>
      <c r="E124352"/>
      <c r="F124352"/>
    </row>
    <row r="124353" spans="1:6" x14ac:dyDescent="0.25">
      <c r="A124353"/>
      <c r="B124353"/>
      <c r="C124353"/>
      <c r="E124353"/>
      <c r="F124353"/>
    </row>
    <row r="124354" spans="1:6" x14ac:dyDescent="0.25">
      <c r="A124354"/>
      <c r="B124354"/>
      <c r="C124354"/>
      <c r="E124354"/>
      <c r="F124354"/>
    </row>
    <row r="124355" spans="1:6" x14ac:dyDescent="0.25">
      <c r="A124355"/>
      <c r="B124355"/>
      <c r="C124355"/>
      <c r="E124355"/>
      <c r="F124355"/>
    </row>
    <row r="124356" spans="1:6" x14ac:dyDescent="0.25">
      <c r="A124356"/>
      <c r="B124356"/>
      <c r="C124356"/>
      <c r="E124356"/>
      <c r="F124356"/>
    </row>
    <row r="124357" spans="1:6" x14ac:dyDescent="0.25">
      <c r="A124357"/>
      <c r="B124357"/>
      <c r="C124357"/>
      <c r="E124357"/>
      <c r="F124357"/>
    </row>
    <row r="124358" spans="1:6" x14ac:dyDescent="0.25">
      <c r="A124358"/>
      <c r="B124358"/>
      <c r="C124358"/>
      <c r="E124358"/>
      <c r="F124358"/>
    </row>
    <row r="124359" spans="1:6" x14ac:dyDescent="0.25">
      <c r="A124359"/>
      <c r="B124359"/>
      <c r="C124359"/>
      <c r="E124359"/>
      <c r="F124359"/>
    </row>
    <row r="124360" spans="1:6" x14ac:dyDescent="0.25">
      <c r="A124360"/>
      <c r="B124360"/>
      <c r="C124360"/>
      <c r="E124360"/>
      <c r="F124360"/>
    </row>
    <row r="124361" spans="1:6" x14ac:dyDescent="0.25">
      <c r="A124361"/>
      <c r="B124361"/>
      <c r="C124361"/>
      <c r="E124361"/>
      <c r="F124361"/>
    </row>
    <row r="124362" spans="1:6" x14ac:dyDescent="0.25">
      <c r="A124362"/>
      <c r="B124362"/>
      <c r="C124362"/>
      <c r="E124362"/>
      <c r="F124362"/>
    </row>
    <row r="124363" spans="1:6" x14ac:dyDescent="0.25">
      <c r="A124363"/>
      <c r="B124363"/>
      <c r="C124363"/>
      <c r="E124363"/>
      <c r="F124363"/>
    </row>
    <row r="124364" spans="1:6" x14ac:dyDescent="0.25">
      <c r="A124364"/>
      <c r="B124364"/>
      <c r="C124364"/>
      <c r="E124364"/>
      <c r="F124364"/>
    </row>
    <row r="124365" spans="1:6" x14ac:dyDescent="0.25">
      <c r="A124365"/>
      <c r="B124365"/>
      <c r="C124365"/>
      <c r="E124365"/>
      <c r="F124365"/>
    </row>
    <row r="124366" spans="1:6" x14ac:dyDescent="0.25">
      <c r="A124366"/>
      <c r="B124366"/>
      <c r="C124366"/>
      <c r="E124366"/>
      <c r="F124366"/>
    </row>
    <row r="124367" spans="1:6" x14ac:dyDescent="0.25">
      <c r="A124367"/>
      <c r="B124367"/>
      <c r="C124367"/>
      <c r="E124367"/>
      <c r="F124367"/>
    </row>
    <row r="124368" spans="1:6" x14ac:dyDescent="0.25">
      <c r="A124368"/>
      <c r="B124368"/>
      <c r="C124368"/>
      <c r="E124368"/>
      <c r="F124368"/>
    </row>
    <row r="124369" spans="1:6" x14ac:dyDescent="0.25">
      <c r="A124369"/>
      <c r="B124369"/>
      <c r="C124369"/>
      <c r="E124369"/>
      <c r="F124369"/>
    </row>
    <row r="124370" spans="1:6" x14ac:dyDescent="0.25">
      <c r="A124370"/>
      <c r="B124370"/>
      <c r="C124370"/>
      <c r="E124370"/>
      <c r="F124370"/>
    </row>
    <row r="124371" spans="1:6" x14ac:dyDescent="0.25">
      <c r="A124371"/>
      <c r="B124371"/>
      <c r="C124371"/>
      <c r="E124371"/>
      <c r="F124371"/>
    </row>
    <row r="124372" spans="1:6" x14ac:dyDescent="0.25">
      <c r="A124372"/>
      <c r="B124372"/>
      <c r="C124372"/>
      <c r="E124372"/>
      <c r="F124372"/>
    </row>
    <row r="124373" spans="1:6" x14ac:dyDescent="0.25">
      <c r="A124373"/>
      <c r="B124373"/>
      <c r="C124373"/>
      <c r="E124373"/>
      <c r="F124373"/>
    </row>
    <row r="124374" spans="1:6" x14ac:dyDescent="0.25">
      <c r="A124374"/>
      <c r="B124374"/>
      <c r="C124374"/>
      <c r="E124374"/>
      <c r="F124374"/>
    </row>
    <row r="124375" spans="1:6" x14ac:dyDescent="0.25">
      <c r="A124375"/>
      <c r="B124375"/>
      <c r="C124375"/>
      <c r="E124375"/>
      <c r="F124375"/>
    </row>
    <row r="124376" spans="1:6" x14ac:dyDescent="0.25">
      <c r="A124376"/>
      <c r="B124376"/>
      <c r="C124376"/>
      <c r="E124376"/>
      <c r="F124376"/>
    </row>
    <row r="124377" spans="1:6" x14ac:dyDescent="0.25">
      <c r="A124377"/>
      <c r="B124377"/>
      <c r="C124377"/>
      <c r="E124377"/>
      <c r="F124377"/>
    </row>
    <row r="124378" spans="1:6" x14ac:dyDescent="0.25">
      <c r="A124378"/>
      <c r="B124378"/>
      <c r="C124378"/>
      <c r="E124378"/>
      <c r="F124378"/>
    </row>
    <row r="124379" spans="1:6" x14ac:dyDescent="0.25">
      <c r="A124379"/>
      <c r="B124379"/>
      <c r="C124379"/>
      <c r="E124379"/>
      <c r="F124379"/>
    </row>
    <row r="124380" spans="1:6" x14ac:dyDescent="0.25">
      <c r="A124380"/>
      <c r="B124380"/>
      <c r="C124380"/>
      <c r="E124380"/>
      <c r="F124380"/>
    </row>
    <row r="124381" spans="1:6" x14ac:dyDescent="0.25">
      <c r="A124381"/>
      <c r="B124381"/>
      <c r="C124381"/>
      <c r="E124381"/>
      <c r="F124381"/>
    </row>
    <row r="124382" spans="1:6" x14ac:dyDescent="0.25">
      <c r="A124382"/>
      <c r="B124382"/>
      <c r="C124382"/>
      <c r="E124382"/>
      <c r="F124382"/>
    </row>
    <row r="124383" spans="1:6" x14ac:dyDescent="0.25">
      <c r="A124383"/>
      <c r="B124383"/>
      <c r="C124383"/>
      <c r="E124383"/>
      <c r="F124383"/>
    </row>
    <row r="124384" spans="1:6" x14ac:dyDescent="0.25">
      <c r="A124384"/>
      <c r="B124384"/>
      <c r="C124384"/>
      <c r="E124384"/>
      <c r="F124384"/>
    </row>
    <row r="124385" spans="1:6" x14ac:dyDescent="0.25">
      <c r="A124385"/>
      <c r="B124385"/>
      <c r="C124385"/>
      <c r="E124385"/>
      <c r="F124385"/>
    </row>
    <row r="124386" spans="1:6" x14ac:dyDescent="0.25">
      <c r="A124386"/>
      <c r="B124386"/>
      <c r="C124386"/>
      <c r="E124386"/>
      <c r="F124386"/>
    </row>
    <row r="124387" spans="1:6" x14ac:dyDescent="0.25">
      <c r="A124387"/>
      <c r="B124387"/>
      <c r="C124387"/>
      <c r="E124387"/>
      <c r="F124387"/>
    </row>
    <row r="124388" spans="1:6" x14ac:dyDescent="0.25">
      <c r="A124388"/>
      <c r="B124388"/>
      <c r="C124388"/>
      <c r="E124388"/>
      <c r="F124388"/>
    </row>
    <row r="124389" spans="1:6" x14ac:dyDescent="0.25">
      <c r="A124389"/>
      <c r="B124389"/>
      <c r="C124389"/>
      <c r="E124389"/>
      <c r="F124389"/>
    </row>
    <row r="124390" spans="1:6" x14ac:dyDescent="0.25">
      <c r="A124390"/>
      <c r="B124390"/>
      <c r="C124390"/>
      <c r="E124390"/>
      <c r="F124390"/>
    </row>
    <row r="124391" spans="1:6" x14ac:dyDescent="0.25">
      <c r="A124391"/>
      <c r="B124391"/>
      <c r="C124391"/>
      <c r="E124391"/>
      <c r="F124391"/>
    </row>
    <row r="124392" spans="1:6" x14ac:dyDescent="0.25">
      <c r="A124392"/>
      <c r="B124392"/>
      <c r="C124392"/>
      <c r="E124392"/>
      <c r="F124392"/>
    </row>
    <row r="124393" spans="1:6" x14ac:dyDescent="0.25">
      <c r="A124393"/>
      <c r="B124393"/>
      <c r="C124393"/>
      <c r="E124393"/>
      <c r="F124393"/>
    </row>
    <row r="124394" spans="1:6" x14ac:dyDescent="0.25">
      <c r="A124394"/>
      <c r="B124394"/>
      <c r="C124394"/>
      <c r="E124394"/>
      <c r="F124394"/>
    </row>
    <row r="124395" spans="1:6" x14ac:dyDescent="0.25">
      <c r="A124395"/>
      <c r="B124395"/>
      <c r="C124395"/>
      <c r="E124395"/>
      <c r="F124395"/>
    </row>
    <row r="124396" spans="1:6" x14ac:dyDescent="0.25">
      <c r="A124396"/>
      <c r="B124396"/>
      <c r="C124396"/>
      <c r="E124396"/>
      <c r="F124396"/>
    </row>
    <row r="124397" spans="1:6" x14ac:dyDescent="0.25">
      <c r="A124397"/>
      <c r="B124397"/>
      <c r="C124397"/>
      <c r="E124397"/>
      <c r="F124397"/>
    </row>
    <row r="124398" spans="1:6" x14ac:dyDescent="0.25">
      <c r="A124398"/>
      <c r="B124398"/>
      <c r="C124398"/>
      <c r="E124398"/>
      <c r="F124398"/>
    </row>
    <row r="124399" spans="1:6" x14ac:dyDescent="0.25">
      <c r="A124399"/>
      <c r="B124399"/>
      <c r="C124399"/>
      <c r="E124399"/>
      <c r="F124399"/>
    </row>
    <row r="124400" spans="1:6" x14ac:dyDescent="0.25">
      <c r="A124400"/>
      <c r="B124400"/>
      <c r="C124400"/>
      <c r="E124400"/>
      <c r="F124400"/>
    </row>
    <row r="124401" spans="1:6" x14ac:dyDescent="0.25">
      <c r="A124401"/>
      <c r="B124401"/>
      <c r="C124401"/>
      <c r="E124401"/>
      <c r="F124401"/>
    </row>
    <row r="124402" spans="1:6" x14ac:dyDescent="0.25">
      <c r="A124402"/>
      <c r="B124402"/>
      <c r="C124402"/>
      <c r="E124402"/>
      <c r="F124402"/>
    </row>
    <row r="124403" spans="1:6" x14ac:dyDescent="0.25">
      <c r="A124403"/>
      <c r="B124403"/>
      <c r="C124403"/>
      <c r="E124403"/>
      <c r="F124403"/>
    </row>
    <row r="124404" spans="1:6" x14ac:dyDescent="0.25">
      <c r="A124404"/>
      <c r="B124404"/>
      <c r="C124404"/>
      <c r="E124404"/>
      <c r="F124404"/>
    </row>
    <row r="124405" spans="1:6" x14ac:dyDescent="0.25">
      <c r="A124405"/>
      <c r="B124405"/>
      <c r="C124405"/>
      <c r="E124405"/>
      <c r="F124405"/>
    </row>
    <row r="124406" spans="1:6" x14ac:dyDescent="0.25">
      <c r="A124406"/>
      <c r="B124406"/>
      <c r="C124406"/>
      <c r="E124406"/>
      <c r="F124406"/>
    </row>
    <row r="124407" spans="1:6" x14ac:dyDescent="0.25">
      <c r="A124407"/>
      <c r="B124407"/>
      <c r="C124407"/>
      <c r="E124407"/>
      <c r="F124407"/>
    </row>
    <row r="124408" spans="1:6" x14ac:dyDescent="0.25">
      <c r="A124408"/>
      <c r="B124408"/>
      <c r="C124408"/>
      <c r="E124408"/>
      <c r="F124408"/>
    </row>
    <row r="124409" spans="1:6" x14ac:dyDescent="0.25">
      <c r="A124409"/>
      <c r="B124409"/>
      <c r="C124409"/>
      <c r="E124409"/>
      <c r="F124409"/>
    </row>
    <row r="124410" spans="1:6" x14ac:dyDescent="0.25">
      <c r="A124410"/>
      <c r="B124410"/>
      <c r="C124410"/>
      <c r="E124410"/>
      <c r="F124410"/>
    </row>
    <row r="124411" spans="1:6" x14ac:dyDescent="0.25">
      <c r="A124411"/>
      <c r="B124411"/>
      <c r="C124411"/>
      <c r="E124411"/>
      <c r="F124411"/>
    </row>
    <row r="124412" spans="1:6" x14ac:dyDescent="0.25">
      <c r="A124412"/>
      <c r="B124412"/>
      <c r="C124412"/>
      <c r="E124412"/>
      <c r="F124412"/>
    </row>
    <row r="124413" spans="1:6" x14ac:dyDescent="0.25">
      <c r="A124413"/>
      <c r="B124413"/>
      <c r="C124413"/>
      <c r="E124413"/>
      <c r="F124413"/>
    </row>
    <row r="124414" spans="1:6" x14ac:dyDescent="0.25">
      <c r="A124414"/>
      <c r="B124414"/>
      <c r="C124414"/>
      <c r="E124414"/>
      <c r="F124414"/>
    </row>
    <row r="124415" spans="1:6" x14ac:dyDescent="0.25">
      <c r="A124415"/>
      <c r="B124415"/>
      <c r="C124415"/>
      <c r="E124415"/>
      <c r="F124415"/>
    </row>
    <row r="124416" spans="1:6" x14ac:dyDescent="0.25">
      <c r="A124416"/>
      <c r="B124416"/>
      <c r="C124416"/>
      <c r="E124416"/>
      <c r="F124416"/>
    </row>
    <row r="124417" spans="1:6" x14ac:dyDescent="0.25">
      <c r="A124417"/>
      <c r="B124417"/>
      <c r="C124417"/>
      <c r="E124417"/>
      <c r="F124417"/>
    </row>
    <row r="124418" spans="1:6" x14ac:dyDescent="0.25">
      <c r="A124418"/>
      <c r="B124418"/>
      <c r="C124418"/>
      <c r="E124418"/>
      <c r="F124418"/>
    </row>
    <row r="124419" spans="1:6" x14ac:dyDescent="0.25">
      <c r="A124419"/>
      <c r="B124419"/>
      <c r="C124419"/>
      <c r="E124419"/>
      <c r="F124419"/>
    </row>
    <row r="124420" spans="1:6" x14ac:dyDescent="0.25">
      <c r="A124420"/>
      <c r="B124420"/>
      <c r="C124420"/>
      <c r="E124420"/>
      <c r="F124420"/>
    </row>
    <row r="124421" spans="1:6" x14ac:dyDescent="0.25">
      <c r="A124421"/>
      <c r="B124421"/>
      <c r="C124421"/>
      <c r="E124421"/>
      <c r="F124421"/>
    </row>
    <row r="124422" spans="1:6" x14ac:dyDescent="0.25">
      <c r="A124422"/>
      <c r="B124422"/>
      <c r="C124422"/>
      <c r="E124422"/>
      <c r="F124422"/>
    </row>
    <row r="124423" spans="1:6" x14ac:dyDescent="0.25">
      <c r="A124423"/>
      <c r="B124423"/>
      <c r="C124423"/>
      <c r="E124423"/>
      <c r="F124423"/>
    </row>
    <row r="124424" spans="1:6" x14ac:dyDescent="0.25">
      <c r="A124424"/>
      <c r="B124424"/>
      <c r="C124424"/>
      <c r="E124424"/>
      <c r="F124424"/>
    </row>
    <row r="124425" spans="1:6" x14ac:dyDescent="0.25">
      <c r="A124425"/>
      <c r="B124425"/>
      <c r="C124425"/>
      <c r="E124425"/>
      <c r="F124425"/>
    </row>
    <row r="124426" spans="1:6" x14ac:dyDescent="0.25">
      <c r="A124426"/>
      <c r="B124426"/>
      <c r="C124426"/>
      <c r="E124426"/>
      <c r="F124426"/>
    </row>
    <row r="124427" spans="1:6" x14ac:dyDescent="0.25">
      <c r="A124427"/>
      <c r="B124427"/>
      <c r="C124427"/>
      <c r="E124427"/>
      <c r="F124427"/>
    </row>
    <row r="124428" spans="1:6" x14ac:dyDescent="0.25">
      <c r="A124428"/>
      <c r="B124428"/>
      <c r="C124428"/>
      <c r="E124428"/>
      <c r="F124428"/>
    </row>
    <row r="124429" spans="1:6" x14ac:dyDescent="0.25">
      <c r="A124429"/>
      <c r="B124429"/>
      <c r="C124429"/>
      <c r="E124429"/>
      <c r="F124429"/>
    </row>
    <row r="124430" spans="1:6" x14ac:dyDescent="0.25">
      <c r="A124430"/>
      <c r="B124430"/>
      <c r="C124430"/>
      <c r="E124430"/>
      <c r="F124430"/>
    </row>
    <row r="124431" spans="1:6" x14ac:dyDescent="0.25">
      <c r="A124431"/>
      <c r="B124431"/>
      <c r="C124431"/>
      <c r="E124431"/>
      <c r="F124431"/>
    </row>
    <row r="124432" spans="1:6" x14ac:dyDescent="0.25">
      <c r="A124432"/>
      <c r="B124432"/>
      <c r="C124432"/>
      <c r="E124432"/>
      <c r="F124432"/>
    </row>
    <row r="124433" spans="1:6" x14ac:dyDescent="0.25">
      <c r="A124433"/>
      <c r="B124433"/>
      <c r="C124433"/>
      <c r="E124433"/>
      <c r="F124433"/>
    </row>
    <row r="124434" spans="1:6" x14ac:dyDescent="0.25">
      <c r="A124434"/>
      <c r="B124434"/>
      <c r="C124434"/>
      <c r="E124434"/>
      <c r="F124434"/>
    </row>
    <row r="124435" spans="1:6" x14ac:dyDescent="0.25">
      <c r="A124435"/>
      <c r="B124435"/>
      <c r="C124435"/>
      <c r="E124435"/>
      <c r="F124435"/>
    </row>
    <row r="124436" spans="1:6" x14ac:dyDescent="0.25">
      <c r="A124436"/>
      <c r="B124436"/>
      <c r="C124436"/>
      <c r="E124436"/>
      <c r="F124436"/>
    </row>
    <row r="124437" spans="1:6" x14ac:dyDescent="0.25">
      <c r="A124437"/>
      <c r="B124437"/>
      <c r="C124437"/>
      <c r="E124437"/>
      <c r="F124437"/>
    </row>
    <row r="124438" spans="1:6" x14ac:dyDescent="0.25">
      <c r="A124438"/>
      <c r="B124438"/>
      <c r="C124438"/>
      <c r="E124438"/>
      <c r="F124438"/>
    </row>
    <row r="124439" spans="1:6" x14ac:dyDescent="0.25">
      <c r="A124439"/>
      <c r="B124439"/>
      <c r="C124439"/>
      <c r="E124439"/>
      <c r="F124439"/>
    </row>
    <row r="124440" spans="1:6" x14ac:dyDescent="0.25">
      <c r="A124440"/>
      <c r="B124440"/>
      <c r="C124440"/>
      <c r="E124440"/>
      <c r="F124440"/>
    </row>
    <row r="124441" spans="1:6" x14ac:dyDescent="0.25">
      <c r="A124441"/>
      <c r="B124441"/>
      <c r="C124441"/>
      <c r="E124441"/>
      <c r="F124441"/>
    </row>
    <row r="124442" spans="1:6" x14ac:dyDescent="0.25">
      <c r="A124442"/>
      <c r="B124442"/>
      <c r="C124442"/>
      <c r="E124442"/>
      <c r="F124442"/>
    </row>
    <row r="124443" spans="1:6" x14ac:dyDescent="0.25">
      <c r="A124443"/>
      <c r="B124443"/>
      <c r="C124443"/>
      <c r="E124443"/>
      <c r="F124443"/>
    </row>
    <row r="124444" spans="1:6" x14ac:dyDescent="0.25">
      <c r="A124444"/>
      <c r="B124444"/>
      <c r="C124444"/>
      <c r="E124444"/>
      <c r="F124444"/>
    </row>
    <row r="124445" spans="1:6" x14ac:dyDescent="0.25">
      <c r="A124445"/>
      <c r="B124445"/>
      <c r="C124445"/>
      <c r="E124445"/>
      <c r="F124445"/>
    </row>
    <row r="124446" spans="1:6" x14ac:dyDescent="0.25">
      <c r="A124446"/>
      <c r="B124446"/>
      <c r="C124446"/>
      <c r="E124446"/>
      <c r="F124446"/>
    </row>
    <row r="124447" spans="1:6" x14ac:dyDescent="0.25">
      <c r="A124447"/>
      <c r="B124447"/>
      <c r="C124447"/>
      <c r="E124447"/>
      <c r="F124447"/>
    </row>
    <row r="124448" spans="1:6" x14ac:dyDescent="0.25">
      <c r="A124448"/>
      <c r="B124448"/>
      <c r="C124448"/>
      <c r="E124448"/>
      <c r="F124448"/>
    </row>
    <row r="124449" spans="1:6" x14ac:dyDescent="0.25">
      <c r="A124449"/>
      <c r="B124449"/>
      <c r="C124449"/>
      <c r="E124449"/>
      <c r="F124449"/>
    </row>
    <row r="124450" spans="1:6" x14ac:dyDescent="0.25">
      <c r="A124450"/>
      <c r="B124450"/>
      <c r="C124450"/>
      <c r="E124450"/>
      <c r="F124450"/>
    </row>
    <row r="124451" spans="1:6" x14ac:dyDescent="0.25">
      <c r="A124451"/>
      <c r="B124451"/>
      <c r="C124451"/>
      <c r="E124451"/>
      <c r="F124451"/>
    </row>
    <row r="124452" spans="1:6" x14ac:dyDescent="0.25">
      <c r="A124452"/>
      <c r="B124452"/>
      <c r="C124452"/>
      <c r="E124452"/>
      <c r="F124452"/>
    </row>
    <row r="124453" spans="1:6" x14ac:dyDescent="0.25">
      <c r="A124453"/>
      <c r="B124453"/>
      <c r="C124453"/>
      <c r="E124453"/>
      <c r="F124453"/>
    </row>
    <row r="124454" spans="1:6" x14ac:dyDescent="0.25">
      <c r="A124454"/>
      <c r="B124454"/>
      <c r="C124454"/>
      <c r="E124454"/>
      <c r="F124454"/>
    </row>
    <row r="124455" spans="1:6" x14ac:dyDescent="0.25">
      <c r="A124455"/>
      <c r="B124455"/>
      <c r="C124455"/>
      <c r="E124455"/>
      <c r="F124455"/>
    </row>
    <row r="124456" spans="1:6" x14ac:dyDescent="0.25">
      <c r="A124456"/>
      <c r="B124456"/>
      <c r="C124456"/>
      <c r="E124456"/>
      <c r="F124456"/>
    </row>
    <row r="124457" spans="1:6" x14ac:dyDescent="0.25">
      <c r="A124457"/>
      <c r="B124457"/>
      <c r="C124457"/>
      <c r="E124457"/>
      <c r="F124457"/>
    </row>
    <row r="124458" spans="1:6" x14ac:dyDescent="0.25">
      <c r="A124458"/>
      <c r="B124458"/>
      <c r="C124458"/>
      <c r="E124458"/>
      <c r="F124458"/>
    </row>
    <row r="124459" spans="1:6" x14ac:dyDescent="0.25">
      <c r="A124459"/>
      <c r="B124459"/>
      <c r="C124459"/>
      <c r="E124459"/>
      <c r="F124459"/>
    </row>
    <row r="124460" spans="1:6" x14ac:dyDescent="0.25">
      <c r="A124460"/>
      <c r="B124460"/>
      <c r="C124460"/>
      <c r="E124460"/>
      <c r="F124460"/>
    </row>
    <row r="124461" spans="1:6" x14ac:dyDescent="0.25">
      <c r="A124461"/>
      <c r="B124461"/>
      <c r="C124461"/>
      <c r="E124461"/>
      <c r="F124461"/>
    </row>
    <row r="124462" spans="1:6" x14ac:dyDescent="0.25">
      <c r="A124462"/>
      <c r="B124462"/>
      <c r="C124462"/>
      <c r="E124462"/>
      <c r="F124462"/>
    </row>
    <row r="124463" spans="1:6" x14ac:dyDescent="0.25">
      <c r="A124463"/>
      <c r="B124463"/>
      <c r="C124463"/>
      <c r="E124463"/>
      <c r="F124463"/>
    </row>
    <row r="124464" spans="1:6" x14ac:dyDescent="0.25">
      <c r="A124464"/>
      <c r="B124464"/>
      <c r="C124464"/>
      <c r="E124464"/>
      <c r="F124464"/>
    </row>
    <row r="124465" spans="1:6" x14ac:dyDescent="0.25">
      <c r="A124465"/>
      <c r="B124465"/>
      <c r="C124465"/>
      <c r="E124465"/>
      <c r="F124465"/>
    </row>
    <row r="124466" spans="1:6" x14ac:dyDescent="0.25">
      <c r="A124466"/>
      <c r="B124466"/>
      <c r="C124466"/>
      <c r="E124466"/>
      <c r="F124466"/>
    </row>
    <row r="124467" spans="1:6" x14ac:dyDescent="0.25">
      <c r="A124467"/>
      <c r="B124467"/>
      <c r="C124467"/>
      <c r="E124467"/>
      <c r="F124467"/>
    </row>
    <row r="124468" spans="1:6" x14ac:dyDescent="0.25">
      <c r="A124468"/>
      <c r="B124468"/>
      <c r="C124468"/>
      <c r="E124468"/>
      <c r="F124468"/>
    </row>
    <row r="124469" spans="1:6" x14ac:dyDescent="0.25">
      <c r="A124469"/>
      <c r="B124469"/>
      <c r="C124469"/>
      <c r="E124469"/>
      <c r="F124469"/>
    </row>
    <row r="124470" spans="1:6" x14ac:dyDescent="0.25">
      <c r="A124470"/>
      <c r="B124470"/>
      <c r="C124470"/>
      <c r="E124470"/>
      <c r="F124470"/>
    </row>
    <row r="124471" spans="1:6" x14ac:dyDescent="0.25">
      <c r="A124471"/>
      <c r="B124471"/>
      <c r="C124471"/>
      <c r="E124471"/>
      <c r="F124471"/>
    </row>
    <row r="124472" spans="1:6" x14ac:dyDescent="0.25">
      <c r="A124472"/>
      <c r="B124472"/>
      <c r="C124472"/>
      <c r="E124472"/>
      <c r="F124472"/>
    </row>
    <row r="124473" spans="1:6" x14ac:dyDescent="0.25">
      <c r="A124473"/>
      <c r="B124473"/>
      <c r="C124473"/>
      <c r="E124473"/>
      <c r="F124473"/>
    </row>
    <row r="124474" spans="1:6" x14ac:dyDescent="0.25">
      <c r="A124474"/>
      <c r="B124474"/>
      <c r="C124474"/>
      <c r="E124474"/>
      <c r="F124474"/>
    </row>
    <row r="124475" spans="1:6" x14ac:dyDescent="0.25">
      <c r="A124475"/>
      <c r="B124475"/>
      <c r="C124475"/>
      <c r="E124475"/>
      <c r="F124475"/>
    </row>
    <row r="124476" spans="1:6" x14ac:dyDescent="0.25">
      <c r="A124476"/>
      <c r="B124476"/>
      <c r="C124476"/>
      <c r="E124476"/>
      <c r="F124476"/>
    </row>
    <row r="124477" spans="1:6" x14ac:dyDescent="0.25">
      <c r="A124477"/>
      <c r="B124477"/>
      <c r="C124477"/>
      <c r="E124477"/>
      <c r="F124477"/>
    </row>
    <row r="124478" spans="1:6" x14ac:dyDescent="0.25">
      <c r="A124478"/>
      <c r="B124478"/>
      <c r="C124478"/>
      <c r="E124478"/>
      <c r="F124478"/>
    </row>
    <row r="124479" spans="1:6" x14ac:dyDescent="0.25">
      <c r="A124479"/>
      <c r="B124479"/>
      <c r="C124479"/>
      <c r="E124479"/>
      <c r="F124479"/>
    </row>
    <row r="124480" spans="1:6" x14ac:dyDescent="0.25">
      <c r="A124480"/>
      <c r="B124480"/>
      <c r="C124480"/>
      <c r="E124480"/>
      <c r="F124480"/>
    </row>
    <row r="124481" spans="1:6" x14ac:dyDescent="0.25">
      <c r="A124481"/>
      <c r="B124481"/>
      <c r="C124481"/>
      <c r="E124481"/>
      <c r="F124481"/>
    </row>
    <row r="124482" spans="1:6" x14ac:dyDescent="0.25">
      <c r="A124482"/>
      <c r="B124482"/>
      <c r="C124482"/>
      <c r="E124482"/>
      <c r="F124482"/>
    </row>
    <row r="124483" spans="1:6" x14ac:dyDescent="0.25">
      <c r="A124483"/>
      <c r="B124483"/>
      <c r="C124483"/>
      <c r="E124483"/>
      <c r="F124483"/>
    </row>
    <row r="124484" spans="1:6" x14ac:dyDescent="0.25">
      <c r="A124484"/>
      <c r="B124484"/>
      <c r="C124484"/>
      <c r="E124484"/>
      <c r="F124484"/>
    </row>
    <row r="124485" spans="1:6" x14ac:dyDescent="0.25">
      <c r="A124485"/>
      <c r="B124485"/>
      <c r="C124485"/>
      <c r="E124485"/>
      <c r="F124485"/>
    </row>
    <row r="124486" spans="1:6" x14ac:dyDescent="0.25">
      <c r="A124486"/>
      <c r="B124486"/>
      <c r="C124486"/>
      <c r="E124486"/>
      <c r="F124486"/>
    </row>
    <row r="124487" spans="1:6" x14ac:dyDescent="0.25">
      <c r="A124487"/>
      <c r="B124487"/>
      <c r="C124487"/>
      <c r="E124487"/>
      <c r="F124487"/>
    </row>
    <row r="124488" spans="1:6" x14ac:dyDescent="0.25">
      <c r="A124488"/>
      <c r="B124488"/>
      <c r="C124488"/>
      <c r="E124488"/>
      <c r="F124488"/>
    </row>
    <row r="124489" spans="1:6" x14ac:dyDescent="0.25">
      <c r="A124489"/>
      <c r="B124489"/>
      <c r="C124489"/>
      <c r="E124489"/>
      <c r="F124489"/>
    </row>
    <row r="124490" spans="1:6" x14ac:dyDescent="0.25">
      <c r="A124490"/>
      <c r="B124490"/>
      <c r="C124490"/>
      <c r="E124490"/>
      <c r="F124490"/>
    </row>
    <row r="124491" spans="1:6" x14ac:dyDescent="0.25">
      <c r="A124491"/>
      <c r="B124491"/>
      <c r="C124491"/>
      <c r="E124491"/>
      <c r="F124491"/>
    </row>
    <row r="124492" spans="1:6" x14ac:dyDescent="0.25">
      <c r="A124492"/>
      <c r="B124492"/>
      <c r="C124492"/>
      <c r="E124492"/>
      <c r="F124492"/>
    </row>
    <row r="124493" spans="1:6" x14ac:dyDescent="0.25">
      <c r="A124493"/>
      <c r="B124493"/>
      <c r="C124493"/>
      <c r="E124493"/>
      <c r="F124493"/>
    </row>
    <row r="124494" spans="1:6" x14ac:dyDescent="0.25">
      <c r="A124494"/>
      <c r="B124494"/>
      <c r="C124494"/>
      <c r="E124494"/>
      <c r="F124494"/>
    </row>
    <row r="124495" spans="1:6" x14ac:dyDescent="0.25">
      <c r="A124495"/>
      <c r="B124495"/>
      <c r="C124495"/>
      <c r="E124495"/>
      <c r="F124495"/>
    </row>
    <row r="124496" spans="1:6" x14ac:dyDescent="0.25">
      <c r="A124496"/>
      <c r="B124496"/>
      <c r="C124496"/>
      <c r="E124496"/>
      <c r="F124496"/>
    </row>
    <row r="124497" spans="1:6" x14ac:dyDescent="0.25">
      <c r="A124497"/>
      <c r="B124497"/>
      <c r="C124497"/>
      <c r="E124497"/>
      <c r="F124497"/>
    </row>
    <row r="124498" spans="1:6" x14ac:dyDescent="0.25">
      <c r="A124498"/>
      <c r="B124498"/>
      <c r="C124498"/>
      <c r="E124498"/>
      <c r="F124498"/>
    </row>
    <row r="124499" spans="1:6" x14ac:dyDescent="0.25">
      <c r="A124499"/>
      <c r="B124499"/>
      <c r="C124499"/>
      <c r="E124499"/>
      <c r="F124499"/>
    </row>
    <row r="124500" spans="1:6" x14ac:dyDescent="0.25">
      <c r="A124500"/>
      <c r="B124500"/>
      <c r="C124500"/>
      <c r="E124500"/>
      <c r="F124500"/>
    </row>
    <row r="124501" spans="1:6" x14ac:dyDescent="0.25">
      <c r="A124501"/>
      <c r="B124501"/>
      <c r="C124501"/>
      <c r="E124501"/>
      <c r="F124501"/>
    </row>
    <row r="124502" spans="1:6" x14ac:dyDescent="0.25">
      <c r="A124502"/>
      <c r="B124502"/>
      <c r="C124502"/>
      <c r="E124502"/>
      <c r="F124502"/>
    </row>
    <row r="124503" spans="1:6" x14ac:dyDescent="0.25">
      <c r="A124503"/>
      <c r="B124503"/>
      <c r="C124503"/>
      <c r="E124503"/>
      <c r="F124503"/>
    </row>
    <row r="124504" spans="1:6" x14ac:dyDescent="0.25">
      <c r="A124504"/>
      <c r="B124504"/>
      <c r="C124504"/>
      <c r="E124504"/>
      <c r="F124504"/>
    </row>
    <row r="124505" spans="1:6" x14ac:dyDescent="0.25">
      <c r="A124505"/>
      <c r="B124505"/>
      <c r="C124505"/>
      <c r="E124505"/>
      <c r="F124505"/>
    </row>
    <row r="124506" spans="1:6" x14ac:dyDescent="0.25">
      <c r="A124506"/>
      <c r="B124506"/>
      <c r="C124506"/>
      <c r="E124506"/>
      <c r="F124506"/>
    </row>
    <row r="124507" spans="1:6" x14ac:dyDescent="0.25">
      <c r="A124507"/>
      <c r="B124507"/>
      <c r="C124507"/>
      <c r="E124507"/>
      <c r="F124507"/>
    </row>
    <row r="124508" spans="1:6" x14ac:dyDescent="0.25">
      <c r="A124508"/>
      <c r="B124508"/>
      <c r="C124508"/>
      <c r="E124508"/>
      <c r="F124508"/>
    </row>
    <row r="124509" spans="1:6" x14ac:dyDescent="0.25">
      <c r="A124509"/>
      <c r="B124509"/>
      <c r="C124509"/>
      <c r="E124509"/>
      <c r="F124509"/>
    </row>
    <row r="124510" spans="1:6" x14ac:dyDescent="0.25">
      <c r="A124510"/>
      <c r="B124510"/>
      <c r="C124510"/>
      <c r="E124510"/>
      <c r="F124510"/>
    </row>
    <row r="124511" spans="1:6" x14ac:dyDescent="0.25">
      <c r="A124511"/>
      <c r="B124511"/>
      <c r="C124511"/>
      <c r="E124511"/>
      <c r="F124511"/>
    </row>
    <row r="124512" spans="1:6" x14ac:dyDescent="0.25">
      <c r="A124512"/>
      <c r="B124512"/>
      <c r="C124512"/>
      <c r="E124512"/>
      <c r="F124512"/>
    </row>
    <row r="124513" spans="1:6" x14ac:dyDescent="0.25">
      <c r="A124513"/>
      <c r="B124513"/>
      <c r="C124513"/>
      <c r="E124513"/>
      <c r="F124513"/>
    </row>
    <row r="124514" spans="1:6" x14ac:dyDescent="0.25">
      <c r="A124514"/>
      <c r="B124514"/>
      <c r="C124514"/>
      <c r="E124514"/>
      <c r="F124514"/>
    </row>
    <row r="124515" spans="1:6" x14ac:dyDescent="0.25">
      <c r="A124515"/>
      <c r="B124515"/>
      <c r="C124515"/>
      <c r="E124515"/>
      <c r="F124515"/>
    </row>
    <row r="124516" spans="1:6" x14ac:dyDescent="0.25">
      <c r="A124516"/>
      <c r="B124516"/>
      <c r="C124516"/>
      <c r="E124516"/>
      <c r="F124516"/>
    </row>
    <row r="124517" spans="1:6" x14ac:dyDescent="0.25">
      <c r="A124517"/>
      <c r="B124517"/>
      <c r="C124517"/>
      <c r="E124517"/>
      <c r="F124517"/>
    </row>
    <row r="124518" spans="1:6" x14ac:dyDescent="0.25">
      <c r="A124518"/>
      <c r="B124518"/>
      <c r="C124518"/>
      <c r="E124518"/>
      <c r="F124518"/>
    </row>
    <row r="124519" spans="1:6" x14ac:dyDescent="0.25">
      <c r="A124519"/>
      <c r="B124519"/>
      <c r="C124519"/>
      <c r="E124519"/>
      <c r="F124519"/>
    </row>
    <row r="124520" spans="1:6" x14ac:dyDescent="0.25">
      <c r="A124520"/>
      <c r="B124520"/>
      <c r="C124520"/>
      <c r="E124520"/>
      <c r="F124520"/>
    </row>
    <row r="124521" spans="1:6" x14ac:dyDescent="0.25">
      <c r="A124521"/>
      <c r="B124521"/>
      <c r="C124521"/>
      <c r="E124521"/>
      <c r="F124521"/>
    </row>
    <row r="124522" spans="1:6" x14ac:dyDescent="0.25">
      <c r="A124522"/>
      <c r="B124522"/>
      <c r="C124522"/>
      <c r="E124522"/>
      <c r="F124522"/>
    </row>
    <row r="124523" spans="1:6" x14ac:dyDescent="0.25">
      <c r="A124523"/>
      <c r="B124523"/>
      <c r="C124523"/>
      <c r="E124523"/>
      <c r="F124523"/>
    </row>
    <row r="124524" spans="1:6" x14ac:dyDescent="0.25">
      <c r="A124524"/>
      <c r="B124524"/>
      <c r="C124524"/>
      <c r="E124524"/>
      <c r="F124524"/>
    </row>
    <row r="124525" spans="1:6" x14ac:dyDescent="0.25">
      <c r="A124525"/>
      <c r="B124525"/>
      <c r="C124525"/>
      <c r="E124525"/>
      <c r="F124525"/>
    </row>
    <row r="124526" spans="1:6" x14ac:dyDescent="0.25">
      <c r="A124526"/>
      <c r="B124526"/>
      <c r="C124526"/>
      <c r="E124526"/>
      <c r="F124526"/>
    </row>
    <row r="124527" spans="1:6" x14ac:dyDescent="0.25">
      <c r="A124527"/>
      <c r="B124527"/>
      <c r="C124527"/>
      <c r="E124527"/>
      <c r="F124527"/>
    </row>
    <row r="124528" spans="1:6" x14ac:dyDescent="0.25">
      <c r="A124528"/>
      <c r="B124528"/>
      <c r="C124528"/>
      <c r="E124528"/>
      <c r="F124528"/>
    </row>
    <row r="124529" spans="1:6" x14ac:dyDescent="0.25">
      <c r="A124529"/>
      <c r="B124529"/>
      <c r="C124529"/>
      <c r="E124529"/>
      <c r="F124529"/>
    </row>
    <row r="124530" spans="1:6" x14ac:dyDescent="0.25">
      <c r="A124530"/>
      <c r="B124530"/>
      <c r="C124530"/>
      <c r="E124530"/>
      <c r="F124530"/>
    </row>
    <row r="124531" spans="1:6" x14ac:dyDescent="0.25">
      <c r="A124531"/>
      <c r="B124531"/>
      <c r="C124531"/>
      <c r="E124531"/>
      <c r="F124531"/>
    </row>
    <row r="124532" spans="1:6" x14ac:dyDescent="0.25">
      <c r="A124532"/>
      <c r="B124532"/>
      <c r="C124532"/>
      <c r="E124532"/>
      <c r="F124532"/>
    </row>
    <row r="124533" spans="1:6" x14ac:dyDescent="0.25">
      <c r="A124533"/>
      <c r="B124533"/>
      <c r="C124533"/>
      <c r="E124533"/>
      <c r="F124533"/>
    </row>
    <row r="124534" spans="1:6" x14ac:dyDescent="0.25">
      <c r="A124534"/>
      <c r="B124534"/>
      <c r="C124534"/>
      <c r="E124534"/>
      <c r="F124534"/>
    </row>
    <row r="124535" spans="1:6" x14ac:dyDescent="0.25">
      <c r="A124535"/>
      <c r="B124535"/>
      <c r="C124535"/>
      <c r="E124535"/>
      <c r="F124535"/>
    </row>
    <row r="124536" spans="1:6" x14ac:dyDescent="0.25">
      <c r="A124536"/>
      <c r="B124536"/>
      <c r="C124536"/>
      <c r="E124536"/>
      <c r="F124536"/>
    </row>
    <row r="124537" spans="1:6" x14ac:dyDescent="0.25">
      <c r="A124537"/>
      <c r="B124537"/>
      <c r="C124537"/>
      <c r="E124537"/>
      <c r="F124537"/>
    </row>
    <row r="124538" spans="1:6" x14ac:dyDescent="0.25">
      <c r="A124538"/>
      <c r="B124538"/>
      <c r="C124538"/>
      <c r="E124538"/>
      <c r="F124538"/>
    </row>
    <row r="124539" spans="1:6" x14ac:dyDescent="0.25">
      <c r="A124539"/>
      <c r="B124539"/>
      <c r="C124539"/>
      <c r="E124539"/>
      <c r="F124539"/>
    </row>
    <row r="124540" spans="1:6" x14ac:dyDescent="0.25">
      <c r="A124540"/>
      <c r="B124540"/>
      <c r="C124540"/>
      <c r="E124540"/>
      <c r="F124540"/>
    </row>
    <row r="124541" spans="1:6" x14ac:dyDescent="0.25">
      <c r="A124541"/>
      <c r="B124541"/>
      <c r="C124541"/>
      <c r="E124541"/>
      <c r="F124541"/>
    </row>
    <row r="124542" spans="1:6" x14ac:dyDescent="0.25">
      <c r="A124542"/>
      <c r="B124542"/>
      <c r="C124542"/>
      <c r="E124542"/>
      <c r="F124542"/>
    </row>
    <row r="124543" spans="1:6" x14ac:dyDescent="0.25">
      <c r="A124543"/>
      <c r="B124543"/>
      <c r="C124543"/>
      <c r="E124543"/>
      <c r="F124543"/>
    </row>
    <row r="124544" spans="1:6" x14ac:dyDescent="0.25">
      <c r="A124544"/>
      <c r="B124544"/>
      <c r="C124544"/>
      <c r="E124544"/>
      <c r="F124544"/>
    </row>
    <row r="124545" spans="1:6" x14ac:dyDescent="0.25">
      <c r="A124545"/>
      <c r="B124545"/>
      <c r="C124545"/>
      <c r="E124545"/>
      <c r="F124545"/>
    </row>
    <row r="124546" spans="1:6" x14ac:dyDescent="0.25">
      <c r="A124546"/>
      <c r="B124546"/>
      <c r="C124546"/>
      <c r="E124546"/>
      <c r="F124546"/>
    </row>
    <row r="124547" spans="1:6" x14ac:dyDescent="0.25">
      <c r="A124547"/>
      <c r="B124547"/>
      <c r="C124547"/>
      <c r="E124547"/>
      <c r="F124547"/>
    </row>
    <row r="124548" spans="1:6" x14ac:dyDescent="0.25">
      <c r="A124548"/>
      <c r="B124548"/>
      <c r="C124548"/>
      <c r="E124548"/>
      <c r="F124548"/>
    </row>
    <row r="124549" spans="1:6" x14ac:dyDescent="0.25">
      <c r="A124549"/>
      <c r="B124549"/>
      <c r="C124549"/>
      <c r="E124549"/>
      <c r="F124549"/>
    </row>
    <row r="124550" spans="1:6" x14ac:dyDescent="0.25">
      <c r="A124550"/>
      <c r="B124550"/>
      <c r="C124550"/>
      <c r="E124550"/>
      <c r="F124550"/>
    </row>
    <row r="124551" spans="1:6" x14ac:dyDescent="0.25">
      <c r="A124551"/>
      <c r="B124551"/>
      <c r="C124551"/>
      <c r="E124551"/>
      <c r="F124551"/>
    </row>
    <row r="124552" spans="1:6" x14ac:dyDescent="0.25">
      <c r="A124552"/>
      <c r="B124552"/>
      <c r="C124552"/>
      <c r="E124552"/>
      <c r="F124552"/>
    </row>
    <row r="124553" spans="1:6" x14ac:dyDescent="0.25">
      <c r="A124553"/>
      <c r="B124553"/>
      <c r="C124553"/>
      <c r="E124553"/>
      <c r="F124553"/>
    </row>
    <row r="124554" spans="1:6" x14ac:dyDescent="0.25">
      <c r="A124554"/>
      <c r="B124554"/>
      <c r="C124554"/>
      <c r="E124554"/>
      <c r="F124554"/>
    </row>
    <row r="124555" spans="1:6" x14ac:dyDescent="0.25">
      <c r="A124555"/>
      <c r="B124555"/>
      <c r="C124555"/>
      <c r="E124555"/>
      <c r="F124555"/>
    </row>
    <row r="124556" spans="1:6" x14ac:dyDescent="0.25">
      <c r="A124556"/>
      <c r="B124556"/>
      <c r="C124556"/>
      <c r="E124556"/>
      <c r="F124556"/>
    </row>
    <row r="124557" spans="1:6" x14ac:dyDescent="0.25">
      <c r="A124557"/>
      <c r="B124557"/>
      <c r="C124557"/>
      <c r="E124557"/>
      <c r="F124557"/>
    </row>
    <row r="124558" spans="1:6" x14ac:dyDescent="0.25">
      <c r="A124558"/>
      <c r="B124558"/>
      <c r="C124558"/>
      <c r="E124558"/>
      <c r="F124558"/>
    </row>
    <row r="124559" spans="1:6" x14ac:dyDescent="0.25">
      <c r="A124559"/>
      <c r="B124559"/>
      <c r="C124559"/>
      <c r="E124559"/>
      <c r="F124559"/>
    </row>
    <row r="124560" spans="1:6" x14ac:dyDescent="0.25">
      <c r="A124560"/>
      <c r="B124560"/>
      <c r="C124560"/>
      <c r="E124560"/>
      <c r="F124560"/>
    </row>
    <row r="124561" spans="1:6" x14ac:dyDescent="0.25">
      <c r="A124561"/>
      <c r="B124561"/>
      <c r="C124561"/>
      <c r="E124561"/>
      <c r="F124561"/>
    </row>
    <row r="124562" spans="1:6" x14ac:dyDescent="0.25">
      <c r="A124562"/>
      <c r="B124562"/>
      <c r="C124562"/>
      <c r="E124562"/>
      <c r="F124562"/>
    </row>
    <row r="124563" spans="1:6" x14ac:dyDescent="0.25">
      <c r="A124563"/>
      <c r="B124563"/>
      <c r="C124563"/>
      <c r="E124563"/>
      <c r="F124563"/>
    </row>
    <row r="124564" spans="1:6" x14ac:dyDescent="0.25">
      <c r="A124564"/>
      <c r="B124564"/>
      <c r="C124564"/>
      <c r="E124564"/>
      <c r="F124564"/>
    </row>
    <row r="124565" spans="1:6" x14ac:dyDescent="0.25">
      <c r="A124565"/>
      <c r="B124565"/>
      <c r="C124565"/>
      <c r="E124565"/>
      <c r="F124565"/>
    </row>
    <row r="124566" spans="1:6" x14ac:dyDescent="0.25">
      <c r="A124566"/>
      <c r="B124566"/>
      <c r="C124566"/>
      <c r="E124566"/>
      <c r="F124566"/>
    </row>
    <row r="124567" spans="1:6" x14ac:dyDescent="0.25">
      <c r="A124567"/>
      <c r="B124567"/>
      <c r="C124567"/>
      <c r="E124567"/>
      <c r="F124567"/>
    </row>
    <row r="124568" spans="1:6" x14ac:dyDescent="0.25">
      <c r="A124568"/>
      <c r="B124568"/>
      <c r="C124568"/>
      <c r="E124568"/>
      <c r="F124568"/>
    </row>
    <row r="124569" spans="1:6" x14ac:dyDescent="0.25">
      <c r="A124569"/>
      <c r="B124569"/>
      <c r="C124569"/>
      <c r="E124569"/>
      <c r="F124569"/>
    </row>
    <row r="124570" spans="1:6" x14ac:dyDescent="0.25">
      <c r="A124570"/>
      <c r="B124570"/>
      <c r="C124570"/>
      <c r="E124570"/>
      <c r="F124570"/>
    </row>
    <row r="124571" spans="1:6" x14ac:dyDescent="0.25">
      <c r="A124571"/>
      <c r="B124571"/>
      <c r="C124571"/>
      <c r="E124571"/>
      <c r="F124571"/>
    </row>
    <row r="124572" spans="1:6" x14ac:dyDescent="0.25">
      <c r="A124572"/>
      <c r="B124572"/>
      <c r="C124572"/>
      <c r="E124572"/>
      <c r="F124572"/>
    </row>
    <row r="124573" spans="1:6" x14ac:dyDescent="0.25">
      <c r="A124573"/>
      <c r="B124573"/>
      <c r="C124573"/>
      <c r="E124573"/>
      <c r="F124573"/>
    </row>
    <row r="124574" spans="1:6" x14ac:dyDescent="0.25">
      <c r="A124574"/>
      <c r="B124574"/>
      <c r="C124574"/>
      <c r="E124574"/>
      <c r="F124574"/>
    </row>
    <row r="124575" spans="1:6" x14ac:dyDescent="0.25">
      <c r="A124575"/>
      <c r="B124575"/>
      <c r="C124575"/>
      <c r="E124575"/>
      <c r="F124575"/>
    </row>
    <row r="124576" spans="1:6" x14ac:dyDescent="0.25">
      <c r="A124576"/>
      <c r="B124576"/>
      <c r="C124576"/>
      <c r="E124576"/>
      <c r="F124576"/>
    </row>
    <row r="124577" spans="1:6" x14ac:dyDescent="0.25">
      <c r="A124577"/>
      <c r="B124577"/>
      <c r="C124577"/>
      <c r="E124577"/>
      <c r="F124577"/>
    </row>
    <row r="124578" spans="1:6" x14ac:dyDescent="0.25">
      <c r="A124578"/>
      <c r="B124578"/>
      <c r="C124578"/>
      <c r="E124578"/>
      <c r="F124578"/>
    </row>
    <row r="124579" spans="1:6" x14ac:dyDescent="0.25">
      <c r="A124579"/>
      <c r="B124579"/>
      <c r="C124579"/>
      <c r="E124579"/>
      <c r="F124579"/>
    </row>
    <row r="124580" spans="1:6" x14ac:dyDescent="0.25">
      <c r="A124580"/>
      <c r="B124580"/>
      <c r="C124580"/>
      <c r="E124580"/>
      <c r="F124580"/>
    </row>
    <row r="124581" spans="1:6" x14ac:dyDescent="0.25">
      <c r="A124581"/>
      <c r="B124581"/>
      <c r="C124581"/>
      <c r="E124581"/>
      <c r="F124581"/>
    </row>
    <row r="124582" spans="1:6" x14ac:dyDescent="0.25">
      <c r="A124582"/>
      <c r="B124582"/>
      <c r="C124582"/>
      <c r="E124582"/>
      <c r="F124582"/>
    </row>
    <row r="124583" spans="1:6" x14ac:dyDescent="0.25">
      <c r="A124583"/>
      <c r="B124583"/>
      <c r="C124583"/>
      <c r="E124583"/>
      <c r="F124583"/>
    </row>
    <row r="124584" spans="1:6" x14ac:dyDescent="0.25">
      <c r="A124584"/>
      <c r="B124584"/>
      <c r="C124584"/>
      <c r="E124584"/>
      <c r="F124584"/>
    </row>
    <row r="124585" spans="1:6" x14ac:dyDescent="0.25">
      <c r="A124585"/>
      <c r="B124585"/>
      <c r="C124585"/>
      <c r="E124585"/>
      <c r="F124585"/>
    </row>
    <row r="124586" spans="1:6" x14ac:dyDescent="0.25">
      <c r="A124586"/>
      <c r="B124586"/>
      <c r="C124586"/>
      <c r="E124586"/>
      <c r="F124586"/>
    </row>
    <row r="124587" spans="1:6" x14ac:dyDescent="0.25">
      <c r="A124587"/>
      <c r="B124587"/>
      <c r="C124587"/>
      <c r="E124587"/>
      <c r="F124587"/>
    </row>
    <row r="124588" spans="1:6" x14ac:dyDescent="0.25">
      <c r="A124588"/>
      <c r="B124588"/>
      <c r="C124588"/>
      <c r="E124588"/>
      <c r="F124588"/>
    </row>
    <row r="124589" spans="1:6" x14ac:dyDescent="0.25">
      <c r="A124589"/>
      <c r="B124589"/>
      <c r="C124589"/>
      <c r="E124589"/>
      <c r="F124589"/>
    </row>
    <row r="124590" spans="1:6" x14ac:dyDescent="0.25">
      <c r="A124590"/>
      <c r="B124590"/>
      <c r="C124590"/>
      <c r="E124590"/>
      <c r="F124590"/>
    </row>
    <row r="124591" spans="1:6" x14ac:dyDescent="0.25">
      <c r="A124591"/>
      <c r="B124591"/>
      <c r="C124591"/>
      <c r="E124591"/>
      <c r="F124591"/>
    </row>
    <row r="124592" spans="1:6" x14ac:dyDescent="0.25">
      <c r="A124592"/>
      <c r="B124592"/>
      <c r="C124592"/>
      <c r="E124592"/>
      <c r="F124592"/>
    </row>
    <row r="124593" spans="1:6" x14ac:dyDescent="0.25">
      <c r="A124593"/>
      <c r="B124593"/>
      <c r="C124593"/>
      <c r="E124593"/>
      <c r="F124593"/>
    </row>
    <row r="124594" spans="1:6" x14ac:dyDescent="0.25">
      <c r="A124594"/>
      <c r="B124594"/>
      <c r="C124594"/>
      <c r="E124594"/>
      <c r="F124594"/>
    </row>
    <row r="124595" spans="1:6" x14ac:dyDescent="0.25">
      <c r="A124595"/>
      <c r="B124595"/>
      <c r="C124595"/>
      <c r="E124595"/>
      <c r="F124595"/>
    </row>
    <row r="124596" spans="1:6" x14ac:dyDescent="0.25">
      <c r="A124596"/>
      <c r="B124596"/>
      <c r="C124596"/>
      <c r="E124596"/>
      <c r="F124596"/>
    </row>
    <row r="124597" spans="1:6" x14ac:dyDescent="0.25">
      <c r="A124597"/>
      <c r="B124597"/>
      <c r="C124597"/>
      <c r="E124597"/>
      <c r="F124597"/>
    </row>
    <row r="124598" spans="1:6" x14ac:dyDescent="0.25">
      <c r="A124598"/>
      <c r="B124598"/>
      <c r="C124598"/>
      <c r="E124598"/>
      <c r="F124598"/>
    </row>
    <row r="124599" spans="1:6" x14ac:dyDescent="0.25">
      <c r="A124599"/>
      <c r="B124599"/>
      <c r="C124599"/>
      <c r="E124599"/>
      <c r="F124599"/>
    </row>
    <row r="124600" spans="1:6" x14ac:dyDescent="0.25">
      <c r="A124600"/>
      <c r="B124600"/>
      <c r="C124600"/>
      <c r="E124600"/>
      <c r="F124600"/>
    </row>
    <row r="124601" spans="1:6" x14ac:dyDescent="0.25">
      <c r="A124601"/>
      <c r="B124601"/>
      <c r="C124601"/>
      <c r="E124601"/>
      <c r="F124601"/>
    </row>
    <row r="124602" spans="1:6" x14ac:dyDescent="0.25">
      <c r="A124602"/>
      <c r="B124602"/>
      <c r="C124602"/>
      <c r="E124602"/>
      <c r="F124602"/>
    </row>
    <row r="124603" spans="1:6" x14ac:dyDescent="0.25">
      <c r="A124603"/>
      <c r="B124603"/>
      <c r="C124603"/>
      <c r="E124603"/>
      <c r="F124603"/>
    </row>
    <row r="124604" spans="1:6" x14ac:dyDescent="0.25">
      <c r="A124604"/>
      <c r="B124604"/>
      <c r="C124604"/>
      <c r="E124604"/>
      <c r="F124604"/>
    </row>
    <row r="124605" spans="1:6" x14ac:dyDescent="0.25">
      <c r="A124605"/>
      <c r="B124605"/>
      <c r="C124605"/>
      <c r="E124605"/>
      <c r="F124605"/>
    </row>
    <row r="124606" spans="1:6" x14ac:dyDescent="0.25">
      <c r="A124606"/>
      <c r="B124606"/>
      <c r="C124606"/>
      <c r="E124606"/>
      <c r="F124606"/>
    </row>
    <row r="124607" spans="1:6" x14ac:dyDescent="0.25">
      <c r="A124607"/>
      <c r="B124607"/>
      <c r="C124607"/>
      <c r="E124607"/>
      <c r="F124607"/>
    </row>
    <row r="124608" spans="1:6" x14ac:dyDescent="0.25">
      <c r="A124608"/>
      <c r="B124608"/>
      <c r="C124608"/>
      <c r="E124608"/>
      <c r="F124608"/>
    </row>
    <row r="124609" spans="1:6" x14ac:dyDescent="0.25">
      <c r="A124609"/>
      <c r="B124609"/>
      <c r="C124609"/>
      <c r="E124609"/>
      <c r="F124609"/>
    </row>
    <row r="124610" spans="1:6" x14ac:dyDescent="0.25">
      <c r="A124610"/>
      <c r="B124610"/>
      <c r="C124610"/>
      <c r="E124610"/>
      <c r="F124610"/>
    </row>
    <row r="124611" spans="1:6" x14ac:dyDescent="0.25">
      <c r="A124611"/>
      <c r="B124611"/>
      <c r="C124611"/>
      <c r="E124611"/>
      <c r="F124611"/>
    </row>
    <row r="124612" spans="1:6" x14ac:dyDescent="0.25">
      <c r="A124612"/>
      <c r="B124612"/>
      <c r="C124612"/>
      <c r="E124612"/>
      <c r="F124612"/>
    </row>
    <row r="124613" spans="1:6" x14ac:dyDescent="0.25">
      <c r="A124613"/>
      <c r="B124613"/>
      <c r="C124613"/>
      <c r="E124613"/>
      <c r="F124613"/>
    </row>
    <row r="124614" spans="1:6" x14ac:dyDescent="0.25">
      <c r="A124614"/>
      <c r="B124614"/>
      <c r="C124614"/>
      <c r="E124614"/>
      <c r="F124614"/>
    </row>
    <row r="124615" spans="1:6" x14ac:dyDescent="0.25">
      <c r="A124615"/>
      <c r="B124615"/>
      <c r="C124615"/>
      <c r="E124615"/>
      <c r="F124615"/>
    </row>
    <row r="124616" spans="1:6" x14ac:dyDescent="0.25">
      <c r="A124616"/>
      <c r="B124616"/>
      <c r="C124616"/>
      <c r="E124616"/>
      <c r="F124616"/>
    </row>
    <row r="124617" spans="1:6" x14ac:dyDescent="0.25">
      <c r="A124617"/>
      <c r="B124617"/>
      <c r="C124617"/>
      <c r="E124617"/>
      <c r="F124617"/>
    </row>
    <row r="124618" spans="1:6" x14ac:dyDescent="0.25">
      <c r="A124618"/>
      <c r="B124618"/>
      <c r="C124618"/>
      <c r="E124618"/>
      <c r="F124618"/>
    </row>
    <row r="124619" spans="1:6" x14ac:dyDescent="0.25">
      <c r="A124619"/>
      <c r="B124619"/>
      <c r="C124619"/>
      <c r="E124619"/>
      <c r="F124619"/>
    </row>
    <row r="124620" spans="1:6" x14ac:dyDescent="0.25">
      <c r="A124620"/>
      <c r="B124620"/>
      <c r="C124620"/>
      <c r="E124620"/>
      <c r="F124620"/>
    </row>
    <row r="124621" spans="1:6" x14ac:dyDescent="0.25">
      <c r="A124621"/>
      <c r="B124621"/>
      <c r="C124621"/>
      <c r="E124621"/>
      <c r="F124621"/>
    </row>
    <row r="124622" spans="1:6" x14ac:dyDescent="0.25">
      <c r="A124622"/>
      <c r="B124622"/>
      <c r="C124622"/>
      <c r="E124622"/>
      <c r="F124622"/>
    </row>
    <row r="124623" spans="1:6" x14ac:dyDescent="0.25">
      <c r="A124623"/>
      <c r="B124623"/>
      <c r="C124623"/>
      <c r="E124623"/>
      <c r="F124623"/>
    </row>
    <row r="124624" spans="1:6" x14ac:dyDescent="0.25">
      <c r="A124624"/>
      <c r="B124624"/>
      <c r="C124624"/>
      <c r="E124624"/>
      <c r="F124624"/>
    </row>
    <row r="124625" spans="1:6" x14ac:dyDescent="0.25">
      <c r="A124625"/>
      <c r="B124625"/>
      <c r="C124625"/>
      <c r="E124625"/>
      <c r="F124625"/>
    </row>
    <row r="124626" spans="1:6" x14ac:dyDescent="0.25">
      <c r="A124626"/>
      <c r="B124626"/>
      <c r="C124626"/>
      <c r="E124626"/>
      <c r="F124626"/>
    </row>
    <row r="124627" spans="1:6" x14ac:dyDescent="0.25">
      <c r="A124627"/>
      <c r="B124627"/>
      <c r="C124627"/>
      <c r="E124627"/>
      <c r="F124627"/>
    </row>
    <row r="124628" spans="1:6" x14ac:dyDescent="0.25">
      <c r="A124628"/>
      <c r="B124628"/>
      <c r="C124628"/>
      <c r="E124628"/>
      <c r="F124628"/>
    </row>
    <row r="124629" spans="1:6" x14ac:dyDescent="0.25">
      <c r="A124629"/>
      <c r="B124629"/>
      <c r="C124629"/>
      <c r="E124629"/>
      <c r="F124629"/>
    </row>
    <row r="124630" spans="1:6" x14ac:dyDescent="0.25">
      <c r="A124630"/>
      <c r="B124630"/>
      <c r="C124630"/>
      <c r="E124630"/>
      <c r="F124630"/>
    </row>
    <row r="124631" spans="1:6" x14ac:dyDescent="0.25">
      <c r="A124631"/>
      <c r="B124631"/>
      <c r="C124631"/>
      <c r="E124631"/>
      <c r="F124631"/>
    </row>
    <row r="124632" spans="1:6" x14ac:dyDescent="0.25">
      <c r="A124632"/>
      <c r="B124632"/>
      <c r="C124632"/>
      <c r="E124632"/>
      <c r="F124632"/>
    </row>
    <row r="124633" spans="1:6" x14ac:dyDescent="0.25">
      <c r="A124633"/>
      <c r="B124633"/>
      <c r="C124633"/>
      <c r="E124633"/>
      <c r="F124633"/>
    </row>
    <row r="124634" spans="1:6" x14ac:dyDescent="0.25">
      <c r="A124634"/>
      <c r="B124634"/>
      <c r="C124634"/>
      <c r="E124634"/>
      <c r="F124634"/>
    </row>
    <row r="124635" spans="1:6" x14ac:dyDescent="0.25">
      <c r="A124635"/>
      <c r="B124635"/>
      <c r="C124635"/>
      <c r="E124635"/>
      <c r="F124635"/>
    </row>
    <row r="124636" spans="1:6" x14ac:dyDescent="0.25">
      <c r="A124636"/>
      <c r="B124636"/>
      <c r="C124636"/>
      <c r="E124636"/>
      <c r="F124636"/>
    </row>
    <row r="124637" spans="1:6" x14ac:dyDescent="0.25">
      <c r="A124637"/>
      <c r="B124637"/>
      <c r="C124637"/>
      <c r="E124637"/>
      <c r="F124637"/>
    </row>
    <row r="124638" spans="1:6" x14ac:dyDescent="0.25">
      <c r="A124638"/>
      <c r="B124638"/>
      <c r="C124638"/>
      <c r="E124638"/>
      <c r="F124638"/>
    </row>
    <row r="124639" spans="1:6" x14ac:dyDescent="0.25">
      <c r="A124639"/>
      <c r="B124639"/>
      <c r="C124639"/>
      <c r="E124639"/>
      <c r="F124639"/>
    </row>
    <row r="124640" spans="1:6" x14ac:dyDescent="0.25">
      <c r="A124640"/>
      <c r="B124640"/>
      <c r="C124640"/>
      <c r="E124640"/>
      <c r="F124640"/>
    </row>
    <row r="124641" spans="1:6" x14ac:dyDescent="0.25">
      <c r="A124641"/>
      <c r="B124641"/>
      <c r="C124641"/>
      <c r="E124641"/>
      <c r="F124641"/>
    </row>
    <row r="124642" spans="1:6" x14ac:dyDescent="0.25">
      <c r="A124642"/>
      <c r="B124642"/>
      <c r="C124642"/>
      <c r="E124642"/>
      <c r="F124642"/>
    </row>
    <row r="124643" spans="1:6" x14ac:dyDescent="0.25">
      <c r="A124643"/>
      <c r="B124643"/>
      <c r="C124643"/>
      <c r="E124643"/>
      <c r="F124643"/>
    </row>
    <row r="124644" spans="1:6" x14ac:dyDescent="0.25">
      <c r="A124644"/>
      <c r="B124644"/>
      <c r="C124644"/>
      <c r="E124644"/>
      <c r="F124644"/>
    </row>
    <row r="124645" spans="1:6" x14ac:dyDescent="0.25">
      <c r="A124645"/>
      <c r="B124645"/>
      <c r="C124645"/>
      <c r="E124645"/>
      <c r="F124645"/>
    </row>
    <row r="124646" spans="1:6" x14ac:dyDescent="0.25">
      <c r="A124646"/>
      <c r="B124646"/>
      <c r="C124646"/>
      <c r="E124646"/>
      <c r="F124646"/>
    </row>
    <row r="124647" spans="1:6" x14ac:dyDescent="0.25">
      <c r="A124647"/>
      <c r="B124647"/>
      <c r="C124647"/>
      <c r="E124647"/>
      <c r="F124647"/>
    </row>
    <row r="124648" spans="1:6" x14ac:dyDescent="0.25">
      <c r="A124648"/>
      <c r="B124648"/>
      <c r="C124648"/>
      <c r="E124648"/>
      <c r="F124648"/>
    </row>
    <row r="124649" spans="1:6" x14ac:dyDescent="0.25">
      <c r="A124649"/>
      <c r="B124649"/>
      <c r="C124649"/>
      <c r="E124649"/>
      <c r="F124649"/>
    </row>
    <row r="124650" spans="1:6" x14ac:dyDescent="0.25">
      <c r="A124650"/>
      <c r="B124650"/>
      <c r="C124650"/>
      <c r="E124650"/>
      <c r="F124650"/>
    </row>
    <row r="124651" spans="1:6" x14ac:dyDescent="0.25">
      <c r="A124651"/>
      <c r="B124651"/>
      <c r="C124651"/>
      <c r="E124651"/>
      <c r="F124651"/>
    </row>
    <row r="124652" spans="1:6" x14ac:dyDescent="0.25">
      <c r="A124652"/>
      <c r="B124652"/>
      <c r="C124652"/>
      <c r="E124652"/>
      <c r="F124652"/>
    </row>
    <row r="124653" spans="1:6" x14ac:dyDescent="0.25">
      <c r="A124653"/>
      <c r="B124653"/>
      <c r="C124653"/>
      <c r="E124653"/>
      <c r="F124653"/>
    </row>
    <row r="124654" spans="1:6" x14ac:dyDescent="0.25">
      <c r="A124654"/>
      <c r="B124654"/>
      <c r="C124654"/>
      <c r="E124654"/>
      <c r="F124654"/>
    </row>
    <row r="124655" spans="1:6" x14ac:dyDescent="0.25">
      <c r="A124655"/>
      <c r="B124655"/>
      <c r="C124655"/>
      <c r="E124655"/>
      <c r="F124655"/>
    </row>
    <row r="124656" spans="1:6" x14ac:dyDescent="0.25">
      <c r="A124656"/>
      <c r="B124656"/>
      <c r="C124656"/>
      <c r="E124656"/>
      <c r="F124656"/>
    </row>
    <row r="124657" spans="1:6" x14ac:dyDescent="0.25">
      <c r="A124657"/>
      <c r="B124657"/>
      <c r="C124657"/>
      <c r="E124657"/>
      <c r="F124657"/>
    </row>
    <row r="124658" spans="1:6" x14ac:dyDescent="0.25">
      <c r="A124658"/>
      <c r="B124658"/>
      <c r="C124658"/>
      <c r="E124658"/>
      <c r="F124658"/>
    </row>
    <row r="124659" spans="1:6" x14ac:dyDescent="0.25">
      <c r="A124659"/>
      <c r="B124659"/>
      <c r="C124659"/>
      <c r="E124659"/>
      <c r="F124659"/>
    </row>
    <row r="124660" spans="1:6" x14ac:dyDescent="0.25">
      <c r="A124660"/>
      <c r="B124660"/>
      <c r="C124660"/>
      <c r="E124660"/>
      <c r="F124660"/>
    </row>
    <row r="124661" spans="1:6" x14ac:dyDescent="0.25">
      <c r="A124661"/>
      <c r="B124661"/>
      <c r="C124661"/>
      <c r="E124661"/>
      <c r="F124661"/>
    </row>
    <row r="124662" spans="1:6" x14ac:dyDescent="0.25">
      <c r="A124662"/>
      <c r="B124662"/>
      <c r="C124662"/>
      <c r="E124662"/>
      <c r="F124662"/>
    </row>
    <row r="124663" spans="1:6" x14ac:dyDescent="0.25">
      <c r="A124663"/>
      <c r="B124663"/>
      <c r="C124663"/>
      <c r="E124663"/>
      <c r="F124663"/>
    </row>
    <row r="124664" spans="1:6" x14ac:dyDescent="0.25">
      <c r="A124664"/>
      <c r="B124664"/>
      <c r="C124664"/>
      <c r="E124664"/>
      <c r="F124664"/>
    </row>
    <row r="124665" spans="1:6" x14ac:dyDescent="0.25">
      <c r="A124665"/>
      <c r="B124665"/>
      <c r="C124665"/>
      <c r="E124665"/>
      <c r="F124665"/>
    </row>
    <row r="124666" spans="1:6" x14ac:dyDescent="0.25">
      <c r="A124666"/>
      <c r="B124666"/>
      <c r="C124666"/>
      <c r="E124666"/>
      <c r="F124666"/>
    </row>
    <row r="124667" spans="1:6" x14ac:dyDescent="0.25">
      <c r="A124667"/>
      <c r="B124667"/>
      <c r="C124667"/>
      <c r="E124667"/>
      <c r="F124667"/>
    </row>
    <row r="124668" spans="1:6" x14ac:dyDescent="0.25">
      <c r="A124668"/>
      <c r="B124668"/>
      <c r="C124668"/>
      <c r="E124668"/>
      <c r="F124668"/>
    </row>
    <row r="124669" spans="1:6" x14ac:dyDescent="0.25">
      <c r="A124669"/>
      <c r="B124669"/>
      <c r="C124669"/>
      <c r="E124669"/>
      <c r="F124669"/>
    </row>
    <row r="124670" spans="1:6" x14ac:dyDescent="0.25">
      <c r="A124670"/>
      <c r="B124670"/>
      <c r="C124670"/>
      <c r="E124670"/>
      <c r="F124670"/>
    </row>
    <row r="124671" spans="1:6" x14ac:dyDescent="0.25">
      <c r="A124671"/>
      <c r="B124671"/>
      <c r="C124671"/>
      <c r="E124671"/>
      <c r="F124671"/>
    </row>
    <row r="124672" spans="1:6" x14ac:dyDescent="0.25">
      <c r="A124672"/>
      <c r="B124672"/>
      <c r="C124672"/>
      <c r="E124672"/>
      <c r="F124672"/>
    </row>
    <row r="124673" spans="1:6" x14ac:dyDescent="0.25">
      <c r="A124673"/>
      <c r="B124673"/>
      <c r="C124673"/>
      <c r="E124673"/>
      <c r="F124673"/>
    </row>
    <row r="124674" spans="1:6" x14ac:dyDescent="0.25">
      <c r="A124674"/>
      <c r="B124674"/>
      <c r="C124674"/>
      <c r="E124674"/>
      <c r="F124674"/>
    </row>
    <row r="124675" spans="1:6" x14ac:dyDescent="0.25">
      <c r="A124675"/>
      <c r="B124675"/>
      <c r="C124675"/>
      <c r="E124675"/>
      <c r="F124675"/>
    </row>
    <row r="124676" spans="1:6" x14ac:dyDescent="0.25">
      <c r="A124676"/>
      <c r="B124676"/>
      <c r="C124676"/>
      <c r="E124676"/>
      <c r="F124676"/>
    </row>
    <row r="124677" spans="1:6" x14ac:dyDescent="0.25">
      <c r="A124677"/>
      <c r="B124677"/>
      <c r="C124677"/>
      <c r="E124677"/>
      <c r="F124677"/>
    </row>
    <row r="124678" spans="1:6" x14ac:dyDescent="0.25">
      <c r="A124678"/>
      <c r="B124678"/>
      <c r="C124678"/>
      <c r="E124678"/>
      <c r="F124678"/>
    </row>
    <row r="124679" spans="1:6" x14ac:dyDescent="0.25">
      <c r="A124679"/>
      <c r="B124679"/>
      <c r="C124679"/>
      <c r="E124679"/>
      <c r="F124679"/>
    </row>
    <row r="124680" spans="1:6" x14ac:dyDescent="0.25">
      <c r="A124680"/>
      <c r="B124680"/>
      <c r="C124680"/>
      <c r="E124680"/>
      <c r="F124680"/>
    </row>
    <row r="124681" spans="1:6" x14ac:dyDescent="0.25">
      <c r="A124681"/>
      <c r="B124681"/>
      <c r="C124681"/>
      <c r="E124681"/>
      <c r="F124681"/>
    </row>
    <row r="124682" spans="1:6" x14ac:dyDescent="0.25">
      <c r="A124682"/>
      <c r="B124682"/>
      <c r="C124682"/>
      <c r="E124682"/>
      <c r="F124682"/>
    </row>
    <row r="124683" spans="1:6" x14ac:dyDescent="0.25">
      <c r="A124683"/>
      <c r="B124683"/>
      <c r="C124683"/>
      <c r="E124683"/>
      <c r="F124683"/>
    </row>
    <row r="124684" spans="1:6" x14ac:dyDescent="0.25">
      <c r="A124684"/>
      <c r="B124684"/>
      <c r="C124684"/>
      <c r="E124684"/>
      <c r="F124684"/>
    </row>
    <row r="124685" spans="1:6" x14ac:dyDescent="0.25">
      <c r="A124685"/>
      <c r="B124685"/>
      <c r="C124685"/>
      <c r="E124685"/>
      <c r="F124685"/>
    </row>
    <row r="124686" spans="1:6" x14ac:dyDescent="0.25">
      <c r="A124686"/>
      <c r="B124686"/>
      <c r="C124686"/>
      <c r="E124686"/>
      <c r="F124686"/>
    </row>
    <row r="124687" spans="1:6" x14ac:dyDescent="0.25">
      <c r="A124687"/>
      <c r="B124687"/>
      <c r="C124687"/>
      <c r="E124687"/>
      <c r="F124687"/>
    </row>
    <row r="124688" spans="1:6" x14ac:dyDescent="0.25">
      <c r="A124688"/>
      <c r="B124688"/>
      <c r="C124688"/>
      <c r="E124688"/>
      <c r="F124688"/>
    </row>
    <row r="124689" spans="1:6" x14ac:dyDescent="0.25">
      <c r="A124689"/>
      <c r="B124689"/>
      <c r="C124689"/>
      <c r="E124689"/>
      <c r="F124689"/>
    </row>
    <row r="124690" spans="1:6" x14ac:dyDescent="0.25">
      <c r="A124690"/>
      <c r="B124690"/>
      <c r="C124690"/>
      <c r="E124690"/>
      <c r="F124690"/>
    </row>
    <row r="124691" spans="1:6" x14ac:dyDescent="0.25">
      <c r="A124691"/>
      <c r="B124691"/>
      <c r="C124691"/>
      <c r="E124691"/>
      <c r="F124691"/>
    </row>
    <row r="124692" spans="1:6" x14ac:dyDescent="0.25">
      <c r="A124692"/>
      <c r="B124692"/>
      <c r="C124692"/>
      <c r="E124692"/>
      <c r="F124692"/>
    </row>
    <row r="124693" spans="1:6" x14ac:dyDescent="0.25">
      <c r="A124693"/>
      <c r="B124693"/>
      <c r="C124693"/>
      <c r="E124693"/>
      <c r="F124693"/>
    </row>
    <row r="124694" spans="1:6" x14ac:dyDescent="0.25">
      <c r="A124694"/>
      <c r="B124694"/>
      <c r="C124694"/>
      <c r="E124694"/>
      <c r="F124694"/>
    </row>
    <row r="124695" spans="1:6" x14ac:dyDescent="0.25">
      <c r="A124695"/>
      <c r="B124695"/>
      <c r="C124695"/>
      <c r="E124695"/>
      <c r="F124695"/>
    </row>
    <row r="124696" spans="1:6" x14ac:dyDescent="0.25">
      <c r="A124696"/>
      <c r="B124696"/>
      <c r="C124696"/>
      <c r="E124696"/>
      <c r="F124696"/>
    </row>
    <row r="124697" spans="1:6" x14ac:dyDescent="0.25">
      <c r="A124697"/>
      <c r="B124697"/>
      <c r="C124697"/>
      <c r="E124697"/>
      <c r="F124697"/>
    </row>
    <row r="124698" spans="1:6" x14ac:dyDescent="0.25">
      <c r="A124698"/>
      <c r="B124698"/>
      <c r="C124698"/>
      <c r="E124698"/>
      <c r="F124698"/>
    </row>
    <row r="124699" spans="1:6" x14ac:dyDescent="0.25">
      <c r="A124699"/>
      <c r="B124699"/>
      <c r="C124699"/>
      <c r="E124699"/>
      <c r="F124699"/>
    </row>
    <row r="124700" spans="1:6" x14ac:dyDescent="0.25">
      <c r="A124700"/>
      <c r="B124700"/>
      <c r="C124700"/>
      <c r="E124700"/>
      <c r="F124700"/>
    </row>
    <row r="124701" spans="1:6" x14ac:dyDescent="0.25">
      <c r="A124701"/>
      <c r="B124701"/>
      <c r="C124701"/>
      <c r="E124701"/>
      <c r="F124701"/>
    </row>
    <row r="124702" spans="1:6" x14ac:dyDescent="0.25">
      <c r="A124702"/>
      <c r="B124702"/>
      <c r="C124702"/>
      <c r="E124702"/>
      <c r="F124702"/>
    </row>
    <row r="124703" spans="1:6" x14ac:dyDescent="0.25">
      <c r="A124703"/>
      <c r="B124703"/>
      <c r="C124703"/>
      <c r="E124703"/>
      <c r="F124703"/>
    </row>
    <row r="124704" spans="1:6" x14ac:dyDescent="0.25">
      <c r="A124704"/>
      <c r="B124704"/>
      <c r="C124704"/>
      <c r="E124704"/>
      <c r="F124704"/>
    </row>
    <row r="124705" spans="1:6" x14ac:dyDescent="0.25">
      <c r="A124705"/>
      <c r="B124705"/>
      <c r="C124705"/>
      <c r="E124705"/>
      <c r="F124705"/>
    </row>
    <row r="124706" spans="1:6" x14ac:dyDescent="0.25">
      <c r="A124706"/>
      <c r="B124706"/>
      <c r="C124706"/>
      <c r="E124706"/>
      <c r="F124706"/>
    </row>
    <row r="124707" spans="1:6" x14ac:dyDescent="0.25">
      <c r="A124707"/>
      <c r="B124707"/>
      <c r="C124707"/>
      <c r="E124707"/>
      <c r="F124707"/>
    </row>
    <row r="124708" spans="1:6" x14ac:dyDescent="0.25">
      <c r="A124708"/>
      <c r="B124708"/>
      <c r="C124708"/>
      <c r="E124708"/>
      <c r="F124708"/>
    </row>
    <row r="124709" spans="1:6" x14ac:dyDescent="0.25">
      <c r="A124709"/>
      <c r="B124709"/>
      <c r="C124709"/>
      <c r="E124709"/>
      <c r="F124709"/>
    </row>
    <row r="124710" spans="1:6" x14ac:dyDescent="0.25">
      <c r="A124710"/>
      <c r="B124710"/>
      <c r="C124710"/>
      <c r="E124710"/>
      <c r="F124710"/>
    </row>
    <row r="124711" spans="1:6" x14ac:dyDescent="0.25">
      <c r="A124711"/>
      <c r="B124711"/>
      <c r="C124711"/>
      <c r="E124711"/>
      <c r="F124711"/>
    </row>
    <row r="124712" spans="1:6" x14ac:dyDescent="0.25">
      <c r="A124712"/>
      <c r="B124712"/>
      <c r="C124712"/>
      <c r="E124712"/>
      <c r="F124712"/>
    </row>
    <row r="124713" spans="1:6" x14ac:dyDescent="0.25">
      <c r="A124713"/>
      <c r="B124713"/>
      <c r="C124713"/>
      <c r="E124713"/>
      <c r="F124713"/>
    </row>
    <row r="124714" spans="1:6" x14ac:dyDescent="0.25">
      <c r="A124714"/>
      <c r="B124714"/>
      <c r="C124714"/>
      <c r="E124714"/>
      <c r="F124714"/>
    </row>
    <row r="124715" spans="1:6" x14ac:dyDescent="0.25">
      <c r="A124715"/>
      <c r="B124715"/>
      <c r="C124715"/>
      <c r="E124715"/>
      <c r="F124715"/>
    </row>
    <row r="124716" spans="1:6" x14ac:dyDescent="0.25">
      <c r="A124716"/>
      <c r="B124716"/>
      <c r="C124716"/>
      <c r="E124716"/>
      <c r="F124716"/>
    </row>
    <row r="124717" spans="1:6" x14ac:dyDescent="0.25">
      <c r="A124717"/>
      <c r="B124717"/>
      <c r="C124717"/>
      <c r="E124717"/>
      <c r="F124717"/>
    </row>
    <row r="124718" spans="1:6" x14ac:dyDescent="0.25">
      <c r="A124718"/>
      <c r="B124718"/>
      <c r="C124718"/>
      <c r="E124718"/>
      <c r="F124718"/>
    </row>
    <row r="124719" spans="1:6" x14ac:dyDescent="0.25">
      <c r="A124719"/>
      <c r="B124719"/>
      <c r="C124719"/>
      <c r="E124719"/>
      <c r="F124719"/>
    </row>
    <row r="124720" spans="1:6" x14ac:dyDescent="0.25">
      <c r="A124720"/>
      <c r="B124720"/>
      <c r="C124720"/>
      <c r="E124720"/>
      <c r="F124720"/>
    </row>
    <row r="124721" spans="1:6" x14ac:dyDescent="0.25">
      <c r="A124721"/>
      <c r="B124721"/>
      <c r="C124721"/>
      <c r="E124721"/>
      <c r="F124721"/>
    </row>
    <row r="124722" spans="1:6" x14ac:dyDescent="0.25">
      <c r="A124722"/>
      <c r="B124722"/>
      <c r="C124722"/>
      <c r="E124722"/>
      <c r="F124722"/>
    </row>
    <row r="124723" spans="1:6" x14ac:dyDescent="0.25">
      <c r="A124723"/>
      <c r="B124723"/>
      <c r="C124723"/>
      <c r="E124723"/>
      <c r="F124723"/>
    </row>
    <row r="124724" spans="1:6" x14ac:dyDescent="0.25">
      <c r="A124724"/>
      <c r="B124724"/>
      <c r="C124724"/>
      <c r="E124724"/>
      <c r="F124724"/>
    </row>
    <row r="124725" spans="1:6" x14ac:dyDescent="0.25">
      <c r="A124725"/>
      <c r="B124725"/>
      <c r="C124725"/>
      <c r="E124725"/>
      <c r="F124725"/>
    </row>
    <row r="124726" spans="1:6" x14ac:dyDescent="0.25">
      <c r="A124726"/>
      <c r="B124726"/>
      <c r="C124726"/>
      <c r="E124726"/>
      <c r="F124726"/>
    </row>
    <row r="124727" spans="1:6" x14ac:dyDescent="0.25">
      <c r="A124727"/>
      <c r="B124727"/>
      <c r="C124727"/>
      <c r="E124727"/>
      <c r="F124727"/>
    </row>
    <row r="124728" spans="1:6" x14ac:dyDescent="0.25">
      <c r="A124728"/>
      <c r="B124728"/>
      <c r="C124728"/>
      <c r="E124728"/>
      <c r="F124728"/>
    </row>
    <row r="124729" spans="1:6" x14ac:dyDescent="0.25">
      <c r="A124729"/>
      <c r="B124729"/>
      <c r="C124729"/>
      <c r="E124729"/>
      <c r="F124729"/>
    </row>
    <row r="124730" spans="1:6" x14ac:dyDescent="0.25">
      <c r="A124730"/>
      <c r="B124730"/>
      <c r="C124730"/>
      <c r="E124730"/>
      <c r="F124730"/>
    </row>
    <row r="124731" spans="1:6" x14ac:dyDescent="0.25">
      <c r="A124731"/>
      <c r="B124731"/>
      <c r="C124731"/>
      <c r="E124731"/>
      <c r="F124731"/>
    </row>
    <row r="124732" spans="1:6" x14ac:dyDescent="0.25">
      <c r="A124732"/>
      <c r="B124732"/>
      <c r="C124732"/>
      <c r="E124732"/>
      <c r="F124732"/>
    </row>
    <row r="124733" spans="1:6" x14ac:dyDescent="0.25">
      <c r="A124733"/>
      <c r="B124733"/>
      <c r="C124733"/>
      <c r="E124733"/>
      <c r="F124733"/>
    </row>
    <row r="124734" spans="1:6" x14ac:dyDescent="0.25">
      <c r="A124734"/>
      <c r="B124734"/>
      <c r="C124734"/>
      <c r="E124734"/>
      <c r="F124734"/>
    </row>
    <row r="124735" spans="1:6" x14ac:dyDescent="0.25">
      <c r="A124735"/>
      <c r="B124735"/>
      <c r="C124735"/>
      <c r="E124735"/>
      <c r="F124735"/>
    </row>
    <row r="124736" spans="1:6" x14ac:dyDescent="0.25">
      <c r="A124736"/>
      <c r="B124736"/>
      <c r="C124736"/>
      <c r="E124736"/>
      <c r="F124736"/>
    </row>
    <row r="124737" spans="1:6" x14ac:dyDescent="0.25">
      <c r="A124737"/>
      <c r="B124737"/>
      <c r="C124737"/>
      <c r="E124737"/>
      <c r="F124737"/>
    </row>
    <row r="124738" spans="1:6" x14ac:dyDescent="0.25">
      <c r="A124738"/>
      <c r="B124738"/>
      <c r="C124738"/>
      <c r="E124738"/>
      <c r="F124738"/>
    </row>
    <row r="124739" spans="1:6" x14ac:dyDescent="0.25">
      <c r="A124739"/>
      <c r="B124739"/>
      <c r="C124739"/>
      <c r="E124739"/>
      <c r="F124739"/>
    </row>
    <row r="124740" spans="1:6" x14ac:dyDescent="0.25">
      <c r="A124740"/>
      <c r="B124740"/>
      <c r="C124740"/>
      <c r="E124740"/>
      <c r="F124740"/>
    </row>
    <row r="124741" spans="1:6" x14ac:dyDescent="0.25">
      <c r="A124741"/>
      <c r="B124741"/>
      <c r="C124741"/>
      <c r="E124741"/>
      <c r="F124741"/>
    </row>
    <row r="124742" spans="1:6" x14ac:dyDescent="0.25">
      <c r="A124742"/>
      <c r="B124742"/>
      <c r="C124742"/>
      <c r="E124742"/>
      <c r="F124742"/>
    </row>
    <row r="124743" spans="1:6" x14ac:dyDescent="0.25">
      <c r="A124743"/>
      <c r="B124743"/>
      <c r="C124743"/>
      <c r="E124743"/>
      <c r="F124743"/>
    </row>
    <row r="124744" spans="1:6" x14ac:dyDescent="0.25">
      <c r="A124744"/>
      <c r="B124744"/>
      <c r="C124744"/>
      <c r="E124744"/>
      <c r="F124744"/>
    </row>
    <row r="124745" spans="1:6" x14ac:dyDescent="0.25">
      <c r="A124745"/>
      <c r="B124745"/>
      <c r="C124745"/>
      <c r="E124745"/>
      <c r="F124745"/>
    </row>
    <row r="124746" spans="1:6" x14ac:dyDescent="0.25">
      <c r="A124746"/>
      <c r="B124746"/>
      <c r="C124746"/>
      <c r="E124746"/>
      <c r="F124746"/>
    </row>
    <row r="124747" spans="1:6" x14ac:dyDescent="0.25">
      <c r="A124747"/>
      <c r="B124747"/>
      <c r="C124747"/>
      <c r="E124747"/>
      <c r="F124747"/>
    </row>
    <row r="124748" spans="1:6" x14ac:dyDescent="0.25">
      <c r="A124748"/>
      <c r="B124748"/>
      <c r="C124748"/>
      <c r="E124748"/>
      <c r="F124748"/>
    </row>
    <row r="124749" spans="1:6" x14ac:dyDescent="0.25">
      <c r="A124749"/>
      <c r="B124749"/>
      <c r="C124749"/>
      <c r="E124749"/>
      <c r="F124749"/>
    </row>
    <row r="124750" spans="1:6" x14ac:dyDescent="0.25">
      <c r="A124750"/>
      <c r="B124750"/>
      <c r="C124750"/>
      <c r="E124750"/>
      <c r="F124750"/>
    </row>
    <row r="124751" spans="1:6" x14ac:dyDescent="0.25">
      <c r="A124751"/>
      <c r="B124751"/>
      <c r="C124751"/>
      <c r="E124751"/>
      <c r="F124751"/>
    </row>
    <row r="124752" spans="1:6" x14ac:dyDescent="0.25">
      <c r="A124752"/>
      <c r="B124752"/>
      <c r="C124752"/>
      <c r="E124752"/>
      <c r="F124752"/>
    </row>
    <row r="124753" spans="1:6" x14ac:dyDescent="0.25">
      <c r="A124753"/>
      <c r="B124753"/>
      <c r="C124753"/>
      <c r="E124753"/>
      <c r="F124753"/>
    </row>
    <row r="124754" spans="1:6" x14ac:dyDescent="0.25">
      <c r="A124754"/>
      <c r="B124754"/>
      <c r="C124754"/>
      <c r="E124754"/>
      <c r="F124754"/>
    </row>
    <row r="124755" spans="1:6" x14ac:dyDescent="0.25">
      <c r="A124755"/>
      <c r="B124755"/>
      <c r="C124755"/>
      <c r="E124755"/>
      <c r="F124755"/>
    </row>
    <row r="124756" spans="1:6" x14ac:dyDescent="0.25">
      <c r="A124756"/>
      <c r="B124756"/>
      <c r="C124756"/>
      <c r="E124756"/>
      <c r="F124756"/>
    </row>
    <row r="124757" spans="1:6" x14ac:dyDescent="0.25">
      <c r="A124757"/>
      <c r="B124757"/>
      <c r="C124757"/>
      <c r="E124757"/>
      <c r="F124757"/>
    </row>
    <row r="124758" spans="1:6" x14ac:dyDescent="0.25">
      <c r="A124758"/>
      <c r="B124758"/>
      <c r="C124758"/>
      <c r="E124758"/>
      <c r="F124758"/>
    </row>
    <row r="124759" spans="1:6" x14ac:dyDescent="0.25">
      <c r="A124759"/>
      <c r="B124759"/>
      <c r="C124759"/>
      <c r="E124759"/>
      <c r="F124759"/>
    </row>
    <row r="124760" spans="1:6" x14ac:dyDescent="0.25">
      <c r="A124760"/>
      <c r="B124760"/>
      <c r="C124760"/>
      <c r="E124760"/>
      <c r="F124760"/>
    </row>
    <row r="124761" spans="1:6" x14ac:dyDescent="0.25">
      <c r="A124761"/>
      <c r="B124761"/>
      <c r="C124761"/>
      <c r="E124761"/>
      <c r="F124761"/>
    </row>
    <row r="124762" spans="1:6" x14ac:dyDescent="0.25">
      <c r="A124762"/>
      <c r="B124762"/>
      <c r="C124762"/>
      <c r="E124762"/>
      <c r="F124762"/>
    </row>
    <row r="124763" spans="1:6" x14ac:dyDescent="0.25">
      <c r="A124763"/>
      <c r="B124763"/>
      <c r="C124763"/>
      <c r="E124763"/>
      <c r="F124763"/>
    </row>
    <row r="124764" spans="1:6" x14ac:dyDescent="0.25">
      <c r="A124764"/>
      <c r="B124764"/>
      <c r="C124764"/>
      <c r="E124764"/>
      <c r="F124764"/>
    </row>
    <row r="124765" spans="1:6" x14ac:dyDescent="0.25">
      <c r="A124765"/>
      <c r="B124765"/>
      <c r="C124765"/>
      <c r="E124765"/>
      <c r="F124765"/>
    </row>
    <row r="124766" spans="1:6" x14ac:dyDescent="0.25">
      <c r="A124766"/>
      <c r="B124766"/>
      <c r="C124766"/>
      <c r="E124766"/>
      <c r="F124766"/>
    </row>
    <row r="124767" spans="1:6" x14ac:dyDescent="0.25">
      <c r="A124767"/>
      <c r="B124767"/>
      <c r="C124767"/>
      <c r="E124767"/>
      <c r="F124767"/>
    </row>
    <row r="124768" spans="1:6" x14ac:dyDescent="0.25">
      <c r="A124768"/>
      <c r="B124768"/>
      <c r="C124768"/>
      <c r="E124768"/>
      <c r="F124768"/>
    </row>
    <row r="124769" spans="1:6" x14ac:dyDescent="0.25">
      <c r="A124769"/>
      <c r="B124769"/>
      <c r="C124769"/>
      <c r="E124769"/>
      <c r="F124769"/>
    </row>
    <row r="124770" spans="1:6" x14ac:dyDescent="0.25">
      <c r="A124770"/>
      <c r="B124770"/>
      <c r="C124770"/>
      <c r="E124770"/>
      <c r="F124770"/>
    </row>
    <row r="124771" spans="1:6" x14ac:dyDescent="0.25">
      <c r="A124771"/>
      <c r="B124771"/>
      <c r="C124771"/>
      <c r="E124771"/>
      <c r="F124771"/>
    </row>
    <row r="124772" spans="1:6" x14ac:dyDescent="0.25">
      <c r="A124772"/>
      <c r="B124772"/>
      <c r="C124772"/>
      <c r="E124772"/>
      <c r="F124772"/>
    </row>
    <row r="124773" spans="1:6" x14ac:dyDescent="0.25">
      <c r="A124773"/>
      <c r="B124773"/>
      <c r="C124773"/>
      <c r="E124773"/>
      <c r="F124773"/>
    </row>
    <row r="124774" spans="1:6" x14ac:dyDescent="0.25">
      <c r="A124774"/>
      <c r="B124774"/>
      <c r="C124774"/>
      <c r="E124774"/>
      <c r="F124774"/>
    </row>
    <row r="124775" spans="1:6" x14ac:dyDescent="0.25">
      <c r="A124775"/>
      <c r="B124775"/>
      <c r="C124775"/>
      <c r="E124775"/>
      <c r="F124775"/>
    </row>
    <row r="124776" spans="1:6" x14ac:dyDescent="0.25">
      <c r="A124776"/>
      <c r="B124776"/>
      <c r="C124776"/>
      <c r="E124776"/>
      <c r="F124776"/>
    </row>
    <row r="124777" spans="1:6" x14ac:dyDescent="0.25">
      <c r="A124777"/>
      <c r="B124777"/>
      <c r="C124777"/>
      <c r="E124777"/>
      <c r="F124777"/>
    </row>
    <row r="124778" spans="1:6" x14ac:dyDescent="0.25">
      <c r="A124778"/>
      <c r="B124778"/>
      <c r="C124778"/>
      <c r="E124778"/>
      <c r="F124778"/>
    </row>
    <row r="124779" spans="1:6" x14ac:dyDescent="0.25">
      <c r="A124779"/>
      <c r="B124779"/>
      <c r="C124779"/>
      <c r="E124779"/>
      <c r="F124779"/>
    </row>
    <row r="124780" spans="1:6" x14ac:dyDescent="0.25">
      <c r="A124780"/>
      <c r="B124780"/>
      <c r="C124780"/>
      <c r="E124780"/>
      <c r="F124780"/>
    </row>
    <row r="124781" spans="1:6" x14ac:dyDescent="0.25">
      <c r="A124781"/>
      <c r="B124781"/>
      <c r="C124781"/>
      <c r="E124781"/>
      <c r="F124781"/>
    </row>
    <row r="124782" spans="1:6" x14ac:dyDescent="0.25">
      <c r="A124782"/>
      <c r="B124782"/>
      <c r="C124782"/>
      <c r="E124782"/>
      <c r="F124782"/>
    </row>
    <row r="124783" spans="1:6" x14ac:dyDescent="0.25">
      <c r="A124783"/>
      <c r="B124783"/>
      <c r="C124783"/>
      <c r="E124783"/>
      <c r="F124783"/>
    </row>
    <row r="124784" spans="1:6" x14ac:dyDescent="0.25">
      <c r="A124784"/>
      <c r="B124784"/>
      <c r="C124784"/>
      <c r="E124784"/>
      <c r="F124784"/>
    </row>
    <row r="124785" spans="1:6" x14ac:dyDescent="0.25">
      <c r="A124785"/>
      <c r="B124785"/>
      <c r="C124785"/>
      <c r="E124785"/>
      <c r="F124785"/>
    </row>
    <row r="124786" spans="1:6" x14ac:dyDescent="0.25">
      <c r="A124786"/>
      <c r="B124786"/>
      <c r="C124786"/>
      <c r="E124786"/>
      <c r="F124786"/>
    </row>
    <row r="124787" spans="1:6" x14ac:dyDescent="0.25">
      <c r="A124787"/>
      <c r="B124787"/>
      <c r="C124787"/>
      <c r="E124787"/>
      <c r="F124787"/>
    </row>
    <row r="124788" spans="1:6" x14ac:dyDescent="0.25">
      <c r="A124788"/>
      <c r="B124788"/>
      <c r="C124788"/>
      <c r="E124788"/>
      <c r="F124788"/>
    </row>
    <row r="124789" spans="1:6" x14ac:dyDescent="0.25">
      <c r="A124789"/>
      <c r="B124789"/>
      <c r="C124789"/>
      <c r="E124789"/>
      <c r="F124789"/>
    </row>
    <row r="124790" spans="1:6" x14ac:dyDescent="0.25">
      <c r="A124790"/>
      <c r="B124790"/>
      <c r="C124790"/>
      <c r="E124790"/>
      <c r="F124790"/>
    </row>
    <row r="124791" spans="1:6" x14ac:dyDescent="0.25">
      <c r="A124791"/>
      <c r="B124791"/>
      <c r="C124791"/>
      <c r="E124791"/>
      <c r="F124791"/>
    </row>
    <row r="124792" spans="1:6" x14ac:dyDescent="0.25">
      <c r="A124792"/>
      <c r="B124792"/>
      <c r="C124792"/>
      <c r="E124792"/>
      <c r="F124792"/>
    </row>
    <row r="124793" spans="1:6" x14ac:dyDescent="0.25">
      <c r="A124793"/>
      <c r="B124793"/>
      <c r="C124793"/>
      <c r="E124793"/>
      <c r="F124793"/>
    </row>
    <row r="124794" spans="1:6" x14ac:dyDescent="0.25">
      <c r="A124794"/>
      <c r="B124794"/>
      <c r="C124794"/>
      <c r="E124794"/>
      <c r="F124794"/>
    </row>
    <row r="124795" spans="1:6" x14ac:dyDescent="0.25">
      <c r="A124795"/>
      <c r="B124795"/>
      <c r="C124795"/>
      <c r="E124795"/>
      <c r="F124795"/>
    </row>
    <row r="124796" spans="1:6" x14ac:dyDescent="0.25">
      <c r="A124796"/>
      <c r="B124796"/>
      <c r="C124796"/>
      <c r="E124796"/>
      <c r="F124796"/>
    </row>
    <row r="124797" spans="1:6" x14ac:dyDescent="0.25">
      <c r="A124797"/>
      <c r="B124797"/>
      <c r="C124797"/>
      <c r="E124797"/>
      <c r="F124797"/>
    </row>
    <row r="124798" spans="1:6" x14ac:dyDescent="0.25">
      <c r="A124798"/>
      <c r="B124798"/>
      <c r="C124798"/>
      <c r="E124798"/>
      <c r="F124798"/>
    </row>
    <row r="124799" spans="1:6" x14ac:dyDescent="0.25">
      <c r="A124799"/>
      <c r="B124799"/>
      <c r="C124799"/>
      <c r="E124799"/>
      <c r="F124799"/>
    </row>
    <row r="124800" spans="1:6" x14ac:dyDescent="0.25">
      <c r="A124800"/>
      <c r="B124800"/>
      <c r="C124800"/>
      <c r="E124800"/>
      <c r="F124800"/>
    </row>
    <row r="124801" spans="1:6" x14ac:dyDescent="0.25">
      <c r="A124801"/>
      <c r="B124801"/>
      <c r="C124801"/>
      <c r="E124801"/>
      <c r="F124801"/>
    </row>
    <row r="124802" spans="1:6" x14ac:dyDescent="0.25">
      <c r="A124802"/>
      <c r="B124802"/>
      <c r="C124802"/>
      <c r="E124802"/>
      <c r="F124802"/>
    </row>
    <row r="124803" spans="1:6" x14ac:dyDescent="0.25">
      <c r="A124803"/>
      <c r="B124803"/>
      <c r="C124803"/>
      <c r="E124803"/>
      <c r="F124803"/>
    </row>
    <row r="124804" spans="1:6" x14ac:dyDescent="0.25">
      <c r="A124804"/>
      <c r="B124804"/>
      <c r="C124804"/>
      <c r="E124804"/>
      <c r="F124804"/>
    </row>
    <row r="124805" spans="1:6" x14ac:dyDescent="0.25">
      <c r="A124805"/>
      <c r="B124805"/>
      <c r="C124805"/>
      <c r="E124805"/>
      <c r="F124805"/>
    </row>
    <row r="124806" spans="1:6" x14ac:dyDescent="0.25">
      <c r="A124806"/>
      <c r="B124806"/>
      <c r="C124806"/>
      <c r="E124806"/>
      <c r="F124806"/>
    </row>
    <row r="124807" spans="1:6" x14ac:dyDescent="0.25">
      <c r="A124807"/>
      <c r="B124807"/>
      <c r="C124807"/>
      <c r="E124807"/>
      <c r="F124807"/>
    </row>
    <row r="124808" spans="1:6" x14ac:dyDescent="0.25">
      <c r="A124808"/>
      <c r="B124808"/>
      <c r="C124808"/>
      <c r="E124808"/>
      <c r="F124808"/>
    </row>
    <row r="124809" spans="1:6" x14ac:dyDescent="0.25">
      <c r="A124809"/>
      <c r="B124809"/>
      <c r="C124809"/>
      <c r="E124809"/>
      <c r="F124809"/>
    </row>
    <row r="124810" spans="1:6" x14ac:dyDescent="0.25">
      <c r="A124810"/>
      <c r="B124810"/>
      <c r="C124810"/>
      <c r="E124810"/>
      <c r="F124810"/>
    </row>
    <row r="124811" spans="1:6" x14ac:dyDescent="0.25">
      <c r="A124811"/>
      <c r="B124811"/>
      <c r="C124811"/>
      <c r="E124811"/>
      <c r="F124811"/>
    </row>
    <row r="124812" spans="1:6" x14ac:dyDescent="0.25">
      <c r="A124812"/>
      <c r="B124812"/>
      <c r="C124812"/>
      <c r="E124812"/>
      <c r="F124812"/>
    </row>
    <row r="124813" spans="1:6" x14ac:dyDescent="0.25">
      <c r="A124813"/>
      <c r="B124813"/>
      <c r="C124813"/>
      <c r="E124813"/>
      <c r="F124813"/>
    </row>
    <row r="124814" spans="1:6" x14ac:dyDescent="0.25">
      <c r="A124814"/>
      <c r="B124814"/>
      <c r="C124814"/>
      <c r="E124814"/>
      <c r="F124814"/>
    </row>
    <row r="124815" spans="1:6" x14ac:dyDescent="0.25">
      <c r="A124815"/>
      <c r="B124815"/>
      <c r="C124815"/>
      <c r="E124815"/>
      <c r="F124815"/>
    </row>
    <row r="124816" spans="1:6" x14ac:dyDescent="0.25">
      <c r="A124816"/>
      <c r="B124816"/>
      <c r="C124816"/>
      <c r="E124816"/>
      <c r="F124816"/>
    </row>
    <row r="124817" spans="1:6" x14ac:dyDescent="0.25">
      <c r="A124817"/>
      <c r="B124817"/>
      <c r="C124817"/>
      <c r="E124817"/>
      <c r="F124817"/>
    </row>
    <row r="124818" spans="1:6" x14ac:dyDescent="0.25">
      <c r="A124818"/>
      <c r="B124818"/>
      <c r="C124818"/>
      <c r="E124818"/>
      <c r="F124818"/>
    </row>
    <row r="124819" spans="1:6" x14ac:dyDescent="0.25">
      <c r="A124819"/>
      <c r="B124819"/>
      <c r="C124819"/>
      <c r="E124819"/>
      <c r="F124819"/>
    </row>
    <row r="124820" spans="1:6" x14ac:dyDescent="0.25">
      <c r="A124820"/>
      <c r="B124820"/>
      <c r="C124820"/>
      <c r="E124820"/>
      <c r="F124820"/>
    </row>
    <row r="124821" spans="1:6" x14ac:dyDescent="0.25">
      <c r="A124821"/>
      <c r="B124821"/>
      <c r="C124821"/>
      <c r="E124821"/>
      <c r="F124821"/>
    </row>
    <row r="124822" spans="1:6" x14ac:dyDescent="0.25">
      <c r="A124822"/>
      <c r="B124822"/>
      <c r="C124822"/>
      <c r="E124822"/>
      <c r="F124822"/>
    </row>
    <row r="124823" spans="1:6" x14ac:dyDescent="0.25">
      <c r="A124823"/>
      <c r="B124823"/>
      <c r="C124823"/>
      <c r="E124823"/>
      <c r="F124823"/>
    </row>
    <row r="124824" spans="1:6" x14ac:dyDescent="0.25">
      <c r="A124824"/>
      <c r="B124824"/>
      <c r="C124824"/>
      <c r="E124824"/>
      <c r="F124824"/>
    </row>
    <row r="124825" spans="1:6" x14ac:dyDescent="0.25">
      <c r="A124825"/>
      <c r="B124825"/>
      <c r="C124825"/>
      <c r="E124825"/>
      <c r="F124825"/>
    </row>
    <row r="124826" spans="1:6" x14ac:dyDescent="0.25">
      <c r="A124826"/>
      <c r="B124826"/>
      <c r="C124826"/>
      <c r="E124826"/>
      <c r="F124826"/>
    </row>
    <row r="124827" spans="1:6" x14ac:dyDescent="0.25">
      <c r="A124827"/>
      <c r="B124827"/>
      <c r="C124827"/>
      <c r="E124827"/>
      <c r="F124827"/>
    </row>
    <row r="124828" spans="1:6" x14ac:dyDescent="0.25">
      <c r="A124828"/>
      <c r="B124828"/>
      <c r="C124828"/>
      <c r="E124828"/>
      <c r="F124828"/>
    </row>
    <row r="124829" spans="1:6" x14ac:dyDescent="0.25">
      <c r="A124829"/>
      <c r="B124829"/>
      <c r="C124829"/>
      <c r="E124829"/>
      <c r="F124829"/>
    </row>
    <row r="124830" spans="1:6" x14ac:dyDescent="0.25">
      <c r="A124830"/>
      <c r="B124830"/>
      <c r="C124830"/>
      <c r="E124830"/>
      <c r="F124830"/>
    </row>
    <row r="124831" spans="1:6" x14ac:dyDescent="0.25">
      <c r="A124831"/>
      <c r="B124831"/>
      <c r="C124831"/>
      <c r="E124831"/>
      <c r="F124831"/>
    </row>
    <row r="124832" spans="1:6" x14ac:dyDescent="0.25">
      <c r="A124832"/>
      <c r="B124832"/>
      <c r="C124832"/>
      <c r="E124832"/>
      <c r="F124832"/>
    </row>
    <row r="124833" spans="1:6" x14ac:dyDescent="0.25">
      <c r="A124833"/>
      <c r="B124833"/>
      <c r="C124833"/>
      <c r="E124833"/>
      <c r="F124833"/>
    </row>
    <row r="124834" spans="1:6" x14ac:dyDescent="0.25">
      <c r="A124834"/>
      <c r="B124834"/>
      <c r="C124834"/>
      <c r="E124834"/>
      <c r="F124834"/>
    </row>
    <row r="124835" spans="1:6" x14ac:dyDescent="0.25">
      <c r="A124835"/>
      <c r="B124835"/>
      <c r="C124835"/>
      <c r="E124835"/>
      <c r="F124835"/>
    </row>
    <row r="124836" spans="1:6" x14ac:dyDescent="0.25">
      <c r="A124836"/>
      <c r="B124836"/>
      <c r="C124836"/>
      <c r="E124836"/>
      <c r="F124836"/>
    </row>
    <row r="124837" spans="1:6" x14ac:dyDescent="0.25">
      <c r="A124837"/>
      <c r="B124837"/>
      <c r="C124837"/>
      <c r="E124837"/>
      <c r="F124837"/>
    </row>
    <row r="124838" spans="1:6" x14ac:dyDescent="0.25">
      <c r="A124838"/>
      <c r="B124838"/>
      <c r="C124838"/>
      <c r="E124838"/>
      <c r="F124838"/>
    </row>
    <row r="124839" spans="1:6" x14ac:dyDescent="0.25">
      <c r="A124839"/>
      <c r="B124839"/>
      <c r="C124839"/>
      <c r="E124839"/>
      <c r="F124839"/>
    </row>
    <row r="124840" spans="1:6" x14ac:dyDescent="0.25">
      <c r="A124840"/>
      <c r="B124840"/>
      <c r="C124840"/>
      <c r="E124840"/>
      <c r="F124840"/>
    </row>
    <row r="124841" spans="1:6" x14ac:dyDescent="0.25">
      <c r="A124841"/>
      <c r="B124841"/>
      <c r="C124841"/>
      <c r="E124841"/>
      <c r="F124841"/>
    </row>
    <row r="124842" spans="1:6" x14ac:dyDescent="0.25">
      <c r="A124842"/>
      <c r="B124842"/>
      <c r="C124842"/>
      <c r="E124842"/>
      <c r="F124842"/>
    </row>
    <row r="124843" spans="1:6" x14ac:dyDescent="0.25">
      <c r="A124843"/>
      <c r="B124843"/>
      <c r="C124843"/>
      <c r="E124843"/>
      <c r="F124843"/>
    </row>
    <row r="124844" spans="1:6" x14ac:dyDescent="0.25">
      <c r="A124844"/>
      <c r="B124844"/>
      <c r="C124844"/>
      <c r="E124844"/>
      <c r="F124844"/>
    </row>
    <row r="124845" spans="1:6" x14ac:dyDescent="0.25">
      <c r="A124845"/>
      <c r="B124845"/>
      <c r="C124845"/>
      <c r="E124845"/>
      <c r="F124845"/>
    </row>
    <row r="124846" spans="1:6" x14ac:dyDescent="0.25">
      <c r="A124846"/>
      <c r="B124846"/>
      <c r="C124846"/>
      <c r="E124846"/>
      <c r="F124846"/>
    </row>
    <row r="124847" spans="1:6" x14ac:dyDescent="0.25">
      <c r="A124847"/>
      <c r="B124847"/>
      <c r="C124847"/>
      <c r="E124847"/>
      <c r="F124847"/>
    </row>
    <row r="124848" spans="1:6" x14ac:dyDescent="0.25">
      <c r="A124848"/>
      <c r="B124848"/>
      <c r="C124848"/>
      <c r="E124848"/>
      <c r="F124848"/>
    </row>
    <row r="124849" spans="1:6" x14ac:dyDescent="0.25">
      <c r="A124849"/>
      <c r="B124849"/>
      <c r="C124849"/>
      <c r="E124849"/>
      <c r="F124849"/>
    </row>
    <row r="124850" spans="1:6" x14ac:dyDescent="0.25">
      <c r="A124850"/>
      <c r="B124850"/>
      <c r="C124850"/>
      <c r="E124850"/>
      <c r="F124850"/>
    </row>
    <row r="124851" spans="1:6" x14ac:dyDescent="0.25">
      <c r="A124851"/>
      <c r="B124851"/>
      <c r="C124851"/>
      <c r="E124851"/>
      <c r="F124851"/>
    </row>
    <row r="124852" spans="1:6" x14ac:dyDescent="0.25">
      <c r="A124852"/>
      <c r="B124852"/>
      <c r="C124852"/>
      <c r="E124852"/>
      <c r="F124852"/>
    </row>
    <row r="124853" spans="1:6" x14ac:dyDescent="0.25">
      <c r="A124853"/>
      <c r="B124853"/>
      <c r="C124853"/>
      <c r="E124853"/>
      <c r="F124853"/>
    </row>
    <row r="124854" spans="1:6" x14ac:dyDescent="0.25">
      <c r="A124854"/>
      <c r="B124854"/>
      <c r="C124854"/>
      <c r="E124854"/>
      <c r="F124854"/>
    </row>
    <row r="124855" spans="1:6" x14ac:dyDescent="0.25">
      <c r="A124855"/>
      <c r="B124855"/>
      <c r="C124855"/>
      <c r="E124855"/>
      <c r="F124855"/>
    </row>
    <row r="124856" spans="1:6" x14ac:dyDescent="0.25">
      <c r="A124856"/>
      <c r="B124856"/>
      <c r="C124856"/>
      <c r="E124856"/>
      <c r="F124856"/>
    </row>
    <row r="124857" spans="1:6" x14ac:dyDescent="0.25">
      <c r="A124857"/>
      <c r="B124857"/>
      <c r="C124857"/>
      <c r="E124857"/>
      <c r="F124857"/>
    </row>
    <row r="124858" spans="1:6" x14ac:dyDescent="0.25">
      <c r="A124858"/>
      <c r="B124858"/>
      <c r="C124858"/>
      <c r="E124858"/>
      <c r="F124858"/>
    </row>
    <row r="124859" spans="1:6" x14ac:dyDescent="0.25">
      <c r="A124859"/>
      <c r="B124859"/>
      <c r="C124859"/>
      <c r="E124859"/>
      <c r="F124859"/>
    </row>
    <row r="124860" spans="1:6" x14ac:dyDescent="0.25">
      <c r="A124860"/>
      <c r="B124860"/>
      <c r="C124860"/>
      <c r="E124860"/>
      <c r="F124860"/>
    </row>
    <row r="124861" spans="1:6" x14ac:dyDescent="0.25">
      <c r="A124861"/>
      <c r="B124861"/>
      <c r="C124861"/>
      <c r="E124861"/>
      <c r="F124861"/>
    </row>
    <row r="124862" spans="1:6" x14ac:dyDescent="0.25">
      <c r="A124862"/>
      <c r="B124862"/>
      <c r="C124862"/>
      <c r="E124862"/>
      <c r="F124862"/>
    </row>
    <row r="124863" spans="1:6" x14ac:dyDescent="0.25">
      <c r="A124863"/>
      <c r="B124863"/>
      <c r="C124863"/>
      <c r="E124863"/>
      <c r="F124863"/>
    </row>
    <row r="124864" spans="1:6" x14ac:dyDescent="0.25">
      <c r="A124864"/>
      <c r="B124864"/>
      <c r="C124864"/>
      <c r="E124864"/>
      <c r="F124864"/>
    </row>
    <row r="124865" spans="1:6" x14ac:dyDescent="0.25">
      <c r="A124865"/>
      <c r="B124865"/>
      <c r="C124865"/>
      <c r="E124865"/>
      <c r="F124865"/>
    </row>
    <row r="124866" spans="1:6" x14ac:dyDescent="0.25">
      <c r="A124866"/>
      <c r="B124866"/>
      <c r="C124866"/>
      <c r="E124866"/>
      <c r="F124866"/>
    </row>
    <row r="124867" spans="1:6" x14ac:dyDescent="0.25">
      <c r="A124867"/>
      <c r="B124867"/>
      <c r="C124867"/>
      <c r="E124867"/>
      <c r="F124867"/>
    </row>
    <row r="124868" spans="1:6" x14ac:dyDescent="0.25">
      <c r="A124868"/>
      <c r="B124868"/>
      <c r="C124868"/>
      <c r="E124868"/>
      <c r="F124868"/>
    </row>
    <row r="124869" spans="1:6" x14ac:dyDescent="0.25">
      <c r="A124869"/>
      <c r="B124869"/>
      <c r="C124869"/>
      <c r="E124869"/>
      <c r="F124869"/>
    </row>
    <row r="124870" spans="1:6" x14ac:dyDescent="0.25">
      <c r="A124870"/>
      <c r="B124870"/>
      <c r="C124870"/>
      <c r="E124870"/>
      <c r="F124870"/>
    </row>
    <row r="124871" spans="1:6" x14ac:dyDescent="0.25">
      <c r="A124871"/>
      <c r="B124871"/>
      <c r="C124871"/>
      <c r="E124871"/>
      <c r="F124871"/>
    </row>
    <row r="124872" spans="1:6" x14ac:dyDescent="0.25">
      <c r="A124872"/>
      <c r="B124872"/>
      <c r="C124872"/>
      <c r="E124872"/>
      <c r="F124872"/>
    </row>
    <row r="124873" spans="1:6" x14ac:dyDescent="0.25">
      <c r="A124873"/>
      <c r="B124873"/>
      <c r="C124873"/>
      <c r="E124873"/>
      <c r="F124873"/>
    </row>
    <row r="124874" spans="1:6" x14ac:dyDescent="0.25">
      <c r="A124874"/>
      <c r="B124874"/>
      <c r="C124874"/>
      <c r="E124874"/>
      <c r="F124874"/>
    </row>
    <row r="124875" spans="1:6" x14ac:dyDescent="0.25">
      <c r="A124875"/>
      <c r="B124875"/>
      <c r="C124875"/>
      <c r="E124875"/>
      <c r="F124875"/>
    </row>
    <row r="124876" spans="1:6" x14ac:dyDescent="0.25">
      <c r="A124876"/>
      <c r="B124876"/>
      <c r="C124876"/>
      <c r="E124876"/>
      <c r="F124876"/>
    </row>
    <row r="124877" spans="1:6" x14ac:dyDescent="0.25">
      <c r="A124877"/>
      <c r="B124877"/>
      <c r="C124877"/>
      <c r="E124877"/>
      <c r="F124877"/>
    </row>
    <row r="124878" spans="1:6" x14ac:dyDescent="0.25">
      <c r="A124878"/>
      <c r="B124878"/>
      <c r="C124878"/>
      <c r="E124878"/>
      <c r="F124878"/>
    </row>
    <row r="124879" spans="1:6" x14ac:dyDescent="0.25">
      <c r="A124879"/>
      <c r="B124879"/>
      <c r="C124879"/>
      <c r="E124879"/>
      <c r="F124879"/>
    </row>
    <row r="124880" spans="1:6" x14ac:dyDescent="0.25">
      <c r="A124880"/>
      <c r="B124880"/>
      <c r="C124880"/>
      <c r="E124880"/>
      <c r="F124880"/>
    </row>
    <row r="124881" spans="1:6" x14ac:dyDescent="0.25">
      <c r="A124881"/>
      <c r="B124881"/>
      <c r="C124881"/>
      <c r="E124881"/>
      <c r="F124881"/>
    </row>
    <row r="124882" spans="1:6" x14ac:dyDescent="0.25">
      <c r="A124882"/>
      <c r="B124882"/>
      <c r="C124882"/>
      <c r="E124882"/>
      <c r="F124882"/>
    </row>
    <row r="124883" spans="1:6" x14ac:dyDescent="0.25">
      <c r="A124883"/>
      <c r="B124883"/>
      <c r="C124883"/>
      <c r="E124883"/>
      <c r="F124883"/>
    </row>
    <row r="124884" spans="1:6" x14ac:dyDescent="0.25">
      <c r="A124884"/>
      <c r="B124884"/>
      <c r="C124884"/>
      <c r="E124884"/>
      <c r="F124884"/>
    </row>
    <row r="124885" spans="1:6" x14ac:dyDescent="0.25">
      <c r="A124885"/>
      <c r="B124885"/>
      <c r="C124885"/>
      <c r="E124885"/>
      <c r="F124885"/>
    </row>
    <row r="124886" spans="1:6" x14ac:dyDescent="0.25">
      <c r="A124886"/>
      <c r="B124886"/>
      <c r="C124886"/>
      <c r="E124886"/>
      <c r="F124886"/>
    </row>
    <row r="124887" spans="1:6" x14ac:dyDescent="0.25">
      <c r="A124887"/>
      <c r="B124887"/>
      <c r="C124887"/>
      <c r="E124887"/>
      <c r="F124887"/>
    </row>
    <row r="124888" spans="1:6" x14ac:dyDescent="0.25">
      <c r="A124888"/>
      <c r="B124888"/>
      <c r="C124888"/>
      <c r="E124888"/>
      <c r="F124888"/>
    </row>
    <row r="124889" spans="1:6" x14ac:dyDescent="0.25">
      <c r="A124889"/>
      <c r="B124889"/>
      <c r="C124889"/>
      <c r="E124889"/>
      <c r="F124889"/>
    </row>
    <row r="124890" spans="1:6" x14ac:dyDescent="0.25">
      <c r="A124890"/>
      <c r="B124890"/>
      <c r="C124890"/>
      <c r="E124890"/>
      <c r="F124890"/>
    </row>
    <row r="124891" spans="1:6" x14ac:dyDescent="0.25">
      <c r="A124891"/>
      <c r="B124891"/>
      <c r="C124891"/>
      <c r="E124891"/>
      <c r="F124891"/>
    </row>
    <row r="124892" spans="1:6" x14ac:dyDescent="0.25">
      <c r="A124892"/>
      <c r="B124892"/>
      <c r="C124892"/>
      <c r="E124892"/>
      <c r="F124892"/>
    </row>
    <row r="124893" spans="1:6" x14ac:dyDescent="0.25">
      <c r="A124893"/>
      <c r="B124893"/>
      <c r="C124893"/>
      <c r="E124893"/>
      <c r="F124893"/>
    </row>
    <row r="124894" spans="1:6" x14ac:dyDescent="0.25">
      <c r="A124894"/>
      <c r="B124894"/>
      <c r="C124894"/>
      <c r="E124894"/>
      <c r="F124894"/>
    </row>
    <row r="124895" spans="1:6" x14ac:dyDescent="0.25">
      <c r="A124895"/>
      <c r="B124895"/>
      <c r="C124895"/>
      <c r="E124895"/>
      <c r="F124895"/>
    </row>
    <row r="124896" spans="1:6" x14ac:dyDescent="0.25">
      <c r="A124896"/>
      <c r="B124896"/>
      <c r="C124896"/>
      <c r="E124896"/>
      <c r="F124896"/>
    </row>
    <row r="124897" spans="1:6" x14ac:dyDescent="0.25">
      <c r="A124897"/>
      <c r="B124897"/>
      <c r="C124897"/>
      <c r="E124897"/>
      <c r="F124897"/>
    </row>
    <row r="124898" spans="1:6" x14ac:dyDescent="0.25">
      <c r="A124898"/>
      <c r="B124898"/>
      <c r="C124898"/>
      <c r="E124898"/>
      <c r="F124898"/>
    </row>
    <row r="124899" spans="1:6" x14ac:dyDescent="0.25">
      <c r="A124899"/>
      <c r="B124899"/>
      <c r="C124899"/>
      <c r="E124899"/>
      <c r="F124899"/>
    </row>
    <row r="124900" spans="1:6" x14ac:dyDescent="0.25">
      <c r="A124900"/>
      <c r="B124900"/>
      <c r="C124900"/>
      <c r="E124900"/>
      <c r="F124900"/>
    </row>
    <row r="124901" spans="1:6" x14ac:dyDescent="0.25">
      <c r="A124901"/>
      <c r="B124901"/>
      <c r="C124901"/>
      <c r="E124901"/>
      <c r="F124901"/>
    </row>
    <row r="124902" spans="1:6" x14ac:dyDescent="0.25">
      <c r="A124902"/>
      <c r="B124902"/>
      <c r="C124902"/>
      <c r="E124902"/>
      <c r="F124902"/>
    </row>
    <row r="124903" spans="1:6" x14ac:dyDescent="0.25">
      <c r="A124903"/>
      <c r="B124903"/>
      <c r="C124903"/>
      <c r="E124903"/>
      <c r="F124903"/>
    </row>
    <row r="124904" spans="1:6" x14ac:dyDescent="0.25">
      <c r="A124904"/>
      <c r="B124904"/>
      <c r="C124904"/>
      <c r="E124904"/>
      <c r="F124904"/>
    </row>
    <row r="124905" spans="1:6" x14ac:dyDescent="0.25">
      <c r="A124905"/>
      <c r="B124905"/>
      <c r="C124905"/>
      <c r="E124905"/>
      <c r="F124905"/>
    </row>
    <row r="124906" spans="1:6" x14ac:dyDescent="0.25">
      <c r="A124906"/>
      <c r="B124906"/>
      <c r="C124906"/>
      <c r="E124906"/>
      <c r="F124906"/>
    </row>
    <row r="124907" spans="1:6" x14ac:dyDescent="0.25">
      <c r="A124907"/>
      <c r="B124907"/>
      <c r="C124907"/>
      <c r="E124907"/>
      <c r="F124907"/>
    </row>
    <row r="124908" spans="1:6" x14ac:dyDescent="0.25">
      <c r="A124908"/>
      <c r="B124908"/>
      <c r="C124908"/>
      <c r="E124908"/>
      <c r="F124908"/>
    </row>
    <row r="124909" spans="1:6" x14ac:dyDescent="0.25">
      <c r="A124909"/>
      <c r="B124909"/>
      <c r="C124909"/>
      <c r="E124909"/>
      <c r="F124909"/>
    </row>
    <row r="124910" spans="1:6" x14ac:dyDescent="0.25">
      <c r="A124910"/>
      <c r="B124910"/>
      <c r="C124910"/>
      <c r="E124910"/>
      <c r="F124910"/>
    </row>
    <row r="124911" spans="1:6" x14ac:dyDescent="0.25">
      <c r="A124911"/>
      <c r="B124911"/>
      <c r="C124911"/>
      <c r="E124911"/>
      <c r="F124911"/>
    </row>
    <row r="124912" spans="1:6" x14ac:dyDescent="0.25">
      <c r="A124912"/>
      <c r="B124912"/>
      <c r="C124912"/>
      <c r="E124912"/>
      <c r="F124912"/>
    </row>
    <row r="124913" spans="1:6" x14ac:dyDescent="0.25">
      <c r="A124913"/>
      <c r="B124913"/>
      <c r="C124913"/>
      <c r="E124913"/>
      <c r="F124913"/>
    </row>
    <row r="124914" spans="1:6" x14ac:dyDescent="0.25">
      <c r="A124914"/>
      <c r="B124914"/>
      <c r="C124914"/>
      <c r="E124914"/>
      <c r="F124914"/>
    </row>
    <row r="124915" spans="1:6" x14ac:dyDescent="0.25">
      <c r="A124915"/>
      <c r="B124915"/>
      <c r="C124915"/>
      <c r="E124915"/>
      <c r="F124915"/>
    </row>
    <row r="124916" spans="1:6" x14ac:dyDescent="0.25">
      <c r="A124916"/>
      <c r="B124916"/>
      <c r="C124916"/>
      <c r="E124916"/>
      <c r="F124916"/>
    </row>
    <row r="124917" spans="1:6" x14ac:dyDescent="0.25">
      <c r="A124917"/>
      <c r="B124917"/>
      <c r="C124917"/>
      <c r="E124917"/>
      <c r="F124917"/>
    </row>
    <row r="124918" spans="1:6" x14ac:dyDescent="0.25">
      <c r="A124918"/>
      <c r="B124918"/>
      <c r="C124918"/>
      <c r="E124918"/>
      <c r="F124918"/>
    </row>
    <row r="124919" spans="1:6" x14ac:dyDescent="0.25">
      <c r="A124919"/>
      <c r="B124919"/>
      <c r="C124919"/>
      <c r="E124919"/>
      <c r="F124919"/>
    </row>
    <row r="124920" spans="1:6" x14ac:dyDescent="0.25">
      <c r="A124920"/>
      <c r="B124920"/>
      <c r="C124920"/>
      <c r="E124920"/>
      <c r="F124920"/>
    </row>
    <row r="124921" spans="1:6" x14ac:dyDescent="0.25">
      <c r="A124921"/>
      <c r="B124921"/>
      <c r="C124921"/>
      <c r="E124921"/>
      <c r="F124921"/>
    </row>
    <row r="124922" spans="1:6" x14ac:dyDescent="0.25">
      <c r="A124922"/>
      <c r="B124922"/>
      <c r="C124922"/>
      <c r="E124922"/>
      <c r="F124922"/>
    </row>
    <row r="124923" spans="1:6" x14ac:dyDescent="0.25">
      <c r="A124923"/>
      <c r="B124923"/>
      <c r="C124923"/>
      <c r="E124923"/>
      <c r="F124923"/>
    </row>
    <row r="124924" spans="1:6" x14ac:dyDescent="0.25">
      <c r="A124924"/>
      <c r="B124924"/>
      <c r="C124924"/>
      <c r="E124924"/>
      <c r="F124924"/>
    </row>
    <row r="124925" spans="1:6" x14ac:dyDescent="0.25">
      <c r="A124925"/>
      <c r="B124925"/>
      <c r="C124925"/>
      <c r="E124925"/>
      <c r="F124925"/>
    </row>
    <row r="124926" spans="1:6" x14ac:dyDescent="0.25">
      <c r="A124926"/>
      <c r="B124926"/>
      <c r="C124926"/>
      <c r="E124926"/>
      <c r="F124926"/>
    </row>
    <row r="124927" spans="1:6" x14ac:dyDescent="0.25">
      <c r="A124927"/>
      <c r="B124927"/>
      <c r="C124927"/>
      <c r="E124927"/>
      <c r="F124927"/>
    </row>
    <row r="124928" spans="1:6" x14ac:dyDescent="0.25">
      <c r="A124928"/>
      <c r="B124928"/>
      <c r="C124928"/>
      <c r="E124928"/>
      <c r="F124928"/>
    </row>
    <row r="124929" spans="1:6" x14ac:dyDescent="0.25">
      <c r="A124929"/>
      <c r="B124929"/>
      <c r="C124929"/>
      <c r="E124929"/>
      <c r="F124929"/>
    </row>
    <row r="124930" spans="1:6" x14ac:dyDescent="0.25">
      <c r="A124930"/>
      <c r="B124930"/>
      <c r="C124930"/>
      <c r="E124930"/>
      <c r="F124930"/>
    </row>
    <row r="124931" spans="1:6" x14ac:dyDescent="0.25">
      <c r="A124931"/>
      <c r="B124931"/>
      <c r="C124931"/>
      <c r="E124931"/>
      <c r="F124931"/>
    </row>
    <row r="124932" spans="1:6" x14ac:dyDescent="0.25">
      <c r="A124932"/>
      <c r="B124932"/>
      <c r="C124932"/>
      <c r="E124932"/>
      <c r="F124932"/>
    </row>
    <row r="124933" spans="1:6" x14ac:dyDescent="0.25">
      <c r="A124933"/>
      <c r="B124933"/>
      <c r="C124933"/>
      <c r="E124933"/>
      <c r="F124933"/>
    </row>
    <row r="124934" spans="1:6" x14ac:dyDescent="0.25">
      <c r="A124934"/>
      <c r="B124934"/>
      <c r="C124934"/>
      <c r="E124934"/>
      <c r="F124934"/>
    </row>
    <row r="124935" spans="1:6" x14ac:dyDescent="0.25">
      <c r="A124935"/>
      <c r="B124935"/>
      <c r="C124935"/>
      <c r="E124935"/>
      <c r="F124935"/>
    </row>
    <row r="124936" spans="1:6" x14ac:dyDescent="0.25">
      <c r="A124936"/>
      <c r="B124936"/>
      <c r="C124936"/>
      <c r="E124936"/>
      <c r="F124936"/>
    </row>
    <row r="124937" spans="1:6" x14ac:dyDescent="0.25">
      <c r="A124937"/>
      <c r="B124937"/>
      <c r="C124937"/>
      <c r="E124937"/>
      <c r="F124937"/>
    </row>
    <row r="124938" spans="1:6" x14ac:dyDescent="0.25">
      <c r="A124938"/>
      <c r="B124938"/>
      <c r="C124938"/>
      <c r="E124938"/>
      <c r="F124938"/>
    </row>
    <row r="124939" spans="1:6" x14ac:dyDescent="0.25">
      <c r="A124939"/>
      <c r="B124939"/>
      <c r="C124939"/>
      <c r="E124939"/>
      <c r="F124939"/>
    </row>
    <row r="124940" spans="1:6" x14ac:dyDescent="0.25">
      <c r="A124940"/>
      <c r="B124940"/>
      <c r="C124940"/>
      <c r="E124940"/>
      <c r="F124940"/>
    </row>
    <row r="124941" spans="1:6" x14ac:dyDescent="0.25">
      <c r="A124941"/>
      <c r="B124941"/>
      <c r="C124941"/>
      <c r="E124941"/>
      <c r="F124941"/>
    </row>
    <row r="124942" spans="1:6" x14ac:dyDescent="0.25">
      <c r="A124942"/>
      <c r="B124942"/>
      <c r="C124942"/>
      <c r="E124942"/>
      <c r="F124942"/>
    </row>
    <row r="124943" spans="1:6" x14ac:dyDescent="0.25">
      <c r="A124943"/>
      <c r="B124943"/>
      <c r="C124943"/>
      <c r="E124943"/>
      <c r="F124943"/>
    </row>
    <row r="124944" spans="1:6" x14ac:dyDescent="0.25">
      <c r="A124944"/>
      <c r="B124944"/>
      <c r="C124944"/>
      <c r="E124944"/>
      <c r="F124944"/>
    </row>
    <row r="124945" spans="1:6" x14ac:dyDescent="0.25">
      <c r="A124945"/>
      <c r="B124945"/>
      <c r="C124945"/>
      <c r="E124945"/>
      <c r="F124945"/>
    </row>
    <row r="124946" spans="1:6" x14ac:dyDescent="0.25">
      <c r="A124946"/>
      <c r="B124946"/>
      <c r="C124946"/>
      <c r="E124946"/>
      <c r="F124946"/>
    </row>
    <row r="124947" spans="1:6" x14ac:dyDescent="0.25">
      <c r="A124947"/>
      <c r="B124947"/>
      <c r="C124947"/>
      <c r="E124947"/>
      <c r="F124947"/>
    </row>
    <row r="124948" spans="1:6" x14ac:dyDescent="0.25">
      <c r="A124948"/>
      <c r="B124948"/>
      <c r="C124948"/>
      <c r="E124948"/>
      <c r="F124948"/>
    </row>
    <row r="124949" spans="1:6" x14ac:dyDescent="0.25">
      <c r="A124949"/>
      <c r="B124949"/>
      <c r="C124949"/>
      <c r="E124949"/>
      <c r="F124949"/>
    </row>
    <row r="124950" spans="1:6" x14ac:dyDescent="0.25">
      <c r="A124950"/>
      <c r="B124950"/>
      <c r="C124950"/>
      <c r="E124950"/>
      <c r="F124950"/>
    </row>
    <row r="124951" spans="1:6" x14ac:dyDescent="0.25">
      <c r="A124951"/>
      <c r="B124951"/>
      <c r="C124951"/>
      <c r="E124951"/>
      <c r="F124951"/>
    </row>
    <row r="124952" spans="1:6" x14ac:dyDescent="0.25">
      <c r="A124952"/>
      <c r="B124952"/>
      <c r="C124952"/>
      <c r="E124952"/>
      <c r="F124952"/>
    </row>
    <row r="124953" spans="1:6" x14ac:dyDescent="0.25">
      <c r="A124953"/>
      <c r="B124953"/>
      <c r="C124953"/>
      <c r="E124953"/>
      <c r="F124953"/>
    </row>
    <row r="124954" spans="1:6" x14ac:dyDescent="0.25">
      <c r="A124954"/>
      <c r="B124954"/>
      <c r="C124954"/>
      <c r="E124954"/>
      <c r="F124954"/>
    </row>
    <row r="124955" spans="1:6" x14ac:dyDescent="0.25">
      <c r="A124955"/>
      <c r="B124955"/>
      <c r="C124955"/>
      <c r="E124955"/>
      <c r="F124955"/>
    </row>
    <row r="124956" spans="1:6" x14ac:dyDescent="0.25">
      <c r="A124956"/>
      <c r="B124956"/>
      <c r="C124956"/>
      <c r="E124956"/>
      <c r="F124956"/>
    </row>
    <row r="124957" spans="1:6" x14ac:dyDescent="0.25">
      <c r="A124957"/>
      <c r="B124957"/>
      <c r="C124957"/>
      <c r="E124957"/>
      <c r="F124957"/>
    </row>
    <row r="124958" spans="1:6" x14ac:dyDescent="0.25">
      <c r="A124958"/>
      <c r="B124958"/>
      <c r="C124958"/>
      <c r="E124958"/>
      <c r="F124958"/>
    </row>
    <row r="124959" spans="1:6" x14ac:dyDescent="0.25">
      <c r="A124959"/>
      <c r="B124959"/>
      <c r="C124959"/>
      <c r="E124959"/>
      <c r="F124959"/>
    </row>
    <row r="124960" spans="1:6" x14ac:dyDescent="0.25">
      <c r="A124960"/>
      <c r="B124960"/>
      <c r="C124960"/>
      <c r="E124960"/>
      <c r="F124960"/>
    </row>
    <row r="124961" spans="1:6" x14ac:dyDescent="0.25">
      <c r="A124961"/>
      <c r="B124961"/>
      <c r="C124961"/>
      <c r="E124961"/>
      <c r="F124961"/>
    </row>
    <row r="124962" spans="1:6" x14ac:dyDescent="0.25">
      <c r="A124962"/>
      <c r="B124962"/>
      <c r="C124962"/>
      <c r="E124962"/>
      <c r="F124962"/>
    </row>
    <row r="124963" spans="1:6" x14ac:dyDescent="0.25">
      <c r="A124963"/>
      <c r="B124963"/>
      <c r="C124963"/>
      <c r="E124963"/>
      <c r="F124963"/>
    </row>
    <row r="124964" spans="1:6" x14ac:dyDescent="0.25">
      <c r="A124964"/>
      <c r="B124964"/>
      <c r="C124964"/>
      <c r="E124964"/>
      <c r="F124964"/>
    </row>
    <row r="124965" spans="1:6" x14ac:dyDescent="0.25">
      <c r="A124965"/>
      <c r="B124965"/>
      <c r="C124965"/>
      <c r="E124965"/>
      <c r="F124965"/>
    </row>
    <row r="124966" spans="1:6" x14ac:dyDescent="0.25">
      <c r="A124966"/>
      <c r="B124966"/>
      <c r="C124966"/>
      <c r="E124966"/>
      <c r="F124966"/>
    </row>
    <row r="124967" spans="1:6" x14ac:dyDescent="0.25">
      <c r="A124967"/>
      <c r="B124967"/>
      <c r="C124967"/>
      <c r="E124967"/>
      <c r="F124967"/>
    </row>
    <row r="124968" spans="1:6" x14ac:dyDescent="0.25">
      <c r="A124968"/>
      <c r="B124968"/>
      <c r="C124968"/>
      <c r="E124968"/>
      <c r="F124968"/>
    </row>
    <row r="124969" spans="1:6" x14ac:dyDescent="0.25">
      <c r="A124969"/>
      <c r="B124969"/>
      <c r="C124969"/>
      <c r="E124969"/>
      <c r="F124969"/>
    </row>
    <row r="124970" spans="1:6" x14ac:dyDescent="0.25">
      <c r="A124970"/>
      <c r="B124970"/>
      <c r="C124970"/>
      <c r="E124970"/>
      <c r="F124970"/>
    </row>
    <row r="124971" spans="1:6" x14ac:dyDescent="0.25">
      <c r="A124971"/>
      <c r="B124971"/>
      <c r="C124971"/>
      <c r="E124971"/>
      <c r="F124971"/>
    </row>
    <row r="124972" spans="1:6" x14ac:dyDescent="0.25">
      <c r="A124972"/>
      <c r="B124972"/>
      <c r="C124972"/>
      <c r="E124972"/>
      <c r="F124972"/>
    </row>
    <row r="124973" spans="1:6" x14ac:dyDescent="0.25">
      <c r="A124973"/>
      <c r="B124973"/>
      <c r="C124973"/>
      <c r="E124973"/>
      <c r="F124973"/>
    </row>
    <row r="124974" spans="1:6" x14ac:dyDescent="0.25">
      <c r="A124974"/>
      <c r="B124974"/>
      <c r="C124974"/>
      <c r="E124974"/>
      <c r="F124974"/>
    </row>
    <row r="124975" spans="1:6" x14ac:dyDescent="0.25">
      <c r="A124975"/>
      <c r="B124975"/>
      <c r="C124975"/>
      <c r="E124975"/>
      <c r="F124975"/>
    </row>
    <row r="124976" spans="1:6" x14ac:dyDescent="0.25">
      <c r="A124976"/>
      <c r="B124976"/>
      <c r="C124976"/>
      <c r="E124976"/>
      <c r="F124976"/>
    </row>
    <row r="124977" spans="1:6" x14ac:dyDescent="0.25">
      <c r="A124977"/>
      <c r="B124977"/>
      <c r="C124977"/>
      <c r="E124977"/>
      <c r="F124977"/>
    </row>
    <row r="124978" spans="1:6" x14ac:dyDescent="0.25">
      <c r="A124978"/>
      <c r="B124978"/>
      <c r="C124978"/>
      <c r="E124978"/>
      <c r="F124978"/>
    </row>
    <row r="124979" spans="1:6" x14ac:dyDescent="0.25">
      <c r="A124979"/>
      <c r="B124979"/>
      <c r="C124979"/>
      <c r="E124979"/>
      <c r="F124979"/>
    </row>
    <row r="124980" spans="1:6" x14ac:dyDescent="0.25">
      <c r="A124980"/>
      <c r="B124980"/>
      <c r="C124980"/>
      <c r="E124980"/>
      <c r="F124980"/>
    </row>
    <row r="124981" spans="1:6" x14ac:dyDescent="0.25">
      <c r="A124981"/>
      <c r="B124981"/>
      <c r="C124981"/>
      <c r="E124981"/>
      <c r="F124981"/>
    </row>
    <row r="124982" spans="1:6" x14ac:dyDescent="0.25">
      <c r="A124982"/>
      <c r="B124982"/>
      <c r="C124982"/>
      <c r="E124982"/>
      <c r="F124982"/>
    </row>
    <row r="124983" spans="1:6" x14ac:dyDescent="0.25">
      <c r="A124983"/>
      <c r="B124983"/>
      <c r="C124983"/>
      <c r="E124983"/>
      <c r="F124983"/>
    </row>
    <row r="124984" spans="1:6" x14ac:dyDescent="0.25">
      <c r="A124984"/>
      <c r="B124984"/>
      <c r="C124984"/>
      <c r="E124984"/>
      <c r="F124984"/>
    </row>
    <row r="124985" spans="1:6" x14ac:dyDescent="0.25">
      <c r="A124985"/>
      <c r="B124985"/>
      <c r="C124985"/>
      <c r="E124985"/>
      <c r="F124985"/>
    </row>
    <row r="124986" spans="1:6" x14ac:dyDescent="0.25">
      <c r="A124986"/>
      <c r="B124986"/>
      <c r="C124986"/>
      <c r="E124986"/>
      <c r="F124986"/>
    </row>
    <row r="124987" spans="1:6" x14ac:dyDescent="0.25">
      <c r="A124987"/>
      <c r="B124987"/>
      <c r="C124987"/>
      <c r="E124987"/>
      <c r="F124987"/>
    </row>
    <row r="124988" spans="1:6" x14ac:dyDescent="0.25">
      <c r="A124988"/>
      <c r="B124988"/>
      <c r="C124988"/>
      <c r="E124988"/>
      <c r="F124988"/>
    </row>
    <row r="124989" spans="1:6" x14ac:dyDescent="0.25">
      <c r="A124989"/>
      <c r="B124989"/>
      <c r="C124989"/>
      <c r="E124989"/>
      <c r="F124989"/>
    </row>
    <row r="124990" spans="1:6" x14ac:dyDescent="0.25">
      <c r="A124990"/>
      <c r="B124990"/>
      <c r="C124990"/>
      <c r="E124990"/>
      <c r="F124990"/>
    </row>
    <row r="124991" spans="1:6" x14ac:dyDescent="0.25">
      <c r="A124991"/>
      <c r="B124991"/>
      <c r="C124991"/>
      <c r="E124991"/>
      <c r="F124991"/>
    </row>
    <row r="124992" spans="1:6" x14ac:dyDescent="0.25">
      <c r="A124992"/>
      <c r="B124992"/>
      <c r="C124992"/>
      <c r="E124992"/>
      <c r="F124992"/>
    </row>
    <row r="124993" spans="1:6" x14ac:dyDescent="0.25">
      <c r="A124993"/>
      <c r="B124993"/>
      <c r="C124993"/>
      <c r="E124993"/>
      <c r="F124993"/>
    </row>
    <row r="124994" spans="1:6" x14ac:dyDescent="0.25">
      <c r="A124994"/>
      <c r="B124994"/>
      <c r="C124994"/>
      <c r="E124994"/>
      <c r="F124994"/>
    </row>
    <row r="124995" spans="1:6" x14ac:dyDescent="0.25">
      <c r="A124995"/>
      <c r="B124995"/>
      <c r="C124995"/>
      <c r="E124995"/>
      <c r="F124995"/>
    </row>
    <row r="124996" spans="1:6" x14ac:dyDescent="0.25">
      <c r="A124996"/>
      <c r="B124996"/>
      <c r="C124996"/>
      <c r="E124996"/>
      <c r="F124996"/>
    </row>
    <row r="124997" spans="1:6" x14ac:dyDescent="0.25">
      <c r="A124997"/>
      <c r="B124997"/>
      <c r="C124997"/>
      <c r="E124997"/>
      <c r="F124997"/>
    </row>
    <row r="124998" spans="1:6" x14ac:dyDescent="0.25">
      <c r="A124998"/>
      <c r="B124998"/>
      <c r="C124998"/>
      <c r="E124998"/>
      <c r="F124998"/>
    </row>
    <row r="124999" spans="1:6" x14ac:dyDescent="0.25">
      <c r="A124999"/>
      <c r="B124999"/>
      <c r="C124999"/>
      <c r="E124999"/>
      <c r="F124999"/>
    </row>
    <row r="125000" spans="1:6" x14ac:dyDescent="0.25">
      <c r="A125000"/>
      <c r="B125000"/>
      <c r="C125000"/>
      <c r="E125000"/>
      <c r="F125000"/>
    </row>
    <row r="125001" spans="1:6" x14ac:dyDescent="0.25">
      <c r="A125001"/>
      <c r="B125001"/>
      <c r="C125001"/>
      <c r="E125001"/>
      <c r="F125001"/>
    </row>
    <row r="125002" spans="1:6" x14ac:dyDescent="0.25">
      <c r="A125002"/>
      <c r="B125002"/>
      <c r="C125002"/>
      <c r="E125002"/>
      <c r="F125002"/>
    </row>
    <row r="125003" spans="1:6" x14ac:dyDescent="0.25">
      <c r="A125003"/>
      <c r="B125003"/>
      <c r="C125003"/>
      <c r="E125003"/>
      <c r="F125003"/>
    </row>
    <row r="125004" spans="1:6" x14ac:dyDescent="0.25">
      <c r="A125004"/>
      <c r="B125004"/>
      <c r="C125004"/>
      <c r="E125004"/>
      <c r="F125004"/>
    </row>
    <row r="125005" spans="1:6" x14ac:dyDescent="0.25">
      <c r="A125005"/>
      <c r="B125005"/>
      <c r="C125005"/>
      <c r="E125005"/>
      <c r="F125005"/>
    </row>
    <row r="125006" spans="1:6" x14ac:dyDescent="0.25">
      <c r="A125006"/>
      <c r="B125006"/>
      <c r="C125006"/>
      <c r="E125006"/>
      <c r="F125006"/>
    </row>
    <row r="125007" spans="1:6" x14ac:dyDescent="0.25">
      <c r="A125007"/>
      <c r="B125007"/>
      <c r="C125007"/>
      <c r="E125007"/>
      <c r="F125007"/>
    </row>
    <row r="125008" spans="1:6" x14ac:dyDescent="0.25">
      <c r="A125008"/>
      <c r="B125008"/>
      <c r="C125008"/>
      <c r="E125008"/>
      <c r="F125008"/>
    </row>
    <row r="125009" spans="1:6" x14ac:dyDescent="0.25">
      <c r="A125009"/>
      <c r="B125009"/>
      <c r="C125009"/>
      <c r="E125009"/>
      <c r="F125009"/>
    </row>
    <row r="125010" spans="1:6" x14ac:dyDescent="0.25">
      <c r="A125010"/>
      <c r="B125010"/>
      <c r="C125010"/>
      <c r="E125010"/>
      <c r="F125010"/>
    </row>
    <row r="125011" spans="1:6" x14ac:dyDescent="0.25">
      <c r="A125011"/>
      <c r="B125011"/>
      <c r="C125011"/>
      <c r="E125011"/>
      <c r="F125011"/>
    </row>
    <row r="125012" spans="1:6" x14ac:dyDescent="0.25">
      <c r="A125012"/>
      <c r="B125012"/>
      <c r="C125012"/>
      <c r="E125012"/>
      <c r="F125012"/>
    </row>
    <row r="125013" spans="1:6" x14ac:dyDescent="0.25">
      <c r="A125013"/>
      <c r="B125013"/>
      <c r="C125013"/>
      <c r="E125013"/>
      <c r="F125013"/>
    </row>
    <row r="125014" spans="1:6" x14ac:dyDescent="0.25">
      <c r="A125014"/>
      <c r="B125014"/>
      <c r="C125014"/>
      <c r="E125014"/>
      <c r="F125014"/>
    </row>
    <row r="125015" spans="1:6" x14ac:dyDescent="0.25">
      <c r="A125015"/>
      <c r="B125015"/>
      <c r="C125015"/>
      <c r="E125015"/>
      <c r="F125015"/>
    </row>
    <row r="125016" spans="1:6" x14ac:dyDescent="0.25">
      <c r="A125016"/>
      <c r="B125016"/>
      <c r="C125016"/>
      <c r="E125016"/>
      <c r="F125016"/>
    </row>
    <row r="125017" spans="1:6" x14ac:dyDescent="0.25">
      <c r="A125017"/>
      <c r="B125017"/>
      <c r="C125017"/>
      <c r="E125017"/>
      <c r="F125017"/>
    </row>
    <row r="125018" spans="1:6" x14ac:dyDescent="0.25">
      <c r="A125018"/>
      <c r="B125018"/>
      <c r="C125018"/>
      <c r="E125018"/>
      <c r="F125018"/>
    </row>
    <row r="125019" spans="1:6" x14ac:dyDescent="0.25">
      <c r="A125019"/>
      <c r="B125019"/>
      <c r="C125019"/>
      <c r="E125019"/>
      <c r="F125019"/>
    </row>
    <row r="125020" spans="1:6" x14ac:dyDescent="0.25">
      <c r="A125020"/>
      <c r="B125020"/>
      <c r="C125020"/>
      <c r="E125020"/>
      <c r="F125020"/>
    </row>
    <row r="125021" spans="1:6" x14ac:dyDescent="0.25">
      <c r="A125021"/>
      <c r="B125021"/>
      <c r="C125021"/>
      <c r="E125021"/>
      <c r="F125021"/>
    </row>
    <row r="125022" spans="1:6" x14ac:dyDescent="0.25">
      <c r="A125022"/>
      <c r="B125022"/>
      <c r="C125022"/>
      <c r="E125022"/>
      <c r="F125022"/>
    </row>
    <row r="125023" spans="1:6" x14ac:dyDescent="0.25">
      <c r="A125023"/>
      <c r="B125023"/>
      <c r="C125023"/>
      <c r="E125023"/>
      <c r="F125023"/>
    </row>
    <row r="125024" spans="1:6" x14ac:dyDescent="0.25">
      <c r="A125024"/>
      <c r="B125024"/>
      <c r="C125024"/>
      <c r="E125024"/>
      <c r="F125024"/>
    </row>
    <row r="125025" spans="1:6" x14ac:dyDescent="0.25">
      <c r="A125025"/>
      <c r="B125025"/>
      <c r="C125025"/>
      <c r="E125025"/>
      <c r="F125025"/>
    </row>
    <row r="125026" spans="1:6" x14ac:dyDescent="0.25">
      <c r="A125026"/>
      <c r="B125026"/>
      <c r="C125026"/>
      <c r="E125026"/>
      <c r="F125026"/>
    </row>
    <row r="125027" spans="1:6" x14ac:dyDescent="0.25">
      <c r="A125027"/>
      <c r="B125027"/>
      <c r="C125027"/>
      <c r="E125027"/>
      <c r="F125027"/>
    </row>
    <row r="125028" spans="1:6" x14ac:dyDescent="0.25">
      <c r="A125028"/>
      <c r="B125028"/>
      <c r="C125028"/>
      <c r="E125028"/>
      <c r="F125028"/>
    </row>
    <row r="125029" spans="1:6" x14ac:dyDescent="0.25">
      <c r="A125029"/>
      <c r="B125029"/>
      <c r="C125029"/>
      <c r="E125029"/>
      <c r="F125029"/>
    </row>
    <row r="125030" spans="1:6" x14ac:dyDescent="0.25">
      <c r="A125030"/>
      <c r="B125030"/>
      <c r="C125030"/>
      <c r="E125030"/>
      <c r="F125030"/>
    </row>
    <row r="125031" spans="1:6" x14ac:dyDescent="0.25">
      <c r="A125031"/>
      <c r="B125031"/>
      <c r="C125031"/>
      <c r="E125031"/>
      <c r="F125031"/>
    </row>
    <row r="125032" spans="1:6" x14ac:dyDescent="0.25">
      <c r="A125032"/>
      <c r="B125032"/>
      <c r="C125032"/>
      <c r="E125032"/>
      <c r="F125032"/>
    </row>
    <row r="125033" spans="1:6" x14ac:dyDescent="0.25">
      <c r="A125033"/>
      <c r="B125033"/>
      <c r="C125033"/>
      <c r="E125033"/>
      <c r="F125033"/>
    </row>
    <row r="125034" spans="1:6" x14ac:dyDescent="0.25">
      <c r="A125034"/>
      <c r="B125034"/>
      <c r="C125034"/>
      <c r="E125034"/>
      <c r="F125034"/>
    </row>
    <row r="125035" spans="1:6" x14ac:dyDescent="0.25">
      <c r="A125035"/>
      <c r="B125035"/>
      <c r="C125035"/>
      <c r="E125035"/>
      <c r="F125035"/>
    </row>
    <row r="125036" spans="1:6" x14ac:dyDescent="0.25">
      <c r="A125036"/>
      <c r="B125036"/>
      <c r="C125036"/>
      <c r="E125036"/>
      <c r="F125036"/>
    </row>
    <row r="125037" spans="1:6" x14ac:dyDescent="0.25">
      <c r="A125037"/>
      <c r="B125037"/>
      <c r="C125037"/>
      <c r="E125037"/>
      <c r="F125037"/>
    </row>
    <row r="125038" spans="1:6" x14ac:dyDescent="0.25">
      <c r="A125038"/>
      <c r="B125038"/>
      <c r="C125038"/>
      <c r="E125038"/>
      <c r="F125038"/>
    </row>
    <row r="125039" spans="1:6" x14ac:dyDescent="0.25">
      <c r="A125039"/>
      <c r="B125039"/>
      <c r="C125039"/>
      <c r="E125039"/>
      <c r="F125039"/>
    </row>
    <row r="125040" spans="1:6" x14ac:dyDescent="0.25">
      <c r="A125040"/>
      <c r="B125040"/>
      <c r="C125040"/>
      <c r="E125040"/>
      <c r="F125040"/>
    </row>
    <row r="125041" spans="1:6" x14ac:dyDescent="0.25">
      <c r="A125041"/>
      <c r="B125041"/>
      <c r="C125041"/>
      <c r="E125041"/>
      <c r="F125041"/>
    </row>
    <row r="125042" spans="1:6" x14ac:dyDescent="0.25">
      <c r="A125042"/>
      <c r="B125042"/>
      <c r="C125042"/>
      <c r="E125042"/>
      <c r="F125042"/>
    </row>
    <row r="125043" spans="1:6" x14ac:dyDescent="0.25">
      <c r="A125043"/>
      <c r="B125043"/>
      <c r="C125043"/>
      <c r="E125043"/>
      <c r="F125043"/>
    </row>
    <row r="125044" spans="1:6" x14ac:dyDescent="0.25">
      <c r="A125044"/>
      <c r="B125044"/>
      <c r="C125044"/>
      <c r="E125044"/>
      <c r="F125044"/>
    </row>
    <row r="125045" spans="1:6" x14ac:dyDescent="0.25">
      <c r="A125045"/>
      <c r="B125045"/>
      <c r="C125045"/>
      <c r="E125045"/>
      <c r="F125045"/>
    </row>
    <row r="125046" spans="1:6" x14ac:dyDescent="0.25">
      <c r="A125046"/>
      <c r="B125046"/>
      <c r="C125046"/>
      <c r="E125046"/>
      <c r="F125046"/>
    </row>
    <row r="125047" spans="1:6" x14ac:dyDescent="0.25">
      <c r="A125047"/>
      <c r="B125047"/>
      <c r="C125047"/>
      <c r="E125047"/>
      <c r="F125047"/>
    </row>
    <row r="125048" spans="1:6" x14ac:dyDescent="0.25">
      <c r="A125048"/>
      <c r="B125048"/>
      <c r="C125048"/>
      <c r="E125048"/>
      <c r="F125048"/>
    </row>
    <row r="125049" spans="1:6" x14ac:dyDescent="0.25">
      <c r="A125049"/>
      <c r="B125049"/>
      <c r="C125049"/>
      <c r="E125049"/>
      <c r="F125049"/>
    </row>
    <row r="125050" spans="1:6" x14ac:dyDescent="0.25">
      <c r="A125050"/>
      <c r="B125050"/>
      <c r="C125050"/>
      <c r="E125050"/>
      <c r="F125050"/>
    </row>
    <row r="125051" spans="1:6" x14ac:dyDescent="0.25">
      <c r="A125051"/>
      <c r="B125051"/>
      <c r="C125051"/>
      <c r="E125051"/>
      <c r="F125051"/>
    </row>
    <row r="125052" spans="1:6" x14ac:dyDescent="0.25">
      <c r="A125052"/>
      <c r="B125052"/>
      <c r="C125052"/>
      <c r="E125052"/>
      <c r="F125052"/>
    </row>
    <row r="125053" spans="1:6" x14ac:dyDescent="0.25">
      <c r="A125053"/>
      <c r="B125053"/>
      <c r="C125053"/>
      <c r="E125053"/>
      <c r="F125053"/>
    </row>
    <row r="125054" spans="1:6" x14ac:dyDescent="0.25">
      <c r="A125054"/>
      <c r="B125054"/>
      <c r="C125054"/>
      <c r="E125054"/>
      <c r="F125054"/>
    </row>
    <row r="125055" spans="1:6" x14ac:dyDescent="0.25">
      <c r="A125055"/>
      <c r="B125055"/>
      <c r="C125055"/>
      <c r="E125055"/>
      <c r="F125055"/>
    </row>
    <row r="125056" spans="1:6" x14ac:dyDescent="0.25">
      <c r="A125056"/>
      <c r="B125056"/>
      <c r="C125056"/>
      <c r="E125056"/>
      <c r="F125056"/>
    </row>
    <row r="125057" spans="1:6" x14ac:dyDescent="0.25">
      <c r="A125057"/>
      <c r="B125057"/>
      <c r="C125057"/>
      <c r="E125057"/>
      <c r="F125057"/>
    </row>
    <row r="125058" spans="1:6" x14ac:dyDescent="0.25">
      <c r="A125058"/>
      <c r="B125058"/>
      <c r="C125058"/>
      <c r="E125058"/>
      <c r="F125058"/>
    </row>
    <row r="125059" spans="1:6" x14ac:dyDescent="0.25">
      <c r="A125059"/>
      <c r="B125059"/>
      <c r="C125059"/>
      <c r="E125059"/>
      <c r="F125059"/>
    </row>
    <row r="125060" spans="1:6" x14ac:dyDescent="0.25">
      <c r="A125060"/>
      <c r="B125060"/>
      <c r="C125060"/>
      <c r="E125060"/>
      <c r="F125060"/>
    </row>
    <row r="125061" spans="1:6" x14ac:dyDescent="0.25">
      <c r="A125061"/>
      <c r="B125061"/>
      <c r="C125061"/>
      <c r="E125061"/>
      <c r="F125061"/>
    </row>
    <row r="125062" spans="1:6" x14ac:dyDescent="0.25">
      <c r="A125062"/>
      <c r="B125062"/>
      <c r="C125062"/>
      <c r="E125062"/>
      <c r="F125062"/>
    </row>
    <row r="125063" spans="1:6" x14ac:dyDescent="0.25">
      <c r="A125063"/>
      <c r="B125063"/>
      <c r="C125063"/>
      <c r="E125063"/>
      <c r="F125063"/>
    </row>
    <row r="125064" spans="1:6" x14ac:dyDescent="0.25">
      <c r="A125064"/>
      <c r="B125064"/>
      <c r="C125064"/>
      <c r="E125064"/>
      <c r="F125064"/>
    </row>
    <row r="125065" spans="1:6" x14ac:dyDescent="0.25">
      <c r="A125065"/>
      <c r="B125065"/>
      <c r="C125065"/>
      <c r="E125065"/>
      <c r="F125065"/>
    </row>
    <row r="125066" spans="1:6" x14ac:dyDescent="0.25">
      <c r="A125066"/>
      <c r="B125066"/>
      <c r="C125066"/>
      <c r="E125066"/>
      <c r="F125066"/>
    </row>
    <row r="125067" spans="1:6" x14ac:dyDescent="0.25">
      <c r="A125067"/>
      <c r="B125067"/>
      <c r="C125067"/>
      <c r="E125067"/>
      <c r="F125067"/>
    </row>
    <row r="125068" spans="1:6" x14ac:dyDescent="0.25">
      <c r="A125068"/>
      <c r="B125068"/>
      <c r="C125068"/>
      <c r="E125068"/>
      <c r="F125068"/>
    </row>
    <row r="125069" spans="1:6" x14ac:dyDescent="0.25">
      <c r="A125069"/>
      <c r="B125069"/>
      <c r="C125069"/>
      <c r="E125069"/>
      <c r="F125069"/>
    </row>
    <row r="125070" spans="1:6" x14ac:dyDescent="0.25">
      <c r="A125070"/>
      <c r="B125070"/>
      <c r="C125070"/>
      <c r="E125070"/>
      <c r="F125070"/>
    </row>
    <row r="125071" spans="1:6" x14ac:dyDescent="0.25">
      <c r="A125071"/>
      <c r="B125071"/>
      <c r="C125071"/>
      <c r="E125071"/>
      <c r="F125071"/>
    </row>
    <row r="125072" spans="1:6" x14ac:dyDescent="0.25">
      <c r="A125072"/>
      <c r="B125072"/>
      <c r="C125072"/>
      <c r="E125072"/>
      <c r="F125072"/>
    </row>
    <row r="125073" spans="1:6" x14ac:dyDescent="0.25">
      <c r="A125073"/>
      <c r="B125073"/>
      <c r="C125073"/>
      <c r="E125073"/>
      <c r="F125073"/>
    </row>
    <row r="125074" spans="1:6" x14ac:dyDescent="0.25">
      <c r="A125074"/>
      <c r="B125074"/>
      <c r="C125074"/>
      <c r="E125074"/>
      <c r="F125074"/>
    </row>
    <row r="125075" spans="1:6" x14ac:dyDescent="0.25">
      <c r="A125075"/>
      <c r="B125075"/>
      <c r="C125075"/>
      <c r="E125075"/>
      <c r="F125075"/>
    </row>
    <row r="125076" spans="1:6" x14ac:dyDescent="0.25">
      <c r="A125076"/>
      <c r="B125076"/>
      <c r="C125076"/>
      <c r="E125076"/>
      <c r="F125076"/>
    </row>
    <row r="125077" spans="1:6" x14ac:dyDescent="0.25">
      <c r="A125077"/>
      <c r="B125077"/>
      <c r="C125077"/>
      <c r="E125077"/>
      <c r="F125077"/>
    </row>
    <row r="125078" spans="1:6" x14ac:dyDescent="0.25">
      <c r="A125078"/>
      <c r="B125078"/>
      <c r="C125078"/>
      <c r="E125078"/>
      <c r="F125078"/>
    </row>
    <row r="125079" spans="1:6" x14ac:dyDescent="0.25">
      <c r="A125079"/>
      <c r="B125079"/>
      <c r="C125079"/>
      <c r="E125079"/>
      <c r="F125079"/>
    </row>
    <row r="125080" spans="1:6" x14ac:dyDescent="0.25">
      <c r="A125080"/>
      <c r="B125080"/>
      <c r="C125080"/>
      <c r="E125080"/>
      <c r="F125080"/>
    </row>
    <row r="125081" spans="1:6" x14ac:dyDescent="0.25">
      <c r="A125081"/>
      <c r="B125081"/>
      <c r="C125081"/>
      <c r="E125081"/>
      <c r="F125081"/>
    </row>
    <row r="125082" spans="1:6" x14ac:dyDescent="0.25">
      <c r="A125082"/>
      <c r="B125082"/>
      <c r="C125082"/>
      <c r="E125082"/>
      <c r="F125082"/>
    </row>
    <row r="125083" spans="1:6" x14ac:dyDescent="0.25">
      <c r="A125083"/>
      <c r="B125083"/>
      <c r="C125083"/>
      <c r="E125083"/>
      <c r="F125083"/>
    </row>
    <row r="125084" spans="1:6" x14ac:dyDescent="0.25">
      <c r="A125084"/>
      <c r="B125084"/>
      <c r="C125084"/>
      <c r="E125084"/>
      <c r="F125084"/>
    </row>
    <row r="125085" spans="1:6" x14ac:dyDescent="0.25">
      <c r="A125085"/>
      <c r="B125085"/>
      <c r="C125085"/>
      <c r="E125085"/>
      <c r="F125085"/>
    </row>
    <row r="125086" spans="1:6" x14ac:dyDescent="0.25">
      <c r="A125086"/>
      <c r="B125086"/>
      <c r="C125086"/>
      <c r="E125086"/>
      <c r="F125086"/>
    </row>
    <row r="125087" spans="1:6" x14ac:dyDescent="0.25">
      <c r="A125087"/>
      <c r="B125087"/>
      <c r="C125087"/>
      <c r="E125087"/>
      <c r="F125087"/>
    </row>
    <row r="125088" spans="1:6" x14ac:dyDescent="0.25">
      <c r="A125088"/>
      <c r="B125088"/>
      <c r="C125088"/>
      <c r="E125088"/>
      <c r="F125088"/>
    </row>
    <row r="125089" spans="1:6" x14ac:dyDescent="0.25">
      <c r="A125089"/>
      <c r="B125089"/>
      <c r="C125089"/>
      <c r="E125089"/>
      <c r="F125089"/>
    </row>
    <row r="125090" spans="1:6" x14ac:dyDescent="0.25">
      <c r="A125090"/>
      <c r="B125090"/>
      <c r="C125090"/>
      <c r="E125090"/>
      <c r="F125090"/>
    </row>
    <row r="125091" spans="1:6" x14ac:dyDescent="0.25">
      <c r="A125091"/>
      <c r="B125091"/>
      <c r="C125091"/>
      <c r="E125091"/>
      <c r="F125091"/>
    </row>
    <row r="125092" spans="1:6" x14ac:dyDescent="0.25">
      <c r="A125092"/>
      <c r="B125092"/>
      <c r="C125092"/>
      <c r="E125092"/>
      <c r="F125092"/>
    </row>
    <row r="125093" spans="1:6" x14ac:dyDescent="0.25">
      <c r="A125093"/>
      <c r="B125093"/>
      <c r="C125093"/>
      <c r="E125093"/>
      <c r="F125093"/>
    </row>
    <row r="125094" spans="1:6" x14ac:dyDescent="0.25">
      <c r="A125094"/>
      <c r="B125094"/>
      <c r="C125094"/>
      <c r="E125094"/>
      <c r="F125094"/>
    </row>
    <row r="125095" spans="1:6" x14ac:dyDescent="0.25">
      <c r="A125095"/>
      <c r="B125095"/>
      <c r="C125095"/>
      <c r="E125095"/>
      <c r="F125095"/>
    </row>
    <row r="125096" spans="1:6" x14ac:dyDescent="0.25">
      <c r="A125096"/>
      <c r="B125096"/>
      <c r="C125096"/>
      <c r="E125096"/>
      <c r="F125096"/>
    </row>
    <row r="125097" spans="1:6" x14ac:dyDescent="0.25">
      <c r="A125097"/>
      <c r="B125097"/>
      <c r="C125097"/>
      <c r="E125097"/>
      <c r="F125097"/>
    </row>
    <row r="125098" spans="1:6" x14ac:dyDescent="0.25">
      <c r="A125098"/>
      <c r="B125098"/>
      <c r="C125098"/>
      <c r="E125098"/>
      <c r="F125098"/>
    </row>
    <row r="125099" spans="1:6" x14ac:dyDescent="0.25">
      <c r="A125099"/>
      <c r="B125099"/>
      <c r="C125099"/>
      <c r="E125099"/>
      <c r="F125099"/>
    </row>
    <row r="125100" spans="1:6" x14ac:dyDescent="0.25">
      <c r="A125100"/>
      <c r="B125100"/>
      <c r="C125100"/>
      <c r="E125100"/>
      <c r="F125100"/>
    </row>
    <row r="125101" spans="1:6" x14ac:dyDescent="0.25">
      <c r="A125101"/>
      <c r="B125101"/>
      <c r="C125101"/>
      <c r="E125101"/>
      <c r="F125101"/>
    </row>
    <row r="125102" spans="1:6" x14ac:dyDescent="0.25">
      <c r="A125102"/>
      <c r="B125102"/>
      <c r="C125102"/>
      <c r="E125102"/>
      <c r="F125102"/>
    </row>
    <row r="125103" spans="1:6" x14ac:dyDescent="0.25">
      <c r="A125103"/>
      <c r="B125103"/>
      <c r="C125103"/>
      <c r="E125103"/>
      <c r="F125103"/>
    </row>
    <row r="125104" spans="1:6" x14ac:dyDescent="0.25">
      <c r="A125104"/>
      <c r="B125104"/>
      <c r="C125104"/>
      <c r="E125104"/>
      <c r="F125104"/>
    </row>
    <row r="125105" spans="1:6" x14ac:dyDescent="0.25">
      <c r="A125105"/>
      <c r="B125105"/>
      <c r="C125105"/>
      <c r="E125105"/>
      <c r="F125105"/>
    </row>
    <row r="125106" spans="1:6" x14ac:dyDescent="0.25">
      <c r="A125106"/>
      <c r="B125106"/>
      <c r="C125106"/>
      <c r="E125106"/>
      <c r="F125106"/>
    </row>
    <row r="125107" spans="1:6" x14ac:dyDescent="0.25">
      <c r="A125107"/>
      <c r="B125107"/>
      <c r="C125107"/>
      <c r="E125107"/>
      <c r="F125107"/>
    </row>
    <row r="125108" spans="1:6" x14ac:dyDescent="0.25">
      <c r="A125108"/>
      <c r="B125108"/>
      <c r="C125108"/>
      <c r="E125108"/>
      <c r="F125108"/>
    </row>
    <row r="125109" spans="1:6" x14ac:dyDescent="0.25">
      <c r="A125109"/>
      <c r="B125109"/>
      <c r="C125109"/>
      <c r="E125109"/>
      <c r="F125109"/>
    </row>
    <row r="125110" spans="1:6" x14ac:dyDescent="0.25">
      <c r="A125110"/>
      <c r="B125110"/>
      <c r="C125110"/>
      <c r="E125110"/>
      <c r="F125110"/>
    </row>
    <row r="125111" spans="1:6" x14ac:dyDescent="0.25">
      <c r="A125111"/>
      <c r="B125111"/>
      <c r="C125111"/>
      <c r="E125111"/>
      <c r="F125111"/>
    </row>
    <row r="125112" spans="1:6" x14ac:dyDescent="0.25">
      <c r="A125112"/>
      <c r="B125112"/>
      <c r="C125112"/>
      <c r="E125112"/>
      <c r="F125112"/>
    </row>
    <row r="125113" spans="1:6" x14ac:dyDescent="0.25">
      <c r="A125113"/>
      <c r="B125113"/>
      <c r="C125113"/>
      <c r="E125113"/>
      <c r="F125113"/>
    </row>
    <row r="125114" spans="1:6" x14ac:dyDescent="0.25">
      <c r="A125114"/>
      <c r="B125114"/>
      <c r="C125114"/>
      <c r="E125114"/>
      <c r="F125114"/>
    </row>
    <row r="125115" spans="1:6" x14ac:dyDescent="0.25">
      <c r="A125115"/>
      <c r="B125115"/>
      <c r="C125115"/>
      <c r="E125115"/>
      <c r="F125115"/>
    </row>
    <row r="125116" spans="1:6" x14ac:dyDescent="0.25">
      <c r="A125116"/>
      <c r="B125116"/>
      <c r="C125116"/>
      <c r="E125116"/>
      <c r="F125116"/>
    </row>
    <row r="125117" spans="1:6" x14ac:dyDescent="0.25">
      <c r="A125117"/>
      <c r="B125117"/>
      <c r="C125117"/>
      <c r="E125117"/>
      <c r="F125117"/>
    </row>
    <row r="125118" spans="1:6" x14ac:dyDescent="0.25">
      <c r="A125118"/>
      <c r="B125118"/>
      <c r="C125118"/>
      <c r="E125118"/>
      <c r="F125118"/>
    </row>
    <row r="125119" spans="1:6" x14ac:dyDescent="0.25">
      <c r="A125119"/>
      <c r="B125119"/>
      <c r="C125119"/>
      <c r="E125119"/>
      <c r="F125119"/>
    </row>
    <row r="125120" spans="1:6" x14ac:dyDescent="0.25">
      <c r="A125120"/>
      <c r="B125120"/>
      <c r="C125120"/>
      <c r="E125120"/>
      <c r="F125120"/>
    </row>
    <row r="125121" spans="1:6" x14ac:dyDescent="0.25">
      <c r="A125121"/>
      <c r="B125121"/>
      <c r="C125121"/>
      <c r="E125121"/>
      <c r="F125121"/>
    </row>
    <row r="125122" spans="1:6" x14ac:dyDescent="0.25">
      <c r="A125122"/>
      <c r="B125122"/>
      <c r="C125122"/>
      <c r="E125122"/>
      <c r="F125122"/>
    </row>
    <row r="125123" spans="1:6" x14ac:dyDescent="0.25">
      <c r="A125123"/>
      <c r="B125123"/>
      <c r="C125123"/>
      <c r="E125123"/>
      <c r="F125123"/>
    </row>
    <row r="125124" spans="1:6" x14ac:dyDescent="0.25">
      <c r="A125124"/>
      <c r="B125124"/>
      <c r="C125124"/>
      <c r="E125124"/>
      <c r="F125124"/>
    </row>
    <row r="125125" spans="1:6" x14ac:dyDescent="0.25">
      <c r="A125125"/>
      <c r="B125125"/>
      <c r="C125125"/>
      <c r="E125125"/>
      <c r="F125125"/>
    </row>
    <row r="125126" spans="1:6" x14ac:dyDescent="0.25">
      <c r="A125126"/>
      <c r="B125126"/>
      <c r="C125126"/>
      <c r="E125126"/>
      <c r="F125126"/>
    </row>
    <row r="125127" spans="1:6" x14ac:dyDescent="0.25">
      <c r="A125127"/>
      <c r="B125127"/>
      <c r="C125127"/>
      <c r="E125127"/>
      <c r="F125127"/>
    </row>
    <row r="125128" spans="1:6" x14ac:dyDescent="0.25">
      <c r="A125128"/>
      <c r="B125128"/>
      <c r="C125128"/>
      <c r="E125128"/>
      <c r="F125128"/>
    </row>
    <row r="125129" spans="1:6" x14ac:dyDescent="0.25">
      <c r="A125129"/>
      <c r="B125129"/>
      <c r="C125129"/>
      <c r="E125129"/>
      <c r="F125129"/>
    </row>
    <row r="125130" spans="1:6" x14ac:dyDescent="0.25">
      <c r="A125130"/>
      <c r="B125130"/>
      <c r="C125130"/>
      <c r="E125130"/>
      <c r="F125130"/>
    </row>
    <row r="125131" spans="1:6" x14ac:dyDescent="0.25">
      <c r="A125131"/>
      <c r="B125131"/>
      <c r="C125131"/>
      <c r="E125131"/>
      <c r="F125131"/>
    </row>
    <row r="125132" spans="1:6" x14ac:dyDescent="0.25">
      <c r="A125132"/>
      <c r="B125132"/>
      <c r="C125132"/>
      <c r="E125132"/>
      <c r="F125132"/>
    </row>
    <row r="125133" spans="1:6" x14ac:dyDescent="0.25">
      <c r="A125133"/>
      <c r="B125133"/>
      <c r="C125133"/>
      <c r="E125133"/>
      <c r="F125133"/>
    </row>
    <row r="125134" spans="1:6" x14ac:dyDescent="0.25">
      <c r="A125134"/>
      <c r="B125134"/>
      <c r="C125134"/>
      <c r="E125134"/>
      <c r="F125134"/>
    </row>
    <row r="125135" spans="1:6" x14ac:dyDescent="0.25">
      <c r="A125135"/>
      <c r="B125135"/>
      <c r="C125135"/>
      <c r="E125135"/>
      <c r="F125135"/>
    </row>
    <row r="125136" spans="1:6" x14ac:dyDescent="0.25">
      <c r="A125136"/>
      <c r="B125136"/>
      <c r="C125136"/>
      <c r="E125136"/>
      <c r="F125136"/>
    </row>
    <row r="125137" spans="1:6" x14ac:dyDescent="0.25">
      <c r="A125137"/>
      <c r="B125137"/>
      <c r="C125137"/>
      <c r="E125137"/>
      <c r="F125137"/>
    </row>
    <row r="125138" spans="1:6" x14ac:dyDescent="0.25">
      <c r="A125138"/>
      <c r="B125138"/>
      <c r="C125138"/>
      <c r="E125138"/>
      <c r="F125138"/>
    </row>
    <row r="125139" spans="1:6" x14ac:dyDescent="0.25">
      <c r="A125139"/>
      <c r="B125139"/>
      <c r="C125139"/>
      <c r="E125139"/>
      <c r="F125139"/>
    </row>
    <row r="125140" spans="1:6" x14ac:dyDescent="0.25">
      <c r="A125140"/>
      <c r="B125140"/>
      <c r="C125140"/>
      <c r="E125140"/>
      <c r="F125140"/>
    </row>
    <row r="125141" spans="1:6" x14ac:dyDescent="0.25">
      <c r="A125141"/>
      <c r="B125141"/>
      <c r="C125141"/>
      <c r="E125141"/>
      <c r="F125141"/>
    </row>
    <row r="125142" spans="1:6" x14ac:dyDescent="0.25">
      <c r="A125142"/>
      <c r="B125142"/>
      <c r="C125142"/>
      <c r="E125142"/>
      <c r="F125142"/>
    </row>
    <row r="125143" spans="1:6" x14ac:dyDescent="0.25">
      <c r="A125143"/>
      <c r="B125143"/>
      <c r="C125143"/>
      <c r="E125143"/>
      <c r="F125143"/>
    </row>
    <row r="125144" spans="1:6" x14ac:dyDescent="0.25">
      <c r="A125144"/>
      <c r="B125144"/>
      <c r="C125144"/>
      <c r="E125144"/>
      <c r="F125144"/>
    </row>
    <row r="125145" spans="1:6" x14ac:dyDescent="0.25">
      <c r="A125145"/>
      <c r="B125145"/>
      <c r="C125145"/>
      <c r="E125145"/>
      <c r="F125145"/>
    </row>
    <row r="125146" spans="1:6" x14ac:dyDescent="0.25">
      <c r="A125146"/>
      <c r="B125146"/>
      <c r="C125146"/>
      <c r="E125146"/>
      <c r="F125146"/>
    </row>
    <row r="125147" spans="1:6" x14ac:dyDescent="0.25">
      <c r="A125147"/>
      <c r="B125147"/>
      <c r="C125147"/>
      <c r="E125147"/>
      <c r="F125147"/>
    </row>
    <row r="125148" spans="1:6" x14ac:dyDescent="0.25">
      <c r="A125148"/>
      <c r="B125148"/>
      <c r="C125148"/>
      <c r="E125148"/>
      <c r="F125148"/>
    </row>
    <row r="125149" spans="1:6" x14ac:dyDescent="0.25">
      <c r="A125149"/>
      <c r="B125149"/>
      <c r="C125149"/>
      <c r="E125149"/>
      <c r="F125149"/>
    </row>
    <row r="125150" spans="1:6" x14ac:dyDescent="0.25">
      <c r="A125150"/>
      <c r="B125150"/>
      <c r="C125150"/>
      <c r="E125150"/>
      <c r="F125150"/>
    </row>
    <row r="125151" spans="1:6" x14ac:dyDescent="0.25">
      <c r="A125151"/>
      <c r="B125151"/>
      <c r="C125151"/>
      <c r="E125151"/>
      <c r="F125151"/>
    </row>
    <row r="125152" spans="1:6" x14ac:dyDescent="0.25">
      <c r="A125152"/>
      <c r="B125152"/>
      <c r="C125152"/>
      <c r="E125152"/>
      <c r="F125152"/>
    </row>
    <row r="125153" spans="1:6" x14ac:dyDescent="0.25">
      <c r="A125153"/>
      <c r="B125153"/>
      <c r="C125153"/>
      <c r="E125153"/>
      <c r="F125153"/>
    </row>
    <row r="125154" spans="1:6" x14ac:dyDescent="0.25">
      <c r="A125154"/>
      <c r="B125154"/>
      <c r="C125154"/>
      <c r="E125154"/>
      <c r="F125154"/>
    </row>
    <row r="125155" spans="1:6" x14ac:dyDescent="0.25">
      <c r="A125155"/>
      <c r="B125155"/>
      <c r="C125155"/>
      <c r="E125155"/>
      <c r="F125155"/>
    </row>
    <row r="125156" spans="1:6" x14ac:dyDescent="0.25">
      <c r="A125156"/>
      <c r="B125156"/>
      <c r="C125156"/>
      <c r="E125156"/>
      <c r="F125156"/>
    </row>
    <row r="125157" spans="1:6" x14ac:dyDescent="0.25">
      <c r="A125157"/>
      <c r="B125157"/>
      <c r="C125157"/>
      <c r="E125157"/>
      <c r="F125157"/>
    </row>
    <row r="125158" spans="1:6" x14ac:dyDescent="0.25">
      <c r="A125158"/>
      <c r="B125158"/>
      <c r="C125158"/>
      <c r="E125158"/>
      <c r="F125158"/>
    </row>
    <row r="125159" spans="1:6" x14ac:dyDescent="0.25">
      <c r="A125159"/>
      <c r="B125159"/>
      <c r="C125159"/>
      <c r="E125159"/>
      <c r="F125159"/>
    </row>
    <row r="125160" spans="1:6" x14ac:dyDescent="0.25">
      <c r="A125160"/>
      <c r="B125160"/>
      <c r="C125160"/>
      <c r="E125160"/>
      <c r="F125160"/>
    </row>
    <row r="125161" spans="1:6" x14ac:dyDescent="0.25">
      <c r="A125161"/>
      <c r="B125161"/>
      <c r="C125161"/>
      <c r="E125161"/>
      <c r="F125161"/>
    </row>
    <row r="125162" spans="1:6" x14ac:dyDescent="0.25">
      <c r="A125162"/>
      <c r="B125162"/>
      <c r="C125162"/>
      <c r="E125162"/>
      <c r="F125162"/>
    </row>
    <row r="125163" spans="1:6" x14ac:dyDescent="0.25">
      <c r="A125163"/>
      <c r="B125163"/>
      <c r="C125163"/>
      <c r="E125163"/>
      <c r="F125163"/>
    </row>
    <row r="125164" spans="1:6" x14ac:dyDescent="0.25">
      <c r="A125164"/>
      <c r="B125164"/>
      <c r="C125164"/>
      <c r="E125164"/>
      <c r="F125164"/>
    </row>
    <row r="125165" spans="1:6" x14ac:dyDescent="0.25">
      <c r="A125165"/>
      <c r="B125165"/>
      <c r="C125165"/>
      <c r="E125165"/>
      <c r="F125165"/>
    </row>
    <row r="125166" spans="1:6" x14ac:dyDescent="0.25">
      <c r="A125166"/>
      <c r="B125166"/>
      <c r="C125166"/>
      <c r="E125166"/>
      <c r="F125166"/>
    </row>
    <row r="125167" spans="1:6" x14ac:dyDescent="0.25">
      <c r="A125167"/>
      <c r="B125167"/>
      <c r="C125167"/>
      <c r="E125167"/>
      <c r="F125167"/>
    </row>
    <row r="125168" spans="1:6" x14ac:dyDescent="0.25">
      <c r="A125168"/>
      <c r="B125168"/>
      <c r="C125168"/>
      <c r="E125168"/>
      <c r="F125168"/>
    </row>
    <row r="125169" spans="1:6" x14ac:dyDescent="0.25">
      <c r="A125169"/>
      <c r="B125169"/>
      <c r="C125169"/>
      <c r="E125169"/>
      <c r="F125169"/>
    </row>
    <row r="125170" spans="1:6" x14ac:dyDescent="0.25">
      <c r="A125170"/>
      <c r="B125170"/>
      <c r="C125170"/>
      <c r="E125170"/>
      <c r="F125170"/>
    </row>
    <row r="125171" spans="1:6" x14ac:dyDescent="0.25">
      <c r="A125171"/>
      <c r="B125171"/>
      <c r="C125171"/>
      <c r="E125171"/>
      <c r="F125171"/>
    </row>
    <row r="125172" spans="1:6" x14ac:dyDescent="0.25">
      <c r="A125172"/>
      <c r="B125172"/>
      <c r="C125172"/>
      <c r="E125172"/>
      <c r="F125172"/>
    </row>
    <row r="125173" spans="1:6" x14ac:dyDescent="0.25">
      <c r="A125173"/>
      <c r="B125173"/>
      <c r="C125173"/>
      <c r="E125173"/>
      <c r="F125173"/>
    </row>
    <row r="125174" spans="1:6" x14ac:dyDescent="0.25">
      <c r="A125174"/>
      <c r="B125174"/>
      <c r="C125174"/>
      <c r="E125174"/>
      <c r="F125174"/>
    </row>
    <row r="125175" spans="1:6" x14ac:dyDescent="0.25">
      <c r="A125175"/>
      <c r="B125175"/>
      <c r="C125175"/>
      <c r="E125175"/>
      <c r="F125175"/>
    </row>
    <row r="125176" spans="1:6" x14ac:dyDescent="0.25">
      <c r="A125176"/>
      <c r="B125176"/>
      <c r="C125176"/>
      <c r="E125176"/>
      <c r="F125176"/>
    </row>
    <row r="125177" spans="1:6" x14ac:dyDescent="0.25">
      <c r="A125177"/>
      <c r="B125177"/>
      <c r="C125177"/>
      <c r="E125177"/>
      <c r="F125177"/>
    </row>
    <row r="125178" spans="1:6" x14ac:dyDescent="0.25">
      <c r="A125178"/>
      <c r="B125178"/>
      <c r="C125178"/>
      <c r="E125178"/>
      <c r="F125178"/>
    </row>
    <row r="125179" spans="1:6" x14ac:dyDescent="0.25">
      <c r="A125179"/>
      <c r="B125179"/>
      <c r="C125179"/>
      <c r="E125179"/>
      <c r="F125179"/>
    </row>
    <row r="125180" spans="1:6" x14ac:dyDescent="0.25">
      <c r="A125180"/>
      <c r="B125180"/>
      <c r="C125180"/>
      <c r="E125180"/>
      <c r="F125180"/>
    </row>
    <row r="125181" spans="1:6" x14ac:dyDescent="0.25">
      <c r="A125181"/>
      <c r="B125181"/>
      <c r="C125181"/>
      <c r="E125181"/>
      <c r="F125181"/>
    </row>
    <row r="125182" spans="1:6" x14ac:dyDescent="0.25">
      <c r="A125182"/>
      <c r="B125182"/>
      <c r="C125182"/>
      <c r="E125182"/>
      <c r="F125182"/>
    </row>
    <row r="125183" spans="1:6" x14ac:dyDescent="0.25">
      <c r="A125183"/>
      <c r="B125183"/>
      <c r="C125183"/>
      <c r="E125183"/>
      <c r="F125183"/>
    </row>
    <row r="125184" spans="1:6" x14ac:dyDescent="0.25">
      <c r="A125184"/>
      <c r="B125184"/>
      <c r="C125184"/>
      <c r="E125184"/>
      <c r="F125184"/>
    </row>
    <row r="125185" spans="1:6" x14ac:dyDescent="0.25">
      <c r="A125185"/>
      <c r="B125185"/>
      <c r="C125185"/>
      <c r="E125185"/>
      <c r="F125185"/>
    </row>
    <row r="125186" spans="1:6" x14ac:dyDescent="0.25">
      <c r="A125186"/>
      <c r="B125186"/>
      <c r="C125186"/>
      <c r="E125186"/>
      <c r="F125186"/>
    </row>
    <row r="125187" spans="1:6" x14ac:dyDescent="0.25">
      <c r="A125187"/>
      <c r="B125187"/>
      <c r="C125187"/>
      <c r="E125187"/>
      <c r="F125187"/>
    </row>
    <row r="125188" spans="1:6" x14ac:dyDescent="0.25">
      <c r="A125188"/>
      <c r="B125188"/>
      <c r="C125188"/>
      <c r="E125188"/>
      <c r="F125188"/>
    </row>
    <row r="125189" spans="1:6" x14ac:dyDescent="0.25">
      <c r="A125189"/>
      <c r="B125189"/>
      <c r="C125189"/>
      <c r="E125189"/>
      <c r="F125189"/>
    </row>
    <row r="125190" spans="1:6" x14ac:dyDescent="0.25">
      <c r="A125190"/>
      <c r="B125190"/>
      <c r="C125190"/>
      <c r="E125190"/>
      <c r="F125190"/>
    </row>
    <row r="125191" spans="1:6" x14ac:dyDescent="0.25">
      <c r="A125191"/>
      <c r="B125191"/>
      <c r="C125191"/>
      <c r="E125191"/>
      <c r="F125191"/>
    </row>
    <row r="125192" spans="1:6" x14ac:dyDescent="0.25">
      <c r="A125192"/>
      <c r="B125192"/>
      <c r="C125192"/>
      <c r="E125192"/>
      <c r="F125192"/>
    </row>
    <row r="125193" spans="1:6" x14ac:dyDescent="0.25">
      <c r="A125193"/>
      <c r="B125193"/>
      <c r="C125193"/>
      <c r="E125193"/>
      <c r="F125193"/>
    </row>
    <row r="125194" spans="1:6" x14ac:dyDescent="0.25">
      <c r="A125194"/>
      <c r="B125194"/>
      <c r="C125194"/>
      <c r="E125194"/>
      <c r="F125194"/>
    </row>
    <row r="125195" spans="1:6" x14ac:dyDescent="0.25">
      <c r="A125195"/>
      <c r="B125195"/>
      <c r="C125195"/>
      <c r="E125195"/>
      <c r="F125195"/>
    </row>
    <row r="125196" spans="1:6" x14ac:dyDescent="0.25">
      <c r="A125196"/>
      <c r="B125196"/>
      <c r="C125196"/>
      <c r="E125196"/>
      <c r="F125196"/>
    </row>
    <row r="125197" spans="1:6" x14ac:dyDescent="0.25">
      <c r="A125197"/>
      <c r="B125197"/>
      <c r="C125197"/>
      <c r="E125197"/>
      <c r="F125197"/>
    </row>
    <row r="125198" spans="1:6" x14ac:dyDescent="0.25">
      <c r="A125198"/>
      <c r="B125198"/>
      <c r="C125198"/>
      <c r="E125198"/>
      <c r="F125198"/>
    </row>
    <row r="125199" spans="1:6" x14ac:dyDescent="0.25">
      <c r="A125199"/>
      <c r="B125199"/>
      <c r="C125199"/>
      <c r="E125199"/>
      <c r="F125199"/>
    </row>
    <row r="125200" spans="1:6" x14ac:dyDescent="0.25">
      <c r="A125200"/>
      <c r="B125200"/>
      <c r="C125200"/>
      <c r="E125200"/>
      <c r="F125200"/>
    </row>
    <row r="125201" spans="1:6" x14ac:dyDescent="0.25">
      <c r="A125201"/>
      <c r="B125201"/>
      <c r="C125201"/>
      <c r="E125201"/>
      <c r="F125201"/>
    </row>
    <row r="125202" spans="1:6" x14ac:dyDescent="0.25">
      <c r="A125202"/>
      <c r="B125202"/>
      <c r="C125202"/>
      <c r="E125202"/>
      <c r="F125202"/>
    </row>
    <row r="125203" spans="1:6" x14ac:dyDescent="0.25">
      <c r="A125203"/>
      <c r="B125203"/>
      <c r="C125203"/>
      <c r="E125203"/>
      <c r="F125203"/>
    </row>
    <row r="125204" spans="1:6" x14ac:dyDescent="0.25">
      <c r="A125204"/>
      <c r="B125204"/>
      <c r="C125204"/>
      <c r="E125204"/>
      <c r="F125204"/>
    </row>
    <row r="125205" spans="1:6" x14ac:dyDescent="0.25">
      <c r="A125205"/>
      <c r="B125205"/>
      <c r="C125205"/>
      <c r="E125205"/>
      <c r="F125205"/>
    </row>
    <row r="125206" spans="1:6" x14ac:dyDescent="0.25">
      <c r="A125206"/>
      <c r="B125206"/>
      <c r="C125206"/>
      <c r="E125206"/>
      <c r="F125206"/>
    </row>
    <row r="125207" spans="1:6" x14ac:dyDescent="0.25">
      <c r="A125207"/>
      <c r="B125207"/>
      <c r="C125207"/>
      <c r="E125207"/>
      <c r="F125207"/>
    </row>
    <row r="125208" spans="1:6" x14ac:dyDescent="0.25">
      <c r="A125208"/>
      <c r="B125208"/>
      <c r="C125208"/>
      <c r="E125208"/>
      <c r="F125208"/>
    </row>
    <row r="125209" spans="1:6" x14ac:dyDescent="0.25">
      <c r="A125209"/>
      <c r="B125209"/>
      <c r="C125209"/>
      <c r="E125209"/>
      <c r="F125209"/>
    </row>
    <row r="125210" spans="1:6" x14ac:dyDescent="0.25">
      <c r="A125210"/>
      <c r="B125210"/>
      <c r="C125210"/>
      <c r="E125210"/>
      <c r="F125210"/>
    </row>
    <row r="125211" spans="1:6" x14ac:dyDescent="0.25">
      <c r="A125211"/>
      <c r="B125211"/>
      <c r="C125211"/>
      <c r="E125211"/>
      <c r="F125211"/>
    </row>
    <row r="125212" spans="1:6" x14ac:dyDescent="0.25">
      <c r="A125212"/>
      <c r="B125212"/>
      <c r="C125212"/>
      <c r="E125212"/>
      <c r="F125212"/>
    </row>
    <row r="125213" spans="1:6" x14ac:dyDescent="0.25">
      <c r="A125213"/>
      <c r="B125213"/>
      <c r="C125213"/>
      <c r="E125213"/>
      <c r="F125213"/>
    </row>
    <row r="125214" spans="1:6" x14ac:dyDescent="0.25">
      <c r="A125214"/>
      <c r="B125214"/>
      <c r="C125214"/>
      <c r="E125214"/>
      <c r="F125214"/>
    </row>
    <row r="125215" spans="1:6" x14ac:dyDescent="0.25">
      <c r="A125215"/>
      <c r="B125215"/>
      <c r="C125215"/>
      <c r="E125215"/>
      <c r="F125215"/>
    </row>
    <row r="125216" spans="1:6" x14ac:dyDescent="0.25">
      <c r="A125216"/>
      <c r="B125216"/>
      <c r="C125216"/>
      <c r="E125216"/>
      <c r="F125216"/>
    </row>
    <row r="125217" spans="1:6" x14ac:dyDescent="0.25">
      <c r="A125217"/>
      <c r="B125217"/>
      <c r="C125217"/>
      <c r="E125217"/>
      <c r="F125217"/>
    </row>
    <row r="125218" spans="1:6" x14ac:dyDescent="0.25">
      <c r="A125218"/>
      <c r="B125218"/>
      <c r="C125218"/>
      <c r="E125218"/>
      <c r="F125218"/>
    </row>
    <row r="125219" spans="1:6" x14ac:dyDescent="0.25">
      <c r="A125219"/>
      <c r="B125219"/>
      <c r="C125219"/>
      <c r="E125219"/>
      <c r="F125219"/>
    </row>
    <row r="125220" spans="1:6" x14ac:dyDescent="0.25">
      <c r="A125220"/>
      <c r="B125220"/>
      <c r="C125220"/>
      <c r="E125220"/>
      <c r="F125220"/>
    </row>
    <row r="125221" spans="1:6" x14ac:dyDescent="0.25">
      <c r="A125221"/>
      <c r="B125221"/>
      <c r="C125221"/>
      <c r="E125221"/>
      <c r="F125221"/>
    </row>
    <row r="125222" spans="1:6" x14ac:dyDescent="0.25">
      <c r="A125222"/>
      <c r="B125222"/>
      <c r="C125222"/>
      <c r="E125222"/>
      <c r="F125222"/>
    </row>
    <row r="125223" spans="1:6" x14ac:dyDescent="0.25">
      <c r="A125223"/>
      <c r="B125223"/>
      <c r="C125223"/>
      <c r="E125223"/>
      <c r="F125223"/>
    </row>
    <row r="125224" spans="1:6" x14ac:dyDescent="0.25">
      <c r="A125224"/>
      <c r="B125224"/>
      <c r="C125224"/>
      <c r="E125224"/>
      <c r="F125224"/>
    </row>
    <row r="125225" spans="1:6" x14ac:dyDescent="0.25">
      <c r="A125225"/>
      <c r="B125225"/>
      <c r="C125225"/>
      <c r="E125225"/>
      <c r="F125225"/>
    </row>
    <row r="125226" spans="1:6" x14ac:dyDescent="0.25">
      <c r="A125226"/>
      <c r="B125226"/>
      <c r="C125226"/>
      <c r="E125226"/>
      <c r="F125226"/>
    </row>
    <row r="125227" spans="1:6" x14ac:dyDescent="0.25">
      <c r="A125227"/>
      <c r="B125227"/>
      <c r="C125227"/>
      <c r="E125227"/>
      <c r="F125227"/>
    </row>
    <row r="125228" spans="1:6" x14ac:dyDescent="0.25">
      <c r="A125228"/>
      <c r="B125228"/>
      <c r="C125228"/>
      <c r="E125228"/>
      <c r="F125228"/>
    </row>
    <row r="125229" spans="1:6" x14ac:dyDescent="0.25">
      <c r="A125229"/>
      <c r="B125229"/>
      <c r="C125229"/>
      <c r="E125229"/>
      <c r="F125229"/>
    </row>
    <row r="125230" spans="1:6" x14ac:dyDescent="0.25">
      <c r="A125230"/>
      <c r="B125230"/>
      <c r="C125230"/>
      <c r="E125230"/>
      <c r="F125230"/>
    </row>
    <row r="125231" spans="1:6" x14ac:dyDescent="0.25">
      <c r="A125231"/>
      <c r="B125231"/>
      <c r="C125231"/>
      <c r="E125231"/>
      <c r="F125231"/>
    </row>
    <row r="125232" spans="1:6" x14ac:dyDescent="0.25">
      <c r="A125232"/>
      <c r="B125232"/>
      <c r="C125232"/>
      <c r="E125232"/>
      <c r="F125232"/>
    </row>
    <row r="125233" spans="1:6" x14ac:dyDescent="0.25">
      <c r="A125233"/>
      <c r="B125233"/>
      <c r="C125233"/>
      <c r="E125233"/>
      <c r="F125233"/>
    </row>
    <row r="125234" spans="1:6" x14ac:dyDescent="0.25">
      <c r="A125234"/>
      <c r="B125234"/>
      <c r="C125234"/>
      <c r="E125234"/>
      <c r="F125234"/>
    </row>
    <row r="125235" spans="1:6" x14ac:dyDescent="0.25">
      <c r="A125235"/>
      <c r="B125235"/>
      <c r="C125235"/>
      <c r="E125235"/>
      <c r="F125235"/>
    </row>
    <row r="125236" spans="1:6" x14ac:dyDescent="0.25">
      <c r="A125236"/>
      <c r="B125236"/>
      <c r="C125236"/>
      <c r="E125236"/>
      <c r="F125236"/>
    </row>
    <row r="125237" spans="1:6" x14ac:dyDescent="0.25">
      <c r="A125237"/>
      <c r="B125237"/>
      <c r="C125237"/>
      <c r="E125237"/>
      <c r="F125237"/>
    </row>
    <row r="125238" spans="1:6" x14ac:dyDescent="0.25">
      <c r="A125238"/>
      <c r="B125238"/>
      <c r="C125238"/>
      <c r="E125238"/>
      <c r="F125238"/>
    </row>
    <row r="125239" spans="1:6" x14ac:dyDescent="0.25">
      <c r="A125239"/>
      <c r="B125239"/>
      <c r="C125239"/>
      <c r="E125239"/>
      <c r="F125239"/>
    </row>
    <row r="125240" spans="1:6" x14ac:dyDescent="0.25">
      <c r="A125240"/>
      <c r="B125240"/>
      <c r="C125240"/>
      <c r="E125240"/>
      <c r="F125240"/>
    </row>
    <row r="125241" spans="1:6" x14ac:dyDescent="0.25">
      <c r="A125241"/>
      <c r="B125241"/>
      <c r="C125241"/>
      <c r="E125241"/>
      <c r="F125241"/>
    </row>
    <row r="125242" spans="1:6" x14ac:dyDescent="0.25">
      <c r="A125242"/>
      <c r="B125242"/>
      <c r="C125242"/>
      <c r="E125242"/>
      <c r="F125242"/>
    </row>
    <row r="125243" spans="1:6" x14ac:dyDescent="0.25">
      <c r="A125243"/>
      <c r="B125243"/>
      <c r="C125243"/>
      <c r="E125243"/>
      <c r="F125243"/>
    </row>
    <row r="125244" spans="1:6" x14ac:dyDescent="0.25">
      <c r="A125244"/>
      <c r="B125244"/>
      <c r="C125244"/>
      <c r="E125244"/>
      <c r="F125244"/>
    </row>
    <row r="125245" spans="1:6" x14ac:dyDescent="0.25">
      <c r="A125245"/>
      <c r="B125245"/>
      <c r="C125245"/>
      <c r="E125245"/>
      <c r="F125245"/>
    </row>
    <row r="125246" spans="1:6" x14ac:dyDescent="0.25">
      <c r="A125246"/>
      <c r="B125246"/>
      <c r="C125246"/>
      <c r="E125246"/>
      <c r="F125246"/>
    </row>
    <row r="125247" spans="1:6" x14ac:dyDescent="0.25">
      <c r="A125247"/>
      <c r="B125247"/>
      <c r="C125247"/>
      <c r="E125247"/>
      <c r="F125247"/>
    </row>
    <row r="125248" spans="1:6" x14ac:dyDescent="0.25">
      <c r="A125248"/>
      <c r="B125248"/>
      <c r="C125248"/>
      <c r="E125248"/>
      <c r="F125248"/>
    </row>
    <row r="125249" spans="1:6" x14ac:dyDescent="0.25">
      <c r="A125249"/>
      <c r="B125249"/>
      <c r="C125249"/>
      <c r="E125249"/>
      <c r="F125249"/>
    </row>
    <row r="125250" spans="1:6" x14ac:dyDescent="0.25">
      <c r="A125250"/>
      <c r="B125250"/>
      <c r="C125250"/>
      <c r="E125250"/>
      <c r="F125250"/>
    </row>
    <row r="125251" spans="1:6" x14ac:dyDescent="0.25">
      <c r="A125251"/>
      <c r="B125251"/>
      <c r="C125251"/>
      <c r="E125251"/>
      <c r="F125251"/>
    </row>
    <row r="125252" spans="1:6" x14ac:dyDescent="0.25">
      <c r="A125252"/>
      <c r="B125252"/>
      <c r="C125252"/>
      <c r="E125252"/>
      <c r="F125252"/>
    </row>
    <row r="125253" spans="1:6" x14ac:dyDescent="0.25">
      <c r="A125253"/>
      <c r="B125253"/>
      <c r="C125253"/>
      <c r="E125253"/>
      <c r="F125253"/>
    </row>
    <row r="125254" spans="1:6" x14ac:dyDescent="0.25">
      <c r="A125254"/>
      <c r="B125254"/>
      <c r="C125254"/>
      <c r="E125254"/>
      <c r="F125254"/>
    </row>
    <row r="125255" spans="1:6" x14ac:dyDescent="0.25">
      <c r="A125255"/>
      <c r="B125255"/>
      <c r="C125255"/>
      <c r="E125255"/>
      <c r="F125255"/>
    </row>
    <row r="125256" spans="1:6" x14ac:dyDescent="0.25">
      <c r="A125256"/>
      <c r="B125256"/>
      <c r="C125256"/>
      <c r="E125256"/>
      <c r="F125256"/>
    </row>
    <row r="125257" spans="1:6" x14ac:dyDescent="0.25">
      <c r="A125257"/>
      <c r="B125257"/>
      <c r="C125257"/>
      <c r="E125257"/>
      <c r="F125257"/>
    </row>
    <row r="125258" spans="1:6" x14ac:dyDescent="0.25">
      <c r="A125258"/>
      <c r="B125258"/>
      <c r="C125258"/>
      <c r="E125258"/>
      <c r="F125258"/>
    </row>
    <row r="125259" spans="1:6" x14ac:dyDescent="0.25">
      <c r="A125259"/>
      <c r="B125259"/>
      <c r="C125259"/>
      <c r="E125259"/>
      <c r="F125259"/>
    </row>
    <row r="125260" spans="1:6" x14ac:dyDescent="0.25">
      <c r="A125260"/>
      <c r="B125260"/>
      <c r="C125260"/>
      <c r="E125260"/>
      <c r="F125260"/>
    </row>
    <row r="125261" spans="1:6" x14ac:dyDescent="0.25">
      <c r="A125261"/>
      <c r="B125261"/>
      <c r="C125261"/>
      <c r="E125261"/>
      <c r="F125261"/>
    </row>
    <row r="125262" spans="1:6" x14ac:dyDescent="0.25">
      <c r="A125262"/>
      <c r="B125262"/>
      <c r="C125262"/>
      <c r="E125262"/>
      <c r="F125262"/>
    </row>
    <row r="125263" spans="1:6" x14ac:dyDescent="0.25">
      <c r="A125263"/>
      <c r="B125263"/>
      <c r="C125263"/>
      <c r="E125263"/>
      <c r="F125263"/>
    </row>
    <row r="125264" spans="1:6" x14ac:dyDescent="0.25">
      <c r="A125264"/>
      <c r="B125264"/>
      <c r="C125264"/>
      <c r="E125264"/>
      <c r="F125264"/>
    </row>
    <row r="125265" spans="1:6" x14ac:dyDescent="0.25">
      <c r="A125265"/>
      <c r="B125265"/>
      <c r="C125265"/>
      <c r="E125265"/>
      <c r="F125265"/>
    </row>
    <row r="125266" spans="1:6" x14ac:dyDescent="0.25">
      <c r="A125266"/>
      <c r="B125266"/>
      <c r="C125266"/>
      <c r="E125266"/>
      <c r="F125266"/>
    </row>
    <row r="125267" spans="1:6" x14ac:dyDescent="0.25">
      <c r="A125267"/>
      <c r="B125267"/>
      <c r="C125267"/>
      <c r="E125267"/>
      <c r="F125267"/>
    </row>
    <row r="125268" spans="1:6" x14ac:dyDescent="0.25">
      <c r="A125268"/>
      <c r="B125268"/>
      <c r="C125268"/>
      <c r="E125268"/>
      <c r="F125268"/>
    </row>
    <row r="125269" spans="1:6" x14ac:dyDescent="0.25">
      <c r="A125269"/>
      <c r="B125269"/>
      <c r="C125269"/>
      <c r="E125269"/>
      <c r="F125269"/>
    </row>
    <row r="125270" spans="1:6" x14ac:dyDescent="0.25">
      <c r="A125270"/>
      <c r="B125270"/>
      <c r="C125270"/>
      <c r="E125270"/>
      <c r="F125270"/>
    </row>
    <row r="125271" spans="1:6" x14ac:dyDescent="0.25">
      <c r="A125271"/>
      <c r="B125271"/>
      <c r="C125271"/>
      <c r="E125271"/>
      <c r="F125271"/>
    </row>
    <row r="125272" spans="1:6" x14ac:dyDescent="0.25">
      <c r="A125272"/>
      <c r="B125272"/>
      <c r="C125272"/>
      <c r="E125272"/>
      <c r="F125272"/>
    </row>
    <row r="125273" spans="1:6" x14ac:dyDescent="0.25">
      <c r="A125273"/>
      <c r="B125273"/>
      <c r="C125273"/>
      <c r="E125273"/>
      <c r="F125273"/>
    </row>
    <row r="125274" spans="1:6" x14ac:dyDescent="0.25">
      <c r="A125274"/>
      <c r="B125274"/>
      <c r="C125274"/>
      <c r="E125274"/>
      <c r="F125274"/>
    </row>
    <row r="125275" spans="1:6" x14ac:dyDescent="0.25">
      <c r="A125275"/>
      <c r="B125275"/>
      <c r="C125275"/>
      <c r="E125275"/>
      <c r="F125275"/>
    </row>
    <row r="125276" spans="1:6" x14ac:dyDescent="0.25">
      <c r="A125276"/>
      <c r="B125276"/>
      <c r="C125276"/>
      <c r="E125276"/>
      <c r="F125276"/>
    </row>
    <row r="125277" spans="1:6" x14ac:dyDescent="0.25">
      <c r="A125277"/>
      <c r="B125277"/>
      <c r="C125277"/>
      <c r="E125277"/>
      <c r="F125277"/>
    </row>
    <row r="125278" spans="1:6" x14ac:dyDescent="0.25">
      <c r="A125278"/>
      <c r="B125278"/>
      <c r="C125278"/>
      <c r="E125278"/>
      <c r="F125278"/>
    </row>
    <row r="125279" spans="1:6" x14ac:dyDescent="0.25">
      <c r="A125279"/>
      <c r="B125279"/>
      <c r="C125279"/>
      <c r="E125279"/>
      <c r="F125279"/>
    </row>
    <row r="125280" spans="1:6" x14ac:dyDescent="0.25">
      <c r="A125280"/>
      <c r="B125280"/>
      <c r="C125280"/>
      <c r="E125280"/>
      <c r="F125280"/>
    </row>
    <row r="125281" spans="1:6" x14ac:dyDescent="0.25">
      <c r="A125281"/>
      <c r="B125281"/>
      <c r="C125281"/>
      <c r="E125281"/>
      <c r="F125281"/>
    </row>
    <row r="125282" spans="1:6" x14ac:dyDescent="0.25">
      <c r="A125282"/>
      <c r="B125282"/>
      <c r="C125282"/>
      <c r="E125282"/>
      <c r="F125282"/>
    </row>
    <row r="125283" spans="1:6" x14ac:dyDescent="0.25">
      <c r="A125283"/>
      <c r="B125283"/>
      <c r="C125283"/>
      <c r="E125283"/>
      <c r="F125283"/>
    </row>
    <row r="125284" spans="1:6" x14ac:dyDescent="0.25">
      <c r="A125284"/>
      <c r="B125284"/>
      <c r="C125284"/>
      <c r="E125284"/>
      <c r="F125284"/>
    </row>
    <row r="125285" spans="1:6" x14ac:dyDescent="0.25">
      <c r="A125285"/>
      <c r="B125285"/>
      <c r="C125285"/>
      <c r="E125285"/>
      <c r="F125285"/>
    </row>
    <row r="125286" spans="1:6" x14ac:dyDescent="0.25">
      <c r="A125286"/>
      <c r="B125286"/>
      <c r="C125286"/>
      <c r="E125286"/>
      <c r="F125286"/>
    </row>
    <row r="125287" spans="1:6" x14ac:dyDescent="0.25">
      <c r="A125287"/>
      <c r="B125287"/>
      <c r="C125287"/>
      <c r="E125287"/>
      <c r="F125287"/>
    </row>
    <row r="125288" spans="1:6" x14ac:dyDescent="0.25">
      <c r="A125288"/>
      <c r="B125288"/>
      <c r="C125288"/>
      <c r="E125288"/>
      <c r="F125288"/>
    </row>
    <row r="125289" spans="1:6" x14ac:dyDescent="0.25">
      <c r="A125289"/>
      <c r="B125289"/>
      <c r="C125289"/>
      <c r="E125289"/>
      <c r="F125289"/>
    </row>
    <row r="125290" spans="1:6" x14ac:dyDescent="0.25">
      <c r="A125290"/>
      <c r="B125290"/>
      <c r="C125290"/>
      <c r="E125290"/>
      <c r="F125290"/>
    </row>
    <row r="125291" spans="1:6" x14ac:dyDescent="0.25">
      <c r="A125291"/>
      <c r="B125291"/>
      <c r="C125291"/>
      <c r="E125291"/>
      <c r="F125291"/>
    </row>
    <row r="125292" spans="1:6" x14ac:dyDescent="0.25">
      <c r="A125292"/>
      <c r="B125292"/>
      <c r="C125292"/>
      <c r="E125292"/>
      <c r="F125292"/>
    </row>
    <row r="125293" spans="1:6" x14ac:dyDescent="0.25">
      <c r="A125293"/>
      <c r="B125293"/>
      <c r="C125293"/>
      <c r="E125293"/>
      <c r="F125293"/>
    </row>
    <row r="125294" spans="1:6" x14ac:dyDescent="0.25">
      <c r="A125294"/>
      <c r="B125294"/>
      <c r="C125294"/>
      <c r="E125294"/>
      <c r="F125294"/>
    </row>
    <row r="125295" spans="1:6" x14ac:dyDescent="0.25">
      <c r="A125295"/>
      <c r="B125295"/>
      <c r="C125295"/>
      <c r="E125295"/>
      <c r="F125295"/>
    </row>
    <row r="125296" spans="1:6" x14ac:dyDescent="0.25">
      <c r="A125296"/>
      <c r="B125296"/>
      <c r="C125296"/>
      <c r="E125296"/>
      <c r="F125296"/>
    </row>
    <row r="125297" spans="1:6" x14ac:dyDescent="0.25">
      <c r="A125297"/>
      <c r="B125297"/>
      <c r="C125297"/>
      <c r="E125297"/>
      <c r="F125297"/>
    </row>
    <row r="125298" spans="1:6" x14ac:dyDescent="0.25">
      <c r="A125298"/>
      <c r="B125298"/>
      <c r="C125298"/>
      <c r="E125298"/>
      <c r="F125298"/>
    </row>
    <row r="125299" spans="1:6" x14ac:dyDescent="0.25">
      <c r="A125299"/>
      <c r="B125299"/>
      <c r="C125299"/>
      <c r="E125299"/>
      <c r="F125299"/>
    </row>
    <row r="125300" spans="1:6" x14ac:dyDescent="0.25">
      <c r="A125300"/>
      <c r="B125300"/>
      <c r="C125300"/>
      <c r="E125300"/>
      <c r="F125300"/>
    </row>
    <row r="125301" spans="1:6" x14ac:dyDescent="0.25">
      <c r="A125301"/>
      <c r="B125301"/>
      <c r="C125301"/>
      <c r="E125301"/>
      <c r="F125301"/>
    </row>
    <row r="125302" spans="1:6" x14ac:dyDescent="0.25">
      <c r="A125302"/>
      <c r="B125302"/>
      <c r="C125302"/>
      <c r="E125302"/>
      <c r="F125302"/>
    </row>
    <row r="125303" spans="1:6" x14ac:dyDescent="0.25">
      <c r="A125303"/>
      <c r="B125303"/>
      <c r="C125303"/>
      <c r="E125303"/>
      <c r="F125303"/>
    </row>
    <row r="125304" spans="1:6" x14ac:dyDescent="0.25">
      <c r="A125304"/>
      <c r="B125304"/>
      <c r="C125304"/>
      <c r="E125304"/>
      <c r="F125304"/>
    </row>
    <row r="125305" spans="1:6" x14ac:dyDescent="0.25">
      <c r="A125305"/>
      <c r="B125305"/>
      <c r="C125305"/>
      <c r="E125305"/>
      <c r="F125305"/>
    </row>
    <row r="125306" spans="1:6" x14ac:dyDescent="0.25">
      <c r="A125306"/>
      <c r="B125306"/>
      <c r="C125306"/>
      <c r="E125306"/>
      <c r="F125306"/>
    </row>
    <row r="125307" spans="1:6" x14ac:dyDescent="0.25">
      <c r="A125307"/>
      <c r="B125307"/>
      <c r="C125307"/>
      <c r="E125307"/>
      <c r="F125307"/>
    </row>
    <row r="125308" spans="1:6" x14ac:dyDescent="0.25">
      <c r="A125308"/>
      <c r="B125308"/>
      <c r="C125308"/>
      <c r="E125308"/>
      <c r="F125308"/>
    </row>
    <row r="125309" spans="1:6" x14ac:dyDescent="0.25">
      <c r="A125309"/>
      <c r="B125309"/>
      <c r="C125309"/>
      <c r="E125309"/>
      <c r="F125309"/>
    </row>
    <row r="125310" spans="1:6" x14ac:dyDescent="0.25">
      <c r="A125310"/>
      <c r="B125310"/>
      <c r="C125310"/>
      <c r="E125310"/>
      <c r="F125310"/>
    </row>
    <row r="125311" spans="1:6" x14ac:dyDescent="0.25">
      <c r="A125311"/>
      <c r="B125311"/>
      <c r="C125311"/>
      <c r="E125311"/>
      <c r="F125311"/>
    </row>
    <row r="125312" spans="1:6" x14ac:dyDescent="0.25">
      <c r="A125312"/>
      <c r="B125312"/>
      <c r="C125312"/>
      <c r="E125312"/>
      <c r="F125312"/>
    </row>
    <row r="125313" spans="1:6" x14ac:dyDescent="0.25">
      <c r="A125313"/>
      <c r="B125313"/>
      <c r="C125313"/>
      <c r="E125313"/>
      <c r="F125313"/>
    </row>
    <row r="125314" spans="1:6" x14ac:dyDescent="0.25">
      <c r="A125314"/>
      <c r="B125314"/>
      <c r="C125314"/>
      <c r="E125314"/>
      <c r="F125314"/>
    </row>
    <row r="125315" spans="1:6" x14ac:dyDescent="0.25">
      <c r="A125315"/>
      <c r="B125315"/>
      <c r="C125315"/>
      <c r="E125315"/>
      <c r="F125315"/>
    </row>
    <row r="125316" spans="1:6" x14ac:dyDescent="0.25">
      <c r="A125316"/>
      <c r="B125316"/>
      <c r="C125316"/>
      <c r="E125316"/>
      <c r="F125316"/>
    </row>
    <row r="125317" spans="1:6" x14ac:dyDescent="0.25">
      <c r="A125317"/>
      <c r="B125317"/>
      <c r="C125317"/>
      <c r="E125317"/>
      <c r="F125317"/>
    </row>
    <row r="125318" spans="1:6" x14ac:dyDescent="0.25">
      <c r="A125318"/>
      <c r="B125318"/>
      <c r="C125318"/>
      <c r="E125318"/>
      <c r="F125318"/>
    </row>
    <row r="125319" spans="1:6" x14ac:dyDescent="0.25">
      <c r="A125319"/>
      <c r="B125319"/>
      <c r="C125319"/>
      <c r="E125319"/>
      <c r="F125319"/>
    </row>
    <row r="125320" spans="1:6" x14ac:dyDescent="0.25">
      <c r="A125320"/>
      <c r="B125320"/>
      <c r="C125320"/>
      <c r="E125320"/>
      <c r="F125320"/>
    </row>
    <row r="125321" spans="1:6" x14ac:dyDescent="0.25">
      <c r="A125321"/>
      <c r="B125321"/>
      <c r="C125321"/>
      <c r="E125321"/>
      <c r="F125321"/>
    </row>
    <row r="125322" spans="1:6" x14ac:dyDescent="0.25">
      <c r="A125322"/>
      <c r="B125322"/>
      <c r="C125322"/>
      <c r="E125322"/>
      <c r="F125322"/>
    </row>
    <row r="125323" spans="1:6" x14ac:dyDescent="0.25">
      <c r="A125323"/>
      <c r="B125323"/>
      <c r="C125323"/>
      <c r="E125323"/>
      <c r="F125323"/>
    </row>
    <row r="125324" spans="1:6" x14ac:dyDescent="0.25">
      <c r="A125324"/>
      <c r="B125324"/>
      <c r="C125324"/>
      <c r="E125324"/>
      <c r="F125324"/>
    </row>
    <row r="125325" spans="1:6" x14ac:dyDescent="0.25">
      <c r="A125325"/>
      <c r="B125325"/>
      <c r="C125325"/>
      <c r="E125325"/>
      <c r="F125325"/>
    </row>
    <row r="125326" spans="1:6" x14ac:dyDescent="0.25">
      <c r="A125326"/>
      <c r="B125326"/>
      <c r="C125326"/>
      <c r="E125326"/>
      <c r="F125326"/>
    </row>
    <row r="125327" spans="1:6" x14ac:dyDescent="0.25">
      <c r="A125327"/>
      <c r="B125327"/>
      <c r="C125327"/>
      <c r="E125327"/>
      <c r="F125327"/>
    </row>
    <row r="125328" spans="1:6" x14ac:dyDescent="0.25">
      <c r="A125328"/>
      <c r="B125328"/>
      <c r="C125328"/>
      <c r="E125328"/>
      <c r="F125328"/>
    </row>
    <row r="125329" spans="1:6" x14ac:dyDescent="0.25">
      <c r="A125329"/>
      <c r="B125329"/>
      <c r="C125329"/>
      <c r="E125329"/>
      <c r="F125329"/>
    </row>
    <row r="125330" spans="1:6" x14ac:dyDescent="0.25">
      <c r="A125330"/>
      <c r="B125330"/>
      <c r="C125330"/>
      <c r="E125330"/>
      <c r="F125330"/>
    </row>
    <row r="125331" spans="1:6" x14ac:dyDescent="0.25">
      <c r="A125331"/>
      <c r="B125331"/>
      <c r="C125331"/>
      <c r="E125331"/>
      <c r="F125331"/>
    </row>
    <row r="125332" spans="1:6" x14ac:dyDescent="0.25">
      <c r="A125332"/>
      <c r="B125332"/>
      <c r="C125332"/>
      <c r="E125332"/>
      <c r="F125332"/>
    </row>
    <row r="125333" spans="1:6" x14ac:dyDescent="0.25">
      <c r="A125333"/>
      <c r="B125333"/>
      <c r="C125333"/>
      <c r="E125333"/>
      <c r="F125333"/>
    </row>
    <row r="125334" spans="1:6" x14ac:dyDescent="0.25">
      <c r="A125334"/>
      <c r="B125334"/>
      <c r="C125334"/>
      <c r="E125334"/>
      <c r="F125334"/>
    </row>
    <row r="125335" spans="1:6" x14ac:dyDescent="0.25">
      <c r="A125335"/>
      <c r="B125335"/>
      <c r="C125335"/>
      <c r="E125335"/>
      <c r="F125335"/>
    </row>
    <row r="125336" spans="1:6" x14ac:dyDescent="0.25">
      <c r="A125336"/>
      <c r="B125336"/>
      <c r="C125336"/>
      <c r="E125336"/>
      <c r="F125336"/>
    </row>
    <row r="125337" spans="1:6" x14ac:dyDescent="0.25">
      <c r="A125337"/>
      <c r="B125337"/>
      <c r="C125337"/>
      <c r="E125337"/>
      <c r="F125337"/>
    </row>
    <row r="125338" spans="1:6" x14ac:dyDescent="0.25">
      <c r="A125338"/>
      <c r="B125338"/>
      <c r="C125338"/>
      <c r="E125338"/>
      <c r="F125338"/>
    </row>
    <row r="125339" spans="1:6" x14ac:dyDescent="0.25">
      <c r="A125339"/>
      <c r="B125339"/>
      <c r="C125339"/>
      <c r="E125339"/>
      <c r="F125339"/>
    </row>
    <row r="125340" spans="1:6" x14ac:dyDescent="0.25">
      <c r="A125340"/>
      <c r="B125340"/>
      <c r="C125340"/>
      <c r="E125340"/>
      <c r="F125340"/>
    </row>
    <row r="125341" spans="1:6" x14ac:dyDescent="0.25">
      <c r="A125341"/>
      <c r="B125341"/>
      <c r="C125341"/>
      <c r="E125341"/>
      <c r="F125341"/>
    </row>
    <row r="125342" spans="1:6" x14ac:dyDescent="0.25">
      <c r="A125342"/>
      <c r="B125342"/>
      <c r="C125342"/>
      <c r="E125342"/>
      <c r="F125342"/>
    </row>
    <row r="125343" spans="1:6" x14ac:dyDescent="0.25">
      <c r="A125343"/>
      <c r="B125343"/>
      <c r="C125343"/>
      <c r="E125343"/>
      <c r="F125343"/>
    </row>
    <row r="125344" spans="1:6" x14ac:dyDescent="0.25">
      <c r="A125344"/>
      <c r="B125344"/>
      <c r="C125344"/>
      <c r="E125344"/>
      <c r="F125344"/>
    </row>
    <row r="125345" spans="1:6" x14ac:dyDescent="0.25">
      <c r="A125345"/>
      <c r="B125345"/>
      <c r="C125345"/>
      <c r="E125345"/>
      <c r="F125345"/>
    </row>
    <row r="125346" spans="1:6" x14ac:dyDescent="0.25">
      <c r="A125346"/>
      <c r="B125346"/>
      <c r="C125346"/>
      <c r="E125346"/>
      <c r="F125346"/>
    </row>
    <row r="125347" spans="1:6" x14ac:dyDescent="0.25">
      <c r="A125347"/>
      <c r="B125347"/>
      <c r="C125347"/>
      <c r="E125347"/>
      <c r="F125347"/>
    </row>
    <row r="125348" spans="1:6" x14ac:dyDescent="0.25">
      <c r="A125348"/>
      <c r="B125348"/>
      <c r="C125348"/>
      <c r="E125348"/>
      <c r="F125348"/>
    </row>
    <row r="125349" spans="1:6" x14ac:dyDescent="0.25">
      <c r="A125349"/>
      <c r="B125349"/>
      <c r="C125349"/>
      <c r="E125349"/>
      <c r="F125349"/>
    </row>
    <row r="125350" spans="1:6" x14ac:dyDescent="0.25">
      <c r="A125350"/>
      <c r="B125350"/>
      <c r="C125350"/>
      <c r="E125350"/>
      <c r="F125350"/>
    </row>
    <row r="125351" spans="1:6" x14ac:dyDescent="0.25">
      <c r="A125351"/>
      <c r="B125351"/>
      <c r="C125351"/>
      <c r="E125351"/>
      <c r="F125351"/>
    </row>
    <row r="125352" spans="1:6" x14ac:dyDescent="0.25">
      <c r="A125352"/>
      <c r="B125352"/>
      <c r="C125352"/>
      <c r="E125352"/>
      <c r="F125352"/>
    </row>
    <row r="125353" spans="1:6" x14ac:dyDescent="0.25">
      <c r="A125353"/>
      <c r="B125353"/>
      <c r="C125353"/>
      <c r="E125353"/>
      <c r="F125353"/>
    </row>
    <row r="125354" spans="1:6" x14ac:dyDescent="0.25">
      <c r="A125354"/>
      <c r="B125354"/>
      <c r="C125354"/>
      <c r="E125354"/>
      <c r="F125354"/>
    </row>
    <row r="125355" spans="1:6" x14ac:dyDescent="0.25">
      <c r="A125355"/>
      <c r="B125355"/>
      <c r="C125355"/>
      <c r="E125355"/>
      <c r="F125355"/>
    </row>
    <row r="125356" spans="1:6" x14ac:dyDescent="0.25">
      <c r="A125356"/>
      <c r="B125356"/>
      <c r="C125356"/>
      <c r="E125356"/>
      <c r="F125356"/>
    </row>
    <row r="125357" spans="1:6" x14ac:dyDescent="0.25">
      <c r="A125357"/>
      <c r="B125357"/>
      <c r="C125357"/>
      <c r="E125357"/>
      <c r="F125357"/>
    </row>
    <row r="125358" spans="1:6" x14ac:dyDescent="0.25">
      <c r="A125358"/>
      <c r="B125358"/>
      <c r="C125358"/>
      <c r="E125358"/>
      <c r="F125358"/>
    </row>
    <row r="125359" spans="1:6" x14ac:dyDescent="0.25">
      <c r="A125359"/>
      <c r="B125359"/>
      <c r="C125359"/>
      <c r="E125359"/>
      <c r="F125359"/>
    </row>
    <row r="125360" spans="1:6" x14ac:dyDescent="0.25">
      <c r="A125360"/>
      <c r="B125360"/>
      <c r="C125360"/>
      <c r="E125360"/>
      <c r="F125360"/>
    </row>
    <row r="125361" spans="1:6" x14ac:dyDescent="0.25">
      <c r="A125361"/>
      <c r="B125361"/>
      <c r="C125361"/>
      <c r="E125361"/>
      <c r="F125361"/>
    </row>
    <row r="125362" spans="1:6" x14ac:dyDescent="0.25">
      <c r="A125362"/>
      <c r="B125362"/>
      <c r="C125362"/>
      <c r="E125362"/>
      <c r="F125362"/>
    </row>
    <row r="125363" spans="1:6" x14ac:dyDescent="0.25">
      <c r="A125363"/>
      <c r="B125363"/>
      <c r="C125363"/>
      <c r="E125363"/>
      <c r="F125363"/>
    </row>
    <row r="125364" spans="1:6" x14ac:dyDescent="0.25">
      <c r="A125364"/>
      <c r="B125364"/>
      <c r="C125364"/>
      <c r="E125364"/>
      <c r="F125364"/>
    </row>
    <row r="125365" spans="1:6" x14ac:dyDescent="0.25">
      <c r="A125365"/>
      <c r="B125365"/>
      <c r="C125365"/>
      <c r="E125365"/>
      <c r="F125365"/>
    </row>
    <row r="125366" spans="1:6" x14ac:dyDescent="0.25">
      <c r="A125366"/>
      <c r="B125366"/>
      <c r="C125366"/>
      <c r="E125366"/>
      <c r="F125366"/>
    </row>
    <row r="125367" spans="1:6" x14ac:dyDescent="0.25">
      <c r="A125367"/>
      <c r="B125367"/>
      <c r="C125367"/>
      <c r="E125367"/>
      <c r="F125367"/>
    </row>
    <row r="125368" spans="1:6" x14ac:dyDescent="0.25">
      <c r="A125368"/>
      <c r="B125368"/>
      <c r="C125368"/>
      <c r="E125368"/>
      <c r="F125368"/>
    </row>
    <row r="125369" spans="1:6" x14ac:dyDescent="0.25">
      <c r="A125369"/>
      <c r="B125369"/>
      <c r="C125369"/>
      <c r="E125369"/>
      <c r="F125369"/>
    </row>
    <row r="125370" spans="1:6" x14ac:dyDescent="0.25">
      <c r="A125370"/>
      <c r="B125370"/>
      <c r="C125370"/>
      <c r="E125370"/>
      <c r="F125370"/>
    </row>
    <row r="125371" spans="1:6" x14ac:dyDescent="0.25">
      <c r="A125371"/>
      <c r="B125371"/>
      <c r="C125371"/>
      <c r="E125371"/>
      <c r="F125371"/>
    </row>
    <row r="125372" spans="1:6" x14ac:dyDescent="0.25">
      <c r="A125372"/>
      <c r="B125372"/>
      <c r="C125372"/>
      <c r="E125372"/>
      <c r="F125372"/>
    </row>
    <row r="125373" spans="1:6" x14ac:dyDescent="0.25">
      <c r="A125373"/>
      <c r="B125373"/>
      <c r="C125373"/>
      <c r="E125373"/>
      <c r="F125373"/>
    </row>
    <row r="125374" spans="1:6" x14ac:dyDescent="0.25">
      <c r="A125374"/>
      <c r="B125374"/>
      <c r="C125374"/>
      <c r="E125374"/>
      <c r="F125374"/>
    </row>
    <row r="125375" spans="1:6" x14ac:dyDescent="0.25">
      <c r="A125375"/>
      <c r="B125375"/>
      <c r="C125375"/>
      <c r="E125375"/>
      <c r="F125375"/>
    </row>
    <row r="125376" spans="1:6" x14ac:dyDescent="0.25">
      <c r="A125376"/>
      <c r="B125376"/>
      <c r="C125376"/>
      <c r="E125376"/>
      <c r="F125376"/>
    </row>
    <row r="125377" spans="1:6" x14ac:dyDescent="0.25">
      <c r="A125377"/>
      <c r="B125377"/>
      <c r="C125377"/>
      <c r="E125377"/>
      <c r="F125377"/>
    </row>
    <row r="125378" spans="1:6" x14ac:dyDescent="0.25">
      <c r="A125378"/>
      <c r="B125378"/>
      <c r="C125378"/>
      <c r="E125378"/>
      <c r="F125378"/>
    </row>
    <row r="125379" spans="1:6" x14ac:dyDescent="0.25">
      <c r="A125379"/>
      <c r="B125379"/>
      <c r="C125379"/>
      <c r="E125379"/>
      <c r="F125379"/>
    </row>
    <row r="125380" spans="1:6" x14ac:dyDescent="0.25">
      <c r="A125380"/>
      <c r="B125380"/>
      <c r="C125380"/>
      <c r="E125380"/>
      <c r="F125380"/>
    </row>
    <row r="125381" spans="1:6" x14ac:dyDescent="0.25">
      <c r="A125381"/>
      <c r="B125381"/>
      <c r="C125381"/>
      <c r="E125381"/>
      <c r="F125381"/>
    </row>
    <row r="125382" spans="1:6" x14ac:dyDescent="0.25">
      <c r="A125382"/>
      <c r="B125382"/>
      <c r="C125382"/>
      <c r="E125382"/>
      <c r="F125382"/>
    </row>
    <row r="125383" spans="1:6" x14ac:dyDescent="0.25">
      <c r="A125383"/>
      <c r="B125383"/>
      <c r="C125383"/>
      <c r="E125383"/>
      <c r="F125383"/>
    </row>
    <row r="125384" spans="1:6" x14ac:dyDescent="0.25">
      <c r="A125384"/>
      <c r="B125384"/>
      <c r="C125384"/>
      <c r="E125384"/>
      <c r="F125384"/>
    </row>
    <row r="125385" spans="1:6" x14ac:dyDescent="0.25">
      <c r="A125385"/>
      <c r="B125385"/>
      <c r="C125385"/>
      <c r="E125385"/>
      <c r="F125385"/>
    </row>
    <row r="125386" spans="1:6" x14ac:dyDescent="0.25">
      <c r="A125386"/>
      <c r="B125386"/>
      <c r="C125386"/>
      <c r="E125386"/>
      <c r="F125386"/>
    </row>
    <row r="125387" spans="1:6" x14ac:dyDescent="0.25">
      <c r="A125387"/>
      <c r="B125387"/>
      <c r="C125387"/>
      <c r="E125387"/>
      <c r="F125387"/>
    </row>
    <row r="125388" spans="1:6" x14ac:dyDescent="0.25">
      <c r="A125388"/>
      <c r="B125388"/>
      <c r="C125388"/>
      <c r="E125388"/>
      <c r="F125388"/>
    </row>
    <row r="125389" spans="1:6" x14ac:dyDescent="0.25">
      <c r="A125389"/>
      <c r="B125389"/>
      <c r="C125389"/>
      <c r="E125389"/>
      <c r="F125389"/>
    </row>
    <row r="125390" spans="1:6" x14ac:dyDescent="0.25">
      <c r="A125390"/>
      <c r="B125390"/>
      <c r="C125390"/>
      <c r="E125390"/>
      <c r="F125390"/>
    </row>
    <row r="125391" spans="1:6" x14ac:dyDescent="0.25">
      <c r="A125391"/>
      <c r="B125391"/>
      <c r="C125391"/>
      <c r="E125391"/>
      <c r="F125391"/>
    </row>
    <row r="125392" spans="1:6" x14ac:dyDescent="0.25">
      <c r="A125392"/>
      <c r="B125392"/>
      <c r="C125392"/>
      <c r="E125392"/>
      <c r="F125392"/>
    </row>
    <row r="125393" spans="1:6" x14ac:dyDescent="0.25">
      <c r="A125393"/>
      <c r="B125393"/>
      <c r="C125393"/>
      <c r="E125393"/>
      <c r="F125393"/>
    </row>
    <row r="125394" spans="1:6" x14ac:dyDescent="0.25">
      <c r="A125394"/>
      <c r="B125394"/>
      <c r="C125394"/>
      <c r="E125394"/>
      <c r="F125394"/>
    </row>
    <row r="125395" spans="1:6" x14ac:dyDescent="0.25">
      <c r="A125395"/>
      <c r="B125395"/>
      <c r="C125395"/>
      <c r="E125395"/>
      <c r="F125395"/>
    </row>
    <row r="125396" spans="1:6" x14ac:dyDescent="0.25">
      <c r="A125396"/>
      <c r="B125396"/>
      <c r="C125396"/>
      <c r="E125396"/>
      <c r="F125396"/>
    </row>
    <row r="125397" spans="1:6" x14ac:dyDescent="0.25">
      <c r="A125397"/>
      <c r="B125397"/>
      <c r="C125397"/>
      <c r="E125397"/>
      <c r="F125397"/>
    </row>
    <row r="125398" spans="1:6" x14ac:dyDescent="0.25">
      <c r="A125398"/>
      <c r="B125398"/>
      <c r="C125398"/>
      <c r="E125398"/>
      <c r="F125398"/>
    </row>
    <row r="125399" spans="1:6" x14ac:dyDescent="0.25">
      <c r="A125399"/>
      <c r="B125399"/>
      <c r="C125399"/>
      <c r="E125399"/>
      <c r="F125399"/>
    </row>
    <row r="125400" spans="1:6" x14ac:dyDescent="0.25">
      <c r="A125400"/>
      <c r="B125400"/>
      <c r="C125400"/>
      <c r="E125400"/>
      <c r="F125400"/>
    </row>
    <row r="125401" spans="1:6" x14ac:dyDescent="0.25">
      <c r="A125401"/>
      <c r="B125401"/>
      <c r="C125401"/>
      <c r="E125401"/>
      <c r="F125401"/>
    </row>
    <row r="125402" spans="1:6" x14ac:dyDescent="0.25">
      <c r="A125402"/>
      <c r="B125402"/>
      <c r="C125402"/>
      <c r="E125402"/>
      <c r="F125402"/>
    </row>
    <row r="125403" spans="1:6" x14ac:dyDescent="0.25">
      <c r="A125403"/>
      <c r="B125403"/>
      <c r="C125403"/>
      <c r="E125403"/>
      <c r="F125403"/>
    </row>
    <row r="125404" spans="1:6" x14ac:dyDescent="0.25">
      <c r="A125404"/>
      <c r="B125404"/>
      <c r="C125404"/>
      <c r="E125404"/>
      <c r="F125404"/>
    </row>
    <row r="125405" spans="1:6" x14ac:dyDescent="0.25">
      <c r="A125405"/>
      <c r="B125405"/>
      <c r="C125405"/>
      <c r="E125405"/>
      <c r="F125405"/>
    </row>
    <row r="125406" spans="1:6" x14ac:dyDescent="0.25">
      <c r="A125406"/>
      <c r="B125406"/>
      <c r="C125406"/>
      <c r="E125406"/>
      <c r="F125406"/>
    </row>
    <row r="125407" spans="1:6" x14ac:dyDescent="0.25">
      <c r="A125407"/>
      <c r="B125407"/>
      <c r="C125407"/>
      <c r="E125407"/>
      <c r="F125407"/>
    </row>
    <row r="125408" spans="1:6" x14ac:dyDescent="0.25">
      <c r="A125408"/>
      <c r="B125408"/>
      <c r="C125408"/>
      <c r="E125408"/>
      <c r="F125408"/>
    </row>
    <row r="125409" spans="1:6" x14ac:dyDescent="0.25">
      <c r="A125409"/>
      <c r="B125409"/>
      <c r="C125409"/>
      <c r="E125409"/>
      <c r="F125409"/>
    </row>
    <row r="125410" spans="1:6" x14ac:dyDescent="0.25">
      <c r="A125410"/>
      <c r="B125410"/>
      <c r="C125410"/>
      <c r="E125410"/>
      <c r="F125410"/>
    </row>
    <row r="125411" spans="1:6" x14ac:dyDescent="0.25">
      <c r="A125411"/>
      <c r="B125411"/>
      <c r="C125411"/>
      <c r="E125411"/>
      <c r="F125411"/>
    </row>
    <row r="125412" spans="1:6" x14ac:dyDescent="0.25">
      <c r="A125412"/>
      <c r="B125412"/>
      <c r="C125412"/>
      <c r="E125412"/>
      <c r="F125412"/>
    </row>
    <row r="125413" spans="1:6" x14ac:dyDescent="0.25">
      <c r="A125413"/>
      <c r="B125413"/>
      <c r="C125413"/>
      <c r="E125413"/>
      <c r="F125413"/>
    </row>
    <row r="125414" spans="1:6" x14ac:dyDescent="0.25">
      <c r="A125414"/>
      <c r="B125414"/>
      <c r="C125414"/>
      <c r="E125414"/>
      <c r="F125414"/>
    </row>
    <row r="125415" spans="1:6" x14ac:dyDescent="0.25">
      <c r="A125415"/>
      <c r="B125415"/>
      <c r="C125415"/>
      <c r="E125415"/>
      <c r="F125415"/>
    </row>
    <row r="125416" spans="1:6" x14ac:dyDescent="0.25">
      <c r="A125416"/>
      <c r="B125416"/>
      <c r="C125416"/>
      <c r="E125416"/>
      <c r="F125416"/>
    </row>
    <row r="125417" spans="1:6" x14ac:dyDescent="0.25">
      <c r="A125417"/>
      <c r="B125417"/>
      <c r="C125417"/>
      <c r="E125417"/>
      <c r="F125417"/>
    </row>
    <row r="125418" spans="1:6" x14ac:dyDescent="0.25">
      <c r="A125418"/>
      <c r="B125418"/>
      <c r="C125418"/>
      <c r="E125418"/>
      <c r="F125418"/>
    </row>
    <row r="125419" spans="1:6" x14ac:dyDescent="0.25">
      <c r="A125419"/>
      <c r="B125419"/>
      <c r="C125419"/>
      <c r="E125419"/>
      <c r="F125419"/>
    </row>
    <row r="125420" spans="1:6" x14ac:dyDescent="0.25">
      <c r="A125420"/>
      <c r="B125420"/>
      <c r="C125420"/>
      <c r="E125420"/>
      <c r="F125420"/>
    </row>
    <row r="125421" spans="1:6" x14ac:dyDescent="0.25">
      <c r="A125421"/>
      <c r="B125421"/>
      <c r="C125421"/>
      <c r="E125421"/>
      <c r="F125421"/>
    </row>
    <row r="125422" spans="1:6" x14ac:dyDescent="0.25">
      <c r="A125422"/>
      <c r="B125422"/>
      <c r="C125422"/>
      <c r="E125422"/>
      <c r="F125422"/>
    </row>
    <row r="125423" spans="1:6" x14ac:dyDescent="0.25">
      <c r="A125423"/>
      <c r="B125423"/>
      <c r="C125423"/>
      <c r="E125423"/>
      <c r="F125423"/>
    </row>
    <row r="125424" spans="1:6" x14ac:dyDescent="0.25">
      <c r="A125424"/>
      <c r="B125424"/>
      <c r="C125424"/>
      <c r="E125424"/>
      <c r="F125424"/>
    </row>
    <row r="125425" spans="1:6" x14ac:dyDescent="0.25">
      <c r="A125425"/>
      <c r="B125425"/>
      <c r="C125425"/>
      <c r="E125425"/>
      <c r="F125425"/>
    </row>
    <row r="125426" spans="1:6" x14ac:dyDescent="0.25">
      <c r="A125426"/>
      <c r="B125426"/>
      <c r="C125426"/>
      <c r="E125426"/>
      <c r="F125426"/>
    </row>
    <row r="125427" spans="1:6" x14ac:dyDescent="0.25">
      <c r="A125427"/>
      <c r="B125427"/>
      <c r="C125427"/>
      <c r="E125427"/>
      <c r="F125427"/>
    </row>
    <row r="125428" spans="1:6" x14ac:dyDescent="0.25">
      <c r="A125428"/>
      <c r="B125428"/>
      <c r="C125428"/>
      <c r="E125428"/>
      <c r="F125428"/>
    </row>
    <row r="125429" spans="1:6" x14ac:dyDescent="0.25">
      <c r="A125429"/>
      <c r="B125429"/>
      <c r="C125429"/>
      <c r="E125429"/>
      <c r="F125429"/>
    </row>
    <row r="125430" spans="1:6" x14ac:dyDescent="0.25">
      <c r="A125430"/>
      <c r="B125430"/>
      <c r="C125430"/>
      <c r="E125430"/>
      <c r="F125430"/>
    </row>
    <row r="125431" spans="1:6" x14ac:dyDescent="0.25">
      <c r="A125431"/>
      <c r="B125431"/>
      <c r="C125431"/>
      <c r="E125431"/>
      <c r="F125431"/>
    </row>
    <row r="125432" spans="1:6" x14ac:dyDescent="0.25">
      <c r="A125432"/>
      <c r="B125432"/>
      <c r="C125432"/>
      <c r="E125432"/>
      <c r="F125432"/>
    </row>
    <row r="125433" spans="1:6" x14ac:dyDescent="0.25">
      <c r="A125433"/>
      <c r="B125433"/>
      <c r="C125433"/>
      <c r="E125433"/>
      <c r="F125433"/>
    </row>
    <row r="125434" spans="1:6" x14ac:dyDescent="0.25">
      <c r="A125434"/>
      <c r="B125434"/>
      <c r="C125434"/>
      <c r="E125434"/>
      <c r="F125434"/>
    </row>
    <row r="125435" spans="1:6" x14ac:dyDescent="0.25">
      <c r="A125435"/>
      <c r="B125435"/>
      <c r="C125435"/>
      <c r="E125435"/>
      <c r="F125435"/>
    </row>
    <row r="125436" spans="1:6" x14ac:dyDescent="0.25">
      <c r="A125436"/>
      <c r="B125436"/>
      <c r="C125436"/>
      <c r="E125436"/>
      <c r="F125436"/>
    </row>
    <row r="125437" spans="1:6" x14ac:dyDescent="0.25">
      <c r="A125437"/>
      <c r="B125437"/>
      <c r="C125437"/>
      <c r="E125437"/>
      <c r="F125437"/>
    </row>
    <row r="125438" spans="1:6" x14ac:dyDescent="0.25">
      <c r="A125438"/>
      <c r="B125438"/>
      <c r="C125438"/>
      <c r="E125438"/>
      <c r="F125438"/>
    </row>
    <row r="125439" spans="1:6" x14ac:dyDescent="0.25">
      <c r="A125439"/>
      <c r="B125439"/>
      <c r="C125439"/>
      <c r="E125439"/>
      <c r="F125439"/>
    </row>
    <row r="125440" spans="1:6" x14ac:dyDescent="0.25">
      <c r="A125440"/>
      <c r="B125440"/>
      <c r="C125440"/>
      <c r="E125440"/>
      <c r="F125440"/>
    </row>
    <row r="125441" spans="1:6" x14ac:dyDescent="0.25">
      <c r="A125441"/>
      <c r="B125441"/>
      <c r="C125441"/>
      <c r="E125441"/>
      <c r="F125441"/>
    </row>
    <row r="125442" spans="1:6" x14ac:dyDescent="0.25">
      <c r="A125442"/>
      <c r="B125442"/>
      <c r="C125442"/>
      <c r="E125442"/>
      <c r="F125442"/>
    </row>
    <row r="125443" spans="1:6" x14ac:dyDescent="0.25">
      <c r="A125443"/>
      <c r="B125443"/>
      <c r="C125443"/>
      <c r="E125443"/>
      <c r="F125443"/>
    </row>
    <row r="125444" spans="1:6" x14ac:dyDescent="0.25">
      <c r="A125444"/>
      <c r="B125444"/>
      <c r="C125444"/>
      <c r="E125444"/>
      <c r="F125444"/>
    </row>
    <row r="125445" spans="1:6" x14ac:dyDescent="0.25">
      <c r="A125445"/>
      <c r="B125445"/>
      <c r="C125445"/>
      <c r="E125445"/>
      <c r="F125445"/>
    </row>
    <row r="125446" spans="1:6" x14ac:dyDescent="0.25">
      <c r="A125446"/>
      <c r="B125446"/>
      <c r="C125446"/>
      <c r="E125446"/>
      <c r="F125446"/>
    </row>
    <row r="125447" spans="1:6" x14ac:dyDescent="0.25">
      <c r="A125447"/>
      <c r="B125447"/>
      <c r="C125447"/>
      <c r="E125447"/>
      <c r="F125447"/>
    </row>
    <row r="125448" spans="1:6" x14ac:dyDescent="0.25">
      <c r="A125448"/>
      <c r="B125448"/>
      <c r="C125448"/>
      <c r="E125448"/>
      <c r="F125448"/>
    </row>
    <row r="125449" spans="1:6" x14ac:dyDescent="0.25">
      <c r="A125449"/>
      <c r="B125449"/>
      <c r="C125449"/>
      <c r="E125449"/>
      <c r="F125449"/>
    </row>
    <row r="125450" spans="1:6" x14ac:dyDescent="0.25">
      <c r="A125450"/>
      <c r="B125450"/>
      <c r="C125450"/>
      <c r="E125450"/>
      <c r="F125450"/>
    </row>
    <row r="125451" spans="1:6" x14ac:dyDescent="0.25">
      <c r="A125451"/>
      <c r="B125451"/>
      <c r="C125451"/>
      <c r="E125451"/>
      <c r="F125451"/>
    </row>
    <row r="125452" spans="1:6" x14ac:dyDescent="0.25">
      <c r="A125452"/>
      <c r="B125452"/>
      <c r="C125452"/>
      <c r="E125452"/>
      <c r="F125452"/>
    </row>
    <row r="125453" spans="1:6" x14ac:dyDescent="0.25">
      <c r="A125453"/>
      <c r="B125453"/>
      <c r="C125453"/>
      <c r="E125453"/>
      <c r="F125453"/>
    </row>
    <row r="125454" spans="1:6" x14ac:dyDescent="0.25">
      <c r="A125454"/>
      <c r="B125454"/>
      <c r="C125454"/>
      <c r="E125454"/>
      <c r="F125454"/>
    </row>
    <row r="125455" spans="1:6" x14ac:dyDescent="0.25">
      <c r="A125455"/>
      <c r="B125455"/>
      <c r="C125455"/>
      <c r="E125455"/>
      <c r="F125455"/>
    </row>
    <row r="125456" spans="1:6" x14ac:dyDescent="0.25">
      <c r="A125456"/>
      <c r="B125456"/>
      <c r="C125456"/>
      <c r="E125456"/>
      <c r="F125456"/>
    </row>
    <row r="125457" spans="1:6" x14ac:dyDescent="0.25">
      <c r="A125457"/>
      <c r="B125457"/>
      <c r="C125457"/>
      <c r="E125457"/>
      <c r="F125457"/>
    </row>
    <row r="125458" spans="1:6" x14ac:dyDescent="0.25">
      <c r="A125458"/>
      <c r="B125458"/>
      <c r="C125458"/>
      <c r="E125458"/>
      <c r="F125458"/>
    </row>
    <row r="125459" spans="1:6" x14ac:dyDescent="0.25">
      <c r="A125459"/>
      <c r="B125459"/>
      <c r="C125459"/>
      <c r="E125459"/>
      <c r="F125459"/>
    </row>
    <row r="125460" spans="1:6" x14ac:dyDescent="0.25">
      <c r="A125460"/>
      <c r="B125460"/>
      <c r="C125460"/>
      <c r="E125460"/>
      <c r="F125460"/>
    </row>
    <row r="125461" spans="1:6" x14ac:dyDescent="0.25">
      <c r="A125461"/>
      <c r="B125461"/>
      <c r="C125461"/>
      <c r="E125461"/>
      <c r="F125461"/>
    </row>
    <row r="125462" spans="1:6" x14ac:dyDescent="0.25">
      <c r="A125462"/>
      <c r="B125462"/>
      <c r="C125462"/>
      <c r="E125462"/>
      <c r="F125462"/>
    </row>
    <row r="125463" spans="1:6" x14ac:dyDescent="0.25">
      <c r="A125463"/>
      <c r="B125463"/>
      <c r="C125463"/>
      <c r="E125463"/>
      <c r="F125463"/>
    </row>
    <row r="125464" spans="1:6" x14ac:dyDescent="0.25">
      <c r="A125464"/>
      <c r="B125464"/>
      <c r="C125464"/>
      <c r="E125464"/>
      <c r="F125464"/>
    </row>
    <row r="125465" spans="1:6" x14ac:dyDescent="0.25">
      <c r="A125465"/>
      <c r="B125465"/>
      <c r="C125465"/>
      <c r="E125465"/>
      <c r="F125465"/>
    </row>
    <row r="125466" spans="1:6" x14ac:dyDescent="0.25">
      <c r="A125466"/>
      <c r="B125466"/>
      <c r="C125466"/>
      <c r="E125466"/>
      <c r="F125466"/>
    </row>
    <row r="125467" spans="1:6" x14ac:dyDescent="0.25">
      <c r="A125467"/>
      <c r="B125467"/>
      <c r="C125467"/>
      <c r="E125467"/>
      <c r="F125467"/>
    </row>
    <row r="125468" spans="1:6" x14ac:dyDescent="0.25">
      <c r="A125468"/>
      <c r="B125468"/>
      <c r="C125468"/>
      <c r="E125468"/>
      <c r="F125468"/>
    </row>
    <row r="125469" spans="1:6" x14ac:dyDescent="0.25">
      <c r="A125469"/>
      <c r="B125469"/>
      <c r="C125469"/>
      <c r="E125469"/>
      <c r="F125469"/>
    </row>
    <row r="125470" spans="1:6" x14ac:dyDescent="0.25">
      <c r="A125470"/>
      <c r="B125470"/>
      <c r="C125470"/>
      <c r="E125470"/>
      <c r="F125470"/>
    </row>
    <row r="125471" spans="1:6" x14ac:dyDescent="0.25">
      <c r="A125471"/>
      <c r="B125471"/>
      <c r="C125471"/>
      <c r="E125471"/>
      <c r="F125471"/>
    </row>
    <row r="125472" spans="1:6" x14ac:dyDescent="0.25">
      <c r="A125472"/>
      <c r="B125472"/>
      <c r="C125472"/>
      <c r="E125472"/>
      <c r="F125472"/>
    </row>
    <row r="125473" spans="1:6" x14ac:dyDescent="0.25">
      <c r="A125473"/>
      <c r="B125473"/>
      <c r="C125473"/>
      <c r="E125473"/>
      <c r="F125473"/>
    </row>
    <row r="125474" spans="1:6" x14ac:dyDescent="0.25">
      <c r="A125474"/>
      <c r="B125474"/>
      <c r="C125474"/>
      <c r="E125474"/>
      <c r="F125474"/>
    </row>
    <row r="125475" spans="1:6" x14ac:dyDescent="0.25">
      <c r="A125475"/>
      <c r="B125475"/>
      <c r="C125475"/>
      <c r="E125475"/>
      <c r="F125475"/>
    </row>
    <row r="125476" spans="1:6" x14ac:dyDescent="0.25">
      <c r="A125476"/>
      <c r="B125476"/>
      <c r="C125476"/>
      <c r="E125476"/>
      <c r="F125476"/>
    </row>
    <row r="125477" spans="1:6" x14ac:dyDescent="0.25">
      <c r="A125477"/>
      <c r="B125477"/>
      <c r="C125477"/>
      <c r="E125477"/>
      <c r="F125477"/>
    </row>
    <row r="125478" spans="1:6" x14ac:dyDescent="0.25">
      <c r="A125478"/>
      <c r="B125478"/>
      <c r="C125478"/>
      <c r="E125478"/>
      <c r="F125478"/>
    </row>
    <row r="125479" spans="1:6" x14ac:dyDescent="0.25">
      <c r="A125479"/>
      <c r="B125479"/>
      <c r="C125479"/>
      <c r="E125479"/>
      <c r="F125479"/>
    </row>
    <row r="125480" spans="1:6" x14ac:dyDescent="0.25">
      <c r="A125480"/>
      <c r="B125480"/>
      <c r="C125480"/>
      <c r="E125480"/>
      <c r="F125480"/>
    </row>
    <row r="125481" spans="1:6" x14ac:dyDescent="0.25">
      <c r="A125481"/>
      <c r="B125481"/>
      <c r="C125481"/>
      <c r="E125481"/>
      <c r="F125481"/>
    </row>
    <row r="125482" spans="1:6" x14ac:dyDescent="0.25">
      <c r="A125482"/>
      <c r="B125482"/>
      <c r="C125482"/>
      <c r="E125482"/>
      <c r="F125482"/>
    </row>
    <row r="125483" spans="1:6" x14ac:dyDescent="0.25">
      <c r="A125483"/>
      <c r="B125483"/>
      <c r="C125483"/>
      <c r="E125483"/>
      <c r="F125483"/>
    </row>
    <row r="125484" spans="1:6" x14ac:dyDescent="0.25">
      <c r="A125484"/>
      <c r="B125484"/>
      <c r="C125484"/>
      <c r="E125484"/>
      <c r="F125484"/>
    </row>
    <row r="125485" spans="1:6" x14ac:dyDescent="0.25">
      <c r="A125485"/>
      <c r="B125485"/>
      <c r="C125485"/>
      <c r="E125485"/>
      <c r="F125485"/>
    </row>
    <row r="125486" spans="1:6" x14ac:dyDescent="0.25">
      <c r="A125486"/>
      <c r="B125486"/>
      <c r="C125486"/>
      <c r="E125486"/>
      <c r="F125486"/>
    </row>
    <row r="125487" spans="1:6" x14ac:dyDescent="0.25">
      <c r="A125487"/>
      <c r="B125487"/>
      <c r="C125487"/>
      <c r="E125487"/>
      <c r="F125487"/>
    </row>
    <row r="125488" spans="1:6" x14ac:dyDescent="0.25">
      <c r="A125488"/>
      <c r="B125488"/>
      <c r="C125488"/>
      <c r="E125488"/>
      <c r="F125488"/>
    </row>
    <row r="125489" spans="1:6" x14ac:dyDescent="0.25">
      <c r="A125489"/>
      <c r="B125489"/>
      <c r="C125489"/>
      <c r="E125489"/>
      <c r="F125489"/>
    </row>
    <row r="125490" spans="1:6" x14ac:dyDescent="0.25">
      <c r="A125490"/>
      <c r="B125490"/>
      <c r="C125490"/>
      <c r="E125490"/>
      <c r="F125490"/>
    </row>
    <row r="125491" spans="1:6" x14ac:dyDescent="0.25">
      <c r="A125491"/>
      <c r="B125491"/>
      <c r="C125491"/>
      <c r="E125491"/>
      <c r="F125491"/>
    </row>
    <row r="125492" spans="1:6" x14ac:dyDescent="0.25">
      <c r="A125492"/>
      <c r="B125492"/>
      <c r="C125492"/>
      <c r="E125492"/>
      <c r="F125492"/>
    </row>
    <row r="125493" spans="1:6" x14ac:dyDescent="0.25">
      <c r="A125493"/>
      <c r="B125493"/>
      <c r="C125493"/>
      <c r="E125493"/>
      <c r="F125493"/>
    </row>
    <row r="125494" spans="1:6" x14ac:dyDescent="0.25">
      <c r="A125494"/>
      <c r="B125494"/>
      <c r="C125494"/>
      <c r="E125494"/>
      <c r="F125494"/>
    </row>
    <row r="125495" spans="1:6" x14ac:dyDescent="0.25">
      <c r="A125495"/>
      <c r="B125495"/>
      <c r="C125495"/>
      <c r="E125495"/>
      <c r="F125495"/>
    </row>
    <row r="125496" spans="1:6" x14ac:dyDescent="0.25">
      <c r="A125496"/>
      <c r="B125496"/>
      <c r="C125496"/>
      <c r="E125496"/>
      <c r="F125496"/>
    </row>
    <row r="125497" spans="1:6" x14ac:dyDescent="0.25">
      <c r="A125497"/>
      <c r="B125497"/>
      <c r="C125497"/>
      <c r="E125497"/>
      <c r="F125497"/>
    </row>
    <row r="125498" spans="1:6" x14ac:dyDescent="0.25">
      <c r="A125498"/>
      <c r="B125498"/>
      <c r="C125498"/>
      <c r="E125498"/>
      <c r="F125498"/>
    </row>
    <row r="125499" spans="1:6" x14ac:dyDescent="0.25">
      <c r="A125499"/>
      <c r="B125499"/>
      <c r="C125499"/>
      <c r="E125499"/>
      <c r="F125499"/>
    </row>
    <row r="125500" spans="1:6" x14ac:dyDescent="0.25">
      <c r="A125500"/>
      <c r="B125500"/>
      <c r="C125500"/>
      <c r="E125500"/>
      <c r="F125500"/>
    </row>
    <row r="125501" spans="1:6" x14ac:dyDescent="0.25">
      <c r="A125501"/>
      <c r="B125501"/>
      <c r="C125501"/>
      <c r="E125501"/>
      <c r="F125501"/>
    </row>
    <row r="125502" spans="1:6" x14ac:dyDescent="0.25">
      <c r="A125502"/>
      <c r="B125502"/>
      <c r="C125502"/>
      <c r="E125502"/>
      <c r="F125502"/>
    </row>
    <row r="125503" spans="1:6" x14ac:dyDescent="0.25">
      <c r="A125503"/>
      <c r="B125503"/>
      <c r="C125503"/>
      <c r="E125503"/>
      <c r="F125503"/>
    </row>
    <row r="125504" spans="1:6" x14ac:dyDescent="0.25">
      <c r="A125504"/>
      <c r="B125504"/>
      <c r="C125504"/>
      <c r="E125504"/>
      <c r="F125504"/>
    </row>
    <row r="125505" spans="1:6" x14ac:dyDescent="0.25">
      <c r="A125505"/>
      <c r="B125505"/>
      <c r="C125505"/>
      <c r="E125505"/>
      <c r="F125505"/>
    </row>
    <row r="125506" spans="1:6" x14ac:dyDescent="0.25">
      <c r="A125506"/>
      <c r="B125506"/>
      <c r="C125506"/>
      <c r="E125506"/>
      <c r="F125506"/>
    </row>
    <row r="125507" spans="1:6" x14ac:dyDescent="0.25">
      <c r="A125507"/>
      <c r="B125507"/>
      <c r="C125507"/>
      <c r="E125507"/>
      <c r="F125507"/>
    </row>
    <row r="125508" spans="1:6" x14ac:dyDescent="0.25">
      <c r="A125508"/>
      <c r="B125508"/>
      <c r="C125508"/>
      <c r="E125508"/>
      <c r="F125508"/>
    </row>
    <row r="125509" spans="1:6" x14ac:dyDescent="0.25">
      <c r="A125509"/>
      <c r="B125509"/>
      <c r="C125509"/>
      <c r="E125509"/>
      <c r="F125509"/>
    </row>
    <row r="125510" spans="1:6" x14ac:dyDescent="0.25">
      <c r="A125510"/>
      <c r="B125510"/>
      <c r="C125510"/>
      <c r="E125510"/>
      <c r="F125510"/>
    </row>
    <row r="125511" spans="1:6" x14ac:dyDescent="0.25">
      <c r="A125511"/>
      <c r="B125511"/>
      <c r="C125511"/>
      <c r="E125511"/>
      <c r="F125511"/>
    </row>
    <row r="125512" spans="1:6" x14ac:dyDescent="0.25">
      <c r="A125512"/>
      <c r="B125512"/>
      <c r="C125512"/>
      <c r="E125512"/>
      <c r="F125512"/>
    </row>
    <row r="125513" spans="1:6" x14ac:dyDescent="0.25">
      <c r="A125513"/>
      <c r="B125513"/>
      <c r="C125513"/>
      <c r="E125513"/>
      <c r="F125513"/>
    </row>
    <row r="125514" spans="1:6" x14ac:dyDescent="0.25">
      <c r="A125514"/>
      <c r="B125514"/>
      <c r="C125514"/>
      <c r="E125514"/>
      <c r="F125514"/>
    </row>
    <row r="125515" spans="1:6" x14ac:dyDescent="0.25">
      <c r="A125515"/>
      <c r="B125515"/>
      <c r="C125515"/>
      <c r="E125515"/>
      <c r="F125515"/>
    </row>
    <row r="125516" spans="1:6" x14ac:dyDescent="0.25">
      <c r="A125516"/>
      <c r="B125516"/>
      <c r="C125516"/>
      <c r="E125516"/>
      <c r="F125516"/>
    </row>
    <row r="125517" spans="1:6" x14ac:dyDescent="0.25">
      <c r="A125517"/>
      <c r="B125517"/>
      <c r="C125517"/>
      <c r="E125517"/>
      <c r="F125517"/>
    </row>
    <row r="125518" spans="1:6" x14ac:dyDescent="0.25">
      <c r="A125518"/>
      <c r="B125518"/>
      <c r="C125518"/>
      <c r="E125518"/>
      <c r="F125518"/>
    </row>
    <row r="125519" spans="1:6" x14ac:dyDescent="0.25">
      <c r="A125519"/>
      <c r="B125519"/>
      <c r="C125519"/>
      <c r="E125519"/>
      <c r="F125519"/>
    </row>
    <row r="125520" spans="1:6" x14ac:dyDescent="0.25">
      <c r="A125520"/>
      <c r="B125520"/>
      <c r="C125520"/>
      <c r="E125520"/>
      <c r="F125520"/>
    </row>
    <row r="125521" spans="1:6" x14ac:dyDescent="0.25">
      <c r="A125521"/>
      <c r="B125521"/>
      <c r="C125521"/>
      <c r="E125521"/>
      <c r="F125521"/>
    </row>
    <row r="125522" spans="1:6" x14ac:dyDescent="0.25">
      <c r="A125522"/>
      <c r="B125522"/>
      <c r="C125522"/>
      <c r="E125522"/>
      <c r="F125522"/>
    </row>
    <row r="125523" spans="1:6" x14ac:dyDescent="0.25">
      <c r="A125523"/>
      <c r="B125523"/>
      <c r="C125523"/>
      <c r="E125523"/>
      <c r="F125523"/>
    </row>
    <row r="125524" spans="1:6" x14ac:dyDescent="0.25">
      <c r="A125524"/>
      <c r="B125524"/>
      <c r="C125524"/>
      <c r="E125524"/>
      <c r="F125524"/>
    </row>
    <row r="125525" spans="1:6" x14ac:dyDescent="0.25">
      <c r="A125525"/>
      <c r="B125525"/>
      <c r="C125525"/>
      <c r="E125525"/>
      <c r="F125525"/>
    </row>
    <row r="125526" spans="1:6" x14ac:dyDescent="0.25">
      <c r="A125526"/>
      <c r="B125526"/>
      <c r="C125526"/>
      <c r="E125526"/>
      <c r="F125526"/>
    </row>
    <row r="125527" spans="1:6" x14ac:dyDescent="0.25">
      <c r="A125527"/>
      <c r="B125527"/>
      <c r="C125527"/>
      <c r="E125527"/>
      <c r="F125527"/>
    </row>
    <row r="125528" spans="1:6" x14ac:dyDescent="0.25">
      <c r="A125528"/>
      <c r="B125528"/>
      <c r="C125528"/>
      <c r="E125528"/>
      <c r="F125528"/>
    </row>
    <row r="125529" spans="1:6" x14ac:dyDescent="0.25">
      <c r="A125529"/>
      <c r="B125529"/>
      <c r="C125529"/>
      <c r="E125529"/>
      <c r="F125529"/>
    </row>
    <row r="125530" spans="1:6" x14ac:dyDescent="0.25">
      <c r="A125530"/>
      <c r="B125530"/>
      <c r="C125530"/>
      <c r="E125530"/>
      <c r="F125530"/>
    </row>
    <row r="125531" spans="1:6" x14ac:dyDescent="0.25">
      <c r="A125531"/>
      <c r="B125531"/>
      <c r="C125531"/>
      <c r="E125531"/>
      <c r="F125531"/>
    </row>
    <row r="125532" spans="1:6" x14ac:dyDescent="0.25">
      <c r="A125532"/>
      <c r="B125532"/>
      <c r="C125532"/>
      <c r="E125532"/>
      <c r="F125532"/>
    </row>
    <row r="125533" spans="1:6" x14ac:dyDescent="0.25">
      <c r="A125533"/>
      <c r="B125533"/>
      <c r="C125533"/>
      <c r="E125533"/>
      <c r="F125533"/>
    </row>
    <row r="125534" spans="1:6" x14ac:dyDescent="0.25">
      <c r="A125534"/>
      <c r="B125534"/>
      <c r="C125534"/>
      <c r="E125534"/>
      <c r="F125534"/>
    </row>
    <row r="125535" spans="1:6" x14ac:dyDescent="0.25">
      <c r="A125535"/>
      <c r="B125535"/>
      <c r="C125535"/>
      <c r="E125535"/>
      <c r="F125535"/>
    </row>
    <row r="125536" spans="1:6" x14ac:dyDescent="0.25">
      <c r="A125536"/>
      <c r="B125536"/>
      <c r="C125536"/>
      <c r="E125536"/>
      <c r="F125536"/>
    </row>
    <row r="125537" spans="1:6" x14ac:dyDescent="0.25">
      <c r="A125537"/>
      <c r="B125537"/>
      <c r="C125537"/>
      <c r="E125537"/>
      <c r="F125537"/>
    </row>
    <row r="125538" spans="1:6" x14ac:dyDescent="0.25">
      <c r="A125538"/>
      <c r="B125538"/>
      <c r="C125538"/>
      <c r="E125538"/>
      <c r="F125538"/>
    </row>
    <row r="125539" spans="1:6" x14ac:dyDescent="0.25">
      <c r="A125539"/>
      <c r="B125539"/>
      <c r="C125539"/>
      <c r="E125539"/>
      <c r="F125539"/>
    </row>
    <row r="125540" spans="1:6" x14ac:dyDescent="0.25">
      <c r="A125540"/>
      <c r="B125540"/>
      <c r="C125540"/>
      <c r="E125540"/>
      <c r="F125540"/>
    </row>
    <row r="125541" spans="1:6" x14ac:dyDescent="0.25">
      <c r="A125541"/>
      <c r="B125541"/>
      <c r="C125541"/>
      <c r="E125541"/>
      <c r="F125541"/>
    </row>
    <row r="125542" spans="1:6" x14ac:dyDescent="0.25">
      <c r="A125542"/>
      <c r="B125542"/>
      <c r="C125542"/>
      <c r="E125542"/>
      <c r="F125542"/>
    </row>
    <row r="125543" spans="1:6" x14ac:dyDescent="0.25">
      <c r="A125543"/>
      <c r="B125543"/>
      <c r="C125543"/>
      <c r="E125543"/>
      <c r="F125543"/>
    </row>
    <row r="125544" spans="1:6" x14ac:dyDescent="0.25">
      <c r="A125544"/>
      <c r="B125544"/>
      <c r="C125544"/>
      <c r="E125544"/>
      <c r="F125544"/>
    </row>
    <row r="125545" spans="1:6" x14ac:dyDescent="0.25">
      <c r="A125545"/>
      <c r="B125545"/>
      <c r="C125545"/>
      <c r="E125545"/>
      <c r="F125545"/>
    </row>
    <row r="125546" spans="1:6" x14ac:dyDescent="0.25">
      <c r="A125546"/>
      <c r="B125546"/>
      <c r="C125546"/>
      <c r="E125546"/>
      <c r="F125546"/>
    </row>
    <row r="125547" spans="1:6" x14ac:dyDescent="0.25">
      <c r="A125547"/>
      <c r="B125547"/>
      <c r="C125547"/>
      <c r="E125547"/>
      <c r="F125547"/>
    </row>
    <row r="125548" spans="1:6" x14ac:dyDescent="0.25">
      <c r="A125548"/>
      <c r="B125548"/>
      <c r="C125548"/>
      <c r="E125548"/>
      <c r="F125548"/>
    </row>
    <row r="125549" spans="1:6" x14ac:dyDescent="0.25">
      <c r="A125549"/>
      <c r="B125549"/>
      <c r="C125549"/>
      <c r="E125549"/>
      <c r="F125549"/>
    </row>
    <row r="125550" spans="1:6" x14ac:dyDescent="0.25">
      <c r="A125550"/>
      <c r="B125550"/>
      <c r="C125550"/>
      <c r="E125550"/>
      <c r="F125550"/>
    </row>
    <row r="125551" spans="1:6" x14ac:dyDescent="0.25">
      <c r="A125551"/>
      <c r="B125551"/>
      <c r="C125551"/>
      <c r="E125551"/>
      <c r="F125551"/>
    </row>
    <row r="125552" spans="1:6" x14ac:dyDescent="0.25">
      <c r="A125552"/>
      <c r="B125552"/>
      <c r="C125552"/>
      <c r="E125552"/>
      <c r="F125552"/>
    </row>
    <row r="125553" spans="1:6" x14ac:dyDescent="0.25">
      <c r="A125553"/>
      <c r="B125553"/>
      <c r="C125553"/>
      <c r="E125553"/>
      <c r="F125553"/>
    </row>
    <row r="125554" spans="1:6" x14ac:dyDescent="0.25">
      <c r="A125554"/>
      <c r="B125554"/>
      <c r="C125554"/>
      <c r="E125554"/>
      <c r="F125554"/>
    </row>
    <row r="125555" spans="1:6" x14ac:dyDescent="0.25">
      <c r="A125555"/>
      <c r="B125555"/>
      <c r="C125555"/>
      <c r="E125555"/>
      <c r="F125555"/>
    </row>
    <row r="125556" spans="1:6" x14ac:dyDescent="0.25">
      <c r="A125556"/>
      <c r="B125556"/>
      <c r="C125556"/>
      <c r="E125556"/>
      <c r="F125556"/>
    </row>
    <row r="125557" spans="1:6" x14ac:dyDescent="0.25">
      <c r="A125557"/>
      <c r="B125557"/>
      <c r="C125557"/>
      <c r="E125557"/>
      <c r="F125557"/>
    </row>
    <row r="125558" spans="1:6" x14ac:dyDescent="0.25">
      <c r="A125558"/>
      <c r="B125558"/>
      <c r="C125558"/>
      <c r="E125558"/>
      <c r="F125558"/>
    </row>
    <row r="125559" spans="1:6" x14ac:dyDescent="0.25">
      <c r="A125559"/>
      <c r="B125559"/>
      <c r="C125559"/>
      <c r="E125559"/>
      <c r="F125559"/>
    </row>
    <row r="125560" spans="1:6" x14ac:dyDescent="0.25">
      <c r="A125560"/>
      <c r="B125560"/>
      <c r="C125560"/>
      <c r="E125560"/>
      <c r="F125560"/>
    </row>
    <row r="125561" spans="1:6" x14ac:dyDescent="0.25">
      <c r="A125561"/>
      <c r="B125561"/>
      <c r="C125561"/>
      <c r="E125561"/>
      <c r="F125561"/>
    </row>
    <row r="125562" spans="1:6" x14ac:dyDescent="0.25">
      <c r="A125562"/>
      <c r="B125562"/>
      <c r="C125562"/>
      <c r="E125562"/>
      <c r="F125562"/>
    </row>
    <row r="125563" spans="1:6" x14ac:dyDescent="0.25">
      <c r="A125563"/>
      <c r="B125563"/>
      <c r="C125563"/>
      <c r="E125563"/>
      <c r="F125563"/>
    </row>
    <row r="125564" spans="1:6" x14ac:dyDescent="0.25">
      <c r="A125564"/>
      <c r="B125564"/>
      <c r="C125564"/>
      <c r="E125564"/>
      <c r="F125564"/>
    </row>
    <row r="125565" spans="1:6" x14ac:dyDescent="0.25">
      <c r="A125565"/>
      <c r="B125565"/>
      <c r="C125565"/>
      <c r="E125565"/>
      <c r="F125565"/>
    </row>
    <row r="125566" spans="1:6" x14ac:dyDescent="0.25">
      <c r="A125566"/>
      <c r="B125566"/>
      <c r="C125566"/>
      <c r="E125566"/>
      <c r="F125566"/>
    </row>
    <row r="125567" spans="1:6" x14ac:dyDescent="0.25">
      <c r="A125567"/>
      <c r="B125567"/>
      <c r="C125567"/>
      <c r="E125567"/>
      <c r="F125567"/>
    </row>
    <row r="125568" spans="1:6" x14ac:dyDescent="0.25">
      <c r="A125568"/>
      <c r="B125568"/>
      <c r="C125568"/>
      <c r="E125568"/>
      <c r="F125568"/>
    </row>
    <row r="125569" spans="1:6" x14ac:dyDescent="0.25">
      <c r="A125569"/>
      <c r="B125569"/>
      <c r="C125569"/>
      <c r="E125569"/>
      <c r="F125569"/>
    </row>
    <row r="125570" spans="1:6" x14ac:dyDescent="0.25">
      <c r="A125570"/>
      <c r="B125570"/>
      <c r="C125570"/>
      <c r="E125570"/>
      <c r="F125570"/>
    </row>
    <row r="125571" spans="1:6" x14ac:dyDescent="0.25">
      <c r="A125571"/>
      <c r="B125571"/>
      <c r="C125571"/>
      <c r="E125571"/>
      <c r="F125571"/>
    </row>
    <row r="125572" spans="1:6" x14ac:dyDescent="0.25">
      <c r="A125572"/>
      <c r="B125572"/>
      <c r="C125572"/>
      <c r="E125572"/>
      <c r="F125572"/>
    </row>
    <row r="125573" spans="1:6" x14ac:dyDescent="0.25">
      <c r="A125573"/>
      <c r="B125573"/>
      <c r="C125573"/>
      <c r="E125573"/>
      <c r="F125573"/>
    </row>
    <row r="125574" spans="1:6" x14ac:dyDescent="0.25">
      <c r="A125574"/>
      <c r="B125574"/>
      <c r="C125574"/>
      <c r="E125574"/>
      <c r="F125574"/>
    </row>
    <row r="125575" spans="1:6" x14ac:dyDescent="0.25">
      <c r="A125575"/>
      <c r="B125575"/>
      <c r="C125575"/>
      <c r="E125575"/>
      <c r="F125575"/>
    </row>
    <row r="125576" spans="1:6" x14ac:dyDescent="0.25">
      <c r="A125576"/>
      <c r="B125576"/>
      <c r="C125576"/>
      <c r="E125576"/>
      <c r="F125576"/>
    </row>
    <row r="125577" spans="1:6" x14ac:dyDescent="0.25">
      <c r="A125577"/>
      <c r="B125577"/>
      <c r="C125577"/>
      <c r="E125577"/>
      <c r="F125577"/>
    </row>
    <row r="125578" spans="1:6" x14ac:dyDescent="0.25">
      <c r="A125578"/>
      <c r="B125578"/>
      <c r="C125578"/>
      <c r="E125578"/>
      <c r="F125578"/>
    </row>
    <row r="125579" spans="1:6" x14ac:dyDescent="0.25">
      <c r="A125579"/>
      <c r="B125579"/>
      <c r="C125579"/>
      <c r="E125579"/>
      <c r="F125579"/>
    </row>
    <row r="125580" spans="1:6" x14ac:dyDescent="0.25">
      <c r="A125580"/>
      <c r="B125580"/>
      <c r="C125580"/>
      <c r="E125580"/>
      <c r="F125580"/>
    </row>
    <row r="125581" spans="1:6" x14ac:dyDescent="0.25">
      <c r="A125581"/>
      <c r="B125581"/>
      <c r="C125581"/>
      <c r="E125581"/>
      <c r="F125581"/>
    </row>
    <row r="125582" spans="1:6" x14ac:dyDescent="0.25">
      <c r="A125582"/>
      <c r="B125582"/>
      <c r="C125582"/>
      <c r="E125582"/>
      <c r="F125582"/>
    </row>
    <row r="125583" spans="1:6" x14ac:dyDescent="0.25">
      <c r="A125583"/>
      <c r="B125583"/>
      <c r="C125583"/>
      <c r="E125583"/>
      <c r="F125583"/>
    </row>
    <row r="125584" spans="1:6" x14ac:dyDescent="0.25">
      <c r="A125584"/>
      <c r="B125584"/>
      <c r="C125584"/>
      <c r="E125584"/>
      <c r="F125584"/>
    </row>
    <row r="125585" spans="1:6" x14ac:dyDescent="0.25">
      <c r="A125585"/>
      <c r="B125585"/>
      <c r="C125585"/>
      <c r="E125585"/>
      <c r="F125585"/>
    </row>
    <row r="125586" spans="1:6" x14ac:dyDescent="0.25">
      <c r="A125586"/>
      <c r="B125586"/>
      <c r="C125586"/>
      <c r="E125586"/>
      <c r="F125586"/>
    </row>
    <row r="125587" spans="1:6" x14ac:dyDescent="0.25">
      <c r="A125587"/>
      <c r="B125587"/>
      <c r="C125587"/>
      <c r="E125587"/>
      <c r="F125587"/>
    </row>
    <row r="125588" spans="1:6" x14ac:dyDescent="0.25">
      <c r="A125588"/>
      <c r="B125588"/>
      <c r="C125588"/>
      <c r="E125588"/>
      <c r="F125588"/>
    </row>
    <row r="125589" spans="1:6" x14ac:dyDescent="0.25">
      <c r="A125589"/>
      <c r="B125589"/>
      <c r="C125589"/>
      <c r="E125589"/>
      <c r="F125589"/>
    </row>
    <row r="125590" spans="1:6" x14ac:dyDescent="0.25">
      <c r="A125590"/>
      <c r="B125590"/>
      <c r="C125590"/>
      <c r="E125590"/>
      <c r="F125590"/>
    </row>
    <row r="125591" spans="1:6" x14ac:dyDescent="0.25">
      <c r="A125591"/>
      <c r="B125591"/>
      <c r="C125591"/>
      <c r="E125591"/>
      <c r="F125591"/>
    </row>
    <row r="125592" spans="1:6" x14ac:dyDescent="0.25">
      <c r="A125592"/>
      <c r="B125592"/>
      <c r="C125592"/>
      <c r="E125592"/>
      <c r="F125592"/>
    </row>
    <row r="125593" spans="1:6" x14ac:dyDescent="0.25">
      <c r="A125593"/>
      <c r="B125593"/>
      <c r="C125593"/>
      <c r="E125593"/>
      <c r="F125593"/>
    </row>
    <row r="125594" spans="1:6" x14ac:dyDescent="0.25">
      <c r="A125594"/>
      <c r="B125594"/>
      <c r="C125594"/>
      <c r="E125594"/>
      <c r="F125594"/>
    </row>
    <row r="125595" spans="1:6" x14ac:dyDescent="0.25">
      <c r="A125595"/>
      <c r="B125595"/>
      <c r="C125595"/>
      <c r="E125595"/>
      <c r="F125595"/>
    </row>
    <row r="125596" spans="1:6" x14ac:dyDescent="0.25">
      <c r="A125596"/>
      <c r="B125596"/>
      <c r="C125596"/>
      <c r="E125596"/>
      <c r="F125596"/>
    </row>
    <row r="125597" spans="1:6" x14ac:dyDescent="0.25">
      <c r="A125597"/>
      <c r="B125597"/>
      <c r="C125597"/>
      <c r="E125597"/>
      <c r="F125597"/>
    </row>
    <row r="125598" spans="1:6" x14ac:dyDescent="0.25">
      <c r="A125598"/>
      <c r="B125598"/>
      <c r="C125598"/>
      <c r="E125598"/>
      <c r="F125598"/>
    </row>
    <row r="125599" spans="1:6" x14ac:dyDescent="0.25">
      <c r="A125599"/>
      <c r="B125599"/>
      <c r="C125599"/>
      <c r="E125599"/>
      <c r="F125599"/>
    </row>
    <row r="125600" spans="1:6" x14ac:dyDescent="0.25">
      <c r="A125600"/>
      <c r="B125600"/>
      <c r="C125600"/>
      <c r="E125600"/>
      <c r="F125600"/>
    </row>
    <row r="125601" spans="1:6" x14ac:dyDescent="0.25">
      <c r="A125601"/>
      <c r="B125601"/>
      <c r="C125601"/>
      <c r="E125601"/>
      <c r="F125601"/>
    </row>
    <row r="125602" spans="1:6" x14ac:dyDescent="0.25">
      <c r="A125602"/>
      <c r="B125602"/>
      <c r="C125602"/>
      <c r="E125602"/>
      <c r="F125602"/>
    </row>
    <row r="125603" spans="1:6" x14ac:dyDescent="0.25">
      <c r="A125603"/>
      <c r="B125603"/>
      <c r="C125603"/>
      <c r="E125603"/>
      <c r="F125603"/>
    </row>
    <row r="125604" spans="1:6" x14ac:dyDescent="0.25">
      <c r="A125604"/>
      <c r="B125604"/>
      <c r="C125604"/>
      <c r="E125604"/>
      <c r="F125604"/>
    </row>
    <row r="125605" spans="1:6" x14ac:dyDescent="0.25">
      <c r="A125605"/>
      <c r="B125605"/>
      <c r="C125605"/>
      <c r="E125605"/>
      <c r="F125605"/>
    </row>
    <row r="125606" spans="1:6" x14ac:dyDescent="0.25">
      <c r="A125606"/>
      <c r="B125606"/>
      <c r="C125606"/>
      <c r="E125606"/>
      <c r="F125606"/>
    </row>
    <row r="125607" spans="1:6" x14ac:dyDescent="0.25">
      <c r="A125607"/>
      <c r="B125607"/>
      <c r="C125607"/>
      <c r="E125607"/>
      <c r="F125607"/>
    </row>
    <row r="125608" spans="1:6" x14ac:dyDescent="0.25">
      <c r="A125608"/>
      <c r="B125608"/>
      <c r="C125608"/>
      <c r="E125608"/>
      <c r="F125608"/>
    </row>
    <row r="125609" spans="1:6" x14ac:dyDescent="0.25">
      <c r="A125609"/>
      <c r="B125609"/>
      <c r="C125609"/>
      <c r="E125609"/>
      <c r="F125609"/>
    </row>
    <row r="125610" spans="1:6" x14ac:dyDescent="0.25">
      <c r="A125610"/>
      <c r="B125610"/>
      <c r="C125610"/>
      <c r="E125610"/>
      <c r="F125610"/>
    </row>
    <row r="125611" spans="1:6" x14ac:dyDescent="0.25">
      <c r="A125611"/>
      <c r="B125611"/>
      <c r="C125611"/>
      <c r="E125611"/>
      <c r="F125611"/>
    </row>
    <row r="125612" spans="1:6" x14ac:dyDescent="0.25">
      <c r="A125612"/>
      <c r="B125612"/>
      <c r="C125612"/>
      <c r="E125612"/>
      <c r="F125612"/>
    </row>
    <row r="125613" spans="1:6" x14ac:dyDescent="0.25">
      <c r="A125613"/>
      <c r="B125613"/>
      <c r="C125613"/>
      <c r="E125613"/>
      <c r="F125613"/>
    </row>
    <row r="125614" spans="1:6" x14ac:dyDescent="0.25">
      <c r="A125614"/>
      <c r="B125614"/>
      <c r="C125614"/>
      <c r="E125614"/>
      <c r="F125614"/>
    </row>
    <row r="125615" spans="1:6" x14ac:dyDescent="0.25">
      <c r="A125615"/>
      <c r="B125615"/>
      <c r="C125615"/>
      <c r="E125615"/>
      <c r="F125615"/>
    </row>
    <row r="125616" spans="1:6" x14ac:dyDescent="0.25">
      <c r="A125616"/>
      <c r="B125616"/>
      <c r="C125616"/>
      <c r="E125616"/>
      <c r="F125616"/>
    </row>
    <row r="125617" spans="1:6" x14ac:dyDescent="0.25">
      <c r="A125617"/>
      <c r="B125617"/>
      <c r="C125617"/>
      <c r="E125617"/>
      <c r="F125617"/>
    </row>
    <row r="125618" spans="1:6" x14ac:dyDescent="0.25">
      <c r="A125618"/>
      <c r="B125618"/>
      <c r="C125618"/>
      <c r="E125618"/>
      <c r="F125618"/>
    </row>
    <row r="125619" spans="1:6" x14ac:dyDescent="0.25">
      <c r="A125619"/>
      <c r="B125619"/>
      <c r="C125619"/>
      <c r="E125619"/>
      <c r="F125619"/>
    </row>
    <row r="125620" spans="1:6" x14ac:dyDescent="0.25">
      <c r="A125620"/>
      <c r="B125620"/>
      <c r="C125620"/>
      <c r="E125620"/>
      <c r="F125620"/>
    </row>
    <row r="125621" spans="1:6" x14ac:dyDescent="0.25">
      <c r="A125621"/>
      <c r="B125621"/>
      <c r="C125621"/>
      <c r="E125621"/>
      <c r="F125621"/>
    </row>
    <row r="125622" spans="1:6" x14ac:dyDescent="0.25">
      <c r="A125622"/>
      <c r="B125622"/>
      <c r="C125622"/>
      <c r="E125622"/>
      <c r="F125622"/>
    </row>
    <row r="125623" spans="1:6" x14ac:dyDescent="0.25">
      <c r="A125623"/>
      <c r="B125623"/>
      <c r="C125623"/>
      <c r="E125623"/>
      <c r="F125623"/>
    </row>
    <row r="125624" spans="1:6" x14ac:dyDescent="0.25">
      <c r="A125624"/>
      <c r="B125624"/>
      <c r="C125624"/>
      <c r="E125624"/>
      <c r="F125624"/>
    </row>
    <row r="125625" spans="1:6" x14ac:dyDescent="0.25">
      <c r="A125625"/>
      <c r="B125625"/>
      <c r="C125625"/>
      <c r="E125625"/>
      <c r="F125625"/>
    </row>
    <row r="125626" spans="1:6" x14ac:dyDescent="0.25">
      <c r="A125626"/>
      <c r="B125626"/>
      <c r="C125626"/>
      <c r="E125626"/>
      <c r="F125626"/>
    </row>
    <row r="125627" spans="1:6" x14ac:dyDescent="0.25">
      <c r="A125627"/>
      <c r="B125627"/>
      <c r="C125627"/>
      <c r="E125627"/>
      <c r="F125627"/>
    </row>
    <row r="125628" spans="1:6" x14ac:dyDescent="0.25">
      <c r="A125628"/>
      <c r="B125628"/>
      <c r="C125628"/>
      <c r="E125628"/>
      <c r="F125628"/>
    </row>
    <row r="125629" spans="1:6" x14ac:dyDescent="0.25">
      <c r="A125629"/>
      <c r="B125629"/>
      <c r="C125629"/>
      <c r="E125629"/>
      <c r="F125629"/>
    </row>
    <row r="125630" spans="1:6" x14ac:dyDescent="0.25">
      <c r="A125630"/>
      <c r="B125630"/>
      <c r="C125630"/>
      <c r="E125630"/>
      <c r="F125630"/>
    </row>
    <row r="125631" spans="1:6" x14ac:dyDescent="0.25">
      <c r="A125631"/>
      <c r="B125631"/>
      <c r="C125631"/>
      <c r="E125631"/>
      <c r="F125631"/>
    </row>
    <row r="125632" spans="1:6" x14ac:dyDescent="0.25">
      <c r="A125632"/>
      <c r="B125632"/>
      <c r="C125632"/>
      <c r="E125632"/>
      <c r="F125632"/>
    </row>
    <row r="125633" spans="1:6" x14ac:dyDescent="0.25">
      <c r="A125633"/>
      <c r="B125633"/>
      <c r="C125633"/>
      <c r="E125633"/>
      <c r="F125633"/>
    </row>
    <row r="125634" spans="1:6" x14ac:dyDescent="0.25">
      <c r="A125634"/>
      <c r="B125634"/>
      <c r="C125634"/>
      <c r="E125634"/>
      <c r="F125634"/>
    </row>
    <row r="125635" spans="1:6" x14ac:dyDescent="0.25">
      <c r="A125635"/>
      <c r="B125635"/>
      <c r="C125635"/>
      <c r="E125635"/>
      <c r="F125635"/>
    </row>
    <row r="125636" spans="1:6" x14ac:dyDescent="0.25">
      <c r="A125636"/>
      <c r="B125636"/>
      <c r="C125636"/>
      <c r="E125636"/>
      <c r="F125636"/>
    </row>
    <row r="125637" spans="1:6" x14ac:dyDescent="0.25">
      <c r="A125637"/>
      <c r="B125637"/>
      <c r="C125637"/>
      <c r="E125637"/>
      <c r="F125637"/>
    </row>
    <row r="125638" spans="1:6" x14ac:dyDescent="0.25">
      <c r="A125638"/>
      <c r="B125638"/>
      <c r="C125638"/>
      <c r="E125638"/>
      <c r="F125638"/>
    </row>
    <row r="125639" spans="1:6" x14ac:dyDescent="0.25">
      <c r="A125639"/>
      <c r="B125639"/>
      <c r="C125639"/>
      <c r="E125639"/>
      <c r="F125639"/>
    </row>
    <row r="125640" spans="1:6" x14ac:dyDescent="0.25">
      <c r="A125640"/>
      <c r="B125640"/>
      <c r="C125640"/>
      <c r="E125640"/>
      <c r="F125640"/>
    </row>
    <row r="125641" spans="1:6" x14ac:dyDescent="0.25">
      <c r="A125641"/>
      <c r="B125641"/>
      <c r="C125641"/>
      <c r="E125641"/>
      <c r="F125641"/>
    </row>
    <row r="125642" spans="1:6" x14ac:dyDescent="0.25">
      <c r="A125642"/>
      <c r="B125642"/>
      <c r="C125642"/>
      <c r="E125642"/>
      <c r="F125642"/>
    </row>
    <row r="125643" spans="1:6" x14ac:dyDescent="0.25">
      <c r="A125643"/>
      <c r="B125643"/>
      <c r="C125643"/>
      <c r="E125643"/>
      <c r="F125643"/>
    </row>
    <row r="125644" spans="1:6" x14ac:dyDescent="0.25">
      <c r="A125644"/>
      <c r="B125644"/>
      <c r="C125644"/>
      <c r="E125644"/>
      <c r="F125644"/>
    </row>
    <row r="125645" spans="1:6" x14ac:dyDescent="0.25">
      <c r="A125645"/>
      <c r="B125645"/>
      <c r="C125645"/>
      <c r="E125645"/>
      <c r="F125645"/>
    </row>
    <row r="125646" spans="1:6" x14ac:dyDescent="0.25">
      <c r="A125646"/>
      <c r="B125646"/>
      <c r="C125646"/>
      <c r="E125646"/>
      <c r="F125646"/>
    </row>
    <row r="125647" spans="1:6" x14ac:dyDescent="0.25">
      <c r="A125647"/>
      <c r="B125647"/>
      <c r="C125647"/>
      <c r="E125647"/>
      <c r="F125647"/>
    </row>
    <row r="125648" spans="1:6" x14ac:dyDescent="0.25">
      <c r="A125648"/>
      <c r="B125648"/>
      <c r="C125648"/>
      <c r="E125648"/>
      <c r="F125648"/>
    </row>
    <row r="125649" spans="1:6" x14ac:dyDescent="0.25">
      <c r="A125649"/>
      <c r="B125649"/>
      <c r="C125649"/>
      <c r="E125649"/>
      <c r="F125649"/>
    </row>
    <row r="125650" spans="1:6" x14ac:dyDescent="0.25">
      <c r="A125650"/>
      <c r="B125650"/>
      <c r="C125650"/>
      <c r="E125650"/>
      <c r="F125650"/>
    </row>
    <row r="125651" spans="1:6" x14ac:dyDescent="0.25">
      <c r="A125651"/>
      <c r="B125651"/>
      <c r="C125651"/>
      <c r="E125651"/>
      <c r="F125651"/>
    </row>
    <row r="125652" spans="1:6" x14ac:dyDescent="0.25">
      <c r="A125652"/>
      <c r="B125652"/>
      <c r="C125652"/>
      <c r="E125652"/>
      <c r="F125652"/>
    </row>
    <row r="125653" spans="1:6" x14ac:dyDescent="0.25">
      <c r="A125653"/>
      <c r="B125653"/>
      <c r="C125653"/>
      <c r="E125653"/>
      <c r="F125653"/>
    </row>
    <row r="125654" spans="1:6" x14ac:dyDescent="0.25">
      <c r="A125654"/>
      <c r="B125654"/>
      <c r="C125654"/>
      <c r="E125654"/>
      <c r="F125654"/>
    </row>
    <row r="125655" spans="1:6" x14ac:dyDescent="0.25">
      <c r="A125655"/>
      <c r="B125655"/>
      <c r="C125655"/>
      <c r="E125655"/>
      <c r="F125655"/>
    </row>
    <row r="125656" spans="1:6" x14ac:dyDescent="0.25">
      <c r="A125656"/>
      <c r="B125656"/>
      <c r="C125656"/>
      <c r="E125656"/>
      <c r="F125656"/>
    </row>
    <row r="125657" spans="1:6" x14ac:dyDescent="0.25">
      <c r="A125657"/>
      <c r="B125657"/>
      <c r="C125657"/>
      <c r="E125657"/>
      <c r="F125657"/>
    </row>
    <row r="125658" spans="1:6" x14ac:dyDescent="0.25">
      <c r="A125658"/>
      <c r="B125658"/>
      <c r="C125658"/>
      <c r="E125658"/>
      <c r="F125658"/>
    </row>
    <row r="125659" spans="1:6" x14ac:dyDescent="0.25">
      <c r="A125659"/>
      <c r="B125659"/>
      <c r="C125659"/>
      <c r="E125659"/>
      <c r="F125659"/>
    </row>
    <row r="125660" spans="1:6" x14ac:dyDescent="0.25">
      <c r="A125660"/>
      <c r="B125660"/>
      <c r="C125660"/>
      <c r="E125660"/>
      <c r="F125660"/>
    </row>
    <row r="125661" spans="1:6" x14ac:dyDescent="0.25">
      <c r="A125661"/>
      <c r="B125661"/>
      <c r="C125661"/>
      <c r="E125661"/>
      <c r="F125661"/>
    </row>
    <row r="125662" spans="1:6" x14ac:dyDescent="0.25">
      <c r="A125662"/>
      <c r="B125662"/>
      <c r="C125662"/>
      <c r="E125662"/>
      <c r="F125662"/>
    </row>
    <row r="125663" spans="1:6" x14ac:dyDescent="0.25">
      <c r="A125663"/>
      <c r="B125663"/>
      <c r="C125663"/>
      <c r="E125663"/>
      <c r="F125663"/>
    </row>
    <row r="125664" spans="1:6" x14ac:dyDescent="0.25">
      <c r="A125664"/>
      <c r="B125664"/>
      <c r="C125664"/>
      <c r="E125664"/>
      <c r="F125664"/>
    </row>
    <row r="125665" spans="1:6" x14ac:dyDescent="0.25">
      <c r="A125665"/>
      <c r="B125665"/>
      <c r="C125665"/>
      <c r="E125665"/>
      <c r="F125665"/>
    </row>
    <row r="125666" spans="1:6" x14ac:dyDescent="0.25">
      <c r="A125666"/>
      <c r="B125666"/>
      <c r="C125666"/>
      <c r="E125666"/>
      <c r="F125666"/>
    </row>
    <row r="125667" spans="1:6" x14ac:dyDescent="0.25">
      <c r="A125667"/>
      <c r="B125667"/>
      <c r="C125667"/>
      <c r="E125667"/>
      <c r="F125667"/>
    </row>
    <row r="125668" spans="1:6" x14ac:dyDescent="0.25">
      <c r="A125668"/>
      <c r="B125668"/>
      <c r="C125668"/>
      <c r="E125668"/>
      <c r="F125668"/>
    </row>
    <row r="125669" spans="1:6" x14ac:dyDescent="0.25">
      <c r="A125669"/>
      <c r="B125669"/>
      <c r="C125669"/>
      <c r="E125669"/>
      <c r="F125669"/>
    </row>
    <row r="125670" spans="1:6" x14ac:dyDescent="0.25">
      <c r="A125670"/>
      <c r="B125670"/>
      <c r="C125670"/>
      <c r="E125670"/>
      <c r="F125670"/>
    </row>
    <row r="125671" spans="1:6" x14ac:dyDescent="0.25">
      <c r="A125671"/>
      <c r="B125671"/>
      <c r="C125671"/>
      <c r="E125671"/>
      <c r="F125671"/>
    </row>
    <row r="125672" spans="1:6" x14ac:dyDescent="0.25">
      <c r="A125672"/>
      <c r="B125672"/>
      <c r="C125672"/>
      <c r="E125672"/>
      <c r="F125672"/>
    </row>
    <row r="125673" spans="1:6" x14ac:dyDescent="0.25">
      <c r="A125673"/>
      <c r="B125673"/>
      <c r="C125673"/>
      <c r="E125673"/>
      <c r="F125673"/>
    </row>
    <row r="125674" spans="1:6" x14ac:dyDescent="0.25">
      <c r="A125674"/>
      <c r="B125674"/>
      <c r="C125674"/>
      <c r="E125674"/>
      <c r="F125674"/>
    </row>
    <row r="125675" spans="1:6" x14ac:dyDescent="0.25">
      <c r="A125675"/>
      <c r="B125675"/>
      <c r="C125675"/>
      <c r="E125675"/>
      <c r="F125675"/>
    </row>
    <row r="125676" spans="1:6" x14ac:dyDescent="0.25">
      <c r="A125676"/>
      <c r="B125676"/>
      <c r="C125676"/>
      <c r="E125676"/>
      <c r="F125676"/>
    </row>
    <row r="125677" spans="1:6" x14ac:dyDescent="0.25">
      <c r="A125677"/>
      <c r="B125677"/>
      <c r="C125677"/>
      <c r="E125677"/>
      <c r="F125677"/>
    </row>
    <row r="125678" spans="1:6" x14ac:dyDescent="0.25">
      <c r="A125678"/>
      <c r="B125678"/>
      <c r="C125678"/>
      <c r="E125678"/>
      <c r="F125678"/>
    </row>
    <row r="125679" spans="1:6" x14ac:dyDescent="0.25">
      <c r="A125679"/>
      <c r="B125679"/>
      <c r="C125679"/>
      <c r="E125679"/>
      <c r="F125679"/>
    </row>
    <row r="125680" spans="1:6" x14ac:dyDescent="0.25">
      <c r="A125680"/>
      <c r="B125680"/>
      <c r="C125680"/>
      <c r="E125680"/>
      <c r="F125680"/>
    </row>
    <row r="125681" spans="1:6" x14ac:dyDescent="0.25">
      <c r="A125681"/>
      <c r="B125681"/>
      <c r="C125681"/>
      <c r="E125681"/>
      <c r="F125681"/>
    </row>
    <row r="125682" spans="1:6" x14ac:dyDescent="0.25">
      <c r="A125682"/>
      <c r="B125682"/>
      <c r="C125682"/>
      <c r="E125682"/>
      <c r="F125682"/>
    </row>
    <row r="125683" spans="1:6" x14ac:dyDescent="0.25">
      <c r="A125683"/>
      <c r="B125683"/>
      <c r="C125683"/>
      <c r="E125683"/>
      <c r="F125683"/>
    </row>
    <row r="125684" spans="1:6" x14ac:dyDescent="0.25">
      <c r="A125684"/>
      <c r="B125684"/>
      <c r="C125684"/>
      <c r="E125684"/>
      <c r="F125684"/>
    </row>
    <row r="125685" spans="1:6" x14ac:dyDescent="0.25">
      <c r="A125685"/>
      <c r="B125685"/>
      <c r="C125685"/>
      <c r="E125685"/>
      <c r="F125685"/>
    </row>
    <row r="125686" spans="1:6" x14ac:dyDescent="0.25">
      <c r="A125686"/>
      <c r="B125686"/>
      <c r="C125686"/>
      <c r="E125686"/>
      <c r="F125686"/>
    </row>
    <row r="125687" spans="1:6" x14ac:dyDescent="0.25">
      <c r="A125687"/>
      <c r="B125687"/>
      <c r="C125687"/>
      <c r="E125687"/>
      <c r="F125687"/>
    </row>
    <row r="125688" spans="1:6" x14ac:dyDescent="0.25">
      <c r="A125688"/>
      <c r="B125688"/>
      <c r="C125688"/>
      <c r="E125688"/>
      <c r="F125688"/>
    </row>
    <row r="125689" spans="1:6" x14ac:dyDescent="0.25">
      <c r="A125689"/>
      <c r="B125689"/>
      <c r="C125689"/>
      <c r="E125689"/>
      <c r="F125689"/>
    </row>
    <row r="125690" spans="1:6" x14ac:dyDescent="0.25">
      <c r="A125690"/>
      <c r="B125690"/>
      <c r="C125690"/>
      <c r="E125690"/>
      <c r="F125690"/>
    </row>
    <row r="125691" spans="1:6" x14ac:dyDescent="0.25">
      <c r="A125691"/>
      <c r="B125691"/>
      <c r="C125691"/>
      <c r="E125691"/>
      <c r="F125691"/>
    </row>
    <row r="125692" spans="1:6" x14ac:dyDescent="0.25">
      <c r="A125692"/>
      <c r="B125692"/>
      <c r="C125692"/>
      <c r="E125692"/>
      <c r="F125692"/>
    </row>
    <row r="125693" spans="1:6" x14ac:dyDescent="0.25">
      <c r="A125693"/>
      <c r="B125693"/>
      <c r="C125693"/>
      <c r="E125693"/>
      <c r="F125693"/>
    </row>
    <row r="125694" spans="1:6" x14ac:dyDescent="0.25">
      <c r="A125694"/>
      <c r="B125694"/>
      <c r="C125694"/>
      <c r="E125694"/>
      <c r="F125694"/>
    </row>
    <row r="125695" spans="1:6" x14ac:dyDescent="0.25">
      <c r="A125695"/>
      <c r="B125695"/>
      <c r="C125695"/>
      <c r="E125695"/>
      <c r="F125695"/>
    </row>
    <row r="125696" spans="1:6" x14ac:dyDescent="0.25">
      <c r="A125696"/>
      <c r="B125696"/>
      <c r="C125696"/>
      <c r="E125696"/>
      <c r="F125696"/>
    </row>
    <row r="125697" spans="1:6" x14ac:dyDescent="0.25">
      <c r="A125697"/>
      <c r="B125697"/>
      <c r="C125697"/>
      <c r="E125697"/>
      <c r="F125697"/>
    </row>
    <row r="125698" spans="1:6" x14ac:dyDescent="0.25">
      <c r="A125698"/>
      <c r="B125698"/>
      <c r="C125698"/>
      <c r="E125698"/>
      <c r="F125698"/>
    </row>
    <row r="125699" spans="1:6" x14ac:dyDescent="0.25">
      <c r="A125699"/>
      <c r="B125699"/>
      <c r="C125699"/>
      <c r="E125699"/>
      <c r="F125699"/>
    </row>
    <row r="125700" spans="1:6" x14ac:dyDescent="0.25">
      <c r="A125700"/>
      <c r="B125700"/>
      <c r="C125700"/>
      <c r="E125700"/>
      <c r="F125700"/>
    </row>
    <row r="125701" spans="1:6" x14ac:dyDescent="0.25">
      <c r="A125701"/>
      <c r="B125701"/>
      <c r="C125701"/>
      <c r="E125701"/>
      <c r="F125701"/>
    </row>
    <row r="125702" spans="1:6" x14ac:dyDescent="0.25">
      <c r="A125702"/>
      <c r="B125702"/>
      <c r="C125702"/>
      <c r="E125702"/>
      <c r="F125702"/>
    </row>
    <row r="125703" spans="1:6" x14ac:dyDescent="0.25">
      <c r="A125703"/>
      <c r="B125703"/>
      <c r="C125703"/>
      <c r="E125703"/>
      <c r="F125703"/>
    </row>
    <row r="125704" spans="1:6" x14ac:dyDescent="0.25">
      <c r="A125704"/>
      <c r="B125704"/>
      <c r="C125704"/>
      <c r="E125704"/>
      <c r="F125704"/>
    </row>
    <row r="125705" spans="1:6" x14ac:dyDescent="0.25">
      <c r="A125705"/>
      <c r="B125705"/>
      <c r="C125705"/>
      <c r="E125705"/>
      <c r="F125705"/>
    </row>
    <row r="125706" spans="1:6" x14ac:dyDescent="0.25">
      <c r="A125706"/>
      <c r="B125706"/>
      <c r="C125706"/>
      <c r="E125706"/>
      <c r="F125706"/>
    </row>
    <row r="125707" spans="1:6" x14ac:dyDescent="0.25">
      <c r="A125707"/>
      <c r="B125707"/>
      <c r="C125707"/>
      <c r="E125707"/>
      <c r="F125707"/>
    </row>
    <row r="125708" spans="1:6" x14ac:dyDescent="0.25">
      <c r="A125708"/>
      <c r="B125708"/>
      <c r="C125708"/>
      <c r="E125708"/>
      <c r="F125708"/>
    </row>
    <row r="125709" spans="1:6" x14ac:dyDescent="0.25">
      <c r="A125709"/>
      <c r="B125709"/>
      <c r="C125709"/>
      <c r="E125709"/>
      <c r="F125709"/>
    </row>
    <row r="125710" spans="1:6" x14ac:dyDescent="0.25">
      <c r="A125710"/>
      <c r="B125710"/>
      <c r="C125710"/>
      <c r="E125710"/>
      <c r="F125710"/>
    </row>
    <row r="125711" spans="1:6" x14ac:dyDescent="0.25">
      <c r="A125711"/>
      <c r="B125711"/>
      <c r="C125711"/>
      <c r="E125711"/>
      <c r="F125711"/>
    </row>
    <row r="125712" spans="1:6" x14ac:dyDescent="0.25">
      <c r="A125712"/>
      <c r="B125712"/>
      <c r="C125712"/>
      <c r="E125712"/>
      <c r="F125712"/>
    </row>
    <row r="125713" spans="1:6" x14ac:dyDescent="0.25">
      <c r="A125713"/>
      <c r="B125713"/>
      <c r="C125713"/>
      <c r="E125713"/>
      <c r="F125713"/>
    </row>
    <row r="125714" spans="1:6" x14ac:dyDescent="0.25">
      <c r="A125714"/>
      <c r="B125714"/>
      <c r="C125714"/>
      <c r="E125714"/>
      <c r="F125714"/>
    </row>
    <row r="125715" spans="1:6" x14ac:dyDescent="0.25">
      <c r="A125715"/>
      <c r="B125715"/>
      <c r="C125715"/>
      <c r="E125715"/>
      <c r="F125715"/>
    </row>
    <row r="125716" spans="1:6" x14ac:dyDescent="0.25">
      <c r="A125716"/>
      <c r="B125716"/>
      <c r="C125716"/>
      <c r="E125716"/>
      <c r="F125716"/>
    </row>
    <row r="125717" spans="1:6" x14ac:dyDescent="0.25">
      <c r="A125717"/>
      <c r="B125717"/>
      <c r="C125717"/>
      <c r="E125717"/>
      <c r="F125717"/>
    </row>
    <row r="125718" spans="1:6" x14ac:dyDescent="0.25">
      <c r="A125718"/>
      <c r="B125718"/>
      <c r="C125718"/>
      <c r="E125718"/>
      <c r="F125718"/>
    </row>
    <row r="125719" spans="1:6" x14ac:dyDescent="0.25">
      <c r="A125719"/>
      <c r="B125719"/>
      <c r="C125719"/>
      <c r="E125719"/>
      <c r="F125719"/>
    </row>
    <row r="125720" spans="1:6" x14ac:dyDescent="0.25">
      <c r="A125720"/>
      <c r="B125720"/>
      <c r="C125720"/>
      <c r="E125720"/>
      <c r="F125720"/>
    </row>
    <row r="125721" spans="1:6" x14ac:dyDescent="0.25">
      <c r="A125721"/>
      <c r="B125721"/>
      <c r="C125721"/>
      <c r="E125721"/>
      <c r="F125721"/>
    </row>
    <row r="125722" spans="1:6" x14ac:dyDescent="0.25">
      <c r="A125722"/>
      <c r="B125722"/>
      <c r="C125722"/>
      <c r="E125722"/>
      <c r="F125722"/>
    </row>
    <row r="125723" spans="1:6" x14ac:dyDescent="0.25">
      <c r="A125723"/>
      <c r="B125723"/>
      <c r="C125723"/>
      <c r="E125723"/>
      <c r="F125723"/>
    </row>
    <row r="125724" spans="1:6" x14ac:dyDescent="0.25">
      <c r="A125724"/>
      <c r="B125724"/>
      <c r="C125724"/>
      <c r="E125724"/>
      <c r="F125724"/>
    </row>
    <row r="125725" spans="1:6" x14ac:dyDescent="0.25">
      <c r="A125725"/>
      <c r="B125725"/>
      <c r="C125725"/>
      <c r="E125725"/>
      <c r="F125725"/>
    </row>
    <row r="125726" spans="1:6" x14ac:dyDescent="0.25">
      <c r="A125726"/>
      <c r="B125726"/>
      <c r="C125726"/>
      <c r="E125726"/>
      <c r="F125726"/>
    </row>
    <row r="125727" spans="1:6" x14ac:dyDescent="0.25">
      <c r="A125727"/>
      <c r="B125727"/>
      <c r="C125727"/>
      <c r="E125727"/>
      <c r="F125727"/>
    </row>
    <row r="125728" spans="1:6" x14ac:dyDescent="0.25">
      <c r="A125728"/>
      <c r="B125728"/>
      <c r="C125728"/>
      <c r="E125728"/>
      <c r="F125728"/>
    </row>
    <row r="125729" spans="1:6" x14ac:dyDescent="0.25">
      <c r="A125729"/>
      <c r="B125729"/>
      <c r="C125729"/>
      <c r="E125729"/>
      <c r="F125729"/>
    </row>
    <row r="125730" spans="1:6" x14ac:dyDescent="0.25">
      <c r="A125730"/>
      <c r="B125730"/>
      <c r="C125730"/>
      <c r="E125730"/>
      <c r="F125730"/>
    </row>
    <row r="125731" spans="1:6" x14ac:dyDescent="0.25">
      <c r="A125731"/>
      <c r="B125731"/>
      <c r="C125731"/>
      <c r="E125731"/>
      <c r="F125731"/>
    </row>
    <row r="125732" spans="1:6" x14ac:dyDescent="0.25">
      <c r="A125732"/>
      <c r="B125732"/>
      <c r="C125732"/>
      <c r="E125732"/>
      <c r="F125732"/>
    </row>
    <row r="125733" spans="1:6" x14ac:dyDescent="0.25">
      <c r="A125733"/>
      <c r="B125733"/>
      <c r="C125733"/>
      <c r="E125733"/>
      <c r="F125733"/>
    </row>
    <row r="125734" spans="1:6" x14ac:dyDescent="0.25">
      <c r="A125734"/>
      <c r="B125734"/>
      <c r="C125734"/>
      <c r="E125734"/>
      <c r="F125734"/>
    </row>
    <row r="125735" spans="1:6" x14ac:dyDescent="0.25">
      <c r="A125735"/>
      <c r="B125735"/>
      <c r="C125735"/>
      <c r="E125735"/>
      <c r="F125735"/>
    </row>
    <row r="125736" spans="1:6" x14ac:dyDescent="0.25">
      <c r="A125736"/>
      <c r="B125736"/>
      <c r="C125736"/>
      <c r="E125736"/>
      <c r="F125736"/>
    </row>
    <row r="125737" spans="1:6" x14ac:dyDescent="0.25">
      <c r="A125737"/>
      <c r="B125737"/>
      <c r="C125737"/>
      <c r="E125737"/>
      <c r="F125737"/>
    </row>
    <row r="125738" spans="1:6" x14ac:dyDescent="0.25">
      <c r="A125738"/>
      <c r="B125738"/>
      <c r="C125738"/>
      <c r="E125738"/>
      <c r="F125738"/>
    </row>
    <row r="125739" spans="1:6" x14ac:dyDescent="0.25">
      <c r="A125739"/>
      <c r="B125739"/>
      <c r="C125739"/>
      <c r="E125739"/>
      <c r="F125739"/>
    </row>
    <row r="125740" spans="1:6" x14ac:dyDescent="0.25">
      <c r="A125740"/>
      <c r="B125740"/>
      <c r="C125740"/>
      <c r="E125740"/>
      <c r="F125740"/>
    </row>
    <row r="125741" spans="1:6" x14ac:dyDescent="0.25">
      <c r="A125741"/>
      <c r="B125741"/>
      <c r="C125741"/>
      <c r="E125741"/>
      <c r="F125741"/>
    </row>
    <row r="125742" spans="1:6" x14ac:dyDescent="0.25">
      <c r="A125742"/>
      <c r="B125742"/>
      <c r="C125742"/>
      <c r="E125742"/>
      <c r="F125742"/>
    </row>
    <row r="125743" spans="1:6" x14ac:dyDescent="0.25">
      <c r="A125743"/>
      <c r="B125743"/>
      <c r="C125743"/>
      <c r="E125743"/>
      <c r="F125743"/>
    </row>
    <row r="125744" spans="1:6" x14ac:dyDescent="0.25">
      <c r="A125744"/>
      <c r="B125744"/>
      <c r="C125744"/>
      <c r="E125744"/>
      <c r="F125744"/>
    </row>
    <row r="125745" spans="1:6" x14ac:dyDescent="0.25">
      <c r="A125745"/>
      <c r="B125745"/>
      <c r="C125745"/>
      <c r="E125745"/>
      <c r="F125745"/>
    </row>
    <row r="125746" spans="1:6" x14ac:dyDescent="0.25">
      <c r="A125746"/>
      <c r="B125746"/>
      <c r="C125746"/>
      <c r="E125746"/>
      <c r="F125746"/>
    </row>
    <row r="125747" spans="1:6" x14ac:dyDescent="0.25">
      <c r="A125747"/>
      <c r="B125747"/>
      <c r="C125747"/>
      <c r="E125747"/>
      <c r="F125747"/>
    </row>
    <row r="125748" spans="1:6" x14ac:dyDescent="0.25">
      <c r="A125748"/>
      <c r="B125748"/>
      <c r="C125748"/>
      <c r="E125748"/>
      <c r="F125748"/>
    </row>
    <row r="125749" spans="1:6" x14ac:dyDescent="0.25">
      <c r="A125749"/>
      <c r="B125749"/>
      <c r="C125749"/>
      <c r="E125749"/>
      <c r="F125749"/>
    </row>
    <row r="125750" spans="1:6" x14ac:dyDescent="0.25">
      <c r="A125750"/>
      <c r="B125750"/>
      <c r="C125750"/>
      <c r="E125750"/>
      <c r="F125750"/>
    </row>
    <row r="125751" spans="1:6" x14ac:dyDescent="0.25">
      <c r="A125751"/>
      <c r="B125751"/>
      <c r="C125751"/>
      <c r="E125751"/>
      <c r="F125751"/>
    </row>
    <row r="125752" spans="1:6" x14ac:dyDescent="0.25">
      <c r="A125752"/>
      <c r="B125752"/>
      <c r="C125752"/>
      <c r="E125752"/>
      <c r="F125752"/>
    </row>
    <row r="125753" spans="1:6" x14ac:dyDescent="0.25">
      <c r="A125753"/>
      <c r="B125753"/>
      <c r="C125753"/>
      <c r="E125753"/>
      <c r="F125753"/>
    </row>
    <row r="125754" spans="1:6" x14ac:dyDescent="0.25">
      <c r="A125754"/>
      <c r="B125754"/>
      <c r="C125754"/>
      <c r="E125754"/>
      <c r="F125754"/>
    </row>
    <row r="125755" spans="1:6" x14ac:dyDescent="0.25">
      <c r="A125755"/>
      <c r="B125755"/>
      <c r="C125755"/>
      <c r="E125755"/>
      <c r="F125755"/>
    </row>
    <row r="125756" spans="1:6" x14ac:dyDescent="0.25">
      <c r="A125756"/>
      <c r="B125756"/>
      <c r="C125756"/>
      <c r="E125756"/>
      <c r="F125756"/>
    </row>
    <row r="125757" spans="1:6" x14ac:dyDescent="0.25">
      <c r="A125757"/>
      <c r="B125757"/>
      <c r="C125757"/>
      <c r="E125757"/>
      <c r="F125757"/>
    </row>
    <row r="125758" spans="1:6" x14ac:dyDescent="0.25">
      <c r="A125758"/>
      <c r="B125758"/>
      <c r="C125758"/>
      <c r="E125758"/>
      <c r="F125758"/>
    </row>
    <row r="125759" spans="1:6" x14ac:dyDescent="0.25">
      <c r="A125759"/>
      <c r="B125759"/>
      <c r="C125759"/>
      <c r="E125759"/>
      <c r="F125759"/>
    </row>
    <row r="125760" spans="1:6" x14ac:dyDescent="0.25">
      <c r="A125760"/>
      <c r="B125760"/>
      <c r="C125760"/>
      <c r="E125760"/>
      <c r="F125760"/>
    </row>
    <row r="125761" spans="1:6" x14ac:dyDescent="0.25">
      <c r="A125761"/>
      <c r="B125761"/>
      <c r="C125761"/>
      <c r="E125761"/>
      <c r="F125761"/>
    </row>
    <row r="125762" spans="1:6" x14ac:dyDescent="0.25">
      <c r="A125762"/>
      <c r="B125762"/>
      <c r="C125762"/>
      <c r="E125762"/>
      <c r="F125762"/>
    </row>
    <row r="125763" spans="1:6" x14ac:dyDescent="0.25">
      <c r="A125763"/>
      <c r="B125763"/>
      <c r="C125763"/>
      <c r="E125763"/>
      <c r="F125763"/>
    </row>
    <row r="125764" spans="1:6" x14ac:dyDescent="0.25">
      <c r="A125764"/>
      <c r="B125764"/>
      <c r="C125764"/>
      <c r="E125764"/>
      <c r="F125764"/>
    </row>
    <row r="125765" spans="1:6" x14ac:dyDescent="0.25">
      <c r="A125765"/>
      <c r="B125765"/>
      <c r="C125765"/>
      <c r="E125765"/>
      <c r="F125765"/>
    </row>
    <row r="125766" spans="1:6" x14ac:dyDescent="0.25">
      <c r="A125766"/>
      <c r="B125766"/>
      <c r="C125766"/>
      <c r="E125766"/>
      <c r="F125766"/>
    </row>
    <row r="125767" spans="1:6" x14ac:dyDescent="0.25">
      <c r="A125767"/>
      <c r="B125767"/>
      <c r="C125767"/>
      <c r="E125767"/>
      <c r="F125767"/>
    </row>
    <row r="125768" spans="1:6" x14ac:dyDescent="0.25">
      <c r="A125768"/>
      <c r="B125768"/>
      <c r="C125768"/>
      <c r="E125768"/>
      <c r="F125768"/>
    </row>
    <row r="125769" spans="1:6" x14ac:dyDescent="0.25">
      <c r="A125769"/>
      <c r="B125769"/>
      <c r="C125769"/>
      <c r="E125769"/>
      <c r="F125769"/>
    </row>
    <row r="125770" spans="1:6" x14ac:dyDescent="0.25">
      <c r="A125770"/>
      <c r="B125770"/>
      <c r="C125770"/>
      <c r="E125770"/>
      <c r="F125770"/>
    </row>
    <row r="125771" spans="1:6" x14ac:dyDescent="0.25">
      <c r="A125771"/>
      <c r="B125771"/>
      <c r="C125771"/>
      <c r="E125771"/>
      <c r="F125771"/>
    </row>
    <row r="125772" spans="1:6" x14ac:dyDescent="0.25">
      <c r="A125772"/>
      <c r="B125772"/>
      <c r="C125772"/>
      <c r="E125772"/>
      <c r="F125772"/>
    </row>
    <row r="125773" spans="1:6" x14ac:dyDescent="0.25">
      <c r="A125773"/>
      <c r="B125773"/>
      <c r="C125773"/>
      <c r="E125773"/>
      <c r="F125773"/>
    </row>
    <row r="125774" spans="1:6" x14ac:dyDescent="0.25">
      <c r="A125774"/>
      <c r="B125774"/>
      <c r="C125774"/>
      <c r="E125774"/>
      <c r="F125774"/>
    </row>
    <row r="125775" spans="1:6" x14ac:dyDescent="0.25">
      <c r="A125775"/>
      <c r="B125775"/>
      <c r="C125775"/>
      <c r="E125775"/>
      <c r="F125775"/>
    </row>
    <row r="125776" spans="1:6" x14ac:dyDescent="0.25">
      <c r="A125776"/>
      <c r="B125776"/>
      <c r="C125776"/>
      <c r="E125776"/>
      <c r="F125776"/>
    </row>
    <row r="125777" spans="1:6" x14ac:dyDescent="0.25">
      <c r="A125777"/>
      <c r="B125777"/>
      <c r="C125777"/>
      <c r="E125777"/>
      <c r="F125777"/>
    </row>
    <row r="125778" spans="1:6" x14ac:dyDescent="0.25">
      <c r="A125778"/>
      <c r="B125778"/>
      <c r="C125778"/>
      <c r="E125778"/>
      <c r="F125778"/>
    </row>
    <row r="125779" spans="1:6" x14ac:dyDescent="0.25">
      <c r="A125779"/>
      <c r="B125779"/>
      <c r="C125779"/>
      <c r="E125779"/>
      <c r="F125779"/>
    </row>
    <row r="125780" spans="1:6" x14ac:dyDescent="0.25">
      <c r="A125780"/>
      <c r="B125780"/>
      <c r="C125780"/>
      <c r="E125780"/>
      <c r="F125780"/>
    </row>
    <row r="125781" spans="1:6" x14ac:dyDescent="0.25">
      <c r="A125781"/>
      <c r="B125781"/>
      <c r="C125781"/>
      <c r="E125781"/>
      <c r="F125781"/>
    </row>
    <row r="125782" spans="1:6" x14ac:dyDescent="0.25">
      <c r="A125782"/>
      <c r="B125782"/>
      <c r="C125782"/>
      <c r="E125782"/>
      <c r="F125782"/>
    </row>
    <row r="125783" spans="1:6" x14ac:dyDescent="0.25">
      <c r="A125783"/>
      <c r="B125783"/>
      <c r="C125783"/>
      <c r="E125783"/>
      <c r="F125783"/>
    </row>
    <row r="125784" spans="1:6" x14ac:dyDescent="0.25">
      <c r="A125784"/>
      <c r="B125784"/>
      <c r="C125784"/>
      <c r="E125784"/>
      <c r="F125784"/>
    </row>
    <row r="125785" spans="1:6" x14ac:dyDescent="0.25">
      <c r="A125785"/>
      <c r="B125785"/>
      <c r="C125785"/>
      <c r="E125785"/>
      <c r="F125785"/>
    </row>
    <row r="125786" spans="1:6" x14ac:dyDescent="0.25">
      <c r="A125786"/>
      <c r="B125786"/>
      <c r="C125786"/>
      <c r="E125786"/>
      <c r="F125786"/>
    </row>
    <row r="125787" spans="1:6" x14ac:dyDescent="0.25">
      <c r="A125787"/>
      <c r="B125787"/>
      <c r="C125787"/>
      <c r="E125787"/>
      <c r="F125787"/>
    </row>
    <row r="125788" spans="1:6" x14ac:dyDescent="0.25">
      <c r="A125788"/>
      <c r="B125788"/>
      <c r="C125788"/>
      <c r="E125788"/>
      <c r="F125788"/>
    </row>
    <row r="125789" spans="1:6" x14ac:dyDescent="0.25">
      <c r="A125789"/>
      <c r="B125789"/>
      <c r="C125789"/>
      <c r="E125789"/>
      <c r="F125789"/>
    </row>
    <row r="125790" spans="1:6" x14ac:dyDescent="0.25">
      <c r="A125790"/>
      <c r="B125790"/>
      <c r="C125790"/>
      <c r="E125790"/>
      <c r="F125790"/>
    </row>
    <row r="125791" spans="1:6" x14ac:dyDescent="0.25">
      <c r="A125791"/>
      <c r="B125791"/>
      <c r="C125791"/>
      <c r="E125791"/>
      <c r="F125791"/>
    </row>
    <row r="125792" spans="1:6" x14ac:dyDescent="0.25">
      <c r="A125792"/>
      <c r="B125792"/>
      <c r="C125792"/>
      <c r="E125792"/>
      <c r="F125792"/>
    </row>
    <row r="125793" spans="1:6" x14ac:dyDescent="0.25">
      <c r="A125793"/>
      <c r="B125793"/>
      <c r="C125793"/>
      <c r="E125793"/>
      <c r="F125793"/>
    </row>
    <row r="125794" spans="1:6" x14ac:dyDescent="0.25">
      <c r="A125794"/>
      <c r="B125794"/>
      <c r="C125794"/>
      <c r="E125794"/>
      <c r="F125794"/>
    </row>
    <row r="125795" spans="1:6" x14ac:dyDescent="0.25">
      <c r="A125795"/>
      <c r="B125795"/>
      <c r="C125795"/>
      <c r="E125795"/>
      <c r="F125795"/>
    </row>
    <row r="125796" spans="1:6" x14ac:dyDescent="0.25">
      <c r="A125796"/>
      <c r="B125796"/>
      <c r="C125796"/>
      <c r="E125796"/>
      <c r="F125796"/>
    </row>
    <row r="125797" spans="1:6" x14ac:dyDescent="0.25">
      <c r="A125797"/>
      <c r="B125797"/>
      <c r="C125797"/>
      <c r="E125797"/>
      <c r="F125797"/>
    </row>
    <row r="125798" spans="1:6" x14ac:dyDescent="0.25">
      <c r="A125798"/>
      <c r="B125798"/>
      <c r="C125798"/>
      <c r="E125798"/>
      <c r="F125798"/>
    </row>
    <row r="125799" spans="1:6" x14ac:dyDescent="0.25">
      <c r="A125799"/>
      <c r="B125799"/>
      <c r="C125799"/>
      <c r="E125799"/>
      <c r="F125799"/>
    </row>
    <row r="125800" spans="1:6" x14ac:dyDescent="0.25">
      <c r="A125800"/>
      <c r="B125800"/>
      <c r="C125800"/>
      <c r="E125800"/>
      <c r="F125800"/>
    </row>
    <row r="125801" spans="1:6" x14ac:dyDescent="0.25">
      <c r="A125801"/>
      <c r="B125801"/>
      <c r="C125801"/>
      <c r="E125801"/>
      <c r="F125801"/>
    </row>
    <row r="125802" spans="1:6" x14ac:dyDescent="0.25">
      <c r="A125802"/>
      <c r="B125802"/>
      <c r="C125802"/>
      <c r="E125802"/>
      <c r="F125802"/>
    </row>
    <row r="125803" spans="1:6" x14ac:dyDescent="0.25">
      <c r="A125803"/>
      <c r="B125803"/>
      <c r="C125803"/>
      <c r="E125803"/>
      <c r="F125803"/>
    </row>
    <row r="125804" spans="1:6" x14ac:dyDescent="0.25">
      <c r="A125804"/>
      <c r="B125804"/>
      <c r="C125804"/>
      <c r="E125804"/>
      <c r="F125804"/>
    </row>
    <row r="125805" spans="1:6" x14ac:dyDescent="0.25">
      <c r="A125805"/>
      <c r="B125805"/>
      <c r="C125805"/>
      <c r="E125805"/>
      <c r="F125805"/>
    </row>
    <row r="125806" spans="1:6" x14ac:dyDescent="0.25">
      <c r="A125806"/>
      <c r="B125806"/>
      <c r="C125806"/>
      <c r="E125806"/>
      <c r="F125806"/>
    </row>
    <row r="125807" spans="1:6" x14ac:dyDescent="0.25">
      <c r="A125807"/>
      <c r="B125807"/>
      <c r="C125807"/>
      <c r="E125807"/>
      <c r="F125807"/>
    </row>
    <row r="125808" spans="1:6" x14ac:dyDescent="0.25">
      <c r="A125808"/>
      <c r="B125808"/>
      <c r="C125808"/>
      <c r="E125808"/>
      <c r="F125808"/>
    </row>
    <row r="125809" spans="1:6" x14ac:dyDescent="0.25">
      <c r="A125809"/>
      <c r="B125809"/>
      <c r="C125809"/>
      <c r="E125809"/>
      <c r="F125809"/>
    </row>
    <row r="125810" spans="1:6" x14ac:dyDescent="0.25">
      <c r="A125810"/>
      <c r="B125810"/>
      <c r="C125810"/>
      <c r="E125810"/>
      <c r="F125810"/>
    </row>
    <row r="125811" spans="1:6" x14ac:dyDescent="0.25">
      <c r="A125811"/>
      <c r="B125811"/>
      <c r="C125811"/>
      <c r="E125811"/>
      <c r="F125811"/>
    </row>
    <row r="125812" spans="1:6" x14ac:dyDescent="0.25">
      <c r="A125812"/>
      <c r="B125812"/>
      <c r="C125812"/>
      <c r="E125812"/>
      <c r="F125812"/>
    </row>
    <row r="125813" spans="1:6" x14ac:dyDescent="0.25">
      <c r="A125813"/>
      <c r="B125813"/>
      <c r="C125813"/>
      <c r="E125813"/>
      <c r="F125813"/>
    </row>
    <row r="125814" spans="1:6" x14ac:dyDescent="0.25">
      <c r="A125814"/>
      <c r="B125814"/>
      <c r="C125814"/>
      <c r="E125814"/>
      <c r="F125814"/>
    </row>
    <row r="125815" spans="1:6" x14ac:dyDescent="0.25">
      <c r="A125815"/>
      <c r="B125815"/>
      <c r="C125815"/>
      <c r="E125815"/>
      <c r="F125815"/>
    </row>
    <row r="125816" spans="1:6" x14ac:dyDescent="0.25">
      <c r="A125816"/>
      <c r="B125816"/>
      <c r="C125816"/>
      <c r="E125816"/>
      <c r="F125816"/>
    </row>
    <row r="125817" spans="1:6" x14ac:dyDescent="0.25">
      <c r="A125817"/>
      <c r="B125817"/>
      <c r="C125817"/>
      <c r="E125817"/>
      <c r="F125817"/>
    </row>
    <row r="125818" spans="1:6" x14ac:dyDescent="0.25">
      <c r="A125818"/>
      <c r="B125818"/>
      <c r="C125818"/>
      <c r="E125818"/>
      <c r="F125818"/>
    </row>
    <row r="125819" spans="1:6" x14ac:dyDescent="0.25">
      <c r="A125819"/>
      <c r="B125819"/>
      <c r="C125819"/>
      <c r="E125819"/>
      <c r="F125819"/>
    </row>
    <row r="125820" spans="1:6" x14ac:dyDescent="0.25">
      <c r="A125820"/>
      <c r="B125820"/>
      <c r="C125820"/>
      <c r="E125820"/>
      <c r="F125820"/>
    </row>
    <row r="125821" spans="1:6" x14ac:dyDescent="0.25">
      <c r="A125821"/>
      <c r="B125821"/>
      <c r="C125821"/>
      <c r="E125821"/>
      <c r="F125821"/>
    </row>
    <row r="125822" spans="1:6" x14ac:dyDescent="0.25">
      <c r="A125822"/>
      <c r="B125822"/>
      <c r="C125822"/>
      <c r="E125822"/>
      <c r="F125822"/>
    </row>
    <row r="125823" spans="1:6" x14ac:dyDescent="0.25">
      <c r="A125823"/>
      <c r="B125823"/>
      <c r="C125823"/>
      <c r="E125823"/>
      <c r="F125823"/>
    </row>
    <row r="125824" spans="1:6" x14ac:dyDescent="0.25">
      <c r="A125824"/>
      <c r="B125824"/>
      <c r="C125824"/>
      <c r="E125824"/>
      <c r="F125824"/>
    </row>
    <row r="125825" spans="1:6" x14ac:dyDescent="0.25">
      <c r="A125825"/>
      <c r="B125825"/>
      <c r="C125825"/>
      <c r="E125825"/>
      <c r="F125825"/>
    </row>
    <row r="125826" spans="1:6" x14ac:dyDescent="0.25">
      <c r="A125826"/>
      <c r="B125826"/>
      <c r="C125826"/>
      <c r="E125826"/>
      <c r="F125826"/>
    </row>
    <row r="125827" spans="1:6" x14ac:dyDescent="0.25">
      <c r="A125827"/>
      <c r="B125827"/>
      <c r="C125827"/>
      <c r="E125827"/>
      <c r="F125827"/>
    </row>
    <row r="125828" spans="1:6" x14ac:dyDescent="0.25">
      <c r="A125828"/>
      <c r="B125828"/>
      <c r="C125828"/>
      <c r="E125828"/>
      <c r="F125828"/>
    </row>
    <row r="125829" spans="1:6" x14ac:dyDescent="0.25">
      <c r="A125829"/>
      <c r="B125829"/>
      <c r="C125829"/>
      <c r="E125829"/>
      <c r="F125829"/>
    </row>
    <row r="125830" spans="1:6" x14ac:dyDescent="0.25">
      <c r="A125830"/>
      <c r="B125830"/>
      <c r="C125830"/>
      <c r="E125830"/>
      <c r="F125830"/>
    </row>
    <row r="125831" spans="1:6" x14ac:dyDescent="0.25">
      <c r="A125831"/>
      <c r="B125831"/>
      <c r="C125831"/>
      <c r="E125831"/>
      <c r="F125831"/>
    </row>
    <row r="125832" spans="1:6" x14ac:dyDescent="0.25">
      <c r="A125832"/>
      <c r="B125832"/>
      <c r="C125832"/>
      <c r="E125832"/>
      <c r="F125832"/>
    </row>
    <row r="125833" spans="1:6" x14ac:dyDescent="0.25">
      <c r="A125833"/>
      <c r="B125833"/>
      <c r="C125833"/>
      <c r="E125833"/>
      <c r="F125833"/>
    </row>
    <row r="125834" spans="1:6" x14ac:dyDescent="0.25">
      <c r="A125834"/>
      <c r="B125834"/>
      <c r="C125834"/>
      <c r="E125834"/>
      <c r="F125834"/>
    </row>
    <row r="125835" spans="1:6" x14ac:dyDescent="0.25">
      <c r="A125835"/>
      <c r="B125835"/>
      <c r="C125835"/>
      <c r="E125835"/>
      <c r="F125835"/>
    </row>
    <row r="125836" spans="1:6" x14ac:dyDescent="0.25">
      <c r="A125836"/>
      <c r="B125836"/>
      <c r="C125836"/>
      <c r="E125836"/>
      <c r="F125836"/>
    </row>
    <row r="125837" spans="1:6" x14ac:dyDescent="0.25">
      <c r="A125837"/>
      <c r="B125837"/>
      <c r="C125837"/>
      <c r="E125837"/>
      <c r="F125837"/>
    </row>
    <row r="125838" spans="1:6" x14ac:dyDescent="0.25">
      <c r="A125838"/>
      <c r="B125838"/>
      <c r="C125838"/>
      <c r="E125838"/>
      <c r="F125838"/>
    </row>
    <row r="125839" spans="1:6" x14ac:dyDescent="0.25">
      <c r="A125839"/>
      <c r="B125839"/>
      <c r="C125839"/>
      <c r="E125839"/>
      <c r="F125839"/>
    </row>
    <row r="125840" spans="1:6" x14ac:dyDescent="0.25">
      <c r="A125840"/>
      <c r="B125840"/>
      <c r="C125840"/>
      <c r="E125840"/>
      <c r="F125840"/>
    </row>
    <row r="125841" spans="1:6" x14ac:dyDescent="0.25">
      <c r="A125841"/>
      <c r="B125841"/>
      <c r="C125841"/>
      <c r="E125841"/>
      <c r="F125841"/>
    </row>
    <row r="125842" spans="1:6" x14ac:dyDescent="0.25">
      <c r="A125842"/>
      <c r="B125842"/>
      <c r="C125842"/>
      <c r="E125842"/>
      <c r="F125842"/>
    </row>
    <row r="125843" spans="1:6" x14ac:dyDescent="0.25">
      <c r="A125843"/>
      <c r="B125843"/>
      <c r="C125843"/>
      <c r="E125843"/>
      <c r="F125843"/>
    </row>
    <row r="125844" spans="1:6" x14ac:dyDescent="0.25">
      <c r="A125844"/>
      <c r="B125844"/>
      <c r="C125844"/>
      <c r="E125844"/>
      <c r="F125844"/>
    </row>
    <row r="125845" spans="1:6" x14ac:dyDescent="0.25">
      <c r="A125845"/>
      <c r="B125845"/>
      <c r="C125845"/>
      <c r="E125845"/>
      <c r="F125845"/>
    </row>
    <row r="125846" spans="1:6" x14ac:dyDescent="0.25">
      <c r="A125846"/>
      <c r="B125846"/>
      <c r="C125846"/>
      <c r="E125846"/>
      <c r="F125846"/>
    </row>
    <row r="125847" spans="1:6" x14ac:dyDescent="0.25">
      <c r="A125847"/>
      <c r="B125847"/>
      <c r="C125847"/>
      <c r="E125847"/>
      <c r="F125847"/>
    </row>
    <row r="125848" spans="1:6" x14ac:dyDescent="0.25">
      <c r="A125848"/>
      <c r="B125848"/>
      <c r="C125848"/>
      <c r="E125848"/>
      <c r="F125848"/>
    </row>
    <row r="125849" spans="1:6" x14ac:dyDescent="0.25">
      <c r="A125849"/>
      <c r="B125849"/>
      <c r="C125849"/>
      <c r="E125849"/>
      <c r="F125849"/>
    </row>
    <row r="125850" spans="1:6" x14ac:dyDescent="0.25">
      <c r="A125850"/>
      <c r="B125850"/>
      <c r="C125850"/>
      <c r="E125850"/>
      <c r="F125850"/>
    </row>
    <row r="125851" spans="1:6" x14ac:dyDescent="0.25">
      <c r="A125851"/>
      <c r="B125851"/>
      <c r="C125851"/>
      <c r="E125851"/>
      <c r="F125851"/>
    </row>
    <row r="125852" spans="1:6" x14ac:dyDescent="0.25">
      <c r="A125852"/>
      <c r="B125852"/>
      <c r="C125852"/>
      <c r="E125852"/>
      <c r="F125852"/>
    </row>
    <row r="125853" spans="1:6" x14ac:dyDescent="0.25">
      <c r="A125853"/>
      <c r="B125853"/>
      <c r="C125853"/>
      <c r="E125853"/>
      <c r="F125853"/>
    </row>
    <row r="125854" spans="1:6" x14ac:dyDescent="0.25">
      <c r="A125854"/>
      <c r="B125854"/>
      <c r="C125854"/>
      <c r="E125854"/>
      <c r="F125854"/>
    </row>
    <row r="125855" spans="1:6" x14ac:dyDescent="0.25">
      <c r="A125855"/>
      <c r="B125855"/>
      <c r="C125855"/>
      <c r="E125855"/>
      <c r="F125855"/>
    </row>
    <row r="125856" spans="1:6" x14ac:dyDescent="0.25">
      <c r="A125856"/>
      <c r="B125856"/>
      <c r="C125856"/>
      <c r="E125856"/>
      <c r="F125856"/>
    </row>
    <row r="125857" spans="1:6" x14ac:dyDescent="0.25">
      <c r="A125857"/>
      <c r="B125857"/>
      <c r="C125857"/>
      <c r="E125857"/>
      <c r="F125857"/>
    </row>
    <row r="125858" spans="1:6" x14ac:dyDescent="0.25">
      <c r="A125858"/>
      <c r="B125858"/>
      <c r="C125858"/>
      <c r="E125858"/>
      <c r="F125858"/>
    </row>
    <row r="125859" spans="1:6" x14ac:dyDescent="0.25">
      <c r="A125859"/>
      <c r="B125859"/>
      <c r="C125859"/>
      <c r="E125859"/>
      <c r="F125859"/>
    </row>
    <row r="125860" spans="1:6" x14ac:dyDescent="0.25">
      <c r="A125860"/>
      <c r="B125860"/>
      <c r="C125860"/>
      <c r="E125860"/>
      <c r="F125860"/>
    </row>
    <row r="125861" spans="1:6" x14ac:dyDescent="0.25">
      <c r="A125861"/>
      <c r="B125861"/>
      <c r="C125861"/>
      <c r="E125861"/>
      <c r="F125861"/>
    </row>
    <row r="125862" spans="1:6" x14ac:dyDescent="0.25">
      <c r="A125862"/>
      <c r="B125862"/>
      <c r="C125862"/>
      <c r="E125862"/>
      <c r="F125862"/>
    </row>
    <row r="125863" spans="1:6" x14ac:dyDescent="0.25">
      <c r="A125863"/>
      <c r="B125863"/>
      <c r="C125863"/>
      <c r="E125863"/>
      <c r="F125863"/>
    </row>
    <row r="125864" spans="1:6" x14ac:dyDescent="0.25">
      <c r="A125864"/>
      <c r="B125864"/>
      <c r="C125864"/>
      <c r="E125864"/>
      <c r="F125864"/>
    </row>
    <row r="125865" spans="1:6" x14ac:dyDescent="0.25">
      <c r="A125865"/>
      <c r="B125865"/>
      <c r="C125865"/>
      <c r="E125865"/>
      <c r="F125865"/>
    </row>
    <row r="125866" spans="1:6" x14ac:dyDescent="0.25">
      <c r="A125866"/>
      <c r="B125866"/>
      <c r="C125866"/>
      <c r="E125866"/>
      <c r="F125866"/>
    </row>
    <row r="125867" spans="1:6" x14ac:dyDescent="0.25">
      <c r="A125867"/>
      <c r="B125867"/>
      <c r="C125867"/>
      <c r="E125867"/>
      <c r="F125867"/>
    </row>
    <row r="125868" spans="1:6" x14ac:dyDescent="0.25">
      <c r="A125868"/>
      <c r="B125868"/>
      <c r="C125868"/>
      <c r="E125868"/>
      <c r="F125868"/>
    </row>
    <row r="125869" spans="1:6" x14ac:dyDescent="0.25">
      <c r="A125869"/>
      <c r="B125869"/>
      <c r="C125869"/>
      <c r="E125869"/>
      <c r="F125869"/>
    </row>
    <row r="125870" spans="1:6" x14ac:dyDescent="0.25">
      <c r="A125870"/>
      <c r="B125870"/>
      <c r="C125870"/>
      <c r="E125870"/>
      <c r="F125870"/>
    </row>
    <row r="125871" spans="1:6" x14ac:dyDescent="0.25">
      <c r="A125871"/>
      <c r="B125871"/>
      <c r="C125871"/>
      <c r="E125871"/>
      <c r="F125871"/>
    </row>
    <row r="125872" spans="1:6" x14ac:dyDescent="0.25">
      <c r="A125872"/>
      <c r="B125872"/>
      <c r="C125872"/>
      <c r="E125872"/>
      <c r="F125872"/>
    </row>
    <row r="125873" spans="1:6" x14ac:dyDescent="0.25">
      <c r="A125873"/>
      <c r="B125873"/>
      <c r="C125873"/>
      <c r="E125873"/>
      <c r="F125873"/>
    </row>
    <row r="125874" spans="1:6" x14ac:dyDescent="0.25">
      <c r="A125874"/>
      <c r="B125874"/>
      <c r="C125874"/>
      <c r="E125874"/>
      <c r="F125874"/>
    </row>
    <row r="125875" spans="1:6" x14ac:dyDescent="0.25">
      <c r="A125875"/>
      <c r="B125875"/>
      <c r="C125875"/>
      <c r="E125875"/>
      <c r="F125875"/>
    </row>
    <row r="125876" spans="1:6" x14ac:dyDescent="0.25">
      <c r="A125876"/>
      <c r="B125876"/>
      <c r="C125876"/>
      <c r="E125876"/>
      <c r="F125876"/>
    </row>
    <row r="125877" spans="1:6" x14ac:dyDescent="0.25">
      <c r="A125877"/>
      <c r="B125877"/>
      <c r="C125877"/>
      <c r="E125877"/>
      <c r="F125877"/>
    </row>
    <row r="125878" spans="1:6" x14ac:dyDescent="0.25">
      <c r="A125878"/>
      <c r="B125878"/>
      <c r="C125878"/>
      <c r="E125878"/>
      <c r="F125878"/>
    </row>
    <row r="125879" spans="1:6" x14ac:dyDescent="0.25">
      <c r="A125879"/>
      <c r="B125879"/>
      <c r="C125879"/>
      <c r="E125879"/>
      <c r="F125879"/>
    </row>
    <row r="125880" spans="1:6" x14ac:dyDescent="0.25">
      <c r="A125880"/>
      <c r="B125880"/>
      <c r="C125880"/>
      <c r="E125880"/>
      <c r="F125880"/>
    </row>
    <row r="125881" spans="1:6" x14ac:dyDescent="0.25">
      <c r="A125881"/>
      <c r="B125881"/>
      <c r="C125881"/>
      <c r="E125881"/>
      <c r="F125881"/>
    </row>
    <row r="125882" spans="1:6" x14ac:dyDescent="0.25">
      <c r="A125882"/>
      <c r="B125882"/>
      <c r="C125882"/>
      <c r="E125882"/>
      <c r="F125882"/>
    </row>
    <row r="125883" spans="1:6" x14ac:dyDescent="0.25">
      <c r="A125883"/>
      <c r="B125883"/>
      <c r="C125883"/>
      <c r="E125883"/>
      <c r="F125883"/>
    </row>
    <row r="125884" spans="1:6" x14ac:dyDescent="0.25">
      <c r="A125884"/>
      <c r="B125884"/>
      <c r="C125884"/>
      <c r="E125884"/>
      <c r="F125884"/>
    </row>
    <row r="125885" spans="1:6" x14ac:dyDescent="0.25">
      <c r="A125885"/>
      <c r="B125885"/>
      <c r="C125885"/>
      <c r="E125885"/>
      <c r="F125885"/>
    </row>
    <row r="125886" spans="1:6" x14ac:dyDescent="0.25">
      <c r="A125886"/>
      <c r="B125886"/>
      <c r="C125886"/>
      <c r="E125886"/>
      <c r="F125886"/>
    </row>
    <row r="125887" spans="1:6" x14ac:dyDescent="0.25">
      <c r="A125887"/>
      <c r="B125887"/>
      <c r="C125887"/>
      <c r="E125887"/>
      <c r="F125887"/>
    </row>
    <row r="125888" spans="1:6" x14ac:dyDescent="0.25">
      <c r="A125888"/>
      <c r="B125888"/>
      <c r="C125888"/>
      <c r="E125888"/>
      <c r="F125888"/>
    </row>
    <row r="125889" spans="1:6" x14ac:dyDescent="0.25">
      <c r="A125889"/>
      <c r="B125889"/>
      <c r="C125889"/>
      <c r="E125889"/>
      <c r="F125889"/>
    </row>
    <row r="125890" spans="1:6" x14ac:dyDescent="0.25">
      <c r="A125890"/>
      <c r="B125890"/>
      <c r="C125890"/>
      <c r="E125890"/>
      <c r="F125890"/>
    </row>
    <row r="125891" spans="1:6" x14ac:dyDescent="0.25">
      <c r="A125891"/>
      <c r="B125891"/>
      <c r="C125891"/>
      <c r="E125891"/>
      <c r="F125891"/>
    </row>
    <row r="125892" spans="1:6" x14ac:dyDescent="0.25">
      <c r="A125892"/>
      <c r="B125892"/>
      <c r="C125892"/>
      <c r="E125892"/>
      <c r="F125892"/>
    </row>
    <row r="125893" spans="1:6" x14ac:dyDescent="0.25">
      <c r="A125893"/>
      <c r="B125893"/>
      <c r="C125893"/>
      <c r="E125893"/>
      <c r="F125893"/>
    </row>
    <row r="125894" spans="1:6" x14ac:dyDescent="0.25">
      <c r="A125894"/>
      <c r="B125894"/>
      <c r="C125894"/>
      <c r="E125894"/>
      <c r="F125894"/>
    </row>
    <row r="125895" spans="1:6" x14ac:dyDescent="0.25">
      <c r="A125895"/>
      <c r="B125895"/>
      <c r="C125895"/>
      <c r="E125895"/>
      <c r="F125895"/>
    </row>
    <row r="125896" spans="1:6" x14ac:dyDescent="0.25">
      <c r="A125896"/>
      <c r="B125896"/>
      <c r="C125896"/>
      <c r="E125896"/>
      <c r="F125896"/>
    </row>
    <row r="125897" spans="1:6" x14ac:dyDescent="0.25">
      <c r="A125897"/>
      <c r="B125897"/>
      <c r="C125897"/>
      <c r="E125897"/>
      <c r="F125897"/>
    </row>
    <row r="125898" spans="1:6" x14ac:dyDescent="0.25">
      <c r="A125898"/>
      <c r="B125898"/>
      <c r="C125898"/>
      <c r="E125898"/>
      <c r="F125898"/>
    </row>
    <row r="125899" spans="1:6" x14ac:dyDescent="0.25">
      <c r="A125899"/>
      <c r="B125899"/>
      <c r="C125899"/>
      <c r="E125899"/>
      <c r="F125899"/>
    </row>
    <row r="125900" spans="1:6" x14ac:dyDescent="0.25">
      <c r="A125900"/>
      <c r="B125900"/>
      <c r="C125900"/>
      <c r="E125900"/>
      <c r="F125900"/>
    </row>
    <row r="125901" spans="1:6" x14ac:dyDescent="0.25">
      <c r="A125901"/>
      <c r="B125901"/>
      <c r="C125901"/>
      <c r="E125901"/>
      <c r="F125901"/>
    </row>
    <row r="125902" spans="1:6" x14ac:dyDescent="0.25">
      <c r="A125902"/>
      <c r="B125902"/>
      <c r="C125902"/>
      <c r="E125902"/>
      <c r="F125902"/>
    </row>
    <row r="125903" spans="1:6" x14ac:dyDescent="0.25">
      <c r="A125903"/>
      <c r="B125903"/>
      <c r="C125903"/>
      <c r="E125903"/>
      <c r="F125903"/>
    </row>
    <row r="125904" spans="1:6" x14ac:dyDescent="0.25">
      <c r="A125904"/>
      <c r="B125904"/>
      <c r="C125904"/>
      <c r="E125904"/>
      <c r="F125904"/>
    </row>
    <row r="125905" spans="1:6" x14ac:dyDescent="0.25">
      <c r="A125905"/>
      <c r="B125905"/>
      <c r="C125905"/>
      <c r="E125905"/>
      <c r="F125905"/>
    </row>
    <row r="125906" spans="1:6" x14ac:dyDescent="0.25">
      <c r="A125906"/>
      <c r="B125906"/>
      <c r="C125906"/>
      <c r="E125906"/>
      <c r="F125906"/>
    </row>
    <row r="125907" spans="1:6" x14ac:dyDescent="0.25">
      <c r="A125907"/>
      <c r="B125907"/>
      <c r="C125907"/>
      <c r="E125907"/>
      <c r="F125907"/>
    </row>
    <row r="125908" spans="1:6" x14ac:dyDescent="0.25">
      <c r="A125908"/>
      <c r="B125908"/>
      <c r="C125908"/>
      <c r="E125908"/>
      <c r="F125908"/>
    </row>
    <row r="125909" spans="1:6" x14ac:dyDescent="0.25">
      <c r="A125909"/>
      <c r="B125909"/>
      <c r="C125909"/>
      <c r="E125909"/>
      <c r="F125909"/>
    </row>
    <row r="125910" spans="1:6" x14ac:dyDescent="0.25">
      <c r="A125910"/>
      <c r="B125910"/>
      <c r="C125910"/>
      <c r="E125910"/>
      <c r="F125910"/>
    </row>
    <row r="125911" spans="1:6" x14ac:dyDescent="0.25">
      <c r="A125911"/>
      <c r="B125911"/>
      <c r="C125911"/>
      <c r="E125911"/>
      <c r="F125911"/>
    </row>
    <row r="125912" spans="1:6" x14ac:dyDescent="0.25">
      <c r="A125912"/>
      <c r="B125912"/>
      <c r="C125912"/>
      <c r="E125912"/>
      <c r="F125912"/>
    </row>
    <row r="125913" spans="1:6" x14ac:dyDescent="0.25">
      <c r="A125913"/>
      <c r="B125913"/>
      <c r="C125913"/>
      <c r="E125913"/>
      <c r="F125913"/>
    </row>
    <row r="125914" spans="1:6" x14ac:dyDescent="0.25">
      <c r="A125914"/>
      <c r="B125914"/>
      <c r="C125914"/>
      <c r="E125914"/>
      <c r="F125914"/>
    </row>
    <row r="125915" spans="1:6" x14ac:dyDescent="0.25">
      <c r="A125915"/>
      <c r="B125915"/>
      <c r="C125915"/>
      <c r="E125915"/>
      <c r="F125915"/>
    </row>
    <row r="125916" spans="1:6" x14ac:dyDescent="0.25">
      <c r="A125916"/>
      <c r="B125916"/>
      <c r="C125916"/>
      <c r="E125916"/>
      <c r="F125916"/>
    </row>
    <row r="125917" spans="1:6" x14ac:dyDescent="0.25">
      <c r="A125917"/>
      <c r="B125917"/>
      <c r="C125917"/>
      <c r="E125917"/>
      <c r="F125917"/>
    </row>
    <row r="125918" spans="1:6" x14ac:dyDescent="0.25">
      <c r="A125918"/>
      <c r="B125918"/>
      <c r="C125918"/>
      <c r="E125918"/>
      <c r="F125918"/>
    </row>
    <row r="125919" spans="1:6" x14ac:dyDescent="0.25">
      <c r="A125919"/>
      <c r="B125919"/>
      <c r="C125919"/>
      <c r="E125919"/>
      <c r="F125919"/>
    </row>
    <row r="125920" spans="1:6" x14ac:dyDescent="0.25">
      <c r="A125920"/>
      <c r="B125920"/>
      <c r="C125920"/>
      <c r="E125920"/>
      <c r="F125920"/>
    </row>
    <row r="125921" spans="1:6" x14ac:dyDescent="0.25">
      <c r="A125921"/>
      <c r="B125921"/>
      <c r="C125921"/>
      <c r="E125921"/>
      <c r="F125921"/>
    </row>
    <row r="125922" spans="1:6" x14ac:dyDescent="0.25">
      <c r="A125922"/>
      <c r="B125922"/>
      <c r="C125922"/>
      <c r="E125922"/>
      <c r="F125922"/>
    </row>
    <row r="125923" spans="1:6" x14ac:dyDescent="0.25">
      <c r="A125923"/>
      <c r="B125923"/>
      <c r="C125923"/>
      <c r="E125923"/>
      <c r="F125923"/>
    </row>
    <row r="125924" spans="1:6" x14ac:dyDescent="0.25">
      <c r="A125924"/>
      <c r="B125924"/>
      <c r="C125924"/>
      <c r="E125924"/>
      <c r="F125924"/>
    </row>
    <row r="125925" spans="1:6" x14ac:dyDescent="0.25">
      <c r="A125925"/>
      <c r="B125925"/>
      <c r="C125925"/>
      <c r="E125925"/>
      <c r="F125925"/>
    </row>
    <row r="125926" spans="1:6" x14ac:dyDescent="0.25">
      <c r="A125926"/>
      <c r="B125926"/>
      <c r="C125926"/>
      <c r="E125926"/>
      <c r="F125926"/>
    </row>
    <row r="125927" spans="1:6" x14ac:dyDescent="0.25">
      <c r="A125927"/>
      <c r="B125927"/>
      <c r="C125927"/>
      <c r="E125927"/>
      <c r="F125927"/>
    </row>
    <row r="125928" spans="1:6" x14ac:dyDescent="0.25">
      <c r="A125928"/>
      <c r="B125928"/>
      <c r="C125928"/>
      <c r="E125928"/>
      <c r="F125928"/>
    </row>
    <row r="125929" spans="1:6" x14ac:dyDescent="0.25">
      <c r="A125929"/>
      <c r="B125929"/>
      <c r="C125929"/>
      <c r="E125929"/>
      <c r="F125929"/>
    </row>
    <row r="125930" spans="1:6" x14ac:dyDescent="0.25">
      <c r="A125930"/>
      <c r="B125930"/>
      <c r="C125930"/>
      <c r="E125930"/>
      <c r="F125930"/>
    </row>
    <row r="125931" spans="1:6" x14ac:dyDescent="0.25">
      <c r="A125931"/>
      <c r="B125931"/>
      <c r="C125931"/>
      <c r="E125931"/>
      <c r="F125931"/>
    </row>
    <row r="125932" spans="1:6" x14ac:dyDescent="0.25">
      <c r="A125932"/>
      <c r="B125932"/>
      <c r="C125932"/>
      <c r="E125932"/>
      <c r="F125932"/>
    </row>
    <row r="125933" spans="1:6" x14ac:dyDescent="0.25">
      <c r="A125933"/>
      <c r="B125933"/>
      <c r="C125933"/>
      <c r="E125933"/>
      <c r="F125933"/>
    </row>
    <row r="125934" spans="1:6" x14ac:dyDescent="0.25">
      <c r="A125934"/>
      <c r="B125934"/>
      <c r="C125934"/>
      <c r="E125934"/>
      <c r="F125934"/>
    </row>
    <row r="125935" spans="1:6" x14ac:dyDescent="0.25">
      <c r="A125935"/>
      <c r="B125935"/>
      <c r="C125935"/>
      <c r="E125935"/>
      <c r="F125935"/>
    </row>
    <row r="125936" spans="1:6" x14ac:dyDescent="0.25">
      <c r="A125936"/>
      <c r="B125936"/>
      <c r="C125936"/>
      <c r="E125936"/>
      <c r="F125936"/>
    </row>
    <row r="125937" spans="1:6" x14ac:dyDescent="0.25">
      <c r="A125937"/>
      <c r="B125937"/>
      <c r="C125937"/>
      <c r="E125937"/>
      <c r="F125937"/>
    </row>
    <row r="125938" spans="1:6" x14ac:dyDescent="0.25">
      <c r="A125938"/>
      <c r="B125938"/>
      <c r="C125938"/>
      <c r="E125938"/>
      <c r="F125938"/>
    </row>
    <row r="125939" spans="1:6" x14ac:dyDescent="0.25">
      <c r="A125939"/>
      <c r="B125939"/>
      <c r="C125939"/>
      <c r="E125939"/>
      <c r="F125939"/>
    </row>
    <row r="125940" spans="1:6" x14ac:dyDescent="0.25">
      <c r="A125940"/>
      <c r="B125940"/>
      <c r="C125940"/>
      <c r="E125940"/>
      <c r="F125940"/>
    </row>
    <row r="125941" spans="1:6" x14ac:dyDescent="0.25">
      <c r="A125941"/>
      <c r="B125941"/>
      <c r="C125941"/>
      <c r="E125941"/>
      <c r="F125941"/>
    </row>
    <row r="125942" spans="1:6" x14ac:dyDescent="0.25">
      <c r="A125942"/>
      <c r="B125942"/>
      <c r="C125942"/>
      <c r="E125942"/>
      <c r="F125942"/>
    </row>
    <row r="125943" spans="1:6" x14ac:dyDescent="0.25">
      <c r="A125943"/>
      <c r="B125943"/>
      <c r="C125943"/>
      <c r="E125943"/>
      <c r="F125943"/>
    </row>
    <row r="125944" spans="1:6" x14ac:dyDescent="0.25">
      <c r="A125944"/>
      <c r="B125944"/>
      <c r="C125944"/>
      <c r="E125944"/>
      <c r="F125944"/>
    </row>
    <row r="125945" spans="1:6" x14ac:dyDescent="0.25">
      <c r="A125945"/>
      <c r="B125945"/>
      <c r="C125945"/>
      <c r="E125945"/>
      <c r="F125945"/>
    </row>
    <row r="125946" spans="1:6" x14ac:dyDescent="0.25">
      <c r="A125946"/>
      <c r="B125946"/>
      <c r="C125946"/>
      <c r="E125946"/>
      <c r="F125946"/>
    </row>
    <row r="125947" spans="1:6" x14ac:dyDescent="0.25">
      <c r="A125947"/>
      <c r="B125947"/>
      <c r="C125947"/>
      <c r="E125947"/>
      <c r="F125947"/>
    </row>
    <row r="125948" spans="1:6" x14ac:dyDescent="0.25">
      <c r="A125948"/>
      <c r="B125948"/>
      <c r="C125948"/>
      <c r="E125948"/>
      <c r="F125948"/>
    </row>
    <row r="125949" spans="1:6" x14ac:dyDescent="0.25">
      <c r="A125949"/>
      <c r="B125949"/>
      <c r="C125949"/>
      <c r="E125949"/>
      <c r="F125949"/>
    </row>
    <row r="125950" spans="1:6" x14ac:dyDescent="0.25">
      <c r="A125950"/>
      <c r="B125950"/>
      <c r="C125950"/>
      <c r="E125950"/>
      <c r="F125950"/>
    </row>
    <row r="125951" spans="1:6" x14ac:dyDescent="0.25">
      <c r="A125951"/>
      <c r="B125951"/>
      <c r="C125951"/>
      <c r="E125951"/>
      <c r="F125951"/>
    </row>
    <row r="125952" spans="1:6" x14ac:dyDescent="0.25">
      <c r="A125952"/>
      <c r="B125952"/>
      <c r="C125952"/>
      <c r="E125952"/>
      <c r="F125952"/>
    </row>
    <row r="125953" spans="1:6" x14ac:dyDescent="0.25">
      <c r="A125953"/>
      <c r="B125953"/>
      <c r="C125953"/>
      <c r="E125953"/>
      <c r="F125953"/>
    </row>
    <row r="125954" spans="1:6" x14ac:dyDescent="0.25">
      <c r="A125954"/>
      <c r="B125954"/>
      <c r="C125954"/>
      <c r="E125954"/>
      <c r="F125954"/>
    </row>
    <row r="125955" spans="1:6" x14ac:dyDescent="0.25">
      <c r="A125955"/>
      <c r="B125955"/>
      <c r="C125955"/>
      <c r="E125955"/>
      <c r="F125955"/>
    </row>
    <row r="125956" spans="1:6" x14ac:dyDescent="0.25">
      <c r="A125956"/>
      <c r="B125956"/>
      <c r="C125956"/>
      <c r="E125956"/>
      <c r="F125956"/>
    </row>
    <row r="125957" spans="1:6" x14ac:dyDescent="0.25">
      <c r="A125957"/>
      <c r="B125957"/>
      <c r="C125957"/>
      <c r="E125957"/>
      <c r="F125957"/>
    </row>
    <row r="125958" spans="1:6" x14ac:dyDescent="0.25">
      <c r="A125958"/>
      <c r="B125958"/>
      <c r="C125958"/>
      <c r="E125958"/>
      <c r="F125958"/>
    </row>
    <row r="125959" spans="1:6" x14ac:dyDescent="0.25">
      <c r="A125959"/>
      <c r="B125959"/>
      <c r="C125959"/>
      <c r="E125959"/>
      <c r="F125959"/>
    </row>
    <row r="125960" spans="1:6" x14ac:dyDescent="0.25">
      <c r="A125960"/>
      <c r="B125960"/>
      <c r="C125960"/>
      <c r="E125960"/>
      <c r="F125960"/>
    </row>
    <row r="125961" spans="1:6" x14ac:dyDescent="0.25">
      <c r="A125961"/>
      <c r="B125961"/>
      <c r="C125961"/>
      <c r="E125961"/>
      <c r="F125961"/>
    </row>
    <row r="125962" spans="1:6" x14ac:dyDescent="0.25">
      <c r="A125962"/>
      <c r="B125962"/>
      <c r="C125962"/>
      <c r="E125962"/>
      <c r="F125962"/>
    </row>
    <row r="125963" spans="1:6" x14ac:dyDescent="0.25">
      <c r="A125963"/>
      <c r="B125963"/>
      <c r="C125963"/>
      <c r="E125963"/>
      <c r="F125963"/>
    </row>
    <row r="125964" spans="1:6" x14ac:dyDescent="0.25">
      <c r="A125964"/>
      <c r="B125964"/>
      <c r="C125964"/>
      <c r="E125964"/>
      <c r="F125964"/>
    </row>
    <row r="125965" spans="1:6" x14ac:dyDescent="0.25">
      <c r="A125965"/>
      <c r="B125965"/>
      <c r="C125965"/>
      <c r="E125965"/>
      <c r="F125965"/>
    </row>
    <row r="125966" spans="1:6" x14ac:dyDescent="0.25">
      <c r="A125966"/>
      <c r="B125966"/>
      <c r="C125966"/>
      <c r="E125966"/>
      <c r="F125966"/>
    </row>
    <row r="125967" spans="1:6" x14ac:dyDescent="0.25">
      <c r="A125967"/>
      <c r="B125967"/>
      <c r="C125967"/>
      <c r="E125967"/>
      <c r="F125967"/>
    </row>
    <row r="125968" spans="1:6" x14ac:dyDescent="0.25">
      <c r="A125968"/>
      <c r="B125968"/>
      <c r="C125968"/>
      <c r="E125968"/>
      <c r="F125968"/>
    </row>
    <row r="125969" spans="1:6" x14ac:dyDescent="0.25">
      <c r="A125969"/>
      <c r="B125969"/>
      <c r="C125969"/>
      <c r="E125969"/>
      <c r="F125969"/>
    </row>
    <row r="125970" spans="1:6" x14ac:dyDescent="0.25">
      <c r="A125970"/>
      <c r="B125970"/>
      <c r="C125970"/>
      <c r="E125970"/>
      <c r="F125970"/>
    </row>
    <row r="125971" spans="1:6" x14ac:dyDescent="0.25">
      <c r="A125971"/>
      <c r="B125971"/>
      <c r="C125971"/>
      <c r="E125971"/>
      <c r="F125971"/>
    </row>
    <row r="125972" spans="1:6" x14ac:dyDescent="0.25">
      <c r="A125972"/>
      <c r="B125972"/>
      <c r="C125972"/>
      <c r="E125972"/>
      <c r="F125972"/>
    </row>
    <row r="125973" spans="1:6" x14ac:dyDescent="0.25">
      <c r="A125973"/>
      <c r="B125973"/>
      <c r="C125973"/>
      <c r="E125973"/>
      <c r="F125973"/>
    </row>
  </sheetData>
  <sortState xmlns:xlrd2="http://schemas.microsoft.com/office/spreadsheetml/2017/richdata2" ref="A1:K126011">
    <sortCondition ref="A1:A126011"/>
    <sortCondition descending="1" ref="E1:E126011"/>
    <sortCondition ref="D1:D126011"/>
  </sortState>
  <pageMargins left="0.7" right="0.7" top="0.75" bottom="0.75" header="0.3" footer="0.3"/>
  <pageSetup paperSize="9" orientation="portrait" r:id="rId1"/>
  <ignoredErrors>
    <ignoredError sqref="F4473 F1237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oktober 2020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Slingerland-Roos, P. (Petra)</dc:creator>
  <cp:lastModifiedBy>W.J. Jongejan</cp:lastModifiedBy>
  <dcterms:created xsi:type="dcterms:W3CDTF">2020-10-21T09:54:40Z</dcterms:created>
  <dcterms:modified xsi:type="dcterms:W3CDTF">2020-10-26T12:20:48Z</dcterms:modified>
</cp:coreProperties>
</file>